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07B7748-79E3-429D-BE84-7E8DA5686FEB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relations" sheetId="1" r:id="rId1"/>
    <sheet name="Список" sheetId="2" state="hidden" r:id="rId2"/>
  </sheets>
  <definedNames>
    <definedName name="Z_57464986_D4C4_4994_902A_06F6329FA337_.wvu.FilterData" localSheetId="0" hidden="1">relations!$A$2:$J$16073</definedName>
    <definedName name="Z_EFF6CDDC_3683_455B_B859_31643D0DE002_.wvu.FilterData" localSheetId="0" hidden="1">relations!$A$2:$J$16073</definedName>
  </definedNames>
  <calcPr calcId="191029"/>
  <customWorkbookViews>
    <customWorkbookView name="Фільтр 2" guid="{EFF6CDDC-3683-455B-B859-31643D0DE002}" maximized="1" windowWidth="0" windowHeight="0" activeSheetId="0"/>
    <customWorkbookView name="Фільтр 1" guid="{57464986-D4C4-4994-902A-06F6329FA337}" maximized="1" windowWidth="0" windowHeight="0" activeSheetId="0"/>
  </customWorkbookViews>
</workbook>
</file>

<file path=xl/calcChain.xml><?xml version="1.0" encoding="utf-8"?>
<calcChain xmlns="http://schemas.openxmlformats.org/spreadsheetml/2006/main">
  <c r="I16073" i="1" l="1"/>
  <c r="F16073" i="1"/>
  <c r="I16072" i="1"/>
  <c r="F16072" i="1"/>
  <c r="I16071" i="1"/>
  <c r="F16071" i="1"/>
  <c r="I16070" i="1"/>
  <c r="F16070" i="1"/>
  <c r="I16069" i="1"/>
  <c r="F16069" i="1"/>
  <c r="I16068" i="1"/>
  <c r="F16068" i="1"/>
  <c r="I16067" i="1"/>
  <c r="F16067" i="1"/>
  <c r="I16066" i="1"/>
  <c r="F16066" i="1"/>
  <c r="I16065" i="1"/>
  <c r="F16065" i="1"/>
  <c r="I16064" i="1"/>
  <c r="F16064" i="1"/>
  <c r="I16063" i="1"/>
  <c r="F16063" i="1"/>
  <c r="I16062" i="1"/>
  <c r="F16062" i="1"/>
  <c r="I16061" i="1"/>
  <c r="F16061" i="1"/>
  <c r="I16060" i="1"/>
  <c r="F16060" i="1"/>
  <c r="I16059" i="1"/>
  <c r="F16059" i="1"/>
  <c r="I16058" i="1"/>
  <c r="F16058" i="1"/>
  <c r="I16057" i="1"/>
  <c r="F16057" i="1"/>
  <c r="I16056" i="1"/>
  <c r="F16056" i="1"/>
  <c r="I16055" i="1"/>
  <c r="F16055" i="1"/>
  <c r="I16054" i="1"/>
  <c r="F16054" i="1"/>
  <c r="I16053" i="1"/>
  <c r="F16053" i="1"/>
  <c r="I16052" i="1"/>
  <c r="F16052" i="1"/>
  <c r="I16051" i="1"/>
  <c r="F16051" i="1"/>
  <c r="I16050" i="1"/>
  <c r="F16050" i="1"/>
  <c r="I16049" i="1"/>
  <c r="F16049" i="1"/>
  <c r="I16048" i="1"/>
  <c r="F16048" i="1"/>
  <c r="I16047" i="1"/>
  <c r="F16047" i="1"/>
  <c r="I16046" i="1"/>
  <c r="F16046" i="1"/>
  <c r="I16045" i="1"/>
  <c r="F16045" i="1"/>
  <c r="I16044" i="1"/>
  <c r="F16044" i="1"/>
  <c r="I16043" i="1"/>
  <c r="F16043" i="1"/>
  <c r="I16042" i="1"/>
  <c r="F16042" i="1"/>
  <c r="I16041" i="1"/>
  <c r="F16041" i="1"/>
  <c r="I16040" i="1"/>
  <c r="F16040" i="1"/>
  <c r="I16039" i="1"/>
  <c r="F16039" i="1"/>
  <c r="I16038" i="1"/>
  <c r="F16038" i="1"/>
  <c r="I16037" i="1"/>
  <c r="F16037" i="1"/>
  <c r="I16036" i="1"/>
  <c r="F16036" i="1"/>
  <c r="I16035" i="1"/>
  <c r="F16035" i="1"/>
  <c r="I16034" i="1"/>
  <c r="F16034" i="1"/>
  <c r="I16033" i="1"/>
  <c r="F16033" i="1"/>
  <c r="I16032" i="1"/>
  <c r="F16032" i="1"/>
  <c r="I16031" i="1"/>
  <c r="F16031" i="1"/>
  <c r="I16030" i="1"/>
  <c r="F16030" i="1"/>
  <c r="I16029" i="1"/>
  <c r="F16029" i="1"/>
  <c r="I16028" i="1"/>
  <c r="F16028" i="1"/>
  <c r="I16027" i="1"/>
  <c r="F16027" i="1"/>
  <c r="I16026" i="1"/>
  <c r="F16026" i="1"/>
  <c r="I16025" i="1"/>
  <c r="F16025" i="1"/>
  <c r="I16024" i="1"/>
  <c r="F16024" i="1"/>
  <c r="I16023" i="1"/>
  <c r="F16023" i="1"/>
  <c r="I16022" i="1"/>
  <c r="F16022" i="1"/>
  <c r="I16021" i="1"/>
  <c r="F16021" i="1"/>
  <c r="I16020" i="1"/>
  <c r="F16020" i="1"/>
  <c r="I16019" i="1"/>
  <c r="F16019" i="1"/>
  <c r="I16018" i="1"/>
  <c r="F16018" i="1"/>
  <c r="I16017" i="1"/>
  <c r="F16017" i="1"/>
  <c r="I16016" i="1"/>
  <c r="F16016" i="1"/>
  <c r="I16015" i="1"/>
  <c r="F16015" i="1"/>
  <c r="I16014" i="1"/>
  <c r="F16014" i="1"/>
  <c r="I16013" i="1"/>
  <c r="F16013" i="1"/>
  <c r="I16012" i="1"/>
  <c r="F16012" i="1"/>
  <c r="I16011" i="1"/>
  <c r="F16011" i="1"/>
  <c r="I16010" i="1"/>
  <c r="F16010" i="1"/>
  <c r="I16009" i="1"/>
  <c r="F16009" i="1"/>
  <c r="I16008" i="1"/>
  <c r="F16008" i="1"/>
  <c r="I16007" i="1"/>
  <c r="F16007" i="1"/>
  <c r="I16006" i="1"/>
  <c r="F16006" i="1"/>
  <c r="I16005" i="1"/>
  <c r="F16005" i="1"/>
  <c r="I16004" i="1"/>
  <c r="F16004" i="1"/>
  <c r="I16003" i="1"/>
  <c r="F16003" i="1"/>
  <c r="I16002" i="1"/>
  <c r="F16002" i="1"/>
  <c r="I16001" i="1"/>
  <c r="F16001" i="1"/>
  <c r="I16000" i="1"/>
  <c r="F16000" i="1"/>
  <c r="I15999" i="1"/>
  <c r="F15999" i="1"/>
  <c r="I15998" i="1"/>
  <c r="F15998" i="1"/>
  <c r="I15997" i="1"/>
  <c r="F15997" i="1"/>
  <c r="I15996" i="1"/>
  <c r="F15996" i="1"/>
  <c r="I15995" i="1"/>
  <c r="F15995" i="1"/>
  <c r="I15994" i="1"/>
  <c r="F15994" i="1"/>
  <c r="I15993" i="1"/>
  <c r="F15993" i="1"/>
  <c r="I15992" i="1"/>
  <c r="F15992" i="1"/>
  <c r="I15991" i="1"/>
  <c r="F15991" i="1"/>
  <c r="I15990" i="1"/>
  <c r="F15990" i="1"/>
  <c r="I15989" i="1"/>
  <c r="F15989" i="1"/>
  <c r="I15988" i="1"/>
  <c r="F15988" i="1"/>
  <c r="I15987" i="1"/>
  <c r="F15987" i="1"/>
  <c r="I15986" i="1"/>
  <c r="F15986" i="1"/>
  <c r="I15985" i="1"/>
  <c r="F15985" i="1"/>
  <c r="I15984" i="1"/>
  <c r="F15984" i="1"/>
  <c r="I15983" i="1"/>
  <c r="F15983" i="1"/>
  <c r="I15982" i="1"/>
  <c r="F15982" i="1"/>
  <c r="I15981" i="1"/>
  <c r="F15981" i="1"/>
  <c r="I15980" i="1"/>
  <c r="F15980" i="1"/>
  <c r="I15979" i="1"/>
  <c r="F15979" i="1"/>
  <c r="I15978" i="1"/>
  <c r="F15978" i="1"/>
  <c r="I15977" i="1"/>
  <c r="F15977" i="1"/>
  <c r="I15976" i="1"/>
  <c r="F15976" i="1"/>
  <c r="I15975" i="1"/>
  <c r="F15975" i="1"/>
  <c r="I15974" i="1"/>
  <c r="F15974" i="1"/>
  <c r="I15973" i="1"/>
  <c r="F15973" i="1"/>
  <c r="I15972" i="1"/>
  <c r="F15972" i="1"/>
  <c r="I15971" i="1"/>
  <c r="F15971" i="1"/>
  <c r="I15970" i="1"/>
  <c r="F15970" i="1"/>
  <c r="I15969" i="1"/>
  <c r="F15969" i="1"/>
  <c r="I15968" i="1"/>
  <c r="F15968" i="1"/>
  <c r="I15967" i="1"/>
  <c r="F15967" i="1"/>
  <c r="I15966" i="1"/>
  <c r="F15966" i="1"/>
  <c r="I15965" i="1"/>
  <c r="F15965" i="1"/>
  <c r="I15964" i="1"/>
  <c r="F15964" i="1"/>
  <c r="I15963" i="1"/>
  <c r="F15963" i="1"/>
  <c r="I15962" i="1"/>
  <c r="F15962" i="1"/>
  <c r="I15961" i="1"/>
  <c r="F15961" i="1"/>
  <c r="I15960" i="1"/>
  <c r="F15960" i="1"/>
  <c r="I15959" i="1"/>
  <c r="F15959" i="1"/>
  <c r="I15958" i="1"/>
  <c r="F15958" i="1"/>
  <c r="I15957" i="1"/>
  <c r="F15957" i="1"/>
  <c r="I15956" i="1"/>
  <c r="F15956" i="1"/>
  <c r="I15955" i="1"/>
  <c r="F15955" i="1"/>
  <c r="I15954" i="1"/>
  <c r="F15954" i="1"/>
  <c r="I15953" i="1"/>
  <c r="F15953" i="1"/>
  <c r="I15952" i="1"/>
  <c r="F15952" i="1"/>
  <c r="I15951" i="1"/>
  <c r="F15951" i="1"/>
  <c r="I15950" i="1"/>
  <c r="F15950" i="1"/>
  <c r="I15949" i="1"/>
  <c r="F15949" i="1"/>
  <c r="I15948" i="1"/>
  <c r="F15948" i="1"/>
  <c r="I15947" i="1"/>
  <c r="F15947" i="1"/>
  <c r="I15946" i="1"/>
  <c r="F15946" i="1"/>
  <c r="I15945" i="1"/>
  <c r="F15945" i="1"/>
  <c r="I15944" i="1"/>
  <c r="F15944" i="1"/>
  <c r="I15943" i="1"/>
  <c r="F15943" i="1"/>
  <c r="I15942" i="1"/>
  <c r="F15942" i="1"/>
  <c r="I15941" i="1"/>
  <c r="F15941" i="1"/>
  <c r="I15940" i="1"/>
  <c r="F15940" i="1"/>
  <c r="I15939" i="1"/>
  <c r="F15939" i="1"/>
  <c r="I15938" i="1"/>
  <c r="F15938" i="1"/>
  <c r="I15937" i="1"/>
  <c r="F15937" i="1"/>
  <c r="I15936" i="1"/>
  <c r="F15936" i="1"/>
  <c r="I15935" i="1"/>
  <c r="F15935" i="1"/>
  <c r="I15934" i="1"/>
  <c r="F15934" i="1"/>
  <c r="I15933" i="1"/>
  <c r="F15933" i="1"/>
  <c r="I15932" i="1"/>
  <c r="F15932" i="1"/>
  <c r="I15931" i="1"/>
  <c r="F15931" i="1"/>
  <c r="I15930" i="1"/>
  <c r="F15930" i="1"/>
  <c r="I15929" i="1"/>
  <c r="F15929" i="1"/>
  <c r="I15928" i="1"/>
  <c r="F15928" i="1"/>
  <c r="I15927" i="1"/>
  <c r="F15927" i="1"/>
  <c r="I15926" i="1"/>
  <c r="F15926" i="1"/>
  <c r="I15925" i="1"/>
  <c r="F15925" i="1"/>
  <c r="I15924" i="1"/>
  <c r="F15924" i="1"/>
  <c r="I15923" i="1"/>
  <c r="F15923" i="1"/>
  <c r="I15922" i="1"/>
  <c r="F15922" i="1"/>
  <c r="I15921" i="1"/>
  <c r="F15921" i="1"/>
  <c r="I15920" i="1"/>
  <c r="F15920" i="1"/>
  <c r="I15919" i="1"/>
  <c r="F15919" i="1"/>
  <c r="I15918" i="1"/>
  <c r="F15918" i="1"/>
  <c r="I15917" i="1"/>
  <c r="F15917" i="1"/>
  <c r="I15916" i="1"/>
  <c r="F15916" i="1"/>
  <c r="I15915" i="1"/>
  <c r="F15915" i="1"/>
  <c r="I15914" i="1"/>
  <c r="F15914" i="1"/>
  <c r="I15913" i="1"/>
  <c r="F15913" i="1"/>
  <c r="I15912" i="1"/>
  <c r="F15912" i="1"/>
  <c r="I15911" i="1"/>
  <c r="F15911" i="1"/>
  <c r="I15910" i="1"/>
  <c r="F15910" i="1"/>
  <c r="I15909" i="1"/>
  <c r="F15909" i="1"/>
  <c r="I15908" i="1"/>
  <c r="F15908" i="1"/>
  <c r="I15907" i="1"/>
  <c r="F15907" i="1"/>
  <c r="I15906" i="1"/>
  <c r="F15906" i="1"/>
  <c r="I15905" i="1"/>
  <c r="F15905" i="1"/>
  <c r="I15904" i="1"/>
  <c r="F15904" i="1"/>
  <c r="I15903" i="1"/>
  <c r="F15903" i="1"/>
  <c r="I15902" i="1"/>
  <c r="F15902" i="1"/>
  <c r="I15901" i="1"/>
  <c r="F15901" i="1"/>
  <c r="I15900" i="1"/>
  <c r="F15900" i="1"/>
  <c r="I15899" i="1"/>
  <c r="F15899" i="1"/>
  <c r="I15898" i="1"/>
  <c r="F15898" i="1"/>
  <c r="I15897" i="1"/>
  <c r="F15897" i="1"/>
  <c r="I15896" i="1"/>
  <c r="F15896" i="1"/>
  <c r="I15895" i="1"/>
  <c r="F15895" i="1"/>
  <c r="I15894" i="1"/>
  <c r="F15894" i="1"/>
  <c r="I15893" i="1"/>
  <c r="F15893" i="1"/>
  <c r="I15892" i="1"/>
  <c r="F15892" i="1"/>
  <c r="I15891" i="1"/>
  <c r="F15891" i="1"/>
  <c r="I15890" i="1"/>
  <c r="F15890" i="1"/>
  <c r="I15889" i="1"/>
  <c r="F15889" i="1"/>
  <c r="I15888" i="1"/>
  <c r="F15888" i="1"/>
  <c r="I15887" i="1"/>
  <c r="F15887" i="1"/>
  <c r="I15886" i="1"/>
  <c r="F15886" i="1"/>
  <c r="I15885" i="1"/>
  <c r="F15885" i="1"/>
  <c r="I15884" i="1"/>
  <c r="F15884" i="1"/>
  <c r="I15883" i="1"/>
  <c r="F15883" i="1"/>
  <c r="I15882" i="1"/>
  <c r="F15882" i="1"/>
  <c r="I15881" i="1"/>
  <c r="F15881" i="1"/>
  <c r="I15880" i="1"/>
  <c r="F15880" i="1"/>
  <c r="I15879" i="1"/>
  <c r="F15879" i="1"/>
  <c r="I15878" i="1"/>
  <c r="F15878" i="1"/>
  <c r="I15877" i="1"/>
  <c r="F15877" i="1"/>
  <c r="I15876" i="1"/>
  <c r="F15876" i="1"/>
  <c r="I15875" i="1"/>
  <c r="F15875" i="1"/>
  <c r="I15874" i="1"/>
  <c r="F15874" i="1"/>
  <c r="I15873" i="1"/>
  <c r="F15873" i="1"/>
  <c r="I15872" i="1"/>
  <c r="F15872" i="1"/>
  <c r="I15871" i="1"/>
  <c r="F15871" i="1"/>
  <c r="I15870" i="1"/>
  <c r="F15870" i="1"/>
  <c r="I15869" i="1"/>
  <c r="F15869" i="1"/>
  <c r="I15868" i="1"/>
  <c r="F15868" i="1"/>
  <c r="I15867" i="1"/>
  <c r="F15867" i="1"/>
  <c r="I15866" i="1"/>
  <c r="F15866" i="1"/>
  <c r="I15865" i="1"/>
  <c r="F15865" i="1"/>
  <c r="I15864" i="1"/>
  <c r="F15864" i="1"/>
  <c r="I15863" i="1"/>
  <c r="F15863" i="1"/>
  <c r="I15862" i="1"/>
  <c r="F15862" i="1"/>
  <c r="I15861" i="1"/>
  <c r="F15861" i="1"/>
  <c r="I15860" i="1"/>
  <c r="F15860" i="1"/>
  <c r="I15859" i="1"/>
  <c r="F15859" i="1"/>
  <c r="I15858" i="1"/>
  <c r="F15858" i="1"/>
  <c r="I15857" i="1"/>
  <c r="F15857" i="1"/>
  <c r="I15856" i="1"/>
  <c r="F15856" i="1"/>
  <c r="I15855" i="1"/>
  <c r="F15855" i="1"/>
  <c r="I15854" i="1"/>
  <c r="F15854" i="1"/>
  <c r="I15853" i="1"/>
  <c r="F15853" i="1"/>
  <c r="I15852" i="1"/>
  <c r="F15852" i="1"/>
  <c r="I15851" i="1"/>
  <c r="F15851" i="1"/>
  <c r="I15850" i="1"/>
  <c r="F15850" i="1"/>
  <c r="I15849" i="1"/>
  <c r="F15849" i="1"/>
  <c r="I15848" i="1"/>
  <c r="F15848" i="1"/>
  <c r="I15847" i="1"/>
  <c r="F15847" i="1"/>
  <c r="I15846" i="1"/>
  <c r="F15846" i="1"/>
  <c r="I15845" i="1"/>
  <c r="F15845" i="1"/>
  <c r="I15844" i="1"/>
  <c r="F15844" i="1"/>
  <c r="I15843" i="1"/>
  <c r="F15843" i="1"/>
  <c r="I15842" i="1"/>
  <c r="F15842" i="1"/>
  <c r="I15841" i="1"/>
  <c r="F15841" i="1"/>
  <c r="I15840" i="1"/>
  <c r="F15840" i="1"/>
  <c r="I15839" i="1"/>
  <c r="F15839" i="1"/>
  <c r="I15838" i="1"/>
  <c r="F15838" i="1"/>
  <c r="I15837" i="1"/>
  <c r="F15837" i="1"/>
  <c r="I15836" i="1"/>
  <c r="F15836" i="1"/>
  <c r="I15835" i="1"/>
  <c r="F15835" i="1"/>
  <c r="I15834" i="1"/>
  <c r="F15834" i="1"/>
  <c r="I15833" i="1"/>
  <c r="F15833" i="1"/>
  <c r="I15832" i="1"/>
  <c r="F15832" i="1"/>
  <c r="I15831" i="1"/>
  <c r="F15831" i="1"/>
  <c r="I15830" i="1"/>
  <c r="F15830" i="1"/>
  <c r="I15829" i="1"/>
  <c r="F15829" i="1"/>
  <c r="I15828" i="1"/>
  <c r="F15828" i="1"/>
  <c r="I15827" i="1"/>
  <c r="F15827" i="1"/>
  <c r="I15826" i="1"/>
  <c r="F15826" i="1"/>
  <c r="I15825" i="1"/>
  <c r="F15825" i="1"/>
  <c r="I15824" i="1"/>
  <c r="F15824" i="1"/>
  <c r="I15823" i="1"/>
  <c r="F15823" i="1"/>
  <c r="I15822" i="1"/>
  <c r="F15822" i="1"/>
  <c r="I15821" i="1"/>
  <c r="F15821" i="1"/>
  <c r="I15820" i="1"/>
  <c r="F15820" i="1"/>
  <c r="I15819" i="1"/>
  <c r="F15819" i="1"/>
  <c r="I15818" i="1"/>
  <c r="F15818" i="1"/>
  <c r="I15817" i="1"/>
  <c r="F15817" i="1"/>
  <c r="I15816" i="1"/>
  <c r="F15816" i="1"/>
  <c r="I15815" i="1"/>
  <c r="F15815" i="1"/>
  <c r="I15814" i="1"/>
  <c r="F15814" i="1"/>
  <c r="I15813" i="1"/>
  <c r="F15813" i="1"/>
  <c r="I15812" i="1"/>
  <c r="F15812" i="1"/>
  <c r="I15811" i="1"/>
  <c r="F15811" i="1"/>
  <c r="I15810" i="1"/>
  <c r="F15810" i="1"/>
  <c r="I15809" i="1"/>
  <c r="F15809" i="1"/>
  <c r="I15808" i="1"/>
  <c r="F15808" i="1"/>
  <c r="I15807" i="1"/>
  <c r="F15807" i="1"/>
  <c r="I15806" i="1"/>
  <c r="F15806" i="1"/>
  <c r="I15805" i="1"/>
  <c r="F15805" i="1"/>
  <c r="I15804" i="1"/>
  <c r="F15804" i="1"/>
  <c r="I15803" i="1"/>
  <c r="F15803" i="1"/>
  <c r="I15802" i="1"/>
  <c r="F15802" i="1"/>
  <c r="I15801" i="1"/>
  <c r="F15801" i="1"/>
  <c r="I15800" i="1"/>
  <c r="F15800" i="1"/>
  <c r="I15799" i="1"/>
  <c r="F15799" i="1"/>
  <c r="I15798" i="1"/>
  <c r="F15798" i="1"/>
  <c r="I15797" i="1"/>
  <c r="F15797" i="1"/>
  <c r="I15796" i="1"/>
  <c r="F15796" i="1"/>
  <c r="I15795" i="1"/>
  <c r="F15795" i="1"/>
  <c r="I15794" i="1"/>
  <c r="F15794" i="1"/>
  <c r="I15793" i="1"/>
  <c r="F15793" i="1"/>
  <c r="I15792" i="1"/>
  <c r="F15792" i="1"/>
  <c r="I15791" i="1"/>
  <c r="F15791" i="1"/>
  <c r="I15790" i="1"/>
  <c r="F15790" i="1"/>
  <c r="I15789" i="1"/>
  <c r="F15789" i="1"/>
  <c r="I15788" i="1"/>
  <c r="F15788" i="1"/>
  <c r="I15787" i="1"/>
  <c r="F15787" i="1"/>
  <c r="I15786" i="1"/>
  <c r="F15786" i="1"/>
  <c r="I15785" i="1"/>
  <c r="F15785" i="1"/>
  <c r="I15784" i="1"/>
  <c r="F15784" i="1"/>
  <c r="I15783" i="1"/>
  <c r="F15783" i="1"/>
  <c r="I15782" i="1"/>
  <c r="F15782" i="1"/>
  <c r="I15781" i="1"/>
  <c r="F15781" i="1"/>
  <c r="I15780" i="1"/>
  <c r="F15780" i="1"/>
  <c r="I15779" i="1"/>
  <c r="F15779" i="1"/>
  <c r="I15778" i="1"/>
  <c r="F15778" i="1"/>
  <c r="I15777" i="1"/>
  <c r="F15777" i="1"/>
  <c r="I15776" i="1"/>
  <c r="F15776" i="1"/>
  <c r="I15775" i="1"/>
  <c r="F15775" i="1"/>
  <c r="I15774" i="1"/>
  <c r="F15774" i="1"/>
  <c r="I15773" i="1"/>
  <c r="F15773" i="1"/>
  <c r="I15772" i="1"/>
  <c r="F15772" i="1"/>
  <c r="I15771" i="1"/>
  <c r="F15771" i="1"/>
  <c r="I15770" i="1"/>
  <c r="F15770" i="1"/>
  <c r="I15769" i="1"/>
  <c r="F15769" i="1"/>
  <c r="I15768" i="1"/>
  <c r="F15768" i="1"/>
  <c r="I15767" i="1"/>
  <c r="F15767" i="1"/>
  <c r="I15766" i="1"/>
  <c r="F15766" i="1"/>
  <c r="I15765" i="1"/>
  <c r="F15765" i="1"/>
  <c r="I15764" i="1"/>
  <c r="F15764" i="1"/>
  <c r="I15763" i="1"/>
  <c r="F15763" i="1"/>
  <c r="I15762" i="1"/>
  <c r="F15762" i="1"/>
  <c r="I15761" i="1"/>
  <c r="F15761" i="1"/>
  <c r="I15760" i="1"/>
  <c r="F15760" i="1"/>
  <c r="I15759" i="1"/>
  <c r="F15759" i="1"/>
  <c r="I15758" i="1"/>
  <c r="F15758" i="1"/>
  <c r="I15757" i="1"/>
  <c r="F15757" i="1"/>
  <c r="I15756" i="1"/>
  <c r="F15756" i="1"/>
  <c r="I15755" i="1"/>
  <c r="F15755" i="1"/>
  <c r="I15754" i="1"/>
  <c r="F15754" i="1"/>
  <c r="I15753" i="1"/>
  <c r="F15753" i="1"/>
  <c r="I15752" i="1"/>
  <c r="F15752" i="1"/>
  <c r="I15751" i="1"/>
  <c r="F15751" i="1"/>
  <c r="I15750" i="1"/>
  <c r="F15750" i="1"/>
  <c r="I15749" i="1"/>
  <c r="F15749" i="1"/>
  <c r="I15748" i="1"/>
  <c r="F15748" i="1"/>
  <c r="I15747" i="1"/>
  <c r="F15747" i="1"/>
  <c r="I15746" i="1"/>
  <c r="F15746" i="1"/>
  <c r="I15745" i="1"/>
  <c r="F15745" i="1"/>
  <c r="I15744" i="1"/>
  <c r="F15744" i="1"/>
  <c r="I15743" i="1"/>
  <c r="F15743" i="1"/>
  <c r="I15742" i="1"/>
  <c r="F15742" i="1"/>
  <c r="I15741" i="1"/>
  <c r="F15741" i="1"/>
  <c r="I15740" i="1"/>
  <c r="F15740" i="1"/>
  <c r="I15739" i="1"/>
  <c r="F15739" i="1"/>
  <c r="I15738" i="1"/>
  <c r="F15738" i="1"/>
  <c r="I15737" i="1"/>
  <c r="F15737" i="1"/>
  <c r="I15736" i="1"/>
  <c r="F15736" i="1"/>
  <c r="I15735" i="1"/>
  <c r="F15735" i="1"/>
  <c r="I15734" i="1"/>
  <c r="F15734" i="1"/>
  <c r="I15733" i="1"/>
  <c r="F15733" i="1"/>
  <c r="I15732" i="1"/>
  <c r="F15732" i="1"/>
  <c r="I15731" i="1"/>
  <c r="F15731" i="1"/>
  <c r="I15730" i="1"/>
  <c r="F15730" i="1"/>
  <c r="I15729" i="1"/>
  <c r="F15729" i="1"/>
  <c r="I15728" i="1"/>
  <c r="F15728" i="1"/>
  <c r="I15727" i="1"/>
  <c r="F15727" i="1"/>
  <c r="I15726" i="1"/>
  <c r="F15726" i="1"/>
  <c r="I15725" i="1"/>
  <c r="F15725" i="1"/>
  <c r="I15724" i="1"/>
  <c r="F15724" i="1"/>
  <c r="I15723" i="1"/>
  <c r="F15723" i="1"/>
  <c r="I15722" i="1"/>
  <c r="F15722" i="1"/>
  <c r="I15721" i="1"/>
  <c r="F15721" i="1"/>
  <c r="I15720" i="1"/>
  <c r="F15720" i="1"/>
  <c r="I15719" i="1"/>
  <c r="F15719" i="1"/>
  <c r="I15718" i="1"/>
  <c r="F15718" i="1"/>
  <c r="I15717" i="1"/>
  <c r="F15717" i="1"/>
  <c r="I15716" i="1"/>
  <c r="F15716" i="1"/>
  <c r="I15715" i="1"/>
  <c r="F15715" i="1"/>
  <c r="I15714" i="1"/>
  <c r="F15714" i="1"/>
  <c r="I15713" i="1"/>
  <c r="F15713" i="1"/>
  <c r="I15712" i="1"/>
  <c r="F15712" i="1"/>
  <c r="I15711" i="1"/>
  <c r="F15711" i="1"/>
  <c r="I15710" i="1"/>
  <c r="F15710" i="1"/>
  <c r="I15709" i="1"/>
  <c r="F15709" i="1"/>
  <c r="I15708" i="1"/>
  <c r="F15708" i="1"/>
  <c r="I15707" i="1"/>
  <c r="F15707" i="1"/>
  <c r="I15706" i="1"/>
  <c r="F15706" i="1"/>
  <c r="I15705" i="1"/>
  <c r="F15705" i="1"/>
  <c r="I15704" i="1"/>
  <c r="F15704" i="1"/>
  <c r="I15703" i="1"/>
  <c r="F15703" i="1"/>
  <c r="I15702" i="1"/>
  <c r="F15702" i="1"/>
  <c r="I15701" i="1"/>
  <c r="F15701" i="1"/>
  <c r="I15700" i="1"/>
  <c r="F15700" i="1"/>
  <c r="I15699" i="1"/>
  <c r="F15699" i="1"/>
  <c r="I15698" i="1"/>
  <c r="F15698" i="1"/>
  <c r="I15697" i="1"/>
  <c r="F15697" i="1"/>
  <c r="I15696" i="1"/>
  <c r="F15696" i="1"/>
  <c r="I15695" i="1"/>
  <c r="F15695" i="1"/>
  <c r="I15694" i="1"/>
  <c r="F15694" i="1"/>
  <c r="I15693" i="1"/>
  <c r="F15693" i="1"/>
  <c r="I15692" i="1"/>
  <c r="F15692" i="1"/>
  <c r="I15691" i="1"/>
  <c r="F15691" i="1"/>
  <c r="I15690" i="1"/>
  <c r="F15690" i="1"/>
  <c r="I15689" i="1"/>
  <c r="F15689" i="1"/>
  <c r="I15688" i="1"/>
  <c r="F15688" i="1"/>
  <c r="I15687" i="1"/>
  <c r="F15687" i="1"/>
  <c r="I15686" i="1"/>
  <c r="F15686" i="1"/>
  <c r="I15685" i="1"/>
  <c r="F15685" i="1"/>
  <c r="I15684" i="1"/>
  <c r="F15684" i="1"/>
  <c r="I15683" i="1"/>
  <c r="F15683" i="1"/>
  <c r="I15682" i="1"/>
  <c r="F15682" i="1"/>
  <c r="I15681" i="1"/>
  <c r="F15681" i="1"/>
  <c r="I15680" i="1"/>
  <c r="F15680" i="1"/>
  <c r="I15679" i="1"/>
  <c r="F15679" i="1"/>
  <c r="I15678" i="1"/>
  <c r="F15678" i="1"/>
  <c r="I15677" i="1"/>
  <c r="F15677" i="1"/>
  <c r="I15676" i="1"/>
  <c r="F15676" i="1"/>
  <c r="I15675" i="1"/>
  <c r="F15675" i="1"/>
  <c r="I15674" i="1"/>
  <c r="F15674" i="1"/>
  <c r="I15673" i="1"/>
  <c r="F15673" i="1"/>
  <c r="I15672" i="1"/>
  <c r="F15672" i="1"/>
  <c r="I15671" i="1"/>
  <c r="F15671" i="1"/>
  <c r="I15670" i="1"/>
  <c r="F15670" i="1"/>
  <c r="I15669" i="1"/>
  <c r="F15669" i="1"/>
  <c r="I15668" i="1"/>
  <c r="F15668" i="1"/>
  <c r="I15667" i="1"/>
  <c r="F15667" i="1"/>
  <c r="I15666" i="1"/>
  <c r="F15666" i="1"/>
  <c r="I15665" i="1"/>
  <c r="F15665" i="1"/>
  <c r="I15664" i="1"/>
  <c r="F15664" i="1"/>
  <c r="I15663" i="1"/>
  <c r="F15663" i="1"/>
  <c r="I15662" i="1"/>
  <c r="F15662" i="1"/>
  <c r="I15661" i="1"/>
  <c r="F15661" i="1"/>
  <c r="I15660" i="1"/>
  <c r="F15660" i="1"/>
  <c r="I15659" i="1"/>
  <c r="F15659" i="1"/>
  <c r="I15658" i="1"/>
  <c r="F15658" i="1"/>
  <c r="I15657" i="1"/>
  <c r="F15657" i="1"/>
  <c r="I15656" i="1"/>
  <c r="F15656" i="1"/>
  <c r="I15655" i="1"/>
  <c r="F15655" i="1"/>
  <c r="I15654" i="1"/>
  <c r="F15654" i="1"/>
  <c r="I15653" i="1"/>
  <c r="F15653" i="1"/>
  <c r="I15652" i="1"/>
  <c r="F15652" i="1"/>
  <c r="I15651" i="1"/>
  <c r="F15651" i="1"/>
  <c r="I15650" i="1"/>
  <c r="F15650" i="1"/>
  <c r="I15649" i="1"/>
  <c r="F15649" i="1"/>
  <c r="I15648" i="1"/>
  <c r="F15648" i="1"/>
  <c r="I15647" i="1"/>
  <c r="F15647" i="1"/>
  <c r="I15646" i="1"/>
  <c r="F15646" i="1"/>
  <c r="I15645" i="1"/>
  <c r="F15645" i="1"/>
  <c r="I15644" i="1"/>
  <c r="F15644" i="1"/>
  <c r="I15643" i="1"/>
  <c r="F15643" i="1"/>
  <c r="I15642" i="1"/>
  <c r="F15642" i="1"/>
  <c r="I15641" i="1"/>
  <c r="F15641" i="1"/>
  <c r="I15640" i="1"/>
  <c r="F15640" i="1"/>
  <c r="I15639" i="1"/>
  <c r="F15639" i="1"/>
  <c r="I15638" i="1"/>
  <c r="F15638" i="1"/>
  <c r="I15637" i="1"/>
  <c r="F15637" i="1"/>
  <c r="I15636" i="1"/>
  <c r="F15636" i="1"/>
  <c r="I15635" i="1"/>
  <c r="F15635" i="1"/>
  <c r="I15634" i="1"/>
  <c r="F15634" i="1"/>
  <c r="I15633" i="1"/>
  <c r="F15633" i="1"/>
  <c r="I15632" i="1"/>
  <c r="F15632" i="1"/>
  <c r="I15631" i="1"/>
  <c r="F15631" i="1"/>
  <c r="I15630" i="1"/>
  <c r="F15630" i="1"/>
  <c r="I15629" i="1"/>
  <c r="F15629" i="1"/>
  <c r="I15628" i="1"/>
  <c r="F15628" i="1"/>
  <c r="I15627" i="1"/>
  <c r="F15627" i="1"/>
  <c r="I15626" i="1"/>
  <c r="F15626" i="1"/>
  <c r="I15625" i="1"/>
  <c r="F15625" i="1"/>
  <c r="I15624" i="1"/>
  <c r="F15624" i="1"/>
  <c r="I15623" i="1"/>
  <c r="F15623" i="1"/>
  <c r="I15622" i="1"/>
  <c r="F15622" i="1"/>
  <c r="I15621" i="1"/>
  <c r="F15621" i="1"/>
  <c r="I15620" i="1"/>
  <c r="F15620" i="1"/>
  <c r="I15619" i="1"/>
  <c r="F15619" i="1"/>
  <c r="I15618" i="1"/>
  <c r="F15618" i="1"/>
  <c r="I15617" i="1"/>
  <c r="F15617" i="1"/>
  <c r="I15616" i="1"/>
  <c r="F15616" i="1"/>
  <c r="I15615" i="1"/>
  <c r="F15615" i="1"/>
  <c r="I15614" i="1"/>
  <c r="F15614" i="1"/>
  <c r="I15613" i="1"/>
  <c r="F15613" i="1"/>
  <c r="I15612" i="1"/>
  <c r="F15612" i="1"/>
  <c r="I15611" i="1"/>
  <c r="F15611" i="1"/>
  <c r="I15610" i="1"/>
  <c r="F15610" i="1"/>
  <c r="I15609" i="1"/>
  <c r="F15609" i="1"/>
  <c r="I15608" i="1"/>
  <c r="F15608" i="1"/>
  <c r="I15607" i="1"/>
  <c r="F15607" i="1"/>
  <c r="I15606" i="1"/>
  <c r="F15606" i="1"/>
  <c r="I15605" i="1"/>
  <c r="F15605" i="1"/>
  <c r="I15604" i="1"/>
  <c r="F15604" i="1"/>
  <c r="I15603" i="1"/>
  <c r="F15603" i="1"/>
  <c r="I15602" i="1"/>
  <c r="F15602" i="1"/>
  <c r="I15601" i="1"/>
  <c r="F15601" i="1"/>
  <c r="I15600" i="1"/>
  <c r="F15600" i="1"/>
  <c r="I15599" i="1"/>
  <c r="F15599" i="1"/>
  <c r="I15598" i="1"/>
  <c r="F15598" i="1"/>
  <c r="I15597" i="1"/>
  <c r="F15597" i="1"/>
  <c r="I15596" i="1"/>
  <c r="F15596" i="1"/>
  <c r="I15595" i="1"/>
  <c r="F15595" i="1"/>
  <c r="I15594" i="1"/>
  <c r="F15594" i="1"/>
  <c r="I15593" i="1"/>
  <c r="F15593" i="1"/>
  <c r="I15592" i="1"/>
  <c r="F15592" i="1"/>
  <c r="I15591" i="1"/>
  <c r="F15591" i="1"/>
  <c r="I15590" i="1"/>
  <c r="F15590" i="1"/>
  <c r="I15589" i="1"/>
  <c r="F15589" i="1"/>
  <c r="I15588" i="1"/>
  <c r="F15588" i="1"/>
  <c r="I15587" i="1"/>
  <c r="F15587" i="1"/>
  <c r="I15586" i="1"/>
  <c r="F15586" i="1"/>
  <c r="I15585" i="1"/>
  <c r="F15585" i="1"/>
  <c r="I15584" i="1"/>
  <c r="F15584" i="1"/>
  <c r="I15583" i="1"/>
  <c r="F15583" i="1"/>
  <c r="I15582" i="1"/>
  <c r="F15582" i="1"/>
  <c r="I15581" i="1"/>
  <c r="F15581" i="1"/>
  <c r="I15580" i="1"/>
  <c r="F15580" i="1"/>
  <c r="I15579" i="1"/>
  <c r="F15579" i="1"/>
  <c r="I15578" i="1"/>
  <c r="F15578" i="1"/>
  <c r="I15577" i="1"/>
  <c r="F15577" i="1"/>
  <c r="I15576" i="1"/>
  <c r="F15576" i="1"/>
  <c r="I15575" i="1"/>
  <c r="F15575" i="1"/>
  <c r="I15574" i="1"/>
  <c r="F15574" i="1"/>
  <c r="I15573" i="1"/>
  <c r="F15573" i="1"/>
  <c r="I15572" i="1"/>
  <c r="F15572" i="1"/>
  <c r="I15571" i="1"/>
  <c r="F15571" i="1"/>
  <c r="I15570" i="1"/>
  <c r="F15570" i="1"/>
  <c r="I15569" i="1"/>
  <c r="F15569" i="1"/>
  <c r="I15568" i="1"/>
  <c r="F15568" i="1"/>
  <c r="I15567" i="1"/>
  <c r="F15567" i="1"/>
  <c r="I15566" i="1"/>
  <c r="F15566" i="1"/>
  <c r="I15565" i="1"/>
  <c r="F15565" i="1"/>
  <c r="I15564" i="1"/>
  <c r="F15564" i="1"/>
  <c r="I15563" i="1"/>
  <c r="F15563" i="1"/>
  <c r="I15562" i="1"/>
  <c r="F15562" i="1"/>
  <c r="I15561" i="1"/>
  <c r="F15561" i="1"/>
  <c r="I15560" i="1"/>
  <c r="F15560" i="1"/>
  <c r="I15559" i="1"/>
  <c r="F15559" i="1"/>
  <c r="I15558" i="1"/>
  <c r="F15558" i="1"/>
  <c r="I15557" i="1"/>
  <c r="F15557" i="1"/>
  <c r="I15556" i="1"/>
  <c r="F15556" i="1"/>
  <c r="I15555" i="1"/>
  <c r="F15555" i="1"/>
  <c r="I15554" i="1"/>
  <c r="F15554" i="1"/>
  <c r="I15553" i="1"/>
  <c r="F15553" i="1"/>
  <c r="I15552" i="1"/>
  <c r="F15552" i="1"/>
  <c r="I15551" i="1"/>
  <c r="F15551" i="1"/>
  <c r="I15550" i="1"/>
  <c r="F15550" i="1"/>
  <c r="I15549" i="1"/>
  <c r="F15549" i="1"/>
  <c r="I15548" i="1"/>
  <c r="F15548" i="1"/>
  <c r="I15547" i="1"/>
  <c r="F15547" i="1"/>
  <c r="I15546" i="1"/>
  <c r="F15546" i="1"/>
  <c r="I15545" i="1"/>
  <c r="F15545" i="1"/>
  <c r="I15544" i="1"/>
  <c r="F15544" i="1"/>
  <c r="I15543" i="1"/>
  <c r="F15543" i="1"/>
  <c r="I15542" i="1"/>
  <c r="F15542" i="1"/>
  <c r="I15541" i="1"/>
  <c r="F15541" i="1"/>
  <c r="I15540" i="1"/>
  <c r="F15540" i="1"/>
  <c r="I15539" i="1"/>
  <c r="F15539" i="1"/>
  <c r="I15538" i="1"/>
  <c r="F15538" i="1"/>
  <c r="I15537" i="1"/>
  <c r="F15537" i="1"/>
  <c r="I15536" i="1"/>
  <c r="F15536" i="1"/>
  <c r="I15535" i="1"/>
  <c r="F15535" i="1"/>
  <c r="I15534" i="1"/>
  <c r="F15534" i="1"/>
  <c r="I15533" i="1"/>
  <c r="F15533" i="1"/>
  <c r="I15532" i="1"/>
  <c r="F15532" i="1"/>
  <c r="I15531" i="1"/>
  <c r="F15531" i="1"/>
  <c r="I15530" i="1"/>
  <c r="F15530" i="1"/>
  <c r="I15529" i="1"/>
  <c r="F15529" i="1"/>
  <c r="I15528" i="1"/>
  <c r="F15528" i="1"/>
  <c r="I15527" i="1"/>
  <c r="F15527" i="1"/>
  <c r="I15526" i="1"/>
  <c r="F15526" i="1"/>
  <c r="I15525" i="1"/>
  <c r="F15525" i="1"/>
  <c r="I15524" i="1"/>
  <c r="F15524" i="1"/>
  <c r="I15523" i="1"/>
  <c r="F15523" i="1"/>
  <c r="I15522" i="1"/>
  <c r="F15522" i="1"/>
  <c r="I15521" i="1"/>
  <c r="F15521" i="1"/>
  <c r="I15520" i="1"/>
  <c r="F15520" i="1"/>
  <c r="I15519" i="1"/>
  <c r="F15519" i="1"/>
  <c r="I15518" i="1"/>
  <c r="F15518" i="1"/>
  <c r="I15517" i="1"/>
  <c r="F15517" i="1"/>
  <c r="I15516" i="1"/>
  <c r="F15516" i="1"/>
  <c r="I15515" i="1"/>
  <c r="F15515" i="1"/>
  <c r="I15514" i="1"/>
  <c r="F15514" i="1"/>
  <c r="I15513" i="1"/>
  <c r="F15513" i="1"/>
  <c r="I15512" i="1"/>
  <c r="F15512" i="1"/>
  <c r="I15511" i="1"/>
  <c r="F15511" i="1"/>
  <c r="I15510" i="1"/>
  <c r="F15510" i="1"/>
  <c r="I15509" i="1"/>
  <c r="F15509" i="1"/>
  <c r="I15508" i="1"/>
  <c r="F15508" i="1"/>
  <c r="I15507" i="1"/>
  <c r="F15507" i="1"/>
  <c r="I15506" i="1"/>
  <c r="F15506" i="1"/>
  <c r="I15505" i="1"/>
  <c r="F15505" i="1"/>
  <c r="I15504" i="1"/>
  <c r="F15504" i="1"/>
  <c r="I15503" i="1"/>
  <c r="F15503" i="1"/>
  <c r="I15502" i="1"/>
  <c r="F15502" i="1"/>
  <c r="I15501" i="1"/>
  <c r="F15501" i="1"/>
  <c r="I15500" i="1"/>
  <c r="F15500" i="1"/>
  <c r="I15499" i="1"/>
  <c r="F15499" i="1"/>
  <c r="I15498" i="1"/>
  <c r="F15498" i="1"/>
  <c r="I15497" i="1"/>
  <c r="F15497" i="1"/>
  <c r="I15496" i="1"/>
  <c r="F15496" i="1"/>
  <c r="I15495" i="1"/>
  <c r="F15495" i="1"/>
  <c r="I15494" i="1"/>
  <c r="F15494" i="1"/>
  <c r="I15493" i="1"/>
  <c r="F15493" i="1"/>
  <c r="I15492" i="1"/>
  <c r="F15492" i="1"/>
  <c r="I15491" i="1"/>
  <c r="F15491" i="1"/>
  <c r="I15490" i="1"/>
  <c r="F15490" i="1"/>
  <c r="I15489" i="1"/>
  <c r="F15489" i="1"/>
  <c r="I15488" i="1"/>
  <c r="F15488" i="1"/>
  <c r="I15487" i="1"/>
  <c r="F15487" i="1"/>
  <c r="I15486" i="1"/>
  <c r="F15486" i="1"/>
  <c r="I15485" i="1"/>
  <c r="F15485" i="1"/>
  <c r="I15484" i="1"/>
  <c r="F15484" i="1"/>
  <c r="I15483" i="1"/>
  <c r="F15483" i="1"/>
  <c r="I15482" i="1"/>
  <c r="F15482" i="1"/>
  <c r="I15481" i="1"/>
  <c r="F15481" i="1"/>
  <c r="I15480" i="1"/>
  <c r="F15480" i="1"/>
  <c r="I15479" i="1"/>
  <c r="F15479" i="1"/>
  <c r="I15478" i="1"/>
  <c r="F15478" i="1"/>
  <c r="I15477" i="1"/>
  <c r="F15477" i="1"/>
  <c r="I15476" i="1"/>
  <c r="F15476" i="1"/>
  <c r="I15475" i="1"/>
  <c r="F15475" i="1"/>
  <c r="I15474" i="1"/>
  <c r="F15474" i="1"/>
  <c r="I15473" i="1"/>
  <c r="F15473" i="1"/>
  <c r="I15472" i="1"/>
  <c r="F15472" i="1"/>
  <c r="I15471" i="1"/>
  <c r="F15471" i="1"/>
  <c r="I15470" i="1"/>
  <c r="F15470" i="1"/>
  <c r="I15469" i="1"/>
  <c r="F15469" i="1"/>
  <c r="I15468" i="1"/>
  <c r="F15468" i="1"/>
  <c r="I15467" i="1"/>
  <c r="F15467" i="1"/>
  <c r="I15466" i="1"/>
  <c r="F15466" i="1"/>
  <c r="I15465" i="1"/>
  <c r="F15465" i="1"/>
  <c r="I15464" i="1"/>
  <c r="F15464" i="1"/>
  <c r="I15463" i="1"/>
  <c r="F15463" i="1"/>
  <c r="I15462" i="1"/>
  <c r="F15462" i="1"/>
  <c r="I15461" i="1"/>
  <c r="F15461" i="1"/>
  <c r="I15460" i="1"/>
  <c r="F15460" i="1"/>
  <c r="I15459" i="1"/>
  <c r="F15459" i="1"/>
  <c r="I15458" i="1"/>
  <c r="F15458" i="1"/>
  <c r="I15457" i="1"/>
  <c r="F15457" i="1"/>
  <c r="I15456" i="1"/>
  <c r="F15456" i="1"/>
  <c r="I15455" i="1"/>
  <c r="F15455" i="1"/>
  <c r="I15454" i="1"/>
  <c r="F15454" i="1"/>
  <c r="I15453" i="1"/>
  <c r="F15453" i="1"/>
  <c r="I15452" i="1"/>
  <c r="F15452" i="1"/>
  <c r="I15451" i="1"/>
  <c r="F15451" i="1"/>
  <c r="I15450" i="1"/>
  <c r="F15450" i="1"/>
  <c r="I15449" i="1"/>
  <c r="F15449" i="1"/>
  <c r="I15448" i="1"/>
  <c r="F15448" i="1"/>
  <c r="I15447" i="1"/>
  <c r="F15447" i="1"/>
  <c r="I15446" i="1"/>
  <c r="F15446" i="1"/>
  <c r="I15445" i="1"/>
  <c r="F15445" i="1"/>
  <c r="I15444" i="1"/>
  <c r="F15444" i="1"/>
  <c r="I15443" i="1"/>
  <c r="F15443" i="1"/>
  <c r="I15442" i="1"/>
  <c r="F15442" i="1"/>
  <c r="I15441" i="1"/>
  <c r="F15441" i="1"/>
  <c r="I15440" i="1"/>
  <c r="F15440" i="1"/>
  <c r="I15439" i="1"/>
  <c r="F15439" i="1"/>
  <c r="I15438" i="1"/>
  <c r="F15438" i="1"/>
  <c r="I15437" i="1"/>
  <c r="F15437" i="1"/>
  <c r="I15436" i="1"/>
  <c r="F15436" i="1"/>
  <c r="I15435" i="1"/>
  <c r="F15435" i="1"/>
  <c r="I15434" i="1"/>
  <c r="F15434" i="1"/>
  <c r="I15433" i="1"/>
  <c r="F15433" i="1"/>
  <c r="I15432" i="1"/>
  <c r="F15432" i="1"/>
  <c r="I15431" i="1"/>
  <c r="F15431" i="1"/>
  <c r="I15430" i="1"/>
  <c r="F15430" i="1"/>
  <c r="I15429" i="1"/>
  <c r="F15429" i="1"/>
  <c r="I15428" i="1"/>
  <c r="F15428" i="1"/>
  <c r="I15427" i="1"/>
  <c r="F15427" i="1"/>
  <c r="I15426" i="1"/>
  <c r="F15426" i="1"/>
  <c r="I15425" i="1"/>
  <c r="F15425" i="1"/>
  <c r="I15424" i="1"/>
  <c r="F15424" i="1"/>
  <c r="I15423" i="1"/>
  <c r="F15423" i="1"/>
  <c r="I15422" i="1"/>
  <c r="F15422" i="1"/>
  <c r="I15421" i="1"/>
  <c r="F15421" i="1"/>
  <c r="I15420" i="1"/>
  <c r="F15420" i="1"/>
  <c r="I15419" i="1"/>
  <c r="F15419" i="1"/>
  <c r="I15418" i="1"/>
  <c r="F15418" i="1"/>
  <c r="I15417" i="1"/>
  <c r="F15417" i="1"/>
  <c r="I15416" i="1"/>
  <c r="F15416" i="1"/>
  <c r="I15415" i="1"/>
  <c r="F15415" i="1"/>
  <c r="I15414" i="1"/>
  <c r="F15414" i="1"/>
  <c r="I15413" i="1"/>
  <c r="F15413" i="1"/>
  <c r="I15412" i="1"/>
  <c r="F15412" i="1"/>
  <c r="I15411" i="1"/>
  <c r="F15411" i="1"/>
  <c r="I15410" i="1"/>
  <c r="F15410" i="1"/>
  <c r="I15409" i="1"/>
  <c r="F15409" i="1"/>
  <c r="I15408" i="1"/>
  <c r="F15408" i="1"/>
  <c r="I15407" i="1"/>
  <c r="F15407" i="1"/>
  <c r="I15406" i="1"/>
  <c r="F15406" i="1"/>
  <c r="I15405" i="1"/>
  <c r="F15405" i="1"/>
  <c r="I15404" i="1"/>
  <c r="F15404" i="1"/>
  <c r="I15403" i="1"/>
  <c r="F15403" i="1"/>
  <c r="I15402" i="1"/>
  <c r="F15402" i="1"/>
  <c r="I15401" i="1"/>
  <c r="F15401" i="1"/>
  <c r="I15400" i="1"/>
  <c r="F15400" i="1"/>
  <c r="I15399" i="1"/>
  <c r="F15399" i="1"/>
  <c r="I15398" i="1"/>
  <c r="F15398" i="1"/>
  <c r="I15397" i="1"/>
  <c r="F15397" i="1"/>
  <c r="I15396" i="1"/>
  <c r="F15396" i="1"/>
  <c r="I15395" i="1"/>
  <c r="F15395" i="1"/>
  <c r="I15394" i="1"/>
  <c r="F15394" i="1"/>
  <c r="I15393" i="1"/>
  <c r="F15393" i="1"/>
  <c r="I15392" i="1"/>
  <c r="F15392" i="1"/>
  <c r="I15391" i="1"/>
  <c r="F15391" i="1"/>
  <c r="I15390" i="1"/>
  <c r="F15390" i="1"/>
  <c r="I15389" i="1"/>
  <c r="F15389" i="1"/>
  <c r="I15388" i="1"/>
  <c r="F15388" i="1"/>
  <c r="I15387" i="1"/>
  <c r="F15387" i="1"/>
  <c r="I15386" i="1"/>
  <c r="F15386" i="1"/>
  <c r="I15385" i="1"/>
  <c r="F15385" i="1"/>
  <c r="I15384" i="1"/>
  <c r="F15384" i="1"/>
  <c r="I15383" i="1"/>
  <c r="F15383" i="1"/>
  <c r="I15382" i="1"/>
  <c r="F15382" i="1"/>
  <c r="I15381" i="1"/>
  <c r="F15381" i="1"/>
  <c r="I15380" i="1"/>
  <c r="F15380" i="1"/>
  <c r="I15379" i="1"/>
  <c r="F15379" i="1"/>
  <c r="I15378" i="1"/>
  <c r="F15378" i="1"/>
  <c r="I15377" i="1"/>
  <c r="F15377" i="1"/>
  <c r="I15376" i="1"/>
  <c r="F15376" i="1"/>
  <c r="I15375" i="1"/>
  <c r="F15375" i="1"/>
  <c r="I15374" i="1"/>
  <c r="F15374" i="1"/>
  <c r="I15373" i="1"/>
  <c r="F15373" i="1"/>
  <c r="I15372" i="1"/>
  <c r="F15372" i="1"/>
  <c r="I15371" i="1"/>
  <c r="F15371" i="1"/>
  <c r="I15370" i="1"/>
  <c r="F15370" i="1"/>
  <c r="I15369" i="1"/>
  <c r="F15369" i="1"/>
  <c r="I15368" i="1"/>
  <c r="F15368" i="1"/>
  <c r="I15367" i="1"/>
  <c r="F15367" i="1"/>
  <c r="I15366" i="1"/>
  <c r="F15366" i="1"/>
  <c r="I15365" i="1"/>
  <c r="F15365" i="1"/>
  <c r="I15364" i="1"/>
  <c r="F15364" i="1"/>
  <c r="I15363" i="1"/>
  <c r="F15363" i="1"/>
  <c r="I15362" i="1"/>
  <c r="F15362" i="1"/>
  <c r="I15361" i="1"/>
  <c r="F15361" i="1"/>
  <c r="I15360" i="1"/>
  <c r="F15360" i="1"/>
  <c r="I15359" i="1"/>
  <c r="F15359" i="1"/>
  <c r="I15358" i="1"/>
  <c r="F15358" i="1"/>
  <c r="I15357" i="1"/>
  <c r="F15357" i="1"/>
  <c r="I15356" i="1"/>
  <c r="F15356" i="1"/>
  <c r="I15355" i="1"/>
  <c r="F15355" i="1"/>
  <c r="I15354" i="1"/>
  <c r="F15354" i="1"/>
  <c r="I15353" i="1"/>
  <c r="F15353" i="1"/>
  <c r="I15352" i="1"/>
  <c r="F15352" i="1"/>
  <c r="I15351" i="1"/>
  <c r="F15351" i="1"/>
  <c r="I15350" i="1"/>
  <c r="F15350" i="1"/>
  <c r="I15349" i="1"/>
  <c r="F15349" i="1"/>
  <c r="I15348" i="1"/>
  <c r="F15348" i="1"/>
  <c r="I15347" i="1"/>
  <c r="F15347" i="1"/>
  <c r="I15346" i="1"/>
  <c r="F15346" i="1"/>
  <c r="I15345" i="1"/>
  <c r="F15345" i="1"/>
  <c r="I15344" i="1"/>
  <c r="F15344" i="1"/>
  <c r="I15343" i="1"/>
  <c r="F15343" i="1"/>
  <c r="I15342" i="1"/>
  <c r="F15342" i="1"/>
  <c r="I15341" i="1"/>
  <c r="F15341" i="1"/>
  <c r="I15340" i="1"/>
  <c r="F15340" i="1"/>
  <c r="I15339" i="1"/>
  <c r="F15339" i="1"/>
  <c r="I15338" i="1"/>
  <c r="F15338" i="1"/>
  <c r="I15337" i="1"/>
  <c r="F15337" i="1"/>
  <c r="I15336" i="1"/>
  <c r="F15336" i="1"/>
  <c r="I15335" i="1"/>
  <c r="F15335" i="1"/>
  <c r="I15334" i="1"/>
  <c r="F15334" i="1"/>
  <c r="I15333" i="1"/>
  <c r="F15333" i="1"/>
  <c r="I15332" i="1"/>
  <c r="F15332" i="1"/>
  <c r="I15331" i="1"/>
  <c r="F15331" i="1"/>
  <c r="I15330" i="1"/>
  <c r="F15330" i="1"/>
  <c r="I15329" i="1"/>
  <c r="F15329" i="1"/>
  <c r="I15328" i="1"/>
  <c r="F15328" i="1"/>
  <c r="I15327" i="1"/>
  <c r="F15327" i="1"/>
  <c r="I15326" i="1"/>
  <c r="F15326" i="1"/>
  <c r="I15325" i="1"/>
  <c r="F15325" i="1"/>
  <c r="I15324" i="1"/>
  <c r="F15324" i="1"/>
  <c r="I15323" i="1"/>
  <c r="F15323" i="1"/>
  <c r="I15322" i="1"/>
  <c r="F15322" i="1"/>
  <c r="I15321" i="1"/>
  <c r="F15321" i="1"/>
  <c r="I15320" i="1"/>
  <c r="F15320" i="1"/>
  <c r="I15319" i="1"/>
  <c r="F15319" i="1"/>
  <c r="I15318" i="1"/>
  <c r="F15318" i="1"/>
  <c r="I15317" i="1"/>
  <c r="F15317" i="1"/>
  <c r="I15316" i="1"/>
  <c r="F15316" i="1"/>
  <c r="I15315" i="1"/>
  <c r="F15315" i="1"/>
  <c r="I15314" i="1"/>
  <c r="F15314" i="1"/>
  <c r="I15313" i="1"/>
  <c r="F15313" i="1"/>
  <c r="I15312" i="1"/>
  <c r="F15312" i="1"/>
  <c r="I15311" i="1"/>
  <c r="F15311" i="1"/>
  <c r="I15310" i="1"/>
  <c r="F15310" i="1"/>
  <c r="I15309" i="1"/>
  <c r="F15309" i="1"/>
  <c r="I15308" i="1"/>
  <c r="F15308" i="1"/>
  <c r="I15307" i="1"/>
  <c r="F15307" i="1"/>
  <c r="I15306" i="1"/>
  <c r="F15306" i="1"/>
  <c r="I15305" i="1"/>
  <c r="F15305" i="1"/>
  <c r="I15304" i="1"/>
  <c r="F15304" i="1"/>
  <c r="I15303" i="1"/>
  <c r="F15303" i="1"/>
  <c r="I15302" i="1"/>
  <c r="F15302" i="1"/>
  <c r="I15301" i="1"/>
  <c r="F15301" i="1"/>
  <c r="I15300" i="1"/>
  <c r="F15300" i="1"/>
  <c r="I15299" i="1"/>
  <c r="F15299" i="1"/>
  <c r="I15298" i="1"/>
  <c r="F15298" i="1"/>
  <c r="I15297" i="1"/>
  <c r="F15297" i="1"/>
  <c r="I15296" i="1"/>
  <c r="F15296" i="1"/>
  <c r="I15295" i="1"/>
  <c r="F15295" i="1"/>
  <c r="I15294" i="1"/>
  <c r="F15294" i="1"/>
  <c r="I15293" i="1"/>
  <c r="F15293" i="1"/>
  <c r="I15292" i="1"/>
  <c r="F15292" i="1"/>
  <c r="I15291" i="1"/>
  <c r="F15291" i="1"/>
  <c r="I15290" i="1"/>
  <c r="F15290" i="1"/>
  <c r="I15289" i="1"/>
  <c r="F15289" i="1"/>
  <c r="I15288" i="1"/>
  <c r="F15288" i="1"/>
  <c r="I15287" i="1"/>
  <c r="F15287" i="1"/>
  <c r="I15286" i="1"/>
  <c r="F15286" i="1"/>
  <c r="I15285" i="1"/>
  <c r="F15285" i="1"/>
  <c r="I15284" i="1"/>
  <c r="F15284" i="1"/>
  <c r="I15283" i="1"/>
  <c r="F15283" i="1"/>
  <c r="I15282" i="1"/>
  <c r="F15282" i="1"/>
  <c r="I15281" i="1"/>
  <c r="F15281" i="1"/>
  <c r="I15280" i="1"/>
  <c r="F15280" i="1"/>
  <c r="I15279" i="1"/>
  <c r="F15279" i="1"/>
  <c r="I15278" i="1"/>
  <c r="F15278" i="1"/>
  <c r="I15277" i="1"/>
  <c r="F15277" i="1"/>
  <c r="I15276" i="1"/>
  <c r="F15276" i="1"/>
  <c r="I15275" i="1"/>
  <c r="F15275" i="1"/>
  <c r="I15274" i="1"/>
  <c r="F15274" i="1"/>
  <c r="I15273" i="1"/>
  <c r="F15273" i="1"/>
  <c r="I15272" i="1"/>
  <c r="F15272" i="1"/>
  <c r="I15271" i="1"/>
  <c r="F15271" i="1"/>
  <c r="I15270" i="1"/>
  <c r="F15270" i="1"/>
  <c r="I15269" i="1"/>
  <c r="F15269" i="1"/>
  <c r="I15268" i="1"/>
  <c r="F15268" i="1"/>
  <c r="I15267" i="1"/>
  <c r="F15267" i="1"/>
  <c r="I15266" i="1"/>
  <c r="F15266" i="1"/>
  <c r="I15265" i="1"/>
  <c r="F15265" i="1"/>
  <c r="I15264" i="1"/>
  <c r="F15264" i="1"/>
  <c r="I15263" i="1"/>
  <c r="F15263" i="1"/>
  <c r="I15262" i="1"/>
  <c r="F15262" i="1"/>
  <c r="I15261" i="1"/>
  <c r="F15261" i="1"/>
  <c r="I15260" i="1"/>
  <c r="F15260" i="1"/>
  <c r="I15259" i="1"/>
  <c r="F15259" i="1"/>
  <c r="I15258" i="1"/>
  <c r="F15258" i="1"/>
  <c r="I15257" i="1"/>
  <c r="F15257" i="1"/>
  <c r="I15256" i="1"/>
  <c r="F15256" i="1"/>
  <c r="I15255" i="1"/>
  <c r="F15255" i="1"/>
  <c r="I15254" i="1"/>
  <c r="F15254" i="1"/>
  <c r="I15253" i="1"/>
  <c r="F15253" i="1"/>
  <c r="I15252" i="1"/>
  <c r="F15252" i="1"/>
  <c r="I15251" i="1"/>
  <c r="F15251" i="1"/>
  <c r="I15250" i="1"/>
  <c r="F15250" i="1"/>
  <c r="I15249" i="1"/>
  <c r="F15249" i="1"/>
  <c r="I15248" i="1"/>
  <c r="F15248" i="1"/>
  <c r="I15247" i="1"/>
  <c r="F15247" i="1"/>
  <c r="I15246" i="1"/>
  <c r="F15246" i="1"/>
  <c r="I15245" i="1"/>
  <c r="F15245" i="1"/>
  <c r="I15244" i="1"/>
  <c r="F15244" i="1"/>
  <c r="I15243" i="1"/>
  <c r="F15243" i="1"/>
  <c r="I15242" i="1"/>
  <c r="F15242" i="1"/>
  <c r="I15241" i="1"/>
  <c r="F15241" i="1"/>
  <c r="I15240" i="1"/>
  <c r="F15240" i="1"/>
  <c r="I15239" i="1"/>
  <c r="F15239" i="1"/>
  <c r="I15238" i="1"/>
  <c r="F15238" i="1"/>
  <c r="I15237" i="1"/>
  <c r="F15237" i="1"/>
  <c r="I15236" i="1"/>
  <c r="F15236" i="1"/>
  <c r="I15235" i="1"/>
  <c r="F15235" i="1"/>
  <c r="I15234" i="1"/>
  <c r="F15234" i="1"/>
  <c r="I15233" i="1"/>
  <c r="F15233" i="1"/>
  <c r="I15232" i="1"/>
  <c r="F15232" i="1"/>
  <c r="I15231" i="1"/>
  <c r="F15231" i="1"/>
  <c r="I15230" i="1"/>
  <c r="F15230" i="1"/>
  <c r="I15229" i="1"/>
  <c r="F15229" i="1"/>
  <c r="I15228" i="1"/>
  <c r="F15228" i="1"/>
  <c r="I15227" i="1"/>
  <c r="F15227" i="1"/>
  <c r="I15226" i="1"/>
  <c r="F15226" i="1"/>
  <c r="I15225" i="1"/>
  <c r="F15225" i="1"/>
  <c r="I15224" i="1"/>
  <c r="F15224" i="1"/>
  <c r="I15223" i="1"/>
  <c r="F15223" i="1"/>
  <c r="I15222" i="1"/>
  <c r="F15222" i="1"/>
  <c r="I15221" i="1"/>
  <c r="F15221" i="1"/>
  <c r="I15220" i="1"/>
  <c r="F15220" i="1"/>
  <c r="I15219" i="1"/>
  <c r="F15219" i="1"/>
  <c r="I15218" i="1"/>
  <c r="F15218" i="1"/>
  <c r="I15217" i="1"/>
  <c r="F15217" i="1"/>
  <c r="I15216" i="1"/>
  <c r="F15216" i="1"/>
  <c r="I15215" i="1"/>
  <c r="F15215" i="1"/>
  <c r="I15214" i="1"/>
  <c r="F15214" i="1"/>
  <c r="I15213" i="1"/>
  <c r="F15213" i="1"/>
  <c r="I15212" i="1"/>
  <c r="F15212" i="1"/>
  <c r="I15211" i="1"/>
  <c r="F15211" i="1"/>
  <c r="I15210" i="1"/>
  <c r="F15210" i="1"/>
  <c r="I15209" i="1"/>
  <c r="F15209" i="1"/>
  <c r="I15208" i="1"/>
  <c r="F15208" i="1"/>
  <c r="I15207" i="1"/>
  <c r="F15207" i="1"/>
  <c r="I15206" i="1"/>
  <c r="F15206" i="1"/>
  <c r="I15205" i="1"/>
  <c r="F15205" i="1"/>
  <c r="I15204" i="1"/>
  <c r="F15204" i="1"/>
  <c r="I15203" i="1"/>
  <c r="F15203" i="1"/>
  <c r="I15202" i="1"/>
  <c r="F15202" i="1"/>
  <c r="I15201" i="1"/>
  <c r="F15201" i="1"/>
  <c r="I15200" i="1"/>
  <c r="F15200" i="1"/>
  <c r="I15199" i="1"/>
  <c r="F15199" i="1"/>
  <c r="I15198" i="1"/>
  <c r="F15198" i="1"/>
  <c r="I15197" i="1"/>
  <c r="F15197" i="1"/>
  <c r="I15196" i="1"/>
  <c r="F15196" i="1"/>
  <c r="I15195" i="1"/>
  <c r="F15195" i="1"/>
  <c r="I15194" i="1"/>
  <c r="F15194" i="1"/>
  <c r="I15193" i="1"/>
  <c r="F15193" i="1"/>
  <c r="I15192" i="1"/>
  <c r="F15192" i="1"/>
  <c r="I15191" i="1"/>
  <c r="F15191" i="1"/>
  <c r="I15190" i="1"/>
  <c r="F15190" i="1"/>
  <c r="I15189" i="1"/>
  <c r="F15189" i="1"/>
  <c r="I15188" i="1"/>
  <c r="F15188" i="1"/>
  <c r="I15187" i="1"/>
  <c r="F15187" i="1"/>
  <c r="I15186" i="1"/>
  <c r="F15186" i="1"/>
  <c r="I15185" i="1"/>
  <c r="F15185" i="1"/>
  <c r="I15184" i="1"/>
  <c r="F15184" i="1"/>
  <c r="I15183" i="1"/>
  <c r="F15183" i="1"/>
  <c r="I15182" i="1"/>
  <c r="F15182" i="1"/>
  <c r="I15181" i="1"/>
  <c r="F15181" i="1"/>
  <c r="I15180" i="1"/>
  <c r="F15180" i="1"/>
  <c r="I15179" i="1"/>
  <c r="F15179" i="1"/>
  <c r="I15178" i="1"/>
  <c r="F15178" i="1"/>
  <c r="I15177" i="1"/>
  <c r="F15177" i="1"/>
  <c r="I15176" i="1"/>
  <c r="F15176" i="1"/>
  <c r="I15175" i="1"/>
  <c r="F15175" i="1"/>
  <c r="I15174" i="1"/>
  <c r="F15174" i="1"/>
  <c r="I15173" i="1"/>
  <c r="F15173" i="1"/>
  <c r="I15172" i="1"/>
  <c r="F15172" i="1"/>
  <c r="I15171" i="1"/>
  <c r="F15171" i="1"/>
  <c r="I15170" i="1"/>
  <c r="F15170" i="1"/>
  <c r="I15169" i="1"/>
  <c r="F15169" i="1"/>
  <c r="I15168" i="1"/>
  <c r="F15168" i="1"/>
  <c r="I15167" i="1"/>
  <c r="F15167" i="1"/>
  <c r="I15166" i="1"/>
  <c r="F15166" i="1"/>
  <c r="I15165" i="1"/>
  <c r="F15165" i="1"/>
  <c r="I15164" i="1"/>
  <c r="F15164" i="1"/>
  <c r="I15163" i="1"/>
  <c r="F15163" i="1"/>
  <c r="I15162" i="1"/>
  <c r="F15162" i="1"/>
  <c r="I15161" i="1"/>
  <c r="F15161" i="1"/>
  <c r="I15160" i="1"/>
  <c r="F15160" i="1"/>
  <c r="I15159" i="1"/>
  <c r="F15159" i="1"/>
  <c r="I15158" i="1"/>
  <c r="F15158" i="1"/>
  <c r="I15157" i="1"/>
  <c r="F15157" i="1"/>
  <c r="I15156" i="1"/>
  <c r="F15156" i="1"/>
  <c r="I15155" i="1"/>
  <c r="F15155" i="1"/>
  <c r="I15154" i="1"/>
  <c r="F15154" i="1"/>
  <c r="I15153" i="1"/>
  <c r="F15153" i="1"/>
  <c r="I15152" i="1"/>
  <c r="F15152" i="1"/>
  <c r="I15151" i="1"/>
  <c r="F15151" i="1"/>
  <c r="I15150" i="1"/>
  <c r="F15150" i="1"/>
  <c r="I15149" i="1"/>
  <c r="F15149" i="1"/>
  <c r="I15148" i="1"/>
  <c r="F15148" i="1"/>
  <c r="I15147" i="1"/>
  <c r="F15147" i="1"/>
  <c r="I15146" i="1"/>
  <c r="F15146" i="1"/>
  <c r="I15145" i="1"/>
  <c r="F15145" i="1"/>
  <c r="I15144" i="1"/>
  <c r="F15144" i="1"/>
  <c r="I15143" i="1"/>
  <c r="F15143" i="1"/>
  <c r="I15142" i="1"/>
  <c r="F15142" i="1"/>
  <c r="I15141" i="1"/>
  <c r="F15141" i="1"/>
  <c r="I15140" i="1"/>
  <c r="F15140" i="1"/>
  <c r="I15139" i="1"/>
  <c r="F15139" i="1"/>
  <c r="I15138" i="1"/>
  <c r="F15138" i="1"/>
  <c r="I15137" i="1"/>
  <c r="F15137" i="1"/>
  <c r="I15136" i="1"/>
  <c r="F15136" i="1"/>
  <c r="I15135" i="1"/>
  <c r="F15135" i="1"/>
  <c r="I15134" i="1"/>
  <c r="F15134" i="1"/>
  <c r="I15133" i="1"/>
  <c r="F15133" i="1"/>
  <c r="I15132" i="1"/>
  <c r="F15132" i="1"/>
  <c r="I15131" i="1"/>
  <c r="F15131" i="1"/>
  <c r="I15130" i="1"/>
  <c r="F15130" i="1"/>
  <c r="I15129" i="1"/>
  <c r="F15129" i="1"/>
  <c r="I15128" i="1"/>
  <c r="F15128" i="1"/>
  <c r="I15127" i="1"/>
  <c r="F15127" i="1"/>
  <c r="I15126" i="1"/>
  <c r="F15126" i="1"/>
  <c r="I15125" i="1"/>
  <c r="F15125" i="1"/>
  <c r="I15124" i="1"/>
  <c r="F15124" i="1"/>
  <c r="I15123" i="1"/>
  <c r="F15123" i="1"/>
  <c r="I15122" i="1"/>
  <c r="F15122" i="1"/>
  <c r="I15121" i="1"/>
  <c r="F15121" i="1"/>
  <c r="I15120" i="1"/>
  <c r="F15120" i="1"/>
  <c r="I15119" i="1"/>
  <c r="F15119" i="1"/>
  <c r="I15118" i="1"/>
  <c r="F15118" i="1"/>
  <c r="I15117" i="1"/>
  <c r="F15117" i="1"/>
  <c r="I15116" i="1"/>
  <c r="F15116" i="1"/>
  <c r="I15115" i="1"/>
  <c r="F15115" i="1"/>
  <c r="I15114" i="1"/>
  <c r="F15114" i="1"/>
  <c r="I15113" i="1"/>
  <c r="F15113" i="1"/>
  <c r="I15112" i="1"/>
  <c r="F15112" i="1"/>
  <c r="I15111" i="1"/>
  <c r="F15111" i="1"/>
  <c r="I15110" i="1"/>
  <c r="F15110" i="1"/>
  <c r="I15109" i="1"/>
  <c r="F15109" i="1"/>
  <c r="I15108" i="1"/>
  <c r="F15108" i="1"/>
  <c r="I15107" i="1"/>
  <c r="F15107" i="1"/>
  <c r="I15106" i="1"/>
  <c r="F15106" i="1"/>
  <c r="I15105" i="1"/>
  <c r="F15105" i="1"/>
  <c r="I15104" i="1"/>
  <c r="F15104" i="1"/>
  <c r="I15103" i="1"/>
  <c r="F15103" i="1"/>
  <c r="I15102" i="1"/>
  <c r="F15102" i="1"/>
  <c r="I15101" i="1"/>
  <c r="F15101" i="1"/>
  <c r="I15100" i="1"/>
  <c r="F15100" i="1"/>
  <c r="I15099" i="1"/>
  <c r="F15099" i="1"/>
  <c r="I15098" i="1"/>
  <c r="F15098" i="1"/>
  <c r="I15097" i="1"/>
  <c r="F15097" i="1"/>
  <c r="I15096" i="1"/>
  <c r="F15096" i="1"/>
  <c r="I15095" i="1"/>
  <c r="F15095" i="1"/>
  <c r="I15094" i="1"/>
  <c r="F15094" i="1"/>
  <c r="I15093" i="1"/>
  <c r="F15093" i="1"/>
  <c r="I15092" i="1"/>
  <c r="F15092" i="1"/>
  <c r="I15091" i="1"/>
  <c r="F15091" i="1"/>
  <c r="I15090" i="1"/>
  <c r="F15090" i="1"/>
  <c r="I15089" i="1"/>
  <c r="F15089" i="1"/>
  <c r="I15088" i="1"/>
  <c r="F15088" i="1"/>
  <c r="I15087" i="1"/>
  <c r="F15087" i="1"/>
  <c r="I15086" i="1"/>
  <c r="F15086" i="1"/>
  <c r="I15085" i="1"/>
  <c r="F15085" i="1"/>
  <c r="I15084" i="1"/>
  <c r="F15084" i="1"/>
  <c r="I15083" i="1"/>
  <c r="F15083" i="1"/>
  <c r="I15082" i="1"/>
  <c r="F15082" i="1"/>
  <c r="I15081" i="1"/>
  <c r="F15081" i="1"/>
  <c r="I15080" i="1"/>
  <c r="F15080" i="1"/>
  <c r="I15079" i="1"/>
  <c r="F15079" i="1"/>
  <c r="I15078" i="1"/>
  <c r="F15078" i="1"/>
  <c r="I15077" i="1"/>
  <c r="F15077" i="1"/>
  <c r="I15076" i="1"/>
  <c r="F15076" i="1"/>
  <c r="I15075" i="1"/>
  <c r="F15075" i="1"/>
  <c r="I15074" i="1"/>
  <c r="F15074" i="1"/>
  <c r="I15073" i="1"/>
  <c r="F15073" i="1"/>
  <c r="I15072" i="1"/>
  <c r="F15072" i="1"/>
  <c r="I15071" i="1"/>
  <c r="F15071" i="1"/>
  <c r="I15070" i="1"/>
  <c r="F15070" i="1"/>
  <c r="I15069" i="1"/>
  <c r="F15069" i="1"/>
  <c r="I15068" i="1"/>
  <c r="F15068" i="1"/>
  <c r="I15067" i="1"/>
  <c r="F15067" i="1"/>
  <c r="I15066" i="1"/>
  <c r="F15066" i="1"/>
  <c r="I15065" i="1"/>
  <c r="F15065" i="1"/>
  <c r="I15064" i="1"/>
  <c r="F15064" i="1"/>
  <c r="I15063" i="1"/>
  <c r="F15063" i="1"/>
  <c r="I15062" i="1"/>
  <c r="F15062" i="1"/>
  <c r="I15061" i="1"/>
  <c r="F15061" i="1"/>
  <c r="I15060" i="1"/>
  <c r="F15060" i="1"/>
  <c r="I15059" i="1"/>
  <c r="F15059" i="1"/>
  <c r="I15058" i="1"/>
  <c r="F15058" i="1"/>
  <c r="I15057" i="1"/>
  <c r="F15057" i="1"/>
  <c r="I15056" i="1"/>
  <c r="F15056" i="1"/>
  <c r="I15055" i="1"/>
  <c r="F15055" i="1"/>
  <c r="I15054" i="1"/>
  <c r="F15054" i="1"/>
  <c r="I15053" i="1"/>
  <c r="F15053" i="1"/>
  <c r="I15052" i="1"/>
  <c r="F15052" i="1"/>
  <c r="I15051" i="1"/>
  <c r="F15051" i="1"/>
  <c r="I15050" i="1"/>
  <c r="F15050" i="1"/>
  <c r="I15049" i="1"/>
  <c r="F15049" i="1"/>
  <c r="I15048" i="1"/>
  <c r="F15048" i="1"/>
  <c r="I15047" i="1"/>
  <c r="F15047" i="1"/>
  <c r="I15046" i="1"/>
  <c r="F15046" i="1"/>
  <c r="I15045" i="1"/>
  <c r="F15045" i="1"/>
  <c r="I15044" i="1"/>
  <c r="F15044" i="1"/>
  <c r="I15043" i="1"/>
  <c r="F15043" i="1"/>
  <c r="I15042" i="1"/>
  <c r="F15042" i="1"/>
  <c r="I15041" i="1"/>
  <c r="F15041" i="1"/>
  <c r="I15040" i="1"/>
  <c r="F15040" i="1"/>
  <c r="I15039" i="1"/>
  <c r="F15039" i="1"/>
  <c r="I15038" i="1"/>
  <c r="F15038" i="1"/>
  <c r="I15037" i="1"/>
  <c r="F15037" i="1"/>
  <c r="I15036" i="1"/>
  <c r="F15036" i="1"/>
  <c r="I15035" i="1"/>
  <c r="F15035" i="1"/>
  <c r="I15034" i="1"/>
  <c r="F15034" i="1"/>
  <c r="I15033" i="1"/>
  <c r="F15033" i="1"/>
  <c r="I15032" i="1"/>
  <c r="F15032" i="1"/>
  <c r="I15031" i="1"/>
  <c r="F15031" i="1"/>
  <c r="I15030" i="1"/>
  <c r="F15030" i="1"/>
  <c r="I15029" i="1"/>
  <c r="F15029" i="1"/>
  <c r="I15028" i="1"/>
  <c r="F15028" i="1"/>
  <c r="I15027" i="1"/>
  <c r="F15027" i="1"/>
  <c r="I15026" i="1"/>
  <c r="F15026" i="1"/>
  <c r="I15025" i="1"/>
  <c r="F15025" i="1"/>
  <c r="I15024" i="1"/>
  <c r="F15024" i="1"/>
  <c r="I15023" i="1"/>
  <c r="F15023" i="1"/>
  <c r="I15022" i="1"/>
  <c r="F15022" i="1"/>
  <c r="I15021" i="1"/>
  <c r="F15021" i="1"/>
  <c r="I15020" i="1"/>
  <c r="F15020" i="1"/>
  <c r="I15019" i="1"/>
  <c r="F15019" i="1"/>
  <c r="I15018" i="1"/>
  <c r="F15018" i="1"/>
  <c r="I15017" i="1"/>
  <c r="F15017" i="1"/>
  <c r="I15016" i="1"/>
  <c r="F15016" i="1"/>
  <c r="I15015" i="1"/>
  <c r="F15015" i="1"/>
  <c r="I15014" i="1"/>
  <c r="F15014" i="1"/>
  <c r="I15013" i="1"/>
  <c r="F15013" i="1"/>
  <c r="I15012" i="1"/>
  <c r="F15012" i="1"/>
  <c r="I15011" i="1"/>
  <c r="F15011" i="1"/>
  <c r="I15010" i="1"/>
  <c r="F15010" i="1"/>
  <c r="I15009" i="1"/>
  <c r="F15009" i="1"/>
  <c r="I15008" i="1"/>
  <c r="F15008" i="1"/>
  <c r="I15007" i="1"/>
  <c r="F15007" i="1"/>
  <c r="I15006" i="1"/>
  <c r="F15006" i="1"/>
  <c r="I15005" i="1"/>
  <c r="F15005" i="1"/>
  <c r="I15004" i="1"/>
  <c r="F15004" i="1"/>
  <c r="I15003" i="1"/>
  <c r="F15003" i="1"/>
  <c r="I15002" i="1"/>
  <c r="F15002" i="1"/>
  <c r="I15001" i="1"/>
  <c r="F15001" i="1"/>
  <c r="I15000" i="1"/>
  <c r="F15000" i="1"/>
  <c r="I14999" i="1"/>
  <c r="F14999" i="1"/>
  <c r="I14998" i="1"/>
  <c r="F14998" i="1"/>
  <c r="I14997" i="1"/>
  <c r="F14997" i="1"/>
  <c r="I14996" i="1"/>
  <c r="F14996" i="1"/>
  <c r="I14995" i="1"/>
  <c r="F14995" i="1"/>
  <c r="I14994" i="1"/>
  <c r="F14994" i="1"/>
  <c r="I14993" i="1"/>
  <c r="F14993" i="1"/>
  <c r="I14992" i="1"/>
  <c r="F14992" i="1"/>
  <c r="I14991" i="1"/>
  <c r="F14991" i="1"/>
  <c r="I14990" i="1"/>
  <c r="F14990" i="1"/>
  <c r="I14989" i="1"/>
  <c r="F14989" i="1"/>
  <c r="I14988" i="1"/>
  <c r="F14988" i="1"/>
  <c r="I14987" i="1"/>
  <c r="F14987" i="1"/>
  <c r="I14986" i="1"/>
  <c r="F14986" i="1"/>
  <c r="I14985" i="1"/>
  <c r="F14985" i="1"/>
  <c r="I14984" i="1"/>
  <c r="F14984" i="1"/>
  <c r="I14983" i="1"/>
  <c r="F14983" i="1"/>
  <c r="I14982" i="1"/>
  <c r="F14982" i="1"/>
  <c r="I14981" i="1"/>
  <c r="F14981" i="1"/>
  <c r="I14980" i="1"/>
  <c r="F14980" i="1"/>
  <c r="I14979" i="1"/>
  <c r="F14979" i="1"/>
  <c r="I14978" i="1"/>
  <c r="F14978" i="1"/>
  <c r="I14977" i="1"/>
  <c r="F14977" i="1"/>
  <c r="I14976" i="1"/>
  <c r="F14976" i="1"/>
  <c r="I14975" i="1"/>
  <c r="F14975" i="1"/>
  <c r="I14974" i="1"/>
  <c r="F14974" i="1"/>
  <c r="I14973" i="1"/>
  <c r="F14973" i="1"/>
  <c r="I14972" i="1"/>
  <c r="F14972" i="1"/>
  <c r="I14971" i="1"/>
  <c r="F14971" i="1"/>
  <c r="I14970" i="1"/>
  <c r="F14970" i="1"/>
  <c r="I14969" i="1"/>
  <c r="F14969" i="1"/>
  <c r="I14968" i="1"/>
  <c r="F14968" i="1"/>
  <c r="I14967" i="1"/>
  <c r="F14967" i="1"/>
  <c r="I14966" i="1"/>
  <c r="F14966" i="1"/>
  <c r="I14965" i="1"/>
  <c r="F14965" i="1"/>
  <c r="I14964" i="1"/>
  <c r="F14964" i="1"/>
  <c r="I14963" i="1"/>
  <c r="F14963" i="1"/>
  <c r="I14962" i="1"/>
  <c r="F14962" i="1"/>
  <c r="I14961" i="1"/>
  <c r="F14961" i="1"/>
  <c r="I14960" i="1"/>
  <c r="F14960" i="1"/>
  <c r="I14959" i="1"/>
  <c r="F14959" i="1"/>
  <c r="I14958" i="1"/>
  <c r="F14958" i="1"/>
  <c r="I14957" i="1"/>
  <c r="F14957" i="1"/>
  <c r="I14956" i="1"/>
  <c r="F14956" i="1"/>
  <c r="I14955" i="1"/>
  <c r="F14955" i="1"/>
  <c r="I14954" i="1"/>
  <c r="F14954" i="1"/>
  <c r="I14953" i="1"/>
  <c r="F14953" i="1"/>
  <c r="I14952" i="1"/>
  <c r="F14952" i="1"/>
  <c r="I14951" i="1"/>
  <c r="F14951" i="1"/>
  <c r="I14950" i="1"/>
  <c r="F14950" i="1"/>
  <c r="I14949" i="1"/>
  <c r="F14949" i="1"/>
  <c r="I14948" i="1"/>
  <c r="F14948" i="1"/>
  <c r="I14947" i="1"/>
  <c r="F14947" i="1"/>
  <c r="I14946" i="1"/>
  <c r="F14946" i="1"/>
  <c r="I14945" i="1"/>
  <c r="F14945" i="1"/>
  <c r="I14944" i="1"/>
  <c r="F14944" i="1"/>
  <c r="I14943" i="1"/>
  <c r="F14943" i="1"/>
  <c r="I14942" i="1"/>
  <c r="F14942" i="1"/>
  <c r="I14941" i="1"/>
  <c r="F14941" i="1"/>
  <c r="I14940" i="1"/>
  <c r="F14940" i="1"/>
  <c r="I14939" i="1"/>
  <c r="F14939" i="1"/>
  <c r="I14938" i="1"/>
  <c r="F14938" i="1"/>
  <c r="I14937" i="1"/>
  <c r="F14937" i="1"/>
  <c r="I14936" i="1"/>
  <c r="F14936" i="1"/>
  <c r="I14935" i="1"/>
  <c r="F14935" i="1"/>
  <c r="I14934" i="1"/>
  <c r="F14934" i="1"/>
  <c r="I14933" i="1"/>
  <c r="F14933" i="1"/>
  <c r="I14932" i="1"/>
  <c r="F14932" i="1"/>
  <c r="I14931" i="1"/>
  <c r="F14931" i="1"/>
  <c r="I14930" i="1"/>
  <c r="F14930" i="1"/>
  <c r="I14929" i="1"/>
  <c r="F14929" i="1"/>
  <c r="I14928" i="1"/>
  <c r="F14928" i="1"/>
  <c r="I14927" i="1"/>
  <c r="F14927" i="1"/>
  <c r="I14926" i="1"/>
  <c r="F14926" i="1"/>
  <c r="I14925" i="1"/>
  <c r="F14925" i="1"/>
  <c r="I14924" i="1"/>
  <c r="F14924" i="1"/>
  <c r="I14923" i="1"/>
  <c r="F14923" i="1"/>
  <c r="I14922" i="1"/>
  <c r="F14922" i="1"/>
  <c r="I14921" i="1"/>
  <c r="F14921" i="1"/>
  <c r="I14920" i="1"/>
  <c r="F14920" i="1"/>
  <c r="I14919" i="1"/>
  <c r="F14919" i="1"/>
  <c r="I14918" i="1"/>
  <c r="F14918" i="1"/>
  <c r="I14917" i="1"/>
  <c r="F14917" i="1"/>
  <c r="I14916" i="1"/>
  <c r="F14916" i="1"/>
  <c r="I14915" i="1"/>
  <c r="F14915" i="1"/>
  <c r="I14914" i="1"/>
  <c r="F14914" i="1"/>
  <c r="I14913" i="1"/>
  <c r="F14913" i="1"/>
  <c r="I14912" i="1"/>
  <c r="F14912" i="1"/>
  <c r="I14911" i="1"/>
  <c r="F14911" i="1"/>
  <c r="I14910" i="1"/>
  <c r="F14910" i="1"/>
  <c r="I14909" i="1"/>
  <c r="F14909" i="1"/>
  <c r="I14908" i="1"/>
  <c r="F14908" i="1"/>
  <c r="I14907" i="1"/>
  <c r="F14907" i="1"/>
  <c r="I14906" i="1"/>
  <c r="F14906" i="1"/>
  <c r="I14905" i="1"/>
  <c r="F14905" i="1"/>
  <c r="I14904" i="1"/>
  <c r="F14904" i="1"/>
  <c r="I14903" i="1"/>
  <c r="F14903" i="1"/>
  <c r="I14902" i="1"/>
  <c r="F14902" i="1"/>
  <c r="I14901" i="1"/>
  <c r="F14901" i="1"/>
  <c r="I14900" i="1"/>
  <c r="F14900" i="1"/>
  <c r="I14899" i="1"/>
  <c r="F14899" i="1"/>
  <c r="I14898" i="1"/>
  <c r="F14898" i="1"/>
  <c r="I14897" i="1"/>
  <c r="F14897" i="1"/>
  <c r="I14896" i="1"/>
  <c r="F14896" i="1"/>
  <c r="I14895" i="1"/>
  <c r="F14895" i="1"/>
  <c r="I14894" i="1"/>
  <c r="F14894" i="1"/>
  <c r="I14893" i="1"/>
  <c r="F14893" i="1"/>
  <c r="I14892" i="1"/>
  <c r="F14892" i="1"/>
  <c r="I14891" i="1"/>
  <c r="F14891" i="1"/>
  <c r="I14890" i="1"/>
  <c r="F14890" i="1"/>
  <c r="I14889" i="1"/>
  <c r="F14889" i="1"/>
  <c r="I14888" i="1"/>
  <c r="F14888" i="1"/>
  <c r="I14887" i="1"/>
  <c r="F14887" i="1"/>
  <c r="I14886" i="1"/>
  <c r="F14886" i="1"/>
  <c r="I14885" i="1"/>
  <c r="F14885" i="1"/>
  <c r="I14884" i="1"/>
  <c r="F14884" i="1"/>
  <c r="I14883" i="1"/>
  <c r="F14883" i="1"/>
  <c r="I14882" i="1"/>
  <c r="F14882" i="1"/>
  <c r="I14881" i="1"/>
  <c r="F14881" i="1"/>
  <c r="I14880" i="1"/>
  <c r="F14880" i="1"/>
  <c r="I14879" i="1"/>
  <c r="F14879" i="1"/>
  <c r="I14878" i="1"/>
  <c r="F14878" i="1"/>
  <c r="I14877" i="1"/>
  <c r="F14877" i="1"/>
  <c r="I14876" i="1"/>
  <c r="F14876" i="1"/>
  <c r="I14875" i="1"/>
  <c r="F14875" i="1"/>
  <c r="I14874" i="1"/>
  <c r="F14874" i="1"/>
  <c r="I14873" i="1"/>
  <c r="F14873" i="1"/>
  <c r="I14872" i="1"/>
  <c r="F14872" i="1"/>
  <c r="I14871" i="1"/>
  <c r="F14871" i="1"/>
  <c r="I14870" i="1"/>
  <c r="F14870" i="1"/>
  <c r="I14869" i="1"/>
  <c r="F14869" i="1"/>
  <c r="I14868" i="1"/>
  <c r="F14868" i="1"/>
  <c r="I14867" i="1"/>
  <c r="F14867" i="1"/>
  <c r="I14866" i="1"/>
  <c r="F14866" i="1"/>
  <c r="I14865" i="1"/>
  <c r="F14865" i="1"/>
  <c r="I14864" i="1"/>
  <c r="F14864" i="1"/>
  <c r="I14863" i="1"/>
  <c r="F14863" i="1"/>
  <c r="I14862" i="1"/>
  <c r="F14862" i="1"/>
  <c r="I14861" i="1"/>
  <c r="F14861" i="1"/>
  <c r="I14860" i="1"/>
  <c r="F14860" i="1"/>
  <c r="I14859" i="1"/>
  <c r="F14859" i="1"/>
  <c r="I14858" i="1"/>
  <c r="F14858" i="1"/>
  <c r="I14857" i="1"/>
  <c r="F14857" i="1"/>
  <c r="I14856" i="1"/>
  <c r="F14856" i="1"/>
  <c r="I14855" i="1"/>
  <c r="F14855" i="1"/>
  <c r="I14854" i="1"/>
  <c r="F14854" i="1"/>
  <c r="I14853" i="1"/>
  <c r="F14853" i="1"/>
  <c r="I14852" i="1"/>
  <c r="F14852" i="1"/>
  <c r="I14851" i="1"/>
  <c r="F14851" i="1"/>
  <c r="I14850" i="1"/>
  <c r="F14850" i="1"/>
  <c r="I14849" i="1"/>
  <c r="F14849" i="1"/>
  <c r="I14848" i="1"/>
  <c r="F14848" i="1"/>
  <c r="I14847" i="1"/>
  <c r="F14847" i="1"/>
  <c r="I14846" i="1"/>
  <c r="F14846" i="1"/>
  <c r="I14845" i="1"/>
  <c r="F14845" i="1"/>
  <c r="I14844" i="1"/>
  <c r="F14844" i="1"/>
  <c r="I14843" i="1"/>
  <c r="F14843" i="1"/>
  <c r="I14842" i="1"/>
  <c r="F14842" i="1"/>
  <c r="I14841" i="1"/>
  <c r="F14841" i="1"/>
  <c r="I14840" i="1"/>
  <c r="F14840" i="1"/>
  <c r="I14839" i="1"/>
  <c r="F14839" i="1"/>
  <c r="I14838" i="1"/>
  <c r="F14838" i="1"/>
  <c r="I14837" i="1"/>
  <c r="F14837" i="1"/>
  <c r="I14836" i="1"/>
  <c r="F14836" i="1"/>
  <c r="I14835" i="1"/>
  <c r="F14835" i="1"/>
  <c r="I14834" i="1"/>
  <c r="F14834" i="1"/>
  <c r="I14833" i="1"/>
  <c r="F14833" i="1"/>
  <c r="I14832" i="1"/>
  <c r="F14832" i="1"/>
  <c r="I14831" i="1"/>
  <c r="F14831" i="1"/>
  <c r="I14830" i="1"/>
  <c r="F14830" i="1"/>
  <c r="I14829" i="1"/>
  <c r="F14829" i="1"/>
  <c r="I14828" i="1"/>
  <c r="F14828" i="1"/>
  <c r="I14827" i="1"/>
  <c r="F14827" i="1"/>
  <c r="I14826" i="1"/>
  <c r="F14826" i="1"/>
  <c r="I14825" i="1"/>
  <c r="F14825" i="1"/>
  <c r="I14824" i="1"/>
  <c r="F14824" i="1"/>
  <c r="I14823" i="1"/>
  <c r="F14823" i="1"/>
  <c r="I14822" i="1"/>
  <c r="F14822" i="1"/>
  <c r="I14821" i="1"/>
  <c r="F14821" i="1"/>
  <c r="I14820" i="1"/>
  <c r="F14820" i="1"/>
  <c r="I14819" i="1"/>
  <c r="F14819" i="1"/>
  <c r="I14818" i="1"/>
  <c r="F14818" i="1"/>
  <c r="I14817" i="1"/>
  <c r="F14817" i="1"/>
  <c r="I14816" i="1"/>
  <c r="F14816" i="1"/>
  <c r="I14815" i="1"/>
  <c r="F14815" i="1"/>
  <c r="I14814" i="1"/>
  <c r="F14814" i="1"/>
  <c r="I14813" i="1"/>
  <c r="F14813" i="1"/>
  <c r="I14812" i="1"/>
  <c r="F14812" i="1"/>
  <c r="I14811" i="1"/>
  <c r="F14811" i="1"/>
  <c r="I14810" i="1"/>
  <c r="F14810" i="1"/>
  <c r="I14809" i="1"/>
  <c r="F14809" i="1"/>
  <c r="I14808" i="1"/>
  <c r="F14808" i="1"/>
  <c r="I14807" i="1"/>
  <c r="F14807" i="1"/>
  <c r="I14806" i="1"/>
  <c r="F14806" i="1"/>
  <c r="I14805" i="1"/>
  <c r="F14805" i="1"/>
  <c r="I14804" i="1"/>
  <c r="F14804" i="1"/>
  <c r="I14803" i="1"/>
  <c r="F14803" i="1"/>
  <c r="I14802" i="1"/>
  <c r="F14802" i="1"/>
  <c r="I14801" i="1"/>
  <c r="F14801" i="1"/>
  <c r="I14800" i="1"/>
  <c r="F14800" i="1"/>
  <c r="I14799" i="1"/>
  <c r="F14799" i="1"/>
  <c r="I14798" i="1"/>
  <c r="F14798" i="1"/>
  <c r="I14797" i="1"/>
  <c r="F14797" i="1"/>
  <c r="I14796" i="1"/>
  <c r="F14796" i="1"/>
  <c r="I14795" i="1"/>
  <c r="F14795" i="1"/>
  <c r="I14794" i="1"/>
  <c r="F14794" i="1"/>
  <c r="I14793" i="1"/>
  <c r="F14793" i="1"/>
  <c r="I14792" i="1"/>
  <c r="F14792" i="1"/>
  <c r="I14791" i="1"/>
  <c r="F14791" i="1"/>
  <c r="I14790" i="1"/>
  <c r="F14790" i="1"/>
  <c r="I14789" i="1"/>
  <c r="F14789" i="1"/>
  <c r="I14788" i="1"/>
  <c r="F14788" i="1"/>
  <c r="I14787" i="1"/>
  <c r="F14787" i="1"/>
  <c r="I14786" i="1"/>
  <c r="F14786" i="1"/>
  <c r="I14785" i="1"/>
  <c r="F14785" i="1"/>
  <c r="I14784" i="1"/>
  <c r="F14784" i="1"/>
  <c r="I14783" i="1"/>
  <c r="F14783" i="1"/>
  <c r="I14782" i="1"/>
  <c r="F14782" i="1"/>
  <c r="I14781" i="1"/>
  <c r="F14781" i="1"/>
  <c r="I14780" i="1"/>
  <c r="F14780" i="1"/>
  <c r="I14779" i="1"/>
  <c r="F14779" i="1"/>
  <c r="I14778" i="1"/>
  <c r="F14778" i="1"/>
  <c r="I14777" i="1"/>
  <c r="F14777" i="1"/>
  <c r="I14776" i="1"/>
  <c r="F14776" i="1"/>
  <c r="I14775" i="1"/>
  <c r="F14775" i="1"/>
  <c r="I14774" i="1"/>
  <c r="F14774" i="1"/>
  <c r="I14773" i="1"/>
  <c r="F14773" i="1"/>
  <c r="I14772" i="1"/>
  <c r="F14772" i="1"/>
  <c r="I14771" i="1"/>
  <c r="F14771" i="1"/>
  <c r="I14770" i="1"/>
  <c r="F14770" i="1"/>
  <c r="I14769" i="1"/>
  <c r="F14769" i="1"/>
  <c r="I14768" i="1"/>
  <c r="F14768" i="1"/>
  <c r="I14767" i="1"/>
  <c r="F14767" i="1"/>
  <c r="I14766" i="1"/>
  <c r="F14766" i="1"/>
  <c r="I14765" i="1"/>
  <c r="F14765" i="1"/>
  <c r="I14764" i="1"/>
  <c r="F14764" i="1"/>
  <c r="I14763" i="1"/>
  <c r="F14763" i="1"/>
  <c r="I14762" i="1"/>
  <c r="F14762" i="1"/>
  <c r="I14761" i="1"/>
  <c r="F14761" i="1"/>
  <c r="I14760" i="1"/>
  <c r="F14760" i="1"/>
  <c r="I14759" i="1"/>
  <c r="F14759" i="1"/>
  <c r="I14758" i="1"/>
  <c r="F14758" i="1"/>
  <c r="I14757" i="1"/>
  <c r="F14757" i="1"/>
  <c r="I14756" i="1"/>
  <c r="F14756" i="1"/>
  <c r="I14755" i="1"/>
  <c r="F14755" i="1"/>
  <c r="I14754" i="1"/>
  <c r="F14754" i="1"/>
  <c r="I14753" i="1"/>
  <c r="F14753" i="1"/>
  <c r="I14752" i="1"/>
  <c r="F14752" i="1"/>
  <c r="I14751" i="1"/>
  <c r="F14751" i="1"/>
  <c r="I14750" i="1"/>
  <c r="F14750" i="1"/>
  <c r="I14749" i="1"/>
  <c r="F14749" i="1"/>
  <c r="I14748" i="1"/>
  <c r="F14748" i="1"/>
  <c r="I14747" i="1"/>
  <c r="F14747" i="1"/>
  <c r="I14746" i="1"/>
  <c r="F14746" i="1"/>
  <c r="I14745" i="1"/>
  <c r="F14745" i="1"/>
  <c r="I14744" i="1"/>
  <c r="F14744" i="1"/>
  <c r="I14743" i="1"/>
  <c r="F14743" i="1"/>
  <c r="I14742" i="1"/>
  <c r="F14742" i="1"/>
  <c r="I14741" i="1"/>
  <c r="F14741" i="1"/>
  <c r="I14740" i="1"/>
  <c r="F14740" i="1"/>
  <c r="I14739" i="1"/>
  <c r="F14739" i="1"/>
  <c r="I14738" i="1"/>
  <c r="F14738" i="1"/>
  <c r="I14737" i="1"/>
  <c r="F14737" i="1"/>
  <c r="I14736" i="1"/>
  <c r="F14736" i="1"/>
  <c r="I14735" i="1"/>
  <c r="F14735" i="1"/>
  <c r="I14734" i="1"/>
  <c r="F14734" i="1"/>
  <c r="I14733" i="1"/>
  <c r="F14733" i="1"/>
  <c r="I14732" i="1"/>
  <c r="F14732" i="1"/>
  <c r="I14731" i="1"/>
  <c r="F14731" i="1"/>
  <c r="I14730" i="1"/>
  <c r="F14730" i="1"/>
  <c r="I14729" i="1"/>
  <c r="F14729" i="1"/>
  <c r="I14728" i="1"/>
  <c r="F14728" i="1"/>
  <c r="I14727" i="1"/>
  <c r="F14727" i="1"/>
  <c r="I14726" i="1"/>
  <c r="F14726" i="1"/>
  <c r="I14725" i="1"/>
  <c r="F14725" i="1"/>
  <c r="I14724" i="1"/>
  <c r="F14724" i="1"/>
  <c r="I14723" i="1"/>
  <c r="F14723" i="1"/>
  <c r="I14722" i="1"/>
  <c r="F14722" i="1"/>
  <c r="I14721" i="1"/>
  <c r="F14721" i="1"/>
  <c r="I14720" i="1"/>
  <c r="F14720" i="1"/>
  <c r="I14719" i="1"/>
  <c r="F14719" i="1"/>
  <c r="I14718" i="1"/>
  <c r="F14718" i="1"/>
  <c r="I14717" i="1"/>
  <c r="F14717" i="1"/>
  <c r="I14716" i="1"/>
  <c r="F14716" i="1"/>
  <c r="I14715" i="1"/>
  <c r="F14715" i="1"/>
  <c r="I14714" i="1"/>
  <c r="F14714" i="1"/>
  <c r="I14713" i="1"/>
  <c r="F14713" i="1"/>
  <c r="I14712" i="1"/>
  <c r="F14712" i="1"/>
  <c r="I14711" i="1"/>
  <c r="F14711" i="1"/>
  <c r="I14710" i="1"/>
  <c r="F14710" i="1"/>
  <c r="I14709" i="1"/>
  <c r="F14709" i="1"/>
  <c r="I14708" i="1"/>
  <c r="F14708" i="1"/>
  <c r="I14707" i="1"/>
  <c r="F14707" i="1"/>
  <c r="I14706" i="1"/>
  <c r="F14706" i="1"/>
  <c r="I14705" i="1"/>
  <c r="F14705" i="1"/>
  <c r="I14704" i="1"/>
  <c r="F14704" i="1"/>
  <c r="I14703" i="1"/>
  <c r="F14703" i="1"/>
  <c r="I14702" i="1"/>
  <c r="F14702" i="1"/>
  <c r="I14701" i="1"/>
  <c r="F14701" i="1"/>
  <c r="I14700" i="1"/>
  <c r="F14700" i="1"/>
  <c r="I14699" i="1"/>
  <c r="F14699" i="1"/>
  <c r="I14698" i="1"/>
  <c r="F14698" i="1"/>
  <c r="I14697" i="1"/>
  <c r="F14697" i="1"/>
  <c r="I14696" i="1"/>
  <c r="F14696" i="1"/>
  <c r="I14695" i="1"/>
  <c r="F14695" i="1"/>
  <c r="I14694" i="1"/>
  <c r="F14694" i="1"/>
  <c r="I14693" i="1"/>
  <c r="F14693" i="1"/>
  <c r="I14692" i="1"/>
  <c r="F14692" i="1"/>
  <c r="I14691" i="1"/>
  <c r="F14691" i="1"/>
  <c r="I14690" i="1"/>
  <c r="F14690" i="1"/>
  <c r="I14689" i="1"/>
  <c r="F14689" i="1"/>
  <c r="I14688" i="1"/>
  <c r="F14688" i="1"/>
  <c r="I14687" i="1"/>
  <c r="F14687" i="1"/>
  <c r="I14686" i="1"/>
  <c r="F14686" i="1"/>
  <c r="I14685" i="1"/>
  <c r="F14685" i="1"/>
  <c r="I14684" i="1"/>
  <c r="F14684" i="1"/>
  <c r="I14683" i="1"/>
  <c r="F14683" i="1"/>
  <c r="I14682" i="1"/>
  <c r="F14682" i="1"/>
  <c r="I14681" i="1"/>
  <c r="F14681" i="1"/>
  <c r="I14680" i="1"/>
  <c r="F14680" i="1"/>
  <c r="I14679" i="1"/>
  <c r="F14679" i="1"/>
  <c r="I14678" i="1"/>
  <c r="F14678" i="1"/>
  <c r="I14677" i="1"/>
  <c r="F14677" i="1"/>
  <c r="I14676" i="1"/>
  <c r="F14676" i="1"/>
  <c r="I14675" i="1"/>
  <c r="F14675" i="1"/>
  <c r="I14674" i="1"/>
  <c r="F14674" i="1"/>
  <c r="I14673" i="1"/>
  <c r="F14673" i="1"/>
  <c r="I14672" i="1"/>
  <c r="F14672" i="1"/>
  <c r="I14671" i="1"/>
  <c r="F14671" i="1"/>
  <c r="I14670" i="1"/>
  <c r="F14670" i="1"/>
  <c r="I14669" i="1"/>
  <c r="F14669" i="1"/>
  <c r="I14668" i="1"/>
  <c r="F14668" i="1"/>
  <c r="I14667" i="1"/>
  <c r="F14667" i="1"/>
  <c r="I14666" i="1"/>
  <c r="F14666" i="1"/>
  <c r="I14665" i="1"/>
  <c r="F14665" i="1"/>
  <c r="I14664" i="1"/>
  <c r="F14664" i="1"/>
  <c r="I14663" i="1"/>
  <c r="F14663" i="1"/>
  <c r="I14662" i="1"/>
  <c r="F14662" i="1"/>
  <c r="I14661" i="1"/>
  <c r="F14661" i="1"/>
  <c r="I14660" i="1"/>
  <c r="F14660" i="1"/>
  <c r="I14659" i="1"/>
  <c r="F14659" i="1"/>
  <c r="I14658" i="1"/>
  <c r="F14658" i="1"/>
  <c r="I14657" i="1"/>
  <c r="F14657" i="1"/>
  <c r="I14656" i="1"/>
  <c r="F14656" i="1"/>
  <c r="I14655" i="1"/>
  <c r="F14655" i="1"/>
  <c r="I14654" i="1"/>
  <c r="F14654" i="1"/>
  <c r="I14653" i="1"/>
  <c r="F14653" i="1"/>
  <c r="I14652" i="1"/>
  <c r="F14652" i="1"/>
  <c r="I14651" i="1"/>
  <c r="F14651" i="1"/>
  <c r="I14650" i="1"/>
  <c r="F14650" i="1"/>
  <c r="I14649" i="1"/>
  <c r="F14649" i="1"/>
  <c r="I14648" i="1"/>
  <c r="F14648" i="1"/>
  <c r="I14647" i="1"/>
  <c r="F14647" i="1"/>
  <c r="I14646" i="1"/>
  <c r="F14646" i="1"/>
  <c r="I14645" i="1"/>
  <c r="F14645" i="1"/>
  <c r="I14644" i="1"/>
  <c r="F14644" i="1"/>
  <c r="I14643" i="1"/>
  <c r="F14643" i="1"/>
  <c r="I14642" i="1"/>
  <c r="F14642" i="1"/>
  <c r="I14641" i="1"/>
  <c r="F14641" i="1"/>
  <c r="I14640" i="1"/>
  <c r="F14640" i="1"/>
  <c r="I14639" i="1"/>
  <c r="F14639" i="1"/>
  <c r="I14638" i="1"/>
  <c r="F14638" i="1"/>
  <c r="I14637" i="1"/>
  <c r="F14637" i="1"/>
  <c r="I14636" i="1"/>
  <c r="F14636" i="1"/>
  <c r="I14635" i="1"/>
  <c r="F14635" i="1"/>
  <c r="I14634" i="1"/>
  <c r="F14634" i="1"/>
  <c r="I14633" i="1"/>
  <c r="F14633" i="1"/>
  <c r="I14632" i="1"/>
  <c r="F14632" i="1"/>
  <c r="I14631" i="1"/>
  <c r="F14631" i="1"/>
  <c r="I14630" i="1"/>
  <c r="F14630" i="1"/>
  <c r="I14629" i="1"/>
  <c r="F14629" i="1"/>
  <c r="I14628" i="1"/>
  <c r="F14628" i="1"/>
  <c r="I14627" i="1"/>
  <c r="F14627" i="1"/>
  <c r="I14626" i="1"/>
  <c r="F14626" i="1"/>
  <c r="I14625" i="1"/>
  <c r="F14625" i="1"/>
  <c r="I14624" i="1"/>
  <c r="F14624" i="1"/>
  <c r="I14623" i="1"/>
  <c r="F14623" i="1"/>
  <c r="I14622" i="1"/>
  <c r="F14622" i="1"/>
  <c r="I14621" i="1"/>
  <c r="F14621" i="1"/>
  <c r="I14620" i="1"/>
  <c r="F14620" i="1"/>
  <c r="I14619" i="1"/>
  <c r="F14619" i="1"/>
  <c r="I14618" i="1"/>
  <c r="F14618" i="1"/>
  <c r="I14617" i="1"/>
  <c r="F14617" i="1"/>
  <c r="I14616" i="1"/>
  <c r="F14616" i="1"/>
  <c r="I14615" i="1"/>
  <c r="F14615" i="1"/>
  <c r="I14614" i="1"/>
  <c r="F14614" i="1"/>
  <c r="I14613" i="1"/>
  <c r="F14613" i="1"/>
  <c r="I14612" i="1"/>
  <c r="F14612" i="1"/>
  <c r="I14611" i="1"/>
  <c r="F14611" i="1"/>
  <c r="I14610" i="1"/>
  <c r="F14610" i="1"/>
  <c r="I14609" i="1"/>
  <c r="F14609" i="1"/>
  <c r="I14608" i="1"/>
  <c r="F14608" i="1"/>
  <c r="I14607" i="1"/>
  <c r="F14607" i="1"/>
  <c r="I14606" i="1"/>
  <c r="F14606" i="1"/>
  <c r="I14605" i="1"/>
  <c r="F14605" i="1"/>
  <c r="I14604" i="1"/>
  <c r="F14604" i="1"/>
  <c r="I14603" i="1"/>
  <c r="F14603" i="1"/>
  <c r="I14602" i="1"/>
  <c r="F14602" i="1"/>
  <c r="I14601" i="1"/>
  <c r="F14601" i="1"/>
  <c r="I14600" i="1"/>
  <c r="F14600" i="1"/>
  <c r="I14599" i="1"/>
  <c r="F14599" i="1"/>
  <c r="I14598" i="1"/>
  <c r="F14598" i="1"/>
  <c r="I14597" i="1"/>
  <c r="F14597" i="1"/>
  <c r="I14596" i="1"/>
  <c r="F14596" i="1"/>
  <c r="I14595" i="1"/>
  <c r="F14595" i="1"/>
  <c r="I14594" i="1"/>
  <c r="F14594" i="1"/>
  <c r="I14593" i="1"/>
  <c r="F14593" i="1"/>
  <c r="I14592" i="1"/>
  <c r="F14592" i="1"/>
  <c r="I14591" i="1"/>
  <c r="F14591" i="1"/>
  <c r="I14590" i="1"/>
  <c r="F14590" i="1"/>
  <c r="I14589" i="1"/>
  <c r="F14589" i="1"/>
  <c r="I14588" i="1"/>
  <c r="F14588" i="1"/>
  <c r="I14587" i="1"/>
  <c r="F14587" i="1"/>
  <c r="I14586" i="1"/>
  <c r="F14586" i="1"/>
  <c r="I14585" i="1"/>
  <c r="F14585" i="1"/>
  <c r="I14584" i="1"/>
  <c r="F14584" i="1"/>
  <c r="I14583" i="1"/>
  <c r="F14583" i="1"/>
  <c r="I14582" i="1"/>
  <c r="F14582" i="1"/>
  <c r="I14581" i="1"/>
  <c r="F14581" i="1"/>
  <c r="I14580" i="1"/>
  <c r="F14580" i="1"/>
  <c r="I14579" i="1"/>
  <c r="F14579" i="1"/>
  <c r="I14578" i="1"/>
  <c r="F14578" i="1"/>
  <c r="I14577" i="1"/>
  <c r="F14577" i="1"/>
  <c r="I14576" i="1"/>
  <c r="F14576" i="1"/>
  <c r="I14575" i="1"/>
  <c r="F14575" i="1"/>
  <c r="I14574" i="1"/>
  <c r="F14574" i="1"/>
  <c r="I14573" i="1"/>
  <c r="F14573" i="1"/>
  <c r="I14572" i="1"/>
  <c r="F14572" i="1"/>
  <c r="I14571" i="1"/>
  <c r="F14571" i="1"/>
  <c r="I14570" i="1"/>
  <c r="F14570" i="1"/>
  <c r="I14569" i="1"/>
  <c r="F14569" i="1"/>
  <c r="I14568" i="1"/>
  <c r="F14568" i="1"/>
  <c r="I14567" i="1"/>
  <c r="F14567" i="1"/>
  <c r="I14566" i="1"/>
  <c r="F14566" i="1"/>
  <c r="I14565" i="1"/>
  <c r="F14565" i="1"/>
  <c r="I14564" i="1"/>
  <c r="F14564" i="1"/>
  <c r="I14563" i="1"/>
  <c r="F14563" i="1"/>
  <c r="I14562" i="1"/>
  <c r="F14562" i="1"/>
  <c r="I14561" i="1"/>
  <c r="F14561" i="1"/>
  <c r="I14560" i="1"/>
  <c r="F14560" i="1"/>
  <c r="I14559" i="1"/>
  <c r="F14559" i="1"/>
  <c r="I14558" i="1"/>
  <c r="F14558" i="1"/>
  <c r="I14557" i="1"/>
  <c r="F14557" i="1"/>
  <c r="I14556" i="1"/>
  <c r="F14556" i="1"/>
  <c r="I14555" i="1"/>
  <c r="F14555" i="1"/>
  <c r="I14554" i="1"/>
  <c r="F14554" i="1"/>
  <c r="I14553" i="1"/>
  <c r="F14553" i="1"/>
  <c r="I14552" i="1"/>
  <c r="F14552" i="1"/>
  <c r="I14551" i="1"/>
  <c r="F14551" i="1"/>
  <c r="I14550" i="1"/>
  <c r="F14550" i="1"/>
  <c r="I14549" i="1"/>
  <c r="F14549" i="1"/>
  <c r="I14548" i="1"/>
  <c r="F14548" i="1"/>
  <c r="I14547" i="1"/>
  <c r="F14547" i="1"/>
  <c r="I14546" i="1"/>
  <c r="F14546" i="1"/>
  <c r="I14545" i="1"/>
  <c r="F14545" i="1"/>
  <c r="I14544" i="1"/>
  <c r="F14544" i="1"/>
  <c r="I14543" i="1"/>
  <c r="F14543" i="1"/>
  <c r="I14542" i="1"/>
  <c r="F14542" i="1"/>
  <c r="I14541" i="1"/>
  <c r="F14541" i="1"/>
  <c r="I14540" i="1"/>
  <c r="F14540" i="1"/>
  <c r="I14539" i="1"/>
  <c r="F14539" i="1"/>
  <c r="I14538" i="1"/>
  <c r="F14538" i="1"/>
  <c r="I14537" i="1"/>
  <c r="F14537" i="1"/>
  <c r="I14536" i="1"/>
  <c r="F14536" i="1"/>
  <c r="I14535" i="1"/>
  <c r="F14535" i="1"/>
  <c r="I14534" i="1"/>
  <c r="F14534" i="1"/>
  <c r="I14533" i="1"/>
  <c r="F14533" i="1"/>
  <c r="I14532" i="1"/>
  <c r="F14532" i="1"/>
  <c r="I14531" i="1"/>
  <c r="F14531" i="1"/>
  <c r="I14530" i="1"/>
  <c r="F14530" i="1"/>
  <c r="I14529" i="1"/>
  <c r="F14529" i="1"/>
  <c r="I14528" i="1"/>
  <c r="F14528" i="1"/>
  <c r="I14527" i="1"/>
  <c r="F14527" i="1"/>
  <c r="I14526" i="1"/>
  <c r="F14526" i="1"/>
  <c r="I14525" i="1"/>
  <c r="F14525" i="1"/>
  <c r="I14524" i="1"/>
  <c r="F14524" i="1"/>
  <c r="I14523" i="1"/>
  <c r="F14523" i="1"/>
  <c r="I14522" i="1"/>
  <c r="F14522" i="1"/>
  <c r="I14521" i="1"/>
  <c r="F14521" i="1"/>
  <c r="I14520" i="1"/>
  <c r="F14520" i="1"/>
  <c r="I14519" i="1"/>
  <c r="F14519" i="1"/>
  <c r="I14518" i="1"/>
  <c r="F14518" i="1"/>
  <c r="I14517" i="1"/>
  <c r="F14517" i="1"/>
  <c r="I14516" i="1"/>
  <c r="F14516" i="1"/>
  <c r="I14515" i="1"/>
  <c r="F14515" i="1"/>
  <c r="I14514" i="1"/>
  <c r="F14514" i="1"/>
  <c r="I14513" i="1"/>
  <c r="F14513" i="1"/>
  <c r="I14512" i="1"/>
  <c r="F14512" i="1"/>
  <c r="I14511" i="1"/>
  <c r="F14511" i="1"/>
  <c r="I14510" i="1"/>
  <c r="F14510" i="1"/>
  <c r="I14509" i="1"/>
  <c r="F14509" i="1"/>
  <c r="I14508" i="1"/>
  <c r="F14508" i="1"/>
  <c r="I14507" i="1"/>
  <c r="F14507" i="1"/>
  <c r="I14506" i="1"/>
  <c r="F14506" i="1"/>
  <c r="I14505" i="1"/>
  <c r="F14505" i="1"/>
  <c r="I14504" i="1"/>
  <c r="F14504" i="1"/>
  <c r="I14503" i="1"/>
  <c r="F14503" i="1"/>
  <c r="I14502" i="1"/>
  <c r="F14502" i="1"/>
  <c r="I14501" i="1"/>
  <c r="F14501" i="1"/>
  <c r="I14500" i="1"/>
  <c r="F14500" i="1"/>
  <c r="I14499" i="1"/>
  <c r="F14499" i="1"/>
  <c r="I14498" i="1"/>
  <c r="F14498" i="1"/>
  <c r="I14497" i="1"/>
  <c r="F14497" i="1"/>
  <c r="I14496" i="1"/>
  <c r="F14496" i="1"/>
  <c r="I14495" i="1"/>
  <c r="F14495" i="1"/>
  <c r="I14494" i="1"/>
  <c r="F14494" i="1"/>
  <c r="I14493" i="1"/>
  <c r="F14493" i="1"/>
  <c r="I14492" i="1"/>
  <c r="F14492" i="1"/>
  <c r="I14491" i="1"/>
  <c r="F14491" i="1"/>
  <c r="I14490" i="1"/>
  <c r="F14490" i="1"/>
  <c r="I14489" i="1"/>
  <c r="F14489" i="1"/>
  <c r="I14488" i="1"/>
  <c r="F14488" i="1"/>
  <c r="I14487" i="1"/>
  <c r="F14487" i="1"/>
  <c r="I14486" i="1"/>
  <c r="F14486" i="1"/>
  <c r="I14485" i="1"/>
  <c r="F14485" i="1"/>
  <c r="I14484" i="1"/>
  <c r="F14484" i="1"/>
  <c r="I14483" i="1"/>
  <c r="F14483" i="1"/>
  <c r="I14482" i="1"/>
  <c r="F14482" i="1"/>
  <c r="I14481" i="1"/>
  <c r="F14481" i="1"/>
  <c r="I14480" i="1"/>
  <c r="F14480" i="1"/>
  <c r="I14479" i="1"/>
  <c r="F14479" i="1"/>
  <c r="I14478" i="1"/>
  <c r="F14478" i="1"/>
  <c r="I14477" i="1"/>
  <c r="F14477" i="1"/>
  <c r="I14476" i="1"/>
  <c r="F14476" i="1"/>
  <c r="I14475" i="1"/>
  <c r="F14475" i="1"/>
  <c r="I14474" i="1"/>
  <c r="F14474" i="1"/>
  <c r="I14473" i="1"/>
  <c r="F14473" i="1"/>
  <c r="I14472" i="1"/>
  <c r="F14472" i="1"/>
  <c r="I14471" i="1"/>
  <c r="F14471" i="1"/>
  <c r="I14470" i="1"/>
  <c r="F14470" i="1"/>
  <c r="I14469" i="1"/>
  <c r="F14469" i="1"/>
  <c r="I14468" i="1"/>
  <c r="F14468" i="1"/>
  <c r="I14467" i="1"/>
  <c r="F14467" i="1"/>
  <c r="I14466" i="1"/>
  <c r="F14466" i="1"/>
  <c r="I14465" i="1"/>
  <c r="F14465" i="1"/>
  <c r="I14464" i="1"/>
  <c r="F14464" i="1"/>
  <c r="I14463" i="1"/>
  <c r="F14463" i="1"/>
  <c r="I14462" i="1"/>
  <c r="F14462" i="1"/>
  <c r="I14461" i="1"/>
  <c r="F14461" i="1"/>
  <c r="I14460" i="1"/>
  <c r="F14460" i="1"/>
  <c r="I14459" i="1"/>
  <c r="F14459" i="1"/>
  <c r="I14458" i="1"/>
  <c r="F14458" i="1"/>
  <c r="I14457" i="1"/>
  <c r="F14457" i="1"/>
  <c r="I14456" i="1"/>
  <c r="F14456" i="1"/>
  <c r="I14455" i="1"/>
  <c r="F14455" i="1"/>
  <c r="I14454" i="1"/>
  <c r="F14454" i="1"/>
  <c r="I14453" i="1"/>
  <c r="F14453" i="1"/>
  <c r="I14452" i="1"/>
  <c r="F14452" i="1"/>
  <c r="I14451" i="1"/>
  <c r="F14451" i="1"/>
  <c r="I14450" i="1"/>
  <c r="F14450" i="1"/>
  <c r="I14449" i="1"/>
  <c r="F14449" i="1"/>
  <c r="I14448" i="1"/>
  <c r="F14448" i="1"/>
  <c r="I14447" i="1"/>
  <c r="F14447" i="1"/>
  <c r="I14446" i="1"/>
  <c r="F14446" i="1"/>
  <c r="I14445" i="1"/>
  <c r="F14445" i="1"/>
  <c r="I14444" i="1"/>
  <c r="F14444" i="1"/>
  <c r="I14443" i="1"/>
  <c r="F14443" i="1"/>
  <c r="I14442" i="1"/>
  <c r="F14442" i="1"/>
  <c r="I14441" i="1"/>
  <c r="F14441" i="1"/>
  <c r="I14440" i="1"/>
  <c r="F14440" i="1"/>
  <c r="I14439" i="1"/>
  <c r="F14439" i="1"/>
  <c r="I14438" i="1"/>
  <c r="F14438" i="1"/>
  <c r="I14437" i="1"/>
  <c r="F14437" i="1"/>
  <c r="I14436" i="1"/>
  <c r="F14436" i="1"/>
  <c r="I14435" i="1"/>
  <c r="F14435" i="1"/>
  <c r="I14434" i="1"/>
  <c r="F14434" i="1"/>
  <c r="I14433" i="1"/>
  <c r="F14433" i="1"/>
  <c r="I14432" i="1"/>
  <c r="F14432" i="1"/>
  <c r="I14431" i="1"/>
  <c r="F14431" i="1"/>
  <c r="I14430" i="1"/>
  <c r="F14430" i="1"/>
  <c r="I14429" i="1"/>
  <c r="F14429" i="1"/>
  <c r="I14428" i="1"/>
  <c r="F14428" i="1"/>
  <c r="I14427" i="1"/>
  <c r="F14427" i="1"/>
  <c r="I14426" i="1"/>
  <c r="F14426" i="1"/>
  <c r="I14425" i="1"/>
  <c r="F14425" i="1"/>
  <c r="I14424" i="1"/>
  <c r="F14424" i="1"/>
  <c r="I14423" i="1"/>
  <c r="F14423" i="1"/>
  <c r="I14422" i="1"/>
  <c r="F14422" i="1"/>
  <c r="I14421" i="1"/>
  <c r="F14421" i="1"/>
  <c r="I14420" i="1"/>
  <c r="F14420" i="1"/>
  <c r="I14419" i="1"/>
  <c r="F14419" i="1"/>
  <c r="I14418" i="1"/>
  <c r="F14418" i="1"/>
  <c r="I14417" i="1"/>
  <c r="F14417" i="1"/>
  <c r="I14416" i="1"/>
  <c r="F14416" i="1"/>
  <c r="I14415" i="1"/>
  <c r="F14415" i="1"/>
  <c r="I14414" i="1"/>
  <c r="F14414" i="1"/>
  <c r="I14413" i="1"/>
  <c r="F14413" i="1"/>
  <c r="I14412" i="1"/>
  <c r="F14412" i="1"/>
  <c r="I14411" i="1"/>
  <c r="F14411" i="1"/>
  <c r="I14410" i="1"/>
  <c r="F14410" i="1"/>
  <c r="I14409" i="1"/>
  <c r="F14409" i="1"/>
  <c r="I14408" i="1"/>
  <c r="F14408" i="1"/>
  <c r="I14407" i="1"/>
  <c r="F14407" i="1"/>
  <c r="I14406" i="1"/>
  <c r="F14406" i="1"/>
  <c r="I14405" i="1"/>
  <c r="F14405" i="1"/>
  <c r="I14404" i="1"/>
  <c r="F14404" i="1"/>
  <c r="I14403" i="1"/>
  <c r="F14403" i="1"/>
  <c r="I14402" i="1"/>
  <c r="F14402" i="1"/>
  <c r="I14401" i="1"/>
  <c r="F14401" i="1"/>
  <c r="I14400" i="1"/>
  <c r="F14400" i="1"/>
  <c r="I14399" i="1"/>
  <c r="F14399" i="1"/>
  <c r="I14398" i="1"/>
  <c r="F14398" i="1"/>
  <c r="I14397" i="1"/>
  <c r="F14397" i="1"/>
  <c r="I14396" i="1"/>
  <c r="F14396" i="1"/>
  <c r="I14395" i="1"/>
  <c r="F14395" i="1"/>
  <c r="I14394" i="1"/>
  <c r="F14394" i="1"/>
  <c r="I14393" i="1"/>
  <c r="F14393" i="1"/>
  <c r="I14392" i="1"/>
  <c r="F14392" i="1"/>
  <c r="I14391" i="1"/>
  <c r="F14391" i="1"/>
  <c r="I14390" i="1"/>
  <c r="F14390" i="1"/>
  <c r="I14389" i="1"/>
  <c r="F14389" i="1"/>
  <c r="I14388" i="1"/>
  <c r="F14388" i="1"/>
  <c r="I14387" i="1"/>
  <c r="F14387" i="1"/>
  <c r="I14386" i="1"/>
  <c r="F14386" i="1"/>
  <c r="I14385" i="1"/>
  <c r="F14385" i="1"/>
  <c r="I14384" i="1"/>
  <c r="F14384" i="1"/>
  <c r="I14383" i="1"/>
  <c r="F14383" i="1"/>
  <c r="I14382" i="1"/>
  <c r="F14382" i="1"/>
  <c r="I14381" i="1"/>
  <c r="F14381" i="1"/>
  <c r="I14380" i="1"/>
  <c r="F14380" i="1"/>
  <c r="I14379" i="1"/>
  <c r="F14379" i="1"/>
  <c r="I14378" i="1"/>
  <c r="F14378" i="1"/>
  <c r="I14377" i="1"/>
  <c r="F14377" i="1"/>
  <c r="I14376" i="1"/>
  <c r="F14376" i="1"/>
  <c r="I14375" i="1"/>
  <c r="F14375" i="1"/>
  <c r="I14374" i="1"/>
  <c r="F14374" i="1"/>
  <c r="I14373" i="1"/>
  <c r="F14373" i="1"/>
  <c r="I14372" i="1"/>
  <c r="F14372" i="1"/>
  <c r="I14371" i="1"/>
  <c r="F14371" i="1"/>
  <c r="I14370" i="1"/>
  <c r="F14370" i="1"/>
  <c r="I14369" i="1"/>
  <c r="F14369" i="1"/>
  <c r="I14368" i="1"/>
  <c r="F14368" i="1"/>
  <c r="I14367" i="1"/>
  <c r="F14367" i="1"/>
  <c r="I14366" i="1"/>
  <c r="F14366" i="1"/>
  <c r="I14365" i="1"/>
  <c r="F14365" i="1"/>
  <c r="I14364" i="1"/>
  <c r="F14364" i="1"/>
  <c r="I14363" i="1"/>
  <c r="F14363" i="1"/>
  <c r="I14362" i="1"/>
  <c r="F14362" i="1"/>
  <c r="I14361" i="1"/>
  <c r="F14361" i="1"/>
  <c r="I14360" i="1"/>
  <c r="F14360" i="1"/>
  <c r="I14359" i="1"/>
  <c r="F14359" i="1"/>
  <c r="I14358" i="1"/>
  <c r="F14358" i="1"/>
  <c r="I14357" i="1"/>
  <c r="F14357" i="1"/>
  <c r="I14356" i="1"/>
  <c r="F14356" i="1"/>
  <c r="I14355" i="1"/>
  <c r="F14355" i="1"/>
  <c r="I14354" i="1"/>
  <c r="F14354" i="1"/>
  <c r="I14353" i="1"/>
  <c r="F14353" i="1"/>
  <c r="I14352" i="1"/>
  <c r="F14352" i="1"/>
  <c r="I14351" i="1"/>
  <c r="F14351" i="1"/>
  <c r="I14350" i="1"/>
  <c r="F14350" i="1"/>
  <c r="I14349" i="1"/>
  <c r="F14349" i="1"/>
  <c r="I14348" i="1"/>
  <c r="F14348" i="1"/>
  <c r="I14347" i="1"/>
  <c r="F14347" i="1"/>
  <c r="I14346" i="1"/>
  <c r="F14346" i="1"/>
  <c r="I14345" i="1"/>
  <c r="F14345" i="1"/>
  <c r="I14344" i="1"/>
  <c r="F14344" i="1"/>
  <c r="I14343" i="1"/>
  <c r="F14343" i="1"/>
  <c r="I14342" i="1"/>
  <c r="F14342" i="1"/>
  <c r="I14341" i="1"/>
  <c r="F14341" i="1"/>
  <c r="I14340" i="1"/>
  <c r="F14340" i="1"/>
  <c r="I14339" i="1"/>
  <c r="F14339" i="1"/>
  <c r="I14338" i="1"/>
  <c r="F14338" i="1"/>
  <c r="I14337" i="1"/>
  <c r="F14337" i="1"/>
  <c r="I14336" i="1"/>
  <c r="F14336" i="1"/>
  <c r="I14335" i="1"/>
  <c r="F14335" i="1"/>
  <c r="I14334" i="1"/>
  <c r="F14334" i="1"/>
  <c r="I14333" i="1"/>
  <c r="F14333" i="1"/>
  <c r="I14332" i="1"/>
  <c r="F14332" i="1"/>
  <c r="I14331" i="1"/>
  <c r="F14331" i="1"/>
  <c r="I14330" i="1"/>
  <c r="F14330" i="1"/>
  <c r="I14329" i="1"/>
  <c r="F14329" i="1"/>
  <c r="I14328" i="1"/>
  <c r="F14328" i="1"/>
  <c r="I14327" i="1"/>
  <c r="F14327" i="1"/>
  <c r="I14326" i="1"/>
  <c r="F14326" i="1"/>
  <c r="I14325" i="1"/>
  <c r="F14325" i="1"/>
  <c r="I14324" i="1"/>
  <c r="F14324" i="1"/>
  <c r="I14323" i="1"/>
  <c r="F14323" i="1"/>
  <c r="I14322" i="1"/>
  <c r="F14322" i="1"/>
  <c r="I14321" i="1"/>
  <c r="F14321" i="1"/>
  <c r="I14320" i="1"/>
  <c r="F14320" i="1"/>
  <c r="I14319" i="1"/>
  <c r="F14319" i="1"/>
  <c r="I14318" i="1"/>
  <c r="F14318" i="1"/>
  <c r="I14317" i="1"/>
  <c r="F14317" i="1"/>
  <c r="I14316" i="1"/>
  <c r="F14316" i="1"/>
  <c r="I14315" i="1"/>
  <c r="F14315" i="1"/>
  <c r="I14314" i="1"/>
  <c r="F14314" i="1"/>
  <c r="I14313" i="1"/>
  <c r="F14313" i="1"/>
  <c r="I14312" i="1"/>
  <c r="F14312" i="1"/>
  <c r="I14311" i="1"/>
  <c r="F14311" i="1"/>
  <c r="I14310" i="1"/>
  <c r="F14310" i="1"/>
  <c r="I14309" i="1"/>
  <c r="F14309" i="1"/>
  <c r="I14308" i="1"/>
  <c r="F14308" i="1"/>
  <c r="I14307" i="1"/>
  <c r="F14307" i="1"/>
  <c r="I14306" i="1"/>
  <c r="F14306" i="1"/>
  <c r="I14305" i="1"/>
  <c r="F14305" i="1"/>
  <c r="I14304" i="1"/>
  <c r="F14304" i="1"/>
  <c r="I14303" i="1"/>
  <c r="F14303" i="1"/>
  <c r="I14302" i="1"/>
  <c r="F14302" i="1"/>
  <c r="I14301" i="1"/>
  <c r="F14301" i="1"/>
  <c r="I14300" i="1"/>
  <c r="F14300" i="1"/>
  <c r="I14299" i="1"/>
  <c r="F14299" i="1"/>
  <c r="I14298" i="1"/>
  <c r="F14298" i="1"/>
  <c r="I14297" i="1"/>
  <c r="F14297" i="1"/>
  <c r="I14296" i="1"/>
  <c r="F14296" i="1"/>
  <c r="I14295" i="1"/>
  <c r="F14295" i="1"/>
  <c r="I14294" i="1"/>
  <c r="F14294" i="1"/>
  <c r="I14293" i="1"/>
  <c r="F14293" i="1"/>
  <c r="I14292" i="1"/>
  <c r="F14292" i="1"/>
  <c r="I14291" i="1"/>
  <c r="F14291" i="1"/>
  <c r="I14290" i="1"/>
  <c r="F14290" i="1"/>
  <c r="I14289" i="1"/>
  <c r="F14289" i="1"/>
  <c r="I14288" i="1"/>
  <c r="F14288" i="1"/>
  <c r="I14287" i="1"/>
  <c r="F14287" i="1"/>
  <c r="I14286" i="1"/>
  <c r="F14286" i="1"/>
  <c r="I14285" i="1"/>
  <c r="F14285" i="1"/>
  <c r="I14284" i="1"/>
  <c r="F14284" i="1"/>
  <c r="I14283" i="1"/>
  <c r="F14283" i="1"/>
  <c r="I14282" i="1"/>
  <c r="F14282" i="1"/>
  <c r="I14281" i="1"/>
  <c r="F14281" i="1"/>
  <c r="I14280" i="1"/>
  <c r="F14280" i="1"/>
  <c r="I14279" i="1"/>
  <c r="F14279" i="1"/>
  <c r="I14278" i="1"/>
  <c r="F14278" i="1"/>
  <c r="I14277" i="1"/>
  <c r="F14277" i="1"/>
  <c r="I14276" i="1"/>
  <c r="F14276" i="1"/>
  <c r="I14275" i="1"/>
  <c r="F14275" i="1"/>
  <c r="I14274" i="1"/>
  <c r="F14274" i="1"/>
  <c r="I14273" i="1"/>
  <c r="F14273" i="1"/>
  <c r="I14272" i="1"/>
  <c r="F14272" i="1"/>
  <c r="I14271" i="1"/>
  <c r="F14271" i="1"/>
  <c r="I14270" i="1"/>
  <c r="F14270" i="1"/>
  <c r="I14269" i="1"/>
  <c r="F14269" i="1"/>
  <c r="I14268" i="1"/>
  <c r="F14268" i="1"/>
  <c r="I14267" i="1"/>
  <c r="F14267" i="1"/>
  <c r="I14266" i="1"/>
  <c r="F14266" i="1"/>
  <c r="I14265" i="1"/>
  <c r="F14265" i="1"/>
  <c r="I14264" i="1"/>
  <c r="F14264" i="1"/>
  <c r="I14263" i="1"/>
  <c r="F14263" i="1"/>
  <c r="I14262" i="1"/>
  <c r="F14262" i="1"/>
  <c r="I14261" i="1"/>
  <c r="F14261" i="1"/>
  <c r="I14260" i="1"/>
  <c r="F14260" i="1"/>
  <c r="I14259" i="1"/>
  <c r="F14259" i="1"/>
  <c r="I14258" i="1"/>
  <c r="F14258" i="1"/>
  <c r="I14257" i="1"/>
  <c r="F14257" i="1"/>
  <c r="I14256" i="1"/>
  <c r="F14256" i="1"/>
  <c r="I14255" i="1"/>
  <c r="F14255" i="1"/>
  <c r="I14254" i="1"/>
  <c r="F14254" i="1"/>
  <c r="I14253" i="1"/>
  <c r="F14253" i="1"/>
  <c r="I14252" i="1"/>
  <c r="F14252" i="1"/>
  <c r="I14251" i="1"/>
  <c r="F14251" i="1"/>
  <c r="I14250" i="1"/>
  <c r="F14250" i="1"/>
  <c r="I14249" i="1"/>
  <c r="F14249" i="1"/>
  <c r="I14248" i="1"/>
  <c r="F14248" i="1"/>
  <c r="I14247" i="1"/>
  <c r="F14247" i="1"/>
  <c r="I14246" i="1"/>
  <c r="F14246" i="1"/>
  <c r="I14245" i="1"/>
  <c r="F14245" i="1"/>
  <c r="I14244" i="1"/>
  <c r="F14244" i="1"/>
  <c r="I14243" i="1"/>
  <c r="F14243" i="1"/>
  <c r="I14242" i="1"/>
  <c r="F14242" i="1"/>
  <c r="I14241" i="1"/>
  <c r="F14241" i="1"/>
  <c r="I14240" i="1"/>
  <c r="F14240" i="1"/>
  <c r="I14239" i="1"/>
  <c r="F14239" i="1"/>
  <c r="I14238" i="1"/>
  <c r="F14238" i="1"/>
  <c r="I14237" i="1"/>
  <c r="F14237" i="1"/>
  <c r="I14236" i="1"/>
  <c r="F14236" i="1"/>
  <c r="I14235" i="1"/>
  <c r="F14235" i="1"/>
  <c r="I14234" i="1"/>
  <c r="F14234" i="1"/>
  <c r="I14233" i="1"/>
  <c r="F14233" i="1"/>
  <c r="I14232" i="1"/>
  <c r="F14232" i="1"/>
  <c r="I14231" i="1"/>
  <c r="F14231" i="1"/>
  <c r="I14230" i="1"/>
  <c r="F14230" i="1"/>
  <c r="I14229" i="1"/>
  <c r="F14229" i="1"/>
  <c r="I14228" i="1"/>
  <c r="F14228" i="1"/>
  <c r="I14227" i="1"/>
  <c r="F14227" i="1"/>
  <c r="I14226" i="1"/>
  <c r="F14226" i="1"/>
  <c r="I14225" i="1"/>
  <c r="F14225" i="1"/>
  <c r="I14224" i="1"/>
  <c r="F14224" i="1"/>
  <c r="I14223" i="1"/>
  <c r="F14223" i="1"/>
  <c r="I14222" i="1"/>
  <c r="F14222" i="1"/>
  <c r="I14221" i="1"/>
  <c r="F14221" i="1"/>
  <c r="I14220" i="1"/>
  <c r="F14220" i="1"/>
  <c r="I14219" i="1"/>
  <c r="F14219" i="1"/>
  <c r="I14218" i="1"/>
  <c r="F14218" i="1"/>
  <c r="I14217" i="1"/>
  <c r="F14217" i="1"/>
  <c r="I14216" i="1"/>
  <c r="F14216" i="1"/>
  <c r="I14215" i="1"/>
  <c r="F14215" i="1"/>
  <c r="I14214" i="1"/>
  <c r="F14214" i="1"/>
  <c r="I14213" i="1"/>
  <c r="F14213" i="1"/>
  <c r="I14212" i="1"/>
  <c r="F14212" i="1"/>
  <c r="I14211" i="1"/>
  <c r="F14211" i="1"/>
  <c r="I14210" i="1"/>
  <c r="F14210" i="1"/>
  <c r="I14209" i="1"/>
  <c r="F14209" i="1"/>
  <c r="I14208" i="1"/>
  <c r="F14208" i="1"/>
  <c r="I14207" i="1"/>
  <c r="F14207" i="1"/>
  <c r="I14206" i="1"/>
  <c r="F14206" i="1"/>
  <c r="I14205" i="1"/>
  <c r="F14205" i="1"/>
  <c r="I14204" i="1"/>
  <c r="F14204" i="1"/>
  <c r="I14203" i="1"/>
  <c r="F14203" i="1"/>
  <c r="I14202" i="1"/>
  <c r="F14202" i="1"/>
  <c r="I14201" i="1"/>
  <c r="F14201" i="1"/>
  <c r="I14200" i="1"/>
  <c r="F14200" i="1"/>
  <c r="I14199" i="1"/>
  <c r="F14199" i="1"/>
  <c r="I14198" i="1"/>
  <c r="F14198" i="1"/>
  <c r="I14197" i="1"/>
  <c r="F14197" i="1"/>
  <c r="I14196" i="1"/>
  <c r="F14196" i="1"/>
  <c r="I14195" i="1"/>
  <c r="F14195" i="1"/>
  <c r="I14194" i="1"/>
  <c r="F14194" i="1"/>
  <c r="I14193" i="1"/>
  <c r="F14193" i="1"/>
  <c r="I14192" i="1"/>
  <c r="F14192" i="1"/>
  <c r="I14191" i="1"/>
  <c r="F14191" i="1"/>
  <c r="I14190" i="1"/>
  <c r="F14190" i="1"/>
  <c r="I14189" i="1"/>
  <c r="F14189" i="1"/>
  <c r="I14188" i="1"/>
  <c r="F14188" i="1"/>
  <c r="I14187" i="1"/>
  <c r="F14187" i="1"/>
  <c r="I14186" i="1"/>
  <c r="F14186" i="1"/>
  <c r="I14185" i="1"/>
  <c r="F14185" i="1"/>
  <c r="I14184" i="1"/>
  <c r="F14184" i="1"/>
  <c r="I14183" i="1"/>
  <c r="F14183" i="1"/>
  <c r="I14182" i="1"/>
  <c r="F14182" i="1"/>
  <c r="I14181" i="1"/>
  <c r="F14181" i="1"/>
  <c r="I14180" i="1"/>
  <c r="F14180" i="1"/>
  <c r="I14179" i="1"/>
  <c r="F14179" i="1"/>
  <c r="I14178" i="1"/>
  <c r="F14178" i="1"/>
  <c r="I14177" i="1"/>
  <c r="F14177" i="1"/>
  <c r="I14176" i="1"/>
  <c r="F14176" i="1"/>
  <c r="I14175" i="1"/>
  <c r="F14175" i="1"/>
  <c r="I14174" i="1"/>
  <c r="F14174" i="1"/>
  <c r="I14173" i="1"/>
  <c r="F14173" i="1"/>
  <c r="I14172" i="1"/>
  <c r="F14172" i="1"/>
  <c r="I14171" i="1"/>
  <c r="F14171" i="1"/>
  <c r="I14170" i="1"/>
  <c r="F14170" i="1"/>
  <c r="I14169" i="1"/>
  <c r="F14169" i="1"/>
  <c r="I14168" i="1"/>
  <c r="F14168" i="1"/>
  <c r="I14167" i="1"/>
  <c r="F14167" i="1"/>
  <c r="I14166" i="1"/>
  <c r="F14166" i="1"/>
  <c r="I14165" i="1"/>
  <c r="F14165" i="1"/>
  <c r="I14164" i="1"/>
  <c r="F14164" i="1"/>
  <c r="I14163" i="1"/>
  <c r="F14163" i="1"/>
  <c r="I14162" i="1"/>
  <c r="F14162" i="1"/>
  <c r="I14161" i="1"/>
  <c r="F14161" i="1"/>
  <c r="I14160" i="1"/>
  <c r="F14160" i="1"/>
  <c r="I14159" i="1"/>
  <c r="F14159" i="1"/>
  <c r="I14158" i="1"/>
  <c r="F14158" i="1"/>
  <c r="I14157" i="1"/>
  <c r="F14157" i="1"/>
  <c r="I14156" i="1"/>
  <c r="F14156" i="1"/>
  <c r="I14155" i="1"/>
  <c r="F14155" i="1"/>
  <c r="I14154" i="1"/>
  <c r="F14154" i="1"/>
  <c r="I14153" i="1"/>
  <c r="F14153" i="1"/>
  <c r="I14152" i="1"/>
  <c r="F14152" i="1"/>
  <c r="I14151" i="1"/>
  <c r="F14151" i="1"/>
  <c r="I14150" i="1"/>
  <c r="F14150" i="1"/>
  <c r="I14149" i="1"/>
  <c r="F14149" i="1"/>
  <c r="I14148" i="1"/>
  <c r="F14148" i="1"/>
  <c r="I14147" i="1"/>
  <c r="F14147" i="1"/>
  <c r="I14146" i="1"/>
  <c r="F14146" i="1"/>
  <c r="I14145" i="1"/>
  <c r="F14145" i="1"/>
  <c r="I14144" i="1"/>
  <c r="F14144" i="1"/>
  <c r="I14143" i="1"/>
  <c r="F14143" i="1"/>
  <c r="I14142" i="1"/>
  <c r="F14142" i="1"/>
  <c r="I14141" i="1"/>
  <c r="F14141" i="1"/>
  <c r="I14140" i="1"/>
  <c r="F14140" i="1"/>
  <c r="I14139" i="1"/>
  <c r="F14139" i="1"/>
  <c r="I14138" i="1"/>
  <c r="F14138" i="1"/>
  <c r="I14137" i="1"/>
  <c r="F14137" i="1"/>
  <c r="I14136" i="1"/>
  <c r="F14136" i="1"/>
  <c r="I14135" i="1"/>
  <c r="F14135" i="1"/>
  <c r="I14134" i="1"/>
  <c r="F14134" i="1"/>
  <c r="I14133" i="1"/>
  <c r="F14133" i="1"/>
  <c r="I14132" i="1"/>
  <c r="F14132" i="1"/>
  <c r="I14131" i="1"/>
  <c r="F14131" i="1"/>
  <c r="I14130" i="1"/>
  <c r="F14130" i="1"/>
  <c r="I14129" i="1"/>
  <c r="F14129" i="1"/>
  <c r="I14128" i="1"/>
  <c r="F14128" i="1"/>
  <c r="I14127" i="1"/>
  <c r="F14127" i="1"/>
  <c r="I14126" i="1"/>
  <c r="F14126" i="1"/>
  <c r="I14125" i="1"/>
  <c r="F14125" i="1"/>
  <c r="I14124" i="1"/>
  <c r="F14124" i="1"/>
  <c r="I14123" i="1"/>
  <c r="F14123" i="1"/>
  <c r="I14122" i="1"/>
  <c r="F14122" i="1"/>
  <c r="I14121" i="1"/>
  <c r="F14121" i="1"/>
  <c r="I14120" i="1"/>
  <c r="F14120" i="1"/>
  <c r="I14119" i="1"/>
  <c r="F14119" i="1"/>
  <c r="I14118" i="1"/>
  <c r="F14118" i="1"/>
  <c r="I14117" i="1"/>
  <c r="F14117" i="1"/>
  <c r="I14116" i="1"/>
  <c r="F14116" i="1"/>
  <c r="I14115" i="1"/>
  <c r="F14115" i="1"/>
  <c r="I14114" i="1"/>
  <c r="F14114" i="1"/>
  <c r="I14113" i="1"/>
  <c r="F14113" i="1"/>
  <c r="I14112" i="1"/>
  <c r="F14112" i="1"/>
  <c r="I14111" i="1"/>
  <c r="F14111" i="1"/>
  <c r="I14110" i="1"/>
  <c r="F14110" i="1"/>
  <c r="I14109" i="1"/>
  <c r="F14109" i="1"/>
  <c r="I14108" i="1"/>
  <c r="F14108" i="1"/>
  <c r="I14107" i="1"/>
  <c r="F14107" i="1"/>
  <c r="I14106" i="1"/>
  <c r="F14106" i="1"/>
  <c r="I14105" i="1"/>
  <c r="F14105" i="1"/>
  <c r="I14104" i="1"/>
  <c r="F14104" i="1"/>
  <c r="I14103" i="1"/>
  <c r="F14103" i="1"/>
  <c r="I14102" i="1"/>
  <c r="F14102" i="1"/>
  <c r="I14101" i="1"/>
  <c r="F14101" i="1"/>
  <c r="I14100" i="1"/>
  <c r="F14100" i="1"/>
  <c r="I14099" i="1"/>
  <c r="F14099" i="1"/>
  <c r="I14098" i="1"/>
  <c r="F14098" i="1"/>
  <c r="I14097" i="1"/>
  <c r="F14097" i="1"/>
  <c r="I14096" i="1"/>
  <c r="F14096" i="1"/>
  <c r="I14095" i="1"/>
  <c r="F14095" i="1"/>
  <c r="I14094" i="1"/>
  <c r="F14094" i="1"/>
  <c r="I14093" i="1"/>
  <c r="F14093" i="1"/>
  <c r="I14092" i="1"/>
  <c r="F14092" i="1"/>
  <c r="I14091" i="1"/>
  <c r="F14091" i="1"/>
  <c r="I14090" i="1"/>
  <c r="F14090" i="1"/>
  <c r="I14089" i="1"/>
  <c r="F14089" i="1"/>
  <c r="I14088" i="1"/>
  <c r="F14088" i="1"/>
  <c r="I14087" i="1"/>
  <c r="F14087" i="1"/>
  <c r="I14086" i="1"/>
  <c r="F14086" i="1"/>
  <c r="I14085" i="1"/>
  <c r="F14085" i="1"/>
  <c r="I14084" i="1"/>
  <c r="F14084" i="1"/>
  <c r="I14083" i="1"/>
  <c r="F14083" i="1"/>
  <c r="I14082" i="1"/>
  <c r="F14082" i="1"/>
  <c r="I14081" i="1"/>
  <c r="F14081" i="1"/>
  <c r="I14080" i="1"/>
  <c r="F14080" i="1"/>
  <c r="I14079" i="1"/>
  <c r="F14079" i="1"/>
  <c r="I14078" i="1"/>
  <c r="F14078" i="1"/>
  <c r="I14077" i="1"/>
  <c r="F14077" i="1"/>
  <c r="I14076" i="1"/>
  <c r="F14076" i="1"/>
  <c r="I14075" i="1"/>
  <c r="F14075" i="1"/>
  <c r="I14074" i="1"/>
  <c r="F14074" i="1"/>
  <c r="I14073" i="1"/>
  <c r="F14073" i="1"/>
  <c r="I14072" i="1"/>
  <c r="F14072" i="1"/>
  <c r="I14071" i="1"/>
  <c r="F14071" i="1"/>
  <c r="I14070" i="1"/>
  <c r="F14070" i="1"/>
  <c r="I14069" i="1"/>
  <c r="F14069" i="1"/>
  <c r="I14068" i="1"/>
  <c r="F14068" i="1"/>
  <c r="I14067" i="1"/>
  <c r="F14067" i="1"/>
  <c r="I14066" i="1"/>
  <c r="F14066" i="1"/>
  <c r="I14065" i="1"/>
  <c r="F14065" i="1"/>
  <c r="I14064" i="1"/>
  <c r="F14064" i="1"/>
  <c r="I14063" i="1"/>
  <c r="F14063" i="1"/>
  <c r="I14062" i="1"/>
  <c r="F14062" i="1"/>
  <c r="I14061" i="1"/>
  <c r="F14061" i="1"/>
  <c r="I14060" i="1"/>
  <c r="F14060" i="1"/>
  <c r="I14059" i="1"/>
  <c r="F14059" i="1"/>
  <c r="I14058" i="1"/>
  <c r="F14058" i="1"/>
  <c r="I14057" i="1"/>
  <c r="F14057" i="1"/>
  <c r="I14056" i="1"/>
  <c r="F14056" i="1"/>
  <c r="I14055" i="1"/>
  <c r="F14055" i="1"/>
  <c r="I14054" i="1"/>
  <c r="F14054" i="1"/>
  <c r="I14053" i="1"/>
  <c r="F14053" i="1"/>
  <c r="I14052" i="1"/>
  <c r="F14052" i="1"/>
  <c r="I14051" i="1"/>
  <c r="F14051" i="1"/>
  <c r="I14050" i="1"/>
  <c r="F14050" i="1"/>
  <c r="I14049" i="1"/>
  <c r="F14049" i="1"/>
  <c r="I14048" i="1"/>
  <c r="F14048" i="1"/>
  <c r="I14047" i="1"/>
  <c r="F14047" i="1"/>
  <c r="I14046" i="1"/>
  <c r="F14046" i="1"/>
  <c r="I14045" i="1"/>
  <c r="F14045" i="1"/>
  <c r="I14044" i="1"/>
  <c r="F14044" i="1"/>
  <c r="I14043" i="1"/>
  <c r="F14043" i="1"/>
  <c r="I14042" i="1"/>
  <c r="F14042" i="1"/>
  <c r="I14041" i="1"/>
  <c r="F14041" i="1"/>
  <c r="I14040" i="1"/>
  <c r="F14040" i="1"/>
  <c r="I14039" i="1"/>
  <c r="F14039" i="1"/>
  <c r="I14038" i="1"/>
  <c r="F14038" i="1"/>
  <c r="I14037" i="1"/>
  <c r="F14037" i="1"/>
  <c r="I14036" i="1"/>
  <c r="F14036" i="1"/>
  <c r="I14035" i="1"/>
  <c r="F14035" i="1"/>
  <c r="I14034" i="1"/>
  <c r="F14034" i="1"/>
  <c r="I14033" i="1"/>
  <c r="F14033" i="1"/>
  <c r="I14032" i="1"/>
  <c r="F14032" i="1"/>
  <c r="I14031" i="1"/>
  <c r="F14031" i="1"/>
  <c r="I14030" i="1"/>
  <c r="F14030" i="1"/>
  <c r="I14029" i="1"/>
  <c r="F14029" i="1"/>
  <c r="I14028" i="1"/>
  <c r="F14028" i="1"/>
  <c r="I14027" i="1"/>
  <c r="F14027" i="1"/>
  <c r="I14026" i="1"/>
  <c r="F14026" i="1"/>
  <c r="I14025" i="1"/>
  <c r="F14025" i="1"/>
  <c r="I14024" i="1"/>
  <c r="F14024" i="1"/>
  <c r="I14023" i="1"/>
  <c r="F14023" i="1"/>
  <c r="I14022" i="1"/>
  <c r="F14022" i="1"/>
  <c r="I14021" i="1"/>
  <c r="F14021" i="1"/>
  <c r="I14020" i="1"/>
  <c r="F14020" i="1"/>
  <c r="I14019" i="1"/>
  <c r="F14019" i="1"/>
  <c r="I14018" i="1"/>
  <c r="F14018" i="1"/>
  <c r="I14017" i="1"/>
  <c r="F14017" i="1"/>
  <c r="I14016" i="1"/>
  <c r="F14016" i="1"/>
  <c r="I14015" i="1"/>
  <c r="F14015" i="1"/>
  <c r="I14014" i="1"/>
  <c r="F14014" i="1"/>
  <c r="I14013" i="1"/>
  <c r="F14013" i="1"/>
  <c r="I14012" i="1"/>
  <c r="F14012" i="1"/>
  <c r="I14011" i="1"/>
  <c r="F14011" i="1"/>
  <c r="I14010" i="1"/>
  <c r="F14010" i="1"/>
  <c r="I14009" i="1"/>
  <c r="F14009" i="1"/>
  <c r="I14008" i="1"/>
  <c r="F14008" i="1"/>
  <c r="I14007" i="1"/>
  <c r="F14007" i="1"/>
  <c r="I14006" i="1"/>
  <c r="F14006" i="1"/>
  <c r="I14005" i="1"/>
  <c r="F14005" i="1"/>
  <c r="I14004" i="1"/>
  <c r="F14004" i="1"/>
  <c r="I14003" i="1"/>
  <c r="F14003" i="1"/>
  <c r="I14002" i="1"/>
  <c r="F14002" i="1"/>
  <c r="I14001" i="1"/>
  <c r="F14001" i="1"/>
  <c r="I14000" i="1"/>
  <c r="F14000" i="1"/>
  <c r="I13999" i="1"/>
  <c r="F13999" i="1"/>
  <c r="I13998" i="1"/>
  <c r="F13998" i="1"/>
  <c r="I13997" i="1"/>
  <c r="F13997" i="1"/>
  <c r="I13996" i="1"/>
  <c r="F13996" i="1"/>
  <c r="I13995" i="1"/>
  <c r="F13995" i="1"/>
  <c r="I13994" i="1"/>
  <c r="F13994" i="1"/>
  <c r="I13993" i="1"/>
  <c r="F13993" i="1"/>
  <c r="I13992" i="1"/>
  <c r="F13992" i="1"/>
  <c r="I13991" i="1"/>
  <c r="F13991" i="1"/>
  <c r="I13990" i="1"/>
  <c r="F13990" i="1"/>
  <c r="I13989" i="1"/>
  <c r="F13989" i="1"/>
  <c r="I13988" i="1"/>
  <c r="F13988" i="1"/>
  <c r="I13987" i="1"/>
  <c r="F13987" i="1"/>
  <c r="I13986" i="1"/>
  <c r="F13986" i="1"/>
  <c r="I13985" i="1"/>
  <c r="F13985" i="1"/>
  <c r="I13984" i="1"/>
  <c r="F13984" i="1"/>
  <c r="I13983" i="1"/>
  <c r="F13983" i="1"/>
  <c r="I13982" i="1"/>
  <c r="F13982" i="1"/>
  <c r="I13981" i="1"/>
  <c r="F13981" i="1"/>
  <c r="I13980" i="1"/>
  <c r="F13980" i="1"/>
  <c r="I13979" i="1"/>
  <c r="F13979" i="1"/>
  <c r="I13978" i="1"/>
  <c r="F13978" i="1"/>
  <c r="I13977" i="1"/>
  <c r="F13977" i="1"/>
  <c r="I13976" i="1"/>
  <c r="F13976" i="1"/>
  <c r="I13975" i="1"/>
  <c r="F13975" i="1"/>
  <c r="I13974" i="1"/>
  <c r="F13974" i="1"/>
  <c r="I13973" i="1"/>
  <c r="F13973" i="1"/>
  <c r="I13972" i="1"/>
  <c r="F13972" i="1"/>
  <c r="I13971" i="1"/>
  <c r="F13971" i="1"/>
  <c r="I13970" i="1"/>
  <c r="F13970" i="1"/>
  <c r="I13969" i="1"/>
  <c r="F13969" i="1"/>
  <c r="I13968" i="1"/>
  <c r="F13968" i="1"/>
  <c r="I13967" i="1"/>
  <c r="F13967" i="1"/>
  <c r="I13966" i="1"/>
  <c r="F13966" i="1"/>
  <c r="I13965" i="1"/>
  <c r="F13965" i="1"/>
  <c r="I13964" i="1"/>
  <c r="F13964" i="1"/>
  <c r="I13963" i="1"/>
  <c r="F13963" i="1"/>
  <c r="I13962" i="1"/>
  <c r="F13962" i="1"/>
  <c r="I13961" i="1"/>
  <c r="F13961" i="1"/>
  <c r="I13960" i="1"/>
  <c r="F13960" i="1"/>
  <c r="I13959" i="1"/>
  <c r="F13959" i="1"/>
  <c r="I13958" i="1"/>
  <c r="F13958" i="1"/>
  <c r="I13957" i="1"/>
  <c r="F13957" i="1"/>
  <c r="I13956" i="1"/>
  <c r="F13956" i="1"/>
  <c r="I13955" i="1"/>
  <c r="F13955" i="1"/>
  <c r="I13954" i="1"/>
  <c r="F13954" i="1"/>
  <c r="I13953" i="1"/>
  <c r="F13953" i="1"/>
  <c r="I13952" i="1"/>
  <c r="F13952" i="1"/>
  <c r="I13951" i="1"/>
  <c r="F13951" i="1"/>
  <c r="I13950" i="1"/>
  <c r="F13950" i="1"/>
  <c r="I13949" i="1"/>
  <c r="F13949" i="1"/>
  <c r="I13948" i="1"/>
  <c r="F13948" i="1"/>
  <c r="I13947" i="1"/>
  <c r="F13947" i="1"/>
  <c r="I13946" i="1"/>
  <c r="F13946" i="1"/>
  <c r="I13945" i="1"/>
  <c r="F13945" i="1"/>
  <c r="I13944" i="1"/>
  <c r="F13944" i="1"/>
  <c r="I13943" i="1"/>
  <c r="F13943" i="1"/>
  <c r="I13942" i="1"/>
  <c r="F13942" i="1"/>
  <c r="I13941" i="1"/>
  <c r="F13941" i="1"/>
  <c r="I13940" i="1"/>
  <c r="F13940" i="1"/>
  <c r="I13939" i="1"/>
  <c r="F13939" i="1"/>
  <c r="I13938" i="1"/>
  <c r="F13938" i="1"/>
  <c r="I13937" i="1"/>
  <c r="F13937" i="1"/>
  <c r="I13936" i="1"/>
  <c r="F13936" i="1"/>
  <c r="I13935" i="1"/>
  <c r="F13935" i="1"/>
  <c r="I13934" i="1"/>
  <c r="F13934" i="1"/>
  <c r="I13933" i="1"/>
  <c r="F13933" i="1"/>
  <c r="I13932" i="1"/>
  <c r="F13932" i="1"/>
  <c r="I13931" i="1"/>
  <c r="F13931" i="1"/>
  <c r="I13930" i="1"/>
  <c r="F13930" i="1"/>
  <c r="I13929" i="1"/>
  <c r="F13929" i="1"/>
  <c r="I13928" i="1"/>
  <c r="F13928" i="1"/>
  <c r="I13927" i="1"/>
  <c r="F13927" i="1"/>
  <c r="I13926" i="1"/>
  <c r="F13926" i="1"/>
  <c r="I13925" i="1"/>
  <c r="F13925" i="1"/>
  <c r="I13924" i="1"/>
  <c r="F13924" i="1"/>
  <c r="I13923" i="1"/>
  <c r="F13923" i="1"/>
  <c r="I13922" i="1"/>
  <c r="F13922" i="1"/>
  <c r="I13921" i="1"/>
  <c r="F13921" i="1"/>
  <c r="I13920" i="1"/>
  <c r="F13920" i="1"/>
  <c r="I13919" i="1"/>
  <c r="F13919" i="1"/>
  <c r="I13918" i="1"/>
  <c r="F13918" i="1"/>
  <c r="I13917" i="1"/>
  <c r="F13917" i="1"/>
  <c r="I13916" i="1"/>
  <c r="F13916" i="1"/>
  <c r="I13915" i="1"/>
  <c r="F13915" i="1"/>
  <c r="I13914" i="1"/>
  <c r="F13914" i="1"/>
  <c r="I13913" i="1"/>
  <c r="F13913" i="1"/>
  <c r="I13912" i="1"/>
  <c r="F13912" i="1"/>
  <c r="I13911" i="1"/>
  <c r="F13911" i="1"/>
  <c r="I13910" i="1"/>
  <c r="F13910" i="1"/>
  <c r="I13909" i="1"/>
  <c r="F13909" i="1"/>
  <c r="I13908" i="1"/>
  <c r="F13908" i="1"/>
  <c r="I13907" i="1"/>
  <c r="F13907" i="1"/>
  <c r="I13906" i="1"/>
  <c r="F13906" i="1"/>
  <c r="I13905" i="1"/>
  <c r="F13905" i="1"/>
  <c r="I13904" i="1"/>
  <c r="F13904" i="1"/>
  <c r="I13903" i="1"/>
  <c r="F13903" i="1"/>
  <c r="I13902" i="1"/>
  <c r="F13902" i="1"/>
  <c r="I13901" i="1"/>
  <c r="F13901" i="1"/>
  <c r="I13900" i="1"/>
  <c r="F13900" i="1"/>
  <c r="I13899" i="1"/>
  <c r="F13899" i="1"/>
  <c r="I13898" i="1"/>
  <c r="F13898" i="1"/>
  <c r="I13897" i="1"/>
  <c r="F13897" i="1"/>
  <c r="I13896" i="1"/>
  <c r="F13896" i="1"/>
  <c r="I13895" i="1"/>
  <c r="F13895" i="1"/>
  <c r="I13894" i="1"/>
  <c r="F13894" i="1"/>
  <c r="I13893" i="1"/>
  <c r="F13893" i="1"/>
  <c r="I13892" i="1"/>
  <c r="F13892" i="1"/>
  <c r="I13891" i="1"/>
  <c r="F13891" i="1"/>
  <c r="I13890" i="1"/>
  <c r="F13890" i="1"/>
  <c r="I13889" i="1"/>
  <c r="F13889" i="1"/>
  <c r="I13888" i="1"/>
  <c r="F13888" i="1"/>
  <c r="I13887" i="1"/>
  <c r="F13887" i="1"/>
  <c r="I13886" i="1"/>
  <c r="F13886" i="1"/>
  <c r="I13885" i="1"/>
  <c r="F13885" i="1"/>
  <c r="I13884" i="1"/>
  <c r="F13884" i="1"/>
  <c r="I13883" i="1"/>
  <c r="F13883" i="1"/>
  <c r="I13882" i="1"/>
  <c r="F13882" i="1"/>
  <c r="I13881" i="1"/>
  <c r="F13881" i="1"/>
  <c r="I13880" i="1"/>
  <c r="F13880" i="1"/>
  <c r="I13879" i="1"/>
  <c r="F13879" i="1"/>
  <c r="I13878" i="1"/>
  <c r="F13878" i="1"/>
  <c r="I13877" i="1"/>
  <c r="F13877" i="1"/>
  <c r="I13876" i="1"/>
  <c r="F13876" i="1"/>
  <c r="I13875" i="1"/>
  <c r="F13875" i="1"/>
  <c r="I13874" i="1"/>
  <c r="F13874" i="1"/>
  <c r="I13873" i="1"/>
  <c r="F13873" i="1"/>
  <c r="I13872" i="1"/>
  <c r="F13872" i="1"/>
  <c r="I13871" i="1"/>
  <c r="F13871" i="1"/>
  <c r="I13870" i="1"/>
  <c r="F13870" i="1"/>
  <c r="I13869" i="1"/>
  <c r="F13869" i="1"/>
  <c r="I13868" i="1"/>
  <c r="F13868" i="1"/>
  <c r="I13867" i="1"/>
  <c r="F13867" i="1"/>
  <c r="I13866" i="1"/>
  <c r="F13866" i="1"/>
  <c r="I13865" i="1"/>
  <c r="F13865" i="1"/>
  <c r="I13864" i="1"/>
  <c r="F13864" i="1"/>
  <c r="I13863" i="1"/>
  <c r="F13863" i="1"/>
  <c r="I13862" i="1"/>
  <c r="F13862" i="1"/>
  <c r="I13861" i="1"/>
  <c r="F13861" i="1"/>
  <c r="I13860" i="1"/>
  <c r="F13860" i="1"/>
  <c r="I13859" i="1"/>
  <c r="F13859" i="1"/>
  <c r="I13858" i="1"/>
  <c r="F13858" i="1"/>
  <c r="I13857" i="1"/>
  <c r="F13857" i="1"/>
  <c r="I13856" i="1"/>
  <c r="F13856" i="1"/>
  <c r="I13855" i="1"/>
  <c r="F13855" i="1"/>
  <c r="I13854" i="1"/>
  <c r="F13854" i="1"/>
  <c r="I13853" i="1"/>
  <c r="F13853" i="1"/>
  <c r="I13852" i="1"/>
  <c r="F13852" i="1"/>
  <c r="I13851" i="1"/>
  <c r="F13851" i="1"/>
  <c r="I13850" i="1"/>
  <c r="F13850" i="1"/>
  <c r="I13849" i="1"/>
  <c r="F13849" i="1"/>
  <c r="I13848" i="1"/>
  <c r="F13848" i="1"/>
  <c r="I13847" i="1"/>
  <c r="F13847" i="1"/>
  <c r="I13846" i="1"/>
  <c r="F13846" i="1"/>
  <c r="I13845" i="1"/>
  <c r="F13845" i="1"/>
  <c r="I13844" i="1"/>
  <c r="F13844" i="1"/>
  <c r="I13843" i="1"/>
  <c r="F13843" i="1"/>
  <c r="I13842" i="1"/>
  <c r="F13842" i="1"/>
  <c r="I13841" i="1"/>
  <c r="F13841" i="1"/>
  <c r="I13840" i="1"/>
  <c r="F13840" i="1"/>
  <c r="I13839" i="1"/>
  <c r="F13839" i="1"/>
  <c r="I13838" i="1"/>
  <c r="F13838" i="1"/>
  <c r="I13837" i="1"/>
  <c r="F13837" i="1"/>
  <c r="I13836" i="1"/>
  <c r="F13836" i="1"/>
  <c r="I13835" i="1"/>
  <c r="F13835" i="1"/>
  <c r="I13834" i="1"/>
  <c r="F13834" i="1"/>
  <c r="I13833" i="1"/>
  <c r="F13833" i="1"/>
  <c r="I13832" i="1"/>
  <c r="F13832" i="1"/>
  <c r="I13831" i="1"/>
  <c r="F13831" i="1"/>
  <c r="I13830" i="1"/>
  <c r="F13830" i="1"/>
  <c r="I13829" i="1"/>
  <c r="F13829" i="1"/>
  <c r="I13828" i="1"/>
  <c r="F13828" i="1"/>
  <c r="I13827" i="1"/>
  <c r="F13827" i="1"/>
  <c r="I13826" i="1"/>
  <c r="F13826" i="1"/>
  <c r="I13825" i="1"/>
  <c r="F13825" i="1"/>
  <c r="I13824" i="1"/>
  <c r="F13824" i="1"/>
  <c r="I13823" i="1"/>
  <c r="F13823" i="1"/>
  <c r="I13822" i="1"/>
  <c r="F13822" i="1"/>
  <c r="I13821" i="1"/>
  <c r="F13821" i="1"/>
  <c r="I13820" i="1"/>
  <c r="F13820" i="1"/>
  <c r="I13819" i="1"/>
  <c r="F13819" i="1"/>
  <c r="I13818" i="1"/>
  <c r="F13818" i="1"/>
  <c r="I13817" i="1"/>
  <c r="F13817" i="1"/>
  <c r="I13816" i="1"/>
  <c r="F13816" i="1"/>
  <c r="I13815" i="1"/>
  <c r="F13815" i="1"/>
  <c r="I13814" i="1"/>
  <c r="F13814" i="1"/>
  <c r="I13813" i="1"/>
  <c r="F13813" i="1"/>
  <c r="I13812" i="1"/>
  <c r="F13812" i="1"/>
  <c r="I13811" i="1"/>
  <c r="F13811" i="1"/>
  <c r="I13810" i="1"/>
  <c r="F13810" i="1"/>
  <c r="I13809" i="1"/>
  <c r="F13809" i="1"/>
  <c r="I13808" i="1"/>
  <c r="F13808" i="1"/>
  <c r="I13807" i="1"/>
  <c r="F13807" i="1"/>
  <c r="I13806" i="1"/>
  <c r="F13806" i="1"/>
  <c r="I13805" i="1"/>
  <c r="F13805" i="1"/>
  <c r="I13804" i="1"/>
  <c r="F13804" i="1"/>
  <c r="I13803" i="1"/>
  <c r="F13803" i="1"/>
  <c r="I13802" i="1"/>
  <c r="F13802" i="1"/>
  <c r="I13801" i="1"/>
  <c r="F13801" i="1"/>
  <c r="I13800" i="1"/>
  <c r="F13800" i="1"/>
  <c r="I13799" i="1"/>
  <c r="F13799" i="1"/>
  <c r="I13798" i="1"/>
  <c r="F13798" i="1"/>
  <c r="I13797" i="1"/>
  <c r="F13797" i="1"/>
  <c r="I13796" i="1"/>
  <c r="F13796" i="1"/>
  <c r="I13795" i="1"/>
  <c r="F13795" i="1"/>
  <c r="I13794" i="1"/>
  <c r="F13794" i="1"/>
  <c r="I13793" i="1"/>
  <c r="F13793" i="1"/>
  <c r="I13792" i="1"/>
  <c r="F13792" i="1"/>
  <c r="I13791" i="1"/>
  <c r="F13791" i="1"/>
  <c r="I13790" i="1"/>
  <c r="F13790" i="1"/>
  <c r="I13789" i="1"/>
  <c r="F13789" i="1"/>
  <c r="I13788" i="1"/>
  <c r="F13788" i="1"/>
  <c r="I13787" i="1"/>
  <c r="F13787" i="1"/>
  <c r="I13786" i="1"/>
  <c r="F13786" i="1"/>
  <c r="I13785" i="1"/>
  <c r="F13785" i="1"/>
  <c r="I13784" i="1"/>
  <c r="F13784" i="1"/>
  <c r="I13783" i="1"/>
  <c r="F13783" i="1"/>
  <c r="I13782" i="1"/>
  <c r="F13782" i="1"/>
  <c r="I13781" i="1"/>
  <c r="F13781" i="1"/>
  <c r="I13780" i="1"/>
  <c r="F13780" i="1"/>
  <c r="I13779" i="1"/>
  <c r="F13779" i="1"/>
  <c r="I13778" i="1"/>
  <c r="F13778" i="1"/>
  <c r="I13777" i="1"/>
  <c r="F13777" i="1"/>
  <c r="I13776" i="1"/>
  <c r="F13776" i="1"/>
  <c r="I13775" i="1"/>
  <c r="F13775" i="1"/>
  <c r="I13774" i="1"/>
  <c r="F13774" i="1"/>
  <c r="I13773" i="1"/>
  <c r="F13773" i="1"/>
  <c r="I13772" i="1"/>
  <c r="F13772" i="1"/>
  <c r="I13771" i="1"/>
  <c r="F13771" i="1"/>
  <c r="I13770" i="1"/>
  <c r="F13770" i="1"/>
  <c r="I13769" i="1"/>
  <c r="F13769" i="1"/>
  <c r="I13768" i="1"/>
  <c r="F13768" i="1"/>
  <c r="I13767" i="1"/>
  <c r="F13767" i="1"/>
  <c r="I13766" i="1"/>
  <c r="F13766" i="1"/>
  <c r="I13765" i="1"/>
  <c r="F13765" i="1"/>
  <c r="I13764" i="1"/>
  <c r="F13764" i="1"/>
  <c r="I13763" i="1"/>
  <c r="F13763" i="1"/>
  <c r="I13762" i="1"/>
  <c r="F13762" i="1"/>
  <c r="I13761" i="1"/>
  <c r="F13761" i="1"/>
  <c r="I13760" i="1"/>
  <c r="F13760" i="1"/>
  <c r="I13759" i="1"/>
  <c r="F13759" i="1"/>
  <c r="I13758" i="1"/>
  <c r="F13758" i="1"/>
  <c r="I13757" i="1"/>
  <c r="F13757" i="1"/>
  <c r="I13756" i="1"/>
  <c r="F13756" i="1"/>
  <c r="I13755" i="1"/>
  <c r="F13755" i="1"/>
  <c r="I13754" i="1"/>
  <c r="F13754" i="1"/>
  <c r="I13753" i="1"/>
  <c r="F13753" i="1"/>
  <c r="I13752" i="1"/>
  <c r="F13752" i="1"/>
  <c r="I13751" i="1"/>
  <c r="F13751" i="1"/>
  <c r="I13750" i="1"/>
  <c r="F13750" i="1"/>
  <c r="I13749" i="1"/>
  <c r="F13749" i="1"/>
  <c r="I13748" i="1"/>
  <c r="F13748" i="1"/>
  <c r="I13747" i="1"/>
  <c r="F13747" i="1"/>
  <c r="I13746" i="1"/>
  <c r="F13746" i="1"/>
  <c r="I13745" i="1"/>
  <c r="F13745" i="1"/>
  <c r="I13744" i="1"/>
  <c r="F13744" i="1"/>
  <c r="I13743" i="1"/>
  <c r="F13743" i="1"/>
  <c r="I13742" i="1"/>
  <c r="F13742" i="1"/>
  <c r="I13741" i="1"/>
  <c r="F13741" i="1"/>
  <c r="I13740" i="1"/>
  <c r="F13740" i="1"/>
  <c r="I13739" i="1"/>
  <c r="F13739" i="1"/>
  <c r="I13738" i="1"/>
  <c r="F13738" i="1"/>
  <c r="I13737" i="1"/>
  <c r="F13737" i="1"/>
  <c r="I13736" i="1"/>
  <c r="F13736" i="1"/>
  <c r="I13735" i="1"/>
  <c r="F13735" i="1"/>
  <c r="I13734" i="1"/>
  <c r="F13734" i="1"/>
  <c r="I13733" i="1"/>
  <c r="F13733" i="1"/>
  <c r="I13732" i="1"/>
  <c r="F13732" i="1"/>
  <c r="I13731" i="1"/>
  <c r="F13731" i="1"/>
  <c r="I13730" i="1"/>
  <c r="F13730" i="1"/>
  <c r="I13729" i="1"/>
  <c r="F13729" i="1"/>
  <c r="I13728" i="1"/>
  <c r="F13728" i="1"/>
  <c r="I13727" i="1"/>
  <c r="F13727" i="1"/>
  <c r="I13726" i="1"/>
  <c r="F13726" i="1"/>
  <c r="I13725" i="1"/>
  <c r="F13725" i="1"/>
  <c r="I13724" i="1"/>
  <c r="F13724" i="1"/>
  <c r="I13723" i="1"/>
  <c r="F13723" i="1"/>
  <c r="I13722" i="1"/>
  <c r="F13722" i="1"/>
  <c r="I13721" i="1"/>
  <c r="F13721" i="1"/>
  <c r="I13720" i="1"/>
  <c r="F13720" i="1"/>
  <c r="I13719" i="1"/>
  <c r="F13719" i="1"/>
  <c r="I13718" i="1"/>
  <c r="F13718" i="1"/>
  <c r="I13717" i="1"/>
  <c r="F13717" i="1"/>
  <c r="I13716" i="1"/>
  <c r="F13716" i="1"/>
  <c r="I13715" i="1"/>
  <c r="F13715" i="1"/>
  <c r="I13714" i="1"/>
  <c r="F13714" i="1"/>
  <c r="I13713" i="1"/>
  <c r="F13713" i="1"/>
  <c r="I13712" i="1"/>
  <c r="F13712" i="1"/>
  <c r="I13711" i="1"/>
  <c r="F13711" i="1"/>
  <c r="I13710" i="1"/>
  <c r="F13710" i="1"/>
  <c r="I13709" i="1"/>
  <c r="F13709" i="1"/>
  <c r="I13708" i="1"/>
  <c r="F13708" i="1"/>
  <c r="I13707" i="1"/>
  <c r="F13707" i="1"/>
  <c r="I13706" i="1"/>
  <c r="F13706" i="1"/>
  <c r="I13705" i="1"/>
  <c r="F13705" i="1"/>
  <c r="I13704" i="1"/>
  <c r="F13704" i="1"/>
  <c r="I13703" i="1"/>
  <c r="F13703" i="1"/>
  <c r="I13702" i="1"/>
  <c r="F13702" i="1"/>
  <c r="I13701" i="1"/>
  <c r="F13701" i="1"/>
  <c r="I13700" i="1"/>
  <c r="F13700" i="1"/>
  <c r="I13699" i="1"/>
  <c r="F13699" i="1"/>
  <c r="I13698" i="1"/>
  <c r="F13698" i="1"/>
  <c r="I13697" i="1"/>
  <c r="F13697" i="1"/>
  <c r="I13696" i="1"/>
  <c r="F13696" i="1"/>
  <c r="I13695" i="1"/>
  <c r="F13695" i="1"/>
  <c r="I13694" i="1"/>
  <c r="F13694" i="1"/>
  <c r="I13693" i="1"/>
  <c r="F13693" i="1"/>
  <c r="I13692" i="1"/>
  <c r="F13692" i="1"/>
  <c r="I13691" i="1"/>
  <c r="F13691" i="1"/>
  <c r="I13690" i="1"/>
  <c r="F13690" i="1"/>
  <c r="I13689" i="1"/>
  <c r="F13689" i="1"/>
  <c r="I13688" i="1"/>
  <c r="F13688" i="1"/>
  <c r="I13687" i="1"/>
  <c r="F13687" i="1"/>
  <c r="I13686" i="1"/>
  <c r="F13686" i="1"/>
  <c r="I13685" i="1"/>
  <c r="F13685" i="1"/>
  <c r="I13684" i="1"/>
  <c r="F13684" i="1"/>
  <c r="I13683" i="1"/>
  <c r="F13683" i="1"/>
  <c r="I13682" i="1"/>
  <c r="F13682" i="1"/>
  <c r="I13681" i="1"/>
  <c r="F13681" i="1"/>
  <c r="I13680" i="1"/>
  <c r="F13680" i="1"/>
  <c r="I13679" i="1"/>
  <c r="F13679" i="1"/>
  <c r="I13678" i="1"/>
  <c r="F13678" i="1"/>
  <c r="I13677" i="1"/>
  <c r="F13677" i="1"/>
  <c r="I13676" i="1"/>
  <c r="F13676" i="1"/>
  <c r="I13675" i="1"/>
  <c r="F13675" i="1"/>
  <c r="I13674" i="1"/>
  <c r="F13674" i="1"/>
  <c r="I13673" i="1"/>
  <c r="F13673" i="1"/>
  <c r="I13672" i="1"/>
  <c r="F13672" i="1"/>
  <c r="I13671" i="1"/>
  <c r="F13671" i="1"/>
  <c r="I13670" i="1"/>
  <c r="F13670" i="1"/>
  <c r="I13669" i="1"/>
  <c r="F13669" i="1"/>
  <c r="I13668" i="1"/>
  <c r="F13668" i="1"/>
  <c r="I13667" i="1"/>
  <c r="F13667" i="1"/>
  <c r="I13666" i="1"/>
  <c r="F13666" i="1"/>
  <c r="I13665" i="1"/>
  <c r="F13665" i="1"/>
  <c r="I13664" i="1"/>
  <c r="F13664" i="1"/>
  <c r="I13663" i="1"/>
  <c r="F13663" i="1"/>
  <c r="I13662" i="1"/>
  <c r="F13662" i="1"/>
  <c r="I13661" i="1"/>
  <c r="F13661" i="1"/>
  <c r="I13660" i="1"/>
  <c r="F13660" i="1"/>
  <c r="I13659" i="1"/>
  <c r="F13659" i="1"/>
  <c r="I13658" i="1"/>
  <c r="F13658" i="1"/>
  <c r="I13657" i="1"/>
  <c r="F13657" i="1"/>
  <c r="I13656" i="1"/>
  <c r="F13656" i="1"/>
  <c r="I13655" i="1"/>
  <c r="F13655" i="1"/>
  <c r="I13654" i="1"/>
  <c r="F13654" i="1"/>
  <c r="I13653" i="1"/>
  <c r="F13653" i="1"/>
  <c r="I13652" i="1"/>
  <c r="F13652" i="1"/>
  <c r="I13651" i="1"/>
  <c r="F13651" i="1"/>
  <c r="I13650" i="1"/>
  <c r="F13650" i="1"/>
  <c r="I13649" i="1"/>
  <c r="F13649" i="1"/>
  <c r="I13648" i="1"/>
  <c r="F13648" i="1"/>
  <c r="I13647" i="1"/>
  <c r="F13647" i="1"/>
  <c r="I13646" i="1"/>
  <c r="F13646" i="1"/>
  <c r="I13645" i="1"/>
  <c r="F13645" i="1"/>
  <c r="I13644" i="1"/>
  <c r="F13644" i="1"/>
  <c r="I13643" i="1"/>
  <c r="F13643" i="1"/>
  <c r="I13642" i="1"/>
  <c r="F13642" i="1"/>
  <c r="I13641" i="1"/>
  <c r="F13641" i="1"/>
  <c r="I13640" i="1"/>
  <c r="F13640" i="1"/>
  <c r="I13639" i="1"/>
  <c r="F13639" i="1"/>
  <c r="I13638" i="1"/>
  <c r="F13638" i="1"/>
  <c r="I13637" i="1"/>
  <c r="F13637" i="1"/>
  <c r="I13636" i="1"/>
  <c r="F13636" i="1"/>
  <c r="I13635" i="1"/>
  <c r="F13635" i="1"/>
  <c r="I13634" i="1"/>
  <c r="F13634" i="1"/>
  <c r="I13633" i="1"/>
  <c r="F13633" i="1"/>
  <c r="I13632" i="1"/>
  <c r="F13632" i="1"/>
  <c r="I13631" i="1"/>
  <c r="F13631" i="1"/>
  <c r="I13630" i="1"/>
  <c r="F13630" i="1"/>
  <c r="I13629" i="1"/>
  <c r="F13629" i="1"/>
  <c r="I13628" i="1"/>
  <c r="F13628" i="1"/>
  <c r="I13627" i="1"/>
  <c r="F13627" i="1"/>
  <c r="I13626" i="1"/>
  <c r="F13626" i="1"/>
  <c r="I13625" i="1"/>
  <c r="F13625" i="1"/>
  <c r="I13624" i="1"/>
  <c r="F13624" i="1"/>
  <c r="I13623" i="1"/>
  <c r="F13623" i="1"/>
  <c r="I13622" i="1"/>
  <c r="F13622" i="1"/>
  <c r="I13621" i="1"/>
  <c r="F13621" i="1"/>
  <c r="I13620" i="1"/>
  <c r="F13620" i="1"/>
  <c r="I13619" i="1"/>
  <c r="F13619" i="1"/>
  <c r="I13618" i="1"/>
  <c r="F13618" i="1"/>
  <c r="I13617" i="1"/>
  <c r="F13617" i="1"/>
  <c r="I13616" i="1"/>
  <c r="F13616" i="1"/>
  <c r="I13615" i="1"/>
  <c r="F13615" i="1"/>
  <c r="I13614" i="1"/>
  <c r="F13614" i="1"/>
  <c r="I13613" i="1"/>
  <c r="F13613" i="1"/>
  <c r="I13612" i="1"/>
  <c r="F13612" i="1"/>
  <c r="I13611" i="1"/>
  <c r="F13611" i="1"/>
  <c r="I13610" i="1"/>
  <c r="F13610" i="1"/>
  <c r="I13609" i="1"/>
  <c r="F13609" i="1"/>
  <c r="I13608" i="1"/>
  <c r="F13608" i="1"/>
  <c r="I13607" i="1"/>
  <c r="F13607" i="1"/>
  <c r="I13606" i="1"/>
  <c r="F13606" i="1"/>
  <c r="I13605" i="1"/>
  <c r="F13605" i="1"/>
  <c r="I13604" i="1"/>
  <c r="F13604" i="1"/>
  <c r="I13603" i="1"/>
  <c r="F13603" i="1"/>
  <c r="I13602" i="1"/>
  <c r="F13602" i="1"/>
  <c r="I13601" i="1"/>
  <c r="F13601" i="1"/>
  <c r="I13600" i="1"/>
  <c r="F13600" i="1"/>
  <c r="I13599" i="1"/>
  <c r="F13599" i="1"/>
  <c r="I13598" i="1"/>
  <c r="F13598" i="1"/>
  <c r="I13597" i="1"/>
  <c r="F13597" i="1"/>
  <c r="I13596" i="1"/>
  <c r="F13596" i="1"/>
  <c r="I13595" i="1"/>
  <c r="F13595" i="1"/>
  <c r="I13594" i="1"/>
  <c r="F13594" i="1"/>
  <c r="I13593" i="1"/>
  <c r="F13593" i="1"/>
  <c r="I13592" i="1"/>
  <c r="F13592" i="1"/>
  <c r="I13591" i="1"/>
  <c r="F13591" i="1"/>
  <c r="I13590" i="1"/>
  <c r="F13590" i="1"/>
  <c r="I13589" i="1"/>
  <c r="F13589" i="1"/>
  <c r="I13588" i="1"/>
  <c r="F13588" i="1"/>
  <c r="I13587" i="1"/>
  <c r="F13587" i="1"/>
  <c r="I13586" i="1"/>
  <c r="F13586" i="1"/>
  <c r="I13585" i="1"/>
  <c r="F13585" i="1"/>
  <c r="I13584" i="1"/>
  <c r="F13584" i="1"/>
  <c r="I13583" i="1"/>
  <c r="F13583" i="1"/>
  <c r="I13582" i="1"/>
  <c r="F13582" i="1"/>
  <c r="I13581" i="1"/>
  <c r="F13581" i="1"/>
  <c r="I13580" i="1"/>
  <c r="F13580" i="1"/>
  <c r="I13579" i="1"/>
  <c r="F13579" i="1"/>
  <c r="I13578" i="1"/>
  <c r="F13578" i="1"/>
  <c r="I13577" i="1"/>
  <c r="F13577" i="1"/>
  <c r="I13576" i="1"/>
  <c r="F13576" i="1"/>
  <c r="I13575" i="1"/>
  <c r="F13575" i="1"/>
  <c r="I13574" i="1"/>
  <c r="F13574" i="1"/>
  <c r="I13573" i="1"/>
  <c r="F13573" i="1"/>
  <c r="I13572" i="1"/>
  <c r="F13572" i="1"/>
  <c r="I13571" i="1"/>
  <c r="F13571" i="1"/>
  <c r="I13570" i="1"/>
  <c r="F13570" i="1"/>
  <c r="I13569" i="1"/>
  <c r="F13569" i="1"/>
  <c r="I13568" i="1"/>
  <c r="F13568" i="1"/>
  <c r="I13567" i="1"/>
  <c r="F13567" i="1"/>
  <c r="I13566" i="1"/>
  <c r="F13566" i="1"/>
  <c r="I13565" i="1"/>
  <c r="F13565" i="1"/>
  <c r="I13564" i="1"/>
  <c r="F13564" i="1"/>
  <c r="I13563" i="1"/>
  <c r="F13563" i="1"/>
  <c r="I13562" i="1"/>
  <c r="F13562" i="1"/>
  <c r="I13561" i="1"/>
  <c r="F13561" i="1"/>
  <c r="I13560" i="1"/>
  <c r="F13560" i="1"/>
  <c r="I13559" i="1"/>
  <c r="F13559" i="1"/>
  <c r="I13558" i="1"/>
  <c r="F13558" i="1"/>
  <c r="I13557" i="1"/>
  <c r="F13557" i="1"/>
  <c r="I13556" i="1"/>
  <c r="F13556" i="1"/>
  <c r="I13555" i="1"/>
  <c r="F13555" i="1"/>
  <c r="I13554" i="1"/>
  <c r="F13554" i="1"/>
  <c r="I13553" i="1"/>
  <c r="F13553" i="1"/>
  <c r="I13552" i="1"/>
  <c r="F13552" i="1"/>
  <c r="I13551" i="1"/>
  <c r="F13551" i="1"/>
  <c r="I13550" i="1"/>
  <c r="F13550" i="1"/>
  <c r="I13549" i="1"/>
  <c r="F13549" i="1"/>
  <c r="I13548" i="1"/>
  <c r="F13548" i="1"/>
  <c r="I13547" i="1"/>
  <c r="F13547" i="1"/>
  <c r="I13546" i="1"/>
  <c r="F13546" i="1"/>
  <c r="I13545" i="1"/>
  <c r="F13545" i="1"/>
  <c r="I13544" i="1"/>
  <c r="F13544" i="1"/>
  <c r="I13543" i="1"/>
  <c r="F13543" i="1"/>
  <c r="I13542" i="1"/>
  <c r="F13542" i="1"/>
  <c r="I13541" i="1"/>
  <c r="F13541" i="1"/>
  <c r="I13540" i="1"/>
  <c r="F13540" i="1"/>
  <c r="I13539" i="1"/>
  <c r="F13539" i="1"/>
  <c r="I13538" i="1"/>
  <c r="F13538" i="1"/>
  <c r="I13537" i="1"/>
  <c r="F13537" i="1"/>
  <c r="I13536" i="1"/>
  <c r="F13536" i="1"/>
  <c r="I13535" i="1"/>
  <c r="F13535" i="1"/>
  <c r="I13534" i="1"/>
  <c r="F13534" i="1"/>
  <c r="I13533" i="1"/>
  <c r="F13533" i="1"/>
  <c r="I13532" i="1"/>
  <c r="F13532" i="1"/>
  <c r="I13531" i="1"/>
  <c r="F13531" i="1"/>
  <c r="I13530" i="1"/>
  <c r="F13530" i="1"/>
  <c r="I13529" i="1"/>
  <c r="F13529" i="1"/>
  <c r="I13528" i="1"/>
  <c r="F13528" i="1"/>
  <c r="I13527" i="1"/>
  <c r="F13527" i="1"/>
  <c r="I13526" i="1"/>
  <c r="F13526" i="1"/>
  <c r="I13525" i="1"/>
  <c r="F13525" i="1"/>
  <c r="I13524" i="1"/>
  <c r="F13524" i="1"/>
  <c r="I13523" i="1"/>
  <c r="F13523" i="1"/>
  <c r="I13522" i="1"/>
  <c r="F13522" i="1"/>
  <c r="I13521" i="1"/>
  <c r="F13521" i="1"/>
  <c r="I13520" i="1"/>
  <c r="F13520" i="1"/>
  <c r="I13519" i="1"/>
  <c r="F13519" i="1"/>
  <c r="I13518" i="1"/>
  <c r="F13518" i="1"/>
  <c r="I13517" i="1"/>
  <c r="F13517" i="1"/>
  <c r="I13516" i="1"/>
  <c r="F13516" i="1"/>
  <c r="I13515" i="1"/>
  <c r="F13515" i="1"/>
  <c r="I13514" i="1"/>
  <c r="F13514" i="1"/>
  <c r="I13513" i="1"/>
  <c r="F13513" i="1"/>
  <c r="I13512" i="1"/>
  <c r="F13512" i="1"/>
  <c r="I13511" i="1"/>
  <c r="F13511" i="1"/>
  <c r="I13510" i="1"/>
  <c r="F13510" i="1"/>
  <c r="I13509" i="1"/>
  <c r="F13509" i="1"/>
  <c r="I13508" i="1"/>
  <c r="F13508" i="1"/>
  <c r="I13507" i="1"/>
  <c r="F13507" i="1"/>
  <c r="I13506" i="1"/>
  <c r="F13506" i="1"/>
  <c r="I13505" i="1"/>
  <c r="F13505" i="1"/>
  <c r="I13504" i="1"/>
  <c r="F13504" i="1"/>
  <c r="I13503" i="1"/>
  <c r="F13503" i="1"/>
  <c r="I13502" i="1"/>
  <c r="F13502" i="1"/>
  <c r="I13501" i="1"/>
  <c r="F13501" i="1"/>
  <c r="I13500" i="1"/>
  <c r="F13500" i="1"/>
  <c r="I13499" i="1"/>
  <c r="F13499" i="1"/>
  <c r="I13498" i="1"/>
  <c r="F13498" i="1"/>
  <c r="I13497" i="1"/>
  <c r="F13497" i="1"/>
  <c r="I13496" i="1"/>
  <c r="F13496" i="1"/>
  <c r="I13495" i="1"/>
  <c r="F13495" i="1"/>
  <c r="I13494" i="1"/>
  <c r="F13494" i="1"/>
  <c r="I13493" i="1"/>
  <c r="F13493" i="1"/>
  <c r="I13492" i="1"/>
  <c r="F13492" i="1"/>
  <c r="I13491" i="1"/>
  <c r="F13491" i="1"/>
  <c r="I13490" i="1"/>
  <c r="F13490" i="1"/>
  <c r="I13489" i="1"/>
  <c r="F13489" i="1"/>
  <c r="I13488" i="1"/>
  <c r="F13488" i="1"/>
  <c r="I13487" i="1"/>
  <c r="F13487" i="1"/>
  <c r="I13486" i="1"/>
  <c r="F13486" i="1"/>
  <c r="I13485" i="1"/>
  <c r="F13485" i="1"/>
  <c r="I13484" i="1"/>
  <c r="F13484" i="1"/>
  <c r="I13483" i="1"/>
  <c r="F13483" i="1"/>
  <c r="I13482" i="1"/>
  <c r="F13482" i="1"/>
  <c r="I13481" i="1"/>
  <c r="F13481" i="1"/>
  <c r="I13480" i="1"/>
  <c r="F13480" i="1"/>
  <c r="I13479" i="1"/>
  <c r="F13479" i="1"/>
  <c r="I13478" i="1"/>
  <c r="F13478" i="1"/>
  <c r="I13477" i="1"/>
  <c r="F13477" i="1"/>
  <c r="I13476" i="1"/>
  <c r="F13476" i="1"/>
  <c r="I13475" i="1"/>
  <c r="F13475" i="1"/>
  <c r="I13474" i="1"/>
  <c r="F13474" i="1"/>
  <c r="I13473" i="1"/>
  <c r="F13473" i="1"/>
  <c r="I13472" i="1"/>
  <c r="F13472" i="1"/>
  <c r="I13471" i="1"/>
  <c r="F13471" i="1"/>
  <c r="I13470" i="1"/>
  <c r="F13470" i="1"/>
  <c r="I13469" i="1"/>
  <c r="F13469" i="1"/>
  <c r="I13468" i="1"/>
  <c r="F13468" i="1"/>
  <c r="I13467" i="1"/>
  <c r="F13467" i="1"/>
  <c r="I13466" i="1"/>
  <c r="F13466" i="1"/>
  <c r="I13465" i="1"/>
  <c r="F13465" i="1"/>
  <c r="I13464" i="1"/>
  <c r="F13464" i="1"/>
  <c r="I13463" i="1"/>
  <c r="F13463" i="1"/>
  <c r="I13462" i="1"/>
  <c r="F13462" i="1"/>
  <c r="I13461" i="1"/>
  <c r="F13461" i="1"/>
  <c r="I13460" i="1"/>
  <c r="F13460" i="1"/>
  <c r="I13459" i="1"/>
  <c r="F13459" i="1"/>
  <c r="I13458" i="1"/>
  <c r="F13458" i="1"/>
  <c r="I13457" i="1"/>
  <c r="F13457" i="1"/>
  <c r="I13456" i="1"/>
  <c r="F13456" i="1"/>
  <c r="I13455" i="1"/>
  <c r="F13455" i="1"/>
  <c r="I13454" i="1"/>
  <c r="F13454" i="1"/>
  <c r="I13453" i="1"/>
  <c r="F13453" i="1"/>
  <c r="I13452" i="1"/>
  <c r="F13452" i="1"/>
  <c r="I13451" i="1"/>
  <c r="F13451" i="1"/>
  <c r="I13450" i="1"/>
  <c r="F13450" i="1"/>
  <c r="I13449" i="1"/>
  <c r="F13449" i="1"/>
  <c r="I13448" i="1"/>
  <c r="F13448" i="1"/>
  <c r="I13447" i="1"/>
  <c r="F13447" i="1"/>
  <c r="I13446" i="1"/>
  <c r="F13446" i="1"/>
  <c r="I13445" i="1"/>
  <c r="F13445" i="1"/>
  <c r="I13444" i="1"/>
  <c r="F13444" i="1"/>
  <c r="I13443" i="1"/>
  <c r="F13443" i="1"/>
  <c r="I13442" i="1"/>
  <c r="F13442" i="1"/>
  <c r="I13441" i="1"/>
  <c r="F13441" i="1"/>
  <c r="I13440" i="1"/>
  <c r="F13440" i="1"/>
  <c r="I13439" i="1"/>
  <c r="F13439" i="1"/>
  <c r="I13438" i="1"/>
  <c r="F13438" i="1"/>
  <c r="I13437" i="1"/>
  <c r="F13437" i="1"/>
  <c r="I13436" i="1"/>
  <c r="F13436" i="1"/>
  <c r="I13435" i="1"/>
  <c r="F13435" i="1"/>
  <c r="I13434" i="1"/>
  <c r="F13434" i="1"/>
  <c r="I13433" i="1"/>
  <c r="F13433" i="1"/>
  <c r="I13432" i="1"/>
  <c r="F13432" i="1"/>
  <c r="I13431" i="1"/>
  <c r="F13431" i="1"/>
  <c r="I13430" i="1"/>
  <c r="F13430" i="1"/>
  <c r="I13429" i="1"/>
  <c r="F13429" i="1"/>
  <c r="I13428" i="1"/>
  <c r="F13428" i="1"/>
  <c r="I13427" i="1"/>
  <c r="F13427" i="1"/>
  <c r="I13426" i="1"/>
  <c r="F13426" i="1"/>
  <c r="I13425" i="1"/>
  <c r="F13425" i="1"/>
  <c r="I13424" i="1"/>
  <c r="F13424" i="1"/>
  <c r="I13423" i="1"/>
  <c r="F13423" i="1"/>
  <c r="I13422" i="1"/>
  <c r="F13422" i="1"/>
  <c r="I13421" i="1"/>
  <c r="F13421" i="1"/>
  <c r="I13420" i="1"/>
  <c r="F13420" i="1"/>
  <c r="I13419" i="1"/>
  <c r="F13419" i="1"/>
  <c r="I13418" i="1"/>
  <c r="F13418" i="1"/>
  <c r="I13417" i="1"/>
  <c r="F13417" i="1"/>
  <c r="I13416" i="1"/>
  <c r="F13416" i="1"/>
  <c r="I13415" i="1"/>
  <c r="F13415" i="1"/>
  <c r="I13414" i="1"/>
  <c r="F13414" i="1"/>
  <c r="I13413" i="1"/>
  <c r="F13413" i="1"/>
  <c r="I13412" i="1"/>
  <c r="F13412" i="1"/>
  <c r="I13411" i="1"/>
  <c r="F13411" i="1"/>
  <c r="I13410" i="1"/>
  <c r="F13410" i="1"/>
  <c r="I13409" i="1"/>
  <c r="F13409" i="1"/>
  <c r="I13408" i="1"/>
  <c r="F13408" i="1"/>
  <c r="I13407" i="1"/>
  <c r="F13407" i="1"/>
  <c r="I13406" i="1"/>
  <c r="F13406" i="1"/>
  <c r="I13405" i="1"/>
  <c r="F13405" i="1"/>
  <c r="I13404" i="1"/>
  <c r="F13404" i="1"/>
  <c r="I13403" i="1"/>
  <c r="F13403" i="1"/>
  <c r="I13402" i="1"/>
  <c r="F13402" i="1"/>
  <c r="I13401" i="1"/>
  <c r="F13401" i="1"/>
  <c r="I13400" i="1"/>
  <c r="F13400" i="1"/>
  <c r="I13399" i="1"/>
  <c r="F13399" i="1"/>
  <c r="I13398" i="1"/>
  <c r="F13398" i="1"/>
  <c r="I13397" i="1"/>
  <c r="F13397" i="1"/>
  <c r="I13396" i="1"/>
  <c r="F13396" i="1"/>
  <c r="I13395" i="1"/>
  <c r="F13395" i="1"/>
  <c r="I13394" i="1"/>
  <c r="F13394" i="1"/>
  <c r="I13393" i="1"/>
  <c r="F13393" i="1"/>
  <c r="I13392" i="1"/>
  <c r="F13392" i="1"/>
  <c r="I13391" i="1"/>
  <c r="F13391" i="1"/>
  <c r="I13390" i="1"/>
  <c r="F13390" i="1"/>
  <c r="I13389" i="1"/>
  <c r="F13389" i="1"/>
  <c r="I13388" i="1"/>
  <c r="F13388" i="1"/>
  <c r="I13387" i="1"/>
  <c r="F13387" i="1"/>
  <c r="I13386" i="1"/>
  <c r="F13386" i="1"/>
  <c r="I13385" i="1"/>
  <c r="F13385" i="1"/>
  <c r="I13384" i="1"/>
  <c r="F13384" i="1"/>
  <c r="I13383" i="1"/>
  <c r="F13383" i="1"/>
  <c r="I13382" i="1"/>
  <c r="F13382" i="1"/>
  <c r="I13381" i="1"/>
  <c r="F13381" i="1"/>
  <c r="I13380" i="1"/>
  <c r="F13380" i="1"/>
  <c r="I13379" i="1"/>
  <c r="F13379" i="1"/>
  <c r="I13378" i="1"/>
  <c r="F13378" i="1"/>
  <c r="I13377" i="1"/>
  <c r="F13377" i="1"/>
  <c r="I13376" i="1"/>
  <c r="F13376" i="1"/>
  <c r="I13375" i="1"/>
  <c r="F13375" i="1"/>
  <c r="I13374" i="1"/>
  <c r="F13374" i="1"/>
  <c r="I13373" i="1"/>
  <c r="F13373" i="1"/>
  <c r="I13372" i="1"/>
  <c r="F13372" i="1"/>
  <c r="I13371" i="1"/>
  <c r="F13371" i="1"/>
  <c r="I13370" i="1"/>
  <c r="F13370" i="1"/>
  <c r="I13369" i="1"/>
  <c r="F13369" i="1"/>
  <c r="I13368" i="1"/>
  <c r="F13368" i="1"/>
  <c r="I13367" i="1"/>
  <c r="F13367" i="1"/>
  <c r="I13366" i="1"/>
  <c r="F13366" i="1"/>
  <c r="I13365" i="1"/>
  <c r="F13365" i="1"/>
  <c r="I13364" i="1"/>
  <c r="F13364" i="1"/>
  <c r="I13363" i="1"/>
  <c r="F13363" i="1"/>
  <c r="I13362" i="1"/>
  <c r="F13362" i="1"/>
  <c r="I13361" i="1"/>
  <c r="F13361" i="1"/>
  <c r="I13360" i="1"/>
  <c r="F13360" i="1"/>
  <c r="I13359" i="1"/>
  <c r="F13359" i="1"/>
  <c r="I13358" i="1"/>
  <c r="F13358" i="1"/>
  <c r="I13357" i="1"/>
  <c r="F13357" i="1"/>
  <c r="I13356" i="1"/>
  <c r="F13356" i="1"/>
  <c r="I13355" i="1"/>
  <c r="F13355" i="1"/>
  <c r="I13354" i="1"/>
  <c r="F13354" i="1"/>
  <c r="I13353" i="1"/>
  <c r="F13353" i="1"/>
  <c r="I13352" i="1"/>
  <c r="F13352" i="1"/>
  <c r="I13351" i="1"/>
  <c r="F13351" i="1"/>
  <c r="I13350" i="1"/>
  <c r="F13350" i="1"/>
  <c r="I13349" i="1"/>
  <c r="F13349" i="1"/>
  <c r="I13348" i="1"/>
  <c r="F13348" i="1"/>
  <c r="I13347" i="1"/>
  <c r="F13347" i="1"/>
  <c r="I13346" i="1"/>
  <c r="F13346" i="1"/>
  <c r="I13345" i="1"/>
  <c r="F13345" i="1"/>
  <c r="I13344" i="1"/>
  <c r="F13344" i="1"/>
  <c r="I13343" i="1"/>
  <c r="F13343" i="1"/>
  <c r="I13342" i="1"/>
  <c r="F13342" i="1"/>
  <c r="I13341" i="1"/>
  <c r="F13341" i="1"/>
  <c r="I13340" i="1"/>
  <c r="F13340" i="1"/>
  <c r="I13339" i="1"/>
  <c r="F13339" i="1"/>
  <c r="I13338" i="1"/>
  <c r="F13338" i="1"/>
  <c r="I13337" i="1"/>
  <c r="F13337" i="1"/>
  <c r="I13336" i="1"/>
  <c r="F13336" i="1"/>
  <c r="I13335" i="1"/>
  <c r="F13335" i="1"/>
  <c r="I13334" i="1"/>
  <c r="F13334" i="1"/>
  <c r="I13333" i="1"/>
  <c r="F13333" i="1"/>
  <c r="I13332" i="1"/>
  <c r="F13332" i="1"/>
  <c r="I13331" i="1"/>
  <c r="F13331" i="1"/>
  <c r="I13330" i="1"/>
  <c r="F13330" i="1"/>
  <c r="I13329" i="1"/>
  <c r="F13329" i="1"/>
  <c r="I13328" i="1"/>
  <c r="F13328" i="1"/>
  <c r="I13327" i="1"/>
  <c r="F13327" i="1"/>
  <c r="I13326" i="1"/>
  <c r="F13326" i="1"/>
  <c r="I13325" i="1"/>
  <c r="F13325" i="1"/>
  <c r="I13324" i="1"/>
  <c r="F13324" i="1"/>
  <c r="I13323" i="1"/>
  <c r="F13323" i="1"/>
  <c r="I13322" i="1"/>
  <c r="F13322" i="1"/>
  <c r="I13321" i="1"/>
  <c r="F13321" i="1"/>
  <c r="I13320" i="1"/>
  <c r="F13320" i="1"/>
  <c r="I13319" i="1"/>
  <c r="F13319" i="1"/>
  <c r="I13318" i="1"/>
  <c r="F13318" i="1"/>
  <c r="I13317" i="1"/>
  <c r="F13317" i="1"/>
  <c r="I13316" i="1"/>
  <c r="F13316" i="1"/>
  <c r="I13315" i="1"/>
  <c r="F13315" i="1"/>
  <c r="I13314" i="1"/>
  <c r="F13314" i="1"/>
  <c r="I13313" i="1"/>
  <c r="F13313" i="1"/>
  <c r="I13312" i="1"/>
  <c r="F13312" i="1"/>
  <c r="I13311" i="1"/>
  <c r="F13311" i="1"/>
  <c r="I13310" i="1"/>
  <c r="F13310" i="1"/>
  <c r="I13309" i="1"/>
  <c r="F13309" i="1"/>
  <c r="I13308" i="1"/>
  <c r="F13308" i="1"/>
  <c r="I13307" i="1"/>
  <c r="F13307" i="1"/>
  <c r="I13306" i="1"/>
  <c r="F13306" i="1"/>
  <c r="I13305" i="1"/>
  <c r="F13305" i="1"/>
  <c r="I13304" i="1"/>
  <c r="F13304" i="1"/>
  <c r="I13303" i="1"/>
  <c r="F13303" i="1"/>
  <c r="I13302" i="1"/>
  <c r="F13302" i="1"/>
  <c r="I13301" i="1"/>
  <c r="F13301" i="1"/>
  <c r="I13300" i="1"/>
  <c r="F13300" i="1"/>
  <c r="I13299" i="1"/>
  <c r="F13299" i="1"/>
  <c r="I13298" i="1"/>
  <c r="F13298" i="1"/>
  <c r="I13297" i="1"/>
  <c r="F13297" i="1"/>
  <c r="I13296" i="1"/>
  <c r="F13296" i="1"/>
  <c r="I13295" i="1"/>
  <c r="F13295" i="1"/>
  <c r="I13294" i="1"/>
  <c r="F13294" i="1"/>
  <c r="I13293" i="1"/>
  <c r="F13293" i="1"/>
  <c r="I13292" i="1"/>
  <c r="F13292" i="1"/>
  <c r="I13291" i="1"/>
  <c r="F13291" i="1"/>
  <c r="I13290" i="1"/>
  <c r="F13290" i="1"/>
  <c r="I13289" i="1"/>
  <c r="F13289" i="1"/>
  <c r="I13288" i="1"/>
  <c r="F13288" i="1"/>
  <c r="I13287" i="1"/>
  <c r="F13287" i="1"/>
  <c r="I13286" i="1"/>
  <c r="F13286" i="1"/>
  <c r="I13285" i="1"/>
  <c r="F13285" i="1"/>
  <c r="I13284" i="1"/>
  <c r="F13284" i="1"/>
  <c r="I13283" i="1"/>
  <c r="F13283" i="1"/>
  <c r="I13282" i="1"/>
  <c r="F13282" i="1"/>
  <c r="I13281" i="1"/>
  <c r="F13281" i="1"/>
  <c r="I13280" i="1"/>
  <c r="F13280" i="1"/>
  <c r="I13279" i="1"/>
  <c r="F13279" i="1"/>
  <c r="I13278" i="1"/>
  <c r="F13278" i="1"/>
  <c r="I13277" i="1"/>
  <c r="F13277" i="1"/>
  <c r="I13276" i="1"/>
  <c r="F13276" i="1"/>
  <c r="I13275" i="1"/>
  <c r="F13275" i="1"/>
  <c r="I13274" i="1"/>
  <c r="F13274" i="1"/>
  <c r="I13273" i="1"/>
  <c r="F13273" i="1"/>
  <c r="I13272" i="1"/>
  <c r="F13272" i="1"/>
  <c r="I13271" i="1"/>
  <c r="F13271" i="1"/>
  <c r="I13270" i="1"/>
  <c r="F13270" i="1"/>
  <c r="I13269" i="1"/>
  <c r="F13269" i="1"/>
  <c r="I13268" i="1"/>
  <c r="F13268" i="1"/>
  <c r="I13267" i="1"/>
  <c r="F13267" i="1"/>
  <c r="I13266" i="1"/>
  <c r="F13266" i="1"/>
  <c r="I13265" i="1"/>
  <c r="F13265" i="1"/>
  <c r="I13264" i="1"/>
  <c r="F13264" i="1"/>
  <c r="I13263" i="1"/>
  <c r="F13263" i="1"/>
  <c r="I13262" i="1"/>
  <c r="F13262" i="1"/>
  <c r="I13261" i="1"/>
  <c r="F13261" i="1"/>
  <c r="I13260" i="1"/>
  <c r="F13260" i="1"/>
  <c r="I13259" i="1"/>
  <c r="F13259" i="1"/>
  <c r="I13258" i="1"/>
  <c r="F13258" i="1"/>
  <c r="I13257" i="1"/>
  <c r="F13257" i="1"/>
  <c r="I13256" i="1"/>
  <c r="F13256" i="1"/>
  <c r="I13255" i="1"/>
  <c r="F13255" i="1"/>
  <c r="I13254" i="1"/>
  <c r="F13254" i="1"/>
  <c r="I13253" i="1"/>
  <c r="F13253" i="1"/>
  <c r="I13252" i="1"/>
  <c r="F13252" i="1"/>
  <c r="I13251" i="1"/>
  <c r="F13251" i="1"/>
  <c r="I13250" i="1"/>
  <c r="F13250" i="1"/>
  <c r="I13249" i="1"/>
  <c r="F13249" i="1"/>
  <c r="I13248" i="1"/>
  <c r="F13248" i="1"/>
  <c r="I13247" i="1"/>
  <c r="F13247" i="1"/>
  <c r="I13246" i="1"/>
  <c r="F13246" i="1"/>
  <c r="I13245" i="1"/>
  <c r="F13245" i="1"/>
  <c r="I13244" i="1"/>
  <c r="F13244" i="1"/>
  <c r="I13243" i="1"/>
  <c r="F13243" i="1"/>
  <c r="I13242" i="1"/>
  <c r="F13242" i="1"/>
  <c r="I13241" i="1"/>
  <c r="F13241" i="1"/>
  <c r="I13240" i="1"/>
  <c r="F13240" i="1"/>
  <c r="I13239" i="1"/>
  <c r="F13239" i="1"/>
  <c r="I13238" i="1"/>
  <c r="F13238" i="1"/>
  <c r="I13237" i="1"/>
  <c r="F13237" i="1"/>
  <c r="I13236" i="1"/>
  <c r="F13236" i="1"/>
  <c r="I13235" i="1"/>
  <c r="F13235" i="1"/>
  <c r="I13234" i="1"/>
  <c r="F13234" i="1"/>
  <c r="I13233" i="1"/>
  <c r="F13233" i="1"/>
  <c r="I13232" i="1"/>
  <c r="F13232" i="1"/>
  <c r="I13231" i="1"/>
  <c r="F13231" i="1"/>
  <c r="I13230" i="1"/>
  <c r="F13230" i="1"/>
  <c r="I13229" i="1"/>
  <c r="F13229" i="1"/>
  <c r="I13228" i="1"/>
  <c r="F13228" i="1"/>
  <c r="I13227" i="1"/>
  <c r="F13227" i="1"/>
  <c r="I13226" i="1"/>
  <c r="F13226" i="1"/>
  <c r="I13225" i="1"/>
  <c r="F13225" i="1"/>
  <c r="I13224" i="1"/>
  <c r="F13224" i="1"/>
  <c r="I13223" i="1"/>
  <c r="F13223" i="1"/>
  <c r="I13222" i="1"/>
  <c r="F13222" i="1"/>
  <c r="I13221" i="1"/>
  <c r="F13221" i="1"/>
  <c r="I13220" i="1"/>
  <c r="F13220" i="1"/>
  <c r="I13219" i="1"/>
  <c r="F13219" i="1"/>
  <c r="I13218" i="1"/>
  <c r="F13218" i="1"/>
  <c r="I13217" i="1"/>
  <c r="F13217" i="1"/>
  <c r="I13216" i="1"/>
  <c r="F13216" i="1"/>
  <c r="I13215" i="1"/>
  <c r="F13215" i="1"/>
  <c r="I13214" i="1"/>
  <c r="F13214" i="1"/>
  <c r="I13213" i="1"/>
  <c r="F13213" i="1"/>
  <c r="I13212" i="1"/>
  <c r="F13212" i="1"/>
  <c r="I13211" i="1"/>
  <c r="F13211" i="1"/>
  <c r="I13210" i="1"/>
  <c r="F13210" i="1"/>
  <c r="I13209" i="1"/>
  <c r="F13209" i="1"/>
  <c r="I13208" i="1"/>
  <c r="F13208" i="1"/>
  <c r="I13207" i="1"/>
  <c r="F13207" i="1"/>
  <c r="I13206" i="1"/>
  <c r="F13206" i="1"/>
  <c r="I13205" i="1"/>
  <c r="F13205" i="1"/>
  <c r="I13204" i="1"/>
  <c r="F13204" i="1"/>
  <c r="I13203" i="1"/>
  <c r="F13203" i="1"/>
  <c r="I13202" i="1"/>
  <c r="F13202" i="1"/>
  <c r="I13201" i="1"/>
  <c r="F13201" i="1"/>
  <c r="I13200" i="1"/>
  <c r="F13200" i="1"/>
  <c r="I13199" i="1"/>
  <c r="F13199" i="1"/>
  <c r="I13198" i="1"/>
  <c r="F13198" i="1"/>
  <c r="I13197" i="1"/>
  <c r="F13197" i="1"/>
  <c r="I13196" i="1"/>
  <c r="F13196" i="1"/>
  <c r="I13195" i="1"/>
  <c r="F13195" i="1"/>
  <c r="I13194" i="1"/>
  <c r="F13194" i="1"/>
  <c r="I13193" i="1"/>
  <c r="F13193" i="1"/>
  <c r="I13192" i="1"/>
  <c r="F13192" i="1"/>
  <c r="I13191" i="1"/>
  <c r="F13191" i="1"/>
  <c r="I13190" i="1"/>
  <c r="F13190" i="1"/>
  <c r="I13189" i="1"/>
  <c r="F13189" i="1"/>
  <c r="I13188" i="1"/>
  <c r="F13188" i="1"/>
  <c r="I13187" i="1"/>
  <c r="F13187" i="1"/>
  <c r="I13186" i="1"/>
  <c r="F13186" i="1"/>
  <c r="I13185" i="1"/>
  <c r="F13185" i="1"/>
  <c r="I13184" i="1"/>
  <c r="F13184" i="1"/>
  <c r="I13183" i="1"/>
  <c r="F13183" i="1"/>
  <c r="I13182" i="1"/>
  <c r="F13182" i="1"/>
  <c r="I13181" i="1"/>
  <c r="F13181" i="1"/>
  <c r="I13180" i="1"/>
  <c r="F13180" i="1"/>
  <c r="I13179" i="1"/>
  <c r="F13179" i="1"/>
  <c r="I13178" i="1"/>
  <c r="F13178" i="1"/>
  <c r="I13177" i="1"/>
  <c r="F13177" i="1"/>
  <c r="I13176" i="1"/>
  <c r="F13176" i="1"/>
  <c r="I13175" i="1"/>
  <c r="F13175" i="1"/>
  <c r="I13174" i="1"/>
  <c r="F13174" i="1"/>
  <c r="I13173" i="1"/>
  <c r="F13173" i="1"/>
  <c r="I13172" i="1"/>
  <c r="F13172" i="1"/>
  <c r="I13171" i="1"/>
  <c r="F13171" i="1"/>
  <c r="I13170" i="1"/>
  <c r="F13170" i="1"/>
  <c r="I13169" i="1"/>
  <c r="F13169" i="1"/>
  <c r="I13168" i="1"/>
  <c r="F13168" i="1"/>
  <c r="I13167" i="1"/>
  <c r="F13167" i="1"/>
  <c r="I13166" i="1"/>
  <c r="F13166" i="1"/>
  <c r="I13165" i="1"/>
  <c r="F13165" i="1"/>
  <c r="I13164" i="1"/>
  <c r="F13164" i="1"/>
  <c r="I13163" i="1"/>
  <c r="F13163" i="1"/>
  <c r="I13162" i="1"/>
  <c r="F13162" i="1"/>
  <c r="I13161" i="1"/>
  <c r="F13161" i="1"/>
  <c r="I13160" i="1"/>
  <c r="F13160" i="1"/>
  <c r="I13159" i="1"/>
  <c r="F13159" i="1"/>
  <c r="I13158" i="1"/>
  <c r="F13158" i="1"/>
  <c r="I13157" i="1"/>
  <c r="F13157" i="1"/>
  <c r="I13156" i="1"/>
  <c r="F13156" i="1"/>
  <c r="I13155" i="1"/>
  <c r="F13155" i="1"/>
  <c r="I13154" i="1"/>
  <c r="F13154" i="1"/>
  <c r="I13153" i="1"/>
  <c r="F13153" i="1"/>
  <c r="I13152" i="1"/>
  <c r="F13152" i="1"/>
  <c r="I13151" i="1"/>
  <c r="F13151" i="1"/>
  <c r="I13150" i="1"/>
  <c r="F13150" i="1"/>
  <c r="I13149" i="1"/>
  <c r="F13149" i="1"/>
  <c r="I13148" i="1"/>
  <c r="F13148" i="1"/>
  <c r="I13147" i="1"/>
  <c r="F13147" i="1"/>
  <c r="I13146" i="1"/>
  <c r="F13146" i="1"/>
  <c r="I13145" i="1"/>
  <c r="F13145" i="1"/>
  <c r="I13144" i="1"/>
  <c r="F13144" i="1"/>
  <c r="I13143" i="1"/>
  <c r="F13143" i="1"/>
  <c r="I13142" i="1"/>
  <c r="F13142" i="1"/>
  <c r="I13141" i="1"/>
  <c r="F13141" i="1"/>
  <c r="I13140" i="1"/>
  <c r="F13140" i="1"/>
  <c r="I13139" i="1"/>
  <c r="F13139" i="1"/>
  <c r="I13138" i="1"/>
  <c r="F13138" i="1"/>
  <c r="I13137" i="1"/>
  <c r="F13137" i="1"/>
  <c r="I13136" i="1"/>
  <c r="F13136" i="1"/>
  <c r="I13135" i="1"/>
  <c r="F13135" i="1"/>
  <c r="I13134" i="1"/>
  <c r="F13134" i="1"/>
  <c r="I13133" i="1"/>
  <c r="F13133" i="1"/>
  <c r="I13132" i="1"/>
  <c r="F13132" i="1"/>
  <c r="I13131" i="1"/>
  <c r="F13131" i="1"/>
  <c r="I13130" i="1"/>
  <c r="F13130" i="1"/>
  <c r="I13129" i="1"/>
  <c r="F13129" i="1"/>
  <c r="I13128" i="1"/>
  <c r="F13128" i="1"/>
  <c r="I13127" i="1"/>
  <c r="F13127" i="1"/>
  <c r="I13126" i="1"/>
  <c r="F13126" i="1"/>
  <c r="I13125" i="1"/>
  <c r="F13125" i="1"/>
  <c r="I13124" i="1"/>
  <c r="F13124" i="1"/>
  <c r="I13123" i="1"/>
  <c r="F13123" i="1"/>
  <c r="I13122" i="1"/>
  <c r="F13122" i="1"/>
  <c r="I13121" i="1"/>
  <c r="F13121" i="1"/>
  <c r="I13120" i="1"/>
  <c r="F13120" i="1"/>
  <c r="I13119" i="1"/>
  <c r="F13119" i="1"/>
  <c r="I13118" i="1"/>
  <c r="F13118" i="1"/>
  <c r="I13117" i="1"/>
  <c r="F13117" i="1"/>
  <c r="I13116" i="1"/>
  <c r="F13116" i="1"/>
  <c r="I13115" i="1"/>
  <c r="F13115" i="1"/>
  <c r="I13114" i="1"/>
  <c r="F13114" i="1"/>
  <c r="I13113" i="1"/>
  <c r="F13113" i="1"/>
  <c r="I13112" i="1"/>
  <c r="F13112" i="1"/>
  <c r="I13111" i="1"/>
  <c r="F13111" i="1"/>
  <c r="I13110" i="1"/>
  <c r="F13110" i="1"/>
  <c r="I13109" i="1"/>
  <c r="F13109" i="1"/>
  <c r="I13108" i="1"/>
  <c r="F13108" i="1"/>
  <c r="I13107" i="1"/>
  <c r="F13107" i="1"/>
  <c r="I13106" i="1"/>
  <c r="F13106" i="1"/>
  <c r="I13105" i="1"/>
  <c r="F13105" i="1"/>
  <c r="I13104" i="1"/>
  <c r="F13104" i="1"/>
  <c r="I13103" i="1"/>
  <c r="F13103" i="1"/>
  <c r="I13102" i="1"/>
  <c r="F13102" i="1"/>
  <c r="I13101" i="1"/>
  <c r="F13101" i="1"/>
  <c r="I13100" i="1"/>
  <c r="F13100" i="1"/>
  <c r="I13099" i="1"/>
  <c r="F13099" i="1"/>
  <c r="I13098" i="1"/>
  <c r="F13098" i="1"/>
  <c r="I13097" i="1"/>
  <c r="F13097" i="1"/>
  <c r="I13096" i="1"/>
  <c r="F13096" i="1"/>
  <c r="I13095" i="1"/>
  <c r="F13095" i="1"/>
  <c r="I13094" i="1"/>
  <c r="F13094" i="1"/>
  <c r="I13093" i="1"/>
  <c r="F13093" i="1"/>
  <c r="I13092" i="1"/>
  <c r="F13092" i="1"/>
  <c r="I13091" i="1"/>
  <c r="F13091" i="1"/>
  <c r="I13090" i="1"/>
  <c r="F13090" i="1"/>
  <c r="I13089" i="1"/>
  <c r="F13089" i="1"/>
  <c r="I13088" i="1"/>
  <c r="F13088" i="1"/>
  <c r="I13087" i="1"/>
  <c r="F13087" i="1"/>
  <c r="I13086" i="1"/>
  <c r="F13086" i="1"/>
  <c r="I13085" i="1"/>
  <c r="F13085" i="1"/>
  <c r="I13084" i="1"/>
  <c r="F13084" i="1"/>
  <c r="I13083" i="1"/>
  <c r="F13083" i="1"/>
  <c r="I13082" i="1"/>
  <c r="F13082" i="1"/>
  <c r="I13081" i="1"/>
  <c r="F13081" i="1"/>
  <c r="I13080" i="1"/>
  <c r="F13080" i="1"/>
  <c r="I13079" i="1"/>
  <c r="F13079" i="1"/>
  <c r="I13078" i="1"/>
  <c r="F13078" i="1"/>
  <c r="I13077" i="1"/>
  <c r="F13077" i="1"/>
  <c r="I13076" i="1"/>
  <c r="F13076" i="1"/>
  <c r="I13075" i="1"/>
  <c r="F13075" i="1"/>
  <c r="I13074" i="1"/>
  <c r="F13074" i="1"/>
  <c r="I13073" i="1"/>
  <c r="F13073" i="1"/>
  <c r="I13072" i="1"/>
  <c r="F13072" i="1"/>
  <c r="I13071" i="1"/>
  <c r="F13071" i="1"/>
  <c r="I13070" i="1"/>
  <c r="F13070" i="1"/>
  <c r="I13069" i="1"/>
  <c r="F13069" i="1"/>
  <c r="I13068" i="1"/>
  <c r="F13068" i="1"/>
  <c r="I13067" i="1"/>
  <c r="F13067" i="1"/>
  <c r="I13066" i="1"/>
  <c r="F13066" i="1"/>
  <c r="I13065" i="1"/>
  <c r="F13065" i="1"/>
  <c r="I13064" i="1"/>
  <c r="F13064" i="1"/>
  <c r="I13063" i="1"/>
  <c r="F13063" i="1"/>
  <c r="I13062" i="1"/>
  <c r="F13062" i="1"/>
  <c r="I13061" i="1"/>
  <c r="F13061" i="1"/>
  <c r="I13060" i="1"/>
  <c r="F13060" i="1"/>
  <c r="I13059" i="1"/>
  <c r="F13059" i="1"/>
  <c r="I13058" i="1"/>
  <c r="F13058" i="1"/>
  <c r="I13057" i="1"/>
  <c r="F13057" i="1"/>
  <c r="I13056" i="1"/>
  <c r="F13056" i="1"/>
  <c r="I13055" i="1"/>
  <c r="F13055" i="1"/>
  <c r="I13054" i="1"/>
  <c r="F13054" i="1"/>
  <c r="I13053" i="1"/>
  <c r="F13053" i="1"/>
  <c r="I13052" i="1"/>
  <c r="F13052" i="1"/>
  <c r="I13051" i="1"/>
  <c r="F13051" i="1"/>
  <c r="I13050" i="1"/>
  <c r="F13050" i="1"/>
  <c r="I13049" i="1"/>
  <c r="F13049" i="1"/>
  <c r="I13048" i="1"/>
  <c r="F13048" i="1"/>
  <c r="I13047" i="1"/>
  <c r="F13047" i="1"/>
  <c r="I13046" i="1"/>
  <c r="F13046" i="1"/>
  <c r="I13045" i="1"/>
  <c r="F13045" i="1"/>
  <c r="I13044" i="1"/>
  <c r="F13044" i="1"/>
  <c r="I13043" i="1"/>
  <c r="F13043" i="1"/>
  <c r="I13042" i="1"/>
  <c r="F13042" i="1"/>
  <c r="I13041" i="1"/>
  <c r="F13041" i="1"/>
  <c r="I13040" i="1"/>
  <c r="F13040" i="1"/>
  <c r="I13039" i="1"/>
  <c r="F13039" i="1"/>
  <c r="I13038" i="1"/>
  <c r="F13038" i="1"/>
  <c r="I13037" i="1"/>
  <c r="F13037" i="1"/>
  <c r="I13036" i="1"/>
  <c r="F13036" i="1"/>
  <c r="I13035" i="1"/>
  <c r="F13035" i="1"/>
  <c r="I13034" i="1"/>
  <c r="F13034" i="1"/>
  <c r="I13033" i="1"/>
  <c r="F13033" i="1"/>
  <c r="I13032" i="1"/>
  <c r="F13032" i="1"/>
  <c r="I13031" i="1"/>
  <c r="F13031" i="1"/>
  <c r="I13030" i="1"/>
  <c r="F13030" i="1"/>
  <c r="I13029" i="1"/>
  <c r="F13029" i="1"/>
  <c r="I13028" i="1"/>
  <c r="F13028" i="1"/>
  <c r="I13027" i="1"/>
  <c r="F13027" i="1"/>
  <c r="I13026" i="1"/>
  <c r="F13026" i="1"/>
  <c r="I13025" i="1"/>
  <c r="F13025" i="1"/>
  <c r="I13024" i="1"/>
  <c r="F13024" i="1"/>
  <c r="I13023" i="1"/>
  <c r="F13023" i="1"/>
  <c r="I13022" i="1"/>
  <c r="F13022" i="1"/>
  <c r="I13021" i="1"/>
  <c r="F13021" i="1"/>
  <c r="I13020" i="1"/>
  <c r="F13020" i="1"/>
  <c r="I13019" i="1"/>
  <c r="F13019" i="1"/>
  <c r="I13018" i="1"/>
  <c r="F13018" i="1"/>
  <c r="I13017" i="1"/>
  <c r="F13017" i="1"/>
  <c r="I13016" i="1"/>
  <c r="F13016" i="1"/>
  <c r="I13015" i="1"/>
  <c r="F13015" i="1"/>
  <c r="I13014" i="1"/>
  <c r="F13014" i="1"/>
  <c r="I13013" i="1"/>
  <c r="F13013" i="1"/>
  <c r="I13012" i="1"/>
  <c r="F13012" i="1"/>
  <c r="I13011" i="1"/>
  <c r="F13011" i="1"/>
  <c r="I13010" i="1"/>
  <c r="F13010" i="1"/>
  <c r="I13009" i="1"/>
  <c r="F13009" i="1"/>
  <c r="I13008" i="1"/>
  <c r="F13008" i="1"/>
  <c r="I13007" i="1"/>
  <c r="F13007" i="1"/>
  <c r="I13006" i="1"/>
  <c r="F13006" i="1"/>
  <c r="I13005" i="1"/>
  <c r="F13005" i="1"/>
  <c r="I13004" i="1"/>
  <c r="F13004" i="1"/>
  <c r="I13003" i="1"/>
  <c r="F13003" i="1"/>
  <c r="I13002" i="1"/>
  <c r="F13002" i="1"/>
  <c r="I13001" i="1"/>
  <c r="F13001" i="1"/>
  <c r="I13000" i="1"/>
  <c r="F13000" i="1"/>
  <c r="I12999" i="1"/>
  <c r="F12999" i="1"/>
  <c r="I12998" i="1"/>
  <c r="F12998" i="1"/>
  <c r="I12997" i="1"/>
  <c r="F12997" i="1"/>
  <c r="I12996" i="1"/>
  <c r="F12996" i="1"/>
  <c r="I12995" i="1"/>
  <c r="F12995" i="1"/>
  <c r="I12994" i="1"/>
  <c r="F12994" i="1"/>
  <c r="I12993" i="1"/>
  <c r="F12993" i="1"/>
  <c r="I12992" i="1"/>
  <c r="F12992" i="1"/>
  <c r="I12991" i="1"/>
  <c r="F12991" i="1"/>
  <c r="I12990" i="1"/>
  <c r="F12990" i="1"/>
  <c r="I12989" i="1"/>
  <c r="F12989" i="1"/>
  <c r="I12988" i="1"/>
  <c r="F12988" i="1"/>
  <c r="I12987" i="1"/>
  <c r="F12987" i="1"/>
  <c r="I12986" i="1"/>
  <c r="F12986" i="1"/>
  <c r="I12985" i="1"/>
  <c r="F12985" i="1"/>
  <c r="I12984" i="1"/>
  <c r="F12984" i="1"/>
  <c r="I12983" i="1"/>
  <c r="F12983" i="1"/>
  <c r="I12982" i="1"/>
  <c r="F12982" i="1"/>
  <c r="I12981" i="1"/>
  <c r="F12981" i="1"/>
  <c r="I12980" i="1"/>
  <c r="F12980" i="1"/>
  <c r="I12979" i="1"/>
  <c r="F12979" i="1"/>
  <c r="I12978" i="1"/>
  <c r="F12978" i="1"/>
  <c r="I12977" i="1"/>
  <c r="F12977" i="1"/>
  <c r="I12976" i="1"/>
  <c r="F12976" i="1"/>
  <c r="I12975" i="1"/>
  <c r="F12975" i="1"/>
  <c r="I12974" i="1"/>
  <c r="F12974" i="1"/>
  <c r="I12973" i="1"/>
  <c r="F12973" i="1"/>
  <c r="I12972" i="1"/>
  <c r="F12972" i="1"/>
  <c r="I12971" i="1"/>
  <c r="F12971" i="1"/>
  <c r="I12970" i="1"/>
  <c r="F12970" i="1"/>
  <c r="I12969" i="1"/>
  <c r="F12969" i="1"/>
  <c r="I12968" i="1"/>
  <c r="F12968" i="1"/>
  <c r="I12967" i="1"/>
  <c r="F12967" i="1"/>
  <c r="I12966" i="1"/>
  <c r="F12966" i="1"/>
  <c r="I12965" i="1"/>
  <c r="F12965" i="1"/>
  <c r="I12964" i="1"/>
  <c r="F12964" i="1"/>
  <c r="I12963" i="1"/>
  <c r="F12963" i="1"/>
  <c r="I12962" i="1"/>
  <c r="F12962" i="1"/>
  <c r="I12961" i="1"/>
  <c r="F12961" i="1"/>
  <c r="I12960" i="1"/>
  <c r="F12960" i="1"/>
  <c r="I12959" i="1"/>
  <c r="F12959" i="1"/>
  <c r="I12958" i="1"/>
  <c r="F12958" i="1"/>
  <c r="I12957" i="1"/>
  <c r="F12957" i="1"/>
  <c r="I12956" i="1"/>
  <c r="F12956" i="1"/>
  <c r="I12955" i="1"/>
  <c r="F12955" i="1"/>
  <c r="I12954" i="1"/>
  <c r="F12954" i="1"/>
  <c r="I12953" i="1"/>
  <c r="F12953" i="1"/>
  <c r="I12952" i="1"/>
  <c r="F12952" i="1"/>
  <c r="I12951" i="1"/>
  <c r="F12951" i="1"/>
  <c r="I12950" i="1"/>
  <c r="F12950" i="1"/>
  <c r="I12949" i="1"/>
  <c r="F12949" i="1"/>
  <c r="I12948" i="1"/>
  <c r="F12948" i="1"/>
  <c r="I12947" i="1"/>
  <c r="F12947" i="1"/>
  <c r="I12946" i="1"/>
  <c r="F12946" i="1"/>
  <c r="I12945" i="1"/>
  <c r="F12945" i="1"/>
  <c r="I12944" i="1"/>
  <c r="F12944" i="1"/>
  <c r="I12943" i="1"/>
  <c r="F12943" i="1"/>
  <c r="I12942" i="1"/>
  <c r="F12942" i="1"/>
  <c r="I12941" i="1"/>
  <c r="F12941" i="1"/>
  <c r="I12940" i="1"/>
  <c r="F12940" i="1"/>
  <c r="I12939" i="1"/>
  <c r="F12939" i="1"/>
  <c r="I12938" i="1"/>
  <c r="F12938" i="1"/>
  <c r="I12937" i="1"/>
  <c r="F12937" i="1"/>
  <c r="I12936" i="1"/>
  <c r="F12936" i="1"/>
  <c r="I12935" i="1"/>
  <c r="F12935" i="1"/>
  <c r="I12934" i="1"/>
  <c r="F12934" i="1"/>
  <c r="I12933" i="1"/>
  <c r="F12933" i="1"/>
  <c r="I12932" i="1"/>
  <c r="F12932" i="1"/>
  <c r="I12931" i="1"/>
  <c r="F12931" i="1"/>
  <c r="I12930" i="1"/>
  <c r="F12930" i="1"/>
  <c r="I12929" i="1"/>
  <c r="F12929" i="1"/>
  <c r="I12928" i="1"/>
  <c r="F12928" i="1"/>
  <c r="I12927" i="1"/>
  <c r="F12927" i="1"/>
  <c r="I12926" i="1"/>
  <c r="F12926" i="1"/>
  <c r="I12925" i="1"/>
  <c r="F12925" i="1"/>
  <c r="I12924" i="1"/>
  <c r="F12924" i="1"/>
  <c r="I12923" i="1"/>
  <c r="F12923" i="1"/>
  <c r="I12922" i="1"/>
  <c r="F12922" i="1"/>
  <c r="I12921" i="1"/>
  <c r="F12921" i="1"/>
  <c r="I12920" i="1"/>
  <c r="F12920" i="1"/>
  <c r="I12919" i="1"/>
  <c r="F12919" i="1"/>
  <c r="I12918" i="1"/>
  <c r="F12918" i="1"/>
  <c r="I12917" i="1"/>
  <c r="F12917" i="1"/>
  <c r="I12916" i="1"/>
  <c r="F12916" i="1"/>
  <c r="I12915" i="1"/>
  <c r="F12915" i="1"/>
  <c r="I12914" i="1"/>
  <c r="F12914" i="1"/>
  <c r="I12913" i="1"/>
  <c r="F12913" i="1"/>
  <c r="I12912" i="1"/>
  <c r="F12912" i="1"/>
  <c r="I12911" i="1"/>
  <c r="F12911" i="1"/>
  <c r="I12910" i="1"/>
  <c r="F12910" i="1"/>
  <c r="I12909" i="1"/>
  <c r="F12909" i="1"/>
  <c r="I12908" i="1"/>
  <c r="F12908" i="1"/>
  <c r="I12907" i="1"/>
  <c r="F12907" i="1"/>
  <c r="I12906" i="1"/>
  <c r="F12906" i="1"/>
  <c r="I12905" i="1"/>
  <c r="F12905" i="1"/>
  <c r="I12904" i="1"/>
  <c r="F12904" i="1"/>
  <c r="I12903" i="1"/>
  <c r="F12903" i="1"/>
  <c r="I12902" i="1"/>
  <c r="F12902" i="1"/>
  <c r="I12901" i="1"/>
  <c r="F12901" i="1"/>
  <c r="I12900" i="1"/>
  <c r="F12900" i="1"/>
  <c r="I12899" i="1"/>
  <c r="F12899" i="1"/>
  <c r="I12898" i="1"/>
  <c r="F12898" i="1"/>
  <c r="I12897" i="1"/>
  <c r="F12897" i="1"/>
  <c r="I12896" i="1"/>
  <c r="F12896" i="1"/>
  <c r="I12895" i="1"/>
  <c r="F12895" i="1"/>
  <c r="I12894" i="1"/>
  <c r="F12894" i="1"/>
  <c r="I12893" i="1"/>
  <c r="F12893" i="1"/>
  <c r="I12892" i="1"/>
  <c r="F12892" i="1"/>
  <c r="I12891" i="1"/>
  <c r="F12891" i="1"/>
  <c r="I12890" i="1"/>
  <c r="F12890" i="1"/>
  <c r="I12889" i="1"/>
  <c r="F12889" i="1"/>
  <c r="I12888" i="1"/>
  <c r="F12888" i="1"/>
  <c r="I12887" i="1"/>
  <c r="F12887" i="1"/>
  <c r="I12886" i="1"/>
  <c r="F12886" i="1"/>
  <c r="I12885" i="1"/>
  <c r="F12885" i="1"/>
  <c r="I12884" i="1"/>
  <c r="F12884" i="1"/>
  <c r="I12883" i="1"/>
  <c r="F12883" i="1"/>
  <c r="I12882" i="1"/>
  <c r="F12882" i="1"/>
  <c r="I12881" i="1"/>
  <c r="F12881" i="1"/>
  <c r="I12880" i="1"/>
  <c r="F12880" i="1"/>
  <c r="I12879" i="1"/>
  <c r="F12879" i="1"/>
  <c r="I12878" i="1"/>
  <c r="F12878" i="1"/>
  <c r="I12877" i="1"/>
  <c r="F12877" i="1"/>
  <c r="I12876" i="1"/>
  <c r="F12876" i="1"/>
  <c r="I12875" i="1"/>
  <c r="F12875" i="1"/>
  <c r="I12874" i="1"/>
  <c r="F12874" i="1"/>
  <c r="I12873" i="1"/>
  <c r="F12873" i="1"/>
  <c r="I12872" i="1"/>
  <c r="F12872" i="1"/>
  <c r="I12871" i="1"/>
  <c r="F12871" i="1"/>
  <c r="I12870" i="1"/>
  <c r="F12870" i="1"/>
  <c r="I12869" i="1"/>
  <c r="F12869" i="1"/>
  <c r="I12868" i="1"/>
  <c r="F12868" i="1"/>
  <c r="I12867" i="1"/>
  <c r="F12867" i="1"/>
  <c r="I12866" i="1"/>
  <c r="F12866" i="1"/>
  <c r="I12865" i="1"/>
  <c r="F12865" i="1"/>
  <c r="I12864" i="1"/>
  <c r="F12864" i="1"/>
  <c r="I12863" i="1"/>
  <c r="F12863" i="1"/>
  <c r="I12862" i="1"/>
  <c r="F12862" i="1"/>
  <c r="I12861" i="1"/>
  <c r="F12861" i="1"/>
  <c r="I12860" i="1"/>
  <c r="F12860" i="1"/>
  <c r="I12859" i="1"/>
  <c r="F12859" i="1"/>
  <c r="I12858" i="1"/>
  <c r="F12858" i="1"/>
  <c r="I12857" i="1"/>
  <c r="F12857" i="1"/>
  <c r="I12856" i="1"/>
  <c r="F12856" i="1"/>
  <c r="I12855" i="1"/>
  <c r="F12855" i="1"/>
  <c r="I12854" i="1"/>
  <c r="F12854" i="1"/>
  <c r="I12853" i="1"/>
  <c r="F12853" i="1"/>
  <c r="I12852" i="1"/>
  <c r="F12852" i="1"/>
  <c r="I12851" i="1"/>
  <c r="F12851" i="1"/>
  <c r="I12850" i="1"/>
  <c r="F12850" i="1"/>
  <c r="I12849" i="1"/>
  <c r="F12849" i="1"/>
  <c r="I12848" i="1"/>
  <c r="F12848" i="1"/>
  <c r="I12847" i="1"/>
  <c r="F12847" i="1"/>
  <c r="I12846" i="1"/>
  <c r="F12846" i="1"/>
  <c r="I12845" i="1"/>
  <c r="F12845" i="1"/>
  <c r="I12844" i="1"/>
  <c r="F12844" i="1"/>
  <c r="I12843" i="1"/>
  <c r="F12843" i="1"/>
  <c r="I12842" i="1"/>
  <c r="F12842" i="1"/>
  <c r="I12841" i="1"/>
  <c r="F12841" i="1"/>
  <c r="I12840" i="1"/>
  <c r="F12840" i="1"/>
  <c r="I12839" i="1"/>
  <c r="F12839" i="1"/>
  <c r="I12838" i="1"/>
  <c r="F12838" i="1"/>
  <c r="I12837" i="1"/>
  <c r="F12837" i="1"/>
  <c r="I12836" i="1"/>
  <c r="F12836" i="1"/>
  <c r="I12835" i="1"/>
  <c r="F12835" i="1"/>
  <c r="I12834" i="1"/>
  <c r="F12834" i="1"/>
  <c r="I12833" i="1"/>
  <c r="F12833" i="1"/>
  <c r="I12832" i="1"/>
  <c r="F12832" i="1"/>
  <c r="I12831" i="1"/>
  <c r="F12831" i="1"/>
  <c r="I12830" i="1"/>
  <c r="F12830" i="1"/>
  <c r="I12829" i="1"/>
  <c r="F12829" i="1"/>
  <c r="I12828" i="1"/>
  <c r="F12828" i="1"/>
  <c r="I12827" i="1"/>
  <c r="F12827" i="1"/>
  <c r="I12826" i="1"/>
  <c r="F12826" i="1"/>
  <c r="I12825" i="1"/>
  <c r="F12825" i="1"/>
  <c r="I12824" i="1"/>
  <c r="F12824" i="1"/>
  <c r="I12823" i="1"/>
  <c r="F12823" i="1"/>
  <c r="I12822" i="1"/>
  <c r="F12822" i="1"/>
  <c r="I12821" i="1"/>
  <c r="F12821" i="1"/>
  <c r="I12820" i="1"/>
  <c r="F12820" i="1"/>
  <c r="I12819" i="1"/>
  <c r="F12819" i="1"/>
  <c r="I12818" i="1"/>
  <c r="F12818" i="1"/>
  <c r="I12817" i="1"/>
  <c r="F12817" i="1"/>
  <c r="I12816" i="1"/>
  <c r="F12816" i="1"/>
  <c r="I12815" i="1"/>
  <c r="F12815" i="1"/>
  <c r="I12814" i="1"/>
  <c r="F12814" i="1"/>
  <c r="I12813" i="1"/>
  <c r="F12813" i="1"/>
  <c r="I12812" i="1"/>
  <c r="F12812" i="1"/>
  <c r="I12811" i="1"/>
  <c r="F12811" i="1"/>
  <c r="I12810" i="1"/>
  <c r="F12810" i="1"/>
  <c r="I12809" i="1"/>
  <c r="F12809" i="1"/>
  <c r="I12808" i="1"/>
  <c r="F12808" i="1"/>
  <c r="I12807" i="1"/>
  <c r="F12807" i="1"/>
  <c r="I12806" i="1"/>
  <c r="F12806" i="1"/>
  <c r="I12805" i="1"/>
  <c r="F12805" i="1"/>
  <c r="I12804" i="1"/>
  <c r="F12804" i="1"/>
  <c r="I12803" i="1"/>
  <c r="F12803" i="1"/>
  <c r="I12802" i="1"/>
  <c r="F12802" i="1"/>
  <c r="I12801" i="1"/>
  <c r="F12801" i="1"/>
  <c r="I12800" i="1"/>
  <c r="F12800" i="1"/>
  <c r="I12799" i="1"/>
  <c r="F12799" i="1"/>
  <c r="I12798" i="1"/>
  <c r="F12798" i="1"/>
  <c r="I12797" i="1"/>
  <c r="F12797" i="1"/>
  <c r="I12796" i="1"/>
  <c r="F12796" i="1"/>
  <c r="I12795" i="1"/>
  <c r="F12795" i="1"/>
  <c r="I12794" i="1"/>
  <c r="F12794" i="1"/>
  <c r="I12793" i="1"/>
  <c r="F12793" i="1"/>
  <c r="I12792" i="1"/>
  <c r="F12792" i="1"/>
  <c r="I12791" i="1"/>
  <c r="F12791" i="1"/>
  <c r="I12790" i="1"/>
  <c r="F12790" i="1"/>
  <c r="I12789" i="1"/>
  <c r="F12789" i="1"/>
  <c r="I12788" i="1"/>
  <c r="F12788" i="1"/>
  <c r="I12787" i="1"/>
  <c r="F12787" i="1"/>
  <c r="I12786" i="1"/>
  <c r="F12786" i="1"/>
  <c r="I12785" i="1"/>
  <c r="F12785" i="1"/>
  <c r="I12784" i="1"/>
  <c r="F12784" i="1"/>
  <c r="I12783" i="1"/>
  <c r="F12783" i="1"/>
  <c r="I12782" i="1"/>
  <c r="F12782" i="1"/>
  <c r="I12781" i="1"/>
  <c r="F12781" i="1"/>
  <c r="I12780" i="1"/>
  <c r="F12780" i="1"/>
  <c r="I12779" i="1"/>
  <c r="F12779" i="1"/>
  <c r="I12778" i="1"/>
  <c r="F12778" i="1"/>
  <c r="I12777" i="1"/>
  <c r="F12777" i="1"/>
  <c r="I12776" i="1"/>
  <c r="F12776" i="1"/>
  <c r="I12775" i="1"/>
  <c r="F12775" i="1"/>
  <c r="I12774" i="1"/>
  <c r="F12774" i="1"/>
  <c r="I12773" i="1"/>
  <c r="F12773" i="1"/>
  <c r="I12772" i="1"/>
  <c r="F12772" i="1"/>
  <c r="I12771" i="1"/>
  <c r="F12771" i="1"/>
  <c r="I12770" i="1"/>
  <c r="F12770" i="1"/>
  <c r="I12769" i="1"/>
  <c r="F12769" i="1"/>
  <c r="I12768" i="1"/>
  <c r="F12768" i="1"/>
  <c r="I12767" i="1"/>
  <c r="F12767" i="1"/>
  <c r="I12766" i="1"/>
  <c r="F12766" i="1"/>
  <c r="I12765" i="1"/>
  <c r="F12765" i="1"/>
  <c r="I12764" i="1"/>
  <c r="F12764" i="1"/>
  <c r="I12763" i="1"/>
  <c r="F12763" i="1"/>
  <c r="I12762" i="1"/>
  <c r="F12762" i="1"/>
  <c r="I12761" i="1"/>
  <c r="F12761" i="1"/>
  <c r="I12760" i="1"/>
  <c r="F12760" i="1"/>
  <c r="I12759" i="1"/>
  <c r="F12759" i="1"/>
  <c r="I12758" i="1"/>
  <c r="F12758" i="1"/>
  <c r="I12757" i="1"/>
  <c r="F12757" i="1"/>
  <c r="I12756" i="1"/>
  <c r="F12756" i="1"/>
  <c r="I12755" i="1"/>
  <c r="F12755" i="1"/>
  <c r="I12754" i="1"/>
  <c r="F12754" i="1"/>
  <c r="I12753" i="1"/>
  <c r="F12753" i="1"/>
  <c r="I12752" i="1"/>
  <c r="F12752" i="1"/>
  <c r="I12751" i="1"/>
  <c r="F12751" i="1"/>
  <c r="I12750" i="1"/>
  <c r="F12750" i="1"/>
  <c r="I12749" i="1"/>
  <c r="F12749" i="1"/>
  <c r="I12748" i="1"/>
  <c r="F12748" i="1"/>
  <c r="I12747" i="1"/>
  <c r="F12747" i="1"/>
  <c r="I12746" i="1"/>
  <c r="F12746" i="1"/>
  <c r="I12745" i="1"/>
  <c r="F12745" i="1"/>
  <c r="I12744" i="1"/>
  <c r="F12744" i="1"/>
  <c r="I12743" i="1"/>
  <c r="F12743" i="1"/>
  <c r="I12742" i="1"/>
  <c r="F12742" i="1"/>
  <c r="I12741" i="1"/>
  <c r="F12741" i="1"/>
  <c r="I12740" i="1"/>
  <c r="F12740" i="1"/>
  <c r="I12739" i="1"/>
  <c r="F12739" i="1"/>
  <c r="I12738" i="1"/>
  <c r="F12738" i="1"/>
  <c r="I12737" i="1"/>
  <c r="F12737" i="1"/>
  <c r="I12736" i="1"/>
  <c r="F12736" i="1"/>
  <c r="I12735" i="1"/>
  <c r="F12735" i="1"/>
  <c r="I12734" i="1"/>
  <c r="F12734" i="1"/>
  <c r="I12733" i="1"/>
  <c r="F12733" i="1"/>
  <c r="I12732" i="1"/>
  <c r="F12732" i="1"/>
  <c r="I12731" i="1"/>
  <c r="F12731" i="1"/>
  <c r="I12730" i="1"/>
  <c r="F12730" i="1"/>
  <c r="I12729" i="1"/>
  <c r="F12729" i="1"/>
  <c r="I12728" i="1"/>
  <c r="F12728" i="1"/>
  <c r="I12727" i="1"/>
  <c r="F12727" i="1"/>
  <c r="I12726" i="1"/>
  <c r="F12726" i="1"/>
  <c r="I12725" i="1"/>
  <c r="F12725" i="1"/>
  <c r="I12724" i="1"/>
  <c r="F12724" i="1"/>
  <c r="I12723" i="1"/>
  <c r="F12723" i="1"/>
  <c r="I12722" i="1"/>
  <c r="F12722" i="1"/>
  <c r="I12721" i="1"/>
  <c r="F12721" i="1"/>
  <c r="I12720" i="1"/>
  <c r="F12720" i="1"/>
  <c r="I12719" i="1"/>
  <c r="F12719" i="1"/>
  <c r="I12718" i="1"/>
  <c r="F12718" i="1"/>
  <c r="I12717" i="1"/>
  <c r="F12717" i="1"/>
  <c r="I12716" i="1"/>
  <c r="F12716" i="1"/>
  <c r="I12715" i="1"/>
  <c r="F12715" i="1"/>
  <c r="I12714" i="1"/>
  <c r="F12714" i="1"/>
  <c r="I12713" i="1"/>
  <c r="F12713" i="1"/>
  <c r="I12712" i="1"/>
  <c r="F12712" i="1"/>
  <c r="I12711" i="1"/>
  <c r="F12711" i="1"/>
  <c r="I12710" i="1"/>
  <c r="F12710" i="1"/>
  <c r="I12709" i="1"/>
  <c r="F12709" i="1"/>
  <c r="I12708" i="1"/>
  <c r="F12708" i="1"/>
  <c r="I12707" i="1"/>
  <c r="F12707" i="1"/>
  <c r="I12706" i="1"/>
  <c r="F12706" i="1"/>
  <c r="I12705" i="1"/>
  <c r="F12705" i="1"/>
  <c r="I12704" i="1"/>
  <c r="F12704" i="1"/>
  <c r="I12703" i="1"/>
  <c r="F12703" i="1"/>
  <c r="I12702" i="1"/>
  <c r="F12702" i="1"/>
  <c r="I12701" i="1"/>
  <c r="F12701" i="1"/>
  <c r="I12700" i="1"/>
  <c r="F12700" i="1"/>
  <c r="I12699" i="1"/>
  <c r="F12699" i="1"/>
  <c r="I12698" i="1"/>
  <c r="F12698" i="1"/>
  <c r="I12697" i="1"/>
  <c r="F12697" i="1"/>
  <c r="I12696" i="1"/>
  <c r="F12696" i="1"/>
  <c r="I12695" i="1"/>
  <c r="F12695" i="1"/>
  <c r="I12694" i="1"/>
  <c r="F12694" i="1"/>
  <c r="I12693" i="1"/>
  <c r="F12693" i="1"/>
  <c r="I12692" i="1"/>
  <c r="F12692" i="1"/>
  <c r="I12691" i="1"/>
  <c r="F12691" i="1"/>
  <c r="I12690" i="1"/>
  <c r="F12690" i="1"/>
  <c r="I12689" i="1"/>
  <c r="F12689" i="1"/>
  <c r="I12688" i="1"/>
  <c r="F12688" i="1"/>
  <c r="I12687" i="1"/>
  <c r="F12687" i="1"/>
  <c r="I12686" i="1"/>
  <c r="F12686" i="1"/>
  <c r="I12685" i="1"/>
  <c r="F12685" i="1"/>
  <c r="I12684" i="1"/>
  <c r="F12684" i="1"/>
  <c r="I12683" i="1"/>
  <c r="F12683" i="1"/>
  <c r="I12682" i="1"/>
  <c r="F12682" i="1"/>
  <c r="I12681" i="1"/>
  <c r="F12681" i="1"/>
  <c r="I12680" i="1"/>
  <c r="F12680" i="1"/>
  <c r="I12679" i="1"/>
  <c r="F12679" i="1"/>
  <c r="I12678" i="1"/>
  <c r="F12678" i="1"/>
  <c r="I12677" i="1"/>
  <c r="F12677" i="1"/>
  <c r="I12676" i="1"/>
  <c r="F12676" i="1"/>
  <c r="I12675" i="1"/>
  <c r="F12675" i="1"/>
  <c r="I12674" i="1"/>
  <c r="F12674" i="1"/>
  <c r="I12673" i="1"/>
  <c r="F12673" i="1"/>
  <c r="I12672" i="1"/>
  <c r="F12672" i="1"/>
  <c r="I12671" i="1"/>
  <c r="F12671" i="1"/>
  <c r="I12670" i="1"/>
  <c r="F12670" i="1"/>
  <c r="I12669" i="1"/>
  <c r="F12669" i="1"/>
  <c r="I12668" i="1"/>
  <c r="F12668" i="1"/>
  <c r="I12667" i="1"/>
  <c r="F12667" i="1"/>
  <c r="I12666" i="1"/>
  <c r="F12666" i="1"/>
  <c r="I12665" i="1"/>
  <c r="F12665" i="1"/>
  <c r="I12664" i="1"/>
  <c r="F12664" i="1"/>
  <c r="I12663" i="1"/>
  <c r="F12663" i="1"/>
  <c r="I12662" i="1"/>
  <c r="F12662" i="1"/>
  <c r="I12661" i="1"/>
  <c r="F12661" i="1"/>
  <c r="I12660" i="1"/>
  <c r="F12660" i="1"/>
  <c r="I12659" i="1"/>
  <c r="F12659" i="1"/>
  <c r="I12658" i="1"/>
  <c r="F12658" i="1"/>
  <c r="I12657" i="1"/>
  <c r="F12657" i="1"/>
  <c r="I12656" i="1"/>
  <c r="F12656" i="1"/>
  <c r="I12655" i="1"/>
  <c r="F12655" i="1"/>
  <c r="I12654" i="1"/>
  <c r="F12654" i="1"/>
  <c r="I12653" i="1"/>
  <c r="F12653" i="1"/>
  <c r="I12652" i="1"/>
  <c r="F12652" i="1"/>
  <c r="I12651" i="1"/>
  <c r="F12651" i="1"/>
  <c r="I12650" i="1"/>
  <c r="F12650" i="1"/>
  <c r="I12649" i="1"/>
  <c r="F12649" i="1"/>
  <c r="I12648" i="1"/>
  <c r="F12648" i="1"/>
  <c r="I12647" i="1"/>
  <c r="F12647" i="1"/>
  <c r="I12646" i="1"/>
  <c r="F12646" i="1"/>
  <c r="I12645" i="1"/>
  <c r="F12645" i="1"/>
  <c r="I12644" i="1"/>
  <c r="F12644" i="1"/>
  <c r="I12643" i="1"/>
  <c r="F12643" i="1"/>
  <c r="I12642" i="1"/>
  <c r="F12642" i="1"/>
  <c r="I12641" i="1"/>
  <c r="F12641" i="1"/>
  <c r="I12640" i="1"/>
  <c r="F12640" i="1"/>
  <c r="I12639" i="1"/>
  <c r="F12639" i="1"/>
  <c r="I12638" i="1"/>
  <c r="F12638" i="1"/>
  <c r="I12637" i="1"/>
  <c r="F12637" i="1"/>
  <c r="I12636" i="1"/>
  <c r="F12636" i="1"/>
  <c r="I12635" i="1"/>
  <c r="F12635" i="1"/>
  <c r="I12634" i="1"/>
  <c r="F12634" i="1"/>
  <c r="I12633" i="1"/>
  <c r="F12633" i="1"/>
  <c r="I12632" i="1"/>
  <c r="F12632" i="1"/>
  <c r="I12631" i="1"/>
  <c r="F12631" i="1"/>
  <c r="I12630" i="1"/>
  <c r="F12630" i="1"/>
  <c r="I12629" i="1"/>
  <c r="F12629" i="1"/>
  <c r="I12628" i="1"/>
  <c r="F12628" i="1"/>
  <c r="I12627" i="1"/>
  <c r="F12627" i="1"/>
  <c r="I12626" i="1"/>
  <c r="F12626" i="1"/>
  <c r="I12625" i="1"/>
  <c r="F12625" i="1"/>
  <c r="I12624" i="1"/>
  <c r="F12624" i="1"/>
  <c r="I12623" i="1"/>
  <c r="F12623" i="1"/>
  <c r="I12622" i="1"/>
  <c r="F12622" i="1"/>
  <c r="I12621" i="1"/>
  <c r="F12621" i="1"/>
  <c r="I12620" i="1"/>
  <c r="F12620" i="1"/>
  <c r="I12619" i="1"/>
  <c r="F12619" i="1"/>
  <c r="I12618" i="1"/>
  <c r="F12618" i="1"/>
  <c r="I12617" i="1"/>
  <c r="F12617" i="1"/>
  <c r="I12616" i="1"/>
  <c r="F12616" i="1"/>
  <c r="I12615" i="1"/>
  <c r="F12615" i="1"/>
  <c r="I12614" i="1"/>
  <c r="F12614" i="1"/>
  <c r="I12613" i="1"/>
  <c r="F12613" i="1"/>
  <c r="I12612" i="1"/>
  <c r="F12612" i="1"/>
  <c r="I12611" i="1"/>
  <c r="F12611" i="1"/>
  <c r="I12610" i="1"/>
  <c r="F12610" i="1"/>
  <c r="I12609" i="1"/>
  <c r="F12609" i="1"/>
  <c r="I12608" i="1"/>
  <c r="F12608" i="1"/>
  <c r="I12607" i="1"/>
  <c r="F12607" i="1"/>
  <c r="I12606" i="1"/>
  <c r="F12606" i="1"/>
  <c r="I12605" i="1"/>
  <c r="F12605" i="1"/>
  <c r="I12604" i="1"/>
  <c r="F12604" i="1"/>
  <c r="I12603" i="1"/>
  <c r="F12603" i="1"/>
  <c r="I12602" i="1"/>
  <c r="F12602" i="1"/>
  <c r="I12601" i="1"/>
  <c r="F12601" i="1"/>
  <c r="I12600" i="1"/>
  <c r="F12600" i="1"/>
  <c r="I12599" i="1"/>
  <c r="F12599" i="1"/>
  <c r="I12598" i="1"/>
  <c r="F12598" i="1"/>
  <c r="I12597" i="1"/>
  <c r="F12597" i="1"/>
  <c r="I12596" i="1"/>
  <c r="F12596" i="1"/>
  <c r="I12595" i="1"/>
  <c r="F12595" i="1"/>
  <c r="I12594" i="1"/>
  <c r="F12594" i="1"/>
  <c r="I12593" i="1"/>
  <c r="F12593" i="1"/>
  <c r="I12592" i="1"/>
  <c r="F12592" i="1"/>
  <c r="I12591" i="1"/>
  <c r="F12591" i="1"/>
  <c r="I12590" i="1"/>
  <c r="F12590" i="1"/>
  <c r="I12589" i="1"/>
  <c r="F12589" i="1"/>
  <c r="I12588" i="1"/>
  <c r="F12588" i="1"/>
  <c r="I12587" i="1"/>
  <c r="F12587" i="1"/>
  <c r="I12586" i="1"/>
  <c r="F12586" i="1"/>
  <c r="I12585" i="1"/>
  <c r="F12585" i="1"/>
  <c r="I12584" i="1"/>
  <c r="F12584" i="1"/>
  <c r="I12583" i="1"/>
  <c r="F12583" i="1"/>
  <c r="I12582" i="1"/>
  <c r="F12582" i="1"/>
  <c r="I12581" i="1"/>
  <c r="F12581" i="1"/>
  <c r="I12580" i="1"/>
  <c r="F12580" i="1"/>
  <c r="I12579" i="1"/>
  <c r="F12579" i="1"/>
  <c r="I12578" i="1"/>
  <c r="F12578" i="1"/>
  <c r="I12577" i="1"/>
  <c r="F12577" i="1"/>
  <c r="I12576" i="1"/>
  <c r="F12576" i="1"/>
  <c r="I12575" i="1"/>
  <c r="F12575" i="1"/>
  <c r="I12574" i="1"/>
  <c r="F12574" i="1"/>
  <c r="I12573" i="1"/>
  <c r="F12573" i="1"/>
  <c r="I12572" i="1"/>
  <c r="F12572" i="1"/>
  <c r="I12571" i="1"/>
  <c r="F12571" i="1"/>
  <c r="I12570" i="1"/>
  <c r="F12570" i="1"/>
  <c r="I12569" i="1"/>
  <c r="F12569" i="1"/>
  <c r="I12568" i="1"/>
  <c r="F12568" i="1"/>
  <c r="I12567" i="1"/>
  <c r="F12567" i="1"/>
  <c r="I12566" i="1"/>
  <c r="F12566" i="1"/>
  <c r="I12565" i="1"/>
  <c r="F12565" i="1"/>
  <c r="I12564" i="1"/>
  <c r="F12564" i="1"/>
  <c r="I12563" i="1"/>
  <c r="F12563" i="1"/>
  <c r="I12562" i="1"/>
  <c r="F12562" i="1"/>
  <c r="I12561" i="1"/>
  <c r="F12561" i="1"/>
  <c r="I12560" i="1"/>
  <c r="F12560" i="1"/>
  <c r="I12559" i="1"/>
  <c r="F12559" i="1"/>
  <c r="I12558" i="1"/>
  <c r="F12558" i="1"/>
  <c r="I12557" i="1"/>
  <c r="F12557" i="1"/>
  <c r="I12556" i="1"/>
  <c r="F12556" i="1"/>
  <c r="I12555" i="1"/>
  <c r="F12555" i="1"/>
  <c r="I12554" i="1"/>
  <c r="F12554" i="1"/>
  <c r="I12553" i="1"/>
  <c r="F12553" i="1"/>
  <c r="I12552" i="1"/>
  <c r="F12552" i="1"/>
  <c r="I12551" i="1"/>
  <c r="F12551" i="1"/>
  <c r="I12550" i="1"/>
  <c r="F12550" i="1"/>
  <c r="I12549" i="1"/>
  <c r="F12549" i="1"/>
  <c r="I12548" i="1"/>
  <c r="F12548" i="1"/>
  <c r="I12547" i="1"/>
  <c r="F12547" i="1"/>
  <c r="I12546" i="1"/>
  <c r="F12546" i="1"/>
  <c r="I12545" i="1"/>
  <c r="F12545" i="1"/>
  <c r="I12544" i="1"/>
  <c r="F12544" i="1"/>
  <c r="I12543" i="1"/>
  <c r="F12543" i="1"/>
  <c r="I12542" i="1"/>
  <c r="F12542" i="1"/>
  <c r="I12541" i="1"/>
  <c r="F12541" i="1"/>
  <c r="I12540" i="1"/>
  <c r="F12540" i="1"/>
  <c r="I12539" i="1"/>
  <c r="F12539" i="1"/>
  <c r="I12538" i="1"/>
  <c r="F12538" i="1"/>
  <c r="I12537" i="1"/>
  <c r="F12537" i="1"/>
  <c r="I12536" i="1"/>
  <c r="F12536" i="1"/>
  <c r="I12535" i="1"/>
  <c r="F12535" i="1"/>
  <c r="I12534" i="1"/>
  <c r="F12534" i="1"/>
  <c r="I12533" i="1"/>
  <c r="F12533" i="1"/>
  <c r="I12532" i="1"/>
  <c r="F12532" i="1"/>
  <c r="I12531" i="1"/>
  <c r="F12531" i="1"/>
  <c r="I12530" i="1"/>
  <c r="F12530" i="1"/>
  <c r="I12529" i="1"/>
  <c r="F12529" i="1"/>
  <c r="I12528" i="1"/>
  <c r="F12528" i="1"/>
  <c r="I12527" i="1"/>
  <c r="F12527" i="1"/>
  <c r="I12526" i="1"/>
  <c r="F12526" i="1"/>
  <c r="I12525" i="1"/>
  <c r="F12525" i="1"/>
  <c r="I12524" i="1"/>
  <c r="F12524" i="1"/>
  <c r="I12523" i="1"/>
  <c r="F12523" i="1"/>
  <c r="I12522" i="1"/>
  <c r="F12522" i="1"/>
  <c r="I12521" i="1"/>
  <c r="F12521" i="1"/>
  <c r="I12520" i="1"/>
  <c r="F12520" i="1"/>
  <c r="I12519" i="1"/>
  <c r="F12519" i="1"/>
  <c r="I12518" i="1"/>
  <c r="F12518" i="1"/>
  <c r="I12517" i="1"/>
  <c r="F12517" i="1"/>
  <c r="I12516" i="1"/>
  <c r="F12516" i="1"/>
  <c r="I12515" i="1"/>
  <c r="F12515" i="1"/>
  <c r="I12514" i="1"/>
  <c r="F12514" i="1"/>
  <c r="I12513" i="1"/>
  <c r="F12513" i="1"/>
  <c r="I12512" i="1"/>
  <c r="F12512" i="1"/>
  <c r="I12511" i="1"/>
  <c r="F12511" i="1"/>
  <c r="I12510" i="1"/>
  <c r="F12510" i="1"/>
  <c r="I12509" i="1"/>
  <c r="F12509" i="1"/>
  <c r="I12508" i="1"/>
  <c r="F12508" i="1"/>
  <c r="I12507" i="1"/>
  <c r="F12507" i="1"/>
  <c r="I12506" i="1"/>
  <c r="F12506" i="1"/>
  <c r="I12505" i="1"/>
  <c r="F12505" i="1"/>
  <c r="I12504" i="1"/>
  <c r="F12504" i="1"/>
  <c r="I12503" i="1"/>
  <c r="F12503" i="1"/>
  <c r="I12502" i="1"/>
  <c r="F12502" i="1"/>
  <c r="I12501" i="1"/>
  <c r="F12501" i="1"/>
  <c r="I12500" i="1"/>
  <c r="F12500" i="1"/>
  <c r="I12499" i="1"/>
  <c r="F12499" i="1"/>
  <c r="I12498" i="1"/>
  <c r="F12498" i="1"/>
  <c r="I12497" i="1"/>
  <c r="F12497" i="1"/>
  <c r="I12496" i="1"/>
  <c r="F12496" i="1"/>
  <c r="I12495" i="1"/>
  <c r="F12495" i="1"/>
  <c r="I12494" i="1"/>
  <c r="F12494" i="1"/>
  <c r="I12493" i="1"/>
  <c r="F12493" i="1"/>
  <c r="I12492" i="1"/>
  <c r="F12492" i="1"/>
  <c r="I12491" i="1"/>
  <c r="F12491" i="1"/>
  <c r="I12490" i="1"/>
  <c r="F12490" i="1"/>
  <c r="I12489" i="1"/>
  <c r="F12489" i="1"/>
  <c r="I12488" i="1"/>
  <c r="F12488" i="1"/>
  <c r="I12487" i="1"/>
  <c r="F12487" i="1"/>
  <c r="I12486" i="1"/>
  <c r="F12486" i="1"/>
  <c r="I12485" i="1"/>
  <c r="F12485" i="1"/>
  <c r="I12484" i="1"/>
  <c r="F12484" i="1"/>
  <c r="I12483" i="1"/>
  <c r="F12483" i="1"/>
  <c r="I12482" i="1"/>
  <c r="F12482" i="1"/>
  <c r="I12481" i="1"/>
  <c r="F12481" i="1"/>
  <c r="I12480" i="1"/>
  <c r="F12480" i="1"/>
  <c r="I12479" i="1"/>
  <c r="F12479" i="1"/>
  <c r="I12478" i="1"/>
  <c r="F12478" i="1"/>
  <c r="I12477" i="1"/>
  <c r="F12477" i="1"/>
  <c r="I12476" i="1"/>
  <c r="F12476" i="1"/>
  <c r="I12475" i="1"/>
  <c r="F12475" i="1"/>
  <c r="I12474" i="1"/>
  <c r="F12474" i="1"/>
  <c r="I12473" i="1"/>
  <c r="F12473" i="1"/>
  <c r="I12472" i="1"/>
  <c r="F12472" i="1"/>
  <c r="I12471" i="1"/>
  <c r="F12471" i="1"/>
  <c r="I12470" i="1"/>
  <c r="F12470" i="1"/>
  <c r="I12469" i="1"/>
  <c r="F12469" i="1"/>
  <c r="I12468" i="1"/>
  <c r="F12468" i="1"/>
  <c r="I12467" i="1"/>
  <c r="F12467" i="1"/>
  <c r="I12466" i="1"/>
  <c r="F12466" i="1"/>
  <c r="I12465" i="1"/>
  <c r="F12465" i="1"/>
  <c r="I12464" i="1"/>
  <c r="F12464" i="1"/>
  <c r="I12463" i="1"/>
  <c r="F12463" i="1"/>
  <c r="I12462" i="1"/>
  <c r="F12462" i="1"/>
  <c r="I12461" i="1"/>
  <c r="F12461" i="1"/>
  <c r="I12460" i="1"/>
  <c r="F12460" i="1"/>
  <c r="I12459" i="1"/>
  <c r="F12459" i="1"/>
  <c r="I12458" i="1"/>
  <c r="F12458" i="1"/>
  <c r="I12457" i="1"/>
  <c r="F12457" i="1"/>
  <c r="I12456" i="1"/>
  <c r="F12456" i="1"/>
  <c r="I12455" i="1"/>
  <c r="F12455" i="1"/>
  <c r="I12454" i="1"/>
  <c r="F12454" i="1"/>
  <c r="I12453" i="1"/>
  <c r="F12453" i="1"/>
  <c r="I12452" i="1"/>
  <c r="F12452" i="1"/>
  <c r="I12451" i="1"/>
  <c r="F12451" i="1"/>
  <c r="I12450" i="1"/>
  <c r="F12450" i="1"/>
  <c r="I12449" i="1"/>
  <c r="F12449" i="1"/>
  <c r="I12448" i="1"/>
  <c r="F12448" i="1"/>
  <c r="I12447" i="1"/>
  <c r="F12447" i="1"/>
  <c r="I12446" i="1"/>
  <c r="F12446" i="1"/>
  <c r="I12445" i="1"/>
  <c r="F12445" i="1"/>
  <c r="I12444" i="1"/>
  <c r="F12444" i="1"/>
  <c r="I12443" i="1"/>
  <c r="F12443" i="1"/>
  <c r="I12442" i="1"/>
  <c r="F12442" i="1"/>
  <c r="I12441" i="1"/>
  <c r="F12441" i="1"/>
  <c r="I12440" i="1"/>
  <c r="F12440" i="1"/>
  <c r="I12439" i="1"/>
  <c r="F12439" i="1"/>
  <c r="I12438" i="1"/>
  <c r="F12438" i="1"/>
  <c r="I12437" i="1"/>
  <c r="F12437" i="1"/>
  <c r="I12436" i="1"/>
  <c r="F12436" i="1"/>
  <c r="I12435" i="1"/>
  <c r="F12435" i="1"/>
  <c r="I12434" i="1"/>
  <c r="F12434" i="1"/>
  <c r="I12433" i="1"/>
  <c r="F12433" i="1"/>
  <c r="I12432" i="1"/>
  <c r="F12432" i="1"/>
  <c r="I12431" i="1"/>
  <c r="F12431" i="1"/>
  <c r="I12430" i="1"/>
  <c r="F12430" i="1"/>
  <c r="I12429" i="1"/>
  <c r="F12429" i="1"/>
  <c r="I12428" i="1"/>
  <c r="F12428" i="1"/>
  <c r="I12427" i="1"/>
  <c r="F12427" i="1"/>
  <c r="I12426" i="1"/>
  <c r="F12426" i="1"/>
  <c r="I12425" i="1"/>
  <c r="F12425" i="1"/>
  <c r="I12424" i="1"/>
  <c r="F12424" i="1"/>
  <c r="I12423" i="1"/>
  <c r="F12423" i="1"/>
  <c r="I12422" i="1"/>
  <c r="F12422" i="1"/>
  <c r="I12421" i="1"/>
  <c r="F12421" i="1"/>
  <c r="I12420" i="1"/>
  <c r="F12420" i="1"/>
  <c r="I12419" i="1"/>
  <c r="F12419" i="1"/>
  <c r="I12418" i="1"/>
  <c r="F12418" i="1"/>
  <c r="I12417" i="1"/>
  <c r="F12417" i="1"/>
  <c r="I12416" i="1"/>
  <c r="F12416" i="1"/>
  <c r="I12415" i="1"/>
  <c r="F12415" i="1"/>
  <c r="I12414" i="1"/>
  <c r="F12414" i="1"/>
  <c r="I12413" i="1"/>
  <c r="F12413" i="1"/>
  <c r="I12412" i="1"/>
  <c r="F12412" i="1"/>
  <c r="I12411" i="1"/>
  <c r="F12411" i="1"/>
  <c r="I12410" i="1"/>
  <c r="F12410" i="1"/>
  <c r="I12409" i="1"/>
  <c r="F12409" i="1"/>
  <c r="I12408" i="1"/>
  <c r="F12408" i="1"/>
  <c r="I12407" i="1"/>
  <c r="F12407" i="1"/>
  <c r="I12406" i="1"/>
  <c r="F12406" i="1"/>
  <c r="I12405" i="1"/>
  <c r="F12405" i="1"/>
  <c r="I12404" i="1"/>
  <c r="F12404" i="1"/>
  <c r="I12403" i="1"/>
  <c r="F12403" i="1"/>
  <c r="I12402" i="1"/>
  <c r="F12402" i="1"/>
  <c r="I12401" i="1"/>
  <c r="F12401" i="1"/>
  <c r="I12400" i="1"/>
  <c r="F12400" i="1"/>
  <c r="I12399" i="1"/>
  <c r="F12399" i="1"/>
  <c r="I12398" i="1"/>
  <c r="F12398" i="1"/>
  <c r="I12397" i="1"/>
  <c r="F12397" i="1"/>
  <c r="I12396" i="1"/>
  <c r="F12396" i="1"/>
  <c r="I12395" i="1"/>
  <c r="F12395" i="1"/>
  <c r="I12394" i="1"/>
  <c r="F12394" i="1"/>
  <c r="I12393" i="1"/>
  <c r="F12393" i="1"/>
  <c r="I12392" i="1"/>
  <c r="F12392" i="1"/>
  <c r="I12391" i="1"/>
  <c r="F12391" i="1"/>
  <c r="I12390" i="1"/>
  <c r="F12390" i="1"/>
  <c r="I12389" i="1"/>
  <c r="F12389" i="1"/>
  <c r="I12388" i="1"/>
  <c r="F12388" i="1"/>
  <c r="I12387" i="1"/>
  <c r="F12387" i="1"/>
  <c r="I12386" i="1"/>
  <c r="F12386" i="1"/>
  <c r="I12385" i="1"/>
  <c r="F12385" i="1"/>
  <c r="I12384" i="1"/>
  <c r="F12384" i="1"/>
  <c r="I12383" i="1"/>
  <c r="F12383" i="1"/>
  <c r="I12382" i="1"/>
  <c r="F12382" i="1"/>
  <c r="I12381" i="1"/>
  <c r="F12381" i="1"/>
  <c r="I12380" i="1"/>
  <c r="F12380" i="1"/>
  <c r="I12379" i="1"/>
  <c r="F12379" i="1"/>
  <c r="I12378" i="1"/>
  <c r="F12378" i="1"/>
  <c r="I12377" i="1"/>
  <c r="F12377" i="1"/>
  <c r="I12376" i="1"/>
  <c r="F12376" i="1"/>
  <c r="I12375" i="1"/>
  <c r="F12375" i="1"/>
  <c r="I12374" i="1"/>
  <c r="F12374" i="1"/>
  <c r="I12373" i="1"/>
  <c r="F12373" i="1"/>
  <c r="I12372" i="1"/>
  <c r="F12372" i="1"/>
  <c r="I12371" i="1"/>
  <c r="F12371" i="1"/>
  <c r="I12370" i="1"/>
  <c r="F12370" i="1"/>
  <c r="I12369" i="1"/>
  <c r="F12369" i="1"/>
  <c r="I12368" i="1"/>
  <c r="F12368" i="1"/>
  <c r="I12367" i="1"/>
  <c r="F12367" i="1"/>
  <c r="I12366" i="1"/>
  <c r="F12366" i="1"/>
  <c r="I12365" i="1"/>
  <c r="F12365" i="1"/>
  <c r="I12364" i="1"/>
  <c r="F12364" i="1"/>
  <c r="I12363" i="1"/>
  <c r="F12363" i="1"/>
  <c r="I12362" i="1"/>
  <c r="F12362" i="1"/>
  <c r="I12361" i="1"/>
  <c r="F12361" i="1"/>
  <c r="I12360" i="1"/>
  <c r="F12360" i="1"/>
  <c r="I12359" i="1"/>
  <c r="F12359" i="1"/>
  <c r="I12358" i="1"/>
  <c r="F12358" i="1"/>
  <c r="I12357" i="1"/>
  <c r="F12357" i="1"/>
  <c r="I12356" i="1"/>
  <c r="F12356" i="1"/>
  <c r="I12355" i="1"/>
  <c r="F12355" i="1"/>
  <c r="I12354" i="1"/>
  <c r="F12354" i="1"/>
  <c r="I12353" i="1"/>
  <c r="F12353" i="1"/>
  <c r="I12352" i="1"/>
  <c r="F12352" i="1"/>
  <c r="I12351" i="1"/>
  <c r="F12351" i="1"/>
  <c r="I12350" i="1"/>
  <c r="F12350" i="1"/>
  <c r="I12349" i="1"/>
  <c r="F12349" i="1"/>
  <c r="I12348" i="1"/>
  <c r="F12348" i="1"/>
  <c r="I12347" i="1"/>
  <c r="F12347" i="1"/>
  <c r="I12346" i="1"/>
  <c r="F12346" i="1"/>
  <c r="I12345" i="1"/>
  <c r="F12345" i="1"/>
  <c r="I12344" i="1"/>
  <c r="F12344" i="1"/>
  <c r="I12343" i="1"/>
  <c r="F12343" i="1"/>
  <c r="I12342" i="1"/>
  <c r="F12342" i="1"/>
  <c r="I12341" i="1"/>
  <c r="F12341" i="1"/>
  <c r="I12340" i="1"/>
  <c r="F12340" i="1"/>
  <c r="I12339" i="1"/>
  <c r="F12339" i="1"/>
  <c r="I12338" i="1"/>
  <c r="F12338" i="1"/>
  <c r="I12337" i="1"/>
  <c r="F12337" i="1"/>
  <c r="I12336" i="1"/>
  <c r="F12336" i="1"/>
  <c r="I12335" i="1"/>
  <c r="F12335" i="1"/>
  <c r="I12334" i="1"/>
  <c r="F12334" i="1"/>
  <c r="I12333" i="1"/>
  <c r="F12333" i="1"/>
  <c r="I12332" i="1"/>
  <c r="F12332" i="1"/>
  <c r="I12331" i="1"/>
  <c r="F12331" i="1"/>
  <c r="I12330" i="1"/>
  <c r="F12330" i="1"/>
  <c r="I12329" i="1"/>
  <c r="F12329" i="1"/>
  <c r="I12328" i="1"/>
  <c r="F12328" i="1"/>
  <c r="I12327" i="1"/>
  <c r="F12327" i="1"/>
  <c r="I12326" i="1"/>
  <c r="F12326" i="1"/>
  <c r="I12325" i="1"/>
  <c r="F12325" i="1"/>
  <c r="I12324" i="1"/>
  <c r="F12324" i="1"/>
  <c r="I12323" i="1"/>
  <c r="F12323" i="1"/>
  <c r="I12322" i="1"/>
  <c r="F12322" i="1"/>
  <c r="I12321" i="1"/>
  <c r="F12321" i="1"/>
  <c r="I12320" i="1"/>
  <c r="F12320" i="1"/>
  <c r="I12319" i="1"/>
  <c r="F12319" i="1"/>
  <c r="I12318" i="1"/>
  <c r="F12318" i="1"/>
  <c r="I12317" i="1"/>
  <c r="F12317" i="1"/>
  <c r="I12316" i="1"/>
  <c r="F12316" i="1"/>
  <c r="I12315" i="1"/>
  <c r="F12315" i="1"/>
  <c r="I12314" i="1"/>
  <c r="F12314" i="1"/>
  <c r="I12313" i="1"/>
  <c r="F12313" i="1"/>
  <c r="I12312" i="1"/>
  <c r="F12312" i="1"/>
  <c r="I12311" i="1"/>
  <c r="F12311" i="1"/>
  <c r="I12310" i="1"/>
  <c r="F12310" i="1"/>
  <c r="I12309" i="1"/>
  <c r="F12309" i="1"/>
  <c r="I12308" i="1"/>
  <c r="F12308" i="1"/>
  <c r="I12307" i="1"/>
  <c r="F12307" i="1"/>
  <c r="I12306" i="1"/>
  <c r="F12306" i="1"/>
  <c r="I12305" i="1"/>
  <c r="F12305" i="1"/>
  <c r="I12304" i="1"/>
  <c r="F12304" i="1"/>
  <c r="I12303" i="1"/>
  <c r="F12303" i="1"/>
  <c r="I12302" i="1"/>
  <c r="F12302" i="1"/>
  <c r="I12301" i="1"/>
  <c r="F12301" i="1"/>
  <c r="I12300" i="1"/>
  <c r="F12300" i="1"/>
  <c r="I12299" i="1"/>
  <c r="F12299" i="1"/>
  <c r="I12298" i="1"/>
  <c r="F12298" i="1"/>
  <c r="I12297" i="1"/>
  <c r="F12297" i="1"/>
  <c r="I12296" i="1"/>
  <c r="F12296" i="1"/>
  <c r="I12295" i="1"/>
  <c r="F12295" i="1"/>
  <c r="I12294" i="1"/>
  <c r="F12294" i="1"/>
  <c r="I12293" i="1"/>
  <c r="F12293" i="1"/>
  <c r="I12292" i="1"/>
  <c r="F12292" i="1"/>
  <c r="I12291" i="1"/>
  <c r="F12291" i="1"/>
  <c r="I12290" i="1"/>
  <c r="F12290" i="1"/>
  <c r="I12289" i="1"/>
  <c r="F12289" i="1"/>
  <c r="I12288" i="1"/>
  <c r="F12288" i="1"/>
  <c r="I12287" i="1"/>
  <c r="F12287" i="1"/>
  <c r="I12286" i="1"/>
  <c r="F12286" i="1"/>
  <c r="I12285" i="1"/>
  <c r="F12285" i="1"/>
  <c r="I12284" i="1"/>
  <c r="F12284" i="1"/>
  <c r="I12283" i="1"/>
  <c r="F12283" i="1"/>
  <c r="I12282" i="1"/>
  <c r="F12282" i="1"/>
  <c r="I12281" i="1"/>
  <c r="F12281" i="1"/>
  <c r="I12280" i="1"/>
  <c r="F12280" i="1"/>
  <c r="I12279" i="1"/>
  <c r="F12279" i="1"/>
  <c r="I12278" i="1"/>
  <c r="F12278" i="1"/>
  <c r="I12277" i="1"/>
  <c r="F12277" i="1"/>
  <c r="I12276" i="1"/>
  <c r="F12276" i="1"/>
  <c r="I12275" i="1"/>
  <c r="F12275" i="1"/>
  <c r="I12274" i="1"/>
  <c r="F12274" i="1"/>
  <c r="I12273" i="1"/>
  <c r="F12273" i="1"/>
  <c r="I12272" i="1"/>
  <c r="F12272" i="1"/>
  <c r="I12271" i="1"/>
  <c r="F12271" i="1"/>
  <c r="I12270" i="1"/>
  <c r="F12270" i="1"/>
  <c r="I12269" i="1"/>
  <c r="F12269" i="1"/>
  <c r="I12268" i="1"/>
  <c r="F12268" i="1"/>
  <c r="I12267" i="1"/>
  <c r="F12267" i="1"/>
  <c r="I12266" i="1"/>
  <c r="F12266" i="1"/>
  <c r="I12265" i="1"/>
  <c r="F12265" i="1"/>
  <c r="I12264" i="1"/>
  <c r="F12264" i="1"/>
  <c r="I12263" i="1"/>
  <c r="F12263" i="1"/>
  <c r="I12262" i="1"/>
  <c r="F12262" i="1"/>
  <c r="I12261" i="1"/>
  <c r="F12261" i="1"/>
  <c r="I12260" i="1"/>
  <c r="F12260" i="1"/>
  <c r="I12259" i="1"/>
  <c r="F12259" i="1"/>
  <c r="I12258" i="1"/>
  <c r="F12258" i="1"/>
  <c r="I12257" i="1"/>
  <c r="F12257" i="1"/>
  <c r="I12256" i="1"/>
  <c r="F12256" i="1"/>
  <c r="I12255" i="1"/>
  <c r="F12255" i="1"/>
  <c r="I12254" i="1"/>
  <c r="F12254" i="1"/>
  <c r="I12253" i="1"/>
  <c r="F12253" i="1"/>
  <c r="I12252" i="1"/>
  <c r="F12252" i="1"/>
  <c r="I12251" i="1"/>
  <c r="F12251" i="1"/>
  <c r="I12250" i="1"/>
  <c r="F12250" i="1"/>
  <c r="I12249" i="1"/>
  <c r="F12249" i="1"/>
  <c r="I12248" i="1"/>
  <c r="F12248" i="1"/>
  <c r="I12247" i="1"/>
  <c r="F12247" i="1"/>
  <c r="I12246" i="1"/>
  <c r="F12246" i="1"/>
  <c r="I12245" i="1"/>
  <c r="F12245" i="1"/>
  <c r="I12244" i="1"/>
  <c r="F12244" i="1"/>
  <c r="I12243" i="1"/>
  <c r="F12243" i="1"/>
  <c r="I12242" i="1"/>
  <c r="F12242" i="1"/>
  <c r="I12241" i="1"/>
  <c r="F12241" i="1"/>
  <c r="I12240" i="1"/>
  <c r="F12240" i="1"/>
  <c r="I12239" i="1"/>
  <c r="F12239" i="1"/>
  <c r="I12238" i="1"/>
  <c r="F12238" i="1"/>
  <c r="I12237" i="1"/>
  <c r="F12237" i="1"/>
  <c r="I12236" i="1"/>
  <c r="F12236" i="1"/>
  <c r="I12235" i="1"/>
  <c r="F12235" i="1"/>
  <c r="I12234" i="1"/>
  <c r="F12234" i="1"/>
  <c r="I12233" i="1"/>
  <c r="F12233" i="1"/>
  <c r="I12232" i="1"/>
  <c r="F12232" i="1"/>
  <c r="I12231" i="1"/>
  <c r="F12231" i="1"/>
  <c r="I12230" i="1"/>
  <c r="F12230" i="1"/>
  <c r="I12229" i="1"/>
  <c r="F12229" i="1"/>
  <c r="I12228" i="1"/>
  <c r="F12228" i="1"/>
  <c r="I12227" i="1"/>
  <c r="F12227" i="1"/>
  <c r="I12226" i="1"/>
  <c r="F12226" i="1"/>
  <c r="I12225" i="1"/>
  <c r="F12225" i="1"/>
  <c r="I12224" i="1"/>
  <c r="F12224" i="1"/>
  <c r="I12223" i="1"/>
  <c r="F12223" i="1"/>
  <c r="I12222" i="1"/>
  <c r="F12222" i="1"/>
  <c r="I12221" i="1"/>
  <c r="F12221" i="1"/>
  <c r="I12220" i="1"/>
  <c r="F12220" i="1"/>
  <c r="I12219" i="1"/>
  <c r="F12219" i="1"/>
  <c r="I12218" i="1"/>
  <c r="F12218" i="1"/>
  <c r="I12217" i="1"/>
  <c r="F12217" i="1"/>
  <c r="I12216" i="1"/>
  <c r="F12216" i="1"/>
  <c r="I12215" i="1"/>
  <c r="F12215" i="1"/>
  <c r="I12214" i="1"/>
  <c r="F12214" i="1"/>
  <c r="I12213" i="1"/>
  <c r="F12213" i="1"/>
  <c r="I12212" i="1"/>
  <c r="F12212" i="1"/>
  <c r="I12211" i="1"/>
  <c r="F12211" i="1"/>
  <c r="I12210" i="1"/>
  <c r="F12210" i="1"/>
  <c r="I12209" i="1"/>
  <c r="F12209" i="1"/>
  <c r="I12208" i="1"/>
  <c r="F12208" i="1"/>
  <c r="I12207" i="1"/>
  <c r="F12207" i="1"/>
  <c r="I12206" i="1"/>
  <c r="F12206" i="1"/>
  <c r="I12205" i="1"/>
  <c r="F12205" i="1"/>
  <c r="I12204" i="1"/>
  <c r="F12204" i="1"/>
  <c r="I12203" i="1"/>
  <c r="F12203" i="1"/>
  <c r="I12202" i="1"/>
  <c r="F12202" i="1"/>
  <c r="I12201" i="1"/>
  <c r="F12201" i="1"/>
  <c r="I12200" i="1"/>
  <c r="F12200" i="1"/>
  <c r="I12199" i="1"/>
  <c r="F12199" i="1"/>
  <c r="I12198" i="1"/>
  <c r="F12198" i="1"/>
  <c r="I12197" i="1"/>
  <c r="F12197" i="1"/>
  <c r="I12196" i="1"/>
  <c r="F12196" i="1"/>
  <c r="I12195" i="1"/>
  <c r="F12195" i="1"/>
  <c r="I12194" i="1"/>
  <c r="F12194" i="1"/>
  <c r="I12193" i="1"/>
  <c r="F12193" i="1"/>
  <c r="I12192" i="1"/>
  <c r="F12192" i="1"/>
  <c r="I12191" i="1"/>
  <c r="F12191" i="1"/>
  <c r="I12190" i="1"/>
  <c r="F12190" i="1"/>
  <c r="I12189" i="1"/>
  <c r="F12189" i="1"/>
  <c r="I12188" i="1"/>
  <c r="F12188" i="1"/>
  <c r="I12187" i="1"/>
  <c r="F12187" i="1"/>
  <c r="I12186" i="1"/>
  <c r="F12186" i="1"/>
  <c r="I12185" i="1"/>
  <c r="F12185" i="1"/>
  <c r="I12184" i="1"/>
  <c r="F12184" i="1"/>
  <c r="I12183" i="1"/>
  <c r="F12183" i="1"/>
  <c r="I12182" i="1"/>
  <c r="F12182" i="1"/>
  <c r="I12181" i="1"/>
  <c r="F12181" i="1"/>
  <c r="I12180" i="1"/>
  <c r="F12180" i="1"/>
  <c r="I12179" i="1"/>
  <c r="F12179" i="1"/>
  <c r="I12178" i="1"/>
  <c r="F12178" i="1"/>
  <c r="I12177" i="1"/>
  <c r="F12177" i="1"/>
  <c r="I12176" i="1"/>
  <c r="F12176" i="1"/>
  <c r="I12175" i="1"/>
  <c r="F12175" i="1"/>
  <c r="I12174" i="1"/>
  <c r="F12174" i="1"/>
  <c r="I12173" i="1"/>
  <c r="F12173" i="1"/>
  <c r="I12172" i="1"/>
  <c r="F12172" i="1"/>
  <c r="I12171" i="1"/>
  <c r="F12171" i="1"/>
  <c r="I12170" i="1"/>
  <c r="F12170" i="1"/>
  <c r="I12169" i="1"/>
  <c r="F12169" i="1"/>
  <c r="I12168" i="1"/>
  <c r="F12168" i="1"/>
  <c r="I12167" i="1"/>
  <c r="F12167" i="1"/>
  <c r="I12166" i="1"/>
  <c r="F12166" i="1"/>
  <c r="I12165" i="1"/>
  <c r="F12165" i="1"/>
  <c r="I12164" i="1"/>
  <c r="F12164" i="1"/>
  <c r="I12163" i="1"/>
  <c r="F12163" i="1"/>
  <c r="I12162" i="1"/>
  <c r="F12162" i="1"/>
  <c r="I12161" i="1"/>
  <c r="F12161" i="1"/>
  <c r="I12160" i="1"/>
  <c r="F12160" i="1"/>
  <c r="I12159" i="1"/>
  <c r="F12159" i="1"/>
  <c r="I12158" i="1"/>
  <c r="F12158" i="1"/>
  <c r="I12157" i="1"/>
  <c r="F12157" i="1"/>
  <c r="I12156" i="1"/>
  <c r="F12156" i="1"/>
  <c r="I12155" i="1"/>
  <c r="F12155" i="1"/>
  <c r="I12154" i="1"/>
  <c r="F12154" i="1"/>
  <c r="I12153" i="1"/>
  <c r="F12153" i="1"/>
  <c r="I12152" i="1"/>
  <c r="F12152" i="1"/>
  <c r="I12151" i="1"/>
  <c r="F12151" i="1"/>
  <c r="I12150" i="1"/>
  <c r="F12150" i="1"/>
  <c r="I12149" i="1"/>
  <c r="F12149" i="1"/>
  <c r="I12148" i="1"/>
  <c r="F12148" i="1"/>
  <c r="I12147" i="1"/>
  <c r="F12147" i="1"/>
  <c r="I12146" i="1"/>
  <c r="F12146" i="1"/>
  <c r="I12145" i="1"/>
  <c r="F12145" i="1"/>
  <c r="I12144" i="1"/>
  <c r="F12144" i="1"/>
  <c r="I12143" i="1"/>
  <c r="F12143" i="1"/>
  <c r="I12142" i="1"/>
  <c r="F12142" i="1"/>
  <c r="I12141" i="1"/>
  <c r="F12141" i="1"/>
  <c r="I12140" i="1"/>
  <c r="F12140" i="1"/>
  <c r="I12139" i="1"/>
  <c r="F12139" i="1"/>
  <c r="I12138" i="1"/>
  <c r="F12138" i="1"/>
  <c r="I12137" i="1"/>
  <c r="F12137" i="1"/>
  <c r="I12136" i="1"/>
  <c r="F12136" i="1"/>
  <c r="I12135" i="1"/>
  <c r="F12135" i="1"/>
  <c r="I12134" i="1"/>
  <c r="F12134" i="1"/>
  <c r="I12133" i="1"/>
  <c r="F12133" i="1"/>
  <c r="I12132" i="1"/>
  <c r="F12132" i="1"/>
  <c r="I12131" i="1"/>
  <c r="F12131" i="1"/>
  <c r="I12130" i="1"/>
  <c r="F12130" i="1"/>
  <c r="I12129" i="1"/>
  <c r="F12129" i="1"/>
  <c r="I12128" i="1"/>
  <c r="F12128" i="1"/>
  <c r="I12127" i="1"/>
  <c r="F12127" i="1"/>
  <c r="I12126" i="1"/>
  <c r="F12126" i="1"/>
  <c r="I12125" i="1"/>
  <c r="F12125" i="1"/>
  <c r="I12124" i="1"/>
  <c r="F12124" i="1"/>
  <c r="I12123" i="1"/>
  <c r="F12123" i="1"/>
  <c r="I12122" i="1"/>
  <c r="F12122" i="1"/>
  <c r="I12121" i="1"/>
  <c r="F12121" i="1"/>
  <c r="I12120" i="1"/>
  <c r="F12120" i="1"/>
  <c r="I12119" i="1"/>
  <c r="F12119" i="1"/>
  <c r="I12118" i="1"/>
  <c r="F12118" i="1"/>
  <c r="I12117" i="1"/>
  <c r="F12117" i="1"/>
  <c r="I12116" i="1"/>
  <c r="F12116" i="1"/>
  <c r="I12115" i="1"/>
  <c r="F12115" i="1"/>
  <c r="I12114" i="1"/>
  <c r="F12114" i="1"/>
  <c r="I12113" i="1"/>
  <c r="F12113" i="1"/>
  <c r="I12112" i="1"/>
  <c r="F12112" i="1"/>
  <c r="I12111" i="1"/>
  <c r="F12111" i="1"/>
  <c r="I12110" i="1"/>
  <c r="F12110" i="1"/>
  <c r="I12109" i="1"/>
  <c r="F12109" i="1"/>
  <c r="I12108" i="1"/>
  <c r="F12108" i="1"/>
  <c r="I12107" i="1"/>
  <c r="F12107" i="1"/>
  <c r="I12106" i="1"/>
  <c r="F12106" i="1"/>
  <c r="I12105" i="1"/>
  <c r="F12105" i="1"/>
  <c r="I12104" i="1"/>
  <c r="F12104" i="1"/>
  <c r="I12103" i="1"/>
  <c r="F12103" i="1"/>
  <c r="I12102" i="1"/>
  <c r="F12102" i="1"/>
  <c r="I12101" i="1"/>
  <c r="F12101" i="1"/>
  <c r="I12100" i="1"/>
  <c r="F12100" i="1"/>
  <c r="I12099" i="1"/>
  <c r="F12099" i="1"/>
  <c r="I12098" i="1"/>
  <c r="F12098" i="1"/>
  <c r="I12097" i="1"/>
  <c r="F12097" i="1"/>
  <c r="I12096" i="1"/>
  <c r="F12096" i="1"/>
  <c r="I12095" i="1"/>
  <c r="F12095" i="1"/>
  <c r="I12094" i="1"/>
  <c r="F12094" i="1"/>
  <c r="I12093" i="1"/>
  <c r="F12093" i="1"/>
  <c r="I12092" i="1"/>
  <c r="F12092" i="1"/>
  <c r="I12091" i="1"/>
  <c r="F12091" i="1"/>
  <c r="I12090" i="1"/>
  <c r="F12090" i="1"/>
  <c r="I12089" i="1"/>
  <c r="F12089" i="1"/>
  <c r="I12088" i="1"/>
  <c r="F12088" i="1"/>
  <c r="I12087" i="1"/>
  <c r="F12087" i="1"/>
  <c r="I12086" i="1"/>
  <c r="F12086" i="1"/>
  <c r="I12085" i="1"/>
  <c r="F12085" i="1"/>
  <c r="I12084" i="1"/>
  <c r="F12084" i="1"/>
  <c r="I12083" i="1"/>
  <c r="F12083" i="1"/>
  <c r="I12082" i="1"/>
  <c r="F12082" i="1"/>
  <c r="I12081" i="1"/>
  <c r="F12081" i="1"/>
  <c r="I12080" i="1"/>
  <c r="F12080" i="1"/>
  <c r="I12079" i="1"/>
  <c r="F12079" i="1"/>
  <c r="I12078" i="1"/>
  <c r="F12078" i="1"/>
  <c r="I12077" i="1"/>
  <c r="F12077" i="1"/>
  <c r="I12076" i="1"/>
  <c r="F12076" i="1"/>
  <c r="I12075" i="1"/>
  <c r="F12075" i="1"/>
  <c r="I12074" i="1"/>
  <c r="F12074" i="1"/>
  <c r="I12073" i="1"/>
  <c r="F12073" i="1"/>
  <c r="I12072" i="1"/>
  <c r="F12072" i="1"/>
  <c r="I12071" i="1"/>
  <c r="F12071" i="1"/>
  <c r="I12070" i="1"/>
  <c r="F12070" i="1"/>
  <c r="I12069" i="1"/>
  <c r="F12069" i="1"/>
  <c r="I12068" i="1"/>
  <c r="F12068" i="1"/>
  <c r="I12067" i="1"/>
  <c r="F12067" i="1"/>
  <c r="I12066" i="1"/>
  <c r="F12066" i="1"/>
  <c r="I12065" i="1"/>
  <c r="F12065" i="1"/>
  <c r="I12064" i="1"/>
  <c r="F12064" i="1"/>
  <c r="I12063" i="1"/>
  <c r="F12063" i="1"/>
  <c r="I12062" i="1"/>
  <c r="F12062" i="1"/>
  <c r="I12061" i="1"/>
  <c r="F12061" i="1"/>
  <c r="I12060" i="1"/>
  <c r="F12060" i="1"/>
  <c r="I12059" i="1"/>
  <c r="F12059" i="1"/>
  <c r="I12058" i="1"/>
  <c r="F12058" i="1"/>
  <c r="I12057" i="1"/>
  <c r="F12057" i="1"/>
  <c r="I12056" i="1"/>
  <c r="F12056" i="1"/>
  <c r="I12055" i="1"/>
  <c r="F12055" i="1"/>
  <c r="I12054" i="1"/>
  <c r="F12054" i="1"/>
  <c r="I12053" i="1"/>
  <c r="F12053" i="1"/>
  <c r="I12052" i="1"/>
  <c r="F12052" i="1"/>
  <c r="I12051" i="1"/>
  <c r="F12051" i="1"/>
  <c r="I12050" i="1"/>
  <c r="F12050" i="1"/>
  <c r="I12049" i="1"/>
  <c r="F12049" i="1"/>
  <c r="I12048" i="1"/>
  <c r="F12048" i="1"/>
  <c r="I12047" i="1"/>
  <c r="F12047" i="1"/>
  <c r="I12046" i="1"/>
  <c r="F12046" i="1"/>
  <c r="I12045" i="1"/>
  <c r="F12045" i="1"/>
  <c r="I12044" i="1"/>
  <c r="F12044" i="1"/>
  <c r="I12043" i="1"/>
  <c r="F12043" i="1"/>
  <c r="I12042" i="1"/>
  <c r="F12042" i="1"/>
  <c r="I12041" i="1"/>
  <c r="F12041" i="1"/>
  <c r="I12040" i="1"/>
  <c r="F12040" i="1"/>
  <c r="I12039" i="1"/>
  <c r="F12039" i="1"/>
  <c r="I12038" i="1"/>
  <c r="F12038" i="1"/>
  <c r="I12037" i="1"/>
  <c r="F12037" i="1"/>
  <c r="I12036" i="1"/>
  <c r="F12036" i="1"/>
  <c r="I12035" i="1"/>
  <c r="F12035" i="1"/>
  <c r="I12034" i="1"/>
  <c r="F12034" i="1"/>
  <c r="I12033" i="1"/>
  <c r="F12033" i="1"/>
  <c r="I12032" i="1"/>
  <c r="F12032" i="1"/>
  <c r="I12031" i="1"/>
  <c r="F12031" i="1"/>
  <c r="I12030" i="1"/>
  <c r="F12030" i="1"/>
  <c r="I12029" i="1"/>
  <c r="F12029" i="1"/>
  <c r="I12028" i="1"/>
  <c r="F12028" i="1"/>
  <c r="I12027" i="1"/>
  <c r="F12027" i="1"/>
  <c r="I12026" i="1"/>
  <c r="F12026" i="1"/>
  <c r="I12025" i="1"/>
  <c r="F12025" i="1"/>
  <c r="I12024" i="1"/>
  <c r="F12024" i="1"/>
  <c r="I12023" i="1"/>
  <c r="F12023" i="1"/>
  <c r="I12022" i="1"/>
  <c r="F12022" i="1"/>
  <c r="I12021" i="1"/>
  <c r="F12021" i="1"/>
  <c r="I12020" i="1"/>
  <c r="F12020" i="1"/>
  <c r="I12019" i="1"/>
  <c r="F12019" i="1"/>
  <c r="I12018" i="1"/>
  <c r="F12018" i="1"/>
  <c r="I12017" i="1"/>
  <c r="F12017" i="1"/>
  <c r="I12016" i="1"/>
  <c r="F12016" i="1"/>
  <c r="I12015" i="1"/>
  <c r="F12015" i="1"/>
  <c r="I12014" i="1"/>
  <c r="F12014" i="1"/>
  <c r="I12013" i="1"/>
  <c r="F12013" i="1"/>
  <c r="I12012" i="1"/>
  <c r="F12012" i="1"/>
  <c r="I12011" i="1"/>
  <c r="F12011" i="1"/>
  <c r="I12010" i="1"/>
  <c r="F12010" i="1"/>
  <c r="I12009" i="1"/>
  <c r="F12009" i="1"/>
  <c r="I12008" i="1"/>
  <c r="F12008" i="1"/>
  <c r="I12007" i="1"/>
  <c r="F12007" i="1"/>
  <c r="I12006" i="1"/>
  <c r="F12006" i="1"/>
  <c r="I12005" i="1"/>
  <c r="F12005" i="1"/>
  <c r="I12004" i="1"/>
  <c r="F12004" i="1"/>
  <c r="I12003" i="1"/>
  <c r="F12003" i="1"/>
  <c r="I12002" i="1"/>
  <c r="F12002" i="1"/>
  <c r="I12001" i="1"/>
  <c r="F12001" i="1"/>
  <c r="I12000" i="1"/>
  <c r="F12000" i="1"/>
  <c r="I11999" i="1"/>
  <c r="F11999" i="1"/>
  <c r="I11998" i="1"/>
  <c r="F11998" i="1"/>
  <c r="I11997" i="1"/>
  <c r="F11997" i="1"/>
  <c r="I11996" i="1"/>
  <c r="F11996" i="1"/>
  <c r="I11995" i="1"/>
  <c r="F11995" i="1"/>
  <c r="I11994" i="1"/>
  <c r="F11994" i="1"/>
  <c r="I11993" i="1"/>
  <c r="F11993" i="1"/>
  <c r="I11992" i="1"/>
  <c r="F11992" i="1"/>
  <c r="I11991" i="1"/>
  <c r="F11991" i="1"/>
  <c r="I11990" i="1"/>
  <c r="F11990" i="1"/>
  <c r="I11989" i="1"/>
  <c r="F11989" i="1"/>
  <c r="I11988" i="1"/>
  <c r="F11988" i="1"/>
  <c r="I11987" i="1"/>
  <c r="F11987" i="1"/>
  <c r="I11986" i="1"/>
  <c r="F11986" i="1"/>
  <c r="I11985" i="1"/>
  <c r="F11985" i="1"/>
  <c r="I11984" i="1"/>
  <c r="F11984" i="1"/>
  <c r="I11983" i="1"/>
  <c r="F11983" i="1"/>
  <c r="I11982" i="1"/>
  <c r="F11982" i="1"/>
  <c r="I11981" i="1"/>
  <c r="F11981" i="1"/>
  <c r="I11980" i="1"/>
  <c r="F11980" i="1"/>
  <c r="I11979" i="1"/>
  <c r="F11979" i="1"/>
  <c r="I11978" i="1"/>
  <c r="F11978" i="1"/>
  <c r="I11977" i="1"/>
  <c r="F11977" i="1"/>
  <c r="I11976" i="1"/>
  <c r="F11976" i="1"/>
  <c r="I11975" i="1"/>
  <c r="F11975" i="1"/>
  <c r="I11974" i="1"/>
  <c r="F11974" i="1"/>
  <c r="I11973" i="1"/>
  <c r="F11973" i="1"/>
  <c r="I11972" i="1"/>
  <c r="F11972" i="1"/>
  <c r="I11971" i="1"/>
  <c r="F11971" i="1"/>
  <c r="I11970" i="1"/>
  <c r="F11970" i="1"/>
  <c r="I11969" i="1"/>
  <c r="F11969" i="1"/>
  <c r="I11968" i="1"/>
  <c r="F11968" i="1"/>
  <c r="I11967" i="1"/>
  <c r="F11967" i="1"/>
  <c r="I11966" i="1"/>
  <c r="F11966" i="1"/>
  <c r="I11965" i="1"/>
  <c r="F11965" i="1"/>
  <c r="I11964" i="1"/>
  <c r="F11964" i="1"/>
  <c r="I11963" i="1"/>
  <c r="F11963" i="1"/>
  <c r="I11962" i="1"/>
  <c r="F11962" i="1"/>
  <c r="I11961" i="1"/>
  <c r="F11961" i="1"/>
  <c r="I11960" i="1"/>
  <c r="F11960" i="1"/>
  <c r="I11959" i="1"/>
  <c r="F11959" i="1"/>
  <c r="I11958" i="1"/>
  <c r="F11958" i="1"/>
  <c r="I11957" i="1"/>
  <c r="F11957" i="1"/>
  <c r="I11956" i="1"/>
  <c r="F11956" i="1"/>
  <c r="I11955" i="1"/>
  <c r="F11955" i="1"/>
  <c r="I11954" i="1"/>
  <c r="F11954" i="1"/>
  <c r="I11953" i="1"/>
  <c r="F11953" i="1"/>
  <c r="I11952" i="1"/>
  <c r="F11952" i="1"/>
  <c r="I11951" i="1"/>
  <c r="F11951" i="1"/>
  <c r="I11950" i="1"/>
  <c r="F11950" i="1"/>
  <c r="I11949" i="1"/>
  <c r="F11949" i="1"/>
  <c r="I11948" i="1"/>
  <c r="F11948" i="1"/>
  <c r="I11947" i="1"/>
  <c r="F11947" i="1"/>
  <c r="I11946" i="1"/>
  <c r="F11946" i="1"/>
  <c r="I11945" i="1"/>
  <c r="F11945" i="1"/>
  <c r="I11944" i="1"/>
  <c r="F11944" i="1"/>
  <c r="I11943" i="1"/>
  <c r="F11943" i="1"/>
  <c r="I11942" i="1"/>
  <c r="F11942" i="1"/>
  <c r="I11941" i="1"/>
  <c r="F11941" i="1"/>
  <c r="I11940" i="1"/>
  <c r="F11940" i="1"/>
  <c r="I11939" i="1"/>
  <c r="F11939" i="1"/>
  <c r="I11938" i="1"/>
  <c r="F11938" i="1"/>
  <c r="I11937" i="1"/>
  <c r="F11937" i="1"/>
  <c r="I11936" i="1"/>
  <c r="F11936" i="1"/>
  <c r="I11935" i="1"/>
  <c r="F11935" i="1"/>
  <c r="I11934" i="1"/>
  <c r="F11934" i="1"/>
  <c r="I11933" i="1"/>
  <c r="F11933" i="1"/>
  <c r="I11932" i="1"/>
  <c r="F11932" i="1"/>
  <c r="I11931" i="1"/>
  <c r="F11931" i="1"/>
  <c r="I11930" i="1"/>
  <c r="F11930" i="1"/>
  <c r="I11929" i="1"/>
  <c r="F11929" i="1"/>
  <c r="I11928" i="1"/>
  <c r="F11928" i="1"/>
  <c r="I11927" i="1"/>
  <c r="F11927" i="1"/>
  <c r="I11926" i="1"/>
  <c r="F11926" i="1"/>
  <c r="I11925" i="1"/>
  <c r="F11925" i="1"/>
  <c r="I11924" i="1"/>
  <c r="F11924" i="1"/>
  <c r="I11923" i="1"/>
  <c r="F11923" i="1"/>
  <c r="I11922" i="1"/>
  <c r="F11922" i="1"/>
  <c r="I11921" i="1"/>
  <c r="F11921" i="1"/>
  <c r="I11920" i="1"/>
  <c r="F11920" i="1"/>
  <c r="I11919" i="1"/>
  <c r="F11919" i="1"/>
  <c r="I11918" i="1"/>
  <c r="F11918" i="1"/>
  <c r="I11917" i="1"/>
  <c r="F11917" i="1"/>
  <c r="I11916" i="1"/>
  <c r="F11916" i="1"/>
  <c r="I11915" i="1"/>
  <c r="F11915" i="1"/>
  <c r="I11914" i="1"/>
  <c r="F11914" i="1"/>
  <c r="I11913" i="1"/>
  <c r="F11913" i="1"/>
  <c r="I11912" i="1"/>
  <c r="F11912" i="1"/>
  <c r="I11911" i="1"/>
  <c r="F11911" i="1"/>
  <c r="I11910" i="1"/>
  <c r="F11910" i="1"/>
  <c r="I11909" i="1"/>
  <c r="F11909" i="1"/>
  <c r="I11908" i="1"/>
  <c r="F11908" i="1"/>
  <c r="I11907" i="1"/>
  <c r="F11907" i="1"/>
  <c r="I11906" i="1"/>
  <c r="F11906" i="1"/>
  <c r="I11905" i="1"/>
  <c r="F11905" i="1"/>
  <c r="I11904" i="1"/>
  <c r="F11904" i="1"/>
  <c r="I11903" i="1"/>
  <c r="F11903" i="1"/>
  <c r="I11902" i="1"/>
  <c r="F11902" i="1"/>
  <c r="I11901" i="1"/>
  <c r="F11901" i="1"/>
  <c r="I11900" i="1"/>
  <c r="F11900" i="1"/>
  <c r="I11899" i="1"/>
  <c r="F11899" i="1"/>
  <c r="I11898" i="1"/>
  <c r="F11898" i="1"/>
  <c r="I11897" i="1"/>
  <c r="F11897" i="1"/>
  <c r="I11896" i="1"/>
  <c r="F11896" i="1"/>
  <c r="I11895" i="1"/>
  <c r="F11895" i="1"/>
  <c r="I11894" i="1"/>
  <c r="F11894" i="1"/>
  <c r="I11893" i="1"/>
  <c r="F11893" i="1"/>
  <c r="I11892" i="1"/>
  <c r="F11892" i="1"/>
  <c r="I11891" i="1"/>
  <c r="F11891" i="1"/>
  <c r="I11890" i="1"/>
  <c r="F11890" i="1"/>
  <c r="I11889" i="1"/>
  <c r="F11889" i="1"/>
  <c r="I11888" i="1"/>
  <c r="F11888" i="1"/>
  <c r="I11887" i="1"/>
  <c r="F11887" i="1"/>
  <c r="I11886" i="1"/>
  <c r="F11886" i="1"/>
  <c r="I11885" i="1"/>
  <c r="F11885" i="1"/>
  <c r="I11884" i="1"/>
  <c r="F11884" i="1"/>
  <c r="I11883" i="1"/>
  <c r="F11883" i="1"/>
  <c r="I11882" i="1"/>
  <c r="F11882" i="1"/>
  <c r="I11881" i="1"/>
  <c r="F11881" i="1"/>
  <c r="I11880" i="1"/>
  <c r="F11880" i="1"/>
  <c r="I11879" i="1"/>
  <c r="F11879" i="1"/>
  <c r="I11878" i="1"/>
  <c r="F11878" i="1"/>
  <c r="I11877" i="1"/>
  <c r="F11877" i="1"/>
  <c r="I11876" i="1"/>
  <c r="F11876" i="1"/>
  <c r="I11875" i="1"/>
  <c r="F11875" i="1"/>
  <c r="I11874" i="1"/>
  <c r="F11874" i="1"/>
  <c r="I11873" i="1"/>
  <c r="F11873" i="1"/>
  <c r="I11872" i="1"/>
  <c r="F11872" i="1"/>
  <c r="I11871" i="1"/>
  <c r="F11871" i="1"/>
  <c r="I11870" i="1"/>
  <c r="F11870" i="1"/>
  <c r="I11869" i="1"/>
  <c r="F11869" i="1"/>
  <c r="I11868" i="1"/>
  <c r="F11868" i="1"/>
  <c r="I11867" i="1"/>
  <c r="F11867" i="1"/>
  <c r="I11866" i="1"/>
  <c r="F11866" i="1"/>
  <c r="I11865" i="1"/>
  <c r="F11865" i="1"/>
  <c r="I11864" i="1"/>
  <c r="F11864" i="1"/>
  <c r="I11863" i="1"/>
  <c r="F11863" i="1"/>
  <c r="I11862" i="1"/>
  <c r="F11862" i="1"/>
  <c r="I11861" i="1"/>
  <c r="F11861" i="1"/>
  <c r="I11860" i="1"/>
  <c r="F11860" i="1"/>
  <c r="I11859" i="1"/>
  <c r="F11859" i="1"/>
  <c r="I11858" i="1"/>
  <c r="F11858" i="1"/>
  <c r="I11857" i="1"/>
  <c r="F11857" i="1"/>
  <c r="I11856" i="1"/>
  <c r="F11856" i="1"/>
  <c r="I11855" i="1"/>
  <c r="F11855" i="1"/>
  <c r="I11854" i="1"/>
  <c r="F11854" i="1"/>
  <c r="I11853" i="1"/>
  <c r="F11853" i="1"/>
  <c r="I11852" i="1"/>
  <c r="F11852" i="1"/>
  <c r="I11851" i="1"/>
  <c r="F11851" i="1"/>
  <c r="I11850" i="1"/>
  <c r="F11850" i="1"/>
  <c r="I11849" i="1"/>
  <c r="F11849" i="1"/>
  <c r="I11848" i="1"/>
  <c r="F11848" i="1"/>
  <c r="I11847" i="1"/>
  <c r="F11847" i="1"/>
  <c r="I11846" i="1"/>
  <c r="F11846" i="1"/>
  <c r="I11845" i="1"/>
  <c r="F11845" i="1"/>
  <c r="I11844" i="1"/>
  <c r="F11844" i="1"/>
  <c r="I11843" i="1"/>
  <c r="F11843" i="1"/>
  <c r="I11842" i="1"/>
  <c r="F11842" i="1"/>
  <c r="I11841" i="1"/>
  <c r="F11841" i="1"/>
  <c r="I11840" i="1"/>
  <c r="F11840" i="1"/>
  <c r="I11839" i="1"/>
  <c r="F11839" i="1"/>
  <c r="I11838" i="1"/>
  <c r="F11838" i="1"/>
  <c r="I11837" i="1"/>
  <c r="F11837" i="1"/>
  <c r="I11836" i="1"/>
  <c r="F11836" i="1"/>
  <c r="I11835" i="1"/>
  <c r="F11835" i="1"/>
  <c r="I11834" i="1"/>
  <c r="F11834" i="1"/>
  <c r="I11833" i="1"/>
  <c r="F11833" i="1"/>
  <c r="I11832" i="1"/>
  <c r="F11832" i="1"/>
  <c r="I11831" i="1"/>
  <c r="F11831" i="1"/>
  <c r="I11830" i="1"/>
  <c r="F11830" i="1"/>
  <c r="I11829" i="1"/>
  <c r="F11829" i="1"/>
  <c r="I11828" i="1"/>
  <c r="F11828" i="1"/>
  <c r="I11827" i="1"/>
  <c r="F11827" i="1"/>
  <c r="I11826" i="1"/>
  <c r="F11826" i="1"/>
  <c r="I11825" i="1"/>
  <c r="F11825" i="1"/>
  <c r="I11824" i="1"/>
  <c r="F11824" i="1"/>
  <c r="I11823" i="1"/>
  <c r="F11823" i="1"/>
  <c r="I11822" i="1"/>
  <c r="F11822" i="1"/>
  <c r="I11821" i="1"/>
  <c r="F11821" i="1"/>
  <c r="I11820" i="1"/>
  <c r="F11820" i="1"/>
  <c r="I11819" i="1"/>
  <c r="F11819" i="1"/>
  <c r="I11818" i="1"/>
  <c r="F11818" i="1"/>
  <c r="I11817" i="1"/>
  <c r="F11817" i="1"/>
  <c r="I11816" i="1"/>
  <c r="F11816" i="1"/>
  <c r="I11815" i="1"/>
  <c r="F11815" i="1"/>
  <c r="I11814" i="1"/>
  <c r="F11814" i="1"/>
  <c r="I11813" i="1"/>
  <c r="F11813" i="1"/>
  <c r="I11812" i="1"/>
  <c r="F11812" i="1"/>
  <c r="I11811" i="1"/>
  <c r="F11811" i="1"/>
  <c r="I11810" i="1"/>
  <c r="F11810" i="1"/>
  <c r="I11809" i="1"/>
  <c r="F11809" i="1"/>
  <c r="I11808" i="1"/>
  <c r="F11808" i="1"/>
  <c r="I11807" i="1"/>
  <c r="F11807" i="1"/>
  <c r="I11806" i="1"/>
  <c r="F11806" i="1"/>
  <c r="I11805" i="1"/>
  <c r="F11805" i="1"/>
  <c r="I11804" i="1"/>
  <c r="F11804" i="1"/>
  <c r="I11803" i="1"/>
  <c r="F11803" i="1"/>
  <c r="I11802" i="1"/>
  <c r="F11802" i="1"/>
  <c r="I11801" i="1"/>
  <c r="F11801" i="1"/>
  <c r="I11800" i="1"/>
  <c r="F11800" i="1"/>
  <c r="I11799" i="1"/>
  <c r="F11799" i="1"/>
  <c r="I11798" i="1"/>
  <c r="F11798" i="1"/>
  <c r="I11797" i="1"/>
  <c r="F11797" i="1"/>
  <c r="I11796" i="1"/>
  <c r="F11796" i="1"/>
  <c r="I11795" i="1"/>
  <c r="F11795" i="1"/>
  <c r="I11794" i="1"/>
  <c r="F11794" i="1"/>
  <c r="I11793" i="1"/>
  <c r="F11793" i="1"/>
  <c r="I11792" i="1"/>
  <c r="F11792" i="1"/>
  <c r="I11791" i="1"/>
  <c r="F11791" i="1"/>
  <c r="I11790" i="1"/>
  <c r="F11790" i="1"/>
  <c r="I11789" i="1"/>
  <c r="F11789" i="1"/>
  <c r="I11788" i="1"/>
  <c r="F11788" i="1"/>
  <c r="I11787" i="1"/>
  <c r="F11787" i="1"/>
  <c r="I11786" i="1"/>
  <c r="F11786" i="1"/>
  <c r="I11785" i="1"/>
  <c r="F11785" i="1"/>
  <c r="I11784" i="1"/>
  <c r="F11784" i="1"/>
  <c r="I11783" i="1"/>
  <c r="F11783" i="1"/>
  <c r="I11782" i="1"/>
  <c r="F11782" i="1"/>
  <c r="I11781" i="1"/>
  <c r="F11781" i="1"/>
  <c r="I11780" i="1"/>
  <c r="F11780" i="1"/>
  <c r="I11779" i="1"/>
  <c r="F11779" i="1"/>
  <c r="I11778" i="1"/>
  <c r="F11778" i="1"/>
  <c r="I11777" i="1"/>
  <c r="F11777" i="1"/>
  <c r="I11776" i="1"/>
  <c r="F11776" i="1"/>
  <c r="I11775" i="1"/>
  <c r="F11775" i="1"/>
  <c r="I11774" i="1"/>
  <c r="F11774" i="1"/>
  <c r="I11773" i="1"/>
  <c r="F11773" i="1"/>
  <c r="I11772" i="1"/>
  <c r="F11772" i="1"/>
  <c r="I11771" i="1"/>
  <c r="F11771" i="1"/>
  <c r="I11770" i="1"/>
  <c r="F11770" i="1"/>
  <c r="I11769" i="1"/>
  <c r="F11769" i="1"/>
  <c r="I11768" i="1"/>
  <c r="F11768" i="1"/>
  <c r="I11767" i="1"/>
  <c r="F11767" i="1"/>
  <c r="I11766" i="1"/>
  <c r="F11766" i="1"/>
  <c r="I11765" i="1"/>
  <c r="F11765" i="1"/>
  <c r="I11764" i="1"/>
  <c r="F11764" i="1"/>
  <c r="I11763" i="1"/>
  <c r="F11763" i="1"/>
  <c r="I11762" i="1"/>
  <c r="F11762" i="1"/>
  <c r="I11761" i="1"/>
  <c r="F11761" i="1"/>
  <c r="I11760" i="1"/>
  <c r="F11760" i="1"/>
  <c r="I11759" i="1"/>
  <c r="F11759" i="1"/>
  <c r="I11758" i="1"/>
  <c r="F11758" i="1"/>
  <c r="I11757" i="1"/>
  <c r="F11757" i="1"/>
  <c r="I11756" i="1"/>
  <c r="F11756" i="1"/>
  <c r="I11755" i="1"/>
  <c r="F11755" i="1"/>
  <c r="I11754" i="1"/>
  <c r="F11754" i="1"/>
  <c r="I11753" i="1"/>
  <c r="F11753" i="1"/>
  <c r="I11752" i="1"/>
  <c r="F11752" i="1"/>
  <c r="I11751" i="1"/>
  <c r="F11751" i="1"/>
  <c r="I11750" i="1"/>
  <c r="F11750" i="1"/>
  <c r="I11749" i="1"/>
  <c r="F11749" i="1"/>
  <c r="I11748" i="1"/>
  <c r="F11748" i="1"/>
  <c r="I11747" i="1"/>
  <c r="F11747" i="1"/>
  <c r="I11746" i="1"/>
  <c r="F11746" i="1"/>
  <c r="I11745" i="1"/>
  <c r="F11745" i="1"/>
  <c r="I11744" i="1"/>
  <c r="F11744" i="1"/>
  <c r="I11743" i="1"/>
  <c r="F11743" i="1"/>
  <c r="I11742" i="1"/>
  <c r="F11742" i="1"/>
  <c r="I11741" i="1"/>
  <c r="F11741" i="1"/>
  <c r="I11740" i="1"/>
  <c r="F11740" i="1"/>
  <c r="I11739" i="1"/>
  <c r="F11739" i="1"/>
  <c r="I11738" i="1"/>
  <c r="F11738" i="1"/>
  <c r="I11737" i="1"/>
  <c r="F11737" i="1"/>
  <c r="I11736" i="1"/>
  <c r="F11736" i="1"/>
  <c r="I11735" i="1"/>
  <c r="F11735" i="1"/>
  <c r="I11734" i="1"/>
  <c r="F11734" i="1"/>
  <c r="I11733" i="1"/>
  <c r="F11733" i="1"/>
  <c r="I11732" i="1"/>
  <c r="F11732" i="1"/>
  <c r="I11731" i="1"/>
  <c r="F11731" i="1"/>
  <c r="I11730" i="1"/>
  <c r="F11730" i="1"/>
  <c r="I11729" i="1"/>
  <c r="F11729" i="1"/>
  <c r="I11728" i="1"/>
  <c r="F11728" i="1"/>
  <c r="I11727" i="1"/>
  <c r="F11727" i="1"/>
  <c r="I11726" i="1"/>
  <c r="F11726" i="1"/>
  <c r="I11725" i="1"/>
  <c r="F11725" i="1"/>
  <c r="I11724" i="1"/>
  <c r="F11724" i="1"/>
  <c r="I11723" i="1"/>
  <c r="F11723" i="1"/>
  <c r="I11722" i="1"/>
  <c r="F11722" i="1"/>
  <c r="I11721" i="1"/>
  <c r="F11721" i="1"/>
  <c r="I11720" i="1"/>
  <c r="F11720" i="1"/>
  <c r="I11719" i="1"/>
  <c r="F11719" i="1"/>
  <c r="I11718" i="1"/>
  <c r="F11718" i="1"/>
  <c r="I11717" i="1"/>
  <c r="F11717" i="1"/>
  <c r="I11716" i="1"/>
  <c r="F11716" i="1"/>
  <c r="I11715" i="1"/>
  <c r="F11715" i="1"/>
  <c r="I11714" i="1"/>
  <c r="F11714" i="1"/>
  <c r="I11713" i="1"/>
  <c r="F11713" i="1"/>
  <c r="I11712" i="1"/>
  <c r="F11712" i="1"/>
  <c r="I11711" i="1"/>
  <c r="F11711" i="1"/>
  <c r="I11710" i="1"/>
  <c r="F11710" i="1"/>
  <c r="I11709" i="1"/>
  <c r="F11709" i="1"/>
  <c r="I11708" i="1"/>
  <c r="F11708" i="1"/>
  <c r="I11707" i="1"/>
  <c r="F11707" i="1"/>
  <c r="I11706" i="1"/>
  <c r="F11706" i="1"/>
  <c r="I11705" i="1"/>
  <c r="F11705" i="1"/>
  <c r="I11704" i="1"/>
  <c r="F11704" i="1"/>
  <c r="I11703" i="1"/>
  <c r="F11703" i="1"/>
  <c r="I11702" i="1"/>
  <c r="F11702" i="1"/>
  <c r="I11701" i="1"/>
  <c r="F11701" i="1"/>
  <c r="I11700" i="1"/>
  <c r="F11700" i="1"/>
  <c r="I11699" i="1"/>
  <c r="F11699" i="1"/>
  <c r="I11698" i="1"/>
  <c r="F11698" i="1"/>
  <c r="I11697" i="1"/>
  <c r="F11697" i="1"/>
  <c r="I11696" i="1"/>
  <c r="F11696" i="1"/>
  <c r="I11695" i="1"/>
  <c r="F11695" i="1"/>
  <c r="I11694" i="1"/>
  <c r="F11694" i="1"/>
  <c r="I11693" i="1"/>
  <c r="F11693" i="1"/>
  <c r="I11692" i="1"/>
  <c r="F11692" i="1"/>
  <c r="I11691" i="1"/>
  <c r="F11691" i="1"/>
  <c r="I11690" i="1"/>
  <c r="F11690" i="1"/>
  <c r="I11689" i="1"/>
  <c r="F11689" i="1"/>
  <c r="I11688" i="1"/>
  <c r="F11688" i="1"/>
  <c r="I11687" i="1"/>
  <c r="F11687" i="1"/>
  <c r="I11686" i="1"/>
  <c r="F11686" i="1"/>
  <c r="I11685" i="1"/>
  <c r="F11685" i="1"/>
  <c r="I11684" i="1"/>
  <c r="F11684" i="1"/>
  <c r="I11683" i="1"/>
  <c r="F11683" i="1"/>
  <c r="I11682" i="1"/>
  <c r="F11682" i="1"/>
  <c r="I11681" i="1"/>
  <c r="F11681" i="1"/>
  <c r="I11680" i="1"/>
  <c r="F11680" i="1"/>
  <c r="I11679" i="1"/>
  <c r="F11679" i="1"/>
  <c r="I11678" i="1"/>
  <c r="F11678" i="1"/>
  <c r="I11677" i="1"/>
  <c r="F11677" i="1"/>
  <c r="I11676" i="1"/>
  <c r="F11676" i="1"/>
  <c r="I11675" i="1"/>
  <c r="F11675" i="1"/>
  <c r="I11674" i="1"/>
  <c r="F11674" i="1"/>
  <c r="I11673" i="1"/>
  <c r="F11673" i="1"/>
  <c r="I11672" i="1"/>
  <c r="F11672" i="1"/>
  <c r="I11671" i="1"/>
  <c r="F11671" i="1"/>
  <c r="I11670" i="1"/>
  <c r="F11670" i="1"/>
  <c r="I11669" i="1"/>
  <c r="F11669" i="1"/>
  <c r="I11668" i="1"/>
  <c r="F11668" i="1"/>
  <c r="I11667" i="1"/>
  <c r="F11667" i="1"/>
  <c r="I11666" i="1"/>
  <c r="F11666" i="1"/>
  <c r="I11665" i="1"/>
  <c r="F11665" i="1"/>
  <c r="I11664" i="1"/>
  <c r="F11664" i="1"/>
  <c r="I11663" i="1"/>
  <c r="F11663" i="1"/>
  <c r="I11662" i="1"/>
  <c r="F11662" i="1"/>
  <c r="I11661" i="1"/>
  <c r="F11661" i="1"/>
  <c r="I11660" i="1"/>
  <c r="F11660" i="1"/>
  <c r="I11659" i="1"/>
  <c r="F11659" i="1"/>
  <c r="I11658" i="1"/>
  <c r="F11658" i="1"/>
  <c r="I11657" i="1"/>
  <c r="F11657" i="1"/>
  <c r="I11656" i="1"/>
  <c r="F11656" i="1"/>
  <c r="I11655" i="1"/>
  <c r="F11655" i="1"/>
  <c r="I11654" i="1"/>
  <c r="F11654" i="1"/>
  <c r="I11653" i="1"/>
  <c r="F11653" i="1"/>
  <c r="I11652" i="1"/>
  <c r="F11652" i="1"/>
  <c r="I11651" i="1"/>
  <c r="F11651" i="1"/>
  <c r="I11650" i="1"/>
  <c r="F11650" i="1"/>
  <c r="I11649" i="1"/>
  <c r="F11649" i="1"/>
  <c r="I11648" i="1"/>
  <c r="F11648" i="1"/>
  <c r="I11647" i="1"/>
  <c r="F11647" i="1"/>
  <c r="I11646" i="1"/>
  <c r="F11646" i="1"/>
  <c r="I11645" i="1"/>
  <c r="F11645" i="1"/>
  <c r="I11644" i="1"/>
  <c r="F11644" i="1"/>
  <c r="I11643" i="1"/>
  <c r="F11643" i="1"/>
  <c r="I11642" i="1"/>
  <c r="F11642" i="1"/>
  <c r="I11641" i="1"/>
  <c r="F11641" i="1"/>
  <c r="I11640" i="1"/>
  <c r="F11640" i="1"/>
  <c r="I11639" i="1"/>
  <c r="F11639" i="1"/>
  <c r="I11638" i="1"/>
  <c r="F11638" i="1"/>
  <c r="I11637" i="1"/>
  <c r="F11637" i="1"/>
  <c r="I11636" i="1"/>
  <c r="F11636" i="1"/>
  <c r="I11635" i="1"/>
  <c r="F11635" i="1"/>
  <c r="I11634" i="1"/>
  <c r="F11634" i="1"/>
  <c r="I11633" i="1"/>
  <c r="F11633" i="1"/>
  <c r="I11632" i="1"/>
  <c r="F11632" i="1"/>
  <c r="I11631" i="1"/>
  <c r="F11631" i="1"/>
  <c r="I11630" i="1"/>
  <c r="F11630" i="1"/>
  <c r="I11629" i="1"/>
  <c r="F11629" i="1"/>
  <c r="I11628" i="1"/>
  <c r="F11628" i="1"/>
  <c r="I11627" i="1"/>
  <c r="F11627" i="1"/>
  <c r="I11626" i="1"/>
  <c r="F11626" i="1"/>
  <c r="I11625" i="1"/>
  <c r="F11625" i="1"/>
  <c r="I11624" i="1"/>
  <c r="F11624" i="1"/>
  <c r="I11623" i="1"/>
  <c r="F11623" i="1"/>
  <c r="I11622" i="1"/>
  <c r="F11622" i="1"/>
  <c r="I11621" i="1"/>
  <c r="F11621" i="1"/>
  <c r="I11620" i="1"/>
  <c r="F11620" i="1"/>
  <c r="I11619" i="1"/>
  <c r="F11619" i="1"/>
  <c r="I11618" i="1"/>
  <c r="F11618" i="1"/>
  <c r="I11617" i="1"/>
  <c r="F11617" i="1"/>
  <c r="I11616" i="1"/>
  <c r="F11616" i="1"/>
  <c r="I11615" i="1"/>
  <c r="F11615" i="1"/>
  <c r="I11614" i="1"/>
  <c r="F11614" i="1"/>
  <c r="I11613" i="1"/>
  <c r="F11613" i="1"/>
  <c r="I11612" i="1"/>
  <c r="F11612" i="1"/>
  <c r="I11611" i="1"/>
  <c r="F11611" i="1"/>
  <c r="I11610" i="1"/>
  <c r="F11610" i="1"/>
  <c r="I11609" i="1"/>
  <c r="F11609" i="1"/>
  <c r="I11608" i="1"/>
  <c r="F11608" i="1"/>
  <c r="I11607" i="1"/>
  <c r="F11607" i="1"/>
  <c r="I11606" i="1"/>
  <c r="F11606" i="1"/>
  <c r="I11605" i="1"/>
  <c r="F11605" i="1"/>
  <c r="I11604" i="1"/>
  <c r="F11604" i="1"/>
  <c r="I11603" i="1"/>
  <c r="F11603" i="1"/>
  <c r="I11602" i="1"/>
  <c r="F11602" i="1"/>
  <c r="I11601" i="1"/>
  <c r="F11601" i="1"/>
  <c r="I11600" i="1"/>
  <c r="F11600" i="1"/>
  <c r="I11599" i="1"/>
  <c r="F11599" i="1"/>
  <c r="I11598" i="1"/>
  <c r="F11598" i="1"/>
  <c r="I11597" i="1"/>
  <c r="F11597" i="1"/>
  <c r="I11596" i="1"/>
  <c r="F11596" i="1"/>
  <c r="I11595" i="1"/>
  <c r="F11595" i="1"/>
  <c r="I11594" i="1"/>
  <c r="F11594" i="1"/>
  <c r="I11593" i="1"/>
  <c r="F11593" i="1"/>
  <c r="I11592" i="1"/>
  <c r="F11592" i="1"/>
  <c r="I11591" i="1"/>
  <c r="F11591" i="1"/>
  <c r="I11590" i="1"/>
  <c r="F11590" i="1"/>
  <c r="I11589" i="1"/>
  <c r="F11589" i="1"/>
  <c r="I11588" i="1"/>
  <c r="F11588" i="1"/>
  <c r="I11587" i="1"/>
  <c r="F11587" i="1"/>
  <c r="I11586" i="1"/>
  <c r="F11586" i="1"/>
  <c r="I11585" i="1"/>
  <c r="F11585" i="1"/>
  <c r="I11584" i="1"/>
  <c r="F11584" i="1"/>
  <c r="I11583" i="1"/>
  <c r="F11583" i="1"/>
  <c r="I11582" i="1"/>
  <c r="F11582" i="1"/>
  <c r="I11581" i="1"/>
  <c r="F11581" i="1"/>
  <c r="I11580" i="1"/>
  <c r="F11580" i="1"/>
  <c r="I11579" i="1"/>
  <c r="F11579" i="1"/>
  <c r="I11578" i="1"/>
  <c r="F11578" i="1"/>
  <c r="I11577" i="1"/>
  <c r="F11577" i="1"/>
  <c r="I11576" i="1"/>
  <c r="F11576" i="1"/>
  <c r="I11575" i="1"/>
  <c r="F11575" i="1"/>
  <c r="I11574" i="1"/>
  <c r="F11574" i="1"/>
  <c r="I11573" i="1"/>
  <c r="F11573" i="1"/>
  <c r="I11572" i="1"/>
  <c r="F11572" i="1"/>
  <c r="I11571" i="1"/>
  <c r="F11571" i="1"/>
  <c r="I11570" i="1"/>
  <c r="F11570" i="1"/>
  <c r="I11569" i="1"/>
  <c r="F11569" i="1"/>
  <c r="I11568" i="1"/>
  <c r="F11568" i="1"/>
  <c r="I11567" i="1"/>
  <c r="F11567" i="1"/>
  <c r="I11566" i="1"/>
  <c r="F11566" i="1"/>
  <c r="I11565" i="1"/>
  <c r="F11565" i="1"/>
  <c r="I11564" i="1"/>
  <c r="F11564" i="1"/>
  <c r="I11563" i="1"/>
  <c r="F11563" i="1"/>
  <c r="I11562" i="1"/>
  <c r="F11562" i="1"/>
  <c r="I11561" i="1"/>
  <c r="F11561" i="1"/>
  <c r="I11560" i="1"/>
  <c r="F11560" i="1"/>
  <c r="I11559" i="1"/>
  <c r="F11559" i="1"/>
  <c r="I11558" i="1"/>
  <c r="F11558" i="1"/>
  <c r="I11557" i="1"/>
  <c r="F11557" i="1"/>
  <c r="I11556" i="1"/>
  <c r="F11556" i="1"/>
  <c r="I11555" i="1"/>
  <c r="F11555" i="1"/>
  <c r="I11554" i="1"/>
  <c r="F11554" i="1"/>
  <c r="I11553" i="1"/>
  <c r="F11553" i="1"/>
  <c r="I11552" i="1"/>
  <c r="F11552" i="1"/>
  <c r="I11551" i="1"/>
  <c r="F11551" i="1"/>
  <c r="I11550" i="1"/>
  <c r="F11550" i="1"/>
  <c r="I11549" i="1"/>
  <c r="F11549" i="1"/>
  <c r="I11548" i="1"/>
  <c r="F11548" i="1"/>
  <c r="I11547" i="1"/>
  <c r="F11547" i="1"/>
  <c r="I11546" i="1"/>
  <c r="F11546" i="1"/>
  <c r="I11545" i="1"/>
  <c r="F11545" i="1"/>
  <c r="I11544" i="1"/>
  <c r="F11544" i="1"/>
  <c r="I11543" i="1"/>
  <c r="F11543" i="1"/>
  <c r="I11542" i="1"/>
  <c r="F11542" i="1"/>
  <c r="I11541" i="1"/>
  <c r="F11541" i="1"/>
  <c r="I11540" i="1"/>
  <c r="F11540" i="1"/>
  <c r="I11539" i="1"/>
  <c r="F11539" i="1"/>
  <c r="I11538" i="1"/>
  <c r="F11538" i="1"/>
  <c r="I11537" i="1"/>
  <c r="F11537" i="1"/>
  <c r="I11536" i="1"/>
  <c r="F11536" i="1"/>
  <c r="I11535" i="1"/>
  <c r="F11535" i="1"/>
  <c r="I11534" i="1"/>
  <c r="F11534" i="1"/>
  <c r="I11533" i="1"/>
  <c r="F11533" i="1"/>
  <c r="I11532" i="1"/>
  <c r="F11532" i="1"/>
  <c r="I11531" i="1"/>
  <c r="F11531" i="1"/>
  <c r="I11530" i="1"/>
  <c r="F11530" i="1"/>
  <c r="I11529" i="1"/>
  <c r="F11529" i="1"/>
  <c r="I11528" i="1"/>
  <c r="F11528" i="1"/>
  <c r="I11527" i="1"/>
  <c r="F11527" i="1"/>
  <c r="I11526" i="1"/>
  <c r="F11526" i="1"/>
  <c r="I11525" i="1"/>
  <c r="F11525" i="1"/>
  <c r="I11524" i="1"/>
  <c r="F11524" i="1"/>
  <c r="I11523" i="1"/>
  <c r="F11523" i="1"/>
  <c r="I11522" i="1"/>
  <c r="F11522" i="1"/>
  <c r="I11521" i="1"/>
  <c r="F11521" i="1"/>
  <c r="I11520" i="1"/>
  <c r="F11520" i="1"/>
  <c r="I11519" i="1"/>
  <c r="F11519" i="1"/>
  <c r="I11518" i="1"/>
  <c r="F11518" i="1"/>
  <c r="I11517" i="1"/>
  <c r="F11517" i="1"/>
  <c r="I11516" i="1"/>
  <c r="F11516" i="1"/>
  <c r="I11515" i="1"/>
  <c r="F11515" i="1"/>
  <c r="I11514" i="1"/>
  <c r="F11514" i="1"/>
  <c r="I11513" i="1"/>
  <c r="F11513" i="1"/>
  <c r="I11512" i="1"/>
  <c r="F11512" i="1"/>
  <c r="I11511" i="1"/>
  <c r="F11511" i="1"/>
  <c r="I11510" i="1"/>
  <c r="F11510" i="1"/>
  <c r="I11509" i="1"/>
  <c r="F11509" i="1"/>
  <c r="I11508" i="1"/>
  <c r="F11508" i="1"/>
  <c r="I11507" i="1"/>
  <c r="F11507" i="1"/>
  <c r="I11506" i="1"/>
  <c r="F11506" i="1"/>
  <c r="I11505" i="1"/>
  <c r="F11505" i="1"/>
  <c r="I11504" i="1"/>
  <c r="F11504" i="1"/>
  <c r="I11503" i="1"/>
  <c r="F11503" i="1"/>
  <c r="I11502" i="1"/>
  <c r="F11502" i="1"/>
  <c r="I11501" i="1"/>
  <c r="F11501" i="1"/>
  <c r="I11500" i="1"/>
  <c r="F11500" i="1"/>
  <c r="I11499" i="1"/>
  <c r="F11499" i="1"/>
  <c r="I11498" i="1"/>
  <c r="F11498" i="1"/>
  <c r="I11497" i="1"/>
  <c r="F11497" i="1"/>
  <c r="I11496" i="1"/>
  <c r="F11496" i="1"/>
  <c r="I11495" i="1"/>
  <c r="F11495" i="1"/>
  <c r="I11494" i="1"/>
  <c r="F11494" i="1"/>
  <c r="I11493" i="1"/>
  <c r="F11493" i="1"/>
  <c r="I11492" i="1"/>
  <c r="F11492" i="1"/>
  <c r="I11491" i="1"/>
  <c r="F11491" i="1"/>
  <c r="I11490" i="1"/>
  <c r="F11490" i="1"/>
  <c r="I11489" i="1"/>
  <c r="F11489" i="1"/>
  <c r="I11488" i="1"/>
  <c r="F11488" i="1"/>
  <c r="I11487" i="1"/>
  <c r="F11487" i="1"/>
  <c r="I11486" i="1"/>
  <c r="F11486" i="1"/>
  <c r="I11485" i="1"/>
  <c r="F11485" i="1"/>
  <c r="I11484" i="1"/>
  <c r="F11484" i="1"/>
  <c r="I11483" i="1"/>
  <c r="F11483" i="1"/>
  <c r="I11482" i="1"/>
  <c r="F11482" i="1"/>
  <c r="I11481" i="1"/>
  <c r="F11481" i="1"/>
  <c r="I11480" i="1"/>
  <c r="F11480" i="1"/>
  <c r="I11479" i="1"/>
  <c r="F11479" i="1"/>
  <c r="I11478" i="1"/>
  <c r="F11478" i="1"/>
  <c r="I11477" i="1"/>
  <c r="F11477" i="1"/>
  <c r="I11476" i="1"/>
  <c r="F11476" i="1"/>
  <c r="I11475" i="1"/>
  <c r="F11475" i="1"/>
  <c r="I11474" i="1"/>
  <c r="F11474" i="1"/>
  <c r="I11473" i="1"/>
  <c r="F11473" i="1"/>
  <c r="I11472" i="1"/>
  <c r="F11472" i="1"/>
  <c r="I11471" i="1"/>
  <c r="F11471" i="1"/>
  <c r="I11470" i="1"/>
  <c r="F11470" i="1"/>
  <c r="I11469" i="1"/>
  <c r="F11469" i="1"/>
  <c r="I11468" i="1"/>
  <c r="F11468" i="1"/>
  <c r="I11467" i="1"/>
  <c r="F11467" i="1"/>
  <c r="I11466" i="1"/>
  <c r="F11466" i="1"/>
  <c r="I11465" i="1"/>
  <c r="F11465" i="1"/>
  <c r="I11464" i="1"/>
  <c r="F11464" i="1"/>
  <c r="I11463" i="1"/>
  <c r="F11463" i="1"/>
  <c r="I11462" i="1"/>
  <c r="F11462" i="1"/>
  <c r="I11461" i="1"/>
  <c r="F11461" i="1"/>
  <c r="I11460" i="1"/>
  <c r="F11460" i="1"/>
  <c r="I11459" i="1"/>
  <c r="F11459" i="1"/>
  <c r="I11458" i="1"/>
  <c r="F11458" i="1"/>
  <c r="I11457" i="1"/>
  <c r="F11457" i="1"/>
  <c r="I11456" i="1"/>
  <c r="F11456" i="1"/>
  <c r="I11455" i="1"/>
  <c r="F11455" i="1"/>
  <c r="I11454" i="1"/>
  <c r="F11454" i="1"/>
  <c r="I11453" i="1"/>
  <c r="F11453" i="1"/>
  <c r="I11452" i="1"/>
  <c r="F11452" i="1"/>
  <c r="I11451" i="1"/>
  <c r="F11451" i="1"/>
  <c r="I11450" i="1"/>
  <c r="F11450" i="1"/>
  <c r="I11449" i="1"/>
  <c r="F11449" i="1"/>
  <c r="I11448" i="1"/>
  <c r="F11448" i="1"/>
  <c r="I11447" i="1"/>
  <c r="F11447" i="1"/>
  <c r="I11446" i="1"/>
  <c r="F11446" i="1"/>
  <c r="I11445" i="1"/>
  <c r="F11445" i="1"/>
  <c r="I11444" i="1"/>
  <c r="F11444" i="1"/>
  <c r="I11443" i="1"/>
  <c r="F11443" i="1"/>
  <c r="I11442" i="1"/>
  <c r="F11442" i="1"/>
  <c r="I11441" i="1"/>
  <c r="F11441" i="1"/>
  <c r="I11440" i="1"/>
  <c r="F11440" i="1"/>
  <c r="I11439" i="1"/>
  <c r="F11439" i="1"/>
  <c r="I11438" i="1"/>
  <c r="F11438" i="1"/>
  <c r="I11437" i="1"/>
  <c r="F11437" i="1"/>
  <c r="I11436" i="1"/>
  <c r="F11436" i="1"/>
  <c r="I11435" i="1"/>
  <c r="F11435" i="1"/>
  <c r="I11434" i="1"/>
  <c r="F11434" i="1"/>
  <c r="I11433" i="1"/>
  <c r="F11433" i="1"/>
  <c r="I11432" i="1"/>
  <c r="F11432" i="1"/>
  <c r="I11431" i="1"/>
  <c r="F11431" i="1"/>
  <c r="I11430" i="1"/>
  <c r="F11430" i="1"/>
  <c r="I11429" i="1"/>
  <c r="F11429" i="1"/>
  <c r="I11428" i="1"/>
  <c r="F11428" i="1"/>
  <c r="I11427" i="1"/>
  <c r="F11427" i="1"/>
  <c r="I11426" i="1"/>
  <c r="F11426" i="1"/>
  <c r="I11425" i="1"/>
  <c r="F11425" i="1"/>
  <c r="I11424" i="1"/>
  <c r="F11424" i="1"/>
  <c r="I11423" i="1"/>
  <c r="F11423" i="1"/>
  <c r="I11422" i="1"/>
  <c r="F11422" i="1"/>
  <c r="I11421" i="1"/>
  <c r="F11421" i="1"/>
  <c r="I11420" i="1"/>
  <c r="F11420" i="1"/>
  <c r="I11419" i="1"/>
  <c r="F11419" i="1"/>
  <c r="I11418" i="1"/>
  <c r="F11418" i="1"/>
  <c r="I11417" i="1"/>
  <c r="F11417" i="1"/>
  <c r="I11416" i="1"/>
  <c r="F11416" i="1"/>
  <c r="I11415" i="1"/>
  <c r="F11415" i="1"/>
  <c r="I11414" i="1"/>
  <c r="F11414" i="1"/>
  <c r="I11413" i="1"/>
  <c r="F11413" i="1"/>
  <c r="I11412" i="1"/>
  <c r="F11412" i="1"/>
  <c r="I11411" i="1"/>
  <c r="F11411" i="1"/>
  <c r="I11410" i="1"/>
  <c r="F11410" i="1"/>
  <c r="I11409" i="1"/>
  <c r="F11409" i="1"/>
  <c r="I11408" i="1"/>
  <c r="F11408" i="1"/>
  <c r="I11407" i="1"/>
  <c r="F11407" i="1"/>
  <c r="I11406" i="1"/>
  <c r="F11406" i="1"/>
  <c r="I11405" i="1"/>
  <c r="F11405" i="1"/>
  <c r="I11404" i="1"/>
  <c r="F11404" i="1"/>
  <c r="I11403" i="1"/>
  <c r="F11403" i="1"/>
  <c r="I11402" i="1"/>
  <c r="F11402" i="1"/>
  <c r="I11401" i="1"/>
  <c r="F11401" i="1"/>
  <c r="I11400" i="1"/>
  <c r="F11400" i="1"/>
  <c r="I11399" i="1"/>
  <c r="F11399" i="1"/>
  <c r="I11398" i="1"/>
  <c r="F11398" i="1"/>
  <c r="I11397" i="1"/>
  <c r="F11397" i="1"/>
  <c r="I11396" i="1"/>
  <c r="F11396" i="1"/>
  <c r="I11395" i="1"/>
  <c r="F11395" i="1"/>
  <c r="I11394" i="1"/>
  <c r="F11394" i="1"/>
  <c r="I11393" i="1"/>
  <c r="F11393" i="1"/>
  <c r="I11392" i="1"/>
  <c r="F11392" i="1"/>
  <c r="I11391" i="1"/>
  <c r="F11391" i="1"/>
  <c r="I11390" i="1"/>
  <c r="F11390" i="1"/>
  <c r="I11389" i="1"/>
  <c r="F11389" i="1"/>
  <c r="I11388" i="1"/>
  <c r="F11388" i="1"/>
  <c r="I11387" i="1"/>
  <c r="F11387" i="1"/>
  <c r="I11386" i="1"/>
  <c r="F11386" i="1"/>
  <c r="I11385" i="1"/>
  <c r="F11385" i="1"/>
  <c r="I11384" i="1"/>
  <c r="F11384" i="1"/>
  <c r="I11383" i="1"/>
  <c r="F11383" i="1"/>
  <c r="I11382" i="1"/>
  <c r="F11382" i="1"/>
  <c r="I11381" i="1"/>
  <c r="F11381" i="1"/>
  <c r="I11380" i="1"/>
  <c r="F11380" i="1"/>
  <c r="I11379" i="1"/>
  <c r="F11379" i="1"/>
  <c r="I11378" i="1"/>
  <c r="F11378" i="1"/>
  <c r="I11377" i="1"/>
  <c r="F11377" i="1"/>
  <c r="I11376" i="1"/>
  <c r="F11376" i="1"/>
  <c r="I11375" i="1"/>
  <c r="F11375" i="1"/>
  <c r="I11374" i="1"/>
  <c r="F11374" i="1"/>
  <c r="I11373" i="1"/>
  <c r="F11373" i="1"/>
  <c r="I11372" i="1"/>
  <c r="F11372" i="1"/>
  <c r="I11371" i="1"/>
  <c r="F11371" i="1"/>
  <c r="I11370" i="1"/>
  <c r="F11370" i="1"/>
  <c r="I11369" i="1"/>
  <c r="F11369" i="1"/>
  <c r="I11368" i="1"/>
  <c r="F11368" i="1"/>
  <c r="I11367" i="1"/>
  <c r="F11367" i="1"/>
  <c r="I11366" i="1"/>
  <c r="F11366" i="1"/>
  <c r="I11365" i="1"/>
  <c r="F11365" i="1"/>
  <c r="I11364" i="1"/>
  <c r="F11364" i="1"/>
  <c r="I11363" i="1"/>
  <c r="F11363" i="1"/>
  <c r="I11362" i="1"/>
  <c r="F11362" i="1"/>
  <c r="I11361" i="1"/>
  <c r="F11361" i="1"/>
  <c r="I11360" i="1"/>
  <c r="F11360" i="1"/>
  <c r="I11359" i="1"/>
  <c r="F11359" i="1"/>
  <c r="I11358" i="1"/>
  <c r="F11358" i="1"/>
  <c r="I11357" i="1"/>
  <c r="F11357" i="1"/>
  <c r="I11356" i="1"/>
  <c r="F11356" i="1"/>
  <c r="I11355" i="1"/>
  <c r="F11355" i="1"/>
  <c r="I11354" i="1"/>
  <c r="F11354" i="1"/>
  <c r="I11353" i="1"/>
  <c r="F11353" i="1"/>
  <c r="I11352" i="1"/>
  <c r="F11352" i="1"/>
  <c r="I11351" i="1"/>
  <c r="F11351" i="1"/>
  <c r="I11350" i="1"/>
  <c r="F11350" i="1"/>
  <c r="I11349" i="1"/>
  <c r="F11349" i="1"/>
  <c r="I11348" i="1"/>
  <c r="F11348" i="1"/>
  <c r="I11347" i="1"/>
  <c r="F11347" i="1"/>
  <c r="I11346" i="1"/>
  <c r="F11346" i="1"/>
  <c r="I11345" i="1"/>
  <c r="F11345" i="1"/>
  <c r="I11344" i="1"/>
  <c r="F11344" i="1"/>
  <c r="I11343" i="1"/>
  <c r="F11343" i="1"/>
  <c r="I11342" i="1"/>
  <c r="F11342" i="1"/>
  <c r="I11341" i="1"/>
  <c r="F11341" i="1"/>
  <c r="I11340" i="1"/>
  <c r="F11340" i="1"/>
  <c r="I11339" i="1"/>
  <c r="F11339" i="1"/>
  <c r="I11338" i="1"/>
  <c r="F11338" i="1"/>
  <c r="I11337" i="1"/>
  <c r="F11337" i="1"/>
  <c r="I11336" i="1"/>
  <c r="F11336" i="1"/>
  <c r="I11335" i="1"/>
  <c r="F11335" i="1"/>
  <c r="I11334" i="1"/>
  <c r="F11334" i="1"/>
  <c r="I11333" i="1"/>
  <c r="F11333" i="1"/>
  <c r="I11332" i="1"/>
  <c r="F11332" i="1"/>
  <c r="I11331" i="1"/>
  <c r="F11331" i="1"/>
  <c r="I11330" i="1"/>
  <c r="F11330" i="1"/>
  <c r="I11329" i="1"/>
  <c r="F11329" i="1"/>
  <c r="I11328" i="1"/>
  <c r="F11328" i="1"/>
  <c r="I11327" i="1"/>
  <c r="F11327" i="1"/>
  <c r="I11326" i="1"/>
  <c r="F11326" i="1"/>
  <c r="I11325" i="1"/>
  <c r="F11325" i="1"/>
  <c r="I11324" i="1"/>
  <c r="F11324" i="1"/>
  <c r="I11323" i="1"/>
  <c r="F11323" i="1"/>
  <c r="I11322" i="1"/>
  <c r="F11322" i="1"/>
  <c r="I11321" i="1"/>
  <c r="F11321" i="1"/>
  <c r="I11320" i="1"/>
  <c r="F11320" i="1"/>
  <c r="I11319" i="1"/>
  <c r="F11319" i="1"/>
  <c r="I11318" i="1"/>
  <c r="F11318" i="1"/>
  <c r="I11317" i="1"/>
  <c r="F11317" i="1"/>
  <c r="I11316" i="1"/>
  <c r="F11316" i="1"/>
  <c r="I11315" i="1"/>
  <c r="F11315" i="1"/>
  <c r="I11314" i="1"/>
  <c r="F11314" i="1"/>
  <c r="I11313" i="1"/>
  <c r="F11313" i="1"/>
  <c r="I11312" i="1"/>
  <c r="F11312" i="1"/>
  <c r="I11311" i="1"/>
  <c r="F11311" i="1"/>
  <c r="I11310" i="1"/>
  <c r="F11310" i="1"/>
  <c r="I11309" i="1"/>
  <c r="F11309" i="1"/>
  <c r="I11308" i="1"/>
  <c r="F11308" i="1"/>
  <c r="I11307" i="1"/>
  <c r="F11307" i="1"/>
  <c r="I11306" i="1"/>
  <c r="F11306" i="1"/>
  <c r="I11305" i="1"/>
  <c r="F11305" i="1"/>
  <c r="I11304" i="1"/>
  <c r="F11304" i="1"/>
  <c r="I11303" i="1"/>
  <c r="F11303" i="1"/>
  <c r="I11302" i="1"/>
  <c r="F11302" i="1"/>
  <c r="I11301" i="1"/>
  <c r="F11301" i="1"/>
  <c r="I11300" i="1"/>
  <c r="F11300" i="1"/>
  <c r="I11299" i="1"/>
  <c r="F11299" i="1"/>
  <c r="I11298" i="1"/>
  <c r="F11298" i="1"/>
  <c r="I11297" i="1"/>
  <c r="F11297" i="1"/>
  <c r="I11296" i="1"/>
  <c r="F11296" i="1"/>
  <c r="I11295" i="1"/>
  <c r="F11295" i="1"/>
  <c r="I11294" i="1"/>
  <c r="F11294" i="1"/>
  <c r="I11293" i="1"/>
  <c r="F11293" i="1"/>
  <c r="I11292" i="1"/>
  <c r="F11292" i="1"/>
  <c r="I11291" i="1"/>
  <c r="F11291" i="1"/>
  <c r="I11290" i="1"/>
  <c r="F11290" i="1"/>
  <c r="I11289" i="1"/>
  <c r="F11289" i="1"/>
  <c r="I11288" i="1"/>
  <c r="F11288" i="1"/>
  <c r="I11287" i="1"/>
  <c r="F11287" i="1"/>
  <c r="I11286" i="1"/>
  <c r="F11286" i="1"/>
  <c r="I11285" i="1"/>
  <c r="F11285" i="1"/>
  <c r="I11284" i="1"/>
  <c r="F11284" i="1"/>
  <c r="I11283" i="1"/>
  <c r="F11283" i="1"/>
  <c r="I11282" i="1"/>
  <c r="F11282" i="1"/>
  <c r="I11281" i="1"/>
  <c r="F11281" i="1"/>
  <c r="I11280" i="1"/>
  <c r="F11280" i="1"/>
  <c r="I11279" i="1"/>
  <c r="F11279" i="1"/>
  <c r="I11278" i="1"/>
  <c r="F11278" i="1"/>
  <c r="I11277" i="1"/>
  <c r="F11277" i="1"/>
  <c r="I11276" i="1"/>
  <c r="F11276" i="1"/>
  <c r="I11275" i="1"/>
  <c r="F11275" i="1"/>
  <c r="I11274" i="1"/>
  <c r="F11274" i="1"/>
  <c r="I11273" i="1"/>
  <c r="F11273" i="1"/>
  <c r="I11272" i="1"/>
  <c r="F11272" i="1"/>
  <c r="I11271" i="1"/>
  <c r="F11271" i="1"/>
  <c r="I11270" i="1"/>
  <c r="F11270" i="1"/>
  <c r="I11269" i="1"/>
  <c r="F11269" i="1"/>
  <c r="I11268" i="1"/>
  <c r="F11268" i="1"/>
  <c r="I11267" i="1"/>
  <c r="F11267" i="1"/>
  <c r="I11266" i="1"/>
  <c r="F11266" i="1"/>
  <c r="I11265" i="1"/>
  <c r="F11265" i="1"/>
  <c r="I11264" i="1"/>
  <c r="F11264" i="1"/>
  <c r="I11263" i="1"/>
  <c r="F11263" i="1"/>
  <c r="I11262" i="1"/>
  <c r="F11262" i="1"/>
  <c r="I11261" i="1"/>
  <c r="F11261" i="1"/>
  <c r="I11260" i="1"/>
  <c r="F11260" i="1"/>
  <c r="I11259" i="1"/>
  <c r="F11259" i="1"/>
  <c r="I11258" i="1"/>
  <c r="F11258" i="1"/>
  <c r="I11257" i="1"/>
  <c r="F11257" i="1"/>
  <c r="I11256" i="1"/>
  <c r="F11256" i="1"/>
  <c r="I11255" i="1"/>
  <c r="F11255" i="1"/>
  <c r="I11254" i="1"/>
  <c r="F11254" i="1"/>
  <c r="I11253" i="1"/>
  <c r="F11253" i="1"/>
  <c r="I11252" i="1"/>
  <c r="F11252" i="1"/>
  <c r="I11251" i="1"/>
  <c r="F11251" i="1"/>
  <c r="I11250" i="1"/>
  <c r="F11250" i="1"/>
  <c r="I11249" i="1"/>
  <c r="F11249" i="1"/>
  <c r="I11248" i="1"/>
  <c r="F11248" i="1"/>
  <c r="I11247" i="1"/>
  <c r="F11247" i="1"/>
  <c r="I11246" i="1"/>
  <c r="F11246" i="1"/>
  <c r="I11245" i="1"/>
  <c r="F11245" i="1"/>
  <c r="I11244" i="1"/>
  <c r="F11244" i="1"/>
  <c r="I11243" i="1"/>
  <c r="F11243" i="1"/>
  <c r="I11242" i="1"/>
  <c r="F11242" i="1"/>
  <c r="I11241" i="1"/>
  <c r="F11241" i="1"/>
  <c r="I11240" i="1"/>
  <c r="F11240" i="1"/>
  <c r="I11239" i="1"/>
  <c r="F11239" i="1"/>
  <c r="I11238" i="1"/>
  <c r="F11238" i="1"/>
  <c r="I11237" i="1"/>
  <c r="F11237" i="1"/>
  <c r="I11236" i="1"/>
  <c r="F11236" i="1"/>
  <c r="I11235" i="1"/>
  <c r="F11235" i="1"/>
  <c r="I11234" i="1"/>
  <c r="F11234" i="1"/>
  <c r="I11233" i="1"/>
  <c r="F11233" i="1"/>
  <c r="I11232" i="1"/>
  <c r="F11232" i="1"/>
  <c r="I11231" i="1"/>
  <c r="F11231" i="1"/>
  <c r="I11230" i="1"/>
  <c r="F11230" i="1"/>
  <c r="I11229" i="1"/>
  <c r="F11229" i="1"/>
  <c r="I11228" i="1"/>
  <c r="F11228" i="1"/>
  <c r="I11227" i="1"/>
  <c r="F11227" i="1"/>
  <c r="I11226" i="1"/>
  <c r="F11226" i="1"/>
  <c r="I11225" i="1"/>
  <c r="F11225" i="1"/>
  <c r="I11224" i="1"/>
  <c r="F11224" i="1"/>
  <c r="I11223" i="1"/>
  <c r="F11223" i="1"/>
  <c r="I11222" i="1"/>
  <c r="F11222" i="1"/>
  <c r="I11221" i="1"/>
  <c r="F11221" i="1"/>
  <c r="I11220" i="1"/>
  <c r="F11220" i="1"/>
  <c r="I11219" i="1"/>
  <c r="F11219" i="1"/>
  <c r="I11218" i="1"/>
  <c r="F11218" i="1"/>
  <c r="I11217" i="1"/>
  <c r="F11217" i="1"/>
  <c r="I11216" i="1"/>
  <c r="F11216" i="1"/>
  <c r="I11215" i="1"/>
  <c r="F11215" i="1"/>
  <c r="I11214" i="1"/>
  <c r="F11214" i="1"/>
  <c r="I11213" i="1"/>
  <c r="F11213" i="1"/>
  <c r="I11212" i="1"/>
  <c r="F11212" i="1"/>
  <c r="I11211" i="1"/>
  <c r="F11211" i="1"/>
  <c r="I11210" i="1"/>
  <c r="F11210" i="1"/>
  <c r="I11209" i="1"/>
  <c r="F11209" i="1"/>
  <c r="I11208" i="1"/>
  <c r="F11208" i="1"/>
  <c r="I11207" i="1"/>
  <c r="F11207" i="1"/>
  <c r="I11206" i="1"/>
  <c r="F11206" i="1"/>
  <c r="I11205" i="1"/>
  <c r="F11205" i="1"/>
  <c r="I11204" i="1"/>
  <c r="F11204" i="1"/>
  <c r="I11203" i="1"/>
  <c r="F11203" i="1"/>
  <c r="I11202" i="1"/>
  <c r="F11202" i="1"/>
  <c r="I11201" i="1"/>
  <c r="F11201" i="1"/>
  <c r="I11200" i="1"/>
  <c r="F11200" i="1"/>
  <c r="I11199" i="1"/>
  <c r="F11199" i="1"/>
  <c r="I11198" i="1"/>
  <c r="F11198" i="1"/>
  <c r="I11197" i="1"/>
  <c r="F11197" i="1"/>
  <c r="I11196" i="1"/>
  <c r="F11196" i="1"/>
  <c r="I11195" i="1"/>
  <c r="F11195" i="1"/>
  <c r="I11194" i="1"/>
  <c r="F11194" i="1"/>
  <c r="I11193" i="1"/>
  <c r="F11193" i="1"/>
  <c r="I11192" i="1"/>
  <c r="F11192" i="1"/>
  <c r="I11191" i="1"/>
  <c r="F11191" i="1"/>
  <c r="I11190" i="1"/>
  <c r="F11190" i="1"/>
  <c r="I11189" i="1"/>
  <c r="F11189" i="1"/>
  <c r="I11188" i="1"/>
  <c r="F11188" i="1"/>
  <c r="I11187" i="1"/>
  <c r="F11187" i="1"/>
  <c r="I11186" i="1"/>
  <c r="F11186" i="1"/>
  <c r="I11185" i="1"/>
  <c r="F11185" i="1"/>
  <c r="I11184" i="1"/>
  <c r="F11184" i="1"/>
  <c r="I11183" i="1"/>
  <c r="F11183" i="1"/>
  <c r="I11182" i="1"/>
  <c r="F11182" i="1"/>
  <c r="I11181" i="1"/>
  <c r="F11181" i="1"/>
  <c r="I11180" i="1"/>
  <c r="F11180" i="1"/>
  <c r="I11179" i="1"/>
  <c r="F11179" i="1"/>
  <c r="I11178" i="1"/>
  <c r="F11178" i="1"/>
  <c r="I11177" i="1"/>
  <c r="F11177" i="1"/>
  <c r="I11176" i="1"/>
  <c r="F11176" i="1"/>
  <c r="I11175" i="1"/>
  <c r="F11175" i="1"/>
  <c r="I11174" i="1"/>
  <c r="F11174" i="1"/>
  <c r="I11173" i="1"/>
  <c r="F11173" i="1"/>
  <c r="I11172" i="1"/>
  <c r="F11172" i="1"/>
  <c r="I11171" i="1"/>
  <c r="F11171" i="1"/>
  <c r="I11170" i="1"/>
  <c r="F11170" i="1"/>
  <c r="I11169" i="1"/>
  <c r="F11169" i="1"/>
  <c r="I11168" i="1"/>
  <c r="F11168" i="1"/>
  <c r="I11167" i="1"/>
  <c r="F11167" i="1"/>
  <c r="I11166" i="1"/>
  <c r="F11166" i="1"/>
  <c r="I11165" i="1"/>
  <c r="F11165" i="1"/>
  <c r="I11164" i="1"/>
  <c r="F11164" i="1"/>
  <c r="I11163" i="1"/>
  <c r="F11163" i="1"/>
  <c r="I11162" i="1"/>
  <c r="F11162" i="1"/>
  <c r="I11161" i="1"/>
  <c r="F11161" i="1"/>
  <c r="I11160" i="1"/>
  <c r="F11160" i="1"/>
  <c r="I11159" i="1"/>
  <c r="F11159" i="1"/>
  <c r="I11158" i="1"/>
  <c r="F11158" i="1"/>
  <c r="I11157" i="1"/>
  <c r="F11157" i="1"/>
  <c r="I11156" i="1"/>
  <c r="F11156" i="1"/>
  <c r="I11155" i="1"/>
  <c r="F11155" i="1"/>
  <c r="I11154" i="1"/>
  <c r="F11154" i="1"/>
  <c r="I11153" i="1"/>
  <c r="F11153" i="1"/>
  <c r="I11152" i="1"/>
  <c r="F11152" i="1"/>
  <c r="I11151" i="1"/>
  <c r="F11151" i="1"/>
  <c r="I11150" i="1"/>
  <c r="F11150" i="1"/>
  <c r="I11149" i="1"/>
  <c r="F11149" i="1"/>
  <c r="I11148" i="1"/>
  <c r="F11148" i="1"/>
  <c r="I11147" i="1"/>
  <c r="F11147" i="1"/>
  <c r="I11146" i="1"/>
  <c r="F11146" i="1"/>
  <c r="I11145" i="1"/>
  <c r="F11145" i="1"/>
  <c r="I11144" i="1"/>
  <c r="F11144" i="1"/>
  <c r="I11143" i="1"/>
  <c r="F11143" i="1"/>
  <c r="I11142" i="1"/>
  <c r="F11142" i="1"/>
  <c r="I11141" i="1"/>
  <c r="F11141" i="1"/>
  <c r="I11140" i="1"/>
  <c r="F11140" i="1"/>
  <c r="I11139" i="1"/>
  <c r="F11139" i="1"/>
  <c r="I11138" i="1"/>
  <c r="F11138" i="1"/>
  <c r="I11137" i="1"/>
  <c r="F11137" i="1"/>
  <c r="I11136" i="1"/>
  <c r="F11136" i="1"/>
  <c r="I11135" i="1"/>
  <c r="F11135" i="1"/>
  <c r="I11134" i="1"/>
  <c r="F11134" i="1"/>
  <c r="I11133" i="1"/>
  <c r="F11133" i="1"/>
  <c r="I11132" i="1"/>
  <c r="F11132" i="1"/>
  <c r="I11131" i="1"/>
  <c r="F11131" i="1"/>
  <c r="I11130" i="1"/>
  <c r="F11130" i="1"/>
  <c r="I11129" i="1"/>
  <c r="F11129" i="1"/>
  <c r="I11128" i="1"/>
  <c r="F11128" i="1"/>
  <c r="I11127" i="1"/>
  <c r="F11127" i="1"/>
  <c r="I11126" i="1"/>
  <c r="F11126" i="1"/>
  <c r="I11125" i="1"/>
  <c r="F11125" i="1"/>
  <c r="I11124" i="1"/>
  <c r="F11124" i="1"/>
  <c r="I11123" i="1"/>
  <c r="F11123" i="1"/>
  <c r="I11122" i="1"/>
  <c r="F11122" i="1"/>
  <c r="I11121" i="1"/>
  <c r="F11121" i="1"/>
  <c r="I11120" i="1"/>
  <c r="F11120" i="1"/>
  <c r="I11119" i="1"/>
  <c r="F11119" i="1"/>
  <c r="I11118" i="1"/>
  <c r="F11118" i="1"/>
  <c r="I11117" i="1"/>
  <c r="F11117" i="1"/>
  <c r="I11116" i="1"/>
  <c r="F11116" i="1"/>
  <c r="I11115" i="1"/>
  <c r="F11115" i="1"/>
  <c r="I11114" i="1"/>
  <c r="F11114" i="1"/>
  <c r="I11113" i="1"/>
  <c r="F11113" i="1"/>
  <c r="I11112" i="1"/>
  <c r="F11112" i="1"/>
  <c r="I11111" i="1"/>
  <c r="F11111" i="1"/>
  <c r="I11110" i="1"/>
  <c r="F11110" i="1"/>
  <c r="I11109" i="1"/>
  <c r="F11109" i="1"/>
  <c r="I11108" i="1"/>
  <c r="F11108" i="1"/>
  <c r="I11107" i="1"/>
  <c r="F11107" i="1"/>
  <c r="I11106" i="1"/>
  <c r="F11106" i="1"/>
  <c r="I11105" i="1"/>
  <c r="F11105" i="1"/>
  <c r="I11104" i="1"/>
  <c r="F11104" i="1"/>
  <c r="I11103" i="1"/>
  <c r="F11103" i="1"/>
  <c r="I11102" i="1"/>
  <c r="F11102" i="1"/>
  <c r="I11101" i="1"/>
  <c r="F11101" i="1"/>
  <c r="I11100" i="1"/>
  <c r="F11100" i="1"/>
  <c r="I11099" i="1"/>
  <c r="F11099" i="1"/>
  <c r="I11098" i="1"/>
  <c r="F11098" i="1"/>
  <c r="I11097" i="1"/>
  <c r="F11097" i="1"/>
  <c r="I11096" i="1"/>
  <c r="F11096" i="1"/>
  <c r="I11095" i="1"/>
  <c r="F11095" i="1"/>
  <c r="I11094" i="1"/>
  <c r="F11094" i="1"/>
  <c r="I11093" i="1"/>
  <c r="F11093" i="1"/>
  <c r="I11092" i="1"/>
  <c r="F11092" i="1"/>
  <c r="I11091" i="1"/>
  <c r="F11091" i="1"/>
  <c r="I11090" i="1"/>
  <c r="F11090" i="1"/>
  <c r="I11089" i="1"/>
  <c r="F11089" i="1"/>
  <c r="I11088" i="1"/>
  <c r="F11088" i="1"/>
  <c r="I11087" i="1"/>
  <c r="F11087" i="1"/>
  <c r="I11086" i="1"/>
  <c r="F11086" i="1"/>
  <c r="I11085" i="1"/>
  <c r="F11085" i="1"/>
  <c r="I11084" i="1"/>
  <c r="F11084" i="1"/>
  <c r="I11083" i="1"/>
  <c r="F11083" i="1"/>
  <c r="I11082" i="1"/>
  <c r="F11082" i="1"/>
  <c r="I11081" i="1"/>
  <c r="F11081" i="1"/>
  <c r="I11080" i="1"/>
  <c r="F11080" i="1"/>
  <c r="I11079" i="1"/>
  <c r="F11079" i="1"/>
  <c r="I11078" i="1"/>
  <c r="F11078" i="1"/>
  <c r="I11077" i="1"/>
  <c r="F11077" i="1"/>
  <c r="I11076" i="1"/>
  <c r="F11076" i="1"/>
  <c r="I11075" i="1"/>
  <c r="F11075" i="1"/>
  <c r="I11074" i="1"/>
  <c r="F11074" i="1"/>
  <c r="I11073" i="1"/>
  <c r="F11073" i="1"/>
  <c r="I11072" i="1"/>
  <c r="F11072" i="1"/>
  <c r="I11071" i="1"/>
  <c r="F11071" i="1"/>
  <c r="I11070" i="1"/>
  <c r="F11070" i="1"/>
  <c r="I11069" i="1"/>
  <c r="F11069" i="1"/>
  <c r="I11068" i="1"/>
  <c r="F11068" i="1"/>
  <c r="I11067" i="1"/>
  <c r="F11067" i="1"/>
  <c r="I11066" i="1"/>
  <c r="F11066" i="1"/>
  <c r="I11065" i="1"/>
  <c r="F11065" i="1"/>
  <c r="I11064" i="1"/>
  <c r="F11064" i="1"/>
  <c r="I11063" i="1"/>
  <c r="F11063" i="1"/>
  <c r="I11062" i="1"/>
  <c r="F11062" i="1"/>
  <c r="I11061" i="1"/>
  <c r="F11061" i="1"/>
  <c r="I11060" i="1"/>
  <c r="F11060" i="1"/>
  <c r="I11059" i="1"/>
  <c r="F11059" i="1"/>
  <c r="I11058" i="1"/>
  <c r="F11058" i="1"/>
  <c r="I11057" i="1"/>
  <c r="F11057" i="1"/>
  <c r="I11056" i="1"/>
  <c r="F11056" i="1"/>
  <c r="I11055" i="1"/>
  <c r="F11055" i="1"/>
  <c r="I11054" i="1"/>
  <c r="F11054" i="1"/>
  <c r="I11053" i="1"/>
  <c r="F11053" i="1"/>
  <c r="I11052" i="1"/>
  <c r="F11052" i="1"/>
  <c r="I11051" i="1"/>
  <c r="F11051" i="1"/>
  <c r="I11050" i="1"/>
  <c r="F11050" i="1"/>
  <c r="I11049" i="1"/>
  <c r="F11049" i="1"/>
  <c r="I11048" i="1"/>
  <c r="F11048" i="1"/>
  <c r="I11047" i="1"/>
  <c r="F11047" i="1"/>
  <c r="I11046" i="1"/>
  <c r="F11046" i="1"/>
  <c r="I11045" i="1"/>
  <c r="F11045" i="1"/>
  <c r="I11044" i="1"/>
  <c r="F11044" i="1"/>
  <c r="I11043" i="1"/>
  <c r="F11043" i="1"/>
  <c r="I11042" i="1"/>
  <c r="F11042" i="1"/>
  <c r="I11041" i="1"/>
  <c r="F11041" i="1"/>
  <c r="I11040" i="1"/>
  <c r="F11040" i="1"/>
  <c r="I11039" i="1"/>
  <c r="F11039" i="1"/>
  <c r="I11038" i="1"/>
  <c r="F11038" i="1"/>
  <c r="I11037" i="1"/>
  <c r="F11037" i="1"/>
  <c r="I11036" i="1"/>
  <c r="F11036" i="1"/>
  <c r="I11035" i="1"/>
  <c r="F11035" i="1"/>
  <c r="I11034" i="1"/>
  <c r="F11034" i="1"/>
  <c r="I11033" i="1"/>
  <c r="F11033" i="1"/>
  <c r="I11032" i="1"/>
  <c r="F11032" i="1"/>
  <c r="I11031" i="1"/>
  <c r="F11031" i="1"/>
  <c r="I11030" i="1"/>
  <c r="F11030" i="1"/>
  <c r="I11029" i="1"/>
  <c r="F11029" i="1"/>
  <c r="I11028" i="1"/>
  <c r="F11028" i="1"/>
  <c r="I11027" i="1"/>
  <c r="F11027" i="1"/>
  <c r="I11026" i="1"/>
  <c r="F11026" i="1"/>
  <c r="I11025" i="1"/>
  <c r="F11025" i="1"/>
  <c r="I11024" i="1"/>
  <c r="F11024" i="1"/>
  <c r="I11023" i="1"/>
  <c r="F11023" i="1"/>
  <c r="I11022" i="1"/>
  <c r="F11022" i="1"/>
  <c r="I11021" i="1"/>
  <c r="F11021" i="1"/>
  <c r="I11020" i="1"/>
  <c r="F11020" i="1"/>
  <c r="I11019" i="1"/>
  <c r="F11019" i="1"/>
  <c r="I11018" i="1"/>
  <c r="F11018" i="1"/>
  <c r="I11017" i="1"/>
  <c r="F11017" i="1"/>
  <c r="I11016" i="1"/>
  <c r="F11016" i="1"/>
  <c r="I11015" i="1"/>
  <c r="F11015" i="1"/>
  <c r="I11014" i="1"/>
  <c r="F11014" i="1"/>
  <c r="I11013" i="1"/>
  <c r="F11013" i="1"/>
  <c r="I11012" i="1"/>
  <c r="F11012" i="1"/>
  <c r="I11011" i="1"/>
  <c r="F11011" i="1"/>
  <c r="I11010" i="1"/>
  <c r="F11010" i="1"/>
  <c r="I11009" i="1"/>
  <c r="F11009" i="1"/>
  <c r="I11008" i="1"/>
  <c r="F11008" i="1"/>
  <c r="I11007" i="1"/>
  <c r="F11007" i="1"/>
  <c r="I11006" i="1"/>
  <c r="F11006" i="1"/>
  <c r="I11005" i="1"/>
  <c r="F11005" i="1"/>
  <c r="I11004" i="1"/>
  <c r="F11004" i="1"/>
  <c r="I11003" i="1"/>
  <c r="F11003" i="1"/>
  <c r="I11002" i="1"/>
  <c r="F11002" i="1"/>
  <c r="I11001" i="1"/>
  <c r="F11001" i="1"/>
  <c r="I11000" i="1"/>
  <c r="F11000" i="1"/>
  <c r="I10999" i="1"/>
  <c r="F10999" i="1"/>
  <c r="I10998" i="1"/>
  <c r="F10998" i="1"/>
  <c r="I10997" i="1"/>
  <c r="F10997" i="1"/>
  <c r="I10996" i="1"/>
  <c r="F10996" i="1"/>
  <c r="I10995" i="1"/>
  <c r="F10995" i="1"/>
  <c r="I10994" i="1"/>
  <c r="F10994" i="1"/>
  <c r="I10993" i="1"/>
  <c r="F10993" i="1"/>
  <c r="I10992" i="1"/>
  <c r="F10992" i="1"/>
  <c r="I10991" i="1"/>
  <c r="F10991" i="1"/>
  <c r="I10990" i="1"/>
  <c r="F10990" i="1"/>
  <c r="I10989" i="1"/>
  <c r="F10989" i="1"/>
  <c r="I10988" i="1"/>
  <c r="F10988" i="1"/>
  <c r="I10987" i="1"/>
  <c r="F10987" i="1"/>
  <c r="I10986" i="1"/>
  <c r="F10986" i="1"/>
  <c r="I10985" i="1"/>
  <c r="F10985" i="1"/>
  <c r="I10984" i="1"/>
  <c r="F10984" i="1"/>
  <c r="I10983" i="1"/>
  <c r="F10983" i="1"/>
  <c r="I10982" i="1"/>
  <c r="F10982" i="1"/>
  <c r="I10981" i="1"/>
  <c r="F10981" i="1"/>
  <c r="I10980" i="1"/>
  <c r="F10980" i="1"/>
  <c r="I10979" i="1"/>
  <c r="F10979" i="1"/>
  <c r="I10978" i="1"/>
  <c r="F10978" i="1"/>
  <c r="I10977" i="1"/>
  <c r="F10977" i="1"/>
  <c r="I10976" i="1"/>
  <c r="F10976" i="1"/>
  <c r="I10975" i="1"/>
  <c r="F10975" i="1"/>
  <c r="I10974" i="1"/>
  <c r="F10974" i="1"/>
  <c r="I10973" i="1"/>
  <c r="F10973" i="1"/>
  <c r="I10972" i="1"/>
  <c r="F10972" i="1"/>
  <c r="I10971" i="1"/>
  <c r="F10971" i="1"/>
  <c r="I10970" i="1"/>
  <c r="F10970" i="1"/>
  <c r="I10969" i="1"/>
  <c r="F10969" i="1"/>
  <c r="I10968" i="1"/>
  <c r="F10968" i="1"/>
  <c r="I10967" i="1"/>
  <c r="F10967" i="1"/>
  <c r="I10966" i="1"/>
  <c r="F10966" i="1"/>
  <c r="I10965" i="1"/>
  <c r="F10965" i="1"/>
  <c r="I10964" i="1"/>
  <c r="F10964" i="1"/>
  <c r="I10963" i="1"/>
  <c r="F10963" i="1"/>
  <c r="I10962" i="1"/>
  <c r="F10962" i="1"/>
  <c r="I10961" i="1"/>
  <c r="F10961" i="1"/>
  <c r="I10960" i="1"/>
  <c r="F10960" i="1"/>
  <c r="I10959" i="1"/>
  <c r="F10959" i="1"/>
  <c r="I10958" i="1"/>
  <c r="F10958" i="1"/>
  <c r="I10957" i="1"/>
  <c r="F10957" i="1"/>
  <c r="I10956" i="1"/>
  <c r="F10956" i="1"/>
  <c r="I10955" i="1"/>
  <c r="F10955" i="1"/>
  <c r="I10954" i="1"/>
  <c r="F10954" i="1"/>
  <c r="I10953" i="1"/>
  <c r="F10953" i="1"/>
  <c r="I10952" i="1"/>
  <c r="F10952" i="1"/>
  <c r="I10951" i="1"/>
  <c r="F10951" i="1"/>
  <c r="I10950" i="1"/>
  <c r="F10950" i="1"/>
  <c r="I10949" i="1"/>
  <c r="F10949" i="1"/>
  <c r="I10948" i="1"/>
  <c r="F10948" i="1"/>
  <c r="I10947" i="1"/>
  <c r="F10947" i="1"/>
  <c r="I10946" i="1"/>
  <c r="F10946" i="1"/>
  <c r="I10945" i="1"/>
  <c r="F10945" i="1"/>
  <c r="I10944" i="1"/>
  <c r="F10944" i="1"/>
  <c r="I10943" i="1"/>
  <c r="F10943" i="1"/>
  <c r="I10942" i="1"/>
  <c r="F10942" i="1"/>
  <c r="I10941" i="1"/>
  <c r="F10941" i="1"/>
  <c r="I10940" i="1"/>
  <c r="F10940" i="1"/>
  <c r="I10939" i="1"/>
  <c r="F10939" i="1"/>
  <c r="I10938" i="1"/>
  <c r="F10938" i="1"/>
  <c r="I10937" i="1"/>
  <c r="F10937" i="1"/>
  <c r="I10936" i="1"/>
  <c r="F10936" i="1"/>
  <c r="I10935" i="1"/>
  <c r="F10935" i="1"/>
  <c r="I10934" i="1"/>
  <c r="F10934" i="1"/>
  <c r="I10933" i="1"/>
  <c r="F10933" i="1"/>
  <c r="I10932" i="1"/>
  <c r="F10932" i="1"/>
  <c r="I10931" i="1"/>
  <c r="F10931" i="1"/>
  <c r="I10930" i="1"/>
  <c r="F10930" i="1"/>
  <c r="I10929" i="1"/>
  <c r="F10929" i="1"/>
  <c r="I10928" i="1"/>
  <c r="F10928" i="1"/>
  <c r="I10927" i="1"/>
  <c r="F10927" i="1"/>
  <c r="I10926" i="1"/>
  <c r="F10926" i="1"/>
  <c r="I10925" i="1"/>
  <c r="F10925" i="1"/>
  <c r="I10924" i="1"/>
  <c r="F10924" i="1"/>
  <c r="I10923" i="1"/>
  <c r="F10923" i="1"/>
  <c r="I10922" i="1"/>
  <c r="F10922" i="1"/>
  <c r="I10921" i="1"/>
  <c r="F10921" i="1"/>
  <c r="I10920" i="1"/>
  <c r="F10920" i="1"/>
  <c r="I10919" i="1"/>
  <c r="F10919" i="1"/>
  <c r="I10918" i="1"/>
  <c r="F10918" i="1"/>
  <c r="I10917" i="1"/>
  <c r="F10917" i="1"/>
  <c r="I10916" i="1"/>
  <c r="F10916" i="1"/>
  <c r="I10915" i="1"/>
  <c r="F10915" i="1"/>
  <c r="I10914" i="1"/>
  <c r="F10914" i="1"/>
  <c r="I10913" i="1"/>
  <c r="F10913" i="1"/>
  <c r="I10912" i="1"/>
  <c r="F10912" i="1"/>
  <c r="I10911" i="1"/>
  <c r="F10911" i="1"/>
  <c r="I10910" i="1"/>
  <c r="F10910" i="1"/>
  <c r="I10909" i="1"/>
  <c r="F10909" i="1"/>
  <c r="I10908" i="1"/>
  <c r="F10908" i="1"/>
  <c r="I10907" i="1"/>
  <c r="F10907" i="1"/>
  <c r="I10906" i="1"/>
  <c r="F10906" i="1"/>
  <c r="I10905" i="1"/>
  <c r="F10905" i="1"/>
  <c r="I10904" i="1"/>
  <c r="F10904" i="1"/>
  <c r="I10903" i="1"/>
  <c r="F10903" i="1"/>
  <c r="I10902" i="1"/>
  <c r="F10902" i="1"/>
  <c r="I10901" i="1"/>
  <c r="F10901" i="1"/>
  <c r="I10900" i="1"/>
  <c r="F10900" i="1"/>
  <c r="I10899" i="1"/>
  <c r="F10899" i="1"/>
  <c r="I10898" i="1"/>
  <c r="F10898" i="1"/>
  <c r="I10897" i="1"/>
  <c r="F10897" i="1"/>
  <c r="I10896" i="1"/>
  <c r="F10896" i="1"/>
  <c r="I10895" i="1"/>
  <c r="F10895" i="1"/>
  <c r="I10894" i="1"/>
  <c r="F10894" i="1"/>
  <c r="I10893" i="1"/>
  <c r="F10893" i="1"/>
  <c r="I10892" i="1"/>
  <c r="F10892" i="1"/>
  <c r="I10891" i="1"/>
  <c r="F10891" i="1"/>
  <c r="I10890" i="1"/>
  <c r="F10890" i="1"/>
  <c r="I10889" i="1"/>
  <c r="F10889" i="1"/>
  <c r="I10888" i="1"/>
  <c r="F10888" i="1"/>
  <c r="I10887" i="1"/>
  <c r="F10887" i="1"/>
  <c r="I10886" i="1"/>
  <c r="F10886" i="1"/>
  <c r="I10885" i="1"/>
  <c r="F10885" i="1"/>
  <c r="I10884" i="1"/>
  <c r="F10884" i="1"/>
  <c r="I10883" i="1"/>
  <c r="F10883" i="1"/>
  <c r="I10882" i="1"/>
  <c r="F10882" i="1"/>
  <c r="I10881" i="1"/>
  <c r="F10881" i="1"/>
  <c r="I10880" i="1"/>
  <c r="F10880" i="1"/>
  <c r="I10879" i="1"/>
  <c r="F10879" i="1"/>
  <c r="I10878" i="1"/>
  <c r="F10878" i="1"/>
  <c r="I10877" i="1"/>
  <c r="F10877" i="1"/>
  <c r="I10876" i="1"/>
  <c r="F10876" i="1"/>
  <c r="I10875" i="1"/>
  <c r="F10875" i="1"/>
  <c r="I10874" i="1"/>
  <c r="F10874" i="1"/>
  <c r="I10873" i="1"/>
  <c r="F10873" i="1"/>
  <c r="I10872" i="1"/>
  <c r="F10872" i="1"/>
  <c r="I10871" i="1"/>
  <c r="F10871" i="1"/>
  <c r="I10870" i="1"/>
  <c r="F10870" i="1"/>
  <c r="I10869" i="1"/>
  <c r="F10869" i="1"/>
  <c r="I10868" i="1"/>
  <c r="F10868" i="1"/>
  <c r="I10867" i="1"/>
  <c r="F10867" i="1"/>
  <c r="I10866" i="1"/>
  <c r="F10866" i="1"/>
  <c r="I10865" i="1"/>
  <c r="F10865" i="1"/>
  <c r="I10864" i="1"/>
  <c r="F10864" i="1"/>
  <c r="I10863" i="1"/>
  <c r="F10863" i="1"/>
  <c r="I10862" i="1"/>
  <c r="F10862" i="1"/>
  <c r="I10861" i="1"/>
  <c r="F10861" i="1"/>
  <c r="I10860" i="1"/>
  <c r="F10860" i="1"/>
  <c r="I10859" i="1"/>
  <c r="F10859" i="1"/>
  <c r="I10858" i="1"/>
  <c r="F10858" i="1"/>
  <c r="I10857" i="1"/>
  <c r="F10857" i="1"/>
  <c r="I10856" i="1"/>
  <c r="F10856" i="1"/>
  <c r="I10855" i="1"/>
  <c r="F10855" i="1"/>
  <c r="I10854" i="1"/>
  <c r="F10854" i="1"/>
  <c r="I10853" i="1"/>
  <c r="F10853" i="1"/>
  <c r="I10852" i="1"/>
  <c r="F10852" i="1"/>
  <c r="I10851" i="1"/>
  <c r="F10851" i="1"/>
  <c r="I10850" i="1"/>
  <c r="F10850" i="1"/>
  <c r="I10849" i="1"/>
  <c r="F10849" i="1"/>
  <c r="I10848" i="1"/>
  <c r="F10848" i="1"/>
  <c r="I10847" i="1"/>
  <c r="F10847" i="1"/>
  <c r="I10846" i="1"/>
  <c r="F10846" i="1"/>
  <c r="I10845" i="1"/>
  <c r="F10845" i="1"/>
  <c r="I10844" i="1"/>
  <c r="F10844" i="1"/>
  <c r="I10843" i="1"/>
  <c r="F10843" i="1"/>
  <c r="I10842" i="1"/>
  <c r="F10842" i="1"/>
  <c r="I10841" i="1"/>
  <c r="F10841" i="1"/>
  <c r="I10840" i="1"/>
  <c r="F10840" i="1"/>
  <c r="I10839" i="1"/>
  <c r="F10839" i="1"/>
  <c r="I10838" i="1"/>
  <c r="F10838" i="1"/>
  <c r="I10837" i="1"/>
  <c r="F10837" i="1"/>
  <c r="I10836" i="1"/>
  <c r="F10836" i="1"/>
  <c r="I10835" i="1"/>
  <c r="F10835" i="1"/>
  <c r="I10834" i="1"/>
  <c r="F10834" i="1"/>
  <c r="I10833" i="1"/>
  <c r="F10833" i="1"/>
  <c r="I10832" i="1"/>
  <c r="F10832" i="1"/>
  <c r="I10831" i="1"/>
  <c r="F10831" i="1"/>
  <c r="I10830" i="1"/>
  <c r="F10830" i="1"/>
  <c r="I10829" i="1"/>
  <c r="F10829" i="1"/>
  <c r="I10828" i="1"/>
  <c r="F10828" i="1"/>
  <c r="I10827" i="1"/>
  <c r="F10827" i="1"/>
  <c r="I10826" i="1"/>
  <c r="F10826" i="1"/>
  <c r="I10825" i="1"/>
  <c r="F10825" i="1"/>
  <c r="I10824" i="1"/>
  <c r="F10824" i="1"/>
  <c r="I10823" i="1"/>
  <c r="F10823" i="1"/>
  <c r="I10822" i="1"/>
  <c r="F10822" i="1"/>
  <c r="I10821" i="1"/>
  <c r="F10821" i="1"/>
  <c r="I10820" i="1"/>
  <c r="F10820" i="1"/>
  <c r="I10819" i="1"/>
  <c r="F10819" i="1"/>
  <c r="I10818" i="1"/>
  <c r="F10818" i="1"/>
  <c r="I10817" i="1"/>
  <c r="F10817" i="1"/>
  <c r="I10816" i="1"/>
  <c r="F10816" i="1"/>
  <c r="I10815" i="1"/>
  <c r="F10815" i="1"/>
  <c r="I10814" i="1"/>
  <c r="F10814" i="1"/>
  <c r="I10813" i="1"/>
  <c r="F10813" i="1"/>
  <c r="I10812" i="1"/>
  <c r="F10812" i="1"/>
  <c r="I10811" i="1"/>
  <c r="F10811" i="1"/>
  <c r="I10810" i="1"/>
  <c r="F10810" i="1"/>
  <c r="I10809" i="1"/>
  <c r="F10809" i="1"/>
  <c r="I10808" i="1"/>
  <c r="F10808" i="1"/>
  <c r="I10807" i="1"/>
  <c r="F10807" i="1"/>
  <c r="I10806" i="1"/>
  <c r="F10806" i="1"/>
  <c r="I10805" i="1"/>
  <c r="F10805" i="1"/>
  <c r="I10804" i="1"/>
  <c r="F10804" i="1"/>
  <c r="I10803" i="1"/>
  <c r="F10803" i="1"/>
  <c r="I10802" i="1"/>
  <c r="F10802" i="1"/>
  <c r="I10801" i="1"/>
  <c r="F10801" i="1"/>
  <c r="I10800" i="1"/>
  <c r="F10800" i="1"/>
  <c r="I10799" i="1"/>
  <c r="F10799" i="1"/>
  <c r="I10798" i="1"/>
  <c r="F10798" i="1"/>
  <c r="I10797" i="1"/>
  <c r="F10797" i="1"/>
  <c r="I10796" i="1"/>
  <c r="F10796" i="1"/>
  <c r="I10795" i="1"/>
  <c r="F10795" i="1"/>
  <c r="I10794" i="1"/>
  <c r="F10794" i="1"/>
  <c r="I10793" i="1"/>
  <c r="F10793" i="1"/>
  <c r="I10792" i="1"/>
  <c r="F10792" i="1"/>
  <c r="I10791" i="1"/>
  <c r="F10791" i="1"/>
  <c r="I10790" i="1"/>
  <c r="F10790" i="1"/>
  <c r="I10789" i="1"/>
  <c r="F10789" i="1"/>
  <c r="I10788" i="1"/>
  <c r="F10788" i="1"/>
  <c r="I10787" i="1"/>
  <c r="F10787" i="1"/>
  <c r="I10786" i="1"/>
  <c r="F10786" i="1"/>
  <c r="I10785" i="1"/>
  <c r="F10785" i="1"/>
  <c r="I10784" i="1"/>
  <c r="F10784" i="1"/>
  <c r="I10783" i="1"/>
  <c r="F10783" i="1"/>
  <c r="I10782" i="1"/>
  <c r="F10782" i="1"/>
  <c r="I10781" i="1"/>
  <c r="F10781" i="1"/>
  <c r="I10780" i="1"/>
  <c r="F10780" i="1"/>
  <c r="I10779" i="1"/>
  <c r="F10779" i="1"/>
  <c r="I10778" i="1"/>
  <c r="F10778" i="1"/>
  <c r="I10777" i="1"/>
  <c r="F10777" i="1"/>
  <c r="I10776" i="1"/>
  <c r="F10776" i="1"/>
  <c r="I10775" i="1"/>
  <c r="F10775" i="1"/>
  <c r="I10774" i="1"/>
  <c r="F10774" i="1"/>
  <c r="I10773" i="1"/>
  <c r="F10773" i="1"/>
  <c r="I10772" i="1"/>
  <c r="F10772" i="1"/>
  <c r="I10771" i="1"/>
  <c r="F10771" i="1"/>
  <c r="I10770" i="1"/>
  <c r="F10770" i="1"/>
  <c r="I10769" i="1"/>
  <c r="F10769" i="1"/>
  <c r="I10768" i="1"/>
  <c r="F10768" i="1"/>
  <c r="I10767" i="1"/>
  <c r="F10767" i="1"/>
  <c r="I10766" i="1"/>
  <c r="F10766" i="1"/>
  <c r="I10765" i="1"/>
  <c r="F10765" i="1"/>
  <c r="I10764" i="1"/>
  <c r="F10764" i="1"/>
  <c r="I10763" i="1"/>
  <c r="F10763" i="1"/>
  <c r="I10762" i="1"/>
  <c r="F10762" i="1"/>
  <c r="I10761" i="1"/>
  <c r="F10761" i="1"/>
  <c r="I10760" i="1"/>
  <c r="F10760" i="1"/>
  <c r="I10759" i="1"/>
  <c r="F10759" i="1"/>
  <c r="I10758" i="1"/>
  <c r="F10758" i="1"/>
  <c r="I10757" i="1"/>
  <c r="F10757" i="1"/>
  <c r="I10756" i="1"/>
  <c r="F10756" i="1"/>
  <c r="I10755" i="1"/>
  <c r="F10755" i="1"/>
  <c r="I10754" i="1"/>
  <c r="F10754" i="1"/>
  <c r="I10753" i="1"/>
  <c r="F10753" i="1"/>
  <c r="I10752" i="1"/>
  <c r="F10752" i="1"/>
  <c r="I10751" i="1"/>
  <c r="F10751" i="1"/>
  <c r="I10750" i="1"/>
  <c r="F10750" i="1"/>
  <c r="I10749" i="1"/>
  <c r="F10749" i="1"/>
  <c r="I10748" i="1"/>
  <c r="F10748" i="1"/>
  <c r="I10747" i="1"/>
  <c r="F10747" i="1"/>
  <c r="I10746" i="1"/>
  <c r="F10746" i="1"/>
  <c r="I10745" i="1"/>
  <c r="F10745" i="1"/>
  <c r="I10744" i="1"/>
  <c r="F10744" i="1"/>
  <c r="I10743" i="1"/>
  <c r="F10743" i="1"/>
  <c r="I10742" i="1"/>
  <c r="F10742" i="1"/>
  <c r="I10741" i="1"/>
  <c r="F10741" i="1"/>
  <c r="I10740" i="1"/>
  <c r="F10740" i="1"/>
  <c r="I10739" i="1"/>
  <c r="F10739" i="1"/>
  <c r="I10738" i="1"/>
  <c r="F10738" i="1"/>
  <c r="I10737" i="1"/>
  <c r="F10737" i="1"/>
  <c r="I10736" i="1"/>
  <c r="F10736" i="1"/>
  <c r="I10735" i="1"/>
  <c r="F10735" i="1"/>
  <c r="I10734" i="1"/>
  <c r="F10734" i="1"/>
  <c r="I10733" i="1"/>
  <c r="F10733" i="1"/>
  <c r="I10732" i="1"/>
  <c r="F10732" i="1"/>
  <c r="I10731" i="1"/>
  <c r="F10731" i="1"/>
  <c r="I10730" i="1"/>
  <c r="F10730" i="1"/>
  <c r="I10729" i="1"/>
  <c r="F10729" i="1"/>
  <c r="I10728" i="1"/>
  <c r="F10728" i="1"/>
  <c r="I10727" i="1"/>
  <c r="F10727" i="1"/>
  <c r="I10726" i="1"/>
  <c r="F10726" i="1"/>
  <c r="I10725" i="1"/>
  <c r="F10725" i="1"/>
  <c r="I10724" i="1"/>
  <c r="F10724" i="1"/>
  <c r="I10723" i="1"/>
  <c r="F10723" i="1"/>
  <c r="I10722" i="1"/>
  <c r="F10722" i="1"/>
  <c r="I10721" i="1"/>
  <c r="F10721" i="1"/>
  <c r="I10720" i="1"/>
  <c r="F10720" i="1"/>
  <c r="I10719" i="1"/>
  <c r="F10719" i="1"/>
  <c r="I10718" i="1"/>
  <c r="F10718" i="1"/>
  <c r="I10717" i="1"/>
  <c r="F10717" i="1"/>
  <c r="I10716" i="1"/>
  <c r="F10716" i="1"/>
  <c r="I10715" i="1"/>
  <c r="F10715" i="1"/>
  <c r="I10714" i="1"/>
  <c r="F10714" i="1"/>
  <c r="I10713" i="1"/>
  <c r="F10713" i="1"/>
  <c r="I10712" i="1"/>
  <c r="F10712" i="1"/>
  <c r="I10711" i="1"/>
  <c r="F10711" i="1"/>
  <c r="I10710" i="1"/>
  <c r="F10710" i="1"/>
  <c r="I10709" i="1"/>
  <c r="F10709" i="1"/>
  <c r="I10708" i="1"/>
  <c r="F10708" i="1"/>
  <c r="I10707" i="1"/>
  <c r="F10707" i="1"/>
  <c r="I10706" i="1"/>
  <c r="F10706" i="1"/>
  <c r="I10705" i="1"/>
  <c r="F10705" i="1"/>
  <c r="I10704" i="1"/>
  <c r="F10704" i="1"/>
  <c r="I10703" i="1"/>
  <c r="F10703" i="1"/>
  <c r="I10702" i="1"/>
  <c r="F10702" i="1"/>
  <c r="I10701" i="1"/>
  <c r="F10701" i="1"/>
  <c r="I10700" i="1"/>
  <c r="F10700" i="1"/>
  <c r="I10699" i="1"/>
  <c r="F10699" i="1"/>
  <c r="I10698" i="1"/>
  <c r="F10698" i="1"/>
  <c r="I10697" i="1"/>
  <c r="F10697" i="1"/>
  <c r="I10696" i="1"/>
  <c r="F10696" i="1"/>
  <c r="I10695" i="1"/>
  <c r="F10695" i="1"/>
  <c r="I10694" i="1"/>
  <c r="F10694" i="1"/>
  <c r="I10693" i="1"/>
  <c r="F10693" i="1"/>
  <c r="I10692" i="1"/>
  <c r="F10692" i="1"/>
  <c r="I10691" i="1"/>
  <c r="F10691" i="1"/>
  <c r="I10690" i="1"/>
  <c r="F10690" i="1"/>
  <c r="I10689" i="1"/>
  <c r="F10689" i="1"/>
  <c r="I10688" i="1"/>
  <c r="F10688" i="1"/>
  <c r="I10687" i="1"/>
  <c r="F10687" i="1"/>
  <c r="I10686" i="1"/>
  <c r="F10686" i="1"/>
  <c r="I10685" i="1"/>
  <c r="F10685" i="1"/>
  <c r="I10684" i="1"/>
  <c r="F10684" i="1"/>
  <c r="I10683" i="1"/>
  <c r="F10683" i="1"/>
  <c r="I10682" i="1"/>
  <c r="F10682" i="1"/>
  <c r="I10681" i="1"/>
  <c r="F10681" i="1"/>
  <c r="I10680" i="1"/>
  <c r="F10680" i="1"/>
  <c r="I10679" i="1"/>
  <c r="F10679" i="1"/>
  <c r="I10678" i="1"/>
  <c r="F10678" i="1"/>
  <c r="I10677" i="1"/>
  <c r="F10677" i="1"/>
  <c r="I10676" i="1"/>
  <c r="F10676" i="1"/>
  <c r="I10675" i="1"/>
  <c r="F10675" i="1"/>
  <c r="I10674" i="1"/>
  <c r="F10674" i="1"/>
  <c r="I10673" i="1"/>
  <c r="F10673" i="1"/>
  <c r="I10672" i="1"/>
  <c r="F10672" i="1"/>
  <c r="I10671" i="1"/>
  <c r="F10671" i="1"/>
  <c r="I10670" i="1"/>
  <c r="F10670" i="1"/>
  <c r="I10669" i="1"/>
  <c r="F10669" i="1"/>
  <c r="I10668" i="1"/>
  <c r="F10668" i="1"/>
  <c r="I10667" i="1"/>
  <c r="F10667" i="1"/>
  <c r="I10666" i="1"/>
  <c r="F10666" i="1"/>
  <c r="I10665" i="1"/>
  <c r="F10665" i="1"/>
  <c r="I10664" i="1"/>
  <c r="F10664" i="1"/>
  <c r="I10663" i="1"/>
  <c r="F10663" i="1"/>
  <c r="I10662" i="1"/>
  <c r="F10662" i="1"/>
  <c r="I10661" i="1"/>
  <c r="F10661" i="1"/>
  <c r="I10660" i="1"/>
  <c r="F10660" i="1"/>
  <c r="I10659" i="1"/>
  <c r="F10659" i="1"/>
  <c r="I10658" i="1"/>
  <c r="F10658" i="1"/>
  <c r="I10657" i="1"/>
  <c r="F10657" i="1"/>
  <c r="I10656" i="1"/>
  <c r="F10656" i="1"/>
  <c r="I10655" i="1"/>
  <c r="F10655" i="1"/>
  <c r="I10654" i="1"/>
  <c r="F10654" i="1"/>
  <c r="I10653" i="1"/>
  <c r="F10653" i="1"/>
  <c r="I10652" i="1"/>
  <c r="F10652" i="1"/>
  <c r="I10651" i="1"/>
  <c r="F10651" i="1"/>
  <c r="I10650" i="1"/>
  <c r="F10650" i="1"/>
  <c r="I10649" i="1"/>
  <c r="F10649" i="1"/>
  <c r="I10648" i="1"/>
  <c r="F10648" i="1"/>
  <c r="I10647" i="1"/>
  <c r="F10647" i="1"/>
  <c r="I10646" i="1"/>
  <c r="F10646" i="1"/>
  <c r="I10645" i="1"/>
  <c r="F10645" i="1"/>
  <c r="I10644" i="1"/>
  <c r="F10644" i="1"/>
  <c r="I10643" i="1"/>
  <c r="F10643" i="1"/>
  <c r="I10642" i="1"/>
  <c r="F10642" i="1"/>
  <c r="I10641" i="1"/>
  <c r="F10641" i="1"/>
  <c r="I10640" i="1"/>
  <c r="F10640" i="1"/>
  <c r="I10639" i="1"/>
  <c r="F10639" i="1"/>
  <c r="I10638" i="1"/>
  <c r="F10638" i="1"/>
  <c r="I10637" i="1"/>
  <c r="F10637" i="1"/>
  <c r="I10636" i="1"/>
  <c r="F10636" i="1"/>
  <c r="I10635" i="1"/>
  <c r="F10635" i="1"/>
  <c r="I10634" i="1"/>
  <c r="F10634" i="1"/>
  <c r="I10633" i="1"/>
  <c r="F10633" i="1"/>
  <c r="I10632" i="1"/>
  <c r="F10632" i="1"/>
  <c r="I10631" i="1"/>
  <c r="F10631" i="1"/>
  <c r="I10630" i="1"/>
  <c r="F10630" i="1"/>
  <c r="I10629" i="1"/>
  <c r="F10629" i="1"/>
  <c r="I10628" i="1"/>
  <c r="F10628" i="1"/>
  <c r="I10627" i="1"/>
  <c r="F10627" i="1"/>
  <c r="I10626" i="1"/>
  <c r="F10626" i="1"/>
  <c r="I10625" i="1"/>
  <c r="F10625" i="1"/>
  <c r="I10624" i="1"/>
  <c r="F10624" i="1"/>
  <c r="I10623" i="1"/>
  <c r="F10623" i="1"/>
  <c r="I10622" i="1"/>
  <c r="F10622" i="1"/>
  <c r="I10621" i="1"/>
  <c r="F10621" i="1"/>
  <c r="I10620" i="1"/>
  <c r="F10620" i="1"/>
  <c r="I10619" i="1"/>
  <c r="F10619" i="1"/>
  <c r="I10618" i="1"/>
  <c r="F10618" i="1"/>
  <c r="I10617" i="1"/>
  <c r="F10617" i="1"/>
  <c r="I10616" i="1"/>
  <c r="F10616" i="1"/>
  <c r="I10615" i="1"/>
  <c r="F10615" i="1"/>
  <c r="I10614" i="1"/>
  <c r="F10614" i="1"/>
  <c r="I10613" i="1"/>
  <c r="F10613" i="1"/>
  <c r="I10612" i="1"/>
  <c r="F10612" i="1"/>
  <c r="I10611" i="1"/>
  <c r="F10611" i="1"/>
  <c r="I10610" i="1"/>
  <c r="F10610" i="1"/>
  <c r="I10609" i="1"/>
  <c r="F10609" i="1"/>
  <c r="I10608" i="1"/>
  <c r="F10608" i="1"/>
  <c r="I10607" i="1"/>
  <c r="F10607" i="1"/>
  <c r="I10606" i="1"/>
  <c r="F10606" i="1"/>
  <c r="I10605" i="1"/>
  <c r="F10605" i="1"/>
  <c r="I10604" i="1"/>
  <c r="F10604" i="1"/>
  <c r="I10603" i="1"/>
  <c r="F10603" i="1"/>
  <c r="I10602" i="1"/>
  <c r="F10602" i="1"/>
  <c r="I10601" i="1"/>
  <c r="F10601" i="1"/>
  <c r="I10600" i="1"/>
  <c r="F10600" i="1"/>
  <c r="I10599" i="1"/>
  <c r="F10599" i="1"/>
  <c r="I10598" i="1"/>
  <c r="F10598" i="1"/>
  <c r="I10597" i="1"/>
  <c r="F10597" i="1"/>
  <c r="I10596" i="1"/>
  <c r="F10596" i="1"/>
  <c r="I10595" i="1"/>
  <c r="F10595" i="1"/>
  <c r="I10594" i="1"/>
  <c r="F10594" i="1"/>
  <c r="I10593" i="1"/>
  <c r="F10593" i="1"/>
  <c r="I10592" i="1"/>
  <c r="F10592" i="1"/>
  <c r="I10591" i="1"/>
  <c r="F10591" i="1"/>
  <c r="I10590" i="1"/>
  <c r="F10590" i="1"/>
  <c r="I10589" i="1"/>
  <c r="F10589" i="1"/>
  <c r="I10588" i="1"/>
  <c r="F10588" i="1"/>
  <c r="I10587" i="1"/>
  <c r="F10587" i="1"/>
  <c r="I10586" i="1"/>
  <c r="F10586" i="1"/>
  <c r="I10585" i="1"/>
  <c r="F10585" i="1"/>
  <c r="I10584" i="1"/>
  <c r="F10584" i="1"/>
  <c r="I10583" i="1"/>
  <c r="F10583" i="1"/>
  <c r="I10582" i="1"/>
  <c r="F10582" i="1"/>
  <c r="I10581" i="1"/>
  <c r="F10581" i="1"/>
  <c r="I10580" i="1"/>
  <c r="F10580" i="1"/>
  <c r="I10579" i="1"/>
  <c r="F10579" i="1"/>
  <c r="I10578" i="1"/>
  <c r="F10578" i="1"/>
  <c r="I10577" i="1"/>
  <c r="F10577" i="1"/>
  <c r="I10576" i="1"/>
  <c r="F10576" i="1"/>
  <c r="I10575" i="1"/>
  <c r="F10575" i="1"/>
  <c r="I10574" i="1"/>
  <c r="F10574" i="1"/>
  <c r="I10573" i="1"/>
  <c r="F10573" i="1"/>
  <c r="I10572" i="1"/>
  <c r="F10572" i="1"/>
  <c r="I10571" i="1"/>
  <c r="F10571" i="1"/>
  <c r="I10570" i="1"/>
  <c r="F10570" i="1"/>
  <c r="I10569" i="1"/>
  <c r="F10569" i="1"/>
  <c r="I10568" i="1"/>
  <c r="F10568" i="1"/>
  <c r="I10567" i="1"/>
  <c r="F10567" i="1"/>
  <c r="I10566" i="1"/>
  <c r="F10566" i="1"/>
  <c r="I10565" i="1"/>
  <c r="F10565" i="1"/>
  <c r="I10564" i="1"/>
  <c r="F10564" i="1"/>
  <c r="I10563" i="1"/>
  <c r="F10563" i="1"/>
  <c r="I10562" i="1"/>
  <c r="F10562" i="1"/>
  <c r="I10561" i="1"/>
  <c r="F10561" i="1"/>
  <c r="I10560" i="1"/>
  <c r="F10560" i="1"/>
  <c r="I10559" i="1"/>
  <c r="F10559" i="1"/>
  <c r="I10558" i="1"/>
  <c r="F10558" i="1"/>
  <c r="I10557" i="1"/>
  <c r="F10557" i="1"/>
  <c r="I10556" i="1"/>
  <c r="F10556" i="1"/>
  <c r="I10555" i="1"/>
  <c r="F10555" i="1"/>
  <c r="I10554" i="1"/>
  <c r="F10554" i="1"/>
  <c r="I10553" i="1"/>
  <c r="F10553" i="1"/>
  <c r="I10552" i="1"/>
  <c r="F10552" i="1"/>
  <c r="I10551" i="1"/>
  <c r="F10551" i="1"/>
  <c r="I10550" i="1"/>
  <c r="F10550" i="1"/>
  <c r="I10549" i="1"/>
  <c r="F10549" i="1"/>
  <c r="I10548" i="1"/>
  <c r="F10548" i="1"/>
  <c r="I10547" i="1"/>
  <c r="F10547" i="1"/>
  <c r="I10546" i="1"/>
  <c r="F10546" i="1"/>
  <c r="I10545" i="1"/>
  <c r="F10545" i="1"/>
  <c r="I10544" i="1"/>
  <c r="F10544" i="1"/>
  <c r="I10543" i="1"/>
  <c r="F10543" i="1"/>
  <c r="I10542" i="1"/>
  <c r="F10542" i="1"/>
  <c r="I10541" i="1"/>
  <c r="F10541" i="1"/>
  <c r="I10540" i="1"/>
  <c r="F10540" i="1"/>
  <c r="I10539" i="1"/>
  <c r="F10539" i="1"/>
  <c r="I10538" i="1"/>
  <c r="F10538" i="1"/>
  <c r="I10537" i="1"/>
  <c r="F10537" i="1"/>
  <c r="I10536" i="1"/>
  <c r="F10536" i="1"/>
  <c r="I10535" i="1"/>
  <c r="F10535" i="1"/>
  <c r="I10534" i="1"/>
  <c r="F10534" i="1"/>
  <c r="I10533" i="1"/>
  <c r="F10533" i="1"/>
  <c r="I10532" i="1"/>
  <c r="F10532" i="1"/>
  <c r="I10531" i="1"/>
  <c r="F10531" i="1"/>
  <c r="I10530" i="1"/>
  <c r="F10530" i="1"/>
  <c r="I10529" i="1"/>
  <c r="F10529" i="1"/>
  <c r="I10528" i="1"/>
  <c r="F10528" i="1"/>
  <c r="I10527" i="1"/>
  <c r="F10527" i="1"/>
  <c r="I10526" i="1"/>
  <c r="F10526" i="1"/>
  <c r="I10525" i="1"/>
  <c r="F10525" i="1"/>
  <c r="I10524" i="1"/>
  <c r="F10524" i="1"/>
  <c r="I10523" i="1"/>
  <c r="F10523" i="1"/>
  <c r="I10522" i="1"/>
  <c r="F10522" i="1"/>
  <c r="I10521" i="1"/>
  <c r="F10521" i="1"/>
  <c r="I10520" i="1"/>
  <c r="F10520" i="1"/>
  <c r="I10519" i="1"/>
  <c r="F10519" i="1"/>
  <c r="I10518" i="1"/>
  <c r="F10518" i="1"/>
  <c r="I10517" i="1"/>
  <c r="F10517" i="1"/>
  <c r="I10516" i="1"/>
  <c r="F10516" i="1"/>
  <c r="I10515" i="1"/>
  <c r="F10515" i="1"/>
  <c r="I10514" i="1"/>
  <c r="F10514" i="1"/>
  <c r="I10513" i="1"/>
  <c r="F10513" i="1"/>
  <c r="I10512" i="1"/>
  <c r="F10512" i="1"/>
  <c r="I10511" i="1"/>
  <c r="F10511" i="1"/>
  <c r="I10510" i="1"/>
  <c r="F10510" i="1"/>
  <c r="I10509" i="1"/>
  <c r="F10509" i="1"/>
  <c r="I10508" i="1"/>
  <c r="F10508" i="1"/>
  <c r="I10507" i="1"/>
  <c r="F10507" i="1"/>
  <c r="I10506" i="1"/>
  <c r="F10506" i="1"/>
  <c r="I10505" i="1"/>
  <c r="F10505" i="1"/>
  <c r="I10504" i="1"/>
  <c r="F10504" i="1"/>
  <c r="I10503" i="1"/>
  <c r="F10503" i="1"/>
  <c r="I10502" i="1"/>
  <c r="F10502" i="1"/>
  <c r="I10501" i="1"/>
  <c r="F10501" i="1"/>
  <c r="I10500" i="1"/>
  <c r="F10500" i="1"/>
  <c r="I10499" i="1"/>
  <c r="F10499" i="1"/>
  <c r="I10498" i="1"/>
  <c r="F10498" i="1"/>
  <c r="I10497" i="1"/>
  <c r="F10497" i="1"/>
  <c r="I10496" i="1"/>
  <c r="F10496" i="1"/>
  <c r="I10495" i="1"/>
  <c r="F10495" i="1"/>
  <c r="I10494" i="1"/>
  <c r="F10494" i="1"/>
  <c r="I10493" i="1"/>
  <c r="F10493" i="1"/>
  <c r="I10492" i="1"/>
  <c r="F10492" i="1"/>
  <c r="I10491" i="1"/>
  <c r="F10491" i="1"/>
  <c r="I10490" i="1"/>
  <c r="F10490" i="1"/>
  <c r="I10489" i="1"/>
  <c r="F10489" i="1"/>
  <c r="I10488" i="1"/>
  <c r="F10488" i="1"/>
  <c r="I10487" i="1"/>
  <c r="F10487" i="1"/>
  <c r="I10486" i="1"/>
  <c r="F10486" i="1"/>
  <c r="I10485" i="1"/>
  <c r="F10485" i="1"/>
  <c r="I10484" i="1"/>
  <c r="F10484" i="1"/>
  <c r="I10483" i="1"/>
  <c r="F10483" i="1"/>
  <c r="I10482" i="1"/>
  <c r="F10482" i="1"/>
  <c r="I10481" i="1"/>
  <c r="F10481" i="1"/>
  <c r="I10480" i="1"/>
  <c r="F10480" i="1"/>
  <c r="I10479" i="1"/>
  <c r="F10479" i="1"/>
  <c r="I10478" i="1"/>
  <c r="F10478" i="1"/>
  <c r="I10477" i="1"/>
  <c r="F10477" i="1"/>
  <c r="I10476" i="1"/>
  <c r="F10476" i="1"/>
  <c r="I10475" i="1"/>
  <c r="F10475" i="1"/>
  <c r="I10474" i="1"/>
  <c r="F10474" i="1"/>
  <c r="I10473" i="1"/>
  <c r="F10473" i="1"/>
  <c r="I10472" i="1"/>
  <c r="F10472" i="1"/>
  <c r="I10471" i="1"/>
  <c r="F10471" i="1"/>
  <c r="I10470" i="1"/>
  <c r="F10470" i="1"/>
  <c r="I10469" i="1"/>
  <c r="F10469" i="1"/>
  <c r="I10468" i="1"/>
  <c r="F10468" i="1"/>
  <c r="I10467" i="1"/>
  <c r="F10467" i="1"/>
  <c r="I10466" i="1"/>
  <c r="F10466" i="1"/>
  <c r="I10465" i="1"/>
  <c r="F10465" i="1"/>
  <c r="I10464" i="1"/>
  <c r="F10464" i="1"/>
  <c r="I10463" i="1"/>
  <c r="F10463" i="1"/>
  <c r="I10462" i="1"/>
  <c r="F10462" i="1"/>
  <c r="I10461" i="1"/>
  <c r="F10461" i="1"/>
  <c r="I10460" i="1"/>
  <c r="F10460" i="1"/>
  <c r="I10459" i="1"/>
  <c r="F10459" i="1"/>
  <c r="I10458" i="1"/>
  <c r="F10458" i="1"/>
  <c r="I10457" i="1"/>
  <c r="F10457" i="1"/>
  <c r="I10456" i="1"/>
  <c r="F10456" i="1"/>
  <c r="I10455" i="1"/>
  <c r="F10455" i="1"/>
  <c r="I10454" i="1"/>
  <c r="F10454" i="1"/>
  <c r="I10453" i="1"/>
  <c r="F10453" i="1"/>
  <c r="I10452" i="1"/>
  <c r="F10452" i="1"/>
  <c r="I10451" i="1"/>
  <c r="F10451" i="1"/>
  <c r="I10450" i="1"/>
  <c r="F10450" i="1"/>
  <c r="I10449" i="1"/>
  <c r="F10449" i="1"/>
  <c r="I10448" i="1"/>
  <c r="F10448" i="1"/>
  <c r="I10447" i="1"/>
  <c r="F10447" i="1"/>
  <c r="I10446" i="1"/>
  <c r="F10446" i="1"/>
  <c r="I10445" i="1"/>
  <c r="F10445" i="1"/>
  <c r="I10444" i="1"/>
  <c r="F10444" i="1"/>
  <c r="I10443" i="1"/>
  <c r="F10443" i="1"/>
  <c r="I10442" i="1"/>
  <c r="F10442" i="1"/>
  <c r="I10441" i="1"/>
  <c r="F10441" i="1"/>
  <c r="I10440" i="1"/>
  <c r="F10440" i="1"/>
  <c r="I10439" i="1"/>
  <c r="F10439" i="1"/>
  <c r="I10438" i="1"/>
  <c r="F10438" i="1"/>
  <c r="I10437" i="1"/>
  <c r="F10437" i="1"/>
  <c r="I10436" i="1"/>
  <c r="F10436" i="1"/>
  <c r="I10435" i="1"/>
  <c r="F10435" i="1"/>
  <c r="I10434" i="1"/>
  <c r="F10434" i="1"/>
  <c r="I10433" i="1"/>
  <c r="F10433" i="1"/>
  <c r="I10432" i="1"/>
  <c r="F10432" i="1"/>
  <c r="I10431" i="1"/>
  <c r="F10431" i="1"/>
  <c r="I10430" i="1"/>
  <c r="F10430" i="1"/>
  <c r="I10429" i="1"/>
  <c r="F10429" i="1"/>
  <c r="I10428" i="1"/>
  <c r="F10428" i="1"/>
  <c r="I10427" i="1"/>
  <c r="F10427" i="1"/>
  <c r="I10426" i="1"/>
  <c r="F10426" i="1"/>
  <c r="I10425" i="1"/>
  <c r="F10425" i="1"/>
  <c r="I10424" i="1"/>
  <c r="F10424" i="1"/>
  <c r="I10423" i="1"/>
  <c r="F10423" i="1"/>
  <c r="I10422" i="1"/>
  <c r="F10422" i="1"/>
  <c r="I10421" i="1"/>
  <c r="F10421" i="1"/>
  <c r="I10420" i="1"/>
  <c r="F10420" i="1"/>
  <c r="I10419" i="1"/>
  <c r="F10419" i="1"/>
  <c r="I10418" i="1"/>
  <c r="F10418" i="1"/>
  <c r="I10417" i="1"/>
  <c r="F10417" i="1"/>
  <c r="I10416" i="1"/>
  <c r="F10416" i="1"/>
  <c r="I10415" i="1"/>
  <c r="F10415" i="1"/>
  <c r="I10414" i="1"/>
  <c r="F10414" i="1"/>
  <c r="I10413" i="1"/>
  <c r="F10413" i="1"/>
  <c r="I10412" i="1"/>
  <c r="F10412" i="1"/>
  <c r="I10411" i="1"/>
  <c r="F10411" i="1"/>
  <c r="I10410" i="1"/>
  <c r="F10410" i="1"/>
  <c r="I10409" i="1"/>
  <c r="F10409" i="1"/>
  <c r="I10408" i="1"/>
  <c r="F10408" i="1"/>
  <c r="I10407" i="1"/>
  <c r="F10407" i="1"/>
  <c r="I10406" i="1"/>
  <c r="F10406" i="1"/>
  <c r="I10405" i="1"/>
  <c r="F10405" i="1"/>
  <c r="I10404" i="1"/>
  <c r="F10404" i="1"/>
  <c r="I10403" i="1"/>
  <c r="F10403" i="1"/>
  <c r="I10402" i="1"/>
  <c r="F10402" i="1"/>
  <c r="I10401" i="1"/>
  <c r="F10401" i="1"/>
  <c r="I10400" i="1"/>
  <c r="F10400" i="1"/>
  <c r="I10399" i="1"/>
  <c r="F10399" i="1"/>
  <c r="I10398" i="1"/>
  <c r="F10398" i="1"/>
  <c r="I10397" i="1"/>
  <c r="F10397" i="1"/>
  <c r="I10396" i="1"/>
  <c r="F10396" i="1"/>
  <c r="I10395" i="1"/>
  <c r="F10395" i="1"/>
  <c r="I10394" i="1"/>
  <c r="F10394" i="1"/>
  <c r="I10393" i="1"/>
  <c r="F10393" i="1"/>
  <c r="I10392" i="1"/>
  <c r="F10392" i="1"/>
  <c r="I10391" i="1"/>
  <c r="F10391" i="1"/>
  <c r="I10390" i="1"/>
  <c r="F10390" i="1"/>
  <c r="I10389" i="1"/>
  <c r="F10389" i="1"/>
  <c r="I10388" i="1"/>
  <c r="F10388" i="1"/>
  <c r="I10387" i="1"/>
  <c r="F10387" i="1"/>
  <c r="I10386" i="1"/>
  <c r="F10386" i="1"/>
  <c r="I10385" i="1"/>
  <c r="F10385" i="1"/>
  <c r="I10384" i="1"/>
  <c r="F10384" i="1"/>
  <c r="I10383" i="1"/>
  <c r="F10383" i="1"/>
  <c r="I10382" i="1"/>
  <c r="F10382" i="1"/>
  <c r="I10381" i="1"/>
  <c r="F10381" i="1"/>
  <c r="I10380" i="1"/>
  <c r="F10380" i="1"/>
  <c r="I10379" i="1"/>
  <c r="F10379" i="1"/>
  <c r="I10378" i="1"/>
  <c r="F10378" i="1"/>
  <c r="I10377" i="1"/>
  <c r="F10377" i="1"/>
  <c r="I10376" i="1"/>
  <c r="F10376" i="1"/>
  <c r="I10375" i="1"/>
  <c r="F10375" i="1"/>
  <c r="I10374" i="1"/>
  <c r="F10374" i="1"/>
  <c r="I10373" i="1"/>
  <c r="F10373" i="1"/>
  <c r="I10372" i="1"/>
  <c r="F10372" i="1"/>
  <c r="I10371" i="1"/>
  <c r="F10371" i="1"/>
  <c r="I10370" i="1"/>
  <c r="F10370" i="1"/>
  <c r="I10369" i="1"/>
  <c r="F10369" i="1"/>
  <c r="I10368" i="1"/>
  <c r="F10368" i="1"/>
  <c r="I10367" i="1"/>
  <c r="F10367" i="1"/>
  <c r="I10366" i="1"/>
  <c r="F10366" i="1"/>
  <c r="I10365" i="1"/>
  <c r="F10365" i="1"/>
  <c r="I10364" i="1"/>
  <c r="F10364" i="1"/>
  <c r="I10363" i="1"/>
  <c r="F10363" i="1"/>
  <c r="I10362" i="1"/>
  <c r="F10362" i="1"/>
  <c r="I10361" i="1"/>
  <c r="F10361" i="1"/>
  <c r="I10360" i="1"/>
  <c r="F10360" i="1"/>
  <c r="I10359" i="1"/>
  <c r="F10359" i="1"/>
  <c r="I10358" i="1"/>
  <c r="F10358" i="1"/>
  <c r="I10357" i="1"/>
  <c r="F10357" i="1"/>
  <c r="I10356" i="1"/>
  <c r="F10356" i="1"/>
  <c r="I10355" i="1"/>
  <c r="F10355" i="1"/>
  <c r="I10354" i="1"/>
  <c r="F10354" i="1"/>
  <c r="I10353" i="1"/>
  <c r="F10353" i="1"/>
  <c r="I10352" i="1"/>
  <c r="F10352" i="1"/>
  <c r="I10351" i="1"/>
  <c r="F10351" i="1"/>
  <c r="I10350" i="1"/>
  <c r="F10350" i="1"/>
  <c r="I10349" i="1"/>
  <c r="F10349" i="1"/>
  <c r="I10348" i="1"/>
  <c r="F10348" i="1"/>
  <c r="I10347" i="1"/>
  <c r="F10347" i="1"/>
  <c r="I10346" i="1"/>
  <c r="F10346" i="1"/>
  <c r="I10345" i="1"/>
  <c r="F10345" i="1"/>
  <c r="I10344" i="1"/>
  <c r="F10344" i="1"/>
  <c r="I10343" i="1"/>
  <c r="F10343" i="1"/>
  <c r="I10342" i="1"/>
  <c r="F10342" i="1"/>
  <c r="I10341" i="1"/>
  <c r="F10341" i="1"/>
  <c r="I10340" i="1"/>
  <c r="F10340" i="1"/>
  <c r="I10339" i="1"/>
  <c r="F10339" i="1"/>
  <c r="I10338" i="1"/>
  <c r="F10338" i="1"/>
  <c r="I10337" i="1"/>
  <c r="F10337" i="1"/>
  <c r="I10336" i="1"/>
  <c r="F10336" i="1"/>
  <c r="I10335" i="1"/>
  <c r="F10335" i="1"/>
  <c r="I10334" i="1"/>
  <c r="F10334" i="1"/>
  <c r="I10333" i="1"/>
  <c r="F10333" i="1"/>
  <c r="I10332" i="1"/>
  <c r="F10332" i="1"/>
  <c r="I10331" i="1"/>
  <c r="F10331" i="1"/>
  <c r="I10330" i="1"/>
  <c r="F10330" i="1"/>
  <c r="I10329" i="1"/>
  <c r="F10329" i="1"/>
  <c r="I10328" i="1"/>
  <c r="F10328" i="1"/>
  <c r="I10327" i="1"/>
  <c r="F10327" i="1"/>
  <c r="I10326" i="1"/>
  <c r="F10326" i="1"/>
  <c r="I10325" i="1"/>
  <c r="F10325" i="1"/>
  <c r="I10324" i="1"/>
  <c r="F10324" i="1"/>
  <c r="I10323" i="1"/>
  <c r="F10323" i="1"/>
  <c r="I10322" i="1"/>
  <c r="F10322" i="1"/>
  <c r="I10321" i="1"/>
  <c r="F10321" i="1"/>
  <c r="I10320" i="1"/>
  <c r="F10320" i="1"/>
  <c r="I10319" i="1"/>
  <c r="F10319" i="1"/>
  <c r="I10318" i="1"/>
  <c r="F10318" i="1"/>
  <c r="I10317" i="1"/>
  <c r="F10317" i="1"/>
  <c r="I10316" i="1"/>
  <c r="F10316" i="1"/>
  <c r="I10315" i="1"/>
  <c r="F10315" i="1"/>
  <c r="I10314" i="1"/>
  <c r="F10314" i="1"/>
  <c r="I10313" i="1"/>
  <c r="F10313" i="1"/>
  <c r="I10312" i="1"/>
  <c r="F10312" i="1"/>
  <c r="I10311" i="1"/>
  <c r="F10311" i="1"/>
  <c r="I10310" i="1"/>
  <c r="F10310" i="1"/>
  <c r="I10309" i="1"/>
  <c r="F10309" i="1"/>
  <c r="I10308" i="1"/>
  <c r="F10308" i="1"/>
  <c r="I10307" i="1"/>
  <c r="F10307" i="1"/>
  <c r="I10306" i="1"/>
  <c r="F10306" i="1"/>
  <c r="I10305" i="1"/>
  <c r="F10305" i="1"/>
  <c r="I10304" i="1"/>
  <c r="F10304" i="1"/>
  <c r="I10303" i="1"/>
  <c r="F10303" i="1"/>
  <c r="I10302" i="1"/>
  <c r="F10302" i="1"/>
  <c r="I10301" i="1"/>
  <c r="F10301" i="1"/>
  <c r="I10300" i="1"/>
  <c r="F10300" i="1"/>
  <c r="I10299" i="1"/>
  <c r="F10299" i="1"/>
  <c r="I10298" i="1"/>
  <c r="F10298" i="1"/>
  <c r="I10297" i="1"/>
  <c r="F10297" i="1"/>
  <c r="I10296" i="1"/>
  <c r="F10296" i="1"/>
  <c r="I10295" i="1"/>
  <c r="F10295" i="1"/>
  <c r="I10294" i="1"/>
  <c r="F10294" i="1"/>
  <c r="I10293" i="1"/>
  <c r="F10293" i="1"/>
  <c r="I10292" i="1"/>
  <c r="F10292" i="1"/>
  <c r="I10291" i="1"/>
  <c r="F10291" i="1"/>
  <c r="I10290" i="1"/>
  <c r="F10290" i="1"/>
  <c r="I10289" i="1"/>
  <c r="F10289" i="1"/>
  <c r="I10288" i="1"/>
  <c r="F10288" i="1"/>
  <c r="I10287" i="1"/>
  <c r="F10287" i="1"/>
  <c r="I10286" i="1"/>
  <c r="F10286" i="1"/>
  <c r="I10285" i="1"/>
  <c r="F10285" i="1"/>
  <c r="I10284" i="1"/>
  <c r="F10284" i="1"/>
  <c r="I10283" i="1"/>
  <c r="F10283" i="1"/>
  <c r="I10282" i="1"/>
  <c r="F10282" i="1"/>
  <c r="I10281" i="1"/>
  <c r="F10281" i="1"/>
  <c r="I10280" i="1"/>
  <c r="F10280" i="1"/>
  <c r="I10279" i="1"/>
  <c r="F10279" i="1"/>
  <c r="I10278" i="1"/>
  <c r="F10278" i="1"/>
  <c r="I10277" i="1"/>
  <c r="F10277" i="1"/>
  <c r="I10276" i="1"/>
  <c r="F10276" i="1"/>
  <c r="I10275" i="1"/>
  <c r="F10275" i="1"/>
  <c r="I10274" i="1"/>
  <c r="F10274" i="1"/>
  <c r="I10273" i="1"/>
  <c r="F10273" i="1"/>
  <c r="I10272" i="1"/>
  <c r="F10272" i="1"/>
  <c r="I10271" i="1"/>
  <c r="F10271" i="1"/>
  <c r="I10270" i="1"/>
  <c r="F10270" i="1"/>
  <c r="I10269" i="1"/>
  <c r="F10269" i="1"/>
  <c r="I10268" i="1"/>
  <c r="F10268" i="1"/>
  <c r="I10267" i="1"/>
  <c r="F10267" i="1"/>
  <c r="I10266" i="1"/>
  <c r="F10266" i="1"/>
  <c r="I10265" i="1"/>
  <c r="F10265" i="1"/>
  <c r="I10264" i="1"/>
  <c r="F10264" i="1"/>
  <c r="I10263" i="1"/>
  <c r="F10263" i="1"/>
  <c r="I10262" i="1"/>
  <c r="F10262" i="1"/>
  <c r="I10261" i="1"/>
  <c r="F10261" i="1"/>
  <c r="I10260" i="1"/>
  <c r="F10260" i="1"/>
  <c r="I10259" i="1"/>
  <c r="F10259" i="1"/>
  <c r="I10258" i="1"/>
  <c r="F10258" i="1"/>
  <c r="I10257" i="1"/>
  <c r="F10257" i="1"/>
  <c r="I10256" i="1"/>
  <c r="F10256" i="1"/>
  <c r="I10255" i="1"/>
  <c r="F10255" i="1"/>
  <c r="I10254" i="1"/>
  <c r="F10254" i="1"/>
  <c r="I10253" i="1"/>
  <c r="F10253" i="1"/>
  <c r="I10252" i="1"/>
  <c r="F10252" i="1"/>
  <c r="I10251" i="1"/>
  <c r="F10251" i="1"/>
  <c r="I10250" i="1"/>
  <c r="F10250" i="1"/>
  <c r="I10249" i="1"/>
  <c r="F10249" i="1"/>
  <c r="I10248" i="1"/>
  <c r="F10248" i="1"/>
  <c r="I10247" i="1"/>
  <c r="F10247" i="1"/>
  <c r="I10246" i="1"/>
  <c r="F10246" i="1"/>
  <c r="I10245" i="1"/>
  <c r="F10245" i="1"/>
  <c r="I10244" i="1"/>
  <c r="F10244" i="1"/>
  <c r="I10243" i="1"/>
  <c r="F10243" i="1"/>
  <c r="I10242" i="1"/>
  <c r="F10242" i="1"/>
  <c r="I10241" i="1"/>
  <c r="F10241" i="1"/>
  <c r="I10240" i="1"/>
  <c r="F10240" i="1"/>
  <c r="I10239" i="1"/>
  <c r="F10239" i="1"/>
  <c r="I10238" i="1"/>
  <c r="F10238" i="1"/>
  <c r="I10237" i="1"/>
  <c r="F10237" i="1"/>
  <c r="I10236" i="1"/>
  <c r="F10236" i="1"/>
  <c r="I10235" i="1"/>
  <c r="F10235" i="1"/>
  <c r="I10234" i="1"/>
  <c r="F10234" i="1"/>
  <c r="I10233" i="1"/>
  <c r="F10233" i="1"/>
  <c r="I10232" i="1"/>
  <c r="F10232" i="1"/>
  <c r="I10231" i="1"/>
  <c r="F10231" i="1"/>
  <c r="I10230" i="1"/>
  <c r="F10230" i="1"/>
  <c r="I10229" i="1"/>
  <c r="F10229" i="1"/>
  <c r="I10228" i="1"/>
  <c r="F10228" i="1"/>
  <c r="I10227" i="1"/>
  <c r="F10227" i="1"/>
  <c r="I10226" i="1"/>
  <c r="F10226" i="1"/>
  <c r="I10225" i="1"/>
  <c r="F10225" i="1"/>
  <c r="I10224" i="1"/>
  <c r="F10224" i="1"/>
  <c r="I10223" i="1"/>
  <c r="F10223" i="1"/>
  <c r="I10222" i="1"/>
  <c r="F10222" i="1"/>
  <c r="I10221" i="1"/>
  <c r="F10221" i="1"/>
  <c r="I10220" i="1"/>
  <c r="F10220" i="1"/>
  <c r="I10219" i="1"/>
  <c r="F10219" i="1"/>
  <c r="I10218" i="1"/>
  <c r="F10218" i="1"/>
  <c r="I10217" i="1"/>
  <c r="F10217" i="1"/>
  <c r="I10216" i="1"/>
  <c r="F10216" i="1"/>
  <c r="I10215" i="1"/>
  <c r="F10215" i="1"/>
  <c r="I10214" i="1"/>
  <c r="F10214" i="1"/>
  <c r="I10213" i="1"/>
  <c r="F10213" i="1"/>
  <c r="I10212" i="1"/>
  <c r="F10212" i="1"/>
  <c r="I10211" i="1"/>
  <c r="F10211" i="1"/>
  <c r="I10210" i="1"/>
  <c r="F10210" i="1"/>
  <c r="I10209" i="1"/>
  <c r="F10209" i="1"/>
  <c r="I10208" i="1"/>
  <c r="F10208" i="1"/>
  <c r="I10207" i="1"/>
  <c r="F10207" i="1"/>
  <c r="I10206" i="1"/>
  <c r="F10206" i="1"/>
  <c r="I10205" i="1"/>
  <c r="F10205" i="1"/>
  <c r="I10204" i="1"/>
  <c r="F10204" i="1"/>
  <c r="I10203" i="1"/>
  <c r="F10203" i="1"/>
  <c r="I10202" i="1"/>
  <c r="F10202" i="1"/>
  <c r="I10201" i="1"/>
  <c r="F10201" i="1"/>
  <c r="I10200" i="1"/>
  <c r="F10200" i="1"/>
  <c r="I10199" i="1"/>
  <c r="F10199" i="1"/>
  <c r="I10198" i="1"/>
  <c r="F10198" i="1"/>
  <c r="I10197" i="1"/>
  <c r="F10197" i="1"/>
  <c r="I10196" i="1"/>
  <c r="F10196" i="1"/>
  <c r="I10195" i="1"/>
  <c r="F10195" i="1"/>
  <c r="I10194" i="1"/>
  <c r="F10194" i="1"/>
  <c r="I10193" i="1"/>
  <c r="F10193" i="1"/>
  <c r="I10192" i="1"/>
  <c r="F10192" i="1"/>
  <c r="I10191" i="1"/>
  <c r="F10191" i="1"/>
  <c r="I10190" i="1"/>
  <c r="F10190" i="1"/>
  <c r="I10189" i="1"/>
  <c r="F10189" i="1"/>
  <c r="I10188" i="1"/>
  <c r="F10188" i="1"/>
  <c r="I10187" i="1"/>
  <c r="F10187" i="1"/>
  <c r="I10186" i="1"/>
  <c r="F10186" i="1"/>
  <c r="I10185" i="1"/>
  <c r="F10185" i="1"/>
  <c r="I10184" i="1"/>
  <c r="F10184" i="1"/>
  <c r="I10183" i="1"/>
  <c r="F10183" i="1"/>
  <c r="I10182" i="1"/>
  <c r="F10182" i="1"/>
  <c r="I10181" i="1"/>
  <c r="F10181" i="1"/>
  <c r="I10180" i="1"/>
  <c r="F10180" i="1"/>
  <c r="I10179" i="1"/>
  <c r="F10179" i="1"/>
  <c r="I10178" i="1"/>
  <c r="F10178" i="1"/>
  <c r="I10177" i="1"/>
  <c r="F10177" i="1"/>
  <c r="I10176" i="1"/>
  <c r="F10176" i="1"/>
  <c r="I10175" i="1"/>
  <c r="F10175" i="1"/>
  <c r="I10174" i="1"/>
  <c r="F10174" i="1"/>
  <c r="I10173" i="1"/>
  <c r="F10173" i="1"/>
  <c r="I10172" i="1"/>
  <c r="F10172" i="1"/>
  <c r="I10171" i="1"/>
  <c r="F10171" i="1"/>
  <c r="I10170" i="1"/>
  <c r="F10170" i="1"/>
  <c r="I10169" i="1"/>
  <c r="F10169" i="1"/>
  <c r="I10168" i="1"/>
  <c r="F10168" i="1"/>
  <c r="I10167" i="1"/>
  <c r="F10167" i="1"/>
  <c r="I10166" i="1"/>
  <c r="F10166" i="1"/>
  <c r="I10165" i="1"/>
  <c r="F10165" i="1"/>
  <c r="I10164" i="1"/>
  <c r="F10164" i="1"/>
  <c r="I10163" i="1"/>
  <c r="F10163" i="1"/>
  <c r="I10162" i="1"/>
  <c r="F10162" i="1"/>
  <c r="I10161" i="1"/>
  <c r="F10161" i="1"/>
  <c r="I10160" i="1"/>
  <c r="F10160" i="1"/>
  <c r="I10159" i="1"/>
  <c r="F10159" i="1"/>
  <c r="I10158" i="1"/>
  <c r="F10158" i="1"/>
  <c r="I10157" i="1"/>
  <c r="F10157" i="1"/>
  <c r="I10156" i="1"/>
  <c r="F10156" i="1"/>
  <c r="I10155" i="1"/>
  <c r="F10155" i="1"/>
  <c r="I10154" i="1"/>
  <c r="F10154" i="1"/>
  <c r="I10153" i="1"/>
  <c r="F10153" i="1"/>
  <c r="I10152" i="1"/>
  <c r="F10152" i="1"/>
  <c r="I10151" i="1"/>
  <c r="F10151" i="1"/>
  <c r="I10150" i="1"/>
  <c r="F10150" i="1"/>
  <c r="I10149" i="1"/>
  <c r="F10149" i="1"/>
  <c r="I10148" i="1"/>
  <c r="F10148" i="1"/>
  <c r="I10147" i="1"/>
  <c r="F10147" i="1"/>
  <c r="I10146" i="1"/>
  <c r="F10146" i="1"/>
  <c r="I10145" i="1"/>
  <c r="F10145" i="1"/>
  <c r="I10144" i="1"/>
  <c r="F10144" i="1"/>
  <c r="I10143" i="1"/>
  <c r="F10143" i="1"/>
  <c r="I10142" i="1"/>
  <c r="F10142" i="1"/>
  <c r="I10141" i="1"/>
  <c r="F10141" i="1"/>
  <c r="I10140" i="1"/>
  <c r="F10140" i="1"/>
  <c r="I10139" i="1"/>
  <c r="F10139" i="1"/>
  <c r="I10138" i="1"/>
  <c r="F10138" i="1"/>
  <c r="I10137" i="1"/>
  <c r="F10137" i="1"/>
  <c r="I10136" i="1"/>
  <c r="F10136" i="1"/>
  <c r="I10135" i="1"/>
  <c r="F10135" i="1"/>
  <c r="I10134" i="1"/>
  <c r="F10134" i="1"/>
  <c r="I10133" i="1"/>
  <c r="F10133" i="1"/>
  <c r="I10132" i="1"/>
  <c r="F10132" i="1"/>
  <c r="I10131" i="1"/>
  <c r="F10131" i="1"/>
  <c r="I10130" i="1"/>
  <c r="F10130" i="1"/>
  <c r="I10129" i="1"/>
  <c r="F10129" i="1"/>
  <c r="I10128" i="1"/>
  <c r="F10128" i="1"/>
  <c r="I10127" i="1"/>
  <c r="F10127" i="1"/>
  <c r="I10126" i="1"/>
  <c r="F10126" i="1"/>
  <c r="I10125" i="1"/>
  <c r="F10125" i="1"/>
  <c r="I10124" i="1"/>
  <c r="F10124" i="1"/>
  <c r="I10123" i="1"/>
  <c r="F10123" i="1"/>
  <c r="I10122" i="1"/>
  <c r="F10122" i="1"/>
  <c r="I10121" i="1"/>
  <c r="F10121" i="1"/>
  <c r="I10120" i="1"/>
  <c r="F10120" i="1"/>
  <c r="I10119" i="1"/>
  <c r="F10119" i="1"/>
  <c r="I10118" i="1"/>
  <c r="F10118" i="1"/>
  <c r="I10117" i="1"/>
  <c r="F10117" i="1"/>
  <c r="I10116" i="1"/>
  <c r="F10116" i="1"/>
  <c r="I10115" i="1"/>
  <c r="F10115" i="1"/>
  <c r="I10114" i="1"/>
  <c r="F10114" i="1"/>
  <c r="I10113" i="1"/>
  <c r="F10113" i="1"/>
  <c r="I10112" i="1"/>
  <c r="F10112" i="1"/>
  <c r="I10111" i="1"/>
  <c r="F10111" i="1"/>
  <c r="I10110" i="1"/>
  <c r="F10110" i="1"/>
  <c r="I10109" i="1"/>
  <c r="F10109" i="1"/>
  <c r="I10108" i="1"/>
  <c r="F10108" i="1"/>
  <c r="I10107" i="1"/>
  <c r="F10107" i="1"/>
  <c r="I10106" i="1"/>
  <c r="F10106" i="1"/>
  <c r="I10105" i="1"/>
  <c r="F10105" i="1"/>
  <c r="I10104" i="1"/>
  <c r="F10104" i="1"/>
  <c r="I10103" i="1"/>
  <c r="F10103" i="1"/>
  <c r="I10102" i="1"/>
  <c r="F10102" i="1"/>
  <c r="I10101" i="1"/>
  <c r="F10101" i="1"/>
  <c r="I10100" i="1"/>
  <c r="F10100" i="1"/>
  <c r="I10099" i="1"/>
  <c r="F10099" i="1"/>
  <c r="I10098" i="1"/>
  <c r="F10098" i="1"/>
  <c r="I10097" i="1"/>
  <c r="F10097" i="1"/>
  <c r="I10096" i="1"/>
  <c r="F10096" i="1"/>
  <c r="I10095" i="1"/>
  <c r="F10095" i="1"/>
  <c r="I10094" i="1"/>
  <c r="F10094" i="1"/>
  <c r="I10093" i="1"/>
  <c r="F10093" i="1"/>
  <c r="I10092" i="1"/>
  <c r="F10092" i="1"/>
  <c r="I10091" i="1"/>
  <c r="F10091" i="1"/>
  <c r="I10090" i="1"/>
  <c r="F10090" i="1"/>
  <c r="I10089" i="1"/>
  <c r="F10089" i="1"/>
  <c r="I10088" i="1"/>
  <c r="F10088" i="1"/>
  <c r="I10087" i="1"/>
  <c r="F10087" i="1"/>
  <c r="I10086" i="1"/>
  <c r="F10086" i="1"/>
  <c r="I10085" i="1"/>
  <c r="F10085" i="1"/>
  <c r="I10084" i="1"/>
  <c r="F10084" i="1"/>
  <c r="I10083" i="1"/>
  <c r="F10083" i="1"/>
  <c r="I10082" i="1"/>
  <c r="F10082" i="1"/>
  <c r="I10081" i="1"/>
  <c r="F10081" i="1"/>
  <c r="I10080" i="1"/>
  <c r="F10080" i="1"/>
  <c r="I10079" i="1"/>
  <c r="F10079" i="1"/>
  <c r="I10078" i="1"/>
  <c r="F10078" i="1"/>
  <c r="I10077" i="1"/>
  <c r="F10077" i="1"/>
  <c r="I10076" i="1"/>
  <c r="F10076" i="1"/>
  <c r="I10075" i="1"/>
  <c r="F10075" i="1"/>
  <c r="I10074" i="1"/>
  <c r="F10074" i="1"/>
  <c r="I10073" i="1"/>
  <c r="F10073" i="1"/>
  <c r="I10072" i="1"/>
  <c r="F10072" i="1"/>
  <c r="I10071" i="1"/>
  <c r="F10071" i="1"/>
  <c r="I10070" i="1"/>
  <c r="F10070" i="1"/>
  <c r="I10069" i="1"/>
  <c r="F10069" i="1"/>
  <c r="I10068" i="1"/>
  <c r="F10068" i="1"/>
  <c r="I10067" i="1"/>
  <c r="F10067" i="1"/>
  <c r="I10066" i="1"/>
  <c r="F10066" i="1"/>
  <c r="I10065" i="1"/>
  <c r="F10065" i="1"/>
  <c r="I10064" i="1"/>
  <c r="F10064" i="1"/>
  <c r="I10063" i="1"/>
  <c r="F10063" i="1"/>
  <c r="I10062" i="1"/>
  <c r="F10062" i="1"/>
  <c r="I10061" i="1"/>
  <c r="F10061" i="1"/>
  <c r="I10060" i="1"/>
  <c r="F10060" i="1"/>
  <c r="I10059" i="1"/>
  <c r="F10059" i="1"/>
  <c r="I10058" i="1"/>
  <c r="F10058" i="1"/>
  <c r="I10057" i="1"/>
  <c r="F10057" i="1"/>
  <c r="I10056" i="1"/>
  <c r="F10056" i="1"/>
  <c r="I10055" i="1"/>
  <c r="F10055" i="1"/>
  <c r="I10054" i="1"/>
  <c r="F10054" i="1"/>
  <c r="I10053" i="1"/>
  <c r="F10053" i="1"/>
  <c r="I10052" i="1"/>
  <c r="F10052" i="1"/>
  <c r="I10051" i="1"/>
  <c r="F10051" i="1"/>
  <c r="I10050" i="1"/>
  <c r="F10050" i="1"/>
  <c r="I10049" i="1"/>
  <c r="F10049" i="1"/>
  <c r="I10048" i="1"/>
  <c r="F10048" i="1"/>
  <c r="I10047" i="1"/>
  <c r="F10047" i="1"/>
  <c r="I10046" i="1"/>
  <c r="F10046" i="1"/>
  <c r="I10045" i="1"/>
  <c r="F10045" i="1"/>
  <c r="I10044" i="1"/>
  <c r="F10044" i="1"/>
  <c r="I10043" i="1"/>
  <c r="F10043" i="1"/>
  <c r="I10042" i="1"/>
  <c r="F10042" i="1"/>
  <c r="I10041" i="1"/>
  <c r="F10041" i="1"/>
  <c r="I10040" i="1"/>
  <c r="F10040" i="1"/>
  <c r="I10039" i="1"/>
  <c r="F10039" i="1"/>
  <c r="I10038" i="1"/>
  <c r="F10038" i="1"/>
  <c r="I10037" i="1"/>
  <c r="F10037" i="1"/>
  <c r="I10036" i="1"/>
  <c r="F10036" i="1"/>
  <c r="I10035" i="1"/>
  <c r="F10035" i="1"/>
  <c r="I10034" i="1"/>
  <c r="F10034" i="1"/>
  <c r="I10033" i="1"/>
  <c r="F10033" i="1"/>
  <c r="I10032" i="1"/>
  <c r="F10032" i="1"/>
  <c r="I10031" i="1"/>
  <c r="F10031" i="1"/>
  <c r="I10030" i="1"/>
  <c r="F10030" i="1"/>
  <c r="I10029" i="1"/>
  <c r="F10029" i="1"/>
  <c r="I10028" i="1"/>
  <c r="F10028" i="1"/>
  <c r="I10027" i="1"/>
  <c r="F10027" i="1"/>
  <c r="I10026" i="1"/>
  <c r="F10026" i="1"/>
  <c r="I10025" i="1"/>
  <c r="F10025" i="1"/>
  <c r="I10024" i="1"/>
  <c r="F10024" i="1"/>
  <c r="I10023" i="1"/>
  <c r="F10023" i="1"/>
  <c r="I10022" i="1"/>
  <c r="F10022" i="1"/>
  <c r="I10021" i="1"/>
  <c r="F10021" i="1"/>
  <c r="I10020" i="1"/>
  <c r="F10020" i="1"/>
  <c r="I10019" i="1"/>
  <c r="F10019" i="1"/>
  <c r="I10018" i="1"/>
  <c r="F10018" i="1"/>
  <c r="I10017" i="1"/>
  <c r="F10017" i="1"/>
  <c r="I10016" i="1"/>
  <c r="F10016" i="1"/>
  <c r="I10015" i="1"/>
  <c r="F10015" i="1"/>
  <c r="I10014" i="1"/>
  <c r="F10014" i="1"/>
  <c r="I10013" i="1"/>
  <c r="F10013" i="1"/>
  <c r="I10012" i="1"/>
  <c r="F10012" i="1"/>
  <c r="I10011" i="1"/>
  <c r="F10011" i="1"/>
  <c r="I10010" i="1"/>
  <c r="F10010" i="1"/>
  <c r="I10009" i="1"/>
  <c r="F10009" i="1"/>
  <c r="I10008" i="1"/>
  <c r="F10008" i="1"/>
  <c r="I10007" i="1"/>
  <c r="F10007" i="1"/>
  <c r="I10006" i="1"/>
  <c r="F10006" i="1"/>
  <c r="I10005" i="1"/>
  <c r="F10005" i="1"/>
  <c r="I10004" i="1"/>
  <c r="F10004" i="1"/>
  <c r="I10003" i="1"/>
  <c r="F10003" i="1"/>
  <c r="I10002" i="1"/>
  <c r="F10002" i="1"/>
  <c r="I10001" i="1"/>
  <c r="F10001" i="1"/>
  <c r="I10000" i="1"/>
  <c r="F10000" i="1"/>
  <c r="I9999" i="1"/>
  <c r="F9999" i="1"/>
  <c r="I9998" i="1"/>
  <c r="F9998" i="1"/>
  <c r="I9997" i="1"/>
  <c r="F9997" i="1"/>
  <c r="I9996" i="1"/>
  <c r="F9996" i="1"/>
  <c r="I9995" i="1"/>
  <c r="F9995" i="1"/>
  <c r="I9994" i="1"/>
  <c r="F9994" i="1"/>
  <c r="I9993" i="1"/>
  <c r="F9993" i="1"/>
  <c r="I9992" i="1"/>
  <c r="F9992" i="1"/>
  <c r="I9991" i="1"/>
  <c r="F9991" i="1"/>
  <c r="I9990" i="1"/>
  <c r="F9990" i="1"/>
  <c r="I9989" i="1"/>
  <c r="F9989" i="1"/>
  <c r="I9988" i="1"/>
  <c r="F9988" i="1"/>
  <c r="I9987" i="1"/>
  <c r="F9987" i="1"/>
  <c r="I9986" i="1"/>
  <c r="F9986" i="1"/>
  <c r="I9985" i="1"/>
  <c r="F9985" i="1"/>
  <c r="I9984" i="1"/>
  <c r="F9984" i="1"/>
  <c r="I9983" i="1"/>
  <c r="F9983" i="1"/>
  <c r="I9982" i="1"/>
  <c r="F9982" i="1"/>
  <c r="I9981" i="1"/>
  <c r="F9981" i="1"/>
  <c r="I9980" i="1"/>
  <c r="F9980" i="1"/>
  <c r="I9979" i="1"/>
  <c r="F9979" i="1"/>
  <c r="I9978" i="1"/>
  <c r="F9978" i="1"/>
  <c r="I9977" i="1"/>
  <c r="F9977" i="1"/>
  <c r="I9976" i="1"/>
  <c r="F9976" i="1"/>
  <c r="I9975" i="1"/>
  <c r="F9975" i="1"/>
  <c r="I9974" i="1"/>
  <c r="F9974" i="1"/>
  <c r="I9973" i="1"/>
  <c r="F9973" i="1"/>
  <c r="I9972" i="1"/>
  <c r="F9972" i="1"/>
  <c r="I9971" i="1"/>
  <c r="F9971" i="1"/>
  <c r="I9970" i="1"/>
  <c r="F9970" i="1"/>
  <c r="I9969" i="1"/>
  <c r="F9969" i="1"/>
  <c r="I9968" i="1"/>
  <c r="F9968" i="1"/>
  <c r="I9967" i="1"/>
  <c r="F9967" i="1"/>
  <c r="I9966" i="1"/>
  <c r="F9966" i="1"/>
  <c r="I9965" i="1"/>
  <c r="F9965" i="1"/>
  <c r="I9964" i="1"/>
  <c r="F9964" i="1"/>
  <c r="I9963" i="1"/>
  <c r="F9963" i="1"/>
  <c r="I9962" i="1"/>
  <c r="F9962" i="1"/>
  <c r="I9961" i="1"/>
  <c r="F9961" i="1"/>
  <c r="I9960" i="1"/>
  <c r="F9960" i="1"/>
  <c r="I9959" i="1"/>
  <c r="F9959" i="1"/>
  <c r="I9958" i="1"/>
  <c r="F9958" i="1"/>
  <c r="I9957" i="1"/>
  <c r="F9957" i="1"/>
  <c r="I9956" i="1"/>
  <c r="F9956" i="1"/>
  <c r="I9955" i="1"/>
  <c r="F9955" i="1"/>
  <c r="I9954" i="1"/>
  <c r="F9954" i="1"/>
  <c r="I9953" i="1"/>
  <c r="F9953" i="1"/>
  <c r="I9952" i="1"/>
  <c r="F9952" i="1"/>
  <c r="I9951" i="1"/>
  <c r="F9951" i="1"/>
  <c r="I9950" i="1"/>
  <c r="F9950" i="1"/>
  <c r="I9949" i="1"/>
  <c r="F9949" i="1"/>
  <c r="I9948" i="1"/>
  <c r="F9948" i="1"/>
  <c r="I9947" i="1"/>
  <c r="F9947" i="1"/>
  <c r="I9946" i="1"/>
  <c r="F9946" i="1"/>
  <c r="I9945" i="1"/>
  <c r="F9945" i="1"/>
  <c r="I9944" i="1"/>
  <c r="F9944" i="1"/>
  <c r="I9943" i="1"/>
  <c r="F9943" i="1"/>
  <c r="I9942" i="1"/>
  <c r="F9942" i="1"/>
  <c r="I9941" i="1"/>
  <c r="F9941" i="1"/>
  <c r="I9940" i="1"/>
  <c r="F9940" i="1"/>
  <c r="I9939" i="1"/>
  <c r="F9939" i="1"/>
  <c r="I9938" i="1"/>
  <c r="F9938" i="1"/>
  <c r="I9937" i="1"/>
  <c r="F9937" i="1"/>
  <c r="I9936" i="1"/>
  <c r="F9936" i="1"/>
  <c r="I9935" i="1"/>
  <c r="F9935" i="1"/>
  <c r="I9934" i="1"/>
  <c r="F9934" i="1"/>
  <c r="I9933" i="1"/>
  <c r="F9933" i="1"/>
  <c r="I9932" i="1"/>
  <c r="F9932" i="1"/>
  <c r="I9931" i="1"/>
  <c r="F9931" i="1"/>
  <c r="I9930" i="1"/>
  <c r="F9930" i="1"/>
  <c r="I9929" i="1"/>
  <c r="F9929" i="1"/>
  <c r="I9928" i="1"/>
  <c r="F9928" i="1"/>
  <c r="I9927" i="1"/>
  <c r="F9927" i="1"/>
  <c r="I9926" i="1"/>
  <c r="F9926" i="1"/>
  <c r="I9925" i="1"/>
  <c r="F9925" i="1"/>
  <c r="I9924" i="1"/>
  <c r="F9924" i="1"/>
  <c r="I9923" i="1"/>
  <c r="F9923" i="1"/>
  <c r="I9922" i="1"/>
  <c r="F9922" i="1"/>
  <c r="I9921" i="1"/>
  <c r="F9921" i="1"/>
  <c r="I9920" i="1"/>
  <c r="F9920" i="1"/>
  <c r="I9919" i="1"/>
  <c r="F9919" i="1"/>
  <c r="I9918" i="1"/>
  <c r="F9918" i="1"/>
  <c r="I9917" i="1"/>
  <c r="F9917" i="1"/>
  <c r="I9916" i="1"/>
  <c r="F9916" i="1"/>
  <c r="I9915" i="1"/>
  <c r="F9915" i="1"/>
  <c r="I9914" i="1"/>
  <c r="F9914" i="1"/>
  <c r="I9913" i="1"/>
  <c r="F9913" i="1"/>
  <c r="I9912" i="1"/>
  <c r="F9912" i="1"/>
  <c r="I9911" i="1"/>
  <c r="F9911" i="1"/>
  <c r="I9910" i="1"/>
  <c r="F9910" i="1"/>
  <c r="I9909" i="1"/>
  <c r="F9909" i="1"/>
  <c r="I9908" i="1"/>
  <c r="F9908" i="1"/>
  <c r="I9907" i="1"/>
  <c r="F9907" i="1"/>
  <c r="I9906" i="1"/>
  <c r="F9906" i="1"/>
  <c r="I9905" i="1"/>
  <c r="F9905" i="1"/>
  <c r="I9904" i="1"/>
  <c r="F9904" i="1"/>
  <c r="I9903" i="1"/>
  <c r="F9903" i="1"/>
  <c r="I9902" i="1"/>
  <c r="F9902" i="1"/>
  <c r="I9901" i="1"/>
  <c r="F9901" i="1"/>
  <c r="I9900" i="1"/>
  <c r="F9900" i="1"/>
  <c r="I9899" i="1"/>
  <c r="F9899" i="1"/>
  <c r="I9898" i="1"/>
  <c r="F9898" i="1"/>
  <c r="I9897" i="1"/>
  <c r="F9897" i="1"/>
  <c r="I9896" i="1"/>
  <c r="F9896" i="1"/>
  <c r="I9895" i="1"/>
  <c r="F9895" i="1"/>
  <c r="I9894" i="1"/>
  <c r="F9894" i="1"/>
  <c r="I9893" i="1"/>
  <c r="F9893" i="1"/>
  <c r="I9892" i="1"/>
  <c r="F9892" i="1"/>
  <c r="I9891" i="1"/>
  <c r="F9891" i="1"/>
  <c r="I9890" i="1"/>
  <c r="F9890" i="1"/>
  <c r="I9889" i="1"/>
  <c r="F9889" i="1"/>
  <c r="I9888" i="1"/>
  <c r="F9888" i="1"/>
  <c r="I9887" i="1"/>
  <c r="F9887" i="1"/>
  <c r="I9886" i="1"/>
  <c r="F9886" i="1"/>
  <c r="I9885" i="1"/>
  <c r="F9885" i="1"/>
  <c r="I9884" i="1"/>
  <c r="F9884" i="1"/>
  <c r="I9883" i="1"/>
  <c r="F9883" i="1"/>
  <c r="I9882" i="1"/>
  <c r="F9882" i="1"/>
  <c r="I9881" i="1"/>
  <c r="F9881" i="1"/>
  <c r="I9880" i="1"/>
  <c r="F9880" i="1"/>
  <c r="I9879" i="1"/>
  <c r="F9879" i="1"/>
  <c r="I9878" i="1"/>
  <c r="F9878" i="1"/>
  <c r="I9877" i="1"/>
  <c r="F9877" i="1"/>
  <c r="I9876" i="1"/>
  <c r="F9876" i="1"/>
  <c r="I9875" i="1"/>
  <c r="F9875" i="1"/>
  <c r="I9874" i="1"/>
  <c r="F9874" i="1"/>
  <c r="I9873" i="1"/>
  <c r="F9873" i="1"/>
  <c r="I9872" i="1"/>
  <c r="F9872" i="1"/>
  <c r="I9871" i="1"/>
  <c r="F9871" i="1"/>
  <c r="I9870" i="1"/>
  <c r="F9870" i="1"/>
  <c r="I9869" i="1"/>
  <c r="F9869" i="1"/>
  <c r="I9868" i="1"/>
  <c r="F9868" i="1"/>
  <c r="I9867" i="1"/>
  <c r="F9867" i="1"/>
  <c r="I9866" i="1"/>
  <c r="F9866" i="1"/>
  <c r="I9865" i="1"/>
  <c r="F9865" i="1"/>
  <c r="I9864" i="1"/>
  <c r="F9864" i="1"/>
  <c r="I9863" i="1"/>
  <c r="F9863" i="1"/>
  <c r="I9862" i="1"/>
  <c r="F9862" i="1"/>
  <c r="I9861" i="1"/>
  <c r="F9861" i="1"/>
  <c r="I9860" i="1"/>
  <c r="F9860" i="1"/>
  <c r="I9859" i="1"/>
  <c r="F9859" i="1"/>
  <c r="I9858" i="1"/>
  <c r="F9858" i="1"/>
  <c r="I9857" i="1"/>
  <c r="F9857" i="1"/>
  <c r="I9856" i="1"/>
  <c r="F9856" i="1"/>
  <c r="I9855" i="1"/>
  <c r="F9855" i="1"/>
  <c r="I9854" i="1"/>
  <c r="F9854" i="1"/>
  <c r="I9853" i="1"/>
  <c r="F9853" i="1"/>
  <c r="I9852" i="1"/>
  <c r="F9852" i="1"/>
  <c r="I9851" i="1"/>
  <c r="F9851" i="1"/>
  <c r="I9850" i="1"/>
  <c r="F9850" i="1"/>
  <c r="I9849" i="1"/>
  <c r="F9849" i="1"/>
  <c r="I9848" i="1"/>
  <c r="F9848" i="1"/>
  <c r="I9847" i="1"/>
  <c r="F9847" i="1"/>
  <c r="I9846" i="1"/>
  <c r="F9846" i="1"/>
  <c r="I9845" i="1"/>
  <c r="F9845" i="1"/>
  <c r="I9844" i="1"/>
  <c r="F9844" i="1"/>
  <c r="I9843" i="1"/>
  <c r="F9843" i="1"/>
  <c r="I9842" i="1"/>
  <c r="F9842" i="1"/>
  <c r="I9841" i="1"/>
  <c r="F9841" i="1"/>
  <c r="I9840" i="1"/>
  <c r="F9840" i="1"/>
  <c r="I9839" i="1"/>
  <c r="F9839" i="1"/>
  <c r="I9838" i="1"/>
  <c r="F9838" i="1"/>
  <c r="I9837" i="1"/>
  <c r="F9837" i="1"/>
  <c r="I9836" i="1"/>
  <c r="F9836" i="1"/>
  <c r="I9835" i="1"/>
  <c r="F9835" i="1"/>
  <c r="I9834" i="1"/>
  <c r="F9834" i="1"/>
  <c r="I9833" i="1"/>
  <c r="F9833" i="1"/>
  <c r="I9832" i="1"/>
  <c r="F9832" i="1"/>
  <c r="I9831" i="1"/>
  <c r="F9831" i="1"/>
  <c r="I9830" i="1"/>
  <c r="F9830" i="1"/>
  <c r="I9829" i="1"/>
  <c r="F9829" i="1"/>
  <c r="I9828" i="1"/>
  <c r="F9828" i="1"/>
  <c r="I9827" i="1"/>
  <c r="F9827" i="1"/>
  <c r="I9826" i="1"/>
  <c r="F9826" i="1"/>
  <c r="I9825" i="1"/>
  <c r="F9825" i="1"/>
  <c r="I9824" i="1"/>
  <c r="F9824" i="1"/>
  <c r="I9823" i="1"/>
  <c r="F9823" i="1"/>
  <c r="I9822" i="1"/>
  <c r="F9822" i="1"/>
  <c r="I9821" i="1"/>
  <c r="F9821" i="1"/>
  <c r="I9820" i="1"/>
  <c r="F9820" i="1"/>
  <c r="I9819" i="1"/>
  <c r="F9819" i="1"/>
  <c r="I9818" i="1"/>
  <c r="F9818" i="1"/>
  <c r="I9817" i="1"/>
  <c r="F9817" i="1"/>
  <c r="I9816" i="1"/>
  <c r="F9816" i="1"/>
  <c r="I9815" i="1"/>
  <c r="F9815" i="1"/>
  <c r="I9814" i="1"/>
  <c r="F9814" i="1"/>
  <c r="I9813" i="1"/>
  <c r="F9813" i="1"/>
  <c r="I9812" i="1"/>
  <c r="F9812" i="1"/>
  <c r="I9811" i="1"/>
  <c r="F9811" i="1"/>
  <c r="I9810" i="1"/>
  <c r="F9810" i="1"/>
  <c r="I9809" i="1"/>
  <c r="F9809" i="1"/>
  <c r="I9808" i="1"/>
  <c r="F9808" i="1"/>
  <c r="I9807" i="1"/>
  <c r="F9807" i="1"/>
  <c r="I9806" i="1"/>
  <c r="F9806" i="1"/>
  <c r="I9805" i="1"/>
  <c r="F9805" i="1"/>
  <c r="I9804" i="1"/>
  <c r="F9804" i="1"/>
  <c r="I9803" i="1"/>
  <c r="F9803" i="1"/>
  <c r="I9802" i="1"/>
  <c r="F9802" i="1"/>
  <c r="I9801" i="1"/>
  <c r="F9801" i="1"/>
  <c r="I9800" i="1"/>
  <c r="F9800" i="1"/>
  <c r="I9799" i="1"/>
  <c r="F9799" i="1"/>
  <c r="I9798" i="1"/>
  <c r="F9798" i="1"/>
  <c r="I9797" i="1"/>
  <c r="F9797" i="1"/>
  <c r="I9796" i="1"/>
  <c r="F9796" i="1"/>
  <c r="I9795" i="1"/>
  <c r="F9795" i="1"/>
  <c r="I9794" i="1"/>
  <c r="F9794" i="1"/>
  <c r="I9793" i="1"/>
  <c r="F9793" i="1"/>
  <c r="I9792" i="1"/>
  <c r="F9792" i="1"/>
  <c r="I9791" i="1"/>
  <c r="F9791" i="1"/>
  <c r="I9790" i="1"/>
  <c r="F9790" i="1"/>
  <c r="I9789" i="1"/>
  <c r="F9789" i="1"/>
  <c r="I9788" i="1"/>
  <c r="F9788" i="1"/>
  <c r="I9787" i="1"/>
  <c r="F9787" i="1"/>
  <c r="I9786" i="1"/>
  <c r="F9786" i="1"/>
  <c r="I9785" i="1"/>
  <c r="F9785" i="1"/>
  <c r="I9784" i="1"/>
  <c r="F9784" i="1"/>
  <c r="I9783" i="1"/>
  <c r="F9783" i="1"/>
  <c r="I9782" i="1"/>
  <c r="F9782" i="1"/>
  <c r="I9781" i="1"/>
  <c r="F9781" i="1"/>
  <c r="I9780" i="1"/>
  <c r="F9780" i="1"/>
  <c r="I9779" i="1"/>
  <c r="F9779" i="1"/>
  <c r="I9778" i="1"/>
  <c r="F9778" i="1"/>
  <c r="I9777" i="1"/>
  <c r="F9777" i="1"/>
  <c r="I9776" i="1"/>
  <c r="F9776" i="1"/>
  <c r="I9775" i="1"/>
  <c r="F9775" i="1"/>
  <c r="I9774" i="1"/>
  <c r="F9774" i="1"/>
  <c r="I9773" i="1"/>
  <c r="F9773" i="1"/>
  <c r="I9772" i="1"/>
  <c r="F9772" i="1"/>
  <c r="I9771" i="1"/>
  <c r="F9771" i="1"/>
  <c r="I9770" i="1"/>
  <c r="F9770" i="1"/>
  <c r="I9769" i="1"/>
  <c r="F9769" i="1"/>
  <c r="I9768" i="1"/>
  <c r="F9768" i="1"/>
  <c r="I9767" i="1"/>
  <c r="F9767" i="1"/>
  <c r="I9766" i="1"/>
  <c r="F9766" i="1"/>
  <c r="I9765" i="1"/>
  <c r="F9765" i="1"/>
  <c r="I9764" i="1"/>
  <c r="F9764" i="1"/>
  <c r="I9763" i="1"/>
  <c r="F9763" i="1"/>
  <c r="I9762" i="1"/>
  <c r="F9762" i="1"/>
  <c r="I9761" i="1"/>
  <c r="F9761" i="1"/>
  <c r="I9760" i="1"/>
  <c r="F9760" i="1"/>
  <c r="I9759" i="1"/>
  <c r="F9759" i="1"/>
  <c r="I9758" i="1"/>
  <c r="F9758" i="1"/>
  <c r="I9757" i="1"/>
  <c r="F9757" i="1"/>
  <c r="I9756" i="1"/>
  <c r="F9756" i="1"/>
  <c r="I9755" i="1"/>
  <c r="F9755" i="1"/>
  <c r="I9754" i="1"/>
  <c r="F9754" i="1"/>
  <c r="I9753" i="1"/>
  <c r="F9753" i="1"/>
  <c r="I9752" i="1"/>
  <c r="F9752" i="1"/>
  <c r="I9751" i="1"/>
  <c r="F9751" i="1"/>
  <c r="I9750" i="1"/>
  <c r="F9750" i="1"/>
  <c r="I9749" i="1"/>
  <c r="F9749" i="1"/>
  <c r="I9748" i="1"/>
  <c r="F9748" i="1"/>
  <c r="I9747" i="1"/>
  <c r="F9747" i="1"/>
  <c r="I9746" i="1"/>
  <c r="F9746" i="1"/>
  <c r="I9745" i="1"/>
  <c r="F9745" i="1"/>
  <c r="I9744" i="1"/>
  <c r="F9744" i="1"/>
  <c r="I9743" i="1"/>
  <c r="F9743" i="1"/>
  <c r="I9742" i="1"/>
  <c r="F9742" i="1"/>
  <c r="I9741" i="1"/>
  <c r="F9741" i="1"/>
  <c r="I9740" i="1"/>
  <c r="F9740" i="1"/>
  <c r="I9739" i="1"/>
  <c r="F9739" i="1"/>
  <c r="I9738" i="1"/>
  <c r="F9738" i="1"/>
  <c r="I9737" i="1"/>
  <c r="F9737" i="1"/>
  <c r="I9736" i="1"/>
  <c r="F9736" i="1"/>
  <c r="I9735" i="1"/>
  <c r="F9735" i="1"/>
  <c r="I9734" i="1"/>
  <c r="F9734" i="1"/>
  <c r="I9733" i="1"/>
  <c r="F9733" i="1"/>
  <c r="I9732" i="1"/>
  <c r="F9732" i="1"/>
  <c r="I9731" i="1"/>
  <c r="F9731" i="1"/>
  <c r="I9730" i="1"/>
  <c r="F9730" i="1"/>
  <c r="I9729" i="1"/>
  <c r="F9729" i="1"/>
  <c r="I9728" i="1"/>
  <c r="F9728" i="1"/>
  <c r="I9727" i="1"/>
  <c r="F9727" i="1"/>
  <c r="I9726" i="1"/>
  <c r="F9726" i="1"/>
  <c r="I9725" i="1"/>
  <c r="F9725" i="1"/>
  <c r="I9724" i="1"/>
  <c r="F9724" i="1"/>
  <c r="I9723" i="1"/>
  <c r="F9723" i="1"/>
  <c r="I9722" i="1"/>
  <c r="F9722" i="1"/>
  <c r="I9721" i="1"/>
  <c r="F9721" i="1"/>
  <c r="I9720" i="1"/>
  <c r="F9720" i="1"/>
  <c r="I9719" i="1"/>
  <c r="F9719" i="1"/>
  <c r="I9718" i="1"/>
  <c r="F9718" i="1"/>
  <c r="I9717" i="1"/>
  <c r="F9717" i="1"/>
  <c r="I9716" i="1"/>
  <c r="F9716" i="1"/>
  <c r="I9715" i="1"/>
  <c r="F9715" i="1"/>
  <c r="I9714" i="1"/>
  <c r="F9714" i="1"/>
  <c r="I9713" i="1"/>
  <c r="F9713" i="1"/>
  <c r="I9712" i="1"/>
  <c r="F9712" i="1"/>
  <c r="I9711" i="1"/>
  <c r="F9711" i="1"/>
  <c r="I9710" i="1"/>
  <c r="F9710" i="1"/>
  <c r="I9709" i="1"/>
  <c r="F9709" i="1"/>
  <c r="I9708" i="1"/>
  <c r="F9708" i="1"/>
  <c r="I9707" i="1"/>
  <c r="F9707" i="1"/>
  <c r="I9706" i="1"/>
  <c r="F9706" i="1"/>
  <c r="I9705" i="1"/>
  <c r="F9705" i="1"/>
  <c r="I9704" i="1"/>
  <c r="F9704" i="1"/>
  <c r="I9703" i="1"/>
  <c r="F9703" i="1"/>
  <c r="I9702" i="1"/>
  <c r="F9702" i="1"/>
  <c r="I9701" i="1"/>
  <c r="F9701" i="1"/>
  <c r="I9700" i="1"/>
  <c r="F9700" i="1"/>
  <c r="I9699" i="1"/>
  <c r="F9699" i="1"/>
  <c r="I9698" i="1"/>
  <c r="F9698" i="1"/>
  <c r="I9697" i="1"/>
  <c r="F9697" i="1"/>
  <c r="I9696" i="1"/>
  <c r="F9696" i="1"/>
  <c r="I9695" i="1"/>
  <c r="F9695" i="1"/>
  <c r="I9694" i="1"/>
  <c r="F9694" i="1"/>
  <c r="I9693" i="1"/>
  <c r="F9693" i="1"/>
  <c r="I9692" i="1"/>
  <c r="F9692" i="1"/>
  <c r="I9691" i="1"/>
  <c r="F9691" i="1"/>
  <c r="I9690" i="1"/>
  <c r="F9690" i="1"/>
  <c r="I9689" i="1"/>
  <c r="F9689" i="1"/>
  <c r="I9688" i="1"/>
  <c r="F9688" i="1"/>
  <c r="I9687" i="1"/>
  <c r="F9687" i="1"/>
  <c r="I9686" i="1"/>
  <c r="F9686" i="1"/>
  <c r="I9685" i="1"/>
  <c r="F9685" i="1"/>
  <c r="I9684" i="1"/>
  <c r="F9684" i="1"/>
  <c r="I9683" i="1"/>
  <c r="F9683" i="1"/>
  <c r="I9682" i="1"/>
  <c r="F9682" i="1"/>
  <c r="I9681" i="1"/>
  <c r="F9681" i="1"/>
  <c r="I9680" i="1"/>
  <c r="F9680" i="1"/>
  <c r="I9679" i="1"/>
  <c r="F9679" i="1"/>
  <c r="I9678" i="1"/>
  <c r="F9678" i="1"/>
  <c r="I9677" i="1"/>
  <c r="F9677" i="1"/>
  <c r="I9676" i="1"/>
  <c r="F9676" i="1"/>
  <c r="I9675" i="1"/>
  <c r="F9675" i="1"/>
  <c r="I9674" i="1"/>
  <c r="F9674" i="1"/>
  <c r="I9673" i="1"/>
  <c r="F9673" i="1"/>
  <c r="I9672" i="1"/>
  <c r="F9672" i="1"/>
  <c r="I9671" i="1"/>
  <c r="F9671" i="1"/>
  <c r="I9670" i="1"/>
  <c r="F9670" i="1"/>
  <c r="I9669" i="1"/>
  <c r="F9669" i="1"/>
  <c r="I9668" i="1"/>
  <c r="F9668" i="1"/>
  <c r="I9667" i="1"/>
  <c r="F9667" i="1"/>
  <c r="I9666" i="1"/>
  <c r="F9666" i="1"/>
  <c r="I9665" i="1"/>
  <c r="F9665" i="1"/>
  <c r="I9664" i="1"/>
  <c r="F9664" i="1"/>
  <c r="I9663" i="1"/>
  <c r="F9663" i="1"/>
  <c r="I9662" i="1"/>
  <c r="F9662" i="1"/>
  <c r="I9661" i="1"/>
  <c r="F9661" i="1"/>
  <c r="I9660" i="1"/>
  <c r="F9660" i="1"/>
  <c r="I9659" i="1"/>
  <c r="F9659" i="1"/>
  <c r="I9658" i="1"/>
  <c r="F9658" i="1"/>
  <c r="I9657" i="1"/>
  <c r="F9657" i="1"/>
  <c r="I9656" i="1"/>
  <c r="F9656" i="1"/>
  <c r="I9655" i="1"/>
  <c r="F9655" i="1"/>
  <c r="I9654" i="1"/>
  <c r="F9654" i="1"/>
  <c r="I9653" i="1"/>
  <c r="F9653" i="1"/>
  <c r="I9652" i="1"/>
  <c r="F9652" i="1"/>
  <c r="I9651" i="1"/>
  <c r="F9651" i="1"/>
  <c r="I9650" i="1"/>
  <c r="F9650" i="1"/>
  <c r="I9649" i="1"/>
  <c r="F9649" i="1"/>
  <c r="I9648" i="1"/>
  <c r="F9648" i="1"/>
  <c r="I9647" i="1"/>
  <c r="F9647" i="1"/>
  <c r="I9646" i="1"/>
  <c r="F9646" i="1"/>
  <c r="I9645" i="1"/>
  <c r="F9645" i="1"/>
  <c r="I9644" i="1"/>
  <c r="F9644" i="1"/>
  <c r="I9643" i="1"/>
  <c r="F9643" i="1"/>
  <c r="I9642" i="1"/>
  <c r="F9642" i="1"/>
  <c r="I9641" i="1"/>
  <c r="F9641" i="1"/>
  <c r="I9640" i="1"/>
  <c r="F9640" i="1"/>
  <c r="I9639" i="1"/>
  <c r="F9639" i="1"/>
  <c r="I9638" i="1"/>
  <c r="F9638" i="1"/>
  <c r="I9637" i="1"/>
  <c r="F9637" i="1"/>
  <c r="I9636" i="1"/>
  <c r="F9636" i="1"/>
  <c r="I9635" i="1"/>
  <c r="F9635" i="1"/>
  <c r="I9634" i="1"/>
  <c r="F9634" i="1"/>
  <c r="I9633" i="1"/>
  <c r="F9633" i="1"/>
  <c r="I9632" i="1"/>
  <c r="F9632" i="1"/>
  <c r="I9631" i="1"/>
  <c r="F9631" i="1"/>
  <c r="I9630" i="1"/>
  <c r="F9630" i="1"/>
  <c r="I9629" i="1"/>
  <c r="F9629" i="1"/>
  <c r="I9628" i="1"/>
  <c r="F9628" i="1"/>
  <c r="I9627" i="1"/>
  <c r="F9627" i="1"/>
  <c r="I9626" i="1"/>
  <c r="F9626" i="1"/>
  <c r="I9625" i="1"/>
  <c r="F9625" i="1"/>
  <c r="I9624" i="1"/>
  <c r="F9624" i="1"/>
  <c r="I9623" i="1"/>
  <c r="F9623" i="1"/>
  <c r="I9622" i="1"/>
  <c r="F9622" i="1"/>
  <c r="I9621" i="1"/>
  <c r="F9621" i="1"/>
  <c r="I9620" i="1"/>
  <c r="F9620" i="1"/>
  <c r="I9619" i="1"/>
  <c r="F9619" i="1"/>
  <c r="I9618" i="1"/>
  <c r="F9618" i="1"/>
  <c r="I9617" i="1"/>
  <c r="F9617" i="1"/>
  <c r="I9616" i="1"/>
  <c r="F9616" i="1"/>
  <c r="I9615" i="1"/>
  <c r="F9615" i="1"/>
  <c r="I9614" i="1"/>
  <c r="F9614" i="1"/>
  <c r="I9613" i="1"/>
  <c r="F9613" i="1"/>
  <c r="I9612" i="1"/>
  <c r="F9612" i="1"/>
  <c r="I9611" i="1"/>
  <c r="F9611" i="1"/>
  <c r="I9610" i="1"/>
  <c r="F9610" i="1"/>
  <c r="I9609" i="1"/>
  <c r="F9609" i="1"/>
  <c r="I9608" i="1"/>
  <c r="F9608" i="1"/>
  <c r="I9607" i="1"/>
  <c r="F9607" i="1"/>
  <c r="I9606" i="1"/>
  <c r="F9606" i="1"/>
  <c r="I9605" i="1"/>
  <c r="F9605" i="1"/>
  <c r="I9604" i="1"/>
  <c r="F9604" i="1"/>
  <c r="I9603" i="1"/>
  <c r="F9603" i="1"/>
  <c r="I9602" i="1"/>
  <c r="F9602" i="1"/>
  <c r="I9601" i="1"/>
  <c r="F9601" i="1"/>
  <c r="I9600" i="1"/>
  <c r="F9600" i="1"/>
  <c r="I9599" i="1"/>
  <c r="F9599" i="1"/>
  <c r="I9598" i="1"/>
  <c r="F9598" i="1"/>
  <c r="I9597" i="1"/>
  <c r="F9597" i="1"/>
  <c r="I9596" i="1"/>
  <c r="F9596" i="1"/>
  <c r="I9595" i="1"/>
  <c r="F9595" i="1"/>
  <c r="I9594" i="1"/>
  <c r="F9594" i="1"/>
  <c r="I9593" i="1"/>
  <c r="F9593" i="1"/>
  <c r="I9592" i="1"/>
  <c r="F9592" i="1"/>
  <c r="I9591" i="1"/>
  <c r="F9591" i="1"/>
  <c r="I9590" i="1"/>
  <c r="F9590" i="1"/>
  <c r="I9589" i="1"/>
  <c r="F9589" i="1"/>
  <c r="I9588" i="1"/>
  <c r="F9588" i="1"/>
  <c r="I9587" i="1"/>
  <c r="F9587" i="1"/>
  <c r="I9586" i="1"/>
  <c r="F9586" i="1"/>
  <c r="I9585" i="1"/>
  <c r="F9585" i="1"/>
  <c r="I9584" i="1"/>
  <c r="F9584" i="1"/>
  <c r="I9583" i="1"/>
  <c r="F9583" i="1"/>
  <c r="I9582" i="1"/>
  <c r="F9582" i="1"/>
  <c r="I9581" i="1"/>
  <c r="F9581" i="1"/>
  <c r="I9580" i="1"/>
  <c r="F9580" i="1"/>
  <c r="I9579" i="1"/>
  <c r="F9579" i="1"/>
  <c r="I9578" i="1"/>
  <c r="F9578" i="1"/>
  <c r="I9577" i="1"/>
  <c r="F9577" i="1"/>
  <c r="I9576" i="1"/>
  <c r="F9576" i="1"/>
  <c r="I9575" i="1"/>
  <c r="F9575" i="1"/>
  <c r="I9574" i="1"/>
  <c r="F9574" i="1"/>
  <c r="I9573" i="1"/>
  <c r="F9573" i="1"/>
  <c r="I9572" i="1"/>
  <c r="F9572" i="1"/>
  <c r="I9571" i="1"/>
  <c r="F9571" i="1"/>
  <c r="I9570" i="1"/>
  <c r="F9570" i="1"/>
  <c r="I9569" i="1"/>
  <c r="F9569" i="1"/>
  <c r="I9568" i="1"/>
  <c r="F9568" i="1"/>
  <c r="I9567" i="1"/>
  <c r="F9567" i="1"/>
  <c r="I9566" i="1"/>
  <c r="F9566" i="1"/>
  <c r="I9565" i="1"/>
  <c r="F9565" i="1"/>
  <c r="I9564" i="1"/>
  <c r="F9564" i="1"/>
  <c r="I9563" i="1"/>
  <c r="F9563" i="1"/>
  <c r="I9562" i="1"/>
  <c r="F9562" i="1"/>
  <c r="I9561" i="1"/>
  <c r="F9561" i="1"/>
  <c r="I9560" i="1"/>
  <c r="F9560" i="1"/>
  <c r="I9559" i="1"/>
  <c r="F9559" i="1"/>
  <c r="I9558" i="1"/>
  <c r="F9558" i="1"/>
  <c r="I9557" i="1"/>
  <c r="F9557" i="1"/>
  <c r="I9556" i="1"/>
  <c r="F9556" i="1"/>
  <c r="I9555" i="1"/>
  <c r="F9555" i="1"/>
  <c r="I9554" i="1"/>
  <c r="F9554" i="1"/>
  <c r="I9553" i="1"/>
  <c r="F9553" i="1"/>
  <c r="I9552" i="1"/>
  <c r="F9552" i="1"/>
  <c r="I9551" i="1"/>
  <c r="F9551" i="1"/>
  <c r="I9550" i="1"/>
  <c r="F9550" i="1"/>
  <c r="I9549" i="1"/>
  <c r="F9549" i="1"/>
  <c r="I9548" i="1"/>
  <c r="F9548" i="1"/>
  <c r="I9547" i="1"/>
  <c r="F9547" i="1"/>
  <c r="I9546" i="1"/>
  <c r="F9546" i="1"/>
  <c r="I9545" i="1"/>
  <c r="F9545" i="1"/>
  <c r="I9544" i="1"/>
  <c r="F9544" i="1"/>
  <c r="I9543" i="1"/>
  <c r="F9543" i="1"/>
  <c r="I9542" i="1"/>
  <c r="F9542" i="1"/>
  <c r="I9541" i="1"/>
  <c r="F9541" i="1"/>
  <c r="I9540" i="1"/>
  <c r="F9540" i="1"/>
  <c r="I9539" i="1"/>
  <c r="F9539" i="1"/>
  <c r="I9538" i="1"/>
  <c r="F9538" i="1"/>
  <c r="I9537" i="1"/>
  <c r="F9537" i="1"/>
  <c r="I9536" i="1"/>
  <c r="F9536" i="1"/>
  <c r="I9535" i="1"/>
  <c r="F9535" i="1"/>
  <c r="I9534" i="1"/>
  <c r="F9534" i="1"/>
  <c r="I9533" i="1"/>
  <c r="F9533" i="1"/>
  <c r="I9532" i="1"/>
  <c r="F9532" i="1"/>
  <c r="I9531" i="1"/>
  <c r="F9531" i="1"/>
  <c r="I9530" i="1"/>
  <c r="F9530" i="1"/>
  <c r="I9529" i="1"/>
  <c r="F9529" i="1"/>
  <c r="I9528" i="1"/>
  <c r="F9528" i="1"/>
  <c r="I9527" i="1"/>
  <c r="F9527" i="1"/>
  <c r="I9526" i="1"/>
  <c r="F9526" i="1"/>
  <c r="I9525" i="1"/>
  <c r="F9525" i="1"/>
  <c r="I9524" i="1"/>
  <c r="F9524" i="1"/>
  <c r="I9523" i="1"/>
  <c r="F9523" i="1"/>
  <c r="I9522" i="1"/>
  <c r="F9522" i="1"/>
  <c r="I9521" i="1"/>
  <c r="F9521" i="1"/>
  <c r="I9520" i="1"/>
  <c r="F9520" i="1"/>
  <c r="I9519" i="1"/>
  <c r="F9519" i="1"/>
  <c r="I9518" i="1"/>
  <c r="F9518" i="1"/>
  <c r="I9517" i="1"/>
  <c r="F9517" i="1"/>
  <c r="I9516" i="1"/>
  <c r="F9516" i="1"/>
  <c r="I9515" i="1"/>
  <c r="F9515" i="1"/>
  <c r="I9514" i="1"/>
  <c r="F9514" i="1"/>
  <c r="I9513" i="1"/>
  <c r="F9513" i="1"/>
  <c r="I9512" i="1"/>
  <c r="F9512" i="1"/>
  <c r="I9511" i="1"/>
  <c r="F9511" i="1"/>
  <c r="I9510" i="1"/>
  <c r="F9510" i="1"/>
  <c r="I9509" i="1"/>
  <c r="F9509" i="1"/>
  <c r="I9508" i="1"/>
  <c r="F9508" i="1"/>
  <c r="I9507" i="1"/>
  <c r="F9507" i="1"/>
  <c r="I9506" i="1"/>
  <c r="F9506" i="1"/>
  <c r="I9505" i="1"/>
  <c r="F9505" i="1"/>
  <c r="I9504" i="1"/>
  <c r="F9504" i="1"/>
  <c r="I9503" i="1"/>
  <c r="F9503" i="1"/>
  <c r="I9502" i="1"/>
  <c r="F9502" i="1"/>
  <c r="I9501" i="1"/>
  <c r="F9501" i="1"/>
  <c r="I9500" i="1"/>
  <c r="F9500" i="1"/>
  <c r="I9499" i="1"/>
  <c r="F9499" i="1"/>
  <c r="I9498" i="1"/>
  <c r="F9498" i="1"/>
  <c r="I9497" i="1"/>
  <c r="F9497" i="1"/>
  <c r="I9496" i="1"/>
  <c r="F9496" i="1"/>
  <c r="I9495" i="1"/>
  <c r="F9495" i="1"/>
  <c r="I9494" i="1"/>
  <c r="F9494" i="1"/>
  <c r="I9493" i="1"/>
  <c r="F9493" i="1"/>
  <c r="I9492" i="1"/>
  <c r="F9492" i="1"/>
  <c r="I9491" i="1"/>
  <c r="F9491" i="1"/>
  <c r="I9490" i="1"/>
  <c r="F9490" i="1"/>
  <c r="I9489" i="1"/>
  <c r="F9489" i="1"/>
  <c r="I9488" i="1"/>
  <c r="F9488" i="1"/>
  <c r="I9487" i="1"/>
  <c r="F9487" i="1"/>
  <c r="I9486" i="1"/>
  <c r="F9486" i="1"/>
  <c r="I9485" i="1"/>
  <c r="F9485" i="1"/>
  <c r="I9484" i="1"/>
  <c r="F9484" i="1"/>
  <c r="I9483" i="1"/>
  <c r="F9483" i="1"/>
  <c r="I9482" i="1"/>
  <c r="F9482" i="1"/>
  <c r="I9481" i="1"/>
  <c r="F9481" i="1"/>
  <c r="I9480" i="1"/>
  <c r="F9480" i="1"/>
  <c r="I9479" i="1"/>
  <c r="F9479" i="1"/>
  <c r="I9478" i="1"/>
  <c r="F9478" i="1"/>
  <c r="I9477" i="1"/>
  <c r="F9477" i="1"/>
  <c r="I9476" i="1"/>
  <c r="F9476" i="1"/>
  <c r="I9475" i="1"/>
  <c r="F9475" i="1"/>
  <c r="I9474" i="1"/>
  <c r="F9474" i="1"/>
  <c r="I9473" i="1"/>
  <c r="F9473" i="1"/>
  <c r="I9472" i="1"/>
  <c r="F9472" i="1"/>
  <c r="I9471" i="1"/>
  <c r="F9471" i="1"/>
  <c r="I9470" i="1"/>
  <c r="F9470" i="1"/>
  <c r="I9469" i="1"/>
  <c r="F9469" i="1"/>
  <c r="I9468" i="1"/>
  <c r="F9468" i="1"/>
  <c r="I9467" i="1"/>
  <c r="F9467" i="1"/>
  <c r="I9466" i="1"/>
  <c r="F9466" i="1"/>
  <c r="I9465" i="1"/>
  <c r="F9465" i="1"/>
  <c r="I9464" i="1"/>
  <c r="F9464" i="1"/>
  <c r="I9463" i="1"/>
  <c r="F9463" i="1"/>
  <c r="I9462" i="1"/>
  <c r="F9462" i="1"/>
  <c r="I9461" i="1"/>
  <c r="F9461" i="1"/>
  <c r="I9460" i="1"/>
  <c r="F9460" i="1"/>
  <c r="I9459" i="1"/>
  <c r="F9459" i="1"/>
  <c r="I9458" i="1"/>
  <c r="F9458" i="1"/>
  <c r="I9457" i="1"/>
  <c r="F9457" i="1"/>
  <c r="I9456" i="1"/>
  <c r="F9456" i="1"/>
  <c r="I9455" i="1"/>
  <c r="F9455" i="1"/>
  <c r="I9454" i="1"/>
  <c r="F9454" i="1"/>
  <c r="I9453" i="1"/>
  <c r="F9453" i="1"/>
  <c r="I9452" i="1"/>
  <c r="F9452" i="1"/>
  <c r="I9451" i="1"/>
  <c r="F9451" i="1"/>
  <c r="I9450" i="1"/>
  <c r="F9450" i="1"/>
  <c r="I9449" i="1"/>
  <c r="F9449" i="1"/>
  <c r="I9448" i="1"/>
  <c r="F9448" i="1"/>
  <c r="I9447" i="1"/>
  <c r="F9447" i="1"/>
  <c r="I9446" i="1"/>
  <c r="F9446" i="1"/>
  <c r="I9445" i="1"/>
  <c r="F9445" i="1"/>
  <c r="I9444" i="1"/>
  <c r="F9444" i="1"/>
  <c r="I9443" i="1"/>
  <c r="F9443" i="1"/>
  <c r="I9442" i="1"/>
  <c r="F9442" i="1"/>
  <c r="I9441" i="1"/>
  <c r="F9441" i="1"/>
  <c r="I9440" i="1"/>
  <c r="F9440" i="1"/>
  <c r="I9439" i="1"/>
  <c r="F9439" i="1"/>
  <c r="I9438" i="1"/>
  <c r="F9438" i="1"/>
  <c r="I9437" i="1"/>
  <c r="F9437" i="1"/>
  <c r="I9436" i="1"/>
  <c r="F9436" i="1"/>
  <c r="I9435" i="1"/>
  <c r="F9435" i="1"/>
  <c r="I9434" i="1"/>
  <c r="F9434" i="1"/>
  <c r="I9433" i="1"/>
  <c r="F9433" i="1"/>
  <c r="I9432" i="1"/>
  <c r="F9432" i="1"/>
  <c r="I9431" i="1"/>
  <c r="F9431" i="1"/>
  <c r="I9430" i="1"/>
  <c r="F9430" i="1"/>
  <c r="I9429" i="1"/>
  <c r="F9429" i="1"/>
  <c r="I9428" i="1"/>
  <c r="F9428" i="1"/>
  <c r="I9427" i="1"/>
  <c r="F9427" i="1"/>
  <c r="I9426" i="1"/>
  <c r="F9426" i="1"/>
  <c r="I9425" i="1"/>
  <c r="F9425" i="1"/>
  <c r="I9424" i="1"/>
  <c r="F9424" i="1"/>
  <c r="I9423" i="1"/>
  <c r="F9423" i="1"/>
  <c r="I9422" i="1"/>
  <c r="F9422" i="1"/>
  <c r="I9421" i="1"/>
  <c r="F9421" i="1"/>
  <c r="I9420" i="1"/>
  <c r="F9420" i="1"/>
  <c r="I9419" i="1"/>
  <c r="F9419" i="1"/>
  <c r="I9418" i="1"/>
  <c r="F9418" i="1"/>
  <c r="I9417" i="1"/>
  <c r="F9417" i="1"/>
  <c r="I9416" i="1"/>
  <c r="F9416" i="1"/>
  <c r="I9415" i="1"/>
  <c r="F9415" i="1"/>
  <c r="I9414" i="1"/>
  <c r="F9414" i="1"/>
  <c r="I9413" i="1"/>
  <c r="F9413" i="1"/>
  <c r="I9412" i="1"/>
  <c r="F9412" i="1"/>
  <c r="I9411" i="1"/>
  <c r="F9411" i="1"/>
  <c r="I9410" i="1"/>
  <c r="F9410" i="1"/>
  <c r="I9409" i="1"/>
  <c r="F9409" i="1"/>
  <c r="I9408" i="1"/>
  <c r="F9408" i="1"/>
  <c r="I9407" i="1"/>
  <c r="F9407" i="1"/>
  <c r="I9406" i="1"/>
  <c r="F9406" i="1"/>
  <c r="I9405" i="1"/>
  <c r="F9405" i="1"/>
  <c r="I9404" i="1"/>
  <c r="F9404" i="1"/>
  <c r="I9403" i="1"/>
  <c r="F9403" i="1"/>
  <c r="I9402" i="1"/>
  <c r="F9402" i="1"/>
  <c r="I9401" i="1"/>
  <c r="F9401" i="1"/>
  <c r="I9400" i="1"/>
  <c r="F9400" i="1"/>
  <c r="I9399" i="1"/>
  <c r="F9399" i="1"/>
  <c r="I9398" i="1"/>
  <c r="F9398" i="1"/>
  <c r="I9397" i="1"/>
  <c r="F9397" i="1"/>
  <c r="I9396" i="1"/>
  <c r="F9396" i="1"/>
  <c r="I9395" i="1"/>
  <c r="F9395" i="1"/>
  <c r="I9394" i="1"/>
  <c r="F9394" i="1"/>
  <c r="I9393" i="1"/>
  <c r="F9393" i="1"/>
  <c r="I9392" i="1"/>
  <c r="F9392" i="1"/>
  <c r="I9391" i="1"/>
  <c r="F9391" i="1"/>
  <c r="I9390" i="1"/>
  <c r="F9390" i="1"/>
  <c r="I9389" i="1"/>
  <c r="F9389" i="1"/>
  <c r="I9388" i="1"/>
  <c r="F9388" i="1"/>
  <c r="I9387" i="1"/>
  <c r="F9387" i="1"/>
  <c r="I9386" i="1"/>
  <c r="F9386" i="1"/>
  <c r="I9385" i="1"/>
  <c r="F9385" i="1"/>
  <c r="I9384" i="1"/>
  <c r="F9384" i="1"/>
  <c r="I9383" i="1"/>
  <c r="F9383" i="1"/>
  <c r="I9382" i="1"/>
  <c r="F9382" i="1"/>
  <c r="I9381" i="1"/>
  <c r="F9381" i="1"/>
  <c r="I9380" i="1"/>
  <c r="F9380" i="1"/>
  <c r="I9379" i="1"/>
  <c r="F9379" i="1"/>
  <c r="I9378" i="1"/>
  <c r="F9378" i="1"/>
  <c r="I9377" i="1"/>
  <c r="F9377" i="1"/>
  <c r="I9376" i="1"/>
  <c r="F9376" i="1"/>
  <c r="I9375" i="1"/>
  <c r="F9375" i="1"/>
  <c r="I9374" i="1"/>
  <c r="F9374" i="1"/>
  <c r="I9373" i="1"/>
  <c r="F9373" i="1"/>
  <c r="I9372" i="1"/>
  <c r="F9372" i="1"/>
  <c r="I9371" i="1"/>
  <c r="F9371" i="1"/>
  <c r="I9370" i="1"/>
  <c r="F9370" i="1"/>
  <c r="I9369" i="1"/>
  <c r="F9369" i="1"/>
  <c r="I9368" i="1"/>
  <c r="F9368" i="1"/>
  <c r="I9367" i="1"/>
  <c r="F9367" i="1"/>
  <c r="I9366" i="1"/>
  <c r="F9366" i="1"/>
  <c r="I9365" i="1"/>
  <c r="F9365" i="1"/>
  <c r="I9364" i="1"/>
  <c r="F9364" i="1"/>
  <c r="I9363" i="1"/>
  <c r="F9363" i="1"/>
  <c r="I9362" i="1"/>
  <c r="F9362" i="1"/>
  <c r="I9361" i="1"/>
  <c r="F9361" i="1"/>
  <c r="I9360" i="1"/>
  <c r="F9360" i="1"/>
  <c r="I9359" i="1"/>
  <c r="F9359" i="1"/>
  <c r="I9358" i="1"/>
  <c r="F9358" i="1"/>
  <c r="I9357" i="1"/>
  <c r="F9357" i="1"/>
  <c r="I9356" i="1"/>
  <c r="F9356" i="1"/>
  <c r="I9355" i="1"/>
  <c r="F9355" i="1"/>
  <c r="I9354" i="1"/>
  <c r="F9354" i="1"/>
  <c r="I9353" i="1"/>
  <c r="F9353" i="1"/>
  <c r="I9352" i="1"/>
  <c r="F9352" i="1"/>
  <c r="I9351" i="1"/>
  <c r="F9351" i="1"/>
  <c r="I9350" i="1"/>
  <c r="F9350" i="1"/>
  <c r="I9349" i="1"/>
  <c r="F9349" i="1"/>
  <c r="I9348" i="1"/>
  <c r="F9348" i="1"/>
  <c r="I9347" i="1"/>
  <c r="F9347" i="1"/>
  <c r="I9346" i="1"/>
  <c r="F9346" i="1"/>
  <c r="I9345" i="1"/>
  <c r="F9345" i="1"/>
  <c r="I9344" i="1"/>
  <c r="F9344" i="1"/>
  <c r="I9343" i="1"/>
  <c r="F9343" i="1"/>
  <c r="I9342" i="1"/>
  <c r="F9342" i="1"/>
  <c r="I9341" i="1"/>
  <c r="F9341" i="1"/>
  <c r="I9340" i="1"/>
  <c r="F9340" i="1"/>
  <c r="I9339" i="1"/>
  <c r="F9339" i="1"/>
  <c r="I9338" i="1"/>
  <c r="F9338" i="1"/>
  <c r="I9337" i="1"/>
  <c r="F9337" i="1"/>
  <c r="I9336" i="1"/>
  <c r="F9336" i="1"/>
  <c r="I9335" i="1"/>
  <c r="F9335" i="1"/>
  <c r="I9334" i="1"/>
  <c r="F9334" i="1"/>
  <c r="I9333" i="1"/>
  <c r="F9333" i="1"/>
  <c r="I9332" i="1"/>
  <c r="F9332" i="1"/>
  <c r="I9331" i="1"/>
  <c r="F9331" i="1"/>
  <c r="I9330" i="1"/>
  <c r="F9330" i="1"/>
  <c r="I9329" i="1"/>
  <c r="F9329" i="1"/>
  <c r="I9328" i="1"/>
  <c r="F9328" i="1"/>
  <c r="I9327" i="1"/>
  <c r="F9327" i="1"/>
  <c r="I9326" i="1"/>
  <c r="F9326" i="1"/>
  <c r="I9325" i="1"/>
  <c r="F9325" i="1"/>
  <c r="I9324" i="1"/>
  <c r="F9324" i="1"/>
  <c r="I9323" i="1"/>
  <c r="F9323" i="1"/>
  <c r="I9322" i="1"/>
  <c r="F9322" i="1"/>
  <c r="I9321" i="1"/>
  <c r="F9321" i="1"/>
  <c r="I9320" i="1"/>
  <c r="F9320" i="1"/>
  <c r="I9319" i="1"/>
  <c r="F9319" i="1"/>
  <c r="I9318" i="1"/>
  <c r="F9318" i="1"/>
  <c r="I9317" i="1"/>
  <c r="F9317" i="1"/>
  <c r="I9316" i="1"/>
  <c r="F9316" i="1"/>
  <c r="I9315" i="1"/>
  <c r="F9315" i="1"/>
  <c r="I9314" i="1"/>
  <c r="F9314" i="1"/>
  <c r="I9313" i="1"/>
  <c r="F9313" i="1"/>
  <c r="I9312" i="1"/>
  <c r="F9312" i="1"/>
  <c r="I9311" i="1"/>
  <c r="F9311" i="1"/>
  <c r="I9310" i="1"/>
  <c r="F9310" i="1"/>
  <c r="I9309" i="1"/>
  <c r="F9309" i="1"/>
  <c r="I9308" i="1"/>
  <c r="F9308" i="1"/>
  <c r="I9307" i="1"/>
  <c r="F9307" i="1"/>
  <c r="I9306" i="1"/>
  <c r="F9306" i="1"/>
  <c r="I9305" i="1"/>
  <c r="F9305" i="1"/>
  <c r="I9304" i="1"/>
  <c r="F9304" i="1"/>
  <c r="I9303" i="1"/>
  <c r="F9303" i="1"/>
  <c r="I9302" i="1"/>
  <c r="F9302" i="1"/>
  <c r="I9301" i="1"/>
  <c r="F9301" i="1"/>
  <c r="I9300" i="1"/>
  <c r="F9300" i="1"/>
  <c r="I9299" i="1"/>
  <c r="F9299" i="1"/>
  <c r="I9298" i="1"/>
  <c r="F9298" i="1"/>
  <c r="I9297" i="1"/>
  <c r="F9297" i="1"/>
  <c r="I9296" i="1"/>
  <c r="F9296" i="1"/>
  <c r="I9295" i="1"/>
  <c r="F9295" i="1"/>
  <c r="I9294" i="1"/>
  <c r="F9294" i="1"/>
  <c r="I9293" i="1"/>
  <c r="F9293" i="1"/>
  <c r="I9292" i="1"/>
  <c r="F9292" i="1"/>
  <c r="I9291" i="1"/>
  <c r="F9291" i="1"/>
  <c r="I9290" i="1"/>
  <c r="F9290" i="1"/>
  <c r="I9289" i="1"/>
  <c r="F9289" i="1"/>
  <c r="I9288" i="1"/>
  <c r="F9288" i="1"/>
  <c r="I9287" i="1"/>
  <c r="F9287" i="1"/>
  <c r="I9286" i="1"/>
  <c r="F9286" i="1"/>
  <c r="I9285" i="1"/>
  <c r="F9285" i="1"/>
  <c r="I9284" i="1"/>
  <c r="F9284" i="1"/>
  <c r="I9283" i="1"/>
  <c r="F9283" i="1"/>
  <c r="I9282" i="1"/>
  <c r="F9282" i="1"/>
  <c r="I9281" i="1"/>
  <c r="F9281" i="1"/>
  <c r="I9280" i="1"/>
  <c r="F9280" i="1"/>
  <c r="I9279" i="1"/>
  <c r="F9279" i="1"/>
  <c r="I9278" i="1"/>
  <c r="F9278" i="1"/>
  <c r="I9277" i="1"/>
  <c r="F9277" i="1"/>
  <c r="I9276" i="1"/>
  <c r="F9276" i="1"/>
  <c r="I9275" i="1"/>
  <c r="F9275" i="1"/>
  <c r="I9274" i="1"/>
  <c r="F9274" i="1"/>
  <c r="I9273" i="1"/>
  <c r="F9273" i="1"/>
  <c r="I9272" i="1"/>
  <c r="F9272" i="1"/>
  <c r="I9271" i="1"/>
  <c r="F9271" i="1"/>
  <c r="I9270" i="1"/>
  <c r="F9270" i="1"/>
  <c r="I9269" i="1"/>
  <c r="F9269" i="1"/>
  <c r="I9268" i="1"/>
  <c r="F9268" i="1"/>
  <c r="I9267" i="1"/>
  <c r="F9267" i="1"/>
  <c r="I9266" i="1"/>
  <c r="F9266" i="1"/>
  <c r="I9265" i="1"/>
  <c r="F9265" i="1"/>
  <c r="I9264" i="1"/>
  <c r="F9264" i="1"/>
  <c r="I9263" i="1"/>
  <c r="F9263" i="1"/>
  <c r="I9262" i="1"/>
  <c r="F9262" i="1"/>
  <c r="I9261" i="1"/>
  <c r="F9261" i="1"/>
  <c r="I9260" i="1"/>
  <c r="F9260" i="1"/>
  <c r="I9259" i="1"/>
  <c r="F9259" i="1"/>
  <c r="I9258" i="1"/>
  <c r="F9258" i="1"/>
  <c r="I9257" i="1"/>
  <c r="F9257" i="1"/>
  <c r="I9256" i="1"/>
  <c r="F9256" i="1"/>
  <c r="I9255" i="1"/>
  <c r="F9255" i="1"/>
  <c r="I9254" i="1"/>
  <c r="F9254" i="1"/>
  <c r="I9253" i="1"/>
  <c r="F9253" i="1"/>
  <c r="I9252" i="1"/>
  <c r="F9252" i="1"/>
  <c r="I9251" i="1"/>
  <c r="F9251" i="1"/>
  <c r="I9250" i="1"/>
  <c r="F9250" i="1"/>
  <c r="I9249" i="1"/>
  <c r="F9249" i="1"/>
  <c r="I9248" i="1"/>
  <c r="F9248" i="1"/>
  <c r="I9247" i="1"/>
  <c r="F9247" i="1"/>
  <c r="I9246" i="1"/>
  <c r="F9246" i="1"/>
  <c r="I9245" i="1"/>
  <c r="F9245" i="1"/>
  <c r="I9244" i="1"/>
  <c r="F9244" i="1"/>
  <c r="I9243" i="1"/>
  <c r="F9243" i="1"/>
  <c r="I9242" i="1"/>
  <c r="F9242" i="1"/>
  <c r="I9241" i="1"/>
  <c r="F9241" i="1"/>
  <c r="I9240" i="1"/>
  <c r="F9240" i="1"/>
  <c r="I9239" i="1"/>
  <c r="F9239" i="1"/>
  <c r="I9238" i="1"/>
  <c r="F9238" i="1"/>
  <c r="I9237" i="1"/>
  <c r="F9237" i="1"/>
  <c r="I9236" i="1"/>
  <c r="F9236" i="1"/>
  <c r="I9235" i="1"/>
  <c r="F9235" i="1"/>
  <c r="I9234" i="1"/>
  <c r="F9234" i="1"/>
  <c r="I9233" i="1"/>
  <c r="F9233" i="1"/>
  <c r="I9232" i="1"/>
  <c r="F9232" i="1"/>
  <c r="I9231" i="1"/>
  <c r="F9231" i="1"/>
  <c r="I9230" i="1"/>
  <c r="F9230" i="1"/>
  <c r="I9229" i="1"/>
  <c r="F9229" i="1"/>
  <c r="I9228" i="1"/>
  <c r="F9228" i="1"/>
  <c r="I9227" i="1"/>
  <c r="F9227" i="1"/>
  <c r="I9226" i="1"/>
  <c r="F9226" i="1"/>
  <c r="I9225" i="1"/>
  <c r="F9225" i="1"/>
  <c r="I9224" i="1"/>
  <c r="F9224" i="1"/>
  <c r="I9223" i="1"/>
  <c r="F9223" i="1"/>
  <c r="I9222" i="1"/>
  <c r="F9222" i="1"/>
  <c r="I9221" i="1"/>
  <c r="F9221" i="1"/>
  <c r="I9220" i="1"/>
  <c r="F9220" i="1"/>
  <c r="I9219" i="1"/>
  <c r="F9219" i="1"/>
  <c r="I9218" i="1"/>
  <c r="F9218" i="1"/>
  <c r="I9217" i="1"/>
  <c r="F9217" i="1"/>
  <c r="I9216" i="1"/>
  <c r="F9216" i="1"/>
  <c r="I9215" i="1"/>
  <c r="F9215" i="1"/>
  <c r="I9214" i="1"/>
  <c r="F9214" i="1"/>
  <c r="I9213" i="1"/>
  <c r="F9213" i="1"/>
  <c r="I9212" i="1"/>
  <c r="F9212" i="1"/>
  <c r="I9211" i="1"/>
  <c r="F9211" i="1"/>
  <c r="I9210" i="1"/>
  <c r="F9210" i="1"/>
  <c r="I9209" i="1"/>
  <c r="F9209" i="1"/>
  <c r="I9208" i="1"/>
  <c r="F9208" i="1"/>
  <c r="I9207" i="1"/>
  <c r="F9207" i="1"/>
  <c r="I9206" i="1"/>
  <c r="F9206" i="1"/>
  <c r="I9205" i="1"/>
  <c r="F9205" i="1"/>
  <c r="I9204" i="1"/>
  <c r="F9204" i="1"/>
  <c r="I9203" i="1"/>
  <c r="F9203" i="1"/>
  <c r="I9202" i="1"/>
  <c r="F9202" i="1"/>
  <c r="I9201" i="1"/>
  <c r="F9201" i="1"/>
  <c r="I9200" i="1"/>
  <c r="F9200" i="1"/>
  <c r="I9199" i="1"/>
  <c r="F9199" i="1"/>
  <c r="I9198" i="1"/>
  <c r="F9198" i="1"/>
  <c r="I9197" i="1"/>
  <c r="F9197" i="1"/>
  <c r="I9196" i="1"/>
  <c r="F9196" i="1"/>
  <c r="I9195" i="1"/>
  <c r="F9195" i="1"/>
  <c r="I9194" i="1"/>
  <c r="F9194" i="1"/>
  <c r="I9193" i="1"/>
  <c r="F9193" i="1"/>
  <c r="I9192" i="1"/>
  <c r="F9192" i="1"/>
  <c r="I9191" i="1"/>
  <c r="F9191" i="1"/>
  <c r="I9190" i="1"/>
  <c r="F9190" i="1"/>
  <c r="I9189" i="1"/>
  <c r="F9189" i="1"/>
  <c r="I9188" i="1"/>
  <c r="F9188" i="1"/>
  <c r="I9187" i="1"/>
  <c r="F9187" i="1"/>
  <c r="I9186" i="1"/>
  <c r="F9186" i="1"/>
  <c r="I9185" i="1"/>
  <c r="F9185" i="1"/>
  <c r="I9184" i="1"/>
  <c r="F9184" i="1"/>
  <c r="I9183" i="1"/>
  <c r="F9183" i="1"/>
  <c r="I9182" i="1"/>
  <c r="F9182" i="1"/>
  <c r="I9181" i="1"/>
  <c r="F9181" i="1"/>
  <c r="I9180" i="1"/>
  <c r="F9180" i="1"/>
  <c r="I9179" i="1"/>
  <c r="F9179" i="1"/>
  <c r="I9178" i="1"/>
  <c r="F9178" i="1"/>
  <c r="I9177" i="1"/>
  <c r="F9177" i="1"/>
  <c r="I9176" i="1"/>
  <c r="F9176" i="1"/>
  <c r="I9175" i="1"/>
  <c r="F9175" i="1"/>
  <c r="I9174" i="1"/>
  <c r="F9174" i="1"/>
  <c r="I9173" i="1"/>
  <c r="F9173" i="1"/>
  <c r="I9172" i="1"/>
  <c r="F9172" i="1"/>
  <c r="I9171" i="1"/>
  <c r="F9171" i="1"/>
  <c r="I9170" i="1"/>
  <c r="F9170" i="1"/>
  <c r="I9169" i="1"/>
  <c r="F9169" i="1"/>
  <c r="I9168" i="1"/>
  <c r="F9168" i="1"/>
  <c r="I9167" i="1"/>
  <c r="F9167" i="1"/>
  <c r="I9166" i="1"/>
  <c r="F9166" i="1"/>
  <c r="I9165" i="1"/>
  <c r="F9165" i="1"/>
  <c r="I9164" i="1"/>
  <c r="F9164" i="1"/>
  <c r="I9163" i="1"/>
  <c r="F9163" i="1"/>
  <c r="I9162" i="1"/>
  <c r="F9162" i="1"/>
  <c r="I9161" i="1"/>
  <c r="F9161" i="1"/>
  <c r="I9160" i="1"/>
  <c r="F9160" i="1"/>
  <c r="I9159" i="1"/>
  <c r="F9159" i="1"/>
  <c r="I9158" i="1"/>
  <c r="F9158" i="1"/>
  <c r="I9157" i="1"/>
  <c r="F9157" i="1"/>
  <c r="I9156" i="1"/>
  <c r="F9156" i="1"/>
  <c r="I9155" i="1"/>
  <c r="F9155" i="1"/>
  <c r="I9154" i="1"/>
  <c r="F9154" i="1"/>
  <c r="I9153" i="1"/>
  <c r="F9153" i="1"/>
  <c r="I9152" i="1"/>
  <c r="F9152" i="1"/>
  <c r="I9151" i="1"/>
  <c r="F9151" i="1"/>
  <c r="I9150" i="1"/>
  <c r="F9150" i="1"/>
  <c r="I9149" i="1"/>
  <c r="F9149" i="1"/>
  <c r="I9148" i="1"/>
  <c r="F9148" i="1"/>
  <c r="I9147" i="1"/>
  <c r="F9147" i="1"/>
  <c r="I9146" i="1"/>
  <c r="F9146" i="1"/>
  <c r="I9145" i="1"/>
  <c r="F9145" i="1"/>
  <c r="I9144" i="1"/>
  <c r="F9144" i="1"/>
  <c r="I9143" i="1"/>
  <c r="F9143" i="1"/>
  <c r="I9142" i="1"/>
  <c r="F9142" i="1"/>
  <c r="I9141" i="1"/>
  <c r="F9141" i="1"/>
  <c r="I9140" i="1"/>
  <c r="F9140" i="1"/>
  <c r="I9139" i="1"/>
  <c r="F9139" i="1"/>
  <c r="I9138" i="1"/>
  <c r="F9138" i="1"/>
  <c r="I9137" i="1"/>
  <c r="F9137" i="1"/>
  <c r="I9136" i="1"/>
  <c r="F9136" i="1"/>
  <c r="I9135" i="1"/>
  <c r="F9135" i="1"/>
  <c r="I9134" i="1"/>
  <c r="F9134" i="1"/>
  <c r="I9133" i="1"/>
  <c r="F9133" i="1"/>
  <c r="I9132" i="1"/>
  <c r="F9132" i="1"/>
  <c r="I9131" i="1"/>
  <c r="F9131" i="1"/>
  <c r="I9130" i="1"/>
  <c r="F9130" i="1"/>
  <c r="I9129" i="1"/>
  <c r="F9129" i="1"/>
  <c r="I9128" i="1"/>
  <c r="F9128" i="1"/>
  <c r="I9127" i="1"/>
  <c r="F9127" i="1"/>
  <c r="I9126" i="1"/>
  <c r="F9126" i="1"/>
  <c r="I9125" i="1"/>
  <c r="F9125" i="1"/>
  <c r="I9124" i="1"/>
  <c r="F9124" i="1"/>
  <c r="I9123" i="1"/>
  <c r="F9123" i="1"/>
  <c r="I9122" i="1"/>
  <c r="F9122" i="1"/>
  <c r="I9121" i="1"/>
  <c r="F9121" i="1"/>
  <c r="I9120" i="1"/>
  <c r="F9120" i="1"/>
  <c r="I9119" i="1"/>
  <c r="F9119" i="1"/>
  <c r="I9118" i="1"/>
  <c r="F9118" i="1"/>
  <c r="I9117" i="1"/>
  <c r="F9117" i="1"/>
  <c r="I9116" i="1"/>
  <c r="F9116" i="1"/>
  <c r="I9115" i="1"/>
  <c r="F9115" i="1"/>
  <c r="I9114" i="1"/>
  <c r="F9114" i="1"/>
  <c r="I9113" i="1"/>
  <c r="F9113" i="1"/>
  <c r="I9112" i="1"/>
  <c r="F9112" i="1"/>
  <c r="I9111" i="1"/>
  <c r="F9111" i="1"/>
  <c r="I9110" i="1"/>
  <c r="F9110" i="1"/>
  <c r="I9109" i="1"/>
  <c r="F9109" i="1"/>
  <c r="I9108" i="1"/>
  <c r="F9108" i="1"/>
  <c r="I9107" i="1"/>
  <c r="F9107" i="1"/>
  <c r="I9106" i="1"/>
  <c r="F9106" i="1"/>
  <c r="I9105" i="1"/>
  <c r="F9105" i="1"/>
  <c r="I9104" i="1"/>
  <c r="F9104" i="1"/>
  <c r="I9103" i="1"/>
  <c r="F9103" i="1"/>
  <c r="I9102" i="1"/>
  <c r="F9102" i="1"/>
  <c r="I9101" i="1"/>
  <c r="F9101" i="1"/>
  <c r="I9100" i="1"/>
  <c r="F9100" i="1"/>
  <c r="I9099" i="1"/>
  <c r="F9099" i="1"/>
  <c r="I9098" i="1"/>
  <c r="F9098" i="1"/>
  <c r="I9097" i="1"/>
  <c r="F9097" i="1"/>
  <c r="I9096" i="1"/>
  <c r="F9096" i="1"/>
  <c r="I9095" i="1"/>
  <c r="F9095" i="1"/>
  <c r="I9094" i="1"/>
  <c r="F9094" i="1"/>
  <c r="I9093" i="1"/>
  <c r="F9093" i="1"/>
  <c r="I9092" i="1"/>
  <c r="F9092" i="1"/>
  <c r="I9091" i="1"/>
  <c r="F9091" i="1"/>
  <c r="I9090" i="1"/>
  <c r="F9090" i="1"/>
  <c r="I9089" i="1"/>
  <c r="F9089" i="1"/>
  <c r="I9088" i="1"/>
  <c r="F9088" i="1"/>
  <c r="I9087" i="1"/>
  <c r="F9087" i="1"/>
  <c r="I9086" i="1"/>
  <c r="F9086" i="1"/>
  <c r="I9085" i="1"/>
  <c r="F9085" i="1"/>
  <c r="I9084" i="1"/>
  <c r="F9084" i="1"/>
  <c r="I9083" i="1"/>
  <c r="F9083" i="1"/>
  <c r="I9082" i="1"/>
  <c r="F9082" i="1"/>
  <c r="I9081" i="1"/>
  <c r="F9081" i="1"/>
  <c r="I9080" i="1"/>
  <c r="F9080" i="1"/>
  <c r="I9079" i="1"/>
  <c r="F9079" i="1"/>
  <c r="I9078" i="1"/>
  <c r="F9078" i="1"/>
  <c r="I9077" i="1"/>
  <c r="F9077" i="1"/>
  <c r="I9076" i="1"/>
  <c r="F9076" i="1"/>
  <c r="I9075" i="1"/>
  <c r="F9075" i="1"/>
  <c r="I9074" i="1"/>
  <c r="F9074" i="1"/>
  <c r="I9073" i="1"/>
  <c r="F9073" i="1"/>
  <c r="I9072" i="1"/>
  <c r="F9072" i="1"/>
  <c r="I9071" i="1"/>
  <c r="F9071" i="1"/>
  <c r="I9070" i="1"/>
  <c r="F9070" i="1"/>
  <c r="I9069" i="1"/>
  <c r="F9069" i="1"/>
  <c r="I9068" i="1"/>
  <c r="F9068" i="1"/>
  <c r="I9067" i="1"/>
  <c r="F9067" i="1"/>
  <c r="I9066" i="1"/>
  <c r="F9066" i="1"/>
  <c r="I9065" i="1"/>
  <c r="F9065" i="1"/>
  <c r="I9064" i="1"/>
  <c r="F9064" i="1"/>
  <c r="I9063" i="1"/>
  <c r="F9063" i="1"/>
  <c r="I9062" i="1"/>
  <c r="F9062" i="1"/>
  <c r="I9061" i="1"/>
  <c r="F9061" i="1"/>
  <c r="I9060" i="1"/>
  <c r="F9060" i="1"/>
  <c r="I9059" i="1"/>
  <c r="F9059" i="1"/>
  <c r="I9058" i="1"/>
  <c r="F9058" i="1"/>
  <c r="I9057" i="1"/>
  <c r="F9057" i="1"/>
  <c r="I9056" i="1"/>
  <c r="F9056" i="1"/>
  <c r="I9055" i="1"/>
  <c r="F9055" i="1"/>
  <c r="I9054" i="1"/>
  <c r="F9054" i="1"/>
  <c r="I9053" i="1"/>
  <c r="F9053" i="1"/>
  <c r="I9052" i="1"/>
  <c r="F9052" i="1"/>
  <c r="I9051" i="1"/>
  <c r="F9051" i="1"/>
  <c r="I9050" i="1"/>
  <c r="F9050" i="1"/>
  <c r="I9049" i="1"/>
  <c r="F9049" i="1"/>
  <c r="I9048" i="1"/>
  <c r="F9048" i="1"/>
  <c r="I9047" i="1"/>
  <c r="F9047" i="1"/>
  <c r="I9046" i="1"/>
  <c r="F9046" i="1"/>
  <c r="I9045" i="1"/>
  <c r="F9045" i="1"/>
  <c r="I9044" i="1"/>
  <c r="F9044" i="1"/>
  <c r="I9043" i="1"/>
  <c r="F9043" i="1"/>
  <c r="I9042" i="1"/>
  <c r="F9042" i="1"/>
  <c r="I9041" i="1"/>
  <c r="F9041" i="1"/>
  <c r="I9040" i="1"/>
  <c r="F9040" i="1"/>
  <c r="I9039" i="1"/>
  <c r="F9039" i="1"/>
  <c r="I9038" i="1"/>
  <c r="F9038" i="1"/>
  <c r="I9037" i="1"/>
  <c r="F9037" i="1"/>
  <c r="I9036" i="1"/>
  <c r="F9036" i="1"/>
  <c r="I9035" i="1"/>
  <c r="F9035" i="1"/>
  <c r="I9034" i="1"/>
  <c r="F9034" i="1"/>
  <c r="I9033" i="1"/>
  <c r="F9033" i="1"/>
  <c r="I9032" i="1"/>
  <c r="F9032" i="1"/>
  <c r="I9031" i="1"/>
  <c r="F9031" i="1"/>
  <c r="I9030" i="1"/>
  <c r="F9030" i="1"/>
  <c r="I9029" i="1"/>
  <c r="F9029" i="1"/>
  <c r="I9028" i="1"/>
  <c r="F9028" i="1"/>
  <c r="I9027" i="1"/>
  <c r="F9027" i="1"/>
  <c r="I9026" i="1"/>
  <c r="F9026" i="1"/>
  <c r="I9025" i="1"/>
  <c r="F9025" i="1"/>
  <c r="I9024" i="1"/>
  <c r="F9024" i="1"/>
  <c r="I9023" i="1"/>
  <c r="F9023" i="1"/>
  <c r="I9022" i="1"/>
  <c r="F9022" i="1"/>
  <c r="I9021" i="1"/>
  <c r="F9021" i="1"/>
  <c r="I9020" i="1"/>
  <c r="F9020" i="1"/>
  <c r="I9019" i="1"/>
  <c r="F9019" i="1"/>
  <c r="I9018" i="1"/>
  <c r="F9018" i="1"/>
  <c r="I9017" i="1"/>
  <c r="F9017" i="1"/>
  <c r="I9016" i="1"/>
  <c r="F9016" i="1"/>
  <c r="I9015" i="1"/>
  <c r="F9015" i="1"/>
  <c r="I9014" i="1"/>
  <c r="F9014" i="1"/>
  <c r="I9013" i="1"/>
  <c r="F9013" i="1"/>
  <c r="I9012" i="1"/>
  <c r="F9012" i="1"/>
  <c r="I9011" i="1"/>
  <c r="F9011" i="1"/>
  <c r="I9010" i="1"/>
  <c r="F9010" i="1"/>
  <c r="I9009" i="1"/>
  <c r="F9009" i="1"/>
  <c r="I9008" i="1"/>
  <c r="F9008" i="1"/>
  <c r="I9007" i="1"/>
  <c r="F9007" i="1"/>
  <c r="I9006" i="1"/>
  <c r="F9006" i="1"/>
  <c r="I9005" i="1"/>
  <c r="F9005" i="1"/>
  <c r="I9004" i="1"/>
  <c r="F9004" i="1"/>
  <c r="I9003" i="1"/>
  <c r="F9003" i="1"/>
  <c r="I9002" i="1"/>
  <c r="F9002" i="1"/>
  <c r="I9001" i="1"/>
  <c r="F9001" i="1"/>
  <c r="I9000" i="1"/>
  <c r="F9000" i="1"/>
  <c r="I8999" i="1"/>
  <c r="F8999" i="1"/>
  <c r="I8998" i="1"/>
  <c r="F8998" i="1"/>
  <c r="I8997" i="1"/>
  <c r="F8997" i="1"/>
  <c r="I8996" i="1"/>
  <c r="F8996" i="1"/>
  <c r="I8995" i="1"/>
  <c r="F8995" i="1"/>
  <c r="I8994" i="1"/>
  <c r="F8994" i="1"/>
  <c r="I8993" i="1"/>
  <c r="F8993" i="1"/>
  <c r="I8992" i="1"/>
  <c r="F8992" i="1"/>
  <c r="I8991" i="1"/>
  <c r="F8991" i="1"/>
  <c r="I8990" i="1"/>
  <c r="F8990" i="1"/>
  <c r="I8989" i="1"/>
  <c r="F8989" i="1"/>
  <c r="I8988" i="1"/>
  <c r="F8988" i="1"/>
  <c r="I8987" i="1"/>
  <c r="F8987" i="1"/>
  <c r="I8986" i="1"/>
  <c r="F8986" i="1"/>
  <c r="I8985" i="1"/>
  <c r="F8985" i="1"/>
  <c r="I8984" i="1"/>
  <c r="F8984" i="1"/>
  <c r="I8983" i="1"/>
  <c r="F8983" i="1"/>
  <c r="I8982" i="1"/>
  <c r="F8982" i="1"/>
  <c r="I8981" i="1"/>
  <c r="F8981" i="1"/>
  <c r="I8980" i="1"/>
  <c r="F8980" i="1"/>
  <c r="I8979" i="1"/>
  <c r="F8979" i="1"/>
  <c r="I8978" i="1"/>
  <c r="F8978" i="1"/>
  <c r="I8977" i="1"/>
  <c r="F8977" i="1"/>
  <c r="I8976" i="1"/>
  <c r="F8976" i="1"/>
  <c r="I8975" i="1"/>
  <c r="F8975" i="1"/>
  <c r="I8974" i="1"/>
  <c r="F8974" i="1"/>
  <c r="I8973" i="1"/>
  <c r="F8973" i="1"/>
  <c r="I8972" i="1"/>
  <c r="F8972" i="1"/>
  <c r="I8971" i="1"/>
  <c r="F8971" i="1"/>
  <c r="I8970" i="1"/>
  <c r="F8970" i="1"/>
  <c r="I8969" i="1"/>
  <c r="F8969" i="1"/>
  <c r="I8968" i="1"/>
  <c r="F8968" i="1"/>
  <c r="I8967" i="1"/>
  <c r="F8967" i="1"/>
  <c r="I8966" i="1"/>
  <c r="F8966" i="1"/>
  <c r="I8965" i="1"/>
  <c r="F8965" i="1"/>
  <c r="I8964" i="1"/>
  <c r="F8964" i="1"/>
  <c r="I8963" i="1"/>
  <c r="F8963" i="1"/>
  <c r="I8962" i="1"/>
  <c r="F8962" i="1"/>
  <c r="I8961" i="1"/>
  <c r="F8961" i="1"/>
  <c r="I8960" i="1"/>
  <c r="F8960" i="1"/>
  <c r="I8959" i="1"/>
  <c r="F8959" i="1"/>
  <c r="I8958" i="1"/>
  <c r="F8958" i="1"/>
  <c r="I8957" i="1"/>
  <c r="F8957" i="1"/>
  <c r="I8956" i="1"/>
  <c r="F8956" i="1"/>
  <c r="I8955" i="1"/>
  <c r="F8955" i="1"/>
  <c r="I8954" i="1"/>
  <c r="F8954" i="1"/>
  <c r="I8953" i="1"/>
  <c r="F8953" i="1"/>
  <c r="I8952" i="1"/>
  <c r="F8952" i="1"/>
  <c r="I8951" i="1"/>
  <c r="F8951" i="1"/>
  <c r="I8950" i="1"/>
  <c r="F8950" i="1"/>
  <c r="I8949" i="1"/>
  <c r="F8949" i="1"/>
  <c r="I8948" i="1"/>
  <c r="F8948" i="1"/>
  <c r="I8947" i="1"/>
  <c r="F8947" i="1"/>
  <c r="I8946" i="1"/>
  <c r="F8946" i="1"/>
  <c r="I8945" i="1"/>
  <c r="F8945" i="1"/>
  <c r="I8944" i="1"/>
  <c r="F8944" i="1"/>
  <c r="I8943" i="1"/>
  <c r="F8943" i="1"/>
  <c r="I8942" i="1"/>
  <c r="F8942" i="1"/>
  <c r="I8941" i="1"/>
  <c r="F8941" i="1"/>
  <c r="I8940" i="1"/>
  <c r="F8940" i="1"/>
  <c r="I8939" i="1"/>
  <c r="F8939" i="1"/>
  <c r="I8938" i="1"/>
  <c r="F8938" i="1"/>
  <c r="I8937" i="1"/>
  <c r="F8937" i="1"/>
  <c r="I8936" i="1"/>
  <c r="F8936" i="1"/>
  <c r="I8935" i="1"/>
  <c r="F8935" i="1"/>
  <c r="I8934" i="1"/>
  <c r="F8934" i="1"/>
  <c r="I8933" i="1"/>
  <c r="F8933" i="1"/>
  <c r="I8932" i="1"/>
  <c r="F8932" i="1"/>
  <c r="I8931" i="1"/>
  <c r="F8931" i="1"/>
  <c r="I8930" i="1"/>
  <c r="F8930" i="1"/>
  <c r="I8929" i="1"/>
  <c r="F8929" i="1"/>
  <c r="I8928" i="1"/>
  <c r="F8928" i="1"/>
  <c r="I8927" i="1"/>
  <c r="F8927" i="1"/>
  <c r="I8926" i="1"/>
  <c r="F8926" i="1"/>
  <c r="I8925" i="1"/>
  <c r="F8925" i="1"/>
  <c r="I8924" i="1"/>
  <c r="F8924" i="1"/>
  <c r="I8923" i="1"/>
  <c r="F8923" i="1"/>
  <c r="I8922" i="1"/>
  <c r="F8922" i="1"/>
  <c r="I8921" i="1"/>
  <c r="F8921" i="1"/>
  <c r="I8920" i="1"/>
  <c r="F8920" i="1"/>
  <c r="I8919" i="1"/>
  <c r="F8919" i="1"/>
  <c r="I8918" i="1"/>
  <c r="F8918" i="1"/>
  <c r="I8917" i="1"/>
  <c r="F8917" i="1"/>
  <c r="I8916" i="1"/>
  <c r="F8916" i="1"/>
  <c r="I8915" i="1"/>
  <c r="F8915" i="1"/>
  <c r="I8914" i="1"/>
  <c r="F8914" i="1"/>
  <c r="I8913" i="1"/>
  <c r="F8913" i="1"/>
  <c r="I8912" i="1"/>
  <c r="F8912" i="1"/>
  <c r="I8911" i="1"/>
  <c r="F8911" i="1"/>
  <c r="I8910" i="1"/>
  <c r="F8910" i="1"/>
  <c r="I8909" i="1"/>
  <c r="F8909" i="1"/>
  <c r="I8908" i="1"/>
  <c r="F8908" i="1"/>
  <c r="I8907" i="1"/>
  <c r="F8907" i="1"/>
  <c r="I8906" i="1"/>
  <c r="F8906" i="1"/>
  <c r="I8905" i="1"/>
  <c r="F8905" i="1"/>
  <c r="I8904" i="1"/>
  <c r="F8904" i="1"/>
  <c r="I8903" i="1"/>
  <c r="F8903" i="1"/>
  <c r="I8902" i="1"/>
  <c r="F8902" i="1"/>
  <c r="I8901" i="1"/>
  <c r="F8901" i="1"/>
  <c r="I8900" i="1"/>
  <c r="F8900" i="1"/>
  <c r="I8899" i="1"/>
  <c r="F8899" i="1"/>
  <c r="I8898" i="1"/>
  <c r="F8898" i="1"/>
  <c r="I8897" i="1"/>
  <c r="F8897" i="1"/>
  <c r="I8896" i="1"/>
  <c r="F8896" i="1"/>
  <c r="I8895" i="1"/>
  <c r="F8895" i="1"/>
  <c r="I8894" i="1"/>
  <c r="F8894" i="1"/>
  <c r="I8893" i="1"/>
  <c r="F8893" i="1"/>
  <c r="I8892" i="1"/>
  <c r="F8892" i="1"/>
  <c r="I8891" i="1"/>
  <c r="F8891" i="1"/>
  <c r="I8890" i="1"/>
  <c r="F8890" i="1"/>
  <c r="I8889" i="1"/>
  <c r="F8889" i="1"/>
  <c r="I8888" i="1"/>
  <c r="F8888" i="1"/>
  <c r="I8887" i="1"/>
  <c r="F8887" i="1"/>
  <c r="I8886" i="1"/>
  <c r="F8886" i="1"/>
  <c r="I8885" i="1"/>
  <c r="F8885" i="1"/>
  <c r="I8884" i="1"/>
  <c r="F8884" i="1"/>
  <c r="I8883" i="1"/>
  <c r="F8883" i="1"/>
  <c r="I8882" i="1"/>
  <c r="F8882" i="1"/>
  <c r="I8881" i="1"/>
  <c r="F8881" i="1"/>
  <c r="I8880" i="1"/>
  <c r="F8880" i="1"/>
  <c r="I8879" i="1"/>
  <c r="F8879" i="1"/>
  <c r="I8878" i="1"/>
  <c r="F8878" i="1"/>
  <c r="I8877" i="1"/>
  <c r="F8877" i="1"/>
  <c r="I8876" i="1"/>
  <c r="F8876" i="1"/>
  <c r="I8875" i="1"/>
  <c r="F8875" i="1"/>
  <c r="I8874" i="1"/>
  <c r="F8874" i="1"/>
  <c r="I8873" i="1"/>
  <c r="F8873" i="1"/>
  <c r="I8872" i="1"/>
  <c r="F8872" i="1"/>
  <c r="I8871" i="1"/>
  <c r="F8871" i="1"/>
  <c r="I8870" i="1"/>
  <c r="F8870" i="1"/>
  <c r="I8869" i="1"/>
  <c r="F8869" i="1"/>
  <c r="I8868" i="1"/>
  <c r="F8868" i="1"/>
  <c r="I8867" i="1"/>
  <c r="F8867" i="1"/>
  <c r="I8866" i="1"/>
  <c r="F8866" i="1"/>
  <c r="I8865" i="1"/>
  <c r="F8865" i="1"/>
  <c r="I8864" i="1"/>
  <c r="F8864" i="1"/>
  <c r="I8863" i="1"/>
  <c r="F8863" i="1"/>
  <c r="I8862" i="1"/>
  <c r="F8862" i="1"/>
  <c r="I8861" i="1"/>
  <c r="F8861" i="1"/>
  <c r="I8860" i="1"/>
  <c r="F8860" i="1"/>
  <c r="I8859" i="1"/>
  <c r="F8859" i="1"/>
  <c r="I8858" i="1"/>
  <c r="F8858" i="1"/>
  <c r="I8857" i="1"/>
  <c r="F8857" i="1"/>
  <c r="I8856" i="1"/>
  <c r="F8856" i="1"/>
  <c r="I8855" i="1"/>
  <c r="F8855" i="1"/>
  <c r="I8854" i="1"/>
  <c r="F8854" i="1"/>
  <c r="I8853" i="1"/>
  <c r="F8853" i="1"/>
  <c r="I8852" i="1"/>
  <c r="F8852" i="1"/>
  <c r="I8851" i="1"/>
  <c r="F8851" i="1"/>
  <c r="I8850" i="1"/>
  <c r="F8850" i="1"/>
  <c r="I8849" i="1"/>
  <c r="F8849" i="1"/>
  <c r="I8848" i="1"/>
  <c r="F8848" i="1"/>
  <c r="I8847" i="1"/>
  <c r="F8847" i="1"/>
  <c r="I8846" i="1"/>
  <c r="F8846" i="1"/>
  <c r="I8845" i="1"/>
  <c r="F8845" i="1"/>
  <c r="I8844" i="1"/>
  <c r="F8844" i="1"/>
  <c r="I8843" i="1"/>
  <c r="F8843" i="1"/>
  <c r="I8842" i="1"/>
  <c r="F8842" i="1"/>
  <c r="I8841" i="1"/>
  <c r="F8841" i="1"/>
  <c r="I8840" i="1"/>
  <c r="F8840" i="1"/>
  <c r="I8839" i="1"/>
  <c r="F8839" i="1"/>
  <c r="I8838" i="1"/>
  <c r="F8838" i="1"/>
  <c r="I8837" i="1"/>
  <c r="F8837" i="1"/>
  <c r="I8836" i="1"/>
  <c r="F8836" i="1"/>
  <c r="I8835" i="1"/>
  <c r="F8835" i="1"/>
  <c r="I8834" i="1"/>
  <c r="F8834" i="1"/>
  <c r="I8833" i="1"/>
  <c r="F8833" i="1"/>
  <c r="I8832" i="1"/>
  <c r="F8832" i="1"/>
  <c r="I8831" i="1"/>
  <c r="F8831" i="1"/>
  <c r="I8830" i="1"/>
  <c r="F8830" i="1"/>
  <c r="I8829" i="1"/>
  <c r="F8829" i="1"/>
  <c r="I8828" i="1"/>
  <c r="F8828" i="1"/>
  <c r="I8827" i="1"/>
  <c r="F8827" i="1"/>
  <c r="I8826" i="1"/>
  <c r="F8826" i="1"/>
  <c r="I8825" i="1"/>
  <c r="F8825" i="1"/>
  <c r="I8824" i="1"/>
  <c r="F8824" i="1"/>
  <c r="I8823" i="1"/>
  <c r="F8823" i="1"/>
  <c r="I8822" i="1"/>
  <c r="F8822" i="1"/>
  <c r="I8821" i="1"/>
  <c r="F8821" i="1"/>
  <c r="I8820" i="1"/>
  <c r="F8820" i="1"/>
  <c r="I8819" i="1"/>
  <c r="F8819" i="1"/>
  <c r="I8818" i="1"/>
  <c r="F8818" i="1"/>
  <c r="I8817" i="1"/>
  <c r="F8817" i="1"/>
  <c r="I8816" i="1"/>
  <c r="F8816" i="1"/>
  <c r="I8815" i="1"/>
  <c r="F8815" i="1"/>
  <c r="I8814" i="1"/>
  <c r="F8814" i="1"/>
  <c r="I8813" i="1"/>
  <c r="F8813" i="1"/>
  <c r="I8812" i="1"/>
  <c r="F8812" i="1"/>
  <c r="I8811" i="1"/>
  <c r="F8811" i="1"/>
  <c r="I8810" i="1"/>
  <c r="F8810" i="1"/>
  <c r="I8809" i="1"/>
  <c r="F8809" i="1"/>
  <c r="I8808" i="1"/>
  <c r="F8808" i="1"/>
  <c r="I8807" i="1"/>
  <c r="F8807" i="1"/>
  <c r="I8806" i="1"/>
  <c r="F8806" i="1"/>
  <c r="I8805" i="1"/>
  <c r="F8805" i="1"/>
  <c r="I8804" i="1"/>
  <c r="F8804" i="1"/>
  <c r="I8803" i="1"/>
  <c r="F8803" i="1"/>
  <c r="I8802" i="1"/>
  <c r="F8802" i="1"/>
  <c r="I8801" i="1"/>
  <c r="F8801" i="1"/>
  <c r="I8800" i="1"/>
  <c r="F8800" i="1"/>
  <c r="I8799" i="1"/>
  <c r="F8799" i="1"/>
  <c r="I8798" i="1"/>
  <c r="F8798" i="1"/>
  <c r="I8797" i="1"/>
  <c r="F8797" i="1"/>
  <c r="I8796" i="1"/>
  <c r="F8796" i="1"/>
  <c r="I8795" i="1"/>
  <c r="F8795" i="1"/>
  <c r="I8794" i="1"/>
  <c r="F8794" i="1"/>
  <c r="I8793" i="1"/>
  <c r="F8793" i="1"/>
  <c r="I8792" i="1"/>
  <c r="F8792" i="1"/>
  <c r="I8791" i="1"/>
  <c r="F8791" i="1"/>
  <c r="I8790" i="1"/>
  <c r="F8790" i="1"/>
  <c r="I8789" i="1"/>
  <c r="F8789" i="1"/>
  <c r="I8788" i="1"/>
  <c r="F8788" i="1"/>
  <c r="I8787" i="1"/>
  <c r="F8787" i="1"/>
  <c r="I8786" i="1"/>
  <c r="F8786" i="1"/>
  <c r="I8785" i="1"/>
  <c r="F8785" i="1"/>
  <c r="I8784" i="1"/>
  <c r="F8784" i="1"/>
  <c r="I8783" i="1"/>
  <c r="F8783" i="1"/>
  <c r="I8782" i="1"/>
  <c r="F8782" i="1"/>
  <c r="I8781" i="1"/>
  <c r="F8781" i="1"/>
  <c r="I8780" i="1"/>
  <c r="F8780" i="1"/>
  <c r="I8779" i="1"/>
  <c r="F8779" i="1"/>
  <c r="I8778" i="1"/>
  <c r="F8778" i="1"/>
  <c r="I8777" i="1"/>
  <c r="F8777" i="1"/>
  <c r="I8776" i="1"/>
  <c r="F8776" i="1"/>
  <c r="I8775" i="1"/>
  <c r="F8775" i="1"/>
  <c r="I8774" i="1"/>
  <c r="F8774" i="1"/>
  <c r="I8773" i="1"/>
  <c r="F8773" i="1"/>
  <c r="I8772" i="1"/>
  <c r="F8772" i="1"/>
  <c r="I8771" i="1"/>
  <c r="F8771" i="1"/>
  <c r="I8770" i="1"/>
  <c r="F8770" i="1"/>
  <c r="I8769" i="1"/>
  <c r="F8769" i="1"/>
  <c r="I8768" i="1"/>
  <c r="F8768" i="1"/>
  <c r="I8767" i="1"/>
  <c r="F8767" i="1"/>
  <c r="I8766" i="1"/>
  <c r="F8766" i="1"/>
  <c r="I8765" i="1"/>
  <c r="F8765" i="1"/>
  <c r="I8764" i="1"/>
  <c r="F8764" i="1"/>
  <c r="I8763" i="1"/>
  <c r="F8763" i="1"/>
  <c r="I8762" i="1"/>
  <c r="F8762" i="1"/>
  <c r="I8761" i="1"/>
  <c r="F8761" i="1"/>
  <c r="I8760" i="1"/>
  <c r="F8760" i="1"/>
  <c r="I8759" i="1"/>
  <c r="F8759" i="1"/>
  <c r="I8758" i="1"/>
  <c r="F8758" i="1"/>
  <c r="I8757" i="1"/>
  <c r="F8757" i="1"/>
  <c r="I8756" i="1"/>
  <c r="F8756" i="1"/>
  <c r="I8755" i="1"/>
  <c r="F8755" i="1"/>
  <c r="I8754" i="1"/>
  <c r="F8754" i="1"/>
  <c r="I8753" i="1"/>
  <c r="F8753" i="1"/>
  <c r="I8752" i="1"/>
  <c r="F8752" i="1"/>
  <c r="I8751" i="1"/>
  <c r="F8751" i="1"/>
  <c r="I8750" i="1"/>
  <c r="F8750" i="1"/>
  <c r="I8749" i="1"/>
  <c r="F8749" i="1"/>
  <c r="I8748" i="1"/>
  <c r="F8748" i="1"/>
  <c r="I8747" i="1"/>
  <c r="F8747" i="1"/>
  <c r="I8746" i="1"/>
  <c r="F8746" i="1"/>
  <c r="I8745" i="1"/>
  <c r="F8745" i="1"/>
  <c r="I8744" i="1"/>
  <c r="F8744" i="1"/>
  <c r="I8743" i="1"/>
  <c r="F8743" i="1"/>
  <c r="I8742" i="1"/>
  <c r="F8742" i="1"/>
  <c r="I8741" i="1"/>
  <c r="F8741" i="1"/>
  <c r="I8740" i="1"/>
  <c r="F8740" i="1"/>
  <c r="I8739" i="1"/>
  <c r="F8739" i="1"/>
  <c r="I8738" i="1"/>
  <c r="F8738" i="1"/>
  <c r="I8737" i="1"/>
  <c r="F8737" i="1"/>
  <c r="I8736" i="1"/>
  <c r="F8736" i="1"/>
  <c r="I8735" i="1"/>
  <c r="F8735" i="1"/>
  <c r="I8734" i="1"/>
  <c r="F8734" i="1"/>
  <c r="I8733" i="1"/>
  <c r="F8733" i="1"/>
  <c r="I8732" i="1"/>
  <c r="F8732" i="1"/>
  <c r="I8731" i="1"/>
  <c r="F8731" i="1"/>
  <c r="I8730" i="1"/>
  <c r="F8730" i="1"/>
  <c r="I8729" i="1"/>
  <c r="F8729" i="1"/>
  <c r="I8728" i="1"/>
  <c r="F8728" i="1"/>
  <c r="I8727" i="1"/>
  <c r="F8727" i="1"/>
  <c r="I8726" i="1"/>
  <c r="F8726" i="1"/>
  <c r="I8725" i="1"/>
  <c r="F8725" i="1"/>
  <c r="I8724" i="1"/>
  <c r="F8724" i="1"/>
  <c r="I8723" i="1"/>
  <c r="F8723" i="1"/>
  <c r="I8722" i="1"/>
  <c r="F8722" i="1"/>
  <c r="I8721" i="1"/>
  <c r="F8721" i="1"/>
  <c r="I8720" i="1"/>
  <c r="F8720" i="1"/>
  <c r="I8719" i="1"/>
  <c r="F8719" i="1"/>
  <c r="I8718" i="1"/>
  <c r="F8718" i="1"/>
  <c r="I8717" i="1"/>
  <c r="F8717" i="1"/>
  <c r="I8716" i="1"/>
  <c r="F8716" i="1"/>
  <c r="I8715" i="1"/>
  <c r="F8715" i="1"/>
  <c r="I8714" i="1"/>
  <c r="F8714" i="1"/>
  <c r="I8713" i="1"/>
  <c r="F8713" i="1"/>
  <c r="I8712" i="1"/>
  <c r="F8712" i="1"/>
  <c r="I8711" i="1"/>
  <c r="F8711" i="1"/>
  <c r="I8710" i="1"/>
  <c r="F8710" i="1"/>
  <c r="I8709" i="1"/>
  <c r="F8709" i="1"/>
  <c r="I8708" i="1"/>
  <c r="F8708" i="1"/>
  <c r="I8707" i="1"/>
  <c r="F8707" i="1"/>
  <c r="I8706" i="1"/>
  <c r="F8706" i="1"/>
  <c r="I8705" i="1"/>
  <c r="F8705" i="1"/>
  <c r="I8704" i="1"/>
  <c r="F8704" i="1"/>
  <c r="I8703" i="1"/>
  <c r="F8703" i="1"/>
  <c r="I8702" i="1"/>
  <c r="F8702" i="1"/>
  <c r="I8701" i="1"/>
  <c r="F8701" i="1"/>
  <c r="I8700" i="1"/>
  <c r="F8700" i="1"/>
  <c r="I8699" i="1"/>
  <c r="F8699" i="1"/>
  <c r="I8698" i="1"/>
  <c r="F8698" i="1"/>
  <c r="I8697" i="1"/>
  <c r="F8697" i="1"/>
  <c r="I8696" i="1"/>
  <c r="F8696" i="1"/>
  <c r="I8695" i="1"/>
  <c r="F8695" i="1"/>
  <c r="I8694" i="1"/>
  <c r="F8694" i="1"/>
  <c r="I8693" i="1"/>
  <c r="F8693" i="1"/>
  <c r="I8692" i="1"/>
  <c r="F8692" i="1"/>
  <c r="I8691" i="1"/>
  <c r="F8691" i="1"/>
  <c r="I8690" i="1"/>
  <c r="F8690" i="1"/>
  <c r="I8689" i="1"/>
  <c r="F8689" i="1"/>
  <c r="I8688" i="1"/>
  <c r="F8688" i="1"/>
  <c r="I8687" i="1"/>
  <c r="F8687" i="1"/>
  <c r="I8686" i="1"/>
  <c r="F8686" i="1"/>
  <c r="I8685" i="1"/>
  <c r="F8685" i="1"/>
  <c r="I8684" i="1"/>
  <c r="F8684" i="1"/>
  <c r="I8683" i="1"/>
  <c r="F8683" i="1"/>
  <c r="I8682" i="1"/>
  <c r="F8682" i="1"/>
  <c r="I8681" i="1"/>
  <c r="F8681" i="1"/>
  <c r="I8680" i="1"/>
  <c r="F8680" i="1"/>
  <c r="I8679" i="1"/>
  <c r="F8679" i="1"/>
  <c r="I8678" i="1"/>
  <c r="F8678" i="1"/>
  <c r="I8677" i="1"/>
  <c r="F8677" i="1"/>
  <c r="I8676" i="1"/>
  <c r="F8676" i="1"/>
  <c r="I8675" i="1"/>
  <c r="F8675" i="1"/>
  <c r="I8674" i="1"/>
  <c r="F8674" i="1"/>
  <c r="I8673" i="1"/>
  <c r="F8673" i="1"/>
  <c r="I8672" i="1"/>
  <c r="F8672" i="1"/>
  <c r="I8671" i="1"/>
  <c r="F8671" i="1"/>
  <c r="I8670" i="1"/>
  <c r="F8670" i="1"/>
  <c r="I8669" i="1"/>
  <c r="F8669" i="1"/>
  <c r="I8668" i="1"/>
  <c r="F8668" i="1"/>
  <c r="I8667" i="1"/>
  <c r="F8667" i="1"/>
  <c r="I8666" i="1"/>
  <c r="F8666" i="1"/>
  <c r="I8665" i="1"/>
  <c r="F8665" i="1"/>
  <c r="I8664" i="1"/>
  <c r="F8664" i="1"/>
  <c r="I8663" i="1"/>
  <c r="F8663" i="1"/>
  <c r="I8662" i="1"/>
  <c r="F8662" i="1"/>
  <c r="I8661" i="1"/>
  <c r="F8661" i="1"/>
  <c r="I8660" i="1"/>
  <c r="F8660" i="1"/>
  <c r="I8659" i="1"/>
  <c r="F8659" i="1"/>
  <c r="I8658" i="1"/>
  <c r="F8658" i="1"/>
  <c r="I8657" i="1"/>
  <c r="F8657" i="1"/>
  <c r="I8656" i="1"/>
  <c r="F8656" i="1"/>
  <c r="I8655" i="1"/>
  <c r="F8655" i="1"/>
  <c r="I8654" i="1"/>
  <c r="F8654" i="1"/>
  <c r="I8653" i="1"/>
  <c r="F8653" i="1"/>
  <c r="I8652" i="1"/>
  <c r="F8652" i="1"/>
  <c r="I8651" i="1"/>
  <c r="F8651" i="1"/>
  <c r="I8650" i="1"/>
  <c r="F8650" i="1"/>
  <c r="I8649" i="1"/>
  <c r="F8649" i="1"/>
  <c r="I8648" i="1"/>
  <c r="F8648" i="1"/>
  <c r="I8647" i="1"/>
  <c r="F8647" i="1"/>
  <c r="I8646" i="1"/>
  <c r="F8646" i="1"/>
  <c r="I8645" i="1"/>
  <c r="F8645" i="1"/>
  <c r="I8644" i="1"/>
  <c r="F8644" i="1"/>
  <c r="I8643" i="1"/>
  <c r="F8643" i="1"/>
  <c r="I8642" i="1"/>
  <c r="F8642" i="1"/>
  <c r="I8641" i="1"/>
  <c r="F8641" i="1"/>
  <c r="I8640" i="1"/>
  <c r="F8640" i="1"/>
  <c r="I8639" i="1"/>
  <c r="F8639" i="1"/>
  <c r="I8638" i="1"/>
  <c r="F8638" i="1"/>
  <c r="I8637" i="1"/>
  <c r="F8637" i="1"/>
  <c r="I8636" i="1"/>
  <c r="F8636" i="1"/>
  <c r="I8635" i="1"/>
  <c r="F8635" i="1"/>
  <c r="I8634" i="1"/>
  <c r="F8634" i="1"/>
  <c r="I8633" i="1"/>
  <c r="F8633" i="1"/>
  <c r="I8632" i="1"/>
  <c r="F8632" i="1"/>
  <c r="I8631" i="1"/>
  <c r="F8631" i="1"/>
  <c r="I8630" i="1"/>
  <c r="F8630" i="1"/>
  <c r="I8629" i="1"/>
  <c r="F8629" i="1"/>
  <c r="I8628" i="1"/>
  <c r="F8628" i="1"/>
  <c r="I8627" i="1"/>
  <c r="F8627" i="1"/>
  <c r="I8626" i="1"/>
  <c r="F8626" i="1"/>
  <c r="I8625" i="1"/>
  <c r="F8625" i="1"/>
  <c r="I8624" i="1"/>
  <c r="F8624" i="1"/>
  <c r="I8623" i="1"/>
  <c r="F8623" i="1"/>
  <c r="I8622" i="1"/>
  <c r="F8622" i="1"/>
  <c r="I8621" i="1"/>
  <c r="F8621" i="1"/>
  <c r="I8620" i="1"/>
  <c r="F8620" i="1"/>
  <c r="I8619" i="1"/>
  <c r="F8619" i="1"/>
  <c r="I8618" i="1"/>
  <c r="F8618" i="1"/>
  <c r="I8617" i="1"/>
  <c r="F8617" i="1"/>
  <c r="I8616" i="1"/>
  <c r="F8616" i="1"/>
  <c r="I8615" i="1"/>
  <c r="F8615" i="1"/>
  <c r="I8614" i="1"/>
  <c r="F8614" i="1"/>
  <c r="I8613" i="1"/>
  <c r="F8613" i="1"/>
  <c r="I8612" i="1"/>
  <c r="F8612" i="1"/>
  <c r="I8611" i="1"/>
  <c r="F8611" i="1"/>
  <c r="I8610" i="1"/>
  <c r="F8610" i="1"/>
  <c r="I8609" i="1"/>
  <c r="F8609" i="1"/>
  <c r="I8608" i="1"/>
  <c r="F8608" i="1"/>
  <c r="I8607" i="1"/>
  <c r="F8607" i="1"/>
  <c r="I8606" i="1"/>
  <c r="F8606" i="1"/>
  <c r="I8605" i="1"/>
  <c r="F8605" i="1"/>
  <c r="I8604" i="1"/>
  <c r="F8604" i="1"/>
  <c r="I8603" i="1"/>
  <c r="F8603" i="1"/>
  <c r="I8602" i="1"/>
  <c r="F8602" i="1"/>
  <c r="I8601" i="1"/>
  <c r="F8601" i="1"/>
  <c r="I8600" i="1"/>
  <c r="F8600" i="1"/>
  <c r="I8599" i="1"/>
  <c r="F8599" i="1"/>
  <c r="I8598" i="1"/>
  <c r="F8598" i="1"/>
  <c r="I8597" i="1"/>
  <c r="F8597" i="1"/>
  <c r="I8596" i="1"/>
  <c r="F8596" i="1"/>
  <c r="I8595" i="1"/>
  <c r="F8595" i="1"/>
  <c r="I8594" i="1"/>
  <c r="F8594" i="1"/>
  <c r="I8593" i="1"/>
  <c r="F8593" i="1"/>
  <c r="I8592" i="1"/>
  <c r="F8592" i="1"/>
  <c r="I8591" i="1"/>
  <c r="F8591" i="1"/>
  <c r="I8590" i="1"/>
  <c r="F8590" i="1"/>
  <c r="I8589" i="1"/>
  <c r="F8589" i="1"/>
  <c r="I8588" i="1"/>
  <c r="F8588" i="1"/>
  <c r="I8587" i="1"/>
  <c r="F8587" i="1"/>
  <c r="I8586" i="1"/>
  <c r="F8586" i="1"/>
  <c r="I8585" i="1"/>
  <c r="F8585" i="1"/>
  <c r="I8584" i="1"/>
  <c r="F8584" i="1"/>
  <c r="I8583" i="1"/>
  <c r="F8583" i="1"/>
  <c r="I8582" i="1"/>
  <c r="F8582" i="1"/>
  <c r="I8581" i="1"/>
  <c r="F8581" i="1"/>
  <c r="I8580" i="1"/>
  <c r="F8580" i="1"/>
  <c r="I8579" i="1"/>
  <c r="F8579" i="1"/>
  <c r="I8578" i="1"/>
  <c r="F8578" i="1"/>
  <c r="I8577" i="1"/>
  <c r="F8577" i="1"/>
  <c r="I8576" i="1"/>
  <c r="F8576" i="1"/>
  <c r="I8575" i="1"/>
  <c r="F8575" i="1"/>
  <c r="I8574" i="1"/>
  <c r="F8574" i="1"/>
  <c r="I8573" i="1"/>
  <c r="F8573" i="1"/>
  <c r="I8572" i="1"/>
  <c r="F8572" i="1"/>
  <c r="I8571" i="1"/>
  <c r="F8571" i="1"/>
  <c r="I8570" i="1"/>
  <c r="F8570" i="1"/>
  <c r="I8569" i="1"/>
  <c r="F8569" i="1"/>
  <c r="I8568" i="1"/>
  <c r="F8568" i="1"/>
  <c r="I8567" i="1"/>
  <c r="F8567" i="1"/>
  <c r="I8566" i="1"/>
  <c r="F8566" i="1"/>
  <c r="I8565" i="1"/>
  <c r="F8565" i="1"/>
  <c r="I8564" i="1"/>
  <c r="F8564" i="1"/>
  <c r="I8563" i="1"/>
  <c r="F8563" i="1"/>
  <c r="I8562" i="1"/>
  <c r="F8562" i="1"/>
  <c r="I8561" i="1"/>
  <c r="F8561" i="1"/>
  <c r="I8560" i="1"/>
  <c r="F8560" i="1"/>
  <c r="I8559" i="1"/>
  <c r="F8559" i="1"/>
  <c r="I8558" i="1"/>
  <c r="F8558" i="1"/>
  <c r="I8557" i="1"/>
  <c r="F8557" i="1"/>
  <c r="I8556" i="1"/>
  <c r="F8556" i="1"/>
  <c r="I8555" i="1"/>
  <c r="F8555" i="1"/>
  <c r="I8554" i="1"/>
  <c r="F8554" i="1"/>
  <c r="I8553" i="1"/>
  <c r="F8553" i="1"/>
  <c r="I8552" i="1"/>
  <c r="F8552" i="1"/>
  <c r="I8551" i="1"/>
  <c r="F8551" i="1"/>
  <c r="I8550" i="1"/>
  <c r="F8550" i="1"/>
  <c r="I8549" i="1"/>
  <c r="F8549" i="1"/>
  <c r="I8548" i="1"/>
  <c r="F8548" i="1"/>
  <c r="I8547" i="1"/>
  <c r="F8547" i="1"/>
  <c r="I8546" i="1"/>
  <c r="F8546" i="1"/>
  <c r="I8545" i="1"/>
  <c r="F8545" i="1"/>
  <c r="I8544" i="1"/>
  <c r="F8544" i="1"/>
  <c r="I8543" i="1"/>
  <c r="F8543" i="1"/>
  <c r="I8542" i="1"/>
  <c r="F8542" i="1"/>
  <c r="I8541" i="1"/>
  <c r="F8541" i="1"/>
  <c r="I8540" i="1"/>
  <c r="F8540" i="1"/>
  <c r="I8539" i="1"/>
  <c r="F8539" i="1"/>
  <c r="I8538" i="1"/>
  <c r="F8538" i="1"/>
  <c r="I8537" i="1"/>
  <c r="F8537" i="1"/>
  <c r="I8536" i="1"/>
  <c r="F8536" i="1"/>
  <c r="I8535" i="1"/>
  <c r="F8535" i="1"/>
  <c r="I8534" i="1"/>
  <c r="F8534" i="1"/>
  <c r="I8533" i="1"/>
  <c r="F8533" i="1"/>
  <c r="I8532" i="1"/>
  <c r="F8532" i="1"/>
  <c r="I8531" i="1"/>
  <c r="F8531" i="1"/>
  <c r="I8530" i="1"/>
  <c r="F8530" i="1"/>
  <c r="I8529" i="1"/>
  <c r="F8529" i="1"/>
  <c r="I8528" i="1"/>
  <c r="F8528" i="1"/>
  <c r="I8527" i="1"/>
  <c r="F8527" i="1"/>
  <c r="I8526" i="1"/>
  <c r="F8526" i="1"/>
  <c r="I8525" i="1"/>
  <c r="F8525" i="1"/>
  <c r="I8524" i="1"/>
  <c r="F8524" i="1"/>
  <c r="I8523" i="1"/>
  <c r="F8523" i="1"/>
  <c r="I8522" i="1"/>
  <c r="F8522" i="1"/>
  <c r="I8521" i="1"/>
  <c r="F8521" i="1"/>
  <c r="I8520" i="1"/>
  <c r="F8520" i="1"/>
  <c r="I8519" i="1"/>
  <c r="F8519" i="1"/>
  <c r="I8518" i="1"/>
  <c r="F8518" i="1"/>
  <c r="I8517" i="1"/>
  <c r="F8517" i="1"/>
  <c r="I8516" i="1"/>
  <c r="F8516" i="1"/>
  <c r="I8515" i="1"/>
  <c r="F8515" i="1"/>
  <c r="I8514" i="1"/>
  <c r="F8514" i="1"/>
  <c r="I8513" i="1"/>
  <c r="F8513" i="1"/>
  <c r="I8512" i="1"/>
  <c r="F8512" i="1"/>
  <c r="I8511" i="1"/>
  <c r="F8511" i="1"/>
  <c r="I8510" i="1"/>
  <c r="F8510" i="1"/>
  <c r="I8509" i="1"/>
  <c r="F8509" i="1"/>
  <c r="I8508" i="1"/>
  <c r="F8508" i="1"/>
  <c r="I8507" i="1"/>
  <c r="F8507" i="1"/>
  <c r="I8506" i="1"/>
  <c r="F8506" i="1"/>
  <c r="I8505" i="1"/>
  <c r="F8505" i="1"/>
  <c r="I8504" i="1"/>
  <c r="F8504" i="1"/>
  <c r="I8503" i="1"/>
  <c r="F8503" i="1"/>
  <c r="I8502" i="1"/>
  <c r="F8502" i="1"/>
  <c r="I8501" i="1"/>
  <c r="F8501" i="1"/>
  <c r="I8500" i="1"/>
  <c r="F8500" i="1"/>
  <c r="I8499" i="1"/>
  <c r="F8499" i="1"/>
  <c r="I8498" i="1"/>
  <c r="F8498" i="1"/>
  <c r="I8497" i="1"/>
  <c r="F8497" i="1"/>
  <c r="I8496" i="1"/>
  <c r="F8496" i="1"/>
  <c r="I8495" i="1"/>
  <c r="F8495" i="1"/>
  <c r="I8494" i="1"/>
  <c r="F8494" i="1"/>
  <c r="I8493" i="1"/>
  <c r="F8493" i="1"/>
  <c r="I8492" i="1"/>
  <c r="F8492" i="1"/>
  <c r="I8491" i="1"/>
  <c r="F8491" i="1"/>
  <c r="I8490" i="1"/>
  <c r="F8490" i="1"/>
  <c r="I8489" i="1"/>
  <c r="F8489" i="1"/>
  <c r="I8488" i="1"/>
  <c r="F8488" i="1"/>
  <c r="I8487" i="1"/>
  <c r="F8487" i="1"/>
  <c r="I8486" i="1"/>
  <c r="F8486" i="1"/>
  <c r="I8485" i="1"/>
  <c r="F8485" i="1"/>
  <c r="I8484" i="1"/>
  <c r="F8484" i="1"/>
  <c r="I8483" i="1"/>
  <c r="F8483" i="1"/>
  <c r="I8482" i="1"/>
  <c r="F8482" i="1"/>
  <c r="I8481" i="1"/>
  <c r="F8481" i="1"/>
  <c r="I8480" i="1"/>
  <c r="F8480" i="1"/>
  <c r="I8479" i="1"/>
  <c r="F8479" i="1"/>
  <c r="I8478" i="1"/>
  <c r="F8478" i="1"/>
  <c r="I8477" i="1"/>
  <c r="F8477" i="1"/>
  <c r="I8476" i="1"/>
  <c r="F8476" i="1"/>
  <c r="I8475" i="1"/>
  <c r="F8475" i="1"/>
  <c r="I8474" i="1"/>
  <c r="F8474" i="1"/>
  <c r="I8473" i="1"/>
  <c r="F8473" i="1"/>
  <c r="I8472" i="1"/>
  <c r="F8472" i="1"/>
  <c r="I8471" i="1"/>
  <c r="F8471" i="1"/>
  <c r="I8470" i="1"/>
  <c r="F8470" i="1"/>
  <c r="I8469" i="1"/>
  <c r="F8469" i="1"/>
  <c r="I8468" i="1"/>
  <c r="F8468" i="1"/>
  <c r="I8467" i="1"/>
  <c r="F8467" i="1"/>
  <c r="I8466" i="1"/>
  <c r="F8466" i="1"/>
  <c r="I8465" i="1"/>
  <c r="F8465" i="1"/>
  <c r="I8464" i="1"/>
  <c r="F8464" i="1"/>
  <c r="I8463" i="1"/>
  <c r="F8463" i="1"/>
  <c r="I8462" i="1"/>
  <c r="F8462" i="1"/>
  <c r="I8461" i="1"/>
  <c r="F8461" i="1"/>
  <c r="I8460" i="1"/>
  <c r="F8460" i="1"/>
  <c r="I8459" i="1"/>
  <c r="F8459" i="1"/>
  <c r="I8458" i="1"/>
  <c r="F8458" i="1"/>
  <c r="I8457" i="1"/>
  <c r="F8457" i="1"/>
  <c r="I8456" i="1"/>
  <c r="F8456" i="1"/>
  <c r="I8455" i="1"/>
  <c r="F8455" i="1"/>
  <c r="I8454" i="1"/>
  <c r="F8454" i="1"/>
  <c r="I8453" i="1"/>
  <c r="F8453" i="1"/>
  <c r="I8452" i="1"/>
  <c r="F8452" i="1"/>
  <c r="I8451" i="1"/>
  <c r="F8451" i="1"/>
  <c r="I8450" i="1"/>
  <c r="F8450" i="1"/>
  <c r="I8449" i="1"/>
  <c r="F8449" i="1"/>
  <c r="I8448" i="1"/>
  <c r="F8448" i="1"/>
  <c r="I8447" i="1"/>
  <c r="F8447" i="1"/>
  <c r="I8446" i="1"/>
  <c r="F8446" i="1"/>
  <c r="I8445" i="1"/>
  <c r="F8445" i="1"/>
  <c r="I8444" i="1"/>
  <c r="F8444" i="1"/>
  <c r="I8443" i="1"/>
  <c r="F8443" i="1"/>
  <c r="I8442" i="1"/>
  <c r="F8442" i="1"/>
  <c r="I8441" i="1"/>
  <c r="F8441" i="1"/>
  <c r="I8440" i="1"/>
  <c r="F8440" i="1"/>
  <c r="I8439" i="1"/>
  <c r="F8439" i="1"/>
  <c r="I8438" i="1"/>
  <c r="F8438" i="1"/>
  <c r="I8437" i="1"/>
  <c r="F8437" i="1"/>
  <c r="I8436" i="1"/>
  <c r="F8436" i="1"/>
  <c r="I8435" i="1"/>
  <c r="F8435" i="1"/>
  <c r="I8434" i="1"/>
  <c r="F8434" i="1"/>
  <c r="I8433" i="1"/>
  <c r="F8433" i="1"/>
  <c r="I8432" i="1"/>
  <c r="F8432" i="1"/>
  <c r="I8431" i="1"/>
  <c r="F8431" i="1"/>
  <c r="I8430" i="1"/>
  <c r="F8430" i="1"/>
  <c r="I8429" i="1"/>
  <c r="F8429" i="1"/>
  <c r="I8428" i="1"/>
  <c r="F8428" i="1"/>
  <c r="I8427" i="1"/>
  <c r="F8427" i="1"/>
  <c r="I8426" i="1"/>
  <c r="F8426" i="1"/>
  <c r="I8425" i="1"/>
  <c r="F8425" i="1"/>
  <c r="I8424" i="1"/>
  <c r="F8424" i="1"/>
  <c r="I8423" i="1"/>
  <c r="F8423" i="1"/>
  <c r="I8422" i="1"/>
  <c r="F8422" i="1"/>
  <c r="I8421" i="1"/>
  <c r="F8421" i="1"/>
  <c r="I8420" i="1"/>
  <c r="F8420" i="1"/>
  <c r="I8419" i="1"/>
  <c r="F8419" i="1"/>
  <c r="I8418" i="1"/>
  <c r="F8418" i="1"/>
  <c r="I8417" i="1"/>
  <c r="F8417" i="1"/>
  <c r="I8416" i="1"/>
  <c r="F8416" i="1"/>
  <c r="I8415" i="1"/>
  <c r="F8415" i="1"/>
  <c r="I8414" i="1"/>
  <c r="F8414" i="1"/>
  <c r="I8413" i="1"/>
  <c r="F8413" i="1"/>
  <c r="I8412" i="1"/>
  <c r="F8412" i="1"/>
  <c r="I8411" i="1"/>
  <c r="F8411" i="1"/>
  <c r="I8410" i="1"/>
  <c r="F8410" i="1"/>
  <c r="I8409" i="1"/>
  <c r="F8409" i="1"/>
  <c r="I8408" i="1"/>
  <c r="F8408" i="1"/>
  <c r="I8407" i="1"/>
  <c r="F8407" i="1"/>
  <c r="I8406" i="1"/>
  <c r="F8406" i="1"/>
  <c r="I8405" i="1"/>
  <c r="F8405" i="1"/>
  <c r="I8404" i="1"/>
  <c r="F8404" i="1"/>
  <c r="I8403" i="1"/>
  <c r="F8403" i="1"/>
  <c r="I8402" i="1"/>
  <c r="F8402" i="1"/>
  <c r="I8401" i="1"/>
  <c r="F8401" i="1"/>
  <c r="I8400" i="1"/>
  <c r="F8400" i="1"/>
  <c r="I8399" i="1"/>
  <c r="F8399" i="1"/>
  <c r="I8398" i="1"/>
  <c r="F8398" i="1"/>
  <c r="I8397" i="1"/>
  <c r="F8397" i="1"/>
  <c r="I8396" i="1"/>
  <c r="F8396" i="1"/>
  <c r="I8395" i="1"/>
  <c r="F8395" i="1"/>
  <c r="I8394" i="1"/>
  <c r="F8394" i="1"/>
  <c r="I8393" i="1"/>
  <c r="F8393" i="1"/>
  <c r="I8392" i="1"/>
  <c r="F8392" i="1"/>
  <c r="I8391" i="1"/>
  <c r="F8391" i="1"/>
  <c r="I8390" i="1"/>
  <c r="F8390" i="1"/>
  <c r="I8389" i="1"/>
  <c r="F8389" i="1"/>
  <c r="I8388" i="1"/>
  <c r="F8388" i="1"/>
  <c r="I8387" i="1"/>
  <c r="F8387" i="1"/>
  <c r="I8386" i="1"/>
  <c r="F8386" i="1"/>
  <c r="I8385" i="1"/>
  <c r="F8385" i="1"/>
  <c r="I8384" i="1"/>
  <c r="F8384" i="1"/>
  <c r="I8383" i="1"/>
  <c r="F8383" i="1"/>
  <c r="I8382" i="1"/>
  <c r="F8382" i="1"/>
  <c r="I8381" i="1"/>
  <c r="F8381" i="1"/>
  <c r="I8380" i="1"/>
  <c r="F8380" i="1"/>
  <c r="I8379" i="1"/>
  <c r="F8379" i="1"/>
  <c r="I8378" i="1"/>
  <c r="F8378" i="1"/>
  <c r="I8377" i="1"/>
  <c r="F8377" i="1"/>
  <c r="I8376" i="1"/>
  <c r="F8376" i="1"/>
  <c r="I8375" i="1"/>
  <c r="F8375" i="1"/>
  <c r="I8374" i="1"/>
  <c r="F8374" i="1"/>
  <c r="I8373" i="1"/>
  <c r="F8373" i="1"/>
  <c r="I8372" i="1"/>
  <c r="F8372" i="1"/>
  <c r="I8371" i="1"/>
  <c r="F8371" i="1"/>
  <c r="I8370" i="1"/>
  <c r="F8370" i="1"/>
  <c r="I8369" i="1"/>
  <c r="F8369" i="1"/>
  <c r="I8368" i="1"/>
  <c r="F8368" i="1"/>
  <c r="I8367" i="1"/>
  <c r="F8367" i="1"/>
  <c r="I8366" i="1"/>
  <c r="F8366" i="1"/>
  <c r="I8365" i="1"/>
  <c r="F8365" i="1"/>
  <c r="I8364" i="1"/>
  <c r="F8364" i="1"/>
  <c r="I8363" i="1"/>
  <c r="F8363" i="1"/>
  <c r="I8362" i="1"/>
  <c r="F8362" i="1"/>
  <c r="I8361" i="1"/>
  <c r="F8361" i="1"/>
  <c r="I8360" i="1"/>
  <c r="F8360" i="1"/>
  <c r="I8359" i="1"/>
  <c r="F8359" i="1"/>
  <c r="I8358" i="1"/>
  <c r="F8358" i="1"/>
  <c r="I8357" i="1"/>
  <c r="F8357" i="1"/>
  <c r="I8356" i="1"/>
  <c r="F8356" i="1"/>
  <c r="I8355" i="1"/>
  <c r="F8355" i="1"/>
  <c r="I8354" i="1"/>
  <c r="F8354" i="1"/>
  <c r="I8353" i="1"/>
  <c r="F8353" i="1"/>
  <c r="I8352" i="1"/>
  <c r="F8352" i="1"/>
  <c r="I8351" i="1"/>
  <c r="F8351" i="1"/>
  <c r="I8350" i="1"/>
  <c r="F8350" i="1"/>
  <c r="I8349" i="1"/>
  <c r="F8349" i="1"/>
  <c r="I8348" i="1"/>
  <c r="F8348" i="1"/>
  <c r="I8347" i="1"/>
  <c r="F8347" i="1"/>
  <c r="I8346" i="1"/>
  <c r="F8346" i="1"/>
  <c r="I8345" i="1"/>
  <c r="F8345" i="1"/>
  <c r="I8344" i="1"/>
  <c r="F8344" i="1"/>
  <c r="I8343" i="1"/>
  <c r="F8343" i="1"/>
  <c r="I8342" i="1"/>
  <c r="F8342" i="1"/>
  <c r="I8341" i="1"/>
  <c r="F8341" i="1"/>
  <c r="I8340" i="1"/>
  <c r="F8340" i="1"/>
  <c r="I8339" i="1"/>
  <c r="F8339" i="1"/>
  <c r="I8338" i="1"/>
  <c r="F8338" i="1"/>
  <c r="I8337" i="1"/>
  <c r="F8337" i="1"/>
  <c r="I8336" i="1"/>
  <c r="F8336" i="1"/>
  <c r="I8335" i="1"/>
  <c r="F8335" i="1"/>
  <c r="I8334" i="1"/>
  <c r="F8334" i="1"/>
  <c r="I8333" i="1"/>
  <c r="F8333" i="1"/>
  <c r="I8332" i="1"/>
  <c r="F8332" i="1"/>
  <c r="I8331" i="1"/>
  <c r="F8331" i="1"/>
  <c r="I8330" i="1"/>
  <c r="F8330" i="1"/>
  <c r="I8329" i="1"/>
  <c r="F8329" i="1"/>
  <c r="I8328" i="1"/>
  <c r="F8328" i="1"/>
  <c r="I8327" i="1"/>
  <c r="F8327" i="1"/>
  <c r="I8326" i="1"/>
  <c r="F8326" i="1"/>
  <c r="I8325" i="1"/>
  <c r="F8325" i="1"/>
  <c r="I8324" i="1"/>
  <c r="F8324" i="1"/>
  <c r="I8323" i="1"/>
  <c r="F8323" i="1"/>
  <c r="I8322" i="1"/>
  <c r="F8322" i="1"/>
  <c r="I8321" i="1"/>
  <c r="F8321" i="1"/>
  <c r="I8320" i="1"/>
  <c r="F8320" i="1"/>
  <c r="I8319" i="1"/>
  <c r="F8319" i="1"/>
  <c r="I8318" i="1"/>
  <c r="F8318" i="1"/>
  <c r="I8317" i="1"/>
  <c r="F8317" i="1"/>
  <c r="I8316" i="1"/>
  <c r="F8316" i="1"/>
  <c r="I8315" i="1"/>
  <c r="F8315" i="1"/>
  <c r="I8314" i="1"/>
  <c r="F8314" i="1"/>
  <c r="I8313" i="1"/>
  <c r="F8313" i="1"/>
  <c r="I8312" i="1"/>
  <c r="F8312" i="1"/>
  <c r="I8311" i="1"/>
  <c r="F8311" i="1"/>
  <c r="I8310" i="1"/>
  <c r="F8310" i="1"/>
  <c r="I8309" i="1"/>
  <c r="F8309" i="1"/>
  <c r="I8308" i="1"/>
  <c r="F8308" i="1"/>
  <c r="I8307" i="1"/>
  <c r="F8307" i="1"/>
  <c r="I8306" i="1"/>
  <c r="F8306" i="1"/>
  <c r="I8305" i="1"/>
  <c r="F8305" i="1"/>
  <c r="I8304" i="1"/>
  <c r="F8304" i="1"/>
  <c r="I8303" i="1"/>
  <c r="F8303" i="1"/>
  <c r="I8302" i="1"/>
  <c r="F8302" i="1"/>
  <c r="I8301" i="1"/>
  <c r="F8301" i="1"/>
  <c r="I8300" i="1"/>
  <c r="F8300" i="1"/>
  <c r="I8299" i="1"/>
  <c r="F8299" i="1"/>
  <c r="I8298" i="1"/>
  <c r="F8298" i="1"/>
  <c r="I8297" i="1"/>
  <c r="F8297" i="1"/>
  <c r="I8296" i="1"/>
  <c r="F8296" i="1"/>
  <c r="I8295" i="1"/>
  <c r="F8295" i="1"/>
  <c r="I8294" i="1"/>
  <c r="F8294" i="1"/>
  <c r="I8293" i="1"/>
  <c r="F8293" i="1"/>
  <c r="I8292" i="1"/>
  <c r="F8292" i="1"/>
  <c r="I8291" i="1"/>
  <c r="F8291" i="1"/>
  <c r="I8290" i="1"/>
  <c r="F8290" i="1"/>
  <c r="I8289" i="1"/>
  <c r="F8289" i="1"/>
  <c r="I8288" i="1"/>
  <c r="F8288" i="1"/>
  <c r="I8287" i="1"/>
  <c r="F8287" i="1"/>
  <c r="I8286" i="1"/>
  <c r="F8286" i="1"/>
  <c r="I8285" i="1"/>
  <c r="F8285" i="1"/>
  <c r="I8284" i="1"/>
  <c r="F8284" i="1"/>
  <c r="I8283" i="1"/>
  <c r="F8283" i="1"/>
  <c r="I8282" i="1"/>
  <c r="F8282" i="1"/>
  <c r="I8281" i="1"/>
  <c r="F8281" i="1"/>
  <c r="I8280" i="1"/>
  <c r="F8280" i="1"/>
  <c r="I8279" i="1"/>
  <c r="F8279" i="1"/>
  <c r="I8278" i="1"/>
  <c r="F8278" i="1"/>
  <c r="I8277" i="1"/>
  <c r="F8277" i="1"/>
  <c r="I8276" i="1"/>
  <c r="F8276" i="1"/>
  <c r="I8275" i="1"/>
  <c r="F8275" i="1"/>
  <c r="I8274" i="1"/>
  <c r="F8274" i="1"/>
  <c r="I8273" i="1"/>
  <c r="F8273" i="1"/>
  <c r="I8272" i="1"/>
  <c r="F8272" i="1"/>
  <c r="I8271" i="1"/>
  <c r="F8271" i="1"/>
  <c r="I8270" i="1"/>
  <c r="F8270" i="1"/>
  <c r="I8269" i="1"/>
  <c r="F8269" i="1"/>
  <c r="I8268" i="1"/>
  <c r="F8268" i="1"/>
  <c r="I8267" i="1"/>
  <c r="F8267" i="1"/>
  <c r="I8266" i="1"/>
  <c r="F8266" i="1"/>
  <c r="I8265" i="1"/>
  <c r="F8265" i="1"/>
  <c r="I8264" i="1"/>
  <c r="F8264" i="1"/>
  <c r="I8263" i="1"/>
  <c r="F8263" i="1"/>
  <c r="I8262" i="1"/>
  <c r="F8262" i="1"/>
  <c r="I8261" i="1"/>
  <c r="F8261" i="1"/>
  <c r="I8260" i="1"/>
  <c r="F8260" i="1"/>
  <c r="I8259" i="1"/>
  <c r="F8259" i="1"/>
  <c r="I8258" i="1"/>
  <c r="F8258" i="1"/>
  <c r="I8257" i="1"/>
  <c r="F8257" i="1"/>
  <c r="I8256" i="1"/>
  <c r="F8256" i="1"/>
  <c r="I8255" i="1"/>
  <c r="F8255" i="1"/>
  <c r="I8254" i="1"/>
  <c r="F8254" i="1"/>
  <c r="I8253" i="1"/>
  <c r="F8253" i="1"/>
  <c r="I8252" i="1"/>
  <c r="F8252" i="1"/>
  <c r="I8251" i="1"/>
  <c r="F8251" i="1"/>
  <c r="I8250" i="1"/>
  <c r="F8250" i="1"/>
  <c r="I8249" i="1"/>
  <c r="F8249" i="1"/>
  <c r="I8248" i="1"/>
  <c r="F8248" i="1"/>
  <c r="I8247" i="1"/>
  <c r="F8247" i="1"/>
  <c r="I8246" i="1"/>
  <c r="F8246" i="1"/>
  <c r="I8245" i="1"/>
  <c r="F8245" i="1"/>
  <c r="I8244" i="1"/>
  <c r="F8244" i="1"/>
  <c r="I8243" i="1"/>
  <c r="F8243" i="1"/>
  <c r="I8242" i="1"/>
  <c r="F8242" i="1"/>
  <c r="I8241" i="1"/>
  <c r="F8241" i="1"/>
  <c r="I8240" i="1"/>
  <c r="F8240" i="1"/>
  <c r="I8239" i="1"/>
  <c r="F8239" i="1"/>
  <c r="I8238" i="1"/>
  <c r="F8238" i="1"/>
  <c r="I8237" i="1"/>
  <c r="F8237" i="1"/>
  <c r="I8236" i="1"/>
  <c r="F8236" i="1"/>
  <c r="I8235" i="1"/>
  <c r="F8235" i="1"/>
  <c r="I8234" i="1"/>
  <c r="F8234" i="1"/>
  <c r="I8233" i="1"/>
  <c r="F8233" i="1"/>
  <c r="I8232" i="1"/>
  <c r="F8232" i="1"/>
  <c r="I8231" i="1"/>
  <c r="F8231" i="1"/>
  <c r="I8230" i="1"/>
  <c r="F8230" i="1"/>
  <c r="I8229" i="1"/>
  <c r="F8229" i="1"/>
  <c r="I8228" i="1"/>
  <c r="F8228" i="1"/>
  <c r="I8227" i="1"/>
  <c r="F8227" i="1"/>
  <c r="I8226" i="1"/>
  <c r="F8226" i="1"/>
  <c r="I8225" i="1"/>
  <c r="F8225" i="1"/>
  <c r="I8224" i="1"/>
  <c r="F8224" i="1"/>
  <c r="I8223" i="1"/>
  <c r="F8223" i="1"/>
  <c r="I8222" i="1"/>
  <c r="F8222" i="1"/>
  <c r="I8221" i="1"/>
  <c r="F8221" i="1"/>
  <c r="I8220" i="1"/>
  <c r="F8220" i="1"/>
  <c r="I8219" i="1"/>
  <c r="F8219" i="1"/>
  <c r="I8218" i="1"/>
  <c r="F8218" i="1"/>
  <c r="I8217" i="1"/>
  <c r="F8217" i="1"/>
  <c r="I8216" i="1"/>
  <c r="F8216" i="1"/>
  <c r="I8215" i="1"/>
  <c r="F8215" i="1"/>
  <c r="I8214" i="1"/>
  <c r="F8214" i="1"/>
  <c r="I8213" i="1"/>
  <c r="F8213" i="1"/>
  <c r="I8212" i="1"/>
  <c r="F8212" i="1"/>
  <c r="I8211" i="1"/>
  <c r="F8211" i="1"/>
  <c r="I8210" i="1"/>
  <c r="F8210" i="1"/>
  <c r="I8209" i="1"/>
  <c r="F8209" i="1"/>
  <c r="I8208" i="1"/>
  <c r="F8208" i="1"/>
  <c r="I8207" i="1"/>
  <c r="F8207" i="1"/>
  <c r="I8206" i="1"/>
  <c r="F8206" i="1"/>
  <c r="I8205" i="1"/>
  <c r="F8205" i="1"/>
  <c r="I8204" i="1"/>
  <c r="F8204" i="1"/>
  <c r="I8203" i="1"/>
  <c r="F8203" i="1"/>
  <c r="I8202" i="1"/>
  <c r="F8202" i="1"/>
  <c r="I8201" i="1"/>
  <c r="F8201" i="1"/>
  <c r="I8200" i="1"/>
  <c r="F8200" i="1"/>
  <c r="I8199" i="1"/>
  <c r="F8199" i="1"/>
  <c r="I8198" i="1"/>
  <c r="F8198" i="1"/>
  <c r="I8197" i="1"/>
  <c r="F8197" i="1"/>
  <c r="I8196" i="1"/>
  <c r="F8196" i="1"/>
  <c r="I8195" i="1"/>
  <c r="F8195" i="1"/>
  <c r="I8194" i="1"/>
  <c r="F8194" i="1"/>
  <c r="I8193" i="1"/>
  <c r="F8193" i="1"/>
  <c r="I8192" i="1"/>
  <c r="F8192" i="1"/>
  <c r="I8191" i="1"/>
  <c r="F8191" i="1"/>
  <c r="I8190" i="1"/>
  <c r="F8190" i="1"/>
  <c r="I8189" i="1"/>
  <c r="F8189" i="1"/>
  <c r="I8188" i="1"/>
  <c r="F8188" i="1"/>
  <c r="I8187" i="1"/>
  <c r="F8187" i="1"/>
  <c r="I8186" i="1"/>
  <c r="F8186" i="1"/>
  <c r="I8185" i="1"/>
  <c r="F8185" i="1"/>
  <c r="I8184" i="1"/>
  <c r="F8184" i="1"/>
  <c r="I8183" i="1"/>
  <c r="F8183" i="1"/>
  <c r="I8182" i="1"/>
  <c r="F8182" i="1"/>
  <c r="I8181" i="1"/>
  <c r="F8181" i="1"/>
  <c r="I8180" i="1"/>
  <c r="F8180" i="1"/>
  <c r="I8179" i="1"/>
  <c r="F8179" i="1"/>
  <c r="I8178" i="1"/>
  <c r="F8178" i="1"/>
  <c r="I8177" i="1"/>
  <c r="F8177" i="1"/>
  <c r="I8176" i="1"/>
  <c r="F8176" i="1"/>
  <c r="I8175" i="1"/>
  <c r="F8175" i="1"/>
  <c r="I8174" i="1"/>
  <c r="F8174" i="1"/>
  <c r="I8173" i="1"/>
  <c r="F8173" i="1"/>
  <c r="I8172" i="1"/>
  <c r="F8172" i="1"/>
  <c r="I8171" i="1"/>
  <c r="F8171" i="1"/>
  <c r="I8170" i="1"/>
  <c r="F8170" i="1"/>
  <c r="I8169" i="1"/>
  <c r="F8169" i="1"/>
  <c r="I8168" i="1"/>
  <c r="F8168" i="1"/>
  <c r="I8167" i="1"/>
  <c r="F8167" i="1"/>
  <c r="I8166" i="1"/>
  <c r="F8166" i="1"/>
  <c r="I8165" i="1"/>
  <c r="F8165" i="1"/>
  <c r="I8164" i="1"/>
  <c r="F8164" i="1"/>
  <c r="I8163" i="1"/>
  <c r="F8163" i="1"/>
  <c r="I8162" i="1"/>
  <c r="F8162" i="1"/>
  <c r="I8161" i="1"/>
  <c r="F8161" i="1"/>
  <c r="I8160" i="1"/>
  <c r="F8160" i="1"/>
  <c r="I8159" i="1"/>
  <c r="F8159" i="1"/>
  <c r="I8158" i="1"/>
  <c r="F8158" i="1"/>
  <c r="I8157" i="1"/>
  <c r="F8157" i="1"/>
  <c r="I8156" i="1"/>
  <c r="F8156" i="1"/>
  <c r="I8155" i="1"/>
  <c r="F8155" i="1"/>
  <c r="I8154" i="1"/>
  <c r="F8154" i="1"/>
  <c r="I8153" i="1"/>
  <c r="F8153" i="1"/>
  <c r="I8152" i="1"/>
  <c r="F8152" i="1"/>
  <c r="I8151" i="1"/>
  <c r="F8151" i="1"/>
  <c r="I8150" i="1"/>
  <c r="F8150" i="1"/>
  <c r="I8149" i="1"/>
  <c r="F8149" i="1"/>
  <c r="I8148" i="1"/>
  <c r="F8148" i="1"/>
  <c r="I8147" i="1"/>
  <c r="F8147" i="1"/>
  <c r="I8146" i="1"/>
  <c r="F8146" i="1"/>
  <c r="I8145" i="1"/>
  <c r="F8145" i="1"/>
  <c r="I8144" i="1"/>
  <c r="F8144" i="1"/>
  <c r="I8143" i="1"/>
  <c r="F8143" i="1"/>
  <c r="I8142" i="1"/>
  <c r="F8142" i="1"/>
  <c r="I8141" i="1"/>
  <c r="F8141" i="1"/>
  <c r="I8140" i="1"/>
  <c r="F8140" i="1"/>
  <c r="I8139" i="1"/>
  <c r="F8139" i="1"/>
  <c r="I8138" i="1"/>
  <c r="F8138" i="1"/>
  <c r="I8137" i="1"/>
  <c r="F8137" i="1"/>
  <c r="I8136" i="1"/>
  <c r="F8136" i="1"/>
  <c r="I8135" i="1"/>
  <c r="F8135" i="1"/>
  <c r="I8134" i="1"/>
  <c r="F8134" i="1"/>
  <c r="I8133" i="1"/>
  <c r="F8133" i="1"/>
  <c r="I8132" i="1"/>
  <c r="F8132" i="1"/>
  <c r="I8131" i="1"/>
  <c r="F8131" i="1"/>
  <c r="I8130" i="1"/>
  <c r="F8130" i="1"/>
  <c r="I8129" i="1"/>
  <c r="F8129" i="1"/>
  <c r="I8128" i="1"/>
  <c r="F8128" i="1"/>
  <c r="I8127" i="1"/>
  <c r="F8127" i="1"/>
  <c r="I8126" i="1"/>
  <c r="F8126" i="1"/>
  <c r="I8125" i="1"/>
  <c r="F8125" i="1"/>
  <c r="I8124" i="1"/>
  <c r="F8124" i="1"/>
  <c r="I8123" i="1"/>
  <c r="F8123" i="1"/>
  <c r="I8122" i="1"/>
  <c r="F8122" i="1"/>
  <c r="I8121" i="1"/>
  <c r="F8121" i="1"/>
  <c r="I8120" i="1"/>
  <c r="F8120" i="1"/>
  <c r="I8119" i="1"/>
  <c r="F8119" i="1"/>
  <c r="I8118" i="1"/>
  <c r="F8118" i="1"/>
  <c r="I8117" i="1"/>
  <c r="F8117" i="1"/>
  <c r="I8116" i="1"/>
  <c r="F8116" i="1"/>
  <c r="I8115" i="1"/>
  <c r="F8115" i="1"/>
  <c r="I8114" i="1"/>
  <c r="F8114" i="1"/>
  <c r="I8113" i="1"/>
  <c r="F8113" i="1"/>
  <c r="I8112" i="1"/>
  <c r="F8112" i="1"/>
  <c r="I8111" i="1"/>
  <c r="F8111" i="1"/>
  <c r="I8110" i="1"/>
  <c r="F8110" i="1"/>
  <c r="I8109" i="1"/>
  <c r="F8109" i="1"/>
  <c r="I8108" i="1"/>
  <c r="F8108" i="1"/>
  <c r="I8107" i="1"/>
  <c r="F8107" i="1"/>
  <c r="I8106" i="1"/>
  <c r="F8106" i="1"/>
  <c r="I8105" i="1"/>
  <c r="F8105" i="1"/>
  <c r="I8104" i="1"/>
  <c r="F8104" i="1"/>
  <c r="I8103" i="1"/>
  <c r="F8103" i="1"/>
  <c r="I8102" i="1"/>
  <c r="F8102" i="1"/>
  <c r="I8101" i="1"/>
  <c r="F8101" i="1"/>
  <c r="I8100" i="1"/>
  <c r="F8100" i="1"/>
  <c r="I8099" i="1"/>
  <c r="F8099" i="1"/>
  <c r="I8098" i="1"/>
  <c r="F8098" i="1"/>
  <c r="I8097" i="1"/>
  <c r="F8097" i="1"/>
  <c r="I8096" i="1"/>
  <c r="F8096" i="1"/>
  <c r="I8095" i="1"/>
  <c r="F8095" i="1"/>
  <c r="I8094" i="1"/>
  <c r="F8094" i="1"/>
  <c r="I8093" i="1"/>
  <c r="F8093" i="1"/>
  <c r="I8092" i="1"/>
  <c r="F8092" i="1"/>
  <c r="I8091" i="1"/>
  <c r="F8091" i="1"/>
  <c r="I8090" i="1"/>
  <c r="F8090" i="1"/>
  <c r="I8089" i="1"/>
  <c r="F8089" i="1"/>
  <c r="I8088" i="1"/>
  <c r="F8088" i="1"/>
  <c r="I8087" i="1"/>
  <c r="F8087" i="1"/>
  <c r="I8086" i="1"/>
  <c r="F8086" i="1"/>
  <c r="I8085" i="1"/>
  <c r="F8085" i="1"/>
  <c r="I8084" i="1"/>
  <c r="F8084" i="1"/>
  <c r="I8083" i="1"/>
  <c r="F8083" i="1"/>
  <c r="I8082" i="1"/>
  <c r="F8082" i="1"/>
  <c r="I8081" i="1"/>
  <c r="F8081" i="1"/>
  <c r="I8080" i="1"/>
  <c r="F8080" i="1"/>
  <c r="I8079" i="1"/>
  <c r="F8079" i="1"/>
  <c r="I8078" i="1"/>
  <c r="F8078" i="1"/>
  <c r="I8077" i="1"/>
  <c r="F8077" i="1"/>
  <c r="I8076" i="1"/>
  <c r="F8076" i="1"/>
  <c r="I8075" i="1"/>
  <c r="F8075" i="1"/>
  <c r="I8074" i="1"/>
  <c r="F8074" i="1"/>
  <c r="I8073" i="1"/>
  <c r="F8073" i="1"/>
  <c r="I8072" i="1"/>
  <c r="F8072" i="1"/>
  <c r="I8071" i="1"/>
  <c r="F8071" i="1"/>
  <c r="I8070" i="1"/>
  <c r="F8070" i="1"/>
  <c r="I8069" i="1"/>
  <c r="F8069" i="1"/>
  <c r="I8068" i="1"/>
  <c r="F8068" i="1"/>
  <c r="I8067" i="1"/>
  <c r="F8067" i="1"/>
  <c r="I8066" i="1"/>
  <c r="F8066" i="1"/>
  <c r="I8065" i="1"/>
  <c r="F8065" i="1"/>
  <c r="I8064" i="1"/>
  <c r="F8064" i="1"/>
  <c r="I8063" i="1"/>
  <c r="F8063" i="1"/>
  <c r="I8062" i="1"/>
  <c r="F8062" i="1"/>
  <c r="I8061" i="1"/>
  <c r="F8061" i="1"/>
  <c r="I8060" i="1"/>
  <c r="F8060" i="1"/>
  <c r="I8059" i="1"/>
  <c r="F8059" i="1"/>
  <c r="I8058" i="1"/>
  <c r="F8058" i="1"/>
  <c r="I8057" i="1"/>
  <c r="F8057" i="1"/>
  <c r="I8056" i="1"/>
  <c r="F8056" i="1"/>
  <c r="I8055" i="1"/>
  <c r="F8055" i="1"/>
  <c r="I8054" i="1"/>
  <c r="F8054" i="1"/>
  <c r="I8053" i="1"/>
  <c r="F8053" i="1"/>
  <c r="I8052" i="1"/>
  <c r="F8052" i="1"/>
  <c r="I8051" i="1"/>
  <c r="F8051" i="1"/>
  <c r="I8050" i="1"/>
  <c r="F8050" i="1"/>
  <c r="I8049" i="1"/>
  <c r="F8049" i="1"/>
  <c r="I8048" i="1"/>
  <c r="F8048" i="1"/>
  <c r="I8047" i="1"/>
  <c r="F8047" i="1"/>
  <c r="I8046" i="1"/>
  <c r="F8046" i="1"/>
  <c r="I8045" i="1"/>
  <c r="F8045" i="1"/>
  <c r="I8044" i="1"/>
  <c r="F8044" i="1"/>
  <c r="I8043" i="1"/>
  <c r="F8043" i="1"/>
  <c r="I8042" i="1"/>
  <c r="F8042" i="1"/>
  <c r="I8041" i="1"/>
  <c r="F8041" i="1"/>
  <c r="I8040" i="1"/>
  <c r="F8040" i="1"/>
  <c r="I8039" i="1"/>
  <c r="F8039" i="1"/>
  <c r="I8038" i="1"/>
  <c r="F8038" i="1"/>
  <c r="I8037" i="1"/>
  <c r="F8037" i="1"/>
  <c r="I8036" i="1"/>
  <c r="F8036" i="1"/>
  <c r="I8035" i="1"/>
  <c r="F8035" i="1"/>
  <c r="I8034" i="1"/>
  <c r="F8034" i="1"/>
  <c r="I8033" i="1"/>
  <c r="F8033" i="1"/>
  <c r="I8032" i="1"/>
  <c r="F8032" i="1"/>
  <c r="I8031" i="1"/>
  <c r="F8031" i="1"/>
  <c r="I8030" i="1"/>
  <c r="F8030" i="1"/>
  <c r="I8029" i="1"/>
  <c r="F8029" i="1"/>
  <c r="I8028" i="1"/>
  <c r="F8028" i="1"/>
  <c r="I8027" i="1"/>
  <c r="F8027" i="1"/>
  <c r="I8026" i="1"/>
  <c r="F8026" i="1"/>
  <c r="I8025" i="1"/>
  <c r="F8025" i="1"/>
  <c r="I8024" i="1"/>
  <c r="F8024" i="1"/>
  <c r="I8023" i="1"/>
  <c r="F8023" i="1"/>
  <c r="I8022" i="1"/>
  <c r="F8022" i="1"/>
  <c r="I8021" i="1"/>
  <c r="F8021" i="1"/>
  <c r="I8020" i="1"/>
  <c r="F8020" i="1"/>
  <c r="I8019" i="1"/>
  <c r="F8019" i="1"/>
  <c r="I8018" i="1"/>
  <c r="F8018" i="1"/>
  <c r="I8017" i="1"/>
  <c r="F8017" i="1"/>
  <c r="I8016" i="1"/>
  <c r="F8016" i="1"/>
  <c r="I8015" i="1"/>
  <c r="F8015" i="1"/>
  <c r="I8014" i="1"/>
  <c r="F8014" i="1"/>
  <c r="I8013" i="1"/>
  <c r="F8013" i="1"/>
  <c r="I8012" i="1"/>
  <c r="F8012" i="1"/>
  <c r="I8011" i="1"/>
  <c r="F8011" i="1"/>
  <c r="I8010" i="1"/>
  <c r="F8010" i="1"/>
  <c r="I8009" i="1"/>
  <c r="F8009" i="1"/>
  <c r="I8008" i="1"/>
  <c r="F8008" i="1"/>
  <c r="I8007" i="1"/>
  <c r="F8007" i="1"/>
  <c r="I8006" i="1"/>
  <c r="F8006" i="1"/>
  <c r="I8005" i="1"/>
  <c r="F8005" i="1"/>
  <c r="I8004" i="1"/>
  <c r="F8004" i="1"/>
  <c r="I8003" i="1"/>
  <c r="F8003" i="1"/>
  <c r="I8002" i="1"/>
  <c r="F8002" i="1"/>
  <c r="I8001" i="1"/>
  <c r="F8001" i="1"/>
  <c r="I8000" i="1"/>
  <c r="F8000" i="1"/>
  <c r="I7999" i="1"/>
  <c r="F7999" i="1"/>
  <c r="I7998" i="1"/>
  <c r="F7998" i="1"/>
  <c r="I7997" i="1"/>
  <c r="F7997" i="1"/>
  <c r="I7996" i="1"/>
  <c r="F7996" i="1"/>
  <c r="I7995" i="1"/>
  <c r="F7995" i="1"/>
  <c r="I7994" i="1"/>
  <c r="F7994" i="1"/>
  <c r="I7993" i="1"/>
  <c r="F7993" i="1"/>
  <c r="I7992" i="1"/>
  <c r="F7992" i="1"/>
  <c r="I7991" i="1"/>
  <c r="F7991" i="1"/>
  <c r="I7990" i="1"/>
  <c r="F7990" i="1"/>
  <c r="I7989" i="1"/>
  <c r="F7989" i="1"/>
  <c r="I7988" i="1"/>
  <c r="F7988" i="1"/>
  <c r="I7987" i="1"/>
  <c r="F7987" i="1"/>
  <c r="I7986" i="1"/>
  <c r="F7986" i="1"/>
  <c r="I7985" i="1"/>
  <c r="F7985" i="1"/>
  <c r="I7984" i="1"/>
  <c r="F7984" i="1"/>
  <c r="I7983" i="1"/>
  <c r="F7983" i="1"/>
  <c r="I7982" i="1"/>
  <c r="F7982" i="1"/>
  <c r="I7981" i="1"/>
  <c r="F7981" i="1"/>
  <c r="I7980" i="1"/>
  <c r="F7980" i="1"/>
  <c r="I7979" i="1"/>
  <c r="F7979" i="1"/>
  <c r="I7978" i="1"/>
  <c r="F7978" i="1"/>
  <c r="I7977" i="1"/>
  <c r="F7977" i="1"/>
  <c r="I7976" i="1"/>
  <c r="F7976" i="1"/>
  <c r="I7975" i="1"/>
  <c r="F7975" i="1"/>
  <c r="I7974" i="1"/>
  <c r="F7974" i="1"/>
  <c r="I7973" i="1"/>
  <c r="F7973" i="1"/>
  <c r="I7972" i="1"/>
  <c r="F7972" i="1"/>
  <c r="I7971" i="1"/>
  <c r="F7971" i="1"/>
  <c r="I7970" i="1"/>
  <c r="F7970" i="1"/>
  <c r="I7969" i="1"/>
  <c r="F7969" i="1"/>
  <c r="I7968" i="1"/>
  <c r="F7968" i="1"/>
  <c r="I7967" i="1"/>
  <c r="F7967" i="1"/>
  <c r="I7966" i="1"/>
  <c r="F7966" i="1"/>
  <c r="I7965" i="1"/>
  <c r="F7965" i="1"/>
  <c r="I7964" i="1"/>
  <c r="F7964" i="1"/>
  <c r="I7963" i="1"/>
  <c r="F7963" i="1"/>
  <c r="I7962" i="1"/>
  <c r="F7962" i="1"/>
  <c r="I7961" i="1"/>
  <c r="F7961" i="1"/>
  <c r="I7960" i="1"/>
  <c r="F7960" i="1"/>
  <c r="I7959" i="1"/>
  <c r="F7959" i="1"/>
  <c r="I7958" i="1"/>
  <c r="F7958" i="1"/>
  <c r="I7957" i="1"/>
  <c r="F7957" i="1"/>
  <c r="I7956" i="1"/>
  <c r="F7956" i="1"/>
  <c r="I7955" i="1"/>
  <c r="F7955" i="1"/>
  <c r="I7954" i="1"/>
  <c r="F7954" i="1"/>
  <c r="I7953" i="1"/>
  <c r="F7953" i="1"/>
  <c r="I7952" i="1"/>
  <c r="F7952" i="1"/>
  <c r="I7951" i="1"/>
  <c r="F7951" i="1"/>
  <c r="I7950" i="1"/>
  <c r="F7950" i="1"/>
  <c r="I7949" i="1"/>
  <c r="F7949" i="1"/>
  <c r="I7948" i="1"/>
  <c r="F7948" i="1"/>
  <c r="I7947" i="1"/>
  <c r="F7947" i="1"/>
  <c r="I7946" i="1"/>
  <c r="F7946" i="1"/>
  <c r="I7945" i="1"/>
  <c r="F7945" i="1"/>
  <c r="I7944" i="1"/>
  <c r="F7944" i="1"/>
  <c r="I7943" i="1"/>
  <c r="F7943" i="1"/>
  <c r="I7942" i="1"/>
  <c r="F7942" i="1"/>
  <c r="I7941" i="1"/>
  <c r="F7941" i="1"/>
  <c r="I7940" i="1"/>
  <c r="F7940" i="1"/>
  <c r="I7939" i="1"/>
  <c r="F7939" i="1"/>
  <c r="I7938" i="1"/>
  <c r="F7938" i="1"/>
  <c r="I7937" i="1"/>
  <c r="F7937" i="1"/>
  <c r="I7936" i="1"/>
  <c r="F7936" i="1"/>
  <c r="I7935" i="1"/>
  <c r="F7935" i="1"/>
  <c r="I7934" i="1"/>
  <c r="F7934" i="1"/>
  <c r="I7933" i="1"/>
  <c r="F7933" i="1"/>
  <c r="I7932" i="1"/>
  <c r="F7932" i="1"/>
  <c r="I7931" i="1"/>
  <c r="F7931" i="1"/>
  <c r="I7930" i="1"/>
  <c r="F7930" i="1"/>
  <c r="I7929" i="1"/>
  <c r="F7929" i="1"/>
  <c r="I7928" i="1"/>
  <c r="F7928" i="1"/>
  <c r="I7927" i="1"/>
  <c r="F7927" i="1"/>
  <c r="I7926" i="1"/>
  <c r="F7926" i="1"/>
  <c r="I7925" i="1"/>
  <c r="F7925" i="1"/>
  <c r="I7924" i="1"/>
  <c r="F7924" i="1"/>
  <c r="I7923" i="1"/>
  <c r="F7923" i="1"/>
  <c r="I7922" i="1"/>
  <c r="F7922" i="1"/>
  <c r="I7921" i="1"/>
  <c r="F7921" i="1"/>
  <c r="I7920" i="1"/>
  <c r="F7920" i="1"/>
  <c r="I7919" i="1"/>
  <c r="F7919" i="1"/>
  <c r="I7918" i="1"/>
  <c r="F7918" i="1"/>
  <c r="I7917" i="1"/>
  <c r="F7917" i="1"/>
  <c r="I7916" i="1"/>
  <c r="F7916" i="1"/>
  <c r="I7915" i="1"/>
  <c r="F7915" i="1"/>
  <c r="I7914" i="1"/>
  <c r="F7914" i="1"/>
  <c r="I7913" i="1"/>
  <c r="F7913" i="1"/>
  <c r="I7912" i="1"/>
  <c r="F7912" i="1"/>
  <c r="I7911" i="1"/>
  <c r="F7911" i="1"/>
  <c r="I7910" i="1"/>
  <c r="F7910" i="1"/>
  <c r="I7909" i="1"/>
  <c r="F7909" i="1"/>
  <c r="I7908" i="1"/>
  <c r="F7908" i="1"/>
  <c r="I7907" i="1"/>
  <c r="F7907" i="1"/>
  <c r="I7906" i="1"/>
  <c r="F7906" i="1"/>
  <c r="I7905" i="1"/>
  <c r="F7905" i="1"/>
  <c r="I7904" i="1"/>
  <c r="F7904" i="1"/>
  <c r="I7903" i="1"/>
  <c r="F7903" i="1"/>
  <c r="I7902" i="1"/>
  <c r="F7902" i="1"/>
  <c r="I7901" i="1"/>
  <c r="F7901" i="1"/>
  <c r="I7900" i="1"/>
  <c r="F7900" i="1"/>
  <c r="I7899" i="1"/>
  <c r="F7899" i="1"/>
  <c r="I7898" i="1"/>
  <c r="F7898" i="1"/>
  <c r="I7897" i="1"/>
  <c r="F7897" i="1"/>
  <c r="I7896" i="1"/>
  <c r="F7896" i="1"/>
  <c r="I7895" i="1"/>
  <c r="F7895" i="1"/>
  <c r="I7894" i="1"/>
  <c r="F7894" i="1"/>
  <c r="I7893" i="1"/>
  <c r="F7893" i="1"/>
  <c r="I7892" i="1"/>
  <c r="F7892" i="1"/>
  <c r="I7891" i="1"/>
  <c r="F7891" i="1"/>
  <c r="I7890" i="1"/>
  <c r="F7890" i="1"/>
  <c r="I7889" i="1"/>
  <c r="F7889" i="1"/>
  <c r="I7888" i="1"/>
  <c r="F7888" i="1"/>
  <c r="I7887" i="1"/>
  <c r="F7887" i="1"/>
  <c r="I7886" i="1"/>
  <c r="F7886" i="1"/>
  <c r="I7885" i="1"/>
  <c r="F7885" i="1"/>
  <c r="I7884" i="1"/>
  <c r="F7884" i="1"/>
  <c r="I7883" i="1"/>
  <c r="F7883" i="1"/>
  <c r="I7882" i="1"/>
  <c r="F7882" i="1"/>
  <c r="I7881" i="1"/>
  <c r="F7881" i="1"/>
  <c r="I7880" i="1"/>
  <c r="F7880" i="1"/>
  <c r="I7879" i="1"/>
  <c r="F7879" i="1"/>
  <c r="I7878" i="1"/>
  <c r="F7878" i="1"/>
  <c r="I7877" i="1"/>
  <c r="F7877" i="1"/>
  <c r="I7876" i="1"/>
  <c r="F7876" i="1"/>
  <c r="I7875" i="1"/>
  <c r="F7875" i="1"/>
  <c r="I7874" i="1"/>
  <c r="F7874" i="1"/>
  <c r="I7873" i="1"/>
  <c r="F7873" i="1"/>
  <c r="I7872" i="1"/>
  <c r="F7872" i="1"/>
  <c r="I7871" i="1"/>
  <c r="F7871" i="1"/>
  <c r="I7870" i="1"/>
  <c r="F7870" i="1"/>
  <c r="I7869" i="1"/>
  <c r="F7869" i="1"/>
  <c r="I7868" i="1"/>
  <c r="F7868" i="1"/>
  <c r="I7867" i="1"/>
  <c r="F7867" i="1"/>
  <c r="I7866" i="1"/>
  <c r="F7866" i="1"/>
  <c r="I7865" i="1"/>
  <c r="F7865" i="1"/>
  <c r="I7864" i="1"/>
  <c r="F7864" i="1"/>
  <c r="I7863" i="1"/>
  <c r="F7863" i="1"/>
  <c r="I7862" i="1"/>
  <c r="F7862" i="1"/>
  <c r="I7861" i="1"/>
  <c r="F7861" i="1"/>
  <c r="I7860" i="1"/>
  <c r="F7860" i="1"/>
  <c r="I7859" i="1"/>
  <c r="F7859" i="1"/>
  <c r="I7858" i="1"/>
  <c r="F7858" i="1"/>
  <c r="I7857" i="1"/>
  <c r="F7857" i="1"/>
  <c r="I7856" i="1"/>
  <c r="F7856" i="1"/>
  <c r="I7855" i="1"/>
  <c r="F7855" i="1"/>
  <c r="I7854" i="1"/>
  <c r="F7854" i="1"/>
  <c r="I7853" i="1"/>
  <c r="F7853" i="1"/>
  <c r="I7852" i="1"/>
  <c r="F7852" i="1"/>
  <c r="I7851" i="1"/>
  <c r="F7851" i="1"/>
  <c r="I7850" i="1"/>
  <c r="F7850" i="1"/>
  <c r="I7849" i="1"/>
  <c r="F7849" i="1"/>
  <c r="I7848" i="1"/>
  <c r="F7848" i="1"/>
  <c r="I7847" i="1"/>
  <c r="F7847" i="1"/>
  <c r="I7846" i="1"/>
  <c r="F7846" i="1"/>
  <c r="I7845" i="1"/>
  <c r="F7845" i="1"/>
  <c r="I7844" i="1"/>
  <c r="F7844" i="1"/>
  <c r="I7843" i="1"/>
  <c r="F7843" i="1"/>
  <c r="I7842" i="1"/>
  <c r="F7842" i="1"/>
  <c r="I7841" i="1"/>
  <c r="F7841" i="1"/>
  <c r="I7840" i="1"/>
  <c r="F7840" i="1"/>
  <c r="I7839" i="1"/>
  <c r="F7839" i="1"/>
  <c r="I7838" i="1"/>
  <c r="F7838" i="1"/>
  <c r="I7837" i="1"/>
  <c r="F7837" i="1"/>
  <c r="I7836" i="1"/>
  <c r="F7836" i="1"/>
  <c r="I7835" i="1"/>
  <c r="F7835" i="1"/>
  <c r="I7834" i="1"/>
  <c r="F7834" i="1"/>
  <c r="I7833" i="1"/>
  <c r="F7833" i="1"/>
  <c r="I7832" i="1"/>
  <c r="F7832" i="1"/>
  <c r="I7831" i="1"/>
  <c r="F7831" i="1"/>
  <c r="I7830" i="1"/>
  <c r="F7830" i="1"/>
  <c r="I7829" i="1"/>
  <c r="F7829" i="1"/>
  <c r="I7828" i="1"/>
  <c r="F7828" i="1"/>
  <c r="I7827" i="1"/>
  <c r="F7827" i="1"/>
  <c r="I7826" i="1"/>
  <c r="F7826" i="1"/>
  <c r="I7825" i="1"/>
  <c r="F7825" i="1"/>
  <c r="I7824" i="1"/>
  <c r="F7824" i="1"/>
  <c r="I7823" i="1"/>
  <c r="F7823" i="1"/>
  <c r="I7822" i="1"/>
  <c r="F7822" i="1"/>
  <c r="I7821" i="1"/>
  <c r="F7821" i="1"/>
  <c r="I7820" i="1"/>
  <c r="F7820" i="1"/>
  <c r="I7819" i="1"/>
  <c r="F7819" i="1"/>
  <c r="I7818" i="1"/>
  <c r="F7818" i="1"/>
  <c r="I7817" i="1"/>
  <c r="F7817" i="1"/>
  <c r="I7816" i="1"/>
  <c r="F7816" i="1"/>
  <c r="I7815" i="1"/>
  <c r="F7815" i="1"/>
  <c r="I7814" i="1"/>
  <c r="F7814" i="1"/>
  <c r="I7813" i="1"/>
  <c r="F7813" i="1"/>
  <c r="I7812" i="1"/>
  <c r="F7812" i="1"/>
  <c r="I7811" i="1"/>
  <c r="F7811" i="1"/>
  <c r="I7810" i="1"/>
  <c r="F7810" i="1"/>
  <c r="I7809" i="1"/>
  <c r="F7809" i="1"/>
  <c r="I7808" i="1"/>
  <c r="F7808" i="1"/>
  <c r="I7807" i="1"/>
  <c r="F7807" i="1"/>
  <c r="I7806" i="1"/>
  <c r="F7806" i="1"/>
  <c r="I7805" i="1"/>
  <c r="F7805" i="1"/>
  <c r="I7804" i="1"/>
  <c r="F7804" i="1"/>
  <c r="I7803" i="1"/>
  <c r="F7803" i="1"/>
  <c r="I7802" i="1"/>
  <c r="F7802" i="1"/>
  <c r="I7801" i="1"/>
  <c r="F7801" i="1"/>
  <c r="I7800" i="1"/>
  <c r="F7800" i="1"/>
  <c r="I7799" i="1"/>
  <c r="F7799" i="1"/>
  <c r="I7798" i="1"/>
  <c r="F7798" i="1"/>
  <c r="I7797" i="1"/>
  <c r="F7797" i="1"/>
  <c r="I7796" i="1"/>
  <c r="F7796" i="1"/>
  <c r="I7795" i="1"/>
  <c r="F7795" i="1"/>
  <c r="I7794" i="1"/>
  <c r="F7794" i="1"/>
  <c r="I7793" i="1"/>
  <c r="F7793" i="1"/>
  <c r="I7792" i="1"/>
  <c r="F7792" i="1"/>
  <c r="I7791" i="1"/>
  <c r="F7791" i="1"/>
  <c r="I7790" i="1"/>
  <c r="F7790" i="1"/>
  <c r="I7789" i="1"/>
  <c r="F7789" i="1"/>
  <c r="I7788" i="1"/>
  <c r="F7788" i="1"/>
  <c r="I7787" i="1"/>
  <c r="F7787" i="1"/>
  <c r="I7786" i="1"/>
  <c r="F7786" i="1"/>
  <c r="I7785" i="1"/>
  <c r="F7785" i="1"/>
  <c r="I7784" i="1"/>
  <c r="F7784" i="1"/>
  <c r="I7783" i="1"/>
  <c r="F7783" i="1"/>
  <c r="I7782" i="1"/>
  <c r="F7782" i="1"/>
  <c r="I7781" i="1"/>
  <c r="F7781" i="1"/>
  <c r="I7780" i="1"/>
  <c r="F7780" i="1"/>
  <c r="I7779" i="1"/>
  <c r="F7779" i="1"/>
  <c r="I7778" i="1"/>
  <c r="F7778" i="1"/>
  <c r="I7777" i="1"/>
  <c r="F7777" i="1"/>
  <c r="I7776" i="1"/>
  <c r="F7776" i="1"/>
  <c r="I7775" i="1"/>
  <c r="F7775" i="1"/>
  <c r="I7774" i="1"/>
  <c r="F7774" i="1"/>
  <c r="I7773" i="1"/>
  <c r="F7773" i="1"/>
  <c r="I7772" i="1"/>
  <c r="F7772" i="1"/>
  <c r="I7771" i="1"/>
  <c r="F7771" i="1"/>
  <c r="I7770" i="1"/>
  <c r="F7770" i="1"/>
  <c r="I7769" i="1"/>
  <c r="F7769" i="1"/>
  <c r="I7768" i="1"/>
  <c r="F7768" i="1"/>
  <c r="I7767" i="1"/>
  <c r="F7767" i="1"/>
  <c r="I7766" i="1"/>
  <c r="F7766" i="1"/>
  <c r="I7765" i="1"/>
  <c r="F7765" i="1"/>
  <c r="I7764" i="1"/>
  <c r="F7764" i="1"/>
  <c r="I7763" i="1"/>
  <c r="F7763" i="1"/>
  <c r="I7762" i="1"/>
  <c r="F7762" i="1"/>
  <c r="I7761" i="1"/>
  <c r="F7761" i="1"/>
  <c r="I7760" i="1"/>
  <c r="F7760" i="1"/>
  <c r="I7759" i="1"/>
  <c r="F7759" i="1"/>
  <c r="I7758" i="1"/>
  <c r="F7758" i="1"/>
  <c r="I7757" i="1"/>
  <c r="F7757" i="1"/>
  <c r="I7756" i="1"/>
  <c r="F7756" i="1"/>
  <c r="I7755" i="1"/>
  <c r="F7755" i="1"/>
  <c r="I7754" i="1"/>
  <c r="F7754" i="1"/>
  <c r="I7753" i="1"/>
  <c r="F7753" i="1"/>
  <c r="I7752" i="1"/>
  <c r="F7752" i="1"/>
  <c r="I7751" i="1"/>
  <c r="F7751" i="1"/>
  <c r="I7750" i="1"/>
  <c r="F7750" i="1"/>
  <c r="I7749" i="1"/>
  <c r="F7749" i="1"/>
  <c r="I7748" i="1"/>
  <c r="F7748" i="1"/>
  <c r="I7747" i="1"/>
  <c r="F7747" i="1"/>
  <c r="I7746" i="1"/>
  <c r="F7746" i="1"/>
  <c r="I7745" i="1"/>
  <c r="F7745" i="1"/>
  <c r="I7744" i="1"/>
  <c r="F7744" i="1"/>
  <c r="I7743" i="1"/>
  <c r="F7743" i="1"/>
  <c r="I7742" i="1"/>
  <c r="F7742" i="1"/>
  <c r="I7741" i="1"/>
  <c r="F7741" i="1"/>
  <c r="I7740" i="1"/>
  <c r="F7740" i="1"/>
  <c r="I7739" i="1"/>
  <c r="F7739" i="1"/>
  <c r="I7738" i="1"/>
  <c r="F7738" i="1"/>
  <c r="I7737" i="1"/>
  <c r="F7737" i="1"/>
  <c r="I7736" i="1"/>
  <c r="F7736" i="1"/>
  <c r="I7735" i="1"/>
  <c r="F7735" i="1"/>
  <c r="I7734" i="1"/>
  <c r="F7734" i="1"/>
  <c r="I7733" i="1"/>
  <c r="F7733" i="1"/>
  <c r="I7732" i="1"/>
  <c r="F7732" i="1"/>
  <c r="I7731" i="1"/>
  <c r="F7731" i="1"/>
  <c r="I7730" i="1"/>
  <c r="F7730" i="1"/>
  <c r="I7729" i="1"/>
  <c r="F7729" i="1"/>
  <c r="I7728" i="1"/>
  <c r="F7728" i="1"/>
  <c r="I7727" i="1"/>
  <c r="F7727" i="1"/>
  <c r="I7726" i="1"/>
  <c r="F7726" i="1"/>
  <c r="I7725" i="1"/>
  <c r="F7725" i="1"/>
  <c r="I7724" i="1"/>
  <c r="F7724" i="1"/>
  <c r="I7723" i="1"/>
  <c r="F7723" i="1"/>
  <c r="I7722" i="1"/>
  <c r="F7722" i="1"/>
  <c r="I7721" i="1"/>
  <c r="F7721" i="1"/>
  <c r="I7720" i="1"/>
  <c r="F7720" i="1"/>
  <c r="I7719" i="1"/>
  <c r="F7719" i="1"/>
  <c r="I7718" i="1"/>
  <c r="F7718" i="1"/>
  <c r="I7717" i="1"/>
  <c r="F7717" i="1"/>
  <c r="I7716" i="1"/>
  <c r="F7716" i="1"/>
  <c r="I7715" i="1"/>
  <c r="F7715" i="1"/>
  <c r="I7714" i="1"/>
  <c r="F7714" i="1"/>
  <c r="I7713" i="1"/>
  <c r="F7713" i="1"/>
  <c r="I7712" i="1"/>
  <c r="F7712" i="1"/>
  <c r="I7711" i="1"/>
  <c r="F7711" i="1"/>
  <c r="I7710" i="1"/>
  <c r="F7710" i="1"/>
  <c r="I7709" i="1"/>
  <c r="F7709" i="1"/>
  <c r="I7708" i="1"/>
  <c r="F7708" i="1"/>
  <c r="I7707" i="1"/>
  <c r="F7707" i="1"/>
  <c r="I7706" i="1"/>
  <c r="F7706" i="1"/>
  <c r="I7705" i="1"/>
  <c r="F7705" i="1"/>
  <c r="I7704" i="1"/>
  <c r="F7704" i="1"/>
  <c r="I7703" i="1"/>
  <c r="F7703" i="1"/>
  <c r="I7702" i="1"/>
  <c r="F7702" i="1"/>
  <c r="I7701" i="1"/>
  <c r="F7701" i="1"/>
  <c r="I7700" i="1"/>
  <c r="F7700" i="1"/>
  <c r="I7699" i="1"/>
  <c r="F7699" i="1"/>
  <c r="I7698" i="1"/>
  <c r="F7698" i="1"/>
  <c r="I7697" i="1"/>
  <c r="F7697" i="1"/>
  <c r="I7696" i="1"/>
  <c r="F7696" i="1"/>
  <c r="I7695" i="1"/>
  <c r="F7695" i="1"/>
  <c r="I7694" i="1"/>
  <c r="F7694" i="1"/>
  <c r="I7693" i="1"/>
  <c r="F7693" i="1"/>
  <c r="I7692" i="1"/>
  <c r="F7692" i="1"/>
  <c r="I7691" i="1"/>
  <c r="F7691" i="1"/>
  <c r="I7690" i="1"/>
  <c r="F7690" i="1"/>
  <c r="I7689" i="1"/>
  <c r="F7689" i="1"/>
  <c r="I7688" i="1"/>
  <c r="F7688" i="1"/>
  <c r="I7687" i="1"/>
  <c r="F7687" i="1"/>
  <c r="I7686" i="1"/>
  <c r="F7686" i="1"/>
  <c r="I7685" i="1"/>
  <c r="F7685" i="1"/>
  <c r="I7684" i="1"/>
  <c r="F7684" i="1"/>
  <c r="I7683" i="1"/>
  <c r="F7683" i="1"/>
  <c r="I7682" i="1"/>
  <c r="F7682" i="1"/>
  <c r="I7681" i="1"/>
  <c r="F7681" i="1"/>
  <c r="I7680" i="1"/>
  <c r="F7680" i="1"/>
  <c r="I7679" i="1"/>
  <c r="F7679" i="1"/>
  <c r="I7678" i="1"/>
  <c r="F7678" i="1"/>
  <c r="I7677" i="1"/>
  <c r="F7677" i="1"/>
  <c r="I7676" i="1"/>
  <c r="F7676" i="1"/>
  <c r="I7675" i="1"/>
  <c r="F7675" i="1"/>
  <c r="I7674" i="1"/>
  <c r="F7674" i="1"/>
  <c r="I7673" i="1"/>
  <c r="F7673" i="1"/>
  <c r="I7672" i="1"/>
  <c r="F7672" i="1"/>
  <c r="I7671" i="1"/>
  <c r="F7671" i="1"/>
  <c r="I7670" i="1"/>
  <c r="F7670" i="1"/>
  <c r="I7669" i="1"/>
  <c r="F7669" i="1"/>
  <c r="I7668" i="1"/>
  <c r="F7668" i="1"/>
  <c r="I7667" i="1"/>
  <c r="F7667" i="1"/>
  <c r="I7666" i="1"/>
  <c r="F7666" i="1"/>
  <c r="I7665" i="1"/>
  <c r="F7665" i="1"/>
  <c r="I7664" i="1"/>
  <c r="F7664" i="1"/>
  <c r="I7663" i="1"/>
  <c r="F7663" i="1"/>
  <c r="I7662" i="1"/>
  <c r="F7662" i="1"/>
  <c r="I7661" i="1"/>
  <c r="F7661" i="1"/>
  <c r="I7660" i="1"/>
  <c r="F7660" i="1"/>
  <c r="I7659" i="1"/>
  <c r="F7659" i="1"/>
  <c r="I7658" i="1"/>
  <c r="F7658" i="1"/>
  <c r="I7657" i="1"/>
  <c r="F7657" i="1"/>
  <c r="I7656" i="1"/>
  <c r="F7656" i="1"/>
  <c r="I7655" i="1"/>
  <c r="F7655" i="1"/>
  <c r="I7654" i="1"/>
  <c r="F7654" i="1"/>
  <c r="I7653" i="1"/>
  <c r="F7653" i="1"/>
  <c r="I7652" i="1"/>
  <c r="F7652" i="1"/>
  <c r="I7651" i="1"/>
  <c r="F7651" i="1"/>
  <c r="I7650" i="1"/>
  <c r="F7650" i="1"/>
  <c r="I7649" i="1"/>
  <c r="F7649" i="1"/>
  <c r="I7648" i="1"/>
  <c r="F7648" i="1"/>
  <c r="I7647" i="1"/>
  <c r="F7647" i="1"/>
  <c r="I7646" i="1"/>
  <c r="F7646" i="1"/>
  <c r="I7645" i="1"/>
  <c r="F7645" i="1"/>
  <c r="I7644" i="1"/>
  <c r="F7644" i="1"/>
  <c r="I7643" i="1"/>
  <c r="F7643" i="1"/>
  <c r="I7642" i="1"/>
  <c r="F7642" i="1"/>
  <c r="I7641" i="1"/>
  <c r="F7641" i="1"/>
  <c r="I7640" i="1"/>
  <c r="F7640" i="1"/>
  <c r="I7639" i="1"/>
  <c r="F7639" i="1"/>
  <c r="I7638" i="1"/>
  <c r="F7638" i="1"/>
  <c r="I7637" i="1"/>
  <c r="F7637" i="1"/>
  <c r="I7636" i="1"/>
  <c r="F7636" i="1"/>
  <c r="I7635" i="1"/>
  <c r="F7635" i="1"/>
  <c r="I7634" i="1"/>
  <c r="F7634" i="1"/>
  <c r="I7633" i="1"/>
  <c r="F7633" i="1"/>
  <c r="I7632" i="1"/>
  <c r="F7632" i="1"/>
  <c r="I7631" i="1"/>
  <c r="F7631" i="1"/>
  <c r="I7630" i="1"/>
  <c r="F7630" i="1"/>
  <c r="I7629" i="1"/>
  <c r="F7629" i="1"/>
  <c r="I7628" i="1"/>
  <c r="F7628" i="1"/>
  <c r="I7627" i="1"/>
  <c r="F7627" i="1"/>
  <c r="I7626" i="1"/>
  <c r="F7626" i="1"/>
  <c r="I7625" i="1"/>
  <c r="F7625" i="1"/>
  <c r="I7624" i="1"/>
  <c r="F7624" i="1"/>
  <c r="I7623" i="1"/>
  <c r="F7623" i="1"/>
  <c r="I7622" i="1"/>
  <c r="F7622" i="1"/>
  <c r="I7621" i="1"/>
  <c r="F7621" i="1"/>
  <c r="I7620" i="1"/>
  <c r="F7620" i="1"/>
  <c r="I7619" i="1"/>
  <c r="F7619" i="1"/>
  <c r="I7618" i="1"/>
  <c r="F7618" i="1"/>
  <c r="I7617" i="1"/>
  <c r="F7617" i="1"/>
  <c r="I7616" i="1"/>
  <c r="F7616" i="1"/>
  <c r="I7615" i="1"/>
  <c r="F7615" i="1"/>
  <c r="I7614" i="1"/>
  <c r="F7614" i="1"/>
  <c r="I7613" i="1"/>
  <c r="F7613" i="1"/>
  <c r="I7612" i="1"/>
  <c r="F7612" i="1"/>
  <c r="I7611" i="1"/>
  <c r="F7611" i="1"/>
  <c r="I7610" i="1"/>
  <c r="F7610" i="1"/>
  <c r="I7609" i="1"/>
  <c r="F7609" i="1"/>
  <c r="I7608" i="1"/>
  <c r="F7608" i="1"/>
  <c r="I7607" i="1"/>
  <c r="F7607" i="1"/>
  <c r="I7606" i="1"/>
  <c r="F7606" i="1"/>
  <c r="I7605" i="1"/>
  <c r="F7605" i="1"/>
  <c r="I7604" i="1"/>
  <c r="F7604" i="1"/>
  <c r="I7603" i="1"/>
  <c r="F7603" i="1"/>
  <c r="I7602" i="1"/>
  <c r="F7602" i="1"/>
  <c r="I7601" i="1"/>
  <c r="F7601" i="1"/>
  <c r="I7600" i="1"/>
  <c r="F7600" i="1"/>
  <c r="I7599" i="1"/>
  <c r="F7599" i="1"/>
  <c r="I7598" i="1"/>
  <c r="F7598" i="1"/>
  <c r="I7597" i="1"/>
  <c r="F7597" i="1"/>
  <c r="I7596" i="1"/>
  <c r="F7596" i="1"/>
  <c r="I7595" i="1"/>
  <c r="F7595" i="1"/>
  <c r="I7594" i="1"/>
  <c r="F7594" i="1"/>
  <c r="I7593" i="1"/>
  <c r="F7593" i="1"/>
  <c r="I7592" i="1"/>
  <c r="F7592" i="1"/>
  <c r="I7591" i="1"/>
  <c r="F7591" i="1"/>
  <c r="I7590" i="1"/>
  <c r="F7590" i="1"/>
  <c r="I7589" i="1"/>
  <c r="F7589" i="1"/>
  <c r="I7588" i="1"/>
  <c r="F7588" i="1"/>
  <c r="I7587" i="1"/>
  <c r="F7587" i="1"/>
  <c r="I7586" i="1"/>
  <c r="F7586" i="1"/>
  <c r="I7585" i="1"/>
  <c r="F7585" i="1"/>
  <c r="I7584" i="1"/>
  <c r="F7584" i="1"/>
  <c r="I7583" i="1"/>
  <c r="F7583" i="1"/>
  <c r="I7582" i="1"/>
  <c r="F7582" i="1"/>
  <c r="I7581" i="1"/>
  <c r="F7581" i="1"/>
  <c r="I7580" i="1"/>
  <c r="F7580" i="1"/>
  <c r="I7579" i="1"/>
  <c r="F7579" i="1"/>
  <c r="I7578" i="1"/>
  <c r="F7578" i="1"/>
  <c r="I7577" i="1"/>
  <c r="F7577" i="1"/>
  <c r="I7576" i="1"/>
  <c r="F7576" i="1"/>
  <c r="I7575" i="1"/>
  <c r="F7575" i="1"/>
  <c r="I7574" i="1"/>
  <c r="F7574" i="1"/>
  <c r="I7573" i="1"/>
  <c r="F7573" i="1"/>
  <c r="I7572" i="1"/>
  <c r="F7572" i="1"/>
  <c r="I7571" i="1"/>
  <c r="F7571" i="1"/>
  <c r="I7570" i="1"/>
  <c r="F7570" i="1"/>
  <c r="I7569" i="1"/>
  <c r="F7569" i="1"/>
  <c r="I7568" i="1"/>
  <c r="F7568" i="1"/>
  <c r="I7567" i="1"/>
  <c r="F7567" i="1"/>
  <c r="I7566" i="1"/>
  <c r="F7566" i="1"/>
  <c r="I7565" i="1"/>
  <c r="F7565" i="1"/>
  <c r="I7564" i="1"/>
  <c r="F7564" i="1"/>
  <c r="I7563" i="1"/>
  <c r="F7563" i="1"/>
  <c r="I7562" i="1"/>
  <c r="F7562" i="1"/>
  <c r="I7561" i="1"/>
  <c r="F7561" i="1"/>
  <c r="I7560" i="1"/>
  <c r="F7560" i="1"/>
  <c r="I7559" i="1"/>
  <c r="F7559" i="1"/>
  <c r="I7558" i="1"/>
  <c r="F7558" i="1"/>
  <c r="I7557" i="1"/>
  <c r="F7557" i="1"/>
  <c r="I7556" i="1"/>
  <c r="F7556" i="1"/>
  <c r="I7555" i="1"/>
  <c r="F7555" i="1"/>
  <c r="I7554" i="1"/>
  <c r="F7554" i="1"/>
  <c r="I7553" i="1"/>
  <c r="F7553" i="1"/>
  <c r="I7552" i="1"/>
  <c r="F7552" i="1"/>
  <c r="I7551" i="1"/>
  <c r="F7551" i="1"/>
  <c r="I7550" i="1"/>
  <c r="F7550" i="1"/>
  <c r="I7549" i="1"/>
  <c r="F7549" i="1"/>
  <c r="I7548" i="1"/>
  <c r="F7548" i="1"/>
  <c r="I7547" i="1"/>
  <c r="F7547" i="1"/>
  <c r="I7546" i="1"/>
  <c r="F7546" i="1"/>
  <c r="I7545" i="1"/>
  <c r="F7545" i="1"/>
  <c r="I7544" i="1"/>
  <c r="F7544" i="1"/>
  <c r="I7543" i="1"/>
  <c r="F7543" i="1"/>
  <c r="I7542" i="1"/>
  <c r="F7542" i="1"/>
  <c r="I7541" i="1"/>
  <c r="F7541" i="1"/>
  <c r="I7540" i="1"/>
  <c r="F7540" i="1"/>
  <c r="I7539" i="1"/>
  <c r="F7539" i="1"/>
  <c r="I7538" i="1"/>
  <c r="F7538" i="1"/>
  <c r="I7537" i="1"/>
  <c r="F7537" i="1"/>
  <c r="I7536" i="1"/>
  <c r="F7536" i="1"/>
  <c r="I7535" i="1"/>
  <c r="F7535" i="1"/>
  <c r="I7534" i="1"/>
  <c r="F7534" i="1"/>
  <c r="I7533" i="1"/>
  <c r="F7533" i="1"/>
  <c r="I7532" i="1"/>
  <c r="F7532" i="1"/>
  <c r="I7531" i="1"/>
  <c r="F7531" i="1"/>
  <c r="I7530" i="1"/>
  <c r="F7530" i="1"/>
  <c r="I7529" i="1"/>
  <c r="F7529" i="1"/>
  <c r="I7528" i="1"/>
  <c r="F7528" i="1"/>
  <c r="I7527" i="1"/>
  <c r="F7527" i="1"/>
  <c r="I7526" i="1"/>
  <c r="F7526" i="1"/>
  <c r="I7525" i="1"/>
  <c r="F7525" i="1"/>
  <c r="I7524" i="1"/>
  <c r="F7524" i="1"/>
  <c r="I7523" i="1"/>
  <c r="F7523" i="1"/>
  <c r="I7522" i="1"/>
  <c r="F7522" i="1"/>
  <c r="I7521" i="1"/>
  <c r="F7521" i="1"/>
  <c r="I7520" i="1"/>
  <c r="F7520" i="1"/>
  <c r="I7519" i="1"/>
  <c r="F7519" i="1"/>
  <c r="I7518" i="1"/>
  <c r="F7518" i="1"/>
  <c r="I7517" i="1"/>
  <c r="F7517" i="1"/>
  <c r="I7516" i="1"/>
  <c r="F7516" i="1"/>
  <c r="I7515" i="1"/>
  <c r="F7515" i="1"/>
  <c r="I7514" i="1"/>
  <c r="F7514" i="1"/>
  <c r="I7513" i="1"/>
  <c r="F7513" i="1"/>
  <c r="I7512" i="1"/>
  <c r="F7512" i="1"/>
  <c r="I7511" i="1"/>
  <c r="F7511" i="1"/>
  <c r="I7510" i="1"/>
  <c r="F7510" i="1"/>
  <c r="I7509" i="1"/>
  <c r="F7509" i="1"/>
  <c r="I7508" i="1"/>
  <c r="F7508" i="1"/>
  <c r="I7507" i="1"/>
  <c r="F7507" i="1"/>
  <c r="I7506" i="1"/>
  <c r="F7506" i="1"/>
  <c r="I7505" i="1"/>
  <c r="F7505" i="1"/>
  <c r="I7504" i="1"/>
  <c r="F7504" i="1"/>
  <c r="I7503" i="1"/>
  <c r="F7503" i="1"/>
  <c r="I7502" i="1"/>
  <c r="F7502" i="1"/>
  <c r="I7501" i="1"/>
  <c r="F7501" i="1"/>
  <c r="I7500" i="1"/>
  <c r="F7500" i="1"/>
  <c r="I7499" i="1"/>
  <c r="F7499" i="1"/>
  <c r="I7498" i="1"/>
  <c r="F7498" i="1"/>
  <c r="I7497" i="1"/>
  <c r="F7497" i="1"/>
  <c r="I7496" i="1"/>
  <c r="F7496" i="1"/>
  <c r="I7495" i="1"/>
  <c r="F7495" i="1"/>
  <c r="I7494" i="1"/>
  <c r="F7494" i="1"/>
  <c r="I7493" i="1"/>
  <c r="F7493" i="1"/>
  <c r="I7492" i="1"/>
  <c r="F7492" i="1"/>
  <c r="I7491" i="1"/>
  <c r="F7491" i="1"/>
  <c r="I7490" i="1"/>
  <c r="F7490" i="1"/>
  <c r="I7489" i="1"/>
  <c r="F7489" i="1"/>
  <c r="I7488" i="1"/>
  <c r="F7488" i="1"/>
  <c r="I7487" i="1"/>
  <c r="F7487" i="1"/>
  <c r="I7486" i="1"/>
  <c r="F7486" i="1"/>
  <c r="I7485" i="1"/>
  <c r="F7485" i="1"/>
  <c r="I7484" i="1"/>
  <c r="F7484" i="1"/>
  <c r="I7483" i="1"/>
  <c r="F7483" i="1"/>
  <c r="I7482" i="1"/>
  <c r="F7482" i="1"/>
  <c r="I7481" i="1"/>
  <c r="F7481" i="1"/>
  <c r="I7480" i="1"/>
  <c r="F7480" i="1"/>
  <c r="I7479" i="1"/>
  <c r="F7479" i="1"/>
  <c r="I7478" i="1"/>
  <c r="F7478" i="1"/>
  <c r="I7477" i="1"/>
  <c r="F7477" i="1"/>
  <c r="I7476" i="1"/>
  <c r="F7476" i="1"/>
  <c r="I7475" i="1"/>
  <c r="F7475" i="1"/>
  <c r="I7474" i="1"/>
  <c r="F7474" i="1"/>
  <c r="I7473" i="1"/>
  <c r="F7473" i="1"/>
  <c r="I7472" i="1"/>
  <c r="F7472" i="1"/>
  <c r="I7471" i="1"/>
  <c r="F7471" i="1"/>
  <c r="I7470" i="1"/>
  <c r="F7470" i="1"/>
  <c r="I7469" i="1"/>
  <c r="F7469" i="1"/>
  <c r="I7468" i="1"/>
  <c r="F7468" i="1"/>
  <c r="I7467" i="1"/>
  <c r="F7467" i="1"/>
  <c r="I7466" i="1"/>
  <c r="F7466" i="1"/>
  <c r="I7465" i="1"/>
  <c r="F7465" i="1"/>
  <c r="I7464" i="1"/>
  <c r="F7464" i="1"/>
  <c r="I7463" i="1"/>
  <c r="F7463" i="1"/>
  <c r="I7462" i="1"/>
  <c r="F7462" i="1"/>
  <c r="I7461" i="1"/>
  <c r="F7461" i="1"/>
  <c r="I7460" i="1"/>
  <c r="F7460" i="1"/>
  <c r="I7459" i="1"/>
  <c r="F7459" i="1"/>
  <c r="I7458" i="1"/>
  <c r="F7458" i="1"/>
  <c r="I7457" i="1"/>
  <c r="F7457" i="1"/>
  <c r="I7456" i="1"/>
  <c r="F7456" i="1"/>
  <c r="I7455" i="1"/>
  <c r="F7455" i="1"/>
  <c r="I7454" i="1"/>
  <c r="F7454" i="1"/>
  <c r="I7453" i="1"/>
  <c r="F7453" i="1"/>
  <c r="I7452" i="1"/>
  <c r="F7452" i="1"/>
  <c r="I7451" i="1"/>
  <c r="F7451" i="1"/>
  <c r="I7450" i="1"/>
  <c r="F7450" i="1"/>
  <c r="I7449" i="1"/>
  <c r="F7449" i="1"/>
  <c r="I7448" i="1"/>
  <c r="F7448" i="1"/>
  <c r="I7447" i="1"/>
  <c r="F7447" i="1"/>
  <c r="I7446" i="1"/>
  <c r="F7446" i="1"/>
  <c r="I7445" i="1"/>
  <c r="F7445" i="1"/>
  <c r="I7444" i="1"/>
  <c r="F7444" i="1"/>
  <c r="I7443" i="1"/>
  <c r="F7443" i="1"/>
  <c r="I7442" i="1"/>
  <c r="F7442" i="1"/>
  <c r="I7441" i="1"/>
  <c r="F7441" i="1"/>
  <c r="I7440" i="1"/>
  <c r="F7440" i="1"/>
  <c r="I7439" i="1"/>
  <c r="F7439" i="1"/>
  <c r="I7438" i="1"/>
  <c r="F7438" i="1"/>
  <c r="I7437" i="1"/>
  <c r="F7437" i="1"/>
  <c r="I7436" i="1"/>
  <c r="F7436" i="1"/>
  <c r="I7435" i="1"/>
  <c r="F7435" i="1"/>
  <c r="I7434" i="1"/>
  <c r="F7434" i="1"/>
  <c r="I7433" i="1"/>
  <c r="F7433" i="1"/>
  <c r="I7432" i="1"/>
  <c r="F7432" i="1"/>
  <c r="I7431" i="1"/>
  <c r="F7431" i="1"/>
  <c r="I7430" i="1"/>
  <c r="F7430" i="1"/>
  <c r="I7429" i="1"/>
  <c r="F7429" i="1"/>
  <c r="I7428" i="1"/>
  <c r="F7428" i="1"/>
  <c r="I7427" i="1"/>
  <c r="F7427" i="1"/>
  <c r="I7426" i="1"/>
  <c r="F7426" i="1"/>
  <c r="I7425" i="1"/>
  <c r="F7425" i="1"/>
  <c r="I7424" i="1"/>
  <c r="F7424" i="1"/>
  <c r="I7423" i="1"/>
  <c r="F7423" i="1"/>
  <c r="I7422" i="1"/>
  <c r="F7422" i="1"/>
  <c r="I7421" i="1"/>
  <c r="F7421" i="1"/>
  <c r="I7420" i="1"/>
  <c r="F7420" i="1"/>
  <c r="I7419" i="1"/>
  <c r="F7419" i="1"/>
  <c r="I7418" i="1"/>
  <c r="F7418" i="1"/>
  <c r="I7417" i="1"/>
  <c r="F7417" i="1"/>
  <c r="I7416" i="1"/>
  <c r="F7416" i="1"/>
  <c r="I7415" i="1"/>
  <c r="F7415" i="1"/>
  <c r="I7414" i="1"/>
  <c r="F7414" i="1"/>
  <c r="I7413" i="1"/>
  <c r="F7413" i="1"/>
  <c r="I7412" i="1"/>
  <c r="F7412" i="1"/>
  <c r="I7411" i="1"/>
  <c r="F7411" i="1"/>
  <c r="I7410" i="1"/>
  <c r="F7410" i="1"/>
  <c r="I7409" i="1"/>
  <c r="F7409" i="1"/>
  <c r="I7408" i="1"/>
  <c r="F7408" i="1"/>
  <c r="I7407" i="1"/>
  <c r="F7407" i="1"/>
  <c r="I7406" i="1"/>
  <c r="F7406" i="1"/>
  <c r="I7405" i="1"/>
  <c r="F7405" i="1"/>
  <c r="I7404" i="1"/>
  <c r="F7404" i="1"/>
  <c r="I7403" i="1"/>
  <c r="F7403" i="1"/>
  <c r="I7402" i="1"/>
  <c r="F7402" i="1"/>
  <c r="I7401" i="1"/>
  <c r="F7401" i="1"/>
  <c r="I7400" i="1"/>
  <c r="F7400" i="1"/>
  <c r="I7399" i="1"/>
  <c r="F7399" i="1"/>
  <c r="I7398" i="1"/>
  <c r="F7398" i="1"/>
  <c r="I7397" i="1"/>
  <c r="F7397" i="1"/>
  <c r="I7396" i="1"/>
  <c r="F7396" i="1"/>
  <c r="I7395" i="1"/>
  <c r="F7395" i="1"/>
  <c r="I7394" i="1"/>
  <c r="F7394" i="1"/>
  <c r="I7393" i="1"/>
  <c r="F7393" i="1"/>
  <c r="I7392" i="1"/>
  <c r="F7392" i="1"/>
  <c r="I7391" i="1"/>
  <c r="F7391" i="1"/>
  <c r="I7390" i="1"/>
  <c r="F7390" i="1"/>
  <c r="I7389" i="1"/>
  <c r="F7389" i="1"/>
  <c r="I7388" i="1"/>
  <c r="F7388" i="1"/>
  <c r="I7387" i="1"/>
  <c r="F7387" i="1"/>
  <c r="I7386" i="1"/>
  <c r="F7386" i="1"/>
  <c r="I7385" i="1"/>
  <c r="F7385" i="1"/>
  <c r="I7384" i="1"/>
  <c r="F7384" i="1"/>
  <c r="I7383" i="1"/>
  <c r="F7383" i="1"/>
  <c r="I7382" i="1"/>
  <c r="F7382" i="1"/>
  <c r="I7381" i="1"/>
  <c r="F7381" i="1"/>
  <c r="I7380" i="1"/>
  <c r="F7380" i="1"/>
  <c r="I7379" i="1"/>
  <c r="F7379" i="1"/>
  <c r="I7378" i="1"/>
  <c r="F7378" i="1"/>
  <c r="I7377" i="1"/>
  <c r="F7377" i="1"/>
  <c r="I7376" i="1"/>
  <c r="F7376" i="1"/>
  <c r="I7375" i="1"/>
  <c r="F7375" i="1"/>
  <c r="I7374" i="1"/>
  <c r="F7374" i="1"/>
  <c r="I7373" i="1"/>
  <c r="F7373" i="1"/>
  <c r="I7372" i="1"/>
  <c r="F7372" i="1"/>
  <c r="I7371" i="1"/>
  <c r="F7371" i="1"/>
  <c r="I7370" i="1"/>
  <c r="F7370" i="1"/>
  <c r="I7369" i="1"/>
  <c r="F7369" i="1"/>
  <c r="I7368" i="1"/>
  <c r="F7368" i="1"/>
  <c r="I7367" i="1"/>
  <c r="F7367" i="1"/>
  <c r="I7366" i="1"/>
  <c r="F7366" i="1"/>
  <c r="I7365" i="1"/>
  <c r="F7365" i="1"/>
  <c r="I7364" i="1"/>
  <c r="F7364" i="1"/>
  <c r="I7363" i="1"/>
  <c r="F7363" i="1"/>
  <c r="I7362" i="1"/>
  <c r="F7362" i="1"/>
  <c r="I7361" i="1"/>
  <c r="F7361" i="1"/>
  <c r="I7360" i="1"/>
  <c r="F7360" i="1"/>
  <c r="I7359" i="1"/>
  <c r="F7359" i="1"/>
  <c r="I7358" i="1"/>
  <c r="F7358" i="1"/>
  <c r="I7357" i="1"/>
  <c r="F7357" i="1"/>
  <c r="I7356" i="1"/>
  <c r="F7356" i="1"/>
  <c r="I7355" i="1"/>
  <c r="F7355" i="1"/>
  <c r="I7354" i="1"/>
  <c r="F7354" i="1"/>
  <c r="I7353" i="1"/>
  <c r="F7353" i="1"/>
  <c r="I7352" i="1"/>
  <c r="F7352" i="1"/>
  <c r="I7351" i="1"/>
  <c r="F7351" i="1"/>
  <c r="I7350" i="1"/>
  <c r="F7350" i="1"/>
  <c r="I7349" i="1"/>
  <c r="F7349" i="1"/>
  <c r="I7348" i="1"/>
  <c r="F7348" i="1"/>
  <c r="I7347" i="1"/>
  <c r="F7347" i="1"/>
  <c r="I7346" i="1"/>
  <c r="F7346" i="1"/>
  <c r="I7345" i="1"/>
  <c r="F7345" i="1"/>
  <c r="I7344" i="1"/>
  <c r="F7344" i="1"/>
  <c r="I7343" i="1"/>
  <c r="F7343" i="1"/>
  <c r="I7342" i="1"/>
  <c r="F7342" i="1"/>
  <c r="I7341" i="1"/>
  <c r="F7341" i="1"/>
  <c r="I7340" i="1"/>
  <c r="F7340" i="1"/>
  <c r="I7339" i="1"/>
  <c r="F7339" i="1"/>
  <c r="I7338" i="1"/>
  <c r="F7338" i="1"/>
  <c r="I7337" i="1"/>
  <c r="F7337" i="1"/>
  <c r="I7336" i="1"/>
  <c r="F7336" i="1"/>
  <c r="I7335" i="1"/>
  <c r="F7335" i="1"/>
  <c r="I7334" i="1"/>
  <c r="F7334" i="1"/>
  <c r="I7333" i="1"/>
  <c r="F7333" i="1"/>
  <c r="I7332" i="1"/>
  <c r="F7332" i="1"/>
  <c r="I7331" i="1"/>
  <c r="F7331" i="1"/>
  <c r="I7330" i="1"/>
  <c r="F7330" i="1"/>
  <c r="I7329" i="1"/>
  <c r="F7329" i="1"/>
  <c r="I7328" i="1"/>
  <c r="F7328" i="1"/>
  <c r="I7327" i="1"/>
  <c r="F7327" i="1"/>
  <c r="I7326" i="1"/>
  <c r="F7326" i="1"/>
  <c r="I7325" i="1"/>
  <c r="F7325" i="1"/>
  <c r="I7324" i="1"/>
  <c r="F7324" i="1"/>
  <c r="I7323" i="1"/>
  <c r="F7323" i="1"/>
  <c r="I7322" i="1"/>
  <c r="F7322" i="1"/>
  <c r="I7321" i="1"/>
  <c r="F7321" i="1"/>
  <c r="I7320" i="1"/>
  <c r="F7320" i="1"/>
  <c r="I7319" i="1"/>
  <c r="F7319" i="1"/>
  <c r="I7318" i="1"/>
  <c r="F7318" i="1"/>
  <c r="I7317" i="1"/>
  <c r="F7317" i="1"/>
  <c r="I7316" i="1"/>
  <c r="F7316" i="1"/>
  <c r="I7315" i="1"/>
  <c r="F7315" i="1"/>
  <c r="I7314" i="1"/>
  <c r="F7314" i="1"/>
  <c r="I7313" i="1"/>
  <c r="F7313" i="1"/>
  <c r="I7312" i="1"/>
  <c r="F7312" i="1"/>
  <c r="I7311" i="1"/>
  <c r="F7311" i="1"/>
  <c r="I7310" i="1"/>
  <c r="F7310" i="1"/>
  <c r="I7309" i="1"/>
  <c r="F7309" i="1"/>
  <c r="I7308" i="1"/>
  <c r="F7308" i="1"/>
  <c r="I7307" i="1"/>
  <c r="F7307" i="1"/>
  <c r="I7306" i="1"/>
  <c r="F7306" i="1"/>
  <c r="I7305" i="1"/>
  <c r="F7305" i="1"/>
  <c r="I7304" i="1"/>
  <c r="F7304" i="1"/>
  <c r="I7303" i="1"/>
  <c r="F7303" i="1"/>
  <c r="I7302" i="1"/>
  <c r="F7302" i="1"/>
  <c r="I7301" i="1"/>
  <c r="F7301" i="1"/>
  <c r="I7300" i="1"/>
  <c r="F7300" i="1"/>
  <c r="I7299" i="1"/>
  <c r="F7299" i="1"/>
  <c r="I7298" i="1"/>
  <c r="F7298" i="1"/>
  <c r="I7297" i="1"/>
  <c r="F7297" i="1"/>
  <c r="I7296" i="1"/>
  <c r="F7296" i="1"/>
  <c r="I7295" i="1"/>
  <c r="F7295" i="1"/>
  <c r="I7294" i="1"/>
  <c r="F7294" i="1"/>
  <c r="I7293" i="1"/>
  <c r="F7293" i="1"/>
  <c r="I7292" i="1"/>
  <c r="F7292" i="1"/>
  <c r="I7291" i="1"/>
  <c r="F7291" i="1"/>
  <c r="I7290" i="1"/>
  <c r="F7290" i="1"/>
  <c r="I7289" i="1"/>
  <c r="F7289" i="1"/>
  <c r="I7288" i="1"/>
  <c r="F7288" i="1"/>
  <c r="I7287" i="1"/>
  <c r="F7287" i="1"/>
  <c r="I7286" i="1"/>
  <c r="F7286" i="1"/>
  <c r="I7285" i="1"/>
  <c r="F7285" i="1"/>
  <c r="I7284" i="1"/>
  <c r="F7284" i="1"/>
  <c r="I7283" i="1"/>
  <c r="F7283" i="1"/>
  <c r="I7282" i="1"/>
  <c r="F7282" i="1"/>
  <c r="I7281" i="1"/>
  <c r="F7281" i="1"/>
  <c r="I7280" i="1"/>
  <c r="F7280" i="1"/>
  <c r="I7279" i="1"/>
  <c r="F7279" i="1"/>
  <c r="I7278" i="1"/>
  <c r="F7278" i="1"/>
  <c r="I7277" i="1"/>
  <c r="F7277" i="1"/>
  <c r="I7276" i="1"/>
  <c r="F7276" i="1"/>
  <c r="I7275" i="1"/>
  <c r="F7275" i="1"/>
  <c r="I7274" i="1"/>
  <c r="F7274" i="1"/>
  <c r="I7273" i="1"/>
  <c r="F7273" i="1"/>
  <c r="I7272" i="1"/>
  <c r="F7272" i="1"/>
  <c r="I7271" i="1"/>
  <c r="F7271" i="1"/>
  <c r="I7270" i="1"/>
  <c r="F7270" i="1"/>
  <c r="I7269" i="1"/>
  <c r="F7269" i="1"/>
  <c r="I7268" i="1"/>
  <c r="F7268" i="1"/>
  <c r="I7267" i="1"/>
  <c r="F7267" i="1"/>
  <c r="I7266" i="1"/>
  <c r="F7266" i="1"/>
  <c r="I7265" i="1"/>
  <c r="F7265" i="1"/>
  <c r="I7264" i="1"/>
  <c r="F7264" i="1"/>
  <c r="I7263" i="1"/>
  <c r="F7263" i="1"/>
  <c r="I7262" i="1"/>
  <c r="F7262" i="1"/>
  <c r="I7261" i="1"/>
  <c r="F7261" i="1"/>
  <c r="I7260" i="1"/>
  <c r="F7260" i="1"/>
  <c r="I7259" i="1"/>
  <c r="F7259" i="1"/>
  <c r="I7258" i="1"/>
  <c r="F7258" i="1"/>
  <c r="I7257" i="1"/>
  <c r="F7257" i="1"/>
  <c r="I7256" i="1"/>
  <c r="F7256" i="1"/>
  <c r="I7255" i="1"/>
  <c r="F7255" i="1"/>
  <c r="I7254" i="1"/>
  <c r="F7254" i="1"/>
  <c r="I7253" i="1"/>
  <c r="F7253" i="1"/>
  <c r="I7252" i="1"/>
  <c r="F7252" i="1"/>
  <c r="I7251" i="1"/>
  <c r="F7251" i="1"/>
  <c r="I7250" i="1"/>
  <c r="F7250" i="1"/>
  <c r="I7249" i="1"/>
  <c r="F7249" i="1"/>
  <c r="I7248" i="1"/>
  <c r="F7248" i="1"/>
  <c r="I7247" i="1"/>
  <c r="F7247" i="1"/>
  <c r="I7246" i="1"/>
  <c r="F7246" i="1"/>
  <c r="I7245" i="1"/>
  <c r="F7245" i="1"/>
  <c r="I7244" i="1"/>
  <c r="F7244" i="1"/>
  <c r="I7243" i="1"/>
  <c r="F7243" i="1"/>
  <c r="I7242" i="1"/>
  <c r="F7242" i="1"/>
  <c r="I7241" i="1"/>
  <c r="F7241" i="1"/>
  <c r="I7240" i="1"/>
  <c r="F7240" i="1"/>
  <c r="I7239" i="1"/>
  <c r="F7239" i="1"/>
  <c r="I7238" i="1"/>
  <c r="F7238" i="1"/>
  <c r="I7237" i="1"/>
  <c r="F7237" i="1"/>
  <c r="I7236" i="1"/>
  <c r="F7236" i="1"/>
  <c r="I7235" i="1"/>
  <c r="F7235" i="1"/>
  <c r="I7234" i="1"/>
  <c r="F7234" i="1"/>
  <c r="I7233" i="1"/>
  <c r="F7233" i="1"/>
  <c r="I7232" i="1"/>
  <c r="F7232" i="1"/>
  <c r="I7231" i="1"/>
  <c r="F7231" i="1"/>
  <c r="I7230" i="1"/>
  <c r="F7230" i="1"/>
  <c r="I7229" i="1"/>
  <c r="F7229" i="1"/>
  <c r="I7228" i="1"/>
  <c r="F7228" i="1"/>
  <c r="I7227" i="1"/>
  <c r="F7227" i="1"/>
  <c r="I7226" i="1"/>
  <c r="F7226" i="1"/>
  <c r="I7225" i="1"/>
  <c r="F7225" i="1"/>
  <c r="I7224" i="1"/>
  <c r="F7224" i="1"/>
  <c r="I7223" i="1"/>
  <c r="F7223" i="1"/>
  <c r="I7222" i="1"/>
  <c r="F7222" i="1"/>
  <c r="I7221" i="1"/>
  <c r="F7221" i="1"/>
  <c r="I7220" i="1"/>
  <c r="F7220" i="1"/>
  <c r="I7219" i="1"/>
  <c r="F7219" i="1"/>
  <c r="I7218" i="1"/>
  <c r="F7218" i="1"/>
  <c r="I7217" i="1"/>
  <c r="F7217" i="1"/>
  <c r="I7216" i="1"/>
  <c r="F7216" i="1"/>
  <c r="I7215" i="1"/>
  <c r="F7215" i="1"/>
  <c r="I7214" i="1"/>
  <c r="F7214" i="1"/>
  <c r="I7213" i="1"/>
  <c r="F7213" i="1"/>
  <c r="I7212" i="1"/>
  <c r="F7212" i="1"/>
  <c r="I7211" i="1"/>
  <c r="F7211" i="1"/>
  <c r="I7210" i="1"/>
  <c r="F7210" i="1"/>
  <c r="I7209" i="1"/>
  <c r="F7209" i="1"/>
  <c r="I7208" i="1"/>
  <c r="F7208" i="1"/>
  <c r="I7207" i="1"/>
  <c r="F7207" i="1"/>
  <c r="I7206" i="1"/>
  <c r="F7206" i="1"/>
  <c r="I7205" i="1"/>
  <c r="F7205" i="1"/>
  <c r="I7204" i="1"/>
  <c r="F7204" i="1"/>
  <c r="I7203" i="1"/>
  <c r="F7203" i="1"/>
  <c r="I7202" i="1"/>
  <c r="F7202" i="1"/>
  <c r="I7201" i="1"/>
  <c r="F7201" i="1"/>
  <c r="I7200" i="1"/>
  <c r="F7200" i="1"/>
  <c r="I7199" i="1"/>
  <c r="F7199" i="1"/>
  <c r="I7198" i="1"/>
  <c r="F7198" i="1"/>
  <c r="I7197" i="1"/>
  <c r="F7197" i="1"/>
  <c r="I7196" i="1"/>
  <c r="F7196" i="1"/>
  <c r="I7195" i="1"/>
  <c r="F7195" i="1"/>
  <c r="I7194" i="1"/>
  <c r="F7194" i="1"/>
  <c r="I7193" i="1"/>
  <c r="F7193" i="1"/>
  <c r="I7192" i="1"/>
  <c r="F7192" i="1"/>
  <c r="I7191" i="1"/>
  <c r="F7191" i="1"/>
  <c r="I7190" i="1"/>
  <c r="F7190" i="1"/>
  <c r="I7189" i="1"/>
  <c r="F7189" i="1"/>
  <c r="I7188" i="1"/>
  <c r="F7188" i="1"/>
  <c r="I7187" i="1"/>
  <c r="F7187" i="1"/>
  <c r="I7186" i="1"/>
  <c r="F7186" i="1"/>
  <c r="I7185" i="1"/>
  <c r="F7185" i="1"/>
  <c r="I7184" i="1"/>
  <c r="F7184" i="1"/>
  <c r="I7183" i="1"/>
  <c r="F7183" i="1"/>
  <c r="I7182" i="1"/>
  <c r="F7182" i="1"/>
  <c r="I7181" i="1"/>
  <c r="F7181" i="1"/>
  <c r="I7180" i="1"/>
  <c r="F7180" i="1"/>
  <c r="I7179" i="1"/>
  <c r="F7179" i="1"/>
  <c r="I7178" i="1"/>
  <c r="F7178" i="1"/>
  <c r="I7177" i="1"/>
  <c r="F7177" i="1"/>
  <c r="I7176" i="1"/>
  <c r="F7176" i="1"/>
  <c r="I7175" i="1"/>
  <c r="F7175" i="1"/>
  <c r="I7174" i="1"/>
  <c r="F7174" i="1"/>
  <c r="I7173" i="1"/>
  <c r="F7173" i="1"/>
  <c r="I7172" i="1"/>
  <c r="F7172" i="1"/>
  <c r="I7171" i="1"/>
  <c r="F7171" i="1"/>
  <c r="I7170" i="1"/>
  <c r="F7170" i="1"/>
  <c r="I7169" i="1"/>
  <c r="F7169" i="1"/>
  <c r="I7168" i="1"/>
  <c r="F7168" i="1"/>
  <c r="I7167" i="1"/>
  <c r="F7167" i="1"/>
  <c r="I7166" i="1"/>
  <c r="F7166" i="1"/>
  <c r="I7165" i="1"/>
  <c r="F7165" i="1"/>
  <c r="I7164" i="1"/>
  <c r="F7164" i="1"/>
  <c r="I7163" i="1"/>
  <c r="F7163" i="1"/>
  <c r="I7162" i="1"/>
  <c r="F7162" i="1"/>
  <c r="I7161" i="1"/>
  <c r="F7161" i="1"/>
  <c r="I7160" i="1"/>
  <c r="F7160" i="1"/>
  <c r="I7159" i="1"/>
  <c r="F7159" i="1"/>
  <c r="I7158" i="1"/>
  <c r="F7158" i="1"/>
  <c r="I7157" i="1"/>
  <c r="F7157" i="1"/>
  <c r="I7156" i="1"/>
  <c r="F7156" i="1"/>
  <c r="I7155" i="1"/>
  <c r="F7155" i="1"/>
  <c r="I7154" i="1"/>
  <c r="F7154" i="1"/>
  <c r="I7153" i="1"/>
  <c r="F7153" i="1"/>
  <c r="I7152" i="1"/>
  <c r="F7152" i="1"/>
  <c r="I7151" i="1"/>
  <c r="F7151" i="1"/>
  <c r="I7150" i="1"/>
  <c r="F7150" i="1"/>
  <c r="I7149" i="1"/>
  <c r="F7149" i="1"/>
  <c r="I7148" i="1"/>
  <c r="F7148" i="1"/>
  <c r="I7147" i="1"/>
  <c r="F7147" i="1"/>
  <c r="I7146" i="1"/>
  <c r="F7146" i="1"/>
  <c r="I7145" i="1"/>
  <c r="F7145" i="1"/>
  <c r="I7144" i="1"/>
  <c r="F7144" i="1"/>
  <c r="I7143" i="1"/>
  <c r="F7143" i="1"/>
  <c r="I7142" i="1"/>
  <c r="F7142" i="1"/>
  <c r="I7141" i="1"/>
  <c r="F7141" i="1"/>
  <c r="I7140" i="1"/>
  <c r="F7140" i="1"/>
  <c r="I7139" i="1"/>
  <c r="F7139" i="1"/>
  <c r="I7138" i="1"/>
  <c r="F7138" i="1"/>
  <c r="I7137" i="1"/>
  <c r="F7137" i="1"/>
  <c r="I7136" i="1"/>
  <c r="F7136" i="1"/>
  <c r="I7135" i="1"/>
  <c r="F7135" i="1"/>
  <c r="I7134" i="1"/>
  <c r="F7134" i="1"/>
  <c r="I7133" i="1"/>
  <c r="F7133" i="1"/>
  <c r="I7132" i="1"/>
  <c r="F7132" i="1"/>
  <c r="I7131" i="1"/>
  <c r="F7131" i="1"/>
  <c r="I7130" i="1"/>
  <c r="F7130" i="1"/>
  <c r="I7129" i="1"/>
  <c r="F7129" i="1"/>
  <c r="I7128" i="1"/>
  <c r="F7128" i="1"/>
  <c r="I7127" i="1"/>
  <c r="F7127" i="1"/>
  <c r="I7126" i="1"/>
  <c r="F7126" i="1"/>
  <c r="I7125" i="1"/>
  <c r="F7125" i="1"/>
  <c r="I7124" i="1"/>
  <c r="F7124" i="1"/>
  <c r="I7123" i="1"/>
  <c r="F7123" i="1"/>
  <c r="I7122" i="1"/>
  <c r="F7122" i="1"/>
  <c r="I7121" i="1"/>
  <c r="F7121" i="1"/>
  <c r="I7120" i="1"/>
  <c r="F7120" i="1"/>
  <c r="I7119" i="1"/>
  <c r="F7119" i="1"/>
  <c r="I7118" i="1"/>
  <c r="F7118" i="1"/>
  <c r="I7117" i="1"/>
  <c r="F7117" i="1"/>
  <c r="I7116" i="1"/>
  <c r="F7116" i="1"/>
  <c r="I7115" i="1"/>
  <c r="F7115" i="1"/>
  <c r="I7114" i="1"/>
  <c r="F7114" i="1"/>
  <c r="I7113" i="1"/>
  <c r="F7113" i="1"/>
  <c r="I7112" i="1"/>
  <c r="F7112" i="1"/>
  <c r="I7111" i="1"/>
  <c r="F7111" i="1"/>
  <c r="I7110" i="1"/>
  <c r="F7110" i="1"/>
  <c r="I7109" i="1"/>
  <c r="F7109" i="1"/>
  <c r="I7108" i="1"/>
  <c r="F7108" i="1"/>
  <c r="I7107" i="1"/>
  <c r="F7107" i="1"/>
  <c r="I7106" i="1"/>
  <c r="F7106" i="1"/>
  <c r="I7105" i="1"/>
  <c r="F7105" i="1"/>
  <c r="I7104" i="1"/>
  <c r="F7104" i="1"/>
  <c r="I7103" i="1"/>
  <c r="F7103" i="1"/>
  <c r="I7102" i="1"/>
  <c r="F7102" i="1"/>
  <c r="I7101" i="1"/>
  <c r="F7101" i="1"/>
  <c r="I7100" i="1"/>
  <c r="F7100" i="1"/>
  <c r="I7099" i="1"/>
  <c r="F7099" i="1"/>
  <c r="I7098" i="1"/>
  <c r="F7098" i="1"/>
  <c r="I7097" i="1"/>
  <c r="F7097" i="1"/>
  <c r="I7096" i="1"/>
  <c r="F7096" i="1"/>
  <c r="I7095" i="1"/>
  <c r="F7095" i="1"/>
  <c r="I7094" i="1"/>
  <c r="F7094" i="1"/>
  <c r="I7093" i="1"/>
  <c r="F7093" i="1"/>
  <c r="I7092" i="1"/>
  <c r="F7092" i="1"/>
  <c r="I7091" i="1"/>
  <c r="F7091" i="1"/>
  <c r="I7090" i="1"/>
  <c r="F7090" i="1"/>
  <c r="I7089" i="1"/>
  <c r="F7089" i="1"/>
  <c r="I7088" i="1"/>
  <c r="F7088" i="1"/>
  <c r="I7087" i="1"/>
  <c r="F7087" i="1"/>
  <c r="I7086" i="1"/>
  <c r="F7086" i="1"/>
  <c r="I7085" i="1"/>
  <c r="F7085" i="1"/>
  <c r="I7084" i="1"/>
  <c r="F7084" i="1"/>
  <c r="I7083" i="1"/>
  <c r="F7083" i="1"/>
  <c r="I7082" i="1"/>
  <c r="F7082" i="1"/>
  <c r="I7081" i="1"/>
  <c r="F7081" i="1"/>
  <c r="I7080" i="1"/>
  <c r="F7080" i="1"/>
  <c r="I7079" i="1"/>
  <c r="F7079" i="1"/>
  <c r="I7078" i="1"/>
  <c r="F7078" i="1"/>
  <c r="I7077" i="1"/>
  <c r="F7077" i="1"/>
  <c r="I7076" i="1"/>
  <c r="F7076" i="1"/>
  <c r="I7075" i="1"/>
  <c r="F7075" i="1"/>
  <c r="I7074" i="1"/>
  <c r="F7074" i="1"/>
  <c r="I7073" i="1"/>
  <c r="F7073" i="1"/>
  <c r="I7072" i="1"/>
  <c r="F7072" i="1"/>
  <c r="I7071" i="1"/>
  <c r="F7071" i="1"/>
  <c r="I7070" i="1"/>
  <c r="F7070" i="1"/>
  <c r="I7069" i="1"/>
  <c r="F7069" i="1"/>
  <c r="I7068" i="1"/>
  <c r="F7068" i="1"/>
  <c r="I7067" i="1"/>
  <c r="F7067" i="1"/>
  <c r="I7066" i="1"/>
  <c r="F7066" i="1"/>
  <c r="I7065" i="1"/>
  <c r="F7065" i="1"/>
  <c r="I7064" i="1"/>
  <c r="F7064" i="1"/>
  <c r="I7063" i="1"/>
  <c r="F7063" i="1"/>
  <c r="I7062" i="1"/>
  <c r="F7062" i="1"/>
  <c r="I7061" i="1"/>
  <c r="F7061" i="1"/>
  <c r="I7060" i="1"/>
  <c r="F7060" i="1"/>
  <c r="I7059" i="1"/>
  <c r="F7059" i="1"/>
  <c r="I7058" i="1"/>
  <c r="F7058" i="1"/>
  <c r="I7057" i="1"/>
  <c r="F7057" i="1"/>
  <c r="I7056" i="1"/>
  <c r="F7056" i="1"/>
  <c r="I7055" i="1"/>
  <c r="F7055" i="1"/>
  <c r="I7054" i="1"/>
  <c r="F7054" i="1"/>
  <c r="I7053" i="1"/>
  <c r="F7053" i="1"/>
  <c r="I7052" i="1"/>
  <c r="F7052" i="1"/>
  <c r="I7051" i="1"/>
  <c r="F7051" i="1"/>
  <c r="I7050" i="1"/>
  <c r="F7050" i="1"/>
  <c r="I7049" i="1"/>
  <c r="F7049" i="1"/>
  <c r="I7048" i="1"/>
  <c r="F7048" i="1"/>
  <c r="I7047" i="1"/>
  <c r="F7047" i="1"/>
  <c r="I7046" i="1"/>
  <c r="F7046" i="1"/>
  <c r="I7045" i="1"/>
  <c r="F7045" i="1"/>
  <c r="I7044" i="1"/>
  <c r="F7044" i="1"/>
  <c r="I7043" i="1"/>
  <c r="F7043" i="1"/>
  <c r="I7042" i="1"/>
  <c r="F7042" i="1"/>
  <c r="I7041" i="1"/>
  <c r="F7041" i="1"/>
  <c r="I7040" i="1"/>
  <c r="F7040" i="1"/>
  <c r="I7039" i="1"/>
  <c r="F7039" i="1"/>
  <c r="I7038" i="1"/>
  <c r="F7038" i="1"/>
  <c r="I7037" i="1"/>
  <c r="F7037" i="1"/>
  <c r="I7036" i="1"/>
  <c r="F7036" i="1"/>
  <c r="I7035" i="1"/>
  <c r="F7035" i="1"/>
  <c r="I7034" i="1"/>
  <c r="F7034" i="1"/>
  <c r="I7033" i="1"/>
  <c r="F7033" i="1"/>
  <c r="I7032" i="1"/>
  <c r="F7032" i="1"/>
  <c r="I7031" i="1"/>
  <c r="F7031" i="1"/>
  <c r="I7030" i="1"/>
  <c r="F7030" i="1"/>
  <c r="I7029" i="1"/>
  <c r="F7029" i="1"/>
  <c r="I7028" i="1"/>
  <c r="F7028" i="1"/>
  <c r="I7027" i="1"/>
  <c r="F7027" i="1"/>
  <c r="I7026" i="1"/>
  <c r="F7026" i="1"/>
  <c r="I7025" i="1"/>
  <c r="F7025" i="1"/>
  <c r="I7024" i="1"/>
  <c r="F7024" i="1"/>
  <c r="I7023" i="1"/>
  <c r="F7023" i="1"/>
  <c r="I7022" i="1"/>
  <c r="F7022" i="1"/>
  <c r="I7021" i="1"/>
  <c r="F7021" i="1"/>
  <c r="I7020" i="1"/>
  <c r="F7020" i="1"/>
  <c r="I7019" i="1"/>
  <c r="F7019" i="1"/>
  <c r="I7018" i="1"/>
  <c r="F7018" i="1"/>
  <c r="I7017" i="1"/>
  <c r="F7017" i="1"/>
  <c r="I7016" i="1"/>
  <c r="F7016" i="1"/>
  <c r="I7015" i="1"/>
  <c r="F7015" i="1"/>
  <c r="I7014" i="1"/>
  <c r="F7014" i="1"/>
  <c r="I7013" i="1"/>
  <c r="F7013" i="1"/>
  <c r="I7012" i="1"/>
  <c r="F7012" i="1"/>
  <c r="I7011" i="1"/>
  <c r="F7011" i="1"/>
  <c r="I7010" i="1"/>
  <c r="F7010" i="1"/>
  <c r="I7009" i="1"/>
  <c r="F7009" i="1"/>
  <c r="I7008" i="1"/>
  <c r="F7008" i="1"/>
  <c r="I7007" i="1"/>
  <c r="F7007" i="1"/>
  <c r="I7006" i="1"/>
  <c r="F7006" i="1"/>
  <c r="I7005" i="1"/>
  <c r="F7005" i="1"/>
  <c r="I7004" i="1"/>
  <c r="F7004" i="1"/>
  <c r="I7003" i="1"/>
  <c r="F7003" i="1"/>
  <c r="I7002" i="1"/>
  <c r="F7002" i="1"/>
  <c r="I7001" i="1"/>
  <c r="F7001" i="1"/>
  <c r="I7000" i="1"/>
  <c r="F7000" i="1"/>
  <c r="I6999" i="1"/>
  <c r="F6999" i="1"/>
  <c r="I6998" i="1"/>
  <c r="F6998" i="1"/>
  <c r="I6997" i="1"/>
  <c r="F6997" i="1"/>
  <c r="I6996" i="1"/>
  <c r="F6996" i="1"/>
  <c r="I6995" i="1"/>
  <c r="F6995" i="1"/>
  <c r="I6994" i="1"/>
  <c r="F6994" i="1"/>
  <c r="I6993" i="1"/>
  <c r="F6993" i="1"/>
  <c r="I6992" i="1"/>
  <c r="F6992" i="1"/>
  <c r="I6991" i="1"/>
  <c r="F6991" i="1"/>
  <c r="I6990" i="1"/>
  <c r="F6990" i="1"/>
  <c r="I6989" i="1"/>
  <c r="F6989" i="1"/>
  <c r="I6988" i="1"/>
  <c r="F6988" i="1"/>
  <c r="I6987" i="1"/>
  <c r="F6987" i="1"/>
  <c r="I6986" i="1"/>
  <c r="F6986" i="1"/>
  <c r="I6985" i="1"/>
  <c r="F6985" i="1"/>
  <c r="I6984" i="1"/>
  <c r="F6984" i="1"/>
  <c r="I6983" i="1"/>
  <c r="F6983" i="1"/>
  <c r="I6982" i="1"/>
  <c r="F6982" i="1"/>
  <c r="I6981" i="1"/>
  <c r="F6981" i="1"/>
  <c r="I6980" i="1"/>
  <c r="F6980" i="1"/>
  <c r="I6979" i="1"/>
  <c r="F6979" i="1"/>
  <c r="I6978" i="1"/>
  <c r="F6978" i="1"/>
  <c r="I6977" i="1"/>
  <c r="F6977" i="1"/>
  <c r="I6976" i="1"/>
  <c r="F6976" i="1"/>
  <c r="I6975" i="1"/>
  <c r="F6975" i="1"/>
  <c r="I6974" i="1"/>
  <c r="F6974" i="1"/>
  <c r="I6973" i="1"/>
  <c r="F6973" i="1"/>
  <c r="I6972" i="1"/>
  <c r="F6972" i="1"/>
  <c r="I6971" i="1"/>
  <c r="F6971" i="1"/>
  <c r="I6970" i="1"/>
  <c r="F6970" i="1"/>
  <c r="I6969" i="1"/>
  <c r="F6969" i="1"/>
  <c r="I6968" i="1"/>
  <c r="F6968" i="1"/>
  <c r="I6967" i="1"/>
  <c r="F6967" i="1"/>
  <c r="I6966" i="1"/>
  <c r="F6966" i="1"/>
  <c r="I6965" i="1"/>
  <c r="F6965" i="1"/>
  <c r="I6964" i="1"/>
  <c r="F6964" i="1"/>
  <c r="I6963" i="1"/>
  <c r="F6963" i="1"/>
  <c r="I6962" i="1"/>
  <c r="F6962" i="1"/>
  <c r="I6961" i="1"/>
  <c r="F6961" i="1"/>
  <c r="I6960" i="1"/>
  <c r="F6960" i="1"/>
  <c r="I6959" i="1"/>
  <c r="F6959" i="1"/>
  <c r="I6958" i="1"/>
  <c r="F6958" i="1"/>
  <c r="I6957" i="1"/>
  <c r="F6957" i="1"/>
  <c r="I6956" i="1"/>
  <c r="F6956" i="1"/>
  <c r="I6955" i="1"/>
  <c r="F6955" i="1"/>
  <c r="I6954" i="1"/>
  <c r="F6954" i="1"/>
  <c r="I6953" i="1"/>
  <c r="F6953" i="1"/>
  <c r="I6952" i="1"/>
  <c r="F6952" i="1"/>
  <c r="I6951" i="1"/>
  <c r="F6951" i="1"/>
  <c r="I6950" i="1"/>
  <c r="F6950" i="1"/>
  <c r="I6949" i="1"/>
  <c r="F6949" i="1"/>
  <c r="I6948" i="1"/>
  <c r="F6948" i="1"/>
  <c r="I6947" i="1"/>
  <c r="F6947" i="1"/>
  <c r="I6946" i="1"/>
  <c r="F6946" i="1"/>
  <c r="I6945" i="1"/>
  <c r="F6945" i="1"/>
  <c r="I6944" i="1"/>
  <c r="F6944" i="1"/>
  <c r="I6943" i="1"/>
  <c r="F6943" i="1"/>
  <c r="I6942" i="1"/>
  <c r="F6942" i="1"/>
  <c r="I6941" i="1"/>
  <c r="F6941" i="1"/>
  <c r="I6940" i="1"/>
  <c r="F6940" i="1"/>
  <c r="I6939" i="1"/>
  <c r="F6939" i="1"/>
  <c r="I6938" i="1"/>
  <c r="F6938" i="1"/>
  <c r="I6937" i="1"/>
  <c r="F6937" i="1"/>
  <c r="I6936" i="1"/>
  <c r="F6936" i="1"/>
  <c r="I6935" i="1"/>
  <c r="F6935" i="1"/>
  <c r="I6934" i="1"/>
  <c r="F6934" i="1"/>
  <c r="I6933" i="1"/>
  <c r="F6933" i="1"/>
  <c r="I6932" i="1"/>
  <c r="F6932" i="1"/>
  <c r="I6931" i="1"/>
  <c r="F6931" i="1"/>
  <c r="I6930" i="1"/>
  <c r="F6930" i="1"/>
  <c r="I6929" i="1"/>
  <c r="F6929" i="1"/>
  <c r="I6928" i="1"/>
  <c r="F6928" i="1"/>
  <c r="I6927" i="1"/>
  <c r="F6927" i="1"/>
  <c r="I6926" i="1"/>
  <c r="F6926" i="1"/>
  <c r="I6925" i="1"/>
  <c r="F6925" i="1"/>
  <c r="I6924" i="1"/>
  <c r="F6924" i="1"/>
  <c r="I6923" i="1"/>
  <c r="F6923" i="1"/>
  <c r="I6922" i="1"/>
  <c r="F6922" i="1"/>
  <c r="I6921" i="1"/>
  <c r="F6921" i="1"/>
  <c r="I6920" i="1"/>
  <c r="F6920" i="1"/>
  <c r="I6919" i="1"/>
  <c r="F6919" i="1"/>
  <c r="I6918" i="1"/>
  <c r="F6918" i="1"/>
  <c r="I6917" i="1"/>
  <c r="F6917" i="1"/>
  <c r="I6916" i="1"/>
  <c r="F6916" i="1"/>
  <c r="I6915" i="1"/>
  <c r="F6915" i="1"/>
  <c r="I6914" i="1"/>
  <c r="F6914" i="1"/>
  <c r="I6913" i="1"/>
  <c r="F6913" i="1"/>
  <c r="I6912" i="1"/>
  <c r="F6912" i="1"/>
  <c r="I6911" i="1"/>
  <c r="F6911" i="1"/>
  <c r="I6910" i="1"/>
  <c r="F6910" i="1"/>
  <c r="I6909" i="1"/>
  <c r="F6909" i="1"/>
  <c r="I6908" i="1"/>
  <c r="F6908" i="1"/>
  <c r="I6907" i="1"/>
  <c r="F6907" i="1"/>
  <c r="I6906" i="1"/>
  <c r="F6906" i="1"/>
  <c r="I6905" i="1"/>
  <c r="F6905" i="1"/>
  <c r="I6904" i="1"/>
  <c r="F6904" i="1"/>
  <c r="I6903" i="1"/>
  <c r="F6903" i="1"/>
  <c r="I6902" i="1"/>
  <c r="F6902" i="1"/>
  <c r="I6901" i="1"/>
  <c r="F6901" i="1"/>
  <c r="I6900" i="1"/>
  <c r="F6900" i="1"/>
  <c r="I6899" i="1"/>
  <c r="F6899" i="1"/>
  <c r="I6898" i="1"/>
  <c r="F6898" i="1"/>
  <c r="I6897" i="1"/>
  <c r="F6897" i="1"/>
  <c r="I6896" i="1"/>
  <c r="F6896" i="1"/>
  <c r="I6895" i="1"/>
  <c r="F6895" i="1"/>
  <c r="I6894" i="1"/>
  <c r="F6894" i="1"/>
  <c r="I6893" i="1"/>
  <c r="F6893" i="1"/>
  <c r="I6892" i="1"/>
  <c r="F6892" i="1"/>
  <c r="I6891" i="1"/>
  <c r="F6891" i="1"/>
  <c r="I6890" i="1"/>
  <c r="F6890" i="1"/>
  <c r="I6889" i="1"/>
  <c r="F6889" i="1"/>
  <c r="I6888" i="1"/>
  <c r="F6888" i="1"/>
  <c r="I6887" i="1"/>
  <c r="F6887" i="1"/>
  <c r="I6886" i="1"/>
  <c r="F6886" i="1"/>
  <c r="I6885" i="1"/>
  <c r="F6885" i="1"/>
  <c r="I6884" i="1"/>
  <c r="F6884" i="1"/>
  <c r="I6883" i="1"/>
  <c r="F6883" i="1"/>
  <c r="I6882" i="1"/>
  <c r="F6882" i="1"/>
  <c r="I6881" i="1"/>
  <c r="F6881" i="1"/>
  <c r="I6880" i="1"/>
  <c r="F6880" i="1"/>
  <c r="I6879" i="1"/>
  <c r="F6879" i="1"/>
  <c r="I6878" i="1"/>
  <c r="F6878" i="1"/>
  <c r="I6877" i="1"/>
  <c r="F6877" i="1"/>
  <c r="I6876" i="1"/>
  <c r="F6876" i="1"/>
  <c r="I6875" i="1"/>
  <c r="F6875" i="1"/>
  <c r="I6874" i="1"/>
  <c r="F6874" i="1"/>
  <c r="I6873" i="1"/>
  <c r="F6873" i="1"/>
  <c r="I6872" i="1"/>
  <c r="F6872" i="1"/>
  <c r="I6871" i="1"/>
  <c r="F6871" i="1"/>
  <c r="I6870" i="1"/>
  <c r="F6870" i="1"/>
  <c r="I6869" i="1"/>
  <c r="F6869" i="1"/>
  <c r="I6868" i="1"/>
  <c r="F6868" i="1"/>
  <c r="I6867" i="1"/>
  <c r="F6867" i="1"/>
  <c r="I6866" i="1"/>
  <c r="F6866" i="1"/>
  <c r="I6865" i="1"/>
  <c r="F6865" i="1"/>
  <c r="I6864" i="1"/>
  <c r="F6864" i="1"/>
  <c r="I6863" i="1"/>
  <c r="F6863" i="1"/>
  <c r="I6862" i="1"/>
  <c r="F6862" i="1"/>
  <c r="I6861" i="1"/>
  <c r="F6861" i="1"/>
  <c r="I6860" i="1"/>
  <c r="F6860" i="1"/>
  <c r="I6859" i="1"/>
  <c r="F6859" i="1"/>
  <c r="I6858" i="1"/>
  <c r="F6858" i="1"/>
  <c r="I6857" i="1"/>
  <c r="F6857" i="1"/>
  <c r="I6856" i="1"/>
  <c r="F6856" i="1"/>
  <c r="I6855" i="1"/>
  <c r="F6855" i="1"/>
  <c r="I6854" i="1"/>
  <c r="F6854" i="1"/>
  <c r="I6853" i="1"/>
  <c r="F6853" i="1"/>
  <c r="I6852" i="1"/>
  <c r="F6852" i="1"/>
  <c r="I6851" i="1"/>
  <c r="F6851" i="1"/>
  <c r="I6850" i="1"/>
  <c r="F6850" i="1"/>
  <c r="I6849" i="1"/>
  <c r="F6849" i="1"/>
  <c r="I6848" i="1"/>
  <c r="F6848" i="1"/>
  <c r="I6847" i="1"/>
  <c r="F6847" i="1"/>
  <c r="I6846" i="1"/>
  <c r="F6846" i="1"/>
  <c r="I6845" i="1"/>
  <c r="F6845" i="1"/>
  <c r="I6844" i="1"/>
  <c r="F6844" i="1"/>
  <c r="I6843" i="1"/>
  <c r="F6843" i="1"/>
  <c r="I6842" i="1"/>
  <c r="F6842" i="1"/>
  <c r="I6841" i="1"/>
  <c r="F6841" i="1"/>
  <c r="I6840" i="1"/>
  <c r="F6840" i="1"/>
  <c r="I6839" i="1"/>
  <c r="F6839" i="1"/>
  <c r="I6838" i="1"/>
  <c r="F6838" i="1"/>
  <c r="I6837" i="1"/>
  <c r="F6837" i="1"/>
  <c r="I6836" i="1"/>
  <c r="F6836" i="1"/>
  <c r="I6835" i="1"/>
  <c r="F6835" i="1"/>
  <c r="I6834" i="1"/>
  <c r="F6834" i="1"/>
  <c r="I6833" i="1"/>
  <c r="F6833" i="1"/>
  <c r="I6832" i="1"/>
  <c r="F6832" i="1"/>
  <c r="I6831" i="1"/>
  <c r="F6831" i="1"/>
  <c r="I6830" i="1"/>
  <c r="F6830" i="1"/>
  <c r="I6829" i="1"/>
  <c r="F6829" i="1"/>
  <c r="I6828" i="1"/>
  <c r="F6828" i="1"/>
  <c r="I6827" i="1"/>
  <c r="F6827" i="1"/>
  <c r="I6826" i="1"/>
  <c r="F6826" i="1"/>
  <c r="I6825" i="1"/>
  <c r="F6825" i="1"/>
  <c r="I6824" i="1"/>
  <c r="F6824" i="1"/>
  <c r="I6823" i="1"/>
  <c r="F6823" i="1"/>
  <c r="I6822" i="1"/>
  <c r="F6822" i="1"/>
  <c r="I6821" i="1"/>
  <c r="F6821" i="1"/>
  <c r="I6820" i="1"/>
  <c r="F6820" i="1"/>
  <c r="I6819" i="1"/>
  <c r="F6819" i="1"/>
  <c r="I6818" i="1"/>
  <c r="F6818" i="1"/>
  <c r="I6817" i="1"/>
  <c r="F6817" i="1"/>
  <c r="I6816" i="1"/>
  <c r="F6816" i="1"/>
  <c r="I6815" i="1"/>
  <c r="F6815" i="1"/>
  <c r="I6814" i="1"/>
  <c r="F6814" i="1"/>
  <c r="I6813" i="1"/>
  <c r="F6813" i="1"/>
  <c r="I6812" i="1"/>
  <c r="F6812" i="1"/>
  <c r="I6811" i="1"/>
  <c r="F6811" i="1"/>
  <c r="I6810" i="1"/>
  <c r="F6810" i="1"/>
  <c r="I6809" i="1"/>
  <c r="F6809" i="1"/>
  <c r="I6808" i="1"/>
  <c r="F6808" i="1"/>
  <c r="I6807" i="1"/>
  <c r="F6807" i="1"/>
  <c r="I6806" i="1"/>
  <c r="F6806" i="1"/>
  <c r="I6805" i="1"/>
  <c r="F6805" i="1"/>
  <c r="I6804" i="1"/>
  <c r="F6804" i="1"/>
  <c r="I6803" i="1"/>
  <c r="F6803" i="1"/>
  <c r="I6802" i="1"/>
  <c r="F6802" i="1"/>
  <c r="I6801" i="1"/>
  <c r="F6801" i="1"/>
  <c r="I6800" i="1"/>
  <c r="F6800" i="1"/>
  <c r="I6799" i="1"/>
  <c r="F6799" i="1"/>
  <c r="I6798" i="1"/>
  <c r="F6798" i="1"/>
  <c r="I6797" i="1"/>
  <c r="F6797" i="1"/>
  <c r="I6796" i="1"/>
  <c r="F6796" i="1"/>
  <c r="I6795" i="1"/>
  <c r="F6795" i="1"/>
  <c r="I6794" i="1"/>
  <c r="F6794" i="1"/>
  <c r="I6793" i="1"/>
  <c r="F6793" i="1"/>
  <c r="I6792" i="1"/>
  <c r="F6792" i="1"/>
  <c r="I6791" i="1"/>
  <c r="F6791" i="1"/>
  <c r="I6790" i="1"/>
  <c r="F6790" i="1"/>
  <c r="I6789" i="1"/>
  <c r="F6789" i="1"/>
  <c r="I6788" i="1"/>
  <c r="F6788" i="1"/>
  <c r="I6787" i="1"/>
  <c r="F6787" i="1"/>
  <c r="I6786" i="1"/>
  <c r="F6786" i="1"/>
  <c r="I6785" i="1"/>
  <c r="F6785" i="1"/>
  <c r="I6784" i="1"/>
  <c r="F6784" i="1"/>
  <c r="I6783" i="1"/>
  <c r="F6783" i="1"/>
  <c r="I6782" i="1"/>
  <c r="F6782" i="1"/>
  <c r="I6781" i="1"/>
  <c r="F6781" i="1"/>
  <c r="I6780" i="1"/>
  <c r="F6780" i="1"/>
  <c r="I6779" i="1"/>
  <c r="F6779" i="1"/>
  <c r="I6778" i="1"/>
  <c r="F6778" i="1"/>
  <c r="I6777" i="1"/>
  <c r="F6777" i="1"/>
  <c r="I6776" i="1"/>
  <c r="F6776" i="1"/>
  <c r="I6775" i="1"/>
  <c r="F6775" i="1"/>
  <c r="I6774" i="1"/>
  <c r="F6774" i="1"/>
  <c r="I6773" i="1"/>
  <c r="F6773" i="1"/>
  <c r="I6772" i="1"/>
  <c r="F6772" i="1"/>
  <c r="I6771" i="1"/>
  <c r="F6771" i="1"/>
  <c r="I6770" i="1"/>
  <c r="F6770" i="1"/>
  <c r="I6769" i="1"/>
  <c r="F6769" i="1"/>
  <c r="I6768" i="1"/>
  <c r="F6768" i="1"/>
  <c r="I6767" i="1"/>
  <c r="F6767" i="1"/>
  <c r="I6766" i="1"/>
  <c r="F6766" i="1"/>
  <c r="I6765" i="1"/>
  <c r="F6765" i="1"/>
  <c r="I6764" i="1"/>
  <c r="F6764" i="1"/>
  <c r="I6763" i="1"/>
  <c r="F6763" i="1"/>
  <c r="I6762" i="1"/>
  <c r="F6762" i="1"/>
  <c r="I6761" i="1"/>
  <c r="F6761" i="1"/>
  <c r="I6760" i="1"/>
  <c r="F6760" i="1"/>
  <c r="I6759" i="1"/>
  <c r="F6759" i="1"/>
  <c r="I6758" i="1"/>
  <c r="F6758" i="1"/>
  <c r="I6757" i="1"/>
  <c r="F6757" i="1"/>
  <c r="I6756" i="1"/>
  <c r="F6756" i="1"/>
  <c r="I6755" i="1"/>
  <c r="F6755" i="1"/>
  <c r="I6754" i="1"/>
  <c r="F6754" i="1"/>
  <c r="I6753" i="1"/>
  <c r="F6753" i="1"/>
  <c r="I6752" i="1"/>
  <c r="F6752" i="1"/>
  <c r="I6751" i="1"/>
  <c r="F6751" i="1"/>
  <c r="I6750" i="1"/>
  <c r="F6750" i="1"/>
  <c r="I6749" i="1"/>
  <c r="F6749" i="1"/>
  <c r="I6748" i="1"/>
  <c r="F6748" i="1"/>
  <c r="I6747" i="1"/>
  <c r="F6747" i="1"/>
  <c r="I6746" i="1"/>
  <c r="F6746" i="1"/>
  <c r="I6745" i="1"/>
  <c r="F6745" i="1"/>
  <c r="I6744" i="1"/>
  <c r="F6744" i="1"/>
  <c r="I6743" i="1"/>
  <c r="F6743" i="1"/>
  <c r="I6742" i="1"/>
  <c r="F6742" i="1"/>
  <c r="I6741" i="1"/>
  <c r="F6741" i="1"/>
  <c r="I6740" i="1"/>
  <c r="F6740" i="1"/>
  <c r="I6739" i="1"/>
  <c r="F6739" i="1"/>
  <c r="I6738" i="1"/>
  <c r="F6738" i="1"/>
  <c r="I6737" i="1"/>
  <c r="F6737" i="1"/>
  <c r="I6736" i="1"/>
  <c r="F6736" i="1"/>
  <c r="I6735" i="1"/>
  <c r="F6735" i="1"/>
  <c r="I6734" i="1"/>
  <c r="F6734" i="1"/>
  <c r="I6733" i="1"/>
  <c r="F6733" i="1"/>
  <c r="I6732" i="1"/>
  <c r="F6732" i="1"/>
  <c r="I6731" i="1"/>
  <c r="F6731" i="1"/>
  <c r="I6730" i="1"/>
  <c r="F6730" i="1"/>
  <c r="I6729" i="1"/>
  <c r="F6729" i="1"/>
  <c r="I6728" i="1"/>
  <c r="F6728" i="1"/>
  <c r="I6727" i="1"/>
  <c r="F6727" i="1"/>
  <c r="I6726" i="1"/>
  <c r="F6726" i="1"/>
  <c r="I6725" i="1"/>
  <c r="F6725" i="1"/>
  <c r="I6724" i="1"/>
  <c r="F6724" i="1"/>
  <c r="I6723" i="1"/>
  <c r="F6723" i="1"/>
  <c r="I6722" i="1"/>
  <c r="F6722" i="1"/>
  <c r="I6721" i="1"/>
  <c r="F6721" i="1"/>
  <c r="I6720" i="1"/>
  <c r="F6720" i="1"/>
  <c r="I6719" i="1"/>
  <c r="F6719" i="1"/>
  <c r="I6718" i="1"/>
  <c r="F6718" i="1"/>
  <c r="I6717" i="1"/>
  <c r="F6717" i="1"/>
  <c r="I6716" i="1"/>
  <c r="F6716" i="1"/>
  <c r="I6715" i="1"/>
  <c r="F6715" i="1"/>
  <c r="I6714" i="1"/>
  <c r="F6714" i="1"/>
  <c r="I6713" i="1"/>
  <c r="F6713" i="1"/>
  <c r="I6712" i="1"/>
  <c r="F6712" i="1"/>
  <c r="I6711" i="1"/>
  <c r="F6711" i="1"/>
  <c r="I6710" i="1"/>
  <c r="F6710" i="1"/>
  <c r="I6709" i="1"/>
  <c r="F6709" i="1"/>
  <c r="I6708" i="1"/>
  <c r="F6708" i="1"/>
  <c r="I6707" i="1"/>
  <c r="F6707" i="1"/>
  <c r="I6706" i="1"/>
  <c r="F6706" i="1"/>
  <c r="I6705" i="1"/>
  <c r="F6705" i="1"/>
  <c r="I6704" i="1"/>
  <c r="F6704" i="1"/>
  <c r="I6703" i="1"/>
  <c r="F6703" i="1"/>
  <c r="I6702" i="1"/>
  <c r="F6702" i="1"/>
  <c r="I6701" i="1"/>
  <c r="F6701" i="1"/>
  <c r="I6700" i="1"/>
  <c r="F6700" i="1"/>
  <c r="I6699" i="1"/>
  <c r="F6699" i="1"/>
  <c r="I6698" i="1"/>
  <c r="F6698" i="1"/>
  <c r="I6697" i="1"/>
  <c r="F6697" i="1"/>
  <c r="I6696" i="1"/>
  <c r="F6696" i="1"/>
  <c r="I6695" i="1"/>
  <c r="F6695" i="1"/>
  <c r="I6694" i="1"/>
  <c r="F6694" i="1"/>
  <c r="I6693" i="1"/>
  <c r="F6693" i="1"/>
  <c r="I6692" i="1"/>
  <c r="F6692" i="1"/>
  <c r="I6691" i="1"/>
  <c r="F6691" i="1"/>
  <c r="I6690" i="1"/>
  <c r="F6690" i="1"/>
  <c r="I6689" i="1"/>
  <c r="F6689" i="1"/>
  <c r="I6688" i="1"/>
  <c r="F6688" i="1"/>
  <c r="I6687" i="1"/>
  <c r="F6687" i="1"/>
  <c r="I6686" i="1"/>
  <c r="F6686" i="1"/>
  <c r="I6685" i="1"/>
  <c r="F6685" i="1"/>
  <c r="I6684" i="1"/>
  <c r="F6684" i="1"/>
  <c r="I6683" i="1"/>
  <c r="F6683" i="1"/>
  <c r="I6682" i="1"/>
  <c r="F6682" i="1"/>
  <c r="I6681" i="1"/>
  <c r="F6681" i="1"/>
  <c r="I6680" i="1"/>
  <c r="F6680" i="1"/>
  <c r="I6679" i="1"/>
  <c r="F6679" i="1"/>
  <c r="I6678" i="1"/>
  <c r="F6678" i="1"/>
  <c r="I6677" i="1"/>
  <c r="F6677" i="1"/>
  <c r="I6676" i="1"/>
  <c r="F6676" i="1"/>
  <c r="I6675" i="1"/>
  <c r="F6675" i="1"/>
  <c r="I6674" i="1"/>
  <c r="F6674" i="1"/>
  <c r="I6673" i="1"/>
  <c r="F6673" i="1"/>
  <c r="I6672" i="1"/>
  <c r="F6672" i="1"/>
  <c r="I6671" i="1"/>
  <c r="F6671" i="1"/>
  <c r="I6670" i="1"/>
  <c r="F6670" i="1"/>
  <c r="I6669" i="1"/>
  <c r="F6669" i="1"/>
  <c r="I6668" i="1"/>
  <c r="F6668" i="1"/>
  <c r="I6667" i="1"/>
  <c r="F6667" i="1"/>
  <c r="I6666" i="1"/>
  <c r="F6666" i="1"/>
  <c r="I6665" i="1"/>
  <c r="F6665" i="1"/>
  <c r="I6664" i="1"/>
  <c r="F6664" i="1"/>
  <c r="I6663" i="1"/>
  <c r="F6663" i="1"/>
  <c r="I6662" i="1"/>
  <c r="F6662" i="1"/>
  <c r="I6661" i="1"/>
  <c r="F6661" i="1"/>
  <c r="I6660" i="1"/>
  <c r="F6660" i="1"/>
  <c r="I6659" i="1"/>
  <c r="F6659" i="1"/>
  <c r="I6658" i="1"/>
  <c r="F6658" i="1"/>
  <c r="I6657" i="1"/>
  <c r="F6657" i="1"/>
  <c r="I6656" i="1"/>
  <c r="F6656" i="1"/>
  <c r="I6655" i="1"/>
  <c r="F6655" i="1"/>
  <c r="I6654" i="1"/>
  <c r="F6654" i="1"/>
  <c r="I6653" i="1"/>
  <c r="F6653" i="1"/>
  <c r="I6652" i="1"/>
  <c r="F6652" i="1"/>
  <c r="I6651" i="1"/>
  <c r="F6651" i="1"/>
  <c r="I6650" i="1"/>
  <c r="F6650" i="1"/>
  <c r="I6649" i="1"/>
  <c r="F6649" i="1"/>
  <c r="I6648" i="1"/>
  <c r="F6648" i="1"/>
  <c r="I6647" i="1"/>
  <c r="F6647" i="1"/>
  <c r="I6646" i="1"/>
  <c r="F6646" i="1"/>
  <c r="I6645" i="1"/>
  <c r="F6645" i="1"/>
  <c r="I6644" i="1"/>
  <c r="F6644" i="1"/>
  <c r="I6643" i="1"/>
  <c r="F6643" i="1"/>
  <c r="I6642" i="1"/>
  <c r="F6642" i="1"/>
  <c r="I6641" i="1"/>
  <c r="F6641" i="1"/>
  <c r="I6640" i="1"/>
  <c r="F6640" i="1"/>
  <c r="I6639" i="1"/>
  <c r="F6639" i="1"/>
  <c r="I6638" i="1"/>
  <c r="F6638" i="1"/>
  <c r="I6637" i="1"/>
  <c r="F6637" i="1"/>
  <c r="I6636" i="1"/>
  <c r="F6636" i="1"/>
  <c r="I6635" i="1"/>
  <c r="F6635" i="1"/>
  <c r="I6634" i="1"/>
  <c r="F6634" i="1"/>
  <c r="I6633" i="1"/>
  <c r="F6633" i="1"/>
  <c r="I6632" i="1"/>
  <c r="F6632" i="1"/>
  <c r="I6631" i="1"/>
  <c r="F6631" i="1"/>
  <c r="I6630" i="1"/>
  <c r="F6630" i="1"/>
  <c r="I6629" i="1"/>
  <c r="F6629" i="1"/>
  <c r="I6628" i="1"/>
  <c r="F6628" i="1"/>
  <c r="I6627" i="1"/>
  <c r="F6627" i="1"/>
  <c r="I6626" i="1"/>
  <c r="F6626" i="1"/>
  <c r="I6625" i="1"/>
  <c r="F6625" i="1"/>
  <c r="I6624" i="1"/>
  <c r="F6624" i="1"/>
  <c r="I6623" i="1"/>
  <c r="F6623" i="1"/>
  <c r="I6622" i="1"/>
  <c r="F6622" i="1"/>
  <c r="I6621" i="1"/>
  <c r="F6621" i="1"/>
  <c r="I6620" i="1"/>
  <c r="F6620" i="1"/>
  <c r="I6619" i="1"/>
  <c r="F6619" i="1"/>
  <c r="I6618" i="1"/>
  <c r="F6618" i="1"/>
  <c r="I6617" i="1"/>
  <c r="F6617" i="1"/>
  <c r="I6616" i="1"/>
  <c r="F6616" i="1"/>
  <c r="I6615" i="1"/>
  <c r="F6615" i="1"/>
  <c r="I6614" i="1"/>
  <c r="F6614" i="1"/>
  <c r="I6613" i="1"/>
  <c r="F6613" i="1"/>
  <c r="I6612" i="1"/>
  <c r="F6612" i="1"/>
  <c r="I6611" i="1"/>
  <c r="F6611" i="1"/>
  <c r="I6610" i="1"/>
  <c r="F6610" i="1"/>
  <c r="I6609" i="1"/>
  <c r="F6609" i="1"/>
  <c r="I6608" i="1"/>
  <c r="F6608" i="1"/>
  <c r="I6607" i="1"/>
  <c r="F6607" i="1"/>
  <c r="I6606" i="1"/>
  <c r="F6606" i="1"/>
  <c r="I6605" i="1"/>
  <c r="F6605" i="1"/>
  <c r="I6604" i="1"/>
  <c r="F6604" i="1"/>
  <c r="I6603" i="1"/>
  <c r="F6603" i="1"/>
  <c r="I6602" i="1"/>
  <c r="F6602" i="1"/>
  <c r="I6601" i="1"/>
  <c r="F6601" i="1"/>
  <c r="I6600" i="1"/>
  <c r="F6600" i="1"/>
  <c r="I6599" i="1"/>
  <c r="F6599" i="1"/>
  <c r="I6598" i="1"/>
  <c r="F6598" i="1"/>
  <c r="I6597" i="1"/>
  <c r="F6597" i="1"/>
  <c r="I6596" i="1"/>
  <c r="F6596" i="1"/>
  <c r="I6595" i="1"/>
  <c r="F6595" i="1"/>
  <c r="I6594" i="1"/>
  <c r="F6594" i="1"/>
  <c r="I6593" i="1"/>
  <c r="F6593" i="1"/>
  <c r="I6592" i="1"/>
  <c r="F6592" i="1"/>
  <c r="I6591" i="1"/>
  <c r="F6591" i="1"/>
  <c r="I6590" i="1"/>
  <c r="F6590" i="1"/>
  <c r="I6589" i="1"/>
  <c r="F6589" i="1"/>
  <c r="I6588" i="1"/>
  <c r="F6588" i="1"/>
  <c r="I6587" i="1"/>
  <c r="F6587" i="1"/>
  <c r="I6586" i="1"/>
  <c r="F6586" i="1"/>
  <c r="I6585" i="1"/>
  <c r="F6585" i="1"/>
  <c r="I6584" i="1"/>
  <c r="F6584" i="1"/>
  <c r="I6583" i="1"/>
  <c r="F6583" i="1"/>
  <c r="I6582" i="1"/>
  <c r="F6582" i="1"/>
  <c r="I6581" i="1"/>
  <c r="F6581" i="1"/>
  <c r="I6580" i="1"/>
  <c r="F6580" i="1"/>
  <c r="I6579" i="1"/>
  <c r="F6579" i="1"/>
  <c r="I6578" i="1"/>
  <c r="F6578" i="1"/>
  <c r="I6577" i="1"/>
  <c r="F6577" i="1"/>
  <c r="I6576" i="1"/>
  <c r="F6576" i="1"/>
  <c r="I6575" i="1"/>
  <c r="F6575" i="1"/>
  <c r="I6574" i="1"/>
  <c r="F6574" i="1"/>
  <c r="I6573" i="1"/>
  <c r="F6573" i="1"/>
  <c r="I6572" i="1"/>
  <c r="F6572" i="1"/>
  <c r="I6571" i="1"/>
  <c r="F6571" i="1"/>
  <c r="I6570" i="1"/>
  <c r="F6570" i="1"/>
  <c r="I6569" i="1"/>
  <c r="F6569" i="1"/>
  <c r="I6568" i="1"/>
  <c r="F6568" i="1"/>
  <c r="I6567" i="1"/>
  <c r="F6567" i="1"/>
  <c r="I6566" i="1"/>
  <c r="F6566" i="1"/>
  <c r="I6565" i="1"/>
  <c r="F6565" i="1"/>
  <c r="I6564" i="1"/>
  <c r="F6564" i="1"/>
  <c r="I6563" i="1"/>
  <c r="F6563" i="1"/>
  <c r="I6562" i="1"/>
  <c r="F6562" i="1"/>
  <c r="I6561" i="1"/>
  <c r="F6561" i="1"/>
  <c r="I6560" i="1"/>
  <c r="F6560" i="1"/>
  <c r="I6559" i="1"/>
  <c r="F6559" i="1"/>
  <c r="I6558" i="1"/>
  <c r="F6558" i="1"/>
  <c r="I6557" i="1"/>
  <c r="F6557" i="1"/>
  <c r="I6556" i="1"/>
  <c r="F6556" i="1"/>
  <c r="I6555" i="1"/>
  <c r="F6555" i="1"/>
  <c r="I6554" i="1"/>
  <c r="F6554" i="1"/>
  <c r="I6553" i="1"/>
  <c r="F6553" i="1"/>
  <c r="I6552" i="1"/>
  <c r="F6552" i="1"/>
  <c r="I6551" i="1"/>
  <c r="F6551" i="1"/>
  <c r="I6550" i="1"/>
  <c r="F6550" i="1"/>
  <c r="I6549" i="1"/>
  <c r="F6549" i="1"/>
  <c r="I6548" i="1"/>
  <c r="F6548" i="1"/>
  <c r="I6547" i="1"/>
  <c r="F6547" i="1"/>
  <c r="I6546" i="1"/>
  <c r="F6546" i="1"/>
  <c r="I6545" i="1"/>
  <c r="F6545" i="1"/>
  <c r="I6544" i="1"/>
  <c r="F6544" i="1"/>
  <c r="I6543" i="1"/>
  <c r="F6543" i="1"/>
  <c r="I6542" i="1"/>
  <c r="F6542" i="1"/>
  <c r="I6541" i="1"/>
  <c r="F6541" i="1"/>
  <c r="I6540" i="1"/>
  <c r="F6540" i="1"/>
  <c r="I6539" i="1"/>
  <c r="F6539" i="1"/>
  <c r="I6538" i="1"/>
  <c r="F6538" i="1"/>
  <c r="I6537" i="1"/>
  <c r="F6537" i="1"/>
  <c r="I6536" i="1"/>
  <c r="F6536" i="1"/>
  <c r="I6535" i="1"/>
  <c r="F6535" i="1"/>
  <c r="I6534" i="1"/>
  <c r="F6534" i="1"/>
  <c r="I6533" i="1"/>
  <c r="F6533" i="1"/>
  <c r="I6532" i="1"/>
  <c r="F6532" i="1"/>
  <c r="I6531" i="1"/>
  <c r="F6531" i="1"/>
  <c r="I6530" i="1"/>
  <c r="F6530" i="1"/>
  <c r="I6529" i="1"/>
  <c r="F6529" i="1"/>
  <c r="I6528" i="1"/>
  <c r="F6528" i="1"/>
  <c r="I6527" i="1"/>
  <c r="F6527" i="1"/>
  <c r="I6526" i="1"/>
  <c r="F6526" i="1"/>
  <c r="I6525" i="1"/>
  <c r="F6525" i="1"/>
  <c r="I6524" i="1"/>
  <c r="F6524" i="1"/>
  <c r="I6523" i="1"/>
  <c r="F6523" i="1"/>
  <c r="I6522" i="1"/>
  <c r="F6522" i="1"/>
  <c r="I6521" i="1"/>
  <c r="F6521" i="1"/>
  <c r="I6520" i="1"/>
  <c r="F6520" i="1"/>
  <c r="I6519" i="1"/>
  <c r="F6519" i="1"/>
  <c r="I6518" i="1"/>
  <c r="F6518" i="1"/>
  <c r="I6517" i="1"/>
  <c r="F6517" i="1"/>
  <c r="I6516" i="1"/>
  <c r="F6516" i="1"/>
  <c r="I6515" i="1"/>
  <c r="F6515" i="1"/>
  <c r="I6514" i="1"/>
  <c r="F6514" i="1"/>
  <c r="I6513" i="1"/>
  <c r="F6513" i="1"/>
  <c r="I6512" i="1"/>
  <c r="F6512" i="1"/>
  <c r="I6511" i="1"/>
  <c r="F6511" i="1"/>
  <c r="I6510" i="1"/>
  <c r="F6510" i="1"/>
  <c r="I6509" i="1"/>
  <c r="F6509" i="1"/>
  <c r="I6508" i="1"/>
  <c r="F6508" i="1"/>
  <c r="I6507" i="1"/>
  <c r="F6507" i="1"/>
  <c r="I6506" i="1"/>
  <c r="F6506" i="1"/>
  <c r="I6505" i="1"/>
  <c r="F6505" i="1"/>
  <c r="I6504" i="1"/>
  <c r="F6504" i="1"/>
  <c r="I6503" i="1"/>
  <c r="F6503" i="1"/>
  <c r="I6502" i="1"/>
  <c r="F6502" i="1"/>
  <c r="I6501" i="1"/>
  <c r="F6501" i="1"/>
  <c r="I6500" i="1"/>
  <c r="F6500" i="1"/>
  <c r="I6499" i="1"/>
  <c r="F6499" i="1"/>
  <c r="I6498" i="1"/>
  <c r="F6498" i="1"/>
  <c r="I6497" i="1"/>
  <c r="F6497" i="1"/>
  <c r="I6496" i="1"/>
  <c r="F6496" i="1"/>
  <c r="I6495" i="1"/>
  <c r="F6495" i="1"/>
  <c r="I6494" i="1"/>
  <c r="F6494" i="1"/>
  <c r="I6493" i="1"/>
  <c r="F6493" i="1"/>
  <c r="I6492" i="1"/>
  <c r="F6492" i="1"/>
  <c r="I6491" i="1"/>
  <c r="F6491" i="1"/>
  <c r="I6490" i="1"/>
  <c r="F6490" i="1"/>
  <c r="I6489" i="1"/>
  <c r="F6489" i="1"/>
  <c r="I6488" i="1"/>
  <c r="F6488" i="1"/>
  <c r="I6487" i="1"/>
  <c r="F6487" i="1"/>
  <c r="I6486" i="1"/>
  <c r="F6486" i="1"/>
  <c r="I6485" i="1"/>
  <c r="F6485" i="1"/>
  <c r="I6484" i="1"/>
  <c r="F6484" i="1"/>
  <c r="I6483" i="1"/>
  <c r="F6483" i="1"/>
  <c r="I6482" i="1"/>
  <c r="F6482" i="1"/>
  <c r="I6481" i="1"/>
  <c r="F6481" i="1"/>
  <c r="I6480" i="1"/>
  <c r="F6480" i="1"/>
  <c r="I6479" i="1"/>
  <c r="F6479" i="1"/>
  <c r="I6478" i="1"/>
  <c r="F6478" i="1"/>
  <c r="I6477" i="1"/>
  <c r="F6477" i="1"/>
  <c r="I6476" i="1"/>
  <c r="F6476" i="1"/>
  <c r="I6475" i="1"/>
  <c r="F6475" i="1"/>
  <c r="I6474" i="1"/>
  <c r="F6474" i="1"/>
  <c r="I6473" i="1"/>
  <c r="F6473" i="1"/>
  <c r="I6472" i="1"/>
  <c r="F6472" i="1"/>
  <c r="I6471" i="1"/>
  <c r="F6471" i="1"/>
  <c r="I6470" i="1"/>
  <c r="F6470" i="1"/>
  <c r="I6469" i="1"/>
  <c r="F6469" i="1"/>
  <c r="I6468" i="1"/>
  <c r="F6468" i="1"/>
  <c r="I6467" i="1"/>
  <c r="F6467" i="1"/>
  <c r="I6466" i="1"/>
  <c r="F6466" i="1"/>
  <c r="I6465" i="1"/>
  <c r="F6465" i="1"/>
  <c r="I6464" i="1"/>
  <c r="F6464" i="1"/>
  <c r="I6463" i="1"/>
  <c r="F6463" i="1"/>
  <c r="I6462" i="1"/>
  <c r="F6462" i="1"/>
  <c r="I6461" i="1"/>
  <c r="F6461" i="1"/>
  <c r="I6460" i="1"/>
  <c r="F6460" i="1"/>
  <c r="I6459" i="1"/>
  <c r="F6459" i="1"/>
  <c r="I6458" i="1"/>
  <c r="F6458" i="1"/>
  <c r="I6457" i="1"/>
  <c r="F6457" i="1"/>
  <c r="I6456" i="1"/>
  <c r="F6456" i="1"/>
  <c r="I6455" i="1"/>
  <c r="F6455" i="1"/>
  <c r="I6454" i="1"/>
  <c r="F6454" i="1"/>
  <c r="I6453" i="1"/>
  <c r="F6453" i="1"/>
  <c r="I6452" i="1"/>
  <c r="F6452" i="1"/>
  <c r="I6451" i="1"/>
  <c r="F6451" i="1"/>
  <c r="I6450" i="1"/>
  <c r="F6450" i="1"/>
  <c r="I6449" i="1"/>
  <c r="F6449" i="1"/>
  <c r="I6448" i="1"/>
  <c r="F6448" i="1"/>
  <c r="I6447" i="1"/>
  <c r="F6447" i="1"/>
  <c r="I6446" i="1"/>
  <c r="F6446" i="1"/>
  <c r="I6445" i="1"/>
  <c r="F6445" i="1"/>
  <c r="I6444" i="1"/>
  <c r="F6444" i="1"/>
  <c r="I6443" i="1"/>
  <c r="F6443" i="1"/>
  <c r="I6442" i="1"/>
  <c r="F6442" i="1"/>
  <c r="I6441" i="1"/>
  <c r="F6441" i="1"/>
  <c r="I6440" i="1"/>
  <c r="F6440" i="1"/>
  <c r="I6439" i="1"/>
  <c r="F6439" i="1"/>
  <c r="I6438" i="1"/>
  <c r="F6438" i="1"/>
  <c r="I6437" i="1"/>
  <c r="F6437" i="1"/>
  <c r="I6436" i="1"/>
  <c r="F6436" i="1"/>
  <c r="I6435" i="1"/>
  <c r="F6435" i="1"/>
  <c r="I6434" i="1"/>
  <c r="F6434" i="1"/>
  <c r="I6433" i="1"/>
  <c r="F6433" i="1"/>
  <c r="I6432" i="1"/>
  <c r="F6432" i="1"/>
  <c r="I6431" i="1"/>
  <c r="F6431" i="1"/>
  <c r="I6430" i="1"/>
  <c r="F6430" i="1"/>
  <c r="I6429" i="1"/>
  <c r="F6429" i="1"/>
  <c r="I6428" i="1"/>
  <c r="F6428" i="1"/>
  <c r="I6427" i="1"/>
  <c r="F6427" i="1"/>
  <c r="I6426" i="1"/>
  <c r="F6426" i="1"/>
  <c r="I6425" i="1"/>
  <c r="F6425" i="1"/>
  <c r="I6424" i="1"/>
  <c r="F6424" i="1"/>
  <c r="I6423" i="1"/>
  <c r="F6423" i="1"/>
  <c r="I6422" i="1"/>
  <c r="F6422" i="1"/>
  <c r="I6421" i="1"/>
  <c r="F6421" i="1"/>
  <c r="I6420" i="1"/>
  <c r="F6420" i="1"/>
  <c r="I6419" i="1"/>
  <c r="F6419" i="1"/>
  <c r="I6418" i="1"/>
  <c r="F6418" i="1"/>
  <c r="I6417" i="1"/>
  <c r="F6417" i="1"/>
  <c r="I6416" i="1"/>
  <c r="F6416" i="1"/>
  <c r="I6415" i="1"/>
  <c r="F6415" i="1"/>
  <c r="I6414" i="1"/>
  <c r="F6414" i="1"/>
  <c r="I6413" i="1"/>
  <c r="F6413" i="1"/>
  <c r="I6412" i="1"/>
  <c r="F6412" i="1"/>
  <c r="I6411" i="1"/>
  <c r="F6411" i="1"/>
  <c r="I6410" i="1"/>
  <c r="F6410" i="1"/>
  <c r="I6409" i="1"/>
  <c r="F6409" i="1"/>
  <c r="I6408" i="1"/>
  <c r="F6408" i="1"/>
  <c r="I6407" i="1"/>
  <c r="F6407" i="1"/>
  <c r="I6406" i="1"/>
  <c r="F6406" i="1"/>
  <c r="I6405" i="1"/>
  <c r="F6405" i="1"/>
  <c r="I6404" i="1"/>
  <c r="F6404" i="1"/>
  <c r="I6403" i="1"/>
  <c r="F6403" i="1"/>
  <c r="I6402" i="1"/>
  <c r="F6402" i="1"/>
  <c r="I6401" i="1"/>
  <c r="F6401" i="1"/>
  <c r="I6400" i="1"/>
  <c r="F6400" i="1"/>
  <c r="I6399" i="1"/>
  <c r="F6399" i="1"/>
  <c r="I6398" i="1"/>
  <c r="F6398" i="1"/>
  <c r="I6397" i="1"/>
  <c r="F6397" i="1"/>
  <c r="I6396" i="1"/>
  <c r="F6396" i="1"/>
  <c r="I6395" i="1"/>
  <c r="F6395" i="1"/>
  <c r="I6394" i="1"/>
  <c r="F6394" i="1"/>
  <c r="I6393" i="1"/>
  <c r="F6393" i="1"/>
  <c r="I6392" i="1"/>
  <c r="F6392" i="1"/>
  <c r="I6391" i="1"/>
  <c r="F6391" i="1"/>
  <c r="I6390" i="1"/>
  <c r="F6390" i="1"/>
  <c r="I6389" i="1"/>
  <c r="F6389" i="1"/>
  <c r="I6388" i="1"/>
  <c r="F6388" i="1"/>
  <c r="I6387" i="1"/>
  <c r="F6387" i="1"/>
  <c r="I6386" i="1"/>
  <c r="F6386" i="1"/>
  <c r="I6385" i="1"/>
  <c r="F6385" i="1"/>
  <c r="I6384" i="1"/>
  <c r="F6384" i="1"/>
  <c r="I6383" i="1"/>
  <c r="F6383" i="1"/>
  <c r="I6382" i="1"/>
  <c r="F6382" i="1"/>
  <c r="I6381" i="1"/>
  <c r="F6381" i="1"/>
  <c r="I6380" i="1"/>
  <c r="F6380" i="1"/>
  <c r="I6379" i="1"/>
  <c r="F6379" i="1"/>
  <c r="I6378" i="1"/>
  <c r="F6378" i="1"/>
  <c r="I6377" i="1"/>
  <c r="F6377" i="1"/>
  <c r="I6376" i="1"/>
  <c r="F6376" i="1"/>
  <c r="I6375" i="1"/>
  <c r="F6375" i="1"/>
  <c r="I6374" i="1"/>
  <c r="F6374" i="1"/>
  <c r="I6373" i="1"/>
  <c r="F6373" i="1"/>
  <c r="I6372" i="1"/>
  <c r="F6372" i="1"/>
  <c r="I6371" i="1"/>
  <c r="F6371" i="1"/>
  <c r="I6370" i="1"/>
  <c r="F6370" i="1"/>
  <c r="I6369" i="1"/>
  <c r="F6369" i="1"/>
  <c r="I6368" i="1"/>
  <c r="F6368" i="1"/>
  <c r="I6367" i="1"/>
  <c r="F6367" i="1"/>
  <c r="I6366" i="1"/>
  <c r="F6366" i="1"/>
  <c r="I6365" i="1"/>
  <c r="F6365" i="1"/>
  <c r="I6364" i="1"/>
  <c r="F6364" i="1"/>
  <c r="I6363" i="1"/>
  <c r="F6363" i="1"/>
  <c r="I6362" i="1"/>
  <c r="F6362" i="1"/>
  <c r="I6361" i="1"/>
  <c r="F6361" i="1"/>
  <c r="I6360" i="1"/>
  <c r="F6360" i="1"/>
  <c r="I6359" i="1"/>
  <c r="F6359" i="1"/>
  <c r="I6358" i="1"/>
  <c r="F6358" i="1"/>
  <c r="I6357" i="1"/>
  <c r="F6357" i="1"/>
  <c r="I6356" i="1"/>
  <c r="F6356" i="1"/>
  <c r="I6355" i="1"/>
  <c r="F6355" i="1"/>
  <c r="I6354" i="1"/>
  <c r="F6354" i="1"/>
  <c r="I6353" i="1"/>
  <c r="F6353" i="1"/>
  <c r="I6352" i="1"/>
  <c r="F6352" i="1"/>
  <c r="I6351" i="1"/>
  <c r="F6351" i="1"/>
  <c r="I6350" i="1"/>
  <c r="F6350" i="1"/>
  <c r="I6349" i="1"/>
  <c r="F6349" i="1"/>
  <c r="I6348" i="1"/>
  <c r="F6348" i="1"/>
  <c r="I6347" i="1"/>
  <c r="F6347" i="1"/>
  <c r="I6346" i="1"/>
  <c r="F6346" i="1"/>
  <c r="I6345" i="1"/>
  <c r="F6345" i="1"/>
  <c r="I6344" i="1"/>
  <c r="F6344" i="1"/>
  <c r="I6343" i="1"/>
  <c r="F6343" i="1"/>
  <c r="I6342" i="1"/>
  <c r="F6342" i="1"/>
  <c r="I6341" i="1"/>
  <c r="F6341" i="1"/>
  <c r="I6340" i="1"/>
  <c r="F6340" i="1"/>
  <c r="I6339" i="1"/>
  <c r="F6339" i="1"/>
  <c r="I6338" i="1"/>
  <c r="F6338" i="1"/>
  <c r="I6337" i="1"/>
  <c r="F6337" i="1"/>
  <c r="I6336" i="1"/>
  <c r="F6336" i="1"/>
  <c r="I6335" i="1"/>
  <c r="F6335" i="1"/>
  <c r="I6334" i="1"/>
  <c r="F6334" i="1"/>
  <c r="I6333" i="1"/>
  <c r="F6333" i="1"/>
  <c r="I6332" i="1"/>
  <c r="F6332" i="1"/>
  <c r="I6331" i="1"/>
  <c r="F6331" i="1"/>
  <c r="I6330" i="1"/>
  <c r="F6330" i="1"/>
  <c r="I6329" i="1"/>
  <c r="F6329" i="1"/>
  <c r="I6328" i="1"/>
  <c r="F6328" i="1"/>
  <c r="I6327" i="1"/>
  <c r="F6327" i="1"/>
  <c r="I6326" i="1"/>
  <c r="F6326" i="1"/>
  <c r="I6325" i="1"/>
  <c r="F6325" i="1"/>
  <c r="I6324" i="1"/>
  <c r="F6324" i="1"/>
  <c r="I6323" i="1"/>
  <c r="F6323" i="1"/>
  <c r="I6322" i="1"/>
  <c r="F6322" i="1"/>
  <c r="I6321" i="1"/>
  <c r="F6321" i="1"/>
  <c r="I6320" i="1"/>
  <c r="F6320" i="1"/>
  <c r="I6319" i="1"/>
  <c r="F6319" i="1"/>
  <c r="I6318" i="1"/>
  <c r="F6318" i="1"/>
  <c r="I6317" i="1"/>
  <c r="F6317" i="1"/>
  <c r="I6316" i="1"/>
  <c r="F6316" i="1"/>
  <c r="I6315" i="1"/>
  <c r="F6315" i="1"/>
  <c r="I6314" i="1"/>
  <c r="F6314" i="1"/>
  <c r="I6313" i="1"/>
  <c r="F6313" i="1"/>
  <c r="I6312" i="1"/>
  <c r="F6312" i="1"/>
  <c r="I6311" i="1"/>
  <c r="F6311" i="1"/>
  <c r="I6310" i="1"/>
  <c r="F6310" i="1"/>
  <c r="I6309" i="1"/>
  <c r="F6309" i="1"/>
  <c r="I6308" i="1"/>
  <c r="F6308" i="1"/>
  <c r="I6307" i="1"/>
  <c r="F6307" i="1"/>
  <c r="I6306" i="1"/>
  <c r="F6306" i="1"/>
  <c r="I6305" i="1"/>
  <c r="F6305" i="1"/>
  <c r="I6304" i="1"/>
  <c r="F6304" i="1"/>
  <c r="I6303" i="1"/>
  <c r="F6303" i="1"/>
  <c r="I6302" i="1"/>
  <c r="F6302" i="1"/>
  <c r="I6301" i="1"/>
  <c r="F6301" i="1"/>
  <c r="I6300" i="1"/>
  <c r="F6300" i="1"/>
  <c r="I6299" i="1"/>
  <c r="F6299" i="1"/>
  <c r="I6298" i="1"/>
  <c r="F6298" i="1"/>
  <c r="I6297" i="1"/>
  <c r="F6297" i="1"/>
  <c r="I6296" i="1"/>
  <c r="F6296" i="1"/>
  <c r="I6295" i="1"/>
  <c r="F6295" i="1"/>
  <c r="I6294" i="1"/>
  <c r="F6294" i="1"/>
  <c r="I6293" i="1"/>
  <c r="F6293" i="1"/>
  <c r="I6292" i="1"/>
  <c r="F6292" i="1"/>
  <c r="I6291" i="1"/>
  <c r="F6291" i="1"/>
  <c r="I6290" i="1"/>
  <c r="F6290" i="1"/>
  <c r="I6289" i="1"/>
  <c r="F6289" i="1"/>
  <c r="I6288" i="1"/>
  <c r="F6288" i="1"/>
  <c r="I6287" i="1"/>
  <c r="F6287" i="1"/>
  <c r="I6286" i="1"/>
  <c r="F6286" i="1"/>
  <c r="I6285" i="1"/>
  <c r="F6285" i="1"/>
  <c r="I6284" i="1"/>
  <c r="F6284" i="1"/>
  <c r="I6283" i="1"/>
  <c r="F6283" i="1"/>
  <c r="I6282" i="1"/>
  <c r="F6282" i="1"/>
  <c r="I6281" i="1"/>
  <c r="F6281" i="1"/>
  <c r="I6280" i="1"/>
  <c r="F6280" i="1"/>
  <c r="I6279" i="1"/>
  <c r="F6279" i="1"/>
  <c r="I6278" i="1"/>
  <c r="F6278" i="1"/>
  <c r="I6277" i="1"/>
  <c r="F6277" i="1"/>
  <c r="I6276" i="1"/>
  <c r="F6276" i="1"/>
  <c r="I6275" i="1"/>
  <c r="F6275" i="1"/>
  <c r="I6274" i="1"/>
  <c r="F6274" i="1"/>
  <c r="I6273" i="1"/>
  <c r="F6273" i="1"/>
  <c r="I6272" i="1"/>
  <c r="F6272" i="1"/>
  <c r="I6271" i="1"/>
  <c r="F6271" i="1"/>
  <c r="I6270" i="1"/>
  <c r="F6270" i="1"/>
  <c r="I6269" i="1"/>
  <c r="F6269" i="1"/>
  <c r="I6268" i="1"/>
  <c r="F6268" i="1"/>
  <c r="I6267" i="1"/>
  <c r="F6267" i="1"/>
  <c r="I6266" i="1"/>
  <c r="F6266" i="1"/>
  <c r="I6265" i="1"/>
  <c r="F6265" i="1"/>
  <c r="I6264" i="1"/>
  <c r="F6264" i="1"/>
  <c r="I6263" i="1"/>
  <c r="F6263" i="1"/>
  <c r="I6262" i="1"/>
  <c r="F6262" i="1"/>
  <c r="I6261" i="1"/>
  <c r="F6261" i="1"/>
  <c r="I6260" i="1"/>
  <c r="F6260" i="1"/>
  <c r="I6259" i="1"/>
  <c r="F6259" i="1"/>
  <c r="I6258" i="1"/>
  <c r="F6258" i="1"/>
  <c r="I6257" i="1"/>
  <c r="F6257" i="1"/>
  <c r="I6256" i="1"/>
  <c r="F6256" i="1"/>
  <c r="I6255" i="1"/>
  <c r="F6255" i="1"/>
  <c r="I6254" i="1"/>
  <c r="F6254" i="1"/>
  <c r="I6253" i="1"/>
  <c r="F6253" i="1"/>
  <c r="I6252" i="1"/>
  <c r="F6252" i="1"/>
  <c r="I6251" i="1"/>
  <c r="F6251" i="1"/>
  <c r="I6250" i="1"/>
  <c r="F6250" i="1"/>
  <c r="I6249" i="1"/>
  <c r="F6249" i="1"/>
  <c r="I6248" i="1"/>
  <c r="F6248" i="1"/>
  <c r="I6247" i="1"/>
  <c r="F6247" i="1"/>
  <c r="I6246" i="1"/>
  <c r="F6246" i="1"/>
  <c r="I6245" i="1"/>
  <c r="F6245" i="1"/>
  <c r="I6244" i="1"/>
  <c r="F6244" i="1"/>
  <c r="I6243" i="1"/>
  <c r="F6243" i="1"/>
  <c r="I6242" i="1"/>
  <c r="F6242" i="1"/>
  <c r="I6241" i="1"/>
  <c r="F6241" i="1"/>
  <c r="I6240" i="1"/>
  <c r="F6240" i="1"/>
  <c r="I6239" i="1"/>
  <c r="F6239" i="1"/>
  <c r="I6238" i="1"/>
  <c r="F6238" i="1"/>
  <c r="I6237" i="1"/>
  <c r="F6237" i="1"/>
  <c r="I6236" i="1"/>
  <c r="F6236" i="1"/>
  <c r="I6235" i="1"/>
  <c r="F6235" i="1"/>
  <c r="I6234" i="1"/>
  <c r="F6234" i="1"/>
  <c r="I6233" i="1"/>
  <c r="F6233" i="1"/>
  <c r="I6232" i="1"/>
  <c r="F6232" i="1"/>
  <c r="I6231" i="1"/>
  <c r="F6231" i="1"/>
  <c r="I6230" i="1"/>
  <c r="F6230" i="1"/>
  <c r="I6229" i="1"/>
  <c r="F6229" i="1"/>
  <c r="I6228" i="1"/>
  <c r="F6228" i="1"/>
  <c r="I6227" i="1"/>
  <c r="F6227" i="1"/>
  <c r="I6226" i="1"/>
  <c r="F6226" i="1"/>
  <c r="I6225" i="1"/>
  <c r="F6225" i="1"/>
  <c r="I6224" i="1"/>
  <c r="F6224" i="1"/>
  <c r="I6223" i="1"/>
  <c r="F6223" i="1"/>
  <c r="I6222" i="1"/>
  <c r="F6222" i="1"/>
  <c r="I6221" i="1"/>
  <c r="F6221" i="1"/>
  <c r="I6220" i="1"/>
  <c r="F6220" i="1"/>
  <c r="I6219" i="1"/>
  <c r="F6219" i="1"/>
  <c r="I6218" i="1"/>
  <c r="F6218" i="1"/>
  <c r="I6217" i="1"/>
  <c r="F6217" i="1"/>
  <c r="I6216" i="1"/>
  <c r="F6216" i="1"/>
  <c r="I6215" i="1"/>
  <c r="F6215" i="1"/>
  <c r="I6214" i="1"/>
  <c r="F6214" i="1"/>
  <c r="I6213" i="1"/>
  <c r="F6213" i="1"/>
  <c r="I6212" i="1"/>
  <c r="F6212" i="1"/>
  <c r="I6211" i="1"/>
  <c r="F6211" i="1"/>
  <c r="I6210" i="1"/>
  <c r="F6210" i="1"/>
  <c r="I6209" i="1"/>
  <c r="F6209" i="1"/>
  <c r="I6208" i="1"/>
  <c r="F6208" i="1"/>
  <c r="I6207" i="1"/>
  <c r="F6207" i="1"/>
  <c r="I6206" i="1"/>
  <c r="F6206" i="1"/>
  <c r="I6205" i="1"/>
  <c r="F6205" i="1"/>
  <c r="I6204" i="1"/>
  <c r="F6204" i="1"/>
  <c r="I6203" i="1"/>
  <c r="F6203" i="1"/>
  <c r="I6202" i="1"/>
  <c r="F6202" i="1"/>
  <c r="I6201" i="1"/>
  <c r="F6201" i="1"/>
  <c r="I6200" i="1"/>
  <c r="F6200" i="1"/>
  <c r="I6199" i="1"/>
  <c r="F6199" i="1"/>
  <c r="I6198" i="1"/>
  <c r="F6198" i="1"/>
  <c r="I6197" i="1"/>
  <c r="F6197" i="1"/>
  <c r="I6196" i="1"/>
  <c r="F6196" i="1"/>
  <c r="I6195" i="1"/>
  <c r="F6195" i="1"/>
  <c r="I6194" i="1"/>
  <c r="F6194" i="1"/>
  <c r="I6193" i="1"/>
  <c r="F6193" i="1"/>
  <c r="I6192" i="1"/>
  <c r="F6192" i="1"/>
  <c r="I6191" i="1"/>
  <c r="F6191" i="1"/>
  <c r="I6190" i="1"/>
  <c r="F6190" i="1"/>
  <c r="I6189" i="1"/>
  <c r="F6189" i="1"/>
  <c r="I6188" i="1"/>
  <c r="F6188" i="1"/>
  <c r="I6187" i="1"/>
  <c r="F6187" i="1"/>
  <c r="I6186" i="1"/>
  <c r="F6186" i="1"/>
  <c r="I6185" i="1"/>
  <c r="F6185" i="1"/>
  <c r="I6184" i="1"/>
  <c r="F6184" i="1"/>
  <c r="I6183" i="1"/>
  <c r="F6183" i="1"/>
  <c r="I6182" i="1"/>
  <c r="F6182" i="1"/>
  <c r="I6181" i="1"/>
  <c r="F6181" i="1"/>
  <c r="I6180" i="1"/>
  <c r="F6180" i="1"/>
  <c r="I6179" i="1"/>
  <c r="F6179" i="1"/>
  <c r="I6178" i="1"/>
  <c r="F6178" i="1"/>
  <c r="I6177" i="1"/>
  <c r="F6177" i="1"/>
  <c r="I6176" i="1"/>
  <c r="F6176" i="1"/>
  <c r="I6175" i="1"/>
  <c r="F6175" i="1"/>
  <c r="I6174" i="1"/>
  <c r="F6174" i="1"/>
  <c r="I6173" i="1"/>
  <c r="F6173" i="1"/>
  <c r="I6172" i="1"/>
  <c r="F6172" i="1"/>
  <c r="I6171" i="1"/>
  <c r="F6171" i="1"/>
  <c r="I6170" i="1"/>
  <c r="F6170" i="1"/>
  <c r="I6169" i="1"/>
  <c r="F6169" i="1"/>
  <c r="I6168" i="1"/>
  <c r="F6168" i="1"/>
  <c r="I6167" i="1"/>
  <c r="F6167" i="1"/>
  <c r="I6166" i="1"/>
  <c r="F6166" i="1"/>
  <c r="I6165" i="1"/>
  <c r="F6165" i="1"/>
  <c r="I6164" i="1"/>
  <c r="F6164" i="1"/>
  <c r="I6163" i="1"/>
  <c r="F6163" i="1"/>
  <c r="I6162" i="1"/>
  <c r="F6162" i="1"/>
  <c r="I6161" i="1"/>
  <c r="F6161" i="1"/>
  <c r="I6160" i="1"/>
  <c r="F6160" i="1"/>
  <c r="I6159" i="1"/>
  <c r="F6159" i="1"/>
  <c r="I6158" i="1"/>
  <c r="F6158" i="1"/>
  <c r="I6157" i="1"/>
  <c r="F6157" i="1"/>
  <c r="I6156" i="1"/>
  <c r="F6156" i="1"/>
  <c r="I6155" i="1"/>
  <c r="F6155" i="1"/>
  <c r="I6154" i="1"/>
  <c r="F6154" i="1"/>
  <c r="I6153" i="1"/>
  <c r="F6153" i="1"/>
  <c r="I6152" i="1"/>
  <c r="F6152" i="1"/>
  <c r="I6151" i="1"/>
  <c r="F6151" i="1"/>
  <c r="I6150" i="1"/>
  <c r="F6150" i="1"/>
  <c r="I6149" i="1"/>
  <c r="F6149" i="1"/>
  <c r="I6148" i="1"/>
  <c r="F6148" i="1"/>
  <c r="I6147" i="1"/>
  <c r="F6147" i="1"/>
  <c r="I6146" i="1"/>
  <c r="F6146" i="1"/>
  <c r="I6145" i="1"/>
  <c r="F6145" i="1"/>
  <c r="I6144" i="1"/>
  <c r="F6144" i="1"/>
  <c r="I6143" i="1"/>
  <c r="F6143" i="1"/>
  <c r="I6142" i="1"/>
  <c r="F6142" i="1"/>
  <c r="I6141" i="1"/>
  <c r="F6141" i="1"/>
  <c r="I6140" i="1"/>
  <c r="F6140" i="1"/>
  <c r="I6139" i="1"/>
  <c r="F6139" i="1"/>
  <c r="I6138" i="1"/>
  <c r="F6138" i="1"/>
  <c r="I6137" i="1"/>
  <c r="F6137" i="1"/>
  <c r="I6136" i="1"/>
  <c r="F6136" i="1"/>
  <c r="I6135" i="1"/>
  <c r="F6135" i="1"/>
  <c r="I6134" i="1"/>
  <c r="F6134" i="1"/>
  <c r="I6133" i="1"/>
  <c r="F6133" i="1"/>
  <c r="I6132" i="1"/>
  <c r="F6132" i="1"/>
  <c r="I6131" i="1"/>
  <c r="F6131" i="1"/>
  <c r="I6130" i="1"/>
  <c r="F6130" i="1"/>
  <c r="I6129" i="1"/>
  <c r="F6129" i="1"/>
  <c r="I6128" i="1"/>
  <c r="F6128" i="1"/>
  <c r="I6127" i="1"/>
  <c r="F6127" i="1"/>
  <c r="I6126" i="1"/>
  <c r="F6126" i="1"/>
  <c r="I6125" i="1"/>
  <c r="F6125" i="1"/>
  <c r="I6124" i="1"/>
  <c r="F6124" i="1"/>
  <c r="I6123" i="1"/>
  <c r="F6123" i="1"/>
  <c r="I6122" i="1"/>
  <c r="F6122" i="1"/>
  <c r="I6121" i="1"/>
  <c r="F6121" i="1"/>
  <c r="I6120" i="1"/>
  <c r="F6120" i="1"/>
  <c r="I6119" i="1"/>
  <c r="F6119" i="1"/>
  <c r="I6118" i="1"/>
  <c r="F6118" i="1"/>
  <c r="I6117" i="1"/>
  <c r="F6117" i="1"/>
  <c r="I6116" i="1"/>
  <c r="F6116" i="1"/>
  <c r="I6115" i="1"/>
  <c r="F6115" i="1"/>
  <c r="I6114" i="1"/>
  <c r="F6114" i="1"/>
  <c r="I6113" i="1"/>
  <c r="F6113" i="1"/>
  <c r="I6112" i="1"/>
  <c r="F6112" i="1"/>
  <c r="I6111" i="1"/>
  <c r="F6111" i="1"/>
  <c r="I6110" i="1"/>
  <c r="F6110" i="1"/>
  <c r="I6109" i="1"/>
  <c r="F6109" i="1"/>
  <c r="I6108" i="1"/>
  <c r="F6108" i="1"/>
  <c r="I6107" i="1"/>
  <c r="F6107" i="1"/>
  <c r="I6106" i="1"/>
  <c r="F6106" i="1"/>
  <c r="I6105" i="1"/>
  <c r="F6105" i="1"/>
  <c r="I6104" i="1"/>
  <c r="F6104" i="1"/>
  <c r="I6103" i="1"/>
  <c r="F6103" i="1"/>
  <c r="I6102" i="1"/>
  <c r="F6102" i="1"/>
  <c r="I6101" i="1"/>
  <c r="F6101" i="1"/>
  <c r="I6100" i="1"/>
  <c r="F6100" i="1"/>
  <c r="I6099" i="1"/>
  <c r="F6099" i="1"/>
  <c r="I6098" i="1"/>
  <c r="F6098" i="1"/>
  <c r="I6097" i="1"/>
  <c r="F6097" i="1"/>
  <c r="I6096" i="1"/>
  <c r="F6096" i="1"/>
  <c r="I6095" i="1"/>
  <c r="F6095" i="1"/>
  <c r="I6094" i="1"/>
  <c r="F6094" i="1"/>
  <c r="I6093" i="1"/>
  <c r="F6093" i="1"/>
  <c r="I6092" i="1"/>
  <c r="F6092" i="1"/>
  <c r="I6091" i="1"/>
  <c r="F6091" i="1"/>
  <c r="I6090" i="1"/>
  <c r="F6090" i="1"/>
  <c r="I6089" i="1"/>
  <c r="F6089" i="1"/>
  <c r="I6088" i="1"/>
  <c r="F6088" i="1"/>
  <c r="I6087" i="1"/>
  <c r="F6087" i="1"/>
  <c r="I6086" i="1"/>
  <c r="F6086" i="1"/>
  <c r="I6085" i="1"/>
  <c r="F6085" i="1"/>
  <c r="I6084" i="1"/>
  <c r="F6084" i="1"/>
  <c r="I6083" i="1"/>
  <c r="F6083" i="1"/>
  <c r="I6082" i="1"/>
  <c r="F6082" i="1"/>
  <c r="I6081" i="1"/>
  <c r="F6081" i="1"/>
  <c r="I6080" i="1"/>
  <c r="F6080" i="1"/>
  <c r="I6079" i="1"/>
  <c r="F6079" i="1"/>
  <c r="I6078" i="1"/>
  <c r="F6078" i="1"/>
  <c r="I6077" i="1"/>
  <c r="F6077" i="1"/>
  <c r="I6076" i="1"/>
  <c r="F6076" i="1"/>
  <c r="I6075" i="1"/>
  <c r="F6075" i="1"/>
  <c r="I6074" i="1"/>
  <c r="F6074" i="1"/>
  <c r="I6073" i="1"/>
  <c r="F6073" i="1"/>
  <c r="I6072" i="1"/>
  <c r="F6072" i="1"/>
  <c r="I6071" i="1"/>
  <c r="F6071" i="1"/>
  <c r="I6070" i="1"/>
  <c r="F6070" i="1"/>
  <c r="I6069" i="1"/>
  <c r="F6069" i="1"/>
  <c r="I6068" i="1"/>
  <c r="F6068" i="1"/>
  <c r="I6067" i="1"/>
  <c r="F6067" i="1"/>
  <c r="I6066" i="1"/>
  <c r="F6066" i="1"/>
  <c r="I6065" i="1"/>
  <c r="F6065" i="1"/>
  <c r="I6064" i="1"/>
  <c r="F6064" i="1"/>
  <c r="I6063" i="1"/>
  <c r="F6063" i="1"/>
  <c r="I6062" i="1"/>
  <c r="F6062" i="1"/>
  <c r="I6061" i="1"/>
  <c r="F6061" i="1"/>
  <c r="I6060" i="1"/>
  <c r="F6060" i="1"/>
  <c r="I6059" i="1"/>
  <c r="F6059" i="1"/>
  <c r="I6058" i="1"/>
  <c r="F6058" i="1"/>
  <c r="I6057" i="1"/>
  <c r="F6057" i="1"/>
  <c r="I6056" i="1"/>
  <c r="F6056" i="1"/>
  <c r="I6055" i="1"/>
  <c r="F6055" i="1"/>
  <c r="I6054" i="1"/>
  <c r="F6054" i="1"/>
  <c r="I6053" i="1"/>
  <c r="F6053" i="1"/>
  <c r="I6052" i="1"/>
  <c r="F6052" i="1"/>
  <c r="I6051" i="1"/>
  <c r="F6051" i="1"/>
  <c r="I6050" i="1"/>
  <c r="F6050" i="1"/>
  <c r="I6049" i="1"/>
  <c r="F6049" i="1"/>
  <c r="I6048" i="1"/>
  <c r="F6048" i="1"/>
  <c r="I6047" i="1"/>
  <c r="F6047" i="1"/>
  <c r="I6046" i="1"/>
  <c r="F6046" i="1"/>
  <c r="I6045" i="1"/>
  <c r="F6045" i="1"/>
  <c r="I6044" i="1"/>
  <c r="F6044" i="1"/>
  <c r="I6043" i="1"/>
  <c r="F6043" i="1"/>
  <c r="I6042" i="1"/>
  <c r="F6042" i="1"/>
  <c r="I6041" i="1"/>
  <c r="F6041" i="1"/>
  <c r="I6040" i="1"/>
  <c r="F6040" i="1"/>
  <c r="I6039" i="1"/>
  <c r="F6039" i="1"/>
  <c r="I6038" i="1"/>
  <c r="F6038" i="1"/>
  <c r="I6037" i="1"/>
  <c r="F6037" i="1"/>
  <c r="I6036" i="1"/>
  <c r="F6036" i="1"/>
  <c r="I6035" i="1"/>
  <c r="F6035" i="1"/>
  <c r="I6034" i="1"/>
  <c r="F6034" i="1"/>
  <c r="I6033" i="1"/>
  <c r="F6033" i="1"/>
  <c r="I6032" i="1"/>
  <c r="F6032" i="1"/>
  <c r="I6031" i="1"/>
  <c r="F6031" i="1"/>
  <c r="I6030" i="1"/>
  <c r="F6030" i="1"/>
  <c r="I6029" i="1"/>
  <c r="F6029" i="1"/>
  <c r="I6028" i="1"/>
  <c r="F6028" i="1"/>
  <c r="I6027" i="1"/>
  <c r="F6027" i="1"/>
  <c r="I6026" i="1"/>
  <c r="F6026" i="1"/>
  <c r="I6025" i="1"/>
  <c r="F6025" i="1"/>
  <c r="I6024" i="1"/>
  <c r="F6024" i="1"/>
  <c r="I6023" i="1"/>
  <c r="F6023" i="1"/>
  <c r="I6022" i="1"/>
  <c r="F6022" i="1"/>
  <c r="I6021" i="1"/>
  <c r="F6021" i="1"/>
  <c r="I6020" i="1"/>
  <c r="F6020" i="1"/>
  <c r="I6019" i="1"/>
  <c r="F6019" i="1"/>
  <c r="I6018" i="1"/>
  <c r="F6018" i="1"/>
  <c r="I6017" i="1"/>
  <c r="F6017" i="1"/>
  <c r="I6016" i="1"/>
  <c r="F6016" i="1"/>
  <c r="I6015" i="1"/>
  <c r="F6015" i="1"/>
  <c r="I6014" i="1"/>
  <c r="F6014" i="1"/>
  <c r="I6013" i="1"/>
  <c r="F6013" i="1"/>
  <c r="I6012" i="1"/>
  <c r="F6012" i="1"/>
  <c r="I6011" i="1"/>
  <c r="F6011" i="1"/>
  <c r="I6010" i="1"/>
  <c r="F6010" i="1"/>
  <c r="I6009" i="1"/>
  <c r="F6009" i="1"/>
  <c r="I6008" i="1"/>
  <c r="F6008" i="1"/>
  <c r="I6007" i="1"/>
  <c r="F6007" i="1"/>
  <c r="I6006" i="1"/>
  <c r="F6006" i="1"/>
  <c r="I6005" i="1"/>
  <c r="F6005" i="1"/>
  <c r="I6004" i="1"/>
  <c r="F6004" i="1"/>
  <c r="I6003" i="1"/>
  <c r="F6003" i="1"/>
  <c r="I6002" i="1"/>
  <c r="F6002" i="1"/>
  <c r="I6001" i="1"/>
  <c r="F6001" i="1"/>
  <c r="I6000" i="1"/>
  <c r="F6000" i="1"/>
  <c r="I5999" i="1"/>
  <c r="F5999" i="1"/>
  <c r="I5998" i="1"/>
  <c r="F5998" i="1"/>
  <c r="I5997" i="1"/>
  <c r="F5997" i="1"/>
  <c r="I5996" i="1"/>
  <c r="F5996" i="1"/>
  <c r="I5995" i="1"/>
  <c r="F5995" i="1"/>
  <c r="I5994" i="1"/>
  <c r="F5994" i="1"/>
  <c r="I5993" i="1"/>
  <c r="F5993" i="1"/>
  <c r="I5992" i="1"/>
  <c r="F5992" i="1"/>
  <c r="I5991" i="1"/>
  <c r="F5991" i="1"/>
  <c r="I5990" i="1"/>
  <c r="F5990" i="1"/>
  <c r="I5989" i="1"/>
  <c r="F5989" i="1"/>
  <c r="I5988" i="1"/>
  <c r="F5988" i="1"/>
  <c r="I5987" i="1"/>
  <c r="F5987" i="1"/>
  <c r="I5986" i="1"/>
  <c r="F5986" i="1"/>
  <c r="I5985" i="1"/>
  <c r="F5985" i="1"/>
  <c r="I5984" i="1"/>
  <c r="F5984" i="1"/>
  <c r="I5983" i="1"/>
  <c r="F5983" i="1"/>
  <c r="I5982" i="1"/>
  <c r="F5982" i="1"/>
  <c r="I5981" i="1"/>
  <c r="F5981" i="1"/>
  <c r="I5980" i="1"/>
  <c r="F5980" i="1"/>
  <c r="I5979" i="1"/>
  <c r="F5979" i="1"/>
  <c r="I5978" i="1"/>
  <c r="F5978" i="1"/>
  <c r="I5977" i="1"/>
  <c r="F5977" i="1"/>
  <c r="I5976" i="1"/>
  <c r="F5976" i="1"/>
  <c r="I5975" i="1"/>
  <c r="F5975" i="1"/>
  <c r="I5974" i="1"/>
  <c r="F5974" i="1"/>
  <c r="I5973" i="1"/>
  <c r="F5973" i="1"/>
  <c r="I5972" i="1"/>
  <c r="F5972" i="1"/>
  <c r="I5971" i="1"/>
  <c r="F5971" i="1"/>
  <c r="I5970" i="1"/>
  <c r="F5970" i="1"/>
  <c r="I5969" i="1"/>
  <c r="F5969" i="1"/>
  <c r="I5968" i="1"/>
  <c r="F5968" i="1"/>
  <c r="I5967" i="1"/>
  <c r="F5967" i="1"/>
  <c r="I5966" i="1"/>
  <c r="F5966" i="1"/>
  <c r="I5965" i="1"/>
  <c r="F5965" i="1"/>
  <c r="I5964" i="1"/>
  <c r="F5964" i="1"/>
  <c r="I5963" i="1"/>
  <c r="F5963" i="1"/>
  <c r="I5962" i="1"/>
  <c r="F5962" i="1"/>
  <c r="I5961" i="1"/>
  <c r="F5961" i="1"/>
  <c r="I5960" i="1"/>
  <c r="F5960" i="1"/>
  <c r="I5959" i="1"/>
  <c r="F5959" i="1"/>
  <c r="I5958" i="1"/>
  <c r="F5958" i="1"/>
  <c r="I5957" i="1"/>
  <c r="F5957" i="1"/>
  <c r="I5956" i="1"/>
  <c r="F5956" i="1"/>
  <c r="I5955" i="1"/>
  <c r="F5955" i="1"/>
  <c r="I5954" i="1"/>
  <c r="F5954" i="1"/>
  <c r="I5953" i="1"/>
  <c r="F5953" i="1"/>
  <c r="I5952" i="1"/>
  <c r="F5952" i="1"/>
  <c r="I5951" i="1"/>
  <c r="F5951" i="1"/>
  <c r="I5950" i="1"/>
  <c r="F5950" i="1"/>
  <c r="I5949" i="1"/>
  <c r="F5949" i="1"/>
  <c r="I5948" i="1"/>
  <c r="F5948" i="1"/>
  <c r="I5947" i="1"/>
  <c r="F5947" i="1"/>
  <c r="I5946" i="1"/>
  <c r="F5946" i="1"/>
  <c r="I5945" i="1"/>
  <c r="F5945" i="1"/>
  <c r="I5944" i="1"/>
  <c r="F5944" i="1"/>
  <c r="I5943" i="1"/>
  <c r="F5943" i="1"/>
  <c r="I5942" i="1"/>
  <c r="F5942" i="1"/>
  <c r="I5941" i="1"/>
  <c r="F5941" i="1"/>
  <c r="I5940" i="1"/>
  <c r="F5940" i="1"/>
  <c r="I5939" i="1"/>
  <c r="F5939" i="1"/>
  <c r="I5938" i="1"/>
  <c r="F5938" i="1"/>
  <c r="I5937" i="1"/>
  <c r="F5937" i="1"/>
  <c r="I5936" i="1"/>
  <c r="F5936" i="1"/>
  <c r="I5935" i="1"/>
  <c r="F5935" i="1"/>
  <c r="I5934" i="1"/>
  <c r="F5934" i="1"/>
  <c r="I5933" i="1"/>
  <c r="F5933" i="1"/>
  <c r="I5932" i="1"/>
  <c r="F5932" i="1"/>
  <c r="I5931" i="1"/>
  <c r="F5931" i="1"/>
  <c r="I5930" i="1"/>
  <c r="F5930" i="1"/>
  <c r="I5929" i="1"/>
  <c r="F5929" i="1"/>
  <c r="I5928" i="1"/>
  <c r="F5928" i="1"/>
  <c r="I5927" i="1"/>
  <c r="F5927" i="1"/>
  <c r="I5926" i="1"/>
  <c r="F5926" i="1"/>
  <c r="I5925" i="1"/>
  <c r="F5925" i="1"/>
  <c r="I5924" i="1"/>
  <c r="F5924" i="1"/>
  <c r="I5923" i="1"/>
  <c r="F5923" i="1"/>
  <c r="I5922" i="1"/>
  <c r="F5922" i="1"/>
  <c r="I5921" i="1"/>
  <c r="F5921" i="1"/>
  <c r="I5920" i="1"/>
  <c r="F5920" i="1"/>
  <c r="I5919" i="1"/>
  <c r="F5919" i="1"/>
  <c r="I5918" i="1"/>
  <c r="F5918" i="1"/>
  <c r="I5917" i="1"/>
  <c r="F5917" i="1"/>
  <c r="I5916" i="1"/>
  <c r="F5916" i="1"/>
  <c r="I5915" i="1"/>
  <c r="F5915" i="1"/>
  <c r="I5914" i="1"/>
  <c r="F5914" i="1"/>
  <c r="I5913" i="1"/>
  <c r="F5913" i="1"/>
  <c r="I5912" i="1"/>
  <c r="F5912" i="1"/>
  <c r="I5911" i="1"/>
  <c r="F5911" i="1"/>
  <c r="I5910" i="1"/>
  <c r="F5910" i="1"/>
  <c r="I5909" i="1"/>
  <c r="F5909" i="1"/>
  <c r="I5908" i="1"/>
  <c r="F5908" i="1"/>
  <c r="I5907" i="1"/>
  <c r="F5907" i="1"/>
  <c r="I5906" i="1"/>
  <c r="F5906" i="1"/>
  <c r="I5905" i="1"/>
  <c r="F5905" i="1"/>
  <c r="I5904" i="1"/>
  <c r="F5904" i="1"/>
  <c r="I5903" i="1"/>
  <c r="F5903" i="1"/>
  <c r="I5902" i="1"/>
  <c r="F5902" i="1"/>
  <c r="I5901" i="1"/>
  <c r="F5901" i="1"/>
  <c r="I5900" i="1"/>
  <c r="F5900" i="1"/>
  <c r="I5899" i="1"/>
  <c r="F5899" i="1"/>
  <c r="I5898" i="1"/>
  <c r="F5898" i="1"/>
  <c r="I5897" i="1"/>
  <c r="F5897" i="1"/>
  <c r="I5896" i="1"/>
  <c r="F5896" i="1"/>
  <c r="I5895" i="1"/>
  <c r="F5895" i="1"/>
  <c r="I5894" i="1"/>
  <c r="F5894" i="1"/>
  <c r="I5893" i="1"/>
  <c r="F5893" i="1"/>
  <c r="I5892" i="1"/>
  <c r="F5892" i="1"/>
  <c r="I5891" i="1"/>
  <c r="F5891" i="1"/>
  <c r="I5890" i="1"/>
  <c r="F5890" i="1"/>
  <c r="I5889" i="1"/>
  <c r="F5889" i="1"/>
  <c r="I5888" i="1"/>
  <c r="F5888" i="1"/>
  <c r="I5887" i="1"/>
  <c r="F5887" i="1"/>
  <c r="I5886" i="1"/>
  <c r="F5886" i="1"/>
  <c r="I5885" i="1"/>
  <c r="F5885" i="1"/>
  <c r="I5884" i="1"/>
  <c r="F5884" i="1"/>
  <c r="I5883" i="1"/>
  <c r="F5883" i="1"/>
  <c r="I5882" i="1"/>
  <c r="F5882" i="1"/>
  <c r="I5881" i="1"/>
  <c r="F5881" i="1"/>
  <c r="I5880" i="1"/>
  <c r="F5880" i="1"/>
  <c r="I5879" i="1"/>
  <c r="F5879" i="1"/>
  <c r="I5878" i="1"/>
  <c r="F5878" i="1"/>
  <c r="I5877" i="1"/>
  <c r="F5877" i="1"/>
  <c r="I5876" i="1"/>
  <c r="F5876" i="1"/>
  <c r="I5875" i="1"/>
  <c r="F5875" i="1"/>
  <c r="I5874" i="1"/>
  <c r="F5874" i="1"/>
  <c r="I5873" i="1"/>
  <c r="F5873" i="1"/>
  <c r="I5872" i="1"/>
  <c r="F5872" i="1"/>
  <c r="I5871" i="1"/>
  <c r="F5871" i="1"/>
  <c r="I5870" i="1"/>
  <c r="F5870" i="1"/>
  <c r="I5869" i="1"/>
  <c r="F5869" i="1"/>
  <c r="I5868" i="1"/>
  <c r="F5868" i="1"/>
  <c r="I5867" i="1"/>
  <c r="F5867" i="1"/>
  <c r="I5866" i="1"/>
  <c r="F5866" i="1"/>
  <c r="I5865" i="1"/>
  <c r="F5865" i="1"/>
  <c r="I5864" i="1"/>
  <c r="F5864" i="1"/>
  <c r="I5863" i="1"/>
  <c r="F5863" i="1"/>
  <c r="I5862" i="1"/>
  <c r="F5862" i="1"/>
  <c r="I5861" i="1"/>
  <c r="F5861" i="1"/>
  <c r="I5860" i="1"/>
  <c r="F5860" i="1"/>
  <c r="I5859" i="1"/>
  <c r="F5859" i="1"/>
  <c r="I5858" i="1"/>
  <c r="F5858" i="1"/>
  <c r="I5857" i="1"/>
  <c r="F5857" i="1"/>
  <c r="I5856" i="1"/>
  <c r="F5856" i="1"/>
  <c r="I5855" i="1"/>
  <c r="F5855" i="1"/>
  <c r="I5854" i="1"/>
  <c r="F5854" i="1"/>
  <c r="I5853" i="1"/>
  <c r="F5853" i="1"/>
  <c r="I5852" i="1"/>
  <c r="F5852" i="1"/>
  <c r="I5851" i="1"/>
  <c r="F5851" i="1"/>
  <c r="I5850" i="1"/>
  <c r="F5850" i="1"/>
  <c r="I5849" i="1"/>
  <c r="F5849" i="1"/>
  <c r="I5848" i="1"/>
  <c r="F5848" i="1"/>
  <c r="I5847" i="1"/>
  <c r="F5847" i="1"/>
  <c r="I5846" i="1"/>
  <c r="F5846" i="1"/>
  <c r="I5845" i="1"/>
  <c r="F5845" i="1"/>
  <c r="I5844" i="1"/>
  <c r="F5844" i="1"/>
  <c r="I5843" i="1"/>
  <c r="F5843" i="1"/>
  <c r="I5842" i="1"/>
  <c r="F5842" i="1"/>
  <c r="I5841" i="1"/>
  <c r="F5841" i="1"/>
  <c r="I5840" i="1"/>
  <c r="F5840" i="1"/>
  <c r="I5839" i="1"/>
  <c r="F5839" i="1"/>
  <c r="I5838" i="1"/>
  <c r="F5838" i="1"/>
  <c r="I5837" i="1"/>
  <c r="F5837" i="1"/>
  <c r="I5836" i="1"/>
  <c r="F5836" i="1"/>
  <c r="I5835" i="1"/>
  <c r="F5835" i="1"/>
  <c r="I5834" i="1"/>
  <c r="F5834" i="1"/>
  <c r="I5833" i="1"/>
  <c r="F5833" i="1"/>
  <c r="I5832" i="1"/>
  <c r="F5832" i="1"/>
  <c r="I5831" i="1"/>
  <c r="F5831" i="1"/>
  <c r="I5830" i="1"/>
  <c r="F5830" i="1"/>
  <c r="I5829" i="1"/>
  <c r="F5829" i="1"/>
  <c r="I5828" i="1"/>
  <c r="F5828" i="1"/>
  <c r="I5827" i="1"/>
  <c r="F5827" i="1"/>
  <c r="I5826" i="1"/>
  <c r="F5826" i="1"/>
  <c r="I5825" i="1"/>
  <c r="F5825" i="1"/>
  <c r="I5824" i="1"/>
  <c r="F5824" i="1"/>
  <c r="I5823" i="1"/>
  <c r="F5823" i="1"/>
  <c r="I5822" i="1"/>
  <c r="F5822" i="1"/>
  <c r="I5821" i="1"/>
  <c r="F5821" i="1"/>
  <c r="I5820" i="1"/>
  <c r="F5820" i="1"/>
  <c r="I5819" i="1"/>
  <c r="F5819" i="1"/>
  <c r="I5818" i="1"/>
  <c r="F5818" i="1"/>
  <c r="I5817" i="1"/>
  <c r="F5817" i="1"/>
  <c r="I5816" i="1"/>
  <c r="F5816" i="1"/>
  <c r="I5815" i="1"/>
  <c r="F5815" i="1"/>
  <c r="I5814" i="1"/>
  <c r="F5814" i="1"/>
  <c r="I5813" i="1"/>
  <c r="F5813" i="1"/>
  <c r="I5812" i="1"/>
  <c r="F5812" i="1"/>
  <c r="I5811" i="1"/>
  <c r="F5811" i="1"/>
  <c r="I5810" i="1"/>
  <c r="F5810" i="1"/>
  <c r="I5809" i="1"/>
  <c r="F5809" i="1"/>
  <c r="I5808" i="1"/>
  <c r="F5808" i="1"/>
  <c r="I5807" i="1"/>
  <c r="F5807" i="1"/>
  <c r="I5806" i="1"/>
  <c r="F5806" i="1"/>
  <c r="I5805" i="1"/>
  <c r="F5805" i="1"/>
  <c r="I5804" i="1"/>
  <c r="F5804" i="1"/>
  <c r="I5803" i="1"/>
  <c r="F5803" i="1"/>
  <c r="I5802" i="1"/>
  <c r="F5802" i="1"/>
  <c r="I5801" i="1"/>
  <c r="F5801" i="1"/>
  <c r="I5800" i="1"/>
  <c r="F5800" i="1"/>
  <c r="I5799" i="1"/>
  <c r="F5799" i="1"/>
  <c r="I5798" i="1"/>
  <c r="F5798" i="1"/>
  <c r="I5797" i="1"/>
  <c r="F5797" i="1"/>
  <c r="I5796" i="1"/>
  <c r="F5796" i="1"/>
  <c r="I5795" i="1"/>
  <c r="F5795" i="1"/>
  <c r="I5794" i="1"/>
  <c r="F5794" i="1"/>
  <c r="I5793" i="1"/>
  <c r="F5793" i="1"/>
  <c r="I5792" i="1"/>
  <c r="F5792" i="1"/>
  <c r="I5791" i="1"/>
  <c r="F5791" i="1"/>
  <c r="I5790" i="1"/>
  <c r="F5790" i="1"/>
  <c r="I5789" i="1"/>
  <c r="F5789" i="1"/>
  <c r="I5788" i="1"/>
  <c r="F5788" i="1"/>
  <c r="I5787" i="1"/>
  <c r="F5787" i="1"/>
  <c r="I5786" i="1"/>
  <c r="F5786" i="1"/>
  <c r="I5785" i="1"/>
  <c r="F5785" i="1"/>
  <c r="I5784" i="1"/>
  <c r="F5784" i="1"/>
  <c r="I5783" i="1"/>
  <c r="F5783" i="1"/>
  <c r="I5782" i="1"/>
  <c r="F5782" i="1"/>
  <c r="I5781" i="1"/>
  <c r="F5781" i="1"/>
  <c r="I5780" i="1"/>
  <c r="F5780" i="1"/>
  <c r="I5779" i="1"/>
  <c r="F5779" i="1"/>
  <c r="I5778" i="1"/>
  <c r="F5778" i="1"/>
  <c r="I5777" i="1"/>
  <c r="F5777" i="1"/>
  <c r="I5776" i="1"/>
  <c r="F5776" i="1"/>
  <c r="I5775" i="1"/>
  <c r="F5775" i="1"/>
  <c r="I5774" i="1"/>
  <c r="F5774" i="1"/>
  <c r="I5773" i="1"/>
  <c r="F5773" i="1"/>
  <c r="I5772" i="1"/>
  <c r="F5772" i="1"/>
  <c r="I5771" i="1"/>
  <c r="F5771" i="1"/>
  <c r="I5770" i="1"/>
  <c r="F5770" i="1"/>
  <c r="I5769" i="1"/>
  <c r="F5769" i="1"/>
  <c r="I5768" i="1"/>
  <c r="F5768" i="1"/>
  <c r="I5767" i="1"/>
  <c r="F5767" i="1"/>
  <c r="I5766" i="1"/>
  <c r="F5766" i="1"/>
  <c r="I5765" i="1"/>
  <c r="F5765" i="1"/>
  <c r="I5764" i="1"/>
  <c r="F5764" i="1"/>
  <c r="I5763" i="1"/>
  <c r="F5763" i="1"/>
  <c r="I5762" i="1"/>
  <c r="F5762" i="1"/>
  <c r="I5761" i="1"/>
  <c r="F5761" i="1"/>
  <c r="I5760" i="1"/>
  <c r="F5760" i="1"/>
  <c r="I5759" i="1"/>
  <c r="F5759" i="1"/>
  <c r="I5758" i="1"/>
  <c r="F5758" i="1"/>
  <c r="I5757" i="1"/>
  <c r="F5757" i="1"/>
  <c r="I5756" i="1"/>
  <c r="F5756" i="1"/>
  <c r="I5755" i="1"/>
  <c r="F5755" i="1"/>
  <c r="I5754" i="1"/>
  <c r="F5754" i="1"/>
  <c r="I5753" i="1"/>
  <c r="F5753" i="1"/>
  <c r="I5752" i="1"/>
  <c r="F5752" i="1"/>
  <c r="I5751" i="1"/>
  <c r="F5751" i="1"/>
  <c r="I5750" i="1"/>
  <c r="F5750" i="1"/>
  <c r="I5749" i="1"/>
  <c r="F5749" i="1"/>
  <c r="I5748" i="1"/>
  <c r="F5748" i="1"/>
  <c r="I5747" i="1"/>
  <c r="F5747" i="1"/>
  <c r="I5746" i="1"/>
  <c r="F5746" i="1"/>
  <c r="I5745" i="1"/>
  <c r="F5745" i="1"/>
  <c r="I5744" i="1"/>
  <c r="F5744" i="1"/>
  <c r="I5743" i="1"/>
  <c r="F5743" i="1"/>
  <c r="I5742" i="1"/>
  <c r="F5742" i="1"/>
  <c r="I5741" i="1"/>
  <c r="F5741" i="1"/>
  <c r="I5740" i="1"/>
  <c r="F5740" i="1"/>
  <c r="I5739" i="1"/>
  <c r="F5739" i="1"/>
  <c r="I5738" i="1"/>
  <c r="F5738" i="1"/>
  <c r="I5737" i="1"/>
  <c r="F5737" i="1"/>
  <c r="I5736" i="1"/>
  <c r="F5736" i="1"/>
  <c r="I5735" i="1"/>
  <c r="F5735" i="1"/>
  <c r="I5734" i="1"/>
  <c r="F5734" i="1"/>
  <c r="I5733" i="1"/>
  <c r="F5733" i="1"/>
  <c r="I5732" i="1"/>
  <c r="F5732" i="1"/>
  <c r="I5731" i="1"/>
  <c r="F5731" i="1"/>
  <c r="I5730" i="1"/>
  <c r="F5730" i="1"/>
  <c r="I5729" i="1"/>
  <c r="F5729" i="1"/>
  <c r="I5728" i="1"/>
  <c r="F5728" i="1"/>
  <c r="I5727" i="1"/>
  <c r="F5727" i="1"/>
  <c r="I5726" i="1"/>
  <c r="F5726" i="1"/>
  <c r="I5725" i="1"/>
  <c r="F5725" i="1"/>
  <c r="I5724" i="1"/>
  <c r="F5724" i="1"/>
  <c r="I5723" i="1"/>
  <c r="F5723" i="1"/>
  <c r="I5722" i="1"/>
  <c r="F5722" i="1"/>
  <c r="I5721" i="1"/>
  <c r="F5721" i="1"/>
  <c r="I5720" i="1"/>
  <c r="F5720" i="1"/>
  <c r="I5719" i="1"/>
  <c r="F5719" i="1"/>
  <c r="I5718" i="1"/>
  <c r="F5718" i="1"/>
  <c r="I5717" i="1"/>
  <c r="F5717" i="1"/>
  <c r="I5716" i="1"/>
  <c r="F5716" i="1"/>
  <c r="I5715" i="1"/>
  <c r="F5715" i="1"/>
  <c r="I5714" i="1"/>
  <c r="F5714" i="1"/>
  <c r="I5713" i="1"/>
  <c r="F5713" i="1"/>
  <c r="I5712" i="1"/>
  <c r="F5712" i="1"/>
  <c r="I5711" i="1"/>
  <c r="F5711" i="1"/>
  <c r="I5710" i="1"/>
  <c r="F5710" i="1"/>
  <c r="I5709" i="1"/>
  <c r="F5709" i="1"/>
  <c r="I5708" i="1"/>
  <c r="F5708" i="1"/>
  <c r="I5707" i="1"/>
  <c r="F5707" i="1"/>
  <c r="I5706" i="1"/>
  <c r="F5706" i="1"/>
  <c r="I5705" i="1"/>
  <c r="F5705" i="1"/>
  <c r="I5704" i="1"/>
  <c r="F5704" i="1"/>
  <c r="I5703" i="1"/>
  <c r="F5703" i="1"/>
  <c r="I5702" i="1"/>
  <c r="F5702" i="1"/>
  <c r="I5701" i="1"/>
  <c r="F5701" i="1"/>
  <c r="I5700" i="1"/>
  <c r="F5700" i="1"/>
  <c r="I5699" i="1"/>
  <c r="F5699" i="1"/>
  <c r="I5698" i="1"/>
  <c r="F5698" i="1"/>
  <c r="I5697" i="1"/>
  <c r="F5697" i="1"/>
  <c r="I5696" i="1"/>
  <c r="F5696" i="1"/>
  <c r="I5695" i="1"/>
  <c r="F5695" i="1"/>
  <c r="I5694" i="1"/>
  <c r="F5694" i="1"/>
  <c r="I5693" i="1"/>
  <c r="F5693" i="1"/>
  <c r="I5692" i="1"/>
  <c r="F5692" i="1"/>
  <c r="I5691" i="1"/>
  <c r="F5691" i="1"/>
  <c r="I5690" i="1"/>
  <c r="F5690" i="1"/>
  <c r="I5689" i="1"/>
  <c r="F5689" i="1"/>
  <c r="I5688" i="1"/>
  <c r="F5688" i="1"/>
  <c r="I5687" i="1"/>
  <c r="F5687" i="1"/>
  <c r="I5686" i="1"/>
  <c r="F5686" i="1"/>
  <c r="I5685" i="1"/>
  <c r="F5685" i="1"/>
  <c r="I5684" i="1"/>
  <c r="F5684" i="1"/>
  <c r="I5683" i="1"/>
  <c r="F5683" i="1"/>
  <c r="I5682" i="1"/>
  <c r="F5682" i="1"/>
  <c r="I5681" i="1"/>
  <c r="F5681" i="1"/>
  <c r="I5680" i="1"/>
  <c r="F5680" i="1"/>
  <c r="I5679" i="1"/>
  <c r="F5679" i="1"/>
  <c r="I5678" i="1"/>
  <c r="F5678" i="1"/>
  <c r="I5677" i="1"/>
  <c r="F5677" i="1"/>
  <c r="I5676" i="1"/>
  <c r="F5676" i="1"/>
  <c r="I5675" i="1"/>
  <c r="F5675" i="1"/>
  <c r="I5674" i="1"/>
  <c r="F5674" i="1"/>
  <c r="I5673" i="1"/>
  <c r="F5673" i="1"/>
  <c r="I5672" i="1"/>
  <c r="F5672" i="1"/>
  <c r="I5671" i="1"/>
  <c r="F5671" i="1"/>
  <c r="I5670" i="1"/>
  <c r="F5670" i="1"/>
  <c r="I5669" i="1"/>
  <c r="F5669" i="1"/>
  <c r="I5668" i="1"/>
  <c r="F5668" i="1"/>
  <c r="I5667" i="1"/>
  <c r="F5667" i="1"/>
  <c r="I5666" i="1"/>
  <c r="F5666" i="1"/>
  <c r="I5665" i="1"/>
  <c r="F5665" i="1"/>
  <c r="I5664" i="1"/>
  <c r="F5664" i="1"/>
  <c r="I5663" i="1"/>
  <c r="F5663" i="1"/>
  <c r="I5662" i="1"/>
  <c r="F5662" i="1"/>
  <c r="I5661" i="1"/>
  <c r="F5661" i="1"/>
  <c r="I5660" i="1"/>
  <c r="F5660" i="1"/>
  <c r="I5659" i="1"/>
  <c r="F5659" i="1"/>
  <c r="I5658" i="1"/>
  <c r="F5658" i="1"/>
  <c r="I5657" i="1"/>
  <c r="F5657" i="1"/>
  <c r="I5656" i="1"/>
  <c r="F5656" i="1"/>
  <c r="I5655" i="1"/>
  <c r="F5655" i="1"/>
  <c r="I5654" i="1"/>
  <c r="F5654" i="1"/>
  <c r="I5653" i="1"/>
  <c r="F5653" i="1"/>
  <c r="I5652" i="1"/>
  <c r="F5652" i="1"/>
  <c r="I5651" i="1"/>
  <c r="F5651" i="1"/>
  <c r="I5650" i="1"/>
  <c r="F5650" i="1"/>
  <c r="I5649" i="1"/>
  <c r="F5649" i="1"/>
  <c r="I5648" i="1"/>
  <c r="F5648" i="1"/>
  <c r="I5647" i="1"/>
  <c r="F5647" i="1"/>
  <c r="I5646" i="1"/>
  <c r="F5646" i="1"/>
  <c r="I5645" i="1"/>
  <c r="F5645" i="1"/>
  <c r="I5644" i="1"/>
  <c r="F5644" i="1"/>
  <c r="I5643" i="1"/>
  <c r="F5643" i="1"/>
  <c r="I5642" i="1"/>
  <c r="F5642" i="1"/>
  <c r="I5641" i="1"/>
  <c r="F5641" i="1"/>
  <c r="I5640" i="1"/>
  <c r="F5640" i="1"/>
  <c r="I5639" i="1"/>
  <c r="F5639" i="1"/>
  <c r="I5638" i="1"/>
  <c r="F5638" i="1"/>
  <c r="I5637" i="1"/>
  <c r="F5637" i="1"/>
  <c r="I5636" i="1"/>
  <c r="F5636" i="1"/>
  <c r="I5635" i="1"/>
  <c r="F5635" i="1"/>
  <c r="I5634" i="1"/>
  <c r="F5634" i="1"/>
  <c r="I5633" i="1"/>
  <c r="F5633" i="1"/>
  <c r="I5632" i="1"/>
  <c r="F5632" i="1"/>
  <c r="I5631" i="1"/>
  <c r="F5631" i="1"/>
  <c r="I5630" i="1"/>
  <c r="F5630" i="1"/>
  <c r="I5629" i="1"/>
  <c r="F5629" i="1"/>
  <c r="I5628" i="1"/>
  <c r="F5628" i="1"/>
  <c r="I5627" i="1"/>
  <c r="F5627" i="1"/>
  <c r="I5626" i="1"/>
  <c r="F5626" i="1"/>
  <c r="I5625" i="1"/>
  <c r="F5625" i="1"/>
  <c r="I5624" i="1"/>
  <c r="F5624" i="1"/>
  <c r="I5623" i="1"/>
  <c r="F5623" i="1"/>
  <c r="I5622" i="1"/>
  <c r="F5622" i="1"/>
  <c r="I5621" i="1"/>
  <c r="F5621" i="1"/>
  <c r="I5620" i="1"/>
  <c r="F5620" i="1"/>
  <c r="I5619" i="1"/>
  <c r="F5619" i="1"/>
  <c r="I5618" i="1"/>
  <c r="F5618" i="1"/>
  <c r="I5617" i="1"/>
  <c r="F5617" i="1"/>
  <c r="I5616" i="1"/>
  <c r="F5616" i="1"/>
  <c r="I5615" i="1"/>
  <c r="F5615" i="1"/>
  <c r="I5614" i="1"/>
  <c r="F5614" i="1"/>
  <c r="I5613" i="1"/>
  <c r="F5613" i="1"/>
  <c r="I5612" i="1"/>
  <c r="F5612" i="1"/>
  <c r="I5611" i="1"/>
  <c r="F5611" i="1"/>
  <c r="I5610" i="1"/>
  <c r="F5610" i="1"/>
  <c r="I5609" i="1"/>
  <c r="F5609" i="1"/>
  <c r="I5608" i="1"/>
  <c r="F5608" i="1"/>
  <c r="I5607" i="1"/>
  <c r="F5607" i="1"/>
  <c r="I5606" i="1"/>
  <c r="F5606" i="1"/>
  <c r="I5605" i="1"/>
  <c r="F5605" i="1"/>
  <c r="I5604" i="1"/>
  <c r="F5604" i="1"/>
  <c r="I5603" i="1"/>
  <c r="F5603" i="1"/>
  <c r="I5602" i="1"/>
  <c r="F5602" i="1"/>
  <c r="I5601" i="1"/>
  <c r="F5601" i="1"/>
  <c r="I5600" i="1"/>
  <c r="F5600" i="1"/>
  <c r="I5599" i="1"/>
  <c r="F5599" i="1"/>
  <c r="I5598" i="1"/>
  <c r="F5598" i="1"/>
  <c r="I5597" i="1"/>
  <c r="F5597" i="1"/>
  <c r="I5596" i="1"/>
  <c r="F5596" i="1"/>
  <c r="I5595" i="1"/>
  <c r="F5595" i="1"/>
  <c r="I5594" i="1"/>
  <c r="F5594" i="1"/>
  <c r="I5593" i="1"/>
  <c r="F5593" i="1"/>
  <c r="I5592" i="1"/>
  <c r="F5592" i="1"/>
  <c r="I5591" i="1"/>
  <c r="F5591" i="1"/>
  <c r="I5590" i="1"/>
  <c r="F5590" i="1"/>
  <c r="I5589" i="1"/>
  <c r="F5589" i="1"/>
  <c r="I5588" i="1"/>
  <c r="F5588" i="1"/>
  <c r="I5587" i="1"/>
  <c r="F5587" i="1"/>
  <c r="I5586" i="1"/>
  <c r="F5586" i="1"/>
  <c r="I5585" i="1"/>
  <c r="F5585" i="1"/>
  <c r="I5584" i="1"/>
  <c r="F5584" i="1"/>
  <c r="I5583" i="1"/>
  <c r="F5583" i="1"/>
  <c r="I5582" i="1"/>
  <c r="F5582" i="1"/>
  <c r="I5581" i="1"/>
  <c r="F5581" i="1"/>
  <c r="I5580" i="1"/>
  <c r="F5580" i="1"/>
  <c r="I5579" i="1"/>
  <c r="F5579" i="1"/>
  <c r="I5578" i="1"/>
  <c r="F5578" i="1"/>
  <c r="I5577" i="1"/>
  <c r="F5577" i="1"/>
  <c r="I5576" i="1"/>
  <c r="F5576" i="1"/>
  <c r="I5575" i="1"/>
  <c r="F5575" i="1"/>
  <c r="I5574" i="1"/>
  <c r="F5574" i="1"/>
  <c r="I5573" i="1"/>
  <c r="F5573" i="1"/>
  <c r="I5572" i="1"/>
  <c r="F5572" i="1"/>
  <c r="I5571" i="1"/>
  <c r="F5571" i="1"/>
  <c r="I5570" i="1"/>
  <c r="F5570" i="1"/>
  <c r="I5569" i="1"/>
  <c r="F5569" i="1"/>
  <c r="I5568" i="1"/>
  <c r="F5568" i="1"/>
  <c r="I5567" i="1"/>
  <c r="F5567" i="1"/>
  <c r="I5566" i="1"/>
  <c r="F5566" i="1"/>
  <c r="I5565" i="1"/>
  <c r="F5565" i="1"/>
  <c r="I5564" i="1"/>
  <c r="F5564" i="1"/>
  <c r="I5563" i="1"/>
  <c r="F5563" i="1"/>
  <c r="I5562" i="1"/>
  <c r="F5562" i="1"/>
  <c r="I5561" i="1"/>
  <c r="F5561" i="1"/>
  <c r="I5560" i="1"/>
  <c r="F5560" i="1"/>
  <c r="I5559" i="1"/>
  <c r="F5559" i="1"/>
  <c r="I5558" i="1"/>
  <c r="F5558" i="1"/>
  <c r="I5557" i="1"/>
  <c r="F5557" i="1"/>
  <c r="I5556" i="1"/>
  <c r="F5556" i="1"/>
  <c r="I5555" i="1"/>
  <c r="F5555" i="1"/>
  <c r="I5554" i="1"/>
  <c r="F5554" i="1"/>
  <c r="I5553" i="1"/>
  <c r="F5553" i="1"/>
  <c r="I5552" i="1"/>
  <c r="F5552" i="1"/>
  <c r="I5551" i="1"/>
  <c r="F5551" i="1"/>
  <c r="I5550" i="1"/>
  <c r="F5550" i="1"/>
  <c r="I5549" i="1"/>
  <c r="F5549" i="1"/>
  <c r="I5548" i="1"/>
  <c r="F5548" i="1"/>
  <c r="I5547" i="1"/>
  <c r="F5547" i="1"/>
  <c r="I5546" i="1"/>
  <c r="F5546" i="1"/>
  <c r="I5545" i="1"/>
  <c r="F5545" i="1"/>
  <c r="I5544" i="1"/>
  <c r="F5544" i="1"/>
  <c r="I5543" i="1"/>
  <c r="F5543" i="1"/>
  <c r="I5542" i="1"/>
  <c r="F5542" i="1"/>
  <c r="I5541" i="1"/>
  <c r="F5541" i="1"/>
  <c r="I5540" i="1"/>
  <c r="F5540" i="1"/>
  <c r="I5539" i="1"/>
  <c r="F5539" i="1"/>
  <c r="I5538" i="1"/>
  <c r="F5538" i="1"/>
  <c r="I5537" i="1"/>
  <c r="F5537" i="1"/>
  <c r="I5536" i="1"/>
  <c r="F5536" i="1"/>
  <c r="I5535" i="1"/>
  <c r="F5535" i="1"/>
  <c r="I5534" i="1"/>
  <c r="F5534" i="1"/>
  <c r="I5533" i="1"/>
  <c r="F5533" i="1"/>
  <c r="I5532" i="1"/>
  <c r="F5532" i="1"/>
  <c r="I5531" i="1"/>
  <c r="F5531" i="1"/>
  <c r="I5530" i="1"/>
  <c r="F5530" i="1"/>
  <c r="I5529" i="1"/>
  <c r="F5529" i="1"/>
  <c r="I5528" i="1"/>
  <c r="F5528" i="1"/>
  <c r="I5527" i="1"/>
  <c r="F5527" i="1"/>
  <c r="I5526" i="1"/>
  <c r="F5526" i="1"/>
  <c r="I5525" i="1"/>
  <c r="F5525" i="1"/>
  <c r="I5524" i="1"/>
  <c r="F5524" i="1"/>
  <c r="I5523" i="1"/>
  <c r="F5523" i="1"/>
  <c r="I5522" i="1"/>
  <c r="F5522" i="1"/>
  <c r="I5521" i="1"/>
  <c r="F5521" i="1"/>
  <c r="I5520" i="1"/>
  <c r="F5520" i="1"/>
  <c r="I5519" i="1"/>
  <c r="F5519" i="1"/>
  <c r="I5518" i="1"/>
  <c r="F5518" i="1"/>
  <c r="I5517" i="1"/>
  <c r="F5517" i="1"/>
  <c r="I5516" i="1"/>
  <c r="F5516" i="1"/>
  <c r="I5515" i="1"/>
  <c r="F5515" i="1"/>
  <c r="I5514" i="1"/>
  <c r="F5514" i="1"/>
  <c r="I5513" i="1"/>
  <c r="F5513" i="1"/>
  <c r="I5512" i="1"/>
  <c r="F5512" i="1"/>
  <c r="I5511" i="1"/>
  <c r="F5511" i="1"/>
  <c r="I5510" i="1"/>
  <c r="F5510" i="1"/>
  <c r="I5509" i="1"/>
  <c r="F5509" i="1"/>
  <c r="I5508" i="1"/>
  <c r="F5508" i="1"/>
  <c r="I5507" i="1"/>
  <c r="F5507" i="1"/>
  <c r="I5506" i="1"/>
  <c r="F5506" i="1"/>
  <c r="I5505" i="1"/>
  <c r="F5505" i="1"/>
  <c r="I5504" i="1"/>
  <c r="F5504" i="1"/>
  <c r="I5503" i="1"/>
  <c r="F5503" i="1"/>
  <c r="I5502" i="1"/>
  <c r="F5502" i="1"/>
  <c r="I5501" i="1"/>
  <c r="F5501" i="1"/>
  <c r="I5500" i="1"/>
  <c r="F5500" i="1"/>
  <c r="I5499" i="1"/>
  <c r="F5499" i="1"/>
  <c r="I5498" i="1"/>
  <c r="F5498" i="1"/>
  <c r="I5497" i="1"/>
  <c r="F5497" i="1"/>
  <c r="I5496" i="1"/>
  <c r="F5496" i="1"/>
  <c r="I5495" i="1"/>
  <c r="F5495" i="1"/>
  <c r="I5494" i="1"/>
  <c r="F5494" i="1"/>
  <c r="I5493" i="1"/>
  <c r="F5493" i="1"/>
  <c r="I5492" i="1"/>
  <c r="F5492" i="1"/>
  <c r="I5491" i="1"/>
  <c r="F5491" i="1"/>
  <c r="I5490" i="1"/>
  <c r="F5490" i="1"/>
  <c r="I5489" i="1"/>
  <c r="F5489" i="1"/>
  <c r="I5488" i="1"/>
  <c r="F5488" i="1"/>
  <c r="I5487" i="1"/>
  <c r="F5487" i="1"/>
  <c r="I5486" i="1"/>
  <c r="F5486" i="1"/>
  <c r="I5485" i="1"/>
  <c r="F5485" i="1"/>
  <c r="I5484" i="1"/>
  <c r="F5484" i="1"/>
  <c r="I5483" i="1"/>
  <c r="F5483" i="1"/>
  <c r="I5482" i="1"/>
  <c r="F5482" i="1"/>
  <c r="I5481" i="1"/>
  <c r="F5481" i="1"/>
  <c r="I5480" i="1"/>
  <c r="F5480" i="1"/>
  <c r="I5479" i="1"/>
  <c r="F5479" i="1"/>
  <c r="I5478" i="1"/>
  <c r="F5478" i="1"/>
  <c r="I5477" i="1"/>
  <c r="F5477" i="1"/>
  <c r="I5476" i="1"/>
  <c r="F5476" i="1"/>
  <c r="I5475" i="1"/>
  <c r="F5475" i="1"/>
  <c r="I5474" i="1"/>
  <c r="F5474" i="1"/>
  <c r="I5473" i="1"/>
  <c r="F5473" i="1"/>
  <c r="I5472" i="1"/>
  <c r="F5472" i="1"/>
  <c r="I5471" i="1"/>
  <c r="F5471" i="1"/>
  <c r="I5470" i="1"/>
  <c r="F5470" i="1"/>
  <c r="I5469" i="1"/>
  <c r="F5469" i="1"/>
  <c r="I5468" i="1"/>
  <c r="F5468" i="1"/>
  <c r="I5467" i="1"/>
  <c r="F5467" i="1"/>
  <c r="I5466" i="1"/>
  <c r="F5466" i="1"/>
  <c r="I5465" i="1"/>
  <c r="F5465" i="1"/>
  <c r="I5464" i="1"/>
  <c r="F5464" i="1"/>
  <c r="I5463" i="1"/>
  <c r="F5463" i="1"/>
  <c r="I5462" i="1"/>
  <c r="F5462" i="1"/>
  <c r="I5461" i="1"/>
  <c r="F5461" i="1"/>
  <c r="I5460" i="1"/>
  <c r="F5460" i="1"/>
  <c r="I5459" i="1"/>
  <c r="F5459" i="1"/>
  <c r="I5458" i="1"/>
  <c r="F5458" i="1"/>
  <c r="I5457" i="1"/>
  <c r="F5457" i="1"/>
  <c r="I5456" i="1"/>
  <c r="F5456" i="1"/>
  <c r="I5455" i="1"/>
  <c r="F5455" i="1"/>
  <c r="I5454" i="1"/>
  <c r="F5454" i="1"/>
  <c r="I5453" i="1"/>
  <c r="F5453" i="1"/>
  <c r="I5452" i="1"/>
  <c r="F5452" i="1"/>
  <c r="I5451" i="1"/>
  <c r="F5451" i="1"/>
  <c r="I5450" i="1"/>
  <c r="F5450" i="1"/>
  <c r="I5449" i="1"/>
  <c r="F5449" i="1"/>
  <c r="I5448" i="1"/>
  <c r="F5448" i="1"/>
  <c r="I5447" i="1"/>
  <c r="F5447" i="1"/>
  <c r="I5446" i="1"/>
  <c r="F5446" i="1"/>
  <c r="I5445" i="1"/>
  <c r="F5445" i="1"/>
  <c r="I5444" i="1"/>
  <c r="F5444" i="1"/>
  <c r="I5443" i="1"/>
  <c r="F5443" i="1"/>
  <c r="I5442" i="1"/>
  <c r="F5442" i="1"/>
  <c r="I5441" i="1"/>
  <c r="F5441" i="1"/>
  <c r="I5440" i="1"/>
  <c r="F5440" i="1"/>
  <c r="I5439" i="1"/>
  <c r="F5439" i="1"/>
  <c r="I5438" i="1"/>
  <c r="F5438" i="1"/>
  <c r="I5437" i="1"/>
  <c r="F5437" i="1"/>
  <c r="I5436" i="1"/>
  <c r="F5436" i="1"/>
  <c r="I5435" i="1"/>
  <c r="F5435" i="1"/>
  <c r="I5434" i="1"/>
  <c r="F5434" i="1"/>
  <c r="I5433" i="1"/>
  <c r="F5433" i="1"/>
  <c r="I5432" i="1"/>
  <c r="F5432" i="1"/>
  <c r="I5431" i="1"/>
  <c r="F5431" i="1"/>
  <c r="I5430" i="1"/>
  <c r="F5430" i="1"/>
  <c r="I5429" i="1"/>
  <c r="F5429" i="1"/>
  <c r="I5428" i="1"/>
  <c r="F5428" i="1"/>
  <c r="I5427" i="1"/>
  <c r="F5427" i="1"/>
  <c r="I5426" i="1"/>
  <c r="F5426" i="1"/>
  <c r="I5425" i="1"/>
  <c r="F5425" i="1"/>
  <c r="I5424" i="1"/>
  <c r="F5424" i="1"/>
  <c r="I5423" i="1"/>
  <c r="F5423" i="1"/>
  <c r="I5422" i="1"/>
  <c r="F5422" i="1"/>
  <c r="I5421" i="1"/>
  <c r="F5421" i="1"/>
  <c r="I5420" i="1"/>
  <c r="F5420" i="1"/>
  <c r="I5419" i="1"/>
  <c r="F5419" i="1"/>
  <c r="I5418" i="1"/>
  <c r="F5418" i="1"/>
  <c r="I5417" i="1"/>
  <c r="F5417" i="1"/>
  <c r="I5416" i="1"/>
  <c r="F5416" i="1"/>
  <c r="I5415" i="1"/>
  <c r="F5415" i="1"/>
  <c r="I5414" i="1"/>
  <c r="F5414" i="1"/>
  <c r="I5413" i="1"/>
  <c r="F5413" i="1"/>
  <c r="I5412" i="1"/>
  <c r="F5412" i="1"/>
  <c r="I5411" i="1"/>
  <c r="F5411" i="1"/>
  <c r="I5410" i="1"/>
  <c r="F5410" i="1"/>
  <c r="I5409" i="1"/>
  <c r="F5409" i="1"/>
  <c r="I5408" i="1"/>
  <c r="F5408" i="1"/>
  <c r="I5407" i="1"/>
  <c r="F5407" i="1"/>
  <c r="I5406" i="1"/>
  <c r="F5406" i="1"/>
  <c r="I5405" i="1"/>
  <c r="F5405" i="1"/>
  <c r="I5404" i="1"/>
  <c r="F5404" i="1"/>
  <c r="I5403" i="1"/>
  <c r="F5403" i="1"/>
  <c r="I5402" i="1"/>
  <c r="F5402" i="1"/>
  <c r="I5401" i="1"/>
  <c r="F5401" i="1"/>
  <c r="I5400" i="1"/>
  <c r="F5400" i="1"/>
  <c r="I5399" i="1"/>
  <c r="F5399" i="1"/>
  <c r="I5398" i="1"/>
  <c r="F5398" i="1"/>
  <c r="I5397" i="1"/>
  <c r="F5397" i="1"/>
  <c r="I5396" i="1"/>
  <c r="F5396" i="1"/>
  <c r="I5395" i="1"/>
  <c r="F5395" i="1"/>
  <c r="I5394" i="1"/>
  <c r="F5394" i="1"/>
  <c r="I5393" i="1"/>
  <c r="F5393" i="1"/>
  <c r="I5392" i="1"/>
  <c r="F5392" i="1"/>
  <c r="I5391" i="1"/>
  <c r="F5391" i="1"/>
  <c r="I5390" i="1"/>
  <c r="F5390" i="1"/>
  <c r="I5389" i="1"/>
  <c r="F5389" i="1"/>
  <c r="I5388" i="1"/>
  <c r="F5388" i="1"/>
  <c r="I5387" i="1"/>
  <c r="F5387" i="1"/>
  <c r="I5386" i="1"/>
  <c r="F5386" i="1"/>
  <c r="I5385" i="1"/>
  <c r="F5385" i="1"/>
  <c r="I5384" i="1"/>
  <c r="F5384" i="1"/>
  <c r="I5383" i="1"/>
  <c r="F5383" i="1"/>
  <c r="I5382" i="1"/>
  <c r="F5382" i="1"/>
  <c r="I5381" i="1"/>
  <c r="F5381" i="1"/>
  <c r="I5380" i="1"/>
  <c r="F5380" i="1"/>
  <c r="I5379" i="1"/>
  <c r="F5379" i="1"/>
  <c r="I5378" i="1"/>
  <c r="F5378" i="1"/>
  <c r="I5377" i="1"/>
  <c r="F5377" i="1"/>
  <c r="I5376" i="1"/>
  <c r="F5376" i="1"/>
  <c r="I5375" i="1"/>
  <c r="F5375" i="1"/>
  <c r="I5374" i="1"/>
  <c r="F5374" i="1"/>
  <c r="I5373" i="1"/>
  <c r="F5373" i="1"/>
  <c r="I5372" i="1"/>
  <c r="F5372" i="1"/>
  <c r="I5371" i="1"/>
  <c r="F5371" i="1"/>
  <c r="I5370" i="1"/>
  <c r="F5370" i="1"/>
  <c r="I5369" i="1"/>
  <c r="F5369" i="1"/>
  <c r="I5368" i="1"/>
  <c r="F5368" i="1"/>
  <c r="I5367" i="1"/>
  <c r="F5367" i="1"/>
  <c r="I5366" i="1"/>
  <c r="F5366" i="1"/>
  <c r="I5365" i="1"/>
  <c r="F5365" i="1"/>
  <c r="I5364" i="1"/>
  <c r="F5364" i="1"/>
  <c r="I5363" i="1"/>
  <c r="F5363" i="1"/>
  <c r="I5362" i="1"/>
  <c r="F5362" i="1"/>
  <c r="I5361" i="1"/>
  <c r="F5361" i="1"/>
  <c r="I5360" i="1"/>
  <c r="F5360" i="1"/>
  <c r="I5359" i="1"/>
  <c r="F5359" i="1"/>
  <c r="I5358" i="1"/>
  <c r="F5358" i="1"/>
  <c r="I5357" i="1"/>
  <c r="F5357" i="1"/>
  <c r="I5356" i="1"/>
  <c r="F5356" i="1"/>
  <c r="I5355" i="1"/>
  <c r="F5355" i="1"/>
  <c r="I5354" i="1"/>
  <c r="F5354" i="1"/>
  <c r="I5353" i="1"/>
  <c r="F5353" i="1"/>
  <c r="I5352" i="1"/>
  <c r="F5352" i="1"/>
  <c r="I5351" i="1"/>
  <c r="F5351" i="1"/>
  <c r="I5350" i="1"/>
  <c r="F5350" i="1"/>
  <c r="I5349" i="1"/>
  <c r="F5349" i="1"/>
  <c r="I5348" i="1"/>
  <c r="F5348" i="1"/>
  <c r="I5347" i="1"/>
  <c r="F5347" i="1"/>
  <c r="I5346" i="1"/>
  <c r="F5346" i="1"/>
  <c r="I5345" i="1"/>
  <c r="F5345" i="1"/>
  <c r="I5344" i="1"/>
  <c r="F5344" i="1"/>
  <c r="I5343" i="1"/>
  <c r="F5343" i="1"/>
  <c r="I5342" i="1"/>
  <c r="F5342" i="1"/>
  <c r="I5341" i="1"/>
  <c r="F5341" i="1"/>
  <c r="I5340" i="1"/>
  <c r="F5340" i="1"/>
  <c r="I5339" i="1"/>
  <c r="F5339" i="1"/>
  <c r="I5338" i="1"/>
  <c r="F5338" i="1"/>
  <c r="I5337" i="1"/>
  <c r="F5337" i="1"/>
  <c r="I5336" i="1"/>
  <c r="F5336" i="1"/>
  <c r="I5335" i="1"/>
  <c r="F5335" i="1"/>
  <c r="I5334" i="1"/>
  <c r="F5334" i="1"/>
  <c r="I5333" i="1"/>
  <c r="F5333" i="1"/>
  <c r="I5332" i="1"/>
  <c r="F5332" i="1"/>
  <c r="I5331" i="1"/>
  <c r="F5331" i="1"/>
  <c r="I5330" i="1"/>
  <c r="F5330" i="1"/>
  <c r="I5329" i="1"/>
  <c r="F5329" i="1"/>
  <c r="I5328" i="1"/>
  <c r="F5328" i="1"/>
  <c r="I5327" i="1"/>
  <c r="F5327" i="1"/>
  <c r="I5326" i="1"/>
  <c r="F5326" i="1"/>
  <c r="I5325" i="1"/>
  <c r="F5325" i="1"/>
  <c r="I5324" i="1"/>
  <c r="F5324" i="1"/>
  <c r="I5323" i="1"/>
  <c r="F5323" i="1"/>
  <c r="I5322" i="1"/>
  <c r="F5322" i="1"/>
  <c r="I5321" i="1"/>
  <c r="F5321" i="1"/>
  <c r="I5320" i="1"/>
  <c r="F5320" i="1"/>
  <c r="I5319" i="1"/>
  <c r="F5319" i="1"/>
  <c r="I5318" i="1"/>
  <c r="F5318" i="1"/>
  <c r="I5317" i="1"/>
  <c r="F5317" i="1"/>
  <c r="I5316" i="1"/>
  <c r="F5316" i="1"/>
  <c r="I5315" i="1"/>
  <c r="F5315" i="1"/>
  <c r="I5314" i="1"/>
  <c r="F5314" i="1"/>
  <c r="I5313" i="1"/>
  <c r="F5313" i="1"/>
  <c r="I5312" i="1"/>
  <c r="F5312" i="1"/>
  <c r="I5311" i="1"/>
  <c r="F5311" i="1"/>
  <c r="I5310" i="1"/>
  <c r="F5310" i="1"/>
  <c r="I5309" i="1"/>
  <c r="F5309" i="1"/>
  <c r="I5308" i="1"/>
  <c r="F5308" i="1"/>
  <c r="I5307" i="1"/>
  <c r="F5307" i="1"/>
  <c r="I5306" i="1"/>
  <c r="F5306" i="1"/>
  <c r="I5305" i="1"/>
  <c r="F5305" i="1"/>
  <c r="I5304" i="1"/>
  <c r="F5304" i="1"/>
  <c r="I5303" i="1"/>
  <c r="F5303" i="1"/>
  <c r="I5302" i="1"/>
  <c r="F5302" i="1"/>
  <c r="I5301" i="1"/>
  <c r="F5301" i="1"/>
  <c r="I5300" i="1"/>
  <c r="F5300" i="1"/>
  <c r="I5299" i="1"/>
  <c r="F5299" i="1"/>
  <c r="I5298" i="1"/>
  <c r="F5298" i="1"/>
  <c r="I5297" i="1"/>
  <c r="F5297" i="1"/>
  <c r="I5296" i="1"/>
  <c r="F5296" i="1"/>
  <c r="I5295" i="1"/>
  <c r="F5295" i="1"/>
  <c r="I5294" i="1"/>
  <c r="F5294" i="1"/>
  <c r="I5293" i="1"/>
  <c r="F5293" i="1"/>
  <c r="I5292" i="1"/>
  <c r="F5292" i="1"/>
  <c r="I5291" i="1"/>
  <c r="F5291" i="1"/>
  <c r="I5290" i="1"/>
  <c r="F5290" i="1"/>
  <c r="I5289" i="1"/>
  <c r="F5289" i="1"/>
  <c r="I5288" i="1"/>
  <c r="F5288" i="1"/>
  <c r="I5287" i="1"/>
  <c r="F5287" i="1"/>
  <c r="I5286" i="1"/>
  <c r="F5286" i="1"/>
  <c r="I5285" i="1"/>
  <c r="F5285" i="1"/>
  <c r="I5284" i="1"/>
  <c r="F5284" i="1"/>
  <c r="I5283" i="1"/>
  <c r="F5283" i="1"/>
  <c r="I5282" i="1"/>
  <c r="F5282" i="1"/>
  <c r="I5281" i="1"/>
  <c r="F5281" i="1"/>
  <c r="I5280" i="1"/>
  <c r="F5280" i="1"/>
  <c r="I5279" i="1"/>
  <c r="F5279" i="1"/>
  <c r="I5278" i="1"/>
  <c r="F5278" i="1"/>
  <c r="I5277" i="1"/>
  <c r="F5277" i="1"/>
  <c r="I5276" i="1"/>
  <c r="F5276" i="1"/>
  <c r="I5275" i="1"/>
  <c r="F5275" i="1"/>
  <c r="I5274" i="1"/>
  <c r="F5274" i="1"/>
  <c r="I5273" i="1"/>
  <c r="F5273" i="1"/>
  <c r="I5272" i="1"/>
  <c r="F5272" i="1"/>
  <c r="I5271" i="1"/>
  <c r="F5271" i="1"/>
  <c r="I5270" i="1"/>
  <c r="F5270" i="1"/>
  <c r="I5269" i="1"/>
  <c r="F5269" i="1"/>
  <c r="I5268" i="1"/>
  <c r="F5268" i="1"/>
  <c r="I5267" i="1"/>
  <c r="F5267" i="1"/>
  <c r="I5266" i="1"/>
  <c r="F5266" i="1"/>
  <c r="I5265" i="1"/>
  <c r="F5265" i="1"/>
  <c r="I5264" i="1"/>
  <c r="F5264" i="1"/>
  <c r="I5263" i="1"/>
  <c r="F5263" i="1"/>
  <c r="I5262" i="1"/>
  <c r="F5262" i="1"/>
  <c r="I5261" i="1"/>
  <c r="F5261" i="1"/>
  <c r="I5260" i="1"/>
  <c r="F5260" i="1"/>
  <c r="I5259" i="1"/>
  <c r="F5259" i="1"/>
  <c r="I5258" i="1"/>
  <c r="F5258" i="1"/>
  <c r="I5257" i="1"/>
  <c r="F5257" i="1"/>
  <c r="I5256" i="1"/>
  <c r="F5256" i="1"/>
  <c r="I5255" i="1"/>
  <c r="F5255" i="1"/>
  <c r="I5254" i="1"/>
  <c r="F5254" i="1"/>
  <c r="I5253" i="1"/>
  <c r="F5253" i="1"/>
  <c r="I5252" i="1"/>
  <c r="F5252" i="1"/>
  <c r="I5251" i="1"/>
  <c r="F5251" i="1"/>
  <c r="I5250" i="1"/>
  <c r="F5250" i="1"/>
  <c r="I5249" i="1"/>
  <c r="F5249" i="1"/>
  <c r="I5248" i="1"/>
  <c r="F5248" i="1"/>
  <c r="I5247" i="1"/>
  <c r="F5247" i="1"/>
  <c r="I5246" i="1"/>
  <c r="F5246" i="1"/>
  <c r="I5245" i="1"/>
  <c r="F5245" i="1"/>
  <c r="I5244" i="1"/>
  <c r="F5244" i="1"/>
  <c r="I5243" i="1"/>
  <c r="F5243" i="1"/>
  <c r="I5242" i="1"/>
  <c r="F5242" i="1"/>
  <c r="I5241" i="1"/>
  <c r="F5241" i="1"/>
  <c r="I5240" i="1"/>
  <c r="F5240" i="1"/>
  <c r="I5239" i="1"/>
  <c r="F5239" i="1"/>
  <c r="I5238" i="1"/>
  <c r="F5238" i="1"/>
  <c r="I5237" i="1"/>
  <c r="F5237" i="1"/>
  <c r="I5236" i="1"/>
  <c r="F5236" i="1"/>
  <c r="I5235" i="1"/>
  <c r="F5235" i="1"/>
  <c r="I5234" i="1"/>
  <c r="F5234" i="1"/>
  <c r="I5233" i="1"/>
  <c r="F5233" i="1"/>
  <c r="I5232" i="1"/>
  <c r="F5232" i="1"/>
  <c r="I5231" i="1"/>
  <c r="F5231" i="1"/>
  <c r="I5230" i="1"/>
  <c r="F5230" i="1"/>
  <c r="I5229" i="1"/>
  <c r="F5229" i="1"/>
  <c r="I5228" i="1"/>
  <c r="F5228" i="1"/>
  <c r="I5227" i="1"/>
  <c r="F5227" i="1"/>
  <c r="I5226" i="1"/>
  <c r="F5226" i="1"/>
  <c r="I5225" i="1"/>
  <c r="F5225" i="1"/>
  <c r="I5224" i="1"/>
  <c r="F5224" i="1"/>
  <c r="I5223" i="1"/>
  <c r="F5223" i="1"/>
  <c r="I5222" i="1"/>
  <c r="F5222" i="1"/>
  <c r="I5221" i="1"/>
  <c r="F5221" i="1"/>
  <c r="I5220" i="1"/>
  <c r="F5220" i="1"/>
  <c r="I5219" i="1"/>
  <c r="F5219" i="1"/>
  <c r="I5218" i="1"/>
  <c r="F5218" i="1"/>
  <c r="I5217" i="1"/>
  <c r="F5217" i="1"/>
  <c r="I5216" i="1"/>
  <c r="F5216" i="1"/>
  <c r="I5215" i="1"/>
  <c r="F5215" i="1"/>
  <c r="I5214" i="1"/>
  <c r="F5214" i="1"/>
  <c r="I5213" i="1"/>
  <c r="F5213" i="1"/>
  <c r="I5212" i="1"/>
  <c r="F5212" i="1"/>
  <c r="I5211" i="1"/>
  <c r="F5211" i="1"/>
  <c r="I5210" i="1"/>
  <c r="F5210" i="1"/>
  <c r="I5209" i="1"/>
  <c r="F5209" i="1"/>
  <c r="I5208" i="1"/>
  <c r="F5208" i="1"/>
  <c r="I5207" i="1"/>
  <c r="F5207" i="1"/>
  <c r="I5206" i="1"/>
  <c r="F5206" i="1"/>
  <c r="I5205" i="1"/>
  <c r="F5205" i="1"/>
  <c r="I5204" i="1"/>
  <c r="F5204" i="1"/>
  <c r="I5203" i="1"/>
  <c r="F5203" i="1"/>
  <c r="I5202" i="1"/>
  <c r="F5202" i="1"/>
  <c r="I5201" i="1"/>
  <c r="F5201" i="1"/>
  <c r="I5200" i="1"/>
  <c r="F5200" i="1"/>
  <c r="I5199" i="1"/>
  <c r="F5199" i="1"/>
  <c r="I5198" i="1"/>
  <c r="F5198" i="1"/>
  <c r="I5197" i="1"/>
  <c r="F5197" i="1"/>
  <c r="I5196" i="1"/>
  <c r="F5196" i="1"/>
  <c r="I5195" i="1"/>
  <c r="F5195" i="1"/>
  <c r="I5194" i="1"/>
  <c r="F5194" i="1"/>
  <c r="I5193" i="1"/>
  <c r="F5193" i="1"/>
  <c r="I5192" i="1"/>
  <c r="F5192" i="1"/>
  <c r="I5191" i="1"/>
  <c r="F5191" i="1"/>
  <c r="I5190" i="1"/>
  <c r="F5190" i="1"/>
  <c r="I5189" i="1"/>
  <c r="F5189" i="1"/>
  <c r="I5188" i="1"/>
  <c r="F5188" i="1"/>
  <c r="I5187" i="1"/>
  <c r="F5187" i="1"/>
  <c r="I5186" i="1"/>
  <c r="F5186" i="1"/>
  <c r="I5185" i="1"/>
  <c r="F5185" i="1"/>
  <c r="I5184" i="1"/>
  <c r="F5184" i="1"/>
  <c r="I5183" i="1"/>
  <c r="F5183" i="1"/>
  <c r="I5182" i="1"/>
  <c r="F5182" i="1"/>
  <c r="I5181" i="1"/>
  <c r="F5181" i="1"/>
  <c r="I5180" i="1"/>
  <c r="F5180" i="1"/>
  <c r="I5179" i="1"/>
  <c r="F5179" i="1"/>
  <c r="I5178" i="1"/>
  <c r="F5178" i="1"/>
  <c r="I5177" i="1"/>
  <c r="F5177" i="1"/>
  <c r="I5176" i="1"/>
  <c r="F5176" i="1"/>
  <c r="I5175" i="1"/>
  <c r="F5175" i="1"/>
  <c r="I5174" i="1"/>
  <c r="F5174" i="1"/>
  <c r="I5173" i="1"/>
  <c r="F5173" i="1"/>
  <c r="I5172" i="1"/>
  <c r="F5172" i="1"/>
  <c r="I5171" i="1"/>
  <c r="F5171" i="1"/>
  <c r="I5170" i="1"/>
  <c r="F5170" i="1"/>
  <c r="I5169" i="1"/>
  <c r="F5169" i="1"/>
  <c r="I5168" i="1"/>
  <c r="F5168" i="1"/>
  <c r="I5167" i="1"/>
  <c r="F5167" i="1"/>
  <c r="I5166" i="1"/>
  <c r="F5166" i="1"/>
  <c r="I5165" i="1"/>
  <c r="F5165" i="1"/>
  <c r="I5164" i="1"/>
  <c r="F5164" i="1"/>
  <c r="I5163" i="1"/>
  <c r="F5163" i="1"/>
  <c r="I5162" i="1"/>
  <c r="F5162" i="1"/>
  <c r="I5161" i="1"/>
  <c r="F5161" i="1"/>
  <c r="I5160" i="1"/>
  <c r="F5160" i="1"/>
  <c r="I5159" i="1"/>
  <c r="F5159" i="1"/>
  <c r="I5158" i="1"/>
  <c r="F5158" i="1"/>
  <c r="I5157" i="1"/>
  <c r="F5157" i="1"/>
  <c r="I5156" i="1"/>
  <c r="F5156" i="1"/>
  <c r="I5155" i="1"/>
  <c r="F5155" i="1"/>
  <c r="I5154" i="1"/>
  <c r="F5154" i="1"/>
  <c r="I5153" i="1"/>
  <c r="F5153" i="1"/>
  <c r="I5152" i="1"/>
  <c r="F5152" i="1"/>
  <c r="I5151" i="1"/>
  <c r="F5151" i="1"/>
  <c r="I5150" i="1"/>
  <c r="F5150" i="1"/>
  <c r="I5149" i="1"/>
  <c r="F5149" i="1"/>
  <c r="I5148" i="1"/>
  <c r="F5148" i="1"/>
  <c r="I5147" i="1"/>
  <c r="F5147" i="1"/>
  <c r="I5146" i="1"/>
  <c r="F5146" i="1"/>
  <c r="I5145" i="1"/>
  <c r="F5145" i="1"/>
  <c r="I5144" i="1"/>
  <c r="F5144" i="1"/>
  <c r="I5143" i="1"/>
  <c r="F5143" i="1"/>
  <c r="I5142" i="1"/>
  <c r="F5142" i="1"/>
  <c r="I5141" i="1"/>
  <c r="F5141" i="1"/>
  <c r="I5140" i="1"/>
  <c r="F5140" i="1"/>
  <c r="I5139" i="1"/>
  <c r="F5139" i="1"/>
  <c r="I5138" i="1"/>
  <c r="F5138" i="1"/>
  <c r="I5137" i="1"/>
  <c r="F5137" i="1"/>
  <c r="I5136" i="1"/>
  <c r="F5136" i="1"/>
  <c r="I5135" i="1"/>
  <c r="F5135" i="1"/>
  <c r="I5134" i="1"/>
  <c r="F5134" i="1"/>
  <c r="I5133" i="1"/>
  <c r="F5133" i="1"/>
  <c r="I5132" i="1"/>
  <c r="F5132" i="1"/>
  <c r="I5131" i="1"/>
  <c r="F5131" i="1"/>
  <c r="I5130" i="1"/>
  <c r="F5130" i="1"/>
  <c r="I5129" i="1"/>
  <c r="F5129" i="1"/>
  <c r="I5128" i="1"/>
  <c r="F5128" i="1"/>
  <c r="I5127" i="1"/>
  <c r="F5127" i="1"/>
  <c r="I5126" i="1"/>
  <c r="F5126" i="1"/>
  <c r="I5125" i="1"/>
  <c r="F5125" i="1"/>
  <c r="I5124" i="1"/>
  <c r="F5124" i="1"/>
  <c r="I5123" i="1"/>
  <c r="F5123" i="1"/>
  <c r="I5122" i="1"/>
  <c r="F5122" i="1"/>
  <c r="I5121" i="1"/>
  <c r="F5121" i="1"/>
  <c r="I5120" i="1"/>
  <c r="F5120" i="1"/>
  <c r="I5119" i="1"/>
  <c r="F5119" i="1"/>
  <c r="I5118" i="1"/>
  <c r="F5118" i="1"/>
  <c r="I5117" i="1"/>
  <c r="F5117" i="1"/>
  <c r="I5116" i="1"/>
  <c r="F5116" i="1"/>
  <c r="I5115" i="1"/>
  <c r="F5115" i="1"/>
  <c r="I5114" i="1"/>
  <c r="F5114" i="1"/>
  <c r="I5113" i="1"/>
  <c r="F5113" i="1"/>
  <c r="I5112" i="1"/>
  <c r="F5112" i="1"/>
  <c r="I5111" i="1"/>
  <c r="F5111" i="1"/>
  <c r="I5110" i="1"/>
  <c r="F5110" i="1"/>
  <c r="I5109" i="1"/>
  <c r="F5109" i="1"/>
  <c r="I5108" i="1"/>
  <c r="F5108" i="1"/>
  <c r="I5107" i="1"/>
  <c r="F5107" i="1"/>
  <c r="I5106" i="1"/>
  <c r="F5106" i="1"/>
  <c r="I5105" i="1"/>
  <c r="F5105" i="1"/>
  <c r="I5104" i="1"/>
  <c r="F5104" i="1"/>
  <c r="I5103" i="1"/>
  <c r="F5103" i="1"/>
  <c r="I5102" i="1"/>
  <c r="F5102" i="1"/>
  <c r="I5101" i="1"/>
  <c r="F5101" i="1"/>
  <c r="I5100" i="1"/>
  <c r="F5100" i="1"/>
  <c r="I5099" i="1"/>
  <c r="F5099" i="1"/>
  <c r="I5098" i="1"/>
  <c r="F5098" i="1"/>
  <c r="I5097" i="1"/>
  <c r="F5097" i="1"/>
  <c r="I5096" i="1"/>
  <c r="F5096" i="1"/>
  <c r="I5095" i="1"/>
  <c r="F5095" i="1"/>
  <c r="I5094" i="1"/>
  <c r="F5094" i="1"/>
  <c r="I5093" i="1"/>
  <c r="F5093" i="1"/>
  <c r="I5092" i="1"/>
  <c r="F5092" i="1"/>
  <c r="I5091" i="1"/>
  <c r="F5091" i="1"/>
  <c r="I5090" i="1"/>
  <c r="F5090" i="1"/>
  <c r="I5089" i="1"/>
  <c r="F5089" i="1"/>
  <c r="I5088" i="1"/>
  <c r="F5088" i="1"/>
  <c r="I5087" i="1"/>
  <c r="F5087" i="1"/>
  <c r="I5086" i="1"/>
  <c r="F5086" i="1"/>
  <c r="I5085" i="1"/>
  <c r="F5085" i="1"/>
  <c r="I5084" i="1"/>
  <c r="F5084" i="1"/>
  <c r="I5083" i="1"/>
  <c r="F5083" i="1"/>
  <c r="I5082" i="1"/>
  <c r="F5082" i="1"/>
  <c r="I5081" i="1"/>
  <c r="F5081" i="1"/>
  <c r="I5080" i="1"/>
  <c r="F5080" i="1"/>
  <c r="I5079" i="1"/>
  <c r="F5079" i="1"/>
  <c r="I5078" i="1"/>
  <c r="F5078" i="1"/>
  <c r="I5077" i="1"/>
  <c r="F5077" i="1"/>
  <c r="I5076" i="1"/>
  <c r="F5076" i="1"/>
  <c r="I5075" i="1"/>
  <c r="F5075" i="1"/>
  <c r="I5074" i="1"/>
  <c r="F5074" i="1"/>
  <c r="I5073" i="1"/>
  <c r="F5073" i="1"/>
  <c r="I5072" i="1"/>
  <c r="F5072" i="1"/>
  <c r="I5071" i="1"/>
  <c r="F5071" i="1"/>
  <c r="I5070" i="1"/>
  <c r="F5070" i="1"/>
  <c r="I5069" i="1"/>
  <c r="F5069" i="1"/>
  <c r="I5068" i="1"/>
  <c r="F5068" i="1"/>
  <c r="I5067" i="1"/>
  <c r="F5067" i="1"/>
  <c r="I5066" i="1"/>
  <c r="F5066" i="1"/>
  <c r="I5065" i="1"/>
  <c r="F5065" i="1"/>
  <c r="I5064" i="1"/>
  <c r="F5064" i="1"/>
  <c r="I5063" i="1"/>
  <c r="F5063" i="1"/>
  <c r="I5062" i="1"/>
  <c r="F5062" i="1"/>
  <c r="I5061" i="1"/>
  <c r="F5061" i="1"/>
  <c r="I5060" i="1"/>
  <c r="F5060" i="1"/>
  <c r="I5059" i="1"/>
  <c r="F5059" i="1"/>
  <c r="I5058" i="1"/>
  <c r="F5058" i="1"/>
  <c r="I5057" i="1"/>
  <c r="F5057" i="1"/>
  <c r="I5056" i="1"/>
  <c r="F5056" i="1"/>
  <c r="I5055" i="1"/>
  <c r="F5055" i="1"/>
  <c r="I5054" i="1"/>
  <c r="F5054" i="1"/>
  <c r="I5053" i="1"/>
  <c r="F5053" i="1"/>
  <c r="I5052" i="1"/>
  <c r="F5052" i="1"/>
  <c r="I5051" i="1"/>
  <c r="F5051" i="1"/>
  <c r="I5050" i="1"/>
  <c r="F5050" i="1"/>
  <c r="I5049" i="1"/>
  <c r="F5049" i="1"/>
  <c r="I5048" i="1"/>
  <c r="F5048" i="1"/>
  <c r="I5047" i="1"/>
  <c r="F5047" i="1"/>
  <c r="I5046" i="1"/>
  <c r="F5046" i="1"/>
  <c r="I5045" i="1"/>
  <c r="F5045" i="1"/>
  <c r="I5044" i="1"/>
  <c r="F5044" i="1"/>
  <c r="I5043" i="1"/>
  <c r="F5043" i="1"/>
  <c r="I5042" i="1"/>
  <c r="F5042" i="1"/>
  <c r="I5041" i="1"/>
  <c r="F5041" i="1"/>
  <c r="I5040" i="1"/>
  <c r="F5040" i="1"/>
  <c r="I5039" i="1"/>
  <c r="F5039" i="1"/>
  <c r="I5038" i="1"/>
  <c r="F5038" i="1"/>
  <c r="I5037" i="1"/>
  <c r="F5037" i="1"/>
  <c r="I5036" i="1"/>
  <c r="F5036" i="1"/>
  <c r="I5035" i="1"/>
  <c r="F5035" i="1"/>
  <c r="I5034" i="1"/>
  <c r="F5034" i="1"/>
  <c r="I5033" i="1"/>
  <c r="F5033" i="1"/>
  <c r="I5032" i="1"/>
  <c r="F5032" i="1"/>
  <c r="I5031" i="1"/>
  <c r="F5031" i="1"/>
  <c r="I5030" i="1"/>
  <c r="F5030" i="1"/>
  <c r="I5029" i="1"/>
  <c r="F5029" i="1"/>
  <c r="I5028" i="1"/>
  <c r="F5028" i="1"/>
  <c r="I5027" i="1"/>
  <c r="F5027" i="1"/>
  <c r="I5026" i="1"/>
  <c r="F5026" i="1"/>
  <c r="I5025" i="1"/>
  <c r="F5025" i="1"/>
  <c r="I5024" i="1"/>
  <c r="F5024" i="1"/>
  <c r="I5023" i="1"/>
  <c r="F5023" i="1"/>
  <c r="I5022" i="1"/>
  <c r="F5022" i="1"/>
  <c r="I5021" i="1"/>
  <c r="F5021" i="1"/>
  <c r="I5020" i="1"/>
  <c r="F5020" i="1"/>
  <c r="I5019" i="1"/>
  <c r="F5019" i="1"/>
  <c r="I5018" i="1"/>
  <c r="F5018" i="1"/>
  <c r="I5017" i="1"/>
  <c r="F5017" i="1"/>
  <c r="I5016" i="1"/>
  <c r="F5016" i="1"/>
  <c r="I5015" i="1"/>
  <c r="F5015" i="1"/>
  <c r="I5014" i="1"/>
  <c r="F5014" i="1"/>
  <c r="I5013" i="1"/>
  <c r="F5013" i="1"/>
  <c r="I5012" i="1"/>
  <c r="F5012" i="1"/>
  <c r="I5011" i="1"/>
  <c r="F5011" i="1"/>
  <c r="I5010" i="1"/>
  <c r="F5010" i="1"/>
  <c r="I5009" i="1"/>
  <c r="F5009" i="1"/>
  <c r="I5008" i="1"/>
  <c r="F5008" i="1"/>
  <c r="I5007" i="1"/>
  <c r="F5007" i="1"/>
  <c r="I5006" i="1"/>
  <c r="F5006" i="1"/>
  <c r="I5005" i="1"/>
  <c r="F5005" i="1"/>
  <c r="I5004" i="1"/>
  <c r="F5004" i="1"/>
  <c r="I5003" i="1"/>
  <c r="F5003" i="1"/>
  <c r="I5002" i="1"/>
  <c r="F5002" i="1"/>
  <c r="I5001" i="1"/>
  <c r="F5001" i="1"/>
  <c r="I5000" i="1"/>
  <c r="F5000" i="1"/>
  <c r="I4999" i="1"/>
  <c r="F4999" i="1"/>
  <c r="I4998" i="1"/>
  <c r="F4998" i="1"/>
  <c r="I4997" i="1"/>
  <c r="F4997" i="1"/>
  <c r="I4996" i="1"/>
  <c r="F4996" i="1"/>
  <c r="I4995" i="1"/>
  <c r="F4995" i="1"/>
  <c r="I4994" i="1"/>
  <c r="F4994" i="1"/>
  <c r="I4993" i="1"/>
  <c r="F4993" i="1"/>
  <c r="I4992" i="1"/>
  <c r="F4992" i="1"/>
  <c r="I4991" i="1"/>
  <c r="F4991" i="1"/>
  <c r="I4990" i="1"/>
  <c r="F4990" i="1"/>
  <c r="I4989" i="1"/>
  <c r="F4989" i="1"/>
  <c r="I4988" i="1"/>
  <c r="F4988" i="1"/>
  <c r="I4987" i="1"/>
  <c r="F4987" i="1"/>
  <c r="I4986" i="1"/>
  <c r="F4986" i="1"/>
  <c r="I4985" i="1"/>
  <c r="F4985" i="1"/>
  <c r="I4984" i="1"/>
  <c r="F4984" i="1"/>
  <c r="I4983" i="1"/>
  <c r="F4983" i="1"/>
  <c r="I4982" i="1"/>
  <c r="F4982" i="1"/>
  <c r="I4981" i="1"/>
  <c r="F4981" i="1"/>
  <c r="I4980" i="1"/>
  <c r="F4980" i="1"/>
  <c r="I4979" i="1"/>
  <c r="F4979" i="1"/>
  <c r="I4978" i="1"/>
  <c r="F4978" i="1"/>
  <c r="I4977" i="1"/>
  <c r="F4977" i="1"/>
  <c r="I4976" i="1"/>
  <c r="F4976" i="1"/>
  <c r="I4975" i="1"/>
  <c r="F4975" i="1"/>
  <c r="I4974" i="1"/>
  <c r="F4974" i="1"/>
  <c r="I4973" i="1"/>
  <c r="F4973" i="1"/>
  <c r="I4972" i="1"/>
  <c r="F4972" i="1"/>
  <c r="I4971" i="1"/>
  <c r="F4971" i="1"/>
  <c r="I4970" i="1"/>
  <c r="F4970" i="1"/>
  <c r="I4969" i="1"/>
  <c r="F4969" i="1"/>
  <c r="I4968" i="1"/>
  <c r="F4968" i="1"/>
  <c r="I4967" i="1"/>
  <c r="F4967" i="1"/>
  <c r="I4966" i="1"/>
  <c r="F4966" i="1"/>
  <c r="I4965" i="1"/>
  <c r="F4965" i="1"/>
  <c r="I4964" i="1"/>
  <c r="F4964" i="1"/>
  <c r="I4963" i="1"/>
  <c r="F4963" i="1"/>
  <c r="I4962" i="1"/>
  <c r="F4962" i="1"/>
  <c r="I4961" i="1"/>
  <c r="F4961" i="1"/>
  <c r="I4960" i="1"/>
  <c r="F4960" i="1"/>
  <c r="I4959" i="1"/>
  <c r="F4959" i="1"/>
  <c r="I4958" i="1"/>
  <c r="F4958" i="1"/>
  <c r="I4957" i="1"/>
  <c r="F4957" i="1"/>
  <c r="I4956" i="1"/>
  <c r="F4956" i="1"/>
  <c r="I4955" i="1"/>
  <c r="F4955" i="1"/>
  <c r="I4954" i="1"/>
  <c r="F4954" i="1"/>
  <c r="I4953" i="1"/>
  <c r="F4953" i="1"/>
  <c r="I4952" i="1"/>
  <c r="F4952" i="1"/>
  <c r="I4951" i="1"/>
  <c r="F4951" i="1"/>
  <c r="I4950" i="1"/>
  <c r="F4950" i="1"/>
  <c r="I4949" i="1"/>
  <c r="F4949" i="1"/>
  <c r="I4948" i="1"/>
  <c r="F4948" i="1"/>
  <c r="I4947" i="1"/>
  <c r="F4947" i="1"/>
  <c r="I4946" i="1"/>
  <c r="F4946" i="1"/>
  <c r="I4945" i="1"/>
  <c r="F4945" i="1"/>
  <c r="I4944" i="1"/>
  <c r="F4944" i="1"/>
  <c r="I4943" i="1"/>
  <c r="F4943" i="1"/>
  <c r="I4942" i="1"/>
  <c r="F4942" i="1"/>
  <c r="I4941" i="1"/>
  <c r="F4941" i="1"/>
  <c r="I4940" i="1"/>
  <c r="F4940" i="1"/>
  <c r="I4939" i="1"/>
  <c r="F4939" i="1"/>
  <c r="I4938" i="1"/>
  <c r="F4938" i="1"/>
  <c r="I4937" i="1"/>
  <c r="F4937" i="1"/>
  <c r="I4936" i="1"/>
  <c r="F4936" i="1"/>
  <c r="I4935" i="1"/>
  <c r="F4935" i="1"/>
  <c r="I4934" i="1"/>
  <c r="F4934" i="1"/>
  <c r="I4933" i="1"/>
  <c r="F4933" i="1"/>
  <c r="I4932" i="1"/>
  <c r="F4932" i="1"/>
  <c r="I4931" i="1"/>
  <c r="F4931" i="1"/>
  <c r="I4930" i="1"/>
  <c r="F4930" i="1"/>
  <c r="I4929" i="1"/>
  <c r="F4929" i="1"/>
  <c r="I4928" i="1"/>
  <c r="F4928" i="1"/>
  <c r="I4927" i="1"/>
  <c r="F4927" i="1"/>
  <c r="I4926" i="1"/>
  <c r="F4926" i="1"/>
  <c r="I4925" i="1"/>
  <c r="F4925" i="1"/>
  <c r="I4924" i="1"/>
  <c r="F4924" i="1"/>
  <c r="I4923" i="1"/>
  <c r="F4923" i="1"/>
  <c r="I4922" i="1"/>
  <c r="F4922" i="1"/>
  <c r="I4921" i="1"/>
  <c r="F4921" i="1"/>
  <c r="I4920" i="1"/>
  <c r="F4920" i="1"/>
  <c r="I4919" i="1"/>
  <c r="F4919" i="1"/>
  <c r="I4918" i="1"/>
  <c r="F4918" i="1"/>
  <c r="I4917" i="1"/>
  <c r="F4917" i="1"/>
  <c r="I4916" i="1"/>
  <c r="F4916" i="1"/>
  <c r="I4915" i="1"/>
  <c r="F4915" i="1"/>
  <c r="I4914" i="1"/>
  <c r="F4914" i="1"/>
  <c r="I4913" i="1"/>
  <c r="F4913" i="1"/>
  <c r="I4912" i="1"/>
  <c r="F4912" i="1"/>
  <c r="I4911" i="1"/>
  <c r="F4911" i="1"/>
  <c r="I4910" i="1"/>
  <c r="F4910" i="1"/>
  <c r="I4909" i="1"/>
  <c r="F4909" i="1"/>
  <c r="I4908" i="1"/>
  <c r="F4908" i="1"/>
  <c r="I4907" i="1"/>
  <c r="F4907" i="1"/>
  <c r="I4906" i="1"/>
  <c r="F4906" i="1"/>
  <c r="I4905" i="1"/>
  <c r="F4905" i="1"/>
  <c r="I4904" i="1"/>
  <c r="F4904" i="1"/>
  <c r="I4903" i="1"/>
  <c r="F4903" i="1"/>
  <c r="I4902" i="1"/>
  <c r="F4902" i="1"/>
  <c r="I4901" i="1"/>
  <c r="F4901" i="1"/>
  <c r="I4900" i="1"/>
  <c r="F4900" i="1"/>
  <c r="I4899" i="1"/>
  <c r="F4899" i="1"/>
  <c r="I4898" i="1"/>
  <c r="F4898" i="1"/>
  <c r="I4897" i="1"/>
  <c r="F4897" i="1"/>
  <c r="I4896" i="1"/>
  <c r="F4896" i="1"/>
  <c r="I4895" i="1"/>
  <c r="F4895" i="1"/>
  <c r="I4894" i="1"/>
  <c r="F4894" i="1"/>
  <c r="I4893" i="1"/>
  <c r="F4893" i="1"/>
  <c r="I4892" i="1"/>
  <c r="F4892" i="1"/>
  <c r="I4891" i="1"/>
  <c r="F4891" i="1"/>
  <c r="I4890" i="1"/>
  <c r="F4890" i="1"/>
  <c r="I4889" i="1"/>
  <c r="F4889" i="1"/>
  <c r="I4888" i="1"/>
  <c r="F4888" i="1"/>
  <c r="I4887" i="1"/>
  <c r="F4887" i="1"/>
  <c r="I4886" i="1"/>
  <c r="F4886" i="1"/>
  <c r="I4885" i="1"/>
  <c r="F4885" i="1"/>
  <c r="I4884" i="1"/>
  <c r="F4884" i="1"/>
  <c r="I4883" i="1"/>
  <c r="F4883" i="1"/>
  <c r="I4882" i="1"/>
  <c r="F4882" i="1"/>
  <c r="I4881" i="1"/>
  <c r="F4881" i="1"/>
  <c r="I4880" i="1"/>
  <c r="F4880" i="1"/>
  <c r="I4879" i="1"/>
  <c r="F4879" i="1"/>
  <c r="I4878" i="1"/>
  <c r="F4878" i="1"/>
  <c r="I4877" i="1"/>
  <c r="F4877" i="1"/>
  <c r="I4876" i="1"/>
  <c r="F4876" i="1"/>
  <c r="I4875" i="1"/>
  <c r="F4875" i="1"/>
  <c r="I4874" i="1"/>
  <c r="F4874" i="1"/>
  <c r="I4873" i="1"/>
  <c r="F4873" i="1"/>
  <c r="I4872" i="1"/>
  <c r="F4872" i="1"/>
  <c r="I4871" i="1"/>
  <c r="F4871" i="1"/>
  <c r="I4870" i="1"/>
  <c r="F4870" i="1"/>
  <c r="I4869" i="1"/>
  <c r="F4869" i="1"/>
  <c r="I4868" i="1"/>
  <c r="F4868" i="1"/>
  <c r="I4867" i="1"/>
  <c r="F4867" i="1"/>
  <c r="I4866" i="1"/>
  <c r="F4866" i="1"/>
  <c r="I4865" i="1"/>
  <c r="F4865" i="1"/>
  <c r="I4864" i="1"/>
  <c r="F4864" i="1"/>
  <c r="I4863" i="1"/>
  <c r="F4863" i="1"/>
  <c r="I4862" i="1"/>
  <c r="F4862" i="1"/>
  <c r="I4861" i="1"/>
  <c r="F4861" i="1"/>
  <c r="I4860" i="1"/>
  <c r="F4860" i="1"/>
  <c r="I4859" i="1"/>
  <c r="F4859" i="1"/>
  <c r="I4858" i="1"/>
  <c r="F4858" i="1"/>
  <c r="I4857" i="1"/>
  <c r="F4857" i="1"/>
  <c r="I4856" i="1"/>
  <c r="F4856" i="1"/>
  <c r="I4855" i="1"/>
  <c r="F4855" i="1"/>
  <c r="I4854" i="1"/>
  <c r="F4854" i="1"/>
  <c r="I4853" i="1"/>
  <c r="F4853" i="1"/>
  <c r="I4852" i="1"/>
  <c r="F4852" i="1"/>
  <c r="I4851" i="1"/>
  <c r="F4851" i="1"/>
  <c r="I4850" i="1"/>
  <c r="F4850" i="1"/>
  <c r="I4849" i="1"/>
  <c r="F4849" i="1"/>
  <c r="I4848" i="1"/>
  <c r="F4848" i="1"/>
  <c r="I4847" i="1"/>
  <c r="F4847" i="1"/>
  <c r="I4846" i="1"/>
  <c r="F4846" i="1"/>
  <c r="I4845" i="1"/>
  <c r="F4845" i="1"/>
  <c r="I4844" i="1"/>
  <c r="F4844" i="1"/>
  <c r="I4843" i="1"/>
  <c r="F4843" i="1"/>
  <c r="I4842" i="1"/>
  <c r="F4842" i="1"/>
  <c r="I4841" i="1"/>
  <c r="F4841" i="1"/>
  <c r="I4840" i="1"/>
  <c r="F4840" i="1"/>
  <c r="I4839" i="1"/>
  <c r="F4839" i="1"/>
  <c r="I4838" i="1"/>
  <c r="F4838" i="1"/>
  <c r="I4837" i="1"/>
  <c r="F4837" i="1"/>
  <c r="I4836" i="1"/>
  <c r="F4836" i="1"/>
  <c r="I4835" i="1"/>
  <c r="F4835" i="1"/>
  <c r="I4834" i="1"/>
  <c r="F4834" i="1"/>
  <c r="I4833" i="1"/>
  <c r="F4833" i="1"/>
  <c r="I4832" i="1"/>
  <c r="F4832" i="1"/>
  <c r="I4831" i="1"/>
  <c r="F4831" i="1"/>
  <c r="I4830" i="1"/>
  <c r="F4830" i="1"/>
  <c r="I4829" i="1"/>
  <c r="F4829" i="1"/>
  <c r="I4828" i="1"/>
  <c r="F4828" i="1"/>
  <c r="I4827" i="1"/>
  <c r="F4827" i="1"/>
  <c r="I4826" i="1"/>
  <c r="F4826" i="1"/>
  <c r="I4825" i="1"/>
  <c r="F4825" i="1"/>
  <c r="I4824" i="1"/>
  <c r="F4824" i="1"/>
  <c r="I4823" i="1"/>
  <c r="F4823" i="1"/>
  <c r="I4822" i="1"/>
  <c r="F4822" i="1"/>
  <c r="I4821" i="1"/>
  <c r="F4821" i="1"/>
  <c r="I4820" i="1"/>
  <c r="F4820" i="1"/>
  <c r="I4819" i="1"/>
  <c r="F4819" i="1"/>
  <c r="I4818" i="1"/>
  <c r="F4818" i="1"/>
  <c r="I4817" i="1"/>
  <c r="F4817" i="1"/>
  <c r="I4816" i="1"/>
  <c r="F4816" i="1"/>
  <c r="I4815" i="1"/>
  <c r="F4815" i="1"/>
  <c r="I4814" i="1"/>
  <c r="F4814" i="1"/>
  <c r="I4813" i="1"/>
  <c r="F4813" i="1"/>
  <c r="I4812" i="1"/>
  <c r="F4812" i="1"/>
  <c r="I4811" i="1"/>
  <c r="F4811" i="1"/>
  <c r="I4810" i="1"/>
  <c r="F4810" i="1"/>
  <c r="I4809" i="1"/>
  <c r="F4809" i="1"/>
  <c r="I4808" i="1"/>
  <c r="F4808" i="1"/>
  <c r="I4807" i="1"/>
  <c r="F4807" i="1"/>
  <c r="I4806" i="1"/>
  <c r="F4806" i="1"/>
  <c r="I4805" i="1"/>
  <c r="F4805" i="1"/>
  <c r="I4804" i="1"/>
  <c r="F4804" i="1"/>
  <c r="I4803" i="1"/>
  <c r="F4803" i="1"/>
  <c r="I4802" i="1"/>
  <c r="F4802" i="1"/>
  <c r="I4801" i="1"/>
  <c r="F4801" i="1"/>
  <c r="I4800" i="1"/>
  <c r="F4800" i="1"/>
  <c r="I4799" i="1"/>
  <c r="F4799" i="1"/>
  <c r="I4798" i="1"/>
  <c r="F4798" i="1"/>
  <c r="I4797" i="1"/>
  <c r="F4797" i="1"/>
  <c r="I4796" i="1"/>
  <c r="F4796" i="1"/>
  <c r="I4795" i="1"/>
  <c r="F4795" i="1"/>
  <c r="I4794" i="1"/>
  <c r="F4794" i="1"/>
  <c r="I4793" i="1"/>
  <c r="F4793" i="1"/>
  <c r="I4792" i="1"/>
  <c r="F4792" i="1"/>
  <c r="I4791" i="1"/>
  <c r="F4791" i="1"/>
  <c r="I4790" i="1"/>
  <c r="F4790" i="1"/>
  <c r="I4789" i="1"/>
  <c r="F4789" i="1"/>
  <c r="I4788" i="1"/>
  <c r="F4788" i="1"/>
  <c r="I4787" i="1"/>
  <c r="F4787" i="1"/>
  <c r="I4786" i="1"/>
  <c r="F4786" i="1"/>
  <c r="I4785" i="1"/>
  <c r="F4785" i="1"/>
  <c r="I4784" i="1"/>
  <c r="F4784" i="1"/>
  <c r="I4783" i="1"/>
  <c r="F4783" i="1"/>
  <c r="I4782" i="1"/>
  <c r="F4782" i="1"/>
  <c r="I4781" i="1"/>
  <c r="F4781" i="1"/>
  <c r="I4780" i="1"/>
  <c r="F4780" i="1"/>
  <c r="I4779" i="1"/>
  <c r="F4779" i="1"/>
  <c r="I4778" i="1"/>
  <c r="F4778" i="1"/>
  <c r="I4777" i="1"/>
  <c r="F4777" i="1"/>
  <c r="I4776" i="1"/>
  <c r="F4776" i="1"/>
  <c r="I4775" i="1"/>
  <c r="F4775" i="1"/>
  <c r="I4774" i="1"/>
  <c r="F4774" i="1"/>
  <c r="I4773" i="1"/>
  <c r="F4773" i="1"/>
  <c r="I4772" i="1"/>
  <c r="F4772" i="1"/>
  <c r="I4771" i="1"/>
  <c r="F4771" i="1"/>
  <c r="I4770" i="1"/>
  <c r="F4770" i="1"/>
  <c r="I4769" i="1"/>
  <c r="F4769" i="1"/>
  <c r="I4768" i="1"/>
  <c r="F4768" i="1"/>
  <c r="I4767" i="1"/>
  <c r="F4767" i="1"/>
  <c r="I4766" i="1"/>
  <c r="F4766" i="1"/>
  <c r="I4765" i="1"/>
  <c r="F4765" i="1"/>
  <c r="I4764" i="1"/>
  <c r="F4764" i="1"/>
  <c r="I4763" i="1"/>
  <c r="F4763" i="1"/>
  <c r="I4762" i="1"/>
  <c r="F4762" i="1"/>
  <c r="I4761" i="1"/>
  <c r="F4761" i="1"/>
  <c r="I4760" i="1"/>
  <c r="F4760" i="1"/>
  <c r="I4759" i="1"/>
  <c r="F4759" i="1"/>
  <c r="I4758" i="1"/>
  <c r="F4758" i="1"/>
  <c r="I4757" i="1"/>
  <c r="F4757" i="1"/>
  <c r="I4756" i="1"/>
  <c r="F4756" i="1"/>
  <c r="I4755" i="1"/>
  <c r="F4755" i="1"/>
  <c r="I4754" i="1"/>
  <c r="F4754" i="1"/>
  <c r="I4753" i="1"/>
  <c r="F4753" i="1"/>
  <c r="I4752" i="1"/>
  <c r="F4752" i="1"/>
  <c r="I4751" i="1"/>
  <c r="F4751" i="1"/>
  <c r="I4750" i="1"/>
  <c r="F4750" i="1"/>
  <c r="I4749" i="1"/>
  <c r="F4749" i="1"/>
  <c r="I4748" i="1"/>
  <c r="F4748" i="1"/>
  <c r="I4747" i="1"/>
  <c r="F4747" i="1"/>
  <c r="I4746" i="1"/>
  <c r="F4746" i="1"/>
  <c r="I4745" i="1"/>
  <c r="F4745" i="1"/>
  <c r="I4744" i="1"/>
  <c r="F4744" i="1"/>
  <c r="I4743" i="1"/>
  <c r="F4743" i="1"/>
  <c r="I4742" i="1"/>
  <c r="F4742" i="1"/>
  <c r="I4741" i="1"/>
  <c r="F4741" i="1"/>
  <c r="I4740" i="1"/>
  <c r="F4740" i="1"/>
  <c r="I4739" i="1"/>
  <c r="F4739" i="1"/>
  <c r="I4738" i="1"/>
  <c r="F4738" i="1"/>
  <c r="I4737" i="1"/>
  <c r="F4737" i="1"/>
  <c r="I4736" i="1"/>
  <c r="F4736" i="1"/>
  <c r="I4735" i="1"/>
  <c r="F4735" i="1"/>
  <c r="I4734" i="1"/>
  <c r="F4734" i="1"/>
  <c r="I4733" i="1"/>
  <c r="F4733" i="1"/>
  <c r="I4732" i="1"/>
  <c r="F4732" i="1"/>
  <c r="I4731" i="1"/>
  <c r="F4731" i="1"/>
  <c r="I4730" i="1"/>
  <c r="F4730" i="1"/>
  <c r="I4729" i="1"/>
  <c r="F4729" i="1"/>
  <c r="I4728" i="1"/>
  <c r="F4728" i="1"/>
  <c r="I4727" i="1"/>
  <c r="F4727" i="1"/>
  <c r="I4726" i="1"/>
  <c r="F4726" i="1"/>
  <c r="I4725" i="1"/>
  <c r="F4725" i="1"/>
  <c r="I4724" i="1"/>
  <c r="F4724" i="1"/>
  <c r="I4723" i="1"/>
  <c r="F4723" i="1"/>
  <c r="I4722" i="1"/>
  <c r="F4722" i="1"/>
  <c r="I4721" i="1"/>
  <c r="F4721" i="1"/>
  <c r="I4720" i="1"/>
  <c r="F4720" i="1"/>
  <c r="I4719" i="1"/>
  <c r="F4719" i="1"/>
  <c r="I4718" i="1"/>
  <c r="F4718" i="1"/>
  <c r="I4717" i="1"/>
  <c r="F4717" i="1"/>
  <c r="I4716" i="1"/>
  <c r="F4716" i="1"/>
  <c r="I4715" i="1"/>
  <c r="F4715" i="1"/>
  <c r="I4714" i="1"/>
  <c r="F4714" i="1"/>
  <c r="I4713" i="1"/>
  <c r="F4713" i="1"/>
  <c r="I4712" i="1"/>
  <c r="F4712" i="1"/>
  <c r="I4711" i="1"/>
  <c r="F4711" i="1"/>
  <c r="I4710" i="1"/>
  <c r="F4710" i="1"/>
  <c r="I4709" i="1"/>
  <c r="F4709" i="1"/>
  <c r="I4708" i="1"/>
  <c r="F4708" i="1"/>
  <c r="I4707" i="1"/>
  <c r="F4707" i="1"/>
  <c r="I4706" i="1"/>
  <c r="F4706" i="1"/>
  <c r="I4705" i="1"/>
  <c r="F4705" i="1"/>
  <c r="I4704" i="1"/>
  <c r="F4704" i="1"/>
  <c r="I4703" i="1"/>
  <c r="F4703" i="1"/>
  <c r="I4702" i="1"/>
  <c r="F4702" i="1"/>
  <c r="I4701" i="1"/>
  <c r="F4701" i="1"/>
  <c r="I4700" i="1"/>
  <c r="F4700" i="1"/>
  <c r="I4699" i="1"/>
  <c r="F4699" i="1"/>
  <c r="I4698" i="1"/>
  <c r="F4698" i="1"/>
  <c r="I4697" i="1"/>
  <c r="F4697" i="1"/>
  <c r="I4696" i="1"/>
  <c r="F4696" i="1"/>
  <c r="I4695" i="1"/>
  <c r="F4695" i="1"/>
  <c r="I4694" i="1"/>
  <c r="F4694" i="1"/>
  <c r="I4693" i="1"/>
  <c r="F4693" i="1"/>
  <c r="I4692" i="1"/>
  <c r="F4692" i="1"/>
  <c r="I4691" i="1"/>
  <c r="F4691" i="1"/>
  <c r="I4690" i="1"/>
  <c r="F4690" i="1"/>
  <c r="I4689" i="1"/>
  <c r="F4689" i="1"/>
  <c r="I4688" i="1"/>
  <c r="F4688" i="1"/>
  <c r="I4687" i="1"/>
  <c r="F4687" i="1"/>
  <c r="I4686" i="1"/>
  <c r="F4686" i="1"/>
  <c r="I4685" i="1"/>
  <c r="F4685" i="1"/>
  <c r="I4684" i="1"/>
  <c r="F4684" i="1"/>
  <c r="I4683" i="1"/>
  <c r="F4683" i="1"/>
  <c r="I4682" i="1"/>
  <c r="F4682" i="1"/>
  <c r="I4681" i="1"/>
  <c r="F4681" i="1"/>
  <c r="I4680" i="1"/>
  <c r="F4680" i="1"/>
  <c r="I4679" i="1"/>
  <c r="F4679" i="1"/>
  <c r="I4678" i="1"/>
  <c r="F4678" i="1"/>
  <c r="I4677" i="1"/>
  <c r="F4677" i="1"/>
  <c r="I4676" i="1"/>
  <c r="F4676" i="1"/>
  <c r="I4675" i="1"/>
  <c r="F4675" i="1"/>
  <c r="I4674" i="1"/>
  <c r="F4674" i="1"/>
  <c r="I4673" i="1"/>
  <c r="F4673" i="1"/>
  <c r="I4672" i="1"/>
  <c r="F4672" i="1"/>
  <c r="I4671" i="1"/>
  <c r="F4671" i="1"/>
  <c r="I4670" i="1"/>
  <c r="F4670" i="1"/>
  <c r="I4669" i="1"/>
  <c r="F4669" i="1"/>
  <c r="I4668" i="1"/>
  <c r="F4668" i="1"/>
  <c r="I4667" i="1"/>
  <c r="F4667" i="1"/>
  <c r="I4666" i="1"/>
  <c r="F4666" i="1"/>
  <c r="I4665" i="1"/>
  <c r="F4665" i="1"/>
  <c r="I4664" i="1"/>
  <c r="F4664" i="1"/>
  <c r="I4663" i="1"/>
  <c r="F4663" i="1"/>
  <c r="I4662" i="1"/>
  <c r="F4662" i="1"/>
  <c r="I4661" i="1"/>
  <c r="F4661" i="1"/>
  <c r="I4660" i="1"/>
  <c r="F4660" i="1"/>
  <c r="I4659" i="1"/>
  <c r="F4659" i="1"/>
  <c r="I4658" i="1"/>
  <c r="F4658" i="1"/>
  <c r="I4657" i="1"/>
  <c r="F4657" i="1"/>
  <c r="I4656" i="1"/>
  <c r="F4656" i="1"/>
  <c r="I4655" i="1"/>
  <c r="F4655" i="1"/>
  <c r="I4654" i="1"/>
  <c r="F4654" i="1"/>
  <c r="I4653" i="1"/>
  <c r="F4653" i="1"/>
  <c r="I4652" i="1"/>
  <c r="F4652" i="1"/>
  <c r="I4651" i="1"/>
  <c r="F4651" i="1"/>
  <c r="I4650" i="1"/>
  <c r="F4650" i="1"/>
  <c r="I4649" i="1"/>
  <c r="F4649" i="1"/>
  <c r="I4648" i="1"/>
  <c r="F4648" i="1"/>
  <c r="I4647" i="1"/>
  <c r="F4647" i="1"/>
  <c r="I4646" i="1"/>
  <c r="F4646" i="1"/>
  <c r="I4645" i="1"/>
  <c r="F4645" i="1"/>
  <c r="I4644" i="1"/>
  <c r="F4644" i="1"/>
  <c r="I4643" i="1"/>
  <c r="F4643" i="1"/>
  <c r="I4642" i="1"/>
  <c r="F4642" i="1"/>
  <c r="I4641" i="1"/>
  <c r="F4641" i="1"/>
  <c r="I4640" i="1"/>
  <c r="F4640" i="1"/>
  <c r="I4639" i="1"/>
  <c r="F4639" i="1"/>
  <c r="I4638" i="1"/>
  <c r="F4638" i="1"/>
  <c r="I4637" i="1"/>
  <c r="F4637" i="1"/>
  <c r="I4636" i="1"/>
  <c r="F4636" i="1"/>
  <c r="I4635" i="1"/>
  <c r="F4635" i="1"/>
  <c r="I4634" i="1"/>
  <c r="F4634" i="1"/>
  <c r="I4633" i="1"/>
  <c r="F4633" i="1"/>
  <c r="I4632" i="1"/>
  <c r="F4632" i="1"/>
  <c r="I4631" i="1"/>
  <c r="F4631" i="1"/>
  <c r="I4630" i="1"/>
  <c r="F4630" i="1"/>
  <c r="I4629" i="1"/>
  <c r="F4629" i="1"/>
  <c r="I4628" i="1"/>
  <c r="F4628" i="1"/>
  <c r="I4627" i="1"/>
  <c r="F4627" i="1"/>
  <c r="I4626" i="1"/>
  <c r="F4626" i="1"/>
  <c r="I4625" i="1"/>
  <c r="F4625" i="1"/>
  <c r="I4624" i="1"/>
  <c r="F4624" i="1"/>
  <c r="I4623" i="1"/>
  <c r="F4623" i="1"/>
  <c r="I4622" i="1"/>
  <c r="F4622" i="1"/>
  <c r="I4621" i="1"/>
  <c r="F4621" i="1"/>
  <c r="I4620" i="1"/>
  <c r="F4620" i="1"/>
  <c r="I4619" i="1"/>
  <c r="F4619" i="1"/>
  <c r="I4618" i="1"/>
  <c r="F4618" i="1"/>
  <c r="I4617" i="1"/>
  <c r="F4617" i="1"/>
  <c r="I4616" i="1"/>
  <c r="F4616" i="1"/>
  <c r="I4615" i="1"/>
  <c r="F4615" i="1"/>
  <c r="I4614" i="1"/>
  <c r="F4614" i="1"/>
  <c r="I4613" i="1"/>
  <c r="F4613" i="1"/>
  <c r="I4612" i="1"/>
  <c r="F4612" i="1"/>
  <c r="I4611" i="1"/>
  <c r="F4611" i="1"/>
  <c r="I4610" i="1"/>
  <c r="F4610" i="1"/>
  <c r="I4609" i="1"/>
  <c r="F4609" i="1"/>
  <c r="I4608" i="1"/>
  <c r="F4608" i="1"/>
  <c r="I4607" i="1"/>
  <c r="F4607" i="1"/>
  <c r="I4606" i="1"/>
  <c r="F4606" i="1"/>
  <c r="I4605" i="1"/>
  <c r="F4605" i="1"/>
  <c r="I4604" i="1"/>
  <c r="F4604" i="1"/>
  <c r="I4603" i="1"/>
  <c r="F4603" i="1"/>
  <c r="I4602" i="1"/>
  <c r="F4602" i="1"/>
  <c r="I4601" i="1"/>
  <c r="F4601" i="1"/>
  <c r="I4600" i="1"/>
  <c r="F4600" i="1"/>
  <c r="I4599" i="1"/>
  <c r="F4599" i="1"/>
  <c r="I4598" i="1"/>
  <c r="F4598" i="1"/>
  <c r="I4597" i="1"/>
  <c r="F4597" i="1"/>
  <c r="I4596" i="1"/>
  <c r="F4596" i="1"/>
  <c r="I4595" i="1"/>
  <c r="F4595" i="1"/>
  <c r="I4594" i="1"/>
  <c r="F4594" i="1"/>
  <c r="I4593" i="1"/>
  <c r="F4593" i="1"/>
  <c r="I4592" i="1"/>
  <c r="F4592" i="1"/>
  <c r="I4591" i="1"/>
  <c r="F4591" i="1"/>
  <c r="I4590" i="1"/>
  <c r="F4590" i="1"/>
  <c r="I4589" i="1"/>
  <c r="F4589" i="1"/>
  <c r="I4588" i="1"/>
  <c r="F4588" i="1"/>
  <c r="I4587" i="1"/>
  <c r="F4587" i="1"/>
  <c r="I4586" i="1"/>
  <c r="F4586" i="1"/>
  <c r="I4585" i="1"/>
  <c r="F4585" i="1"/>
  <c r="I4584" i="1"/>
  <c r="F4584" i="1"/>
  <c r="I4583" i="1"/>
  <c r="F4583" i="1"/>
  <c r="I4582" i="1"/>
  <c r="F4582" i="1"/>
  <c r="I4581" i="1"/>
  <c r="F4581" i="1"/>
  <c r="I4580" i="1"/>
  <c r="F4580" i="1"/>
  <c r="I4579" i="1"/>
  <c r="F4579" i="1"/>
  <c r="I4578" i="1"/>
  <c r="F4578" i="1"/>
  <c r="I4577" i="1"/>
  <c r="F4577" i="1"/>
  <c r="I4576" i="1"/>
  <c r="F4576" i="1"/>
  <c r="I4575" i="1"/>
  <c r="F4575" i="1"/>
  <c r="I4574" i="1"/>
  <c r="F4574" i="1"/>
  <c r="I4573" i="1"/>
  <c r="F4573" i="1"/>
  <c r="I4572" i="1"/>
  <c r="F4572" i="1"/>
  <c r="I4571" i="1"/>
  <c r="F4571" i="1"/>
  <c r="I4570" i="1"/>
  <c r="F4570" i="1"/>
  <c r="I4569" i="1"/>
  <c r="F4569" i="1"/>
  <c r="I4568" i="1"/>
  <c r="F4568" i="1"/>
  <c r="I4567" i="1"/>
  <c r="F4567" i="1"/>
  <c r="I4566" i="1"/>
  <c r="F4566" i="1"/>
  <c r="I4565" i="1"/>
  <c r="F4565" i="1"/>
  <c r="I4564" i="1"/>
  <c r="F4564" i="1"/>
  <c r="I4563" i="1"/>
  <c r="F4563" i="1"/>
  <c r="I4562" i="1"/>
  <c r="F4562" i="1"/>
  <c r="I4561" i="1"/>
  <c r="F4561" i="1"/>
  <c r="I4560" i="1"/>
  <c r="F4560" i="1"/>
  <c r="I4559" i="1"/>
  <c r="F4559" i="1"/>
  <c r="I4558" i="1"/>
  <c r="F4558" i="1"/>
  <c r="I4557" i="1"/>
  <c r="F4557" i="1"/>
  <c r="I4556" i="1"/>
  <c r="F4556" i="1"/>
  <c r="I4555" i="1"/>
  <c r="F4555" i="1"/>
  <c r="I4554" i="1"/>
  <c r="F4554" i="1"/>
  <c r="I4553" i="1"/>
  <c r="F4553" i="1"/>
  <c r="I4552" i="1"/>
  <c r="F4552" i="1"/>
  <c r="I4551" i="1"/>
  <c r="F4551" i="1"/>
  <c r="I4550" i="1"/>
  <c r="F4550" i="1"/>
  <c r="I4549" i="1"/>
  <c r="F4549" i="1"/>
  <c r="I4548" i="1"/>
  <c r="F4548" i="1"/>
  <c r="I4547" i="1"/>
  <c r="F4547" i="1"/>
  <c r="I4546" i="1"/>
  <c r="F4546" i="1"/>
  <c r="I4545" i="1"/>
  <c r="F4545" i="1"/>
  <c r="I4544" i="1"/>
  <c r="F4544" i="1"/>
  <c r="I4543" i="1"/>
  <c r="F4543" i="1"/>
  <c r="I4542" i="1"/>
  <c r="F4542" i="1"/>
  <c r="I4541" i="1"/>
  <c r="F4541" i="1"/>
  <c r="I4540" i="1"/>
  <c r="F4540" i="1"/>
  <c r="I4539" i="1"/>
  <c r="F4539" i="1"/>
  <c r="I4538" i="1"/>
  <c r="F4538" i="1"/>
  <c r="I4537" i="1"/>
  <c r="F4537" i="1"/>
  <c r="I4536" i="1"/>
  <c r="F4536" i="1"/>
  <c r="I4535" i="1"/>
  <c r="F4535" i="1"/>
  <c r="I4534" i="1"/>
  <c r="F4534" i="1"/>
  <c r="I4533" i="1"/>
  <c r="F4533" i="1"/>
  <c r="I4532" i="1"/>
  <c r="F4532" i="1"/>
  <c r="I4531" i="1"/>
  <c r="F4531" i="1"/>
  <c r="I4530" i="1"/>
  <c r="F4530" i="1"/>
  <c r="I4529" i="1"/>
  <c r="F4529" i="1"/>
  <c r="I4528" i="1"/>
  <c r="F4528" i="1"/>
  <c r="I4527" i="1"/>
  <c r="F4527" i="1"/>
  <c r="I4526" i="1"/>
  <c r="F4526" i="1"/>
  <c r="I4525" i="1"/>
  <c r="F4525" i="1"/>
  <c r="I4524" i="1"/>
  <c r="F4524" i="1"/>
  <c r="I4523" i="1"/>
  <c r="F4523" i="1"/>
  <c r="I4522" i="1"/>
  <c r="F4522" i="1"/>
  <c r="I4521" i="1"/>
  <c r="F4521" i="1"/>
  <c r="I4520" i="1"/>
  <c r="F4520" i="1"/>
  <c r="I4519" i="1"/>
  <c r="F4519" i="1"/>
  <c r="I4518" i="1"/>
  <c r="F4518" i="1"/>
  <c r="I4517" i="1"/>
  <c r="F4517" i="1"/>
  <c r="I4516" i="1"/>
  <c r="F4516" i="1"/>
  <c r="I4515" i="1"/>
  <c r="F4515" i="1"/>
  <c r="I4514" i="1"/>
  <c r="F4514" i="1"/>
  <c r="I4513" i="1"/>
  <c r="F4513" i="1"/>
  <c r="I4512" i="1"/>
  <c r="F4512" i="1"/>
  <c r="I4511" i="1"/>
  <c r="F4511" i="1"/>
  <c r="I4510" i="1"/>
  <c r="F4510" i="1"/>
  <c r="I4509" i="1"/>
  <c r="F4509" i="1"/>
  <c r="I4508" i="1"/>
  <c r="F4508" i="1"/>
  <c r="I4507" i="1"/>
  <c r="F4507" i="1"/>
  <c r="I4506" i="1"/>
  <c r="F4506" i="1"/>
  <c r="I4505" i="1"/>
  <c r="F4505" i="1"/>
  <c r="I4504" i="1"/>
  <c r="F4504" i="1"/>
  <c r="I4503" i="1"/>
  <c r="F4503" i="1"/>
  <c r="I4502" i="1"/>
  <c r="F4502" i="1"/>
  <c r="I4501" i="1"/>
  <c r="F4501" i="1"/>
  <c r="I4500" i="1"/>
  <c r="F4500" i="1"/>
  <c r="I4499" i="1"/>
  <c r="F4499" i="1"/>
  <c r="I4498" i="1"/>
  <c r="F4498" i="1"/>
  <c r="I4497" i="1"/>
  <c r="F4497" i="1"/>
  <c r="I4496" i="1"/>
  <c r="F4496" i="1"/>
  <c r="I4495" i="1"/>
  <c r="F4495" i="1"/>
  <c r="I4494" i="1"/>
  <c r="F4494" i="1"/>
  <c r="I4493" i="1"/>
  <c r="F4493" i="1"/>
  <c r="I4492" i="1"/>
  <c r="F4492" i="1"/>
  <c r="I4491" i="1"/>
  <c r="F4491" i="1"/>
  <c r="I4490" i="1"/>
  <c r="F4490" i="1"/>
  <c r="I4489" i="1"/>
  <c r="F4489" i="1"/>
  <c r="I4488" i="1"/>
  <c r="F4488" i="1"/>
  <c r="I4487" i="1"/>
  <c r="F4487" i="1"/>
  <c r="I4486" i="1"/>
  <c r="F4486" i="1"/>
  <c r="I4485" i="1"/>
  <c r="F4485" i="1"/>
  <c r="I4484" i="1"/>
  <c r="F4484" i="1"/>
  <c r="I4483" i="1"/>
  <c r="F4483" i="1"/>
  <c r="I4482" i="1"/>
  <c r="F4482" i="1"/>
  <c r="I4481" i="1"/>
  <c r="F4481" i="1"/>
  <c r="I4480" i="1"/>
  <c r="F4480" i="1"/>
  <c r="I4479" i="1"/>
  <c r="F4479" i="1"/>
  <c r="I4478" i="1"/>
  <c r="F4478" i="1"/>
  <c r="I4477" i="1"/>
  <c r="F4477" i="1"/>
  <c r="I4476" i="1"/>
  <c r="F4476" i="1"/>
  <c r="I4475" i="1"/>
  <c r="F4475" i="1"/>
  <c r="I4474" i="1"/>
  <c r="F4474" i="1"/>
  <c r="I4473" i="1"/>
  <c r="F4473" i="1"/>
  <c r="I4472" i="1"/>
  <c r="F4472" i="1"/>
  <c r="I4471" i="1"/>
  <c r="F4471" i="1"/>
  <c r="I4470" i="1"/>
  <c r="F4470" i="1"/>
  <c r="I4469" i="1"/>
  <c r="F4469" i="1"/>
  <c r="I4468" i="1"/>
  <c r="F4468" i="1"/>
  <c r="I4467" i="1"/>
  <c r="F4467" i="1"/>
  <c r="I4466" i="1"/>
  <c r="F4466" i="1"/>
  <c r="I4465" i="1"/>
  <c r="F4465" i="1"/>
  <c r="I4464" i="1"/>
  <c r="F4464" i="1"/>
  <c r="I4463" i="1"/>
  <c r="F4463" i="1"/>
  <c r="I4462" i="1"/>
  <c r="F4462" i="1"/>
  <c r="I4461" i="1"/>
  <c r="F4461" i="1"/>
  <c r="I4460" i="1"/>
  <c r="F4460" i="1"/>
  <c r="I4459" i="1"/>
  <c r="F4459" i="1"/>
  <c r="I4458" i="1"/>
  <c r="F4458" i="1"/>
  <c r="I4457" i="1"/>
  <c r="F4457" i="1"/>
  <c r="I4456" i="1"/>
  <c r="F4456" i="1"/>
  <c r="I4455" i="1"/>
  <c r="F4455" i="1"/>
  <c r="I4454" i="1"/>
  <c r="F4454" i="1"/>
  <c r="I4453" i="1"/>
  <c r="F4453" i="1"/>
  <c r="I4452" i="1"/>
  <c r="F4452" i="1"/>
  <c r="I4451" i="1"/>
  <c r="F4451" i="1"/>
  <c r="I4450" i="1"/>
  <c r="F4450" i="1"/>
  <c r="I4449" i="1"/>
  <c r="F4449" i="1"/>
  <c r="I4448" i="1"/>
  <c r="F4448" i="1"/>
  <c r="I4447" i="1"/>
  <c r="F4447" i="1"/>
  <c r="I4446" i="1"/>
  <c r="F4446" i="1"/>
  <c r="I4445" i="1"/>
  <c r="F4445" i="1"/>
  <c r="I4444" i="1"/>
  <c r="F4444" i="1"/>
  <c r="I4443" i="1"/>
  <c r="F4443" i="1"/>
  <c r="I4442" i="1"/>
  <c r="F4442" i="1"/>
  <c r="I4441" i="1"/>
  <c r="F4441" i="1"/>
  <c r="I4440" i="1"/>
  <c r="F4440" i="1"/>
  <c r="I4439" i="1"/>
  <c r="F4439" i="1"/>
  <c r="I4438" i="1"/>
  <c r="F4438" i="1"/>
  <c r="I4437" i="1"/>
  <c r="F4437" i="1"/>
  <c r="I4436" i="1"/>
  <c r="F4436" i="1"/>
  <c r="I4435" i="1"/>
  <c r="F4435" i="1"/>
  <c r="I4434" i="1"/>
  <c r="F4434" i="1"/>
  <c r="I4433" i="1"/>
  <c r="F4433" i="1"/>
  <c r="I4432" i="1"/>
  <c r="F4432" i="1"/>
  <c r="I4431" i="1"/>
  <c r="F4431" i="1"/>
  <c r="I4430" i="1"/>
  <c r="F4430" i="1"/>
  <c r="I4429" i="1"/>
  <c r="F4429" i="1"/>
  <c r="I4428" i="1"/>
  <c r="F4428" i="1"/>
  <c r="I4427" i="1"/>
  <c r="F4427" i="1"/>
  <c r="I4426" i="1"/>
  <c r="F4426" i="1"/>
  <c r="I4425" i="1"/>
  <c r="F4425" i="1"/>
  <c r="I4424" i="1"/>
  <c r="F4424" i="1"/>
  <c r="I4423" i="1"/>
  <c r="F4423" i="1"/>
  <c r="I4422" i="1"/>
  <c r="F4422" i="1"/>
  <c r="I4421" i="1"/>
  <c r="F4421" i="1"/>
  <c r="I4420" i="1"/>
  <c r="F4420" i="1"/>
  <c r="I4419" i="1"/>
  <c r="F4419" i="1"/>
  <c r="I4418" i="1"/>
  <c r="F4418" i="1"/>
  <c r="I4417" i="1"/>
  <c r="F4417" i="1"/>
  <c r="I4416" i="1"/>
  <c r="F4416" i="1"/>
  <c r="I4415" i="1"/>
  <c r="F4415" i="1"/>
  <c r="I4414" i="1"/>
  <c r="F4414" i="1"/>
  <c r="I4413" i="1"/>
  <c r="F4413" i="1"/>
  <c r="I4412" i="1"/>
  <c r="F4412" i="1"/>
  <c r="I4411" i="1"/>
  <c r="F4411" i="1"/>
  <c r="I4410" i="1"/>
  <c r="F4410" i="1"/>
  <c r="I4409" i="1"/>
  <c r="F4409" i="1"/>
  <c r="I4408" i="1"/>
  <c r="F4408" i="1"/>
  <c r="I4407" i="1"/>
  <c r="F4407" i="1"/>
  <c r="I4406" i="1"/>
  <c r="F4406" i="1"/>
  <c r="I4405" i="1"/>
  <c r="F4405" i="1"/>
  <c r="I4404" i="1"/>
  <c r="F4404" i="1"/>
  <c r="I4403" i="1"/>
  <c r="F4403" i="1"/>
  <c r="I4402" i="1"/>
  <c r="F4402" i="1"/>
  <c r="I4401" i="1"/>
  <c r="F4401" i="1"/>
  <c r="I4400" i="1"/>
  <c r="F4400" i="1"/>
  <c r="I4399" i="1"/>
  <c r="F4399" i="1"/>
  <c r="I4398" i="1"/>
  <c r="F4398" i="1"/>
  <c r="I4397" i="1"/>
  <c r="F4397" i="1"/>
  <c r="I4396" i="1"/>
  <c r="F4396" i="1"/>
  <c r="I4395" i="1"/>
  <c r="F4395" i="1"/>
  <c r="I4394" i="1"/>
  <c r="F4394" i="1"/>
  <c r="I4393" i="1"/>
  <c r="F4393" i="1"/>
  <c r="I4392" i="1"/>
  <c r="F4392" i="1"/>
  <c r="I4391" i="1"/>
  <c r="F4391" i="1"/>
  <c r="I4390" i="1"/>
  <c r="F4390" i="1"/>
  <c r="I4389" i="1"/>
  <c r="F4389" i="1"/>
  <c r="I4388" i="1"/>
  <c r="F4388" i="1"/>
  <c r="I4387" i="1"/>
  <c r="F4387" i="1"/>
  <c r="I4386" i="1"/>
  <c r="F4386" i="1"/>
  <c r="I4385" i="1"/>
  <c r="F4385" i="1"/>
  <c r="I4384" i="1"/>
  <c r="F4384" i="1"/>
  <c r="I4383" i="1"/>
  <c r="F4383" i="1"/>
  <c r="I4382" i="1"/>
  <c r="F4382" i="1"/>
  <c r="I4381" i="1"/>
  <c r="F4381" i="1"/>
  <c r="I4380" i="1"/>
  <c r="F4380" i="1"/>
  <c r="I4379" i="1"/>
  <c r="F4379" i="1"/>
  <c r="I4378" i="1"/>
  <c r="F4378" i="1"/>
  <c r="I4377" i="1"/>
  <c r="F4377" i="1"/>
  <c r="I4376" i="1"/>
  <c r="F4376" i="1"/>
  <c r="I4375" i="1"/>
  <c r="F4375" i="1"/>
  <c r="I4374" i="1"/>
  <c r="F4374" i="1"/>
  <c r="I4373" i="1"/>
  <c r="F4373" i="1"/>
  <c r="I4372" i="1"/>
  <c r="F4372" i="1"/>
  <c r="I4371" i="1"/>
  <c r="F4371" i="1"/>
  <c r="I4370" i="1"/>
  <c r="F4370" i="1"/>
  <c r="I4369" i="1"/>
  <c r="F4369" i="1"/>
  <c r="I4368" i="1"/>
  <c r="F4368" i="1"/>
  <c r="I4367" i="1"/>
  <c r="F4367" i="1"/>
  <c r="I4366" i="1"/>
  <c r="F4366" i="1"/>
  <c r="I4365" i="1"/>
  <c r="F4365" i="1"/>
  <c r="I4364" i="1"/>
  <c r="F4364" i="1"/>
  <c r="I4363" i="1"/>
  <c r="F4363" i="1"/>
  <c r="I4362" i="1"/>
  <c r="F4362" i="1"/>
  <c r="I4361" i="1"/>
  <c r="F4361" i="1"/>
  <c r="I4360" i="1"/>
  <c r="F4360" i="1"/>
  <c r="I4359" i="1"/>
  <c r="F4359" i="1"/>
  <c r="I4358" i="1"/>
  <c r="F4358" i="1"/>
  <c r="I4357" i="1"/>
  <c r="F4357" i="1"/>
  <c r="I4356" i="1"/>
  <c r="F4356" i="1"/>
  <c r="I4355" i="1"/>
  <c r="F4355" i="1"/>
  <c r="I4354" i="1"/>
  <c r="F4354" i="1"/>
  <c r="I4353" i="1"/>
  <c r="F4353" i="1"/>
  <c r="I4352" i="1"/>
  <c r="F4352" i="1"/>
  <c r="I4351" i="1"/>
  <c r="F4351" i="1"/>
  <c r="I4350" i="1"/>
  <c r="F4350" i="1"/>
  <c r="I4349" i="1"/>
  <c r="F4349" i="1"/>
  <c r="I4348" i="1"/>
  <c r="F4348" i="1"/>
  <c r="I4347" i="1"/>
  <c r="F4347" i="1"/>
  <c r="I4346" i="1"/>
  <c r="F4346" i="1"/>
  <c r="I4345" i="1"/>
  <c r="F4345" i="1"/>
  <c r="I4344" i="1"/>
  <c r="F4344" i="1"/>
  <c r="I4343" i="1"/>
  <c r="F4343" i="1"/>
  <c r="I4342" i="1"/>
  <c r="F4342" i="1"/>
  <c r="I4341" i="1"/>
  <c r="F4341" i="1"/>
  <c r="I4340" i="1"/>
  <c r="F4340" i="1"/>
  <c r="I4339" i="1"/>
  <c r="F4339" i="1"/>
  <c r="I4338" i="1"/>
  <c r="F4338" i="1"/>
  <c r="I4337" i="1"/>
  <c r="F4337" i="1"/>
  <c r="I4336" i="1"/>
  <c r="F4336" i="1"/>
  <c r="I4335" i="1"/>
  <c r="F4335" i="1"/>
  <c r="I4334" i="1"/>
  <c r="F4334" i="1"/>
  <c r="I4333" i="1"/>
  <c r="F4333" i="1"/>
  <c r="I4332" i="1"/>
  <c r="F4332" i="1"/>
  <c r="I4331" i="1"/>
  <c r="F4331" i="1"/>
  <c r="I4330" i="1"/>
  <c r="F4330" i="1"/>
  <c r="I4329" i="1"/>
  <c r="F4329" i="1"/>
  <c r="I4328" i="1"/>
  <c r="F4328" i="1"/>
  <c r="I4327" i="1"/>
  <c r="F4327" i="1"/>
  <c r="I4326" i="1"/>
  <c r="F4326" i="1"/>
  <c r="I4325" i="1"/>
  <c r="F4325" i="1"/>
  <c r="I4324" i="1"/>
  <c r="F4324" i="1"/>
  <c r="I4323" i="1"/>
  <c r="F4323" i="1"/>
  <c r="I4322" i="1"/>
  <c r="F4322" i="1"/>
  <c r="I4321" i="1"/>
  <c r="F4321" i="1"/>
  <c r="I4320" i="1"/>
  <c r="F4320" i="1"/>
  <c r="I4319" i="1"/>
  <c r="F4319" i="1"/>
  <c r="I4318" i="1"/>
  <c r="F4318" i="1"/>
  <c r="I4317" i="1"/>
  <c r="F4317" i="1"/>
  <c r="I4316" i="1"/>
  <c r="F4316" i="1"/>
  <c r="I4315" i="1"/>
  <c r="F4315" i="1"/>
  <c r="I4314" i="1"/>
  <c r="F4314" i="1"/>
  <c r="I4313" i="1"/>
  <c r="F4313" i="1"/>
  <c r="I4312" i="1"/>
  <c r="F4312" i="1"/>
  <c r="I4311" i="1"/>
  <c r="F4311" i="1"/>
  <c r="I4310" i="1"/>
  <c r="F4310" i="1"/>
  <c r="I4309" i="1"/>
  <c r="F4309" i="1"/>
  <c r="I4308" i="1"/>
  <c r="F4308" i="1"/>
  <c r="I4307" i="1"/>
  <c r="F4307" i="1"/>
  <c r="I4306" i="1"/>
  <c r="F4306" i="1"/>
  <c r="I4305" i="1"/>
  <c r="F4305" i="1"/>
  <c r="I4304" i="1"/>
  <c r="F4304" i="1"/>
  <c r="I4303" i="1"/>
  <c r="F4303" i="1"/>
  <c r="I4302" i="1"/>
  <c r="F4302" i="1"/>
  <c r="I4301" i="1"/>
  <c r="F4301" i="1"/>
  <c r="I4300" i="1"/>
  <c r="F4300" i="1"/>
  <c r="I4299" i="1"/>
  <c r="F4299" i="1"/>
  <c r="I4298" i="1"/>
  <c r="F4298" i="1"/>
  <c r="I4297" i="1"/>
  <c r="F4297" i="1"/>
  <c r="I4296" i="1"/>
  <c r="F4296" i="1"/>
  <c r="I4295" i="1"/>
  <c r="F4295" i="1"/>
  <c r="I4294" i="1"/>
  <c r="F4294" i="1"/>
  <c r="I4293" i="1"/>
  <c r="F4293" i="1"/>
  <c r="I4292" i="1"/>
  <c r="F4292" i="1"/>
  <c r="I4291" i="1"/>
  <c r="F4291" i="1"/>
  <c r="I4290" i="1"/>
  <c r="F4290" i="1"/>
  <c r="I4289" i="1"/>
  <c r="F4289" i="1"/>
  <c r="I4288" i="1"/>
  <c r="F4288" i="1"/>
  <c r="I4287" i="1"/>
  <c r="F4287" i="1"/>
  <c r="I4286" i="1"/>
  <c r="F4286" i="1"/>
  <c r="I4285" i="1"/>
  <c r="F4285" i="1"/>
  <c r="I4284" i="1"/>
  <c r="F4284" i="1"/>
  <c r="I4283" i="1"/>
  <c r="F4283" i="1"/>
  <c r="I4282" i="1"/>
  <c r="F4282" i="1"/>
  <c r="I4281" i="1"/>
  <c r="F4281" i="1"/>
  <c r="I4280" i="1"/>
  <c r="F4280" i="1"/>
  <c r="I4279" i="1"/>
  <c r="F4279" i="1"/>
  <c r="I4278" i="1"/>
  <c r="F4278" i="1"/>
  <c r="I4277" i="1"/>
  <c r="F4277" i="1"/>
  <c r="I4276" i="1"/>
  <c r="F4276" i="1"/>
  <c r="I4275" i="1"/>
  <c r="F4275" i="1"/>
  <c r="I4274" i="1"/>
  <c r="F4274" i="1"/>
  <c r="I4273" i="1"/>
  <c r="F4273" i="1"/>
  <c r="I4272" i="1"/>
  <c r="F4272" i="1"/>
  <c r="I4271" i="1"/>
  <c r="F4271" i="1"/>
  <c r="I4270" i="1"/>
  <c r="F4270" i="1"/>
  <c r="I4269" i="1"/>
  <c r="F4269" i="1"/>
  <c r="I4268" i="1"/>
  <c r="F4268" i="1"/>
  <c r="I4267" i="1"/>
  <c r="F4267" i="1"/>
  <c r="I4266" i="1"/>
  <c r="F4266" i="1"/>
  <c r="I4265" i="1"/>
  <c r="F4265" i="1"/>
  <c r="I4264" i="1"/>
  <c r="F4264" i="1"/>
  <c r="I4263" i="1"/>
  <c r="F4263" i="1"/>
  <c r="I4262" i="1"/>
  <c r="F4262" i="1"/>
  <c r="I4261" i="1"/>
  <c r="F4261" i="1"/>
  <c r="I4260" i="1"/>
  <c r="F4260" i="1"/>
  <c r="I4259" i="1"/>
  <c r="F4259" i="1"/>
  <c r="I4258" i="1"/>
  <c r="F4258" i="1"/>
  <c r="I4257" i="1"/>
  <c r="F4257" i="1"/>
  <c r="I4256" i="1"/>
  <c r="F4256" i="1"/>
  <c r="I4255" i="1"/>
  <c r="F4255" i="1"/>
  <c r="I4254" i="1"/>
  <c r="F4254" i="1"/>
  <c r="I4253" i="1"/>
  <c r="F4253" i="1"/>
  <c r="I4252" i="1"/>
  <c r="F4252" i="1"/>
  <c r="I4251" i="1"/>
  <c r="F4251" i="1"/>
  <c r="I4250" i="1"/>
  <c r="F4250" i="1"/>
  <c r="I4249" i="1"/>
  <c r="F4249" i="1"/>
  <c r="I4248" i="1"/>
  <c r="F4248" i="1"/>
  <c r="I4247" i="1"/>
  <c r="F4247" i="1"/>
  <c r="I4246" i="1"/>
  <c r="F4246" i="1"/>
  <c r="I4245" i="1"/>
  <c r="F4245" i="1"/>
  <c r="I4244" i="1"/>
  <c r="F4244" i="1"/>
  <c r="I4243" i="1"/>
  <c r="F4243" i="1"/>
  <c r="I4242" i="1"/>
  <c r="F4242" i="1"/>
  <c r="I4241" i="1"/>
  <c r="F4241" i="1"/>
  <c r="I4240" i="1"/>
  <c r="F4240" i="1"/>
  <c r="I4239" i="1"/>
  <c r="F4239" i="1"/>
  <c r="I4238" i="1"/>
  <c r="F4238" i="1"/>
  <c r="I4237" i="1"/>
  <c r="F4237" i="1"/>
  <c r="I4236" i="1"/>
  <c r="F4236" i="1"/>
  <c r="I4235" i="1"/>
  <c r="F4235" i="1"/>
  <c r="I4234" i="1"/>
  <c r="F4234" i="1"/>
  <c r="I4233" i="1"/>
  <c r="F4233" i="1"/>
  <c r="I4232" i="1"/>
  <c r="F4232" i="1"/>
  <c r="I4231" i="1"/>
  <c r="F4231" i="1"/>
  <c r="I4230" i="1"/>
  <c r="F4230" i="1"/>
  <c r="I4229" i="1"/>
  <c r="F4229" i="1"/>
  <c r="I4228" i="1"/>
  <c r="F4228" i="1"/>
  <c r="I4227" i="1"/>
  <c r="F4227" i="1"/>
  <c r="I4226" i="1"/>
  <c r="F4226" i="1"/>
  <c r="I4225" i="1"/>
  <c r="F4225" i="1"/>
  <c r="I4224" i="1"/>
  <c r="F4224" i="1"/>
  <c r="I4223" i="1"/>
  <c r="F4223" i="1"/>
  <c r="I4222" i="1"/>
  <c r="F4222" i="1"/>
  <c r="I4221" i="1"/>
  <c r="F4221" i="1"/>
  <c r="I4220" i="1"/>
  <c r="F4220" i="1"/>
  <c r="I4219" i="1"/>
  <c r="F4219" i="1"/>
  <c r="I4218" i="1"/>
  <c r="F4218" i="1"/>
  <c r="I4217" i="1"/>
  <c r="F4217" i="1"/>
  <c r="I4216" i="1"/>
  <c r="F4216" i="1"/>
  <c r="I4215" i="1"/>
  <c r="F4215" i="1"/>
  <c r="I4214" i="1"/>
  <c r="F4214" i="1"/>
  <c r="I4213" i="1"/>
  <c r="F4213" i="1"/>
  <c r="I4212" i="1"/>
  <c r="F4212" i="1"/>
  <c r="I4211" i="1"/>
  <c r="F4211" i="1"/>
  <c r="I4210" i="1"/>
  <c r="F4210" i="1"/>
  <c r="I4209" i="1"/>
  <c r="F4209" i="1"/>
  <c r="I4208" i="1"/>
  <c r="F4208" i="1"/>
  <c r="I4207" i="1"/>
  <c r="F4207" i="1"/>
  <c r="I4206" i="1"/>
  <c r="F4206" i="1"/>
  <c r="I4205" i="1"/>
  <c r="F4205" i="1"/>
  <c r="I4204" i="1"/>
  <c r="F4204" i="1"/>
  <c r="I4203" i="1"/>
  <c r="F4203" i="1"/>
  <c r="I4202" i="1"/>
  <c r="F4202" i="1"/>
  <c r="I4201" i="1"/>
  <c r="F4201" i="1"/>
  <c r="I4200" i="1"/>
  <c r="F4200" i="1"/>
  <c r="I4199" i="1"/>
  <c r="F4199" i="1"/>
  <c r="I4198" i="1"/>
  <c r="F4198" i="1"/>
  <c r="I4197" i="1"/>
  <c r="F4197" i="1"/>
  <c r="I4196" i="1"/>
  <c r="F4196" i="1"/>
  <c r="I4195" i="1"/>
  <c r="F4195" i="1"/>
  <c r="I4194" i="1"/>
  <c r="F4194" i="1"/>
  <c r="I4193" i="1"/>
  <c r="F4193" i="1"/>
  <c r="I4192" i="1"/>
  <c r="F4192" i="1"/>
  <c r="I4191" i="1"/>
  <c r="F4191" i="1"/>
  <c r="I4190" i="1"/>
  <c r="F4190" i="1"/>
  <c r="I4189" i="1"/>
  <c r="F4189" i="1"/>
  <c r="I4188" i="1"/>
  <c r="F4188" i="1"/>
  <c r="I4187" i="1"/>
  <c r="F4187" i="1"/>
  <c r="I4186" i="1"/>
  <c r="F4186" i="1"/>
  <c r="I4185" i="1"/>
  <c r="F4185" i="1"/>
  <c r="I4184" i="1"/>
  <c r="F4184" i="1"/>
  <c r="I4183" i="1"/>
  <c r="F4183" i="1"/>
  <c r="I4182" i="1"/>
  <c r="F4182" i="1"/>
  <c r="I4181" i="1"/>
  <c r="F4181" i="1"/>
  <c r="I4180" i="1"/>
  <c r="F4180" i="1"/>
  <c r="I4179" i="1"/>
  <c r="F4179" i="1"/>
  <c r="I4178" i="1"/>
  <c r="F4178" i="1"/>
  <c r="I4177" i="1"/>
  <c r="F4177" i="1"/>
  <c r="I4176" i="1"/>
  <c r="F4176" i="1"/>
  <c r="I4175" i="1"/>
  <c r="F4175" i="1"/>
  <c r="I4174" i="1"/>
  <c r="F4174" i="1"/>
  <c r="I4173" i="1"/>
  <c r="F4173" i="1"/>
  <c r="I4172" i="1"/>
  <c r="F4172" i="1"/>
  <c r="I4171" i="1"/>
  <c r="F4171" i="1"/>
  <c r="I4170" i="1"/>
  <c r="F4170" i="1"/>
  <c r="I4169" i="1"/>
  <c r="F4169" i="1"/>
  <c r="I4168" i="1"/>
  <c r="F4168" i="1"/>
  <c r="I4167" i="1"/>
  <c r="F4167" i="1"/>
  <c r="I4166" i="1"/>
  <c r="F4166" i="1"/>
  <c r="I4165" i="1"/>
  <c r="F4165" i="1"/>
  <c r="I4164" i="1"/>
  <c r="F4164" i="1"/>
  <c r="I4163" i="1"/>
  <c r="F4163" i="1"/>
  <c r="I4162" i="1"/>
  <c r="F4162" i="1"/>
  <c r="I4161" i="1"/>
  <c r="F4161" i="1"/>
  <c r="I4160" i="1"/>
  <c r="F4160" i="1"/>
  <c r="I4159" i="1"/>
  <c r="F4159" i="1"/>
  <c r="I4158" i="1"/>
  <c r="F4158" i="1"/>
  <c r="I4157" i="1"/>
  <c r="F4157" i="1"/>
  <c r="I4156" i="1"/>
  <c r="F4156" i="1"/>
  <c r="I4155" i="1"/>
  <c r="F4155" i="1"/>
  <c r="I4154" i="1"/>
  <c r="F4154" i="1"/>
  <c r="I4153" i="1"/>
  <c r="F4153" i="1"/>
  <c r="I4152" i="1"/>
  <c r="F4152" i="1"/>
  <c r="I4151" i="1"/>
  <c r="F4151" i="1"/>
  <c r="I4150" i="1"/>
  <c r="F4150" i="1"/>
  <c r="I4149" i="1"/>
  <c r="F4149" i="1"/>
  <c r="I4148" i="1"/>
  <c r="F4148" i="1"/>
  <c r="I4147" i="1"/>
  <c r="F4147" i="1"/>
  <c r="I4146" i="1"/>
  <c r="F4146" i="1"/>
  <c r="I4145" i="1"/>
  <c r="F4145" i="1"/>
  <c r="I4144" i="1"/>
  <c r="F4144" i="1"/>
  <c r="I4143" i="1"/>
  <c r="F4143" i="1"/>
  <c r="I4142" i="1"/>
  <c r="F4142" i="1"/>
  <c r="I4141" i="1"/>
  <c r="F4141" i="1"/>
  <c r="I4140" i="1"/>
  <c r="F4140" i="1"/>
  <c r="I4139" i="1"/>
  <c r="F4139" i="1"/>
  <c r="I4138" i="1"/>
  <c r="F4138" i="1"/>
  <c r="I4137" i="1"/>
  <c r="F4137" i="1"/>
  <c r="I4136" i="1"/>
  <c r="F4136" i="1"/>
  <c r="I4135" i="1"/>
  <c r="F4135" i="1"/>
  <c r="I4134" i="1"/>
  <c r="F4134" i="1"/>
  <c r="I4133" i="1"/>
  <c r="F4133" i="1"/>
  <c r="I4132" i="1"/>
  <c r="F4132" i="1"/>
  <c r="I4131" i="1"/>
  <c r="F4131" i="1"/>
  <c r="I4130" i="1"/>
  <c r="F4130" i="1"/>
  <c r="I4129" i="1"/>
  <c r="F4129" i="1"/>
  <c r="I4128" i="1"/>
  <c r="F4128" i="1"/>
  <c r="I4127" i="1"/>
  <c r="F4127" i="1"/>
  <c r="I4126" i="1"/>
  <c r="F4126" i="1"/>
  <c r="I4125" i="1"/>
  <c r="F4125" i="1"/>
  <c r="I4124" i="1"/>
  <c r="F4124" i="1"/>
  <c r="I4123" i="1"/>
  <c r="F4123" i="1"/>
  <c r="I4122" i="1"/>
  <c r="F4122" i="1"/>
  <c r="I4121" i="1"/>
  <c r="F4121" i="1"/>
  <c r="I4120" i="1"/>
  <c r="F4120" i="1"/>
  <c r="I4119" i="1"/>
  <c r="F4119" i="1"/>
  <c r="I4118" i="1"/>
  <c r="F4118" i="1"/>
  <c r="I4117" i="1"/>
  <c r="F4117" i="1"/>
  <c r="I4116" i="1"/>
  <c r="F4116" i="1"/>
  <c r="I4115" i="1"/>
  <c r="F4115" i="1"/>
  <c r="I4114" i="1"/>
  <c r="F4114" i="1"/>
  <c r="I4113" i="1"/>
  <c r="F4113" i="1"/>
  <c r="I4112" i="1"/>
  <c r="F4112" i="1"/>
  <c r="I4111" i="1"/>
  <c r="F4111" i="1"/>
  <c r="I4110" i="1"/>
  <c r="F4110" i="1"/>
  <c r="I4109" i="1"/>
  <c r="F4109" i="1"/>
  <c r="I4108" i="1"/>
  <c r="F4108" i="1"/>
  <c r="I4107" i="1"/>
  <c r="F4107" i="1"/>
  <c r="I4106" i="1"/>
  <c r="F4106" i="1"/>
  <c r="I4105" i="1"/>
  <c r="F4105" i="1"/>
  <c r="I4104" i="1"/>
  <c r="F4104" i="1"/>
  <c r="I4103" i="1"/>
  <c r="F4103" i="1"/>
  <c r="I4102" i="1"/>
  <c r="F4102" i="1"/>
  <c r="I4101" i="1"/>
  <c r="F4101" i="1"/>
  <c r="I4100" i="1"/>
  <c r="F4100" i="1"/>
  <c r="I4099" i="1"/>
  <c r="F4099" i="1"/>
  <c r="I4098" i="1"/>
  <c r="F4098" i="1"/>
  <c r="I4097" i="1"/>
  <c r="F4097" i="1"/>
  <c r="I4096" i="1"/>
  <c r="F4096" i="1"/>
  <c r="I4095" i="1"/>
  <c r="F4095" i="1"/>
  <c r="I4094" i="1"/>
  <c r="F4094" i="1"/>
  <c r="I4093" i="1"/>
  <c r="F4093" i="1"/>
  <c r="I4092" i="1"/>
  <c r="F4092" i="1"/>
  <c r="I4091" i="1"/>
  <c r="F4091" i="1"/>
  <c r="I4090" i="1"/>
  <c r="F4090" i="1"/>
  <c r="I4089" i="1"/>
  <c r="F4089" i="1"/>
  <c r="I4088" i="1"/>
  <c r="F4088" i="1"/>
  <c r="I4087" i="1"/>
  <c r="F4087" i="1"/>
  <c r="I4086" i="1"/>
  <c r="F4086" i="1"/>
  <c r="I4085" i="1"/>
  <c r="F4085" i="1"/>
  <c r="I4084" i="1"/>
  <c r="F4084" i="1"/>
  <c r="I4083" i="1"/>
  <c r="F4083" i="1"/>
  <c r="I4082" i="1"/>
  <c r="F4082" i="1"/>
  <c r="I4081" i="1"/>
  <c r="F4081" i="1"/>
  <c r="I4080" i="1"/>
  <c r="F4080" i="1"/>
  <c r="I4079" i="1"/>
  <c r="F4079" i="1"/>
  <c r="I4078" i="1"/>
  <c r="F4078" i="1"/>
  <c r="I4077" i="1"/>
  <c r="F4077" i="1"/>
  <c r="I4076" i="1"/>
  <c r="F4076" i="1"/>
  <c r="I4075" i="1"/>
  <c r="F4075" i="1"/>
  <c r="I4074" i="1"/>
  <c r="F4074" i="1"/>
  <c r="I4073" i="1"/>
  <c r="F4073" i="1"/>
  <c r="I4072" i="1"/>
  <c r="F4072" i="1"/>
  <c r="I4071" i="1"/>
  <c r="F4071" i="1"/>
  <c r="I4070" i="1"/>
  <c r="F4070" i="1"/>
  <c r="I4069" i="1"/>
  <c r="F4069" i="1"/>
  <c r="I4068" i="1"/>
  <c r="F4068" i="1"/>
  <c r="I4067" i="1"/>
  <c r="F4067" i="1"/>
  <c r="I4066" i="1"/>
  <c r="F4066" i="1"/>
  <c r="I4065" i="1"/>
  <c r="F4065" i="1"/>
  <c r="I4064" i="1"/>
  <c r="F4064" i="1"/>
  <c r="I4063" i="1"/>
  <c r="F4063" i="1"/>
  <c r="I4062" i="1"/>
  <c r="F4062" i="1"/>
  <c r="I4061" i="1"/>
  <c r="F4061" i="1"/>
  <c r="I4060" i="1"/>
  <c r="F4060" i="1"/>
  <c r="I4059" i="1"/>
  <c r="F4059" i="1"/>
  <c r="I4058" i="1"/>
  <c r="F4058" i="1"/>
  <c r="I4057" i="1"/>
  <c r="F4057" i="1"/>
  <c r="I4056" i="1"/>
  <c r="F4056" i="1"/>
  <c r="I4055" i="1"/>
  <c r="F4055" i="1"/>
  <c r="I4054" i="1"/>
  <c r="F4054" i="1"/>
  <c r="I4053" i="1"/>
  <c r="F4053" i="1"/>
  <c r="I4052" i="1"/>
  <c r="F4052" i="1"/>
  <c r="I4051" i="1"/>
  <c r="F4051" i="1"/>
  <c r="I4050" i="1"/>
  <c r="F4050" i="1"/>
  <c r="I4049" i="1"/>
  <c r="F4049" i="1"/>
  <c r="I4048" i="1"/>
  <c r="F4048" i="1"/>
  <c r="I4047" i="1"/>
  <c r="F4047" i="1"/>
  <c r="I4046" i="1"/>
  <c r="F4046" i="1"/>
  <c r="I4045" i="1"/>
  <c r="F4045" i="1"/>
  <c r="I4044" i="1"/>
  <c r="F4044" i="1"/>
  <c r="I4043" i="1"/>
  <c r="F4043" i="1"/>
  <c r="I4042" i="1"/>
  <c r="F4042" i="1"/>
  <c r="I4041" i="1"/>
  <c r="F4041" i="1"/>
  <c r="I4040" i="1"/>
  <c r="F4040" i="1"/>
  <c r="I4039" i="1"/>
  <c r="F4039" i="1"/>
  <c r="I4038" i="1"/>
  <c r="F4038" i="1"/>
  <c r="I4037" i="1"/>
  <c r="F4037" i="1"/>
  <c r="I4036" i="1"/>
  <c r="F4036" i="1"/>
  <c r="I4035" i="1"/>
  <c r="F4035" i="1"/>
  <c r="I4034" i="1"/>
  <c r="F4034" i="1"/>
  <c r="I4033" i="1"/>
  <c r="F4033" i="1"/>
  <c r="I4032" i="1"/>
  <c r="F4032" i="1"/>
  <c r="I4031" i="1"/>
  <c r="F4031" i="1"/>
  <c r="I4030" i="1"/>
  <c r="F4030" i="1"/>
  <c r="I4029" i="1"/>
  <c r="F4029" i="1"/>
  <c r="I4028" i="1"/>
  <c r="F4028" i="1"/>
  <c r="I4027" i="1"/>
  <c r="F4027" i="1"/>
  <c r="I4026" i="1"/>
  <c r="F4026" i="1"/>
  <c r="I4025" i="1"/>
  <c r="F4025" i="1"/>
  <c r="I4024" i="1"/>
  <c r="F4024" i="1"/>
  <c r="I4023" i="1"/>
  <c r="F4023" i="1"/>
  <c r="I4022" i="1"/>
  <c r="F4022" i="1"/>
  <c r="I4021" i="1"/>
  <c r="F4021" i="1"/>
  <c r="I4020" i="1"/>
  <c r="F4020" i="1"/>
  <c r="I4019" i="1"/>
  <c r="F4019" i="1"/>
  <c r="I4018" i="1"/>
  <c r="F4018" i="1"/>
  <c r="I4017" i="1"/>
  <c r="F4017" i="1"/>
  <c r="I4016" i="1"/>
  <c r="F4016" i="1"/>
  <c r="I4015" i="1"/>
  <c r="F4015" i="1"/>
  <c r="I4014" i="1"/>
  <c r="F4014" i="1"/>
  <c r="I4013" i="1"/>
  <c r="F4013" i="1"/>
  <c r="I4012" i="1"/>
  <c r="F4012" i="1"/>
  <c r="I4011" i="1"/>
  <c r="F4011" i="1"/>
  <c r="I4010" i="1"/>
  <c r="F4010" i="1"/>
  <c r="I4009" i="1"/>
  <c r="F4009" i="1"/>
  <c r="I4008" i="1"/>
  <c r="F4008" i="1"/>
  <c r="I4007" i="1"/>
  <c r="F4007" i="1"/>
  <c r="I4006" i="1"/>
  <c r="F4006" i="1"/>
  <c r="I4005" i="1"/>
  <c r="F4005" i="1"/>
  <c r="I4004" i="1"/>
  <c r="F4004" i="1"/>
  <c r="I4003" i="1"/>
  <c r="F4003" i="1"/>
  <c r="I4002" i="1"/>
  <c r="F4002" i="1"/>
  <c r="I4001" i="1"/>
  <c r="F4001" i="1"/>
  <c r="I4000" i="1"/>
  <c r="F4000" i="1"/>
  <c r="I3999" i="1"/>
  <c r="F3999" i="1"/>
  <c r="I3998" i="1"/>
  <c r="F3998" i="1"/>
  <c r="I3997" i="1"/>
  <c r="F3997" i="1"/>
  <c r="I3996" i="1"/>
  <c r="F3996" i="1"/>
  <c r="I3995" i="1"/>
  <c r="F3995" i="1"/>
  <c r="I3994" i="1"/>
  <c r="F3994" i="1"/>
  <c r="I3993" i="1"/>
  <c r="F3993" i="1"/>
  <c r="I3992" i="1"/>
  <c r="F3992" i="1"/>
  <c r="I3991" i="1"/>
  <c r="F3991" i="1"/>
  <c r="I3990" i="1"/>
  <c r="F3990" i="1"/>
  <c r="I3989" i="1"/>
  <c r="F3989" i="1"/>
  <c r="I3988" i="1"/>
  <c r="F3988" i="1"/>
  <c r="I3987" i="1"/>
  <c r="F3987" i="1"/>
  <c r="I3986" i="1"/>
  <c r="F3986" i="1"/>
  <c r="I3985" i="1"/>
  <c r="F3985" i="1"/>
  <c r="I3984" i="1"/>
  <c r="F3984" i="1"/>
  <c r="I3983" i="1"/>
  <c r="F3983" i="1"/>
  <c r="I3982" i="1"/>
  <c r="F3982" i="1"/>
  <c r="I3981" i="1"/>
  <c r="F3981" i="1"/>
  <c r="I3980" i="1"/>
  <c r="F3980" i="1"/>
  <c r="I3979" i="1"/>
  <c r="F3979" i="1"/>
  <c r="I3978" i="1"/>
  <c r="F3978" i="1"/>
  <c r="I3977" i="1"/>
  <c r="F3977" i="1"/>
  <c r="I3976" i="1"/>
  <c r="F3976" i="1"/>
  <c r="I3975" i="1"/>
  <c r="F3975" i="1"/>
  <c r="I3974" i="1"/>
  <c r="F3974" i="1"/>
  <c r="I3973" i="1"/>
  <c r="F3973" i="1"/>
  <c r="I3972" i="1"/>
  <c r="F3972" i="1"/>
  <c r="I3971" i="1"/>
  <c r="F3971" i="1"/>
  <c r="I3970" i="1"/>
  <c r="F3970" i="1"/>
  <c r="I3969" i="1"/>
  <c r="F3969" i="1"/>
  <c r="I3968" i="1"/>
  <c r="F3968" i="1"/>
  <c r="I3967" i="1"/>
  <c r="F3967" i="1"/>
  <c r="I3966" i="1"/>
  <c r="F3966" i="1"/>
  <c r="I3965" i="1"/>
  <c r="F3965" i="1"/>
  <c r="I3964" i="1"/>
  <c r="F3964" i="1"/>
  <c r="I3963" i="1"/>
  <c r="F3963" i="1"/>
  <c r="I3962" i="1"/>
  <c r="F3962" i="1"/>
  <c r="I3961" i="1"/>
  <c r="F3961" i="1"/>
  <c r="I3960" i="1"/>
  <c r="F3960" i="1"/>
  <c r="I3959" i="1"/>
  <c r="F3959" i="1"/>
  <c r="I3958" i="1"/>
  <c r="F3958" i="1"/>
  <c r="I3957" i="1"/>
  <c r="F3957" i="1"/>
  <c r="I3956" i="1"/>
  <c r="F3956" i="1"/>
  <c r="I3955" i="1"/>
  <c r="F3955" i="1"/>
  <c r="I3954" i="1"/>
  <c r="F3954" i="1"/>
  <c r="I3953" i="1"/>
  <c r="F3953" i="1"/>
  <c r="I3952" i="1"/>
  <c r="F3952" i="1"/>
  <c r="I3951" i="1"/>
  <c r="F3951" i="1"/>
  <c r="I3950" i="1"/>
  <c r="F3950" i="1"/>
  <c r="I3949" i="1"/>
  <c r="F3949" i="1"/>
  <c r="I3948" i="1"/>
  <c r="F3948" i="1"/>
  <c r="I3947" i="1"/>
  <c r="F3947" i="1"/>
  <c r="I3946" i="1"/>
  <c r="F3946" i="1"/>
  <c r="I3945" i="1"/>
  <c r="F3945" i="1"/>
  <c r="I3944" i="1"/>
  <c r="F3944" i="1"/>
  <c r="I3943" i="1"/>
  <c r="F3943" i="1"/>
  <c r="I3942" i="1"/>
  <c r="F3942" i="1"/>
  <c r="I3941" i="1"/>
  <c r="F3941" i="1"/>
  <c r="I3940" i="1"/>
  <c r="F3940" i="1"/>
  <c r="I3939" i="1"/>
  <c r="F3939" i="1"/>
  <c r="I3938" i="1"/>
  <c r="F3938" i="1"/>
  <c r="I3937" i="1"/>
  <c r="F3937" i="1"/>
  <c r="I3936" i="1"/>
  <c r="F3936" i="1"/>
  <c r="I3935" i="1"/>
  <c r="F3935" i="1"/>
  <c r="I3934" i="1"/>
  <c r="F3934" i="1"/>
  <c r="I3933" i="1"/>
  <c r="F3933" i="1"/>
  <c r="I3932" i="1"/>
  <c r="F3932" i="1"/>
  <c r="I3931" i="1"/>
  <c r="F3931" i="1"/>
  <c r="I3930" i="1"/>
  <c r="F3930" i="1"/>
  <c r="I3929" i="1"/>
  <c r="F3929" i="1"/>
  <c r="I3928" i="1"/>
  <c r="F3928" i="1"/>
  <c r="I3927" i="1"/>
  <c r="F3927" i="1"/>
  <c r="I3926" i="1"/>
  <c r="F3926" i="1"/>
  <c r="I3925" i="1"/>
  <c r="F3925" i="1"/>
  <c r="I3924" i="1"/>
  <c r="F3924" i="1"/>
  <c r="I3923" i="1"/>
  <c r="F3923" i="1"/>
  <c r="I3922" i="1"/>
  <c r="F3922" i="1"/>
  <c r="I3921" i="1"/>
  <c r="F3921" i="1"/>
  <c r="I3920" i="1"/>
  <c r="F3920" i="1"/>
  <c r="I3919" i="1"/>
  <c r="F3919" i="1"/>
  <c r="I3918" i="1"/>
  <c r="F3918" i="1"/>
  <c r="I3917" i="1"/>
  <c r="F3917" i="1"/>
  <c r="I3916" i="1"/>
  <c r="F3916" i="1"/>
  <c r="I3915" i="1"/>
  <c r="F3915" i="1"/>
  <c r="I3914" i="1"/>
  <c r="F3914" i="1"/>
  <c r="I3913" i="1"/>
  <c r="F3913" i="1"/>
  <c r="I3912" i="1"/>
  <c r="F3912" i="1"/>
  <c r="I3911" i="1"/>
  <c r="F3911" i="1"/>
  <c r="I3910" i="1"/>
  <c r="F3910" i="1"/>
  <c r="I3909" i="1"/>
  <c r="F3909" i="1"/>
  <c r="I3908" i="1"/>
  <c r="F3908" i="1"/>
  <c r="I3907" i="1"/>
  <c r="F3907" i="1"/>
  <c r="I3906" i="1"/>
  <c r="F3906" i="1"/>
  <c r="I3905" i="1"/>
  <c r="F3905" i="1"/>
  <c r="I3904" i="1"/>
  <c r="F3904" i="1"/>
  <c r="I3903" i="1"/>
  <c r="F3903" i="1"/>
  <c r="I3902" i="1"/>
  <c r="F3902" i="1"/>
  <c r="I3901" i="1"/>
  <c r="F3901" i="1"/>
  <c r="I3900" i="1"/>
  <c r="F3900" i="1"/>
  <c r="I3899" i="1"/>
  <c r="F3899" i="1"/>
  <c r="I3898" i="1"/>
  <c r="F3898" i="1"/>
  <c r="I3897" i="1"/>
  <c r="F3897" i="1"/>
  <c r="I3896" i="1"/>
  <c r="F3896" i="1"/>
  <c r="I3895" i="1"/>
  <c r="F3895" i="1"/>
  <c r="I3894" i="1"/>
  <c r="F3894" i="1"/>
  <c r="I3893" i="1"/>
  <c r="F3893" i="1"/>
  <c r="I3892" i="1"/>
  <c r="F3892" i="1"/>
  <c r="I3891" i="1"/>
  <c r="F3891" i="1"/>
  <c r="I3890" i="1"/>
  <c r="F3890" i="1"/>
  <c r="I3889" i="1"/>
  <c r="F3889" i="1"/>
  <c r="I3888" i="1"/>
  <c r="F3888" i="1"/>
  <c r="I3887" i="1"/>
  <c r="F3887" i="1"/>
  <c r="I3886" i="1"/>
  <c r="F3886" i="1"/>
  <c r="I3885" i="1"/>
  <c r="F3885" i="1"/>
  <c r="I3884" i="1"/>
  <c r="F3884" i="1"/>
  <c r="I3883" i="1"/>
  <c r="F3883" i="1"/>
  <c r="I3882" i="1"/>
  <c r="F3882" i="1"/>
  <c r="I3881" i="1"/>
  <c r="F3881" i="1"/>
  <c r="I3880" i="1"/>
  <c r="F3880" i="1"/>
  <c r="I3879" i="1"/>
  <c r="F3879" i="1"/>
  <c r="I3878" i="1"/>
  <c r="F3878" i="1"/>
  <c r="I3877" i="1"/>
  <c r="F3877" i="1"/>
  <c r="I3876" i="1"/>
  <c r="F3876" i="1"/>
  <c r="I3875" i="1"/>
  <c r="F3875" i="1"/>
  <c r="I3874" i="1"/>
  <c r="F3874" i="1"/>
  <c r="I3873" i="1"/>
  <c r="F3873" i="1"/>
  <c r="I3872" i="1"/>
  <c r="F3872" i="1"/>
  <c r="I3871" i="1"/>
  <c r="F3871" i="1"/>
  <c r="I3870" i="1"/>
  <c r="F3870" i="1"/>
  <c r="I3869" i="1"/>
  <c r="F3869" i="1"/>
  <c r="I3868" i="1"/>
  <c r="F3868" i="1"/>
  <c r="I3867" i="1"/>
  <c r="F3867" i="1"/>
  <c r="I3866" i="1"/>
  <c r="F3866" i="1"/>
  <c r="I3865" i="1"/>
  <c r="F3865" i="1"/>
  <c r="I3864" i="1"/>
  <c r="F3864" i="1"/>
  <c r="I3863" i="1"/>
  <c r="F3863" i="1"/>
  <c r="I3862" i="1"/>
  <c r="F3862" i="1"/>
  <c r="I3861" i="1"/>
  <c r="F3861" i="1"/>
  <c r="I3860" i="1"/>
  <c r="F3860" i="1"/>
  <c r="I3859" i="1"/>
  <c r="F3859" i="1"/>
  <c r="I3858" i="1"/>
  <c r="F3858" i="1"/>
  <c r="I3857" i="1"/>
  <c r="F3857" i="1"/>
  <c r="I3856" i="1"/>
  <c r="F3856" i="1"/>
  <c r="I3855" i="1"/>
  <c r="F3855" i="1"/>
  <c r="I3854" i="1"/>
  <c r="F3854" i="1"/>
  <c r="I3853" i="1"/>
  <c r="F3853" i="1"/>
  <c r="I3852" i="1"/>
  <c r="F3852" i="1"/>
  <c r="I3851" i="1"/>
  <c r="F3851" i="1"/>
  <c r="I3850" i="1"/>
  <c r="F3850" i="1"/>
  <c r="I3849" i="1"/>
  <c r="F3849" i="1"/>
  <c r="I3848" i="1"/>
  <c r="F3848" i="1"/>
  <c r="I3847" i="1"/>
  <c r="F3847" i="1"/>
  <c r="I3846" i="1"/>
  <c r="F3846" i="1"/>
  <c r="I3845" i="1"/>
  <c r="F3845" i="1"/>
  <c r="I3844" i="1"/>
  <c r="F3844" i="1"/>
  <c r="I3843" i="1"/>
  <c r="F3843" i="1"/>
  <c r="I3842" i="1"/>
  <c r="F3842" i="1"/>
  <c r="I3841" i="1"/>
  <c r="F3841" i="1"/>
  <c r="I3840" i="1"/>
  <c r="F3840" i="1"/>
  <c r="I3839" i="1"/>
  <c r="F3839" i="1"/>
  <c r="I3838" i="1"/>
  <c r="F3838" i="1"/>
  <c r="I3837" i="1"/>
  <c r="F3837" i="1"/>
  <c r="I3836" i="1"/>
  <c r="F3836" i="1"/>
  <c r="I3835" i="1"/>
  <c r="F3835" i="1"/>
  <c r="I3834" i="1"/>
  <c r="F3834" i="1"/>
  <c r="I3833" i="1"/>
  <c r="F3833" i="1"/>
  <c r="I3832" i="1"/>
  <c r="F3832" i="1"/>
  <c r="I3831" i="1"/>
  <c r="F3831" i="1"/>
  <c r="I3830" i="1"/>
  <c r="F3830" i="1"/>
  <c r="I3829" i="1"/>
  <c r="F3829" i="1"/>
  <c r="I3828" i="1"/>
  <c r="F3828" i="1"/>
  <c r="I3827" i="1"/>
  <c r="F3827" i="1"/>
  <c r="I3826" i="1"/>
  <c r="F3826" i="1"/>
  <c r="I3825" i="1"/>
  <c r="F3825" i="1"/>
  <c r="I3824" i="1"/>
  <c r="F3824" i="1"/>
  <c r="I3823" i="1"/>
  <c r="F3823" i="1"/>
  <c r="I3822" i="1"/>
  <c r="F3822" i="1"/>
  <c r="I3821" i="1"/>
  <c r="F3821" i="1"/>
  <c r="I3820" i="1"/>
  <c r="F3820" i="1"/>
  <c r="I3819" i="1"/>
  <c r="F3819" i="1"/>
  <c r="I3818" i="1"/>
  <c r="F3818" i="1"/>
  <c r="I3817" i="1"/>
  <c r="F3817" i="1"/>
  <c r="I3816" i="1"/>
  <c r="F3816" i="1"/>
  <c r="I3815" i="1"/>
  <c r="F3815" i="1"/>
  <c r="I3814" i="1"/>
  <c r="F3814" i="1"/>
  <c r="I3813" i="1"/>
  <c r="F3813" i="1"/>
  <c r="I3812" i="1"/>
  <c r="F3812" i="1"/>
  <c r="I3811" i="1"/>
  <c r="F3811" i="1"/>
  <c r="I3810" i="1"/>
  <c r="F3810" i="1"/>
  <c r="I3809" i="1"/>
  <c r="F3809" i="1"/>
  <c r="I3808" i="1"/>
  <c r="F3808" i="1"/>
  <c r="I3807" i="1"/>
  <c r="F3807" i="1"/>
  <c r="I3806" i="1"/>
  <c r="F3806" i="1"/>
  <c r="I3805" i="1"/>
  <c r="F3805" i="1"/>
  <c r="I3804" i="1"/>
  <c r="F3804" i="1"/>
  <c r="I3803" i="1"/>
  <c r="F3803" i="1"/>
  <c r="I3802" i="1"/>
  <c r="F3802" i="1"/>
  <c r="I3801" i="1"/>
  <c r="F3801" i="1"/>
  <c r="I3800" i="1"/>
  <c r="F3800" i="1"/>
  <c r="I3799" i="1"/>
  <c r="F3799" i="1"/>
  <c r="I3798" i="1"/>
  <c r="F3798" i="1"/>
  <c r="I3797" i="1"/>
  <c r="F3797" i="1"/>
  <c r="I3796" i="1"/>
  <c r="F3796" i="1"/>
  <c r="I3795" i="1"/>
  <c r="F3795" i="1"/>
  <c r="I3794" i="1"/>
  <c r="F3794" i="1"/>
  <c r="I3793" i="1"/>
  <c r="F3793" i="1"/>
  <c r="I3792" i="1"/>
  <c r="F3792" i="1"/>
  <c r="I3791" i="1"/>
  <c r="F3791" i="1"/>
  <c r="I3790" i="1"/>
  <c r="F3790" i="1"/>
  <c r="I3789" i="1"/>
  <c r="F3789" i="1"/>
  <c r="I3788" i="1"/>
  <c r="F3788" i="1"/>
  <c r="I3787" i="1"/>
  <c r="F3787" i="1"/>
  <c r="I3786" i="1"/>
  <c r="F3786" i="1"/>
  <c r="I3785" i="1"/>
  <c r="F3785" i="1"/>
  <c r="I3784" i="1"/>
  <c r="F3784" i="1"/>
  <c r="I3783" i="1"/>
  <c r="F3783" i="1"/>
  <c r="I3782" i="1"/>
  <c r="F3782" i="1"/>
  <c r="I3781" i="1"/>
  <c r="F3781" i="1"/>
  <c r="I3780" i="1"/>
  <c r="F3780" i="1"/>
  <c r="I3779" i="1"/>
  <c r="F3779" i="1"/>
  <c r="I3778" i="1"/>
  <c r="F3778" i="1"/>
  <c r="I3777" i="1"/>
  <c r="F3777" i="1"/>
  <c r="I3776" i="1"/>
  <c r="F3776" i="1"/>
  <c r="I3775" i="1"/>
  <c r="F3775" i="1"/>
  <c r="I3774" i="1"/>
  <c r="F3774" i="1"/>
  <c r="I3773" i="1"/>
  <c r="F3773" i="1"/>
  <c r="I3772" i="1"/>
  <c r="F3772" i="1"/>
  <c r="I3771" i="1"/>
  <c r="F3771" i="1"/>
  <c r="I3770" i="1"/>
  <c r="F3770" i="1"/>
  <c r="I3769" i="1"/>
  <c r="F3769" i="1"/>
  <c r="I3768" i="1"/>
  <c r="F3768" i="1"/>
  <c r="I3767" i="1"/>
  <c r="F3767" i="1"/>
  <c r="I3766" i="1"/>
  <c r="F3766" i="1"/>
  <c r="I3765" i="1"/>
  <c r="F3765" i="1"/>
  <c r="I3764" i="1"/>
  <c r="F3764" i="1"/>
  <c r="I3763" i="1"/>
  <c r="F3763" i="1"/>
  <c r="I3762" i="1"/>
  <c r="F3762" i="1"/>
  <c r="I3761" i="1"/>
  <c r="F3761" i="1"/>
  <c r="I3760" i="1"/>
  <c r="F3760" i="1"/>
  <c r="I3759" i="1"/>
  <c r="F3759" i="1"/>
  <c r="I3758" i="1"/>
  <c r="F3758" i="1"/>
  <c r="I3757" i="1"/>
  <c r="F3757" i="1"/>
  <c r="I3756" i="1"/>
  <c r="F3756" i="1"/>
  <c r="I3755" i="1"/>
  <c r="F3755" i="1"/>
  <c r="I3754" i="1"/>
  <c r="F3754" i="1"/>
  <c r="I3753" i="1"/>
  <c r="F3753" i="1"/>
  <c r="I3752" i="1"/>
  <c r="F3752" i="1"/>
  <c r="I3751" i="1"/>
  <c r="F3751" i="1"/>
  <c r="I3750" i="1"/>
  <c r="F3750" i="1"/>
  <c r="I3749" i="1"/>
  <c r="F3749" i="1"/>
  <c r="I3748" i="1"/>
  <c r="F3748" i="1"/>
  <c r="I3747" i="1"/>
  <c r="F3747" i="1"/>
  <c r="I3746" i="1"/>
  <c r="F3746" i="1"/>
  <c r="I3745" i="1"/>
  <c r="F3745" i="1"/>
  <c r="I3744" i="1"/>
  <c r="F3744" i="1"/>
  <c r="I3743" i="1"/>
  <c r="F3743" i="1"/>
  <c r="I3742" i="1"/>
  <c r="F3742" i="1"/>
  <c r="I3741" i="1"/>
  <c r="F3741" i="1"/>
  <c r="I3740" i="1"/>
  <c r="F3740" i="1"/>
  <c r="I3739" i="1"/>
  <c r="F3739" i="1"/>
  <c r="I3738" i="1"/>
  <c r="F3738" i="1"/>
  <c r="I3737" i="1"/>
  <c r="F3737" i="1"/>
  <c r="I3736" i="1"/>
  <c r="F3736" i="1"/>
  <c r="I3735" i="1"/>
  <c r="F3735" i="1"/>
  <c r="I3734" i="1"/>
  <c r="F3734" i="1"/>
  <c r="I3733" i="1"/>
  <c r="F3733" i="1"/>
  <c r="I3732" i="1"/>
  <c r="F3732" i="1"/>
  <c r="I3731" i="1"/>
  <c r="F3731" i="1"/>
  <c r="I3730" i="1"/>
  <c r="F3730" i="1"/>
  <c r="I3729" i="1"/>
  <c r="F3729" i="1"/>
  <c r="I3728" i="1"/>
  <c r="F3728" i="1"/>
  <c r="I3727" i="1"/>
  <c r="F3727" i="1"/>
  <c r="I3726" i="1"/>
  <c r="F3726" i="1"/>
  <c r="I3725" i="1"/>
  <c r="F3725" i="1"/>
  <c r="I3724" i="1"/>
  <c r="F3724" i="1"/>
  <c r="I3723" i="1"/>
  <c r="F3723" i="1"/>
  <c r="I3722" i="1"/>
  <c r="F3722" i="1"/>
  <c r="I3721" i="1"/>
  <c r="F3721" i="1"/>
  <c r="I3720" i="1"/>
  <c r="F3720" i="1"/>
  <c r="I3719" i="1"/>
  <c r="F3719" i="1"/>
  <c r="I3718" i="1"/>
  <c r="F3718" i="1"/>
  <c r="I3717" i="1"/>
  <c r="F3717" i="1"/>
  <c r="I3716" i="1"/>
  <c r="F3716" i="1"/>
  <c r="I3715" i="1"/>
  <c r="F3715" i="1"/>
  <c r="I3714" i="1"/>
  <c r="F3714" i="1"/>
  <c r="I3713" i="1"/>
  <c r="F3713" i="1"/>
  <c r="I3712" i="1"/>
  <c r="F3712" i="1"/>
  <c r="I3711" i="1"/>
  <c r="F3711" i="1"/>
  <c r="I3710" i="1"/>
  <c r="F3710" i="1"/>
  <c r="I3709" i="1"/>
  <c r="F3709" i="1"/>
  <c r="I3708" i="1"/>
  <c r="F3708" i="1"/>
  <c r="I3707" i="1"/>
  <c r="F3707" i="1"/>
  <c r="I3706" i="1"/>
  <c r="F3706" i="1"/>
  <c r="I3705" i="1"/>
  <c r="F3705" i="1"/>
  <c r="I3704" i="1"/>
  <c r="F3704" i="1"/>
  <c r="I3703" i="1"/>
  <c r="F3703" i="1"/>
  <c r="I3702" i="1"/>
  <c r="F3702" i="1"/>
  <c r="I3701" i="1"/>
  <c r="F3701" i="1"/>
  <c r="I3700" i="1"/>
  <c r="F3700" i="1"/>
  <c r="I3699" i="1"/>
  <c r="F3699" i="1"/>
  <c r="I3698" i="1"/>
  <c r="F3698" i="1"/>
  <c r="I3697" i="1"/>
  <c r="F3697" i="1"/>
  <c r="I3696" i="1"/>
  <c r="F3696" i="1"/>
  <c r="I3695" i="1"/>
  <c r="F3695" i="1"/>
  <c r="I3694" i="1"/>
  <c r="F3694" i="1"/>
  <c r="I3693" i="1"/>
  <c r="F3693" i="1"/>
  <c r="I3692" i="1"/>
  <c r="F3692" i="1"/>
  <c r="I3691" i="1"/>
  <c r="F3691" i="1"/>
  <c r="I3690" i="1"/>
  <c r="F3690" i="1"/>
  <c r="I3689" i="1"/>
  <c r="F3689" i="1"/>
  <c r="I3688" i="1"/>
  <c r="F3688" i="1"/>
  <c r="I3687" i="1"/>
  <c r="F3687" i="1"/>
  <c r="I3686" i="1"/>
  <c r="F3686" i="1"/>
  <c r="I3685" i="1"/>
  <c r="F3685" i="1"/>
  <c r="I3684" i="1"/>
  <c r="F3684" i="1"/>
  <c r="I3683" i="1"/>
  <c r="F3683" i="1"/>
  <c r="I3682" i="1"/>
  <c r="F3682" i="1"/>
  <c r="I3681" i="1"/>
  <c r="F3681" i="1"/>
  <c r="I3680" i="1"/>
  <c r="F3680" i="1"/>
  <c r="I3679" i="1"/>
  <c r="F3679" i="1"/>
  <c r="I3678" i="1"/>
  <c r="F3678" i="1"/>
  <c r="I3677" i="1"/>
  <c r="F3677" i="1"/>
  <c r="I3676" i="1"/>
  <c r="F3676" i="1"/>
  <c r="I3675" i="1"/>
  <c r="F3675" i="1"/>
  <c r="I3674" i="1"/>
  <c r="F3674" i="1"/>
  <c r="I3673" i="1"/>
  <c r="F3673" i="1"/>
  <c r="I3672" i="1"/>
  <c r="F3672" i="1"/>
  <c r="I3671" i="1"/>
  <c r="F3671" i="1"/>
  <c r="I3670" i="1"/>
  <c r="F3670" i="1"/>
  <c r="I3669" i="1"/>
  <c r="F3669" i="1"/>
  <c r="I3668" i="1"/>
  <c r="F3668" i="1"/>
  <c r="I3667" i="1"/>
  <c r="F3667" i="1"/>
  <c r="I3666" i="1"/>
  <c r="F3666" i="1"/>
  <c r="I3665" i="1"/>
  <c r="F3665" i="1"/>
  <c r="I3664" i="1"/>
  <c r="F3664" i="1"/>
  <c r="I3663" i="1"/>
  <c r="F3663" i="1"/>
  <c r="I3662" i="1"/>
  <c r="F3662" i="1"/>
  <c r="I3661" i="1"/>
  <c r="F3661" i="1"/>
  <c r="I3660" i="1"/>
  <c r="F3660" i="1"/>
  <c r="I3659" i="1"/>
  <c r="F3659" i="1"/>
  <c r="I3658" i="1"/>
  <c r="F3658" i="1"/>
  <c r="I3657" i="1"/>
  <c r="F3657" i="1"/>
  <c r="I3656" i="1"/>
  <c r="F3656" i="1"/>
  <c r="I3655" i="1"/>
  <c r="F3655" i="1"/>
  <c r="I3654" i="1"/>
  <c r="F3654" i="1"/>
  <c r="I3653" i="1"/>
  <c r="F3653" i="1"/>
  <c r="I3652" i="1"/>
  <c r="F3652" i="1"/>
  <c r="I3651" i="1"/>
  <c r="F3651" i="1"/>
  <c r="I3650" i="1"/>
  <c r="F3650" i="1"/>
  <c r="I3649" i="1"/>
  <c r="F3649" i="1"/>
  <c r="I3648" i="1"/>
  <c r="F3648" i="1"/>
  <c r="I3647" i="1"/>
  <c r="F3647" i="1"/>
  <c r="I3646" i="1"/>
  <c r="F3646" i="1"/>
  <c r="I3645" i="1"/>
  <c r="F3645" i="1"/>
  <c r="I3644" i="1"/>
  <c r="F3644" i="1"/>
  <c r="I3643" i="1"/>
  <c r="F3643" i="1"/>
  <c r="I3642" i="1"/>
  <c r="F3642" i="1"/>
  <c r="I3641" i="1"/>
  <c r="F3641" i="1"/>
  <c r="I3640" i="1"/>
  <c r="F3640" i="1"/>
  <c r="I3639" i="1"/>
  <c r="F3639" i="1"/>
  <c r="I3638" i="1"/>
  <c r="F3638" i="1"/>
  <c r="I3637" i="1"/>
  <c r="F3637" i="1"/>
  <c r="I3636" i="1"/>
  <c r="F3636" i="1"/>
  <c r="I3635" i="1"/>
  <c r="F3635" i="1"/>
  <c r="I3634" i="1"/>
  <c r="F3634" i="1"/>
  <c r="I3633" i="1"/>
  <c r="F3633" i="1"/>
  <c r="I3632" i="1"/>
  <c r="F3632" i="1"/>
  <c r="I3631" i="1"/>
  <c r="F3631" i="1"/>
  <c r="I3630" i="1"/>
  <c r="F3630" i="1"/>
  <c r="I3629" i="1"/>
  <c r="F3629" i="1"/>
  <c r="I3628" i="1"/>
  <c r="F3628" i="1"/>
  <c r="I3627" i="1"/>
  <c r="F3627" i="1"/>
  <c r="I3626" i="1"/>
  <c r="F3626" i="1"/>
  <c r="I3625" i="1"/>
  <c r="F3625" i="1"/>
  <c r="I3624" i="1"/>
  <c r="F3624" i="1"/>
  <c r="I3623" i="1"/>
  <c r="F3623" i="1"/>
  <c r="I3622" i="1"/>
  <c r="F3622" i="1"/>
  <c r="I3621" i="1"/>
  <c r="F3621" i="1"/>
  <c r="I3620" i="1"/>
  <c r="F3620" i="1"/>
  <c r="I3619" i="1"/>
  <c r="F3619" i="1"/>
  <c r="I3618" i="1"/>
  <c r="F3618" i="1"/>
  <c r="I3617" i="1"/>
  <c r="F3617" i="1"/>
  <c r="I3616" i="1"/>
  <c r="F3616" i="1"/>
  <c r="I3615" i="1"/>
  <c r="F3615" i="1"/>
  <c r="I3614" i="1"/>
  <c r="F3614" i="1"/>
  <c r="I3613" i="1"/>
  <c r="F3613" i="1"/>
  <c r="I3612" i="1"/>
  <c r="F3612" i="1"/>
  <c r="I3611" i="1"/>
  <c r="F3611" i="1"/>
  <c r="I3610" i="1"/>
  <c r="F3610" i="1"/>
  <c r="I3609" i="1"/>
  <c r="F3609" i="1"/>
  <c r="I3608" i="1"/>
  <c r="F3608" i="1"/>
  <c r="I3607" i="1"/>
  <c r="F3607" i="1"/>
  <c r="I3606" i="1"/>
  <c r="F3606" i="1"/>
  <c r="I3605" i="1"/>
  <c r="F3605" i="1"/>
  <c r="I3604" i="1"/>
  <c r="F3604" i="1"/>
  <c r="I3603" i="1"/>
  <c r="F3603" i="1"/>
  <c r="I3602" i="1"/>
  <c r="F3602" i="1"/>
  <c r="I3601" i="1"/>
  <c r="F3601" i="1"/>
  <c r="I3600" i="1"/>
  <c r="F3600" i="1"/>
  <c r="I3599" i="1"/>
  <c r="F3599" i="1"/>
  <c r="I3598" i="1"/>
  <c r="F3598" i="1"/>
  <c r="I3597" i="1"/>
  <c r="F3597" i="1"/>
  <c r="I3596" i="1"/>
  <c r="F3596" i="1"/>
  <c r="I3595" i="1"/>
  <c r="F3595" i="1"/>
  <c r="I3594" i="1"/>
  <c r="F3594" i="1"/>
  <c r="I3593" i="1"/>
  <c r="F3593" i="1"/>
  <c r="I3592" i="1"/>
  <c r="F3592" i="1"/>
  <c r="I3591" i="1"/>
  <c r="F3591" i="1"/>
  <c r="I3590" i="1"/>
  <c r="F3590" i="1"/>
  <c r="I3589" i="1"/>
  <c r="F3589" i="1"/>
  <c r="I3588" i="1"/>
  <c r="F3588" i="1"/>
  <c r="I3587" i="1"/>
  <c r="F3587" i="1"/>
  <c r="I3586" i="1"/>
  <c r="F3586" i="1"/>
  <c r="I3585" i="1"/>
  <c r="F3585" i="1"/>
  <c r="I3584" i="1"/>
  <c r="F3584" i="1"/>
  <c r="I3583" i="1"/>
  <c r="F3583" i="1"/>
  <c r="I3582" i="1"/>
  <c r="F3582" i="1"/>
  <c r="I3581" i="1"/>
  <c r="F3581" i="1"/>
  <c r="I3580" i="1"/>
  <c r="F3580" i="1"/>
  <c r="I3579" i="1"/>
  <c r="F3579" i="1"/>
  <c r="I3578" i="1"/>
  <c r="F3578" i="1"/>
  <c r="I3577" i="1"/>
  <c r="F3577" i="1"/>
  <c r="I3576" i="1"/>
  <c r="F3576" i="1"/>
  <c r="I3575" i="1"/>
  <c r="F3575" i="1"/>
  <c r="I3574" i="1"/>
  <c r="F3574" i="1"/>
  <c r="I3573" i="1"/>
  <c r="F3573" i="1"/>
  <c r="I3572" i="1"/>
  <c r="F3572" i="1"/>
  <c r="I3571" i="1"/>
  <c r="F3571" i="1"/>
  <c r="I3570" i="1"/>
  <c r="F3570" i="1"/>
  <c r="I3569" i="1"/>
  <c r="F3569" i="1"/>
  <c r="I3568" i="1"/>
  <c r="F3568" i="1"/>
  <c r="I3567" i="1"/>
  <c r="F3567" i="1"/>
  <c r="I3566" i="1"/>
  <c r="F3566" i="1"/>
  <c r="I3565" i="1"/>
  <c r="F3565" i="1"/>
  <c r="I3564" i="1"/>
  <c r="F3564" i="1"/>
  <c r="I3563" i="1"/>
  <c r="F3563" i="1"/>
  <c r="I3562" i="1"/>
  <c r="F3562" i="1"/>
  <c r="I3561" i="1"/>
  <c r="F3561" i="1"/>
  <c r="I3560" i="1"/>
  <c r="F3560" i="1"/>
  <c r="I3559" i="1"/>
  <c r="F3559" i="1"/>
  <c r="I3558" i="1"/>
  <c r="F3558" i="1"/>
  <c r="I3557" i="1"/>
  <c r="F3557" i="1"/>
  <c r="I3556" i="1"/>
  <c r="F3556" i="1"/>
  <c r="I3555" i="1"/>
  <c r="F3555" i="1"/>
  <c r="I3554" i="1"/>
  <c r="F3554" i="1"/>
  <c r="I3553" i="1"/>
  <c r="F3553" i="1"/>
  <c r="I3552" i="1"/>
  <c r="F3552" i="1"/>
  <c r="I3551" i="1"/>
  <c r="F3551" i="1"/>
  <c r="I3550" i="1"/>
  <c r="F3550" i="1"/>
  <c r="I3549" i="1"/>
  <c r="F3549" i="1"/>
  <c r="I3548" i="1"/>
  <c r="F3548" i="1"/>
  <c r="I3547" i="1"/>
  <c r="F3547" i="1"/>
  <c r="I3546" i="1"/>
  <c r="F3546" i="1"/>
  <c r="I3545" i="1"/>
  <c r="F3545" i="1"/>
  <c r="I3544" i="1"/>
  <c r="F3544" i="1"/>
  <c r="I3543" i="1"/>
  <c r="F3543" i="1"/>
  <c r="I3542" i="1"/>
  <c r="F3542" i="1"/>
  <c r="I3541" i="1"/>
  <c r="F3541" i="1"/>
  <c r="I3540" i="1"/>
  <c r="F3540" i="1"/>
  <c r="I3539" i="1"/>
  <c r="F3539" i="1"/>
  <c r="I3538" i="1"/>
  <c r="F3538" i="1"/>
  <c r="I3537" i="1"/>
  <c r="F3537" i="1"/>
  <c r="I3536" i="1"/>
  <c r="F3536" i="1"/>
  <c r="I3535" i="1"/>
  <c r="F3535" i="1"/>
  <c r="I3534" i="1"/>
  <c r="F3534" i="1"/>
  <c r="I3533" i="1"/>
  <c r="F3533" i="1"/>
  <c r="I3532" i="1"/>
  <c r="F3532" i="1"/>
  <c r="I3531" i="1"/>
  <c r="F3531" i="1"/>
  <c r="I3530" i="1"/>
  <c r="F3530" i="1"/>
  <c r="I3529" i="1"/>
  <c r="F3529" i="1"/>
  <c r="I3528" i="1"/>
  <c r="F3528" i="1"/>
  <c r="I3527" i="1"/>
  <c r="F3527" i="1"/>
  <c r="I3526" i="1"/>
  <c r="F3526" i="1"/>
  <c r="I3525" i="1"/>
  <c r="F3525" i="1"/>
  <c r="I3524" i="1"/>
  <c r="F3524" i="1"/>
  <c r="I3523" i="1"/>
  <c r="F3523" i="1"/>
  <c r="I3522" i="1"/>
  <c r="F3522" i="1"/>
  <c r="I3521" i="1"/>
  <c r="F3521" i="1"/>
  <c r="I3520" i="1"/>
  <c r="F3520" i="1"/>
  <c r="I3519" i="1"/>
  <c r="F3519" i="1"/>
  <c r="I3518" i="1"/>
  <c r="F3518" i="1"/>
  <c r="I3517" i="1"/>
  <c r="F3517" i="1"/>
  <c r="I3516" i="1"/>
  <c r="F3516" i="1"/>
  <c r="I3515" i="1"/>
  <c r="F3515" i="1"/>
  <c r="I3514" i="1"/>
  <c r="F3514" i="1"/>
  <c r="I3513" i="1"/>
  <c r="F3513" i="1"/>
  <c r="I3512" i="1"/>
  <c r="F3512" i="1"/>
  <c r="I3511" i="1"/>
  <c r="F3511" i="1"/>
  <c r="I3510" i="1"/>
  <c r="F3510" i="1"/>
  <c r="I3509" i="1"/>
  <c r="F3509" i="1"/>
  <c r="I3508" i="1"/>
  <c r="F3508" i="1"/>
  <c r="I3507" i="1"/>
  <c r="F3507" i="1"/>
  <c r="I3506" i="1"/>
  <c r="F3506" i="1"/>
  <c r="I3505" i="1"/>
  <c r="F3505" i="1"/>
  <c r="I3504" i="1"/>
  <c r="F3504" i="1"/>
  <c r="I3503" i="1"/>
  <c r="F3503" i="1"/>
  <c r="I3502" i="1"/>
  <c r="F3502" i="1"/>
  <c r="I3501" i="1"/>
  <c r="F3501" i="1"/>
  <c r="I3500" i="1"/>
  <c r="F3500" i="1"/>
  <c r="I3499" i="1"/>
  <c r="F3499" i="1"/>
  <c r="I3498" i="1"/>
  <c r="F3498" i="1"/>
  <c r="I3497" i="1"/>
  <c r="F3497" i="1"/>
  <c r="I3496" i="1"/>
  <c r="F3496" i="1"/>
  <c r="I3495" i="1"/>
  <c r="F3495" i="1"/>
  <c r="I3494" i="1"/>
  <c r="F3494" i="1"/>
  <c r="I3493" i="1"/>
  <c r="F3493" i="1"/>
  <c r="I3492" i="1"/>
  <c r="F3492" i="1"/>
  <c r="I3491" i="1"/>
  <c r="F3491" i="1"/>
  <c r="I3490" i="1"/>
  <c r="F3490" i="1"/>
  <c r="I3489" i="1"/>
  <c r="F3489" i="1"/>
  <c r="I3488" i="1"/>
  <c r="F3488" i="1"/>
  <c r="I3487" i="1"/>
  <c r="F3487" i="1"/>
  <c r="I3486" i="1"/>
  <c r="F3486" i="1"/>
  <c r="I3485" i="1"/>
  <c r="F3485" i="1"/>
  <c r="I3484" i="1"/>
  <c r="F3484" i="1"/>
  <c r="I3483" i="1"/>
  <c r="F3483" i="1"/>
  <c r="I3482" i="1"/>
  <c r="F3482" i="1"/>
  <c r="I3481" i="1"/>
  <c r="F3481" i="1"/>
  <c r="I3480" i="1"/>
  <c r="F3480" i="1"/>
  <c r="I3479" i="1"/>
  <c r="F3479" i="1"/>
  <c r="I3478" i="1"/>
  <c r="F3478" i="1"/>
  <c r="I3477" i="1"/>
  <c r="F3477" i="1"/>
  <c r="I3476" i="1"/>
  <c r="F3476" i="1"/>
  <c r="I3475" i="1"/>
  <c r="F3475" i="1"/>
  <c r="I3474" i="1"/>
  <c r="F3474" i="1"/>
  <c r="I3473" i="1"/>
  <c r="F3473" i="1"/>
  <c r="I3472" i="1"/>
  <c r="F3472" i="1"/>
  <c r="I3471" i="1"/>
  <c r="F3471" i="1"/>
  <c r="I3470" i="1"/>
  <c r="F3470" i="1"/>
  <c r="I3469" i="1"/>
  <c r="F3469" i="1"/>
  <c r="I3468" i="1"/>
  <c r="F3468" i="1"/>
  <c r="I3467" i="1"/>
  <c r="F3467" i="1"/>
  <c r="I3466" i="1"/>
  <c r="F3466" i="1"/>
  <c r="I3465" i="1"/>
  <c r="F3465" i="1"/>
  <c r="I3464" i="1"/>
  <c r="F3464" i="1"/>
  <c r="I3463" i="1"/>
  <c r="F3463" i="1"/>
  <c r="I3462" i="1"/>
  <c r="F3462" i="1"/>
  <c r="I3461" i="1"/>
  <c r="F3461" i="1"/>
  <c r="I3460" i="1"/>
  <c r="F3460" i="1"/>
  <c r="I3459" i="1"/>
  <c r="F3459" i="1"/>
  <c r="I3458" i="1"/>
  <c r="F3458" i="1"/>
  <c r="I3457" i="1"/>
  <c r="F3457" i="1"/>
  <c r="I3456" i="1"/>
  <c r="F3456" i="1"/>
  <c r="I3455" i="1"/>
  <c r="F3455" i="1"/>
  <c r="I3454" i="1"/>
  <c r="F3454" i="1"/>
  <c r="I3453" i="1"/>
  <c r="F3453" i="1"/>
  <c r="I3452" i="1"/>
  <c r="F3452" i="1"/>
  <c r="I3451" i="1"/>
  <c r="F3451" i="1"/>
  <c r="I3450" i="1"/>
  <c r="F3450" i="1"/>
  <c r="I3449" i="1"/>
  <c r="F3449" i="1"/>
  <c r="I3448" i="1"/>
  <c r="F3448" i="1"/>
  <c r="I3447" i="1"/>
  <c r="F3447" i="1"/>
  <c r="I3446" i="1"/>
  <c r="F3446" i="1"/>
  <c r="I3445" i="1"/>
  <c r="F3445" i="1"/>
  <c r="I3444" i="1"/>
  <c r="F3444" i="1"/>
  <c r="I3443" i="1"/>
  <c r="F3443" i="1"/>
  <c r="I3442" i="1"/>
  <c r="F3442" i="1"/>
  <c r="I3441" i="1"/>
  <c r="F3441" i="1"/>
  <c r="I3440" i="1"/>
  <c r="F3440" i="1"/>
  <c r="I3439" i="1"/>
  <c r="F3439" i="1"/>
  <c r="I3438" i="1"/>
  <c r="F3438" i="1"/>
  <c r="I3437" i="1"/>
  <c r="F3437" i="1"/>
  <c r="I3436" i="1"/>
  <c r="F3436" i="1"/>
  <c r="I3435" i="1"/>
  <c r="F3435" i="1"/>
  <c r="I3434" i="1"/>
  <c r="F3434" i="1"/>
  <c r="I3433" i="1"/>
  <c r="F3433" i="1"/>
  <c r="I3432" i="1"/>
  <c r="F3432" i="1"/>
  <c r="I3431" i="1"/>
  <c r="F3431" i="1"/>
  <c r="I3430" i="1"/>
  <c r="F3430" i="1"/>
  <c r="I3429" i="1"/>
  <c r="F3429" i="1"/>
  <c r="I3428" i="1"/>
  <c r="F3428" i="1"/>
  <c r="I3427" i="1"/>
  <c r="F3427" i="1"/>
  <c r="I3426" i="1"/>
  <c r="F3426" i="1"/>
  <c r="I3425" i="1"/>
  <c r="F3425" i="1"/>
  <c r="I3424" i="1"/>
  <c r="F3424" i="1"/>
  <c r="I3423" i="1"/>
  <c r="F3423" i="1"/>
  <c r="I3422" i="1"/>
  <c r="F3422" i="1"/>
  <c r="I3421" i="1"/>
  <c r="F3421" i="1"/>
  <c r="I3420" i="1"/>
  <c r="F3420" i="1"/>
  <c r="I3419" i="1"/>
  <c r="F3419" i="1"/>
  <c r="I3418" i="1"/>
  <c r="F3418" i="1"/>
  <c r="I3417" i="1"/>
  <c r="F3417" i="1"/>
  <c r="I3416" i="1"/>
  <c r="F3416" i="1"/>
  <c r="I3415" i="1"/>
  <c r="F3415" i="1"/>
  <c r="I3414" i="1"/>
  <c r="F3414" i="1"/>
  <c r="I3413" i="1"/>
  <c r="F3413" i="1"/>
  <c r="I3412" i="1"/>
  <c r="F3412" i="1"/>
  <c r="I3411" i="1"/>
  <c r="F3411" i="1"/>
  <c r="I3410" i="1"/>
  <c r="F3410" i="1"/>
  <c r="I3409" i="1"/>
  <c r="F3409" i="1"/>
  <c r="I3408" i="1"/>
  <c r="F3408" i="1"/>
  <c r="I3407" i="1"/>
  <c r="F3407" i="1"/>
  <c r="I3406" i="1"/>
  <c r="F3406" i="1"/>
  <c r="I3405" i="1"/>
  <c r="F3405" i="1"/>
  <c r="I3404" i="1"/>
  <c r="F3404" i="1"/>
  <c r="I3403" i="1"/>
  <c r="F3403" i="1"/>
  <c r="I3402" i="1"/>
  <c r="F3402" i="1"/>
  <c r="I3401" i="1"/>
  <c r="F3401" i="1"/>
  <c r="I3400" i="1"/>
  <c r="F3400" i="1"/>
  <c r="I3399" i="1"/>
  <c r="F3399" i="1"/>
  <c r="I3398" i="1"/>
  <c r="F3398" i="1"/>
  <c r="I3397" i="1"/>
  <c r="F3397" i="1"/>
  <c r="I3396" i="1"/>
  <c r="F3396" i="1"/>
  <c r="I3395" i="1"/>
  <c r="F3395" i="1"/>
  <c r="I3394" i="1"/>
  <c r="F3394" i="1"/>
  <c r="I3393" i="1"/>
  <c r="F3393" i="1"/>
  <c r="I3392" i="1"/>
  <c r="F3392" i="1"/>
  <c r="I3391" i="1"/>
  <c r="F3391" i="1"/>
  <c r="I3390" i="1"/>
  <c r="F3390" i="1"/>
  <c r="I3389" i="1"/>
  <c r="F3389" i="1"/>
  <c r="I3388" i="1"/>
  <c r="F3388" i="1"/>
  <c r="I3387" i="1"/>
  <c r="F3387" i="1"/>
  <c r="I3386" i="1"/>
  <c r="F3386" i="1"/>
  <c r="I3385" i="1"/>
  <c r="F3385" i="1"/>
  <c r="I3384" i="1"/>
  <c r="F3384" i="1"/>
  <c r="I3383" i="1"/>
  <c r="F3383" i="1"/>
  <c r="I3382" i="1"/>
  <c r="F3382" i="1"/>
  <c r="I3381" i="1"/>
  <c r="F3381" i="1"/>
  <c r="I3380" i="1"/>
  <c r="F3380" i="1"/>
  <c r="I3379" i="1"/>
  <c r="F3379" i="1"/>
  <c r="I3378" i="1"/>
  <c r="F3378" i="1"/>
  <c r="I3377" i="1"/>
  <c r="F3377" i="1"/>
  <c r="I3376" i="1"/>
  <c r="F3376" i="1"/>
  <c r="I3375" i="1"/>
  <c r="F3375" i="1"/>
  <c r="I3374" i="1"/>
  <c r="F3374" i="1"/>
  <c r="I3373" i="1"/>
  <c r="F3373" i="1"/>
  <c r="I3372" i="1"/>
  <c r="F3372" i="1"/>
  <c r="I3371" i="1"/>
  <c r="F3371" i="1"/>
  <c r="I3370" i="1"/>
  <c r="F3370" i="1"/>
  <c r="I3369" i="1"/>
  <c r="F3369" i="1"/>
  <c r="I3368" i="1"/>
  <c r="F3368" i="1"/>
  <c r="I3367" i="1"/>
  <c r="F3367" i="1"/>
  <c r="I3366" i="1"/>
  <c r="F3366" i="1"/>
  <c r="I3365" i="1"/>
  <c r="F3365" i="1"/>
  <c r="I3364" i="1"/>
  <c r="F3364" i="1"/>
  <c r="I3363" i="1"/>
  <c r="F3363" i="1"/>
  <c r="I3362" i="1"/>
  <c r="F3362" i="1"/>
  <c r="I3361" i="1"/>
  <c r="F3361" i="1"/>
  <c r="I3360" i="1"/>
  <c r="F3360" i="1"/>
  <c r="I3359" i="1"/>
  <c r="F3359" i="1"/>
  <c r="I3358" i="1"/>
  <c r="F3358" i="1"/>
  <c r="I3357" i="1"/>
  <c r="F3357" i="1"/>
  <c r="I3356" i="1"/>
  <c r="F3356" i="1"/>
  <c r="I3355" i="1"/>
  <c r="F3355" i="1"/>
  <c r="I3354" i="1"/>
  <c r="F3354" i="1"/>
  <c r="I3353" i="1"/>
  <c r="F3353" i="1"/>
  <c r="I3352" i="1"/>
  <c r="F3352" i="1"/>
  <c r="I3351" i="1"/>
  <c r="F3351" i="1"/>
  <c r="I3350" i="1"/>
  <c r="F3350" i="1"/>
  <c r="I3349" i="1"/>
  <c r="F3349" i="1"/>
  <c r="I3348" i="1"/>
  <c r="F3348" i="1"/>
  <c r="I3347" i="1"/>
  <c r="F3347" i="1"/>
  <c r="I3346" i="1"/>
  <c r="F3346" i="1"/>
  <c r="I3345" i="1"/>
  <c r="F3345" i="1"/>
  <c r="I3344" i="1"/>
  <c r="F3344" i="1"/>
  <c r="I3343" i="1"/>
  <c r="F3343" i="1"/>
  <c r="I3342" i="1"/>
  <c r="F3342" i="1"/>
  <c r="I3341" i="1"/>
  <c r="F3341" i="1"/>
  <c r="I3340" i="1"/>
  <c r="F3340" i="1"/>
  <c r="I3339" i="1"/>
  <c r="F3339" i="1"/>
  <c r="I3338" i="1"/>
  <c r="F3338" i="1"/>
  <c r="I3337" i="1"/>
  <c r="F3337" i="1"/>
  <c r="I3336" i="1"/>
  <c r="F3336" i="1"/>
  <c r="I3335" i="1"/>
  <c r="F3335" i="1"/>
  <c r="I3334" i="1"/>
  <c r="F3334" i="1"/>
  <c r="I3333" i="1"/>
  <c r="F3333" i="1"/>
  <c r="I3332" i="1"/>
  <c r="F3332" i="1"/>
  <c r="I3331" i="1"/>
  <c r="F3331" i="1"/>
  <c r="I3330" i="1"/>
  <c r="F3330" i="1"/>
  <c r="I3329" i="1"/>
  <c r="F3329" i="1"/>
  <c r="I3328" i="1"/>
  <c r="F3328" i="1"/>
  <c r="I3327" i="1"/>
  <c r="F3327" i="1"/>
  <c r="I3326" i="1"/>
  <c r="F3326" i="1"/>
  <c r="I3325" i="1"/>
  <c r="F3325" i="1"/>
  <c r="I3324" i="1"/>
  <c r="F3324" i="1"/>
  <c r="I3323" i="1"/>
  <c r="F3323" i="1"/>
  <c r="I3322" i="1"/>
  <c r="F3322" i="1"/>
  <c r="I3321" i="1"/>
  <c r="F3321" i="1"/>
  <c r="I3320" i="1"/>
  <c r="F3320" i="1"/>
  <c r="I3319" i="1"/>
  <c r="F3319" i="1"/>
  <c r="I3318" i="1"/>
  <c r="F3318" i="1"/>
  <c r="I3317" i="1"/>
  <c r="F3317" i="1"/>
  <c r="I3316" i="1"/>
  <c r="F3316" i="1"/>
  <c r="I3315" i="1"/>
  <c r="F3315" i="1"/>
  <c r="I3314" i="1"/>
  <c r="F3314" i="1"/>
  <c r="I3313" i="1"/>
  <c r="F3313" i="1"/>
  <c r="I3312" i="1"/>
  <c r="F3312" i="1"/>
  <c r="I3311" i="1"/>
  <c r="F3311" i="1"/>
  <c r="I3310" i="1"/>
  <c r="F3310" i="1"/>
  <c r="I3309" i="1"/>
  <c r="F3309" i="1"/>
  <c r="I3308" i="1"/>
  <c r="F3308" i="1"/>
  <c r="I3307" i="1"/>
  <c r="F3307" i="1"/>
  <c r="I3306" i="1"/>
  <c r="F3306" i="1"/>
  <c r="I3305" i="1"/>
  <c r="F3305" i="1"/>
  <c r="I3304" i="1"/>
  <c r="F3304" i="1"/>
  <c r="I3303" i="1"/>
  <c r="F3303" i="1"/>
  <c r="I3302" i="1"/>
  <c r="F3302" i="1"/>
  <c r="I3301" i="1"/>
  <c r="F3301" i="1"/>
  <c r="I3300" i="1"/>
  <c r="F3300" i="1"/>
  <c r="I3299" i="1"/>
  <c r="F3299" i="1"/>
  <c r="I3298" i="1"/>
  <c r="F3298" i="1"/>
  <c r="I3297" i="1"/>
  <c r="F3297" i="1"/>
  <c r="I3296" i="1"/>
  <c r="F3296" i="1"/>
  <c r="I3295" i="1"/>
  <c r="F3295" i="1"/>
  <c r="I3294" i="1"/>
  <c r="F3294" i="1"/>
  <c r="I3293" i="1"/>
  <c r="F3293" i="1"/>
  <c r="I3292" i="1"/>
  <c r="F3292" i="1"/>
  <c r="I3291" i="1"/>
  <c r="F3291" i="1"/>
  <c r="I3290" i="1"/>
  <c r="F3290" i="1"/>
  <c r="I3289" i="1"/>
  <c r="F3289" i="1"/>
  <c r="I3288" i="1"/>
  <c r="F3288" i="1"/>
  <c r="I3287" i="1"/>
  <c r="F3287" i="1"/>
  <c r="I3286" i="1"/>
  <c r="F3286" i="1"/>
  <c r="I3285" i="1"/>
  <c r="F3285" i="1"/>
  <c r="I3284" i="1"/>
  <c r="F3284" i="1"/>
  <c r="I3283" i="1"/>
  <c r="F3283" i="1"/>
  <c r="I3282" i="1"/>
  <c r="F3282" i="1"/>
  <c r="I3281" i="1"/>
  <c r="F3281" i="1"/>
  <c r="I3280" i="1"/>
  <c r="F3280" i="1"/>
  <c r="I3279" i="1"/>
  <c r="F3279" i="1"/>
  <c r="I3278" i="1"/>
  <c r="F3278" i="1"/>
  <c r="I3277" i="1"/>
  <c r="F3277" i="1"/>
  <c r="I3276" i="1"/>
  <c r="F3276" i="1"/>
  <c r="I3275" i="1"/>
  <c r="F3275" i="1"/>
  <c r="I3274" i="1"/>
  <c r="F3274" i="1"/>
  <c r="I3273" i="1"/>
  <c r="F3273" i="1"/>
  <c r="I3272" i="1"/>
  <c r="F3272" i="1"/>
  <c r="I3271" i="1"/>
  <c r="F3271" i="1"/>
  <c r="I3270" i="1"/>
  <c r="F3270" i="1"/>
  <c r="I3269" i="1"/>
  <c r="F3269" i="1"/>
  <c r="I3268" i="1"/>
  <c r="F3268" i="1"/>
  <c r="I3267" i="1"/>
  <c r="F3267" i="1"/>
  <c r="I3266" i="1"/>
  <c r="F3266" i="1"/>
  <c r="I3265" i="1"/>
  <c r="F3265" i="1"/>
  <c r="I3264" i="1"/>
  <c r="F3264" i="1"/>
  <c r="I3263" i="1"/>
  <c r="F3263" i="1"/>
  <c r="I3262" i="1"/>
  <c r="F3262" i="1"/>
  <c r="I3261" i="1"/>
  <c r="F3261" i="1"/>
  <c r="I3260" i="1"/>
  <c r="F3260" i="1"/>
  <c r="I3259" i="1"/>
  <c r="F3259" i="1"/>
  <c r="I3258" i="1"/>
  <c r="F3258" i="1"/>
  <c r="I3257" i="1"/>
  <c r="F3257" i="1"/>
  <c r="I3256" i="1"/>
  <c r="F3256" i="1"/>
  <c r="I3255" i="1"/>
  <c r="F3255" i="1"/>
  <c r="I3254" i="1"/>
  <c r="F3254" i="1"/>
  <c r="I3253" i="1"/>
  <c r="F3253" i="1"/>
  <c r="I3252" i="1"/>
  <c r="F3252" i="1"/>
  <c r="I3251" i="1"/>
  <c r="F3251" i="1"/>
  <c r="I3250" i="1"/>
  <c r="F3250" i="1"/>
  <c r="I3249" i="1"/>
  <c r="F3249" i="1"/>
  <c r="I3248" i="1"/>
  <c r="F3248" i="1"/>
  <c r="I3247" i="1"/>
  <c r="F3247" i="1"/>
  <c r="I3246" i="1"/>
  <c r="F3246" i="1"/>
  <c r="I3245" i="1"/>
  <c r="F3245" i="1"/>
  <c r="I3244" i="1"/>
  <c r="F3244" i="1"/>
  <c r="I3243" i="1"/>
  <c r="F3243" i="1"/>
  <c r="I3242" i="1"/>
  <c r="F3242" i="1"/>
  <c r="I3241" i="1"/>
  <c r="F3241" i="1"/>
  <c r="I3240" i="1"/>
  <c r="F3240" i="1"/>
  <c r="I3239" i="1"/>
  <c r="F3239" i="1"/>
  <c r="I3238" i="1"/>
  <c r="F3238" i="1"/>
  <c r="I3237" i="1"/>
  <c r="F3237" i="1"/>
  <c r="I3236" i="1"/>
  <c r="F3236" i="1"/>
  <c r="I3235" i="1"/>
  <c r="F3235" i="1"/>
  <c r="I3234" i="1"/>
  <c r="F3234" i="1"/>
  <c r="I3233" i="1"/>
  <c r="F3233" i="1"/>
  <c r="I3232" i="1"/>
  <c r="F3232" i="1"/>
  <c r="I3231" i="1"/>
  <c r="F3231" i="1"/>
  <c r="I3230" i="1"/>
  <c r="F3230" i="1"/>
  <c r="I3229" i="1"/>
  <c r="F3229" i="1"/>
  <c r="I3228" i="1"/>
  <c r="F3228" i="1"/>
  <c r="I3227" i="1"/>
  <c r="F3227" i="1"/>
  <c r="I3226" i="1"/>
  <c r="F3226" i="1"/>
  <c r="I3225" i="1"/>
  <c r="F3225" i="1"/>
  <c r="I3224" i="1"/>
  <c r="F3224" i="1"/>
  <c r="I3223" i="1"/>
  <c r="F3223" i="1"/>
  <c r="I3222" i="1"/>
  <c r="F3222" i="1"/>
  <c r="I3221" i="1"/>
  <c r="F3221" i="1"/>
  <c r="I3220" i="1"/>
  <c r="F3220" i="1"/>
  <c r="I3219" i="1"/>
  <c r="F3219" i="1"/>
  <c r="I3218" i="1"/>
  <c r="F3218" i="1"/>
  <c r="I3217" i="1"/>
  <c r="F3217" i="1"/>
  <c r="I3216" i="1"/>
  <c r="F3216" i="1"/>
  <c r="I3215" i="1"/>
  <c r="F3215" i="1"/>
  <c r="I3214" i="1"/>
  <c r="F3214" i="1"/>
  <c r="I3213" i="1"/>
  <c r="F3213" i="1"/>
  <c r="I3212" i="1"/>
  <c r="F3212" i="1"/>
  <c r="I3211" i="1"/>
  <c r="F3211" i="1"/>
  <c r="I3210" i="1"/>
  <c r="F3210" i="1"/>
  <c r="I3209" i="1"/>
  <c r="F3209" i="1"/>
  <c r="I3208" i="1"/>
  <c r="F3208" i="1"/>
  <c r="I3207" i="1"/>
  <c r="F3207" i="1"/>
  <c r="I3206" i="1"/>
  <c r="F3206" i="1"/>
  <c r="I3205" i="1"/>
  <c r="F3205" i="1"/>
  <c r="I3204" i="1"/>
  <c r="F3204" i="1"/>
  <c r="I3203" i="1"/>
  <c r="F3203" i="1"/>
  <c r="I3202" i="1"/>
  <c r="F3202" i="1"/>
  <c r="I3201" i="1"/>
  <c r="F3201" i="1"/>
  <c r="I3200" i="1"/>
  <c r="F3200" i="1"/>
  <c r="I3199" i="1"/>
  <c r="F3199" i="1"/>
  <c r="I3198" i="1"/>
  <c r="F3198" i="1"/>
  <c r="I3197" i="1"/>
  <c r="F3197" i="1"/>
  <c r="I3196" i="1"/>
  <c r="F3196" i="1"/>
  <c r="I3195" i="1"/>
  <c r="F3195" i="1"/>
  <c r="I3194" i="1"/>
  <c r="F3194" i="1"/>
  <c r="I3193" i="1"/>
  <c r="F3193" i="1"/>
  <c r="I3192" i="1"/>
  <c r="F3192" i="1"/>
  <c r="I3191" i="1"/>
  <c r="F3191" i="1"/>
  <c r="I3190" i="1"/>
  <c r="F3190" i="1"/>
  <c r="I3189" i="1"/>
  <c r="F3189" i="1"/>
  <c r="I3188" i="1"/>
  <c r="F3188" i="1"/>
  <c r="I3187" i="1"/>
  <c r="F3187" i="1"/>
  <c r="I3186" i="1"/>
  <c r="F3186" i="1"/>
  <c r="I3185" i="1"/>
  <c r="F3185" i="1"/>
  <c r="I3184" i="1"/>
  <c r="F3184" i="1"/>
  <c r="I3183" i="1"/>
  <c r="F3183" i="1"/>
  <c r="I3182" i="1"/>
  <c r="F3182" i="1"/>
  <c r="I3181" i="1"/>
  <c r="F3181" i="1"/>
  <c r="I3180" i="1"/>
  <c r="F3180" i="1"/>
  <c r="I3179" i="1"/>
  <c r="F3179" i="1"/>
  <c r="I3178" i="1"/>
  <c r="F3178" i="1"/>
  <c r="I3177" i="1"/>
  <c r="F3177" i="1"/>
  <c r="I3176" i="1"/>
  <c r="F3176" i="1"/>
  <c r="I3175" i="1"/>
  <c r="F3175" i="1"/>
  <c r="I3174" i="1"/>
  <c r="F3174" i="1"/>
  <c r="I3173" i="1"/>
  <c r="F3173" i="1"/>
  <c r="I3172" i="1"/>
  <c r="F3172" i="1"/>
  <c r="I3171" i="1"/>
  <c r="F3171" i="1"/>
  <c r="I3170" i="1"/>
  <c r="F3170" i="1"/>
  <c r="I3169" i="1"/>
  <c r="F3169" i="1"/>
  <c r="I3168" i="1"/>
  <c r="F3168" i="1"/>
  <c r="I3167" i="1"/>
  <c r="F3167" i="1"/>
  <c r="I3166" i="1"/>
  <c r="F3166" i="1"/>
  <c r="I3165" i="1"/>
  <c r="F3165" i="1"/>
  <c r="I3164" i="1"/>
  <c r="F3164" i="1"/>
  <c r="I3163" i="1"/>
  <c r="F3163" i="1"/>
  <c r="I3162" i="1"/>
  <c r="F3162" i="1"/>
  <c r="I3161" i="1"/>
  <c r="F3161" i="1"/>
  <c r="I3160" i="1"/>
  <c r="F3160" i="1"/>
  <c r="I3159" i="1"/>
  <c r="F3159" i="1"/>
  <c r="I3158" i="1"/>
  <c r="F3158" i="1"/>
  <c r="I3157" i="1"/>
  <c r="F3157" i="1"/>
  <c r="I3156" i="1"/>
  <c r="F3156" i="1"/>
  <c r="I3155" i="1"/>
  <c r="F3155" i="1"/>
  <c r="I3154" i="1"/>
  <c r="F3154" i="1"/>
  <c r="I3153" i="1"/>
  <c r="F3153" i="1"/>
  <c r="I3152" i="1"/>
  <c r="F3152" i="1"/>
  <c r="I3151" i="1"/>
  <c r="F3151" i="1"/>
  <c r="I3150" i="1"/>
  <c r="F3150" i="1"/>
  <c r="I3149" i="1"/>
  <c r="F3149" i="1"/>
  <c r="I3148" i="1"/>
  <c r="F3148" i="1"/>
  <c r="I3147" i="1"/>
  <c r="F3147" i="1"/>
  <c r="I3146" i="1"/>
  <c r="F3146" i="1"/>
  <c r="I3145" i="1"/>
  <c r="F3145" i="1"/>
  <c r="I3144" i="1"/>
  <c r="F3144" i="1"/>
  <c r="I3143" i="1"/>
  <c r="F3143" i="1"/>
  <c r="I3142" i="1"/>
  <c r="F3142" i="1"/>
  <c r="I3141" i="1"/>
  <c r="F3141" i="1"/>
  <c r="I3140" i="1"/>
  <c r="F3140" i="1"/>
  <c r="I3139" i="1"/>
  <c r="F3139" i="1"/>
  <c r="I3138" i="1"/>
  <c r="F3138" i="1"/>
  <c r="I3137" i="1"/>
  <c r="F3137" i="1"/>
  <c r="I3136" i="1"/>
  <c r="F3136" i="1"/>
  <c r="I3135" i="1"/>
  <c r="F3135" i="1"/>
  <c r="I3134" i="1"/>
  <c r="F3134" i="1"/>
  <c r="I3133" i="1"/>
  <c r="F3133" i="1"/>
  <c r="I3132" i="1"/>
  <c r="F3132" i="1"/>
  <c r="I3131" i="1"/>
  <c r="F3131" i="1"/>
  <c r="I3130" i="1"/>
  <c r="F3130" i="1"/>
  <c r="I3129" i="1"/>
  <c r="F3129" i="1"/>
  <c r="I3128" i="1"/>
  <c r="F3128" i="1"/>
  <c r="I3127" i="1"/>
  <c r="F3127" i="1"/>
  <c r="I3126" i="1"/>
  <c r="F3126" i="1"/>
  <c r="I3125" i="1"/>
  <c r="F3125" i="1"/>
  <c r="I3124" i="1"/>
  <c r="F3124" i="1"/>
  <c r="I3123" i="1"/>
  <c r="F3123" i="1"/>
  <c r="I3122" i="1"/>
  <c r="F3122" i="1"/>
  <c r="I3121" i="1"/>
  <c r="F3121" i="1"/>
  <c r="I3120" i="1"/>
  <c r="F3120" i="1"/>
  <c r="I3119" i="1"/>
  <c r="F3119" i="1"/>
  <c r="I3118" i="1"/>
  <c r="F3118" i="1"/>
  <c r="I3117" i="1"/>
  <c r="F3117" i="1"/>
  <c r="I3116" i="1"/>
  <c r="F3116" i="1"/>
  <c r="I3115" i="1"/>
  <c r="F3115" i="1"/>
  <c r="I3114" i="1"/>
  <c r="F3114" i="1"/>
  <c r="I3113" i="1"/>
  <c r="F3113" i="1"/>
  <c r="I3112" i="1"/>
  <c r="F3112" i="1"/>
  <c r="I3111" i="1"/>
  <c r="F3111" i="1"/>
  <c r="I3110" i="1"/>
  <c r="F3110" i="1"/>
  <c r="I3109" i="1"/>
  <c r="F3109" i="1"/>
  <c r="I3108" i="1"/>
  <c r="F3108" i="1"/>
  <c r="I3107" i="1"/>
  <c r="F3107" i="1"/>
  <c r="I3106" i="1"/>
  <c r="F3106" i="1"/>
  <c r="I3105" i="1"/>
  <c r="F3105" i="1"/>
  <c r="I3104" i="1"/>
  <c r="F3104" i="1"/>
  <c r="I3103" i="1"/>
  <c r="F3103" i="1"/>
  <c r="I3102" i="1"/>
  <c r="F3102" i="1"/>
  <c r="I3101" i="1"/>
  <c r="F3101" i="1"/>
  <c r="I3100" i="1"/>
  <c r="F3100" i="1"/>
  <c r="I3099" i="1"/>
  <c r="F3099" i="1"/>
  <c r="I3098" i="1"/>
  <c r="F3098" i="1"/>
  <c r="I3097" i="1"/>
  <c r="F3097" i="1"/>
  <c r="I3096" i="1"/>
  <c r="F3096" i="1"/>
  <c r="I3095" i="1"/>
  <c r="F3095" i="1"/>
  <c r="I3094" i="1"/>
  <c r="F3094" i="1"/>
  <c r="I3093" i="1"/>
  <c r="F3093" i="1"/>
  <c r="I3092" i="1"/>
  <c r="F3092" i="1"/>
  <c r="I3091" i="1"/>
  <c r="F3091" i="1"/>
  <c r="I3090" i="1"/>
  <c r="F3090" i="1"/>
  <c r="I3089" i="1"/>
  <c r="F3089" i="1"/>
  <c r="I3088" i="1"/>
  <c r="F3088" i="1"/>
  <c r="I3087" i="1"/>
  <c r="F3087" i="1"/>
  <c r="I3086" i="1"/>
  <c r="F3086" i="1"/>
  <c r="I3085" i="1"/>
  <c r="F3085" i="1"/>
  <c r="I3084" i="1"/>
  <c r="F3084" i="1"/>
  <c r="I3083" i="1"/>
  <c r="F3083" i="1"/>
  <c r="I3082" i="1"/>
  <c r="F3082" i="1"/>
  <c r="I3081" i="1"/>
  <c r="F3081" i="1"/>
  <c r="I3080" i="1"/>
  <c r="F3080" i="1"/>
  <c r="I3079" i="1"/>
  <c r="F3079" i="1"/>
  <c r="I3078" i="1"/>
  <c r="F3078" i="1"/>
  <c r="I3077" i="1"/>
  <c r="F3077" i="1"/>
  <c r="I3076" i="1"/>
  <c r="F3076" i="1"/>
  <c r="I3075" i="1"/>
  <c r="F3075" i="1"/>
  <c r="I3074" i="1"/>
  <c r="F3074" i="1"/>
  <c r="I3073" i="1"/>
  <c r="F3073" i="1"/>
  <c r="I3072" i="1"/>
  <c r="F3072" i="1"/>
  <c r="I3071" i="1"/>
  <c r="F3071" i="1"/>
  <c r="I3070" i="1"/>
  <c r="F3070" i="1"/>
  <c r="I3069" i="1"/>
  <c r="F3069" i="1"/>
  <c r="I3068" i="1"/>
  <c r="F3068" i="1"/>
  <c r="I3067" i="1"/>
  <c r="F3067" i="1"/>
  <c r="I3066" i="1"/>
  <c r="F3066" i="1"/>
  <c r="I3065" i="1"/>
  <c r="F3065" i="1"/>
  <c r="I3064" i="1"/>
  <c r="F3064" i="1"/>
  <c r="I3063" i="1"/>
  <c r="F3063" i="1"/>
  <c r="I3062" i="1"/>
  <c r="F3062" i="1"/>
  <c r="I3061" i="1"/>
  <c r="F3061" i="1"/>
  <c r="I3060" i="1"/>
  <c r="F3060" i="1"/>
  <c r="I3059" i="1"/>
  <c r="F3059" i="1"/>
  <c r="I3058" i="1"/>
  <c r="F3058" i="1"/>
  <c r="I3057" i="1"/>
  <c r="F3057" i="1"/>
  <c r="I3056" i="1"/>
  <c r="F3056" i="1"/>
  <c r="I3055" i="1"/>
  <c r="F3055" i="1"/>
  <c r="I3054" i="1"/>
  <c r="F3054" i="1"/>
  <c r="I3053" i="1"/>
  <c r="F3053" i="1"/>
  <c r="I3052" i="1"/>
  <c r="F3052" i="1"/>
  <c r="I3051" i="1"/>
  <c r="F3051" i="1"/>
  <c r="I3050" i="1"/>
  <c r="F3050" i="1"/>
  <c r="I3049" i="1"/>
  <c r="F3049" i="1"/>
  <c r="I3048" i="1"/>
  <c r="F3048" i="1"/>
  <c r="I3047" i="1"/>
  <c r="F3047" i="1"/>
  <c r="I3046" i="1"/>
  <c r="F3046" i="1"/>
  <c r="I3045" i="1"/>
  <c r="F3045" i="1"/>
  <c r="I3044" i="1"/>
  <c r="F3044" i="1"/>
  <c r="I3043" i="1"/>
  <c r="F3043" i="1"/>
  <c r="I3042" i="1"/>
  <c r="F3042" i="1"/>
  <c r="I3041" i="1"/>
  <c r="F3041" i="1"/>
  <c r="I3040" i="1"/>
  <c r="F3040" i="1"/>
  <c r="I3039" i="1"/>
  <c r="F3039" i="1"/>
  <c r="I3038" i="1"/>
  <c r="F3038" i="1"/>
  <c r="I3037" i="1"/>
  <c r="F3037" i="1"/>
  <c r="I3036" i="1"/>
  <c r="F3036" i="1"/>
  <c r="I3035" i="1"/>
  <c r="F3035" i="1"/>
  <c r="I3034" i="1"/>
  <c r="F3034" i="1"/>
  <c r="I3033" i="1"/>
  <c r="F3033" i="1"/>
  <c r="I3032" i="1"/>
  <c r="F3032" i="1"/>
  <c r="I3031" i="1"/>
  <c r="F3031" i="1"/>
  <c r="I3030" i="1"/>
  <c r="F3030" i="1"/>
  <c r="I3029" i="1"/>
  <c r="F3029" i="1"/>
  <c r="I3028" i="1"/>
  <c r="F3028" i="1"/>
  <c r="I3027" i="1"/>
  <c r="F3027" i="1"/>
  <c r="I3026" i="1"/>
  <c r="F3026" i="1"/>
  <c r="I3025" i="1"/>
  <c r="F3025" i="1"/>
  <c r="I3024" i="1"/>
  <c r="F3024" i="1"/>
  <c r="I3023" i="1"/>
  <c r="F3023" i="1"/>
  <c r="I3022" i="1"/>
  <c r="F3022" i="1"/>
  <c r="I3021" i="1"/>
  <c r="F3021" i="1"/>
  <c r="I3020" i="1"/>
  <c r="F3020" i="1"/>
  <c r="I3019" i="1"/>
  <c r="F3019" i="1"/>
  <c r="I3018" i="1"/>
  <c r="F3018" i="1"/>
  <c r="I3017" i="1"/>
  <c r="F3017" i="1"/>
  <c r="I3016" i="1"/>
  <c r="F3016" i="1"/>
  <c r="I3015" i="1"/>
  <c r="F3015" i="1"/>
  <c r="I3014" i="1"/>
  <c r="F3014" i="1"/>
  <c r="I3013" i="1"/>
  <c r="F3013" i="1"/>
  <c r="I3012" i="1"/>
  <c r="F3012" i="1"/>
  <c r="I3011" i="1"/>
  <c r="F3011" i="1"/>
  <c r="I3010" i="1"/>
  <c r="F3010" i="1"/>
  <c r="I3009" i="1"/>
  <c r="F3009" i="1"/>
  <c r="I3008" i="1"/>
  <c r="F3008" i="1"/>
  <c r="I3007" i="1"/>
  <c r="F3007" i="1"/>
  <c r="I3006" i="1"/>
  <c r="F3006" i="1"/>
  <c r="I3005" i="1"/>
  <c r="F3005" i="1"/>
  <c r="I3004" i="1"/>
  <c r="F3004" i="1"/>
  <c r="I3003" i="1"/>
  <c r="F3003" i="1"/>
  <c r="I3002" i="1"/>
  <c r="F3002" i="1"/>
  <c r="I3001" i="1"/>
  <c r="F3001" i="1"/>
  <c r="I3000" i="1"/>
  <c r="F3000" i="1"/>
  <c r="I2999" i="1"/>
  <c r="F2999" i="1"/>
  <c r="I2998" i="1"/>
  <c r="F2998" i="1"/>
  <c r="I2997" i="1"/>
  <c r="F2997" i="1"/>
  <c r="I2996" i="1"/>
  <c r="F2996" i="1"/>
  <c r="I2995" i="1"/>
  <c r="F2995" i="1"/>
  <c r="I2994" i="1"/>
  <c r="F2994" i="1"/>
  <c r="I2993" i="1"/>
  <c r="F2993" i="1"/>
  <c r="I2992" i="1"/>
  <c r="F2992" i="1"/>
  <c r="I2991" i="1"/>
  <c r="F2991" i="1"/>
  <c r="I2990" i="1"/>
  <c r="F2990" i="1"/>
  <c r="I2989" i="1"/>
  <c r="F2989" i="1"/>
  <c r="I2988" i="1"/>
  <c r="F2988" i="1"/>
  <c r="I2987" i="1"/>
  <c r="F2987" i="1"/>
  <c r="I2986" i="1"/>
  <c r="F2986" i="1"/>
  <c r="I2985" i="1"/>
  <c r="F2985" i="1"/>
  <c r="I2984" i="1"/>
  <c r="F2984" i="1"/>
  <c r="I2983" i="1"/>
  <c r="F2983" i="1"/>
  <c r="I2982" i="1"/>
  <c r="F2982" i="1"/>
  <c r="I2981" i="1"/>
  <c r="F2981" i="1"/>
  <c r="I2980" i="1"/>
  <c r="F2980" i="1"/>
  <c r="I2979" i="1"/>
  <c r="F2979" i="1"/>
  <c r="I2978" i="1"/>
  <c r="F2978" i="1"/>
  <c r="I2977" i="1"/>
  <c r="F2977" i="1"/>
  <c r="I2976" i="1"/>
  <c r="F2976" i="1"/>
  <c r="I2975" i="1"/>
  <c r="F2975" i="1"/>
  <c r="I2974" i="1"/>
  <c r="F2974" i="1"/>
  <c r="I2973" i="1"/>
  <c r="F2973" i="1"/>
  <c r="I2972" i="1"/>
  <c r="F2972" i="1"/>
  <c r="I2971" i="1"/>
  <c r="F2971" i="1"/>
  <c r="I2970" i="1"/>
  <c r="F2970" i="1"/>
  <c r="I2969" i="1"/>
  <c r="F2969" i="1"/>
  <c r="I2968" i="1"/>
  <c r="F2968" i="1"/>
  <c r="I2967" i="1"/>
  <c r="F2967" i="1"/>
  <c r="I2966" i="1"/>
  <c r="F2966" i="1"/>
  <c r="I2965" i="1"/>
  <c r="F2965" i="1"/>
  <c r="I2964" i="1"/>
  <c r="F2964" i="1"/>
  <c r="I2963" i="1"/>
  <c r="F2963" i="1"/>
  <c r="I2962" i="1"/>
  <c r="F2962" i="1"/>
  <c r="I2961" i="1"/>
  <c r="F2961" i="1"/>
  <c r="I2960" i="1"/>
  <c r="F2960" i="1"/>
  <c r="I2959" i="1"/>
  <c r="F2959" i="1"/>
  <c r="I2958" i="1"/>
  <c r="F2958" i="1"/>
  <c r="I2957" i="1"/>
  <c r="F2957" i="1"/>
  <c r="I2956" i="1"/>
  <c r="F2956" i="1"/>
  <c r="I2955" i="1"/>
  <c r="F2955" i="1"/>
  <c r="I2954" i="1"/>
  <c r="F2954" i="1"/>
  <c r="I2953" i="1"/>
  <c r="F2953" i="1"/>
  <c r="I2952" i="1"/>
  <c r="F2952" i="1"/>
  <c r="I2951" i="1"/>
  <c r="F2951" i="1"/>
  <c r="I2950" i="1"/>
  <c r="F2950" i="1"/>
  <c r="I2949" i="1"/>
  <c r="F2949" i="1"/>
  <c r="I2948" i="1"/>
  <c r="F2948" i="1"/>
  <c r="I2947" i="1"/>
  <c r="F2947" i="1"/>
  <c r="I2946" i="1"/>
  <c r="F2946" i="1"/>
  <c r="I2945" i="1"/>
  <c r="F2945" i="1"/>
  <c r="I2944" i="1"/>
  <c r="F2944" i="1"/>
  <c r="I2943" i="1"/>
  <c r="F2943" i="1"/>
  <c r="I2942" i="1"/>
  <c r="F2942" i="1"/>
  <c r="I2941" i="1"/>
  <c r="F2941" i="1"/>
  <c r="I2940" i="1"/>
  <c r="F2940" i="1"/>
  <c r="I2939" i="1"/>
  <c r="F2939" i="1"/>
  <c r="I2938" i="1"/>
  <c r="F2938" i="1"/>
  <c r="I2937" i="1"/>
  <c r="F2937" i="1"/>
  <c r="I2936" i="1"/>
  <c r="F2936" i="1"/>
  <c r="I2935" i="1"/>
  <c r="F2935" i="1"/>
  <c r="I2934" i="1"/>
  <c r="F2934" i="1"/>
  <c r="I2933" i="1"/>
  <c r="F2933" i="1"/>
  <c r="I2932" i="1"/>
  <c r="F2932" i="1"/>
  <c r="I2931" i="1"/>
  <c r="F2931" i="1"/>
  <c r="I2930" i="1"/>
  <c r="F2930" i="1"/>
  <c r="I2929" i="1"/>
  <c r="F2929" i="1"/>
  <c r="I2928" i="1"/>
  <c r="F2928" i="1"/>
  <c r="I2927" i="1"/>
  <c r="F2927" i="1"/>
  <c r="I2926" i="1"/>
  <c r="F2926" i="1"/>
  <c r="I2925" i="1"/>
  <c r="F2925" i="1"/>
  <c r="I2924" i="1"/>
  <c r="F2924" i="1"/>
  <c r="I2923" i="1"/>
  <c r="F2923" i="1"/>
  <c r="I2922" i="1"/>
  <c r="F2922" i="1"/>
  <c r="I2921" i="1"/>
  <c r="F2921" i="1"/>
  <c r="I2920" i="1"/>
  <c r="F2920" i="1"/>
  <c r="I2919" i="1"/>
  <c r="F2919" i="1"/>
  <c r="I2918" i="1"/>
  <c r="F2918" i="1"/>
  <c r="I2917" i="1"/>
  <c r="F2917" i="1"/>
  <c r="I2916" i="1"/>
  <c r="F2916" i="1"/>
  <c r="I2915" i="1"/>
  <c r="F2915" i="1"/>
  <c r="I2914" i="1"/>
  <c r="F2914" i="1"/>
  <c r="I2913" i="1"/>
  <c r="F2913" i="1"/>
  <c r="I2912" i="1"/>
  <c r="F2912" i="1"/>
  <c r="I2911" i="1"/>
  <c r="F2911" i="1"/>
  <c r="I2910" i="1"/>
  <c r="F2910" i="1"/>
  <c r="I2909" i="1"/>
  <c r="F2909" i="1"/>
  <c r="I2908" i="1"/>
  <c r="F2908" i="1"/>
  <c r="I2907" i="1"/>
  <c r="F2907" i="1"/>
  <c r="I2906" i="1"/>
  <c r="F2906" i="1"/>
  <c r="I2905" i="1"/>
  <c r="F2905" i="1"/>
  <c r="I2904" i="1"/>
  <c r="F2904" i="1"/>
  <c r="I2903" i="1"/>
  <c r="F2903" i="1"/>
  <c r="I2902" i="1"/>
  <c r="F2902" i="1"/>
  <c r="I2901" i="1"/>
  <c r="F2901" i="1"/>
  <c r="I2900" i="1"/>
  <c r="F2900" i="1"/>
  <c r="I2899" i="1"/>
  <c r="F2899" i="1"/>
  <c r="I2898" i="1"/>
  <c r="F2898" i="1"/>
  <c r="I2897" i="1"/>
  <c r="F2897" i="1"/>
  <c r="I2896" i="1"/>
  <c r="F2896" i="1"/>
  <c r="I2895" i="1"/>
  <c r="F2895" i="1"/>
  <c r="I2894" i="1"/>
  <c r="F2894" i="1"/>
  <c r="I2893" i="1"/>
  <c r="F2893" i="1"/>
  <c r="I2892" i="1"/>
  <c r="F2892" i="1"/>
  <c r="I2891" i="1"/>
  <c r="F2891" i="1"/>
  <c r="I2890" i="1"/>
  <c r="F2890" i="1"/>
  <c r="I2889" i="1"/>
  <c r="F2889" i="1"/>
  <c r="I2888" i="1"/>
  <c r="F2888" i="1"/>
  <c r="I2887" i="1"/>
  <c r="F2887" i="1"/>
  <c r="I2886" i="1"/>
  <c r="F2886" i="1"/>
  <c r="I2885" i="1"/>
  <c r="F2885" i="1"/>
  <c r="I2884" i="1"/>
  <c r="F2884" i="1"/>
  <c r="I2883" i="1"/>
  <c r="F2883" i="1"/>
  <c r="I2882" i="1"/>
  <c r="F2882" i="1"/>
  <c r="I2881" i="1"/>
  <c r="F2881" i="1"/>
  <c r="I2880" i="1"/>
  <c r="F2880" i="1"/>
  <c r="I2879" i="1"/>
  <c r="F2879" i="1"/>
  <c r="I2878" i="1"/>
  <c r="F2878" i="1"/>
  <c r="I2877" i="1"/>
  <c r="F2877" i="1"/>
  <c r="I2876" i="1"/>
  <c r="F2876" i="1"/>
  <c r="I2875" i="1"/>
  <c r="F2875" i="1"/>
  <c r="I2874" i="1"/>
  <c r="F2874" i="1"/>
  <c r="I2873" i="1"/>
  <c r="F2873" i="1"/>
  <c r="I2872" i="1"/>
  <c r="F2872" i="1"/>
  <c r="I2871" i="1"/>
  <c r="F2871" i="1"/>
  <c r="I2870" i="1"/>
  <c r="F2870" i="1"/>
  <c r="I2869" i="1"/>
  <c r="F2869" i="1"/>
  <c r="I2868" i="1"/>
  <c r="F2868" i="1"/>
  <c r="I2867" i="1"/>
  <c r="F2867" i="1"/>
  <c r="I2866" i="1"/>
  <c r="F2866" i="1"/>
  <c r="I2865" i="1"/>
  <c r="F2865" i="1"/>
  <c r="I2864" i="1"/>
  <c r="F2864" i="1"/>
  <c r="I2863" i="1"/>
  <c r="F2863" i="1"/>
  <c r="I2862" i="1"/>
  <c r="F2862" i="1"/>
  <c r="I2861" i="1"/>
  <c r="F2861" i="1"/>
  <c r="I2860" i="1"/>
  <c r="F2860" i="1"/>
  <c r="I2859" i="1"/>
  <c r="F2859" i="1"/>
  <c r="I2858" i="1"/>
  <c r="F2858" i="1"/>
  <c r="I2857" i="1"/>
  <c r="F2857" i="1"/>
  <c r="I2856" i="1"/>
  <c r="F2856" i="1"/>
  <c r="I2855" i="1"/>
  <c r="F2855" i="1"/>
  <c r="I2854" i="1"/>
  <c r="F2854" i="1"/>
  <c r="I2853" i="1"/>
  <c r="F2853" i="1"/>
  <c r="I2852" i="1"/>
  <c r="F2852" i="1"/>
  <c r="I2851" i="1"/>
  <c r="F2851" i="1"/>
  <c r="I2850" i="1"/>
  <c r="F2850" i="1"/>
  <c r="I2849" i="1"/>
  <c r="F2849" i="1"/>
  <c r="I2848" i="1"/>
  <c r="F2848" i="1"/>
  <c r="I2847" i="1"/>
  <c r="F2847" i="1"/>
  <c r="I2846" i="1"/>
  <c r="F2846" i="1"/>
  <c r="I2845" i="1"/>
  <c r="F2845" i="1"/>
  <c r="I2844" i="1"/>
  <c r="F2844" i="1"/>
  <c r="I2843" i="1"/>
  <c r="F2843" i="1"/>
  <c r="I2842" i="1"/>
  <c r="F2842" i="1"/>
  <c r="I2841" i="1"/>
  <c r="F2841" i="1"/>
  <c r="I2840" i="1"/>
  <c r="F2840" i="1"/>
  <c r="I2839" i="1"/>
  <c r="F2839" i="1"/>
  <c r="I2838" i="1"/>
  <c r="F2838" i="1"/>
  <c r="I2837" i="1"/>
  <c r="F2837" i="1"/>
  <c r="I2836" i="1"/>
  <c r="F2836" i="1"/>
  <c r="I2835" i="1"/>
  <c r="F2835" i="1"/>
  <c r="I2834" i="1"/>
  <c r="F2834" i="1"/>
  <c r="I2833" i="1"/>
  <c r="F2833" i="1"/>
  <c r="I2832" i="1"/>
  <c r="F2832" i="1"/>
  <c r="I2831" i="1"/>
  <c r="F2831" i="1"/>
  <c r="I2830" i="1"/>
  <c r="F2830" i="1"/>
  <c r="I2829" i="1"/>
  <c r="F2829" i="1"/>
  <c r="I2828" i="1"/>
  <c r="F2828" i="1"/>
  <c r="I2827" i="1"/>
  <c r="F2827" i="1"/>
  <c r="I2826" i="1"/>
  <c r="F2826" i="1"/>
  <c r="I2825" i="1"/>
  <c r="F2825" i="1"/>
  <c r="I2824" i="1"/>
  <c r="F2824" i="1"/>
  <c r="I2823" i="1"/>
  <c r="F2823" i="1"/>
  <c r="I2822" i="1"/>
  <c r="F2822" i="1"/>
  <c r="I2821" i="1"/>
  <c r="F2821" i="1"/>
  <c r="I2820" i="1"/>
  <c r="F2820" i="1"/>
  <c r="I2819" i="1"/>
  <c r="F2819" i="1"/>
  <c r="I2818" i="1"/>
  <c r="F2818" i="1"/>
  <c r="I2817" i="1"/>
  <c r="F2817" i="1"/>
  <c r="I2816" i="1"/>
  <c r="F2816" i="1"/>
  <c r="I2815" i="1"/>
  <c r="F2815" i="1"/>
  <c r="I2814" i="1"/>
  <c r="F2814" i="1"/>
  <c r="I2813" i="1"/>
  <c r="F2813" i="1"/>
  <c r="I2812" i="1"/>
  <c r="F2812" i="1"/>
  <c r="I2811" i="1"/>
  <c r="F2811" i="1"/>
  <c r="I2810" i="1"/>
  <c r="F2810" i="1"/>
  <c r="I2809" i="1"/>
  <c r="F2809" i="1"/>
  <c r="I2808" i="1"/>
  <c r="F2808" i="1"/>
  <c r="I2807" i="1"/>
  <c r="F2807" i="1"/>
  <c r="I2806" i="1"/>
  <c r="F2806" i="1"/>
  <c r="I2805" i="1"/>
  <c r="F2805" i="1"/>
  <c r="I2804" i="1"/>
  <c r="F2804" i="1"/>
  <c r="I2803" i="1"/>
  <c r="F2803" i="1"/>
  <c r="I2802" i="1"/>
  <c r="F2802" i="1"/>
  <c r="I2801" i="1"/>
  <c r="F2801" i="1"/>
  <c r="I2800" i="1"/>
  <c r="F2800" i="1"/>
  <c r="I2799" i="1"/>
  <c r="F2799" i="1"/>
  <c r="I2798" i="1"/>
  <c r="F2798" i="1"/>
  <c r="I2797" i="1"/>
  <c r="F2797" i="1"/>
  <c r="I2796" i="1"/>
  <c r="F2796" i="1"/>
  <c r="I2795" i="1"/>
  <c r="F2795" i="1"/>
  <c r="I2794" i="1"/>
  <c r="F2794" i="1"/>
  <c r="I2793" i="1"/>
  <c r="F2793" i="1"/>
  <c r="I2792" i="1"/>
  <c r="F2792" i="1"/>
  <c r="I2791" i="1"/>
  <c r="F2791" i="1"/>
  <c r="I2790" i="1"/>
  <c r="F2790" i="1"/>
  <c r="I2789" i="1"/>
  <c r="F2789" i="1"/>
  <c r="I2788" i="1"/>
  <c r="F2788" i="1"/>
  <c r="I2787" i="1"/>
  <c r="F2787" i="1"/>
  <c r="I2786" i="1"/>
  <c r="F2786" i="1"/>
  <c r="I2785" i="1"/>
  <c r="F2785" i="1"/>
  <c r="I2784" i="1"/>
  <c r="F2784" i="1"/>
  <c r="I2783" i="1"/>
  <c r="F2783" i="1"/>
  <c r="I2782" i="1"/>
  <c r="F2782" i="1"/>
  <c r="I2781" i="1"/>
  <c r="F2781" i="1"/>
  <c r="I2780" i="1"/>
  <c r="F2780" i="1"/>
  <c r="I2779" i="1"/>
  <c r="F2779" i="1"/>
  <c r="I2778" i="1"/>
  <c r="F2778" i="1"/>
  <c r="I2777" i="1"/>
  <c r="F2777" i="1"/>
  <c r="I2776" i="1"/>
  <c r="F2776" i="1"/>
  <c r="I2775" i="1"/>
  <c r="F2775" i="1"/>
  <c r="I2774" i="1"/>
  <c r="F2774" i="1"/>
  <c r="I2773" i="1"/>
  <c r="F2773" i="1"/>
  <c r="I2772" i="1"/>
  <c r="F2772" i="1"/>
  <c r="I2771" i="1"/>
  <c r="F2771" i="1"/>
  <c r="I2770" i="1"/>
  <c r="F2770" i="1"/>
  <c r="I2769" i="1"/>
  <c r="F2769" i="1"/>
  <c r="I2768" i="1"/>
  <c r="F2768" i="1"/>
  <c r="I2767" i="1"/>
  <c r="F2767" i="1"/>
  <c r="I2766" i="1"/>
  <c r="F2766" i="1"/>
  <c r="I2765" i="1"/>
  <c r="F2765" i="1"/>
  <c r="I2764" i="1"/>
  <c r="F2764" i="1"/>
  <c r="I2763" i="1"/>
  <c r="F2763" i="1"/>
  <c r="I2762" i="1"/>
  <c r="F2762" i="1"/>
  <c r="I2761" i="1"/>
  <c r="F2761" i="1"/>
  <c r="I2760" i="1"/>
  <c r="F2760" i="1"/>
  <c r="I2759" i="1"/>
  <c r="F2759" i="1"/>
  <c r="I2758" i="1"/>
  <c r="F2758" i="1"/>
  <c r="I2757" i="1"/>
  <c r="F2757" i="1"/>
  <c r="I2756" i="1"/>
  <c r="F2756" i="1"/>
  <c r="I2755" i="1"/>
  <c r="F2755" i="1"/>
  <c r="I2754" i="1"/>
  <c r="F2754" i="1"/>
  <c r="I2753" i="1"/>
  <c r="F2753" i="1"/>
  <c r="I2752" i="1"/>
  <c r="F2752" i="1"/>
  <c r="I2751" i="1"/>
  <c r="F2751" i="1"/>
  <c r="I2750" i="1"/>
  <c r="F2750" i="1"/>
  <c r="I2749" i="1"/>
  <c r="F2749" i="1"/>
  <c r="I2748" i="1"/>
  <c r="F2748" i="1"/>
  <c r="I2747" i="1"/>
  <c r="F2747" i="1"/>
  <c r="I2746" i="1"/>
  <c r="F2746" i="1"/>
  <c r="I2745" i="1"/>
  <c r="F2745" i="1"/>
  <c r="I2744" i="1"/>
  <c r="F2744" i="1"/>
  <c r="I2743" i="1"/>
  <c r="F2743" i="1"/>
  <c r="I2742" i="1"/>
  <c r="F2742" i="1"/>
  <c r="I2741" i="1"/>
  <c r="F2741" i="1"/>
  <c r="I2740" i="1"/>
  <c r="F2740" i="1"/>
  <c r="I2739" i="1"/>
  <c r="F2739" i="1"/>
  <c r="I2738" i="1"/>
  <c r="F2738" i="1"/>
  <c r="I2737" i="1"/>
  <c r="F2737" i="1"/>
  <c r="I2736" i="1"/>
  <c r="F2736" i="1"/>
  <c r="I2735" i="1"/>
  <c r="F2735" i="1"/>
  <c r="I2734" i="1"/>
  <c r="F2734" i="1"/>
  <c r="I2733" i="1"/>
  <c r="F2733" i="1"/>
  <c r="I2732" i="1"/>
  <c r="F2732" i="1"/>
  <c r="I2731" i="1"/>
  <c r="F2731" i="1"/>
  <c r="I2730" i="1"/>
  <c r="F2730" i="1"/>
  <c r="I2729" i="1"/>
  <c r="F2729" i="1"/>
  <c r="I2728" i="1"/>
  <c r="F2728" i="1"/>
  <c r="I2727" i="1"/>
  <c r="F2727" i="1"/>
  <c r="I2726" i="1"/>
  <c r="F2726" i="1"/>
  <c r="I2725" i="1"/>
  <c r="F2725" i="1"/>
  <c r="I2724" i="1"/>
  <c r="F2724" i="1"/>
  <c r="I2723" i="1"/>
  <c r="F2723" i="1"/>
  <c r="I2722" i="1"/>
  <c r="F2722" i="1"/>
  <c r="I2721" i="1"/>
  <c r="F2721" i="1"/>
  <c r="I2720" i="1"/>
  <c r="F2720" i="1"/>
  <c r="I2719" i="1"/>
  <c r="F2719" i="1"/>
  <c r="I2718" i="1"/>
  <c r="F2718" i="1"/>
  <c r="I2717" i="1"/>
  <c r="F2717" i="1"/>
  <c r="I2716" i="1"/>
  <c r="F2716" i="1"/>
  <c r="I2715" i="1"/>
  <c r="F2715" i="1"/>
  <c r="I2714" i="1"/>
  <c r="F2714" i="1"/>
  <c r="I2713" i="1"/>
  <c r="F2713" i="1"/>
  <c r="I2712" i="1"/>
  <c r="F2712" i="1"/>
  <c r="I2711" i="1"/>
  <c r="F2711" i="1"/>
  <c r="I2710" i="1"/>
  <c r="F2710" i="1"/>
  <c r="I2709" i="1"/>
  <c r="F2709" i="1"/>
  <c r="I2708" i="1"/>
  <c r="F2708" i="1"/>
  <c r="I2707" i="1"/>
  <c r="F2707" i="1"/>
  <c r="I2706" i="1"/>
  <c r="F2706" i="1"/>
  <c r="I2705" i="1"/>
  <c r="F2705" i="1"/>
  <c r="I2704" i="1"/>
  <c r="F2704" i="1"/>
  <c r="I2703" i="1"/>
  <c r="F2703" i="1"/>
  <c r="I2702" i="1"/>
  <c r="F2702" i="1"/>
  <c r="I2701" i="1"/>
  <c r="F2701" i="1"/>
  <c r="I2700" i="1"/>
  <c r="F2700" i="1"/>
  <c r="I2699" i="1"/>
  <c r="F2699" i="1"/>
  <c r="I2698" i="1"/>
  <c r="F2698" i="1"/>
  <c r="I2697" i="1"/>
  <c r="F2697" i="1"/>
  <c r="I2696" i="1"/>
  <c r="F2696" i="1"/>
  <c r="I2695" i="1"/>
  <c r="F2695" i="1"/>
  <c r="I2694" i="1"/>
  <c r="F2694" i="1"/>
  <c r="I2693" i="1"/>
  <c r="F2693" i="1"/>
  <c r="I2692" i="1"/>
  <c r="F2692" i="1"/>
  <c r="I2691" i="1"/>
  <c r="F2691" i="1"/>
  <c r="I2690" i="1"/>
  <c r="F2690" i="1"/>
  <c r="I2689" i="1"/>
  <c r="F2689" i="1"/>
  <c r="I2688" i="1"/>
  <c r="F2688" i="1"/>
  <c r="I2687" i="1"/>
  <c r="F2687" i="1"/>
  <c r="I2686" i="1"/>
  <c r="F2686" i="1"/>
  <c r="I2685" i="1"/>
  <c r="F2685" i="1"/>
  <c r="I2684" i="1"/>
  <c r="F2684" i="1"/>
  <c r="I2683" i="1"/>
  <c r="F2683" i="1"/>
  <c r="I2682" i="1"/>
  <c r="F2682" i="1"/>
  <c r="I2681" i="1"/>
  <c r="F2681" i="1"/>
  <c r="I2680" i="1"/>
  <c r="F2680" i="1"/>
  <c r="I2679" i="1"/>
  <c r="F2679" i="1"/>
  <c r="I2678" i="1"/>
  <c r="F2678" i="1"/>
  <c r="I2677" i="1"/>
  <c r="F2677" i="1"/>
  <c r="I2676" i="1"/>
  <c r="F2676" i="1"/>
  <c r="I2675" i="1"/>
  <c r="F2675" i="1"/>
  <c r="I2674" i="1"/>
  <c r="F2674" i="1"/>
  <c r="I2673" i="1"/>
  <c r="F2673" i="1"/>
  <c r="I2672" i="1"/>
  <c r="F2672" i="1"/>
  <c r="I2671" i="1"/>
  <c r="F2671" i="1"/>
  <c r="I2670" i="1"/>
  <c r="F2670" i="1"/>
  <c r="I2669" i="1"/>
  <c r="F2669" i="1"/>
  <c r="I2668" i="1"/>
  <c r="F2668" i="1"/>
  <c r="I2667" i="1"/>
  <c r="F2667" i="1"/>
  <c r="I2666" i="1"/>
  <c r="F2666" i="1"/>
  <c r="I2665" i="1"/>
  <c r="F2665" i="1"/>
  <c r="I2664" i="1"/>
  <c r="F2664" i="1"/>
  <c r="I2663" i="1"/>
  <c r="F2663" i="1"/>
  <c r="I2662" i="1"/>
  <c r="F2662" i="1"/>
  <c r="I2661" i="1"/>
  <c r="F2661" i="1"/>
  <c r="I2660" i="1"/>
  <c r="F2660" i="1"/>
  <c r="I2659" i="1"/>
  <c r="F2659" i="1"/>
  <c r="I2658" i="1"/>
  <c r="F2658" i="1"/>
  <c r="I2657" i="1"/>
  <c r="F2657" i="1"/>
  <c r="I2656" i="1"/>
  <c r="F2656" i="1"/>
  <c r="I2655" i="1"/>
  <c r="F2655" i="1"/>
  <c r="I2654" i="1"/>
  <c r="F2654" i="1"/>
  <c r="I2653" i="1"/>
  <c r="F2653" i="1"/>
  <c r="I2652" i="1"/>
  <c r="F2652" i="1"/>
  <c r="I2651" i="1"/>
  <c r="F2651" i="1"/>
  <c r="I2650" i="1"/>
  <c r="F2650" i="1"/>
  <c r="I2649" i="1"/>
  <c r="F2649" i="1"/>
  <c r="I2648" i="1"/>
  <c r="F2648" i="1"/>
  <c r="I2647" i="1"/>
  <c r="F2647" i="1"/>
  <c r="I2646" i="1"/>
  <c r="F2646" i="1"/>
  <c r="I2645" i="1"/>
  <c r="F2645" i="1"/>
  <c r="I2644" i="1"/>
  <c r="F2644" i="1"/>
  <c r="I2643" i="1"/>
  <c r="F2643" i="1"/>
  <c r="I2642" i="1"/>
  <c r="F2642" i="1"/>
  <c r="I2641" i="1"/>
  <c r="F2641" i="1"/>
  <c r="I2640" i="1"/>
  <c r="F2640" i="1"/>
  <c r="I2639" i="1"/>
  <c r="F2639" i="1"/>
  <c r="I2638" i="1"/>
  <c r="F2638" i="1"/>
  <c r="I2637" i="1"/>
  <c r="F2637" i="1"/>
  <c r="I2636" i="1"/>
  <c r="F2636" i="1"/>
  <c r="I2635" i="1"/>
  <c r="F2635" i="1"/>
  <c r="I2634" i="1"/>
  <c r="F2634" i="1"/>
  <c r="I2633" i="1"/>
  <c r="F2633" i="1"/>
  <c r="I2632" i="1"/>
  <c r="F2632" i="1"/>
  <c r="I2631" i="1"/>
  <c r="F2631" i="1"/>
  <c r="I2630" i="1"/>
  <c r="F2630" i="1"/>
  <c r="I2629" i="1"/>
  <c r="F2629" i="1"/>
  <c r="I2628" i="1"/>
  <c r="F2628" i="1"/>
  <c r="I2627" i="1"/>
  <c r="F2627" i="1"/>
  <c r="I2626" i="1"/>
  <c r="F2626" i="1"/>
  <c r="I2625" i="1"/>
  <c r="F2625" i="1"/>
  <c r="I2624" i="1"/>
  <c r="F2624" i="1"/>
  <c r="I2623" i="1"/>
  <c r="F2623" i="1"/>
  <c r="I2622" i="1"/>
  <c r="F2622" i="1"/>
  <c r="I2621" i="1"/>
  <c r="F2621" i="1"/>
  <c r="I2620" i="1"/>
  <c r="F2620" i="1"/>
  <c r="I2619" i="1"/>
  <c r="F2619" i="1"/>
  <c r="I2618" i="1"/>
  <c r="F2618" i="1"/>
  <c r="I2617" i="1"/>
  <c r="F2617" i="1"/>
  <c r="I2616" i="1"/>
  <c r="F2616" i="1"/>
  <c r="I2615" i="1"/>
  <c r="F2615" i="1"/>
  <c r="I2614" i="1"/>
  <c r="F2614" i="1"/>
  <c r="I2613" i="1"/>
  <c r="F2613" i="1"/>
  <c r="I2612" i="1"/>
  <c r="F2612" i="1"/>
  <c r="I2611" i="1"/>
  <c r="F2611" i="1"/>
  <c r="I2610" i="1"/>
  <c r="F2610" i="1"/>
  <c r="I2609" i="1"/>
  <c r="F2609" i="1"/>
  <c r="I2608" i="1"/>
  <c r="F2608" i="1"/>
  <c r="I2607" i="1"/>
  <c r="F2607" i="1"/>
  <c r="I2606" i="1"/>
  <c r="F2606" i="1"/>
  <c r="I2605" i="1"/>
  <c r="F2605" i="1"/>
  <c r="I2604" i="1"/>
  <c r="F2604" i="1"/>
  <c r="I2603" i="1"/>
  <c r="F2603" i="1"/>
  <c r="I2602" i="1"/>
  <c r="F2602" i="1"/>
  <c r="I2601" i="1"/>
  <c r="F2601" i="1"/>
  <c r="I2600" i="1"/>
  <c r="F2600" i="1"/>
  <c r="I2599" i="1"/>
  <c r="F2599" i="1"/>
  <c r="I2598" i="1"/>
  <c r="F2598" i="1"/>
  <c r="I2597" i="1"/>
  <c r="F2597" i="1"/>
  <c r="I2596" i="1"/>
  <c r="F2596" i="1"/>
  <c r="I2595" i="1"/>
  <c r="F2595" i="1"/>
  <c r="I2594" i="1"/>
  <c r="F2594" i="1"/>
  <c r="I2593" i="1"/>
  <c r="F2593" i="1"/>
  <c r="I2592" i="1"/>
  <c r="F2592" i="1"/>
  <c r="I2591" i="1"/>
  <c r="F2591" i="1"/>
  <c r="I2590" i="1"/>
  <c r="F2590" i="1"/>
  <c r="I2589" i="1"/>
  <c r="F2589" i="1"/>
  <c r="I2588" i="1"/>
  <c r="F2588" i="1"/>
  <c r="I2587" i="1"/>
  <c r="F2587" i="1"/>
  <c r="I2586" i="1"/>
  <c r="F2586" i="1"/>
  <c r="I2585" i="1"/>
  <c r="F2585" i="1"/>
  <c r="I2584" i="1"/>
  <c r="F2584" i="1"/>
  <c r="I2583" i="1"/>
  <c r="F2583" i="1"/>
  <c r="I2582" i="1"/>
  <c r="F2582" i="1"/>
  <c r="I2581" i="1"/>
  <c r="F2581" i="1"/>
  <c r="I2580" i="1"/>
  <c r="F2580" i="1"/>
  <c r="I2579" i="1"/>
  <c r="F2579" i="1"/>
  <c r="I2578" i="1"/>
  <c r="F2578" i="1"/>
  <c r="I2577" i="1"/>
  <c r="F2577" i="1"/>
  <c r="I2576" i="1"/>
  <c r="F2576" i="1"/>
  <c r="I2575" i="1"/>
  <c r="F2575" i="1"/>
  <c r="I2574" i="1"/>
  <c r="F2574" i="1"/>
  <c r="I2573" i="1"/>
  <c r="F2573" i="1"/>
  <c r="I2572" i="1"/>
  <c r="F2572" i="1"/>
  <c r="I2571" i="1"/>
  <c r="F2571" i="1"/>
  <c r="I2570" i="1"/>
  <c r="F2570" i="1"/>
  <c r="I2569" i="1"/>
  <c r="F2569" i="1"/>
  <c r="I2568" i="1"/>
  <c r="F2568" i="1"/>
  <c r="I2567" i="1"/>
  <c r="F2567" i="1"/>
  <c r="I2566" i="1"/>
  <c r="F2566" i="1"/>
  <c r="I2565" i="1"/>
  <c r="F2565" i="1"/>
  <c r="I2564" i="1"/>
  <c r="F2564" i="1"/>
  <c r="I2563" i="1"/>
  <c r="F2563" i="1"/>
  <c r="I2562" i="1"/>
  <c r="F2562" i="1"/>
  <c r="I2561" i="1"/>
  <c r="F2561" i="1"/>
  <c r="I2560" i="1"/>
  <c r="F2560" i="1"/>
  <c r="I2559" i="1"/>
  <c r="F2559" i="1"/>
  <c r="I2558" i="1"/>
  <c r="F2558" i="1"/>
  <c r="I2557" i="1"/>
  <c r="F2557" i="1"/>
  <c r="I2556" i="1"/>
  <c r="F2556" i="1"/>
  <c r="I2555" i="1"/>
  <c r="F2555" i="1"/>
  <c r="I2554" i="1"/>
  <c r="F2554" i="1"/>
  <c r="I2553" i="1"/>
  <c r="F2553" i="1"/>
  <c r="I2552" i="1"/>
  <c r="F2552" i="1"/>
  <c r="I2551" i="1"/>
  <c r="F2551" i="1"/>
  <c r="I2550" i="1"/>
  <c r="F2550" i="1"/>
  <c r="I2549" i="1"/>
  <c r="F2549" i="1"/>
  <c r="I2548" i="1"/>
  <c r="F2548" i="1"/>
  <c r="I2547" i="1"/>
  <c r="F2547" i="1"/>
  <c r="I2546" i="1"/>
  <c r="F2546" i="1"/>
  <c r="I2545" i="1"/>
  <c r="F2545" i="1"/>
  <c r="I2544" i="1"/>
  <c r="F2544" i="1"/>
  <c r="I2543" i="1"/>
  <c r="F2543" i="1"/>
  <c r="I2542" i="1"/>
  <c r="F2542" i="1"/>
  <c r="I2541" i="1"/>
  <c r="F2541" i="1"/>
  <c r="I2540" i="1"/>
  <c r="F2540" i="1"/>
  <c r="I2539" i="1"/>
  <c r="F2539" i="1"/>
  <c r="I2538" i="1"/>
  <c r="F2538" i="1"/>
  <c r="I2537" i="1"/>
  <c r="F2537" i="1"/>
  <c r="I2536" i="1"/>
  <c r="F2536" i="1"/>
  <c r="I2535" i="1"/>
  <c r="F2535" i="1"/>
  <c r="I2534" i="1"/>
  <c r="F2534" i="1"/>
  <c r="I2533" i="1"/>
  <c r="F2533" i="1"/>
  <c r="I2532" i="1"/>
  <c r="F2532" i="1"/>
  <c r="I2531" i="1"/>
  <c r="F2531" i="1"/>
  <c r="I2530" i="1"/>
  <c r="F2530" i="1"/>
  <c r="I2529" i="1"/>
  <c r="F2529" i="1"/>
  <c r="I2528" i="1"/>
  <c r="F2528" i="1"/>
  <c r="I2527" i="1"/>
  <c r="F2527" i="1"/>
  <c r="I2526" i="1"/>
  <c r="F2526" i="1"/>
  <c r="I2525" i="1"/>
  <c r="F2525" i="1"/>
  <c r="I2524" i="1"/>
  <c r="F2524" i="1"/>
  <c r="I2523" i="1"/>
  <c r="F2523" i="1"/>
  <c r="I2522" i="1"/>
  <c r="F2522" i="1"/>
  <c r="I2521" i="1"/>
  <c r="F2521" i="1"/>
  <c r="I2520" i="1"/>
  <c r="F2520" i="1"/>
  <c r="I2519" i="1"/>
  <c r="F2519" i="1"/>
  <c r="I2518" i="1"/>
  <c r="F2518" i="1"/>
  <c r="I2517" i="1"/>
  <c r="F2517" i="1"/>
  <c r="I2516" i="1"/>
  <c r="F2516" i="1"/>
  <c r="I2515" i="1"/>
  <c r="F2515" i="1"/>
  <c r="I2514" i="1"/>
  <c r="F2514" i="1"/>
  <c r="I2513" i="1"/>
  <c r="F2513" i="1"/>
  <c r="I2512" i="1"/>
  <c r="F2512" i="1"/>
  <c r="I2511" i="1"/>
  <c r="F2511" i="1"/>
  <c r="I2510" i="1"/>
  <c r="F2510" i="1"/>
  <c r="I2509" i="1"/>
  <c r="F2509" i="1"/>
  <c r="I2508" i="1"/>
  <c r="F2508" i="1"/>
  <c r="I2507" i="1"/>
  <c r="F2507" i="1"/>
  <c r="I2506" i="1"/>
  <c r="F2506" i="1"/>
  <c r="I2505" i="1"/>
  <c r="F2505" i="1"/>
  <c r="I2504" i="1"/>
  <c r="F2504" i="1"/>
  <c r="I2503" i="1"/>
  <c r="F2503" i="1"/>
  <c r="I2502" i="1"/>
  <c r="F2502" i="1"/>
  <c r="I2501" i="1"/>
  <c r="F2501" i="1"/>
  <c r="I2500" i="1"/>
  <c r="F2500" i="1"/>
  <c r="I2499" i="1"/>
  <c r="F2499" i="1"/>
  <c r="I2498" i="1"/>
  <c r="F2498" i="1"/>
  <c r="I2497" i="1"/>
  <c r="F2497" i="1"/>
  <c r="I2496" i="1"/>
  <c r="F2496" i="1"/>
  <c r="I2495" i="1"/>
  <c r="F2495" i="1"/>
  <c r="I2494" i="1"/>
  <c r="F2494" i="1"/>
  <c r="I2493" i="1"/>
  <c r="F2493" i="1"/>
  <c r="I2492" i="1"/>
  <c r="F2492" i="1"/>
  <c r="I2491" i="1"/>
  <c r="F2491" i="1"/>
  <c r="I2490" i="1"/>
  <c r="F2490" i="1"/>
  <c r="I2489" i="1"/>
  <c r="F2489" i="1"/>
  <c r="I2488" i="1"/>
  <c r="F2488" i="1"/>
  <c r="I2487" i="1"/>
  <c r="F2487" i="1"/>
  <c r="I2486" i="1"/>
  <c r="F2486" i="1"/>
  <c r="I2485" i="1"/>
  <c r="F2485" i="1"/>
  <c r="I2484" i="1"/>
  <c r="F2484" i="1"/>
  <c r="I2483" i="1"/>
  <c r="F2483" i="1"/>
  <c r="I2482" i="1"/>
  <c r="F2482" i="1"/>
  <c r="I2481" i="1"/>
  <c r="F2481" i="1"/>
  <c r="I2480" i="1"/>
  <c r="F2480" i="1"/>
  <c r="I2479" i="1"/>
  <c r="F2479" i="1"/>
  <c r="I2478" i="1"/>
  <c r="F2478" i="1"/>
  <c r="I2477" i="1"/>
  <c r="F2477" i="1"/>
  <c r="I2476" i="1"/>
  <c r="F2476" i="1"/>
  <c r="I2475" i="1"/>
  <c r="F2475" i="1"/>
  <c r="I2474" i="1"/>
  <c r="F2474" i="1"/>
  <c r="I2473" i="1"/>
  <c r="F2473" i="1"/>
  <c r="I2472" i="1"/>
  <c r="F2472" i="1"/>
  <c r="I2471" i="1"/>
  <c r="F2471" i="1"/>
  <c r="I2470" i="1"/>
  <c r="F2470" i="1"/>
  <c r="I2469" i="1"/>
  <c r="F2469" i="1"/>
  <c r="I2468" i="1"/>
  <c r="F2468" i="1"/>
  <c r="I2467" i="1"/>
  <c r="F2467" i="1"/>
  <c r="I2466" i="1"/>
  <c r="F2466" i="1"/>
  <c r="I2465" i="1"/>
  <c r="F2465" i="1"/>
  <c r="I2464" i="1"/>
  <c r="F2464" i="1"/>
  <c r="I2463" i="1"/>
  <c r="F2463" i="1"/>
  <c r="I2462" i="1"/>
  <c r="F2462" i="1"/>
  <c r="I2461" i="1"/>
  <c r="F2461" i="1"/>
  <c r="I2460" i="1"/>
  <c r="F2460" i="1"/>
  <c r="I2459" i="1"/>
  <c r="F2459" i="1"/>
  <c r="I2458" i="1"/>
  <c r="F2458" i="1"/>
  <c r="I2457" i="1"/>
  <c r="F2457" i="1"/>
  <c r="I2456" i="1"/>
  <c r="F2456" i="1"/>
  <c r="I2455" i="1"/>
  <c r="F2455" i="1"/>
  <c r="I2454" i="1"/>
  <c r="F2454" i="1"/>
  <c r="I2453" i="1"/>
  <c r="F2453" i="1"/>
  <c r="I2452" i="1"/>
  <c r="F2452" i="1"/>
  <c r="I2451" i="1"/>
  <c r="F2451" i="1"/>
  <c r="I2450" i="1"/>
  <c r="F2450" i="1"/>
  <c r="I2449" i="1"/>
  <c r="F2449" i="1"/>
  <c r="I2448" i="1"/>
  <c r="F2448" i="1"/>
  <c r="I2447" i="1"/>
  <c r="F2447" i="1"/>
  <c r="I2446" i="1"/>
  <c r="F2446" i="1"/>
  <c r="I2445" i="1"/>
  <c r="F2445" i="1"/>
  <c r="I2444" i="1"/>
  <c r="F2444" i="1"/>
  <c r="I2443" i="1"/>
  <c r="F2443" i="1"/>
  <c r="I2442" i="1"/>
  <c r="F2442" i="1"/>
  <c r="I2441" i="1"/>
  <c r="F2441" i="1"/>
  <c r="I2440" i="1"/>
  <c r="F2440" i="1"/>
  <c r="I2439" i="1"/>
  <c r="F2439" i="1"/>
  <c r="I2438" i="1"/>
  <c r="F2438" i="1"/>
  <c r="I2437" i="1"/>
  <c r="F2437" i="1"/>
  <c r="I2436" i="1"/>
  <c r="F2436" i="1"/>
  <c r="I2435" i="1"/>
  <c r="F2435" i="1"/>
  <c r="I2434" i="1"/>
  <c r="F2434" i="1"/>
  <c r="I2433" i="1"/>
  <c r="F2433" i="1"/>
  <c r="I2432" i="1"/>
  <c r="F2432" i="1"/>
  <c r="I2431" i="1"/>
  <c r="F2431" i="1"/>
  <c r="I2430" i="1"/>
  <c r="F2430" i="1"/>
  <c r="I2429" i="1"/>
  <c r="F2429" i="1"/>
  <c r="I2428" i="1"/>
  <c r="F2428" i="1"/>
  <c r="I2427" i="1"/>
  <c r="F2427" i="1"/>
  <c r="I2426" i="1"/>
  <c r="F2426" i="1"/>
  <c r="I2425" i="1"/>
  <c r="F2425" i="1"/>
  <c r="I2424" i="1"/>
  <c r="F2424" i="1"/>
  <c r="I2423" i="1"/>
  <c r="F2423" i="1"/>
  <c r="I2422" i="1"/>
  <c r="F2422" i="1"/>
  <c r="I2421" i="1"/>
  <c r="F2421" i="1"/>
  <c r="I2420" i="1"/>
  <c r="F2420" i="1"/>
  <c r="I2419" i="1"/>
  <c r="F2419" i="1"/>
  <c r="I2418" i="1"/>
  <c r="F2418" i="1"/>
  <c r="I2417" i="1"/>
  <c r="F2417" i="1"/>
  <c r="I2416" i="1"/>
  <c r="F2416" i="1"/>
  <c r="I2415" i="1"/>
  <c r="F2415" i="1"/>
  <c r="I2414" i="1"/>
  <c r="F2414" i="1"/>
  <c r="I2413" i="1"/>
  <c r="F2413" i="1"/>
  <c r="I2412" i="1"/>
  <c r="F2412" i="1"/>
  <c r="I2411" i="1"/>
  <c r="F2411" i="1"/>
  <c r="I2410" i="1"/>
  <c r="F2410" i="1"/>
  <c r="I2409" i="1"/>
  <c r="F2409" i="1"/>
  <c r="I2408" i="1"/>
  <c r="F2408" i="1"/>
  <c r="I2407" i="1"/>
  <c r="F2407" i="1"/>
  <c r="I2406" i="1"/>
  <c r="F2406" i="1"/>
  <c r="I2405" i="1"/>
  <c r="F2405" i="1"/>
  <c r="I2404" i="1"/>
  <c r="F2404" i="1"/>
  <c r="I2403" i="1"/>
  <c r="F2403" i="1"/>
  <c r="I2402" i="1"/>
  <c r="F2402" i="1"/>
  <c r="I2401" i="1"/>
  <c r="F2401" i="1"/>
  <c r="I2400" i="1"/>
  <c r="F2400" i="1"/>
  <c r="I2399" i="1"/>
  <c r="F2399" i="1"/>
  <c r="I2398" i="1"/>
  <c r="F2398" i="1"/>
  <c r="I2397" i="1"/>
  <c r="F2397" i="1"/>
  <c r="I2396" i="1"/>
  <c r="F2396" i="1"/>
  <c r="I2395" i="1"/>
  <c r="F2395" i="1"/>
  <c r="I2394" i="1"/>
  <c r="F2394" i="1"/>
  <c r="I2393" i="1"/>
  <c r="F2393" i="1"/>
  <c r="I2392" i="1"/>
  <c r="F2392" i="1"/>
  <c r="I2391" i="1"/>
  <c r="F2391" i="1"/>
  <c r="I2390" i="1"/>
  <c r="F2390" i="1"/>
  <c r="I2389" i="1"/>
  <c r="F2389" i="1"/>
  <c r="I2388" i="1"/>
  <c r="F2388" i="1"/>
  <c r="I2387" i="1"/>
  <c r="F2387" i="1"/>
  <c r="I2386" i="1"/>
  <c r="F2386" i="1"/>
  <c r="I2385" i="1"/>
  <c r="F2385" i="1"/>
  <c r="I2384" i="1"/>
  <c r="F2384" i="1"/>
  <c r="I2383" i="1"/>
  <c r="F2383" i="1"/>
  <c r="I2382" i="1"/>
  <c r="F2382" i="1"/>
  <c r="I2381" i="1"/>
  <c r="F2381" i="1"/>
  <c r="I2380" i="1"/>
  <c r="F2380" i="1"/>
  <c r="I2379" i="1"/>
  <c r="F2379" i="1"/>
  <c r="I2378" i="1"/>
  <c r="F2378" i="1"/>
  <c r="I2377" i="1"/>
  <c r="F2377" i="1"/>
  <c r="I2376" i="1"/>
  <c r="F2376" i="1"/>
  <c r="I2375" i="1"/>
  <c r="F2375" i="1"/>
  <c r="I2374" i="1"/>
  <c r="F2374" i="1"/>
  <c r="I2373" i="1"/>
  <c r="F2373" i="1"/>
  <c r="I2372" i="1"/>
  <c r="F2372" i="1"/>
  <c r="I2371" i="1"/>
  <c r="F2371" i="1"/>
  <c r="I2370" i="1"/>
  <c r="F2370" i="1"/>
  <c r="I2369" i="1"/>
  <c r="F2369" i="1"/>
  <c r="I2368" i="1"/>
  <c r="F2368" i="1"/>
  <c r="I2367" i="1"/>
  <c r="F2367" i="1"/>
  <c r="I2366" i="1"/>
  <c r="F2366" i="1"/>
  <c r="I2365" i="1"/>
  <c r="F2365" i="1"/>
  <c r="I2364" i="1"/>
  <c r="F2364" i="1"/>
  <c r="I2363" i="1"/>
  <c r="F2363" i="1"/>
  <c r="I2362" i="1"/>
  <c r="F2362" i="1"/>
  <c r="I2361" i="1"/>
  <c r="F2361" i="1"/>
  <c r="I2360" i="1"/>
  <c r="F2360" i="1"/>
  <c r="I2359" i="1"/>
  <c r="F2359" i="1"/>
  <c r="I2358" i="1"/>
  <c r="F2358" i="1"/>
  <c r="I2357" i="1"/>
  <c r="F2357" i="1"/>
  <c r="I2356" i="1"/>
  <c r="F2356" i="1"/>
  <c r="I2355" i="1"/>
  <c r="F2355" i="1"/>
  <c r="I2354" i="1"/>
  <c r="F2354" i="1"/>
  <c r="I2353" i="1"/>
  <c r="F2353" i="1"/>
  <c r="I2352" i="1"/>
  <c r="F2352" i="1"/>
  <c r="I2351" i="1"/>
  <c r="F2351" i="1"/>
  <c r="I2350" i="1"/>
  <c r="F2350" i="1"/>
  <c r="I2349" i="1"/>
  <c r="F2349" i="1"/>
  <c r="I2348" i="1"/>
  <c r="F2348" i="1"/>
  <c r="I2347" i="1"/>
  <c r="F2347" i="1"/>
  <c r="I2346" i="1"/>
  <c r="F2346" i="1"/>
  <c r="I2345" i="1"/>
  <c r="F2345" i="1"/>
  <c r="I2344" i="1"/>
  <c r="F2344" i="1"/>
  <c r="I2343" i="1"/>
  <c r="F2343" i="1"/>
  <c r="I2342" i="1"/>
  <c r="F2342" i="1"/>
  <c r="I2341" i="1"/>
  <c r="F2341" i="1"/>
  <c r="I2340" i="1"/>
  <c r="F2340" i="1"/>
  <c r="I2339" i="1"/>
  <c r="F2339" i="1"/>
  <c r="I2338" i="1"/>
  <c r="F2338" i="1"/>
  <c r="I2337" i="1"/>
  <c r="F2337" i="1"/>
  <c r="I2336" i="1"/>
  <c r="F2336" i="1"/>
  <c r="I2335" i="1"/>
  <c r="F2335" i="1"/>
  <c r="I2334" i="1"/>
  <c r="F2334" i="1"/>
  <c r="I2333" i="1"/>
  <c r="F2333" i="1"/>
  <c r="I2332" i="1"/>
  <c r="F2332" i="1"/>
  <c r="I2331" i="1"/>
  <c r="F2331" i="1"/>
  <c r="I2330" i="1"/>
  <c r="F2330" i="1"/>
  <c r="I2329" i="1"/>
  <c r="F2329" i="1"/>
  <c r="I2328" i="1"/>
  <c r="F2328" i="1"/>
  <c r="I2327" i="1"/>
  <c r="F2327" i="1"/>
  <c r="I2326" i="1"/>
  <c r="F2326" i="1"/>
  <c r="I2325" i="1"/>
  <c r="F2325" i="1"/>
  <c r="I2324" i="1"/>
  <c r="F2324" i="1"/>
  <c r="I2323" i="1"/>
  <c r="F2323" i="1"/>
  <c r="I2322" i="1"/>
  <c r="F2322" i="1"/>
  <c r="I2321" i="1"/>
  <c r="F2321" i="1"/>
  <c r="I2320" i="1"/>
  <c r="F2320" i="1"/>
  <c r="I2319" i="1"/>
  <c r="F2319" i="1"/>
  <c r="I2318" i="1"/>
  <c r="F2318" i="1"/>
  <c r="I2317" i="1"/>
  <c r="F2317" i="1"/>
  <c r="I2316" i="1"/>
  <c r="F2316" i="1"/>
  <c r="I2315" i="1"/>
  <c r="F2315" i="1"/>
  <c r="I2314" i="1"/>
  <c r="F2314" i="1"/>
  <c r="I2313" i="1"/>
  <c r="F2313" i="1"/>
  <c r="I2312" i="1"/>
  <c r="F2312" i="1"/>
  <c r="I2311" i="1"/>
  <c r="F2311" i="1"/>
  <c r="I2310" i="1"/>
  <c r="F2310" i="1"/>
  <c r="I2309" i="1"/>
  <c r="F2309" i="1"/>
  <c r="I2308" i="1"/>
  <c r="F2308" i="1"/>
  <c r="I2307" i="1"/>
  <c r="F2307" i="1"/>
  <c r="I2306" i="1"/>
  <c r="F2306" i="1"/>
  <c r="I2305" i="1"/>
  <c r="F2305" i="1"/>
  <c r="I2304" i="1"/>
  <c r="F2304" i="1"/>
  <c r="I2303" i="1"/>
  <c r="F2303" i="1"/>
  <c r="I2302" i="1"/>
  <c r="F2302" i="1"/>
  <c r="I2301" i="1"/>
  <c r="F2301" i="1"/>
  <c r="I2300" i="1"/>
  <c r="F2300" i="1"/>
  <c r="I2299" i="1"/>
  <c r="F2299" i="1"/>
  <c r="I2298" i="1"/>
  <c r="F2298" i="1"/>
  <c r="I2297" i="1"/>
  <c r="F2297" i="1"/>
  <c r="I2296" i="1"/>
  <c r="F2296" i="1"/>
  <c r="I2295" i="1"/>
  <c r="F2295" i="1"/>
  <c r="I2294" i="1"/>
  <c r="F2294" i="1"/>
  <c r="I2293" i="1"/>
  <c r="F2293" i="1"/>
  <c r="I2292" i="1"/>
  <c r="F2292" i="1"/>
  <c r="I2291" i="1"/>
  <c r="F2291" i="1"/>
  <c r="I2290" i="1"/>
  <c r="F2290" i="1"/>
  <c r="I2289" i="1"/>
  <c r="F2289" i="1"/>
  <c r="I2288" i="1"/>
  <c r="F2288" i="1"/>
  <c r="I2287" i="1"/>
  <c r="F2287" i="1"/>
  <c r="I2286" i="1"/>
  <c r="F2286" i="1"/>
  <c r="I2285" i="1"/>
  <c r="F2285" i="1"/>
  <c r="I2284" i="1"/>
  <c r="F2284" i="1"/>
  <c r="I2283" i="1"/>
  <c r="F2283" i="1"/>
  <c r="I2282" i="1"/>
  <c r="F2282" i="1"/>
  <c r="I2281" i="1"/>
  <c r="F2281" i="1"/>
  <c r="I2280" i="1"/>
  <c r="F2280" i="1"/>
  <c r="I2279" i="1"/>
  <c r="F2279" i="1"/>
  <c r="I2278" i="1"/>
  <c r="F2278" i="1"/>
  <c r="I2277" i="1"/>
  <c r="F2277" i="1"/>
  <c r="I2276" i="1"/>
  <c r="F2276" i="1"/>
  <c r="I2275" i="1"/>
  <c r="F2275" i="1"/>
  <c r="I2274" i="1"/>
  <c r="F2274" i="1"/>
  <c r="I2273" i="1"/>
  <c r="F2273" i="1"/>
  <c r="I2272" i="1"/>
  <c r="F2272" i="1"/>
  <c r="I2271" i="1"/>
  <c r="F2271" i="1"/>
  <c r="I2270" i="1"/>
  <c r="F2270" i="1"/>
  <c r="I2269" i="1"/>
  <c r="F2269" i="1"/>
  <c r="I2268" i="1"/>
  <c r="F2268" i="1"/>
  <c r="I2267" i="1"/>
  <c r="F2267" i="1"/>
  <c r="I2266" i="1"/>
  <c r="F2266" i="1"/>
  <c r="I2265" i="1"/>
  <c r="F2265" i="1"/>
  <c r="I2264" i="1"/>
  <c r="F2264" i="1"/>
  <c r="I2263" i="1"/>
  <c r="F2263" i="1"/>
  <c r="I2262" i="1"/>
  <c r="F2262" i="1"/>
  <c r="I2261" i="1"/>
  <c r="F2261" i="1"/>
  <c r="I2260" i="1"/>
  <c r="F2260" i="1"/>
  <c r="I2259" i="1"/>
  <c r="F2259" i="1"/>
  <c r="I2258" i="1"/>
  <c r="F2258" i="1"/>
  <c r="I2257" i="1"/>
  <c r="F2257" i="1"/>
  <c r="I2256" i="1"/>
  <c r="F2256" i="1"/>
  <c r="I2255" i="1"/>
  <c r="F2255" i="1"/>
  <c r="I2254" i="1"/>
  <c r="F2254" i="1"/>
  <c r="I2253" i="1"/>
  <c r="F2253" i="1"/>
  <c r="I2252" i="1"/>
  <c r="F2252" i="1"/>
  <c r="I2251" i="1"/>
  <c r="F2251" i="1"/>
  <c r="I2250" i="1"/>
  <c r="F2250" i="1"/>
  <c r="I2249" i="1"/>
  <c r="F2249" i="1"/>
  <c r="I2248" i="1"/>
  <c r="F2248" i="1"/>
  <c r="I2247" i="1"/>
  <c r="F2247" i="1"/>
  <c r="I2246" i="1"/>
  <c r="F2246" i="1"/>
  <c r="I2245" i="1"/>
  <c r="F2245" i="1"/>
  <c r="I2244" i="1"/>
  <c r="F2244" i="1"/>
  <c r="I2243" i="1"/>
  <c r="F2243" i="1"/>
  <c r="I2242" i="1"/>
  <c r="F2242" i="1"/>
  <c r="I2241" i="1"/>
  <c r="F2241" i="1"/>
  <c r="I2240" i="1"/>
  <c r="F2240" i="1"/>
  <c r="I2239" i="1"/>
  <c r="F2239" i="1"/>
  <c r="I2238" i="1"/>
  <c r="F2238" i="1"/>
  <c r="I2237" i="1"/>
  <c r="F2237" i="1"/>
  <c r="I2236" i="1"/>
  <c r="F2236" i="1"/>
  <c r="I2235" i="1"/>
  <c r="F2235" i="1"/>
  <c r="I2234" i="1"/>
  <c r="F2234" i="1"/>
  <c r="I2233" i="1"/>
  <c r="F2233" i="1"/>
  <c r="I2232" i="1"/>
  <c r="F2232" i="1"/>
  <c r="I2231" i="1"/>
  <c r="F2231" i="1"/>
  <c r="I2230" i="1"/>
  <c r="F2230" i="1"/>
  <c r="I2229" i="1"/>
  <c r="F2229" i="1"/>
  <c r="I2228" i="1"/>
  <c r="F2228" i="1"/>
  <c r="I2227" i="1"/>
  <c r="F2227" i="1"/>
  <c r="I2226" i="1"/>
  <c r="F2226" i="1"/>
  <c r="I2225" i="1"/>
  <c r="F2225" i="1"/>
  <c r="I2224" i="1"/>
  <c r="F2224" i="1"/>
  <c r="I2223" i="1"/>
  <c r="F2223" i="1"/>
  <c r="I2222" i="1"/>
  <c r="F2222" i="1"/>
  <c r="I2221" i="1"/>
  <c r="F2221" i="1"/>
  <c r="I2220" i="1"/>
  <c r="F2220" i="1"/>
  <c r="I2219" i="1"/>
  <c r="F2219" i="1"/>
  <c r="I2218" i="1"/>
  <c r="F2218" i="1"/>
  <c r="I2217" i="1"/>
  <c r="F2217" i="1"/>
  <c r="I2216" i="1"/>
  <c r="F2216" i="1"/>
  <c r="I2215" i="1"/>
  <c r="F2215" i="1"/>
  <c r="I2214" i="1"/>
  <c r="F2214" i="1"/>
  <c r="I2213" i="1"/>
  <c r="F2213" i="1"/>
  <c r="I2212" i="1"/>
  <c r="F2212" i="1"/>
  <c r="I2211" i="1"/>
  <c r="F2211" i="1"/>
  <c r="I2210" i="1"/>
  <c r="F2210" i="1"/>
  <c r="I2209" i="1"/>
  <c r="F2209" i="1"/>
  <c r="I2208" i="1"/>
  <c r="F2208" i="1"/>
  <c r="I2207" i="1"/>
  <c r="F2207" i="1"/>
  <c r="I2206" i="1"/>
  <c r="F2206" i="1"/>
  <c r="I2205" i="1"/>
  <c r="F2205" i="1"/>
  <c r="I2204" i="1"/>
  <c r="F2204" i="1"/>
  <c r="I2203" i="1"/>
  <c r="F2203" i="1"/>
  <c r="I2202" i="1"/>
  <c r="F2202" i="1"/>
  <c r="I2201" i="1"/>
  <c r="F2201" i="1"/>
  <c r="I2200" i="1"/>
  <c r="F2200" i="1"/>
  <c r="I2199" i="1"/>
  <c r="F2199" i="1"/>
  <c r="I2198" i="1"/>
  <c r="F2198" i="1"/>
  <c r="I2197" i="1"/>
  <c r="F2197" i="1"/>
  <c r="I2196" i="1"/>
  <c r="F2196" i="1"/>
  <c r="I2195" i="1"/>
  <c r="F2195" i="1"/>
  <c r="I2194" i="1"/>
  <c r="F2194" i="1"/>
  <c r="I2193" i="1"/>
  <c r="F2193" i="1"/>
  <c r="I2192" i="1"/>
  <c r="F2192" i="1"/>
  <c r="I2191" i="1"/>
  <c r="F2191" i="1"/>
  <c r="I2190" i="1"/>
  <c r="F2190" i="1"/>
  <c r="I2189" i="1"/>
  <c r="F2189" i="1"/>
  <c r="I2188" i="1"/>
  <c r="F2188" i="1"/>
  <c r="I2187" i="1"/>
  <c r="F2187" i="1"/>
  <c r="I2186" i="1"/>
  <c r="F2186" i="1"/>
  <c r="I2185" i="1"/>
  <c r="F2185" i="1"/>
  <c r="I2184" i="1"/>
  <c r="F2184" i="1"/>
  <c r="I2183" i="1"/>
  <c r="F2183" i="1"/>
  <c r="I2182" i="1"/>
  <c r="F2182" i="1"/>
  <c r="I2181" i="1"/>
  <c r="F2181" i="1"/>
  <c r="I2180" i="1"/>
  <c r="F2180" i="1"/>
  <c r="I2179" i="1"/>
  <c r="F2179" i="1"/>
  <c r="I2178" i="1"/>
  <c r="F2178" i="1"/>
  <c r="I2177" i="1"/>
  <c r="F2177" i="1"/>
  <c r="I2176" i="1"/>
  <c r="F2176" i="1"/>
  <c r="I2175" i="1"/>
  <c r="F2175" i="1"/>
  <c r="I2174" i="1"/>
  <c r="F2174" i="1"/>
  <c r="I2173" i="1"/>
  <c r="F2173" i="1"/>
  <c r="I2172" i="1"/>
  <c r="F2172" i="1"/>
  <c r="I2171" i="1"/>
  <c r="F2171" i="1"/>
  <c r="I2170" i="1"/>
  <c r="F2170" i="1"/>
  <c r="I2169" i="1"/>
  <c r="F2169" i="1"/>
  <c r="I2168" i="1"/>
  <c r="F2168" i="1"/>
  <c r="I2167" i="1"/>
  <c r="F2167" i="1"/>
  <c r="I2166" i="1"/>
  <c r="F2166" i="1"/>
  <c r="I2165" i="1"/>
  <c r="F2165" i="1"/>
  <c r="I2164" i="1"/>
  <c r="F2164" i="1"/>
  <c r="I2163" i="1"/>
  <c r="F2163" i="1"/>
  <c r="I2162" i="1"/>
  <c r="F2162" i="1"/>
  <c r="I2161" i="1"/>
  <c r="F2161" i="1"/>
  <c r="I2160" i="1"/>
  <c r="F2160" i="1"/>
  <c r="I2159" i="1"/>
  <c r="F2159" i="1"/>
  <c r="I2158" i="1"/>
  <c r="F2158" i="1"/>
  <c r="I2157" i="1"/>
  <c r="F2157" i="1"/>
  <c r="I2156" i="1"/>
  <c r="F2156" i="1"/>
  <c r="I2155" i="1"/>
  <c r="F2155" i="1"/>
  <c r="I2154" i="1"/>
  <c r="F2154" i="1"/>
  <c r="I2153" i="1"/>
  <c r="F2153" i="1"/>
  <c r="I2152" i="1"/>
  <c r="F2152" i="1"/>
  <c r="I2151" i="1"/>
  <c r="F2151" i="1"/>
  <c r="I2150" i="1"/>
  <c r="F2150" i="1"/>
  <c r="I2149" i="1"/>
  <c r="F2149" i="1"/>
  <c r="I2148" i="1"/>
  <c r="F2148" i="1"/>
  <c r="I2147" i="1"/>
  <c r="F2147" i="1"/>
  <c r="I2146" i="1"/>
  <c r="F2146" i="1"/>
  <c r="I2145" i="1"/>
  <c r="F2145" i="1"/>
  <c r="I2144" i="1"/>
  <c r="F2144" i="1"/>
  <c r="I2143" i="1"/>
  <c r="F2143" i="1"/>
  <c r="I2142" i="1"/>
  <c r="F2142" i="1"/>
  <c r="I2141" i="1"/>
  <c r="F2141" i="1"/>
  <c r="I2140" i="1"/>
  <c r="F2140" i="1"/>
  <c r="I2139" i="1"/>
  <c r="F2139" i="1"/>
  <c r="I2138" i="1"/>
  <c r="F2138" i="1"/>
  <c r="I2137" i="1"/>
  <c r="F2137" i="1"/>
  <c r="I2136" i="1"/>
  <c r="F2136" i="1"/>
  <c r="I2135" i="1"/>
  <c r="F2135" i="1"/>
  <c r="I2134" i="1"/>
  <c r="F2134" i="1"/>
  <c r="I2133" i="1"/>
  <c r="F2133" i="1"/>
  <c r="I2132" i="1"/>
  <c r="F2132" i="1"/>
  <c r="I2131" i="1"/>
  <c r="F2131" i="1"/>
  <c r="I2130" i="1"/>
  <c r="F2130" i="1"/>
  <c r="I2129" i="1"/>
  <c r="F2129" i="1"/>
  <c r="I2128" i="1"/>
  <c r="F2128" i="1"/>
  <c r="I2127" i="1"/>
  <c r="F2127" i="1"/>
  <c r="I2126" i="1"/>
  <c r="F2126" i="1"/>
  <c r="I2125" i="1"/>
  <c r="F2125" i="1"/>
  <c r="I2124" i="1"/>
  <c r="F2124" i="1"/>
  <c r="I2123" i="1"/>
  <c r="F2123" i="1"/>
  <c r="I2122" i="1"/>
  <c r="F2122" i="1"/>
  <c r="I2121" i="1"/>
  <c r="F2121" i="1"/>
  <c r="I2120" i="1"/>
  <c r="F2120" i="1"/>
  <c r="I2119" i="1"/>
  <c r="F2119" i="1"/>
  <c r="I2118" i="1"/>
  <c r="F2118" i="1"/>
  <c r="I2117" i="1"/>
  <c r="F2117" i="1"/>
  <c r="I2116" i="1"/>
  <c r="F2116" i="1"/>
  <c r="I2115" i="1"/>
  <c r="F2115" i="1"/>
  <c r="I2114" i="1"/>
  <c r="F2114" i="1"/>
  <c r="I2113" i="1"/>
  <c r="F2113" i="1"/>
  <c r="I2112" i="1"/>
  <c r="F2112" i="1"/>
  <c r="I2111" i="1"/>
  <c r="F2111" i="1"/>
  <c r="I2110" i="1"/>
  <c r="F2110" i="1"/>
  <c r="I2109" i="1"/>
  <c r="F2109" i="1"/>
  <c r="I2108" i="1"/>
  <c r="F2108" i="1"/>
  <c r="I2107" i="1"/>
  <c r="F2107" i="1"/>
  <c r="I2106" i="1"/>
  <c r="F2106" i="1"/>
  <c r="I2105" i="1"/>
  <c r="F2105" i="1"/>
  <c r="I2104" i="1"/>
  <c r="F2104" i="1"/>
  <c r="I2103" i="1"/>
  <c r="F2103" i="1"/>
  <c r="I2102" i="1"/>
  <c r="F2102" i="1"/>
  <c r="I2101" i="1"/>
  <c r="F2101" i="1"/>
  <c r="I2100" i="1"/>
  <c r="F2100" i="1"/>
  <c r="I2099" i="1"/>
  <c r="F2099" i="1"/>
  <c r="I2098" i="1"/>
  <c r="F2098" i="1"/>
  <c r="I2097" i="1"/>
  <c r="F2097" i="1"/>
  <c r="I2096" i="1"/>
  <c r="F2096" i="1"/>
  <c r="I2095" i="1"/>
  <c r="F2095" i="1"/>
  <c r="I2094" i="1"/>
  <c r="F2094" i="1"/>
  <c r="I2093" i="1"/>
  <c r="F2093" i="1"/>
  <c r="I2092" i="1"/>
  <c r="F2092" i="1"/>
  <c r="I2091" i="1"/>
  <c r="F2091" i="1"/>
  <c r="I2090" i="1"/>
  <c r="F2090" i="1"/>
  <c r="I2089" i="1"/>
  <c r="F2089" i="1"/>
  <c r="I2088" i="1"/>
  <c r="F2088" i="1"/>
  <c r="I2087" i="1"/>
  <c r="F2087" i="1"/>
  <c r="I2086" i="1"/>
  <c r="F2086" i="1"/>
  <c r="I2085" i="1"/>
  <c r="F2085" i="1"/>
  <c r="I2084" i="1"/>
  <c r="F2084" i="1"/>
  <c r="I2083" i="1"/>
  <c r="F2083" i="1"/>
  <c r="I2082" i="1"/>
  <c r="F2082" i="1"/>
  <c r="I2081" i="1"/>
  <c r="F2081" i="1"/>
  <c r="I2080" i="1"/>
  <c r="F2080" i="1"/>
  <c r="I2079" i="1"/>
  <c r="F2079" i="1"/>
  <c r="I2078" i="1"/>
  <c r="F2078" i="1"/>
  <c r="I2077" i="1"/>
  <c r="F2077" i="1"/>
  <c r="I2076" i="1"/>
  <c r="F2076" i="1"/>
  <c r="I2075" i="1"/>
  <c r="F2075" i="1"/>
  <c r="I2074" i="1"/>
  <c r="F2074" i="1"/>
  <c r="I2073" i="1"/>
  <c r="F2073" i="1"/>
  <c r="I2072" i="1"/>
  <c r="F2072" i="1"/>
  <c r="I2071" i="1"/>
  <c r="F2071" i="1"/>
  <c r="I2070" i="1"/>
  <c r="F2070" i="1"/>
  <c r="I2069" i="1"/>
  <c r="F2069" i="1"/>
  <c r="I2068" i="1"/>
  <c r="F2068" i="1"/>
  <c r="I2067" i="1"/>
  <c r="F2067" i="1"/>
  <c r="I2066" i="1"/>
  <c r="F2066" i="1"/>
  <c r="I2065" i="1"/>
  <c r="F2065" i="1"/>
  <c r="I2064" i="1"/>
  <c r="F2064" i="1"/>
  <c r="I2063" i="1"/>
  <c r="F2063" i="1"/>
  <c r="I2062" i="1"/>
  <c r="F2062" i="1"/>
  <c r="I2061" i="1"/>
  <c r="F2061" i="1"/>
  <c r="I2060" i="1"/>
  <c r="F2060" i="1"/>
  <c r="I2059" i="1"/>
  <c r="F2059" i="1"/>
  <c r="I2058" i="1"/>
  <c r="F2058" i="1"/>
  <c r="I2057" i="1"/>
  <c r="F2057" i="1"/>
  <c r="I2056" i="1"/>
  <c r="F2056" i="1"/>
  <c r="I2055" i="1"/>
  <c r="F2055" i="1"/>
  <c r="I2054" i="1"/>
  <c r="F2054" i="1"/>
  <c r="I2053" i="1"/>
  <c r="F2053" i="1"/>
  <c r="I2052" i="1"/>
  <c r="F2052" i="1"/>
  <c r="I2051" i="1"/>
  <c r="F2051" i="1"/>
  <c r="I2050" i="1"/>
  <c r="F2050" i="1"/>
  <c r="I2049" i="1"/>
  <c r="F2049" i="1"/>
  <c r="I2048" i="1"/>
  <c r="F2048" i="1"/>
  <c r="I2047" i="1"/>
  <c r="F2047" i="1"/>
  <c r="I2046" i="1"/>
  <c r="F2046" i="1"/>
  <c r="I2045" i="1"/>
  <c r="F2045" i="1"/>
  <c r="I2044" i="1"/>
  <c r="F2044" i="1"/>
  <c r="I2043" i="1"/>
  <c r="F2043" i="1"/>
  <c r="I2042" i="1"/>
  <c r="F2042" i="1"/>
  <c r="I2041" i="1"/>
  <c r="F2041" i="1"/>
  <c r="I2040" i="1"/>
  <c r="F2040" i="1"/>
  <c r="I2039" i="1"/>
  <c r="F2039" i="1"/>
  <c r="I2038" i="1"/>
  <c r="F2038" i="1"/>
  <c r="I2037" i="1"/>
  <c r="F2037" i="1"/>
  <c r="I2036" i="1"/>
  <c r="F2036" i="1"/>
  <c r="I2035" i="1"/>
  <c r="F2035" i="1"/>
  <c r="I2034" i="1"/>
  <c r="F2034" i="1"/>
  <c r="I2033" i="1"/>
  <c r="F2033" i="1"/>
  <c r="I2032" i="1"/>
  <c r="F2032" i="1"/>
  <c r="I2031" i="1"/>
  <c r="F2031" i="1"/>
  <c r="I2030" i="1"/>
  <c r="F2030" i="1"/>
  <c r="I2029" i="1"/>
  <c r="F2029" i="1"/>
  <c r="I2028" i="1"/>
  <c r="F2028" i="1"/>
  <c r="I2027" i="1"/>
  <c r="F2027" i="1"/>
  <c r="I2026" i="1"/>
  <c r="F2026" i="1"/>
  <c r="I2025" i="1"/>
  <c r="F2025" i="1"/>
  <c r="I2024" i="1"/>
  <c r="F2024" i="1"/>
  <c r="I2023" i="1"/>
  <c r="F2023" i="1"/>
  <c r="I2022" i="1"/>
  <c r="F2022" i="1"/>
  <c r="I2021" i="1"/>
  <c r="F2021" i="1"/>
  <c r="I2020" i="1"/>
  <c r="F2020" i="1"/>
  <c r="I2019" i="1"/>
  <c r="F2019" i="1"/>
  <c r="I2018" i="1"/>
  <c r="F2018" i="1"/>
  <c r="I2017" i="1"/>
  <c r="F2017" i="1"/>
  <c r="I2016" i="1"/>
  <c r="F2016" i="1"/>
  <c r="I2015" i="1"/>
  <c r="F2015" i="1"/>
  <c r="I2014" i="1"/>
  <c r="F2014" i="1"/>
  <c r="I2013" i="1"/>
  <c r="F2013" i="1"/>
  <c r="I2012" i="1"/>
  <c r="F2012" i="1"/>
  <c r="I2011" i="1"/>
  <c r="F2011" i="1"/>
  <c r="I2010" i="1"/>
  <c r="F2010" i="1"/>
  <c r="I2009" i="1"/>
  <c r="F2009" i="1"/>
  <c r="I2008" i="1"/>
  <c r="F2008" i="1"/>
  <c r="I2007" i="1"/>
  <c r="F2007" i="1"/>
  <c r="I2006" i="1"/>
  <c r="F2006" i="1"/>
  <c r="I2005" i="1"/>
  <c r="F2005" i="1"/>
  <c r="I2004" i="1"/>
  <c r="F2004" i="1"/>
  <c r="I2003" i="1"/>
  <c r="F2003" i="1"/>
  <c r="I2002" i="1"/>
  <c r="F2002" i="1"/>
  <c r="I2001" i="1"/>
  <c r="F2001" i="1"/>
  <c r="I2000" i="1"/>
  <c r="F2000" i="1"/>
  <c r="I1999" i="1"/>
  <c r="F1999" i="1"/>
  <c r="I1998" i="1"/>
  <c r="F1998" i="1"/>
  <c r="I1997" i="1"/>
  <c r="F1997" i="1"/>
  <c r="I1996" i="1"/>
  <c r="F1996" i="1"/>
  <c r="I1995" i="1"/>
  <c r="F1995" i="1"/>
  <c r="I1994" i="1"/>
  <c r="F1994" i="1"/>
  <c r="I1993" i="1"/>
  <c r="F1993" i="1"/>
  <c r="I1992" i="1"/>
  <c r="F1992" i="1"/>
  <c r="I1991" i="1"/>
  <c r="F1991" i="1"/>
  <c r="I1990" i="1"/>
  <c r="F1990" i="1"/>
  <c r="I1989" i="1"/>
  <c r="F1989" i="1"/>
  <c r="I1988" i="1"/>
  <c r="F1988" i="1"/>
  <c r="I1987" i="1"/>
  <c r="F1987" i="1"/>
  <c r="I1986" i="1"/>
  <c r="F1986" i="1"/>
  <c r="I1985" i="1"/>
  <c r="F1985" i="1"/>
  <c r="I1984" i="1"/>
  <c r="F1984" i="1"/>
  <c r="I1983" i="1"/>
  <c r="F1983" i="1"/>
  <c r="I1982" i="1"/>
  <c r="F1982" i="1"/>
  <c r="I1981" i="1"/>
  <c r="F1981" i="1"/>
  <c r="I1980" i="1"/>
  <c r="F1980" i="1"/>
  <c r="I1979" i="1"/>
  <c r="F1979" i="1"/>
  <c r="I1978" i="1"/>
  <c r="F1978" i="1"/>
  <c r="I1977" i="1"/>
  <c r="F1977" i="1"/>
  <c r="I1976" i="1"/>
  <c r="F1976" i="1"/>
  <c r="I1975" i="1"/>
  <c r="F1975" i="1"/>
  <c r="I1974" i="1"/>
  <c r="F1974" i="1"/>
  <c r="I1973" i="1"/>
  <c r="F1973" i="1"/>
  <c r="I1972" i="1"/>
  <c r="F1972" i="1"/>
  <c r="I1971" i="1"/>
  <c r="F1971" i="1"/>
  <c r="I1970" i="1"/>
  <c r="F1970" i="1"/>
  <c r="I1969" i="1"/>
  <c r="F1969" i="1"/>
  <c r="I1968" i="1"/>
  <c r="F1968" i="1"/>
  <c r="I1967" i="1"/>
  <c r="F1967" i="1"/>
  <c r="I1966" i="1"/>
  <c r="F1966" i="1"/>
  <c r="I1965" i="1"/>
  <c r="F1965" i="1"/>
  <c r="I1964" i="1"/>
  <c r="F1964" i="1"/>
  <c r="I1963" i="1"/>
  <c r="F1963" i="1"/>
  <c r="I1962" i="1"/>
  <c r="F1962" i="1"/>
  <c r="I1961" i="1"/>
  <c r="F1961" i="1"/>
  <c r="I1960" i="1"/>
  <c r="F1960" i="1"/>
  <c r="I1959" i="1"/>
  <c r="F1959" i="1"/>
  <c r="I1958" i="1"/>
  <c r="F1958" i="1"/>
  <c r="I1957" i="1"/>
  <c r="F1957" i="1"/>
  <c r="I1956" i="1"/>
  <c r="F1956" i="1"/>
  <c r="I1955" i="1"/>
  <c r="F1955" i="1"/>
  <c r="I1954" i="1"/>
  <c r="F1954" i="1"/>
  <c r="I1953" i="1"/>
  <c r="F1953" i="1"/>
  <c r="I1952" i="1"/>
  <c r="F1952" i="1"/>
  <c r="I1951" i="1"/>
  <c r="F1951" i="1"/>
  <c r="I1950" i="1"/>
  <c r="F1950" i="1"/>
  <c r="I1949" i="1"/>
  <c r="F1949" i="1"/>
  <c r="I1948" i="1"/>
  <c r="F1948" i="1"/>
  <c r="I1947" i="1"/>
  <c r="F1947" i="1"/>
  <c r="I1946" i="1"/>
  <c r="F1946" i="1"/>
  <c r="I1945" i="1"/>
  <c r="F1945" i="1"/>
  <c r="I1944" i="1"/>
  <c r="F1944" i="1"/>
  <c r="I1943" i="1"/>
  <c r="F1943" i="1"/>
  <c r="I1942" i="1"/>
  <c r="F1942" i="1"/>
  <c r="I1941" i="1"/>
  <c r="F1941" i="1"/>
  <c r="I1940" i="1"/>
  <c r="F1940" i="1"/>
  <c r="I1939" i="1"/>
  <c r="F1939" i="1"/>
  <c r="I1938" i="1"/>
  <c r="F1938" i="1"/>
  <c r="I1937" i="1"/>
  <c r="F1937" i="1"/>
  <c r="I1936" i="1"/>
  <c r="F1936" i="1"/>
  <c r="I1935" i="1"/>
  <c r="F1935" i="1"/>
  <c r="I1934" i="1"/>
  <c r="F1934" i="1"/>
  <c r="I1933" i="1"/>
  <c r="F1933" i="1"/>
  <c r="I1932" i="1"/>
  <c r="F1932" i="1"/>
  <c r="I1931" i="1"/>
  <c r="F1931" i="1"/>
  <c r="I1930" i="1"/>
  <c r="F1930" i="1"/>
  <c r="I1929" i="1"/>
  <c r="F1929" i="1"/>
  <c r="I1928" i="1"/>
  <c r="F1928" i="1"/>
  <c r="I1927" i="1"/>
  <c r="F1927" i="1"/>
  <c r="I1926" i="1"/>
  <c r="F1926" i="1"/>
  <c r="I1925" i="1"/>
  <c r="F1925" i="1"/>
  <c r="I1924" i="1"/>
  <c r="F1924" i="1"/>
  <c r="I1923" i="1"/>
  <c r="F1923" i="1"/>
  <c r="I1922" i="1"/>
  <c r="F1922" i="1"/>
  <c r="I1921" i="1"/>
  <c r="F1921" i="1"/>
  <c r="I1920" i="1"/>
  <c r="F1920" i="1"/>
  <c r="I1919" i="1"/>
  <c r="F1919" i="1"/>
  <c r="I1918" i="1"/>
  <c r="F1918" i="1"/>
  <c r="I1917" i="1"/>
  <c r="F1917" i="1"/>
  <c r="I1916" i="1"/>
  <c r="F1916" i="1"/>
  <c r="I1915" i="1"/>
  <c r="F1915" i="1"/>
  <c r="I1914" i="1"/>
  <c r="F1914" i="1"/>
  <c r="I1913" i="1"/>
  <c r="F1913" i="1"/>
  <c r="I1912" i="1"/>
  <c r="F1912" i="1"/>
  <c r="I1911" i="1"/>
  <c r="F1911" i="1"/>
  <c r="I1910" i="1"/>
  <c r="F1910" i="1"/>
  <c r="I1909" i="1"/>
  <c r="F1909" i="1"/>
  <c r="I1908" i="1"/>
  <c r="F1908" i="1"/>
  <c r="I1907" i="1"/>
  <c r="F1907" i="1"/>
  <c r="I1906" i="1"/>
  <c r="F1906" i="1"/>
  <c r="I1905" i="1"/>
  <c r="F1905" i="1"/>
  <c r="I1904" i="1"/>
  <c r="F1904" i="1"/>
  <c r="I1903" i="1"/>
  <c r="F1903" i="1"/>
  <c r="I1902" i="1"/>
  <c r="F1902" i="1"/>
  <c r="I1901" i="1"/>
  <c r="F1901" i="1"/>
  <c r="I1900" i="1"/>
  <c r="F1900" i="1"/>
  <c r="I1899" i="1"/>
  <c r="F1899" i="1"/>
  <c r="I1898" i="1"/>
  <c r="F1898" i="1"/>
  <c r="I1897" i="1"/>
  <c r="F1897" i="1"/>
  <c r="I1896" i="1"/>
  <c r="F1896" i="1"/>
  <c r="I1895" i="1"/>
  <c r="F1895" i="1"/>
  <c r="I1894" i="1"/>
  <c r="F1894" i="1"/>
  <c r="I1893" i="1"/>
  <c r="F1893" i="1"/>
  <c r="I1892" i="1"/>
  <c r="F1892" i="1"/>
  <c r="I1891" i="1"/>
  <c r="F1891" i="1"/>
  <c r="I1890" i="1"/>
  <c r="F1890" i="1"/>
  <c r="I1889" i="1"/>
  <c r="F1889" i="1"/>
  <c r="I1888" i="1"/>
  <c r="F1888" i="1"/>
  <c r="I1887" i="1"/>
  <c r="F1887" i="1"/>
  <c r="I1886" i="1"/>
  <c r="F1886" i="1"/>
  <c r="I1885" i="1"/>
  <c r="F1885" i="1"/>
  <c r="I1884" i="1"/>
  <c r="F1884" i="1"/>
  <c r="I1883" i="1"/>
  <c r="F1883" i="1"/>
  <c r="I1882" i="1"/>
  <c r="F1882" i="1"/>
  <c r="I1881" i="1"/>
  <c r="F1881" i="1"/>
  <c r="I1880" i="1"/>
  <c r="F1880" i="1"/>
  <c r="I1879" i="1"/>
  <c r="F1879" i="1"/>
  <c r="I1878" i="1"/>
  <c r="F1878" i="1"/>
  <c r="I1877" i="1"/>
  <c r="F1877" i="1"/>
  <c r="I1876" i="1"/>
  <c r="F1876" i="1"/>
  <c r="I1875" i="1"/>
  <c r="F1875" i="1"/>
  <c r="I1874" i="1"/>
  <c r="F1874" i="1"/>
  <c r="I1873" i="1"/>
  <c r="F1873" i="1"/>
  <c r="I1872" i="1"/>
  <c r="F1872" i="1"/>
  <c r="I1871" i="1"/>
  <c r="F1871" i="1"/>
  <c r="I1870" i="1"/>
  <c r="F1870" i="1"/>
  <c r="I1869" i="1"/>
  <c r="F1869" i="1"/>
  <c r="I1868" i="1"/>
  <c r="F1868" i="1"/>
  <c r="I1867" i="1"/>
  <c r="F1867" i="1"/>
  <c r="I1866" i="1"/>
  <c r="F1866" i="1"/>
  <c r="I1865" i="1"/>
  <c r="F1865" i="1"/>
  <c r="I1864" i="1"/>
  <c r="F1864" i="1"/>
  <c r="I1863" i="1"/>
  <c r="F1863" i="1"/>
  <c r="I1862" i="1"/>
  <c r="F1862" i="1"/>
  <c r="I1861" i="1"/>
  <c r="F1861" i="1"/>
  <c r="I1860" i="1"/>
  <c r="F1860" i="1"/>
  <c r="I1859" i="1"/>
  <c r="F1859" i="1"/>
  <c r="I1858" i="1"/>
  <c r="F1858" i="1"/>
  <c r="I1857" i="1"/>
  <c r="F1857" i="1"/>
  <c r="I1856" i="1"/>
  <c r="F1856" i="1"/>
  <c r="I1855" i="1"/>
  <c r="F1855" i="1"/>
  <c r="I1854" i="1"/>
  <c r="F1854" i="1"/>
  <c r="I1853" i="1"/>
  <c r="F1853" i="1"/>
  <c r="I1852" i="1"/>
  <c r="F1852" i="1"/>
  <c r="I1851" i="1"/>
  <c r="F1851" i="1"/>
  <c r="I1850" i="1"/>
  <c r="F1850" i="1"/>
  <c r="I1849" i="1"/>
  <c r="F1849" i="1"/>
  <c r="I1848" i="1"/>
  <c r="F1848" i="1"/>
  <c r="I1847" i="1"/>
  <c r="F1847" i="1"/>
  <c r="I1846" i="1"/>
  <c r="F1846" i="1"/>
  <c r="I1845" i="1"/>
  <c r="F1845" i="1"/>
  <c r="I1844" i="1"/>
  <c r="F1844" i="1"/>
  <c r="I1843" i="1"/>
  <c r="F1843" i="1"/>
  <c r="I1842" i="1"/>
  <c r="F1842" i="1"/>
  <c r="I1841" i="1"/>
  <c r="F1841" i="1"/>
  <c r="I1840" i="1"/>
  <c r="F1840" i="1"/>
  <c r="I1839" i="1"/>
  <c r="F1839" i="1"/>
  <c r="I1838" i="1"/>
  <c r="F1838" i="1"/>
  <c r="I1837" i="1"/>
  <c r="F1837" i="1"/>
  <c r="I1836" i="1"/>
  <c r="F1836" i="1"/>
  <c r="I1835" i="1"/>
  <c r="F1835" i="1"/>
  <c r="I1834" i="1"/>
  <c r="F1834" i="1"/>
  <c r="I1833" i="1"/>
  <c r="F1833" i="1"/>
  <c r="I1832" i="1"/>
  <c r="F1832" i="1"/>
  <c r="I1831" i="1"/>
  <c r="F1831" i="1"/>
  <c r="I1830" i="1"/>
  <c r="F1830" i="1"/>
  <c r="I1829" i="1"/>
  <c r="F1829" i="1"/>
  <c r="I1828" i="1"/>
  <c r="F1828" i="1"/>
  <c r="I1827" i="1"/>
  <c r="F1827" i="1"/>
  <c r="I1826" i="1"/>
  <c r="F1826" i="1"/>
  <c r="I1825" i="1"/>
  <c r="F1825" i="1"/>
  <c r="I1824" i="1"/>
  <c r="F1824" i="1"/>
  <c r="I1823" i="1"/>
  <c r="F1823" i="1"/>
  <c r="I1822" i="1"/>
  <c r="F1822" i="1"/>
  <c r="I1821" i="1"/>
  <c r="F1821" i="1"/>
  <c r="I1820" i="1"/>
  <c r="F1820" i="1"/>
  <c r="I1819" i="1"/>
  <c r="F1819" i="1"/>
  <c r="I1818" i="1"/>
  <c r="F1818" i="1"/>
  <c r="I1817" i="1"/>
  <c r="F1817" i="1"/>
  <c r="I1816" i="1"/>
  <c r="F1816" i="1"/>
  <c r="I1815" i="1"/>
  <c r="F1815" i="1"/>
  <c r="I1814" i="1"/>
  <c r="F1814" i="1"/>
  <c r="I1813" i="1"/>
  <c r="F1813" i="1"/>
  <c r="I1812" i="1"/>
  <c r="F1812" i="1"/>
  <c r="I1811" i="1"/>
  <c r="F1811" i="1"/>
  <c r="I1810" i="1"/>
  <c r="F1810" i="1"/>
  <c r="I1809" i="1"/>
  <c r="F1809" i="1"/>
  <c r="I1808" i="1"/>
  <c r="F1808" i="1"/>
  <c r="I1807" i="1"/>
  <c r="F1807" i="1"/>
  <c r="I1806" i="1"/>
  <c r="F1806" i="1"/>
  <c r="I1805" i="1"/>
  <c r="F1805" i="1"/>
  <c r="I1804" i="1"/>
  <c r="F1804" i="1"/>
  <c r="I1803" i="1"/>
  <c r="F1803" i="1"/>
  <c r="I1802" i="1"/>
  <c r="F1802" i="1"/>
  <c r="I1801" i="1"/>
  <c r="F1801" i="1"/>
  <c r="I1800" i="1"/>
  <c r="F1800" i="1"/>
  <c r="I1799" i="1"/>
  <c r="F1799" i="1"/>
  <c r="I1798" i="1"/>
  <c r="F1798" i="1"/>
  <c r="I1797" i="1"/>
  <c r="F1797" i="1"/>
  <c r="I1796" i="1"/>
  <c r="F1796" i="1"/>
  <c r="I1795" i="1"/>
  <c r="F1795" i="1"/>
  <c r="I1794" i="1"/>
  <c r="F1794" i="1"/>
  <c r="I1793" i="1"/>
  <c r="F1793" i="1"/>
  <c r="I1792" i="1"/>
  <c r="F1792" i="1"/>
  <c r="I1791" i="1"/>
  <c r="F1791" i="1"/>
  <c r="I1790" i="1"/>
  <c r="F1790" i="1"/>
  <c r="I1789" i="1"/>
  <c r="F1789" i="1"/>
  <c r="I1788" i="1"/>
  <c r="F1788" i="1"/>
  <c r="I1787" i="1"/>
  <c r="F1787" i="1"/>
  <c r="I1786" i="1"/>
  <c r="F1786" i="1"/>
  <c r="I1785" i="1"/>
  <c r="F1785" i="1"/>
  <c r="I1784" i="1"/>
  <c r="F1784" i="1"/>
  <c r="I1783" i="1"/>
  <c r="F1783" i="1"/>
  <c r="I1782" i="1"/>
  <c r="F1782" i="1"/>
  <c r="I1781" i="1"/>
  <c r="F1781" i="1"/>
  <c r="I1780" i="1"/>
  <c r="F1780" i="1"/>
  <c r="I1779" i="1"/>
  <c r="F1779" i="1"/>
  <c r="I1778" i="1"/>
  <c r="F1778" i="1"/>
  <c r="I1777" i="1"/>
  <c r="F1777" i="1"/>
  <c r="I1776" i="1"/>
  <c r="F1776" i="1"/>
  <c r="I1775" i="1"/>
  <c r="F1775" i="1"/>
  <c r="I1774" i="1"/>
  <c r="F1774" i="1"/>
  <c r="I1773" i="1"/>
  <c r="F1773" i="1"/>
  <c r="I1772" i="1"/>
  <c r="F1772" i="1"/>
  <c r="I1771" i="1"/>
  <c r="F1771" i="1"/>
  <c r="I1770" i="1"/>
  <c r="F1770" i="1"/>
  <c r="I1769" i="1"/>
  <c r="F1769" i="1"/>
  <c r="I1768" i="1"/>
  <c r="F1768" i="1"/>
  <c r="I1767" i="1"/>
  <c r="F1767" i="1"/>
  <c r="I1766" i="1"/>
  <c r="F1766" i="1"/>
  <c r="I1765" i="1"/>
  <c r="F1765" i="1"/>
  <c r="I1764" i="1"/>
  <c r="F1764" i="1"/>
  <c r="I1763" i="1"/>
  <c r="F1763" i="1"/>
  <c r="I1762" i="1"/>
  <c r="F1762" i="1"/>
  <c r="I1761" i="1"/>
  <c r="F1761" i="1"/>
  <c r="I1760" i="1"/>
  <c r="F1760" i="1"/>
  <c r="I1759" i="1"/>
  <c r="F1759" i="1"/>
  <c r="I1758" i="1"/>
  <c r="F1758" i="1"/>
  <c r="I1757" i="1"/>
  <c r="F1757" i="1"/>
  <c r="I1756" i="1"/>
  <c r="F1756" i="1"/>
  <c r="I1755" i="1"/>
  <c r="F1755" i="1"/>
  <c r="I1754" i="1"/>
  <c r="F1754" i="1"/>
  <c r="I1753" i="1"/>
  <c r="F1753" i="1"/>
  <c r="I1752" i="1"/>
  <c r="F1752" i="1"/>
  <c r="I1751" i="1"/>
  <c r="F1751" i="1"/>
  <c r="I1750" i="1"/>
  <c r="F1750" i="1"/>
  <c r="I1749" i="1"/>
  <c r="F1749" i="1"/>
  <c r="I1748" i="1"/>
  <c r="F1748" i="1"/>
  <c r="I1747" i="1"/>
  <c r="F1747" i="1"/>
  <c r="I1746" i="1"/>
  <c r="F1746" i="1"/>
  <c r="I1745" i="1"/>
  <c r="F1745" i="1"/>
  <c r="I1744" i="1"/>
  <c r="F1744" i="1"/>
  <c r="I1743" i="1"/>
  <c r="F1743" i="1"/>
  <c r="I1742" i="1"/>
  <c r="F1742" i="1"/>
  <c r="I1741" i="1"/>
  <c r="F1741" i="1"/>
  <c r="I1740" i="1"/>
  <c r="F1740" i="1"/>
  <c r="I1739" i="1"/>
  <c r="F1739" i="1"/>
  <c r="I1738" i="1"/>
  <c r="F1738" i="1"/>
  <c r="I1737" i="1"/>
  <c r="F1737" i="1"/>
  <c r="I1736" i="1"/>
  <c r="F1736" i="1"/>
  <c r="I1735" i="1"/>
  <c r="F1735" i="1"/>
  <c r="I1734" i="1"/>
  <c r="F1734" i="1"/>
  <c r="I1733" i="1"/>
  <c r="F1733" i="1"/>
  <c r="I1732" i="1"/>
  <c r="F1732" i="1"/>
  <c r="I1731" i="1"/>
  <c r="F1731" i="1"/>
  <c r="I1730" i="1"/>
  <c r="F1730" i="1"/>
  <c r="I1729" i="1"/>
  <c r="F1729" i="1"/>
  <c r="I1728" i="1"/>
  <c r="F1728" i="1"/>
  <c r="I1727" i="1"/>
  <c r="F1727" i="1"/>
  <c r="I1726" i="1"/>
  <c r="F1726" i="1"/>
  <c r="I1725" i="1"/>
  <c r="F1725" i="1"/>
  <c r="I1724" i="1"/>
  <c r="F1724" i="1"/>
  <c r="I1723" i="1"/>
  <c r="F1723" i="1"/>
  <c r="I1722" i="1"/>
  <c r="F1722" i="1"/>
  <c r="I1721" i="1"/>
  <c r="F1721" i="1"/>
  <c r="I1720" i="1"/>
  <c r="F1720" i="1"/>
  <c r="I1719" i="1"/>
  <c r="F1719" i="1"/>
  <c r="I1718" i="1"/>
  <c r="F1718" i="1"/>
  <c r="I1717" i="1"/>
  <c r="F1717" i="1"/>
  <c r="I1716" i="1"/>
  <c r="F1716" i="1"/>
  <c r="I1715" i="1"/>
  <c r="F1715" i="1"/>
  <c r="I1714" i="1"/>
  <c r="F1714" i="1"/>
  <c r="I1713" i="1"/>
  <c r="F1713" i="1"/>
  <c r="I1712" i="1"/>
  <c r="F1712" i="1"/>
  <c r="I1711" i="1"/>
  <c r="F1711" i="1"/>
  <c r="I1710" i="1"/>
  <c r="F1710" i="1"/>
  <c r="I1709" i="1"/>
  <c r="F1709" i="1"/>
  <c r="I1708" i="1"/>
  <c r="F1708" i="1"/>
  <c r="I1707" i="1"/>
  <c r="F1707" i="1"/>
  <c r="I1706" i="1"/>
  <c r="F1706" i="1"/>
  <c r="I1705" i="1"/>
  <c r="F1705" i="1"/>
  <c r="I1704" i="1"/>
  <c r="F1704" i="1"/>
  <c r="I1703" i="1"/>
  <c r="F1703" i="1"/>
  <c r="I1702" i="1"/>
  <c r="F1702" i="1"/>
  <c r="I1701" i="1"/>
  <c r="F1701" i="1"/>
  <c r="I1700" i="1"/>
  <c r="F1700" i="1"/>
  <c r="I1699" i="1"/>
  <c r="F1699" i="1"/>
  <c r="I1698" i="1"/>
  <c r="F1698" i="1"/>
  <c r="I1697" i="1"/>
  <c r="F1697" i="1"/>
  <c r="I1696" i="1"/>
  <c r="F1696" i="1"/>
  <c r="I1695" i="1"/>
  <c r="F1695" i="1"/>
  <c r="I1694" i="1"/>
  <c r="F1694" i="1"/>
  <c r="I1693" i="1"/>
  <c r="F1693" i="1"/>
  <c r="I1692" i="1"/>
  <c r="F1692" i="1"/>
  <c r="I1691" i="1"/>
  <c r="F1691" i="1"/>
  <c r="I1690" i="1"/>
  <c r="F1690" i="1"/>
  <c r="I1689" i="1"/>
  <c r="F1689" i="1"/>
  <c r="I1688" i="1"/>
  <c r="F1688" i="1"/>
  <c r="I1687" i="1"/>
  <c r="F1687" i="1"/>
  <c r="I1686" i="1"/>
  <c r="F1686" i="1"/>
  <c r="I1685" i="1"/>
  <c r="F1685" i="1"/>
  <c r="I1684" i="1"/>
  <c r="F1684" i="1"/>
  <c r="I1683" i="1"/>
  <c r="F1683" i="1"/>
  <c r="I1682" i="1"/>
  <c r="F1682" i="1"/>
  <c r="I1681" i="1"/>
  <c r="F1681" i="1"/>
  <c r="I1680" i="1"/>
  <c r="F1680" i="1"/>
  <c r="I1679" i="1"/>
  <c r="F1679" i="1"/>
  <c r="I1678" i="1"/>
  <c r="F1678" i="1"/>
  <c r="I1677" i="1"/>
  <c r="F1677" i="1"/>
  <c r="I1676" i="1"/>
  <c r="F1676" i="1"/>
  <c r="I1675" i="1"/>
  <c r="F1675" i="1"/>
  <c r="I1674" i="1"/>
  <c r="F1674" i="1"/>
  <c r="I1673" i="1"/>
  <c r="F1673" i="1"/>
  <c r="I1672" i="1"/>
  <c r="F1672" i="1"/>
  <c r="I1671" i="1"/>
  <c r="F1671" i="1"/>
  <c r="I1670" i="1"/>
  <c r="F1670" i="1"/>
  <c r="I1669" i="1"/>
  <c r="F1669" i="1"/>
  <c r="I1668" i="1"/>
  <c r="F1668" i="1"/>
  <c r="I1667" i="1"/>
  <c r="F1667" i="1"/>
  <c r="I1666" i="1"/>
  <c r="F1666" i="1"/>
  <c r="I1665" i="1"/>
  <c r="F1665" i="1"/>
  <c r="I1664" i="1"/>
  <c r="F1664" i="1"/>
  <c r="I1663" i="1"/>
  <c r="F1663" i="1"/>
  <c r="I1662" i="1"/>
  <c r="F1662" i="1"/>
  <c r="I1661" i="1"/>
  <c r="F1661" i="1"/>
  <c r="I1660" i="1"/>
  <c r="F1660" i="1"/>
  <c r="I1659" i="1"/>
  <c r="F1659" i="1"/>
  <c r="I1658" i="1"/>
  <c r="F1658" i="1"/>
  <c r="I1657" i="1"/>
  <c r="F1657" i="1"/>
  <c r="I1656" i="1"/>
  <c r="F1656" i="1"/>
  <c r="I1655" i="1"/>
  <c r="F1655" i="1"/>
  <c r="I1654" i="1"/>
  <c r="F1654" i="1"/>
  <c r="I1653" i="1"/>
  <c r="F1653" i="1"/>
  <c r="I1652" i="1"/>
  <c r="F1652" i="1"/>
  <c r="I1651" i="1"/>
  <c r="F1651" i="1"/>
  <c r="I1650" i="1"/>
  <c r="F1650" i="1"/>
  <c r="I1649" i="1"/>
  <c r="F1649" i="1"/>
  <c r="I1648" i="1"/>
  <c r="F1648" i="1"/>
  <c r="I1647" i="1"/>
  <c r="F1647" i="1"/>
  <c r="I1646" i="1"/>
  <c r="F1646" i="1"/>
  <c r="I1645" i="1"/>
  <c r="F1645" i="1"/>
  <c r="I1644" i="1"/>
  <c r="F1644" i="1"/>
  <c r="I1643" i="1"/>
  <c r="F1643" i="1"/>
  <c r="I1642" i="1"/>
  <c r="F1642" i="1"/>
  <c r="I1641" i="1"/>
  <c r="F1641" i="1"/>
  <c r="I1640" i="1"/>
  <c r="F1640" i="1"/>
  <c r="I1639" i="1"/>
  <c r="F1639" i="1"/>
  <c r="I1638" i="1"/>
  <c r="F1638" i="1"/>
  <c r="I1637" i="1"/>
  <c r="F1637" i="1"/>
  <c r="I1636" i="1"/>
  <c r="F1636" i="1"/>
  <c r="I1635" i="1"/>
  <c r="F1635" i="1"/>
  <c r="I1634" i="1"/>
  <c r="F1634" i="1"/>
  <c r="I1633" i="1"/>
  <c r="F1633" i="1"/>
  <c r="I1632" i="1"/>
  <c r="F1632" i="1"/>
  <c r="I1631" i="1"/>
  <c r="F1631" i="1"/>
  <c r="I1630" i="1"/>
  <c r="F1630" i="1"/>
  <c r="I1629" i="1"/>
  <c r="F1629" i="1"/>
  <c r="I1628" i="1"/>
  <c r="F1628" i="1"/>
  <c r="I1627" i="1"/>
  <c r="F1627" i="1"/>
  <c r="I1626" i="1"/>
  <c r="F1626" i="1"/>
  <c r="I1625" i="1"/>
  <c r="F1625" i="1"/>
  <c r="I1624" i="1"/>
  <c r="F1624" i="1"/>
  <c r="I1623" i="1"/>
  <c r="F1623" i="1"/>
  <c r="I1622" i="1"/>
  <c r="F1622" i="1"/>
  <c r="I1621" i="1"/>
  <c r="F1621" i="1"/>
  <c r="I1620" i="1"/>
  <c r="F1620" i="1"/>
  <c r="I1619" i="1"/>
  <c r="F1619" i="1"/>
  <c r="I1618" i="1"/>
  <c r="F1618" i="1"/>
  <c r="I1617" i="1"/>
  <c r="F1617" i="1"/>
  <c r="I1616" i="1"/>
  <c r="F1616" i="1"/>
  <c r="I1615" i="1"/>
  <c r="F1615" i="1"/>
  <c r="I1614" i="1"/>
  <c r="F1614" i="1"/>
  <c r="I1613" i="1"/>
  <c r="F1613" i="1"/>
  <c r="I1612" i="1"/>
  <c r="F1612" i="1"/>
  <c r="I1611" i="1"/>
  <c r="F1611" i="1"/>
  <c r="I1610" i="1"/>
  <c r="F1610" i="1"/>
  <c r="I1609" i="1"/>
  <c r="F1609" i="1"/>
  <c r="I1608" i="1"/>
  <c r="F1608" i="1"/>
  <c r="I1607" i="1"/>
  <c r="F1607" i="1"/>
  <c r="I1606" i="1"/>
  <c r="F1606" i="1"/>
  <c r="I1605" i="1"/>
  <c r="F1605" i="1"/>
  <c r="I1604" i="1"/>
  <c r="F1604" i="1"/>
  <c r="I1603" i="1"/>
  <c r="F1603" i="1"/>
  <c r="I1602" i="1"/>
  <c r="F1602" i="1"/>
  <c r="I1601" i="1"/>
  <c r="F1601" i="1"/>
  <c r="I1600" i="1"/>
  <c r="F1600" i="1"/>
  <c r="I1599" i="1"/>
  <c r="F1599" i="1"/>
  <c r="I1598" i="1"/>
  <c r="F1598" i="1"/>
  <c r="I1597" i="1"/>
  <c r="F1597" i="1"/>
  <c r="I1596" i="1"/>
  <c r="F1596" i="1"/>
  <c r="I1595" i="1"/>
  <c r="F1595" i="1"/>
  <c r="I1594" i="1"/>
  <c r="F1594" i="1"/>
  <c r="I1593" i="1"/>
  <c r="F1593" i="1"/>
  <c r="I1592" i="1"/>
  <c r="F1592" i="1"/>
  <c r="I1591" i="1"/>
  <c r="F1591" i="1"/>
  <c r="I1590" i="1"/>
  <c r="F1590" i="1"/>
  <c r="I1589" i="1"/>
  <c r="F1589" i="1"/>
  <c r="I1588" i="1"/>
  <c r="F1588" i="1"/>
  <c r="I1587" i="1"/>
  <c r="F1587" i="1"/>
  <c r="I1586" i="1"/>
  <c r="F1586" i="1"/>
  <c r="I1585" i="1"/>
  <c r="F1585" i="1"/>
  <c r="I1584" i="1"/>
  <c r="F1584" i="1"/>
  <c r="I1583" i="1"/>
  <c r="F1583" i="1"/>
  <c r="I1582" i="1"/>
  <c r="F1582" i="1"/>
  <c r="I1581" i="1"/>
  <c r="F1581" i="1"/>
  <c r="I1580" i="1"/>
  <c r="F1580" i="1"/>
  <c r="I1579" i="1"/>
  <c r="F1579" i="1"/>
  <c r="I1578" i="1"/>
  <c r="F1578" i="1"/>
  <c r="I1577" i="1"/>
  <c r="F1577" i="1"/>
  <c r="I1576" i="1"/>
  <c r="F1576" i="1"/>
  <c r="I1575" i="1"/>
  <c r="F1575" i="1"/>
  <c r="I1574" i="1"/>
  <c r="F1574" i="1"/>
  <c r="I1573" i="1"/>
  <c r="F1573" i="1"/>
  <c r="I1572" i="1"/>
  <c r="F1572" i="1"/>
  <c r="I1571" i="1"/>
  <c r="F1571" i="1"/>
  <c r="I1570" i="1"/>
  <c r="F1570" i="1"/>
  <c r="I1569" i="1"/>
  <c r="F1569" i="1"/>
  <c r="I1568" i="1"/>
  <c r="F1568" i="1"/>
  <c r="I1567" i="1"/>
  <c r="F1567" i="1"/>
  <c r="I1566" i="1"/>
  <c r="F1566" i="1"/>
  <c r="I1565" i="1"/>
  <c r="F1565" i="1"/>
  <c r="I1564" i="1"/>
  <c r="F1564" i="1"/>
  <c r="I1563" i="1"/>
  <c r="F1563" i="1"/>
  <c r="I1562" i="1"/>
  <c r="F1562" i="1"/>
  <c r="I1561" i="1"/>
  <c r="F1561" i="1"/>
  <c r="I1560" i="1"/>
  <c r="F1560" i="1"/>
  <c r="I1559" i="1"/>
  <c r="F1559" i="1"/>
  <c r="I1558" i="1"/>
  <c r="F1558" i="1"/>
  <c r="I1557" i="1"/>
  <c r="F1557" i="1"/>
  <c r="I1556" i="1"/>
  <c r="F1556" i="1"/>
  <c r="I1555" i="1"/>
  <c r="F1555" i="1"/>
  <c r="I1554" i="1"/>
  <c r="F1554" i="1"/>
  <c r="I1553" i="1"/>
  <c r="F1553" i="1"/>
  <c r="I1552" i="1"/>
  <c r="F1552" i="1"/>
  <c r="I1551" i="1"/>
  <c r="F1551" i="1"/>
  <c r="I1550" i="1"/>
  <c r="F1550" i="1"/>
  <c r="I1549" i="1"/>
  <c r="F1549" i="1"/>
  <c r="I1548" i="1"/>
  <c r="F1548" i="1"/>
  <c r="I1547" i="1"/>
  <c r="F1547" i="1"/>
  <c r="I1546" i="1"/>
  <c r="F1546" i="1"/>
  <c r="I1545" i="1"/>
  <c r="F1545" i="1"/>
  <c r="I1544" i="1"/>
  <c r="F1544" i="1"/>
  <c r="I1543" i="1"/>
  <c r="F1543" i="1"/>
  <c r="I1542" i="1"/>
  <c r="F1542" i="1"/>
  <c r="I1541" i="1"/>
  <c r="F1541" i="1"/>
  <c r="I1540" i="1"/>
  <c r="F1540" i="1"/>
  <c r="I1539" i="1"/>
  <c r="F1539" i="1"/>
  <c r="I1538" i="1"/>
  <c r="F1538" i="1"/>
  <c r="I1537" i="1"/>
  <c r="F1537" i="1"/>
  <c r="I1536" i="1"/>
  <c r="F1536" i="1"/>
  <c r="I1535" i="1"/>
  <c r="F1535" i="1"/>
  <c r="I1534" i="1"/>
  <c r="F1534" i="1"/>
  <c r="I1533" i="1"/>
  <c r="F1533" i="1"/>
  <c r="I1532" i="1"/>
  <c r="F1532" i="1"/>
  <c r="I1531" i="1"/>
  <c r="F1531" i="1"/>
  <c r="I1530" i="1"/>
  <c r="F1530" i="1"/>
  <c r="I1529" i="1"/>
  <c r="F1529" i="1"/>
  <c r="I1528" i="1"/>
  <c r="F1528" i="1"/>
  <c r="I1527" i="1"/>
  <c r="F1527" i="1"/>
  <c r="I1526" i="1"/>
  <c r="F1526" i="1"/>
  <c r="I1525" i="1"/>
  <c r="F1525" i="1"/>
  <c r="I1524" i="1"/>
  <c r="F1524" i="1"/>
  <c r="I1523" i="1"/>
  <c r="F1523" i="1"/>
  <c r="I1522" i="1"/>
  <c r="F1522" i="1"/>
  <c r="I1521" i="1"/>
  <c r="F1521" i="1"/>
  <c r="I1520" i="1"/>
  <c r="F1520" i="1"/>
  <c r="I1519" i="1"/>
  <c r="F1519" i="1"/>
  <c r="I1518" i="1"/>
  <c r="F1518" i="1"/>
  <c r="I1517" i="1"/>
  <c r="F1517" i="1"/>
  <c r="I1516" i="1"/>
  <c r="F1516" i="1"/>
  <c r="I1515" i="1"/>
  <c r="F1515" i="1"/>
  <c r="I1514" i="1"/>
  <c r="F1514" i="1"/>
  <c r="I1513" i="1"/>
  <c r="F1513" i="1"/>
  <c r="I1512" i="1"/>
  <c r="F1512" i="1"/>
  <c r="I1511" i="1"/>
  <c r="F1511" i="1"/>
  <c r="I1510" i="1"/>
  <c r="F1510" i="1"/>
  <c r="I1509" i="1"/>
  <c r="F1509" i="1"/>
  <c r="I1508" i="1"/>
  <c r="F1508" i="1"/>
  <c r="I1507" i="1"/>
  <c r="F1507" i="1"/>
  <c r="I1506" i="1"/>
  <c r="F1506" i="1"/>
  <c r="I1505" i="1"/>
  <c r="F1505" i="1"/>
  <c r="I1504" i="1"/>
  <c r="F1504" i="1"/>
  <c r="I1503" i="1"/>
  <c r="F1503" i="1"/>
  <c r="I1502" i="1"/>
  <c r="F1502" i="1"/>
  <c r="I1501" i="1"/>
  <c r="F1501" i="1"/>
  <c r="I1500" i="1"/>
  <c r="F1500" i="1"/>
  <c r="I1499" i="1"/>
  <c r="F1499" i="1"/>
  <c r="I1498" i="1"/>
  <c r="F1498" i="1"/>
  <c r="I1497" i="1"/>
  <c r="F1497" i="1"/>
  <c r="I1496" i="1"/>
  <c r="F1496" i="1"/>
  <c r="I1495" i="1"/>
  <c r="F1495" i="1"/>
  <c r="I1494" i="1"/>
  <c r="F1494" i="1"/>
  <c r="I1493" i="1"/>
  <c r="F1493" i="1"/>
  <c r="I1492" i="1"/>
  <c r="F1492" i="1"/>
  <c r="I1491" i="1"/>
  <c r="F1491" i="1"/>
  <c r="I1490" i="1"/>
  <c r="F1490" i="1"/>
  <c r="I1489" i="1"/>
  <c r="F1489" i="1"/>
  <c r="I1488" i="1"/>
  <c r="F1488" i="1"/>
  <c r="I1487" i="1"/>
  <c r="F1487" i="1"/>
  <c r="I1486" i="1"/>
  <c r="F1486" i="1"/>
  <c r="I1485" i="1"/>
  <c r="F1485" i="1"/>
  <c r="I1484" i="1"/>
  <c r="F1484" i="1"/>
  <c r="I1483" i="1"/>
  <c r="F1483" i="1"/>
  <c r="I1482" i="1"/>
  <c r="F1482" i="1"/>
  <c r="I1481" i="1"/>
  <c r="F1481" i="1"/>
  <c r="I1480" i="1"/>
  <c r="F1480" i="1"/>
  <c r="I1479" i="1"/>
  <c r="F1479" i="1"/>
  <c r="I1478" i="1"/>
  <c r="F1478" i="1"/>
  <c r="I1477" i="1"/>
  <c r="F1477" i="1"/>
  <c r="I1476" i="1"/>
  <c r="F1476" i="1"/>
  <c r="I1475" i="1"/>
  <c r="F1475" i="1"/>
  <c r="I1474" i="1"/>
  <c r="F1474" i="1"/>
  <c r="I1473" i="1"/>
  <c r="F1473" i="1"/>
  <c r="I1472" i="1"/>
  <c r="F1472" i="1"/>
  <c r="I1471" i="1"/>
  <c r="F1471" i="1"/>
  <c r="I1470" i="1"/>
  <c r="F1470" i="1"/>
  <c r="I1469" i="1"/>
  <c r="F1469" i="1"/>
  <c r="I1468" i="1"/>
  <c r="F1468" i="1"/>
  <c r="I1467" i="1"/>
  <c r="F1467" i="1"/>
  <c r="I1466" i="1"/>
  <c r="F1466" i="1"/>
  <c r="I1465" i="1"/>
  <c r="F1465" i="1"/>
  <c r="I1464" i="1"/>
  <c r="F1464" i="1"/>
  <c r="I1463" i="1"/>
  <c r="F1463" i="1"/>
  <c r="I1462" i="1"/>
  <c r="F1462" i="1"/>
  <c r="I1461" i="1"/>
  <c r="F1461" i="1"/>
  <c r="I1460" i="1"/>
  <c r="F1460" i="1"/>
  <c r="I1459" i="1"/>
  <c r="F1459" i="1"/>
  <c r="I1458" i="1"/>
  <c r="F1458" i="1"/>
  <c r="I1457" i="1"/>
  <c r="F1457" i="1"/>
  <c r="I1456" i="1"/>
  <c r="F1456" i="1"/>
  <c r="I1455" i="1"/>
  <c r="F1455" i="1"/>
  <c r="I1454" i="1"/>
  <c r="F1454" i="1"/>
  <c r="I1453" i="1"/>
  <c r="F1453" i="1"/>
  <c r="I1452" i="1"/>
  <c r="F1452" i="1"/>
  <c r="I1451" i="1"/>
  <c r="F1451" i="1"/>
  <c r="I1450" i="1"/>
  <c r="F1450" i="1"/>
  <c r="I1449" i="1"/>
  <c r="F1449" i="1"/>
  <c r="I1448" i="1"/>
  <c r="F1448" i="1"/>
  <c r="I1447" i="1"/>
  <c r="F1447" i="1"/>
  <c r="I1446" i="1"/>
  <c r="F1446" i="1"/>
  <c r="I1445" i="1"/>
  <c r="F1445" i="1"/>
  <c r="I1444" i="1"/>
  <c r="F1444" i="1"/>
  <c r="I1443" i="1"/>
  <c r="F1443" i="1"/>
  <c r="I1442" i="1"/>
  <c r="F1442" i="1"/>
  <c r="I1441" i="1"/>
  <c r="F1441" i="1"/>
  <c r="I1440" i="1"/>
  <c r="F1440" i="1"/>
  <c r="I1439" i="1"/>
  <c r="F1439" i="1"/>
  <c r="I1438" i="1"/>
  <c r="F1438" i="1"/>
  <c r="I1437" i="1"/>
  <c r="F1437" i="1"/>
  <c r="I1436" i="1"/>
  <c r="F1436" i="1"/>
  <c r="I1435" i="1"/>
  <c r="F1435" i="1"/>
  <c r="I1434" i="1"/>
  <c r="F1434" i="1"/>
  <c r="I1433" i="1"/>
  <c r="F1433" i="1"/>
  <c r="I1432" i="1"/>
  <c r="F1432" i="1"/>
  <c r="I1431" i="1"/>
  <c r="F1431" i="1"/>
  <c r="I1430" i="1"/>
  <c r="F1430" i="1"/>
  <c r="I1429" i="1"/>
  <c r="F1429" i="1"/>
  <c r="I1428" i="1"/>
  <c r="F1428" i="1"/>
  <c r="I1427" i="1"/>
  <c r="F1427" i="1"/>
  <c r="I1426" i="1"/>
  <c r="F1426" i="1"/>
  <c r="I1425" i="1"/>
  <c r="F1425" i="1"/>
  <c r="I1424" i="1"/>
  <c r="F1424" i="1"/>
  <c r="I1423" i="1"/>
  <c r="F1423" i="1"/>
  <c r="I1422" i="1"/>
  <c r="F1422" i="1"/>
  <c r="I1421" i="1"/>
  <c r="F1421" i="1"/>
  <c r="I1420" i="1"/>
  <c r="F1420" i="1"/>
  <c r="I1419" i="1"/>
  <c r="F1419" i="1"/>
  <c r="I1418" i="1"/>
  <c r="F1418" i="1"/>
  <c r="I1417" i="1"/>
  <c r="F1417" i="1"/>
  <c r="I1416" i="1"/>
  <c r="F1416" i="1"/>
  <c r="I1415" i="1"/>
  <c r="F1415" i="1"/>
  <c r="I1414" i="1"/>
  <c r="F1414" i="1"/>
  <c r="I1413" i="1"/>
  <c r="F1413" i="1"/>
  <c r="I1412" i="1"/>
  <c r="F1412" i="1"/>
  <c r="I1411" i="1"/>
  <c r="F1411" i="1"/>
  <c r="I1410" i="1"/>
  <c r="F1410" i="1"/>
  <c r="I1409" i="1"/>
  <c r="F1409" i="1"/>
  <c r="I1408" i="1"/>
  <c r="F1408" i="1"/>
  <c r="I1407" i="1"/>
  <c r="F1407" i="1"/>
  <c r="I1406" i="1"/>
  <c r="F1406" i="1"/>
  <c r="I1405" i="1"/>
  <c r="F1405" i="1"/>
  <c r="I1404" i="1"/>
  <c r="F1404" i="1"/>
  <c r="I1403" i="1"/>
  <c r="F1403" i="1"/>
  <c r="I1402" i="1"/>
  <c r="F1402" i="1"/>
  <c r="I1401" i="1"/>
  <c r="F1401" i="1"/>
  <c r="I1400" i="1"/>
  <c r="F1400" i="1"/>
  <c r="I1399" i="1"/>
  <c r="F1399" i="1"/>
  <c r="I1398" i="1"/>
  <c r="F1398" i="1"/>
  <c r="I1397" i="1"/>
  <c r="F1397" i="1"/>
  <c r="I1396" i="1"/>
  <c r="F1396" i="1"/>
  <c r="I1395" i="1"/>
  <c r="F1395" i="1"/>
  <c r="I1394" i="1"/>
  <c r="F1394" i="1"/>
  <c r="I1393" i="1"/>
  <c r="F1393" i="1"/>
  <c r="I1392" i="1"/>
  <c r="F1392" i="1"/>
  <c r="I1391" i="1"/>
  <c r="F1391" i="1"/>
  <c r="I1390" i="1"/>
  <c r="F1390" i="1"/>
  <c r="I1389" i="1"/>
  <c r="F1389" i="1"/>
  <c r="I1388" i="1"/>
  <c r="F1388" i="1"/>
  <c r="I1387" i="1"/>
  <c r="F1387" i="1"/>
  <c r="I1386" i="1"/>
  <c r="F1386" i="1"/>
  <c r="I1385" i="1"/>
  <c r="F1385" i="1"/>
  <c r="I1384" i="1"/>
  <c r="F1384" i="1"/>
  <c r="I1383" i="1"/>
  <c r="F1383" i="1"/>
  <c r="I1382" i="1"/>
  <c r="F1382" i="1"/>
  <c r="I1381" i="1"/>
  <c r="F1381" i="1"/>
  <c r="I1380" i="1"/>
  <c r="F1380" i="1"/>
  <c r="I1379" i="1"/>
  <c r="F1379" i="1"/>
  <c r="I1378" i="1"/>
  <c r="F1378" i="1"/>
  <c r="I1377" i="1"/>
  <c r="F1377" i="1"/>
  <c r="I1376" i="1"/>
  <c r="F1376" i="1"/>
  <c r="I1375" i="1"/>
  <c r="F1375" i="1"/>
  <c r="I1374" i="1"/>
  <c r="F1374" i="1"/>
  <c r="I1373" i="1"/>
  <c r="F1373" i="1"/>
  <c r="I1372" i="1"/>
  <c r="F1372" i="1"/>
  <c r="I1371" i="1"/>
  <c r="F1371" i="1"/>
  <c r="I1370" i="1"/>
  <c r="F1370" i="1"/>
  <c r="I1369" i="1"/>
  <c r="F1369" i="1"/>
  <c r="I1368" i="1"/>
  <c r="F1368" i="1"/>
  <c r="I1367" i="1"/>
  <c r="F1367" i="1"/>
  <c r="I1366" i="1"/>
  <c r="F1366" i="1"/>
  <c r="I1365" i="1"/>
  <c r="F1365" i="1"/>
  <c r="I1364" i="1"/>
  <c r="F1364" i="1"/>
  <c r="I1363" i="1"/>
  <c r="F1363" i="1"/>
  <c r="I1362" i="1"/>
  <c r="F1362" i="1"/>
  <c r="I1361" i="1"/>
  <c r="F1361" i="1"/>
  <c r="I1360" i="1"/>
  <c r="F1360" i="1"/>
  <c r="I1359" i="1"/>
  <c r="F1359" i="1"/>
  <c r="I1358" i="1"/>
  <c r="F1358" i="1"/>
  <c r="I1357" i="1"/>
  <c r="F1357" i="1"/>
  <c r="I1356" i="1"/>
  <c r="F1356" i="1"/>
  <c r="I1355" i="1"/>
  <c r="F1355" i="1"/>
  <c r="I1354" i="1"/>
  <c r="F1354" i="1"/>
  <c r="I1353" i="1"/>
  <c r="F1353" i="1"/>
  <c r="I1352" i="1"/>
  <c r="F1352" i="1"/>
  <c r="I1351" i="1"/>
  <c r="F1351" i="1"/>
  <c r="I1350" i="1"/>
  <c r="F1350" i="1"/>
  <c r="I1349" i="1"/>
  <c r="F1349" i="1"/>
  <c r="I1348" i="1"/>
  <c r="F1348" i="1"/>
  <c r="I1347" i="1"/>
  <c r="F1347" i="1"/>
  <c r="I1346" i="1"/>
  <c r="F1346" i="1"/>
  <c r="I1345" i="1"/>
  <c r="F1345" i="1"/>
  <c r="I1344" i="1"/>
  <c r="F1344" i="1"/>
  <c r="I1343" i="1"/>
  <c r="F1343" i="1"/>
  <c r="I1342" i="1"/>
  <c r="F1342" i="1"/>
  <c r="I1341" i="1"/>
  <c r="F1341" i="1"/>
  <c r="I1340" i="1"/>
  <c r="F1340" i="1"/>
  <c r="I1339" i="1"/>
  <c r="F1339" i="1"/>
  <c r="I1338" i="1"/>
  <c r="F1338" i="1"/>
  <c r="I1337" i="1"/>
  <c r="F1337" i="1"/>
  <c r="I1336" i="1"/>
  <c r="F1336" i="1"/>
  <c r="I1335" i="1"/>
  <c r="F1335" i="1"/>
  <c r="I1334" i="1"/>
  <c r="F1334" i="1"/>
  <c r="I1333" i="1"/>
  <c r="F1333" i="1"/>
  <c r="I1332" i="1"/>
  <c r="F1332" i="1"/>
  <c r="I1331" i="1"/>
  <c r="F1331" i="1"/>
  <c r="I1330" i="1"/>
  <c r="F1330" i="1"/>
  <c r="I1329" i="1"/>
  <c r="F1329" i="1"/>
  <c r="I1328" i="1"/>
  <c r="F1328" i="1"/>
  <c r="I1327" i="1"/>
  <c r="F1327" i="1"/>
  <c r="I1326" i="1"/>
  <c r="F1326" i="1"/>
  <c r="I1325" i="1"/>
  <c r="F1325" i="1"/>
  <c r="I1324" i="1"/>
  <c r="F1324" i="1"/>
  <c r="I1323" i="1"/>
  <c r="F1323" i="1"/>
  <c r="I1322" i="1"/>
  <c r="F1322" i="1"/>
  <c r="I1321" i="1"/>
  <c r="F1321" i="1"/>
  <c r="I1320" i="1"/>
  <c r="F1320" i="1"/>
  <c r="I1319" i="1"/>
  <c r="F1319" i="1"/>
  <c r="I1318" i="1"/>
  <c r="F1318" i="1"/>
  <c r="I1317" i="1"/>
  <c r="F1317" i="1"/>
  <c r="I1316" i="1"/>
  <c r="F1316" i="1"/>
  <c r="I1315" i="1"/>
  <c r="F1315" i="1"/>
  <c r="I1314" i="1"/>
  <c r="F1314" i="1"/>
  <c r="I1313" i="1"/>
  <c r="F1313" i="1"/>
  <c r="I1312" i="1"/>
  <c r="F1312" i="1"/>
  <c r="I1311" i="1"/>
  <c r="F1311" i="1"/>
  <c r="I1310" i="1"/>
  <c r="F1310" i="1"/>
  <c r="I1309" i="1"/>
  <c r="F1309" i="1"/>
  <c r="I1308" i="1"/>
  <c r="F1308" i="1"/>
  <c r="I1307" i="1"/>
  <c r="F1307" i="1"/>
  <c r="I1306" i="1"/>
  <c r="F1306" i="1"/>
  <c r="I1305" i="1"/>
  <c r="F1305" i="1"/>
  <c r="I1304" i="1"/>
  <c r="F1304" i="1"/>
  <c r="I1303" i="1"/>
  <c r="F1303" i="1"/>
  <c r="I1302" i="1"/>
  <c r="F1302" i="1"/>
  <c r="I1301" i="1"/>
  <c r="F1301" i="1"/>
  <c r="I1300" i="1"/>
  <c r="F1300" i="1"/>
  <c r="I1299" i="1"/>
  <c r="F1299" i="1"/>
  <c r="I1298" i="1"/>
  <c r="F1298" i="1"/>
  <c r="I1297" i="1"/>
  <c r="F1297" i="1"/>
  <c r="I1296" i="1"/>
  <c r="F1296" i="1"/>
  <c r="I1295" i="1"/>
  <c r="F1295" i="1"/>
  <c r="I1294" i="1"/>
  <c r="F1294" i="1"/>
  <c r="I1293" i="1"/>
  <c r="F1293" i="1"/>
  <c r="I1292" i="1"/>
  <c r="F1292" i="1"/>
  <c r="I1291" i="1"/>
  <c r="F1291" i="1"/>
  <c r="I1290" i="1"/>
  <c r="F1290" i="1"/>
  <c r="I1289" i="1"/>
  <c r="F1289" i="1"/>
  <c r="I1288" i="1"/>
  <c r="F1288" i="1"/>
  <c r="I1287" i="1"/>
  <c r="F1287" i="1"/>
  <c r="I1286" i="1"/>
  <c r="F1286" i="1"/>
  <c r="I1285" i="1"/>
  <c r="F1285" i="1"/>
  <c r="I1284" i="1"/>
  <c r="F1284" i="1"/>
  <c r="I1283" i="1"/>
  <c r="F1283" i="1"/>
  <c r="I1282" i="1"/>
  <c r="F1282" i="1"/>
  <c r="I1281" i="1"/>
  <c r="F1281" i="1"/>
  <c r="I1280" i="1"/>
  <c r="F1280" i="1"/>
  <c r="I1279" i="1"/>
  <c r="F1279" i="1"/>
  <c r="I1278" i="1"/>
  <c r="F1278" i="1"/>
  <c r="I1277" i="1"/>
  <c r="F1277" i="1"/>
  <c r="I1276" i="1"/>
  <c r="F1276" i="1"/>
  <c r="I1275" i="1"/>
  <c r="F1275" i="1"/>
  <c r="I1274" i="1"/>
  <c r="F1274" i="1"/>
  <c r="I1273" i="1"/>
  <c r="F1273" i="1"/>
  <c r="I1272" i="1"/>
  <c r="F1272" i="1"/>
  <c r="I1271" i="1"/>
  <c r="F1271" i="1"/>
  <c r="I1270" i="1"/>
  <c r="F1270" i="1"/>
  <c r="I1269" i="1"/>
  <c r="F1269" i="1"/>
  <c r="I1268" i="1"/>
  <c r="F1268" i="1"/>
  <c r="I1267" i="1"/>
  <c r="F1267" i="1"/>
  <c r="I1266" i="1"/>
  <c r="F1266" i="1"/>
  <c r="I1265" i="1"/>
  <c r="F1265" i="1"/>
  <c r="I1264" i="1"/>
  <c r="F1264" i="1"/>
  <c r="I1263" i="1"/>
  <c r="F1263" i="1"/>
  <c r="I1262" i="1"/>
  <c r="F1262" i="1"/>
  <c r="I1261" i="1"/>
  <c r="F1261" i="1"/>
  <c r="I1260" i="1"/>
  <c r="F1260" i="1"/>
  <c r="I1259" i="1"/>
  <c r="F1259" i="1"/>
  <c r="I1258" i="1"/>
  <c r="F1258" i="1"/>
  <c r="I1257" i="1"/>
  <c r="F1257" i="1"/>
  <c r="I1256" i="1"/>
  <c r="F1256" i="1"/>
  <c r="I1255" i="1"/>
  <c r="F1255" i="1"/>
  <c r="I1254" i="1"/>
  <c r="F1254" i="1"/>
  <c r="I1253" i="1"/>
  <c r="F1253" i="1"/>
  <c r="I1252" i="1"/>
  <c r="F1252" i="1"/>
  <c r="I1251" i="1"/>
  <c r="F1251" i="1"/>
  <c r="I1250" i="1"/>
  <c r="F1250" i="1"/>
  <c r="I1249" i="1"/>
  <c r="F1249" i="1"/>
  <c r="I1248" i="1"/>
  <c r="F1248" i="1"/>
  <c r="I1247" i="1"/>
  <c r="F1247" i="1"/>
  <c r="I1246" i="1"/>
  <c r="F1246" i="1"/>
  <c r="I1245" i="1"/>
  <c r="F1245" i="1"/>
  <c r="I1244" i="1"/>
  <c r="F1244" i="1"/>
  <c r="I1243" i="1"/>
  <c r="F1243" i="1"/>
  <c r="I1242" i="1"/>
  <c r="F1242" i="1"/>
  <c r="I1241" i="1"/>
  <c r="F1241" i="1"/>
  <c r="I1240" i="1"/>
  <c r="F1240" i="1"/>
  <c r="I1239" i="1"/>
  <c r="F1239" i="1"/>
  <c r="I1238" i="1"/>
  <c r="F1238" i="1"/>
  <c r="I1237" i="1"/>
  <c r="F1237" i="1"/>
  <c r="I1236" i="1"/>
  <c r="F1236" i="1"/>
  <c r="I1235" i="1"/>
  <c r="F1235" i="1"/>
  <c r="I1234" i="1"/>
  <c r="F1234" i="1"/>
  <c r="I1233" i="1"/>
  <c r="F1233" i="1"/>
  <c r="I1232" i="1"/>
  <c r="F1232" i="1"/>
  <c r="I1231" i="1"/>
  <c r="F1231" i="1"/>
  <c r="I1230" i="1"/>
  <c r="F1230" i="1"/>
  <c r="I1229" i="1"/>
  <c r="F1229" i="1"/>
  <c r="I1228" i="1"/>
  <c r="F1228" i="1"/>
  <c r="I1227" i="1"/>
  <c r="F1227" i="1"/>
  <c r="I1226" i="1"/>
  <c r="F1226" i="1"/>
  <c r="I1225" i="1"/>
  <c r="F1225" i="1"/>
  <c r="I1224" i="1"/>
  <c r="F1224" i="1"/>
  <c r="I1223" i="1"/>
  <c r="F1223" i="1"/>
  <c r="I1222" i="1"/>
  <c r="F1222" i="1"/>
  <c r="I1221" i="1"/>
  <c r="F1221" i="1"/>
  <c r="I1220" i="1"/>
  <c r="F1220" i="1"/>
  <c r="I1219" i="1"/>
  <c r="F1219" i="1"/>
  <c r="I1218" i="1"/>
  <c r="F1218" i="1"/>
  <c r="I1217" i="1"/>
  <c r="F1217" i="1"/>
  <c r="I1216" i="1"/>
  <c r="F1216" i="1"/>
  <c r="I1215" i="1"/>
  <c r="F1215" i="1"/>
  <c r="I1214" i="1"/>
  <c r="F1214" i="1"/>
  <c r="I1213" i="1"/>
  <c r="F1213" i="1"/>
  <c r="I1212" i="1"/>
  <c r="F1212" i="1"/>
  <c r="I1211" i="1"/>
  <c r="F1211" i="1"/>
  <c r="I1210" i="1"/>
  <c r="F1210" i="1"/>
  <c r="I1209" i="1"/>
  <c r="F1209" i="1"/>
  <c r="I1208" i="1"/>
  <c r="F1208" i="1"/>
  <c r="I1207" i="1"/>
  <c r="F1207" i="1"/>
  <c r="I1206" i="1"/>
  <c r="F1206" i="1"/>
  <c r="I1205" i="1"/>
  <c r="F1205" i="1"/>
  <c r="I1204" i="1"/>
  <c r="F1204" i="1"/>
  <c r="I1203" i="1"/>
  <c r="F1203" i="1"/>
  <c r="I1202" i="1"/>
  <c r="F1202" i="1"/>
  <c r="I1201" i="1"/>
  <c r="F1201" i="1"/>
  <c r="I1200" i="1"/>
  <c r="F1200" i="1"/>
  <c r="I1199" i="1"/>
  <c r="F1199" i="1"/>
  <c r="I1198" i="1"/>
  <c r="F1198" i="1"/>
  <c r="I1197" i="1"/>
  <c r="F1197" i="1"/>
  <c r="I1196" i="1"/>
  <c r="F1196" i="1"/>
  <c r="I1195" i="1"/>
  <c r="F1195" i="1"/>
  <c r="I1194" i="1"/>
  <c r="F1194" i="1"/>
  <c r="I1193" i="1"/>
  <c r="F1193" i="1"/>
  <c r="I1192" i="1"/>
  <c r="F1192" i="1"/>
  <c r="I1191" i="1"/>
  <c r="F1191" i="1"/>
  <c r="I1190" i="1"/>
  <c r="F1190" i="1"/>
  <c r="I1189" i="1"/>
  <c r="F1189" i="1"/>
  <c r="I1188" i="1"/>
  <c r="F1188" i="1"/>
  <c r="I1187" i="1"/>
  <c r="F1187" i="1"/>
  <c r="I1186" i="1"/>
  <c r="F1186" i="1"/>
  <c r="I1185" i="1"/>
  <c r="F1185" i="1"/>
  <c r="I1184" i="1"/>
  <c r="F1184" i="1"/>
  <c r="I1183" i="1"/>
  <c r="F1183" i="1"/>
  <c r="I1182" i="1"/>
  <c r="F1182" i="1"/>
  <c r="I1181" i="1"/>
  <c r="F1181" i="1"/>
  <c r="I1180" i="1"/>
  <c r="F1180" i="1"/>
  <c r="I1179" i="1"/>
  <c r="F1179" i="1"/>
  <c r="I1178" i="1"/>
  <c r="F1178" i="1"/>
  <c r="I1177" i="1"/>
  <c r="F1177" i="1"/>
  <c r="I1176" i="1"/>
  <c r="F1176" i="1"/>
  <c r="I1175" i="1"/>
  <c r="F1175" i="1"/>
  <c r="I1174" i="1"/>
  <c r="F1174" i="1"/>
  <c r="I1173" i="1"/>
  <c r="F1173" i="1"/>
  <c r="I1172" i="1"/>
  <c r="F1172" i="1"/>
  <c r="I1171" i="1"/>
  <c r="F1171" i="1"/>
  <c r="I1170" i="1"/>
  <c r="F1170" i="1"/>
  <c r="I1169" i="1"/>
  <c r="F1169" i="1"/>
  <c r="I1168" i="1"/>
  <c r="F1168" i="1"/>
  <c r="I1167" i="1"/>
  <c r="F1167" i="1"/>
  <c r="I1166" i="1"/>
  <c r="F1166" i="1"/>
  <c r="I1165" i="1"/>
  <c r="F1165" i="1"/>
  <c r="I1164" i="1"/>
  <c r="F1164" i="1"/>
  <c r="I1163" i="1"/>
  <c r="F1163" i="1"/>
  <c r="I1162" i="1"/>
  <c r="F1162" i="1"/>
  <c r="I1161" i="1"/>
  <c r="F1161" i="1"/>
  <c r="I1160" i="1"/>
  <c r="F1160" i="1"/>
  <c r="I1159" i="1"/>
  <c r="F1159" i="1"/>
  <c r="I1158" i="1"/>
  <c r="F1158" i="1"/>
  <c r="I1157" i="1"/>
  <c r="F1157" i="1"/>
  <c r="I1156" i="1"/>
  <c r="F1156" i="1"/>
  <c r="I1155" i="1"/>
  <c r="F1155" i="1"/>
  <c r="I1154" i="1"/>
  <c r="F1154" i="1"/>
  <c r="I1153" i="1"/>
  <c r="F1153" i="1"/>
  <c r="I1152" i="1"/>
  <c r="F1152" i="1"/>
  <c r="I1151" i="1"/>
  <c r="F1151" i="1"/>
  <c r="I1150" i="1"/>
  <c r="F1150" i="1"/>
  <c r="I1149" i="1"/>
  <c r="F1149" i="1"/>
  <c r="I1148" i="1"/>
  <c r="F1148" i="1"/>
  <c r="I1147" i="1"/>
  <c r="F1147" i="1"/>
  <c r="I1146" i="1"/>
  <c r="F1146" i="1"/>
  <c r="I1145" i="1"/>
  <c r="F1145" i="1"/>
  <c r="I1144" i="1"/>
  <c r="F1144" i="1"/>
  <c r="I1143" i="1"/>
  <c r="F1143" i="1"/>
  <c r="I1142" i="1"/>
  <c r="F1142" i="1"/>
  <c r="I1141" i="1"/>
  <c r="F1141" i="1"/>
  <c r="I1140" i="1"/>
  <c r="F1140" i="1"/>
  <c r="I1139" i="1"/>
  <c r="F1139" i="1"/>
  <c r="I1138" i="1"/>
  <c r="F1138" i="1"/>
  <c r="I1137" i="1"/>
  <c r="F1137" i="1"/>
  <c r="I1136" i="1"/>
  <c r="F1136" i="1"/>
  <c r="I1135" i="1"/>
  <c r="F1135" i="1"/>
  <c r="I1134" i="1"/>
  <c r="F1134" i="1"/>
  <c r="I1133" i="1"/>
  <c r="F1133" i="1"/>
  <c r="I1132" i="1"/>
  <c r="F1132" i="1"/>
  <c r="I1131" i="1"/>
  <c r="F1131" i="1"/>
  <c r="I1130" i="1"/>
  <c r="F1130" i="1"/>
  <c r="I1129" i="1"/>
  <c r="F1129" i="1"/>
  <c r="I1128" i="1"/>
  <c r="F1128" i="1"/>
  <c r="I1127" i="1"/>
  <c r="F1127" i="1"/>
  <c r="I1126" i="1"/>
  <c r="F1126" i="1"/>
  <c r="I1125" i="1"/>
  <c r="F1125" i="1"/>
  <c r="I1124" i="1"/>
  <c r="F1124" i="1"/>
  <c r="I1123" i="1"/>
  <c r="F1123" i="1"/>
  <c r="I1122" i="1"/>
  <c r="F1122" i="1"/>
  <c r="I1121" i="1"/>
  <c r="F1121" i="1"/>
  <c r="I1120" i="1"/>
  <c r="F1120" i="1"/>
  <c r="I1119" i="1"/>
  <c r="F1119" i="1"/>
  <c r="I1118" i="1"/>
  <c r="F1118" i="1"/>
  <c r="I1117" i="1"/>
  <c r="F1117" i="1"/>
  <c r="I1116" i="1"/>
  <c r="F1116" i="1"/>
  <c r="I1115" i="1"/>
  <c r="F1115" i="1"/>
  <c r="I1114" i="1"/>
  <c r="F1114" i="1"/>
  <c r="I1113" i="1"/>
  <c r="F1113" i="1"/>
  <c r="I1112" i="1"/>
  <c r="F1112" i="1"/>
  <c r="I1111" i="1"/>
  <c r="F1111" i="1"/>
  <c r="I1110" i="1"/>
  <c r="F1110" i="1"/>
  <c r="I1109" i="1"/>
  <c r="F1109" i="1"/>
  <c r="I1108" i="1"/>
  <c r="F1108" i="1"/>
  <c r="I1107" i="1"/>
  <c r="F1107" i="1"/>
  <c r="I1106" i="1"/>
  <c r="F1106" i="1"/>
  <c r="I1105" i="1"/>
  <c r="F1105" i="1"/>
  <c r="I1104" i="1"/>
  <c r="F1104" i="1"/>
  <c r="I1103" i="1"/>
  <c r="F1103" i="1"/>
  <c r="I1102" i="1"/>
  <c r="F1102" i="1"/>
  <c r="I1101" i="1"/>
  <c r="F1101" i="1"/>
  <c r="I1100" i="1"/>
  <c r="F1100" i="1"/>
  <c r="I1099" i="1"/>
  <c r="F1099" i="1"/>
  <c r="I1098" i="1"/>
  <c r="F1098" i="1"/>
  <c r="I1097" i="1"/>
  <c r="F1097" i="1"/>
  <c r="I1096" i="1"/>
  <c r="F1096" i="1"/>
  <c r="I1095" i="1"/>
  <c r="F1095" i="1"/>
  <c r="I1094" i="1"/>
  <c r="F1094" i="1"/>
  <c r="I1093" i="1"/>
  <c r="F1093" i="1"/>
  <c r="I1092" i="1"/>
  <c r="F1092" i="1"/>
  <c r="I1091" i="1"/>
  <c r="F1091" i="1"/>
  <c r="I1090" i="1"/>
  <c r="F1090" i="1"/>
  <c r="I1089" i="1"/>
  <c r="F1089" i="1"/>
  <c r="I1088" i="1"/>
  <c r="F1088" i="1"/>
  <c r="I1087" i="1"/>
  <c r="F1087" i="1"/>
  <c r="I1086" i="1"/>
  <c r="F1086" i="1"/>
  <c r="I1085" i="1"/>
  <c r="F1085" i="1"/>
  <c r="I1084" i="1"/>
  <c r="F1084" i="1"/>
  <c r="I1083" i="1"/>
  <c r="F1083" i="1"/>
  <c r="I1082" i="1"/>
  <c r="F1082" i="1"/>
  <c r="I1081" i="1"/>
  <c r="F1081" i="1"/>
  <c r="I1080" i="1"/>
  <c r="F1080" i="1"/>
  <c r="I1079" i="1"/>
  <c r="F1079" i="1"/>
  <c r="I1078" i="1"/>
  <c r="F1078" i="1"/>
  <c r="I1077" i="1"/>
  <c r="F1077" i="1"/>
  <c r="I1076" i="1"/>
  <c r="F1076" i="1"/>
  <c r="I1075" i="1"/>
  <c r="F1075" i="1"/>
  <c r="I1074" i="1"/>
  <c r="F1074" i="1"/>
  <c r="I1073" i="1"/>
  <c r="F1073" i="1"/>
  <c r="I1072" i="1"/>
  <c r="F1072" i="1"/>
  <c r="I1071" i="1"/>
  <c r="F1071" i="1"/>
  <c r="I1070" i="1"/>
  <c r="F1070" i="1"/>
  <c r="I1069" i="1"/>
  <c r="F1069" i="1"/>
  <c r="I1068" i="1"/>
  <c r="F1068" i="1"/>
  <c r="I1067" i="1"/>
  <c r="F1067" i="1"/>
  <c r="I1066" i="1"/>
  <c r="F1066" i="1"/>
  <c r="I1065" i="1"/>
  <c r="F1065" i="1"/>
  <c r="I1064" i="1"/>
  <c r="F1064" i="1"/>
  <c r="I1063" i="1"/>
  <c r="F1063" i="1"/>
  <c r="I1062" i="1"/>
  <c r="F1062" i="1"/>
  <c r="I1061" i="1"/>
  <c r="F1061" i="1"/>
  <c r="I1060" i="1"/>
  <c r="F1060" i="1"/>
  <c r="I1059" i="1"/>
  <c r="F1059" i="1"/>
  <c r="I1058" i="1"/>
  <c r="F1058" i="1"/>
  <c r="I1057" i="1"/>
  <c r="F1057" i="1"/>
  <c r="I1056" i="1"/>
  <c r="F1056" i="1"/>
  <c r="I1055" i="1"/>
  <c r="F1055" i="1"/>
  <c r="I1054" i="1"/>
  <c r="F1054" i="1"/>
  <c r="I1053" i="1"/>
  <c r="F1053" i="1"/>
  <c r="I1052" i="1"/>
  <c r="F1052" i="1"/>
  <c r="I1051" i="1"/>
  <c r="F1051" i="1"/>
  <c r="I1050" i="1"/>
  <c r="F1050" i="1"/>
  <c r="I1049" i="1"/>
  <c r="F1049" i="1"/>
  <c r="I1048" i="1"/>
  <c r="F1048" i="1"/>
  <c r="I1047" i="1"/>
  <c r="F1047" i="1"/>
  <c r="I1046" i="1"/>
  <c r="F1046" i="1"/>
  <c r="I1045" i="1"/>
  <c r="F1045" i="1"/>
  <c r="I1044" i="1"/>
  <c r="F1044" i="1"/>
  <c r="I1043" i="1"/>
  <c r="F1043" i="1"/>
  <c r="I1042" i="1"/>
  <c r="F1042" i="1"/>
  <c r="I1041" i="1"/>
  <c r="F1041" i="1"/>
  <c r="I1040" i="1"/>
  <c r="F1040" i="1"/>
  <c r="I1039" i="1"/>
  <c r="F1039" i="1"/>
  <c r="I1038" i="1"/>
  <c r="F1038" i="1"/>
  <c r="I1037" i="1"/>
  <c r="F1037" i="1"/>
  <c r="I1036" i="1"/>
  <c r="F1036" i="1"/>
  <c r="I1035" i="1"/>
  <c r="F1035" i="1"/>
  <c r="I1034" i="1"/>
  <c r="F1034" i="1"/>
  <c r="I1033" i="1"/>
  <c r="F1033" i="1"/>
  <c r="I1032" i="1"/>
  <c r="F1032" i="1"/>
  <c r="I1031" i="1"/>
  <c r="F1031" i="1"/>
  <c r="I1030" i="1"/>
  <c r="F1030" i="1"/>
  <c r="I1029" i="1"/>
  <c r="F1029" i="1"/>
  <c r="I1028" i="1"/>
  <c r="F1028" i="1"/>
  <c r="I1027" i="1"/>
  <c r="F1027" i="1"/>
  <c r="I1026" i="1"/>
  <c r="F1026" i="1"/>
  <c r="I1025" i="1"/>
  <c r="F1025" i="1"/>
  <c r="I1024" i="1"/>
  <c r="F1024" i="1"/>
  <c r="I1023" i="1"/>
  <c r="F1023" i="1"/>
  <c r="I1022" i="1"/>
  <c r="F1022" i="1"/>
  <c r="I1021" i="1"/>
  <c r="F1021" i="1"/>
  <c r="I1020" i="1"/>
  <c r="F1020" i="1"/>
  <c r="I1019" i="1"/>
  <c r="F1019" i="1"/>
  <c r="I1018" i="1"/>
  <c r="F1018" i="1"/>
  <c r="I1017" i="1"/>
  <c r="F1017" i="1"/>
  <c r="I1016" i="1"/>
  <c r="F1016" i="1"/>
  <c r="I1015" i="1"/>
  <c r="F1015" i="1"/>
  <c r="I1014" i="1"/>
  <c r="F1014" i="1"/>
  <c r="I1013" i="1"/>
  <c r="F1013" i="1"/>
  <c r="I1012" i="1"/>
  <c r="F1012" i="1"/>
  <c r="I1011" i="1"/>
  <c r="F1011" i="1"/>
  <c r="I1010" i="1"/>
  <c r="F1010" i="1"/>
  <c r="I1009" i="1"/>
  <c r="F1009" i="1"/>
  <c r="I1008" i="1"/>
  <c r="F1008" i="1"/>
  <c r="I1007" i="1"/>
  <c r="F1007" i="1"/>
  <c r="I1006" i="1"/>
  <c r="F1006" i="1"/>
  <c r="I1005" i="1"/>
  <c r="F1005" i="1"/>
  <c r="I1004" i="1"/>
  <c r="F1004" i="1"/>
  <c r="I1003" i="1"/>
  <c r="F1003" i="1"/>
  <c r="I1002" i="1"/>
  <c r="F1002" i="1"/>
  <c r="I1001" i="1"/>
  <c r="F1001" i="1"/>
  <c r="I1000" i="1"/>
  <c r="F1000" i="1"/>
  <c r="I999" i="1"/>
  <c r="F999" i="1"/>
  <c r="I998" i="1"/>
  <c r="F998" i="1"/>
  <c r="I997" i="1"/>
  <c r="F997" i="1"/>
  <c r="I996" i="1"/>
  <c r="F996" i="1"/>
  <c r="I995" i="1"/>
  <c r="F995" i="1"/>
  <c r="I994" i="1"/>
  <c r="F994" i="1"/>
  <c r="I993" i="1"/>
  <c r="F993" i="1"/>
  <c r="I992" i="1"/>
  <c r="F992" i="1"/>
  <c r="I991" i="1"/>
  <c r="F991" i="1"/>
  <c r="I990" i="1"/>
  <c r="F990" i="1"/>
  <c r="I989" i="1"/>
  <c r="F989" i="1"/>
  <c r="I988" i="1"/>
  <c r="F988" i="1"/>
  <c r="I987" i="1"/>
  <c r="F987" i="1"/>
  <c r="I986" i="1"/>
  <c r="F986" i="1"/>
  <c r="I985" i="1"/>
  <c r="F985" i="1"/>
  <c r="I984" i="1"/>
  <c r="F984" i="1"/>
  <c r="I983" i="1"/>
  <c r="F983" i="1"/>
  <c r="I982" i="1"/>
  <c r="F982" i="1"/>
  <c r="I981" i="1"/>
  <c r="F981" i="1"/>
  <c r="I980" i="1"/>
  <c r="F980" i="1"/>
  <c r="I979" i="1"/>
  <c r="F979" i="1"/>
  <c r="I978" i="1"/>
  <c r="F978" i="1"/>
  <c r="I977" i="1"/>
  <c r="F977" i="1"/>
  <c r="I976" i="1"/>
  <c r="F976" i="1"/>
  <c r="I975" i="1"/>
  <c r="F975" i="1"/>
  <c r="I974" i="1"/>
  <c r="F974" i="1"/>
  <c r="I973" i="1"/>
  <c r="F973" i="1"/>
  <c r="I972" i="1"/>
  <c r="F972" i="1"/>
  <c r="I971" i="1"/>
  <c r="F971" i="1"/>
  <c r="I970" i="1"/>
  <c r="F970" i="1"/>
  <c r="I969" i="1"/>
  <c r="F969" i="1"/>
  <c r="I968" i="1"/>
  <c r="F968" i="1"/>
  <c r="I967" i="1"/>
  <c r="F967" i="1"/>
  <c r="I966" i="1"/>
  <c r="F966" i="1"/>
  <c r="I965" i="1"/>
  <c r="F965" i="1"/>
  <c r="I964" i="1"/>
  <c r="F964" i="1"/>
  <c r="I963" i="1"/>
  <c r="F963" i="1"/>
  <c r="I962" i="1"/>
  <c r="F962" i="1"/>
  <c r="I961" i="1"/>
  <c r="F961" i="1"/>
  <c r="I960" i="1"/>
  <c r="F960" i="1"/>
  <c r="I959" i="1"/>
  <c r="F959" i="1"/>
  <c r="I958" i="1"/>
  <c r="F958" i="1"/>
  <c r="I957" i="1"/>
  <c r="F957" i="1"/>
  <c r="I956" i="1"/>
  <c r="F956" i="1"/>
  <c r="I955" i="1"/>
  <c r="F955" i="1"/>
  <c r="I954" i="1"/>
  <c r="F954" i="1"/>
  <c r="I953" i="1"/>
  <c r="F953" i="1"/>
  <c r="I952" i="1"/>
  <c r="F952" i="1"/>
  <c r="I951" i="1"/>
  <c r="F951" i="1"/>
  <c r="I950" i="1"/>
  <c r="F950" i="1"/>
  <c r="I949" i="1"/>
  <c r="F949" i="1"/>
  <c r="I948" i="1"/>
  <c r="F948" i="1"/>
  <c r="I947" i="1"/>
  <c r="F947" i="1"/>
  <c r="I946" i="1"/>
  <c r="F946" i="1"/>
  <c r="I945" i="1"/>
  <c r="F945" i="1"/>
  <c r="I944" i="1"/>
  <c r="F944" i="1"/>
  <c r="I943" i="1"/>
  <c r="F943" i="1"/>
  <c r="I942" i="1"/>
  <c r="F942" i="1"/>
  <c r="I941" i="1"/>
  <c r="F941" i="1"/>
  <c r="I940" i="1"/>
  <c r="F940" i="1"/>
  <c r="I939" i="1"/>
  <c r="F939" i="1"/>
  <c r="I938" i="1"/>
  <c r="F938" i="1"/>
  <c r="I937" i="1"/>
  <c r="F937" i="1"/>
  <c r="I936" i="1"/>
  <c r="F936" i="1"/>
  <c r="I935" i="1"/>
  <c r="F935" i="1"/>
  <c r="I934" i="1"/>
  <c r="F934" i="1"/>
  <c r="I933" i="1"/>
  <c r="F933" i="1"/>
  <c r="I932" i="1"/>
  <c r="F932" i="1"/>
  <c r="I931" i="1"/>
  <c r="F931" i="1"/>
  <c r="I930" i="1"/>
  <c r="F930" i="1"/>
  <c r="I929" i="1"/>
  <c r="F929" i="1"/>
  <c r="I928" i="1"/>
  <c r="F928" i="1"/>
  <c r="I927" i="1"/>
  <c r="F927" i="1"/>
  <c r="I926" i="1"/>
  <c r="F926" i="1"/>
  <c r="I925" i="1"/>
  <c r="F925" i="1"/>
  <c r="I924" i="1"/>
  <c r="F924" i="1"/>
  <c r="I923" i="1"/>
  <c r="F923" i="1"/>
  <c r="I922" i="1"/>
  <c r="F922" i="1"/>
  <c r="I921" i="1"/>
  <c r="F921" i="1"/>
  <c r="I920" i="1"/>
  <c r="F920" i="1"/>
  <c r="I919" i="1"/>
  <c r="F919" i="1"/>
  <c r="I918" i="1"/>
  <c r="F918" i="1"/>
  <c r="I917" i="1"/>
  <c r="F917" i="1"/>
  <c r="I916" i="1"/>
  <c r="F916" i="1"/>
  <c r="I915" i="1"/>
  <c r="F915" i="1"/>
  <c r="I914" i="1"/>
  <c r="F914" i="1"/>
  <c r="I913" i="1"/>
  <c r="F913" i="1"/>
  <c r="I912" i="1"/>
  <c r="F912" i="1"/>
  <c r="I911" i="1"/>
  <c r="F911" i="1"/>
  <c r="I910" i="1"/>
  <c r="F910" i="1"/>
  <c r="I909" i="1"/>
  <c r="F909" i="1"/>
  <c r="I908" i="1"/>
  <c r="F908" i="1"/>
  <c r="I907" i="1"/>
  <c r="F907" i="1"/>
  <c r="I906" i="1"/>
  <c r="F906" i="1"/>
  <c r="I905" i="1"/>
  <c r="F905" i="1"/>
  <c r="I904" i="1"/>
  <c r="F904" i="1"/>
  <c r="I903" i="1"/>
  <c r="F903" i="1"/>
  <c r="I902" i="1"/>
  <c r="F902" i="1"/>
  <c r="I901" i="1"/>
  <c r="F901" i="1"/>
  <c r="I900" i="1"/>
  <c r="F900" i="1"/>
  <c r="I899" i="1"/>
  <c r="F899" i="1"/>
  <c r="I898" i="1"/>
  <c r="F898" i="1"/>
  <c r="I897" i="1"/>
  <c r="F897" i="1"/>
  <c r="I896" i="1"/>
  <c r="F896" i="1"/>
  <c r="I895" i="1"/>
  <c r="F895" i="1"/>
  <c r="I894" i="1"/>
  <c r="F894" i="1"/>
  <c r="I893" i="1"/>
  <c r="F893" i="1"/>
  <c r="I892" i="1"/>
  <c r="F892" i="1"/>
  <c r="I891" i="1"/>
  <c r="F891" i="1"/>
  <c r="I890" i="1"/>
  <c r="F890" i="1"/>
  <c r="I889" i="1"/>
  <c r="F889" i="1"/>
  <c r="I888" i="1"/>
  <c r="F888" i="1"/>
  <c r="I887" i="1"/>
  <c r="F887" i="1"/>
  <c r="I886" i="1"/>
  <c r="F886" i="1"/>
  <c r="I885" i="1"/>
  <c r="F885" i="1"/>
  <c r="I884" i="1"/>
  <c r="F884" i="1"/>
  <c r="I883" i="1"/>
  <c r="F883" i="1"/>
  <c r="I882" i="1"/>
  <c r="F882" i="1"/>
  <c r="I881" i="1"/>
  <c r="F881" i="1"/>
  <c r="I880" i="1"/>
  <c r="F880" i="1"/>
  <c r="I879" i="1"/>
  <c r="F879" i="1"/>
  <c r="I878" i="1"/>
  <c r="F878" i="1"/>
  <c r="I877" i="1"/>
  <c r="F877" i="1"/>
  <c r="I876" i="1"/>
  <c r="F876" i="1"/>
  <c r="I875" i="1"/>
  <c r="F875" i="1"/>
  <c r="I874" i="1"/>
  <c r="F874" i="1"/>
  <c r="I873" i="1"/>
  <c r="F873" i="1"/>
  <c r="I872" i="1"/>
  <c r="F872" i="1"/>
  <c r="I871" i="1"/>
  <c r="F871" i="1"/>
  <c r="I870" i="1"/>
  <c r="F870" i="1"/>
  <c r="I869" i="1"/>
  <c r="F869" i="1"/>
  <c r="I868" i="1"/>
  <c r="F868" i="1"/>
  <c r="I867" i="1"/>
  <c r="F867" i="1"/>
  <c r="I866" i="1"/>
  <c r="F866" i="1"/>
  <c r="I865" i="1"/>
  <c r="F865" i="1"/>
  <c r="I864" i="1"/>
  <c r="F864" i="1"/>
  <c r="I863" i="1"/>
  <c r="F863" i="1"/>
  <c r="I862" i="1"/>
  <c r="F862" i="1"/>
  <c r="I861" i="1"/>
  <c r="F861" i="1"/>
  <c r="I860" i="1"/>
  <c r="F860" i="1"/>
  <c r="I859" i="1"/>
  <c r="F859" i="1"/>
  <c r="I858" i="1"/>
  <c r="F858" i="1"/>
  <c r="I857" i="1"/>
  <c r="F857" i="1"/>
  <c r="I856" i="1"/>
  <c r="F856" i="1"/>
  <c r="I855" i="1"/>
  <c r="F855" i="1"/>
  <c r="I854" i="1"/>
  <c r="F854" i="1"/>
  <c r="I853" i="1"/>
  <c r="F853" i="1"/>
  <c r="I852" i="1"/>
  <c r="F852" i="1"/>
  <c r="I851" i="1"/>
  <c r="F851" i="1"/>
  <c r="I850" i="1"/>
  <c r="F850" i="1"/>
  <c r="I849" i="1"/>
  <c r="F849" i="1"/>
  <c r="I848" i="1"/>
  <c r="F848" i="1"/>
  <c r="I847" i="1"/>
  <c r="F847" i="1"/>
  <c r="I846" i="1"/>
  <c r="F846" i="1"/>
  <c r="I845" i="1"/>
  <c r="F845" i="1"/>
  <c r="I844" i="1"/>
  <c r="F844" i="1"/>
  <c r="I843" i="1"/>
  <c r="F843" i="1"/>
  <c r="I842" i="1"/>
  <c r="F842" i="1"/>
  <c r="I841" i="1"/>
  <c r="F841" i="1"/>
  <c r="I840" i="1"/>
  <c r="F840" i="1"/>
  <c r="I839" i="1"/>
  <c r="F839" i="1"/>
  <c r="I838" i="1"/>
  <c r="F838" i="1"/>
  <c r="I837" i="1"/>
  <c r="F837" i="1"/>
  <c r="I836" i="1"/>
  <c r="F836" i="1"/>
  <c r="I835" i="1"/>
  <c r="F835" i="1"/>
  <c r="I834" i="1"/>
  <c r="F834" i="1"/>
  <c r="I833" i="1"/>
  <c r="F833" i="1"/>
  <c r="I832" i="1"/>
  <c r="F832" i="1"/>
  <c r="I831" i="1"/>
  <c r="F831" i="1"/>
  <c r="I830" i="1"/>
  <c r="F830" i="1"/>
  <c r="I829" i="1"/>
  <c r="F829" i="1"/>
  <c r="I828" i="1"/>
  <c r="F828" i="1"/>
  <c r="I827" i="1"/>
  <c r="F827" i="1"/>
  <c r="I826" i="1"/>
  <c r="F826" i="1"/>
  <c r="I825" i="1"/>
  <c r="F825" i="1"/>
  <c r="I824" i="1"/>
  <c r="F824" i="1"/>
  <c r="I823" i="1"/>
  <c r="F823" i="1"/>
  <c r="I822" i="1"/>
  <c r="F822" i="1"/>
  <c r="I821" i="1"/>
  <c r="F821" i="1"/>
  <c r="I820" i="1"/>
  <c r="F820" i="1"/>
  <c r="I819" i="1"/>
  <c r="F819" i="1"/>
  <c r="I818" i="1"/>
  <c r="F818" i="1"/>
  <c r="I817" i="1"/>
  <c r="F817" i="1"/>
  <c r="I816" i="1"/>
  <c r="F816" i="1"/>
  <c r="I815" i="1"/>
  <c r="F815" i="1"/>
  <c r="I814" i="1"/>
  <c r="F814" i="1"/>
  <c r="I813" i="1"/>
  <c r="F813" i="1"/>
  <c r="I812" i="1"/>
  <c r="F812" i="1"/>
  <c r="I811" i="1"/>
  <c r="F811" i="1"/>
  <c r="I810" i="1"/>
  <c r="F810" i="1"/>
  <c r="I809" i="1"/>
  <c r="F809" i="1"/>
  <c r="I808" i="1"/>
  <c r="F808" i="1"/>
  <c r="I807" i="1"/>
  <c r="F807" i="1"/>
  <c r="I806" i="1"/>
  <c r="F806" i="1"/>
  <c r="I805" i="1"/>
  <c r="F805" i="1"/>
  <c r="I804" i="1"/>
  <c r="F804" i="1"/>
  <c r="I803" i="1"/>
  <c r="F803" i="1"/>
  <c r="I802" i="1"/>
  <c r="F802" i="1"/>
  <c r="I801" i="1"/>
  <c r="F801" i="1"/>
  <c r="I800" i="1"/>
  <c r="F800" i="1"/>
  <c r="I799" i="1"/>
  <c r="F799" i="1"/>
  <c r="I798" i="1"/>
  <c r="F798" i="1"/>
  <c r="I797" i="1"/>
  <c r="F797" i="1"/>
  <c r="I796" i="1"/>
  <c r="F796" i="1"/>
  <c r="I795" i="1"/>
  <c r="F795" i="1"/>
  <c r="I794" i="1"/>
  <c r="F794" i="1"/>
  <c r="I793" i="1"/>
  <c r="F793" i="1"/>
  <c r="I792" i="1"/>
  <c r="F792" i="1"/>
  <c r="I791" i="1"/>
  <c r="F791" i="1"/>
  <c r="I790" i="1"/>
  <c r="F790" i="1"/>
  <c r="I789" i="1"/>
  <c r="F789" i="1"/>
  <c r="I788" i="1"/>
  <c r="F788" i="1"/>
  <c r="I787" i="1"/>
  <c r="F787" i="1"/>
  <c r="I786" i="1"/>
  <c r="F786" i="1"/>
  <c r="I785" i="1"/>
  <c r="F785" i="1"/>
  <c r="I784" i="1"/>
  <c r="F784" i="1"/>
  <c r="I783" i="1"/>
  <c r="F783" i="1"/>
  <c r="I782" i="1"/>
  <c r="F782" i="1"/>
  <c r="I781" i="1"/>
  <c r="F781" i="1"/>
  <c r="I780" i="1"/>
  <c r="F780" i="1"/>
  <c r="I779" i="1"/>
  <c r="F779" i="1"/>
  <c r="I778" i="1"/>
  <c r="F778" i="1"/>
  <c r="I777" i="1"/>
  <c r="F777" i="1"/>
  <c r="I776" i="1"/>
  <c r="F776" i="1"/>
  <c r="I775" i="1"/>
  <c r="F775" i="1"/>
  <c r="I774" i="1"/>
  <c r="F774" i="1"/>
  <c r="I773" i="1"/>
  <c r="F773" i="1"/>
  <c r="I772" i="1"/>
  <c r="F772" i="1"/>
  <c r="I771" i="1"/>
  <c r="F771" i="1"/>
  <c r="I770" i="1"/>
  <c r="F770" i="1"/>
  <c r="I769" i="1"/>
  <c r="F769" i="1"/>
  <c r="I768" i="1"/>
  <c r="F768" i="1"/>
  <c r="I767" i="1"/>
  <c r="F767" i="1"/>
  <c r="I766" i="1"/>
  <c r="F766" i="1"/>
  <c r="I765" i="1"/>
  <c r="F765" i="1"/>
  <c r="I764" i="1"/>
  <c r="F764" i="1"/>
  <c r="I763" i="1"/>
  <c r="F763" i="1"/>
  <c r="I762" i="1"/>
  <c r="F762" i="1"/>
  <c r="I761" i="1"/>
  <c r="F761" i="1"/>
  <c r="I760" i="1"/>
  <c r="F760" i="1"/>
  <c r="I759" i="1"/>
  <c r="F759" i="1"/>
  <c r="I758" i="1"/>
  <c r="F758" i="1"/>
  <c r="I757" i="1"/>
  <c r="F757" i="1"/>
  <c r="I756" i="1"/>
  <c r="F756" i="1"/>
  <c r="I755" i="1"/>
  <c r="F755" i="1"/>
  <c r="I754" i="1"/>
  <c r="F754" i="1"/>
  <c r="I753" i="1"/>
  <c r="F753" i="1"/>
  <c r="I752" i="1"/>
  <c r="F752" i="1"/>
  <c r="I751" i="1"/>
  <c r="F751" i="1"/>
  <c r="I750" i="1"/>
  <c r="F750" i="1"/>
  <c r="I749" i="1"/>
  <c r="F749" i="1"/>
  <c r="I748" i="1"/>
  <c r="F748" i="1"/>
  <c r="I747" i="1"/>
  <c r="F747" i="1"/>
  <c r="I746" i="1"/>
  <c r="F746" i="1"/>
  <c r="I745" i="1"/>
  <c r="F745" i="1"/>
  <c r="I744" i="1"/>
  <c r="F744" i="1"/>
  <c r="I743" i="1"/>
  <c r="F743" i="1"/>
  <c r="I742" i="1"/>
  <c r="F742" i="1"/>
  <c r="I741" i="1"/>
  <c r="F741" i="1"/>
  <c r="I740" i="1"/>
  <c r="F740" i="1"/>
  <c r="I739" i="1"/>
  <c r="F739" i="1"/>
  <c r="I738" i="1"/>
  <c r="F738" i="1"/>
  <c r="I737" i="1"/>
  <c r="F737" i="1"/>
  <c r="I736" i="1"/>
  <c r="F736" i="1"/>
  <c r="I735" i="1"/>
  <c r="F735" i="1"/>
  <c r="I734" i="1"/>
  <c r="F734" i="1"/>
  <c r="I733" i="1"/>
  <c r="F733" i="1"/>
  <c r="I732" i="1"/>
  <c r="F732" i="1"/>
  <c r="I731" i="1"/>
  <c r="F731" i="1"/>
  <c r="I730" i="1"/>
  <c r="F730" i="1"/>
  <c r="I729" i="1"/>
  <c r="F729" i="1"/>
  <c r="I728" i="1"/>
  <c r="F728" i="1"/>
  <c r="I727" i="1"/>
  <c r="F727" i="1"/>
  <c r="I726" i="1"/>
  <c r="F726" i="1"/>
  <c r="I725" i="1"/>
  <c r="F725" i="1"/>
  <c r="I724" i="1"/>
  <c r="F724" i="1"/>
  <c r="I723" i="1"/>
  <c r="F723" i="1"/>
  <c r="I722" i="1"/>
  <c r="F722" i="1"/>
  <c r="I721" i="1"/>
  <c r="F721" i="1"/>
  <c r="I720" i="1"/>
  <c r="F720" i="1"/>
  <c r="I719" i="1"/>
  <c r="F719" i="1"/>
  <c r="I718" i="1"/>
  <c r="F718" i="1"/>
  <c r="I717" i="1"/>
  <c r="F717" i="1"/>
  <c r="I716" i="1"/>
  <c r="F716" i="1"/>
  <c r="I715" i="1"/>
  <c r="F715" i="1"/>
  <c r="I714" i="1"/>
  <c r="F714" i="1"/>
  <c r="I713" i="1"/>
  <c r="F713" i="1"/>
  <c r="I712" i="1"/>
  <c r="F712" i="1"/>
  <c r="I711" i="1"/>
  <c r="F711" i="1"/>
  <c r="I710" i="1"/>
  <c r="F710" i="1"/>
  <c r="I709" i="1"/>
  <c r="F709" i="1"/>
  <c r="I708" i="1"/>
  <c r="F708" i="1"/>
  <c r="I707" i="1"/>
  <c r="F707" i="1"/>
  <c r="I706" i="1"/>
  <c r="F706" i="1"/>
  <c r="I705" i="1"/>
  <c r="F705" i="1"/>
  <c r="I704" i="1"/>
  <c r="F704" i="1"/>
  <c r="I703" i="1"/>
  <c r="F703" i="1"/>
  <c r="I702" i="1"/>
  <c r="F702" i="1"/>
  <c r="I701" i="1"/>
  <c r="F701" i="1"/>
  <c r="I700" i="1"/>
  <c r="F700" i="1"/>
  <c r="I699" i="1"/>
  <c r="F699" i="1"/>
  <c r="I698" i="1"/>
  <c r="F698" i="1"/>
  <c r="I697" i="1"/>
  <c r="F697" i="1"/>
  <c r="I696" i="1"/>
  <c r="F696" i="1"/>
  <c r="I695" i="1"/>
  <c r="F695" i="1"/>
  <c r="I694" i="1"/>
  <c r="F694" i="1"/>
  <c r="I693" i="1"/>
  <c r="F693" i="1"/>
  <c r="I692" i="1"/>
  <c r="F692" i="1"/>
  <c r="I691" i="1"/>
  <c r="F691" i="1"/>
  <c r="I690" i="1"/>
  <c r="F690" i="1"/>
  <c r="I689" i="1"/>
  <c r="F689" i="1"/>
  <c r="I688" i="1"/>
  <c r="F688" i="1"/>
  <c r="I687" i="1"/>
  <c r="F687" i="1"/>
  <c r="I686" i="1"/>
  <c r="F686" i="1"/>
  <c r="I685" i="1"/>
  <c r="F685" i="1"/>
  <c r="I684" i="1"/>
  <c r="F684" i="1"/>
  <c r="I683" i="1"/>
  <c r="F683" i="1"/>
  <c r="I682" i="1"/>
  <c r="F682" i="1"/>
  <c r="I681" i="1"/>
  <c r="F681" i="1"/>
  <c r="I680" i="1"/>
  <c r="F680" i="1"/>
  <c r="I679" i="1"/>
  <c r="F679" i="1"/>
  <c r="I678" i="1"/>
  <c r="F678" i="1"/>
  <c r="I677" i="1"/>
  <c r="F677" i="1"/>
  <c r="I676" i="1"/>
  <c r="F676" i="1"/>
  <c r="I675" i="1"/>
  <c r="F675" i="1"/>
  <c r="I674" i="1"/>
  <c r="F674" i="1"/>
  <c r="I673" i="1"/>
  <c r="F673" i="1"/>
  <c r="I672" i="1"/>
  <c r="F672" i="1"/>
  <c r="I671" i="1"/>
  <c r="F671" i="1"/>
  <c r="I670" i="1"/>
  <c r="F670" i="1"/>
  <c r="I669" i="1"/>
  <c r="F669" i="1"/>
  <c r="I668" i="1"/>
  <c r="F668" i="1"/>
  <c r="I667" i="1"/>
  <c r="F667" i="1"/>
  <c r="I666" i="1"/>
  <c r="F666" i="1"/>
  <c r="I665" i="1"/>
  <c r="F665" i="1"/>
  <c r="I664" i="1"/>
  <c r="F664" i="1"/>
  <c r="I663" i="1"/>
  <c r="F663" i="1"/>
  <c r="I662" i="1"/>
  <c r="F662" i="1"/>
  <c r="I661" i="1"/>
  <c r="F661" i="1"/>
  <c r="I660" i="1"/>
  <c r="F660" i="1"/>
  <c r="I659" i="1"/>
  <c r="F659" i="1"/>
  <c r="I658" i="1"/>
  <c r="F658" i="1"/>
  <c r="I657" i="1"/>
  <c r="F657" i="1"/>
  <c r="I656" i="1"/>
  <c r="F656" i="1"/>
  <c r="I655" i="1"/>
  <c r="F655" i="1"/>
  <c r="I654" i="1"/>
  <c r="F654" i="1"/>
  <c r="I653" i="1"/>
  <c r="F653" i="1"/>
  <c r="I652" i="1"/>
  <c r="F652" i="1"/>
  <c r="I651" i="1"/>
  <c r="F651" i="1"/>
  <c r="I650" i="1"/>
  <c r="F650" i="1"/>
  <c r="I649" i="1"/>
  <c r="F649" i="1"/>
  <c r="I648" i="1"/>
  <c r="F648" i="1"/>
  <c r="I647" i="1"/>
  <c r="F647" i="1"/>
  <c r="I646" i="1"/>
  <c r="F646" i="1"/>
  <c r="I645" i="1"/>
  <c r="F645" i="1"/>
  <c r="I644" i="1"/>
  <c r="F644" i="1"/>
  <c r="I643" i="1"/>
  <c r="F643" i="1"/>
  <c r="I642" i="1"/>
  <c r="F642" i="1"/>
  <c r="I641" i="1"/>
  <c r="F641" i="1"/>
  <c r="I640" i="1"/>
  <c r="F640" i="1"/>
  <c r="I639" i="1"/>
  <c r="F639" i="1"/>
  <c r="I638" i="1"/>
  <c r="F638" i="1"/>
  <c r="I637" i="1"/>
  <c r="F637" i="1"/>
  <c r="I636" i="1"/>
  <c r="F636" i="1"/>
  <c r="I635" i="1"/>
  <c r="F635" i="1"/>
  <c r="I634" i="1"/>
  <c r="F634" i="1"/>
  <c r="I633" i="1"/>
  <c r="F633" i="1"/>
  <c r="I632" i="1"/>
  <c r="F632" i="1"/>
  <c r="I631" i="1"/>
  <c r="F631" i="1"/>
  <c r="I630" i="1"/>
  <c r="F630" i="1"/>
  <c r="I629" i="1"/>
  <c r="F629" i="1"/>
  <c r="I628" i="1"/>
  <c r="F628" i="1"/>
  <c r="I627" i="1"/>
  <c r="F627" i="1"/>
  <c r="I626" i="1"/>
  <c r="F626" i="1"/>
  <c r="I625" i="1"/>
  <c r="F625" i="1"/>
  <c r="I624" i="1"/>
  <c r="F624" i="1"/>
  <c r="I623" i="1"/>
  <c r="F623" i="1"/>
  <c r="I622" i="1"/>
  <c r="F622" i="1"/>
  <c r="I621" i="1"/>
  <c r="F621" i="1"/>
  <c r="I620" i="1"/>
  <c r="F620" i="1"/>
  <c r="I619" i="1"/>
  <c r="F619" i="1"/>
  <c r="I618" i="1"/>
  <c r="F618" i="1"/>
  <c r="I617" i="1"/>
  <c r="F617" i="1"/>
  <c r="I616" i="1"/>
  <c r="F616" i="1"/>
  <c r="I615" i="1"/>
  <c r="F615" i="1"/>
  <c r="I614" i="1"/>
  <c r="F614" i="1"/>
  <c r="I613" i="1"/>
  <c r="F613" i="1"/>
  <c r="I612" i="1"/>
  <c r="F612" i="1"/>
  <c r="I611" i="1"/>
  <c r="F611" i="1"/>
  <c r="I610" i="1"/>
  <c r="F610" i="1"/>
  <c r="I609" i="1"/>
  <c r="F609" i="1"/>
  <c r="I608" i="1"/>
  <c r="F608" i="1"/>
  <c r="I607" i="1"/>
  <c r="F607" i="1"/>
  <c r="I606" i="1"/>
  <c r="F606" i="1"/>
  <c r="I605" i="1"/>
  <c r="F605" i="1"/>
  <c r="I604" i="1"/>
  <c r="F604" i="1"/>
  <c r="I603" i="1"/>
  <c r="F603" i="1"/>
  <c r="I602" i="1"/>
  <c r="F602" i="1"/>
  <c r="I601" i="1"/>
  <c r="F601" i="1"/>
  <c r="I600" i="1"/>
  <c r="F600" i="1"/>
  <c r="I599" i="1"/>
  <c r="F599" i="1"/>
  <c r="I598" i="1"/>
  <c r="F598" i="1"/>
  <c r="I597" i="1"/>
  <c r="F597" i="1"/>
  <c r="I596" i="1"/>
  <c r="F596" i="1"/>
  <c r="I595" i="1"/>
  <c r="F595" i="1"/>
  <c r="I594" i="1"/>
  <c r="F594" i="1"/>
  <c r="I593" i="1"/>
  <c r="F593" i="1"/>
  <c r="I592" i="1"/>
  <c r="F592" i="1"/>
  <c r="I591" i="1"/>
  <c r="F591" i="1"/>
  <c r="I590" i="1"/>
  <c r="F590" i="1"/>
  <c r="I589" i="1"/>
  <c r="F589" i="1"/>
  <c r="I588" i="1"/>
  <c r="F588" i="1"/>
  <c r="I587" i="1"/>
  <c r="F587" i="1"/>
  <c r="I586" i="1"/>
  <c r="F586" i="1"/>
  <c r="I585" i="1"/>
  <c r="F585" i="1"/>
  <c r="I584" i="1"/>
  <c r="F584" i="1"/>
  <c r="I583" i="1"/>
  <c r="F583" i="1"/>
  <c r="I582" i="1"/>
  <c r="F582" i="1"/>
  <c r="I581" i="1"/>
  <c r="F581" i="1"/>
  <c r="I580" i="1"/>
  <c r="F580" i="1"/>
  <c r="I579" i="1"/>
  <c r="F579" i="1"/>
  <c r="I578" i="1"/>
  <c r="F578" i="1"/>
  <c r="I577" i="1"/>
  <c r="F577" i="1"/>
  <c r="I576" i="1"/>
  <c r="F576" i="1"/>
  <c r="I575" i="1"/>
  <c r="F575" i="1"/>
  <c r="I574" i="1"/>
  <c r="F574" i="1"/>
  <c r="I573" i="1"/>
  <c r="F573" i="1"/>
  <c r="I572" i="1"/>
  <c r="F572" i="1"/>
  <c r="I571" i="1"/>
  <c r="F571" i="1"/>
  <c r="I570" i="1"/>
  <c r="F570" i="1"/>
  <c r="I569" i="1"/>
  <c r="F569" i="1"/>
  <c r="I568" i="1"/>
  <c r="F568" i="1"/>
  <c r="I567" i="1"/>
  <c r="F567" i="1"/>
  <c r="I566" i="1"/>
  <c r="F566" i="1"/>
  <c r="I565" i="1"/>
  <c r="F565" i="1"/>
  <c r="I564" i="1"/>
  <c r="F564" i="1"/>
  <c r="I563" i="1"/>
  <c r="F563" i="1"/>
  <c r="I562" i="1"/>
  <c r="F562" i="1"/>
  <c r="I561" i="1"/>
  <c r="F561" i="1"/>
  <c r="I560" i="1"/>
  <c r="F560" i="1"/>
  <c r="I559" i="1"/>
  <c r="F559" i="1"/>
  <c r="I558" i="1"/>
  <c r="F558" i="1"/>
  <c r="I557" i="1"/>
  <c r="F557" i="1"/>
  <c r="I556" i="1"/>
  <c r="F556" i="1"/>
  <c r="I555" i="1"/>
  <c r="F555" i="1"/>
  <c r="I554" i="1"/>
  <c r="F554" i="1"/>
  <c r="I553" i="1"/>
  <c r="F553" i="1"/>
  <c r="I552" i="1"/>
  <c r="F552" i="1"/>
  <c r="I551" i="1"/>
  <c r="F551" i="1"/>
  <c r="I550" i="1"/>
  <c r="F550" i="1"/>
  <c r="I549" i="1"/>
  <c r="F549" i="1"/>
  <c r="I548" i="1"/>
  <c r="F548" i="1"/>
  <c r="I547" i="1"/>
  <c r="F547" i="1"/>
  <c r="I546" i="1"/>
  <c r="F546" i="1"/>
  <c r="I545" i="1"/>
  <c r="F545" i="1"/>
  <c r="I544" i="1"/>
  <c r="F544" i="1"/>
  <c r="I543" i="1"/>
  <c r="F543" i="1"/>
  <c r="I542" i="1"/>
  <c r="F542" i="1"/>
  <c r="I541" i="1"/>
  <c r="F541" i="1"/>
  <c r="I540" i="1"/>
  <c r="F540" i="1"/>
  <c r="I539" i="1"/>
  <c r="F539" i="1"/>
  <c r="I538" i="1"/>
  <c r="F538" i="1"/>
  <c r="I537" i="1"/>
  <c r="F537" i="1"/>
  <c r="I536" i="1"/>
  <c r="F536" i="1"/>
  <c r="I535" i="1"/>
  <c r="F535" i="1"/>
  <c r="I534" i="1"/>
  <c r="F534" i="1"/>
  <c r="I533" i="1"/>
  <c r="F533" i="1"/>
  <c r="I532" i="1"/>
  <c r="F532" i="1"/>
  <c r="I531" i="1"/>
  <c r="F531" i="1"/>
  <c r="I530" i="1"/>
  <c r="F530" i="1"/>
  <c r="I529" i="1"/>
  <c r="F529" i="1"/>
  <c r="I528" i="1"/>
  <c r="F528" i="1"/>
  <c r="I527" i="1"/>
  <c r="F527" i="1"/>
  <c r="I526" i="1"/>
  <c r="F526" i="1"/>
  <c r="I525" i="1"/>
  <c r="F525" i="1"/>
  <c r="I524" i="1"/>
  <c r="F524" i="1"/>
  <c r="I523" i="1"/>
  <c r="F523" i="1"/>
  <c r="I522" i="1"/>
  <c r="F522" i="1"/>
  <c r="I521" i="1"/>
  <c r="F521" i="1"/>
  <c r="I520" i="1"/>
  <c r="F520" i="1"/>
  <c r="I519" i="1"/>
  <c r="F519" i="1"/>
  <c r="I518" i="1"/>
  <c r="F518" i="1"/>
  <c r="I517" i="1"/>
  <c r="F517" i="1"/>
  <c r="I516" i="1"/>
  <c r="F516" i="1"/>
  <c r="I515" i="1"/>
  <c r="F515" i="1"/>
  <c r="I514" i="1"/>
  <c r="F514" i="1"/>
  <c r="I513" i="1"/>
  <c r="F513" i="1"/>
  <c r="I512" i="1"/>
  <c r="F512" i="1"/>
  <c r="I511" i="1"/>
  <c r="F511" i="1"/>
  <c r="I510" i="1"/>
  <c r="F510" i="1"/>
  <c r="I509" i="1"/>
  <c r="F509" i="1"/>
  <c r="I508" i="1"/>
  <c r="F508" i="1"/>
  <c r="I507" i="1"/>
  <c r="F507" i="1"/>
  <c r="I506" i="1"/>
  <c r="F506" i="1"/>
  <c r="I505" i="1"/>
  <c r="F505" i="1"/>
  <c r="I504" i="1"/>
  <c r="F504" i="1"/>
  <c r="I503" i="1"/>
  <c r="F503" i="1"/>
  <c r="I502" i="1"/>
  <c r="F502" i="1"/>
  <c r="I501" i="1"/>
  <c r="F501" i="1"/>
  <c r="I500" i="1"/>
  <c r="F500" i="1"/>
  <c r="I499" i="1"/>
  <c r="F499" i="1"/>
  <c r="I498" i="1"/>
  <c r="F498" i="1"/>
  <c r="I497" i="1"/>
  <c r="F497" i="1"/>
  <c r="I496" i="1"/>
  <c r="F496" i="1"/>
  <c r="I495" i="1"/>
  <c r="F495" i="1"/>
  <c r="I494" i="1"/>
  <c r="F494" i="1"/>
  <c r="I493" i="1"/>
  <c r="F493" i="1"/>
  <c r="I492" i="1"/>
  <c r="F492" i="1"/>
  <c r="I491" i="1"/>
  <c r="F491" i="1"/>
  <c r="I490" i="1"/>
  <c r="F490" i="1"/>
  <c r="I489" i="1"/>
  <c r="F489" i="1"/>
  <c r="I488" i="1"/>
  <c r="F488" i="1"/>
  <c r="I487" i="1"/>
  <c r="F487" i="1"/>
  <c r="I486" i="1"/>
  <c r="F486" i="1"/>
  <c r="I485" i="1"/>
  <c r="F485" i="1"/>
  <c r="I484" i="1"/>
  <c r="F484" i="1"/>
  <c r="I483" i="1"/>
  <c r="F483" i="1"/>
  <c r="I482" i="1"/>
  <c r="F482" i="1"/>
  <c r="I481" i="1"/>
  <c r="F481" i="1"/>
  <c r="I480" i="1"/>
  <c r="F480" i="1"/>
  <c r="I479" i="1"/>
  <c r="F479" i="1"/>
  <c r="I478" i="1"/>
  <c r="F478" i="1"/>
  <c r="I477" i="1"/>
  <c r="F477" i="1"/>
  <c r="I476" i="1"/>
  <c r="F476" i="1"/>
  <c r="I475" i="1"/>
  <c r="F475" i="1"/>
  <c r="I474" i="1"/>
  <c r="F474" i="1"/>
  <c r="I473" i="1"/>
  <c r="F473" i="1"/>
  <c r="I472" i="1"/>
  <c r="F472" i="1"/>
  <c r="I471" i="1"/>
  <c r="F471" i="1"/>
  <c r="I470" i="1"/>
  <c r="F470" i="1"/>
  <c r="I469" i="1"/>
  <c r="F469" i="1"/>
  <c r="I468" i="1"/>
  <c r="F468" i="1"/>
  <c r="I467" i="1"/>
  <c r="F467" i="1"/>
  <c r="I466" i="1"/>
  <c r="F466" i="1"/>
  <c r="I465" i="1"/>
  <c r="F465" i="1"/>
  <c r="I464" i="1"/>
  <c r="F464" i="1"/>
  <c r="I463" i="1"/>
  <c r="F463" i="1"/>
  <c r="I462" i="1"/>
  <c r="F462" i="1"/>
  <c r="I461" i="1"/>
  <c r="F461" i="1"/>
  <c r="I460" i="1"/>
  <c r="F460" i="1"/>
  <c r="I459" i="1"/>
  <c r="F459" i="1"/>
  <c r="I458" i="1"/>
  <c r="F458" i="1"/>
  <c r="I457" i="1"/>
  <c r="F457" i="1"/>
  <c r="I456" i="1"/>
  <c r="F456" i="1"/>
  <c r="I455" i="1"/>
  <c r="F455" i="1"/>
  <c r="I454" i="1"/>
  <c r="F454" i="1"/>
  <c r="I453" i="1"/>
  <c r="F453" i="1"/>
  <c r="I452" i="1"/>
  <c r="F452" i="1"/>
  <c r="I451" i="1"/>
  <c r="F451" i="1"/>
  <c r="I450" i="1"/>
  <c r="F450" i="1"/>
  <c r="I449" i="1"/>
  <c r="F449" i="1"/>
  <c r="I448" i="1"/>
  <c r="F448" i="1"/>
  <c r="I447" i="1"/>
  <c r="F447" i="1"/>
  <c r="I446" i="1"/>
  <c r="F446" i="1"/>
  <c r="I445" i="1"/>
  <c r="F445" i="1"/>
  <c r="I444" i="1"/>
  <c r="F444" i="1"/>
  <c r="I443" i="1"/>
  <c r="F443" i="1"/>
  <c r="I442" i="1"/>
  <c r="F442" i="1"/>
  <c r="I441" i="1"/>
  <c r="F441" i="1"/>
  <c r="I440" i="1"/>
  <c r="F440" i="1"/>
  <c r="I439" i="1"/>
  <c r="F439" i="1"/>
  <c r="I438" i="1"/>
  <c r="F438" i="1"/>
  <c r="I437" i="1"/>
  <c r="F437" i="1"/>
  <c r="I436" i="1"/>
  <c r="F436" i="1"/>
  <c r="I435" i="1"/>
  <c r="F435" i="1"/>
  <c r="I434" i="1"/>
  <c r="F434" i="1"/>
  <c r="I433" i="1"/>
  <c r="F433" i="1"/>
  <c r="I432" i="1"/>
  <c r="F432" i="1"/>
  <c r="I431" i="1"/>
  <c r="F431" i="1"/>
  <c r="I430" i="1"/>
  <c r="F430" i="1"/>
  <c r="I429" i="1"/>
  <c r="F429" i="1"/>
  <c r="I428" i="1"/>
  <c r="F428" i="1"/>
  <c r="I427" i="1"/>
  <c r="F427" i="1"/>
  <c r="I426" i="1"/>
  <c r="F426" i="1"/>
  <c r="I425" i="1"/>
  <c r="F425" i="1"/>
  <c r="I424" i="1"/>
  <c r="F424" i="1"/>
  <c r="I423" i="1"/>
  <c r="F423" i="1"/>
  <c r="I422" i="1"/>
  <c r="F422" i="1"/>
  <c r="I421" i="1"/>
  <c r="F421" i="1"/>
  <c r="I420" i="1"/>
  <c r="F420" i="1"/>
  <c r="I419" i="1"/>
  <c r="F419" i="1"/>
  <c r="I418" i="1"/>
  <c r="F418" i="1"/>
  <c r="I417" i="1"/>
  <c r="F417" i="1"/>
  <c r="I416" i="1"/>
  <c r="F416" i="1"/>
  <c r="I415" i="1"/>
  <c r="F415" i="1"/>
  <c r="I414" i="1"/>
  <c r="F414" i="1"/>
  <c r="I413" i="1"/>
  <c r="F413" i="1"/>
  <c r="I412" i="1"/>
  <c r="F412" i="1"/>
  <c r="I411" i="1"/>
  <c r="F411" i="1"/>
  <c r="I410" i="1"/>
  <c r="F410" i="1"/>
  <c r="I409" i="1"/>
  <c r="F409" i="1"/>
  <c r="I408" i="1"/>
  <c r="F408" i="1"/>
  <c r="I407" i="1"/>
  <c r="F407" i="1"/>
  <c r="I406" i="1"/>
  <c r="F406" i="1"/>
  <c r="I405" i="1"/>
  <c r="F405" i="1"/>
  <c r="I404" i="1"/>
  <c r="F404" i="1"/>
  <c r="I403" i="1"/>
  <c r="F403" i="1"/>
  <c r="I402" i="1"/>
  <c r="F402" i="1"/>
  <c r="I401" i="1"/>
  <c r="F401" i="1"/>
  <c r="I400" i="1"/>
  <c r="F400" i="1"/>
  <c r="I399" i="1"/>
  <c r="F399" i="1"/>
  <c r="I398" i="1"/>
  <c r="F398" i="1"/>
  <c r="I397" i="1"/>
  <c r="F397" i="1"/>
  <c r="I396" i="1"/>
  <c r="F396" i="1"/>
  <c r="I395" i="1"/>
  <c r="F395" i="1"/>
  <c r="I394" i="1"/>
  <c r="F394" i="1"/>
  <c r="I393" i="1"/>
  <c r="F393" i="1"/>
  <c r="I392" i="1"/>
  <c r="F392" i="1"/>
  <c r="I391" i="1"/>
  <c r="F391" i="1"/>
  <c r="I390" i="1"/>
  <c r="F390" i="1"/>
  <c r="I389" i="1"/>
  <c r="F389" i="1"/>
  <c r="I388" i="1"/>
  <c r="F388" i="1"/>
  <c r="I387" i="1"/>
  <c r="F387" i="1"/>
  <c r="I386" i="1"/>
  <c r="F386" i="1"/>
  <c r="I385" i="1"/>
  <c r="F385" i="1"/>
  <c r="I384" i="1"/>
  <c r="F384" i="1"/>
  <c r="I383" i="1"/>
  <c r="F383" i="1"/>
  <c r="I382" i="1"/>
  <c r="F382" i="1"/>
  <c r="I381" i="1"/>
  <c r="F381" i="1"/>
  <c r="I380" i="1"/>
  <c r="F380" i="1"/>
  <c r="I379" i="1"/>
  <c r="F379" i="1"/>
  <c r="I378" i="1"/>
  <c r="F378" i="1"/>
  <c r="I377" i="1"/>
  <c r="F377" i="1"/>
  <c r="I376" i="1"/>
  <c r="F376" i="1"/>
  <c r="I375" i="1"/>
  <c r="F375" i="1"/>
  <c r="I374" i="1"/>
  <c r="F374" i="1"/>
  <c r="I373" i="1"/>
  <c r="F373" i="1"/>
  <c r="I372" i="1"/>
  <c r="F372" i="1"/>
  <c r="I371" i="1"/>
  <c r="F371" i="1"/>
  <c r="I370" i="1"/>
  <c r="F370" i="1"/>
  <c r="I369" i="1"/>
  <c r="F369" i="1"/>
  <c r="I368" i="1"/>
  <c r="F368" i="1"/>
  <c r="I367" i="1"/>
  <c r="F367" i="1"/>
  <c r="I366" i="1"/>
  <c r="F366" i="1"/>
  <c r="I365" i="1"/>
  <c r="F365" i="1"/>
  <c r="I364" i="1"/>
  <c r="F364" i="1"/>
  <c r="I363" i="1"/>
  <c r="F363" i="1"/>
  <c r="I362" i="1"/>
  <c r="F362" i="1"/>
  <c r="I361" i="1"/>
  <c r="F361" i="1"/>
  <c r="I360" i="1"/>
  <c r="F360" i="1"/>
  <c r="I359" i="1"/>
  <c r="F359" i="1"/>
  <c r="I358" i="1"/>
  <c r="F358" i="1"/>
  <c r="I357" i="1"/>
  <c r="F357" i="1"/>
  <c r="I356" i="1"/>
  <c r="F356" i="1"/>
  <c r="I355" i="1"/>
  <c r="F355" i="1"/>
  <c r="I354" i="1"/>
  <c r="F354" i="1"/>
  <c r="I353" i="1"/>
  <c r="F353" i="1"/>
  <c r="I352" i="1"/>
  <c r="F352" i="1"/>
  <c r="I351" i="1"/>
  <c r="F351" i="1"/>
  <c r="I350" i="1"/>
  <c r="F350" i="1"/>
  <c r="I349" i="1"/>
  <c r="F349" i="1"/>
  <c r="I348" i="1"/>
  <c r="F348" i="1"/>
  <c r="I347" i="1"/>
  <c r="F347" i="1"/>
  <c r="I346" i="1"/>
  <c r="F346" i="1"/>
  <c r="I345" i="1"/>
  <c r="F345" i="1"/>
  <c r="I344" i="1"/>
  <c r="F344" i="1"/>
  <c r="I343" i="1"/>
  <c r="F343" i="1"/>
  <c r="I342" i="1"/>
  <c r="F342" i="1"/>
  <c r="I341" i="1"/>
  <c r="F341" i="1"/>
  <c r="I340" i="1"/>
  <c r="F340" i="1"/>
  <c r="I339" i="1"/>
  <c r="F339" i="1"/>
  <c r="I338" i="1"/>
  <c r="F338" i="1"/>
  <c r="I337" i="1"/>
  <c r="F337" i="1"/>
  <c r="I336" i="1"/>
  <c r="F336" i="1"/>
  <c r="I335" i="1"/>
  <c r="F335" i="1"/>
  <c r="I334" i="1"/>
  <c r="F334" i="1"/>
  <c r="I333" i="1"/>
  <c r="F333" i="1"/>
  <c r="I332" i="1"/>
  <c r="F332" i="1"/>
  <c r="I331" i="1"/>
  <c r="F331" i="1"/>
  <c r="I330" i="1"/>
  <c r="F330" i="1"/>
  <c r="I329" i="1"/>
  <c r="F329" i="1"/>
  <c r="I328" i="1"/>
  <c r="F328" i="1"/>
  <c r="I327" i="1"/>
  <c r="F327" i="1"/>
  <c r="I326" i="1"/>
  <c r="F326" i="1"/>
  <c r="I325" i="1"/>
  <c r="F325" i="1"/>
  <c r="I324" i="1"/>
  <c r="F324" i="1"/>
  <c r="I323" i="1"/>
  <c r="F323" i="1"/>
  <c r="I322" i="1"/>
  <c r="F322" i="1"/>
  <c r="I321" i="1"/>
  <c r="F321" i="1"/>
  <c r="I320" i="1"/>
  <c r="F320" i="1"/>
  <c r="I319" i="1"/>
  <c r="F319" i="1"/>
  <c r="I318" i="1"/>
  <c r="F318" i="1"/>
  <c r="I317" i="1"/>
  <c r="F317" i="1"/>
  <c r="I316" i="1"/>
  <c r="F316" i="1"/>
  <c r="I315" i="1"/>
  <c r="F315" i="1"/>
  <c r="I314" i="1"/>
  <c r="F314" i="1"/>
  <c r="I313" i="1"/>
  <c r="F313" i="1"/>
  <c r="I312" i="1"/>
  <c r="F312" i="1"/>
  <c r="I311" i="1"/>
  <c r="F311" i="1"/>
  <c r="I310" i="1"/>
  <c r="F310" i="1"/>
  <c r="I309" i="1"/>
  <c r="F309" i="1"/>
  <c r="I308" i="1"/>
  <c r="F308" i="1"/>
  <c r="I307" i="1"/>
  <c r="F307" i="1"/>
  <c r="I306" i="1"/>
  <c r="F306" i="1"/>
  <c r="I305" i="1"/>
  <c r="F305" i="1"/>
  <c r="I304" i="1"/>
  <c r="F304" i="1"/>
  <c r="I303" i="1"/>
  <c r="F303" i="1"/>
  <c r="I302" i="1"/>
  <c r="F302" i="1"/>
  <c r="I301" i="1"/>
  <c r="F301" i="1"/>
  <c r="I300" i="1"/>
  <c r="F300" i="1"/>
  <c r="I299" i="1"/>
  <c r="F299" i="1"/>
  <c r="I298" i="1"/>
  <c r="F298" i="1"/>
  <c r="I297" i="1"/>
  <c r="F297" i="1"/>
  <c r="I296" i="1"/>
  <c r="F296" i="1"/>
  <c r="I295" i="1"/>
  <c r="F295" i="1"/>
  <c r="I294" i="1"/>
  <c r="F294" i="1"/>
  <c r="I293" i="1"/>
  <c r="F293" i="1"/>
  <c r="I292" i="1"/>
  <c r="F292" i="1"/>
  <c r="I291" i="1"/>
  <c r="F291" i="1"/>
  <c r="I290" i="1"/>
  <c r="F290" i="1"/>
  <c r="I289" i="1"/>
  <c r="F289" i="1"/>
  <c r="I288" i="1"/>
  <c r="F288" i="1"/>
  <c r="I287" i="1"/>
  <c r="F287" i="1"/>
  <c r="I286" i="1"/>
  <c r="F286" i="1"/>
  <c r="I285" i="1"/>
  <c r="F285" i="1"/>
  <c r="I284" i="1"/>
  <c r="F284" i="1"/>
  <c r="I283" i="1"/>
  <c r="F283" i="1"/>
  <c r="I282" i="1"/>
  <c r="F282" i="1"/>
  <c r="I281" i="1"/>
  <c r="F281" i="1"/>
  <c r="I280" i="1"/>
  <c r="F280" i="1"/>
  <c r="I279" i="1"/>
  <c r="F279" i="1"/>
  <c r="I278" i="1"/>
  <c r="F278" i="1"/>
  <c r="I277" i="1"/>
  <c r="F277" i="1"/>
  <c r="I276" i="1"/>
  <c r="F276" i="1"/>
  <c r="I275" i="1"/>
  <c r="F275" i="1"/>
  <c r="I274" i="1"/>
  <c r="F274" i="1"/>
  <c r="I273" i="1"/>
  <c r="F273" i="1"/>
  <c r="I272" i="1"/>
  <c r="F272" i="1"/>
  <c r="I271" i="1"/>
  <c r="F271" i="1"/>
  <c r="I270" i="1"/>
  <c r="F270" i="1"/>
  <c r="I269" i="1"/>
  <c r="F269" i="1"/>
  <c r="I268" i="1"/>
  <c r="F268" i="1"/>
  <c r="I267" i="1"/>
  <c r="F267" i="1"/>
  <c r="I266" i="1"/>
  <c r="F266" i="1"/>
  <c r="I265" i="1"/>
  <c r="F265" i="1"/>
  <c r="I264" i="1"/>
  <c r="F264" i="1"/>
  <c r="I263" i="1"/>
  <c r="F263" i="1"/>
  <c r="I262" i="1"/>
  <c r="F262" i="1"/>
  <c r="I261" i="1"/>
  <c r="F261" i="1"/>
  <c r="I260" i="1"/>
  <c r="F260" i="1"/>
  <c r="I259" i="1"/>
  <c r="F259" i="1"/>
  <c r="I258" i="1"/>
  <c r="F258" i="1"/>
  <c r="I257" i="1"/>
  <c r="F257" i="1"/>
  <c r="I256" i="1"/>
  <c r="F256" i="1"/>
  <c r="I255" i="1"/>
  <c r="F255" i="1"/>
  <c r="I254" i="1"/>
  <c r="F254" i="1"/>
  <c r="I253" i="1"/>
  <c r="F253" i="1"/>
  <c r="I252" i="1"/>
  <c r="F252" i="1"/>
  <c r="I251" i="1"/>
  <c r="F251" i="1"/>
  <c r="I250" i="1"/>
  <c r="F250" i="1"/>
  <c r="I249" i="1"/>
  <c r="F249" i="1"/>
  <c r="I248" i="1"/>
  <c r="F248" i="1"/>
  <c r="I247" i="1"/>
  <c r="F247" i="1"/>
  <c r="I246" i="1"/>
  <c r="F246" i="1"/>
  <c r="I245" i="1"/>
  <c r="F245" i="1"/>
  <c r="I244" i="1"/>
  <c r="F244" i="1"/>
  <c r="I243" i="1"/>
  <c r="F243" i="1"/>
  <c r="I242" i="1"/>
  <c r="F242" i="1"/>
  <c r="I241" i="1"/>
  <c r="F241" i="1"/>
  <c r="I240" i="1"/>
  <c r="F240" i="1"/>
  <c r="I239" i="1"/>
  <c r="F239" i="1"/>
  <c r="I238" i="1"/>
  <c r="F238" i="1"/>
  <c r="I237" i="1"/>
  <c r="F237" i="1"/>
  <c r="I236" i="1"/>
  <c r="F236" i="1"/>
  <c r="I235" i="1"/>
  <c r="F235" i="1"/>
  <c r="I234" i="1"/>
  <c r="F234" i="1"/>
  <c r="I233" i="1"/>
  <c r="F233" i="1"/>
  <c r="I232" i="1"/>
  <c r="F232" i="1"/>
  <c r="I231" i="1"/>
  <c r="F231" i="1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8" i="1"/>
  <c r="F168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9" i="1"/>
  <c r="F149" i="1"/>
  <c r="I148" i="1"/>
  <c r="F148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I98" i="1"/>
  <c r="F98" i="1"/>
  <c r="I97" i="1"/>
  <c r="F97" i="1"/>
  <c r="I96" i="1"/>
  <c r="F96" i="1"/>
  <c r="I95" i="1"/>
  <c r="F95" i="1"/>
  <c r="I94" i="1"/>
  <c r="F94" i="1"/>
  <c r="I93" i="1"/>
  <c r="F93" i="1"/>
  <c r="I92" i="1"/>
  <c r="F92" i="1"/>
  <c r="I91" i="1"/>
  <c r="F91" i="1"/>
  <c r="I90" i="1"/>
  <c r="F90" i="1"/>
  <c r="I89" i="1"/>
  <c r="F89" i="1"/>
  <c r="I88" i="1"/>
  <c r="F88" i="1"/>
  <c r="I87" i="1"/>
  <c r="F87" i="1"/>
  <c r="I86" i="1"/>
  <c r="F86" i="1"/>
  <c r="I85" i="1"/>
  <c r="F85" i="1"/>
  <c r="I84" i="1"/>
  <c r="F84" i="1"/>
  <c r="I83" i="1"/>
  <c r="F83" i="1"/>
  <c r="I82" i="1"/>
  <c r="F82" i="1"/>
  <c r="I81" i="1"/>
  <c r="F81" i="1"/>
  <c r="I80" i="1"/>
  <c r="F80" i="1"/>
  <c r="I79" i="1"/>
  <c r="F79" i="1"/>
  <c r="I78" i="1"/>
  <c r="F78" i="1"/>
  <c r="I77" i="1"/>
  <c r="F77" i="1"/>
  <c r="I76" i="1"/>
  <c r="F76" i="1"/>
  <c r="I75" i="1"/>
  <c r="F75" i="1"/>
  <c r="I74" i="1"/>
  <c r="F74" i="1"/>
  <c r="I73" i="1"/>
  <c r="F73" i="1"/>
  <c r="I72" i="1"/>
  <c r="F72" i="1"/>
  <c r="I71" i="1"/>
  <c r="F71" i="1"/>
  <c r="I70" i="1"/>
  <c r="F70" i="1"/>
  <c r="I69" i="1"/>
  <c r="F69" i="1"/>
  <c r="I68" i="1"/>
  <c r="F68" i="1"/>
  <c r="I67" i="1"/>
  <c r="F67" i="1"/>
  <c r="I66" i="1"/>
  <c r="F66" i="1"/>
  <c r="I65" i="1"/>
  <c r="F65" i="1"/>
  <c r="I64" i="1"/>
  <c r="F64" i="1"/>
  <c r="I63" i="1"/>
  <c r="F63" i="1"/>
  <c r="I62" i="1"/>
  <c r="F62" i="1"/>
  <c r="I61" i="1"/>
  <c r="F61" i="1"/>
  <c r="I60" i="1"/>
  <c r="F60" i="1"/>
  <c r="I59" i="1"/>
  <c r="F59" i="1"/>
  <c r="I58" i="1"/>
  <c r="F58" i="1"/>
  <c r="I57" i="1"/>
  <c r="F57" i="1"/>
  <c r="I56" i="1"/>
  <c r="F56" i="1"/>
  <c r="I55" i="1"/>
  <c r="F55" i="1"/>
  <c r="I54" i="1"/>
  <c r="F54" i="1"/>
  <c r="I53" i="1"/>
  <c r="F53" i="1"/>
  <c r="I52" i="1"/>
  <c r="F52" i="1"/>
  <c r="I51" i="1"/>
  <c r="F51" i="1"/>
  <c r="I50" i="1"/>
  <c r="F50" i="1"/>
  <c r="I49" i="1"/>
  <c r="F49" i="1"/>
  <c r="I48" i="1"/>
  <c r="F48" i="1"/>
  <c r="I47" i="1"/>
  <c r="F47" i="1"/>
  <c r="I46" i="1"/>
  <c r="F46" i="1"/>
  <c r="I45" i="1"/>
  <c r="F45" i="1"/>
  <c r="I44" i="1"/>
  <c r="F44" i="1"/>
  <c r="I43" i="1"/>
  <c r="F43" i="1"/>
  <c r="I42" i="1"/>
  <c r="F42" i="1"/>
  <c r="I41" i="1"/>
  <c r="F41" i="1"/>
  <c r="I40" i="1"/>
  <c r="F40" i="1"/>
  <c r="I39" i="1"/>
  <c r="F39" i="1"/>
  <c r="I38" i="1"/>
  <c r="F38" i="1"/>
  <c r="I37" i="1"/>
  <c r="F37" i="1"/>
  <c r="I36" i="1"/>
  <c r="F36" i="1"/>
  <c r="I35" i="1"/>
  <c r="F35" i="1"/>
  <c r="I34" i="1"/>
  <c r="F34" i="1"/>
  <c r="I33" i="1"/>
  <c r="F33" i="1"/>
  <c r="I32" i="1"/>
  <c r="F32" i="1"/>
  <c r="I31" i="1"/>
  <c r="F31" i="1"/>
  <c r="I30" i="1"/>
  <c r="F30" i="1"/>
  <c r="I29" i="1"/>
  <c r="F29" i="1"/>
  <c r="I28" i="1"/>
  <c r="F28" i="1"/>
  <c r="I27" i="1"/>
  <c r="F27" i="1"/>
  <c r="I26" i="1"/>
  <c r="F26" i="1"/>
  <c r="I25" i="1"/>
  <c r="F25" i="1"/>
  <c r="I24" i="1"/>
  <c r="F24" i="1"/>
  <c r="I23" i="1"/>
  <c r="F23" i="1"/>
  <c r="I22" i="1"/>
  <c r="F22" i="1"/>
  <c r="I21" i="1"/>
  <c r="F21" i="1"/>
  <c r="I20" i="1"/>
  <c r="F20" i="1"/>
  <c r="I19" i="1"/>
  <c r="F19" i="1"/>
  <c r="I18" i="1"/>
  <c r="F18" i="1"/>
  <c r="I17" i="1"/>
  <c r="F17" i="1"/>
  <c r="I16" i="1"/>
  <c r="F16" i="1"/>
  <c r="I15" i="1"/>
  <c r="F15" i="1"/>
  <c r="I14" i="1"/>
  <c r="F14" i="1"/>
  <c r="I13" i="1"/>
  <c r="F13" i="1"/>
  <c r="I12" i="1"/>
  <c r="F12" i="1"/>
  <c r="I11" i="1"/>
  <c r="F11" i="1"/>
  <c r="I10" i="1"/>
  <c r="F10" i="1"/>
  <c r="I9" i="1"/>
  <c r="F9" i="1"/>
  <c r="I8" i="1"/>
  <c r="F8" i="1"/>
  <c r="I7" i="1"/>
  <c r="F7" i="1"/>
  <c r="I6" i="1"/>
  <c r="F6" i="1"/>
  <c r="I5" i="1"/>
  <c r="F5" i="1"/>
  <c r="I4" i="1"/>
  <c r="F4" i="1"/>
  <c r="I3" i="1"/>
  <c r="F3" i="1"/>
  <c r="I2" i="1"/>
  <c r="F2" i="1"/>
</calcChain>
</file>

<file path=xl/sharedStrings.xml><?xml version="1.0" encoding="utf-8"?>
<sst xmlns="http://schemas.openxmlformats.org/spreadsheetml/2006/main" count="64300" uniqueCount="128">
  <si>
    <t>relations_id</t>
  </si>
  <si>
    <t>status</t>
  </si>
  <si>
    <t>form_1</t>
  </si>
  <si>
    <t>person_id_from</t>
  </si>
  <si>
    <t>person_name_from</t>
  </si>
  <si>
    <t>_DO_NOT_FILL_IT_OUT_1_</t>
  </si>
  <si>
    <t>form_2</t>
  </si>
  <si>
    <t>person_id_to</t>
  </si>
  <si>
    <t>_DO_NOT_FILL_IT_OUT_2_</t>
  </si>
  <si>
    <t>person_name_to</t>
  </si>
  <si>
    <t>фізична особа</t>
  </si>
  <si>
    <t>бізнес партнер</t>
  </si>
  <si>
    <t>батько</t>
  </si>
  <si>
    <t>дочка</t>
  </si>
  <si>
    <t>чоловік</t>
  </si>
  <si>
    <t>дружина</t>
  </si>
  <si>
    <t>друг</t>
  </si>
  <si>
    <t>син</t>
  </si>
  <si>
    <t>брат</t>
  </si>
  <si>
    <t>дядько</t>
  </si>
  <si>
    <t>племінник</t>
  </si>
  <si>
    <t>мати</t>
  </si>
  <si>
    <t>племінниця</t>
  </si>
  <si>
    <t>ділові відносини</t>
  </si>
  <si>
    <t>тесть</t>
  </si>
  <si>
    <t>невістка</t>
  </si>
  <si>
    <t>зять</t>
  </si>
  <si>
    <t>теща</t>
  </si>
  <si>
    <t>підлеглий</t>
  </si>
  <si>
    <t>керівник</t>
  </si>
  <si>
    <t>NULL</t>
  </si>
  <si>
    <t>сестра</t>
  </si>
  <si>
    <t>вітчим</t>
  </si>
  <si>
    <t>пасинок</t>
  </si>
  <si>
    <t>свекор</t>
  </si>
  <si>
    <t>колега</t>
  </si>
  <si>
    <t>коханець</t>
  </si>
  <si>
    <t>коханка</t>
  </si>
  <si>
    <t>екс коханець</t>
  </si>
  <si>
    <t>екс коханка</t>
  </si>
  <si>
    <t>колишній підлеглий</t>
  </si>
  <si>
    <t>колишній керівник</t>
  </si>
  <si>
    <t>колишній чоловік</t>
  </si>
  <si>
    <t>колишня дружина</t>
  </si>
  <si>
    <t>двоюрідний брат</t>
  </si>
  <si>
    <t>тітка</t>
  </si>
  <si>
    <t>цивільний чоловік</t>
  </si>
  <si>
    <t>цивільна дружина</t>
  </si>
  <si>
    <t>соратник</t>
  </si>
  <si>
    <t>падчерка</t>
  </si>
  <si>
    <t>шурин</t>
  </si>
  <si>
    <t>знайомий</t>
  </si>
  <si>
    <t>наступник</t>
  </si>
  <si>
    <t>попередник</t>
  </si>
  <si>
    <t>колишній зять</t>
  </si>
  <si>
    <t>колишній тесть</t>
  </si>
  <si>
    <t>кум</t>
  </si>
  <si>
    <t>кума</t>
  </si>
  <si>
    <t>свекруха</t>
  </si>
  <si>
    <t>дід</t>
  </si>
  <si>
    <t>онучка</t>
  </si>
  <si>
    <t>онук</t>
  </si>
  <si>
    <t>сват</t>
  </si>
  <si>
    <t>сваха</t>
  </si>
  <si>
    <t>родичка</t>
  </si>
  <si>
    <t>родич</t>
  </si>
  <si>
    <t>співавтор</t>
  </si>
  <si>
    <t>своячка</t>
  </si>
  <si>
    <t>свояк</t>
  </si>
  <si>
    <t>нступник</t>
  </si>
  <si>
    <t>подруга</t>
  </si>
  <si>
    <t>двоюрідний дядько</t>
  </si>
  <si>
    <t>двоюрідна племінниця</t>
  </si>
  <si>
    <t>дівер</t>
  </si>
  <si>
    <t>брат невістки</t>
  </si>
  <si>
    <t>помічниця</t>
  </si>
  <si>
    <t>донька</t>
  </si>
  <si>
    <t>колишній шурин</t>
  </si>
  <si>
    <t>пдлеглий</t>
  </si>
  <si>
    <t>баба</t>
  </si>
  <si>
    <t>сораник</t>
  </si>
  <si>
    <t>сеста</t>
  </si>
  <si>
    <t>учень</t>
  </si>
  <si>
    <t>вчитель</t>
  </si>
  <si>
    <t>мачуха</t>
  </si>
  <si>
    <t>хрещений батько</t>
  </si>
  <si>
    <t>хрещениця</t>
  </si>
  <si>
    <t>знайома</t>
  </si>
  <si>
    <t>довірена особа</t>
  </si>
  <si>
    <t>зведений брат</t>
  </si>
  <si>
    <t>колишня теща</t>
  </si>
  <si>
    <t>опікун</t>
  </si>
  <si>
    <t>підопічний</t>
  </si>
  <si>
    <t>помічник</t>
  </si>
  <si>
    <t>піклувальник</t>
  </si>
  <si>
    <t>підлегла</t>
  </si>
  <si>
    <t>сетра</t>
  </si>
  <si>
    <t>двоюрідний племінник</t>
  </si>
  <si>
    <t>чолочовік</t>
  </si>
  <si>
    <t>дружинапідлеглого</t>
  </si>
  <si>
    <t>падчериця</t>
  </si>
  <si>
    <t>співвласник</t>
  </si>
  <si>
    <t>т.в.о.керівника</t>
  </si>
  <si>
    <t>однопартієць</t>
  </si>
  <si>
    <t>засновник</t>
  </si>
  <si>
    <t>колишня</t>
  </si>
  <si>
    <t>батко</t>
  </si>
  <si>
    <t>керівний</t>
  </si>
  <si>
    <t>донь</t>
  </si>
  <si>
    <t>дідусь</t>
  </si>
  <si>
    <t>зовиця</t>
  </si>
  <si>
    <t>директор</t>
  </si>
  <si>
    <t>двоюрідна сестра</t>
  </si>
  <si>
    <t>золовка</t>
  </si>
  <si>
    <t>бізнес патнер</t>
  </si>
  <si>
    <t>радник</t>
  </si>
  <si>
    <t>в.о.керівника</t>
  </si>
  <si>
    <t>ділові відносни</t>
  </si>
  <si>
    <t>зведена сестра</t>
  </si>
  <si>
    <t>свекоруха</t>
  </si>
  <si>
    <t>соратниця</t>
  </si>
  <si>
    <t>юридична особа</t>
  </si>
  <si>
    <t>підконтрольна компанія</t>
  </si>
  <si>
    <t>голова опікунської ради</t>
  </si>
  <si>
    <t>генеральний директор</t>
  </si>
  <si>
    <t>співзасновник</t>
  </si>
  <si>
    <t>член опікунської ради</t>
  </si>
  <si>
    <t>почесний член опікунської ради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</si>
</sst>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Roboto"/>
    </font>
  </fonts>
  <fills count="7">
    <fill>
      <patternFill patternType="none"/>
    </fill>
    <fill>
      <patternFill patternType="gray125"/>
    </fill>
    <fill>
      <patternFill patternType="solid">
        <fgColor rgb="FFD6DCE4"/>
        <bgColor rgb="FFD6DCE4"/>
      </patternFill>
    </fill>
    <fill>
      <patternFill patternType="solid">
        <fgColor rgb="FFFF005E"/>
        <bgColor rgb="FFFF005E"/>
      </patternFill>
    </fill>
    <fill>
      <patternFill patternType="solid">
        <fgColor rgb="FFFFD5E5"/>
        <bgColor rgb="FFFFD5E5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0" fontId="2" fillId="4" borderId="1" xfId="0" applyFont="1" applyFill="1" applyBorder="1" applyAlignment="1"/>
    <xf numFmtId="0" fontId="3" fillId="5" borderId="1" xfId="0" applyFont="1" applyFill="1" applyBorder="1" applyAlignment="1"/>
    <xf numFmtId="0" fontId="2" fillId="0" borderId="0" xfId="0" applyFont="1" applyAlignment="1"/>
    <xf numFmtId="0" fontId="2" fillId="6" borderId="1" xfId="0" applyFont="1" applyFill="1" applyBorder="1" applyAlignment="1"/>
  </cellXfs>
  <cellStyles count="1">
    <cellStyle name="Звичайний" xfId="0" builtinId="0"/>
  </cellStyles>
  <dxfs count="1"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6073"/>
  <sheetViews>
    <sheetView tabSelected="1" workbookViewId="0">
      <pane ySplit="1" topLeftCell="A2" activePane="bottomLeft" state="frozen"/>
      <selection pane="bottomLeft"/>
    </sheetView>
  </sheetViews>
  <sheetFormatPr defaultColWidth="12.6640625" defaultRowHeight="15.75" customHeight="1"/>
  <cols>
    <col min="1" max="1" width="6.33203125" customWidth="1"/>
    <col min="2" max="2" width="4.21875" customWidth="1"/>
    <col min="3" max="3" width="8.88671875" customWidth="1"/>
    <col min="4" max="4" width="6.33203125" customWidth="1"/>
    <col min="5" max="5" width="21.21875" customWidth="1"/>
    <col min="6" max="6" width="35.109375" customWidth="1"/>
    <col min="7" max="7" width="8.88671875" customWidth="1"/>
    <col min="8" max="8" width="6.33203125" customWidth="1"/>
    <col min="9" max="10" width="31.88671875" customWidth="1"/>
  </cols>
  <sheetData>
    <row r="1" spans="1:10" ht="45.6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2" t="s">
        <v>9</v>
      </c>
    </row>
    <row r="2" spans="1:10" ht="13.2">
      <c r="A2" s="7">
        <v>1</v>
      </c>
      <c r="B2" s="7">
        <v>1</v>
      </c>
      <c r="C2" s="7" t="s">
        <v>10</v>
      </c>
      <c r="D2" s="7">
        <v>1</v>
      </c>
      <c r="E2" s="7" t="s">
        <v>11</v>
      </c>
      <c r="F2" s="8" t="str">
        <f ca="1">IFERROR(__xludf.DUMMYFUNCTION("IF
(
C3=""фізична особа""
,
VLOOKUP(D3,IMPORTRANGE(""https://docs.google.com/spreadsheets/d/14Bd19lYaqBhU8_DElYkX7l4wRkHqqCUFNJY4AfY3kHU/edit?usp=sharing  #gid=0"",""фіз особи new!relations_name""),6,FALSE)
,
(IF
(
C3=""юридична особа""
,
VLOOKUP(D3,IMPOR"&amp;"TRANGE(""https://docs.google.com/spreadsheets/d/14Bd19lYaqBhU8_DElYkX7l4wRkHqqCUFNJY4AfY3kHU/edit?usp=sharing  #gid=0"",""фіз особи new!relations_name_uo""),7,FALSE)
,
)
))"),"ГАДЖІЄВ Абдулхакім Кутбудинович")</f>
        <v>ГАДЖІЄВ Абдулхакім Кутбудинович</v>
      </c>
      <c r="G2" s="7" t="s">
        <v>10</v>
      </c>
      <c r="H2" s="7">
        <v>833</v>
      </c>
      <c r="I2" s="8" t="str">
        <f ca="1">IFERROR(__xludf.DUMMYFUNCTION("IF
(
G3=""фізична особа""
,
VLOOKUP(H3,IMPORTRANGE(""https://docs.google.com/spreadsheets/d/14Bd19lYaqBhU8_DElYkX7l4wRkHqqCUFNJY4AfY3kHU/edit?usp=sharing  #gid=0"",""фіз особи new!relations_name""),6,FALSE)
,
(IF
(
G3=""юридична особа""
,
VLOOKUP(H3,IMPOR"&amp;"TRANGE(""https://docs.google.com/spreadsheets/d/14Bd19lYaqBhU8_DElYkX7l4wRkHqqCUFNJY4AfY3kHU/edit?usp=sharing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J2" s="7" t="s">
        <v>11</v>
      </c>
    </row>
    <row r="3" spans="1:10" ht="13.2">
      <c r="A3" s="7">
        <v>2</v>
      </c>
      <c r="B3" s="7">
        <v>1</v>
      </c>
      <c r="C3" s="7" t="s">
        <v>10</v>
      </c>
      <c r="D3" s="7">
        <v>2</v>
      </c>
      <c r="E3" s="7" t="s">
        <v>12</v>
      </c>
      <c r="F3" s="8" t="str">
        <f ca="1">IFERROR(__xludf.DUMMYFUNCTION("IF
(
C4=""фізична особа""
,
VLOOKUP(D4,IMPORTRANGE(""https://docs.google.com/spreadsheets/d/14Bd19lYaqBhU8_DElYkX7l4wRkHqqCUFNJY4AfY3kHU/edit?usp=sharing  #gid=0"",""фіз особи new!relations_name""),6,FALSE)
,
(IF
(
C4=""юридична особа""
,
VLOOKUP(D4,IMPOR"&amp;"TRANGE(""https://docs.google.com/spreadsheets/d/14Bd19lYaqBhU8_DElYkX7l4wRkHqqCUFNJY4AfY3kHU/edit?usp=sharing  #gid=0"",""фіз особи new!relations_name_uo""),7,FALSE)
,
)
))"),"СКАЧКОВ Олександр Анатолійович")</f>
        <v>СКАЧКОВ Олександр Анатолійович</v>
      </c>
      <c r="G3" s="7" t="s">
        <v>10</v>
      </c>
      <c r="H3" s="7">
        <v>0</v>
      </c>
      <c r="I3" s="8" t="str">
        <f ca="1">IFERROR(__xludf.DUMMYFUNCTION("IF
(
G4=""фізична особа""
,
VLOOKUP(H4,IMPORTRANGE(""https://docs.google.com/spreadsheets/d/14Bd19lYaqBhU8_DElYkX7l4wRkHqqCUFNJY4AfY3kHU/edit?usp=sharing  #gid=0"",""фіз особи new!relations_name""),6,FALSE)
,
(IF
(
G4=""юридична особа""
,
VLOOKUP(H4,IMPOR"&amp;"TRANGE(""https://docs.google.com/spreadsheets/d/14Bd19lYaqBhU8_DElYkX7l4wRkHqqCUFNJY4AfY3kHU/edit?usp=sharing  #gid=0"",""фіз особи new!relations_name_uo""),7,FALSE)
,
)
))"),"#N/A")</f>
        <v>#N/A</v>
      </c>
      <c r="J3" s="7" t="s">
        <v>13</v>
      </c>
    </row>
    <row r="4" spans="1:10" ht="13.2">
      <c r="A4" s="7">
        <v>3</v>
      </c>
      <c r="B4" s="7">
        <v>1</v>
      </c>
      <c r="C4" s="7" t="s">
        <v>10</v>
      </c>
      <c r="D4" s="7">
        <v>2</v>
      </c>
      <c r="E4" s="7" t="s">
        <v>12</v>
      </c>
      <c r="F4" s="8" t="str">
        <f ca="1">IFERROR(__xludf.DUMMYFUNCTION("IF
(
C5=""фізична особа""
,
VLOOKUP(D5,IMPORTRANGE(""https://docs.google.com/spreadsheets/d/14Bd19lYaqBhU8_DElYkX7l4wRkHqqCUFNJY4AfY3kHU/edit?usp=sharing  #gid=0"",""фіз особи new!relations_name""),6,FALSE)
,
(IF
(
C5=""юридична особа""
,
VLOOKUP(D5,IMPOR"&amp;"TRANGE(""https://docs.google.com/spreadsheets/d/14Bd19lYaqBhU8_DElYkX7l4wRkHqqCUFNJY4AfY3kHU/edit?usp=sharing  #gid=0"",""фіз особи new!relations_name_uo""),7,FALSE)
,
)
))"),"СКАЧКОВ Олександр Анатолійович")</f>
        <v>СКАЧКОВ Олександр Анатолійович</v>
      </c>
      <c r="G4" s="7" t="s">
        <v>10</v>
      </c>
      <c r="H4" s="7">
        <v>0</v>
      </c>
      <c r="I4" s="8" t="str">
        <f ca="1">IFERROR(__xludf.DUMMYFUNCTION("IF
(
G5=""фізична особа""
,
VLOOKUP(H5,IMPORTRANGE(""https://docs.google.com/spreadsheets/d/14Bd19lYaqBhU8_DElYkX7l4wRkHqqCUFNJY4AfY3kHU/edit?usp=sharing  #gid=0"",""фіз особи new!relations_name""),6,FALSE)
,
(IF
(
G5=""юридична особа""
,
VLOOKUP(H5,IMPOR"&amp;"TRANGE(""https://docs.google.com/spreadsheets/d/14Bd19lYaqBhU8_DElYkX7l4wRkHqqCUFNJY4AfY3kHU/edit?usp=sharing  #gid=0"",""фіз особи new!relations_name_uo""),7,FALSE)
,
)
))"),"#N/A")</f>
        <v>#N/A</v>
      </c>
      <c r="J4" s="7" t="s">
        <v>13</v>
      </c>
    </row>
    <row r="5" spans="1:10" ht="13.2">
      <c r="A5" s="7">
        <v>4</v>
      </c>
      <c r="B5" s="7">
        <v>1</v>
      </c>
      <c r="C5" s="7" t="s">
        <v>10</v>
      </c>
      <c r="D5" s="7">
        <v>3</v>
      </c>
      <c r="E5" s="7" t="s">
        <v>14</v>
      </c>
      <c r="F5" s="8" t="str">
        <f ca="1">IFERROR(__xludf.DUMMYFUNCTION("IF
(
C6=""фізична особа""
,
VLOOKUP(D6,IMPORTRANGE(""https://docs.google.com/spreadsheets/d/14Bd19lYaqBhU8_DElYkX7l4wRkHqqCUFNJY4AfY3kHU/edit?usp=sharing  #gid=0"",""фіз особи new!relations_name""),6,FALSE)
,
(IF
(
C6=""юридична особа""
,
VLOOKUP(D6,IMPOR"&amp;"TRANGE(""https://docs.google.com/spreadsheets/d/14Bd19lYaqBhU8_DElYkX7l4wRkHqqCUFNJY4AfY3kHU/edit?usp=sharing  #gid=0"",""фіз особи new!relations_name_uo""),7,FALSE)
,
)
))"),"ГОВИРІН Олексій Борисович")</f>
        <v>ГОВИРІН Олексій Борисович</v>
      </c>
      <c r="G5" s="7" t="s">
        <v>10</v>
      </c>
      <c r="H5" s="7">
        <v>4060</v>
      </c>
      <c r="I5" s="8" t="str">
        <f ca="1">IFERROR(__xludf.DUMMYFUNCTION("IF
(
G6=""фізична особа""
,
VLOOKUP(H6,IMPORTRANGE(""https://docs.google.com/spreadsheets/d/14Bd19lYaqBhU8_DElYkX7l4wRkHqqCUFNJY4AfY3kHU/edit?usp=sharing  #gid=0"",""фіз особи new!relations_name""),6,FALSE)
,
(IF
(
G6=""юридична особа""
,
VLOOKUP(H6,IMPOR"&amp;"TRANGE(""https://docs.google.com/spreadsheets/d/14Bd19lYaqBhU8_DElYkX7l4wRkHqqCUFNJY4AfY3kHU/edit?usp=sharing  #gid=0"",""фіз особи new!relations_name_uo""),7,FALSE)
,
)
))"),"СЛУЦЬКА Ірина Едуардівна")</f>
        <v>СЛУЦЬКА Ірина Едуардівна</v>
      </c>
      <c r="J5" s="7" t="s">
        <v>15</v>
      </c>
    </row>
    <row r="6" spans="1:10" ht="13.2">
      <c r="A6" s="7">
        <v>5</v>
      </c>
      <c r="B6" s="7">
        <v>1</v>
      </c>
      <c r="C6" s="7" t="s">
        <v>10</v>
      </c>
      <c r="D6" s="7">
        <v>3</v>
      </c>
      <c r="E6" s="7" t="s">
        <v>12</v>
      </c>
      <c r="F6" s="8" t="str">
        <f ca="1">IFERROR(__xludf.DUMMYFUNCTION("IF
(
C7=""фізична особа""
,
VLOOKUP(D7,IMPORTRANGE(""https://docs.google.com/spreadsheets/d/14Bd19lYaqBhU8_DElYkX7l4wRkHqqCUFNJY4AfY3kHU/edit?usp=sharing  #gid=0"",""фіз особи new!relations_name""),6,FALSE)
,
(IF
(
C7=""юридична особа""
,
VLOOKUP(D7,IMPOR"&amp;"TRANGE(""https://docs.google.com/spreadsheets/d/14Bd19lYaqBhU8_DElYkX7l4wRkHqqCUFNJY4AfY3kHU/edit?usp=sharing  #gid=0"",""фіз особи new!relations_name_uo""),7,FALSE)
,
)
))"),"ГОВИРІН Олексій Борисович")</f>
        <v>ГОВИРІН Олексій Борисович</v>
      </c>
      <c r="G6" s="7" t="s">
        <v>10</v>
      </c>
      <c r="H6" s="7">
        <v>0</v>
      </c>
      <c r="I6" s="8" t="str">
        <f ca="1">IFERROR(__xludf.DUMMYFUNCTION("IF
(
G7=""фізична особа""
,
VLOOKUP(H7,IMPORTRANGE(""https://docs.google.com/spreadsheets/d/14Bd19lYaqBhU8_DElYkX7l4wRkHqqCUFNJY4AfY3kHU/edit?usp=sharing  #gid=0"",""фіз особи new!relations_name""),6,FALSE)
,
(IF
(
G7=""юридична особа""
,
VLOOKUP(H7,IMPOR"&amp;"TRANGE(""https://docs.google.com/spreadsheets/d/14Bd19lYaqBhU8_DElYkX7l4wRkHqqCUFNJY4AfY3kHU/edit?usp=sharing  #gid=0"",""фіз особи new!relations_name_uo""),7,FALSE)
,
)
))"),"#N/A")</f>
        <v>#N/A</v>
      </c>
      <c r="J6" s="7" t="s">
        <v>13</v>
      </c>
    </row>
    <row r="7" spans="1:10" ht="13.2">
      <c r="A7" s="7">
        <v>6</v>
      </c>
      <c r="B7" s="7">
        <v>1</v>
      </c>
      <c r="C7" s="7" t="s">
        <v>10</v>
      </c>
      <c r="D7" s="7">
        <v>4</v>
      </c>
      <c r="E7" s="7" t="s">
        <v>16</v>
      </c>
      <c r="F7" s="8" t="str">
        <f ca="1">IFERROR(__xludf.DUMMYFUNCTION("IF
(
C8=""фізична особа""
,
VLOOKUP(D8,IMPORTRANGE(""https://docs.google.com/spreadsheets/d/14Bd19lYaqBhU8_DElYkX7l4wRkHqqCUFNJY4AfY3kHU/edit?usp=sharing  #gid=0"",""фіз особи new!relations_name""),6,FALSE)
,
(IF
(
C8=""юридична особа""
,
VLOOKUP(D8,IMPOR"&amp;"TRANGE(""https://docs.google.com/spreadsheets/d/14Bd19lYaqBhU8_DElYkX7l4wRkHqqCUFNJY4AfY3kHU/edit?usp=sharing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7" s="7" t="s">
        <v>10</v>
      </c>
      <c r="H7" s="7">
        <v>880</v>
      </c>
      <c r="I7" s="8" t="str">
        <f ca="1">IFERROR(__xludf.DUMMYFUNCTION("IF
(
G8=""фізична особа""
,
VLOOKUP(H8,IMPORTRANGE(""https://docs.google.com/spreadsheets/d/14Bd19lYaqBhU8_DElYkX7l4wRkHqqCUFNJY4AfY3kHU/edit?usp=sharing  #gid=0"",""фіз особи new!relations_name""),6,FALSE)
,
(IF
(
G8=""юридична особа""
,
VLOOKUP(H8,IMPOR"&amp;"TRANGE(""https://docs.google.com/spreadsheets/d/14Bd19lYaqBhU8_DElYkX7l4wRkHqqCUFNJY4AfY3kHU/edit?usp=sharing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" s="7" t="s">
        <v>16</v>
      </c>
    </row>
    <row r="8" spans="1:10" ht="13.2">
      <c r="A8" s="7">
        <v>7</v>
      </c>
      <c r="B8" s="7">
        <v>1</v>
      </c>
      <c r="C8" s="7" t="s">
        <v>10</v>
      </c>
      <c r="D8" s="7">
        <v>4</v>
      </c>
      <c r="E8" s="7" t="s">
        <v>14</v>
      </c>
      <c r="F8" s="8" t="str">
        <f ca="1">IFERROR(__xludf.DUMMYFUNCTION("IF
(
C9=""фізична особа""
,
VLOOKUP(D9,IMPORTRANGE(""https://docs.google.com/spreadsheets/d/14Bd19lYaqBhU8_DElYkX7l4wRkHqqCUFNJY4AfY3kHU/edit?usp=sharing  #gid=0"",""фіз особи new!relations_name""),6,FALSE)
,
(IF
(
C9=""юридична особа""
,
VLOOKUP(D9,IMPOR"&amp;"TRANGE(""https://docs.google.com/spreadsheets/d/14Bd19lYaqBhU8_DElYkX7l4wRkHqqCUFNJY4AfY3kHU/edit?usp=sharing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8" s="7" t="s">
        <v>10</v>
      </c>
      <c r="H8" s="7">
        <v>0</v>
      </c>
      <c r="I8" s="8" t="str">
        <f ca="1">IFERROR(__xludf.DUMMYFUNCTION("IF
(
G9=""фізична особа""
,
VLOOKUP(H9,IMPORTRANGE(""https://docs.google.com/spreadsheets/d/14Bd19lYaqBhU8_DElYkX7l4wRkHqqCUFNJY4AfY3kHU/edit?usp=sharing  #gid=0"",""фіз особи new!relations_name""),6,FALSE)
,
(IF
(
G9=""юридична особа""
,
VLOOKUP(H9,IMPOR"&amp;"TRANGE(""https://docs.google.com/spreadsheets/d/14Bd19lYaqBhU8_DElYkX7l4wRkHqqCUFNJY4AfY3kHU/edit?usp=sharing  #gid=0"",""фіз особи new!relations_name_uo""),7,FALSE)
,
)
))"),"#N/A")</f>
        <v>#N/A</v>
      </c>
      <c r="J8" s="7" t="s">
        <v>15</v>
      </c>
    </row>
    <row r="9" spans="1:10" ht="13.2">
      <c r="A9" s="7">
        <v>8</v>
      </c>
      <c r="B9" s="7">
        <v>1</v>
      </c>
      <c r="C9" s="7" t="s">
        <v>10</v>
      </c>
      <c r="D9" s="7">
        <v>4</v>
      </c>
      <c r="E9" s="7" t="s">
        <v>12</v>
      </c>
      <c r="F9" s="8" t="str">
        <f ca="1">IFERROR(__xludf.DUMMYFUNCTION("IF
(
C10=""фізична особа""
,
VLOOKUP(D10,IMPORTRANGE(""https://docs.google.com/spreadsheets/d/14Bd19lYaqBhU8_DElYkX7l4wRkHqqCUFNJY4AfY3kHU/edit?usp=sharing  #gid=0"",""фіз особи new!relations_name""),6,FALSE)
,
(IF
(
C10=""юридична особа""
,
VLOOKUP(D10,I"&amp;"MPORTRANGE(""https://docs.google.com/spreadsheets/d/14Bd19lYaqBhU8_DElYkX7l4wRkHqqCUFNJY4AfY3kHU/edit?usp=sharing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9" s="7" t="s">
        <v>10</v>
      </c>
      <c r="H9" s="7">
        <v>0</v>
      </c>
      <c r="I9" s="8" t="str">
        <f ca="1">IFERROR(__xludf.DUMMYFUNCTION("IF
(
G10=""фізична особа""
,
VLOOKUP(H10,IMPORTRANGE(""https://docs.google.com/spreadsheets/d/14Bd19lYaqBhU8_DElYkX7l4wRkHqqCUFNJY4AfY3kHU/edit?usp=sharing  #gid=0"",""фіз особи new!relations_name""),6,FALSE)
,
(IF
(
G10=""юридична особа""
,
VLOOKUP(H10,I"&amp;"MPORTRANGE(""https://docs.google.com/spreadsheets/d/14Bd19lYaqBhU8_DElYkX7l4wRkHqqCUFNJY4AfY3kHU/edit?usp=sharing  #gid=0"",""фіз особи new!relations_name_uo""),7,FALSE)
,
)
))"),"#N/A")</f>
        <v>#N/A</v>
      </c>
      <c r="J9" s="7" t="s">
        <v>17</v>
      </c>
    </row>
    <row r="10" spans="1:10" ht="13.2">
      <c r="A10" s="7">
        <v>9</v>
      </c>
      <c r="B10" s="7">
        <v>1</v>
      </c>
      <c r="C10" s="7" t="s">
        <v>10</v>
      </c>
      <c r="D10" s="7">
        <v>4</v>
      </c>
      <c r="E10" s="7" t="s">
        <v>11</v>
      </c>
      <c r="F10" s="8" t="str">
        <f ca="1">IFERROR(__xludf.DUMMYFUNCTION("IF
(
C11=""фізична особа""
,
VLOOKUP(D11,IMPORTRANGE(""https://docs.google.com/spreadsheets/d/14Bd19lYaqBhU8_DElYkX7l4wRkHqqCUFNJY4AfY3kHU/edit?usp=sharing  #gid=0"",""фіз особи new!relations_name""),6,FALSE)
,
(IF
(
C11=""юридична особа""
,
VLOOKUP(D11,I"&amp;"MPORTRANGE(""https://docs.google.com/spreadsheets/d/14Bd19lYaqBhU8_DElYkX7l4wRkHqqCUFNJY4AfY3kHU/edit?usp=sharing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10" s="7" t="s">
        <v>10</v>
      </c>
      <c r="H10" s="7">
        <v>6469</v>
      </c>
      <c r="I10" s="8" t="str">
        <f ca="1">IFERROR(__xludf.DUMMYFUNCTION("IF
(
G11=""фізична особа""
,
VLOOKUP(H11,IMPORTRANGE(""https://docs.google.com/spreadsheets/d/14Bd19lYaqBhU8_DElYkX7l4wRkHqqCUFNJY4AfY3kHU/edit?usp=sharing  #gid=0"",""фіз особи new!relations_name""),6,FALSE)
,
(IF
(
G11=""юридична особа""
,
VLOOKUP(H11,I"&amp;"MPORTRANGE(""https://docs.google.com/spreadsheets/d/14Bd19lYaqBhU8_DElYkX7l4wRkHqqCUFNJY4AfY3kHU/edit?usp=sharing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J10" s="7" t="s">
        <v>11</v>
      </c>
    </row>
    <row r="11" spans="1:10" ht="13.2">
      <c r="A11" s="7">
        <v>10</v>
      </c>
      <c r="B11" s="7">
        <v>1</v>
      </c>
      <c r="C11" s="7" t="s">
        <v>10</v>
      </c>
      <c r="D11" s="7">
        <v>4</v>
      </c>
      <c r="E11" s="7" t="s">
        <v>11</v>
      </c>
      <c r="F11" s="8" t="str">
        <f ca="1">IFERROR(__xludf.DUMMYFUNCTION("IF
(
C12=""фізична особа""
,
VLOOKUP(D12,IMPORTRANGE(""https://docs.google.com/spreadsheets/d/14Bd19lYaqBhU8_DElYkX7l4wRkHqqCUFNJY4AfY3kHU/edit?usp=sharing  #gid=0"",""фіз особи new!relations_name""),6,FALSE)
,
(IF
(
C12=""юридична особа""
,
VLOOKUP(D12,I"&amp;"MPORTRANGE(""https://docs.google.com/spreadsheets/d/14Bd19lYaqBhU8_DElYkX7l4wRkHqqCUFNJY4AfY3kHU/edit?usp=sharing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11" s="7" t="s">
        <v>10</v>
      </c>
      <c r="H11" s="7">
        <v>0</v>
      </c>
      <c r="I11" s="8" t="str">
        <f ca="1">IFERROR(__xludf.DUMMYFUNCTION("IF
(
G12=""фізична особа""
,
VLOOKUP(H12,IMPORTRANGE(""https://docs.google.com/spreadsheets/d/14Bd19lYaqBhU8_DElYkX7l4wRkHqqCUFNJY4AfY3kHU/edit?usp=sharing  #gid=0"",""фіз особи new!relations_name""),6,FALSE)
,
(IF
(
G12=""юридична особа""
,
VLOOKUP(H12,I"&amp;"MPORTRANGE(""https://docs.google.com/spreadsheets/d/14Bd19lYaqBhU8_DElYkX7l4wRkHqqCUFNJY4AfY3kHU/edit?usp=sharing  #gid=0"",""фіз особи new!relations_name_uo""),7,FALSE)
,
)
))"),"#N/A")</f>
        <v>#N/A</v>
      </c>
      <c r="J11" s="7" t="s">
        <v>11</v>
      </c>
    </row>
    <row r="12" spans="1:10" ht="13.2">
      <c r="A12" s="7">
        <v>11</v>
      </c>
      <c r="B12" s="7">
        <v>1</v>
      </c>
      <c r="C12" s="7" t="s">
        <v>10</v>
      </c>
      <c r="D12" s="7">
        <v>4</v>
      </c>
      <c r="E12" s="7" t="s">
        <v>11</v>
      </c>
      <c r="F12" s="8" t="str">
        <f ca="1">IFERROR(__xludf.DUMMYFUNCTION("IF
(
C13=""фізична особа""
,
VLOOKUP(D13,IMPORTRANGE(""https://docs.google.com/spreadsheets/d/14Bd19lYaqBhU8_DElYkX7l4wRkHqqCUFNJY4AfY3kHU/edit?usp=sharing  #gid=0"",""фіз особи new!relations_name""),6,FALSE)
,
(IF
(
C13=""юридична особа""
,
VLOOKUP(D13,I"&amp;"MPORTRANGE(""https://docs.google.com/spreadsheets/d/14Bd19lYaqBhU8_DElYkX7l4wRkHqqCUFNJY4AfY3kHU/edit?usp=sharing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G12" s="7" t="s">
        <v>10</v>
      </c>
      <c r="H12" s="7">
        <v>841</v>
      </c>
      <c r="I12" s="8" t="str">
        <f ca="1">IFERROR(__xludf.DUMMYFUNCTION("IF
(
G13=""фізична особа""
,
VLOOKUP(H13,IMPORTRANGE(""https://docs.google.com/spreadsheets/d/14Bd19lYaqBhU8_DElYkX7l4wRkHqqCUFNJY4AfY3kHU/edit?usp=sharing  #gid=0"",""фіз особи new!relations_name""),6,FALSE)
,
(IF
(
G13=""юридична особа""
,
VLOOKUP(H13,I"&amp;"MPORTRANGE(""https://docs.google.com/spreadsheets/d/14Bd19lYaqBhU8_DElYkX7l4wRkHqqCUFNJY4AfY3kHU/edit?usp=sharing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12" s="7" t="s">
        <v>11</v>
      </c>
    </row>
    <row r="13" spans="1:10" ht="13.2">
      <c r="A13" s="7">
        <v>12</v>
      </c>
      <c r="B13" s="7">
        <v>1</v>
      </c>
      <c r="C13" s="7" t="s">
        <v>10</v>
      </c>
      <c r="D13" s="7">
        <v>5</v>
      </c>
      <c r="E13" s="7" t="s">
        <v>14</v>
      </c>
      <c r="F13" s="8" t="str">
        <f ca="1">IFERROR(__xludf.DUMMYFUNCTION("IF
(
C14=""фізична особа""
,
VLOOKUP(D14,IMPORTRANGE(""https://docs.google.com/spreadsheets/d/14Bd19lYaqBhU8_DElYkX7l4wRkHqqCUFNJY4AfY3kHU/edit?usp=sharing  #gid=0"",""фіз особи new!relations_name""),6,FALSE)
,
(IF
(
C14=""юридична особа""
,
VLOOKUP(D14,I"&amp;"MPORTRANGE(""https://docs.google.com/spreadsheets/d/14Bd19lYaqBhU8_DElYkX7l4wRkHqqCUFNJY4AfY3kHU/edit?usp=sharing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G13" s="7" t="s">
        <v>10</v>
      </c>
      <c r="H13" s="7">
        <v>4065</v>
      </c>
      <c r="I13" s="8" t="str">
        <f ca="1">IFERROR(__xludf.DUMMYFUNCTION("IF
(
G14=""фізична особа""
,
VLOOKUP(H14,IMPORTRANGE(""https://docs.google.com/spreadsheets/d/14Bd19lYaqBhU8_DElYkX7l4wRkHqqCUFNJY4AfY3kHU/edit?usp=sharing  #gid=0"",""фіз особи new!relations_name""),6,FALSE)
,
(IF
(
G14=""юридична особа""
,
VLOOKUP(H14,I"&amp;"MPORTRANGE(""https://docs.google.com/spreadsheets/d/14Bd19lYaqBhU8_DElYkX7l4wRkHqqCUFNJY4AfY3kHU/edit?usp=sharing  #gid=0"",""фіз особи new!relations_name_uo""),7,FALSE)
,
)
))"),"ВЕЛЛЕР Марина Миколаївна")</f>
        <v>ВЕЛЛЕР Марина Миколаївна</v>
      </c>
      <c r="J13" s="7" t="s">
        <v>15</v>
      </c>
    </row>
    <row r="14" spans="1:10" ht="13.2">
      <c r="A14" s="7">
        <v>13</v>
      </c>
      <c r="B14" s="7">
        <v>1</v>
      </c>
      <c r="C14" s="7" t="s">
        <v>10</v>
      </c>
      <c r="D14" s="7">
        <v>5</v>
      </c>
      <c r="E14" s="7" t="s">
        <v>18</v>
      </c>
      <c r="F14" s="8" t="str">
        <f ca="1">IFERROR(__xludf.DUMMYFUNCTION("IF
(
C15=""фізична особа""
,
VLOOKUP(D15,IMPORTRANGE(""https://docs.google.com/spreadsheets/d/14Bd19lYaqBhU8_DElYkX7l4wRkHqqCUFNJY4AfY3kHU/edit?usp=sharing  #gid=0"",""фіз особи new!relations_name""),6,FALSE)
,
(IF
(
C15=""юридична особа""
,
VLOOKUP(D15,I"&amp;"MPORTRANGE(""https://docs.google.com/spreadsheets/d/14Bd19lYaqBhU8_DElYkX7l4wRkHqqCUFNJY4AfY3kHU/edit?usp=sharing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G14" s="7" t="s">
        <v>10</v>
      </c>
      <c r="H14" s="7">
        <v>4062</v>
      </c>
      <c r="I14" s="8" t="str">
        <f ca="1">IFERROR(__xludf.DUMMYFUNCTION("IF
(
G15=""фізична особа""
,
VLOOKUP(H15,IMPORTRANGE(""https://docs.google.com/spreadsheets/d/14Bd19lYaqBhU8_DElYkX7l4wRkHqqCUFNJY4AfY3kHU/edit?usp=sharing  #gid=0"",""фіз особи new!relations_name""),6,FALSE)
,
(IF
(
G15=""юридична особа""
,
VLOOKUP(H15,I"&amp;"MPORTRANGE(""https://docs.google.com/spreadsheets/d/14Bd19lYaqBhU8_DElYkX7l4wRkHqqCUFNJY4AfY3kHU/edit?usp=sharing  #gid=0"",""фіз особи new!relations_name_uo""),7,FALSE)
,
)
))"),"ВЕЛЛЕР Сергій Борисович")</f>
        <v>ВЕЛЛЕР Сергій Борисович</v>
      </c>
      <c r="J14" s="7" t="s">
        <v>18</v>
      </c>
    </row>
    <row r="15" spans="1:10" ht="13.2">
      <c r="A15" s="7">
        <v>14</v>
      </c>
      <c r="B15" s="7">
        <v>1</v>
      </c>
      <c r="C15" s="7" t="s">
        <v>10</v>
      </c>
      <c r="D15" s="7">
        <v>5</v>
      </c>
      <c r="E15" s="7" t="s">
        <v>12</v>
      </c>
      <c r="F15" s="8" t="str">
        <f ca="1">IFERROR(__xludf.DUMMYFUNCTION("IF
(
C16=""фізична особа""
,
VLOOKUP(D16,IMPORTRANGE(""https://docs.google.com/spreadsheets/d/14Bd19lYaqBhU8_DElYkX7l4wRkHqqCUFNJY4AfY3kHU/edit?usp=sharing  #gid=0"",""фіз особи new!relations_name""),6,FALSE)
,
(IF
(
C16=""юридична особа""
,
VLOOKUP(D16,I"&amp;"MPORTRANGE(""https://docs.google.com/spreadsheets/d/14Bd19lYaqBhU8_DElYkX7l4wRkHqqCUFNJY4AfY3kHU/edit?usp=sharing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G15" s="7" t="s">
        <v>10</v>
      </c>
      <c r="H15" s="7">
        <v>4061</v>
      </c>
      <c r="I15" s="8" t="str">
        <f ca="1">IFERROR(__xludf.DUMMYFUNCTION("IF
(
G16=""фізична особа""
,
VLOOKUP(H16,IMPORTRANGE(""https://docs.google.com/spreadsheets/d/14Bd19lYaqBhU8_DElYkX7l4wRkHqqCUFNJY4AfY3kHU/edit?usp=sharing  #gid=0"",""фіз особи new!relations_name""),6,FALSE)
,
(IF
(
G16=""юридична особа""
,
VLOOKUP(H16,I"&amp;"MPORTRANGE(""https://docs.google.com/spreadsheets/d/14Bd19lYaqBhU8_DElYkX7l4wRkHqqCUFNJY4AfY3kHU/edit?usp=sharing  #gid=0"",""фіз особи new!relations_name_uo""),7,FALSE)
,
)
))"),"ВЕЛЛЕР Михайло Олексійович")</f>
        <v>ВЕЛЛЕР Михайло Олексійович</v>
      </c>
      <c r="J15" s="7" t="s">
        <v>17</v>
      </c>
    </row>
    <row r="16" spans="1:10" ht="13.2">
      <c r="A16" s="7">
        <v>15</v>
      </c>
      <c r="B16" s="7">
        <v>1</v>
      </c>
      <c r="C16" s="7" t="s">
        <v>10</v>
      </c>
      <c r="D16" s="7">
        <v>5</v>
      </c>
      <c r="E16" s="7" t="s">
        <v>19</v>
      </c>
      <c r="F16" s="8" t="str">
        <f ca="1">IFERROR(__xludf.DUMMYFUNCTION("IF
(
C17=""фізична особа""
,
VLOOKUP(D17,IMPORTRANGE(""https://docs.google.com/spreadsheets/d/14Bd19lYaqBhU8_DElYkX7l4wRkHqqCUFNJY4AfY3kHU/edit?usp=sharing  #gid=0"",""фіз особи new!relations_name""),6,FALSE)
,
(IF
(
C17=""юридична особа""
,
VLOOKUP(D17,I"&amp;"MPORTRANGE(""https://docs.google.com/spreadsheets/d/14Bd19lYaqBhU8_DElYkX7l4wRkHqqCUFNJY4AfY3kHU/edit?usp=sharing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G16" s="7" t="s">
        <v>10</v>
      </c>
      <c r="H16" s="7">
        <v>4064</v>
      </c>
      <c r="I16" s="8" t="str">
        <f ca="1">IFERROR(__xludf.DUMMYFUNCTION("IF
(
G17=""фізична особа""
,
VLOOKUP(H17,IMPORTRANGE(""https://docs.google.com/spreadsheets/d/14Bd19lYaqBhU8_DElYkX7l4wRkHqqCUFNJY4AfY3kHU/edit?usp=sharing  #gid=0"",""фіз особи new!relations_name""),6,FALSE)
,
(IF
(
G17=""юридична особа""
,
VLOOKUP(H17,I"&amp;"MPORTRANGE(""https://docs.google.com/spreadsheets/d/14Bd19lYaqBhU8_DElYkX7l4wRkHqqCUFNJY4AfY3kHU/edit?usp=sharing  #gid=0"",""фіз особи new!relations_name_uo""),7,FALSE)
,
)
))"),"ВЕЛЛЕР Кирило Сергійович")</f>
        <v>ВЕЛЛЕР Кирило Сергійович</v>
      </c>
      <c r="J16" s="7" t="s">
        <v>20</v>
      </c>
    </row>
    <row r="17" spans="1:10" ht="13.2">
      <c r="A17" s="7">
        <v>16</v>
      </c>
      <c r="B17" s="7">
        <v>1</v>
      </c>
      <c r="C17" s="7" t="s">
        <v>10</v>
      </c>
      <c r="D17" s="7">
        <v>5</v>
      </c>
      <c r="E17" s="7" t="s">
        <v>19</v>
      </c>
      <c r="F17" s="8" t="str">
        <f ca="1">IFERROR(__xludf.DUMMYFUNCTION("IF
(
C18=""фізична особа""
,
VLOOKUP(D18,IMPORTRANGE(""https://docs.google.com/spreadsheets/d/14Bd19lYaqBhU8_DElYkX7l4wRkHqqCUFNJY4AfY3kHU/edit?usp=sharing  #gid=0"",""фіз особи new!relations_name""),6,FALSE)
,
(IF
(
C18=""юридична особа""
,
VLOOKUP(D18,I"&amp;"MPORTRANGE(""https://docs.google.com/spreadsheets/d/14Bd19lYaqBhU8_DElYkX7l4wRkHqqCUFNJY4AfY3kHU/edit?usp=sharing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G17" s="7" t="s">
        <v>10</v>
      </c>
      <c r="H17" s="7">
        <v>4063</v>
      </c>
      <c r="I17" s="8" t="str">
        <f ca="1">IFERROR(__xludf.DUMMYFUNCTION("IF
(
G18=""фізична особа""
,
VLOOKUP(H18,IMPORTRANGE(""https://docs.google.com/spreadsheets/d/14Bd19lYaqBhU8_DElYkX7l4wRkHqqCUFNJY4AfY3kHU/edit?usp=sharing  #gid=0"",""фіз особи new!relations_name""),6,FALSE)
,
(IF
(
G18=""юридична особа""
,
VLOOKUP(H18,I"&amp;"MPORTRANGE(""https://docs.google.com/spreadsheets/d/14Bd19lYaqBhU8_DElYkX7l4wRkHqqCUFNJY4AfY3kHU/edit?usp=sharing  #gid=0"",""фіз особи new!relations_name_uo""),7,FALSE)
,
)
))"),"ВЕЛЛЕР Андрій Сергійович")</f>
        <v>ВЕЛЛЕР Андрій Сергійович</v>
      </c>
      <c r="J17" s="7" t="s">
        <v>20</v>
      </c>
    </row>
    <row r="18" spans="1:10" ht="13.2">
      <c r="A18" s="7">
        <v>17</v>
      </c>
      <c r="B18" s="7">
        <v>1</v>
      </c>
      <c r="C18" s="7" t="s">
        <v>10</v>
      </c>
      <c r="D18" s="7">
        <v>7</v>
      </c>
      <c r="E18" s="7" t="s">
        <v>14</v>
      </c>
      <c r="F18" s="8" t="str">
        <f ca="1">IFERROR(__xludf.DUMMYFUNCTION("IF
(
C19=""фізична особа""
,
VLOOKUP(D19,IMPORTRANGE(""https://docs.google.com/spreadsheets/d/14Bd19lYaqBhU8_DElYkX7l4wRkHqqCUFNJY4AfY3kHU/edit?usp=sharing  #gid=0"",""фіз особи new!relations_name""),6,FALSE)
,
(IF
(
C19=""юридична особа""
,
VLOOKUP(D19,I"&amp;"MPORTRANGE(""https://docs.google.com/spreadsheets/d/14Bd19lYaqBhU8_DElYkX7l4wRkHqqCUFNJY4AfY3kHU/edit?usp=sharing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18" s="7" t="s">
        <v>10</v>
      </c>
      <c r="H18" s="7">
        <v>4066</v>
      </c>
      <c r="I18" s="8" t="str">
        <f ca="1">IFERROR(__xludf.DUMMYFUNCTION("IF
(
G19=""фізична особа""
,
VLOOKUP(H19,IMPORTRANGE(""https://docs.google.com/spreadsheets/d/14Bd19lYaqBhU8_DElYkX7l4wRkHqqCUFNJY4AfY3kHU/edit?usp=sharing  #gid=0"",""фіз особи new!relations_name""),6,FALSE)
,
(IF
(
G19=""юридична особа""
,
VLOOKUP(H19,I"&amp;"MPORTRANGE(""https://docs.google.com/spreadsheets/d/14Bd19lYaqBhU8_DElYkX7l4wRkHqqCUFNJY4AfY3kHU/edit?usp=sharing  #gid=0"",""фіз особи new!relations_name_uo""),7,FALSE)
,
)
))"),"НЕЧАЄВА Олена")</f>
        <v>НЕЧАЄВА Олена</v>
      </c>
      <c r="J18" s="7" t="s">
        <v>15</v>
      </c>
    </row>
    <row r="19" spans="1:10" ht="13.2">
      <c r="A19" s="7">
        <v>18</v>
      </c>
      <c r="B19" s="7">
        <v>1</v>
      </c>
      <c r="C19" s="7" t="s">
        <v>10</v>
      </c>
      <c r="D19" s="7">
        <v>7</v>
      </c>
      <c r="E19" s="7" t="s">
        <v>17</v>
      </c>
      <c r="F19" s="8" t="str">
        <f ca="1">IFERROR(__xludf.DUMMYFUNCTION("IF
(
C20=""фізична особа""
,
VLOOKUP(D20,IMPORTRANGE(""https://docs.google.com/spreadsheets/d/14Bd19lYaqBhU8_DElYkX7l4wRkHqqCUFNJY4AfY3kHU/edit?usp=sharing  #gid=0"",""фіз особи new!relations_name""),6,FALSE)
,
(IF
(
C20=""юридична особа""
,
VLOOKUP(D20,I"&amp;"MPORTRANGE(""https://docs.google.com/spreadsheets/d/14Bd19lYaqBhU8_DElYkX7l4wRkHqqCUFNJY4AfY3kHU/edit?usp=sharing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19" s="7" t="s">
        <v>10</v>
      </c>
      <c r="H19" s="7">
        <v>4067</v>
      </c>
      <c r="I19" s="8" t="str">
        <f ca="1">IFERROR(__xludf.DUMMYFUNCTION("IF
(
G20=""фізична особа""
,
VLOOKUP(H20,IMPORTRANGE(""https://docs.google.com/spreadsheets/d/14Bd19lYaqBhU8_DElYkX7l4wRkHqqCUFNJY4AfY3kHU/edit?usp=sharing  #gid=0"",""фіз особи new!relations_name""),6,FALSE)
,
(IF
(
G20=""юридична особа""
,
VLOOKUP(H20,I"&amp;"MPORTRANGE(""https://docs.google.com/spreadsheets/d/14Bd19lYaqBhU8_DElYkX7l4wRkHqqCUFNJY4AfY3kHU/edit?usp=sharing  #gid=0"",""фіз особи new!relations_name_uo""),7,FALSE)
,
)
))"),"БІНАТ Олена Василівна")</f>
        <v>БІНАТ Олена Василівна</v>
      </c>
      <c r="J19" s="7" t="s">
        <v>21</v>
      </c>
    </row>
    <row r="20" spans="1:10" ht="13.2">
      <c r="A20" s="7">
        <v>19</v>
      </c>
      <c r="B20" s="7">
        <v>1</v>
      </c>
      <c r="C20" s="7" t="s">
        <v>10</v>
      </c>
      <c r="D20" s="7">
        <v>7</v>
      </c>
      <c r="E20" s="7" t="s">
        <v>12</v>
      </c>
      <c r="F20" s="8" t="str">
        <f ca="1">IFERROR(__xludf.DUMMYFUNCTION("IF
(
C21=""фізична особа""
,
VLOOKUP(D21,IMPORTRANGE(""https://docs.google.com/spreadsheets/d/14Bd19lYaqBhU8_DElYkX7l4wRkHqqCUFNJY4AfY3kHU/edit?usp=sharing  #gid=0"",""фіз особи new!relations_name""),6,FALSE)
,
(IF
(
C21=""юридична особа""
,
VLOOKUP(D21,I"&amp;"MPORTRANGE(""https://docs.google.com/spreadsheets/d/14Bd19lYaqBhU8_DElYkX7l4wRkHqqCUFNJY4AfY3kHU/edit?usp=sharing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20" s="7" t="s">
        <v>10</v>
      </c>
      <c r="H20" s="7">
        <v>0</v>
      </c>
      <c r="I20" s="8" t="str">
        <f ca="1">IFERROR(__xludf.DUMMYFUNCTION("IF
(
G21=""фізична особа""
,
VLOOKUP(H21,IMPORTRANGE(""https://docs.google.com/spreadsheets/d/14Bd19lYaqBhU8_DElYkX7l4wRkHqqCUFNJY4AfY3kHU/edit?usp=sharing  #gid=0"",""фіз особи new!relations_name""),6,FALSE)
,
(IF
(
G21=""юридична особа""
,
VLOOKUP(H21,I"&amp;"MPORTRANGE(""https://docs.google.com/spreadsheets/d/14Bd19lYaqBhU8_DElYkX7l4wRkHqqCUFNJY4AfY3kHU/edit?usp=sharing  #gid=0"",""фіз особи new!relations_name_uo""),7,FALSE)
,
)
))"),"#N/A")</f>
        <v>#N/A</v>
      </c>
      <c r="J20" s="7" t="s">
        <v>13</v>
      </c>
    </row>
    <row r="21" spans="1:10" ht="13.2">
      <c r="A21" s="7">
        <v>20</v>
      </c>
      <c r="B21" s="7">
        <v>1</v>
      </c>
      <c r="C21" s="7" t="s">
        <v>10</v>
      </c>
      <c r="D21" s="7">
        <v>7</v>
      </c>
      <c r="E21" s="7" t="s">
        <v>12</v>
      </c>
      <c r="F21" s="8" t="str">
        <f ca="1">IFERROR(__xludf.DUMMYFUNCTION("IF
(
C22=""фізична особа""
,
VLOOKUP(D22,IMPORTRANGE(""https://docs.google.com/spreadsheets/d/14Bd19lYaqBhU8_DElYkX7l4wRkHqqCUFNJY4AfY3kHU/edit?usp=sharing  #gid=0"",""фіз особи new!relations_name""),6,FALSE)
,
(IF
(
C22=""юридична особа""
,
VLOOKUP(D22,I"&amp;"MPORTRANGE(""https://docs.google.com/spreadsheets/d/14Bd19lYaqBhU8_DElYkX7l4wRkHqqCUFNJY4AfY3kHU/edit?usp=sharing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21" s="7" t="s">
        <v>10</v>
      </c>
      <c r="H21" s="7">
        <v>0</v>
      </c>
      <c r="I21" s="8" t="str">
        <f ca="1">IFERROR(__xludf.DUMMYFUNCTION("IF
(
G22=""фізична особа""
,
VLOOKUP(H22,IMPORTRANGE(""https://docs.google.com/spreadsheets/d/14Bd19lYaqBhU8_DElYkX7l4wRkHqqCUFNJY4AfY3kHU/edit?usp=sharing  #gid=0"",""фіз особи new!relations_name""),6,FALSE)
,
(IF
(
G22=""юридична особа""
,
VLOOKUP(H22,I"&amp;"MPORTRANGE(""https://docs.google.com/spreadsheets/d/14Bd19lYaqBhU8_DElYkX7l4wRkHqqCUFNJY4AfY3kHU/edit?usp=sharing  #gid=0"",""фіз особи new!relations_name_uo""),7,FALSE)
,
)
))"),"#N/A")</f>
        <v>#N/A</v>
      </c>
      <c r="J21" s="7" t="s">
        <v>17</v>
      </c>
    </row>
    <row r="22" spans="1:10" ht="13.2">
      <c r="A22" s="7">
        <v>21</v>
      </c>
      <c r="B22" s="7">
        <v>1</v>
      </c>
      <c r="C22" s="7" t="s">
        <v>10</v>
      </c>
      <c r="D22" s="7">
        <v>7</v>
      </c>
      <c r="E22" s="7" t="s">
        <v>12</v>
      </c>
      <c r="F22" s="8" t="str">
        <f ca="1">IFERROR(__xludf.DUMMYFUNCTION("IF
(
C23=""фізична особа""
,
VLOOKUP(D23,IMPORTRANGE(""https://docs.google.com/spreadsheets/d/14Bd19lYaqBhU8_DElYkX7l4wRkHqqCUFNJY4AfY3kHU/edit?usp=sharing  #gid=0"",""фіз особи new!relations_name""),6,FALSE)
,
(IF
(
C23=""юридична особа""
,
VLOOKUP(D23,I"&amp;"MPORTRANGE(""https://docs.google.com/spreadsheets/d/14Bd19lYaqBhU8_DElYkX7l4wRkHqqCUFNJY4AfY3kHU/edit?usp=sharing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22" s="7" t="s">
        <v>10</v>
      </c>
      <c r="H22" s="7">
        <v>0</v>
      </c>
      <c r="I22" s="8" t="str">
        <f ca="1">IFERROR(__xludf.DUMMYFUNCTION("IF
(
G23=""фізична особа""
,
VLOOKUP(H23,IMPORTRANGE(""https://docs.google.com/spreadsheets/d/14Bd19lYaqBhU8_DElYkX7l4wRkHqqCUFNJY4AfY3kHU/edit?usp=sharing  #gid=0"",""фіз особи new!relations_name""),6,FALSE)
,
(IF
(
G23=""юридична особа""
,
VLOOKUP(H23,I"&amp;"MPORTRANGE(""https://docs.google.com/spreadsheets/d/14Bd19lYaqBhU8_DElYkX7l4wRkHqqCUFNJY4AfY3kHU/edit?usp=sharing  #gid=0"",""фіз особи new!relations_name_uo""),7,FALSE)
,
)
))"),"#N/A")</f>
        <v>#N/A</v>
      </c>
      <c r="J22" s="7" t="s">
        <v>13</v>
      </c>
    </row>
    <row r="23" spans="1:10" ht="13.2">
      <c r="A23" s="7">
        <v>22</v>
      </c>
      <c r="B23" s="7">
        <v>1</v>
      </c>
      <c r="C23" s="7" t="s">
        <v>10</v>
      </c>
      <c r="D23" s="7">
        <v>7</v>
      </c>
      <c r="E23" s="7" t="s">
        <v>12</v>
      </c>
      <c r="F23" s="8" t="str">
        <f ca="1">IFERROR(__xludf.DUMMYFUNCTION("IF
(
C24=""фізична особа""
,
VLOOKUP(D24,IMPORTRANGE(""https://docs.google.com/spreadsheets/d/14Bd19lYaqBhU8_DElYkX7l4wRkHqqCUFNJY4AfY3kHU/edit?usp=sharing  #gid=0"",""фіз особи new!relations_name""),6,FALSE)
,
(IF
(
C24=""юридична особа""
,
VLOOKUP(D24,I"&amp;"MPORTRANGE(""https://docs.google.com/spreadsheets/d/14Bd19lYaqBhU8_DElYkX7l4wRkHqqCUFNJY4AfY3kHU/edit?usp=sharing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23" s="7" t="s">
        <v>10</v>
      </c>
      <c r="H23" s="7">
        <v>0</v>
      </c>
      <c r="I23" s="8" t="str">
        <f ca="1">IFERROR(__xludf.DUMMYFUNCTION("IF
(
G24=""фізична особа""
,
VLOOKUP(H24,IMPORTRANGE(""https://docs.google.com/spreadsheets/d/14Bd19lYaqBhU8_DElYkX7l4wRkHqqCUFNJY4AfY3kHU/edit?usp=sharing  #gid=0"",""фіз особи new!relations_name""),6,FALSE)
,
(IF
(
G24=""юридична особа""
,
VLOOKUP(H24,I"&amp;"MPORTRANGE(""https://docs.google.com/spreadsheets/d/14Bd19lYaqBhU8_DElYkX7l4wRkHqqCUFNJY4AfY3kHU/edit?usp=sharing  #gid=0"",""фіз особи new!relations_name_uo""),7,FALSE)
,
)
))"),"#N/A")</f>
        <v>#N/A</v>
      </c>
      <c r="J23" s="7" t="s">
        <v>17</v>
      </c>
    </row>
    <row r="24" spans="1:10" ht="13.2">
      <c r="A24" s="7">
        <v>23</v>
      </c>
      <c r="B24" s="7">
        <v>1</v>
      </c>
      <c r="C24" s="7" t="s">
        <v>10</v>
      </c>
      <c r="D24" s="7">
        <v>7</v>
      </c>
      <c r="E24" s="7" t="s">
        <v>12</v>
      </c>
      <c r="F24" s="8" t="str">
        <f ca="1">IFERROR(__xludf.DUMMYFUNCTION("IF
(
C25=""фізична особа""
,
VLOOKUP(D25,IMPORTRANGE(""https://docs.google.com/spreadsheets/d/14Bd19lYaqBhU8_DElYkX7l4wRkHqqCUFNJY4AfY3kHU/edit?usp=sharing  #gid=0"",""фіз особи new!relations_name""),6,FALSE)
,
(IF
(
C25=""юридична особа""
,
VLOOKUP(D25,I"&amp;"MPORTRANGE(""https://docs.google.com/spreadsheets/d/14Bd19lYaqBhU8_DElYkX7l4wRkHqqCUFNJY4AfY3kHU/edit?usp=sharing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24" s="7" t="s">
        <v>10</v>
      </c>
      <c r="H24" s="7">
        <v>0</v>
      </c>
      <c r="I24" s="8" t="str">
        <f ca="1">IFERROR(__xludf.DUMMYFUNCTION("IF
(
G25=""фізична особа""
,
VLOOKUP(H25,IMPORTRANGE(""https://docs.google.com/spreadsheets/d/14Bd19lYaqBhU8_DElYkX7l4wRkHqqCUFNJY4AfY3kHU/edit?usp=sharing  #gid=0"",""фіз особи new!relations_name""),6,FALSE)
,
(IF
(
G25=""юридична особа""
,
VLOOKUP(H25,I"&amp;"MPORTRANGE(""https://docs.google.com/spreadsheets/d/14Bd19lYaqBhU8_DElYkX7l4wRkHqqCUFNJY4AfY3kHU/edit?usp=sharing  #gid=0"",""фіз особи new!relations_name_uo""),7,FALSE)
,
)
))"),"#N/A")</f>
        <v>#N/A</v>
      </c>
      <c r="J24" s="7" t="s">
        <v>13</v>
      </c>
    </row>
    <row r="25" spans="1:10" ht="13.2">
      <c r="A25" s="7">
        <v>24</v>
      </c>
      <c r="B25" s="7">
        <v>1</v>
      </c>
      <c r="C25" s="7" t="s">
        <v>10</v>
      </c>
      <c r="D25" s="7">
        <v>8</v>
      </c>
      <c r="E25" s="7" t="s">
        <v>18</v>
      </c>
      <c r="F25" s="8" t="str">
        <f ca="1">IFERROR(__xludf.DUMMYFUNCTION("IF
(
C26=""фізична особа""
,
VLOOKUP(D26,IMPORTRANGE(""https://docs.google.com/spreadsheets/d/14Bd19lYaqBhU8_DElYkX7l4wRkHqqCUFNJY4AfY3kHU/edit?usp=sharing  #gid=0"",""фіз особи new!relations_name""),6,FALSE)
,
(IF
(
C26=""юридична особа""
,
VLOOKUP(D26,I"&amp;"MPORTRANGE(""https://docs.google.com/spreadsheets/d/14Bd19lYaqBhU8_DElYkX7l4wRkHqqCUFNJY4AfY3kHU/edit?usp=sharing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G25" s="7" t="s">
        <v>10</v>
      </c>
      <c r="H25" s="7">
        <v>4549</v>
      </c>
      <c r="I25" s="8" t="str">
        <f ca="1">IFERROR(__xludf.DUMMYFUNCTION("IF
(
G26=""фізична особа""
,
VLOOKUP(H26,IMPORTRANGE(""https://docs.google.com/spreadsheets/d/14Bd19lYaqBhU8_DElYkX7l4wRkHqqCUFNJY4AfY3kHU/edit?usp=sharing  #gid=0"",""фіз особи new!relations_name""),6,FALSE)
,
(IF
(
G26=""юридична особа""
,
VLOOKUP(H26,I"&amp;"MPORTRANGE(""https://docs.google.com/spreadsheets/d/14Bd19lYaqBhU8_DElYkX7l4wRkHqqCUFNJY4AfY3kHU/edit?usp=sharing  #gid=0"",""фіз особи new!relations_name_uo""),7,FALSE)
,
)
))"),"ТКАЧОВ Олександр Миколайович")</f>
        <v>ТКАЧОВ Олександр Миколайович</v>
      </c>
      <c r="J25" s="7" t="s">
        <v>18</v>
      </c>
    </row>
    <row r="26" spans="1:10" ht="13.2">
      <c r="A26" s="7">
        <v>25</v>
      </c>
      <c r="B26" s="7">
        <v>1</v>
      </c>
      <c r="C26" s="7" t="s">
        <v>10</v>
      </c>
      <c r="D26" s="7">
        <v>8</v>
      </c>
      <c r="E26" s="7" t="s">
        <v>17</v>
      </c>
      <c r="F26" s="8" t="str">
        <f ca="1">IFERROR(__xludf.DUMMYFUNCTION("IF
(
C27=""фізична особа""
,
VLOOKUP(D27,IMPORTRANGE(""https://docs.google.com/spreadsheets/d/14Bd19lYaqBhU8_DElYkX7l4wRkHqqCUFNJY4AfY3kHU/edit?usp=sharing  #gid=0"",""фіз особи new!relations_name""),6,FALSE)
,
(IF
(
C27=""юридична особа""
,
VLOOKUP(D27,I"&amp;"MPORTRANGE(""https://docs.google.com/spreadsheets/d/14Bd19lYaqBhU8_DElYkX7l4wRkHqqCUFNJY4AfY3kHU/edit?usp=sharing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G26" s="7" t="s">
        <v>10</v>
      </c>
      <c r="H26" s="7">
        <v>0</v>
      </c>
      <c r="I26" s="8" t="str">
        <f ca="1">IFERROR(__xludf.DUMMYFUNCTION("IF
(
G27=""фізична особа""
,
VLOOKUP(H27,IMPORTRANGE(""https://docs.google.com/spreadsheets/d/14Bd19lYaqBhU8_DElYkX7l4wRkHqqCUFNJY4AfY3kHU/edit?usp=sharing  #gid=0"",""фіз особи new!relations_name""),6,FALSE)
,
(IF
(
G27=""юридична особа""
,
VLOOKUP(H27,I"&amp;"MPORTRANGE(""https://docs.google.com/spreadsheets/d/14Bd19lYaqBhU8_DElYkX7l4wRkHqqCUFNJY4AfY3kHU/edit?usp=sharing  #gid=0"",""фіз особи new!relations_name_uo""),7,FALSE)
,
)
))"),"#N/A")</f>
        <v>#N/A</v>
      </c>
      <c r="J26" s="7" t="s">
        <v>21</v>
      </c>
    </row>
    <row r="27" spans="1:10" ht="13.2">
      <c r="A27" s="7">
        <v>26</v>
      </c>
      <c r="B27" s="7">
        <v>1</v>
      </c>
      <c r="C27" s="7" t="s">
        <v>10</v>
      </c>
      <c r="D27" s="7">
        <v>8</v>
      </c>
      <c r="E27" s="7" t="s">
        <v>12</v>
      </c>
      <c r="F27" s="8" t="str">
        <f ca="1">IFERROR(__xludf.DUMMYFUNCTION("IF
(
C28=""фізична особа""
,
VLOOKUP(D28,IMPORTRANGE(""https://docs.google.com/spreadsheets/d/14Bd19lYaqBhU8_DElYkX7l4wRkHqqCUFNJY4AfY3kHU/edit?usp=sharing  #gid=0"",""фіз особи new!relations_name""),6,FALSE)
,
(IF
(
C28=""юридична особа""
,
VLOOKUP(D28,I"&amp;"MPORTRANGE(""https://docs.google.com/spreadsheets/d/14Bd19lYaqBhU8_DElYkX7l4wRkHqqCUFNJY4AfY3kHU/edit?usp=sharing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G27" s="7" t="s">
        <v>10</v>
      </c>
      <c r="H27" s="7">
        <v>4068</v>
      </c>
      <c r="I27" s="8" t="str">
        <f ca="1">IFERROR(__xludf.DUMMYFUNCTION("IF
(
G28=""фізична особа""
,
VLOOKUP(H28,IMPORTRANGE(""https://docs.google.com/spreadsheets/d/14Bd19lYaqBhU8_DElYkX7l4wRkHqqCUFNJY4AfY3kHU/edit?usp=sharing  #gid=0"",""фіз особи new!relations_name""),6,FALSE)
,
(IF
(
G28=""юридична особа""
,
VLOOKUP(H28,I"&amp;"MPORTRANGE(""https://docs.google.com/spreadsheets/d/14Bd19lYaqBhU8_DElYkX7l4wRkHqqCUFNJY4AfY3kHU/edit?usp=sharing  #gid=0"",""фіз особи new!relations_name_uo""),7,FALSE)
,
)
))"),"КРАТТЛІ Анастасія Олексіївна")</f>
        <v>КРАТТЛІ Анастасія Олексіївна</v>
      </c>
      <c r="J27" s="7" t="s">
        <v>13</v>
      </c>
    </row>
    <row r="28" spans="1:10" ht="13.2">
      <c r="A28" s="7">
        <v>27</v>
      </c>
      <c r="B28" s="7">
        <v>1</v>
      </c>
      <c r="C28" s="7" t="s">
        <v>10</v>
      </c>
      <c r="D28" s="7">
        <v>8</v>
      </c>
      <c r="E28" s="7" t="s">
        <v>19</v>
      </c>
      <c r="F28" s="8" t="str">
        <f ca="1">IFERROR(__xludf.DUMMYFUNCTION("IF
(
C29=""фізична особа""
,
VLOOKUP(D29,IMPORTRANGE(""https://docs.google.com/spreadsheets/d/14Bd19lYaqBhU8_DElYkX7l4wRkHqqCUFNJY4AfY3kHU/edit?usp=sharing  #gid=0"",""фіз особи new!relations_name""),6,FALSE)
,
(IF
(
C29=""юридична особа""
,
VLOOKUP(D29,I"&amp;"MPORTRANGE(""https://docs.google.com/spreadsheets/d/14Bd19lYaqBhU8_DElYkX7l4wRkHqqCUFNJY4AfY3kHU/edit?usp=sharing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G28" s="7" t="s">
        <v>10</v>
      </c>
      <c r="H28" s="7">
        <v>0</v>
      </c>
      <c r="I28" s="8" t="str">
        <f ca="1">IFERROR(__xludf.DUMMYFUNCTION("IF
(
G29=""фізична особа""
,
VLOOKUP(H29,IMPORTRANGE(""https://docs.google.com/spreadsheets/d/14Bd19lYaqBhU8_DElYkX7l4wRkHqqCUFNJY4AfY3kHU/edit?usp=sharing  #gid=0"",""фіз особи new!relations_name""),6,FALSE)
,
(IF
(
G29=""юридична особа""
,
VLOOKUP(H29,I"&amp;"MPORTRANGE(""https://docs.google.com/spreadsheets/d/14Bd19lYaqBhU8_DElYkX7l4wRkHqqCUFNJY4AfY3kHU/edit?usp=sharing  #gid=0"",""фіз особи new!relations_name_uo""),7,FALSE)
,
)
))"),"#N/A")</f>
        <v>#N/A</v>
      </c>
      <c r="J28" s="7" t="s">
        <v>22</v>
      </c>
    </row>
    <row r="29" spans="1:10" ht="13.2">
      <c r="A29" s="7">
        <v>28</v>
      </c>
      <c r="B29" s="7">
        <v>1</v>
      </c>
      <c r="C29" s="7" t="s">
        <v>10</v>
      </c>
      <c r="D29" s="7">
        <v>10</v>
      </c>
      <c r="E29" s="7" t="s">
        <v>14</v>
      </c>
      <c r="F29" s="8" t="str">
        <f ca="1">IFERROR(__xludf.DUMMYFUNCTION("IF
(
C30=""фізична особа""
,
VLOOKUP(D30,IMPORTRANGE(""https://docs.google.com/spreadsheets/d/14Bd19lYaqBhU8_DElYkX7l4wRkHqqCUFNJY4AfY3kHU/edit?usp=sharing  #gid=0"",""фіз особи new!relations_name""),6,FALSE)
,
(IF
(
C30=""юридична особа""
,
VLOOKUP(D30,I"&amp;"MPORTRANGE(""https://docs.google.com/spreadsheets/d/14Bd19lYaqBhU8_DElYkX7l4wRkHqqCUFNJY4AfY3kHU/edit?usp=sharing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G29" s="7" t="s">
        <v>10</v>
      </c>
      <c r="H29" s="7">
        <v>4070</v>
      </c>
      <c r="I29" s="8" t="str">
        <f ca="1">IFERROR(__xludf.DUMMYFUNCTION("IF
(
G30=""фізична особа""
,
VLOOKUP(H30,IMPORTRANGE(""https://docs.google.com/spreadsheets/d/14Bd19lYaqBhU8_DElYkX7l4wRkHqqCUFNJY4AfY3kHU/edit?usp=sharing  #gid=0"",""фіз особи new!relations_name""),6,FALSE)
,
(IF
(
G30=""юридична особа""
,
VLOOKUP(H30,I"&amp;"MPORTRANGE(""https://docs.google.com/spreadsheets/d/14Bd19lYaqBhU8_DElYkX7l4wRkHqqCUFNJY4AfY3kHU/edit?usp=sharing  #gid=0"",""фіз особи new!relations_name_uo""),7,FALSE)
,
)
))"),"ЧЕПА Ірина Валентинівна")</f>
        <v>ЧЕПА Ірина Валентинівна</v>
      </c>
      <c r="J29" s="7" t="s">
        <v>15</v>
      </c>
    </row>
    <row r="30" spans="1:10" ht="13.2">
      <c r="A30" s="7">
        <v>29</v>
      </c>
      <c r="B30" s="7">
        <v>1</v>
      </c>
      <c r="C30" s="7" t="s">
        <v>10</v>
      </c>
      <c r="D30" s="7">
        <v>10</v>
      </c>
      <c r="E30" s="7" t="s">
        <v>12</v>
      </c>
      <c r="F30" s="8" t="str">
        <f ca="1">IFERROR(__xludf.DUMMYFUNCTION("IF
(
C31=""фізична особа""
,
VLOOKUP(D31,IMPORTRANGE(""https://docs.google.com/spreadsheets/d/14Bd19lYaqBhU8_DElYkX7l4wRkHqqCUFNJY4AfY3kHU/edit?usp=sharing  #gid=0"",""фіз особи new!relations_name""),6,FALSE)
,
(IF
(
C31=""юридична особа""
,
VLOOKUP(D31,I"&amp;"MPORTRANGE(""https://docs.google.com/spreadsheets/d/14Bd19lYaqBhU8_DElYkX7l4wRkHqqCUFNJY4AfY3kHU/edit?usp=sharing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G30" s="7" t="s">
        <v>10</v>
      </c>
      <c r="H30" s="7">
        <v>4071</v>
      </c>
      <c r="I30" s="8" t="str">
        <f ca="1">IFERROR(__xludf.DUMMYFUNCTION("IF
(
G31=""фізична особа""
,
VLOOKUP(H31,IMPORTRANGE(""https://docs.google.com/spreadsheets/d/14Bd19lYaqBhU8_DElYkX7l4wRkHqqCUFNJY4AfY3kHU/edit?usp=sharing  #gid=0"",""фіз особи new!relations_name""),6,FALSE)
,
(IF
(
G31=""юридична особа""
,
VLOOKUP(H31,I"&amp;"MPORTRANGE(""https://docs.google.com/spreadsheets/d/14Bd19lYaqBhU8_DElYkX7l4wRkHqqCUFNJY4AfY3kHU/edit?usp=sharing  #gid=0"",""фіз особи new!relations_name_uo""),7,FALSE)
,
)
))"),"ЧЕПА Анастасія Олексіївна")</f>
        <v>ЧЕПА Анастасія Олексіївна</v>
      </c>
      <c r="J30" s="7" t="s">
        <v>13</v>
      </c>
    </row>
    <row r="31" spans="1:10" ht="13.2">
      <c r="A31" s="7">
        <v>30</v>
      </c>
      <c r="B31" s="7">
        <v>1</v>
      </c>
      <c r="C31" s="7" t="s">
        <v>10</v>
      </c>
      <c r="D31" s="7">
        <v>10</v>
      </c>
      <c r="E31" s="7" t="s">
        <v>12</v>
      </c>
      <c r="F31" s="8" t="str">
        <f ca="1">IFERROR(__xludf.DUMMYFUNCTION("IF
(
C32=""фізична особа""
,
VLOOKUP(D32,IMPORTRANGE(""https://docs.google.com/spreadsheets/d/14Bd19lYaqBhU8_DElYkX7l4wRkHqqCUFNJY4AfY3kHU/edit?usp=sharing  #gid=0"",""фіз особи new!relations_name""),6,FALSE)
,
(IF
(
C32=""юридична особа""
,
VLOOKUP(D32,I"&amp;"MPORTRANGE(""https://docs.google.com/spreadsheets/d/14Bd19lYaqBhU8_DElYkX7l4wRkHqqCUFNJY4AfY3kHU/edit?usp=sharing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G31" s="7" t="s">
        <v>10</v>
      </c>
      <c r="H31" s="7">
        <v>18053</v>
      </c>
      <c r="I31" s="8" t="str">
        <f ca="1">IFERROR(__xludf.DUMMYFUNCTION("IF
(
G32=""фізична особа""
,
VLOOKUP(H32,IMPORTRANGE(""https://docs.google.com/spreadsheets/d/14Bd19lYaqBhU8_DElYkX7l4wRkHqqCUFNJY4AfY3kHU/edit?usp=sharing  #gid=0"",""фіз особи new!relations_name""),6,FALSE)
,
(IF
(
G32=""юридична особа""
,
VLOOKUP(H32,I"&amp;"MPORTRANGE(""https://docs.google.com/spreadsheets/d/14Bd19lYaqBhU8_DElYkX7l4wRkHqqCUFNJY4AfY3kHU/edit?usp=sharing  #gid=0"",""фіз особи new!relations_name_uo""),7,FALSE)
,
)
))"),"ЧЕПА Данило Олексійович")</f>
        <v>ЧЕПА Данило Олексійович</v>
      </c>
      <c r="J31" s="7" t="s">
        <v>17</v>
      </c>
    </row>
    <row r="32" spans="1:10" ht="13.2">
      <c r="A32" s="7">
        <v>31</v>
      </c>
      <c r="B32" s="7">
        <v>1</v>
      </c>
      <c r="C32" s="7" t="s">
        <v>10</v>
      </c>
      <c r="D32" s="7">
        <v>10</v>
      </c>
      <c r="E32" s="7" t="s">
        <v>23</v>
      </c>
      <c r="F32" s="8" t="str">
        <f ca="1">IFERROR(__xludf.DUMMYFUNCTION("IF
(
C33=""фізична особа""
,
VLOOKUP(D33,IMPORTRANGE(""https://docs.google.com/spreadsheets/d/14Bd19lYaqBhU8_DElYkX7l4wRkHqqCUFNJY4AfY3kHU/edit?usp=sharing  #gid=0"",""фіз особи new!relations_name""),6,FALSE)
,
(IF
(
C33=""юридична особа""
,
VLOOKUP(D33,I"&amp;"MPORTRANGE(""https://docs.google.com/spreadsheets/d/14Bd19lYaqBhU8_DElYkX7l4wRkHqqCUFNJY4AfY3kHU/edit?usp=sharing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G32" s="7" t="s">
        <v>10</v>
      </c>
      <c r="H32" s="7">
        <v>0</v>
      </c>
      <c r="I32" s="8" t="str">
        <f ca="1">IFERROR(__xludf.DUMMYFUNCTION("IF
(
G33=""фізична особа""
,
VLOOKUP(H33,IMPORTRANGE(""https://docs.google.com/spreadsheets/d/14Bd19lYaqBhU8_DElYkX7l4wRkHqqCUFNJY4AfY3kHU/edit?usp=sharing  #gid=0"",""фіз особи new!relations_name""),6,FALSE)
,
(IF
(
G33=""юридична особа""
,
VLOOKUP(H33,I"&amp;"MPORTRANGE(""https://docs.google.com/spreadsheets/d/14Bd19lYaqBhU8_DElYkX7l4wRkHqqCUFNJY4AfY3kHU/edit?usp=sharing  #gid=0"",""фіз особи new!relations_name_uo""),7,FALSE)
,
)
))"),"#N/A")</f>
        <v>#N/A</v>
      </c>
      <c r="J32" s="7" t="s">
        <v>23</v>
      </c>
    </row>
    <row r="33" spans="1:10" ht="13.2">
      <c r="A33" s="7">
        <v>32</v>
      </c>
      <c r="B33" s="7">
        <v>1</v>
      </c>
      <c r="C33" s="7" t="s">
        <v>10</v>
      </c>
      <c r="D33" s="7">
        <v>11</v>
      </c>
      <c r="E33" s="7" t="s">
        <v>12</v>
      </c>
      <c r="F33" s="8" t="str">
        <f ca="1">IFERROR(__xludf.DUMMYFUNCTION("IF
(
C34=""фізична особа""
,
VLOOKUP(D34,IMPORTRANGE(""https://docs.google.com/spreadsheets/d/14Bd19lYaqBhU8_DElYkX7l4wRkHqqCUFNJY4AfY3kHU/edit?usp=sharing  #gid=0"",""фіз особи new!relations_name""),6,FALSE)
,
(IF
(
C34=""юридична особа""
,
VLOOKUP(D34,I"&amp;"MPORTRANGE(""https://docs.google.com/spreadsheets/d/14Bd19lYaqBhU8_DElYkX7l4wRkHqqCUFNJY4AfY3kHU/edit?usp=sharing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G33" s="7" t="s">
        <v>10</v>
      </c>
      <c r="H33" s="7">
        <v>4072</v>
      </c>
      <c r="I33" s="8" t="str">
        <f ca="1">IFERROR(__xludf.DUMMYFUNCTION("IF
(
G34=""фізична особа""
,
VLOOKUP(H34,IMPORTRANGE(""https://docs.google.com/spreadsheets/d/14Bd19lYaqBhU8_DElYkX7l4wRkHqqCUFNJY4AfY3kHU/edit?usp=sharing  #gid=0"",""фіз особи new!relations_name""),6,FALSE)
,
(IF
(
G34=""юридична особа""
,
VLOOKUP(H34,I"&amp;"MPORTRANGE(""https://docs.google.com/spreadsheets/d/14Bd19lYaqBhU8_DElYkX7l4wRkHqqCUFNJY4AfY3kHU/edit?usp=sharing  #gid=0"",""фіз особи new!relations_name_uo""),7,FALSE)
,
)
))"),"ГОРДЄЄВ Микита Олексійович")</f>
        <v>ГОРДЄЄВ Микита Олексійович</v>
      </c>
      <c r="J33" s="7" t="s">
        <v>17</v>
      </c>
    </row>
    <row r="34" spans="1:10" ht="13.2">
      <c r="A34" s="7">
        <v>33</v>
      </c>
      <c r="B34" s="7">
        <v>1</v>
      </c>
      <c r="C34" s="7" t="s">
        <v>10</v>
      </c>
      <c r="D34" s="7">
        <v>11</v>
      </c>
      <c r="E34" s="7" t="s">
        <v>24</v>
      </c>
      <c r="F34" s="8" t="str">
        <f ca="1">IFERROR(__xludf.DUMMYFUNCTION("IF
(
C35=""фізична особа""
,
VLOOKUP(D35,IMPORTRANGE(""https://docs.google.com/spreadsheets/d/14Bd19lYaqBhU8_DElYkX7l4wRkHqqCUFNJY4AfY3kHU/edit?usp=sharing  #gid=0"",""фіз особи new!relations_name""),6,FALSE)
,
(IF
(
C35=""юридична особа""
,
VLOOKUP(D35,I"&amp;"MPORTRANGE(""https://docs.google.com/spreadsheets/d/14Bd19lYaqBhU8_DElYkX7l4wRkHqqCUFNJY4AfY3kHU/edit?usp=sharing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G34" s="7" t="s">
        <v>10</v>
      </c>
      <c r="H34" s="7">
        <v>4073</v>
      </c>
      <c r="I34" s="8" t="str">
        <f ca="1">IFERROR(__xludf.DUMMYFUNCTION("IF
(
G35=""фізична особа""
,
VLOOKUP(H35,IMPORTRANGE(""https://docs.google.com/spreadsheets/d/14Bd19lYaqBhU8_DElYkX7l4wRkHqqCUFNJY4AfY3kHU/edit?usp=sharing  #gid=0"",""фіз особи new!relations_name""),6,FALSE)
,
(IF
(
G35=""юридична особа""
,
VLOOKUP(H35,I"&amp;"MPORTRANGE(""https://docs.google.com/spreadsheets/d/14Bd19lYaqBhU8_DElYkX7l4wRkHqqCUFNJY4AfY3kHU/edit?usp=sharing  #gid=0"",""фіз особи new!relations_name_uo""),7,FALSE)
,
)
))"),"ГОРДЄЄВА Аріна Ханувна")</f>
        <v>ГОРДЄЄВА Аріна Ханувна</v>
      </c>
      <c r="J34" s="7" t="s">
        <v>25</v>
      </c>
    </row>
    <row r="35" spans="1:10" ht="13.2">
      <c r="A35" s="7">
        <v>34</v>
      </c>
      <c r="B35" s="7">
        <v>1</v>
      </c>
      <c r="C35" s="7" t="s">
        <v>10</v>
      </c>
      <c r="D35" s="7">
        <v>11</v>
      </c>
      <c r="E35" s="7" t="s">
        <v>14</v>
      </c>
      <c r="F35" s="8" t="str">
        <f ca="1">IFERROR(__xludf.DUMMYFUNCTION("IF
(
C36=""фізична особа""
,
VLOOKUP(D36,IMPORTRANGE(""https://docs.google.com/spreadsheets/d/14Bd19lYaqBhU8_DElYkX7l4wRkHqqCUFNJY4AfY3kHU/edit?usp=sharing  #gid=0"",""фіз особи new!relations_name""),6,FALSE)
,
(IF
(
C36=""юридична особа""
,
VLOOKUP(D36,I"&amp;"MPORTRANGE(""https://docs.google.com/spreadsheets/d/14Bd19lYaqBhU8_DElYkX7l4wRkHqqCUFNJY4AfY3kHU/edit?usp=sharing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G35" s="7" t="s">
        <v>10</v>
      </c>
      <c r="H35" s="7">
        <v>4074</v>
      </c>
      <c r="I35" s="8" t="str">
        <f ca="1">IFERROR(__xludf.DUMMYFUNCTION("IF
(
G36=""фізична особа""
,
VLOOKUP(H36,IMPORTRANGE(""https://docs.google.com/spreadsheets/d/14Bd19lYaqBhU8_DElYkX7l4wRkHqqCUFNJY4AfY3kHU/edit?usp=sharing  #gid=0"",""фіз особи new!relations_name""),6,FALSE)
,
(IF
(
G36=""юридична особа""
,
VLOOKUP(H36,I"&amp;"MPORTRANGE(""https://docs.google.com/spreadsheets/d/14Bd19lYaqBhU8_DElYkX7l4wRkHqqCUFNJY4AfY3kHU/edit?usp=sharing  #gid=0"",""фіз особи new!relations_name_uo""),7,FALSE)
,
)
))"),"ГОРДЄЄВА Тетяна Олександрівна")</f>
        <v>ГОРДЄЄВА Тетяна Олександрівна</v>
      </c>
      <c r="J35" s="7" t="s">
        <v>15</v>
      </c>
    </row>
    <row r="36" spans="1:10" ht="13.2">
      <c r="A36" s="7">
        <v>35</v>
      </c>
      <c r="B36" s="7">
        <v>1</v>
      </c>
      <c r="C36" s="7" t="s">
        <v>10</v>
      </c>
      <c r="D36" s="7">
        <v>11</v>
      </c>
      <c r="E36" s="7" t="s">
        <v>12</v>
      </c>
      <c r="F36" s="8" t="str">
        <f ca="1">IFERROR(__xludf.DUMMYFUNCTION("IF
(
C37=""фізична особа""
,
VLOOKUP(D37,IMPORTRANGE(""https://docs.google.com/spreadsheets/d/14Bd19lYaqBhU8_DElYkX7l4wRkHqqCUFNJY4AfY3kHU/edit?usp=sharing  #gid=0"",""фіз особи new!relations_name""),6,FALSE)
,
(IF
(
C37=""юридична особа""
,
VLOOKUP(D37,I"&amp;"MPORTRANGE(""https://docs.google.com/spreadsheets/d/14Bd19lYaqBhU8_DElYkX7l4wRkHqqCUFNJY4AfY3kHU/edit?usp=sharing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G36" s="7" t="s">
        <v>10</v>
      </c>
      <c r="H36" s="7">
        <v>4075</v>
      </c>
      <c r="I36" s="8" t="str">
        <f ca="1">IFERROR(__xludf.DUMMYFUNCTION("IF
(
G37=""фізична особа""
,
VLOOKUP(H37,IMPORTRANGE(""https://docs.google.com/spreadsheets/d/14Bd19lYaqBhU8_DElYkX7l4wRkHqqCUFNJY4AfY3kHU/edit?usp=sharing  #gid=0"",""фіз особи new!relations_name""),6,FALSE)
,
(IF
(
G37=""юридична особа""
,
VLOOKUP(H37,I"&amp;"MPORTRANGE(""https://docs.google.com/spreadsheets/d/14Bd19lYaqBhU8_DElYkX7l4wRkHqqCUFNJY4AfY3kHU/edit?usp=sharing  #gid=0"",""фіз особи new!relations_name_uo""),7,FALSE)
,
)
))"),"МАСЛОВА Варвара Олексіївна")</f>
        <v>МАСЛОВА Варвара Олексіївна</v>
      </c>
      <c r="J36" s="7" t="s">
        <v>13</v>
      </c>
    </row>
    <row r="37" spans="1:10" ht="13.2">
      <c r="A37" s="7">
        <v>36</v>
      </c>
      <c r="B37" s="7">
        <v>1</v>
      </c>
      <c r="C37" s="7" t="s">
        <v>10</v>
      </c>
      <c r="D37" s="7">
        <v>11</v>
      </c>
      <c r="E37" s="7" t="s">
        <v>26</v>
      </c>
      <c r="F37" s="8" t="str">
        <f ca="1">IFERROR(__xludf.DUMMYFUNCTION("IF
(
C38=""фізична особа""
,
VLOOKUP(D38,IMPORTRANGE(""https://docs.google.com/spreadsheets/d/14Bd19lYaqBhU8_DElYkX7l4wRkHqqCUFNJY4AfY3kHU/edit?usp=sharing  #gid=0"",""фіз особи new!relations_name""),6,FALSE)
,
(IF
(
C38=""юридична особа""
,
VLOOKUP(D38,I"&amp;"MPORTRANGE(""https://docs.google.com/spreadsheets/d/14Bd19lYaqBhU8_DElYkX7l4wRkHqqCUFNJY4AfY3kHU/edit?usp=sharing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G37" s="7" t="s">
        <v>10</v>
      </c>
      <c r="H37" s="7">
        <v>0</v>
      </c>
      <c r="I37" s="8" t="str">
        <f ca="1">IFERROR(__xludf.DUMMYFUNCTION("IF
(
G38=""фізична особа""
,
VLOOKUP(H38,IMPORTRANGE(""https://docs.google.com/spreadsheets/d/14Bd19lYaqBhU8_DElYkX7l4wRkHqqCUFNJY4AfY3kHU/edit?usp=sharing  #gid=0"",""фіз особи new!relations_name""),6,FALSE)
,
(IF
(
G38=""юридична особа""
,
VLOOKUP(H38,I"&amp;"MPORTRANGE(""https://docs.google.com/spreadsheets/d/14Bd19lYaqBhU8_DElYkX7l4wRkHqqCUFNJY4AfY3kHU/edit?usp=sharing  #gid=0"",""фіз особи new!relations_name_uo""),7,FALSE)
,
)
))"),"#N/A")</f>
        <v>#N/A</v>
      </c>
      <c r="J37" s="7" t="s">
        <v>27</v>
      </c>
    </row>
    <row r="38" spans="1:10" ht="13.2">
      <c r="A38" s="7">
        <v>37</v>
      </c>
      <c r="B38" s="7">
        <v>1</v>
      </c>
      <c r="C38" s="7" t="s">
        <v>10</v>
      </c>
      <c r="D38" s="7">
        <v>12</v>
      </c>
      <c r="E38" s="7" t="s">
        <v>23</v>
      </c>
      <c r="F38" s="8" t="str">
        <f ca="1">IFERROR(__xludf.DUMMYFUNCTION("IF
(
C39=""фізична особа""
,
VLOOKUP(D39,IMPORTRANGE(""https://docs.google.com/spreadsheets/d/14Bd19lYaqBhU8_DElYkX7l4wRkHqqCUFNJY4AfY3kHU/edit?usp=sharing  #gid=0"",""фіз особи new!relations_name""),6,FALSE)
,
(IF
(
C39=""юридична особа""
,
VLOOKUP(D39,I"&amp;"MPORTRANGE(""https://docs.google.com/spreadsheets/d/14Bd19lYaqBhU8_DElYkX7l4wRkHqqCUFNJY4AfY3kHU/edit?usp=sharing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G38" s="7" t="s">
        <v>10</v>
      </c>
      <c r="H38" s="7">
        <v>880</v>
      </c>
      <c r="I38" s="8" t="str">
        <f ca="1">IFERROR(__xludf.DUMMYFUNCTION("IF
(
G39=""фізична особа""
,
VLOOKUP(H39,IMPORTRANGE(""https://docs.google.com/spreadsheets/d/14Bd19lYaqBhU8_DElYkX7l4wRkHqqCUFNJY4AfY3kHU/edit?usp=sharing  #gid=0"",""фіз особи new!relations_name""),6,FALSE)
,
(IF
(
G39=""юридична особа""
,
VLOOKUP(H39,I"&amp;"MPORTRANGE(""https://docs.google.com/spreadsheets/d/14Bd19lYaqBhU8_DElYkX7l4wRkHqqCUFNJY4AfY3kHU/edit?usp=sharing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" s="7" t="s">
        <v>23</v>
      </c>
    </row>
    <row r="39" spans="1:10" ht="13.2">
      <c r="A39" s="7">
        <v>38</v>
      </c>
      <c r="B39" s="7">
        <v>1</v>
      </c>
      <c r="C39" s="7" t="s">
        <v>10</v>
      </c>
      <c r="D39" s="7">
        <v>12</v>
      </c>
      <c r="E39" s="7" t="s">
        <v>23</v>
      </c>
      <c r="F39" s="8" t="str">
        <f ca="1">IFERROR(__xludf.DUMMYFUNCTION("IF
(
C40=""фізична особа""
,
VLOOKUP(D40,IMPORTRANGE(""https://docs.google.com/spreadsheets/d/14Bd19lYaqBhU8_DElYkX7l4wRkHqqCUFNJY4AfY3kHU/edit?usp=sharing  #gid=0"",""фіз особи new!relations_name""),6,FALSE)
,
(IF
(
C40=""юридична особа""
,
VLOOKUP(D40,I"&amp;"MPORTRANGE(""https://docs.google.com/spreadsheets/d/14Bd19lYaqBhU8_DElYkX7l4wRkHqqCUFNJY4AfY3kHU/edit?usp=sharing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G39" s="7" t="s">
        <v>10</v>
      </c>
      <c r="H39" s="7">
        <v>451</v>
      </c>
      <c r="I39" s="8" t="str">
        <f ca="1">IFERROR(__xludf.DUMMYFUNCTION("IF
(
G40=""фізична особа""
,
VLOOKUP(H40,IMPORTRANGE(""https://docs.google.com/spreadsheets/d/14Bd19lYaqBhU8_DElYkX7l4wRkHqqCUFNJY4AfY3kHU/edit?usp=sharing  #gid=0"",""фіз особи new!relations_name""),6,FALSE)
,
(IF
(
G40=""юридична особа""
,
VLOOKUP(H40,I"&amp;"MPORTRANGE(""https://docs.google.com/spreadsheets/d/14Bd19lYaqBhU8_DElYkX7l4wRkHqqCUFNJY4AfY3kHU/edit?usp=sharing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39" s="7" t="s">
        <v>23</v>
      </c>
    </row>
    <row r="40" spans="1:10" ht="13.2">
      <c r="A40" s="7">
        <v>39</v>
      </c>
      <c r="B40" s="7">
        <v>1</v>
      </c>
      <c r="C40" s="7" t="s">
        <v>10</v>
      </c>
      <c r="D40" s="7">
        <v>12</v>
      </c>
      <c r="E40" s="7" t="s">
        <v>23</v>
      </c>
      <c r="F40" s="8" t="str">
        <f ca="1">IFERROR(__xludf.DUMMYFUNCTION("IF
(
C41=""фізична особа""
,
VLOOKUP(D41,IMPORTRANGE(""https://docs.google.com/spreadsheets/d/14Bd19lYaqBhU8_DElYkX7l4wRkHqqCUFNJY4AfY3kHU/edit?usp=sharing  #gid=0"",""фіз особи new!relations_name""),6,FALSE)
,
(IF
(
C41=""юридична особа""
,
VLOOKUP(D41,I"&amp;"MPORTRANGE(""https://docs.google.com/spreadsheets/d/14Bd19lYaqBhU8_DElYkX7l4wRkHqqCUFNJY4AfY3kHU/edit?usp=sharing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G40" s="7" t="s">
        <v>10</v>
      </c>
      <c r="H40" s="7">
        <v>595</v>
      </c>
      <c r="I40" s="8" t="str">
        <f ca="1">IFERROR(__xludf.DUMMYFUNCTION("IF
(
G41=""фізична особа""
,
VLOOKUP(H41,IMPORTRANGE(""https://docs.google.com/spreadsheets/d/14Bd19lYaqBhU8_DElYkX7l4wRkHqqCUFNJY4AfY3kHU/edit?usp=sharing  #gid=0"",""фіз особи new!relations_name""),6,FALSE)
,
(IF
(
G41=""юридична особа""
,
VLOOKUP(H41,I"&amp;"MPORTRANGE(""https://docs.google.com/spreadsheets/d/14Bd19lYaqBhU8_DElYkX7l4wRkHqqCUFNJY4AfY3kHU/edit?usp=sharing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40" s="7" t="s">
        <v>23</v>
      </c>
    </row>
    <row r="41" spans="1:10" ht="13.2">
      <c r="A41" s="7">
        <v>40</v>
      </c>
      <c r="B41" s="7">
        <v>1</v>
      </c>
      <c r="C41" s="7" t="s">
        <v>10</v>
      </c>
      <c r="D41" s="7">
        <v>12</v>
      </c>
      <c r="E41" s="7" t="s">
        <v>23</v>
      </c>
      <c r="F41" s="8" t="str">
        <f ca="1">IFERROR(__xludf.DUMMYFUNCTION("IF
(
C42=""фізична особа""
,
VLOOKUP(D42,IMPORTRANGE(""https://docs.google.com/spreadsheets/d/14Bd19lYaqBhU8_DElYkX7l4wRkHqqCUFNJY4AfY3kHU/edit?usp=sharing  #gid=0"",""фіз особи new!relations_name""),6,FALSE)
,
(IF
(
C42=""юридична особа""
,
VLOOKUP(D42,I"&amp;"MPORTRANGE(""https://docs.google.com/spreadsheets/d/14Bd19lYaqBhU8_DElYkX7l4wRkHqqCUFNJY4AfY3kHU/edit?usp=sharing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G41" s="7" t="s">
        <v>10</v>
      </c>
      <c r="H41" s="7">
        <v>359</v>
      </c>
      <c r="I41" s="8" t="str">
        <f ca="1">IFERROR(__xludf.DUMMYFUNCTION("IF
(
G42=""фізична особа""
,
VLOOKUP(H42,IMPORTRANGE(""https://docs.google.com/spreadsheets/d/14Bd19lYaqBhU8_DElYkX7l4wRkHqqCUFNJY4AfY3kHU/edit?usp=sharing  #gid=0"",""фіз особи new!relations_name""),6,FALSE)
,
(IF
(
G42=""юридична особа""
,
VLOOKUP(H42,I"&amp;"MPORTRANGE(""https://docs.google.com/spreadsheets/d/14Bd19lYaqBhU8_DElYkX7l4wRkHqqCUFNJY4AfY3kHU/edit?usp=sharing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41" s="7" t="s">
        <v>23</v>
      </c>
    </row>
    <row r="42" spans="1:10" ht="13.2">
      <c r="A42" s="7">
        <v>41</v>
      </c>
      <c r="B42" s="7">
        <v>1</v>
      </c>
      <c r="C42" s="7" t="s">
        <v>10</v>
      </c>
      <c r="D42" s="7">
        <v>13</v>
      </c>
      <c r="E42" s="7" t="s">
        <v>28</v>
      </c>
      <c r="F42" s="8" t="str">
        <f ca="1">IFERROR(__xludf.DUMMYFUNCTION("IF
(
C43=""фізична особа""
,
VLOOKUP(D43,IMPORTRANGE(""https://docs.google.com/spreadsheets/d/14Bd19lYaqBhU8_DElYkX7l4wRkHqqCUFNJY4AfY3kHU/edit?usp=sharing  #gid=0"",""фіз особи new!relations_name""),6,FALSE)
,
(IF
(
C43=""юридична особа""
,
VLOOKUP(D43,I"&amp;"MPORTRANGE(""https://docs.google.com/spreadsheets/d/14Bd19lYaqBhU8_DElYkX7l4wRkHqqCUFNJY4AfY3kHU/edit?usp=sharing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G42" s="7" t="s">
        <v>10</v>
      </c>
      <c r="H42" s="7">
        <v>880</v>
      </c>
      <c r="I42" s="8" t="str">
        <f ca="1">IFERROR(__xludf.DUMMYFUNCTION("IF
(
G43=""фізична особа""
,
VLOOKUP(H43,IMPORTRANGE(""https://docs.google.com/spreadsheets/d/14Bd19lYaqBhU8_DElYkX7l4wRkHqqCUFNJY4AfY3kHU/edit?usp=sharing  #gid=0"",""фіз особи new!relations_name""),6,FALSE)
,
(IF
(
G43=""юридична особа""
,
VLOOKUP(H43,I"&amp;"MPORTRANGE(""https://docs.google.com/spreadsheets/d/14Bd19lYaqBhU8_DElYkX7l4wRkHqqCUFNJY4AfY3kHU/edit?usp=sharing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" s="7" t="s">
        <v>29</v>
      </c>
    </row>
    <row r="43" spans="1:10" ht="13.2">
      <c r="A43" s="7">
        <v>42</v>
      </c>
      <c r="B43" s="7">
        <v>1</v>
      </c>
      <c r="C43" s="7" t="s">
        <v>10</v>
      </c>
      <c r="D43" s="7">
        <v>13</v>
      </c>
      <c r="E43" s="7" t="s">
        <v>14</v>
      </c>
      <c r="F43" s="8" t="str">
        <f ca="1">IFERROR(__xludf.DUMMYFUNCTION("IF
(
C44=""фізична особа""
,
VLOOKUP(D44,IMPORTRANGE(""https://docs.google.com/spreadsheets/d/14Bd19lYaqBhU8_DElYkX7l4wRkHqqCUFNJY4AfY3kHU/edit?usp=sharing  #gid=0"",""фіз особи new!relations_name""),6,FALSE)
,
(IF
(
C44=""юридична особа""
,
VLOOKUP(D44,I"&amp;"MPORTRANGE(""https://docs.google.com/spreadsheets/d/14Bd19lYaqBhU8_DElYkX7l4wRkHqqCUFNJY4AfY3kHU/edit?usp=sharing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G43" s="7" t="s">
        <v>10</v>
      </c>
      <c r="H43" s="7">
        <v>0</v>
      </c>
      <c r="I43" s="8" t="str">
        <f ca="1">IFERROR(__xludf.DUMMYFUNCTION("IF
(
G44=""фізична особа""
,
VLOOKUP(H44,IMPORTRANGE(""https://docs.google.com/spreadsheets/d/14Bd19lYaqBhU8_DElYkX7l4wRkHqqCUFNJY4AfY3kHU/edit?usp=sharing  #gid=0"",""фіз особи new!relations_name""),6,FALSE)
,
(IF
(
G44=""юридична особа""
,
VLOOKUP(H44,I"&amp;"MPORTRANGE(""https://docs.google.com/spreadsheets/d/14Bd19lYaqBhU8_DElYkX7l4wRkHqqCUFNJY4AfY3kHU/edit?usp=sharing  #gid=0"",""фіз особи new!relations_name_uo""),7,FALSE)
,
)
))"),"#N/A")</f>
        <v>#N/A</v>
      </c>
      <c r="J43" s="7" t="s">
        <v>15</v>
      </c>
    </row>
    <row r="44" spans="1:10" ht="13.2">
      <c r="A44" s="7">
        <v>43</v>
      </c>
      <c r="B44" s="7">
        <v>1</v>
      </c>
      <c r="C44" s="7" t="s">
        <v>10</v>
      </c>
      <c r="D44" s="7">
        <v>13</v>
      </c>
      <c r="E44" s="7" t="s">
        <v>12</v>
      </c>
      <c r="F44" s="8" t="str">
        <f ca="1">IFERROR(__xludf.DUMMYFUNCTION("IF
(
C45=""фізична особа""
,
VLOOKUP(D45,IMPORTRANGE(""https://docs.google.com/spreadsheets/d/14Bd19lYaqBhU8_DElYkX7l4wRkHqqCUFNJY4AfY3kHU/edit?usp=sharing  #gid=0"",""фіз особи new!relations_name""),6,FALSE)
,
(IF
(
C45=""юридична особа""
,
VLOOKUP(D45,I"&amp;"MPORTRANGE(""https://docs.google.com/spreadsheets/d/14Bd19lYaqBhU8_DElYkX7l4wRkHqqCUFNJY4AfY3kHU/edit?usp=sharing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G44" s="7" t="s">
        <v>10</v>
      </c>
      <c r="H44" s="7">
        <v>156</v>
      </c>
      <c r="I44" s="8" t="str">
        <f ca="1">IFERROR(__xludf.DUMMYFUNCTION("IF
(
G45=""фізична особа""
,
VLOOKUP(H45,IMPORTRANGE(""https://docs.google.com/spreadsheets/d/14Bd19lYaqBhU8_DElYkX7l4wRkHqqCUFNJY4AfY3kHU/edit?usp=sharing  #gid=0"",""фіз особи new!relations_name""),6,FALSE)
,
(IF
(
G45=""юридична особа""
,
VLOOKUP(H45,I"&amp;"MPORTRANGE(""https://docs.google.com/spreadsheets/d/14Bd19lYaqBhU8_DElYkX7l4wRkHqqCUFNJY4AfY3kHU/edit?usp=sharing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J44" s="7" t="s">
        <v>17</v>
      </c>
    </row>
    <row r="45" spans="1:10" ht="13.2">
      <c r="A45" s="7">
        <v>44</v>
      </c>
      <c r="B45" s="7">
        <v>1</v>
      </c>
      <c r="C45" s="7" t="s">
        <v>10</v>
      </c>
      <c r="D45" s="7">
        <v>13</v>
      </c>
      <c r="E45" s="7" t="s">
        <v>19</v>
      </c>
      <c r="F45" s="8" t="str">
        <f ca="1">IFERROR(__xludf.DUMMYFUNCTION("IF
(
C46=""фізична особа""
,
VLOOKUP(D46,IMPORTRANGE(""https://docs.google.com/spreadsheets/d/14Bd19lYaqBhU8_DElYkX7l4wRkHqqCUFNJY4AfY3kHU/edit?usp=sharing  #gid=0"",""фіз особи new!relations_name""),6,FALSE)
,
(IF
(
C46=""юридична особа""
,
VLOOKUP(D46,I"&amp;"MPORTRANGE(""https://docs.google.com/spreadsheets/d/14Bd19lYaqBhU8_DElYkX7l4wRkHqqCUFNJY4AfY3kHU/edit?usp=sharing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G45" s="7" t="s">
        <v>10</v>
      </c>
      <c r="H45" s="7">
        <v>23358</v>
      </c>
      <c r="I45" s="8" t="str">
        <f ca="1">IFERROR(__xludf.DUMMYFUNCTION("IF
(
G46=""фізична особа""
,
VLOOKUP(H46,IMPORTRANGE(""https://docs.google.com/spreadsheets/d/14Bd19lYaqBhU8_DElYkX7l4wRkHqqCUFNJY4AfY3kHU/edit?usp=sharing  #gid=0"",""фіз особи new!relations_name""),6,FALSE)
,
(IF
(
G46=""юридична особа""
,
VLOOKUP(H46,I"&amp;"MPORTRANGE(""https://docs.google.com/spreadsheets/d/14Bd19lYaqBhU8_DElYkX7l4wRkHqqCUFNJY4AfY3kHU/edit?usp=sharing  #gid=0"",""фіз особи new!relations_name_uo""),7,FALSE)
,
)
))"),"БОРТНІКОВ Дмитро Михайлович")</f>
        <v>БОРТНІКОВ Дмитро Михайлович</v>
      </c>
      <c r="J45" s="7" t="s">
        <v>20</v>
      </c>
    </row>
    <row r="46" spans="1:10" ht="13.2">
      <c r="A46" s="7">
        <v>45</v>
      </c>
      <c r="B46" s="7">
        <v>1</v>
      </c>
      <c r="C46" s="7" t="s">
        <v>10</v>
      </c>
      <c r="D46" s="7">
        <v>13</v>
      </c>
      <c r="E46" s="7" t="s">
        <v>30</v>
      </c>
      <c r="F46" s="8" t="str">
        <f ca="1">IFERROR(__xludf.DUMMYFUNCTION("IF
(
C47=""фізична особа""
,
VLOOKUP(D47,IMPORTRANGE(""https://docs.google.com/spreadsheets/d/14Bd19lYaqBhU8_DElYkX7l4wRkHqqCUFNJY4AfY3kHU/edit?usp=sharing  #gid=0"",""фіз особи new!relations_name""),6,FALSE)
,
(IF
(
C47=""юридична особа""
,
VLOOKUP(D47,I"&amp;"MPORTRANGE(""https://docs.google.com/spreadsheets/d/14Bd19lYaqBhU8_DElYkX7l4wRkHqqCUFNJY4AfY3kHU/edit?usp=sharing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G46" s="7" t="s">
        <v>10</v>
      </c>
      <c r="H46" s="7">
        <v>0</v>
      </c>
      <c r="I46" s="8" t="str">
        <f ca="1">IFERROR(__xludf.DUMMYFUNCTION("IF
(
G47=""фізична особа""
,
VLOOKUP(H47,IMPORTRANGE(""https://docs.google.com/spreadsheets/d/14Bd19lYaqBhU8_DElYkX7l4wRkHqqCUFNJY4AfY3kHU/edit?usp=sharing  #gid=0"",""фіз особи new!relations_name""),6,FALSE)
,
(IF
(
G47=""юридична особа""
,
VLOOKUP(H47,I"&amp;"MPORTRANGE(""https://docs.google.com/spreadsheets/d/14Bd19lYaqBhU8_DElYkX7l4wRkHqqCUFNJY4AfY3kHU/edit?usp=sharing  #gid=0"",""фіз особи new!relations_name_uo""),7,FALSE)
,
)
))"),"#N/A")</f>
        <v>#N/A</v>
      </c>
      <c r="J46" s="7" t="s">
        <v>30</v>
      </c>
    </row>
    <row r="47" spans="1:10" ht="13.2">
      <c r="A47" s="7">
        <v>46</v>
      </c>
      <c r="B47" s="7">
        <v>1</v>
      </c>
      <c r="C47" s="7" t="s">
        <v>10</v>
      </c>
      <c r="D47" s="7">
        <v>14</v>
      </c>
      <c r="E47" s="7" t="s">
        <v>14</v>
      </c>
      <c r="F47" s="8" t="str">
        <f ca="1">IFERROR(__xludf.DUMMYFUNCTION("IF
(
C48=""фізична особа""
,
VLOOKUP(D48,IMPORTRANGE(""https://docs.google.com/spreadsheets/d/14Bd19lYaqBhU8_DElYkX7l4wRkHqqCUFNJY4AfY3kHU/edit?usp=sharing  #gid=0"",""фіз особи new!relations_name""),6,FALSE)
,
(IF
(
C48=""юридична особа""
,
VLOOKUP(D48,I"&amp;"MPORTRANGE(""https://docs.google.com/spreadsheets/d/14Bd19lYaqBhU8_DElYkX7l4wRkHqqCUFNJY4AfY3kHU/edit?usp=sharing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G47" s="7" t="s">
        <v>10</v>
      </c>
      <c r="H47" s="7">
        <v>4076</v>
      </c>
      <c r="I47" s="8" t="str">
        <f ca="1">IFERROR(__xludf.DUMMYFUNCTION("IF
(
G48=""фізична особа""
,
VLOOKUP(H48,IMPORTRANGE(""https://docs.google.com/spreadsheets/d/14Bd19lYaqBhU8_DElYkX7l4wRkHqqCUFNJY4AfY3kHU/edit?usp=sharing  #gid=0"",""фіз особи new!relations_name""),6,FALSE)
,
(IF
(
G48=""юридична особа""
,
VLOOKUP(H48,I"&amp;"MPORTRANGE(""https://docs.google.com/spreadsheets/d/14Bd19lYaqBhU8_DElYkX7l4wRkHqqCUFNJY4AfY3kHU/edit?usp=sharing  #gid=0"",""фіз особи new!relations_name_uo""),7,FALSE)
,
)
))"),"КУРІННА Юлія Костянтинівна")</f>
        <v>КУРІННА Юлія Костянтинівна</v>
      </c>
      <c r="J47" s="7" t="s">
        <v>15</v>
      </c>
    </row>
    <row r="48" spans="1:10" ht="13.2">
      <c r="A48" s="7">
        <v>47</v>
      </c>
      <c r="B48" s="7">
        <v>1</v>
      </c>
      <c r="C48" s="7" t="s">
        <v>10</v>
      </c>
      <c r="D48" s="7">
        <v>14</v>
      </c>
      <c r="E48" s="7" t="s">
        <v>12</v>
      </c>
      <c r="F48" s="8" t="str">
        <f ca="1">IFERROR(__xludf.DUMMYFUNCTION("IF
(
C49=""фізична особа""
,
VLOOKUP(D49,IMPORTRANGE(""https://docs.google.com/spreadsheets/d/14Bd19lYaqBhU8_DElYkX7l4wRkHqqCUFNJY4AfY3kHU/edit?usp=sharing  #gid=0"",""фіз особи new!relations_name""),6,FALSE)
,
(IF
(
C49=""юридична особа""
,
VLOOKUP(D49,I"&amp;"MPORTRANGE(""https://docs.google.com/spreadsheets/d/14Bd19lYaqBhU8_DElYkX7l4wRkHqqCUFNJY4AfY3kHU/edit?usp=sharing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G48" s="7" t="s">
        <v>10</v>
      </c>
      <c r="H48" s="7">
        <v>0</v>
      </c>
      <c r="I48" s="8" t="str">
        <f ca="1">IFERROR(__xludf.DUMMYFUNCTION("IF
(
G49=""фізична особа""
,
VLOOKUP(H49,IMPORTRANGE(""https://docs.google.com/spreadsheets/d/14Bd19lYaqBhU8_DElYkX7l4wRkHqqCUFNJY4AfY3kHU/edit?usp=sharing  #gid=0"",""фіз особи new!relations_name""),6,FALSE)
,
(IF
(
G49=""юридична особа""
,
VLOOKUP(H49,I"&amp;"MPORTRANGE(""https://docs.google.com/spreadsheets/d/14Bd19lYaqBhU8_DElYkX7l4wRkHqqCUFNJY4AfY3kHU/edit?usp=sharing  #gid=0"",""фіз особи new!relations_name_uo""),7,FALSE)
,
)
))"),"#N/A")</f>
        <v>#N/A</v>
      </c>
      <c r="J48" s="7" t="s">
        <v>13</v>
      </c>
    </row>
    <row r="49" spans="1:10" ht="13.2">
      <c r="A49" s="7">
        <v>48</v>
      </c>
      <c r="B49" s="7">
        <v>1</v>
      </c>
      <c r="C49" s="7" t="s">
        <v>10</v>
      </c>
      <c r="D49" s="7">
        <v>14</v>
      </c>
      <c r="E49" s="7" t="s">
        <v>12</v>
      </c>
      <c r="F49" s="8" t="str">
        <f ca="1">IFERROR(__xludf.DUMMYFUNCTION("IF
(
C50=""фізична особа""
,
VLOOKUP(D50,IMPORTRANGE(""https://docs.google.com/spreadsheets/d/14Bd19lYaqBhU8_DElYkX7l4wRkHqqCUFNJY4AfY3kHU/edit?usp=sharing  #gid=0"",""фіз особи new!relations_name""),6,FALSE)
,
(IF
(
C50=""юридична особа""
,
VLOOKUP(D50,I"&amp;"MPORTRANGE(""https://docs.google.com/spreadsheets/d/14Bd19lYaqBhU8_DElYkX7l4wRkHqqCUFNJY4AfY3kHU/edit?usp=sharing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G49" s="7" t="s">
        <v>10</v>
      </c>
      <c r="H49" s="7">
        <v>0</v>
      </c>
      <c r="I49" s="8" t="str">
        <f ca="1">IFERROR(__xludf.DUMMYFUNCTION("IF
(
G50=""фізична особа""
,
VLOOKUP(H50,IMPORTRANGE(""https://docs.google.com/spreadsheets/d/14Bd19lYaqBhU8_DElYkX7l4wRkHqqCUFNJY4AfY3kHU/edit?usp=sharing  #gid=0"",""фіз особи new!relations_name""),6,FALSE)
,
(IF
(
G50=""юридична особа""
,
VLOOKUP(H50,I"&amp;"MPORTRANGE(""https://docs.google.com/spreadsheets/d/14Bd19lYaqBhU8_DElYkX7l4wRkHqqCUFNJY4AfY3kHU/edit?usp=sharing  #gid=0"",""фіз особи new!relations_name_uo""),7,FALSE)
,
)
))"),"#N/A")</f>
        <v>#N/A</v>
      </c>
      <c r="J49" s="7" t="s">
        <v>13</v>
      </c>
    </row>
    <row r="50" spans="1:10" ht="13.2">
      <c r="A50" s="7">
        <v>49</v>
      </c>
      <c r="B50" s="7">
        <v>1</v>
      </c>
      <c r="C50" s="7" t="s">
        <v>10</v>
      </c>
      <c r="D50" s="7">
        <v>14</v>
      </c>
      <c r="E50" s="7" t="s">
        <v>12</v>
      </c>
      <c r="F50" s="8" t="str">
        <f ca="1">IFERROR(__xludf.DUMMYFUNCTION("IF
(
C51=""фізична особа""
,
VLOOKUP(D51,IMPORTRANGE(""https://docs.google.com/spreadsheets/d/14Bd19lYaqBhU8_DElYkX7l4wRkHqqCUFNJY4AfY3kHU/edit?usp=sharing  #gid=0"",""фіз особи new!relations_name""),6,FALSE)
,
(IF
(
C51=""юридична особа""
,
VLOOKUP(D51,I"&amp;"MPORTRANGE(""https://docs.google.com/spreadsheets/d/14Bd19lYaqBhU8_DElYkX7l4wRkHqqCUFNJY4AfY3kHU/edit?usp=sharing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G50" s="7" t="s">
        <v>10</v>
      </c>
      <c r="H50" s="7">
        <v>4077</v>
      </c>
      <c r="I50" s="8" t="str">
        <f ca="1">IFERROR(__xludf.DUMMYFUNCTION("IF
(
G51=""фізична особа""
,
VLOOKUP(H51,IMPORTRANGE(""https://docs.google.com/spreadsheets/d/14Bd19lYaqBhU8_DElYkX7l4wRkHqqCUFNJY4AfY3kHU/edit?usp=sharing  #gid=0"",""фіз особи new!relations_name""),6,FALSE)
,
(IF
(
G51=""юридична особа""
,
VLOOKUP(H51,I"&amp;"MPORTRANGE(""https://docs.google.com/spreadsheets/d/14Bd19lYaqBhU8_DElYkX7l4wRkHqqCUFNJY4AfY3kHU/edit?usp=sharing  #gid=0"",""фіз особи new!relations_name_uo""),7,FALSE)
,
)
))"),"КУРІННА Дар'я Олексіївна")</f>
        <v>КУРІННА Дар'я Олексіївна</v>
      </c>
      <c r="J50" s="7" t="s">
        <v>13</v>
      </c>
    </row>
    <row r="51" spans="1:10" ht="13.2">
      <c r="A51" s="7">
        <v>50</v>
      </c>
      <c r="B51" s="7">
        <v>1</v>
      </c>
      <c r="C51" s="7" t="s">
        <v>10</v>
      </c>
      <c r="D51" s="7">
        <v>14</v>
      </c>
      <c r="E51" s="7" t="s">
        <v>12</v>
      </c>
      <c r="F51" s="8" t="str">
        <f ca="1">IFERROR(__xludf.DUMMYFUNCTION("IF
(
C52=""фізична особа""
,
VLOOKUP(D52,IMPORTRANGE(""https://docs.google.com/spreadsheets/d/14Bd19lYaqBhU8_DElYkX7l4wRkHqqCUFNJY4AfY3kHU/edit?usp=sharing  #gid=0"",""фіз особи new!relations_name""),6,FALSE)
,
(IF
(
C52=""юридична особа""
,
VLOOKUP(D52,I"&amp;"MPORTRANGE(""https://docs.google.com/spreadsheets/d/14Bd19lYaqBhU8_DElYkX7l4wRkHqqCUFNJY4AfY3kHU/edit?usp=sharing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G51" s="7" t="s">
        <v>10</v>
      </c>
      <c r="H51" s="7">
        <v>0</v>
      </c>
      <c r="I51" s="8" t="str">
        <f ca="1">IFERROR(__xludf.DUMMYFUNCTION("IF
(
G52=""фізична особа""
,
VLOOKUP(H52,IMPORTRANGE(""https://docs.google.com/spreadsheets/d/14Bd19lYaqBhU8_DElYkX7l4wRkHqqCUFNJY4AfY3kHU/edit?usp=sharing  #gid=0"",""фіз особи new!relations_name""),6,FALSE)
,
(IF
(
G52=""юридична особа""
,
VLOOKUP(H52,I"&amp;"MPORTRANGE(""https://docs.google.com/spreadsheets/d/14Bd19lYaqBhU8_DElYkX7l4wRkHqqCUFNJY4AfY3kHU/edit?usp=sharing  #gid=0"",""фіз особи new!relations_name_uo""),7,FALSE)
,
)
))"),"#N/A")</f>
        <v>#N/A</v>
      </c>
      <c r="J51" s="7" t="s">
        <v>17</v>
      </c>
    </row>
    <row r="52" spans="1:10" ht="13.2">
      <c r="A52" s="7">
        <v>51</v>
      </c>
      <c r="B52" s="7">
        <v>1</v>
      </c>
      <c r="C52" s="7" t="s">
        <v>10</v>
      </c>
      <c r="D52" s="7">
        <v>15</v>
      </c>
      <c r="E52" s="7" t="s">
        <v>14</v>
      </c>
      <c r="F52" s="8" t="str">
        <f ca="1">IFERROR(__xludf.DUMMYFUNCTION("IF
(
C53=""фізична особа""
,
VLOOKUP(D53,IMPORTRANGE(""https://docs.google.com/spreadsheets/d/14Bd19lYaqBhU8_DElYkX7l4wRkHqqCUFNJY4AfY3kHU/edit?usp=sharing  #gid=0"",""фіз особи new!relations_name""),6,FALSE)
,
(IF
(
C53=""юридична особа""
,
VLOOKUP(D53,I"&amp;"MPORTRANGE(""https://docs.google.com/spreadsheets/d/14Bd19lYaqBhU8_DElYkX7l4wRkHqqCUFNJY4AfY3kHU/edit?usp=sharing  #gid=0"",""фіз особи new!relations_name_uo""),7,FALSE)
,
)
))"),"СІТНІКОВ Олексій Володимирович")</f>
        <v>СІТНІКОВ Олексій Володимирович</v>
      </c>
      <c r="G52" s="7" t="s">
        <v>10</v>
      </c>
      <c r="H52" s="7">
        <v>4079</v>
      </c>
      <c r="I52" s="8" t="str">
        <f ca="1">IFERROR(__xludf.DUMMYFUNCTION("IF
(
G53=""фізична особа""
,
VLOOKUP(H53,IMPORTRANGE(""https://docs.google.com/spreadsheets/d/14Bd19lYaqBhU8_DElYkX7l4wRkHqqCUFNJY4AfY3kHU/edit?usp=sharing  #gid=0"",""фіз особи new!relations_name""),6,FALSE)
,
(IF
(
G53=""юридична особа""
,
VLOOKUP(H53,I"&amp;"MPORTRANGE(""https://docs.google.com/spreadsheets/d/14Bd19lYaqBhU8_DElYkX7l4wRkHqqCUFNJY4AfY3kHU/edit?usp=sharing  #gid=0"",""фіз особи new!relations_name_uo""),7,FALSE)
,
)
))"),"СИТНІКОВА Олена Олександрівна")</f>
        <v>СИТНІКОВА Олена Олександрівна</v>
      </c>
      <c r="J52" s="7" t="s">
        <v>15</v>
      </c>
    </row>
    <row r="53" spans="1:10" ht="13.2">
      <c r="A53" s="7">
        <v>52</v>
      </c>
      <c r="B53" s="7">
        <v>1</v>
      </c>
      <c r="C53" s="7" t="s">
        <v>10</v>
      </c>
      <c r="D53" s="7">
        <v>15</v>
      </c>
      <c r="E53" s="7" t="s">
        <v>12</v>
      </c>
      <c r="F53" s="8" t="str">
        <f ca="1">IFERROR(__xludf.DUMMYFUNCTION("IF
(
C54=""фізична особа""
,
VLOOKUP(D54,IMPORTRANGE(""https://docs.google.com/spreadsheets/d/14Bd19lYaqBhU8_DElYkX7l4wRkHqqCUFNJY4AfY3kHU/edit?usp=sharing  #gid=0"",""фіз особи new!relations_name""),6,FALSE)
,
(IF
(
C54=""юридична особа""
,
VLOOKUP(D54,I"&amp;"MPORTRANGE(""https://docs.google.com/spreadsheets/d/14Bd19lYaqBhU8_DElYkX7l4wRkHqqCUFNJY4AfY3kHU/edit?usp=sharing  #gid=0"",""фіз особи new!relations_name_uo""),7,FALSE)
,
)
))"),"СІТНІКОВ Олексій Володимирович")</f>
        <v>СІТНІКОВ Олексій Володимирович</v>
      </c>
      <c r="G53" s="7" t="s">
        <v>10</v>
      </c>
      <c r="H53" s="7">
        <v>4078</v>
      </c>
      <c r="I53" s="8" t="str">
        <f ca="1">IFERROR(__xludf.DUMMYFUNCTION("IF
(
G54=""фізична особа""
,
VLOOKUP(H54,IMPORTRANGE(""https://docs.google.com/spreadsheets/d/14Bd19lYaqBhU8_DElYkX7l4wRkHqqCUFNJY4AfY3kHU/edit?usp=sharing  #gid=0"",""фіз особи new!relations_name""),6,FALSE)
,
(IF
(
G54=""юридична особа""
,
VLOOKUP(H54,I"&amp;"MPORTRANGE(""https://docs.google.com/spreadsheets/d/14Bd19lYaqBhU8_DElYkX7l4wRkHqqCUFNJY4AfY3kHU/edit?usp=sharing  #gid=0"",""фіз особи new!relations_name_uo""),7,FALSE)
,
)
))"),"СИТНІКОВ Ілля Олексійович")</f>
        <v>СИТНІКОВ Ілля Олексійович</v>
      </c>
      <c r="J53" s="7" t="s">
        <v>17</v>
      </c>
    </row>
    <row r="54" spans="1:10" ht="13.2">
      <c r="A54" s="7">
        <v>53</v>
      </c>
      <c r="B54" s="7">
        <v>1</v>
      </c>
      <c r="C54" s="7" t="s">
        <v>10</v>
      </c>
      <c r="D54" s="7">
        <v>16</v>
      </c>
      <c r="E54" s="7" t="s">
        <v>28</v>
      </c>
      <c r="F54" s="8" t="str">
        <f ca="1">IFERROR(__xludf.DUMMYFUNCTION("IF
(
C55=""фізична особа""
,
VLOOKUP(D55,IMPORTRANGE(""https://docs.google.com/spreadsheets/d/14Bd19lYaqBhU8_DElYkX7l4wRkHqqCUFNJY4AfY3kHU/edit?usp=sharing  #gid=0"",""фіз особи new!relations_name""),6,FALSE)
,
(IF
(
C55=""юридична особа""
,
VLOOKUP(D55,I"&amp;"MPORTRANGE(""https://docs.google.com/spreadsheets/d/14Bd19lYaqBhU8_DElYkX7l4wRkHqqCUFNJY4AfY3kHU/edit?usp=sharing  #gid=0"",""фіз особи new!relations_name_uo""),7,FALSE)
,
)
))"),"АВДЄЄВ Олексій Юрійович")</f>
        <v>АВДЄЄВ Олексій Юрійович</v>
      </c>
      <c r="G54" s="7" t="s">
        <v>10</v>
      </c>
      <c r="H54" s="7">
        <v>880</v>
      </c>
      <c r="I54" s="8" t="str">
        <f ca="1">IFERROR(__xludf.DUMMYFUNCTION("IF
(
G55=""фізична особа""
,
VLOOKUP(H55,IMPORTRANGE(""https://docs.google.com/spreadsheets/d/14Bd19lYaqBhU8_DElYkX7l4wRkHqqCUFNJY4AfY3kHU/edit?usp=sharing  #gid=0"",""фіз особи new!relations_name""),6,FALSE)
,
(IF
(
G55=""юридична особа""
,
VLOOKUP(H55,I"&amp;"MPORTRANGE(""https://docs.google.com/spreadsheets/d/14Bd19lYaqBhU8_DElYkX7l4wRkHqqCUFNJY4AfY3kHU/edit?usp=sharing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4" s="7" t="s">
        <v>29</v>
      </c>
    </row>
    <row r="55" spans="1:10" ht="13.2">
      <c r="A55" s="7">
        <v>54</v>
      </c>
      <c r="B55" s="7">
        <v>1</v>
      </c>
      <c r="C55" s="7" t="s">
        <v>10</v>
      </c>
      <c r="D55" s="7">
        <v>16</v>
      </c>
      <c r="E55" s="7" t="s">
        <v>28</v>
      </c>
      <c r="F55" s="8" t="str">
        <f ca="1">IFERROR(__xludf.DUMMYFUNCTION("IF
(
C56=""фізична особа""
,
VLOOKUP(D56,IMPORTRANGE(""https://docs.google.com/spreadsheets/d/14Bd19lYaqBhU8_DElYkX7l4wRkHqqCUFNJY4AfY3kHU/edit?usp=sharing  #gid=0"",""фіз особи new!relations_name""),6,FALSE)
,
(IF
(
C56=""юридична особа""
,
VLOOKUP(D56,I"&amp;"MPORTRANGE(""https://docs.google.com/spreadsheets/d/14Bd19lYaqBhU8_DElYkX7l4wRkHqqCUFNJY4AfY3kHU/edit?usp=sharing  #gid=0"",""фіз особи new!relations_name_uo""),7,FALSE)
,
)
))"),"АВДЄЄВ Олексій Юрійович")</f>
        <v>АВДЄЄВ Олексій Юрійович</v>
      </c>
      <c r="G55" s="7" t="s">
        <v>10</v>
      </c>
      <c r="H55" s="7">
        <v>168</v>
      </c>
      <c r="I55" s="8" t="str">
        <f ca="1">IFERROR(__xludf.DUMMYFUNCTION("IF
(
G56=""фізична особа""
,
VLOOKUP(H56,IMPORTRANGE(""https://docs.google.com/spreadsheets/d/14Bd19lYaqBhU8_DElYkX7l4wRkHqqCUFNJY4AfY3kHU/edit?usp=sharing  #gid=0"",""фіз особи new!relations_name""),6,FALSE)
,
(IF
(
G56=""юридична особа""
,
VLOOKUP(H56,I"&amp;"MPORTRANGE(""https://docs.google.com/spreadsheets/d/14Bd19lYaqBhU8_DElYkX7l4wRkHqqCUFNJY4AfY3kHU/edit?usp=sharing  #gid=0"",""фіз особи new!relations_name_uo""),7,FALSE)
,
)
))"),"ДВОРНІКОВ Олександр Володимирович")</f>
        <v>ДВОРНІКОВ Олександр Володимирович</v>
      </c>
      <c r="J55" s="7" t="s">
        <v>29</v>
      </c>
    </row>
    <row r="56" spans="1:10" ht="13.2">
      <c r="A56" s="7">
        <v>55</v>
      </c>
      <c r="B56" s="7">
        <v>1</v>
      </c>
      <c r="C56" s="7" t="s">
        <v>10</v>
      </c>
      <c r="D56" s="7">
        <v>17</v>
      </c>
      <c r="E56" s="7" t="s">
        <v>15</v>
      </c>
      <c r="F56" s="8" t="str">
        <f ca="1">IFERROR(__xludf.DUMMYFUNCTION("IF
(
C57=""фізична особа""
,
VLOOKUP(D57,IMPORTRANGE(""https://docs.google.com/spreadsheets/d/14Bd19lYaqBhU8_DElYkX7l4wRkHqqCUFNJY4AfY3kHU/edit?usp=sharing  #gid=0"",""фіз особи new!relations_name""),6,FALSE)
,
(IF
(
C57=""юридична особа""
,
VLOOKUP(D57,I"&amp;"MPORTRANGE(""https://docs.google.com/spreadsheets/d/14Bd19lYaqBhU8_DElYkX7l4wRkHqqCUFNJY4AfY3kHU/edit?usp=sharing  #gid=0"",""фіз особи new!relations_name_uo""),7,FALSE)
,
)
))"),"КОГОГІНА Альфія Гумарівна")</f>
        <v>КОГОГІНА Альфія Гумарівна</v>
      </c>
      <c r="G56" s="7" t="s">
        <v>10</v>
      </c>
      <c r="H56" s="7">
        <v>4017</v>
      </c>
      <c r="I56" s="8" t="str">
        <f ca="1">IFERROR(__xludf.DUMMYFUNCTION("IF
(
G57=""фізична особа""
,
VLOOKUP(H57,IMPORTRANGE(""https://docs.google.com/spreadsheets/d/14Bd19lYaqBhU8_DElYkX7l4wRkHqqCUFNJY4AfY3kHU/edit?usp=sharing  #gid=0"",""фіз особи new!relations_name""),6,FALSE)
,
(IF
(
G57=""юридична особа""
,
VLOOKUP(H57,I"&amp;"MPORTRANGE(""https://docs.google.com/spreadsheets/d/14Bd19lYaqBhU8_DElYkX7l4wRkHqqCUFNJY4AfY3kHU/edit?usp=sharing  #gid=0"",""фіз особи new!relations_name_uo""),7,FALSE)
,
)
))"),"КОГОГІН Сергій Анатолійович")</f>
        <v>КОГОГІН Сергій Анатолійович</v>
      </c>
      <c r="J56" s="7" t="s">
        <v>14</v>
      </c>
    </row>
    <row r="57" spans="1:10" ht="13.2">
      <c r="A57" s="7">
        <v>56</v>
      </c>
      <c r="B57" s="7">
        <v>1</v>
      </c>
      <c r="C57" s="7" t="s">
        <v>10</v>
      </c>
      <c r="D57" s="7">
        <v>17</v>
      </c>
      <c r="E57" s="7" t="s">
        <v>21</v>
      </c>
      <c r="F57" s="8" t="str">
        <f ca="1">IFERROR(__xludf.DUMMYFUNCTION("IF
(
C58=""фізична особа""
,
VLOOKUP(D58,IMPORTRANGE(""https://docs.google.com/spreadsheets/d/14Bd19lYaqBhU8_DElYkX7l4wRkHqqCUFNJY4AfY3kHU/edit?usp=sharing  #gid=0"",""фіз особи new!relations_name""),6,FALSE)
,
(IF
(
C58=""юридична особа""
,
VLOOKUP(D58,I"&amp;"MPORTRANGE(""https://docs.google.com/spreadsheets/d/14Bd19lYaqBhU8_DElYkX7l4wRkHqqCUFNJY4AfY3kHU/edit?usp=sharing  #gid=0"",""фіз особи new!relations_name_uo""),7,FALSE)
,
)
))"),"КОГОГІНА Альфія Гумарівна")</f>
        <v>КОГОГІНА Альфія Гумарівна</v>
      </c>
      <c r="G57" s="7" t="s">
        <v>10</v>
      </c>
      <c r="H57" s="7">
        <v>0</v>
      </c>
      <c r="I57" s="8" t="str">
        <f ca="1">IFERROR(__xludf.DUMMYFUNCTION("IF
(
G58=""фізична особа""
,
VLOOKUP(H58,IMPORTRANGE(""https://docs.google.com/spreadsheets/d/14Bd19lYaqBhU8_DElYkX7l4wRkHqqCUFNJY4AfY3kHU/edit?usp=sharing  #gid=0"",""фіз особи new!relations_name""),6,FALSE)
,
(IF
(
G58=""юридична особа""
,
VLOOKUP(H58,I"&amp;"MPORTRANGE(""https://docs.google.com/spreadsheets/d/14Bd19lYaqBhU8_DElYkX7l4wRkHqqCUFNJY4AfY3kHU/edit?usp=sharing  #gid=0"",""фіз особи new!relations_name_uo""),7,FALSE)
,
)
))"),"#N/A")</f>
        <v>#N/A</v>
      </c>
      <c r="J57" s="7" t="s">
        <v>17</v>
      </c>
    </row>
    <row r="58" spans="1:10" ht="13.2">
      <c r="A58" s="7">
        <v>57</v>
      </c>
      <c r="B58" s="7">
        <v>1</v>
      </c>
      <c r="C58" s="7" t="s">
        <v>10</v>
      </c>
      <c r="D58" s="7">
        <v>18</v>
      </c>
      <c r="E58" s="7" t="s">
        <v>18</v>
      </c>
      <c r="F58" s="8" t="str">
        <f ca="1">IFERROR(__xludf.DUMMYFUNCTION("IF
(
C59=""фізична особа""
,
VLOOKUP(D59,IMPORTRANGE(""https://docs.google.com/spreadsheets/d/14Bd19lYaqBhU8_DElYkX7l4wRkHqqCUFNJY4AfY3kHU/edit?usp=sharing  #gid=0"",""фіз особи new!relations_name""),6,FALSE)
,
(IF
(
C59=""юридична особа""
,
VLOOKUP(D59,I"&amp;"MPORTRANGE(""https://docs.google.com/spreadsheets/d/14Bd19lYaqBhU8_DElYkX7l4wRkHqqCUFNJY4AfY3kHU/edit?usp=sharing  #gid=0"",""фіз особи new!relations_name_uo""),7,FALSE)
,
)
))"),"ШАТРОВ Олександр Євгенович")</f>
        <v>ШАТРОВ Олександр Євгенович</v>
      </c>
      <c r="G58" s="7" t="s">
        <v>10</v>
      </c>
      <c r="H58" s="7">
        <v>23359</v>
      </c>
      <c r="I58" s="8" t="str">
        <f ca="1">IFERROR(__xludf.DUMMYFUNCTION("IF
(
G59=""фізична особа""
,
VLOOKUP(H59,IMPORTRANGE(""https://docs.google.com/spreadsheets/d/14Bd19lYaqBhU8_DElYkX7l4wRkHqqCUFNJY4AfY3kHU/edit?usp=sharing  #gid=0"",""фіз особи new!relations_name""),6,FALSE)
,
(IF
(
G59=""юридична особа""
,
VLOOKUP(H59,I"&amp;"MPORTRANGE(""https://docs.google.com/spreadsheets/d/14Bd19lYaqBhU8_DElYkX7l4wRkHqqCUFNJY4AfY3kHU/edit?usp=sharing  #gid=0"",""фіз особи new!relations_name_uo""),7,FALSE)
,
)
))"),"ШАТРОВ Петро Євгенович")</f>
        <v>ШАТРОВ Петро Євгенович</v>
      </c>
      <c r="J58" s="7" t="s">
        <v>18</v>
      </c>
    </row>
    <row r="59" spans="1:10" ht="13.2">
      <c r="A59" s="7">
        <v>58</v>
      </c>
      <c r="B59" s="7">
        <v>1</v>
      </c>
      <c r="C59" s="7" t="s">
        <v>10</v>
      </c>
      <c r="D59" s="7">
        <v>18</v>
      </c>
      <c r="E59" s="7" t="s">
        <v>12</v>
      </c>
      <c r="F59" s="8" t="str">
        <f ca="1">IFERROR(__xludf.DUMMYFUNCTION("IF
(
C60=""фізична особа""
,
VLOOKUP(D60,IMPORTRANGE(""https://docs.google.com/spreadsheets/d/14Bd19lYaqBhU8_DElYkX7l4wRkHqqCUFNJY4AfY3kHU/edit?usp=sharing  #gid=0"",""фіз особи new!relations_name""),6,FALSE)
,
(IF
(
C60=""юридична особа""
,
VLOOKUP(D60,I"&amp;"MPORTRANGE(""https://docs.google.com/spreadsheets/d/14Bd19lYaqBhU8_DElYkX7l4wRkHqqCUFNJY4AfY3kHU/edit?usp=sharing  #gid=0"",""фіз особи new!relations_name_uo""),7,FALSE)
,
)
))"),"ШАТРОВ Олександр Євгенович")</f>
        <v>ШАТРОВ Олександр Євгенович</v>
      </c>
      <c r="G59" s="7" t="s">
        <v>10</v>
      </c>
      <c r="H59" s="7">
        <v>0</v>
      </c>
      <c r="I59" s="8" t="str">
        <f ca="1">IFERROR(__xludf.DUMMYFUNCTION("IF
(
G60=""фізична особа""
,
VLOOKUP(H60,IMPORTRANGE(""https://docs.google.com/spreadsheets/d/14Bd19lYaqBhU8_DElYkX7l4wRkHqqCUFNJY4AfY3kHU/edit?usp=sharing  #gid=0"",""фіз особи new!relations_name""),6,FALSE)
,
(IF
(
G60=""юридична особа""
,
VLOOKUP(H60,I"&amp;"MPORTRANGE(""https://docs.google.com/spreadsheets/d/14Bd19lYaqBhU8_DElYkX7l4wRkHqqCUFNJY4AfY3kHU/edit?usp=sharing  #gid=0"",""фіз особи new!relations_name_uo""),7,FALSE)
,
)
))"),"#N/A")</f>
        <v>#N/A</v>
      </c>
      <c r="J59" s="7" t="s">
        <v>17</v>
      </c>
    </row>
    <row r="60" spans="1:10" ht="13.2">
      <c r="A60" s="7">
        <v>59</v>
      </c>
      <c r="B60" s="7">
        <v>1</v>
      </c>
      <c r="C60" s="7" t="s">
        <v>10</v>
      </c>
      <c r="D60" s="7">
        <v>18</v>
      </c>
      <c r="E60" s="7" t="s">
        <v>23</v>
      </c>
      <c r="F60" s="8" t="str">
        <f ca="1">IFERROR(__xludf.DUMMYFUNCTION("IF
(
C61=""фізична особа""
,
VLOOKUP(D61,IMPORTRANGE(""https://docs.google.com/spreadsheets/d/14Bd19lYaqBhU8_DElYkX7l4wRkHqqCUFNJY4AfY3kHU/edit?usp=sharing  #gid=0"",""фіз особи new!relations_name""),6,FALSE)
,
(IF
(
C61=""юридична особа""
,
VLOOKUP(D61,I"&amp;"MPORTRANGE(""https://docs.google.com/spreadsheets/d/14Bd19lYaqBhU8_DElYkX7l4wRkHqqCUFNJY4AfY3kHU/edit?usp=sharing  #gid=0"",""фіз особи new!relations_name_uo""),7,FALSE)
,
)
))"),"ШАТРОВ Олександр Євгенович")</f>
        <v>ШАТРОВ Олександр Євгенович</v>
      </c>
      <c r="G60" s="7" t="s">
        <v>10</v>
      </c>
      <c r="H60" s="7">
        <v>0</v>
      </c>
      <c r="I60" s="8" t="str">
        <f ca="1">IFERROR(__xludf.DUMMYFUNCTION("IF
(
G61=""фізична особа""
,
VLOOKUP(H61,IMPORTRANGE(""https://docs.google.com/spreadsheets/d/14Bd19lYaqBhU8_DElYkX7l4wRkHqqCUFNJY4AfY3kHU/edit?usp=sharing  #gid=0"",""фіз особи new!relations_name""),6,FALSE)
,
(IF
(
G61=""юридична особа""
,
VLOOKUP(H61,I"&amp;"MPORTRANGE(""https://docs.google.com/spreadsheets/d/14Bd19lYaqBhU8_DElYkX7l4wRkHqqCUFNJY4AfY3kHU/edit?usp=sharing  #gid=0"",""фіз особи new!relations_name_uo""),7,FALSE)
,
)
))"),"#N/A")</f>
        <v>#N/A</v>
      </c>
      <c r="J60" s="7" t="s">
        <v>23</v>
      </c>
    </row>
    <row r="61" spans="1:10" ht="13.2">
      <c r="A61" s="7">
        <v>60</v>
      </c>
      <c r="B61" s="7">
        <v>1</v>
      </c>
      <c r="C61" s="7" t="s">
        <v>10</v>
      </c>
      <c r="D61" s="7">
        <v>19</v>
      </c>
      <c r="E61" s="7" t="s">
        <v>18</v>
      </c>
      <c r="F61" s="8" t="str">
        <f ca="1">IFERROR(__xludf.DUMMYFUNCTION("IF
(
C62=""фізична особа""
,
VLOOKUP(D62,IMPORTRANGE(""https://docs.google.com/spreadsheets/d/14Bd19lYaqBhU8_DElYkX7l4wRkHqqCUFNJY4AfY3kHU/edit?usp=sharing  #gid=0"",""фіз особи new!relations_name""),6,FALSE)
,
(IF
(
C62=""юридична особа""
,
VLOOKUP(D62,I"&amp;"MPORTRANGE(""https://docs.google.com/spreadsheets/d/14Bd19lYaqBhU8_DElYkX7l4wRkHqqCUFNJY4AfY3kHU/edit?usp=sharing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1" s="7" t="s">
        <v>10</v>
      </c>
      <c r="H61" s="7">
        <v>4368</v>
      </c>
      <c r="I61" s="8" t="str">
        <f ca="1">IFERROR(__xludf.DUMMYFUNCTION("IF
(
G62=""фізична особа""
,
VLOOKUP(H62,IMPORTRANGE(""https://docs.google.com/spreadsheets/d/14Bd19lYaqBhU8_DElYkX7l4wRkHqqCUFNJY4AfY3kHU/edit?usp=sharing  #gid=0"",""фіз особи new!relations_name""),6,FALSE)
,
(IF
(
G62=""юридична особа""
,
VLOOKUP(H62,I"&amp;"MPORTRANGE(""https://docs.google.com/spreadsheets/d/14Bd19lYaqBhU8_DElYkX7l4wRkHqqCUFNJY4AfY3kHU/edit?usp=sharing  #gid=0"",""фіз особи new!relations_name_uo""),7,FALSE)
,
)
))"),"ІСМАІЛОВА Гульбахор")</f>
        <v>ІСМАІЛОВА Гульбахор</v>
      </c>
      <c r="J61" s="7" t="s">
        <v>31</v>
      </c>
    </row>
    <row r="62" spans="1:10" ht="13.2">
      <c r="A62" s="7">
        <v>61</v>
      </c>
      <c r="B62" s="7">
        <v>1</v>
      </c>
      <c r="C62" s="7" t="s">
        <v>10</v>
      </c>
      <c r="D62" s="7">
        <v>19</v>
      </c>
      <c r="E62" s="7" t="s">
        <v>18</v>
      </c>
      <c r="F62" s="8" t="str">
        <f ca="1">IFERROR(__xludf.DUMMYFUNCTION("IF
(
C63=""фізична особа""
,
VLOOKUP(D63,IMPORTRANGE(""https://docs.google.com/spreadsheets/d/14Bd19lYaqBhU8_DElYkX7l4wRkHqqCUFNJY4AfY3kHU/edit?usp=sharing  #gid=0"",""фіз особи new!relations_name""),6,FALSE)
,
(IF
(
C63=""юридична особа""
,
VLOOKUP(D63,I"&amp;"MPORTRANGE(""https://docs.google.com/spreadsheets/d/14Bd19lYaqBhU8_DElYkX7l4wRkHqqCUFNJY4AfY3kHU/edit?usp=sharing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2" s="7" t="s">
        <v>10</v>
      </c>
      <c r="H62" s="7">
        <v>4034</v>
      </c>
      <c r="I62" s="8" t="str">
        <f ca="1">IFERROR(__xludf.DUMMYFUNCTION("IF
(
G63=""фізична особа""
,
VLOOKUP(H63,IMPORTRANGE(""https://docs.google.com/spreadsheets/d/14Bd19lYaqBhU8_DElYkX7l4wRkHqqCUFNJY4AfY3kHU/edit?usp=sharing  #gid=0"",""фіз особи new!relations_name""),6,FALSE)
,
(IF
(
G63=""юридична особа""
,
VLOOKUP(H63,I"&amp;"MPORTRANGE(""https://docs.google.com/spreadsheets/d/14Bd19lYaqBhU8_DElYkX7l4wRkHqqCUFNJY4AfY3kHU/edit?usp=sharing  #gid=0"",""фіз особи new!relations_name_uo""),7,FALSE)
,
)
))"),"НАРЗІЄВА Саодат")</f>
        <v>НАРЗІЄВА Саодат</v>
      </c>
      <c r="J62" s="7" t="s">
        <v>31</v>
      </c>
    </row>
    <row r="63" spans="1:10" ht="13.2">
      <c r="A63" s="7">
        <v>62</v>
      </c>
      <c r="B63" s="7">
        <v>1</v>
      </c>
      <c r="C63" s="7" t="s">
        <v>10</v>
      </c>
      <c r="D63" s="7">
        <v>19</v>
      </c>
      <c r="E63" s="7" t="s">
        <v>14</v>
      </c>
      <c r="F63" s="8" t="str">
        <f ca="1">IFERROR(__xludf.DUMMYFUNCTION("IF
(
C64=""фізична особа""
,
VLOOKUP(D64,IMPORTRANGE(""https://docs.google.com/spreadsheets/d/14Bd19lYaqBhU8_DElYkX7l4wRkHqqCUFNJY4AfY3kHU/edit?usp=sharing  #gid=0"",""фіз особи new!relations_name""),6,FALSE)
,
(IF
(
C64=""юридична особа""
,
VLOOKUP(D64,I"&amp;"MPORTRANGE(""https://docs.google.com/spreadsheets/d/14Bd19lYaqBhU8_DElYkX7l4wRkHqqCUFNJY4AfY3kHU/edit?usp=sharing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3" s="7" t="s">
        <v>10</v>
      </c>
      <c r="H63" s="7">
        <v>2082</v>
      </c>
      <c r="I63" s="8" t="str">
        <f ca="1">IFERROR(__xludf.DUMMYFUNCTION("IF
(
G64=""фізична особа""
,
VLOOKUP(H64,IMPORTRANGE(""https://docs.google.com/spreadsheets/d/14Bd19lYaqBhU8_DElYkX7l4wRkHqqCUFNJY4AfY3kHU/edit?usp=sharing  #gid=0"",""фіз особи new!relations_name""),6,FALSE)
,
(IF
(
G64=""юридична особа""
,
VLOOKUP(H64,I"&amp;"MPORTRANGE(""https://docs.google.com/spreadsheets/d/14Bd19lYaqBhU8_DElYkX7l4wRkHqqCUFNJY4AfY3kHU/edit?usp=sharing  #gid=0"",""фіз особи new!relations_name_uo""),7,FALSE)
,
)
))"),"ВІНЕР-УСМАНОВА Ірина Олександрівна")</f>
        <v>ВІНЕР-УСМАНОВА Ірина Олександрівна</v>
      </c>
      <c r="J63" s="7" t="s">
        <v>15</v>
      </c>
    </row>
    <row r="64" spans="1:10" ht="13.2">
      <c r="A64" s="7">
        <v>63</v>
      </c>
      <c r="B64" s="7">
        <v>1</v>
      </c>
      <c r="C64" s="7" t="s">
        <v>10</v>
      </c>
      <c r="D64" s="7">
        <v>19</v>
      </c>
      <c r="E64" s="7" t="s">
        <v>32</v>
      </c>
      <c r="F64" s="8" t="str">
        <f ca="1">IFERROR(__xludf.DUMMYFUNCTION("IF
(
C65=""фізична особа""
,
VLOOKUP(D65,IMPORTRANGE(""https://docs.google.com/spreadsheets/d/14Bd19lYaqBhU8_DElYkX7l4wRkHqqCUFNJY4AfY3kHU/edit?usp=sharing  #gid=0"",""фіз особи new!relations_name""),6,FALSE)
,
(IF
(
C65=""юридична особа""
,
VLOOKUP(D65,I"&amp;"MPORTRANGE(""https://docs.google.com/spreadsheets/d/14Bd19lYaqBhU8_DElYkX7l4wRkHqqCUFNJY4AfY3kHU/edit?usp=sharing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4" s="7" t="s">
        <v>10</v>
      </c>
      <c r="H64" s="7">
        <v>4837</v>
      </c>
      <c r="I64" s="8" t="str">
        <f ca="1">IFERROR(__xludf.DUMMYFUNCTION("IF
(
G65=""фізична особа""
,
VLOOKUP(H65,IMPORTRANGE(""https://docs.google.com/spreadsheets/d/14Bd19lYaqBhU8_DElYkX7l4wRkHqqCUFNJY4AfY3kHU/edit?usp=sharing  #gid=0"",""фіз особи new!relations_name""),6,FALSE)
,
(IF
(
G65=""юридична особа""
,
VLOOKUP(H65,I"&amp;"MPORTRANGE(""https://docs.google.com/spreadsheets/d/14Bd19lYaqBhU8_DElYkX7l4wRkHqqCUFNJY4AfY3kHU/edit?usp=sharing  #gid=0"",""фіз особи new!relations_name_uo""),7,FALSE)
,
)
))"),"ВІНЕР Натан / Антон Ададієвич")</f>
        <v>ВІНЕР Натан / Антон Ададієвич</v>
      </c>
      <c r="J64" s="7" t="s">
        <v>33</v>
      </c>
    </row>
    <row r="65" spans="1:10" ht="13.2">
      <c r="A65" s="7">
        <v>64</v>
      </c>
      <c r="B65" s="7">
        <v>1</v>
      </c>
      <c r="C65" s="7" t="s">
        <v>10</v>
      </c>
      <c r="D65" s="7">
        <v>19</v>
      </c>
      <c r="E65" s="7" t="s">
        <v>19</v>
      </c>
      <c r="F65" s="8" t="str">
        <f ca="1">IFERROR(__xludf.DUMMYFUNCTION("IF
(
C66=""фізична особа""
,
VLOOKUP(D66,IMPORTRANGE(""https://docs.google.com/spreadsheets/d/14Bd19lYaqBhU8_DElYkX7l4wRkHqqCUFNJY4AfY3kHU/edit?usp=sharing  #gid=0"",""фіз особи new!relations_name""),6,FALSE)
,
(IF
(
C66=""юридична особа""
,
VLOOKUP(D66,I"&amp;"MPORTRANGE(""https://docs.google.com/spreadsheets/d/14Bd19lYaqBhU8_DElYkX7l4wRkHqqCUFNJY4AfY3kHU/edit?usp=sharing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5" s="7" t="s">
        <v>10</v>
      </c>
      <c r="H65" s="7">
        <v>22864</v>
      </c>
      <c r="I65" s="8" t="str">
        <f ca="1">IFERROR(__xludf.DUMMYFUNCTION("IF
(
G66=""фізична особа""
,
VLOOKUP(H66,IMPORTRANGE(""https://docs.google.com/spreadsheets/d/14Bd19lYaqBhU8_DElYkX7l4wRkHqqCUFNJY4AfY3kHU/edit?usp=sharing  #gid=0"",""фіз особи new!relations_name""),6,FALSE)
,
(IF
(
G66=""юридична особа""
,
VLOOKUP(H66,I"&amp;"MPORTRANGE(""https://docs.google.com/spreadsheets/d/14Bd19lYaqBhU8_DElYkX7l4wRkHqqCUFNJY4AfY3kHU/edit?usp=sharing  #gid=0"",""фіз особи new!relations_name_uo""),7,FALSE)
,
)
))"),"ІСМАЇЛОВ Санжар Зуннурович")</f>
        <v>ІСМАЇЛОВ Санжар Зуннурович</v>
      </c>
      <c r="J65" s="7" t="s">
        <v>20</v>
      </c>
    </row>
    <row r="66" spans="1:10" ht="13.2">
      <c r="A66" s="7">
        <v>65</v>
      </c>
      <c r="B66" s="7">
        <v>1</v>
      </c>
      <c r="C66" s="7" t="s">
        <v>10</v>
      </c>
      <c r="D66" s="7">
        <v>19</v>
      </c>
      <c r="E66" s="7" t="s">
        <v>19</v>
      </c>
      <c r="F66" s="8" t="str">
        <f ca="1">IFERROR(__xludf.DUMMYFUNCTION("IF
(
C67=""фізична особа""
,
VLOOKUP(D67,IMPORTRANGE(""https://docs.google.com/spreadsheets/d/14Bd19lYaqBhU8_DElYkX7l4wRkHqqCUFNJY4AfY3kHU/edit?usp=sharing  #gid=0"",""фіз особи new!relations_name""),6,FALSE)
,
(IF
(
C67=""юридична особа""
,
VLOOKUP(D67,I"&amp;"MPORTRANGE(""https://docs.google.com/spreadsheets/d/14Bd19lYaqBhU8_DElYkX7l4wRkHqqCUFNJY4AfY3kHU/edit?usp=sharing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G66" s="7" t="s">
        <v>10</v>
      </c>
      <c r="H66" s="7">
        <v>22865</v>
      </c>
      <c r="I66" s="8" t="str">
        <f ca="1">IFERROR(__xludf.DUMMYFUNCTION("IF
(
G67=""фізична особа""
,
VLOOKUP(H67,IMPORTRANGE(""https://docs.google.com/spreadsheets/d/14Bd19lYaqBhU8_DElYkX7l4wRkHqqCUFNJY4AfY3kHU/edit?usp=sharing  #gid=0"",""фіз особи new!relations_name""),6,FALSE)
,
(IF
(
G67=""юридична особа""
,
VLOOKUP(H67,I"&amp;"MPORTRANGE(""https://docs.google.com/spreadsheets/d/14Bd19lYaqBhU8_DElYkX7l4wRkHqqCUFNJY4AfY3kHU/edit?usp=sharing  #gid=0"",""фіз особи new!relations_name_uo""),7,FALSE)
,
)
))"),"ІСМАЇЛОВ Сарвар")</f>
        <v>ІСМАЇЛОВ Сарвар</v>
      </c>
      <c r="J66" s="7" t="s">
        <v>20</v>
      </c>
    </row>
    <row r="67" spans="1:10" ht="13.2">
      <c r="A67" s="7">
        <v>66</v>
      </c>
      <c r="B67" s="7">
        <v>1</v>
      </c>
      <c r="C67" s="7" t="s">
        <v>10</v>
      </c>
      <c r="D67" s="7">
        <v>21</v>
      </c>
      <c r="E67" s="7" t="s">
        <v>23</v>
      </c>
      <c r="F67" s="8" t="str">
        <f ca="1">IFERROR(__xludf.DUMMYFUNCTION("IF
(
C68=""фізична особа""
,
VLOOKUP(D68,IMPORTRANGE(""https://docs.google.com/spreadsheets/d/14Bd19lYaqBhU8_DElYkX7l4wRkHqqCUFNJY4AfY3kHU/edit?usp=sharing  #gid=0"",""фіз особи new!relations_name""),6,FALSE)
,
(IF
(
C68=""юридична особа""
,
VLOOKUP(D68,I"&amp;"MPORTRANGE(""https://docs.google.com/spreadsheets/d/14Bd19lYaqBhU8_DElYkX7l4wRkHqqCUFNJY4AfY3kHU/edit?usp=sharing  #gid=0"",""фіз особи new!relations_name_uo""),7,FALSE)
,
)
))"),"АЛТАБАЄВА Катерина Борисівна")</f>
        <v>АЛТАБАЄВА Катерина Борисівна</v>
      </c>
      <c r="G67" s="7" t="s">
        <v>10</v>
      </c>
      <c r="H67" s="7">
        <v>4519</v>
      </c>
      <c r="I67" s="8" t="str">
        <f ca="1">IFERROR(__xludf.DUMMYFUNCTION("IF
(
G68=""фізична особа""
,
VLOOKUP(H68,IMPORTRANGE(""https://docs.google.com/spreadsheets/d/14Bd19lYaqBhU8_DElYkX7l4wRkHqqCUFNJY4AfY3kHU/edit?usp=sharing  #gid=0"",""фіз особи new!relations_name""),6,FALSE)
,
(IF
(
G68=""юридична особа""
,
VLOOKUP(H68,I"&amp;"MPORTRANGE(""https://docs.google.com/spreadsheets/d/14Bd19lYaqBhU8_DElYkX7l4wRkHqqCUFNJY4AfY3kHU/edit?usp=sharing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J67" s="7" t="s">
        <v>23</v>
      </c>
    </row>
    <row r="68" spans="1:10" ht="13.2">
      <c r="A68" s="7">
        <v>67</v>
      </c>
      <c r="B68" s="7">
        <v>1</v>
      </c>
      <c r="C68" s="7" t="s">
        <v>10</v>
      </c>
      <c r="D68" s="7">
        <v>22</v>
      </c>
      <c r="E68" s="7" t="s">
        <v>23</v>
      </c>
      <c r="F68" s="8" t="str">
        <f ca="1">IFERROR(__xludf.DUMMYFUNCTION("IF
(
C69=""фізична особа""
,
VLOOKUP(D69,IMPORTRANGE(""https://docs.google.com/spreadsheets/d/14Bd19lYaqBhU8_DElYkX7l4wRkHqqCUFNJY4AfY3kHU/edit?usp=sharing  #gid=0"",""фіз особи new!relations_name""),6,FALSE)
,
(IF
(
C69=""юридична особа""
,
VLOOKUP(D69,I"&amp;"MPORTRANGE(""https://docs.google.com/spreadsheets/d/14Bd19lYaqBhU8_DElYkX7l4wRkHqqCUFNJY4AfY3kHU/edit?usp=sharing  #gid=0"",""фіз особи new!relations_name_uo""),7,FALSE)
,
)
))"),"ХАМІТОВ Амір Махсудович")</f>
        <v>ХАМІТОВ Амір Махсудович</v>
      </c>
      <c r="G68" s="7" t="s">
        <v>10</v>
      </c>
      <c r="H68" s="7">
        <v>23360</v>
      </c>
      <c r="I68" s="8" t="str">
        <f ca="1">IFERROR(__xludf.DUMMYFUNCTION("IF
(
G69=""фізична особа""
,
VLOOKUP(H69,IMPORTRANGE(""https://docs.google.com/spreadsheets/d/14Bd19lYaqBhU8_DElYkX7l4wRkHqqCUFNJY4AfY3kHU/edit?usp=sharing  #gid=0"",""фіз особи new!relations_name""),6,FALSE)
,
(IF
(
G69=""юридична особа""
,
VLOOKUP(H69,I"&amp;"MPORTRANGE(""https://docs.google.com/spreadsheets/d/14Bd19lYaqBhU8_DElYkX7l4wRkHqqCUFNJY4AfY3kHU/edit?usp=sharing  #gid=0"",""фіз особи new!relations_name_uo""),7,FALSE)
,
)
))"),"КРЕМЛЬОВ Умар Назарович")</f>
        <v>КРЕМЛЬОВ Умар Назарович</v>
      </c>
      <c r="J68" s="7" t="s">
        <v>23</v>
      </c>
    </row>
    <row r="69" spans="1:10" ht="13.2">
      <c r="A69" s="7">
        <v>68</v>
      </c>
      <c r="B69" s="7">
        <v>1</v>
      </c>
      <c r="C69" s="7" t="s">
        <v>10</v>
      </c>
      <c r="D69" s="7">
        <v>22</v>
      </c>
      <c r="E69" s="7" t="s">
        <v>23</v>
      </c>
      <c r="F69" s="8" t="str">
        <f ca="1">IFERROR(__xludf.DUMMYFUNCTION("IF
(
C70=""фізична особа""
,
VLOOKUP(D70,IMPORTRANGE(""https://docs.google.com/spreadsheets/d/14Bd19lYaqBhU8_DElYkX7l4wRkHqqCUFNJY4AfY3kHU/edit?usp=sharing  #gid=0"",""фіз особи new!relations_name""),6,FALSE)
,
(IF
(
C70=""юридична особа""
,
VLOOKUP(D70,I"&amp;"MPORTRANGE(""https://docs.google.com/spreadsheets/d/14Bd19lYaqBhU8_DElYkX7l4wRkHqqCUFNJY4AfY3kHU/edit?usp=sharing  #gid=0"",""фіз особи new!relations_name_uo""),7,FALSE)
,
)
))"),"ХАМІТОВ Амір Махсудович")</f>
        <v>ХАМІТОВ Амір Махсудович</v>
      </c>
      <c r="G69" s="7" t="s">
        <v>10</v>
      </c>
      <c r="H69" s="7">
        <v>0</v>
      </c>
      <c r="I69" s="8" t="str">
        <f ca="1">IFERROR(__xludf.DUMMYFUNCTION("IF
(
G70=""фізична особа""
,
VLOOKUP(H70,IMPORTRANGE(""https://docs.google.com/spreadsheets/d/14Bd19lYaqBhU8_DElYkX7l4wRkHqqCUFNJY4AfY3kHU/edit?usp=sharing  #gid=0"",""фіз особи new!relations_name""),6,FALSE)
,
(IF
(
G70=""юридична особа""
,
VLOOKUP(H70,I"&amp;"MPORTRANGE(""https://docs.google.com/spreadsheets/d/14Bd19lYaqBhU8_DElYkX7l4wRkHqqCUFNJY4AfY3kHU/edit?usp=sharing  #gid=0"",""фіз особи new!relations_name_uo""),7,FALSE)
,
)
))"),"#N/A")</f>
        <v>#N/A</v>
      </c>
      <c r="J69" s="7" t="s">
        <v>23</v>
      </c>
    </row>
    <row r="70" spans="1:10" ht="13.2">
      <c r="A70" s="7">
        <v>69</v>
      </c>
      <c r="B70" s="7">
        <v>1</v>
      </c>
      <c r="C70" s="7" t="s">
        <v>10</v>
      </c>
      <c r="D70" s="7">
        <v>22</v>
      </c>
      <c r="E70" s="7" t="s">
        <v>23</v>
      </c>
      <c r="F70" s="8" t="str">
        <f ca="1">IFERROR(__xludf.DUMMYFUNCTION("IF
(
C71=""фізична особа""
,
VLOOKUP(D71,IMPORTRANGE(""https://docs.google.com/spreadsheets/d/14Bd19lYaqBhU8_DElYkX7l4wRkHqqCUFNJY4AfY3kHU/edit?usp=sharing  #gid=0"",""фіз особи new!relations_name""),6,FALSE)
,
(IF
(
C71=""юридична особа""
,
VLOOKUP(D71,I"&amp;"MPORTRANGE(""https://docs.google.com/spreadsheets/d/14Bd19lYaqBhU8_DElYkX7l4wRkHqqCUFNJY4AfY3kHU/edit?usp=sharing  #gid=0"",""фіз особи new!relations_name_uo""),7,FALSE)
,
)
))"),"ХАМІТОВ Амір Махсудович")</f>
        <v>ХАМІТОВ Амір Махсудович</v>
      </c>
      <c r="G70" s="7" t="s">
        <v>10</v>
      </c>
      <c r="H70" s="7">
        <v>0</v>
      </c>
      <c r="I70" s="8" t="str">
        <f ca="1">IFERROR(__xludf.DUMMYFUNCTION("IF
(
G71=""фізична особа""
,
VLOOKUP(H71,IMPORTRANGE(""https://docs.google.com/spreadsheets/d/14Bd19lYaqBhU8_DElYkX7l4wRkHqqCUFNJY4AfY3kHU/edit?usp=sharing  #gid=0"",""фіз особи new!relations_name""),6,FALSE)
,
(IF
(
G71=""юридична особа""
,
VLOOKUP(H71,I"&amp;"MPORTRANGE(""https://docs.google.com/spreadsheets/d/14Bd19lYaqBhU8_DElYkX7l4wRkHqqCUFNJY4AfY3kHU/edit?usp=sharing  #gid=0"",""фіз особи new!relations_name_uo""),7,FALSE)
,
)
))"),"#N/A")</f>
        <v>#N/A</v>
      </c>
      <c r="J70" s="7" t="s">
        <v>23</v>
      </c>
    </row>
    <row r="71" spans="1:10" ht="13.2">
      <c r="A71" s="7">
        <v>70</v>
      </c>
      <c r="B71" s="7">
        <v>1</v>
      </c>
      <c r="C71" s="7" t="s">
        <v>10</v>
      </c>
      <c r="D71" s="7">
        <v>23</v>
      </c>
      <c r="E71" s="7" t="s">
        <v>12</v>
      </c>
      <c r="F71" s="8" t="str">
        <f ca="1">IFERROR(__xludf.DUMMYFUNCTION("IF
(
C72=""фізична особа""
,
VLOOKUP(D72,IMPORTRANGE(""https://docs.google.com/spreadsheets/d/14Bd19lYaqBhU8_DElYkX7l4wRkHqqCUFNJY4AfY3kHU/edit?usp=sharing  #gid=0"",""фіз особи new!relations_name""),6,FALSE)
,
(IF
(
C72=""юридична особа""
,
VLOOKUP(D72,I"&amp;"MPORTRANGE(""https://docs.google.com/spreadsheets/d/14Bd19lYaqBhU8_DElYkX7l4wRkHqqCUFNJY4AfY3kHU/edit?usp=sharing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G71" s="7" t="s">
        <v>10</v>
      </c>
      <c r="H71" s="7">
        <v>0</v>
      </c>
      <c r="I71" s="8" t="str">
        <f ca="1">IFERROR(__xludf.DUMMYFUNCTION("IF
(
G72=""фізична особа""
,
VLOOKUP(H72,IMPORTRANGE(""https://docs.google.com/spreadsheets/d/14Bd19lYaqBhU8_DElYkX7l4wRkHqqCUFNJY4AfY3kHU/edit?usp=sharing  #gid=0"",""фіз особи new!relations_name""),6,FALSE)
,
(IF
(
G72=""юридична особа""
,
VLOOKUP(H72,I"&amp;"MPORTRANGE(""https://docs.google.com/spreadsheets/d/14Bd19lYaqBhU8_DElYkX7l4wRkHqqCUFNJY4AfY3kHU/edit?usp=sharing  #gid=0"",""фіз особи new!relations_name_uo""),7,FALSE)
,
)
))"),"#N/A")</f>
        <v>#N/A</v>
      </c>
      <c r="J71" s="7" t="s">
        <v>17</v>
      </c>
    </row>
    <row r="72" spans="1:10" ht="13.2">
      <c r="A72" s="7">
        <v>71</v>
      </c>
      <c r="B72" s="7">
        <v>1</v>
      </c>
      <c r="C72" s="7" t="s">
        <v>10</v>
      </c>
      <c r="D72" s="7">
        <v>23</v>
      </c>
      <c r="E72" s="7" t="s">
        <v>12</v>
      </c>
      <c r="F72" s="8" t="str">
        <f ca="1">IFERROR(__xludf.DUMMYFUNCTION("IF
(
C73=""фізична особа""
,
VLOOKUP(D73,IMPORTRANGE(""https://docs.google.com/spreadsheets/d/14Bd19lYaqBhU8_DElYkX7l4wRkHqqCUFNJY4AfY3kHU/edit?usp=sharing  #gid=0"",""фіз особи new!relations_name""),6,FALSE)
,
(IF
(
C73=""юридична особа""
,
VLOOKUP(D73,I"&amp;"MPORTRANGE(""https://docs.google.com/spreadsheets/d/14Bd19lYaqBhU8_DElYkX7l4wRkHqqCUFNJY4AfY3kHU/edit?usp=sharing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G72" s="7" t="s">
        <v>10</v>
      </c>
      <c r="H72" s="7">
        <v>0</v>
      </c>
      <c r="I72" s="8" t="str">
        <f ca="1">IFERROR(__xludf.DUMMYFUNCTION("IF
(
G73=""фізична особа""
,
VLOOKUP(H73,IMPORTRANGE(""https://docs.google.com/spreadsheets/d/14Bd19lYaqBhU8_DElYkX7l4wRkHqqCUFNJY4AfY3kHU/edit?usp=sharing  #gid=0"",""фіз особи new!relations_name""),6,FALSE)
,
(IF
(
G73=""юридична особа""
,
VLOOKUP(H73,I"&amp;"MPORTRANGE(""https://docs.google.com/spreadsheets/d/14Bd19lYaqBhU8_DElYkX7l4wRkHqqCUFNJY4AfY3kHU/edit?usp=sharing  #gid=0"",""фіз особи new!relations_name_uo""),7,FALSE)
,
)
))"),"#N/A")</f>
        <v>#N/A</v>
      </c>
      <c r="J72" s="7" t="s">
        <v>17</v>
      </c>
    </row>
    <row r="73" spans="1:10" ht="13.2">
      <c r="A73" s="7">
        <v>72</v>
      </c>
      <c r="B73" s="7">
        <v>1</v>
      </c>
      <c r="C73" s="7" t="s">
        <v>10</v>
      </c>
      <c r="D73" s="7">
        <v>23</v>
      </c>
      <c r="E73" s="7" t="s">
        <v>14</v>
      </c>
      <c r="F73" s="8" t="str">
        <f ca="1">IFERROR(__xludf.DUMMYFUNCTION("IF
(
C74=""фізична особа""
,
VLOOKUP(D74,IMPORTRANGE(""https://docs.google.com/spreadsheets/d/14Bd19lYaqBhU8_DElYkX7l4wRkHqqCUFNJY4AfY3kHU/edit?usp=sharing  #gid=0"",""фіз особи new!relations_name""),6,FALSE)
,
(IF
(
C74=""юридична особа""
,
VLOOKUP(D74,I"&amp;"MPORTRANGE(""https://docs.google.com/spreadsheets/d/14Bd19lYaqBhU8_DElYkX7l4wRkHqqCUFNJY4AfY3kHU/edit?usp=sharing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G73" s="7" t="s">
        <v>10</v>
      </c>
      <c r="H73" s="7">
        <v>4083</v>
      </c>
      <c r="I73" s="8" t="str">
        <f ca="1">IFERROR(__xludf.DUMMYFUNCTION("IF
(
G74=""фізична особа""
,
VLOOKUP(H74,IMPORTRANGE(""https://docs.google.com/spreadsheets/d/14Bd19lYaqBhU8_DElYkX7l4wRkHqqCUFNJY4AfY3kHU/edit?usp=sharing  #gid=0"",""фіз особи new!relations_name""),6,FALSE)
,
(IF
(
G74=""юридична особа""
,
VLOOKUP(H74,I"&amp;"MPORTRANGE(""https://docs.google.com/spreadsheets/d/14Bd19lYaqBhU8_DElYkX7l4wRkHqqCUFNJY4AfY3kHU/edit?usp=sharing  #gid=0"",""фіз особи new!relations_name_uo""),7,FALSE)
,
)
))"),"АКСАКОВА Тетяна Олександрівна")</f>
        <v>АКСАКОВА Тетяна Олександрівна</v>
      </c>
      <c r="J73" s="7" t="s">
        <v>15</v>
      </c>
    </row>
    <row r="74" spans="1:10" ht="13.2">
      <c r="A74" s="7">
        <v>73</v>
      </c>
      <c r="B74" s="7">
        <v>1</v>
      </c>
      <c r="C74" s="7" t="s">
        <v>10</v>
      </c>
      <c r="D74" s="7">
        <v>24</v>
      </c>
      <c r="E74" s="7" t="s">
        <v>14</v>
      </c>
      <c r="F74" s="8" t="str">
        <f ca="1">IFERROR(__xludf.DUMMYFUNCTION("IF
(
C75=""фізична особа""
,
VLOOKUP(D75,IMPORTRANGE(""https://docs.google.com/spreadsheets/d/14Bd19lYaqBhU8_DElYkX7l4wRkHqqCUFNJY4AfY3kHU/edit?usp=sharing  #gid=0"",""фіз особи new!relations_name""),6,FALSE)
,
(IF
(
C75=""юридична особа""
,
VLOOKUP(D75,I"&amp;"MPORTRANGE(""https://docs.google.com/spreadsheets/d/14Bd19lYaqBhU8_DElYkX7l4wRkHqqCUFNJY4AfY3kHU/edit?usp=sharing  #gid=0"",""фіз особи new!relations_name_uo""),7,FALSE)
,
)
))"),"ЧМИХАЛОВ Олександр Євгенович")</f>
        <v>ЧМИХАЛОВ Олександр Євгенович</v>
      </c>
      <c r="G74" s="7" t="s">
        <v>10</v>
      </c>
      <c r="H74" s="7">
        <v>0</v>
      </c>
      <c r="I74" s="8" t="str">
        <f ca="1">IFERROR(__xludf.DUMMYFUNCTION("IF
(
G75=""фізична особа""
,
VLOOKUP(H75,IMPORTRANGE(""https://docs.google.com/spreadsheets/d/14Bd19lYaqBhU8_DElYkX7l4wRkHqqCUFNJY4AfY3kHU/edit?usp=sharing  #gid=0"",""фіз особи new!relations_name""),6,FALSE)
,
(IF
(
G75=""юридична особа""
,
VLOOKUP(H75,I"&amp;"MPORTRANGE(""https://docs.google.com/spreadsheets/d/14Bd19lYaqBhU8_DElYkX7l4wRkHqqCUFNJY4AfY3kHU/edit?usp=sharing  #gid=0"",""фіз особи new!relations_name_uo""),7,FALSE)
,
)
))"),"#N/A")</f>
        <v>#N/A</v>
      </c>
      <c r="J74" s="7" t="s">
        <v>15</v>
      </c>
    </row>
    <row r="75" spans="1:10" ht="13.2">
      <c r="A75" s="7">
        <v>74</v>
      </c>
      <c r="B75" s="7">
        <v>1</v>
      </c>
      <c r="C75" s="7" t="s">
        <v>10</v>
      </c>
      <c r="D75" s="7">
        <v>24</v>
      </c>
      <c r="E75" s="7" t="s">
        <v>28</v>
      </c>
      <c r="F75" s="8" t="str">
        <f ca="1">IFERROR(__xludf.DUMMYFUNCTION("IF
(
C76=""фізична особа""
,
VLOOKUP(D76,IMPORTRANGE(""https://docs.google.com/spreadsheets/d/14Bd19lYaqBhU8_DElYkX7l4wRkHqqCUFNJY4AfY3kHU/edit?usp=sharing  #gid=0"",""фіз особи new!relations_name""),6,FALSE)
,
(IF
(
C76=""юридична особа""
,
VLOOKUP(D76,I"&amp;"MPORTRANGE(""https://docs.google.com/spreadsheets/d/14Bd19lYaqBhU8_DElYkX7l4wRkHqqCUFNJY4AfY3kHU/edit?usp=sharing  #gid=0"",""фіз особи new!relations_name_uo""),7,FALSE)
,
)
))"),"ЧМИХАЛОВ Олександр Євгенович")</f>
        <v>ЧМИХАЛОВ Олександр Євгенович</v>
      </c>
      <c r="G75" s="7" t="s">
        <v>10</v>
      </c>
      <c r="H75" s="7">
        <v>530</v>
      </c>
      <c r="I75" s="8" t="str">
        <f ca="1">IFERROR(__xludf.DUMMYFUNCTION("IF
(
G76=""фізична особа""
,
VLOOKUP(H76,IMPORTRANGE(""https://docs.google.com/spreadsheets/d/14Bd19lYaqBhU8_DElYkX7l4wRkHqqCUFNJY4AfY3kHU/edit?usp=sharing  #gid=0"",""фіз особи new!relations_name""),6,FALSE)
,
(IF
(
G76=""юридична особа""
,
VLOOKUP(H76,I"&amp;"MPORTRANGE(""https://docs.google.com/spreadsheets/d/14Bd19lYaqBhU8_DElYkX7l4wRkHqqCUFNJY4AfY3kHU/edit?usp=sharing  #gid=0"",""фіз особи new!relations_name_uo""),7,FALSE)
,
)
))"),"ФАУСТОВА Ніна Сергіївна")</f>
        <v>ФАУСТОВА Ніна Сергіївна</v>
      </c>
      <c r="J75" s="7" t="s">
        <v>29</v>
      </c>
    </row>
    <row r="76" spans="1:10" ht="13.2">
      <c r="A76" s="7">
        <v>75</v>
      </c>
      <c r="B76" s="7">
        <v>1</v>
      </c>
      <c r="C76" s="7" t="s">
        <v>10</v>
      </c>
      <c r="D76" s="7">
        <v>25</v>
      </c>
      <c r="E76" s="7" t="s">
        <v>14</v>
      </c>
      <c r="F76" s="8" t="str">
        <f ca="1">IFERROR(__xludf.DUMMYFUNCTION("IF
(
C77=""фізична особа""
,
VLOOKUP(D77,IMPORTRANGE(""https://docs.google.com/spreadsheets/d/14Bd19lYaqBhU8_DElYkX7l4wRkHqqCUFNJY4AfY3kHU/edit?usp=sharing  #gid=0"",""фіз особи new!relations_name""),6,FALSE)
,
(IF
(
C77=""юридична особа""
,
VLOOKUP(D77,I"&amp;"MPORTRANGE(""https://docs.google.com/spreadsheets/d/14Bd19lYaqBhU8_DElYkX7l4wRkHqqCUFNJY4AfY3kHU/edit?usp=sharing  #gid=0"",""фіз особи new!relations_name_uo""),7,FALSE)
,
)
))"),"АНТОНОВ Анатолій Іванович")</f>
        <v>АНТОНОВ Анатолій Іванович</v>
      </c>
      <c r="G76" s="7" t="s">
        <v>10</v>
      </c>
      <c r="H76" s="7">
        <v>0</v>
      </c>
      <c r="I76" s="8" t="str">
        <f ca="1">IFERROR(__xludf.DUMMYFUNCTION("IF
(
G77=""фізична особа""
,
VLOOKUP(H77,IMPORTRANGE(""https://docs.google.com/spreadsheets/d/14Bd19lYaqBhU8_DElYkX7l4wRkHqqCUFNJY4AfY3kHU/edit?usp=sharing  #gid=0"",""фіз особи new!relations_name""),6,FALSE)
,
(IF
(
G77=""юридична особа""
,
VLOOKUP(H77,I"&amp;"MPORTRANGE(""https://docs.google.com/spreadsheets/d/14Bd19lYaqBhU8_DElYkX7l4wRkHqqCUFNJY4AfY3kHU/edit?usp=sharing  #gid=0"",""фіз особи new!relations_name_uo""),7,FALSE)
,
)
))"),"#N/A")</f>
        <v>#N/A</v>
      </c>
      <c r="J76" s="7" t="s">
        <v>15</v>
      </c>
    </row>
    <row r="77" spans="1:10" ht="13.2">
      <c r="A77" s="7">
        <v>76</v>
      </c>
      <c r="B77" s="7">
        <v>1</v>
      </c>
      <c r="C77" s="7" t="s">
        <v>10</v>
      </c>
      <c r="D77" s="7">
        <v>25</v>
      </c>
      <c r="E77" s="7" t="s">
        <v>12</v>
      </c>
      <c r="F77" s="8" t="str">
        <f ca="1">IFERROR(__xludf.DUMMYFUNCTION("IF
(
C78=""фізична особа""
,
VLOOKUP(D78,IMPORTRANGE(""https://docs.google.com/spreadsheets/d/14Bd19lYaqBhU8_DElYkX7l4wRkHqqCUFNJY4AfY3kHU/edit?usp=sharing  #gid=0"",""фіз особи new!relations_name""),6,FALSE)
,
(IF
(
C78=""юридична особа""
,
VLOOKUP(D78,I"&amp;"MPORTRANGE(""https://docs.google.com/spreadsheets/d/14Bd19lYaqBhU8_DElYkX7l4wRkHqqCUFNJY4AfY3kHU/edit?usp=sharing  #gid=0"",""фіз особи new!relations_name_uo""),7,FALSE)
,
)
))"),"АНТОНОВ Анатолій Іванович")</f>
        <v>АНТОНОВ Анатолій Іванович</v>
      </c>
      <c r="G77" s="7" t="s">
        <v>10</v>
      </c>
      <c r="H77" s="7">
        <v>0</v>
      </c>
      <c r="I77" s="8" t="str">
        <f ca="1">IFERROR(__xludf.DUMMYFUNCTION("IF
(
G78=""фізична особа""
,
VLOOKUP(H78,IMPORTRANGE(""https://docs.google.com/spreadsheets/d/14Bd19lYaqBhU8_DElYkX7l4wRkHqqCUFNJY4AfY3kHU/edit?usp=sharing  #gid=0"",""фіз особи new!relations_name""),6,FALSE)
,
(IF
(
G78=""юридична особа""
,
VLOOKUP(H78,I"&amp;"MPORTRANGE(""https://docs.google.com/spreadsheets/d/14Bd19lYaqBhU8_DElYkX7l4wRkHqqCUFNJY4AfY3kHU/edit?usp=sharing  #gid=0"",""фіз особи new!relations_name_uo""),7,FALSE)
,
)
))"),"#N/A")</f>
        <v>#N/A</v>
      </c>
      <c r="J77" s="7" t="s">
        <v>13</v>
      </c>
    </row>
    <row r="78" spans="1:10" ht="13.2">
      <c r="A78" s="7">
        <v>77</v>
      </c>
      <c r="B78" s="7">
        <v>1</v>
      </c>
      <c r="C78" s="7" t="s">
        <v>10</v>
      </c>
      <c r="D78" s="7">
        <v>25</v>
      </c>
      <c r="E78" s="7" t="s">
        <v>23</v>
      </c>
      <c r="F78" s="8" t="str">
        <f ca="1">IFERROR(__xludf.DUMMYFUNCTION("IF
(
C79=""фізична особа""
,
VLOOKUP(D79,IMPORTRANGE(""https://docs.google.com/spreadsheets/d/14Bd19lYaqBhU8_DElYkX7l4wRkHqqCUFNJY4AfY3kHU/edit?usp=sharing  #gid=0"",""фіз особи new!relations_name""),6,FALSE)
,
(IF
(
C79=""юридична особа""
,
VLOOKUP(D79,I"&amp;"MPORTRANGE(""https://docs.google.com/spreadsheets/d/14Bd19lYaqBhU8_DElYkX7l4wRkHqqCUFNJY4AfY3kHU/edit?usp=sharing  #gid=0"",""фіз особи new!relations_name_uo""),7,FALSE)
,
)
))"),"АНТОНОВ Анатолій Іванович")</f>
        <v>АНТОНОВ Анатолій Іванович</v>
      </c>
      <c r="G78" s="7" t="s">
        <v>10</v>
      </c>
      <c r="H78" s="7">
        <v>670</v>
      </c>
      <c r="I78" s="8" t="str">
        <f ca="1">IFERROR(__xludf.DUMMYFUNCTION("IF
(
G79=""фізична особа""
,
VLOOKUP(H79,IMPORTRANGE(""https://docs.google.com/spreadsheets/d/14Bd19lYaqBhU8_DElYkX7l4wRkHqqCUFNJY4AfY3kHU/edit?usp=sharing  #gid=0"",""фіз особи new!relations_name""),6,FALSE)
,
(IF
(
G79=""юридична особа""
,
VLOOKUP(H79,I"&amp;"MPORTRANGE(""https://docs.google.com/spreadsheets/d/14Bd19lYaqBhU8_DElYkX7l4wRkHqqCUFNJY4AfY3kHU/edit?usp=sharing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78" s="7" t="s">
        <v>23</v>
      </c>
    </row>
    <row r="79" spans="1:10" ht="13.2">
      <c r="A79" s="7">
        <v>78</v>
      </c>
      <c r="B79" s="7">
        <v>1</v>
      </c>
      <c r="C79" s="7" t="s">
        <v>10</v>
      </c>
      <c r="D79" s="7">
        <v>25</v>
      </c>
      <c r="E79" s="7" t="s">
        <v>23</v>
      </c>
      <c r="F79" s="8" t="str">
        <f ca="1">IFERROR(__xludf.DUMMYFUNCTION("IF
(
C80=""фізична особа""
,
VLOOKUP(D80,IMPORTRANGE(""https://docs.google.com/spreadsheets/d/14Bd19lYaqBhU8_DElYkX7l4wRkHqqCUFNJY4AfY3kHU/edit?usp=sharing  #gid=0"",""фіз особи new!relations_name""),6,FALSE)
,
(IF
(
C80=""юридична особа""
,
VLOOKUP(D80,I"&amp;"MPORTRANGE(""https://docs.google.com/spreadsheets/d/14Bd19lYaqBhU8_DElYkX7l4wRkHqqCUFNJY4AfY3kHU/edit?usp=sharing  #gid=0"",""фіз особи new!relations_name_uo""),7,FALSE)
,
)
))"),"АНТОНОВ Анатолій Іванович")</f>
        <v>АНТОНОВ Анатолій Іванович</v>
      </c>
      <c r="G79" s="7" t="s">
        <v>10</v>
      </c>
      <c r="H79" s="7">
        <v>718</v>
      </c>
      <c r="I79" s="8" t="str">
        <f ca="1">IFERROR(__xludf.DUMMYFUNCTION("IF
(
G80=""фізична особа""
,
VLOOKUP(H80,IMPORTRANGE(""https://docs.google.com/spreadsheets/d/14Bd19lYaqBhU8_DElYkX7l4wRkHqqCUFNJY4AfY3kHU/edit?usp=sharing  #gid=0"",""фіз особи new!relations_name""),6,FALSE)
,
(IF
(
G80=""юридична особа""
,
VLOOKUP(H80,I"&amp;"MPORTRANGE(""https://docs.google.com/spreadsheets/d/14Bd19lYaqBhU8_DElYkX7l4wRkHqqCUFNJY4AfY3kHU/edit?usp=sharing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79" s="7" t="s">
        <v>23</v>
      </c>
    </row>
    <row r="80" spans="1:10" ht="13.2">
      <c r="A80" s="7">
        <v>79</v>
      </c>
      <c r="B80" s="7">
        <v>1</v>
      </c>
      <c r="C80" s="7" t="s">
        <v>10</v>
      </c>
      <c r="D80" s="7">
        <v>26</v>
      </c>
      <c r="E80" s="7" t="s">
        <v>23</v>
      </c>
      <c r="F80" s="8" t="str">
        <f ca="1">IFERROR(__xludf.DUMMYFUNCTION("IF
(
C81=""фізична особа""
,
VLOOKUP(D81,IMPORTRANGE(""https://docs.google.com/spreadsheets/d/14Bd19lYaqBhU8_DElYkX7l4wRkHqqCUFNJY4AfY3kHU/edit?usp=sharing  #gid=0"",""фіз особи new!relations_name""),6,FALSE)
,
(IF
(
C81=""юридична особа""
,
VLOOKUP(D81,I"&amp;"MPORTRANGE(""https://docs.google.com/spreadsheets/d/14Bd19lYaqBhU8_DElYkX7l4wRkHqqCUFNJY4AfY3kHU/edit?usp=sharing  #gid=0"",""фіз особи new!relations_name_uo""),7,FALSE)
,
)
))"),"НЕСТЕРЕНКО Анатолій Олександрович")</f>
        <v>НЕСТЕРЕНКО Анатолій Олександрович</v>
      </c>
      <c r="G80" s="7" t="s">
        <v>10</v>
      </c>
      <c r="H80" s="7">
        <v>4555</v>
      </c>
      <c r="I80" s="8" t="str">
        <f ca="1">IFERROR(__xludf.DUMMYFUNCTION("IF
(
G81=""фізична особа""
,
VLOOKUP(H81,IMPORTRANGE(""https://docs.google.com/spreadsheets/d/14Bd19lYaqBhU8_DElYkX7l4wRkHqqCUFNJY4AfY3kHU/edit?usp=sharing  #gid=0"",""фіз особи new!relations_name""),6,FALSE)
,
(IF
(
G81=""юридична особа""
,
VLOOKUP(H81,I"&amp;"MPORTRANGE(""https://docs.google.com/spreadsheets/d/14Bd19lYaqBhU8_DElYkX7l4wRkHqqCUFNJY4AfY3kHU/edit?usp=sharing  #gid=0"",""фіз особи new!relations_name_uo""),7,FALSE)
,
)
))"),"ГІРКІН / СТРЕЛКОВ Ігор Всеволодович")</f>
        <v>ГІРКІН / СТРЕЛКОВ Ігор Всеволодович</v>
      </c>
      <c r="J80" s="7" t="s">
        <v>23</v>
      </c>
    </row>
    <row r="81" spans="1:10" ht="13.2">
      <c r="A81" s="7">
        <v>80</v>
      </c>
      <c r="B81" s="7">
        <v>1</v>
      </c>
      <c r="C81" s="7" t="s">
        <v>10</v>
      </c>
      <c r="D81" s="7">
        <v>26</v>
      </c>
      <c r="E81" s="7" t="s">
        <v>23</v>
      </c>
      <c r="F81" s="8" t="str">
        <f ca="1">IFERROR(__xludf.DUMMYFUNCTION("IF
(
C82=""фізична особа""
,
VLOOKUP(D82,IMPORTRANGE(""https://docs.google.com/spreadsheets/d/14Bd19lYaqBhU8_DElYkX7l4wRkHqqCUFNJY4AfY3kHU/edit?usp=sharing  #gid=0"",""фіз особи new!relations_name""),6,FALSE)
,
(IF
(
C82=""юридична особа""
,
VLOOKUP(D82,I"&amp;"MPORTRANGE(""https://docs.google.com/spreadsheets/d/14Bd19lYaqBhU8_DElYkX7l4wRkHqqCUFNJY4AfY3kHU/edit?usp=sharing  #gid=0"",""фіз особи new!relations_name_uo""),7,FALSE)
,
)
))"),"НЕСТЕРЕНКО Анатолій Олександрович")</f>
        <v>НЕСТЕРЕНКО Анатолій Олександрович</v>
      </c>
      <c r="G81" s="7" t="s">
        <v>10</v>
      </c>
      <c r="H81" s="7">
        <v>856</v>
      </c>
      <c r="I81" s="8" t="str">
        <f ca="1">IFERROR(__xludf.DUMMYFUNCTION("IF
(
G82=""фізична особа""
,
VLOOKUP(H82,IMPORTRANGE(""https://docs.google.com/spreadsheets/d/14Bd19lYaqBhU8_DElYkX7l4wRkHqqCUFNJY4AfY3kHU/edit?usp=sharing  #gid=0"",""фіз особи new!relations_name""),6,FALSE)
,
(IF
(
G82=""юридична особа""
,
VLOOKUP(H82,I"&amp;"MPORTRANGE(""https://docs.google.com/spreadsheets/d/14Bd19lYaqBhU8_DElYkX7l4wRkHqqCUFNJY4AfY3kHU/edit?usp=sharing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81" s="7" t="s">
        <v>23</v>
      </c>
    </row>
    <row r="82" spans="1:10" ht="13.2">
      <c r="A82" s="7">
        <v>81</v>
      </c>
      <c r="B82" s="7">
        <v>1</v>
      </c>
      <c r="C82" s="7" t="s">
        <v>10</v>
      </c>
      <c r="D82" s="7">
        <v>27</v>
      </c>
      <c r="E82" s="7" t="s">
        <v>23</v>
      </c>
      <c r="F82" s="8" t="str">
        <f ca="1">IFERROR(__xludf.DUMMYFUNCTION("IF
(
C83=""фізична особа""
,
VLOOKUP(D83,IMPORTRANGE(""https://docs.google.com/spreadsheets/d/14Bd19lYaqBhU8_DElYkX7l4wRkHqqCUFNJY4AfY3kHU/edit?usp=sharing  #gid=0"",""фіз особи new!relations_name""),6,FALSE)
,
(IF
(
C83=""юридична особа""
,
VLOOKUP(D83,I"&amp;"MPORTRANGE(""https://docs.google.com/spreadsheets/d/14Bd19lYaqBhU8_DElYkX7l4wRkHqqCUFNJY4AfY3kHU/edit?usp=sharing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G82" s="7" t="s">
        <v>10</v>
      </c>
      <c r="H82" s="7">
        <v>156</v>
      </c>
      <c r="I82" s="8" t="str">
        <f ca="1">IFERROR(__xludf.DUMMYFUNCTION("IF
(
G83=""фізична особа""
,
VLOOKUP(H83,IMPORTRANGE(""https://docs.google.com/spreadsheets/d/14Bd19lYaqBhU8_DElYkX7l4wRkHqqCUFNJY4AfY3kHU/edit?usp=sharing  #gid=0"",""фіз особи new!relations_name""),6,FALSE)
,
(IF
(
G83=""юридична особа""
,
VLOOKUP(H83,I"&amp;"MPORTRANGE(""https://docs.google.com/spreadsheets/d/14Bd19lYaqBhU8_DElYkX7l4wRkHqqCUFNJY4AfY3kHU/edit?usp=sharing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J82" s="7" t="s">
        <v>23</v>
      </c>
    </row>
    <row r="83" spans="1:10" ht="13.2">
      <c r="A83" s="7">
        <v>82</v>
      </c>
      <c r="B83" s="7">
        <v>1</v>
      </c>
      <c r="C83" s="7" t="s">
        <v>10</v>
      </c>
      <c r="D83" s="7">
        <v>27</v>
      </c>
      <c r="E83" s="7" t="s">
        <v>23</v>
      </c>
      <c r="F83" s="8" t="str">
        <f ca="1">IFERROR(__xludf.DUMMYFUNCTION("IF
(
C84=""фізична особа""
,
VLOOKUP(D84,IMPORTRANGE(""https://docs.google.com/spreadsheets/d/14Bd19lYaqBhU8_DElYkX7l4wRkHqqCUFNJY4AfY3kHU/edit?usp=sharing  #gid=0"",""фіз особи new!relations_name""),6,FALSE)
,
(IF
(
C84=""юридична особа""
,
VLOOKUP(D84,I"&amp;"MPORTRANGE(""https://docs.google.com/spreadsheets/d/14Bd19lYaqBhU8_DElYkX7l4wRkHqqCUFNJY4AfY3kHU/edit?usp=sharing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G83" s="7" t="s">
        <v>10</v>
      </c>
      <c r="H83" s="7">
        <v>49</v>
      </c>
      <c r="I83" s="8" t="str">
        <f ca="1">IFERROR(__xludf.DUMMYFUNCTION("IF
(
G84=""фізична особа""
,
VLOOKUP(H84,IMPORTRANGE(""https://docs.google.com/spreadsheets/d/14Bd19lYaqBhU8_DElYkX7l4wRkHqqCUFNJY4AfY3kHU/edit?usp=sharing  #gid=0"",""фіз особи new!relations_name""),6,FALSE)
,
(IF
(
G84=""юридична особа""
,
VLOOKUP(H84,I"&amp;"MPORTRANGE(""https://docs.google.com/spreadsheets/d/14Bd19lYaqBhU8_DElYkX7l4wRkHqqCUFNJY4AfY3kHU/edit?usp=sharing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83" s="7" t="s">
        <v>23</v>
      </c>
    </row>
    <row r="84" spans="1:10" ht="13.2">
      <c r="A84" s="7">
        <v>83</v>
      </c>
      <c r="B84" s="7">
        <v>1</v>
      </c>
      <c r="C84" s="7" t="s">
        <v>10</v>
      </c>
      <c r="D84" s="7">
        <v>28</v>
      </c>
      <c r="E84" s="7" t="s">
        <v>23</v>
      </c>
      <c r="F84" s="8" t="str">
        <f ca="1">IFERROR(__xludf.DUMMYFUNCTION("IF
(
C85=""фізична особа""
,
VLOOKUP(D85,IMPORTRANGE(""https://docs.google.com/spreadsheets/d/14Bd19lYaqBhU8_DElYkX7l4wRkHqqCUFNJY4AfY3kHU/edit?usp=sharing  #gid=0"",""фіз особи new!relations_name""),6,FALSE)
,
(IF
(
C85=""юридична особа""
,
VLOOKUP(D85,I"&amp;"MPORTRANGE(""https://docs.google.com/spreadsheets/d/14Bd19lYaqBhU8_DElYkX7l4wRkHqqCUFNJY4AfY3kHU/edit?usp=sharing  #gid=0"",""фіз особи new!relations_name_uo""),7,FALSE)
,
)
))"),"БУЛАВКО Анатолій Анатолійович")</f>
        <v>БУЛАВКО Анатолій Анатолійович</v>
      </c>
      <c r="G84" s="7" t="s">
        <v>10</v>
      </c>
      <c r="H84" s="7">
        <v>50</v>
      </c>
      <c r="I84" s="8" t="str">
        <f ca="1">IFERROR(__xludf.DUMMYFUNCTION("IF
(
G85=""фізична особа""
,
VLOOKUP(H85,IMPORTRANGE(""https://docs.google.com/spreadsheets/d/14Bd19lYaqBhU8_DElYkX7l4wRkHqqCUFNJY4AfY3kHU/edit?usp=sharing  #gid=0"",""фіз особи new!relations_name""),6,FALSE)
,
(IF
(
G85=""юридична особа""
,
VLOOKUP(H85,I"&amp;"MPORTRANGE(""https://docs.google.com/spreadsheets/d/14Bd19lYaqBhU8_DElYkX7l4wRkHqqCUFNJY4AfY3kHU/edit?usp=sharing  #gid=0"",""фіз особи new!relations_name_uo""),7,FALSE)
,
)
))"),"ЛУК'ЯНОВИЧ Андрій Юльянович")</f>
        <v>ЛУК'ЯНОВИЧ Андрій Юльянович</v>
      </c>
      <c r="J84" s="7" t="s">
        <v>23</v>
      </c>
    </row>
    <row r="85" spans="1:10" ht="13.2">
      <c r="A85" s="7">
        <v>84</v>
      </c>
      <c r="B85" s="7">
        <v>1</v>
      </c>
      <c r="C85" s="7" t="s">
        <v>10</v>
      </c>
      <c r="D85" s="7">
        <v>29</v>
      </c>
      <c r="E85" s="7" t="s">
        <v>17</v>
      </c>
      <c r="F85" s="8" t="str">
        <f ca="1">IFERROR(__xludf.DUMMYFUNCTION("IF
(
C86=""фізична особа""
,
VLOOKUP(D86,IMPORTRANGE(""https://docs.google.com/spreadsheets/d/14Bd19lYaqBhU8_DElYkX7l4wRkHqqCUFNJY4AfY3kHU/edit?usp=sharing  #gid=0"",""фіз особи new!relations_name""),6,FALSE)
,
(IF
(
C86=""юридична особа""
,
VLOOKUP(D86,I"&amp;"MPORTRANGE(""https://docs.google.com/spreadsheets/d/14Bd19lYaqBhU8_DElYkX7l4wRkHqqCUFNJY4AfY3kHU/edit?usp=sharing  #gid=0"",""фіз особи new!relations_name_uo""),7,FALSE)
,
)
))"),"ВАССЕРМАН Анатолiй Олександрович")</f>
        <v>ВАССЕРМАН Анатолiй Олександрович</v>
      </c>
      <c r="G85" s="7" t="s">
        <v>10</v>
      </c>
      <c r="H85" s="7">
        <v>0</v>
      </c>
      <c r="I85" s="8" t="str">
        <f ca="1">IFERROR(__xludf.DUMMYFUNCTION("IF
(
G86=""фізична особа""
,
VLOOKUP(H86,IMPORTRANGE(""https://docs.google.com/spreadsheets/d/14Bd19lYaqBhU8_DElYkX7l4wRkHqqCUFNJY4AfY3kHU/edit?usp=sharing  #gid=0"",""фіз особи new!relations_name""),6,FALSE)
,
(IF
(
G86=""юридична особа""
,
VLOOKUP(H86,I"&amp;"MPORTRANGE(""https://docs.google.com/spreadsheets/d/14Bd19lYaqBhU8_DElYkX7l4wRkHqqCUFNJY4AfY3kHU/edit?usp=sharing  #gid=0"",""фіз особи new!relations_name_uo""),7,FALSE)
,
)
))"),"#N/A")</f>
        <v>#N/A</v>
      </c>
      <c r="J85" s="7" t="s">
        <v>12</v>
      </c>
    </row>
    <row r="86" spans="1:10" ht="13.2">
      <c r="A86" s="7">
        <v>85</v>
      </c>
      <c r="B86" s="7">
        <v>1</v>
      </c>
      <c r="C86" s="7" t="s">
        <v>10</v>
      </c>
      <c r="D86" s="7">
        <v>29</v>
      </c>
      <c r="E86" s="7" t="s">
        <v>18</v>
      </c>
      <c r="F86" s="8" t="str">
        <f ca="1">IFERROR(__xludf.DUMMYFUNCTION("IF
(
C87=""фізична особа""
,
VLOOKUP(D87,IMPORTRANGE(""https://docs.google.com/spreadsheets/d/14Bd19lYaqBhU8_DElYkX7l4wRkHqqCUFNJY4AfY3kHU/edit?usp=sharing  #gid=0"",""фіз особи new!relations_name""),6,FALSE)
,
(IF
(
C87=""юридична особа""
,
VLOOKUP(D87,I"&amp;"MPORTRANGE(""https://docs.google.com/spreadsheets/d/14Bd19lYaqBhU8_DElYkX7l4wRkHqqCUFNJY4AfY3kHU/edit?usp=sharing  #gid=0"",""фіз особи new!relations_name_uo""),7,FALSE)
,
)
))"),"ВАССЕРМАН Анатолiй Олександрович")</f>
        <v>ВАССЕРМАН Анатолiй Олександрович</v>
      </c>
      <c r="G86" s="7" t="s">
        <v>10</v>
      </c>
      <c r="H86" s="7">
        <v>4084</v>
      </c>
      <c r="I86" s="8" t="str">
        <f ca="1">IFERROR(__xludf.DUMMYFUNCTION("IF
(
G87=""фізична особа""
,
VLOOKUP(H87,IMPORTRANGE(""https://docs.google.com/spreadsheets/d/14Bd19lYaqBhU8_DElYkX7l4wRkHqqCUFNJY4AfY3kHU/edit?usp=sharing  #gid=0"",""фіз особи new!relations_name""),6,FALSE)
,
(IF
(
G87=""юридична особа""
,
VLOOKUP(H87,I"&amp;"MPORTRANGE(""https://docs.google.com/spreadsheets/d/14Bd19lYaqBhU8_DElYkX7l4wRkHqqCUFNJY4AfY3kHU/edit?usp=sharing  #gid=0"",""фіз особи new!relations_name_uo""),7,FALSE)
,
)
))"),"ВАССЕРМАН Володимир Олександрович")</f>
        <v>ВАССЕРМАН Володимир Олександрович</v>
      </c>
      <c r="J86" s="7" t="s">
        <v>18</v>
      </c>
    </row>
    <row r="87" spans="1:10" ht="13.2">
      <c r="A87" s="7">
        <v>86</v>
      </c>
      <c r="B87" s="7">
        <v>1</v>
      </c>
      <c r="C87" s="7" t="s">
        <v>10</v>
      </c>
      <c r="D87" s="7">
        <v>30</v>
      </c>
      <c r="E87" s="7" t="s">
        <v>14</v>
      </c>
      <c r="F87" s="8" t="str">
        <f ca="1">IFERROR(__xludf.DUMMYFUNCTION("IF
(
C88=""фізична особа""
,
VLOOKUP(D88,IMPORTRANGE(""https://docs.google.com/spreadsheets/d/14Bd19lYaqBhU8_DElYkX7l4wRkHqqCUFNJY4AfY3kHU/edit?usp=sharing  #gid=0"",""фіз особи new!relations_name""),6,FALSE)
,
(IF
(
C88=""юридична особа""
,
VLOOKUP(D88,I"&amp;"MPORTRANGE(""https://docs.google.com/spreadsheets/d/14Bd19lYaqBhU8_DElYkX7l4wRkHqqCUFNJY4AfY3kHU/edit?usp=sharing  #gid=0"",""фіз особи new!relations_name_uo""),7,FALSE)
,
)
))"),"СЕРИШЕВ Анатолій Анатолійович")</f>
        <v>СЕРИШЕВ Анатолій Анатолійович</v>
      </c>
      <c r="G87" s="7" t="s">
        <v>10</v>
      </c>
      <c r="H87" s="7">
        <v>0</v>
      </c>
      <c r="I87" s="8" t="str">
        <f ca="1">IFERROR(__xludf.DUMMYFUNCTION("IF
(
G88=""фізична особа""
,
VLOOKUP(H88,IMPORTRANGE(""https://docs.google.com/spreadsheets/d/14Bd19lYaqBhU8_DElYkX7l4wRkHqqCUFNJY4AfY3kHU/edit?usp=sharing  #gid=0"",""фіз особи new!relations_name""),6,FALSE)
,
(IF
(
G88=""юридична особа""
,
VLOOKUP(H88,I"&amp;"MPORTRANGE(""https://docs.google.com/spreadsheets/d/14Bd19lYaqBhU8_DElYkX7l4wRkHqqCUFNJY4AfY3kHU/edit?usp=sharing  #gid=0"",""фіз особи new!relations_name_uo""),7,FALSE)
,
)
))"),"#N/A")</f>
        <v>#N/A</v>
      </c>
      <c r="J87" s="7" t="s">
        <v>15</v>
      </c>
    </row>
    <row r="88" spans="1:10" ht="13.2">
      <c r="A88" s="7">
        <v>87</v>
      </c>
      <c r="B88" s="7">
        <v>1</v>
      </c>
      <c r="C88" s="7" t="s">
        <v>10</v>
      </c>
      <c r="D88" s="7">
        <v>30</v>
      </c>
      <c r="E88" s="7" t="s">
        <v>12</v>
      </c>
      <c r="F88" s="8" t="str">
        <f ca="1">IFERROR(__xludf.DUMMYFUNCTION("IF
(
C89=""фізична особа""
,
VLOOKUP(D89,IMPORTRANGE(""https://docs.google.com/spreadsheets/d/14Bd19lYaqBhU8_DElYkX7l4wRkHqqCUFNJY4AfY3kHU/edit?usp=sharing  #gid=0"",""фіз особи new!relations_name""),6,FALSE)
,
(IF
(
C89=""юридична особа""
,
VLOOKUP(D89,I"&amp;"MPORTRANGE(""https://docs.google.com/spreadsheets/d/14Bd19lYaqBhU8_DElYkX7l4wRkHqqCUFNJY4AfY3kHU/edit?usp=sharing  #gid=0"",""фіз особи new!relations_name_uo""),7,FALSE)
,
)
))"),"СЕРИШЕВ Анатолій Анатолійович")</f>
        <v>СЕРИШЕВ Анатолій Анатолійович</v>
      </c>
      <c r="G88" s="7" t="s">
        <v>10</v>
      </c>
      <c r="H88" s="7">
        <v>0</v>
      </c>
      <c r="I88" s="8" t="str">
        <f ca="1">IFERROR(__xludf.DUMMYFUNCTION("IF
(
G89=""фізична особа""
,
VLOOKUP(H89,IMPORTRANGE(""https://docs.google.com/spreadsheets/d/14Bd19lYaqBhU8_DElYkX7l4wRkHqqCUFNJY4AfY3kHU/edit?usp=sharing  #gid=0"",""фіз особи new!relations_name""),6,FALSE)
,
(IF
(
G89=""юридична особа""
,
VLOOKUP(H89,I"&amp;"MPORTRANGE(""https://docs.google.com/spreadsheets/d/14Bd19lYaqBhU8_DElYkX7l4wRkHqqCUFNJY4AfY3kHU/edit?usp=sharing  #gid=0"",""фіз особи new!relations_name_uo""),7,FALSE)
,
)
))"),"#N/A")</f>
        <v>#N/A</v>
      </c>
      <c r="J88" s="7" t="s">
        <v>13</v>
      </c>
    </row>
    <row r="89" spans="1:10" ht="13.2">
      <c r="A89" s="7">
        <v>88</v>
      </c>
      <c r="B89" s="7">
        <v>1</v>
      </c>
      <c r="C89" s="7" t="s">
        <v>10</v>
      </c>
      <c r="D89" s="7">
        <v>30</v>
      </c>
      <c r="E89" s="7" t="s">
        <v>23</v>
      </c>
      <c r="F89" s="8" t="str">
        <f ca="1">IFERROR(__xludf.DUMMYFUNCTION("IF
(
C90=""фізична особа""
,
VLOOKUP(D90,IMPORTRANGE(""https://docs.google.com/spreadsheets/d/14Bd19lYaqBhU8_DElYkX7l4wRkHqqCUFNJY4AfY3kHU/edit?usp=sharing  #gid=0"",""фіз особи new!relations_name""),6,FALSE)
,
(IF
(
C90=""юридична особа""
,
VLOOKUP(D90,I"&amp;"MPORTRANGE(""https://docs.google.com/spreadsheets/d/14Bd19lYaqBhU8_DElYkX7l4wRkHqqCUFNJY4AfY3kHU/edit?usp=sharing  #gid=0"",""фіз особи new!relations_name_uo""),7,FALSE)
,
)
))"),"СЕРИШЕВ Анатолій Анатолійович")</f>
        <v>СЕРИШЕВ Анатолій Анатолійович</v>
      </c>
      <c r="G89" s="7" t="s">
        <v>10</v>
      </c>
      <c r="H89" s="7">
        <v>880</v>
      </c>
      <c r="I89" s="8" t="str">
        <f ca="1">IFERROR(__xludf.DUMMYFUNCTION("IF
(
G90=""фізична особа""
,
VLOOKUP(H90,IMPORTRANGE(""https://docs.google.com/spreadsheets/d/14Bd19lYaqBhU8_DElYkX7l4wRkHqqCUFNJY4AfY3kHU/edit?usp=sharing  #gid=0"",""фіз особи new!relations_name""),6,FALSE)
,
(IF
(
G90=""юридична особа""
,
VLOOKUP(H90,I"&amp;"MPORTRANGE(""https://docs.google.com/spreadsheets/d/14Bd19lYaqBhU8_DElYkX7l4wRkHqqCUFNJY4AfY3kHU/edit?usp=sharing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9" s="7" t="s">
        <v>23</v>
      </c>
    </row>
    <row r="90" spans="1:10" ht="13.2">
      <c r="A90" s="7">
        <v>89</v>
      </c>
      <c r="B90" s="7">
        <v>1</v>
      </c>
      <c r="C90" s="7" t="s">
        <v>10</v>
      </c>
      <c r="D90" s="7">
        <v>30</v>
      </c>
      <c r="E90" s="7" t="s">
        <v>23</v>
      </c>
      <c r="F90" s="8" t="str">
        <f ca="1">IFERROR(__xludf.DUMMYFUNCTION("IF
(
C91=""фізична особа""
,
VLOOKUP(D91,IMPORTRANGE(""https://docs.google.com/spreadsheets/d/14Bd19lYaqBhU8_DElYkX7l4wRkHqqCUFNJY4AfY3kHU/edit?usp=sharing  #gid=0"",""фіз особи new!relations_name""),6,FALSE)
,
(IF
(
C91=""юридична особа""
,
VLOOKUP(D91,I"&amp;"MPORTRANGE(""https://docs.google.com/spreadsheets/d/14Bd19lYaqBhU8_DElYkX7l4wRkHqqCUFNJY4AfY3kHU/edit?usp=sharing  #gid=0"",""фіз особи new!relations_name_uo""),7,FALSE)
,
)
))"),"СЕРИШЕВ Анатолій Анатолійович")</f>
        <v>СЕРИШЕВ Анатолій Анатолійович</v>
      </c>
      <c r="G90" s="7" t="s">
        <v>10</v>
      </c>
      <c r="H90" s="7">
        <v>860</v>
      </c>
      <c r="I90" s="8" t="str">
        <f ca="1">IFERROR(__xludf.DUMMYFUNCTION("IF
(
G91=""фізична особа""
,
VLOOKUP(H91,IMPORTRANGE(""https://docs.google.com/spreadsheets/d/14Bd19lYaqBhU8_DElYkX7l4wRkHqqCUFNJY4AfY3kHU/edit?usp=sharing  #gid=0"",""фіз особи new!relations_name""),6,FALSE)
,
(IF
(
G91=""юридична особа""
,
VLOOKUP(H91,I"&amp;"MPORTRANGE(""https://docs.google.com/spreadsheets/d/14Bd19lYaqBhU8_DElYkX7l4wRkHqqCUFNJY4AfY3kHU/edit?usp=sharing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90" s="7" t="s">
        <v>23</v>
      </c>
    </row>
    <row r="91" spans="1:10" ht="13.2">
      <c r="A91" s="7">
        <v>90</v>
      </c>
      <c r="B91" s="7">
        <v>1</v>
      </c>
      <c r="C91" s="7" t="s">
        <v>10</v>
      </c>
      <c r="D91" s="7">
        <v>31</v>
      </c>
      <c r="E91" s="7" t="s">
        <v>14</v>
      </c>
      <c r="F91" s="8" t="str">
        <f ca="1">IFERROR(__xludf.DUMMYFUNCTION("IF
(
C92=""фізична особа""
,
VLOOKUP(D92,IMPORTRANGE(""https://docs.google.com/spreadsheets/d/14Bd19lYaqBhU8_DElYkX7l4wRkHqqCUFNJY4AfY3kHU/edit?usp=sharing  #gid=0"",""фіз особи new!relations_name""),6,FALSE)
,
(IF
(
C92=""юридична особа""
,
VLOOKUP(D92,I"&amp;"MPORTRANGE(""https://docs.google.com/spreadsheets/d/14Bd19lYaqBhU8_DElYkX7l4wRkHqqCUFNJY4AfY3kHU/edit?usp=sharing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G91" s="7" t="s">
        <v>10</v>
      </c>
      <c r="H91" s="7">
        <v>4086</v>
      </c>
      <c r="I91" s="8" t="str">
        <f ca="1">IFERROR(__xludf.DUMMYFUNCTION("IF
(
G92=""фізична особа""
,
VLOOKUP(H92,IMPORTRANGE(""https://docs.google.com/spreadsheets/d/14Bd19lYaqBhU8_DElYkX7l4wRkHqqCUFNJY4AfY3kHU/edit?usp=sharing  #gid=0"",""фіз особи new!relations_name""),6,FALSE)
,
(IF
(
G92=""юридична особа""
,
VLOOKUP(H92,I"&amp;"MPORTRANGE(""https://docs.google.com/spreadsheets/d/14Bd19lYaqBhU8_DElYkX7l4wRkHqqCUFNJY4AfY3kHU/edit?usp=sharing  #gid=0"",""фіз особи new!relations_name_uo""),7,FALSE)
,
)
))"),"ВИБОРНА Світлана Степанівна")</f>
        <v>ВИБОРНА Світлана Степанівна</v>
      </c>
      <c r="J91" s="7" t="s">
        <v>15</v>
      </c>
    </row>
    <row r="92" spans="1:10" ht="13.2">
      <c r="A92" s="7">
        <v>91</v>
      </c>
      <c r="B92" s="7">
        <v>1</v>
      </c>
      <c r="C92" s="7" t="s">
        <v>10</v>
      </c>
      <c r="D92" s="7">
        <v>31</v>
      </c>
      <c r="E92" s="7" t="s">
        <v>34</v>
      </c>
      <c r="F92" s="8" t="str">
        <f ca="1">IFERROR(__xludf.DUMMYFUNCTION("IF
(
C93=""фізична особа""
,
VLOOKUP(D93,IMPORTRANGE(""https://docs.google.com/spreadsheets/d/14Bd19lYaqBhU8_DElYkX7l4wRkHqqCUFNJY4AfY3kHU/edit?usp=sharing  #gid=0"",""фіз особи new!relations_name""),6,FALSE)
,
(IF
(
C93=""юридична особа""
,
VLOOKUP(D93,I"&amp;"MPORTRANGE(""https://docs.google.com/spreadsheets/d/14Bd19lYaqBhU8_DElYkX7l4wRkHqqCUFNJY4AfY3kHU/edit?usp=sharing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G92" s="7" t="s">
        <v>10</v>
      </c>
      <c r="H92" s="7">
        <v>4085</v>
      </c>
      <c r="I92" s="8" t="str">
        <f ca="1">IFERROR(__xludf.DUMMYFUNCTION("IF
(
G93=""фізична особа""
,
VLOOKUP(H93,IMPORTRANGE(""https://docs.google.com/spreadsheets/d/14Bd19lYaqBhU8_DElYkX7l4wRkHqqCUFNJY4AfY3kHU/edit?usp=sharing  #gid=0"",""фіз особи new!relations_name""),6,FALSE)
,
(IF
(
G93=""юридична особа""
,
VLOOKUP(H93,I"&amp;"MPORTRANGE(""https://docs.google.com/spreadsheets/d/14Bd19lYaqBhU8_DElYkX7l4wRkHqqCUFNJY4AfY3kHU/edit?usp=sharing  #gid=0"",""фіз особи new!relations_name_uo""),7,FALSE)
,
)
))"),"ВИБОРНА Ольга")</f>
        <v>ВИБОРНА Ольга</v>
      </c>
      <c r="J92" s="7" t="s">
        <v>25</v>
      </c>
    </row>
    <row r="93" spans="1:10" ht="13.2">
      <c r="A93" s="7">
        <v>92</v>
      </c>
      <c r="B93" s="7">
        <v>1</v>
      </c>
      <c r="C93" s="7" t="s">
        <v>10</v>
      </c>
      <c r="D93" s="7">
        <v>31</v>
      </c>
      <c r="E93" s="7" t="s">
        <v>18</v>
      </c>
      <c r="F93" s="8" t="str">
        <f ca="1">IFERROR(__xludf.DUMMYFUNCTION("IF
(
C94=""фізична особа""
,
VLOOKUP(D94,IMPORTRANGE(""https://docs.google.com/spreadsheets/d/14Bd19lYaqBhU8_DElYkX7l4wRkHqqCUFNJY4AfY3kHU/edit?usp=sharing  #gid=0"",""фіз особи new!relations_name""),6,FALSE)
,
(IF
(
C94=""юридична особа""
,
VLOOKUP(D94,I"&amp;"MPORTRANGE(""https://docs.google.com/spreadsheets/d/14Bd19lYaqBhU8_DElYkX7l4wRkHqqCUFNJY4AfY3kHU/edit?usp=sharing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G93" s="7" t="s">
        <v>10</v>
      </c>
      <c r="H93" s="7">
        <v>4087</v>
      </c>
      <c r="I93" s="8" t="str">
        <f ca="1">IFERROR(__xludf.DUMMYFUNCTION("IF
(
G94=""фізична особа""
,
VLOOKUP(H94,IMPORTRANGE(""https://docs.google.com/spreadsheets/d/14Bd19lYaqBhU8_DElYkX7l4wRkHqqCUFNJY4AfY3kHU/edit?usp=sharing  #gid=0"",""фіз особи new!relations_name""),6,FALSE)
,
(IF
(
G94=""юридична особа""
,
VLOOKUP(H94,I"&amp;"MPORTRANGE(""https://docs.google.com/spreadsheets/d/14Bd19lYaqBhU8_DElYkX7l4wRkHqqCUFNJY4AfY3kHU/edit?usp=sharing  #gid=0"",""фіз особи new!relations_name_uo""),7,FALSE)
,
)
))"),"ВИБОРНИЙ Володимир Борисович")</f>
        <v>ВИБОРНИЙ Володимир Борисович</v>
      </c>
      <c r="J93" s="7" t="s">
        <v>18</v>
      </c>
    </row>
    <row r="94" spans="1:10" ht="13.2">
      <c r="A94" s="7">
        <v>93</v>
      </c>
      <c r="B94" s="7">
        <v>1</v>
      </c>
      <c r="C94" s="7" t="s">
        <v>10</v>
      </c>
      <c r="D94" s="7">
        <v>31</v>
      </c>
      <c r="E94" s="7" t="s">
        <v>12</v>
      </c>
      <c r="F94" s="8" t="str">
        <f ca="1">IFERROR(__xludf.DUMMYFUNCTION("IF
(
C95=""фізична особа""
,
VLOOKUP(D95,IMPORTRANGE(""https://docs.google.com/spreadsheets/d/14Bd19lYaqBhU8_DElYkX7l4wRkHqqCUFNJY4AfY3kHU/edit?usp=sharing  #gid=0"",""фіз особи new!relations_name""),6,FALSE)
,
(IF
(
C95=""юридична особа""
,
VLOOKUP(D95,I"&amp;"MPORTRANGE(""https://docs.google.com/spreadsheets/d/14Bd19lYaqBhU8_DElYkX7l4wRkHqqCUFNJY4AfY3kHU/edit?usp=sharing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G94" s="7" t="s">
        <v>10</v>
      </c>
      <c r="H94" s="7">
        <v>4088</v>
      </c>
      <c r="I94" s="8" t="str">
        <f ca="1">IFERROR(__xludf.DUMMYFUNCTION("IF
(
G95=""фізична особа""
,
VLOOKUP(H95,IMPORTRANGE(""https://docs.google.com/spreadsheets/d/14Bd19lYaqBhU8_DElYkX7l4wRkHqqCUFNJY4AfY3kHU/edit?usp=sharing  #gid=0"",""фіз особи new!relations_name""),6,FALSE)
,
(IF
(
G95=""юридична особа""
,
VLOOKUP(H95,I"&amp;"MPORTRANGE(""https://docs.google.com/spreadsheets/d/14Bd19lYaqBhU8_DElYkX7l4wRkHqqCUFNJY4AfY3kHU/edit?usp=sharing  #gid=0"",""фіз особи new!relations_name_uo""),7,FALSE)
,
)
))"),"ВИБОРНИЙ Олександр Анатолійович")</f>
        <v>ВИБОРНИЙ Олександр Анатолійович</v>
      </c>
      <c r="J94" s="7" t="s">
        <v>17</v>
      </c>
    </row>
    <row r="95" spans="1:10" ht="13.2">
      <c r="A95" s="7">
        <v>94</v>
      </c>
      <c r="B95" s="7">
        <v>1</v>
      </c>
      <c r="C95" s="7" t="s">
        <v>10</v>
      </c>
      <c r="D95" s="7">
        <v>31</v>
      </c>
      <c r="E95" s="7" t="s">
        <v>12</v>
      </c>
      <c r="F95" s="8" t="str">
        <f ca="1">IFERROR(__xludf.DUMMYFUNCTION("IF
(
C96=""фізична особа""
,
VLOOKUP(D96,IMPORTRANGE(""https://docs.google.com/spreadsheets/d/14Bd19lYaqBhU8_DElYkX7l4wRkHqqCUFNJY4AfY3kHU/edit?usp=sharing  #gid=0"",""фіз особи new!relations_name""),6,FALSE)
,
(IF
(
C96=""юридична особа""
,
VLOOKUP(D96,I"&amp;"MPORTRANGE(""https://docs.google.com/spreadsheets/d/14Bd19lYaqBhU8_DElYkX7l4wRkHqqCUFNJY4AfY3kHU/edit?usp=sharing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G95" s="7" t="s">
        <v>10</v>
      </c>
      <c r="H95" s="7">
        <v>4089</v>
      </c>
      <c r="I95" s="8" t="str">
        <f ca="1">IFERROR(__xludf.DUMMYFUNCTION("IF
(
G96=""фізична особа""
,
VLOOKUP(H96,IMPORTRANGE(""https://docs.google.com/spreadsheets/d/14Bd19lYaqBhU8_DElYkX7l4wRkHqqCUFNJY4AfY3kHU/edit?usp=sharing  #gid=0"",""фіз особи new!relations_name""),6,FALSE)
,
(IF
(
G96=""юридична особа""
,
VLOOKUP(H96,I"&amp;"MPORTRANGE(""https://docs.google.com/spreadsheets/d/14Bd19lYaqBhU8_DElYkX7l4wRkHqqCUFNJY4AfY3kHU/edit?usp=sharing  #gid=0"",""фіз особи new!relations_name_uo""),7,FALSE)
,
)
))"),"ВИБОРНИЙ Віталій Анатолійович")</f>
        <v>ВИБОРНИЙ Віталій Анатолійович</v>
      </c>
      <c r="J95" s="7" t="s">
        <v>17</v>
      </c>
    </row>
    <row r="96" spans="1:10" ht="13.2">
      <c r="A96" s="7">
        <v>95</v>
      </c>
      <c r="B96" s="7">
        <v>1</v>
      </c>
      <c r="C96" s="7" t="s">
        <v>10</v>
      </c>
      <c r="D96" s="7">
        <v>32</v>
      </c>
      <c r="E96" s="7" t="s">
        <v>12</v>
      </c>
      <c r="F96" s="8" t="str">
        <f ca="1">IFERROR(__xludf.DUMMYFUNCTION("IF
(
C97=""фізична особа""
,
VLOOKUP(D97,IMPORTRANGE(""https://docs.google.com/spreadsheets/d/14Bd19lYaqBhU8_DElYkX7l4wRkHqqCUFNJY4AfY3kHU/edit?usp=sharing  #gid=0"",""фіз особи new!relations_name""),6,FALSE)
,
(IF
(
C97=""юридична особа""
,
VLOOKUP(D97,I"&amp;"MPORTRANGE(""https://docs.google.com/spreadsheets/d/14Bd19lYaqBhU8_DElYkX7l4wRkHqqCUFNJY4AfY3kHU/edit?usp=sharing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96" s="7" t="s">
        <v>10</v>
      </c>
      <c r="H96" s="7">
        <v>4324</v>
      </c>
      <c r="I96" s="8" t="str">
        <f ca="1">IFERROR(__xludf.DUMMYFUNCTION("IF
(
G97=""фізична особа""
,
VLOOKUP(H97,IMPORTRANGE(""https://docs.google.com/spreadsheets/d/14Bd19lYaqBhU8_DElYkX7l4wRkHqqCUFNJY4AfY3kHU/edit?usp=sharing  #gid=0"",""фіз особи new!relations_name""),6,FALSE)
,
(IF
(
G97=""юридична особа""
,
VLOOKUP(H97,I"&amp;"MPORTRANGE(""https://docs.google.com/spreadsheets/d/14Bd19lYaqBhU8_DElYkX7l4wRkHqqCUFNJY4AfY3kHU/edit?usp=sharing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J96" s="7" t="s">
        <v>17</v>
      </c>
    </row>
    <row r="97" spans="1:10" ht="13.2">
      <c r="A97" s="7">
        <v>96</v>
      </c>
      <c r="B97" s="7">
        <v>1</v>
      </c>
      <c r="C97" s="7" t="s">
        <v>10</v>
      </c>
      <c r="D97" s="7">
        <v>32</v>
      </c>
      <c r="E97" s="7" t="s">
        <v>14</v>
      </c>
      <c r="F97" s="8" t="str">
        <f ca="1">IFERROR(__xludf.DUMMYFUNCTION("IF
(
C98=""фізична особа""
,
VLOOKUP(D98,IMPORTRANGE(""https://docs.google.com/spreadsheets/d/14Bd19lYaqBhU8_DElYkX7l4wRkHqqCUFNJY4AfY3kHU/edit?usp=sharing  #gid=0"",""фіз особи new!relations_name""),6,FALSE)
,
(IF
(
C98=""юридична особа""
,
VLOOKUP(D98,I"&amp;"MPORTRANGE(""https://docs.google.com/spreadsheets/d/14Bd19lYaqBhU8_DElYkX7l4wRkHqqCUFNJY4AfY3kHU/edit?usp=sharing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97" s="7" t="s">
        <v>10</v>
      </c>
      <c r="H97" s="7">
        <v>4321</v>
      </c>
      <c r="I97" s="8" t="str">
        <f ca="1">IFERROR(__xludf.DUMMYFUNCTION("IF
(
G98=""фізична особа""
,
VLOOKUP(H98,IMPORTRANGE(""https://docs.google.com/spreadsheets/d/14Bd19lYaqBhU8_DElYkX7l4wRkHqqCUFNJY4AfY3kHU/edit?usp=sharing  #gid=0"",""фіз особи new!relations_name""),6,FALSE)
,
(IF
(
G98=""юридична особа""
,
VLOOKUP(H98,I"&amp;"MPORTRANGE(""https://docs.google.com/spreadsheets/d/14Bd19lYaqBhU8_DElYkX7l4wRkHqqCUFNJY4AfY3kHU/edit?usp=sharing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J97" s="7" t="s">
        <v>15</v>
      </c>
    </row>
    <row r="98" spans="1:10" ht="13.2">
      <c r="A98" s="7">
        <v>97</v>
      </c>
      <c r="B98" s="7">
        <v>1</v>
      </c>
      <c r="C98" s="7" t="s">
        <v>10</v>
      </c>
      <c r="D98" s="7">
        <v>32</v>
      </c>
      <c r="E98" s="7" t="s">
        <v>18</v>
      </c>
      <c r="F98" s="8" t="str">
        <f ca="1">IFERROR(__xludf.DUMMYFUNCTION("IF
(
C99=""фізична особа""
,
VLOOKUP(D99,IMPORTRANGE(""https://docs.google.com/spreadsheets/d/14Bd19lYaqBhU8_DElYkX7l4wRkHqqCUFNJY4AfY3kHU/edit?usp=sharing  #gid=0"",""фіз особи new!relations_name""),6,FALSE)
,
(IF
(
C99=""юридична особа""
,
VLOOKUP(D99,I"&amp;"MPORTRANGE(""https://docs.google.com/spreadsheets/d/14Bd19lYaqBhU8_DElYkX7l4wRkHqqCUFNJY4AfY3kHU/edit?usp=sharing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98" s="7" t="s">
        <v>10</v>
      </c>
      <c r="H98" s="7">
        <v>0</v>
      </c>
      <c r="I98" s="8" t="str">
        <f ca="1">IFERROR(__xludf.DUMMYFUNCTION("IF
(
G99=""фізична особа""
,
VLOOKUP(H99,IMPORTRANGE(""https://docs.google.com/spreadsheets/d/14Bd19lYaqBhU8_DElYkX7l4wRkHqqCUFNJY4AfY3kHU/edit?usp=sharing  #gid=0"",""фіз особи new!relations_name""),6,FALSE)
,
(IF
(
G99=""юридична особа""
,
VLOOKUP(H99,I"&amp;"MPORTRANGE(""https://docs.google.com/spreadsheets/d/14Bd19lYaqBhU8_DElYkX7l4wRkHqqCUFNJY4AfY3kHU/edit?usp=sharing  #gid=0"",""фіз особи new!relations_name_uo""),7,FALSE)
,
)
))"),"#N/A")</f>
        <v>#N/A</v>
      </c>
      <c r="J98" s="7" t="s">
        <v>31</v>
      </c>
    </row>
    <row r="99" spans="1:10" ht="13.2">
      <c r="A99" s="7">
        <v>98</v>
      </c>
      <c r="B99" s="7">
        <v>1</v>
      </c>
      <c r="C99" s="7" t="s">
        <v>10</v>
      </c>
      <c r="D99" s="7">
        <v>32</v>
      </c>
      <c r="E99" s="7" t="s">
        <v>24</v>
      </c>
      <c r="F99" s="8" t="str">
        <f ca="1">IFERROR(__xludf.DUMMYFUNCTION("IF
(
C100=""фізична особа""
,
VLOOKUP(D100,IMPORTRANGE(""https://docs.google.com/spreadsheets/d/14Bd19lYaqBhU8_DElYkX7l4wRkHqqCUFNJY4AfY3kHU/edit?usp=sharing  #gid=0"",""фіз особи new!relations_name""),6,FALSE)
,
(IF
(
C100=""юридична особа""
,
VLOOKUP(D1"&amp;"00,IMPORTRANGE(""https://docs.google.com/spreadsheets/d/14Bd19lYaqBhU8_DElYkX7l4wRkHqqCUFNJY4AfY3kHU/edit?usp=sharing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99" s="7" t="s">
        <v>10</v>
      </c>
      <c r="H99" s="7">
        <v>4323</v>
      </c>
      <c r="I99" s="8" t="str">
        <f ca="1">IFERROR(__xludf.DUMMYFUNCTION("IF
(
G100=""фізична особа""
,
VLOOKUP(H100,IMPORTRANGE(""https://docs.google.com/spreadsheets/d/14Bd19lYaqBhU8_DElYkX7l4wRkHqqCUFNJY4AfY3kHU/edit?usp=sharing  #gid=0"",""фіз особи new!relations_name""),6,FALSE)
,
(IF
(
G100=""юридична особа""
,
VLOOKUP(H1"&amp;"00,IMPORTRANGE(""https://docs.google.com/spreadsheets/d/14Bd19lYaqBhU8_DElYkX7l4wRkHqqCUFNJY4AfY3kHU/edit?usp=sharing  #gid=0"",""фіз особи new!relations_name_uo""),7,FALSE)
,
)
))"),"КОРХОВ Олег")</f>
        <v>КОРХОВ Олег</v>
      </c>
      <c r="J99" s="7" t="s">
        <v>26</v>
      </c>
    </row>
    <row r="100" spans="1:10" ht="13.2">
      <c r="A100" s="7">
        <v>99</v>
      </c>
      <c r="B100" s="7">
        <v>1</v>
      </c>
      <c r="C100" s="7" t="s">
        <v>10</v>
      </c>
      <c r="D100" s="7">
        <v>32</v>
      </c>
      <c r="E100" s="7" t="s">
        <v>12</v>
      </c>
      <c r="F100" s="8" t="str">
        <f ca="1">IFERROR(__xludf.DUMMYFUNCTION("IF
(
C101=""фізична особа""
,
VLOOKUP(D101,IMPORTRANGE(""https://docs.google.com/spreadsheets/d/14Bd19lYaqBhU8_DElYkX7l4wRkHqqCUFNJY4AfY3kHU/edit?usp=sharing  #gid=0"",""фіз особи new!relations_name""),6,FALSE)
,
(IF
(
C101=""юридична особа""
,
VLOOKUP(D1"&amp;"01,IMPORTRANGE(""https://docs.google.com/spreadsheets/d/14Bd19lYaqBhU8_DElYkX7l4wRkHqqCUFNJY4AfY3kHU/edit?usp=sharing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100" s="7" t="s">
        <v>10</v>
      </c>
      <c r="H100" s="7">
        <v>4322</v>
      </c>
      <c r="I100" s="8" t="str">
        <f ca="1">IFERROR(__xludf.DUMMYFUNCTION("IF
(
G101=""фізична особа""
,
VLOOKUP(H101,IMPORTRANGE(""https://docs.google.com/spreadsheets/d/14Bd19lYaqBhU8_DElYkX7l4wRkHqqCUFNJY4AfY3kHU/edit?usp=sharing  #gid=0"",""фіз особи new!relations_name""),6,FALSE)
,
(IF
(
G101=""юридична особа""
,
VLOOKUP(H1"&amp;"01,IMPORTRANGE(""https://docs.google.com/spreadsheets/d/14Bd19lYaqBhU8_DElYkX7l4wRkHqqCUFNJY4AfY3kHU/edit?usp=sharing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J100" s="7" t="s">
        <v>13</v>
      </c>
    </row>
    <row r="101" spans="1:10" ht="13.2">
      <c r="A101" s="7">
        <v>100</v>
      </c>
      <c r="B101" s="7">
        <v>1</v>
      </c>
      <c r="C101" s="7" t="s">
        <v>10</v>
      </c>
      <c r="D101" s="7">
        <v>32</v>
      </c>
      <c r="E101" s="7" t="s">
        <v>35</v>
      </c>
      <c r="F101" s="8" t="str">
        <f ca="1">IFERROR(__xludf.DUMMYFUNCTION("IF
(
C102=""фізична особа""
,
VLOOKUP(D102,IMPORTRANGE(""https://docs.google.com/spreadsheets/d/14Bd19lYaqBhU8_DElYkX7l4wRkHqqCUFNJY4AfY3kHU/edit?usp=sharing  #gid=0"",""фіз особи new!relations_name""),6,FALSE)
,
(IF
(
C102=""юридична особа""
,
VLOOKUP(D1"&amp;"02,IMPORTRANGE(""https://docs.google.com/spreadsheets/d/14Bd19lYaqBhU8_DElYkX7l4wRkHqqCUFNJY4AfY3kHU/edit?usp=sharing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101" s="7" t="s">
        <v>10</v>
      </c>
      <c r="H101" s="7">
        <v>266</v>
      </c>
      <c r="I101" s="8" t="str">
        <f ca="1">IFERROR(__xludf.DUMMYFUNCTION("IF
(
G102=""фізична особа""
,
VLOOKUP(H102,IMPORTRANGE(""https://docs.google.com/spreadsheets/d/14Bd19lYaqBhU8_DElYkX7l4wRkHqqCUFNJY4AfY3kHU/edit?usp=sharing  #gid=0"",""фіз особи new!relations_name""),6,FALSE)
,
(IF
(
G102=""юридична особа""
,
VLOOKUP(H1"&amp;"02,IMPORTRANGE(""https://docs.google.com/spreadsheets/d/14Bd19lYaqBhU8_DElYkX7l4wRkHqqCUFNJY4AfY3kHU/edit?usp=sharing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J101" s="7" t="s">
        <v>35</v>
      </c>
    </row>
    <row r="102" spans="1:10" ht="13.2">
      <c r="A102" s="7">
        <v>101</v>
      </c>
      <c r="B102" s="7">
        <v>1</v>
      </c>
      <c r="C102" s="7" t="s">
        <v>10</v>
      </c>
      <c r="D102" s="7">
        <v>33</v>
      </c>
      <c r="E102" s="7" t="s">
        <v>14</v>
      </c>
      <c r="F102" s="8" t="str">
        <f ca="1">IFERROR(__xludf.DUMMYFUNCTION("IF
(
C103=""фізична особа""
,
VLOOKUP(D103,IMPORTRANGE(""https://docs.google.com/spreadsheets/d/14Bd19lYaqBhU8_DElYkX7l4wRkHqqCUFNJY4AfY3kHU/edit?usp=sharing  #gid=0"",""фіз особи new!relations_name""),6,FALSE)
,
(IF
(
C103=""юридична особа""
,
VLOOKUP(D1"&amp;"03,IMPORTRANGE(""https://docs.google.com/spreadsheets/d/14Bd19lYaqBhU8_DElYkX7l4wRkHqqCUFNJY4AfY3kHU/edit?usp=sharing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G102" s="7" t="s">
        <v>10</v>
      </c>
      <c r="H102" s="7">
        <v>4090</v>
      </c>
      <c r="I102" s="8" t="str">
        <f ca="1">IFERROR(__xludf.DUMMYFUNCTION("IF
(
G103=""фізична особа""
,
VLOOKUP(H103,IMPORTRANGE(""https://docs.google.com/spreadsheets/d/14Bd19lYaqBhU8_DElYkX7l4wRkHqqCUFNJY4AfY3kHU/edit?usp=sharing  #gid=0"",""фіз особи new!relations_name""),6,FALSE)
,
(IF
(
G103=""юридична особа""
,
VLOOKUP(H1"&amp;"03,IMPORTRANGE(""https://docs.google.com/spreadsheets/d/14Bd19lYaqBhU8_DElYkX7l4wRkHqqCUFNJY4AfY3kHU/edit?usp=sharing  #gid=0"",""фіз особи new!relations_name_uo""),7,FALSE)
,
)
))"),"БУЛАНОВА Наталія Володимирівна")</f>
        <v>БУЛАНОВА Наталія Володимирівна</v>
      </c>
      <c r="J102" s="7" t="s">
        <v>15</v>
      </c>
    </row>
    <row r="103" spans="1:10" ht="13.2">
      <c r="A103" s="7">
        <v>102</v>
      </c>
      <c r="B103" s="7">
        <v>1</v>
      </c>
      <c r="C103" s="7" t="s">
        <v>10</v>
      </c>
      <c r="D103" s="7">
        <v>33</v>
      </c>
      <c r="E103" s="7" t="s">
        <v>12</v>
      </c>
      <c r="F103" s="8" t="str">
        <f ca="1">IFERROR(__xludf.DUMMYFUNCTION("IF
(
C104=""фізична особа""
,
VLOOKUP(D104,IMPORTRANGE(""https://docs.google.com/spreadsheets/d/14Bd19lYaqBhU8_DElYkX7l4wRkHqqCUFNJY4AfY3kHU/edit?usp=sharing  #gid=0"",""фіз особи new!relations_name""),6,FALSE)
,
(IF
(
C104=""юридична особа""
,
VLOOKUP(D1"&amp;"04,IMPORTRANGE(""https://docs.google.com/spreadsheets/d/14Bd19lYaqBhU8_DElYkX7l4wRkHqqCUFNJY4AfY3kHU/edit?usp=sharing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G103" s="7" t="s">
        <v>10</v>
      </c>
      <c r="H103" s="7">
        <v>4091</v>
      </c>
      <c r="I103" s="8" t="str">
        <f ca="1">IFERROR(__xludf.DUMMYFUNCTION("IF
(
G104=""фізична особа""
,
VLOOKUP(H104,IMPORTRANGE(""https://docs.google.com/spreadsheets/d/14Bd19lYaqBhU8_DElYkX7l4wRkHqqCUFNJY4AfY3kHU/edit?usp=sharing  #gid=0"",""фіз особи new!relations_name""),6,FALSE)
,
(IF
(
G104=""юридична особа""
,
VLOOKUP(H1"&amp;"04,IMPORTRANGE(""https://docs.google.com/spreadsheets/d/14Bd19lYaqBhU8_DElYkX7l4wRkHqqCUFNJY4AfY3kHU/edit?usp=sharing  #gid=0"",""фіз особи new!relations_name_uo""),7,FALSE)
,
)
))"),"КАРПОВ Анатолій Анатолійович")</f>
        <v>КАРПОВ Анатолій Анатолійович</v>
      </c>
      <c r="J103" s="7" t="s">
        <v>17</v>
      </c>
    </row>
    <row r="104" spans="1:10" ht="13.2">
      <c r="A104" s="7">
        <v>103</v>
      </c>
      <c r="B104" s="7">
        <v>1</v>
      </c>
      <c r="C104" s="7" t="s">
        <v>10</v>
      </c>
      <c r="D104" s="7">
        <v>33</v>
      </c>
      <c r="E104" s="7" t="s">
        <v>12</v>
      </c>
      <c r="F104" s="8" t="str">
        <f ca="1">IFERROR(__xludf.DUMMYFUNCTION("IF
(
C105=""фізична особа""
,
VLOOKUP(D105,IMPORTRANGE(""https://docs.google.com/spreadsheets/d/14Bd19lYaqBhU8_DElYkX7l4wRkHqqCUFNJY4AfY3kHU/edit?usp=sharing  #gid=0"",""фіз особи new!relations_name""),6,FALSE)
,
(IF
(
C105=""юридична особа""
,
VLOOKUP(D1"&amp;"05,IMPORTRANGE(""https://docs.google.com/spreadsheets/d/14Bd19lYaqBhU8_DElYkX7l4wRkHqqCUFNJY4AfY3kHU/edit?usp=sharing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G104" s="7" t="s">
        <v>10</v>
      </c>
      <c r="H104" s="7">
        <v>4092</v>
      </c>
      <c r="I104" s="8" t="str">
        <f ca="1">IFERROR(__xludf.DUMMYFUNCTION("IF
(
G105=""фізична особа""
,
VLOOKUP(H105,IMPORTRANGE(""https://docs.google.com/spreadsheets/d/14Bd19lYaqBhU8_DElYkX7l4wRkHqqCUFNJY4AfY3kHU/edit?usp=sharing  #gid=0"",""фіз особи new!relations_name""),6,FALSE)
,
(IF
(
G105=""юридична особа""
,
VLOOKUP(H1"&amp;"05,IMPORTRANGE(""https://docs.google.com/spreadsheets/d/14Bd19lYaqBhU8_DElYkX7l4wRkHqqCUFNJY4AfY3kHU/edit?usp=sharing  #gid=0"",""фіз особи new!relations_name_uo""),7,FALSE)
,
)
))"),"КАРПОВА Софія Анатоліївна")</f>
        <v>КАРПОВА Софія Анатоліївна</v>
      </c>
      <c r="J104" s="7" t="s">
        <v>13</v>
      </c>
    </row>
    <row r="105" spans="1:10" ht="13.2">
      <c r="A105" s="7">
        <v>104</v>
      </c>
      <c r="B105" s="7">
        <v>1</v>
      </c>
      <c r="C105" s="7" t="s">
        <v>10</v>
      </c>
      <c r="D105" s="7">
        <v>35</v>
      </c>
      <c r="E105" s="7" t="s">
        <v>28</v>
      </c>
      <c r="F105" s="8" t="str">
        <f ca="1">IFERROR(__xludf.DUMMYFUNCTION("IF
(
C106=""фізична особа""
,
VLOOKUP(D106,IMPORTRANGE(""https://docs.google.com/spreadsheets/d/14Bd19lYaqBhU8_DElYkX7l4wRkHqqCUFNJY4AfY3kHU/edit?usp=sharing  #gid=0"",""фіз особи new!relations_name""),6,FALSE)
,
(IF
(
C106=""юридична особа""
,
VLOOKUP(D1"&amp;"06,IMPORTRANGE(""https://docs.google.com/spreadsheets/d/14Bd19lYaqBhU8_DElYkX7l4wRkHqqCUFNJY4AfY3kHU/edit?usp=sharing  #gid=0"",""фіз особи new!relations_name_uo""),7,FALSE)
,
)
))"),"ВОЛЬФОВИЧ Олександр Григорович")</f>
        <v>ВОЛЬФОВИЧ Олександр Григорович</v>
      </c>
      <c r="G105" s="7" t="s">
        <v>10</v>
      </c>
      <c r="H105" s="7">
        <v>821</v>
      </c>
      <c r="I105" s="8" t="str">
        <f ca="1">IFERROR(__xludf.DUMMYFUNCTION("IF
(
G106=""фізична особа""
,
VLOOKUP(H106,IMPORTRANGE(""https://docs.google.com/spreadsheets/d/14Bd19lYaqBhU8_DElYkX7l4wRkHqqCUFNJY4AfY3kHU/edit?usp=sharing  #gid=0"",""фіз особи new!relations_name""),6,FALSE)
,
(IF
(
G106=""юридична особа""
,
VLOOKUP(H1"&amp;"06,IMPORTRANGE(""https://docs.google.com/spreadsheets/d/14Bd19lYaqBhU8_DElYkX7l4wRkHqqCUFNJY4AfY3kHU/edit?usp=sharing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105" s="7" t="s">
        <v>29</v>
      </c>
    </row>
    <row r="106" spans="1:10" ht="13.2">
      <c r="A106" s="7">
        <v>105</v>
      </c>
      <c r="B106" s="7">
        <v>1</v>
      </c>
      <c r="C106" s="7" t="s">
        <v>10</v>
      </c>
      <c r="D106" s="7">
        <v>35</v>
      </c>
      <c r="E106" s="7" t="s">
        <v>28</v>
      </c>
      <c r="F106" s="8" t="str">
        <f ca="1">IFERROR(__xludf.DUMMYFUNCTION("IF
(
C107=""фізична особа""
,
VLOOKUP(D107,IMPORTRANGE(""https://docs.google.com/spreadsheets/d/14Bd19lYaqBhU8_DElYkX7l4wRkHqqCUFNJY4AfY3kHU/edit?usp=sharing  #gid=0"",""фіз особи new!relations_name""),6,FALSE)
,
(IF
(
C107=""юридична особа""
,
VLOOKUP(D1"&amp;"07,IMPORTRANGE(""https://docs.google.com/spreadsheets/d/14Bd19lYaqBhU8_DElYkX7l4wRkHqqCUFNJY4AfY3kHU/edit?usp=sharing  #gid=0"",""фіз особи new!relations_name_uo""),7,FALSE)
,
)
))"),"ВОЛЬФОВИЧ Олександр Григорович")</f>
        <v>ВОЛЬФОВИЧ Олександр Григорович</v>
      </c>
      <c r="G106" s="7" t="s">
        <v>10</v>
      </c>
      <c r="H106" s="7">
        <v>1017</v>
      </c>
      <c r="I106" s="8" t="str">
        <f ca="1">IFERROR(__xludf.DUMMYFUNCTION("IF
(
G107=""фізична особа""
,
VLOOKUP(H107,IMPORTRANGE(""https://docs.google.com/spreadsheets/d/14Bd19lYaqBhU8_DElYkX7l4wRkHqqCUFNJY4AfY3kHU/edit?usp=sharing  #gid=0"",""фіз особи new!relations_name""),6,FALSE)
,
(IF
(
G107=""юридична особа""
,
VLOOKUP(H1"&amp;"07,IMPORTRANGE(""https://docs.google.com/spreadsheets/d/14Bd19lYaqBhU8_DElYkX7l4wRkHqqCUFNJY4AfY3kHU/edit?usp=sharing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06" s="7" t="s">
        <v>29</v>
      </c>
    </row>
    <row r="107" spans="1:10" ht="13.2">
      <c r="A107" s="7">
        <v>106</v>
      </c>
      <c r="B107" s="7">
        <v>1</v>
      </c>
      <c r="C107" s="7" t="s">
        <v>10</v>
      </c>
      <c r="D107" s="7">
        <v>32</v>
      </c>
      <c r="E107" s="7" t="s">
        <v>12</v>
      </c>
      <c r="F107" s="8" t="str">
        <f ca="1">IFERROR(__xludf.DUMMYFUNCTION("IF
(
C108=""фізична особа""
,
VLOOKUP(D108,IMPORTRANGE(""https://docs.google.com/spreadsheets/d/14Bd19lYaqBhU8_DElYkX7l4wRkHqqCUFNJY4AfY3kHU/edit?usp=sharing  #gid=0"",""фіз особи new!relations_name""),6,FALSE)
,
(IF
(
C108=""юридична особа""
,
VLOOKUP(D1"&amp;"08,IMPORTRANGE(""https://docs.google.com/spreadsheets/d/14Bd19lYaqBhU8_DElYkX7l4wRkHqqCUFNJY4AfY3kHU/edit?usp=sharing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G107" s="7" t="s">
        <v>10</v>
      </c>
      <c r="H107" s="7">
        <v>0</v>
      </c>
      <c r="I107" s="8" t="str">
        <f ca="1">IFERROR(__xludf.DUMMYFUNCTION("IF
(
G108=""фізична особа""
,
VLOOKUP(H108,IMPORTRANGE(""https://docs.google.com/spreadsheets/d/14Bd19lYaqBhU8_DElYkX7l4wRkHqqCUFNJY4AfY3kHU/edit?usp=sharing  #gid=0"",""фіз особи new!relations_name""),6,FALSE)
,
(IF
(
G108=""юридична особа""
,
VLOOKUP(H1"&amp;"08,IMPORTRANGE(""https://docs.google.com/spreadsheets/d/14Bd19lYaqBhU8_DElYkX7l4wRkHqqCUFNJY4AfY3kHU/edit?usp=sharing  #gid=0"",""фіз особи new!relations_name_uo""),7,FALSE)
,
)
))"),"#N/A")</f>
        <v>#N/A</v>
      </c>
      <c r="J107" s="7" t="s">
        <v>17</v>
      </c>
    </row>
    <row r="108" spans="1:10" ht="13.2">
      <c r="A108" s="7">
        <v>107</v>
      </c>
      <c r="B108" s="7">
        <v>1</v>
      </c>
      <c r="C108" s="7" t="s">
        <v>10</v>
      </c>
      <c r="D108" s="7">
        <v>36</v>
      </c>
      <c r="E108" s="7" t="s">
        <v>14</v>
      </c>
      <c r="F108" s="8" t="str">
        <f ca="1">IFERROR(__xludf.DUMMYFUNCTION("IF
(
C109=""фізична особа""
,
VLOOKUP(D109,IMPORTRANGE(""https://docs.google.com/spreadsheets/d/14Bd19lYaqBhU8_DElYkX7l4wRkHqqCUFNJY4AfY3kHU/edit?usp=sharing  #gid=0"",""фіз особи new!relations_name""),6,FALSE)
,
(IF
(
C109=""юридична особа""
,
VLOOKUP(D1"&amp;"09,IMPORTRANGE(""https://docs.google.com/spreadsheets/d/14Bd19lYaqBhU8_DElYkX7l4wRkHqqCUFNJY4AfY3kHU/edit?usp=sharing  #gid=0"",""фіз особи new!relations_name_uo""),7,FALSE)
,
)
))"),"ЛІСІЦИН Анатолій Іванович")</f>
        <v>ЛІСІЦИН Анатолій Іванович</v>
      </c>
      <c r="G108" s="7" t="s">
        <v>10</v>
      </c>
      <c r="H108" s="7">
        <v>4093</v>
      </c>
      <c r="I108" s="8" t="str">
        <f ca="1">IFERROR(__xludf.DUMMYFUNCTION("IF
(
G109=""фізична особа""
,
VLOOKUP(H109,IMPORTRANGE(""https://docs.google.com/spreadsheets/d/14Bd19lYaqBhU8_DElYkX7l4wRkHqqCUFNJY4AfY3kHU/edit?usp=sharing  #gid=0"",""фіз особи new!relations_name""),6,FALSE)
,
(IF
(
G109=""юридична особа""
,
VLOOKUP(H1"&amp;"09,IMPORTRANGE(""https://docs.google.com/spreadsheets/d/14Bd19lYaqBhU8_DElYkX7l4wRkHqqCUFNJY4AfY3kHU/edit?usp=sharing  #gid=0"",""фіз особи new!relations_name_uo""),7,FALSE)
,
)
))"),"ЛІСІЦИНА Раїса Леонідівна")</f>
        <v>ЛІСІЦИНА Раїса Леонідівна</v>
      </c>
      <c r="J108" s="7" t="s">
        <v>15</v>
      </c>
    </row>
    <row r="109" spans="1:10" ht="13.2">
      <c r="A109" s="7">
        <v>108</v>
      </c>
      <c r="B109" s="7">
        <v>1</v>
      </c>
      <c r="C109" s="7" t="s">
        <v>10</v>
      </c>
      <c r="D109" s="7">
        <v>36</v>
      </c>
      <c r="E109" s="7" t="s">
        <v>12</v>
      </c>
      <c r="F109" s="8" t="str">
        <f ca="1">IFERROR(__xludf.DUMMYFUNCTION("IF
(
C110=""фізична особа""
,
VLOOKUP(D110,IMPORTRANGE(""https://docs.google.com/spreadsheets/d/14Bd19lYaqBhU8_DElYkX7l4wRkHqqCUFNJY4AfY3kHU/edit?usp=sharing  #gid=0"",""фіз особи new!relations_name""),6,FALSE)
,
(IF
(
C110=""юридична особа""
,
VLOOKUP(D1"&amp;"10,IMPORTRANGE(""https://docs.google.com/spreadsheets/d/14Bd19lYaqBhU8_DElYkX7l4wRkHqqCUFNJY4AfY3kHU/edit?usp=sharing  #gid=0"",""фіз особи new!relations_name_uo""),7,FALSE)
,
)
))"),"ЛІСІЦИН Анатолій Іванович")</f>
        <v>ЛІСІЦИН Анатолій Іванович</v>
      </c>
      <c r="G109" s="7" t="s">
        <v>10</v>
      </c>
      <c r="H109" s="7">
        <v>4094</v>
      </c>
      <c r="I109" s="8" t="str">
        <f ca="1">IFERROR(__xludf.DUMMYFUNCTION("IF
(
G110=""фізична особа""
,
VLOOKUP(H110,IMPORTRANGE(""https://docs.google.com/spreadsheets/d/14Bd19lYaqBhU8_DElYkX7l4wRkHqqCUFNJY4AfY3kHU/edit?usp=sharing  #gid=0"",""фіз особи new!relations_name""),6,FALSE)
,
(IF
(
G110=""юридична особа""
,
VLOOKUP(H1"&amp;"10,IMPORTRANGE(""https://docs.google.com/spreadsheets/d/14Bd19lYaqBhU8_DElYkX7l4wRkHqqCUFNJY4AfY3kHU/edit?usp=sharing  #gid=0"",""фіз особи new!relations_name_uo""),7,FALSE)
,
)
))"),"ЛІСІЦИНА Ольга Анатоліївна")</f>
        <v>ЛІСІЦИНА Ольга Анатоліївна</v>
      </c>
      <c r="J109" s="7" t="s">
        <v>13</v>
      </c>
    </row>
    <row r="110" spans="1:10" ht="13.2">
      <c r="A110" s="7">
        <v>109</v>
      </c>
      <c r="B110" s="7">
        <v>1</v>
      </c>
      <c r="C110" s="7" t="s">
        <v>10</v>
      </c>
      <c r="D110" s="7">
        <v>37</v>
      </c>
      <c r="E110" s="7" t="s">
        <v>12</v>
      </c>
      <c r="F110" s="8" t="str">
        <f ca="1">IFERROR(__xludf.DUMMYFUNCTION("IF
(
C111=""фізична особа""
,
VLOOKUP(D111,IMPORTRANGE(""https://docs.google.com/spreadsheets/d/14Bd19lYaqBhU8_DElYkX7l4wRkHqqCUFNJY4AfY3kHU/edit?usp=sharing  #gid=0"",""фіз особи new!relations_name""),6,FALSE)
,
(IF
(
C111=""юридична особа""
,
VLOOKUP(D1"&amp;"11,IMPORTRANGE(""https://docs.google.com/spreadsheets/d/14Bd19lYaqBhU8_DElYkX7l4wRkHqqCUFNJY4AfY3kHU/edit?usp=sharing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G110" s="7" t="s">
        <v>10</v>
      </c>
      <c r="H110" s="7">
        <v>4326</v>
      </c>
      <c r="I110" s="8" t="str">
        <f ca="1">IFERROR(__xludf.DUMMYFUNCTION("IF
(
G111=""фізична особа""
,
VLOOKUP(H111,IMPORTRANGE(""https://docs.google.com/spreadsheets/d/14Bd19lYaqBhU8_DElYkX7l4wRkHqqCUFNJY4AfY3kHU/edit?usp=sharing  #gid=0"",""фіз особи new!relations_name""),6,FALSE)
,
(IF
(
G111=""юридична особа""
,
VLOOKUP(H1"&amp;"11,IMPORTRANGE(""https://docs.google.com/spreadsheets/d/14Bd19lYaqBhU8_DElYkX7l4wRkHqqCUFNJY4AfY3kHU/edit?usp=sharing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J110" s="7" t="s">
        <v>17</v>
      </c>
    </row>
    <row r="111" spans="1:10" ht="13.2">
      <c r="A111" s="7">
        <v>110</v>
      </c>
      <c r="B111" s="7">
        <v>1</v>
      </c>
      <c r="C111" s="7" t="s">
        <v>10</v>
      </c>
      <c r="D111" s="7">
        <v>37</v>
      </c>
      <c r="E111" s="7" t="s">
        <v>12</v>
      </c>
      <c r="F111" s="8" t="str">
        <f ca="1">IFERROR(__xludf.DUMMYFUNCTION("IF
(
C112=""фізична особа""
,
VLOOKUP(D112,IMPORTRANGE(""https://docs.google.com/spreadsheets/d/14Bd19lYaqBhU8_DElYkX7l4wRkHqqCUFNJY4AfY3kHU/edit?usp=sharing  #gid=0"",""фіз особи new!relations_name""),6,FALSE)
,
(IF
(
C112=""юридична особа""
,
VLOOKUP(D1"&amp;"12,IMPORTRANGE(""https://docs.google.com/spreadsheets/d/14Bd19lYaqBhU8_DElYkX7l4wRkHqqCUFNJY4AfY3kHU/edit?usp=sharing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G111" s="7" t="s">
        <v>10</v>
      </c>
      <c r="H111" s="7">
        <v>4327</v>
      </c>
      <c r="I111" s="8" t="str">
        <f ca="1">IFERROR(__xludf.DUMMYFUNCTION("IF
(
G112=""фізична особа""
,
VLOOKUP(H112,IMPORTRANGE(""https://docs.google.com/spreadsheets/d/14Bd19lYaqBhU8_DElYkX7l4wRkHqqCUFNJY4AfY3kHU/edit?usp=sharing  #gid=0"",""фіз особи new!relations_name""),6,FALSE)
,
(IF
(
G112=""юридична особа""
,
VLOOKUP(H1"&amp;"12,IMPORTRANGE(""https://docs.google.com/spreadsheets/d/14Bd19lYaqBhU8_DElYkX7l4wRkHqqCUFNJY4AfY3kHU/edit?usp=sharing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J111" s="7" t="s">
        <v>13</v>
      </c>
    </row>
    <row r="112" spans="1:10" ht="13.2">
      <c r="A112" s="7">
        <v>111</v>
      </c>
      <c r="B112" s="7">
        <v>1</v>
      </c>
      <c r="C112" s="7" t="s">
        <v>10</v>
      </c>
      <c r="D112" s="7">
        <v>37</v>
      </c>
      <c r="E112" s="7" t="s">
        <v>12</v>
      </c>
      <c r="F112" s="8" t="str">
        <f ca="1">IFERROR(__xludf.DUMMYFUNCTION("IF
(
C113=""фізична особа""
,
VLOOKUP(D113,IMPORTRANGE(""https://docs.google.com/spreadsheets/d/14Bd19lYaqBhU8_DElYkX7l4wRkHqqCUFNJY4AfY3kHU/edit?usp=sharing  #gid=0"",""фіз особи new!relations_name""),6,FALSE)
,
(IF
(
C113=""юридична особа""
,
VLOOKUP(D1"&amp;"13,IMPORTRANGE(""https://docs.google.com/spreadsheets/d/14Bd19lYaqBhU8_DElYkX7l4wRkHqqCUFNJY4AfY3kHU/edit?usp=sharing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G112" s="7" t="s">
        <v>10</v>
      </c>
      <c r="H112" s="7">
        <v>4325</v>
      </c>
      <c r="I112" s="8" t="str">
        <f ca="1">IFERROR(__xludf.DUMMYFUNCTION("IF
(
G113=""фізична особа""
,
VLOOKUP(H113,IMPORTRANGE(""https://docs.google.com/spreadsheets/d/14Bd19lYaqBhU8_DElYkX7l4wRkHqqCUFNJY4AfY3kHU/edit?usp=sharing  #gid=0"",""фіз особи new!relations_name""),6,FALSE)
,
(IF
(
G113=""юридична особа""
,
VLOOKUP(H1"&amp;"13,IMPORTRANGE(""https://docs.google.com/spreadsheets/d/14Bd19lYaqBhU8_DElYkX7l4wRkHqqCUFNJY4AfY3kHU/edit?usp=sharing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J112" s="7" t="s">
        <v>13</v>
      </c>
    </row>
    <row r="113" spans="1:10" ht="13.2">
      <c r="A113" s="7">
        <v>112</v>
      </c>
      <c r="B113" s="7">
        <v>1</v>
      </c>
      <c r="C113" s="7" t="s">
        <v>10</v>
      </c>
      <c r="D113" s="7">
        <v>38</v>
      </c>
      <c r="E113" s="7" t="s">
        <v>12</v>
      </c>
      <c r="F113" s="8" t="str">
        <f ca="1">IFERROR(__xludf.DUMMYFUNCTION("IF
(
C114=""фізична особа""
,
VLOOKUP(D114,IMPORTRANGE(""https://docs.google.com/spreadsheets/d/14Bd19lYaqBhU8_DElYkX7l4wRkHqqCUFNJY4AfY3kHU/edit?usp=sharing  #gid=0"",""фіз особи new!relations_name""),6,FALSE)
,
(IF
(
C114=""юридична особа""
,
VLOOKUP(D1"&amp;"14,IMPORTRANGE(""https://docs.google.com/spreadsheets/d/14Bd19lYaqBhU8_DElYkX7l4wRkHqqCUFNJY4AfY3kHU/edit?usp=sharing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3" s="7" t="s">
        <v>10</v>
      </c>
      <c r="H113" s="7">
        <v>0</v>
      </c>
      <c r="I113" s="8" t="str">
        <f ca="1">IFERROR(__xludf.DUMMYFUNCTION("IF
(
G114=""фізична особа""
,
VLOOKUP(H114,IMPORTRANGE(""https://docs.google.com/spreadsheets/d/14Bd19lYaqBhU8_DElYkX7l4wRkHqqCUFNJY4AfY3kHU/edit?usp=sharing  #gid=0"",""фіз особи new!relations_name""),6,FALSE)
,
(IF
(
G114=""юридична особа""
,
VLOOKUP(H1"&amp;"14,IMPORTRANGE(""https://docs.google.com/spreadsheets/d/14Bd19lYaqBhU8_DElYkX7l4wRkHqqCUFNJY4AfY3kHU/edit?usp=sharing  #gid=0"",""фіз особи new!relations_name_uo""),7,FALSE)
,
)
))"),"#N/A")</f>
        <v>#N/A</v>
      </c>
      <c r="J113" s="7" t="s">
        <v>13</v>
      </c>
    </row>
    <row r="114" spans="1:10" ht="13.2">
      <c r="A114" s="7">
        <v>113</v>
      </c>
      <c r="B114" s="7">
        <v>1</v>
      </c>
      <c r="C114" s="7" t="s">
        <v>10</v>
      </c>
      <c r="D114" s="7">
        <v>38</v>
      </c>
      <c r="E114" s="7" t="s">
        <v>12</v>
      </c>
      <c r="F114" s="8" t="str">
        <f ca="1">IFERROR(__xludf.DUMMYFUNCTION("IF
(
C115=""фізична особа""
,
VLOOKUP(D115,IMPORTRANGE(""https://docs.google.com/spreadsheets/d/14Bd19lYaqBhU8_DElYkX7l4wRkHqqCUFNJY4AfY3kHU/edit?usp=sharing  #gid=0"",""фіз особи new!relations_name""),6,FALSE)
,
(IF
(
C115=""юридична особа""
,
VLOOKUP(D1"&amp;"15,IMPORTRANGE(""https://docs.google.com/spreadsheets/d/14Bd19lYaqBhU8_DElYkX7l4wRkHqqCUFNJY4AfY3kHU/edit?usp=sharing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4" s="7" t="s">
        <v>10</v>
      </c>
      <c r="H114" s="7">
        <v>0</v>
      </c>
      <c r="I114" s="8" t="str">
        <f ca="1">IFERROR(__xludf.DUMMYFUNCTION("IF
(
G115=""фізична особа""
,
VLOOKUP(H115,IMPORTRANGE(""https://docs.google.com/spreadsheets/d/14Bd19lYaqBhU8_DElYkX7l4wRkHqqCUFNJY4AfY3kHU/edit?usp=sharing  #gid=0"",""фіз особи new!relations_name""),6,FALSE)
,
(IF
(
G115=""юридична особа""
,
VLOOKUP(H1"&amp;"15,IMPORTRANGE(""https://docs.google.com/spreadsheets/d/14Bd19lYaqBhU8_DElYkX7l4wRkHqqCUFNJY4AfY3kHU/edit?usp=sharing  #gid=0"",""фіз особи new!relations_name_uo""),7,FALSE)
,
)
))"),"#N/A")</f>
        <v>#N/A</v>
      </c>
      <c r="J114" s="7" t="s">
        <v>13</v>
      </c>
    </row>
    <row r="115" spans="1:10" ht="13.2">
      <c r="A115" s="7">
        <v>114</v>
      </c>
      <c r="B115" s="7">
        <v>1</v>
      </c>
      <c r="C115" s="7" t="s">
        <v>10</v>
      </c>
      <c r="D115" s="7">
        <v>38</v>
      </c>
      <c r="E115" s="7" t="s">
        <v>29</v>
      </c>
      <c r="F115" s="8" t="str">
        <f ca="1">IFERROR(__xludf.DUMMYFUNCTION("IF
(
C116=""фізична особа""
,
VLOOKUP(D116,IMPORTRANGE(""https://docs.google.com/spreadsheets/d/14Bd19lYaqBhU8_DElYkX7l4wRkHqqCUFNJY4AfY3kHU/edit?usp=sharing  #gid=0"",""фіз особи new!relations_name""),6,FALSE)
,
(IF
(
C116=""юридична особа""
,
VLOOKUP(D1"&amp;"16,IMPORTRANGE(""https://docs.google.com/spreadsheets/d/14Bd19lYaqBhU8_DElYkX7l4wRkHqqCUFNJY4AfY3kHU/edit?usp=sharing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5" s="7" t="s">
        <v>10</v>
      </c>
      <c r="H115" s="7">
        <v>0</v>
      </c>
      <c r="I115" s="8" t="str">
        <f ca="1">IFERROR(__xludf.DUMMYFUNCTION("IF
(
G116=""фізична особа""
,
VLOOKUP(H116,IMPORTRANGE(""https://docs.google.com/spreadsheets/d/14Bd19lYaqBhU8_DElYkX7l4wRkHqqCUFNJY4AfY3kHU/edit?usp=sharing  #gid=0"",""фіз особи new!relations_name""),6,FALSE)
,
(IF
(
G116=""юридична особа""
,
VLOOKUP(H1"&amp;"16,IMPORTRANGE(""https://docs.google.com/spreadsheets/d/14Bd19lYaqBhU8_DElYkX7l4wRkHqqCUFNJY4AfY3kHU/edit?usp=sharing  #gid=0"",""фіз особи new!relations_name_uo""),7,FALSE)
,
)
))"),"#N/A")</f>
        <v>#N/A</v>
      </c>
      <c r="J115" s="7" t="s">
        <v>28</v>
      </c>
    </row>
    <row r="116" spans="1:10" ht="13.2">
      <c r="A116" s="7">
        <v>115</v>
      </c>
      <c r="B116" s="7">
        <v>1</v>
      </c>
      <c r="C116" s="7" t="s">
        <v>10</v>
      </c>
      <c r="D116" s="7">
        <v>38</v>
      </c>
      <c r="E116" s="7" t="s">
        <v>29</v>
      </c>
      <c r="F116" s="8" t="str">
        <f ca="1">IFERROR(__xludf.DUMMYFUNCTION("IF
(
C117=""фізична особа""
,
VLOOKUP(D117,IMPORTRANGE(""https://docs.google.com/spreadsheets/d/14Bd19lYaqBhU8_DElYkX7l4wRkHqqCUFNJY4AfY3kHU/edit?usp=sharing  #gid=0"",""фіз особи new!relations_name""),6,FALSE)
,
(IF
(
C117=""юридична особа""
,
VLOOKUP(D1"&amp;"17,IMPORTRANGE(""https://docs.google.com/spreadsheets/d/14Bd19lYaqBhU8_DElYkX7l4wRkHqqCUFNJY4AfY3kHU/edit?usp=sharing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6" s="7" t="s">
        <v>10</v>
      </c>
      <c r="H116" s="7">
        <v>0</v>
      </c>
      <c r="I116" s="8" t="str">
        <f ca="1">IFERROR(__xludf.DUMMYFUNCTION("IF
(
G117=""фізична особа""
,
VLOOKUP(H117,IMPORTRANGE(""https://docs.google.com/spreadsheets/d/14Bd19lYaqBhU8_DElYkX7l4wRkHqqCUFNJY4AfY3kHU/edit?usp=sharing  #gid=0"",""фіз особи new!relations_name""),6,FALSE)
,
(IF
(
G117=""юридична особа""
,
VLOOKUP(H1"&amp;"17,IMPORTRANGE(""https://docs.google.com/spreadsheets/d/14Bd19lYaqBhU8_DElYkX7l4wRkHqqCUFNJY4AfY3kHU/edit?usp=sharing  #gid=0"",""фіз особи new!relations_name_uo""),7,FALSE)
,
)
))"),"#N/A")</f>
        <v>#N/A</v>
      </c>
      <c r="J116" s="7" t="s">
        <v>28</v>
      </c>
    </row>
    <row r="117" spans="1:10" ht="13.2">
      <c r="A117" s="7">
        <v>116</v>
      </c>
      <c r="B117" s="7">
        <v>1</v>
      </c>
      <c r="C117" s="7" t="s">
        <v>10</v>
      </c>
      <c r="D117" s="7">
        <v>38</v>
      </c>
      <c r="E117" s="7" t="s">
        <v>29</v>
      </c>
      <c r="F117" s="8" t="str">
        <f ca="1">IFERROR(__xludf.DUMMYFUNCTION("IF
(
C118=""фізична особа""
,
VLOOKUP(D118,IMPORTRANGE(""https://docs.google.com/spreadsheets/d/14Bd19lYaqBhU8_DElYkX7l4wRkHqqCUFNJY4AfY3kHU/edit?usp=sharing  #gid=0"",""фіз особи new!relations_name""),6,FALSE)
,
(IF
(
C118=""юридична особа""
,
VLOOKUP(D1"&amp;"18,IMPORTRANGE(""https://docs.google.com/spreadsheets/d/14Bd19lYaqBhU8_DElYkX7l4wRkHqqCUFNJY4AfY3kHU/edit?usp=sharing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7" s="7" t="s">
        <v>10</v>
      </c>
      <c r="H117" s="7">
        <v>0</v>
      </c>
      <c r="I117" s="8" t="str">
        <f ca="1">IFERROR(__xludf.DUMMYFUNCTION("IF
(
G118=""фізична особа""
,
VLOOKUP(H118,IMPORTRANGE(""https://docs.google.com/spreadsheets/d/14Bd19lYaqBhU8_DElYkX7l4wRkHqqCUFNJY4AfY3kHU/edit?usp=sharing  #gid=0"",""фіз особи new!relations_name""),6,FALSE)
,
(IF
(
G118=""юридична особа""
,
VLOOKUP(H1"&amp;"18,IMPORTRANGE(""https://docs.google.com/spreadsheets/d/14Bd19lYaqBhU8_DElYkX7l4wRkHqqCUFNJY4AfY3kHU/edit?usp=sharing  #gid=0"",""фіз особи new!relations_name_uo""),7,FALSE)
,
)
))"),"#N/A")</f>
        <v>#N/A</v>
      </c>
      <c r="J117" s="7" t="s">
        <v>28</v>
      </c>
    </row>
    <row r="118" spans="1:10" ht="13.2">
      <c r="A118" s="7">
        <v>117</v>
      </c>
      <c r="B118" s="7">
        <v>1</v>
      </c>
      <c r="C118" s="7" t="s">
        <v>10</v>
      </c>
      <c r="D118" s="7">
        <v>38</v>
      </c>
      <c r="E118" s="7" t="s">
        <v>29</v>
      </c>
      <c r="F118" s="8" t="str">
        <f ca="1">IFERROR(__xludf.DUMMYFUNCTION("IF
(
C119=""фізична особа""
,
VLOOKUP(D119,IMPORTRANGE(""https://docs.google.com/spreadsheets/d/14Bd19lYaqBhU8_DElYkX7l4wRkHqqCUFNJY4AfY3kHU/edit?usp=sharing  #gid=0"",""фіз особи new!relations_name""),6,FALSE)
,
(IF
(
C119=""юридична особа""
,
VLOOKUP(D1"&amp;"19,IMPORTRANGE(""https://docs.google.com/spreadsheets/d/14Bd19lYaqBhU8_DElYkX7l4wRkHqqCUFNJY4AfY3kHU/edit?usp=sharing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G118" s="7" t="s">
        <v>10</v>
      </c>
      <c r="H118" s="7">
        <v>0</v>
      </c>
      <c r="I118" s="8" t="str">
        <f ca="1">IFERROR(__xludf.DUMMYFUNCTION("IF
(
G119=""фізична особа""
,
VLOOKUP(H119,IMPORTRANGE(""https://docs.google.com/spreadsheets/d/14Bd19lYaqBhU8_DElYkX7l4wRkHqqCUFNJY4AfY3kHU/edit?usp=sharing  #gid=0"",""фіз особи new!relations_name""),6,FALSE)
,
(IF
(
G119=""юридична особа""
,
VLOOKUP(H1"&amp;"19,IMPORTRANGE(""https://docs.google.com/spreadsheets/d/14Bd19lYaqBhU8_DElYkX7l4wRkHqqCUFNJY4AfY3kHU/edit?usp=sharing  #gid=0"",""фіз особи new!relations_name_uo""),7,FALSE)
,
)
))"),"#N/A")</f>
        <v>#N/A</v>
      </c>
      <c r="J118" s="7" t="s">
        <v>28</v>
      </c>
    </row>
    <row r="119" spans="1:10" ht="13.2">
      <c r="A119" s="7">
        <v>118</v>
      </c>
      <c r="B119" s="7">
        <v>1</v>
      </c>
      <c r="C119" s="7" t="s">
        <v>10</v>
      </c>
      <c r="D119" s="7">
        <v>39</v>
      </c>
      <c r="E119" s="7" t="s">
        <v>14</v>
      </c>
      <c r="F119" s="8" t="str">
        <f ca="1">IFERROR(__xludf.DUMMYFUNCTION("IF
(
C120=""фізична особа""
,
VLOOKUP(D120,IMPORTRANGE(""https://docs.google.com/spreadsheets/d/14Bd19lYaqBhU8_DElYkX7l4wRkHqqCUFNJY4AfY3kHU/edit?usp=sharing  #gid=0"",""фіз особи new!relations_name""),6,FALSE)
,
(IF
(
C120=""юридична особа""
,
VLOOKUP(D1"&amp;"20,IMPORTRANGE(""https://docs.google.com/spreadsheets/d/14Bd19lYaqBhU8_DElYkX7l4wRkHqqCUFNJY4AfY3kHU/edit?usp=sharing  #gid=0"",""фіз особи new!relations_name_uo""),7,FALSE)
,
)
))"),"ВОРОНОВСЬКИЙ Анатолій Володимирович")</f>
        <v>ВОРОНОВСЬКИЙ Анатолій Володимирович</v>
      </c>
      <c r="G119" s="7" t="s">
        <v>10</v>
      </c>
      <c r="H119" s="7">
        <v>4095</v>
      </c>
      <c r="I119" s="8" t="str">
        <f ca="1">IFERROR(__xludf.DUMMYFUNCTION("IF
(
G120=""фізична особа""
,
VLOOKUP(H120,IMPORTRANGE(""https://docs.google.com/spreadsheets/d/14Bd19lYaqBhU8_DElYkX7l4wRkHqqCUFNJY4AfY3kHU/edit?usp=sharing  #gid=0"",""фіз особи new!relations_name""),6,FALSE)
,
(IF
(
G120=""юридична особа""
,
VLOOKUP(H1"&amp;"20,IMPORTRANGE(""https://docs.google.com/spreadsheets/d/14Bd19lYaqBhU8_DElYkX7l4wRkHqqCUFNJY4AfY3kHU/edit?usp=sharing  #gid=0"",""фіз особи new!relations_name_uo""),7,FALSE)
,
)
))"),"ВОРОНОВСЬКА Олена Василівна")</f>
        <v>ВОРОНОВСЬКА Олена Василівна</v>
      </c>
      <c r="J119" s="7" t="s">
        <v>15</v>
      </c>
    </row>
    <row r="120" spans="1:10" ht="13.2">
      <c r="A120" s="7">
        <v>119</v>
      </c>
      <c r="B120" s="7">
        <v>1</v>
      </c>
      <c r="C120" s="7" t="s">
        <v>10</v>
      </c>
      <c r="D120" s="7">
        <v>39</v>
      </c>
      <c r="E120" s="7" t="s">
        <v>12</v>
      </c>
      <c r="F120" s="8" t="str">
        <f ca="1">IFERROR(__xludf.DUMMYFUNCTION("IF
(
C121=""фізична особа""
,
VLOOKUP(D121,IMPORTRANGE(""https://docs.google.com/spreadsheets/d/14Bd19lYaqBhU8_DElYkX7l4wRkHqqCUFNJY4AfY3kHU/edit?usp=sharing  #gid=0"",""фіз особи new!relations_name""),6,FALSE)
,
(IF
(
C121=""юридична особа""
,
VLOOKUP(D1"&amp;"21,IMPORTRANGE(""https://docs.google.com/spreadsheets/d/14Bd19lYaqBhU8_DElYkX7l4wRkHqqCUFNJY4AfY3kHU/edit?usp=sharing  #gid=0"",""фіз особи new!relations_name_uo""),7,FALSE)
,
)
))"),"ВОРОНОВСЬКИЙ Анатолій Володимирович")</f>
        <v>ВОРОНОВСЬКИЙ Анатолій Володимирович</v>
      </c>
      <c r="G120" s="7" t="s">
        <v>10</v>
      </c>
      <c r="H120" s="7">
        <v>4096</v>
      </c>
      <c r="I120" s="8" t="str">
        <f ca="1">IFERROR(__xludf.DUMMYFUNCTION("IF
(
G121=""фізична особа""
,
VLOOKUP(H121,IMPORTRANGE(""https://docs.google.com/spreadsheets/d/14Bd19lYaqBhU8_DElYkX7l4wRkHqqCUFNJY4AfY3kHU/edit?usp=sharing  #gid=0"",""фіз особи new!relations_name""),6,FALSE)
,
(IF
(
G121=""юридична особа""
,
VLOOKUP(H1"&amp;"21,IMPORTRANGE(""https://docs.google.com/spreadsheets/d/14Bd19lYaqBhU8_DElYkX7l4wRkHqqCUFNJY4AfY3kHU/edit?usp=sharing  #gid=0"",""фіз особи new!relations_name_uo""),7,FALSE)
,
)
))"),"ВОРОНОВСЬКИЙ Антон Анатолійович")</f>
        <v>ВОРОНОВСЬКИЙ Антон Анатолійович</v>
      </c>
      <c r="J120" s="7" t="s">
        <v>17</v>
      </c>
    </row>
    <row r="121" spans="1:10" ht="13.2">
      <c r="A121" s="7">
        <v>120</v>
      </c>
      <c r="B121" s="7">
        <v>1</v>
      </c>
      <c r="C121" s="7" t="s">
        <v>10</v>
      </c>
      <c r="D121" s="7">
        <v>39</v>
      </c>
      <c r="E121" s="7" t="s">
        <v>28</v>
      </c>
      <c r="F121" s="8" t="str">
        <f ca="1">IFERROR(__xludf.DUMMYFUNCTION("IF
(
C122=""фізична особа""
,
VLOOKUP(D122,IMPORTRANGE(""https://docs.google.com/spreadsheets/d/14Bd19lYaqBhU8_DElYkX7l4wRkHqqCUFNJY4AfY3kHU/edit?usp=sharing  #gid=0"",""фіз особи new!relations_name""),6,FALSE)
,
(IF
(
C122=""юридична особа""
,
VLOOKUP(D1"&amp;"22,IMPORTRANGE(""https://docs.google.com/spreadsheets/d/14Bd19lYaqBhU8_DElYkX7l4wRkHqqCUFNJY4AfY3kHU/edit?usp=sharing  #gid=0"",""фіз особи new!relations_name_uo""),7,FALSE)
,
)
))"),"ВОРОНОВСЬКИЙ Анатолій Володимирович")</f>
        <v>ВОРОНОВСЬКИЙ Анатолій Володимирович</v>
      </c>
      <c r="G121" s="7" t="s">
        <v>10</v>
      </c>
      <c r="H121" s="7">
        <v>2520</v>
      </c>
      <c r="I121" s="8" t="str">
        <f ca="1">IFERROR(__xludf.DUMMYFUNCTION("IF
(
G122=""фізична особа""
,
VLOOKUP(H122,IMPORTRANGE(""https://docs.google.com/spreadsheets/d/14Bd19lYaqBhU8_DElYkX7l4wRkHqqCUFNJY4AfY3kHU/edit?usp=sharing  #gid=0"",""фіз особи new!relations_name""),6,FALSE)
,
(IF
(
G122=""юридична особа""
,
VLOOKUP(H1"&amp;"22,IMPORTRANGE(""https://docs.google.com/spreadsheets/d/14Bd19lYaqBhU8_DElYkX7l4wRkHqqCUFNJY4AfY3kHU/edit?usp=sharing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J121" s="7" t="s">
        <v>29</v>
      </c>
    </row>
    <row r="122" spans="1:10" ht="13.2">
      <c r="A122" s="7">
        <v>121</v>
      </c>
      <c r="B122" s="7">
        <v>1</v>
      </c>
      <c r="C122" s="7" t="s">
        <v>10</v>
      </c>
      <c r="D122" s="7">
        <v>40</v>
      </c>
      <c r="E122" s="7" t="s">
        <v>18</v>
      </c>
      <c r="F122" s="8" t="str">
        <f ca="1">IFERROR(__xludf.DUMMYFUNCTION("IF
(
C123=""фізична особа""
,
VLOOKUP(D123,IMPORTRANGE(""https://docs.google.com/spreadsheets/d/14Bd19lYaqBhU8_DElYkX7l4wRkHqqCUFNJY4AfY3kHU/edit?usp=sharing  #gid=0"",""фіз особи new!relations_name""),6,FALSE)
,
(IF
(
C123=""юридична особа""
,
VLOOKUP(D1"&amp;"23,IMPORTRANGE(""https://docs.google.com/spreadsheets/d/14Bd19lYaqBhU8_DElYkX7l4wRkHqqCUFNJY4AfY3kHU/edit?usp=sharing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2" s="7" t="s">
        <v>10</v>
      </c>
      <c r="H122" s="7">
        <v>4098</v>
      </c>
      <c r="I122" s="8" t="str">
        <f ca="1">IFERROR(__xludf.DUMMYFUNCTION("IF
(
G123=""фізична особа""
,
VLOOKUP(H123,IMPORTRANGE(""https://docs.google.com/spreadsheets/d/14Bd19lYaqBhU8_DElYkX7l4wRkHqqCUFNJY4AfY3kHU/edit?usp=sharing  #gid=0"",""фіз особи new!relations_name""),6,FALSE)
,
(IF
(
G123=""юридична особа""
,
VLOOKUP(H1"&amp;"23,IMPORTRANGE(""https://docs.google.com/spreadsheets/d/14Bd19lYaqBhU8_DElYkX7l4wRkHqqCUFNJY4AfY3kHU/edit?usp=sharing  #gid=0"",""фіз особи new!relations_name_uo""),7,FALSE)
,
)
))"),"БІФОВ Заур Жамалович")</f>
        <v>БІФОВ Заур Жамалович</v>
      </c>
      <c r="J122" s="7" t="s">
        <v>18</v>
      </c>
    </row>
    <row r="123" spans="1:10" ht="13.2">
      <c r="A123" s="7">
        <v>122</v>
      </c>
      <c r="B123" s="7">
        <v>1</v>
      </c>
      <c r="C123" s="7" t="s">
        <v>10</v>
      </c>
      <c r="D123" s="7">
        <v>40</v>
      </c>
      <c r="E123" s="7" t="s">
        <v>12</v>
      </c>
      <c r="F123" s="8" t="str">
        <f ca="1">IFERROR(__xludf.DUMMYFUNCTION("IF
(
C124=""фізична особа""
,
VLOOKUP(D124,IMPORTRANGE(""https://docs.google.com/spreadsheets/d/14Bd19lYaqBhU8_DElYkX7l4wRkHqqCUFNJY4AfY3kHU/edit?usp=sharing  #gid=0"",""фіз особи new!relations_name""),6,FALSE)
,
(IF
(
C124=""юридична особа""
,
VLOOKUP(D1"&amp;"24,IMPORTRANGE(""https://docs.google.com/spreadsheets/d/14Bd19lYaqBhU8_DElYkX7l4wRkHqqCUFNJY4AfY3kHU/edit?usp=sharing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3" s="7" t="s">
        <v>10</v>
      </c>
      <c r="H123" s="7">
        <v>4100</v>
      </c>
      <c r="I123" s="8" t="str">
        <f ca="1">IFERROR(__xludf.DUMMYFUNCTION("IF
(
G124=""фізична особа""
,
VLOOKUP(H124,IMPORTRANGE(""https://docs.google.com/spreadsheets/d/14Bd19lYaqBhU8_DElYkX7l4wRkHqqCUFNJY4AfY3kHU/edit?usp=sharing  #gid=0"",""фіз особи new!relations_name""),6,FALSE)
,
(IF
(
G124=""юридична особа""
,
VLOOKUP(H1"&amp;"24,IMPORTRANGE(""https://docs.google.com/spreadsheets/d/14Bd19lYaqBhU8_DElYkX7l4wRkHqqCUFNJY4AfY3kHU/edit?usp=sharing  #gid=0"",""фіз особи new!relations_name_uo""),7,FALSE)
,
)
))"),"БІФОВ Анзор Анатолійович")</f>
        <v>БІФОВ Анзор Анатолійович</v>
      </c>
      <c r="J123" s="7" t="s">
        <v>17</v>
      </c>
    </row>
    <row r="124" spans="1:10" ht="13.2">
      <c r="A124" s="7">
        <v>123</v>
      </c>
      <c r="B124" s="7">
        <v>1</v>
      </c>
      <c r="C124" s="7" t="s">
        <v>10</v>
      </c>
      <c r="D124" s="7">
        <v>40</v>
      </c>
      <c r="E124" s="7" t="s">
        <v>12</v>
      </c>
      <c r="F124" s="8" t="str">
        <f ca="1">IFERROR(__xludf.DUMMYFUNCTION("IF
(
C125=""фізична особа""
,
VLOOKUP(D125,IMPORTRANGE(""https://docs.google.com/spreadsheets/d/14Bd19lYaqBhU8_DElYkX7l4wRkHqqCUFNJY4AfY3kHU/edit?usp=sharing  #gid=0"",""фіз особи new!relations_name""),6,FALSE)
,
(IF
(
C125=""юридична особа""
,
VLOOKUP(D1"&amp;"25,IMPORTRANGE(""https://docs.google.com/spreadsheets/d/14Bd19lYaqBhU8_DElYkX7l4wRkHqqCUFNJY4AfY3kHU/edit?usp=sharing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4" s="7" t="s">
        <v>10</v>
      </c>
      <c r="H124" s="7">
        <v>4101</v>
      </c>
      <c r="I124" s="8" t="str">
        <f ca="1">IFERROR(__xludf.DUMMYFUNCTION("IF
(
G125=""фізична особа""
,
VLOOKUP(H125,IMPORTRANGE(""https://docs.google.com/spreadsheets/d/14Bd19lYaqBhU8_DElYkX7l4wRkHqqCUFNJY4AfY3kHU/edit?usp=sharing  #gid=0"",""фіз особи new!relations_name""),6,FALSE)
,
(IF
(
G125=""юридична особа""
,
VLOOKUP(H1"&amp;"25,IMPORTRANGE(""https://docs.google.com/spreadsheets/d/14Bd19lYaqBhU8_DElYkX7l4wRkHqqCUFNJY4AfY3kHU/edit?usp=sharing  #gid=0"",""фіз особи new!relations_name_uo""),7,FALSE)
,
)
))"),"БІФОВ Аскер Анатолійович")</f>
        <v>БІФОВ Аскер Анатолійович</v>
      </c>
      <c r="J124" s="7" t="s">
        <v>17</v>
      </c>
    </row>
    <row r="125" spans="1:10" ht="13.2">
      <c r="A125" s="7">
        <v>124</v>
      </c>
      <c r="B125" s="7">
        <v>1</v>
      </c>
      <c r="C125" s="7" t="s">
        <v>10</v>
      </c>
      <c r="D125" s="7">
        <v>40</v>
      </c>
      <c r="E125" s="7" t="s">
        <v>18</v>
      </c>
      <c r="F125" s="8" t="str">
        <f ca="1">IFERROR(__xludf.DUMMYFUNCTION("IF
(
C126=""фізична особа""
,
VLOOKUP(D126,IMPORTRANGE(""https://docs.google.com/spreadsheets/d/14Bd19lYaqBhU8_DElYkX7l4wRkHqqCUFNJY4AfY3kHU/edit?usp=sharing  #gid=0"",""фіз особи new!relations_name""),6,FALSE)
,
(IF
(
C126=""юридична особа""
,
VLOOKUP(D1"&amp;"26,IMPORTRANGE(""https://docs.google.com/spreadsheets/d/14Bd19lYaqBhU8_DElYkX7l4wRkHqqCUFNJY4AfY3kHU/edit?usp=sharing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5" s="7" t="s">
        <v>10</v>
      </c>
      <c r="H125" s="7">
        <v>4099</v>
      </c>
      <c r="I125" s="8" t="str">
        <f ca="1">IFERROR(__xludf.DUMMYFUNCTION("IF
(
G126=""фізична особа""
,
VLOOKUP(H126,IMPORTRANGE(""https://docs.google.com/spreadsheets/d/14Bd19lYaqBhU8_DElYkX7l4wRkHqqCUFNJY4AfY3kHU/edit?usp=sharing  #gid=0"",""фіз особи new!relations_name""),6,FALSE)
,
(IF
(
G126=""юридична особа""
,
VLOOKUP(H1"&amp;"26,IMPORTRANGE(""https://docs.google.com/spreadsheets/d/14Bd19lYaqBhU8_DElYkX7l4wRkHqqCUFNJY4AfY3kHU/edit?usp=sharing  #gid=0"",""фіз особи new!relations_name_uo""),7,FALSE)
,
)
))"),"БІФОВ Аслан Жамолович")</f>
        <v>БІФОВ Аслан Жамолович</v>
      </c>
      <c r="J125" s="7" t="s">
        <v>18</v>
      </c>
    </row>
    <row r="126" spans="1:10" ht="13.2">
      <c r="A126" s="7">
        <v>125</v>
      </c>
      <c r="B126" s="7">
        <v>1</v>
      </c>
      <c r="C126" s="7" t="s">
        <v>10</v>
      </c>
      <c r="D126" s="7">
        <v>40</v>
      </c>
      <c r="E126" s="7" t="s">
        <v>14</v>
      </c>
      <c r="F126" s="8" t="str">
        <f ca="1">IFERROR(__xludf.DUMMYFUNCTION("IF
(
C127=""фізична особа""
,
VLOOKUP(D127,IMPORTRANGE(""https://docs.google.com/spreadsheets/d/14Bd19lYaqBhU8_DElYkX7l4wRkHqqCUFNJY4AfY3kHU/edit?usp=sharing  #gid=0"",""фіз особи new!relations_name""),6,FALSE)
,
(IF
(
C127=""юридична особа""
,
VLOOKUP(D1"&amp;"27,IMPORTRANGE(""https://docs.google.com/spreadsheets/d/14Bd19lYaqBhU8_DElYkX7l4wRkHqqCUFNJY4AfY3kHU/edit?usp=sharing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6" s="7" t="s">
        <v>10</v>
      </c>
      <c r="H126" s="7">
        <v>4097</v>
      </c>
      <c r="I126" s="8" t="str">
        <f ca="1">IFERROR(__xludf.DUMMYFUNCTION("IF
(
G127=""фізична особа""
,
VLOOKUP(H127,IMPORTRANGE(""https://docs.google.com/spreadsheets/d/14Bd19lYaqBhU8_DElYkX7l4wRkHqqCUFNJY4AfY3kHU/edit?usp=sharing  #gid=0"",""фіз особи new!relations_name""),6,FALSE)
,
(IF
(
G127=""юридична особа""
,
VLOOKUP(H1"&amp;"27,IMPORTRANGE(""https://docs.google.com/spreadsheets/d/14Bd19lYaqBhU8_DElYkX7l4wRkHqqCUFNJY4AfY3kHU/edit?usp=sharing  #gid=0"",""фіз особи new!relations_name_uo""),7,FALSE)
,
)
))"),"БІФОВА Ірина Теміржановна")</f>
        <v>БІФОВА Ірина Теміржановна</v>
      </c>
      <c r="J126" s="7" t="s">
        <v>15</v>
      </c>
    </row>
    <row r="127" spans="1:10" ht="13.2">
      <c r="A127" s="7">
        <v>126</v>
      </c>
      <c r="B127" s="7">
        <v>1</v>
      </c>
      <c r="C127" s="7" t="s">
        <v>10</v>
      </c>
      <c r="D127" s="7">
        <v>40</v>
      </c>
      <c r="E127" s="7" t="s">
        <v>12</v>
      </c>
      <c r="F127" s="8" t="str">
        <f ca="1">IFERROR(__xludf.DUMMYFUNCTION("IF
(
C128=""фізична особа""
,
VLOOKUP(D128,IMPORTRANGE(""https://docs.google.com/spreadsheets/d/14Bd19lYaqBhU8_DElYkX7l4wRkHqqCUFNJY4AfY3kHU/edit?usp=sharing  #gid=0"",""фіз особи new!relations_name""),6,FALSE)
,
(IF
(
C128=""юридична особа""
,
VLOOKUP(D1"&amp;"28,IMPORTRANGE(""https://docs.google.com/spreadsheets/d/14Bd19lYaqBhU8_DElYkX7l4wRkHqqCUFNJY4AfY3kHU/edit?usp=sharing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G127" s="7" t="s">
        <v>10</v>
      </c>
      <c r="H127" s="7">
        <v>4102</v>
      </c>
      <c r="I127" s="8" t="str">
        <f ca="1">IFERROR(__xludf.DUMMYFUNCTION("IF
(
G128=""фізична особа""
,
VLOOKUP(H128,IMPORTRANGE(""https://docs.google.com/spreadsheets/d/14Bd19lYaqBhU8_DElYkX7l4wRkHqqCUFNJY4AfY3kHU/edit?usp=sharing  #gid=0"",""фіз особи new!relations_name""),6,FALSE)
,
(IF
(
G128=""юридична особа""
,
VLOOKUP(H1"&amp;"28,IMPORTRANGE(""https://docs.google.com/spreadsheets/d/14Bd19lYaqBhU8_DElYkX7l4wRkHqqCUFNJY4AfY3kHU/edit?usp=sharing  #gid=0"",""фіз особи new!relations_name_uo""),7,FALSE)
,
)
))"),"БІФОВА Алія Анатоліївна")</f>
        <v>БІФОВА Алія Анатоліївна</v>
      </c>
      <c r="J127" s="7" t="s">
        <v>13</v>
      </c>
    </row>
    <row r="128" spans="1:10" ht="13.2">
      <c r="A128" s="7">
        <v>127</v>
      </c>
      <c r="B128" s="7">
        <v>1</v>
      </c>
      <c r="C128" s="7" t="s">
        <v>10</v>
      </c>
      <c r="D128" s="7">
        <v>41</v>
      </c>
      <c r="E128" s="7" t="s">
        <v>28</v>
      </c>
      <c r="F128" s="8" t="str">
        <f ca="1">IFERROR(__xludf.DUMMYFUNCTION("IF
(
C129=""фізична особа""
,
VLOOKUP(D129,IMPORTRANGE(""https://docs.google.com/spreadsheets/d/14Bd19lYaqBhU8_DElYkX7l4wRkHqqCUFNJY4AfY3kHU/edit?usp=sharing  #gid=0"",""фіз особи new!relations_name""),6,FALSE)
,
(IF
(
C129=""юридична особа""
,
VLOOKUP(D1"&amp;"29,IMPORTRANGE(""https://docs.google.com/spreadsheets/d/14Bd19lYaqBhU8_DElYkX7l4wRkHqqCUFNJY4AfY3kHU/edit?usp=sharing  #gid=0"",""фіз особи new!relations_name_uo""),7,FALSE)
,
)
))"),"ЛУСТЕНКО Андрій Юрійович")</f>
        <v>ЛУСТЕНКО Андрій Юрійович</v>
      </c>
      <c r="G128" s="7" t="s">
        <v>10</v>
      </c>
      <c r="H128" s="7">
        <v>653</v>
      </c>
      <c r="I128" s="8" t="str">
        <f ca="1">IFERROR(__xludf.DUMMYFUNCTION("IF
(
G129=""фізична особа""
,
VLOOKUP(H129,IMPORTRANGE(""https://docs.google.com/spreadsheets/d/14Bd19lYaqBhU8_DElYkX7l4wRkHqqCUFNJY4AfY3kHU/edit?usp=sharing  #gid=0"",""фіз особи new!relations_name""),6,FALSE)
,
(IF
(
G129=""юридична особа""
,
VLOOKUP(H1"&amp;"29,IMPORTRANGE(""https://docs.google.com/spreadsheets/d/14Bd19lYaqBhU8_DElYkX7l4wRkHqqCUFNJY4AfY3kHU/edit?usp=sharing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128" s="7" t="s">
        <v>29</v>
      </c>
    </row>
    <row r="129" spans="1:10" ht="13.2">
      <c r="A129" s="7">
        <v>128</v>
      </c>
      <c r="B129" s="7">
        <v>1</v>
      </c>
      <c r="C129" s="7" t="s">
        <v>10</v>
      </c>
      <c r="D129" s="7">
        <v>42</v>
      </c>
      <c r="E129" s="7" t="s">
        <v>28</v>
      </c>
      <c r="F129" s="8" t="str">
        <f ca="1">IFERROR(__xludf.DUMMYFUNCTION("IF
(
C130=""фізична особа""
,
VLOOKUP(D130,IMPORTRANGE(""https://docs.google.com/spreadsheets/d/14Bd19lYaqBhU8_DElYkX7l4wRkHqqCUFNJY4AfY3kHU/edit?usp=sharing  #gid=0"",""фіз особи new!relations_name""),6,FALSE)
,
(IF
(
C130=""юридична особа""
,
VLOOKUP(D1"&amp;"30,IMPORTRANGE(""https://docs.google.com/spreadsheets/d/14Bd19lYaqBhU8_DElYkX7l4wRkHqqCUFNJY4AfY3kHU/edit?usp=sharing  #gid=0"",""фіз особи new!relations_name_uo""),7,FALSE)
,
)
))"),"СОПЕЛЬНИК Андрій Федорович")</f>
        <v>СОПЕЛЬНИК Андрій Федорович</v>
      </c>
      <c r="G129" s="7" t="s">
        <v>10</v>
      </c>
      <c r="H129" s="7">
        <v>155</v>
      </c>
      <c r="I129" s="8" t="str">
        <f ca="1">IFERROR(__xludf.DUMMYFUNCTION("IF
(
G130=""фізична особа""
,
VLOOKUP(H130,IMPORTRANGE(""https://docs.google.com/spreadsheets/d/14Bd19lYaqBhU8_DElYkX7l4wRkHqqCUFNJY4AfY3kHU/edit?usp=sharing  #gid=0"",""фіз особи new!relations_name""),6,FALSE)
,
(IF
(
G130=""юридична особа""
,
VLOOKUP(H1"&amp;"30,IMPORTRANGE(""https://docs.google.com/spreadsheets/d/14Bd19lYaqBhU8_DElYkX7l4wRkHqqCUFNJY4AfY3kHU/edit?usp=sharing  #gid=0"",""фіз особи new!relations_name_uo""),7,FALSE)
,
)
))"),"МІРОШНИЧЕНКО Денис Миколайович")</f>
        <v>МІРОШНИЧЕНКО Денис Миколайович</v>
      </c>
      <c r="J129" s="7" t="s">
        <v>29</v>
      </c>
    </row>
    <row r="130" spans="1:10" ht="13.2">
      <c r="A130" s="7">
        <v>129</v>
      </c>
      <c r="B130" s="7">
        <v>1</v>
      </c>
      <c r="C130" s="7" t="s">
        <v>10</v>
      </c>
      <c r="D130" s="7">
        <v>42</v>
      </c>
      <c r="E130" s="7" t="s">
        <v>11</v>
      </c>
      <c r="F130" s="8" t="str">
        <f ca="1">IFERROR(__xludf.DUMMYFUNCTION("IF
(
C131=""фізична особа""
,
VLOOKUP(D131,IMPORTRANGE(""https://docs.google.com/spreadsheets/d/14Bd19lYaqBhU8_DElYkX7l4wRkHqqCUFNJY4AfY3kHU/edit?usp=sharing  #gid=0"",""фіз особи new!relations_name""),6,FALSE)
,
(IF
(
C131=""юридична особа""
,
VLOOKUP(D1"&amp;"31,IMPORTRANGE(""https://docs.google.com/spreadsheets/d/14Bd19lYaqBhU8_DElYkX7l4wRkHqqCUFNJY4AfY3kHU/edit?usp=sharing  #gid=0"",""фіз особи new!relations_name_uo""),7,FALSE)
,
)
))"),"СОПЕЛЬНИК Андрій Федорович")</f>
        <v>СОПЕЛЬНИК Андрій Федорович</v>
      </c>
      <c r="G130" s="7" t="s">
        <v>10</v>
      </c>
      <c r="H130" s="7">
        <v>653</v>
      </c>
      <c r="I130" s="8" t="str">
        <f ca="1">IFERROR(__xludf.DUMMYFUNCTION("IF
(
G131=""фізична особа""
,
VLOOKUP(H131,IMPORTRANGE(""https://docs.google.com/spreadsheets/d/14Bd19lYaqBhU8_DElYkX7l4wRkHqqCUFNJY4AfY3kHU/edit?usp=sharing  #gid=0"",""фіз особи new!relations_name""),6,FALSE)
,
(IF
(
G131=""юридична особа""
,
VLOOKUP(H1"&amp;"31,IMPORTRANGE(""https://docs.google.com/spreadsheets/d/14Bd19lYaqBhU8_DElYkX7l4wRkHqqCUFNJY4AfY3kHU/edit?usp=sharing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130" s="7" t="s">
        <v>11</v>
      </c>
    </row>
    <row r="131" spans="1:10" ht="13.2">
      <c r="A131" s="7">
        <v>130</v>
      </c>
      <c r="B131" s="7">
        <v>1</v>
      </c>
      <c r="C131" s="7" t="s">
        <v>10</v>
      </c>
      <c r="D131" s="7">
        <v>44</v>
      </c>
      <c r="E131" s="7" t="s">
        <v>29</v>
      </c>
      <c r="F131" s="8" t="str">
        <f ca="1">IFERROR(__xludf.DUMMYFUNCTION("IF
(
C132=""фізична особа""
,
VLOOKUP(D132,IMPORTRANGE(""https://docs.google.com/spreadsheets/d/14Bd19lYaqBhU8_DElYkX7l4wRkHqqCUFNJY4AfY3kHU/edit?usp=sharing  #gid=0"",""фіз особи new!relations_name""),6,FALSE)
,
(IF
(
C132=""юридична особа""
,
VLOOKUP(D1"&amp;"32,IMPORTRANGE(""https://docs.google.com/spreadsheets/d/14Bd19lYaqBhU8_DElYkX7l4wRkHqqCUFNJY4AfY3kHU/edit?usp=sharing  #gid=0"",""фіз особи new!relations_name_uo""),7,FALSE)
,
)
))"),"ШЕВЧЕНКО Андрій Анатолійович")</f>
        <v>ШЕВЧЕНКО Андрій Анатолійович</v>
      </c>
      <c r="G131" s="7" t="s">
        <v>10</v>
      </c>
      <c r="H131" s="7">
        <v>0</v>
      </c>
      <c r="I131" s="8" t="str">
        <f ca="1">IFERROR(__xludf.DUMMYFUNCTION("IF
(
G132=""фізична особа""
,
VLOOKUP(H132,IMPORTRANGE(""https://docs.google.com/spreadsheets/d/14Bd19lYaqBhU8_DElYkX7l4wRkHqqCUFNJY4AfY3kHU/edit?usp=sharing  #gid=0"",""фіз особи new!relations_name""),6,FALSE)
,
(IF
(
G132=""юридична особа""
,
VLOOKUP(H1"&amp;"32,IMPORTRANGE(""https://docs.google.com/spreadsheets/d/14Bd19lYaqBhU8_DElYkX7l4wRkHqqCUFNJY4AfY3kHU/edit?usp=sharing  #gid=0"",""фіз особи new!relations_name_uo""),7,FALSE)
,
)
))"),"#N/A")</f>
        <v>#N/A</v>
      </c>
      <c r="J131" s="7" t="s">
        <v>28</v>
      </c>
    </row>
    <row r="132" spans="1:10" ht="13.2">
      <c r="A132" s="7">
        <v>131</v>
      </c>
      <c r="B132" s="7">
        <v>1</v>
      </c>
      <c r="C132" s="7" t="s">
        <v>10</v>
      </c>
      <c r="D132" s="7">
        <v>44</v>
      </c>
      <c r="E132" s="7" t="s">
        <v>29</v>
      </c>
      <c r="F132" s="8" t="str">
        <f ca="1">IFERROR(__xludf.DUMMYFUNCTION("IF
(
C133=""фізична особа""
,
VLOOKUP(D133,IMPORTRANGE(""https://docs.google.com/spreadsheets/d/14Bd19lYaqBhU8_DElYkX7l4wRkHqqCUFNJY4AfY3kHU/edit?usp=sharing  #gid=0"",""фіз особи new!relations_name""),6,FALSE)
,
(IF
(
C133=""юридична особа""
,
VLOOKUP(D1"&amp;"33,IMPORTRANGE(""https://docs.google.com/spreadsheets/d/14Bd19lYaqBhU8_DElYkX7l4wRkHqqCUFNJY4AfY3kHU/edit?usp=sharing  #gid=0"",""фіз особи new!relations_name_uo""),7,FALSE)
,
)
))"),"ШЕВЧЕНКО Андрій Анатолійович")</f>
        <v>ШЕВЧЕНКО Андрій Анатолійович</v>
      </c>
      <c r="G132" s="7" t="s">
        <v>10</v>
      </c>
      <c r="H132" s="7">
        <v>0</v>
      </c>
      <c r="I132" s="8" t="str">
        <f ca="1">IFERROR(__xludf.DUMMYFUNCTION("IF
(
G133=""фізична особа""
,
VLOOKUP(H133,IMPORTRANGE(""https://docs.google.com/spreadsheets/d/14Bd19lYaqBhU8_DElYkX7l4wRkHqqCUFNJY4AfY3kHU/edit?usp=sharing  #gid=0"",""фіз особи new!relations_name""),6,FALSE)
,
(IF
(
G133=""юридична особа""
,
VLOOKUP(H1"&amp;"33,IMPORTRANGE(""https://docs.google.com/spreadsheets/d/14Bd19lYaqBhU8_DElYkX7l4wRkHqqCUFNJY4AfY3kHU/edit?usp=sharing  #gid=0"",""фіз особи new!relations_name_uo""),7,FALSE)
,
)
))"),"#N/A")</f>
        <v>#N/A</v>
      </c>
      <c r="J132" s="7" t="s">
        <v>28</v>
      </c>
    </row>
    <row r="133" spans="1:10" ht="13.2">
      <c r="A133" s="7">
        <v>132</v>
      </c>
      <c r="B133" s="7">
        <v>1</v>
      </c>
      <c r="C133" s="7" t="s">
        <v>10</v>
      </c>
      <c r="D133" s="7">
        <v>45</v>
      </c>
      <c r="E133" s="7" t="s">
        <v>14</v>
      </c>
      <c r="F133" s="8" t="str">
        <f ca="1">IFERROR(__xludf.DUMMYFUNCTION("IF
(
C134=""фізична особа""
,
VLOOKUP(D134,IMPORTRANGE(""https://docs.google.com/spreadsheets/d/14Bd19lYaqBhU8_DElYkX7l4wRkHqqCUFNJY4AfY3kHU/edit?usp=sharing  #gid=0"",""фіз особи new!relations_name""),6,FALSE)
,
(IF
(
C134=""юридична особа""
,
VLOOKUP(D1"&amp;"34,IMPORTRANGE(""https://docs.google.com/spreadsheets/d/14Bd19lYaqBhU8_DElYkX7l4wRkHqqCUFNJY4AfY3kHU/edit?usp=sharing  #gid=0"",""фіз особи new!relations_name_uo""),7,FALSE)
,
)
))"),"КОЗЕНКО Андрій Дмитрович")</f>
        <v>КОЗЕНКО Андрій Дмитрович</v>
      </c>
      <c r="G133" s="7" t="s">
        <v>10</v>
      </c>
      <c r="H133" s="7">
        <v>0</v>
      </c>
      <c r="I133" s="8" t="str">
        <f ca="1">IFERROR(__xludf.DUMMYFUNCTION("IF
(
G134=""фізична особа""
,
VLOOKUP(H134,IMPORTRANGE(""https://docs.google.com/spreadsheets/d/14Bd19lYaqBhU8_DElYkX7l4wRkHqqCUFNJY4AfY3kHU/edit?usp=sharing  #gid=0"",""фіз особи new!relations_name""),6,FALSE)
,
(IF
(
G134=""юридична особа""
,
VLOOKUP(H1"&amp;"34,IMPORTRANGE(""https://docs.google.com/spreadsheets/d/14Bd19lYaqBhU8_DElYkX7l4wRkHqqCUFNJY4AfY3kHU/edit?usp=sharing  #gid=0"",""фіз особи new!relations_name_uo""),7,FALSE)
,
)
))"),"#N/A")</f>
        <v>#N/A</v>
      </c>
      <c r="J133" s="7" t="s">
        <v>15</v>
      </c>
    </row>
    <row r="134" spans="1:10" ht="13.2">
      <c r="A134" s="7">
        <v>133</v>
      </c>
      <c r="B134" s="7">
        <v>1</v>
      </c>
      <c r="C134" s="7" t="s">
        <v>10</v>
      </c>
      <c r="D134" s="7">
        <v>45</v>
      </c>
      <c r="E134" s="7" t="s">
        <v>12</v>
      </c>
      <c r="F134" s="8" t="str">
        <f ca="1">IFERROR(__xludf.DUMMYFUNCTION("IF
(
C135=""фізична особа""
,
VLOOKUP(D135,IMPORTRANGE(""https://docs.google.com/spreadsheets/d/14Bd19lYaqBhU8_DElYkX7l4wRkHqqCUFNJY4AfY3kHU/edit?usp=sharing  #gid=0"",""фіз особи new!relations_name""),6,FALSE)
,
(IF
(
C135=""юридична особа""
,
VLOOKUP(D1"&amp;"35,IMPORTRANGE(""https://docs.google.com/spreadsheets/d/14Bd19lYaqBhU8_DElYkX7l4wRkHqqCUFNJY4AfY3kHU/edit?usp=sharing  #gid=0"",""фіз особи new!relations_name_uo""),7,FALSE)
,
)
))"),"КОЗЕНКО Андрій Дмитрович")</f>
        <v>КОЗЕНКО Андрій Дмитрович</v>
      </c>
      <c r="G134" s="7" t="s">
        <v>10</v>
      </c>
      <c r="H134" s="7">
        <v>0</v>
      </c>
      <c r="I134" s="8" t="str">
        <f ca="1">IFERROR(__xludf.DUMMYFUNCTION("IF
(
G135=""фізична особа""
,
VLOOKUP(H135,IMPORTRANGE(""https://docs.google.com/spreadsheets/d/14Bd19lYaqBhU8_DElYkX7l4wRkHqqCUFNJY4AfY3kHU/edit?usp=sharing  #gid=0"",""фіз особи new!relations_name""),6,FALSE)
,
(IF
(
G135=""юридична особа""
,
VLOOKUP(H1"&amp;"35,IMPORTRANGE(""https://docs.google.com/spreadsheets/d/14Bd19lYaqBhU8_DElYkX7l4wRkHqqCUFNJY4AfY3kHU/edit?usp=sharing  #gid=0"",""фіз особи new!relations_name_uo""),7,FALSE)
,
)
))"),"#N/A")</f>
        <v>#N/A</v>
      </c>
      <c r="J134" s="7" t="s">
        <v>13</v>
      </c>
    </row>
    <row r="135" spans="1:10" ht="13.2">
      <c r="A135" s="7">
        <v>134</v>
      </c>
      <c r="B135" s="7">
        <v>1</v>
      </c>
      <c r="C135" s="7" t="s">
        <v>10</v>
      </c>
      <c r="D135" s="7">
        <v>45</v>
      </c>
      <c r="E135" s="7" t="s">
        <v>17</v>
      </c>
      <c r="F135" s="8" t="str">
        <f ca="1">IFERROR(__xludf.DUMMYFUNCTION("IF
(
C136=""фізична особа""
,
VLOOKUP(D136,IMPORTRANGE(""https://docs.google.com/spreadsheets/d/14Bd19lYaqBhU8_DElYkX7l4wRkHqqCUFNJY4AfY3kHU/edit?usp=sharing  #gid=0"",""фіз особи new!relations_name""),6,FALSE)
,
(IF
(
C136=""юридична особа""
,
VLOOKUP(D1"&amp;"36,IMPORTRANGE(""https://docs.google.com/spreadsheets/d/14Bd19lYaqBhU8_DElYkX7l4wRkHqqCUFNJY4AfY3kHU/edit?usp=sharing  #gid=0"",""фіз особи new!relations_name_uo""),7,FALSE)
,
)
))"),"КОЗЕНКО Андрій Дмитрович")</f>
        <v>КОЗЕНКО Андрій Дмитрович</v>
      </c>
      <c r="G135" s="7" t="s">
        <v>10</v>
      </c>
      <c r="H135" s="7">
        <v>0</v>
      </c>
      <c r="I135" s="8" t="str">
        <f ca="1">IFERROR(__xludf.DUMMYFUNCTION("IF
(
G136=""фізична особа""
,
VLOOKUP(H136,IMPORTRANGE(""https://docs.google.com/spreadsheets/d/14Bd19lYaqBhU8_DElYkX7l4wRkHqqCUFNJY4AfY3kHU/edit?usp=sharing  #gid=0"",""фіз особи new!relations_name""),6,FALSE)
,
(IF
(
G136=""юридична особа""
,
VLOOKUP(H1"&amp;"36,IMPORTRANGE(""https://docs.google.com/spreadsheets/d/14Bd19lYaqBhU8_DElYkX7l4wRkHqqCUFNJY4AfY3kHU/edit?usp=sharing  #gid=0"",""фіз особи new!relations_name_uo""),7,FALSE)
,
)
))"),"#N/A")</f>
        <v>#N/A</v>
      </c>
      <c r="J135" s="7" t="s">
        <v>12</v>
      </c>
    </row>
    <row r="136" spans="1:10" ht="13.2">
      <c r="A136" s="7">
        <v>135</v>
      </c>
      <c r="B136" s="7">
        <v>1</v>
      </c>
      <c r="C136" s="7" t="s">
        <v>10</v>
      </c>
      <c r="D136" s="7">
        <v>45</v>
      </c>
      <c r="E136" s="7" t="s">
        <v>17</v>
      </c>
      <c r="F136" s="8" t="str">
        <f ca="1">IFERROR(__xludf.DUMMYFUNCTION("IF
(
C137=""фізична особа""
,
VLOOKUP(D137,IMPORTRANGE(""https://docs.google.com/spreadsheets/d/14Bd19lYaqBhU8_DElYkX7l4wRkHqqCUFNJY4AfY3kHU/edit?usp=sharing  #gid=0"",""фіз особи new!relations_name""),6,FALSE)
,
(IF
(
C137=""юридична особа""
,
VLOOKUP(D1"&amp;"37,IMPORTRANGE(""https://docs.google.com/spreadsheets/d/14Bd19lYaqBhU8_DElYkX7l4wRkHqqCUFNJY4AfY3kHU/edit?usp=sharing  #gid=0"",""фіз особи new!relations_name_uo""),7,FALSE)
,
)
))"),"КОЗЕНКО Андрій Дмитрович")</f>
        <v>КОЗЕНКО Андрій Дмитрович</v>
      </c>
      <c r="G136" s="7" t="s">
        <v>10</v>
      </c>
      <c r="H136" s="7">
        <v>0</v>
      </c>
      <c r="I136" s="8" t="str">
        <f ca="1">IFERROR(__xludf.DUMMYFUNCTION("IF
(
G137=""фізична особа""
,
VLOOKUP(H137,IMPORTRANGE(""https://docs.google.com/spreadsheets/d/14Bd19lYaqBhU8_DElYkX7l4wRkHqqCUFNJY4AfY3kHU/edit?usp=sharing  #gid=0"",""фіз особи new!relations_name""),6,FALSE)
,
(IF
(
G137=""юридична особа""
,
VLOOKUP(H1"&amp;"37,IMPORTRANGE(""https://docs.google.com/spreadsheets/d/14Bd19lYaqBhU8_DElYkX7l4wRkHqqCUFNJY4AfY3kHU/edit?usp=sharing  #gid=0"",""фіз особи new!relations_name_uo""),7,FALSE)
,
)
))"),"#N/A")</f>
        <v>#N/A</v>
      </c>
      <c r="J136" s="7" t="s">
        <v>21</v>
      </c>
    </row>
    <row r="137" spans="1:10" ht="13.2">
      <c r="A137" s="7">
        <v>136</v>
      </c>
      <c r="B137" s="7">
        <v>1</v>
      </c>
      <c r="C137" s="7" t="s">
        <v>10</v>
      </c>
      <c r="D137" s="7">
        <v>47</v>
      </c>
      <c r="E137" s="7" t="s">
        <v>14</v>
      </c>
      <c r="F137" s="8" t="str">
        <f ca="1">IFERROR(__xludf.DUMMYFUNCTION("IF
(
C138=""фізична особа""
,
VLOOKUP(D138,IMPORTRANGE(""https://docs.google.com/spreadsheets/d/14Bd19lYaqBhU8_DElYkX7l4wRkHqqCUFNJY4AfY3kHU/edit?usp=sharing  #gid=0"",""фіз особи new!relations_name""),6,FALSE)
,
(IF
(
C138=""юридична особа""
,
VLOOKUP(D1"&amp;"38,IMPORTRANGE(""https://docs.google.com/spreadsheets/d/14Bd19lYaqBhU8_DElYkX7l4wRkHqqCUFNJY4AfY3kHU/edit?usp=sharing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G137" s="7" t="s">
        <v>10</v>
      </c>
      <c r="H137" s="7">
        <v>4103</v>
      </c>
      <c r="I137" s="8" t="str">
        <f ca="1">IFERROR(__xludf.DUMMYFUNCTION("IF
(
G138=""фізична особа""
,
VLOOKUP(H138,IMPORTRANGE(""https://docs.google.com/spreadsheets/d/14Bd19lYaqBhU8_DElYkX7l4wRkHqqCUFNJY4AfY3kHU/edit?usp=sharing  #gid=0"",""фіз особи new!relations_name""),6,FALSE)
,
(IF
(
G138=""юридична особа""
,
VLOOKUP(H1"&amp;"38,IMPORTRANGE(""https://docs.google.com/spreadsheets/d/14Bd19lYaqBhU8_DElYkX7l4wRkHqqCUFNJY4AfY3kHU/edit?usp=sharing  #gid=0"",""фіз особи new!relations_name_uo""),7,FALSE)
,
)
))"),"ЛУГОВА Ксенія Олексіївна")</f>
        <v>ЛУГОВА Ксенія Олексіївна</v>
      </c>
      <c r="J137" s="7" t="s">
        <v>15</v>
      </c>
    </row>
    <row r="138" spans="1:10" ht="13.2">
      <c r="A138" s="7">
        <v>137</v>
      </c>
      <c r="B138" s="7">
        <v>1</v>
      </c>
      <c r="C138" s="7" t="s">
        <v>10</v>
      </c>
      <c r="D138" s="7">
        <v>47</v>
      </c>
      <c r="E138" s="7" t="s">
        <v>12</v>
      </c>
      <c r="F138" s="8" t="str">
        <f ca="1">IFERROR(__xludf.DUMMYFUNCTION("IF
(
C139=""фізична особа""
,
VLOOKUP(D139,IMPORTRANGE(""https://docs.google.com/spreadsheets/d/14Bd19lYaqBhU8_DElYkX7l4wRkHqqCUFNJY4AfY3kHU/edit?usp=sharing  #gid=0"",""фіз особи new!relations_name""),6,FALSE)
,
(IF
(
C139=""юридична особа""
,
VLOOKUP(D1"&amp;"39,IMPORTRANGE(""https://docs.google.com/spreadsheets/d/14Bd19lYaqBhU8_DElYkX7l4wRkHqqCUFNJY4AfY3kHU/edit?usp=sharing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G138" s="7" t="s">
        <v>10</v>
      </c>
      <c r="H138" s="7">
        <v>0</v>
      </c>
      <c r="I138" s="8" t="str">
        <f ca="1">IFERROR(__xludf.DUMMYFUNCTION("IF
(
G139=""фізична особа""
,
VLOOKUP(H139,IMPORTRANGE(""https://docs.google.com/spreadsheets/d/14Bd19lYaqBhU8_DElYkX7l4wRkHqqCUFNJY4AfY3kHU/edit?usp=sharing  #gid=0"",""фіз особи new!relations_name""),6,FALSE)
,
(IF
(
G139=""юридична особа""
,
VLOOKUP(H1"&amp;"39,IMPORTRANGE(""https://docs.google.com/spreadsheets/d/14Bd19lYaqBhU8_DElYkX7l4wRkHqqCUFNJY4AfY3kHU/edit?usp=sharing  #gid=0"",""фіз особи new!relations_name_uo""),7,FALSE)
,
)
))"),"#N/A")</f>
        <v>#N/A</v>
      </c>
      <c r="J138" s="7" t="s">
        <v>17</v>
      </c>
    </row>
    <row r="139" spans="1:10" ht="13.2">
      <c r="A139" s="7">
        <v>138</v>
      </c>
      <c r="B139" s="7">
        <v>1</v>
      </c>
      <c r="C139" s="7" t="s">
        <v>10</v>
      </c>
      <c r="D139" s="7">
        <v>7</v>
      </c>
      <c r="E139" s="7" t="s">
        <v>12</v>
      </c>
      <c r="F139" s="8" t="str">
        <f ca="1">IFERROR(__xludf.DUMMYFUNCTION("IF
(
C140=""фізична особа""
,
VLOOKUP(D140,IMPORTRANGE(""https://docs.google.com/spreadsheets/d/14Bd19lYaqBhU8_DElYkX7l4wRkHqqCUFNJY4AfY3kHU/edit?usp=sharing  #gid=0"",""фіз особи new!relations_name""),6,FALSE)
,
(IF
(
C140=""юридична особа""
,
VLOOKUP(D1"&amp;"40,IMPORTRANGE(""https://docs.google.com/spreadsheets/d/14Bd19lYaqBhU8_DElYkX7l4wRkHqqCUFNJY4AfY3kHU/edit?usp=sharing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G139" s="7" t="s">
        <v>10</v>
      </c>
      <c r="H139" s="7">
        <v>0</v>
      </c>
      <c r="I139" s="8" t="str">
        <f ca="1">IFERROR(__xludf.DUMMYFUNCTION("IF
(
G140=""фізична особа""
,
VLOOKUP(H140,IMPORTRANGE(""https://docs.google.com/spreadsheets/d/14Bd19lYaqBhU8_DElYkX7l4wRkHqqCUFNJY4AfY3kHU/edit?usp=sharing  #gid=0"",""фіз особи new!relations_name""),6,FALSE)
,
(IF
(
G140=""юридична особа""
,
VLOOKUP(H1"&amp;"40,IMPORTRANGE(""https://docs.google.com/spreadsheets/d/14Bd19lYaqBhU8_DElYkX7l4wRkHqqCUFNJY4AfY3kHU/edit?usp=sharing  #gid=0"",""фіз особи new!relations_name_uo""),7,FALSE)
,
)
))"),"#N/A")</f>
        <v>#N/A</v>
      </c>
      <c r="J139" s="7" t="s">
        <v>13</v>
      </c>
    </row>
    <row r="140" spans="1:10" ht="13.2">
      <c r="A140" s="7">
        <v>139</v>
      </c>
      <c r="B140" s="7">
        <v>1</v>
      </c>
      <c r="C140" s="7" t="s">
        <v>10</v>
      </c>
      <c r="D140" s="7">
        <v>47</v>
      </c>
      <c r="E140" s="7" t="s">
        <v>18</v>
      </c>
      <c r="F140" s="8" t="str">
        <f ca="1">IFERROR(__xludf.DUMMYFUNCTION("IF
(
C141=""фізична особа""
,
VLOOKUP(D141,IMPORTRANGE(""https://docs.google.com/spreadsheets/d/14Bd19lYaqBhU8_DElYkX7l4wRkHqqCUFNJY4AfY3kHU/edit?usp=sharing  #gid=0"",""фіз особи new!relations_name""),6,FALSE)
,
(IF
(
C141=""юридична особа""
,
VLOOKUP(D1"&amp;"41,IMPORTRANGE(""https://docs.google.com/spreadsheets/d/14Bd19lYaqBhU8_DElYkX7l4wRkHqqCUFNJY4AfY3kHU/edit?usp=sharing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G140" s="7" t="s">
        <v>10</v>
      </c>
      <c r="H140" s="7">
        <v>0</v>
      </c>
      <c r="I140" s="8" t="str">
        <f ca="1">IFERROR(__xludf.DUMMYFUNCTION("IF
(
G141=""фізична особа""
,
VLOOKUP(H141,IMPORTRANGE(""https://docs.google.com/spreadsheets/d/14Bd19lYaqBhU8_DElYkX7l4wRkHqqCUFNJY4AfY3kHU/edit?usp=sharing  #gid=0"",""фіз особи new!relations_name""),6,FALSE)
,
(IF
(
G141=""юридична особа""
,
VLOOKUP(H1"&amp;"41,IMPORTRANGE(""https://docs.google.com/spreadsheets/d/14Bd19lYaqBhU8_DElYkX7l4wRkHqqCUFNJY4AfY3kHU/edit?usp=sharing  #gid=0"",""фіз особи new!relations_name_uo""),7,FALSE)
,
)
))"),"#N/A")</f>
        <v>#N/A</v>
      </c>
      <c r="J140" s="7" t="s">
        <v>18</v>
      </c>
    </row>
    <row r="141" spans="1:10" ht="13.2">
      <c r="A141" s="7">
        <v>140</v>
      </c>
      <c r="B141" s="7">
        <v>1</v>
      </c>
      <c r="C141" s="7" t="s">
        <v>10</v>
      </c>
      <c r="D141" s="7">
        <v>47</v>
      </c>
      <c r="E141" s="7" t="s">
        <v>35</v>
      </c>
      <c r="F141" s="8" t="str">
        <f ca="1">IFERROR(__xludf.DUMMYFUNCTION("IF
(
C142=""фізична особа""
,
VLOOKUP(D142,IMPORTRANGE(""https://docs.google.com/spreadsheets/d/14Bd19lYaqBhU8_DElYkX7l4wRkHqqCUFNJY4AfY3kHU/edit?usp=sharing  #gid=0"",""фіз особи new!relations_name""),6,FALSE)
,
(IF
(
C142=""юридична особа""
,
VLOOKUP(D1"&amp;"42,IMPORTRANGE(""https://docs.google.com/spreadsheets/d/14Bd19lYaqBhU8_DElYkX7l4wRkHqqCUFNJY4AfY3kHU/edit?usp=sharing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G141" s="7" t="s">
        <v>10</v>
      </c>
      <c r="H141" s="7">
        <v>138</v>
      </c>
      <c r="I141" s="8" t="str">
        <f ca="1">IFERROR(__xludf.DUMMYFUNCTION("IF
(
G142=""фізична особа""
,
VLOOKUP(H142,IMPORTRANGE(""https://docs.google.com/spreadsheets/d/14Bd19lYaqBhU8_DElYkX7l4wRkHqqCUFNJY4AfY3kHU/edit?usp=sharing  #gid=0"",""фіз особи new!relations_name""),6,FALSE)
,
(IF
(
G142=""юридична особа""
,
VLOOKUP(H1"&amp;"42,IMPORTRANGE(""https://docs.google.com/spreadsheets/d/14Bd19lYaqBhU8_DElYkX7l4wRkHqqCUFNJY4AfY3kHU/edit?usp=sharing  #gid=0"",""фіз особи new!relations_name_uo""),7,FALSE)
,
)
))"),"ЧЕРНИШОВ Борис Олександрович")</f>
        <v>ЧЕРНИШОВ Борис Олександрович</v>
      </c>
      <c r="J141" s="7" t="s">
        <v>35</v>
      </c>
    </row>
    <row r="142" spans="1:10" ht="13.2">
      <c r="A142" s="7">
        <v>141</v>
      </c>
      <c r="B142" s="7">
        <v>1</v>
      </c>
      <c r="C142" s="7" t="s">
        <v>10</v>
      </c>
      <c r="D142" s="7">
        <v>47</v>
      </c>
      <c r="E142" s="7" t="s">
        <v>30</v>
      </c>
      <c r="F142" s="8" t="str">
        <f ca="1">IFERROR(__xludf.DUMMYFUNCTION("IF
(
C143=""фізична особа""
,
VLOOKUP(D143,IMPORTRANGE(""https://docs.google.com/spreadsheets/d/14Bd19lYaqBhU8_DElYkX7l4wRkHqqCUFNJY4AfY3kHU/edit?usp=sharing  #gid=0"",""фіз особи new!relations_name""),6,FALSE)
,
(IF
(
C143=""юридична особа""
,
VLOOKUP(D1"&amp;"43,IMPORTRANGE(""https://docs.google.com/spreadsheets/d/14Bd19lYaqBhU8_DElYkX7l4wRkHqqCUFNJY4AfY3kHU/edit?usp=sharing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G142" s="7" t="s">
        <v>10</v>
      </c>
      <c r="H142" s="7">
        <v>12618</v>
      </c>
      <c r="I142" s="8" t="str">
        <f ca="1">IFERROR(__xludf.DUMMYFUNCTION("IF
(
G143=""фізична особа""
,
VLOOKUP(H143,IMPORTRANGE(""https://docs.google.com/spreadsheets/d/14Bd19lYaqBhU8_DElYkX7l4wRkHqqCUFNJY4AfY3kHU/edit?usp=sharing  #gid=0"",""фіз особи new!relations_name""),6,FALSE)
,
(IF
(
G143=""юридична особа""
,
VLOOKUP(H1"&amp;"43,IMPORTRANGE(""https://docs.google.com/spreadsheets/d/14Bd19lYaqBhU8_DElYkX7l4wRkHqqCUFNJY4AfY3kHU/edit?usp=sharing  #gid=0"",""фіз особи new!relations_name_uo""),7,FALSE)
,
)
))"),"БАСТРИКІН Олександр Іванович")</f>
        <v>БАСТРИКІН Олександр Іванович</v>
      </c>
      <c r="J142" s="7" t="s">
        <v>30</v>
      </c>
    </row>
    <row r="143" spans="1:10" ht="13.2">
      <c r="A143" s="7">
        <v>142</v>
      </c>
      <c r="B143" s="7">
        <v>1</v>
      </c>
      <c r="C143" s="7" t="s">
        <v>10</v>
      </c>
      <c r="D143" s="7">
        <v>48</v>
      </c>
      <c r="E143" s="7" t="s">
        <v>28</v>
      </c>
      <c r="F143" s="8" t="str">
        <f ca="1">IFERROR(__xludf.DUMMYFUNCTION("IF
(
C144=""фізична особа""
,
VLOOKUP(D144,IMPORTRANGE(""https://docs.google.com/spreadsheets/d/14Bd19lYaqBhU8_DElYkX7l4wRkHqqCUFNJY4AfY3kHU/edit?usp=sharing  #gid=0"",""фіз особи new!relations_name""),6,FALSE)
,
(IF
(
C144=""юридична особа""
,
VLOOKUP(D1"&amp;"44,IMPORTRANGE(""https://docs.google.com/spreadsheets/d/14Bd19lYaqBhU8_DElYkX7l4wRkHqqCUFNJY4AfY3kHU/edit?usp=sharing  #gid=0"",""фіз особи new!relations_name_uo""),7,FALSE)
,
)
))"),"НЕКРАШЕВИЧ Андрій Костянтинович")</f>
        <v>НЕКРАШЕВИЧ Андрій Костянтинович</v>
      </c>
      <c r="G143" s="7" t="s">
        <v>10</v>
      </c>
      <c r="H143" s="7">
        <v>1017</v>
      </c>
      <c r="I143" s="8" t="str">
        <f ca="1">IFERROR(__xludf.DUMMYFUNCTION("IF
(
G144=""фізична особа""
,
VLOOKUP(H144,IMPORTRANGE(""https://docs.google.com/spreadsheets/d/14Bd19lYaqBhU8_DElYkX7l4wRkHqqCUFNJY4AfY3kHU/edit?usp=sharing  #gid=0"",""фіз особи new!relations_name""),6,FALSE)
,
(IF
(
G144=""юридична особа""
,
VLOOKUP(H1"&amp;"44,IMPORTRANGE(""https://docs.google.com/spreadsheets/d/14Bd19lYaqBhU8_DElYkX7l4wRkHqqCUFNJY4AfY3kHU/edit?usp=sharing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43" s="7" t="s">
        <v>29</v>
      </c>
    </row>
    <row r="144" spans="1:10" ht="13.2">
      <c r="A144" s="7">
        <v>143</v>
      </c>
      <c r="B144" s="7">
        <v>1</v>
      </c>
      <c r="C144" s="7" t="s">
        <v>10</v>
      </c>
      <c r="D144" s="7">
        <v>48</v>
      </c>
      <c r="E144" s="7" t="s">
        <v>35</v>
      </c>
      <c r="F144" s="8" t="str">
        <f ca="1">IFERROR(__xludf.DUMMYFUNCTION("IF
(
C145=""фізична особа""
,
VLOOKUP(D145,IMPORTRANGE(""https://docs.google.com/spreadsheets/d/14Bd19lYaqBhU8_DElYkX7l4wRkHqqCUFNJY4AfY3kHU/edit?usp=sharing  #gid=0"",""фіз особи new!relations_name""),6,FALSE)
,
(IF
(
C145=""юридична особа""
,
VLOOKUP(D1"&amp;"45,IMPORTRANGE(""https://docs.google.com/spreadsheets/d/14Bd19lYaqBhU8_DElYkX7l4wRkHqqCUFNJY4AfY3kHU/edit?usp=sharing  #gid=0"",""фіз особи new!relations_name_uo""),7,FALSE)
,
)
))"),"НЕКРАШЕВИЧ Андрій Костянтинович")</f>
        <v>НЕКРАШЕВИЧ Андрій Костянтинович</v>
      </c>
      <c r="G144" s="7" t="s">
        <v>10</v>
      </c>
      <c r="H144" s="7">
        <v>146</v>
      </c>
      <c r="I144" s="8" t="str">
        <f ca="1">IFERROR(__xludf.DUMMYFUNCTION("IF
(
G145=""фізична особа""
,
VLOOKUP(H145,IMPORTRANGE(""https://docs.google.com/spreadsheets/d/14Bd19lYaqBhU8_DElYkX7l4wRkHqqCUFNJY4AfY3kHU/edit?usp=sharing  #gid=0"",""фіз особи new!relations_name""),6,FALSE)
,
(IF
(
G145=""юридична особа""
,
VLOOKUP(H1"&amp;"45,IMPORTRANGE(""https://docs.google.com/spreadsheets/d/14Bd19lYaqBhU8_DElYkX7l4wRkHqqCUFNJY4AfY3kHU/edit?usp=sharing  #gid=0"",""фіз особи new!relations_name_uo""),7,FALSE)
,
)
))"),"НАУМЕНКО Олександр Вікторович")</f>
        <v>НАУМЕНКО Олександр Вікторович</v>
      </c>
      <c r="J144" s="7" t="s">
        <v>35</v>
      </c>
    </row>
    <row r="145" spans="1:10" ht="13.2">
      <c r="A145" s="7">
        <v>144</v>
      </c>
      <c r="B145" s="7">
        <v>1</v>
      </c>
      <c r="C145" s="7" t="s">
        <v>10</v>
      </c>
      <c r="D145" s="7">
        <v>49</v>
      </c>
      <c r="E145" s="7" t="s">
        <v>36</v>
      </c>
      <c r="F145" s="8" t="str">
        <f ca="1">IFERROR(__xludf.DUMMYFUNCTION("IF
(
C146=""фізична особа""
,
VLOOKUP(D146,IMPORTRANGE(""https://docs.google.com/spreadsheets/d/14Bd19lYaqBhU8_DElYkX7l4wRkHqqCUFNJY4AfY3kHU/edit?usp=sharing  #gid=0"",""фіз особи new!relations_name""),6,FALSE)
,
(IF
(
C146=""юридична особа""
,
VLOOKUP(D1"&amp;"46,IMPORTRANGE(""https://docs.google.com/spreadsheets/d/14Bd19lYaqBhU8_DElYkX7l4wRkHqqCUFNJY4AfY3kHU/edit?usp=sharing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45" s="7" t="s">
        <v>10</v>
      </c>
      <c r="H145" s="7">
        <v>2232</v>
      </c>
      <c r="I145" s="8" t="str">
        <f ca="1">IFERROR(__xludf.DUMMYFUNCTION("IF
(
G146=""фізична особа""
,
VLOOKUP(H146,IMPORTRANGE(""https://docs.google.com/spreadsheets/d/14Bd19lYaqBhU8_DElYkX7l4wRkHqqCUFNJY4AfY3kHU/edit?usp=sharing  #gid=0"",""фіз особи new!relations_name""),6,FALSE)
,
(IF
(
G146=""юридична особа""
,
VLOOKUP(H1"&amp;"46,IMPORTRANGE(""https://docs.google.com/spreadsheets/d/14Bd19lYaqBhU8_DElYkX7l4wRkHqqCUFNJY4AfY3kHU/edit?usp=sharing  #gid=0"",""фіз особи new!relations_name_uo""),7,FALSE)
,
)
))"),"АСКЕР-ЗАДЕ Наїля Вагіф кизи")</f>
        <v>АСКЕР-ЗАДЕ Наїля Вагіф кизи</v>
      </c>
      <c r="J145" s="7" t="s">
        <v>37</v>
      </c>
    </row>
    <row r="146" spans="1:10" ht="13.2">
      <c r="A146" s="7">
        <v>145</v>
      </c>
      <c r="B146" s="7">
        <v>1</v>
      </c>
      <c r="C146" s="7" t="s">
        <v>10</v>
      </c>
      <c r="D146" s="7">
        <v>49</v>
      </c>
      <c r="E146" s="7" t="s">
        <v>38</v>
      </c>
      <c r="F146" s="8" t="str">
        <f ca="1">IFERROR(__xludf.DUMMYFUNCTION("IF
(
C147=""фізична особа""
,
VLOOKUP(D147,IMPORTRANGE(""https://docs.google.com/spreadsheets/d/14Bd19lYaqBhU8_DElYkX7l4wRkHqqCUFNJY4AfY3kHU/edit?usp=sharing  #gid=0"",""фіз особи new!relations_name""),6,FALSE)
,
(IF
(
C147=""юридична особа""
,
VLOOKUP(D1"&amp;"47,IMPORTRANGE(""https://docs.google.com/spreadsheets/d/14Bd19lYaqBhU8_DElYkX7l4wRkHqqCUFNJY4AfY3kHU/edit?usp=sharing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46" s="7" t="s">
        <v>10</v>
      </c>
      <c r="H146" s="7">
        <v>0</v>
      </c>
      <c r="I146" s="8" t="str">
        <f ca="1">IFERROR(__xludf.DUMMYFUNCTION("IF
(
G147=""фізична особа""
,
VLOOKUP(H147,IMPORTRANGE(""https://docs.google.com/spreadsheets/d/14Bd19lYaqBhU8_DElYkX7l4wRkHqqCUFNJY4AfY3kHU/edit?usp=sharing  #gid=0"",""фіз особи new!relations_name""),6,FALSE)
,
(IF
(
G147=""юридична особа""
,
VLOOKUP(H1"&amp;"47,IMPORTRANGE(""https://docs.google.com/spreadsheets/d/14Bd19lYaqBhU8_DElYkX7l4wRkHqqCUFNJY4AfY3kHU/edit?usp=sharing  #gid=0"",""фіз особи new!relations_name_uo""),7,FALSE)
,
)
))"),"#N/A")</f>
        <v>#N/A</v>
      </c>
      <c r="J146" s="7" t="s">
        <v>39</v>
      </c>
    </row>
    <row r="147" spans="1:10" ht="13.2">
      <c r="A147" s="7">
        <v>146</v>
      </c>
      <c r="B147" s="7">
        <v>1</v>
      </c>
      <c r="C147" s="7" t="s">
        <v>10</v>
      </c>
      <c r="D147" s="7">
        <v>49</v>
      </c>
      <c r="E147" s="7" t="s">
        <v>11</v>
      </c>
      <c r="F147" s="8" t="str">
        <f ca="1">IFERROR(__xludf.DUMMYFUNCTION("IF
(
C148=""фізична особа""
,
VLOOKUP(D148,IMPORTRANGE(""https://docs.google.com/spreadsheets/d/14Bd19lYaqBhU8_DElYkX7l4wRkHqqCUFNJY4AfY3kHU/edit?usp=sharing  #gid=0"",""фіз особи new!relations_name""),6,FALSE)
,
(IF
(
C148=""юридична особа""
,
VLOOKUP(D1"&amp;"48,IMPORTRANGE(""https://docs.google.com/spreadsheets/d/14Bd19lYaqBhU8_DElYkX7l4wRkHqqCUFNJY4AfY3kHU/edit?usp=sharing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47" s="7" t="s">
        <v>10</v>
      </c>
      <c r="H147" s="7">
        <v>0</v>
      </c>
      <c r="I147" s="8" t="str">
        <f ca="1">IFERROR(__xludf.DUMMYFUNCTION("IF
(
G148=""фізична особа""
,
VLOOKUP(H148,IMPORTRANGE(""https://docs.google.com/spreadsheets/d/14Bd19lYaqBhU8_DElYkX7l4wRkHqqCUFNJY4AfY3kHU/edit?usp=sharing  #gid=0"",""фіз особи new!relations_name""),6,FALSE)
,
(IF
(
G148=""юридична особа""
,
VLOOKUP(H1"&amp;"48,IMPORTRANGE(""https://docs.google.com/spreadsheets/d/14Bd19lYaqBhU8_DElYkX7l4wRkHqqCUFNJY4AfY3kHU/edit?usp=sharing  #gid=0"",""фіз особи new!relations_name_uo""),7,FALSE)
,
)
))"),"#N/A")</f>
        <v>#N/A</v>
      </c>
      <c r="J147" s="7" t="s">
        <v>11</v>
      </c>
    </row>
    <row r="148" spans="1:10" ht="13.2">
      <c r="A148" s="7">
        <v>147</v>
      </c>
      <c r="B148" s="7">
        <v>1</v>
      </c>
      <c r="C148" s="7" t="s">
        <v>10</v>
      </c>
      <c r="D148" s="7">
        <v>49</v>
      </c>
      <c r="E148" s="7" t="s">
        <v>14</v>
      </c>
      <c r="F148" s="8" t="str">
        <f ca="1">IFERROR(__xludf.DUMMYFUNCTION("IF
(
C149=""фізична особа""
,
VLOOKUP(D149,IMPORTRANGE(""https://docs.google.com/spreadsheets/d/14Bd19lYaqBhU8_DElYkX7l4wRkHqqCUFNJY4AfY3kHU/edit?usp=sharing  #gid=0"",""фіз особи new!relations_name""),6,FALSE)
,
(IF
(
C149=""юридична особа""
,
VLOOKUP(D1"&amp;"49,IMPORTRANGE(""https://docs.google.com/spreadsheets/d/14Bd19lYaqBhU8_DElYkX7l4wRkHqqCUFNJY4AfY3kHU/edit?usp=sharing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48" s="7" t="s">
        <v>10</v>
      </c>
      <c r="H148" s="7">
        <v>2001</v>
      </c>
      <c r="I148" s="8" t="str">
        <f ca="1">IFERROR(__xludf.DUMMYFUNCTION("IF
(
G149=""фізична особа""
,
VLOOKUP(H149,IMPORTRANGE(""https://docs.google.com/spreadsheets/d/14Bd19lYaqBhU8_DElYkX7l4wRkHqqCUFNJY4AfY3kHU/edit?usp=sharing  #gid=0"",""фіз особи new!relations_name""),6,FALSE)
,
(IF
(
G149=""юридична особа""
,
VLOOKUP(H1"&amp;"49,IMPORTRANGE(""https://docs.google.com/spreadsheets/d/14Bd19lYaqBhU8_DElYkX7l4wRkHqqCUFNJY4AfY3kHU/edit?usp=sharing  #gid=0"",""фіз особи new!relations_name_uo""),7,FALSE)
,
)
))"),"ГОРДЄЄВА Наталія Володимирівна")</f>
        <v>ГОРДЄЄВА Наталія Володимирівна</v>
      </c>
      <c r="J148" s="7" t="s">
        <v>15</v>
      </c>
    </row>
    <row r="149" spans="1:10" ht="13.2">
      <c r="A149" s="7">
        <v>148</v>
      </c>
      <c r="B149" s="7">
        <v>1</v>
      </c>
      <c r="C149" s="7" t="s">
        <v>10</v>
      </c>
      <c r="D149" s="7">
        <v>49</v>
      </c>
      <c r="E149" s="7" t="s">
        <v>29</v>
      </c>
      <c r="F149" s="8" t="str">
        <f ca="1">IFERROR(__xludf.DUMMYFUNCTION("IF
(
C150=""фізична особа""
,
VLOOKUP(D150,IMPORTRANGE(""https://docs.google.com/spreadsheets/d/14Bd19lYaqBhU8_DElYkX7l4wRkHqqCUFNJY4AfY3kHU/edit?usp=sharing  #gid=0"",""фіз особи new!relations_name""),6,FALSE)
,
(IF
(
C150=""юридична особа""
,
VLOOKUP(D1"&amp;"50,IMPORTRANGE(""https://docs.google.com/spreadsheets/d/14Bd19lYaqBhU8_DElYkX7l4wRkHqqCUFNJY4AfY3kHU/edit?usp=sharing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49" s="7" t="s">
        <v>10</v>
      </c>
      <c r="H149" s="7">
        <v>27</v>
      </c>
      <c r="I149" s="8" t="str">
        <f ca="1">IFERROR(__xludf.DUMMYFUNCTION("IF
(
G150=""фізична особа""
,
VLOOKUP(H150,IMPORTRANGE(""https://docs.google.com/spreadsheets/d/14Bd19lYaqBhU8_DElYkX7l4wRkHqqCUFNJY4AfY3kHU/edit?usp=sharing  #gid=0"",""фіз особи new!relations_name""),6,FALSE)
,
(IF
(
G150=""юридична особа""
,
VLOOKUP(H1"&amp;"50,IMPORTRANGE(""https://docs.google.com/spreadsheets/d/14Bd19lYaqBhU8_DElYkX7l4wRkHqqCUFNJY4AfY3kHU/edit?usp=sharing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49" s="7" t="s">
        <v>28</v>
      </c>
    </row>
    <row r="150" spans="1:10" ht="13.2">
      <c r="A150" s="7">
        <v>149</v>
      </c>
      <c r="B150" s="7">
        <v>1</v>
      </c>
      <c r="C150" s="7" t="s">
        <v>10</v>
      </c>
      <c r="D150" s="7">
        <v>49</v>
      </c>
      <c r="E150" s="7" t="s">
        <v>11</v>
      </c>
      <c r="F150" s="8" t="str">
        <f ca="1">IFERROR(__xludf.DUMMYFUNCTION("IF
(
C151=""фізична особа""
,
VLOOKUP(D151,IMPORTRANGE(""https://docs.google.com/spreadsheets/d/14Bd19lYaqBhU8_DElYkX7l4wRkHqqCUFNJY4AfY3kHU/edit?usp=sharing  #gid=0"",""фіз особи new!relations_name""),6,FALSE)
,
(IF
(
C151=""юридична особа""
,
VLOOKUP(D1"&amp;"51,IMPORTRANGE(""https://docs.google.com/spreadsheets/d/14Bd19lYaqBhU8_DElYkX7l4wRkHqqCUFNJY4AfY3kHU/edit?usp=sharing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50" s="7" t="s">
        <v>10</v>
      </c>
      <c r="H150" s="7">
        <v>13</v>
      </c>
      <c r="I150" s="8" t="str">
        <f ca="1">IFERROR(__xludf.DUMMYFUNCTION("IF
(
G151=""фізична особа""
,
VLOOKUP(H151,IMPORTRANGE(""https://docs.google.com/spreadsheets/d/14Bd19lYaqBhU8_DElYkX7l4wRkHqqCUFNJY4AfY3kHU/edit?usp=sharing  #gid=0"",""фіз особи new!relations_name""),6,FALSE)
,
(IF
(
G151=""юридична особа""
,
VLOOKUP(H1"&amp;"51,IMPORTRANGE(""https://docs.google.com/spreadsheets/d/14Bd19lYaqBhU8_DElYkX7l4wRkHqqCUFNJY4AfY3kHU/edit?usp=sharing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150" s="7" t="s">
        <v>11</v>
      </c>
    </row>
    <row r="151" spans="1:10" ht="13.2">
      <c r="A151" s="7">
        <v>150</v>
      </c>
      <c r="B151" s="7">
        <v>1</v>
      </c>
      <c r="C151" s="7" t="s">
        <v>10</v>
      </c>
      <c r="D151" s="7">
        <v>49</v>
      </c>
      <c r="E151" s="7" t="s">
        <v>11</v>
      </c>
      <c r="F151" s="8" t="str">
        <f ca="1">IFERROR(__xludf.DUMMYFUNCTION("IF
(
C152=""фізична особа""
,
VLOOKUP(D152,IMPORTRANGE(""https://docs.google.com/spreadsheets/d/14Bd19lYaqBhU8_DElYkX7l4wRkHqqCUFNJY4AfY3kHU/edit?usp=sharing  #gid=0"",""фіз особи new!relations_name""),6,FALSE)
,
(IF
(
C152=""юридична особа""
,
VLOOKUP(D1"&amp;"52,IMPORTRANGE(""https://docs.google.com/spreadsheets/d/14Bd19lYaqBhU8_DElYkX7l4wRkHqqCUFNJY4AfY3kHU/edit?usp=sharing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G151" s="7" t="s">
        <v>10</v>
      </c>
      <c r="H151" s="7">
        <v>880</v>
      </c>
      <c r="I151" s="8" t="str">
        <f ca="1">IFERROR(__xludf.DUMMYFUNCTION("IF
(
G152=""фізична особа""
,
VLOOKUP(H152,IMPORTRANGE(""https://docs.google.com/spreadsheets/d/14Bd19lYaqBhU8_DElYkX7l4wRkHqqCUFNJY4AfY3kHU/edit?usp=sharing  #gid=0"",""фіз особи new!relations_name""),6,FALSE)
,
(IF
(
G152=""юридична особа""
,
VLOOKUP(H1"&amp;"52,IMPORTRANGE(""https://docs.google.com/spreadsheets/d/14Bd19lYaqBhU8_DElYkX7l4wRkHqqCUFNJY4AfY3kHU/edit?usp=sharing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51" s="7" t="s">
        <v>11</v>
      </c>
    </row>
    <row r="152" spans="1:10" ht="13.2">
      <c r="A152" s="7">
        <v>151</v>
      </c>
      <c r="B152" s="7">
        <v>1</v>
      </c>
      <c r="C152" s="7" t="s">
        <v>10</v>
      </c>
      <c r="D152" s="7">
        <v>50</v>
      </c>
      <c r="E152" s="7" t="s">
        <v>28</v>
      </c>
      <c r="F152" s="8" t="str">
        <f ca="1">IFERROR(__xludf.DUMMYFUNCTION("IF
(
C153=""фізична особа""
,
VLOOKUP(D153,IMPORTRANGE(""https://docs.google.com/spreadsheets/d/14Bd19lYaqBhU8_DElYkX7l4wRkHqqCUFNJY4AfY3kHU/edit?usp=sharing  #gid=0"",""фіз особи new!relations_name""),6,FALSE)
,
(IF
(
C153=""юридична особа""
,
VLOOKUP(D1"&amp;"53,IMPORTRANGE(""https://docs.google.com/spreadsheets/d/14Bd19lYaqBhU8_DElYkX7l4wRkHqqCUFNJY4AfY3kHU/edit?usp=sharing  #gid=0"",""фіз особи new!relations_name_uo""),7,FALSE)
,
)
))"),"ЛУК'ЯНОВИЧ Андрій Юльянович")</f>
        <v>ЛУК'ЯНОВИЧ Андрій Юльянович</v>
      </c>
      <c r="G152" s="7" t="s">
        <v>10</v>
      </c>
      <c r="H152" s="7">
        <v>1017</v>
      </c>
      <c r="I152" s="8" t="str">
        <f ca="1">IFERROR(__xludf.DUMMYFUNCTION("IF
(
G153=""фізична особа""
,
VLOOKUP(H153,IMPORTRANGE(""https://docs.google.com/spreadsheets/d/14Bd19lYaqBhU8_DElYkX7l4wRkHqqCUFNJY4AfY3kHU/edit?usp=sharing  #gid=0"",""фіз особи new!relations_name""),6,FALSE)
,
(IF
(
G153=""юридична особа""
,
VLOOKUP(H1"&amp;"53,IMPORTRANGE(""https://docs.google.com/spreadsheets/d/14Bd19lYaqBhU8_DElYkX7l4wRkHqqCUFNJY4AfY3kHU/edit?usp=sharing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52" s="7" t="s">
        <v>29</v>
      </c>
    </row>
    <row r="153" spans="1:10" ht="13.2">
      <c r="A153" s="7">
        <v>152</v>
      </c>
      <c r="B153" s="7">
        <v>1</v>
      </c>
      <c r="C153" s="7" t="s">
        <v>10</v>
      </c>
      <c r="D153" s="7">
        <v>50</v>
      </c>
      <c r="E153" s="7" t="s">
        <v>35</v>
      </c>
      <c r="F153" s="8" t="str">
        <f ca="1">IFERROR(__xludf.DUMMYFUNCTION("IF
(
C154=""фізична особа""
,
VLOOKUP(D154,IMPORTRANGE(""https://docs.google.com/spreadsheets/d/14Bd19lYaqBhU8_DElYkX7l4wRkHqqCUFNJY4AfY3kHU/edit?usp=sharing  #gid=0"",""фіз особи new!relations_name""),6,FALSE)
,
(IF
(
C154=""юридична особа""
,
VLOOKUP(D1"&amp;"54,IMPORTRANGE(""https://docs.google.com/spreadsheets/d/14Bd19lYaqBhU8_DElYkX7l4wRkHqqCUFNJY4AfY3kHU/edit?usp=sharing  #gid=0"",""фіз особи new!relations_name_uo""),7,FALSE)
,
)
))"),"ЛУК'ЯНОВИЧ Андрій Юльянович")</f>
        <v>ЛУК'ЯНОВИЧ Андрій Юльянович</v>
      </c>
      <c r="G153" s="7" t="s">
        <v>10</v>
      </c>
      <c r="H153" s="7">
        <v>146</v>
      </c>
      <c r="I153" s="8" t="str">
        <f ca="1">IFERROR(__xludf.DUMMYFUNCTION("IF
(
G154=""фізична особа""
,
VLOOKUP(H154,IMPORTRANGE(""https://docs.google.com/spreadsheets/d/14Bd19lYaqBhU8_DElYkX7l4wRkHqqCUFNJY4AfY3kHU/edit?usp=sharing  #gid=0"",""фіз особи new!relations_name""),6,FALSE)
,
(IF
(
G154=""юридична особа""
,
VLOOKUP(H1"&amp;"54,IMPORTRANGE(""https://docs.google.com/spreadsheets/d/14Bd19lYaqBhU8_DElYkX7l4wRkHqqCUFNJY4AfY3kHU/edit?usp=sharing  #gid=0"",""фіз особи new!relations_name_uo""),7,FALSE)
,
)
))"),"НАУМЕНКО Олександр Вікторович")</f>
        <v>НАУМЕНКО Олександр Вікторович</v>
      </c>
      <c r="J153" s="7" t="s">
        <v>35</v>
      </c>
    </row>
    <row r="154" spans="1:10" ht="13.2">
      <c r="A154" s="7">
        <v>153</v>
      </c>
      <c r="B154" s="7">
        <v>1</v>
      </c>
      <c r="C154" s="7" t="s">
        <v>10</v>
      </c>
      <c r="D154" s="7">
        <v>51</v>
      </c>
      <c r="E154" s="7" t="s">
        <v>14</v>
      </c>
      <c r="F154" s="8" t="str">
        <f ca="1">IFERROR(__xludf.DUMMYFUNCTION("IF
(
C155=""фізична особа""
,
VLOOKUP(D155,IMPORTRANGE(""https://docs.google.com/spreadsheets/d/14Bd19lYaqBhU8_DElYkX7l4wRkHqqCUFNJY4AfY3kHU/edit?usp=sharing  #gid=0"",""фіз особи new!relations_name""),6,FALSE)
,
(IF
(
C155=""юридична особа""
,
VLOOKUP(D1"&amp;"55,IMPORTRANGE(""https://docs.google.com/spreadsheets/d/14Bd19lYaqBhU8_DElYkX7l4wRkHqqCUFNJY4AfY3kHU/edit?usp=sharing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G154" s="7" t="s">
        <v>10</v>
      </c>
      <c r="H154" s="7">
        <v>4328</v>
      </c>
      <c r="I154" s="8" t="str">
        <f ca="1">IFERROR(__xludf.DUMMYFUNCTION("IF
(
G155=""фізична особа""
,
VLOOKUP(H155,IMPORTRANGE(""https://docs.google.com/spreadsheets/d/14Bd19lYaqBhU8_DElYkX7l4wRkHqqCUFNJY4AfY3kHU/edit?usp=sharing  #gid=0"",""фіз особи new!relations_name""),6,FALSE)
,
(IF
(
G155=""юридична особа""
,
VLOOKUP(H1"&amp;"55,IMPORTRANGE(""https://docs.google.com/spreadsheets/d/14Bd19lYaqBhU8_DElYkX7l4wRkHqqCUFNJY4AfY3kHU/edit?usp=sharing  #gid=0"",""фіз особи new!relations_name_uo""),7,FALSE)
,
)
))"),"ЄПІШИНА Мария")</f>
        <v>ЄПІШИНА Мария</v>
      </c>
      <c r="J154" s="7" t="s">
        <v>15</v>
      </c>
    </row>
    <row r="155" spans="1:10" ht="13.2">
      <c r="A155" s="7">
        <v>154</v>
      </c>
      <c r="B155" s="7">
        <v>1</v>
      </c>
      <c r="C155" s="7" t="s">
        <v>10</v>
      </c>
      <c r="D155" s="7">
        <v>51</v>
      </c>
      <c r="E155" s="7" t="s">
        <v>12</v>
      </c>
      <c r="F155" s="8" t="str">
        <f ca="1">IFERROR(__xludf.DUMMYFUNCTION("IF
(
C156=""фізична особа""
,
VLOOKUP(D156,IMPORTRANGE(""https://docs.google.com/spreadsheets/d/14Bd19lYaqBhU8_DElYkX7l4wRkHqqCUFNJY4AfY3kHU/edit?usp=sharing  #gid=0"",""фіз особи new!relations_name""),6,FALSE)
,
(IF
(
C156=""юридична особа""
,
VLOOKUP(D1"&amp;"56,IMPORTRANGE(""https://docs.google.com/spreadsheets/d/14Bd19lYaqBhU8_DElYkX7l4wRkHqqCUFNJY4AfY3kHU/edit?usp=sharing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G155" s="7" t="s">
        <v>10</v>
      </c>
      <c r="H155" s="7">
        <v>23361</v>
      </c>
      <c r="I155" s="8" t="str">
        <f ca="1">IFERROR(__xludf.DUMMYFUNCTION("IF
(
G156=""фізична особа""
,
VLOOKUP(H156,IMPORTRANGE(""https://docs.google.com/spreadsheets/d/14Bd19lYaqBhU8_DElYkX7l4wRkHqqCUFNJY4AfY3kHU/edit?usp=sharing  #gid=0"",""фіз особи new!relations_name""),6,FALSE)
,
(IF
(
G156=""юридична особа""
,
VLOOKUP(H1"&amp;"56,IMPORTRANGE(""https://docs.google.com/spreadsheets/d/14Bd19lYaqBhU8_DElYkX7l4wRkHqqCUFNJY4AfY3kHU/edit?usp=sharing  #gid=0"",""фіз особи new!relations_name_uo""),7,FALSE)
,
)
))"),"ЄПІШИНА Наталія Андріївна")</f>
        <v>ЄПІШИНА Наталія Андріївна</v>
      </c>
      <c r="J155" s="7" t="s">
        <v>13</v>
      </c>
    </row>
    <row r="156" spans="1:10" ht="13.2">
      <c r="A156" s="7">
        <v>155</v>
      </c>
      <c r="B156" s="7">
        <v>1</v>
      </c>
      <c r="C156" s="7" t="s">
        <v>10</v>
      </c>
      <c r="D156" s="7">
        <v>51</v>
      </c>
      <c r="E156" s="7" t="s">
        <v>12</v>
      </c>
      <c r="F156" s="8" t="str">
        <f ca="1">IFERROR(__xludf.DUMMYFUNCTION("IF
(
C157=""фізична особа""
,
VLOOKUP(D157,IMPORTRANGE(""https://docs.google.com/spreadsheets/d/14Bd19lYaqBhU8_DElYkX7l4wRkHqqCUFNJY4AfY3kHU/edit?usp=sharing  #gid=0"",""фіз особи new!relations_name""),6,FALSE)
,
(IF
(
C157=""юридична особа""
,
VLOOKUP(D1"&amp;"57,IMPORTRANGE(""https://docs.google.com/spreadsheets/d/14Bd19lYaqBhU8_DElYkX7l4wRkHqqCUFNJY4AfY3kHU/edit?usp=sharing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G156" s="7" t="s">
        <v>10</v>
      </c>
      <c r="H156" s="7">
        <v>23362</v>
      </c>
      <c r="I156" s="8" t="str">
        <f ca="1">IFERROR(__xludf.DUMMYFUNCTION("IF
(
G157=""фізична особа""
,
VLOOKUP(H157,IMPORTRANGE(""https://docs.google.com/spreadsheets/d/14Bd19lYaqBhU8_DElYkX7l4wRkHqqCUFNJY4AfY3kHU/edit?usp=sharing  #gid=0"",""фіз особи new!relations_name""),6,FALSE)
,
(IF
(
G157=""юридична особа""
,
VLOOKUP(H1"&amp;"57,IMPORTRANGE(""https://docs.google.com/spreadsheets/d/14Bd19lYaqBhU8_DElYkX7l4wRkHqqCUFNJY4AfY3kHU/edit?usp=sharing  #gid=0"",""фіз особи new!relations_name_uo""),7,FALSE)
,
)
))"),"ЄПІШИН Федір Андрійович")</f>
        <v>ЄПІШИН Федір Андрійович</v>
      </c>
      <c r="J156" s="7" t="s">
        <v>17</v>
      </c>
    </row>
    <row r="157" spans="1:10" ht="13.2">
      <c r="A157" s="7">
        <v>156</v>
      </c>
      <c r="B157" s="7">
        <v>1</v>
      </c>
      <c r="C157" s="7" t="s">
        <v>10</v>
      </c>
      <c r="D157" s="7">
        <v>51</v>
      </c>
      <c r="E157" s="7" t="s">
        <v>12</v>
      </c>
      <c r="F157" s="8" t="str">
        <f ca="1">IFERROR(__xludf.DUMMYFUNCTION("IF
(
C158=""фізична особа""
,
VLOOKUP(D158,IMPORTRANGE(""https://docs.google.com/spreadsheets/d/14Bd19lYaqBhU8_DElYkX7l4wRkHqqCUFNJY4AfY3kHU/edit?usp=sharing  #gid=0"",""фіз особи new!relations_name""),6,FALSE)
,
(IF
(
C158=""юридична особа""
,
VLOOKUP(D1"&amp;"58,IMPORTRANGE(""https://docs.google.com/spreadsheets/d/14Bd19lYaqBhU8_DElYkX7l4wRkHqqCUFNJY4AfY3kHU/edit?usp=sharing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G157" s="7" t="s">
        <v>10</v>
      </c>
      <c r="H157" s="7">
        <v>23363</v>
      </c>
      <c r="I157" s="8" t="str">
        <f ca="1">IFERROR(__xludf.DUMMYFUNCTION("IF
(
G158=""фізична особа""
,
VLOOKUP(H158,IMPORTRANGE(""https://docs.google.com/spreadsheets/d/14Bd19lYaqBhU8_DElYkX7l4wRkHqqCUFNJY4AfY3kHU/edit?usp=sharing  #gid=0"",""фіз особи new!relations_name""),6,FALSE)
,
(IF
(
G158=""юридична особа""
,
VLOOKUP(H1"&amp;"58,IMPORTRANGE(""https://docs.google.com/spreadsheets/d/14Bd19lYaqBhU8_DElYkX7l4wRkHqqCUFNJY4AfY3kHU/edit?usp=sharing  #gid=0"",""фіз особи new!relations_name_uo""),7,FALSE)
,
)
))"),"ЄПІШИНА Єлизавета Андріївна")</f>
        <v>ЄПІШИНА Єлизавета Андріївна</v>
      </c>
      <c r="J157" s="7" t="s">
        <v>13</v>
      </c>
    </row>
    <row r="158" spans="1:10" ht="13.2">
      <c r="A158" s="7">
        <v>157</v>
      </c>
      <c r="B158" s="7">
        <v>1</v>
      </c>
      <c r="C158" s="7" t="s">
        <v>10</v>
      </c>
      <c r="D158" s="7">
        <v>52</v>
      </c>
      <c r="E158" s="7" t="s">
        <v>28</v>
      </c>
      <c r="F158" s="8" t="str">
        <f ca="1">IFERROR(__xludf.DUMMYFUNCTION("IF
(
C159=""фізична особа""
,
VLOOKUP(D159,IMPORTRANGE(""https://docs.google.com/spreadsheets/d/14Bd19lYaqBhU8_DElYkX7l4wRkHqqCUFNJY4AfY3kHU/edit?usp=sharing  #gid=0"",""фіз особи new!relations_name""),6,FALSE)
,
(IF
(
C159=""юридична особа""
,
VLOOKUP(D1"&amp;"59,IMPORTRANGE(""https://docs.google.com/spreadsheets/d/14Bd19lYaqBhU8_DElYkX7l4wRkHqqCUFNJY4AfY3kHU/edit?usp=sharing  #gid=0"",""фіз особи new!relations_name_uo""),7,FALSE)
,
)
))"),"ВОЛОЖИНСЬКИЙ Андрій Ольгертович")</f>
        <v>ВОЛОЖИНСЬКИЙ Андрій Ольгертович</v>
      </c>
      <c r="G158" s="7" t="s">
        <v>10</v>
      </c>
      <c r="H158" s="7">
        <v>508</v>
      </c>
      <c r="I158" s="8" t="str">
        <f ca="1">IFERROR(__xludf.DUMMYFUNCTION("IF
(
G159=""фізична особа""
,
VLOOKUP(H159,IMPORTRANGE(""https://docs.google.com/spreadsheets/d/14Bd19lYaqBhU8_DElYkX7l4wRkHqqCUFNJY4AfY3kHU/edit?usp=sharing  #gid=0"",""фіз особи new!relations_name""),6,FALSE)
,
(IF
(
G159=""юридична особа""
,
VLOOKUP(H1"&amp;"59,IMPORTRANGE(""https://docs.google.com/spreadsheets/d/14Bd19lYaqBhU8_DElYkX7l4wRkHqqCUFNJY4AfY3kHU/edit?usp=sharing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J158" s="7" t="s">
        <v>29</v>
      </c>
    </row>
    <row r="159" spans="1:10" ht="13.2">
      <c r="A159" s="7">
        <v>158</v>
      </c>
      <c r="B159" s="7">
        <v>1</v>
      </c>
      <c r="C159" s="7" t="s">
        <v>10</v>
      </c>
      <c r="D159" s="7">
        <v>53</v>
      </c>
      <c r="E159" s="7" t="s">
        <v>11</v>
      </c>
      <c r="F159" s="8" t="str">
        <f ca="1">IFERROR(__xludf.DUMMYFUNCTION("IF
(
C160=""фізична особа""
,
VLOOKUP(D160,IMPORTRANGE(""https://docs.google.com/spreadsheets/d/14Bd19lYaqBhU8_DElYkX7l4wRkHqqCUFNJY4AfY3kHU/edit?usp=sharing  #gid=0"",""фіз особи new!relations_name""),6,FALSE)
,
(IF
(
C160=""юридична особа""
,
VLOOKUP(D1"&amp;"60,IMPORTRANGE(""https://docs.google.com/spreadsheets/d/14Bd19lYaqBhU8_DElYkX7l4wRkHqqCUFNJY4AfY3kHU/edit?usp=sharing  #gid=0"",""фіз особи new!relations_name_uo""),7,FALSE)
,
)
))"),"ІВАНАЄВ Андрій Сергійович")</f>
        <v>ІВАНАЄВ Андрій Сергійович</v>
      </c>
      <c r="G159" s="7" t="s">
        <v>10</v>
      </c>
      <c r="H159" s="7">
        <v>880</v>
      </c>
      <c r="I159" s="8" t="str">
        <f ca="1">IFERROR(__xludf.DUMMYFUNCTION("IF
(
G160=""фізична особа""
,
VLOOKUP(H160,IMPORTRANGE(""https://docs.google.com/spreadsheets/d/14Bd19lYaqBhU8_DElYkX7l4wRkHqqCUFNJY4AfY3kHU/edit?usp=sharing  #gid=0"",""фіз особи new!relations_name""),6,FALSE)
,
(IF
(
G160=""юридична особа""
,
VLOOKUP(H1"&amp;"60,IMPORTRANGE(""https://docs.google.com/spreadsheets/d/14Bd19lYaqBhU8_DElYkX7l4wRkHqqCUFNJY4AfY3kHU/edit?usp=sharing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59" s="7" t="s">
        <v>11</v>
      </c>
    </row>
    <row r="160" spans="1:10" ht="13.2">
      <c r="A160" s="7">
        <v>159</v>
      </c>
      <c r="B160" s="7">
        <v>1</v>
      </c>
      <c r="C160" s="7" t="s">
        <v>10</v>
      </c>
      <c r="D160" s="7">
        <v>54</v>
      </c>
      <c r="E160" s="7" t="s">
        <v>18</v>
      </c>
      <c r="F160" s="8" t="str">
        <f ca="1">IFERROR(__xludf.DUMMYFUNCTION("IF
(
C161=""фізична особа""
,
VLOOKUP(D161,IMPORTRANGE(""https://docs.google.com/spreadsheets/d/14Bd19lYaqBhU8_DElYkX7l4wRkHqqCUFNJY4AfY3kHU/edit?usp=sharing  #gid=0"",""фіз особи new!relations_name""),6,FALSE)
,
(IF
(
C161=""юридична особа""
,
VLOOKUP(D1"&amp;"61,IMPORTRANGE(""https://docs.google.com/spreadsheets/d/14Bd19lYaqBhU8_DElYkX7l4wRkHqqCUFNJY4AfY3kHU/edit?usp=sharing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0" s="7" t="s">
        <v>10</v>
      </c>
      <c r="H160" s="7">
        <v>0</v>
      </c>
      <c r="I160" s="8" t="str">
        <f ca="1">IFERROR(__xludf.DUMMYFUNCTION("IF
(
G161=""фізична особа""
,
VLOOKUP(H161,IMPORTRANGE(""https://docs.google.com/spreadsheets/d/14Bd19lYaqBhU8_DElYkX7l4wRkHqqCUFNJY4AfY3kHU/edit?usp=sharing  #gid=0"",""фіз особи new!relations_name""),6,FALSE)
,
(IF
(
G161=""юридична особа""
,
VLOOKUP(H1"&amp;"61,IMPORTRANGE(""https://docs.google.com/spreadsheets/d/14Bd19lYaqBhU8_DElYkX7l4wRkHqqCUFNJY4AfY3kHU/edit?usp=sharing  #gid=0"",""фіз особи new!relations_name_uo""),7,FALSE)
,
)
))"),"#N/A")</f>
        <v>#N/A</v>
      </c>
      <c r="J160" s="7" t="s">
        <v>31</v>
      </c>
    </row>
    <row r="161" spans="1:10" ht="13.2">
      <c r="A161" s="7">
        <v>160</v>
      </c>
      <c r="B161" s="7">
        <v>1</v>
      </c>
      <c r="C161" s="7" t="s">
        <v>10</v>
      </c>
      <c r="D161" s="7">
        <v>54</v>
      </c>
      <c r="E161" s="7" t="s">
        <v>19</v>
      </c>
      <c r="F161" s="8" t="str">
        <f ca="1">IFERROR(__xludf.DUMMYFUNCTION("IF
(
C162=""фізична особа""
,
VLOOKUP(D162,IMPORTRANGE(""https://docs.google.com/spreadsheets/d/14Bd19lYaqBhU8_DElYkX7l4wRkHqqCUFNJY4AfY3kHU/edit?usp=sharing  #gid=0"",""фіз особи new!relations_name""),6,FALSE)
,
(IF
(
C162=""юридична особа""
,
VLOOKUP(D1"&amp;"62,IMPORTRANGE(""https://docs.google.com/spreadsheets/d/14Bd19lYaqBhU8_DElYkX7l4wRkHqqCUFNJY4AfY3kHU/edit?usp=sharing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1" s="7" t="s">
        <v>10</v>
      </c>
      <c r="H161" s="7">
        <v>0</v>
      </c>
      <c r="I161" s="8" t="str">
        <f ca="1">IFERROR(__xludf.DUMMYFUNCTION("IF
(
G162=""фізична особа""
,
VLOOKUP(H162,IMPORTRANGE(""https://docs.google.com/spreadsheets/d/14Bd19lYaqBhU8_DElYkX7l4wRkHqqCUFNJY4AfY3kHU/edit?usp=sharing  #gid=0"",""фіз особи new!relations_name""),6,FALSE)
,
(IF
(
G162=""юридична особа""
,
VLOOKUP(H1"&amp;"62,IMPORTRANGE(""https://docs.google.com/spreadsheets/d/14Bd19lYaqBhU8_DElYkX7l4wRkHqqCUFNJY4AfY3kHU/edit?usp=sharing  #gid=0"",""фіз особи new!relations_name_uo""),7,FALSE)
,
)
))"),"#N/A")</f>
        <v>#N/A</v>
      </c>
      <c r="J161" s="7" t="s">
        <v>20</v>
      </c>
    </row>
    <row r="162" spans="1:10" ht="13.2">
      <c r="A162" s="7">
        <v>161</v>
      </c>
      <c r="B162" s="7">
        <v>1</v>
      </c>
      <c r="C162" s="7" t="s">
        <v>10</v>
      </c>
      <c r="D162" s="7">
        <v>54</v>
      </c>
      <c r="E162" s="7" t="s">
        <v>19</v>
      </c>
      <c r="F162" s="8" t="str">
        <f ca="1">IFERROR(__xludf.DUMMYFUNCTION("IF
(
C163=""фізична особа""
,
VLOOKUP(D163,IMPORTRANGE(""https://docs.google.com/spreadsheets/d/14Bd19lYaqBhU8_DElYkX7l4wRkHqqCUFNJY4AfY3kHU/edit?usp=sharing  #gid=0"",""фіз особи new!relations_name""),6,FALSE)
,
(IF
(
C163=""юридична особа""
,
VLOOKUP(D1"&amp;"63,IMPORTRANGE(""https://docs.google.com/spreadsheets/d/14Bd19lYaqBhU8_DElYkX7l4wRkHqqCUFNJY4AfY3kHU/edit?usp=sharing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2" s="7" t="s">
        <v>10</v>
      </c>
      <c r="H162" s="7">
        <v>0</v>
      </c>
      <c r="I162" s="8" t="str">
        <f ca="1">IFERROR(__xludf.DUMMYFUNCTION("IF
(
G163=""фізична особа""
,
VLOOKUP(H163,IMPORTRANGE(""https://docs.google.com/spreadsheets/d/14Bd19lYaqBhU8_DElYkX7l4wRkHqqCUFNJY4AfY3kHU/edit?usp=sharing  #gid=0"",""фіз особи new!relations_name""),6,FALSE)
,
(IF
(
G163=""юридична особа""
,
VLOOKUP(H1"&amp;"63,IMPORTRANGE(""https://docs.google.com/spreadsheets/d/14Bd19lYaqBhU8_DElYkX7l4wRkHqqCUFNJY4AfY3kHU/edit?usp=sharing  #gid=0"",""фіз особи new!relations_name_uo""),7,FALSE)
,
)
))"),"#N/A")</f>
        <v>#N/A</v>
      </c>
      <c r="J162" s="7" t="s">
        <v>20</v>
      </c>
    </row>
    <row r="163" spans="1:10" ht="13.2">
      <c r="A163" s="7">
        <v>162</v>
      </c>
      <c r="B163" s="7">
        <v>1</v>
      </c>
      <c r="C163" s="7" t="s">
        <v>10</v>
      </c>
      <c r="D163" s="7">
        <v>54</v>
      </c>
      <c r="E163" s="7" t="s">
        <v>12</v>
      </c>
      <c r="F163" s="8" t="str">
        <f ca="1">IFERROR(__xludf.DUMMYFUNCTION("IF
(
C164=""фізична особа""
,
VLOOKUP(D164,IMPORTRANGE(""https://docs.google.com/spreadsheets/d/14Bd19lYaqBhU8_DElYkX7l4wRkHqqCUFNJY4AfY3kHU/edit?usp=sharing  #gid=0"",""фіз особи new!relations_name""),6,FALSE)
,
(IF
(
C164=""юридична особа""
,
VLOOKUP(D1"&amp;"64,IMPORTRANGE(""https://docs.google.com/spreadsheets/d/14Bd19lYaqBhU8_DElYkX7l4wRkHqqCUFNJY4AfY3kHU/edit?usp=sharing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3" s="7" t="s">
        <v>10</v>
      </c>
      <c r="H163" s="7">
        <v>0</v>
      </c>
      <c r="I163" s="8" t="str">
        <f ca="1">IFERROR(__xludf.DUMMYFUNCTION("IF
(
G164=""фізична особа""
,
VLOOKUP(H164,IMPORTRANGE(""https://docs.google.com/spreadsheets/d/14Bd19lYaqBhU8_DElYkX7l4wRkHqqCUFNJY4AfY3kHU/edit?usp=sharing  #gid=0"",""фіз особи new!relations_name""),6,FALSE)
,
(IF
(
G164=""юридична особа""
,
VLOOKUP(H1"&amp;"64,IMPORTRANGE(""https://docs.google.com/spreadsheets/d/14Bd19lYaqBhU8_DElYkX7l4wRkHqqCUFNJY4AfY3kHU/edit?usp=sharing  #gid=0"",""фіз особи new!relations_name_uo""),7,FALSE)
,
)
))"),"#N/A")</f>
        <v>#N/A</v>
      </c>
      <c r="J163" s="7" t="s">
        <v>17</v>
      </c>
    </row>
    <row r="164" spans="1:10" ht="13.2">
      <c r="A164" s="7">
        <v>163</v>
      </c>
      <c r="B164" s="7">
        <v>1</v>
      </c>
      <c r="C164" s="7" t="s">
        <v>10</v>
      </c>
      <c r="D164" s="7">
        <v>54</v>
      </c>
      <c r="E164" s="7" t="s">
        <v>12</v>
      </c>
      <c r="F164" s="8" t="str">
        <f ca="1">IFERROR(__xludf.DUMMYFUNCTION("IF
(
C165=""фізична особа""
,
VLOOKUP(D165,IMPORTRANGE(""https://docs.google.com/spreadsheets/d/14Bd19lYaqBhU8_DElYkX7l4wRkHqqCUFNJY4AfY3kHU/edit?usp=sharing  #gid=0"",""фіз особи new!relations_name""),6,FALSE)
,
(IF
(
C165=""юридична особа""
,
VLOOKUP(D1"&amp;"65,IMPORTRANGE(""https://docs.google.com/spreadsheets/d/14Bd19lYaqBhU8_DElYkX7l4wRkHqqCUFNJY4AfY3kHU/edit?usp=sharing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4" s="7" t="s">
        <v>10</v>
      </c>
      <c r="H164" s="7">
        <v>0</v>
      </c>
      <c r="I164" s="8" t="str">
        <f ca="1">IFERROR(__xludf.DUMMYFUNCTION("IF
(
G165=""фізична особа""
,
VLOOKUP(H165,IMPORTRANGE(""https://docs.google.com/spreadsheets/d/14Bd19lYaqBhU8_DElYkX7l4wRkHqqCUFNJY4AfY3kHU/edit?usp=sharing  #gid=0"",""фіз особи new!relations_name""),6,FALSE)
,
(IF
(
G165=""юридична особа""
,
VLOOKUP(H1"&amp;"65,IMPORTRANGE(""https://docs.google.com/spreadsheets/d/14Bd19lYaqBhU8_DElYkX7l4wRkHqqCUFNJY4AfY3kHU/edit?usp=sharing  #gid=0"",""фіз особи new!relations_name_uo""),7,FALSE)
,
)
))"),"#N/A")</f>
        <v>#N/A</v>
      </c>
      <c r="J164" s="7" t="s">
        <v>13</v>
      </c>
    </row>
    <row r="165" spans="1:10" ht="13.2">
      <c r="A165" s="7">
        <v>164</v>
      </c>
      <c r="B165" s="7">
        <v>1</v>
      </c>
      <c r="C165" s="7" t="s">
        <v>10</v>
      </c>
      <c r="D165" s="7">
        <v>54</v>
      </c>
      <c r="E165" s="7" t="s">
        <v>14</v>
      </c>
      <c r="F165" s="8" t="str">
        <f ca="1">IFERROR(__xludf.DUMMYFUNCTION("IF
(
C166=""фізична особа""
,
VLOOKUP(D166,IMPORTRANGE(""https://docs.google.com/spreadsheets/d/14Bd19lYaqBhU8_DElYkX7l4wRkHqqCUFNJY4AfY3kHU/edit?usp=sharing  #gid=0"",""фіз особи new!relations_name""),6,FALSE)
,
(IF
(
C166=""юридична особа""
,
VLOOKUP(D1"&amp;"66,IMPORTRANGE(""https://docs.google.com/spreadsheets/d/14Bd19lYaqBhU8_DElYkX7l4wRkHqqCUFNJY4AfY3kHU/edit?usp=sharing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5" s="7" t="s">
        <v>10</v>
      </c>
      <c r="H165" s="7">
        <v>0</v>
      </c>
      <c r="I165" s="8" t="str">
        <f ca="1">IFERROR(__xludf.DUMMYFUNCTION("IF
(
G166=""фізична особа""
,
VLOOKUP(H166,IMPORTRANGE(""https://docs.google.com/spreadsheets/d/14Bd19lYaqBhU8_DElYkX7l4wRkHqqCUFNJY4AfY3kHU/edit?usp=sharing  #gid=0"",""фіз особи new!relations_name""),6,FALSE)
,
(IF
(
G166=""юридична особа""
,
VLOOKUP(H1"&amp;"66,IMPORTRANGE(""https://docs.google.com/spreadsheets/d/14Bd19lYaqBhU8_DElYkX7l4wRkHqqCUFNJY4AfY3kHU/edit?usp=sharing  #gid=0"",""фіз особи new!relations_name_uo""),7,FALSE)
,
)
))"),"#N/A")</f>
        <v>#N/A</v>
      </c>
      <c r="J165" s="7" t="s">
        <v>15</v>
      </c>
    </row>
    <row r="166" spans="1:10" ht="13.2">
      <c r="A166" s="7">
        <v>165</v>
      </c>
      <c r="B166" s="7">
        <v>1</v>
      </c>
      <c r="C166" s="7" t="s">
        <v>10</v>
      </c>
      <c r="D166" s="7">
        <v>54</v>
      </c>
      <c r="E166" s="7" t="s">
        <v>12</v>
      </c>
      <c r="F166" s="8" t="str">
        <f ca="1">IFERROR(__xludf.DUMMYFUNCTION("IF
(
C167=""фізична особа""
,
VLOOKUP(D167,IMPORTRANGE(""https://docs.google.com/spreadsheets/d/14Bd19lYaqBhU8_DElYkX7l4wRkHqqCUFNJY4AfY3kHU/edit?usp=sharing  #gid=0"",""фіз особи new!relations_name""),6,FALSE)
,
(IF
(
C167=""юридична особа""
,
VLOOKUP(D1"&amp;"67,IMPORTRANGE(""https://docs.google.com/spreadsheets/d/14Bd19lYaqBhU8_DElYkX7l4wRkHqqCUFNJY4AfY3kHU/edit?usp=sharing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6" s="7" t="s">
        <v>10</v>
      </c>
      <c r="H166" s="7">
        <v>0</v>
      </c>
      <c r="I166" s="8" t="str">
        <f ca="1">IFERROR(__xludf.DUMMYFUNCTION("IF
(
G167=""фізична особа""
,
VLOOKUP(H167,IMPORTRANGE(""https://docs.google.com/spreadsheets/d/14Bd19lYaqBhU8_DElYkX7l4wRkHqqCUFNJY4AfY3kHU/edit?usp=sharing  #gid=0"",""фіз особи new!relations_name""),6,FALSE)
,
(IF
(
G167=""юридична особа""
,
VLOOKUP(H1"&amp;"67,IMPORTRANGE(""https://docs.google.com/spreadsheets/d/14Bd19lYaqBhU8_DElYkX7l4wRkHqqCUFNJY4AfY3kHU/edit?usp=sharing  #gid=0"",""фіз особи new!relations_name_uo""),7,FALSE)
,
)
))"),"#N/A")</f>
        <v>#N/A</v>
      </c>
      <c r="J166" s="7" t="s">
        <v>17</v>
      </c>
    </row>
    <row r="167" spans="1:10" ht="13.2">
      <c r="A167" s="7">
        <v>166</v>
      </c>
      <c r="B167" s="7">
        <v>1</v>
      </c>
      <c r="C167" s="7" t="s">
        <v>10</v>
      </c>
      <c r="D167" s="7">
        <v>54</v>
      </c>
      <c r="E167" s="7" t="s">
        <v>18</v>
      </c>
      <c r="F167" s="8" t="str">
        <f ca="1">IFERROR(__xludf.DUMMYFUNCTION("IF
(
C168=""фізична особа""
,
VLOOKUP(D168,IMPORTRANGE(""https://docs.google.com/spreadsheets/d/14Bd19lYaqBhU8_DElYkX7l4wRkHqqCUFNJY4AfY3kHU/edit?usp=sharing  #gid=0"",""фіз особи new!relations_name""),6,FALSE)
,
(IF
(
C168=""юридична особа""
,
VLOOKUP(D1"&amp;"68,IMPORTRANGE(""https://docs.google.com/spreadsheets/d/14Bd19lYaqBhU8_DElYkX7l4wRkHqqCUFNJY4AfY3kHU/edit?usp=sharing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7" s="7" t="s">
        <v>10</v>
      </c>
      <c r="H167" s="7">
        <v>0</v>
      </c>
      <c r="I167" s="8" t="str">
        <f ca="1">IFERROR(__xludf.DUMMYFUNCTION("IF
(
G168=""фізична особа""
,
VLOOKUP(H168,IMPORTRANGE(""https://docs.google.com/spreadsheets/d/14Bd19lYaqBhU8_DElYkX7l4wRkHqqCUFNJY4AfY3kHU/edit?usp=sharing  #gid=0"",""фіз особи new!relations_name""),6,FALSE)
,
(IF
(
G168=""юридична особа""
,
VLOOKUP(H1"&amp;"68,IMPORTRANGE(""https://docs.google.com/spreadsheets/d/14Bd19lYaqBhU8_DElYkX7l4wRkHqqCUFNJY4AfY3kHU/edit?usp=sharing  #gid=0"",""фіз особи new!relations_name_uo""),7,FALSE)
,
)
))"),"#N/A")</f>
        <v>#N/A</v>
      </c>
      <c r="J167" s="7" t="s">
        <v>18</v>
      </c>
    </row>
    <row r="168" spans="1:10" ht="13.2">
      <c r="A168" s="7">
        <v>167</v>
      </c>
      <c r="B168" s="7">
        <v>1</v>
      </c>
      <c r="C168" s="7" t="s">
        <v>10</v>
      </c>
      <c r="D168" s="7">
        <v>54</v>
      </c>
      <c r="E168" s="7" t="s">
        <v>29</v>
      </c>
      <c r="F168" s="8" t="str">
        <f ca="1">IFERROR(__xludf.DUMMYFUNCTION("IF
(
C169=""фізична особа""
,
VLOOKUP(D169,IMPORTRANGE(""https://docs.google.com/spreadsheets/d/14Bd19lYaqBhU8_DElYkX7l4wRkHqqCUFNJY4AfY3kHU/edit?usp=sharing  #gid=0"",""фіз особи new!relations_name""),6,FALSE)
,
(IF
(
C169=""юридична особа""
,
VLOOKUP(D1"&amp;"69,IMPORTRANGE(""https://docs.google.com/spreadsheets/d/14Bd19lYaqBhU8_DElYkX7l4wRkHqqCUFNJY4AfY3kHU/edit?usp=sharing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8" s="7" t="s">
        <v>10</v>
      </c>
      <c r="H168" s="7">
        <v>0</v>
      </c>
      <c r="I168" s="8" t="str">
        <f ca="1">IFERROR(__xludf.DUMMYFUNCTION("IF
(
G169=""фізична особа""
,
VLOOKUP(H169,IMPORTRANGE(""https://docs.google.com/spreadsheets/d/14Bd19lYaqBhU8_DElYkX7l4wRkHqqCUFNJY4AfY3kHU/edit?usp=sharing  #gid=0"",""фіз особи new!relations_name""),6,FALSE)
,
(IF
(
G169=""юридична особа""
,
VLOOKUP(H1"&amp;"69,IMPORTRANGE(""https://docs.google.com/spreadsheets/d/14Bd19lYaqBhU8_DElYkX7l4wRkHqqCUFNJY4AfY3kHU/edit?usp=sharing  #gid=0"",""фіз особи new!relations_name_uo""),7,FALSE)
,
)
))"),"#N/A")</f>
        <v>#N/A</v>
      </c>
      <c r="J168" s="7" t="s">
        <v>28</v>
      </c>
    </row>
    <row r="169" spans="1:10" ht="13.2">
      <c r="A169" s="7">
        <v>168</v>
      </c>
      <c r="B169" s="7">
        <v>1</v>
      </c>
      <c r="C169" s="7" t="s">
        <v>10</v>
      </c>
      <c r="D169" s="7">
        <v>54</v>
      </c>
      <c r="E169" s="7" t="s">
        <v>40</v>
      </c>
      <c r="F169" s="8" t="str">
        <f ca="1">IFERROR(__xludf.DUMMYFUNCTION("IF
(
C170=""фізична особа""
,
VLOOKUP(D170,IMPORTRANGE(""https://docs.google.com/spreadsheets/d/14Bd19lYaqBhU8_DElYkX7l4wRkHqqCUFNJY4AfY3kHU/edit?usp=sharing  #gid=0"",""фіз особи new!relations_name""),6,FALSE)
,
(IF
(
C170=""юридична особа""
,
VLOOKUP(D1"&amp;"70,IMPORTRANGE(""https://docs.google.com/spreadsheets/d/14Bd19lYaqBhU8_DElYkX7l4wRkHqqCUFNJY4AfY3kHU/edit?usp=sharing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69" s="7" t="s">
        <v>10</v>
      </c>
      <c r="H169" s="7">
        <v>191</v>
      </c>
      <c r="I169" s="8" t="str">
        <f ca="1">IFERROR(__xludf.DUMMYFUNCTION("IF
(
G170=""фізична особа""
,
VLOOKUP(H170,IMPORTRANGE(""https://docs.google.com/spreadsheets/d/14Bd19lYaqBhU8_DElYkX7l4wRkHqqCUFNJY4AfY3kHU/edit?usp=sharing  #gid=0"",""фіз особи new!relations_name""),6,FALSE)
,
(IF
(
G170=""юридична особа""
,
VLOOKUP(H1"&amp;"70,IMPORTRANGE(""https://docs.google.com/spreadsheets/d/14Bd19lYaqBhU8_DElYkX7l4wRkHqqCUFNJY4AfY3kHU/edit?usp=sharing  #gid=0"",""фіз особи new!relations_name_uo""),7,FALSE)
,
)
))"),"ГОРА Дмитро Юрійович")</f>
        <v>ГОРА Дмитро Юрійович</v>
      </c>
      <c r="J169" s="7" t="s">
        <v>41</v>
      </c>
    </row>
    <row r="170" spans="1:10" ht="13.2">
      <c r="A170" s="7">
        <v>169</v>
      </c>
      <c r="B170" s="7">
        <v>1</v>
      </c>
      <c r="C170" s="7" t="s">
        <v>10</v>
      </c>
      <c r="D170" s="7">
        <v>54</v>
      </c>
      <c r="E170" s="7" t="s">
        <v>29</v>
      </c>
      <c r="F170" s="8" t="str">
        <f ca="1">IFERROR(__xludf.DUMMYFUNCTION("IF
(
C171=""фізична особа""
,
VLOOKUP(D171,IMPORTRANGE(""https://docs.google.com/spreadsheets/d/14Bd19lYaqBhU8_DElYkX7l4wRkHqqCUFNJY4AfY3kHU/edit?usp=sharing  #gid=0"",""фіз особи new!relations_name""),6,FALSE)
,
(IF
(
C171=""юридична особа""
,
VLOOKUP(D1"&amp;"71,IMPORTRANGE(""https://docs.google.com/spreadsheets/d/14Bd19lYaqBhU8_DElYkX7l4wRkHqqCUFNJY4AfY3kHU/edit?usp=sharing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70" s="7" t="s">
        <v>10</v>
      </c>
      <c r="H170" s="7">
        <v>0</v>
      </c>
      <c r="I170" s="8" t="str">
        <f ca="1">IFERROR(__xludf.DUMMYFUNCTION("IF
(
G171=""фізична особа""
,
VLOOKUP(H171,IMPORTRANGE(""https://docs.google.com/spreadsheets/d/14Bd19lYaqBhU8_DElYkX7l4wRkHqqCUFNJY4AfY3kHU/edit?usp=sharing  #gid=0"",""фіз особи new!relations_name""),6,FALSE)
,
(IF
(
G171=""юридична особа""
,
VLOOKUP(H1"&amp;"71,IMPORTRANGE(""https://docs.google.com/spreadsheets/d/14Bd19lYaqBhU8_DElYkX7l4wRkHqqCUFNJY4AfY3kHU/edit?usp=sharing  #gid=0"",""фіз особи new!relations_name_uo""),7,FALSE)
,
)
))"),"#N/A")</f>
        <v>#N/A</v>
      </c>
      <c r="J170" s="7" t="s">
        <v>28</v>
      </c>
    </row>
    <row r="171" spans="1:10" ht="13.2">
      <c r="A171" s="7">
        <v>170</v>
      </c>
      <c r="B171" s="7">
        <v>1</v>
      </c>
      <c r="C171" s="7" t="s">
        <v>10</v>
      </c>
      <c r="D171" s="7">
        <v>54</v>
      </c>
      <c r="E171" s="7" t="s">
        <v>29</v>
      </c>
      <c r="F171" s="8" t="str">
        <f ca="1">IFERROR(__xludf.DUMMYFUNCTION("IF
(
C172=""фізична особа""
,
VLOOKUP(D172,IMPORTRANGE(""https://docs.google.com/spreadsheets/d/14Bd19lYaqBhU8_DElYkX7l4wRkHqqCUFNJY4AfY3kHU/edit?usp=sharing  #gid=0"",""фіз особи new!relations_name""),6,FALSE)
,
(IF
(
C172=""юридична особа""
,
VLOOKUP(D1"&amp;"72,IMPORTRANGE(""https://docs.google.com/spreadsheets/d/14Bd19lYaqBhU8_DElYkX7l4wRkHqqCUFNJY4AfY3kHU/edit?usp=sharing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G171" s="7" t="s">
        <v>10</v>
      </c>
      <c r="H171" s="7">
        <v>0</v>
      </c>
      <c r="I171" s="8" t="str">
        <f ca="1">IFERROR(__xludf.DUMMYFUNCTION("IF
(
G172=""фізична особа""
,
VLOOKUP(H172,IMPORTRANGE(""https://docs.google.com/spreadsheets/d/14Bd19lYaqBhU8_DElYkX7l4wRkHqqCUFNJY4AfY3kHU/edit?usp=sharing  #gid=0"",""фіз особи new!relations_name""),6,FALSE)
,
(IF
(
G172=""юридична особа""
,
VLOOKUP(H1"&amp;"72,IMPORTRANGE(""https://docs.google.com/spreadsheets/d/14Bd19lYaqBhU8_DElYkX7l4wRkHqqCUFNJY4AfY3kHU/edit?usp=sharing  #gid=0"",""фіз особи new!relations_name_uo""),7,FALSE)
,
)
))"),"#N/A")</f>
        <v>#N/A</v>
      </c>
      <c r="J171" s="7" t="s">
        <v>28</v>
      </c>
    </row>
    <row r="172" spans="1:10" ht="13.2">
      <c r="A172" s="7">
        <v>171</v>
      </c>
      <c r="B172" s="7">
        <v>1</v>
      </c>
      <c r="C172" s="7" t="s">
        <v>10</v>
      </c>
      <c r="D172" s="7">
        <v>55</v>
      </c>
      <c r="E172" s="7" t="s">
        <v>28</v>
      </c>
      <c r="F172" s="8" t="str">
        <f ca="1">IFERROR(__xludf.DUMMYFUNCTION("IF
(
C173=""фізична особа""
,
VLOOKUP(D173,IMPORTRANGE(""https://docs.google.com/spreadsheets/d/14Bd19lYaqBhU8_DElYkX7l4wRkHqqCUFNJY4AfY3kHU/edit?usp=sharing  #gid=0"",""фіз особи new!relations_name""),6,FALSE)
,
(IF
(
C173=""юридична особа""
,
VLOOKUP(D1"&amp;"73,IMPORTRANGE(""https://docs.google.com/spreadsheets/d/14Bd19lYaqBhU8_DElYkX7l4wRkHqqCUFNJY4AfY3kHU/edit?usp=sharing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2" s="7" t="s">
        <v>10</v>
      </c>
      <c r="H172" s="7">
        <v>23364</v>
      </c>
      <c r="I172" s="8" t="str">
        <f ca="1">IFERROR(__xludf.DUMMYFUNCTION("IF
(
G173=""фізична особа""
,
VLOOKUP(H173,IMPORTRANGE(""https://docs.google.com/spreadsheets/d/14Bd19lYaqBhU8_DElYkX7l4wRkHqqCUFNJY4AfY3kHU/edit?usp=sharing  #gid=0"",""фіз особи new!relations_name""),6,FALSE)
,
(IF
(
G173=""юридична особа""
,
VLOOKUP(H1"&amp;"73,IMPORTRANGE(""https://docs.google.com/spreadsheets/d/14Bd19lYaqBhU8_DElYkX7l4wRkHqqCUFNJY4AfY3kHU/edit?usp=sharing  #gid=0"",""фіз особи new!relations_name_uo""),7,FALSE)
,
)
))"),"ГОЛОВЧЕНКО Роман Олександрович")</f>
        <v>ГОЛОВЧЕНКО Роман Олександрович</v>
      </c>
      <c r="J172" s="7" t="s">
        <v>29</v>
      </c>
    </row>
    <row r="173" spans="1:10" ht="13.2">
      <c r="A173" s="7">
        <v>172</v>
      </c>
      <c r="B173" s="7">
        <v>1</v>
      </c>
      <c r="C173" s="7" t="s">
        <v>10</v>
      </c>
      <c r="D173" s="7">
        <v>55</v>
      </c>
      <c r="E173" s="7" t="s">
        <v>28</v>
      </c>
      <c r="F173" s="8" t="str">
        <f ca="1">IFERROR(__xludf.DUMMYFUNCTION("IF
(
C174=""фізична особа""
,
VLOOKUP(D174,IMPORTRANGE(""https://docs.google.com/spreadsheets/d/14Bd19lYaqBhU8_DElYkX7l4wRkHqqCUFNJY4AfY3kHU/edit?usp=sharing  #gid=0"",""фіз особи new!relations_name""),6,FALSE)
,
(IF
(
C174=""юридична особа""
,
VLOOKUP(D1"&amp;"74,IMPORTRANGE(""https://docs.google.com/spreadsheets/d/14Bd19lYaqBhU8_DElYkX7l4wRkHqqCUFNJY4AfY3kHU/edit?usp=sharing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3" s="7" t="s">
        <v>10</v>
      </c>
      <c r="H173" s="7">
        <v>1017</v>
      </c>
      <c r="I173" s="8" t="str">
        <f ca="1">IFERROR(__xludf.DUMMYFUNCTION("IF
(
G174=""фізична особа""
,
VLOOKUP(H174,IMPORTRANGE(""https://docs.google.com/spreadsheets/d/14Bd19lYaqBhU8_DElYkX7l4wRkHqqCUFNJY4AfY3kHU/edit?usp=sharing  #gid=0"",""фіз особи new!relations_name""),6,FALSE)
,
(IF
(
G174=""юридична особа""
,
VLOOKUP(H1"&amp;"74,IMPORTRANGE(""https://docs.google.com/spreadsheets/d/14Bd19lYaqBhU8_DElYkX7l4wRkHqqCUFNJY4AfY3kHU/edit?usp=sharing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73" s="7" t="s">
        <v>29</v>
      </c>
    </row>
    <row r="174" spans="1:10" ht="13.2">
      <c r="A174" s="7">
        <v>173</v>
      </c>
      <c r="B174" s="7">
        <v>1</v>
      </c>
      <c r="C174" s="7" t="s">
        <v>10</v>
      </c>
      <c r="D174" s="7">
        <v>55</v>
      </c>
      <c r="E174" s="7" t="s">
        <v>28</v>
      </c>
      <c r="F174" s="8" t="str">
        <f ca="1">IFERROR(__xludf.DUMMYFUNCTION("IF
(
C175=""фізична особа""
,
VLOOKUP(D175,IMPORTRANGE(""https://docs.google.com/spreadsheets/d/14Bd19lYaqBhU8_DElYkX7l4wRkHqqCUFNJY4AfY3kHU/edit?usp=sharing  #gid=0"",""фіз особи new!relations_name""),6,FALSE)
,
(IF
(
C175=""юридична особа""
,
VLOOKUP(D1"&amp;"75,IMPORTRANGE(""https://docs.google.com/spreadsheets/d/14Bd19lYaqBhU8_DElYkX7l4wRkHqqCUFNJY4AfY3kHU/edit?usp=sharing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4" s="7" t="s">
        <v>10</v>
      </c>
      <c r="H174" s="7">
        <v>821</v>
      </c>
      <c r="I174" s="8" t="str">
        <f ca="1">IFERROR(__xludf.DUMMYFUNCTION("IF
(
G175=""фізична особа""
,
VLOOKUP(H175,IMPORTRANGE(""https://docs.google.com/spreadsheets/d/14Bd19lYaqBhU8_DElYkX7l4wRkHqqCUFNJY4AfY3kHU/edit?usp=sharing  #gid=0"",""фіз особи new!relations_name""),6,FALSE)
,
(IF
(
G175=""юридична особа""
,
VLOOKUP(H1"&amp;"75,IMPORTRANGE(""https://docs.google.com/spreadsheets/d/14Bd19lYaqBhU8_DElYkX7l4wRkHqqCUFNJY4AfY3kHU/edit?usp=sharing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174" s="7" t="s">
        <v>29</v>
      </c>
    </row>
    <row r="175" spans="1:10" ht="13.2">
      <c r="A175" s="7">
        <v>174</v>
      </c>
      <c r="B175" s="7">
        <v>1</v>
      </c>
      <c r="C175" s="7" t="s">
        <v>10</v>
      </c>
      <c r="D175" s="7">
        <v>55</v>
      </c>
      <c r="E175" s="7" t="s">
        <v>28</v>
      </c>
      <c r="F175" s="8" t="str">
        <f ca="1">IFERROR(__xludf.DUMMYFUNCTION("IF
(
C176=""фізична особа""
,
VLOOKUP(D176,IMPORTRANGE(""https://docs.google.com/spreadsheets/d/14Bd19lYaqBhU8_DElYkX7l4wRkHqqCUFNJY4AfY3kHU/edit?usp=sharing  #gid=0"",""фіз особи new!relations_name""),6,FALSE)
,
(IF
(
C176=""юридична особа""
,
VLOOKUP(D1"&amp;"76,IMPORTRANGE(""https://docs.google.com/spreadsheets/d/14Bd19lYaqBhU8_DElYkX7l4wRkHqqCUFNJY4AfY3kHU/edit?usp=sharing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5" s="7" t="s">
        <v>10</v>
      </c>
      <c r="H175" s="7">
        <v>35</v>
      </c>
      <c r="I175" s="8" t="str">
        <f ca="1">IFERROR(__xludf.DUMMYFUNCTION("IF
(
G176=""фізична особа""
,
VLOOKUP(H176,IMPORTRANGE(""https://docs.google.com/spreadsheets/d/14Bd19lYaqBhU8_DElYkX7l4wRkHqqCUFNJY4AfY3kHU/edit?usp=sharing  #gid=0"",""фіз особи new!relations_name""),6,FALSE)
,
(IF
(
G176=""юридична особа""
,
VLOOKUP(H1"&amp;"76,IMPORTRANGE(""https://docs.google.com/spreadsheets/d/14Bd19lYaqBhU8_DElYkX7l4wRkHqqCUFNJY4AfY3kHU/edit?usp=sharing  #gid=0"",""фіз особи new!relations_name_uo""),7,FALSE)
,
)
))"),"ВОЛЬФОВИЧ Олександр Григорович")</f>
        <v>ВОЛЬФОВИЧ Олександр Григорович</v>
      </c>
      <c r="J175" s="7" t="s">
        <v>29</v>
      </c>
    </row>
    <row r="176" spans="1:10" ht="13.2">
      <c r="A176" s="7">
        <v>175</v>
      </c>
      <c r="B176" s="7">
        <v>1</v>
      </c>
      <c r="C176" s="7" t="s">
        <v>10</v>
      </c>
      <c r="D176" s="7">
        <v>55</v>
      </c>
      <c r="E176" s="7" t="s">
        <v>35</v>
      </c>
      <c r="F176" s="8" t="str">
        <f ca="1">IFERROR(__xludf.DUMMYFUNCTION("IF
(
C177=""фізична особа""
,
VLOOKUP(D177,IMPORTRANGE(""https://docs.google.com/spreadsheets/d/14Bd19lYaqBhU8_DElYkX7l4wRkHqqCUFNJY4AfY3kHU/edit?usp=sharing  #gid=0"",""фіз особи new!relations_name""),6,FALSE)
,
(IF
(
C177=""юридична особа""
,
VLOOKUP(D1"&amp;"77,IMPORTRANGE(""https://docs.google.com/spreadsheets/d/14Bd19lYaqBhU8_DElYkX7l4wRkHqqCUFNJY4AfY3kHU/edit?usp=sharing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6" s="7" t="s">
        <v>10</v>
      </c>
      <c r="H176" s="7">
        <v>0</v>
      </c>
      <c r="I176" s="8" t="str">
        <f ca="1">IFERROR(__xludf.DUMMYFUNCTION("IF
(
G177=""фізична особа""
,
VLOOKUP(H177,IMPORTRANGE(""https://docs.google.com/spreadsheets/d/14Bd19lYaqBhU8_DElYkX7l4wRkHqqCUFNJY4AfY3kHU/edit?usp=sharing  #gid=0"",""фіз особи new!relations_name""),6,FALSE)
,
(IF
(
G177=""юридична особа""
,
VLOOKUP(H1"&amp;"77,IMPORTRANGE(""https://docs.google.com/spreadsheets/d/14Bd19lYaqBhU8_DElYkX7l4wRkHqqCUFNJY4AfY3kHU/edit?usp=sharing  #gid=0"",""фіз особи new!relations_name_uo""),7,FALSE)
,
)
))"),"#N/A")</f>
        <v>#N/A</v>
      </c>
      <c r="J176" s="7" t="s">
        <v>35</v>
      </c>
    </row>
    <row r="177" spans="1:10" ht="13.2">
      <c r="A177" s="7">
        <v>176</v>
      </c>
      <c r="B177" s="7">
        <v>1</v>
      </c>
      <c r="C177" s="7" t="s">
        <v>10</v>
      </c>
      <c r="D177" s="7">
        <v>55</v>
      </c>
      <c r="E177" s="7" t="s">
        <v>35</v>
      </c>
      <c r="F177" s="8" t="str">
        <f ca="1">IFERROR(__xludf.DUMMYFUNCTION("IF
(
C178=""фізична особа""
,
VLOOKUP(D178,IMPORTRANGE(""https://docs.google.com/spreadsheets/d/14Bd19lYaqBhU8_DElYkX7l4wRkHqqCUFNJY4AfY3kHU/edit?usp=sharing  #gid=0"",""фіз особи new!relations_name""),6,FALSE)
,
(IF
(
C178=""юридична особа""
,
VLOOKUP(D1"&amp;"78,IMPORTRANGE(""https://docs.google.com/spreadsheets/d/14Bd19lYaqBhU8_DElYkX7l4wRkHqqCUFNJY4AfY3kHU/edit?usp=sharing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G177" s="7" t="s">
        <v>10</v>
      </c>
      <c r="H177" s="7">
        <v>0</v>
      </c>
      <c r="I177" s="8" t="str">
        <f ca="1">IFERROR(__xludf.DUMMYFUNCTION("IF
(
G178=""фізична особа""
,
VLOOKUP(H178,IMPORTRANGE(""https://docs.google.com/spreadsheets/d/14Bd19lYaqBhU8_DElYkX7l4wRkHqqCUFNJY4AfY3kHU/edit?usp=sharing  #gid=0"",""фіз особи new!relations_name""),6,FALSE)
,
(IF
(
G178=""юридична особа""
,
VLOOKUP(H1"&amp;"78,IMPORTRANGE(""https://docs.google.com/spreadsheets/d/14Bd19lYaqBhU8_DElYkX7l4wRkHqqCUFNJY4AfY3kHU/edit?usp=sharing  #gid=0"",""фіз особи new!relations_name_uo""),7,FALSE)
,
)
))"),"#N/A")</f>
        <v>#N/A</v>
      </c>
      <c r="J177" s="7" t="s">
        <v>35</v>
      </c>
    </row>
    <row r="178" spans="1:10" ht="13.2">
      <c r="A178" s="7">
        <v>177</v>
      </c>
      <c r="B178" s="7">
        <v>1</v>
      </c>
      <c r="C178" s="7" t="s">
        <v>10</v>
      </c>
      <c r="D178" s="7">
        <v>56</v>
      </c>
      <c r="E178" s="7" t="s">
        <v>42</v>
      </c>
      <c r="F178" s="8" t="str">
        <f ca="1">IFERROR(__xludf.DUMMYFUNCTION("IF
(
C179=""фізична особа""
,
VLOOKUP(D179,IMPORTRANGE(""https://docs.google.com/spreadsheets/d/14Bd19lYaqBhU8_DElYkX7l4wRkHqqCUFNJY4AfY3kHU/edit?usp=sharing  #gid=0"",""фіз особи new!relations_name""),6,FALSE)
,
(IF
(
C179=""юридична особа""
,
VLOOKUP(D1"&amp;"79,IMPORTRANGE(""https://docs.google.com/spreadsheets/d/14Bd19lYaqBhU8_DElYkX7l4wRkHqqCUFNJY4AfY3kHU/edit?usp=sharing  #gid=0"",""фіз особи new!relations_name_uo""),7,FALSE)
,
)
))"),"СКОЧ Андрій Володимирович")</f>
        <v>СКОЧ Андрій Володимирович</v>
      </c>
      <c r="G178" s="7" t="s">
        <v>10</v>
      </c>
      <c r="H178" s="7">
        <v>4104</v>
      </c>
      <c r="I178" s="8" t="str">
        <f ca="1">IFERROR(__xludf.DUMMYFUNCTION("IF
(
G179=""фізична особа""
,
VLOOKUP(H179,IMPORTRANGE(""https://docs.google.com/spreadsheets/d/14Bd19lYaqBhU8_DElYkX7l4wRkHqqCUFNJY4AfY3kHU/edit?usp=sharing  #gid=0"",""фіз особи new!relations_name""),6,FALSE)
,
(IF
(
G179=""юридична особа""
,
VLOOKUP(H1"&amp;"79,IMPORTRANGE(""https://docs.google.com/spreadsheets/d/14Bd19lYaqBhU8_DElYkX7l4wRkHqqCUFNJY4AfY3kHU/edit?usp=sharing  #gid=0"",""фіз особи new!relations_name_uo""),7,FALSE)
,
)
))"),"ЛІХАЧ Олена Олександрівна")</f>
        <v>ЛІХАЧ Олена Олександрівна</v>
      </c>
      <c r="J178" s="7" t="s">
        <v>43</v>
      </c>
    </row>
    <row r="179" spans="1:10" ht="13.2">
      <c r="A179" s="7">
        <v>178</v>
      </c>
      <c r="B179" s="7">
        <v>1</v>
      </c>
      <c r="C179" s="7" t="s">
        <v>10</v>
      </c>
      <c r="D179" s="7">
        <v>56</v>
      </c>
      <c r="E179" s="7" t="s">
        <v>11</v>
      </c>
      <c r="F179" s="8" t="str">
        <f ca="1">IFERROR(__xludf.DUMMYFUNCTION("IF
(
C180=""фізична особа""
,
VLOOKUP(D180,IMPORTRANGE(""https://docs.google.com/spreadsheets/d/14Bd19lYaqBhU8_DElYkX7l4wRkHqqCUFNJY4AfY3kHU/edit?usp=sharing  #gid=0"",""фіз особи new!relations_name""),6,FALSE)
,
(IF
(
C180=""юридична особа""
,
VLOOKUP(D1"&amp;"80,IMPORTRANGE(""https://docs.google.com/spreadsheets/d/14Bd19lYaqBhU8_DElYkX7l4wRkHqqCUFNJY4AfY3kHU/edit?usp=sharing  #gid=0"",""фіз особи new!relations_name_uo""),7,FALSE)
,
)
))"),"СКОЧ Андрій Володимирович")</f>
        <v>СКОЧ Андрій Володимирович</v>
      </c>
      <c r="G179" s="7" t="s">
        <v>10</v>
      </c>
      <c r="H179" s="7">
        <v>19</v>
      </c>
      <c r="I179" s="8" t="str">
        <f ca="1">IFERROR(__xludf.DUMMYFUNCTION("IF
(
G180=""фізична особа""
,
VLOOKUP(H180,IMPORTRANGE(""https://docs.google.com/spreadsheets/d/14Bd19lYaqBhU8_DElYkX7l4wRkHqqCUFNJY4AfY3kHU/edit?usp=sharing  #gid=0"",""фіз особи new!relations_name""),6,FALSE)
,
(IF
(
G180=""юридична особа""
,
VLOOKUP(H1"&amp;"80,IMPORTRANGE(""https://docs.google.com/spreadsheets/d/14Bd19lYaqBhU8_DElYkX7l4wRkHqqCUFNJY4AfY3kHU/edit?usp=sharing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J179" s="7" t="s">
        <v>11</v>
      </c>
    </row>
    <row r="180" spans="1:10" ht="13.2">
      <c r="A180" s="7">
        <v>179</v>
      </c>
      <c r="B180" s="7">
        <v>1</v>
      </c>
      <c r="C180" s="7" t="s">
        <v>10</v>
      </c>
      <c r="D180" s="7">
        <v>57</v>
      </c>
      <c r="E180" s="7" t="s">
        <v>28</v>
      </c>
      <c r="F180" s="8" t="str">
        <f ca="1">IFERROR(__xludf.DUMMYFUNCTION("IF
(
C181=""фізична особа""
,
VLOOKUP(D181,IMPORTRANGE(""https://docs.google.com/spreadsheets/d/14Bd19lYaqBhU8_DElYkX7l4wRkHqqCUFNJY4AfY3kHU/edit?usp=sharing  #gid=0"",""фіз особи new!relations_name""),6,FALSE)
,
(IF
(
C181=""юридична особа""
,
VLOOKUP(D1"&amp;"81,IMPORTRANGE(""https://docs.google.com/spreadsheets/d/14Bd19lYaqBhU8_DElYkX7l4wRkHqqCUFNJY4AfY3kHU/edit?usp=sharing  #gid=0"",""фіз особи new!relations_name_uo""),7,FALSE)
,
)
))"),"ЛОЗИЦЬКИЙ Олександр Віталійович")</f>
        <v>ЛОЗИЦЬКИЙ Олександр Віталійович</v>
      </c>
      <c r="G180" s="7" t="s">
        <v>10</v>
      </c>
      <c r="H180" s="7">
        <v>23365</v>
      </c>
      <c r="I180" s="8" t="str">
        <f ca="1">IFERROR(__xludf.DUMMYFUNCTION("IF
(
G181=""фізична особа""
,
VLOOKUP(H181,IMPORTRANGE(""https://docs.google.com/spreadsheets/d/14Bd19lYaqBhU8_DElYkX7l4wRkHqqCUFNJY4AfY3kHU/edit?usp=sharing  #gid=0"",""фіз особи new!relations_name""),6,FALSE)
,
(IF
(
G181=""юридична особа""
,
VLOOKUP(H1"&amp;"81,IMPORTRANGE(""https://docs.google.com/spreadsheets/d/14Bd19lYaqBhU8_DElYkX7l4wRkHqqCUFNJY4AfY3kHU/edit?usp=sharing  #gid=0"",""фіз особи new!relations_name_uo""),7,FALSE)
,
)
))"),"ГОЛУБ Ігор Володимирович")</f>
        <v>ГОЛУБ Ігор Володимирович</v>
      </c>
      <c r="J180" s="7" t="s">
        <v>29</v>
      </c>
    </row>
    <row r="181" spans="1:10" ht="13.2">
      <c r="A181" s="7">
        <v>180</v>
      </c>
      <c r="B181" s="7">
        <v>1</v>
      </c>
      <c r="C181" s="7" t="s">
        <v>10</v>
      </c>
      <c r="D181" s="7">
        <v>57</v>
      </c>
      <c r="E181" s="7" t="s">
        <v>28</v>
      </c>
      <c r="F181" s="8" t="str">
        <f ca="1">IFERROR(__xludf.DUMMYFUNCTION("IF
(
C182=""фізична особа""
,
VLOOKUP(D182,IMPORTRANGE(""https://docs.google.com/spreadsheets/d/14Bd19lYaqBhU8_DElYkX7l4wRkHqqCUFNJY4AfY3kHU/edit?usp=sharing  #gid=0"",""фіз особи new!relations_name""),6,FALSE)
,
(IF
(
C182=""юридична особа""
,
VLOOKUP(D1"&amp;"82,IMPORTRANGE(""https://docs.google.com/spreadsheets/d/14Bd19lYaqBhU8_DElYkX7l4wRkHqqCUFNJY4AfY3kHU/edit?usp=sharing  #gid=0"",""фіз особи new!relations_name_uo""),7,FALSE)
,
)
))"),"ЛОЗИЦЬКИЙ Олександр Віталійович")</f>
        <v>ЛОЗИЦЬКИЙ Олександр Віталійович</v>
      </c>
      <c r="G181" s="7" t="s">
        <v>10</v>
      </c>
      <c r="H181" s="7">
        <v>28</v>
      </c>
      <c r="I181" s="8" t="str">
        <f ca="1">IFERROR(__xludf.DUMMYFUNCTION("IF
(
G182=""фізична особа""
,
VLOOKUP(H182,IMPORTRANGE(""https://docs.google.com/spreadsheets/d/14Bd19lYaqBhU8_DElYkX7l4wRkHqqCUFNJY4AfY3kHU/edit?usp=sharing  #gid=0"",""фіз особи new!relations_name""),6,FALSE)
,
(IF
(
G182=""юридична особа""
,
VLOOKUP(H1"&amp;"82,IMPORTRANGE(""https://docs.google.com/spreadsheets/d/14Bd19lYaqBhU8_DElYkX7l4wRkHqqCUFNJY4AfY3kHU/edit?usp=sharing  #gid=0"",""фіз особи new!relations_name_uo""),7,FALSE)
,
)
))"),"БУЛАВКО Анатолій Анатолійович")</f>
        <v>БУЛАВКО Анатолій Анатолійович</v>
      </c>
      <c r="J181" s="7" t="s">
        <v>29</v>
      </c>
    </row>
    <row r="182" spans="1:10" ht="13.2">
      <c r="A182" s="7">
        <v>181</v>
      </c>
      <c r="B182" s="7">
        <v>1</v>
      </c>
      <c r="C182" s="7" t="s">
        <v>10</v>
      </c>
      <c r="D182" s="7">
        <v>57</v>
      </c>
      <c r="E182" s="7" t="s">
        <v>35</v>
      </c>
      <c r="F182" s="8" t="str">
        <f ca="1">IFERROR(__xludf.DUMMYFUNCTION("IF
(
C183=""фізична особа""
,
VLOOKUP(D183,IMPORTRANGE(""https://docs.google.com/spreadsheets/d/14Bd19lYaqBhU8_DElYkX7l4wRkHqqCUFNJY4AfY3kHU/edit?usp=sharing  #gid=0"",""фіз особи new!relations_name""),6,FALSE)
,
(IF
(
C183=""юридична особа""
,
VLOOKUP(D1"&amp;"83,IMPORTRANGE(""https://docs.google.com/spreadsheets/d/14Bd19lYaqBhU8_DElYkX7l4wRkHqqCUFNJY4AfY3kHU/edit?usp=sharing  #gid=0"",""фіз особи new!relations_name_uo""),7,FALSE)
,
)
))"),"ЛОЗИЦЬКИЙ Олександр Віталійович")</f>
        <v>ЛОЗИЦЬКИЙ Олександр Віталійович</v>
      </c>
      <c r="G182" s="7" t="s">
        <v>10</v>
      </c>
      <c r="H182" s="7">
        <v>928</v>
      </c>
      <c r="I182" s="8" t="str">
        <f ca="1">IFERROR(__xludf.DUMMYFUNCTION("IF
(
G183=""фізична особа""
,
VLOOKUP(H183,IMPORTRANGE(""https://docs.google.com/spreadsheets/d/14Bd19lYaqBhU8_DElYkX7l4wRkHqqCUFNJY4AfY3kHU/edit?usp=sharing  #gid=0"",""фіз особи new!relations_name""),6,FALSE)
,
(IF
(
G183=""юридична особа""
,
VLOOKUP(H1"&amp;"83,IMPORTRANGE(""https://docs.google.com/spreadsheets/d/14Bd19lYaqBhU8_DElYkX7l4wRkHqqCUFNJY4AfY3kHU/edit?usp=sharing  #gid=0"",""фіз особи new!relations_name_uo""),7,FALSE)
,
)
))"),"ПИЖИК Юрій Миколайович")</f>
        <v>ПИЖИК Юрій Миколайович</v>
      </c>
      <c r="J182" s="7" t="s">
        <v>35</v>
      </c>
    </row>
    <row r="183" spans="1:10" ht="13.2">
      <c r="A183" s="7">
        <v>182</v>
      </c>
      <c r="B183" s="7">
        <v>1</v>
      </c>
      <c r="C183" s="7" t="s">
        <v>10</v>
      </c>
      <c r="D183" s="7">
        <v>58</v>
      </c>
      <c r="E183" s="7" t="s">
        <v>28</v>
      </c>
      <c r="F183" s="8" t="str">
        <f ca="1">IFERROR(__xludf.DUMMYFUNCTION("IF
(
C184=""фізична особа""
,
VLOOKUP(D184,IMPORTRANGE(""https://docs.google.com/spreadsheets/d/14Bd19lYaqBhU8_DElYkX7l4wRkHqqCUFNJY4AfY3kHU/edit?usp=sharing  #gid=0"",""фіз особи new!relations_name""),6,FALSE)
,
(IF
(
C184=""юридична особа""
,
VLOOKUP(D1"&amp;"84,IMPORTRANGE(""https://docs.google.com/spreadsheets/d/14Bd19lYaqBhU8_DElYkX7l4wRkHqqCUFNJY4AfY3kHU/edit?usp=sharing  #gid=0"",""фіз особи new!relations_name_uo""),7,FALSE)
,
)
))"),"ПУЧКОВ Андрій Сергійович")</f>
        <v>ПУЧКОВ Андрій Сергійович</v>
      </c>
      <c r="G183" s="7" t="s">
        <v>10</v>
      </c>
      <c r="H183" s="7">
        <v>49</v>
      </c>
      <c r="I183" s="8" t="str">
        <f ca="1">IFERROR(__xludf.DUMMYFUNCTION("IF
(
G184=""фізична особа""
,
VLOOKUP(H184,IMPORTRANGE(""https://docs.google.com/spreadsheets/d/14Bd19lYaqBhU8_DElYkX7l4wRkHqqCUFNJY4AfY3kHU/edit?usp=sharing  #gid=0"",""фіз особи new!relations_name""),6,FALSE)
,
(IF
(
G184=""юридична особа""
,
VLOOKUP(H1"&amp;"84,IMPORTRANGE(""https://docs.google.com/spreadsheets/d/14Bd19lYaqBhU8_DElYkX7l4wRkHqqCUFNJY4AfY3kHU/edit?usp=sharing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83" s="7" t="s">
        <v>29</v>
      </c>
    </row>
    <row r="184" spans="1:10" ht="13.2">
      <c r="A184" s="7">
        <v>183</v>
      </c>
      <c r="B184" s="7">
        <v>1</v>
      </c>
      <c r="C184" s="7" t="s">
        <v>10</v>
      </c>
      <c r="D184" s="7">
        <v>59</v>
      </c>
      <c r="E184" s="7" t="s">
        <v>18</v>
      </c>
      <c r="F184" s="8" t="str">
        <f ca="1">IFERROR(__xludf.DUMMYFUNCTION("IF
(
C185=""фізична особа""
,
VLOOKUP(D185,IMPORTRANGE(""https://docs.google.com/spreadsheets/d/14Bd19lYaqBhU8_DElYkX7l4wRkHqqCUFNJY4AfY3kHU/edit?usp=sharing  #gid=0"",""фіз особи new!relations_name""),6,FALSE)
,
(IF
(
C185=""юридична особа""
,
VLOOKUP(D1"&amp;"85,IMPORTRANGE(""https://docs.google.com/spreadsheets/d/14Bd19lYaqBhU8_DElYkX7l4wRkHqqCUFNJY4AfY3kHU/edit?usp=sharing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G184" s="7" t="s">
        <v>10</v>
      </c>
      <c r="H184" s="7">
        <v>4105</v>
      </c>
      <c r="I184" s="8" t="str">
        <f ca="1">IFERROR(__xludf.DUMMYFUNCTION("IF
(
G185=""фізична особа""
,
VLOOKUP(H185,IMPORTRANGE(""https://docs.google.com/spreadsheets/d/14Bd19lYaqBhU8_DElYkX7l4wRkHqqCUFNJY4AfY3kHU/edit?usp=sharing  #gid=0"",""фіз особи new!relations_name""),6,FALSE)
,
(IF
(
G185=""юридична особа""
,
VLOOKUP(H1"&amp;"85,IMPORTRANGE(""https://docs.google.com/spreadsheets/d/14Bd19lYaqBhU8_DElYkX7l4wRkHqqCUFNJY4AfY3kHU/edit?usp=sharing  #gid=0"",""фіз особи new!relations_name_uo""),7,FALSE)
,
)
))"),"КЛІМОВ Сергій Аркадійович")</f>
        <v>КЛІМОВ Сергій Аркадійович</v>
      </c>
      <c r="J184" s="7" t="s">
        <v>18</v>
      </c>
    </row>
    <row r="185" spans="1:10" ht="13.2">
      <c r="A185" s="7">
        <v>184</v>
      </c>
      <c r="B185" s="7">
        <v>1</v>
      </c>
      <c r="C185" s="7" t="s">
        <v>10</v>
      </c>
      <c r="D185" s="7">
        <v>59</v>
      </c>
      <c r="E185" s="7" t="s">
        <v>14</v>
      </c>
      <c r="F185" s="8" t="str">
        <f ca="1">IFERROR(__xludf.DUMMYFUNCTION("IF
(
C186=""фізична особа""
,
VLOOKUP(D186,IMPORTRANGE(""https://docs.google.com/spreadsheets/d/14Bd19lYaqBhU8_DElYkX7l4wRkHqqCUFNJY4AfY3kHU/edit?usp=sharing  #gid=0"",""фіз особи new!relations_name""),6,FALSE)
,
(IF
(
C186=""юридична особа""
,
VLOOKUP(D1"&amp;"86,IMPORTRANGE(""https://docs.google.com/spreadsheets/d/14Bd19lYaqBhU8_DElYkX7l4wRkHqqCUFNJY4AfY3kHU/edit?usp=sharing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G185" s="7" t="s">
        <v>10</v>
      </c>
      <c r="H185" s="7">
        <v>4106</v>
      </c>
      <c r="I185" s="8" t="str">
        <f ca="1">IFERROR(__xludf.DUMMYFUNCTION("IF
(
G186=""фізична особа""
,
VLOOKUP(H186,IMPORTRANGE(""https://docs.google.com/spreadsheets/d/14Bd19lYaqBhU8_DElYkX7l4wRkHqqCUFNJY4AfY3kHU/edit?usp=sharing  #gid=0"",""фіз особи new!relations_name""),6,FALSE)
,
(IF
(
G186=""юридична особа""
,
VLOOKUP(H1"&amp;"86,IMPORTRANGE(""https://docs.google.com/spreadsheets/d/14Bd19lYaqBhU8_DElYkX7l4wRkHqqCUFNJY4AfY3kHU/edit?usp=sharing  #gid=0"",""фіз особи new!relations_name_uo""),7,FALSE)
,
)
))"),"КЛІМОВА Ольга Олександрівна")</f>
        <v>КЛІМОВА Ольга Олександрівна</v>
      </c>
      <c r="J185" s="7" t="s">
        <v>15</v>
      </c>
    </row>
    <row r="186" spans="1:10" ht="13.2">
      <c r="A186" s="7">
        <v>185</v>
      </c>
      <c r="B186" s="7">
        <v>1</v>
      </c>
      <c r="C186" s="7" t="s">
        <v>10</v>
      </c>
      <c r="D186" s="7">
        <v>60</v>
      </c>
      <c r="E186" s="7" t="s">
        <v>28</v>
      </c>
      <c r="F186" s="8" t="str">
        <f ca="1">IFERROR(__xludf.DUMMYFUNCTION("IF
(
C187=""фізична особа""
,
VLOOKUP(D187,IMPORTRANGE(""https://docs.google.com/spreadsheets/d/14Bd19lYaqBhU8_DElYkX7l4wRkHqqCUFNJY4AfY3kHU/edit?usp=sharing  #gid=0"",""фіз особи new!relations_name""),6,FALSE)
,
(IF
(
C187=""юридична особа""
,
VLOOKUP(D1"&amp;"87,IMPORTRANGE(""https://docs.google.com/spreadsheets/d/14Bd19lYaqBhU8_DElYkX7l4wRkHqqCUFNJY4AfY3kHU/edit?usp=sharing  #gid=0"",""фіз особи new!relations_name_uo""),7,FALSE)
,
)
))"),"ПОЛЯКОВ Андрій Олександрович")</f>
        <v>ПОЛЯКОВ Андрій Олександрович</v>
      </c>
      <c r="G186" s="7" t="s">
        <v>10</v>
      </c>
      <c r="H186" s="7">
        <v>296</v>
      </c>
      <c r="I186" s="8" t="str">
        <f ca="1">IFERROR(__xludf.DUMMYFUNCTION("IF
(
G187=""фізична особа""
,
VLOOKUP(H187,IMPORTRANGE(""https://docs.google.com/spreadsheets/d/14Bd19lYaqBhU8_DElYkX7l4wRkHqqCUFNJY4AfY3kHU/edit?usp=sharing  #gid=0"",""фіз особи new!relations_name""),6,FALSE)
,
(IF
(
G187=""юридична особа""
,
VLOOKUP(H1"&amp;"87,IMPORTRANGE(""https://docs.google.com/spreadsheets/d/14Bd19lYaqBhU8_DElYkX7l4wRkHqqCUFNJY4AfY3kHU/edit?usp=sharing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186" s="7" t="s">
        <v>29</v>
      </c>
    </row>
    <row r="187" spans="1:10" ht="13.2">
      <c r="A187" s="7">
        <v>186</v>
      </c>
      <c r="B187" s="7">
        <v>1</v>
      </c>
      <c r="C187" s="7" t="s">
        <v>10</v>
      </c>
      <c r="D187" s="7">
        <v>61</v>
      </c>
      <c r="E187" s="7" t="s">
        <v>28</v>
      </c>
      <c r="F187" s="8" t="str">
        <f ca="1">IFERROR(__xludf.DUMMYFUNCTION("IF
(
C188=""фізична особа""
,
VLOOKUP(D188,IMPORTRANGE(""https://docs.google.com/spreadsheets/d/14Bd19lYaqBhU8_DElYkX7l4wRkHqqCUFNJY4AfY3kHU/edit?usp=sharing  #gid=0"",""фіз особи new!relations_name""),6,FALSE)
,
(IF
(
C188=""юридична особа""
,
VLOOKUP(D1"&amp;"88,IMPORTRANGE(""https://docs.google.com/spreadsheets/d/14Bd19lYaqBhU8_DElYkX7l4wRkHqqCUFNJY4AfY3kHU/edit?usp=sharing  #gid=0"",""фіз особи new!relations_name_uo""),7,FALSE)
,
)
))"),"БАЗИЛЕВСЬКИЙ Андрій Олександрович")</f>
        <v>БАЗИЛЕВСЬКИЙ Андрій Олександрович</v>
      </c>
      <c r="G187" s="7" t="s">
        <v>10</v>
      </c>
      <c r="H187" s="7">
        <v>455</v>
      </c>
      <c r="I187" s="8" t="str">
        <f ca="1">IFERROR(__xludf.DUMMYFUNCTION("IF
(
G188=""фізична особа""
,
VLOOKUP(H188,IMPORTRANGE(""https://docs.google.com/spreadsheets/d/14Bd19lYaqBhU8_DElYkX7l4wRkHqqCUFNJY4AfY3kHU/edit?usp=sharing  #gid=0"",""фіз особи new!relations_name""),6,FALSE)
,
(IF
(
G188=""юридична особа""
,
VLOOKUP(H1"&amp;"88,IMPORTRANGE(""https://docs.google.com/spreadsheets/d/14Bd19lYaqBhU8_DElYkX7l4wRkHqqCUFNJY4AfY3kHU/edit?usp=sharing  #gid=0"",""фіз особи new!relations_name_uo""),7,FALSE)
,
)
))"),"ДЕГТЯРЬОВ Михайло Володимирович")</f>
        <v>ДЕГТЯРЬОВ Михайло Володимирович</v>
      </c>
      <c r="J187" s="7" t="s">
        <v>29</v>
      </c>
    </row>
    <row r="188" spans="1:10" ht="13.2">
      <c r="A188" s="7">
        <v>187</v>
      </c>
      <c r="B188" s="7">
        <v>1</v>
      </c>
      <c r="C188" s="7" t="s">
        <v>10</v>
      </c>
      <c r="D188" s="7">
        <v>62</v>
      </c>
      <c r="E188" s="7" t="s">
        <v>44</v>
      </c>
      <c r="F188" s="8" t="str">
        <f ca="1">IFERROR(__xludf.DUMMYFUNCTION("IF
(
C189=""фізична особа""
,
VLOOKUP(D189,IMPORTRANGE(""https://docs.google.com/spreadsheets/d/14Bd19lYaqBhU8_DElYkX7l4wRkHqqCUFNJY4AfY3kHU/edit?usp=sharing  #gid=0"",""фіз особи new!relations_name""),6,FALSE)
,
(IF
(
C189=""юридична особа""
,
VLOOKUP(D1"&amp;"89,IMPORTRANGE(""https://docs.google.com/spreadsheets/d/14Bd19lYaqBhU8_DElYkX7l4wRkHqqCUFNJY4AfY3kHU/edit?usp=sharing  #gid=0"",""фіз особи new!relations_name_uo""),7,FALSE)
,
)
))"),"АНІКЄЄВ Андрій Анатолійович")</f>
        <v>АНІКЄЄВ Андрій Анатолійович</v>
      </c>
      <c r="G188" s="7" t="s">
        <v>10</v>
      </c>
      <c r="H188" s="7">
        <v>284</v>
      </c>
      <c r="I188" s="8" t="str">
        <f ca="1">IFERROR(__xludf.DUMMYFUNCTION("IF
(
G189=""фізична особа""
,
VLOOKUP(H189,IMPORTRANGE(""https://docs.google.com/spreadsheets/d/14Bd19lYaqBhU8_DElYkX7l4wRkHqqCUFNJY4AfY3kHU/edit?usp=sharing  #gid=0"",""фіз особи new!relations_name""),6,FALSE)
,
(IF
(
G189=""юридична особа""
,
VLOOKUP(H1"&amp;"89,IMPORTRANGE(""https://docs.google.com/spreadsheets/d/14Bd19lYaqBhU8_DElYkX7l4wRkHqqCUFNJY4AfY3kHU/edit?usp=sharing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J188" s="7" t="s">
        <v>44</v>
      </c>
    </row>
    <row r="189" spans="1:10" ht="13.2">
      <c r="A189" s="7">
        <v>188</v>
      </c>
      <c r="B189" s="7">
        <v>1</v>
      </c>
      <c r="C189" s="7" t="s">
        <v>10</v>
      </c>
      <c r="D189" s="7">
        <v>63</v>
      </c>
      <c r="E189" s="7" t="s">
        <v>11</v>
      </c>
      <c r="F189" s="8" t="str">
        <f ca="1">IFERROR(__xludf.DUMMYFUNCTION("IF
(
C190=""фізична особа""
,
VLOOKUP(D190,IMPORTRANGE(""https://docs.google.com/spreadsheets/d/14Bd19lYaqBhU8_DElYkX7l4wRkHqqCUFNJY4AfY3kHU/edit?usp=sharing  #gid=0"",""фіз особи new!relations_name""),6,FALSE)
,
(IF
(
C190=""юридична особа""
,
VLOOKUP(D1"&amp;"90,IMPORTRANGE(""https://docs.google.com/spreadsheets/d/14Bd19lYaqBhU8_DElYkX7l4wRkHqqCUFNJY4AfY3kHU/edit?usp=sharing  #gid=0"",""фіз особи new!relations_name_uo""),7,FALSE)
,
)
))"),"КУЗНЄЦОВ Андрій Анатолійович")</f>
        <v>КУЗНЄЦОВ Андрій Анатолійович</v>
      </c>
      <c r="G189" s="7" t="s">
        <v>10</v>
      </c>
      <c r="H189" s="7">
        <v>4555</v>
      </c>
      <c r="I189" s="8" t="str">
        <f ca="1">IFERROR(__xludf.DUMMYFUNCTION("IF
(
G190=""фізична особа""
,
VLOOKUP(H190,IMPORTRANGE(""https://docs.google.com/spreadsheets/d/14Bd19lYaqBhU8_DElYkX7l4wRkHqqCUFNJY4AfY3kHU/edit?usp=sharing  #gid=0"",""фіз особи new!relations_name""),6,FALSE)
,
(IF
(
G190=""юридична особа""
,
VLOOKUP(H1"&amp;"90,IMPORTRANGE(""https://docs.google.com/spreadsheets/d/14Bd19lYaqBhU8_DElYkX7l4wRkHqqCUFNJY4AfY3kHU/edit?usp=sharing  #gid=0"",""фіз особи new!relations_name_uo""),7,FALSE)
,
)
))"),"ГІРКІН / СТРЕЛКОВ Ігор Всеволодович")</f>
        <v>ГІРКІН / СТРЕЛКОВ Ігор Всеволодович</v>
      </c>
      <c r="J189" s="7" t="s">
        <v>11</v>
      </c>
    </row>
    <row r="190" spans="1:10" ht="13.2">
      <c r="A190" s="7">
        <v>189</v>
      </c>
      <c r="B190" s="7">
        <v>1</v>
      </c>
      <c r="C190" s="7" t="s">
        <v>10</v>
      </c>
      <c r="D190" s="7">
        <v>64</v>
      </c>
      <c r="E190" s="7" t="s">
        <v>12</v>
      </c>
      <c r="F190" s="8" t="str">
        <f ca="1">IFERROR(__xludf.DUMMYFUNCTION("IF
(
C191=""фізична особа""
,
VLOOKUP(D191,IMPORTRANGE(""https://docs.google.com/spreadsheets/d/14Bd19lYaqBhU8_DElYkX7l4wRkHqqCUFNJY4AfY3kHU/edit?usp=sharing  #gid=0"",""фіз особи new!relations_name""),6,FALSE)
,
(IF
(
C191=""юридична особа""
,
VLOOKUP(D1"&amp;"91,IMPORTRANGE(""https://docs.google.com/spreadsheets/d/14Bd19lYaqBhU8_DElYkX7l4wRkHqqCUFNJY4AfY3kHU/edit?usp=sharing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0" s="7" t="s">
        <v>10</v>
      </c>
      <c r="H190" s="7">
        <v>4335</v>
      </c>
      <c r="I190" s="8" t="str">
        <f ca="1">IFERROR(__xludf.DUMMYFUNCTION("IF
(
G191=""фізична особа""
,
VLOOKUP(H191,IMPORTRANGE(""https://docs.google.com/spreadsheets/d/14Bd19lYaqBhU8_DElYkX7l4wRkHqqCUFNJY4AfY3kHU/edit?usp=sharing  #gid=0"",""фіз особи new!relations_name""),6,FALSE)
,
(IF
(
G191=""юридична особа""
,
VLOOKUP(H1"&amp;"91,IMPORTRANGE(""https://docs.google.com/spreadsheets/d/14Bd19lYaqBhU8_DElYkX7l4wRkHqqCUFNJY4AfY3kHU/edit?usp=sharing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190" s="7" t="s">
        <v>17</v>
      </c>
    </row>
    <row r="191" spans="1:10" ht="13.2">
      <c r="A191" s="7">
        <v>190</v>
      </c>
      <c r="B191" s="7">
        <v>1</v>
      </c>
      <c r="C191" s="7" t="s">
        <v>10</v>
      </c>
      <c r="D191" s="7">
        <v>64</v>
      </c>
      <c r="E191" s="7" t="s">
        <v>12</v>
      </c>
      <c r="F191" s="8" t="str">
        <f ca="1">IFERROR(__xludf.DUMMYFUNCTION("IF
(
C192=""фізична особа""
,
VLOOKUP(D192,IMPORTRANGE(""https://docs.google.com/spreadsheets/d/14Bd19lYaqBhU8_DElYkX7l4wRkHqqCUFNJY4AfY3kHU/edit?usp=sharing  #gid=0"",""фіз особи new!relations_name""),6,FALSE)
,
(IF
(
C192=""юридична особа""
,
VLOOKUP(D1"&amp;"92,IMPORTRANGE(""https://docs.google.com/spreadsheets/d/14Bd19lYaqBhU8_DElYkX7l4wRkHqqCUFNJY4AfY3kHU/edit?usp=sharing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1" s="7" t="s">
        <v>10</v>
      </c>
      <c r="H191" s="7">
        <v>4332</v>
      </c>
      <c r="I191" s="8" t="str">
        <f ca="1">IFERROR(__xludf.DUMMYFUNCTION("IF
(
G192=""фізична особа""
,
VLOOKUP(H192,IMPORTRANGE(""https://docs.google.com/spreadsheets/d/14Bd19lYaqBhU8_DElYkX7l4wRkHqqCUFNJY4AfY3kHU/edit?usp=sharing  #gid=0"",""фіз особи new!relations_name""),6,FALSE)
,
(IF
(
G192=""юридична особа""
,
VLOOKUP(H1"&amp;"92,IMPORTRANGE(""https://docs.google.com/spreadsheets/d/14Bd19lYaqBhU8_DElYkX7l4wRkHqqCUFNJY4AfY3kHU/edit?usp=sharing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191" s="7" t="s">
        <v>17</v>
      </c>
    </row>
    <row r="192" spans="1:10" ht="13.2">
      <c r="A192" s="7">
        <v>191</v>
      </c>
      <c r="B192" s="7">
        <v>1</v>
      </c>
      <c r="C192" s="7" t="s">
        <v>10</v>
      </c>
      <c r="D192" s="7">
        <v>64</v>
      </c>
      <c r="E192" s="7" t="s">
        <v>12</v>
      </c>
      <c r="F192" s="8" t="str">
        <f ca="1">IFERROR(__xludf.DUMMYFUNCTION("IF
(
C193=""фізична особа""
,
VLOOKUP(D193,IMPORTRANGE(""https://docs.google.com/spreadsheets/d/14Bd19lYaqBhU8_DElYkX7l4wRkHqqCUFNJY4AfY3kHU/edit?usp=sharing  #gid=0"",""фіз особи new!relations_name""),6,FALSE)
,
(IF
(
C193=""юридична особа""
,
VLOOKUP(D1"&amp;"93,IMPORTRANGE(""https://docs.google.com/spreadsheets/d/14Bd19lYaqBhU8_DElYkX7l4wRkHqqCUFNJY4AfY3kHU/edit?usp=sharing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2" s="7" t="s">
        <v>10</v>
      </c>
      <c r="H192" s="7">
        <v>4331</v>
      </c>
      <c r="I192" s="8" t="str">
        <f ca="1">IFERROR(__xludf.DUMMYFUNCTION("IF
(
G193=""фізична особа""
,
VLOOKUP(H193,IMPORTRANGE(""https://docs.google.com/spreadsheets/d/14Bd19lYaqBhU8_DElYkX7l4wRkHqqCUFNJY4AfY3kHU/edit?usp=sharing  #gid=0"",""фіз особи new!relations_name""),6,FALSE)
,
(IF
(
G193=""юридична особа""
,
VLOOKUP(H1"&amp;"93,IMPORTRANGE(""https://docs.google.com/spreadsheets/d/14Bd19lYaqBhU8_DElYkX7l4wRkHqqCUFNJY4AfY3kHU/edit?usp=sharing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192" s="7" t="s">
        <v>13</v>
      </c>
    </row>
    <row r="193" spans="1:10" ht="13.2">
      <c r="A193" s="7">
        <v>192</v>
      </c>
      <c r="B193" s="7">
        <v>1</v>
      </c>
      <c r="C193" s="7" t="s">
        <v>10</v>
      </c>
      <c r="D193" s="7">
        <v>64</v>
      </c>
      <c r="E193" s="7" t="s">
        <v>12</v>
      </c>
      <c r="F193" s="8" t="str">
        <f ca="1">IFERROR(__xludf.DUMMYFUNCTION("IF
(
C194=""фізична особа""
,
VLOOKUP(D194,IMPORTRANGE(""https://docs.google.com/spreadsheets/d/14Bd19lYaqBhU8_DElYkX7l4wRkHqqCUFNJY4AfY3kHU/edit?usp=sharing  #gid=0"",""фіз особи new!relations_name""),6,FALSE)
,
(IF
(
C194=""юридична особа""
,
VLOOKUP(D1"&amp;"94,IMPORTRANGE(""https://docs.google.com/spreadsheets/d/14Bd19lYaqBhU8_DElYkX7l4wRkHqqCUFNJY4AfY3kHU/edit?usp=sharing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3" s="7" t="s">
        <v>10</v>
      </c>
      <c r="H193" s="7">
        <v>4334</v>
      </c>
      <c r="I193" s="8" t="str">
        <f ca="1">IFERROR(__xludf.DUMMYFUNCTION("IF
(
G194=""фізична особа""
,
VLOOKUP(H194,IMPORTRANGE(""https://docs.google.com/spreadsheets/d/14Bd19lYaqBhU8_DElYkX7l4wRkHqqCUFNJY4AfY3kHU/edit?usp=sharing  #gid=0"",""фіз особи new!relations_name""),6,FALSE)
,
(IF
(
G194=""юридична особа""
,
VLOOKUP(H1"&amp;"94,IMPORTRANGE(""https://docs.google.com/spreadsheets/d/14Bd19lYaqBhU8_DElYkX7l4wRkHqqCUFNJY4AfY3kHU/edit?usp=sharing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193" s="7" t="s">
        <v>13</v>
      </c>
    </row>
    <row r="194" spans="1:10" ht="13.2">
      <c r="A194" s="7">
        <v>193</v>
      </c>
      <c r="B194" s="7">
        <v>1</v>
      </c>
      <c r="C194" s="7" t="s">
        <v>10</v>
      </c>
      <c r="D194" s="7">
        <v>64</v>
      </c>
      <c r="E194" s="7" t="s">
        <v>12</v>
      </c>
      <c r="F194" s="8" t="str">
        <f ca="1">IFERROR(__xludf.DUMMYFUNCTION("IF
(
C195=""фізична особа""
,
VLOOKUP(D195,IMPORTRANGE(""https://docs.google.com/spreadsheets/d/14Bd19lYaqBhU8_DElYkX7l4wRkHqqCUFNJY4AfY3kHU/edit?usp=sharing  #gid=0"",""фіз особи new!relations_name""),6,FALSE)
,
(IF
(
C195=""юридична особа""
,
VLOOKUP(D1"&amp;"95,IMPORTRANGE(""https://docs.google.com/spreadsheets/d/14Bd19lYaqBhU8_DElYkX7l4wRkHqqCUFNJY4AfY3kHU/edit?usp=sharing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4" s="7" t="s">
        <v>10</v>
      </c>
      <c r="H194" s="7">
        <v>4333</v>
      </c>
      <c r="I194" s="8" t="str">
        <f ca="1">IFERROR(__xludf.DUMMYFUNCTION("IF
(
G195=""фізична особа""
,
VLOOKUP(H195,IMPORTRANGE(""https://docs.google.com/spreadsheets/d/14Bd19lYaqBhU8_DElYkX7l4wRkHqqCUFNJY4AfY3kHU/edit?usp=sharing  #gid=0"",""фіз особи new!relations_name""),6,FALSE)
,
(IF
(
G195=""юридична особа""
,
VLOOKUP(H1"&amp;"95,IMPORTRANGE(""https://docs.google.com/spreadsheets/d/14Bd19lYaqBhU8_DElYkX7l4wRkHqqCUFNJY4AfY3kHU/edit?usp=sharing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194" s="7" t="s">
        <v>17</v>
      </c>
    </row>
    <row r="195" spans="1:10" ht="13.2">
      <c r="A195" s="7">
        <v>194</v>
      </c>
      <c r="B195" s="7">
        <v>1</v>
      </c>
      <c r="C195" s="7" t="s">
        <v>10</v>
      </c>
      <c r="D195" s="7">
        <v>64</v>
      </c>
      <c r="E195" s="7" t="s">
        <v>14</v>
      </c>
      <c r="F195" s="8" t="str">
        <f ca="1">IFERROR(__xludf.DUMMYFUNCTION("IF
(
C196=""фізична особа""
,
VLOOKUP(D196,IMPORTRANGE(""https://docs.google.com/spreadsheets/d/14Bd19lYaqBhU8_DElYkX7l4wRkHqqCUFNJY4AfY3kHU/edit?usp=sharing  #gid=0"",""фіз особи new!relations_name""),6,FALSE)
,
(IF
(
C196=""юридична особа""
,
VLOOKUP(D1"&amp;"96,IMPORTRANGE(""https://docs.google.com/spreadsheets/d/14Bd19lYaqBhU8_DElYkX7l4wRkHqqCUFNJY4AfY3kHU/edit?usp=sharing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5" s="7" t="s">
        <v>10</v>
      </c>
      <c r="H195" s="7">
        <v>4330</v>
      </c>
      <c r="I195" s="8" t="str">
        <f ca="1">IFERROR(__xludf.DUMMYFUNCTION("IF
(
G196=""фізична особа""
,
VLOOKUP(H196,IMPORTRANGE(""https://docs.google.com/spreadsheets/d/14Bd19lYaqBhU8_DElYkX7l4wRkHqqCUFNJY4AfY3kHU/edit?usp=sharing  #gid=0"",""фіз особи new!relations_name""),6,FALSE)
,
(IF
(
G196=""юридична особа""
,
VLOOKUP(H1"&amp;"96,IMPORTRANGE(""https://docs.google.com/spreadsheets/d/14Bd19lYaqBhU8_DElYkX7l4wRkHqqCUFNJY4AfY3kHU/edit?usp=sharing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195" s="7" t="s">
        <v>15</v>
      </c>
    </row>
    <row r="196" spans="1:10" ht="13.2">
      <c r="A196" s="7">
        <v>195</v>
      </c>
      <c r="B196" s="7">
        <v>1</v>
      </c>
      <c r="C196" s="7" t="s">
        <v>10</v>
      </c>
      <c r="D196" s="7">
        <v>64</v>
      </c>
      <c r="E196" s="7" t="s">
        <v>17</v>
      </c>
      <c r="F196" s="8" t="str">
        <f ca="1">IFERROR(__xludf.DUMMYFUNCTION("IF
(
C197=""фізична особа""
,
VLOOKUP(D197,IMPORTRANGE(""https://docs.google.com/spreadsheets/d/14Bd19lYaqBhU8_DElYkX7l4wRkHqqCUFNJY4AfY3kHU/edit?usp=sharing  #gid=0"",""фіз особи new!relations_name""),6,FALSE)
,
(IF
(
C197=""юридична особа""
,
VLOOKUP(D1"&amp;"97,IMPORTRANGE(""https://docs.google.com/spreadsheets/d/14Bd19lYaqBhU8_DElYkX7l4wRkHqqCUFNJY4AfY3kHU/edit?usp=sharing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6" s="7" t="s">
        <v>10</v>
      </c>
      <c r="H196" s="7">
        <v>4845</v>
      </c>
      <c r="I196" s="8" t="str">
        <f ca="1">IFERROR(__xludf.DUMMYFUNCTION("IF
(
G197=""фізична особа""
,
VLOOKUP(H197,IMPORTRANGE(""https://docs.google.com/spreadsheets/d/14Bd19lYaqBhU8_DElYkX7l4wRkHqqCUFNJY4AfY3kHU/edit?usp=sharing  #gid=0"",""фіз особи new!relations_name""),6,FALSE)
,
(IF
(
G197=""юридична особа""
,
VLOOKUP(H1"&amp;"97,IMPORTRANGE(""https://docs.google.com/spreadsheets/d/14Bd19lYaqBhU8_DElYkX7l4wRkHqqCUFNJY4AfY3kHU/edit?usp=sharing  #gid=0"",""фіз особи new!relations_name_uo""),7,FALSE)
,
)
))"),"ТУРЧАК Анатолій Олександрович")</f>
        <v>ТУРЧАК Анатолій Олександрович</v>
      </c>
      <c r="J196" s="7" t="s">
        <v>12</v>
      </c>
    </row>
    <row r="197" spans="1:10" ht="13.2">
      <c r="A197" s="7">
        <v>196</v>
      </c>
      <c r="B197" s="7">
        <v>1</v>
      </c>
      <c r="C197" s="7" t="s">
        <v>10</v>
      </c>
      <c r="D197" s="7">
        <v>64</v>
      </c>
      <c r="E197" s="7" t="s">
        <v>18</v>
      </c>
      <c r="F197" s="8" t="str">
        <f ca="1">IFERROR(__xludf.DUMMYFUNCTION("IF
(
C198=""фізична особа""
,
VLOOKUP(D198,IMPORTRANGE(""https://docs.google.com/spreadsheets/d/14Bd19lYaqBhU8_DElYkX7l4wRkHqqCUFNJY4AfY3kHU/edit?usp=sharing  #gid=0"",""фіз особи new!relations_name""),6,FALSE)
,
(IF
(
C198=""юридична особа""
,
VLOOKUP(D1"&amp;"98,IMPORTRANGE(""https://docs.google.com/spreadsheets/d/14Bd19lYaqBhU8_DElYkX7l4wRkHqqCUFNJY4AfY3kHU/edit?usp=sharing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7" s="7" t="s">
        <v>10</v>
      </c>
      <c r="H197" s="7">
        <v>0</v>
      </c>
      <c r="I197" s="8" t="str">
        <f ca="1">IFERROR(__xludf.DUMMYFUNCTION("IF
(
G198=""фізична особа""
,
VLOOKUP(H198,IMPORTRANGE(""https://docs.google.com/spreadsheets/d/14Bd19lYaqBhU8_DElYkX7l4wRkHqqCUFNJY4AfY3kHU/edit?usp=sharing  #gid=0"",""фіз особи new!relations_name""),6,FALSE)
,
(IF
(
G198=""юридична особа""
,
VLOOKUP(H1"&amp;"98,IMPORTRANGE(""https://docs.google.com/spreadsheets/d/14Bd19lYaqBhU8_DElYkX7l4wRkHqqCUFNJY4AfY3kHU/edit?usp=sharing  #gid=0"",""фіз особи new!relations_name_uo""),7,FALSE)
,
)
))"),"#N/A")</f>
        <v>#N/A</v>
      </c>
      <c r="J197" s="7" t="s">
        <v>18</v>
      </c>
    </row>
    <row r="198" spans="1:10" ht="13.2">
      <c r="A198" s="7">
        <v>197</v>
      </c>
      <c r="B198" s="7">
        <v>1</v>
      </c>
      <c r="C198" s="7" t="s">
        <v>10</v>
      </c>
      <c r="D198" s="7">
        <v>64</v>
      </c>
      <c r="E198" s="7" t="s">
        <v>35</v>
      </c>
      <c r="F198" s="8" t="str">
        <f ca="1">IFERROR(__xludf.DUMMYFUNCTION("IF
(
C199=""фізична особа""
,
VLOOKUP(D199,IMPORTRANGE(""https://docs.google.com/spreadsheets/d/14Bd19lYaqBhU8_DElYkX7l4wRkHqqCUFNJY4AfY3kHU/edit?usp=sharing  #gid=0"",""фіз особи new!relations_name""),6,FALSE)
,
(IF
(
C199=""юридична особа""
,
VLOOKUP(D1"&amp;"99,IMPORTRANGE(""https://docs.google.com/spreadsheets/d/14Bd19lYaqBhU8_DElYkX7l4wRkHqqCUFNJY4AfY3kHU/edit?usp=sharing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8" s="7" t="s">
        <v>10</v>
      </c>
      <c r="H198" s="7">
        <v>346</v>
      </c>
      <c r="I198" s="8" t="str">
        <f ca="1">IFERROR(__xludf.DUMMYFUNCTION("IF
(
G199=""фізична особа""
,
VLOOKUP(H199,IMPORTRANGE(""https://docs.google.com/spreadsheets/d/14Bd19lYaqBhU8_DElYkX7l4wRkHqqCUFNJY4AfY3kHU/edit?usp=sharing  #gid=0"",""фіз особи new!relations_name""),6,FALSE)
,
(IF
(
G199=""юридична особа""
,
VLOOKUP(H1"&amp;"99,IMPORTRANGE(""https://docs.google.com/spreadsheets/d/14Bd19lYaqBhU8_DElYkX7l4wRkHqqCUFNJY4AfY3kHU/edit?usp=sharing  #gid=0"",""фіз особи new!relations_name_uo""),7,FALSE)
,
)
))"),"БОРИСОВ Олександр Олександрович")</f>
        <v>БОРИСОВ Олександр Олександрович</v>
      </c>
      <c r="J198" s="7" t="s">
        <v>35</v>
      </c>
    </row>
    <row r="199" spans="1:10" ht="13.2">
      <c r="A199" s="7">
        <v>198</v>
      </c>
      <c r="B199" s="7">
        <v>1</v>
      </c>
      <c r="C199" s="7" t="s">
        <v>10</v>
      </c>
      <c r="D199" s="7">
        <v>64</v>
      </c>
      <c r="E199" s="7" t="s">
        <v>35</v>
      </c>
      <c r="F199" s="8" t="str">
        <f ca="1">IFERROR(__xludf.DUMMYFUNCTION("IF
(
C200=""фізична особа""
,
VLOOKUP(D200,IMPORTRANGE(""https://docs.google.com/spreadsheets/d/14Bd19lYaqBhU8_DElYkX7l4wRkHqqCUFNJY4AfY3kHU/edit?usp=sharing  #gid=0"",""фіз особи new!relations_name""),6,FALSE)
,
(IF
(
C200=""юридична особа""
,
VLOOKUP(D2"&amp;"00,IMPORTRANGE(""https://docs.google.com/spreadsheets/d/14Bd19lYaqBhU8_DElYkX7l4wRkHqqCUFNJY4AfY3kHU/edit?usp=sharing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G199" s="7" t="s">
        <v>10</v>
      </c>
      <c r="H199" s="7">
        <v>708</v>
      </c>
      <c r="I199" s="8" t="str">
        <f ca="1">IFERROR(__xludf.DUMMYFUNCTION("IF
(
G200=""фізична особа""
,
VLOOKUP(H200,IMPORTRANGE(""https://docs.google.com/spreadsheets/d/14Bd19lYaqBhU8_DElYkX7l4wRkHqqCUFNJY4AfY3kHU/edit?usp=sharing  #gid=0"",""фіз особи new!relations_name""),6,FALSE)
,
(IF
(
G200=""юридична особа""
,
VLOOKUP(H2"&amp;"00,IMPORTRANGE(""https://docs.google.com/spreadsheets/d/14Bd19lYaqBhU8_DElYkX7l4wRkHqqCUFNJY4AfY3kHU/edit?usp=sharing  #gid=0"",""фіз особи new!relations_name_uo""),7,FALSE)
,
)
))"),"ПЕРМІНОВ Сергій Миколайович")</f>
        <v>ПЕРМІНОВ Сергій Миколайович</v>
      </c>
      <c r="J199" s="7" t="s">
        <v>35</v>
      </c>
    </row>
    <row r="200" spans="1:10" ht="13.2">
      <c r="A200" s="7">
        <v>199</v>
      </c>
      <c r="B200" s="7">
        <v>1</v>
      </c>
      <c r="C200" s="7" t="s">
        <v>10</v>
      </c>
      <c r="D200" s="7">
        <v>66</v>
      </c>
      <c r="E200" s="7" t="s">
        <v>12</v>
      </c>
      <c r="F200" s="8" t="str">
        <f ca="1">IFERROR(__xludf.DUMMYFUNCTION("IF
(
C201=""фізична особа""
,
VLOOKUP(D201,IMPORTRANGE(""https://docs.google.com/spreadsheets/d/14Bd19lYaqBhU8_DElYkX7l4wRkHqqCUFNJY4AfY3kHU/edit?usp=sharing  #gid=0"",""фіз особи new!relations_name""),6,FALSE)
,
(IF
(
C201=""юридична особа""
,
VLOOKUP(D2"&amp;"01,IMPORTRANGE(""https://docs.google.com/spreadsheets/d/14Bd19lYaqBhU8_DElYkX7l4wRkHqqCUFNJY4AfY3kHU/edit?usp=sharing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G200" s="7" t="s">
        <v>10</v>
      </c>
      <c r="H200" s="7">
        <v>4107</v>
      </c>
      <c r="I200" s="8" t="str">
        <f ca="1">IFERROR(__xludf.DUMMYFUNCTION("IF
(
G201=""фізична особа""
,
VLOOKUP(H201,IMPORTRANGE(""https://docs.google.com/spreadsheets/d/14Bd19lYaqBhU8_DElYkX7l4wRkHqqCUFNJY4AfY3kHU/edit?usp=sharing  #gid=0"",""фіз особи new!relations_name""),6,FALSE)
,
(IF
(
G201=""юридична особа""
,
VLOOKUP(H2"&amp;"01,IMPORTRANGE(""https://docs.google.com/spreadsheets/d/14Bd19lYaqBhU8_DElYkX7l4wRkHqqCUFNJY4AfY3kHU/edit?usp=sharing  #gid=0"",""фіз особи new!relations_name_uo""),7,FALSE)
,
)
))"),"ТРИФОНОВ Владислав Андрійович")</f>
        <v>ТРИФОНОВ Владислав Андрійович</v>
      </c>
      <c r="J200" s="7" t="s">
        <v>17</v>
      </c>
    </row>
    <row r="201" spans="1:10" ht="13.2">
      <c r="A201" s="7">
        <v>200</v>
      </c>
      <c r="B201" s="7">
        <v>1</v>
      </c>
      <c r="C201" s="7" t="s">
        <v>10</v>
      </c>
      <c r="D201" s="7">
        <v>66</v>
      </c>
      <c r="E201" s="7" t="s">
        <v>18</v>
      </c>
      <c r="F201" s="8" t="str">
        <f ca="1">IFERROR(__xludf.DUMMYFUNCTION("IF
(
C202=""фізична особа""
,
VLOOKUP(D202,IMPORTRANGE(""https://docs.google.com/spreadsheets/d/14Bd19lYaqBhU8_DElYkX7l4wRkHqqCUFNJY4AfY3kHU/edit?usp=sharing  #gid=0"",""фіз особи new!relations_name""),6,FALSE)
,
(IF
(
C202=""юридична особа""
,
VLOOKUP(D2"&amp;"02,IMPORTRANGE(""https://docs.google.com/spreadsheets/d/14Bd19lYaqBhU8_DElYkX7l4wRkHqqCUFNJY4AfY3kHU/edit?usp=sharing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G201" s="7" t="s">
        <v>10</v>
      </c>
      <c r="H201" s="7">
        <v>4108</v>
      </c>
      <c r="I201" s="8" t="str">
        <f ca="1">IFERROR(__xludf.DUMMYFUNCTION("IF
(
G202=""фізична особа""
,
VLOOKUP(H202,IMPORTRANGE(""https://docs.google.com/spreadsheets/d/14Bd19lYaqBhU8_DElYkX7l4wRkHqqCUFNJY4AfY3kHU/edit?usp=sharing  #gid=0"",""фіз особи new!relations_name""),6,FALSE)
,
(IF
(
G202=""юридична особа""
,
VLOOKUP(H2"&amp;"02,IMPORTRANGE(""https://docs.google.com/spreadsheets/d/14Bd19lYaqBhU8_DElYkX7l4wRkHqqCUFNJY4AfY3kHU/edit?usp=sharing  #gid=0"",""фіз особи new!relations_name_uo""),7,FALSE)
,
)
))"),"ТРИФОНОВ Сергій Федорович")</f>
        <v>ТРИФОНОВ Сергій Федорович</v>
      </c>
      <c r="J201" s="7" t="s">
        <v>18</v>
      </c>
    </row>
    <row r="202" spans="1:10" ht="13.2">
      <c r="A202" s="7">
        <v>201</v>
      </c>
      <c r="B202" s="7">
        <v>1</v>
      </c>
      <c r="C202" s="7" t="s">
        <v>10</v>
      </c>
      <c r="D202" s="7">
        <v>66</v>
      </c>
      <c r="E202" s="7" t="s">
        <v>19</v>
      </c>
      <c r="F202" s="8" t="str">
        <f ca="1">IFERROR(__xludf.DUMMYFUNCTION("IF
(
C203=""фізична особа""
,
VLOOKUP(D203,IMPORTRANGE(""https://docs.google.com/spreadsheets/d/14Bd19lYaqBhU8_DElYkX7l4wRkHqqCUFNJY4AfY3kHU/edit?usp=sharing  #gid=0"",""фіз особи new!relations_name""),6,FALSE)
,
(IF
(
C203=""юридична особа""
,
VLOOKUP(D2"&amp;"03,IMPORTRANGE(""https://docs.google.com/spreadsheets/d/14Bd19lYaqBhU8_DElYkX7l4wRkHqqCUFNJY4AfY3kHU/edit?usp=sharing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G202" s="7" t="s">
        <v>10</v>
      </c>
      <c r="H202" s="7">
        <v>4109</v>
      </c>
      <c r="I202" s="8" t="str">
        <f ca="1">IFERROR(__xludf.DUMMYFUNCTION("IF
(
G203=""фізична особа""
,
VLOOKUP(H203,IMPORTRANGE(""https://docs.google.com/spreadsheets/d/14Bd19lYaqBhU8_DElYkX7l4wRkHqqCUFNJY4AfY3kHU/edit?usp=sharing  #gid=0"",""фіз особи new!relations_name""),6,FALSE)
,
(IF
(
G203=""юридична особа""
,
VLOOKUP(H2"&amp;"03,IMPORTRANGE(""https://docs.google.com/spreadsheets/d/14Bd19lYaqBhU8_DElYkX7l4wRkHqqCUFNJY4AfY3kHU/edit?usp=sharing  #gid=0"",""фіз особи new!relations_name_uo""),7,FALSE)
,
)
))"),"ТРИФОНОВ Дмитро Сергійович")</f>
        <v>ТРИФОНОВ Дмитро Сергійович</v>
      </c>
      <c r="J202" s="7" t="s">
        <v>20</v>
      </c>
    </row>
    <row r="203" spans="1:10" ht="13.2">
      <c r="A203" s="7">
        <v>202</v>
      </c>
      <c r="B203" s="7">
        <v>1</v>
      </c>
      <c r="C203" s="7" t="s">
        <v>10</v>
      </c>
      <c r="D203" s="7">
        <v>66</v>
      </c>
      <c r="E203" s="7" t="s">
        <v>19</v>
      </c>
      <c r="F203" s="8" t="str">
        <f ca="1">IFERROR(__xludf.DUMMYFUNCTION("IF
(
C204=""фізична особа""
,
VLOOKUP(D204,IMPORTRANGE(""https://docs.google.com/spreadsheets/d/14Bd19lYaqBhU8_DElYkX7l4wRkHqqCUFNJY4AfY3kHU/edit?usp=sharing  #gid=0"",""фіз особи new!relations_name""),6,FALSE)
,
(IF
(
C204=""юридична особа""
,
VLOOKUP(D2"&amp;"04,IMPORTRANGE(""https://docs.google.com/spreadsheets/d/14Bd19lYaqBhU8_DElYkX7l4wRkHqqCUFNJY4AfY3kHU/edit?usp=sharing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G203" s="7" t="s">
        <v>10</v>
      </c>
      <c r="H203" s="7">
        <v>4110</v>
      </c>
      <c r="I203" s="8" t="str">
        <f ca="1">IFERROR(__xludf.DUMMYFUNCTION("IF
(
G204=""фізична особа""
,
VLOOKUP(H204,IMPORTRANGE(""https://docs.google.com/spreadsheets/d/14Bd19lYaqBhU8_DElYkX7l4wRkHqqCUFNJY4AfY3kHU/edit?usp=sharing  #gid=0"",""фіз особи new!relations_name""),6,FALSE)
,
(IF
(
G204=""юридична особа""
,
VLOOKUP(H2"&amp;"04,IMPORTRANGE(""https://docs.google.com/spreadsheets/d/14Bd19lYaqBhU8_DElYkX7l4wRkHqqCUFNJY4AfY3kHU/edit?usp=sharing  #gid=0"",""фіз особи new!relations_name_uo""),7,FALSE)
,
)
))"),"ТРИФОНОВ Євгеній Сергійович")</f>
        <v>ТРИФОНОВ Євгеній Сергійович</v>
      </c>
      <c r="J203" s="7" t="s">
        <v>20</v>
      </c>
    </row>
    <row r="204" spans="1:10" ht="13.2">
      <c r="A204" s="7">
        <v>203</v>
      </c>
      <c r="B204" s="7">
        <v>1</v>
      </c>
      <c r="C204" s="7" t="s">
        <v>10</v>
      </c>
      <c r="D204" s="7">
        <v>67</v>
      </c>
      <c r="E204" s="7" t="s">
        <v>18</v>
      </c>
      <c r="F204" s="8" t="str">
        <f ca="1">IFERROR(__xludf.DUMMYFUNCTION("IF
(
C205=""фізична особа""
,
VLOOKUP(D205,IMPORTRANGE(""https://docs.google.com/spreadsheets/d/14Bd19lYaqBhU8_DElYkX7l4wRkHqqCUFNJY4AfY3kHU/edit?usp=sharing  #gid=0"",""фіз особи new!relations_name""),6,FALSE)
,
(IF
(
C205=""юридична особа""
,
VLOOKUP(D2"&amp;"05,IMPORTRANGE(""https://docs.google.com/spreadsheets/d/14Bd19lYaqBhU8_DElYkX7l4wRkHqqCUFNJY4AfY3kHU/edit?usp=sharing  #gid=0"",""фіз особи new!relations_name_uo""),7,FALSE)
,
)
))"),"АЛЬШЕВСЬКИХ Андрій Геннадійович")</f>
        <v>АЛЬШЕВСЬКИХ Андрій Геннадійович</v>
      </c>
      <c r="G204" s="7" t="s">
        <v>10</v>
      </c>
      <c r="H204" s="7">
        <v>4111</v>
      </c>
      <c r="I204" s="8" t="str">
        <f ca="1">IFERROR(__xludf.DUMMYFUNCTION("IF
(
G205=""фізична особа""
,
VLOOKUP(H205,IMPORTRANGE(""https://docs.google.com/spreadsheets/d/14Bd19lYaqBhU8_DElYkX7l4wRkHqqCUFNJY4AfY3kHU/edit?usp=sharing  #gid=0"",""фіз особи new!relations_name""),6,FALSE)
,
(IF
(
G205=""юридична особа""
,
VLOOKUP(H2"&amp;"05,IMPORTRANGE(""https://docs.google.com/spreadsheets/d/14Bd19lYaqBhU8_DElYkX7l4wRkHqqCUFNJY4AfY3kHU/edit?usp=sharing  #gid=0"",""фіз особи new!relations_name_uo""),7,FALSE)
,
)
))"),"АЛЬШЕВСЬКИХ Володимир Геннадійович")</f>
        <v>АЛЬШЕВСЬКИХ Володимир Геннадійович</v>
      </c>
      <c r="J204" s="7" t="s">
        <v>18</v>
      </c>
    </row>
    <row r="205" spans="1:10" ht="13.2">
      <c r="A205" s="7">
        <v>204</v>
      </c>
      <c r="B205" s="7">
        <v>1</v>
      </c>
      <c r="C205" s="7" t="s">
        <v>10</v>
      </c>
      <c r="D205" s="7">
        <v>67</v>
      </c>
      <c r="E205" s="7" t="s">
        <v>12</v>
      </c>
      <c r="F205" s="8" t="str">
        <f ca="1">IFERROR(__xludf.DUMMYFUNCTION("IF
(
C206=""фізична особа""
,
VLOOKUP(D206,IMPORTRANGE(""https://docs.google.com/spreadsheets/d/14Bd19lYaqBhU8_DElYkX7l4wRkHqqCUFNJY4AfY3kHU/edit?usp=sharing  #gid=0"",""фіз особи new!relations_name""),6,FALSE)
,
(IF
(
C206=""юридична особа""
,
VLOOKUP(D2"&amp;"06,IMPORTRANGE(""https://docs.google.com/spreadsheets/d/14Bd19lYaqBhU8_DElYkX7l4wRkHqqCUFNJY4AfY3kHU/edit?usp=sharing  #gid=0"",""фіз особи new!relations_name_uo""),7,FALSE)
,
)
))"),"АЛЬШЕВСЬКИХ Андрій Геннадійович")</f>
        <v>АЛЬШЕВСЬКИХ Андрій Геннадійович</v>
      </c>
      <c r="G205" s="7" t="s">
        <v>10</v>
      </c>
      <c r="H205" s="7">
        <v>4112</v>
      </c>
      <c r="I205" s="8" t="str">
        <f ca="1">IFERROR(__xludf.DUMMYFUNCTION("IF
(
G206=""фізична особа""
,
VLOOKUP(H206,IMPORTRANGE(""https://docs.google.com/spreadsheets/d/14Bd19lYaqBhU8_DElYkX7l4wRkHqqCUFNJY4AfY3kHU/edit?usp=sharing  #gid=0"",""фіз особи new!relations_name""),6,FALSE)
,
(IF
(
G206=""юридична особа""
,
VLOOKUP(H2"&amp;"06,IMPORTRANGE(""https://docs.google.com/spreadsheets/d/14Bd19lYaqBhU8_DElYkX7l4wRkHqqCUFNJY4AfY3kHU/edit?usp=sharing  #gid=0"",""фіз особи new!relations_name_uo""),7,FALSE)
,
)
))"),"АЛЬШЕВСЬКИХ Олександр Андрійович")</f>
        <v>АЛЬШЕВСЬКИХ Олександр Андрійович</v>
      </c>
      <c r="J205" s="7" t="s">
        <v>17</v>
      </c>
    </row>
    <row r="206" spans="1:10" ht="13.2">
      <c r="A206" s="7">
        <v>205</v>
      </c>
      <c r="B206" s="7">
        <v>1</v>
      </c>
      <c r="C206" s="7" t="s">
        <v>10</v>
      </c>
      <c r="D206" s="7">
        <v>70</v>
      </c>
      <c r="E206" s="7" t="s">
        <v>14</v>
      </c>
      <c r="F206" s="8" t="str">
        <f ca="1">IFERROR(__xludf.DUMMYFUNCTION("IF
(
C207=""фізична особа""
,
VLOOKUP(D207,IMPORTRANGE(""https://docs.google.com/spreadsheets/d/14Bd19lYaqBhU8_DElYkX7l4wRkHqqCUFNJY4AfY3kHU/edit?usp=sharing  #gid=0"",""фіз особи new!relations_name""),6,FALSE)
,
(IF
(
C207=""юридична особа""
,
VLOOKUP(D2"&amp;"07,IMPORTRANGE(""https://docs.google.com/spreadsheets/d/14Bd19lYaqBhU8_DElYkX7l4wRkHqqCUFNJY4AfY3kHU/edit?usp=sharing  #gid=0"",""фіз особи new!relations_name_uo""),7,FALSE)
,
)
))"),"МЕЛЬНІЧЕНКО Андрій Ігорович")</f>
        <v>МЕЛЬНІЧЕНКО Андрій Ігорович</v>
      </c>
      <c r="G206" s="7" t="s">
        <v>10</v>
      </c>
      <c r="H206" s="7">
        <v>5946</v>
      </c>
      <c r="I206" s="8" t="str">
        <f ca="1">IFERROR(__xludf.DUMMYFUNCTION("IF
(
G207=""фізична особа""
,
VLOOKUP(H207,IMPORTRANGE(""https://docs.google.com/spreadsheets/d/14Bd19lYaqBhU8_DElYkX7l4wRkHqqCUFNJY4AfY3kHU/edit?usp=sharing  #gid=0"",""фіз особи new!relations_name""),6,FALSE)
,
(IF
(
G207=""юридична особа""
,
VLOOKUP(H2"&amp;"07,IMPORTRANGE(""https://docs.google.com/spreadsheets/d/14Bd19lYaqBhU8_DElYkX7l4wRkHqqCUFNJY4AfY3kHU/edit?usp=sharing  #gid=0"",""фіз особи new!relations_name_uo""),7,FALSE)
,
)
))"),"МЕЛЬНІЧЕНКО Олександра")</f>
        <v>МЕЛЬНІЧЕНКО Олександра</v>
      </c>
      <c r="J206" s="7" t="s">
        <v>15</v>
      </c>
    </row>
    <row r="207" spans="1:10" ht="13.2">
      <c r="A207" s="7">
        <v>206</v>
      </c>
      <c r="B207" s="7">
        <v>1</v>
      </c>
      <c r="C207" s="7" t="s">
        <v>10</v>
      </c>
      <c r="D207" s="7">
        <v>70</v>
      </c>
      <c r="E207" s="7" t="s">
        <v>16</v>
      </c>
      <c r="F207" s="8" t="str">
        <f ca="1">IFERROR(__xludf.DUMMYFUNCTION("IF
(
C208=""фізична особа""
,
VLOOKUP(D208,IMPORTRANGE(""https://docs.google.com/spreadsheets/d/14Bd19lYaqBhU8_DElYkX7l4wRkHqqCUFNJY4AfY3kHU/edit?usp=sharing  #gid=0"",""фіз особи new!relations_name""),6,FALSE)
,
(IF
(
C208=""юридична особа""
,
VLOOKUP(D2"&amp;"08,IMPORTRANGE(""https://docs.google.com/spreadsheets/d/14Bd19lYaqBhU8_DElYkX7l4wRkHqqCUFNJY4AfY3kHU/edit?usp=sharing  #gid=0"",""фіз особи new!relations_name_uo""),7,FALSE)
,
)
))"),"МЕЛЬНІЧЕНКО Андрій Ігорович")</f>
        <v>МЕЛЬНІЧЕНКО Андрій Ігорович</v>
      </c>
      <c r="G207" s="7" t="s">
        <v>10</v>
      </c>
      <c r="H207" s="7">
        <v>880</v>
      </c>
      <c r="I207" s="8" t="str">
        <f ca="1">IFERROR(__xludf.DUMMYFUNCTION("IF
(
G208=""фізична особа""
,
VLOOKUP(H208,IMPORTRANGE(""https://docs.google.com/spreadsheets/d/14Bd19lYaqBhU8_DElYkX7l4wRkHqqCUFNJY4AfY3kHU/edit?usp=sharing  #gid=0"",""фіз особи new!relations_name""),6,FALSE)
,
(IF
(
G208=""юридична особа""
,
VLOOKUP(H2"&amp;"08,IMPORTRANGE(""https://docs.google.com/spreadsheets/d/14Bd19lYaqBhU8_DElYkX7l4wRkHqqCUFNJY4AfY3kHU/edit?usp=sharing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07" s="7" t="s">
        <v>16</v>
      </c>
    </row>
    <row r="208" spans="1:10" ht="13.2">
      <c r="A208" s="7">
        <v>207</v>
      </c>
      <c r="B208" s="7">
        <v>1</v>
      </c>
      <c r="C208" s="7" t="s">
        <v>10</v>
      </c>
      <c r="D208" s="7">
        <v>73</v>
      </c>
      <c r="E208" s="7" t="s">
        <v>28</v>
      </c>
      <c r="F208" s="8" t="str">
        <f ca="1">IFERROR(__xludf.DUMMYFUNCTION("IF
(
C209=""фізична особа""
,
VLOOKUP(D209,IMPORTRANGE(""https://docs.google.com/spreadsheets/d/14Bd19lYaqBhU8_DElYkX7l4wRkHqqCUFNJY4AfY3kHU/edit?usp=sharing  #gid=0"",""фіз особи new!relations_name""),6,FALSE)
,
(IF
(
C209=""юридична особа""
,
VLOOKUP(D2"&amp;"09,IMPORTRANGE(""https://docs.google.com/spreadsheets/d/14Bd19lYaqBhU8_DElYkX7l4wRkHqqCUFNJY4AfY3kHU/edit?usp=sharing  #gid=0"",""фіз особи new!relations_name_uo""),7,FALSE)
,
)
))"),"СИЧОВИЙ Андрій Іванович")</f>
        <v>СИЧОВИЙ Андрій Іванович</v>
      </c>
      <c r="G208" s="7" t="s">
        <v>10</v>
      </c>
      <c r="H208" s="7">
        <v>168</v>
      </c>
      <c r="I208" s="8" t="str">
        <f ca="1">IFERROR(__xludf.DUMMYFUNCTION("IF
(
G209=""фізична особа""
,
VLOOKUP(H209,IMPORTRANGE(""https://docs.google.com/spreadsheets/d/14Bd19lYaqBhU8_DElYkX7l4wRkHqqCUFNJY4AfY3kHU/edit?usp=sharing  #gid=0"",""фіз особи new!relations_name""),6,FALSE)
,
(IF
(
G209=""юридична особа""
,
VLOOKUP(H2"&amp;"09,IMPORTRANGE(""https://docs.google.com/spreadsheets/d/14Bd19lYaqBhU8_DElYkX7l4wRkHqqCUFNJY4AfY3kHU/edit?usp=sharing  #gid=0"",""фіз особи new!relations_name_uo""),7,FALSE)
,
)
))"),"ДВОРНІКОВ Олександр Володимирович")</f>
        <v>ДВОРНІКОВ Олександр Володимирович</v>
      </c>
      <c r="J208" s="7" t="s">
        <v>29</v>
      </c>
    </row>
    <row r="209" spans="1:10" ht="13.2">
      <c r="A209" s="7">
        <v>208</v>
      </c>
      <c r="B209" s="7">
        <v>1</v>
      </c>
      <c r="C209" s="7" t="s">
        <v>10</v>
      </c>
      <c r="D209" s="7">
        <v>73</v>
      </c>
      <c r="E209" s="7" t="s">
        <v>28</v>
      </c>
      <c r="F209" s="8" t="str">
        <f ca="1">IFERROR(__xludf.DUMMYFUNCTION("IF
(
C210=""фізична особа""
,
VLOOKUP(D210,IMPORTRANGE(""https://docs.google.com/spreadsheets/d/14Bd19lYaqBhU8_DElYkX7l4wRkHqqCUFNJY4AfY3kHU/edit?usp=sharing  #gid=0"",""фіз особи new!relations_name""),6,FALSE)
,
(IF
(
C210=""юридична особа""
,
VLOOKUP(D2"&amp;"10,IMPORTRANGE(""https://docs.google.com/spreadsheets/d/14Bd19lYaqBhU8_DElYkX7l4wRkHqqCUFNJY4AfY3kHU/edit?usp=sharing  #gid=0"",""фіз особи new!relations_name_uo""),7,FALSE)
,
)
))"),"СИЧОВИЙ Андрій Іванович")</f>
        <v>СИЧОВИЙ Андрій Іванович</v>
      </c>
      <c r="G209" s="7" t="s">
        <v>10</v>
      </c>
      <c r="H209" s="7">
        <v>552</v>
      </c>
      <c r="I209" s="8" t="str">
        <f ca="1">IFERROR(__xludf.DUMMYFUNCTION("IF
(
G210=""фізична особа""
,
VLOOKUP(H210,IMPORTRANGE(""https://docs.google.com/spreadsheets/d/14Bd19lYaqBhU8_DElYkX7l4wRkHqqCUFNJY4AfY3kHU/edit?usp=sharing  #gid=0"",""фіз особи new!relations_name""),6,FALSE)
,
(IF
(
G210=""юридична особа""
,
VLOOKUP(H2"&amp;"10,IMPORTRANGE(""https://docs.google.com/spreadsheets/d/14Bd19lYaqBhU8_DElYkX7l4wRkHqqCUFNJY4AfY3kHU/edit?usp=sharing  #gid=0"",""фіз особи new!relations_name_uo""),7,FALSE)
,
)
))"),"САЛЮКОВ Олег Леонідович")</f>
        <v>САЛЮКОВ Олег Леонідович</v>
      </c>
      <c r="J209" s="7" t="s">
        <v>29</v>
      </c>
    </row>
    <row r="210" spans="1:10" ht="13.2">
      <c r="A210" s="7">
        <v>209</v>
      </c>
      <c r="B210" s="7">
        <v>1</v>
      </c>
      <c r="C210" s="7" t="s">
        <v>10</v>
      </c>
      <c r="D210" s="7">
        <v>73</v>
      </c>
      <c r="E210" s="7" t="s">
        <v>28</v>
      </c>
      <c r="F210" s="8" t="str">
        <f ca="1">IFERROR(__xludf.DUMMYFUNCTION("IF
(
C211=""фізична особа""
,
VLOOKUP(D211,IMPORTRANGE(""https://docs.google.com/spreadsheets/d/14Bd19lYaqBhU8_DElYkX7l4wRkHqqCUFNJY4AfY3kHU/edit?usp=sharing  #gid=0"",""фіз особи new!relations_name""),6,FALSE)
,
(IF
(
C211=""юридична особа""
,
VLOOKUP(D2"&amp;"11,IMPORTRANGE(""https://docs.google.com/spreadsheets/d/14Bd19lYaqBhU8_DElYkX7l4wRkHqqCUFNJY4AfY3kHU/edit?usp=sharing  #gid=0"",""фіз особи new!relations_name_uo""),7,FALSE)
,
)
))"),"СИЧОВИЙ Андрій Іванович")</f>
        <v>СИЧОВИЙ Андрій Іванович</v>
      </c>
      <c r="G210" s="7" t="s">
        <v>10</v>
      </c>
      <c r="H210" s="7">
        <v>0</v>
      </c>
      <c r="I210" s="8" t="str">
        <f ca="1">IFERROR(__xludf.DUMMYFUNCTION("IF
(
G211=""фізична особа""
,
VLOOKUP(H211,IMPORTRANGE(""https://docs.google.com/spreadsheets/d/14Bd19lYaqBhU8_DElYkX7l4wRkHqqCUFNJY4AfY3kHU/edit?usp=sharing  #gid=0"",""фіз особи new!relations_name""),6,FALSE)
,
(IF
(
G211=""юридична особа""
,
VLOOKUP(H2"&amp;"11,IMPORTRANGE(""https://docs.google.com/spreadsheets/d/14Bd19lYaqBhU8_DElYkX7l4wRkHqqCUFNJY4AfY3kHU/edit?usp=sharing  #gid=0"",""фіз особи new!relations_name_uo""),7,FALSE)
,
)
))"),"#N/A")</f>
        <v>#N/A</v>
      </c>
      <c r="J210" s="7" t="s">
        <v>29</v>
      </c>
    </row>
    <row r="211" spans="1:10" ht="13.2">
      <c r="A211" s="7">
        <v>210</v>
      </c>
      <c r="B211" s="7">
        <v>1</v>
      </c>
      <c r="C211" s="7" t="s">
        <v>10</v>
      </c>
      <c r="D211" s="7">
        <v>73</v>
      </c>
      <c r="E211" s="7" t="s">
        <v>28</v>
      </c>
      <c r="F211" s="8" t="str">
        <f ca="1">IFERROR(__xludf.DUMMYFUNCTION("IF
(
C212=""фізична особа""
,
VLOOKUP(D212,IMPORTRANGE(""https://docs.google.com/spreadsheets/d/14Bd19lYaqBhU8_DElYkX7l4wRkHqqCUFNJY4AfY3kHU/edit?usp=sharing  #gid=0"",""фіз особи new!relations_name""),6,FALSE)
,
(IF
(
C212=""юридична особа""
,
VLOOKUP(D2"&amp;"12,IMPORTRANGE(""https://docs.google.com/spreadsheets/d/14Bd19lYaqBhU8_DElYkX7l4wRkHqqCUFNJY4AfY3kHU/edit?usp=sharing  #gid=0"",""фіз особи new!relations_name_uo""),7,FALSE)
,
)
))"),"СИЧОВИЙ Андрій Іванович")</f>
        <v>СИЧОВИЙ Андрій Іванович</v>
      </c>
      <c r="G211" s="7" t="s">
        <v>10</v>
      </c>
      <c r="H211" s="7">
        <v>0</v>
      </c>
      <c r="I211" s="8" t="str">
        <f ca="1">IFERROR(__xludf.DUMMYFUNCTION("IF
(
G212=""фізична особа""
,
VLOOKUP(H212,IMPORTRANGE(""https://docs.google.com/spreadsheets/d/14Bd19lYaqBhU8_DElYkX7l4wRkHqqCUFNJY4AfY3kHU/edit?usp=sharing  #gid=0"",""фіз особи new!relations_name""),6,FALSE)
,
(IF
(
G212=""юридична особа""
,
VLOOKUP(H2"&amp;"12,IMPORTRANGE(""https://docs.google.com/spreadsheets/d/14Bd19lYaqBhU8_DElYkX7l4wRkHqqCUFNJY4AfY3kHU/edit?usp=sharing  #gid=0"",""фіз особи new!relations_name_uo""),7,FALSE)
,
)
))"),"#N/A")</f>
        <v>#N/A</v>
      </c>
      <c r="J211" s="7" t="s">
        <v>29</v>
      </c>
    </row>
    <row r="212" spans="1:10" ht="13.2">
      <c r="A212" s="7">
        <v>211</v>
      </c>
      <c r="B212" s="7">
        <v>1</v>
      </c>
      <c r="C212" s="7" t="s">
        <v>10</v>
      </c>
      <c r="D212" s="7">
        <v>74</v>
      </c>
      <c r="E212" s="7" t="s">
        <v>12</v>
      </c>
      <c r="F212" s="8" t="str">
        <f ca="1">IFERROR(__xludf.DUMMYFUNCTION("IF
(
C213=""фізична особа""
,
VLOOKUP(D213,IMPORTRANGE(""https://docs.google.com/spreadsheets/d/14Bd19lYaqBhU8_DElYkX7l4wRkHqqCUFNJY4AfY3kHU/edit?usp=sharing  #gid=0"",""фіз особи new!relations_name""),6,FALSE)
,
(IF
(
C213=""юридична особа""
,
VLOOKUP(D2"&amp;"13,IMPORTRANGE(""https://docs.google.com/spreadsheets/d/14Bd19lYaqBhU8_DElYkX7l4wRkHqqCUFNJY4AfY3kHU/edit?usp=sharing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G212" s="7" t="s">
        <v>10</v>
      </c>
      <c r="H212" s="7">
        <v>4113</v>
      </c>
      <c r="I212" s="8" t="str">
        <f ca="1">IFERROR(__xludf.DUMMYFUNCTION("IF
(
G213=""фізична особа""
,
VLOOKUP(H213,IMPORTRANGE(""https://docs.google.com/spreadsheets/d/14Bd19lYaqBhU8_DElYkX7l4wRkHqqCUFNJY4AfY3kHU/edit?usp=sharing  #gid=0"",""фіз особи new!relations_name""),6,FALSE)
,
(IF
(
G213=""юридична особа""
,
VLOOKUP(H2"&amp;"13,IMPORTRANGE(""https://docs.google.com/spreadsheets/d/14Bd19lYaqBhU8_DElYkX7l4wRkHqqCUFNJY4AfY3kHU/edit?usp=sharing  #gid=0"",""фіз особи new!relations_name_uo""),7,FALSE)
,
)
))"),"ІСАЄВ Микита Андрійович")</f>
        <v>ІСАЄВ Микита Андрійович</v>
      </c>
      <c r="J212" s="7" t="s">
        <v>17</v>
      </c>
    </row>
    <row r="213" spans="1:10" ht="13.2">
      <c r="A213" s="7">
        <v>212</v>
      </c>
      <c r="B213" s="7">
        <v>1</v>
      </c>
      <c r="C213" s="7" t="s">
        <v>10</v>
      </c>
      <c r="D213" s="7">
        <v>74</v>
      </c>
      <c r="E213" s="7" t="s">
        <v>12</v>
      </c>
      <c r="F213" s="8" t="str">
        <f ca="1">IFERROR(__xludf.DUMMYFUNCTION("IF
(
C214=""фізична особа""
,
VLOOKUP(D214,IMPORTRANGE(""https://docs.google.com/spreadsheets/d/14Bd19lYaqBhU8_DElYkX7l4wRkHqqCUFNJY4AfY3kHU/edit?usp=sharing  #gid=0"",""фіз особи new!relations_name""),6,FALSE)
,
(IF
(
C214=""юридична особа""
,
VLOOKUP(D2"&amp;"14,IMPORTRANGE(""https://docs.google.com/spreadsheets/d/14Bd19lYaqBhU8_DElYkX7l4wRkHqqCUFNJY4AfY3kHU/edit?usp=sharing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G213" s="7" t="s">
        <v>10</v>
      </c>
      <c r="H213" s="7">
        <v>4866</v>
      </c>
      <c r="I213" s="8" t="str">
        <f ca="1">IFERROR(__xludf.DUMMYFUNCTION("IF
(
G214=""фізична особа""
,
VLOOKUP(H214,IMPORTRANGE(""https://docs.google.com/spreadsheets/d/14Bd19lYaqBhU8_DElYkX7l4wRkHqqCUFNJY4AfY3kHU/edit?usp=sharing  #gid=0"",""фіз особи new!relations_name""),6,FALSE)
,
(IF
(
G214=""юридична особа""
,
VLOOKUP(H2"&amp;"14,IMPORTRANGE(""https://docs.google.com/spreadsheets/d/14Bd19lYaqBhU8_DElYkX7l4wRkHqqCUFNJY4AfY3kHU/edit?usp=sharing  #gid=0"",""фіз особи new!relations_name_uo""),7,FALSE)
,
)
))"),"ІСАЄВА Анастасія Андрійвна")</f>
        <v>ІСАЄВА Анастасія Андрійвна</v>
      </c>
      <c r="J213" s="7" t="s">
        <v>13</v>
      </c>
    </row>
    <row r="214" spans="1:10" ht="13.2">
      <c r="A214" s="7">
        <v>213</v>
      </c>
      <c r="B214" s="7">
        <v>1</v>
      </c>
      <c r="C214" s="7" t="s">
        <v>10</v>
      </c>
      <c r="D214" s="7">
        <v>74</v>
      </c>
      <c r="E214" s="7" t="s">
        <v>14</v>
      </c>
      <c r="F214" s="8" t="str">
        <f ca="1">IFERROR(__xludf.DUMMYFUNCTION("IF
(
C215=""фізична особа""
,
VLOOKUP(D215,IMPORTRANGE(""https://docs.google.com/spreadsheets/d/14Bd19lYaqBhU8_DElYkX7l4wRkHqqCUFNJY4AfY3kHU/edit?usp=sharing  #gid=0"",""фіз особи new!relations_name""),6,FALSE)
,
(IF
(
C215=""юридична особа""
,
VLOOKUP(D2"&amp;"15,IMPORTRANGE(""https://docs.google.com/spreadsheets/d/14Bd19lYaqBhU8_DElYkX7l4wRkHqqCUFNJY4AfY3kHU/edit?usp=sharing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G214" s="7" t="s">
        <v>10</v>
      </c>
      <c r="H214" s="7">
        <v>0</v>
      </c>
      <c r="I214" s="8" t="str">
        <f ca="1">IFERROR(__xludf.DUMMYFUNCTION("IF
(
G215=""фізична особа""
,
VLOOKUP(H215,IMPORTRANGE(""https://docs.google.com/spreadsheets/d/14Bd19lYaqBhU8_DElYkX7l4wRkHqqCUFNJY4AfY3kHU/edit?usp=sharing  #gid=0"",""фіз особи new!relations_name""),6,FALSE)
,
(IF
(
G215=""юридична особа""
,
VLOOKUP(H2"&amp;"15,IMPORTRANGE(""https://docs.google.com/spreadsheets/d/14Bd19lYaqBhU8_DElYkX7l4wRkHqqCUFNJY4AfY3kHU/edit?usp=sharing  #gid=0"",""фіз особи new!relations_name_uo""),7,FALSE)
,
)
))"),"#N/A")</f>
        <v>#N/A</v>
      </c>
      <c r="J214" s="7" t="s">
        <v>15</v>
      </c>
    </row>
    <row r="215" spans="1:10" ht="13.2">
      <c r="A215" s="7">
        <v>214</v>
      </c>
      <c r="B215" s="7">
        <v>1</v>
      </c>
      <c r="C215" s="7" t="s">
        <v>10</v>
      </c>
      <c r="D215" s="7">
        <v>74</v>
      </c>
      <c r="E215" s="7" t="s">
        <v>35</v>
      </c>
      <c r="F215" s="8" t="str">
        <f ca="1">IFERROR(__xludf.DUMMYFUNCTION("IF
(
C216=""фізична особа""
,
VLOOKUP(D216,IMPORTRANGE(""https://docs.google.com/spreadsheets/d/14Bd19lYaqBhU8_DElYkX7l4wRkHqqCUFNJY4AfY3kHU/edit?usp=sharing  #gid=0"",""фіз особи new!relations_name""),6,FALSE)
,
(IF
(
C216=""юридична особа""
,
VLOOKUP(D2"&amp;"16,IMPORTRANGE(""https://docs.google.com/spreadsheets/d/14Bd19lYaqBhU8_DElYkX7l4wRkHqqCUFNJY4AfY3kHU/edit?usp=sharing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G215" s="7" t="s">
        <v>10</v>
      </c>
      <c r="H215" s="7">
        <v>0</v>
      </c>
      <c r="I215" s="8" t="str">
        <f ca="1">IFERROR(__xludf.DUMMYFUNCTION("IF
(
G216=""фізична особа""
,
VLOOKUP(H216,IMPORTRANGE(""https://docs.google.com/spreadsheets/d/14Bd19lYaqBhU8_DElYkX7l4wRkHqqCUFNJY4AfY3kHU/edit?usp=sharing  #gid=0"",""фіз особи new!relations_name""),6,FALSE)
,
(IF
(
G216=""юридична особа""
,
VLOOKUP(H2"&amp;"16,IMPORTRANGE(""https://docs.google.com/spreadsheets/d/14Bd19lYaqBhU8_DElYkX7l4wRkHqqCUFNJY4AfY3kHU/edit?usp=sharing  #gid=0"",""фіз особи new!relations_name_uo""),7,FALSE)
,
)
))"),"#N/A")</f>
        <v>#N/A</v>
      </c>
      <c r="J215" s="7" t="s">
        <v>35</v>
      </c>
    </row>
    <row r="216" spans="1:10" ht="13.2">
      <c r="A216" s="7">
        <v>215</v>
      </c>
      <c r="B216" s="7">
        <v>1</v>
      </c>
      <c r="C216" s="7" t="s">
        <v>10</v>
      </c>
      <c r="D216" s="7">
        <v>74</v>
      </c>
      <c r="E216" s="7" t="s">
        <v>11</v>
      </c>
      <c r="F216" s="8" t="str">
        <f ca="1">IFERROR(__xludf.DUMMYFUNCTION("IF
(
C217=""фізична особа""
,
VLOOKUP(D217,IMPORTRANGE(""https://docs.google.com/spreadsheets/d/14Bd19lYaqBhU8_DElYkX7l4wRkHqqCUFNJY4AfY3kHU/edit?usp=sharing  #gid=0"",""фіз особи new!relations_name""),6,FALSE)
,
(IF
(
C217=""юридична особа""
,
VLOOKUP(D2"&amp;"17,IMPORTRANGE(""https://docs.google.com/spreadsheets/d/14Bd19lYaqBhU8_DElYkX7l4wRkHqqCUFNJY4AfY3kHU/edit?usp=sharing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G216" s="7" t="s">
        <v>10</v>
      </c>
      <c r="H216" s="7">
        <v>0</v>
      </c>
      <c r="I216" s="8" t="str">
        <f ca="1">IFERROR(__xludf.DUMMYFUNCTION("IF
(
G217=""фізична особа""
,
VLOOKUP(H217,IMPORTRANGE(""https://docs.google.com/spreadsheets/d/14Bd19lYaqBhU8_DElYkX7l4wRkHqqCUFNJY4AfY3kHU/edit?usp=sharing  #gid=0"",""фіз особи new!relations_name""),6,FALSE)
,
(IF
(
G217=""юридична особа""
,
VLOOKUP(H2"&amp;"17,IMPORTRANGE(""https://docs.google.com/spreadsheets/d/14Bd19lYaqBhU8_DElYkX7l4wRkHqqCUFNJY4AfY3kHU/edit?usp=sharing  #gid=0"",""фіз особи new!relations_name_uo""),7,FALSE)
,
)
))"),"#N/A")</f>
        <v>#N/A</v>
      </c>
      <c r="J216" s="7" t="s">
        <v>11</v>
      </c>
    </row>
    <row r="217" spans="1:10" ht="13.2">
      <c r="A217" s="7">
        <v>216</v>
      </c>
      <c r="B217" s="7">
        <v>1</v>
      </c>
      <c r="C217" s="7" t="s">
        <v>10</v>
      </c>
      <c r="D217" s="7">
        <v>76</v>
      </c>
      <c r="E217" s="7" t="s">
        <v>12</v>
      </c>
      <c r="F217" s="8" t="str">
        <f ca="1">IFERROR(__xludf.DUMMYFUNCTION("IF
(
C218=""фізична особа""
,
VLOOKUP(D218,IMPORTRANGE(""https://docs.google.com/spreadsheets/d/14Bd19lYaqBhU8_DElYkX7l4wRkHqqCUFNJY4AfY3kHU/edit?usp=sharing  #gid=0"",""фіз особи new!relations_name""),6,FALSE)
,
(IF
(
C218=""юридична особа""
,
VLOOKUP(D2"&amp;"18,IMPORTRANGE(""https://docs.google.com/spreadsheets/d/14Bd19lYaqBhU8_DElYkX7l4wRkHqqCUFNJY4AfY3kHU/edit?usp=sharing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G217" s="7" t="s">
        <v>10</v>
      </c>
      <c r="H217" s="7">
        <v>4114</v>
      </c>
      <c r="I217" s="8" t="str">
        <f ca="1">IFERROR(__xludf.DUMMYFUNCTION("IF
(
G218=""фізична особа""
,
VLOOKUP(H218,IMPORTRANGE(""https://docs.google.com/spreadsheets/d/14Bd19lYaqBhU8_DElYkX7l4wRkHqqCUFNJY4AfY3kHU/edit?usp=sharing  #gid=0"",""фіз особи new!relations_name""),6,FALSE)
,
(IF
(
G218=""юридична особа""
,
VLOOKUP(H2"&amp;"18,IMPORTRANGE(""https://docs.google.com/spreadsheets/d/14Bd19lYaqBhU8_DElYkX7l4wRkHqqCUFNJY4AfY3kHU/edit?usp=sharing  #gid=0"",""фіз особи new!relations_name_uo""),7,FALSE)
,
)
))"),"МАКАРОВА Юлія Андріївна")</f>
        <v>МАКАРОВА Юлія Андріївна</v>
      </c>
      <c r="J217" s="7" t="s">
        <v>13</v>
      </c>
    </row>
    <row r="218" spans="1:10" ht="13.2">
      <c r="A218" s="7">
        <v>217</v>
      </c>
      <c r="B218" s="7">
        <v>1</v>
      </c>
      <c r="C218" s="7" t="s">
        <v>10</v>
      </c>
      <c r="D218" s="7">
        <v>76</v>
      </c>
      <c r="E218" s="7" t="s">
        <v>12</v>
      </c>
      <c r="F218" s="8" t="str">
        <f ca="1">IFERROR(__xludf.DUMMYFUNCTION("IF
(
C219=""фізична особа""
,
VLOOKUP(D219,IMPORTRANGE(""https://docs.google.com/spreadsheets/d/14Bd19lYaqBhU8_DElYkX7l4wRkHqqCUFNJY4AfY3kHU/edit?usp=sharing  #gid=0"",""фіз особи new!relations_name""),6,FALSE)
,
(IF
(
C219=""юридична особа""
,
VLOOKUP(D2"&amp;"19,IMPORTRANGE(""https://docs.google.com/spreadsheets/d/14Bd19lYaqBhU8_DElYkX7l4wRkHqqCUFNJY4AfY3kHU/edit?usp=sharing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G218" s="7" t="s">
        <v>10</v>
      </c>
      <c r="H218" s="7">
        <v>4115</v>
      </c>
      <c r="I218" s="8" t="str">
        <f ca="1">IFERROR(__xludf.DUMMYFUNCTION("IF
(
G219=""фізична особа""
,
VLOOKUP(H219,IMPORTRANGE(""https://docs.google.com/spreadsheets/d/14Bd19lYaqBhU8_DElYkX7l4wRkHqqCUFNJY4AfY3kHU/edit?usp=sharing  #gid=0"",""фіз особи new!relations_name""),6,FALSE)
,
(IF
(
G219=""юридична особа""
,
VLOOKUP(H2"&amp;"19,IMPORTRANGE(""https://docs.google.com/spreadsheets/d/14Bd19lYaqBhU8_DElYkX7l4wRkHqqCUFNJY4AfY3kHU/edit?usp=sharing  #gid=0"",""фіз особи new!relations_name_uo""),7,FALSE)
,
)
))"),"МАКАРОВА Олександра Андріївна")</f>
        <v>МАКАРОВА Олександра Андріївна</v>
      </c>
      <c r="J218" s="7" t="s">
        <v>13</v>
      </c>
    </row>
    <row r="219" spans="1:10" ht="13.2">
      <c r="A219" s="7">
        <v>218</v>
      </c>
      <c r="B219" s="7">
        <v>1</v>
      </c>
      <c r="C219" s="7" t="s">
        <v>10</v>
      </c>
      <c r="D219" s="7">
        <v>76</v>
      </c>
      <c r="E219" s="7" t="s">
        <v>42</v>
      </c>
      <c r="F219" s="8" t="str">
        <f ca="1">IFERROR(__xludf.DUMMYFUNCTION("IF
(
C220=""фізична особа""
,
VLOOKUP(D220,IMPORTRANGE(""https://docs.google.com/spreadsheets/d/14Bd19lYaqBhU8_DElYkX7l4wRkHqqCUFNJY4AfY3kHU/edit?usp=sharing  #gid=0"",""фіз особи new!relations_name""),6,FALSE)
,
(IF
(
C220=""юридична особа""
,
VLOOKUP(D2"&amp;"20,IMPORTRANGE(""https://docs.google.com/spreadsheets/d/14Bd19lYaqBhU8_DElYkX7l4wRkHqqCUFNJY4AfY3kHU/edit?usp=sharing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G219" s="7" t="s">
        <v>10</v>
      </c>
      <c r="H219" s="7">
        <v>4116</v>
      </c>
      <c r="I219" s="8" t="str">
        <f ca="1">IFERROR(__xludf.DUMMYFUNCTION("IF
(
G220=""фізична особа""
,
VLOOKUP(H220,IMPORTRANGE(""https://docs.google.com/spreadsheets/d/14Bd19lYaqBhU8_DElYkX7l4wRkHqqCUFNJY4AfY3kHU/edit?usp=sharing  #gid=0"",""фіз особи new!relations_name""),6,FALSE)
,
(IF
(
G220=""юридична особа""
,
VLOOKUP(H2"&amp;"20,IMPORTRANGE(""https://docs.google.com/spreadsheets/d/14Bd19lYaqBhU8_DElYkX7l4wRkHqqCUFNJY4AfY3kHU/edit?usp=sharing  #gid=0"",""фіз особи new!relations_name_uo""),7,FALSE)
,
)
))"),"МАКАРОВА Олена Іванівна")</f>
        <v>МАКАРОВА Олена Іванівна</v>
      </c>
      <c r="J219" s="7" t="s">
        <v>43</v>
      </c>
    </row>
    <row r="220" spans="1:10" ht="13.2">
      <c r="A220" s="7">
        <v>219</v>
      </c>
      <c r="B220" s="7">
        <v>1</v>
      </c>
      <c r="C220" s="7" t="s">
        <v>10</v>
      </c>
      <c r="D220" s="7">
        <v>77</v>
      </c>
      <c r="E220" s="7" t="s">
        <v>12</v>
      </c>
      <c r="F220" s="8" t="str">
        <f ca="1">IFERROR(__xludf.DUMMYFUNCTION("IF
(
C221=""фізична особа""
,
VLOOKUP(D221,IMPORTRANGE(""https://docs.google.com/spreadsheets/d/14Bd19lYaqBhU8_DElYkX7l4wRkHqqCUFNJY4AfY3kHU/edit?usp=sharing  #gid=0"",""фіз особи new!relations_name""),6,FALSE)
,
(IF
(
C221=""юридична особа""
,
VLOOKUP(D2"&amp;"21,IMPORTRANGE(""https://docs.google.com/spreadsheets/d/14Bd19lYaqBhU8_DElYkX7l4wRkHqqCUFNJY4AfY3kHU/edit?usp=sharing  #gid=0"",""фіз особи new!relations_name_uo""),7,FALSE)
,
)
))"),"ДОРОШЕНКО Андрій Миколайович")</f>
        <v>ДОРОШЕНКО Андрій Миколайович</v>
      </c>
      <c r="G220" s="7" t="s">
        <v>10</v>
      </c>
      <c r="H220" s="7">
        <v>0</v>
      </c>
      <c r="I220" s="8" t="str">
        <f ca="1">IFERROR(__xludf.DUMMYFUNCTION("IF
(
G221=""фізична особа""
,
VLOOKUP(H221,IMPORTRANGE(""https://docs.google.com/spreadsheets/d/14Bd19lYaqBhU8_DElYkX7l4wRkHqqCUFNJY4AfY3kHU/edit?usp=sharing  #gid=0"",""фіз особи new!relations_name""),6,FALSE)
,
(IF
(
G221=""юридична особа""
,
VLOOKUP(H2"&amp;"21,IMPORTRANGE(""https://docs.google.com/spreadsheets/d/14Bd19lYaqBhU8_DElYkX7l4wRkHqqCUFNJY4AfY3kHU/edit?usp=sharing  #gid=0"",""фіз особи new!relations_name_uo""),7,FALSE)
,
)
))"),"#N/A")</f>
        <v>#N/A</v>
      </c>
      <c r="J220" s="7" t="s">
        <v>13</v>
      </c>
    </row>
    <row r="221" spans="1:10" ht="13.2">
      <c r="A221" s="7">
        <v>220</v>
      </c>
      <c r="B221" s="7">
        <v>1</v>
      </c>
      <c r="C221" s="7" t="s">
        <v>10</v>
      </c>
      <c r="D221" s="7">
        <v>77</v>
      </c>
      <c r="E221" s="7" t="s">
        <v>11</v>
      </c>
      <c r="F221" s="8" t="str">
        <f ca="1">IFERROR(__xludf.DUMMYFUNCTION("IF
(
C222=""фізична особа""
,
VLOOKUP(D222,IMPORTRANGE(""https://docs.google.com/spreadsheets/d/14Bd19lYaqBhU8_DElYkX7l4wRkHqqCUFNJY4AfY3kHU/edit?usp=sharing  #gid=0"",""фіз особи new!relations_name""),6,FALSE)
,
(IF
(
C222=""юридична особа""
,
VLOOKUP(D2"&amp;"22,IMPORTRANGE(""https://docs.google.com/spreadsheets/d/14Bd19lYaqBhU8_DElYkX7l4wRkHqqCUFNJY4AfY3kHU/edit?usp=sharing  #gid=0"",""фіз особи new!relations_name_uo""),7,FALSE)
,
)
))"),"ДОРОШЕНКО Андрій Миколайович")</f>
        <v>ДОРОШЕНКО Андрій Миколайович</v>
      </c>
      <c r="G221" s="7" t="s">
        <v>10</v>
      </c>
      <c r="H221" s="7">
        <v>0</v>
      </c>
      <c r="I221" s="8" t="str">
        <f ca="1">IFERROR(__xludf.DUMMYFUNCTION("IF
(
G222=""фізична особа""
,
VLOOKUP(H222,IMPORTRANGE(""https://docs.google.com/spreadsheets/d/14Bd19lYaqBhU8_DElYkX7l4wRkHqqCUFNJY4AfY3kHU/edit?usp=sharing  #gid=0"",""фіз особи new!relations_name""),6,FALSE)
,
(IF
(
G222=""юридична особа""
,
VLOOKUP(H2"&amp;"22,IMPORTRANGE(""https://docs.google.com/spreadsheets/d/14Bd19lYaqBhU8_DElYkX7l4wRkHqqCUFNJY4AfY3kHU/edit?usp=sharing  #gid=0"",""фіз особи new!relations_name_uo""),7,FALSE)
,
)
))"),"#N/A")</f>
        <v>#N/A</v>
      </c>
      <c r="J221" s="7" t="s">
        <v>11</v>
      </c>
    </row>
    <row r="222" spans="1:10" ht="13.2">
      <c r="A222" s="7">
        <v>221</v>
      </c>
      <c r="B222" s="7">
        <v>1</v>
      </c>
      <c r="C222" s="7" t="s">
        <v>10</v>
      </c>
      <c r="D222" s="7">
        <v>77</v>
      </c>
      <c r="E222" s="7" t="s">
        <v>11</v>
      </c>
      <c r="F222" s="8" t="str">
        <f ca="1">IFERROR(__xludf.DUMMYFUNCTION("IF
(
C223=""фізична особа""
,
VLOOKUP(D223,IMPORTRANGE(""https://docs.google.com/spreadsheets/d/14Bd19lYaqBhU8_DElYkX7l4wRkHqqCUFNJY4AfY3kHU/edit?usp=sharing  #gid=0"",""фіз особи new!relations_name""),6,FALSE)
,
(IF
(
C223=""юридична особа""
,
VLOOKUP(D2"&amp;"23,IMPORTRANGE(""https://docs.google.com/spreadsheets/d/14Bd19lYaqBhU8_DElYkX7l4wRkHqqCUFNJY4AfY3kHU/edit?usp=sharing  #gid=0"",""фіз особи new!relations_name_uo""),7,FALSE)
,
)
))"),"ДОРОШЕНКО Андрій Миколайович")</f>
        <v>ДОРОШЕНКО Андрій Миколайович</v>
      </c>
      <c r="G222" s="7" t="s">
        <v>10</v>
      </c>
      <c r="H222" s="7">
        <v>0</v>
      </c>
      <c r="I222" s="8" t="str">
        <f ca="1">IFERROR(__xludf.DUMMYFUNCTION("IF
(
G223=""фізична особа""
,
VLOOKUP(H223,IMPORTRANGE(""https://docs.google.com/spreadsheets/d/14Bd19lYaqBhU8_DElYkX7l4wRkHqqCUFNJY4AfY3kHU/edit?usp=sharing  #gid=0"",""фіз особи new!relations_name""),6,FALSE)
,
(IF
(
G223=""юридична особа""
,
VLOOKUP(H2"&amp;"23,IMPORTRANGE(""https://docs.google.com/spreadsheets/d/14Bd19lYaqBhU8_DElYkX7l4wRkHqqCUFNJY4AfY3kHU/edit?usp=sharing  #gid=0"",""фіз особи new!relations_name_uo""),7,FALSE)
,
)
))"),"#N/A")</f>
        <v>#N/A</v>
      </c>
      <c r="J222" s="7" t="s">
        <v>11</v>
      </c>
    </row>
    <row r="223" spans="1:10" ht="13.2">
      <c r="A223" s="7">
        <v>222</v>
      </c>
      <c r="B223" s="7">
        <v>1</v>
      </c>
      <c r="C223" s="7" t="s">
        <v>10</v>
      </c>
      <c r="D223" s="7">
        <v>78</v>
      </c>
      <c r="E223" s="7" t="s">
        <v>17</v>
      </c>
      <c r="F223" s="8" t="str">
        <f ca="1">IFERROR(__xludf.DUMMYFUNCTION("IF
(
C224=""фізична особа""
,
VLOOKUP(D224,IMPORTRANGE(""https://docs.google.com/spreadsheets/d/14Bd19lYaqBhU8_DElYkX7l4wRkHqqCUFNJY4AfY3kHU/edit?usp=sharing  #gid=0"",""фіз особи new!relations_name""),6,FALSE)
,
(IF
(
C224=""юридична особа""
,
VLOOKUP(D2"&amp;"24,IMPORTRANGE(""https://docs.google.com/spreadsheets/d/14Bd19lYaqBhU8_DElYkX7l4wRkHqqCUFNJY4AfY3kHU/edit?usp=sharing  #gid=0"",""фіз особи new!relations_name_uo""),7,FALSE)
,
)
))"),"ПАТРУШЕВ Андрій Миколайович")</f>
        <v>ПАТРУШЕВ Андрій Миколайович</v>
      </c>
      <c r="G223" s="7" t="s">
        <v>10</v>
      </c>
      <c r="H223" s="7">
        <v>504</v>
      </c>
      <c r="I223" s="8" t="str">
        <f ca="1">IFERROR(__xludf.DUMMYFUNCTION("IF
(
G224=""фізична особа""
,
VLOOKUP(H224,IMPORTRANGE(""https://docs.google.com/spreadsheets/d/14Bd19lYaqBhU8_DElYkX7l4wRkHqqCUFNJY4AfY3kHU/edit?usp=sharing  #gid=0"",""фіз особи new!relations_name""),6,FALSE)
,
(IF
(
G224=""юридична особа""
,
VLOOKUP(H2"&amp;"24,IMPORTRANGE(""https://docs.google.com/spreadsheets/d/14Bd19lYaqBhU8_DElYkX7l4wRkHqqCUFNJY4AfY3kHU/edit?usp=sharing  #gid=0"",""фіз особи new!relations_name_uo""),7,FALSE)
,
)
))"),"ПАТРУШЕВ Микола Платонович")</f>
        <v>ПАТРУШЕВ Микола Платонович</v>
      </c>
      <c r="J223" s="7" t="s">
        <v>12</v>
      </c>
    </row>
    <row r="224" spans="1:10" ht="13.2">
      <c r="A224" s="7">
        <v>223</v>
      </c>
      <c r="B224" s="7">
        <v>1</v>
      </c>
      <c r="C224" s="7" t="s">
        <v>10</v>
      </c>
      <c r="D224" s="7">
        <v>78</v>
      </c>
      <c r="E224" s="7" t="s">
        <v>18</v>
      </c>
      <c r="F224" s="8" t="str">
        <f ca="1">IFERROR(__xludf.DUMMYFUNCTION("IF
(
C225=""фізична особа""
,
VLOOKUP(D225,IMPORTRANGE(""https://docs.google.com/spreadsheets/d/14Bd19lYaqBhU8_DElYkX7l4wRkHqqCUFNJY4AfY3kHU/edit?usp=sharing  #gid=0"",""фіз особи new!relations_name""),6,FALSE)
,
(IF
(
C225=""юридична особа""
,
VLOOKUP(D2"&amp;"25,IMPORTRANGE(""https://docs.google.com/spreadsheets/d/14Bd19lYaqBhU8_DElYkX7l4wRkHqqCUFNJY4AfY3kHU/edit?usp=sharing  #gid=0"",""фіз особи new!relations_name_uo""),7,FALSE)
,
)
))"),"ПАТРУШЕВ Андрій Миколайович")</f>
        <v>ПАТРУШЕВ Андрій Миколайович</v>
      </c>
      <c r="G224" s="7" t="s">
        <v>10</v>
      </c>
      <c r="H224" s="7">
        <v>199</v>
      </c>
      <c r="I224" s="8" t="str">
        <f ca="1">IFERROR(__xludf.DUMMYFUNCTION("IF
(
G225=""фізична особа""
,
VLOOKUP(H225,IMPORTRANGE(""https://docs.google.com/spreadsheets/d/14Bd19lYaqBhU8_DElYkX7l4wRkHqqCUFNJY4AfY3kHU/edit?usp=sharing  #gid=0"",""фіз особи new!relations_name""),6,FALSE)
,
(IF
(
G225=""юридична особа""
,
VLOOKUP(H2"&amp;"25,IMPORTRANGE(""https://docs.google.com/spreadsheets/d/14Bd19lYaqBhU8_DElYkX7l4wRkHqqCUFNJY4AfY3kHU/edit?usp=sharing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224" s="7" t="s">
        <v>18</v>
      </c>
    </row>
    <row r="225" spans="1:10" ht="13.2">
      <c r="A225" s="7">
        <v>224</v>
      </c>
      <c r="B225" s="7">
        <v>1</v>
      </c>
      <c r="C225" s="7" t="s">
        <v>10</v>
      </c>
      <c r="D225" s="7">
        <v>78</v>
      </c>
      <c r="E225" s="7" t="s">
        <v>17</v>
      </c>
      <c r="F225" s="8" t="str">
        <f ca="1">IFERROR(__xludf.DUMMYFUNCTION("IF
(
C226=""фізична особа""
,
VLOOKUP(D226,IMPORTRANGE(""https://docs.google.com/spreadsheets/d/14Bd19lYaqBhU8_DElYkX7l4wRkHqqCUFNJY4AfY3kHU/edit?usp=sharing  #gid=0"",""фіз особи new!relations_name""),6,FALSE)
,
(IF
(
C226=""юридична особа""
,
VLOOKUP(D2"&amp;"26,IMPORTRANGE(""https://docs.google.com/spreadsheets/d/14Bd19lYaqBhU8_DElYkX7l4wRkHqqCUFNJY4AfY3kHU/edit?usp=sharing  #gid=0"",""фіз особи new!relations_name_uo""),7,FALSE)
,
)
))"),"ПАТРУШЕВ Андрій Миколайович")</f>
        <v>ПАТРУШЕВ Андрій Миколайович</v>
      </c>
      <c r="G225" s="7" t="s">
        <v>10</v>
      </c>
      <c r="H225" s="7">
        <v>23366</v>
      </c>
      <c r="I225" s="8" t="str">
        <f ca="1">IFERROR(__xludf.DUMMYFUNCTION("IF
(
G226=""фізична особа""
,
VLOOKUP(H226,IMPORTRANGE(""https://docs.google.com/spreadsheets/d/14Bd19lYaqBhU8_DElYkX7l4wRkHqqCUFNJY4AfY3kHU/edit?usp=sharing  #gid=0"",""фіз особи new!relations_name""),6,FALSE)
,
(IF
(
G226=""юридична особа""
,
VLOOKUP(H2"&amp;"26,IMPORTRANGE(""https://docs.google.com/spreadsheets/d/14Bd19lYaqBhU8_DElYkX7l4wRkHqqCUFNJY4AfY3kHU/edit?usp=sharing  #gid=0"",""фіз особи new!relations_name_uo""),7,FALSE)
,
)
))"),"ПАТРУШЕВА Олена Миколаївна")</f>
        <v>ПАТРУШЕВА Олена Миколаївна</v>
      </c>
      <c r="J225" s="7" t="s">
        <v>21</v>
      </c>
    </row>
    <row r="226" spans="1:10" ht="13.2">
      <c r="A226" s="7">
        <v>225</v>
      </c>
      <c r="B226" s="7">
        <v>1</v>
      </c>
      <c r="C226" s="7" t="s">
        <v>10</v>
      </c>
      <c r="D226" s="7">
        <v>79</v>
      </c>
      <c r="E226" s="7" t="s">
        <v>16</v>
      </c>
      <c r="F226" s="8" t="str">
        <f ca="1">IFERROR(__xludf.DUMMYFUNCTION("IF
(
C227=""фізична особа""
,
VLOOKUP(D227,IMPORTRANGE(""https://docs.google.com/spreadsheets/d/14Bd19lYaqBhU8_DElYkX7l4wRkHqqCUFNJY4AfY3kHU/edit?usp=sharing  #gid=0"",""фіз особи new!relations_name""),6,FALSE)
,
(IF
(
C227=""юридична особа""
,
VLOOKUP(D2"&amp;"27,IMPORTRANGE(""https://docs.google.com/spreadsheets/d/14Bd19lYaqBhU8_DElYkX7l4wRkHqqCUFNJY4AfY3kHU/edit?usp=sharing  #gid=0"",""фіз особи new!relations_name_uo""),7,FALSE)
,
)
))"),"ЗАЙЦЕВ Олександр Миколайович")</f>
        <v>ЗАЙЦЕВ Олександр Миколайович</v>
      </c>
      <c r="G226" s="7" t="s">
        <v>10</v>
      </c>
      <c r="H226" s="7">
        <v>824</v>
      </c>
      <c r="I226" s="8" t="str">
        <f ca="1">IFERROR(__xludf.DUMMYFUNCTION("IF
(
G227=""фізична особа""
,
VLOOKUP(H227,IMPORTRANGE(""https://docs.google.com/spreadsheets/d/14Bd19lYaqBhU8_DElYkX7l4wRkHqqCUFNJY4AfY3kHU/edit?usp=sharing  #gid=0"",""фіз особи new!relations_name""),6,FALSE)
,
(IF
(
G227=""юридична особа""
,
VLOOKUP(H2"&amp;"27,IMPORTRANGE(""https://docs.google.com/spreadsheets/d/14Bd19lYaqBhU8_DElYkX7l4wRkHqqCUFNJY4AfY3kHU/edit?usp=sharing  #gid=0"",""фіз особи new!relations_name_uo""),7,FALSE)
,
)
))"),"ЛУКАШЕНКО Віктор Олександрович")</f>
        <v>ЛУКАШЕНКО Віктор Олександрович</v>
      </c>
      <c r="J226" s="7" t="s">
        <v>16</v>
      </c>
    </row>
    <row r="227" spans="1:10" ht="13.2">
      <c r="A227" s="7">
        <v>226</v>
      </c>
      <c r="B227" s="7">
        <v>1</v>
      </c>
      <c r="C227" s="7" t="s">
        <v>10</v>
      </c>
      <c r="D227" s="7">
        <v>79</v>
      </c>
      <c r="E227" s="7" t="s">
        <v>16</v>
      </c>
      <c r="F227" s="8" t="str">
        <f ca="1">IFERROR(__xludf.DUMMYFUNCTION("IF
(
C228=""фізична особа""
,
VLOOKUP(D228,IMPORTRANGE(""https://docs.google.com/spreadsheets/d/14Bd19lYaqBhU8_DElYkX7l4wRkHqqCUFNJY4AfY3kHU/edit?usp=sharing  #gid=0"",""фіз особи new!relations_name""),6,FALSE)
,
(IF
(
C228=""юридична особа""
,
VLOOKUP(D2"&amp;"28,IMPORTRANGE(""https://docs.google.com/spreadsheets/d/14Bd19lYaqBhU8_DElYkX7l4wRkHqqCUFNJY4AfY3kHU/edit?usp=sharing  #gid=0"",""фіз особи new!relations_name_uo""),7,FALSE)
,
)
))"),"ЗАЙЦЕВ Олександр Миколайович")</f>
        <v>ЗАЙЦЕВ Олександр Миколайович</v>
      </c>
      <c r="G227" s="7" t="s">
        <v>10</v>
      </c>
      <c r="H227" s="7">
        <v>1017</v>
      </c>
      <c r="I227" s="8" t="str">
        <f ca="1">IFERROR(__xludf.DUMMYFUNCTION("IF
(
G228=""фізична особа""
,
VLOOKUP(H228,IMPORTRANGE(""https://docs.google.com/spreadsheets/d/14Bd19lYaqBhU8_DElYkX7l4wRkHqqCUFNJY4AfY3kHU/edit?usp=sharing  #gid=0"",""фіз особи new!relations_name""),6,FALSE)
,
(IF
(
G228=""юридична особа""
,
VLOOKUP(H2"&amp;"28,IMPORTRANGE(""https://docs.google.com/spreadsheets/d/14Bd19lYaqBhU8_DElYkX7l4wRkHqqCUFNJY4AfY3kHU/edit?usp=sharing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227" s="7" t="s">
        <v>16</v>
      </c>
    </row>
    <row r="228" spans="1:10" ht="13.2">
      <c r="A228" s="7">
        <v>227</v>
      </c>
      <c r="B228" s="7">
        <v>1</v>
      </c>
      <c r="C228" s="7" t="s">
        <v>10</v>
      </c>
      <c r="D228" s="7">
        <v>80</v>
      </c>
      <c r="E228" s="7" t="s">
        <v>14</v>
      </c>
      <c r="F228" s="8" t="str">
        <f ca="1">IFERROR(__xludf.DUMMYFUNCTION("IF
(
C229=""фізична особа""
,
VLOOKUP(D229,IMPORTRANGE(""https://docs.google.com/spreadsheets/d/14Bd19lYaqBhU8_DElYkX7l4wRkHqqCUFNJY4AfY3kHU/edit?usp=sharing  #gid=0"",""фіз особи new!relations_name""),6,FALSE)
,
(IF
(
C229=""юридична особа""
,
VLOOKUP(D2"&amp;"29,IMPORTRANGE(""https://docs.google.com/spreadsheets/d/14Bd19lYaqBhU8_DElYkX7l4wRkHqqCUFNJY4AfY3kHU/edit?usp=sharing  #gid=0"",""фіз особи new!relations_name_uo""),7,FALSE)
,
)
))"),"МАРКОВ Андрій Павлович")</f>
        <v>МАРКОВ Андрій Павлович</v>
      </c>
      <c r="G228" s="7" t="s">
        <v>10</v>
      </c>
      <c r="H228" s="7">
        <v>4117</v>
      </c>
      <c r="I228" s="8" t="str">
        <f ca="1">IFERROR(__xludf.DUMMYFUNCTION("IF
(
G229=""фізична особа""
,
VLOOKUP(H229,IMPORTRANGE(""https://docs.google.com/spreadsheets/d/14Bd19lYaqBhU8_DElYkX7l4wRkHqqCUFNJY4AfY3kHU/edit?usp=sharing  #gid=0"",""фіз особи new!relations_name""),6,FALSE)
,
(IF
(
G229=""юридична особа""
,
VLOOKUP(H2"&amp;"29,IMPORTRANGE(""https://docs.google.com/spreadsheets/d/14Bd19lYaqBhU8_DElYkX7l4wRkHqqCUFNJY4AfY3kHU/edit?usp=sharing  #gid=0"",""фіз особи new!relations_name_uo""),7,FALSE)
,
)
))"),"МАРКОВА Світлана Анатоліївна")</f>
        <v>МАРКОВА Світлана Анатоліївна</v>
      </c>
      <c r="J228" s="7" t="s">
        <v>15</v>
      </c>
    </row>
    <row r="229" spans="1:10" ht="13.2">
      <c r="A229" s="7">
        <v>228</v>
      </c>
      <c r="B229" s="7">
        <v>1</v>
      </c>
      <c r="C229" s="7" t="s">
        <v>10</v>
      </c>
      <c r="D229" s="7">
        <v>81</v>
      </c>
      <c r="E229" s="7" t="s">
        <v>17</v>
      </c>
      <c r="F229" s="8" t="str">
        <f ca="1">IFERROR(__xludf.DUMMYFUNCTION("IF
(
C230=""фізична особа""
,
VLOOKUP(D230,IMPORTRANGE(""https://docs.google.com/spreadsheets/d/14Bd19lYaqBhU8_DElYkX7l4wRkHqqCUFNJY4AfY3kHU/edit?usp=sharing  #gid=0"",""фіз особи new!relations_name""),6,FALSE)
,
(IF
(
C230=""юридична особа""
,
VLOOKUP(D2"&amp;"30,IMPORTRANGE(""https://docs.google.com/spreadsheets/d/14Bd19lYaqBhU8_DElYkX7l4wRkHqqCUFNJY4AfY3kHU/edit?usp=sharing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29" s="7" t="s">
        <v>10</v>
      </c>
      <c r="H229" s="7">
        <v>4118</v>
      </c>
      <c r="I229" s="8" t="str">
        <f ca="1">IFERROR(__xludf.DUMMYFUNCTION("IF
(
G230=""фізична особа""
,
VLOOKUP(H230,IMPORTRANGE(""https://docs.google.com/spreadsheets/d/14Bd19lYaqBhU8_DElYkX7l4wRkHqqCUFNJY4AfY3kHU/edit?usp=sharing  #gid=0"",""фіз особи new!relations_name""),6,FALSE)
,
(IF
(
G230=""юридична особа""
,
VLOOKUP(H2"&amp;"30,IMPORTRANGE(""https://docs.google.com/spreadsheets/d/14Bd19lYaqBhU8_DElYkX7l4wRkHqqCUFNJY4AfY3kHU/edit?usp=sharing  #gid=0"",""фіз особи new!relations_name_uo""),7,FALSE)
,
)
))"),"ГІМБАТОВ Петро Дмитрович")</f>
        <v>ГІМБАТОВ Петро Дмитрович</v>
      </c>
      <c r="J229" s="7" t="s">
        <v>12</v>
      </c>
    </row>
    <row r="230" spans="1:10" ht="13.2">
      <c r="A230" s="7">
        <v>229</v>
      </c>
      <c r="B230" s="7">
        <v>1</v>
      </c>
      <c r="C230" s="7" t="s">
        <v>10</v>
      </c>
      <c r="D230" s="7">
        <v>81</v>
      </c>
      <c r="E230" s="7" t="s">
        <v>17</v>
      </c>
      <c r="F230" s="8" t="str">
        <f ca="1">IFERROR(__xludf.DUMMYFUNCTION("IF
(
C231=""фізична особа""
,
VLOOKUP(D231,IMPORTRANGE(""https://docs.google.com/spreadsheets/d/14Bd19lYaqBhU8_DElYkX7l4wRkHqqCUFNJY4AfY3kHU/edit?usp=sharing  #gid=0"",""фіз особи new!relations_name""),6,FALSE)
,
(IF
(
C231=""юридична особа""
,
VLOOKUP(D2"&amp;"31,IMPORTRANGE(""https://docs.google.com/spreadsheets/d/14Bd19lYaqBhU8_DElYkX7l4wRkHqqCUFNJY4AfY3kHU/edit?usp=sharing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0" s="7" t="s">
        <v>10</v>
      </c>
      <c r="H230" s="7">
        <v>4119</v>
      </c>
      <c r="I230" s="8" t="str">
        <f ca="1">IFERROR(__xludf.DUMMYFUNCTION("IF
(
G231=""фізична особа""
,
VLOOKUP(H231,IMPORTRANGE(""https://docs.google.com/spreadsheets/d/14Bd19lYaqBhU8_DElYkX7l4wRkHqqCUFNJY4AfY3kHU/edit?usp=sharing  #gid=0"",""фіз особи new!relations_name""),6,FALSE)
,
(IF
(
G231=""юридична особа""
,
VLOOKUP(H2"&amp;"31,IMPORTRANGE(""https://docs.google.com/spreadsheets/d/14Bd19lYaqBhU8_DElYkX7l4wRkHqqCUFNJY4AfY3kHU/edit?usp=sharing  #gid=0"",""фіз особи new!relations_name_uo""),7,FALSE)
,
)
))"),"ГІМБАТОВА Тетяна Володимирівна")</f>
        <v>ГІМБАТОВА Тетяна Володимирівна</v>
      </c>
      <c r="J230" s="7" t="s">
        <v>21</v>
      </c>
    </row>
    <row r="231" spans="1:10" ht="13.2">
      <c r="A231" s="7">
        <v>230</v>
      </c>
      <c r="B231" s="7">
        <v>1</v>
      </c>
      <c r="C231" s="7" t="s">
        <v>10</v>
      </c>
      <c r="D231" s="7">
        <v>81</v>
      </c>
      <c r="E231" s="7" t="s">
        <v>14</v>
      </c>
      <c r="F231" s="8" t="str">
        <f ca="1">IFERROR(__xludf.DUMMYFUNCTION("IF
(
C232=""фізична особа""
,
VLOOKUP(D232,IMPORTRANGE(""https://docs.google.com/spreadsheets/d/14Bd19lYaqBhU8_DElYkX7l4wRkHqqCUFNJY4AfY3kHU/edit?usp=sharing  #gid=0"",""фіз особи new!relations_name""),6,FALSE)
,
(IF
(
C232=""юридична особа""
,
VLOOKUP(D2"&amp;"32,IMPORTRANGE(""https://docs.google.com/spreadsheets/d/14Bd19lYaqBhU8_DElYkX7l4wRkHqqCUFNJY4AfY3kHU/edit?usp=sharing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1" s="7" t="s">
        <v>10</v>
      </c>
      <c r="H231" s="7">
        <v>4120</v>
      </c>
      <c r="I231" s="8" t="str">
        <f ca="1">IFERROR(__xludf.DUMMYFUNCTION("IF
(
G232=""фізична особа""
,
VLOOKUP(H232,IMPORTRANGE(""https://docs.google.com/spreadsheets/d/14Bd19lYaqBhU8_DElYkX7l4wRkHqqCUFNJY4AfY3kHU/edit?usp=sharing  #gid=0"",""фіз особи new!relations_name""),6,FALSE)
,
(IF
(
G232=""юридична особа""
,
VLOOKUP(H2"&amp;"32,IMPORTRANGE(""https://docs.google.com/spreadsheets/d/14Bd19lYaqBhU8_DElYkX7l4wRkHqqCUFNJY4AfY3kHU/edit?usp=sharing  #gid=0"",""фіз особи new!relations_name_uo""),7,FALSE)
,
)
))"),"ГІМБАТОВА Світлана Юріївна")</f>
        <v>ГІМБАТОВА Світлана Юріївна</v>
      </c>
      <c r="J231" s="7" t="s">
        <v>15</v>
      </c>
    </row>
    <row r="232" spans="1:10" ht="13.2">
      <c r="A232" s="7">
        <v>231</v>
      </c>
      <c r="B232" s="7">
        <v>1</v>
      </c>
      <c r="C232" s="7" t="s">
        <v>10</v>
      </c>
      <c r="D232" s="7">
        <v>81</v>
      </c>
      <c r="E232" s="7" t="s">
        <v>12</v>
      </c>
      <c r="F232" s="8" t="str">
        <f ca="1">IFERROR(__xludf.DUMMYFUNCTION("IF
(
C233=""фізична особа""
,
VLOOKUP(D233,IMPORTRANGE(""https://docs.google.com/spreadsheets/d/14Bd19lYaqBhU8_DElYkX7l4wRkHqqCUFNJY4AfY3kHU/edit?usp=sharing  #gid=0"",""фіз особи new!relations_name""),6,FALSE)
,
(IF
(
C233=""юридична особа""
,
VLOOKUP(D2"&amp;"33,IMPORTRANGE(""https://docs.google.com/spreadsheets/d/14Bd19lYaqBhU8_DElYkX7l4wRkHqqCUFNJY4AfY3kHU/edit?usp=sharing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2" s="7" t="s">
        <v>10</v>
      </c>
      <c r="H232" s="7">
        <v>0</v>
      </c>
      <c r="I232" s="8" t="str">
        <f ca="1">IFERROR(__xludf.DUMMYFUNCTION("IF
(
G233=""фізична особа""
,
VLOOKUP(H233,IMPORTRANGE(""https://docs.google.com/spreadsheets/d/14Bd19lYaqBhU8_DElYkX7l4wRkHqqCUFNJY4AfY3kHU/edit?usp=sharing  #gid=0"",""фіз особи new!relations_name""),6,FALSE)
,
(IF
(
G233=""юридична особа""
,
VLOOKUP(H2"&amp;"33,IMPORTRANGE(""https://docs.google.com/spreadsheets/d/14Bd19lYaqBhU8_DElYkX7l4wRkHqqCUFNJY4AfY3kHU/edit?usp=sharing  #gid=0"",""фіз особи new!relations_name_uo""),7,FALSE)
,
)
))"),"#N/A")</f>
        <v>#N/A</v>
      </c>
      <c r="J232" s="7" t="s">
        <v>17</v>
      </c>
    </row>
    <row r="233" spans="1:10" ht="13.2">
      <c r="A233" s="7">
        <v>232</v>
      </c>
      <c r="B233" s="7">
        <v>1</v>
      </c>
      <c r="C233" s="7" t="s">
        <v>10</v>
      </c>
      <c r="D233" s="7">
        <v>81</v>
      </c>
      <c r="E233" s="7" t="s">
        <v>12</v>
      </c>
      <c r="F233" s="8" t="str">
        <f ca="1">IFERROR(__xludf.DUMMYFUNCTION("IF
(
C234=""фізична особа""
,
VLOOKUP(D234,IMPORTRANGE(""https://docs.google.com/spreadsheets/d/14Bd19lYaqBhU8_DElYkX7l4wRkHqqCUFNJY4AfY3kHU/edit?usp=sharing  #gid=0"",""фіз особи new!relations_name""),6,FALSE)
,
(IF
(
C234=""юридична особа""
,
VLOOKUP(D2"&amp;"34,IMPORTRANGE(""https://docs.google.com/spreadsheets/d/14Bd19lYaqBhU8_DElYkX7l4wRkHqqCUFNJY4AfY3kHU/edit?usp=sharing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3" s="7" t="s">
        <v>10</v>
      </c>
      <c r="H233" s="7">
        <v>0</v>
      </c>
      <c r="I233" s="8" t="str">
        <f ca="1">IFERROR(__xludf.DUMMYFUNCTION("IF
(
G234=""фізична особа""
,
VLOOKUP(H234,IMPORTRANGE(""https://docs.google.com/spreadsheets/d/14Bd19lYaqBhU8_DElYkX7l4wRkHqqCUFNJY4AfY3kHU/edit?usp=sharing  #gid=0"",""фіз особи new!relations_name""),6,FALSE)
,
(IF
(
G234=""юридична особа""
,
VLOOKUP(H2"&amp;"34,IMPORTRANGE(""https://docs.google.com/spreadsheets/d/14Bd19lYaqBhU8_DElYkX7l4wRkHqqCUFNJY4AfY3kHU/edit?usp=sharing  #gid=0"",""фіз особи new!relations_name_uo""),7,FALSE)
,
)
))"),"#N/A")</f>
        <v>#N/A</v>
      </c>
      <c r="J233" s="7" t="s">
        <v>13</v>
      </c>
    </row>
    <row r="234" spans="1:10" ht="13.2">
      <c r="A234" s="7">
        <v>233</v>
      </c>
      <c r="B234" s="7">
        <v>1</v>
      </c>
      <c r="C234" s="7" t="s">
        <v>10</v>
      </c>
      <c r="D234" s="7">
        <v>81</v>
      </c>
      <c r="E234" s="7" t="s">
        <v>12</v>
      </c>
      <c r="F234" s="8" t="str">
        <f ca="1">IFERROR(__xludf.DUMMYFUNCTION("IF
(
C235=""фізична особа""
,
VLOOKUP(D235,IMPORTRANGE(""https://docs.google.com/spreadsheets/d/14Bd19lYaqBhU8_DElYkX7l4wRkHqqCUFNJY4AfY3kHU/edit?usp=sharing  #gid=0"",""фіз особи new!relations_name""),6,FALSE)
,
(IF
(
C235=""юридична особа""
,
VLOOKUP(D2"&amp;"35,IMPORTRANGE(""https://docs.google.com/spreadsheets/d/14Bd19lYaqBhU8_DElYkX7l4wRkHqqCUFNJY4AfY3kHU/edit?usp=sharing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4" s="7" t="s">
        <v>10</v>
      </c>
      <c r="H234" s="7">
        <v>0</v>
      </c>
      <c r="I234" s="8" t="str">
        <f ca="1">IFERROR(__xludf.DUMMYFUNCTION("IF
(
G235=""фізична особа""
,
VLOOKUP(H235,IMPORTRANGE(""https://docs.google.com/spreadsheets/d/14Bd19lYaqBhU8_DElYkX7l4wRkHqqCUFNJY4AfY3kHU/edit?usp=sharing  #gid=0"",""фіз особи new!relations_name""),6,FALSE)
,
(IF
(
G235=""юридична особа""
,
VLOOKUP(H2"&amp;"35,IMPORTRANGE(""https://docs.google.com/spreadsheets/d/14Bd19lYaqBhU8_DElYkX7l4wRkHqqCUFNJY4AfY3kHU/edit?usp=sharing  #gid=0"",""фіз особи new!relations_name_uo""),7,FALSE)
,
)
))"),"#N/A")</f>
        <v>#N/A</v>
      </c>
      <c r="J234" s="7" t="s">
        <v>13</v>
      </c>
    </row>
    <row r="235" spans="1:10" ht="13.2">
      <c r="A235" s="7">
        <v>234</v>
      </c>
      <c r="B235" s="7">
        <v>1</v>
      </c>
      <c r="C235" s="7" t="s">
        <v>10</v>
      </c>
      <c r="D235" s="7">
        <v>81</v>
      </c>
      <c r="E235" s="7" t="s">
        <v>12</v>
      </c>
      <c r="F235" s="8" t="str">
        <f ca="1">IFERROR(__xludf.DUMMYFUNCTION("IF
(
C236=""фізична особа""
,
VLOOKUP(D236,IMPORTRANGE(""https://docs.google.com/spreadsheets/d/14Bd19lYaqBhU8_DElYkX7l4wRkHqqCUFNJY4AfY3kHU/edit?usp=sharing  #gid=0"",""фіз особи new!relations_name""),6,FALSE)
,
(IF
(
C236=""юридична особа""
,
VLOOKUP(D2"&amp;"36,IMPORTRANGE(""https://docs.google.com/spreadsheets/d/14Bd19lYaqBhU8_DElYkX7l4wRkHqqCUFNJY4AfY3kHU/edit?usp=sharing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G235" s="7" t="s">
        <v>10</v>
      </c>
      <c r="H235" s="7">
        <v>0</v>
      </c>
      <c r="I235" s="8" t="str">
        <f ca="1">IFERROR(__xludf.DUMMYFUNCTION("IF
(
G236=""фізична особа""
,
VLOOKUP(H236,IMPORTRANGE(""https://docs.google.com/spreadsheets/d/14Bd19lYaqBhU8_DElYkX7l4wRkHqqCUFNJY4AfY3kHU/edit?usp=sharing  #gid=0"",""фіз особи new!relations_name""),6,FALSE)
,
(IF
(
G236=""юридична особа""
,
VLOOKUP(H2"&amp;"36,IMPORTRANGE(""https://docs.google.com/spreadsheets/d/14Bd19lYaqBhU8_DElYkX7l4wRkHqqCUFNJY4AfY3kHU/edit?usp=sharing  #gid=0"",""фіз особи new!relations_name_uo""),7,FALSE)
,
)
))"),"#N/A")</f>
        <v>#N/A</v>
      </c>
      <c r="J235" s="7" t="s">
        <v>13</v>
      </c>
    </row>
    <row r="236" spans="1:10" ht="13.2">
      <c r="A236" s="7">
        <v>235</v>
      </c>
      <c r="B236" s="7">
        <v>1</v>
      </c>
      <c r="C236" s="7" t="s">
        <v>10</v>
      </c>
      <c r="D236" s="7">
        <v>82</v>
      </c>
      <c r="E236" s="7" t="s">
        <v>12</v>
      </c>
      <c r="F236" s="8" t="str">
        <f ca="1">IFERROR(__xludf.DUMMYFUNCTION("IF
(
C237=""фізична особа""
,
VLOOKUP(D237,IMPORTRANGE(""https://docs.google.com/spreadsheets/d/14Bd19lYaqBhU8_DElYkX7l4wRkHqqCUFNJY4AfY3kHU/edit?usp=sharing  #gid=0"",""фіз особи new!relations_name""),6,FALSE)
,
(IF
(
C237=""юридична особа""
,
VLOOKUP(D2"&amp;"37,IMPORTRANGE(""https://docs.google.com/spreadsheets/d/14Bd19lYaqBhU8_DElYkX7l4wRkHqqCUFNJY4AfY3kHU/edit?usp=sharing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G236" s="7" t="s">
        <v>10</v>
      </c>
      <c r="H236" s="7">
        <v>4121</v>
      </c>
      <c r="I236" s="8" t="str">
        <f ca="1">IFERROR(__xludf.DUMMYFUNCTION("IF
(
G237=""фізична особа""
,
VLOOKUP(H237,IMPORTRANGE(""https://docs.google.com/spreadsheets/d/14Bd19lYaqBhU8_DElYkX7l4wRkHqqCUFNJY4AfY3kHU/edit?usp=sharing  #gid=0"",""фіз особи new!relations_name""),6,FALSE)
,
(IF
(
G237=""юридична особа""
,
VLOOKUP(H2"&amp;"37,IMPORTRANGE(""https://docs.google.com/spreadsheets/d/14Bd19lYaqBhU8_DElYkX7l4wRkHqqCUFNJY4AfY3kHU/edit?usp=sharing  #gid=0"",""фіз особи new!relations_name_uo""),7,FALSE)
,
)
))"),"ГУР'ЯНОВА Варвара Андріївна")</f>
        <v>ГУР'ЯНОВА Варвара Андріївна</v>
      </c>
      <c r="J236" s="7" t="s">
        <v>13</v>
      </c>
    </row>
    <row r="237" spans="1:10" ht="13.2">
      <c r="A237" s="7">
        <v>236</v>
      </c>
      <c r="B237" s="7">
        <v>1</v>
      </c>
      <c r="C237" s="7" t="s">
        <v>10</v>
      </c>
      <c r="D237" s="7">
        <v>82</v>
      </c>
      <c r="E237" s="7" t="s">
        <v>14</v>
      </c>
      <c r="F237" s="8" t="str">
        <f ca="1">IFERROR(__xludf.DUMMYFUNCTION("IF
(
C238=""фізична особа""
,
VLOOKUP(D238,IMPORTRANGE(""https://docs.google.com/spreadsheets/d/14Bd19lYaqBhU8_DElYkX7l4wRkHqqCUFNJY4AfY3kHU/edit?usp=sharing  #gid=0"",""фіз особи new!relations_name""),6,FALSE)
,
(IF
(
C238=""юридична особа""
,
VLOOKUP(D2"&amp;"38,IMPORTRANGE(""https://docs.google.com/spreadsheets/d/14Bd19lYaqBhU8_DElYkX7l4wRkHqqCUFNJY4AfY3kHU/edit?usp=sharing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G237" s="7" t="s">
        <v>10</v>
      </c>
      <c r="H237" s="7">
        <v>4122</v>
      </c>
      <c r="I237" s="8" t="str">
        <f ca="1">IFERROR(__xludf.DUMMYFUNCTION("IF
(
G238=""фізична особа""
,
VLOOKUP(H238,IMPORTRANGE(""https://docs.google.com/spreadsheets/d/14Bd19lYaqBhU8_DElYkX7l4wRkHqqCUFNJY4AfY3kHU/edit?usp=sharing  #gid=0"",""фіз особи new!relations_name""),6,FALSE)
,
(IF
(
G238=""юридична особа""
,
VLOOKUP(H2"&amp;"38,IMPORTRANGE(""https://docs.google.com/spreadsheets/d/14Bd19lYaqBhU8_DElYkX7l4wRkHqqCUFNJY4AfY3kHU/edit?usp=sharing  #gid=0"",""фіз особи new!relations_name_uo""),7,FALSE)
,
)
))"),"КАРТАПОЛОВА Ірина Альбертівна")</f>
        <v>КАРТАПОЛОВА Ірина Альбертівна</v>
      </c>
      <c r="J237" s="7" t="s">
        <v>15</v>
      </c>
    </row>
    <row r="238" spans="1:10" ht="13.2">
      <c r="A238" s="7">
        <v>237</v>
      </c>
      <c r="B238" s="7">
        <v>1</v>
      </c>
      <c r="C238" s="7" t="s">
        <v>10</v>
      </c>
      <c r="D238" s="7">
        <v>82</v>
      </c>
      <c r="E238" s="7" t="s">
        <v>40</v>
      </c>
      <c r="F238" s="8" t="str">
        <f ca="1">IFERROR(__xludf.DUMMYFUNCTION("IF
(
C239=""фізична особа""
,
VLOOKUP(D239,IMPORTRANGE(""https://docs.google.com/spreadsheets/d/14Bd19lYaqBhU8_DElYkX7l4wRkHqqCUFNJY4AfY3kHU/edit?usp=sharing  #gid=0"",""фіз особи new!relations_name""),6,FALSE)
,
(IF
(
C239=""юридична особа""
,
VLOOKUP(D2"&amp;"39,IMPORTRANGE(""https://docs.google.com/spreadsheets/d/14Bd19lYaqBhU8_DElYkX7l4wRkHqqCUFNJY4AfY3kHU/edit?usp=sharing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G238" s="7" t="s">
        <v>10</v>
      </c>
      <c r="H238" s="7">
        <v>670</v>
      </c>
      <c r="I238" s="8" t="str">
        <f ca="1">IFERROR(__xludf.DUMMYFUNCTION("IF
(
G239=""фізична особа""
,
VLOOKUP(H239,IMPORTRANGE(""https://docs.google.com/spreadsheets/d/14Bd19lYaqBhU8_DElYkX7l4wRkHqqCUFNJY4AfY3kHU/edit?usp=sharing  #gid=0"",""фіз особи new!relations_name""),6,FALSE)
,
(IF
(
G239=""юридична особа""
,
VLOOKUP(H2"&amp;"39,IMPORTRANGE(""https://docs.google.com/spreadsheets/d/14Bd19lYaqBhU8_DElYkX7l4wRkHqqCUFNJY4AfY3kHU/edit?usp=sharing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38" s="7" t="s">
        <v>41</v>
      </c>
    </row>
    <row r="239" spans="1:10" ht="13.2">
      <c r="A239" s="7">
        <v>238</v>
      </c>
      <c r="B239" s="7">
        <v>1</v>
      </c>
      <c r="C239" s="7" t="s">
        <v>10</v>
      </c>
      <c r="D239" s="7">
        <v>83</v>
      </c>
      <c r="E239" s="7" t="s">
        <v>26</v>
      </c>
      <c r="F239" s="8" t="str">
        <f ca="1">IFERROR(__xludf.DUMMYFUNCTION("IF
(
C240=""фізична особа""
,
VLOOKUP(D240,IMPORTRANGE(""https://docs.google.com/spreadsheets/d/14Bd19lYaqBhU8_DElYkX7l4wRkHqqCUFNJY4AfY3kHU/edit?usp=sharing  #gid=0"",""фіз особи new!relations_name""),6,FALSE)
,
(IF
(
C240=""юридична особа""
,
VLOOKUP(D2"&amp;"40,IMPORTRANGE(""https://docs.google.com/spreadsheets/d/14Bd19lYaqBhU8_DElYkX7l4wRkHqqCUFNJY4AfY3kHU/edit?usp=sharing  #gid=0"",""фіз особи new!relations_name_uo""),7,FALSE)
,
)
))"),"РЮМІН Андрій Валерійович")</f>
        <v>РЮМІН Андрій Валерійович</v>
      </c>
      <c r="G239" s="7" t="s">
        <v>10</v>
      </c>
      <c r="H239" s="7">
        <v>4514</v>
      </c>
      <c r="I239" s="8" t="str">
        <f ca="1">IFERROR(__xludf.DUMMYFUNCTION("IF
(
G240=""фізична особа""
,
VLOOKUP(H240,IMPORTRANGE(""https://docs.google.com/spreadsheets/d/14Bd19lYaqBhU8_DElYkX7l4wRkHqqCUFNJY4AfY3kHU/edit?usp=sharing  #gid=0"",""фіз особи new!relations_name""),6,FALSE)
,
(IF
(
G240=""юридична особа""
,
VLOOKUP(H2"&amp;"40,IMPORTRANGE(""https://docs.google.com/spreadsheets/d/14Bd19lYaqBhU8_DElYkX7l4wRkHqqCUFNJY4AfY3kHU/edit?usp=sharing  #gid=0"",""фіз особи new!relations_name_uo""),7,FALSE)
,
)
))"),"МЕДВЕДЧУК Віктор Володимирович")</f>
        <v>МЕДВЕДЧУК Віктор Володимирович</v>
      </c>
      <c r="J239" s="7" t="s">
        <v>24</v>
      </c>
    </row>
    <row r="240" spans="1:10" ht="13.2">
      <c r="A240" s="7">
        <v>239</v>
      </c>
      <c r="B240" s="7">
        <v>1</v>
      </c>
      <c r="C240" s="7" t="s">
        <v>10</v>
      </c>
      <c r="D240" s="7">
        <v>83</v>
      </c>
      <c r="E240" s="7" t="s">
        <v>14</v>
      </c>
      <c r="F240" s="8" t="str">
        <f ca="1">IFERROR(__xludf.DUMMYFUNCTION("IF
(
C241=""фізична особа""
,
VLOOKUP(D241,IMPORTRANGE(""https://docs.google.com/spreadsheets/d/14Bd19lYaqBhU8_DElYkX7l4wRkHqqCUFNJY4AfY3kHU/edit?usp=sharing  #gid=0"",""фіз особи new!relations_name""),6,FALSE)
,
(IF
(
C241=""юридична особа""
,
VLOOKUP(D2"&amp;"41,IMPORTRANGE(""https://docs.google.com/spreadsheets/d/14Bd19lYaqBhU8_DElYkX7l4wRkHqqCUFNJY4AfY3kHU/edit?usp=sharing  #gid=0"",""фіз особи new!relations_name_uo""),7,FALSE)
,
)
))"),"РЮМІН Андрій Валерійович")</f>
        <v>РЮМІН Андрій Валерійович</v>
      </c>
      <c r="G240" s="7" t="s">
        <v>10</v>
      </c>
      <c r="H240" s="7">
        <v>0</v>
      </c>
      <c r="I240" s="8" t="str">
        <f ca="1">IFERROR(__xludf.DUMMYFUNCTION("IF
(
G241=""фізична особа""
,
VLOOKUP(H241,IMPORTRANGE(""https://docs.google.com/spreadsheets/d/14Bd19lYaqBhU8_DElYkX7l4wRkHqqCUFNJY4AfY3kHU/edit?usp=sharing  #gid=0"",""фіз особи new!relations_name""),6,FALSE)
,
(IF
(
G241=""юридична особа""
,
VLOOKUP(H2"&amp;"41,IMPORTRANGE(""https://docs.google.com/spreadsheets/d/14Bd19lYaqBhU8_DElYkX7l4wRkHqqCUFNJY4AfY3kHU/edit?usp=sharing  #gid=0"",""фіз особи new!relations_name_uo""),7,FALSE)
,
)
))"),"#N/A")</f>
        <v>#N/A</v>
      </c>
      <c r="J240" s="7" t="s">
        <v>15</v>
      </c>
    </row>
    <row r="241" spans="1:10" ht="13.2">
      <c r="A241" s="7">
        <v>240</v>
      </c>
      <c r="B241" s="7">
        <v>1</v>
      </c>
      <c r="C241" s="7" t="s">
        <v>10</v>
      </c>
      <c r="D241" s="7">
        <v>83</v>
      </c>
      <c r="E241" s="7" t="s">
        <v>11</v>
      </c>
      <c r="F241" s="8" t="str">
        <f ca="1">IFERROR(__xludf.DUMMYFUNCTION("IF
(
C242=""фізична особа""
,
VLOOKUP(D242,IMPORTRANGE(""https://docs.google.com/spreadsheets/d/14Bd19lYaqBhU8_DElYkX7l4wRkHqqCUFNJY4AfY3kHU/edit?usp=sharing  #gid=0"",""фіз особи new!relations_name""),6,FALSE)
,
(IF
(
C242=""юридична особа""
,
VLOOKUP(D2"&amp;"42,IMPORTRANGE(""https://docs.google.com/spreadsheets/d/14Bd19lYaqBhU8_DElYkX7l4wRkHqqCUFNJY4AfY3kHU/edit?usp=sharing  #gid=0"",""фіз особи new!relations_name_uo""),7,FALSE)
,
)
))"),"РЮМІН Андрій Валерійович")</f>
        <v>РЮМІН Андрій Валерійович</v>
      </c>
      <c r="G241" s="7" t="s">
        <v>10</v>
      </c>
      <c r="H241" s="7">
        <v>0</v>
      </c>
      <c r="I241" s="8" t="str">
        <f ca="1">IFERROR(__xludf.DUMMYFUNCTION("IF
(
G242=""фізична особа""
,
VLOOKUP(H242,IMPORTRANGE(""https://docs.google.com/spreadsheets/d/14Bd19lYaqBhU8_DElYkX7l4wRkHqqCUFNJY4AfY3kHU/edit?usp=sharing  #gid=0"",""фіз особи new!relations_name""),6,FALSE)
,
(IF
(
G242=""юридична особа""
,
VLOOKUP(H2"&amp;"42,IMPORTRANGE(""https://docs.google.com/spreadsheets/d/14Bd19lYaqBhU8_DElYkX7l4wRkHqqCUFNJY4AfY3kHU/edit?usp=sharing  #gid=0"",""фіз особи new!relations_name_uo""),7,FALSE)
,
)
))"),"#N/A")</f>
        <v>#N/A</v>
      </c>
      <c r="J241" s="7" t="s">
        <v>11</v>
      </c>
    </row>
    <row r="242" spans="1:10" ht="13.2">
      <c r="A242" s="7">
        <v>241</v>
      </c>
      <c r="B242" s="7">
        <v>1</v>
      </c>
      <c r="C242" s="7" t="s">
        <v>10</v>
      </c>
      <c r="D242" s="7">
        <v>84</v>
      </c>
      <c r="E242" s="7" t="s">
        <v>12</v>
      </c>
      <c r="F242" s="8" t="str">
        <f ca="1">IFERROR(__xludf.DUMMYFUNCTION("IF
(
C243=""фізична особа""
,
VLOOKUP(D243,IMPORTRANGE(""https://docs.google.com/spreadsheets/d/14Bd19lYaqBhU8_DElYkX7l4wRkHqqCUFNJY4AfY3kHU/edit?usp=sharing  #gid=0"",""фіз особи new!relations_name""),6,FALSE)
,
(IF
(
C243=""юридична особа""
,
VLOOKUP(D2"&amp;"43,IMPORTRANGE(""https://docs.google.com/spreadsheets/d/14Bd19lYaqBhU8_DElYkX7l4wRkHqqCUFNJY4AfY3kHU/edit?usp=sharing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G242" s="7" t="s">
        <v>10</v>
      </c>
      <c r="H242" s="7">
        <v>4123</v>
      </c>
      <c r="I242" s="8" t="str">
        <f ca="1">IFERROR(__xludf.DUMMYFUNCTION("IF
(
G243=""фізична особа""
,
VLOOKUP(H243,IMPORTRANGE(""https://docs.google.com/spreadsheets/d/14Bd19lYaqBhU8_DElYkX7l4wRkHqqCUFNJY4AfY3kHU/edit?usp=sharing  #gid=0"",""фіз особи new!relations_name""),6,FALSE)
,
(IF
(
G243=""юридична особа""
,
VLOOKUP(H2"&amp;"43,IMPORTRANGE(""https://docs.google.com/spreadsheets/d/14Bd19lYaqBhU8_DElYkX7l4wRkHqqCUFNJY4AfY3kHU/edit?usp=sharing  #gid=0"",""фіз особи new!relations_name_uo""),7,FALSE)
,
)
))"),"ГУРУЛЬОВА Євгенія Андріївна")</f>
        <v>ГУРУЛЬОВА Євгенія Андріївна</v>
      </c>
      <c r="J242" s="7" t="s">
        <v>13</v>
      </c>
    </row>
    <row r="243" spans="1:10" ht="13.2">
      <c r="A243" s="7">
        <v>242</v>
      </c>
      <c r="B243" s="7">
        <v>1</v>
      </c>
      <c r="C243" s="7" t="s">
        <v>10</v>
      </c>
      <c r="D243" s="7">
        <v>84</v>
      </c>
      <c r="E243" s="7" t="s">
        <v>12</v>
      </c>
      <c r="F243" s="8" t="str">
        <f ca="1">IFERROR(__xludf.DUMMYFUNCTION("IF
(
C244=""фізична особа""
,
VLOOKUP(D244,IMPORTRANGE(""https://docs.google.com/spreadsheets/d/14Bd19lYaqBhU8_DElYkX7l4wRkHqqCUFNJY4AfY3kHU/edit?usp=sharing  #gid=0"",""фіз особи new!relations_name""),6,FALSE)
,
(IF
(
C244=""юридична особа""
,
VLOOKUP(D2"&amp;"44,IMPORTRANGE(""https://docs.google.com/spreadsheets/d/14Bd19lYaqBhU8_DElYkX7l4wRkHqqCUFNJY4AfY3kHU/edit?usp=sharing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G243" s="7" t="s">
        <v>10</v>
      </c>
      <c r="H243" s="7">
        <v>4124</v>
      </c>
      <c r="I243" s="8" t="str">
        <f ca="1">IFERROR(__xludf.DUMMYFUNCTION("IF
(
G244=""фізична особа""
,
VLOOKUP(H244,IMPORTRANGE(""https://docs.google.com/spreadsheets/d/14Bd19lYaqBhU8_DElYkX7l4wRkHqqCUFNJY4AfY3kHU/edit?usp=sharing  #gid=0"",""фіз особи new!relations_name""),6,FALSE)
,
(IF
(
G244=""юридична особа""
,
VLOOKUP(H2"&amp;"44,IMPORTRANGE(""https://docs.google.com/spreadsheets/d/14Bd19lYaqBhU8_DElYkX7l4wRkHqqCUFNJY4AfY3kHU/edit?usp=sharing  #gid=0"",""фіз особи new!relations_name_uo""),7,FALSE)
,
)
))"),"ГУРУЛЬОВ Віктор Андрійович")</f>
        <v>ГУРУЛЬОВ Віктор Андрійович</v>
      </c>
      <c r="J243" s="7" t="s">
        <v>17</v>
      </c>
    </row>
    <row r="244" spans="1:10" ht="13.2">
      <c r="A244" s="7">
        <v>243</v>
      </c>
      <c r="B244" s="7">
        <v>1</v>
      </c>
      <c r="C244" s="7" t="s">
        <v>10</v>
      </c>
      <c r="D244" s="7">
        <v>84</v>
      </c>
      <c r="E244" s="7" t="s">
        <v>12</v>
      </c>
      <c r="F244" s="8" t="str">
        <f ca="1">IFERROR(__xludf.DUMMYFUNCTION("IF
(
C245=""фізична особа""
,
VLOOKUP(D245,IMPORTRANGE(""https://docs.google.com/spreadsheets/d/14Bd19lYaqBhU8_DElYkX7l4wRkHqqCUFNJY4AfY3kHU/edit?usp=sharing  #gid=0"",""фіз особи new!relations_name""),6,FALSE)
,
(IF
(
C245=""юридична особа""
,
VLOOKUP(D2"&amp;"45,IMPORTRANGE(""https://docs.google.com/spreadsheets/d/14Bd19lYaqBhU8_DElYkX7l4wRkHqqCUFNJY4AfY3kHU/edit?usp=sharing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G244" s="7" t="s">
        <v>10</v>
      </c>
      <c r="H244" s="7">
        <v>4125</v>
      </c>
      <c r="I244" s="8" t="str">
        <f ca="1">IFERROR(__xludf.DUMMYFUNCTION("IF
(
G245=""фізична особа""
,
VLOOKUP(H245,IMPORTRANGE(""https://docs.google.com/spreadsheets/d/14Bd19lYaqBhU8_DElYkX7l4wRkHqqCUFNJY4AfY3kHU/edit?usp=sharing  #gid=0"",""фіз особи new!relations_name""),6,FALSE)
,
(IF
(
G245=""юридична особа""
,
VLOOKUP(H2"&amp;"45,IMPORTRANGE(""https://docs.google.com/spreadsheets/d/14Bd19lYaqBhU8_DElYkX7l4wRkHqqCUFNJY4AfY3kHU/edit?usp=sharing  #gid=0"",""фіз особи new!relations_name_uo""),7,FALSE)
,
)
))"),"ГУРУЛЬОВ Василь Андрійович")</f>
        <v>ГУРУЛЬОВ Василь Андрійович</v>
      </c>
      <c r="J244" s="7" t="s">
        <v>17</v>
      </c>
    </row>
    <row r="245" spans="1:10" ht="13.2">
      <c r="A245" s="7">
        <v>244</v>
      </c>
      <c r="B245" s="7">
        <v>1</v>
      </c>
      <c r="C245" s="7" t="s">
        <v>10</v>
      </c>
      <c r="D245" s="7">
        <v>84</v>
      </c>
      <c r="E245" s="7" t="s">
        <v>40</v>
      </c>
      <c r="F245" s="8" t="str">
        <f ca="1">IFERROR(__xludf.DUMMYFUNCTION("IF
(
C246=""фізична особа""
,
VLOOKUP(D246,IMPORTRANGE(""https://docs.google.com/spreadsheets/d/14Bd19lYaqBhU8_DElYkX7l4wRkHqqCUFNJY4AfY3kHU/edit?usp=sharing  #gid=0"",""фіз особи new!relations_name""),6,FALSE)
,
(IF
(
C246=""юридична особа""
,
VLOOKUP(D2"&amp;"46,IMPORTRANGE(""https://docs.google.com/spreadsheets/d/14Bd19lYaqBhU8_DElYkX7l4wRkHqqCUFNJY4AfY3kHU/edit?usp=sharing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G245" s="7" t="s">
        <v>10</v>
      </c>
      <c r="H245" s="7">
        <v>168</v>
      </c>
      <c r="I245" s="8" t="str">
        <f ca="1">IFERROR(__xludf.DUMMYFUNCTION("IF
(
G246=""фізична особа""
,
VLOOKUP(H246,IMPORTRANGE(""https://docs.google.com/spreadsheets/d/14Bd19lYaqBhU8_DElYkX7l4wRkHqqCUFNJY4AfY3kHU/edit?usp=sharing  #gid=0"",""фіз особи new!relations_name""),6,FALSE)
,
(IF
(
G246=""юридична особа""
,
VLOOKUP(H2"&amp;"46,IMPORTRANGE(""https://docs.google.com/spreadsheets/d/14Bd19lYaqBhU8_DElYkX7l4wRkHqqCUFNJY4AfY3kHU/edit?usp=sharing  #gid=0"",""фіз особи new!relations_name_uo""),7,FALSE)
,
)
))"),"ДВОРНІКОВ Олександр Володимирович")</f>
        <v>ДВОРНІКОВ Олександр Володимирович</v>
      </c>
      <c r="J245" s="7" t="s">
        <v>41</v>
      </c>
    </row>
    <row r="246" spans="1:10" ht="13.2">
      <c r="A246" s="7">
        <v>245</v>
      </c>
      <c r="B246" s="7">
        <v>1</v>
      </c>
      <c r="C246" s="7" t="s">
        <v>10</v>
      </c>
      <c r="D246" s="7">
        <v>85</v>
      </c>
      <c r="E246" s="7" t="s">
        <v>14</v>
      </c>
      <c r="F246" s="8" t="str">
        <f ca="1">IFERROR(__xludf.DUMMYFUNCTION("IF
(
C247=""фізична особа""
,
VLOOKUP(D247,IMPORTRANGE(""https://docs.google.com/spreadsheets/d/14Bd19lYaqBhU8_DElYkX7l4wRkHqqCUFNJY4AfY3kHU/edit?usp=sharing  #gid=0"",""фіз особи new!relations_name""),6,FALSE)
,
(IF
(
C247=""юридична особа""
,
VLOOKUP(D2"&amp;"47,IMPORTRANGE(""https://docs.google.com/spreadsheets/d/14Bd19lYaqBhU8_DElYkX7l4wRkHqqCUFNJY4AfY3kHU/edit?usp=sharing  #gid=0"",""фіз особи new!relations_name_uo""),7,FALSE)
,
)
))"),"КУТЄПОВ Андрій Вікторович")</f>
        <v>КУТЄПОВ Андрій Вікторович</v>
      </c>
      <c r="G246" s="7" t="s">
        <v>10</v>
      </c>
      <c r="H246" s="7">
        <v>4336</v>
      </c>
      <c r="I246" s="8" t="str">
        <f ca="1">IFERROR(__xludf.DUMMYFUNCTION("IF
(
G247=""фізична особа""
,
VLOOKUP(H247,IMPORTRANGE(""https://docs.google.com/spreadsheets/d/14Bd19lYaqBhU8_DElYkX7l4wRkHqqCUFNJY4AfY3kHU/edit?usp=sharing  #gid=0"",""фіз особи new!relations_name""),6,FALSE)
,
(IF
(
G247=""юридична особа""
,
VLOOKUP(H2"&amp;"47,IMPORTRANGE(""https://docs.google.com/spreadsheets/d/14Bd19lYaqBhU8_DElYkX7l4wRkHqqCUFNJY4AfY3kHU/edit?usp=sharing  #gid=0"",""фіз особи new!relations_name_uo""),7,FALSE)
,
)
))"),"КУТЄПОВА Оксана Адольфівна")</f>
        <v>КУТЄПОВА Оксана Адольфівна</v>
      </c>
      <c r="J246" s="7" t="s">
        <v>15</v>
      </c>
    </row>
    <row r="247" spans="1:10" ht="13.2">
      <c r="A247" s="7">
        <v>246</v>
      </c>
      <c r="B247" s="7">
        <v>1</v>
      </c>
      <c r="C247" s="7" t="s">
        <v>10</v>
      </c>
      <c r="D247" s="7">
        <v>86</v>
      </c>
      <c r="E247" s="7" t="s">
        <v>14</v>
      </c>
      <c r="F247" s="8" t="str">
        <f ca="1">IFERROR(__xludf.DUMMYFUNCTION("IF
(
C248=""фізична особа""
,
VLOOKUP(D248,IMPORTRANGE(""https://docs.google.com/spreadsheets/d/14Bd19lYaqBhU8_DElYkX7l4wRkHqqCUFNJY4AfY3kHU/edit?usp=sharing  #gid=0"",""фіз особи new!relations_name""),6,FALSE)
,
(IF
(
C248=""юридична особа""
,
VLOOKUP(D2"&amp;"48,IMPORTRANGE(""https://docs.google.com/spreadsheets/d/14Bd19lYaqBhU8_DElYkX7l4wRkHqqCUFNJY4AfY3kHU/edit?usp=sharing  #gid=0"",""фіз особи new!relations_name_uo""),7,FALSE)
,
)
))"),"ВОРОБЙОВ Андрій Вікторович")</f>
        <v>ВОРОБЙОВ Андрій Вікторович</v>
      </c>
      <c r="G247" s="7" t="s">
        <v>10</v>
      </c>
      <c r="H247" s="7">
        <v>4126</v>
      </c>
      <c r="I247" s="8" t="str">
        <f ca="1">IFERROR(__xludf.DUMMYFUNCTION("IF
(
G248=""фізична особа""
,
VLOOKUP(H248,IMPORTRANGE(""https://docs.google.com/spreadsheets/d/14Bd19lYaqBhU8_DElYkX7l4wRkHqqCUFNJY4AfY3kHU/edit?usp=sharing  #gid=0"",""фіз особи new!relations_name""),6,FALSE)
,
(IF
(
G248=""юридична особа""
,
VLOOKUP(H2"&amp;"48,IMPORTRANGE(""https://docs.google.com/spreadsheets/d/14Bd19lYaqBhU8_DElYkX7l4wRkHqqCUFNJY4AfY3kHU/edit?usp=sharing  #gid=0"",""фіз особи new!relations_name_uo""),7,FALSE)
,
)
))"),"ЗІМІНА / ВОРОБЙОВА Аліна Михайлівна")</f>
        <v>ЗІМІНА / ВОРОБЙОВА Аліна Михайлівна</v>
      </c>
      <c r="J247" s="7" t="s">
        <v>15</v>
      </c>
    </row>
    <row r="248" spans="1:10" ht="13.2">
      <c r="A248" s="7">
        <v>247</v>
      </c>
      <c r="B248" s="7">
        <v>1</v>
      </c>
      <c r="C248" s="7" t="s">
        <v>10</v>
      </c>
      <c r="D248" s="7">
        <v>86</v>
      </c>
      <c r="E248" s="7" t="s">
        <v>12</v>
      </c>
      <c r="F248" s="8" t="str">
        <f ca="1">IFERROR(__xludf.DUMMYFUNCTION("IF
(
C249=""фізична особа""
,
VLOOKUP(D249,IMPORTRANGE(""https://docs.google.com/spreadsheets/d/14Bd19lYaqBhU8_DElYkX7l4wRkHqqCUFNJY4AfY3kHU/edit?usp=sharing  #gid=0"",""фіз особи new!relations_name""),6,FALSE)
,
(IF
(
C249=""юридична особа""
,
VLOOKUP(D2"&amp;"49,IMPORTRANGE(""https://docs.google.com/spreadsheets/d/14Bd19lYaqBhU8_DElYkX7l4wRkHqqCUFNJY4AfY3kHU/edit?usp=sharing  #gid=0"",""фіз особи new!relations_name_uo""),7,FALSE)
,
)
))"),"ВОРОБЙОВ Андрій Вікторович")</f>
        <v>ВОРОБЙОВ Андрій Вікторович</v>
      </c>
      <c r="G248" s="7" t="s">
        <v>10</v>
      </c>
      <c r="H248" s="7">
        <v>0</v>
      </c>
      <c r="I248" s="8" t="str">
        <f ca="1">IFERROR(__xludf.DUMMYFUNCTION("IF
(
G249=""фізична особа""
,
VLOOKUP(H249,IMPORTRANGE(""https://docs.google.com/spreadsheets/d/14Bd19lYaqBhU8_DElYkX7l4wRkHqqCUFNJY4AfY3kHU/edit?usp=sharing  #gid=0"",""фіз особи new!relations_name""),6,FALSE)
,
(IF
(
G249=""юридична особа""
,
VLOOKUP(H2"&amp;"49,IMPORTRANGE(""https://docs.google.com/spreadsheets/d/14Bd19lYaqBhU8_DElYkX7l4wRkHqqCUFNJY4AfY3kHU/edit?usp=sharing  #gid=0"",""фіз особи new!relations_name_uo""),7,FALSE)
,
)
))"),"#N/A")</f>
        <v>#N/A</v>
      </c>
      <c r="J248" s="7" t="s">
        <v>17</v>
      </c>
    </row>
    <row r="249" spans="1:10" ht="13.2">
      <c r="A249" s="7">
        <v>248</v>
      </c>
      <c r="B249" s="7">
        <v>1</v>
      </c>
      <c r="C249" s="7" t="s">
        <v>10</v>
      </c>
      <c r="D249" s="7">
        <v>87</v>
      </c>
      <c r="E249" s="7" t="s">
        <v>12</v>
      </c>
      <c r="F249" s="8" t="str">
        <f ca="1">IFERROR(__xludf.DUMMYFUNCTION("IF
(
C250=""фізична особа""
,
VLOOKUP(D250,IMPORTRANGE(""https://docs.google.com/spreadsheets/d/14Bd19lYaqBhU8_DElYkX7l4wRkHqqCUFNJY4AfY3kHU/edit?usp=sharing  #gid=0"",""фіз особи new!relations_name""),6,FALSE)
,
(IF
(
C250=""юридична особа""
,
VLOOKUP(D2"&amp;"50,IMPORTRANGE(""https://docs.google.com/spreadsheets/d/14Bd19lYaqBhU8_DElYkX7l4wRkHqqCUFNJY4AfY3kHU/edit?usp=sharing  #gid=0"",""фіз особи new!relations_name_uo""),7,FALSE)
,
)
))"),"ЧЕРНИШОВ Андрій Володимирович")</f>
        <v>ЧЕРНИШОВ Андрій Володимирович</v>
      </c>
      <c r="G249" s="7" t="s">
        <v>10</v>
      </c>
      <c r="H249" s="7">
        <v>4338</v>
      </c>
      <c r="I249" s="8" t="str">
        <f ca="1">IFERROR(__xludf.DUMMYFUNCTION("IF
(
G250=""фізична особа""
,
VLOOKUP(H250,IMPORTRANGE(""https://docs.google.com/spreadsheets/d/14Bd19lYaqBhU8_DElYkX7l4wRkHqqCUFNJY4AfY3kHU/edit?usp=sharing  #gid=0"",""фіз особи new!relations_name""),6,FALSE)
,
(IF
(
G250=""юридична особа""
,
VLOOKUP(H2"&amp;"50,IMPORTRANGE(""https://docs.google.com/spreadsheets/d/14Bd19lYaqBhU8_DElYkX7l4wRkHqqCUFNJY4AfY3kHU/edit?usp=sharing  #gid=0"",""фіз особи new!relations_name_uo""),7,FALSE)
,
)
))"),"ЧЕРНИШЕВА Анастасія Андріївна")</f>
        <v>ЧЕРНИШЕВА Анастасія Андріївна</v>
      </c>
      <c r="J249" s="7" t="s">
        <v>13</v>
      </c>
    </row>
    <row r="250" spans="1:10" ht="13.2">
      <c r="A250" s="7">
        <v>249</v>
      </c>
      <c r="B250" s="7">
        <v>1</v>
      </c>
      <c r="C250" s="7" t="s">
        <v>10</v>
      </c>
      <c r="D250" s="7">
        <v>87</v>
      </c>
      <c r="E250" s="7" t="s">
        <v>14</v>
      </c>
      <c r="F250" s="8" t="str">
        <f ca="1">IFERROR(__xludf.DUMMYFUNCTION("IF
(
C251=""фізична особа""
,
VLOOKUP(D251,IMPORTRANGE(""https://docs.google.com/spreadsheets/d/14Bd19lYaqBhU8_DElYkX7l4wRkHqqCUFNJY4AfY3kHU/edit?usp=sharing  #gid=0"",""фіз особи new!relations_name""),6,FALSE)
,
(IF
(
C251=""юридична особа""
,
VLOOKUP(D2"&amp;"51,IMPORTRANGE(""https://docs.google.com/spreadsheets/d/14Bd19lYaqBhU8_DElYkX7l4wRkHqqCUFNJY4AfY3kHU/edit?usp=sharing  #gid=0"",""фіз особи new!relations_name_uo""),7,FALSE)
,
)
))"),"ЧЕРНИШОВ Андрій Володимирович")</f>
        <v>ЧЕРНИШОВ Андрій Володимирович</v>
      </c>
      <c r="G250" s="7" t="s">
        <v>10</v>
      </c>
      <c r="H250" s="7">
        <v>4337</v>
      </c>
      <c r="I250" s="8" t="str">
        <f ca="1">IFERROR(__xludf.DUMMYFUNCTION("IF
(
G251=""фізична особа""
,
VLOOKUP(H251,IMPORTRANGE(""https://docs.google.com/spreadsheets/d/14Bd19lYaqBhU8_DElYkX7l4wRkHqqCUFNJY4AfY3kHU/edit?usp=sharing  #gid=0"",""фіз особи new!relations_name""),6,FALSE)
,
(IF
(
G251=""юридична особа""
,
VLOOKUP(H2"&amp;"51,IMPORTRANGE(""https://docs.google.com/spreadsheets/d/14Bd19lYaqBhU8_DElYkX7l4wRkHqqCUFNJY4AfY3kHU/edit?usp=sharing  #gid=0"",""фіз особи new!relations_name_uo""),7,FALSE)
,
)
))"),"ЧЕРНИШЕВА Наталія Михайлівна")</f>
        <v>ЧЕРНИШЕВА Наталія Михайлівна</v>
      </c>
      <c r="J250" s="7" t="s">
        <v>15</v>
      </c>
    </row>
    <row r="251" spans="1:10" ht="13.2">
      <c r="A251" s="7">
        <v>250</v>
      </c>
      <c r="B251" s="7">
        <v>1</v>
      </c>
      <c r="C251" s="7" t="s">
        <v>10</v>
      </c>
      <c r="D251" s="7">
        <v>88</v>
      </c>
      <c r="E251" s="7" t="s">
        <v>40</v>
      </c>
      <c r="F251" s="8" t="str">
        <f ca="1">IFERROR(__xludf.DUMMYFUNCTION("IF
(
C252=""фізична особа""
,
VLOOKUP(D252,IMPORTRANGE(""https://docs.google.com/spreadsheets/d/14Bd19lYaqBhU8_DElYkX7l4wRkHqqCUFNJY4AfY3kHU/edit?usp=sharing  #gid=0"",""фіз особи new!relations_name""),6,FALSE)
,
(IF
(
C252=""юридична особа""
,
VLOOKUP(D2"&amp;"52,IMPORTRANGE(""https://docs.google.com/spreadsheets/d/14Bd19lYaqBhU8_DElYkX7l4wRkHqqCUFNJY4AfY3kHU/edit?usp=sharing  #gid=0"",""фіз особи new!relations_name_uo""),7,FALSE)
,
)
))"),"ЯЦКІН Андрій Володимирович")</f>
        <v>ЯЦКІН Андрій Володимирович</v>
      </c>
      <c r="G251" s="7" t="s">
        <v>10</v>
      </c>
      <c r="H251" s="7">
        <v>880</v>
      </c>
      <c r="I251" s="8" t="str">
        <f ca="1">IFERROR(__xludf.DUMMYFUNCTION("IF
(
G252=""фізична особа""
,
VLOOKUP(H252,IMPORTRANGE(""https://docs.google.com/spreadsheets/d/14Bd19lYaqBhU8_DElYkX7l4wRkHqqCUFNJY4AfY3kHU/edit?usp=sharing  #gid=0"",""фіз особи new!relations_name""),6,FALSE)
,
(IF
(
G252=""юридична особа""
,
VLOOKUP(H2"&amp;"52,IMPORTRANGE(""https://docs.google.com/spreadsheets/d/14Bd19lYaqBhU8_DElYkX7l4wRkHqqCUFNJY4AfY3kHU/edit?usp=sharing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51" s="7" t="s">
        <v>41</v>
      </c>
    </row>
    <row r="252" spans="1:10" ht="13.2">
      <c r="A252" s="7">
        <v>251</v>
      </c>
      <c r="B252" s="7">
        <v>1</v>
      </c>
      <c r="C252" s="7" t="s">
        <v>10</v>
      </c>
      <c r="D252" s="7">
        <v>88</v>
      </c>
      <c r="E252" s="7" t="s">
        <v>30</v>
      </c>
      <c r="F252" s="8" t="str">
        <f ca="1">IFERROR(__xludf.DUMMYFUNCTION("IF
(
C253=""фізична особа""
,
VLOOKUP(D253,IMPORTRANGE(""https://docs.google.com/spreadsheets/d/14Bd19lYaqBhU8_DElYkX7l4wRkHqqCUFNJY4AfY3kHU/edit?usp=sharing  #gid=0"",""фіз особи new!relations_name""),6,FALSE)
,
(IF
(
C253=""юридична особа""
,
VLOOKUP(D2"&amp;"53,IMPORTRANGE(""https://docs.google.com/spreadsheets/d/14Bd19lYaqBhU8_DElYkX7l4wRkHqqCUFNJY4AfY3kHU/edit?usp=sharing  #gid=0"",""фіз особи new!relations_name_uo""),7,FALSE)
,
)
))"),"ЯЦКІН Андрій Володимирович")</f>
        <v>ЯЦКІН Андрій Володимирович</v>
      </c>
      <c r="G252" s="7" t="s">
        <v>10</v>
      </c>
      <c r="H252" s="7">
        <v>194</v>
      </c>
      <c r="I252" s="8" t="str">
        <f ca="1">IFERROR(__xludf.DUMMYFUNCTION("IF
(
G253=""фізична особа""
,
VLOOKUP(H253,IMPORTRANGE(""https://docs.google.com/spreadsheets/d/14Bd19lYaqBhU8_DElYkX7l4wRkHqqCUFNJY4AfY3kHU/edit?usp=sharing  #gid=0"",""фіз особи new!relations_name""),6,FALSE)
,
(IF
(
G253=""юридична особа""
,
VLOOKUP(H2"&amp;"53,IMPORTRANGE(""https://docs.google.com/spreadsheets/d/14Bd19lYaqBhU8_DElYkX7l4wRkHqqCUFNJY4AfY3kHU/edit?usp=sharing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J252" s="7" t="s">
        <v>30</v>
      </c>
    </row>
    <row r="253" spans="1:10" ht="13.2">
      <c r="A253" s="7">
        <v>252</v>
      </c>
      <c r="B253" s="7">
        <v>1</v>
      </c>
      <c r="C253" s="7" t="s">
        <v>10</v>
      </c>
      <c r="D253" s="7">
        <v>88</v>
      </c>
      <c r="E253" s="7" t="s">
        <v>30</v>
      </c>
      <c r="F253" s="8" t="str">
        <f ca="1">IFERROR(__xludf.DUMMYFUNCTION("IF
(
C254=""фізична особа""
,
VLOOKUP(D254,IMPORTRANGE(""https://docs.google.com/spreadsheets/d/14Bd19lYaqBhU8_DElYkX7l4wRkHqqCUFNJY4AfY3kHU/edit?usp=sharing  #gid=0"",""фіз особи new!relations_name""),6,FALSE)
,
(IF
(
C254=""юридична особа""
,
VLOOKUP(D2"&amp;"54,IMPORTRANGE(""https://docs.google.com/spreadsheets/d/14Bd19lYaqBhU8_DElYkX7l4wRkHqqCUFNJY4AfY3kHU/edit?usp=sharing  #gid=0"",""фіз особи new!relations_name_uo""),7,FALSE)
,
)
))"),"ЯЦКІН Андрій Володимирович")</f>
        <v>ЯЦКІН Андрій Володимирович</v>
      </c>
      <c r="G253" s="7" t="s">
        <v>10</v>
      </c>
      <c r="H253" s="7">
        <v>3308</v>
      </c>
      <c r="I253" s="8" t="str">
        <f ca="1">IFERROR(__xludf.DUMMYFUNCTION("IF
(
G254=""фізична особа""
,
VLOOKUP(H254,IMPORTRANGE(""https://docs.google.com/spreadsheets/d/14Bd19lYaqBhU8_DElYkX7l4wRkHqqCUFNJY4AfY3kHU/edit?usp=sharing  #gid=0"",""фіз особи new!relations_name""),6,FALSE)
,
(IF
(
G254=""юридична особа""
,
VLOOKUP(H2"&amp;"54,IMPORTRANGE(""https://docs.google.com/spreadsheets/d/14Bd19lYaqBhU8_DElYkX7l4wRkHqqCUFNJY4AfY3kHU/edit?usp=sharing  #gid=0"",""фіз особи new!relations_name_uo""),7,FALSE)
,
)
))"),"СТЕПАШИН Сергій Вадимович")</f>
        <v>СТЕПАШИН Сергій Вадимович</v>
      </c>
      <c r="J253" s="7" t="s">
        <v>30</v>
      </c>
    </row>
    <row r="254" spans="1:10" ht="13.2">
      <c r="A254" s="7">
        <v>253</v>
      </c>
      <c r="B254" s="7">
        <v>1</v>
      </c>
      <c r="C254" s="7" t="s">
        <v>10</v>
      </c>
      <c r="D254" s="7">
        <v>89</v>
      </c>
      <c r="E254" s="7" t="s">
        <v>28</v>
      </c>
      <c r="F254" s="8" t="str">
        <f ca="1">IFERROR(__xludf.DUMMYFUNCTION("IF
(
C255=""фізична особа""
,
VLOOKUP(D255,IMPORTRANGE(""https://docs.google.com/spreadsheets/d/14Bd19lYaqBhU8_DElYkX7l4wRkHqqCUFNJY4AfY3kHU/edit?usp=sharing  #gid=0"",""фіз особи new!relations_name""),6,FALSE)
,
(IF
(
C255=""юридична особа""
,
VLOOKUP(D2"&amp;"55,IMPORTRANGE(""https://docs.google.com/spreadsheets/d/14Bd19lYaqBhU8_DElYkX7l4wRkHqqCUFNJY4AfY3kHU/edit?usp=sharing  #gid=0"",""фіз особи new!relations_name_uo""),7,FALSE)
,
)
))"),"ЖУК Андрій Володимирович")</f>
        <v>ЖУК Андрій Володимирович</v>
      </c>
      <c r="G254" s="7" t="s">
        <v>10</v>
      </c>
      <c r="H254" s="7">
        <v>821</v>
      </c>
      <c r="I254" s="8" t="str">
        <f ca="1">IFERROR(__xludf.DUMMYFUNCTION("IF
(
G255=""фізична особа""
,
VLOOKUP(H255,IMPORTRANGE(""https://docs.google.com/spreadsheets/d/14Bd19lYaqBhU8_DElYkX7l4wRkHqqCUFNJY4AfY3kHU/edit?usp=sharing  #gid=0"",""фіз особи new!relations_name""),6,FALSE)
,
(IF
(
G255=""юридична особа""
,
VLOOKUP(H2"&amp;"55,IMPORTRANGE(""https://docs.google.com/spreadsheets/d/14Bd19lYaqBhU8_DElYkX7l4wRkHqqCUFNJY4AfY3kHU/edit?usp=sharing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254" s="7" t="s">
        <v>29</v>
      </c>
    </row>
    <row r="255" spans="1:10" ht="13.2">
      <c r="A255" s="7">
        <v>254</v>
      </c>
      <c r="B255" s="7">
        <v>1</v>
      </c>
      <c r="C255" s="7" t="s">
        <v>10</v>
      </c>
      <c r="D255" s="7">
        <v>90</v>
      </c>
      <c r="E255" s="7" t="s">
        <v>28</v>
      </c>
      <c r="F255" s="8" t="str">
        <f ca="1">IFERROR(__xludf.DUMMYFUNCTION("IF
(
C256=""фізична особа""
,
VLOOKUP(D256,IMPORTRANGE(""https://docs.google.com/spreadsheets/d/14Bd19lYaqBhU8_DElYkX7l4wRkHqqCUFNJY4AfY3kHU/edit?usp=sharing  #gid=0"",""фіз особи new!relations_name""),6,FALSE)
,
(IF
(
C256=""юридична особа""
,
VLOOKUP(D2"&amp;"56,IMPORTRANGE(""https://docs.google.com/spreadsheets/d/14Bd19lYaqBhU8_DElYkX7l4wRkHqqCUFNJY4AfY3kHU/edit?usp=sharing  #gid=0"",""фіз особи new!relations_name_uo""),7,FALSE)
,
)
))"),"ПАШКЕВИЧ Олександр Миколайович")</f>
        <v>ПАШКЕВИЧ Олександр Миколайович</v>
      </c>
      <c r="G255" s="7" t="s">
        <v>10</v>
      </c>
      <c r="H255" s="7">
        <v>57</v>
      </c>
      <c r="I255" s="8" t="str">
        <f ca="1">IFERROR(__xludf.DUMMYFUNCTION("IF
(
G256=""фізична особа""
,
VLOOKUP(H256,IMPORTRANGE(""https://docs.google.com/spreadsheets/d/14Bd19lYaqBhU8_DElYkX7l4wRkHqqCUFNJY4AfY3kHU/edit?usp=sharing  #gid=0"",""фіз особи new!relations_name""),6,FALSE)
,
(IF
(
G256=""юридична особа""
,
VLOOKUP(H2"&amp;"56,IMPORTRANGE(""https://docs.google.com/spreadsheets/d/14Bd19lYaqBhU8_DElYkX7l4wRkHqqCUFNJY4AfY3kHU/edit?usp=sharing  #gid=0"",""фіз особи new!relations_name_uo""),7,FALSE)
,
)
))"),"ЛОЗИЦЬКИЙ Олександр Віталійович")</f>
        <v>ЛОЗИЦЬКИЙ Олександр Віталійович</v>
      </c>
      <c r="J255" s="7" t="s">
        <v>29</v>
      </c>
    </row>
    <row r="256" spans="1:10" ht="13.2">
      <c r="A256" s="7">
        <v>255</v>
      </c>
      <c r="B256" s="7">
        <v>1</v>
      </c>
      <c r="C256" s="7" t="s">
        <v>10</v>
      </c>
      <c r="D256" s="7">
        <v>91</v>
      </c>
      <c r="E256" s="7" t="s">
        <v>12</v>
      </c>
      <c r="F256" s="8" t="str">
        <f ca="1">IFERROR(__xludf.DUMMYFUNCTION("IF
(
C257=""фізична особа""
,
VLOOKUP(D257,IMPORTRANGE(""https://docs.google.com/spreadsheets/d/14Bd19lYaqBhU8_DElYkX7l4wRkHqqCUFNJY4AfY3kHU/edit?usp=sharing  #gid=0"",""фіз особи new!relations_name""),6,FALSE)
,
(IF
(
C257=""юридична особа""
,
VLOOKUP(D2"&amp;"57,IMPORTRANGE(""https://docs.google.com/spreadsheets/d/14Bd19lYaqBhU8_DElYkX7l4wRkHqqCUFNJY4AfY3kHU/edit?usp=sharing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G256" s="7" t="s">
        <v>10</v>
      </c>
      <c r="H256" s="7">
        <v>4127</v>
      </c>
      <c r="I256" s="8" t="str">
        <f ca="1">IFERROR(__xludf.DUMMYFUNCTION("IF
(
G257=""фізична особа""
,
VLOOKUP(H257,IMPORTRANGE(""https://docs.google.com/spreadsheets/d/14Bd19lYaqBhU8_DElYkX7l4wRkHqqCUFNJY4AfY3kHU/edit?usp=sharing  #gid=0"",""фіз особи new!relations_name""),6,FALSE)
,
(IF
(
G257=""юридична особа""
,
VLOOKUP(H2"&amp;"57,IMPORTRANGE(""https://docs.google.com/spreadsheets/d/14Bd19lYaqBhU8_DElYkX7l4wRkHqqCUFNJY4AfY3kHU/edit?usp=sharing  #gid=0"",""фіз особи new!relations_name_uo""),7,FALSE)
,
)
))"),"ГОРОХОВ Євгеній Андрійович")</f>
        <v>ГОРОХОВ Євгеній Андрійович</v>
      </c>
      <c r="J256" s="7" t="s">
        <v>17</v>
      </c>
    </row>
    <row r="257" spans="1:10" ht="13.2">
      <c r="A257" s="7">
        <v>256</v>
      </c>
      <c r="B257" s="7">
        <v>1</v>
      </c>
      <c r="C257" s="7" t="s">
        <v>10</v>
      </c>
      <c r="D257" s="7">
        <v>91</v>
      </c>
      <c r="E257" s="7" t="s">
        <v>12</v>
      </c>
      <c r="F257" s="8" t="str">
        <f ca="1">IFERROR(__xludf.DUMMYFUNCTION("IF
(
C258=""фізична особа""
,
VLOOKUP(D258,IMPORTRANGE(""https://docs.google.com/spreadsheets/d/14Bd19lYaqBhU8_DElYkX7l4wRkHqqCUFNJY4AfY3kHU/edit?usp=sharing  #gid=0"",""фіз особи new!relations_name""),6,FALSE)
,
(IF
(
C258=""юридична особа""
,
VLOOKUP(D2"&amp;"58,IMPORTRANGE(""https://docs.google.com/spreadsheets/d/14Bd19lYaqBhU8_DElYkX7l4wRkHqqCUFNJY4AfY3kHU/edit?usp=sharing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G257" s="7" t="s">
        <v>10</v>
      </c>
      <c r="H257" s="7">
        <v>4128</v>
      </c>
      <c r="I257" s="8" t="str">
        <f ca="1">IFERROR(__xludf.DUMMYFUNCTION("IF
(
G258=""фізична особа""
,
VLOOKUP(H258,IMPORTRANGE(""https://docs.google.com/spreadsheets/d/14Bd19lYaqBhU8_DElYkX7l4wRkHqqCUFNJY4AfY3kHU/edit?usp=sharing  #gid=0"",""фіз особи new!relations_name""),6,FALSE)
,
(IF
(
G258=""юридична особа""
,
VLOOKUP(H2"&amp;"58,IMPORTRANGE(""https://docs.google.com/spreadsheets/d/14Bd19lYaqBhU8_DElYkX7l4wRkHqqCUFNJY4AfY3kHU/edit?usp=sharing  #gid=0"",""фіз особи new!relations_name_uo""),7,FALSE)
,
)
))"),"ГОРОХОВ Дмитро Андрійович")</f>
        <v>ГОРОХОВ Дмитро Андрійович</v>
      </c>
      <c r="J257" s="7" t="s">
        <v>17</v>
      </c>
    </row>
    <row r="258" spans="1:10" ht="13.2">
      <c r="A258" s="7">
        <v>257</v>
      </c>
      <c r="B258" s="7">
        <v>1</v>
      </c>
      <c r="C258" s="7" t="s">
        <v>10</v>
      </c>
      <c r="D258" s="7">
        <v>91</v>
      </c>
      <c r="E258" s="7" t="s">
        <v>12</v>
      </c>
      <c r="F258" s="8" t="str">
        <f ca="1">IFERROR(__xludf.DUMMYFUNCTION("IF
(
C259=""фізична особа""
,
VLOOKUP(D259,IMPORTRANGE(""https://docs.google.com/spreadsheets/d/14Bd19lYaqBhU8_DElYkX7l4wRkHqqCUFNJY4AfY3kHU/edit?usp=sharing  #gid=0"",""фіз особи new!relations_name""),6,FALSE)
,
(IF
(
C259=""юридична особа""
,
VLOOKUP(D2"&amp;"59,IMPORTRANGE(""https://docs.google.com/spreadsheets/d/14Bd19lYaqBhU8_DElYkX7l4wRkHqqCUFNJY4AfY3kHU/edit?usp=sharing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G258" s="7" t="s">
        <v>10</v>
      </c>
      <c r="H258" s="7">
        <v>0</v>
      </c>
      <c r="I258" s="8" t="str">
        <f ca="1">IFERROR(__xludf.DUMMYFUNCTION("IF
(
G259=""фізична особа""
,
VLOOKUP(H259,IMPORTRANGE(""https://docs.google.com/spreadsheets/d/14Bd19lYaqBhU8_DElYkX7l4wRkHqqCUFNJY4AfY3kHU/edit?usp=sharing  #gid=0"",""фіз особи new!relations_name""),6,FALSE)
,
(IF
(
G259=""юридична особа""
,
VLOOKUP(H2"&amp;"59,IMPORTRANGE(""https://docs.google.com/spreadsheets/d/14Bd19lYaqBhU8_DElYkX7l4wRkHqqCUFNJY4AfY3kHU/edit?usp=sharing  #gid=0"",""фіз особи new!relations_name_uo""),7,FALSE)
,
)
))"),"#N/A")</f>
        <v>#N/A</v>
      </c>
      <c r="J258" s="7" t="s">
        <v>13</v>
      </c>
    </row>
    <row r="259" spans="1:10" ht="13.2">
      <c r="A259" s="7">
        <v>258</v>
      </c>
      <c r="B259" s="7">
        <v>1</v>
      </c>
      <c r="C259" s="7" t="s">
        <v>10</v>
      </c>
      <c r="D259" s="7">
        <v>91</v>
      </c>
      <c r="E259" s="7" t="s">
        <v>30</v>
      </c>
      <c r="F259" s="8" t="str">
        <f ca="1">IFERROR(__xludf.DUMMYFUNCTION("IF
(
C260=""фізична особа""
,
VLOOKUP(D260,IMPORTRANGE(""https://docs.google.com/spreadsheets/d/14Bd19lYaqBhU8_DElYkX7l4wRkHqqCUFNJY4AfY3kHU/edit?usp=sharing  #gid=0"",""фіз особи new!relations_name""),6,FALSE)
,
(IF
(
C260=""юридична особа""
,
VLOOKUP(D2"&amp;"60,IMPORTRANGE(""https://docs.google.com/spreadsheets/d/14Bd19lYaqBhU8_DElYkX7l4wRkHqqCUFNJY4AfY3kHU/edit?usp=sharing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G259" s="7" t="s">
        <v>10</v>
      </c>
      <c r="H259" s="7">
        <v>0</v>
      </c>
      <c r="I259" s="8" t="str">
        <f ca="1">IFERROR(__xludf.DUMMYFUNCTION("IF
(
G260=""фізична особа""
,
VLOOKUP(H260,IMPORTRANGE(""https://docs.google.com/spreadsheets/d/14Bd19lYaqBhU8_DElYkX7l4wRkHqqCUFNJY4AfY3kHU/edit?usp=sharing  #gid=0"",""фіз особи new!relations_name""),6,FALSE)
,
(IF
(
G260=""юридична особа""
,
VLOOKUP(H2"&amp;"60,IMPORTRANGE(""https://docs.google.com/spreadsheets/d/14Bd19lYaqBhU8_DElYkX7l4wRkHqqCUFNJY4AfY3kHU/edit?usp=sharing  #gid=0"",""фіз особи new!relations_name_uo""),7,FALSE)
,
)
))"),"#N/A")</f>
        <v>#N/A</v>
      </c>
      <c r="J259" s="7" t="s">
        <v>30</v>
      </c>
    </row>
    <row r="260" spans="1:10" ht="13.2">
      <c r="A260" s="7">
        <v>259</v>
      </c>
      <c r="B260" s="7">
        <v>1</v>
      </c>
      <c r="C260" s="7" t="s">
        <v>10</v>
      </c>
      <c r="D260" s="7">
        <v>93</v>
      </c>
      <c r="E260" s="7" t="s">
        <v>28</v>
      </c>
      <c r="F260" s="8" t="str">
        <f ca="1">IFERROR(__xludf.DUMMYFUNCTION("IF
(
C261=""фізична особа""
,
VLOOKUP(D261,IMPORTRANGE(""https://docs.google.com/spreadsheets/d/14Bd19lYaqBhU8_DElYkX7l4wRkHqqCUFNJY4AfY3kHU/edit?usp=sharing  #gid=0"",""фіз особи new!relations_name""),6,FALSE)
,
(IF
(
C261=""юридична особа""
,
VLOOKUP(D2"&amp;"61,IMPORTRANGE(""https://docs.google.com/spreadsheets/d/14Bd19lYaqBhU8_DElYkX7l4wRkHqqCUFNJY4AfY3kHU/edit?usp=sharing  #gid=0"",""фіз особи new!relations_name_uo""),7,FALSE)
,
)
))"),"ТОДОРОВА Ганна Юріївна")</f>
        <v>ТОДОРОВА Ганна Юріївна</v>
      </c>
      <c r="G260" s="7" t="s">
        <v>10</v>
      </c>
      <c r="H260" s="7">
        <v>653</v>
      </c>
      <c r="I260" s="8" t="str">
        <f ca="1">IFERROR(__xludf.DUMMYFUNCTION("IF
(
G261=""фізична особа""
,
VLOOKUP(H261,IMPORTRANGE(""https://docs.google.com/spreadsheets/d/14Bd19lYaqBhU8_DElYkX7l4wRkHqqCUFNJY4AfY3kHU/edit?usp=sharing  #gid=0"",""фіз особи new!relations_name""),6,FALSE)
,
(IF
(
G261=""юридична особа""
,
VLOOKUP(H2"&amp;"61,IMPORTRANGE(""https://docs.google.com/spreadsheets/d/14Bd19lYaqBhU8_DElYkX7l4wRkHqqCUFNJY4AfY3kHU/edit?usp=sharing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260" s="7" t="s">
        <v>29</v>
      </c>
    </row>
    <row r="261" spans="1:10" ht="13.2">
      <c r="A261" s="7">
        <v>260</v>
      </c>
      <c r="B261" s="7">
        <v>1</v>
      </c>
      <c r="C261" s="7" t="s">
        <v>10</v>
      </c>
      <c r="D261" s="7">
        <v>94</v>
      </c>
      <c r="E261" s="7" t="s">
        <v>31</v>
      </c>
      <c r="F261" s="8" t="str">
        <f ca="1">IFERROR(__xludf.DUMMYFUNCTION("IF
(
C262=""фізична особа""
,
VLOOKUP(D262,IMPORTRANGE(""https://docs.google.com/spreadsheets/d/14Bd19lYaqBhU8_DElYkX7l4wRkHqqCUFNJY4AfY3kHU/edit?usp=sharing  #gid=0"",""фіз особи new!relations_name""),6,FALSE)
,
(IF
(
C262=""юридична особа""
,
VLOOKUP(D2"&amp;"62,IMPORTRANGE(""https://docs.google.com/spreadsheets/d/14Bd19lYaqBhU8_DElYkX7l4wRkHqqCUFNJY4AfY3kHU/edit?usp=sharing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1" s="7" t="s">
        <v>10</v>
      </c>
      <c r="H261" s="7">
        <v>4129</v>
      </c>
      <c r="I261" s="8" t="str">
        <f ca="1">IFERROR(__xludf.DUMMYFUNCTION("IF
(
G262=""фізична особа""
,
VLOOKUP(H262,IMPORTRANGE(""https://docs.google.com/spreadsheets/d/14Bd19lYaqBhU8_DElYkX7l4wRkHqqCUFNJY4AfY3kHU/edit?usp=sharing  #gid=0"",""фіз особи new!relations_name""),6,FALSE)
,
(IF
(
G262=""юридична особа""
,
VLOOKUP(H2"&amp;"62,IMPORTRANGE(""https://docs.google.com/spreadsheets/d/14Bd19lYaqBhU8_DElYkX7l4wRkHqqCUFNJY4AfY3kHU/edit?usp=sharing  #gid=0"",""фіз особи new!relations_name_uo""),7,FALSE)
,
)
))"),"БУЛАЄВ Костянтин Юрійович")</f>
        <v>БУЛАЄВ Костянтин Юрійович</v>
      </c>
      <c r="J261" s="7" t="s">
        <v>18</v>
      </c>
    </row>
    <row r="262" spans="1:10" ht="13.2">
      <c r="A262" s="7">
        <v>261</v>
      </c>
      <c r="B262" s="7">
        <v>1</v>
      </c>
      <c r="C262" s="7" t="s">
        <v>10</v>
      </c>
      <c r="D262" s="7">
        <v>94</v>
      </c>
      <c r="E262" s="7" t="s">
        <v>15</v>
      </c>
      <c r="F262" s="8" t="str">
        <f ca="1">IFERROR(__xludf.DUMMYFUNCTION("IF
(
C263=""фізична особа""
,
VLOOKUP(D263,IMPORTRANGE(""https://docs.google.com/spreadsheets/d/14Bd19lYaqBhU8_DElYkX7l4wRkHqqCUFNJY4AfY3kHU/edit?usp=sharing  #gid=0"",""фіз особи new!relations_name""),6,FALSE)
,
(IF
(
C263=""юридична особа""
,
VLOOKUP(D2"&amp;"63,IMPORTRANGE(""https://docs.google.com/spreadsheets/d/14Bd19lYaqBhU8_DElYkX7l4wRkHqqCUFNJY4AfY3kHU/edit?usp=sharing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2" s="7" t="s">
        <v>10</v>
      </c>
      <c r="H262" s="7">
        <v>4130</v>
      </c>
      <c r="I262" s="8" t="str">
        <f ca="1">IFERROR(__xludf.DUMMYFUNCTION("IF
(
G263=""фізична особа""
,
VLOOKUP(H263,IMPORTRANGE(""https://docs.google.com/spreadsheets/d/14Bd19lYaqBhU8_DElYkX7l4wRkHqqCUFNJY4AfY3kHU/edit?usp=sharing  #gid=0"",""фіз особи new!relations_name""),6,FALSE)
,
(IF
(
G263=""юридична особа""
,
VLOOKUP(H2"&amp;"63,IMPORTRANGE(""https://docs.google.com/spreadsheets/d/14Bd19lYaqBhU8_DElYkX7l4wRkHqqCUFNJY4AfY3kHU/edit?usp=sharing  #gid=0"",""фіз особи new!relations_name_uo""),7,FALSE)
,
)
))"),"КУЗНЄЦОВ Олексій Андрійович")</f>
        <v>КУЗНЄЦОВ Олексій Андрійович</v>
      </c>
      <c r="J262" s="7" t="s">
        <v>14</v>
      </c>
    </row>
    <row r="263" spans="1:10" ht="13.2">
      <c r="A263" s="7">
        <v>262</v>
      </c>
      <c r="B263" s="7">
        <v>1</v>
      </c>
      <c r="C263" s="7" t="s">
        <v>10</v>
      </c>
      <c r="D263" s="7">
        <v>94</v>
      </c>
      <c r="E263" s="7" t="s">
        <v>21</v>
      </c>
      <c r="F263" s="8" t="str">
        <f ca="1">IFERROR(__xludf.DUMMYFUNCTION("IF
(
C264=""фізична особа""
,
VLOOKUP(D264,IMPORTRANGE(""https://docs.google.com/spreadsheets/d/14Bd19lYaqBhU8_DElYkX7l4wRkHqqCUFNJY4AfY3kHU/edit?usp=sharing  #gid=0"",""фіз особи new!relations_name""),6,FALSE)
,
(IF
(
C264=""юридична особа""
,
VLOOKUP(D2"&amp;"64,IMPORTRANGE(""https://docs.google.com/spreadsheets/d/14Bd19lYaqBhU8_DElYkX7l4wRkHqqCUFNJY4AfY3kHU/edit?usp=sharing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3" s="7" t="s">
        <v>10</v>
      </c>
      <c r="H263" s="7">
        <v>4131</v>
      </c>
      <c r="I263" s="8" t="str">
        <f ca="1">IFERROR(__xludf.DUMMYFUNCTION("IF
(
G264=""фізична особа""
,
VLOOKUP(H264,IMPORTRANGE(""https://docs.google.com/spreadsheets/d/14Bd19lYaqBhU8_DElYkX7l4wRkHqqCUFNJY4AfY3kHU/edit?usp=sharing  #gid=0"",""фіз особи new!relations_name""),6,FALSE)
,
(IF
(
G264=""юридична особа""
,
VLOOKUP(H2"&amp;"64,IMPORTRANGE(""https://docs.google.com/spreadsheets/d/14Bd19lYaqBhU8_DElYkX7l4wRkHqqCUFNJY4AfY3kHU/edit?usp=sharing  #gid=0"",""фіз особи new!relations_name_uo""),7,FALSE)
,
)
))"),"КУЗНЕЦОВ Іван Олексійович")</f>
        <v>КУЗНЕЦОВ Іван Олексійович</v>
      </c>
      <c r="J263" s="7" t="s">
        <v>17</v>
      </c>
    </row>
    <row r="264" spans="1:10" ht="13.2">
      <c r="A264" s="7">
        <v>263</v>
      </c>
      <c r="B264" s="7">
        <v>1</v>
      </c>
      <c r="C264" s="7" t="s">
        <v>10</v>
      </c>
      <c r="D264" s="7">
        <v>94</v>
      </c>
      <c r="E264" s="7" t="s">
        <v>21</v>
      </c>
      <c r="F264" s="8" t="str">
        <f ca="1">IFERROR(__xludf.DUMMYFUNCTION("IF
(
C265=""фізична особа""
,
VLOOKUP(D265,IMPORTRANGE(""https://docs.google.com/spreadsheets/d/14Bd19lYaqBhU8_DElYkX7l4wRkHqqCUFNJY4AfY3kHU/edit?usp=sharing  #gid=0"",""фіз особи new!relations_name""),6,FALSE)
,
(IF
(
C265=""юридична особа""
,
VLOOKUP(D2"&amp;"65,IMPORTRANGE(""https://docs.google.com/spreadsheets/d/14Bd19lYaqBhU8_DElYkX7l4wRkHqqCUFNJY4AfY3kHU/edit?usp=sharing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4" s="7" t="s">
        <v>10</v>
      </c>
      <c r="H264" s="7">
        <v>4132</v>
      </c>
      <c r="I264" s="8" t="str">
        <f ca="1">IFERROR(__xludf.DUMMYFUNCTION("IF
(
G265=""фізична особа""
,
VLOOKUP(H265,IMPORTRANGE(""https://docs.google.com/spreadsheets/d/14Bd19lYaqBhU8_DElYkX7l4wRkHqqCUFNJY4AfY3kHU/edit?usp=sharing  #gid=0"",""фіз особи new!relations_name""),6,FALSE)
,
(IF
(
G265=""юридична особа""
,
VLOOKUP(H2"&amp;"65,IMPORTRANGE(""https://docs.google.com/spreadsheets/d/14Bd19lYaqBhU8_DElYkX7l4wRkHqqCUFNJY4AfY3kHU/edit?usp=sharing  #gid=0"",""фіз особи new!relations_name_uo""),7,FALSE)
,
)
))"),"КУЗНЄЦОВ Микола Олексійович")</f>
        <v>КУЗНЄЦОВ Микола Олексійович</v>
      </c>
      <c r="J264" s="7" t="s">
        <v>17</v>
      </c>
    </row>
    <row r="265" spans="1:10" ht="13.2">
      <c r="A265" s="7">
        <v>264</v>
      </c>
      <c r="B265" s="7">
        <v>1</v>
      </c>
      <c r="C265" s="7" t="s">
        <v>10</v>
      </c>
      <c r="D265" s="7">
        <v>94</v>
      </c>
      <c r="E265" s="7" t="s">
        <v>21</v>
      </c>
      <c r="F265" s="8" t="str">
        <f ca="1">IFERROR(__xludf.DUMMYFUNCTION("IF
(
C266=""фізична особа""
,
VLOOKUP(D266,IMPORTRANGE(""https://docs.google.com/spreadsheets/d/14Bd19lYaqBhU8_DElYkX7l4wRkHqqCUFNJY4AfY3kHU/edit?usp=sharing  #gid=0"",""фіз особи new!relations_name""),6,FALSE)
,
(IF
(
C266=""юридична особа""
,
VLOOKUP(D2"&amp;"66,IMPORTRANGE(""https://docs.google.com/spreadsheets/d/14Bd19lYaqBhU8_DElYkX7l4wRkHqqCUFNJY4AfY3kHU/edit?usp=sharing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5" s="7" t="s">
        <v>10</v>
      </c>
      <c r="H265" s="7">
        <v>4133</v>
      </c>
      <c r="I265" s="8" t="str">
        <f ca="1">IFERROR(__xludf.DUMMYFUNCTION("IF
(
G266=""фізична особа""
,
VLOOKUP(H266,IMPORTRANGE(""https://docs.google.com/spreadsheets/d/14Bd19lYaqBhU8_DElYkX7l4wRkHqqCUFNJY4AfY3kHU/edit?usp=sharing  #gid=0"",""фіз особи new!relations_name""),6,FALSE)
,
(IF
(
G266=""юридична особа""
,
VLOOKUP(H2"&amp;"66,IMPORTRANGE(""https://docs.google.com/spreadsheets/d/14Bd19lYaqBhU8_DElYkX7l4wRkHqqCUFNJY4AfY3kHU/edit?usp=sharing  #gid=0"",""фіз особи new!relations_name_uo""),7,FALSE)
,
)
))"),"КУЗНЄЦОВ Тимофій Олексійович")</f>
        <v>КУЗНЄЦОВ Тимофій Олексійович</v>
      </c>
      <c r="J265" s="7" t="s">
        <v>17</v>
      </c>
    </row>
    <row r="266" spans="1:10" ht="13.2">
      <c r="A266" s="7">
        <v>265</v>
      </c>
      <c r="B266" s="7">
        <v>1</v>
      </c>
      <c r="C266" s="7" t="s">
        <v>10</v>
      </c>
      <c r="D266" s="7">
        <v>94</v>
      </c>
      <c r="E266" s="7" t="s">
        <v>21</v>
      </c>
      <c r="F266" s="8" t="str">
        <f ca="1">IFERROR(__xludf.DUMMYFUNCTION("IF
(
C267=""фізична особа""
,
VLOOKUP(D267,IMPORTRANGE(""https://docs.google.com/spreadsheets/d/14Bd19lYaqBhU8_DElYkX7l4wRkHqqCUFNJY4AfY3kHU/edit?usp=sharing  #gid=0"",""фіз особи new!relations_name""),6,FALSE)
,
(IF
(
C267=""юридична особа""
,
VLOOKUP(D2"&amp;"67,IMPORTRANGE(""https://docs.google.com/spreadsheets/d/14Bd19lYaqBhU8_DElYkX7l4wRkHqqCUFNJY4AfY3kHU/edit?usp=sharing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6" s="7" t="s">
        <v>10</v>
      </c>
      <c r="H266" s="7">
        <v>4134</v>
      </c>
      <c r="I266" s="8" t="str">
        <f ca="1">IFERROR(__xludf.DUMMYFUNCTION("IF
(
G267=""фізична особа""
,
VLOOKUP(H267,IMPORTRANGE(""https://docs.google.com/spreadsheets/d/14Bd19lYaqBhU8_DElYkX7l4wRkHqqCUFNJY4AfY3kHU/edit?usp=sharing  #gid=0"",""фіз особи new!relations_name""),6,FALSE)
,
(IF
(
G267=""юридична особа""
,
VLOOKUP(H2"&amp;"67,IMPORTRANGE(""https://docs.google.com/spreadsheets/d/14Bd19lYaqBhU8_DElYkX7l4wRkHqqCUFNJY4AfY3kHU/edit?usp=sharing  #gid=0"",""фіз особи new!relations_name_uo""),7,FALSE)
,
)
))"),"КУЗНЄЦОВ Лев Олексійович")</f>
        <v>КУЗНЄЦОВ Лев Олексійович</v>
      </c>
      <c r="J266" s="7" t="s">
        <v>17</v>
      </c>
    </row>
    <row r="267" spans="1:10" ht="13.2">
      <c r="A267" s="7">
        <v>266</v>
      </c>
      <c r="B267" s="7">
        <v>1</v>
      </c>
      <c r="C267" s="7" t="s">
        <v>10</v>
      </c>
      <c r="D267" s="7">
        <v>94</v>
      </c>
      <c r="E267" s="7" t="s">
        <v>21</v>
      </c>
      <c r="F267" s="8" t="str">
        <f ca="1">IFERROR(__xludf.DUMMYFUNCTION("IF
(
C268=""фізична особа""
,
VLOOKUP(D268,IMPORTRANGE(""https://docs.google.com/spreadsheets/d/14Bd19lYaqBhU8_DElYkX7l4wRkHqqCUFNJY4AfY3kHU/edit?usp=sharing  #gid=0"",""фіз особи new!relations_name""),6,FALSE)
,
(IF
(
C268=""юридична особа""
,
VLOOKUP(D2"&amp;"68,IMPORTRANGE(""https://docs.google.com/spreadsheets/d/14Bd19lYaqBhU8_DElYkX7l4wRkHqqCUFNJY4AfY3kHU/edit?usp=sharing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7" s="7" t="s">
        <v>10</v>
      </c>
      <c r="H267" s="7">
        <v>4135</v>
      </c>
      <c r="I267" s="8" t="str">
        <f ca="1">IFERROR(__xludf.DUMMYFUNCTION("IF
(
G268=""фізична особа""
,
VLOOKUP(H268,IMPORTRANGE(""https://docs.google.com/spreadsheets/d/14Bd19lYaqBhU8_DElYkX7l4wRkHqqCUFNJY4AfY3kHU/edit?usp=sharing  #gid=0"",""фіз особи new!relations_name""),6,FALSE)
,
(IF
(
G268=""юридична особа""
,
VLOOKUP(H2"&amp;"68,IMPORTRANGE(""https://docs.google.com/spreadsheets/d/14Bd19lYaqBhU8_DElYkX7l4wRkHqqCUFNJY4AfY3kHU/edit?usp=sharing  #gid=0"",""фіз особи new!relations_name_uo""),7,FALSE)
,
)
))"),"КУЗНЄЦОВА Марія Олексіївна")</f>
        <v>КУЗНЄЦОВА Марія Олексіївна</v>
      </c>
      <c r="J267" s="7" t="s">
        <v>13</v>
      </c>
    </row>
    <row r="268" spans="1:10" ht="13.2">
      <c r="A268" s="7">
        <v>267</v>
      </c>
      <c r="B268" s="7">
        <v>1</v>
      </c>
      <c r="C268" s="7" t="s">
        <v>10</v>
      </c>
      <c r="D268" s="7">
        <v>94</v>
      </c>
      <c r="E268" s="7" t="s">
        <v>21</v>
      </c>
      <c r="F268" s="8" t="str">
        <f ca="1">IFERROR(__xludf.DUMMYFUNCTION("IF
(
C269=""фізична особа""
,
VLOOKUP(D269,IMPORTRANGE(""https://docs.google.com/spreadsheets/d/14Bd19lYaqBhU8_DElYkX7l4wRkHqqCUFNJY4AfY3kHU/edit?usp=sharing  #gid=0"",""фіз особи new!relations_name""),6,FALSE)
,
(IF
(
C269=""юридична особа""
,
VLOOKUP(D2"&amp;"69,IMPORTRANGE(""https://docs.google.com/spreadsheets/d/14Bd19lYaqBhU8_DElYkX7l4wRkHqqCUFNJY4AfY3kHU/edit?usp=sharing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G268" s="7" t="s">
        <v>10</v>
      </c>
      <c r="H268" s="7">
        <v>4136</v>
      </c>
      <c r="I268" s="8" t="str">
        <f ca="1">IFERROR(__xludf.DUMMYFUNCTION("IF
(
G269=""фізична особа""
,
VLOOKUP(H269,IMPORTRANGE(""https://docs.google.com/spreadsheets/d/14Bd19lYaqBhU8_DElYkX7l4wRkHqqCUFNJY4AfY3kHU/edit?usp=sharing  #gid=0"",""фіз особи new!relations_name""),6,FALSE)
,
(IF
(
G269=""юридична особа""
,
VLOOKUP(H2"&amp;"69,IMPORTRANGE(""https://docs.google.com/spreadsheets/d/14Bd19lYaqBhU8_DElYkX7l4wRkHqqCUFNJY4AfY3kHU/edit?usp=sharing  #gid=0"",""фіз особи new!relations_name_uo""),7,FALSE)
,
)
))"),"КУЗНЄЦОВА Дар'я Олексіївна")</f>
        <v>КУЗНЄЦОВА Дар'я Олексіївна</v>
      </c>
      <c r="J268" s="7" t="s">
        <v>13</v>
      </c>
    </row>
    <row r="269" spans="1:10" ht="13.2">
      <c r="A269" s="7">
        <v>268</v>
      </c>
      <c r="B269" s="7">
        <v>1</v>
      </c>
      <c r="C269" s="7" t="s">
        <v>10</v>
      </c>
      <c r="D269" s="7">
        <v>95</v>
      </c>
      <c r="E269" s="7" t="s">
        <v>18</v>
      </c>
      <c r="F269" s="8" t="str">
        <f ca="1">IFERROR(__xludf.DUMMYFUNCTION("IF
(
C270=""фізична особа""
,
VLOOKUP(D270,IMPORTRANGE(""https://docs.google.com/spreadsheets/d/14Bd19lYaqBhU8_DElYkX7l4wRkHqqCUFNJY4AfY3kHU/edit?usp=sharing  #gid=0"",""фіз особи new!relations_name""),6,FALSE)
,
(IF
(
C270=""юридична особа""
,
VLOOKUP(D2"&amp;"70,IMPORTRANGE(""https://docs.google.com/spreadsheets/d/14Bd19lYaqBhU8_DElYkX7l4wRkHqqCUFNJY4AfY3kHU/edit?usp=sharing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G269" s="7" t="s">
        <v>10</v>
      </c>
      <c r="H269" s="7">
        <v>4137</v>
      </c>
      <c r="I269" s="8" t="str">
        <f ca="1">IFERROR(__xludf.DUMMYFUNCTION("IF
(
G270=""фізична особа""
,
VLOOKUP(H270,IMPORTRANGE(""https://docs.google.com/spreadsheets/d/14Bd19lYaqBhU8_DElYkX7l4wRkHqqCUFNJY4AfY3kHU/edit?usp=sharing  #gid=0"",""фіз особи new!relations_name""),6,FALSE)
,
(IF
(
G270=""юридична особа""
,
VLOOKUP(H2"&amp;"70,IMPORTRANGE(""https://docs.google.com/spreadsheets/d/14Bd19lYaqBhU8_DElYkX7l4wRkHqqCUFNJY4AfY3kHU/edit?usp=sharing  #gid=0"",""фіз особи new!relations_name_uo""),7,FALSE)
,
)
))"),"КРАСНОШТАНОВ Дмитро Олексійович")</f>
        <v>КРАСНОШТАНОВ Дмитро Олексійович</v>
      </c>
      <c r="J269" s="7" t="s">
        <v>18</v>
      </c>
    </row>
    <row r="270" spans="1:10" ht="13.2">
      <c r="A270" s="7">
        <v>269</v>
      </c>
      <c r="B270" s="7">
        <v>1</v>
      </c>
      <c r="C270" s="7" t="s">
        <v>10</v>
      </c>
      <c r="D270" s="7">
        <v>95</v>
      </c>
      <c r="E270" s="7" t="s">
        <v>17</v>
      </c>
      <c r="F270" s="8" t="str">
        <f ca="1">IFERROR(__xludf.DUMMYFUNCTION("IF
(
C271=""фізична особа""
,
VLOOKUP(D271,IMPORTRANGE(""https://docs.google.com/spreadsheets/d/14Bd19lYaqBhU8_DElYkX7l4wRkHqqCUFNJY4AfY3kHU/edit?usp=sharing  #gid=0"",""фіз особи new!relations_name""),6,FALSE)
,
(IF
(
C271=""юридична особа""
,
VLOOKUP(D2"&amp;"71,IMPORTRANGE(""https://docs.google.com/spreadsheets/d/14Bd19lYaqBhU8_DElYkX7l4wRkHqqCUFNJY4AfY3kHU/edit?usp=sharing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G270" s="7" t="s">
        <v>10</v>
      </c>
      <c r="H270" s="7">
        <v>4138</v>
      </c>
      <c r="I270" s="8" t="str">
        <f ca="1">IFERROR(__xludf.DUMMYFUNCTION("IF
(
G271=""фізична особа""
,
VLOOKUP(H271,IMPORTRANGE(""https://docs.google.com/spreadsheets/d/14Bd19lYaqBhU8_DElYkX7l4wRkHqqCUFNJY4AfY3kHU/edit?usp=sharing  #gid=0"",""фіз особи new!relations_name""),6,FALSE)
,
(IF
(
G271=""юридична особа""
,
VLOOKUP(H2"&amp;"71,IMPORTRANGE(""https://docs.google.com/spreadsheets/d/14Bd19lYaqBhU8_DElYkX7l4wRkHqqCUFNJY4AfY3kHU/edit?usp=sharing  #gid=0"",""фіз особи new!relations_name_uo""),7,FALSE)
,
)
))"),"КРАСНОШТАНОВ Олексій Миколайович")</f>
        <v>КРАСНОШТАНОВ Олексій Миколайович</v>
      </c>
      <c r="J270" s="7" t="s">
        <v>12</v>
      </c>
    </row>
    <row r="271" spans="1:10" ht="13.2">
      <c r="A271" s="7">
        <v>270</v>
      </c>
      <c r="B271" s="7">
        <v>1</v>
      </c>
      <c r="C271" s="7" t="s">
        <v>10</v>
      </c>
      <c r="D271" s="7">
        <v>95</v>
      </c>
      <c r="E271" s="7" t="s">
        <v>14</v>
      </c>
      <c r="F271" s="8" t="str">
        <f ca="1">IFERROR(__xludf.DUMMYFUNCTION("IF
(
C272=""фізична особа""
,
VLOOKUP(D272,IMPORTRANGE(""https://docs.google.com/spreadsheets/d/14Bd19lYaqBhU8_DElYkX7l4wRkHqqCUFNJY4AfY3kHU/edit?usp=sharing  #gid=0"",""фіз особи new!relations_name""),6,FALSE)
,
(IF
(
C272=""юридична особа""
,
VLOOKUP(D2"&amp;"72,IMPORTRANGE(""https://docs.google.com/spreadsheets/d/14Bd19lYaqBhU8_DElYkX7l4wRkHqqCUFNJY4AfY3kHU/edit?usp=sharing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G271" s="7" t="s">
        <v>10</v>
      </c>
      <c r="H271" s="7">
        <v>4139</v>
      </c>
      <c r="I271" s="8" t="str">
        <f ca="1">IFERROR(__xludf.DUMMYFUNCTION("IF
(
G272=""фізична особа""
,
VLOOKUP(H272,IMPORTRANGE(""https://docs.google.com/spreadsheets/d/14Bd19lYaqBhU8_DElYkX7l4wRkHqqCUFNJY4AfY3kHU/edit?usp=sharing  #gid=0"",""фіз особи new!relations_name""),6,FALSE)
,
(IF
(
G272=""юридична особа""
,
VLOOKUP(H2"&amp;"72,IMPORTRANGE(""https://docs.google.com/spreadsheets/d/14Bd19lYaqBhU8_DElYkX7l4wRkHqqCUFNJY4AfY3kHU/edit?usp=sharing  #gid=0"",""фіз особи new!relations_name_uo""),7,FALSE)
,
)
))"),"КРАСНОШТАНОВА Анастасія Олександрівна")</f>
        <v>КРАСНОШТАНОВА Анастасія Олександрівна</v>
      </c>
      <c r="J271" s="7" t="s">
        <v>15</v>
      </c>
    </row>
    <row r="272" spans="1:10" ht="13.2">
      <c r="A272" s="7">
        <v>271</v>
      </c>
      <c r="B272" s="7">
        <v>1</v>
      </c>
      <c r="C272" s="7" t="s">
        <v>10</v>
      </c>
      <c r="D272" s="7">
        <v>95</v>
      </c>
      <c r="E272" s="7" t="s">
        <v>18</v>
      </c>
      <c r="F272" s="8" t="str">
        <f ca="1">IFERROR(__xludf.DUMMYFUNCTION("IF
(
C273=""фізична особа""
,
VLOOKUP(D273,IMPORTRANGE(""https://docs.google.com/spreadsheets/d/14Bd19lYaqBhU8_DElYkX7l4wRkHqqCUFNJY4AfY3kHU/edit?usp=sharing  #gid=0"",""фіз особи new!relations_name""),6,FALSE)
,
(IF
(
C273=""юридична особа""
,
VLOOKUP(D2"&amp;"73,IMPORTRANGE(""https://docs.google.com/spreadsheets/d/14Bd19lYaqBhU8_DElYkX7l4wRkHqqCUFNJY4AfY3kHU/edit?usp=sharing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G272" s="7" t="s">
        <v>10</v>
      </c>
      <c r="H272" s="7">
        <v>4140</v>
      </c>
      <c r="I272" s="8" t="str">
        <f ca="1">IFERROR(__xludf.DUMMYFUNCTION("IF
(
G273=""фізична особа""
,
VLOOKUP(H273,IMPORTRANGE(""https://docs.google.com/spreadsheets/d/14Bd19lYaqBhU8_DElYkX7l4wRkHqqCUFNJY4AfY3kHU/edit?usp=sharing  #gid=0"",""фіз особи new!relations_name""),6,FALSE)
,
(IF
(
G273=""юридична особа""
,
VLOOKUP(H2"&amp;"73,IMPORTRANGE(""https://docs.google.com/spreadsheets/d/14Bd19lYaqBhU8_DElYkX7l4wRkHqqCUFNJY4AfY3kHU/edit?usp=sharing  #gid=0"",""фіз особи new!relations_name_uo""),7,FALSE)
,
)
))"),"КРАСНОШТАНОВА Тетяна Олексіївна")</f>
        <v>КРАСНОШТАНОВА Тетяна Олексіївна</v>
      </c>
      <c r="J272" s="7" t="s">
        <v>31</v>
      </c>
    </row>
    <row r="273" spans="1:10" ht="13.2">
      <c r="A273" s="7">
        <v>272</v>
      </c>
      <c r="B273" s="7">
        <v>1</v>
      </c>
      <c r="C273" s="7" t="s">
        <v>10</v>
      </c>
      <c r="D273" s="7">
        <v>95</v>
      </c>
      <c r="E273" s="7" t="s">
        <v>17</v>
      </c>
      <c r="F273" s="8" t="str">
        <f ca="1">IFERROR(__xludf.DUMMYFUNCTION("IF
(
C274=""фізична особа""
,
VLOOKUP(D274,IMPORTRANGE(""https://docs.google.com/spreadsheets/d/14Bd19lYaqBhU8_DElYkX7l4wRkHqqCUFNJY4AfY3kHU/edit?usp=sharing  #gid=0"",""фіз особи new!relations_name""),6,FALSE)
,
(IF
(
C274=""юридична особа""
,
VLOOKUP(D2"&amp;"74,IMPORTRANGE(""https://docs.google.com/spreadsheets/d/14Bd19lYaqBhU8_DElYkX7l4wRkHqqCUFNJY4AfY3kHU/edit?usp=sharing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G273" s="7" t="s">
        <v>10</v>
      </c>
      <c r="H273" s="7">
        <v>4141</v>
      </c>
      <c r="I273" s="8" t="str">
        <f ca="1">IFERROR(__xludf.DUMMYFUNCTION("IF
(
G274=""фізична особа""
,
VLOOKUP(H274,IMPORTRANGE(""https://docs.google.com/spreadsheets/d/14Bd19lYaqBhU8_DElYkX7l4wRkHqqCUFNJY4AfY3kHU/edit?usp=sharing  #gid=0"",""фіз особи new!relations_name""),6,FALSE)
,
(IF
(
G274=""юридична особа""
,
VLOOKUP(H2"&amp;"74,IMPORTRANGE(""https://docs.google.com/spreadsheets/d/14Bd19lYaqBhU8_DElYkX7l4wRkHqqCUFNJY4AfY3kHU/edit?usp=sharing  #gid=0"",""фіз особи new!relations_name_uo""),7,FALSE)
,
)
))"),"КРАСНОШТАНОВА Людмила Іванівна")</f>
        <v>КРАСНОШТАНОВА Людмила Іванівна</v>
      </c>
      <c r="J273" s="7" t="s">
        <v>21</v>
      </c>
    </row>
    <row r="274" spans="1:10" ht="13.2">
      <c r="A274" s="7">
        <v>273</v>
      </c>
      <c r="B274" s="7">
        <v>1</v>
      </c>
      <c r="C274" s="7" t="s">
        <v>10</v>
      </c>
      <c r="D274" s="7">
        <v>96</v>
      </c>
      <c r="E274" s="7" t="s">
        <v>17</v>
      </c>
      <c r="F274" s="8" t="str">
        <f ca="1">IFERROR(__xludf.DUMMYFUNCTION("IF
(
C275=""фізична особа""
,
VLOOKUP(D275,IMPORTRANGE(""https://docs.google.com/spreadsheets/d/14Bd19lYaqBhU8_DElYkX7l4wRkHqqCUFNJY4AfY3kHU/edit?usp=sharing  #gid=0"",""фіз особи new!relations_name""),6,FALSE)
,
(IF
(
C275=""юридична особа""
,
VLOOKUP(D2"&amp;"75,IMPORTRANGE(""https://docs.google.com/spreadsheets/d/14Bd19lYaqBhU8_DElYkX7l4wRkHqqCUFNJY4AfY3kHU/edit?usp=sharing  #gid=0"",""фіз особи new!relations_name_uo""),7,FALSE)
,
)
))"),"БАСАНСЬКИЙ Антон Олександрович")</f>
        <v>БАСАНСЬКИЙ Антон Олександрович</v>
      </c>
      <c r="G274" s="7" t="s">
        <v>10</v>
      </c>
      <c r="H274" s="7">
        <v>4142</v>
      </c>
      <c r="I274" s="8" t="str">
        <f ca="1">IFERROR(__xludf.DUMMYFUNCTION("IF
(
G275=""фізична особа""
,
VLOOKUP(H275,IMPORTRANGE(""https://docs.google.com/spreadsheets/d/14Bd19lYaqBhU8_DElYkX7l4wRkHqqCUFNJY4AfY3kHU/edit?usp=sharing  #gid=0"",""фіз особи new!relations_name""),6,FALSE)
,
(IF
(
G275=""юридична особа""
,
VLOOKUP(H2"&amp;"75,IMPORTRANGE(""https://docs.google.com/spreadsheets/d/14Bd19lYaqBhU8_DElYkX7l4wRkHqqCUFNJY4AfY3kHU/edit?usp=sharing  #gid=0"",""фіз особи new!relations_name_uo""),7,FALSE)
,
)
))"),"БАСАНСЬКИЙ Олександр Олександрович")</f>
        <v>БАСАНСЬКИЙ Олександр Олександрович</v>
      </c>
      <c r="J274" s="7" t="s">
        <v>12</v>
      </c>
    </row>
    <row r="275" spans="1:10" ht="13.2">
      <c r="A275" s="7">
        <v>274</v>
      </c>
      <c r="B275" s="7">
        <v>1</v>
      </c>
      <c r="C275" s="7" t="s">
        <v>10</v>
      </c>
      <c r="D275" s="7">
        <v>97</v>
      </c>
      <c r="E275" s="7" t="s">
        <v>14</v>
      </c>
      <c r="F275" s="8" t="str">
        <f ca="1">IFERROR(__xludf.DUMMYFUNCTION("IF
(
C276=""фізична особа""
,
VLOOKUP(D276,IMPORTRANGE(""https://docs.google.com/spreadsheets/d/14Bd19lYaqBhU8_DElYkX7l4wRkHqqCUFNJY4AfY3kHU/edit?usp=sharing  #gid=0"",""фіз особи new!relations_name""),6,FALSE)
,
(IF
(
C276=""юридична особа""
,
VLOOKUP(D2"&amp;"76,IMPORTRANGE(""https://docs.google.com/spreadsheets/d/14Bd19lYaqBhU8_DElYkX7l4wRkHqqCUFNJY4AfY3kHU/edit?usp=sharing  #gid=0"",""фіз особи new!relations_name_uo""),7,FALSE)
,
)
))"),"ГЄТТА Антон Олександрович")</f>
        <v>ГЄТТА Антон Олександрович</v>
      </c>
      <c r="G275" s="7" t="s">
        <v>10</v>
      </c>
      <c r="H275" s="7">
        <v>4143</v>
      </c>
      <c r="I275" s="8" t="str">
        <f ca="1">IFERROR(__xludf.DUMMYFUNCTION("IF
(
G276=""фізична особа""
,
VLOOKUP(H276,IMPORTRANGE(""https://docs.google.com/spreadsheets/d/14Bd19lYaqBhU8_DElYkX7l4wRkHqqCUFNJY4AfY3kHU/edit?usp=sharing  #gid=0"",""фіз особи new!relations_name""),6,FALSE)
,
(IF
(
G276=""юридична особа""
,
VLOOKUP(H2"&amp;"76,IMPORTRANGE(""https://docs.google.com/spreadsheets/d/14Bd19lYaqBhU8_DElYkX7l4wRkHqqCUFNJY4AfY3kHU/edit?usp=sharing  #gid=0"",""фіз особи new!relations_name_uo""),7,FALSE)
,
)
))"),"ГЕТТА Вікторія")</f>
        <v>ГЕТТА Вікторія</v>
      </c>
      <c r="J275" s="7" t="s">
        <v>15</v>
      </c>
    </row>
    <row r="276" spans="1:10" ht="13.2">
      <c r="A276" s="7">
        <v>275</v>
      </c>
      <c r="B276" s="7">
        <v>1</v>
      </c>
      <c r="C276" s="7" t="s">
        <v>10</v>
      </c>
      <c r="D276" s="7">
        <v>98</v>
      </c>
      <c r="E276" s="7" t="s">
        <v>14</v>
      </c>
      <c r="F276" s="8" t="str">
        <f ca="1">IFERROR(__xludf.DUMMYFUNCTION("IF
(
C277=""фізична особа""
,
VLOOKUP(D277,IMPORTRANGE(""https://docs.google.com/spreadsheets/d/14Bd19lYaqBhU8_DElYkX7l4wRkHqqCUFNJY4AfY3kHU/edit?usp=sharing  #gid=0"",""фіз особи new!relations_name""),6,FALSE)
,
(IF
(
C277=""юридична особа""
,
VLOOKUP(D2"&amp;"77,IMPORTRANGE(""https://docs.google.com/spreadsheets/d/14Bd19lYaqBhU8_DElYkX7l4wRkHqqCUFNJY4AfY3kHU/edit?usp=sharing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76" s="7" t="s">
        <v>10</v>
      </c>
      <c r="H276" s="7">
        <v>0</v>
      </c>
      <c r="I276" s="8" t="str">
        <f ca="1">IFERROR(__xludf.DUMMYFUNCTION("IF
(
G277=""фізична особа""
,
VLOOKUP(H277,IMPORTRANGE(""https://docs.google.com/spreadsheets/d/14Bd19lYaqBhU8_DElYkX7l4wRkHqqCUFNJY4AfY3kHU/edit?usp=sharing  #gid=0"",""фіз особи new!relations_name""),6,FALSE)
,
(IF
(
G277=""юридична особа""
,
VLOOKUP(H2"&amp;"77,IMPORTRANGE(""https://docs.google.com/spreadsheets/d/14Bd19lYaqBhU8_DElYkX7l4wRkHqqCUFNJY4AfY3kHU/edit?usp=sharing  #gid=0"",""фіз особи new!relations_name_uo""),7,FALSE)
,
)
))"),"#N/A")</f>
        <v>#N/A</v>
      </c>
      <c r="J276" s="7" t="s">
        <v>15</v>
      </c>
    </row>
    <row r="277" spans="1:10" ht="13.2">
      <c r="A277" s="7">
        <v>276</v>
      </c>
      <c r="B277" s="7">
        <v>1</v>
      </c>
      <c r="C277" s="7" t="s">
        <v>10</v>
      </c>
      <c r="D277" s="7">
        <v>98</v>
      </c>
      <c r="E277" s="7" t="s">
        <v>17</v>
      </c>
      <c r="F277" s="8" t="str">
        <f ca="1">IFERROR(__xludf.DUMMYFUNCTION("IF
(
C278=""фізична особа""
,
VLOOKUP(D278,IMPORTRANGE(""https://docs.google.com/spreadsheets/d/14Bd19lYaqBhU8_DElYkX7l4wRkHqqCUFNJY4AfY3kHU/edit?usp=sharing  #gid=0"",""фіз особи new!relations_name""),6,FALSE)
,
(IF
(
C278=""юридична особа""
,
VLOOKUP(D2"&amp;"78,IMPORTRANGE(""https://docs.google.com/spreadsheets/d/14Bd19lYaqBhU8_DElYkX7l4wRkHqqCUFNJY4AfY3kHU/edit?usp=sharing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77" s="7" t="s">
        <v>10</v>
      </c>
      <c r="H277" s="7">
        <v>15884</v>
      </c>
      <c r="I277" s="8" t="str">
        <f ca="1">IFERROR(__xludf.DUMMYFUNCTION("IF
(
G278=""фізична особа""
,
VLOOKUP(H278,IMPORTRANGE(""https://docs.google.com/spreadsheets/d/14Bd19lYaqBhU8_DElYkX7l4wRkHqqCUFNJY4AfY3kHU/edit?usp=sharing  #gid=0"",""фіз особи new!relations_name""),6,FALSE)
,
(IF
(
G278=""юридична особа""
,
VLOOKUP(H2"&amp;"78,IMPORTRANGE(""https://docs.google.com/spreadsheets/d/14Bd19lYaqBhU8_DElYkX7l4wRkHqqCUFNJY4AfY3kHU/edit?usp=sharing  #gid=0"",""фіз особи new!relations_name_uo""),7,FALSE)
,
)
))"),"ВАЙНО Едуард Карлович")</f>
        <v>ВАЙНО Едуард Карлович</v>
      </c>
      <c r="J277" s="7" t="s">
        <v>12</v>
      </c>
    </row>
    <row r="278" spans="1:10" ht="13.2">
      <c r="A278" s="7">
        <v>277</v>
      </c>
      <c r="B278" s="7">
        <v>1</v>
      </c>
      <c r="C278" s="7" t="s">
        <v>10</v>
      </c>
      <c r="D278" s="7">
        <v>98</v>
      </c>
      <c r="E278" s="7" t="s">
        <v>18</v>
      </c>
      <c r="F278" s="8" t="str">
        <f ca="1">IFERROR(__xludf.DUMMYFUNCTION("IF
(
C279=""фізична особа""
,
VLOOKUP(D279,IMPORTRANGE(""https://docs.google.com/spreadsheets/d/14Bd19lYaqBhU8_DElYkX7l4wRkHqqCUFNJY4AfY3kHU/edit?usp=sharing  #gid=0"",""фіз особи new!relations_name""),6,FALSE)
,
(IF
(
C279=""юридична особа""
,
VLOOKUP(D2"&amp;"79,IMPORTRANGE(""https://docs.google.com/spreadsheets/d/14Bd19lYaqBhU8_DElYkX7l4wRkHqqCUFNJY4AfY3kHU/edit?usp=sharing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78" s="7" t="s">
        <v>10</v>
      </c>
      <c r="H278" s="7">
        <v>0</v>
      </c>
      <c r="I278" s="8" t="str">
        <f ca="1">IFERROR(__xludf.DUMMYFUNCTION("IF
(
G279=""фізична особа""
,
VLOOKUP(H279,IMPORTRANGE(""https://docs.google.com/spreadsheets/d/14Bd19lYaqBhU8_DElYkX7l4wRkHqqCUFNJY4AfY3kHU/edit?usp=sharing  #gid=0"",""фіз особи new!relations_name""),6,FALSE)
,
(IF
(
G279=""юридична особа""
,
VLOOKUP(H2"&amp;"79,IMPORTRANGE(""https://docs.google.com/spreadsheets/d/14Bd19lYaqBhU8_DElYkX7l4wRkHqqCUFNJY4AfY3kHU/edit?usp=sharing  #gid=0"",""фіз особи new!relations_name_uo""),7,FALSE)
,
)
))"),"#N/A")</f>
        <v>#N/A</v>
      </c>
      <c r="J278" s="7" t="s">
        <v>31</v>
      </c>
    </row>
    <row r="279" spans="1:10" ht="13.2">
      <c r="A279" s="7">
        <v>278</v>
      </c>
      <c r="B279" s="7">
        <v>1</v>
      </c>
      <c r="C279" s="7" t="s">
        <v>10</v>
      </c>
      <c r="D279" s="7">
        <v>98</v>
      </c>
      <c r="E279" s="7" t="s">
        <v>12</v>
      </c>
      <c r="F279" s="8" t="str">
        <f ca="1">IFERROR(__xludf.DUMMYFUNCTION("IF
(
C280=""фізична особа""
,
VLOOKUP(D280,IMPORTRANGE(""https://docs.google.com/spreadsheets/d/14Bd19lYaqBhU8_DElYkX7l4wRkHqqCUFNJY4AfY3kHU/edit?usp=sharing  #gid=0"",""фіз особи new!relations_name""),6,FALSE)
,
(IF
(
C280=""юридична особа""
,
VLOOKUP(D2"&amp;"80,IMPORTRANGE(""https://docs.google.com/spreadsheets/d/14Bd19lYaqBhU8_DElYkX7l4wRkHqqCUFNJY4AfY3kHU/edit?usp=sharing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79" s="7" t="s">
        <v>10</v>
      </c>
      <c r="H279" s="7">
        <v>0</v>
      </c>
      <c r="I279" s="8" t="str">
        <f ca="1">IFERROR(__xludf.DUMMYFUNCTION("IF
(
G280=""фізична особа""
,
VLOOKUP(H280,IMPORTRANGE(""https://docs.google.com/spreadsheets/d/14Bd19lYaqBhU8_DElYkX7l4wRkHqqCUFNJY4AfY3kHU/edit?usp=sharing  #gid=0"",""фіз особи new!relations_name""),6,FALSE)
,
(IF
(
G280=""юридична особа""
,
VLOOKUP(H2"&amp;"80,IMPORTRANGE(""https://docs.google.com/spreadsheets/d/14Bd19lYaqBhU8_DElYkX7l4wRkHqqCUFNJY4AfY3kHU/edit?usp=sharing  #gid=0"",""фіз особи new!relations_name_uo""),7,FALSE)
,
)
))"),"#N/A")</f>
        <v>#N/A</v>
      </c>
      <c r="J279" s="7" t="s">
        <v>17</v>
      </c>
    </row>
    <row r="280" spans="1:10" ht="13.2">
      <c r="A280" s="7">
        <v>279</v>
      </c>
      <c r="B280" s="7">
        <v>1</v>
      </c>
      <c r="C280" s="7" t="s">
        <v>10</v>
      </c>
      <c r="D280" s="7">
        <v>98</v>
      </c>
      <c r="E280" s="7" t="s">
        <v>20</v>
      </c>
      <c r="F280" s="8" t="str">
        <f ca="1">IFERROR(__xludf.DUMMYFUNCTION("IF
(
C281=""фізична особа""
,
VLOOKUP(D281,IMPORTRANGE(""https://docs.google.com/spreadsheets/d/14Bd19lYaqBhU8_DElYkX7l4wRkHqqCUFNJY4AfY3kHU/edit?usp=sharing  #gid=0"",""фіз особи new!relations_name""),6,FALSE)
,
(IF
(
C281=""юридична особа""
,
VLOOKUP(D2"&amp;"81,IMPORTRANGE(""https://docs.google.com/spreadsheets/d/14Bd19lYaqBhU8_DElYkX7l4wRkHqqCUFNJY4AfY3kHU/edit?usp=sharing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80" s="7" t="s">
        <v>10</v>
      </c>
      <c r="H280" s="7">
        <v>0</v>
      </c>
      <c r="I280" s="8" t="str">
        <f ca="1">IFERROR(__xludf.DUMMYFUNCTION("IF
(
G281=""фізична особа""
,
VLOOKUP(H281,IMPORTRANGE(""https://docs.google.com/spreadsheets/d/14Bd19lYaqBhU8_DElYkX7l4wRkHqqCUFNJY4AfY3kHU/edit?usp=sharing  #gid=0"",""фіз особи new!relations_name""),6,FALSE)
,
(IF
(
G281=""юридична особа""
,
VLOOKUP(H2"&amp;"81,IMPORTRANGE(""https://docs.google.com/spreadsheets/d/14Bd19lYaqBhU8_DElYkX7l4wRkHqqCUFNJY4AfY3kHU/edit?usp=sharing  #gid=0"",""фіз особи new!relations_name_uo""),7,FALSE)
,
)
))"),"#N/A")</f>
        <v>#N/A</v>
      </c>
      <c r="J280" s="7" t="s">
        <v>45</v>
      </c>
    </row>
    <row r="281" spans="1:10" ht="13.2">
      <c r="A281" s="7">
        <v>280</v>
      </c>
      <c r="B281" s="7">
        <v>1</v>
      </c>
      <c r="C281" s="7" t="s">
        <v>10</v>
      </c>
      <c r="D281" s="7">
        <v>98</v>
      </c>
      <c r="E281" s="7" t="s">
        <v>29</v>
      </c>
      <c r="F281" s="8" t="str">
        <f ca="1">IFERROR(__xludf.DUMMYFUNCTION("IF
(
C282=""фізична особа""
,
VLOOKUP(D282,IMPORTRANGE(""https://docs.google.com/spreadsheets/d/14Bd19lYaqBhU8_DElYkX7l4wRkHqqCUFNJY4AfY3kHU/edit?usp=sharing  #gid=0"",""фіз особи new!relations_name""),6,FALSE)
,
(IF
(
C282=""юридична особа""
,
VLOOKUP(D2"&amp;"82,IMPORTRANGE(""https://docs.google.com/spreadsheets/d/14Bd19lYaqBhU8_DElYkX7l4wRkHqqCUFNJY4AfY3kHU/edit?usp=sharing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G281" s="7" t="s">
        <v>10</v>
      </c>
      <c r="H281" s="7">
        <v>194</v>
      </c>
      <c r="I281" s="8" t="str">
        <f ca="1">IFERROR(__xludf.DUMMYFUNCTION("IF
(
G282=""фізична особа""
,
VLOOKUP(H282,IMPORTRANGE(""https://docs.google.com/spreadsheets/d/14Bd19lYaqBhU8_DElYkX7l4wRkHqqCUFNJY4AfY3kHU/edit?usp=sharing  #gid=0"",""фіз особи new!relations_name""),6,FALSE)
,
(IF
(
G282=""юридична особа""
,
VLOOKUP(H2"&amp;"82,IMPORTRANGE(""https://docs.google.com/spreadsheets/d/14Bd19lYaqBhU8_DElYkX7l4wRkHqqCUFNJY4AfY3kHU/edit?usp=sharing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J281" s="7" t="s">
        <v>28</v>
      </c>
    </row>
    <row r="282" spans="1:10" ht="13.2">
      <c r="A282" s="7">
        <v>281</v>
      </c>
      <c r="B282" s="7">
        <v>1</v>
      </c>
      <c r="C282" s="7" t="s">
        <v>10</v>
      </c>
      <c r="D282" s="7">
        <v>99</v>
      </c>
      <c r="E282" s="7" t="s">
        <v>46</v>
      </c>
      <c r="F282" s="8" t="str">
        <f ca="1">IFERROR(__xludf.DUMMYFUNCTION("IF
(
C283=""фізична особа""
,
VLOOKUP(D283,IMPORTRANGE(""https://docs.google.com/spreadsheets/d/14Bd19lYaqBhU8_DElYkX7l4wRkHqqCUFNJY4AfY3kHU/edit?usp=sharing  #gid=0"",""фіз особи new!relations_name""),6,FALSE)
,
(IF
(
C283=""юридична особа""
,
VLOOKUP(D2"&amp;"83,IMPORTRANGE(""https://docs.google.com/spreadsheets/d/14Bd19lYaqBhU8_DElYkX7l4wRkHqqCUFNJY4AfY3kHU/edit?usp=sharing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G282" s="7" t="s">
        <v>10</v>
      </c>
      <c r="H282" s="7">
        <v>0</v>
      </c>
      <c r="I282" s="8" t="str">
        <f ca="1">IFERROR(__xludf.DUMMYFUNCTION("IF
(
G283=""фізична особа""
,
VLOOKUP(H283,IMPORTRANGE(""https://docs.google.com/spreadsheets/d/14Bd19lYaqBhU8_DElYkX7l4wRkHqqCUFNJY4AfY3kHU/edit?usp=sharing  #gid=0"",""фіз особи new!relations_name""),6,FALSE)
,
(IF
(
G283=""юридична особа""
,
VLOOKUP(H2"&amp;"83,IMPORTRANGE(""https://docs.google.com/spreadsheets/d/14Bd19lYaqBhU8_DElYkX7l4wRkHqqCUFNJY4AfY3kHU/edit?usp=sharing  #gid=0"",""фіз особи new!relations_name_uo""),7,FALSE)
,
)
))"),"#N/A")</f>
        <v>#N/A</v>
      </c>
      <c r="J282" s="7" t="s">
        <v>47</v>
      </c>
    </row>
    <row r="283" spans="1:10" ht="13.2">
      <c r="A283" s="7">
        <v>282</v>
      </c>
      <c r="B283" s="7">
        <v>1</v>
      </c>
      <c r="C283" s="7" t="s">
        <v>10</v>
      </c>
      <c r="D283" s="7">
        <v>99</v>
      </c>
      <c r="E283" s="7" t="s">
        <v>12</v>
      </c>
      <c r="F283" s="8" t="str">
        <f ca="1">IFERROR(__xludf.DUMMYFUNCTION("IF
(
C284=""фізична особа""
,
VLOOKUP(D284,IMPORTRANGE(""https://docs.google.com/spreadsheets/d/14Bd19lYaqBhU8_DElYkX7l4wRkHqqCUFNJY4AfY3kHU/edit?usp=sharing  #gid=0"",""фіз особи new!relations_name""),6,FALSE)
,
(IF
(
C284=""юридична особа""
,
VLOOKUP(D2"&amp;"84,IMPORTRANGE(""https://docs.google.com/spreadsheets/d/14Bd19lYaqBhU8_DElYkX7l4wRkHqqCUFNJY4AfY3kHU/edit?usp=sharing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G283" s="7" t="s">
        <v>10</v>
      </c>
      <c r="H283" s="7">
        <v>0</v>
      </c>
      <c r="I283" s="8" t="str">
        <f ca="1">IFERROR(__xludf.DUMMYFUNCTION("IF
(
G284=""фізична особа""
,
VLOOKUP(H284,IMPORTRANGE(""https://docs.google.com/spreadsheets/d/14Bd19lYaqBhU8_DElYkX7l4wRkHqqCUFNJY4AfY3kHU/edit?usp=sharing  #gid=0"",""фіз особи new!relations_name""),6,FALSE)
,
(IF
(
G284=""юридична особа""
,
VLOOKUP(H2"&amp;"84,IMPORTRANGE(""https://docs.google.com/spreadsheets/d/14Bd19lYaqBhU8_DElYkX7l4wRkHqqCUFNJY4AfY3kHU/edit?usp=sharing  #gid=0"",""фіз особи new!relations_name_uo""),7,FALSE)
,
)
))"),"#N/A")</f>
        <v>#N/A</v>
      </c>
      <c r="J283" s="7" t="s">
        <v>17</v>
      </c>
    </row>
    <row r="284" spans="1:10" ht="13.2">
      <c r="A284" s="7">
        <v>283</v>
      </c>
      <c r="B284" s="7">
        <v>1</v>
      </c>
      <c r="C284" s="7" t="s">
        <v>10</v>
      </c>
      <c r="D284" s="7">
        <v>99</v>
      </c>
      <c r="E284" s="7" t="s">
        <v>18</v>
      </c>
      <c r="F284" s="8" t="str">
        <f ca="1">IFERROR(__xludf.DUMMYFUNCTION("IF
(
C285=""фізична особа""
,
VLOOKUP(D285,IMPORTRANGE(""https://docs.google.com/spreadsheets/d/14Bd19lYaqBhU8_DElYkX7l4wRkHqqCUFNJY4AfY3kHU/edit?usp=sharing  #gid=0"",""фіз особи new!relations_name""),6,FALSE)
,
(IF
(
C285=""юридична особа""
,
VLOOKUP(D2"&amp;"85,IMPORTRANGE(""https://docs.google.com/spreadsheets/d/14Bd19lYaqBhU8_DElYkX7l4wRkHqqCUFNJY4AfY3kHU/edit?usp=sharing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G284" s="7" t="s">
        <v>10</v>
      </c>
      <c r="H284" s="7">
        <v>0</v>
      </c>
      <c r="I284" s="8" t="str">
        <f ca="1">IFERROR(__xludf.DUMMYFUNCTION("IF
(
G285=""фізична особа""
,
VLOOKUP(H285,IMPORTRANGE(""https://docs.google.com/spreadsheets/d/14Bd19lYaqBhU8_DElYkX7l4wRkHqqCUFNJY4AfY3kHU/edit?usp=sharing  #gid=0"",""фіз особи new!relations_name""),6,FALSE)
,
(IF
(
G285=""юридична особа""
,
VLOOKUP(H2"&amp;"85,IMPORTRANGE(""https://docs.google.com/spreadsheets/d/14Bd19lYaqBhU8_DElYkX7l4wRkHqqCUFNJY4AfY3kHU/edit?usp=sharing  #gid=0"",""фіз особи new!relations_name_uo""),7,FALSE)
,
)
))"),"#N/A")</f>
        <v>#N/A</v>
      </c>
      <c r="J284" s="7" t="s">
        <v>18</v>
      </c>
    </row>
    <row r="285" spans="1:10" ht="13.2">
      <c r="A285" s="7">
        <v>284</v>
      </c>
      <c r="B285" s="7">
        <v>1</v>
      </c>
      <c r="C285" s="7" t="s">
        <v>10</v>
      </c>
      <c r="D285" s="7">
        <v>99</v>
      </c>
      <c r="E285" s="7" t="s">
        <v>17</v>
      </c>
      <c r="F285" s="8" t="str">
        <f ca="1">IFERROR(__xludf.DUMMYFUNCTION("IF
(
C286=""фізична особа""
,
VLOOKUP(D286,IMPORTRANGE(""https://docs.google.com/spreadsheets/d/14Bd19lYaqBhU8_DElYkX7l4wRkHqqCUFNJY4AfY3kHU/edit?usp=sharing  #gid=0"",""фіз особи new!relations_name""),6,FALSE)
,
(IF
(
C286=""юридична особа""
,
VLOOKUP(D2"&amp;"86,IMPORTRANGE(""https://docs.google.com/spreadsheets/d/14Bd19lYaqBhU8_DElYkX7l4wRkHqqCUFNJY4AfY3kHU/edit?usp=sharing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G285" s="7" t="s">
        <v>10</v>
      </c>
      <c r="H285" s="7">
        <v>0</v>
      </c>
      <c r="I285" s="8" t="str">
        <f ca="1">IFERROR(__xludf.DUMMYFUNCTION("IF
(
G286=""фізична особа""
,
VLOOKUP(H286,IMPORTRANGE(""https://docs.google.com/spreadsheets/d/14Bd19lYaqBhU8_DElYkX7l4wRkHqqCUFNJY4AfY3kHU/edit?usp=sharing  #gid=0"",""фіз особи new!relations_name""),6,FALSE)
,
(IF
(
G286=""юридична особа""
,
VLOOKUP(H2"&amp;"86,IMPORTRANGE(""https://docs.google.com/spreadsheets/d/14Bd19lYaqBhU8_DElYkX7l4wRkHqqCUFNJY4AfY3kHU/edit?usp=sharing  #gid=0"",""фіз особи new!relations_name_uo""),7,FALSE)
,
)
))"),"#N/A")</f>
        <v>#N/A</v>
      </c>
      <c r="J285" s="7" t="s">
        <v>12</v>
      </c>
    </row>
    <row r="286" spans="1:10" ht="13.2">
      <c r="A286" s="7">
        <v>285</v>
      </c>
      <c r="B286" s="7">
        <v>1</v>
      </c>
      <c r="C286" s="7" t="s">
        <v>10</v>
      </c>
      <c r="D286" s="7">
        <v>99</v>
      </c>
      <c r="E286" s="7" t="s">
        <v>42</v>
      </c>
      <c r="F286" s="8" t="str">
        <f ca="1">IFERROR(__xludf.DUMMYFUNCTION("IF
(
C287=""фізична особа""
,
VLOOKUP(D287,IMPORTRANGE(""https://docs.google.com/spreadsheets/d/14Bd19lYaqBhU8_DElYkX7l4wRkHqqCUFNJY4AfY3kHU/edit?usp=sharing  #gid=0"",""фіз особи new!relations_name""),6,FALSE)
,
(IF
(
C287=""юридична особа""
,
VLOOKUP(D2"&amp;"87,IMPORTRANGE(""https://docs.google.com/spreadsheets/d/14Bd19lYaqBhU8_DElYkX7l4wRkHqqCUFNJY4AfY3kHU/edit?usp=sharing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G286" s="7" t="s">
        <v>10</v>
      </c>
      <c r="H286" s="7">
        <v>0</v>
      </c>
      <c r="I286" s="8" t="str">
        <f ca="1">IFERROR(__xludf.DUMMYFUNCTION("IF
(
G287=""фізична особа""
,
VLOOKUP(H287,IMPORTRANGE(""https://docs.google.com/spreadsheets/d/14Bd19lYaqBhU8_DElYkX7l4wRkHqqCUFNJY4AfY3kHU/edit?usp=sharing  #gid=0"",""фіз особи new!relations_name""),6,FALSE)
,
(IF
(
G287=""юридична особа""
,
VLOOKUP(H2"&amp;"87,IMPORTRANGE(""https://docs.google.com/spreadsheets/d/14Bd19lYaqBhU8_DElYkX7l4wRkHqqCUFNJY4AfY3kHU/edit?usp=sharing  #gid=0"",""фіз особи new!relations_name_uo""),7,FALSE)
,
)
))"),"#N/A")</f>
        <v>#N/A</v>
      </c>
      <c r="J286" s="7" t="s">
        <v>43</v>
      </c>
    </row>
    <row r="287" spans="1:10" ht="13.2">
      <c r="A287" s="7">
        <v>286</v>
      </c>
      <c r="B287" s="7">
        <v>1</v>
      </c>
      <c r="C287" s="7" t="s">
        <v>10</v>
      </c>
      <c r="D287" s="7">
        <v>100</v>
      </c>
      <c r="E287" s="7" t="s">
        <v>14</v>
      </c>
      <c r="F287" s="8" t="str">
        <f ca="1">IFERROR(__xludf.DUMMYFUNCTION("IF
(
C288=""фізична особа""
,
VLOOKUP(D288,IMPORTRANGE(""https://docs.google.com/spreadsheets/d/14Bd19lYaqBhU8_DElYkX7l4wRkHqqCUFNJY4AfY3kHU/edit?usp=sharing  #gid=0"",""фіз особи new!relations_name""),6,FALSE)
,
(IF
(
C288=""юридична особа""
,
VLOOKUP(D2"&amp;"88,IMPORTRANGE(""https://docs.google.com/spreadsheets/d/14Bd19lYaqBhU8_DElYkX7l4wRkHqqCUFNJY4AfY3kHU/edit?usp=sharing  #gid=0"",""фіз особи new!relations_name_uo""),7,FALSE)
,
)
))"),"НЄМКІН Антон Ігорович")</f>
        <v>НЄМКІН Антон Ігорович</v>
      </c>
      <c r="G287" s="7" t="s">
        <v>10</v>
      </c>
      <c r="H287" s="7">
        <v>4144</v>
      </c>
      <c r="I287" s="8" t="str">
        <f ca="1">IFERROR(__xludf.DUMMYFUNCTION("IF
(
G288=""фізична особа""
,
VLOOKUP(H288,IMPORTRANGE(""https://docs.google.com/spreadsheets/d/14Bd19lYaqBhU8_DElYkX7l4wRkHqqCUFNJY4AfY3kHU/edit?usp=sharing  #gid=0"",""фіз особи new!relations_name""),6,FALSE)
,
(IF
(
G288=""юридична особа""
,
VLOOKUP(H2"&amp;"88,IMPORTRANGE(""https://docs.google.com/spreadsheets/d/14Bd19lYaqBhU8_DElYkX7l4wRkHqqCUFNJY4AfY3kHU/edit?usp=sharing  #gid=0"",""фіз особи new!relations_name_uo""),7,FALSE)
,
)
))"),"НЄМКІНА Олена")</f>
        <v>НЄМКІНА Олена</v>
      </c>
      <c r="J287" s="7" t="s">
        <v>15</v>
      </c>
    </row>
    <row r="288" spans="1:10" ht="13.2">
      <c r="A288" s="7">
        <v>287</v>
      </c>
      <c r="B288" s="7">
        <v>1</v>
      </c>
      <c r="C288" s="7" t="s">
        <v>10</v>
      </c>
      <c r="D288" s="7">
        <v>101</v>
      </c>
      <c r="E288" s="7" t="s">
        <v>14</v>
      </c>
      <c r="F288" s="8" t="str">
        <f ca="1">IFERROR(__xludf.DUMMYFUNCTION("IF
(
C289=""фізична особа""
,
VLOOKUP(D289,IMPORTRANGE(""https://docs.google.com/spreadsheets/d/14Bd19lYaqBhU8_DElYkX7l4wRkHqqCUFNJY4AfY3kHU/edit?usp=sharing  #gid=0"",""фіз особи new!relations_name""),6,FALSE)
,
(IF
(
C289=""юридична особа""
,
VLOOKUP(D2"&amp;"89,IMPORTRANGE(""https://docs.google.com/spreadsheets/d/14Bd19lYaqBhU8_DElYkX7l4wRkHqqCUFNJY4AfY3kHU/edit?usp=sharing  #gid=0"",""фіз особи new!relations_name_uo""),7,FALSE)
,
)
))"),"ТЄТЄРДІНКО Олександр Павлович")</f>
        <v>ТЄТЄРДІНКО Олександр Павлович</v>
      </c>
      <c r="G288" s="7" t="s">
        <v>10</v>
      </c>
      <c r="H288" s="7">
        <v>4145</v>
      </c>
      <c r="I288" s="8" t="str">
        <f ca="1">IFERROR(__xludf.DUMMYFUNCTION("IF
(
G289=""фізична особа""
,
VLOOKUP(H289,IMPORTRANGE(""https://docs.google.com/spreadsheets/d/14Bd19lYaqBhU8_DElYkX7l4wRkHqqCUFNJY4AfY3kHU/edit?usp=sharing  #gid=0"",""фіз особи new!relations_name""),6,FALSE)
,
(IF
(
G289=""юридична особа""
,
VLOOKUP(H2"&amp;"89,IMPORTRANGE(""https://docs.google.com/spreadsheets/d/14Bd19lYaqBhU8_DElYkX7l4wRkHqqCUFNJY4AfY3kHU/edit?usp=sharing  #gid=0"",""фіз особи new!relations_name_uo""),7,FALSE)
,
)
))"),"КАБАНОВА/ТЕТЕРДІНКО Катерина")</f>
        <v>КАБАНОВА/ТЕТЕРДІНКО Катерина</v>
      </c>
      <c r="J288" s="7" t="s">
        <v>15</v>
      </c>
    </row>
    <row r="289" spans="1:10" ht="13.2">
      <c r="A289" s="7">
        <v>288</v>
      </c>
      <c r="B289" s="7">
        <v>1</v>
      </c>
      <c r="C289" s="7" t="s">
        <v>10</v>
      </c>
      <c r="D289" s="7">
        <v>101</v>
      </c>
      <c r="E289" s="7" t="s">
        <v>26</v>
      </c>
      <c r="F289" s="8" t="str">
        <f ca="1">IFERROR(__xludf.DUMMYFUNCTION("IF
(
C290=""фізична особа""
,
VLOOKUP(D290,IMPORTRANGE(""https://docs.google.com/spreadsheets/d/14Bd19lYaqBhU8_DElYkX7l4wRkHqqCUFNJY4AfY3kHU/edit?usp=sharing  #gid=0"",""фіз особи new!relations_name""),6,FALSE)
,
(IF
(
C290=""юридична особа""
,
VLOOKUP(D2"&amp;"90,IMPORTRANGE(""https://docs.google.com/spreadsheets/d/14Bd19lYaqBhU8_DElYkX7l4wRkHqqCUFNJY4AfY3kHU/edit?usp=sharing  #gid=0"",""фіз особи new!relations_name_uo""),7,FALSE)
,
)
))"),"ТЄТЄРДІНКО Олександр Павлович")</f>
        <v>ТЄТЄРДІНКО Олександр Павлович</v>
      </c>
      <c r="G289" s="7" t="s">
        <v>10</v>
      </c>
      <c r="H289" s="7">
        <v>4146</v>
      </c>
      <c r="I289" s="8" t="str">
        <f ca="1">IFERROR(__xludf.DUMMYFUNCTION("IF
(
G290=""фізична особа""
,
VLOOKUP(H290,IMPORTRANGE(""https://docs.google.com/spreadsheets/d/14Bd19lYaqBhU8_DElYkX7l4wRkHqqCUFNJY4AfY3kHU/edit?usp=sharing  #gid=0"",""фіз особи new!relations_name""),6,FALSE)
,
(IF
(
G290=""юридична особа""
,
VLOOKUP(H2"&amp;"90,IMPORTRANGE(""https://docs.google.com/spreadsheets/d/14Bd19lYaqBhU8_DElYkX7l4wRkHqqCUFNJY4AfY3kHU/edit?usp=sharing  #gid=0"",""фіз особи new!relations_name_uo""),7,FALSE)
,
)
))"),"КАБАНОВА Людмила Іванівна")</f>
        <v>КАБАНОВА Людмила Іванівна</v>
      </c>
      <c r="J289" s="7" t="s">
        <v>27</v>
      </c>
    </row>
    <row r="290" spans="1:10" ht="13.2">
      <c r="A290" s="7">
        <v>289</v>
      </c>
      <c r="B290" s="7">
        <v>1</v>
      </c>
      <c r="C290" s="7" t="s">
        <v>10</v>
      </c>
      <c r="D290" s="7">
        <v>103</v>
      </c>
      <c r="E290" s="7" t="s">
        <v>17</v>
      </c>
      <c r="F290" s="8" t="str">
        <f ca="1">IFERROR(__xludf.DUMMYFUNCTION("IF
(
C291=""фізична особа""
,
VLOOKUP(D291,IMPORTRANGE(""https://docs.google.com/spreadsheets/d/14Bd19lYaqBhU8_DElYkX7l4wRkHqqCUFNJY4AfY3kHU/edit?usp=sharing  #gid=0"",""фіз особи new!relations_name""),6,FALSE)
,
(IF
(
C291=""юридична особа""
,
VLOOKUP(D2"&amp;"91,IMPORTRANGE(""https://docs.google.com/spreadsheets/d/14Bd19lYaqBhU8_DElYkX7l4wRkHqqCUFNJY4AfY3kHU/edit?usp=sharing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G290" s="7" t="s">
        <v>10</v>
      </c>
      <c r="H290" s="7">
        <v>4147</v>
      </c>
      <c r="I290" s="8" t="str">
        <f ca="1">IFERROR(__xludf.DUMMYFUNCTION("IF
(
G291=""фізична особа""
,
VLOOKUP(H291,IMPORTRANGE(""https://docs.google.com/spreadsheets/d/14Bd19lYaqBhU8_DElYkX7l4wRkHqqCUFNJY4AfY3kHU/edit?usp=sharing  #gid=0"",""фіз особи new!relations_name""),6,FALSE)
,
(IF
(
G291=""юридична особа""
,
VLOOKUP(H2"&amp;"91,IMPORTRANGE(""https://docs.google.com/spreadsheets/d/14Bd19lYaqBhU8_DElYkX7l4wRkHqqCUFNJY4AfY3kHU/edit?usp=sharing  #gid=0"",""фіз особи new!relations_name_uo""),7,FALSE)
,
)
))"),"ГОРЄЛКІН Вадим Геннадійович")</f>
        <v>ГОРЄЛКІН Вадим Геннадійович</v>
      </c>
      <c r="J290" s="7" t="s">
        <v>12</v>
      </c>
    </row>
    <row r="291" spans="1:10" ht="13.2">
      <c r="A291" s="7">
        <v>290</v>
      </c>
      <c r="B291" s="7">
        <v>1</v>
      </c>
      <c r="C291" s="7" t="s">
        <v>10</v>
      </c>
      <c r="D291" s="7">
        <v>103</v>
      </c>
      <c r="E291" s="7" t="s">
        <v>14</v>
      </c>
      <c r="F291" s="8" t="str">
        <f ca="1">IFERROR(__xludf.DUMMYFUNCTION("IF
(
C292=""фізична особа""
,
VLOOKUP(D292,IMPORTRANGE(""https://docs.google.com/spreadsheets/d/14Bd19lYaqBhU8_DElYkX7l4wRkHqqCUFNJY4AfY3kHU/edit?usp=sharing  #gid=0"",""фіз особи new!relations_name""),6,FALSE)
,
(IF
(
C292=""юридична особа""
,
VLOOKUP(D2"&amp;"92,IMPORTRANGE(""https://docs.google.com/spreadsheets/d/14Bd19lYaqBhU8_DElYkX7l4wRkHqqCUFNJY4AfY3kHU/edit?usp=sharing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G291" s="7" t="s">
        <v>10</v>
      </c>
      <c r="H291" s="7">
        <v>4148</v>
      </c>
      <c r="I291" s="8" t="str">
        <f ca="1">IFERROR(__xludf.DUMMYFUNCTION("IF
(
G292=""фізична особа""
,
VLOOKUP(H292,IMPORTRANGE(""https://docs.google.com/spreadsheets/d/14Bd19lYaqBhU8_DElYkX7l4wRkHqqCUFNJY4AfY3kHU/edit?usp=sharing  #gid=0"",""фіз особи new!relations_name""),6,FALSE)
,
(IF
(
G292=""юридична особа""
,
VLOOKUP(H2"&amp;"92,IMPORTRANGE(""https://docs.google.com/spreadsheets/d/14Bd19lYaqBhU8_DElYkX7l4wRkHqqCUFNJY4AfY3kHU/edit?usp=sharing  #gid=0"",""фіз особи new!relations_name_uo""),7,FALSE)
,
)
))"),"ГОРЄЛКІНА Анастасія Вікторівна")</f>
        <v>ГОРЄЛКІНА Анастасія Вікторівна</v>
      </c>
      <c r="J291" s="7" t="s">
        <v>15</v>
      </c>
    </row>
    <row r="292" spans="1:10" ht="13.2">
      <c r="A292" s="7">
        <v>291</v>
      </c>
      <c r="B292" s="7">
        <v>1</v>
      </c>
      <c r="C292" s="7" t="s">
        <v>10</v>
      </c>
      <c r="D292" s="7">
        <v>103</v>
      </c>
      <c r="E292" s="7" t="s">
        <v>18</v>
      </c>
      <c r="F292" s="8" t="str">
        <f ca="1">IFERROR(__xludf.DUMMYFUNCTION("IF
(
C293=""фізична особа""
,
VLOOKUP(D293,IMPORTRANGE(""https://docs.google.com/spreadsheets/d/14Bd19lYaqBhU8_DElYkX7l4wRkHqqCUFNJY4AfY3kHU/edit?usp=sharing  #gid=0"",""фіз особи new!relations_name""),6,FALSE)
,
(IF
(
C293=""юридична особа""
,
VLOOKUP(D2"&amp;"93,IMPORTRANGE(""https://docs.google.com/spreadsheets/d/14Bd19lYaqBhU8_DElYkX7l4wRkHqqCUFNJY4AfY3kHU/edit?usp=sharing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G292" s="7" t="s">
        <v>10</v>
      </c>
      <c r="H292" s="7">
        <v>4149</v>
      </c>
      <c r="I292" s="8" t="str">
        <f ca="1">IFERROR(__xludf.DUMMYFUNCTION("IF
(
G293=""фізична особа""
,
VLOOKUP(H293,IMPORTRANGE(""https://docs.google.com/spreadsheets/d/14Bd19lYaqBhU8_DElYkX7l4wRkHqqCUFNJY4AfY3kHU/edit?usp=sharing  #gid=0"",""фіз особи new!relations_name""),6,FALSE)
,
(IF
(
G293=""юридична особа""
,
VLOOKUP(H2"&amp;"93,IMPORTRANGE(""https://docs.google.com/spreadsheets/d/14Bd19lYaqBhU8_DElYkX7l4wRkHqqCUFNJY4AfY3kHU/edit?usp=sharing  #gid=0"",""фіз особи new!relations_name_uo""),7,FALSE)
,
)
))"),"КОСТЯКОВА Іннеса Вадимівна")</f>
        <v>КОСТЯКОВА Іннеса Вадимівна</v>
      </c>
      <c r="J292" s="7" t="s">
        <v>31</v>
      </c>
    </row>
    <row r="293" spans="1:10" ht="13.2">
      <c r="A293" s="7">
        <v>292</v>
      </c>
      <c r="B293" s="7">
        <v>1</v>
      </c>
      <c r="C293" s="7" t="s">
        <v>10</v>
      </c>
      <c r="D293" s="7">
        <v>104</v>
      </c>
      <c r="E293" s="7" t="s">
        <v>18</v>
      </c>
      <c r="F293" s="8" t="str">
        <f ca="1">IFERROR(__xludf.DUMMYFUNCTION("IF
(
C294=""фізична особа""
,
VLOOKUP(D294,IMPORTRANGE(""https://docs.google.com/spreadsheets/d/14Bd19lYaqBhU8_DElYkX7l4wRkHqqCUFNJY4AfY3kHU/edit?usp=sharing  #gid=0"",""фіз особи new!relations_name""),6,FALSE)
,
(IF
(
C294=""юридична особа""
,
VLOOKUP(D2"&amp;"94,IMPORTRANGE(""https://docs.google.com/spreadsheets/d/14Bd19lYaqBhU8_DElYkX7l4wRkHqqCUFNJY4AfY3kHU/edit?usp=sharing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3" s="7" t="s">
        <v>10</v>
      </c>
      <c r="H293" s="7">
        <v>4150</v>
      </c>
      <c r="I293" s="8" t="str">
        <f ca="1">IFERROR(__xludf.DUMMYFUNCTION("IF
(
G294=""фізична особа""
,
VLOOKUP(H294,IMPORTRANGE(""https://docs.google.com/spreadsheets/d/14Bd19lYaqBhU8_DElYkX7l4wRkHqqCUFNJY4AfY3kHU/edit?usp=sharing  #gid=0"",""фіз особи new!relations_name""),6,FALSE)
,
(IF
(
G294=""юридична особа""
,
VLOOKUP(H2"&amp;"94,IMPORTRANGE(""https://docs.google.com/spreadsheets/d/14Bd19lYaqBhU8_DElYkX7l4wRkHqqCUFNJY4AfY3kHU/edit?usp=sharing  #gid=0"",""фіз особи new!relations_name_uo""),7,FALSE)
,
)
))"),"КУЗЬМІНА Анастасія Володимирівна")</f>
        <v>КУЗЬМІНА Анастасія Володимирівна</v>
      </c>
      <c r="J293" s="7" t="s">
        <v>31</v>
      </c>
    </row>
    <row r="294" spans="1:10" ht="13.2">
      <c r="A294" s="7">
        <v>293</v>
      </c>
      <c r="B294" s="7">
        <v>1</v>
      </c>
      <c r="C294" s="7" t="s">
        <v>10</v>
      </c>
      <c r="D294" s="7">
        <v>104</v>
      </c>
      <c r="E294" s="7" t="s">
        <v>18</v>
      </c>
      <c r="F294" s="8" t="str">
        <f ca="1">IFERROR(__xludf.DUMMYFUNCTION("IF
(
C295=""фізична особа""
,
VLOOKUP(D295,IMPORTRANGE(""https://docs.google.com/spreadsheets/d/14Bd19lYaqBhU8_DElYkX7l4wRkHqqCUFNJY4AfY3kHU/edit?usp=sharing  #gid=0"",""фіз особи new!relations_name""),6,FALSE)
,
(IF
(
C295=""юридична особа""
,
VLOOKUP(D2"&amp;"95,IMPORTRANGE(""https://docs.google.com/spreadsheets/d/14Bd19lYaqBhU8_DElYkX7l4wRkHqqCUFNJY4AfY3kHU/edit?usp=sharing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4" s="7" t="s">
        <v>10</v>
      </c>
      <c r="H294" s="7">
        <v>4151</v>
      </c>
      <c r="I294" s="8" t="str">
        <f ca="1">IFERROR(__xludf.DUMMYFUNCTION("IF
(
G295=""фізична особа""
,
VLOOKUP(H295,IMPORTRANGE(""https://docs.google.com/spreadsheets/d/14Bd19lYaqBhU8_DElYkX7l4wRkHqqCUFNJY4AfY3kHU/edit?usp=sharing  #gid=0"",""фіз особи new!relations_name""),6,FALSE)
,
(IF
(
G295=""юридична особа""
,
VLOOKUP(H2"&amp;"95,IMPORTRANGE(""https://docs.google.com/spreadsheets/d/14Bd19lYaqBhU8_DElYkX7l4wRkHqqCUFNJY4AfY3kHU/edit?usp=sharing  #gid=0"",""фіз особи new!relations_name_uo""),7,FALSE)
,
)
))"),"МАСЛОВА Ганна Володимирівна")</f>
        <v>МАСЛОВА Ганна Володимирівна</v>
      </c>
      <c r="J294" s="7" t="s">
        <v>31</v>
      </c>
    </row>
    <row r="295" spans="1:10" ht="13.2">
      <c r="A295" s="7">
        <v>294</v>
      </c>
      <c r="B295" s="7">
        <v>1</v>
      </c>
      <c r="C295" s="7" t="s">
        <v>10</v>
      </c>
      <c r="D295" s="7">
        <v>104</v>
      </c>
      <c r="E295" s="7" t="s">
        <v>12</v>
      </c>
      <c r="F295" s="8" t="str">
        <f ca="1">IFERROR(__xludf.DUMMYFUNCTION("IF
(
C296=""фізична особа""
,
VLOOKUP(D296,IMPORTRANGE(""https://docs.google.com/spreadsheets/d/14Bd19lYaqBhU8_DElYkX7l4wRkHqqCUFNJY4AfY3kHU/edit?usp=sharing  #gid=0"",""фіз особи new!relations_name""),6,FALSE)
,
(IF
(
C296=""юридична особа""
,
VLOOKUP(D2"&amp;"96,IMPORTRANGE(""https://docs.google.com/spreadsheets/d/14Bd19lYaqBhU8_DElYkX7l4wRkHqqCUFNJY4AfY3kHU/edit?usp=sharing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5" s="7" t="s">
        <v>10</v>
      </c>
      <c r="H295" s="7">
        <v>0</v>
      </c>
      <c r="I295" s="8" t="str">
        <f ca="1">IFERROR(__xludf.DUMMYFUNCTION("IF
(
G296=""фізична особа""
,
VLOOKUP(H296,IMPORTRANGE(""https://docs.google.com/spreadsheets/d/14Bd19lYaqBhU8_DElYkX7l4wRkHqqCUFNJY4AfY3kHU/edit?usp=sharing  #gid=0"",""фіз особи new!relations_name""),6,FALSE)
,
(IF
(
G296=""юридична особа""
,
VLOOKUP(H2"&amp;"96,IMPORTRANGE(""https://docs.google.com/spreadsheets/d/14Bd19lYaqBhU8_DElYkX7l4wRkHqqCUFNJY4AfY3kHU/edit?usp=sharing  #gid=0"",""фіз особи new!relations_name_uo""),7,FALSE)
,
)
))"),"#N/A")</f>
        <v>#N/A</v>
      </c>
      <c r="J295" s="7" t="s">
        <v>17</v>
      </c>
    </row>
    <row r="296" spans="1:10" ht="13.2">
      <c r="A296" s="7">
        <v>295</v>
      </c>
      <c r="B296" s="7">
        <v>1</v>
      </c>
      <c r="C296" s="7" t="s">
        <v>10</v>
      </c>
      <c r="D296" s="7">
        <v>104</v>
      </c>
      <c r="E296" s="7" t="s">
        <v>17</v>
      </c>
      <c r="F296" s="8" t="str">
        <f ca="1">IFERROR(__xludf.DUMMYFUNCTION("IF
(
C297=""фізична особа""
,
VLOOKUP(D297,IMPORTRANGE(""https://docs.google.com/spreadsheets/d/14Bd19lYaqBhU8_DElYkX7l4wRkHqqCUFNJY4AfY3kHU/edit?usp=sharing  #gid=0"",""фіз особи new!relations_name""),6,FALSE)
,
(IF
(
C297=""юридична особа""
,
VLOOKUP(D2"&amp;"97,IMPORTRANGE(""https://docs.google.com/spreadsheets/d/14Bd19lYaqBhU8_DElYkX7l4wRkHqqCUFNJY4AfY3kHU/edit?usp=sharing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6" s="7" t="s">
        <v>10</v>
      </c>
      <c r="H296" s="7">
        <v>4152</v>
      </c>
      <c r="I296" s="8" t="str">
        <f ca="1">IFERROR(__xludf.DUMMYFUNCTION("IF
(
G297=""фізична особа""
,
VLOOKUP(H297,IMPORTRANGE(""https://docs.google.com/spreadsheets/d/14Bd19lYaqBhU8_DElYkX7l4wRkHqqCUFNJY4AfY3kHU/edit?usp=sharing  #gid=0"",""фіз особи new!relations_name""),6,FALSE)
,
(IF
(
G297=""юридична особа""
,
VLOOKUP(H2"&amp;"97,IMPORTRANGE(""https://docs.google.com/spreadsheets/d/14Bd19lYaqBhU8_DElYkX7l4wRkHqqCUFNJY4AfY3kHU/edit?usp=sharing  #gid=0"",""фіз особи new!relations_name_uo""),7,FALSE)
,
)
))"),"ШИПУЛІН Володимир Іванович")</f>
        <v>ШИПУЛІН Володимир Іванович</v>
      </c>
      <c r="J296" s="7" t="s">
        <v>12</v>
      </c>
    </row>
    <row r="297" spans="1:10" ht="13.2">
      <c r="A297" s="7">
        <v>296</v>
      </c>
      <c r="B297" s="7">
        <v>1</v>
      </c>
      <c r="C297" s="7" t="s">
        <v>10</v>
      </c>
      <c r="D297" s="7">
        <v>104</v>
      </c>
      <c r="E297" s="7" t="s">
        <v>12</v>
      </c>
      <c r="F297" s="8" t="str">
        <f ca="1">IFERROR(__xludf.DUMMYFUNCTION("IF
(
C298=""фізична особа""
,
VLOOKUP(D298,IMPORTRANGE(""https://docs.google.com/spreadsheets/d/14Bd19lYaqBhU8_DElYkX7l4wRkHqqCUFNJY4AfY3kHU/edit?usp=sharing  #gid=0"",""фіз особи new!relations_name""),6,FALSE)
,
(IF
(
C298=""юридична особа""
,
VLOOKUP(D2"&amp;"98,IMPORTRANGE(""https://docs.google.com/spreadsheets/d/14Bd19lYaqBhU8_DElYkX7l4wRkHqqCUFNJY4AfY3kHU/edit?usp=sharing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7" s="7" t="s">
        <v>10</v>
      </c>
      <c r="H297" s="7">
        <v>0</v>
      </c>
      <c r="I297" s="8" t="str">
        <f ca="1">IFERROR(__xludf.DUMMYFUNCTION("IF
(
G298=""фізична особа""
,
VLOOKUP(H298,IMPORTRANGE(""https://docs.google.com/spreadsheets/d/14Bd19lYaqBhU8_DElYkX7l4wRkHqqCUFNJY4AfY3kHU/edit?usp=sharing  #gid=0"",""фіз особи new!relations_name""),6,FALSE)
,
(IF
(
G298=""юридична особа""
,
VLOOKUP(H2"&amp;"98,IMPORTRANGE(""https://docs.google.com/spreadsheets/d/14Bd19lYaqBhU8_DElYkX7l4wRkHqqCUFNJY4AfY3kHU/edit?usp=sharing  #gid=0"",""фіз особи new!relations_name_uo""),7,FALSE)
,
)
))"),"#N/A")</f>
        <v>#N/A</v>
      </c>
      <c r="J297" s="7" t="s">
        <v>13</v>
      </c>
    </row>
    <row r="298" spans="1:10" ht="13.2">
      <c r="A298" s="7">
        <v>297</v>
      </c>
      <c r="B298" s="7">
        <v>1</v>
      </c>
      <c r="C298" s="7" t="s">
        <v>10</v>
      </c>
      <c r="D298" s="7">
        <v>104</v>
      </c>
      <c r="E298" s="7" t="s">
        <v>17</v>
      </c>
      <c r="F298" s="8" t="str">
        <f ca="1">IFERROR(__xludf.DUMMYFUNCTION("IF
(
C299=""фізична особа""
,
VLOOKUP(D299,IMPORTRANGE(""https://docs.google.com/spreadsheets/d/14Bd19lYaqBhU8_DElYkX7l4wRkHqqCUFNJY4AfY3kHU/edit?usp=sharing  #gid=0"",""фіз особи new!relations_name""),6,FALSE)
,
(IF
(
C299=""юридична особа""
,
VLOOKUP(D2"&amp;"99,IMPORTRANGE(""https://docs.google.com/spreadsheets/d/14Bd19lYaqBhU8_DElYkX7l4wRkHqqCUFNJY4AfY3kHU/edit?usp=sharing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8" s="7" t="s">
        <v>10</v>
      </c>
      <c r="H298" s="7">
        <v>0</v>
      </c>
      <c r="I298" s="8" t="str">
        <f ca="1">IFERROR(__xludf.DUMMYFUNCTION("IF
(
G299=""фізична особа""
,
VLOOKUP(H299,IMPORTRANGE(""https://docs.google.com/spreadsheets/d/14Bd19lYaqBhU8_DElYkX7l4wRkHqqCUFNJY4AfY3kHU/edit?usp=sharing  #gid=0"",""фіз особи new!relations_name""),6,FALSE)
,
(IF
(
G299=""юридична особа""
,
VLOOKUP(H2"&amp;"99,IMPORTRANGE(""https://docs.google.com/spreadsheets/d/14Bd19lYaqBhU8_DElYkX7l4wRkHqqCUFNJY4AfY3kHU/edit?usp=sharing  #gid=0"",""фіз особи new!relations_name_uo""),7,FALSE)
,
)
))"),"#N/A")</f>
        <v>#N/A</v>
      </c>
      <c r="J298" s="7" t="s">
        <v>21</v>
      </c>
    </row>
    <row r="299" spans="1:10" ht="13.2">
      <c r="A299" s="7">
        <v>298</v>
      </c>
      <c r="B299" s="7">
        <v>1</v>
      </c>
      <c r="C299" s="7" t="s">
        <v>10</v>
      </c>
      <c r="D299" s="7">
        <v>104</v>
      </c>
      <c r="E299" s="7" t="s">
        <v>14</v>
      </c>
      <c r="F299" s="8" t="str">
        <f ca="1">IFERROR(__xludf.DUMMYFUNCTION("IF
(
C300=""фізична особа""
,
VLOOKUP(D300,IMPORTRANGE(""https://docs.google.com/spreadsheets/d/14Bd19lYaqBhU8_DElYkX7l4wRkHqqCUFNJY4AfY3kHU/edit?usp=sharing  #gid=0"",""фіз особи new!relations_name""),6,FALSE)
,
(IF
(
C300=""юридична особа""
,
VLOOKUP(D3"&amp;"00,IMPORTRANGE(""https://docs.google.com/spreadsheets/d/14Bd19lYaqBhU8_DElYkX7l4wRkHqqCUFNJY4AfY3kHU/edit?usp=sharing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G299" s="7" t="s">
        <v>10</v>
      </c>
      <c r="H299" s="7">
        <v>4153</v>
      </c>
      <c r="I299" s="8" t="str">
        <f ca="1">IFERROR(__xludf.DUMMYFUNCTION("IF
(
G300=""фізична особа""
,
VLOOKUP(H300,IMPORTRANGE(""https://docs.google.com/spreadsheets/d/14Bd19lYaqBhU8_DElYkX7l4wRkHqqCUFNJY4AfY3kHU/edit?usp=sharing  #gid=0"",""фіз особи new!relations_name""),6,FALSE)
,
(IF
(
G300=""юридична особа""
,
VLOOKUP(H3"&amp;"00,IMPORTRANGE(""https://docs.google.com/spreadsheets/d/14Bd19lYaqBhU8_DElYkX7l4wRkHqqCUFNJY4AfY3kHU/edit?usp=sharing  #gid=0"",""фіз особи new!relations_name_uo""),7,FALSE)
,
)
))"),"ШИПУЛІНА Луїза Таїровна")</f>
        <v>ШИПУЛІНА Луїза Таїровна</v>
      </c>
      <c r="J299" s="7" t="s">
        <v>15</v>
      </c>
    </row>
    <row r="300" spans="1:10" ht="13.2">
      <c r="A300" s="7">
        <v>299</v>
      </c>
      <c r="B300" s="7">
        <v>1</v>
      </c>
      <c r="C300" s="7" t="s">
        <v>10</v>
      </c>
      <c r="D300" s="7">
        <v>105</v>
      </c>
      <c r="E300" s="7" t="s">
        <v>11</v>
      </c>
      <c r="F300" s="8" t="str">
        <f ca="1">IFERROR(__xludf.DUMMYFUNCTION("IF
(
C301=""фізична особа""
,
VLOOKUP(D301,IMPORTRANGE(""https://docs.google.com/spreadsheets/d/14Bd19lYaqBhU8_DElYkX7l4wRkHqqCUFNJY4AfY3kHU/edit?usp=sharing  #gid=0"",""фіз особи new!relations_name""),6,FALSE)
,
(IF
(
C301=""юридична особа""
,
VLOOKUP(D3"&amp;"01,IMPORTRANGE(""https://docs.google.com/spreadsheets/d/14Bd19lYaqBhU8_DElYkX7l4wRkHqqCUFNJY4AfY3kHU/edit?usp=sharing  #gid=0"",""фіз особи new!relations_name_uo""),7,FALSE)
,
)
))"),"КРАСОВСЬКИЙ / КУЗНЄЦОВ-КРАСОВСЬКИЙ Антон В'ячеславович")</f>
        <v>КРАСОВСЬКИЙ / КУЗНЄЦОВ-КРАСОВСЬКИЙ Антон В'ячеславович</v>
      </c>
      <c r="G300" s="7" t="s">
        <v>10</v>
      </c>
      <c r="H300" s="7">
        <v>0</v>
      </c>
      <c r="I300" s="8" t="str">
        <f ca="1">IFERROR(__xludf.DUMMYFUNCTION("IF
(
G301=""фізична особа""
,
VLOOKUP(H301,IMPORTRANGE(""https://docs.google.com/spreadsheets/d/14Bd19lYaqBhU8_DElYkX7l4wRkHqqCUFNJY4AfY3kHU/edit?usp=sharing  #gid=0"",""фіз особи new!relations_name""),6,FALSE)
,
(IF
(
G301=""юридична особа""
,
VLOOKUP(H3"&amp;"01,IMPORTRANGE(""https://docs.google.com/spreadsheets/d/14Bd19lYaqBhU8_DElYkX7l4wRkHqqCUFNJY4AfY3kHU/edit?usp=sharing  #gid=0"",""фіз особи new!relations_name_uo""),7,FALSE)
,
)
))"),"#N/A")</f>
        <v>#N/A</v>
      </c>
      <c r="J300" s="7" t="s">
        <v>11</v>
      </c>
    </row>
    <row r="301" spans="1:10" ht="13.2">
      <c r="A301" s="7">
        <v>300</v>
      </c>
      <c r="B301" s="7">
        <v>1</v>
      </c>
      <c r="C301" s="7" t="s">
        <v>10</v>
      </c>
      <c r="D301" s="7">
        <v>106</v>
      </c>
      <c r="E301" s="7" t="s">
        <v>15</v>
      </c>
      <c r="F301" s="8" t="str">
        <f ca="1">IFERROR(__xludf.DUMMYFUNCTION("IF
(
C302=""фізична особа""
,
VLOOKUP(D302,IMPORTRANGE(""https://docs.google.com/spreadsheets/d/14Bd19lYaqBhU8_DElYkX7l4wRkHqqCUFNJY4AfY3kHU/edit?usp=sharing  #gid=0"",""фіз особи new!relations_name""),6,FALSE)
,
(IF
(
C302=""юридична особа""
,
VLOOKUP(D3"&amp;"02,IMPORTRANGE(""https://docs.google.com/spreadsheets/d/14Bd19lYaqBhU8_DElYkX7l4wRkHqqCUFNJY4AfY3kHU/edit?usp=sharing  #gid=0"",""фіз особи new!relations_name_uo""),7,FALSE)
,
)
))"),"ГЛАЗКОВА Анжеліка Єгорівна")</f>
        <v>ГЛАЗКОВА Анжеліка Єгорівна</v>
      </c>
      <c r="G301" s="7" t="s">
        <v>10</v>
      </c>
      <c r="H301" s="7">
        <v>4154</v>
      </c>
      <c r="I301" s="8" t="str">
        <f ca="1">IFERROR(__xludf.DUMMYFUNCTION("IF
(
G302=""фізична особа""
,
VLOOKUP(H302,IMPORTRANGE(""https://docs.google.com/spreadsheets/d/14Bd19lYaqBhU8_DElYkX7l4wRkHqqCUFNJY4AfY3kHU/edit?usp=sharing  #gid=0"",""фіз особи new!relations_name""),6,FALSE)
,
(IF
(
G302=""юридична особа""
,
VLOOKUP(H3"&amp;"02,IMPORTRANGE(""https://docs.google.com/spreadsheets/d/14Bd19lYaqBhU8_DElYkX7l4wRkHqqCUFNJY4AfY3kHU/edit?usp=sharing  #gid=0"",""фіз особи new!relations_name_uo""),7,FALSE)
,
)
))"),"ПЛАТОШКІН Микола Миколайович")</f>
        <v>ПЛАТОШКІН Микола Миколайович</v>
      </c>
      <c r="J301" s="7" t="s">
        <v>14</v>
      </c>
    </row>
    <row r="302" spans="1:10" ht="13.2">
      <c r="A302" s="7">
        <v>301</v>
      </c>
      <c r="B302" s="7">
        <v>1</v>
      </c>
      <c r="C302" s="7" t="s">
        <v>10</v>
      </c>
      <c r="D302" s="7">
        <v>107</v>
      </c>
      <c r="E302" s="7" t="s">
        <v>14</v>
      </c>
      <c r="F302" s="8" t="str">
        <f ca="1">IFERROR(__xludf.DUMMYFUNCTION("IF
(
C303=""фізична особа""
,
VLOOKUP(D303,IMPORTRANGE(""https://docs.google.com/spreadsheets/d/14Bd19lYaqBhU8_DElYkX7l4wRkHqqCUFNJY4AfY3kHU/edit?usp=sharing  #gid=0"",""фіз особи new!relations_name""),6,FALSE)
,
(IF
(
C303=""юридична особа""
,
VLOOKUP(D3"&amp;"03,IMPORTRANGE(""https://docs.google.com/spreadsheets/d/14Bd19lYaqBhU8_DElYkX7l4wRkHqqCUFNJY4AfY3kHU/edit?usp=sharing  #gid=0"",""фіз особи new!relations_name_uo""),7,FALSE)
,
)
))"),"ПОНОМАРЬОВ Аркадій Миколайович")</f>
        <v>ПОНОМАРЬОВ Аркадій Миколайович</v>
      </c>
      <c r="G302" s="7" t="s">
        <v>10</v>
      </c>
      <c r="H302" s="7">
        <v>4155</v>
      </c>
      <c r="I302" s="8" t="str">
        <f ca="1">IFERROR(__xludf.DUMMYFUNCTION("IF
(
G303=""фізична особа""
,
VLOOKUP(H303,IMPORTRANGE(""https://docs.google.com/spreadsheets/d/14Bd19lYaqBhU8_DElYkX7l4wRkHqqCUFNJY4AfY3kHU/edit?usp=sharing  #gid=0"",""фіз особи new!relations_name""),6,FALSE)
,
(IF
(
G303=""юридична особа""
,
VLOOKUP(H3"&amp;"03,IMPORTRANGE(""https://docs.google.com/spreadsheets/d/14Bd19lYaqBhU8_DElYkX7l4wRkHqqCUFNJY4AfY3kHU/edit?usp=sharing  #gid=0"",""фіз особи new!relations_name_uo""),7,FALSE)
,
)
))"),"ПОНОМАРЬОВА Неля Валеріївна")</f>
        <v>ПОНОМАРЬОВА Неля Валеріївна</v>
      </c>
      <c r="J302" s="7" t="s">
        <v>15</v>
      </c>
    </row>
    <row r="303" spans="1:10" ht="13.2">
      <c r="A303" s="7">
        <v>302</v>
      </c>
      <c r="B303" s="7">
        <v>1</v>
      </c>
      <c r="C303" s="7" t="s">
        <v>10</v>
      </c>
      <c r="D303" s="7">
        <v>107</v>
      </c>
      <c r="E303" s="7" t="s">
        <v>11</v>
      </c>
      <c r="F303" s="8" t="str">
        <f ca="1">IFERROR(__xludf.DUMMYFUNCTION("IF
(
C304=""фізична особа""
,
VLOOKUP(D304,IMPORTRANGE(""https://docs.google.com/spreadsheets/d/14Bd19lYaqBhU8_DElYkX7l4wRkHqqCUFNJY4AfY3kHU/edit?usp=sharing  #gid=0"",""фіз особи new!relations_name""),6,FALSE)
,
(IF
(
C304=""юридична особа""
,
VLOOKUP(D3"&amp;"04,IMPORTRANGE(""https://docs.google.com/spreadsheets/d/14Bd19lYaqBhU8_DElYkX7l4wRkHqqCUFNJY4AfY3kHU/edit?usp=sharing  #gid=0"",""фіз особи new!relations_name_uo""),7,FALSE)
,
)
))"),"ПОНОМАРЬОВ Аркадій Миколайович")</f>
        <v>ПОНОМАРЬОВ Аркадій Миколайович</v>
      </c>
      <c r="G303" s="7" t="s">
        <v>10</v>
      </c>
      <c r="H303" s="7">
        <v>0</v>
      </c>
      <c r="I303" s="8" t="str">
        <f ca="1">IFERROR(__xludf.DUMMYFUNCTION("IF
(
G304=""фізична особа""
,
VLOOKUP(H304,IMPORTRANGE(""https://docs.google.com/spreadsheets/d/14Bd19lYaqBhU8_DElYkX7l4wRkHqqCUFNJY4AfY3kHU/edit?usp=sharing  #gid=0"",""фіз особи new!relations_name""),6,FALSE)
,
(IF
(
G304=""юридична особа""
,
VLOOKUP(H3"&amp;"04,IMPORTRANGE(""https://docs.google.com/spreadsheets/d/14Bd19lYaqBhU8_DElYkX7l4wRkHqqCUFNJY4AfY3kHU/edit?usp=sharing  #gid=0"",""фіз особи new!relations_name_uo""),7,FALSE)
,
)
))"),"#N/A")</f>
        <v>#N/A</v>
      </c>
      <c r="J303" s="7" t="s">
        <v>11</v>
      </c>
    </row>
    <row r="304" spans="1:10" ht="13.2">
      <c r="A304" s="7">
        <v>303</v>
      </c>
      <c r="B304" s="7">
        <v>1</v>
      </c>
      <c r="C304" s="7" t="s">
        <v>10</v>
      </c>
      <c r="D304" s="7">
        <v>107</v>
      </c>
      <c r="E304" s="7" t="s">
        <v>11</v>
      </c>
      <c r="F304" s="8" t="str">
        <f ca="1">IFERROR(__xludf.DUMMYFUNCTION("IF
(
C305=""фізична особа""
,
VLOOKUP(D305,IMPORTRANGE(""https://docs.google.com/spreadsheets/d/14Bd19lYaqBhU8_DElYkX7l4wRkHqqCUFNJY4AfY3kHU/edit?usp=sharing  #gid=0"",""фіз особи new!relations_name""),6,FALSE)
,
(IF
(
C305=""юридична особа""
,
VLOOKUP(D3"&amp;"05,IMPORTRANGE(""https://docs.google.com/spreadsheets/d/14Bd19lYaqBhU8_DElYkX7l4wRkHqqCUFNJY4AfY3kHU/edit?usp=sharing  #gid=0"",""фіз особи new!relations_name_uo""),7,FALSE)
,
)
))"),"ПОНОМАРЬОВ Аркадій Миколайович")</f>
        <v>ПОНОМАРЬОВ Аркадій Миколайович</v>
      </c>
      <c r="G304" s="7" t="s">
        <v>10</v>
      </c>
      <c r="H304" s="7">
        <v>0</v>
      </c>
      <c r="I304" s="8" t="str">
        <f ca="1">IFERROR(__xludf.DUMMYFUNCTION("IF
(
G305=""фізична особа""
,
VLOOKUP(H305,IMPORTRANGE(""https://docs.google.com/spreadsheets/d/14Bd19lYaqBhU8_DElYkX7l4wRkHqqCUFNJY4AfY3kHU/edit?usp=sharing  #gid=0"",""фіз особи new!relations_name""),6,FALSE)
,
(IF
(
G305=""юридична особа""
,
VLOOKUP(H3"&amp;"05,IMPORTRANGE(""https://docs.google.com/spreadsheets/d/14Bd19lYaqBhU8_DElYkX7l4wRkHqqCUFNJY4AfY3kHU/edit?usp=sharing  #gid=0"",""фіз особи new!relations_name_uo""),7,FALSE)
,
)
))"),"#N/A")</f>
        <v>#N/A</v>
      </c>
      <c r="J304" s="7" t="s">
        <v>11</v>
      </c>
    </row>
    <row r="305" spans="1:10" ht="13.2">
      <c r="A305" s="7">
        <v>304</v>
      </c>
      <c r="B305" s="7">
        <v>1</v>
      </c>
      <c r="C305" s="7" t="s">
        <v>10</v>
      </c>
      <c r="D305" s="7">
        <v>108</v>
      </c>
      <c r="E305" s="7" t="s">
        <v>35</v>
      </c>
      <c r="F305" s="8" t="str">
        <f ca="1">IFERROR(__xludf.DUMMYFUNCTION("IF
(
C306=""фізична особа""
,
VLOOKUP(D306,IMPORTRANGE(""https://docs.google.com/spreadsheets/d/14Bd19lYaqBhU8_DElYkX7l4wRkHqqCUFNJY4AfY3kHU/edit?usp=sharing  #gid=0"",""фіз особи new!relations_name""),6,FALSE)
,
(IF
(
C306=""юридична особа""
,
VLOOKUP(D3"&amp;"06,IMPORTRANGE(""https://docs.google.com/spreadsheets/d/14Bd19lYaqBhU8_DElYkX7l4wRkHqqCUFNJY4AfY3kHU/edit?usp=sharing  #gid=0"",""фіз особи new!relations_name_uo""),7,FALSE)
,
)
))"),"СВІСТУНОВ Аркадій Миколайович")</f>
        <v>СВІСТУНОВ Аркадій Миколайович</v>
      </c>
      <c r="G305" s="7" t="s">
        <v>10</v>
      </c>
      <c r="H305" s="7">
        <v>310</v>
      </c>
      <c r="I305" s="8" t="str">
        <f ca="1">IFERROR(__xludf.DUMMYFUNCTION("IF
(
G306=""фізична особа""
,
VLOOKUP(H306,IMPORTRANGE(""https://docs.google.com/spreadsheets/d/14Bd19lYaqBhU8_DElYkX7l4wRkHqqCUFNJY4AfY3kHU/edit?usp=sharing  #gid=0"",""фіз особи new!relations_name""),6,FALSE)
,
(IF
(
G306=""юридична особа""
,
VLOOKUP(H3"&amp;"06,IMPORTRANGE(""https://docs.google.com/spreadsheets/d/14Bd19lYaqBhU8_DElYkX7l4wRkHqqCUFNJY4AfY3kHU/edit?usp=sharing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J305" s="7" t="s">
        <v>35</v>
      </c>
    </row>
    <row r="306" spans="1:10" ht="13.2">
      <c r="A306" s="7">
        <v>305</v>
      </c>
      <c r="B306" s="7">
        <v>1</v>
      </c>
      <c r="C306" s="7" t="s">
        <v>10</v>
      </c>
      <c r="D306" s="7">
        <v>109</v>
      </c>
      <c r="E306" s="7" t="s">
        <v>18</v>
      </c>
      <c r="F306" s="8" t="str">
        <f ca="1">IFERROR(__xludf.DUMMYFUNCTION("IF
(
C307=""фізична особа""
,
VLOOKUP(D307,IMPORTRANGE(""https://docs.google.com/spreadsheets/d/14Bd19lYaqBhU8_DElYkX7l4wRkHqqCUFNJY4AfY3kHU/edit?usp=sharing  #gid=0"",""фіз особи new!relations_name""),6,FALSE)
,
(IF
(
C307=""юридична особа""
,
VLOOKUP(D3"&amp;"07,IMPORTRANGE(""https://docs.google.com/spreadsheets/d/14Bd19lYaqBhU8_DElYkX7l4wRkHqqCUFNJY4AfY3kHU/edit?usp=sharing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06" s="7" t="s">
        <v>10</v>
      </c>
      <c r="H306" s="7">
        <v>0</v>
      </c>
      <c r="I306" s="8" t="str">
        <f ca="1">IFERROR(__xludf.DUMMYFUNCTION("IF
(
G307=""фізична особа""
,
VLOOKUP(H307,IMPORTRANGE(""https://docs.google.com/spreadsheets/d/14Bd19lYaqBhU8_DElYkX7l4wRkHqqCUFNJY4AfY3kHU/edit?usp=sharing  #gid=0"",""фіз особи new!relations_name""),6,FALSE)
,
(IF
(
G307=""юридична особа""
,
VLOOKUP(H3"&amp;"07,IMPORTRANGE(""https://docs.google.com/spreadsheets/d/14Bd19lYaqBhU8_DElYkX7l4wRkHqqCUFNJY4AfY3kHU/edit?usp=sharing  #gid=0"",""фіз особи new!relations_name_uo""),7,FALSE)
,
)
))"),"#N/A")</f>
        <v>#N/A</v>
      </c>
      <c r="J306" s="7" t="s">
        <v>18</v>
      </c>
    </row>
    <row r="307" spans="1:10" ht="13.2">
      <c r="A307" s="7">
        <v>306</v>
      </c>
      <c r="B307" s="7">
        <v>1</v>
      </c>
      <c r="C307" s="7" t="s">
        <v>10</v>
      </c>
      <c r="D307" s="7">
        <v>109</v>
      </c>
      <c r="E307" s="7" t="s">
        <v>14</v>
      </c>
      <c r="F307" s="8" t="str">
        <f ca="1">IFERROR(__xludf.DUMMYFUNCTION("IF
(
C308=""фізична особа""
,
VLOOKUP(D308,IMPORTRANGE(""https://docs.google.com/spreadsheets/d/14Bd19lYaqBhU8_DElYkX7l4wRkHqqCUFNJY4AfY3kHU/edit?usp=sharing  #gid=0"",""фіз особи new!relations_name""),6,FALSE)
,
(IF
(
C308=""юридична особа""
,
VLOOKUP(D3"&amp;"08,IMPORTRANGE(""https://docs.google.com/spreadsheets/d/14Bd19lYaqBhU8_DElYkX7l4wRkHqqCUFNJY4AfY3kHU/edit?usp=sharing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07" s="7" t="s">
        <v>10</v>
      </c>
      <c r="H307" s="7">
        <v>0</v>
      </c>
      <c r="I307" s="8" t="str">
        <f ca="1">IFERROR(__xludf.DUMMYFUNCTION("IF
(
G308=""фізична особа""
,
VLOOKUP(H308,IMPORTRANGE(""https://docs.google.com/spreadsheets/d/14Bd19lYaqBhU8_DElYkX7l4wRkHqqCUFNJY4AfY3kHU/edit?usp=sharing  #gid=0"",""фіз особи new!relations_name""),6,FALSE)
,
(IF
(
G308=""юридична особа""
,
VLOOKUP(H3"&amp;"08,IMPORTRANGE(""https://docs.google.com/spreadsheets/d/14Bd19lYaqBhU8_DElYkX7l4wRkHqqCUFNJY4AfY3kHU/edit?usp=sharing  #gid=0"",""фіз особи new!relations_name_uo""),7,FALSE)
,
)
))"),"#N/A")</f>
        <v>#N/A</v>
      </c>
      <c r="J307" s="7" t="s">
        <v>15</v>
      </c>
    </row>
    <row r="308" spans="1:10" ht="13.2">
      <c r="A308" s="7">
        <v>307</v>
      </c>
      <c r="B308" s="7">
        <v>1</v>
      </c>
      <c r="C308" s="7" t="s">
        <v>10</v>
      </c>
      <c r="D308" s="7">
        <v>109</v>
      </c>
      <c r="E308" s="7" t="s">
        <v>12</v>
      </c>
      <c r="F308" s="8" t="str">
        <f ca="1">IFERROR(__xludf.DUMMYFUNCTION("IF
(
C309=""фізична особа""
,
VLOOKUP(D309,IMPORTRANGE(""https://docs.google.com/spreadsheets/d/14Bd19lYaqBhU8_DElYkX7l4wRkHqqCUFNJY4AfY3kHU/edit?usp=sharing  #gid=0"",""фіз особи new!relations_name""),6,FALSE)
,
(IF
(
C309=""юридична особа""
,
VLOOKUP(D3"&amp;"09,IMPORTRANGE(""https://docs.google.com/spreadsheets/d/14Bd19lYaqBhU8_DElYkX7l4wRkHqqCUFNJY4AfY3kHU/edit?usp=sharing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08" s="7" t="s">
        <v>10</v>
      </c>
      <c r="H308" s="7">
        <v>0</v>
      </c>
      <c r="I308" s="8" t="str">
        <f ca="1">IFERROR(__xludf.DUMMYFUNCTION("IF
(
G309=""фізична особа""
,
VLOOKUP(H309,IMPORTRANGE(""https://docs.google.com/spreadsheets/d/14Bd19lYaqBhU8_DElYkX7l4wRkHqqCUFNJY4AfY3kHU/edit?usp=sharing  #gid=0"",""фіз особи new!relations_name""),6,FALSE)
,
(IF
(
G309=""юридична особа""
,
VLOOKUP(H3"&amp;"09,IMPORTRANGE(""https://docs.google.com/spreadsheets/d/14Bd19lYaqBhU8_DElYkX7l4wRkHqqCUFNJY4AfY3kHU/edit?usp=sharing  #gid=0"",""фіз особи new!relations_name_uo""),7,FALSE)
,
)
))"),"#N/A")</f>
        <v>#N/A</v>
      </c>
      <c r="J308" s="7" t="s">
        <v>17</v>
      </c>
    </row>
    <row r="309" spans="1:10" ht="13.2">
      <c r="A309" s="7">
        <v>308</v>
      </c>
      <c r="B309" s="7">
        <v>1</v>
      </c>
      <c r="C309" s="7" t="s">
        <v>10</v>
      </c>
      <c r="D309" s="7">
        <v>109</v>
      </c>
      <c r="E309" s="7" t="s">
        <v>12</v>
      </c>
      <c r="F309" s="8" t="str">
        <f ca="1">IFERROR(__xludf.DUMMYFUNCTION("IF
(
C310=""фізична особа""
,
VLOOKUP(D310,IMPORTRANGE(""https://docs.google.com/spreadsheets/d/14Bd19lYaqBhU8_DElYkX7l4wRkHqqCUFNJY4AfY3kHU/edit?usp=sharing  #gid=0"",""фіз особи new!relations_name""),6,FALSE)
,
(IF
(
C310=""юридична особа""
,
VLOOKUP(D3"&amp;"10,IMPORTRANGE(""https://docs.google.com/spreadsheets/d/14Bd19lYaqBhU8_DElYkX7l4wRkHqqCUFNJY4AfY3kHU/edit?usp=sharing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09" s="7" t="s">
        <v>10</v>
      </c>
      <c r="H309" s="7">
        <v>0</v>
      </c>
      <c r="I309" s="8" t="str">
        <f ca="1">IFERROR(__xludf.DUMMYFUNCTION("IF
(
G310=""фізична особа""
,
VLOOKUP(H310,IMPORTRANGE(""https://docs.google.com/spreadsheets/d/14Bd19lYaqBhU8_DElYkX7l4wRkHqqCUFNJY4AfY3kHU/edit?usp=sharing  #gid=0"",""фіз особи new!relations_name""),6,FALSE)
,
(IF
(
G310=""юридична особа""
,
VLOOKUP(H3"&amp;"10,IMPORTRANGE(""https://docs.google.com/spreadsheets/d/14Bd19lYaqBhU8_DElYkX7l4wRkHqqCUFNJY4AfY3kHU/edit?usp=sharing  #gid=0"",""фіз особи new!relations_name_uo""),7,FALSE)
,
)
))"),"#N/A")</f>
        <v>#N/A</v>
      </c>
      <c r="J309" s="7" t="s">
        <v>13</v>
      </c>
    </row>
    <row r="310" spans="1:10" ht="13.2">
      <c r="A310" s="7">
        <v>309</v>
      </c>
      <c r="B310" s="7">
        <v>1</v>
      </c>
      <c r="C310" s="7" t="s">
        <v>10</v>
      </c>
      <c r="D310" s="7">
        <v>109</v>
      </c>
      <c r="E310" s="7" t="s">
        <v>28</v>
      </c>
      <c r="F310" s="8" t="str">
        <f ca="1">IFERROR(__xludf.DUMMYFUNCTION("IF
(
C311=""фізична особа""
,
VLOOKUP(D311,IMPORTRANGE(""https://docs.google.com/spreadsheets/d/14Bd19lYaqBhU8_DElYkX7l4wRkHqqCUFNJY4AfY3kHU/edit?usp=sharing  #gid=0"",""фіз особи new!relations_name""),6,FALSE)
,
(IF
(
C311=""юридична особа""
,
VLOOKUP(D3"&amp;"11,IMPORTRANGE(""https://docs.google.com/spreadsheets/d/14Bd19lYaqBhU8_DElYkX7l4wRkHqqCUFNJY4AfY3kHU/edit?usp=sharing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10" s="7" t="s">
        <v>10</v>
      </c>
      <c r="H310" s="7">
        <v>4027</v>
      </c>
      <c r="I310" s="8" t="str">
        <f ca="1">IFERROR(__xludf.DUMMYFUNCTION("IF
(
G311=""фізична особа""
,
VLOOKUP(H311,IMPORTRANGE(""https://docs.google.com/spreadsheets/d/14Bd19lYaqBhU8_DElYkX7l4wRkHqqCUFNJY4AfY3kHU/edit?usp=sharing  #gid=0"",""фіз особи new!relations_name""),6,FALSE)
,
(IF
(
G311=""юридична особа""
,
VLOOKUP(H3"&amp;"11,IMPORTRANGE(""https://docs.google.com/spreadsheets/d/14Bd19lYaqBhU8_DElYkX7l4wRkHqqCUFNJY4AfY3kHU/edit?usp=sharing  #gid=0"",""фіз особи new!relations_name_uo""),7,FALSE)
,
)
))"),"ДОБРОДЄЄВ Олег Борисович")</f>
        <v>ДОБРОДЄЄВ Олег Борисович</v>
      </c>
      <c r="J310" s="7" t="s">
        <v>29</v>
      </c>
    </row>
    <row r="311" spans="1:10" ht="13.2">
      <c r="A311" s="7">
        <v>310</v>
      </c>
      <c r="B311" s="7">
        <v>1</v>
      </c>
      <c r="C311" s="7" t="s">
        <v>10</v>
      </c>
      <c r="D311" s="7">
        <v>109</v>
      </c>
      <c r="E311" s="7" t="s">
        <v>28</v>
      </c>
      <c r="F311" s="8" t="str">
        <f ca="1">IFERROR(__xludf.DUMMYFUNCTION("IF
(
C312=""фізична особа""
,
VLOOKUP(D312,IMPORTRANGE(""https://docs.google.com/spreadsheets/d/14Bd19lYaqBhU8_DElYkX7l4wRkHqqCUFNJY4AfY3kHU/edit?usp=sharing  #gid=0"",""фіз особи new!relations_name""),6,FALSE)
,
(IF
(
C312=""юридична особа""
,
VLOOKUP(D3"&amp;"12,IMPORTRANGE(""https://docs.google.com/spreadsheets/d/14Bd19lYaqBhU8_DElYkX7l4wRkHqqCUFNJY4AfY3kHU/edit?usp=sharing  #gid=0"",""фіз особи new!relations_name_uo""),7,FALSE)
,
)
))"),"МАМОНТОВ Аркадій Вікторович")</f>
        <v>МАМОНТОВ Аркадій Вікторович</v>
      </c>
      <c r="G311" s="7" t="s">
        <v>10</v>
      </c>
      <c r="H311" s="7">
        <v>0</v>
      </c>
      <c r="I311" s="8" t="str">
        <f ca="1">IFERROR(__xludf.DUMMYFUNCTION("IF
(
G312=""фізична особа""
,
VLOOKUP(H312,IMPORTRANGE(""https://docs.google.com/spreadsheets/d/14Bd19lYaqBhU8_DElYkX7l4wRkHqqCUFNJY4AfY3kHU/edit?usp=sharing  #gid=0"",""фіз особи new!relations_name""),6,FALSE)
,
(IF
(
G312=""юридична особа""
,
VLOOKUP(H3"&amp;"12,IMPORTRANGE(""https://docs.google.com/spreadsheets/d/14Bd19lYaqBhU8_DElYkX7l4wRkHqqCUFNJY4AfY3kHU/edit?usp=sharing  #gid=0"",""фіз особи new!relations_name_uo""),7,FALSE)
,
)
))"),"#N/A")</f>
        <v>#N/A</v>
      </c>
      <c r="J311" s="7" t="s">
        <v>29</v>
      </c>
    </row>
    <row r="312" spans="1:10" ht="13.2">
      <c r="A312" s="7">
        <v>311</v>
      </c>
      <c r="B312" s="7">
        <v>1</v>
      </c>
      <c r="C312" s="7" t="s">
        <v>10</v>
      </c>
      <c r="D312" s="7">
        <v>110</v>
      </c>
      <c r="E312" s="7" t="s">
        <v>28</v>
      </c>
      <c r="F312" s="8" t="str">
        <f ca="1">IFERROR(__xludf.DUMMYFUNCTION("IF
(
C313=""фізична особа""
,
VLOOKUP(D313,IMPORTRANGE(""https://docs.google.com/spreadsheets/d/14Bd19lYaqBhU8_DElYkX7l4wRkHqqCUFNJY4AfY3kHU/edit?usp=sharing  #gid=0"",""фіз особи new!relations_name""),6,FALSE)
,
(IF
(
C313=""юридична особа""
,
VLOOKUP(D3"&amp;"13,IMPORTRANGE(""https://docs.google.com/spreadsheets/d/14Bd19lYaqBhU8_DElYkX7l4wRkHqqCUFNJY4AfY3kHU/edit?usp=sharing  #gid=0"",""фіз особи new!relations_name_uo""),7,FALSE)
,
)
))"),"РОМАНОВ Аркадій Юрійович")</f>
        <v>РОМАНОВ Аркадій Юрійович</v>
      </c>
      <c r="G312" s="7" t="s">
        <v>10</v>
      </c>
      <c r="H312" s="7">
        <v>313</v>
      </c>
      <c r="I312" s="8" t="str">
        <f ca="1">IFERROR(__xludf.DUMMYFUNCTION("IF
(
G313=""фізична особа""
,
VLOOKUP(H313,IMPORTRANGE(""https://docs.google.com/spreadsheets/d/14Bd19lYaqBhU8_DElYkX7l4wRkHqqCUFNJY4AfY3kHU/edit?usp=sharing  #gid=0"",""фіз особи new!relations_name""),6,FALSE)
,
(IF
(
G313=""юридична особа""
,
VLOOKUP(H3"&amp;"13,IMPORTRANGE(""https://docs.google.com/spreadsheets/d/14Bd19lYaqBhU8_DElYkX7l4wRkHqqCUFNJY4AfY3kHU/edit?usp=sharing  #gid=0"",""фіз особи new!relations_name_uo""),7,FALSE)
,
)
))"),"ОСІПОВ Ігор Володимирович")</f>
        <v>ОСІПОВ Ігор Володимирович</v>
      </c>
      <c r="J312" s="7" t="s">
        <v>29</v>
      </c>
    </row>
    <row r="313" spans="1:10" ht="13.2">
      <c r="A313" s="7">
        <v>312</v>
      </c>
      <c r="B313" s="7">
        <v>1</v>
      </c>
      <c r="C313" s="7" t="s">
        <v>10</v>
      </c>
      <c r="D313" s="7">
        <v>111</v>
      </c>
      <c r="E313" s="7" t="s">
        <v>28</v>
      </c>
      <c r="F313" s="8" t="str">
        <f ca="1">IFERROR(__xludf.DUMMYFUNCTION("IF
(
C314=""фізична особа""
,
VLOOKUP(D314,IMPORTRANGE(""https://docs.google.com/spreadsheets/d/14Bd19lYaqBhU8_DElYkX7l4wRkHqqCUFNJY4AfY3kHU/edit?usp=sharing  #gid=0"",""фіз особи new!relations_name""),6,FALSE)
,
(IF
(
C314=""юридична особа""
,
VLOOKUP(D3"&amp;"14,IMPORTRANGE(""https://docs.google.com/spreadsheets/d/14Bd19lYaqBhU8_DElYkX7l4wRkHqqCUFNJY4AfY3kHU/edit?usp=sharing  #gid=0"",""фіз особи new!relations_name_uo""),7,FALSE)
,
)
))"),"ГAСПАРЯН Армен Сумбатович")</f>
        <v>ГAСПАРЯН Армен Сумбатович</v>
      </c>
      <c r="G313" s="7" t="s">
        <v>10</v>
      </c>
      <c r="H313" s="7">
        <v>421</v>
      </c>
      <c r="I313" s="8" t="str">
        <f ca="1">IFERROR(__xludf.DUMMYFUNCTION("IF
(
G314=""фізична особа""
,
VLOOKUP(H314,IMPORTRANGE(""https://docs.google.com/spreadsheets/d/14Bd19lYaqBhU8_DElYkX7l4wRkHqqCUFNJY4AfY3kHU/edit?usp=sharing  #gid=0"",""фіз особи new!relations_name""),6,FALSE)
,
(IF
(
G314=""юридична особа""
,
VLOOKUP(H3"&amp;"14,IMPORTRANGE(""https://docs.google.com/spreadsheets/d/14Bd19lYaqBhU8_DElYkX7l4wRkHqqCUFNJY4AfY3kHU/edit?usp=sharing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J313" s="7" t="s">
        <v>29</v>
      </c>
    </row>
    <row r="314" spans="1:10" ht="13.2">
      <c r="A314" s="7">
        <v>313</v>
      </c>
      <c r="B314" s="7">
        <v>1</v>
      </c>
      <c r="C314" s="7" t="s">
        <v>10</v>
      </c>
      <c r="D314" s="7">
        <v>112</v>
      </c>
      <c r="E314" s="7" t="s">
        <v>30</v>
      </c>
      <c r="F314" s="8" t="str">
        <f ca="1">IFERROR(__xludf.DUMMYFUNCTION("IF
(
C315=""фізична особа""
,
VLOOKUP(D315,IMPORTRANGE(""https://docs.google.com/spreadsheets/d/14Bd19lYaqBhU8_DElYkX7l4wRkHqqCUFNJY4AfY3kHU/edit?usp=sharing  #gid=0"",""фіз особи new!relations_name""),6,FALSE)
,
(IF
(
C315=""юридична особа""
,
VLOOKUP(D3"&amp;"15,IMPORTRANGE(""https://docs.google.com/spreadsheets/d/14Bd19lYaqBhU8_DElYkX7l4wRkHqqCUFNJY4AfY3kHU/edit?usp=sharing  #gid=0"",""фіз особи new!relations_name_uo""),7,FALSE)
,
)
))"),"ШХАГОШЕВ Адальбі Люлевич")</f>
        <v>ШХАГОШЕВ Адальбі Люлевич</v>
      </c>
      <c r="G314" s="7" t="s">
        <v>10</v>
      </c>
      <c r="H314" s="7">
        <v>23367</v>
      </c>
      <c r="I314" s="8" t="str">
        <f ca="1">IFERROR(__xludf.DUMMYFUNCTION("IF
(
G315=""фізична особа""
,
VLOOKUP(H315,IMPORTRANGE(""https://docs.google.com/spreadsheets/d/14Bd19lYaqBhU8_DElYkX7l4wRkHqqCUFNJY4AfY3kHU/edit?usp=sharing  #gid=0"",""фіз особи new!relations_name""),6,FALSE)
,
(IF
(
G315=""юридична особа""
,
VLOOKUP(H3"&amp;"15,IMPORTRANGE(""https://docs.google.com/spreadsheets/d/14Bd19lYaqBhU8_DElYkX7l4wRkHqqCUFNJY4AfY3kHU/edit?usp=sharing  #gid=0"",""фіз особи new!relations_name_uo""),7,FALSE)
,
)
))"),"ГЕККІЄВ Султан Заурович")</f>
        <v>ГЕККІЄВ Султан Заурович</v>
      </c>
      <c r="J314" s="7" t="s">
        <v>30</v>
      </c>
    </row>
    <row r="315" spans="1:10" ht="13.2">
      <c r="A315" s="7">
        <v>314</v>
      </c>
      <c r="B315" s="7">
        <v>1</v>
      </c>
      <c r="C315" s="7" t="s">
        <v>10</v>
      </c>
      <c r="D315" s="7">
        <v>112</v>
      </c>
      <c r="E315" s="7" t="s">
        <v>12</v>
      </c>
      <c r="F315" s="8" t="str">
        <f ca="1">IFERROR(__xludf.DUMMYFUNCTION("IF
(
C316=""фізична особа""
,
VLOOKUP(D316,IMPORTRANGE(""https://docs.google.com/spreadsheets/d/14Bd19lYaqBhU8_DElYkX7l4wRkHqqCUFNJY4AfY3kHU/edit?usp=sharing  #gid=0"",""фіз особи new!relations_name""),6,FALSE)
,
(IF
(
C316=""юридична особа""
,
VLOOKUP(D3"&amp;"16,IMPORTRANGE(""https://docs.google.com/spreadsheets/d/14Bd19lYaqBhU8_DElYkX7l4wRkHqqCUFNJY4AfY3kHU/edit?usp=sharing  #gid=0"",""фіз особи new!relations_name_uo""),7,FALSE)
,
)
))"),"ШХАГОШЕВ Адальбі Люлевич")</f>
        <v>ШХАГОШЕВ Адальбі Люлевич</v>
      </c>
      <c r="G315" s="7" t="s">
        <v>10</v>
      </c>
      <c r="H315" s="7">
        <v>0</v>
      </c>
      <c r="I315" s="8" t="str">
        <f ca="1">IFERROR(__xludf.DUMMYFUNCTION("IF
(
G316=""фізична особа""
,
VLOOKUP(H316,IMPORTRANGE(""https://docs.google.com/spreadsheets/d/14Bd19lYaqBhU8_DElYkX7l4wRkHqqCUFNJY4AfY3kHU/edit?usp=sharing  #gid=0"",""фіз особи new!relations_name""),6,FALSE)
,
(IF
(
G316=""юридична особа""
,
VLOOKUP(H3"&amp;"16,IMPORTRANGE(""https://docs.google.com/spreadsheets/d/14Bd19lYaqBhU8_DElYkX7l4wRkHqqCUFNJY4AfY3kHU/edit?usp=sharing  #gid=0"",""фіз особи new!relations_name_uo""),7,FALSE)
,
)
))"),"#N/A")</f>
        <v>#N/A</v>
      </c>
      <c r="J315" s="7" t="s">
        <v>17</v>
      </c>
    </row>
    <row r="316" spans="1:10" ht="13.2">
      <c r="A316" s="7">
        <v>315</v>
      </c>
      <c r="B316" s="7">
        <v>1</v>
      </c>
      <c r="C316" s="7" t="s">
        <v>10</v>
      </c>
      <c r="D316" s="7">
        <v>112</v>
      </c>
      <c r="E316" s="7" t="s">
        <v>12</v>
      </c>
      <c r="F316" s="8" t="str">
        <f ca="1">IFERROR(__xludf.DUMMYFUNCTION("IF
(
C317=""фізична особа""
,
VLOOKUP(D317,IMPORTRANGE(""https://docs.google.com/spreadsheets/d/14Bd19lYaqBhU8_DElYkX7l4wRkHqqCUFNJY4AfY3kHU/edit?usp=sharing  #gid=0"",""фіз особи new!relations_name""),6,FALSE)
,
(IF
(
C317=""юридична особа""
,
VLOOKUP(D3"&amp;"17,IMPORTRANGE(""https://docs.google.com/spreadsheets/d/14Bd19lYaqBhU8_DElYkX7l4wRkHqqCUFNJY4AfY3kHU/edit?usp=sharing  #gid=0"",""фіз особи new!relations_name_uo""),7,FALSE)
,
)
))"),"ШХАГОШЕВ Адальбі Люлевич")</f>
        <v>ШХАГОШЕВ Адальбі Люлевич</v>
      </c>
      <c r="G316" s="7" t="s">
        <v>10</v>
      </c>
      <c r="H316" s="7">
        <v>0</v>
      </c>
      <c r="I316" s="8" t="str">
        <f ca="1">IFERROR(__xludf.DUMMYFUNCTION("IF
(
G317=""фізична особа""
,
VLOOKUP(H317,IMPORTRANGE(""https://docs.google.com/spreadsheets/d/14Bd19lYaqBhU8_DElYkX7l4wRkHqqCUFNJY4AfY3kHU/edit?usp=sharing  #gid=0"",""фіз особи new!relations_name""),6,FALSE)
,
(IF
(
G317=""юридична особа""
,
VLOOKUP(H3"&amp;"17,IMPORTRANGE(""https://docs.google.com/spreadsheets/d/14Bd19lYaqBhU8_DElYkX7l4wRkHqqCUFNJY4AfY3kHU/edit?usp=sharing  #gid=0"",""фіз особи new!relations_name_uo""),7,FALSE)
,
)
))"),"#N/A")</f>
        <v>#N/A</v>
      </c>
      <c r="J316" s="7" t="s">
        <v>17</v>
      </c>
    </row>
    <row r="317" spans="1:10" ht="13.2">
      <c r="A317" s="7">
        <v>316</v>
      </c>
      <c r="B317" s="7">
        <v>1</v>
      </c>
      <c r="C317" s="7" t="s">
        <v>10</v>
      </c>
      <c r="D317" s="7">
        <v>112</v>
      </c>
      <c r="E317" s="7" t="s">
        <v>12</v>
      </c>
      <c r="F317" s="8" t="str">
        <f ca="1">IFERROR(__xludf.DUMMYFUNCTION("IF
(
C318=""фізична особа""
,
VLOOKUP(D318,IMPORTRANGE(""https://docs.google.com/spreadsheets/d/14Bd19lYaqBhU8_DElYkX7l4wRkHqqCUFNJY4AfY3kHU/edit?usp=sharing  #gid=0"",""фіз особи new!relations_name""),6,FALSE)
,
(IF
(
C318=""юридична особа""
,
VLOOKUP(D3"&amp;"18,IMPORTRANGE(""https://docs.google.com/spreadsheets/d/14Bd19lYaqBhU8_DElYkX7l4wRkHqqCUFNJY4AfY3kHU/edit?usp=sharing  #gid=0"",""фіз особи new!relations_name_uo""),7,FALSE)
,
)
))"),"ШХАГОШЕВ Адальбі Люлевич")</f>
        <v>ШХАГОШЕВ Адальбі Люлевич</v>
      </c>
      <c r="G317" s="7" t="s">
        <v>10</v>
      </c>
      <c r="H317" s="7">
        <v>0</v>
      </c>
      <c r="I317" s="8" t="str">
        <f ca="1">IFERROR(__xludf.DUMMYFUNCTION("IF
(
G318=""фізична особа""
,
VLOOKUP(H318,IMPORTRANGE(""https://docs.google.com/spreadsheets/d/14Bd19lYaqBhU8_DElYkX7l4wRkHqqCUFNJY4AfY3kHU/edit?usp=sharing  #gid=0"",""фіз особи new!relations_name""),6,FALSE)
,
(IF
(
G318=""юридична особа""
,
VLOOKUP(H3"&amp;"18,IMPORTRANGE(""https://docs.google.com/spreadsheets/d/14Bd19lYaqBhU8_DElYkX7l4wRkHqqCUFNJY4AfY3kHU/edit?usp=sharing  #gid=0"",""фіз особи new!relations_name_uo""),7,FALSE)
,
)
))"),"#N/A")</f>
        <v>#N/A</v>
      </c>
      <c r="J317" s="7" t="s">
        <v>13</v>
      </c>
    </row>
    <row r="318" spans="1:10" ht="13.2">
      <c r="A318" s="7">
        <v>317</v>
      </c>
      <c r="B318" s="7">
        <v>1</v>
      </c>
      <c r="C318" s="7" t="s">
        <v>10</v>
      </c>
      <c r="D318" s="7">
        <v>113</v>
      </c>
      <c r="E318" s="7" t="s">
        <v>40</v>
      </c>
      <c r="F318" s="8" t="str">
        <f ca="1">IFERROR(__xludf.DUMMYFUNCTION("IF
(
C319=""фізична особа""
,
VLOOKUP(D319,IMPORTRANGE(""https://docs.google.com/spreadsheets/d/14Bd19lYaqBhU8_DElYkX7l4wRkHqqCUFNJY4AfY3kHU/edit?usp=sharing  #gid=0"",""фіз особи new!relations_name""),6,FALSE)
,
(IF
(
C319=""юридична особа""
,
VLOOKUP(D3"&amp;"19,IMPORTRANGE(""https://docs.google.com/spreadsheets/d/14Bd19lYaqBhU8_DElYkX7l4wRkHqqCUFNJY4AfY3kHU/edit?usp=sharing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G318" s="7" t="s">
        <v>10</v>
      </c>
      <c r="H318" s="7">
        <v>670</v>
      </c>
      <c r="I318" s="8" t="str">
        <f ca="1">IFERROR(__xludf.DUMMYFUNCTION("IF
(
G319=""фізична особа""
,
VLOOKUP(H319,IMPORTRANGE(""https://docs.google.com/spreadsheets/d/14Bd19lYaqBhU8_DElYkX7l4wRkHqqCUFNJY4AfY3kHU/edit?usp=sharing  #gid=0"",""фіз особи new!relations_name""),6,FALSE)
,
(IF
(
G319=""юридична особа""
,
VLOOKUP(H3"&amp;"19,IMPORTRANGE(""https://docs.google.com/spreadsheets/d/14Bd19lYaqBhU8_DElYkX7l4wRkHqqCUFNJY4AfY3kHU/edit?usp=sharing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318" s="7" t="s">
        <v>41</v>
      </c>
    </row>
    <row r="319" spans="1:10" ht="13.2">
      <c r="A319" s="7">
        <v>318</v>
      </c>
      <c r="B319" s="7">
        <v>1</v>
      </c>
      <c r="C319" s="7" t="s">
        <v>10</v>
      </c>
      <c r="D319" s="7">
        <v>113</v>
      </c>
      <c r="E319" s="7" t="s">
        <v>40</v>
      </c>
      <c r="F319" s="8" t="str">
        <f ca="1">IFERROR(__xludf.DUMMYFUNCTION("IF
(
C320=""фізична особа""
,
VLOOKUP(D320,IMPORTRANGE(""https://docs.google.com/spreadsheets/d/14Bd19lYaqBhU8_DElYkX7l4wRkHqqCUFNJY4AfY3kHU/edit?usp=sharing  #gid=0"",""фіз особи new!relations_name""),6,FALSE)
,
(IF
(
C320=""юридична особа""
,
VLOOKUP(D3"&amp;"20,IMPORTRANGE(""https://docs.google.com/spreadsheets/d/14Bd19lYaqBhU8_DElYkX7l4wRkHqqCUFNJY4AfY3kHU/edit?usp=sharing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G319" s="7" t="s">
        <v>10</v>
      </c>
      <c r="H319" s="7">
        <v>0</v>
      </c>
      <c r="I319" s="8" t="str">
        <f ca="1">IFERROR(__xludf.DUMMYFUNCTION("IF
(
G320=""фізична особа""
,
VLOOKUP(H320,IMPORTRANGE(""https://docs.google.com/spreadsheets/d/14Bd19lYaqBhU8_DElYkX7l4wRkHqqCUFNJY4AfY3kHU/edit?usp=sharing  #gid=0"",""фіз особи new!relations_name""),6,FALSE)
,
(IF
(
G320=""юридична особа""
,
VLOOKUP(H3"&amp;"20,IMPORTRANGE(""https://docs.google.com/spreadsheets/d/14Bd19lYaqBhU8_DElYkX7l4wRkHqqCUFNJY4AfY3kHU/edit?usp=sharing  #gid=0"",""фіз особи new!relations_name_uo""),7,FALSE)
,
)
))"),"#N/A")</f>
        <v>#N/A</v>
      </c>
      <c r="J319" s="7" t="s">
        <v>41</v>
      </c>
    </row>
    <row r="320" spans="1:10" ht="13.2">
      <c r="A320" s="7">
        <v>319</v>
      </c>
      <c r="B320" s="7">
        <v>1</v>
      </c>
      <c r="C320" s="7" t="s">
        <v>10</v>
      </c>
      <c r="D320" s="7">
        <v>113</v>
      </c>
      <c r="E320" s="7" t="s">
        <v>40</v>
      </c>
      <c r="F320" s="8" t="str">
        <f ca="1">IFERROR(__xludf.DUMMYFUNCTION("IF
(
C321=""фізична особа""
,
VLOOKUP(D321,IMPORTRANGE(""https://docs.google.com/spreadsheets/d/14Bd19lYaqBhU8_DElYkX7l4wRkHqqCUFNJY4AfY3kHU/edit?usp=sharing  #gid=0"",""фіз особи new!relations_name""),6,FALSE)
,
(IF
(
C321=""юридична особа""
,
VLOOKUP(D3"&amp;"21,IMPORTRANGE(""https://docs.google.com/spreadsheets/d/14Bd19lYaqBhU8_DElYkX7l4wRkHqqCUFNJY4AfY3kHU/edit?usp=sharing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G320" s="7" t="s">
        <v>10</v>
      </c>
      <c r="H320" s="7">
        <v>641</v>
      </c>
      <c r="I320" s="8" t="str">
        <f ca="1">IFERROR(__xludf.DUMMYFUNCTION("IF
(
G321=""фізична особа""
,
VLOOKUP(H321,IMPORTRANGE(""https://docs.google.com/spreadsheets/d/14Bd19lYaqBhU8_DElYkX7l4wRkHqqCUFNJY4AfY3kHU/edit?usp=sharing  #gid=0"",""фіз особи new!relations_name""),6,FALSE)
,
(IF
(
G321=""юридична особа""
,
VLOOKUP(H3"&amp;"21,IMPORTRANGE(""https://docs.google.com/spreadsheets/d/14Bd19lYaqBhU8_DElYkX7l4wRkHqqCUFNJY4AfY3kHU/edit?usp=sharing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J320" s="7" t="s">
        <v>41</v>
      </c>
    </row>
    <row r="321" spans="1:10" ht="13.2">
      <c r="A321" s="7">
        <v>320</v>
      </c>
      <c r="B321" s="7">
        <v>1</v>
      </c>
      <c r="C321" s="7" t="s">
        <v>10</v>
      </c>
      <c r="D321" s="7">
        <v>114</v>
      </c>
      <c r="E321" s="7" t="s">
        <v>12</v>
      </c>
      <c r="F321" s="8" t="str">
        <f ca="1">IFERROR(__xludf.DUMMYFUNCTION("IF
(
C322=""фізична особа""
,
VLOOKUP(D322,IMPORTRANGE(""https://docs.google.com/spreadsheets/d/14Bd19lYaqBhU8_DElYkX7l4wRkHqqCUFNJY4AfY3kHU/edit?usp=sharing  #gid=0"",""фіз особи new!relations_name""),6,FALSE)
,
(IF
(
C322=""юридична особа""
,
VLOOKUP(D3"&amp;"22,IMPORTRANGE(""https://docs.google.com/spreadsheets/d/14Bd19lYaqBhU8_DElYkX7l4wRkHqqCUFNJY4AfY3kHU/edit?usp=sharing  #gid=0"",""фіз особи new!relations_name_uo""),7,FALSE)
,
)
))"),"ФАДЗАЄВ Арсен Сулейманович")</f>
        <v>ФАДЗАЄВ Арсен Сулейманович</v>
      </c>
      <c r="G321" s="7" t="s">
        <v>10</v>
      </c>
      <c r="H321" s="7">
        <v>4339</v>
      </c>
      <c r="I321" s="8" t="str">
        <f ca="1">IFERROR(__xludf.DUMMYFUNCTION("IF
(
G322=""фізична особа""
,
VLOOKUP(H322,IMPORTRANGE(""https://docs.google.com/spreadsheets/d/14Bd19lYaqBhU8_DElYkX7l4wRkHqqCUFNJY4AfY3kHU/edit?usp=sharing  #gid=0"",""фіз особи new!relations_name""),6,FALSE)
,
(IF
(
G322=""юридична особа""
,
VLOOKUP(H3"&amp;"22,IMPORTRANGE(""https://docs.google.com/spreadsheets/d/14Bd19lYaqBhU8_DElYkX7l4wRkHqqCUFNJY4AfY3kHU/edit?usp=sharing  #gid=0"",""фіз особи new!relations_name_uo""),7,FALSE)
,
)
))"),"ФАДЗАЄВ Алан Арсенович")</f>
        <v>ФАДЗАЄВ Алан Арсенович</v>
      </c>
      <c r="J321" s="7" t="s">
        <v>17</v>
      </c>
    </row>
    <row r="322" spans="1:10" ht="13.2">
      <c r="A322" s="7">
        <v>321</v>
      </c>
      <c r="B322" s="7">
        <v>1</v>
      </c>
      <c r="C322" s="7" t="s">
        <v>10</v>
      </c>
      <c r="D322" s="7">
        <v>114</v>
      </c>
      <c r="E322" s="7" t="s">
        <v>30</v>
      </c>
      <c r="F322" s="8" t="str">
        <f ca="1">IFERROR(__xludf.DUMMYFUNCTION("IF
(
C323=""фізична особа""
,
VLOOKUP(D323,IMPORTRANGE(""https://docs.google.com/spreadsheets/d/14Bd19lYaqBhU8_DElYkX7l4wRkHqqCUFNJY4AfY3kHU/edit?usp=sharing  #gid=0"",""фіз особи new!relations_name""),6,FALSE)
,
(IF
(
C323=""юридична особа""
,
VLOOKUP(D3"&amp;"23,IMPORTRANGE(""https://docs.google.com/spreadsheets/d/14Bd19lYaqBhU8_DElYkX7l4wRkHqqCUFNJY4AfY3kHU/edit?usp=sharing  #gid=0"",""фіз особи new!relations_name_uo""),7,FALSE)
,
)
))"),"ФАДЗАЄВ Арсен Сулейманович")</f>
        <v>ФАДЗАЄВ Арсен Сулейманович</v>
      </c>
      <c r="G322" s="7" t="s">
        <v>10</v>
      </c>
      <c r="H322" s="7">
        <v>880</v>
      </c>
      <c r="I322" s="8" t="str">
        <f ca="1">IFERROR(__xludf.DUMMYFUNCTION("IF
(
G323=""фізична особа""
,
VLOOKUP(H323,IMPORTRANGE(""https://docs.google.com/spreadsheets/d/14Bd19lYaqBhU8_DElYkX7l4wRkHqqCUFNJY4AfY3kHU/edit?usp=sharing  #gid=0"",""фіз особи new!relations_name""),6,FALSE)
,
(IF
(
G323=""юридична особа""
,
VLOOKUP(H3"&amp;"23,IMPORTRANGE(""https://docs.google.com/spreadsheets/d/14Bd19lYaqBhU8_DElYkX7l4wRkHqqCUFNJY4AfY3kHU/edit?usp=sharing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22" s="7" t="s">
        <v>30</v>
      </c>
    </row>
    <row r="323" spans="1:10" ht="13.2">
      <c r="A323" s="7">
        <v>322</v>
      </c>
      <c r="B323" s="7">
        <v>1</v>
      </c>
      <c r="C323" s="7" t="s">
        <v>10</v>
      </c>
      <c r="D323" s="7">
        <v>115</v>
      </c>
      <c r="E323" s="7" t="s">
        <v>14</v>
      </c>
      <c r="F323" s="8" t="str">
        <f ca="1">IFERROR(__xludf.DUMMYFUNCTION("IF
(
C324=""фізична особа""
,
VLOOKUP(D324,IMPORTRANGE(""https://docs.google.com/spreadsheets/d/14Bd19lYaqBhU8_DElYkX7l4wRkHqqCUFNJY4AfY3kHU/edit?usp=sharing  #gid=0"",""фіз особи new!relations_name""),6,FALSE)
,
(IF
(
C324=""юридична особа""
,
VLOOKUP(D3"&amp;"24,IMPORTRANGE(""https://docs.google.com/spreadsheets/d/14Bd19lYaqBhU8_DElYkX7l4wRkHqqCUFNJY4AfY3kHU/edit?usp=sharing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G323" s="7" t="s">
        <v>10</v>
      </c>
      <c r="H323" s="7">
        <v>4156</v>
      </c>
      <c r="I323" s="8" t="str">
        <f ca="1">IFERROR(__xludf.DUMMYFUNCTION("IF
(
G324=""фізична особа""
,
VLOOKUP(H324,IMPORTRANGE(""https://docs.google.com/spreadsheets/d/14Bd19lYaqBhU8_DElYkX7l4wRkHqqCUFNJY4AfY3kHU/edit?usp=sharing  #gid=0"",""фіз особи new!relations_name""),6,FALSE)
,
(IF
(
G324=""юридична особа""
,
VLOOKUP(H3"&amp;"24,IMPORTRANGE(""https://docs.google.com/spreadsheets/d/14Bd19lYaqBhU8_DElYkX7l4wRkHqqCUFNJY4AfY3kHU/edit?usp=sharing  #gid=0"",""фіз особи new!relations_name_uo""),7,FALSE)
,
)
))"),"КАВІНОВА Юлія Володимирівна")</f>
        <v>КАВІНОВА Юлія Володимирівна</v>
      </c>
      <c r="J323" s="7" t="s">
        <v>15</v>
      </c>
    </row>
    <row r="324" spans="1:10" ht="13.2">
      <c r="A324" s="7">
        <v>323</v>
      </c>
      <c r="B324" s="7">
        <v>1</v>
      </c>
      <c r="C324" s="7" t="s">
        <v>10</v>
      </c>
      <c r="D324" s="7">
        <v>115</v>
      </c>
      <c r="E324" s="7" t="s">
        <v>12</v>
      </c>
      <c r="F324" s="8" t="str">
        <f ca="1">IFERROR(__xludf.DUMMYFUNCTION("IF
(
C325=""фізична особа""
,
VLOOKUP(D325,IMPORTRANGE(""https://docs.google.com/spreadsheets/d/14Bd19lYaqBhU8_DElYkX7l4wRkHqqCUFNJY4AfY3kHU/edit?usp=sharing  #gid=0"",""фіз особи new!relations_name""),6,FALSE)
,
(IF
(
C325=""юридична особа""
,
VLOOKUP(D3"&amp;"25,IMPORTRANGE(""https://docs.google.com/spreadsheets/d/14Bd19lYaqBhU8_DElYkX7l4wRkHqqCUFNJY4AfY3kHU/edit?usp=sharing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G324" s="7" t="s">
        <v>10</v>
      </c>
      <c r="H324" s="7">
        <v>4157</v>
      </c>
      <c r="I324" s="8" t="str">
        <f ca="1">IFERROR(__xludf.DUMMYFUNCTION("IF
(
G325=""фізична особа""
,
VLOOKUP(H325,IMPORTRANGE(""https://docs.google.com/spreadsheets/d/14Bd19lYaqBhU8_DElYkX7l4wRkHqqCUFNJY4AfY3kHU/edit?usp=sharing  #gid=0"",""фіз особи new!relations_name""),6,FALSE)
,
(IF
(
G325=""юридична особа""
,
VLOOKUP(H3"&amp;"25,IMPORTRANGE(""https://docs.google.com/spreadsheets/d/14Bd19lYaqBhU8_DElYkX7l4wRkHqqCUFNJY4AfY3kHU/edit?usp=sharing  #gid=0"",""фіз особи new!relations_name_uo""),7,FALSE)
,
)
))"),"КАВІНОВА Марія Артемівна")</f>
        <v>КАВІНОВА Марія Артемівна</v>
      </c>
      <c r="J324" s="7" t="s">
        <v>13</v>
      </c>
    </row>
    <row r="325" spans="1:10" ht="13.2">
      <c r="A325" s="7">
        <v>324</v>
      </c>
      <c r="B325" s="7">
        <v>1</v>
      </c>
      <c r="C325" s="7" t="s">
        <v>10</v>
      </c>
      <c r="D325" s="7">
        <v>115</v>
      </c>
      <c r="E325" s="7" t="s">
        <v>12</v>
      </c>
      <c r="F325" s="8" t="str">
        <f ca="1">IFERROR(__xludf.DUMMYFUNCTION("IF
(
C326=""фізична особа""
,
VLOOKUP(D326,IMPORTRANGE(""https://docs.google.com/spreadsheets/d/14Bd19lYaqBhU8_DElYkX7l4wRkHqqCUFNJY4AfY3kHU/edit?usp=sharing  #gid=0"",""фіз особи new!relations_name""),6,FALSE)
,
(IF
(
C326=""юридична особа""
,
VLOOKUP(D3"&amp;"26,IMPORTRANGE(""https://docs.google.com/spreadsheets/d/14Bd19lYaqBhU8_DElYkX7l4wRkHqqCUFNJY4AfY3kHU/edit?usp=sharing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G325" s="7" t="s">
        <v>10</v>
      </c>
      <c r="H325" s="7">
        <v>4158</v>
      </c>
      <c r="I325" s="8" t="str">
        <f ca="1">IFERROR(__xludf.DUMMYFUNCTION("IF
(
G326=""фізична особа""
,
VLOOKUP(H326,IMPORTRANGE(""https://docs.google.com/spreadsheets/d/14Bd19lYaqBhU8_DElYkX7l4wRkHqqCUFNJY4AfY3kHU/edit?usp=sharing  #gid=0"",""фіз особи new!relations_name""),6,FALSE)
,
(IF
(
G326=""юридична особа""
,
VLOOKUP(H3"&amp;"26,IMPORTRANGE(""https://docs.google.com/spreadsheets/d/14Bd19lYaqBhU8_DElYkX7l4wRkHqqCUFNJY4AfY3kHU/edit?usp=sharing  #gid=0"",""фіз особи new!relations_name_uo""),7,FALSE)
,
)
))"),"КАВІНОВА Любов Артемівна")</f>
        <v>КАВІНОВА Любов Артемівна</v>
      </c>
      <c r="J325" s="7" t="s">
        <v>13</v>
      </c>
    </row>
    <row r="326" spans="1:10" ht="13.2">
      <c r="A326" s="7">
        <v>325</v>
      </c>
      <c r="B326" s="7">
        <v>1</v>
      </c>
      <c r="C326" s="7" t="s">
        <v>10</v>
      </c>
      <c r="D326" s="7">
        <v>116</v>
      </c>
      <c r="E326" s="7" t="s">
        <v>20</v>
      </c>
      <c r="F326" s="8" t="str">
        <f ca="1">IFERROR(__xludf.DUMMYFUNCTION("IF
(
C327=""фізична особа""
,
VLOOKUP(D327,IMPORTRANGE(""https://docs.google.com/spreadsheets/d/14Bd19lYaqBhU8_DElYkX7l4wRkHqqCUFNJY4AfY3kHU/edit?usp=sharing  #gid=0"",""фіз особи new!relations_name""),6,FALSE)
,
(IF
(
C327=""юридична особа""
,
VLOOKUP(D3"&amp;"27,IMPORTRANGE(""https://docs.google.com/spreadsheets/d/14Bd19lYaqBhU8_DElYkX7l4wRkHqqCUFNJY4AfY3kHU/edit?usp=sharing  #gid=0"",""фіз особи new!relations_name_uo""),7,FALSE)
,
)
))"),"ШЕЙКІН Артем Геннадійович")</f>
        <v>ШЕЙКІН Артем Геннадійович</v>
      </c>
      <c r="G326" s="7" t="s">
        <v>10</v>
      </c>
      <c r="H326" s="7">
        <v>3324</v>
      </c>
      <c r="I326" s="8" t="str">
        <f ca="1">IFERROR(__xludf.DUMMYFUNCTION("IF
(
G327=""фізична особа""
,
VLOOKUP(H327,IMPORTRANGE(""https://docs.google.com/spreadsheets/d/14Bd19lYaqBhU8_DElYkX7l4wRkHqqCUFNJY4AfY3kHU/edit?usp=sharing  #gid=0"",""фіз особи new!relations_name""),6,FALSE)
,
(IF
(
G327=""юридична особа""
,
VLOOKUP(H3"&amp;"27,IMPORTRANGE(""https://docs.google.com/spreadsheets/d/14Bd19lYaqBhU8_DElYkX7l4wRkHqqCUFNJY4AfY3kHU/edit?usp=sharing  #gid=0"",""фіз особи new!relations_name_uo""),7,FALSE)
,
)
))"),"СМІРНОВ Олександр Олександрович")</f>
        <v>СМІРНОВ Олександр Олександрович</v>
      </c>
      <c r="J326" s="7" t="s">
        <v>19</v>
      </c>
    </row>
    <row r="327" spans="1:10" ht="13.2">
      <c r="A327" s="7">
        <v>326</v>
      </c>
      <c r="B327" s="7">
        <v>1</v>
      </c>
      <c r="C327" s="7" t="s">
        <v>10</v>
      </c>
      <c r="D327" s="7">
        <v>116</v>
      </c>
      <c r="E327" s="7" t="s">
        <v>20</v>
      </c>
      <c r="F327" s="8" t="str">
        <f ca="1">IFERROR(__xludf.DUMMYFUNCTION("IF
(
C328=""фізична особа""
,
VLOOKUP(D328,IMPORTRANGE(""https://docs.google.com/spreadsheets/d/14Bd19lYaqBhU8_DElYkX7l4wRkHqqCUFNJY4AfY3kHU/edit?usp=sharing  #gid=0"",""фіз особи new!relations_name""),6,FALSE)
,
(IF
(
C328=""юридична особа""
,
VLOOKUP(D3"&amp;"28,IMPORTRANGE(""https://docs.google.com/spreadsheets/d/14Bd19lYaqBhU8_DElYkX7l4wRkHqqCUFNJY4AfY3kHU/edit?usp=sharing  #gid=0"",""фіз особи new!relations_name_uo""),7,FALSE)
,
)
))"),"ШЕЙКІН Артем Геннадійович")</f>
        <v>ШЕЙКІН Артем Геннадійович</v>
      </c>
      <c r="G327" s="7" t="s">
        <v>10</v>
      </c>
      <c r="H327" s="7">
        <v>0</v>
      </c>
      <c r="I327" s="8" t="str">
        <f ca="1">IFERROR(__xludf.DUMMYFUNCTION("IF
(
G328=""фізична особа""
,
VLOOKUP(H328,IMPORTRANGE(""https://docs.google.com/spreadsheets/d/14Bd19lYaqBhU8_DElYkX7l4wRkHqqCUFNJY4AfY3kHU/edit?usp=sharing  #gid=0"",""фіз особи new!relations_name""),6,FALSE)
,
(IF
(
G328=""юридична особа""
,
VLOOKUP(H3"&amp;"28,IMPORTRANGE(""https://docs.google.com/spreadsheets/d/14Bd19lYaqBhU8_DElYkX7l4wRkHqqCUFNJY4AfY3kHU/edit?usp=sharing  #gid=0"",""фіз особи new!relations_name_uo""),7,FALSE)
,
)
))"),"#N/A")</f>
        <v>#N/A</v>
      </c>
      <c r="J327" s="7" t="s">
        <v>45</v>
      </c>
    </row>
    <row r="328" spans="1:10" ht="13.2">
      <c r="A328" s="7">
        <v>327</v>
      </c>
      <c r="B328" s="7">
        <v>1</v>
      </c>
      <c r="C328" s="7" t="s">
        <v>10</v>
      </c>
      <c r="D328" s="7">
        <v>116</v>
      </c>
      <c r="E328" s="7" t="s">
        <v>11</v>
      </c>
      <c r="F328" s="8" t="str">
        <f ca="1">IFERROR(__xludf.DUMMYFUNCTION("IF
(
C329=""фізична особа""
,
VLOOKUP(D329,IMPORTRANGE(""https://docs.google.com/spreadsheets/d/14Bd19lYaqBhU8_DElYkX7l4wRkHqqCUFNJY4AfY3kHU/edit?usp=sharing  #gid=0"",""фіз особи new!relations_name""),6,FALSE)
,
(IF
(
C329=""юридична особа""
,
VLOOKUP(D3"&amp;"29,IMPORTRANGE(""https://docs.google.com/spreadsheets/d/14Bd19lYaqBhU8_DElYkX7l4wRkHqqCUFNJY4AfY3kHU/edit?usp=sharing  #gid=0"",""фіз особи new!relations_name_uo""),7,FALSE)
,
)
))"),"ШЕЙКІН Артем Геннадійович")</f>
        <v>ШЕЙКІН Артем Геннадійович</v>
      </c>
      <c r="G328" s="7" t="s">
        <v>10</v>
      </c>
      <c r="H328" s="7">
        <v>2525</v>
      </c>
      <c r="I328" s="8" t="str">
        <f ca="1">IFERROR(__xludf.DUMMYFUNCTION("IF
(
G329=""фізична особа""
,
VLOOKUP(H329,IMPORTRANGE(""https://docs.google.com/spreadsheets/d/14Bd19lYaqBhU8_DElYkX7l4wRkHqqCUFNJY4AfY3kHU/edit?usp=sharing  #gid=0"",""фіз особи new!relations_name""),6,FALSE)
,
(IF
(
G329=""юридична особа""
,
VLOOKUP(H3"&amp;"29,IMPORTRANGE(""https://docs.google.com/spreadsheets/d/14Bd19lYaqBhU8_DElYkX7l4wRkHqqCUFNJY4AfY3kHU/edit?usp=sharing  #gid=0"",""фіз особи new!relations_name_uo""),7,FALSE)
,
)
))"),"ОРЛОВ Василь Олександрович")</f>
        <v>ОРЛОВ Василь Олександрович</v>
      </c>
      <c r="J328" s="7" t="s">
        <v>11</v>
      </c>
    </row>
    <row r="329" spans="1:10" ht="13.2">
      <c r="A329" s="7">
        <v>328</v>
      </c>
      <c r="B329" s="7">
        <v>1</v>
      </c>
      <c r="C329" s="7" t="s">
        <v>10</v>
      </c>
      <c r="D329" s="7">
        <v>116</v>
      </c>
      <c r="E329" s="7" t="s">
        <v>11</v>
      </c>
      <c r="F329" s="8" t="str">
        <f ca="1">IFERROR(__xludf.DUMMYFUNCTION("IF
(
C330=""фізична особа""
,
VLOOKUP(D330,IMPORTRANGE(""https://docs.google.com/spreadsheets/d/14Bd19lYaqBhU8_DElYkX7l4wRkHqqCUFNJY4AfY3kHU/edit?usp=sharing  #gid=0"",""фіз особи new!relations_name""),6,FALSE)
,
(IF
(
C330=""юридична особа""
,
VLOOKUP(D3"&amp;"30,IMPORTRANGE(""https://docs.google.com/spreadsheets/d/14Bd19lYaqBhU8_DElYkX7l4wRkHqqCUFNJY4AfY3kHU/edit?usp=sharing  #gid=0"",""фіз особи new!relations_name_uo""),7,FALSE)
,
)
))"),"ШЕЙКІН Артем Геннадійович")</f>
        <v>ШЕЙКІН Артем Геннадійович</v>
      </c>
      <c r="G329" s="7" t="s">
        <v>10</v>
      </c>
      <c r="H329" s="7">
        <v>0</v>
      </c>
      <c r="I329" s="8" t="str">
        <f ca="1">IFERROR(__xludf.DUMMYFUNCTION("IF
(
G330=""фізична особа""
,
VLOOKUP(H330,IMPORTRANGE(""https://docs.google.com/spreadsheets/d/14Bd19lYaqBhU8_DElYkX7l4wRkHqqCUFNJY4AfY3kHU/edit?usp=sharing  #gid=0"",""фіз особи new!relations_name""),6,FALSE)
,
(IF
(
G330=""юридична особа""
,
VLOOKUP(H3"&amp;"30,IMPORTRANGE(""https://docs.google.com/spreadsheets/d/14Bd19lYaqBhU8_DElYkX7l4wRkHqqCUFNJY4AfY3kHU/edit?usp=sharing  #gid=0"",""фіз особи new!relations_name_uo""),7,FALSE)
,
)
))"),"#N/A")</f>
        <v>#N/A</v>
      </c>
      <c r="J329" s="7" t="s">
        <v>11</v>
      </c>
    </row>
    <row r="330" spans="1:10" ht="13.2">
      <c r="A330" s="7">
        <v>329</v>
      </c>
      <c r="B330" s="7">
        <v>1</v>
      </c>
      <c r="C330" s="7" t="s">
        <v>10</v>
      </c>
      <c r="D330" s="7">
        <v>117</v>
      </c>
      <c r="E330" s="7" t="s">
        <v>11</v>
      </c>
      <c r="F330" s="8" t="str">
        <f ca="1">IFERROR(__xludf.DUMMYFUNCTION("IF
(
C331=""фізична особа""
,
VLOOKUP(D331,IMPORTRANGE(""https://docs.google.com/spreadsheets/d/14Bd19lYaqBhU8_DElYkX7l4wRkHqqCUFNJY4AfY3kHU/edit?usp=sharing  #gid=0"",""фіз особи new!relations_name""),6,FALSE)
,
(IF
(
C331=""юридична особа""
,
VLOOKUP(D3"&amp;"31,IMPORTRANGE(""https://docs.google.com/spreadsheets/d/14Bd19lYaqBhU8_DElYkX7l4wRkHqqCUFNJY4AfY3kHU/edit?usp=sharing  #gid=0"",""фіз особи new!relations_name_uo""),7,FALSE)
,
)
))"),"МЕТЕЛЄВ Артем Павлович")</f>
        <v>МЕТЕЛЄВ Артем Павлович</v>
      </c>
      <c r="G330" s="7" t="s">
        <v>10</v>
      </c>
      <c r="H330" s="7">
        <v>0</v>
      </c>
      <c r="I330" s="8" t="str">
        <f ca="1">IFERROR(__xludf.DUMMYFUNCTION("IF
(
G331=""фізична особа""
,
VLOOKUP(H331,IMPORTRANGE(""https://docs.google.com/spreadsheets/d/14Bd19lYaqBhU8_DElYkX7l4wRkHqqCUFNJY4AfY3kHU/edit?usp=sharing  #gid=0"",""фіз особи new!relations_name""),6,FALSE)
,
(IF
(
G331=""юридична особа""
,
VLOOKUP(H3"&amp;"31,IMPORTRANGE(""https://docs.google.com/spreadsheets/d/14Bd19lYaqBhU8_DElYkX7l4wRkHqqCUFNJY4AfY3kHU/edit?usp=sharing  #gid=0"",""фіз особи new!relations_name_uo""),7,FALSE)
,
)
))"),"#N/A")</f>
        <v>#N/A</v>
      </c>
      <c r="J330" s="7" t="s">
        <v>11</v>
      </c>
    </row>
    <row r="331" spans="1:10" ht="13.2">
      <c r="A331" s="7">
        <v>330</v>
      </c>
      <c r="B331" s="7">
        <v>1</v>
      </c>
      <c r="C331" s="7" t="s">
        <v>10</v>
      </c>
      <c r="D331" s="7">
        <v>118</v>
      </c>
      <c r="E331" s="7" t="s">
        <v>30</v>
      </c>
      <c r="F331" s="8" t="str">
        <f ca="1">IFERROR(__xludf.DUMMYFUNCTION("IF
(
C332=""фізична особа""
,
VLOOKUP(D332,IMPORTRANGE(""https://docs.google.com/spreadsheets/d/14Bd19lYaqBhU8_DElYkX7l4wRkHqqCUFNJY4AfY3kHU/edit?usp=sharing  #gid=0"",""фіз особи new!relations_name""),6,FALSE)
,
(IF
(
C332=""юридична особа""
,
VLOOKUP(D3"&amp;"32,IMPORTRANGE(""https://docs.google.com/spreadsheets/d/14Bd19lYaqBhU8_DElYkX7l4wRkHqqCUFNJY4AfY3kHU/edit?usp=sharing  #gid=0"",""фіз особи new!relations_name_uo""),7,FALSE)
,
)
))"),"КІР'ЯНОВ Артем Юрійович")</f>
        <v>КІР'ЯНОВ Артем Юрійович</v>
      </c>
      <c r="G331" s="7" t="s">
        <v>10</v>
      </c>
      <c r="H331" s="7">
        <v>0</v>
      </c>
      <c r="I331" s="8" t="str">
        <f ca="1">IFERROR(__xludf.DUMMYFUNCTION("IF
(
G332=""фізична особа""
,
VLOOKUP(H332,IMPORTRANGE(""https://docs.google.com/spreadsheets/d/14Bd19lYaqBhU8_DElYkX7l4wRkHqqCUFNJY4AfY3kHU/edit?usp=sharing  #gid=0"",""фіз особи new!relations_name""),6,FALSE)
,
(IF
(
G332=""юридична особа""
,
VLOOKUP(H3"&amp;"32,IMPORTRANGE(""https://docs.google.com/spreadsheets/d/14Bd19lYaqBhU8_DElYkX7l4wRkHqqCUFNJY4AfY3kHU/edit?usp=sharing  #gid=0"",""фіз особи new!relations_name_uo""),7,FALSE)
,
)
))"),"#N/A")</f>
        <v>#N/A</v>
      </c>
      <c r="J331" s="7" t="s">
        <v>30</v>
      </c>
    </row>
    <row r="332" spans="1:10" ht="13.2">
      <c r="A332" s="7">
        <v>331</v>
      </c>
      <c r="B332" s="7">
        <v>1</v>
      </c>
      <c r="C332" s="7" t="s">
        <v>10</v>
      </c>
      <c r="D332" s="7">
        <v>118</v>
      </c>
      <c r="E332" s="7" t="s">
        <v>30</v>
      </c>
      <c r="F332" s="8" t="str">
        <f ca="1">IFERROR(__xludf.DUMMYFUNCTION("IF
(
C333=""фізична особа""
,
VLOOKUP(D333,IMPORTRANGE(""https://docs.google.com/spreadsheets/d/14Bd19lYaqBhU8_DElYkX7l4wRkHqqCUFNJY4AfY3kHU/edit?usp=sharing  #gid=0"",""фіз особи new!relations_name""),6,FALSE)
,
(IF
(
C333=""юридична особа""
,
VLOOKUP(D3"&amp;"33,IMPORTRANGE(""https://docs.google.com/spreadsheets/d/14Bd19lYaqBhU8_DElYkX7l4wRkHqqCUFNJY4AfY3kHU/edit?usp=sharing  #gid=0"",""фіз особи new!relations_name_uo""),7,FALSE)
,
)
))"),"КІР'ЯНОВ Артем Юрійович")</f>
        <v>КІР'ЯНОВ Артем Юрійович</v>
      </c>
      <c r="G332" s="7" t="s">
        <v>10</v>
      </c>
      <c r="H332" s="7">
        <v>0</v>
      </c>
      <c r="I332" s="8" t="str">
        <f ca="1">IFERROR(__xludf.DUMMYFUNCTION("IF
(
G333=""фізична особа""
,
VLOOKUP(H333,IMPORTRANGE(""https://docs.google.com/spreadsheets/d/14Bd19lYaqBhU8_DElYkX7l4wRkHqqCUFNJY4AfY3kHU/edit?usp=sharing  #gid=0"",""фіз особи new!relations_name""),6,FALSE)
,
(IF
(
G333=""юридична особа""
,
VLOOKUP(H3"&amp;"33,IMPORTRANGE(""https://docs.google.com/spreadsheets/d/14Bd19lYaqBhU8_DElYkX7l4wRkHqqCUFNJY4AfY3kHU/edit?usp=sharing  #gid=0"",""фіз особи new!relations_name_uo""),7,FALSE)
,
)
))"),"#N/A")</f>
        <v>#N/A</v>
      </c>
      <c r="J332" s="7" t="s">
        <v>30</v>
      </c>
    </row>
    <row r="333" spans="1:10" ht="13.2">
      <c r="A333" s="7">
        <v>332</v>
      </c>
      <c r="B333" s="7">
        <v>1</v>
      </c>
      <c r="C333" s="7" t="s">
        <v>10</v>
      </c>
      <c r="D333" s="7">
        <v>119</v>
      </c>
      <c r="E333" s="7" t="s">
        <v>11</v>
      </c>
      <c r="F333" s="8" t="str">
        <f ca="1">IFERROR(__xludf.DUMMYFUNCTION("IF
(
C334=""фізична особа""
,
VLOOKUP(D334,IMPORTRANGE(""https://docs.google.com/spreadsheets/d/14Bd19lYaqBhU8_DElYkX7l4wRkHqqCUFNJY4AfY3kHU/edit?usp=sharing  #gid=0"",""фіз особи new!relations_name""),6,FALSE)
,
(IF
(
C334=""юридична особа""
,
VLOOKUP(D3"&amp;"34,IMPORTRANGE(""https://docs.google.com/spreadsheets/d/14Bd19lYaqBhU8_DElYkX7l4wRkHqqCUFNJY4AfY3kHU/edit?usp=sharing  #gid=0"",""фіз особи new!relations_name_uo""),7,FALSE)
,
)
))"),"ТАЙМАЗОВ Артур Борисович")</f>
        <v>ТАЙМАЗОВ Артур Борисович</v>
      </c>
      <c r="G333" s="7" t="s">
        <v>10</v>
      </c>
      <c r="H333" s="7">
        <v>0</v>
      </c>
      <c r="I333" s="8" t="str">
        <f ca="1">IFERROR(__xludf.DUMMYFUNCTION("IF
(
G334=""фізична особа""
,
VLOOKUP(H334,IMPORTRANGE(""https://docs.google.com/spreadsheets/d/14Bd19lYaqBhU8_DElYkX7l4wRkHqqCUFNJY4AfY3kHU/edit?usp=sharing  #gid=0"",""фіз особи new!relations_name""),6,FALSE)
,
(IF
(
G334=""юридична особа""
,
VLOOKUP(H3"&amp;"34,IMPORTRANGE(""https://docs.google.com/spreadsheets/d/14Bd19lYaqBhU8_DElYkX7l4wRkHqqCUFNJY4AfY3kHU/edit?usp=sharing  #gid=0"",""фіз особи new!relations_name_uo""),7,FALSE)
,
)
))"),"#N/A")</f>
        <v>#N/A</v>
      </c>
      <c r="J333" s="7" t="s">
        <v>11</v>
      </c>
    </row>
    <row r="334" spans="1:10" ht="13.2">
      <c r="A334" s="7">
        <v>333</v>
      </c>
      <c r="B334" s="7">
        <v>1</v>
      </c>
      <c r="C334" s="7" t="s">
        <v>10</v>
      </c>
      <c r="D334" s="7">
        <v>119</v>
      </c>
      <c r="E334" s="7" t="s">
        <v>11</v>
      </c>
      <c r="F334" s="8" t="str">
        <f ca="1">IFERROR(__xludf.DUMMYFUNCTION("IF
(
C335=""фізична особа""
,
VLOOKUP(D335,IMPORTRANGE(""https://docs.google.com/spreadsheets/d/14Bd19lYaqBhU8_DElYkX7l4wRkHqqCUFNJY4AfY3kHU/edit?usp=sharing  #gid=0"",""фіз особи new!relations_name""),6,FALSE)
,
(IF
(
C335=""юридична особа""
,
VLOOKUP(D3"&amp;"35,IMPORTRANGE(""https://docs.google.com/spreadsheets/d/14Bd19lYaqBhU8_DElYkX7l4wRkHqqCUFNJY4AfY3kHU/edit?usp=sharing  #gid=0"",""фіз особи new!relations_name_uo""),7,FALSE)
,
)
))"),"ТАЙМАЗОВ Артур Борисович")</f>
        <v>ТАЙМАЗОВ Артур Борисович</v>
      </c>
      <c r="G334" s="7" t="s">
        <v>10</v>
      </c>
      <c r="H334" s="7">
        <v>0</v>
      </c>
      <c r="I334" s="8" t="str">
        <f ca="1">IFERROR(__xludf.DUMMYFUNCTION("IF
(
G335=""фізична особа""
,
VLOOKUP(H335,IMPORTRANGE(""https://docs.google.com/spreadsheets/d/14Bd19lYaqBhU8_DElYkX7l4wRkHqqCUFNJY4AfY3kHU/edit?usp=sharing  #gid=0"",""фіз особи new!relations_name""),6,FALSE)
,
(IF
(
G335=""юридична особа""
,
VLOOKUP(H3"&amp;"35,IMPORTRANGE(""https://docs.google.com/spreadsheets/d/14Bd19lYaqBhU8_DElYkX7l4wRkHqqCUFNJY4AfY3kHU/edit?usp=sharing  #gid=0"",""фіз особи new!relations_name_uo""),7,FALSE)
,
)
))"),"#N/A")</f>
        <v>#N/A</v>
      </c>
      <c r="J334" s="7" t="s">
        <v>11</v>
      </c>
    </row>
    <row r="335" spans="1:10" ht="13.2">
      <c r="A335" s="7">
        <v>334</v>
      </c>
      <c r="B335" s="7">
        <v>1</v>
      </c>
      <c r="C335" s="7" t="s">
        <v>10</v>
      </c>
      <c r="D335" s="7">
        <v>120</v>
      </c>
      <c r="E335" s="7" t="s">
        <v>14</v>
      </c>
      <c r="F335" s="8" t="str">
        <f ca="1">IFERROR(__xludf.DUMMYFUNCTION("IF
(
C336=""фізична особа""
,
VLOOKUP(D336,IMPORTRANGE(""https://docs.google.com/spreadsheets/d/14Bd19lYaqBhU8_DElYkX7l4wRkHqqCUFNJY4AfY3kHU/edit?usp=sharing  #gid=0"",""фіз особи new!relations_name""),6,FALSE)
,
(IF
(
C336=""юридична особа""
,
VLOOKUP(D3"&amp;"36,IMPORTRANGE(""https://docs.google.com/spreadsheets/d/14Bd19lYaqBhU8_DElYkX7l4wRkHqqCUFNJY4AfY3kHU/edit?usp=sharing  #gid=0"",""фіз особи new!relations_name_uo""),7,FALSE)
,
)
))"),"ШЕЙНІН Артем Григорович")</f>
        <v>ШЕЙНІН Артем Григорович</v>
      </c>
      <c r="G335" s="7" t="s">
        <v>10</v>
      </c>
      <c r="H335" s="7">
        <v>0</v>
      </c>
      <c r="I335" s="8" t="str">
        <f ca="1">IFERROR(__xludf.DUMMYFUNCTION("IF
(
G336=""фізична особа""
,
VLOOKUP(H336,IMPORTRANGE(""https://docs.google.com/spreadsheets/d/14Bd19lYaqBhU8_DElYkX7l4wRkHqqCUFNJY4AfY3kHU/edit?usp=sharing  #gid=0"",""фіз особи new!relations_name""),6,FALSE)
,
(IF
(
G336=""юридична особа""
,
VLOOKUP(H3"&amp;"36,IMPORTRANGE(""https://docs.google.com/spreadsheets/d/14Bd19lYaqBhU8_DElYkX7l4wRkHqqCUFNJY4AfY3kHU/edit?usp=sharing  #gid=0"",""фіз особи new!relations_name_uo""),7,FALSE)
,
)
))"),"#N/A")</f>
        <v>#N/A</v>
      </c>
      <c r="J335" s="7" t="s">
        <v>15</v>
      </c>
    </row>
    <row r="336" spans="1:10" ht="13.2">
      <c r="A336" s="7">
        <v>335</v>
      </c>
      <c r="B336" s="7">
        <v>1</v>
      </c>
      <c r="C336" s="7" t="s">
        <v>10</v>
      </c>
      <c r="D336" s="7">
        <v>120</v>
      </c>
      <c r="E336" s="7" t="s">
        <v>12</v>
      </c>
      <c r="F336" s="8" t="str">
        <f ca="1">IFERROR(__xludf.DUMMYFUNCTION("IF
(
C337=""фізична особа""
,
VLOOKUP(D337,IMPORTRANGE(""https://docs.google.com/spreadsheets/d/14Bd19lYaqBhU8_DElYkX7l4wRkHqqCUFNJY4AfY3kHU/edit?usp=sharing  #gid=0"",""фіз особи new!relations_name""),6,FALSE)
,
(IF
(
C337=""юридична особа""
,
VLOOKUP(D3"&amp;"37,IMPORTRANGE(""https://docs.google.com/spreadsheets/d/14Bd19lYaqBhU8_DElYkX7l4wRkHqqCUFNJY4AfY3kHU/edit?usp=sharing  #gid=0"",""фіз особи new!relations_name_uo""),7,FALSE)
,
)
))"),"ШЕЙНІН Артем Григорович")</f>
        <v>ШЕЙНІН Артем Григорович</v>
      </c>
      <c r="G336" s="7" t="s">
        <v>10</v>
      </c>
      <c r="H336" s="7">
        <v>0</v>
      </c>
      <c r="I336" s="8" t="str">
        <f ca="1">IFERROR(__xludf.DUMMYFUNCTION("IF
(
G337=""фізична особа""
,
VLOOKUP(H337,IMPORTRANGE(""https://docs.google.com/spreadsheets/d/14Bd19lYaqBhU8_DElYkX7l4wRkHqqCUFNJY4AfY3kHU/edit?usp=sharing  #gid=0"",""фіз особи new!relations_name""),6,FALSE)
,
(IF
(
G337=""юридична особа""
,
VLOOKUP(H3"&amp;"37,IMPORTRANGE(""https://docs.google.com/spreadsheets/d/14Bd19lYaqBhU8_DElYkX7l4wRkHqqCUFNJY4AfY3kHU/edit?usp=sharing  #gid=0"",""фіз особи new!relations_name_uo""),7,FALSE)
,
)
))"),"#N/A")</f>
        <v>#N/A</v>
      </c>
      <c r="J336" s="7" t="s">
        <v>13</v>
      </c>
    </row>
    <row r="337" spans="1:10" ht="13.2">
      <c r="A337" s="7">
        <v>336</v>
      </c>
      <c r="B337" s="7">
        <v>1</v>
      </c>
      <c r="C337" s="7" t="s">
        <v>10</v>
      </c>
      <c r="D337" s="7">
        <v>120</v>
      </c>
      <c r="E337" s="7" t="s">
        <v>12</v>
      </c>
      <c r="F337" s="8" t="str">
        <f ca="1">IFERROR(__xludf.DUMMYFUNCTION("IF
(
C338=""фізична особа""
,
VLOOKUP(D338,IMPORTRANGE(""https://docs.google.com/spreadsheets/d/14Bd19lYaqBhU8_DElYkX7l4wRkHqqCUFNJY4AfY3kHU/edit?usp=sharing  #gid=0"",""фіз особи new!relations_name""),6,FALSE)
,
(IF
(
C338=""юридична особа""
,
VLOOKUP(D3"&amp;"38,IMPORTRANGE(""https://docs.google.com/spreadsheets/d/14Bd19lYaqBhU8_DElYkX7l4wRkHqqCUFNJY4AfY3kHU/edit?usp=sharing  #gid=0"",""фіз особи new!relations_name_uo""),7,FALSE)
,
)
))"),"ШЕЙНІН Артем Григорович")</f>
        <v>ШЕЙНІН Артем Григорович</v>
      </c>
      <c r="G337" s="7" t="s">
        <v>10</v>
      </c>
      <c r="H337" s="7">
        <v>0</v>
      </c>
      <c r="I337" s="8" t="str">
        <f ca="1">IFERROR(__xludf.DUMMYFUNCTION("IF
(
G338=""фізична особа""
,
VLOOKUP(H338,IMPORTRANGE(""https://docs.google.com/spreadsheets/d/14Bd19lYaqBhU8_DElYkX7l4wRkHqqCUFNJY4AfY3kHU/edit?usp=sharing  #gid=0"",""фіз особи new!relations_name""),6,FALSE)
,
(IF
(
G338=""юридична особа""
,
VLOOKUP(H3"&amp;"38,IMPORTRANGE(""https://docs.google.com/spreadsheets/d/14Bd19lYaqBhU8_DElYkX7l4wRkHqqCUFNJY4AfY3kHU/edit?usp=sharing  #gid=0"",""фіз особи new!relations_name_uo""),7,FALSE)
,
)
))"),"#N/A")</f>
        <v>#N/A</v>
      </c>
      <c r="J337" s="7" t="s">
        <v>17</v>
      </c>
    </row>
    <row r="338" spans="1:10" ht="13.2">
      <c r="A338" s="7">
        <v>337</v>
      </c>
      <c r="B338" s="7">
        <v>1</v>
      </c>
      <c r="C338" s="7" t="s">
        <v>10</v>
      </c>
      <c r="D338" s="7">
        <v>120</v>
      </c>
      <c r="E338" s="7" t="s">
        <v>28</v>
      </c>
      <c r="F338" s="8" t="str">
        <f ca="1">IFERROR(__xludf.DUMMYFUNCTION("IF
(
C339=""фізична особа""
,
VLOOKUP(D339,IMPORTRANGE(""https://docs.google.com/spreadsheets/d/14Bd19lYaqBhU8_DElYkX7l4wRkHqqCUFNJY4AfY3kHU/edit?usp=sharing  #gid=0"",""фіз особи new!relations_name""),6,FALSE)
,
(IF
(
C339=""юридична особа""
,
VLOOKUP(D3"&amp;"39,IMPORTRANGE(""https://docs.google.com/spreadsheets/d/14Bd19lYaqBhU8_DElYkX7l4wRkHqqCUFNJY4AfY3kHU/edit?usp=sharing  #gid=0"",""фіз особи new!relations_name_uo""),7,FALSE)
,
)
))"),"ШЕЙНІН Артем Григорович")</f>
        <v>ШЕЙНІН Артем Григорович</v>
      </c>
      <c r="G338" s="7" t="s">
        <v>10</v>
      </c>
      <c r="H338" s="7">
        <v>375</v>
      </c>
      <c r="I338" s="8" t="str">
        <f ca="1">IFERROR(__xludf.DUMMYFUNCTION("IF
(
G339=""фізична особа""
,
VLOOKUP(H339,IMPORTRANGE(""https://docs.google.com/spreadsheets/d/14Bd19lYaqBhU8_DElYkX7l4wRkHqqCUFNJY4AfY3kHU/edit?usp=sharing  #gid=0"",""фіз особи new!relations_name""),6,FALSE)
,
(IF
(
G339=""юридична особа""
,
VLOOKUP(H3"&amp;"39,IMPORTRANGE(""https://docs.google.com/spreadsheets/d/14Bd19lYaqBhU8_DElYkX7l4wRkHqqCUFNJY4AfY3kHU/edit?usp=sharing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J338" s="7" t="s">
        <v>29</v>
      </c>
    </row>
    <row r="339" spans="1:10" ht="13.2">
      <c r="A339" s="7">
        <v>338</v>
      </c>
      <c r="B339" s="7">
        <v>1</v>
      </c>
      <c r="C339" s="7" t="s">
        <v>10</v>
      </c>
      <c r="D339" s="7">
        <v>121</v>
      </c>
      <c r="E339" s="7" t="s">
        <v>28</v>
      </c>
      <c r="F339" s="8" t="str">
        <f ca="1">IFERROR(__xludf.DUMMYFUNCTION("IF
(
C340=""фізична особа""
,
VLOOKUP(D340,IMPORTRANGE(""https://docs.google.com/spreadsheets/d/14Bd19lYaqBhU8_DElYkX7l4wRkHqqCUFNJY4AfY3kHU/edit?usp=sharing  #gid=0"",""фіз особи new!relations_name""),6,FALSE)
,
(IF
(
C340=""юридична особа""
,
VLOOKUP(D3"&amp;"40,IMPORTRANGE(""https://docs.google.com/spreadsheets/d/14Bd19lYaqBhU8_DElYkX7l4wRkHqqCUFNJY4AfY3kHU/edit?usp=sharing  #gid=0"",""фіз особи new!relations_name_uo""),7,FALSE)
,
)
))"),"БІЧАЄВ Артем Олександрович")</f>
        <v>БІЧАЄВ Артем Олександрович</v>
      </c>
      <c r="G339" s="7" t="s">
        <v>10</v>
      </c>
      <c r="H339" s="7">
        <v>8665</v>
      </c>
      <c r="I339" s="8" t="str">
        <f ca="1">IFERROR(__xludf.DUMMYFUNCTION("IF
(
G340=""фізична особа""
,
VLOOKUP(H340,IMPORTRANGE(""https://docs.google.com/spreadsheets/d/14Bd19lYaqBhU8_DElYkX7l4wRkHqqCUFNJY4AfY3kHU/edit?usp=sharing  #gid=0"",""фіз особи new!relations_name""),6,FALSE)
,
(IF
(
G340=""юридична особа""
,
VLOOKUP(H3"&amp;"40,IMPORTRANGE(""https://docs.google.com/spreadsheets/d/14Bd19lYaqBhU8_DElYkX7l4wRkHqqCUFNJY4AfY3kHU/edit?usp=sharing  #gid=0"",""фіз особи new!relations_name_uo""),7,FALSE)
,
)
))"),"КУЗНЕЦОВ Михайло Михайлович")</f>
        <v>КУЗНЕЦОВ Михайло Михайлович</v>
      </c>
      <c r="J339" s="7" t="s">
        <v>29</v>
      </c>
    </row>
    <row r="340" spans="1:10" ht="13.2">
      <c r="A340" s="7">
        <v>339</v>
      </c>
      <c r="B340" s="7">
        <v>1</v>
      </c>
      <c r="C340" s="7" t="s">
        <v>10</v>
      </c>
      <c r="D340" s="7">
        <v>121</v>
      </c>
      <c r="E340" s="7" t="s">
        <v>28</v>
      </c>
      <c r="F340" s="8" t="str">
        <f ca="1">IFERROR(__xludf.DUMMYFUNCTION("IF
(
C341=""фізична особа""
,
VLOOKUP(D341,IMPORTRANGE(""https://docs.google.com/spreadsheets/d/14Bd19lYaqBhU8_DElYkX7l4wRkHqqCUFNJY4AfY3kHU/edit?usp=sharing  #gid=0"",""фіз особи new!relations_name""),6,FALSE)
,
(IF
(
C341=""юридична особа""
,
VLOOKUP(D3"&amp;"41,IMPORTRANGE(""https://docs.google.com/spreadsheets/d/14Bd19lYaqBhU8_DElYkX7l4wRkHqqCUFNJY4AfY3kHU/edit?usp=sharing  #gid=0"",""фіз особи new!relations_name_uo""),7,FALSE)
,
)
))"),"БІЧАЄВ Артем Олександрович")</f>
        <v>БІЧАЄВ Артем Олександрович</v>
      </c>
      <c r="G340" s="7" t="s">
        <v>10</v>
      </c>
      <c r="H340" s="7">
        <v>880</v>
      </c>
      <c r="I340" s="8" t="str">
        <f ca="1">IFERROR(__xludf.DUMMYFUNCTION("IF
(
G341=""фізична особа""
,
VLOOKUP(H341,IMPORTRANGE(""https://docs.google.com/spreadsheets/d/14Bd19lYaqBhU8_DElYkX7l4wRkHqqCUFNJY4AfY3kHU/edit?usp=sharing  #gid=0"",""фіз особи new!relations_name""),6,FALSE)
,
(IF
(
G341=""юридична особа""
,
VLOOKUP(H3"&amp;"41,IMPORTRANGE(""https://docs.google.com/spreadsheets/d/14Bd19lYaqBhU8_DElYkX7l4wRkHqqCUFNJY4AfY3kHU/edit?usp=sharing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40" s="7" t="s">
        <v>29</v>
      </c>
    </row>
    <row r="341" spans="1:10" ht="13.2">
      <c r="A341" s="7">
        <v>340</v>
      </c>
      <c r="B341" s="7">
        <v>1</v>
      </c>
      <c r="C341" s="7" t="s">
        <v>10</v>
      </c>
      <c r="D341" s="7">
        <v>122</v>
      </c>
      <c r="E341" s="7" t="s">
        <v>28</v>
      </c>
      <c r="F341" s="8" t="str">
        <f ca="1">IFERROR(__xludf.DUMMYFUNCTION("IF
(
C342=""фізична особа""
,
VLOOKUP(D342,IMPORTRANGE(""https://docs.google.com/spreadsheets/d/14Bd19lYaqBhU8_DElYkX7l4wRkHqqCUFNJY4AfY3kHU/edit?usp=sharing  #gid=0"",""фіз особи new!relations_name""),6,FALSE)
,
(IF
(
C342=""юридична особа""
,
VLOOKUP(D3"&amp;"42,IMPORTRANGE(""https://docs.google.com/spreadsheets/d/14Bd19lYaqBhU8_DElYkX7l4wRkHqqCUFNJY4AfY3kHU/edit?usp=sharing  #gid=0"",""фіз особи new!relations_name_uo""),7,FALSE)
,
)
))"),"КРАМАРЕНКО Артем Олександрович")</f>
        <v>КРАМАРЕНКО Артем Олександрович</v>
      </c>
      <c r="G341" s="7" t="s">
        <v>10</v>
      </c>
      <c r="H341" s="7">
        <v>856</v>
      </c>
      <c r="I341" s="8" t="str">
        <f ca="1">IFERROR(__xludf.DUMMYFUNCTION("IF
(
G342=""фізична особа""
,
VLOOKUP(H342,IMPORTRANGE(""https://docs.google.com/spreadsheets/d/14Bd19lYaqBhU8_DElYkX7l4wRkHqqCUFNJY4AfY3kHU/edit?usp=sharing  #gid=0"",""фіз особи new!relations_name""),6,FALSE)
,
(IF
(
G342=""юридична особа""
,
VLOOKUP(H3"&amp;"42,IMPORTRANGE(""https://docs.google.com/spreadsheets/d/14Bd19lYaqBhU8_DElYkX7l4wRkHqqCUFNJY4AfY3kHU/edit?usp=sharing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41" s="7" t="s">
        <v>29</v>
      </c>
    </row>
    <row r="342" spans="1:10" ht="13.2">
      <c r="A342" s="7">
        <v>341</v>
      </c>
      <c r="B342" s="7">
        <v>1</v>
      </c>
      <c r="C342" s="7" t="s">
        <v>10</v>
      </c>
      <c r="D342" s="7">
        <v>123</v>
      </c>
      <c r="E342" s="7" t="s">
        <v>14</v>
      </c>
      <c r="F342" s="8" t="str">
        <f ca="1">IFERROR(__xludf.DUMMYFUNCTION("IF
(
C343=""фізична особа""
,
VLOOKUP(D343,IMPORTRANGE(""https://docs.google.com/spreadsheets/d/14Bd19lYaqBhU8_DElYkX7l4wRkHqqCUFNJY4AfY3kHU/edit?usp=sharing  #gid=0"",""фіз особи new!relations_name""),6,FALSE)
,
(IF
(
C343=""юридична особа""
,
VLOOKUP(D3"&amp;"43,IMPORTRANGE(""https://docs.google.com/spreadsheets/d/14Bd19lYaqBhU8_DElYkX7l4wRkHqqCUFNJY4AfY3kHU/edit?usp=sharing  #gid=0"",""фіз особи new!relations_name_uo""),7,FALSE)
,
)
))"),"ТУРОВ Артем Вікторович")</f>
        <v>ТУРОВ Артем Вікторович</v>
      </c>
      <c r="G342" s="7" t="s">
        <v>10</v>
      </c>
      <c r="H342" s="7">
        <v>5082</v>
      </c>
      <c r="I342" s="8" t="str">
        <f ca="1">IFERROR(__xludf.DUMMYFUNCTION("IF
(
G343=""фізична особа""
,
VLOOKUP(H343,IMPORTRANGE(""https://docs.google.com/spreadsheets/d/14Bd19lYaqBhU8_DElYkX7l4wRkHqqCUFNJY4AfY3kHU/edit?usp=sharing  #gid=0"",""фіз особи new!relations_name""),6,FALSE)
,
(IF
(
G343=""юридична особа""
,
VLOOKUP(H3"&amp;"43,IMPORTRANGE(""https://docs.google.com/spreadsheets/d/14Bd19lYaqBhU8_DElYkX7l4wRkHqqCUFNJY4AfY3kHU/edit?usp=sharing  #gid=0"",""фіз особи new!relations_name_uo""),7,FALSE)
,
)
))"),"МОЛОТКОВА Олена")</f>
        <v>МОЛОТКОВА Олена</v>
      </c>
      <c r="J342" s="7" t="s">
        <v>15</v>
      </c>
    </row>
    <row r="343" spans="1:10" ht="13.2">
      <c r="A343" s="7">
        <v>342</v>
      </c>
      <c r="B343" s="7">
        <v>1</v>
      </c>
      <c r="C343" s="7" t="s">
        <v>10</v>
      </c>
      <c r="D343" s="7">
        <v>123</v>
      </c>
      <c r="E343" s="7" t="s">
        <v>12</v>
      </c>
      <c r="F343" s="8" t="str">
        <f ca="1">IFERROR(__xludf.DUMMYFUNCTION("IF
(
C344=""фізична особа""
,
VLOOKUP(D344,IMPORTRANGE(""https://docs.google.com/spreadsheets/d/14Bd19lYaqBhU8_DElYkX7l4wRkHqqCUFNJY4AfY3kHU/edit?usp=sharing  #gid=0"",""фіз особи new!relations_name""),6,FALSE)
,
(IF
(
C344=""юридична особа""
,
VLOOKUP(D3"&amp;"44,IMPORTRANGE(""https://docs.google.com/spreadsheets/d/14Bd19lYaqBhU8_DElYkX7l4wRkHqqCUFNJY4AfY3kHU/edit?usp=sharing  #gid=0"",""фіз особи new!relations_name_uo""),7,FALSE)
,
)
))"),"ТУРОВ Артем Вікторович")</f>
        <v>ТУРОВ Артем Вікторович</v>
      </c>
      <c r="G343" s="7" t="s">
        <v>10</v>
      </c>
      <c r="H343" s="7">
        <v>0</v>
      </c>
      <c r="I343" s="8" t="str">
        <f ca="1">IFERROR(__xludf.DUMMYFUNCTION("IF
(
G344=""фізична особа""
,
VLOOKUP(H344,IMPORTRANGE(""https://docs.google.com/spreadsheets/d/14Bd19lYaqBhU8_DElYkX7l4wRkHqqCUFNJY4AfY3kHU/edit?usp=sharing  #gid=0"",""фіз особи new!relations_name""),6,FALSE)
,
(IF
(
G344=""юридична особа""
,
VLOOKUP(H3"&amp;"44,IMPORTRANGE(""https://docs.google.com/spreadsheets/d/14Bd19lYaqBhU8_DElYkX7l4wRkHqqCUFNJY4AfY3kHU/edit?usp=sharing  #gid=0"",""фіз особи new!relations_name_uo""),7,FALSE)
,
)
))"),"#N/A")</f>
        <v>#N/A</v>
      </c>
      <c r="J343" s="7" t="s">
        <v>17</v>
      </c>
    </row>
    <row r="344" spans="1:10" ht="13.2">
      <c r="A344" s="7">
        <v>343</v>
      </c>
      <c r="B344" s="7">
        <v>1</v>
      </c>
      <c r="C344" s="7" t="s">
        <v>10</v>
      </c>
      <c r="D344" s="7">
        <v>123</v>
      </c>
      <c r="E344" s="7" t="s">
        <v>12</v>
      </c>
      <c r="F344" s="8" t="str">
        <f ca="1">IFERROR(__xludf.DUMMYFUNCTION("IF
(
C345=""фізична особа""
,
VLOOKUP(D345,IMPORTRANGE(""https://docs.google.com/spreadsheets/d/14Bd19lYaqBhU8_DElYkX7l4wRkHqqCUFNJY4AfY3kHU/edit?usp=sharing  #gid=0"",""фіз особи new!relations_name""),6,FALSE)
,
(IF
(
C345=""юридична особа""
,
VLOOKUP(D3"&amp;"45,IMPORTRANGE(""https://docs.google.com/spreadsheets/d/14Bd19lYaqBhU8_DElYkX7l4wRkHqqCUFNJY4AfY3kHU/edit?usp=sharing  #gid=0"",""фіз особи new!relations_name_uo""),7,FALSE)
,
)
))"),"ТУРОВ Артем Вікторович")</f>
        <v>ТУРОВ Артем Вікторович</v>
      </c>
      <c r="G344" s="7" t="s">
        <v>10</v>
      </c>
      <c r="H344" s="7">
        <v>0</v>
      </c>
      <c r="I344" s="8" t="str">
        <f ca="1">IFERROR(__xludf.DUMMYFUNCTION("IF
(
G345=""фізична особа""
,
VLOOKUP(H345,IMPORTRANGE(""https://docs.google.com/spreadsheets/d/14Bd19lYaqBhU8_DElYkX7l4wRkHqqCUFNJY4AfY3kHU/edit?usp=sharing  #gid=0"",""фіз особи new!relations_name""),6,FALSE)
,
(IF
(
G345=""юридична особа""
,
VLOOKUP(H3"&amp;"45,IMPORTRANGE(""https://docs.google.com/spreadsheets/d/14Bd19lYaqBhU8_DElYkX7l4wRkHqqCUFNJY4AfY3kHU/edit?usp=sharing  #gid=0"",""фіз особи new!relations_name_uo""),7,FALSE)
,
)
))"),"#N/A")</f>
        <v>#N/A</v>
      </c>
      <c r="J344" s="7" t="s">
        <v>13</v>
      </c>
    </row>
    <row r="345" spans="1:10" ht="13.2">
      <c r="A345" s="7">
        <v>344</v>
      </c>
      <c r="B345" s="7">
        <v>1</v>
      </c>
      <c r="C345" s="7" t="s">
        <v>10</v>
      </c>
      <c r="D345" s="7">
        <v>124</v>
      </c>
      <c r="E345" s="7" t="s">
        <v>28</v>
      </c>
      <c r="F345" s="8" t="str">
        <f ca="1">IFERROR(__xludf.DUMMYFUNCTION("IF
(
C346=""фізична особа""
,
VLOOKUP(D346,IMPORTRANGE(""https://docs.google.com/spreadsheets/d/14Bd19lYaqBhU8_DElYkX7l4wRkHqqCUFNJY4AfY3kHU/edit?usp=sharing  #gid=0"",""фіз особи new!relations_name""),6,FALSE)
,
(IF
(
C346=""юридична особа""
,
VLOOKUP(D3"&amp;"46,IMPORTRANGE(""https://docs.google.com/spreadsheets/d/14Bd19lYaqBhU8_DElYkX7l4wRkHqqCUFNJY4AfY3kHU/edit?usp=sharing  #gid=0"",""фіз особи new!relations_name_uo""),7,FALSE)
,
)
))"),"ВЕТЕНЕВИЧ Олександр Петрович")</f>
        <v>ВЕТЕНЕВИЧ Олександр Петрович</v>
      </c>
      <c r="G345" s="7" t="s">
        <v>10</v>
      </c>
      <c r="H345" s="7">
        <v>279</v>
      </c>
      <c r="I345" s="8" t="str">
        <f ca="1">IFERROR(__xludf.DUMMYFUNCTION("IF
(
G346=""фізична особа""
,
VLOOKUP(H346,IMPORTRANGE(""https://docs.google.com/spreadsheets/d/14Bd19lYaqBhU8_DElYkX7l4wRkHqqCUFNJY4AfY3kHU/edit?usp=sharing  #gid=0"",""фіз особи new!relations_name""),6,FALSE)
,
(IF
(
G346=""юридична особа""
,
VLOOKUP(H3"&amp;"46,IMPORTRANGE(""https://docs.google.com/spreadsheets/d/14Bd19lYaqBhU8_DElYkX7l4wRkHqqCUFNJY4AfY3kHU/edit?usp=sharing  #gid=0"",""фіз особи new!relations_name_uo""),7,FALSE)
,
)
))"),"РІМАШЕВСЬКИЙ Олексій Іванович")</f>
        <v>РІМАШЕВСЬКИЙ Олексій Іванович</v>
      </c>
      <c r="J345" s="7" t="s">
        <v>29</v>
      </c>
    </row>
    <row r="346" spans="1:10" ht="13.2">
      <c r="A346" s="7">
        <v>345</v>
      </c>
      <c r="B346" s="7">
        <v>1</v>
      </c>
      <c r="C346" s="7" t="s">
        <v>10</v>
      </c>
      <c r="D346" s="7">
        <v>125</v>
      </c>
      <c r="E346" s="7" t="s">
        <v>28</v>
      </c>
      <c r="F346" s="8" t="str">
        <f ca="1">IFERROR(__xludf.DUMMYFUNCTION("IF
(
C347=""фізична особа""
,
VLOOKUP(D347,IMPORTRANGE(""https://docs.google.com/spreadsheets/d/14Bd19lYaqBhU8_DElYkX7l4wRkHqqCUFNJY4AfY3kHU/edit?usp=sharing  #gid=0"",""фіз особи new!relations_name""),6,FALSE)
,
(IF
(
C347=""юридична особа""
,
VLOOKUP(D3"&amp;"47,IMPORTRANGE(""https://docs.google.com/spreadsheets/d/14Bd19lYaqBhU8_DElYkX7l4wRkHqqCUFNJY4AfY3kHU/edit?usp=sharing  #gid=0"",""фіз особи new!relations_name_uo""),7,FALSE)
,
)
))"),"ПРОКОФ'ЄВ Артем В'ячеславович")</f>
        <v>ПРОКОФ'ЄВ Артем В'ячеславович</v>
      </c>
      <c r="G346" s="7" t="s">
        <v>10</v>
      </c>
      <c r="H346" s="7">
        <v>267</v>
      </c>
      <c r="I346" s="8" t="str">
        <f ca="1">IFERROR(__xludf.DUMMYFUNCTION("IF
(
G347=""фізична особа""
,
VLOOKUP(H347,IMPORTRANGE(""https://docs.google.com/spreadsheets/d/14Bd19lYaqBhU8_DElYkX7l4wRkHqqCUFNJY4AfY3kHU/edit?usp=sharing  #gid=0"",""фіз особи new!relations_name""),6,FALSE)
,
(IF
(
G347=""юридична особа""
,
VLOOKUP(H3"&amp;"47,IMPORTRANGE(""https://docs.google.com/spreadsheets/d/14Bd19lYaqBhU8_DElYkX7l4wRkHqqCUFNJY4AfY3kHU/edit?usp=sharing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346" s="7" t="s">
        <v>29</v>
      </c>
    </row>
    <row r="347" spans="1:10" ht="13.2">
      <c r="A347" s="7">
        <v>346</v>
      </c>
      <c r="B347" s="7">
        <v>1</v>
      </c>
      <c r="C347" s="7" t="s">
        <v>10</v>
      </c>
      <c r="D347" s="7">
        <v>126</v>
      </c>
      <c r="E347" s="7" t="s">
        <v>28</v>
      </c>
      <c r="F347" s="8" t="str">
        <f ca="1">IFERROR(__xludf.DUMMYFUNCTION("IF
(
C348=""фізична особа""
,
VLOOKUP(D348,IMPORTRANGE(""https://docs.google.com/spreadsheets/d/14Bd19lYaqBhU8_DElYkX7l4wRkHqqCUFNJY4AfY3kHU/edit?usp=sharing  #gid=0"",""фіз особи new!relations_name""),6,FALSE)
,
(IF
(
C348=""юридична особа""
,
VLOOKUP(D3"&amp;"48,IMPORTRANGE(""https://docs.google.com/spreadsheets/d/14Bd19lYaqBhU8_DElYkX7l4wRkHqqCUFNJY4AfY3kHU/edit?usp=sharing  #gid=0"",""фіз особи new!relations_name_uo""),7,FALSE)
,
)
))"),"САРИГЛАР Айдин Миколайович")</f>
        <v>САРИГЛАР Айдин Миколайович</v>
      </c>
      <c r="G347" s="7" t="s">
        <v>10</v>
      </c>
      <c r="H347" s="7">
        <v>76</v>
      </c>
      <c r="I347" s="8" t="str">
        <f ca="1">IFERROR(__xludf.DUMMYFUNCTION("IF
(
G348=""фізична особа""
,
VLOOKUP(H348,IMPORTRANGE(""https://docs.google.com/spreadsheets/d/14Bd19lYaqBhU8_DElYkX7l4wRkHqqCUFNJY4AfY3kHU/edit?usp=sharing  #gid=0"",""фіз особи new!relations_name""),6,FALSE)
,
(IF
(
G348=""юридична особа""
,
VLOOKUP(H3"&amp;"48,IMPORTRANGE(""https://docs.google.com/spreadsheets/d/14Bd19lYaqBhU8_DElYkX7l4wRkHqqCUFNJY4AfY3kHU/edit?usp=sharing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347" s="7" t="s">
        <v>29</v>
      </c>
    </row>
    <row r="348" spans="1:10" ht="13.2">
      <c r="A348" s="7">
        <v>347</v>
      </c>
      <c r="B348" s="7">
        <v>1</v>
      </c>
      <c r="C348" s="7" t="s">
        <v>10</v>
      </c>
      <c r="D348" s="7">
        <v>127</v>
      </c>
      <c r="E348" s="7" t="s">
        <v>28</v>
      </c>
      <c r="F348" s="8" t="str">
        <f ca="1">IFERROR(__xludf.DUMMYFUNCTION("IF
(
C349=""фізична особа""
,
VLOOKUP(D349,IMPORTRANGE(""https://docs.google.com/spreadsheets/d/14Bd19lYaqBhU8_DElYkX7l4wRkHqqCUFNJY4AfY3kHU/edit?usp=sharing  #gid=0"",""фіз особи new!relations_name""),6,FALSE)
,
(IF
(
C349=""юридична особа""
,
VLOOKUP(D3"&amp;"49,IMPORTRANGE(""https://docs.google.com/spreadsheets/d/14Bd19lYaqBhU8_DElYkX7l4wRkHqqCUFNJY4AfY3kHU/edit?usp=sharing  #gid=0"",""фіз особи new!relations_name_uo""),7,FALSE)
,
)
))"),"ЯГАФАРОВ Азат Фердинандович")</f>
        <v>ЯГАФАРОВ Азат Фердинандович</v>
      </c>
      <c r="G348" s="7" t="s">
        <v>10</v>
      </c>
      <c r="H348" s="7">
        <v>16156</v>
      </c>
      <c r="I348" s="8" t="str">
        <f ca="1">IFERROR(__xludf.DUMMYFUNCTION("IF
(
G349=""фізична особа""
,
VLOOKUP(H349,IMPORTRANGE(""https://docs.google.com/spreadsheets/d/14Bd19lYaqBhU8_DElYkX7l4wRkHqqCUFNJY4AfY3kHU/edit?usp=sharing  #gid=0"",""фіз особи new!relations_name""),6,FALSE)
,
(IF
(
G349=""юридична особа""
,
VLOOKUP(H3"&amp;"49,IMPORTRANGE(""https://docs.google.com/spreadsheets/d/14Bd19lYaqBhU8_DElYkX7l4wRkHqqCUFNJY4AfY3kHU/edit?usp=sharing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348" s="7" t="s">
        <v>29</v>
      </c>
    </row>
    <row r="349" spans="1:10" ht="13.2">
      <c r="A349" s="7">
        <v>348</v>
      </c>
      <c r="B349" s="7">
        <v>1</v>
      </c>
      <c r="C349" s="7" t="s">
        <v>10</v>
      </c>
      <c r="D349" s="7">
        <v>128</v>
      </c>
      <c r="E349" s="7" t="s">
        <v>17</v>
      </c>
      <c r="F349" s="8" t="str">
        <f ca="1">IFERROR(__xludf.DUMMYFUNCTION("IF
(
C350=""фізична особа""
,
VLOOKUP(D350,IMPORTRANGE(""https://docs.google.com/spreadsheets/d/14Bd19lYaqBhU8_DElYkX7l4wRkHqqCUFNJY4AfY3kHU/edit?usp=sharing  #gid=0"",""фіз особи new!relations_name""),6,FALSE)
,
(IF
(
C350=""юридична особа""
,
VLOOKUP(D3"&amp;"50,IMPORTRANGE(""https://docs.google.com/spreadsheets/d/14Bd19lYaqBhU8_DElYkX7l4wRkHqqCUFNJY4AfY3kHU/edit?usp=sharing  #gid=0"",""фіз особи new!relations_name_uo""),7,FALSE)
,
)
))"),"БАШАНКАЄВ Бадма Миколайович")</f>
        <v>БАШАНКАЄВ Бадма Миколайович</v>
      </c>
      <c r="G349" s="7" t="s">
        <v>10</v>
      </c>
      <c r="H349" s="7">
        <v>5083</v>
      </c>
      <c r="I349" s="8" t="str">
        <f ca="1">IFERROR(__xludf.DUMMYFUNCTION("IF
(
G350=""фізична особа""
,
VLOOKUP(H350,IMPORTRANGE(""https://docs.google.com/spreadsheets/d/14Bd19lYaqBhU8_DElYkX7l4wRkHqqCUFNJY4AfY3kHU/edit?usp=sharing  #gid=0"",""фіз особи new!relations_name""),6,FALSE)
,
(IF
(
G350=""юридична особа""
,
VLOOKUP(H3"&amp;"50,IMPORTRANGE(""https://docs.google.com/spreadsheets/d/14Bd19lYaqBhU8_DElYkX7l4wRkHqqCUFNJY4AfY3kHU/edit?usp=sharing  #gid=0"",""фіз особи new!relations_name_uo""),7,FALSE)
,
)
))"),"БАШАНКАЄВ Микола Андрійович")</f>
        <v>БАШАНКАЄВ Микола Андрійович</v>
      </c>
      <c r="J349" s="7" t="s">
        <v>12</v>
      </c>
    </row>
    <row r="350" spans="1:10" ht="13.2">
      <c r="A350" s="7">
        <v>349</v>
      </c>
      <c r="B350" s="7">
        <v>1</v>
      </c>
      <c r="C350" s="7" t="s">
        <v>10</v>
      </c>
      <c r="D350" s="7">
        <v>128</v>
      </c>
      <c r="E350" s="7" t="s">
        <v>28</v>
      </c>
      <c r="F350" s="8" t="str">
        <f ca="1">IFERROR(__xludf.DUMMYFUNCTION("IF
(
C351=""фізична особа""
,
VLOOKUP(D351,IMPORTRANGE(""https://docs.google.com/spreadsheets/d/14Bd19lYaqBhU8_DElYkX7l4wRkHqqCUFNJY4AfY3kHU/edit?usp=sharing  #gid=0"",""фіз особи new!relations_name""),6,FALSE)
,
(IF
(
C351=""юридична особа""
,
VLOOKUP(D3"&amp;"51,IMPORTRANGE(""https://docs.google.com/spreadsheets/d/14Bd19lYaqBhU8_DElYkX7l4wRkHqqCUFNJY4AfY3kHU/edit?usp=sharing  #gid=0"",""фіз особи new!relations_name_uo""),7,FALSE)
,
)
))"),"БАШАНКАЄВ Бадма Миколайович")</f>
        <v>БАШАНКАЄВ Бадма Миколайович</v>
      </c>
      <c r="G350" s="7" t="s">
        <v>10</v>
      </c>
      <c r="H350" s="7">
        <v>183</v>
      </c>
      <c r="I350" s="8" t="str">
        <f ca="1">IFERROR(__xludf.DUMMYFUNCTION("IF
(
G351=""фізична особа""
,
VLOOKUP(H351,IMPORTRANGE(""https://docs.google.com/spreadsheets/d/14Bd19lYaqBhU8_DElYkX7l4wRkHqqCUFNJY4AfY3kHU/edit?usp=sharing  #gid=0"",""фіз особи new!relations_name""),6,FALSE)
,
(IF
(
G351=""юридична особа""
,
VLOOKUP(H3"&amp;"51,IMPORTRANGE(""https://docs.google.com/spreadsheets/d/14Bd19lYaqBhU8_DElYkX7l4wRkHqqCUFNJY4AfY3kHU/edit?usp=sharing  #gid=0"",""фіз особи new!relations_name_uo""),7,FALSE)
,
)
))"),"ХУБЕЗОВ Дмитро Анатолійович")</f>
        <v>ХУБЕЗОВ Дмитро Анатолійович</v>
      </c>
      <c r="J350" s="7" t="s">
        <v>29</v>
      </c>
    </row>
    <row r="351" spans="1:10" ht="13.2">
      <c r="A351" s="7">
        <v>350</v>
      </c>
      <c r="B351" s="7">
        <v>1</v>
      </c>
      <c r="C351" s="7" t="s">
        <v>10</v>
      </c>
      <c r="D351" s="7">
        <v>129</v>
      </c>
      <c r="E351" s="7" t="s">
        <v>12</v>
      </c>
      <c r="F351" s="8" t="str">
        <f ca="1">IFERROR(__xludf.DUMMYFUNCTION("IF
(
C352=""фізична особа""
,
VLOOKUP(D352,IMPORTRANGE(""https://docs.google.com/spreadsheets/d/14Bd19lYaqBhU8_DElYkX7l4wRkHqqCUFNJY4AfY3kHU/edit?usp=sharing  #gid=0"",""фіз особи new!relations_name""),6,FALSE)
,
(IF
(
C352=""юридична особа""
,
VLOOKUP(D3"&amp;"52,IMPORTRANGE(""https://docs.google.com/spreadsheets/d/14Bd19lYaqBhU8_DElYkX7l4wRkHqqCUFNJY4AfY3kHU/edit?usp=sharing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G351" s="7" t="s">
        <v>10</v>
      </c>
      <c r="H351" s="7">
        <v>4341</v>
      </c>
      <c r="I351" s="8" t="str">
        <f ca="1">IFERROR(__xludf.DUMMYFUNCTION("IF
(
G352=""фізична особа""
,
VLOOKUP(H352,IMPORTRANGE(""https://docs.google.com/spreadsheets/d/14Bd19lYaqBhU8_DElYkX7l4wRkHqqCUFNJY4AfY3kHU/edit?usp=sharing  #gid=0"",""фіз особи new!relations_name""),6,FALSE)
,
(IF
(
G352=""юридична особа""
,
VLOOKUP(H3"&amp;"52,IMPORTRANGE(""https://docs.google.com/spreadsheets/d/14Bd19lYaqBhU8_DElYkX7l4wRkHqqCUFNJY4AfY3kHU/edit?usp=sharing  #gid=0"",""фіз особи new!relations_name_uo""),7,FALSE)
,
)
))"),"ЖАМСУЄВ Тумен Баірович")</f>
        <v>ЖАМСУЄВ Тумен Баірович</v>
      </c>
      <c r="J351" s="7" t="s">
        <v>17</v>
      </c>
    </row>
    <row r="352" spans="1:10" ht="13.2">
      <c r="A352" s="7">
        <v>351</v>
      </c>
      <c r="B352" s="7">
        <v>1</v>
      </c>
      <c r="C352" s="7" t="s">
        <v>10</v>
      </c>
      <c r="D352" s="7">
        <v>129</v>
      </c>
      <c r="E352" s="7" t="s">
        <v>14</v>
      </c>
      <c r="F352" s="8" t="str">
        <f ca="1">IFERROR(__xludf.DUMMYFUNCTION("IF
(
C353=""фізична особа""
,
VLOOKUP(D353,IMPORTRANGE(""https://docs.google.com/spreadsheets/d/14Bd19lYaqBhU8_DElYkX7l4wRkHqqCUFNJY4AfY3kHU/edit?usp=sharing  #gid=0"",""фіз особи new!relations_name""),6,FALSE)
,
(IF
(
C353=""юридична особа""
,
VLOOKUP(D3"&amp;"53,IMPORTRANGE(""https://docs.google.com/spreadsheets/d/14Bd19lYaqBhU8_DElYkX7l4wRkHqqCUFNJY4AfY3kHU/edit?usp=sharing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G352" s="7" t="s">
        <v>10</v>
      </c>
      <c r="H352" s="7">
        <v>23368</v>
      </c>
      <c r="I352" s="8" t="str">
        <f ca="1">IFERROR(__xludf.DUMMYFUNCTION("IF
(
G353=""фізична особа""
,
VLOOKUP(H353,IMPORTRANGE(""https://docs.google.com/spreadsheets/d/14Bd19lYaqBhU8_DElYkX7l4wRkHqqCUFNJY4AfY3kHU/edit?usp=sharing  #gid=0"",""фіз особи new!relations_name""),6,FALSE)
,
(IF
(
G353=""юридична особа""
,
VLOOKUP(H3"&amp;"53,IMPORTRANGE(""https://docs.google.com/spreadsheets/d/14Bd19lYaqBhU8_DElYkX7l4wRkHqqCUFNJY4AfY3kHU/edit?usp=sharing  #gid=0"",""фіз особи new!relations_name_uo""),7,FALSE)
,
)
))"),"ЖАМСУЄВА Марина")</f>
        <v>ЖАМСУЄВА Марина</v>
      </c>
      <c r="J352" s="7" t="s">
        <v>15</v>
      </c>
    </row>
    <row r="353" spans="1:10" ht="13.2">
      <c r="A353" s="7">
        <v>352</v>
      </c>
      <c r="B353" s="7">
        <v>1</v>
      </c>
      <c r="C353" s="7" t="s">
        <v>10</v>
      </c>
      <c r="D353" s="7">
        <v>129</v>
      </c>
      <c r="E353" s="7" t="s">
        <v>12</v>
      </c>
      <c r="F353" s="8" t="str">
        <f ca="1">IFERROR(__xludf.DUMMYFUNCTION("IF
(
C354=""фізична особа""
,
VLOOKUP(D354,IMPORTRANGE(""https://docs.google.com/spreadsheets/d/14Bd19lYaqBhU8_DElYkX7l4wRkHqqCUFNJY4AfY3kHU/edit?usp=sharing  #gid=0"",""фіз особи new!relations_name""),6,FALSE)
,
(IF
(
C354=""юридична особа""
,
VLOOKUP(D3"&amp;"54,IMPORTRANGE(""https://docs.google.com/spreadsheets/d/14Bd19lYaqBhU8_DElYkX7l4wRkHqqCUFNJY4AfY3kHU/edit?usp=sharing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G353" s="7" t="s">
        <v>10</v>
      </c>
      <c r="H353" s="7">
        <v>4340</v>
      </c>
      <c r="I353" s="8" t="str">
        <f ca="1">IFERROR(__xludf.DUMMYFUNCTION("IF
(
G354=""фізична особа""
,
VLOOKUP(H354,IMPORTRANGE(""https://docs.google.com/spreadsheets/d/14Bd19lYaqBhU8_DElYkX7l4wRkHqqCUFNJY4AfY3kHU/edit?usp=sharing  #gid=0"",""фіз особи new!relations_name""),6,FALSE)
,
(IF
(
G354=""юридична особа""
,
VLOOKUP(H3"&amp;"54,IMPORTRANGE(""https://docs.google.com/spreadsheets/d/14Bd19lYaqBhU8_DElYkX7l4wRkHqqCUFNJY4AfY3kHU/edit?usp=sharing  #gid=0"",""фіз особи new!relations_name_uo""),7,FALSE)
,
)
))"),"ЖАМСУЄВ Цирен Баірович")</f>
        <v>ЖАМСУЄВ Цирен Баірович</v>
      </c>
      <c r="J353" s="7" t="s">
        <v>17</v>
      </c>
    </row>
    <row r="354" spans="1:10" ht="13.2">
      <c r="A354" s="7">
        <v>353</v>
      </c>
      <c r="B354" s="7">
        <v>1</v>
      </c>
      <c r="C354" s="7" t="s">
        <v>10</v>
      </c>
      <c r="D354" s="7">
        <v>129</v>
      </c>
      <c r="E354" s="7" t="s">
        <v>40</v>
      </c>
      <c r="F354" s="8" t="str">
        <f ca="1">IFERROR(__xludf.DUMMYFUNCTION("IF
(
C355=""фізична особа""
,
VLOOKUP(D355,IMPORTRANGE(""https://docs.google.com/spreadsheets/d/14Bd19lYaqBhU8_DElYkX7l4wRkHqqCUFNJY4AfY3kHU/edit?usp=sharing  #gid=0"",""фіз особи new!relations_name""),6,FALSE)
,
(IF
(
C355=""юридична особа""
,
VLOOKUP(D3"&amp;"55,IMPORTRANGE(""https://docs.google.com/spreadsheets/d/14Bd19lYaqBhU8_DElYkX7l4wRkHqqCUFNJY4AfY3kHU/edit?usp=sharing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G354" s="7" t="s">
        <v>10</v>
      </c>
      <c r="H354" s="7">
        <v>677</v>
      </c>
      <c r="I354" s="8" t="str">
        <f ca="1">IFERROR(__xludf.DUMMYFUNCTION("IF
(
G355=""фізична особа""
,
VLOOKUP(H355,IMPORTRANGE(""https://docs.google.com/spreadsheets/d/14Bd19lYaqBhU8_DElYkX7l4wRkHqqCUFNJY4AfY3kHU/edit?usp=sharing  #gid=0"",""фіз особи new!relations_name""),6,FALSE)
,
(IF
(
G355=""юридична особа""
,
VLOOKUP(H3"&amp;"55,IMPORTRANGE(""https://docs.google.com/spreadsheets/d/14Bd19lYaqBhU8_DElYkX7l4wRkHqqCUFNJY4AfY3kHU/edit?usp=sharing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354" s="7" t="s">
        <v>41</v>
      </c>
    </row>
    <row r="355" spans="1:10" ht="13.2">
      <c r="A355" s="7">
        <v>354</v>
      </c>
      <c r="B355" s="7">
        <v>1</v>
      </c>
      <c r="C355" s="7" t="s">
        <v>10</v>
      </c>
      <c r="D355" s="7">
        <v>129</v>
      </c>
      <c r="E355" s="7" t="s">
        <v>40</v>
      </c>
      <c r="F355" s="8" t="str">
        <f ca="1">IFERROR(__xludf.DUMMYFUNCTION("IF
(
C356=""фізична особа""
,
VLOOKUP(D356,IMPORTRANGE(""https://docs.google.com/spreadsheets/d/14Bd19lYaqBhU8_DElYkX7l4wRkHqqCUFNJY4AfY3kHU/edit?usp=sharing  #gid=0"",""фіз особи new!relations_name""),6,FALSE)
,
(IF
(
C356=""юридична особа""
,
VLOOKUP(D3"&amp;"56,IMPORTRANGE(""https://docs.google.com/spreadsheets/d/14Bd19lYaqBhU8_DElYkX7l4wRkHqqCUFNJY4AfY3kHU/edit?usp=sharing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G355" s="7" t="s">
        <v>10</v>
      </c>
      <c r="H355" s="7">
        <v>654</v>
      </c>
      <c r="I355" s="8" t="str">
        <f ca="1">IFERROR(__xludf.DUMMYFUNCTION("IF
(
G356=""фізична особа""
,
VLOOKUP(H356,IMPORTRANGE(""https://docs.google.com/spreadsheets/d/14Bd19lYaqBhU8_DElYkX7l4wRkHqqCUFNJY4AfY3kHU/edit?usp=sharing  #gid=0"",""фіз особи new!relations_name""),6,FALSE)
,
(IF
(
G356=""юридична особа""
,
VLOOKUP(H3"&amp;"56,IMPORTRANGE(""https://docs.google.com/spreadsheets/d/14Bd19lYaqBhU8_DElYkX7l4wRkHqqCUFNJY4AfY3kHU/edit?usp=sharing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355" s="7" t="s">
        <v>41</v>
      </c>
    </row>
    <row r="356" spans="1:10" ht="13.2">
      <c r="A356" s="7">
        <v>355</v>
      </c>
      <c r="B356" s="7">
        <v>1</v>
      </c>
      <c r="C356" s="7" t="s">
        <v>10</v>
      </c>
      <c r="D356" s="7">
        <v>130</v>
      </c>
      <c r="E356" s="7" t="s">
        <v>17</v>
      </c>
      <c r="F356" s="8" t="str">
        <f ca="1">IFERROR(__xludf.DUMMYFUNCTION("IF
(
C357=""фізична особа""
,
VLOOKUP(D357,IMPORTRANGE(""https://docs.google.com/spreadsheets/d/14Bd19lYaqBhU8_DElYkX7l4wRkHqqCUFNJY4AfY3kHU/edit?usp=sharing  #gid=0"",""фіз особи new!relations_name""),6,FALSE)
,
(IF
(
C357=""юридична особа""
,
VLOOKUP(D3"&amp;"57,IMPORTRANGE(""https://docs.google.com/spreadsheets/d/14Bd19lYaqBhU8_DElYkX7l4wRkHqqCUFNJY4AfY3kHU/edit?usp=sharing  #gid=0"",""фіз особи new!relations_name_uo""),7,FALSE)
,
)
))"),"БАХАРЄВ Костянтин Михайлович")</f>
        <v>БАХАРЄВ Костянтин Михайлович</v>
      </c>
      <c r="G356" s="7" t="s">
        <v>10</v>
      </c>
      <c r="H356" s="7">
        <v>4813</v>
      </c>
      <c r="I356" s="8" t="str">
        <f ca="1">IFERROR(__xludf.DUMMYFUNCTION("IF
(
G357=""фізична особа""
,
VLOOKUP(H357,IMPORTRANGE(""https://docs.google.com/spreadsheets/d/14Bd19lYaqBhU8_DElYkX7l4wRkHqqCUFNJY4AfY3kHU/edit?usp=sharing  #gid=0"",""фіз особи new!relations_name""),6,FALSE)
,
(IF
(
G357=""юридична особа""
,
VLOOKUP(H3"&amp;"57,IMPORTRANGE(""https://docs.google.com/spreadsheets/d/14Bd19lYaqBhU8_DElYkX7l4wRkHqqCUFNJY4AfY3kHU/edit?usp=sharing  #gid=0"",""фіз особи new!relations_name_uo""),7,FALSE)
,
)
))"),"БАХАРЄВ Михайло Олексійович")</f>
        <v>БАХАРЄВ Михайло Олексійович</v>
      </c>
      <c r="J356" s="7" t="s">
        <v>12</v>
      </c>
    </row>
    <row r="357" spans="1:10" ht="13.2">
      <c r="A357" s="7">
        <v>356</v>
      </c>
      <c r="B357" s="7">
        <v>1</v>
      </c>
      <c r="C357" s="7" t="s">
        <v>10</v>
      </c>
      <c r="D357" s="7">
        <v>130</v>
      </c>
      <c r="E357" s="7" t="s">
        <v>14</v>
      </c>
      <c r="F357" s="8" t="str">
        <f ca="1">IFERROR(__xludf.DUMMYFUNCTION("IF
(
C358=""фізична особа""
,
VLOOKUP(D358,IMPORTRANGE(""https://docs.google.com/spreadsheets/d/14Bd19lYaqBhU8_DElYkX7l4wRkHqqCUFNJY4AfY3kHU/edit?usp=sharing  #gid=0"",""фіз особи new!relations_name""),6,FALSE)
,
(IF
(
C358=""юридична особа""
,
VLOOKUP(D3"&amp;"58,IMPORTRANGE(""https://docs.google.com/spreadsheets/d/14Bd19lYaqBhU8_DElYkX7l4wRkHqqCUFNJY4AfY3kHU/edit?usp=sharing  #gid=0"",""фіз особи new!relations_name_uo""),7,FALSE)
,
)
))"),"БАХАРЄВ Костянтин Михайлович")</f>
        <v>БАХАРЄВ Костянтин Михайлович</v>
      </c>
      <c r="G357" s="7" t="s">
        <v>10</v>
      </c>
      <c r="H357" s="7">
        <v>0</v>
      </c>
      <c r="I357" s="8" t="str">
        <f ca="1">IFERROR(__xludf.DUMMYFUNCTION("IF
(
G358=""фізична особа""
,
VLOOKUP(H358,IMPORTRANGE(""https://docs.google.com/spreadsheets/d/14Bd19lYaqBhU8_DElYkX7l4wRkHqqCUFNJY4AfY3kHU/edit?usp=sharing  #gid=0"",""фіз особи new!relations_name""),6,FALSE)
,
(IF
(
G358=""юридична особа""
,
VLOOKUP(H3"&amp;"58,IMPORTRANGE(""https://docs.google.com/spreadsheets/d/14Bd19lYaqBhU8_DElYkX7l4wRkHqqCUFNJY4AfY3kHU/edit?usp=sharing  #gid=0"",""фіз особи new!relations_name_uo""),7,FALSE)
,
)
))"),"#N/A")</f>
        <v>#N/A</v>
      </c>
      <c r="J357" s="7" t="s">
        <v>15</v>
      </c>
    </row>
    <row r="358" spans="1:10" ht="13.2">
      <c r="A358" s="7">
        <v>357</v>
      </c>
      <c r="B358" s="7">
        <v>1</v>
      </c>
      <c r="C358" s="7" t="s">
        <v>10</v>
      </c>
      <c r="D358" s="7">
        <v>130</v>
      </c>
      <c r="E358" s="7" t="s">
        <v>17</v>
      </c>
      <c r="F358" s="8" t="str">
        <f ca="1">IFERROR(__xludf.DUMMYFUNCTION("IF
(
C359=""фізична особа""
,
VLOOKUP(D359,IMPORTRANGE(""https://docs.google.com/spreadsheets/d/14Bd19lYaqBhU8_DElYkX7l4wRkHqqCUFNJY4AfY3kHU/edit?usp=sharing  #gid=0"",""фіз особи new!relations_name""),6,FALSE)
,
(IF
(
C359=""юридична особа""
,
VLOOKUP(D3"&amp;"59,IMPORTRANGE(""https://docs.google.com/spreadsheets/d/14Bd19lYaqBhU8_DElYkX7l4wRkHqqCUFNJY4AfY3kHU/edit?usp=sharing  #gid=0"",""фіз особи new!relations_name_uo""),7,FALSE)
,
)
))"),"БАХАРЄВ Костянтин Михайлович")</f>
        <v>БАХАРЄВ Костянтин Михайлович</v>
      </c>
      <c r="G358" s="7" t="s">
        <v>10</v>
      </c>
      <c r="H358" s="7">
        <v>0</v>
      </c>
      <c r="I358" s="8" t="str">
        <f ca="1">IFERROR(__xludf.DUMMYFUNCTION("IF
(
G359=""фізична особа""
,
VLOOKUP(H359,IMPORTRANGE(""https://docs.google.com/spreadsheets/d/14Bd19lYaqBhU8_DElYkX7l4wRkHqqCUFNJY4AfY3kHU/edit?usp=sharing  #gid=0"",""фіз особи new!relations_name""),6,FALSE)
,
(IF
(
G359=""юридична особа""
,
VLOOKUP(H3"&amp;"59,IMPORTRANGE(""https://docs.google.com/spreadsheets/d/14Bd19lYaqBhU8_DElYkX7l4wRkHqqCUFNJY4AfY3kHU/edit?usp=sharing  #gid=0"",""фіз особи new!relations_name_uo""),7,FALSE)
,
)
))"),"#N/A")</f>
        <v>#N/A</v>
      </c>
      <c r="J358" s="7" t="s">
        <v>21</v>
      </c>
    </row>
    <row r="359" spans="1:10" ht="13.2">
      <c r="A359" s="7">
        <v>358</v>
      </c>
      <c r="B359" s="7">
        <v>1</v>
      </c>
      <c r="C359" s="7" t="s">
        <v>10</v>
      </c>
      <c r="D359" s="7">
        <v>131</v>
      </c>
      <c r="E359" s="7" t="s">
        <v>40</v>
      </c>
      <c r="F359" s="8" t="str">
        <f ca="1">IFERROR(__xludf.DUMMYFUNCTION("IF
(
C360=""фізична особа""
,
VLOOKUP(D360,IMPORTRANGE(""https://docs.google.com/spreadsheets/d/14Bd19lYaqBhU8_DElYkX7l4wRkHqqCUFNJY4AfY3kHU/edit?usp=sharing  #gid=0"",""фіз особи new!relations_name""),6,FALSE)
,
(IF
(
C360=""юридична особа""
,
VLOOKUP(D3"&amp;"60,IMPORTRANGE(""https://docs.google.com/spreadsheets/d/14Bd19lYaqBhU8_DElYkX7l4wRkHqqCUFNJY4AfY3kHU/edit?usp=sharing  #gid=0"",""фіз особи new!relations_name_uo""),7,FALSE)
,
)
))"),"БАРАХОЄВ Бекхан Абдулхамідович")</f>
        <v>БАРАХОЄВ Бекхан Абдулхамідович</v>
      </c>
      <c r="G359" s="7" t="s">
        <v>10</v>
      </c>
      <c r="H359" s="7">
        <v>0</v>
      </c>
      <c r="I359" s="8" t="str">
        <f ca="1">IFERROR(__xludf.DUMMYFUNCTION("IF
(
G360=""фізична особа""
,
VLOOKUP(H360,IMPORTRANGE(""https://docs.google.com/spreadsheets/d/14Bd19lYaqBhU8_DElYkX7l4wRkHqqCUFNJY4AfY3kHU/edit?usp=sharing  #gid=0"",""фіз особи new!relations_name""),6,FALSE)
,
(IF
(
G360=""юридична особа""
,
VLOOKUP(H3"&amp;"60,IMPORTRANGE(""https://docs.google.com/spreadsheets/d/14Bd19lYaqBhU8_DElYkX7l4wRkHqqCUFNJY4AfY3kHU/edit?usp=sharing  #gid=0"",""фіз особи new!relations_name_uo""),7,FALSE)
,
)
))"),"#N/A")</f>
        <v>#N/A</v>
      </c>
      <c r="J359" s="7" t="s">
        <v>41</v>
      </c>
    </row>
    <row r="360" spans="1:10" ht="13.2">
      <c r="A360" s="7">
        <v>359</v>
      </c>
      <c r="B360" s="7">
        <v>1</v>
      </c>
      <c r="C360" s="7" t="s">
        <v>10</v>
      </c>
      <c r="D360" s="7">
        <v>131</v>
      </c>
      <c r="E360" s="7" t="s">
        <v>40</v>
      </c>
      <c r="F360" s="8" t="str">
        <f ca="1">IFERROR(__xludf.DUMMYFUNCTION("IF
(
C361=""фізична особа""
,
VLOOKUP(D361,IMPORTRANGE(""https://docs.google.com/spreadsheets/d/14Bd19lYaqBhU8_DElYkX7l4wRkHqqCUFNJY4AfY3kHU/edit?usp=sharing  #gid=0"",""фіз особи new!relations_name""),6,FALSE)
,
(IF
(
C361=""юридична особа""
,
VLOOKUP(D3"&amp;"61,IMPORTRANGE(""https://docs.google.com/spreadsheets/d/14Bd19lYaqBhU8_DElYkX7l4wRkHqqCUFNJY4AfY3kHU/edit?usp=sharing  #gid=0"",""фіз особи new!relations_name_uo""),7,FALSE)
,
)
))"),"БАРАХОЄВ Бекхан Абдулхамідович")</f>
        <v>БАРАХОЄВ Бекхан Абдулхамідович</v>
      </c>
      <c r="G360" s="7" t="s">
        <v>10</v>
      </c>
      <c r="H360" s="7">
        <v>0</v>
      </c>
      <c r="I360" s="8" t="str">
        <f ca="1">IFERROR(__xludf.DUMMYFUNCTION("IF
(
G361=""фізична особа""
,
VLOOKUP(H361,IMPORTRANGE(""https://docs.google.com/spreadsheets/d/14Bd19lYaqBhU8_DElYkX7l4wRkHqqCUFNJY4AfY3kHU/edit?usp=sharing  #gid=0"",""фіз особи new!relations_name""),6,FALSE)
,
(IF
(
G361=""юридична особа""
,
VLOOKUP(H3"&amp;"61,IMPORTRANGE(""https://docs.google.com/spreadsheets/d/14Bd19lYaqBhU8_DElYkX7l4wRkHqqCUFNJY4AfY3kHU/edit?usp=sharing  #gid=0"",""фіз особи new!relations_name_uo""),7,FALSE)
,
)
))"),"#N/A")</f>
        <v>#N/A</v>
      </c>
      <c r="J360" s="7" t="s">
        <v>41</v>
      </c>
    </row>
    <row r="361" spans="1:10" ht="13.2">
      <c r="A361" s="7">
        <v>360</v>
      </c>
      <c r="B361" s="7">
        <v>1</v>
      </c>
      <c r="C361" s="7" t="s">
        <v>10</v>
      </c>
      <c r="D361" s="7">
        <v>132</v>
      </c>
      <c r="E361" s="7" t="s">
        <v>17</v>
      </c>
      <c r="F361" s="8" t="str">
        <f ca="1">IFERROR(__xludf.DUMMYFUNCTION("IF
(
C362=""фізична особа""
,
VLOOKUP(D362,IMPORTRANGE(""https://docs.google.com/spreadsheets/d/14Bd19lYaqBhU8_DElYkX7l4wRkHqqCUFNJY4AfY3kHU/edit?usp=sharing  #gid=0"",""фіз особи new!relations_name""),6,FALSE)
,
(IF
(
C362=""юридична особа""
,
VLOOKUP(D3"&amp;"62,IMPORTRANGE(""https://docs.google.com/spreadsheets/d/14Bd19lYaqBhU8_DElYkX7l4wRkHqqCUFNJY4AfY3kHU/edit?usp=sharing  #gid=0"",""фіз особи new!relations_name_uo""),7,FALSE)
,
)
))"),"АГАЄВ Бекхан Вахаєвич")</f>
        <v>АГАЄВ Бекхан Вахаєвич</v>
      </c>
      <c r="G361" s="7" t="s">
        <v>10</v>
      </c>
      <c r="H361" s="7">
        <v>12795</v>
      </c>
      <c r="I361" s="8" t="str">
        <f ca="1">IFERROR(__xludf.DUMMYFUNCTION("IF
(
G362=""фізична особа""
,
VLOOKUP(H362,IMPORTRANGE(""https://docs.google.com/spreadsheets/d/14Bd19lYaqBhU8_DElYkX7l4wRkHqqCUFNJY4AfY3kHU/edit?usp=sharing  #gid=0"",""фіз особи new!relations_name""),6,FALSE)
,
(IF
(
G362=""юридична особа""
,
VLOOKUP(H3"&amp;"62,IMPORTRANGE(""https://docs.google.com/spreadsheets/d/14Bd19lYaqBhU8_DElYkX7l4wRkHqqCUFNJY4AfY3kHU/edit?usp=sharing  #gid=0"",""фіз особи new!relations_name_uo""),7,FALSE)
,
)
))"),"АГАЄВ Ваха Абуєвич")</f>
        <v>АГАЄВ Ваха Абуєвич</v>
      </c>
      <c r="J361" s="7" t="s">
        <v>12</v>
      </c>
    </row>
    <row r="362" spans="1:10" ht="13.2">
      <c r="A362" s="7">
        <v>361</v>
      </c>
      <c r="B362" s="7">
        <v>1</v>
      </c>
      <c r="C362" s="7" t="s">
        <v>10</v>
      </c>
      <c r="D362" s="7">
        <v>132</v>
      </c>
      <c r="E362" s="7" t="s">
        <v>18</v>
      </c>
      <c r="F362" s="8" t="str">
        <f ca="1">IFERROR(__xludf.DUMMYFUNCTION("IF
(
C363=""фізична особа""
,
VLOOKUP(D363,IMPORTRANGE(""https://docs.google.com/spreadsheets/d/14Bd19lYaqBhU8_DElYkX7l4wRkHqqCUFNJY4AfY3kHU/edit?usp=sharing  #gid=0"",""фіз особи new!relations_name""),6,FALSE)
,
(IF
(
C363=""юридична особа""
,
VLOOKUP(D3"&amp;"63,IMPORTRANGE(""https://docs.google.com/spreadsheets/d/14Bd19lYaqBhU8_DElYkX7l4wRkHqqCUFNJY4AfY3kHU/edit?usp=sharing  #gid=0"",""фіз особи new!relations_name_uo""),7,FALSE)
,
)
))"),"АГАЄВ Бекхан Вахаєвич")</f>
        <v>АГАЄВ Бекхан Вахаєвич</v>
      </c>
      <c r="G362" s="7" t="s">
        <v>10</v>
      </c>
      <c r="H362" s="7">
        <v>5084</v>
      </c>
      <c r="I362" s="8" t="str">
        <f ca="1">IFERROR(__xludf.DUMMYFUNCTION("IF
(
G363=""фізична особа""
,
VLOOKUP(H363,IMPORTRANGE(""https://docs.google.com/spreadsheets/d/14Bd19lYaqBhU8_DElYkX7l4wRkHqqCUFNJY4AfY3kHU/edit?usp=sharing  #gid=0"",""фіз особи new!relations_name""),6,FALSE)
,
(IF
(
G363=""юридична особа""
,
VLOOKUP(H3"&amp;"63,IMPORTRANGE(""https://docs.google.com/spreadsheets/d/14Bd19lYaqBhU8_DElYkX7l4wRkHqqCUFNJY4AfY3kHU/edit?usp=sharing  #gid=0"",""фіз особи new!relations_name_uo""),7,FALSE)
,
)
))"),"АГАЄВ Батир Вахаєвич")</f>
        <v>АГАЄВ Батир Вахаєвич</v>
      </c>
      <c r="J362" s="7" t="s">
        <v>18</v>
      </c>
    </row>
    <row r="363" spans="1:10" ht="13.2">
      <c r="A363" s="7">
        <v>362</v>
      </c>
      <c r="B363" s="7">
        <v>1</v>
      </c>
      <c r="C363" s="7" t="s">
        <v>10</v>
      </c>
      <c r="D363" s="7">
        <v>132</v>
      </c>
      <c r="E363" s="7" t="s">
        <v>12</v>
      </c>
      <c r="F363" s="8" t="str">
        <f ca="1">IFERROR(__xludf.DUMMYFUNCTION("IF
(
C364=""фізична особа""
,
VLOOKUP(D364,IMPORTRANGE(""https://docs.google.com/spreadsheets/d/14Bd19lYaqBhU8_DElYkX7l4wRkHqqCUFNJY4AfY3kHU/edit?usp=sharing  #gid=0"",""фіз особи new!relations_name""),6,FALSE)
,
(IF
(
C364=""юридична особа""
,
VLOOKUP(D3"&amp;"64,IMPORTRANGE(""https://docs.google.com/spreadsheets/d/14Bd19lYaqBhU8_DElYkX7l4wRkHqqCUFNJY4AfY3kHU/edit?usp=sharing  #gid=0"",""фіз особи new!relations_name_uo""),7,FALSE)
,
)
))"),"АГАЄВ Бекхан Вахаєвич")</f>
        <v>АГАЄВ Бекхан Вахаєвич</v>
      </c>
      <c r="G363" s="7" t="s">
        <v>10</v>
      </c>
      <c r="H363" s="7">
        <v>5085</v>
      </c>
      <c r="I363" s="8" t="str">
        <f ca="1">IFERROR(__xludf.DUMMYFUNCTION("IF
(
G364=""фізична особа""
,
VLOOKUP(H364,IMPORTRANGE(""https://docs.google.com/spreadsheets/d/14Bd19lYaqBhU8_DElYkX7l4wRkHqqCUFNJY4AfY3kHU/edit?usp=sharing  #gid=0"",""фіз особи new!relations_name""),6,FALSE)
,
(IF
(
G364=""юридична особа""
,
VLOOKUP(H3"&amp;"64,IMPORTRANGE(""https://docs.google.com/spreadsheets/d/14Bd19lYaqBhU8_DElYkX7l4wRkHqqCUFNJY4AfY3kHU/edit?usp=sharing  #gid=0"",""фіз особи new!relations_name_uo""),7,FALSE)
,
)
))"),"АГАЄВ Руслан Бекханович")</f>
        <v>АГАЄВ Руслан Бекханович</v>
      </c>
      <c r="J363" s="7" t="s">
        <v>17</v>
      </c>
    </row>
    <row r="364" spans="1:10" ht="13.2">
      <c r="A364" s="7">
        <v>363</v>
      </c>
      <c r="B364" s="7">
        <v>1</v>
      </c>
      <c r="C364" s="7" t="s">
        <v>10</v>
      </c>
      <c r="D364" s="7">
        <v>133</v>
      </c>
      <c r="E364" s="7" t="s">
        <v>12</v>
      </c>
      <c r="F364" s="8" t="str">
        <f ca="1">IFERROR(__xludf.DUMMYFUNCTION("IF
(
C365=""фізична особа""
,
VLOOKUP(D365,IMPORTRANGE(""https://docs.google.com/spreadsheets/d/14Bd19lYaqBhU8_DElYkX7l4wRkHqqCUFNJY4AfY3kHU/edit?usp=sharing  #gid=0"",""фіз особи new!relations_name""),6,FALSE)
,
(IF
(
C365=""юридична особа""
,
VLOOKUP(D3"&amp;"65,IMPORTRANGE(""https://docs.google.com/spreadsheets/d/14Bd19lYaqBhU8_DElYkX7l4wRkHqqCUFNJY4AfY3kHU/edit?usp=sharing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G364" s="7" t="s">
        <v>10</v>
      </c>
      <c r="H364" s="7">
        <v>4344</v>
      </c>
      <c r="I364" s="8" t="str">
        <f ca="1">IFERROR(__xludf.DUMMYFUNCTION("IF
(
G365=""фізична особа""
,
VLOOKUP(H365,IMPORTRANGE(""https://docs.google.com/spreadsheets/d/14Bd19lYaqBhU8_DElYkX7l4wRkHqqCUFNJY4AfY3kHU/edit?usp=sharing  #gid=0"",""фіз особи new!relations_name""),6,FALSE)
,
(IF
(
G365=""юридична особа""
,
VLOOKUP(H3"&amp;"65,IMPORTRANGE(""https://docs.google.com/spreadsheets/d/14Bd19lYaqBhU8_DElYkX7l4wRkHqqCUFNJY4AfY3kHU/edit?usp=sharing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J364" s="7" t="s">
        <v>17</v>
      </c>
    </row>
    <row r="365" spans="1:10" ht="13.2">
      <c r="A365" s="7">
        <v>364</v>
      </c>
      <c r="B365" s="7">
        <v>1</v>
      </c>
      <c r="C365" s="7" t="s">
        <v>10</v>
      </c>
      <c r="D365" s="7">
        <v>133</v>
      </c>
      <c r="E365" s="7" t="s">
        <v>18</v>
      </c>
      <c r="F365" s="8" t="str">
        <f ca="1">IFERROR(__xludf.DUMMYFUNCTION("IF
(
C366=""фізична особа""
,
VLOOKUP(D366,IMPORTRANGE(""https://docs.google.com/spreadsheets/d/14Bd19lYaqBhU8_DElYkX7l4wRkHqqCUFNJY4AfY3kHU/edit?usp=sharing  #gid=0"",""фіз особи new!relations_name""),6,FALSE)
,
(IF
(
C366=""юридична особа""
,
VLOOKUP(D3"&amp;"66,IMPORTRANGE(""https://docs.google.com/spreadsheets/d/14Bd19lYaqBhU8_DElYkX7l4wRkHqqCUFNJY4AfY3kHU/edit?usp=sharing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G365" s="7" t="s">
        <v>10</v>
      </c>
      <c r="H365" s="7">
        <v>4346</v>
      </c>
      <c r="I365" s="8" t="str">
        <f ca="1">IFERROR(__xludf.DUMMYFUNCTION("IF
(
G366=""фізична особа""
,
VLOOKUP(H366,IMPORTRANGE(""https://docs.google.com/spreadsheets/d/14Bd19lYaqBhU8_DElYkX7l4wRkHqqCUFNJY4AfY3kHU/edit?usp=sharing  #gid=0"",""фіз особи new!relations_name""),6,FALSE)
,
(IF
(
G366=""юридична особа""
,
VLOOKUP(H3"&amp;"66,IMPORTRANGE(""https://docs.google.com/spreadsheets/d/14Bd19lYaqBhU8_DElYkX7l4wRkHqqCUFNJY4AfY3kHU/edit?usp=sharing  #gid=0"",""фіз особи new!relations_name_uo""),7,FALSE)
,
)
))"),"ХАМЧІЄВ Бекхан Багаудінович")</f>
        <v>ХАМЧІЄВ Бекхан Багаудінович</v>
      </c>
      <c r="J365" s="7" t="s">
        <v>18</v>
      </c>
    </row>
    <row r="366" spans="1:10" ht="13.2">
      <c r="A366" s="7">
        <v>365</v>
      </c>
      <c r="B366" s="7">
        <v>1</v>
      </c>
      <c r="C366" s="7" t="s">
        <v>10</v>
      </c>
      <c r="D366" s="7">
        <v>133</v>
      </c>
      <c r="E366" s="7" t="s">
        <v>14</v>
      </c>
      <c r="F366" s="8" t="str">
        <f ca="1">IFERROR(__xludf.DUMMYFUNCTION("IF
(
C367=""фізична особа""
,
VLOOKUP(D367,IMPORTRANGE(""https://docs.google.com/spreadsheets/d/14Bd19lYaqBhU8_DElYkX7l4wRkHqqCUFNJY4AfY3kHU/edit?usp=sharing  #gid=0"",""фіз особи new!relations_name""),6,FALSE)
,
(IF
(
C367=""юридична особа""
,
VLOOKUP(D3"&amp;"67,IMPORTRANGE(""https://docs.google.com/spreadsheets/d/14Bd19lYaqBhU8_DElYkX7l4wRkHqqCUFNJY4AfY3kHU/edit?usp=sharing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G366" s="7" t="s">
        <v>10</v>
      </c>
      <c r="H366" s="7">
        <v>4342</v>
      </c>
      <c r="I366" s="8" t="str">
        <f ca="1">IFERROR(__xludf.DUMMYFUNCTION("IF
(
G367=""фізична особа""
,
VLOOKUP(H367,IMPORTRANGE(""https://docs.google.com/spreadsheets/d/14Bd19lYaqBhU8_DElYkX7l4wRkHqqCUFNJY4AfY3kHU/edit?usp=sharing  #gid=0"",""фіз особи new!relations_name""),6,FALSE)
,
(IF
(
G367=""юридична особа""
,
VLOOKUP(H3"&amp;"67,IMPORTRANGE(""https://docs.google.com/spreadsheets/d/14Bd19lYaqBhU8_DElYkX7l4wRkHqqCUFNJY4AfY3kHU/edit?usp=sharing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J366" s="7" t="s">
        <v>15</v>
      </c>
    </row>
    <row r="367" spans="1:10" ht="13.2">
      <c r="A367" s="7">
        <v>366</v>
      </c>
      <c r="B367" s="7">
        <v>1</v>
      </c>
      <c r="C367" s="7" t="s">
        <v>10</v>
      </c>
      <c r="D367" s="7">
        <v>133</v>
      </c>
      <c r="E367" s="7" t="s">
        <v>12</v>
      </c>
      <c r="F367" s="8" t="str">
        <f ca="1">IFERROR(__xludf.DUMMYFUNCTION("IF
(
C368=""фізична особа""
,
VLOOKUP(D368,IMPORTRANGE(""https://docs.google.com/spreadsheets/d/14Bd19lYaqBhU8_DElYkX7l4wRkHqqCUFNJY4AfY3kHU/edit?usp=sharing  #gid=0"",""фіз особи new!relations_name""),6,FALSE)
,
(IF
(
C368=""юридична особа""
,
VLOOKUP(D3"&amp;"68,IMPORTRANGE(""https://docs.google.com/spreadsheets/d/14Bd19lYaqBhU8_DElYkX7l4wRkHqqCUFNJY4AfY3kHU/edit?usp=sharing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G367" s="7" t="s">
        <v>10</v>
      </c>
      <c r="H367" s="7">
        <v>4345</v>
      </c>
      <c r="I367" s="8" t="str">
        <f ca="1">IFERROR(__xludf.DUMMYFUNCTION("IF
(
G368=""фізична особа""
,
VLOOKUP(H368,IMPORTRANGE(""https://docs.google.com/spreadsheets/d/14Bd19lYaqBhU8_DElYkX7l4wRkHqqCUFNJY4AfY3kHU/edit?usp=sharing  #gid=0"",""фіз особи new!relations_name""),6,FALSE)
,
(IF
(
G368=""юридична особа""
,
VLOOKUP(H3"&amp;"68,IMPORTRANGE(""https://docs.google.com/spreadsheets/d/14Bd19lYaqBhU8_DElYkX7l4wRkHqqCUFNJY4AfY3kHU/edit?usp=sharing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J367" s="7" t="s">
        <v>13</v>
      </c>
    </row>
    <row r="368" spans="1:10" ht="13.2">
      <c r="A368" s="7">
        <v>367</v>
      </c>
      <c r="B368" s="7">
        <v>1</v>
      </c>
      <c r="C368" s="7" t="s">
        <v>10</v>
      </c>
      <c r="D368" s="7">
        <v>133</v>
      </c>
      <c r="E368" s="7" t="s">
        <v>12</v>
      </c>
      <c r="F368" s="8" t="str">
        <f ca="1">IFERROR(__xludf.DUMMYFUNCTION("IF
(
C369=""фізична особа""
,
VLOOKUP(D369,IMPORTRANGE(""https://docs.google.com/spreadsheets/d/14Bd19lYaqBhU8_DElYkX7l4wRkHqqCUFNJY4AfY3kHU/edit?usp=sharing  #gid=0"",""фіз особи new!relations_name""),6,FALSE)
,
(IF
(
C369=""юридична особа""
,
VLOOKUP(D3"&amp;"69,IMPORTRANGE(""https://docs.google.com/spreadsheets/d/14Bd19lYaqBhU8_DElYkX7l4wRkHqqCUFNJY4AfY3kHU/edit?usp=sharing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G368" s="7" t="s">
        <v>10</v>
      </c>
      <c r="H368" s="7">
        <v>4343</v>
      </c>
      <c r="I368" s="8" t="str">
        <f ca="1">IFERROR(__xludf.DUMMYFUNCTION("IF
(
G369=""фізична особа""
,
VLOOKUP(H369,IMPORTRANGE(""https://docs.google.com/spreadsheets/d/14Bd19lYaqBhU8_DElYkX7l4wRkHqqCUFNJY4AfY3kHU/edit?usp=sharing  #gid=0"",""фіз особи new!relations_name""),6,FALSE)
,
(IF
(
G369=""юридична особа""
,
VLOOKUP(H3"&amp;"69,IMPORTRANGE(""https://docs.google.com/spreadsheets/d/14Bd19lYaqBhU8_DElYkX7l4wRkHqqCUFNJY4AfY3kHU/edit?usp=sharing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J368" s="7" t="s">
        <v>13</v>
      </c>
    </row>
    <row r="369" spans="1:10" ht="13.2">
      <c r="A369" s="7">
        <v>368</v>
      </c>
      <c r="B369" s="7">
        <v>1</v>
      </c>
      <c r="C369" s="7" t="s">
        <v>10</v>
      </c>
      <c r="D369" s="7">
        <v>134</v>
      </c>
      <c r="E369" s="7" t="s">
        <v>48</v>
      </c>
      <c r="F369" s="8" t="str">
        <f ca="1">IFERROR(__xludf.DUMMYFUNCTION("IF
(
C370=""фізична особа""
,
VLOOKUP(D370,IMPORTRANGE(""https://docs.google.com/spreadsheets/d/14Bd19lYaqBhU8_DElYkX7l4wRkHqqCUFNJY4AfY3kHU/edit?usp=sharing  #gid=0"",""фіз особи new!relations_name""),6,FALSE)
,
(IF
(
C370=""юридична особа""
,
VLOOKUP(D3"&amp;"70,IMPORTRANGE(""https://docs.google.com/spreadsheets/d/14Bd19lYaqBhU8_DElYkX7l4wRkHqqCUFNJY4AfY3kHU/edit?usp=sharing  #gid=0"",""фіз особи new!relations_name_uo""),7,FALSE)
,
)
))"),"БЕЛІК Дмитро Анатолійович")</f>
        <v>БЕЛІК Дмитро Анатолійович</v>
      </c>
      <c r="G369" s="7" t="s">
        <v>10</v>
      </c>
      <c r="H369" s="7">
        <v>4519</v>
      </c>
      <c r="I369" s="8" t="str">
        <f ca="1">IFERROR(__xludf.DUMMYFUNCTION("IF
(
G370=""фізична особа""
,
VLOOKUP(H370,IMPORTRANGE(""https://docs.google.com/spreadsheets/d/14Bd19lYaqBhU8_DElYkX7l4wRkHqqCUFNJY4AfY3kHU/edit?usp=sharing  #gid=0"",""фіз особи new!relations_name""),6,FALSE)
,
(IF
(
G370=""юридична особа""
,
VLOOKUP(H3"&amp;"70,IMPORTRANGE(""https://docs.google.com/spreadsheets/d/14Bd19lYaqBhU8_DElYkX7l4wRkHqqCUFNJY4AfY3kHU/edit?usp=sharing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J369" s="7" t="s">
        <v>48</v>
      </c>
    </row>
    <row r="370" spans="1:10" ht="13.2">
      <c r="A370" s="7">
        <v>369</v>
      </c>
      <c r="B370" s="7">
        <v>1</v>
      </c>
      <c r="C370" s="7" t="s">
        <v>10</v>
      </c>
      <c r="D370" s="7">
        <v>135</v>
      </c>
      <c r="E370" s="7" t="s">
        <v>11</v>
      </c>
      <c r="F370" s="8" t="str">
        <f ca="1">IFERROR(__xludf.DUMMYFUNCTION("IF
(
C371=""фізична особа""
,
VLOOKUP(D371,IMPORTRANGE(""https://docs.google.com/spreadsheets/d/14Bd19lYaqBhU8_DElYkX7l4wRkHqqCUFNJY4AfY3kHU/edit?usp=sharing  #gid=0"",""фіз особи new!relations_name""),6,FALSE)
,
(IF
(
C371=""юридична особа""
,
VLOOKUP(D3"&amp;"71,IMPORTRANGE(""https://docs.google.com/spreadsheets/d/14Bd19lYaqBhU8_DElYkX7l4wRkHqqCUFNJY4AfY3kHU/edit?usp=sharing  #gid=0"",""фіз особи new!relations_name_uo""),7,FALSE)
,
)
))"),"АКСЬОНЕНКО Олександр Сергійович")</f>
        <v>АКСЬОНЕНКО Олександр Сергійович</v>
      </c>
      <c r="G370" s="7" t="s">
        <v>10</v>
      </c>
      <c r="H370" s="7">
        <v>4980</v>
      </c>
      <c r="I370" s="8" t="str">
        <f ca="1">IFERROR(__xludf.DUMMYFUNCTION("IF
(
G371=""фізична особа""
,
VLOOKUP(H371,IMPORTRANGE(""https://docs.google.com/spreadsheets/d/14Bd19lYaqBhU8_DElYkX7l4wRkHqqCUFNJY4AfY3kHU/edit?usp=sharing  #gid=0"",""фіз особи new!relations_name""),6,FALSE)
,
(IF
(
G371=""юридична особа""
,
VLOOKUP(H3"&amp;"71,IMPORTRANGE(""https://docs.google.com/spreadsheets/d/14Bd19lYaqBhU8_DElYkX7l4wRkHqqCUFNJY4AfY3kHU/edit?usp=sharing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370" s="7" t="s">
        <v>11</v>
      </c>
    </row>
    <row r="371" spans="1:10" ht="13.2">
      <c r="A371" s="7">
        <v>370</v>
      </c>
      <c r="B371" s="7">
        <v>1</v>
      </c>
      <c r="C371" s="7" t="s">
        <v>10</v>
      </c>
      <c r="D371" s="7">
        <v>135</v>
      </c>
      <c r="E371" s="7" t="s">
        <v>30</v>
      </c>
      <c r="F371" s="8" t="str">
        <f ca="1">IFERROR(__xludf.DUMMYFUNCTION("IF
(
C372=""фізична особа""
,
VLOOKUP(D372,IMPORTRANGE(""https://docs.google.com/spreadsheets/d/14Bd19lYaqBhU8_DElYkX7l4wRkHqqCUFNJY4AfY3kHU/edit?usp=sharing  #gid=0"",""фіз особи new!relations_name""),6,FALSE)
,
(IF
(
C372=""юридична особа""
,
VLOOKUP(D3"&amp;"72,IMPORTRANGE(""https://docs.google.com/spreadsheets/d/14Bd19lYaqBhU8_DElYkX7l4wRkHqqCUFNJY4AfY3kHU/edit?usp=sharing  #gid=0"",""фіз особи new!relations_name_uo""),7,FALSE)
,
)
))"),"АКСЬОНЕНКО Олександр Сергійович")</f>
        <v>АКСЬОНЕНКО Олександр Сергійович</v>
      </c>
      <c r="G371" s="7" t="s">
        <v>10</v>
      </c>
      <c r="H371" s="7">
        <v>23369</v>
      </c>
      <c r="I371" s="8" t="str">
        <f ca="1">IFERROR(__xludf.DUMMYFUNCTION("IF
(
G372=""фізична особа""
,
VLOOKUP(H372,IMPORTRANGE(""https://docs.google.com/spreadsheets/d/14Bd19lYaqBhU8_DElYkX7l4wRkHqqCUFNJY4AfY3kHU/edit?usp=sharing  #gid=0"",""фіз особи new!relations_name""),6,FALSE)
,
(IF
(
G372=""юридична особа""
,
VLOOKUP(H3"&amp;"72,IMPORTRANGE(""https://docs.google.com/spreadsheets/d/14Bd19lYaqBhU8_DElYkX7l4wRkHqqCUFNJY4AfY3kHU/edit?usp=sharing  #gid=0"",""фіз особи new!relations_name_uo""),7,FALSE)
,
)
))"),"АКСЕНЕНКО Ганна Сергіївна")</f>
        <v>АКСЕНЕНКО Ганна Сергіївна</v>
      </c>
      <c r="J371" s="7" t="s">
        <v>30</v>
      </c>
    </row>
    <row r="372" spans="1:10" ht="13.2">
      <c r="A372" s="7">
        <v>371</v>
      </c>
      <c r="B372" s="7">
        <v>1</v>
      </c>
      <c r="C372" s="7" t="s">
        <v>10</v>
      </c>
      <c r="D372" s="7">
        <v>135</v>
      </c>
      <c r="E372" s="7" t="s">
        <v>30</v>
      </c>
      <c r="F372" s="8" t="str">
        <f ca="1">IFERROR(__xludf.DUMMYFUNCTION("IF
(
C373=""фізична особа""
,
VLOOKUP(D373,IMPORTRANGE(""https://docs.google.com/spreadsheets/d/14Bd19lYaqBhU8_DElYkX7l4wRkHqqCUFNJY4AfY3kHU/edit?usp=sharing  #gid=0"",""фіз особи new!relations_name""),6,FALSE)
,
(IF
(
C373=""юридична особа""
,
VLOOKUP(D3"&amp;"73,IMPORTRANGE(""https://docs.google.com/spreadsheets/d/14Bd19lYaqBhU8_DElYkX7l4wRkHqqCUFNJY4AfY3kHU/edit?usp=sharing  #gid=0"",""фіз особи new!relations_name_uo""),7,FALSE)
,
)
))"),"АКСЬОНЕНКО Олександр Сергійович")</f>
        <v>АКСЬОНЕНКО Олександр Сергійович</v>
      </c>
      <c r="G372" s="7" t="s">
        <v>10</v>
      </c>
      <c r="H372" s="7">
        <v>23370</v>
      </c>
      <c r="I372" s="8" t="str">
        <f ca="1">IFERROR(__xludf.DUMMYFUNCTION("IF
(
G373=""фізична особа""
,
VLOOKUP(H373,IMPORTRANGE(""https://docs.google.com/spreadsheets/d/14Bd19lYaqBhU8_DElYkX7l4wRkHqqCUFNJY4AfY3kHU/edit?usp=sharing  #gid=0"",""фіз особи new!relations_name""),6,FALSE)
,
(IF
(
G373=""юридична особа""
,
VLOOKUP(H3"&amp;"73,IMPORTRANGE(""https://docs.google.com/spreadsheets/d/14Bd19lYaqBhU8_DElYkX7l4wRkHqqCUFNJY4AfY3kHU/edit?usp=sharing  #gid=0"",""фіз особи new!relations_name_uo""),7,FALSE)
,
)
))"),"АКСЕНЕНКО Сергій Васильович")</f>
        <v>АКСЕНЕНКО Сергій Васильович</v>
      </c>
      <c r="J372" s="7" t="s">
        <v>30</v>
      </c>
    </row>
    <row r="373" spans="1:10" ht="13.2">
      <c r="A373" s="7">
        <v>372</v>
      </c>
      <c r="B373" s="7">
        <v>1</v>
      </c>
      <c r="C373" s="7" t="s">
        <v>10</v>
      </c>
      <c r="D373" s="7">
        <v>136</v>
      </c>
      <c r="E373" s="7" t="s">
        <v>28</v>
      </c>
      <c r="F373" s="8" t="str">
        <f ca="1">IFERROR(__xludf.DUMMYFUNCTION("IF
(
C374=""фізична особа""
,
VLOOKUP(D374,IMPORTRANGE(""https://docs.google.com/spreadsheets/d/14Bd19lYaqBhU8_DElYkX7l4wRkHqqCUFNJY4AfY3kHU/edit?usp=sharing  #gid=0"",""фіз особи new!relations_name""),6,FALSE)
,
(IF
(
C374=""юридична особа""
,
VLOOKUP(D3"&amp;"74,IMPORTRANGE(""https://docs.google.com/spreadsheets/d/14Bd19lYaqBhU8_DElYkX7l4wRkHqqCUFNJY4AfY3kHU/edit?usp=sharing  #gid=0"",""фіз особи new!relations_name_uo""),7,FALSE)
,
)
))"),"БЄЛОУС Герман Валентинович")</f>
        <v>БЄЛОУС Герман Валентинович</v>
      </c>
      <c r="G373" s="7" t="s">
        <v>10</v>
      </c>
      <c r="H373" s="7">
        <v>225</v>
      </c>
      <c r="I373" s="8" t="str">
        <f ca="1">IFERROR(__xludf.DUMMYFUNCTION("IF
(
G374=""фізична особа""
,
VLOOKUP(H374,IMPORTRANGE(""https://docs.google.com/spreadsheets/d/14Bd19lYaqBhU8_DElYkX7l4wRkHqqCUFNJY4AfY3kHU/edit?usp=sharing  #gid=0"",""фіз особи new!relations_name""),6,FALSE)
,
(IF
(
G374=""юридична особа""
,
VLOOKUP(H3"&amp;"74,IMPORTRANGE(""https://docs.google.com/spreadsheets/d/14Bd19lYaqBhU8_DElYkX7l4wRkHqqCUFNJY4AfY3kHU/edit?usp=sharing  #gid=0"",""фіз особи new!relations_name_uo""),7,FALSE)
,
)
))"),"ГЕОРГІЄВА Олена Олександрівна")</f>
        <v>ГЕОРГІЄВА Олена Олександрівна</v>
      </c>
      <c r="J373" s="7" t="s">
        <v>29</v>
      </c>
    </row>
    <row r="374" spans="1:10" ht="13.2">
      <c r="A374" s="7">
        <v>373</v>
      </c>
      <c r="B374" s="7">
        <v>1</v>
      </c>
      <c r="C374" s="7" t="s">
        <v>10</v>
      </c>
      <c r="D374" s="7">
        <v>136</v>
      </c>
      <c r="E374" s="7" t="s">
        <v>11</v>
      </c>
      <c r="F374" s="8" t="str">
        <f ca="1">IFERROR(__xludf.DUMMYFUNCTION("IF
(
C375=""фізична особа""
,
VLOOKUP(D375,IMPORTRANGE(""https://docs.google.com/spreadsheets/d/14Bd19lYaqBhU8_DElYkX7l4wRkHqqCUFNJY4AfY3kHU/edit?usp=sharing  #gid=0"",""фіз особи new!relations_name""),6,FALSE)
,
(IF
(
C375=""юридична особа""
,
VLOOKUP(D3"&amp;"75,IMPORTRANGE(""https://docs.google.com/spreadsheets/d/14Bd19lYaqBhU8_DElYkX7l4wRkHqqCUFNJY4AfY3kHU/edit?usp=sharing  #gid=0"",""фіз особи new!relations_name_uo""),7,FALSE)
,
)
))"),"БЄЛОУС Герман Валентинович")</f>
        <v>БЄЛОУС Герман Валентинович</v>
      </c>
      <c r="G374" s="7" t="s">
        <v>10</v>
      </c>
      <c r="H374" s="7">
        <v>807</v>
      </c>
      <c r="I374" s="8" t="str">
        <f ca="1">IFERROR(__xludf.DUMMYFUNCTION("IF
(
G375=""фізична особа""
,
VLOOKUP(H375,IMPORTRANGE(""https://docs.google.com/spreadsheets/d/14Bd19lYaqBhU8_DElYkX7l4wRkHqqCUFNJY4AfY3kHU/edit?usp=sharing  #gid=0"",""фіз особи new!relations_name""),6,FALSE)
,
(IF
(
G375=""юридична особа""
,
VLOOKUP(H3"&amp;"75,IMPORTRANGE(""https://docs.google.com/spreadsheets/d/14Bd19lYaqBhU8_DElYkX7l4wRkHqqCUFNJY4AfY3kHU/edit?usp=sharing  #gid=0"",""фіз особи new!relations_name_uo""),7,FALSE)
,
)
))"),"ВАВУЛІН Дмитро Миколайович")</f>
        <v>ВАВУЛІН Дмитро Миколайович</v>
      </c>
      <c r="J374" s="7" t="s">
        <v>11</v>
      </c>
    </row>
    <row r="375" spans="1:10" ht="13.2">
      <c r="A375" s="7">
        <v>374</v>
      </c>
      <c r="B375" s="7">
        <v>1</v>
      </c>
      <c r="C375" s="7" t="s">
        <v>10</v>
      </c>
      <c r="D375" s="7">
        <v>138</v>
      </c>
      <c r="E375" s="7" t="s">
        <v>28</v>
      </c>
      <c r="F375" s="8" t="str">
        <f ca="1">IFERROR(__xludf.DUMMYFUNCTION("IF
(
C376=""фізична особа""
,
VLOOKUP(D376,IMPORTRANGE(""https://docs.google.com/spreadsheets/d/14Bd19lYaqBhU8_DElYkX7l4wRkHqqCUFNJY4AfY3kHU/edit?usp=sharing  #gid=0"",""фіз особи new!relations_name""),6,FALSE)
,
(IF
(
C376=""юридична особа""
,
VLOOKUP(D3"&amp;"76,IMPORTRANGE(""https://docs.google.com/spreadsheets/d/14Bd19lYaqBhU8_DElYkX7l4wRkHqqCUFNJY4AfY3kHU/edit?usp=sharing  #gid=0"",""фіз особи new!relations_name_uo""),7,FALSE)
,
)
))"),"ЧЕРНИШОВ Борис Олександрович")</f>
        <v>ЧЕРНИШОВ Борис Олександрович</v>
      </c>
      <c r="G375" s="7" t="s">
        <v>10</v>
      </c>
      <c r="H375" s="7">
        <v>3047</v>
      </c>
      <c r="I375" s="8" t="str">
        <f ca="1">IFERROR(__xludf.DUMMYFUNCTION("IF
(
G376=""фізична особа""
,
VLOOKUP(H376,IMPORTRANGE(""https://docs.google.com/spreadsheets/d/14Bd19lYaqBhU8_DElYkX7l4wRkHqqCUFNJY4AfY3kHU/edit?usp=sharing  #gid=0"",""фіз особи new!relations_name""),6,FALSE)
,
(IF
(
G376=""юридична особа""
,
VLOOKUP(H3"&amp;"76,IMPORTRANGE(""https://docs.google.com/spreadsheets/d/14Bd19lYaqBhU8_DElYkX7l4wRkHqqCUFNJY4AfY3kHU/edit?usp=sharing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375" s="7" t="s">
        <v>29</v>
      </c>
    </row>
    <row r="376" spans="1:10" ht="13.2">
      <c r="A376" s="7">
        <v>375</v>
      </c>
      <c r="B376" s="7">
        <v>1</v>
      </c>
      <c r="C376" s="7" t="s">
        <v>10</v>
      </c>
      <c r="D376" s="7">
        <v>139</v>
      </c>
      <c r="E376" s="7" t="s">
        <v>12</v>
      </c>
      <c r="F376" s="8" t="str">
        <f ca="1">IFERROR(__xludf.DUMMYFUNCTION("IF
(
C377=""фізична особа""
,
VLOOKUP(D377,IMPORTRANGE(""https://docs.google.com/spreadsheets/d/14Bd19lYaqBhU8_DElYkX7l4wRkHqqCUFNJY4AfY3kHU/edit?usp=sharing  #gid=0"",""фіз особи new!relations_name""),6,FALSE)
,
(IF
(
C377=""юридична особа""
,
VLOOKUP(D3"&amp;"77,IMPORTRANGE(""https://docs.google.com/spreadsheets/d/14Bd19lYaqBhU8_DElYkX7l4wRkHqqCUFNJY4AfY3kHU/edit?usp=sharing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G376" s="7" t="s">
        <v>10</v>
      </c>
      <c r="H376" s="7">
        <v>4347</v>
      </c>
      <c r="I376" s="8" t="str">
        <f ca="1">IFERROR(__xludf.DUMMYFUNCTION("IF
(
G377=""фізична особа""
,
VLOOKUP(H377,IMPORTRANGE(""https://docs.google.com/spreadsheets/d/14Bd19lYaqBhU8_DElYkX7l4wRkHqqCUFNJY4AfY3kHU/edit?usp=sharing  #gid=0"",""фіз особи new!relations_name""),6,FALSE)
,
(IF
(
G377=""юридична особа""
,
VLOOKUP(H3"&amp;"77,IMPORTRANGE(""https://docs.google.com/spreadsheets/d/14Bd19lYaqBhU8_DElYkX7l4wRkHqqCUFNJY4AfY3kHU/edit?usp=sharing  #gid=0"",""фіз особи new!relations_name_uo""),7,FALSE)
,
)
))"),"НЕВЗОРОВА Олександра Борисівна")</f>
        <v>НЕВЗОРОВА Олександра Борисівна</v>
      </c>
      <c r="J376" s="7" t="s">
        <v>13</v>
      </c>
    </row>
    <row r="377" spans="1:10" ht="13.2">
      <c r="A377" s="7">
        <v>376</v>
      </c>
      <c r="B377" s="7">
        <v>1</v>
      </c>
      <c r="C377" s="7" t="s">
        <v>10</v>
      </c>
      <c r="D377" s="7">
        <v>139</v>
      </c>
      <c r="E377" s="7" t="s">
        <v>12</v>
      </c>
      <c r="F377" s="8" t="str">
        <f ca="1">IFERROR(__xludf.DUMMYFUNCTION("IF
(
C378=""фізична особа""
,
VLOOKUP(D378,IMPORTRANGE(""https://docs.google.com/spreadsheets/d/14Bd19lYaqBhU8_DElYkX7l4wRkHqqCUFNJY4AfY3kHU/edit?usp=sharing  #gid=0"",""фіз особи new!relations_name""),6,FALSE)
,
(IF
(
C378=""юридична особа""
,
VLOOKUP(D3"&amp;"78,IMPORTRANGE(""https://docs.google.com/spreadsheets/d/14Bd19lYaqBhU8_DElYkX7l4wRkHqqCUFNJY4AfY3kHU/edit?usp=sharing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G377" s="7" t="s">
        <v>10</v>
      </c>
      <c r="H377" s="7">
        <v>4348</v>
      </c>
      <c r="I377" s="8" t="str">
        <f ca="1">IFERROR(__xludf.DUMMYFUNCTION("IF
(
G378=""фізична особа""
,
VLOOKUP(H378,IMPORTRANGE(""https://docs.google.com/spreadsheets/d/14Bd19lYaqBhU8_DElYkX7l4wRkHqqCUFNJY4AfY3kHU/edit?usp=sharing  #gid=0"",""фіз особи new!relations_name""),6,FALSE)
,
(IF
(
G378=""юридична особа""
,
VLOOKUP(H3"&amp;"78,IMPORTRANGE(""https://docs.google.com/spreadsheets/d/14Bd19lYaqBhU8_DElYkX7l4wRkHqqCUFNJY4AfY3kHU/edit?usp=sharing  #gid=0"",""фіз особи new!relations_name_uo""),7,FALSE)
,
)
))"),"НЕВЗОРОВА Ганна Борисівна")</f>
        <v>НЕВЗОРОВА Ганна Борисівна</v>
      </c>
      <c r="J377" s="7" t="s">
        <v>13</v>
      </c>
    </row>
    <row r="378" spans="1:10" ht="13.2">
      <c r="A378" s="7">
        <v>377</v>
      </c>
      <c r="B378" s="7">
        <v>1</v>
      </c>
      <c r="C378" s="7" t="s">
        <v>10</v>
      </c>
      <c r="D378" s="7">
        <v>139</v>
      </c>
      <c r="E378" s="7" t="s">
        <v>30</v>
      </c>
      <c r="F378" s="8" t="str">
        <f ca="1">IFERROR(__xludf.DUMMYFUNCTION("IF
(
C379=""фізична особа""
,
VLOOKUP(D379,IMPORTRANGE(""https://docs.google.com/spreadsheets/d/14Bd19lYaqBhU8_DElYkX7l4wRkHqqCUFNJY4AfY3kHU/edit?usp=sharing  #gid=0"",""фіз особи new!relations_name""),6,FALSE)
,
(IF
(
C379=""юридична особа""
,
VLOOKUP(D3"&amp;"79,IMPORTRANGE(""https://docs.google.com/spreadsheets/d/14Bd19lYaqBhU8_DElYkX7l4wRkHqqCUFNJY4AfY3kHU/edit?usp=sharing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G378" s="7" t="s">
        <v>10</v>
      </c>
      <c r="H378" s="7">
        <v>0</v>
      </c>
      <c r="I378" s="8" t="str">
        <f ca="1">IFERROR(__xludf.DUMMYFUNCTION("IF
(
G379=""фізична особа""
,
VLOOKUP(H379,IMPORTRANGE(""https://docs.google.com/spreadsheets/d/14Bd19lYaqBhU8_DElYkX7l4wRkHqqCUFNJY4AfY3kHU/edit?usp=sharing  #gid=0"",""фіз особи new!relations_name""),6,FALSE)
,
(IF
(
G379=""юридична особа""
,
VLOOKUP(H3"&amp;"79,IMPORTRANGE(""https://docs.google.com/spreadsheets/d/14Bd19lYaqBhU8_DElYkX7l4wRkHqqCUFNJY4AfY3kHU/edit?usp=sharing  #gid=0"",""фіз особи new!relations_name_uo""),7,FALSE)
,
)
))"),"#N/A")</f>
        <v>#N/A</v>
      </c>
      <c r="J378" s="7" t="s">
        <v>30</v>
      </c>
    </row>
    <row r="379" spans="1:10" ht="13.2">
      <c r="A379" s="7">
        <v>378</v>
      </c>
      <c r="B379" s="7">
        <v>1</v>
      </c>
      <c r="C379" s="7" t="s">
        <v>10</v>
      </c>
      <c r="D379" s="7">
        <v>139</v>
      </c>
      <c r="E379" s="7" t="s">
        <v>30</v>
      </c>
      <c r="F379" s="8" t="str">
        <f ca="1">IFERROR(__xludf.DUMMYFUNCTION("IF
(
C380=""фізична особа""
,
VLOOKUP(D380,IMPORTRANGE(""https://docs.google.com/spreadsheets/d/14Bd19lYaqBhU8_DElYkX7l4wRkHqqCUFNJY4AfY3kHU/edit?usp=sharing  #gid=0"",""фіз особи new!relations_name""),6,FALSE)
,
(IF
(
C380=""юридична особа""
,
VLOOKUP(D3"&amp;"80,IMPORTRANGE(""https://docs.google.com/spreadsheets/d/14Bd19lYaqBhU8_DElYkX7l4wRkHqqCUFNJY4AfY3kHU/edit?usp=sharing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G379" s="7" t="s">
        <v>10</v>
      </c>
      <c r="H379" s="7">
        <v>0</v>
      </c>
      <c r="I379" s="8" t="str">
        <f ca="1">IFERROR(__xludf.DUMMYFUNCTION("IF
(
G380=""фізична особа""
,
VLOOKUP(H380,IMPORTRANGE(""https://docs.google.com/spreadsheets/d/14Bd19lYaqBhU8_DElYkX7l4wRkHqqCUFNJY4AfY3kHU/edit?usp=sharing  #gid=0"",""фіз особи new!relations_name""),6,FALSE)
,
(IF
(
G380=""юридична особа""
,
VLOOKUP(H3"&amp;"80,IMPORTRANGE(""https://docs.google.com/spreadsheets/d/14Bd19lYaqBhU8_DElYkX7l4wRkHqqCUFNJY4AfY3kHU/edit?usp=sharing  #gid=0"",""фіз особи new!relations_name_uo""),7,FALSE)
,
)
))"),"#N/A")</f>
        <v>#N/A</v>
      </c>
      <c r="J379" s="7" t="s">
        <v>30</v>
      </c>
    </row>
    <row r="380" spans="1:10" ht="13.2">
      <c r="A380" s="7">
        <v>379</v>
      </c>
      <c r="B380" s="7">
        <v>1</v>
      </c>
      <c r="C380" s="7" t="s">
        <v>10</v>
      </c>
      <c r="D380" s="7">
        <v>139</v>
      </c>
      <c r="E380" s="7" t="s">
        <v>30</v>
      </c>
      <c r="F380" s="8" t="str">
        <f ca="1">IFERROR(__xludf.DUMMYFUNCTION("IF
(
C381=""фізична особа""
,
VLOOKUP(D381,IMPORTRANGE(""https://docs.google.com/spreadsheets/d/14Bd19lYaqBhU8_DElYkX7l4wRkHqqCUFNJY4AfY3kHU/edit?usp=sharing  #gid=0"",""фіз особи new!relations_name""),6,FALSE)
,
(IF
(
C381=""юридична особа""
,
VLOOKUP(D3"&amp;"81,IMPORTRANGE(""https://docs.google.com/spreadsheets/d/14Bd19lYaqBhU8_DElYkX7l4wRkHqqCUFNJY4AfY3kHU/edit?usp=sharing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G380" s="7" t="s">
        <v>10</v>
      </c>
      <c r="H380" s="7">
        <v>0</v>
      </c>
      <c r="I380" s="8" t="str">
        <f ca="1">IFERROR(__xludf.DUMMYFUNCTION("IF
(
G381=""фізична особа""
,
VLOOKUP(H381,IMPORTRANGE(""https://docs.google.com/spreadsheets/d/14Bd19lYaqBhU8_DElYkX7l4wRkHqqCUFNJY4AfY3kHU/edit?usp=sharing  #gid=0"",""фіз особи new!relations_name""),6,FALSE)
,
(IF
(
G381=""юридична особа""
,
VLOOKUP(H3"&amp;"81,IMPORTRANGE(""https://docs.google.com/spreadsheets/d/14Bd19lYaqBhU8_DElYkX7l4wRkHqqCUFNJY4AfY3kHU/edit?usp=sharing  #gid=0"",""фіз особи new!relations_name_uo""),7,FALSE)
,
)
))"),"#N/A")</f>
        <v>#N/A</v>
      </c>
      <c r="J380" s="7" t="s">
        <v>30</v>
      </c>
    </row>
    <row r="381" spans="1:10" ht="13.2">
      <c r="A381" s="7">
        <v>380</v>
      </c>
      <c r="B381" s="7">
        <v>1</v>
      </c>
      <c r="C381" s="7" t="s">
        <v>10</v>
      </c>
      <c r="D381" s="7">
        <v>140</v>
      </c>
      <c r="E381" s="7" t="s">
        <v>17</v>
      </c>
      <c r="F381" s="8" t="str">
        <f ca="1">IFERROR(__xludf.DUMMYFUNCTION("IF
(
C382=""фізична особа""
,
VLOOKUP(D382,IMPORTRANGE(""https://docs.google.com/spreadsheets/d/14Bd19lYaqBhU8_DElYkX7l4wRkHqqCUFNJY4AfY3kHU/edit?usp=sharing  #gid=0"",""фіз особи new!relations_name""),6,FALSE)
,
(IF
(
C382=""юридична особа""
,
VLOOKUP(D3"&amp;"82,IMPORTRANGE(""https://docs.google.com/spreadsheets/d/14Bd19lYaqBhU8_DElYkX7l4wRkHqqCUFNJY4AfY3kHU/edit?usp=sharing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G381" s="7" t="s">
        <v>10</v>
      </c>
      <c r="H381" s="7">
        <v>926</v>
      </c>
      <c r="I381" s="8" t="str">
        <f ca="1">IFERROR(__xludf.DUMMYFUNCTION("IF
(
G382=""фізична особа""
,
VLOOKUP(H382,IMPORTRANGE(""https://docs.google.com/spreadsheets/d/14Bd19lYaqBhU8_DElYkX7l4wRkHqqCUFNJY4AfY3kHU/edit?usp=sharing  #gid=0"",""фіз особи new!relations_name""),6,FALSE)
,
(IF
(
G382=""юридична особа""
,
VLOOKUP(H3"&amp;"82,IMPORTRANGE(""https://docs.google.com/spreadsheets/d/14Bd19lYaqBhU8_DElYkX7l4wRkHqqCUFNJY4AfY3kHU/edit?usp=sharing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381" s="7" t="s">
        <v>12</v>
      </c>
    </row>
    <row r="382" spans="1:10" ht="13.2">
      <c r="A382" s="7">
        <v>381</v>
      </c>
      <c r="B382" s="7">
        <v>1</v>
      </c>
      <c r="C382" s="7" t="s">
        <v>10</v>
      </c>
      <c r="D382" s="7">
        <v>140</v>
      </c>
      <c r="E382" s="7" t="s">
        <v>17</v>
      </c>
      <c r="F382" s="8" t="str">
        <f ca="1">IFERROR(__xludf.DUMMYFUNCTION("IF
(
C383=""фізична особа""
,
VLOOKUP(D383,IMPORTRANGE(""https://docs.google.com/spreadsheets/d/14Bd19lYaqBhU8_DElYkX7l4wRkHqqCUFNJY4AfY3kHU/edit?usp=sharing  #gid=0"",""фіз особи new!relations_name""),6,FALSE)
,
(IF
(
C383=""юридична особа""
,
VLOOKUP(D3"&amp;"83,IMPORTRANGE(""https://docs.google.com/spreadsheets/d/14Bd19lYaqBhU8_DElYkX7l4wRkHqqCUFNJY4AfY3kHU/edit?usp=sharing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G382" s="7" t="s">
        <v>10</v>
      </c>
      <c r="H382" s="7">
        <v>755</v>
      </c>
      <c r="I382" s="8" t="str">
        <f ca="1">IFERROR(__xludf.DUMMYFUNCTION("IF
(
G383=""фізична особа""
,
VLOOKUP(H383,IMPORTRANGE(""https://docs.google.com/spreadsheets/d/14Bd19lYaqBhU8_DElYkX7l4wRkHqqCUFNJY4AfY3kHU/edit?usp=sharing  #gid=0"",""фіз особи new!relations_name""),6,FALSE)
,
(IF
(
G383=""юридична особа""
,
VLOOKUP(H3"&amp;"83,IMPORTRANGE(""https://docs.google.com/spreadsheets/d/14Bd19lYaqBhU8_DElYkX7l4wRkHqqCUFNJY4AfY3kHU/edit?usp=sharing  #gid=0"",""фіз особи new!relations_name_uo""),7,FALSE)
,
)
))"),"КОВАЛЬЧУК Тетяна Олександрівна")</f>
        <v>КОВАЛЬЧУК Тетяна Олександрівна</v>
      </c>
      <c r="J382" s="7" t="s">
        <v>21</v>
      </c>
    </row>
    <row r="383" spans="1:10" ht="13.2">
      <c r="A383" s="7">
        <v>382</v>
      </c>
      <c r="B383" s="7">
        <v>1</v>
      </c>
      <c r="C383" s="7" t="s">
        <v>10</v>
      </c>
      <c r="D383" s="7">
        <v>140</v>
      </c>
      <c r="E383" s="7" t="s">
        <v>20</v>
      </c>
      <c r="F383" s="8" t="str">
        <f ca="1">IFERROR(__xludf.DUMMYFUNCTION("IF
(
C384=""фізична особа""
,
VLOOKUP(D384,IMPORTRANGE(""https://docs.google.com/spreadsheets/d/14Bd19lYaqBhU8_DElYkX7l4wRkHqqCUFNJY4AfY3kHU/edit?usp=sharing  #gid=0"",""фіз особи new!relations_name""),6,FALSE)
,
(IF
(
C384=""юридична особа""
,
VLOOKUP(D3"&amp;"84,IMPORTRANGE(""https://docs.google.com/spreadsheets/d/14Bd19lYaqBhU8_DElYkX7l4wRkHqqCUFNJY4AfY3kHU/edit?usp=sharing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G383" s="7" t="s">
        <v>10</v>
      </c>
      <c r="H383" s="7">
        <v>1396</v>
      </c>
      <c r="I383" s="8" t="str">
        <f ca="1">IFERROR(__xludf.DUMMYFUNCTION("IF
(
G384=""фізична особа""
,
VLOOKUP(H384,IMPORTRANGE(""https://docs.google.com/spreadsheets/d/14Bd19lYaqBhU8_DElYkX7l4wRkHqqCUFNJY4AfY3kHU/edit?usp=sharing  #gid=0"",""фіз особи new!relations_name""),6,FALSE)
,
(IF
(
G384=""юридична особа""
,
VLOOKUP(H3"&amp;"84,IMPORTRANGE(""https://docs.google.com/spreadsheets/d/14Bd19lYaqBhU8_DElYkX7l4wRkHqqCUFNJY4AfY3kHU/edit?usp=sharing  #gid=0"",""фіз особи new!relations_name_uo""),7,FALSE)
,
)
))"),"КОВАЛЬЧУК Михайло Валентинович")</f>
        <v>КОВАЛЬЧУК Михайло Валентинович</v>
      </c>
      <c r="J383" s="7" t="s">
        <v>19</v>
      </c>
    </row>
    <row r="384" spans="1:10" ht="13.2">
      <c r="A384" s="7">
        <v>383</v>
      </c>
      <c r="B384" s="7">
        <v>1</v>
      </c>
      <c r="C384" s="7" t="s">
        <v>10</v>
      </c>
      <c r="D384" s="7">
        <v>142</v>
      </c>
      <c r="E384" s="7" t="s">
        <v>28</v>
      </c>
      <c r="F384" s="8" t="str">
        <f ca="1">IFERROR(__xludf.DUMMYFUNCTION("IF
(
C385=""фізична особа""
,
VLOOKUP(D385,IMPORTRANGE(""https://docs.google.com/spreadsheets/d/14Bd19lYaqBhU8_DElYkX7l4wRkHqqCUFNJY4AfY3kHU/edit?usp=sharing  #gid=0"",""фіз особи new!relations_name""),6,FALSE)
,
(IF
(
C385=""юридична особа""
,
VLOOKUP(D3"&amp;"85,IMPORTRANGE(""https://docs.google.com/spreadsheets/d/14Bd19lYaqBhU8_DElYkX7l4wRkHqqCUFNJY4AfY3kHU/edit?usp=sharing  #gid=0"",""фіз особи new!relations_name_uo""),7,FALSE)
,
)
))"),"КОМОЦЬКИЙ Борис Олегович")</f>
        <v>КОМОЦЬКИЙ Борис Олегович</v>
      </c>
      <c r="G384" s="7" t="s">
        <v>10</v>
      </c>
      <c r="H384" s="7">
        <v>267</v>
      </c>
      <c r="I384" s="8" t="str">
        <f ca="1">IFERROR(__xludf.DUMMYFUNCTION("IF
(
G385=""фізична особа""
,
VLOOKUP(H385,IMPORTRANGE(""https://docs.google.com/spreadsheets/d/14Bd19lYaqBhU8_DElYkX7l4wRkHqqCUFNJY4AfY3kHU/edit?usp=sharing  #gid=0"",""фіз особи new!relations_name""),6,FALSE)
,
(IF
(
G385=""юридична особа""
,
VLOOKUP(H3"&amp;"85,IMPORTRANGE(""https://docs.google.com/spreadsheets/d/14Bd19lYaqBhU8_DElYkX7l4wRkHqqCUFNJY4AfY3kHU/edit?usp=sharing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384" s="7" t="s">
        <v>29</v>
      </c>
    </row>
    <row r="385" spans="1:10" ht="13.2">
      <c r="A385" s="7">
        <v>384</v>
      </c>
      <c r="B385" s="7">
        <v>1</v>
      </c>
      <c r="C385" s="7" t="s">
        <v>10</v>
      </c>
      <c r="D385" s="7">
        <v>143</v>
      </c>
      <c r="E385" s="7" t="s">
        <v>20</v>
      </c>
      <c r="F385" s="8" t="str">
        <f ca="1">IFERROR(__xludf.DUMMYFUNCTION("IF
(
C386=""фізична особа""
,
VLOOKUP(D386,IMPORTRANGE(""https://docs.google.com/spreadsheets/d/14Bd19lYaqBhU8_DElYkX7l4wRkHqqCUFNJY4AfY3kHU/edit?usp=sharing  #gid=0"",""фіз особи new!relations_name""),6,FALSE)
,
(IF
(
C386=""юридична особа""
,
VLOOKUP(D3"&amp;"86,IMPORTRANGE(""https://docs.google.com/spreadsheets/d/14Bd19lYaqBhU8_DElYkX7l4wRkHqqCUFNJY4AfY3kHU/edit?usp=sharing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85" s="7" t="s">
        <v>10</v>
      </c>
      <c r="H385" s="7">
        <v>5086</v>
      </c>
      <c r="I385" s="8" t="str">
        <f ca="1">IFERROR(__xludf.DUMMYFUNCTION("IF
(
G386=""фізична особа""
,
VLOOKUP(H386,IMPORTRANGE(""https://docs.google.com/spreadsheets/d/14Bd19lYaqBhU8_DElYkX7l4wRkHqqCUFNJY4AfY3kHU/edit?usp=sharing  #gid=0"",""фіз особи new!relations_name""),6,FALSE)
,
(IF
(
G386=""юридична особа""
,
VLOOKUP(H3"&amp;"86,IMPORTRANGE(""https://docs.google.com/spreadsheets/d/14Bd19lYaqBhU8_DElYkX7l4wRkHqqCUFNJY4AfY3kHU/edit?usp=sharing  #gid=0"",""фіз особи new!relations_name_uo""),7,FALSE)
,
)
))"),"ПАЙКІН Станіслав Олександрович")</f>
        <v>ПАЙКІН Станіслав Олександрович</v>
      </c>
      <c r="J385" s="7" t="s">
        <v>19</v>
      </c>
    </row>
    <row r="386" spans="1:10" ht="13.2">
      <c r="A386" s="7">
        <v>385</v>
      </c>
      <c r="B386" s="7">
        <v>1</v>
      </c>
      <c r="C386" s="7" t="s">
        <v>10</v>
      </c>
      <c r="D386" s="7">
        <v>143</v>
      </c>
      <c r="E386" s="7" t="s">
        <v>14</v>
      </c>
      <c r="F386" s="8" t="str">
        <f ca="1">IFERROR(__xludf.DUMMYFUNCTION("IF
(
C387=""фізична особа""
,
VLOOKUP(D387,IMPORTRANGE(""https://docs.google.com/spreadsheets/d/14Bd19lYaqBhU8_DElYkX7l4wRkHqqCUFNJY4AfY3kHU/edit?usp=sharing  #gid=0"",""фіз особи new!relations_name""),6,FALSE)
,
(IF
(
C387=""юридична особа""
,
VLOOKUP(D3"&amp;"87,IMPORTRANGE(""https://docs.google.com/spreadsheets/d/14Bd19lYaqBhU8_DElYkX7l4wRkHqqCUFNJY4AfY3kHU/edit?usp=sharing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86" s="7" t="s">
        <v>10</v>
      </c>
      <c r="H386" s="7">
        <v>5087</v>
      </c>
      <c r="I386" s="8" t="str">
        <f ca="1">IFERROR(__xludf.DUMMYFUNCTION("IF
(
G387=""фізична особа""
,
VLOOKUP(H387,IMPORTRANGE(""https://docs.google.com/spreadsheets/d/14Bd19lYaqBhU8_DElYkX7l4wRkHqqCUFNJY4AfY3kHU/edit?usp=sharing  #gid=0"",""фіз особи new!relations_name""),6,FALSE)
,
(IF
(
G387=""юридична особа""
,
VLOOKUP(H3"&amp;"87,IMPORTRANGE(""https://docs.google.com/spreadsheets/d/14Bd19lYaqBhU8_DElYkX7l4wRkHqqCUFNJY4AfY3kHU/edit?usp=sharing  #gid=0"",""фіз особи new!relations_name_uo""),7,FALSE)
,
)
))"),"ПАЙКІНА Олена Вікторівна")</f>
        <v>ПАЙКІНА Олена Вікторівна</v>
      </c>
      <c r="J386" s="7" t="s">
        <v>15</v>
      </c>
    </row>
    <row r="387" spans="1:10" ht="13.2">
      <c r="A387" s="7">
        <v>386</v>
      </c>
      <c r="B387" s="7">
        <v>1</v>
      </c>
      <c r="C387" s="7" t="s">
        <v>10</v>
      </c>
      <c r="D387" s="7">
        <v>143</v>
      </c>
      <c r="E387" s="7" t="s">
        <v>17</v>
      </c>
      <c r="F387" s="8" t="str">
        <f ca="1">IFERROR(__xludf.DUMMYFUNCTION("IF
(
C388=""фізична особа""
,
VLOOKUP(D388,IMPORTRANGE(""https://docs.google.com/spreadsheets/d/14Bd19lYaqBhU8_DElYkX7l4wRkHqqCUFNJY4AfY3kHU/edit?usp=sharing  #gid=0"",""фіз особи new!relations_name""),6,FALSE)
,
(IF
(
C388=""юридична особа""
,
VLOOKUP(D3"&amp;"88,IMPORTRANGE(""https://docs.google.com/spreadsheets/d/14Bd19lYaqBhU8_DElYkX7l4wRkHqqCUFNJY4AfY3kHU/edit?usp=sharing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87" s="7" t="s">
        <v>10</v>
      </c>
      <c r="H387" s="7">
        <v>5088</v>
      </c>
      <c r="I387" s="8" t="str">
        <f ca="1">IFERROR(__xludf.DUMMYFUNCTION("IF
(
G388=""фізична особа""
,
VLOOKUP(H388,IMPORTRANGE(""https://docs.google.com/spreadsheets/d/14Bd19lYaqBhU8_DElYkX7l4wRkHqqCUFNJY4AfY3kHU/edit?usp=sharing  #gid=0"",""фіз особи new!relations_name""),6,FALSE)
,
(IF
(
G388=""юридична особа""
,
VLOOKUP(H3"&amp;"88,IMPORTRANGE(""https://docs.google.com/spreadsheets/d/14Bd19lYaqBhU8_DElYkX7l4wRkHqqCUFNJY4AfY3kHU/edit?usp=sharing  #gid=0"",""фіз особи new!relations_name_uo""),7,FALSE)
,
)
))"),"ПАЙКІНА Тамара Львівна")</f>
        <v>ПАЙКІНА Тамара Львівна</v>
      </c>
      <c r="J387" s="7" t="s">
        <v>21</v>
      </c>
    </row>
    <row r="388" spans="1:10" ht="13.2">
      <c r="A388" s="7">
        <v>387</v>
      </c>
      <c r="B388" s="7">
        <v>1</v>
      </c>
      <c r="C388" s="7" t="s">
        <v>10</v>
      </c>
      <c r="D388" s="7">
        <v>143</v>
      </c>
      <c r="E388" s="7" t="s">
        <v>11</v>
      </c>
      <c r="F388" s="8" t="str">
        <f ca="1">IFERROR(__xludf.DUMMYFUNCTION("IF
(
C389=""фізична особа""
,
VLOOKUP(D389,IMPORTRANGE(""https://docs.google.com/spreadsheets/d/14Bd19lYaqBhU8_DElYkX7l4wRkHqqCUFNJY4AfY3kHU/edit?usp=sharing  #gid=0"",""фіз особи new!relations_name""),6,FALSE)
,
(IF
(
C389=""юридична особа""
,
VLOOKUP(D3"&amp;"89,IMPORTRANGE(""https://docs.google.com/spreadsheets/d/14Bd19lYaqBhU8_DElYkX7l4wRkHqqCUFNJY4AfY3kHU/edit?usp=sharing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88" s="7" t="s">
        <v>10</v>
      </c>
      <c r="H388" s="7">
        <v>0</v>
      </c>
      <c r="I388" s="8" t="str">
        <f ca="1">IFERROR(__xludf.DUMMYFUNCTION("IF
(
G389=""фізична особа""
,
VLOOKUP(H389,IMPORTRANGE(""https://docs.google.com/spreadsheets/d/14Bd19lYaqBhU8_DElYkX7l4wRkHqqCUFNJY4AfY3kHU/edit?usp=sharing  #gid=0"",""фіз особи new!relations_name""),6,FALSE)
,
(IF
(
G389=""юридична особа""
,
VLOOKUP(H3"&amp;"89,IMPORTRANGE(""https://docs.google.com/spreadsheets/d/14Bd19lYaqBhU8_DElYkX7l4wRkHqqCUFNJY4AfY3kHU/edit?usp=sharing  #gid=0"",""фіз особи new!relations_name_uo""),7,FALSE)
,
)
))"),"#N/A")</f>
        <v>#N/A</v>
      </c>
      <c r="J388" s="7" t="s">
        <v>11</v>
      </c>
    </row>
    <row r="389" spans="1:10" ht="13.2">
      <c r="A389" s="7">
        <v>388</v>
      </c>
      <c r="B389" s="7">
        <v>1</v>
      </c>
      <c r="C389" s="7" t="s">
        <v>10</v>
      </c>
      <c r="D389" s="7">
        <v>143</v>
      </c>
      <c r="E389" s="7" t="s">
        <v>11</v>
      </c>
      <c r="F389" s="8" t="str">
        <f ca="1">IFERROR(__xludf.DUMMYFUNCTION("IF
(
C390=""фізична особа""
,
VLOOKUP(D390,IMPORTRANGE(""https://docs.google.com/spreadsheets/d/14Bd19lYaqBhU8_DElYkX7l4wRkHqqCUFNJY4AfY3kHU/edit?usp=sharing  #gid=0"",""фіз особи new!relations_name""),6,FALSE)
,
(IF
(
C390=""юридична особа""
,
VLOOKUP(D3"&amp;"90,IMPORTRANGE(""https://docs.google.com/spreadsheets/d/14Bd19lYaqBhU8_DElYkX7l4wRkHqqCUFNJY4AfY3kHU/edit?usp=sharing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89" s="7" t="s">
        <v>10</v>
      </c>
      <c r="H389" s="7">
        <v>0</v>
      </c>
      <c r="I389" s="8" t="str">
        <f ca="1">IFERROR(__xludf.DUMMYFUNCTION("IF
(
G390=""фізична особа""
,
VLOOKUP(H390,IMPORTRANGE(""https://docs.google.com/spreadsheets/d/14Bd19lYaqBhU8_DElYkX7l4wRkHqqCUFNJY4AfY3kHU/edit?usp=sharing  #gid=0"",""фіз особи new!relations_name""),6,FALSE)
,
(IF
(
G390=""юридична особа""
,
VLOOKUP(H3"&amp;"90,IMPORTRANGE(""https://docs.google.com/spreadsheets/d/14Bd19lYaqBhU8_DElYkX7l4wRkHqqCUFNJY4AfY3kHU/edit?usp=sharing  #gid=0"",""фіз особи new!relations_name_uo""),7,FALSE)
,
)
))"),"#N/A")</f>
        <v>#N/A</v>
      </c>
      <c r="J389" s="7" t="s">
        <v>11</v>
      </c>
    </row>
    <row r="390" spans="1:10" ht="13.2">
      <c r="A390" s="7">
        <v>389</v>
      </c>
      <c r="B390" s="7">
        <v>1</v>
      </c>
      <c r="C390" s="7" t="s">
        <v>10</v>
      </c>
      <c r="D390" s="7">
        <v>143</v>
      </c>
      <c r="E390" s="7" t="s">
        <v>11</v>
      </c>
      <c r="F390" s="8" t="str">
        <f ca="1">IFERROR(__xludf.DUMMYFUNCTION("IF
(
C391=""фізична особа""
,
VLOOKUP(D391,IMPORTRANGE(""https://docs.google.com/spreadsheets/d/14Bd19lYaqBhU8_DElYkX7l4wRkHqqCUFNJY4AfY3kHU/edit?usp=sharing  #gid=0"",""фіз особи new!relations_name""),6,FALSE)
,
(IF
(
C391=""юридична особа""
,
VLOOKUP(D3"&amp;"91,IMPORTRANGE(""https://docs.google.com/spreadsheets/d/14Bd19lYaqBhU8_DElYkX7l4wRkHqqCUFNJY4AfY3kHU/edit?usp=sharing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G390" s="7" t="s">
        <v>10</v>
      </c>
      <c r="H390" s="7">
        <v>0</v>
      </c>
      <c r="I390" s="8" t="str">
        <f ca="1">IFERROR(__xludf.DUMMYFUNCTION("IF
(
G391=""фізична особа""
,
VLOOKUP(H391,IMPORTRANGE(""https://docs.google.com/spreadsheets/d/14Bd19lYaqBhU8_DElYkX7l4wRkHqqCUFNJY4AfY3kHU/edit?usp=sharing  #gid=0"",""фіз особи new!relations_name""),6,FALSE)
,
(IF
(
G391=""юридична особа""
,
VLOOKUP(H3"&amp;"91,IMPORTRANGE(""https://docs.google.com/spreadsheets/d/14Bd19lYaqBhU8_DElYkX7l4wRkHqqCUFNJY4AfY3kHU/edit?usp=sharing  #gid=0"",""фіз особи new!relations_name_uo""),7,FALSE)
,
)
))"),"#N/A")</f>
        <v>#N/A</v>
      </c>
      <c r="J390" s="7" t="s">
        <v>11</v>
      </c>
    </row>
    <row r="391" spans="1:10" ht="13.2">
      <c r="A391" s="7">
        <v>390</v>
      </c>
      <c r="B391" s="7">
        <v>1</v>
      </c>
      <c r="C391" s="7" t="s">
        <v>10</v>
      </c>
      <c r="D391" s="7">
        <v>144</v>
      </c>
      <c r="E391" s="7" t="s">
        <v>18</v>
      </c>
      <c r="F391" s="8" t="str">
        <f ca="1">IFERROR(__xludf.DUMMYFUNCTION("IF
(
C392=""фізична особа""
,
VLOOKUP(D392,IMPORTRANGE(""https://docs.google.com/spreadsheets/d/14Bd19lYaqBhU8_DElYkX7l4wRkHqqCUFNJY4AfY3kHU/edit?usp=sharing  #gid=0"",""фіз особи new!relations_name""),6,FALSE)
,
(IF
(
C392=""юридична особа""
,
VLOOKUP(D3"&amp;"92,IMPORTRANGE(""https://docs.google.com/spreadsheets/d/14Bd19lYaqBhU8_DElYkX7l4wRkHqqCUFNJY4AfY3kHU/edit?usp=sharing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1" s="7" t="s">
        <v>10</v>
      </c>
      <c r="H391" s="7">
        <v>629</v>
      </c>
      <c r="I391" s="8" t="str">
        <f ca="1">IFERROR(__xludf.DUMMYFUNCTION("IF
(
G392=""фізична особа""
,
VLOOKUP(H392,IMPORTRANGE(""https://docs.google.com/spreadsheets/d/14Bd19lYaqBhU8_DElYkX7l4wRkHqqCUFNJY4AfY3kHU/edit?usp=sharing  #gid=0"",""фіз особи new!relations_name""),6,FALSE)
,
(IF
(
G392=""юридична особа""
,
VLOOKUP(H3"&amp;"92,IMPORTRANGE(""https://docs.google.com/spreadsheets/d/14Bd19lYaqBhU8_DElYkX7l4wRkHqqCUFNJY4AfY3kHU/edit?usp=sharing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391" s="7" t="s">
        <v>18</v>
      </c>
    </row>
    <row r="392" spans="1:10" ht="13.2">
      <c r="A392" s="7">
        <v>391</v>
      </c>
      <c r="B392" s="7">
        <v>1</v>
      </c>
      <c r="C392" s="7" t="s">
        <v>10</v>
      </c>
      <c r="D392" s="7">
        <v>144</v>
      </c>
      <c r="E392" s="7" t="s">
        <v>12</v>
      </c>
      <c r="F392" s="8" t="str">
        <f ca="1">IFERROR(__xludf.DUMMYFUNCTION("IF
(
C393=""фізична особа""
,
VLOOKUP(D393,IMPORTRANGE(""https://docs.google.com/spreadsheets/d/14Bd19lYaqBhU8_DElYkX7l4wRkHqqCUFNJY4AfY3kHU/edit?usp=sharing  #gid=0"",""фіз особи new!relations_name""),6,FALSE)
,
(IF
(
C393=""юридична особа""
,
VLOOKUP(D3"&amp;"93,IMPORTRANGE(""https://docs.google.com/spreadsheets/d/14Bd19lYaqBhU8_DElYkX7l4wRkHqqCUFNJY4AfY3kHU/edit?usp=sharing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2" s="7" t="s">
        <v>10</v>
      </c>
      <c r="H392" s="7">
        <v>630</v>
      </c>
      <c r="I392" s="8" t="str">
        <f ca="1">IFERROR(__xludf.DUMMYFUNCTION("IF
(
G393=""фізична особа""
,
VLOOKUP(H393,IMPORTRANGE(""https://docs.google.com/spreadsheets/d/14Bd19lYaqBhU8_DElYkX7l4wRkHqqCUFNJY4AfY3kHU/edit?usp=sharing  #gid=0"",""фіз особи new!relations_name""),6,FALSE)
,
(IF
(
G393=""юридична особа""
,
VLOOKUP(H3"&amp;"93,IMPORTRANGE(""https://docs.google.com/spreadsheets/d/14Bd19lYaqBhU8_DElYkX7l4wRkHqqCUFNJY4AfY3kHU/edit?usp=sharing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J392" s="7" t="s">
        <v>17</v>
      </c>
    </row>
    <row r="393" spans="1:10" ht="13.2">
      <c r="A393" s="7">
        <v>392</v>
      </c>
      <c r="B393" s="7">
        <v>1</v>
      </c>
      <c r="C393" s="7" t="s">
        <v>10</v>
      </c>
      <c r="D393" s="7">
        <v>144</v>
      </c>
      <c r="E393" s="7" t="s">
        <v>14</v>
      </c>
      <c r="F393" s="8" t="str">
        <f ca="1">IFERROR(__xludf.DUMMYFUNCTION("IF
(
C394=""фізична особа""
,
VLOOKUP(D394,IMPORTRANGE(""https://docs.google.com/spreadsheets/d/14Bd19lYaqBhU8_DElYkX7l4wRkHqqCUFNJY4AfY3kHU/edit?usp=sharing  #gid=0"",""фіз особи new!relations_name""),6,FALSE)
,
(IF
(
C394=""юридична особа""
,
VLOOKUP(D3"&amp;"94,IMPORTRANGE(""https://docs.google.com/spreadsheets/d/14Bd19lYaqBhU8_DElYkX7l4wRkHqqCUFNJY4AfY3kHU/edit?usp=sharing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3" s="7" t="s">
        <v>10</v>
      </c>
      <c r="H393" s="7">
        <v>631</v>
      </c>
      <c r="I393" s="8" t="str">
        <f ca="1">IFERROR(__xludf.DUMMYFUNCTION("IF
(
G394=""фізична особа""
,
VLOOKUP(H394,IMPORTRANGE(""https://docs.google.com/spreadsheets/d/14Bd19lYaqBhU8_DElYkX7l4wRkHqqCUFNJY4AfY3kHU/edit?usp=sharing  #gid=0"",""фіз особи new!relations_name""),6,FALSE)
,
(IF
(
G394=""юридична особа""
,
VLOOKUP(H3"&amp;"94,IMPORTRANGE(""https://docs.google.com/spreadsheets/d/14Bd19lYaqBhU8_DElYkX7l4wRkHqqCUFNJY4AfY3kHU/edit?usp=sharing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J393" s="7" t="s">
        <v>15</v>
      </c>
    </row>
    <row r="394" spans="1:10" ht="13.2">
      <c r="A394" s="7">
        <v>393</v>
      </c>
      <c r="B394" s="7">
        <v>1</v>
      </c>
      <c r="C394" s="7" t="s">
        <v>10</v>
      </c>
      <c r="D394" s="7">
        <v>144</v>
      </c>
      <c r="E394" s="7" t="s">
        <v>12</v>
      </c>
      <c r="F394" s="8" t="str">
        <f ca="1">IFERROR(__xludf.DUMMYFUNCTION("IF
(
C395=""фізична особа""
,
VLOOKUP(D395,IMPORTRANGE(""https://docs.google.com/spreadsheets/d/14Bd19lYaqBhU8_DElYkX7l4wRkHqqCUFNJY4AfY3kHU/edit?usp=sharing  #gid=0"",""фіз особи new!relations_name""),6,FALSE)
,
(IF
(
C395=""юридична особа""
,
VLOOKUP(D3"&amp;"95,IMPORTRANGE(""https://docs.google.com/spreadsheets/d/14Bd19lYaqBhU8_DElYkX7l4wRkHqqCUFNJY4AfY3kHU/edit?usp=sharing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4" s="7" t="s">
        <v>10</v>
      </c>
      <c r="H394" s="7">
        <v>635</v>
      </c>
      <c r="I394" s="8" t="str">
        <f ca="1">IFERROR(__xludf.DUMMYFUNCTION("IF
(
G395=""фізична особа""
,
VLOOKUP(H395,IMPORTRANGE(""https://docs.google.com/spreadsheets/d/14Bd19lYaqBhU8_DElYkX7l4wRkHqqCUFNJY4AfY3kHU/edit?usp=sharing  #gid=0"",""фіз особи new!relations_name""),6,FALSE)
,
(IF
(
G395=""юридична особа""
,
VLOOKUP(H3"&amp;"95,IMPORTRANGE(""https://docs.google.com/spreadsheets/d/14Bd19lYaqBhU8_DElYkX7l4wRkHqqCUFNJY4AfY3kHU/edit?usp=sharing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J394" s="7" t="s">
        <v>17</v>
      </c>
    </row>
    <row r="395" spans="1:10" ht="13.2">
      <c r="A395" s="7">
        <v>394</v>
      </c>
      <c r="B395" s="7">
        <v>1</v>
      </c>
      <c r="C395" s="7" t="s">
        <v>10</v>
      </c>
      <c r="D395" s="7">
        <v>144</v>
      </c>
      <c r="E395" s="7" t="s">
        <v>19</v>
      </c>
      <c r="F395" s="8" t="str">
        <f ca="1">IFERROR(__xludf.DUMMYFUNCTION("IF
(
C396=""фізична особа""
,
VLOOKUP(D396,IMPORTRANGE(""https://docs.google.com/spreadsheets/d/14Bd19lYaqBhU8_DElYkX7l4wRkHqqCUFNJY4AfY3kHU/edit?usp=sharing  #gid=0"",""фіз особи new!relations_name""),6,FALSE)
,
(IF
(
C396=""юридична особа""
,
VLOOKUP(D3"&amp;"96,IMPORTRANGE(""https://docs.google.com/spreadsheets/d/14Bd19lYaqBhU8_DElYkX7l4wRkHqqCUFNJY4AfY3kHU/edit?usp=sharing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5" s="7" t="s">
        <v>10</v>
      </c>
      <c r="H395" s="7">
        <v>633</v>
      </c>
      <c r="I395" s="8" t="str">
        <f ca="1">IFERROR(__xludf.DUMMYFUNCTION("IF
(
G396=""фізична особа""
,
VLOOKUP(H396,IMPORTRANGE(""https://docs.google.com/spreadsheets/d/14Bd19lYaqBhU8_DElYkX7l4wRkHqqCUFNJY4AfY3kHU/edit?usp=sharing  #gid=0"",""фіз особи new!relations_name""),6,FALSE)
,
(IF
(
G396=""юридична особа""
,
VLOOKUP(H3"&amp;"96,IMPORTRANGE(""https://docs.google.com/spreadsheets/d/14Bd19lYaqBhU8_DElYkX7l4wRkHqqCUFNJY4AfY3kHU/edit?usp=sharing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395" s="7" t="s">
        <v>20</v>
      </c>
    </row>
    <row r="396" spans="1:10" ht="13.2">
      <c r="A396" s="7">
        <v>395</v>
      </c>
      <c r="B396" s="7">
        <v>1</v>
      </c>
      <c r="C396" s="7" t="s">
        <v>10</v>
      </c>
      <c r="D396" s="7">
        <v>144</v>
      </c>
      <c r="E396" s="7" t="s">
        <v>19</v>
      </c>
      <c r="F396" s="8" t="str">
        <f ca="1">IFERROR(__xludf.DUMMYFUNCTION("IF
(
C397=""фізична особа""
,
VLOOKUP(D397,IMPORTRANGE(""https://docs.google.com/spreadsheets/d/14Bd19lYaqBhU8_DElYkX7l4wRkHqqCUFNJY4AfY3kHU/edit?usp=sharing  #gid=0"",""фіз особи new!relations_name""),6,FALSE)
,
(IF
(
C397=""юридична особа""
,
VLOOKUP(D3"&amp;"97,IMPORTRANGE(""https://docs.google.com/spreadsheets/d/14Bd19lYaqBhU8_DElYkX7l4wRkHqqCUFNJY4AfY3kHU/edit?usp=sharing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6" s="7" t="s">
        <v>10</v>
      </c>
      <c r="H396" s="7">
        <v>632</v>
      </c>
      <c r="I396" s="8" t="str">
        <f ca="1">IFERROR(__xludf.DUMMYFUNCTION("IF
(
G397=""фізична особа""
,
VLOOKUP(H397,IMPORTRANGE(""https://docs.google.com/spreadsheets/d/14Bd19lYaqBhU8_DElYkX7l4wRkHqqCUFNJY4AfY3kHU/edit?usp=sharing  #gid=0"",""фіз особи new!relations_name""),6,FALSE)
,
(IF
(
G397=""юридична особа""
,
VLOOKUP(H3"&amp;"97,IMPORTRANGE(""https://docs.google.com/spreadsheets/d/14Bd19lYaqBhU8_DElYkX7l4wRkHqqCUFNJY4AfY3kHU/edit?usp=sharing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J396" s="7" t="s">
        <v>22</v>
      </c>
    </row>
    <row r="397" spans="1:10" ht="13.2">
      <c r="A397" s="7">
        <v>396</v>
      </c>
      <c r="B397" s="7">
        <v>1</v>
      </c>
      <c r="C397" s="7" t="s">
        <v>10</v>
      </c>
      <c r="D397" s="7">
        <v>144</v>
      </c>
      <c r="E397" s="7" t="s">
        <v>19</v>
      </c>
      <c r="F397" s="8" t="str">
        <f ca="1">IFERROR(__xludf.DUMMYFUNCTION("IF
(
C398=""фізична особа""
,
VLOOKUP(D398,IMPORTRANGE(""https://docs.google.com/spreadsheets/d/14Bd19lYaqBhU8_DElYkX7l4wRkHqqCUFNJY4AfY3kHU/edit?usp=sharing  #gid=0"",""фіз особи new!relations_name""),6,FALSE)
,
(IF
(
C398=""юридична особа""
,
VLOOKUP(D3"&amp;"98,IMPORTRANGE(""https://docs.google.com/spreadsheets/d/14Bd19lYaqBhU8_DElYkX7l4wRkHqqCUFNJY4AfY3kHU/edit?usp=sharing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7" s="7" t="s">
        <v>10</v>
      </c>
      <c r="H397" s="7">
        <v>2053</v>
      </c>
      <c r="I397" s="8" t="str">
        <f ca="1">IFERROR(__xludf.DUMMYFUNCTION("IF
(
G398=""фізична особа""
,
VLOOKUP(H398,IMPORTRANGE(""https://docs.google.com/spreadsheets/d/14Bd19lYaqBhU8_DElYkX7l4wRkHqqCUFNJY4AfY3kHU/edit?usp=sharing  #gid=0"",""фіз особи new!relations_name""),6,FALSE)
,
(IF
(
G398=""юридична особа""
,
VLOOKUP(H3"&amp;"98,IMPORTRANGE(""https://docs.google.com/spreadsheets/d/14Bd19lYaqBhU8_DElYkX7l4wRkHqqCUFNJY4AfY3kHU/edit?usp=sharing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J397" s="7" t="s">
        <v>22</v>
      </c>
    </row>
    <row r="398" spans="1:10" ht="13.2">
      <c r="A398" s="7">
        <v>397</v>
      </c>
      <c r="B398" s="7">
        <v>1</v>
      </c>
      <c r="C398" s="7" t="s">
        <v>10</v>
      </c>
      <c r="D398" s="7">
        <v>144</v>
      </c>
      <c r="E398" s="7" t="s">
        <v>11</v>
      </c>
      <c r="F398" s="8" t="str">
        <f ca="1">IFERROR(__xludf.DUMMYFUNCTION("IF
(
C399=""фізична особа""
,
VLOOKUP(D399,IMPORTRANGE(""https://docs.google.com/spreadsheets/d/14Bd19lYaqBhU8_DElYkX7l4wRkHqqCUFNJY4AfY3kHU/edit?usp=sharing  #gid=0"",""фіз особи new!relations_name""),6,FALSE)
,
(IF
(
C399=""юридична особа""
,
VLOOKUP(D3"&amp;"99,IMPORTRANGE(""https://docs.google.com/spreadsheets/d/14Bd19lYaqBhU8_DElYkX7l4wRkHqqCUFNJY4AfY3kHU/edit?usp=sharing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G398" s="7" t="s">
        <v>10</v>
      </c>
      <c r="H398" s="7">
        <v>0</v>
      </c>
      <c r="I398" s="8" t="str">
        <f ca="1">IFERROR(__xludf.DUMMYFUNCTION("IF
(
G399=""фізична особа""
,
VLOOKUP(H399,IMPORTRANGE(""https://docs.google.com/spreadsheets/d/14Bd19lYaqBhU8_DElYkX7l4wRkHqqCUFNJY4AfY3kHU/edit?usp=sharing  #gid=0"",""фіз особи new!relations_name""),6,FALSE)
,
(IF
(
G399=""юридична особа""
,
VLOOKUP(H3"&amp;"99,IMPORTRANGE(""https://docs.google.com/spreadsheets/d/14Bd19lYaqBhU8_DElYkX7l4wRkHqqCUFNJY4AfY3kHU/edit?usp=sharing  #gid=0"",""фіз особи new!relations_name_uo""),7,FALSE)
,
)
))"),"#N/A")</f>
        <v>#N/A</v>
      </c>
      <c r="J398" s="7" t="s">
        <v>11</v>
      </c>
    </row>
    <row r="399" spans="1:10" ht="13.2">
      <c r="A399" s="7">
        <v>398</v>
      </c>
      <c r="B399" s="7">
        <v>1</v>
      </c>
      <c r="C399" s="7" t="s">
        <v>10</v>
      </c>
      <c r="D399" s="7">
        <v>146</v>
      </c>
      <c r="E399" s="7" t="s">
        <v>28</v>
      </c>
      <c r="F399" s="8" t="str">
        <f ca="1">IFERROR(__xludf.DUMMYFUNCTION("IF
(
C400=""фізична особа""
,
VLOOKUP(D400,IMPORTRANGE(""https://docs.google.com/spreadsheets/d/14Bd19lYaqBhU8_DElYkX7l4wRkHqqCUFNJY4AfY3kHU/edit?usp=sharing  #gid=0"",""фіз особи new!relations_name""),6,FALSE)
,
(IF
(
C400=""юридична особа""
,
VLOOKUP(D4"&amp;"00,IMPORTRANGE(""https://docs.google.com/spreadsheets/d/14Bd19lYaqBhU8_DElYkX7l4wRkHqqCUFNJY4AfY3kHU/edit?usp=sharing  #gid=0"",""фіз особи new!relations_name_uo""),7,FALSE)
,
)
))"),"НАУМЕНКО Олександр Вікторович")</f>
        <v>НАУМЕНКО Олександр Вікторович</v>
      </c>
      <c r="G399" s="7" t="s">
        <v>10</v>
      </c>
      <c r="H399" s="7">
        <v>23365</v>
      </c>
      <c r="I399" s="8" t="str">
        <f ca="1">IFERROR(__xludf.DUMMYFUNCTION("IF
(
G400=""фізична особа""
,
VLOOKUP(H400,IMPORTRANGE(""https://docs.google.com/spreadsheets/d/14Bd19lYaqBhU8_DElYkX7l4wRkHqqCUFNJY4AfY3kHU/edit?usp=sharing  #gid=0"",""фіз особи new!relations_name""),6,FALSE)
,
(IF
(
G400=""юридична особа""
,
VLOOKUP(H4"&amp;"00,IMPORTRANGE(""https://docs.google.com/spreadsheets/d/14Bd19lYaqBhU8_DElYkX7l4wRkHqqCUFNJY4AfY3kHU/edit?usp=sharing  #gid=0"",""фіз особи new!relations_name_uo""),7,FALSE)
,
)
))"),"ГОЛУБ Ігор Володимирович")</f>
        <v>ГОЛУБ Ігор Володимирович</v>
      </c>
      <c r="J399" s="7" t="s">
        <v>29</v>
      </c>
    </row>
    <row r="400" spans="1:10" ht="13.2">
      <c r="A400" s="7">
        <v>399</v>
      </c>
      <c r="B400" s="7">
        <v>1</v>
      </c>
      <c r="C400" s="7" t="s">
        <v>10</v>
      </c>
      <c r="D400" s="7">
        <v>147</v>
      </c>
      <c r="E400" s="7" t="s">
        <v>14</v>
      </c>
      <c r="F400" s="8" t="str">
        <f ca="1">IFERROR(__xludf.DUMMYFUNCTION("IF
(
C401=""фізична особа""
,
VLOOKUP(D401,IMPORTRANGE(""https://docs.google.com/spreadsheets/d/14Bd19lYaqBhU8_DElYkX7l4wRkHqqCUFNJY4AfY3kHU/edit?usp=sharing  #gid=0"",""фіз особи new!relations_name""),6,FALSE)
,
(IF
(
C401=""юридична особа""
,
VLOOKUP(D4"&amp;"01,IMPORTRANGE(""https://docs.google.com/spreadsheets/d/14Bd19lYaqBhU8_DElYkX7l4wRkHqqCUFNJY4AfY3kHU/edit?usp=sharing  #gid=0"",""фіз особи new!relations_name_uo""),7,FALSE)
,
)
))"),"ГРИЗЛОВ Борис В'ячеславович")</f>
        <v>ГРИЗЛОВ Борис В'ячеславович</v>
      </c>
      <c r="G400" s="7" t="s">
        <v>10</v>
      </c>
      <c r="H400" s="7">
        <v>4686</v>
      </c>
      <c r="I400" s="8" t="str">
        <f ca="1">IFERROR(__xludf.DUMMYFUNCTION("IF
(
G401=""фізична особа""
,
VLOOKUP(H401,IMPORTRANGE(""https://docs.google.com/spreadsheets/d/14Bd19lYaqBhU8_DElYkX7l4wRkHqqCUFNJY4AfY3kHU/edit?usp=sharing  #gid=0"",""фіз особи new!relations_name""),6,FALSE)
,
(IF
(
G401=""юридична особа""
,
VLOOKUP(H4"&amp;"01,IMPORTRANGE(""https://docs.google.com/spreadsheets/d/14Bd19lYaqBhU8_DElYkX7l4wRkHqqCUFNJY4AfY3kHU/edit?usp=sharing  #gid=0"",""фіз особи new!relations_name_uo""),7,FALSE)
,
)
))"),"ГРИЗЛОВА Ада Вікторівна")</f>
        <v>ГРИЗЛОВА Ада Вікторівна</v>
      </c>
      <c r="J400" s="7" t="s">
        <v>15</v>
      </c>
    </row>
    <row r="401" spans="1:10" ht="13.2">
      <c r="A401" s="7">
        <v>400</v>
      </c>
      <c r="B401" s="7">
        <v>1</v>
      </c>
      <c r="C401" s="7" t="s">
        <v>10</v>
      </c>
      <c r="D401" s="7">
        <v>147</v>
      </c>
      <c r="E401" s="7" t="s">
        <v>12</v>
      </c>
      <c r="F401" s="8" t="str">
        <f ca="1">IFERROR(__xludf.DUMMYFUNCTION("IF
(
C402=""фізична особа""
,
VLOOKUP(D402,IMPORTRANGE(""https://docs.google.com/spreadsheets/d/14Bd19lYaqBhU8_DElYkX7l4wRkHqqCUFNJY4AfY3kHU/edit?usp=sharing  #gid=0"",""фіз особи new!relations_name""),6,FALSE)
,
(IF
(
C402=""юридична особа""
,
VLOOKUP(D4"&amp;"02,IMPORTRANGE(""https://docs.google.com/spreadsheets/d/14Bd19lYaqBhU8_DElYkX7l4wRkHqqCUFNJY4AfY3kHU/edit?usp=sharing  #gid=0"",""фіз особи new!relations_name_uo""),7,FALSE)
,
)
))"),"ГРИЗЛОВ Борис В'ячеславович")</f>
        <v>ГРИЗЛОВ Борис В'ячеславович</v>
      </c>
      <c r="G401" s="7" t="s">
        <v>10</v>
      </c>
      <c r="H401" s="7">
        <v>4687</v>
      </c>
      <c r="I401" s="8" t="str">
        <f ca="1">IFERROR(__xludf.DUMMYFUNCTION("IF
(
G402=""фізична особа""
,
VLOOKUP(H402,IMPORTRANGE(""https://docs.google.com/spreadsheets/d/14Bd19lYaqBhU8_DElYkX7l4wRkHqqCUFNJY4AfY3kHU/edit?usp=sharing  #gid=0"",""фіз особи new!relations_name""),6,FALSE)
,
(IF
(
G402=""юридична особа""
,
VLOOKUP(H4"&amp;"02,IMPORTRANGE(""https://docs.google.com/spreadsheets/d/14Bd19lYaqBhU8_DElYkX7l4wRkHqqCUFNJY4AfY3kHU/edit?usp=sharing  #gid=0"",""фіз особи new!relations_name_uo""),7,FALSE)
,
)
))"),"ГРИЗЛОВ Дмитро Борисович")</f>
        <v>ГРИЗЛОВ Дмитро Борисович</v>
      </c>
      <c r="J401" s="7" t="s">
        <v>17</v>
      </c>
    </row>
    <row r="402" spans="1:10" ht="13.2">
      <c r="A402" s="7">
        <v>401</v>
      </c>
      <c r="B402" s="7">
        <v>1</v>
      </c>
      <c r="C402" s="7" t="s">
        <v>10</v>
      </c>
      <c r="D402" s="7">
        <v>148</v>
      </c>
      <c r="E402" s="7" t="s">
        <v>28</v>
      </c>
      <c r="F402" s="8" t="str">
        <f ca="1">IFERROR(__xludf.DUMMYFUNCTION("IF
(
C403=""фізична особа""
,
VLOOKUP(D403,IMPORTRANGE(""https://docs.google.com/spreadsheets/d/14Bd19lYaqBhU8_DElYkX7l4wRkHqqCUFNJY4AfY3kHU/edit?usp=sharing  #gid=0"",""фіз особи new!relations_name""),6,FALSE)
,
(IF
(
C403=""юридична особа""
,
VLOOKUP(D4"&amp;"03,IMPORTRANGE(""https://docs.google.com/spreadsheets/d/14Bd19lYaqBhU8_DElYkX7l4wRkHqqCUFNJY4AfY3kHU/edit?usp=sharing  #gid=0"",""фіз особи new!relations_name_uo""),7,FALSE)
,
)
))"),"БУБНОВА Ірина Сергіївна")</f>
        <v>БУБНОВА Ірина Сергіївна</v>
      </c>
      <c r="G402" s="7" t="s">
        <v>10</v>
      </c>
      <c r="H402" s="7">
        <v>415</v>
      </c>
      <c r="I402" s="8" t="str">
        <f ca="1">IFERROR(__xludf.DUMMYFUNCTION("IF
(
G403=""фізична особа""
,
VLOOKUP(H403,IMPORTRANGE(""https://docs.google.com/spreadsheets/d/14Bd19lYaqBhU8_DElYkX7l4wRkHqqCUFNJY4AfY3kHU/edit?usp=sharing  #gid=0"",""фіз особи new!relations_name""),6,FALSE)
,
(IF
(
G403=""юридична особа""
,
VLOOKUP(H4"&amp;"03,IMPORTRANGE(""https://docs.google.com/spreadsheets/d/14Bd19lYaqBhU8_DElYkX7l4wRkHqqCUFNJY4AfY3kHU/edit?usp=sharing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J402" s="7" t="s">
        <v>29</v>
      </c>
    </row>
    <row r="403" spans="1:10" ht="13.2">
      <c r="A403" s="7">
        <v>402</v>
      </c>
      <c r="B403" s="7">
        <v>1</v>
      </c>
      <c r="C403" s="7" t="s">
        <v>10</v>
      </c>
      <c r="D403" s="7">
        <v>148</v>
      </c>
      <c r="E403" s="7" t="s">
        <v>28</v>
      </c>
      <c r="F403" s="8" t="str">
        <f ca="1">IFERROR(__xludf.DUMMYFUNCTION("IF
(
C404=""фізична особа""
,
VLOOKUP(D404,IMPORTRANGE(""https://docs.google.com/spreadsheets/d/14Bd19lYaqBhU8_DElYkX7l4wRkHqqCUFNJY4AfY3kHU/edit?usp=sharing  #gid=0"",""фіз особи new!relations_name""),6,FALSE)
,
(IF
(
C404=""юридична особа""
,
VLOOKUP(D4"&amp;"04,IMPORTRANGE(""https://docs.google.com/spreadsheets/d/14Bd19lYaqBhU8_DElYkX7l4wRkHqqCUFNJY4AfY3kHU/edit?usp=sharing  #gid=0"",""фіз особи new!relations_name_uo""),7,FALSE)
,
)
))"),"БУБНОВА Ірина Сергіївна")</f>
        <v>БУБНОВА Ірина Сергіївна</v>
      </c>
      <c r="G403" s="7" t="s">
        <v>10</v>
      </c>
      <c r="H403" s="7">
        <v>69</v>
      </c>
      <c r="I403" s="8" t="str">
        <f ca="1">IFERROR(__xludf.DUMMYFUNCTION("IF
(
G404=""фізична особа""
,
VLOOKUP(H404,IMPORTRANGE(""https://docs.google.com/spreadsheets/d/14Bd19lYaqBhU8_DElYkX7l4wRkHqqCUFNJY4AfY3kHU/edit?usp=sharing  #gid=0"",""фіз особи new!relations_name""),6,FALSE)
,
(IF
(
G404=""юридична особа""
,
VLOOKUP(H4"&amp;"04,IMPORTRANGE(""https://docs.google.com/spreadsheets/d/14Bd19lYaqBhU8_DElYkX7l4wRkHqqCUFNJY4AfY3kHU/edit?usp=sharing  #gid=0"",""фіз особи new!relations_name_uo""),7,FALSE)
,
)
))"),"АРЄШЕВ Андрій Григорович")</f>
        <v>АРЄШЕВ Андрій Григорович</v>
      </c>
      <c r="J403" s="7" t="s">
        <v>29</v>
      </c>
    </row>
    <row r="404" spans="1:10" ht="13.2">
      <c r="A404" s="7">
        <v>403</v>
      </c>
      <c r="B404" s="7">
        <v>1</v>
      </c>
      <c r="C404" s="7" t="s">
        <v>10</v>
      </c>
      <c r="D404" s="7">
        <v>148</v>
      </c>
      <c r="E404" s="7" t="s">
        <v>35</v>
      </c>
      <c r="F404" s="8" t="str">
        <f ca="1">IFERROR(__xludf.DUMMYFUNCTION("IF
(
C405=""фізична особа""
,
VLOOKUP(D405,IMPORTRANGE(""https://docs.google.com/spreadsheets/d/14Bd19lYaqBhU8_DElYkX7l4wRkHqqCUFNJY4AfY3kHU/edit?usp=sharing  #gid=0"",""фіз особи new!relations_name""),6,FALSE)
,
(IF
(
C405=""юридична особа""
,
VLOOKUP(D4"&amp;"05,IMPORTRANGE(""https://docs.google.com/spreadsheets/d/14Bd19lYaqBhU8_DElYkX7l4wRkHqqCUFNJY4AfY3kHU/edit?usp=sharing  #gid=0"",""фіз особи new!relations_name_uo""),7,FALSE)
,
)
))"),"БУБНОВА Ірина Сергіївна")</f>
        <v>БУБНОВА Ірина Сергіївна</v>
      </c>
      <c r="G404" s="7" t="s">
        <v>10</v>
      </c>
      <c r="H404" s="7">
        <v>102</v>
      </c>
      <c r="I404" s="8" t="str">
        <f ca="1">IFERROR(__xludf.DUMMYFUNCTION("IF
(
G405=""фізична особа""
,
VLOOKUP(H405,IMPORTRANGE(""https://docs.google.com/spreadsheets/d/14Bd19lYaqBhU8_DElYkX7l4wRkHqqCUFNJY4AfY3kHU/edit?usp=sharing  #gid=0"",""фіз особи new!relations_name""),6,FALSE)
,
(IF
(
G405=""юридична особа""
,
VLOOKUP(H4"&amp;"05,IMPORTRANGE(""https://docs.google.com/spreadsheets/d/14Bd19lYaqBhU8_DElYkX7l4wRkHqqCUFNJY4AfY3kHU/edit?usp=sharing  #gid=0"",""фіз особи new!relations_name_uo""),7,FALSE)
,
)
))"),"БЕСПАЛОВ Антон Сергійович")</f>
        <v>БЕСПАЛОВ Антон Сергійович</v>
      </c>
      <c r="J404" s="7" t="s">
        <v>35</v>
      </c>
    </row>
    <row r="405" spans="1:10" ht="13.2">
      <c r="A405" s="7">
        <v>404</v>
      </c>
      <c r="B405" s="7">
        <v>1</v>
      </c>
      <c r="C405" s="7" t="s">
        <v>10</v>
      </c>
      <c r="D405" s="7">
        <v>149</v>
      </c>
      <c r="E405" s="7" t="s">
        <v>17</v>
      </c>
      <c r="F405" s="8" t="str">
        <f ca="1">IFERROR(__xludf.DUMMYFUNCTION("IF
(
C406=""фізична особа""
,
VLOOKUP(D406,IMPORTRANGE(""https://docs.google.com/spreadsheets/d/14Bd19lYaqBhU8_DElYkX7l4wRkHqqCUFNJY4AfY3kHU/edit?usp=sharing  #gid=0"",""фіз особи new!relations_name""),6,FALSE)
,
(IF
(
C406=""юридична особа""
,
VLOOKUP(D4"&amp;"06,IMPORTRANGE(""https://docs.google.com/spreadsheets/d/14Bd19lYaqBhU8_DElYkX7l4wRkHqqCUFNJY4AfY3kHU/edit?usp=sharing  #gid=0"",""фіз особи new!relations_name_uo""),7,FALSE)
,
)
))"),"ЧЕМЕЗОВ Олександр Сергійович")</f>
        <v>ЧЕМЕЗОВ Олександр Сергійович</v>
      </c>
      <c r="G405" s="7" t="s">
        <v>10</v>
      </c>
      <c r="H405" s="7">
        <v>150</v>
      </c>
      <c r="I405" s="8" t="str">
        <f ca="1">IFERROR(__xludf.DUMMYFUNCTION("IF
(
G406=""фізична особа""
,
VLOOKUP(H406,IMPORTRANGE(""https://docs.google.com/spreadsheets/d/14Bd19lYaqBhU8_DElYkX7l4wRkHqqCUFNJY4AfY3kHU/edit?usp=sharing  #gid=0"",""фіз особи new!relations_name""),6,FALSE)
,
(IF
(
G406=""юридична особа""
,
VLOOKUP(H4"&amp;"06,IMPORTRANGE(""https://docs.google.com/spreadsheets/d/14Bd19lYaqBhU8_DElYkX7l4wRkHqqCUFNJY4AfY3kHU/edit?usp=sharing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405" s="7" t="s">
        <v>12</v>
      </c>
    </row>
    <row r="406" spans="1:10" ht="13.2">
      <c r="A406" s="7">
        <v>405</v>
      </c>
      <c r="B406" s="7">
        <v>1</v>
      </c>
      <c r="C406" s="7" t="s">
        <v>10</v>
      </c>
      <c r="D406" s="7">
        <v>149</v>
      </c>
      <c r="E406" s="7" t="s">
        <v>17</v>
      </c>
      <c r="F406" s="8" t="str">
        <f ca="1">IFERROR(__xludf.DUMMYFUNCTION("IF
(
C407=""фізична особа""
,
VLOOKUP(D407,IMPORTRANGE(""https://docs.google.com/spreadsheets/d/14Bd19lYaqBhU8_DElYkX7l4wRkHqqCUFNJY4AfY3kHU/edit?usp=sharing  #gid=0"",""фіз особи new!relations_name""),6,FALSE)
,
(IF
(
C407=""юридична особа""
,
VLOOKUP(D4"&amp;"07,IMPORTRANGE(""https://docs.google.com/spreadsheets/d/14Bd19lYaqBhU8_DElYkX7l4wRkHqqCUFNJY4AfY3kHU/edit?usp=sharing  #gid=0"",""фіз особи new!relations_name_uo""),7,FALSE)
,
)
))"),"ЧЕМЕЗОВ Олександр Сергійович")</f>
        <v>ЧЕМЕЗОВ Олександр Сергійович</v>
      </c>
      <c r="G406" s="7" t="s">
        <v>10</v>
      </c>
      <c r="H406" s="7">
        <v>151</v>
      </c>
      <c r="I406" s="8" t="str">
        <f ca="1">IFERROR(__xludf.DUMMYFUNCTION("IF
(
G407=""фізична особа""
,
VLOOKUP(H407,IMPORTRANGE(""https://docs.google.com/spreadsheets/d/14Bd19lYaqBhU8_DElYkX7l4wRkHqqCUFNJY4AfY3kHU/edit?usp=sharing  #gid=0"",""фіз особи new!relations_name""),6,FALSE)
,
(IF
(
G407=""юридична особа""
,
VLOOKUP(H4"&amp;"07,IMPORTRANGE(""https://docs.google.com/spreadsheets/d/14Bd19lYaqBhU8_DElYkX7l4wRkHqqCUFNJY4AfY3kHU/edit?usp=sharing  #gid=0"",""фіз особи new!relations_name_uo""),7,FALSE)
,
)
))"),"ЧЕМЕЗОВ Станіслав Сергійович")</f>
        <v>ЧЕМЕЗОВ Станіслав Сергійович</v>
      </c>
      <c r="J406" s="7" t="s">
        <v>12</v>
      </c>
    </row>
    <row r="407" spans="1:10" ht="13.2">
      <c r="A407" s="7">
        <v>406</v>
      </c>
      <c r="B407" s="7">
        <v>1</v>
      </c>
      <c r="C407" s="7" t="s">
        <v>10</v>
      </c>
      <c r="D407" s="7">
        <v>150</v>
      </c>
      <c r="E407" s="7" t="s">
        <v>48</v>
      </c>
      <c r="F407" s="8" t="str">
        <f ca="1">IFERROR(__xludf.DUMMYFUNCTION("IF
(
C408=""фізична особа""
,
VLOOKUP(D408,IMPORTRANGE(""https://docs.google.com/spreadsheets/d/14Bd19lYaqBhU8_DElYkX7l4wRkHqqCUFNJY4AfY3kHU/edit?usp=sharing  #gid=0"",""фіз особи new!relations_name""),6,FALSE)
,
(IF
(
C408=""юридична особа""
,
VLOOKUP(D4"&amp;"08,IMPORTRANGE(""https://docs.google.com/spreadsheets/d/14Bd19lYaqBhU8_DElYkX7l4wRkHqqCUFNJY4AfY3kHU/edit?usp=sharing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07" s="7" t="s">
        <v>10</v>
      </c>
      <c r="H407" s="7">
        <v>880</v>
      </c>
      <c r="I407" s="8" t="str">
        <f ca="1">IFERROR(__xludf.DUMMYFUNCTION("IF
(
G408=""фізична особа""
,
VLOOKUP(H408,IMPORTRANGE(""https://docs.google.com/spreadsheets/d/14Bd19lYaqBhU8_DElYkX7l4wRkHqqCUFNJY4AfY3kHU/edit?usp=sharing  #gid=0"",""фіз особи new!relations_name""),6,FALSE)
,
(IF
(
G408=""юридична особа""
,
VLOOKUP(H4"&amp;"08,IMPORTRANGE(""https://docs.google.com/spreadsheets/d/14Bd19lYaqBhU8_DElYkX7l4wRkHqqCUFNJY4AfY3kHU/edit?usp=sharing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07" s="7" t="s">
        <v>48</v>
      </c>
    </row>
    <row r="408" spans="1:10" ht="13.2">
      <c r="A408" s="7">
        <v>407</v>
      </c>
      <c r="B408" s="7">
        <v>1</v>
      </c>
      <c r="C408" s="7" t="s">
        <v>10</v>
      </c>
      <c r="D408" s="7">
        <v>150</v>
      </c>
      <c r="E408" s="7" t="s">
        <v>26</v>
      </c>
      <c r="F408" s="8" t="str">
        <f ca="1">IFERROR(__xludf.DUMMYFUNCTION("IF
(
C409=""фізична особа""
,
VLOOKUP(D409,IMPORTRANGE(""https://docs.google.com/spreadsheets/d/14Bd19lYaqBhU8_DElYkX7l4wRkHqqCUFNJY4AfY3kHU/edit?usp=sharing  #gid=0"",""фіз особи new!relations_name""),6,FALSE)
,
(IF
(
C409=""юридична особа""
,
VLOOKUP(D4"&amp;"09,IMPORTRANGE(""https://docs.google.com/spreadsheets/d/14Bd19lYaqBhU8_DElYkX7l4wRkHqqCUFNJY4AfY3kHU/edit?usp=sharing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08" s="7" t="s">
        <v>10</v>
      </c>
      <c r="H408" s="7">
        <v>4367</v>
      </c>
      <c r="I408" s="8" t="str">
        <f ca="1">IFERROR(__xludf.DUMMYFUNCTION("IF
(
G409=""фізична особа""
,
VLOOKUP(H409,IMPORTRANGE(""https://docs.google.com/spreadsheets/d/14Bd19lYaqBhU8_DElYkX7l4wRkHqqCUFNJY4AfY3kHU/edit?usp=sharing  #gid=0"",""фіз особи new!relations_name""),6,FALSE)
,
(IF
(
G409=""юридична особа""
,
VLOOKUP(H4"&amp;"09,IMPORTRANGE(""https://docs.google.com/spreadsheets/d/14Bd19lYaqBhU8_DElYkX7l4wRkHqqCUFNJY4AfY3kHU/edit?usp=sharing  #gid=0"",""фіз особи new!relations_name_uo""),7,FALSE)
,
)
))"),"РУКАВИШНИКОВА Людмила Василівна")</f>
        <v>РУКАВИШНИКОВА Людмила Василівна</v>
      </c>
      <c r="J408" s="7" t="s">
        <v>27</v>
      </c>
    </row>
    <row r="409" spans="1:10" ht="13.2">
      <c r="A409" s="7">
        <v>408</v>
      </c>
      <c r="B409" s="7">
        <v>1</v>
      </c>
      <c r="C409" s="7" t="s">
        <v>10</v>
      </c>
      <c r="D409" s="7">
        <v>150</v>
      </c>
      <c r="E409" s="7" t="s">
        <v>12</v>
      </c>
      <c r="F409" s="8" t="str">
        <f ca="1">IFERROR(__xludf.DUMMYFUNCTION("IF
(
C410=""фізична особа""
,
VLOOKUP(D410,IMPORTRANGE(""https://docs.google.com/spreadsheets/d/14Bd19lYaqBhU8_DElYkX7l4wRkHqqCUFNJY4AfY3kHU/edit?usp=sharing  #gid=0"",""фіз особи new!relations_name""),6,FALSE)
,
(IF
(
C410=""юридична особа""
,
VLOOKUP(D4"&amp;"10,IMPORTRANGE(""https://docs.google.com/spreadsheets/d/14Bd19lYaqBhU8_DElYkX7l4wRkHqqCUFNJY4AfY3kHU/edit?usp=sharing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09" s="7" t="s">
        <v>10</v>
      </c>
      <c r="H409" s="7">
        <v>711</v>
      </c>
      <c r="I409" s="8" t="str">
        <f ca="1">IFERROR(__xludf.DUMMYFUNCTION("IF
(
G410=""фізична особа""
,
VLOOKUP(H410,IMPORTRANGE(""https://docs.google.com/spreadsheets/d/14Bd19lYaqBhU8_DElYkX7l4wRkHqqCUFNJY4AfY3kHU/edit?usp=sharing  #gid=0"",""фіз особи new!relations_name""),6,FALSE)
,
(IF
(
G410=""юридична особа""
,
VLOOKUP(H4"&amp;"10,IMPORTRANGE(""https://docs.google.com/spreadsheets/d/14Bd19lYaqBhU8_DElYkX7l4wRkHqqCUFNJY4AfY3kHU/edit?usp=sharing  #gid=0"",""фіз особи new!relations_name_uo""),7,FALSE)
,
)
))"),"ЧЕМЕЗОВ Сергій Сергійович")</f>
        <v>ЧЕМЕЗОВ Сергій Сергійович</v>
      </c>
      <c r="J409" s="7" t="s">
        <v>17</v>
      </c>
    </row>
    <row r="410" spans="1:10" ht="13.2">
      <c r="A410" s="7">
        <v>409</v>
      </c>
      <c r="B410" s="7">
        <v>1</v>
      </c>
      <c r="C410" s="7" t="s">
        <v>10</v>
      </c>
      <c r="D410" s="7">
        <v>150</v>
      </c>
      <c r="E410" s="7" t="s">
        <v>12</v>
      </c>
      <c r="F410" s="8" t="str">
        <f ca="1">IFERROR(__xludf.DUMMYFUNCTION("IF
(
C411=""фізична особа""
,
VLOOKUP(D411,IMPORTRANGE(""https://docs.google.com/spreadsheets/d/14Bd19lYaqBhU8_DElYkX7l4wRkHqqCUFNJY4AfY3kHU/edit?usp=sharing  #gid=0"",""фіз особи new!relations_name""),6,FALSE)
,
(IF
(
C411=""юридична особа""
,
VLOOKUP(D4"&amp;"11,IMPORTRANGE(""https://docs.google.com/spreadsheets/d/14Bd19lYaqBhU8_DElYkX7l4wRkHqqCUFNJY4AfY3kHU/edit?usp=sharing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10" s="7" t="s">
        <v>10</v>
      </c>
      <c r="H410" s="7">
        <v>151</v>
      </c>
      <c r="I410" s="8" t="str">
        <f ca="1">IFERROR(__xludf.DUMMYFUNCTION("IF
(
G411=""фізична особа""
,
VLOOKUP(H411,IMPORTRANGE(""https://docs.google.com/spreadsheets/d/14Bd19lYaqBhU8_DElYkX7l4wRkHqqCUFNJY4AfY3kHU/edit?usp=sharing  #gid=0"",""фіз особи new!relations_name""),6,FALSE)
,
(IF
(
G411=""юридична особа""
,
VLOOKUP(H4"&amp;"11,IMPORTRANGE(""https://docs.google.com/spreadsheets/d/14Bd19lYaqBhU8_DElYkX7l4wRkHqqCUFNJY4AfY3kHU/edit?usp=sharing  #gid=0"",""фіз особи new!relations_name_uo""),7,FALSE)
,
)
))"),"ЧЕМЕЗОВ Станіслав Сергійович")</f>
        <v>ЧЕМЕЗОВ Станіслав Сергійович</v>
      </c>
      <c r="J410" s="7" t="s">
        <v>17</v>
      </c>
    </row>
    <row r="411" spans="1:10" ht="13.2">
      <c r="A411" s="7">
        <v>410</v>
      </c>
      <c r="B411" s="7">
        <v>1</v>
      </c>
      <c r="C411" s="7" t="s">
        <v>10</v>
      </c>
      <c r="D411" s="7">
        <v>150</v>
      </c>
      <c r="E411" s="7" t="s">
        <v>12</v>
      </c>
      <c r="F411" s="8" t="str">
        <f ca="1">IFERROR(__xludf.DUMMYFUNCTION("IF
(
C412=""фізична особа""
,
VLOOKUP(D412,IMPORTRANGE(""https://docs.google.com/spreadsheets/d/14Bd19lYaqBhU8_DElYkX7l4wRkHqqCUFNJY4AfY3kHU/edit?usp=sharing  #gid=0"",""фіз особи new!relations_name""),6,FALSE)
,
(IF
(
C412=""юридична особа""
,
VLOOKUP(D4"&amp;"12,IMPORTRANGE(""https://docs.google.com/spreadsheets/d/14Bd19lYaqBhU8_DElYkX7l4wRkHqqCUFNJY4AfY3kHU/edit?usp=sharing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11" s="7" t="s">
        <v>10</v>
      </c>
      <c r="H411" s="7">
        <v>149</v>
      </c>
      <c r="I411" s="8" t="str">
        <f ca="1">IFERROR(__xludf.DUMMYFUNCTION("IF
(
G412=""фізична особа""
,
VLOOKUP(H412,IMPORTRANGE(""https://docs.google.com/spreadsheets/d/14Bd19lYaqBhU8_DElYkX7l4wRkHqqCUFNJY4AfY3kHU/edit?usp=sharing  #gid=0"",""фіз особи new!relations_name""),6,FALSE)
,
(IF
(
G412=""юридична особа""
,
VLOOKUP(H4"&amp;"12,IMPORTRANGE(""https://docs.google.com/spreadsheets/d/14Bd19lYaqBhU8_DElYkX7l4wRkHqqCUFNJY4AfY3kHU/edit?usp=sharing  #gid=0"",""фіз особи new!relations_name_uo""),7,FALSE)
,
)
))"),"ЧЕМЕЗОВ Олександр Сергійович")</f>
        <v>ЧЕМЕЗОВ Олександр Сергійович</v>
      </c>
      <c r="J411" s="7" t="s">
        <v>17</v>
      </c>
    </row>
    <row r="412" spans="1:10" ht="13.2">
      <c r="A412" s="7">
        <v>411</v>
      </c>
      <c r="B412" s="7">
        <v>1</v>
      </c>
      <c r="C412" s="7" t="s">
        <v>10</v>
      </c>
      <c r="D412" s="7">
        <v>150</v>
      </c>
      <c r="E412" s="7" t="s">
        <v>12</v>
      </c>
      <c r="F412" s="8" t="str">
        <f ca="1">IFERROR(__xludf.DUMMYFUNCTION("IF
(
C413=""фізична особа""
,
VLOOKUP(D413,IMPORTRANGE(""https://docs.google.com/spreadsheets/d/14Bd19lYaqBhU8_DElYkX7l4wRkHqqCUFNJY4AfY3kHU/edit?usp=sharing  #gid=0"",""фіз особи new!relations_name""),6,FALSE)
,
(IF
(
C413=""юридична особа""
,
VLOOKUP(D4"&amp;"13,IMPORTRANGE(""https://docs.google.com/spreadsheets/d/14Bd19lYaqBhU8_DElYkX7l4wRkHqqCUFNJY4AfY3kHU/edit?usp=sharing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G412" s="7" t="s">
        <v>10</v>
      </c>
      <c r="H412" s="7">
        <v>287</v>
      </c>
      <c r="I412" s="8" t="str">
        <f ca="1">IFERROR(__xludf.DUMMYFUNCTION("IF
(
G413=""фізична особа""
,
VLOOKUP(H413,IMPORTRANGE(""https://docs.google.com/spreadsheets/d/14Bd19lYaqBhU8_DElYkX7l4wRkHqqCUFNJY4AfY3kHU/edit?usp=sharing  #gid=0"",""фіз особи new!relations_name""),6,FALSE)
,
(IF
(
G413=""юридична особа""
,
VLOOKUP(H4"&amp;"13,IMPORTRANGE(""https://docs.google.com/spreadsheets/d/14Bd19lYaqBhU8_DElYkX7l4wRkHqqCUFNJY4AfY3kHU/edit?usp=sharing  #gid=0"",""фіз особи new!relations_name_uo""),7,FALSE)
,
)
))"),"ІГНАТОВА Анастасія Михайлівна")</f>
        <v>ІГНАТОВА Анастасія Михайлівна</v>
      </c>
      <c r="J412" s="7" t="s">
        <v>49</v>
      </c>
    </row>
    <row r="413" spans="1:10" ht="13.2">
      <c r="A413" s="7">
        <v>412</v>
      </c>
      <c r="B413" s="7">
        <v>1</v>
      </c>
      <c r="C413" s="7" t="s">
        <v>10</v>
      </c>
      <c r="D413" s="7">
        <v>151</v>
      </c>
      <c r="E413" s="7" t="s">
        <v>18</v>
      </c>
      <c r="F413" s="8" t="str">
        <f ca="1">IFERROR(__xludf.DUMMYFUNCTION("IF
(
C414=""фізична особа""
,
VLOOKUP(D414,IMPORTRANGE(""https://docs.google.com/spreadsheets/d/14Bd19lYaqBhU8_DElYkX7l4wRkHqqCUFNJY4AfY3kHU/edit?usp=sharing  #gid=0"",""фіз особи new!relations_name""),6,FALSE)
,
(IF
(
C414=""юридична особа""
,
VLOOKUP(D4"&amp;"14,IMPORTRANGE(""https://docs.google.com/spreadsheets/d/14Bd19lYaqBhU8_DElYkX7l4wRkHqqCUFNJY4AfY3kHU/edit?usp=sharing  #gid=0"",""фіз особи new!relations_name_uo""),7,FALSE)
,
)
))"),"ЧЕМЕЗОВ Станіслав Сергійович")</f>
        <v>ЧЕМЕЗОВ Станіслав Сергійович</v>
      </c>
      <c r="G413" s="7" t="s">
        <v>10</v>
      </c>
      <c r="H413" s="7">
        <v>149</v>
      </c>
      <c r="I413" s="8" t="str">
        <f ca="1">IFERROR(__xludf.DUMMYFUNCTION("IF
(
G414=""фізична особа""
,
VLOOKUP(H414,IMPORTRANGE(""https://docs.google.com/spreadsheets/d/14Bd19lYaqBhU8_DElYkX7l4wRkHqqCUFNJY4AfY3kHU/edit?usp=sharing  #gid=0"",""фіз особи new!relations_name""),6,FALSE)
,
(IF
(
G414=""юридична особа""
,
VLOOKUP(H4"&amp;"14,IMPORTRANGE(""https://docs.google.com/spreadsheets/d/14Bd19lYaqBhU8_DElYkX7l4wRkHqqCUFNJY4AfY3kHU/edit?usp=sharing  #gid=0"",""фіз особи new!relations_name_uo""),7,FALSE)
,
)
))"),"ЧЕМЕЗОВ Олександр Сергійович")</f>
        <v>ЧЕМЕЗОВ Олександр Сергійович</v>
      </c>
      <c r="J413" s="7" t="s">
        <v>18</v>
      </c>
    </row>
    <row r="414" spans="1:10" ht="13.2">
      <c r="A414" s="7">
        <v>413</v>
      </c>
      <c r="B414" s="7">
        <v>1</v>
      </c>
      <c r="C414" s="7" t="s">
        <v>10</v>
      </c>
      <c r="D414" s="7">
        <v>152</v>
      </c>
      <c r="E414" s="7" t="s">
        <v>35</v>
      </c>
      <c r="F414" s="8" t="str">
        <f ca="1">IFERROR(__xludf.DUMMYFUNCTION("IF
(
C415=""фізична особа""
,
VLOOKUP(D415,IMPORTRANGE(""https://docs.google.com/spreadsheets/d/14Bd19lYaqBhU8_DElYkX7l4wRkHqqCUFNJY4AfY3kHU/edit?usp=sharing  #gid=0"",""фіз особи new!relations_name""),6,FALSE)
,
(IF
(
C415=""юридична особа""
,
VLOOKUP(D4"&amp;"15,IMPORTRANGE(""https://docs.google.com/spreadsheets/d/14Bd19lYaqBhU8_DElYkX7l4wRkHqqCUFNJY4AfY3kHU/edit?usp=sharing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G414" s="7" t="s">
        <v>10</v>
      </c>
      <c r="H414" s="7">
        <v>417</v>
      </c>
      <c r="I414" s="8" t="str">
        <f ca="1">IFERROR(__xludf.DUMMYFUNCTION("IF
(
G415=""фізична особа""
,
VLOOKUP(H415,IMPORTRANGE(""https://docs.google.com/spreadsheets/d/14Bd19lYaqBhU8_DElYkX7l4wRkHqqCUFNJY4AfY3kHU/edit?usp=sharing  #gid=0"",""фіз особи new!relations_name""),6,FALSE)
,
(IF
(
G415=""юридична особа""
,
VLOOKUP(H4"&amp;"15,IMPORTRANGE(""https://docs.google.com/spreadsheets/d/14Bd19lYaqBhU8_DElYkX7l4wRkHqqCUFNJY4AfY3kHU/edit?usp=sharing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J414" s="7" t="s">
        <v>35</v>
      </c>
    </row>
    <row r="415" spans="1:10" ht="13.2">
      <c r="A415" s="7">
        <v>414</v>
      </c>
      <c r="B415" s="7">
        <v>1</v>
      </c>
      <c r="C415" s="7" t="s">
        <v>10</v>
      </c>
      <c r="D415" s="7">
        <v>152</v>
      </c>
      <c r="E415" s="7" t="s">
        <v>35</v>
      </c>
      <c r="F415" s="8" t="str">
        <f ca="1">IFERROR(__xludf.DUMMYFUNCTION("IF
(
C416=""фізична особа""
,
VLOOKUP(D416,IMPORTRANGE(""https://docs.google.com/spreadsheets/d/14Bd19lYaqBhU8_DElYkX7l4wRkHqqCUFNJY4AfY3kHU/edit?usp=sharing  #gid=0"",""фіз особи new!relations_name""),6,FALSE)
,
(IF
(
C416=""юридична особа""
,
VLOOKUP(D4"&amp;"16,IMPORTRANGE(""https://docs.google.com/spreadsheets/d/14Bd19lYaqBhU8_DElYkX7l4wRkHqqCUFNJY4AfY3kHU/edit?usp=sharing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G415" s="7" t="s">
        <v>10</v>
      </c>
      <c r="H415" s="7">
        <v>353</v>
      </c>
      <c r="I415" s="8" t="str">
        <f ca="1">IFERROR(__xludf.DUMMYFUNCTION("IF
(
G416=""фізична особа""
,
VLOOKUP(H416,IMPORTRANGE(""https://docs.google.com/spreadsheets/d/14Bd19lYaqBhU8_DElYkX7l4wRkHqqCUFNJY4AfY3kHU/edit?usp=sharing  #gid=0"",""фіз особи new!relations_name""),6,FALSE)
,
(IF
(
G416=""юридична особа""
,
VLOOKUP(H4"&amp;"16,IMPORTRANGE(""https://docs.google.com/spreadsheets/d/14Bd19lYaqBhU8_DElYkX7l4wRkHqqCUFNJY4AfY3kHU/edit?usp=sharing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J415" s="7" t="s">
        <v>35</v>
      </c>
    </row>
    <row r="416" spans="1:10" ht="13.2">
      <c r="A416" s="7">
        <v>415</v>
      </c>
      <c r="B416" s="7">
        <v>1</v>
      </c>
      <c r="C416" s="7" t="s">
        <v>10</v>
      </c>
      <c r="D416" s="7">
        <v>152</v>
      </c>
      <c r="E416" s="7" t="s">
        <v>28</v>
      </c>
      <c r="F416" s="8" t="str">
        <f ca="1">IFERROR(__xludf.DUMMYFUNCTION("IF
(
C417=""фізична особа""
,
VLOOKUP(D417,IMPORTRANGE(""https://docs.google.com/spreadsheets/d/14Bd19lYaqBhU8_DElYkX7l4wRkHqqCUFNJY4AfY3kHU/edit?usp=sharing  #gid=0"",""фіз особи new!relations_name""),6,FALSE)
,
(IF
(
C417=""юридична особа""
,
VLOOKUP(D4"&amp;"17,IMPORTRANGE(""https://docs.google.com/spreadsheets/d/14Bd19lYaqBhU8_DElYkX7l4wRkHqqCUFNJY4AfY3kHU/edit?usp=sharing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G416" s="7" t="s">
        <v>10</v>
      </c>
      <c r="H416" s="7">
        <v>258</v>
      </c>
      <c r="I416" s="8" t="str">
        <f ca="1">IFERROR(__xludf.DUMMYFUNCTION("IF
(
G417=""фізична особа""
,
VLOOKUP(H417,IMPORTRANGE(""https://docs.google.com/spreadsheets/d/14Bd19lYaqBhU8_DElYkX7l4wRkHqqCUFNJY4AfY3kHU/edit?usp=sharing  #gid=0"",""фіз особи new!relations_name""),6,FALSE)
,
(IF
(
G417=""юридична особа""
,
VLOOKUP(H4"&amp;"17,IMPORTRANGE(""https://docs.google.com/spreadsheets/d/14Bd19lYaqBhU8_DElYkX7l4wRkHqqCUFNJY4AfY3kHU/edit?usp=sharing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J416" s="7" t="s">
        <v>29</v>
      </c>
    </row>
    <row r="417" spans="1:10" ht="13.2">
      <c r="A417" s="7">
        <v>416</v>
      </c>
      <c r="B417" s="7">
        <v>1</v>
      </c>
      <c r="C417" s="7" t="s">
        <v>10</v>
      </c>
      <c r="D417" s="7">
        <v>153</v>
      </c>
      <c r="E417" s="7" t="s">
        <v>40</v>
      </c>
      <c r="F417" s="8" t="str">
        <f ca="1">IFERROR(__xludf.DUMMYFUNCTION("IF
(
C418=""фізична особа""
,
VLOOKUP(D418,IMPORTRANGE(""https://docs.google.com/spreadsheets/d/14Bd19lYaqBhU8_DElYkX7l4wRkHqqCUFNJY4AfY3kHU/edit?usp=sharing  #gid=0"",""фіз особи new!relations_name""),6,FALSE)
,
(IF
(
C418=""юридична особа""
,
VLOOKUP(D4"&amp;"18,IMPORTRANGE(""https://docs.google.com/spreadsheets/d/14Bd19lYaqBhU8_DElYkX7l4wRkHqqCUFNJY4AfY3kHU/edit?usp=sharing  #gid=0"",""фіз особи new!relations_name_uo""),7,FALSE)
,
)
))"),"БЕССАРАБОВ Данило Володимирович")</f>
        <v>БЕССАРАБОВ Данило Володимирович</v>
      </c>
      <c r="G417" s="7" t="s">
        <v>10</v>
      </c>
      <c r="H417" s="7">
        <v>423</v>
      </c>
      <c r="I417" s="8" t="str">
        <f ca="1">IFERROR(__xludf.DUMMYFUNCTION("IF
(
G418=""фізична особа""
,
VLOOKUP(H418,IMPORTRANGE(""https://docs.google.com/spreadsheets/d/14Bd19lYaqBhU8_DElYkX7l4wRkHqqCUFNJY4AfY3kHU/edit?usp=sharing  #gid=0"",""фіз особи new!relations_name""),6,FALSE)
,
(IF
(
G418=""юридична особа""
,
VLOOKUP(H4"&amp;"18,IMPORTRANGE(""https://docs.google.com/spreadsheets/d/14Bd19lYaqBhU8_DElYkX7l4wRkHqqCUFNJY4AfY3kHU/edit?usp=sharing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J417" s="7" t="s">
        <v>41</v>
      </c>
    </row>
    <row r="418" spans="1:10" ht="13.2">
      <c r="A418" s="7">
        <v>417</v>
      </c>
      <c r="B418" s="7">
        <v>1</v>
      </c>
      <c r="C418" s="7" t="s">
        <v>10</v>
      </c>
      <c r="D418" s="7">
        <v>154</v>
      </c>
      <c r="E418" s="7" t="s">
        <v>13</v>
      </c>
      <c r="F418" s="8" t="str">
        <f ca="1">IFERROR(__xludf.DUMMYFUNCTION("IF
(
C419=""фізична особа""
,
VLOOKUP(D419,IMPORTRANGE(""https://docs.google.com/spreadsheets/d/14Bd19lYaqBhU8_DElYkX7l4wRkHqqCUFNJY4AfY3kHU/edit?usp=sharing  #gid=0"",""фіз особи new!relations_name""),6,FALSE)
,
(IF
(
C419=""юридична особа""
,
VLOOKUP(D4"&amp;"19,IMPORTRANGE(""https://docs.google.com/spreadsheets/d/14Bd19lYaqBhU8_DElYkX7l4wRkHqqCUFNJY4AfY3kHU/edit?usp=sharing  #gid=0"",""фіз особи new!relations_name_uo""),7,FALSE)
,
)
))"),"ДУГІНА Дар'я Олександрівна")</f>
        <v>ДУГІНА Дар'я Олександрівна</v>
      </c>
      <c r="G418" s="7" t="s">
        <v>10</v>
      </c>
      <c r="H418" s="7">
        <v>15616</v>
      </c>
      <c r="I418" s="8" t="str">
        <f ca="1">IFERROR(__xludf.DUMMYFUNCTION("IF
(
G419=""фізична особа""
,
VLOOKUP(H419,IMPORTRANGE(""https://docs.google.com/spreadsheets/d/14Bd19lYaqBhU8_DElYkX7l4wRkHqqCUFNJY4AfY3kHU/edit?usp=sharing  #gid=0"",""фіз особи new!relations_name""),6,FALSE)
,
(IF
(
G419=""юридична особа""
,
VLOOKUP(H4"&amp;"19,IMPORTRANGE(""https://docs.google.com/spreadsheets/d/14Bd19lYaqBhU8_DElYkX7l4wRkHqqCUFNJY4AfY3kHU/edit?usp=sharing  #gid=0"",""фіз особи new!relations_name_uo""),7,FALSE)
,
)
))"),"ДУГІН Олександр Гелійович")</f>
        <v>ДУГІН Олександр Гелійович</v>
      </c>
      <c r="J418" s="7" t="s">
        <v>12</v>
      </c>
    </row>
    <row r="419" spans="1:10" ht="13.2">
      <c r="A419" s="7">
        <v>418</v>
      </c>
      <c r="B419" s="7">
        <v>1</v>
      </c>
      <c r="C419" s="7" t="s">
        <v>10</v>
      </c>
      <c r="D419" s="7">
        <v>154</v>
      </c>
      <c r="E419" s="7" t="s">
        <v>11</v>
      </c>
      <c r="F419" s="8" t="str">
        <f ca="1">IFERROR(__xludf.DUMMYFUNCTION("IF
(
C420=""фізична особа""
,
VLOOKUP(D420,IMPORTRANGE(""https://docs.google.com/spreadsheets/d/14Bd19lYaqBhU8_DElYkX7l4wRkHqqCUFNJY4AfY3kHU/edit?usp=sharing  #gid=0"",""фіз особи new!relations_name""),6,FALSE)
,
(IF
(
C420=""юридична особа""
,
VLOOKUP(D4"&amp;"20,IMPORTRANGE(""https://docs.google.com/spreadsheets/d/14Bd19lYaqBhU8_DElYkX7l4wRkHqqCUFNJY4AfY3kHU/edit?usp=sharing  #gid=0"",""фіз особи new!relations_name_uo""),7,FALSE)
,
)
))"),"ДУГІНА Дар'я Олександрівна")</f>
        <v>ДУГІНА Дар'я Олександрівна</v>
      </c>
      <c r="G419" s="7" t="s">
        <v>10</v>
      </c>
      <c r="H419" s="7">
        <v>602</v>
      </c>
      <c r="I419" s="8" t="str">
        <f ca="1">IFERROR(__xludf.DUMMYFUNCTION("IF
(
G420=""фізична особа""
,
VLOOKUP(H420,IMPORTRANGE(""https://docs.google.com/spreadsheets/d/14Bd19lYaqBhU8_DElYkX7l4wRkHqqCUFNJY4AfY3kHU/edit?usp=sharing  #gid=0"",""фіз особи new!relations_name""),6,FALSE)
,
(IF
(
G420=""юридична особа""
,
VLOOKUP(H4"&amp;"20,IMPORTRANGE(""https://docs.google.com/spreadsheets/d/14Bd19lYaqBhU8_DElYkX7l4wRkHqqCUFNJY4AfY3kHU/edit?usp=sharing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J419" s="7" t="s">
        <v>11</v>
      </c>
    </row>
    <row r="420" spans="1:10" ht="13.2">
      <c r="A420" s="7">
        <v>419</v>
      </c>
      <c r="B420" s="7">
        <v>1</v>
      </c>
      <c r="C420" s="7" t="s">
        <v>10</v>
      </c>
      <c r="D420" s="7">
        <v>156</v>
      </c>
      <c r="E420" s="7" t="s">
        <v>17</v>
      </c>
      <c r="F420" s="8" t="str">
        <f ca="1">IFERROR(__xludf.DUMMYFUNCTION("IF
(
C421=""фізична особа""
,
VLOOKUP(D421,IMPORTRANGE(""https://docs.google.com/spreadsheets/d/14Bd19lYaqBhU8_DElYkX7l4wRkHqqCUFNJY4AfY3kHU/edit?usp=sharing  #gid=0"",""фіз особи new!relations_name""),6,FALSE)
,
(IF
(
C421=""юридична особа""
,
VLOOKUP(D4"&amp;"21,IMPORTRANGE(""https://docs.google.com/spreadsheets/d/14Bd19lYaqBhU8_DElYkX7l4wRkHqqCUFNJY4AfY3kHU/edit?usp=sharing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G420" s="7" t="s">
        <v>10</v>
      </c>
      <c r="H420" s="7">
        <v>13</v>
      </c>
      <c r="I420" s="8" t="str">
        <f ca="1">IFERROR(__xludf.DUMMYFUNCTION("IF
(
G421=""фізична особа""
,
VLOOKUP(H421,IMPORTRANGE(""https://docs.google.com/spreadsheets/d/14Bd19lYaqBhU8_DElYkX7l4wRkHqqCUFNJY4AfY3kHU/edit?usp=sharing  #gid=0"",""фіз особи new!relations_name""),6,FALSE)
,
(IF
(
G421=""юридична особа""
,
VLOOKUP(H4"&amp;"21,IMPORTRANGE(""https://docs.google.com/spreadsheets/d/14Bd19lYaqBhU8_DElYkX7l4wRkHqqCUFNJY4AfY3kHU/edit?usp=sharing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420" s="7" t="s">
        <v>12</v>
      </c>
    </row>
    <row r="421" spans="1:10" ht="13.2">
      <c r="A421" s="7">
        <v>420</v>
      </c>
      <c r="B421" s="7">
        <v>1</v>
      </c>
      <c r="C421" s="7" t="s">
        <v>10</v>
      </c>
      <c r="D421" s="7">
        <v>156</v>
      </c>
      <c r="E421" s="7" t="s">
        <v>17</v>
      </c>
      <c r="F421" s="8" t="str">
        <f ca="1">IFERROR(__xludf.DUMMYFUNCTION("IF
(
C422=""фізична особа""
,
VLOOKUP(D422,IMPORTRANGE(""https://docs.google.com/spreadsheets/d/14Bd19lYaqBhU8_DElYkX7l4wRkHqqCUFNJY4AfY3kHU/edit?usp=sharing  #gid=0"",""фіз особи new!relations_name""),6,FALSE)
,
(IF
(
C422=""юридична особа""
,
VLOOKUP(D4"&amp;"22,IMPORTRANGE(""https://docs.google.com/spreadsheets/d/14Bd19lYaqBhU8_DElYkX7l4wRkHqqCUFNJY4AfY3kHU/edit?usp=sharing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G421" s="7" t="s">
        <v>10</v>
      </c>
      <c r="H421" s="7">
        <v>0</v>
      </c>
      <c r="I421" s="8" t="str">
        <f ca="1">IFERROR(__xludf.DUMMYFUNCTION("IF
(
G422=""фізична особа""
,
VLOOKUP(H422,IMPORTRANGE(""https://docs.google.com/spreadsheets/d/14Bd19lYaqBhU8_DElYkX7l4wRkHqqCUFNJY4AfY3kHU/edit?usp=sharing  #gid=0"",""фіз особи new!relations_name""),6,FALSE)
,
(IF
(
G422=""юридична особа""
,
VLOOKUP(H4"&amp;"22,IMPORTRANGE(""https://docs.google.com/spreadsheets/d/14Bd19lYaqBhU8_DElYkX7l4wRkHqqCUFNJY4AfY3kHU/edit?usp=sharing  #gid=0"",""фіз особи new!relations_name_uo""),7,FALSE)
,
)
))"),"#N/A")</f>
        <v>#N/A</v>
      </c>
      <c r="J421" s="7" t="s">
        <v>21</v>
      </c>
    </row>
    <row r="422" spans="1:10" ht="13.2">
      <c r="A422" s="7">
        <v>421</v>
      </c>
      <c r="B422" s="7">
        <v>1</v>
      </c>
      <c r="C422" s="7" t="s">
        <v>10</v>
      </c>
      <c r="D422" s="7">
        <v>156</v>
      </c>
      <c r="E422" s="7" t="s">
        <v>28</v>
      </c>
      <c r="F422" s="8" t="str">
        <f ca="1">IFERROR(__xludf.DUMMYFUNCTION("IF
(
C423=""фізична особа""
,
VLOOKUP(D423,IMPORTRANGE(""https://docs.google.com/spreadsheets/d/14Bd19lYaqBhU8_DElYkX7l4wRkHqqCUFNJY4AfY3kHU/edit?usp=sharing  #gid=0"",""фіз особи new!relations_name""),6,FALSE)
,
(IF
(
C423=""юридична особа""
,
VLOOKUP(D4"&amp;"23,IMPORTRANGE(""https://docs.google.com/spreadsheets/d/14Bd19lYaqBhU8_DElYkX7l4wRkHqqCUFNJY4AfY3kHU/edit?usp=sharing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G422" s="7" t="s">
        <v>10</v>
      </c>
      <c r="H422" s="7">
        <v>49</v>
      </c>
      <c r="I422" s="8" t="str">
        <f ca="1">IFERROR(__xludf.DUMMYFUNCTION("IF
(
G423=""фізична особа""
,
VLOOKUP(H423,IMPORTRANGE(""https://docs.google.com/spreadsheets/d/14Bd19lYaqBhU8_DElYkX7l4wRkHqqCUFNJY4AfY3kHU/edit?usp=sharing  #gid=0"",""фіз особи new!relations_name""),6,FALSE)
,
(IF
(
G423=""юридична особа""
,
VLOOKUP(H4"&amp;"23,IMPORTRANGE(""https://docs.google.com/spreadsheets/d/14Bd19lYaqBhU8_DElYkX7l4wRkHqqCUFNJY4AfY3kHU/edit?usp=sharing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422" s="7" t="s">
        <v>29</v>
      </c>
    </row>
    <row r="423" spans="1:10" ht="13.2">
      <c r="A423" s="7">
        <v>422</v>
      </c>
      <c r="B423" s="7">
        <v>1</v>
      </c>
      <c r="C423" s="7" t="s">
        <v>10</v>
      </c>
      <c r="D423" s="7">
        <v>156</v>
      </c>
      <c r="E423" s="7" t="s">
        <v>35</v>
      </c>
      <c r="F423" s="8" t="str">
        <f ca="1">IFERROR(__xludf.DUMMYFUNCTION("IF
(
C424=""фізична особа""
,
VLOOKUP(D424,IMPORTRANGE(""https://docs.google.com/spreadsheets/d/14Bd19lYaqBhU8_DElYkX7l4wRkHqqCUFNJY4AfY3kHU/edit?usp=sharing  #gid=0"",""фіз особи new!relations_name""),6,FALSE)
,
(IF
(
C424=""юридична особа""
,
VLOOKUP(D4"&amp;"24,IMPORTRANGE(""https://docs.google.com/spreadsheets/d/14Bd19lYaqBhU8_DElYkX7l4wRkHqqCUFNJY4AfY3kHU/edit?usp=sharing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G423" s="7" t="s">
        <v>10</v>
      </c>
      <c r="H423" s="7">
        <v>27</v>
      </c>
      <c r="I423" s="8" t="str">
        <f ca="1">IFERROR(__xludf.DUMMYFUNCTION("IF
(
G424=""фізична особа""
,
VLOOKUP(H424,IMPORTRANGE(""https://docs.google.com/spreadsheets/d/14Bd19lYaqBhU8_DElYkX7l4wRkHqqCUFNJY4AfY3kHU/edit?usp=sharing  #gid=0"",""фіз особи new!relations_name""),6,FALSE)
,
(IF
(
G424=""юридична особа""
,
VLOOKUP(H4"&amp;"24,IMPORTRANGE(""https://docs.google.com/spreadsheets/d/14Bd19lYaqBhU8_DElYkX7l4wRkHqqCUFNJY4AfY3kHU/edit?usp=sharing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423" s="7" t="s">
        <v>35</v>
      </c>
    </row>
    <row r="424" spans="1:10" ht="13.2">
      <c r="A424" s="7">
        <v>423</v>
      </c>
      <c r="B424" s="7">
        <v>1</v>
      </c>
      <c r="C424" s="7" t="s">
        <v>10</v>
      </c>
      <c r="D424" s="7">
        <v>157</v>
      </c>
      <c r="E424" s="7" t="s">
        <v>40</v>
      </c>
      <c r="F424" s="8" t="str">
        <f ca="1">IFERROR(__xludf.DUMMYFUNCTION("IF
(
C425=""фізична особа""
,
VLOOKUP(D425,IMPORTRANGE(""https://docs.google.com/spreadsheets/d/14Bd19lYaqBhU8_DElYkX7l4wRkHqqCUFNJY4AfY3kHU/edit?usp=sharing  #gid=0"",""фіз особи new!relations_name""),6,FALSE)
,
(IF
(
C425=""юридична особа""
,
VLOOKUP(D4"&amp;"25,IMPORTRANGE(""https://docs.google.com/spreadsheets/d/14Bd19lYaqBhU8_DElYkX7l4wRkHqqCUFNJY4AfY3kHU/edit?usp=sharing  #gid=0"",""фіз особи new!relations_name_uo""),7,FALSE)
,
)
))"),"ВІТКО Олександр Вікторович")</f>
        <v>ВІТКО Олександр Вікторович</v>
      </c>
      <c r="G424" s="7" t="s">
        <v>10</v>
      </c>
      <c r="H424" s="7">
        <v>508</v>
      </c>
      <c r="I424" s="8" t="str">
        <f ca="1">IFERROR(__xludf.DUMMYFUNCTION("IF
(
G425=""фізична особа""
,
VLOOKUP(H425,IMPORTRANGE(""https://docs.google.com/spreadsheets/d/14Bd19lYaqBhU8_DElYkX7l4wRkHqqCUFNJY4AfY3kHU/edit?usp=sharing  #gid=0"",""фіз особи new!relations_name""),6,FALSE)
,
(IF
(
G425=""юридична особа""
,
VLOOKUP(H4"&amp;"25,IMPORTRANGE(""https://docs.google.com/spreadsheets/d/14Bd19lYaqBhU8_DElYkX7l4wRkHqqCUFNJY4AfY3kHU/edit?usp=sharing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J424" s="7" t="s">
        <v>41</v>
      </c>
    </row>
    <row r="425" spans="1:10" ht="13.2">
      <c r="A425" s="7">
        <v>424</v>
      </c>
      <c r="B425" s="7">
        <v>1</v>
      </c>
      <c r="C425" s="7" t="s">
        <v>10</v>
      </c>
      <c r="D425" s="7">
        <v>158</v>
      </c>
      <c r="E425" s="7" t="s">
        <v>48</v>
      </c>
      <c r="F425" s="8" t="str">
        <f ca="1">IFERROR(__xludf.DUMMYFUNCTION("IF
(
C426=""фізична особа""
,
VLOOKUP(D426,IMPORTRANGE(""https://docs.google.com/spreadsheets/d/14Bd19lYaqBhU8_DElYkX7l4wRkHqqCUFNJY4AfY3kHU/edit?usp=sharing  #gid=0"",""фіз особи new!relations_name""),6,FALSE)
,
(IF
(
C426=""юридична особа""
,
VLOOKUP(D4"&amp;"26,IMPORTRANGE(""https://docs.google.com/spreadsheets/d/14Bd19lYaqBhU8_DElYkX7l4wRkHqqCUFNJY4AfY3kHU/edit?usp=sharing  #gid=0"",""фіз особи new!relations_name_uo""),7,FALSE)
,
)
))"),"ПАРФЬОНОВ Денис Андрійович")</f>
        <v>ПАРФЬОНОВ Денис Андрійович</v>
      </c>
      <c r="G425" s="7" t="s">
        <v>10</v>
      </c>
      <c r="H425" s="7">
        <v>698</v>
      </c>
      <c r="I425" s="8" t="str">
        <f ca="1">IFERROR(__xludf.DUMMYFUNCTION("IF
(
G426=""фізична особа""
,
VLOOKUP(H426,IMPORTRANGE(""https://docs.google.com/spreadsheets/d/14Bd19lYaqBhU8_DElYkX7l4wRkHqqCUFNJY4AfY3kHU/edit?usp=sharing  #gid=0"",""фіз особи new!relations_name""),6,FALSE)
,
(IF
(
G426=""юридична особа""
,
VLOOKUP(H4"&amp;"26,IMPORTRANGE(""https://docs.google.com/spreadsheets/d/14Bd19lYaqBhU8_DElYkX7l4wRkHqqCUFNJY4AfY3kHU/edit?usp=sharing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J425" s="7" t="s">
        <v>48</v>
      </c>
    </row>
    <row r="426" spans="1:10" ht="13.2">
      <c r="A426" s="7">
        <v>425</v>
      </c>
      <c r="B426" s="7">
        <v>1</v>
      </c>
      <c r="C426" s="7" t="s">
        <v>10</v>
      </c>
      <c r="D426" s="7">
        <v>159</v>
      </c>
      <c r="E426" s="7" t="s">
        <v>14</v>
      </c>
      <c r="F426" s="8" t="str">
        <f ca="1">IFERROR(__xludf.DUMMYFUNCTION("IF
(
C427=""фізична особа""
,
VLOOKUP(D427,IMPORTRANGE(""https://docs.google.com/spreadsheets/d/14Bd19lYaqBhU8_DElYkX7l4wRkHqqCUFNJY4AfY3kHU/edit?usp=sharing  #gid=0"",""фіз особи new!relations_name""),6,FALSE)
,
(IF
(
C427=""юридична особа""
,
VLOOKUP(D4"&amp;"27,IMPORTRANGE(""https://docs.google.com/spreadsheets/d/14Bd19lYaqBhU8_DElYkX7l4wRkHqqCUFNJY4AfY3kHU/edit?usp=sharing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G426" s="7" t="s">
        <v>10</v>
      </c>
      <c r="H426" s="7">
        <v>5089</v>
      </c>
      <c r="I426" s="8" t="str">
        <f ca="1">IFERROR(__xludf.DUMMYFUNCTION("IF
(
G427=""фізична особа""
,
VLOOKUP(H427,IMPORTRANGE(""https://docs.google.com/spreadsheets/d/14Bd19lYaqBhU8_DElYkX7l4wRkHqqCUFNJY4AfY3kHU/edit?usp=sharing  #gid=0"",""фіз особи new!relations_name""),6,FALSE)
,
(IF
(
G427=""юридична особа""
,
VLOOKUP(H4"&amp;"27,IMPORTRANGE(""https://docs.google.com/spreadsheets/d/14Bd19lYaqBhU8_DElYkX7l4wRkHqqCUFNJY4AfY3kHU/edit?usp=sharing  #gid=0"",""фіз особи new!relations_name_uo""),7,FALSE)
,
)
))"),"КРАВЧЕНКО Наталія Василівна")</f>
        <v>КРАВЧЕНКО Наталія Василівна</v>
      </c>
      <c r="J426" s="7" t="s">
        <v>15</v>
      </c>
    </row>
    <row r="427" spans="1:10" ht="13.2">
      <c r="A427" s="7">
        <v>426</v>
      </c>
      <c r="B427" s="7">
        <v>1</v>
      </c>
      <c r="C427" s="7" t="s">
        <v>10</v>
      </c>
      <c r="D427" s="7">
        <v>159</v>
      </c>
      <c r="E427" s="7" t="s">
        <v>12</v>
      </c>
      <c r="F427" s="8" t="str">
        <f ca="1">IFERROR(__xludf.DUMMYFUNCTION("IF
(
C428=""фізична особа""
,
VLOOKUP(D428,IMPORTRANGE(""https://docs.google.com/spreadsheets/d/14Bd19lYaqBhU8_DElYkX7l4wRkHqqCUFNJY4AfY3kHU/edit?usp=sharing  #gid=0"",""фіз особи new!relations_name""),6,FALSE)
,
(IF
(
C428=""юридична особа""
,
VLOOKUP(D4"&amp;"28,IMPORTRANGE(""https://docs.google.com/spreadsheets/d/14Bd19lYaqBhU8_DElYkX7l4wRkHqqCUFNJY4AfY3kHU/edit?usp=sharing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G427" s="7" t="s">
        <v>10</v>
      </c>
      <c r="H427" s="7">
        <v>4999</v>
      </c>
      <c r="I427" s="8" t="str">
        <f ca="1">IFERROR(__xludf.DUMMYFUNCTION("IF
(
G428=""фізична особа""
,
VLOOKUP(H428,IMPORTRANGE(""https://docs.google.com/spreadsheets/d/14Bd19lYaqBhU8_DElYkX7l4wRkHqqCUFNJY4AfY3kHU/edit?usp=sharing  #gid=0"",""фіз особи new!relations_name""),6,FALSE)
,
(IF
(
G428=""юридична особа""
,
VLOOKUP(H4"&amp;"28,IMPORTRANGE(""https://docs.google.com/spreadsheets/d/14Bd19lYaqBhU8_DElYkX7l4wRkHqqCUFNJY4AfY3kHU/edit?usp=sharing  #gid=0"",""фіз особи new!relations_name_uo""),7,FALSE)
,
)
))"),"КРАВЧЕНКО Ксенія Денисівна")</f>
        <v>КРАВЧЕНКО Ксенія Денисівна</v>
      </c>
      <c r="J427" s="7" t="s">
        <v>13</v>
      </c>
    </row>
    <row r="428" spans="1:10" ht="13.2">
      <c r="A428" s="7">
        <v>427</v>
      </c>
      <c r="B428" s="7">
        <v>1</v>
      </c>
      <c r="C428" s="7" t="s">
        <v>10</v>
      </c>
      <c r="D428" s="7">
        <v>159</v>
      </c>
      <c r="E428" s="7" t="s">
        <v>12</v>
      </c>
      <c r="F428" s="8" t="str">
        <f ca="1">IFERROR(__xludf.DUMMYFUNCTION("IF
(
C429=""фізична особа""
,
VLOOKUP(D429,IMPORTRANGE(""https://docs.google.com/spreadsheets/d/14Bd19lYaqBhU8_DElYkX7l4wRkHqqCUFNJY4AfY3kHU/edit?usp=sharing  #gid=0"",""фіз особи new!relations_name""),6,FALSE)
,
(IF
(
C429=""юридична особа""
,
VLOOKUP(D4"&amp;"29,IMPORTRANGE(""https://docs.google.com/spreadsheets/d/14Bd19lYaqBhU8_DElYkX7l4wRkHqqCUFNJY4AfY3kHU/edit?usp=sharing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G428" s="7" t="s">
        <v>10</v>
      </c>
      <c r="H428" s="7">
        <v>5090</v>
      </c>
      <c r="I428" s="8" t="str">
        <f ca="1">IFERROR(__xludf.DUMMYFUNCTION("IF
(
G429=""фізична особа""
,
VLOOKUP(H429,IMPORTRANGE(""https://docs.google.com/spreadsheets/d/14Bd19lYaqBhU8_DElYkX7l4wRkHqqCUFNJY4AfY3kHU/edit?usp=sharing  #gid=0"",""фіз особи new!relations_name""),6,FALSE)
,
(IF
(
G429=""юридична особа""
,
VLOOKUP(H4"&amp;"29,IMPORTRANGE(""https://docs.google.com/spreadsheets/d/14Bd19lYaqBhU8_DElYkX7l4wRkHqqCUFNJY4AfY3kHU/edit?usp=sharing  #gid=0"",""фіз особи new!relations_name_uo""),7,FALSE)
,
)
))"),"КРАВЧЕНКО Кіра Денисівна")</f>
        <v>КРАВЧЕНКО Кіра Денисівна</v>
      </c>
      <c r="J428" s="7" t="s">
        <v>13</v>
      </c>
    </row>
    <row r="429" spans="1:10" ht="13.2">
      <c r="A429" s="7">
        <v>428</v>
      </c>
      <c r="B429" s="7">
        <v>1</v>
      </c>
      <c r="C429" s="7" t="s">
        <v>10</v>
      </c>
      <c r="D429" s="7">
        <v>159</v>
      </c>
      <c r="E429" s="7" t="s">
        <v>28</v>
      </c>
      <c r="F429" s="8" t="str">
        <f ca="1">IFERROR(__xludf.DUMMYFUNCTION("IF
(
C430=""фізична особа""
,
VLOOKUP(D430,IMPORTRANGE(""https://docs.google.com/spreadsheets/d/14Bd19lYaqBhU8_DElYkX7l4wRkHqqCUFNJY4AfY3kHU/edit?usp=sharing  #gid=0"",""фіз особи new!relations_name""),6,FALSE)
,
(IF
(
C430=""юридична особа""
,
VLOOKUP(D4"&amp;"30,IMPORTRANGE(""https://docs.google.com/spreadsheets/d/14Bd19lYaqBhU8_DElYkX7l4wRkHqqCUFNJY4AfY3kHU/edit?usp=sharing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G429" s="7" t="s">
        <v>10</v>
      </c>
      <c r="H429" s="7">
        <v>147</v>
      </c>
      <c r="I429" s="8" t="str">
        <f ca="1">IFERROR(__xludf.DUMMYFUNCTION("IF
(
G430=""фізична особа""
,
VLOOKUP(H430,IMPORTRANGE(""https://docs.google.com/spreadsheets/d/14Bd19lYaqBhU8_DElYkX7l4wRkHqqCUFNJY4AfY3kHU/edit?usp=sharing  #gid=0"",""фіз особи new!relations_name""),6,FALSE)
,
(IF
(
G430=""юридична особа""
,
VLOOKUP(H4"&amp;"30,IMPORTRANGE(""https://docs.google.com/spreadsheets/d/14Bd19lYaqBhU8_DElYkX7l4wRkHqqCUFNJY4AfY3kHU/edit?usp=sharing  #gid=0"",""фіз особи new!relations_name_uo""),7,FALSE)
,
)
))"),"ГРИЗЛОВ Борис В'ячеславович")</f>
        <v>ГРИЗЛОВ Борис В'ячеславович</v>
      </c>
      <c r="J429" s="7" t="s">
        <v>29</v>
      </c>
    </row>
    <row r="430" spans="1:10" ht="13.2">
      <c r="A430" s="7">
        <v>429</v>
      </c>
      <c r="B430" s="7">
        <v>1</v>
      </c>
      <c r="C430" s="7" t="s">
        <v>10</v>
      </c>
      <c r="D430" s="7">
        <v>160</v>
      </c>
      <c r="E430" s="7" t="s">
        <v>14</v>
      </c>
      <c r="F430" s="8" t="str">
        <f ca="1">IFERROR(__xludf.DUMMYFUNCTION("IF
(
C431=""фізична особа""
,
VLOOKUP(D431,IMPORTRANGE(""https://docs.google.com/spreadsheets/d/14Bd19lYaqBhU8_DElYkX7l4wRkHqqCUFNJY4AfY3kHU/edit?usp=sharing  #gid=0"",""фіз особи new!relations_name""),6,FALSE)
,
(IF
(
C431=""юридична особа""
,
VLOOKUP(D4"&amp;"31,IMPORTRANGE(""https://docs.google.com/spreadsheets/d/14Bd19lYaqBhU8_DElYkX7l4wRkHqqCUFNJY4AfY3kHU/edit?usp=sharing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0" s="7" t="s">
        <v>10</v>
      </c>
      <c r="H430" s="7">
        <v>0</v>
      </c>
      <c r="I430" s="8" t="str">
        <f ca="1">IFERROR(__xludf.DUMMYFUNCTION("IF
(
G431=""фізична особа""
,
VLOOKUP(H431,IMPORTRANGE(""https://docs.google.com/spreadsheets/d/14Bd19lYaqBhU8_DElYkX7l4wRkHqqCUFNJY4AfY3kHU/edit?usp=sharing  #gid=0"",""фіз особи new!relations_name""),6,FALSE)
,
(IF
(
G431=""юридична особа""
,
VLOOKUP(H4"&amp;"31,IMPORTRANGE(""https://docs.google.com/spreadsheets/d/14Bd19lYaqBhU8_DElYkX7l4wRkHqqCUFNJY4AfY3kHU/edit?usp=sharing  #gid=0"",""фіз особи new!relations_name_uo""),7,FALSE)
,
)
))"),"#N/A")</f>
        <v>#N/A</v>
      </c>
      <c r="J430" s="7" t="s">
        <v>15</v>
      </c>
    </row>
    <row r="431" spans="1:10" ht="13.2">
      <c r="A431" s="7">
        <v>430</v>
      </c>
      <c r="B431" s="7">
        <v>1</v>
      </c>
      <c r="C431" s="7" t="s">
        <v>10</v>
      </c>
      <c r="D431" s="7">
        <v>160</v>
      </c>
      <c r="E431" s="7" t="s">
        <v>17</v>
      </c>
      <c r="F431" s="8" t="str">
        <f ca="1">IFERROR(__xludf.DUMMYFUNCTION("IF
(
C432=""фізична особа""
,
VLOOKUP(D432,IMPORTRANGE(""https://docs.google.com/spreadsheets/d/14Bd19lYaqBhU8_DElYkX7l4wRkHqqCUFNJY4AfY3kHU/edit?usp=sharing  #gid=0"",""фіз особи new!relations_name""),6,FALSE)
,
(IF
(
C432=""юридична особа""
,
VLOOKUP(D4"&amp;"32,IMPORTRANGE(""https://docs.google.com/spreadsheets/d/14Bd19lYaqBhU8_DElYkX7l4wRkHqqCUFNJY4AfY3kHU/edit?usp=sharing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1" s="7" t="s">
        <v>10</v>
      </c>
      <c r="H431" s="7">
        <v>0</v>
      </c>
      <c r="I431" s="8" t="str">
        <f ca="1">IFERROR(__xludf.DUMMYFUNCTION("IF
(
G432=""фізична особа""
,
VLOOKUP(H432,IMPORTRANGE(""https://docs.google.com/spreadsheets/d/14Bd19lYaqBhU8_DElYkX7l4wRkHqqCUFNJY4AfY3kHU/edit?usp=sharing  #gid=0"",""фіз особи new!relations_name""),6,FALSE)
,
(IF
(
G432=""юридична особа""
,
VLOOKUP(H4"&amp;"32,IMPORTRANGE(""https://docs.google.com/spreadsheets/d/14Bd19lYaqBhU8_DElYkX7l4wRkHqqCUFNJY4AfY3kHU/edit?usp=sharing  #gid=0"",""фіз особи new!relations_name_uo""),7,FALSE)
,
)
))"),"#N/A")</f>
        <v>#N/A</v>
      </c>
      <c r="J431" s="7" t="s">
        <v>21</v>
      </c>
    </row>
    <row r="432" spans="1:10" ht="13.2">
      <c r="A432" s="7">
        <v>431</v>
      </c>
      <c r="B432" s="7">
        <v>1</v>
      </c>
      <c r="C432" s="7" t="s">
        <v>10</v>
      </c>
      <c r="D432" s="7">
        <v>160</v>
      </c>
      <c r="E432" s="7" t="s">
        <v>18</v>
      </c>
      <c r="F432" s="8" t="str">
        <f ca="1">IFERROR(__xludf.DUMMYFUNCTION("IF
(
C433=""фізична особа""
,
VLOOKUP(D433,IMPORTRANGE(""https://docs.google.com/spreadsheets/d/14Bd19lYaqBhU8_DElYkX7l4wRkHqqCUFNJY4AfY3kHU/edit?usp=sharing  #gid=0"",""фіз особи new!relations_name""),6,FALSE)
,
(IF
(
C433=""юридична особа""
,
VLOOKUP(D4"&amp;"33,IMPORTRANGE(""https://docs.google.com/spreadsheets/d/14Bd19lYaqBhU8_DElYkX7l4wRkHqqCUFNJY4AfY3kHU/edit?usp=sharing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2" s="7" t="s">
        <v>10</v>
      </c>
      <c r="H432" s="7">
        <v>0</v>
      </c>
      <c r="I432" s="8" t="str">
        <f ca="1">IFERROR(__xludf.DUMMYFUNCTION("IF
(
G433=""фізична особа""
,
VLOOKUP(H433,IMPORTRANGE(""https://docs.google.com/spreadsheets/d/14Bd19lYaqBhU8_DElYkX7l4wRkHqqCUFNJY4AfY3kHU/edit?usp=sharing  #gid=0"",""фіз особи new!relations_name""),6,FALSE)
,
(IF
(
G433=""юридична особа""
,
VLOOKUP(H4"&amp;"33,IMPORTRANGE(""https://docs.google.com/spreadsheets/d/14Bd19lYaqBhU8_DElYkX7l4wRkHqqCUFNJY4AfY3kHU/edit?usp=sharing  #gid=0"",""фіз особи new!relations_name_uo""),7,FALSE)
,
)
))"),"#N/A")</f>
        <v>#N/A</v>
      </c>
      <c r="J432" s="7" t="s">
        <v>18</v>
      </c>
    </row>
    <row r="433" spans="1:10" ht="13.2">
      <c r="A433" s="7">
        <v>432</v>
      </c>
      <c r="B433" s="7">
        <v>1</v>
      </c>
      <c r="C433" s="7" t="s">
        <v>10</v>
      </c>
      <c r="D433" s="7">
        <v>160</v>
      </c>
      <c r="E433" s="7" t="s">
        <v>26</v>
      </c>
      <c r="F433" s="8" t="str">
        <f ca="1">IFERROR(__xludf.DUMMYFUNCTION("IF
(
C434=""фізична особа""
,
VLOOKUP(D434,IMPORTRANGE(""https://docs.google.com/spreadsheets/d/14Bd19lYaqBhU8_DElYkX7l4wRkHqqCUFNJY4AfY3kHU/edit?usp=sharing  #gid=0"",""фіз особи new!relations_name""),6,FALSE)
,
(IF
(
C434=""юридична особа""
,
VLOOKUP(D4"&amp;"34,IMPORTRANGE(""https://docs.google.com/spreadsheets/d/14Bd19lYaqBhU8_DElYkX7l4wRkHqqCUFNJY4AfY3kHU/edit?usp=sharing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3" s="7" t="s">
        <v>10</v>
      </c>
      <c r="H433" s="7">
        <v>0</v>
      </c>
      <c r="I433" s="8" t="str">
        <f ca="1">IFERROR(__xludf.DUMMYFUNCTION("IF
(
G434=""фізична особа""
,
VLOOKUP(H434,IMPORTRANGE(""https://docs.google.com/spreadsheets/d/14Bd19lYaqBhU8_DElYkX7l4wRkHqqCUFNJY4AfY3kHU/edit?usp=sharing  #gid=0"",""фіз особи new!relations_name""),6,FALSE)
,
(IF
(
G434=""юридична особа""
,
VLOOKUP(H4"&amp;"34,IMPORTRANGE(""https://docs.google.com/spreadsheets/d/14Bd19lYaqBhU8_DElYkX7l4wRkHqqCUFNJY4AfY3kHU/edit?usp=sharing  #gid=0"",""фіз особи new!relations_name_uo""),7,FALSE)
,
)
))"),"#N/A")</f>
        <v>#N/A</v>
      </c>
      <c r="J433" s="7" t="s">
        <v>34</v>
      </c>
    </row>
    <row r="434" spans="1:10" ht="13.2">
      <c r="A434" s="7">
        <v>433</v>
      </c>
      <c r="B434" s="7">
        <v>1</v>
      </c>
      <c r="C434" s="7" t="s">
        <v>10</v>
      </c>
      <c r="D434" s="7">
        <v>160</v>
      </c>
      <c r="E434" s="7" t="s">
        <v>26</v>
      </c>
      <c r="F434" s="8" t="str">
        <f ca="1">IFERROR(__xludf.DUMMYFUNCTION("IF
(
C435=""фізична особа""
,
VLOOKUP(D435,IMPORTRANGE(""https://docs.google.com/spreadsheets/d/14Bd19lYaqBhU8_DElYkX7l4wRkHqqCUFNJY4AfY3kHU/edit?usp=sharing  #gid=0"",""фіз особи new!relations_name""),6,FALSE)
,
(IF
(
C435=""юридична особа""
,
VLOOKUP(D4"&amp;"35,IMPORTRANGE(""https://docs.google.com/spreadsheets/d/14Bd19lYaqBhU8_DElYkX7l4wRkHqqCUFNJY4AfY3kHU/edit?usp=sharing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4" s="7" t="s">
        <v>10</v>
      </c>
      <c r="H434" s="7">
        <v>0</v>
      </c>
      <c r="I434" s="8" t="str">
        <f ca="1">IFERROR(__xludf.DUMMYFUNCTION("IF
(
G435=""фізична особа""
,
VLOOKUP(H435,IMPORTRANGE(""https://docs.google.com/spreadsheets/d/14Bd19lYaqBhU8_DElYkX7l4wRkHqqCUFNJY4AfY3kHU/edit?usp=sharing  #gid=0"",""фіз особи new!relations_name""),6,FALSE)
,
(IF
(
G435=""юридична особа""
,
VLOOKUP(H4"&amp;"35,IMPORTRANGE(""https://docs.google.com/spreadsheets/d/14Bd19lYaqBhU8_DElYkX7l4wRkHqqCUFNJY4AfY3kHU/edit?usp=sharing  #gid=0"",""фіз особи new!relations_name_uo""),7,FALSE)
,
)
))"),"#N/A")</f>
        <v>#N/A</v>
      </c>
      <c r="J434" s="7" t="s">
        <v>27</v>
      </c>
    </row>
    <row r="435" spans="1:10" ht="13.2">
      <c r="A435" s="7">
        <v>434</v>
      </c>
      <c r="B435" s="7">
        <v>1</v>
      </c>
      <c r="C435" s="7" t="s">
        <v>10</v>
      </c>
      <c r="D435" s="7">
        <v>160</v>
      </c>
      <c r="E435" s="7" t="s">
        <v>26</v>
      </c>
      <c r="F435" s="8" t="str">
        <f ca="1">IFERROR(__xludf.DUMMYFUNCTION("IF
(
C436=""фізична особа""
,
VLOOKUP(D436,IMPORTRANGE(""https://docs.google.com/spreadsheets/d/14Bd19lYaqBhU8_DElYkX7l4wRkHqqCUFNJY4AfY3kHU/edit?usp=sharing  #gid=0"",""фіз особи new!relations_name""),6,FALSE)
,
(IF
(
C436=""юридична особа""
,
VLOOKUP(D4"&amp;"36,IMPORTRANGE(""https://docs.google.com/spreadsheets/d/14Bd19lYaqBhU8_DElYkX7l4wRkHqqCUFNJY4AfY3kHU/edit?usp=sharing  #gid=0"",""фіз особи new!relations_name_uo""),7,FALSE)
,
)
))"),"БЕРЕЗОВСЬКИЙ Денис Валентинович")</f>
        <v>БЕРЕЗОВСЬКИЙ Денис Валентинович</v>
      </c>
      <c r="G435" s="7" t="s">
        <v>10</v>
      </c>
      <c r="H435" s="7">
        <v>0</v>
      </c>
      <c r="I435" s="8" t="str">
        <f ca="1">IFERROR(__xludf.DUMMYFUNCTION("IF
(
G436=""фізична особа""
,
VLOOKUP(H436,IMPORTRANGE(""https://docs.google.com/spreadsheets/d/14Bd19lYaqBhU8_DElYkX7l4wRkHqqCUFNJY4AfY3kHU/edit?usp=sharing  #gid=0"",""фіз особи new!relations_name""),6,FALSE)
,
(IF
(
G436=""юридична особа""
,
VLOOKUP(H4"&amp;"36,IMPORTRANGE(""https://docs.google.com/spreadsheets/d/14Bd19lYaqBhU8_DElYkX7l4wRkHqqCUFNJY4AfY3kHU/edit?usp=sharing  #gid=0"",""фіз особи new!relations_name_uo""),7,FALSE)
,
)
))"),"#N/A")</f>
        <v>#N/A</v>
      </c>
      <c r="J435" s="7" t="s">
        <v>50</v>
      </c>
    </row>
    <row r="436" spans="1:10" ht="13.2">
      <c r="A436" s="7">
        <v>435</v>
      </c>
      <c r="B436" s="7">
        <v>1</v>
      </c>
      <c r="C436" s="7" t="s">
        <v>10</v>
      </c>
      <c r="D436" s="7">
        <v>161</v>
      </c>
      <c r="E436" s="7" t="s">
        <v>14</v>
      </c>
      <c r="F436" s="8" t="str">
        <f ca="1">IFERROR(__xludf.DUMMYFUNCTION("IF
(
C437=""фізична особа""
,
VLOOKUP(D437,IMPORTRANGE(""https://docs.google.com/spreadsheets/d/14Bd19lYaqBhU8_DElYkX7l4wRkHqqCUFNJY4AfY3kHU/edit?usp=sharing  #gid=0"",""фіз особи new!relations_name""),6,FALSE)
,
(IF
(
C437=""юридична особа""
,
VLOOKUP(D4"&amp;"37,IMPORTRANGE(""https://docs.google.com/spreadsheets/d/14Bd19lYaqBhU8_DElYkX7l4wRkHqqCUFNJY4AfY3kHU/edit?usp=sharing  #gid=0"",""фіз особи new!relations_name_uo""),7,FALSE)
,
)
))"),"МАЙДАНОВ Денис Васильович")</f>
        <v>МАЙДАНОВ Денис Васильович</v>
      </c>
      <c r="G436" s="7" t="s">
        <v>10</v>
      </c>
      <c r="H436" s="7">
        <v>5091</v>
      </c>
      <c r="I436" s="8" t="str">
        <f ca="1">IFERROR(__xludf.DUMMYFUNCTION("IF
(
G437=""фізична особа""
,
VLOOKUP(H437,IMPORTRANGE(""https://docs.google.com/spreadsheets/d/14Bd19lYaqBhU8_DElYkX7l4wRkHqqCUFNJY4AfY3kHU/edit?usp=sharing  #gid=0"",""фіз особи new!relations_name""),6,FALSE)
,
(IF
(
G437=""юридична особа""
,
VLOOKUP(H4"&amp;"37,IMPORTRANGE(""https://docs.google.com/spreadsheets/d/14Bd19lYaqBhU8_DElYkX7l4wRkHqqCUFNJY4AfY3kHU/edit?usp=sharing  #gid=0"",""фіз особи new!relations_name_uo""),7,FALSE)
,
)
))"),"МАЙДАНОВА Наталія Миколаївна")</f>
        <v>МАЙДАНОВА Наталія Миколаївна</v>
      </c>
      <c r="J436" s="7" t="s">
        <v>15</v>
      </c>
    </row>
    <row r="437" spans="1:10" ht="13.2">
      <c r="A437" s="7">
        <v>436</v>
      </c>
      <c r="B437" s="7">
        <v>1</v>
      </c>
      <c r="C437" s="7" t="s">
        <v>10</v>
      </c>
      <c r="D437" s="7">
        <v>161</v>
      </c>
      <c r="E437" s="7" t="s">
        <v>12</v>
      </c>
      <c r="F437" s="8" t="str">
        <f ca="1">IFERROR(__xludf.DUMMYFUNCTION("IF
(
C438=""фізична особа""
,
VLOOKUP(D438,IMPORTRANGE(""https://docs.google.com/spreadsheets/d/14Bd19lYaqBhU8_DElYkX7l4wRkHqqCUFNJY4AfY3kHU/edit?usp=sharing  #gid=0"",""фіз особи new!relations_name""),6,FALSE)
,
(IF
(
C438=""юридична особа""
,
VLOOKUP(D4"&amp;"38,IMPORTRANGE(""https://docs.google.com/spreadsheets/d/14Bd19lYaqBhU8_DElYkX7l4wRkHqqCUFNJY4AfY3kHU/edit?usp=sharing  #gid=0"",""фіз особи new!relations_name_uo""),7,FALSE)
,
)
))"),"МАЙДАНОВ Денис Васильович")</f>
        <v>МАЙДАНОВ Денис Васильович</v>
      </c>
      <c r="G437" s="7" t="s">
        <v>10</v>
      </c>
      <c r="H437" s="7">
        <v>0</v>
      </c>
      <c r="I437" s="8" t="str">
        <f ca="1">IFERROR(__xludf.DUMMYFUNCTION("IF
(
G438=""фізична особа""
,
VLOOKUP(H438,IMPORTRANGE(""https://docs.google.com/spreadsheets/d/14Bd19lYaqBhU8_DElYkX7l4wRkHqqCUFNJY4AfY3kHU/edit?usp=sharing  #gid=0"",""фіз особи new!relations_name""),6,FALSE)
,
(IF
(
G438=""юридична особа""
,
VLOOKUP(H4"&amp;"38,IMPORTRANGE(""https://docs.google.com/spreadsheets/d/14Bd19lYaqBhU8_DElYkX7l4wRkHqqCUFNJY4AfY3kHU/edit?usp=sharing  #gid=0"",""фіз особи new!relations_name_uo""),7,FALSE)
,
)
))"),"#N/A")</f>
        <v>#N/A</v>
      </c>
      <c r="J437" s="7" t="s">
        <v>13</v>
      </c>
    </row>
    <row r="438" spans="1:10" ht="13.2">
      <c r="A438" s="7">
        <v>437</v>
      </c>
      <c r="B438" s="7">
        <v>1</v>
      </c>
      <c r="C438" s="7" t="s">
        <v>10</v>
      </c>
      <c r="D438" s="7">
        <v>161</v>
      </c>
      <c r="E438" s="7" t="s">
        <v>12</v>
      </c>
      <c r="F438" s="8" t="str">
        <f ca="1">IFERROR(__xludf.DUMMYFUNCTION("IF
(
C439=""фізична особа""
,
VLOOKUP(D439,IMPORTRANGE(""https://docs.google.com/spreadsheets/d/14Bd19lYaqBhU8_DElYkX7l4wRkHqqCUFNJY4AfY3kHU/edit?usp=sharing  #gid=0"",""фіз особи new!relations_name""),6,FALSE)
,
(IF
(
C439=""юридична особа""
,
VLOOKUP(D4"&amp;"39,IMPORTRANGE(""https://docs.google.com/spreadsheets/d/14Bd19lYaqBhU8_DElYkX7l4wRkHqqCUFNJY4AfY3kHU/edit?usp=sharing  #gid=0"",""фіз особи new!relations_name_uo""),7,FALSE)
,
)
))"),"МАЙДАНОВ Денис Васильович")</f>
        <v>МАЙДАНОВ Денис Васильович</v>
      </c>
      <c r="G438" s="7" t="s">
        <v>10</v>
      </c>
      <c r="H438" s="7">
        <v>0</v>
      </c>
      <c r="I438" s="8" t="str">
        <f ca="1">IFERROR(__xludf.DUMMYFUNCTION("IF
(
G439=""фізична особа""
,
VLOOKUP(H439,IMPORTRANGE(""https://docs.google.com/spreadsheets/d/14Bd19lYaqBhU8_DElYkX7l4wRkHqqCUFNJY4AfY3kHU/edit?usp=sharing  #gid=0"",""фіз особи new!relations_name""),6,FALSE)
,
(IF
(
G439=""юридична особа""
,
VLOOKUP(H4"&amp;"39,IMPORTRANGE(""https://docs.google.com/spreadsheets/d/14Bd19lYaqBhU8_DElYkX7l4wRkHqqCUFNJY4AfY3kHU/edit?usp=sharing  #gid=0"",""фіз особи new!relations_name_uo""),7,FALSE)
,
)
))"),"#N/A")</f>
        <v>#N/A</v>
      </c>
      <c r="J438" s="7" t="s">
        <v>17</v>
      </c>
    </row>
    <row r="439" spans="1:10" ht="13.2">
      <c r="A439" s="7">
        <v>438</v>
      </c>
      <c r="B439" s="7">
        <v>1</v>
      </c>
      <c r="C439" s="7" t="s">
        <v>10</v>
      </c>
      <c r="D439" s="7">
        <v>162</v>
      </c>
      <c r="E439" s="7" t="s">
        <v>28</v>
      </c>
      <c r="F439" s="8" t="str">
        <f ca="1">IFERROR(__xludf.DUMMYFUNCTION("IF
(
C440=""фізична особа""
,
VLOOKUP(D440,IMPORTRANGE(""https://docs.google.com/spreadsheets/d/14Bd19lYaqBhU8_DElYkX7l4wRkHqqCUFNJY4AfY3kHU/edit?usp=sharing  #gid=0"",""фіз особи new!relations_name""),6,FALSE)
,
(IF
(
C440=""юридична особа""
,
VLOOKUP(D4"&amp;"40,IMPORTRANGE(""https://docs.google.com/spreadsheets/d/14Bd19lYaqBhU8_DElYkX7l4wRkHqqCUFNJY4AfY3kHU/edit?usp=sharing  #gid=0"",""фіз особи new!relations_name_uo""),7,FALSE)
,
)
))"),"ГУСЄВ Денис Володимирович")</f>
        <v>ГУСЄВ Денис Володимирович</v>
      </c>
      <c r="G439" s="7" t="s">
        <v>10</v>
      </c>
      <c r="H439" s="7">
        <v>2567</v>
      </c>
      <c r="I439" s="8" t="str">
        <f ca="1">IFERROR(__xludf.DUMMYFUNCTION("IF
(
G440=""фізична особа""
,
VLOOKUP(H440,IMPORTRANGE(""https://docs.google.com/spreadsheets/d/14Bd19lYaqBhU8_DElYkX7l4wRkHqqCUFNJY4AfY3kHU/edit?usp=sharing  #gid=0"",""фіз особи new!relations_name""),6,FALSE)
,
(IF
(
G440=""юридична особа""
,
VLOOKUP(H4"&amp;"40,IMPORTRANGE(""https://docs.google.com/spreadsheets/d/14Bd19lYaqBhU8_DElYkX7l4wRkHqqCUFNJY4AfY3kHU/edit?usp=sharing  #gid=0"",""фіз особи new!relations_name_uo""),7,FALSE)
,
)
))"),"БЕЗДУДНИЙ Юрій Васильович")</f>
        <v>БЕЗДУДНИЙ Юрій Васильович</v>
      </c>
      <c r="J439" s="7" t="s">
        <v>29</v>
      </c>
    </row>
    <row r="440" spans="1:10" ht="13.2">
      <c r="A440" s="7">
        <v>439</v>
      </c>
      <c r="B440" s="7">
        <v>1</v>
      </c>
      <c r="C440" s="7" t="s">
        <v>10</v>
      </c>
      <c r="D440" s="7">
        <v>162</v>
      </c>
      <c r="E440" s="7" t="s">
        <v>30</v>
      </c>
      <c r="F440" s="8" t="str">
        <f ca="1">IFERROR(__xludf.DUMMYFUNCTION("IF
(
C441=""фізична особа""
,
VLOOKUP(D441,IMPORTRANGE(""https://docs.google.com/spreadsheets/d/14Bd19lYaqBhU8_DElYkX7l4wRkHqqCUFNJY4AfY3kHU/edit?usp=sharing  #gid=0"",""фіз особи new!relations_name""),6,FALSE)
,
(IF
(
C441=""юридична особа""
,
VLOOKUP(D4"&amp;"41,IMPORTRANGE(""https://docs.google.com/spreadsheets/d/14Bd19lYaqBhU8_DElYkX7l4wRkHqqCUFNJY4AfY3kHU/edit?usp=sharing  #gid=0"",""фіз особи new!relations_name_uo""),7,FALSE)
,
)
))"),"ГУСЄВ Денис Володимирович")</f>
        <v>ГУСЄВ Денис Володимирович</v>
      </c>
      <c r="G440" s="7" t="s">
        <v>10</v>
      </c>
      <c r="H440" s="7">
        <v>0</v>
      </c>
      <c r="I440" s="8" t="str">
        <f ca="1">IFERROR(__xludf.DUMMYFUNCTION("IF
(
G441=""фізична особа""
,
VLOOKUP(H441,IMPORTRANGE(""https://docs.google.com/spreadsheets/d/14Bd19lYaqBhU8_DElYkX7l4wRkHqqCUFNJY4AfY3kHU/edit?usp=sharing  #gid=0"",""фіз особи new!relations_name""),6,FALSE)
,
(IF
(
G441=""юридична особа""
,
VLOOKUP(H4"&amp;"41,IMPORTRANGE(""https://docs.google.com/spreadsheets/d/14Bd19lYaqBhU8_DElYkX7l4wRkHqqCUFNJY4AfY3kHU/edit?usp=sharing  #gid=0"",""фіз особи new!relations_name_uo""),7,FALSE)
,
)
))"),"#N/A")</f>
        <v>#N/A</v>
      </c>
      <c r="J440" s="7" t="s">
        <v>30</v>
      </c>
    </row>
    <row r="441" spans="1:10" ht="13.2">
      <c r="A441" s="7">
        <v>440</v>
      </c>
      <c r="B441" s="7">
        <v>1</v>
      </c>
      <c r="C441" s="7" t="s">
        <v>10</v>
      </c>
      <c r="D441" s="7">
        <v>162</v>
      </c>
      <c r="E441" s="7" t="s">
        <v>30</v>
      </c>
      <c r="F441" s="8" t="str">
        <f ca="1">IFERROR(__xludf.DUMMYFUNCTION("IF
(
C442=""фізична особа""
,
VLOOKUP(D442,IMPORTRANGE(""https://docs.google.com/spreadsheets/d/14Bd19lYaqBhU8_DElYkX7l4wRkHqqCUFNJY4AfY3kHU/edit?usp=sharing  #gid=0"",""фіз особи new!relations_name""),6,FALSE)
,
(IF
(
C442=""юридична особа""
,
VLOOKUP(D4"&amp;"42,IMPORTRANGE(""https://docs.google.com/spreadsheets/d/14Bd19lYaqBhU8_DElYkX7l4wRkHqqCUFNJY4AfY3kHU/edit?usp=sharing  #gid=0"",""фіз особи new!relations_name_uo""),7,FALSE)
,
)
))"),"ГУСЄВ Денис Володимирович")</f>
        <v>ГУСЄВ Денис Володимирович</v>
      </c>
      <c r="G441" s="7" t="s">
        <v>10</v>
      </c>
      <c r="H441" s="7">
        <v>0</v>
      </c>
      <c r="I441" s="8" t="str">
        <f ca="1">IFERROR(__xludf.DUMMYFUNCTION("IF
(
G442=""фізична особа""
,
VLOOKUP(H442,IMPORTRANGE(""https://docs.google.com/spreadsheets/d/14Bd19lYaqBhU8_DElYkX7l4wRkHqqCUFNJY4AfY3kHU/edit?usp=sharing  #gid=0"",""фіз особи new!relations_name""),6,FALSE)
,
(IF
(
G442=""юридична особа""
,
VLOOKUP(H4"&amp;"42,IMPORTRANGE(""https://docs.google.com/spreadsheets/d/14Bd19lYaqBhU8_DElYkX7l4wRkHqqCUFNJY4AfY3kHU/edit?usp=sharing  #gid=0"",""фіз особи new!relations_name_uo""),7,FALSE)
,
)
))"),"#N/A")</f>
        <v>#N/A</v>
      </c>
      <c r="J441" s="7" t="s">
        <v>30</v>
      </c>
    </row>
    <row r="442" spans="1:10" ht="13.2">
      <c r="A442" s="7">
        <v>441</v>
      </c>
      <c r="B442" s="7">
        <v>1</v>
      </c>
      <c r="C442" s="7" t="s">
        <v>10</v>
      </c>
      <c r="D442" s="7">
        <v>162</v>
      </c>
      <c r="E442" s="7" t="s">
        <v>30</v>
      </c>
      <c r="F442" s="8" t="str">
        <f ca="1">IFERROR(__xludf.DUMMYFUNCTION("IF
(
C443=""фізична особа""
,
VLOOKUP(D443,IMPORTRANGE(""https://docs.google.com/spreadsheets/d/14Bd19lYaqBhU8_DElYkX7l4wRkHqqCUFNJY4AfY3kHU/edit?usp=sharing  #gid=0"",""фіз особи new!relations_name""),6,FALSE)
,
(IF
(
C443=""юридична особа""
,
VLOOKUP(D4"&amp;"43,IMPORTRANGE(""https://docs.google.com/spreadsheets/d/14Bd19lYaqBhU8_DElYkX7l4wRkHqqCUFNJY4AfY3kHU/edit?usp=sharing  #gid=0"",""фіз особи new!relations_name_uo""),7,FALSE)
,
)
))"),"ГУСЄВ Денис Володимирович")</f>
        <v>ГУСЄВ Денис Володимирович</v>
      </c>
      <c r="G442" s="7" t="s">
        <v>10</v>
      </c>
      <c r="H442" s="7">
        <v>0</v>
      </c>
      <c r="I442" s="8" t="str">
        <f ca="1">IFERROR(__xludf.DUMMYFUNCTION("IF
(
G443=""фізична особа""
,
VLOOKUP(H443,IMPORTRANGE(""https://docs.google.com/spreadsheets/d/14Bd19lYaqBhU8_DElYkX7l4wRkHqqCUFNJY4AfY3kHU/edit?usp=sharing  #gid=0"",""фіз особи new!relations_name""),6,FALSE)
,
(IF
(
G443=""юридична особа""
,
VLOOKUP(H4"&amp;"43,IMPORTRANGE(""https://docs.google.com/spreadsheets/d/14Bd19lYaqBhU8_DElYkX7l4wRkHqqCUFNJY4AfY3kHU/edit?usp=sharing  #gid=0"",""фіз особи new!relations_name_uo""),7,FALSE)
,
)
))"),"#N/A")</f>
        <v>#N/A</v>
      </c>
      <c r="J442" s="7" t="s">
        <v>30</v>
      </c>
    </row>
    <row r="443" spans="1:10" ht="13.2">
      <c r="A443" s="7">
        <v>442</v>
      </c>
      <c r="B443" s="7">
        <v>1</v>
      </c>
      <c r="C443" s="7" t="s">
        <v>10</v>
      </c>
      <c r="D443" s="7">
        <v>163</v>
      </c>
      <c r="E443" s="7" t="s">
        <v>29</v>
      </c>
      <c r="F443" s="8" t="str">
        <f ca="1">IFERROR(__xludf.DUMMYFUNCTION("IF
(
C444=""фізична особа""
,
VLOOKUP(D444,IMPORTRANGE(""https://docs.google.com/spreadsheets/d/14Bd19lYaqBhU8_DElYkX7l4wRkHqqCUFNJY4AfY3kHU/edit?usp=sharing  #gid=0"",""фіз особи new!relations_name""),6,FALSE)
,
(IF
(
C444=""юридична особа""
,
VLOOKUP(D4"&amp;"44,IMPORTRANGE(""https://docs.google.com/spreadsheets/d/14Bd19lYaqBhU8_DElYkX7l4wRkHqqCUFNJY4AfY3kHU/edit?usp=sharing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G443" s="7" t="s">
        <v>10</v>
      </c>
      <c r="H443" s="7">
        <v>0</v>
      </c>
      <c r="I443" s="8" t="str">
        <f ca="1">IFERROR(__xludf.DUMMYFUNCTION("IF
(
G444=""фізична особа""
,
VLOOKUP(H444,IMPORTRANGE(""https://docs.google.com/spreadsheets/d/14Bd19lYaqBhU8_DElYkX7l4wRkHqqCUFNJY4AfY3kHU/edit?usp=sharing  #gid=0"",""фіз особи new!relations_name""),6,FALSE)
,
(IF
(
G444=""юридична особа""
,
VLOOKUP(H4"&amp;"44,IMPORTRANGE(""https://docs.google.com/spreadsheets/d/14Bd19lYaqBhU8_DElYkX7l4wRkHqqCUFNJY4AfY3kHU/edit?usp=sharing  #gid=0"",""фіз особи new!relations_name_uo""),7,FALSE)
,
)
))"),"#N/A")</f>
        <v>#N/A</v>
      </c>
      <c r="J443" s="7" t="s">
        <v>28</v>
      </c>
    </row>
    <row r="444" spans="1:10" ht="13.2">
      <c r="A444" s="7">
        <v>443</v>
      </c>
      <c r="B444" s="7">
        <v>1</v>
      </c>
      <c r="C444" s="7" t="s">
        <v>10</v>
      </c>
      <c r="D444" s="7">
        <v>163</v>
      </c>
      <c r="E444" s="7" t="s">
        <v>28</v>
      </c>
      <c r="F444" s="8" t="str">
        <f ca="1">IFERROR(__xludf.DUMMYFUNCTION("IF
(
C445=""фізична особа""
,
VLOOKUP(D445,IMPORTRANGE(""https://docs.google.com/spreadsheets/d/14Bd19lYaqBhU8_DElYkX7l4wRkHqqCUFNJY4AfY3kHU/edit?usp=sharing  #gid=0"",""фіз особи new!relations_name""),6,FALSE)
,
(IF
(
C445=""юридична особа""
,
VLOOKUP(D4"&amp;"45,IMPORTRANGE(""https://docs.google.com/spreadsheets/d/14Bd19lYaqBhU8_DElYkX7l4wRkHqqCUFNJY4AfY3kHU/edit?usp=sharing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G444" s="7" t="s">
        <v>10</v>
      </c>
      <c r="H444" s="7">
        <v>296</v>
      </c>
      <c r="I444" s="8" t="str">
        <f ca="1">IFERROR(__xludf.DUMMYFUNCTION("IF
(
G445=""фізична особа""
,
VLOOKUP(H445,IMPORTRANGE(""https://docs.google.com/spreadsheets/d/14Bd19lYaqBhU8_DElYkX7l4wRkHqqCUFNJY4AfY3kHU/edit?usp=sharing  #gid=0"",""фіз особи new!relations_name""),6,FALSE)
,
(IF
(
G445=""юридична особа""
,
VLOOKUP(H4"&amp;"45,IMPORTRANGE(""https://docs.google.com/spreadsheets/d/14Bd19lYaqBhU8_DElYkX7l4wRkHqqCUFNJY4AfY3kHU/edit?usp=sharing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444" s="7" t="s">
        <v>29</v>
      </c>
    </row>
    <row r="445" spans="1:10" ht="13.2">
      <c r="A445" s="7">
        <v>444</v>
      </c>
      <c r="B445" s="7">
        <v>1</v>
      </c>
      <c r="C445" s="7" t="s">
        <v>10</v>
      </c>
      <c r="D445" s="7">
        <v>165</v>
      </c>
      <c r="E445" s="7" t="s">
        <v>11</v>
      </c>
      <c r="F445" s="8" t="str">
        <f ca="1">IFERROR(__xludf.DUMMYFUNCTION("IF
(
C446=""фізична особа""
,
VLOOKUP(D446,IMPORTRANGE(""https://docs.google.com/spreadsheets/d/14Bd19lYaqBhU8_DElYkX7l4wRkHqqCUFNJY4AfY3kHU/edit?usp=sharing  #gid=0"",""фіз особи new!relations_name""),6,FALSE)
,
(IF
(
C446=""юридична особа""
,
VLOOKUP(D4"&amp;"46,IMPORTRANGE(""https://docs.google.com/spreadsheets/d/14Bd19lYaqBhU8_DElYkX7l4wRkHqqCUFNJY4AfY3kHU/edit?usp=sharing  #gid=0"",""фіз особи new!relations_name_uo""),7,FALSE)
,
)
))"),"МАЛІКОВА Діна Рінатівна")</f>
        <v>МАЛІКОВА Діна Рінатівна</v>
      </c>
      <c r="G445" s="7" t="s">
        <v>10</v>
      </c>
      <c r="H445" s="7">
        <v>0</v>
      </c>
      <c r="I445" s="8" t="str">
        <f ca="1">IFERROR(__xludf.DUMMYFUNCTION("IF
(
G446=""фізична особа""
,
VLOOKUP(H446,IMPORTRANGE(""https://docs.google.com/spreadsheets/d/14Bd19lYaqBhU8_DElYkX7l4wRkHqqCUFNJY4AfY3kHU/edit?usp=sharing  #gid=0"",""фіз особи new!relations_name""),6,FALSE)
,
(IF
(
G446=""юридична особа""
,
VLOOKUP(H4"&amp;"46,IMPORTRANGE(""https://docs.google.com/spreadsheets/d/14Bd19lYaqBhU8_DElYkX7l4wRkHqqCUFNJY4AfY3kHU/edit?usp=sharing  #gid=0"",""фіз особи new!relations_name_uo""),7,FALSE)
,
)
))"),"#N/A")</f>
        <v>#N/A</v>
      </c>
      <c r="J445" s="7" t="s">
        <v>11</v>
      </c>
    </row>
    <row r="446" spans="1:10" ht="13.2">
      <c r="A446" s="7">
        <v>445</v>
      </c>
      <c r="B446" s="7">
        <v>1</v>
      </c>
      <c r="C446" s="7" t="s">
        <v>10</v>
      </c>
      <c r="D446" s="7">
        <v>165</v>
      </c>
      <c r="E446" s="7" t="s">
        <v>11</v>
      </c>
      <c r="F446" s="8" t="str">
        <f ca="1">IFERROR(__xludf.DUMMYFUNCTION("IF
(
C447=""фізична особа""
,
VLOOKUP(D447,IMPORTRANGE(""https://docs.google.com/spreadsheets/d/14Bd19lYaqBhU8_DElYkX7l4wRkHqqCUFNJY4AfY3kHU/edit?usp=sharing  #gid=0"",""фіз особи new!relations_name""),6,FALSE)
,
(IF
(
C447=""юридична особа""
,
VLOOKUP(D4"&amp;"47,IMPORTRANGE(""https://docs.google.com/spreadsheets/d/14Bd19lYaqBhU8_DElYkX7l4wRkHqqCUFNJY4AfY3kHU/edit?usp=sharing  #gid=0"",""фіз особи new!relations_name_uo""),7,FALSE)
,
)
))"),"МАЛІКОВА Діна Рінатівна")</f>
        <v>МАЛІКОВА Діна Рінатівна</v>
      </c>
      <c r="G446" s="7" t="s">
        <v>10</v>
      </c>
      <c r="H446" s="7">
        <v>0</v>
      </c>
      <c r="I446" s="8" t="str">
        <f ca="1">IFERROR(__xludf.DUMMYFUNCTION("IF
(
G447=""фізична особа""
,
VLOOKUP(H447,IMPORTRANGE(""https://docs.google.com/spreadsheets/d/14Bd19lYaqBhU8_DElYkX7l4wRkHqqCUFNJY4AfY3kHU/edit?usp=sharing  #gid=0"",""фіз особи new!relations_name""),6,FALSE)
,
(IF
(
G447=""юридична особа""
,
VLOOKUP(H4"&amp;"47,IMPORTRANGE(""https://docs.google.com/spreadsheets/d/14Bd19lYaqBhU8_DElYkX7l4wRkHqqCUFNJY4AfY3kHU/edit?usp=sharing  #gid=0"",""фіз особи new!relations_name_uo""),7,FALSE)
,
)
))"),"#N/A")</f>
        <v>#N/A</v>
      </c>
      <c r="J446" s="7" t="s">
        <v>11</v>
      </c>
    </row>
    <row r="447" spans="1:10" ht="13.2">
      <c r="A447" s="7">
        <v>446</v>
      </c>
      <c r="B447" s="7">
        <v>1</v>
      </c>
      <c r="C447" s="7" t="s">
        <v>10</v>
      </c>
      <c r="D447" s="7">
        <v>167</v>
      </c>
      <c r="E447" s="7" t="s">
        <v>28</v>
      </c>
      <c r="F447" s="8" t="str">
        <f ca="1">IFERROR(__xludf.DUMMYFUNCTION("IF
(
C448=""фізична особа""
,
VLOOKUP(D448,IMPORTRANGE(""https://docs.google.com/spreadsheets/d/14Bd19lYaqBhU8_DElYkX7l4wRkHqqCUFNJY4AfY3kHU/edit?usp=sharing  #gid=0"",""фіз особи new!relations_name""),6,FALSE)
,
(IF
(
C448=""юридична особа""
,
VLOOKUP(D4"&amp;"48,IMPORTRANGE(""https://docs.google.com/spreadsheets/d/14Bd19lYaqBhU8_DElYkX7l4wRkHqqCUFNJY4AfY3kHU/edit?usp=sharing  #gid=0"",""фіз особи new!relations_name_uo""),7,FALSE)
,
)
))"),"СУРОВИЧ Дмитро Іванович")</f>
        <v>СУРОВИЧ Дмитро Іванович</v>
      </c>
      <c r="G447" s="7" t="s">
        <v>10</v>
      </c>
      <c r="H447" s="7">
        <v>821</v>
      </c>
      <c r="I447" s="8" t="str">
        <f ca="1">IFERROR(__xludf.DUMMYFUNCTION("IF
(
G448=""фізична особа""
,
VLOOKUP(H448,IMPORTRANGE(""https://docs.google.com/spreadsheets/d/14Bd19lYaqBhU8_DElYkX7l4wRkHqqCUFNJY4AfY3kHU/edit?usp=sharing  #gid=0"",""фіз особи new!relations_name""),6,FALSE)
,
(IF
(
G448=""юридична особа""
,
VLOOKUP(H4"&amp;"48,IMPORTRANGE(""https://docs.google.com/spreadsheets/d/14Bd19lYaqBhU8_DElYkX7l4wRkHqqCUFNJY4AfY3kHU/edit?usp=sharing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447" s="7" t="s">
        <v>29</v>
      </c>
    </row>
    <row r="448" spans="1:10" ht="13.2">
      <c r="A448" s="7">
        <v>447</v>
      </c>
      <c r="B448" s="7">
        <v>1</v>
      </c>
      <c r="C448" s="7" t="s">
        <v>10</v>
      </c>
      <c r="D448" s="7">
        <v>1682</v>
      </c>
      <c r="E448" s="7" t="s">
        <v>40</v>
      </c>
      <c r="F448" s="8" t="str">
        <f ca="1">IFERROR(__xludf.DUMMYFUNCTION("IF
(
C449=""фізична особа""
,
VLOOKUP(D449,IMPORTRANGE(""https://docs.google.com/spreadsheets/d/14Bd19lYaqBhU8_DElYkX7l4wRkHqqCUFNJY4AfY3kHU/edit?usp=sharing  #gid=0"",""фіз особи new!relations_name""),6,FALSE)
,
(IF
(
C449=""юридична особа""
,
VLOOKUP(D4"&amp;"49,IMPORTRANGE(""https://docs.google.com/spreadsheets/d/14Bd19lYaqBhU8_DElYkX7l4wRkHqqCUFNJY4AfY3kHU/edit?usp=sharing  #gid=0"",""фіз особи new!relations_name_uo""),7,FALSE)
,
)
))"),"ДУБОНОСОВ Ігор Михайлович")</f>
        <v>ДУБОНОСОВ Ігор Михайлович</v>
      </c>
      <c r="G448" s="7" t="s">
        <v>10</v>
      </c>
      <c r="H448" s="7">
        <v>82</v>
      </c>
      <c r="I448" s="8" t="str">
        <f ca="1">IFERROR(__xludf.DUMMYFUNCTION("IF
(
G449=""фізична особа""
,
VLOOKUP(H449,IMPORTRANGE(""https://docs.google.com/spreadsheets/d/14Bd19lYaqBhU8_DElYkX7l4wRkHqqCUFNJY4AfY3kHU/edit?usp=sharing  #gid=0"",""фіз особи new!relations_name""),6,FALSE)
,
(IF
(
G449=""юридична особа""
,
VLOOKUP(H4"&amp;"49,IMPORTRANGE(""https://docs.google.com/spreadsheets/d/14Bd19lYaqBhU8_DElYkX7l4wRkHqqCUFNJY4AfY3kHU/edit?usp=sharing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J448" s="7" t="s">
        <v>41</v>
      </c>
    </row>
    <row r="449" spans="1:10" ht="13.2">
      <c r="A449" s="7">
        <v>448</v>
      </c>
      <c r="B449" s="7">
        <v>1</v>
      </c>
      <c r="C449" s="7" t="s">
        <v>10</v>
      </c>
      <c r="D449" s="7">
        <v>169</v>
      </c>
      <c r="E449" s="7" t="s">
        <v>14</v>
      </c>
      <c r="F449" s="8" t="str">
        <f ca="1">IFERROR(__xludf.DUMMYFUNCTION("IF
(
C450=""фізична особа""
,
VLOOKUP(D450,IMPORTRANGE(""https://docs.google.com/spreadsheets/d/14Bd19lYaqBhU8_DElYkX7l4wRkHqqCUFNJY4AfY3kHU/edit?usp=sharing  #gid=0"",""фіз особи new!relations_name""),6,FALSE)
,
(IF
(
C450=""юридична особа""
,
VLOOKUP(D4"&amp;"50,IMPORTRANGE(""https://docs.google.com/spreadsheets/d/14Bd19lYaqBhU8_DElYkX7l4wRkHqqCUFNJY4AfY3kHU/edit?usp=sharing  #gid=0"",""фіз особи new!relations_name_uo""),7,FALSE)
,
)
))"),"ХОРОШИЛОВ Дмитро Олександрович")</f>
        <v>ХОРОШИЛОВ Дмитро Олександрович</v>
      </c>
      <c r="G449" s="7" t="s">
        <v>10</v>
      </c>
      <c r="H449" s="7">
        <v>0</v>
      </c>
      <c r="I449" s="8" t="str">
        <f ca="1">IFERROR(__xludf.DUMMYFUNCTION("IF
(
G450=""фізична особа""
,
VLOOKUP(H450,IMPORTRANGE(""https://docs.google.com/spreadsheets/d/14Bd19lYaqBhU8_DElYkX7l4wRkHqqCUFNJY4AfY3kHU/edit?usp=sharing  #gid=0"",""фіз особи new!relations_name""),6,FALSE)
,
(IF
(
G450=""юридична особа""
,
VLOOKUP(H4"&amp;"50,IMPORTRANGE(""https://docs.google.com/spreadsheets/d/14Bd19lYaqBhU8_DElYkX7l4wRkHqqCUFNJY4AfY3kHU/edit?usp=sharing  #gid=0"",""фіз особи new!relations_name_uo""),7,FALSE)
,
)
))"),"#N/A")</f>
        <v>#N/A</v>
      </c>
      <c r="J449" s="7" t="s">
        <v>15</v>
      </c>
    </row>
    <row r="450" spans="1:10" ht="13.2">
      <c r="A450" s="7">
        <v>449</v>
      </c>
      <c r="B450" s="7">
        <v>1</v>
      </c>
      <c r="C450" s="7" t="s">
        <v>10</v>
      </c>
      <c r="D450" s="7">
        <v>169</v>
      </c>
      <c r="E450" s="7" t="s">
        <v>26</v>
      </c>
      <c r="F450" s="8" t="str">
        <f ca="1">IFERROR(__xludf.DUMMYFUNCTION("IF
(
C451=""фізична особа""
,
VLOOKUP(D451,IMPORTRANGE(""https://docs.google.com/spreadsheets/d/14Bd19lYaqBhU8_DElYkX7l4wRkHqqCUFNJY4AfY3kHU/edit?usp=sharing  #gid=0"",""фіз особи new!relations_name""),6,FALSE)
,
(IF
(
C451=""юридична особа""
,
VLOOKUP(D4"&amp;"51,IMPORTRANGE(""https://docs.google.com/spreadsheets/d/14Bd19lYaqBhU8_DElYkX7l4wRkHqqCUFNJY4AfY3kHU/edit?usp=sharing  #gid=0"",""фіз особи new!relations_name_uo""),7,FALSE)
,
)
))"),"ХОРОШИЛОВ Дмитро Олександрович")</f>
        <v>ХОРОШИЛОВ Дмитро Олександрович</v>
      </c>
      <c r="G450" s="7" t="s">
        <v>10</v>
      </c>
      <c r="H450" s="7">
        <v>4371</v>
      </c>
      <c r="I450" s="8" t="str">
        <f ca="1">IFERROR(__xludf.DUMMYFUNCTION("IF
(
G451=""фізична особа""
,
VLOOKUP(H451,IMPORTRANGE(""https://docs.google.com/spreadsheets/d/14Bd19lYaqBhU8_DElYkX7l4wRkHqqCUFNJY4AfY3kHU/edit?usp=sharing  #gid=0"",""фіз особи new!relations_name""),6,FALSE)
,
(IF
(
G451=""юридична особа""
,
VLOOKUP(H4"&amp;"51,IMPORTRANGE(""https://docs.google.com/spreadsheets/d/14Bd19lYaqBhU8_DElYkX7l4wRkHqqCUFNJY4AfY3kHU/edit?usp=sharing  #gid=0"",""фіз особи new!relations_name_uo""),7,FALSE)
,
)
))"),"ЗАДИРАКА Неллі Акопівна")</f>
        <v>ЗАДИРАКА Неллі Акопівна</v>
      </c>
      <c r="J450" s="7" t="s">
        <v>27</v>
      </c>
    </row>
    <row r="451" spans="1:10" ht="13.2">
      <c r="A451" s="7">
        <v>450</v>
      </c>
      <c r="B451" s="7">
        <v>1</v>
      </c>
      <c r="C451" s="7" t="s">
        <v>10</v>
      </c>
      <c r="D451" s="7">
        <v>170</v>
      </c>
      <c r="E451" s="7" t="s">
        <v>28</v>
      </c>
      <c r="F451" s="8" t="str">
        <f ca="1">IFERROR(__xludf.DUMMYFUNCTION("IF
(
C452=""фізична особа""
,
VLOOKUP(D452,IMPORTRANGE(""https://docs.google.com/spreadsheets/d/14Bd19lYaqBhU8_DElYkX7l4wRkHqqCUFNJY4AfY3kHU/edit?usp=sharing  #gid=0"",""фіз особи new!relations_name""),6,FALSE)
,
(IF
(
C452=""юридична особа""
,
VLOOKUP(D4"&amp;"52,IMPORTRANGE(""https://docs.google.com/spreadsheets/d/14Bd19lYaqBhU8_DElYkX7l4wRkHqqCUFNJY4AfY3kHU/edit?usp=sharing  #gid=0"",""фіз особи new!relations_name_uo""),7,FALSE)
,
)
))"),"СИДОРОВ Дмитро Сергійович")</f>
        <v>СИДОРОВ Дмитро Сергійович</v>
      </c>
      <c r="G451" s="7" t="s">
        <v>10</v>
      </c>
      <c r="H451" s="7">
        <v>653</v>
      </c>
      <c r="I451" s="8" t="str">
        <f ca="1">IFERROR(__xludf.DUMMYFUNCTION("IF
(
G452=""фізична особа""
,
VLOOKUP(H452,IMPORTRANGE(""https://docs.google.com/spreadsheets/d/14Bd19lYaqBhU8_DElYkX7l4wRkHqqCUFNJY4AfY3kHU/edit?usp=sharing  #gid=0"",""фіз особи new!relations_name""),6,FALSE)
,
(IF
(
G452=""юридична особа""
,
VLOOKUP(H4"&amp;"52,IMPORTRANGE(""https://docs.google.com/spreadsheets/d/14Bd19lYaqBhU8_DElYkX7l4wRkHqqCUFNJY4AfY3kHU/edit?usp=sharing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451" s="7" t="s">
        <v>29</v>
      </c>
    </row>
    <row r="452" spans="1:10" ht="13.2">
      <c r="A452" s="7">
        <v>451</v>
      </c>
      <c r="B452" s="7">
        <v>1</v>
      </c>
      <c r="C452" s="7" t="s">
        <v>10</v>
      </c>
      <c r="D452" s="7">
        <v>171</v>
      </c>
      <c r="E452" s="7" t="s">
        <v>30</v>
      </c>
      <c r="F452" s="8" t="str">
        <f ca="1">IFERROR(__xludf.DUMMYFUNCTION("IF
(
C453=""фізична особа""
,
VLOOKUP(D453,IMPORTRANGE(""https://docs.google.com/spreadsheets/d/14Bd19lYaqBhU8_DElYkX7l4wRkHqqCUFNJY4AfY3kHU/edit?usp=sharing  #gid=0"",""фіз особи new!relations_name""),6,FALSE)
,
(IF
(
C453=""юридична особа""
,
VLOOKUP(D4"&amp;"53,IMPORTRANGE(""https://docs.google.com/spreadsheets/d/14Bd19lYaqBhU8_DElYkX7l4wRkHqqCUFNJY4AfY3kHU/edit?usp=sharing  #gid=0"",""фіз особи new!relations_name_uo""),7,FALSE)
,
)
))"),"П'ЯНОВ Дмитро Васильович")</f>
        <v>П'ЯНОВ Дмитро Васильович</v>
      </c>
      <c r="G452" s="7" t="s">
        <v>10</v>
      </c>
      <c r="H452" s="7">
        <v>0</v>
      </c>
      <c r="I452" s="8" t="str">
        <f ca="1">IFERROR(__xludf.DUMMYFUNCTION("IF
(
G453=""фізична особа""
,
VLOOKUP(H453,IMPORTRANGE(""https://docs.google.com/spreadsheets/d/14Bd19lYaqBhU8_DElYkX7l4wRkHqqCUFNJY4AfY3kHU/edit?usp=sharing  #gid=0"",""фіз особи new!relations_name""),6,FALSE)
,
(IF
(
G453=""юридична особа""
,
VLOOKUP(H4"&amp;"53,IMPORTRANGE(""https://docs.google.com/spreadsheets/d/14Bd19lYaqBhU8_DElYkX7l4wRkHqqCUFNJY4AfY3kHU/edit?usp=sharing  #gid=0"",""фіз особи new!relations_name_uo""),7,FALSE)
,
)
))"),"#N/A")</f>
        <v>#N/A</v>
      </c>
      <c r="J452" s="7" t="s">
        <v>30</v>
      </c>
    </row>
    <row r="453" spans="1:10" ht="13.2">
      <c r="A453" s="7">
        <v>452</v>
      </c>
      <c r="B453" s="7">
        <v>1</v>
      </c>
      <c r="C453" s="7" t="s">
        <v>10</v>
      </c>
      <c r="D453" s="7">
        <v>172</v>
      </c>
      <c r="E453" s="7" t="s">
        <v>29</v>
      </c>
      <c r="F453" s="8" t="str">
        <f ca="1">IFERROR(__xludf.DUMMYFUNCTION("IF
(
C454=""фізична особа""
,
VLOOKUP(D454,IMPORTRANGE(""https://docs.google.com/spreadsheets/d/14Bd19lYaqBhU8_DElYkX7l4wRkHqqCUFNJY4AfY3kHU/edit?usp=sharing  #gid=0"",""фіз особи new!relations_name""),6,FALSE)
,
(IF
(
C454=""юридична особа""
,
VLOOKUP(D4"&amp;"54,IMPORTRANGE(""https://docs.google.com/spreadsheets/d/14Bd19lYaqBhU8_DElYkX7l4wRkHqqCUFNJY4AfY3kHU/edit?usp=sharing  #gid=0"",""фіз особи new!relations_name_uo""),7,FALSE)
,
)
))"),"ПАНТУС Дмитро Олександрович")</f>
        <v>ПАНТУС Дмитро Олександрович</v>
      </c>
      <c r="G453" s="7" t="s">
        <v>10</v>
      </c>
      <c r="H453" s="7">
        <v>0</v>
      </c>
      <c r="I453" s="8" t="str">
        <f ca="1">IFERROR(__xludf.DUMMYFUNCTION("IF
(
G454=""фізична особа""
,
VLOOKUP(H454,IMPORTRANGE(""https://docs.google.com/spreadsheets/d/14Bd19lYaqBhU8_DElYkX7l4wRkHqqCUFNJY4AfY3kHU/edit?usp=sharing  #gid=0"",""фіз особи new!relations_name""),6,FALSE)
,
(IF
(
G454=""юридична особа""
,
VLOOKUP(H4"&amp;"54,IMPORTRANGE(""https://docs.google.com/spreadsheets/d/14Bd19lYaqBhU8_DElYkX7l4wRkHqqCUFNJY4AfY3kHU/edit?usp=sharing  #gid=0"",""фіз особи new!relations_name_uo""),7,FALSE)
,
)
))"),"#N/A")</f>
        <v>#N/A</v>
      </c>
      <c r="J453" s="7" t="s">
        <v>28</v>
      </c>
    </row>
    <row r="454" spans="1:10" ht="13.2">
      <c r="A454" s="7">
        <v>453</v>
      </c>
      <c r="B454" s="7">
        <v>1</v>
      </c>
      <c r="C454" s="7" t="s">
        <v>10</v>
      </c>
      <c r="D454" s="7">
        <v>172</v>
      </c>
      <c r="E454" s="7" t="s">
        <v>29</v>
      </c>
      <c r="F454" s="8" t="str">
        <f ca="1">IFERROR(__xludf.DUMMYFUNCTION("IF
(
C455=""фізична особа""
,
VLOOKUP(D455,IMPORTRANGE(""https://docs.google.com/spreadsheets/d/14Bd19lYaqBhU8_DElYkX7l4wRkHqqCUFNJY4AfY3kHU/edit?usp=sharing  #gid=0"",""фіз особи new!relations_name""),6,FALSE)
,
(IF
(
C455=""юридична особа""
,
VLOOKUP(D4"&amp;"55,IMPORTRANGE(""https://docs.google.com/spreadsheets/d/14Bd19lYaqBhU8_DElYkX7l4wRkHqqCUFNJY4AfY3kHU/edit?usp=sharing  #gid=0"",""фіз особи new!relations_name_uo""),7,FALSE)
,
)
))"),"ПАНТУС Дмитро Олександрович")</f>
        <v>ПАНТУС Дмитро Олександрович</v>
      </c>
      <c r="G454" s="7" t="s">
        <v>10</v>
      </c>
      <c r="H454" s="7">
        <v>809</v>
      </c>
      <c r="I454" s="8" t="str">
        <f ca="1">IFERROR(__xludf.DUMMYFUNCTION("IF
(
G455=""фізична особа""
,
VLOOKUP(H455,IMPORTRANGE(""https://docs.google.com/spreadsheets/d/14Bd19lYaqBhU8_DElYkX7l4wRkHqqCUFNJY4AfY3kHU/edit?usp=sharing  #gid=0"",""фіз особи new!relations_name""),6,FALSE)
,
(IF
(
G455=""юридична особа""
,
VLOOKUP(H4"&amp;"55,IMPORTRANGE(""https://docs.google.com/spreadsheets/d/14Bd19lYaqBhU8_DElYkX7l4wRkHqqCUFNJY4AfY3kHU/edit?usp=sharing  #gid=0"",""фіз особи new!relations_name_uo""),7,FALSE)
,
)
))"),"РОССОЛАЙ В'ячеслав Євгенович")</f>
        <v>РОССОЛАЙ В'ячеслав Євгенович</v>
      </c>
      <c r="J454" s="7" t="s">
        <v>28</v>
      </c>
    </row>
    <row r="455" spans="1:10" ht="13.2">
      <c r="A455" s="7">
        <v>454</v>
      </c>
      <c r="B455" s="7">
        <v>1</v>
      </c>
      <c r="C455" s="7" t="s">
        <v>10</v>
      </c>
      <c r="D455" s="7">
        <v>173</v>
      </c>
      <c r="E455" s="7" t="s">
        <v>14</v>
      </c>
      <c r="F455" s="8" t="str">
        <f ca="1">IFERROR(__xludf.DUMMYFUNCTION("IF
(
C456=""фізична особа""
,
VLOOKUP(D456,IMPORTRANGE(""https://docs.google.com/spreadsheets/d/14Bd19lYaqBhU8_DElYkX7l4wRkHqqCUFNJY4AfY3kHU/edit?usp=sharing  #gid=0"",""фіз особи new!relations_name""),6,FALSE)
,
(IF
(
C456=""юридична особа""
,
VLOOKUP(D4"&amp;"56,IMPORTRANGE(""https://docs.google.com/spreadsheets/d/14Bd19lYaqBhU8_DElYkX7l4wRkHqqCUFNJY4AfY3kHU/edit?usp=sharing  #gid=0"",""фіз особи new!relations_name_uo""),7,FALSE)
,
)
))"),"ПЄВЦОВ Дмитро Анатолійович")</f>
        <v>ПЄВЦОВ Дмитро Анатолійович</v>
      </c>
      <c r="G455" s="7" t="s">
        <v>10</v>
      </c>
      <c r="H455" s="7">
        <v>5092</v>
      </c>
      <c r="I455" s="8" t="str">
        <f ca="1">IFERROR(__xludf.DUMMYFUNCTION("IF
(
G456=""фізична особа""
,
VLOOKUP(H456,IMPORTRANGE(""https://docs.google.com/spreadsheets/d/14Bd19lYaqBhU8_DElYkX7l4wRkHqqCUFNJY4AfY3kHU/edit?usp=sharing  #gid=0"",""фіз особи new!relations_name""),6,FALSE)
,
(IF
(
G456=""юридична особа""
,
VLOOKUP(H4"&amp;"56,IMPORTRANGE(""https://docs.google.com/spreadsheets/d/14Bd19lYaqBhU8_DElYkX7l4wRkHqqCUFNJY4AfY3kHU/edit?usp=sharing  #gid=0"",""фіз особи new!relations_name_uo""),7,FALSE)
,
)
))"),"ДРОЗДОВА Ольга Борисівна")</f>
        <v>ДРОЗДОВА Ольга Борисівна</v>
      </c>
      <c r="J455" s="7" t="s">
        <v>15</v>
      </c>
    </row>
    <row r="456" spans="1:10" ht="13.2">
      <c r="A456" s="7">
        <v>455</v>
      </c>
      <c r="B456" s="7">
        <v>1</v>
      </c>
      <c r="C456" s="7" t="s">
        <v>10</v>
      </c>
      <c r="D456" s="7">
        <v>173</v>
      </c>
      <c r="E456" s="7" t="s">
        <v>12</v>
      </c>
      <c r="F456" s="8" t="str">
        <f ca="1">IFERROR(__xludf.DUMMYFUNCTION("IF
(
C457=""фізична особа""
,
VLOOKUP(D457,IMPORTRANGE(""https://docs.google.com/spreadsheets/d/14Bd19lYaqBhU8_DElYkX7l4wRkHqqCUFNJY4AfY3kHU/edit?usp=sharing  #gid=0"",""фіз особи new!relations_name""),6,FALSE)
,
(IF
(
C457=""юридична особа""
,
VLOOKUP(D4"&amp;"57,IMPORTRANGE(""https://docs.google.com/spreadsheets/d/14Bd19lYaqBhU8_DElYkX7l4wRkHqqCUFNJY4AfY3kHU/edit?usp=sharing  #gid=0"",""фіз особи new!relations_name_uo""),7,FALSE)
,
)
))"),"ПЄВЦОВ Дмитро Анатолійович")</f>
        <v>ПЄВЦОВ Дмитро Анатолійович</v>
      </c>
      <c r="G456" s="7" t="s">
        <v>10</v>
      </c>
      <c r="H456" s="7">
        <v>0</v>
      </c>
      <c r="I456" s="8" t="str">
        <f ca="1">IFERROR(__xludf.DUMMYFUNCTION("IF
(
G457=""фізична особа""
,
VLOOKUP(H457,IMPORTRANGE(""https://docs.google.com/spreadsheets/d/14Bd19lYaqBhU8_DElYkX7l4wRkHqqCUFNJY4AfY3kHU/edit?usp=sharing  #gid=0"",""фіз особи new!relations_name""),6,FALSE)
,
(IF
(
G457=""юридична особа""
,
VLOOKUP(H4"&amp;"57,IMPORTRANGE(""https://docs.google.com/spreadsheets/d/14Bd19lYaqBhU8_DElYkX7l4wRkHqqCUFNJY4AfY3kHU/edit?usp=sharing  #gid=0"",""фіз особи new!relations_name_uo""),7,FALSE)
,
)
))"),"#N/A")</f>
        <v>#N/A</v>
      </c>
      <c r="J456" s="7" t="s">
        <v>17</v>
      </c>
    </row>
    <row r="457" spans="1:10" ht="13.2">
      <c r="A457" s="7">
        <v>456</v>
      </c>
      <c r="B457" s="7">
        <v>1</v>
      </c>
      <c r="C457" s="7" t="s">
        <v>10</v>
      </c>
      <c r="D457" s="7">
        <v>174</v>
      </c>
      <c r="E457" s="7" t="s">
        <v>28</v>
      </c>
      <c r="F457" s="8" t="str">
        <f ca="1">IFERROR(__xludf.DUMMYFUNCTION("IF
(
C458=""фізична особа""
,
VLOOKUP(D458,IMPORTRANGE(""https://docs.google.com/spreadsheets/d/14Bd19lYaqBhU8_DElYkX7l4wRkHqqCUFNJY4AfY3kHU/edit?usp=sharing  #gid=0"",""фіз особи new!relations_name""),6,FALSE)
,
(IF
(
C458=""юридична особа""
,
VLOOKUP(D4"&amp;"58,IMPORTRANGE(""https://docs.google.com/spreadsheets/d/14Bd19lYaqBhU8_DElYkX7l4wRkHqqCUFNJY4AfY3kHU/edit?usp=sharing  #gid=0"",""фіз особи new!relations_name_uo""),7,FALSE)
,
)
))"),"УТКІН Дмитро Валерійович")</f>
        <v>УТКІН Дмитро Валерійович</v>
      </c>
      <c r="G457" s="7" t="s">
        <v>10</v>
      </c>
      <c r="H457" s="7">
        <v>602</v>
      </c>
      <c r="I457" s="8" t="str">
        <f ca="1">IFERROR(__xludf.DUMMYFUNCTION("IF
(
G458=""фізична особа""
,
VLOOKUP(H458,IMPORTRANGE(""https://docs.google.com/spreadsheets/d/14Bd19lYaqBhU8_DElYkX7l4wRkHqqCUFNJY4AfY3kHU/edit?usp=sharing  #gid=0"",""фіз особи new!relations_name""),6,FALSE)
,
(IF
(
G458=""юридична особа""
,
VLOOKUP(H4"&amp;"58,IMPORTRANGE(""https://docs.google.com/spreadsheets/d/14Bd19lYaqBhU8_DElYkX7l4wRkHqqCUFNJY4AfY3kHU/edit?usp=sharing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J457" s="7" t="s">
        <v>29</v>
      </c>
    </row>
    <row r="458" spans="1:10" ht="13.2">
      <c r="A458" s="7">
        <v>457</v>
      </c>
      <c r="B458" s="7">
        <v>1</v>
      </c>
      <c r="C458" s="7" t="s">
        <v>10</v>
      </c>
      <c r="D458" s="7">
        <v>175</v>
      </c>
      <c r="E458" s="7" t="s">
        <v>17</v>
      </c>
      <c r="F458" s="8" t="str">
        <f ca="1">IFERROR(__xludf.DUMMYFUNCTION("IF
(
C459=""фізична особа""
,
VLOOKUP(D459,IMPORTRANGE(""https://docs.google.com/spreadsheets/d/14Bd19lYaqBhU8_DElYkX7l4wRkHqqCUFNJY4AfY3kHU/edit?usp=sharing  #gid=0"",""фіз особи new!relations_name""),6,FALSE)
,
(IF
(
C459=""юридична особа""
,
VLOOKUP(D4"&amp;"59,IMPORTRANGE(""https://docs.google.com/spreadsheets/d/14Bd19lYaqBhU8_DElYkX7l4wRkHqqCUFNJY4AfY3kHU/edit?usp=sharing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58" s="7" t="s">
        <v>10</v>
      </c>
      <c r="H458" s="7">
        <v>0</v>
      </c>
      <c r="I458" s="8" t="str">
        <f ca="1">IFERROR(__xludf.DUMMYFUNCTION("IF
(
G459=""фізична особа""
,
VLOOKUP(H459,IMPORTRANGE(""https://docs.google.com/spreadsheets/d/14Bd19lYaqBhU8_DElYkX7l4wRkHqqCUFNJY4AfY3kHU/edit?usp=sharing  #gid=0"",""фіз особи new!relations_name""),6,FALSE)
,
(IF
(
G459=""юридична особа""
,
VLOOKUP(H4"&amp;"59,IMPORTRANGE(""https://docs.google.com/spreadsheets/d/14Bd19lYaqBhU8_DElYkX7l4wRkHqqCUFNJY4AfY3kHU/edit?usp=sharing  #gid=0"",""фіз особи new!relations_name_uo""),7,FALSE)
,
)
))"),"#N/A")</f>
        <v>#N/A</v>
      </c>
      <c r="J458" s="7" t="s">
        <v>21</v>
      </c>
    </row>
    <row r="459" spans="1:10" ht="13.2">
      <c r="A459" s="7">
        <v>458</v>
      </c>
      <c r="B459" s="7">
        <v>1</v>
      </c>
      <c r="C459" s="7" t="s">
        <v>10</v>
      </c>
      <c r="D459" s="7">
        <v>175</v>
      </c>
      <c r="E459" s="7" t="s">
        <v>17</v>
      </c>
      <c r="F459" s="8" t="str">
        <f ca="1">IFERROR(__xludf.DUMMYFUNCTION("IF
(
C460=""фізична особа""
,
VLOOKUP(D460,IMPORTRANGE(""https://docs.google.com/spreadsheets/d/14Bd19lYaqBhU8_DElYkX7l4wRkHqqCUFNJY4AfY3kHU/edit?usp=sharing  #gid=0"",""фіз особи new!relations_name""),6,FALSE)
,
(IF
(
C460=""юридична особа""
,
VLOOKUP(D4"&amp;"60,IMPORTRANGE(""https://docs.google.com/spreadsheets/d/14Bd19lYaqBhU8_DElYkX7l4wRkHqqCUFNJY4AfY3kHU/edit?usp=sharing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59" s="7" t="s">
        <v>10</v>
      </c>
      <c r="H459" s="7">
        <v>0</v>
      </c>
      <c r="I459" s="8" t="str">
        <f ca="1">IFERROR(__xludf.DUMMYFUNCTION("IF
(
G460=""фізична особа""
,
VLOOKUP(H460,IMPORTRANGE(""https://docs.google.com/spreadsheets/d/14Bd19lYaqBhU8_DElYkX7l4wRkHqqCUFNJY4AfY3kHU/edit?usp=sharing  #gid=0"",""фіз особи new!relations_name""),6,FALSE)
,
(IF
(
G460=""юридична особа""
,
VLOOKUP(H4"&amp;"60,IMPORTRANGE(""https://docs.google.com/spreadsheets/d/14Bd19lYaqBhU8_DElYkX7l4wRkHqqCUFNJY4AfY3kHU/edit?usp=sharing  #gid=0"",""фіз особи new!relations_name_uo""),7,FALSE)
,
)
))"),"#N/A")</f>
        <v>#N/A</v>
      </c>
      <c r="J459" s="7" t="s">
        <v>12</v>
      </c>
    </row>
    <row r="460" spans="1:10" ht="13.2">
      <c r="A460" s="7">
        <v>459</v>
      </c>
      <c r="B460" s="7">
        <v>1</v>
      </c>
      <c r="C460" s="7" t="s">
        <v>10</v>
      </c>
      <c r="D460" s="7">
        <v>175</v>
      </c>
      <c r="E460" s="7" t="s">
        <v>18</v>
      </c>
      <c r="F460" s="8" t="str">
        <f ca="1">IFERROR(__xludf.DUMMYFUNCTION("IF
(
C461=""фізична особа""
,
VLOOKUP(D461,IMPORTRANGE(""https://docs.google.com/spreadsheets/d/14Bd19lYaqBhU8_DElYkX7l4wRkHqqCUFNJY4AfY3kHU/edit?usp=sharing  #gid=0"",""фіз особи new!relations_name""),6,FALSE)
,
(IF
(
C461=""юридична особа""
,
VLOOKUP(D4"&amp;"61,IMPORTRANGE(""https://docs.google.com/spreadsheets/d/14Bd19lYaqBhU8_DElYkX7l4wRkHqqCUFNJY4AfY3kHU/edit?usp=sharing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60" s="7" t="s">
        <v>10</v>
      </c>
      <c r="H460" s="7">
        <v>2929</v>
      </c>
      <c r="I460" s="8" t="str">
        <f ca="1">IFERROR(__xludf.DUMMYFUNCTION("IF
(
G461=""фізична особа""
,
VLOOKUP(H461,IMPORTRANGE(""https://docs.google.com/spreadsheets/d/14Bd19lYaqBhU8_DElYkX7l4wRkHqqCUFNJY4AfY3kHU/edit?usp=sharing  #gid=0"",""фіз особи new!relations_name""),6,FALSE)
,
(IF
(
G461=""юридична особа""
,
VLOOKUP(H4"&amp;"61,IMPORTRANGE(""https://docs.google.com/spreadsheets/d/14Bd19lYaqBhU8_DElYkX7l4wRkHqqCUFNJY4AfY3kHU/edit?usp=sharing  #gid=0"",""фіз особи new!relations_name_uo""),7,FALSE)
,
)
))"),"ГРИГОРЕНКО Сергій Юрійович")</f>
        <v>ГРИГОРЕНКО Сергій Юрійович</v>
      </c>
      <c r="J460" s="7" t="s">
        <v>18</v>
      </c>
    </row>
    <row r="461" spans="1:10" ht="13.2">
      <c r="A461" s="7">
        <v>460</v>
      </c>
      <c r="B461" s="7">
        <v>1</v>
      </c>
      <c r="C461" s="7" t="s">
        <v>10</v>
      </c>
      <c r="D461" s="7">
        <v>175</v>
      </c>
      <c r="E461" s="7" t="s">
        <v>29</v>
      </c>
      <c r="F461" s="8" t="str">
        <f ca="1">IFERROR(__xludf.DUMMYFUNCTION("IF
(
C462=""фізична особа""
,
VLOOKUP(D462,IMPORTRANGE(""https://docs.google.com/spreadsheets/d/14Bd19lYaqBhU8_DElYkX7l4wRkHqqCUFNJY4AfY3kHU/edit?usp=sharing  #gid=0"",""фіз особи new!relations_name""),6,FALSE)
,
(IF
(
C462=""юридична особа""
,
VLOOKUP(D4"&amp;"62,IMPORTRANGE(""https://docs.google.com/spreadsheets/d/14Bd19lYaqBhU8_DElYkX7l4wRkHqqCUFNJY4AfY3kHU/edit?usp=sharing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61" s="7" t="s">
        <v>10</v>
      </c>
      <c r="H461" s="7">
        <v>12895</v>
      </c>
      <c r="I461" s="8" t="str">
        <f ca="1">IFERROR(__xludf.DUMMYFUNCTION("IF
(
G462=""фізична особа""
,
VLOOKUP(H462,IMPORTRANGE(""https://docs.google.com/spreadsheets/d/14Bd19lYaqBhU8_DElYkX7l4wRkHqqCUFNJY4AfY3kHU/edit?usp=sharing  #gid=0"",""фіз особи new!relations_name""),6,FALSE)
,
(IF
(
G462=""юридична особа""
,
VLOOKUP(H4"&amp;"62,IMPORTRANGE(""https://docs.google.com/spreadsheets/d/14Bd19lYaqBhU8_DElYkX7l4wRkHqqCUFNJY4AfY3kHU/edit?usp=sharing  #gid=0"",""фіз особи new!relations_name_uo""),7,FALSE)
,
)
))"),"ЛЄВІН Леонід Леонідович")</f>
        <v>ЛЄВІН Леонід Леонідович</v>
      </c>
      <c r="J461" s="7" t="s">
        <v>28</v>
      </c>
    </row>
    <row r="462" spans="1:10" ht="13.2">
      <c r="A462" s="7">
        <v>461</v>
      </c>
      <c r="B462" s="7">
        <v>1</v>
      </c>
      <c r="C462" s="7" t="s">
        <v>10</v>
      </c>
      <c r="D462" s="7">
        <v>175</v>
      </c>
      <c r="E462" s="7" t="s">
        <v>29</v>
      </c>
      <c r="F462" s="8" t="str">
        <f ca="1">IFERROR(__xludf.DUMMYFUNCTION("IF
(
C463=""фізична особа""
,
VLOOKUP(D463,IMPORTRANGE(""https://docs.google.com/spreadsheets/d/14Bd19lYaqBhU8_DElYkX7l4wRkHqqCUFNJY4AfY3kHU/edit?usp=sharing  #gid=0"",""фіз особи new!relations_name""),6,FALSE)
,
(IF
(
C463=""юридична особа""
,
VLOOKUP(D4"&amp;"63,IMPORTRANGE(""https://docs.google.com/spreadsheets/d/14Bd19lYaqBhU8_DElYkX7l4wRkHqqCUFNJY4AfY3kHU/edit?usp=sharing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62" s="7" t="s">
        <v>10</v>
      </c>
      <c r="H462" s="7">
        <v>3381</v>
      </c>
      <c r="I462" s="8" t="str">
        <f ca="1">IFERROR(__xludf.DUMMYFUNCTION("IF
(
G463=""фізична особа""
,
VLOOKUP(H463,IMPORTRANGE(""https://docs.google.com/spreadsheets/d/14Bd19lYaqBhU8_DElYkX7l4wRkHqqCUFNJY4AfY3kHU/edit?usp=sharing  #gid=0"",""фіз особи new!relations_name""),6,FALSE)
,
(IF
(
G463=""юридична особа""
,
VLOOKUP(H4"&amp;"63,IMPORTRANGE(""https://docs.google.com/spreadsheets/d/14Bd19lYaqBhU8_DElYkX7l4wRkHqqCUFNJY4AfY3kHU/edit?usp=sharing  #gid=0"",""фіз особи new!relations_name_uo""),7,FALSE)
,
)
))"),"УВАРОВ Олексій Костянтинович")</f>
        <v>УВАРОВ Олексій Костянтинович</v>
      </c>
      <c r="J462" s="7" t="s">
        <v>28</v>
      </c>
    </row>
    <row r="463" spans="1:10" ht="13.2">
      <c r="A463" s="7">
        <v>462</v>
      </c>
      <c r="B463" s="7">
        <v>1</v>
      </c>
      <c r="C463" s="7" t="s">
        <v>10</v>
      </c>
      <c r="D463" s="7">
        <v>175</v>
      </c>
      <c r="E463" s="7" t="s">
        <v>29</v>
      </c>
      <c r="F463" s="8" t="str">
        <f ca="1">IFERROR(__xludf.DUMMYFUNCTION("IF
(
C464=""фізична особа""
,
VLOOKUP(D464,IMPORTRANGE(""https://docs.google.com/spreadsheets/d/14Bd19lYaqBhU8_DElYkX7l4wRkHqqCUFNJY4AfY3kHU/edit?usp=sharing  #gid=0"",""фіз особи new!relations_name""),6,FALSE)
,
(IF
(
C464=""юридична особа""
,
VLOOKUP(D4"&amp;"64,IMPORTRANGE(""https://docs.google.com/spreadsheets/d/14Bd19lYaqBhU8_DElYkX7l4wRkHqqCUFNJY4AfY3kHU/edit?usp=sharing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63" s="7" t="s">
        <v>10</v>
      </c>
      <c r="H463" s="7">
        <v>4789</v>
      </c>
      <c r="I463" s="8" t="str">
        <f ca="1">IFERROR(__xludf.DUMMYFUNCTION("IF
(
G464=""фізична особа""
,
VLOOKUP(H464,IMPORTRANGE(""https://docs.google.com/spreadsheets/d/14Bd19lYaqBhU8_DElYkX7l4wRkHqqCUFNJY4AfY3kHU/edit?usp=sharing  #gid=0"",""фіз особи new!relations_name""),6,FALSE)
,
(IF
(
G464=""юридична особа""
,
VLOOKUP(H4"&amp;"64,IMPORTRANGE(""https://docs.google.com/spreadsheets/d/14Bd19lYaqBhU8_DElYkX7l4wRkHqqCUFNJY4AfY3kHU/edit?usp=sharing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463" s="7" t="s">
        <v>28</v>
      </c>
    </row>
    <row r="464" spans="1:10" ht="13.2">
      <c r="A464" s="7">
        <v>463</v>
      </c>
      <c r="B464" s="7">
        <v>1</v>
      </c>
      <c r="C464" s="7" t="s">
        <v>10</v>
      </c>
      <c r="D464" s="7">
        <v>175</v>
      </c>
      <c r="E464" s="7" t="s">
        <v>28</v>
      </c>
      <c r="F464" s="8" t="str">
        <f ca="1">IFERROR(__xludf.DUMMYFUNCTION("IF
(
C465=""фізична особа""
,
VLOOKUP(D465,IMPORTRANGE(""https://docs.google.com/spreadsheets/d/14Bd19lYaqBhU8_DElYkX7l4wRkHqqCUFNJY4AfY3kHU/edit?usp=sharing  #gid=0"",""фіз особи new!relations_name""),6,FALSE)
,
(IF
(
C465=""юридична особа""
,
VLOOKUP(D4"&amp;"65,IMPORTRANGE(""https://docs.google.com/spreadsheets/d/14Bd19lYaqBhU8_DElYkX7l4wRkHqqCUFNJY4AfY3kHU/edit?usp=sharing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G464" s="7" t="s">
        <v>10</v>
      </c>
      <c r="H464" s="7">
        <v>460</v>
      </c>
      <c r="I464" s="8" t="str">
        <f ca="1">IFERROR(__xludf.DUMMYFUNCTION("IF
(
G465=""фізична особа""
,
VLOOKUP(H465,IMPORTRANGE(""https://docs.google.com/spreadsheets/d/14Bd19lYaqBhU8_DElYkX7l4wRkHqqCUFNJY4AfY3kHU/edit?usp=sharing  #gid=0"",""фіз особи new!relations_name""),6,FALSE)
,
(IF
(
G465=""юридична особа""
,
VLOOKUP(H4"&amp;"65,IMPORTRANGE(""https://docs.google.com/spreadsheets/d/14Bd19lYaqBhU8_DElYkX7l4wRkHqqCUFNJY4AfY3kHU/edit?usp=sharing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64" s="7" t="s">
        <v>29</v>
      </c>
    </row>
    <row r="465" spans="1:10" ht="13.2">
      <c r="A465" s="7">
        <v>464</v>
      </c>
      <c r="B465" s="7">
        <v>1</v>
      </c>
      <c r="C465" s="7" t="s">
        <v>10</v>
      </c>
      <c r="D465" s="7">
        <v>176</v>
      </c>
      <c r="E465" s="7" t="s">
        <v>30</v>
      </c>
      <c r="F465" s="8" t="str">
        <f ca="1">IFERROR(__xludf.DUMMYFUNCTION("IF
(
C466=""фізична особа""
,
VLOOKUP(D466,IMPORTRANGE(""https://docs.google.com/spreadsheets/d/14Bd19lYaqBhU8_DElYkX7l4wRkHqqCUFNJY4AfY3kHU/edit?usp=sharing  #gid=0"",""фіз особи new!relations_name""),6,FALSE)
,
(IF
(
C466=""юридична особа""
,
VLOOKUP(D4"&amp;"66,IMPORTRANGE(""https://docs.google.com/spreadsheets/d/14Bd19lYaqBhU8_DElYkX7l4wRkHqqCUFNJY4AfY3kHU/edit?usp=sharing  #gid=0"",""фіз особи new!relations_name_uo""),7,FALSE)
,
)
))"),"НОВІКОВ Дмитро Георгійович")</f>
        <v>НОВІКОВ Дмитро Георгійович</v>
      </c>
      <c r="G465" s="7" t="s">
        <v>10</v>
      </c>
      <c r="H465" s="7">
        <v>0</v>
      </c>
      <c r="I465" s="8" t="str">
        <f ca="1">IFERROR(__xludf.DUMMYFUNCTION("IF
(
G466=""фізична особа""
,
VLOOKUP(H466,IMPORTRANGE(""https://docs.google.com/spreadsheets/d/14Bd19lYaqBhU8_DElYkX7l4wRkHqqCUFNJY4AfY3kHU/edit?usp=sharing  #gid=0"",""фіз особи new!relations_name""),6,FALSE)
,
(IF
(
G466=""юридична особа""
,
VLOOKUP(H4"&amp;"66,IMPORTRANGE(""https://docs.google.com/spreadsheets/d/14Bd19lYaqBhU8_DElYkX7l4wRkHqqCUFNJY4AfY3kHU/edit?usp=sharing  #gid=0"",""фіз особи new!relations_name_uo""),7,FALSE)
,
)
))"),"#N/A")</f>
        <v>#N/A</v>
      </c>
      <c r="J465" s="7" t="s">
        <v>30</v>
      </c>
    </row>
    <row r="466" spans="1:10" ht="13.2">
      <c r="A466" s="7">
        <v>465</v>
      </c>
      <c r="B466" s="7">
        <v>1</v>
      </c>
      <c r="C466" s="7" t="s">
        <v>10</v>
      </c>
      <c r="D466" s="7">
        <v>176</v>
      </c>
      <c r="E466" s="7" t="s">
        <v>30</v>
      </c>
      <c r="F466" s="8" t="str">
        <f ca="1">IFERROR(__xludf.DUMMYFUNCTION("IF
(
C467=""фізична особа""
,
VLOOKUP(D467,IMPORTRANGE(""https://docs.google.com/spreadsheets/d/14Bd19lYaqBhU8_DElYkX7l4wRkHqqCUFNJY4AfY3kHU/edit?usp=sharing  #gid=0"",""фіз особи new!relations_name""),6,FALSE)
,
(IF
(
C467=""юридична особа""
,
VLOOKUP(D4"&amp;"67,IMPORTRANGE(""https://docs.google.com/spreadsheets/d/14Bd19lYaqBhU8_DElYkX7l4wRkHqqCUFNJY4AfY3kHU/edit?usp=sharing  #gid=0"",""фіз особи new!relations_name_uo""),7,FALSE)
,
)
))"),"НОВІКОВ Дмитро Георгійович")</f>
        <v>НОВІКОВ Дмитро Георгійович</v>
      </c>
      <c r="G466" s="7" t="s">
        <v>10</v>
      </c>
      <c r="H466" s="7">
        <v>0</v>
      </c>
      <c r="I466" s="8" t="str">
        <f ca="1">IFERROR(__xludf.DUMMYFUNCTION("IF
(
G467=""фізична особа""
,
VLOOKUP(H467,IMPORTRANGE(""https://docs.google.com/spreadsheets/d/14Bd19lYaqBhU8_DElYkX7l4wRkHqqCUFNJY4AfY3kHU/edit?usp=sharing  #gid=0"",""фіз особи new!relations_name""),6,FALSE)
,
(IF
(
G467=""юридична особа""
,
VLOOKUP(H4"&amp;"67,IMPORTRANGE(""https://docs.google.com/spreadsheets/d/14Bd19lYaqBhU8_DElYkX7l4wRkHqqCUFNJY4AfY3kHU/edit?usp=sharing  #gid=0"",""фіз особи new!relations_name_uo""),7,FALSE)
,
)
))"),"#N/A")</f>
        <v>#N/A</v>
      </c>
      <c r="J466" s="7" t="s">
        <v>30</v>
      </c>
    </row>
    <row r="467" spans="1:10" ht="13.2">
      <c r="A467" s="7">
        <v>466</v>
      </c>
      <c r="B467" s="7">
        <v>1</v>
      </c>
      <c r="C467" s="7" t="s">
        <v>10</v>
      </c>
      <c r="D467" s="7">
        <v>177</v>
      </c>
      <c r="E467" s="7" t="s">
        <v>14</v>
      </c>
      <c r="F467" s="8" t="str">
        <f ca="1">IFERROR(__xludf.DUMMYFUNCTION("IF
(
C468=""фізична особа""
,
VLOOKUP(D468,IMPORTRANGE(""https://docs.google.com/spreadsheets/d/14Bd19lYaqBhU8_DElYkX7l4wRkHqqCUFNJY4AfY3kHU/edit?usp=sharing  #gid=0"",""фіз особи new!relations_name""),6,FALSE)
,
(IF
(
C468=""юридична особа""
,
VLOOKUP(D4"&amp;"68,IMPORTRANGE(""https://docs.google.com/spreadsheets/d/14Bd19lYaqBhU8_DElYkX7l4wRkHqqCUFNJY4AfY3kHU/edit?usp=sharing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67" s="7" t="s">
        <v>10</v>
      </c>
      <c r="H467" s="7">
        <v>0</v>
      </c>
      <c r="I467" s="8" t="str">
        <f ca="1">IFERROR(__xludf.DUMMYFUNCTION("IF
(
G468=""фізична особа""
,
VLOOKUP(H468,IMPORTRANGE(""https://docs.google.com/spreadsheets/d/14Bd19lYaqBhU8_DElYkX7l4wRkHqqCUFNJY4AfY3kHU/edit?usp=sharing  #gid=0"",""фіз особи new!relations_name""),6,FALSE)
,
(IF
(
G468=""юридична особа""
,
VLOOKUP(H4"&amp;"68,IMPORTRANGE(""https://docs.google.com/spreadsheets/d/14Bd19lYaqBhU8_DElYkX7l4wRkHqqCUFNJY4AfY3kHU/edit?usp=sharing  #gid=0"",""фіз особи new!relations_name_uo""),7,FALSE)
,
)
))"),"#N/A")</f>
        <v>#N/A</v>
      </c>
      <c r="J467" s="7" t="s">
        <v>15</v>
      </c>
    </row>
    <row r="468" spans="1:10" ht="13.2">
      <c r="A468" s="7">
        <v>467</v>
      </c>
      <c r="B468" s="7">
        <v>1</v>
      </c>
      <c r="C468" s="7" t="s">
        <v>10</v>
      </c>
      <c r="D468" s="7">
        <v>177</v>
      </c>
      <c r="E468" s="7" t="s">
        <v>17</v>
      </c>
      <c r="F468" s="8" t="str">
        <f ca="1">IFERROR(__xludf.DUMMYFUNCTION("IF
(
C469=""фізична особа""
,
VLOOKUP(D469,IMPORTRANGE(""https://docs.google.com/spreadsheets/d/14Bd19lYaqBhU8_DElYkX7l4wRkHqqCUFNJY4AfY3kHU/edit?usp=sharing  #gid=0"",""фіз особи new!relations_name""),6,FALSE)
,
(IF
(
C469=""юридична особа""
,
VLOOKUP(D4"&amp;"69,IMPORTRANGE(""https://docs.google.com/spreadsheets/d/14Bd19lYaqBhU8_DElYkX7l4wRkHqqCUFNJY4AfY3kHU/edit?usp=sharing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68" s="7" t="s">
        <v>10</v>
      </c>
      <c r="H468" s="7">
        <v>1017</v>
      </c>
      <c r="I468" s="8" t="str">
        <f ca="1">IFERROR(__xludf.DUMMYFUNCTION("IF
(
G469=""фізична особа""
,
VLOOKUP(H469,IMPORTRANGE(""https://docs.google.com/spreadsheets/d/14Bd19lYaqBhU8_DElYkX7l4wRkHqqCUFNJY4AfY3kHU/edit?usp=sharing  #gid=0"",""фіз особи new!relations_name""),6,FALSE)
,
(IF
(
G469=""юридична особа""
,
VLOOKUP(H4"&amp;"69,IMPORTRANGE(""https://docs.google.com/spreadsheets/d/14Bd19lYaqBhU8_DElYkX7l4wRkHqqCUFNJY4AfY3kHU/edit?usp=sharing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468" s="7" t="s">
        <v>12</v>
      </c>
    </row>
    <row r="469" spans="1:10" ht="13.2">
      <c r="A469" s="7">
        <v>468</v>
      </c>
      <c r="B469" s="7">
        <v>1</v>
      </c>
      <c r="C469" s="7" t="s">
        <v>10</v>
      </c>
      <c r="D469" s="7">
        <v>177</v>
      </c>
      <c r="E469" s="7" t="s">
        <v>18</v>
      </c>
      <c r="F469" s="8" t="str">
        <f ca="1">IFERROR(__xludf.DUMMYFUNCTION("IF
(
C470=""фізична особа""
,
VLOOKUP(D470,IMPORTRANGE(""https://docs.google.com/spreadsheets/d/14Bd19lYaqBhU8_DElYkX7l4wRkHqqCUFNJY4AfY3kHU/edit?usp=sharing  #gid=0"",""фіз особи new!relations_name""),6,FALSE)
,
(IF
(
C470=""юридична особа""
,
VLOOKUP(D4"&amp;"70,IMPORTRANGE(""https://docs.google.com/spreadsheets/d/14Bd19lYaqBhU8_DElYkX7l4wRkHqqCUFNJY4AfY3kHU/edit?usp=sharing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69" s="7" t="s">
        <v>10</v>
      </c>
      <c r="H469" s="7">
        <v>824</v>
      </c>
      <c r="I469" s="8" t="str">
        <f ca="1">IFERROR(__xludf.DUMMYFUNCTION("IF
(
G470=""фізична особа""
,
VLOOKUP(H470,IMPORTRANGE(""https://docs.google.com/spreadsheets/d/14Bd19lYaqBhU8_DElYkX7l4wRkHqqCUFNJY4AfY3kHU/edit?usp=sharing  #gid=0"",""фіз особи new!relations_name""),6,FALSE)
,
(IF
(
G470=""юридична особа""
,
VLOOKUP(H4"&amp;"70,IMPORTRANGE(""https://docs.google.com/spreadsheets/d/14Bd19lYaqBhU8_DElYkX7l4wRkHqqCUFNJY4AfY3kHU/edit?usp=sharing  #gid=0"",""фіз особи new!relations_name_uo""),7,FALSE)
,
)
))"),"ЛУКАШЕНКО Віктор Олександрович")</f>
        <v>ЛУКАШЕНКО Віктор Олександрович</v>
      </c>
      <c r="J469" s="7" t="s">
        <v>18</v>
      </c>
    </row>
    <row r="470" spans="1:10" ht="13.2">
      <c r="A470" s="7">
        <v>469</v>
      </c>
      <c r="B470" s="7">
        <v>1</v>
      </c>
      <c r="C470" s="7" t="s">
        <v>10</v>
      </c>
      <c r="D470" s="7">
        <v>177</v>
      </c>
      <c r="E470" s="7" t="s">
        <v>12</v>
      </c>
      <c r="F470" s="8" t="str">
        <f ca="1">IFERROR(__xludf.DUMMYFUNCTION("IF
(
C471=""фізична особа""
,
VLOOKUP(D471,IMPORTRANGE(""https://docs.google.com/spreadsheets/d/14Bd19lYaqBhU8_DElYkX7l4wRkHqqCUFNJY4AfY3kHU/edit?usp=sharing  #gid=0"",""фіз особи new!relations_name""),6,FALSE)
,
(IF
(
C471=""юридична особа""
,
VLOOKUP(D4"&amp;"71,IMPORTRANGE(""https://docs.google.com/spreadsheets/d/14Bd19lYaqBhU8_DElYkX7l4wRkHqqCUFNJY4AfY3kHU/edit?usp=sharing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70" s="7" t="s">
        <v>10</v>
      </c>
      <c r="H470" s="7">
        <v>0</v>
      </c>
      <c r="I470" s="8" t="str">
        <f ca="1">IFERROR(__xludf.DUMMYFUNCTION("IF
(
G471=""фізична особа""
,
VLOOKUP(H471,IMPORTRANGE(""https://docs.google.com/spreadsheets/d/14Bd19lYaqBhU8_DElYkX7l4wRkHqqCUFNJY4AfY3kHU/edit?usp=sharing  #gid=0"",""фіз особи new!relations_name""),6,FALSE)
,
(IF
(
G471=""юридична особа""
,
VLOOKUP(H4"&amp;"71,IMPORTRANGE(""https://docs.google.com/spreadsheets/d/14Bd19lYaqBhU8_DElYkX7l4wRkHqqCUFNJY4AfY3kHU/edit?usp=sharing  #gid=0"",""фіз особи new!relations_name_uo""),7,FALSE)
,
)
))"),"#N/A")</f>
        <v>#N/A</v>
      </c>
      <c r="J470" s="7" t="s">
        <v>13</v>
      </c>
    </row>
    <row r="471" spans="1:10" ht="13.2">
      <c r="A471" s="7">
        <v>470</v>
      </c>
      <c r="B471" s="7">
        <v>1</v>
      </c>
      <c r="C471" s="7" t="s">
        <v>10</v>
      </c>
      <c r="D471" s="7">
        <v>177</v>
      </c>
      <c r="E471" s="7" t="s">
        <v>12</v>
      </c>
      <c r="F471" s="8" t="str">
        <f ca="1">IFERROR(__xludf.DUMMYFUNCTION("IF
(
C472=""фізична особа""
,
VLOOKUP(D472,IMPORTRANGE(""https://docs.google.com/spreadsheets/d/14Bd19lYaqBhU8_DElYkX7l4wRkHqqCUFNJY4AfY3kHU/edit?usp=sharing  #gid=0"",""фіз особи new!relations_name""),6,FALSE)
,
(IF
(
C472=""юридична особа""
,
VLOOKUP(D4"&amp;"72,IMPORTRANGE(""https://docs.google.com/spreadsheets/d/14Bd19lYaqBhU8_DElYkX7l4wRkHqqCUFNJY4AfY3kHU/edit?usp=sharing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71" s="7" t="s">
        <v>10</v>
      </c>
      <c r="H471" s="7">
        <v>0</v>
      </c>
      <c r="I471" s="8" t="str">
        <f ca="1">IFERROR(__xludf.DUMMYFUNCTION("IF
(
G472=""фізична особа""
,
VLOOKUP(H472,IMPORTRANGE(""https://docs.google.com/spreadsheets/d/14Bd19lYaqBhU8_DElYkX7l4wRkHqqCUFNJY4AfY3kHU/edit?usp=sharing  #gid=0"",""фіз особи new!relations_name""),6,FALSE)
,
(IF
(
G472=""юридична особа""
,
VLOOKUP(H4"&amp;"72,IMPORTRANGE(""https://docs.google.com/spreadsheets/d/14Bd19lYaqBhU8_DElYkX7l4wRkHqqCUFNJY4AfY3kHU/edit?usp=sharing  #gid=0"",""фіз особи new!relations_name_uo""),7,FALSE)
,
)
))"),"#N/A")</f>
        <v>#N/A</v>
      </c>
      <c r="J471" s="7" t="s">
        <v>13</v>
      </c>
    </row>
    <row r="472" spans="1:10" ht="13.2">
      <c r="A472" s="7">
        <v>471</v>
      </c>
      <c r="B472" s="7">
        <v>1</v>
      </c>
      <c r="C472" s="7" t="s">
        <v>10</v>
      </c>
      <c r="D472" s="7">
        <v>177</v>
      </c>
      <c r="E472" s="7" t="s">
        <v>12</v>
      </c>
      <c r="F472" s="8" t="str">
        <f ca="1">IFERROR(__xludf.DUMMYFUNCTION("IF
(
C473=""фізична особа""
,
VLOOKUP(D473,IMPORTRANGE(""https://docs.google.com/spreadsheets/d/14Bd19lYaqBhU8_DElYkX7l4wRkHqqCUFNJY4AfY3kHU/edit?usp=sharing  #gid=0"",""фіз особи new!relations_name""),6,FALSE)
,
(IF
(
C473=""юридична особа""
,
VLOOKUP(D4"&amp;"73,IMPORTRANGE(""https://docs.google.com/spreadsheets/d/14Bd19lYaqBhU8_DElYkX7l4wRkHqqCUFNJY4AfY3kHU/edit?usp=sharing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72" s="7" t="s">
        <v>10</v>
      </c>
      <c r="H472" s="7">
        <v>0</v>
      </c>
      <c r="I472" s="8" t="str">
        <f ca="1">IFERROR(__xludf.DUMMYFUNCTION("IF
(
G473=""фізична особа""
,
VLOOKUP(H473,IMPORTRANGE(""https://docs.google.com/spreadsheets/d/14Bd19lYaqBhU8_DElYkX7l4wRkHqqCUFNJY4AfY3kHU/edit?usp=sharing  #gid=0"",""фіз особи new!relations_name""),6,FALSE)
,
(IF
(
G473=""юридична особа""
,
VLOOKUP(H4"&amp;"73,IMPORTRANGE(""https://docs.google.com/spreadsheets/d/14Bd19lYaqBhU8_DElYkX7l4wRkHqqCUFNJY4AfY3kHU/edit?usp=sharing  #gid=0"",""фіз особи new!relations_name_uo""),7,FALSE)
,
)
))"),"#N/A")</f>
        <v>#N/A</v>
      </c>
      <c r="J472" s="7" t="s">
        <v>13</v>
      </c>
    </row>
    <row r="473" spans="1:10" ht="13.2">
      <c r="A473" s="7">
        <v>472</v>
      </c>
      <c r="B473" s="7">
        <v>1</v>
      </c>
      <c r="C473" s="7" t="s">
        <v>10</v>
      </c>
      <c r="D473" s="7">
        <v>177</v>
      </c>
      <c r="E473" s="7" t="s">
        <v>17</v>
      </c>
      <c r="F473" s="8" t="str">
        <f ca="1">IFERROR(__xludf.DUMMYFUNCTION("IF
(
C474=""фізична особа""
,
VLOOKUP(D474,IMPORTRANGE(""https://docs.google.com/spreadsheets/d/14Bd19lYaqBhU8_DElYkX7l4wRkHqqCUFNJY4AfY3kHU/edit?usp=sharing  #gid=0"",""фіз особи new!relations_name""),6,FALSE)
,
(IF
(
C474=""юридична особа""
,
VLOOKUP(D4"&amp;"74,IMPORTRANGE(""https://docs.google.com/spreadsheets/d/14Bd19lYaqBhU8_DElYkX7l4wRkHqqCUFNJY4AfY3kHU/edit?usp=sharing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G473" s="7" t="s">
        <v>10</v>
      </c>
      <c r="H473" s="7">
        <v>1018</v>
      </c>
      <c r="I473" s="8" t="str">
        <f ca="1">IFERROR(__xludf.DUMMYFUNCTION("IF
(
G474=""фізична особа""
,
VLOOKUP(H474,IMPORTRANGE(""https://docs.google.com/spreadsheets/d/14Bd19lYaqBhU8_DElYkX7l4wRkHqqCUFNJY4AfY3kHU/edit?usp=sharing  #gid=0"",""фіз особи new!relations_name""),6,FALSE)
,
(IF
(
G474=""юридична особа""
,
VLOOKUP(H4"&amp;"74,IMPORTRANGE(""https://docs.google.com/spreadsheets/d/14Bd19lYaqBhU8_DElYkX7l4wRkHqqCUFNJY4AfY3kHU/edit?usp=sharing  #gid=0"",""фіз особи new!relations_name_uo""),7,FALSE)
,
)
))"),"ЛУКАШЕНКО Галина Родіонівна")</f>
        <v>ЛУКАШЕНКО Галина Родіонівна</v>
      </c>
      <c r="J473" s="7" t="s">
        <v>21</v>
      </c>
    </row>
    <row r="474" spans="1:10" ht="13.2">
      <c r="A474" s="7">
        <v>473</v>
      </c>
      <c r="B474" s="7">
        <v>1</v>
      </c>
      <c r="C474" s="7" t="s">
        <v>10</v>
      </c>
      <c r="D474" s="7">
        <v>178</v>
      </c>
      <c r="E474" s="7" t="s">
        <v>14</v>
      </c>
      <c r="F474" s="8" t="str">
        <f ca="1">IFERROR(__xludf.DUMMYFUNCTION("IF
(
C475=""фізична особа""
,
VLOOKUP(D475,IMPORTRANGE(""https://docs.google.com/spreadsheets/d/14Bd19lYaqBhU8_DElYkX7l4wRkHqqCUFNJY4AfY3kHU/edit?usp=sharing  #gid=0"",""фіз особи new!relations_name""),6,FALSE)
,
(IF
(
C475=""юридична особа""
,
VLOOKUP(D4"&amp;"75,IMPORTRANGE(""https://docs.google.com/spreadsheets/d/14Bd19lYaqBhU8_DElYkX7l4wRkHqqCUFNJY4AfY3kHU/edit?usp=sharing  #gid=0"",""фіз особи new!relations_name_uo""),7,FALSE)
,
)
))"),"ПУМПЯНСЬКИЙ Дмитро Олександрович")</f>
        <v>ПУМПЯНСЬКИЙ Дмитро Олександрович</v>
      </c>
      <c r="G474" s="7" t="s">
        <v>10</v>
      </c>
      <c r="H474" s="7">
        <v>259</v>
      </c>
      <c r="I474" s="8" t="str">
        <f ca="1">IFERROR(__xludf.DUMMYFUNCTION("IF
(
G475=""фізична особа""
,
VLOOKUP(H475,IMPORTRANGE(""https://docs.google.com/spreadsheets/d/14Bd19lYaqBhU8_DElYkX7l4wRkHqqCUFNJY4AfY3kHU/edit?usp=sharing  #gid=0"",""фіз особи new!relations_name""),6,FALSE)
,
(IF
(
G475=""юридична особа""
,
VLOOKUP(H4"&amp;"75,IMPORTRANGE(""https://docs.google.com/spreadsheets/d/14Bd19lYaqBhU8_DElYkX7l4wRkHqqCUFNJY4AfY3kHU/edit?usp=sharing  #gid=0"",""фіз особи new!relations_name_uo""),7,FALSE)
,
)
))"),"ПУМПЯНСЬКА Галина Євгенівна")</f>
        <v>ПУМПЯНСЬКА Галина Євгенівна</v>
      </c>
      <c r="J474" s="7" t="s">
        <v>15</v>
      </c>
    </row>
    <row r="475" spans="1:10" ht="13.2">
      <c r="A475" s="7">
        <v>474</v>
      </c>
      <c r="B475" s="7">
        <v>1</v>
      </c>
      <c r="C475" s="7" t="s">
        <v>10</v>
      </c>
      <c r="D475" s="7">
        <v>179</v>
      </c>
      <c r="E475" s="7" t="s">
        <v>14</v>
      </c>
      <c r="F475" s="8" t="str">
        <f ca="1">IFERROR(__xludf.DUMMYFUNCTION("IF
(
C476=""фізична особа""
,
VLOOKUP(D476,IMPORTRANGE(""https://docs.google.com/spreadsheets/d/14Bd19lYaqBhU8_DElYkX7l4wRkHqqCUFNJY4AfY3kHU/edit?usp=sharing  #gid=0"",""фіз особи new!relations_name""),6,FALSE)
,
(IF
(
C476=""юридична особа""
,
VLOOKUP(D4"&amp;"76,IMPORTRANGE(""https://docs.google.com/spreadsheets/d/14Bd19lYaqBhU8_DElYkX7l4wRkHqqCUFNJY4AfY3kHU/edit?usp=sharing  #gid=0"",""фіз особи new!relations_name_uo""),7,FALSE)
,
)
))"),"ЩЕРБАКОВ Олександр Володимирович")</f>
        <v>ЩЕРБАКОВ Олександр Володимирович</v>
      </c>
      <c r="G475" s="7" t="s">
        <v>10</v>
      </c>
      <c r="H475" s="7">
        <v>0</v>
      </c>
      <c r="I475" s="8" t="str">
        <f ca="1">IFERROR(__xludf.DUMMYFUNCTION("IF
(
G476=""фізична особа""
,
VLOOKUP(H476,IMPORTRANGE(""https://docs.google.com/spreadsheets/d/14Bd19lYaqBhU8_DElYkX7l4wRkHqqCUFNJY4AfY3kHU/edit?usp=sharing  #gid=0"",""фіз особи new!relations_name""),6,FALSE)
,
(IF
(
G476=""юридична особа""
,
VLOOKUP(H4"&amp;"76,IMPORTRANGE(""https://docs.google.com/spreadsheets/d/14Bd19lYaqBhU8_DElYkX7l4wRkHqqCUFNJY4AfY3kHU/edit?usp=sharing  #gid=0"",""фіз особи new!relations_name_uo""),7,FALSE)
,
)
))"),"#N/A")</f>
        <v>#N/A</v>
      </c>
      <c r="J475" s="7" t="s">
        <v>15</v>
      </c>
    </row>
    <row r="476" spans="1:10" ht="13.2">
      <c r="A476" s="7">
        <v>475</v>
      </c>
      <c r="B476" s="7">
        <v>1</v>
      </c>
      <c r="C476" s="7" t="s">
        <v>10</v>
      </c>
      <c r="D476" s="7">
        <v>180</v>
      </c>
      <c r="E476" s="7" t="s">
        <v>17</v>
      </c>
      <c r="F476" s="8" t="str">
        <f ca="1">IFERROR(__xludf.DUMMYFUNCTION("IF
(
C477=""фізична особа""
,
VLOOKUP(D477,IMPORTRANGE(""https://docs.google.com/spreadsheets/d/14Bd19lYaqBhU8_DElYkX7l4wRkHqqCUFNJY4AfY3kHU/edit?usp=sharing  #gid=0"",""фіз особи new!relations_name""),6,FALSE)
,
(IF
(
C477=""юридична особа""
,
VLOOKUP(D4"&amp;"77,IMPORTRANGE(""https://docs.google.com/spreadsheets/d/14Bd19lYaqBhU8_DElYkX7l4wRkHqqCUFNJY4AfY3kHU/edit?usp=sharing  #gid=0"",""фіз особи new!relations_name_uo""),7,FALSE)
,
)
))"),"СВИЩЕВ Дмитро Олександрович")</f>
        <v>СВИЩЕВ Дмитро Олександрович</v>
      </c>
      <c r="G476" s="7" t="s">
        <v>10</v>
      </c>
      <c r="H476" s="7">
        <v>8836</v>
      </c>
      <c r="I476" s="8" t="str">
        <f ca="1">IFERROR(__xludf.DUMMYFUNCTION("IF
(
G477=""фізична особа""
,
VLOOKUP(H477,IMPORTRANGE(""https://docs.google.com/spreadsheets/d/14Bd19lYaqBhU8_DElYkX7l4wRkHqqCUFNJY4AfY3kHU/edit?usp=sharing  #gid=0"",""фіз особи new!relations_name""),6,FALSE)
,
(IF
(
G477=""юридична особа""
,
VLOOKUP(H4"&amp;"77,IMPORTRANGE(""https://docs.google.com/spreadsheets/d/14Bd19lYaqBhU8_DElYkX7l4wRkHqqCUFNJY4AfY3kHU/edit?usp=sharing  #gid=0"",""фіз особи new!relations_name_uo""),7,FALSE)
,
)
))"),"СВИЩОВ Олександр Костянтинович")</f>
        <v>СВИЩОВ Олександр Костянтинович</v>
      </c>
      <c r="J476" s="7" t="s">
        <v>12</v>
      </c>
    </row>
    <row r="477" spans="1:10" ht="13.2">
      <c r="A477" s="7">
        <v>476</v>
      </c>
      <c r="B477" s="7">
        <v>1</v>
      </c>
      <c r="C477" s="7" t="s">
        <v>10</v>
      </c>
      <c r="D477" s="7">
        <v>180</v>
      </c>
      <c r="E477" s="7" t="s">
        <v>17</v>
      </c>
      <c r="F477" s="8" t="str">
        <f ca="1">IFERROR(__xludf.DUMMYFUNCTION("IF
(
C478=""фізична особа""
,
VLOOKUP(D478,IMPORTRANGE(""https://docs.google.com/spreadsheets/d/14Bd19lYaqBhU8_DElYkX7l4wRkHqqCUFNJY4AfY3kHU/edit?usp=sharing  #gid=0"",""фіз особи new!relations_name""),6,FALSE)
,
(IF
(
C478=""юридична особа""
,
VLOOKUP(D4"&amp;"78,IMPORTRANGE(""https://docs.google.com/spreadsheets/d/14Bd19lYaqBhU8_DElYkX7l4wRkHqqCUFNJY4AfY3kHU/edit?usp=sharing  #gid=0"",""фіз особи new!relations_name_uo""),7,FALSE)
,
)
))"),"СВИЩЕВ Дмитро Олександрович")</f>
        <v>СВИЩЕВ Дмитро Олександрович</v>
      </c>
      <c r="G477" s="7" t="s">
        <v>10</v>
      </c>
      <c r="H477" s="7">
        <v>0</v>
      </c>
      <c r="I477" s="8" t="str">
        <f ca="1">IFERROR(__xludf.DUMMYFUNCTION("IF
(
G478=""фізична особа""
,
VLOOKUP(H478,IMPORTRANGE(""https://docs.google.com/spreadsheets/d/14Bd19lYaqBhU8_DElYkX7l4wRkHqqCUFNJY4AfY3kHU/edit?usp=sharing  #gid=0"",""фіз особи new!relations_name""),6,FALSE)
,
(IF
(
G478=""юридична особа""
,
VLOOKUP(H4"&amp;"78,IMPORTRANGE(""https://docs.google.com/spreadsheets/d/14Bd19lYaqBhU8_DElYkX7l4wRkHqqCUFNJY4AfY3kHU/edit?usp=sharing  #gid=0"",""фіз особи new!relations_name_uo""),7,FALSE)
,
)
))"),"#N/A")</f>
        <v>#N/A</v>
      </c>
      <c r="J477" s="7" t="s">
        <v>21</v>
      </c>
    </row>
    <row r="478" spans="1:10" ht="13.2">
      <c r="A478" s="7">
        <v>477</v>
      </c>
      <c r="B478" s="7">
        <v>1</v>
      </c>
      <c r="C478" s="7" t="s">
        <v>10</v>
      </c>
      <c r="D478" s="7">
        <v>182</v>
      </c>
      <c r="E478" s="7" t="s">
        <v>28</v>
      </c>
      <c r="F478" s="8" t="str">
        <f ca="1">IFERROR(__xludf.DUMMYFUNCTION("IF
(
C479=""фізична особа""
,
VLOOKUP(D479,IMPORTRANGE(""https://docs.google.com/spreadsheets/d/14Bd19lYaqBhU8_DElYkX7l4wRkHqqCUFNJY4AfY3kHU/edit?usp=sharing  #gid=0"",""фіз особи new!relations_name""),6,FALSE)
,
(IF
(
C479=""юридична особа""
,
VLOOKUP(D4"&amp;"79,IMPORTRANGE(""https://docs.google.com/spreadsheets/d/14Bd19lYaqBhU8_DElYkX7l4wRkHqqCUFNJY4AfY3kHU/edit?usp=sharing  #gid=0"",""фіз особи new!relations_name_uo""),7,FALSE)
,
)
))"),"ЗАБРОЦЬКИЙ Дмитро Олександрович")</f>
        <v>ЗАБРОЦЬКИЙ Дмитро Олександрович</v>
      </c>
      <c r="G478" s="7" t="s">
        <v>10</v>
      </c>
      <c r="H478" s="7">
        <v>821</v>
      </c>
      <c r="I478" s="8" t="str">
        <f ca="1">IFERROR(__xludf.DUMMYFUNCTION("IF
(
G479=""фізична особа""
,
VLOOKUP(H479,IMPORTRANGE(""https://docs.google.com/spreadsheets/d/14Bd19lYaqBhU8_DElYkX7l4wRkHqqCUFNJY4AfY3kHU/edit?usp=sharing  #gid=0"",""фіз особи new!relations_name""),6,FALSE)
,
(IF
(
G479=""юридична особа""
,
VLOOKUP(H4"&amp;"79,IMPORTRANGE(""https://docs.google.com/spreadsheets/d/14Bd19lYaqBhU8_DElYkX7l4wRkHqqCUFNJY4AfY3kHU/edit?usp=sharing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478" s="7" t="s">
        <v>29</v>
      </c>
    </row>
    <row r="479" spans="1:10" ht="13.2">
      <c r="A479" s="7">
        <v>478</v>
      </c>
      <c r="B479" s="7">
        <v>1</v>
      </c>
      <c r="C479" s="7" t="s">
        <v>10</v>
      </c>
      <c r="D479" s="7">
        <v>183</v>
      </c>
      <c r="E479" s="7" t="s">
        <v>16</v>
      </c>
      <c r="F479" s="8" t="str">
        <f ca="1">IFERROR(__xludf.DUMMYFUNCTION("IF
(
C480=""фізична особа""
,
VLOOKUP(D480,IMPORTRANGE(""https://docs.google.com/spreadsheets/d/14Bd19lYaqBhU8_DElYkX7l4wRkHqqCUFNJY4AfY3kHU/edit?usp=sharing  #gid=0"",""фіз особи new!relations_name""),6,FALSE)
,
(IF
(
C480=""юридична особа""
,
VLOOKUP(D4"&amp;"80,IMPORTRANGE(""https://docs.google.com/spreadsheets/d/14Bd19lYaqBhU8_DElYkX7l4wRkHqqCUFNJY4AfY3kHU/edit?usp=sharing  #gid=0"",""фіз особи new!relations_name_uo""),7,FALSE)
,
)
))"),"ХУБЕЗОВ Дмитро Анатолійович")</f>
        <v>ХУБЕЗОВ Дмитро Анатолійович</v>
      </c>
      <c r="G479" s="7" t="s">
        <v>10</v>
      </c>
      <c r="H479" s="7">
        <v>0</v>
      </c>
      <c r="I479" s="8" t="str">
        <f ca="1">IFERROR(__xludf.DUMMYFUNCTION("IF
(
G480=""фізична особа""
,
VLOOKUP(H480,IMPORTRANGE(""https://docs.google.com/spreadsheets/d/14Bd19lYaqBhU8_DElYkX7l4wRkHqqCUFNJY4AfY3kHU/edit?usp=sharing  #gid=0"",""фіз особи new!relations_name""),6,FALSE)
,
(IF
(
G480=""юридична особа""
,
VLOOKUP(H4"&amp;"80,IMPORTRANGE(""https://docs.google.com/spreadsheets/d/14Bd19lYaqBhU8_DElYkX7l4wRkHqqCUFNJY4AfY3kHU/edit?usp=sharing  #gid=0"",""фіз особи new!relations_name_uo""),7,FALSE)
,
)
))"),"#N/A")</f>
        <v>#N/A</v>
      </c>
      <c r="J479" s="7" t="s">
        <v>16</v>
      </c>
    </row>
    <row r="480" spans="1:10" ht="13.2">
      <c r="A480" s="7">
        <v>479</v>
      </c>
      <c r="B480" s="7">
        <v>1</v>
      </c>
      <c r="C480" s="7" t="s">
        <v>10</v>
      </c>
      <c r="D480" s="7">
        <v>184</v>
      </c>
      <c r="E480" s="7" t="s">
        <v>28</v>
      </c>
      <c r="F480" s="8" t="str">
        <f ca="1">IFERROR(__xludf.DUMMYFUNCTION("IF
(
C481=""фізична особа""
,
VLOOKUP(D481,IMPORTRANGE(""https://docs.google.com/spreadsheets/d/14Bd19lYaqBhU8_DElYkX7l4wRkHqqCUFNJY4AfY3kHU/edit?usp=sharing  #gid=0"",""фіз особи new!relations_name""),6,FALSE)
,
(IF
(
C481=""юридична особа""
,
VLOOKUP(D4"&amp;"81,IMPORTRANGE(""https://docs.google.com/spreadsheets/d/14Bd19lYaqBhU8_DElYkX7l4wRkHqqCUFNJY4AfY3kHU/edit?usp=sharing  #gid=0"",""фіз особи new!relations_name_uo""),7,FALSE)
,
)
))"),"МІХОЛАП Дмитро Анатолійович")</f>
        <v>МІХОЛАП Дмитро Анатолійович</v>
      </c>
      <c r="G480" s="7" t="s">
        <v>10</v>
      </c>
      <c r="H480" s="7">
        <v>821</v>
      </c>
      <c r="I480" s="8" t="str">
        <f ca="1">IFERROR(__xludf.DUMMYFUNCTION("IF
(
G481=""фізична особа""
,
VLOOKUP(H481,IMPORTRANGE(""https://docs.google.com/spreadsheets/d/14Bd19lYaqBhU8_DElYkX7l4wRkHqqCUFNJY4AfY3kHU/edit?usp=sharing  #gid=0"",""фіз особи new!relations_name""),6,FALSE)
,
(IF
(
G481=""юридична особа""
,
VLOOKUP(H4"&amp;"81,IMPORTRANGE(""https://docs.google.com/spreadsheets/d/14Bd19lYaqBhU8_DElYkX7l4wRkHqqCUFNJY4AfY3kHU/edit?usp=sharing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480" s="7" t="s">
        <v>29</v>
      </c>
    </row>
    <row r="481" spans="1:10" ht="13.2">
      <c r="A481" s="7">
        <v>480</v>
      </c>
      <c r="B481" s="7">
        <v>1</v>
      </c>
      <c r="C481" s="7" t="s">
        <v>10</v>
      </c>
      <c r="D481" s="7">
        <v>185</v>
      </c>
      <c r="E481" s="7" t="s">
        <v>12</v>
      </c>
      <c r="F481" s="8" t="str">
        <f ca="1">IFERROR(__xludf.DUMMYFUNCTION("IF
(
C482=""фізична особа""
,
VLOOKUP(D482,IMPORTRANGE(""https://docs.google.com/spreadsheets/d/14Bd19lYaqBhU8_DElYkX7l4wRkHqqCUFNJY4AfY3kHU/edit?usp=sharing  #gid=0"",""фіз особи new!relations_name""),6,FALSE)
,
(IF
(
C482=""юридична особа""
,
VLOOKUP(D4"&amp;"82,IMPORTRANGE(""https://docs.google.com/spreadsheets/d/14Bd19lYaqBhU8_DElYkX7l4wRkHqqCUFNJY4AfY3kHU/edit?usp=sharing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G481" s="7" t="s">
        <v>10</v>
      </c>
      <c r="H481" s="7">
        <v>2022</v>
      </c>
      <c r="I481" s="8" t="str">
        <f ca="1">IFERROR(__xludf.DUMMYFUNCTION("IF
(
G482=""фізична особа""
,
VLOOKUP(H482,IMPORTRANGE(""https://docs.google.com/spreadsheets/d/14Bd19lYaqBhU8_DElYkX7l4wRkHqqCUFNJY4AfY3kHU/edit?usp=sharing  #gid=0"",""фіз особи new!relations_name""),6,FALSE)
,
(IF
(
G482=""юридична особа""
,
VLOOKUP(H4"&amp;"82,IMPORTRANGE(""https://docs.google.com/spreadsheets/d/14Bd19lYaqBhU8_DElYkX7l4wRkHqqCUFNJY4AfY3kHU/edit?usp=sharing  #gid=0"",""фіз особи new!relations_name_uo""),7,FALSE)
,
)
))"),"МЕДВЕДЄВ Ілля Дмитрович")</f>
        <v>МЕДВЕДЄВ Ілля Дмитрович</v>
      </c>
      <c r="J481" s="7" t="s">
        <v>17</v>
      </c>
    </row>
    <row r="482" spans="1:10" ht="13.2">
      <c r="A482" s="7">
        <v>481</v>
      </c>
      <c r="B482" s="7">
        <v>1</v>
      </c>
      <c r="C482" s="7" t="s">
        <v>10</v>
      </c>
      <c r="D482" s="7">
        <v>185</v>
      </c>
      <c r="E482" s="7" t="s">
        <v>51</v>
      </c>
      <c r="F482" s="8" t="str">
        <f ca="1">IFERROR(__xludf.DUMMYFUNCTION("IF
(
C483=""фізична особа""
,
VLOOKUP(D483,IMPORTRANGE(""https://docs.google.com/spreadsheets/d/14Bd19lYaqBhU8_DElYkX7l4wRkHqqCUFNJY4AfY3kHU/edit?usp=sharing  #gid=0"",""фіз особи new!relations_name""),6,FALSE)
,
(IF
(
C483=""юридична особа""
,
VLOOKUP(D4"&amp;"83,IMPORTRANGE(""https://docs.google.com/spreadsheets/d/14Bd19lYaqBhU8_DElYkX7l4wRkHqqCUFNJY4AfY3kHU/edit?usp=sharing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G482" s="7" t="s">
        <v>10</v>
      </c>
      <c r="H482" s="7">
        <v>23352</v>
      </c>
      <c r="I482" s="8" t="str">
        <f ca="1">IFERROR(__xludf.DUMMYFUNCTION("IF
(
G483=""фізична особа""
,
VLOOKUP(H483,IMPORTRANGE(""https://docs.google.com/spreadsheets/d/14Bd19lYaqBhU8_DElYkX7l4wRkHqqCUFNJY4AfY3kHU/edit?usp=sharing  #gid=0"",""фіз особи new!relations_name""),6,FALSE)
,
(IF
(
G483=""юридична особа""
,
VLOOKUP(H4"&amp;"83,IMPORTRANGE(""https://docs.google.com/spreadsheets/d/14Bd19lYaqBhU8_DElYkX7l4wRkHqqCUFNJY4AfY3kHU/edit?usp=sharing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482" s="7" t="s">
        <v>51</v>
      </c>
    </row>
    <row r="483" spans="1:10" ht="13.2">
      <c r="A483" s="7">
        <v>482</v>
      </c>
      <c r="B483" s="7">
        <v>1</v>
      </c>
      <c r="C483" s="7" t="s">
        <v>10</v>
      </c>
      <c r="D483" s="7">
        <v>185</v>
      </c>
      <c r="E483" s="7" t="s">
        <v>14</v>
      </c>
      <c r="F483" s="8" t="str">
        <f ca="1">IFERROR(__xludf.DUMMYFUNCTION("IF
(
C484=""фізична особа""
,
VLOOKUP(D484,IMPORTRANGE(""https://docs.google.com/spreadsheets/d/14Bd19lYaqBhU8_DElYkX7l4wRkHqqCUFNJY4AfY3kHU/edit?usp=sharing  #gid=0"",""фіз особи new!relations_name""),6,FALSE)
,
(IF
(
C484=""юридична особа""
,
VLOOKUP(D4"&amp;"84,IMPORTRANGE(""https://docs.google.com/spreadsheets/d/14Bd19lYaqBhU8_DElYkX7l4wRkHqqCUFNJY4AfY3kHU/edit?usp=sharing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G483" s="7" t="s">
        <v>10</v>
      </c>
      <c r="H483" s="7">
        <v>2021</v>
      </c>
      <c r="I483" s="8" t="str">
        <f ca="1">IFERROR(__xludf.DUMMYFUNCTION("IF
(
G484=""фізична особа""
,
VLOOKUP(H484,IMPORTRANGE(""https://docs.google.com/spreadsheets/d/14Bd19lYaqBhU8_DElYkX7l4wRkHqqCUFNJY4AfY3kHU/edit?usp=sharing  #gid=0"",""фіз особи new!relations_name""),6,FALSE)
,
(IF
(
G484=""юридична особа""
,
VLOOKUP(H4"&amp;"84,IMPORTRANGE(""https://docs.google.com/spreadsheets/d/14Bd19lYaqBhU8_DElYkX7l4wRkHqqCUFNJY4AfY3kHU/edit?usp=sharing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483" s="7" t="s">
        <v>15</v>
      </c>
    </row>
    <row r="484" spans="1:10" ht="13.2">
      <c r="A484" s="7">
        <v>483</v>
      </c>
      <c r="B484" s="7">
        <v>1</v>
      </c>
      <c r="C484" s="7" t="s">
        <v>10</v>
      </c>
      <c r="D484" s="7">
        <v>186</v>
      </c>
      <c r="E484" s="7" t="s">
        <v>12</v>
      </c>
      <c r="F484" s="8" t="str">
        <f ca="1">IFERROR(__xludf.DUMMYFUNCTION("IF
(
C485=""фізична особа""
,
VLOOKUP(D485,IMPORTRANGE(""https://docs.google.com/spreadsheets/d/14Bd19lYaqBhU8_DElYkX7l4wRkHqqCUFNJY4AfY3kHU/edit?usp=sharing  #gid=0"",""фіз особи new!relations_name""),6,FALSE)
,
(IF
(
C485=""юридична особа""
,
VLOOKUP(D4"&amp;"85,IMPORTRANGE(""https://docs.google.com/spreadsheets/d/14Bd19lYaqBhU8_DElYkX7l4wRkHqqCUFNJY4AfY3kHU/edit?usp=sharing  #gid=0"",""фіз особи new!relations_name_uo""),7,FALSE)
,
)
))"),"МАЗЕПІН Дмитро Аркадійович")</f>
        <v>МАЗЕПІН Дмитро Аркадійович</v>
      </c>
      <c r="G484" s="7" t="s">
        <v>10</v>
      </c>
      <c r="H484" s="7">
        <v>491</v>
      </c>
      <c r="I484" s="8" t="str">
        <f ca="1">IFERROR(__xludf.DUMMYFUNCTION("IF
(
G485=""фізична особа""
,
VLOOKUP(H485,IMPORTRANGE(""https://docs.google.com/spreadsheets/d/14Bd19lYaqBhU8_DElYkX7l4wRkHqqCUFNJY4AfY3kHU/edit?usp=sharing  #gid=0"",""фіз особи new!relations_name""),6,FALSE)
,
(IF
(
G485=""юридична особа""
,
VLOOKUP(H4"&amp;"85,IMPORTRANGE(""https://docs.google.com/spreadsheets/d/14Bd19lYaqBhU8_DElYkX7l4wRkHqqCUFNJY4AfY3kHU/edit?usp=sharing  #gid=0"",""фіз особи new!relations_name_uo""),7,FALSE)
,
)
))"),"МАЗЕПІН Микита Дмитрович")</f>
        <v>МАЗЕПІН Микита Дмитрович</v>
      </c>
      <c r="J484" s="7" t="s">
        <v>17</v>
      </c>
    </row>
    <row r="485" spans="1:10" ht="13.2">
      <c r="A485" s="7">
        <v>484</v>
      </c>
      <c r="B485" s="7">
        <v>1</v>
      </c>
      <c r="C485" s="7" t="s">
        <v>10</v>
      </c>
      <c r="D485" s="7">
        <v>187</v>
      </c>
      <c r="E485" s="7" t="s">
        <v>30</v>
      </c>
      <c r="F485" s="8" t="str">
        <f ca="1">IFERROR(__xludf.DUMMYFUNCTION("IF
(
C486=""фізична особа""
,
VLOOKUP(D486,IMPORTRANGE(""https://docs.google.com/spreadsheets/d/14Bd19lYaqBhU8_DElYkX7l4wRkHqqCUFNJY4AfY3kHU/edit?usp=sharing  #gid=0"",""фіз особи new!relations_name""),6,FALSE)
,
(IF
(
C486=""юридична особа""
,
VLOOKUP(D4"&amp;"86,IMPORTRANGE(""https://docs.google.com/spreadsheets/d/14Bd19lYaqBhU8_DElYkX7l4wRkHqqCUFNJY4AfY3kHU/edit?usp=sharing  #gid=0"",""фіз особи new!relations_name_uo""),7,FALSE)
,
)
))"),"В'ЯТКІН Дмитро Федорович")</f>
        <v>В'ЯТКІН Дмитро Федорович</v>
      </c>
      <c r="G485" s="7" t="s">
        <v>10</v>
      </c>
      <c r="H485" s="7">
        <v>0</v>
      </c>
      <c r="I485" s="8" t="str">
        <f ca="1">IFERROR(__xludf.DUMMYFUNCTION("IF
(
G486=""фізична особа""
,
VLOOKUP(H486,IMPORTRANGE(""https://docs.google.com/spreadsheets/d/14Bd19lYaqBhU8_DElYkX7l4wRkHqqCUFNJY4AfY3kHU/edit?usp=sharing  #gid=0"",""фіз особи new!relations_name""),6,FALSE)
,
(IF
(
G486=""юридична особа""
,
VLOOKUP(H4"&amp;"86,IMPORTRANGE(""https://docs.google.com/spreadsheets/d/14Bd19lYaqBhU8_DElYkX7l4wRkHqqCUFNJY4AfY3kHU/edit?usp=sharing  #gid=0"",""фіз особи new!relations_name_uo""),7,FALSE)
,
)
))"),"#N/A")</f>
        <v>#N/A</v>
      </c>
      <c r="J485" s="7" t="s">
        <v>30</v>
      </c>
    </row>
    <row r="486" spans="1:10" ht="13.2">
      <c r="A486" s="7">
        <v>485</v>
      </c>
      <c r="B486" s="7">
        <v>1</v>
      </c>
      <c r="C486" s="7" t="s">
        <v>10</v>
      </c>
      <c r="D486" s="7">
        <v>187</v>
      </c>
      <c r="E486" s="7" t="s">
        <v>28</v>
      </c>
      <c r="F486" s="8" t="str">
        <f ca="1">IFERROR(__xludf.DUMMYFUNCTION("IF
(
C487=""фізична особа""
,
VLOOKUP(D487,IMPORTRANGE(""https://docs.google.com/spreadsheets/d/14Bd19lYaqBhU8_DElYkX7l4wRkHqqCUFNJY4AfY3kHU/edit?usp=sharing  #gid=0"",""фіз особи new!relations_name""),6,FALSE)
,
(IF
(
C487=""юридична особа""
,
VLOOKUP(D4"&amp;"87,IMPORTRANGE(""https://docs.google.com/spreadsheets/d/14Bd19lYaqBhU8_DElYkX7l4wRkHqqCUFNJY4AfY3kHU/edit?usp=sharing  #gid=0"",""фіз особи new!relations_name_uo""),7,FALSE)
,
)
))"),"В'ЯТКІН Дмитро Федорович")</f>
        <v>В'ЯТКІН Дмитро Федорович</v>
      </c>
      <c r="G486" s="7" t="s">
        <v>10</v>
      </c>
      <c r="H486" s="7">
        <v>844</v>
      </c>
      <c r="I486" s="8" t="str">
        <f ca="1">IFERROR(__xludf.DUMMYFUNCTION("IF
(
G487=""фізична особа""
,
VLOOKUP(H487,IMPORTRANGE(""https://docs.google.com/spreadsheets/d/14Bd19lYaqBhU8_DElYkX7l4wRkHqqCUFNJY4AfY3kHU/edit?usp=sharing  #gid=0"",""фіз особи new!relations_name""),6,FALSE)
,
(IF
(
G487=""юридична особа""
,
VLOOKUP(H4"&amp;"87,IMPORTRANGE(""https://docs.google.com/spreadsheets/d/14Bd19lYaqBhU8_DElYkX7l4wRkHqqCUFNJY4AfY3kHU/edit?usp=sharing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486" s="7" t="s">
        <v>29</v>
      </c>
    </row>
    <row r="487" spans="1:10" ht="13.2">
      <c r="A487" s="7">
        <v>486</v>
      </c>
      <c r="B487" s="7">
        <v>1</v>
      </c>
      <c r="C487" s="7" t="s">
        <v>10</v>
      </c>
      <c r="D487" s="7">
        <v>190</v>
      </c>
      <c r="E487" s="7" t="s">
        <v>14</v>
      </c>
      <c r="F487" s="8" t="str">
        <f ca="1">IFERROR(__xludf.DUMMYFUNCTION("IF
(
C488=""фізична особа""
,
VLOOKUP(D488,IMPORTRANGE(""https://docs.google.com/spreadsheets/d/14Bd19lYaqBhU8_DElYkX7l4wRkHqqCUFNJY4AfY3kHU/edit?usp=sharing  #gid=0"",""фіз особи new!relations_name""),6,FALSE)
,
(IF
(
C488=""юридична особа""
,
VLOOKUP(D4"&amp;"88,IMPORTRANGE(""https://docs.google.com/spreadsheets/d/14Bd19lYaqBhU8_DElYkX7l4wRkHqqCUFNJY4AfY3kHU/edit?usp=sharing  #gid=0"",""фіз особи new!relations_name_uo""),7,FALSE)
,
)
))"),"СПІРІДОНОВ Олександр Юрійович")</f>
        <v>СПІРІДОНОВ Олександр Юрійович</v>
      </c>
      <c r="G487" s="7" t="s">
        <v>10</v>
      </c>
      <c r="H487" s="7">
        <v>0</v>
      </c>
      <c r="I487" s="8" t="str">
        <f ca="1">IFERROR(__xludf.DUMMYFUNCTION("IF
(
G488=""фізична особа""
,
VLOOKUP(H488,IMPORTRANGE(""https://docs.google.com/spreadsheets/d/14Bd19lYaqBhU8_DElYkX7l4wRkHqqCUFNJY4AfY3kHU/edit?usp=sharing  #gid=0"",""фіз особи new!relations_name""),6,FALSE)
,
(IF
(
G488=""юридична особа""
,
VLOOKUP(H4"&amp;"88,IMPORTRANGE(""https://docs.google.com/spreadsheets/d/14Bd19lYaqBhU8_DElYkX7l4wRkHqqCUFNJY4AfY3kHU/edit?usp=sharing  #gid=0"",""фіз особи new!relations_name_uo""),7,FALSE)
,
)
))"),"#N/A")</f>
        <v>#N/A</v>
      </c>
      <c r="J487" s="7" t="s">
        <v>15</v>
      </c>
    </row>
    <row r="488" spans="1:10" ht="13.2">
      <c r="A488" s="7">
        <v>487</v>
      </c>
      <c r="B488" s="7">
        <v>1</v>
      </c>
      <c r="C488" s="7" t="s">
        <v>10</v>
      </c>
      <c r="D488" s="7">
        <v>190</v>
      </c>
      <c r="E488" s="7" t="s">
        <v>12</v>
      </c>
      <c r="F488" s="8" t="str">
        <f ca="1">IFERROR(__xludf.DUMMYFUNCTION("IF
(
C489=""фізична особа""
,
VLOOKUP(D489,IMPORTRANGE(""https://docs.google.com/spreadsheets/d/14Bd19lYaqBhU8_DElYkX7l4wRkHqqCUFNJY4AfY3kHU/edit?usp=sharing  #gid=0"",""фіз особи new!relations_name""),6,FALSE)
,
(IF
(
C489=""юридична особа""
,
VLOOKUP(D4"&amp;"89,IMPORTRANGE(""https://docs.google.com/spreadsheets/d/14Bd19lYaqBhU8_DElYkX7l4wRkHqqCUFNJY4AfY3kHU/edit?usp=sharing  #gid=0"",""фіз особи new!relations_name_uo""),7,FALSE)
,
)
))"),"СПІРІДОНОВ Олександр Юрійович")</f>
        <v>СПІРІДОНОВ Олександр Юрійович</v>
      </c>
      <c r="G488" s="7" t="s">
        <v>10</v>
      </c>
      <c r="H488" s="7">
        <v>0</v>
      </c>
      <c r="I488" s="8" t="str">
        <f ca="1">IFERROR(__xludf.DUMMYFUNCTION("IF
(
G489=""фізична особа""
,
VLOOKUP(H489,IMPORTRANGE(""https://docs.google.com/spreadsheets/d/14Bd19lYaqBhU8_DElYkX7l4wRkHqqCUFNJY4AfY3kHU/edit?usp=sharing  #gid=0"",""фіз особи new!relations_name""),6,FALSE)
,
(IF
(
G489=""юридична особа""
,
VLOOKUP(H4"&amp;"89,IMPORTRANGE(""https://docs.google.com/spreadsheets/d/14Bd19lYaqBhU8_DElYkX7l4wRkHqqCUFNJY4AfY3kHU/edit?usp=sharing  #gid=0"",""фіз особи new!relations_name_uo""),7,FALSE)
,
)
))"),"#N/A")</f>
        <v>#N/A</v>
      </c>
      <c r="J488" s="7" t="s">
        <v>17</v>
      </c>
    </row>
    <row r="489" spans="1:10" ht="13.2">
      <c r="A489" s="7">
        <v>488</v>
      </c>
      <c r="B489" s="7">
        <v>1</v>
      </c>
      <c r="C489" s="7" t="s">
        <v>10</v>
      </c>
      <c r="D489" s="7">
        <v>190</v>
      </c>
      <c r="E489" s="7" t="s">
        <v>12</v>
      </c>
      <c r="F489" s="8" t="str">
        <f ca="1">IFERROR(__xludf.DUMMYFUNCTION("IF
(
C490=""фізична особа""
,
VLOOKUP(D490,IMPORTRANGE(""https://docs.google.com/spreadsheets/d/14Bd19lYaqBhU8_DElYkX7l4wRkHqqCUFNJY4AfY3kHU/edit?usp=sharing  #gid=0"",""фіз особи new!relations_name""),6,FALSE)
,
(IF
(
C490=""юридична особа""
,
VLOOKUP(D4"&amp;"90,IMPORTRANGE(""https://docs.google.com/spreadsheets/d/14Bd19lYaqBhU8_DElYkX7l4wRkHqqCUFNJY4AfY3kHU/edit?usp=sharing  #gid=0"",""фіз особи new!relations_name_uo""),7,FALSE)
,
)
))"),"СПІРІДОНОВ Олександр Юрійович")</f>
        <v>СПІРІДОНОВ Олександр Юрійович</v>
      </c>
      <c r="G489" s="7" t="s">
        <v>10</v>
      </c>
      <c r="H489" s="7">
        <v>0</v>
      </c>
      <c r="I489" s="8" t="str">
        <f ca="1">IFERROR(__xludf.DUMMYFUNCTION("IF
(
G490=""фізична особа""
,
VLOOKUP(H490,IMPORTRANGE(""https://docs.google.com/spreadsheets/d/14Bd19lYaqBhU8_DElYkX7l4wRkHqqCUFNJY4AfY3kHU/edit?usp=sharing  #gid=0"",""фіз особи new!relations_name""),6,FALSE)
,
(IF
(
G490=""юридична особа""
,
VLOOKUP(H4"&amp;"90,IMPORTRANGE(""https://docs.google.com/spreadsheets/d/14Bd19lYaqBhU8_DElYkX7l4wRkHqqCUFNJY4AfY3kHU/edit?usp=sharing  #gid=0"",""фіз особи new!relations_name_uo""),7,FALSE)
,
)
))"),"#N/A")</f>
        <v>#N/A</v>
      </c>
      <c r="J489" s="7" t="s">
        <v>17</v>
      </c>
    </row>
    <row r="490" spans="1:10" ht="13.2">
      <c r="A490" s="7">
        <v>489</v>
      </c>
      <c r="B490" s="7">
        <v>1</v>
      </c>
      <c r="C490" s="7" t="s">
        <v>10</v>
      </c>
      <c r="D490" s="7">
        <v>191</v>
      </c>
      <c r="E490" s="7" t="s">
        <v>29</v>
      </c>
      <c r="F490" s="8" t="str">
        <f ca="1">IFERROR(__xludf.DUMMYFUNCTION("IF
(
C491=""фізична особа""
,
VLOOKUP(D491,IMPORTRANGE(""https://docs.google.com/spreadsheets/d/14Bd19lYaqBhU8_DElYkX7l4wRkHqqCUFNJY4AfY3kHU/edit?usp=sharing  #gid=0"",""фіз особи new!relations_name""),6,FALSE)
,
(IF
(
C491=""юридична особа""
,
VLOOKUP(D4"&amp;"91,IMPORTRANGE(""https://docs.google.com/spreadsheets/d/14Bd19lYaqBhU8_DElYkX7l4wRkHqqCUFNJY4AfY3kHU/edit?usp=sharing  #gid=0"",""фіз особи new!relations_name_uo""),7,FALSE)
,
)
))"),"ГОРА Дмитро Юрійович")</f>
        <v>ГОРА Дмитро Юрійович</v>
      </c>
      <c r="G490" s="7" t="s">
        <v>10</v>
      </c>
      <c r="H490" s="7">
        <v>0</v>
      </c>
      <c r="I490" s="8" t="str">
        <f ca="1">IFERROR(__xludf.DUMMYFUNCTION("IF
(
G491=""фізична особа""
,
VLOOKUP(H491,IMPORTRANGE(""https://docs.google.com/spreadsheets/d/14Bd19lYaqBhU8_DElYkX7l4wRkHqqCUFNJY4AfY3kHU/edit?usp=sharing  #gid=0"",""фіз особи new!relations_name""),6,FALSE)
,
(IF
(
G491=""юридична особа""
,
VLOOKUP(H4"&amp;"91,IMPORTRANGE(""https://docs.google.com/spreadsheets/d/14Bd19lYaqBhU8_DElYkX7l4wRkHqqCUFNJY4AfY3kHU/edit?usp=sharing  #gid=0"",""фіз особи new!relations_name_uo""),7,FALSE)
,
)
))"),"#N/A")</f>
        <v>#N/A</v>
      </c>
      <c r="J490" s="7" t="s">
        <v>28</v>
      </c>
    </row>
    <row r="491" spans="1:10" ht="13.2">
      <c r="A491" s="7">
        <v>490</v>
      </c>
      <c r="B491" s="7">
        <v>1</v>
      </c>
      <c r="C491" s="7" t="s">
        <v>10</v>
      </c>
      <c r="D491" s="7">
        <v>191</v>
      </c>
      <c r="E491" s="7" t="s">
        <v>41</v>
      </c>
      <c r="F491" s="8" t="str">
        <f ca="1">IFERROR(__xludf.DUMMYFUNCTION("IF
(
C492=""фізична особа""
,
VLOOKUP(D492,IMPORTRANGE(""https://docs.google.com/spreadsheets/d/14Bd19lYaqBhU8_DElYkX7l4wRkHqqCUFNJY4AfY3kHU/edit?usp=sharing  #gid=0"",""фіз особи new!relations_name""),6,FALSE)
,
(IF
(
C492=""юридична особа""
,
VLOOKUP(D4"&amp;"92,IMPORTRANGE(""https://docs.google.com/spreadsheets/d/14Bd19lYaqBhU8_DElYkX7l4wRkHqqCUFNJY4AfY3kHU/edit?usp=sharing  #gid=0"",""фіз особи new!relations_name_uo""),7,FALSE)
,
)
))"),"ГОРА Дмитро Юрійович")</f>
        <v>ГОРА Дмитро Юрійович</v>
      </c>
      <c r="G491" s="7" t="s">
        <v>10</v>
      </c>
      <c r="H491" s="7">
        <v>54</v>
      </c>
      <c r="I491" s="8" t="str">
        <f ca="1">IFERROR(__xludf.DUMMYFUNCTION("IF
(
G492=""фізична особа""
,
VLOOKUP(H492,IMPORTRANGE(""https://docs.google.com/spreadsheets/d/14Bd19lYaqBhU8_DElYkX7l4wRkHqqCUFNJY4AfY3kHU/edit?usp=sharing  #gid=0"",""фіз особи new!relations_name""),6,FALSE)
,
(IF
(
G492=""юридична особа""
,
VLOOKUP(H4"&amp;"92,IMPORTRANGE(""https://docs.google.com/spreadsheets/d/14Bd19lYaqBhU8_DElYkX7l4wRkHqqCUFNJY4AfY3kHU/edit?usp=sharing  #gid=0"",""фіз особи new!relations_name_uo""),7,FALSE)
,
)
))"),"ШВЕД Андрій Іванович")</f>
        <v>ШВЕД Андрій Іванович</v>
      </c>
      <c r="J491" s="7" t="s">
        <v>40</v>
      </c>
    </row>
    <row r="492" spans="1:10" ht="13.2">
      <c r="A492" s="7">
        <v>491</v>
      </c>
      <c r="B492" s="7">
        <v>1</v>
      </c>
      <c r="C492" s="7" t="s">
        <v>10</v>
      </c>
      <c r="D492" s="7">
        <v>192</v>
      </c>
      <c r="E492" s="7" t="s">
        <v>26</v>
      </c>
      <c r="F492" s="8" t="str">
        <f ca="1">IFERROR(__xludf.DUMMYFUNCTION("IF
(
C493=""фізична особа""
,
VLOOKUP(D493,IMPORTRANGE(""https://docs.google.com/spreadsheets/d/14Bd19lYaqBhU8_DElYkX7l4wRkHqqCUFNJY4AfY3kHU/edit?usp=sharing  #gid=0"",""фіз особи new!relations_name""),6,FALSE)
,
(IF
(
C493=""юридична особа""
,
VLOOKUP(D4"&amp;"93,IMPORTRANGE(""https://docs.google.com/spreadsheets/d/14Bd19lYaqBhU8_DElYkX7l4wRkHqqCUFNJY4AfY3kHU/edit?usp=sharing  #gid=0"",""фіз особи new!relations_name_uo""),7,FALSE)
,
)
))"),"ІВАНОВ Дмитро Валерійович")</f>
        <v>ІВАНОВ Дмитро Валерійович</v>
      </c>
      <c r="G492" s="7" t="s">
        <v>10</v>
      </c>
      <c r="H492" s="7">
        <v>911</v>
      </c>
      <c r="I492" s="8" t="str">
        <f ca="1">IFERROR(__xludf.DUMMYFUNCTION("IF
(
G493=""фізична особа""
,
VLOOKUP(H493,IMPORTRANGE(""https://docs.google.com/spreadsheets/d/14Bd19lYaqBhU8_DElYkX7l4wRkHqqCUFNJY4AfY3kHU/edit?usp=sharing  #gid=0"",""фіз особи new!relations_name""),6,FALSE)
,
(IF
(
G493=""юридична особа""
,
VLOOKUP(H4"&amp;"93,IMPORTRANGE(""https://docs.google.com/spreadsheets/d/14Bd19lYaqBhU8_DElYkX7l4wRkHqqCUFNJY4AfY3kHU/edit?usp=sharing  #gid=0"",""фіз особи new!relations_name_uo""),7,FALSE)
,
)
))"),"БІБІКОВА Олена Василівна")</f>
        <v>БІБІКОВА Олена Василівна</v>
      </c>
      <c r="J492" s="7" t="s">
        <v>27</v>
      </c>
    </row>
    <row r="493" spans="1:10" ht="13.2">
      <c r="A493" s="7">
        <v>492</v>
      </c>
      <c r="B493" s="7">
        <v>1</v>
      </c>
      <c r="C493" s="7" t="s">
        <v>10</v>
      </c>
      <c r="D493" s="7">
        <v>192</v>
      </c>
      <c r="E493" s="7" t="s">
        <v>14</v>
      </c>
      <c r="F493" s="8" t="str">
        <f ca="1">IFERROR(__xludf.DUMMYFUNCTION("IF
(
C494=""фізична особа""
,
VLOOKUP(D494,IMPORTRANGE(""https://docs.google.com/spreadsheets/d/14Bd19lYaqBhU8_DElYkX7l4wRkHqqCUFNJY4AfY3kHU/edit?usp=sharing  #gid=0"",""фіз особи new!relations_name""),6,FALSE)
,
(IF
(
C494=""юридична особа""
,
VLOOKUP(D4"&amp;"94,IMPORTRANGE(""https://docs.google.com/spreadsheets/d/14Bd19lYaqBhU8_DElYkX7l4wRkHqqCUFNJY4AfY3kHU/edit?usp=sharing  #gid=0"",""фіз особи new!relations_name_uo""),7,FALSE)
,
)
))"),"ІВАНОВ Дмитро Валерійович")</f>
        <v>ІВАНОВ Дмитро Валерійович</v>
      </c>
      <c r="G493" s="7" t="s">
        <v>10</v>
      </c>
      <c r="H493" s="7">
        <v>23354</v>
      </c>
      <c r="I493" s="8" t="str">
        <f ca="1">IFERROR(__xludf.DUMMYFUNCTION("IF
(
G494=""фізична особа""
,
VLOOKUP(H494,IMPORTRANGE(""https://docs.google.com/spreadsheets/d/14Bd19lYaqBhU8_DElYkX7l4wRkHqqCUFNJY4AfY3kHU/edit?usp=sharing  #gid=0"",""фіз особи new!relations_name""),6,FALSE)
,
(IF
(
G494=""юридична особа""
,
VLOOKUP(H4"&amp;"94,IMPORTRANGE(""https://docs.google.com/spreadsheets/d/14Bd19lYaqBhU8_DElYkX7l4wRkHqqCUFNJY4AfY3kHU/edit?usp=sharing  #gid=0"",""фіз особи new!relations_name_uo""),7,FALSE)
,
)
))"),"ІВАНОВА Ольга Володимирівна")</f>
        <v>ІВАНОВА Ольга Володимирівна</v>
      </c>
      <c r="J493" s="7" t="s">
        <v>15</v>
      </c>
    </row>
    <row r="494" spans="1:10" ht="13.2">
      <c r="A494" s="7">
        <v>493</v>
      </c>
      <c r="B494" s="7">
        <v>1</v>
      </c>
      <c r="C494" s="7" t="s">
        <v>10</v>
      </c>
      <c r="D494" s="7">
        <v>192</v>
      </c>
      <c r="E494" s="7" t="s">
        <v>28</v>
      </c>
      <c r="F494" s="8" t="str">
        <f ca="1">IFERROR(__xludf.DUMMYFUNCTION("IF
(
C495=""фізична особа""
,
VLOOKUP(D495,IMPORTRANGE(""https://docs.google.com/spreadsheets/d/14Bd19lYaqBhU8_DElYkX7l4wRkHqqCUFNJY4AfY3kHU/edit?usp=sharing  #gid=0"",""фіз особи new!relations_name""),6,FALSE)
,
(IF
(
C495=""юридична особа""
,
VLOOKUP(D4"&amp;"95,IMPORTRANGE(""https://docs.google.com/spreadsheets/d/14Bd19lYaqBhU8_DElYkX7l4wRkHqqCUFNJY4AfY3kHU/edit?usp=sharing  #gid=0"",""фіз особи new!relations_name_uo""),7,FALSE)
,
)
))"),"ІВАНОВ Дмитро Валерійович")</f>
        <v>ІВАНОВ Дмитро Валерійович</v>
      </c>
      <c r="G494" s="7" t="s">
        <v>10</v>
      </c>
      <c r="H494" s="7">
        <v>13</v>
      </c>
      <c r="I494" s="8" t="str">
        <f ca="1">IFERROR(__xludf.DUMMYFUNCTION("IF
(
G495=""фізична особа""
,
VLOOKUP(H495,IMPORTRANGE(""https://docs.google.com/spreadsheets/d/14Bd19lYaqBhU8_DElYkX7l4wRkHqqCUFNJY4AfY3kHU/edit?usp=sharing  #gid=0"",""фіз особи new!relations_name""),6,FALSE)
,
(IF
(
G495=""юридична особа""
,
VLOOKUP(H4"&amp;"95,IMPORTRANGE(""https://docs.google.com/spreadsheets/d/14Bd19lYaqBhU8_DElYkX7l4wRkHqqCUFNJY4AfY3kHU/edit?usp=sharing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494" s="7" t="s">
        <v>29</v>
      </c>
    </row>
    <row r="495" spans="1:10" ht="13.2">
      <c r="A495" s="7">
        <v>494</v>
      </c>
      <c r="B495" s="7">
        <v>1</v>
      </c>
      <c r="C495" s="7" t="s">
        <v>10</v>
      </c>
      <c r="D495" s="7">
        <v>192</v>
      </c>
      <c r="E495" s="7" t="s">
        <v>52</v>
      </c>
      <c r="F495" s="8" t="str">
        <f ca="1">IFERROR(__xludf.DUMMYFUNCTION("IF
(
C496=""фізична особа""
,
VLOOKUP(D496,IMPORTRANGE(""https://docs.google.com/spreadsheets/d/14Bd19lYaqBhU8_DElYkX7l4wRkHqqCUFNJY4AfY3kHU/edit?usp=sharing  #gid=0"",""фіз особи new!relations_name""),6,FALSE)
,
(IF
(
C496=""юридична особа""
,
VLOOKUP(D4"&amp;"96,IMPORTRANGE(""https://docs.google.com/spreadsheets/d/14Bd19lYaqBhU8_DElYkX7l4wRkHqqCUFNJY4AfY3kHU/edit?usp=sharing  #gid=0"",""фіз особи new!relations_name_uo""),7,FALSE)
,
)
))"),"ІВАНОВ Дмитро Валерійович")</f>
        <v>ІВАНОВ Дмитро Валерійович</v>
      </c>
      <c r="G495" s="7" t="s">
        <v>10</v>
      </c>
      <c r="H495" s="7">
        <v>0</v>
      </c>
      <c r="I495" s="8" t="str">
        <f ca="1">IFERROR(__xludf.DUMMYFUNCTION("IF
(
G496=""фізична особа""
,
VLOOKUP(H496,IMPORTRANGE(""https://docs.google.com/spreadsheets/d/14Bd19lYaqBhU8_DElYkX7l4wRkHqqCUFNJY4AfY3kHU/edit?usp=sharing  #gid=0"",""фіз особи new!relations_name""),6,FALSE)
,
(IF
(
G496=""юридична особа""
,
VLOOKUP(H4"&amp;"96,IMPORTRANGE(""https://docs.google.com/spreadsheets/d/14Bd19lYaqBhU8_DElYkX7l4wRkHqqCUFNJY4AfY3kHU/edit?usp=sharing  #gid=0"",""фіз особи new!relations_name_uo""),7,FALSE)
,
)
))"),"#N/A")</f>
        <v>#N/A</v>
      </c>
      <c r="J495" s="7" t="s">
        <v>53</v>
      </c>
    </row>
    <row r="496" spans="1:10" ht="13.2">
      <c r="A496" s="7">
        <v>495</v>
      </c>
      <c r="B496" s="7">
        <v>1</v>
      </c>
      <c r="C496" s="7" t="s">
        <v>10</v>
      </c>
      <c r="D496" s="7">
        <v>193</v>
      </c>
      <c r="E496" s="7" t="s">
        <v>35</v>
      </c>
      <c r="F496" s="8" t="str">
        <f ca="1">IFERROR(__xludf.DUMMYFUNCTION("IF
(
C497=""фізична особа""
,
VLOOKUP(D497,IMPORTRANGE(""https://docs.google.com/spreadsheets/d/14Bd19lYaqBhU8_DElYkX7l4wRkHqqCUFNJY4AfY3kHU/edit?usp=sharing  #gid=0"",""фіз особи new!relations_name""),6,FALSE)
,
(IF
(
C497=""юридична особа""
,
VLOOKUP(D4"&amp;"97,IMPORTRANGE(""https://docs.google.com/spreadsheets/d/14Bd19lYaqBhU8_DElYkX7l4wRkHqqCUFNJY4AfY3kHU/edit?usp=sharing  #gid=0"",""фіз особи new!relations_name_uo""),7,FALSE)
,
)
))"),"САВЕЛЬЄВ Дмитро Іванович")</f>
        <v>САВЕЛЬЄВ Дмитро Іванович</v>
      </c>
      <c r="G496" s="7" t="s">
        <v>10</v>
      </c>
      <c r="H496" s="7">
        <v>108</v>
      </c>
      <c r="I496" s="8" t="str">
        <f ca="1">IFERROR(__xludf.DUMMYFUNCTION("IF
(
G497=""фізична особа""
,
VLOOKUP(H497,IMPORTRANGE(""https://docs.google.com/spreadsheets/d/14Bd19lYaqBhU8_DElYkX7l4wRkHqqCUFNJY4AfY3kHU/edit?usp=sharing  #gid=0"",""фіз особи new!relations_name""),6,FALSE)
,
(IF
(
G497=""юридична особа""
,
VLOOKUP(H4"&amp;"97,IMPORTRANGE(""https://docs.google.com/spreadsheets/d/14Bd19lYaqBhU8_DElYkX7l4wRkHqqCUFNJY4AfY3kHU/edit?usp=sharing  #gid=0"",""фіз особи new!relations_name_uo""),7,FALSE)
,
)
))"),"СВІСТУНОВ Аркадій Миколайович")</f>
        <v>СВІСТУНОВ Аркадій Миколайович</v>
      </c>
      <c r="J496" s="7" t="s">
        <v>35</v>
      </c>
    </row>
    <row r="497" spans="1:10" ht="13.2">
      <c r="A497" s="7">
        <v>496</v>
      </c>
      <c r="B497" s="7">
        <v>1</v>
      </c>
      <c r="C497" s="7" t="s">
        <v>10</v>
      </c>
      <c r="D497" s="7">
        <v>194</v>
      </c>
      <c r="E497" s="7" t="s">
        <v>14</v>
      </c>
      <c r="F497" s="8" t="str">
        <f ca="1">IFERROR(__xludf.DUMMYFUNCTION("IF
(
C498=""фізична особа""
,
VLOOKUP(D498,IMPORTRANGE(""https://docs.google.com/spreadsheets/d/14Bd19lYaqBhU8_DElYkX7l4wRkHqqCUFNJY4AfY3kHU/edit?usp=sharing  #gid=0"",""фіз особи new!relations_name""),6,FALSE)
,
(IF
(
C498=""юридична особа""
,
VLOOKUP(D4"&amp;"98,IMPORTRANGE(""https://docs.google.com/spreadsheets/d/14Bd19lYaqBhU8_DElYkX7l4wRkHqqCUFNJY4AfY3kHU/edit?usp=sharing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497" s="7" t="s">
        <v>10</v>
      </c>
      <c r="H497" s="7">
        <v>0</v>
      </c>
      <c r="I497" s="8" t="str">
        <f ca="1">IFERROR(__xludf.DUMMYFUNCTION("IF
(
G498=""фізична особа""
,
VLOOKUP(H498,IMPORTRANGE(""https://docs.google.com/spreadsheets/d/14Bd19lYaqBhU8_DElYkX7l4wRkHqqCUFNJY4AfY3kHU/edit?usp=sharing  #gid=0"",""фіз особи new!relations_name""),6,FALSE)
,
(IF
(
G498=""юридична особа""
,
VLOOKUP(H4"&amp;"98,IMPORTRANGE(""https://docs.google.com/spreadsheets/d/14Bd19lYaqBhU8_DElYkX7l4wRkHqqCUFNJY4AfY3kHU/edit?usp=sharing  #gid=0"",""фіз особи new!relations_name_uo""),7,FALSE)
,
)
))"),"#N/A")</f>
        <v>#N/A</v>
      </c>
      <c r="J497" s="7" t="s">
        <v>15</v>
      </c>
    </row>
    <row r="498" spans="1:10" ht="13.2">
      <c r="A498" s="7">
        <v>497</v>
      </c>
      <c r="B498" s="7">
        <v>1</v>
      </c>
      <c r="C498" s="7" t="s">
        <v>10</v>
      </c>
      <c r="D498" s="7">
        <v>194</v>
      </c>
      <c r="E498" s="7" t="s">
        <v>12</v>
      </c>
      <c r="F498" s="8" t="str">
        <f ca="1">IFERROR(__xludf.DUMMYFUNCTION("IF
(
C499=""фізична особа""
,
VLOOKUP(D499,IMPORTRANGE(""https://docs.google.com/spreadsheets/d/14Bd19lYaqBhU8_DElYkX7l4wRkHqqCUFNJY4AfY3kHU/edit?usp=sharing  #gid=0"",""фіз особи new!relations_name""),6,FALSE)
,
(IF
(
C499=""юридична особа""
,
VLOOKUP(D4"&amp;"99,IMPORTRANGE(""https://docs.google.com/spreadsheets/d/14Bd19lYaqBhU8_DElYkX7l4wRkHqqCUFNJY4AfY3kHU/edit?usp=sharing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498" s="7" t="s">
        <v>10</v>
      </c>
      <c r="H498" s="7">
        <v>0</v>
      </c>
      <c r="I498" s="8" t="str">
        <f ca="1">IFERROR(__xludf.DUMMYFUNCTION("IF
(
G499=""фізична особа""
,
VLOOKUP(H499,IMPORTRANGE(""https://docs.google.com/spreadsheets/d/14Bd19lYaqBhU8_DElYkX7l4wRkHqqCUFNJY4AfY3kHU/edit?usp=sharing  #gid=0"",""фіз особи new!relations_name""),6,FALSE)
,
(IF
(
G499=""юридична особа""
,
VLOOKUP(H4"&amp;"99,IMPORTRANGE(""https://docs.google.com/spreadsheets/d/14Bd19lYaqBhU8_DElYkX7l4wRkHqqCUFNJY4AfY3kHU/edit?usp=sharing  #gid=0"",""фіз особи new!relations_name_uo""),7,FALSE)
,
)
))"),"#N/A")</f>
        <v>#N/A</v>
      </c>
      <c r="J498" s="7" t="s">
        <v>17</v>
      </c>
    </row>
    <row r="499" spans="1:10" ht="13.2">
      <c r="A499" s="7">
        <v>498</v>
      </c>
      <c r="B499" s="7">
        <v>1</v>
      </c>
      <c r="C499" s="7" t="s">
        <v>10</v>
      </c>
      <c r="D499" s="7">
        <v>194</v>
      </c>
      <c r="E499" s="7" t="s">
        <v>12</v>
      </c>
      <c r="F499" s="8" t="str">
        <f ca="1">IFERROR(__xludf.DUMMYFUNCTION("IF
(
C500=""фізична особа""
,
VLOOKUP(D500,IMPORTRANGE(""https://docs.google.com/spreadsheets/d/14Bd19lYaqBhU8_DElYkX7l4wRkHqqCUFNJY4AfY3kHU/edit?usp=sharing  #gid=0"",""фіз особи new!relations_name""),6,FALSE)
,
(IF
(
C500=""юридична особа""
,
VLOOKUP(D5"&amp;"00,IMPORTRANGE(""https://docs.google.com/spreadsheets/d/14Bd19lYaqBhU8_DElYkX7l4wRkHqqCUFNJY4AfY3kHU/edit?usp=sharing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499" s="7" t="s">
        <v>10</v>
      </c>
      <c r="H499" s="7">
        <v>0</v>
      </c>
      <c r="I499" s="8" t="str">
        <f ca="1">IFERROR(__xludf.DUMMYFUNCTION("IF
(
G500=""фізична особа""
,
VLOOKUP(H500,IMPORTRANGE(""https://docs.google.com/spreadsheets/d/14Bd19lYaqBhU8_DElYkX7l4wRkHqqCUFNJY4AfY3kHU/edit?usp=sharing  #gid=0"",""фіз особи new!relations_name""),6,FALSE)
,
(IF
(
G500=""юридична особа""
,
VLOOKUP(H5"&amp;"00,IMPORTRANGE(""https://docs.google.com/spreadsheets/d/14Bd19lYaqBhU8_DElYkX7l4wRkHqqCUFNJY4AfY3kHU/edit?usp=sharing  #gid=0"",""фіз особи new!relations_name_uo""),7,FALSE)
,
)
))"),"#N/A")</f>
        <v>#N/A</v>
      </c>
      <c r="J499" s="7" t="s">
        <v>17</v>
      </c>
    </row>
    <row r="500" spans="1:10" ht="13.2">
      <c r="A500" s="7">
        <v>499</v>
      </c>
      <c r="B500" s="7">
        <v>1</v>
      </c>
      <c r="C500" s="7" t="s">
        <v>10</v>
      </c>
      <c r="D500" s="7">
        <v>194</v>
      </c>
      <c r="E500" s="7" t="s">
        <v>29</v>
      </c>
      <c r="F500" s="8" t="str">
        <f ca="1">IFERROR(__xludf.DUMMYFUNCTION("IF
(
C501=""фізична особа""
,
VLOOKUP(D501,IMPORTRANGE(""https://docs.google.com/spreadsheets/d/14Bd19lYaqBhU8_DElYkX7l4wRkHqqCUFNJY4AfY3kHU/edit?usp=sharing  #gid=0"",""фіз особи new!relations_name""),6,FALSE)
,
(IF
(
C501=""юридична особа""
,
VLOOKUP(D5"&amp;"01,IMPORTRANGE(""https://docs.google.com/spreadsheets/d/14Bd19lYaqBhU8_DElYkX7l4wRkHqqCUFNJY4AfY3kHU/edit?usp=sharing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0" s="7" t="s">
        <v>10</v>
      </c>
      <c r="H500" s="7">
        <v>3038</v>
      </c>
      <c r="I500" s="8" t="str">
        <f ca="1">IFERROR(__xludf.DUMMYFUNCTION("IF
(
G501=""фізична особа""
,
VLOOKUP(H501,IMPORTRANGE(""https://docs.google.com/spreadsheets/d/14Bd19lYaqBhU8_DElYkX7l4wRkHqqCUFNJY4AfY3kHU/edit?usp=sharing  #gid=0"",""фіз особи new!relations_name""),6,FALSE)
,
(IF
(
G501=""юридична особа""
,
VLOOKUP(H5"&amp;"01,IMPORTRANGE(""https://docs.google.com/spreadsheets/d/14Bd19lYaqBhU8_DElYkX7l4wRkHqqCUFNJY4AfY3kHU/edit?usp=sharing  #gid=0"",""фіз особи new!relations_name_uo""),7,FALSE)
,
)
))"),"ДЬОМІН Олександр Вікторович")</f>
        <v>ДЬОМІН Олександр Вікторович</v>
      </c>
      <c r="J500" s="7" t="s">
        <v>28</v>
      </c>
    </row>
    <row r="501" spans="1:10" ht="13.2">
      <c r="A501" s="7">
        <v>500</v>
      </c>
      <c r="B501" s="7">
        <v>1</v>
      </c>
      <c r="C501" s="7" t="s">
        <v>10</v>
      </c>
      <c r="D501" s="7">
        <v>194</v>
      </c>
      <c r="E501" s="7" t="s">
        <v>30</v>
      </c>
      <c r="F501" s="8" t="str">
        <f ca="1">IFERROR(__xludf.DUMMYFUNCTION("IF
(
C502=""фізична особа""
,
VLOOKUP(D502,IMPORTRANGE(""https://docs.google.com/spreadsheets/d/14Bd19lYaqBhU8_DElYkX7l4wRkHqqCUFNJY4AfY3kHU/edit?usp=sharing  #gid=0"",""фіз особи new!relations_name""),6,FALSE)
,
(IF
(
C502=""юридична особа""
,
VLOOKUP(D5"&amp;"02,IMPORTRANGE(""https://docs.google.com/spreadsheets/d/14Bd19lYaqBhU8_DElYkX7l4wRkHqqCUFNJY4AfY3kHU/edit?usp=sharing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1" s="7" t="s">
        <v>10</v>
      </c>
      <c r="H501" s="7">
        <v>0</v>
      </c>
      <c r="I501" s="8" t="str">
        <f ca="1">IFERROR(__xludf.DUMMYFUNCTION("IF
(
G502=""фізична особа""
,
VLOOKUP(H502,IMPORTRANGE(""https://docs.google.com/spreadsheets/d/14Bd19lYaqBhU8_DElYkX7l4wRkHqqCUFNJY4AfY3kHU/edit?usp=sharing  #gid=0"",""фіз особи new!relations_name""),6,FALSE)
,
(IF
(
G502=""юридична особа""
,
VLOOKUP(H5"&amp;"02,IMPORTRANGE(""https://docs.google.com/spreadsheets/d/14Bd19lYaqBhU8_DElYkX7l4wRkHqqCUFNJY4AfY3kHU/edit?usp=sharing  #gid=0"",""фіз особи new!relations_name_uo""),7,FALSE)
,
)
))"),"#N/A")</f>
        <v>#N/A</v>
      </c>
      <c r="J501" s="7" t="s">
        <v>30</v>
      </c>
    </row>
    <row r="502" spans="1:10" ht="13.2">
      <c r="A502" s="7">
        <v>501</v>
      </c>
      <c r="B502" s="7">
        <v>1</v>
      </c>
      <c r="C502" s="7" t="s">
        <v>10</v>
      </c>
      <c r="D502" s="7">
        <v>194</v>
      </c>
      <c r="E502" s="7" t="s">
        <v>29</v>
      </c>
      <c r="F502" s="8" t="str">
        <f ca="1">IFERROR(__xludf.DUMMYFUNCTION("IF
(
C503=""фізична особа""
,
VLOOKUP(D503,IMPORTRANGE(""https://docs.google.com/spreadsheets/d/14Bd19lYaqBhU8_DElYkX7l4wRkHqqCUFNJY4AfY3kHU/edit?usp=sharing  #gid=0"",""фіз особи new!relations_name""),6,FALSE)
,
(IF
(
C503=""юридична особа""
,
VLOOKUP(D5"&amp;"03,IMPORTRANGE(""https://docs.google.com/spreadsheets/d/14Bd19lYaqBhU8_DElYkX7l4wRkHqqCUFNJY4AfY3kHU/edit?usp=sharing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2" s="7" t="s">
        <v>10</v>
      </c>
      <c r="H502" s="7">
        <v>2477</v>
      </c>
      <c r="I502" s="8" t="str">
        <f ca="1">IFERROR(__xludf.DUMMYFUNCTION("IF
(
G503=""фізична особа""
,
VLOOKUP(H503,IMPORTRANGE(""https://docs.google.com/spreadsheets/d/14Bd19lYaqBhU8_DElYkX7l4wRkHqqCUFNJY4AfY3kHU/edit?usp=sharing  #gid=0"",""фіз особи new!relations_name""),6,FALSE)
,
(IF
(
G503=""юридична особа""
,
VLOOKUP(H5"&amp;"03,IMPORTRANGE(""https://docs.google.com/spreadsheets/d/14Bd19lYaqBhU8_DElYkX7l4wRkHqqCUFNJY4AfY3kHU/edit?usp=sharing  #gid=0"",""фіз особи new!relations_name_uo""),7,FALSE)
,
)
))"),"ТРАВНІКОВ Максим Олександрович")</f>
        <v>ТРАВНІКОВ Максим Олександрович</v>
      </c>
      <c r="J502" s="7" t="s">
        <v>28</v>
      </c>
    </row>
    <row r="503" spans="1:10" ht="13.2">
      <c r="A503" s="7">
        <v>502</v>
      </c>
      <c r="B503" s="7">
        <v>1</v>
      </c>
      <c r="C503" s="7" t="s">
        <v>10</v>
      </c>
      <c r="D503" s="7">
        <v>194</v>
      </c>
      <c r="E503" s="7" t="s">
        <v>30</v>
      </c>
      <c r="F503" s="8" t="str">
        <f ca="1">IFERROR(__xludf.DUMMYFUNCTION("IF
(
C504=""фізична особа""
,
VLOOKUP(D504,IMPORTRANGE(""https://docs.google.com/spreadsheets/d/14Bd19lYaqBhU8_DElYkX7l4wRkHqqCUFNJY4AfY3kHU/edit?usp=sharing  #gid=0"",""фіз особи new!relations_name""),6,FALSE)
,
(IF
(
C504=""юридична особа""
,
VLOOKUP(D5"&amp;"04,IMPORTRANGE(""https://docs.google.com/spreadsheets/d/14Bd19lYaqBhU8_DElYkX7l4wRkHqqCUFNJY4AfY3kHU/edit?usp=sharing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3" s="7" t="s">
        <v>10</v>
      </c>
      <c r="H503" s="7">
        <v>0</v>
      </c>
      <c r="I503" s="8" t="str">
        <f ca="1">IFERROR(__xludf.DUMMYFUNCTION("IF
(
G504=""фізична особа""
,
VLOOKUP(H504,IMPORTRANGE(""https://docs.google.com/spreadsheets/d/14Bd19lYaqBhU8_DElYkX7l4wRkHqqCUFNJY4AfY3kHU/edit?usp=sharing  #gid=0"",""фіз особи new!relations_name""),6,FALSE)
,
(IF
(
G504=""юридична особа""
,
VLOOKUP(H5"&amp;"04,IMPORTRANGE(""https://docs.google.com/spreadsheets/d/14Bd19lYaqBhU8_DElYkX7l4wRkHqqCUFNJY4AfY3kHU/edit?usp=sharing  #gid=0"",""фіз особи new!relations_name_uo""),7,FALSE)
,
)
))"),"#N/A")</f>
        <v>#N/A</v>
      </c>
      <c r="J503" s="7" t="s">
        <v>30</v>
      </c>
    </row>
    <row r="504" spans="1:10" ht="13.2">
      <c r="A504" s="7">
        <v>503</v>
      </c>
      <c r="B504" s="7">
        <v>1</v>
      </c>
      <c r="C504" s="7" t="s">
        <v>10</v>
      </c>
      <c r="D504" s="7">
        <v>194</v>
      </c>
      <c r="E504" s="7" t="s">
        <v>30</v>
      </c>
      <c r="F504" s="8" t="str">
        <f ca="1">IFERROR(__xludf.DUMMYFUNCTION("IF
(
C505=""фізична особа""
,
VLOOKUP(D505,IMPORTRANGE(""https://docs.google.com/spreadsheets/d/14Bd19lYaqBhU8_DElYkX7l4wRkHqqCUFNJY4AfY3kHU/edit?usp=sharing  #gid=0"",""фіз особи new!relations_name""),6,FALSE)
,
(IF
(
C505=""юридична особа""
,
VLOOKUP(D5"&amp;"05,IMPORTRANGE(""https://docs.google.com/spreadsheets/d/14Bd19lYaqBhU8_DElYkX7l4wRkHqqCUFNJY4AfY3kHU/edit?usp=sharing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4" s="7" t="s">
        <v>10</v>
      </c>
      <c r="H504" s="7">
        <v>88</v>
      </c>
      <c r="I504" s="8" t="str">
        <f ca="1">IFERROR(__xludf.DUMMYFUNCTION("IF
(
G505=""фізична особа""
,
VLOOKUP(H505,IMPORTRANGE(""https://docs.google.com/spreadsheets/d/14Bd19lYaqBhU8_DElYkX7l4wRkHqqCUFNJY4AfY3kHU/edit?usp=sharing  #gid=0"",""фіз особи new!relations_name""),6,FALSE)
,
(IF
(
G505=""юридична особа""
,
VLOOKUP(H5"&amp;"05,IMPORTRANGE(""https://docs.google.com/spreadsheets/d/14Bd19lYaqBhU8_DElYkX7l4wRkHqqCUFNJY4AfY3kHU/edit?usp=sharing  #gid=0"",""фіз особи new!relations_name_uo""),7,FALSE)
,
)
))"),"ЯЦКІН Андрій Володимирович")</f>
        <v>ЯЦКІН Андрій Володимирович</v>
      </c>
      <c r="J504" s="7" t="s">
        <v>30</v>
      </c>
    </row>
    <row r="505" spans="1:10" ht="13.2">
      <c r="A505" s="7">
        <v>504</v>
      </c>
      <c r="B505" s="7">
        <v>1</v>
      </c>
      <c r="C505" s="7" t="s">
        <v>10</v>
      </c>
      <c r="D505" s="7">
        <v>194</v>
      </c>
      <c r="E505" s="7" t="s">
        <v>28</v>
      </c>
      <c r="F505" s="8" t="str">
        <f ca="1">IFERROR(__xludf.DUMMYFUNCTION("IF
(
C506=""фізична особа""
,
VLOOKUP(D506,IMPORTRANGE(""https://docs.google.com/spreadsheets/d/14Bd19lYaqBhU8_DElYkX7l4wRkHqqCUFNJY4AfY3kHU/edit?usp=sharing  #gid=0"",""фіз особи new!relations_name""),6,FALSE)
,
(IF
(
C506=""юридична особа""
,
VLOOKUP(D5"&amp;"06,IMPORTRANGE(""https://docs.google.com/spreadsheets/d/14Bd19lYaqBhU8_DElYkX7l4wRkHqqCUFNJY4AfY3kHU/edit?usp=sharing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5" s="7" t="s">
        <v>10</v>
      </c>
      <c r="H505" s="7">
        <v>98</v>
      </c>
      <c r="I505" s="8" t="str">
        <f ca="1">IFERROR(__xludf.DUMMYFUNCTION("IF
(
G506=""фізична особа""
,
VLOOKUP(H506,IMPORTRANGE(""https://docs.google.com/spreadsheets/d/14Bd19lYaqBhU8_DElYkX7l4wRkHqqCUFNJY4AfY3kHU/edit?usp=sharing  #gid=0"",""фіз особи new!relations_name""),6,FALSE)
,
(IF
(
G506=""юридична особа""
,
VLOOKUP(H5"&amp;"06,IMPORTRANGE(""https://docs.google.com/spreadsheets/d/14Bd19lYaqBhU8_DElYkX7l4wRkHqqCUFNJY4AfY3kHU/edit?usp=sharing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J505" s="7" t="s">
        <v>29</v>
      </c>
    </row>
    <row r="506" spans="1:10" ht="13.2">
      <c r="A506" s="7">
        <v>505</v>
      </c>
      <c r="B506" s="7">
        <v>1</v>
      </c>
      <c r="C506" s="7" t="s">
        <v>10</v>
      </c>
      <c r="D506" s="7">
        <v>194</v>
      </c>
      <c r="E506" s="7" t="s">
        <v>30</v>
      </c>
      <c r="F506" s="8" t="str">
        <f ca="1">IFERROR(__xludf.DUMMYFUNCTION("IF
(
C507=""фізична особа""
,
VLOOKUP(D507,IMPORTRANGE(""https://docs.google.com/spreadsheets/d/14Bd19lYaqBhU8_DElYkX7l4wRkHqqCUFNJY4AfY3kHU/edit?usp=sharing  #gid=0"",""фіз особи new!relations_name""),6,FALSE)
,
(IF
(
C507=""юридична особа""
,
VLOOKUP(D5"&amp;"07,IMPORTRANGE(""https://docs.google.com/spreadsheets/d/14Bd19lYaqBhU8_DElYkX7l4wRkHqqCUFNJY4AfY3kHU/edit?usp=sharing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6" s="7" t="s">
        <v>10</v>
      </c>
      <c r="H506" s="7">
        <v>0</v>
      </c>
      <c r="I506" s="8" t="str">
        <f ca="1">IFERROR(__xludf.DUMMYFUNCTION("IF
(
G507=""фізична особа""
,
VLOOKUP(H507,IMPORTRANGE(""https://docs.google.com/spreadsheets/d/14Bd19lYaqBhU8_DElYkX7l4wRkHqqCUFNJY4AfY3kHU/edit?usp=sharing  #gid=0"",""фіз особи new!relations_name""),6,FALSE)
,
(IF
(
G507=""юридична особа""
,
VLOOKUP(H5"&amp;"07,IMPORTRANGE(""https://docs.google.com/spreadsheets/d/14Bd19lYaqBhU8_DElYkX7l4wRkHqqCUFNJY4AfY3kHU/edit?usp=sharing  #gid=0"",""фіз особи new!relations_name_uo""),7,FALSE)
,
)
))"),"#N/A")</f>
        <v>#N/A</v>
      </c>
      <c r="J506" s="7" t="s">
        <v>30</v>
      </c>
    </row>
    <row r="507" spans="1:10" ht="13.2">
      <c r="A507" s="7">
        <v>506</v>
      </c>
      <c r="B507" s="7">
        <v>1</v>
      </c>
      <c r="C507" s="7" t="s">
        <v>10</v>
      </c>
      <c r="D507" s="7">
        <v>194</v>
      </c>
      <c r="E507" s="7" t="s">
        <v>30</v>
      </c>
      <c r="F507" s="8" t="str">
        <f ca="1">IFERROR(__xludf.DUMMYFUNCTION("IF
(
C508=""фізична особа""
,
VLOOKUP(D508,IMPORTRANGE(""https://docs.google.com/spreadsheets/d/14Bd19lYaqBhU8_DElYkX7l4wRkHqqCUFNJY4AfY3kHU/edit?usp=sharing  #gid=0"",""фіз особи new!relations_name""),6,FALSE)
,
(IF
(
C508=""юридична особа""
,
VLOOKUP(D5"&amp;"08,IMPORTRANGE(""https://docs.google.com/spreadsheets/d/14Bd19lYaqBhU8_DElYkX7l4wRkHqqCUFNJY4AfY3kHU/edit?usp=sharing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7" s="7" t="s">
        <v>10</v>
      </c>
      <c r="H507" s="7">
        <v>4534</v>
      </c>
      <c r="I507" s="8" t="str">
        <f ca="1">IFERROR(__xludf.DUMMYFUNCTION("IF
(
G508=""фізична особа""
,
VLOOKUP(H508,IMPORTRANGE(""https://docs.google.com/spreadsheets/d/14Bd19lYaqBhU8_DElYkX7l4wRkHqqCUFNJY4AfY3kHU/edit?usp=sharing  #gid=0"",""фіз особи new!relations_name""),6,FALSE)
,
(IF
(
G508=""юридична особа""
,
VLOOKUP(H5"&amp;"08,IMPORTRANGE(""https://docs.google.com/spreadsheets/d/14Bd19lYaqBhU8_DElYkX7l4wRkHqqCUFNJY4AfY3kHU/edit?usp=sharing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507" s="7" t="s">
        <v>30</v>
      </c>
    </row>
    <row r="508" spans="1:10" ht="13.2">
      <c r="A508" s="7">
        <v>507</v>
      </c>
      <c r="B508" s="7">
        <v>1</v>
      </c>
      <c r="C508" s="7" t="s">
        <v>10</v>
      </c>
      <c r="D508" s="7">
        <v>194</v>
      </c>
      <c r="E508" s="7" t="s">
        <v>30</v>
      </c>
      <c r="F508" s="8" t="str">
        <f ca="1">IFERROR(__xludf.DUMMYFUNCTION("IF
(
C509=""фізична особа""
,
VLOOKUP(D509,IMPORTRANGE(""https://docs.google.com/spreadsheets/d/14Bd19lYaqBhU8_DElYkX7l4wRkHqqCUFNJY4AfY3kHU/edit?usp=sharing  #gid=0"",""фіз особи new!relations_name""),6,FALSE)
,
(IF
(
C509=""юридична особа""
,
VLOOKUP(D5"&amp;"09,IMPORTRANGE(""https://docs.google.com/spreadsheets/d/14Bd19lYaqBhU8_DElYkX7l4wRkHqqCUFNJY4AfY3kHU/edit?usp=sharing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G508" s="7" t="s">
        <v>10</v>
      </c>
      <c r="H508" s="7">
        <v>185</v>
      </c>
      <c r="I508" s="8" t="str">
        <f ca="1">IFERROR(__xludf.DUMMYFUNCTION("IF
(
G509=""фізична особа""
,
VLOOKUP(H509,IMPORTRANGE(""https://docs.google.com/spreadsheets/d/14Bd19lYaqBhU8_DElYkX7l4wRkHqqCUFNJY4AfY3kHU/edit?usp=sharing  #gid=0"",""фіз особи new!relations_name""),6,FALSE)
,
(IF
(
G509=""юридична особа""
,
VLOOKUP(H5"&amp;"09,IMPORTRANGE(""https://docs.google.com/spreadsheets/d/14Bd19lYaqBhU8_DElYkX7l4wRkHqqCUFNJY4AfY3kHU/edit?usp=sharing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508" s="7" t="s">
        <v>30</v>
      </c>
    </row>
    <row r="509" spans="1:10" ht="13.2">
      <c r="A509" s="7">
        <v>508</v>
      </c>
      <c r="B509" s="7">
        <v>1</v>
      </c>
      <c r="C509" s="7" t="s">
        <v>10</v>
      </c>
      <c r="D509" s="7">
        <v>195</v>
      </c>
      <c r="E509" s="7" t="s">
        <v>28</v>
      </c>
      <c r="F509" s="8" t="str">
        <f ca="1">IFERROR(__xludf.DUMMYFUNCTION("IF
(
C510=""фізична особа""
,
VLOOKUP(D510,IMPORTRANGE(""https://docs.google.com/spreadsheets/d/14Bd19lYaqBhU8_DElYkX7l4wRkHqqCUFNJY4AfY3kHU/edit?usp=sharing  #gid=0"",""фіз особи new!relations_name""),6,FALSE)
,
(IF
(
C510=""юридична особа""
,
VLOOKUP(D5"&amp;"10,IMPORTRANGE(""https://docs.google.com/spreadsheets/d/14Bd19lYaqBhU8_DElYkX7l4wRkHqqCUFNJY4AfY3kHU/edit?usp=sharing  #gid=0"",""фіз особи new!relations_name_uo""),7,FALSE)
,
)
))"),"БЕКРЕНЬ Дмитро Леонтійович")</f>
        <v>БЕКРЕНЬ Дмитро Леонтійович</v>
      </c>
      <c r="G509" s="7" t="s">
        <v>10</v>
      </c>
      <c r="H509" s="7">
        <v>821</v>
      </c>
      <c r="I509" s="8" t="str">
        <f ca="1">IFERROR(__xludf.DUMMYFUNCTION("IF
(
G510=""фізична особа""
,
VLOOKUP(H510,IMPORTRANGE(""https://docs.google.com/spreadsheets/d/14Bd19lYaqBhU8_DElYkX7l4wRkHqqCUFNJY4AfY3kHU/edit?usp=sharing  #gid=0"",""фіз особи new!relations_name""),6,FALSE)
,
(IF
(
G510=""юридична особа""
,
VLOOKUP(H5"&amp;"10,IMPORTRANGE(""https://docs.google.com/spreadsheets/d/14Bd19lYaqBhU8_DElYkX7l4wRkHqqCUFNJY4AfY3kHU/edit?usp=sharing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509" s="7" t="s">
        <v>29</v>
      </c>
    </row>
    <row r="510" spans="1:10" ht="13.2">
      <c r="A510" s="7">
        <v>509</v>
      </c>
      <c r="B510" s="7">
        <v>1</v>
      </c>
      <c r="C510" s="7" t="s">
        <v>10</v>
      </c>
      <c r="D510" s="7">
        <v>197</v>
      </c>
      <c r="E510" s="7" t="s">
        <v>28</v>
      </c>
      <c r="F510" s="8" t="str">
        <f ca="1">IFERROR(__xludf.DUMMYFUNCTION("IF
(
C511=""фізична особа""
,
VLOOKUP(D511,IMPORTRANGE(""https://docs.google.com/spreadsheets/d/14Bd19lYaqBhU8_DElYkX7l4wRkHqqCUFNJY4AfY3kHU/edit?usp=sharing  #gid=0"",""фіз особи new!relations_name""),6,FALSE)
,
(IF
(
C511=""юридична особа""
,
VLOOKUP(D5"&amp;"11,IMPORTRANGE(""https://docs.google.com/spreadsheets/d/14Bd19lYaqBhU8_DElYkX7l4wRkHqqCUFNJY4AfY3kHU/edit?usp=sharing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G510" s="7" t="s">
        <v>10</v>
      </c>
      <c r="H510" s="7">
        <v>460</v>
      </c>
      <c r="I510" s="8" t="str">
        <f ca="1">IFERROR(__xludf.DUMMYFUNCTION("IF
(
G511=""фізична особа""
,
VLOOKUP(H511,IMPORTRANGE(""https://docs.google.com/spreadsheets/d/14Bd19lYaqBhU8_DElYkX7l4wRkHqqCUFNJY4AfY3kHU/edit?usp=sharing  #gid=0"",""фіз особи new!relations_name""),6,FALSE)
,
(IF
(
G511=""юридична особа""
,
VLOOKUP(H5"&amp;"11,IMPORTRANGE(""https://docs.google.com/spreadsheets/d/14Bd19lYaqBhU8_DElYkX7l4wRkHqqCUFNJY4AfY3kHU/edit?usp=sharing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510" s="7" t="s">
        <v>29</v>
      </c>
    </row>
    <row r="511" spans="1:10" ht="13.2">
      <c r="A511" s="7">
        <v>510</v>
      </c>
      <c r="B511" s="7">
        <v>1</v>
      </c>
      <c r="C511" s="7" t="s">
        <v>10</v>
      </c>
      <c r="D511" s="7">
        <v>197</v>
      </c>
      <c r="E511" s="7" t="s">
        <v>14</v>
      </c>
      <c r="F511" s="8" t="str">
        <f ca="1">IFERROR(__xludf.DUMMYFUNCTION("IF
(
C512=""фізична особа""
,
VLOOKUP(D512,IMPORTRANGE(""https://docs.google.com/spreadsheets/d/14Bd19lYaqBhU8_DElYkX7l4wRkHqqCUFNJY4AfY3kHU/edit?usp=sharing  #gid=0"",""фіз особи new!relations_name""),6,FALSE)
,
(IF
(
C512=""юридична особа""
,
VLOOKUP(D5"&amp;"12,IMPORTRANGE(""https://docs.google.com/spreadsheets/d/14Bd19lYaqBhU8_DElYkX7l4wRkHqqCUFNJY4AfY3kHU/edit?usp=sharing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G511" s="7" t="s">
        <v>10</v>
      </c>
      <c r="H511" s="7">
        <v>2902</v>
      </c>
      <c r="I511" s="8" t="str">
        <f ca="1">IFERROR(__xludf.DUMMYFUNCTION("IF
(
G512=""фізична особа""
,
VLOOKUP(H512,IMPORTRANGE(""https://docs.google.com/spreadsheets/d/14Bd19lYaqBhU8_DElYkX7l4wRkHqqCUFNJY4AfY3kHU/edit?usp=sharing  #gid=0"",""фіз особи new!relations_name""),6,FALSE)
,
(IF
(
G512=""юридична особа""
,
VLOOKUP(H5"&amp;"12,IMPORTRANGE(""https://docs.google.com/spreadsheets/d/14Bd19lYaqBhU8_DElYkX7l4wRkHqqCUFNJY4AfY3kHU/edit?usp=sharing  #gid=0"",""фіз особи new!relations_name_uo""),7,FALSE)
,
)
))"),"ЧЕРНИШЕНКО Тетяна Львівна")</f>
        <v>ЧЕРНИШЕНКО Тетяна Львівна</v>
      </c>
      <c r="J511" s="7" t="s">
        <v>15</v>
      </c>
    </row>
    <row r="512" spans="1:10" ht="13.2">
      <c r="A512" s="7">
        <v>511</v>
      </c>
      <c r="B512" s="7">
        <v>1</v>
      </c>
      <c r="C512" s="7" t="s">
        <v>10</v>
      </c>
      <c r="D512" s="7">
        <v>197</v>
      </c>
      <c r="E512" s="7" t="s">
        <v>12</v>
      </c>
      <c r="F512" s="8" t="str">
        <f ca="1">IFERROR(__xludf.DUMMYFUNCTION("IF
(
C513=""фізична особа""
,
VLOOKUP(D513,IMPORTRANGE(""https://docs.google.com/spreadsheets/d/14Bd19lYaqBhU8_DElYkX7l4wRkHqqCUFNJY4AfY3kHU/edit?usp=sharing  #gid=0"",""фіз особи new!relations_name""),6,FALSE)
,
(IF
(
C513=""юридична особа""
,
VLOOKUP(D5"&amp;"13,IMPORTRANGE(""https://docs.google.com/spreadsheets/d/14Bd19lYaqBhU8_DElYkX7l4wRkHqqCUFNJY4AfY3kHU/edit?usp=sharing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G512" s="7" t="s">
        <v>10</v>
      </c>
      <c r="H512" s="7">
        <v>2930</v>
      </c>
      <c r="I512" s="8" t="str">
        <f ca="1">IFERROR(__xludf.DUMMYFUNCTION("IF
(
G513=""фізична особа""
,
VLOOKUP(H513,IMPORTRANGE(""https://docs.google.com/spreadsheets/d/14Bd19lYaqBhU8_DElYkX7l4wRkHqqCUFNJY4AfY3kHU/edit?usp=sharing  #gid=0"",""фіз особи new!relations_name""),6,FALSE)
,
(IF
(
G513=""юридична особа""
,
VLOOKUP(H5"&amp;"13,IMPORTRANGE(""https://docs.google.com/spreadsheets/d/14Bd19lYaqBhU8_DElYkX7l4wRkHqqCUFNJY4AfY3kHU/edit?usp=sharing  #gid=0"",""фіз особи new!relations_name_uo""),7,FALSE)
,
)
))"),"ЧЕРНИШЕНКО Дар'я Дмитрівна")</f>
        <v>ЧЕРНИШЕНКО Дар'я Дмитрівна</v>
      </c>
      <c r="J512" s="7" t="s">
        <v>13</v>
      </c>
    </row>
    <row r="513" spans="1:10" ht="13.2">
      <c r="A513" s="7">
        <v>512</v>
      </c>
      <c r="B513" s="7">
        <v>1</v>
      </c>
      <c r="C513" s="7" t="s">
        <v>10</v>
      </c>
      <c r="D513" s="7">
        <v>197</v>
      </c>
      <c r="E513" s="7" t="s">
        <v>12</v>
      </c>
      <c r="F513" s="8" t="str">
        <f ca="1">IFERROR(__xludf.DUMMYFUNCTION("IF
(
C514=""фізична особа""
,
VLOOKUP(D514,IMPORTRANGE(""https://docs.google.com/spreadsheets/d/14Bd19lYaqBhU8_DElYkX7l4wRkHqqCUFNJY4AfY3kHU/edit?usp=sharing  #gid=0"",""фіз особи new!relations_name""),6,FALSE)
,
(IF
(
C514=""юридична особа""
,
VLOOKUP(D5"&amp;"14,IMPORTRANGE(""https://docs.google.com/spreadsheets/d/14Bd19lYaqBhU8_DElYkX7l4wRkHqqCUFNJY4AfY3kHU/edit?usp=sharing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G513" s="7" t="s">
        <v>10</v>
      </c>
      <c r="H513" s="7">
        <v>2931</v>
      </c>
      <c r="I513" s="8" t="str">
        <f ca="1">IFERROR(__xludf.DUMMYFUNCTION("IF
(
G514=""фізична особа""
,
VLOOKUP(H514,IMPORTRANGE(""https://docs.google.com/spreadsheets/d/14Bd19lYaqBhU8_DElYkX7l4wRkHqqCUFNJY4AfY3kHU/edit?usp=sharing  #gid=0"",""фіз особи new!relations_name""),6,FALSE)
,
(IF
(
G514=""юридична особа""
,
VLOOKUP(H5"&amp;"14,IMPORTRANGE(""https://docs.google.com/spreadsheets/d/14Bd19lYaqBhU8_DElYkX7l4wRkHqqCUFNJY4AfY3kHU/edit?usp=sharing  #gid=0"",""фіз особи new!relations_name_uo""),7,FALSE)
,
)
))"),"ЧЕРНИШЕНКО Єлизавета Дмитрівна")</f>
        <v>ЧЕРНИШЕНКО Єлизавета Дмитрівна</v>
      </c>
      <c r="J513" s="7" t="s">
        <v>13</v>
      </c>
    </row>
    <row r="514" spans="1:10" ht="13.2">
      <c r="A514" s="7">
        <v>513</v>
      </c>
      <c r="B514" s="7">
        <v>1</v>
      </c>
      <c r="C514" s="7" t="s">
        <v>10</v>
      </c>
      <c r="D514" s="7">
        <v>198</v>
      </c>
      <c r="E514" s="7" t="s">
        <v>11</v>
      </c>
      <c r="F514" s="8" t="str">
        <f ca="1">IFERROR(__xludf.DUMMYFUNCTION("IF
(
C515=""фізична особа""
,
VLOOKUP(D515,IMPORTRANGE(""https://docs.google.com/spreadsheets/d/14Bd19lYaqBhU8_DElYkX7l4wRkHqqCUFNJY4AfY3kHU/edit?usp=sharing  #gid=0"",""фіз особи new!relations_name""),6,FALSE)
,
(IF
(
C515=""юридична особа""
,
VLOOKUP(D5"&amp;"15,IMPORTRANGE(""https://docs.google.com/spreadsheets/d/14Bd19lYaqBhU8_DElYkX7l4wRkHqqCUFNJY4AfY3kHU/edit?usp=sharing  #gid=0"",""фіз особи new!relations_name_uo""),7,FALSE)
,
)
))"),"ЛОЦМАНОВ Дмитро Миколайович")</f>
        <v>ЛОЦМАНОВ Дмитро Миколайович</v>
      </c>
      <c r="G514" s="7" t="s">
        <v>10</v>
      </c>
      <c r="H514" s="7">
        <v>0</v>
      </c>
      <c r="I514" s="8" t="str">
        <f ca="1">IFERROR(__xludf.DUMMYFUNCTION("IF
(
G515=""фізична особа""
,
VLOOKUP(H515,IMPORTRANGE(""https://docs.google.com/spreadsheets/d/14Bd19lYaqBhU8_DElYkX7l4wRkHqqCUFNJY4AfY3kHU/edit?usp=sharing  #gid=0"",""фіз особи new!relations_name""),6,FALSE)
,
(IF
(
G515=""юридична особа""
,
VLOOKUP(H5"&amp;"15,IMPORTRANGE(""https://docs.google.com/spreadsheets/d/14Bd19lYaqBhU8_DElYkX7l4wRkHqqCUFNJY4AfY3kHU/edit?usp=sharing  #gid=0"",""фіз особи new!relations_name_uo""),7,FALSE)
,
)
))"),"#N/A")</f>
        <v>#N/A</v>
      </c>
      <c r="J514" s="7" t="s">
        <v>11</v>
      </c>
    </row>
    <row r="515" spans="1:10" ht="13.2">
      <c r="A515" s="7">
        <v>514</v>
      </c>
      <c r="B515" s="7">
        <v>1</v>
      </c>
      <c r="C515" s="7" t="s">
        <v>10</v>
      </c>
      <c r="D515" s="7">
        <v>198</v>
      </c>
      <c r="E515" s="7" t="s">
        <v>17</v>
      </c>
      <c r="F515" s="8" t="str">
        <f ca="1">IFERROR(__xludf.DUMMYFUNCTION("IF
(
C516=""фізична особа""
,
VLOOKUP(D516,IMPORTRANGE(""https://docs.google.com/spreadsheets/d/14Bd19lYaqBhU8_DElYkX7l4wRkHqqCUFNJY4AfY3kHU/edit?usp=sharing  #gid=0"",""фіз особи new!relations_name""),6,FALSE)
,
(IF
(
C516=""юридична особа""
,
VLOOKUP(D5"&amp;"16,IMPORTRANGE(""https://docs.google.com/spreadsheets/d/14Bd19lYaqBhU8_DElYkX7l4wRkHqqCUFNJY4AfY3kHU/edit?usp=sharing  #gid=0"",""фіз особи new!relations_name_uo""),7,FALSE)
,
)
))"),"ЛОЦМАНОВ Дмитро Миколайович")</f>
        <v>ЛОЦМАНОВ Дмитро Миколайович</v>
      </c>
      <c r="G515" s="7" t="s">
        <v>10</v>
      </c>
      <c r="H515" s="7">
        <v>0</v>
      </c>
      <c r="I515" s="8" t="str">
        <f ca="1">IFERROR(__xludf.DUMMYFUNCTION("IF
(
G516=""фізична особа""
,
VLOOKUP(H516,IMPORTRANGE(""https://docs.google.com/spreadsheets/d/14Bd19lYaqBhU8_DElYkX7l4wRkHqqCUFNJY4AfY3kHU/edit?usp=sharing  #gid=0"",""фіз особи new!relations_name""),6,FALSE)
,
(IF
(
G516=""юридична особа""
,
VLOOKUP(H5"&amp;"16,IMPORTRANGE(""https://docs.google.com/spreadsheets/d/14Bd19lYaqBhU8_DElYkX7l4wRkHqqCUFNJY4AfY3kHU/edit?usp=sharing  #gid=0"",""фіз особи new!relations_name_uo""),7,FALSE)
,
)
))"),"#N/A")</f>
        <v>#N/A</v>
      </c>
      <c r="J515" s="7" t="s">
        <v>21</v>
      </c>
    </row>
    <row r="516" spans="1:10" ht="13.2">
      <c r="A516" s="7">
        <v>515</v>
      </c>
      <c r="B516" s="7">
        <v>1</v>
      </c>
      <c r="C516" s="7" t="s">
        <v>10</v>
      </c>
      <c r="D516" s="7">
        <v>198</v>
      </c>
      <c r="E516" s="7" t="s">
        <v>11</v>
      </c>
      <c r="F516" s="8" t="str">
        <f ca="1">IFERROR(__xludf.DUMMYFUNCTION("IF
(
C517=""фізична особа""
,
VLOOKUP(D517,IMPORTRANGE(""https://docs.google.com/spreadsheets/d/14Bd19lYaqBhU8_DElYkX7l4wRkHqqCUFNJY4AfY3kHU/edit?usp=sharing  #gid=0"",""фіз особи new!relations_name""),6,FALSE)
,
(IF
(
C517=""юридична особа""
,
VLOOKUP(D5"&amp;"17,IMPORTRANGE(""https://docs.google.com/spreadsheets/d/14Bd19lYaqBhU8_DElYkX7l4wRkHqqCUFNJY4AfY3kHU/edit?usp=sharing  #gid=0"",""фіз особи new!relations_name_uo""),7,FALSE)
,
)
))"),"ЛОЦМАНОВ Дмитро Миколайович")</f>
        <v>ЛОЦМАНОВ Дмитро Миколайович</v>
      </c>
      <c r="G516" s="7" t="s">
        <v>10</v>
      </c>
      <c r="H516" s="7">
        <v>0</v>
      </c>
      <c r="I516" s="8" t="str">
        <f ca="1">IFERROR(__xludf.DUMMYFUNCTION("IF
(
G517=""фізична особа""
,
VLOOKUP(H517,IMPORTRANGE(""https://docs.google.com/spreadsheets/d/14Bd19lYaqBhU8_DElYkX7l4wRkHqqCUFNJY4AfY3kHU/edit?usp=sharing  #gid=0"",""фіз особи new!relations_name""),6,FALSE)
,
(IF
(
G517=""юридична особа""
,
VLOOKUP(H5"&amp;"17,IMPORTRANGE(""https://docs.google.com/spreadsheets/d/14Bd19lYaqBhU8_DElYkX7l4wRkHqqCUFNJY4AfY3kHU/edit?usp=sharing  #gid=0"",""фіз особи new!relations_name_uo""),7,FALSE)
,
)
))"),"#N/A")</f>
        <v>#N/A</v>
      </c>
      <c r="J516" s="7" t="s">
        <v>11</v>
      </c>
    </row>
    <row r="517" spans="1:10" ht="13.2">
      <c r="A517" s="7">
        <v>516</v>
      </c>
      <c r="B517" s="7">
        <v>1</v>
      </c>
      <c r="C517" s="7" t="s">
        <v>10</v>
      </c>
      <c r="D517" s="7">
        <v>198</v>
      </c>
      <c r="E517" s="7" t="s">
        <v>11</v>
      </c>
      <c r="F517" s="8" t="str">
        <f ca="1">IFERROR(__xludf.DUMMYFUNCTION("IF
(
C518=""фізична особа""
,
VLOOKUP(D518,IMPORTRANGE(""https://docs.google.com/spreadsheets/d/14Bd19lYaqBhU8_DElYkX7l4wRkHqqCUFNJY4AfY3kHU/edit?usp=sharing  #gid=0"",""фіз особи new!relations_name""),6,FALSE)
,
(IF
(
C518=""юридична особа""
,
VLOOKUP(D5"&amp;"18,IMPORTRANGE(""https://docs.google.com/spreadsheets/d/14Bd19lYaqBhU8_DElYkX7l4wRkHqqCUFNJY4AfY3kHU/edit?usp=sharing  #gid=0"",""фіз особи new!relations_name_uo""),7,FALSE)
,
)
))"),"ЛОЦМАНОВ Дмитро Миколайович")</f>
        <v>ЛОЦМАНОВ Дмитро Миколайович</v>
      </c>
      <c r="G517" s="7" t="s">
        <v>10</v>
      </c>
      <c r="H517" s="7">
        <v>0</v>
      </c>
      <c r="I517" s="8" t="str">
        <f ca="1">IFERROR(__xludf.DUMMYFUNCTION("IF
(
G518=""фізична особа""
,
VLOOKUP(H518,IMPORTRANGE(""https://docs.google.com/spreadsheets/d/14Bd19lYaqBhU8_DElYkX7l4wRkHqqCUFNJY4AfY3kHU/edit?usp=sharing  #gid=0"",""фіз особи new!relations_name""),6,FALSE)
,
(IF
(
G518=""юридична особа""
,
VLOOKUP(H5"&amp;"18,IMPORTRANGE(""https://docs.google.com/spreadsheets/d/14Bd19lYaqBhU8_DElYkX7l4wRkHqqCUFNJY4AfY3kHU/edit?usp=sharing  #gid=0"",""фіз особи new!relations_name_uo""),7,FALSE)
,
)
))"),"#N/A")</f>
        <v>#N/A</v>
      </c>
      <c r="J517" s="7" t="s">
        <v>11</v>
      </c>
    </row>
    <row r="518" spans="1:10" ht="13.2">
      <c r="A518" s="7">
        <v>517</v>
      </c>
      <c r="B518" s="7">
        <v>1</v>
      </c>
      <c r="C518" s="7" t="s">
        <v>10</v>
      </c>
      <c r="D518" s="7">
        <v>198</v>
      </c>
      <c r="E518" s="7" t="s">
        <v>11</v>
      </c>
      <c r="F518" s="8" t="str">
        <f ca="1">IFERROR(__xludf.DUMMYFUNCTION("IF
(
C519=""фізична особа""
,
VLOOKUP(D519,IMPORTRANGE(""https://docs.google.com/spreadsheets/d/14Bd19lYaqBhU8_DElYkX7l4wRkHqqCUFNJY4AfY3kHU/edit?usp=sharing  #gid=0"",""фіз особи new!relations_name""),6,FALSE)
,
(IF
(
C519=""юридична особа""
,
VLOOKUP(D5"&amp;"19,IMPORTRANGE(""https://docs.google.com/spreadsheets/d/14Bd19lYaqBhU8_DElYkX7l4wRkHqqCUFNJY4AfY3kHU/edit?usp=sharing  #gid=0"",""фіз особи new!relations_name_uo""),7,FALSE)
,
)
))"),"ЛОЦМАНОВ Дмитро Миколайович")</f>
        <v>ЛОЦМАНОВ Дмитро Миколайович</v>
      </c>
      <c r="G518" s="7" t="s">
        <v>10</v>
      </c>
      <c r="H518" s="7">
        <v>0</v>
      </c>
      <c r="I518" s="8" t="str">
        <f ca="1">IFERROR(__xludf.DUMMYFUNCTION("IF
(
G519=""фізична особа""
,
VLOOKUP(H519,IMPORTRANGE(""https://docs.google.com/spreadsheets/d/14Bd19lYaqBhU8_DElYkX7l4wRkHqqCUFNJY4AfY3kHU/edit?usp=sharing  #gid=0"",""фіз особи new!relations_name""),6,FALSE)
,
(IF
(
G519=""юридична особа""
,
VLOOKUP(H5"&amp;"19,IMPORTRANGE(""https://docs.google.com/spreadsheets/d/14Bd19lYaqBhU8_DElYkX7l4wRkHqqCUFNJY4AfY3kHU/edit?usp=sharing  #gid=0"",""фіз особи new!relations_name_uo""),7,FALSE)
,
)
))"),"#N/A")</f>
        <v>#N/A</v>
      </c>
      <c r="J518" s="7" t="s">
        <v>11</v>
      </c>
    </row>
    <row r="519" spans="1:10" ht="13.2">
      <c r="A519" s="7">
        <v>518</v>
      </c>
      <c r="B519" s="7">
        <v>1</v>
      </c>
      <c r="C519" s="7" t="s">
        <v>10</v>
      </c>
      <c r="D519" s="7">
        <v>199</v>
      </c>
      <c r="E519" s="7" t="s">
        <v>18</v>
      </c>
      <c r="F519" s="8" t="str">
        <f ca="1">IFERROR(__xludf.DUMMYFUNCTION("IF
(
C520=""фізична особа""
,
VLOOKUP(D520,IMPORTRANGE(""https://docs.google.com/spreadsheets/d/14Bd19lYaqBhU8_DElYkX7l4wRkHqqCUFNJY4AfY3kHU/edit?usp=sharing  #gid=0"",""фіз особи new!relations_name""),6,FALSE)
,
(IF
(
C520=""юридична особа""
,
VLOOKUP(D5"&amp;"20,IMPORTRANGE(""https://docs.google.com/spreadsheets/d/14Bd19lYaqBhU8_DElYkX7l4wRkHqqCUFNJY4AfY3kHU/edit?usp=sharing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G519" s="7" t="s">
        <v>10</v>
      </c>
      <c r="H519" s="7">
        <v>78</v>
      </c>
      <c r="I519" s="8" t="str">
        <f ca="1">IFERROR(__xludf.DUMMYFUNCTION("IF
(
G520=""фізична особа""
,
VLOOKUP(H520,IMPORTRANGE(""https://docs.google.com/spreadsheets/d/14Bd19lYaqBhU8_DElYkX7l4wRkHqqCUFNJY4AfY3kHU/edit?usp=sharing  #gid=0"",""фіз особи new!relations_name""),6,FALSE)
,
(IF
(
G520=""юридична особа""
,
VLOOKUP(H5"&amp;"20,IMPORTRANGE(""https://docs.google.com/spreadsheets/d/14Bd19lYaqBhU8_DElYkX7l4wRkHqqCUFNJY4AfY3kHU/edit?usp=sharing  #gid=0"",""фіз особи new!relations_name_uo""),7,FALSE)
,
)
))"),"ПАТРУШЕВ Андрій Миколайович")</f>
        <v>ПАТРУШЕВ Андрій Миколайович</v>
      </c>
      <c r="J519" s="7" t="s">
        <v>18</v>
      </c>
    </row>
    <row r="520" spans="1:10" ht="13.2">
      <c r="A520" s="7">
        <v>519</v>
      </c>
      <c r="B520" s="7">
        <v>1</v>
      </c>
      <c r="C520" s="7" t="s">
        <v>10</v>
      </c>
      <c r="D520" s="7">
        <v>199</v>
      </c>
      <c r="E520" s="7" t="s">
        <v>17</v>
      </c>
      <c r="F520" s="8" t="str">
        <f ca="1">IFERROR(__xludf.DUMMYFUNCTION("IF
(
C521=""фізична особа""
,
VLOOKUP(D521,IMPORTRANGE(""https://docs.google.com/spreadsheets/d/14Bd19lYaqBhU8_DElYkX7l4wRkHqqCUFNJY4AfY3kHU/edit?usp=sharing  #gid=0"",""фіз особи new!relations_name""),6,FALSE)
,
(IF
(
C521=""юридична особа""
,
VLOOKUP(D5"&amp;"21,IMPORTRANGE(""https://docs.google.com/spreadsheets/d/14Bd19lYaqBhU8_DElYkX7l4wRkHqqCUFNJY4AfY3kHU/edit?usp=sharing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G520" s="7" t="s">
        <v>10</v>
      </c>
      <c r="H520" s="7">
        <v>504</v>
      </c>
      <c r="I520" s="8" t="str">
        <f ca="1">IFERROR(__xludf.DUMMYFUNCTION("IF
(
G521=""фізична особа""
,
VLOOKUP(H521,IMPORTRANGE(""https://docs.google.com/spreadsheets/d/14Bd19lYaqBhU8_DElYkX7l4wRkHqqCUFNJY4AfY3kHU/edit?usp=sharing  #gid=0"",""фіз особи new!relations_name""),6,FALSE)
,
(IF
(
G521=""юридична особа""
,
VLOOKUP(H5"&amp;"21,IMPORTRANGE(""https://docs.google.com/spreadsheets/d/14Bd19lYaqBhU8_DElYkX7l4wRkHqqCUFNJY4AfY3kHU/edit?usp=sharing  #gid=0"",""фіз особи new!relations_name_uo""),7,FALSE)
,
)
))"),"ПАТРУШЕВ Микола Платонович")</f>
        <v>ПАТРУШЕВ Микола Платонович</v>
      </c>
      <c r="J520" s="7" t="s">
        <v>12</v>
      </c>
    </row>
    <row r="521" spans="1:10" ht="13.2">
      <c r="A521" s="7">
        <v>520</v>
      </c>
      <c r="B521" s="7">
        <v>1</v>
      </c>
      <c r="C521" s="7" t="s">
        <v>10</v>
      </c>
      <c r="D521" s="7">
        <v>199</v>
      </c>
      <c r="E521" s="7" t="s">
        <v>17</v>
      </c>
      <c r="F521" s="8" t="str">
        <f ca="1">IFERROR(__xludf.DUMMYFUNCTION("IF
(
C522=""фізична особа""
,
VLOOKUP(D522,IMPORTRANGE(""https://docs.google.com/spreadsheets/d/14Bd19lYaqBhU8_DElYkX7l4wRkHqqCUFNJY4AfY3kHU/edit?usp=sharing  #gid=0"",""фіз особи new!relations_name""),6,FALSE)
,
(IF
(
C522=""юридична особа""
,
VLOOKUP(D5"&amp;"22,IMPORTRANGE(""https://docs.google.com/spreadsheets/d/14Bd19lYaqBhU8_DElYkX7l4wRkHqqCUFNJY4AfY3kHU/edit?usp=sharing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G521" s="7" t="s">
        <v>10</v>
      </c>
      <c r="H521" s="7">
        <v>23366</v>
      </c>
      <c r="I521" s="8" t="str">
        <f ca="1">IFERROR(__xludf.DUMMYFUNCTION("IF
(
G522=""фізична особа""
,
VLOOKUP(H522,IMPORTRANGE(""https://docs.google.com/spreadsheets/d/14Bd19lYaqBhU8_DElYkX7l4wRkHqqCUFNJY4AfY3kHU/edit?usp=sharing  #gid=0"",""фіз особи new!relations_name""),6,FALSE)
,
(IF
(
G522=""юридична особа""
,
VLOOKUP(H5"&amp;"22,IMPORTRANGE(""https://docs.google.com/spreadsheets/d/14Bd19lYaqBhU8_DElYkX7l4wRkHqqCUFNJY4AfY3kHU/edit?usp=sharing  #gid=0"",""фіз особи new!relations_name_uo""),7,FALSE)
,
)
))"),"ПАТРУШЕВА Олена Миколаївна")</f>
        <v>ПАТРУШЕВА Олена Миколаївна</v>
      </c>
      <c r="J521" s="7" t="s">
        <v>21</v>
      </c>
    </row>
    <row r="522" spans="1:10" ht="13.2">
      <c r="A522" s="7">
        <v>521</v>
      </c>
      <c r="B522" s="7">
        <v>1</v>
      </c>
      <c r="C522" s="7" t="s">
        <v>10</v>
      </c>
      <c r="D522" s="7">
        <v>200</v>
      </c>
      <c r="E522" s="7" t="s">
        <v>28</v>
      </c>
      <c r="F522" s="8" t="str">
        <f ca="1">IFERROR(__xludf.DUMMYFUNCTION("IF
(
C523=""фізична особа""
,
VLOOKUP(D523,IMPORTRANGE(""https://docs.google.com/spreadsheets/d/14Bd19lYaqBhU8_DElYkX7l4wRkHqqCUFNJY4AfY3kHU/edit?usp=sharing  #gid=0"",""фіз особи new!relations_name""),6,FALSE)
,
(IF
(
C523=""юридична особа""
,
VLOOKUP(D5"&amp;"23,IMPORTRANGE(""https://docs.google.com/spreadsheets/d/14Bd19lYaqBhU8_DElYkX7l4wRkHqqCUFNJY4AfY3kHU/edit?usp=sharing  #gid=0"",""фіз особи new!relations_name_uo""),7,FALSE)
,
)
))"),"ПОДЛІПАНОВ Дмитро Вікторович")</f>
        <v>ПОДЛІПАНОВ Дмитро Вікторович</v>
      </c>
      <c r="G522" s="7" t="s">
        <v>10</v>
      </c>
      <c r="H522" s="7">
        <v>4567</v>
      </c>
      <c r="I522" s="8" t="str">
        <f ca="1">IFERROR(__xludf.DUMMYFUNCTION("IF
(
G523=""фізична особа""
,
VLOOKUP(H523,IMPORTRANGE(""https://docs.google.com/spreadsheets/d/14Bd19lYaqBhU8_DElYkX7l4wRkHqqCUFNJY4AfY3kHU/edit?usp=sharing  #gid=0"",""фіз особи new!relations_name""),6,FALSE)
,
(IF
(
G523=""юридична особа""
,
VLOOKUP(H5"&amp;"23,IMPORTRANGE(""https://docs.google.com/spreadsheets/d/14Bd19lYaqBhU8_DElYkX7l4wRkHqqCUFNJY4AfY3kHU/edit?usp=sharing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522" s="7" t="s">
        <v>29</v>
      </c>
    </row>
    <row r="523" spans="1:10" ht="13.2">
      <c r="A523" s="7">
        <v>522</v>
      </c>
      <c r="B523" s="7">
        <v>1</v>
      </c>
      <c r="C523" s="7" t="s">
        <v>10</v>
      </c>
      <c r="D523" s="7">
        <v>201</v>
      </c>
      <c r="E523" s="7" t="s">
        <v>40</v>
      </c>
      <c r="F523" s="8" t="str">
        <f ca="1">IFERROR(__xludf.DUMMYFUNCTION("IF
(
C524=""фізична особа""
,
VLOOKUP(D524,IMPORTRANGE(""https://docs.google.com/spreadsheets/d/14Bd19lYaqBhU8_DElYkX7l4wRkHqqCUFNJY4AfY3kHU/edit?usp=sharing  #gid=0"",""фіз особи new!relations_name""),6,FALSE)
,
(IF
(
C524=""юридична особа""
,
VLOOKUP(D5"&amp;"24,IMPORTRANGE(""https://docs.google.com/spreadsheets/d/14Bd19lYaqBhU8_DElYkX7l4wRkHqqCUFNJY4AfY3kHU/edit?usp=sharing  #gid=0"",""фіз особи new!relations_name_uo""),7,FALSE)
,
)
))"),"ДИКИЙ Олексій Олександрович")</f>
        <v>ДИКИЙ Олексій Олександрович</v>
      </c>
      <c r="G523" s="7" t="s">
        <v>10</v>
      </c>
      <c r="H523" s="7">
        <v>14762</v>
      </c>
      <c r="I523" s="8" t="str">
        <f ca="1">IFERROR(__xludf.DUMMYFUNCTION("IF
(
G524=""фізична особа""
,
VLOOKUP(H524,IMPORTRANGE(""https://docs.google.com/spreadsheets/d/14Bd19lYaqBhU8_DElYkX7l4wRkHqqCUFNJY4AfY3kHU/edit?usp=sharing  #gid=0"",""фіз особи new!relations_name""),6,FALSE)
,
(IF
(
G524=""юридична особа""
,
VLOOKUP(H5"&amp;"24,IMPORTRANGE(""https://docs.google.com/spreadsheets/d/14Bd19lYaqBhU8_DElYkX7l4wRkHqqCUFNJY4AfY3kHU/edit?usp=sharing  #gid=0"",""фіз особи new!relations_name_uo""),7,FALSE)
,
)
))"),"ЗАХАРЧЕНКО Олександр Володимирович")</f>
        <v>ЗАХАРЧЕНКО Олександр Володимирович</v>
      </c>
      <c r="J523" s="7" t="s">
        <v>41</v>
      </c>
    </row>
    <row r="524" spans="1:10" ht="13.2">
      <c r="A524" s="7">
        <v>523</v>
      </c>
      <c r="B524" s="7">
        <v>1</v>
      </c>
      <c r="C524" s="7" t="s">
        <v>10</v>
      </c>
      <c r="D524" s="7">
        <v>203</v>
      </c>
      <c r="E524" s="7" t="s">
        <v>14</v>
      </c>
      <c r="F524" s="8" t="str">
        <f ca="1">IFERROR(__xludf.DUMMYFUNCTION("IF
(
C525=""фізична особа""
,
VLOOKUP(D525,IMPORTRANGE(""https://docs.google.com/spreadsheets/d/14Bd19lYaqBhU8_DElYkX7l4wRkHqqCUFNJY4AfY3kHU/edit?usp=sharing  #gid=0"",""фіз особи new!relations_name""),6,FALSE)
,
(IF
(
C525=""юридична особа""
,
VLOOKUP(D5"&amp;"25,IMPORTRANGE(""https://docs.google.com/spreadsheets/d/14Bd19lYaqBhU8_DElYkX7l4wRkHqqCUFNJY4AfY3kHU/edit?usp=sharing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4" s="7" t="s">
        <v>10</v>
      </c>
      <c r="H524" s="7">
        <v>760</v>
      </c>
      <c r="I524" s="8" t="str">
        <f ca="1">IFERROR(__xludf.DUMMYFUNCTION("IF
(
G525=""фізична особа""
,
VLOOKUP(H525,IMPORTRANGE(""https://docs.google.com/spreadsheets/d/14Bd19lYaqBhU8_DElYkX7l4wRkHqqCUFNJY4AfY3kHU/edit?usp=sharing  #gid=0"",""фіз особи new!relations_name""),6,FALSE)
,
(IF
(
G525=""юридична особа""
,
VLOOKUP(H5"&amp;"25,IMPORTRANGE(""https://docs.google.com/spreadsheets/d/14Bd19lYaqBhU8_DElYkX7l4wRkHqqCUFNJY4AfY3kHU/edit?usp=sharing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J524" s="7" t="s">
        <v>15</v>
      </c>
    </row>
    <row r="525" spans="1:10" ht="13.2">
      <c r="A525" s="7">
        <v>524</v>
      </c>
      <c r="B525" s="7">
        <v>1</v>
      </c>
      <c r="C525" s="7" t="s">
        <v>10</v>
      </c>
      <c r="D525" s="7">
        <v>203</v>
      </c>
      <c r="E525" s="7" t="s">
        <v>12</v>
      </c>
      <c r="F525" s="8" t="str">
        <f ca="1">IFERROR(__xludf.DUMMYFUNCTION("IF
(
C526=""фізична особа""
,
VLOOKUP(D526,IMPORTRANGE(""https://docs.google.com/spreadsheets/d/14Bd19lYaqBhU8_DElYkX7l4wRkHqqCUFNJY4AfY3kHU/edit?usp=sharing  #gid=0"",""фіз особи new!relations_name""),6,FALSE)
,
(IF
(
C526=""юридична особа""
,
VLOOKUP(D5"&amp;"26,IMPORTRANGE(""https://docs.google.com/spreadsheets/d/14Bd19lYaqBhU8_DElYkX7l4wRkHqqCUFNJY4AfY3kHU/edit?usp=sharing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5" s="7" t="s">
        <v>10</v>
      </c>
      <c r="H525" s="7">
        <v>2042</v>
      </c>
      <c r="I525" s="8" t="str">
        <f ca="1">IFERROR(__xludf.DUMMYFUNCTION("IF
(
G526=""фізична особа""
,
VLOOKUP(H526,IMPORTRANGE(""https://docs.google.com/spreadsheets/d/14Bd19lYaqBhU8_DElYkX7l4wRkHqqCUFNJY4AfY3kHU/edit?usp=sharing  #gid=0"",""фіз особи new!relations_name""),6,FALSE)
,
(IF
(
G526=""юридична особа""
,
VLOOKUP(H5"&amp;"26,IMPORTRANGE(""https://docs.google.com/spreadsheets/d/14Bd19lYaqBhU8_DElYkX7l4wRkHqqCUFNJY4AfY3kHU/edit?usp=sharing  #gid=0"",""фіз особи new!relations_name_uo""),7,FALSE)
,
)
))"),"ПЄСКОВ Дені Дмитрович")</f>
        <v>ПЄСКОВ Дені Дмитрович</v>
      </c>
      <c r="J525" s="7" t="s">
        <v>17</v>
      </c>
    </row>
    <row r="526" spans="1:10" ht="13.2">
      <c r="A526" s="7">
        <v>525</v>
      </c>
      <c r="B526" s="7">
        <v>1</v>
      </c>
      <c r="C526" s="7" t="s">
        <v>10</v>
      </c>
      <c r="D526" s="7">
        <v>203</v>
      </c>
      <c r="E526" s="7" t="s">
        <v>12</v>
      </c>
      <c r="F526" s="8" t="str">
        <f ca="1">IFERROR(__xludf.DUMMYFUNCTION("IF
(
C527=""фізична особа""
,
VLOOKUP(D527,IMPORTRANGE(""https://docs.google.com/spreadsheets/d/14Bd19lYaqBhU8_DElYkX7l4wRkHqqCUFNJY4AfY3kHU/edit?usp=sharing  #gid=0"",""фіз особи new!relations_name""),6,FALSE)
,
(IF
(
C527=""юридична особа""
,
VLOOKUP(D5"&amp;"27,IMPORTRANGE(""https://docs.google.com/spreadsheets/d/14Bd19lYaqBhU8_DElYkX7l4wRkHqqCUFNJY4AfY3kHU/edit?usp=sharing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6" s="7" t="s">
        <v>10</v>
      </c>
      <c r="H526" s="7">
        <v>2041</v>
      </c>
      <c r="I526" s="8" t="str">
        <f ca="1">IFERROR(__xludf.DUMMYFUNCTION("IF
(
G527=""фізична особа""
,
VLOOKUP(H527,IMPORTRANGE(""https://docs.google.com/spreadsheets/d/14Bd19lYaqBhU8_DElYkX7l4wRkHqqCUFNJY4AfY3kHU/edit?usp=sharing  #gid=0"",""фіз особи new!relations_name""),6,FALSE)
,
(IF
(
G527=""юридична особа""
,
VLOOKUP(H5"&amp;"27,IMPORTRANGE(""https://docs.google.com/spreadsheets/d/14Bd19lYaqBhU8_DElYkX7l4wRkHqqCUFNJY4AfY3kHU/edit?usp=sharing  #gid=0"",""фіз особи new!relations_name_uo""),7,FALSE)
,
)
))"),"ПЄСКОВА Надія Дмитрівна")</f>
        <v>ПЄСКОВА Надія Дмитрівна</v>
      </c>
      <c r="J526" s="7" t="s">
        <v>13</v>
      </c>
    </row>
    <row r="527" spans="1:10" ht="13.2">
      <c r="A527" s="7">
        <v>526</v>
      </c>
      <c r="B527" s="7">
        <v>1</v>
      </c>
      <c r="C527" s="7" t="s">
        <v>10</v>
      </c>
      <c r="D527" s="7">
        <v>203</v>
      </c>
      <c r="E527" s="7" t="s">
        <v>12</v>
      </c>
      <c r="F527" s="8" t="str">
        <f ca="1">IFERROR(__xludf.DUMMYFUNCTION("IF
(
C528=""фізична особа""
,
VLOOKUP(D528,IMPORTRANGE(""https://docs.google.com/spreadsheets/d/14Bd19lYaqBhU8_DElYkX7l4wRkHqqCUFNJY4AfY3kHU/edit?usp=sharing  #gid=0"",""фіз особи new!relations_name""),6,FALSE)
,
(IF
(
C528=""юридична особа""
,
VLOOKUP(D5"&amp;"28,IMPORTRANGE(""https://docs.google.com/spreadsheets/d/14Bd19lYaqBhU8_DElYkX7l4wRkHqqCUFNJY4AfY3kHU/edit?usp=sharing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7" s="7" t="s">
        <v>10</v>
      </c>
      <c r="H527" s="7">
        <v>2040</v>
      </c>
      <c r="I527" s="8" t="str">
        <f ca="1">IFERROR(__xludf.DUMMYFUNCTION("IF
(
G528=""фізична особа""
,
VLOOKUP(H528,IMPORTRANGE(""https://docs.google.com/spreadsheets/d/14Bd19lYaqBhU8_DElYkX7l4wRkHqqCUFNJY4AfY3kHU/edit?usp=sharing  #gid=0"",""фіз особи new!relations_name""),6,FALSE)
,
(IF
(
G528=""юридична особа""
,
VLOOKUP(H5"&amp;"28,IMPORTRANGE(""https://docs.google.com/spreadsheets/d/14Bd19lYaqBhU8_DElYkX7l4wRkHqqCUFNJY4AfY3kHU/edit?usp=sharing  #gid=0"",""фіз особи new!relations_name_uo""),7,FALSE)
,
)
))"),"ПЄСКОВ Михайло Дмитрович")</f>
        <v>ПЄСКОВ Михайло Дмитрович</v>
      </c>
      <c r="J527" s="7" t="s">
        <v>17</v>
      </c>
    </row>
    <row r="528" spans="1:10" ht="13.2">
      <c r="A528" s="7">
        <v>527</v>
      </c>
      <c r="B528" s="7">
        <v>1</v>
      </c>
      <c r="C528" s="7" t="s">
        <v>10</v>
      </c>
      <c r="D528" s="7">
        <v>203</v>
      </c>
      <c r="E528" s="7" t="s">
        <v>42</v>
      </c>
      <c r="F528" s="8" t="str">
        <f ca="1">IFERROR(__xludf.DUMMYFUNCTION("IF
(
C529=""фізична особа""
,
VLOOKUP(D529,IMPORTRANGE(""https://docs.google.com/spreadsheets/d/14Bd19lYaqBhU8_DElYkX7l4wRkHqqCUFNJY4AfY3kHU/edit?usp=sharing  #gid=0"",""фіз особи new!relations_name""),6,FALSE)
,
(IF
(
C529=""юридична особа""
,
VLOOKUP(D5"&amp;"29,IMPORTRANGE(""https://docs.google.com/spreadsheets/d/14Bd19lYaqBhU8_DElYkX7l4wRkHqqCUFNJY4AfY3kHU/edit?usp=sharing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8" s="7" t="s">
        <v>10</v>
      </c>
      <c r="H528" s="7">
        <v>1041</v>
      </c>
      <c r="I528" s="8" t="str">
        <f ca="1">IFERROR(__xludf.DUMMYFUNCTION("IF
(
G529=""фізична особа""
,
VLOOKUP(H529,IMPORTRANGE(""https://docs.google.com/spreadsheets/d/14Bd19lYaqBhU8_DElYkX7l4wRkHqqCUFNJY4AfY3kHU/edit?usp=sharing  #gid=0"",""фіз особи new!relations_name""),6,FALSE)
,
(IF
(
G529=""юридична особа""
,
VLOOKUP(H5"&amp;"29,IMPORTRANGE(""https://docs.google.com/spreadsheets/d/14Bd19lYaqBhU8_DElYkX7l4wRkHqqCUFNJY4AfY3kHU/edit?usp=sharing  #gid=0"",""фіз особи new!relations_name_uo""),7,FALSE)
,
)
))"),"СОЛОЦИНСЬКА / ПЄСКОВА Катерина Володимирівна")</f>
        <v>СОЛОЦИНСЬКА / ПЄСКОВА Катерина Володимирівна</v>
      </c>
      <c r="J528" s="7" t="s">
        <v>43</v>
      </c>
    </row>
    <row r="529" spans="1:10" ht="13.2">
      <c r="A529" s="7">
        <v>528</v>
      </c>
      <c r="B529" s="7">
        <v>1</v>
      </c>
      <c r="C529" s="7" t="s">
        <v>10</v>
      </c>
      <c r="D529" s="7">
        <v>203</v>
      </c>
      <c r="E529" s="7" t="s">
        <v>26</v>
      </c>
      <c r="F529" s="8" t="str">
        <f ca="1">IFERROR(__xludf.DUMMYFUNCTION("IF
(
C530=""фізична особа""
,
VLOOKUP(D530,IMPORTRANGE(""https://docs.google.com/spreadsheets/d/14Bd19lYaqBhU8_DElYkX7l4wRkHqqCUFNJY4AfY3kHU/edit?usp=sharing  #gid=0"",""фіз особи new!relations_name""),6,FALSE)
,
(IF
(
C530=""юридична особа""
,
VLOOKUP(D5"&amp;"30,IMPORTRANGE(""https://docs.google.com/spreadsheets/d/14Bd19lYaqBhU8_DElYkX7l4wRkHqqCUFNJY4AfY3kHU/edit?usp=sharing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29" s="7" t="s">
        <v>10</v>
      </c>
      <c r="H529" s="7">
        <v>1045</v>
      </c>
      <c r="I529" s="8" t="str">
        <f ca="1">IFERROR(__xludf.DUMMYFUNCTION("IF
(
G530=""фізична особа""
,
VLOOKUP(H530,IMPORTRANGE(""https://docs.google.com/spreadsheets/d/14Bd19lYaqBhU8_DElYkX7l4wRkHqqCUFNJY4AfY3kHU/edit?usp=sharing  #gid=0"",""фіз особи new!relations_name""),6,FALSE)
,
(IF
(
G530=""юридична особа""
,
VLOOKUP(H5"&amp;"30,IMPORTRANGE(""https://docs.google.com/spreadsheets/d/14Bd19lYaqBhU8_DElYkX7l4wRkHqqCUFNJY4AfY3kHU/edit?usp=sharing  #gid=0"",""фіз особи new!relations_name_uo""),7,FALSE)
,
)
))"),"НАВКА Раїса Анатоліївна")</f>
        <v>НАВКА Раїса Анатоліївна</v>
      </c>
      <c r="J529" s="7" t="s">
        <v>27</v>
      </c>
    </row>
    <row r="530" spans="1:10" ht="13.2">
      <c r="A530" s="7">
        <v>529</v>
      </c>
      <c r="B530" s="7">
        <v>1</v>
      </c>
      <c r="C530" s="7" t="s">
        <v>10</v>
      </c>
      <c r="D530" s="7">
        <v>203</v>
      </c>
      <c r="E530" s="7" t="s">
        <v>26</v>
      </c>
      <c r="F530" s="8" t="str">
        <f ca="1">IFERROR(__xludf.DUMMYFUNCTION("IF
(
C531=""фізична особа""
,
VLOOKUP(D531,IMPORTRANGE(""https://docs.google.com/spreadsheets/d/14Bd19lYaqBhU8_DElYkX7l4wRkHqqCUFNJY4AfY3kHU/edit?usp=sharing  #gid=0"",""фіз особи new!relations_name""),6,FALSE)
,
(IF
(
C531=""юридична особа""
,
VLOOKUP(D5"&amp;"31,IMPORTRANGE(""https://docs.google.com/spreadsheets/d/14Bd19lYaqBhU8_DElYkX7l4wRkHqqCUFNJY4AfY3kHU/edit?usp=sharing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30" s="7" t="s">
        <v>10</v>
      </c>
      <c r="H530" s="7">
        <v>1044</v>
      </c>
      <c r="I530" s="8" t="str">
        <f ca="1">IFERROR(__xludf.DUMMYFUNCTION("IF
(
G531=""фізична особа""
,
VLOOKUP(H531,IMPORTRANGE(""https://docs.google.com/spreadsheets/d/14Bd19lYaqBhU8_DElYkX7l4wRkHqqCUFNJY4AfY3kHU/edit?usp=sharing  #gid=0"",""фіз особи new!relations_name""),6,FALSE)
,
(IF
(
G531=""юридична особа""
,
VLOOKUP(H5"&amp;"31,IMPORTRANGE(""https://docs.google.com/spreadsheets/d/14Bd19lYaqBhU8_DElYkX7l4wRkHqqCUFNJY4AfY3kHU/edit?usp=sharing  #gid=0"",""фіз особи new!relations_name_uo""),7,FALSE)
,
)
))"),"НАВКА Олександр Петрович")</f>
        <v>НАВКА Олександр Петрович</v>
      </c>
      <c r="J530" s="7" t="s">
        <v>24</v>
      </c>
    </row>
    <row r="531" spans="1:10" ht="13.2">
      <c r="A531" s="7">
        <v>530</v>
      </c>
      <c r="B531" s="7">
        <v>1</v>
      </c>
      <c r="C531" s="7" t="s">
        <v>10</v>
      </c>
      <c r="D531" s="7">
        <v>203</v>
      </c>
      <c r="E531" s="7" t="s">
        <v>12</v>
      </c>
      <c r="F531" s="8" t="str">
        <f ca="1">IFERROR(__xludf.DUMMYFUNCTION("IF
(
C532=""фізична особа""
,
VLOOKUP(D532,IMPORTRANGE(""https://docs.google.com/spreadsheets/d/14Bd19lYaqBhU8_DElYkX7l4wRkHqqCUFNJY4AfY3kHU/edit?usp=sharing  #gid=0"",""фіз особи new!relations_name""),6,FALSE)
,
(IF
(
C532=""юридична особа""
,
VLOOKUP(D5"&amp;"32,IMPORTRANGE(""https://docs.google.com/spreadsheets/d/14Bd19lYaqBhU8_DElYkX7l4wRkHqqCUFNJY4AfY3kHU/edit?usp=sharing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31" s="7" t="s">
        <v>10</v>
      </c>
      <c r="H531" s="7">
        <v>1040</v>
      </c>
      <c r="I531" s="8" t="str">
        <f ca="1">IFERROR(__xludf.DUMMYFUNCTION("IF
(
G532=""фізична особа""
,
VLOOKUP(H532,IMPORTRANGE(""https://docs.google.com/spreadsheets/d/14Bd19lYaqBhU8_DElYkX7l4wRkHqqCUFNJY4AfY3kHU/edit?usp=sharing  #gid=0"",""фіз особи new!relations_name""),6,FALSE)
,
(IF
(
G532=""юридична особа""
,
VLOOKUP(H5"&amp;"32,IMPORTRANGE(""https://docs.google.com/spreadsheets/d/14Bd19lYaqBhU8_DElYkX7l4wRkHqqCUFNJY4AfY3kHU/edit?usp=sharing  #gid=0"",""фіз особи new!relations_name_uo""),7,FALSE)
,
)
))"),"ЖУЛІНА Олександра Олександрівна")</f>
        <v>ЖУЛІНА Олександра Олександрівна</v>
      </c>
      <c r="J531" s="7" t="s">
        <v>49</v>
      </c>
    </row>
    <row r="532" spans="1:10" ht="13.2">
      <c r="A532" s="7">
        <v>531</v>
      </c>
      <c r="B532" s="7">
        <v>1</v>
      </c>
      <c r="C532" s="7" t="s">
        <v>10</v>
      </c>
      <c r="D532" s="7">
        <v>203</v>
      </c>
      <c r="E532" s="7" t="s">
        <v>54</v>
      </c>
      <c r="F532" s="8" t="str">
        <f ca="1">IFERROR(__xludf.DUMMYFUNCTION("IF
(
C533=""фізична особа""
,
VLOOKUP(D533,IMPORTRANGE(""https://docs.google.com/spreadsheets/d/14Bd19lYaqBhU8_DElYkX7l4wRkHqqCUFNJY4AfY3kHU/edit?usp=sharing  #gid=0"",""фіз особи new!relations_name""),6,FALSE)
,
(IF
(
C533=""юридична особа""
,
VLOOKUP(D5"&amp;"33,IMPORTRANGE(""https://docs.google.com/spreadsheets/d/14Bd19lYaqBhU8_DElYkX7l4wRkHqqCUFNJY4AfY3kHU/edit?usp=sharing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G532" s="7" t="s">
        <v>10</v>
      </c>
      <c r="H532" s="7">
        <v>1042</v>
      </c>
      <c r="I532" s="8" t="str">
        <f ca="1">IFERROR(__xludf.DUMMYFUNCTION("IF
(
G533=""фізична особа""
,
VLOOKUP(H533,IMPORTRANGE(""https://docs.google.com/spreadsheets/d/14Bd19lYaqBhU8_DElYkX7l4wRkHqqCUFNJY4AfY3kHU/edit?usp=sharing  #gid=0"",""фіз особи new!relations_name""),6,FALSE)
,
(IF
(
G533=""юридична особа""
,
VLOOKUP(H5"&amp;"33,IMPORTRANGE(""https://docs.google.com/spreadsheets/d/14Bd19lYaqBhU8_DElYkX7l4wRkHqqCUFNJY4AfY3kHU/edit?usp=sharing  #gid=0"",""фіз особи new!relations_name_uo""),7,FALSE)
,
)
))"),"СОЛОЦИНСЬКИЙ Володимир Дмитрович")</f>
        <v>СОЛОЦИНСЬКИЙ Володимир Дмитрович</v>
      </c>
      <c r="J532" s="7" t="s">
        <v>55</v>
      </c>
    </row>
    <row r="533" spans="1:10" ht="13.2">
      <c r="A533" s="7">
        <v>532</v>
      </c>
      <c r="B533" s="7">
        <v>1</v>
      </c>
      <c r="C533" s="7" t="s">
        <v>10</v>
      </c>
      <c r="D533" s="7">
        <v>204</v>
      </c>
      <c r="E533" s="7" t="s">
        <v>28</v>
      </c>
      <c r="F533" s="8" t="str">
        <f ca="1">IFERROR(__xludf.DUMMYFUNCTION("IF
(
C534=""фізична особа""
,
VLOOKUP(D534,IMPORTRANGE(""https://docs.google.com/spreadsheets/d/14Bd19lYaqBhU8_DElYkX7l4wRkHqqCUFNJY4AfY3kHU/edit?usp=sharing  #gid=0"",""фіз особи new!relations_name""),6,FALSE)
,
(IF
(
C534=""юридична особа""
,
VLOOKUP(D5"&amp;"34,IMPORTRANGE(""https://docs.google.com/spreadsheets/d/14Bd19lYaqBhU8_DElYkX7l4wRkHqqCUFNJY4AfY3kHU/edit?usp=sharing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3" s="7" t="s">
        <v>10</v>
      </c>
      <c r="H533" s="7">
        <v>150</v>
      </c>
      <c r="I533" s="8" t="str">
        <f ca="1">IFERROR(__xludf.DUMMYFUNCTION("IF
(
G534=""фізична особа""
,
VLOOKUP(H534,IMPORTRANGE(""https://docs.google.com/spreadsheets/d/14Bd19lYaqBhU8_DElYkX7l4wRkHqqCUFNJY4AfY3kHU/edit?usp=sharing  #gid=0"",""фіз особи new!relations_name""),6,FALSE)
,
(IF
(
G534=""юридична особа""
,
VLOOKUP(H5"&amp;"34,IMPORTRANGE(""https://docs.google.com/spreadsheets/d/14Bd19lYaqBhU8_DElYkX7l4wRkHqqCUFNJY4AfY3kHU/edit?usp=sharing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533" s="7" t="s">
        <v>29</v>
      </c>
    </row>
    <row r="534" spans="1:10" ht="13.2">
      <c r="A534" s="7">
        <v>533</v>
      </c>
      <c r="B534" s="7">
        <v>1</v>
      </c>
      <c r="C534" s="7" t="s">
        <v>10</v>
      </c>
      <c r="D534" s="7">
        <v>204</v>
      </c>
      <c r="E534" s="7" t="s">
        <v>29</v>
      </c>
      <c r="F534" s="8" t="str">
        <f ca="1">IFERROR(__xludf.DUMMYFUNCTION("IF
(
C535=""фізична особа""
,
VLOOKUP(D535,IMPORTRANGE(""https://docs.google.com/spreadsheets/d/14Bd19lYaqBhU8_DElYkX7l4wRkHqqCUFNJY4AfY3kHU/edit?usp=sharing  #gid=0"",""фіз особи new!relations_name""),6,FALSE)
,
(IF
(
C535=""юридична особа""
,
VLOOKUP(D5"&amp;"35,IMPORTRANGE(""https://docs.google.com/spreadsheets/d/14Bd19lYaqBhU8_DElYkX7l4wRkHqqCUFNJY4AfY3kHU/edit?usp=sharing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4" s="7" t="s">
        <v>10</v>
      </c>
      <c r="H534" s="7">
        <v>6007</v>
      </c>
      <c r="I534" s="8" t="str">
        <f ca="1">IFERROR(__xludf.DUMMYFUNCTION("IF
(
G535=""фізична особа""
,
VLOOKUP(H535,IMPORTRANGE(""https://docs.google.com/spreadsheets/d/14Bd19lYaqBhU8_DElYkX7l4wRkHqqCUFNJY4AfY3kHU/edit?usp=sharing  #gid=0"",""фіз особи new!relations_name""),6,FALSE)
,
(IF
(
G535=""юридична особа""
,
VLOOKUP(H5"&amp;"35,IMPORTRANGE(""https://docs.google.com/spreadsheets/d/14Bd19lYaqBhU8_DElYkX7l4wRkHqqCUFNJY4AfY3kHU/edit?usp=sharing  #gid=0"",""фіз особи new!relations_name_uo""),7,FALSE)
,
)
))"),"БОЙЦОВ Андрій Артурович")</f>
        <v>БОЙЦОВ Андрій Артурович</v>
      </c>
      <c r="J534" s="7" t="s">
        <v>28</v>
      </c>
    </row>
    <row r="535" spans="1:10" ht="13.2">
      <c r="A535" s="7">
        <v>534</v>
      </c>
      <c r="B535" s="7">
        <v>1</v>
      </c>
      <c r="C535" s="7" t="s">
        <v>10</v>
      </c>
      <c r="D535" s="7">
        <v>204</v>
      </c>
      <c r="E535" s="7" t="s">
        <v>29</v>
      </c>
      <c r="F535" s="8" t="str">
        <f ca="1">IFERROR(__xludf.DUMMYFUNCTION("IF
(
C536=""фізична особа""
,
VLOOKUP(D536,IMPORTRANGE(""https://docs.google.com/spreadsheets/d/14Bd19lYaqBhU8_DElYkX7l4wRkHqqCUFNJY4AfY3kHU/edit?usp=sharing  #gid=0"",""фіз особи new!relations_name""),6,FALSE)
,
(IF
(
C536=""юридична особа""
,
VLOOKUP(D5"&amp;"36,IMPORTRANGE(""https://docs.google.com/spreadsheets/d/14Bd19lYaqBhU8_DElYkX7l4wRkHqqCUFNJY4AfY3kHU/edit?usp=sharing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5" s="7" t="s">
        <v>10</v>
      </c>
      <c r="H535" s="7">
        <v>6011</v>
      </c>
      <c r="I535" s="8" t="str">
        <f ca="1">IFERROR(__xludf.DUMMYFUNCTION("IF
(
G536=""фізична особа""
,
VLOOKUP(H536,IMPORTRANGE(""https://docs.google.com/spreadsheets/d/14Bd19lYaqBhU8_DElYkX7l4wRkHqqCUFNJY4AfY3kHU/edit?usp=sharing  #gid=0"",""фіз особи new!relations_name""),6,FALSE)
,
(IF
(
G536=""юридична особа""
,
VLOOKUP(H5"&amp;"36,IMPORTRANGE(""https://docs.google.com/spreadsheets/d/14Bd19lYaqBhU8_DElYkX7l4wRkHqqCUFNJY4AfY3kHU/edit?usp=sharing  #gid=0"",""фіз особи new!relations_name_uo""),7,FALSE)
,
)
))"),"ПУНЧУК Анатолій Григорович")</f>
        <v>ПУНЧУК Анатолій Григорович</v>
      </c>
      <c r="J535" s="7" t="s">
        <v>28</v>
      </c>
    </row>
    <row r="536" spans="1:10" ht="13.2">
      <c r="A536" s="7">
        <v>535</v>
      </c>
      <c r="B536" s="7">
        <v>1</v>
      </c>
      <c r="C536" s="7" t="s">
        <v>10</v>
      </c>
      <c r="D536" s="7">
        <v>204</v>
      </c>
      <c r="E536" s="7" t="s">
        <v>29</v>
      </c>
      <c r="F536" s="8" t="str">
        <f ca="1">IFERROR(__xludf.DUMMYFUNCTION("IF
(
C537=""фізична особа""
,
VLOOKUP(D537,IMPORTRANGE(""https://docs.google.com/spreadsheets/d/14Bd19lYaqBhU8_DElYkX7l4wRkHqqCUFNJY4AfY3kHU/edit?usp=sharing  #gid=0"",""фіз особи new!relations_name""),6,FALSE)
,
(IF
(
C537=""юридична особа""
,
VLOOKUP(D5"&amp;"37,IMPORTRANGE(""https://docs.google.com/spreadsheets/d/14Bd19lYaqBhU8_DElYkX7l4wRkHqqCUFNJY4AfY3kHU/edit?usp=sharing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6" s="7" t="s">
        <v>10</v>
      </c>
      <c r="H536" s="7">
        <v>6012</v>
      </c>
      <c r="I536" s="8" t="str">
        <f ca="1">IFERROR(__xludf.DUMMYFUNCTION("IF
(
G537=""фізична особа""
,
VLOOKUP(H537,IMPORTRANGE(""https://docs.google.com/spreadsheets/d/14Bd19lYaqBhU8_DElYkX7l4wRkHqqCUFNJY4AfY3kHU/edit?usp=sharing  #gid=0"",""фіз особи new!relations_name""),6,FALSE)
,
(IF
(
G537=""юридична особа""
,
VLOOKUP(H5"&amp;"37,IMPORTRANGE(""https://docs.google.com/spreadsheets/d/14Bd19lYaqBhU8_DElYkX7l4wRkHqqCUFNJY4AfY3kHU/edit?usp=sharing  #gid=0"",""фіз особи new!relations_name_uo""),7,FALSE)
,
)
))"),"ФРОЛКІН Олексій Євгенович")</f>
        <v>ФРОЛКІН Олексій Євгенович</v>
      </c>
      <c r="J536" s="7" t="s">
        <v>28</v>
      </c>
    </row>
    <row r="537" spans="1:10" ht="13.2">
      <c r="A537" s="7">
        <v>536</v>
      </c>
      <c r="B537" s="7">
        <v>1</v>
      </c>
      <c r="C537" s="7" t="s">
        <v>10</v>
      </c>
      <c r="D537" s="7">
        <v>204</v>
      </c>
      <c r="E537" s="7" t="s">
        <v>29</v>
      </c>
      <c r="F537" s="8" t="str">
        <f ca="1">IFERROR(__xludf.DUMMYFUNCTION("IF
(
C538=""фізична особа""
,
VLOOKUP(D538,IMPORTRANGE(""https://docs.google.com/spreadsheets/d/14Bd19lYaqBhU8_DElYkX7l4wRkHqqCUFNJY4AfY3kHU/edit?usp=sharing  #gid=0"",""фіз особи new!relations_name""),6,FALSE)
,
(IF
(
C538=""юридична особа""
,
VLOOKUP(D5"&amp;"38,IMPORTRANGE(""https://docs.google.com/spreadsheets/d/14Bd19lYaqBhU8_DElYkX7l4wRkHqqCUFNJY4AfY3kHU/edit?usp=sharing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7" s="7" t="s">
        <v>10</v>
      </c>
      <c r="H537" s="7">
        <v>6009</v>
      </c>
      <c r="I537" s="8" t="str">
        <f ca="1">IFERROR(__xludf.DUMMYFUNCTION("IF
(
G538=""фізична особа""
,
VLOOKUP(H538,IMPORTRANGE(""https://docs.google.com/spreadsheets/d/14Bd19lYaqBhU8_DElYkX7l4wRkHqqCUFNJY4AfY3kHU/edit?usp=sharing  #gid=0"",""фіз особи new!relations_name""),6,FALSE)
,
(IF
(
G538=""юридична особа""
,
VLOOKUP(H5"&amp;"38,IMPORTRANGE(""https://docs.google.com/spreadsheets/d/14Bd19lYaqBhU8_DElYkX7l4wRkHqqCUFNJY4AfY3kHU/edit?usp=sharing  #gid=0"",""фіз особи new!relations_name_uo""),7,FALSE)
,
)
))"),"ДРОЖЖОВ Володимир Миколайович")</f>
        <v>ДРОЖЖОВ Володимир Миколайович</v>
      </c>
      <c r="J537" s="7" t="s">
        <v>28</v>
      </c>
    </row>
    <row r="538" spans="1:10" ht="13.2">
      <c r="A538" s="7">
        <v>537</v>
      </c>
      <c r="B538" s="7">
        <v>1</v>
      </c>
      <c r="C538" s="7" t="s">
        <v>10</v>
      </c>
      <c r="D538" s="7">
        <v>204</v>
      </c>
      <c r="E538" s="7" t="s">
        <v>29</v>
      </c>
      <c r="F538" s="8" t="str">
        <f ca="1">IFERROR(__xludf.DUMMYFUNCTION("IF
(
C539=""фізична особа""
,
VLOOKUP(D539,IMPORTRANGE(""https://docs.google.com/spreadsheets/d/14Bd19lYaqBhU8_DElYkX7l4wRkHqqCUFNJY4AfY3kHU/edit?usp=sharing  #gid=0"",""фіз особи new!relations_name""),6,FALSE)
,
(IF
(
C539=""юридична особа""
,
VLOOKUP(D5"&amp;"39,IMPORTRANGE(""https://docs.google.com/spreadsheets/d/14Bd19lYaqBhU8_DElYkX7l4wRkHqqCUFNJY4AfY3kHU/edit?usp=sharing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8" s="7" t="s">
        <v>10</v>
      </c>
      <c r="H538" s="7">
        <v>6010</v>
      </c>
      <c r="I538" s="8" t="str">
        <f ca="1">IFERROR(__xludf.DUMMYFUNCTION("IF
(
G539=""фізична особа""
,
VLOOKUP(H539,IMPORTRANGE(""https://docs.google.com/spreadsheets/d/14Bd19lYaqBhU8_DElYkX7l4wRkHqqCUFNJY4AfY3kHU/edit?usp=sharing  #gid=0"",""фіз особи new!relations_name""),6,FALSE)
,
(IF
(
G539=""юридична особа""
,
VLOOKUP(H5"&amp;"39,IMPORTRANGE(""https://docs.google.com/spreadsheets/d/14Bd19lYaqBhU8_DElYkX7l4wRkHqqCUFNJY4AfY3kHU/edit?usp=sharing  #gid=0"",""фіз особи new!relations_name_uo""),7,FALSE)
,
)
))"),"ПЄТУХОВ Михайло Володимирович")</f>
        <v>ПЄТУХОВ Михайло Володимирович</v>
      </c>
      <c r="J538" s="7" t="s">
        <v>28</v>
      </c>
    </row>
    <row r="539" spans="1:10" ht="13.2">
      <c r="A539" s="7">
        <v>538</v>
      </c>
      <c r="B539" s="7">
        <v>1</v>
      </c>
      <c r="C539" s="7" t="s">
        <v>10</v>
      </c>
      <c r="D539" s="7">
        <v>204</v>
      </c>
      <c r="E539" s="7" t="s">
        <v>29</v>
      </c>
      <c r="F539" s="8" t="str">
        <f ca="1">IFERROR(__xludf.DUMMYFUNCTION("IF
(
C540=""фізична особа""
,
VLOOKUP(D540,IMPORTRANGE(""https://docs.google.com/spreadsheets/d/14Bd19lYaqBhU8_DElYkX7l4wRkHqqCUFNJY4AfY3kHU/edit?usp=sharing  #gid=0"",""фіз особи new!relations_name""),6,FALSE)
,
(IF
(
C540=""юридична особа""
,
VLOOKUP(D5"&amp;"40,IMPORTRANGE(""https://docs.google.com/spreadsheets/d/14Bd19lYaqBhU8_DElYkX7l4wRkHqqCUFNJY4AfY3kHU/edit?usp=sharing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G539" s="7" t="s">
        <v>10</v>
      </c>
      <c r="H539" s="7">
        <v>6008</v>
      </c>
      <c r="I539" s="8" t="str">
        <f ca="1">IFERROR(__xludf.DUMMYFUNCTION("IF
(
G540=""фізична особа""
,
VLOOKUP(H540,IMPORTRANGE(""https://docs.google.com/spreadsheets/d/14Bd19lYaqBhU8_DElYkX7l4wRkHqqCUFNJY4AfY3kHU/edit?usp=sharing  #gid=0"",""фіз особи new!relations_name""),6,FALSE)
,
(IF
(
G540=""юридична особа""
,
VLOOKUP(H5"&amp;"40,IMPORTRANGE(""https://docs.google.com/spreadsheets/d/14Bd19lYaqBhU8_DElYkX7l4wRkHqqCUFNJY4AfY3kHU/edit?usp=sharing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J539" s="7" t="s">
        <v>28</v>
      </c>
    </row>
    <row r="540" spans="1:10" ht="13.2">
      <c r="A540" s="7">
        <v>539</v>
      </c>
      <c r="B540" s="7">
        <v>1</v>
      </c>
      <c r="C540" s="7" t="s">
        <v>10</v>
      </c>
      <c r="D540" s="7">
        <v>205</v>
      </c>
      <c r="E540" s="7" t="s">
        <v>14</v>
      </c>
      <c r="F540" s="8" t="str">
        <f ca="1">IFERROR(__xludf.DUMMYFUNCTION("IF
(
C541=""фізична особа""
,
VLOOKUP(D541,IMPORTRANGE(""https://docs.google.com/spreadsheets/d/14Bd19lYaqBhU8_DElYkX7l4wRkHqqCUFNJY4AfY3kHU/edit?usp=sharing  #gid=0"",""фіз особи new!relations_name""),6,FALSE)
,
(IF
(
C541=""юридична особа""
,
VLOOKUP(D5"&amp;"41,IMPORTRANGE(""https://docs.google.com/spreadsheets/d/14Bd19lYaqBhU8_DElYkX7l4wRkHqqCUFNJY4AfY3kHU/edit?usp=sharing  #gid=0"",""фіз особи new!relations_name_uo""),7,FALSE)
,
)
))"),"СКРИВАНОВ Дмитро Станіславович")</f>
        <v>СКРИВАНОВ Дмитро Станіславович</v>
      </c>
      <c r="G540" s="7" t="s">
        <v>10</v>
      </c>
      <c r="H540" s="7">
        <v>8837</v>
      </c>
      <c r="I540" s="8" t="str">
        <f ca="1">IFERROR(__xludf.DUMMYFUNCTION("IF
(
G541=""фізична особа""
,
VLOOKUP(H541,IMPORTRANGE(""https://docs.google.com/spreadsheets/d/14Bd19lYaqBhU8_DElYkX7l4wRkHqqCUFNJY4AfY3kHU/edit?usp=sharing  #gid=0"",""фіз особи new!relations_name""),6,FALSE)
,
(IF
(
G541=""юридична особа""
,
VLOOKUP(H5"&amp;"41,IMPORTRANGE(""https://docs.google.com/spreadsheets/d/14Bd19lYaqBhU8_DElYkX7l4wRkHqqCUFNJY4AfY3kHU/edit?usp=sharing  #gid=0"",""фіз особи new!relations_name_uo""),7,FALSE)
,
)
))"),"СКРІВАНОВА Наталія В'ячеславівна")</f>
        <v>СКРІВАНОВА Наталія В'ячеславівна</v>
      </c>
      <c r="J540" s="7" t="s">
        <v>15</v>
      </c>
    </row>
    <row r="541" spans="1:10" ht="13.2">
      <c r="A541" s="7">
        <v>540</v>
      </c>
      <c r="B541" s="7">
        <v>1</v>
      </c>
      <c r="C541" s="7" t="s">
        <v>10</v>
      </c>
      <c r="D541" s="7">
        <v>205</v>
      </c>
      <c r="E541" s="7" t="s">
        <v>12</v>
      </c>
      <c r="F541" s="8" t="str">
        <f ca="1">IFERROR(__xludf.DUMMYFUNCTION("IF
(
C542=""фізична особа""
,
VLOOKUP(D542,IMPORTRANGE(""https://docs.google.com/spreadsheets/d/14Bd19lYaqBhU8_DElYkX7l4wRkHqqCUFNJY4AfY3kHU/edit?usp=sharing  #gid=0"",""фіз особи new!relations_name""),6,FALSE)
,
(IF
(
C542=""юридична особа""
,
VLOOKUP(D5"&amp;"42,IMPORTRANGE(""https://docs.google.com/spreadsheets/d/14Bd19lYaqBhU8_DElYkX7l4wRkHqqCUFNJY4AfY3kHU/edit?usp=sharing  #gid=0"",""фіз особи new!relations_name_uo""),7,FALSE)
,
)
))"),"СКРИВАНОВ Дмитро Станіславович")</f>
        <v>СКРИВАНОВ Дмитро Станіславович</v>
      </c>
      <c r="G541" s="7" t="s">
        <v>10</v>
      </c>
      <c r="H541" s="7">
        <v>0</v>
      </c>
      <c r="I541" s="8" t="str">
        <f ca="1">IFERROR(__xludf.DUMMYFUNCTION("IF
(
G542=""фізична особа""
,
VLOOKUP(H542,IMPORTRANGE(""https://docs.google.com/spreadsheets/d/14Bd19lYaqBhU8_DElYkX7l4wRkHqqCUFNJY4AfY3kHU/edit?usp=sharing  #gid=0"",""фіз особи new!relations_name""),6,FALSE)
,
(IF
(
G542=""юридична особа""
,
VLOOKUP(H5"&amp;"42,IMPORTRANGE(""https://docs.google.com/spreadsheets/d/14Bd19lYaqBhU8_DElYkX7l4wRkHqqCUFNJY4AfY3kHU/edit?usp=sharing  #gid=0"",""фіз особи new!relations_name_uo""),7,FALSE)
,
)
))"),"#N/A")</f>
        <v>#N/A</v>
      </c>
      <c r="J541" s="7" t="s">
        <v>13</v>
      </c>
    </row>
    <row r="542" spans="1:10" ht="13.2">
      <c r="A542" s="7">
        <v>541</v>
      </c>
      <c r="B542" s="7">
        <v>1</v>
      </c>
      <c r="C542" s="7" t="s">
        <v>10</v>
      </c>
      <c r="D542" s="7">
        <v>205</v>
      </c>
      <c r="E542" s="7" t="s">
        <v>12</v>
      </c>
      <c r="F542" s="8" t="str">
        <f ca="1">IFERROR(__xludf.DUMMYFUNCTION("IF
(
C543=""фізична особа""
,
VLOOKUP(D543,IMPORTRANGE(""https://docs.google.com/spreadsheets/d/14Bd19lYaqBhU8_DElYkX7l4wRkHqqCUFNJY4AfY3kHU/edit?usp=sharing  #gid=0"",""фіз особи new!relations_name""),6,FALSE)
,
(IF
(
C543=""юридична особа""
,
VLOOKUP(D5"&amp;"43,IMPORTRANGE(""https://docs.google.com/spreadsheets/d/14Bd19lYaqBhU8_DElYkX7l4wRkHqqCUFNJY4AfY3kHU/edit?usp=sharing  #gid=0"",""фіз особи new!relations_name_uo""),7,FALSE)
,
)
))"),"СКРИВАНОВ Дмитро Станіславович")</f>
        <v>СКРИВАНОВ Дмитро Станіславович</v>
      </c>
      <c r="G542" s="7" t="s">
        <v>10</v>
      </c>
      <c r="H542" s="7">
        <v>0</v>
      </c>
      <c r="I542" s="8" t="str">
        <f ca="1">IFERROR(__xludf.DUMMYFUNCTION("IF
(
G543=""фізична особа""
,
VLOOKUP(H543,IMPORTRANGE(""https://docs.google.com/spreadsheets/d/14Bd19lYaqBhU8_DElYkX7l4wRkHqqCUFNJY4AfY3kHU/edit?usp=sharing  #gid=0"",""фіз особи new!relations_name""),6,FALSE)
,
(IF
(
G543=""юридична особа""
,
VLOOKUP(H5"&amp;"43,IMPORTRANGE(""https://docs.google.com/spreadsheets/d/14Bd19lYaqBhU8_DElYkX7l4wRkHqqCUFNJY4AfY3kHU/edit?usp=sharing  #gid=0"",""фіз особи new!relations_name_uo""),7,FALSE)
,
)
))"),"#N/A")</f>
        <v>#N/A</v>
      </c>
      <c r="J542" s="7" t="s">
        <v>13</v>
      </c>
    </row>
    <row r="543" spans="1:10" ht="13.2">
      <c r="A543" s="7">
        <v>542</v>
      </c>
      <c r="B543" s="7">
        <v>1</v>
      </c>
      <c r="C543" s="7" t="s">
        <v>10</v>
      </c>
      <c r="D543" s="7">
        <v>207</v>
      </c>
      <c r="E543" s="7" t="s">
        <v>11</v>
      </c>
      <c r="F543" s="8" t="str">
        <f ca="1">IFERROR(__xludf.DUMMYFUNCTION("IF
(
C544=""фізична особа""
,
VLOOKUP(D544,IMPORTRANGE(""https://docs.google.com/spreadsheets/d/14Bd19lYaqBhU8_DElYkX7l4wRkHqqCUFNJY4AfY3kHU/edit?usp=sharing  #gid=0"",""фіз особи new!relations_name""),6,FALSE)
,
(IF
(
C544=""юридична особа""
,
VLOOKUP(D5"&amp;"44,IMPORTRANGE(""https://docs.google.com/spreadsheets/d/14Bd19lYaqBhU8_DElYkX7l4wRkHqqCUFNJY4AfY3kHU/edit?usp=sharing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3" s="7" t="s">
        <v>10</v>
      </c>
      <c r="H543" s="7">
        <v>0</v>
      </c>
      <c r="I543" s="8" t="str">
        <f ca="1">IFERROR(__xludf.DUMMYFUNCTION("IF
(
G544=""фізична особа""
,
VLOOKUP(H544,IMPORTRANGE(""https://docs.google.com/spreadsheets/d/14Bd19lYaqBhU8_DElYkX7l4wRkHqqCUFNJY4AfY3kHU/edit?usp=sharing  #gid=0"",""фіз особи new!relations_name""),6,FALSE)
,
(IF
(
G544=""юридична особа""
,
VLOOKUP(H5"&amp;"44,IMPORTRANGE(""https://docs.google.com/spreadsheets/d/14Bd19lYaqBhU8_DElYkX7l4wRkHqqCUFNJY4AfY3kHU/edit?usp=sharing  #gid=0"",""фіз особи new!relations_name_uo""),7,FALSE)
,
)
))"),"#N/A")</f>
        <v>#N/A</v>
      </c>
      <c r="J543" s="7" t="s">
        <v>11</v>
      </c>
    </row>
    <row r="544" spans="1:10" ht="13.2">
      <c r="A544" s="7">
        <v>543</v>
      </c>
      <c r="B544" s="7">
        <v>1</v>
      </c>
      <c r="C544" s="7" t="s">
        <v>10</v>
      </c>
      <c r="D544" s="7">
        <v>207</v>
      </c>
      <c r="E544" s="7" t="s">
        <v>11</v>
      </c>
      <c r="F544" s="8" t="str">
        <f ca="1">IFERROR(__xludf.DUMMYFUNCTION("IF
(
C545=""фізична особа""
,
VLOOKUP(D545,IMPORTRANGE(""https://docs.google.com/spreadsheets/d/14Bd19lYaqBhU8_DElYkX7l4wRkHqqCUFNJY4AfY3kHU/edit?usp=sharing  #gid=0"",""фіз особи new!relations_name""),6,FALSE)
,
(IF
(
C545=""юридична особа""
,
VLOOKUP(D5"&amp;"45,IMPORTRANGE(""https://docs.google.com/spreadsheets/d/14Bd19lYaqBhU8_DElYkX7l4wRkHqqCUFNJY4AfY3kHU/edit?usp=sharing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4" s="7" t="s">
        <v>10</v>
      </c>
      <c r="H544" s="7">
        <v>0</v>
      </c>
      <c r="I544" s="8" t="str">
        <f ca="1">IFERROR(__xludf.DUMMYFUNCTION("IF
(
G545=""фізична особа""
,
VLOOKUP(H545,IMPORTRANGE(""https://docs.google.com/spreadsheets/d/14Bd19lYaqBhU8_DElYkX7l4wRkHqqCUFNJY4AfY3kHU/edit?usp=sharing  #gid=0"",""фіз особи new!relations_name""),6,FALSE)
,
(IF
(
G545=""юридична особа""
,
VLOOKUP(H5"&amp;"45,IMPORTRANGE(""https://docs.google.com/spreadsheets/d/14Bd19lYaqBhU8_DElYkX7l4wRkHqqCUFNJY4AfY3kHU/edit?usp=sharing  #gid=0"",""фіз особи new!relations_name_uo""),7,FALSE)
,
)
))"),"#N/A")</f>
        <v>#N/A</v>
      </c>
      <c r="J544" s="7" t="s">
        <v>11</v>
      </c>
    </row>
    <row r="545" spans="1:10" ht="13.2">
      <c r="A545" s="7">
        <v>544</v>
      </c>
      <c r="B545" s="7">
        <v>1</v>
      </c>
      <c r="C545" s="7" t="s">
        <v>10</v>
      </c>
      <c r="D545" s="7">
        <v>207</v>
      </c>
      <c r="E545" s="7" t="s">
        <v>11</v>
      </c>
      <c r="F545" s="8" t="str">
        <f ca="1">IFERROR(__xludf.DUMMYFUNCTION("IF
(
C546=""фізична особа""
,
VLOOKUP(D546,IMPORTRANGE(""https://docs.google.com/spreadsheets/d/14Bd19lYaqBhU8_DElYkX7l4wRkHqqCUFNJY4AfY3kHU/edit?usp=sharing  #gid=0"",""фіз особи new!relations_name""),6,FALSE)
,
(IF
(
C546=""юридична особа""
,
VLOOKUP(D5"&amp;"46,IMPORTRANGE(""https://docs.google.com/spreadsheets/d/14Bd19lYaqBhU8_DElYkX7l4wRkHqqCUFNJY4AfY3kHU/edit?usp=sharing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5" s="7" t="s">
        <v>10</v>
      </c>
      <c r="H545" s="7">
        <v>0</v>
      </c>
      <c r="I545" s="8" t="str">
        <f ca="1">IFERROR(__xludf.DUMMYFUNCTION("IF
(
G546=""фізична особа""
,
VLOOKUP(H546,IMPORTRANGE(""https://docs.google.com/spreadsheets/d/14Bd19lYaqBhU8_DElYkX7l4wRkHqqCUFNJY4AfY3kHU/edit?usp=sharing  #gid=0"",""фіз особи new!relations_name""),6,FALSE)
,
(IF
(
G546=""юридична особа""
,
VLOOKUP(H5"&amp;"46,IMPORTRANGE(""https://docs.google.com/spreadsheets/d/14Bd19lYaqBhU8_DElYkX7l4wRkHqqCUFNJY4AfY3kHU/edit?usp=sharing  #gid=0"",""фіз особи new!relations_name_uo""),7,FALSE)
,
)
))"),"#N/A")</f>
        <v>#N/A</v>
      </c>
      <c r="J545" s="7" t="s">
        <v>11</v>
      </c>
    </row>
    <row r="546" spans="1:10" ht="13.2">
      <c r="A546" s="7">
        <v>545</v>
      </c>
      <c r="B546" s="7">
        <v>1</v>
      </c>
      <c r="C546" s="7" t="s">
        <v>10</v>
      </c>
      <c r="D546" s="7">
        <v>207</v>
      </c>
      <c r="E546" s="7" t="s">
        <v>11</v>
      </c>
      <c r="F546" s="8" t="str">
        <f ca="1">IFERROR(__xludf.DUMMYFUNCTION("IF
(
C547=""фізична особа""
,
VLOOKUP(D547,IMPORTRANGE(""https://docs.google.com/spreadsheets/d/14Bd19lYaqBhU8_DElYkX7l4wRkHqqCUFNJY4AfY3kHU/edit?usp=sharing  #gid=0"",""фіз особи new!relations_name""),6,FALSE)
,
(IF
(
C547=""юридична особа""
,
VLOOKUP(D5"&amp;"47,IMPORTRANGE(""https://docs.google.com/spreadsheets/d/14Bd19lYaqBhU8_DElYkX7l4wRkHqqCUFNJY4AfY3kHU/edit?usp=sharing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6" s="7" t="s">
        <v>10</v>
      </c>
      <c r="H546" s="7">
        <v>0</v>
      </c>
      <c r="I546" s="8" t="str">
        <f ca="1">IFERROR(__xludf.DUMMYFUNCTION("IF
(
G547=""фізична особа""
,
VLOOKUP(H547,IMPORTRANGE(""https://docs.google.com/spreadsheets/d/14Bd19lYaqBhU8_DElYkX7l4wRkHqqCUFNJY4AfY3kHU/edit?usp=sharing  #gid=0"",""фіз особи new!relations_name""),6,FALSE)
,
(IF
(
G547=""юридична особа""
,
VLOOKUP(H5"&amp;"47,IMPORTRANGE(""https://docs.google.com/spreadsheets/d/14Bd19lYaqBhU8_DElYkX7l4wRkHqqCUFNJY4AfY3kHU/edit?usp=sharing  #gid=0"",""фіз особи new!relations_name_uo""),7,FALSE)
,
)
))"),"#N/A")</f>
        <v>#N/A</v>
      </c>
      <c r="J546" s="7" t="s">
        <v>11</v>
      </c>
    </row>
    <row r="547" spans="1:10" ht="13.2">
      <c r="A547" s="7">
        <v>546</v>
      </c>
      <c r="B547" s="7">
        <v>1</v>
      </c>
      <c r="C547" s="7" t="s">
        <v>10</v>
      </c>
      <c r="D547" s="7">
        <v>207</v>
      </c>
      <c r="E547" s="7" t="s">
        <v>11</v>
      </c>
      <c r="F547" s="8" t="str">
        <f ca="1">IFERROR(__xludf.DUMMYFUNCTION("IF
(
C548=""фізична особа""
,
VLOOKUP(D548,IMPORTRANGE(""https://docs.google.com/spreadsheets/d/14Bd19lYaqBhU8_DElYkX7l4wRkHqqCUFNJY4AfY3kHU/edit?usp=sharing  #gid=0"",""фіз особи new!relations_name""),6,FALSE)
,
(IF
(
C548=""юридична особа""
,
VLOOKUP(D5"&amp;"48,IMPORTRANGE(""https://docs.google.com/spreadsheets/d/14Bd19lYaqBhU8_DElYkX7l4wRkHqqCUFNJY4AfY3kHU/edit?usp=sharing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7" s="7" t="s">
        <v>10</v>
      </c>
      <c r="H547" s="7">
        <v>0</v>
      </c>
      <c r="I547" s="8" t="str">
        <f ca="1">IFERROR(__xludf.DUMMYFUNCTION("IF
(
G548=""фізична особа""
,
VLOOKUP(H548,IMPORTRANGE(""https://docs.google.com/spreadsheets/d/14Bd19lYaqBhU8_DElYkX7l4wRkHqqCUFNJY4AfY3kHU/edit?usp=sharing  #gid=0"",""фіз особи new!relations_name""),6,FALSE)
,
(IF
(
G548=""юридична особа""
,
VLOOKUP(H5"&amp;"48,IMPORTRANGE(""https://docs.google.com/spreadsheets/d/14Bd19lYaqBhU8_DElYkX7l4wRkHqqCUFNJY4AfY3kHU/edit?usp=sharing  #gid=0"",""фіз особи new!relations_name_uo""),7,FALSE)
,
)
))"),"#N/A")</f>
        <v>#N/A</v>
      </c>
      <c r="J547" s="7" t="s">
        <v>11</v>
      </c>
    </row>
    <row r="548" spans="1:10" ht="13.2">
      <c r="A548" s="7">
        <v>547</v>
      </c>
      <c r="B548" s="7">
        <v>1</v>
      </c>
      <c r="C548" s="7" t="s">
        <v>10</v>
      </c>
      <c r="D548" s="7">
        <v>207</v>
      </c>
      <c r="E548" s="7" t="s">
        <v>48</v>
      </c>
      <c r="F548" s="8" t="str">
        <f ca="1">IFERROR(__xludf.DUMMYFUNCTION("IF
(
C549=""фізична особа""
,
VLOOKUP(D549,IMPORTRANGE(""https://docs.google.com/spreadsheets/d/14Bd19lYaqBhU8_DElYkX7l4wRkHqqCUFNJY4AfY3kHU/edit?usp=sharing  #gid=0"",""фіз особи new!relations_name""),6,FALSE)
,
(IF
(
C549=""юридична особа""
,
VLOOKUP(D5"&amp;"49,IMPORTRANGE(""https://docs.google.com/spreadsheets/d/14Bd19lYaqBhU8_DElYkX7l4wRkHqqCUFNJY4AfY3kHU/edit?usp=sharing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8" s="7" t="s">
        <v>10</v>
      </c>
      <c r="H548" s="7">
        <v>0</v>
      </c>
      <c r="I548" s="8" t="str">
        <f ca="1">IFERROR(__xludf.DUMMYFUNCTION("IF
(
G549=""фізична особа""
,
VLOOKUP(H549,IMPORTRANGE(""https://docs.google.com/spreadsheets/d/14Bd19lYaqBhU8_DElYkX7l4wRkHqqCUFNJY4AfY3kHU/edit?usp=sharing  #gid=0"",""фіз особи new!relations_name""),6,FALSE)
,
(IF
(
G549=""юридична особа""
,
VLOOKUP(H5"&amp;"49,IMPORTRANGE(""https://docs.google.com/spreadsheets/d/14Bd19lYaqBhU8_DElYkX7l4wRkHqqCUFNJY4AfY3kHU/edit?usp=sharing  #gid=0"",""фіз особи new!relations_name_uo""),7,FALSE)
,
)
))"),"#N/A")</f>
        <v>#N/A</v>
      </c>
      <c r="J548" s="7" t="s">
        <v>48</v>
      </c>
    </row>
    <row r="549" spans="1:10" ht="13.2">
      <c r="A549" s="7">
        <v>548</v>
      </c>
      <c r="B549" s="7">
        <v>1</v>
      </c>
      <c r="C549" s="7" t="s">
        <v>10</v>
      </c>
      <c r="D549" s="7">
        <v>207</v>
      </c>
      <c r="E549" s="7" t="s">
        <v>11</v>
      </c>
      <c r="F549" s="8" t="str">
        <f ca="1">IFERROR(__xludf.DUMMYFUNCTION("IF
(
C550=""фізична особа""
,
VLOOKUP(D550,IMPORTRANGE(""https://docs.google.com/spreadsheets/d/14Bd19lYaqBhU8_DElYkX7l4wRkHqqCUFNJY4AfY3kHU/edit?usp=sharing  #gid=0"",""фіз особи new!relations_name""),6,FALSE)
,
(IF
(
C550=""юридична особа""
,
VLOOKUP(D5"&amp;"50,IMPORTRANGE(""https://docs.google.com/spreadsheets/d/14Bd19lYaqBhU8_DElYkX7l4wRkHqqCUFNJY4AfY3kHU/edit?usp=sharing  #gid=0"",""фіз особи new!relations_name_uo""),7,FALSE)
,
)
))"),"ІСЛАМОВ Дмитро Вікторович")</f>
        <v>ІСЛАМОВ Дмитро Вікторович</v>
      </c>
      <c r="G549" s="7" t="s">
        <v>10</v>
      </c>
      <c r="H549" s="7">
        <v>0</v>
      </c>
      <c r="I549" s="8" t="str">
        <f ca="1">IFERROR(__xludf.DUMMYFUNCTION("IF
(
G550=""фізична особа""
,
VLOOKUP(H550,IMPORTRANGE(""https://docs.google.com/spreadsheets/d/14Bd19lYaqBhU8_DElYkX7l4wRkHqqCUFNJY4AfY3kHU/edit?usp=sharing  #gid=0"",""фіз особи new!relations_name""),6,FALSE)
,
(IF
(
G550=""юридична особа""
,
VLOOKUP(H5"&amp;"50,IMPORTRANGE(""https://docs.google.com/spreadsheets/d/14Bd19lYaqBhU8_DElYkX7l4wRkHqqCUFNJY4AfY3kHU/edit?usp=sharing  #gid=0"",""фіз особи new!relations_name_uo""),7,FALSE)
,
)
))"),"#N/A")</f>
        <v>#N/A</v>
      </c>
      <c r="J549" s="7" t="s">
        <v>11</v>
      </c>
    </row>
    <row r="550" spans="1:10" ht="13.2">
      <c r="A550" s="7">
        <v>549</v>
      </c>
      <c r="B550" s="7">
        <v>1</v>
      </c>
      <c r="C550" s="7" t="s">
        <v>10</v>
      </c>
      <c r="D550" s="7">
        <v>208</v>
      </c>
      <c r="E550" s="7" t="s">
        <v>14</v>
      </c>
      <c r="F550" s="8" t="str">
        <f ca="1">IFERROR(__xludf.DUMMYFUNCTION("IF
(
C551=""фізична особа""
,
VLOOKUP(D551,IMPORTRANGE(""https://docs.google.com/spreadsheets/d/14Bd19lYaqBhU8_DElYkX7l4wRkHqqCUFNJY4AfY3kHU/edit?usp=sharing  #gid=0"",""фіз особи new!relations_name""),6,FALSE)
,
(IF
(
C551=""юридична особа""
,
VLOOKUP(D5"&amp;"51,IMPORTRANGE(""https://docs.google.com/spreadsheets/d/14Bd19lYaqBhU8_DElYkX7l4wRkHqqCUFNJY4AfY3kHU/edit?usp=sharing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G550" s="7" t="s">
        <v>10</v>
      </c>
      <c r="H550" s="7">
        <v>0</v>
      </c>
      <c r="I550" s="8" t="str">
        <f ca="1">IFERROR(__xludf.DUMMYFUNCTION("IF
(
G551=""фізична особа""
,
VLOOKUP(H551,IMPORTRANGE(""https://docs.google.com/spreadsheets/d/14Bd19lYaqBhU8_DElYkX7l4wRkHqqCUFNJY4AfY3kHU/edit?usp=sharing  #gid=0"",""фіз особи new!relations_name""),6,FALSE)
,
(IF
(
G551=""юридична особа""
,
VLOOKUP(H5"&amp;"51,IMPORTRANGE(""https://docs.google.com/spreadsheets/d/14Bd19lYaqBhU8_DElYkX7l4wRkHqqCUFNJY4AfY3kHU/edit?usp=sharing  #gid=0"",""фіз особи new!relations_name_uo""),7,FALSE)
,
)
))"),"#N/A")</f>
        <v>#N/A</v>
      </c>
      <c r="J550" s="7" t="s">
        <v>15</v>
      </c>
    </row>
    <row r="551" spans="1:10" ht="13.2">
      <c r="A551" s="7">
        <v>550</v>
      </c>
      <c r="B551" s="7">
        <v>1</v>
      </c>
      <c r="C551" s="7" t="s">
        <v>10</v>
      </c>
      <c r="D551" s="7">
        <v>208</v>
      </c>
      <c r="E551" s="7" t="s">
        <v>29</v>
      </c>
      <c r="F551" s="8" t="str">
        <f ca="1">IFERROR(__xludf.DUMMYFUNCTION("IF
(
C552=""фізична особа""
,
VLOOKUP(D552,IMPORTRANGE(""https://docs.google.com/spreadsheets/d/14Bd19lYaqBhU8_DElYkX7l4wRkHqqCUFNJY4AfY3kHU/edit?usp=sharing  #gid=0"",""фіз особи new!relations_name""),6,FALSE)
,
(IF
(
C552=""юридична особа""
,
VLOOKUP(D5"&amp;"52,IMPORTRANGE(""https://docs.google.com/spreadsheets/d/14Bd19lYaqBhU8_DElYkX7l4wRkHqqCUFNJY4AfY3kHU/edit?usp=sharing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G551" s="7" t="s">
        <v>10</v>
      </c>
      <c r="H551" s="7">
        <v>0</v>
      </c>
      <c r="I551" s="8" t="str">
        <f ca="1">IFERROR(__xludf.DUMMYFUNCTION("IF
(
G552=""фізична особа""
,
VLOOKUP(H552,IMPORTRANGE(""https://docs.google.com/spreadsheets/d/14Bd19lYaqBhU8_DElYkX7l4wRkHqqCUFNJY4AfY3kHU/edit?usp=sharing  #gid=0"",""фіз особи new!relations_name""),6,FALSE)
,
(IF
(
G552=""юридична особа""
,
VLOOKUP(H5"&amp;"52,IMPORTRANGE(""https://docs.google.com/spreadsheets/d/14Bd19lYaqBhU8_DElYkX7l4wRkHqqCUFNJY4AfY3kHU/edit?usp=sharing  #gid=0"",""фіз особи new!relations_name_uo""),7,FALSE)
,
)
))"),"#N/A")</f>
        <v>#N/A</v>
      </c>
      <c r="J551" s="7" t="s">
        <v>28</v>
      </c>
    </row>
    <row r="552" spans="1:10" ht="13.2">
      <c r="A552" s="7">
        <v>551</v>
      </c>
      <c r="B552" s="7">
        <v>1</v>
      </c>
      <c r="C552" s="7" t="s">
        <v>10</v>
      </c>
      <c r="D552" s="7">
        <v>208</v>
      </c>
      <c r="E552" s="7" t="s">
        <v>29</v>
      </c>
      <c r="F552" s="8" t="str">
        <f ca="1">IFERROR(__xludf.DUMMYFUNCTION("IF
(
C553=""фізична особа""
,
VLOOKUP(D553,IMPORTRANGE(""https://docs.google.com/spreadsheets/d/14Bd19lYaqBhU8_DElYkX7l4wRkHqqCUFNJY4AfY3kHU/edit?usp=sharing  #gid=0"",""фіз особи new!relations_name""),6,FALSE)
,
(IF
(
C553=""юридична особа""
,
VLOOKUP(D5"&amp;"53,IMPORTRANGE(""https://docs.google.com/spreadsheets/d/14Bd19lYaqBhU8_DElYkX7l4wRkHqqCUFNJY4AfY3kHU/edit?usp=sharing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G552" s="7" t="s">
        <v>10</v>
      </c>
      <c r="H552" s="7">
        <v>0</v>
      </c>
      <c r="I552" s="8" t="str">
        <f ca="1">IFERROR(__xludf.DUMMYFUNCTION("IF
(
G553=""фізична особа""
,
VLOOKUP(H553,IMPORTRANGE(""https://docs.google.com/spreadsheets/d/14Bd19lYaqBhU8_DElYkX7l4wRkHqqCUFNJY4AfY3kHU/edit?usp=sharing  #gid=0"",""фіз особи new!relations_name""),6,FALSE)
,
(IF
(
G553=""юридична особа""
,
VLOOKUP(H5"&amp;"53,IMPORTRANGE(""https://docs.google.com/spreadsheets/d/14Bd19lYaqBhU8_DElYkX7l4wRkHqqCUFNJY4AfY3kHU/edit?usp=sharing  #gid=0"",""фіз особи new!relations_name_uo""),7,FALSE)
,
)
))"),"#N/A")</f>
        <v>#N/A</v>
      </c>
      <c r="J552" s="7" t="s">
        <v>28</v>
      </c>
    </row>
    <row r="553" spans="1:10" ht="13.2">
      <c r="A553" s="7">
        <v>552</v>
      </c>
      <c r="B553" s="7">
        <v>1</v>
      </c>
      <c r="C553" s="7" t="s">
        <v>10</v>
      </c>
      <c r="D553" s="7">
        <v>208</v>
      </c>
      <c r="E553" s="7" t="s">
        <v>29</v>
      </c>
      <c r="F553" s="8" t="str">
        <f ca="1">IFERROR(__xludf.DUMMYFUNCTION("IF
(
C554=""фізична особа""
,
VLOOKUP(D554,IMPORTRANGE(""https://docs.google.com/spreadsheets/d/14Bd19lYaqBhU8_DElYkX7l4wRkHqqCUFNJY4AfY3kHU/edit?usp=sharing  #gid=0"",""фіз особи new!relations_name""),6,FALSE)
,
(IF
(
C554=""юридична особа""
,
VLOOKUP(D5"&amp;"54,IMPORTRANGE(""https://docs.google.com/spreadsheets/d/14Bd19lYaqBhU8_DElYkX7l4wRkHqqCUFNJY4AfY3kHU/edit?usp=sharing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G553" s="7" t="s">
        <v>10</v>
      </c>
      <c r="H553" s="7">
        <v>0</v>
      </c>
      <c r="I553" s="8" t="str">
        <f ca="1">IFERROR(__xludf.DUMMYFUNCTION("IF
(
G554=""фізична особа""
,
VLOOKUP(H554,IMPORTRANGE(""https://docs.google.com/spreadsheets/d/14Bd19lYaqBhU8_DElYkX7l4wRkHqqCUFNJY4AfY3kHU/edit?usp=sharing  #gid=0"",""фіз особи new!relations_name""),6,FALSE)
,
(IF
(
G554=""юридична особа""
,
VLOOKUP(H5"&amp;"54,IMPORTRANGE(""https://docs.google.com/spreadsheets/d/14Bd19lYaqBhU8_DElYkX7l4wRkHqqCUFNJY4AfY3kHU/edit?usp=sharing  #gid=0"",""фіз особи new!relations_name_uo""),7,FALSE)
,
)
))"),"#N/A")</f>
        <v>#N/A</v>
      </c>
      <c r="J553" s="7" t="s">
        <v>28</v>
      </c>
    </row>
    <row r="554" spans="1:10" ht="13.2">
      <c r="A554" s="7">
        <v>553</v>
      </c>
      <c r="B554" s="7">
        <v>1</v>
      </c>
      <c r="C554" s="7" t="s">
        <v>10</v>
      </c>
      <c r="D554" s="7">
        <v>208</v>
      </c>
      <c r="E554" s="7" t="s">
        <v>29</v>
      </c>
      <c r="F554" s="8" t="str">
        <f ca="1">IFERROR(__xludf.DUMMYFUNCTION("IF
(
C555=""фізична особа""
,
VLOOKUP(D555,IMPORTRANGE(""https://docs.google.com/spreadsheets/d/14Bd19lYaqBhU8_DElYkX7l4wRkHqqCUFNJY4AfY3kHU/edit?usp=sharing  #gid=0"",""фіз особи new!relations_name""),6,FALSE)
,
(IF
(
C555=""юридична особа""
,
VLOOKUP(D5"&amp;"55,IMPORTRANGE(""https://docs.google.com/spreadsheets/d/14Bd19lYaqBhU8_DElYkX7l4wRkHqqCUFNJY4AfY3kHU/edit?usp=sharing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G554" s="7" t="s">
        <v>10</v>
      </c>
      <c r="H554" s="7">
        <v>0</v>
      </c>
      <c r="I554" s="8" t="str">
        <f ca="1">IFERROR(__xludf.DUMMYFUNCTION("IF
(
G555=""фізична особа""
,
VLOOKUP(H555,IMPORTRANGE(""https://docs.google.com/spreadsheets/d/14Bd19lYaqBhU8_DElYkX7l4wRkHqqCUFNJY4AfY3kHU/edit?usp=sharing  #gid=0"",""фіз особи new!relations_name""),6,FALSE)
,
(IF
(
G555=""юридична особа""
,
VLOOKUP(H5"&amp;"55,IMPORTRANGE(""https://docs.google.com/spreadsheets/d/14Bd19lYaqBhU8_DElYkX7l4wRkHqqCUFNJY4AfY3kHU/edit?usp=sharing  #gid=0"",""фіз особи new!relations_name_uo""),7,FALSE)
,
)
))"),"#N/A")</f>
        <v>#N/A</v>
      </c>
      <c r="J554" s="7" t="s">
        <v>28</v>
      </c>
    </row>
    <row r="555" spans="1:10" ht="13.2">
      <c r="A555" s="7">
        <v>554</v>
      </c>
      <c r="B555" s="7">
        <v>1</v>
      </c>
      <c r="C555" s="7" t="s">
        <v>10</v>
      </c>
      <c r="D555" s="7">
        <v>209</v>
      </c>
      <c r="E555" s="7" t="s">
        <v>17</v>
      </c>
      <c r="F555" s="8" t="str">
        <f ca="1">IFERROR(__xludf.DUMMYFUNCTION("IF
(
C556=""фізична особа""
,
VLOOKUP(D556,IMPORTRANGE(""https://docs.google.com/spreadsheets/d/14Bd19lYaqBhU8_DElYkX7l4wRkHqqCUFNJY4AfY3kHU/edit?usp=sharing  #gid=0"",""фіз особи new!relations_name""),6,FALSE)
,
(IF
(
C556=""юридична особа""
,
VLOOKUP(D5"&amp;"56,IMPORTRANGE(""https://docs.google.com/spreadsheets/d/14Bd19lYaqBhU8_DElYkX7l4wRkHqqCUFNJY4AfY3kHU/edit?usp=sharing  #gid=0"",""фіз особи new!relations_name_uo""),7,FALSE)
,
)
))"),"ЛАМЕЙКІН Дмитро Вікторович")</f>
        <v>ЛАМЕЙКІН Дмитро Вікторович</v>
      </c>
      <c r="G555" s="7" t="s">
        <v>10</v>
      </c>
      <c r="H555" s="7">
        <v>8838</v>
      </c>
      <c r="I555" s="8" t="str">
        <f ca="1">IFERROR(__xludf.DUMMYFUNCTION("IF
(
G556=""фізична особа""
,
VLOOKUP(H556,IMPORTRANGE(""https://docs.google.com/spreadsheets/d/14Bd19lYaqBhU8_DElYkX7l4wRkHqqCUFNJY4AfY3kHU/edit?usp=sharing  #gid=0"",""фіз особи new!relations_name""),6,FALSE)
,
(IF
(
G556=""юридична особа""
,
VLOOKUP(H5"&amp;"56,IMPORTRANGE(""https://docs.google.com/spreadsheets/d/14Bd19lYaqBhU8_DElYkX7l4wRkHqqCUFNJY4AfY3kHU/edit?usp=sharing  #gid=0"",""фіз особи new!relations_name_uo""),7,FALSE)
,
)
))"),"ЛАМЕЙКІН Віктор Олександрович")</f>
        <v>ЛАМЕЙКІН Віктор Олександрович</v>
      </c>
      <c r="J555" s="7" t="s">
        <v>12</v>
      </c>
    </row>
    <row r="556" spans="1:10" ht="13.2">
      <c r="A556" s="7">
        <v>555</v>
      </c>
      <c r="B556" s="7">
        <v>1</v>
      </c>
      <c r="C556" s="7" t="s">
        <v>10</v>
      </c>
      <c r="D556" s="7">
        <v>209</v>
      </c>
      <c r="E556" s="7" t="s">
        <v>17</v>
      </c>
      <c r="F556" s="8" t="str">
        <f ca="1">IFERROR(__xludf.DUMMYFUNCTION("IF
(
C557=""фізична особа""
,
VLOOKUP(D557,IMPORTRANGE(""https://docs.google.com/spreadsheets/d/14Bd19lYaqBhU8_DElYkX7l4wRkHqqCUFNJY4AfY3kHU/edit?usp=sharing  #gid=0"",""фіз особи new!relations_name""),6,FALSE)
,
(IF
(
C557=""юридична особа""
,
VLOOKUP(D5"&amp;"57,IMPORTRANGE(""https://docs.google.com/spreadsheets/d/14Bd19lYaqBhU8_DElYkX7l4wRkHqqCUFNJY4AfY3kHU/edit?usp=sharing  #gid=0"",""фіз особи new!relations_name_uo""),7,FALSE)
,
)
))"),"ЛАМЕЙКІН Дмитро Вікторович")</f>
        <v>ЛАМЕЙКІН Дмитро Вікторович</v>
      </c>
      <c r="G556" s="7" t="s">
        <v>10</v>
      </c>
      <c r="H556" s="7">
        <v>8839</v>
      </c>
      <c r="I556" s="8" t="str">
        <f ca="1">IFERROR(__xludf.DUMMYFUNCTION("IF
(
G557=""фізична особа""
,
VLOOKUP(H557,IMPORTRANGE(""https://docs.google.com/spreadsheets/d/14Bd19lYaqBhU8_DElYkX7l4wRkHqqCUFNJY4AfY3kHU/edit?usp=sharing  #gid=0"",""фіз особи new!relations_name""),6,FALSE)
,
(IF
(
G557=""юридична особа""
,
VLOOKUP(H5"&amp;"57,IMPORTRANGE(""https://docs.google.com/spreadsheets/d/14Bd19lYaqBhU8_DElYkX7l4wRkHqqCUFNJY4AfY3kHU/edit?usp=sharing  #gid=0"",""фіз особи new!relations_name_uo""),7,FALSE)
,
)
))"),"ЛАМЕЙКІНА Ліна Миколаївна")</f>
        <v>ЛАМЕЙКІНА Ліна Миколаївна</v>
      </c>
      <c r="J556" s="7" t="s">
        <v>21</v>
      </c>
    </row>
    <row r="557" spans="1:10" ht="13.2">
      <c r="A557" s="7">
        <v>556</v>
      </c>
      <c r="B557" s="7">
        <v>1</v>
      </c>
      <c r="C557" s="7" t="s">
        <v>10</v>
      </c>
      <c r="D557" s="7">
        <v>209</v>
      </c>
      <c r="E557" s="7" t="s">
        <v>18</v>
      </c>
      <c r="F557" s="8" t="str">
        <f ca="1">IFERROR(__xludf.DUMMYFUNCTION("IF
(
C558=""фізична особа""
,
VLOOKUP(D558,IMPORTRANGE(""https://docs.google.com/spreadsheets/d/14Bd19lYaqBhU8_DElYkX7l4wRkHqqCUFNJY4AfY3kHU/edit?usp=sharing  #gid=0"",""фіз особи new!relations_name""),6,FALSE)
,
(IF
(
C558=""юридична особа""
,
VLOOKUP(D5"&amp;"58,IMPORTRANGE(""https://docs.google.com/spreadsheets/d/14Bd19lYaqBhU8_DElYkX7l4wRkHqqCUFNJY4AfY3kHU/edit?usp=sharing  #gid=0"",""фіз особи new!relations_name_uo""),7,FALSE)
,
)
))"),"ЛАМЕЙКІН Дмитро Вікторович")</f>
        <v>ЛАМЕЙКІН Дмитро Вікторович</v>
      </c>
      <c r="G557" s="7" t="s">
        <v>10</v>
      </c>
      <c r="H557" s="7">
        <v>0</v>
      </c>
      <c r="I557" s="8" t="str">
        <f ca="1">IFERROR(__xludf.DUMMYFUNCTION("IF
(
G558=""фізична особа""
,
VLOOKUP(H558,IMPORTRANGE(""https://docs.google.com/spreadsheets/d/14Bd19lYaqBhU8_DElYkX7l4wRkHqqCUFNJY4AfY3kHU/edit?usp=sharing  #gid=0"",""фіз особи new!relations_name""),6,FALSE)
,
(IF
(
G558=""юридична особа""
,
VLOOKUP(H5"&amp;"58,IMPORTRANGE(""https://docs.google.com/spreadsheets/d/14Bd19lYaqBhU8_DElYkX7l4wRkHqqCUFNJY4AfY3kHU/edit?usp=sharing  #gid=0"",""фіз особи new!relations_name_uo""),7,FALSE)
,
)
))"),"#N/A")</f>
        <v>#N/A</v>
      </c>
      <c r="J557" s="7" t="s">
        <v>18</v>
      </c>
    </row>
    <row r="558" spans="1:10" ht="13.2">
      <c r="A558" s="7">
        <v>557</v>
      </c>
      <c r="B558" s="7">
        <v>1</v>
      </c>
      <c r="C558" s="7" t="s">
        <v>10</v>
      </c>
      <c r="D558" s="7">
        <v>211</v>
      </c>
      <c r="E558" s="7" t="s">
        <v>28</v>
      </c>
      <c r="F558" s="8" t="str">
        <f ca="1">IFERROR(__xludf.DUMMYFUNCTION("IF
(
C559=""фізична особа""
,
VLOOKUP(D559,IMPORTRANGE(""https://docs.google.com/spreadsheets/d/14Bd19lYaqBhU8_DElYkX7l4wRkHqqCUFNJY4AfY3kHU/edit?usp=sharing  #gid=0"",""фіз особи new!relations_name""),6,FALSE)
,
(IF
(
C559=""юридична особа""
,
VLOOKUP(D5"&amp;"59,IMPORTRANGE(""https://docs.google.com/spreadsheets/d/14Bd19lYaqBhU8_DElYkX7l4wRkHqqCUFNJY4AfY3kHU/edit?usp=sharing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G558" s="7" t="s">
        <v>10</v>
      </c>
      <c r="H558" s="7">
        <v>670</v>
      </c>
      <c r="I558" s="8" t="str">
        <f ca="1">IFERROR(__xludf.DUMMYFUNCTION("IF
(
G559=""фізична особа""
,
VLOOKUP(H559,IMPORTRANGE(""https://docs.google.com/spreadsheets/d/14Bd19lYaqBhU8_DElYkX7l4wRkHqqCUFNJY4AfY3kHU/edit?usp=sharing  #gid=0"",""фіз особи new!relations_name""),6,FALSE)
,
(IF
(
G559=""юридична особа""
,
VLOOKUP(H5"&amp;"59,IMPORTRANGE(""https://docs.google.com/spreadsheets/d/14Bd19lYaqBhU8_DElYkX7l4wRkHqqCUFNJY4AfY3kHU/edit?usp=sharing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558" s="7" t="s">
        <v>29</v>
      </c>
    </row>
    <row r="559" spans="1:10" ht="13.2">
      <c r="A559" s="7">
        <v>558</v>
      </c>
      <c r="B559" s="7">
        <v>1</v>
      </c>
      <c r="C559" s="7" t="s">
        <v>10</v>
      </c>
      <c r="D559" s="7">
        <v>211</v>
      </c>
      <c r="E559" s="7" t="s">
        <v>40</v>
      </c>
      <c r="F559" s="8" t="str">
        <f ca="1">IFERROR(__xludf.DUMMYFUNCTION("IF
(
C560=""фізична особа""
,
VLOOKUP(D560,IMPORTRANGE(""https://docs.google.com/spreadsheets/d/14Bd19lYaqBhU8_DElYkX7l4wRkHqqCUFNJY4AfY3kHU/edit?usp=sharing  #gid=0"",""фіз особи new!relations_name""),6,FALSE)
,
(IF
(
C560=""юридична особа""
,
VLOOKUP(D5"&amp;"60,IMPORTRANGE(""https://docs.google.com/spreadsheets/d/14Bd19lYaqBhU8_DElYkX7l4wRkHqqCUFNJY4AfY3kHU/edit?usp=sharing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G559" s="7" t="s">
        <v>10</v>
      </c>
      <c r="H559" s="7">
        <v>2158</v>
      </c>
      <c r="I559" s="8" t="str">
        <f ca="1">IFERROR(__xludf.DUMMYFUNCTION("IF
(
G560=""фізична особа""
,
VLOOKUP(H560,IMPORTRANGE(""https://docs.google.com/spreadsheets/d/14Bd19lYaqBhU8_DElYkX7l4wRkHqqCUFNJY4AfY3kHU/edit?usp=sharing  #gid=0"",""фіз особи new!relations_name""),6,FALSE)
,
(IF
(
G560=""юридична особа""
,
VLOOKUP(H5"&amp;"60,IMPORTRANGE(""https://docs.google.com/spreadsheets/d/14Bd19lYaqBhU8_DElYkX7l4wRkHqqCUFNJY4AfY3kHU/edit?usp=sharing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559" s="7" t="s">
        <v>41</v>
      </c>
    </row>
    <row r="560" spans="1:10" ht="13.2">
      <c r="A560" s="7">
        <v>559</v>
      </c>
      <c r="B560" s="7">
        <v>1</v>
      </c>
      <c r="C560" s="7" t="s">
        <v>10</v>
      </c>
      <c r="D560" s="7">
        <v>212</v>
      </c>
      <c r="E560" s="7" t="s">
        <v>28</v>
      </c>
      <c r="F560" s="8" t="str">
        <f ca="1">IFERROR(__xludf.DUMMYFUNCTION("IF
(
C561=""фізична особа""
,
VLOOKUP(D561,IMPORTRANGE(""https://docs.google.com/spreadsheets/d/14Bd19lYaqBhU8_DElYkX7l4wRkHqqCUFNJY4AfY3kHU/edit?usp=sharing  #gid=0"",""фіз особи new!relations_name""),6,FALSE)
,
(IF
(
C561=""юридична особа""
,
VLOOKUP(D5"&amp;"61,IMPORTRANGE(""https://docs.google.com/spreadsheets/d/14Bd19lYaqBhU8_DElYkX7l4wRkHqqCUFNJY4AfY3kHU/edit?usp=sharing  #gid=0"",""фіз особи new!relations_name_uo""),7,FALSE)
,
)
))"),"КОСТРУБИЦЬКИЙ Олексій Олександрович")</f>
        <v>КОСТРУБИЦЬКИЙ Олексій Олександрович</v>
      </c>
      <c r="G560" s="7" t="s">
        <v>10</v>
      </c>
      <c r="H560" s="7">
        <v>14762</v>
      </c>
      <c r="I560" s="8" t="str">
        <f ca="1">IFERROR(__xludf.DUMMYFUNCTION("IF
(
G561=""фізична особа""
,
VLOOKUP(H561,IMPORTRANGE(""https://docs.google.com/spreadsheets/d/14Bd19lYaqBhU8_DElYkX7l4wRkHqqCUFNJY4AfY3kHU/edit?usp=sharing  #gid=0"",""фіз особи new!relations_name""),6,FALSE)
,
(IF
(
G561=""юридична особа""
,
VLOOKUP(H5"&amp;"61,IMPORTRANGE(""https://docs.google.com/spreadsheets/d/14Bd19lYaqBhU8_DElYkX7l4wRkHqqCUFNJY4AfY3kHU/edit?usp=sharing  #gid=0"",""фіз особи new!relations_name_uo""),7,FALSE)
,
)
))"),"ЗАХАРЧЕНКО Олександр Володимирович")</f>
        <v>ЗАХАРЧЕНКО Олександр Володимирович</v>
      </c>
      <c r="J560" s="7" t="s">
        <v>29</v>
      </c>
    </row>
    <row r="561" spans="1:10" ht="13.2">
      <c r="A561" s="7">
        <v>560</v>
      </c>
      <c r="B561" s="7">
        <v>1</v>
      </c>
      <c r="C561" s="7" t="s">
        <v>10</v>
      </c>
      <c r="D561" s="7">
        <v>213</v>
      </c>
      <c r="E561" s="7" t="s">
        <v>14</v>
      </c>
      <c r="F561" s="8" t="str">
        <f ca="1">IFERROR(__xludf.DUMMYFUNCTION("IF
(
C562=""фізична особа""
,
VLOOKUP(D562,IMPORTRANGE(""https://docs.google.com/spreadsheets/d/14Bd19lYaqBhU8_DElYkX7l4wRkHqqCUFNJY4AfY3kHU/edit?usp=sharing  #gid=0"",""фіз особи new!relations_name""),6,FALSE)
,
(IF
(
C562=""юридична особа""
,
VLOOKUP(D5"&amp;"62,IMPORTRANGE(""https://docs.google.com/spreadsheets/d/14Bd19lYaqBhU8_DElYkX7l4wRkHqqCUFNJY4AfY3kHU/edit?usp=sharing  #gid=0"",""фіз особи new!relations_name_uo""),7,FALSE)
,
)
))"),"КОНОВ Дмитро Володимирович")</f>
        <v>КОНОВ Дмитро Володимирович</v>
      </c>
      <c r="G561" s="7" t="s">
        <v>10</v>
      </c>
      <c r="H561" s="7">
        <v>0</v>
      </c>
      <c r="I561" s="8" t="str">
        <f ca="1">IFERROR(__xludf.DUMMYFUNCTION("IF
(
G562=""фізична особа""
,
VLOOKUP(H562,IMPORTRANGE(""https://docs.google.com/spreadsheets/d/14Bd19lYaqBhU8_DElYkX7l4wRkHqqCUFNJY4AfY3kHU/edit?usp=sharing  #gid=0"",""фіз особи new!relations_name""),6,FALSE)
,
(IF
(
G562=""юридична особа""
,
VLOOKUP(H5"&amp;"62,IMPORTRANGE(""https://docs.google.com/spreadsheets/d/14Bd19lYaqBhU8_DElYkX7l4wRkHqqCUFNJY4AfY3kHU/edit?usp=sharing  #gid=0"",""фіз особи new!relations_name_uo""),7,FALSE)
,
)
))"),"#N/A")</f>
        <v>#N/A</v>
      </c>
      <c r="J561" s="7" t="s">
        <v>15</v>
      </c>
    </row>
    <row r="562" spans="1:10" ht="13.2">
      <c r="A562" s="7">
        <v>561</v>
      </c>
      <c r="B562" s="7">
        <v>1</v>
      </c>
      <c r="C562" s="7" t="s">
        <v>10</v>
      </c>
      <c r="D562" s="7">
        <v>215</v>
      </c>
      <c r="E562" s="7" t="s">
        <v>14</v>
      </c>
      <c r="F562" s="8" t="str">
        <f ca="1">IFERROR(__xludf.DUMMYFUNCTION("IF
(
C563=""фізична особа""
,
VLOOKUP(D563,IMPORTRANGE(""https://docs.google.com/spreadsheets/d/14Bd19lYaqBhU8_DElYkX7l4wRkHqqCUFNJY4AfY3kHU/edit?usp=sharing  #gid=0"",""фіз особи new!relations_name""),6,FALSE)
,
(IF
(
C563=""юридична особа""
,
VLOOKUP(D5"&amp;"63,IMPORTRANGE(""https://docs.google.com/spreadsheets/d/14Bd19lYaqBhU8_DElYkX7l4wRkHqqCUFNJY4AfY3kHU/edit?usp=sharing  #gid=0"",""фіз особи new!relations_name_uo""),7,FALSE)
,
)
))"),"ПІРОГ Дмитро Юрійович")</f>
        <v>ПІРОГ Дмитро Юрійович</v>
      </c>
      <c r="G562" s="7" t="s">
        <v>10</v>
      </c>
      <c r="H562" s="7">
        <v>0</v>
      </c>
      <c r="I562" s="8" t="str">
        <f ca="1">IFERROR(__xludf.DUMMYFUNCTION("IF
(
G563=""фізична особа""
,
VLOOKUP(H563,IMPORTRANGE(""https://docs.google.com/spreadsheets/d/14Bd19lYaqBhU8_DElYkX7l4wRkHqqCUFNJY4AfY3kHU/edit?usp=sharing  #gid=0"",""фіз особи new!relations_name""),6,FALSE)
,
(IF
(
G563=""юридична особа""
,
VLOOKUP(H5"&amp;"63,IMPORTRANGE(""https://docs.google.com/spreadsheets/d/14Bd19lYaqBhU8_DElYkX7l4wRkHqqCUFNJY4AfY3kHU/edit?usp=sharing  #gid=0"",""фіз особи new!relations_name_uo""),7,FALSE)
,
)
))"),"#N/A")</f>
        <v>#N/A</v>
      </c>
      <c r="J562" s="7" t="s">
        <v>15</v>
      </c>
    </row>
    <row r="563" spans="1:10" ht="13.2">
      <c r="A563" s="7">
        <v>562</v>
      </c>
      <c r="B563" s="7">
        <v>1</v>
      </c>
      <c r="C563" s="7" t="s">
        <v>10</v>
      </c>
      <c r="D563" s="7">
        <v>215</v>
      </c>
      <c r="E563" s="7" t="s">
        <v>28</v>
      </c>
      <c r="F563" s="8" t="str">
        <f ca="1">IFERROR(__xludf.DUMMYFUNCTION("IF
(
C564=""фізична особа""
,
VLOOKUP(D564,IMPORTRANGE(""https://docs.google.com/spreadsheets/d/14Bd19lYaqBhU8_DElYkX7l4wRkHqqCUFNJY4AfY3kHU/edit?usp=sharing  #gid=0"",""фіз особи new!relations_name""),6,FALSE)
,
(IF
(
C564=""юридична особа""
,
VLOOKUP(D5"&amp;"64,IMPORTRANGE(""https://docs.google.com/spreadsheets/d/14Bd19lYaqBhU8_DElYkX7l4wRkHqqCUFNJY4AfY3kHU/edit?usp=sharing  #gid=0"",""фіз особи new!relations_name_uo""),7,FALSE)
,
)
))"),"ПІРОГ Дмитро Юрійович")</f>
        <v>ПІРОГ Дмитро Юрійович</v>
      </c>
      <c r="G563" s="7" t="s">
        <v>10</v>
      </c>
      <c r="H563" s="7">
        <v>880</v>
      </c>
      <c r="I563" s="8" t="str">
        <f ca="1">IFERROR(__xludf.DUMMYFUNCTION("IF
(
G564=""фізична особа""
,
VLOOKUP(H564,IMPORTRANGE(""https://docs.google.com/spreadsheets/d/14Bd19lYaqBhU8_DElYkX7l4wRkHqqCUFNJY4AfY3kHU/edit?usp=sharing  #gid=0"",""фіз особи new!relations_name""),6,FALSE)
,
(IF
(
G564=""юридична особа""
,
VLOOKUP(H5"&amp;"64,IMPORTRANGE(""https://docs.google.com/spreadsheets/d/14Bd19lYaqBhU8_DElYkX7l4wRkHqqCUFNJY4AfY3kHU/edit?usp=sharing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63" s="7" t="s">
        <v>29</v>
      </c>
    </row>
    <row r="564" spans="1:10" ht="13.2">
      <c r="A564" s="7">
        <v>563</v>
      </c>
      <c r="B564" s="7">
        <v>1</v>
      </c>
      <c r="C564" s="7" t="s">
        <v>10</v>
      </c>
      <c r="D564" s="7">
        <v>216</v>
      </c>
      <c r="E564" s="7" t="s">
        <v>17</v>
      </c>
      <c r="F564" s="8" t="str">
        <f ca="1">IFERROR(__xludf.DUMMYFUNCTION("IF
(
C565=""фізична особа""
,
VLOOKUP(D565,IMPORTRANGE(""https://docs.google.com/spreadsheets/d/14Bd19lYaqBhU8_DElYkX7l4wRkHqqCUFNJY4AfY3kHU/edit?usp=sharing  #gid=0"",""фіз особи new!relations_name""),6,FALSE)
,
(IF
(
C565=""юридична особа""
,
VLOOKUP(D5"&amp;"65,IMPORTRANGE(""https://docs.google.com/spreadsheets/d/14Bd19lYaqBhU8_DElYkX7l4wRkHqqCUFNJY4AfY3kHU/edit?usp=sharing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G564" s="7" t="s">
        <v>10</v>
      </c>
      <c r="H564" s="7">
        <v>4349</v>
      </c>
      <c r="I564" s="8" t="str">
        <f ca="1">IFERROR(__xludf.DUMMYFUNCTION("IF
(
G565=""фізична особа""
,
VLOOKUP(H565,IMPORTRANGE(""https://docs.google.com/spreadsheets/d/14Bd19lYaqBhU8_DElYkX7l4wRkHqqCUFNJY4AfY3kHU/edit?usp=sharing  #gid=0"",""фіз особи new!relations_name""),6,FALSE)
,
(IF
(
G565=""юридична особа""
,
VLOOKUP(H5"&amp;"65,IMPORTRANGE(""https://docs.google.com/spreadsheets/d/14Bd19lYaqBhU8_DElYkX7l4wRkHqqCUFNJY4AfY3kHU/edit?usp=sharing  #gid=0"",""фіз особи new!relations_name_uo""),7,FALSE)
,
)
))"),"ГОРІЦЬКА Лідія Василівна")</f>
        <v>ГОРІЦЬКА Лідія Василівна</v>
      </c>
      <c r="J564" s="7" t="s">
        <v>21</v>
      </c>
    </row>
    <row r="565" spans="1:10" ht="13.2">
      <c r="A565" s="7">
        <v>564</v>
      </c>
      <c r="B565" s="7">
        <v>1</v>
      </c>
      <c r="C565" s="7" t="s">
        <v>10</v>
      </c>
      <c r="D565" s="7">
        <v>216</v>
      </c>
      <c r="E565" s="7" t="s">
        <v>12</v>
      </c>
      <c r="F565" s="8" t="str">
        <f ca="1">IFERROR(__xludf.DUMMYFUNCTION("IF
(
C566=""фізична особа""
,
VLOOKUP(D566,IMPORTRANGE(""https://docs.google.com/spreadsheets/d/14Bd19lYaqBhU8_DElYkX7l4wRkHqqCUFNJY4AfY3kHU/edit?usp=sharing  #gid=0"",""фіз особи new!relations_name""),6,FALSE)
,
(IF
(
C566=""юридична особа""
,
VLOOKUP(D5"&amp;"66,IMPORTRANGE(""https://docs.google.com/spreadsheets/d/14Bd19lYaqBhU8_DElYkX7l4wRkHqqCUFNJY4AfY3kHU/edit?usp=sharing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G565" s="7" t="s">
        <v>10</v>
      </c>
      <c r="H565" s="7">
        <v>4350</v>
      </c>
      <c r="I565" s="8" t="str">
        <f ca="1">IFERROR(__xludf.DUMMYFUNCTION("IF
(
G566=""фізична особа""
,
VLOOKUP(H566,IMPORTRANGE(""https://docs.google.com/spreadsheets/d/14Bd19lYaqBhU8_DElYkX7l4wRkHqqCUFNJY4AfY3kHU/edit?usp=sharing  #gid=0"",""фіз особи new!relations_name""),6,FALSE)
,
(IF
(
G566=""юридична особа""
,
VLOOKUP(H5"&amp;"66,IMPORTRANGE(""https://docs.google.com/spreadsheets/d/14Bd19lYaqBhU8_DElYkX7l4wRkHqqCUFNJY4AfY3kHU/edit?usp=sharing  #gid=0"",""фіз особи new!relations_name_uo""),7,FALSE)
,
)
))"),"ГОРІЦЬКА Анастасія Дмитрівна")</f>
        <v>ГОРІЦЬКА Анастасія Дмитрівна</v>
      </c>
      <c r="J565" s="7" t="s">
        <v>13</v>
      </c>
    </row>
    <row r="566" spans="1:10" ht="13.2">
      <c r="A566" s="7">
        <v>565</v>
      </c>
      <c r="B566" s="7">
        <v>1</v>
      </c>
      <c r="C566" s="7" t="s">
        <v>10</v>
      </c>
      <c r="D566" s="7">
        <v>216</v>
      </c>
      <c r="E566" s="7" t="s">
        <v>14</v>
      </c>
      <c r="F566" s="8" t="str">
        <f ca="1">IFERROR(__xludf.DUMMYFUNCTION("IF
(
C567=""фізична особа""
,
VLOOKUP(D567,IMPORTRANGE(""https://docs.google.com/spreadsheets/d/14Bd19lYaqBhU8_DElYkX7l4wRkHqqCUFNJY4AfY3kHU/edit?usp=sharing  #gid=0"",""фіз особи new!relations_name""),6,FALSE)
,
(IF
(
C567=""юридична особа""
,
VLOOKUP(D5"&amp;"67,IMPORTRANGE(""https://docs.google.com/spreadsheets/d/14Bd19lYaqBhU8_DElYkX7l4wRkHqqCUFNJY4AfY3kHU/edit?usp=sharing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G566" s="7" t="s">
        <v>10</v>
      </c>
      <c r="H566" s="7">
        <v>4351</v>
      </c>
      <c r="I566" s="8" t="str">
        <f ca="1">IFERROR(__xludf.DUMMYFUNCTION("IF
(
G567=""фізична особа""
,
VLOOKUP(H567,IMPORTRANGE(""https://docs.google.com/spreadsheets/d/14Bd19lYaqBhU8_DElYkX7l4wRkHqqCUFNJY4AfY3kHU/edit?usp=sharing  #gid=0"",""фіз особи new!relations_name""),6,FALSE)
,
(IF
(
G567=""юридична особа""
,
VLOOKUP(H5"&amp;"67,IMPORTRANGE(""https://docs.google.com/spreadsheets/d/14Bd19lYaqBhU8_DElYkX7l4wRkHqqCUFNJY4AfY3kHU/edit?usp=sharing  #gid=0"",""фіз особи new!relations_name_uo""),7,FALSE)
,
)
))"),"ГОРІЦЬКА Гульнара Маратівна")</f>
        <v>ГОРІЦЬКА Гульнара Маратівна</v>
      </c>
      <c r="J566" s="7" t="s">
        <v>15</v>
      </c>
    </row>
    <row r="567" spans="1:10" ht="13.2">
      <c r="A567" s="7">
        <v>566</v>
      </c>
      <c r="B567" s="7">
        <v>1</v>
      </c>
      <c r="C567" s="7" t="s">
        <v>10</v>
      </c>
      <c r="D567" s="7">
        <v>216</v>
      </c>
      <c r="E567" s="7" t="s">
        <v>11</v>
      </c>
      <c r="F567" s="8" t="str">
        <f ca="1">IFERROR(__xludf.DUMMYFUNCTION("IF
(
C568=""фізична особа""
,
VLOOKUP(D568,IMPORTRANGE(""https://docs.google.com/spreadsheets/d/14Bd19lYaqBhU8_DElYkX7l4wRkHqqCUFNJY4AfY3kHU/edit?usp=sharing  #gid=0"",""фіз особи new!relations_name""),6,FALSE)
,
(IF
(
C568=""юридична особа""
,
VLOOKUP(D5"&amp;"68,IMPORTRANGE(""https://docs.google.com/spreadsheets/d/14Bd19lYaqBhU8_DElYkX7l4wRkHqqCUFNJY4AfY3kHU/edit?usp=sharing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G567" s="7" t="s">
        <v>10</v>
      </c>
      <c r="H567" s="7">
        <v>0</v>
      </c>
      <c r="I567" s="8" t="str">
        <f ca="1">IFERROR(__xludf.DUMMYFUNCTION("IF
(
G568=""фізична особа""
,
VLOOKUP(H568,IMPORTRANGE(""https://docs.google.com/spreadsheets/d/14Bd19lYaqBhU8_DElYkX7l4wRkHqqCUFNJY4AfY3kHU/edit?usp=sharing  #gid=0"",""фіз особи new!relations_name""),6,FALSE)
,
(IF
(
G568=""юридична особа""
,
VLOOKUP(H5"&amp;"68,IMPORTRANGE(""https://docs.google.com/spreadsheets/d/14Bd19lYaqBhU8_DElYkX7l4wRkHqqCUFNJY4AfY3kHU/edit?usp=sharing  #gid=0"",""фіз особи new!relations_name_uo""),7,FALSE)
,
)
))"),"#N/A")</f>
        <v>#N/A</v>
      </c>
      <c r="J567" s="7" t="s">
        <v>11</v>
      </c>
    </row>
    <row r="568" spans="1:10" ht="13.2">
      <c r="A568" s="7">
        <v>567</v>
      </c>
      <c r="B568" s="7">
        <v>1</v>
      </c>
      <c r="C568" s="7" t="s">
        <v>10</v>
      </c>
      <c r="D568" s="7">
        <v>216</v>
      </c>
      <c r="E568" s="7" t="s">
        <v>11</v>
      </c>
      <c r="F568" s="8" t="str">
        <f ca="1">IFERROR(__xludf.DUMMYFUNCTION("IF
(
C569=""фізична особа""
,
VLOOKUP(D569,IMPORTRANGE(""https://docs.google.com/spreadsheets/d/14Bd19lYaqBhU8_DElYkX7l4wRkHqqCUFNJY4AfY3kHU/edit?usp=sharing  #gid=0"",""фіз особи new!relations_name""),6,FALSE)
,
(IF
(
C569=""юридична особа""
,
VLOOKUP(D5"&amp;"69,IMPORTRANGE(""https://docs.google.com/spreadsheets/d/14Bd19lYaqBhU8_DElYkX7l4wRkHqqCUFNJY4AfY3kHU/edit?usp=sharing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G568" s="7" t="s">
        <v>10</v>
      </c>
      <c r="H568" s="7">
        <v>23371</v>
      </c>
      <c r="I568" s="8" t="str">
        <f ca="1">IFERROR(__xludf.DUMMYFUNCTION("IF
(
G569=""фізична особа""
,
VLOOKUP(H569,IMPORTRANGE(""https://docs.google.com/spreadsheets/d/14Bd19lYaqBhU8_DElYkX7l4wRkHqqCUFNJY4AfY3kHU/edit?usp=sharing  #gid=0"",""фіз особи new!relations_name""),6,FALSE)
,
(IF
(
G569=""юридична особа""
,
VLOOKUP(H5"&amp;"69,IMPORTRANGE(""https://docs.google.com/spreadsheets/d/14Bd19lYaqBhU8_DElYkX7l4wRkHqqCUFNJY4AfY3kHU/edit?usp=sharing  #gid=0"",""фіз особи new!relations_name_uo""),7,FALSE)
,
)
))"),"ЯКУШЕВ Павло Володимирович")</f>
        <v>ЯКУШЕВ Павло Володимирович</v>
      </c>
      <c r="J568" s="7" t="s">
        <v>11</v>
      </c>
    </row>
    <row r="569" spans="1:10" ht="13.2">
      <c r="A569" s="7">
        <v>568</v>
      </c>
      <c r="B569" s="7">
        <v>1</v>
      </c>
      <c r="C569" s="7" t="s">
        <v>10</v>
      </c>
      <c r="D569" s="7">
        <v>217</v>
      </c>
      <c r="E569" s="7" t="s">
        <v>18</v>
      </c>
      <c r="F569" s="8" t="str">
        <f ca="1">IFERROR(__xludf.DUMMYFUNCTION("IF
(
C570=""фізична особа""
,
VLOOKUP(D570,IMPORTRANGE(""https://docs.google.com/spreadsheets/d/14Bd19lYaqBhU8_DElYkX7l4wRkHqqCUFNJY4AfY3kHU/edit?usp=sharing  #gid=0"",""фіз особи new!relations_name""),6,FALSE)
,
(IF
(
C570=""юридична особа""
,
VLOOKUP(D5"&amp;"70,IMPORTRANGE(""https://docs.google.com/spreadsheets/d/14Bd19lYaqBhU8_DElYkX7l4wRkHqqCUFNJY4AfY3kHU/edit?usp=sharing  #gid=0"",""фіз особи new!relations_name_uo""),7,FALSE)
,
)
))"),"ГАСАНОВ Джамаладін Набійович")</f>
        <v>ГАСАНОВ Джамаладін Набійович</v>
      </c>
      <c r="G569" s="7" t="s">
        <v>10</v>
      </c>
      <c r="H569" s="7">
        <v>12827</v>
      </c>
      <c r="I569" s="8" t="str">
        <f ca="1">IFERROR(__xludf.DUMMYFUNCTION("IF
(
G570=""фізична особа""
,
VLOOKUP(H570,IMPORTRANGE(""https://docs.google.com/spreadsheets/d/14Bd19lYaqBhU8_DElYkX7l4wRkHqqCUFNJY4AfY3kHU/edit?usp=sharing  #gid=0"",""фіз особи new!relations_name""),6,FALSE)
,
(IF
(
G570=""юридична особа""
,
VLOOKUP(H5"&amp;"70,IMPORTRANGE(""https://docs.google.com/spreadsheets/d/14Bd19lYaqBhU8_DElYkX7l4wRkHqqCUFNJY4AfY3kHU/edit?usp=sharing  #gid=0"",""фіз особи new!relations_name_uo""),7,FALSE)
,
)
))"),"ГАСАНОВ Магомедкаді Набійович")</f>
        <v>ГАСАНОВ Магомедкаді Набійович</v>
      </c>
      <c r="J569" s="7" t="s">
        <v>18</v>
      </c>
    </row>
    <row r="570" spans="1:10" ht="13.2">
      <c r="A570" s="7">
        <v>569</v>
      </c>
      <c r="B570" s="7">
        <v>1</v>
      </c>
      <c r="C570" s="7" t="s">
        <v>10</v>
      </c>
      <c r="D570" s="7">
        <v>218</v>
      </c>
      <c r="E570" s="7" t="s">
        <v>40</v>
      </c>
      <c r="F570" s="8" t="str">
        <f ca="1">IFERROR(__xludf.DUMMYFUNCTION("IF
(
C571=""фізична особа""
,
VLOOKUP(D571,IMPORTRANGE(""https://docs.google.com/spreadsheets/d/14Bd19lYaqBhU8_DElYkX7l4wRkHqqCUFNJY4AfY3kHU/edit?usp=sharing  #gid=0"",""фіз особи new!relations_name""),6,FALSE)
,
(IF
(
C571=""юридична особа""
,
VLOOKUP(D5"&amp;"71,IMPORTRANGE(""https://docs.google.com/spreadsheets/d/14Bd19lYaqBhU8_DElYkX7l4wRkHqqCUFNJY4AfY3kHU/edit?usp=sharing  #gid=0"",""фіз особи new!relations_name_uo""),7,FALSE)
,
)
))"),"БАСУРІН Едуард Олександрович")</f>
        <v>БАСУРІН Едуард Олександрович</v>
      </c>
      <c r="G570" s="7" t="s">
        <v>10</v>
      </c>
      <c r="H570" s="7">
        <v>14762</v>
      </c>
      <c r="I570" s="8" t="str">
        <f ca="1">IFERROR(__xludf.DUMMYFUNCTION("IF
(
G571=""фізична особа""
,
VLOOKUP(H571,IMPORTRANGE(""https://docs.google.com/spreadsheets/d/14Bd19lYaqBhU8_DElYkX7l4wRkHqqCUFNJY4AfY3kHU/edit?usp=sharing  #gid=0"",""фіз особи new!relations_name""),6,FALSE)
,
(IF
(
G571=""юридична особа""
,
VLOOKUP(H5"&amp;"71,IMPORTRANGE(""https://docs.google.com/spreadsheets/d/14Bd19lYaqBhU8_DElYkX7l4wRkHqqCUFNJY4AfY3kHU/edit?usp=sharing  #gid=0"",""фіз особи new!relations_name_uo""),7,FALSE)
,
)
))"),"ЗАХАРЧЕНКО Олександр Володимирович")</f>
        <v>ЗАХАРЧЕНКО Олександр Володимирович</v>
      </c>
      <c r="J570" s="7" t="s">
        <v>41</v>
      </c>
    </row>
    <row r="571" spans="1:10" ht="13.2">
      <c r="A571" s="7">
        <v>570</v>
      </c>
      <c r="B571" s="7">
        <v>1</v>
      </c>
      <c r="C571" s="7" t="s">
        <v>10</v>
      </c>
      <c r="D571" s="7">
        <v>218</v>
      </c>
      <c r="E571" s="7" t="s">
        <v>40</v>
      </c>
      <c r="F571" s="8" t="str">
        <f ca="1">IFERROR(__xludf.DUMMYFUNCTION("IF
(
C572=""фізична особа""
,
VLOOKUP(D572,IMPORTRANGE(""https://docs.google.com/spreadsheets/d/14Bd19lYaqBhU8_DElYkX7l4wRkHqqCUFNJY4AfY3kHU/edit?usp=sharing  #gid=0"",""фіз особи new!relations_name""),6,FALSE)
,
(IF
(
C572=""юридична особа""
,
VLOOKUP(D5"&amp;"72,IMPORTRANGE(""https://docs.google.com/spreadsheets/d/14Bd19lYaqBhU8_DElYkX7l4wRkHqqCUFNJY4AfY3kHU/edit?usp=sharing  #gid=0"",""фіз особи new!relations_name_uo""),7,FALSE)
,
)
))"),"БАСУРІН Едуард Олександрович")</f>
        <v>БАСУРІН Едуард Олександрович</v>
      </c>
      <c r="G571" s="7" t="s">
        <v>10</v>
      </c>
      <c r="H571" s="7">
        <v>0</v>
      </c>
      <c r="I571" s="8" t="str">
        <f ca="1">IFERROR(__xludf.DUMMYFUNCTION("IF
(
G572=""фізична особа""
,
VLOOKUP(H572,IMPORTRANGE(""https://docs.google.com/spreadsheets/d/14Bd19lYaqBhU8_DElYkX7l4wRkHqqCUFNJY4AfY3kHU/edit?usp=sharing  #gid=0"",""фіз особи new!relations_name""),6,FALSE)
,
(IF
(
G572=""юридична особа""
,
VLOOKUP(H5"&amp;"72,IMPORTRANGE(""https://docs.google.com/spreadsheets/d/14Bd19lYaqBhU8_DElYkX7l4wRkHqqCUFNJY4AfY3kHU/edit?usp=sharing  #gid=0"",""фіз особи new!relations_name_uo""),7,FALSE)
,
)
))"),"#N/A")</f>
        <v>#N/A</v>
      </c>
      <c r="J571" s="7" t="s">
        <v>41</v>
      </c>
    </row>
    <row r="572" spans="1:10" ht="13.2">
      <c r="A572" s="7">
        <v>571</v>
      </c>
      <c r="B572" s="7">
        <v>1</v>
      </c>
      <c r="C572" s="7" t="s">
        <v>10</v>
      </c>
      <c r="D572" s="7">
        <v>218</v>
      </c>
      <c r="E572" s="7" t="s">
        <v>28</v>
      </c>
      <c r="F572" s="8" t="str">
        <f ca="1">IFERROR(__xludf.DUMMYFUNCTION("IF
(
C573=""фізична особа""
,
VLOOKUP(D573,IMPORTRANGE(""https://docs.google.com/spreadsheets/d/14Bd19lYaqBhU8_DElYkX7l4wRkHqqCUFNJY4AfY3kHU/edit?usp=sharing  #gid=0"",""фіз особи new!relations_name""),6,FALSE)
,
(IF
(
C573=""юридична особа""
,
VLOOKUP(D5"&amp;"73,IMPORTRANGE(""https://docs.google.com/spreadsheets/d/14Bd19lYaqBhU8_DElYkX7l4wRkHqqCUFNJY4AfY3kHU/edit?usp=sharing  #gid=0"",""фіз особи new!relations_name_uo""),7,FALSE)
,
)
))"),"БАСУРІН Едуард Олександрович")</f>
        <v>БАСУРІН Едуард Олександрович</v>
      </c>
      <c r="G572" s="7" t="s">
        <v>10</v>
      </c>
      <c r="H572" s="7">
        <v>4567</v>
      </c>
      <c r="I572" s="8" t="str">
        <f ca="1">IFERROR(__xludf.DUMMYFUNCTION("IF
(
G573=""фізична особа""
,
VLOOKUP(H573,IMPORTRANGE(""https://docs.google.com/spreadsheets/d/14Bd19lYaqBhU8_DElYkX7l4wRkHqqCUFNJY4AfY3kHU/edit?usp=sharing  #gid=0"",""фіз особи new!relations_name""),6,FALSE)
,
(IF
(
G573=""юридична особа""
,
VLOOKUP(H5"&amp;"73,IMPORTRANGE(""https://docs.google.com/spreadsheets/d/14Bd19lYaqBhU8_DElYkX7l4wRkHqqCUFNJY4AfY3kHU/edit?usp=sharing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572" s="7" t="s">
        <v>29</v>
      </c>
    </row>
    <row r="573" spans="1:10" ht="13.2">
      <c r="A573" s="7">
        <v>572</v>
      </c>
      <c r="B573" s="7">
        <v>1</v>
      </c>
      <c r="C573" s="7" t="s">
        <v>10</v>
      </c>
      <c r="D573" s="7">
        <v>218</v>
      </c>
      <c r="E573" s="7" t="s">
        <v>28</v>
      </c>
      <c r="F573" s="8" t="str">
        <f ca="1">IFERROR(__xludf.DUMMYFUNCTION("IF
(
C574=""фізична особа""
,
VLOOKUP(D574,IMPORTRANGE(""https://docs.google.com/spreadsheets/d/14Bd19lYaqBhU8_DElYkX7l4wRkHqqCUFNJY4AfY3kHU/edit?usp=sharing  #gid=0"",""фіз особи new!relations_name""),6,FALSE)
,
(IF
(
C574=""юридична особа""
,
VLOOKUP(D5"&amp;"74,IMPORTRANGE(""https://docs.google.com/spreadsheets/d/14Bd19lYaqBhU8_DElYkX7l4wRkHqqCUFNJY4AfY3kHU/edit?usp=sharing  #gid=0"",""фіз особи new!relations_name_uo""),7,FALSE)
,
)
))"),"БАСУРІН Едуард Олександрович")</f>
        <v>БАСУРІН Едуард Олександрович</v>
      </c>
      <c r="G573" s="7" t="s">
        <v>10</v>
      </c>
      <c r="H573" s="7">
        <v>856</v>
      </c>
      <c r="I573" s="8" t="str">
        <f ca="1">IFERROR(__xludf.DUMMYFUNCTION("IF
(
G574=""фізична особа""
,
VLOOKUP(H574,IMPORTRANGE(""https://docs.google.com/spreadsheets/d/14Bd19lYaqBhU8_DElYkX7l4wRkHqqCUFNJY4AfY3kHU/edit?usp=sharing  #gid=0"",""фіз особи new!relations_name""),6,FALSE)
,
(IF
(
G574=""юридична особа""
,
VLOOKUP(H5"&amp;"74,IMPORTRANGE(""https://docs.google.com/spreadsheets/d/14Bd19lYaqBhU8_DElYkX7l4wRkHqqCUFNJY4AfY3kHU/edit?usp=sharing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573" s="7" t="s">
        <v>29</v>
      </c>
    </row>
    <row r="574" spans="1:10" ht="13.2">
      <c r="A574" s="7">
        <v>573</v>
      </c>
      <c r="B574" s="7">
        <v>1</v>
      </c>
      <c r="C574" s="7" t="s">
        <v>10</v>
      </c>
      <c r="D574" s="7">
        <v>219</v>
      </c>
      <c r="E574" s="7" t="s">
        <v>14</v>
      </c>
      <c r="F574" s="8" t="str">
        <f ca="1">IFERROR(__xludf.DUMMYFUNCTION("IF
(
C575=""фізична особа""
,
VLOOKUP(D575,IMPORTRANGE(""https://docs.google.com/spreadsheets/d/14Bd19lYaqBhU8_DElYkX7l4wRkHqqCUFNJY4AfY3kHU/edit?usp=sharing  #gid=0"",""фіз особи new!relations_name""),6,FALSE)
,
(IF
(
C575=""юридична особа""
,
VLOOKUP(D5"&amp;"75,IMPORTRANGE(""https://docs.google.com/spreadsheets/d/14Bd19lYaqBhU8_DElYkX7l4wRkHqqCUFNJY4AfY3kHU/edit?usp=sharing  #gid=0"",""фіз особи new!relations_name_uo""),7,FALSE)
,
)
))"),"ІСАКОВ Едуард Володимирович")</f>
        <v>ІСАКОВ Едуард Володимирович</v>
      </c>
      <c r="G574" s="7" t="s">
        <v>10</v>
      </c>
      <c r="H574" s="7">
        <v>0</v>
      </c>
      <c r="I574" s="8" t="str">
        <f ca="1">IFERROR(__xludf.DUMMYFUNCTION("IF
(
G575=""фізична особа""
,
VLOOKUP(H575,IMPORTRANGE(""https://docs.google.com/spreadsheets/d/14Bd19lYaqBhU8_DElYkX7l4wRkHqqCUFNJY4AfY3kHU/edit?usp=sharing  #gid=0"",""фіз особи new!relations_name""),6,FALSE)
,
(IF
(
G575=""юридична особа""
,
VLOOKUP(H5"&amp;"75,IMPORTRANGE(""https://docs.google.com/spreadsheets/d/14Bd19lYaqBhU8_DElYkX7l4wRkHqqCUFNJY4AfY3kHU/edit?usp=sharing  #gid=0"",""фіз особи new!relations_name_uo""),7,FALSE)
,
)
))"),"#N/A")</f>
        <v>#N/A</v>
      </c>
      <c r="J574" s="7" t="s">
        <v>15</v>
      </c>
    </row>
    <row r="575" spans="1:10" ht="13.2">
      <c r="A575" s="7">
        <v>574</v>
      </c>
      <c r="B575" s="7">
        <v>1</v>
      </c>
      <c r="C575" s="7" t="s">
        <v>10</v>
      </c>
      <c r="D575" s="7">
        <v>221</v>
      </c>
      <c r="E575" s="7" t="s">
        <v>35</v>
      </c>
      <c r="F575" s="8" t="str">
        <f ca="1">IFERROR(__xludf.DUMMYFUNCTION("IF
(
C576=""фізична особа""
,
VLOOKUP(D576,IMPORTRANGE(""https://docs.google.com/spreadsheets/d/14Bd19lYaqBhU8_DElYkX7l4wRkHqqCUFNJY4AfY3kHU/edit?usp=sharing  #gid=0"",""фіз особи new!relations_name""),6,FALSE)
,
(IF
(
C576=""юридична особа""
,
VLOOKUP(D5"&amp;"76,IMPORTRANGE(""https://docs.google.com/spreadsheets/d/14Bd19lYaqBhU8_DElYkX7l4wRkHqqCUFNJY4AfY3kHU/edit?usp=sharing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G575" s="7" t="s">
        <v>10</v>
      </c>
      <c r="H575" s="7">
        <v>23372</v>
      </c>
      <c r="I575" s="8" t="str">
        <f ca="1">IFERROR(__xludf.DUMMYFUNCTION("IF
(
G576=""фізична особа""
,
VLOOKUP(H576,IMPORTRANGE(""https://docs.google.com/spreadsheets/d/14Bd19lYaqBhU8_DElYkX7l4wRkHqqCUFNJY4AfY3kHU/edit?usp=sharing  #gid=0"",""фіз особи new!relations_name""),6,FALSE)
,
(IF
(
G576=""юридична особа""
,
VLOOKUP(H5"&amp;"76,IMPORTRANGE(""https://docs.google.com/spreadsheets/d/14Bd19lYaqBhU8_DElYkX7l4wRkHqqCUFNJY4AfY3kHU/edit?usp=sharing  #gid=0"",""фіз особи new!relations_name_uo""),7,FALSE)
,
)
))"),"ЮРЧЕНКО Олександр Володимирович")</f>
        <v>ЮРЧЕНКО Олександр Володимирович</v>
      </c>
      <c r="J575" s="7" t="s">
        <v>35</v>
      </c>
    </row>
    <row r="576" spans="1:10" ht="13.2">
      <c r="A576" s="7">
        <v>575</v>
      </c>
      <c r="B576" s="7">
        <v>1</v>
      </c>
      <c r="C576" s="7" t="s">
        <v>10</v>
      </c>
      <c r="D576" s="7">
        <v>221</v>
      </c>
      <c r="E576" s="7" t="s">
        <v>35</v>
      </c>
      <c r="F576" s="8" t="str">
        <f ca="1">IFERROR(__xludf.DUMMYFUNCTION("IF
(
C577=""фізична особа""
,
VLOOKUP(D577,IMPORTRANGE(""https://docs.google.com/spreadsheets/d/14Bd19lYaqBhU8_DElYkX7l4wRkHqqCUFNJY4AfY3kHU/edit?usp=sharing  #gid=0"",""фіз особи new!relations_name""),6,FALSE)
,
(IF
(
C577=""юридична особа""
,
VLOOKUP(D5"&amp;"77,IMPORTRANGE(""https://docs.google.com/spreadsheets/d/14Bd19lYaqBhU8_DElYkX7l4wRkHqqCUFNJY4AfY3kHU/edit?usp=sharing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G576" s="7" t="s">
        <v>10</v>
      </c>
      <c r="H576" s="7">
        <v>23373</v>
      </c>
      <c r="I576" s="8" t="str">
        <f ca="1">IFERROR(__xludf.DUMMYFUNCTION("IF
(
G577=""фізична особа""
,
VLOOKUP(H577,IMPORTRANGE(""https://docs.google.com/spreadsheets/d/14Bd19lYaqBhU8_DElYkX7l4wRkHqqCUFNJY4AfY3kHU/edit?usp=sharing  #gid=0"",""фіз особи new!relations_name""),6,FALSE)
,
(IF
(
G577=""юридична особа""
,
VLOOKUP(H5"&amp;"77,IMPORTRANGE(""https://docs.google.com/spreadsheets/d/14Bd19lYaqBhU8_DElYkX7l4wRkHqqCUFNJY4AfY3kHU/edit?usp=sharing  #gid=0"",""фіз особи new!relations_name_uo""),7,FALSE)
,
)
))"),"ПАВЛЮК Віталій Вікторович")</f>
        <v>ПАВЛЮК Віталій Вікторович</v>
      </c>
      <c r="J576" s="7" t="s">
        <v>35</v>
      </c>
    </row>
    <row r="577" spans="1:10" ht="13.2">
      <c r="A577" s="7">
        <v>576</v>
      </c>
      <c r="B577" s="7">
        <v>1</v>
      </c>
      <c r="C577" s="7" t="s">
        <v>10</v>
      </c>
      <c r="D577" s="7">
        <v>221</v>
      </c>
      <c r="E577" s="7" t="s">
        <v>28</v>
      </c>
      <c r="F577" s="8" t="str">
        <f ca="1">IFERROR(__xludf.DUMMYFUNCTION("IF
(
C578=""фізична особа""
,
VLOOKUP(D578,IMPORTRANGE(""https://docs.google.com/spreadsheets/d/14Bd19lYaqBhU8_DElYkX7l4wRkHqqCUFNJY4AfY3kHU/edit?usp=sharing  #gid=0"",""фіз особи new!relations_name""),6,FALSE)
,
(IF
(
C578=""юридична особа""
,
VLOOKUP(D5"&amp;"78,IMPORTRANGE(""https://docs.google.com/spreadsheets/d/14Bd19lYaqBhU8_DElYkX7l4wRkHqqCUFNJY4AfY3kHU/edit?usp=sharing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G577" s="7" t="s">
        <v>10</v>
      </c>
      <c r="H577" s="7">
        <v>229</v>
      </c>
      <c r="I577" s="8" t="str">
        <f ca="1">IFERROR(__xludf.DUMMYFUNCTION("IF
(
G578=""фізична особа""
,
VLOOKUP(H578,IMPORTRANGE(""https://docs.google.com/spreadsheets/d/14Bd19lYaqBhU8_DElYkX7l4wRkHqqCUFNJY4AfY3kHU/edit?usp=sharing  #gid=0"",""фіз особи new!relations_name""),6,FALSE)
,
(IF
(
G578=""юридична особа""
,
VLOOKUP(H5"&amp;"78,IMPORTRANGE(""https://docs.google.com/spreadsheets/d/14Bd19lYaqBhU8_DElYkX7l4wRkHqqCUFNJY4AfY3kHU/edit?usp=sharing  #gid=0"",""фіз особи new!relations_name_uo""),7,FALSE)
,
)
))"),"КРАВЧЕНКО Олена Валеріївна")</f>
        <v>КРАВЧЕНКО Олена Валеріївна</v>
      </c>
      <c r="J577" s="7" t="s">
        <v>29</v>
      </c>
    </row>
    <row r="578" spans="1:10" ht="13.2">
      <c r="A578" s="7">
        <v>577</v>
      </c>
      <c r="B578" s="7">
        <v>1</v>
      </c>
      <c r="C578" s="7" t="s">
        <v>10</v>
      </c>
      <c r="D578" s="7">
        <v>221</v>
      </c>
      <c r="E578" s="7" t="s">
        <v>35</v>
      </c>
      <c r="F578" s="8" t="str">
        <f ca="1">IFERROR(__xludf.DUMMYFUNCTION("IF
(
C579=""фізична особа""
,
VLOOKUP(D579,IMPORTRANGE(""https://docs.google.com/spreadsheets/d/14Bd19lYaqBhU8_DElYkX7l4wRkHqqCUFNJY4AfY3kHU/edit?usp=sharing  #gid=0"",""фіз особи new!relations_name""),6,FALSE)
,
(IF
(
C579=""юридична особа""
,
VLOOKUP(D5"&amp;"79,IMPORTRANGE(""https://docs.google.com/spreadsheets/d/14Bd19lYaqBhU8_DElYkX7l4wRkHqqCUFNJY4AfY3kHU/edit?usp=sharing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G578" s="7" t="s">
        <v>10</v>
      </c>
      <c r="H578" s="7">
        <v>23374</v>
      </c>
      <c r="I578" s="8" t="str">
        <f ca="1">IFERROR(__xludf.DUMMYFUNCTION("IF
(
G579=""фізична особа""
,
VLOOKUP(H579,IMPORTRANGE(""https://docs.google.com/spreadsheets/d/14Bd19lYaqBhU8_DElYkX7l4wRkHqqCUFNJY4AfY3kHU/edit?usp=sharing  #gid=0"",""фіз особи new!relations_name""),6,FALSE)
,
(IF
(
G579=""юридична особа""
,
VLOOKUP(H5"&amp;"79,IMPORTRANGE(""https://docs.google.com/spreadsheets/d/14Bd19lYaqBhU8_DElYkX7l4wRkHqqCUFNJY4AfY3kHU/edit?usp=sharing  #gid=0"",""фіз особи new!relations_name_uo""),7,FALSE)
,
)
))"),"РЕУС Олена Віталіївна")</f>
        <v>РЕУС Олена Віталіївна</v>
      </c>
      <c r="J578" s="7" t="s">
        <v>35</v>
      </c>
    </row>
    <row r="579" spans="1:10" ht="13.2">
      <c r="A579" s="7">
        <v>578</v>
      </c>
      <c r="B579" s="7">
        <v>1</v>
      </c>
      <c r="C579" s="7" t="s">
        <v>10</v>
      </c>
      <c r="D579" s="7">
        <v>221</v>
      </c>
      <c r="E579" s="7" t="s">
        <v>35</v>
      </c>
      <c r="F579" s="8" t="str">
        <f ca="1">IFERROR(__xludf.DUMMYFUNCTION("IF
(
C580=""фізична особа""
,
VLOOKUP(D580,IMPORTRANGE(""https://docs.google.com/spreadsheets/d/14Bd19lYaqBhU8_DElYkX7l4wRkHqqCUFNJY4AfY3kHU/edit?usp=sharing  #gid=0"",""фіз особи new!relations_name""),6,FALSE)
,
(IF
(
C580=""юридична особа""
,
VLOOKUP(D5"&amp;"80,IMPORTRANGE(""https://docs.google.com/spreadsheets/d/14Bd19lYaqBhU8_DElYkX7l4wRkHqqCUFNJY4AfY3kHU/edit?usp=sharing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G579" s="7" t="s">
        <v>10</v>
      </c>
      <c r="H579" s="7">
        <v>414</v>
      </c>
      <c r="I579" s="8" t="str">
        <f ca="1">IFERROR(__xludf.DUMMYFUNCTION("IF
(
G580=""фізична особа""
,
VLOOKUP(H580,IMPORTRANGE(""https://docs.google.com/spreadsheets/d/14Bd19lYaqBhU8_DElYkX7l4wRkHqqCUFNJY4AfY3kHU/edit?usp=sharing  #gid=0"",""фіз особи new!relations_name""),6,FALSE)
,
(IF
(
G580=""юридична особа""
,
VLOOKUP(H5"&amp;"80,IMPORTRANGE(""https://docs.google.com/spreadsheets/d/14Bd19lYaqBhU8_DElYkX7l4wRkHqqCUFNJY4AfY3kHU/edit?usp=sharing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J579" s="7" t="s">
        <v>35</v>
      </c>
    </row>
    <row r="580" spans="1:10" ht="13.2">
      <c r="A580" s="7">
        <v>579</v>
      </c>
      <c r="B580" s="7">
        <v>1</v>
      </c>
      <c r="C580" s="7" t="s">
        <v>10</v>
      </c>
      <c r="D580" s="7">
        <v>223</v>
      </c>
      <c r="E580" s="7" t="s">
        <v>48</v>
      </c>
      <c r="F580" s="8" t="str">
        <f ca="1">IFERROR(__xludf.DUMMYFUNCTION("IF
(
C581=""фізична особа""
,
VLOOKUP(D581,IMPORTRANGE(""https://docs.google.com/spreadsheets/d/14Bd19lYaqBhU8_DElYkX7l4wRkHqqCUFNJY4AfY3kHU/edit?usp=sharing  #gid=0"",""фіз особи new!relations_name""),6,FALSE)
,
(IF
(
C581=""юридична особа""
,
VLOOKUP(D5"&amp;"81,IMPORTRANGE(""https://docs.google.com/spreadsheets/d/14Bd19lYaqBhU8_DElYkX7l4wRkHqqCUFNJY4AfY3kHU/edit?usp=sharing  #gid=0"",""фіз особи new!relations_name_uo""),7,FALSE)
,
)
))"),"ДОГАЄВ Ахмед Шамханович")</f>
        <v>ДОГАЄВ Ахмед Шамханович</v>
      </c>
      <c r="G580" s="7" t="s">
        <v>10</v>
      </c>
      <c r="H580" s="7">
        <v>609</v>
      </c>
      <c r="I580" s="8" t="str">
        <f ca="1">IFERROR(__xludf.DUMMYFUNCTION("IF
(
G581=""фізична особа""
,
VLOOKUP(H581,IMPORTRANGE(""https://docs.google.com/spreadsheets/d/14Bd19lYaqBhU8_DElYkX7l4wRkHqqCUFNJY4AfY3kHU/edit?usp=sharing  #gid=0"",""фіз особи new!relations_name""),6,FALSE)
,
(IF
(
G581=""юридична особа""
,
VLOOKUP(H5"&amp;"81,IMPORTRANGE(""https://docs.google.com/spreadsheets/d/14Bd19lYaqBhU8_DElYkX7l4wRkHqqCUFNJY4AfY3kHU/edit?usp=sharing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580" s="7" t="s">
        <v>48</v>
      </c>
    </row>
    <row r="581" spans="1:10" ht="13.2">
      <c r="A581" s="7">
        <v>580</v>
      </c>
      <c r="B581" s="7">
        <v>1</v>
      </c>
      <c r="C581" s="7" t="s">
        <v>10</v>
      </c>
      <c r="D581" s="7">
        <v>224</v>
      </c>
      <c r="E581" s="7" t="s">
        <v>28</v>
      </c>
      <c r="F581" s="8" t="str">
        <f ca="1">IFERROR(__xludf.DUMMYFUNCTION("IF
(
C582=""фізична особа""
,
VLOOKUP(D582,IMPORTRANGE(""https://docs.google.com/spreadsheets/d/14Bd19lYaqBhU8_DElYkX7l4wRkHqqCUFNJY4AfY3kHU/edit?usp=sharing  #gid=0"",""фіз особи new!relations_name""),6,FALSE)
,
(IF
(
C582=""юридична особа""
,
VLOOKUP(D5"&amp;"82,IMPORTRANGE(""https://docs.google.com/spreadsheets/d/14Bd19lYaqBhU8_DElYkX7l4wRkHqqCUFNJY4AfY3kHU/edit?usp=sharing  #gid=0"",""фіз особи new!relations_name_uo""),7,FALSE)
,
)
))"),"ПОЛОВЯН Олексій Володимирович")</f>
        <v>ПОЛОВЯН Олексій Володимирович</v>
      </c>
      <c r="G581" s="7" t="s">
        <v>10</v>
      </c>
      <c r="H581" s="7">
        <v>856</v>
      </c>
      <c r="I581" s="8" t="str">
        <f ca="1">IFERROR(__xludf.DUMMYFUNCTION("IF
(
G582=""фізична особа""
,
VLOOKUP(H582,IMPORTRANGE(""https://docs.google.com/spreadsheets/d/14Bd19lYaqBhU8_DElYkX7l4wRkHqqCUFNJY4AfY3kHU/edit?usp=sharing  #gid=0"",""фіз особи new!relations_name""),6,FALSE)
,
(IF
(
G582=""юридична особа""
,
VLOOKUP(H5"&amp;"82,IMPORTRANGE(""https://docs.google.com/spreadsheets/d/14Bd19lYaqBhU8_DElYkX7l4wRkHqqCUFNJY4AfY3kHU/edit?usp=sharing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581" s="7" t="s">
        <v>29</v>
      </c>
    </row>
    <row r="582" spans="1:10" ht="13.2">
      <c r="A582" s="7">
        <v>581</v>
      </c>
      <c r="B582" s="7">
        <v>1</v>
      </c>
      <c r="C582" s="7" t="s">
        <v>10</v>
      </c>
      <c r="D582" s="7">
        <v>225</v>
      </c>
      <c r="E582" s="7" t="s">
        <v>29</v>
      </c>
      <c r="F582" s="8" t="str">
        <f ca="1">IFERROR(__xludf.DUMMYFUNCTION("IF
(
C583=""фізична особа""
,
VLOOKUP(D583,IMPORTRANGE(""https://docs.google.com/spreadsheets/d/14Bd19lYaqBhU8_DElYkX7l4wRkHqqCUFNJY4AfY3kHU/edit?usp=sharing  #gid=0"",""фіз особи new!relations_name""),6,FALSE)
,
(IF
(
C583=""юридична особа""
,
VLOOKUP(D5"&amp;"83,IMPORTRANGE(""https://docs.google.com/spreadsheets/d/14Bd19lYaqBhU8_DElYkX7l4wRkHqqCUFNJY4AfY3kHU/edit?usp=sharing  #gid=0"",""фіз особи new!relations_name_uo""),7,FALSE)
,
)
))"),"ГЕОРГІЄВА Олена Олександрівна")</f>
        <v>ГЕОРГІЄВА Олена Олександрівна</v>
      </c>
      <c r="G582" s="7" t="s">
        <v>10</v>
      </c>
      <c r="H582" s="7">
        <v>136</v>
      </c>
      <c r="I582" s="8" t="str">
        <f ca="1">IFERROR(__xludf.DUMMYFUNCTION("IF
(
G583=""фізична особа""
,
VLOOKUP(H583,IMPORTRANGE(""https://docs.google.com/spreadsheets/d/14Bd19lYaqBhU8_DElYkX7l4wRkHqqCUFNJY4AfY3kHU/edit?usp=sharing  #gid=0"",""фіз особи new!relations_name""),6,FALSE)
,
(IF
(
G583=""юридична особа""
,
VLOOKUP(H5"&amp;"83,IMPORTRANGE(""https://docs.google.com/spreadsheets/d/14Bd19lYaqBhU8_DElYkX7l4wRkHqqCUFNJY4AfY3kHU/edit?usp=sharing  #gid=0"",""фіз особи new!relations_name_uo""),7,FALSE)
,
)
))"),"БЄЛОУС Герман Валентинович")</f>
        <v>БЄЛОУС Герман Валентинович</v>
      </c>
      <c r="J582" s="7" t="s">
        <v>28</v>
      </c>
    </row>
    <row r="583" spans="1:10" ht="13.2">
      <c r="A583" s="7">
        <v>582</v>
      </c>
      <c r="B583" s="7">
        <v>1</v>
      </c>
      <c r="C583" s="7" t="s">
        <v>10</v>
      </c>
      <c r="D583" s="7">
        <v>225</v>
      </c>
      <c r="E583" s="7" t="s">
        <v>11</v>
      </c>
      <c r="F583" s="8" t="str">
        <f ca="1">IFERROR(__xludf.DUMMYFUNCTION("IF
(
C584=""фізична особа""
,
VLOOKUP(D584,IMPORTRANGE(""https://docs.google.com/spreadsheets/d/14Bd19lYaqBhU8_DElYkX7l4wRkHqqCUFNJY4AfY3kHU/edit?usp=sharing  #gid=0"",""фіз особи new!relations_name""),6,FALSE)
,
(IF
(
C584=""юридична особа""
,
VLOOKUP(D5"&amp;"84,IMPORTRANGE(""https://docs.google.com/spreadsheets/d/14Bd19lYaqBhU8_DElYkX7l4wRkHqqCUFNJY4AfY3kHU/edit?usp=sharing  #gid=0"",""фіз особи new!relations_name_uo""),7,FALSE)
,
)
))"),"ГЕОРГІЄВА Олена Олександрівна")</f>
        <v>ГЕОРГІЄВА Олена Олександрівна</v>
      </c>
      <c r="G583" s="7" t="s">
        <v>10</v>
      </c>
      <c r="H583" s="7">
        <v>648</v>
      </c>
      <c r="I583" s="8" t="str">
        <f ca="1">IFERROR(__xludf.DUMMYFUNCTION("IF
(
G584=""фізична особа""
,
VLOOKUP(H584,IMPORTRANGE(""https://docs.google.com/spreadsheets/d/14Bd19lYaqBhU8_DElYkX7l4wRkHqqCUFNJY4AfY3kHU/edit?usp=sharing  #gid=0"",""фіз особи new!relations_name""),6,FALSE)
,
(IF
(
G584=""юридична особа""
,
VLOOKUP(H5"&amp;"84,IMPORTRANGE(""https://docs.google.com/spreadsheets/d/14Bd19lYaqBhU8_DElYkX7l4wRkHqqCUFNJY4AfY3kHU/edit?usp=sharing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J583" s="7" t="s">
        <v>11</v>
      </c>
    </row>
    <row r="584" spans="1:10" ht="13.2">
      <c r="A584" s="7">
        <v>583</v>
      </c>
      <c r="B584" s="7">
        <v>1</v>
      </c>
      <c r="C584" s="7" t="s">
        <v>10</v>
      </c>
      <c r="D584" s="7">
        <v>225</v>
      </c>
      <c r="E584" s="7" t="s">
        <v>11</v>
      </c>
      <c r="F584" s="8" t="str">
        <f ca="1">IFERROR(__xludf.DUMMYFUNCTION("IF
(
C585=""фізична особа""
,
VLOOKUP(D585,IMPORTRANGE(""https://docs.google.com/spreadsheets/d/14Bd19lYaqBhU8_DElYkX7l4wRkHqqCUFNJY4AfY3kHU/edit?usp=sharing  #gid=0"",""фіз особи new!relations_name""),6,FALSE)
,
(IF
(
C585=""юридична особа""
,
VLOOKUP(D5"&amp;"85,IMPORTRANGE(""https://docs.google.com/spreadsheets/d/14Bd19lYaqBhU8_DElYkX7l4wRkHqqCUFNJY4AfY3kHU/edit?usp=sharing  #gid=0"",""фіз особи new!relations_name_uo""),7,FALSE)
,
)
))"),"ГЕОРГІЄВА Олена Олександрівна")</f>
        <v>ГЕОРГІЄВА Олена Олександрівна</v>
      </c>
      <c r="G584" s="7" t="s">
        <v>10</v>
      </c>
      <c r="H584" s="7">
        <v>807</v>
      </c>
      <c r="I584" s="8" t="str">
        <f ca="1">IFERROR(__xludf.DUMMYFUNCTION("IF
(
G585=""фізична особа""
,
VLOOKUP(H585,IMPORTRANGE(""https://docs.google.com/spreadsheets/d/14Bd19lYaqBhU8_DElYkX7l4wRkHqqCUFNJY4AfY3kHU/edit?usp=sharing  #gid=0"",""фіз особи new!relations_name""),6,FALSE)
,
(IF
(
G585=""юридична особа""
,
VLOOKUP(H5"&amp;"85,IMPORTRANGE(""https://docs.google.com/spreadsheets/d/14Bd19lYaqBhU8_DElYkX7l4wRkHqqCUFNJY4AfY3kHU/edit?usp=sharing  #gid=0"",""фіз особи new!relations_name_uo""),7,FALSE)
,
)
))"),"ВАВУЛІН Дмитро Миколайович")</f>
        <v>ВАВУЛІН Дмитро Миколайович</v>
      </c>
      <c r="J584" s="7" t="s">
        <v>11</v>
      </c>
    </row>
    <row r="585" spans="1:10" ht="13.2">
      <c r="A585" s="7">
        <v>584</v>
      </c>
      <c r="B585" s="7">
        <v>1</v>
      </c>
      <c r="C585" s="7" t="s">
        <v>10</v>
      </c>
      <c r="D585" s="7">
        <v>228</v>
      </c>
      <c r="E585" s="7" t="s">
        <v>40</v>
      </c>
      <c r="F585" s="8" t="str">
        <f ca="1">IFERROR(__xludf.DUMMYFUNCTION("IF
(
C586=""фізична особа""
,
VLOOKUP(D586,IMPORTRANGE(""https://docs.google.com/spreadsheets/d/14Bd19lYaqBhU8_DElYkX7l4wRkHqqCUFNJY4AfY3kHU/edit?usp=sharing  #gid=0"",""фіз особи new!relations_name""),6,FALSE)
,
(IF
(
C586=""юридична особа""
,
VLOOKUP(D5"&amp;"86,IMPORTRANGE(""https://docs.google.com/spreadsheets/d/14Bd19lYaqBhU8_DElYkX7l4wRkHqqCUFNJY4AfY3kHU/edit?usp=sharing  #gid=0"",""фіз особи new!relations_name_uo""),7,FALSE)
,
)
))"),"КОСТЕНКО Олена Миколаївна")</f>
        <v>КОСТЕНКО Олена Миколаївна</v>
      </c>
      <c r="G585" s="7" t="s">
        <v>10</v>
      </c>
      <c r="H585" s="7">
        <v>23375</v>
      </c>
      <c r="I585" s="8" t="str">
        <f ca="1">IFERROR(__xludf.DUMMYFUNCTION("IF
(
G586=""фізична особа""
,
VLOOKUP(H586,IMPORTRANGE(""https://docs.google.com/spreadsheets/d/14Bd19lYaqBhU8_DElYkX7l4wRkHqqCUFNJY4AfY3kHU/edit?usp=sharing  #gid=0"",""фіз особи new!relations_name""),6,FALSE)
,
(IF
(
G586=""юридична особа""
,
VLOOKUP(H5"&amp;"86,IMPORTRANGE(""https://docs.google.com/spreadsheets/d/14Bd19lYaqBhU8_DElYkX7l4wRkHqqCUFNJY4AfY3kHU/edit?usp=sharing  #gid=0"",""фіз особи new!relations_name_uo""),7,FALSE)
,
)
))"),"ЦИПКАЛОВ Геннадій Миколайович")</f>
        <v>ЦИПКАЛОВ Геннадій Миколайович</v>
      </c>
      <c r="J585" s="7" t="s">
        <v>41</v>
      </c>
    </row>
    <row r="586" spans="1:10" ht="13.2">
      <c r="A586" s="7">
        <v>585</v>
      </c>
      <c r="B586" s="7">
        <v>1</v>
      </c>
      <c r="C586" s="7" t="s">
        <v>10</v>
      </c>
      <c r="D586" s="7">
        <v>229</v>
      </c>
      <c r="E586" s="7" t="s">
        <v>37</v>
      </c>
      <c r="F586" s="8" t="str">
        <f ca="1">IFERROR(__xludf.DUMMYFUNCTION("IF
(
C587=""фізична особа""
,
VLOOKUP(D587,IMPORTRANGE(""https://docs.google.com/spreadsheets/d/14Bd19lYaqBhU8_DElYkX7l4wRkHqqCUFNJY4AfY3kHU/edit?usp=sharing  #gid=0"",""фіз особи new!relations_name""),6,FALSE)
,
(IF
(
C587=""юридична особа""
,
VLOOKUP(D5"&amp;"87,IMPORTRANGE(""https://docs.google.com/spreadsheets/d/14Bd19lYaqBhU8_DElYkX7l4wRkHqqCUFNJY4AfY3kHU/edit?usp=sharing  #gid=0"",""фіз особи new!relations_name_uo""),7,FALSE)
,
)
))"),"КРАВЧЕНКО Олена Валеріївна")</f>
        <v>КРАВЧЕНКО Олена Валеріївна</v>
      </c>
      <c r="G586" s="7" t="s">
        <v>10</v>
      </c>
      <c r="H586" s="7">
        <v>155</v>
      </c>
      <c r="I586" s="8" t="str">
        <f ca="1">IFERROR(__xludf.DUMMYFUNCTION("IF
(
G587=""фізична особа""
,
VLOOKUP(H587,IMPORTRANGE(""https://docs.google.com/spreadsheets/d/14Bd19lYaqBhU8_DElYkX7l4wRkHqqCUFNJY4AfY3kHU/edit?usp=sharing  #gid=0"",""фіз особи new!relations_name""),6,FALSE)
,
(IF
(
G587=""юридична особа""
,
VLOOKUP(H5"&amp;"87,IMPORTRANGE(""https://docs.google.com/spreadsheets/d/14Bd19lYaqBhU8_DElYkX7l4wRkHqqCUFNJY4AfY3kHU/edit?usp=sharing  #gid=0"",""фіз особи new!relations_name_uo""),7,FALSE)
,
)
))"),"МІРОШНИЧЕНКО Денис Миколайович")</f>
        <v>МІРОШНИЧЕНКО Денис Миколайович</v>
      </c>
      <c r="J586" s="7" t="s">
        <v>36</v>
      </c>
    </row>
    <row r="587" spans="1:10" ht="13.2">
      <c r="A587" s="7">
        <v>586</v>
      </c>
      <c r="B587" s="7">
        <v>1</v>
      </c>
      <c r="C587" s="7" t="s">
        <v>10</v>
      </c>
      <c r="D587" s="7">
        <v>230</v>
      </c>
      <c r="E587" s="7" t="s">
        <v>48</v>
      </c>
      <c r="F587" s="8" t="str">
        <f ca="1">IFERROR(__xludf.DUMMYFUNCTION("IF
(
C588=""фізична особа""
,
VLOOKUP(D588,IMPORTRANGE(""https://docs.google.com/spreadsheets/d/14Bd19lYaqBhU8_DElYkX7l4wRkHqqCUFNJY4AfY3kHU/edit?usp=sharing  #gid=0"",""фіз особи new!relations_name""),6,FALSE)
,
(IF
(
C588=""юридична особа""
,
VLOOKUP(D5"&amp;"88,IMPORTRANGE(""https://docs.google.com/spreadsheets/d/14Bd19lYaqBhU8_DElYkX7l4wRkHqqCUFNJY4AfY3kHU/edit?usp=sharing  #gid=0"",""фіз особи new!relations_name_uo""),7,FALSE)
,
)
))"),"ЦУНАЄВА Олена Моісеївна")</f>
        <v>ЦУНАЄВА Олена Моісеївна</v>
      </c>
      <c r="G587" s="7" t="s">
        <v>10</v>
      </c>
      <c r="H587" s="7">
        <v>2467</v>
      </c>
      <c r="I587" s="8" t="str">
        <f ca="1">IFERROR(__xludf.DUMMYFUNCTION("IF
(
G588=""фізична особа""
,
VLOOKUP(H588,IMPORTRANGE(""https://docs.google.com/spreadsheets/d/14Bd19lYaqBhU8_DElYkX7l4wRkHqqCUFNJY4AfY3kHU/edit?usp=sharing  #gid=0"",""фіз особи new!relations_name""),6,FALSE)
,
(IF
(
G588=""юридична особа""
,
VLOOKUP(H5"&amp;"88,IMPORTRANGE(""https://docs.google.com/spreadsheets/d/14Bd19lYaqBhU8_DElYkX7l4wRkHqqCUFNJY4AfY3kHU/edit?usp=sharing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J587" s="7" t="s">
        <v>48</v>
      </c>
    </row>
    <row r="588" spans="1:10" ht="13.2">
      <c r="A588" s="7">
        <v>587</v>
      </c>
      <c r="B588" s="7">
        <v>1</v>
      </c>
      <c r="C588" s="7" t="s">
        <v>10</v>
      </c>
      <c r="D588" s="7">
        <v>232</v>
      </c>
      <c r="E588" s="7" t="s">
        <v>35</v>
      </c>
      <c r="F588" s="8" t="str">
        <f ca="1">IFERROR(__xludf.DUMMYFUNCTION("IF
(
C589=""фізична особа""
,
VLOOKUP(D589,IMPORTRANGE(""https://docs.google.com/spreadsheets/d/14Bd19lYaqBhU8_DElYkX7l4wRkHqqCUFNJY4AfY3kHU/edit?usp=sharing  #gid=0"",""фіз особи new!relations_name""),6,FALSE)
,
(IF
(
C589=""юридична особа""
,
VLOOKUP(D5"&amp;"89,IMPORTRANGE(""https://docs.google.com/spreadsheets/d/14Bd19lYaqBhU8_DElYkX7l4wRkHqqCUFNJY4AfY3kHU/edit?usp=sharing  #gid=0"",""фіз особи new!relations_name_uo""),7,FALSE)
,
)
))"),"БОНДАРЕНКО Олена Веніамінівна")</f>
        <v>БОНДАРЕНКО Олена Веніамінівна</v>
      </c>
      <c r="G588" s="7" t="s">
        <v>10</v>
      </c>
      <c r="H588" s="7">
        <v>844</v>
      </c>
      <c r="I588" s="8" t="str">
        <f ca="1">IFERROR(__xludf.DUMMYFUNCTION("IF
(
G589=""фізична особа""
,
VLOOKUP(H589,IMPORTRANGE(""https://docs.google.com/spreadsheets/d/14Bd19lYaqBhU8_DElYkX7l4wRkHqqCUFNJY4AfY3kHU/edit?usp=sharing  #gid=0"",""фіз особи new!relations_name""),6,FALSE)
,
(IF
(
G589=""юридична особа""
,
VLOOKUP(H5"&amp;"89,IMPORTRANGE(""https://docs.google.com/spreadsheets/d/14Bd19lYaqBhU8_DElYkX7l4wRkHqqCUFNJY4AfY3kHU/edit?usp=sharing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88" s="7" t="s">
        <v>35</v>
      </c>
    </row>
    <row r="589" spans="1:10" ht="13.2">
      <c r="A589" s="7">
        <v>588</v>
      </c>
      <c r="B589" s="7">
        <v>1</v>
      </c>
      <c r="C589" s="7" t="s">
        <v>10</v>
      </c>
      <c r="D589" s="7">
        <v>233</v>
      </c>
      <c r="E589" s="7" t="s">
        <v>48</v>
      </c>
      <c r="F589" s="8" t="str">
        <f ca="1">IFERROR(__xludf.DUMMYFUNCTION("IF
(
C590=""фізична особа""
,
VLOOKUP(D590,IMPORTRANGE(""https://docs.google.com/spreadsheets/d/14Bd19lYaqBhU8_DElYkX7l4wRkHqqCUFNJY4AfY3kHU/edit?usp=sharing  #gid=0"",""фіз особи new!relations_name""),6,FALSE)
,
(IF
(
C590=""юридична особа""
,
VLOOKUP(D5"&amp;"90,IMPORTRANGE(""https://docs.google.com/spreadsheets/d/14Bd19lYaqBhU8_DElYkX7l4wRkHqqCUFNJY4AfY3kHU/edit?usp=sharing  #gid=0"",""фіз особи new!relations_name_uo""),7,FALSE)
,
)
))"),"ПИСАРЄВА Олена Володимирівна")</f>
        <v>ПИСАРЄВА Олена Володимирівна</v>
      </c>
      <c r="G589" s="7" t="s">
        <v>10</v>
      </c>
      <c r="H589" s="7">
        <v>899</v>
      </c>
      <c r="I589" s="8" t="str">
        <f ca="1">IFERROR(__xludf.DUMMYFUNCTION("IF
(
G590=""фізична особа""
,
VLOOKUP(H590,IMPORTRANGE(""https://docs.google.com/spreadsheets/d/14Bd19lYaqBhU8_DElYkX7l4wRkHqqCUFNJY4AfY3kHU/edit?usp=sharing  #gid=0"",""фіз особи new!relations_name""),6,FALSE)
,
(IF
(
G590=""юридична особа""
,
VLOOKUP(H5"&amp;"90,IMPORTRANGE(""https://docs.google.com/spreadsheets/d/14Bd19lYaqBhU8_DElYkX7l4wRkHqqCUFNJY4AfY3kHU/edit?usp=sharing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589" s="7" t="s">
        <v>48</v>
      </c>
    </row>
    <row r="590" spans="1:10" ht="13.2">
      <c r="A590" s="7">
        <v>589</v>
      </c>
      <c r="B590" s="7">
        <v>1</v>
      </c>
      <c r="C590" s="7" t="s">
        <v>10</v>
      </c>
      <c r="D590" s="7">
        <v>233</v>
      </c>
      <c r="E590" s="7" t="s">
        <v>30</v>
      </c>
      <c r="F590" s="8" t="str">
        <f ca="1">IFERROR(__xludf.DUMMYFUNCTION("IF
(
C591=""фізична особа""
,
VLOOKUP(D591,IMPORTRANGE(""https://docs.google.com/spreadsheets/d/14Bd19lYaqBhU8_DElYkX7l4wRkHqqCUFNJY4AfY3kHU/edit?usp=sharing  #gid=0"",""фіз особи new!relations_name""),6,FALSE)
,
(IF
(
C591=""юридична особа""
,
VLOOKUP(D5"&amp;"91,IMPORTRANGE(""https://docs.google.com/spreadsheets/d/14Bd19lYaqBhU8_DElYkX7l4wRkHqqCUFNJY4AfY3kHU/edit?usp=sharing  #gid=0"",""фіз особи new!relations_name_uo""),7,FALSE)
,
)
))"),"ПИСАРЄВА Олена Володимирівна")</f>
        <v>ПИСАРЄВА Олена Володимирівна</v>
      </c>
      <c r="G590" s="7" t="s">
        <v>10</v>
      </c>
      <c r="H590" s="7">
        <v>654</v>
      </c>
      <c r="I590" s="8" t="str">
        <f ca="1">IFERROR(__xludf.DUMMYFUNCTION("IF
(
G591=""фізична особа""
,
VLOOKUP(H591,IMPORTRANGE(""https://docs.google.com/spreadsheets/d/14Bd19lYaqBhU8_DElYkX7l4wRkHqqCUFNJY4AfY3kHU/edit?usp=sharing  #gid=0"",""фіз особи new!relations_name""),6,FALSE)
,
(IF
(
G591=""юридична особа""
,
VLOOKUP(H5"&amp;"91,IMPORTRANGE(""https://docs.google.com/spreadsheets/d/14Bd19lYaqBhU8_DElYkX7l4wRkHqqCUFNJY4AfY3kHU/edit?usp=sharing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590" s="7" t="s">
        <v>30</v>
      </c>
    </row>
    <row r="591" spans="1:10" ht="13.2">
      <c r="A591" s="7">
        <v>590</v>
      </c>
      <c r="B591" s="7">
        <v>1</v>
      </c>
      <c r="C591" s="7" t="s">
        <v>10</v>
      </c>
      <c r="D591" s="7">
        <v>233</v>
      </c>
      <c r="E591" s="7" t="s">
        <v>30</v>
      </c>
      <c r="F591" s="8" t="str">
        <f ca="1">IFERROR(__xludf.DUMMYFUNCTION("IF
(
C592=""фізична особа""
,
VLOOKUP(D592,IMPORTRANGE(""https://docs.google.com/spreadsheets/d/14Bd19lYaqBhU8_DElYkX7l4wRkHqqCUFNJY4AfY3kHU/edit?usp=sharing  #gid=0"",""фіз особи new!relations_name""),6,FALSE)
,
(IF
(
C592=""юридична особа""
,
VLOOKUP(D5"&amp;"92,IMPORTRANGE(""https://docs.google.com/spreadsheets/d/14Bd19lYaqBhU8_DElYkX7l4wRkHqqCUFNJY4AfY3kHU/edit?usp=sharing  #gid=0"",""фіз особи new!relations_name_uo""),7,FALSE)
,
)
))"),"ПИСАРЄВА Олена Володимирівна")</f>
        <v>ПИСАРЄВА Олена Володимирівна</v>
      </c>
      <c r="G591" s="7" t="s">
        <v>10</v>
      </c>
      <c r="H591" s="7">
        <v>23376</v>
      </c>
      <c r="I591" s="8" t="str">
        <f ca="1">IFERROR(__xludf.DUMMYFUNCTION("IF
(
G592=""фізична особа""
,
VLOOKUP(H592,IMPORTRANGE(""https://docs.google.com/spreadsheets/d/14Bd19lYaqBhU8_DElYkX7l4wRkHqqCUFNJY4AfY3kHU/edit?usp=sharing  #gid=0"",""фіз особи new!relations_name""),6,FALSE)
,
(IF
(
G592=""юридична особа""
,
VLOOKUP(H5"&amp;"92,IMPORTRANGE(""https://docs.google.com/spreadsheets/d/14Bd19lYaqBhU8_DElYkX7l4wRkHqqCUFNJY4AfY3kHU/edit?usp=sharing  #gid=0"",""фіз особи new!relations_name_uo""),7,FALSE)
,
)
))"),"САМИЛІНА Інна Миколаївна")</f>
        <v>САМИЛІНА Інна Миколаївна</v>
      </c>
      <c r="J591" s="7" t="s">
        <v>30</v>
      </c>
    </row>
    <row r="592" spans="1:10" ht="13.2">
      <c r="A592" s="7">
        <v>591</v>
      </c>
      <c r="B592" s="7">
        <v>1</v>
      </c>
      <c r="C592" s="7" t="s">
        <v>10</v>
      </c>
      <c r="D592" s="7">
        <v>234</v>
      </c>
      <c r="E592" s="7" t="s">
        <v>30</v>
      </c>
      <c r="F592" s="8" t="str">
        <f ca="1">IFERROR(__xludf.DUMMYFUNCTION("IF
(
C593=""фізична особа""
,
VLOOKUP(D593,IMPORTRANGE(""https://docs.google.com/spreadsheets/d/14Bd19lYaqBhU8_DElYkX7l4wRkHqqCUFNJY4AfY3kHU/edit?usp=sharing  #gid=0"",""фіз особи new!relations_name""),6,FALSE)
,
(IF
(
C593=""юридична особа""
,
VLOOKUP(D5"&amp;"93,IMPORTRANGE(""https://docs.google.com/spreadsheets/d/14Bd19lYaqBhU8_DElYkX7l4wRkHqqCUFNJY4AfY3kHU/edit?usp=sharing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G592" s="7" t="s">
        <v>10</v>
      </c>
      <c r="H592" s="7">
        <v>899</v>
      </c>
      <c r="I592" s="8" t="str">
        <f ca="1">IFERROR(__xludf.DUMMYFUNCTION("IF
(
G593=""фізична особа""
,
VLOOKUP(H593,IMPORTRANGE(""https://docs.google.com/spreadsheets/d/14Bd19lYaqBhU8_DElYkX7l4wRkHqqCUFNJY4AfY3kHU/edit?usp=sharing  #gid=0"",""фіз особи new!relations_name""),6,FALSE)
,
(IF
(
G593=""юридична особа""
,
VLOOKUP(H5"&amp;"93,IMPORTRANGE(""https://docs.google.com/spreadsheets/d/14Bd19lYaqBhU8_DElYkX7l4wRkHqqCUFNJY4AfY3kHU/edit?usp=sharing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592" s="7" t="s">
        <v>30</v>
      </c>
    </row>
    <row r="593" spans="1:10" ht="13.2">
      <c r="A593" s="7">
        <v>592</v>
      </c>
      <c r="B593" s="7">
        <v>1</v>
      </c>
      <c r="C593" s="7" t="s">
        <v>10</v>
      </c>
      <c r="D593" s="7">
        <v>234</v>
      </c>
      <c r="E593" s="7" t="s">
        <v>30</v>
      </c>
      <c r="F593" s="8" t="str">
        <f ca="1">IFERROR(__xludf.DUMMYFUNCTION("IF
(
C594=""фізична особа""
,
VLOOKUP(D594,IMPORTRANGE(""https://docs.google.com/spreadsheets/d/14Bd19lYaqBhU8_DElYkX7l4wRkHqqCUFNJY4AfY3kHU/edit?usp=sharing  #gid=0"",""фіз особи new!relations_name""),6,FALSE)
,
(IF
(
C594=""юридична особа""
,
VLOOKUP(D5"&amp;"94,IMPORTRANGE(""https://docs.google.com/spreadsheets/d/14Bd19lYaqBhU8_DElYkX7l4wRkHqqCUFNJY4AfY3kHU/edit?usp=sharing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G593" s="7" t="s">
        <v>10</v>
      </c>
      <c r="H593" s="7">
        <v>654</v>
      </c>
      <c r="I593" s="8" t="str">
        <f ca="1">IFERROR(__xludf.DUMMYFUNCTION("IF
(
G594=""фізична особа""
,
VLOOKUP(H594,IMPORTRANGE(""https://docs.google.com/spreadsheets/d/14Bd19lYaqBhU8_DElYkX7l4wRkHqqCUFNJY4AfY3kHU/edit?usp=sharing  #gid=0"",""фіз особи new!relations_name""),6,FALSE)
,
(IF
(
G594=""юридична особа""
,
VLOOKUP(H5"&amp;"94,IMPORTRANGE(""https://docs.google.com/spreadsheets/d/14Bd19lYaqBhU8_DElYkX7l4wRkHqqCUFNJY4AfY3kHU/edit?usp=sharing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593" s="7" t="s">
        <v>30</v>
      </c>
    </row>
    <row r="594" spans="1:10" ht="13.2">
      <c r="A594" s="7">
        <v>593</v>
      </c>
      <c r="B594" s="7">
        <v>1</v>
      </c>
      <c r="C594" s="7" t="s">
        <v>10</v>
      </c>
      <c r="D594" s="7">
        <v>234</v>
      </c>
      <c r="E594" s="7" t="s">
        <v>30</v>
      </c>
      <c r="F594" s="8" t="str">
        <f ca="1">IFERROR(__xludf.DUMMYFUNCTION("IF
(
C595=""фізична особа""
,
VLOOKUP(D595,IMPORTRANGE(""https://docs.google.com/spreadsheets/d/14Bd19lYaqBhU8_DElYkX7l4wRkHqqCUFNJY4AfY3kHU/edit?usp=sharing  #gid=0"",""фіз особи new!relations_name""),6,FALSE)
,
(IF
(
C595=""юридична особа""
,
VLOOKUP(D5"&amp;"95,IMPORTRANGE(""https://docs.google.com/spreadsheets/d/14Bd19lYaqBhU8_DElYkX7l4wRkHqqCUFNJY4AfY3kHU/edit?usp=sharing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G594" s="7" t="s">
        <v>10</v>
      </c>
      <c r="H594" s="7">
        <v>23376</v>
      </c>
      <c r="I594" s="8" t="str">
        <f ca="1">IFERROR(__xludf.DUMMYFUNCTION("IF
(
G595=""фізична особа""
,
VLOOKUP(H595,IMPORTRANGE(""https://docs.google.com/spreadsheets/d/14Bd19lYaqBhU8_DElYkX7l4wRkHqqCUFNJY4AfY3kHU/edit?usp=sharing  #gid=0"",""фіз особи new!relations_name""),6,FALSE)
,
(IF
(
G595=""юридична особа""
,
VLOOKUP(H5"&amp;"95,IMPORTRANGE(""https://docs.google.com/spreadsheets/d/14Bd19lYaqBhU8_DElYkX7l4wRkHqqCUFNJY4AfY3kHU/edit?usp=sharing  #gid=0"",""фіз особи new!relations_name_uo""),7,FALSE)
,
)
))"),"САМИЛІНА Інна Миколаївна")</f>
        <v>САМИЛІНА Інна Миколаївна</v>
      </c>
      <c r="J594" s="7" t="s">
        <v>30</v>
      </c>
    </row>
    <row r="595" spans="1:10" ht="13.2">
      <c r="A595" s="7">
        <v>594</v>
      </c>
      <c r="B595" s="7">
        <v>1</v>
      </c>
      <c r="C595" s="7" t="s">
        <v>10</v>
      </c>
      <c r="D595" s="7">
        <v>237</v>
      </c>
      <c r="E595" s="7" t="s">
        <v>28</v>
      </c>
      <c r="F595" s="8" t="str">
        <f ca="1">IFERROR(__xludf.DUMMYFUNCTION("IF
(
C596=""фізична особа""
,
VLOOKUP(D596,IMPORTRANGE(""https://docs.google.com/spreadsheets/d/14Bd19lYaqBhU8_DElYkX7l4wRkHqqCUFNJY4AfY3kHU/edit?usp=sharing  #gid=0"",""фіз особи new!relations_name""),6,FALSE)
,
(IF
(
C596=""юридична особа""
,
VLOOKUP(D5"&amp;"96,IMPORTRANGE(""https://docs.google.com/spreadsheets/d/14Bd19lYaqBhU8_DElYkX7l4wRkHqqCUFNJY4AfY3kHU/edit?usp=sharing  #gid=0"",""фіз особи new!relations_name_uo""),7,FALSE)
,
)
))"),"НОРОВ Еркін Рахматович")</f>
        <v>НОРОВ Еркін Рахматович</v>
      </c>
      <c r="G595" s="7" t="s">
        <v>10</v>
      </c>
      <c r="H595" s="7">
        <v>49</v>
      </c>
      <c r="I595" s="8" t="str">
        <f ca="1">IFERROR(__xludf.DUMMYFUNCTION("IF
(
G596=""фізична особа""
,
VLOOKUP(H596,IMPORTRANGE(""https://docs.google.com/spreadsheets/d/14Bd19lYaqBhU8_DElYkX7l4wRkHqqCUFNJY4AfY3kHU/edit?usp=sharing  #gid=0"",""фіз особи new!relations_name""),6,FALSE)
,
(IF
(
G596=""юридична особа""
,
VLOOKUP(H5"&amp;"96,IMPORTRANGE(""https://docs.google.com/spreadsheets/d/14Bd19lYaqBhU8_DElYkX7l4wRkHqqCUFNJY4AfY3kHU/edit?usp=sharing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595" s="7" t="s">
        <v>29</v>
      </c>
    </row>
    <row r="596" spans="1:10" ht="13.2">
      <c r="A596" s="7">
        <v>595</v>
      </c>
      <c r="B596" s="7">
        <v>1</v>
      </c>
      <c r="C596" s="7" t="s">
        <v>10</v>
      </c>
      <c r="D596" s="7">
        <v>238</v>
      </c>
      <c r="E596" s="7" t="s">
        <v>48</v>
      </c>
      <c r="F596" s="8" t="str">
        <f ca="1">IFERROR(__xludf.DUMMYFUNCTION("IF
(
C597=""фізична особа""
,
VLOOKUP(D597,IMPORTRANGE(""https://docs.google.com/spreadsheets/d/14Bd19lYaqBhU8_DElYkX7l4wRkHqqCUFNJY4AfY3kHU/edit?usp=sharing  #gid=0"",""фіз особи new!relations_name""),6,FALSE)
,
(IF
(
C597=""юридична особа""
,
VLOOKUP(D5"&amp;"97,IMPORTRANGE(""https://docs.google.com/spreadsheets/d/14Bd19lYaqBhU8_DElYkX7l4wRkHqqCUFNJY4AfY3kHU/edit?usp=sharing  #gid=0"",""фіз особи new!relations_name_uo""),7,FALSE)
,
)
))"),"ВАЛЄЄВ Ернест Абдулович")</f>
        <v>ВАЛЄЄВ Ернест Абдулович</v>
      </c>
      <c r="G596" s="7" t="s">
        <v>10</v>
      </c>
      <c r="H596" s="7">
        <v>2545</v>
      </c>
      <c r="I596" s="8" t="str">
        <f ca="1">IFERROR(__xludf.DUMMYFUNCTION("IF
(
G597=""фізична особа""
,
VLOOKUP(H597,IMPORTRANGE(""https://docs.google.com/spreadsheets/d/14Bd19lYaqBhU8_DElYkX7l4wRkHqqCUFNJY4AfY3kHU/edit?usp=sharing  #gid=0"",""фіз особи new!relations_name""),6,FALSE)
,
(IF
(
G597=""юридична особа""
,
VLOOKUP(H5"&amp;"97,IMPORTRANGE(""https://docs.google.com/spreadsheets/d/14Bd19lYaqBhU8_DElYkX7l4wRkHqqCUFNJY4AfY3kHU/edit?usp=sharing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596" s="7" t="s">
        <v>48</v>
      </c>
    </row>
    <row r="597" spans="1:10" ht="13.2">
      <c r="A597" s="7">
        <v>596</v>
      </c>
      <c r="B597" s="7">
        <v>1</v>
      </c>
      <c r="C597" s="7" t="s">
        <v>10</v>
      </c>
      <c r="D597" s="7">
        <v>238</v>
      </c>
      <c r="E597" s="7" t="s">
        <v>48</v>
      </c>
      <c r="F597" s="8" t="str">
        <f ca="1">IFERROR(__xludf.DUMMYFUNCTION("IF
(
C598=""фізична особа""
,
VLOOKUP(D598,IMPORTRANGE(""https://docs.google.com/spreadsheets/d/14Bd19lYaqBhU8_DElYkX7l4wRkHqqCUFNJY4AfY3kHU/edit?usp=sharing  #gid=0"",""фіз особи new!relations_name""),6,FALSE)
,
(IF
(
C598=""юридична особа""
,
VLOOKUP(D5"&amp;"98,IMPORTRANGE(""https://docs.google.com/spreadsheets/d/14Bd19lYaqBhU8_DElYkX7l4wRkHqqCUFNJY4AfY3kHU/edit?usp=sharing  #gid=0"",""фіз особи new!relations_name_uo""),7,FALSE)
,
)
))"),"ВАЛЄЄВ Ернест Абдулович")</f>
        <v>ВАЛЄЄВ Ернест Абдулович</v>
      </c>
      <c r="G597" s="7" t="s">
        <v>10</v>
      </c>
      <c r="H597" s="7">
        <v>844</v>
      </c>
      <c r="I597" s="8" t="str">
        <f ca="1">IFERROR(__xludf.DUMMYFUNCTION("IF
(
G598=""фізична особа""
,
VLOOKUP(H598,IMPORTRANGE(""https://docs.google.com/spreadsheets/d/14Bd19lYaqBhU8_DElYkX7l4wRkHqqCUFNJY4AfY3kHU/edit?usp=sharing  #gid=0"",""фіз особи new!relations_name""),6,FALSE)
,
(IF
(
G598=""юридична особа""
,
VLOOKUP(H5"&amp;"98,IMPORTRANGE(""https://docs.google.com/spreadsheets/d/14Bd19lYaqBhU8_DElYkX7l4wRkHqqCUFNJY4AfY3kHU/edit?usp=sharing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97" s="7" t="s">
        <v>48</v>
      </c>
    </row>
    <row r="598" spans="1:10" ht="13.2">
      <c r="A598" s="7">
        <v>597</v>
      </c>
      <c r="B598" s="7">
        <v>1</v>
      </c>
      <c r="C598" s="7" t="s">
        <v>10</v>
      </c>
      <c r="D598" s="7">
        <v>239</v>
      </c>
      <c r="E598" s="7" t="s">
        <v>28</v>
      </c>
      <c r="F598" s="8" t="str">
        <f ca="1">IFERROR(__xludf.DUMMYFUNCTION("IF
(
C599=""фізична особа""
,
VLOOKUP(D599,IMPORTRANGE(""https://docs.google.com/spreadsheets/d/14Bd19lYaqBhU8_DElYkX7l4wRkHqqCUFNJY4AfY3kHU/edit?usp=sharing  #gid=0"",""фіз особи new!relations_name""),6,FALSE)
,
(IF
(
C599=""юридична особа""
,
VLOOKUP(D5"&amp;"99,IMPORTRANGE(""https://docs.google.com/spreadsheets/d/14Bd19lYaqBhU8_DElYkX7l4wRkHqqCUFNJY4AfY3kHU/edit?usp=sharing  #gid=0"",""фіз особи new!relations_name_uo""),7,FALSE)
,
)
))"),"КАЦАВАЛОВ Євген Анатолійович")</f>
        <v>КАЦАВАЛОВ Євген Анатолійович</v>
      </c>
      <c r="G598" s="7" t="s">
        <v>10</v>
      </c>
      <c r="H598" s="7">
        <v>653</v>
      </c>
      <c r="I598" s="8" t="str">
        <f ca="1">IFERROR(__xludf.DUMMYFUNCTION("IF
(
G599=""фізична особа""
,
VLOOKUP(H599,IMPORTRANGE(""https://docs.google.com/spreadsheets/d/14Bd19lYaqBhU8_DElYkX7l4wRkHqqCUFNJY4AfY3kHU/edit?usp=sharing  #gid=0"",""фіз особи new!relations_name""),6,FALSE)
,
(IF
(
G599=""юридична особа""
,
VLOOKUP(H5"&amp;"99,IMPORTRANGE(""https://docs.google.com/spreadsheets/d/14Bd19lYaqBhU8_DElYkX7l4wRkHqqCUFNJY4AfY3kHU/edit?usp=sharing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598" s="7" t="s">
        <v>29</v>
      </c>
    </row>
    <row r="599" spans="1:10" ht="13.2">
      <c r="A599" s="7">
        <v>598</v>
      </c>
      <c r="B599" s="7">
        <v>1</v>
      </c>
      <c r="C599" s="7" t="s">
        <v>10</v>
      </c>
      <c r="D599" s="7">
        <v>240</v>
      </c>
      <c r="E599" s="7" t="s">
        <v>14</v>
      </c>
      <c r="F599" s="8" t="str">
        <f ca="1">IFERROR(__xludf.DUMMYFUNCTION("IF
(
C600=""фізична особа""
,
VLOOKUP(D600,IMPORTRANGE(""https://docs.google.com/spreadsheets/d/14Bd19lYaqBhU8_DElYkX7l4wRkHqqCUFNJY4AfY3kHU/edit?usp=sharing  #gid=0"",""фіз особи new!relations_name""),6,FALSE)
,
(IF
(
C600=""юридична особа""
,
VLOOKUP(D6"&amp;"00,IMPORTRANGE(""https://docs.google.com/spreadsheets/d/14Bd19lYaqBhU8_DElYkX7l4wRkHqqCUFNJY4AfY3kHU/edit?usp=sharing  #gid=0"",""фіз особи new!relations_name_uo""),7,FALSE)
,
)
))"),"ЛАВРЕНОВ Євген Євгенович")</f>
        <v>ЛАВРЕНОВ Євген Євгенович</v>
      </c>
      <c r="G599" s="7" t="s">
        <v>10</v>
      </c>
      <c r="H599" s="7">
        <v>14818</v>
      </c>
      <c r="I599" s="8" t="str">
        <f ca="1">IFERROR(__xludf.DUMMYFUNCTION("IF
(
G600=""фізична особа""
,
VLOOKUP(H600,IMPORTRANGE(""https://docs.google.com/spreadsheets/d/14Bd19lYaqBhU8_DElYkX7l4wRkHqqCUFNJY4AfY3kHU/edit?usp=sharing  #gid=0"",""фіз особи new!relations_name""),6,FALSE)
,
(IF
(
G600=""юридична особа""
,
VLOOKUP(H6"&amp;"00,IMPORTRANGE(""https://docs.google.com/spreadsheets/d/14Bd19lYaqBhU8_DElYkX7l4wRkHqqCUFNJY4AfY3kHU/edit?usp=sharing  #gid=0"",""фіз особи new!relations_name_uo""),7,FALSE)
,
)
))"),"САМОХІНА Євгенія Вікторівна")</f>
        <v>САМОХІНА Євгенія Вікторівна</v>
      </c>
      <c r="J599" s="7" t="s">
        <v>15</v>
      </c>
    </row>
    <row r="600" spans="1:10" ht="13.2">
      <c r="A600" s="7">
        <v>599</v>
      </c>
      <c r="B600" s="7">
        <v>1</v>
      </c>
      <c r="C600" s="7" t="s">
        <v>10</v>
      </c>
      <c r="D600" s="7">
        <v>241</v>
      </c>
      <c r="E600" s="7" t="s">
        <v>40</v>
      </c>
      <c r="F600" s="8" t="str">
        <f ca="1">IFERROR(__xludf.DUMMYFUNCTION("IF
(
C601=""фізична особа""
,
VLOOKUP(D601,IMPORTRANGE(""https://docs.google.com/spreadsheets/d/14Bd19lYaqBhU8_DElYkX7l4wRkHqqCUFNJY4AfY3kHU/edit?usp=sharing  #gid=0"",""фіз особи new!relations_name""),6,FALSE)
,
(IF
(
C601=""юридична особа""
,
VLOOKUP(D6"&amp;"01,IMPORTRANGE(""https://docs.google.com/spreadsheets/d/14Bd19lYaqBhU8_DElYkX7l4wRkHqqCUFNJY4AfY3kHU/edit?usp=sharing  #gid=0"",""фіз особи new!relations_name_uo""),7,FALSE)
,
)
))"),"МАНУЙЛОВ Євген Володимирович")</f>
        <v>МАНУЙЛОВ Євген Володимирович</v>
      </c>
      <c r="G600" s="7" t="s">
        <v>10</v>
      </c>
      <c r="H600" s="7">
        <v>23375</v>
      </c>
      <c r="I600" s="8" t="str">
        <f ca="1">IFERROR(__xludf.DUMMYFUNCTION("IF
(
G601=""фізична особа""
,
VLOOKUP(H601,IMPORTRANGE(""https://docs.google.com/spreadsheets/d/14Bd19lYaqBhU8_DElYkX7l4wRkHqqCUFNJY4AfY3kHU/edit?usp=sharing  #gid=0"",""фіз особи new!relations_name""),6,FALSE)
,
(IF
(
G601=""юридична особа""
,
VLOOKUP(H6"&amp;"01,IMPORTRANGE(""https://docs.google.com/spreadsheets/d/14Bd19lYaqBhU8_DElYkX7l4wRkHqqCUFNJY4AfY3kHU/edit?usp=sharing  #gid=0"",""фіз особи new!relations_name_uo""),7,FALSE)
,
)
))"),"ЦИПКАЛОВ Геннадій Миколайович")</f>
        <v>ЦИПКАЛОВ Геннадій Миколайович</v>
      </c>
      <c r="J600" s="7" t="s">
        <v>41</v>
      </c>
    </row>
    <row r="601" spans="1:10" ht="13.2">
      <c r="A601" s="7">
        <v>600</v>
      </c>
      <c r="B601" s="7">
        <v>1</v>
      </c>
      <c r="C601" s="7" t="s">
        <v>10</v>
      </c>
      <c r="D601" s="7">
        <v>242</v>
      </c>
      <c r="E601" s="7" t="s">
        <v>30</v>
      </c>
      <c r="F601" s="8" t="str">
        <f ca="1">IFERROR(__xludf.DUMMYFUNCTION("IF
(
C602=""фізична особа""
,
VLOOKUP(D602,IMPORTRANGE(""https://docs.google.com/spreadsheets/d/14Bd19lYaqBhU8_DElYkX7l4wRkHqqCUFNJY4AfY3kHU/edit?usp=sharing  #gid=0"",""фіз особи new!relations_name""),6,FALSE)
,
(IF
(
C602=""юридична особа""
,
VLOOKUP(D6"&amp;"02,IMPORTRANGE(""https://docs.google.com/spreadsheets/d/14Bd19lYaqBhU8_DElYkX7l4wRkHqqCUFNJY4AfY3kHU/edit?usp=sharing  #gid=0"",""фіз особи new!relations_name_uo""),7,FALSE)
,
)
))"),"ФЬОДОРОВ Євген Олексійович")</f>
        <v>ФЬОДОРОВ Євген Олексійович</v>
      </c>
      <c r="G601" s="7" t="s">
        <v>10</v>
      </c>
      <c r="H601" s="7">
        <v>0</v>
      </c>
      <c r="I601" s="8" t="str">
        <f ca="1">IFERROR(__xludf.DUMMYFUNCTION("IF
(
G602=""фізична особа""
,
VLOOKUP(H602,IMPORTRANGE(""https://docs.google.com/spreadsheets/d/14Bd19lYaqBhU8_DElYkX7l4wRkHqqCUFNJY4AfY3kHU/edit?usp=sharing  #gid=0"",""фіз особи new!relations_name""),6,FALSE)
,
(IF
(
G602=""юридична особа""
,
VLOOKUP(H6"&amp;"02,IMPORTRANGE(""https://docs.google.com/spreadsheets/d/14Bd19lYaqBhU8_DElYkX7l4wRkHqqCUFNJY4AfY3kHU/edit?usp=sharing  #gid=0"",""фіз особи new!relations_name_uo""),7,FALSE)
,
)
))"),"#N/A")</f>
        <v>#N/A</v>
      </c>
      <c r="J601" s="7" t="s">
        <v>30</v>
      </c>
    </row>
    <row r="602" spans="1:10" ht="13.2">
      <c r="A602" s="7">
        <v>601</v>
      </c>
      <c r="B602" s="7">
        <v>1</v>
      </c>
      <c r="C602" s="7" t="s">
        <v>10</v>
      </c>
      <c r="D602" s="7">
        <v>242</v>
      </c>
      <c r="E602" s="7" t="s">
        <v>29</v>
      </c>
      <c r="F602" s="8" t="str">
        <f ca="1">IFERROR(__xludf.DUMMYFUNCTION("IF
(
C603=""фізична особа""
,
VLOOKUP(D603,IMPORTRANGE(""https://docs.google.com/spreadsheets/d/14Bd19lYaqBhU8_DElYkX7l4wRkHqqCUFNJY4AfY3kHU/edit?usp=sharing  #gid=0"",""фіз особи new!relations_name""),6,FALSE)
,
(IF
(
C603=""юридична особа""
,
VLOOKUP(D6"&amp;"03,IMPORTRANGE(""https://docs.google.com/spreadsheets/d/14Bd19lYaqBhU8_DElYkX7l4wRkHqqCUFNJY4AfY3kHU/edit?usp=sharing  #gid=0"",""фіз особи new!relations_name_uo""),7,FALSE)
,
)
))"),"ФЬОДОРОВ Євген Олексійович")</f>
        <v>ФЬОДОРОВ Євген Олексійович</v>
      </c>
      <c r="G602" s="7" t="s">
        <v>10</v>
      </c>
      <c r="H602" s="7">
        <v>15606</v>
      </c>
      <c r="I602" s="8" t="str">
        <f ca="1">IFERROR(__xludf.DUMMYFUNCTION("IF
(
G603=""фізична особа""
,
VLOOKUP(H603,IMPORTRANGE(""https://docs.google.com/spreadsheets/d/14Bd19lYaqBhU8_DElYkX7l4wRkHqqCUFNJY4AfY3kHU/edit?usp=sharing  #gid=0"",""фіз особи new!relations_name""),6,FALSE)
,
(IF
(
G603=""юридична особа""
,
VLOOKUP(H6"&amp;"03,IMPORTRANGE(""https://docs.google.com/spreadsheets/d/14Bd19lYaqBhU8_DElYkX7l4wRkHqqCUFNJY4AfY3kHU/edit?usp=sharing  #gid=0"",""фіз особи new!relations_name_uo""),7,FALSE)
,
)
))"),"КОВАЛЕНКО Андрій Олексійович")</f>
        <v>КОВАЛЕНКО Андрій Олексійович</v>
      </c>
      <c r="J602" s="7" t="s">
        <v>28</v>
      </c>
    </row>
    <row r="603" spans="1:10" ht="13.2">
      <c r="A603" s="7">
        <v>602</v>
      </c>
      <c r="B603" s="7">
        <v>1</v>
      </c>
      <c r="C603" s="7" t="s">
        <v>10</v>
      </c>
      <c r="D603" s="7">
        <v>243</v>
      </c>
      <c r="E603" s="7" t="s">
        <v>40</v>
      </c>
      <c r="F603" s="8" t="str">
        <f ca="1">IFERROR(__xludf.DUMMYFUNCTION("IF
(
C604=""фізична особа""
,
VLOOKUP(D604,IMPORTRANGE(""https://docs.google.com/spreadsheets/d/14Bd19lYaqBhU8_DElYkX7l4wRkHqqCUFNJY4AfY3kHU/edit?usp=sharing  #gid=0"",""фіз особи new!relations_name""),6,FALSE)
,
(IF
(
C604=""юридична особа""
,
VLOOKUP(D6"&amp;"04,IMPORTRANGE(""https://docs.google.com/spreadsheets/d/14Bd19lYaqBhU8_DElYkX7l4wRkHqqCUFNJY4AfY3kHU/edit?usp=sharing  #gid=0"",""фіз особи new!relations_name_uo""),7,FALSE)
,
)
))"),"ПЕРВИШОВ Євген Олексійович")</f>
        <v>ПЕРВИШОВ Євген Олексійович</v>
      </c>
      <c r="G603" s="7" t="s">
        <v>10</v>
      </c>
      <c r="H603" s="7">
        <v>2520</v>
      </c>
      <c r="I603" s="8" t="str">
        <f ca="1">IFERROR(__xludf.DUMMYFUNCTION("IF
(
G604=""фізична особа""
,
VLOOKUP(H604,IMPORTRANGE(""https://docs.google.com/spreadsheets/d/14Bd19lYaqBhU8_DElYkX7l4wRkHqqCUFNJY4AfY3kHU/edit?usp=sharing  #gid=0"",""фіз особи new!relations_name""),6,FALSE)
,
(IF
(
G604=""юридична особа""
,
VLOOKUP(H6"&amp;"04,IMPORTRANGE(""https://docs.google.com/spreadsheets/d/14Bd19lYaqBhU8_DElYkX7l4wRkHqqCUFNJY4AfY3kHU/edit?usp=sharing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J603" s="7" t="s">
        <v>41</v>
      </c>
    </row>
    <row r="604" spans="1:10" ht="13.2">
      <c r="A604" s="7">
        <v>603</v>
      </c>
      <c r="B604" s="7">
        <v>1</v>
      </c>
      <c r="C604" s="7" t="s">
        <v>10</v>
      </c>
      <c r="D604" s="7">
        <v>244</v>
      </c>
      <c r="E604" s="7" t="s">
        <v>17</v>
      </c>
      <c r="F604" s="8" t="str">
        <f ca="1">IFERROR(__xludf.DUMMYFUNCTION("IF
(
C605=""фізична особа""
,
VLOOKUP(D605,IMPORTRANGE(""https://docs.google.com/spreadsheets/d/14Bd19lYaqBhU8_DElYkX7l4wRkHqqCUFNJY4AfY3kHU/edit?usp=sharing  #gid=0"",""фіз особи new!relations_name""),6,FALSE)
,
(IF
(
C605=""юридична особа""
,
VLOOKUP(D6"&amp;"05,IMPORTRANGE(""https://docs.google.com/spreadsheets/d/14Bd19lYaqBhU8_DElYkX7l4wRkHqqCUFNJY4AfY3kHU/edit?usp=sharing  #gid=0"",""фіз особи new!relations_name_uo""),7,FALSE)
,
)
))"),"МАРЧЕНКО Євген Євгенійович")</f>
        <v>МАРЧЕНКО Євген Євгенійович</v>
      </c>
      <c r="G604" s="7" t="s">
        <v>10</v>
      </c>
      <c r="H604" s="7">
        <v>0</v>
      </c>
      <c r="I604" s="8" t="str">
        <f ca="1">IFERROR(__xludf.DUMMYFUNCTION("IF
(
G605=""фізична особа""
,
VLOOKUP(H605,IMPORTRANGE(""https://docs.google.com/spreadsheets/d/14Bd19lYaqBhU8_DElYkX7l4wRkHqqCUFNJY4AfY3kHU/edit?usp=sharing  #gid=0"",""фіз особи new!relations_name""),6,FALSE)
,
(IF
(
G605=""юридична особа""
,
VLOOKUP(H6"&amp;"05,IMPORTRANGE(""https://docs.google.com/spreadsheets/d/14Bd19lYaqBhU8_DElYkX7l4wRkHqqCUFNJY4AfY3kHU/edit?usp=sharing  #gid=0"",""фіз особи new!relations_name_uo""),7,FALSE)
,
)
))"),"#N/A")</f>
        <v>#N/A</v>
      </c>
      <c r="J604" s="7" t="s">
        <v>21</v>
      </c>
    </row>
    <row r="605" spans="1:10" ht="13.2">
      <c r="A605" s="7">
        <v>604</v>
      </c>
      <c r="B605" s="7">
        <v>1</v>
      </c>
      <c r="C605" s="7" t="s">
        <v>10</v>
      </c>
      <c r="D605" s="7">
        <v>244</v>
      </c>
      <c r="E605" s="7" t="s">
        <v>17</v>
      </c>
      <c r="F605" s="8" t="str">
        <f ca="1">IFERROR(__xludf.DUMMYFUNCTION("IF
(
C606=""фізична особа""
,
VLOOKUP(D606,IMPORTRANGE(""https://docs.google.com/spreadsheets/d/14Bd19lYaqBhU8_DElYkX7l4wRkHqqCUFNJY4AfY3kHU/edit?usp=sharing  #gid=0"",""фіз особи new!relations_name""),6,FALSE)
,
(IF
(
C606=""юридична особа""
,
VLOOKUP(D6"&amp;"06,IMPORTRANGE(""https://docs.google.com/spreadsheets/d/14Bd19lYaqBhU8_DElYkX7l4wRkHqqCUFNJY4AfY3kHU/edit?usp=sharing  #gid=0"",""фіз особи new!relations_name_uo""),7,FALSE)
,
)
))"),"МАРЧЕНКО Євген Євгенійович")</f>
        <v>МАРЧЕНКО Євген Євгенійович</v>
      </c>
      <c r="G605" s="7" t="s">
        <v>10</v>
      </c>
      <c r="H605" s="7">
        <v>0</v>
      </c>
      <c r="I605" s="8" t="str">
        <f ca="1">IFERROR(__xludf.DUMMYFUNCTION("IF
(
G606=""фізична особа""
,
VLOOKUP(H606,IMPORTRANGE(""https://docs.google.com/spreadsheets/d/14Bd19lYaqBhU8_DElYkX7l4wRkHqqCUFNJY4AfY3kHU/edit?usp=sharing  #gid=0"",""фіз особи new!relations_name""),6,FALSE)
,
(IF
(
G606=""юридична особа""
,
VLOOKUP(H6"&amp;"06,IMPORTRANGE(""https://docs.google.com/spreadsheets/d/14Bd19lYaqBhU8_DElYkX7l4wRkHqqCUFNJY4AfY3kHU/edit?usp=sharing  #gid=0"",""фіз особи new!relations_name_uo""),7,FALSE)
,
)
))"),"#N/A")</f>
        <v>#N/A</v>
      </c>
      <c r="J605" s="7" t="s">
        <v>12</v>
      </c>
    </row>
    <row r="606" spans="1:10" ht="13.2">
      <c r="A606" s="7">
        <v>605</v>
      </c>
      <c r="B606" s="7">
        <v>1</v>
      </c>
      <c r="C606" s="7" t="s">
        <v>10</v>
      </c>
      <c r="D606" s="7">
        <v>244</v>
      </c>
      <c r="E606" s="7" t="s">
        <v>35</v>
      </c>
      <c r="F606" s="8" t="str">
        <f ca="1">IFERROR(__xludf.DUMMYFUNCTION("IF
(
C607=""фізична особа""
,
VLOOKUP(D607,IMPORTRANGE(""https://docs.google.com/spreadsheets/d/14Bd19lYaqBhU8_DElYkX7l4wRkHqqCUFNJY4AfY3kHU/edit?usp=sharing  #gid=0"",""фіз особи new!relations_name""),6,FALSE)
,
(IF
(
C607=""юридична особа""
,
VLOOKUP(D6"&amp;"07,IMPORTRANGE(""https://docs.google.com/spreadsheets/d/14Bd19lYaqBhU8_DElYkX7l4wRkHqqCUFNJY4AfY3kHU/edit?usp=sharing  #gid=0"",""фіз особи new!relations_name_uo""),7,FALSE)
,
)
))"),"МАРЧЕНКО Євген Євгенійович")</f>
        <v>МАРЧЕНКО Євген Євгенійович</v>
      </c>
      <c r="G606" s="7" t="s">
        <v>10</v>
      </c>
      <c r="H606" s="7">
        <v>844</v>
      </c>
      <c r="I606" s="8" t="str">
        <f ca="1">IFERROR(__xludf.DUMMYFUNCTION("IF
(
G607=""фізична особа""
,
VLOOKUP(H607,IMPORTRANGE(""https://docs.google.com/spreadsheets/d/14Bd19lYaqBhU8_DElYkX7l4wRkHqqCUFNJY4AfY3kHU/edit?usp=sharing  #gid=0"",""фіз особи new!relations_name""),6,FALSE)
,
(IF
(
G607=""юридична особа""
,
VLOOKUP(H6"&amp;"07,IMPORTRANGE(""https://docs.google.com/spreadsheets/d/14Bd19lYaqBhU8_DElYkX7l4wRkHqqCUFNJY4AfY3kHU/edit?usp=sharing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606" s="7" t="s">
        <v>35</v>
      </c>
    </row>
    <row r="607" spans="1:10" ht="13.2">
      <c r="A607" s="7">
        <v>606</v>
      </c>
      <c r="B607" s="7">
        <v>1</v>
      </c>
      <c r="C607" s="7" t="s">
        <v>10</v>
      </c>
      <c r="D607" s="7">
        <v>245</v>
      </c>
      <c r="E607" s="7" t="s">
        <v>14</v>
      </c>
      <c r="F607" s="8" t="str">
        <f ca="1">IFERROR(__xludf.DUMMYFUNCTION("IF
(
C608=""фізична особа""
,
VLOOKUP(D608,IMPORTRANGE(""https://docs.google.com/spreadsheets/d/14Bd19lYaqBhU8_DElYkX7l4wRkHqqCUFNJY4AfY3kHU/edit?usp=sharing  #gid=0"",""фіз особи new!relations_name""),6,FALSE)
,
(IF
(
C608=""юридична особа""
,
VLOOKUP(D6"&amp;"08,IMPORTRANGE(""https://docs.google.com/spreadsheets/d/14Bd19lYaqBhU8_DElYkX7l4wRkHqqCUFNJY4AfY3kHU/edit?usp=sharing  #gid=0"",""фіз особи new!relations_name_uo""),7,FALSE)
,
)
))"),"ПОПОВ Євген Георгійович")</f>
        <v>ПОПОВ Євген Георгійович</v>
      </c>
      <c r="G607" s="7" t="s">
        <v>10</v>
      </c>
      <c r="H607" s="7">
        <v>581</v>
      </c>
      <c r="I607" s="8" t="str">
        <f ca="1">IFERROR(__xludf.DUMMYFUNCTION("IF
(
G608=""фізична особа""
,
VLOOKUP(H608,IMPORTRANGE(""https://docs.google.com/spreadsheets/d/14Bd19lYaqBhU8_DElYkX7l4wRkHqqCUFNJY4AfY3kHU/edit?usp=sharing  #gid=0"",""фіз особи new!relations_name""),6,FALSE)
,
(IF
(
G608=""юридична особа""
,
VLOOKUP(H6"&amp;"08,IMPORTRANGE(""https://docs.google.com/spreadsheets/d/14Bd19lYaqBhU8_DElYkX7l4wRkHqqCUFNJY4AfY3kHU/edit?usp=sharing  #gid=0"",""фіз особи new!relations_name_uo""),7,FALSE)
,
)
))"),"СКАБЄЄВА Ольга Володимирівна")</f>
        <v>СКАБЄЄВА Ольга Володимирівна</v>
      </c>
      <c r="J607" s="7" t="s">
        <v>15</v>
      </c>
    </row>
    <row r="608" spans="1:10" ht="13.2">
      <c r="A608" s="7">
        <v>607</v>
      </c>
      <c r="B608" s="7">
        <v>1</v>
      </c>
      <c r="C608" s="7" t="s">
        <v>10</v>
      </c>
      <c r="D608" s="7">
        <v>246</v>
      </c>
      <c r="E608" s="7" t="s">
        <v>12</v>
      </c>
      <c r="F608" s="8" t="str">
        <f ca="1">IFERROR(__xludf.DUMMYFUNCTION("IF
(
C609=""фізична особа""
,
VLOOKUP(D609,IMPORTRANGE(""https://docs.google.com/spreadsheets/d/14Bd19lYaqBhU8_DElYkX7l4wRkHqqCUFNJY4AfY3kHU/edit?usp=sharing  #gid=0"",""фіз особи new!relations_name""),6,FALSE)
,
(IF
(
C609=""юридична особа""
,
VLOOKUP(D6"&amp;"09,IMPORTRANGE(""https://docs.google.com/spreadsheets/d/14Bd19lYaqBhU8_DElYkX7l4wRkHqqCUFNJY4AfY3kHU/edit?usp=sharing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08" s="7" t="s">
        <v>10</v>
      </c>
      <c r="H608" s="7">
        <v>0</v>
      </c>
      <c r="I608" s="8" t="str">
        <f ca="1">IFERROR(__xludf.DUMMYFUNCTION("IF
(
G609=""фізична особа""
,
VLOOKUP(H609,IMPORTRANGE(""https://docs.google.com/spreadsheets/d/14Bd19lYaqBhU8_DElYkX7l4wRkHqqCUFNJY4AfY3kHU/edit?usp=sharing  #gid=0"",""фіз особи new!relations_name""),6,FALSE)
,
(IF
(
G609=""юридична особа""
,
VLOOKUP(H6"&amp;"09,IMPORTRANGE(""https://docs.google.com/spreadsheets/d/14Bd19lYaqBhU8_DElYkX7l4wRkHqqCUFNJY4AfY3kHU/edit?usp=sharing  #gid=0"",""фіз особи new!relations_name_uo""),7,FALSE)
,
)
))"),"#N/A")</f>
        <v>#N/A</v>
      </c>
      <c r="J608" s="7" t="s">
        <v>17</v>
      </c>
    </row>
    <row r="609" spans="1:10" ht="13.2">
      <c r="A609" s="7">
        <v>608</v>
      </c>
      <c r="B609" s="7">
        <v>1</v>
      </c>
      <c r="C609" s="7" t="s">
        <v>10</v>
      </c>
      <c r="D609" s="7">
        <v>246</v>
      </c>
      <c r="E609" s="7" t="s">
        <v>14</v>
      </c>
      <c r="F609" s="8" t="str">
        <f ca="1">IFERROR(__xludf.DUMMYFUNCTION("IF
(
C610=""фізична особа""
,
VLOOKUP(D610,IMPORTRANGE(""https://docs.google.com/spreadsheets/d/14Bd19lYaqBhU8_DElYkX7l4wRkHqqCUFNJY4AfY3kHU/edit?usp=sharing  #gid=0"",""фіз особи new!relations_name""),6,FALSE)
,
(IF
(
C610=""юридична особа""
,
VLOOKUP(D6"&amp;"10,IMPORTRANGE(""https://docs.google.com/spreadsheets/d/14Bd19lYaqBhU8_DElYkX7l4wRkHqqCUFNJY4AfY3kHU/edit?usp=sharing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09" s="7" t="s">
        <v>10</v>
      </c>
      <c r="H609" s="7">
        <v>0</v>
      </c>
      <c r="I609" s="8" t="str">
        <f ca="1">IFERROR(__xludf.DUMMYFUNCTION("IF
(
G610=""фізична особа""
,
VLOOKUP(H610,IMPORTRANGE(""https://docs.google.com/spreadsheets/d/14Bd19lYaqBhU8_DElYkX7l4wRkHqqCUFNJY4AfY3kHU/edit?usp=sharing  #gid=0"",""фіз особи new!relations_name""),6,FALSE)
,
(IF
(
G610=""юридична особа""
,
VLOOKUP(H6"&amp;"10,IMPORTRANGE(""https://docs.google.com/spreadsheets/d/14Bd19lYaqBhU8_DElYkX7l4wRkHqqCUFNJY4AfY3kHU/edit?usp=sharing  #gid=0"",""фіз особи new!relations_name_uo""),7,FALSE)
,
)
))"),"#N/A")</f>
        <v>#N/A</v>
      </c>
      <c r="J609" s="7" t="s">
        <v>15</v>
      </c>
    </row>
    <row r="610" spans="1:10" ht="13.2">
      <c r="A610" s="7">
        <v>609</v>
      </c>
      <c r="B610" s="7">
        <v>1</v>
      </c>
      <c r="C610" s="7" t="s">
        <v>10</v>
      </c>
      <c r="D610" s="7">
        <v>246</v>
      </c>
      <c r="E610" s="7" t="s">
        <v>16</v>
      </c>
      <c r="F610" s="8" t="str">
        <f ca="1">IFERROR(__xludf.DUMMYFUNCTION("IF
(
C611=""фізична особа""
,
VLOOKUP(D611,IMPORTRANGE(""https://docs.google.com/spreadsheets/d/14Bd19lYaqBhU8_DElYkX7l4wRkHqqCUFNJY4AfY3kHU/edit?usp=sharing  #gid=0"",""фіз особи new!relations_name""),6,FALSE)
,
(IF
(
C611=""юридична особа""
,
VLOOKUP(D6"&amp;"11,IMPORTRANGE(""https://docs.google.com/spreadsheets/d/14Bd19lYaqBhU8_DElYkX7l4wRkHqqCUFNJY4AfY3kHU/edit?usp=sharing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0" s="7" t="s">
        <v>10</v>
      </c>
      <c r="H610" s="7">
        <v>17132</v>
      </c>
      <c r="I610" s="8" t="str">
        <f ca="1">IFERROR(__xludf.DUMMYFUNCTION("IF
(
G611=""фізична особа""
,
VLOOKUP(H611,IMPORTRANGE(""https://docs.google.com/spreadsheets/d/14Bd19lYaqBhU8_DElYkX7l4wRkHqqCUFNJY4AfY3kHU/edit?usp=sharing  #gid=0"",""фіз особи new!relations_name""),6,FALSE)
,
(IF
(
G611=""юридична особа""
,
VLOOKUP(H6"&amp;"11,IMPORTRANGE(""https://docs.google.com/spreadsheets/d/14Bd19lYaqBhU8_DElYkX7l4wRkHqqCUFNJY4AfY3kHU/edit?usp=sharing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J610" s="7" t="s">
        <v>16</v>
      </c>
    </row>
    <row r="611" spans="1:10" ht="13.2">
      <c r="A611" s="7">
        <v>610</v>
      </c>
      <c r="B611" s="7">
        <v>1</v>
      </c>
      <c r="C611" s="7" t="s">
        <v>10</v>
      </c>
      <c r="D611" s="7">
        <v>246</v>
      </c>
      <c r="E611" s="7" t="s">
        <v>16</v>
      </c>
      <c r="F611" s="8" t="str">
        <f ca="1">IFERROR(__xludf.DUMMYFUNCTION("IF
(
C612=""фізична особа""
,
VLOOKUP(D612,IMPORTRANGE(""https://docs.google.com/spreadsheets/d/14Bd19lYaqBhU8_DElYkX7l4wRkHqqCUFNJY4AfY3kHU/edit?usp=sharing  #gid=0"",""фіз особи new!relations_name""),6,FALSE)
,
(IF
(
C612=""юридична особа""
,
VLOOKUP(D6"&amp;"12,IMPORTRANGE(""https://docs.google.com/spreadsheets/d/14Bd19lYaqBhU8_DElYkX7l4wRkHqqCUFNJY4AfY3kHU/edit?usp=sharing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1" s="7" t="s">
        <v>10</v>
      </c>
      <c r="H611" s="7">
        <v>824</v>
      </c>
      <c r="I611" s="8" t="str">
        <f ca="1">IFERROR(__xludf.DUMMYFUNCTION("IF
(
G612=""фізична особа""
,
VLOOKUP(H612,IMPORTRANGE(""https://docs.google.com/spreadsheets/d/14Bd19lYaqBhU8_DElYkX7l4wRkHqqCUFNJY4AfY3kHU/edit?usp=sharing  #gid=0"",""фіз особи new!relations_name""),6,FALSE)
,
(IF
(
G612=""юридична особа""
,
VLOOKUP(H6"&amp;"12,IMPORTRANGE(""https://docs.google.com/spreadsheets/d/14Bd19lYaqBhU8_DElYkX7l4wRkHqqCUFNJY4AfY3kHU/edit?usp=sharing  #gid=0"",""фіз особи new!relations_name_uo""),7,FALSE)
,
)
))"),"ЛУКАШЕНКО Віктор Олександрович")</f>
        <v>ЛУКАШЕНКО Віктор Олександрович</v>
      </c>
      <c r="J611" s="7" t="s">
        <v>16</v>
      </c>
    </row>
    <row r="612" spans="1:10" ht="13.2">
      <c r="A612" s="7">
        <v>611</v>
      </c>
      <c r="B612" s="7">
        <v>1</v>
      </c>
      <c r="C612" s="7" t="s">
        <v>10</v>
      </c>
      <c r="D612" s="7">
        <v>246</v>
      </c>
      <c r="E612" s="7" t="s">
        <v>11</v>
      </c>
      <c r="F612" s="8" t="str">
        <f ca="1">IFERROR(__xludf.DUMMYFUNCTION("IF
(
C613=""фізична особа""
,
VLOOKUP(D613,IMPORTRANGE(""https://docs.google.com/spreadsheets/d/14Bd19lYaqBhU8_DElYkX7l4wRkHqqCUFNJY4AfY3kHU/edit?usp=sharing  #gid=0"",""фіз особи new!relations_name""),6,FALSE)
,
(IF
(
C613=""юридична особа""
,
VLOOKUP(D6"&amp;"13,IMPORTRANGE(""https://docs.google.com/spreadsheets/d/14Bd19lYaqBhU8_DElYkX7l4wRkHqqCUFNJY4AfY3kHU/edit?usp=sharing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2" s="7" t="s">
        <v>10</v>
      </c>
      <c r="H612" s="7">
        <v>23359</v>
      </c>
      <c r="I612" s="8" t="str">
        <f ca="1">IFERROR(__xludf.DUMMYFUNCTION("IF
(
G613=""фізична особа""
,
VLOOKUP(H613,IMPORTRANGE(""https://docs.google.com/spreadsheets/d/14Bd19lYaqBhU8_DElYkX7l4wRkHqqCUFNJY4AfY3kHU/edit?usp=sharing  #gid=0"",""фіз особи new!relations_name""),6,FALSE)
,
(IF
(
G613=""юридична особа""
,
VLOOKUP(H6"&amp;"13,IMPORTRANGE(""https://docs.google.com/spreadsheets/d/14Bd19lYaqBhU8_DElYkX7l4wRkHqqCUFNJY4AfY3kHU/edit?usp=sharing  #gid=0"",""фіз особи new!relations_name_uo""),7,FALSE)
,
)
))"),"ШАТРОВ Петро Євгенович")</f>
        <v>ШАТРОВ Петро Євгенович</v>
      </c>
      <c r="J612" s="7" t="s">
        <v>11</v>
      </c>
    </row>
    <row r="613" spans="1:10" ht="13.2">
      <c r="A613" s="7">
        <v>612</v>
      </c>
      <c r="B613" s="7">
        <v>1</v>
      </c>
      <c r="C613" s="7" t="s">
        <v>10</v>
      </c>
      <c r="D613" s="7">
        <v>246</v>
      </c>
      <c r="E613" s="7" t="s">
        <v>11</v>
      </c>
      <c r="F613" s="8" t="str">
        <f ca="1">IFERROR(__xludf.DUMMYFUNCTION("IF
(
C614=""фізична особа""
,
VLOOKUP(D614,IMPORTRANGE(""https://docs.google.com/spreadsheets/d/14Bd19lYaqBhU8_DElYkX7l4wRkHqqCUFNJY4AfY3kHU/edit?usp=sharing  #gid=0"",""фіз особи new!relations_name""),6,FALSE)
,
(IF
(
C614=""юридична особа""
,
VLOOKUP(D6"&amp;"14,IMPORTRANGE(""https://docs.google.com/spreadsheets/d/14Bd19lYaqBhU8_DElYkX7l4wRkHqqCUFNJY4AfY3kHU/edit?usp=sharing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3" s="7" t="s">
        <v>10</v>
      </c>
      <c r="H613" s="7">
        <v>0</v>
      </c>
      <c r="I613" s="8" t="str">
        <f ca="1">IFERROR(__xludf.DUMMYFUNCTION("IF
(
G614=""фізична особа""
,
VLOOKUP(H614,IMPORTRANGE(""https://docs.google.com/spreadsheets/d/14Bd19lYaqBhU8_DElYkX7l4wRkHqqCUFNJY4AfY3kHU/edit?usp=sharing  #gid=0"",""фіз особи new!relations_name""),6,FALSE)
,
(IF
(
G614=""юридична особа""
,
VLOOKUP(H6"&amp;"14,IMPORTRANGE(""https://docs.google.com/spreadsheets/d/14Bd19lYaqBhU8_DElYkX7l4wRkHqqCUFNJY4AfY3kHU/edit?usp=sharing  #gid=0"",""фіз особи new!relations_name_uo""),7,FALSE)
,
)
))"),"#N/A")</f>
        <v>#N/A</v>
      </c>
      <c r="J613" s="7" t="s">
        <v>11</v>
      </c>
    </row>
    <row r="614" spans="1:10" ht="13.2">
      <c r="A614" s="7">
        <v>613</v>
      </c>
      <c r="B614" s="7">
        <v>1</v>
      </c>
      <c r="C614" s="7" t="s">
        <v>10</v>
      </c>
      <c r="D614" s="7">
        <v>246</v>
      </c>
      <c r="E614" s="7" t="s">
        <v>11</v>
      </c>
      <c r="F614" s="8" t="str">
        <f ca="1">IFERROR(__xludf.DUMMYFUNCTION("IF
(
C615=""фізична особа""
,
VLOOKUP(D615,IMPORTRANGE(""https://docs.google.com/spreadsheets/d/14Bd19lYaqBhU8_DElYkX7l4wRkHqqCUFNJY4AfY3kHU/edit?usp=sharing  #gid=0"",""фіз особи new!relations_name""),6,FALSE)
,
(IF
(
C615=""юридична особа""
,
VLOOKUP(D6"&amp;"15,IMPORTRANGE(""https://docs.google.com/spreadsheets/d/14Bd19lYaqBhU8_DElYkX7l4wRkHqqCUFNJY4AfY3kHU/edit?usp=sharing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4" s="7" t="s">
        <v>10</v>
      </c>
      <c r="H614" s="7">
        <v>18</v>
      </c>
      <c r="I614" s="8" t="str">
        <f ca="1">IFERROR(__xludf.DUMMYFUNCTION("IF
(
G615=""фізична особа""
,
VLOOKUP(H615,IMPORTRANGE(""https://docs.google.com/spreadsheets/d/14Bd19lYaqBhU8_DElYkX7l4wRkHqqCUFNJY4AfY3kHU/edit?usp=sharing  #gid=0"",""фіз особи new!relations_name""),6,FALSE)
,
(IF
(
G615=""юридична особа""
,
VLOOKUP(H6"&amp;"15,IMPORTRANGE(""https://docs.google.com/spreadsheets/d/14Bd19lYaqBhU8_DElYkX7l4wRkHqqCUFNJY4AfY3kHU/edit?usp=sharing  #gid=0"",""фіз особи new!relations_name_uo""),7,FALSE)
,
)
))"),"ШАТРОВ Олександр Євгенович")</f>
        <v>ШАТРОВ Олександр Євгенович</v>
      </c>
      <c r="J614" s="7" t="s">
        <v>11</v>
      </c>
    </row>
    <row r="615" spans="1:10" ht="13.2">
      <c r="A615" s="7">
        <v>614</v>
      </c>
      <c r="B615" s="7">
        <v>1</v>
      </c>
      <c r="C615" s="7" t="s">
        <v>10</v>
      </c>
      <c r="D615" s="7">
        <v>246</v>
      </c>
      <c r="E615" s="7" t="s">
        <v>11</v>
      </c>
      <c r="F615" s="8" t="str">
        <f ca="1">IFERROR(__xludf.DUMMYFUNCTION("IF
(
C616=""фізична особа""
,
VLOOKUP(D616,IMPORTRANGE(""https://docs.google.com/spreadsheets/d/14Bd19lYaqBhU8_DElYkX7l4wRkHqqCUFNJY4AfY3kHU/edit?usp=sharing  #gid=0"",""фіз особи new!relations_name""),6,FALSE)
,
(IF
(
C616=""юридична особа""
,
VLOOKUP(D6"&amp;"16,IMPORTRANGE(""https://docs.google.com/spreadsheets/d/14Bd19lYaqBhU8_DElYkX7l4wRkHqqCUFNJY4AfY3kHU/edit?usp=sharing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5" s="7" t="s">
        <v>10</v>
      </c>
      <c r="H615" s="7">
        <v>79</v>
      </c>
      <c r="I615" s="8" t="str">
        <f ca="1">IFERROR(__xludf.DUMMYFUNCTION("IF
(
G616=""фізична особа""
,
VLOOKUP(H616,IMPORTRANGE(""https://docs.google.com/spreadsheets/d/14Bd19lYaqBhU8_DElYkX7l4wRkHqqCUFNJY4AfY3kHU/edit?usp=sharing  #gid=0"",""фіз особи new!relations_name""),6,FALSE)
,
(IF
(
G616=""юридична особа""
,
VLOOKUP(H6"&amp;"16,IMPORTRANGE(""https://docs.google.com/spreadsheets/d/14Bd19lYaqBhU8_DElYkX7l4wRkHqqCUFNJY4AfY3kHU/edit?usp=sharing  #gid=0"",""фіз особи new!relations_name_uo""),7,FALSE)
,
)
))"),"ЗАЙЦЕВ Олександр Миколайович")</f>
        <v>ЗАЙЦЕВ Олександр Миколайович</v>
      </c>
      <c r="J615" s="7" t="s">
        <v>11</v>
      </c>
    </row>
    <row r="616" spans="1:10" ht="13.2">
      <c r="A616" s="7">
        <v>615</v>
      </c>
      <c r="B616" s="7">
        <v>1</v>
      </c>
      <c r="C616" s="7" t="s">
        <v>10</v>
      </c>
      <c r="D616" s="7">
        <v>246</v>
      </c>
      <c r="E616" s="7" t="s">
        <v>11</v>
      </c>
      <c r="F616" s="8" t="str">
        <f ca="1">IFERROR(__xludf.DUMMYFUNCTION("IF
(
C617=""фізична особа""
,
VLOOKUP(D617,IMPORTRANGE(""https://docs.google.com/spreadsheets/d/14Bd19lYaqBhU8_DElYkX7l4wRkHqqCUFNJY4AfY3kHU/edit?usp=sharing  #gid=0"",""фіз особи new!relations_name""),6,FALSE)
,
(IF
(
C617=""юридична особа""
,
VLOOKUP(D6"&amp;"17,IMPORTRANGE(""https://docs.google.com/spreadsheets/d/14Bd19lYaqBhU8_DElYkX7l4wRkHqqCUFNJY4AfY3kHU/edit?usp=sharing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6" s="7" t="s">
        <v>10</v>
      </c>
      <c r="H616" s="7">
        <v>0</v>
      </c>
      <c r="I616" s="8" t="str">
        <f ca="1">IFERROR(__xludf.DUMMYFUNCTION("IF
(
G617=""фізична особа""
,
VLOOKUP(H617,IMPORTRANGE(""https://docs.google.com/spreadsheets/d/14Bd19lYaqBhU8_DElYkX7l4wRkHqqCUFNJY4AfY3kHU/edit?usp=sharing  #gid=0"",""фіз особи new!relations_name""),6,FALSE)
,
(IF
(
G617=""юридична особа""
,
VLOOKUP(H6"&amp;"17,IMPORTRANGE(""https://docs.google.com/spreadsheets/d/14Bd19lYaqBhU8_DElYkX7l4wRkHqqCUFNJY4AfY3kHU/edit?usp=sharing  #gid=0"",""фіз особи new!relations_name_uo""),7,FALSE)
,
)
))"),"#N/A")</f>
        <v>#N/A</v>
      </c>
      <c r="J616" s="7" t="s">
        <v>11</v>
      </c>
    </row>
    <row r="617" spans="1:10" ht="13.2">
      <c r="A617" s="7">
        <v>616</v>
      </c>
      <c r="B617" s="7">
        <v>1</v>
      </c>
      <c r="C617" s="7" t="s">
        <v>10</v>
      </c>
      <c r="D617" s="7">
        <v>246</v>
      </c>
      <c r="E617" s="7" t="s">
        <v>11</v>
      </c>
      <c r="F617" s="8" t="str">
        <f ca="1">IFERROR(__xludf.DUMMYFUNCTION("IF
(
C618=""фізична особа""
,
VLOOKUP(D618,IMPORTRANGE(""https://docs.google.com/spreadsheets/d/14Bd19lYaqBhU8_DElYkX7l4wRkHqqCUFNJY4AfY3kHU/edit?usp=sharing  #gid=0"",""фіз особи new!relations_name""),6,FALSE)
,
(IF
(
C618=""юридична особа""
,
VLOOKUP(D6"&amp;"18,IMPORTRANGE(""https://docs.google.com/spreadsheets/d/14Bd19lYaqBhU8_DElYkX7l4wRkHqqCUFNJY4AfY3kHU/edit?usp=sharing  #gid=0"",""фіз особи new!relations_name_uo""),7,FALSE)
,
)
))"),"ОЛЕКСІН Олексій Іванович")</f>
        <v>ОЛЕКСІН Олексій Іванович</v>
      </c>
      <c r="G617" s="7" t="s">
        <v>10</v>
      </c>
      <c r="H617" s="7">
        <v>0</v>
      </c>
      <c r="I617" s="8" t="str">
        <f ca="1">IFERROR(__xludf.DUMMYFUNCTION("IF
(
G618=""фізична особа""
,
VLOOKUP(H618,IMPORTRANGE(""https://docs.google.com/spreadsheets/d/14Bd19lYaqBhU8_DElYkX7l4wRkHqqCUFNJY4AfY3kHU/edit?usp=sharing  #gid=0"",""фіз особи new!relations_name""),6,FALSE)
,
(IF
(
G618=""юридична особа""
,
VLOOKUP(H6"&amp;"18,IMPORTRANGE(""https://docs.google.com/spreadsheets/d/14Bd19lYaqBhU8_DElYkX7l4wRkHqqCUFNJY4AfY3kHU/edit?usp=sharing  #gid=0"",""фіз особи new!relations_name_uo""),7,FALSE)
,
)
))"),"#N/A")</f>
        <v>#N/A</v>
      </c>
      <c r="J617" s="7" t="s">
        <v>11</v>
      </c>
    </row>
    <row r="618" spans="1:10" ht="13.2">
      <c r="A618" s="7">
        <v>617</v>
      </c>
      <c r="B618" s="7">
        <v>1</v>
      </c>
      <c r="C618" s="7" t="s">
        <v>10</v>
      </c>
      <c r="D618" s="7">
        <v>248</v>
      </c>
      <c r="E618" s="7" t="s">
        <v>24</v>
      </c>
      <c r="F618" s="8" t="str">
        <f ca="1">IFERROR(__xludf.DUMMYFUNCTION("IF
(
C619=""фізична особа""
,
VLOOKUP(D619,IMPORTRANGE(""https://docs.google.com/spreadsheets/d/14Bd19lYaqBhU8_DElYkX7l4wRkHqqCUFNJY4AfY3kHU/edit?usp=sharing  #gid=0"",""фіз особи new!relations_name""),6,FALSE)
,
(IF
(
C619=""юридична особа""
,
VLOOKUP(D6"&amp;"19,IMPORTRANGE(""https://docs.google.com/spreadsheets/d/14Bd19lYaqBhU8_DElYkX7l4wRkHqqCUFNJY4AfY3kHU/edit?usp=sharing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G618" s="7" t="s">
        <v>10</v>
      </c>
      <c r="H618" s="7">
        <v>0</v>
      </c>
      <c r="I618" s="8" t="str">
        <f ca="1">IFERROR(__xludf.DUMMYFUNCTION("IF
(
G619=""фізична особа""
,
VLOOKUP(H619,IMPORTRANGE(""https://docs.google.com/spreadsheets/d/14Bd19lYaqBhU8_DElYkX7l4wRkHqqCUFNJY4AfY3kHU/edit?usp=sharing  #gid=0"",""фіз особи new!relations_name""),6,FALSE)
,
(IF
(
G619=""юридична особа""
,
VLOOKUP(H6"&amp;"19,IMPORTRANGE(""https://docs.google.com/spreadsheets/d/14Bd19lYaqBhU8_DElYkX7l4wRkHqqCUFNJY4AfY3kHU/edit?usp=sharing  #gid=0"",""фіз особи new!relations_name_uo""),7,FALSE)
,
)
))"),"#N/A")</f>
        <v>#N/A</v>
      </c>
      <c r="J618" s="7" t="s">
        <v>26</v>
      </c>
    </row>
    <row r="619" spans="1:10" ht="13.2">
      <c r="A619" s="7">
        <v>618</v>
      </c>
      <c r="B619" s="7">
        <v>1</v>
      </c>
      <c r="C619" s="7" t="s">
        <v>10</v>
      </c>
      <c r="D619" s="7">
        <v>249</v>
      </c>
      <c r="E619" s="7" t="s">
        <v>14</v>
      </c>
      <c r="F619" s="8" t="str">
        <f ca="1">IFERROR(__xludf.DUMMYFUNCTION("IF
(
C620=""фізична особа""
,
VLOOKUP(D620,IMPORTRANGE(""https://docs.google.com/spreadsheets/d/14Bd19lYaqBhU8_DElYkX7l4wRkHqqCUFNJY4AfY3kHU/edit?usp=sharing  #gid=0"",""фіз особи new!relations_name""),6,FALSE)
,
(IF
(
C620=""юридична особа""
,
VLOOKUP(D6"&amp;"20,IMPORTRANGE(""https://docs.google.com/spreadsheets/d/14Bd19lYaqBhU8_DElYkX7l4wRkHqqCUFNJY4AfY3kHU/edit?usp=sharing  #gid=0"",""фіз особи new!relations_name_uo""),7,FALSE)
,
)
))"),"РЕВЕНКО Євген Васильович")</f>
        <v>РЕВЕНКО Євген Васильович</v>
      </c>
      <c r="G619" s="7" t="s">
        <v>10</v>
      </c>
      <c r="H619" s="7">
        <v>4353</v>
      </c>
      <c r="I619" s="8" t="str">
        <f ca="1">IFERROR(__xludf.DUMMYFUNCTION("IF
(
G620=""фізична особа""
,
VLOOKUP(H620,IMPORTRANGE(""https://docs.google.com/spreadsheets/d/14Bd19lYaqBhU8_DElYkX7l4wRkHqqCUFNJY4AfY3kHU/edit?usp=sharing  #gid=0"",""фіз особи new!relations_name""),6,FALSE)
,
(IF
(
G620=""юридична особа""
,
VLOOKUP(H6"&amp;"20,IMPORTRANGE(""https://docs.google.com/spreadsheets/d/14Bd19lYaqBhU8_DElYkX7l4wRkHqqCUFNJY4AfY3kHU/edit?usp=sharing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J619" s="7" t="s">
        <v>15</v>
      </c>
    </row>
    <row r="620" spans="1:10" ht="13.2">
      <c r="A620" s="7">
        <v>619</v>
      </c>
      <c r="B620" s="7">
        <v>1</v>
      </c>
      <c r="C620" s="7" t="s">
        <v>10</v>
      </c>
      <c r="D620" s="7">
        <v>248</v>
      </c>
      <c r="E620" s="7" t="s">
        <v>12</v>
      </c>
      <c r="F620" s="8" t="str">
        <f ca="1">IFERROR(__xludf.DUMMYFUNCTION("IF
(
C621=""фізична особа""
,
VLOOKUP(D621,IMPORTRANGE(""https://docs.google.com/spreadsheets/d/14Bd19lYaqBhU8_DElYkX7l4wRkHqqCUFNJY4AfY3kHU/edit?usp=sharing  #gid=0"",""фіз особи new!relations_name""),6,FALSE)
,
(IF
(
C621=""юридична особа""
,
VLOOKUP(D6"&amp;"21,IMPORTRANGE(""https://docs.google.com/spreadsheets/d/14Bd19lYaqBhU8_DElYkX7l4wRkHqqCUFNJY4AfY3kHU/edit?usp=sharing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G620" s="7" t="s">
        <v>10</v>
      </c>
      <c r="H620" s="7">
        <v>4354</v>
      </c>
      <c r="I620" s="8" t="str">
        <f ca="1">IFERROR(__xludf.DUMMYFUNCTION("IF
(
G621=""фізична особа""
,
VLOOKUP(H621,IMPORTRANGE(""https://docs.google.com/spreadsheets/d/14Bd19lYaqBhU8_DElYkX7l4wRkHqqCUFNJY4AfY3kHU/edit?usp=sharing  #gid=0"",""фіз особи new!relations_name""),6,FALSE)
,
(IF
(
G621=""юридична особа""
,
VLOOKUP(H6"&amp;"21,IMPORTRANGE(""https://docs.google.com/spreadsheets/d/14Bd19lYaqBhU8_DElYkX7l4wRkHqqCUFNJY4AfY3kHU/edit?usp=sharing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J620" s="7" t="s">
        <v>13</v>
      </c>
    </row>
    <row r="621" spans="1:10" ht="13.2">
      <c r="A621" s="7">
        <v>620</v>
      </c>
      <c r="B621" s="7">
        <v>1</v>
      </c>
      <c r="C621" s="7" t="s">
        <v>10</v>
      </c>
      <c r="D621" s="7">
        <v>248</v>
      </c>
      <c r="E621" s="7" t="s">
        <v>12</v>
      </c>
      <c r="F621" s="8" t="str">
        <f ca="1">IFERROR(__xludf.DUMMYFUNCTION("IF
(
C622=""фізична особа""
,
VLOOKUP(D622,IMPORTRANGE(""https://docs.google.com/spreadsheets/d/14Bd19lYaqBhU8_DElYkX7l4wRkHqqCUFNJY4AfY3kHU/edit?usp=sharing  #gid=0"",""фіз особи new!relations_name""),6,FALSE)
,
(IF
(
C622=""юридична особа""
,
VLOOKUP(D6"&amp;"22,IMPORTRANGE(""https://docs.google.com/spreadsheets/d/14Bd19lYaqBhU8_DElYkX7l4wRkHqqCUFNJY4AfY3kHU/edit?usp=sharing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G621" s="7" t="s">
        <v>10</v>
      </c>
      <c r="H621" s="7">
        <v>4355</v>
      </c>
      <c r="I621" s="8" t="str">
        <f ca="1">IFERROR(__xludf.DUMMYFUNCTION("IF
(
G622=""фізична особа""
,
VLOOKUP(H622,IMPORTRANGE(""https://docs.google.com/spreadsheets/d/14Bd19lYaqBhU8_DElYkX7l4wRkHqqCUFNJY4AfY3kHU/edit?usp=sharing  #gid=0"",""фіз особи new!relations_name""),6,FALSE)
,
(IF
(
G622=""юридична особа""
,
VLOOKUP(H6"&amp;"22,IMPORTRANGE(""https://docs.google.com/spreadsheets/d/14Bd19lYaqBhU8_DElYkX7l4wRkHqqCUFNJY4AfY3kHU/edit?usp=sharing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J621" s="7" t="s">
        <v>13</v>
      </c>
    </row>
    <row r="622" spans="1:10" ht="13.2">
      <c r="A622" s="7">
        <v>621</v>
      </c>
      <c r="B622" s="7">
        <v>1</v>
      </c>
      <c r="C622" s="7" t="s">
        <v>10</v>
      </c>
      <c r="D622" s="7">
        <v>248</v>
      </c>
      <c r="E622" s="7" t="s">
        <v>19</v>
      </c>
      <c r="F622" s="8" t="str">
        <f ca="1">IFERROR(__xludf.DUMMYFUNCTION("IF
(
C623=""фізична особа""
,
VLOOKUP(D623,IMPORTRANGE(""https://docs.google.com/spreadsheets/d/14Bd19lYaqBhU8_DElYkX7l4wRkHqqCUFNJY4AfY3kHU/edit?usp=sharing  #gid=0"",""фіз особи new!relations_name""),6,FALSE)
,
(IF
(
C623=""юридична особа""
,
VLOOKUP(D6"&amp;"23,IMPORTRANGE(""https://docs.google.com/spreadsheets/d/14Bd19lYaqBhU8_DElYkX7l4wRkHqqCUFNJY4AfY3kHU/edit?usp=sharing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G622" s="7" t="s">
        <v>10</v>
      </c>
      <c r="H622" s="7">
        <v>4356</v>
      </c>
      <c r="I622" s="8" t="str">
        <f ca="1">IFERROR(__xludf.DUMMYFUNCTION("IF
(
G623=""фізична особа""
,
VLOOKUP(H623,IMPORTRANGE(""https://docs.google.com/spreadsheets/d/14Bd19lYaqBhU8_DElYkX7l4wRkHqqCUFNJY4AfY3kHU/edit?usp=sharing  #gid=0"",""фіз особи new!relations_name""),6,FALSE)
,
(IF
(
G623=""юридична особа""
,
VLOOKUP(H6"&amp;"23,IMPORTRANGE(""https://docs.google.com/spreadsheets/d/14Bd19lYaqBhU8_DElYkX7l4wRkHqqCUFNJY4AfY3kHU/edit?usp=sharing  #gid=0"",""фіз особи new!relations_name_uo""),7,FALSE)
,
)
))"),"САВЧЕНКО Михайло Олександрович")</f>
        <v>САВЧЕНКО Михайло Олександрович</v>
      </c>
      <c r="J622" s="7" t="s">
        <v>20</v>
      </c>
    </row>
    <row r="623" spans="1:10" ht="13.2">
      <c r="A623" s="7">
        <v>622</v>
      </c>
      <c r="B623" s="7">
        <v>1</v>
      </c>
      <c r="C623" s="7" t="s">
        <v>10</v>
      </c>
      <c r="D623" s="7">
        <v>248</v>
      </c>
      <c r="E623" s="7" t="s">
        <v>18</v>
      </c>
      <c r="F623" s="8" t="str">
        <f ca="1">IFERROR(__xludf.DUMMYFUNCTION("IF
(
C624=""фізична особа""
,
VLOOKUP(D624,IMPORTRANGE(""https://docs.google.com/spreadsheets/d/14Bd19lYaqBhU8_DElYkX7l4wRkHqqCUFNJY4AfY3kHU/edit?usp=sharing  #gid=0"",""фіз особи new!relations_name""),6,FALSE)
,
(IF
(
C624=""юридична особа""
,
VLOOKUP(D6"&amp;"24,IMPORTRANGE(""https://docs.google.com/spreadsheets/d/14Bd19lYaqBhU8_DElYkX7l4wRkHqqCUFNJY4AfY3kHU/edit?usp=sharing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G623" s="7" t="s">
        <v>10</v>
      </c>
      <c r="H623" s="7">
        <v>0</v>
      </c>
      <c r="I623" s="8" t="str">
        <f ca="1">IFERROR(__xludf.DUMMYFUNCTION("IF
(
G624=""фізична особа""
,
VLOOKUP(H624,IMPORTRANGE(""https://docs.google.com/spreadsheets/d/14Bd19lYaqBhU8_DElYkX7l4wRkHqqCUFNJY4AfY3kHU/edit?usp=sharing  #gid=0"",""фіз особи new!relations_name""),6,FALSE)
,
(IF
(
G624=""юридична особа""
,
VLOOKUP(H6"&amp;"24,IMPORTRANGE(""https://docs.google.com/spreadsheets/d/14Bd19lYaqBhU8_DElYkX7l4wRkHqqCUFNJY4AfY3kHU/edit?usp=sharing  #gid=0"",""фіз особи new!relations_name_uo""),7,FALSE)
,
)
))"),"#N/A")</f>
        <v>#N/A</v>
      </c>
      <c r="J623" s="7" t="s">
        <v>18</v>
      </c>
    </row>
    <row r="624" spans="1:10" ht="13.2">
      <c r="A624" s="7">
        <v>623</v>
      </c>
      <c r="B624" s="7">
        <v>1</v>
      </c>
      <c r="C624" s="7" t="s">
        <v>10</v>
      </c>
      <c r="D624" s="7">
        <v>249</v>
      </c>
      <c r="E624" s="7" t="s">
        <v>14</v>
      </c>
      <c r="F624" s="8" t="str">
        <f ca="1">IFERROR(__xludf.DUMMYFUNCTION("IF
(
C625=""фізична особа""
,
VLOOKUP(D625,IMPORTRANGE(""https://docs.google.com/spreadsheets/d/14Bd19lYaqBhU8_DElYkX7l4wRkHqqCUFNJY4AfY3kHU/edit?usp=sharing  #gid=0"",""фіз особи new!relations_name""),6,FALSE)
,
(IF
(
C625=""юридична особа""
,
VLOOKUP(D6"&amp;"25,IMPORTRANGE(""https://docs.google.com/spreadsheets/d/14Bd19lYaqBhU8_DElYkX7l4wRkHqqCUFNJY4AfY3kHU/edit?usp=sharing  #gid=0"",""фіз особи new!relations_name_uo""),7,FALSE)
,
)
))"),"РЕВЕНКО Євген Васильович")</f>
        <v>РЕВЕНКО Євген Васильович</v>
      </c>
      <c r="G624" s="7" t="s">
        <v>10</v>
      </c>
      <c r="H624" s="7">
        <v>4716</v>
      </c>
      <c r="I624" s="8" t="str">
        <f ca="1">IFERROR(__xludf.DUMMYFUNCTION("IF
(
G625=""фізична особа""
,
VLOOKUP(H625,IMPORTRANGE(""https://docs.google.com/spreadsheets/d/14Bd19lYaqBhU8_DElYkX7l4wRkHqqCUFNJY4AfY3kHU/edit?usp=sharing  #gid=0"",""фіз особи new!relations_name""),6,FALSE)
,
(IF
(
G625=""юридична особа""
,
VLOOKUP(H6"&amp;"25,IMPORTRANGE(""https://docs.google.com/spreadsheets/d/14Bd19lYaqBhU8_DElYkX7l4wRkHqqCUFNJY4AfY3kHU/edit?usp=sharing  #gid=0"",""фіз особи new!relations_name_uo""),7,FALSE)
,
)
))"),"ЛИСТОВА Єлизавета Леонідівна")</f>
        <v>ЛИСТОВА Єлизавета Леонідівна</v>
      </c>
      <c r="J624" s="7" t="s">
        <v>15</v>
      </c>
    </row>
    <row r="625" spans="1:10" ht="13.2">
      <c r="A625" s="7">
        <v>624</v>
      </c>
      <c r="B625" s="7">
        <v>1</v>
      </c>
      <c r="C625" s="7" t="s">
        <v>10</v>
      </c>
      <c r="D625" s="7">
        <v>249</v>
      </c>
      <c r="E625" s="7" t="s">
        <v>12</v>
      </c>
      <c r="F625" s="8" t="str">
        <f ca="1">IFERROR(__xludf.DUMMYFUNCTION("IF
(
C626=""фізична особа""
,
VLOOKUP(D626,IMPORTRANGE(""https://docs.google.com/spreadsheets/d/14Bd19lYaqBhU8_DElYkX7l4wRkHqqCUFNJY4AfY3kHU/edit?usp=sharing  #gid=0"",""фіз особи new!relations_name""),6,FALSE)
,
(IF
(
C626=""юридична особа""
,
VLOOKUP(D6"&amp;"26,IMPORTRANGE(""https://docs.google.com/spreadsheets/d/14Bd19lYaqBhU8_DElYkX7l4wRkHqqCUFNJY4AfY3kHU/edit?usp=sharing  #gid=0"",""фіз особи new!relations_name_uo""),7,FALSE)
,
)
))"),"РЕВЕНКО Євген Васильович")</f>
        <v>РЕВЕНКО Євген Васильович</v>
      </c>
      <c r="G625" s="7" t="s">
        <v>10</v>
      </c>
      <c r="H625" s="7">
        <v>4717</v>
      </c>
      <c r="I625" s="8" t="str">
        <f ca="1">IFERROR(__xludf.DUMMYFUNCTION("IF
(
G626=""фізична особа""
,
VLOOKUP(H626,IMPORTRANGE(""https://docs.google.com/spreadsheets/d/14Bd19lYaqBhU8_DElYkX7l4wRkHqqCUFNJY4AfY3kHU/edit?usp=sharing  #gid=0"",""фіз особи new!relations_name""),6,FALSE)
,
(IF
(
G626=""юридична особа""
,
VLOOKUP(H6"&amp;"26,IMPORTRANGE(""https://docs.google.com/spreadsheets/d/14Bd19lYaqBhU8_DElYkX7l4wRkHqqCUFNJY4AfY3kHU/edit?usp=sharing  #gid=0"",""фіз особи new!relations_name_uo""),7,FALSE)
,
)
))"),"РЕВЕНКО Віра Євгеніївна")</f>
        <v>РЕВЕНКО Віра Євгеніївна</v>
      </c>
      <c r="J625" s="7" t="s">
        <v>13</v>
      </c>
    </row>
    <row r="626" spans="1:10" ht="13.2">
      <c r="A626" s="7">
        <v>625</v>
      </c>
      <c r="B626" s="7">
        <v>1</v>
      </c>
      <c r="C626" s="7" t="s">
        <v>10</v>
      </c>
      <c r="D626" s="7">
        <v>250</v>
      </c>
      <c r="E626" s="7" t="s">
        <v>12</v>
      </c>
      <c r="F626" s="8" t="str">
        <f ca="1">IFERROR(__xludf.DUMMYFUNCTION("IF
(
C627=""фізична особа""
,
VLOOKUP(D627,IMPORTRANGE(""https://docs.google.com/spreadsheets/d/14Bd19lYaqBhU8_DElYkX7l4wRkHqqCUFNJY4AfY3kHU/edit?usp=sharing  #gid=0"",""фіз особи new!relations_name""),6,FALSE)
,
(IF
(
C627=""юридична особа""
,
VLOOKUP(D6"&amp;"27,IMPORTRANGE(""https://docs.google.com/spreadsheets/d/14Bd19lYaqBhU8_DElYkX7l4wRkHqqCUFNJY4AfY3kHU/edit?usp=sharing  #gid=0"",""фіз особи new!relations_name_uo""),7,FALSE)
,
)
))"),"ЛЕБЕДЄВ Євген Вікторович")</f>
        <v>ЛЕБЕДЄВ Євген Вікторович</v>
      </c>
      <c r="G626" s="7" t="s">
        <v>10</v>
      </c>
      <c r="H626" s="7">
        <v>8840</v>
      </c>
      <c r="I626" s="8" t="str">
        <f ca="1">IFERROR(__xludf.DUMMYFUNCTION("IF
(
G627=""фізична особа""
,
VLOOKUP(H627,IMPORTRANGE(""https://docs.google.com/spreadsheets/d/14Bd19lYaqBhU8_DElYkX7l4wRkHqqCUFNJY4AfY3kHU/edit?usp=sharing  #gid=0"",""фіз особи new!relations_name""),6,FALSE)
,
(IF
(
G627=""юридична особа""
,
VLOOKUP(H6"&amp;"27,IMPORTRANGE(""https://docs.google.com/spreadsheets/d/14Bd19lYaqBhU8_DElYkX7l4wRkHqqCUFNJY4AfY3kHU/edit?usp=sharing  #gid=0"",""фіз особи new!relations_name_uo""),7,FALSE)
,
)
))"),"ЛЕБЕДЄВ Віталій Євгенович")</f>
        <v>ЛЕБЕДЄВ Віталій Євгенович</v>
      </c>
      <c r="J626" s="7" t="s">
        <v>17</v>
      </c>
    </row>
    <row r="627" spans="1:10" ht="13.2">
      <c r="A627" s="7">
        <v>626</v>
      </c>
      <c r="B627" s="7">
        <v>1</v>
      </c>
      <c r="C627" s="7" t="s">
        <v>10</v>
      </c>
      <c r="D627" s="7">
        <v>250</v>
      </c>
      <c r="E627" s="7" t="s">
        <v>11</v>
      </c>
      <c r="F627" s="8" t="str">
        <f ca="1">IFERROR(__xludf.DUMMYFUNCTION("IF
(
C628=""фізична особа""
,
VLOOKUP(D628,IMPORTRANGE(""https://docs.google.com/spreadsheets/d/14Bd19lYaqBhU8_DElYkX7l4wRkHqqCUFNJY4AfY3kHU/edit?usp=sharing  #gid=0"",""фіз особи new!relations_name""),6,FALSE)
,
(IF
(
C628=""юридична особа""
,
VLOOKUP(D6"&amp;"28,IMPORTRANGE(""https://docs.google.com/spreadsheets/d/14Bd19lYaqBhU8_DElYkX7l4wRkHqqCUFNJY4AfY3kHU/edit?usp=sharing  #gid=0"",""фіз особи new!relations_name_uo""),7,FALSE)
,
)
))"),"ЛЕБЕДЄВ Євген Вікторович")</f>
        <v>ЛЕБЕДЄВ Євген Вікторович</v>
      </c>
      <c r="G627" s="7" t="s">
        <v>10</v>
      </c>
      <c r="H627" s="7">
        <v>0</v>
      </c>
      <c r="I627" s="8" t="str">
        <f ca="1">IFERROR(__xludf.DUMMYFUNCTION("IF
(
G628=""фізична особа""
,
VLOOKUP(H628,IMPORTRANGE(""https://docs.google.com/spreadsheets/d/14Bd19lYaqBhU8_DElYkX7l4wRkHqqCUFNJY4AfY3kHU/edit?usp=sharing  #gid=0"",""фіз особи new!relations_name""),6,FALSE)
,
(IF
(
G628=""юридична особа""
,
VLOOKUP(H6"&amp;"28,IMPORTRANGE(""https://docs.google.com/spreadsheets/d/14Bd19lYaqBhU8_DElYkX7l4wRkHqqCUFNJY4AfY3kHU/edit?usp=sharing  #gid=0"",""фіз особи new!relations_name_uo""),7,FALSE)
,
)
))"),"#N/A")</f>
        <v>#N/A</v>
      </c>
      <c r="J627" s="7" t="s">
        <v>11</v>
      </c>
    </row>
    <row r="628" spans="1:10" ht="13.2">
      <c r="A628" s="7">
        <v>627</v>
      </c>
      <c r="B628" s="7">
        <v>1</v>
      </c>
      <c r="C628" s="7" t="s">
        <v>10</v>
      </c>
      <c r="D628" s="7">
        <v>250</v>
      </c>
      <c r="E628" s="7" t="s">
        <v>30</v>
      </c>
      <c r="F628" s="8" t="str">
        <f ca="1">IFERROR(__xludf.DUMMYFUNCTION("IF
(
C629=""фізична особа""
,
VLOOKUP(D629,IMPORTRANGE(""https://docs.google.com/spreadsheets/d/14Bd19lYaqBhU8_DElYkX7l4wRkHqqCUFNJY4AfY3kHU/edit?usp=sharing  #gid=0"",""фіз особи new!relations_name""),6,FALSE)
,
(IF
(
C629=""юридична особа""
,
VLOOKUP(D6"&amp;"29,IMPORTRANGE(""https://docs.google.com/spreadsheets/d/14Bd19lYaqBhU8_DElYkX7l4wRkHqqCUFNJY4AfY3kHU/edit?usp=sharing  #gid=0"",""фіз особи new!relations_name_uo""),7,FALSE)
,
)
))"),"ЛЕБЕДЄВ Євген Вікторович")</f>
        <v>ЛЕБЕДЄВ Євген Вікторович</v>
      </c>
      <c r="G628" s="7" t="s">
        <v>10</v>
      </c>
      <c r="H628" s="7">
        <v>0</v>
      </c>
      <c r="I628" s="8" t="str">
        <f ca="1">IFERROR(__xludf.DUMMYFUNCTION("IF
(
G629=""фізична особа""
,
VLOOKUP(H629,IMPORTRANGE(""https://docs.google.com/spreadsheets/d/14Bd19lYaqBhU8_DElYkX7l4wRkHqqCUFNJY4AfY3kHU/edit?usp=sharing  #gid=0"",""фіз особи new!relations_name""),6,FALSE)
,
(IF
(
G629=""юридична особа""
,
VLOOKUP(H6"&amp;"29,IMPORTRANGE(""https://docs.google.com/spreadsheets/d/14Bd19lYaqBhU8_DElYkX7l4wRkHqqCUFNJY4AfY3kHU/edit?usp=sharing  #gid=0"",""фіз особи new!relations_name_uo""),7,FALSE)
,
)
))"),"#N/A")</f>
        <v>#N/A</v>
      </c>
      <c r="J628" s="7" t="s">
        <v>30</v>
      </c>
    </row>
    <row r="629" spans="1:10" ht="13.2">
      <c r="A629" s="7">
        <v>628</v>
      </c>
      <c r="B629" s="7">
        <v>1</v>
      </c>
      <c r="C629" s="7" t="s">
        <v>10</v>
      </c>
      <c r="D629" s="7">
        <v>250</v>
      </c>
      <c r="E629" s="7" t="s">
        <v>11</v>
      </c>
      <c r="F629" s="8" t="str">
        <f ca="1">IFERROR(__xludf.DUMMYFUNCTION("IF
(
C630=""фізична особа""
,
VLOOKUP(D630,IMPORTRANGE(""https://docs.google.com/spreadsheets/d/14Bd19lYaqBhU8_DElYkX7l4wRkHqqCUFNJY4AfY3kHU/edit?usp=sharing  #gid=0"",""фіз особи new!relations_name""),6,FALSE)
,
(IF
(
C630=""юридична особа""
,
VLOOKUP(D6"&amp;"30,IMPORTRANGE(""https://docs.google.com/spreadsheets/d/14Bd19lYaqBhU8_DElYkX7l4wRkHqqCUFNJY4AfY3kHU/edit?usp=sharing  #gid=0"",""фіз особи new!relations_name_uo""),7,FALSE)
,
)
))"),"ЛЕБЕДЄВ Євген Вікторович")</f>
        <v>ЛЕБЕДЄВ Євген Вікторович</v>
      </c>
      <c r="G629" s="7" t="s">
        <v>10</v>
      </c>
      <c r="H629" s="7">
        <v>0</v>
      </c>
      <c r="I629" s="8" t="str">
        <f ca="1">IFERROR(__xludf.DUMMYFUNCTION("IF
(
G630=""фізична особа""
,
VLOOKUP(H630,IMPORTRANGE(""https://docs.google.com/spreadsheets/d/14Bd19lYaqBhU8_DElYkX7l4wRkHqqCUFNJY4AfY3kHU/edit?usp=sharing  #gid=0"",""фіз особи new!relations_name""),6,FALSE)
,
(IF
(
G630=""юридична особа""
,
VLOOKUP(H6"&amp;"30,IMPORTRANGE(""https://docs.google.com/spreadsheets/d/14Bd19lYaqBhU8_DElYkX7l4wRkHqqCUFNJY4AfY3kHU/edit?usp=sharing  #gid=0"",""фіз особи new!relations_name_uo""),7,FALSE)
,
)
))"),"#N/A")</f>
        <v>#N/A</v>
      </c>
      <c r="J629" s="7" t="s">
        <v>11</v>
      </c>
    </row>
    <row r="630" spans="1:10" ht="13.2">
      <c r="A630" s="7">
        <v>629</v>
      </c>
      <c r="B630" s="7">
        <v>1</v>
      </c>
      <c r="C630" s="7" t="s">
        <v>10</v>
      </c>
      <c r="D630" s="7">
        <v>251</v>
      </c>
      <c r="E630" s="7" t="s">
        <v>18</v>
      </c>
      <c r="F630" s="8" t="str">
        <f ca="1">IFERROR(__xludf.DUMMYFUNCTION("IF
(
C631=""фізична особа""
,
VLOOKUP(D631,IMPORTRANGE(""https://docs.google.com/spreadsheets/d/14Bd19lYaqBhU8_DElYkX7l4wRkHqqCUFNJY4AfY3kHU/edit?usp=sharing  #gid=0"",""фіз особи new!relations_name""),6,FALSE)
,
(IF
(
C631=""юридична особа""
,
VLOOKUP(D6"&amp;"31,IMPORTRANGE(""https://docs.google.com/spreadsheets/d/14Bd19lYaqBhU8_DElYkX7l4wRkHqqCUFNJY4AfY3kHU/edit?usp=sharing  #gid=0"",""фіз особи new!relations_name_uo""),7,FALSE)
,
)
))"),"МАРКОВ Євген Володимирович")</f>
        <v>МАРКОВ Євген Володимирович</v>
      </c>
      <c r="G630" s="7" t="s">
        <v>10</v>
      </c>
      <c r="H630" s="7">
        <v>8841</v>
      </c>
      <c r="I630" s="8" t="str">
        <f ca="1">IFERROR(__xludf.DUMMYFUNCTION("IF
(
G631=""фізична особа""
,
VLOOKUP(H631,IMPORTRANGE(""https://docs.google.com/spreadsheets/d/14Bd19lYaqBhU8_DElYkX7l4wRkHqqCUFNJY4AfY3kHU/edit?usp=sharing  #gid=0"",""фіз особи new!relations_name""),6,FALSE)
,
(IF
(
G631=""юридична особа""
,
VLOOKUP(H6"&amp;"31,IMPORTRANGE(""https://docs.google.com/spreadsheets/d/14Bd19lYaqBhU8_DElYkX7l4wRkHqqCUFNJY4AfY3kHU/edit?usp=sharing  #gid=0"",""фіз особи new!relations_name_uo""),7,FALSE)
,
)
))"),"МАРКОВ В'ячеслав Володимирович")</f>
        <v>МАРКОВ В'ячеслав Володимирович</v>
      </c>
      <c r="J630" s="7" t="s">
        <v>18</v>
      </c>
    </row>
    <row r="631" spans="1:10" ht="13.2">
      <c r="A631" s="7">
        <v>630</v>
      </c>
      <c r="B631" s="7">
        <v>1</v>
      </c>
      <c r="C631" s="7" t="s">
        <v>10</v>
      </c>
      <c r="D631" s="7">
        <v>251</v>
      </c>
      <c r="E631" s="7" t="s">
        <v>48</v>
      </c>
      <c r="F631" s="8" t="str">
        <f ca="1">IFERROR(__xludf.DUMMYFUNCTION("IF
(
C632=""фізична особа""
,
VLOOKUP(D632,IMPORTRANGE(""https://docs.google.com/spreadsheets/d/14Bd19lYaqBhU8_DElYkX7l4wRkHqqCUFNJY4AfY3kHU/edit?usp=sharing  #gid=0"",""фіз особи new!relations_name""),6,FALSE)
,
(IF
(
C632=""юридична особа""
,
VLOOKUP(D6"&amp;"32,IMPORTRANGE(""https://docs.google.com/spreadsheets/d/14Bd19lYaqBhU8_DElYkX7l4wRkHqqCUFNJY4AfY3kHU/edit?usp=sharing  #gid=0"",""фіз особи new!relations_name_uo""),7,FALSE)
,
)
))"),"МАРКОВ Євген Володимирович")</f>
        <v>МАРКОВ Євген Володимирович</v>
      </c>
      <c r="G631" s="7" t="s">
        <v>10</v>
      </c>
      <c r="H631" s="7">
        <v>20415</v>
      </c>
      <c r="I631" s="8" t="str">
        <f ca="1">IFERROR(__xludf.DUMMYFUNCTION("IF
(
G632=""фізична особа""
,
VLOOKUP(H632,IMPORTRANGE(""https://docs.google.com/spreadsheets/d/14Bd19lYaqBhU8_DElYkX7l4wRkHqqCUFNJY4AfY3kHU/edit?usp=sharing  #gid=0"",""фіз особи new!relations_name""),6,FALSE)
,
(IF
(
G632=""юридична особа""
,
VLOOKUP(H6"&amp;"32,IMPORTRANGE(""https://docs.google.com/spreadsheets/d/14Bd19lYaqBhU8_DElYkX7l4wRkHqqCUFNJY4AfY3kHU/edit?usp=sharing  #gid=0"",""фіз особи new!relations_name_uo""),7,FALSE)
,
)
))"),"ЧЕМЕЗОВ Олег Леонідович")</f>
        <v>ЧЕМЕЗОВ Олег Леонідович</v>
      </c>
      <c r="J631" s="7" t="s">
        <v>48</v>
      </c>
    </row>
    <row r="632" spans="1:10" ht="13.2">
      <c r="A632" s="7">
        <v>631</v>
      </c>
      <c r="B632" s="7">
        <v>1</v>
      </c>
      <c r="C632" s="7" t="s">
        <v>10</v>
      </c>
      <c r="D632" s="7">
        <v>252</v>
      </c>
      <c r="E632" s="7" t="s">
        <v>12</v>
      </c>
      <c r="F632" s="8" t="str">
        <f ca="1">IFERROR(__xludf.DUMMYFUNCTION("IF
(
C633=""фізична особа""
,
VLOOKUP(D633,IMPORTRANGE(""https://docs.google.com/spreadsheets/d/14Bd19lYaqBhU8_DElYkX7l4wRkHqqCUFNJY4AfY3kHU/edit?usp=sharing  #gid=0"",""фіз особи new!relations_name""),6,FALSE)
,
(IF
(
C633=""юридична особа""
,
VLOOKUP(D6"&amp;"33,IMPORTRANGE(""https://docs.google.com/spreadsheets/d/14Bd19lYaqBhU8_DElYkX7l4wRkHqqCUFNJY4AfY3kHU/edit?usp=sharing  #gid=0"",""фіз особи new!relations_name_uo""),7,FALSE)
,
)
))"),"МУХАМЕТШИН Фаріт Мубаракшович")</f>
        <v>МУХАМЕТШИН Фаріт Мубаракшович</v>
      </c>
      <c r="G632" s="7" t="s">
        <v>10</v>
      </c>
      <c r="H632" s="7">
        <v>4357</v>
      </c>
      <c r="I632" s="8" t="str">
        <f ca="1">IFERROR(__xludf.DUMMYFUNCTION("IF
(
G633=""фізична особа""
,
VLOOKUP(H633,IMPORTRANGE(""https://docs.google.com/spreadsheets/d/14Bd19lYaqBhU8_DElYkX7l4wRkHqqCUFNJY4AfY3kHU/edit?usp=sharing  #gid=0"",""фіз особи new!relations_name""),6,FALSE)
,
(IF
(
G633=""юридична особа""
,
VLOOKUP(H6"&amp;"33,IMPORTRANGE(""https://docs.google.com/spreadsheets/d/14Bd19lYaqBhU8_DElYkX7l4wRkHqqCUFNJY4AfY3kHU/edit?usp=sharing  #gid=0"",""фіз особи new!relations_name_uo""),7,FALSE)
,
)
))"),"МУХАМЕТШИН Марат Фарітович")</f>
        <v>МУХАМЕТШИН Марат Фарітович</v>
      </c>
      <c r="J632" s="7" t="s">
        <v>17</v>
      </c>
    </row>
    <row r="633" spans="1:10" ht="13.2">
      <c r="A633" s="7">
        <v>632</v>
      </c>
      <c r="B633" s="7">
        <v>1</v>
      </c>
      <c r="C633" s="7" t="s">
        <v>10</v>
      </c>
      <c r="D633" s="7">
        <v>253</v>
      </c>
      <c r="E633" s="7" t="s">
        <v>11</v>
      </c>
      <c r="F633" s="8" t="str">
        <f ca="1">IFERROR(__xludf.DUMMYFUNCTION("IF
(
C634=""фізична особа""
,
VLOOKUP(D634,IMPORTRANGE(""https://docs.google.com/spreadsheets/d/14Bd19lYaqBhU8_DElYkX7l4wRkHqqCUFNJY4AfY3kHU/edit?usp=sharing  #gid=0"",""фіз особи new!relations_name""),6,FALSE)
,
(IF
(
C634=""юридична особа""
,
VLOOKUP(D6"&amp;"34,IMPORTRANGE(""https://docs.google.com/spreadsheets/d/14Bd19lYaqBhU8_DElYkX7l4wRkHqqCUFNJY4AfY3kHU/edit?usp=sharing  #gid=0"",""фіз особи new!relations_name_uo""),7,FALSE)
,
)
))"),"ФЕДІН Юрій Сергійович")</f>
        <v>ФЕДІН Юрій Сергійович</v>
      </c>
      <c r="G633" s="7" t="s">
        <v>10</v>
      </c>
      <c r="H633" s="7">
        <v>377</v>
      </c>
      <c r="I633" s="8" t="str">
        <f ca="1">IFERROR(__xludf.DUMMYFUNCTION("IF
(
G634=""фізична особа""
,
VLOOKUP(H634,IMPORTRANGE(""https://docs.google.com/spreadsheets/d/14Bd19lYaqBhU8_DElYkX7l4wRkHqqCUFNJY4AfY3kHU/edit?usp=sharing  #gid=0"",""фіз особи new!relations_name""),6,FALSE)
,
(IF
(
G634=""юридична особа""
,
VLOOKUP(H6"&amp;"34,IMPORTRANGE(""https://docs.google.com/spreadsheets/d/14Bd19lYaqBhU8_DElYkX7l4wRkHqqCUFNJY4AfY3kHU/edit?usp=sharing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J633" s="7" t="s">
        <v>11</v>
      </c>
    </row>
    <row r="634" spans="1:10" ht="13.2">
      <c r="A634" s="7">
        <v>633</v>
      </c>
      <c r="B634" s="7">
        <v>1</v>
      </c>
      <c r="C634" s="7" t="s">
        <v>10</v>
      </c>
      <c r="D634" s="7">
        <v>253</v>
      </c>
      <c r="E634" s="7" t="s">
        <v>11</v>
      </c>
      <c r="F634" s="8" t="str">
        <f ca="1">IFERROR(__xludf.DUMMYFUNCTION("IF
(
C635=""фізична особа""
,
VLOOKUP(D635,IMPORTRANGE(""https://docs.google.com/spreadsheets/d/14Bd19lYaqBhU8_DElYkX7l4wRkHqqCUFNJY4AfY3kHU/edit?usp=sharing  #gid=0"",""фіз особи new!relations_name""),6,FALSE)
,
(IF
(
C635=""юридична особа""
,
VLOOKUP(D6"&amp;"35,IMPORTRANGE(""https://docs.google.com/spreadsheets/d/14Bd19lYaqBhU8_DElYkX7l4wRkHqqCUFNJY4AfY3kHU/edit?usp=sharing  #gid=0"",""фіз особи new!relations_name_uo""),7,FALSE)
,
)
))"),"ФЕДІН Юрій Сергійович")</f>
        <v>ФЕДІН Юрій Сергійович</v>
      </c>
      <c r="G634" s="7" t="s">
        <v>10</v>
      </c>
      <c r="H634" s="7">
        <v>735</v>
      </c>
      <c r="I634" s="8" t="str">
        <f ca="1">IFERROR(__xludf.DUMMYFUNCTION("IF
(
G635=""фізична особа""
,
VLOOKUP(H635,IMPORTRANGE(""https://docs.google.com/spreadsheets/d/14Bd19lYaqBhU8_DElYkX7l4wRkHqqCUFNJY4AfY3kHU/edit?usp=sharing  #gid=0"",""фіз особи new!relations_name""),6,FALSE)
,
(IF
(
G635=""юридична особа""
,
VLOOKUP(H6"&amp;"35,IMPORTRANGE(""https://docs.google.com/spreadsheets/d/14Bd19lYaqBhU8_DElYkX7l4wRkHqqCUFNJY4AfY3kHU/edit?usp=sharing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J634" s="7" t="s">
        <v>11</v>
      </c>
    </row>
    <row r="635" spans="1:10" ht="13.2">
      <c r="A635" s="7">
        <v>634</v>
      </c>
      <c r="B635" s="7">
        <v>1</v>
      </c>
      <c r="C635" s="7" t="s">
        <v>10</v>
      </c>
      <c r="D635" s="7">
        <v>253</v>
      </c>
      <c r="E635" s="7" t="s">
        <v>11</v>
      </c>
      <c r="F635" s="8" t="str">
        <f ca="1">IFERROR(__xludf.DUMMYFUNCTION("IF
(
C636=""фізична особа""
,
VLOOKUP(D636,IMPORTRANGE(""https://docs.google.com/spreadsheets/d/14Bd19lYaqBhU8_DElYkX7l4wRkHqqCUFNJY4AfY3kHU/edit?usp=sharing  #gid=0"",""фіз особи new!relations_name""),6,FALSE)
,
(IF
(
C636=""юридична особа""
,
VLOOKUP(D6"&amp;"36,IMPORTRANGE(""https://docs.google.com/spreadsheets/d/14Bd19lYaqBhU8_DElYkX7l4wRkHqqCUFNJY4AfY3kHU/edit?usp=sharing  #gid=0"",""фіз особи new!relations_name_uo""),7,FALSE)
,
)
))"),"ФЕДІН Юрій Сергійович")</f>
        <v>ФЕДІН Юрій Сергійович</v>
      </c>
      <c r="G635" s="7" t="s">
        <v>10</v>
      </c>
      <c r="H635" s="7">
        <v>280</v>
      </c>
      <c r="I635" s="8" t="str">
        <f ca="1">IFERROR(__xludf.DUMMYFUNCTION("IF
(
G636=""фізична особа""
,
VLOOKUP(H636,IMPORTRANGE(""https://docs.google.com/spreadsheets/d/14Bd19lYaqBhU8_DElYkX7l4wRkHqqCUFNJY4AfY3kHU/edit?usp=sharing  #gid=0"",""фіз особи new!relations_name""),6,FALSE)
,
(IF
(
G636=""юридична особа""
,
VLOOKUP(H6"&amp;"36,IMPORTRANGE(""https://docs.google.com/spreadsheets/d/14Bd19lYaqBhU8_DElYkX7l4wRkHqqCUFNJY4AfY3kHU/edit?usp=sharing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J635" s="7" t="s">
        <v>11</v>
      </c>
    </row>
    <row r="636" spans="1:10" ht="13.2">
      <c r="A636" s="7">
        <v>635</v>
      </c>
      <c r="B636" s="7">
        <v>1</v>
      </c>
      <c r="C636" s="7" t="s">
        <v>10</v>
      </c>
      <c r="D636" s="7">
        <v>254</v>
      </c>
      <c r="E636" s="7" t="s">
        <v>18</v>
      </c>
      <c r="F636" s="8" t="str">
        <f ca="1">IFERROR(__xludf.DUMMYFUNCTION("IF
(
C637=""фізична особа""
,
VLOOKUP(D637,IMPORTRANGE(""https://docs.google.com/spreadsheets/d/14Bd19lYaqBhU8_DElYkX7l4wRkHqqCUFNJY4AfY3kHU/edit?usp=sharing  #gid=0"",""фіз особи new!relations_name""),6,FALSE)
,
(IF
(
C637=""юридична особа""
,
VLOOKUP(D6"&amp;"37,IMPORTRANGE(""https://docs.google.com/spreadsheets/d/14Bd19lYaqBhU8_DElYkX7l4wRkHqqCUFNJY4AfY3kHU/edit?usp=sharing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36" s="7" t="s">
        <v>10</v>
      </c>
      <c r="H636" s="7">
        <v>8842</v>
      </c>
      <c r="I636" s="8" t="str">
        <f ca="1">IFERROR(__xludf.DUMMYFUNCTION("IF
(
G637=""фізична особа""
,
VLOOKUP(H637,IMPORTRANGE(""https://docs.google.com/spreadsheets/d/14Bd19lYaqBhU8_DElYkX7l4wRkHqqCUFNJY4AfY3kHU/edit?usp=sharing  #gid=0"",""фіз особи new!relations_name""),6,FALSE)
,
(IF
(
G637=""юридична особа""
,
VLOOKUP(H6"&amp;"37,IMPORTRANGE(""https://docs.google.com/spreadsheets/d/14Bd19lYaqBhU8_DElYkX7l4wRkHqqCUFNJY4AfY3kHU/edit?usp=sharing  #gid=0"",""фіз особи new!relations_name_uo""),7,FALSE)
,
)
))"),"ФІЛІППОВА Марфа Семенівна")</f>
        <v>ФІЛІППОВА Марфа Семенівна</v>
      </c>
      <c r="J636" s="7" t="s">
        <v>31</v>
      </c>
    </row>
    <row r="637" spans="1:10" ht="13.2">
      <c r="A637" s="7">
        <v>636</v>
      </c>
      <c r="B637" s="7">
        <v>1</v>
      </c>
      <c r="C637" s="7" t="s">
        <v>10</v>
      </c>
      <c r="D637" s="7">
        <v>254</v>
      </c>
      <c r="E637" s="7" t="s">
        <v>17</v>
      </c>
      <c r="F637" s="8" t="str">
        <f ca="1">IFERROR(__xludf.DUMMYFUNCTION("IF
(
C638=""фізична особа""
,
VLOOKUP(D638,IMPORTRANGE(""https://docs.google.com/spreadsheets/d/14Bd19lYaqBhU8_DElYkX7l4wRkHqqCUFNJY4AfY3kHU/edit?usp=sharing  #gid=0"",""фіз особи new!relations_name""),6,FALSE)
,
(IF
(
C638=""юридична особа""
,
VLOOKUP(D6"&amp;"38,IMPORTRANGE(""https://docs.google.com/spreadsheets/d/14Bd19lYaqBhU8_DElYkX7l4wRkHqqCUFNJY4AfY3kHU/edit?usp=sharing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37" s="7" t="s">
        <v>10</v>
      </c>
      <c r="H637" s="7">
        <v>8843</v>
      </c>
      <c r="I637" s="8" t="str">
        <f ca="1">IFERROR(__xludf.DUMMYFUNCTION("IF
(
G638=""фізична особа""
,
VLOOKUP(H638,IMPORTRANGE(""https://docs.google.com/spreadsheets/d/14Bd19lYaqBhU8_DElYkX7l4wRkHqqCUFNJY4AfY3kHU/edit?usp=sharing  #gid=0"",""фіз особи new!relations_name""),6,FALSE)
,
(IF
(
G638=""юридична особа""
,
VLOOKUP(H6"&amp;"38,IMPORTRANGE(""https://docs.google.com/spreadsheets/d/14Bd19lYaqBhU8_DElYkX7l4wRkHqqCUFNJY4AfY3kHU/edit?usp=sharing  #gid=0"",""фіз особи new!relations_name_uo""),7,FALSE)
,
)
))"),"ТУМУСОВ Семен Семенович")</f>
        <v>ТУМУСОВ Семен Семенович</v>
      </c>
      <c r="J637" s="7" t="s">
        <v>12</v>
      </c>
    </row>
    <row r="638" spans="1:10" ht="13.2">
      <c r="A638" s="7">
        <v>637</v>
      </c>
      <c r="B638" s="7">
        <v>1</v>
      </c>
      <c r="C638" s="7" t="s">
        <v>10</v>
      </c>
      <c r="D638" s="7">
        <v>254</v>
      </c>
      <c r="E638" s="7" t="s">
        <v>12</v>
      </c>
      <c r="F638" s="8" t="str">
        <f ca="1">IFERROR(__xludf.DUMMYFUNCTION("IF
(
C639=""фізична особа""
,
VLOOKUP(D639,IMPORTRANGE(""https://docs.google.com/spreadsheets/d/14Bd19lYaqBhU8_DElYkX7l4wRkHqqCUFNJY4AfY3kHU/edit?usp=sharing  #gid=0"",""фіз особи new!relations_name""),6,FALSE)
,
(IF
(
C639=""юридична особа""
,
VLOOKUP(D6"&amp;"39,IMPORTRANGE(""https://docs.google.com/spreadsheets/d/14Bd19lYaqBhU8_DElYkX7l4wRkHqqCUFNJY4AfY3kHU/edit?usp=sharing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38" s="7" t="s">
        <v>10</v>
      </c>
      <c r="H638" s="7">
        <v>0</v>
      </c>
      <c r="I638" s="8" t="str">
        <f ca="1">IFERROR(__xludf.DUMMYFUNCTION("IF
(
G639=""фізична особа""
,
VLOOKUP(H639,IMPORTRANGE(""https://docs.google.com/spreadsheets/d/14Bd19lYaqBhU8_DElYkX7l4wRkHqqCUFNJY4AfY3kHU/edit?usp=sharing  #gid=0"",""фіз особи new!relations_name""),6,FALSE)
,
(IF
(
G639=""юридична особа""
,
VLOOKUP(H6"&amp;"39,IMPORTRANGE(""https://docs.google.com/spreadsheets/d/14Bd19lYaqBhU8_DElYkX7l4wRkHqqCUFNJY4AfY3kHU/edit?usp=sharing  #gid=0"",""фіз особи new!relations_name_uo""),7,FALSE)
,
)
))"),"#N/A")</f>
        <v>#N/A</v>
      </c>
      <c r="J638" s="7" t="s">
        <v>17</v>
      </c>
    </row>
    <row r="639" spans="1:10" ht="13.2">
      <c r="A639" s="7">
        <v>638</v>
      </c>
      <c r="B639" s="7">
        <v>1</v>
      </c>
      <c r="C639" s="7" t="s">
        <v>10</v>
      </c>
      <c r="D639" s="7">
        <v>254</v>
      </c>
      <c r="E639" s="7" t="s">
        <v>17</v>
      </c>
      <c r="F639" s="8" t="str">
        <f ca="1">IFERROR(__xludf.DUMMYFUNCTION("IF
(
C640=""фізична особа""
,
VLOOKUP(D640,IMPORTRANGE(""https://docs.google.com/spreadsheets/d/14Bd19lYaqBhU8_DElYkX7l4wRkHqqCUFNJY4AfY3kHU/edit?usp=sharing  #gid=0"",""фіз особи new!relations_name""),6,FALSE)
,
(IF
(
C640=""юридична особа""
,
VLOOKUP(D6"&amp;"40,IMPORTRANGE(""https://docs.google.com/spreadsheets/d/14Bd19lYaqBhU8_DElYkX7l4wRkHqqCUFNJY4AfY3kHU/edit?usp=sharing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39" s="7" t="s">
        <v>10</v>
      </c>
      <c r="H639" s="7">
        <v>0</v>
      </c>
      <c r="I639" s="8" t="str">
        <f ca="1">IFERROR(__xludf.DUMMYFUNCTION("IF
(
G640=""фізична особа""
,
VLOOKUP(H640,IMPORTRANGE(""https://docs.google.com/spreadsheets/d/14Bd19lYaqBhU8_DElYkX7l4wRkHqqCUFNJY4AfY3kHU/edit?usp=sharing  #gid=0"",""фіз особи new!relations_name""),6,FALSE)
,
(IF
(
G640=""юридична особа""
,
VLOOKUP(H6"&amp;"40,IMPORTRANGE(""https://docs.google.com/spreadsheets/d/14Bd19lYaqBhU8_DElYkX7l4wRkHqqCUFNJY4AfY3kHU/edit?usp=sharing  #gid=0"",""фіз особи new!relations_name_uo""),7,FALSE)
,
)
))"),"#N/A")</f>
        <v>#N/A</v>
      </c>
      <c r="J639" s="7" t="s">
        <v>21</v>
      </c>
    </row>
    <row r="640" spans="1:10" ht="13.2">
      <c r="A640" s="7">
        <v>639</v>
      </c>
      <c r="B640" s="7">
        <v>1</v>
      </c>
      <c r="C640" s="7" t="s">
        <v>10</v>
      </c>
      <c r="D640" s="7">
        <v>254</v>
      </c>
      <c r="E640" s="7" t="s">
        <v>14</v>
      </c>
      <c r="F640" s="8" t="str">
        <f ca="1">IFERROR(__xludf.DUMMYFUNCTION("IF
(
C641=""фізична особа""
,
VLOOKUP(D641,IMPORTRANGE(""https://docs.google.com/spreadsheets/d/14Bd19lYaqBhU8_DElYkX7l4wRkHqqCUFNJY4AfY3kHU/edit?usp=sharing  #gid=0"",""фіз особи new!relations_name""),6,FALSE)
,
(IF
(
C641=""юридична особа""
,
VLOOKUP(D6"&amp;"41,IMPORTRANGE(""https://docs.google.com/spreadsheets/d/14Bd19lYaqBhU8_DElYkX7l4wRkHqqCUFNJY4AfY3kHU/edit?usp=sharing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40" s="7" t="s">
        <v>10</v>
      </c>
      <c r="H640" s="7">
        <v>8844</v>
      </c>
      <c r="I640" s="8" t="str">
        <f ca="1">IFERROR(__xludf.DUMMYFUNCTION("IF
(
G641=""фізична особа""
,
VLOOKUP(H641,IMPORTRANGE(""https://docs.google.com/spreadsheets/d/14Bd19lYaqBhU8_DElYkX7l4wRkHqqCUFNJY4AfY3kHU/edit?usp=sharing  #gid=0"",""фіз особи new!relations_name""),6,FALSE)
,
(IF
(
G641=""юридична особа""
,
VLOOKUP(H6"&amp;"41,IMPORTRANGE(""https://docs.google.com/spreadsheets/d/14Bd19lYaqBhU8_DElYkX7l4wRkHqqCUFNJY4AfY3kHU/edit?usp=sharing  #gid=0"",""фіз особи new!relations_name_uo""),7,FALSE)
,
)
))"),"ТУМУСОВА Зоя Єгорівна")</f>
        <v>ТУМУСОВА Зоя Єгорівна</v>
      </c>
      <c r="J640" s="7" t="s">
        <v>15</v>
      </c>
    </row>
    <row r="641" spans="1:10" ht="13.2">
      <c r="A641" s="7">
        <v>640</v>
      </c>
      <c r="B641" s="7">
        <v>1</v>
      </c>
      <c r="C641" s="7" t="s">
        <v>10</v>
      </c>
      <c r="D641" s="7">
        <v>254</v>
      </c>
      <c r="E641" s="7" t="s">
        <v>30</v>
      </c>
      <c r="F641" s="8" t="str">
        <f ca="1">IFERROR(__xludf.DUMMYFUNCTION("IF
(
C642=""фізична особа""
,
VLOOKUP(D642,IMPORTRANGE(""https://docs.google.com/spreadsheets/d/14Bd19lYaqBhU8_DElYkX7l4wRkHqqCUFNJY4AfY3kHU/edit?usp=sharing  #gid=0"",""фіз особи new!relations_name""),6,FALSE)
,
(IF
(
C642=""юридична особа""
,
VLOOKUP(D6"&amp;"42,IMPORTRANGE(""https://docs.google.com/spreadsheets/d/14Bd19lYaqBhU8_DElYkX7l4wRkHqqCUFNJY4AfY3kHU/edit?usp=sharing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G641" s="7" t="s">
        <v>10</v>
      </c>
      <c r="H641" s="7">
        <v>0</v>
      </c>
      <c r="I641" s="8" t="str">
        <f ca="1">IFERROR(__xludf.DUMMYFUNCTION("IF
(
G642=""фізична особа""
,
VLOOKUP(H642,IMPORTRANGE(""https://docs.google.com/spreadsheets/d/14Bd19lYaqBhU8_DElYkX7l4wRkHqqCUFNJY4AfY3kHU/edit?usp=sharing  #gid=0"",""фіз особи new!relations_name""),6,FALSE)
,
(IF
(
G642=""юридична особа""
,
VLOOKUP(H6"&amp;"42,IMPORTRANGE(""https://docs.google.com/spreadsheets/d/14Bd19lYaqBhU8_DElYkX7l4wRkHqqCUFNJY4AfY3kHU/edit?usp=sharing  #gid=0"",""фіз особи new!relations_name_uo""),7,FALSE)
,
)
))"),"#N/A")</f>
        <v>#N/A</v>
      </c>
      <c r="J641" s="7" t="s">
        <v>30</v>
      </c>
    </row>
    <row r="642" spans="1:10" ht="13.2">
      <c r="A642" s="7">
        <v>641</v>
      </c>
      <c r="B642" s="7">
        <v>1</v>
      </c>
      <c r="C642" s="7" t="s">
        <v>10</v>
      </c>
      <c r="D642" s="7">
        <v>255</v>
      </c>
      <c r="E642" s="7" t="s">
        <v>56</v>
      </c>
      <c r="F642" s="8" t="str">
        <f ca="1">IFERROR(__xludf.DUMMYFUNCTION("IF
(
C643=""фізична особа""
,
VLOOKUP(D643,IMPORTRANGE(""https://docs.google.com/spreadsheets/d/14Bd19lYaqBhU8_DElYkX7l4wRkHqqCUFNJY4AfY3kHU/edit?usp=sharing  #gid=0"",""фіз особи new!relations_name""),6,FALSE)
,
(IF
(
C643=""юридична особа""
,
VLOOKUP(D6"&amp;"43,IMPORTRANGE(""https://docs.google.com/spreadsheets/d/14Bd19lYaqBhU8_DElYkX7l4wRkHqqCUFNJY4AfY3kHU/edit?usp=sharing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2" s="7" t="s">
        <v>10</v>
      </c>
      <c r="H642" s="7">
        <v>12873</v>
      </c>
      <c r="I642" s="8" t="str">
        <f ca="1">IFERROR(__xludf.DUMMYFUNCTION("IF
(
G643=""фізична особа""
,
VLOOKUP(H643,IMPORTRANGE(""https://docs.google.com/spreadsheets/d/14Bd19lYaqBhU8_DElYkX7l4wRkHqqCUFNJY4AfY3kHU/edit?usp=sharing  #gid=0"",""фіз особи new!relations_name""),6,FALSE)
,
(IF
(
G643=""юридична особа""
,
VLOOKUP(H6"&amp;"43,IMPORTRANGE(""https://docs.google.com/spreadsheets/d/14Bd19lYaqBhU8_DElYkX7l4wRkHqqCUFNJY4AfY3kHU/edit?usp=sharing  #gid=0"",""фіз особи new!relations_name_uo""),7,FALSE)
,
)
))"),"КОЖЕВНІКОВА Марія Олександрівна")</f>
        <v>КОЖЕВНІКОВА Марія Олександрівна</v>
      </c>
      <c r="J642" s="7" t="s">
        <v>57</v>
      </c>
    </row>
    <row r="643" spans="1:10" ht="13.2">
      <c r="A643" s="7">
        <v>642</v>
      </c>
      <c r="B643" s="7">
        <v>1</v>
      </c>
      <c r="C643" s="7" t="s">
        <v>10</v>
      </c>
      <c r="D643" s="7">
        <v>255</v>
      </c>
      <c r="E643" s="7" t="s">
        <v>30</v>
      </c>
      <c r="F643" s="8" t="str">
        <f ca="1">IFERROR(__xludf.DUMMYFUNCTION("IF
(
C644=""фізична особа""
,
VLOOKUP(D644,IMPORTRANGE(""https://docs.google.com/spreadsheets/d/14Bd19lYaqBhU8_DElYkX7l4wRkHqqCUFNJY4AfY3kHU/edit?usp=sharing  #gid=0"",""фіз особи new!relations_name""),6,FALSE)
,
(IF
(
C644=""юридична особа""
,
VLOOKUP(D6"&amp;"44,IMPORTRANGE(""https://docs.google.com/spreadsheets/d/14Bd19lYaqBhU8_DElYkX7l4wRkHqqCUFNJY4AfY3kHU/edit?usp=sharing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3" s="7" t="s">
        <v>10</v>
      </c>
      <c r="H643" s="7">
        <v>0</v>
      </c>
      <c r="I643" s="8" t="str">
        <f ca="1">IFERROR(__xludf.DUMMYFUNCTION("IF
(
G644=""фізична особа""
,
VLOOKUP(H644,IMPORTRANGE(""https://docs.google.com/spreadsheets/d/14Bd19lYaqBhU8_DElYkX7l4wRkHqqCUFNJY4AfY3kHU/edit?usp=sharing  #gid=0"",""фіз особи new!relations_name""),6,FALSE)
,
(IF
(
G644=""юридична особа""
,
VLOOKUP(H6"&amp;"44,IMPORTRANGE(""https://docs.google.com/spreadsheets/d/14Bd19lYaqBhU8_DElYkX7l4wRkHqqCUFNJY4AfY3kHU/edit?usp=sharing  #gid=0"",""фіз особи new!relations_name_uo""),7,FALSE)
,
)
))"),"#N/A")</f>
        <v>#N/A</v>
      </c>
      <c r="J643" s="7" t="s">
        <v>30</v>
      </c>
    </row>
    <row r="644" spans="1:10" ht="13.2">
      <c r="A644" s="7">
        <v>643</v>
      </c>
      <c r="B644" s="7">
        <v>1</v>
      </c>
      <c r="C644" s="7" t="s">
        <v>10</v>
      </c>
      <c r="D644" s="7">
        <v>255</v>
      </c>
      <c r="E644" s="7" t="s">
        <v>14</v>
      </c>
      <c r="F644" s="8" t="str">
        <f ca="1">IFERROR(__xludf.DUMMYFUNCTION("IF
(
C645=""фізична особа""
,
VLOOKUP(D645,IMPORTRANGE(""https://docs.google.com/spreadsheets/d/14Bd19lYaqBhU8_DElYkX7l4wRkHqqCUFNJY4AfY3kHU/edit?usp=sharing  #gid=0"",""фіз особи new!relations_name""),6,FALSE)
,
(IF
(
C645=""юридична особа""
,
VLOOKUP(D6"&amp;"45,IMPORTRANGE(""https://docs.google.com/spreadsheets/d/14Bd19lYaqBhU8_DElYkX7l4wRkHqqCUFNJY4AfY3kHU/edit?usp=sharing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4" s="7" t="s">
        <v>10</v>
      </c>
      <c r="H644" s="7">
        <v>8845</v>
      </c>
      <c r="I644" s="8" t="str">
        <f ca="1">IFERROR(__xludf.DUMMYFUNCTION("IF
(
G645=""фізична особа""
,
VLOOKUP(H645,IMPORTRANGE(""https://docs.google.com/spreadsheets/d/14Bd19lYaqBhU8_DElYkX7l4wRkHqqCUFNJY4AfY3kHU/edit?usp=sharing  #gid=0"",""фіз особи new!relations_name""),6,FALSE)
,
(IF
(
G645=""юридична особа""
,
VLOOKUP(H6"&amp;"45,IMPORTRANGE(""https://docs.google.com/spreadsheets/d/14Bd19lYaqBhU8_DElYkX7l4wRkHqqCUFNJY4AfY3kHU/edit?usp=sharing  #gid=0"",""фіз особи new!relations_name_uo""),7,FALSE)
,
)
))"),"ФЕТІСОВА Ладлена Юріївна")</f>
        <v>ФЕТІСОВА Ладлена Юріївна</v>
      </c>
      <c r="J644" s="7" t="s">
        <v>15</v>
      </c>
    </row>
    <row r="645" spans="1:10" ht="13.2">
      <c r="A645" s="7">
        <v>644</v>
      </c>
      <c r="B645" s="7">
        <v>1</v>
      </c>
      <c r="C645" s="7" t="s">
        <v>10</v>
      </c>
      <c r="D645" s="7">
        <v>255</v>
      </c>
      <c r="E645" s="7" t="s">
        <v>12</v>
      </c>
      <c r="F645" s="8" t="str">
        <f ca="1">IFERROR(__xludf.DUMMYFUNCTION("IF
(
C646=""фізична особа""
,
VLOOKUP(D646,IMPORTRANGE(""https://docs.google.com/spreadsheets/d/14Bd19lYaqBhU8_DElYkX7l4wRkHqqCUFNJY4AfY3kHU/edit?usp=sharing  #gid=0"",""фіз особи new!relations_name""),6,FALSE)
,
(IF
(
C646=""юридична особа""
,
VLOOKUP(D6"&amp;"46,IMPORTRANGE(""https://docs.google.com/spreadsheets/d/14Bd19lYaqBhU8_DElYkX7l4wRkHqqCUFNJY4AfY3kHU/edit?usp=sharing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5" s="7" t="s">
        <v>10</v>
      </c>
      <c r="H645" s="7">
        <v>0</v>
      </c>
      <c r="I645" s="8" t="str">
        <f ca="1">IFERROR(__xludf.DUMMYFUNCTION("IF
(
G646=""фізична особа""
,
VLOOKUP(H646,IMPORTRANGE(""https://docs.google.com/spreadsheets/d/14Bd19lYaqBhU8_DElYkX7l4wRkHqqCUFNJY4AfY3kHU/edit?usp=sharing  #gid=0"",""фіз особи new!relations_name""),6,FALSE)
,
(IF
(
G646=""юридична особа""
,
VLOOKUP(H6"&amp;"46,IMPORTRANGE(""https://docs.google.com/spreadsheets/d/14Bd19lYaqBhU8_DElYkX7l4wRkHqqCUFNJY4AfY3kHU/edit?usp=sharing  #gid=0"",""фіз особи new!relations_name_uo""),7,FALSE)
,
)
))"),"#N/A")</f>
        <v>#N/A</v>
      </c>
      <c r="J645" s="7" t="s">
        <v>13</v>
      </c>
    </row>
    <row r="646" spans="1:10" ht="13.2">
      <c r="A646" s="7">
        <v>645</v>
      </c>
      <c r="B646" s="7">
        <v>1</v>
      </c>
      <c r="C646" s="7" t="s">
        <v>10</v>
      </c>
      <c r="D646" s="7">
        <v>255</v>
      </c>
      <c r="E646" s="7" t="s">
        <v>16</v>
      </c>
      <c r="F646" s="8" t="str">
        <f ca="1">IFERROR(__xludf.DUMMYFUNCTION("IF
(
C647=""фізична особа""
,
VLOOKUP(D647,IMPORTRANGE(""https://docs.google.com/spreadsheets/d/14Bd19lYaqBhU8_DElYkX7l4wRkHqqCUFNJY4AfY3kHU/edit?usp=sharing  #gid=0"",""фіз особи new!relations_name""),6,FALSE)
,
(IF
(
C647=""юридична особа""
,
VLOOKUP(D6"&amp;"47,IMPORTRANGE(""https://docs.google.com/spreadsheets/d/14Bd19lYaqBhU8_DElYkX7l4wRkHqqCUFNJY4AfY3kHU/edit?usp=sharing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6" s="7" t="s">
        <v>10</v>
      </c>
      <c r="H646" s="7">
        <v>0</v>
      </c>
      <c r="I646" s="8" t="str">
        <f ca="1">IFERROR(__xludf.DUMMYFUNCTION("IF
(
G647=""фізична особа""
,
VLOOKUP(H647,IMPORTRANGE(""https://docs.google.com/spreadsheets/d/14Bd19lYaqBhU8_DElYkX7l4wRkHqqCUFNJY4AfY3kHU/edit?usp=sharing  #gid=0"",""фіз особи new!relations_name""),6,FALSE)
,
(IF
(
G647=""юридична особа""
,
VLOOKUP(H6"&amp;"47,IMPORTRANGE(""https://docs.google.com/spreadsheets/d/14Bd19lYaqBhU8_DElYkX7l4wRkHqqCUFNJY4AfY3kHU/edit?usp=sharing  #gid=0"",""фіз особи new!relations_name_uo""),7,FALSE)
,
)
))"),"#N/A")</f>
        <v>#N/A</v>
      </c>
      <c r="J646" s="7" t="s">
        <v>16</v>
      </c>
    </row>
    <row r="647" spans="1:10" ht="13.2">
      <c r="A647" s="7">
        <v>646</v>
      </c>
      <c r="B647" s="7">
        <v>1</v>
      </c>
      <c r="C647" s="7" t="s">
        <v>10</v>
      </c>
      <c r="D647" s="7">
        <v>255</v>
      </c>
      <c r="E647" s="7" t="s">
        <v>16</v>
      </c>
      <c r="F647" s="8" t="str">
        <f ca="1">IFERROR(__xludf.DUMMYFUNCTION("IF
(
C648=""фізична особа""
,
VLOOKUP(D648,IMPORTRANGE(""https://docs.google.com/spreadsheets/d/14Bd19lYaqBhU8_DElYkX7l4wRkHqqCUFNJY4AfY3kHU/edit?usp=sharing  #gid=0"",""фіз особи new!relations_name""),6,FALSE)
,
(IF
(
C648=""юридична особа""
,
VLOOKUP(D6"&amp;"48,IMPORTRANGE(""https://docs.google.com/spreadsheets/d/14Bd19lYaqBhU8_DElYkX7l4wRkHqqCUFNJY4AfY3kHU/edit?usp=sharing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G647" s="7" t="s">
        <v>10</v>
      </c>
      <c r="H647" s="7">
        <v>880</v>
      </c>
      <c r="I647" s="8" t="str">
        <f ca="1">IFERROR(__xludf.DUMMYFUNCTION("IF
(
G648=""фізична особа""
,
VLOOKUP(H648,IMPORTRANGE(""https://docs.google.com/spreadsheets/d/14Bd19lYaqBhU8_DElYkX7l4wRkHqqCUFNJY4AfY3kHU/edit?usp=sharing  #gid=0"",""фіз особи new!relations_name""),6,FALSE)
,
(IF
(
G648=""юридична особа""
,
VLOOKUP(H6"&amp;"48,IMPORTRANGE(""https://docs.google.com/spreadsheets/d/14Bd19lYaqBhU8_DElYkX7l4wRkHqqCUFNJY4AfY3kHU/edit?usp=sharing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647" s="7" t="s">
        <v>16</v>
      </c>
    </row>
    <row r="648" spans="1:10" ht="13.2">
      <c r="A648" s="7">
        <v>647</v>
      </c>
      <c r="B648" s="7">
        <v>1</v>
      </c>
      <c r="C648" s="7" t="s">
        <v>10</v>
      </c>
      <c r="D648" s="7">
        <v>256</v>
      </c>
      <c r="E648" s="7" t="s">
        <v>40</v>
      </c>
      <c r="F648" s="8" t="str">
        <f ca="1">IFERROR(__xludf.DUMMYFUNCTION("IF
(
C649=""фізична особа""
,
VLOOKUP(D649,IMPORTRANGE(""https://docs.google.com/spreadsheets/d/14Bd19lYaqBhU8_DElYkX7l4wRkHqqCUFNJY4AfY3kHU/edit?usp=sharing  #gid=0"",""фіз особи new!relations_name""),6,FALSE)
,
(IF
(
C649=""юридична особа""
,
VLOOKUP(D6"&amp;"49,IMPORTRANGE(""https://docs.google.com/spreadsheets/d/14Bd19lYaqBhU8_DElYkX7l4wRkHqqCUFNJY4AfY3kHU/edit?usp=sharing  #gid=0"",""фіз особи new!relations_name_uo""),7,FALSE)
,
)
))"),"БЕРЕЗІН Федір Дмитрович")</f>
        <v>БЕРЕЗІН Федір Дмитрович</v>
      </c>
      <c r="G648" s="7" t="s">
        <v>10</v>
      </c>
      <c r="H648" s="7">
        <v>4555</v>
      </c>
      <c r="I648" s="8" t="str">
        <f ca="1">IFERROR(__xludf.DUMMYFUNCTION("IF
(
G649=""фізична особа""
,
VLOOKUP(H649,IMPORTRANGE(""https://docs.google.com/spreadsheets/d/14Bd19lYaqBhU8_DElYkX7l4wRkHqqCUFNJY4AfY3kHU/edit?usp=sharing  #gid=0"",""фіз особи new!relations_name""),6,FALSE)
,
(IF
(
G649=""юридична особа""
,
VLOOKUP(H6"&amp;"49,IMPORTRANGE(""https://docs.google.com/spreadsheets/d/14Bd19lYaqBhU8_DElYkX7l4wRkHqqCUFNJY4AfY3kHU/edit?usp=sharing  #gid=0"",""фіз особи new!relations_name_uo""),7,FALSE)
,
)
))"),"ГІРКІН / СТРЕЛКОВ Ігор Всеволодович")</f>
        <v>ГІРКІН / СТРЕЛКОВ Ігор Всеволодович</v>
      </c>
      <c r="J648" s="7" t="s">
        <v>41</v>
      </c>
    </row>
    <row r="649" spans="1:10" ht="13.2">
      <c r="A649" s="7">
        <v>648</v>
      </c>
      <c r="B649" s="7">
        <v>1</v>
      </c>
      <c r="C649" s="7" t="s">
        <v>10</v>
      </c>
      <c r="D649" s="7">
        <v>256</v>
      </c>
      <c r="E649" s="7" t="s">
        <v>12</v>
      </c>
      <c r="F649" s="8" t="str">
        <f ca="1">IFERROR(__xludf.DUMMYFUNCTION("IF
(
C650=""фізична особа""
,
VLOOKUP(D650,IMPORTRANGE(""https://docs.google.com/spreadsheets/d/14Bd19lYaqBhU8_DElYkX7l4wRkHqqCUFNJY4AfY3kHU/edit?usp=sharing  #gid=0"",""фіз особи new!relations_name""),6,FALSE)
,
(IF
(
C650=""юридична особа""
,
VLOOKUP(D6"&amp;"50,IMPORTRANGE(""https://docs.google.com/spreadsheets/d/14Bd19lYaqBhU8_DElYkX7l4wRkHqqCUFNJY4AfY3kHU/edit?usp=sharing  #gid=0"",""фіз особи new!relations_name_uo""),7,FALSE)
,
)
))"),"БЕРЕЗІН Федір Дмитрович")</f>
        <v>БЕРЕЗІН Федір Дмитрович</v>
      </c>
      <c r="G649" s="7" t="s">
        <v>10</v>
      </c>
      <c r="H649" s="7">
        <v>0</v>
      </c>
      <c r="I649" s="8" t="str">
        <f ca="1">IFERROR(__xludf.DUMMYFUNCTION("IF
(
G650=""фізична особа""
,
VLOOKUP(H650,IMPORTRANGE(""https://docs.google.com/spreadsheets/d/14Bd19lYaqBhU8_DElYkX7l4wRkHqqCUFNJY4AfY3kHU/edit?usp=sharing  #gid=0"",""фіз особи new!relations_name""),6,FALSE)
,
(IF
(
G650=""юридична особа""
,
VLOOKUP(H6"&amp;"50,IMPORTRANGE(""https://docs.google.com/spreadsheets/d/14Bd19lYaqBhU8_DElYkX7l4wRkHqqCUFNJY4AfY3kHU/edit?usp=sharing  #gid=0"",""фіз особи new!relations_name_uo""),7,FALSE)
,
)
))"),"#N/A")</f>
        <v>#N/A</v>
      </c>
      <c r="J649" s="7" t="s">
        <v>13</v>
      </c>
    </row>
    <row r="650" spans="1:10" ht="13.2">
      <c r="A650" s="7">
        <v>649</v>
      </c>
      <c r="B650" s="7">
        <v>1</v>
      </c>
      <c r="C650" s="7" t="s">
        <v>10</v>
      </c>
      <c r="D650" s="7">
        <v>256</v>
      </c>
      <c r="E650" s="7" t="s">
        <v>12</v>
      </c>
      <c r="F650" s="8" t="str">
        <f ca="1">IFERROR(__xludf.DUMMYFUNCTION("IF
(
C651=""фізична особа""
,
VLOOKUP(D651,IMPORTRANGE(""https://docs.google.com/spreadsheets/d/14Bd19lYaqBhU8_DElYkX7l4wRkHqqCUFNJY4AfY3kHU/edit?usp=sharing  #gid=0"",""фіз особи new!relations_name""),6,FALSE)
,
(IF
(
C651=""юридична особа""
,
VLOOKUP(D6"&amp;"51,IMPORTRANGE(""https://docs.google.com/spreadsheets/d/14Bd19lYaqBhU8_DElYkX7l4wRkHqqCUFNJY4AfY3kHU/edit?usp=sharing  #gid=0"",""фіз особи new!relations_name_uo""),7,FALSE)
,
)
))"),"БЕРЕЗІН Федір Дмитрович")</f>
        <v>БЕРЕЗІН Федір Дмитрович</v>
      </c>
      <c r="G650" s="7" t="s">
        <v>10</v>
      </c>
      <c r="H650" s="7">
        <v>0</v>
      </c>
      <c r="I650" s="8" t="str">
        <f ca="1">IFERROR(__xludf.DUMMYFUNCTION("IF
(
G651=""фізична особа""
,
VLOOKUP(H651,IMPORTRANGE(""https://docs.google.com/spreadsheets/d/14Bd19lYaqBhU8_DElYkX7l4wRkHqqCUFNJY4AfY3kHU/edit?usp=sharing  #gid=0"",""фіз особи new!relations_name""),6,FALSE)
,
(IF
(
G651=""юридична особа""
,
VLOOKUP(H6"&amp;"51,IMPORTRANGE(""https://docs.google.com/spreadsheets/d/14Bd19lYaqBhU8_DElYkX7l4wRkHqqCUFNJY4AfY3kHU/edit?usp=sharing  #gid=0"",""фіз особи new!relations_name_uo""),7,FALSE)
,
)
))"),"#N/A")</f>
        <v>#N/A</v>
      </c>
      <c r="J650" s="7" t="s">
        <v>13</v>
      </c>
    </row>
    <row r="651" spans="1:10" ht="13.2">
      <c r="A651" s="7">
        <v>650</v>
      </c>
      <c r="B651" s="7">
        <v>1</v>
      </c>
      <c r="C651" s="7" t="s">
        <v>10</v>
      </c>
      <c r="D651" s="7">
        <v>256</v>
      </c>
      <c r="E651" s="7" t="s">
        <v>12</v>
      </c>
      <c r="F651" s="8" t="str">
        <f ca="1">IFERROR(__xludf.DUMMYFUNCTION("IF
(
C652=""фізична особа""
,
VLOOKUP(D652,IMPORTRANGE(""https://docs.google.com/spreadsheets/d/14Bd19lYaqBhU8_DElYkX7l4wRkHqqCUFNJY4AfY3kHU/edit?usp=sharing  #gid=0"",""фіз особи new!relations_name""),6,FALSE)
,
(IF
(
C652=""юридична особа""
,
VLOOKUP(D6"&amp;"52,IMPORTRANGE(""https://docs.google.com/spreadsheets/d/14Bd19lYaqBhU8_DElYkX7l4wRkHqqCUFNJY4AfY3kHU/edit?usp=sharing  #gid=0"",""фіз особи new!relations_name_uo""),7,FALSE)
,
)
))"),"БЕРЕЗІН Федір Дмитрович")</f>
        <v>БЕРЕЗІН Федір Дмитрович</v>
      </c>
      <c r="G651" s="7" t="s">
        <v>10</v>
      </c>
      <c r="H651" s="7">
        <v>0</v>
      </c>
      <c r="I651" s="8" t="str">
        <f ca="1">IFERROR(__xludf.DUMMYFUNCTION("IF
(
G652=""фізична особа""
,
VLOOKUP(H652,IMPORTRANGE(""https://docs.google.com/spreadsheets/d/14Bd19lYaqBhU8_DElYkX7l4wRkHqqCUFNJY4AfY3kHU/edit?usp=sharing  #gid=0"",""фіз особи new!relations_name""),6,FALSE)
,
(IF
(
G652=""юридична особа""
,
VLOOKUP(H6"&amp;"52,IMPORTRANGE(""https://docs.google.com/spreadsheets/d/14Bd19lYaqBhU8_DElYkX7l4wRkHqqCUFNJY4AfY3kHU/edit?usp=sharing  #gid=0"",""фіз особи new!relations_name_uo""),7,FALSE)
,
)
))"),"#N/A")</f>
        <v>#N/A</v>
      </c>
      <c r="J651" s="7" t="s">
        <v>17</v>
      </c>
    </row>
    <row r="652" spans="1:10" ht="13.2">
      <c r="A652" s="7">
        <v>651</v>
      </c>
      <c r="B652" s="7">
        <v>1</v>
      </c>
      <c r="C652" s="7" t="s">
        <v>10</v>
      </c>
      <c r="D652" s="7">
        <v>257</v>
      </c>
      <c r="E652" s="7" t="s">
        <v>11</v>
      </c>
      <c r="F652" s="8" t="str">
        <f ca="1">IFERROR(__xludf.DUMMYFUNCTION("IF
(
C653=""фізична особа""
,
VLOOKUP(D653,IMPORTRANGE(""https://docs.google.com/spreadsheets/d/14Bd19lYaqBhU8_DElYkX7l4wRkHqqCUFNJY4AfY3kHU/edit?usp=sharing  #gid=0"",""фіз особи new!relations_name""),6,FALSE)
,
(IF
(
C653=""юридична особа""
,
VLOOKUP(D6"&amp;"53,IMPORTRANGE(""https://docs.google.com/spreadsheets/d/14Bd19lYaqBhU8_DElYkX7l4wRkHqqCUFNJY4AfY3kHU/edit?usp=sharing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2" s="7" t="s">
        <v>10</v>
      </c>
      <c r="H652" s="7">
        <v>421</v>
      </c>
      <c r="I652" s="8" t="str">
        <f ca="1">IFERROR(__xludf.DUMMYFUNCTION("IF
(
G653=""фізична особа""
,
VLOOKUP(H653,IMPORTRANGE(""https://docs.google.com/spreadsheets/d/14Bd19lYaqBhU8_DElYkX7l4wRkHqqCUFNJY4AfY3kHU/edit?usp=sharing  #gid=0"",""фіз особи new!relations_name""),6,FALSE)
,
(IF
(
G653=""юридична особа""
,
VLOOKUP(H6"&amp;"53,IMPORTRANGE(""https://docs.google.com/spreadsheets/d/14Bd19lYaqBhU8_DElYkX7l4wRkHqqCUFNJY4AfY3kHU/edit?usp=sharing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J652" s="7" t="s">
        <v>11</v>
      </c>
    </row>
    <row r="653" spans="1:10" ht="13.2">
      <c r="A653" s="7">
        <v>652</v>
      </c>
      <c r="B653" s="7">
        <v>1</v>
      </c>
      <c r="C653" s="7" t="s">
        <v>10</v>
      </c>
      <c r="D653" s="7">
        <v>257</v>
      </c>
      <c r="E653" s="7" t="s">
        <v>28</v>
      </c>
      <c r="F653" s="8" t="str">
        <f ca="1">IFERROR(__xludf.DUMMYFUNCTION("IF
(
C654=""фізична особа""
,
VLOOKUP(D654,IMPORTRANGE(""https://docs.google.com/spreadsheets/d/14Bd19lYaqBhU8_DElYkX7l4wRkHqqCUFNJY4AfY3kHU/edit?usp=sharing  #gid=0"",""фіз особи new!relations_name""),6,FALSE)
,
(IF
(
C654=""юридична особа""
,
VLOOKUP(D6"&amp;"54,IMPORTRANGE(""https://docs.google.com/spreadsheets/d/14Bd19lYaqBhU8_DElYkX7l4wRkHqqCUFNJY4AfY3kHU/edit?usp=sharing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3" s="7" t="s">
        <v>10</v>
      </c>
      <c r="H653" s="7">
        <v>98</v>
      </c>
      <c r="I653" s="8" t="str">
        <f ca="1">IFERROR(__xludf.DUMMYFUNCTION("IF
(
G654=""фізична особа""
,
VLOOKUP(H654,IMPORTRANGE(""https://docs.google.com/spreadsheets/d/14Bd19lYaqBhU8_DElYkX7l4wRkHqqCUFNJY4AfY3kHU/edit?usp=sharing  #gid=0"",""фіз особи new!relations_name""),6,FALSE)
,
(IF
(
G654=""юридична особа""
,
VLOOKUP(H6"&amp;"54,IMPORTRANGE(""https://docs.google.com/spreadsheets/d/14Bd19lYaqBhU8_DElYkX7l4wRkHqqCUFNJY4AfY3kHU/edit?usp=sharing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J653" s="7" t="s">
        <v>29</v>
      </c>
    </row>
    <row r="654" spans="1:10" ht="13.2">
      <c r="A654" s="7">
        <v>653</v>
      </c>
      <c r="B654" s="7">
        <v>1</v>
      </c>
      <c r="C654" s="7" t="s">
        <v>10</v>
      </c>
      <c r="D654" s="7">
        <v>257</v>
      </c>
      <c r="E654" s="7" t="s">
        <v>11</v>
      </c>
      <c r="F654" s="8" t="str">
        <f ca="1">IFERROR(__xludf.DUMMYFUNCTION("IF
(
C655=""фізична особа""
,
VLOOKUP(D655,IMPORTRANGE(""https://docs.google.com/spreadsheets/d/14Bd19lYaqBhU8_DElYkX7l4wRkHqqCUFNJY4AfY3kHU/edit?usp=sharing  #gid=0"",""фіз особи new!relations_name""),6,FALSE)
,
(IF
(
C655=""юридична особа""
,
VLOOKUP(D6"&amp;"55,IMPORTRANGE(""https://docs.google.com/spreadsheets/d/14Bd19lYaqBhU8_DElYkX7l4wRkHqqCUFNJY4AfY3kHU/edit?usp=sharing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4" s="7" t="s">
        <v>10</v>
      </c>
      <c r="H654" s="7">
        <v>559</v>
      </c>
      <c r="I654" s="8" t="str">
        <f ca="1">IFERROR(__xludf.DUMMYFUNCTION("IF
(
G655=""фізична особа""
,
VLOOKUP(H655,IMPORTRANGE(""https://docs.google.com/spreadsheets/d/14Bd19lYaqBhU8_DElYkX7l4wRkHqqCUFNJY4AfY3kHU/edit?usp=sharing  #gid=0"",""фіз особи new!relations_name""),6,FALSE)
,
(IF
(
G655=""юридична особа""
,
VLOOKUP(H6"&amp;"55,IMPORTRANGE(""https://docs.google.com/spreadsheets/d/14Bd19lYaqBhU8_DElYkX7l4wRkHqqCUFNJY4AfY3kHU/edit?usp=sharing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J654" s="7" t="s">
        <v>11</v>
      </c>
    </row>
    <row r="655" spans="1:10" ht="13.2">
      <c r="A655" s="7">
        <v>654</v>
      </c>
      <c r="B655" s="7">
        <v>1</v>
      </c>
      <c r="C655" s="7" t="s">
        <v>10</v>
      </c>
      <c r="D655" s="7">
        <v>257</v>
      </c>
      <c r="E655" s="7" t="s">
        <v>14</v>
      </c>
      <c r="F655" s="8" t="str">
        <f ca="1">IFERROR(__xludf.DUMMYFUNCTION("IF
(
C656=""фізична особа""
,
VLOOKUP(D656,IMPORTRANGE(""https://docs.google.com/spreadsheets/d/14Bd19lYaqBhU8_DElYkX7l4wRkHqqCUFNJY4AfY3kHU/edit?usp=sharing  #gid=0"",""фіз особи new!relations_name""),6,FALSE)
,
(IF
(
C656=""юридична особа""
,
VLOOKUP(D6"&amp;"56,IMPORTRANGE(""https://docs.google.com/spreadsheets/d/14Bd19lYaqBhU8_DElYkX7l4wRkHqqCUFNJY4AfY3kHU/edit?usp=sharing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5" s="7" t="s">
        <v>10</v>
      </c>
      <c r="H655" s="7">
        <v>23377</v>
      </c>
      <c r="I655" s="8" t="str">
        <f ca="1">IFERROR(__xludf.DUMMYFUNCTION("IF
(
G656=""фізична особа""
,
VLOOKUP(H656,IMPORTRANGE(""https://docs.google.com/spreadsheets/d/14Bd19lYaqBhU8_DElYkX7l4wRkHqqCUFNJY4AfY3kHU/edit?usp=sharing  #gid=0"",""фіз особи new!relations_name""),6,FALSE)
,
(IF
(
G656=""юридична особа""
,
VLOOKUP(H6"&amp;"56,IMPORTRANGE(""https://docs.google.com/spreadsheets/d/14Bd19lYaqBhU8_DElYkX7l4wRkHqqCUFNJY4AfY3kHU/edit?usp=sharing  #gid=0"",""фіз особи new!relations_name_uo""),7,FALSE)
,
)
))"),"ГРОМОВА Ганна Віталіївна")</f>
        <v>ГРОМОВА Ганна Віталіївна</v>
      </c>
      <c r="J655" s="7" t="s">
        <v>15</v>
      </c>
    </row>
    <row r="656" spans="1:10" ht="13.2">
      <c r="A656" s="7">
        <v>655</v>
      </c>
      <c r="B656" s="7">
        <v>1</v>
      </c>
      <c r="C656" s="7" t="s">
        <v>10</v>
      </c>
      <c r="D656" s="7">
        <v>257</v>
      </c>
      <c r="E656" s="7" t="s">
        <v>12</v>
      </c>
      <c r="F656" s="8" t="str">
        <f ca="1">IFERROR(__xludf.DUMMYFUNCTION("IF
(
C657=""фізична особа""
,
VLOOKUP(D657,IMPORTRANGE(""https://docs.google.com/spreadsheets/d/14Bd19lYaqBhU8_DElYkX7l4wRkHqqCUFNJY4AfY3kHU/edit?usp=sharing  #gid=0"",""фіз особи new!relations_name""),6,FALSE)
,
(IF
(
C657=""юридична особа""
,
VLOOKUP(D6"&amp;"57,IMPORTRANGE(""https://docs.google.com/spreadsheets/d/14Bd19lYaqBhU8_DElYkX7l4wRkHqqCUFNJY4AfY3kHU/edit?usp=sharing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6" s="7" t="s">
        <v>10</v>
      </c>
      <c r="H656" s="7">
        <v>0</v>
      </c>
      <c r="I656" s="8" t="str">
        <f ca="1">IFERROR(__xludf.DUMMYFUNCTION("IF
(
G657=""фізична особа""
,
VLOOKUP(H657,IMPORTRANGE(""https://docs.google.com/spreadsheets/d/14Bd19lYaqBhU8_DElYkX7l4wRkHqqCUFNJY4AfY3kHU/edit?usp=sharing  #gid=0"",""фіз особи new!relations_name""),6,FALSE)
,
(IF
(
G657=""юридична особа""
,
VLOOKUP(H6"&amp;"57,IMPORTRANGE(""https://docs.google.com/spreadsheets/d/14Bd19lYaqBhU8_DElYkX7l4wRkHqqCUFNJY4AfY3kHU/edit?usp=sharing  #gid=0"",""фіз особи new!relations_name_uo""),7,FALSE)
,
)
))"),"#N/A")</f>
        <v>#N/A</v>
      </c>
      <c r="J656" s="7" t="s">
        <v>17</v>
      </c>
    </row>
    <row r="657" spans="1:10" ht="13.2">
      <c r="A657" s="7">
        <v>656</v>
      </c>
      <c r="B657" s="7">
        <v>1</v>
      </c>
      <c r="C657" s="7" t="s">
        <v>10</v>
      </c>
      <c r="D657" s="7">
        <v>257</v>
      </c>
      <c r="E657" s="7" t="s">
        <v>12</v>
      </c>
      <c r="F657" s="8" t="str">
        <f ca="1">IFERROR(__xludf.DUMMYFUNCTION("IF
(
C658=""фізична особа""
,
VLOOKUP(D658,IMPORTRANGE(""https://docs.google.com/spreadsheets/d/14Bd19lYaqBhU8_DElYkX7l4wRkHqqCUFNJY4AfY3kHU/edit?usp=sharing  #gid=0"",""фіз особи new!relations_name""),6,FALSE)
,
(IF
(
C658=""юридична особа""
,
VLOOKUP(D6"&amp;"58,IMPORTRANGE(""https://docs.google.com/spreadsheets/d/14Bd19lYaqBhU8_DElYkX7l4wRkHqqCUFNJY4AfY3kHU/edit?usp=sharing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7" s="7" t="s">
        <v>10</v>
      </c>
      <c r="H657" s="7">
        <v>0</v>
      </c>
      <c r="I657" s="8" t="str">
        <f ca="1">IFERROR(__xludf.DUMMYFUNCTION("IF
(
G658=""фізична особа""
,
VLOOKUP(H658,IMPORTRANGE(""https://docs.google.com/spreadsheets/d/14Bd19lYaqBhU8_DElYkX7l4wRkHqqCUFNJY4AfY3kHU/edit?usp=sharing  #gid=0"",""фіз особи new!relations_name""),6,FALSE)
,
(IF
(
G658=""юридична особа""
,
VLOOKUP(H6"&amp;"58,IMPORTRANGE(""https://docs.google.com/spreadsheets/d/14Bd19lYaqBhU8_DElYkX7l4wRkHqqCUFNJY4AfY3kHU/edit?usp=sharing  #gid=0"",""фіз особи new!relations_name_uo""),7,FALSE)
,
)
))"),"#N/A")</f>
        <v>#N/A</v>
      </c>
      <c r="J657" s="7" t="s">
        <v>17</v>
      </c>
    </row>
    <row r="658" spans="1:10" ht="13.2">
      <c r="A658" s="7">
        <v>657</v>
      </c>
      <c r="B658" s="7">
        <v>1</v>
      </c>
      <c r="C658" s="7" t="s">
        <v>10</v>
      </c>
      <c r="D658" s="7">
        <v>257</v>
      </c>
      <c r="E658" s="7" t="s">
        <v>26</v>
      </c>
      <c r="F658" s="8" t="str">
        <f ca="1">IFERROR(__xludf.DUMMYFUNCTION("IF
(
C659=""фізична особа""
,
VLOOKUP(D659,IMPORTRANGE(""https://docs.google.com/spreadsheets/d/14Bd19lYaqBhU8_DElYkX7l4wRkHqqCUFNJY4AfY3kHU/edit?usp=sharing  #gid=0"",""фіз особи new!relations_name""),6,FALSE)
,
(IF
(
C659=""юридична особа""
,
VLOOKUP(D6"&amp;"59,IMPORTRANGE(""https://docs.google.com/spreadsheets/d/14Bd19lYaqBhU8_DElYkX7l4wRkHqqCUFNJY4AfY3kHU/edit?usp=sharing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8" s="7" t="s">
        <v>10</v>
      </c>
      <c r="H658" s="7">
        <v>0</v>
      </c>
      <c r="I658" s="8" t="str">
        <f ca="1">IFERROR(__xludf.DUMMYFUNCTION("IF
(
G659=""фізична особа""
,
VLOOKUP(H659,IMPORTRANGE(""https://docs.google.com/spreadsheets/d/14Bd19lYaqBhU8_DElYkX7l4wRkHqqCUFNJY4AfY3kHU/edit?usp=sharing  #gid=0"",""фіз особи new!relations_name""),6,FALSE)
,
(IF
(
G659=""юридична особа""
,
VLOOKUP(H6"&amp;"59,IMPORTRANGE(""https://docs.google.com/spreadsheets/d/14Bd19lYaqBhU8_DElYkX7l4wRkHqqCUFNJY4AfY3kHU/edit?usp=sharing  #gid=0"",""фіз особи new!relations_name_uo""),7,FALSE)
,
)
))"),"#N/A")</f>
        <v>#N/A</v>
      </c>
      <c r="J658" s="7" t="s">
        <v>27</v>
      </c>
    </row>
    <row r="659" spans="1:10" ht="13.2">
      <c r="A659" s="7">
        <v>658</v>
      </c>
      <c r="B659" s="7">
        <v>1</v>
      </c>
      <c r="C659" s="7" t="s">
        <v>10</v>
      </c>
      <c r="D659" s="7">
        <v>257</v>
      </c>
      <c r="E659" s="7" t="s">
        <v>28</v>
      </c>
      <c r="F659" s="8" t="str">
        <f ca="1">IFERROR(__xludf.DUMMYFUNCTION("IF
(
C660=""фізична особа""
,
VLOOKUP(D660,IMPORTRANGE(""https://docs.google.com/spreadsheets/d/14Bd19lYaqBhU8_DElYkX7l4wRkHqqCUFNJY4AfY3kHU/edit?usp=sharing  #gid=0"",""фіз особи new!relations_name""),6,FALSE)
,
(IF
(
C660=""юридична особа""
,
VLOOKUP(D6"&amp;"60,IMPORTRANGE(""https://docs.google.com/spreadsheets/d/14Bd19lYaqBhU8_DElYkX7l4wRkHqqCUFNJY4AfY3kHU/edit?usp=sharing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G659" s="7" t="s">
        <v>10</v>
      </c>
      <c r="H659" s="7">
        <v>880</v>
      </c>
      <c r="I659" s="8" t="str">
        <f ca="1">IFERROR(__xludf.DUMMYFUNCTION("IF
(
G660=""фізична особа""
,
VLOOKUP(H660,IMPORTRANGE(""https://docs.google.com/spreadsheets/d/14Bd19lYaqBhU8_DElYkX7l4wRkHqqCUFNJY4AfY3kHU/edit?usp=sharing  #gid=0"",""фіз особи new!relations_name""),6,FALSE)
,
(IF
(
G660=""юридична особа""
,
VLOOKUP(H6"&amp;"60,IMPORTRANGE(""https://docs.google.com/spreadsheets/d/14Bd19lYaqBhU8_DElYkX7l4wRkHqqCUFNJY4AfY3kHU/edit?usp=sharing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659" s="7" t="s">
        <v>29</v>
      </c>
    </row>
    <row r="660" spans="1:10" ht="13.2">
      <c r="A660" s="7">
        <v>659</v>
      </c>
      <c r="B660" s="7">
        <v>1</v>
      </c>
      <c r="C660" s="7" t="s">
        <v>10</v>
      </c>
      <c r="D660" s="7">
        <v>258</v>
      </c>
      <c r="E660" s="7" t="s">
        <v>29</v>
      </c>
      <c r="F660" s="8" t="str">
        <f ca="1">IFERROR(__xludf.DUMMYFUNCTION("IF
(
C661=""фізична особа""
,
VLOOKUP(D661,IMPORTRANGE(""https://docs.google.com/spreadsheets/d/14Bd19lYaqBhU8_DElYkX7l4wRkHqqCUFNJY4AfY3kHU/edit?usp=sharing  #gid=0"",""фіз особи new!relations_name""),6,FALSE)
,
(IF
(
C661=""юридична особа""
,
VLOOKUP(D6"&amp;"61,IMPORTRANGE(""https://docs.google.com/spreadsheets/d/14Bd19lYaqBhU8_DElYkX7l4wRkHqqCUFNJY4AfY3kHU/edit?usp=sharing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G660" s="7" t="s">
        <v>10</v>
      </c>
      <c r="H660" s="7">
        <v>417</v>
      </c>
      <c r="I660" s="8" t="str">
        <f ca="1">IFERROR(__xludf.DUMMYFUNCTION("IF
(
G661=""фізична особа""
,
VLOOKUP(H661,IMPORTRANGE(""https://docs.google.com/spreadsheets/d/14Bd19lYaqBhU8_DElYkX7l4wRkHqqCUFNJY4AfY3kHU/edit?usp=sharing  #gid=0"",""фіз особи new!relations_name""),6,FALSE)
,
(IF
(
G661=""юридична особа""
,
VLOOKUP(H6"&amp;"61,IMPORTRANGE(""https://docs.google.com/spreadsheets/d/14Bd19lYaqBhU8_DElYkX7l4wRkHqqCUFNJY4AfY3kHU/edit?usp=sharing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J660" s="7" t="s">
        <v>28</v>
      </c>
    </row>
    <row r="661" spans="1:10" ht="13.2">
      <c r="A661" s="7">
        <v>660</v>
      </c>
      <c r="B661" s="7">
        <v>1</v>
      </c>
      <c r="C661" s="7" t="s">
        <v>10</v>
      </c>
      <c r="D661" s="7">
        <v>258</v>
      </c>
      <c r="E661" s="7" t="s">
        <v>29</v>
      </c>
      <c r="F661" s="8" t="str">
        <f ca="1">IFERROR(__xludf.DUMMYFUNCTION("IF
(
C662=""фізична особа""
,
VLOOKUP(D662,IMPORTRANGE(""https://docs.google.com/spreadsheets/d/14Bd19lYaqBhU8_DElYkX7l4wRkHqqCUFNJY4AfY3kHU/edit?usp=sharing  #gid=0"",""фіз особи new!relations_name""),6,FALSE)
,
(IF
(
C662=""юридична особа""
,
VLOOKUP(D6"&amp;"62,IMPORTRANGE(""https://docs.google.com/spreadsheets/d/14Bd19lYaqBhU8_DElYkX7l4wRkHqqCUFNJY4AfY3kHU/edit?usp=sharing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G661" s="7" t="s">
        <v>10</v>
      </c>
      <c r="H661" s="7">
        <v>152</v>
      </c>
      <c r="I661" s="8" t="str">
        <f ca="1">IFERROR(__xludf.DUMMYFUNCTION("IF
(
G662=""фізична особа""
,
VLOOKUP(H662,IMPORTRANGE(""https://docs.google.com/spreadsheets/d/14Bd19lYaqBhU8_DElYkX7l4wRkHqqCUFNJY4AfY3kHU/edit?usp=sharing  #gid=0"",""фіз особи new!relations_name""),6,FALSE)
,
(IF
(
G662=""юридична особа""
,
VLOOKUP(H6"&amp;"62,IMPORTRANGE(""https://docs.google.com/spreadsheets/d/14Bd19lYaqBhU8_DElYkX7l4wRkHqqCUFNJY4AfY3kHU/edit?usp=sharing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J661" s="7" t="s">
        <v>28</v>
      </c>
    </row>
    <row r="662" spans="1:10" ht="13.2">
      <c r="A662" s="7">
        <v>661</v>
      </c>
      <c r="B662" s="7">
        <v>1</v>
      </c>
      <c r="C662" s="7" t="s">
        <v>10</v>
      </c>
      <c r="D662" s="7">
        <v>258</v>
      </c>
      <c r="E662" s="7" t="s">
        <v>29</v>
      </c>
      <c r="F662" s="8" t="str">
        <f ca="1">IFERROR(__xludf.DUMMYFUNCTION("IF
(
C663=""фізична особа""
,
VLOOKUP(D663,IMPORTRANGE(""https://docs.google.com/spreadsheets/d/14Bd19lYaqBhU8_DElYkX7l4wRkHqqCUFNJY4AfY3kHU/edit?usp=sharing  #gid=0"",""фіз особи new!relations_name""),6,FALSE)
,
(IF
(
C663=""юридична особа""
,
VLOOKUP(D6"&amp;"63,IMPORTRANGE(""https://docs.google.com/spreadsheets/d/14Bd19lYaqBhU8_DElYkX7l4wRkHqqCUFNJY4AfY3kHU/edit?usp=sharing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G662" s="7" t="s">
        <v>10</v>
      </c>
      <c r="H662" s="7">
        <v>353</v>
      </c>
      <c r="I662" s="8" t="str">
        <f ca="1">IFERROR(__xludf.DUMMYFUNCTION("IF
(
G663=""фізична особа""
,
VLOOKUP(H663,IMPORTRANGE(""https://docs.google.com/spreadsheets/d/14Bd19lYaqBhU8_DElYkX7l4wRkHqqCUFNJY4AfY3kHU/edit?usp=sharing  #gid=0"",""фіз особи new!relations_name""),6,FALSE)
,
(IF
(
G663=""юридична особа""
,
VLOOKUP(H6"&amp;"63,IMPORTRANGE(""https://docs.google.com/spreadsheets/d/14Bd19lYaqBhU8_DElYkX7l4wRkHqqCUFNJY4AfY3kHU/edit?usp=sharing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J662" s="7" t="s">
        <v>28</v>
      </c>
    </row>
    <row r="663" spans="1:10" ht="13.2">
      <c r="A663" s="7">
        <v>662</v>
      </c>
      <c r="B663" s="7">
        <v>1</v>
      </c>
      <c r="C663" s="7" t="s">
        <v>10</v>
      </c>
      <c r="D663" s="7">
        <v>259</v>
      </c>
      <c r="E663" s="7" t="s">
        <v>14</v>
      </c>
      <c r="F663" s="8" t="str">
        <f ca="1">IFERROR(__xludf.DUMMYFUNCTION("IF
(
C664=""фізична особа""
,
VLOOKUP(D664,IMPORTRANGE(""https://docs.google.com/spreadsheets/d/14Bd19lYaqBhU8_DElYkX7l4wRkHqqCUFNJY4AfY3kHU/edit?usp=sharing  #gid=0"",""фіз особи new!relations_name""),6,FALSE)
,
(IF
(
C664=""юридична особа""
,
VLOOKUP(D6"&amp;"64,IMPORTRANGE(""https://docs.google.com/spreadsheets/d/14Bd19lYaqBhU8_DElYkX7l4wRkHqqCUFNJY4AfY3kHU/edit?usp=sharing  #gid=0"",""фіз особи new!relations_name_uo""),7,FALSE)
,
)
))"),"ПУМПЯНСЬКА Галина Євгенівна")</f>
        <v>ПУМПЯНСЬКА Галина Євгенівна</v>
      </c>
      <c r="G663" s="7" t="s">
        <v>10</v>
      </c>
      <c r="H663" s="7">
        <v>178</v>
      </c>
      <c r="I663" s="8" t="str">
        <f ca="1">IFERROR(__xludf.DUMMYFUNCTION("IF
(
G664=""фізична особа""
,
VLOOKUP(H664,IMPORTRANGE(""https://docs.google.com/spreadsheets/d/14Bd19lYaqBhU8_DElYkX7l4wRkHqqCUFNJY4AfY3kHU/edit?usp=sharing  #gid=0"",""фіз особи new!relations_name""),6,FALSE)
,
(IF
(
G664=""юридична особа""
,
VLOOKUP(H6"&amp;"64,IMPORTRANGE(""https://docs.google.com/spreadsheets/d/14Bd19lYaqBhU8_DElYkX7l4wRkHqqCUFNJY4AfY3kHU/edit?usp=sharing  #gid=0"",""фіз особи new!relations_name_uo""),7,FALSE)
,
)
))"),"ПУМПЯНСЬКИЙ Дмитро Олександрович")</f>
        <v>ПУМПЯНСЬКИЙ Дмитро Олександрович</v>
      </c>
      <c r="J663" s="7" t="s">
        <v>15</v>
      </c>
    </row>
    <row r="664" spans="1:10" ht="13.2">
      <c r="A664" s="7">
        <v>663</v>
      </c>
      <c r="B664" s="7">
        <v>1</v>
      </c>
      <c r="C664" s="7" t="s">
        <v>10</v>
      </c>
      <c r="D664" s="7">
        <v>259</v>
      </c>
      <c r="E664" s="7" t="s">
        <v>12</v>
      </c>
      <c r="F664" s="8" t="str">
        <f ca="1">IFERROR(__xludf.DUMMYFUNCTION("IF
(
C665=""фізична особа""
,
VLOOKUP(D665,IMPORTRANGE(""https://docs.google.com/spreadsheets/d/14Bd19lYaqBhU8_DElYkX7l4wRkHqqCUFNJY4AfY3kHU/edit?usp=sharing  #gid=0"",""фіз особи new!relations_name""),6,FALSE)
,
(IF
(
C665=""юридична особа""
,
VLOOKUP(D6"&amp;"65,IMPORTRANGE(""https://docs.google.com/spreadsheets/d/14Bd19lYaqBhU8_DElYkX7l4wRkHqqCUFNJY4AfY3kHU/edit?usp=sharing  #gid=0"",""фіз особи new!relations_name_uo""),7,FALSE)
,
)
))"),"ПУМПЯНСЬКА Галина Євгенівна")</f>
        <v>ПУМПЯНСЬКА Галина Євгенівна</v>
      </c>
      <c r="G664" s="7" t="s">
        <v>10</v>
      </c>
      <c r="H664" s="7">
        <v>446</v>
      </c>
      <c r="I664" s="8" t="str">
        <f ca="1">IFERROR(__xludf.DUMMYFUNCTION("IF
(
G665=""фізична особа""
,
VLOOKUP(H665,IMPORTRANGE(""https://docs.google.com/spreadsheets/d/14Bd19lYaqBhU8_DElYkX7l4wRkHqqCUFNJY4AfY3kHU/edit?usp=sharing  #gid=0"",""фіз особи new!relations_name""),6,FALSE)
,
(IF
(
G665=""юридична особа""
,
VLOOKUP(H6"&amp;"65,IMPORTRANGE(""https://docs.google.com/spreadsheets/d/14Bd19lYaqBhU8_DElYkX7l4wRkHqqCUFNJY4AfY3kHU/edit?usp=sharing  #gid=0"",""фіз особи new!relations_name_uo""),7,FALSE)
,
)
))"),"ПУМПЯНСЬКИЙ Олександр Дмитрович")</f>
        <v>ПУМПЯНСЬКИЙ Олександр Дмитрович</v>
      </c>
      <c r="J664" s="7" t="s">
        <v>17</v>
      </c>
    </row>
    <row r="665" spans="1:10" ht="13.2">
      <c r="A665" s="7">
        <v>664</v>
      </c>
      <c r="B665" s="7">
        <v>1</v>
      </c>
      <c r="C665" s="7" t="s">
        <v>10</v>
      </c>
      <c r="D665" s="7">
        <v>260</v>
      </c>
      <c r="E665" s="7" t="s">
        <v>21</v>
      </c>
      <c r="F665" s="8" t="str">
        <f ca="1">IFERROR(__xludf.DUMMYFUNCTION("IF
(
C666=""фізична особа""
,
VLOOKUP(D666,IMPORTRANGE(""https://docs.google.com/spreadsheets/d/14Bd19lYaqBhU8_DElYkX7l4wRkHqqCUFNJY4AfY3kHU/edit?usp=sharing  #gid=0"",""фіз особи new!relations_name""),6,FALSE)
,
(IF
(
C666=""юридична особа""
,
VLOOKUP(D6"&amp;"66,IMPORTRANGE(""https://docs.google.com/spreadsheets/d/14Bd19lYaqBhU8_DElYkX7l4wRkHqqCUFNJY4AfY3kHU/edit?usp=sharing  #gid=0"",""фіз особи new!relations_name_uo""),7,FALSE)
,
)
))"),"ДАНЧІКОВА Галина Інокентіївна")</f>
        <v>ДАНЧІКОВА Галина Інокентіївна</v>
      </c>
      <c r="G665" s="7" t="s">
        <v>10</v>
      </c>
      <c r="H665" s="7">
        <v>5093</v>
      </c>
      <c r="I665" s="8" t="str">
        <f ca="1">IFERROR(__xludf.DUMMYFUNCTION("IF
(
G666=""фізична особа""
,
VLOOKUP(H666,IMPORTRANGE(""https://docs.google.com/spreadsheets/d/14Bd19lYaqBhU8_DElYkX7l4wRkHqqCUFNJY4AfY3kHU/edit?usp=sharing  #gid=0"",""фіз особи new!relations_name""),6,FALSE)
,
(IF
(
G666=""юридична особа""
,
VLOOKUP(H6"&amp;"66,IMPORTRANGE(""https://docs.google.com/spreadsheets/d/14Bd19lYaqBhU8_DElYkX7l4wRkHqqCUFNJY4AfY3kHU/edit?usp=sharing  #gid=0"",""фіз особи new!relations_name_uo""),7,FALSE)
,
)
))"),"ДАНЧИКОВ Євгеній Олександрович")</f>
        <v>ДАНЧИКОВ Євгеній Олександрович</v>
      </c>
      <c r="J665" s="7" t="s">
        <v>17</v>
      </c>
    </row>
    <row r="666" spans="1:10" ht="13.2">
      <c r="A666" s="7">
        <v>665</v>
      </c>
      <c r="B666" s="7">
        <v>1</v>
      </c>
      <c r="C666" s="7" t="s">
        <v>10</v>
      </c>
      <c r="D666" s="7">
        <v>260</v>
      </c>
      <c r="E666" s="7" t="s">
        <v>58</v>
      </c>
      <c r="F666" s="8" t="str">
        <f ca="1">IFERROR(__xludf.DUMMYFUNCTION("IF
(
C667=""фізична особа""
,
VLOOKUP(D667,IMPORTRANGE(""https://docs.google.com/spreadsheets/d/14Bd19lYaqBhU8_DElYkX7l4wRkHqqCUFNJY4AfY3kHU/edit?usp=sharing  #gid=0"",""фіз особи new!relations_name""),6,FALSE)
,
(IF
(
C667=""юридична особа""
,
VLOOKUP(D6"&amp;"67,IMPORTRANGE(""https://docs.google.com/spreadsheets/d/14Bd19lYaqBhU8_DElYkX7l4wRkHqqCUFNJY4AfY3kHU/edit?usp=sharing  #gid=0"",""фіз особи new!relations_name_uo""),7,FALSE)
,
)
))"),"ДАНЧІКОВА Галина Інокентіївна")</f>
        <v>ДАНЧІКОВА Галина Інокентіївна</v>
      </c>
      <c r="G666" s="7" t="s">
        <v>10</v>
      </c>
      <c r="H666" s="7">
        <v>5094</v>
      </c>
      <c r="I666" s="8" t="str">
        <f ca="1">IFERROR(__xludf.DUMMYFUNCTION("IF
(
G667=""фізична особа""
,
VLOOKUP(H667,IMPORTRANGE(""https://docs.google.com/spreadsheets/d/14Bd19lYaqBhU8_DElYkX7l4wRkHqqCUFNJY4AfY3kHU/edit?usp=sharing  #gid=0"",""фіз особи new!relations_name""),6,FALSE)
,
(IF
(
G667=""юридична особа""
,
VLOOKUP(H6"&amp;"67,IMPORTRANGE(""https://docs.google.com/spreadsheets/d/14Bd19lYaqBhU8_DElYkX7l4wRkHqqCUFNJY4AfY3kHU/edit?usp=sharing  #gid=0"",""фіз особи new!relations_name_uo""),7,FALSE)
,
)
))"),"ДАНЧИКОВА Наталія Юріївна")</f>
        <v>ДАНЧИКОВА Наталія Юріївна</v>
      </c>
      <c r="J666" s="7" t="s">
        <v>25</v>
      </c>
    </row>
    <row r="667" spans="1:10" ht="13.2">
      <c r="A667" s="7">
        <v>666</v>
      </c>
      <c r="B667" s="7">
        <v>1</v>
      </c>
      <c r="C667" s="7" t="s">
        <v>10</v>
      </c>
      <c r="D667" s="7">
        <v>261</v>
      </c>
      <c r="E667" s="7" t="s">
        <v>21</v>
      </c>
      <c r="F667" s="8" t="str">
        <f ca="1">IFERROR(__xludf.DUMMYFUNCTION("IF
(
C668=""фізична особа""
,
VLOOKUP(D668,IMPORTRANGE(""https://docs.google.com/spreadsheets/d/14Bd19lYaqBhU8_DElYkX7l4wRkHqqCUFNJY4AfY3kHU/edit?usp=sharing  #gid=0"",""фіз особи new!relations_name""),6,FALSE)
,
(IF
(
C668=""юридична особа""
,
VLOOKUP(D6"&amp;"68,IMPORTRANGE(""https://docs.google.com/spreadsheets/d/14Bd19lYaqBhU8_DElYkX7l4wRkHqqCUFNJY4AfY3kHU/edit?usp=sharing  #gid=0"",""фіз особи new!relations_name_uo""),7,FALSE)
,
)
))"),"КАРЄЛОВА Галина Миколаївна")</f>
        <v>КАРЄЛОВА Галина Миколаївна</v>
      </c>
      <c r="G667" s="7" t="s">
        <v>10</v>
      </c>
      <c r="H667" s="7">
        <v>4358</v>
      </c>
      <c r="I667" s="8" t="str">
        <f ca="1">IFERROR(__xludf.DUMMYFUNCTION("IF
(
G668=""фізична особа""
,
VLOOKUP(H668,IMPORTRANGE(""https://docs.google.com/spreadsheets/d/14Bd19lYaqBhU8_DElYkX7l4wRkHqqCUFNJY4AfY3kHU/edit?usp=sharing  #gid=0"",""фіз особи new!relations_name""),6,FALSE)
,
(IF
(
G668=""юридична особа""
,
VLOOKUP(H6"&amp;"68,IMPORTRANGE(""https://docs.google.com/spreadsheets/d/14Bd19lYaqBhU8_DElYkX7l4wRkHqqCUFNJY4AfY3kHU/edit?usp=sharing  #gid=0"",""фіз особи new!relations_name_uo""),7,FALSE)
,
)
))"),"КАРЕЛОВ Євгеній Олександрович")</f>
        <v>КАРЕЛОВ Євгеній Олександрович</v>
      </c>
      <c r="J667" s="7" t="s">
        <v>17</v>
      </c>
    </row>
    <row r="668" spans="1:10" ht="13.2">
      <c r="A668" s="7">
        <v>667</v>
      </c>
      <c r="B668" s="7">
        <v>1</v>
      </c>
      <c r="C668" s="7" t="s">
        <v>10</v>
      </c>
      <c r="D668" s="7">
        <v>261</v>
      </c>
      <c r="E668" s="7" t="s">
        <v>35</v>
      </c>
      <c r="F668" s="8" t="str">
        <f ca="1">IFERROR(__xludf.DUMMYFUNCTION("IF
(
C669=""фізична особа""
,
VLOOKUP(D669,IMPORTRANGE(""https://docs.google.com/spreadsheets/d/14Bd19lYaqBhU8_DElYkX7l4wRkHqqCUFNJY4AfY3kHU/edit?usp=sharing  #gid=0"",""фіз особи new!relations_name""),6,FALSE)
,
(IF
(
C669=""юридична особа""
,
VLOOKUP(D6"&amp;"69,IMPORTRANGE(""https://docs.google.com/spreadsheets/d/14Bd19lYaqBhU8_DElYkX7l4wRkHqqCUFNJY4AfY3kHU/edit?usp=sharing  #gid=0"",""фіз особи new!relations_name_uo""),7,FALSE)
,
)
))"),"КАРЄЛОВА Галина Миколаївна")</f>
        <v>КАРЄЛОВА Галина Миколаївна</v>
      </c>
      <c r="G668" s="7" t="s">
        <v>10</v>
      </c>
      <c r="H668" s="7">
        <v>12829</v>
      </c>
      <c r="I668" s="8" t="str">
        <f ca="1">IFERROR(__xludf.DUMMYFUNCTION("IF
(
G669=""фізична особа""
,
VLOOKUP(H669,IMPORTRANGE(""https://docs.google.com/spreadsheets/d/14Bd19lYaqBhU8_DElYkX7l4wRkHqqCUFNJY4AfY3kHU/edit?usp=sharing  #gid=0"",""фіз особи new!relations_name""),6,FALSE)
,
(IF
(
G669=""юридична особа""
,
VLOOKUP(H6"&amp;"69,IMPORTRANGE(""https://docs.google.com/spreadsheets/d/14Bd19lYaqBhU8_DElYkX7l4wRkHqqCUFNJY4AfY3kHU/edit?usp=sharing  #gid=0"",""фіз особи new!relations_name_uo""),7,FALSE)
,
)
))"),"ГЕРАСИМОВА Надія Василівна")</f>
        <v>ГЕРАСИМОВА Надія Василівна</v>
      </c>
      <c r="J668" s="7" t="s">
        <v>35</v>
      </c>
    </row>
    <row r="669" spans="1:10" ht="13.2">
      <c r="A669" s="7">
        <v>668</v>
      </c>
      <c r="B669" s="7">
        <v>1</v>
      </c>
      <c r="C669" s="7" t="s">
        <v>10</v>
      </c>
      <c r="D669" s="7">
        <v>261</v>
      </c>
      <c r="E669" s="7" t="s">
        <v>43</v>
      </c>
      <c r="F669" s="8" t="str">
        <f ca="1">IFERROR(__xludf.DUMMYFUNCTION("IF
(
C670=""фізична особа""
,
VLOOKUP(D670,IMPORTRANGE(""https://docs.google.com/spreadsheets/d/14Bd19lYaqBhU8_DElYkX7l4wRkHqqCUFNJY4AfY3kHU/edit?usp=sharing  #gid=0"",""фіз особи new!relations_name""),6,FALSE)
,
(IF
(
C670=""юридична особа""
,
VLOOKUP(D6"&amp;"70,IMPORTRANGE(""https://docs.google.com/spreadsheets/d/14Bd19lYaqBhU8_DElYkX7l4wRkHqqCUFNJY4AfY3kHU/edit?usp=sharing  #gid=0"",""фіз особи new!relations_name_uo""),7,FALSE)
,
)
))"),"КАРЄЛОВА Галина Миколаївна")</f>
        <v>КАРЄЛОВА Галина Миколаївна</v>
      </c>
      <c r="G669" s="7" t="s">
        <v>10</v>
      </c>
      <c r="H669" s="7">
        <v>0</v>
      </c>
      <c r="I669" s="8" t="str">
        <f ca="1">IFERROR(__xludf.DUMMYFUNCTION("IF
(
G670=""фізична особа""
,
VLOOKUP(H670,IMPORTRANGE(""https://docs.google.com/spreadsheets/d/14Bd19lYaqBhU8_DElYkX7l4wRkHqqCUFNJY4AfY3kHU/edit?usp=sharing  #gid=0"",""фіз особи new!relations_name""),6,FALSE)
,
(IF
(
G670=""юридична особа""
,
VLOOKUP(H6"&amp;"70,IMPORTRANGE(""https://docs.google.com/spreadsheets/d/14Bd19lYaqBhU8_DElYkX7l4wRkHqqCUFNJY4AfY3kHU/edit?usp=sharing  #gid=0"",""фіз особи new!relations_name_uo""),7,FALSE)
,
)
))"),"#N/A")</f>
        <v>#N/A</v>
      </c>
      <c r="J669" s="7" t="s">
        <v>42</v>
      </c>
    </row>
    <row r="670" spans="1:10" ht="13.2">
      <c r="A670" s="7">
        <v>669</v>
      </c>
      <c r="B670" s="7">
        <v>1</v>
      </c>
      <c r="C670" s="7" t="s">
        <v>10</v>
      </c>
      <c r="D670" s="7">
        <v>262</v>
      </c>
      <c r="E670" s="7" t="s">
        <v>27</v>
      </c>
      <c r="F670" s="8" t="str">
        <f ca="1">IFERROR(__xludf.DUMMYFUNCTION("IF
(
C671=""фізична особа""
,
VLOOKUP(D671,IMPORTRANGE(""https://docs.google.com/spreadsheets/d/14Bd19lYaqBhU8_DElYkX7l4wRkHqqCUFNJY4AfY3kHU/edit?usp=sharing  #gid=0"",""фіз особи new!relations_name""),6,FALSE)
,
(IF
(
C671=""юридична особа""
,
VLOOKUP(D6"&amp;"71,IMPORTRANGE(""https://docs.google.com/spreadsheets/d/14Bd19lYaqBhU8_DElYkX7l4wRkHqqCUFNJY4AfY3kHU/edit?usp=sharing  #gid=0"",""фіз особи new!relations_name_uo""),7,FALSE)
,
)
))"),"СОЛОДУН Галина Миколаївна")</f>
        <v>СОЛОДУН Галина Миколаївна</v>
      </c>
      <c r="G670" s="7" t="s">
        <v>10</v>
      </c>
      <c r="H670" s="7">
        <v>0</v>
      </c>
      <c r="I670" s="8" t="str">
        <f ca="1">IFERROR(__xludf.DUMMYFUNCTION("IF
(
G671=""фізична особа""
,
VLOOKUP(H671,IMPORTRANGE(""https://docs.google.com/spreadsheets/d/14Bd19lYaqBhU8_DElYkX7l4wRkHqqCUFNJY4AfY3kHU/edit?usp=sharing  #gid=0"",""фіз особи new!relations_name""),6,FALSE)
,
(IF
(
G671=""юридична особа""
,
VLOOKUP(H6"&amp;"71,IMPORTRANGE(""https://docs.google.com/spreadsheets/d/14Bd19lYaqBhU8_DElYkX7l4wRkHqqCUFNJY4AfY3kHU/edit?usp=sharing  #gid=0"",""фіз особи new!relations_name_uo""),7,FALSE)
,
)
))"),"#N/A")</f>
        <v>#N/A</v>
      </c>
      <c r="J670" s="7" t="s">
        <v>26</v>
      </c>
    </row>
    <row r="671" spans="1:10" ht="13.2">
      <c r="A671" s="7">
        <v>670</v>
      </c>
      <c r="B671" s="7">
        <v>1</v>
      </c>
      <c r="C671" s="7" t="s">
        <v>10</v>
      </c>
      <c r="D671" s="7">
        <v>263</v>
      </c>
      <c r="E671" s="7" t="s">
        <v>15</v>
      </c>
      <c r="F671" s="8" t="str">
        <f ca="1">IFERROR(__xludf.DUMMYFUNCTION("IF
(
C672=""фізична особа""
,
VLOOKUP(D672,IMPORTRANGE(""https://docs.google.com/spreadsheets/d/14Bd19lYaqBhU8_DElYkX7l4wRkHqqCUFNJY4AfY3kHU/edit?usp=sharing  #gid=0"",""фіз особи new!relations_name""),6,FALSE)
,
(IF
(
C672=""юридична особа""
,
VLOOKUP(D6"&amp;"72,IMPORTRANGE(""https://docs.google.com/spreadsheets/d/14Bd19lYaqBhU8_DElYkX7l4wRkHqqCUFNJY4AfY3kHU/edit?usp=sharing  #gid=0"",""фіз особи new!relations_name_uo""),7,FALSE)
,
)
))"),"УЛЮТІНА / СОЛОВ'ЄВА Галина Олегівна")</f>
        <v>УЛЮТІНА / СОЛОВ'ЄВА Галина Олегівна</v>
      </c>
      <c r="G671" s="7" t="s">
        <v>10</v>
      </c>
      <c r="H671" s="7">
        <v>937</v>
      </c>
      <c r="I671" s="8" t="str">
        <f ca="1">IFERROR(__xludf.DUMMYFUNCTION("IF
(
G672=""фізична особа""
,
VLOOKUP(H672,IMPORTRANGE(""https://docs.google.com/spreadsheets/d/14Bd19lYaqBhU8_DElYkX7l4wRkHqqCUFNJY4AfY3kHU/edit?usp=sharing  #gid=0"",""фіз особи new!relations_name""),6,FALSE)
,
(IF
(
G672=""юридична особа""
,
VLOOKUP(H6"&amp;"72,IMPORTRANGE(""https://docs.google.com/spreadsheets/d/14Bd19lYaqBhU8_DElYkX7l4wRkHqqCUFNJY4AfY3kHU/edit?usp=sharing  #gid=0"",""фіз особи new!relations_name_uo""),7,FALSE)
,
)
))"),"СОЛОВЙОВ Юрій Олексійович")</f>
        <v>СОЛОВЙОВ Юрій Олексійович</v>
      </c>
      <c r="J671" s="7" t="s">
        <v>14</v>
      </c>
    </row>
    <row r="672" spans="1:10" ht="13.2">
      <c r="A672" s="7">
        <v>671</v>
      </c>
      <c r="B672" s="7">
        <v>1</v>
      </c>
      <c r="C672" s="7" t="s">
        <v>10</v>
      </c>
      <c r="D672" s="7">
        <v>264</v>
      </c>
      <c r="E672" s="7" t="s">
        <v>15</v>
      </c>
      <c r="F672" s="8" t="str">
        <f ca="1">IFERROR(__xludf.DUMMYFUNCTION("IF
(
C673=""фізична особа""
,
VLOOKUP(D673,IMPORTRANGE(""https://docs.google.com/spreadsheets/d/14Bd19lYaqBhU8_DElYkX7l4wRkHqqCUFNJY4AfY3kHU/edit?usp=sharing  #gid=0"",""фіз особи new!relations_name""),6,FALSE)
,
(IF
(
C673=""юридична особа""
,
VLOOKUP(D6"&amp;"73,IMPORTRANGE(""https://docs.google.com/spreadsheets/d/14Bd19lYaqBhU8_DElYkX7l4wRkHqqCUFNJY4AfY3kHU/edit?usp=sharing  #gid=0"",""фіз особи new!relations_name_uo""),7,FALSE)
,
)
))"),"ХОВАНСЬКА Галина Петрівна")</f>
        <v>ХОВАНСЬКА Галина Петрівна</v>
      </c>
      <c r="G672" s="7" t="s">
        <v>10</v>
      </c>
      <c r="H672" s="7">
        <v>5095</v>
      </c>
      <c r="I672" s="8" t="str">
        <f ca="1">IFERROR(__xludf.DUMMYFUNCTION("IF
(
G673=""фізична особа""
,
VLOOKUP(H673,IMPORTRANGE(""https://docs.google.com/spreadsheets/d/14Bd19lYaqBhU8_DElYkX7l4wRkHqqCUFNJY4AfY3kHU/edit?usp=sharing  #gid=0"",""фіз особи new!relations_name""),6,FALSE)
,
(IF
(
G673=""юридична особа""
,
VLOOKUP(H6"&amp;"73,IMPORTRANGE(""https://docs.google.com/spreadsheets/d/14Bd19lYaqBhU8_DElYkX7l4wRkHqqCUFNJY4AfY3kHU/edit?usp=sharing  #gid=0"",""фіз особи new!relations_name_uo""),7,FALSE)
,
)
))"),"ХОВАНСЬКИЙ Валерій Дмитрович")</f>
        <v>ХОВАНСЬКИЙ Валерій Дмитрович</v>
      </c>
      <c r="J672" s="7" t="s">
        <v>14</v>
      </c>
    </row>
    <row r="673" spans="1:10" ht="13.2">
      <c r="A673" s="7">
        <v>672</v>
      </c>
      <c r="B673" s="7">
        <v>1</v>
      </c>
      <c r="C673" s="7" t="s">
        <v>10</v>
      </c>
      <c r="D673" s="7">
        <v>265</v>
      </c>
      <c r="E673" s="7" t="s">
        <v>12</v>
      </c>
      <c r="F673" s="8" t="str">
        <f ca="1">IFERROR(__xludf.DUMMYFUNCTION("IF
(
C674=""фізична особа""
,
VLOOKUP(D674,IMPORTRANGE(""https://docs.google.com/spreadsheets/d/14Bd19lYaqBhU8_DElYkX7l4wRkHqqCUFNJY4AfY3kHU/edit?usp=sharing  #gid=0"",""фіз особи new!relations_name""),6,FALSE)
,
(IF
(
C674=""юридична особа""
,
VLOOKUP(D6"&amp;"74,IMPORTRANGE(""https://docs.google.com/spreadsheets/d/14Bd19lYaqBhU8_DElYkX7l4wRkHqqCUFNJY4AfY3kHU/edit?usp=sharing  #gid=0"",""фіз особи new!relations_name_uo""),7,FALSE)
,
)
))"),"ПАНІН Геннадій Олегович")</f>
        <v>ПАНІН Геннадій Олегович</v>
      </c>
      <c r="G673" s="7" t="s">
        <v>10</v>
      </c>
      <c r="H673" s="7">
        <v>0</v>
      </c>
      <c r="I673" s="8" t="str">
        <f ca="1">IFERROR(__xludf.DUMMYFUNCTION("IF
(
G674=""фізична особа""
,
VLOOKUP(H674,IMPORTRANGE(""https://docs.google.com/spreadsheets/d/14Bd19lYaqBhU8_DElYkX7l4wRkHqqCUFNJY4AfY3kHU/edit?usp=sharing  #gid=0"",""фіз особи new!relations_name""),6,FALSE)
,
(IF
(
G674=""юридична особа""
,
VLOOKUP(H6"&amp;"74,IMPORTRANGE(""https://docs.google.com/spreadsheets/d/14Bd19lYaqBhU8_DElYkX7l4wRkHqqCUFNJY4AfY3kHU/edit?usp=sharing  #gid=0"",""фіз особи new!relations_name_uo""),7,FALSE)
,
)
))"),"#N/A")</f>
        <v>#N/A</v>
      </c>
      <c r="J673" s="7" t="s">
        <v>17</v>
      </c>
    </row>
    <row r="674" spans="1:10" ht="13.2">
      <c r="A674" s="7">
        <v>673</v>
      </c>
      <c r="B674" s="7">
        <v>1</v>
      </c>
      <c r="C674" s="7" t="s">
        <v>10</v>
      </c>
      <c r="D674" s="7">
        <v>265</v>
      </c>
      <c r="E674" s="7" t="s">
        <v>12</v>
      </c>
      <c r="F674" s="8" t="str">
        <f ca="1">IFERROR(__xludf.DUMMYFUNCTION("IF
(
C675=""фізична особа""
,
VLOOKUP(D675,IMPORTRANGE(""https://docs.google.com/spreadsheets/d/14Bd19lYaqBhU8_DElYkX7l4wRkHqqCUFNJY4AfY3kHU/edit?usp=sharing  #gid=0"",""фіз особи new!relations_name""),6,FALSE)
,
(IF
(
C675=""юридична особа""
,
VLOOKUP(D6"&amp;"75,IMPORTRANGE(""https://docs.google.com/spreadsheets/d/14Bd19lYaqBhU8_DElYkX7l4wRkHqqCUFNJY4AfY3kHU/edit?usp=sharing  #gid=0"",""фіз особи new!relations_name_uo""),7,FALSE)
,
)
))"),"ПАНІН Геннадій Олегович")</f>
        <v>ПАНІН Геннадій Олегович</v>
      </c>
      <c r="G674" s="7" t="s">
        <v>10</v>
      </c>
      <c r="H674" s="7">
        <v>0</v>
      </c>
      <c r="I674" s="8" t="str">
        <f ca="1">IFERROR(__xludf.DUMMYFUNCTION("IF
(
G675=""фізична особа""
,
VLOOKUP(H675,IMPORTRANGE(""https://docs.google.com/spreadsheets/d/14Bd19lYaqBhU8_DElYkX7l4wRkHqqCUFNJY4AfY3kHU/edit?usp=sharing  #gid=0"",""фіз особи new!relations_name""),6,FALSE)
,
(IF
(
G675=""юридична особа""
,
VLOOKUP(H6"&amp;"75,IMPORTRANGE(""https://docs.google.com/spreadsheets/d/14Bd19lYaqBhU8_DElYkX7l4wRkHqqCUFNJY4AfY3kHU/edit?usp=sharing  #gid=0"",""фіз особи new!relations_name_uo""),7,FALSE)
,
)
))"),"#N/A")</f>
        <v>#N/A</v>
      </c>
      <c r="J674" s="7" t="s">
        <v>17</v>
      </c>
    </row>
    <row r="675" spans="1:10" ht="13.2">
      <c r="A675" s="7">
        <v>674</v>
      </c>
      <c r="B675" s="7">
        <v>1</v>
      </c>
      <c r="C675" s="7" t="s">
        <v>10</v>
      </c>
      <c r="D675" s="7">
        <v>266</v>
      </c>
      <c r="E675" s="7" t="s">
        <v>12</v>
      </c>
      <c r="F675" s="8" t="str">
        <f ca="1">IFERROR(__xludf.DUMMYFUNCTION("IF
(
C676=""фізична особа""
,
VLOOKUP(D676,IMPORTRANGE(""https://docs.google.com/spreadsheets/d/14Bd19lYaqBhU8_DElYkX7l4wRkHqqCUFNJY4AfY3kHU/edit?usp=sharing  #gid=0"",""фіз особи new!relations_name""),6,FALSE)
,
(IF
(
C676=""юридична особа""
,
VLOOKUP(D6"&amp;"76,IMPORTRANGE(""https://docs.google.com/spreadsheets/d/14Bd19lYaqBhU8_DElYkX7l4wRkHqqCUFNJY4AfY3kHU/edit?usp=sharing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G675" s="7" t="s">
        <v>10</v>
      </c>
      <c r="H675" s="7">
        <v>5096</v>
      </c>
      <c r="I675" s="8" t="str">
        <f ca="1">IFERROR(__xludf.DUMMYFUNCTION("IF
(
G676=""фізична особа""
,
VLOOKUP(H676,IMPORTRANGE(""https://docs.google.com/spreadsheets/d/14Bd19lYaqBhU8_DElYkX7l4wRkHqqCUFNJY4AfY3kHU/edit?usp=sharing  #gid=0"",""фіз особи new!relations_name""),6,FALSE)
,
(IF
(
G676=""юридична особа""
,
VLOOKUP(H6"&amp;"76,IMPORTRANGE(""https://docs.google.com/spreadsheets/d/14Bd19lYaqBhU8_DElYkX7l4wRkHqqCUFNJY4AfY3kHU/edit?usp=sharing  #gid=0"",""фіз особи new!relations_name_uo""),7,FALSE)
,
)
))"),"СКЛЯР / РИБАЛКІНА Анастасія Геннадіївна")</f>
        <v>СКЛЯР / РИБАЛКІНА Анастасія Геннадіївна</v>
      </c>
      <c r="J675" s="7" t="s">
        <v>13</v>
      </c>
    </row>
    <row r="676" spans="1:10" ht="13.2">
      <c r="A676" s="7">
        <v>675</v>
      </c>
      <c r="B676" s="7">
        <v>1</v>
      </c>
      <c r="C676" s="7" t="s">
        <v>10</v>
      </c>
      <c r="D676" s="7">
        <v>266</v>
      </c>
      <c r="E676" s="7" t="s">
        <v>34</v>
      </c>
      <c r="F676" s="8" t="str">
        <f ca="1">IFERROR(__xludf.DUMMYFUNCTION("IF
(
C677=""фізична особа""
,
VLOOKUP(D677,IMPORTRANGE(""https://docs.google.com/spreadsheets/d/14Bd19lYaqBhU8_DElYkX7l4wRkHqqCUFNJY4AfY3kHU/edit?usp=sharing  #gid=0"",""фіз особи new!relations_name""),6,FALSE)
,
(IF
(
C677=""юридична особа""
,
VLOOKUP(D6"&amp;"77,IMPORTRANGE(""https://docs.google.com/spreadsheets/d/14Bd19lYaqBhU8_DElYkX7l4wRkHqqCUFNJY4AfY3kHU/edit?usp=sharing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G676" s="7" t="s">
        <v>10</v>
      </c>
      <c r="H676" s="7">
        <v>5097</v>
      </c>
      <c r="I676" s="8" t="str">
        <f ca="1">IFERROR(__xludf.DUMMYFUNCTION("IF
(
G677=""фізична особа""
,
VLOOKUP(H677,IMPORTRANGE(""https://docs.google.com/spreadsheets/d/14Bd19lYaqBhU8_DElYkX7l4wRkHqqCUFNJY4AfY3kHU/edit?usp=sharing  #gid=0"",""фіз особи new!relations_name""),6,FALSE)
,
(IF
(
G677=""юридична особа""
,
VLOOKUP(H6"&amp;"77,IMPORTRANGE(""https://docs.google.com/spreadsheets/d/14Bd19lYaqBhU8_DElYkX7l4wRkHqqCUFNJY4AfY3kHU/edit?usp=sharing  #gid=0"",""фіз особи new!relations_name_uo""),7,FALSE)
,
)
))"),"РИБАЛКІН Валерій Федорович")</f>
        <v>РИБАЛКІН Валерій Федорович</v>
      </c>
      <c r="J676" s="7" t="s">
        <v>26</v>
      </c>
    </row>
    <row r="677" spans="1:10" ht="13.2">
      <c r="A677" s="7">
        <v>676</v>
      </c>
      <c r="B677" s="7">
        <v>1</v>
      </c>
      <c r="C677" s="7" t="s">
        <v>10</v>
      </c>
      <c r="D677" s="7">
        <v>267</v>
      </c>
      <c r="E677" s="7" t="s">
        <v>12</v>
      </c>
      <c r="F677" s="8" t="str">
        <f ca="1">IFERROR(__xludf.DUMMYFUNCTION("IF
(
C678=""фізична особа""
,
VLOOKUP(D678,IMPORTRANGE(""https://docs.google.com/spreadsheets/d/14Bd19lYaqBhU8_DElYkX7l4wRkHqqCUFNJY4AfY3kHU/edit?usp=sharing  #gid=0"",""фіз особи new!relations_name""),6,FALSE)
,
(IF
(
C678=""юридична особа""
,
VLOOKUP(D6"&amp;"78,IMPORTRANGE(""https://docs.google.com/spreadsheets/d/14Bd19lYaqBhU8_DElYkX7l4wRkHqqCUFNJY4AfY3kHU/edit?usp=sharing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77" s="7" t="s">
        <v>10</v>
      </c>
      <c r="H677" s="7">
        <v>5098</v>
      </c>
      <c r="I677" s="8" t="str">
        <f ca="1">IFERROR(__xludf.DUMMYFUNCTION("IF
(
G678=""фізична особа""
,
VLOOKUP(H678,IMPORTRANGE(""https://docs.google.com/spreadsheets/d/14Bd19lYaqBhU8_DElYkX7l4wRkHqqCUFNJY4AfY3kHU/edit?usp=sharing  #gid=0"",""фіз особи new!relations_name""),6,FALSE)
,
(IF
(
G678=""юридична особа""
,
VLOOKUP(H6"&amp;"78,IMPORTRANGE(""https://docs.google.com/spreadsheets/d/14Bd19lYaqBhU8_DElYkX7l4wRkHqqCUFNJY4AfY3kHU/edit?usp=sharing  #gid=0"",""фіз особи new!relations_name_uo""),7,FALSE)
,
)
))"),"НІКІФОРОВА Тетяна Геннадіївна")</f>
        <v>НІКІФОРОВА Тетяна Геннадіївна</v>
      </c>
      <c r="J677" s="7" t="s">
        <v>13</v>
      </c>
    </row>
    <row r="678" spans="1:10" ht="13.2">
      <c r="A678" s="7">
        <v>677</v>
      </c>
      <c r="B678" s="7">
        <v>1</v>
      </c>
      <c r="C678" s="7" t="s">
        <v>10</v>
      </c>
      <c r="D678" s="7">
        <v>267</v>
      </c>
      <c r="E678" s="7" t="s">
        <v>12</v>
      </c>
      <c r="F678" s="8" t="str">
        <f ca="1">IFERROR(__xludf.DUMMYFUNCTION("IF
(
C679=""фізична особа""
,
VLOOKUP(D679,IMPORTRANGE(""https://docs.google.com/spreadsheets/d/14Bd19lYaqBhU8_DElYkX7l4wRkHqqCUFNJY4AfY3kHU/edit?usp=sharing  #gid=0"",""фіз особи new!relations_name""),6,FALSE)
,
(IF
(
C679=""юридична особа""
,
VLOOKUP(D6"&amp;"79,IMPORTRANGE(""https://docs.google.com/spreadsheets/d/14Bd19lYaqBhU8_DElYkX7l4wRkHqqCUFNJY4AfY3kHU/edit?usp=sharing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78" s="7" t="s">
        <v>10</v>
      </c>
      <c r="H678" s="7">
        <v>5099</v>
      </c>
      <c r="I678" s="8" t="str">
        <f ca="1">IFERROR(__xludf.DUMMYFUNCTION("IF
(
G679=""фізична особа""
,
VLOOKUP(H679,IMPORTRANGE(""https://docs.google.com/spreadsheets/d/14Bd19lYaqBhU8_DElYkX7l4wRkHqqCUFNJY4AfY3kHU/edit?usp=sharing  #gid=0"",""фіз особи new!relations_name""),6,FALSE)
,
(IF
(
G679=""юридична особа""
,
VLOOKUP(H6"&amp;"79,IMPORTRANGE(""https://docs.google.com/spreadsheets/d/14Bd19lYaqBhU8_DElYkX7l4wRkHqqCUFNJY4AfY3kHU/edit?usp=sharing  #gid=0"",""фіз особи new!relations_name_uo""),7,FALSE)
,
)
))"),"ЗЮГАНОВ Андрій Геннадійович")</f>
        <v>ЗЮГАНОВ Андрій Геннадійович</v>
      </c>
      <c r="J678" s="7" t="s">
        <v>17</v>
      </c>
    </row>
    <row r="679" spans="1:10" ht="13.2">
      <c r="A679" s="7">
        <v>678</v>
      </c>
      <c r="B679" s="7">
        <v>1</v>
      </c>
      <c r="C679" s="7" t="s">
        <v>10</v>
      </c>
      <c r="D679" s="7">
        <v>267</v>
      </c>
      <c r="E679" s="7" t="s">
        <v>24</v>
      </c>
      <c r="F679" s="8" t="str">
        <f ca="1">IFERROR(__xludf.DUMMYFUNCTION("IF
(
C680=""фізична особа""
,
VLOOKUP(D680,IMPORTRANGE(""https://docs.google.com/spreadsheets/d/14Bd19lYaqBhU8_DElYkX7l4wRkHqqCUFNJY4AfY3kHU/edit?usp=sharing  #gid=0"",""фіз особи new!relations_name""),6,FALSE)
,
(IF
(
C680=""юридична особа""
,
VLOOKUP(D6"&amp;"80,IMPORTRANGE(""https://docs.google.com/spreadsheets/d/14Bd19lYaqBhU8_DElYkX7l4wRkHqqCUFNJY4AfY3kHU/edit?usp=sharing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79" s="7" t="s">
        <v>10</v>
      </c>
      <c r="H679" s="7">
        <v>5100</v>
      </c>
      <c r="I679" s="8" t="str">
        <f ca="1">IFERROR(__xludf.DUMMYFUNCTION("IF
(
G680=""фізична особа""
,
VLOOKUP(H680,IMPORTRANGE(""https://docs.google.com/spreadsheets/d/14Bd19lYaqBhU8_DElYkX7l4wRkHqqCUFNJY4AfY3kHU/edit?usp=sharing  #gid=0"",""фіз особи new!relations_name""),6,FALSE)
,
(IF
(
G680=""юридична особа""
,
VLOOKUP(H6"&amp;"80,IMPORTRANGE(""https://docs.google.com/spreadsheets/d/14Bd19lYaqBhU8_DElYkX7l4wRkHqqCUFNJY4AfY3kHU/edit?usp=sharing  #gid=0"",""фіз особи new!relations_name_uo""),7,FALSE)
,
)
))"),"НІКОФОРІВ Сергій Владиславович")</f>
        <v>НІКОФОРІВ Сергій Владиславович</v>
      </c>
      <c r="J679" s="7" t="s">
        <v>26</v>
      </c>
    </row>
    <row r="680" spans="1:10" ht="13.2">
      <c r="A680" s="7">
        <v>679</v>
      </c>
      <c r="B680" s="7">
        <v>1</v>
      </c>
      <c r="C680" s="7" t="s">
        <v>10</v>
      </c>
      <c r="D680" s="7">
        <v>267</v>
      </c>
      <c r="E680" s="7" t="s">
        <v>14</v>
      </c>
      <c r="F680" s="8" t="str">
        <f ca="1">IFERROR(__xludf.DUMMYFUNCTION("IF
(
C681=""фізична особа""
,
VLOOKUP(D681,IMPORTRANGE(""https://docs.google.com/spreadsheets/d/14Bd19lYaqBhU8_DElYkX7l4wRkHqqCUFNJY4AfY3kHU/edit?usp=sharing  #gid=0"",""фіз особи new!relations_name""),6,FALSE)
,
(IF
(
C681=""юридична особа""
,
VLOOKUP(D6"&amp;"81,IMPORTRANGE(""https://docs.google.com/spreadsheets/d/14Bd19lYaqBhU8_DElYkX7l4wRkHqqCUFNJY4AfY3kHU/edit?usp=sharing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0" s="7" t="s">
        <v>10</v>
      </c>
      <c r="H680" s="7">
        <v>5101</v>
      </c>
      <c r="I680" s="8" t="str">
        <f ca="1">IFERROR(__xludf.DUMMYFUNCTION("IF
(
G681=""фізична особа""
,
VLOOKUP(H681,IMPORTRANGE(""https://docs.google.com/spreadsheets/d/14Bd19lYaqBhU8_DElYkX7l4wRkHqqCUFNJY4AfY3kHU/edit?usp=sharing  #gid=0"",""фіз особи new!relations_name""),6,FALSE)
,
(IF
(
G681=""юридична особа""
,
VLOOKUP(H6"&amp;"81,IMPORTRANGE(""https://docs.google.com/spreadsheets/d/14Bd19lYaqBhU8_DElYkX7l4wRkHqqCUFNJY4AfY3kHU/edit?usp=sharing  #gid=0"",""фіз особи new!relations_name_uo""),7,FALSE)
,
)
))"),"ЗЮГАНОВА Надія Василівна")</f>
        <v>ЗЮГАНОВА Надія Василівна</v>
      </c>
      <c r="J680" s="7" t="s">
        <v>15</v>
      </c>
    </row>
    <row r="681" spans="1:10" ht="13.2">
      <c r="A681" s="7">
        <v>680</v>
      </c>
      <c r="B681" s="7">
        <v>1</v>
      </c>
      <c r="C681" s="7" t="s">
        <v>10</v>
      </c>
      <c r="D681" s="7">
        <v>267</v>
      </c>
      <c r="E681" s="7" t="s">
        <v>59</v>
      </c>
      <c r="F681" s="8" t="str">
        <f ca="1">IFERROR(__xludf.DUMMYFUNCTION("IF
(
C682=""фізична особа""
,
VLOOKUP(D682,IMPORTRANGE(""https://docs.google.com/spreadsheets/d/14Bd19lYaqBhU8_DElYkX7l4wRkHqqCUFNJY4AfY3kHU/edit?usp=sharing  #gid=0"",""фіз особи new!relations_name""),6,FALSE)
,
(IF
(
C682=""юридична особа""
,
VLOOKUP(D6"&amp;"82,IMPORTRANGE(""https://docs.google.com/spreadsheets/d/14Bd19lYaqBhU8_DElYkX7l4wRkHqqCUFNJY4AfY3kHU/edit?usp=sharing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1" s="7" t="s">
        <v>10</v>
      </c>
      <c r="H681" s="7">
        <v>5102</v>
      </c>
      <c r="I681" s="8" t="str">
        <f ca="1">IFERROR(__xludf.DUMMYFUNCTION("IF
(
G682=""фізична особа""
,
VLOOKUP(H682,IMPORTRANGE(""https://docs.google.com/spreadsheets/d/14Bd19lYaqBhU8_DElYkX7l4wRkHqqCUFNJY4AfY3kHU/edit?usp=sharing  #gid=0"",""фіз особи new!relations_name""),6,FALSE)
,
(IF
(
G682=""юридична особа""
,
VLOOKUP(H6"&amp;"82,IMPORTRANGE(""https://docs.google.com/spreadsheets/d/14Bd19lYaqBhU8_DElYkX7l4wRkHqqCUFNJY4AfY3kHU/edit?usp=sharing  #gid=0"",""фіз особи new!relations_name_uo""),7,FALSE)
,
)
))"),"НІКІФОРОВА Марія Сергіївна")</f>
        <v>НІКІФОРОВА Марія Сергіївна</v>
      </c>
      <c r="J681" s="7" t="s">
        <v>60</v>
      </c>
    </row>
    <row r="682" spans="1:10" ht="13.2">
      <c r="A682" s="7">
        <v>681</v>
      </c>
      <c r="B682" s="7">
        <v>1</v>
      </c>
      <c r="C682" s="7" t="s">
        <v>10</v>
      </c>
      <c r="D682" s="7">
        <v>267</v>
      </c>
      <c r="E682" s="7" t="s">
        <v>59</v>
      </c>
      <c r="F682" s="8" t="str">
        <f ca="1">IFERROR(__xludf.DUMMYFUNCTION("IF
(
C683=""фізична особа""
,
VLOOKUP(D683,IMPORTRANGE(""https://docs.google.com/spreadsheets/d/14Bd19lYaqBhU8_DElYkX7l4wRkHqqCUFNJY4AfY3kHU/edit?usp=sharing  #gid=0"",""фіз особи new!relations_name""),6,FALSE)
,
(IF
(
C683=""юридична особа""
,
VLOOKUP(D6"&amp;"83,IMPORTRANGE(""https://docs.google.com/spreadsheets/d/14Bd19lYaqBhU8_DElYkX7l4wRkHqqCUFNJY4AfY3kHU/edit?usp=sharing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2" s="7" t="s">
        <v>10</v>
      </c>
      <c r="H682" s="7">
        <v>5103</v>
      </c>
      <c r="I682" s="8" t="str">
        <f ca="1">IFERROR(__xludf.DUMMYFUNCTION("IF
(
G683=""фізична особа""
,
VLOOKUP(H683,IMPORTRANGE(""https://docs.google.com/spreadsheets/d/14Bd19lYaqBhU8_DElYkX7l4wRkHqqCUFNJY4AfY3kHU/edit?usp=sharing  #gid=0"",""фіз особи new!relations_name""),6,FALSE)
,
(IF
(
G683=""юридична особа""
,
VLOOKUP(H6"&amp;"83,IMPORTRANGE(""https://docs.google.com/spreadsheets/d/14Bd19lYaqBhU8_DElYkX7l4wRkHqqCUFNJY4AfY3kHU/edit?usp=sharing  #gid=0"",""фіз особи new!relations_name_uo""),7,FALSE)
,
)
))"),"НИКИФОРОВ Євгеній Сергійович")</f>
        <v>НИКИФОРОВ Євгеній Сергійович</v>
      </c>
      <c r="J682" s="7" t="s">
        <v>61</v>
      </c>
    </row>
    <row r="683" spans="1:10" ht="13.2">
      <c r="A683" s="7">
        <v>682</v>
      </c>
      <c r="B683" s="7">
        <v>1</v>
      </c>
      <c r="C683" s="7" t="s">
        <v>10</v>
      </c>
      <c r="D683" s="7">
        <v>267</v>
      </c>
      <c r="E683" s="7" t="s">
        <v>34</v>
      </c>
      <c r="F683" s="8" t="str">
        <f ca="1">IFERROR(__xludf.DUMMYFUNCTION("IF
(
C684=""фізична особа""
,
VLOOKUP(D684,IMPORTRANGE(""https://docs.google.com/spreadsheets/d/14Bd19lYaqBhU8_DElYkX7l4wRkHqqCUFNJY4AfY3kHU/edit?usp=sharing  #gid=0"",""фіз особи new!relations_name""),6,FALSE)
,
(IF
(
C684=""юридична особа""
,
VLOOKUP(D6"&amp;"84,IMPORTRANGE(""https://docs.google.com/spreadsheets/d/14Bd19lYaqBhU8_DElYkX7l4wRkHqqCUFNJY4AfY3kHU/edit?usp=sharing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3" s="7" t="s">
        <v>10</v>
      </c>
      <c r="H683" s="7">
        <v>5104</v>
      </c>
      <c r="I683" s="8" t="str">
        <f ca="1">IFERROR(__xludf.DUMMYFUNCTION("IF
(
G684=""фізична особа""
,
VLOOKUP(H684,IMPORTRANGE(""https://docs.google.com/spreadsheets/d/14Bd19lYaqBhU8_DElYkX7l4wRkHqqCUFNJY4AfY3kHU/edit?usp=sharing  #gid=0"",""фіз особи new!relations_name""),6,FALSE)
,
(IF
(
G684=""юридична особа""
,
VLOOKUP(H6"&amp;"84,IMPORTRANGE(""https://docs.google.com/spreadsheets/d/14Bd19lYaqBhU8_DElYkX7l4wRkHqqCUFNJY4AfY3kHU/edit?usp=sharing  #gid=0"",""фіз особи new!relations_name_uo""),7,FALSE)
,
)
))"),"ЗЮГАНОВА Тетяна Юріївна")</f>
        <v>ЗЮГАНОВА Тетяна Юріївна</v>
      </c>
      <c r="J683" s="7" t="s">
        <v>25</v>
      </c>
    </row>
    <row r="684" spans="1:10" ht="13.2">
      <c r="A684" s="7">
        <v>683</v>
      </c>
      <c r="B684" s="7">
        <v>1</v>
      </c>
      <c r="C684" s="7" t="s">
        <v>10</v>
      </c>
      <c r="D684" s="7">
        <v>267</v>
      </c>
      <c r="E684" s="7" t="s">
        <v>59</v>
      </c>
      <c r="F684" s="8" t="str">
        <f ca="1">IFERROR(__xludf.DUMMYFUNCTION("IF
(
C685=""фізична особа""
,
VLOOKUP(D685,IMPORTRANGE(""https://docs.google.com/spreadsheets/d/14Bd19lYaqBhU8_DElYkX7l4wRkHqqCUFNJY4AfY3kHU/edit?usp=sharing  #gid=0"",""фіз особи new!relations_name""),6,FALSE)
,
(IF
(
C685=""юридична особа""
,
VLOOKUP(D6"&amp;"85,IMPORTRANGE(""https://docs.google.com/spreadsheets/d/14Bd19lYaqBhU8_DElYkX7l4wRkHqqCUFNJY4AfY3kHU/edit?usp=sharing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4" s="7" t="s">
        <v>10</v>
      </c>
      <c r="H684" s="7">
        <v>5105</v>
      </c>
      <c r="I684" s="8" t="str">
        <f ca="1">IFERROR(__xludf.DUMMYFUNCTION("IF
(
G685=""фізична особа""
,
VLOOKUP(H685,IMPORTRANGE(""https://docs.google.com/spreadsheets/d/14Bd19lYaqBhU8_DElYkX7l4wRkHqqCUFNJY4AfY3kHU/edit?usp=sharing  #gid=0"",""фіз особи new!relations_name""),6,FALSE)
,
(IF
(
G685=""юридична особа""
,
VLOOKUP(H6"&amp;"85,IMPORTRANGE(""https://docs.google.com/spreadsheets/d/14Bd19lYaqBhU8_DElYkX7l4wRkHqqCUFNJY4AfY3kHU/edit?usp=sharing  #gid=0"",""фіз особи new!relations_name_uo""),7,FALSE)
,
)
))"),"ЗЮГАНОВ Михайло Андрійович")</f>
        <v>ЗЮГАНОВ Михайло Андрійович</v>
      </c>
      <c r="J684" s="7" t="s">
        <v>61</v>
      </c>
    </row>
    <row r="685" spans="1:10" ht="13.2">
      <c r="A685" s="7">
        <v>684</v>
      </c>
      <c r="B685" s="7">
        <v>1</v>
      </c>
      <c r="C685" s="7" t="s">
        <v>10</v>
      </c>
      <c r="D685" s="7">
        <v>267</v>
      </c>
      <c r="E685" s="7" t="s">
        <v>59</v>
      </c>
      <c r="F685" s="8" t="str">
        <f ca="1">IFERROR(__xludf.DUMMYFUNCTION("IF
(
C686=""фізична особа""
,
VLOOKUP(D686,IMPORTRANGE(""https://docs.google.com/spreadsheets/d/14Bd19lYaqBhU8_DElYkX7l4wRkHqqCUFNJY4AfY3kHU/edit?usp=sharing  #gid=0"",""фіз особи new!relations_name""),6,FALSE)
,
(IF
(
C686=""юридична особа""
,
VLOOKUP(D6"&amp;"86,IMPORTRANGE(""https://docs.google.com/spreadsheets/d/14Bd19lYaqBhU8_DElYkX7l4wRkHqqCUFNJY4AfY3kHU/edit?usp=sharing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5" s="7" t="s">
        <v>10</v>
      </c>
      <c r="H685" s="7">
        <v>5106</v>
      </c>
      <c r="I685" s="8" t="str">
        <f ca="1">IFERROR(__xludf.DUMMYFUNCTION("IF
(
G686=""фізична особа""
,
VLOOKUP(H686,IMPORTRANGE(""https://docs.google.com/spreadsheets/d/14Bd19lYaqBhU8_DElYkX7l4wRkHqqCUFNJY4AfY3kHU/edit?usp=sharing  #gid=0"",""фіз особи new!relations_name""),6,FALSE)
,
(IF
(
G686=""юридична особа""
,
VLOOKUP(H6"&amp;"86,IMPORTRANGE(""https://docs.google.com/spreadsheets/d/14Bd19lYaqBhU8_DElYkX7l4wRkHqqCUFNJY4AfY3kHU/edit?usp=sharing  #gid=0"",""фіз особи new!relations_name_uo""),7,FALSE)
,
)
))"),"ЗЮГАНОВ Леонід Андрійович")</f>
        <v>ЗЮГАНОВ Леонід Андрійович</v>
      </c>
      <c r="J685" s="7" t="s">
        <v>61</v>
      </c>
    </row>
    <row r="686" spans="1:10" ht="13.2">
      <c r="A686" s="7">
        <v>685</v>
      </c>
      <c r="B686" s="7">
        <v>1</v>
      </c>
      <c r="C686" s="7" t="s">
        <v>10</v>
      </c>
      <c r="D686" s="7">
        <v>267</v>
      </c>
      <c r="E686" s="7" t="s">
        <v>48</v>
      </c>
      <c r="F686" s="8" t="str">
        <f ca="1">IFERROR(__xludf.DUMMYFUNCTION("IF
(
C687=""фізична особа""
,
VLOOKUP(D687,IMPORTRANGE(""https://docs.google.com/spreadsheets/d/14Bd19lYaqBhU8_DElYkX7l4wRkHqqCUFNJY4AfY3kHU/edit?usp=sharing  #gid=0"",""фіз особи new!relations_name""),6,FALSE)
,
(IF
(
C687=""юридична особа""
,
VLOOKUP(D6"&amp;"87,IMPORTRANGE(""https://docs.google.com/spreadsheets/d/14Bd19lYaqBhU8_DElYkX7l4wRkHqqCUFNJY4AfY3kHU/edit?usp=sharing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6" s="7" t="s">
        <v>10</v>
      </c>
      <c r="H686" s="7">
        <v>12943</v>
      </c>
      <c r="I686" s="8" t="str">
        <f ca="1">IFERROR(__xludf.DUMMYFUNCTION("IF
(
G687=""фізична особа""
,
VLOOKUP(H687,IMPORTRANGE(""https://docs.google.com/spreadsheets/d/14Bd19lYaqBhU8_DElYkX7l4wRkHqqCUFNJY4AfY3kHU/edit?usp=sharing  #gid=0"",""фіз особи new!relations_name""),6,FALSE)
,
(IF
(
G687=""юридична особа""
,
VLOOKUP(H6"&amp;"87,IMPORTRANGE(""https://docs.google.com/spreadsheets/d/14Bd19lYaqBhU8_DElYkX7l4wRkHqqCUFNJY4AfY3kHU/edit?usp=sharing  #gid=0"",""фіз особи new!relations_name_uo""),7,FALSE)
,
)
))"),"ПОЗДНЯКОВ Володимир Георгійович")</f>
        <v>ПОЗДНЯКОВ Володимир Георгійович</v>
      </c>
      <c r="J686" s="7" t="s">
        <v>48</v>
      </c>
    </row>
    <row r="687" spans="1:10" ht="13.2">
      <c r="A687" s="7">
        <v>686</v>
      </c>
      <c r="B687" s="7">
        <v>1</v>
      </c>
      <c r="C687" s="7" t="s">
        <v>10</v>
      </c>
      <c r="D687" s="7">
        <v>267</v>
      </c>
      <c r="E687" s="7" t="s">
        <v>48</v>
      </c>
      <c r="F687" s="8" t="str">
        <f ca="1">IFERROR(__xludf.DUMMYFUNCTION("IF
(
C688=""фізична особа""
,
VLOOKUP(D688,IMPORTRANGE(""https://docs.google.com/spreadsheets/d/14Bd19lYaqBhU8_DElYkX7l4wRkHqqCUFNJY4AfY3kHU/edit?usp=sharing  #gid=0"",""фіз особи new!relations_name""),6,FALSE)
,
(IF
(
C688=""юридична особа""
,
VLOOKUP(D6"&amp;"88,IMPORTRANGE(""https://docs.google.com/spreadsheets/d/14Bd19lYaqBhU8_DElYkX7l4wRkHqqCUFNJY4AfY3kHU/edit?usp=sharing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7" s="7" t="s">
        <v>10</v>
      </c>
      <c r="H687" s="7">
        <v>12940</v>
      </c>
      <c r="I687" s="8" t="str">
        <f ca="1">IFERROR(__xludf.DUMMYFUNCTION("IF
(
G688=""фізична особа""
,
VLOOKUP(H688,IMPORTRANGE(""https://docs.google.com/spreadsheets/d/14Bd19lYaqBhU8_DElYkX7l4wRkHqqCUFNJY4AfY3kHU/edit?usp=sharing  #gid=0"",""фіз особи new!relations_name""),6,FALSE)
,
(IF
(
G688=""юридична особа""
,
VLOOKUP(H6"&amp;"88,IMPORTRANGE(""https://docs.google.com/spreadsheets/d/14Bd19lYaqBhU8_DElYkX7l4wRkHqqCUFNJY4AfY3kHU/edit?usp=sharing  #gid=0"",""фіз особи new!relations_name_uo""),7,FALSE)
,
)
))"),"ПЛЕТНЬОВА Тамара Василівна")</f>
        <v>ПЛЕТНЬОВА Тамара Василівна</v>
      </c>
      <c r="J687" s="7" t="s">
        <v>48</v>
      </c>
    </row>
    <row r="688" spans="1:10" ht="13.2">
      <c r="A688" s="7">
        <v>687</v>
      </c>
      <c r="B688" s="7">
        <v>1</v>
      </c>
      <c r="C688" s="7" t="s">
        <v>10</v>
      </c>
      <c r="D688" s="7">
        <v>267</v>
      </c>
      <c r="E688" s="7" t="s">
        <v>48</v>
      </c>
      <c r="F688" s="8" t="str">
        <f ca="1">IFERROR(__xludf.DUMMYFUNCTION("IF
(
C689=""фізична особа""
,
VLOOKUP(D689,IMPORTRANGE(""https://docs.google.com/spreadsheets/d/14Bd19lYaqBhU8_DElYkX7l4wRkHqqCUFNJY4AfY3kHU/edit?usp=sharing  #gid=0"",""фіз особи new!relations_name""),6,FALSE)
,
(IF
(
C689=""юридична особа""
,
VLOOKUP(D6"&amp;"89,IMPORTRANGE(""https://docs.google.com/spreadsheets/d/14Bd19lYaqBhU8_DElYkX7l4wRkHqqCUFNJY4AfY3kHU/edit?usp=sharing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8" s="7" t="s">
        <v>10</v>
      </c>
      <c r="H688" s="7">
        <v>12697</v>
      </c>
      <c r="I688" s="8" t="str">
        <f ca="1">IFERROR(__xludf.DUMMYFUNCTION("IF
(
G689=""фізична особа""
,
VLOOKUP(H689,IMPORTRANGE(""https://docs.google.com/spreadsheets/d/14Bd19lYaqBhU8_DElYkX7l4wRkHqqCUFNJY4AfY3kHU/edit?usp=sharing  #gid=0"",""фіз особи new!relations_name""),6,FALSE)
,
(IF
(
G689=""юридична особа""
,
VLOOKUP(H6"&amp;"89,IMPORTRANGE(""https://docs.google.com/spreadsheets/d/14Bd19lYaqBhU8_DElYkX7l4wRkHqqCUFNJY4AfY3kHU/edit?usp=sharing  #gid=0"",""фіз особи new!relations_name_uo""),7,FALSE)
,
)
))"),"КУЛИКОВ Олександр Дмитрович")</f>
        <v>КУЛИКОВ Олександр Дмитрович</v>
      </c>
      <c r="J688" s="7" t="s">
        <v>48</v>
      </c>
    </row>
    <row r="689" spans="1:10" ht="13.2">
      <c r="A689" s="7">
        <v>688</v>
      </c>
      <c r="B689" s="7">
        <v>1</v>
      </c>
      <c r="C689" s="7" t="s">
        <v>10</v>
      </c>
      <c r="D689" s="7">
        <v>267</v>
      </c>
      <c r="E689" s="7" t="s">
        <v>48</v>
      </c>
      <c r="F689" s="8" t="str">
        <f ca="1">IFERROR(__xludf.DUMMYFUNCTION("IF
(
C690=""фізична особа""
,
VLOOKUP(D690,IMPORTRANGE(""https://docs.google.com/spreadsheets/d/14Bd19lYaqBhU8_DElYkX7l4wRkHqqCUFNJY4AfY3kHU/edit?usp=sharing  #gid=0"",""фіз особи new!relations_name""),6,FALSE)
,
(IF
(
C690=""юридична особа""
,
VLOOKUP(D6"&amp;"90,IMPORTRANGE(""https://docs.google.com/spreadsheets/d/14Bd19lYaqBhU8_DElYkX7l4wRkHqqCUFNJY4AfY3kHU/edit?usp=sharing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89" s="7" t="s">
        <v>10</v>
      </c>
      <c r="H689" s="7">
        <v>354</v>
      </c>
      <c r="I689" s="8" t="str">
        <f ca="1">IFERROR(__xludf.DUMMYFUNCTION("IF
(
G690=""фізична особа""
,
VLOOKUP(H690,IMPORTRANGE(""https://docs.google.com/spreadsheets/d/14Bd19lYaqBhU8_DElYkX7l4wRkHqqCUFNJY4AfY3kHU/edit?usp=sharing  #gid=0"",""фіз особи new!relations_name""),6,FALSE)
,
(IF
(
G690=""юридична особа""
,
VLOOKUP(H6"&amp;"90,IMPORTRANGE(""https://docs.google.com/spreadsheets/d/14Bd19lYaqBhU8_DElYkX7l4wRkHqqCUFNJY4AfY3kHU/edit?usp=sharing  #gid=0"",""фіз особи new!relations_name_uo""),7,FALSE)
,
)
))"),"КАЛАШНІКОВ Леонід Іванович")</f>
        <v>КАЛАШНІКОВ Леонід Іванович</v>
      </c>
      <c r="J689" s="7" t="s">
        <v>48</v>
      </c>
    </row>
    <row r="690" spans="1:10" ht="13.2">
      <c r="A690" s="7">
        <v>689</v>
      </c>
      <c r="B690" s="7">
        <v>1</v>
      </c>
      <c r="C690" s="7" t="s">
        <v>10</v>
      </c>
      <c r="D690" s="7">
        <v>267</v>
      </c>
      <c r="E690" s="7" t="s">
        <v>48</v>
      </c>
      <c r="F690" s="8" t="str">
        <f ca="1">IFERROR(__xludf.DUMMYFUNCTION("IF
(
C691=""фізична особа""
,
VLOOKUP(D691,IMPORTRANGE(""https://docs.google.com/spreadsheets/d/14Bd19lYaqBhU8_DElYkX7l4wRkHqqCUFNJY4AfY3kHU/edit?usp=sharing  #gid=0"",""фіз особи new!relations_name""),6,FALSE)
,
(IF
(
C691=""юридична особа""
,
VLOOKUP(D6"&amp;"91,IMPORTRANGE(""https://docs.google.com/spreadsheets/d/14Bd19lYaqBhU8_DElYkX7l4wRkHqqCUFNJY4AfY3kHU/edit?usp=sharing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90" s="7" t="s">
        <v>10</v>
      </c>
      <c r="H690" s="7">
        <v>12844</v>
      </c>
      <c r="I690" s="8" t="str">
        <f ca="1">IFERROR(__xludf.DUMMYFUNCTION("IF
(
G691=""фізична особа""
,
VLOOKUP(H691,IMPORTRANGE(""https://docs.google.com/spreadsheets/d/14Bd19lYaqBhU8_DElYkX7l4wRkHqqCUFNJY4AfY3kHU/edit?usp=sharing  #gid=0"",""фіз особи new!relations_name""),6,FALSE)
,
(IF
(
G691=""юридична особа""
,
VLOOKUP(H6"&amp;"91,IMPORTRANGE(""https://docs.google.com/spreadsheets/d/14Bd19lYaqBhU8_DElYkX7l4wRkHqqCUFNJY4AfY3kHU/edit?usp=sharing  #gid=0"",""фіз особи new!relations_name_uo""),7,FALSE)
,
)
))"),"ДОРОХІН Павло Сергійович")</f>
        <v>ДОРОХІН Павло Сергійович</v>
      </c>
      <c r="J690" s="7" t="s">
        <v>48</v>
      </c>
    </row>
    <row r="691" spans="1:10" ht="13.2">
      <c r="A691" s="7">
        <v>690</v>
      </c>
      <c r="B691" s="7">
        <v>1</v>
      </c>
      <c r="C691" s="7" t="s">
        <v>10</v>
      </c>
      <c r="D691" s="7">
        <v>267</v>
      </c>
      <c r="E691" s="7" t="s">
        <v>48</v>
      </c>
      <c r="F691" s="8" t="str">
        <f ca="1">IFERROR(__xludf.DUMMYFUNCTION("IF
(
C692=""фізична особа""
,
VLOOKUP(D692,IMPORTRANGE(""https://docs.google.com/spreadsheets/d/14Bd19lYaqBhU8_DElYkX7l4wRkHqqCUFNJY4AfY3kHU/edit?usp=sharing  #gid=0"",""фіз особи new!relations_name""),6,FALSE)
,
(IF
(
C692=""юридична особа""
,
VLOOKUP(D6"&amp;"92,IMPORTRANGE(""https://docs.google.com/spreadsheets/d/14Bd19lYaqBhU8_DElYkX7l4wRkHqqCUFNJY4AfY3kHU/edit?usp=sharing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91" s="7" t="s">
        <v>10</v>
      </c>
      <c r="H691" s="7">
        <v>12801</v>
      </c>
      <c r="I691" s="8" t="str">
        <f ca="1">IFERROR(__xludf.DUMMYFUNCTION("IF
(
G692=""фізична особа""
,
VLOOKUP(H692,IMPORTRANGE(""https://docs.google.com/spreadsheets/d/14Bd19lYaqBhU8_DElYkX7l4wRkHqqCUFNJY4AfY3kHU/edit?usp=sharing  #gid=0"",""фіз особи new!relations_name""),6,FALSE)
,
(IF
(
G692=""юридична особа""
,
VLOOKUP(H6"&amp;"92,IMPORTRANGE(""https://docs.google.com/spreadsheets/d/14Bd19lYaqBhU8_DElYkX7l4wRkHqqCUFNJY4AfY3kHU/edit?usp=sharing  #gid=0"",""фіз особи new!relations_name_uo""),7,FALSE)
,
)
))"),"АНДРЄЄВ Андрій Анатолійович")</f>
        <v>АНДРЄЄВ Андрій Анатолійович</v>
      </c>
      <c r="J691" s="7" t="s">
        <v>48</v>
      </c>
    </row>
    <row r="692" spans="1:10" ht="13.2">
      <c r="A692" s="7">
        <v>691</v>
      </c>
      <c r="B692" s="7">
        <v>1</v>
      </c>
      <c r="C692" s="7" t="s">
        <v>10</v>
      </c>
      <c r="D692" s="7">
        <v>267</v>
      </c>
      <c r="E692" s="7" t="s">
        <v>48</v>
      </c>
      <c r="F692" s="8" t="str">
        <f ca="1">IFERROR(__xludf.DUMMYFUNCTION("IF
(
C693=""фізична особа""
,
VLOOKUP(D693,IMPORTRANGE(""https://docs.google.com/spreadsheets/d/14Bd19lYaqBhU8_DElYkX7l4wRkHqqCUFNJY4AfY3kHU/edit?usp=sharing  #gid=0"",""фіз особи new!relations_name""),6,FALSE)
,
(IF
(
C693=""юридична особа""
,
VLOOKUP(D6"&amp;"93,IMPORTRANGE(""https://docs.google.com/spreadsheets/d/14Bd19lYaqBhU8_DElYkX7l4wRkHqqCUFNJY4AfY3kHU/edit?usp=sharing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92" s="7" t="s">
        <v>10</v>
      </c>
      <c r="H692" s="7">
        <v>412</v>
      </c>
      <c r="I692" s="8" t="str">
        <f ca="1">IFERROR(__xludf.DUMMYFUNCTION("IF
(
G693=""фізична особа""
,
VLOOKUP(H693,IMPORTRANGE(""https://docs.google.com/spreadsheets/d/14Bd19lYaqBhU8_DElYkX7l4wRkHqqCUFNJY4AfY3kHU/edit?usp=sharing  #gid=0"",""фіз особи new!relations_name""),6,FALSE)
,
(IF
(
G693=""юридична особа""
,
VLOOKUP(H6"&amp;"93,IMPORTRANGE(""https://docs.google.com/spreadsheets/d/14Bd19lYaqBhU8_DElYkX7l4wRkHqqCUFNJY4AfY3kHU/edit?usp=sharing  #gid=0"",""фіз особи new!relations_name_uo""),7,FALSE)
,
)
))"),"ЮЩЕНКО Олександр Андрійович")</f>
        <v>ЮЩЕНКО Олександр Андрійович</v>
      </c>
      <c r="J692" s="7" t="s">
        <v>48</v>
      </c>
    </row>
    <row r="693" spans="1:10" ht="13.2">
      <c r="A693" s="7">
        <v>692</v>
      </c>
      <c r="B693" s="7">
        <v>1</v>
      </c>
      <c r="C693" s="7" t="s">
        <v>10</v>
      </c>
      <c r="D693" s="7">
        <v>267</v>
      </c>
      <c r="E693" s="7" t="s">
        <v>48</v>
      </c>
      <c r="F693" s="8" t="str">
        <f ca="1">IFERROR(__xludf.DUMMYFUNCTION("IF
(
C694=""фізична особа""
,
VLOOKUP(D694,IMPORTRANGE(""https://docs.google.com/spreadsheets/d/14Bd19lYaqBhU8_DElYkX7l4wRkHqqCUFNJY4AfY3kHU/edit?usp=sharing  #gid=0"",""фіз особи new!relations_name""),6,FALSE)
,
(IF
(
C694=""юридична особа""
,
VLOOKUP(D6"&amp;"94,IMPORTRANGE(""https://docs.google.com/spreadsheets/d/14Bd19lYaqBhU8_DElYkX7l4wRkHqqCUFNJY4AfY3kHU/edit?usp=sharing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G693" s="7" t="s">
        <v>10</v>
      </c>
      <c r="H693" s="7">
        <v>12987</v>
      </c>
      <c r="I693" s="8" t="str">
        <f ca="1">IFERROR(__xludf.DUMMYFUNCTION("IF
(
G694=""фізична особа""
,
VLOOKUP(H694,IMPORTRANGE(""https://docs.google.com/spreadsheets/d/14Bd19lYaqBhU8_DElYkX7l4wRkHqqCUFNJY4AfY3kHU/edit?usp=sharing  #gid=0"",""фіз особи new!relations_name""),6,FALSE)
,
(IF
(
G694=""юридична особа""
,
VLOOKUP(H6"&amp;"94,IMPORTRANGE(""https://docs.google.com/spreadsheets/d/14Bd19lYaqBhU8_DElYkX7l4wRkHqqCUFNJY4AfY3kHU/edit?usp=sharing  #gid=0"",""фіз особи new!relations_name_uo""),7,FALSE)
,
)
))"),"ТАРНАЄВ Олександр Петрович")</f>
        <v>ТАРНАЄВ Олександр Петрович</v>
      </c>
      <c r="J693" s="7" t="s">
        <v>48</v>
      </c>
    </row>
    <row r="694" spans="1:10" ht="13.2">
      <c r="A694" s="7">
        <v>693</v>
      </c>
      <c r="B694" s="7">
        <v>1</v>
      </c>
      <c r="C694" s="7" t="s">
        <v>10</v>
      </c>
      <c r="D694" s="7">
        <v>268</v>
      </c>
      <c r="E694" s="7" t="s">
        <v>14</v>
      </c>
      <c r="F694" s="8" t="str">
        <f ca="1">IFERROR(__xludf.DUMMYFUNCTION("IF
(
C695=""фізична особа""
,
VLOOKUP(D695,IMPORTRANGE(""https://docs.google.com/spreadsheets/d/14Bd19lYaqBhU8_DElYkX7l4wRkHqqCUFNJY4AfY3kHU/edit?usp=sharing  #gid=0"",""фіз особи new!relations_name""),6,FALSE)
,
(IF
(
C695=""юридична особа""
,
VLOOKUP(D6"&amp;"95,IMPORTRANGE(""https://docs.google.com/spreadsheets/d/14Bd19lYaqBhU8_DElYkX7l4wRkHqqCUFNJY4AfY3kHU/edit?usp=sharing  #gid=0"",""фіз особи new!relations_name_uo""),7,FALSE)
,
)
))"),"ПУШКОВ Олексій Костянтинович")</f>
        <v>ПУШКОВ Олексій Костянтинович</v>
      </c>
      <c r="G694" s="7" t="s">
        <v>10</v>
      </c>
      <c r="H694" s="7">
        <v>0</v>
      </c>
      <c r="I694" s="8" t="str">
        <f ca="1">IFERROR(__xludf.DUMMYFUNCTION("IF
(
G695=""фізична особа""
,
VLOOKUP(H695,IMPORTRANGE(""https://docs.google.com/spreadsheets/d/14Bd19lYaqBhU8_DElYkX7l4wRkHqqCUFNJY4AfY3kHU/edit?usp=sharing  #gid=0"",""фіз особи new!relations_name""),6,FALSE)
,
(IF
(
G695=""юридична особа""
,
VLOOKUP(H6"&amp;"95,IMPORTRANGE(""https://docs.google.com/spreadsheets/d/14Bd19lYaqBhU8_DElYkX7l4wRkHqqCUFNJY4AfY3kHU/edit?usp=sharing  #gid=0"",""фіз особи new!relations_name_uo""),7,FALSE)
,
)
))"),"#N/A")</f>
        <v>#N/A</v>
      </c>
      <c r="J694" s="7" t="s">
        <v>15</v>
      </c>
    </row>
    <row r="695" spans="1:10" ht="13.2">
      <c r="A695" s="7">
        <v>694</v>
      </c>
      <c r="B695" s="7">
        <v>1</v>
      </c>
      <c r="C695" s="7" t="s">
        <v>10</v>
      </c>
      <c r="D695" s="7">
        <v>268</v>
      </c>
      <c r="E695" s="7" t="s">
        <v>12</v>
      </c>
      <c r="F695" s="8" t="str">
        <f ca="1">IFERROR(__xludf.DUMMYFUNCTION("IF
(
C696=""фізична особа""
,
VLOOKUP(D696,IMPORTRANGE(""https://docs.google.com/spreadsheets/d/14Bd19lYaqBhU8_DElYkX7l4wRkHqqCUFNJY4AfY3kHU/edit?usp=sharing  #gid=0"",""фіз особи new!relations_name""),6,FALSE)
,
(IF
(
C696=""юридична особа""
,
VLOOKUP(D6"&amp;"96,IMPORTRANGE(""https://docs.google.com/spreadsheets/d/14Bd19lYaqBhU8_DElYkX7l4wRkHqqCUFNJY4AfY3kHU/edit?usp=sharing  #gid=0"",""фіз особи new!relations_name_uo""),7,FALSE)
,
)
))"),"ПУШКОВ Олексій Костянтинович")</f>
        <v>ПУШКОВ Олексій Костянтинович</v>
      </c>
      <c r="G695" s="7" t="s">
        <v>10</v>
      </c>
      <c r="H695" s="7">
        <v>23378</v>
      </c>
      <c r="I695" s="8" t="str">
        <f ca="1">IFERROR(__xludf.DUMMYFUNCTION("IF
(
G696=""фізична особа""
,
VLOOKUP(H696,IMPORTRANGE(""https://docs.google.com/spreadsheets/d/14Bd19lYaqBhU8_DElYkX7l4wRkHqqCUFNJY4AfY3kHU/edit?usp=sharing  #gid=0"",""фіз особи new!relations_name""),6,FALSE)
,
(IF
(
G696=""юридична особа""
,
VLOOKUP(H6"&amp;"96,IMPORTRANGE(""https://docs.google.com/spreadsheets/d/14Bd19lYaqBhU8_DElYkX7l4wRkHqqCUFNJY4AfY3kHU/edit?usp=sharing  #gid=0"",""фіз особи new!relations_name_uo""),7,FALSE)
,
)
))"),"ПУШКОВА Дар'я Олексіївна")</f>
        <v>ПУШКОВА Дар'я Олексіївна</v>
      </c>
      <c r="J695" s="7" t="s">
        <v>13</v>
      </c>
    </row>
    <row r="696" spans="1:10" ht="13.2">
      <c r="A696" s="7">
        <v>695</v>
      </c>
      <c r="B696" s="7">
        <v>1</v>
      </c>
      <c r="C696" s="7" t="s">
        <v>10</v>
      </c>
      <c r="D696" s="7">
        <v>268</v>
      </c>
      <c r="E696" s="7" t="s">
        <v>24</v>
      </c>
      <c r="F696" s="8" t="str">
        <f ca="1">IFERROR(__xludf.DUMMYFUNCTION("IF
(
C697=""фізична особа""
,
VLOOKUP(D697,IMPORTRANGE(""https://docs.google.com/spreadsheets/d/14Bd19lYaqBhU8_DElYkX7l4wRkHqqCUFNJY4AfY3kHU/edit?usp=sharing  #gid=0"",""фіз особи new!relations_name""),6,FALSE)
,
(IF
(
C697=""юридична особа""
,
VLOOKUP(D6"&amp;"97,IMPORTRANGE(""https://docs.google.com/spreadsheets/d/14Bd19lYaqBhU8_DElYkX7l4wRkHqqCUFNJY4AfY3kHU/edit?usp=sharing  #gid=0"",""фіз особи new!relations_name_uo""),7,FALSE)
,
)
))"),"ПУШКОВ Олексій Костянтинович")</f>
        <v>ПУШКОВ Олексій Костянтинович</v>
      </c>
      <c r="G696" s="7" t="s">
        <v>10</v>
      </c>
      <c r="H696" s="7">
        <v>3175</v>
      </c>
      <c r="I696" s="8" t="str">
        <f ca="1">IFERROR(__xludf.DUMMYFUNCTION("IF
(
G697=""фізична особа""
,
VLOOKUP(H697,IMPORTRANGE(""https://docs.google.com/spreadsheets/d/14Bd19lYaqBhU8_DElYkX7l4wRkHqqCUFNJY4AfY3kHU/edit?usp=sharing  #gid=0"",""фіз особи new!relations_name""),6,FALSE)
,
(IF
(
G697=""юридична особа""
,
VLOOKUP(H6"&amp;"97,IMPORTRANGE(""https://docs.google.com/spreadsheets/d/14Bd19lYaqBhU8_DElYkX7l4wRkHqqCUFNJY4AfY3kHU/edit?usp=sharing  #gid=0"",""фіз особи new!relations_name_uo""),7,FALSE)
,
)
))"),"АНДРЄЄВ Павло Вікторович")</f>
        <v>АНДРЄЄВ Павло Вікторович</v>
      </c>
      <c r="J696" s="7" t="s">
        <v>26</v>
      </c>
    </row>
    <row r="697" spans="1:10" ht="13.2">
      <c r="A697" s="7">
        <v>696</v>
      </c>
      <c r="B697" s="7">
        <v>1</v>
      </c>
      <c r="C697" s="7" t="s">
        <v>10</v>
      </c>
      <c r="D697" s="7">
        <v>269</v>
      </c>
      <c r="E697" s="7" t="s">
        <v>12</v>
      </c>
      <c r="F697" s="8" t="str">
        <f ca="1">IFERROR(__xludf.DUMMYFUNCTION("IF
(
C698=""фізична особа""
,
VLOOKUP(D698,IMPORTRANGE(""https://docs.google.com/spreadsheets/d/14Bd19lYaqBhU8_DElYkX7l4wRkHqqCUFNJY4AfY3kHU/edit?usp=sharing  #gid=0"",""фіз особи new!relations_name""),6,FALSE)
,
(IF
(
C698=""юридична особа""
,
VLOOKUP(D6"&amp;"98,IMPORTRANGE(""https://docs.google.com/spreadsheets/d/14Bd19lYaqBhU8_DElYkX7l4wRkHqqCUFNJY4AfY3kHU/edit?usp=sharing  #gid=0"",""фіз особи new!relations_name_uo""),7,FALSE)
,
)
))"),"ЄМЕЛЬЯНОВ Геннадій Єгорович")</f>
        <v>ЄМЕЛЬЯНОВ Геннадій Єгорович</v>
      </c>
      <c r="G697" s="7" t="s">
        <v>10</v>
      </c>
      <c r="H697" s="7">
        <v>0</v>
      </c>
      <c r="I697" s="8" t="str">
        <f ca="1">IFERROR(__xludf.DUMMYFUNCTION("IF
(
G698=""фізична особа""
,
VLOOKUP(H698,IMPORTRANGE(""https://docs.google.com/spreadsheets/d/14Bd19lYaqBhU8_DElYkX7l4wRkHqqCUFNJY4AfY3kHU/edit?usp=sharing  #gid=0"",""фіз особи new!relations_name""),6,FALSE)
,
(IF
(
G698=""юридична особа""
,
VLOOKUP(H6"&amp;"98,IMPORTRANGE(""https://docs.google.com/spreadsheets/d/14Bd19lYaqBhU8_DElYkX7l4wRkHqqCUFNJY4AfY3kHU/edit?usp=sharing  #gid=0"",""фіз особи new!relations_name_uo""),7,FALSE)
,
)
))"),"#N/A")</f>
        <v>#N/A</v>
      </c>
      <c r="J697" s="7" t="s">
        <v>13</v>
      </c>
    </row>
    <row r="698" spans="1:10" ht="13.2">
      <c r="A698" s="7">
        <v>697</v>
      </c>
      <c r="B698" s="7">
        <v>1</v>
      </c>
      <c r="C698" s="7" t="s">
        <v>10</v>
      </c>
      <c r="D698" s="7">
        <v>269</v>
      </c>
      <c r="E698" s="7" t="s">
        <v>12</v>
      </c>
      <c r="F698" s="8" t="str">
        <f ca="1">IFERROR(__xludf.DUMMYFUNCTION("IF
(
C699=""фізична особа""
,
VLOOKUP(D699,IMPORTRANGE(""https://docs.google.com/spreadsheets/d/14Bd19lYaqBhU8_DElYkX7l4wRkHqqCUFNJY4AfY3kHU/edit?usp=sharing  #gid=0"",""фіз особи new!relations_name""),6,FALSE)
,
(IF
(
C699=""юридична особа""
,
VLOOKUP(D6"&amp;"99,IMPORTRANGE(""https://docs.google.com/spreadsheets/d/14Bd19lYaqBhU8_DElYkX7l4wRkHqqCUFNJY4AfY3kHU/edit?usp=sharing  #gid=0"",""фіз особи new!relations_name_uo""),7,FALSE)
,
)
))"),"ЄМЕЛЬЯНОВ Геннадій Єгорович")</f>
        <v>ЄМЕЛЬЯНОВ Геннадій Єгорович</v>
      </c>
      <c r="G698" s="7" t="s">
        <v>10</v>
      </c>
      <c r="H698" s="7">
        <v>0</v>
      </c>
      <c r="I698" s="8" t="str">
        <f ca="1">IFERROR(__xludf.DUMMYFUNCTION("IF
(
G699=""фізична особа""
,
VLOOKUP(H699,IMPORTRANGE(""https://docs.google.com/spreadsheets/d/14Bd19lYaqBhU8_DElYkX7l4wRkHqqCUFNJY4AfY3kHU/edit?usp=sharing  #gid=0"",""фіз особи new!relations_name""),6,FALSE)
,
(IF
(
G699=""юридична особа""
,
VLOOKUP(H6"&amp;"99,IMPORTRANGE(""https://docs.google.com/spreadsheets/d/14Bd19lYaqBhU8_DElYkX7l4wRkHqqCUFNJY4AfY3kHU/edit?usp=sharing  #gid=0"",""фіз особи new!relations_name_uo""),7,FALSE)
,
)
))"),"#N/A")</f>
        <v>#N/A</v>
      </c>
      <c r="J698" s="7" t="s">
        <v>17</v>
      </c>
    </row>
    <row r="699" spans="1:10" ht="13.2">
      <c r="A699" s="7">
        <v>698</v>
      </c>
      <c r="B699" s="7">
        <v>1</v>
      </c>
      <c r="C699" s="7" t="s">
        <v>10</v>
      </c>
      <c r="D699" s="7">
        <v>270</v>
      </c>
      <c r="E699" s="7" t="s">
        <v>14</v>
      </c>
      <c r="F699" s="8" t="str">
        <f ca="1">IFERROR(__xludf.DUMMYFUNCTION("IF
(
C700=""фізична особа""
,
VLOOKUP(D700,IMPORTRANGE(""https://docs.google.com/spreadsheets/d/14Bd19lYaqBhU8_DElYkX7l4wRkHqqCUFNJY4AfY3kHU/edit?usp=sharing  #gid=0"",""фіз особи new!relations_name""),6,FALSE)
,
(IF
(
C700=""юридична особа""
,
VLOOKUP(D7"&amp;"00,IMPORTRANGE(""https://docs.google.com/spreadsheets/d/14Bd19lYaqBhU8_DElYkX7l4wRkHqqCUFNJY4AfY3kHU/edit?usp=sharing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G699" s="7" t="s">
        <v>10</v>
      </c>
      <c r="H699" s="7">
        <v>4359</v>
      </c>
      <c r="I699" s="8" t="str">
        <f ca="1">IFERROR(__xludf.DUMMYFUNCTION("IF
(
G700=""фізична особа""
,
VLOOKUP(H700,IMPORTRANGE(""https://docs.google.com/spreadsheets/d/14Bd19lYaqBhU8_DElYkX7l4wRkHqqCUFNJY4AfY3kHU/edit?usp=sharing  #gid=0"",""фіз особи new!relations_name""),6,FALSE)
,
(IF
(
G700=""юридична особа""
,
VLOOKUP(H7"&amp;"00,IMPORTRANGE(""https://docs.google.com/spreadsheets/d/14Bd19lYaqBhU8_DElYkX7l4wRkHqqCUFNJY4AfY3kHU/edit?usp=sharing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J699" s="7" t="s">
        <v>15</v>
      </c>
    </row>
    <row r="700" spans="1:10" ht="13.2">
      <c r="A700" s="7">
        <v>699</v>
      </c>
      <c r="B700" s="7">
        <v>1</v>
      </c>
      <c r="C700" s="7" t="s">
        <v>10</v>
      </c>
      <c r="D700" s="7">
        <v>270</v>
      </c>
      <c r="E700" s="7" t="s">
        <v>12</v>
      </c>
      <c r="F700" s="8" t="str">
        <f ca="1">IFERROR(__xludf.DUMMYFUNCTION("IF
(
C701=""фізична особа""
,
VLOOKUP(D701,IMPORTRANGE(""https://docs.google.com/spreadsheets/d/14Bd19lYaqBhU8_DElYkX7l4wRkHqqCUFNJY4AfY3kHU/edit?usp=sharing  #gid=0"",""фіз особи new!relations_name""),6,FALSE)
,
(IF
(
C701=""юридична особа""
,
VLOOKUP(D7"&amp;"01,IMPORTRANGE(""https://docs.google.com/spreadsheets/d/14Bd19lYaqBhU8_DElYkX7l4wRkHqqCUFNJY4AfY3kHU/edit?usp=sharing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G700" s="7" t="s">
        <v>10</v>
      </c>
      <c r="H700" s="7">
        <v>4360</v>
      </c>
      <c r="I700" s="8" t="str">
        <f ca="1">IFERROR(__xludf.DUMMYFUNCTION("IF
(
G701=""фізична особа""
,
VLOOKUP(H701,IMPORTRANGE(""https://docs.google.com/spreadsheets/d/14Bd19lYaqBhU8_DElYkX7l4wRkHqqCUFNJY4AfY3kHU/edit?usp=sharing  #gid=0"",""фіз особи new!relations_name""),6,FALSE)
,
(IF
(
G701=""юридична особа""
,
VLOOKUP(H7"&amp;"01,IMPORTRANGE(""https://docs.google.com/spreadsheets/d/14Bd19lYaqBhU8_DElYkX7l4wRkHqqCUFNJY4AfY3kHU/edit?usp=sharing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J700" s="7" t="s">
        <v>17</v>
      </c>
    </row>
    <row r="701" spans="1:10" ht="13.2">
      <c r="A701" s="7">
        <v>700</v>
      </c>
      <c r="B701" s="7">
        <v>1</v>
      </c>
      <c r="C701" s="7" t="s">
        <v>10</v>
      </c>
      <c r="D701" s="7">
        <v>270</v>
      </c>
      <c r="E701" s="7" t="s">
        <v>12</v>
      </c>
      <c r="F701" s="8" t="str">
        <f ca="1">IFERROR(__xludf.DUMMYFUNCTION("IF
(
C702=""фізична особа""
,
VLOOKUP(D702,IMPORTRANGE(""https://docs.google.com/spreadsheets/d/14Bd19lYaqBhU8_DElYkX7l4wRkHqqCUFNJY4AfY3kHU/edit?usp=sharing  #gid=0"",""фіз особи new!relations_name""),6,FALSE)
,
(IF
(
C702=""юридична особа""
,
VLOOKUP(D7"&amp;"02,IMPORTRANGE(""https://docs.google.com/spreadsheets/d/14Bd19lYaqBhU8_DElYkX7l4wRkHqqCUFNJY4AfY3kHU/edit?usp=sharing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G701" s="7" t="s">
        <v>10</v>
      </c>
      <c r="H701" s="7">
        <v>4361</v>
      </c>
      <c r="I701" s="8" t="str">
        <f ca="1">IFERROR(__xludf.DUMMYFUNCTION("IF
(
G702=""фізична особа""
,
VLOOKUP(H702,IMPORTRANGE(""https://docs.google.com/spreadsheets/d/14Bd19lYaqBhU8_DElYkX7l4wRkHqqCUFNJY4AfY3kHU/edit?usp=sharing  #gid=0"",""фіз особи new!relations_name""),6,FALSE)
,
(IF
(
G702=""юридична особа""
,
VLOOKUP(H7"&amp;"02,IMPORTRANGE(""https://docs.google.com/spreadsheets/d/14Bd19lYaqBhU8_DElYkX7l4wRkHqqCUFNJY4AfY3kHU/edit?usp=sharing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J701" s="7" t="s">
        <v>13</v>
      </c>
    </row>
    <row r="702" spans="1:10" ht="13.2">
      <c r="A702" s="7">
        <v>701</v>
      </c>
      <c r="B702" s="7">
        <v>1</v>
      </c>
      <c r="C702" s="7" t="s">
        <v>10</v>
      </c>
      <c r="D702" s="7">
        <v>271</v>
      </c>
      <c r="E702" s="7" t="s">
        <v>12</v>
      </c>
      <c r="F702" s="8" t="str">
        <f ca="1">IFERROR(__xludf.DUMMYFUNCTION("IF
(
C703=""фізична особа""
,
VLOOKUP(D703,IMPORTRANGE(""https://docs.google.com/spreadsheets/d/14Bd19lYaqBhU8_DElYkX7l4wRkHqqCUFNJY4AfY3kHU/edit?usp=sharing  #gid=0"",""фіз особи new!relations_name""),6,FALSE)
,
(IF
(
C703=""юридична особа""
,
VLOOKUP(D7"&amp;"03,IMPORTRANGE(""https://docs.google.com/spreadsheets/d/14Bd19lYaqBhU8_DElYkX7l4wRkHqqCUFNJY4AfY3kHU/edit?usp=sharing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G702" s="7" t="s">
        <v>10</v>
      </c>
      <c r="H702" s="7">
        <v>1874</v>
      </c>
      <c r="I702" s="8" t="str">
        <f ca="1">IFERROR(__xludf.DUMMYFUNCTION("IF
(
G703=""фізична особа""
,
VLOOKUP(H703,IMPORTRANGE(""https://docs.google.com/spreadsheets/d/14Bd19lYaqBhU8_DElYkX7l4wRkHqqCUFNJY4AfY3kHU/edit?usp=sharing  #gid=0"",""фіз особи new!relations_name""),6,FALSE)
,
(IF
(
G703=""юридична особа""
,
VLOOKUP(H7"&amp;"03,IMPORTRANGE(""https://docs.google.com/spreadsheets/d/14Bd19lYaqBhU8_DElYkX7l4wRkHqqCUFNJY4AfY3kHU/edit?usp=sharing  #gid=0"",""фіз особи new!relations_name_uo""),7,FALSE)
,
)
))"),"БРАУНІНГ Наталія Геннадіївна")</f>
        <v>БРАУНІНГ Наталія Геннадіївна</v>
      </c>
      <c r="J702" s="7" t="s">
        <v>13</v>
      </c>
    </row>
    <row r="703" spans="1:10" ht="13.2">
      <c r="A703" s="7">
        <v>702</v>
      </c>
      <c r="B703" s="7">
        <v>1</v>
      </c>
      <c r="C703" s="7" t="s">
        <v>10</v>
      </c>
      <c r="D703" s="7">
        <v>271</v>
      </c>
      <c r="E703" s="7" t="s">
        <v>14</v>
      </c>
      <c r="F703" s="8" t="str">
        <f ca="1">IFERROR(__xludf.DUMMYFUNCTION("IF
(
C704=""фізична особа""
,
VLOOKUP(D704,IMPORTRANGE(""https://docs.google.com/spreadsheets/d/14Bd19lYaqBhU8_DElYkX7l4wRkHqqCUFNJY4AfY3kHU/edit?usp=sharing  #gid=0"",""фіз особи new!relations_name""),6,FALSE)
,
(IF
(
C704=""юридична особа""
,
VLOOKUP(D7"&amp;"04,IMPORTRANGE(""https://docs.google.com/spreadsheets/d/14Bd19lYaqBhU8_DElYkX7l4wRkHqqCUFNJY4AfY3kHU/edit?usp=sharing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G703" s="7" t="s">
        <v>10</v>
      </c>
      <c r="H703" s="7">
        <v>973</v>
      </c>
      <c r="I703" s="8" t="str">
        <f ca="1">IFERROR(__xludf.DUMMYFUNCTION("IF
(
G704=""фізична особа""
,
VLOOKUP(H704,IMPORTRANGE(""https://docs.google.com/spreadsheets/d/14Bd19lYaqBhU8_DElYkX7l4wRkHqqCUFNJY4AfY3kHU/edit?usp=sharing  #gid=0"",""фіз особи new!relations_name""),6,FALSE)
,
(IF
(
G704=""юридична особа""
,
VLOOKUP(H7"&amp;"04,IMPORTRANGE(""https://docs.google.com/spreadsheets/d/14Bd19lYaqBhU8_DElYkX7l4wRkHqqCUFNJY4AfY3kHU/edit?usp=sharing  #gid=0"",""фіз особи new!relations_name_uo""),7,FALSE)
,
)
))"),"ТИМЧЕНКО Олена Петрівна")</f>
        <v>ТИМЧЕНКО Олена Петрівна</v>
      </c>
      <c r="J703" s="7" t="s">
        <v>15</v>
      </c>
    </row>
    <row r="704" spans="1:10" ht="13.2">
      <c r="A704" s="7">
        <v>703</v>
      </c>
      <c r="B704" s="7">
        <v>1</v>
      </c>
      <c r="C704" s="7" t="s">
        <v>10</v>
      </c>
      <c r="D704" s="7">
        <v>271</v>
      </c>
      <c r="E704" s="7" t="s">
        <v>12</v>
      </c>
      <c r="F704" s="8" t="str">
        <f ca="1">IFERROR(__xludf.DUMMYFUNCTION("IF
(
C705=""фізична особа""
,
VLOOKUP(D705,IMPORTRANGE(""https://docs.google.com/spreadsheets/d/14Bd19lYaqBhU8_DElYkX7l4wRkHqqCUFNJY4AfY3kHU/edit?usp=sharing  #gid=0"",""фіз особи new!relations_name""),6,FALSE)
,
(IF
(
C705=""юридична особа""
,
VLOOKUP(D7"&amp;"05,IMPORTRANGE(""https://docs.google.com/spreadsheets/d/14Bd19lYaqBhU8_DElYkX7l4wRkHqqCUFNJY4AfY3kHU/edit?usp=sharing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G704" s="7" t="s">
        <v>10</v>
      </c>
      <c r="H704" s="7">
        <v>985</v>
      </c>
      <c r="I704" s="8" t="str">
        <f ca="1">IFERROR(__xludf.DUMMYFUNCTION("IF
(
G705=""фізична особа""
,
VLOOKUP(H705,IMPORTRANGE(""https://docs.google.com/spreadsheets/d/14Bd19lYaqBhU8_DElYkX7l4wRkHqqCUFNJY4AfY3kHU/edit?usp=sharing  #gid=0"",""фіз особи new!relations_name""),6,FALSE)
,
(IF
(
G705=""юридична особа""
,
VLOOKUP(H7"&amp;"05,IMPORTRANGE(""https://docs.google.com/spreadsheets/d/14Bd19lYaqBhU8_DElYkX7l4wRkHqqCUFNJY4AfY3kHU/edit?usp=sharing  #gid=0"",""фіз особи new!relations_name_uo""),7,FALSE)
,
)
))"),"ФРАНК Ксенія Геннадіївна")</f>
        <v>ФРАНК Ксенія Геннадіївна</v>
      </c>
      <c r="J704" s="7" t="s">
        <v>13</v>
      </c>
    </row>
    <row r="705" spans="1:10" ht="13.2">
      <c r="A705" s="7">
        <v>704</v>
      </c>
      <c r="B705" s="7">
        <v>1</v>
      </c>
      <c r="C705" s="7" t="s">
        <v>10</v>
      </c>
      <c r="D705" s="7">
        <v>271</v>
      </c>
      <c r="E705" s="7" t="s">
        <v>24</v>
      </c>
      <c r="F705" s="8" t="str">
        <f ca="1">IFERROR(__xludf.DUMMYFUNCTION("IF
(
C706=""фізична особа""
,
VLOOKUP(D706,IMPORTRANGE(""https://docs.google.com/spreadsheets/d/14Bd19lYaqBhU8_DElYkX7l4wRkHqqCUFNJY4AfY3kHU/edit?usp=sharing  #gid=0"",""фіз особи new!relations_name""),6,FALSE)
,
(IF
(
C706=""юридична особа""
,
VLOOKUP(D7"&amp;"06,IMPORTRANGE(""https://docs.google.com/spreadsheets/d/14Bd19lYaqBhU8_DElYkX7l4wRkHqqCUFNJY4AfY3kHU/edit?usp=sharing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G705" s="7" t="s">
        <v>10</v>
      </c>
      <c r="H705" s="7">
        <v>984</v>
      </c>
      <c r="I705" s="8" t="str">
        <f ca="1">IFERROR(__xludf.DUMMYFUNCTION("IF
(
G706=""фізична особа""
,
VLOOKUP(H706,IMPORTRANGE(""https://docs.google.com/spreadsheets/d/14Bd19lYaqBhU8_DElYkX7l4wRkHqqCUFNJY4AfY3kHU/edit?usp=sharing  #gid=0"",""фіз особи new!relations_name""),6,FALSE)
,
(IF
(
G706=""юридична особа""
,
VLOOKUP(H7"&amp;"06,IMPORTRANGE(""https://docs.google.com/spreadsheets/d/14Bd19lYaqBhU8_DElYkX7l4wRkHqqCUFNJY4AfY3kHU/edit?usp=sharing  #gid=0"",""фіз особи new!relations_name_uo""),7,FALSE)
,
)
))"),"ФРАНК Гліб Сергійович")</f>
        <v>ФРАНК Гліб Сергійович</v>
      </c>
      <c r="J705" s="7" t="s">
        <v>26</v>
      </c>
    </row>
    <row r="706" spans="1:10" ht="13.2">
      <c r="A706" s="7">
        <v>705</v>
      </c>
      <c r="B706" s="7">
        <v>1</v>
      </c>
      <c r="C706" s="7" t="s">
        <v>10</v>
      </c>
      <c r="D706" s="7">
        <v>272</v>
      </c>
      <c r="E706" s="7" t="s">
        <v>28</v>
      </c>
      <c r="F706" s="8" t="str">
        <f ca="1">IFERROR(__xludf.DUMMYFUNCTION("IF
(
C707=""фізична особа""
,
VLOOKUP(D707,IMPORTRANGE(""https://docs.google.com/spreadsheets/d/14Bd19lYaqBhU8_DElYkX7l4wRkHqqCUFNJY4AfY3kHU/edit?usp=sharing  #gid=0"",""фіз особи new!relations_name""),6,FALSE)
,
(IF
(
C707=""юридична особа""
,
VLOOKUP(D7"&amp;"07,IMPORTRANGE(""https://docs.google.com/spreadsheets/d/14Bd19lYaqBhU8_DElYkX7l4wRkHqqCUFNJY4AfY3kHU/edit?usp=sharing  #gid=0"",""фіз особи new!relations_name_uo""),7,FALSE)
,
)
))"),"ЖИДКО Геннадій Валерйович")</f>
        <v>ЖИДКО Геннадій Валерйович</v>
      </c>
      <c r="G706" s="7" t="s">
        <v>10</v>
      </c>
      <c r="H706" s="7">
        <v>670</v>
      </c>
      <c r="I706" s="8" t="str">
        <f ca="1">IFERROR(__xludf.DUMMYFUNCTION("IF
(
G707=""фізична особа""
,
VLOOKUP(H707,IMPORTRANGE(""https://docs.google.com/spreadsheets/d/14Bd19lYaqBhU8_DElYkX7l4wRkHqqCUFNJY4AfY3kHU/edit?usp=sharing  #gid=0"",""фіз особи new!relations_name""),6,FALSE)
,
(IF
(
G707=""юридична особа""
,
VLOOKUP(H7"&amp;"07,IMPORTRANGE(""https://docs.google.com/spreadsheets/d/14Bd19lYaqBhU8_DElYkX7l4wRkHqqCUFNJY4AfY3kHU/edit?usp=sharing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706" s="7" t="s">
        <v>29</v>
      </c>
    </row>
    <row r="707" spans="1:10" ht="13.2">
      <c r="A707" s="7">
        <v>706</v>
      </c>
      <c r="B707" s="7">
        <v>1</v>
      </c>
      <c r="C707" s="7" t="s">
        <v>10</v>
      </c>
      <c r="D707" s="7">
        <v>273</v>
      </c>
      <c r="E707" s="7" t="s">
        <v>14</v>
      </c>
      <c r="F707" s="8" t="str">
        <f ca="1">IFERROR(__xludf.DUMMYFUNCTION("IF
(
C708=""фізична особа""
,
VLOOKUP(D708,IMPORTRANGE(""https://docs.google.com/spreadsheets/d/14Bd19lYaqBhU8_DElYkX7l4wRkHqqCUFNJY4AfY3kHU/edit?usp=sharing  #gid=0"",""фіз особи new!relations_name""),6,FALSE)
,
(IF
(
C708=""юридична особа""
,
VLOOKUP(D7"&amp;"08,IMPORTRANGE(""https://docs.google.com/spreadsheets/d/14Bd19lYaqBhU8_DElYkX7l4wRkHqqCUFNJY4AfY3kHU/edit?usp=sharing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07" s="7" t="s">
        <v>10</v>
      </c>
      <c r="H707" s="7">
        <v>0</v>
      </c>
      <c r="I707" s="8" t="str">
        <f ca="1">IFERROR(__xludf.DUMMYFUNCTION("IF
(
G708=""фізична особа""
,
VLOOKUP(H708,IMPORTRANGE(""https://docs.google.com/spreadsheets/d/14Bd19lYaqBhU8_DElYkX7l4wRkHqqCUFNJY4AfY3kHU/edit?usp=sharing  #gid=0"",""фіз особи new!relations_name""),6,FALSE)
,
(IF
(
G708=""юридична особа""
,
VLOOKUP(H7"&amp;"08,IMPORTRANGE(""https://docs.google.com/spreadsheets/d/14Bd19lYaqBhU8_DElYkX7l4wRkHqqCUFNJY4AfY3kHU/edit?usp=sharing  #gid=0"",""фіз особи new!relations_name_uo""),7,FALSE)
,
)
))"),"#N/A")</f>
        <v>#N/A</v>
      </c>
      <c r="J707" s="7" t="s">
        <v>15</v>
      </c>
    </row>
    <row r="708" spans="1:10" ht="13.2">
      <c r="A708" s="7">
        <v>707</v>
      </c>
      <c r="B708" s="7">
        <v>1</v>
      </c>
      <c r="C708" s="7" t="s">
        <v>10</v>
      </c>
      <c r="D708" s="7">
        <v>273</v>
      </c>
      <c r="E708" s="7" t="s">
        <v>12</v>
      </c>
      <c r="F708" s="8" t="str">
        <f ca="1">IFERROR(__xludf.DUMMYFUNCTION("IF
(
C709=""фізична особа""
,
VLOOKUP(D709,IMPORTRANGE(""https://docs.google.com/spreadsheets/d/14Bd19lYaqBhU8_DElYkX7l4wRkHqqCUFNJY4AfY3kHU/edit?usp=sharing  #gid=0"",""фіз особи new!relations_name""),6,FALSE)
,
(IF
(
C709=""юридична особа""
,
VLOOKUP(D7"&amp;"09,IMPORTRANGE(""https://docs.google.com/spreadsheets/d/14Bd19lYaqBhU8_DElYkX7l4wRkHqqCUFNJY4AfY3kHU/edit?usp=sharing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08" s="7" t="s">
        <v>10</v>
      </c>
      <c r="H708" s="7">
        <v>0</v>
      </c>
      <c r="I708" s="8" t="str">
        <f ca="1">IFERROR(__xludf.DUMMYFUNCTION("IF
(
G709=""фізична особа""
,
VLOOKUP(H709,IMPORTRANGE(""https://docs.google.com/spreadsheets/d/14Bd19lYaqBhU8_DElYkX7l4wRkHqqCUFNJY4AfY3kHU/edit?usp=sharing  #gid=0"",""фіз особи new!relations_name""),6,FALSE)
,
(IF
(
G709=""юридична особа""
,
VLOOKUP(H7"&amp;"09,IMPORTRANGE(""https://docs.google.com/spreadsheets/d/14Bd19lYaqBhU8_DElYkX7l4wRkHqqCUFNJY4AfY3kHU/edit?usp=sharing  #gid=0"",""фіз особи new!relations_name_uo""),7,FALSE)
,
)
))"),"#N/A")</f>
        <v>#N/A</v>
      </c>
      <c r="J708" s="7" t="s">
        <v>17</v>
      </c>
    </row>
    <row r="709" spans="1:10" ht="13.2">
      <c r="A709" s="7">
        <v>708</v>
      </c>
      <c r="B709" s="7">
        <v>1</v>
      </c>
      <c r="C709" s="7" t="s">
        <v>10</v>
      </c>
      <c r="D709" s="7">
        <v>273</v>
      </c>
      <c r="E709" s="7" t="s">
        <v>12</v>
      </c>
      <c r="F709" s="8" t="str">
        <f ca="1">IFERROR(__xludf.DUMMYFUNCTION("IF
(
C710=""фізична особа""
,
VLOOKUP(D710,IMPORTRANGE(""https://docs.google.com/spreadsheets/d/14Bd19lYaqBhU8_DElYkX7l4wRkHqqCUFNJY4AfY3kHU/edit?usp=sharing  #gid=0"",""фіз особи new!relations_name""),6,FALSE)
,
(IF
(
C710=""юридична особа""
,
VLOOKUP(D7"&amp;"10,IMPORTRANGE(""https://docs.google.com/spreadsheets/d/14Bd19lYaqBhU8_DElYkX7l4wRkHqqCUFNJY4AfY3kHU/edit?usp=sharing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09" s="7" t="s">
        <v>10</v>
      </c>
      <c r="H709" s="7">
        <v>0</v>
      </c>
      <c r="I709" s="8" t="str">
        <f ca="1">IFERROR(__xludf.DUMMYFUNCTION("IF
(
G710=""фізична особа""
,
VLOOKUP(H710,IMPORTRANGE(""https://docs.google.com/spreadsheets/d/14Bd19lYaqBhU8_DElYkX7l4wRkHqqCUFNJY4AfY3kHU/edit?usp=sharing  #gid=0"",""фіз особи new!relations_name""),6,FALSE)
,
(IF
(
G710=""юридична особа""
,
VLOOKUP(H7"&amp;"10,IMPORTRANGE(""https://docs.google.com/spreadsheets/d/14Bd19lYaqBhU8_DElYkX7l4wRkHqqCUFNJY4AfY3kHU/edit?usp=sharing  #gid=0"",""фіз особи new!relations_name_uo""),7,FALSE)
,
)
))"),"#N/A")</f>
        <v>#N/A</v>
      </c>
      <c r="J709" s="7" t="s">
        <v>17</v>
      </c>
    </row>
    <row r="710" spans="1:10" ht="13.2">
      <c r="A710" s="7">
        <v>709</v>
      </c>
      <c r="B710" s="7">
        <v>1</v>
      </c>
      <c r="C710" s="7" t="s">
        <v>10</v>
      </c>
      <c r="D710" s="7">
        <v>273</v>
      </c>
      <c r="E710" s="7" t="s">
        <v>18</v>
      </c>
      <c r="F710" s="8" t="str">
        <f ca="1">IFERROR(__xludf.DUMMYFUNCTION("IF
(
C711=""фізична особа""
,
VLOOKUP(D711,IMPORTRANGE(""https://docs.google.com/spreadsheets/d/14Bd19lYaqBhU8_DElYkX7l4wRkHqqCUFNJY4AfY3kHU/edit?usp=sharing  #gid=0"",""фіз особи new!relations_name""),6,FALSE)
,
(IF
(
C711=""юридична особа""
,
VLOOKUP(D7"&amp;"11,IMPORTRANGE(""https://docs.google.com/spreadsheets/d/14Bd19lYaqBhU8_DElYkX7l4wRkHqqCUFNJY4AfY3kHU/edit?usp=sharing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10" s="7" t="s">
        <v>10</v>
      </c>
      <c r="H710" s="7">
        <v>0</v>
      </c>
      <c r="I710" s="8" t="str">
        <f ca="1">IFERROR(__xludf.DUMMYFUNCTION("IF
(
G711=""фізична особа""
,
VLOOKUP(H711,IMPORTRANGE(""https://docs.google.com/spreadsheets/d/14Bd19lYaqBhU8_DElYkX7l4wRkHqqCUFNJY4AfY3kHU/edit?usp=sharing  #gid=0"",""фіз особи new!relations_name""),6,FALSE)
,
(IF
(
G711=""юридична особа""
,
VLOOKUP(H7"&amp;"11,IMPORTRANGE(""https://docs.google.com/spreadsheets/d/14Bd19lYaqBhU8_DElYkX7l4wRkHqqCUFNJY4AfY3kHU/edit?usp=sharing  #gid=0"",""фіз особи new!relations_name_uo""),7,FALSE)
,
)
))"),"#N/A")</f>
        <v>#N/A</v>
      </c>
      <c r="J710" s="7" t="s">
        <v>18</v>
      </c>
    </row>
    <row r="711" spans="1:10" ht="13.2">
      <c r="A711" s="7">
        <v>710</v>
      </c>
      <c r="B711" s="7">
        <v>1</v>
      </c>
      <c r="C711" s="7" t="s">
        <v>10</v>
      </c>
      <c r="D711" s="7">
        <v>273</v>
      </c>
      <c r="E711" s="7" t="s">
        <v>26</v>
      </c>
      <c r="F711" s="8" t="str">
        <f ca="1">IFERROR(__xludf.DUMMYFUNCTION("IF
(
C712=""фізична особа""
,
VLOOKUP(D712,IMPORTRANGE(""https://docs.google.com/spreadsheets/d/14Bd19lYaqBhU8_DElYkX7l4wRkHqqCUFNJY4AfY3kHU/edit?usp=sharing  #gid=0"",""фіз особи new!relations_name""),6,FALSE)
,
(IF
(
C712=""юридична особа""
,
VLOOKUP(D7"&amp;"12,IMPORTRANGE(""https://docs.google.com/spreadsheets/d/14Bd19lYaqBhU8_DElYkX7l4wRkHqqCUFNJY4AfY3kHU/edit?usp=sharing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11" s="7" t="s">
        <v>10</v>
      </c>
      <c r="H711" s="7">
        <v>0</v>
      </c>
      <c r="I711" s="8" t="str">
        <f ca="1">IFERROR(__xludf.DUMMYFUNCTION("IF
(
G712=""фізична особа""
,
VLOOKUP(H712,IMPORTRANGE(""https://docs.google.com/spreadsheets/d/14Bd19lYaqBhU8_DElYkX7l4wRkHqqCUFNJY4AfY3kHU/edit?usp=sharing  #gid=0"",""фіз особи new!relations_name""),6,FALSE)
,
(IF
(
G712=""юридична особа""
,
VLOOKUP(H7"&amp;"12,IMPORTRANGE(""https://docs.google.com/spreadsheets/d/14Bd19lYaqBhU8_DElYkX7l4wRkHqqCUFNJY4AfY3kHU/edit?usp=sharing  #gid=0"",""фіз особи new!relations_name_uo""),7,FALSE)
,
)
))"),"#N/A")</f>
        <v>#N/A</v>
      </c>
      <c r="J711" s="7" t="s">
        <v>24</v>
      </c>
    </row>
    <row r="712" spans="1:10" ht="13.2">
      <c r="A712" s="7">
        <v>711</v>
      </c>
      <c r="B712" s="7">
        <v>1</v>
      </c>
      <c r="C712" s="7" t="s">
        <v>10</v>
      </c>
      <c r="D712" s="7">
        <v>273</v>
      </c>
      <c r="E712" s="7" t="s">
        <v>26</v>
      </c>
      <c r="F712" s="8" t="str">
        <f ca="1">IFERROR(__xludf.DUMMYFUNCTION("IF
(
C713=""фізична особа""
,
VLOOKUP(D713,IMPORTRANGE(""https://docs.google.com/spreadsheets/d/14Bd19lYaqBhU8_DElYkX7l4wRkHqqCUFNJY4AfY3kHU/edit?usp=sharing  #gid=0"",""фіз особи new!relations_name""),6,FALSE)
,
(IF
(
C713=""юридична особа""
,
VLOOKUP(D7"&amp;"13,IMPORTRANGE(""https://docs.google.com/spreadsheets/d/14Bd19lYaqBhU8_DElYkX7l4wRkHqqCUFNJY4AfY3kHU/edit?usp=sharing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12" s="7" t="s">
        <v>10</v>
      </c>
      <c r="H712" s="7">
        <v>0</v>
      </c>
      <c r="I712" s="8" t="str">
        <f ca="1">IFERROR(__xludf.DUMMYFUNCTION("IF
(
G713=""фізична особа""
,
VLOOKUP(H713,IMPORTRANGE(""https://docs.google.com/spreadsheets/d/14Bd19lYaqBhU8_DElYkX7l4wRkHqqCUFNJY4AfY3kHU/edit?usp=sharing  #gid=0"",""фіз особи new!relations_name""),6,FALSE)
,
(IF
(
G713=""юридична особа""
,
VLOOKUP(H7"&amp;"13,IMPORTRANGE(""https://docs.google.com/spreadsheets/d/14Bd19lYaqBhU8_DElYkX7l4wRkHqqCUFNJY4AfY3kHU/edit?usp=sharing  #gid=0"",""фіз особи new!relations_name_uo""),7,FALSE)
,
)
))"),"#N/A")</f>
        <v>#N/A</v>
      </c>
      <c r="J712" s="7" t="s">
        <v>27</v>
      </c>
    </row>
    <row r="713" spans="1:10" ht="13.2">
      <c r="A713" s="7">
        <v>712</v>
      </c>
      <c r="B713" s="7">
        <v>1</v>
      </c>
      <c r="C713" s="7" t="s">
        <v>10</v>
      </c>
      <c r="D713" s="7">
        <v>273</v>
      </c>
      <c r="E713" s="7" t="s">
        <v>26</v>
      </c>
      <c r="F713" s="8" t="str">
        <f ca="1">IFERROR(__xludf.DUMMYFUNCTION("IF
(
C714=""фізична особа""
,
VLOOKUP(D714,IMPORTRANGE(""https://docs.google.com/spreadsheets/d/14Bd19lYaqBhU8_DElYkX7l4wRkHqqCUFNJY4AfY3kHU/edit?usp=sharing  #gid=0"",""фіз особи new!relations_name""),6,FALSE)
,
(IF
(
C714=""юридична особа""
,
VLOOKUP(D7"&amp;"14,IMPORTRANGE(""https://docs.google.com/spreadsheets/d/14Bd19lYaqBhU8_DElYkX7l4wRkHqqCUFNJY4AfY3kHU/edit?usp=sharing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13" s="7" t="s">
        <v>10</v>
      </c>
      <c r="H713" s="7">
        <v>0</v>
      </c>
      <c r="I713" s="8" t="str">
        <f ca="1">IFERROR(__xludf.DUMMYFUNCTION("IF
(
G714=""фізична особа""
,
VLOOKUP(H714,IMPORTRANGE(""https://docs.google.com/spreadsheets/d/14Bd19lYaqBhU8_DElYkX7l4wRkHqqCUFNJY4AfY3kHU/edit?usp=sharing  #gid=0"",""фіз особи new!relations_name""),6,FALSE)
,
(IF
(
G714=""юридична особа""
,
VLOOKUP(H7"&amp;"14,IMPORTRANGE(""https://docs.google.com/spreadsheets/d/14Bd19lYaqBhU8_DElYkX7l4wRkHqqCUFNJY4AfY3kHU/edit?usp=sharing  #gid=0"",""фіз особи new!relations_name_uo""),7,FALSE)
,
)
))"),"#N/A")</f>
        <v>#N/A</v>
      </c>
      <c r="J713" s="7" t="s">
        <v>50</v>
      </c>
    </row>
    <row r="714" spans="1:10" ht="13.2">
      <c r="A714" s="7">
        <v>713</v>
      </c>
      <c r="B714" s="7">
        <v>1</v>
      </c>
      <c r="C714" s="7" t="s">
        <v>10</v>
      </c>
      <c r="D714" s="7">
        <v>273</v>
      </c>
      <c r="E714" s="7" t="s">
        <v>62</v>
      </c>
      <c r="F714" s="8" t="str">
        <f ca="1">IFERROR(__xludf.DUMMYFUNCTION("IF
(
C715=""фізична особа""
,
VLOOKUP(D715,IMPORTRANGE(""https://docs.google.com/spreadsheets/d/14Bd19lYaqBhU8_DElYkX7l4wRkHqqCUFNJY4AfY3kHU/edit?usp=sharing  #gid=0"",""фіз особи new!relations_name""),6,FALSE)
,
(IF
(
C715=""юридична особа""
,
VLOOKUP(D7"&amp;"15,IMPORTRANGE(""https://docs.google.com/spreadsheets/d/14Bd19lYaqBhU8_DElYkX7l4wRkHqqCUFNJY4AfY3kHU/edit?usp=sharing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G714" s="7" t="s">
        <v>10</v>
      </c>
      <c r="H714" s="7">
        <v>0</v>
      </c>
      <c r="I714" s="8" t="str">
        <f ca="1">IFERROR(__xludf.DUMMYFUNCTION("IF
(
G715=""фізична особа""
,
VLOOKUP(H715,IMPORTRANGE(""https://docs.google.com/spreadsheets/d/14Bd19lYaqBhU8_DElYkX7l4wRkHqqCUFNJY4AfY3kHU/edit?usp=sharing  #gid=0"",""фіз особи new!relations_name""),6,FALSE)
,
(IF
(
G715=""юридична особа""
,
VLOOKUP(H7"&amp;"15,IMPORTRANGE(""https://docs.google.com/spreadsheets/d/14Bd19lYaqBhU8_DElYkX7l4wRkHqqCUFNJY4AfY3kHU/edit?usp=sharing  #gid=0"",""фіз особи new!relations_name_uo""),7,FALSE)
,
)
))"),"#N/A")</f>
        <v>#N/A</v>
      </c>
      <c r="J714" s="7" t="s">
        <v>63</v>
      </c>
    </row>
    <row r="715" spans="1:10" ht="13.2">
      <c r="A715" s="7">
        <v>714</v>
      </c>
      <c r="B715" s="7">
        <v>1</v>
      </c>
      <c r="C715" s="7" t="s">
        <v>10</v>
      </c>
      <c r="D715" s="7">
        <v>275</v>
      </c>
      <c r="E715" s="7" t="s">
        <v>14</v>
      </c>
      <c r="F715" s="8" t="str">
        <f ca="1">IFERROR(__xludf.DUMMYFUNCTION("IF
(
C716=""фізична особа""
,
VLOOKUP(D716,IMPORTRANGE(""https://docs.google.com/spreadsheets/d/14Bd19lYaqBhU8_DElYkX7l4wRkHqqCUFNJY4AfY3kHU/edit?usp=sharing  #gid=0"",""фіз особи new!relations_name""),6,FALSE)
,
(IF
(
C716=""юридична особа""
,
VLOOKUP(D7"&amp;"16,IMPORTRANGE(""https://docs.google.com/spreadsheets/d/14Bd19lYaqBhU8_DElYkX7l4wRkHqqCUFNJY4AfY3kHU/edit?usp=sharing  #gid=0"",""фіз особи new!relations_name_uo""),7,FALSE)
,
)
))"),"КАРЛОВ Георгій Олександрович")</f>
        <v>КАРЛОВ Георгій Олександрович</v>
      </c>
      <c r="G715" s="7" t="s">
        <v>10</v>
      </c>
      <c r="H715" s="7">
        <v>5107</v>
      </c>
      <c r="I715" s="8" t="str">
        <f ca="1">IFERROR(__xludf.DUMMYFUNCTION("IF
(
G716=""фізична особа""
,
VLOOKUP(H716,IMPORTRANGE(""https://docs.google.com/spreadsheets/d/14Bd19lYaqBhU8_DElYkX7l4wRkHqqCUFNJY4AfY3kHU/edit?usp=sharing  #gid=0"",""фіз особи new!relations_name""),6,FALSE)
,
(IF
(
G716=""юридична особа""
,
VLOOKUP(H7"&amp;"16,IMPORTRANGE(""https://docs.google.com/spreadsheets/d/14Bd19lYaqBhU8_DElYkX7l4wRkHqqCUFNJY4AfY3kHU/edit?usp=sharing  #gid=0"",""фіз особи new!relations_name_uo""),7,FALSE)
,
)
))"),"КАРЛОВА Юлія Анатоліївна")</f>
        <v>КАРЛОВА Юлія Анатоліївна</v>
      </c>
      <c r="J715" s="7" t="s">
        <v>15</v>
      </c>
    </row>
    <row r="716" spans="1:10" ht="13.2">
      <c r="A716" s="7">
        <v>715</v>
      </c>
      <c r="B716" s="7">
        <v>1</v>
      </c>
      <c r="C716" s="7" t="s">
        <v>10</v>
      </c>
      <c r="D716" s="7">
        <v>278</v>
      </c>
      <c r="E716" s="7" t="s">
        <v>17</v>
      </c>
      <c r="F716" s="8" t="str">
        <f ca="1">IFERROR(__xludf.DUMMYFUNCTION("IF
(
C717=""фізична особа""
,
VLOOKUP(D717,IMPORTRANGE(""https://docs.google.com/spreadsheets/d/14Bd19lYaqBhU8_DElYkX7l4wRkHqqCUFNJY4AfY3kHU/edit?usp=sharing  #gid=0"",""фіз особи new!relations_name""),6,FALSE)
,
(IF
(
C717=""юридична особа""
,
VLOOKUP(D7"&amp;"17,IMPORTRANGE(""https://docs.google.com/spreadsheets/d/14Bd19lYaqBhU8_DElYkX7l4wRkHqqCUFNJY4AfY3kHU/edit?usp=sharing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G716" s="7" t="s">
        <v>10</v>
      </c>
      <c r="H716" s="7">
        <v>5109</v>
      </c>
      <c r="I716" s="8" t="str">
        <f ca="1">IFERROR(__xludf.DUMMYFUNCTION("IF
(
G717=""фізична особа""
,
VLOOKUP(H717,IMPORTRANGE(""https://docs.google.com/spreadsheets/d/14Bd19lYaqBhU8_DElYkX7l4wRkHqqCUFNJY4AfY3kHU/edit?usp=sharing  #gid=0"",""фіз особи new!relations_name""),6,FALSE)
,
(IF
(
G717=""юридична особа""
,
VLOOKUP(H7"&amp;"17,IMPORTRANGE(""https://docs.google.com/spreadsheets/d/14Bd19lYaqBhU8_DElYkX7l4wRkHqqCUFNJY4AfY3kHU/edit?usp=sharing  #gid=0"",""фіз особи new!relations_name_uo""),7,FALSE)
,
)
))"),"ХОР Наталія Федорівна")</f>
        <v>ХОР Наталія Федорівна</v>
      </c>
      <c r="J716" s="7" t="s">
        <v>12</v>
      </c>
    </row>
    <row r="717" spans="1:10" ht="13.2">
      <c r="A717" s="7">
        <v>716</v>
      </c>
      <c r="B717" s="7">
        <v>1</v>
      </c>
      <c r="C717" s="7" t="s">
        <v>10</v>
      </c>
      <c r="D717" s="7">
        <v>278</v>
      </c>
      <c r="E717" s="7" t="s">
        <v>14</v>
      </c>
      <c r="F717" s="8" t="str">
        <f ca="1">IFERROR(__xludf.DUMMYFUNCTION("IF
(
C718=""фізична особа""
,
VLOOKUP(D718,IMPORTRANGE(""https://docs.google.com/spreadsheets/d/14Bd19lYaqBhU8_DElYkX7l4wRkHqqCUFNJY4AfY3kHU/edit?usp=sharing  #gid=0"",""фіз особи new!relations_name""),6,FALSE)
,
(IF
(
C718=""юридична особа""
,
VLOOKUP(D7"&amp;"18,IMPORTRANGE(""https://docs.google.com/spreadsheets/d/14Bd19lYaqBhU8_DElYkX7l4wRkHqqCUFNJY4AfY3kHU/edit?usp=sharing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G717" s="7" t="s">
        <v>10</v>
      </c>
      <c r="H717" s="7">
        <v>5109</v>
      </c>
      <c r="I717" s="8" t="str">
        <f ca="1">IFERROR(__xludf.DUMMYFUNCTION("IF
(
G718=""фізична особа""
,
VLOOKUP(H718,IMPORTRANGE(""https://docs.google.com/spreadsheets/d/14Bd19lYaqBhU8_DElYkX7l4wRkHqqCUFNJY4AfY3kHU/edit?usp=sharing  #gid=0"",""фіз особи new!relations_name""),6,FALSE)
,
(IF
(
G718=""юридична особа""
,
VLOOKUP(H7"&amp;"18,IMPORTRANGE(""https://docs.google.com/spreadsheets/d/14Bd19lYaqBhU8_DElYkX7l4wRkHqqCUFNJY4AfY3kHU/edit?usp=sharing  #gid=0"",""фіз особи new!relations_name_uo""),7,FALSE)
,
)
))"),"ХОР Наталія Федорівна")</f>
        <v>ХОР Наталія Федорівна</v>
      </c>
      <c r="J717" s="7" t="s">
        <v>15</v>
      </c>
    </row>
    <row r="718" spans="1:10" ht="13.2">
      <c r="A718" s="7">
        <v>717</v>
      </c>
      <c r="B718" s="7">
        <v>1</v>
      </c>
      <c r="C718" s="7" t="s">
        <v>10</v>
      </c>
      <c r="D718" s="7">
        <v>278</v>
      </c>
      <c r="E718" s="7" t="s">
        <v>12</v>
      </c>
      <c r="F718" s="8" t="str">
        <f ca="1">IFERROR(__xludf.DUMMYFUNCTION("IF
(
C719=""фізична особа""
,
VLOOKUP(D719,IMPORTRANGE(""https://docs.google.com/spreadsheets/d/14Bd19lYaqBhU8_DElYkX7l4wRkHqqCUFNJY4AfY3kHU/edit?usp=sharing  #gid=0"",""фіз особи new!relations_name""),6,FALSE)
,
(IF
(
C719=""юридична особа""
,
VLOOKUP(D7"&amp;"19,IMPORTRANGE(""https://docs.google.com/spreadsheets/d/14Bd19lYaqBhU8_DElYkX7l4wRkHqqCUFNJY4AfY3kHU/edit?usp=sharing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G718" s="7" t="s">
        <v>10</v>
      </c>
      <c r="H718" s="7">
        <v>5110</v>
      </c>
      <c r="I718" s="8" t="str">
        <f ca="1">IFERROR(__xludf.DUMMYFUNCTION("IF
(
G719=""фізична особа""
,
VLOOKUP(H719,IMPORTRANGE(""https://docs.google.com/spreadsheets/d/14Bd19lYaqBhU8_DElYkX7l4wRkHqqCUFNJY4AfY3kHU/edit?usp=sharing  #gid=0"",""фіз особи new!relations_name""),6,FALSE)
,
(IF
(
G719=""юридична особа""
,
VLOOKUP(H7"&amp;"19,IMPORTRANGE(""https://docs.google.com/spreadsheets/d/14Bd19lYaqBhU8_DElYkX7l4wRkHqqCUFNJY4AfY3kHU/edit?usp=sharing  #gid=0"",""фіз особи new!relations_name_uo""),7,FALSE)
,
)
))"),"ХОР Ніла / Неоніла Глібівна")</f>
        <v>ХОР Ніла / Неоніла Глібівна</v>
      </c>
      <c r="J718" s="7" t="s">
        <v>13</v>
      </c>
    </row>
    <row r="719" spans="1:10" ht="13.2">
      <c r="A719" s="7">
        <v>718</v>
      </c>
      <c r="B719" s="7">
        <v>1</v>
      </c>
      <c r="C719" s="7" t="s">
        <v>10</v>
      </c>
      <c r="D719" s="7">
        <v>278</v>
      </c>
      <c r="E719" s="7" t="s">
        <v>12</v>
      </c>
      <c r="F719" s="8" t="str">
        <f ca="1">IFERROR(__xludf.DUMMYFUNCTION("IF
(
C720=""фізична особа""
,
VLOOKUP(D720,IMPORTRANGE(""https://docs.google.com/spreadsheets/d/14Bd19lYaqBhU8_DElYkX7l4wRkHqqCUFNJY4AfY3kHU/edit?usp=sharing  #gid=0"",""фіз особи new!relations_name""),6,FALSE)
,
(IF
(
C720=""юридична особа""
,
VLOOKUP(D7"&amp;"20,IMPORTRANGE(""https://docs.google.com/spreadsheets/d/14Bd19lYaqBhU8_DElYkX7l4wRkHqqCUFNJY4AfY3kHU/edit?usp=sharing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G719" s="7" t="s">
        <v>10</v>
      </c>
      <c r="H719" s="7">
        <v>5111</v>
      </c>
      <c r="I719" s="8" t="str">
        <f ca="1">IFERROR(__xludf.DUMMYFUNCTION("IF
(
G720=""фізична особа""
,
VLOOKUP(H720,IMPORTRANGE(""https://docs.google.com/spreadsheets/d/14Bd19lYaqBhU8_DElYkX7l4wRkHqqCUFNJY4AfY3kHU/edit?usp=sharing  #gid=0"",""фіз особи new!relations_name""),6,FALSE)
,
(IF
(
G720=""юридична особа""
,
VLOOKUP(H7"&amp;"20,IMPORTRANGE(""https://docs.google.com/spreadsheets/d/14Bd19lYaqBhU8_DElYkX7l4wRkHqqCUFNJY4AfY3kHU/edit?usp=sharing  #gid=0"",""фіз особи new!relations_name_uo""),7,FALSE)
,
)
))"),"ХОР Данило Глібович")</f>
        <v>ХОР Данило Глібович</v>
      </c>
      <c r="J719" s="7" t="s">
        <v>17</v>
      </c>
    </row>
    <row r="720" spans="1:10" ht="13.2">
      <c r="A720" s="7">
        <v>719</v>
      </c>
      <c r="B720" s="7">
        <v>1</v>
      </c>
      <c r="C720" s="7" t="s">
        <v>10</v>
      </c>
      <c r="D720" s="7">
        <v>280</v>
      </c>
      <c r="E720" s="7" t="s">
        <v>11</v>
      </c>
      <c r="F720" s="8" t="str">
        <f ca="1">IFERROR(__xludf.DUMMYFUNCTION("IF
(
C721=""фізична особа""
,
VLOOKUP(D721,IMPORTRANGE(""https://docs.google.com/spreadsheets/d/14Bd19lYaqBhU8_DElYkX7l4wRkHqqCUFNJY4AfY3kHU/edit?usp=sharing  #gid=0"",""фіз особи new!relations_name""),6,FALSE)
,
(IF
(
C721=""юридична особа""
,
VLOOKUP(D7"&amp;"21,IMPORTRANGE(""https://docs.google.com/spreadsheets/d/14Bd19lYaqBhU8_DElYkX7l4wRkHqqCUFNJY4AfY3kHU/edit?usp=sharing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G720" s="7" t="s">
        <v>10</v>
      </c>
      <c r="H720" s="7">
        <v>377</v>
      </c>
      <c r="I720" s="8" t="str">
        <f ca="1">IFERROR(__xludf.DUMMYFUNCTION("IF
(
G721=""фізична особа""
,
VLOOKUP(H721,IMPORTRANGE(""https://docs.google.com/spreadsheets/d/14Bd19lYaqBhU8_DElYkX7l4wRkHqqCUFNJY4AfY3kHU/edit?usp=sharing  #gid=0"",""фіз особи new!relations_name""),6,FALSE)
,
(IF
(
G721=""юридична особа""
,
VLOOKUP(H7"&amp;"21,IMPORTRANGE(""https://docs.google.com/spreadsheets/d/14Bd19lYaqBhU8_DElYkX7l4wRkHqqCUFNJY4AfY3kHU/edit?usp=sharing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J720" s="7" t="s">
        <v>11</v>
      </c>
    </row>
    <row r="721" spans="1:10" ht="13.2">
      <c r="A721" s="7">
        <v>720</v>
      </c>
      <c r="B721" s="7">
        <v>1</v>
      </c>
      <c r="C721" s="7" t="s">
        <v>10</v>
      </c>
      <c r="D721" s="7">
        <v>280</v>
      </c>
      <c r="E721" s="7" t="s">
        <v>11</v>
      </c>
      <c r="F721" s="8" t="str">
        <f ca="1">IFERROR(__xludf.DUMMYFUNCTION("IF
(
C722=""фізична особа""
,
VLOOKUP(D722,IMPORTRANGE(""https://docs.google.com/spreadsheets/d/14Bd19lYaqBhU8_DElYkX7l4wRkHqqCUFNJY4AfY3kHU/edit?usp=sharing  #gid=0"",""фіз особи new!relations_name""),6,FALSE)
,
(IF
(
C722=""юридична особа""
,
VLOOKUP(D7"&amp;"22,IMPORTRANGE(""https://docs.google.com/spreadsheets/d/14Bd19lYaqBhU8_DElYkX7l4wRkHqqCUFNJY4AfY3kHU/edit?usp=sharing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G721" s="7" t="s">
        <v>10</v>
      </c>
      <c r="H721" s="7">
        <v>253</v>
      </c>
      <c r="I721" s="8" t="str">
        <f ca="1">IFERROR(__xludf.DUMMYFUNCTION("IF
(
G722=""фізична особа""
,
VLOOKUP(H722,IMPORTRANGE(""https://docs.google.com/spreadsheets/d/14Bd19lYaqBhU8_DElYkX7l4wRkHqqCUFNJY4AfY3kHU/edit?usp=sharing  #gid=0"",""фіз особи new!relations_name""),6,FALSE)
,
(IF
(
G722=""юридична особа""
,
VLOOKUP(H7"&amp;"22,IMPORTRANGE(""https://docs.google.com/spreadsheets/d/14Bd19lYaqBhU8_DElYkX7l4wRkHqqCUFNJY4AfY3kHU/edit?usp=sharing  #gid=0"",""фіз особи new!relations_name_uo""),7,FALSE)
,
)
))"),"ФЕДІН Юрій Сергійович")</f>
        <v>ФЕДІН Юрій Сергійович</v>
      </c>
      <c r="J721" s="7" t="s">
        <v>11</v>
      </c>
    </row>
    <row r="722" spans="1:10" ht="13.2">
      <c r="A722" s="7">
        <v>721</v>
      </c>
      <c r="B722" s="7">
        <v>1</v>
      </c>
      <c r="C722" s="7" t="s">
        <v>10</v>
      </c>
      <c r="D722" s="7">
        <v>280</v>
      </c>
      <c r="E722" s="7" t="s">
        <v>11</v>
      </c>
      <c r="F722" s="8" t="str">
        <f ca="1">IFERROR(__xludf.DUMMYFUNCTION("IF
(
C723=""фізична особа""
,
VLOOKUP(D723,IMPORTRANGE(""https://docs.google.com/spreadsheets/d/14Bd19lYaqBhU8_DElYkX7l4wRkHqqCUFNJY4AfY3kHU/edit?usp=sharing  #gid=0"",""фіз особи new!relations_name""),6,FALSE)
,
(IF
(
C723=""юридична особа""
,
VLOOKUP(D7"&amp;"23,IMPORTRANGE(""https://docs.google.com/spreadsheets/d/14Bd19lYaqBhU8_DElYkX7l4wRkHqqCUFNJY4AfY3kHU/edit?usp=sharing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G722" s="7" t="s">
        <v>10</v>
      </c>
      <c r="H722" s="7">
        <v>735</v>
      </c>
      <c r="I722" s="8" t="str">
        <f ca="1">IFERROR(__xludf.DUMMYFUNCTION("IF
(
G723=""фізична особа""
,
VLOOKUP(H723,IMPORTRANGE(""https://docs.google.com/spreadsheets/d/14Bd19lYaqBhU8_DElYkX7l4wRkHqqCUFNJY4AfY3kHU/edit?usp=sharing  #gid=0"",""фіз особи new!relations_name""),6,FALSE)
,
(IF
(
G723=""юридична особа""
,
VLOOKUP(H7"&amp;"23,IMPORTRANGE(""https://docs.google.com/spreadsheets/d/14Bd19lYaqBhU8_DElYkX7l4wRkHqqCUFNJY4AfY3kHU/edit?usp=sharing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J722" s="7" t="s">
        <v>11</v>
      </c>
    </row>
    <row r="723" spans="1:10" ht="13.2">
      <c r="A723" s="7">
        <v>722</v>
      </c>
      <c r="B723" s="7">
        <v>1</v>
      </c>
      <c r="C723" s="7" t="s">
        <v>10</v>
      </c>
      <c r="D723" s="7">
        <v>281</v>
      </c>
      <c r="E723" s="7" t="s">
        <v>14</v>
      </c>
      <c r="F723" s="8" t="str">
        <f ca="1">IFERROR(__xludf.DUMMYFUNCTION("IF
(
C724=""фізична особа""
,
VLOOKUP(D724,IMPORTRANGE(""https://docs.google.com/spreadsheets/d/14Bd19lYaqBhU8_DElYkX7l4wRkHqqCUFNJY4AfY3kHU/edit?usp=sharing  #gid=0"",""фіз особи new!relations_name""),6,FALSE)
,
(IF
(
C724=""юридична особа""
,
VLOOKUP(D7"&amp;"24,IMPORTRANGE(""https://docs.google.com/spreadsheets/d/14Bd19lYaqBhU8_DElYkX7l4wRkHqqCUFNJY4AfY3kHU/edit?usp=sharing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G723" s="7" t="s">
        <v>10</v>
      </c>
      <c r="H723" s="7">
        <v>4362</v>
      </c>
      <c r="I723" s="8" t="str">
        <f ca="1">IFERROR(__xludf.DUMMYFUNCTION("IF
(
G724=""фізична особа""
,
VLOOKUP(H724,IMPORTRANGE(""https://docs.google.com/spreadsheets/d/14Bd19lYaqBhU8_DElYkX7l4wRkHqqCUFNJY4AfY3kHU/edit?usp=sharing  #gid=0"",""фіз особи new!relations_name""),6,FALSE)
,
(IF
(
G724=""юридична особа""
,
VLOOKUP(H7"&amp;"24,IMPORTRANGE(""https://docs.google.com/spreadsheets/d/14Bd19lYaqBhU8_DElYkX7l4wRkHqqCUFNJY4AfY3kHU/edit?usp=sharing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J723" s="7" t="s">
        <v>15</v>
      </c>
    </row>
    <row r="724" spans="1:10" ht="13.2">
      <c r="A724" s="7">
        <v>723</v>
      </c>
      <c r="B724" s="7">
        <v>1</v>
      </c>
      <c r="C724" s="7" t="s">
        <v>10</v>
      </c>
      <c r="D724" s="7">
        <v>281</v>
      </c>
      <c r="E724" s="7" t="s">
        <v>12</v>
      </c>
      <c r="F724" s="8" t="str">
        <f ca="1">IFERROR(__xludf.DUMMYFUNCTION("IF
(
C725=""фізична особа""
,
VLOOKUP(D725,IMPORTRANGE(""https://docs.google.com/spreadsheets/d/14Bd19lYaqBhU8_DElYkX7l4wRkHqqCUFNJY4AfY3kHU/edit?usp=sharing  #gid=0"",""фіз особи new!relations_name""),6,FALSE)
,
(IF
(
C725=""юридична особа""
,
VLOOKUP(D7"&amp;"25,IMPORTRANGE(""https://docs.google.com/spreadsheets/d/14Bd19lYaqBhU8_DElYkX7l4wRkHqqCUFNJY4AfY3kHU/edit?usp=sharing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G724" s="7" t="s">
        <v>10</v>
      </c>
      <c r="H724" s="7">
        <v>4363</v>
      </c>
      <c r="I724" s="8" t="str">
        <f ca="1">IFERROR(__xludf.DUMMYFUNCTION("IF
(
G725=""фізична особа""
,
VLOOKUP(H725,IMPORTRANGE(""https://docs.google.com/spreadsheets/d/14Bd19lYaqBhU8_DElYkX7l4wRkHqqCUFNJY4AfY3kHU/edit?usp=sharing  #gid=0"",""фіз особи new!relations_name""),6,FALSE)
,
(IF
(
G725=""юридична особа""
,
VLOOKUP(H7"&amp;"25,IMPORTRANGE(""https://docs.google.com/spreadsheets/d/14Bd19lYaqBhU8_DElYkX7l4wRkHqqCUFNJY4AfY3kHU/edit?usp=sharing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J724" s="7" t="s">
        <v>17</v>
      </c>
    </row>
    <row r="725" spans="1:10" ht="13.2">
      <c r="A725" s="7">
        <v>724</v>
      </c>
      <c r="B725" s="7">
        <v>1</v>
      </c>
      <c r="C725" s="7" t="s">
        <v>10</v>
      </c>
      <c r="D725" s="7">
        <v>281</v>
      </c>
      <c r="E725" s="7" t="s">
        <v>34</v>
      </c>
      <c r="F725" s="8" t="str">
        <f ca="1">IFERROR(__xludf.DUMMYFUNCTION("IF
(
C726=""фізична особа""
,
VLOOKUP(D726,IMPORTRANGE(""https://docs.google.com/spreadsheets/d/14Bd19lYaqBhU8_DElYkX7l4wRkHqqCUFNJY4AfY3kHU/edit?usp=sharing  #gid=0"",""фіз особи new!relations_name""),6,FALSE)
,
(IF
(
C726=""юридична особа""
,
VLOOKUP(D7"&amp;"26,IMPORTRANGE(""https://docs.google.com/spreadsheets/d/14Bd19lYaqBhU8_DElYkX7l4wRkHqqCUFNJY4AfY3kHU/edit?usp=sharing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G725" s="7" t="s">
        <v>10</v>
      </c>
      <c r="H725" s="7">
        <v>23379</v>
      </c>
      <c r="I725" s="8" t="str">
        <f ca="1">IFERROR(__xludf.DUMMYFUNCTION("IF
(
G726=""фізична особа""
,
VLOOKUP(H726,IMPORTRANGE(""https://docs.google.com/spreadsheets/d/14Bd19lYaqBhU8_DElYkX7l4wRkHqqCUFNJY4AfY3kHU/edit?usp=sharing  #gid=0"",""фіз особи new!relations_name""),6,FALSE)
,
(IF
(
G726=""юридична особа""
,
VLOOKUP(H7"&amp;"26,IMPORTRANGE(""https://docs.google.com/spreadsheets/d/14Bd19lYaqBhU8_DElYkX7l4wRkHqqCUFNJY4AfY3kHU/edit?usp=sharing  #gid=0"",""фіз особи new!relations_name_uo""),7,FALSE)
,
)
))"),"РАПОТА Віра Леонардівна")</f>
        <v>РАПОТА Віра Леонардівна</v>
      </c>
      <c r="J725" s="7" t="s">
        <v>25</v>
      </c>
    </row>
    <row r="726" spans="1:10" ht="13.2">
      <c r="A726" s="7">
        <v>725</v>
      </c>
      <c r="B726" s="7">
        <v>1</v>
      </c>
      <c r="C726" s="7" t="s">
        <v>10</v>
      </c>
      <c r="D726" s="7">
        <v>281</v>
      </c>
      <c r="E726" s="7" t="s">
        <v>59</v>
      </c>
      <c r="F726" s="8" t="str">
        <f ca="1">IFERROR(__xludf.DUMMYFUNCTION("IF
(
C727=""фізична особа""
,
VLOOKUP(D727,IMPORTRANGE(""https://docs.google.com/spreadsheets/d/14Bd19lYaqBhU8_DElYkX7l4wRkHqqCUFNJY4AfY3kHU/edit?usp=sharing  #gid=0"",""фіз особи new!relations_name""),6,FALSE)
,
(IF
(
C727=""юридична особа""
,
VLOOKUP(D7"&amp;"27,IMPORTRANGE(""https://docs.google.com/spreadsheets/d/14Bd19lYaqBhU8_DElYkX7l4wRkHqqCUFNJY4AfY3kHU/edit?usp=sharing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G726" s="7" t="s">
        <v>10</v>
      </c>
      <c r="H726" s="7">
        <v>4364</v>
      </c>
      <c r="I726" s="8" t="str">
        <f ca="1">IFERROR(__xludf.DUMMYFUNCTION("IF
(
G727=""фізична особа""
,
VLOOKUP(H727,IMPORTRANGE(""https://docs.google.com/spreadsheets/d/14Bd19lYaqBhU8_DElYkX7l4wRkHqqCUFNJY4AfY3kHU/edit?usp=sharing  #gid=0"",""фіз особи new!relations_name""),6,FALSE)
,
(IF
(
G727=""юридична особа""
,
VLOOKUP(H7"&amp;"27,IMPORTRANGE(""https://docs.google.com/spreadsheets/d/14Bd19lYaqBhU8_DElYkX7l4wRkHqqCUFNJY4AfY3kHU/edit?usp=sharing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J726" s="7" t="s">
        <v>60</v>
      </c>
    </row>
    <row r="727" spans="1:10" ht="13.2">
      <c r="A727" s="7">
        <v>726</v>
      </c>
      <c r="B727" s="7">
        <v>1</v>
      </c>
      <c r="C727" s="7" t="s">
        <v>10</v>
      </c>
      <c r="D727" s="7">
        <v>282</v>
      </c>
      <c r="E727" s="7" t="s">
        <v>14</v>
      </c>
      <c r="F727" s="8" t="str">
        <f ca="1">IFERROR(__xludf.DUMMYFUNCTION("IF
(
C728=""фізична особа""
,
VLOOKUP(D728,IMPORTRANGE(""https://docs.google.com/spreadsheets/d/14Bd19lYaqBhU8_DElYkX7l4wRkHqqCUFNJY4AfY3kHU/edit?usp=sharing  #gid=0"",""фіз особи new!relations_name""),6,FALSE)
,
(IF
(
C728=""юридична особа""
,
VLOOKUP(D7"&amp;"28,IMPORTRANGE(""https://docs.google.com/spreadsheets/d/14Bd19lYaqBhU8_DElYkX7l4wRkHqqCUFNJY4AfY3kHU/edit?usp=sharing  #gid=0"",""фіз особи new!relations_name_uo""),7,FALSE)
,
)
))"),"КАРАСІН Григорій Борисович")</f>
        <v>КАРАСІН Григорій Борисович</v>
      </c>
      <c r="G727" s="7" t="s">
        <v>10</v>
      </c>
      <c r="H727" s="7">
        <v>8614</v>
      </c>
      <c r="I727" s="8" t="str">
        <f ca="1">IFERROR(__xludf.DUMMYFUNCTION("IF
(
G728=""фізична особа""
,
VLOOKUP(H728,IMPORTRANGE(""https://docs.google.com/spreadsheets/d/14Bd19lYaqBhU8_DElYkX7l4wRkHqqCUFNJY4AfY3kHU/edit?usp=sharing  #gid=0"",""фіз особи new!relations_name""),6,FALSE)
,
(IF
(
G728=""юридична особа""
,
VLOOKUP(H7"&amp;"28,IMPORTRANGE(""https://docs.google.com/spreadsheets/d/14Bd19lYaqBhU8_DElYkX7l4wRkHqqCUFNJY4AfY3kHU/edit?usp=sharing  #gid=0"",""фіз особи new!relations_name_uo""),7,FALSE)
,
)
))"),"КАРАСІНА Ольга Владиславівна")</f>
        <v>КАРАСІНА Ольга Владиславівна</v>
      </c>
      <c r="J727" s="7" t="s">
        <v>15</v>
      </c>
    </row>
    <row r="728" spans="1:10" ht="13.2">
      <c r="A728" s="7">
        <v>727</v>
      </c>
      <c r="B728" s="7">
        <v>1</v>
      </c>
      <c r="C728" s="7" t="s">
        <v>10</v>
      </c>
      <c r="D728" s="7">
        <v>282</v>
      </c>
      <c r="E728" s="7" t="s">
        <v>12</v>
      </c>
      <c r="F728" s="8" t="str">
        <f ca="1">IFERROR(__xludf.DUMMYFUNCTION("IF
(
C729=""фізична особа""
,
VLOOKUP(D729,IMPORTRANGE(""https://docs.google.com/spreadsheets/d/14Bd19lYaqBhU8_DElYkX7l4wRkHqqCUFNJY4AfY3kHU/edit?usp=sharing  #gid=0"",""фіз особи new!relations_name""),6,FALSE)
,
(IF
(
C729=""юридична особа""
,
VLOOKUP(D7"&amp;"29,IMPORTRANGE(""https://docs.google.com/spreadsheets/d/14Bd19lYaqBhU8_DElYkX7l4wRkHqqCUFNJY4AfY3kHU/edit?usp=sharing  #gid=0"",""фіз особи new!relations_name_uo""),7,FALSE)
,
)
))"),"КАРАСІН Григорій Борисович")</f>
        <v>КАРАСІН Григорій Борисович</v>
      </c>
      <c r="G728" s="7" t="s">
        <v>10</v>
      </c>
      <c r="H728" s="7">
        <v>0</v>
      </c>
      <c r="I728" s="8" t="str">
        <f ca="1">IFERROR(__xludf.DUMMYFUNCTION("IF
(
G729=""фізична особа""
,
VLOOKUP(H729,IMPORTRANGE(""https://docs.google.com/spreadsheets/d/14Bd19lYaqBhU8_DElYkX7l4wRkHqqCUFNJY4AfY3kHU/edit?usp=sharing  #gid=0"",""фіз особи new!relations_name""),6,FALSE)
,
(IF
(
G729=""юридична особа""
,
VLOOKUP(H7"&amp;"29,IMPORTRANGE(""https://docs.google.com/spreadsheets/d/14Bd19lYaqBhU8_DElYkX7l4wRkHqqCUFNJY4AfY3kHU/edit?usp=sharing  #gid=0"",""фіз особи new!relations_name_uo""),7,FALSE)
,
)
))"),"#N/A")</f>
        <v>#N/A</v>
      </c>
      <c r="J728" s="7" t="s">
        <v>13</v>
      </c>
    </row>
    <row r="729" spans="1:10" ht="13.2">
      <c r="A729" s="7">
        <v>728</v>
      </c>
      <c r="B729" s="7">
        <v>1</v>
      </c>
      <c r="C729" s="7" t="s">
        <v>10</v>
      </c>
      <c r="D729" s="7">
        <v>282</v>
      </c>
      <c r="E729" s="7" t="s">
        <v>59</v>
      </c>
      <c r="F729" s="8" t="str">
        <f ca="1">IFERROR(__xludf.DUMMYFUNCTION("IF
(
C730=""фізична особа""
,
VLOOKUP(D730,IMPORTRANGE(""https://docs.google.com/spreadsheets/d/14Bd19lYaqBhU8_DElYkX7l4wRkHqqCUFNJY4AfY3kHU/edit?usp=sharing  #gid=0"",""фіз особи new!relations_name""),6,FALSE)
,
(IF
(
C730=""юридична особа""
,
VLOOKUP(D7"&amp;"30,IMPORTRANGE(""https://docs.google.com/spreadsheets/d/14Bd19lYaqBhU8_DElYkX7l4wRkHqqCUFNJY4AfY3kHU/edit?usp=sharing  #gid=0"",""фіз особи new!relations_name_uo""),7,FALSE)
,
)
))"),"КАРАСІН Григорій Борисович")</f>
        <v>КАРАСІН Григорій Борисович</v>
      </c>
      <c r="G729" s="7" t="s">
        <v>10</v>
      </c>
      <c r="H729" s="7">
        <v>23380</v>
      </c>
      <c r="I729" s="8" t="str">
        <f ca="1">IFERROR(__xludf.DUMMYFUNCTION("IF
(
G730=""фізична особа""
,
VLOOKUP(H730,IMPORTRANGE(""https://docs.google.com/spreadsheets/d/14Bd19lYaqBhU8_DElYkX7l4wRkHqqCUFNJY4AfY3kHU/edit?usp=sharing  #gid=0"",""фіз особи new!relations_name""),6,FALSE)
,
(IF
(
G730=""юридична особа""
,
VLOOKUP(H7"&amp;"30,IMPORTRANGE(""https://docs.google.com/spreadsheets/d/14Bd19lYaqBhU8_DElYkX7l4wRkHqqCUFNJY4AfY3kHU/edit?usp=sharing  #gid=0"",""фіз особи new!relations_name_uo""),7,FALSE)
,
)
))"),"ВОЛКОВА Дар'я Сергіївна")</f>
        <v>ВОЛКОВА Дар'я Сергіївна</v>
      </c>
      <c r="J729" s="7" t="s">
        <v>60</v>
      </c>
    </row>
    <row r="730" spans="1:10" ht="13.2">
      <c r="A730" s="7">
        <v>729</v>
      </c>
      <c r="B730" s="7">
        <v>1</v>
      </c>
      <c r="C730" s="7" t="s">
        <v>10</v>
      </c>
      <c r="D730" s="7">
        <v>282</v>
      </c>
      <c r="E730" s="7" t="s">
        <v>59</v>
      </c>
      <c r="F730" s="8" t="str">
        <f ca="1">IFERROR(__xludf.DUMMYFUNCTION("IF
(
C731=""фізична особа""
,
VLOOKUP(D731,IMPORTRANGE(""https://docs.google.com/spreadsheets/d/14Bd19lYaqBhU8_DElYkX7l4wRkHqqCUFNJY4AfY3kHU/edit?usp=sharing  #gid=0"",""фіз особи new!relations_name""),6,FALSE)
,
(IF
(
C731=""юридична особа""
,
VLOOKUP(D7"&amp;"31,IMPORTRANGE(""https://docs.google.com/spreadsheets/d/14Bd19lYaqBhU8_DElYkX7l4wRkHqqCUFNJY4AfY3kHU/edit?usp=sharing  #gid=0"",""фіз особи new!relations_name_uo""),7,FALSE)
,
)
))"),"КАРАСІН Григорій Борисович")</f>
        <v>КАРАСІН Григорій Борисович</v>
      </c>
      <c r="G730" s="7" t="s">
        <v>10</v>
      </c>
      <c r="H730" s="7">
        <v>23381</v>
      </c>
      <c r="I730" s="8" t="str">
        <f ca="1">IFERROR(__xludf.DUMMYFUNCTION("IF
(
G731=""фізична особа""
,
VLOOKUP(H731,IMPORTRANGE(""https://docs.google.com/spreadsheets/d/14Bd19lYaqBhU8_DElYkX7l4wRkHqqCUFNJY4AfY3kHU/edit?usp=sharing  #gid=0"",""фіз особи new!relations_name""),6,FALSE)
,
(IF
(
G731=""юридична особа""
,
VLOOKUP(H7"&amp;"31,IMPORTRANGE(""https://docs.google.com/spreadsheets/d/14Bd19lYaqBhU8_DElYkX7l4wRkHqqCUFNJY4AfY3kHU/edit?usp=sharing  #gid=0"",""фіз особи new!relations_name_uo""),7,FALSE)
,
)
))"),"ВОЛКОВА Поліна Сергіївна")</f>
        <v>ВОЛКОВА Поліна Сергіївна</v>
      </c>
      <c r="J730" s="7" t="s">
        <v>60</v>
      </c>
    </row>
    <row r="731" spans="1:10" ht="13.2">
      <c r="A731" s="7">
        <v>730</v>
      </c>
      <c r="B731" s="7">
        <v>1</v>
      </c>
      <c r="C731" s="7" t="s">
        <v>10</v>
      </c>
      <c r="D731" s="7">
        <v>284</v>
      </c>
      <c r="E731" s="7" t="s">
        <v>44</v>
      </c>
      <c r="F731" s="8" t="str">
        <f ca="1">IFERROR(__xludf.DUMMYFUNCTION("IF
(
C732=""фізична особа""
,
VLOOKUP(D732,IMPORTRANGE(""https://docs.google.com/spreadsheets/d/14Bd19lYaqBhU8_DElYkX7l4wRkHqqCUFNJY4AfY3kHU/edit?usp=sharing  #gid=0"",""фіз особи new!relations_name""),6,FALSE)
,
(IF
(
C732=""юридична особа""
,
VLOOKUP(D7"&amp;"32,IMPORTRANGE(""https://docs.google.com/spreadsheets/d/14Bd19lYaqBhU8_DElYkX7l4wRkHqqCUFNJY4AfY3kHU/edit?usp=sharing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1" s="7" t="s">
        <v>10</v>
      </c>
      <c r="H731" s="7">
        <v>62</v>
      </c>
      <c r="I731" s="8" t="str">
        <f ca="1">IFERROR(__xludf.DUMMYFUNCTION("IF
(
G732=""фізична особа""
,
VLOOKUP(H732,IMPORTRANGE(""https://docs.google.com/spreadsheets/d/14Bd19lYaqBhU8_DElYkX7l4wRkHqqCUFNJY4AfY3kHU/edit?usp=sharing  #gid=0"",""фіз особи new!relations_name""),6,FALSE)
,
(IF
(
G732=""юридична особа""
,
VLOOKUP(H7"&amp;"32,IMPORTRANGE(""https://docs.google.com/spreadsheets/d/14Bd19lYaqBhU8_DElYkX7l4wRkHqqCUFNJY4AfY3kHU/edit?usp=sharing  #gid=0"",""фіз особи new!relations_name_uo""),7,FALSE)
,
)
))"),"АНІКЄЄВ Андрій Анатолійович")</f>
        <v>АНІКЄЄВ Андрій Анатолійович</v>
      </c>
      <c r="J731" s="7" t="s">
        <v>44</v>
      </c>
    </row>
    <row r="732" spans="1:10" ht="13.2">
      <c r="A732" s="7">
        <v>731</v>
      </c>
      <c r="B732" s="7">
        <v>1</v>
      </c>
      <c r="C732" s="7" t="s">
        <v>10</v>
      </c>
      <c r="D732" s="7">
        <v>284</v>
      </c>
      <c r="E732" s="7" t="s">
        <v>18</v>
      </c>
      <c r="F732" s="8" t="str">
        <f ca="1">IFERROR(__xludf.DUMMYFUNCTION("IF
(
C733=""фізична особа""
,
VLOOKUP(D733,IMPORTRANGE(""https://docs.google.com/spreadsheets/d/14Bd19lYaqBhU8_DElYkX7l4wRkHqqCUFNJY4AfY3kHU/edit?usp=sharing  #gid=0"",""фіз особи new!relations_name""),6,FALSE)
,
(IF
(
C733=""юридична особа""
,
VLOOKUP(D7"&amp;"33,IMPORTRANGE(""https://docs.google.com/spreadsheets/d/14Bd19lYaqBhU8_DElYkX7l4wRkHqqCUFNJY4AfY3kHU/edit?usp=sharing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2" s="7" t="s">
        <v>10</v>
      </c>
      <c r="H732" s="7">
        <v>5112</v>
      </c>
      <c r="I732" s="8" t="str">
        <f ca="1">IFERROR(__xludf.DUMMYFUNCTION("IF
(
G733=""фізична особа""
,
VLOOKUP(H733,IMPORTRANGE(""https://docs.google.com/spreadsheets/d/14Bd19lYaqBhU8_DElYkX7l4wRkHqqCUFNJY4AfY3kHU/edit?usp=sharing  #gid=0"",""фіз особи new!relations_name""),6,FALSE)
,
(IF
(
G733=""юридична особа""
,
VLOOKUP(H7"&amp;"33,IMPORTRANGE(""https://docs.google.com/spreadsheets/d/14Bd19lYaqBhU8_DElYkX7l4wRkHqqCUFNJY4AfY3kHU/edit?usp=sharing  #gid=0"",""фіз особи new!relations_name_uo""),7,FALSE)
,
)
))"),"АНІКЄЄВ Валерій Вікторович")</f>
        <v>АНІКЄЄВ Валерій Вікторович</v>
      </c>
      <c r="J732" s="7" t="s">
        <v>18</v>
      </c>
    </row>
    <row r="733" spans="1:10" ht="13.2">
      <c r="A733" s="7">
        <v>732</v>
      </c>
      <c r="B733" s="7">
        <v>1</v>
      </c>
      <c r="C733" s="7" t="s">
        <v>10</v>
      </c>
      <c r="D733" s="7">
        <v>284</v>
      </c>
      <c r="E733" s="7" t="s">
        <v>12</v>
      </c>
      <c r="F733" s="8" t="str">
        <f ca="1">IFERROR(__xludf.DUMMYFUNCTION("IF
(
C734=""фізична особа""
,
VLOOKUP(D734,IMPORTRANGE(""https://docs.google.com/spreadsheets/d/14Bd19lYaqBhU8_DElYkX7l4wRkHqqCUFNJY4AfY3kHU/edit?usp=sharing  #gid=0"",""фіз особи new!relations_name""),6,FALSE)
,
(IF
(
C734=""юридична особа""
,
VLOOKUP(D7"&amp;"34,IMPORTRANGE(""https://docs.google.com/spreadsheets/d/14Bd19lYaqBhU8_DElYkX7l4wRkHqqCUFNJY4AfY3kHU/edit?usp=sharing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3" s="7" t="s">
        <v>10</v>
      </c>
      <c r="H733" s="7">
        <v>5113</v>
      </c>
      <c r="I733" s="8" t="str">
        <f ca="1">IFERROR(__xludf.DUMMYFUNCTION("IF
(
G734=""фізична особа""
,
VLOOKUP(H734,IMPORTRANGE(""https://docs.google.com/spreadsheets/d/14Bd19lYaqBhU8_DElYkX7l4wRkHqqCUFNJY4AfY3kHU/edit?usp=sharing  #gid=0"",""фіз особи new!relations_name""),6,FALSE)
,
(IF
(
G734=""юридична особа""
,
VLOOKUP(H7"&amp;"34,IMPORTRANGE(""https://docs.google.com/spreadsheets/d/14Bd19lYaqBhU8_DElYkX7l4wRkHqqCUFNJY4AfY3kHU/edit?usp=sharing  #gid=0"",""фіз особи new!relations_name_uo""),7,FALSE)
,
)
))"),"АНІКЄЄВ Артем Григорович")</f>
        <v>АНІКЄЄВ Артем Григорович</v>
      </c>
      <c r="J733" s="7" t="s">
        <v>17</v>
      </c>
    </row>
    <row r="734" spans="1:10" ht="13.2">
      <c r="A734" s="7">
        <v>733</v>
      </c>
      <c r="B734" s="7">
        <v>1</v>
      </c>
      <c r="C734" s="7" t="s">
        <v>10</v>
      </c>
      <c r="D734" s="7">
        <v>284</v>
      </c>
      <c r="E734" s="7" t="s">
        <v>18</v>
      </c>
      <c r="F734" s="8" t="str">
        <f ca="1">IFERROR(__xludf.DUMMYFUNCTION("IF
(
C735=""фізична особа""
,
VLOOKUP(D735,IMPORTRANGE(""https://docs.google.com/spreadsheets/d/14Bd19lYaqBhU8_DElYkX7l4wRkHqqCUFNJY4AfY3kHU/edit?usp=sharing  #gid=0"",""фіз особи new!relations_name""),6,FALSE)
,
(IF
(
C735=""юридична особа""
,
VLOOKUP(D7"&amp;"35,IMPORTRANGE(""https://docs.google.com/spreadsheets/d/14Bd19lYaqBhU8_DElYkX7l4wRkHqqCUFNJY4AfY3kHU/edit?usp=sharing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4" s="7" t="s">
        <v>10</v>
      </c>
      <c r="H734" s="7">
        <v>5114</v>
      </c>
      <c r="I734" s="8" t="str">
        <f ca="1">IFERROR(__xludf.DUMMYFUNCTION("IF
(
G735=""фізична особа""
,
VLOOKUP(H735,IMPORTRANGE(""https://docs.google.com/spreadsheets/d/14Bd19lYaqBhU8_DElYkX7l4wRkHqqCUFNJY4AfY3kHU/edit?usp=sharing  #gid=0"",""фіз особи new!relations_name""),6,FALSE)
,
(IF
(
G735=""юридична особа""
,
VLOOKUP(H7"&amp;"35,IMPORTRANGE(""https://docs.google.com/spreadsheets/d/14Bd19lYaqBhU8_DElYkX7l4wRkHqqCUFNJY4AfY3kHU/edit?usp=sharing  #gid=0"",""фіз особи new!relations_name_uo""),7,FALSE)
,
)
))"),"АНІКЄЄВ Анатолій Вікторович")</f>
        <v>АНІКЄЄВ Анатолій Вікторович</v>
      </c>
      <c r="J734" s="7" t="s">
        <v>18</v>
      </c>
    </row>
    <row r="735" spans="1:10" ht="13.2">
      <c r="A735" s="7">
        <v>734</v>
      </c>
      <c r="B735" s="7">
        <v>1</v>
      </c>
      <c r="C735" s="7" t="s">
        <v>10</v>
      </c>
      <c r="D735" s="7">
        <v>284</v>
      </c>
      <c r="E735" s="7" t="s">
        <v>42</v>
      </c>
      <c r="F735" s="8" t="str">
        <f ca="1">IFERROR(__xludf.DUMMYFUNCTION("IF
(
C736=""фізична особа""
,
VLOOKUP(D736,IMPORTRANGE(""https://docs.google.com/spreadsheets/d/14Bd19lYaqBhU8_DElYkX7l4wRkHqqCUFNJY4AfY3kHU/edit?usp=sharing  #gid=0"",""фіз особи new!relations_name""),6,FALSE)
,
(IF
(
C736=""юридична особа""
,
VLOOKUP(D7"&amp;"36,IMPORTRANGE(""https://docs.google.com/spreadsheets/d/14Bd19lYaqBhU8_DElYkX7l4wRkHqqCUFNJY4AfY3kHU/edit?usp=sharing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5" s="7" t="s">
        <v>10</v>
      </c>
      <c r="H735" s="7">
        <v>0</v>
      </c>
      <c r="I735" s="8" t="str">
        <f ca="1">IFERROR(__xludf.DUMMYFUNCTION("IF
(
G736=""фізична особа""
,
VLOOKUP(H736,IMPORTRANGE(""https://docs.google.com/spreadsheets/d/14Bd19lYaqBhU8_DElYkX7l4wRkHqqCUFNJY4AfY3kHU/edit?usp=sharing  #gid=0"",""фіз особи new!relations_name""),6,FALSE)
,
(IF
(
G736=""юридична особа""
,
VLOOKUP(H7"&amp;"36,IMPORTRANGE(""https://docs.google.com/spreadsheets/d/14Bd19lYaqBhU8_DElYkX7l4wRkHqqCUFNJY4AfY3kHU/edit?usp=sharing  #gid=0"",""фіз особи new!relations_name_uo""),7,FALSE)
,
)
))"),"#N/A")</f>
        <v>#N/A</v>
      </c>
      <c r="J735" s="7" t="s">
        <v>43</v>
      </c>
    </row>
    <row r="736" spans="1:10" ht="13.2">
      <c r="A736" s="7">
        <v>735</v>
      </c>
      <c r="B736" s="7">
        <v>1</v>
      </c>
      <c r="C736" s="7" t="s">
        <v>10</v>
      </c>
      <c r="D736" s="7">
        <v>284</v>
      </c>
      <c r="E736" s="7" t="s">
        <v>30</v>
      </c>
      <c r="F736" s="8" t="str">
        <f ca="1">IFERROR(__xludf.DUMMYFUNCTION("IF
(
C737=""фізична особа""
,
VLOOKUP(D737,IMPORTRANGE(""https://docs.google.com/spreadsheets/d/14Bd19lYaqBhU8_DElYkX7l4wRkHqqCUFNJY4AfY3kHU/edit?usp=sharing  #gid=0"",""фіз особи new!relations_name""),6,FALSE)
,
(IF
(
C737=""юридична особа""
,
VLOOKUP(D7"&amp;"37,IMPORTRANGE(""https://docs.google.com/spreadsheets/d/14Bd19lYaqBhU8_DElYkX7l4wRkHqqCUFNJY4AfY3kHU/edit?usp=sharing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6" s="7" t="s">
        <v>10</v>
      </c>
      <c r="H736" s="7">
        <v>0</v>
      </c>
      <c r="I736" s="8" t="str">
        <f ca="1">IFERROR(__xludf.DUMMYFUNCTION("IF
(
G737=""фізична особа""
,
VLOOKUP(H737,IMPORTRANGE(""https://docs.google.com/spreadsheets/d/14Bd19lYaqBhU8_DElYkX7l4wRkHqqCUFNJY4AfY3kHU/edit?usp=sharing  #gid=0"",""фіз особи new!relations_name""),6,FALSE)
,
(IF
(
G737=""юридична особа""
,
VLOOKUP(H7"&amp;"37,IMPORTRANGE(""https://docs.google.com/spreadsheets/d/14Bd19lYaqBhU8_DElYkX7l4wRkHqqCUFNJY4AfY3kHU/edit?usp=sharing  #gid=0"",""фіз особи new!relations_name_uo""),7,FALSE)
,
)
))"),"#N/A")</f>
        <v>#N/A</v>
      </c>
      <c r="J736" s="7" t="s">
        <v>30</v>
      </c>
    </row>
    <row r="737" spans="1:10" ht="13.2">
      <c r="A737" s="7">
        <v>736</v>
      </c>
      <c r="B737" s="7">
        <v>1</v>
      </c>
      <c r="C737" s="7" t="s">
        <v>10</v>
      </c>
      <c r="D737" s="7">
        <v>284</v>
      </c>
      <c r="E737" s="7" t="s">
        <v>29</v>
      </c>
      <c r="F737" s="8" t="str">
        <f ca="1">IFERROR(__xludf.DUMMYFUNCTION("IF
(
C738=""фізична особа""
,
VLOOKUP(D738,IMPORTRANGE(""https://docs.google.com/spreadsheets/d/14Bd19lYaqBhU8_DElYkX7l4wRkHqqCUFNJY4AfY3kHU/edit?usp=sharing  #gid=0"",""фіз особи new!relations_name""),6,FALSE)
,
(IF
(
C738=""юридична особа""
,
VLOOKUP(D7"&amp;"38,IMPORTRANGE(""https://docs.google.com/spreadsheets/d/14Bd19lYaqBhU8_DElYkX7l4wRkHqqCUFNJY4AfY3kHU/edit?usp=sharing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7" s="7" t="s">
        <v>10</v>
      </c>
      <c r="H737" s="7">
        <v>0</v>
      </c>
      <c r="I737" s="8" t="str">
        <f ca="1">IFERROR(__xludf.DUMMYFUNCTION("IF
(
G738=""фізична особа""
,
VLOOKUP(H738,IMPORTRANGE(""https://docs.google.com/spreadsheets/d/14Bd19lYaqBhU8_DElYkX7l4wRkHqqCUFNJY4AfY3kHU/edit?usp=sharing  #gid=0"",""фіз особи new!relations_name""),6,FALSE)
,
(IF
(
G738=""юридична особа""
,
VLOOKUP(H7"&amp;"38,IMPORTRANGE(""https://docs.google.com/spreadsheets/d/14Bd19lYaqBhU8_DElYkX7l4wRkHqqCUFNJY4AfY3kHU/edit?usp=sharing  #gid=0"",""фіз особи new!relations_name_uo""),7,FALSE)
,
)
))"),"#N/A")</f>
        <v>#N/A</v>
      </c>
      <c r="J737" s="7" t="s">
        <v>28</v>
      </c>
    </row>
    <row r="738" spans="1:10" ht="13.2">
      <c r="A738" s="7">
        <v>737</v>
      </c>
      <c r="B738" s="7">
        <v>1</v>
      </c>
      <c r="C738" s="7" t="s">
        <v>10</v>
      </c>
      <c r="D738" s="7">
        <v>284</v>
      </c>
      <c r="E738" s="7" t="s">
        <v>11</v>
      </c>
      <c r="F738" s="8" t="str">
        <f ca="1">IFERROR(__xludf.DUMMYFUNCTION("IF
(
C739=""фізична особа""
,
VLOOKUP(D739,IMPORTRANGE(""https://docs.google.com/spreadsheets/d/14Bd19lYaqBhU8_DElYkX7l4wRkHqqCUFNJY4AfY3kHU/edit?usp=sharing  #gid=0"",""фіз особи new!relations_name""),6,FALSE)
,
(IF
(
C739=""юридична особа""
,
VLOOKUP(D7"&amp;"39,IMPORTRANGE(""https://docs.google.com/spreadsheets/d/14Bd19lYaqBhU8_DElYkX7l4wRkHqqCUFNJY4AfY3kHU/edit?usp=sharing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G738" s="7" t="s">
        <v>10</v>
      </c>
      <c r="H738" s="7">
        <v>0</v>
      </c>
      <c r="I738" s="8" t="str">
        <f ca="1">IFERROR(__xludf.DUMMYFUNCTION("IF
(
G739=""фізична особа""
,
VLOOKUP(H739,IMPORTRANGE(""https://docs.google.com/spreadsheets/d/14Bd19lYaqBhU8_DElYkX7l4wRkHqqCUFNJY4AfY3kHU/edit?usp=sharing  #gid=0"",""фіз особи new!relations_name""),6,FALSE)
,
(IF
(
G739=""юридична особа""
,
VLOOKUP(H7"&amp;"39,IMPORTRANGE(""https://docs.google.com/spreadsheets/d/14Bd19lYaqBhU8_DElYkX7l4wRkHqqCUFNJY4AfY3kHU/edit?usp=sharing  #gid=0"",""фіз особи new!relations_name_uo""),7,FALSE)
,
)
))"),"#N/A")</f>
        <v>#N/A</v>
      </c>
      <c r="J738" s="7" t="s">
        <v>11</v>
      </c>
    </row>
    <row r="739" spans="1:10" ht="13.2">
      <c r="A739" s="7">
        <v>738</v>
      </c>
      <c r="B739" s="7">
        <v>1</v>
      </c>
      <c r="C739" s="7" t="s">
        <v>10</v>
      </c>
      <c r="D739" s="7">
        <v>286</v>
      </c>
      <c r="E739" s="7" t="s">
        <v>12</v>
      </c>
      <c r="F739" s="8" t="str">
        <f ca="1">IFERROR(__xludf.DUMMYFUNCTION("IF
(
C740=""фізична особа""
,
VLOOKUP(D740,IMPORTRANGE(""https://docs.google.com/spreadsheets/d/14Bd19lYaqBhU8_DElYkX7l4wRkHqqCUFNJY4AfY3kHU/edit?usp=sharing  #gid=0"",""фіз особи new!relations_name""),6,FALSE)
,
(IF
(
C740=""юридична особа""
,
VLOOKUP(D7"&amp;"40,IMPORTRANGE(""https://docs.google.com/spreadsheets/d/14Bd19lYaqBhU8_DElYkX7l4wRkHqqCUFNJY4AfY3kHU/edit?usp=sharing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39" s="7" t="s">
        <v>10</v>
      </c>
      <c r="H739" s="7">
        <v>0</v>
      </c>
      <c r="I739" s="8" t="str">
        <f ca="1">IFERROR(__xludf.DUMMYFUNCTION("IF
(
G740=""фізична особа""
,
VLOOKUP(H740,IMPORTRANGE(""https://docs.google.com/spreadsheets/d/14Bd19lYaqBhU8_DElYkX7l4wRkHqqCUFNJY4AfY3kHU/edit?usp=sharing  #gid=0"",""фіз особи new!relations_name""),6,FALSE)
,
(IF
(
G740=""юридична особа""
,
VLOOKUP(H7"&amp;"40,IMPORTRANGE(""https://docs.google.com/spreadsheets/d/14Bd19lYaqBhU8_DElYkX7l4wRkHqqCUFNJY4AfY3kHU/edit?usp=sharing  #gid=0"",""фіз особи new!relations_name_uo""),7,FALSE)
,
)
))"),"#N/A")</f>
        <v>#N/A</v>
      </c>
      <c r="J739" s="7" t="s">
        <v>17</v>
      </c>
    </row>
    <row r="740" spans="1:10" ht="13.2">
      <c r="A740" s="7">
        <v>739</v>
      </c>
      <c r="B740" s="7">
        <v>1</v>
      </c>
      <c r="C740" s="7" t="s">
        <v>10</v>
      </c>
      <c r="D740" s="7">
        <v>286</v>
      </c>
      <c r="E740" s="7" t="s">
        <v>18</v>
      </c>
      <c r="F740" s="8" t="str">
        <f ca="1">IFERROR(__xludf.DUMMYFUNCTION("IF
(
C741=""фізична особа""
,
VLOOKUP(D741,IMPORTRANGE(""https://docs.google.com/spreadsheets/d/14Bd19lYaqBhU8_DElYkX7l4wRkHqqCUFNJY4AfY3kHU/edit?usp=sharing  #gid=0"",""фіз особи new!relations_name""),6,FALSE)
,
(IF
(
C741=""юридична особа""
,
VLOOKUP(D7"&amp;"41,IMPORTRANGE(""https://docs.google.com/spreadsheets/d/14Bd19lYaqBhU8_DElYkX7l4wRkHqqCUFNJY4AfY3kHU/edit?usp=sharing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0" s="7" t="s">
        <v>10</v>
      </c>
      <c r="H740" s="7">
        <v>0</v>
      </c>
      <c r="I740" s="8" t="str">
        <f ca="1">IFERROR(__xludf.DUMMYFUNCTION("IF
(
G741=""фізична особа""
,
VLOOKUP(H741,IMPORTRANGE(""https://docs.google.com/spreadsheets/d/14Bd19lYaqBhU8_DElYkX7l4wRkHqqCUFNJY4AfY3kHU/edit?usp=sharing  #gid=0"",""фіз особи new!relations_name""),6,FALSE)
,
(IF
(
G741=""юридична особа""
,
VLOOKUP(H7"&amp;"41,IMPORTRANGE(""https://docs.google.com/spreadsheets/d/14Bd19lYaqBhU8_DElYkX7l4wRkHqqCUFNJY4AfY3kHU/edit?usp=sharing  #gid=0"",""фіз особи new!relations_name_uo""),7,FALSE)
,
)
))"),"#N/A")</f>
        <v>#N/A</v>
      </c>
      <c r="J740" s="7" t="s">
        <v>18</v>
      </c>
    </row>
    <row r="741" spans="1:10" ht="13.2">
      <c r="A741" s="7">
        <v>740</v>
      </c>
      <c r="B741" s="7">
        <v>1</v>
      </c>
      <c r="C741" s="7" t="s">
        <v>10</v>
      </c>
      <c r="D741" s="7">
        <v>286</v>
      </c>
      <c r="E741" s="7" t="s">
        <v>11</v>
      </c>
      <c r="F741" s="8" t="str">
        <f ca="1">IFERROR(__xludf.DUMMYFUNCTION("IF
(
C742=""фізична особа""
,
VLOOKUP(D742,IMPORTRANGE(""https://docs.google.com/spreadsheets/d/14Bd19lYaqBhU8_DElYkX7l4wRkHqqCUFNJY4AfY3kHU/edit?usp=sharing  #gid=0"",""фіз особи new!relations_name""),6,FALSE)
,
(IF
(
C742=""юридична особа""
,
VLOOKUP(D7"&amp;"42,IMPORTRANGE(""https://docs.google.com/spreadsheets/d/14Bd19lYaqBhU8_DElYkX7l4wRkHqqCUFNJY4AfY3kHU/edit?usp=sharing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1" s="7" t="s">
        <v>10</v>
      </c>
      <c r="H741" s="7">
        <v>1364</v>
      </c>
      <c r="I741" s="8" t="str">
        <f ca="1">IFERROR(__xludf.DUMMYFUNCTION("IF
(
G742=""фізична особа""
,
VLOOKUP(H742,IMPORTRANGE(""https://docs.google.com/spreadsheets/d/14Bd19lYaqBhU8_DElYkX7l4wRkHqqCUFNJY4AfY3kHU/edit?usp=sharing  #gid=0"",""фіз особи new!relations_name""),6,FALSE)
,
(IF
(
G742=""юридична особа""
,
VLOOKUP(H7"&amp;"42,IMPORTRANGE(""https://docs.google.com/spreadsheets/d/14Bd19lYaqBhU8_DElYkX7l4wRkHqqCUFNJY4AfY3kHU/edit?usp=sharing  #gid=0"",""фіз особи new!relations_name_uo""),7,FALSE)
,
)
))"),"НАБІУЛЛІНА Ельвіра Сахіпзадовна")</f>
        <v>НАБІУЛЛІНА Ельвіра Сахіпзадовна</v>
      </c>
      <c r="J741" s="7" t="s">
        <v>11</v>
      </c>
    </row>
    <row r="742" spans="1:10" ht="13.2">
      <c r="A742" s="7">
        <v>741</v>
      </c>
      <c r="B742" s="7">
        <v>1</v>
      </c>
      <c r="C742" s="7" t="s">
        <v>10</v>
      </c>
      <c r="D742" s="7">
        <v>286</v>
      </c>
      <c r="E742" s="7" t="s">
        <v>11</v>
      </c>
      <c r="F742" s="8" t="str">
        <f ca="1">IFERROR(__xludf.DUMMYFUNCTION("IF
(
C743=""фізична особа""
,
VLOOKUP(D743,IMPORTRANGE(""https://docs.google.com/spreadsheets/d/14Bd19lYaqBhU8_DElYkX7l4wRkHqqCUFNJY4AfY3kHU/edit?usp=sharing  #gid=0"",""фіз особи new!relations_name""),6,FALSE)
,
(IF
(
C743=""юридична особа""
,
VLOOKUP(D7"&amp;"43,IMPORTRANGE(""https://docs.google.com/spreadsheets/d/14Bd19lYaqBhU8_DElYkX7l4wRkHqqCUFNJY4AfY3kHU/edit?usp=sharing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2" s="7" t="s">
        <v>10</v>
      </c>
      <c r="H742" s="7">
        <v>0</v>
      </c>
      <c r="I742" s="8" t="str">
        <f ca="1">IFERROR(__xludf.DUMMYFUNCTION("IF
(
G743=""фізична особа""
,
VLOOKUP(H743,IMPORTRANGE(""https://docs.google.com/spreadsheets/d/14Bd19lYaqBhU8_DElYkX7l4wRkHqqCUFNJY4AfY3kHU/edit?usp=sharing  #gid=0"",""фіз особи new!relations_name""),6,FALSE)
,
(IF
(
G743=""юридична особа""
,
VLOOKUP(H7"&amp;"43,IMPORTRANGE(""https://docs.google.com/spreadsheets/d/14Bd19lYaqBhU8_DElYkX7l4wRkHqqCUFNJY4AfY3kHU/edit?usp=sharing  #gid=0"",""фіз особи new!relations_name_uo""),7,FALSE)
,
)
))"),"#N/A")</f>
        <v>#N/A</v>
      </c>
      <c r="J742" s="7" t="s">
        <v>11</v>
      </c>
    </row>
    <row r="743" spans="1:10" ht="13.2">
      <c r="A743" s="7">
        <v>742</v>
      </c>
      <c r="B743" s="7">
        <v>1</v>
      </c>
      <c r="C743" s="7" t="s">
        <v>10</v>
      </c>
      <c r="D743" s="7">
        <v>286</v>
      </c>
      <c r="E743" s="7" t="s">
        <v>11</v>
      </c>
      <c r="F743" s="8" t="str">
        <f ca="1">IFERROR(__xludf.DUMMYFUNCTION("IF
(
C744=""фізична особа""
,
VLOOKUP(D744,IMPORTRANGE(""https://docs.google.com/spreadsheets/d/14Bd19lYaqBhU8_DElYkX7l4wRkHqqCUFNJY4AfY3kHU/edit?usp=sharing  #gid=0"",""фіз особи new!relations_name""),6,FALSE)
,
(IF
(
C744=""юридична особа""
,
VLOOKUP(D7"&amp;"44,IMPORTRANGE(""https://docs.google.com/spreadsheets/d/14Bd19lYaqBhU8_DElYkX7l4wRkHqqCUFNJY4AfY3kHU/edit?usp=sharing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3" s="7" t="s">
        <v>10</v>
      </c>
      <c r="H743" s="7">
        <v>841</v>
      </c>
      <c r="I743" s="8" t="str">
        <f ca="1">IFERROR(__xludf.DUMMYFUNCTION("IF
(
G744=""фізична особа""
,
VLOOKUP(H744,IMPORTRANGE(""https://docs.google.com/spreadsheets/d/14Bd19lYaqBhU8_DElYkX7l4wRkHqqCUFNJY4AfY3kHU/edit?usp=sharing  #gid=0"",""фіз особи new!relations_name""),6,FALSE)
,
(IF
(
G744=""юридична особа""
,
VLOOKUP(H7"&amp;"44,IMPORTRANGE(""https://docs.google.com/spreadsheets/d/14Bd19lYaqBhU8_DElYkX7l4wRkHqqCUFNJY4AfY3kHU/edit?usp=sharing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743" s="7" t="s">
        <v>11</v>
      </c>
    </row>
    <row r="744" spans="1:10" ht="13.2">
      <c r="A744" s="7">
        <v>743</v>
      </c>
      <c r="B744" s="7">
        <v>1</v>
      </c>
      <c r="C744" s="7" t="s">
        <v>10</v>
      </c>
      <c r="D744" s="7">
        <v>286</v>
      </c>
      <c r="E744" s="7" t="s">
        <v>41</v>
      </c>
      <c r="F744" s="8" t="str">
        <f ca="1">IFERROR(__xludf.DUMMYFUNCTION("IF
(
C745=""фізична особа""
,
VLOOKUP(D745,IMPORTRANGE(""https://docs.google.com/spreadsheets/d/14Bd19lYaqBhU8_DElYkX7l4wRkHqqCUFNJY4AfY3kHU/edit?usp=sharing  #gid=0"",""фіз особи new!relations_name""),6,FALSE)
,
(IF
(
C745=""юридична особа""
,
VLOOKUP(D7"&amp;"45,IMPORTRANGE(""https://docs.google.com/spreadsheets/d/14Bd19lYaqBhU8_DElYkX7l4wRkHqqCUFNJY4AfY3kHU/edit?usp=sharing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4" s="7" t="s">
        <v>10</v>
      </c>
      <c r="H744" s="7">
        <v>0</v>
      </c>
      <c r="I744" s="8" t="str">
        <f ca="1">IFERROR(__xludf.DUMMYFUNCTION("IF
(
G745=""фізична особа""
,
VLOOKUP(H745,IMPORTRANGE(""https://docs.google.com/spreadsheets/d/14Bd19lYaqBhU8_DElYkX7l4wRkHqqCUFNJY4AfY3kHU/edit?usp=sharing  #gid=0"",""фіз особи new!relations_name""),6,FALSE)
,
(IF
(
G745=""юридична особа""
,
VLOOKUP(H7"&amp;"45,IMPORTRANGE(""https://docs.google.com/spreadsheets/d/14Bd19lYaqBhU8_DElYkX7l4wRkHqqCUFNJY4AfY3kHU/edit?usp=sharing  #gid=0"",""фіз особи new!relations_name_uo""),7,FALSE)
,
)
))"),"#N/A")</f>
        <v>#N/A</v>
      </c>
      <c r="J744" s="7" t="s">
        <v>40</v>
      </c>
    </row>
    <row r="745" spans="1:10" ht="13.2">
      <c r="A745" s="7">
        <v>744</v>
      </c>
      <c r="B745" s="7">
        <v>1</v>
      </c>
      <c r="C745" s="7" t="s">
        <v>10</v>
      </c>
      <c r="D745" s="7">
        <v>286</v>
      </c>
      <c r="E745" s="7" t="s">
        <v>41</v>
      </c>
      <c r="F745" s="8" t="str">
        <f ca="1">IFERROR(__xludf.DUMMYFUNCTION("IF
(
C746=""фізична особа""
,
VLOOKUP(D746,IMPORTRANGE(""https://docs.google.com/spreadsheets/d/14Bd19lYaqBhU8_DElYkX7l4wRkHqqCUFNJY4AfY3kHU/edit?usp=sharing  #gid=0"",""фіз особи new!relations_name""),6,FALSE)
,
(IF
(
C746=""юридична особа""
,
VLOOKUP(D7"&amp;"46,IMPORTRANGE(""https://docs.google.com/spreadsheets/d/14Bd19lYaqBhU8_DElYkX7l4wRkHqqCUFNJY4AfY3kHU/edit?usp=sharing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5" s="7" t="s">
        <v>10</v>
      </c>
      <c r="H745" s="7">
        <v>0</v>
      </c>
      <c r="I745" s="8" t="str">
        <f ca="1">IFERROR(__xludf.DUMMYFUNCTION("IF
(
G746=""фізична особа""
,
VLOOKUP(H746,IMPORTRANGE(""https://docs.google.com/spreadsheets/d/14Bd19lYaqBhU8_DElYkX7l4wRkHqqCUFNJY4AfY3kHU/edit?usp=sharing  #gid=0"",""фіз особи new!relations_name""),6,FALSE)
,
(IF
(
G746=""юридична особа""
,
VLOOKUP(H7"&amp;"46,IMPORTRANGE(""https://docs.google.com/spreadsheets/d/14Bd19lYaqBhU8_DElYkX7l4wRkHqqCUFNJY4AfY3kHU/edit?usp=sharing  #gid=0"",""фіз особи new!relations_name_uo""),7,FALSE)
,
)
))"),"#N/A")</f>
        <v>#N/A</v>
      </c>
      <c r="J745" s="7" t="s">
        <v>40</v>
      </c>
    </row>
    <row r="746" spans="1:10" ht="13.2">
      <c r="A746" s="7">
        <v>745</v>
      </c>
      <c r="B746" s="7">
        <v>1</v>
      </c>
      <c r="C746" s="7" t="s">
        <v>10</v>
      </c>
      <c r="D746" s="7">
        <v>286</v>
      </c>
      <c r="E746" s="7" t="s">
        <v>48</v>
      </c>
      <c r="F746" s="8" t="str">
        <f ca="1">IFERROR(__xludf.DUMMYFUNCTION("IF
(
C747=""фізична особа""
,
VLOOKUP(D747,IMPORTRANGE(""https://docs.google.com/spreadsheets/d/14Bd19lYaqBhU8_DElYkX7l4wRkHqqCUFNJY4AfY3kHU/edit?usp=sharing  #gid=0"",""фіз особи new!relations_name""),6,FALSE)
,
(IF
(
C747=""юридична особа""
,
VLOOKUP(D7"&amp;"47,IMPORTRANGE(""https://docs.google.com/spreadsheets/d/14Bd19lYaqBhU8_DElYkX7l4wRkHqqCUFNJY4AfY3kHU/edit?usp=sharing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6" s="7" t="s">
        <v>10</v>
      </c>
      <c r="H746" s="7">
        <v>0</v>
      </c>
      <c r="I746" s="8" t="str">
        <f ca="1">IFERROR(__xludf.DUMMYFUNCTION("IF
(
G747=""фізична особа""
,
VLOOKUP(H747,IMPORTRANGE(""https://docs.google.com/spreadsheets/d/14Bd19lYaqBhU8_DElYkX7l4wRkHqqCUFNJY4AfY3kHU/edit?usp=sharing  #gid=0"",""фіз особи new!relations_name""),6,FALSE)
,
(IF
(
G747=""юридична особа""
,
VLOOKUP(H7"&amp;"47,IMPORTRANGE(""https://docs.google.com/spreadsheets/d/14Bd19lYaqBhU8_DElYkX7l4wRkHqqCUFNJY4AfY3kHU/edit?usp=sharing  #gid=0"",""фіз особи new!relations_name_uo""),7,FALSE)
,
)
))"),"#N/A")</f>
        <v>#N/A</v>
      </c>
      <c r="J746" s="7" t="s">
        <v>48</v>
      </c>
    </row>
    <row r="747" spans="1:10" ht="13.2">
      <c r="A747" s="7">
        <v>746</v>
      </c>
      <c r="B747" s="7">
        <v>1</v>
      </c>
      <c r="C747" s="7" t="s">
        <v>10</v>
      </c>
      <c r="D747" s="7">
        <v>286</v>
      </c>
      <c r="E747" s="7" t="s">
        <v>29</v>
      </c>
      <c r="F747" s="8" t="str">
        <f ca="1">IFERROR(__xludf.DUMMYFUNCTION("IF
(
C748=""фізична особа""
,
VLOOKUP(D748,IMPORTRANGE(""https://docs.google.com/spreadsheets/d/14Bd19lYaqBhU8_DElYkX7l4wRkHqqCUFNJY4AfY3kHU/edit?usp=sharing  #gid=0"",""фіз особи new!relations_name""),6,FALSE)
,
(IF
(
C748=""юридична особа""
,
VLOOKUP(D7"&amp;"48,IMPORTRANGE(""https://docs.google.com/spreadsheets/d/14Bd19lYaqBhU8_DElYkX7l4wRkHqqCUFNJY4AfY3kHU/edit?usp=sharing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G747" s="7" t="s">
        <v>10</v>
      </c>
      <c r="H747" s="7">
        <v>0</v>
      </c>
      <c r="I747" s="8" t="str">
        <f ca="1">IFERROR(__xludf.DUMMYFUNCTION("IF
(
G748=""фізична особа""
,
VLOOKUP(H748,IMPORTRANGE(""https://docs.google.com/spreadsheets/d/14Bd19lYaqBhU8_DElYkX7l4wRkHqqCUFNJY4AfY3kHU/edit?usp=sharing  #gid=0"",""фіз особи new!relations_name""),6,FALSE)
,
(IF
(
G748=""юридична особа""
,
VLOOKUP(H7"&amp;"48,IMPORTRANGE(""https://docs.google.com/spreadsheets/d/14Bd19lYaqBhU8_DElYkX7l4wRkHqqCUFNJY4AfY3kHU/edit?usp=sharing  #gid=0"",""фіз особи new!relations_name_uo""),7,FALSE)
,
)
))"),"#N/A")</f>
        <v>#N/A</v>
      </c>
      <c r="J747" s="7" t="s">
        <v>28</v>
      </c>
    </row>
    <row r="748" spans="1:10" ht="13.2">
      <c r="A748" s="7">
        <v>747</v>
      </c>
      <c r="B748" s="7">
        <v>1</v>
      </c>
      <c r="C748" s="7" t="s">
        <v>10</v>
      </c>
      <c r="D748" s="7">
        <v>287</v>
      </c>
      <c r="E748" s="7" t="s">
        <v>13</v>
      </c>
      <c r="F748" s="8" t="str">
        <f ca="1">IFERROR(__xludf.DUMMYFUNCTION("IF
(
C749=""фізична особа""
,
VLOOKUP(D749,IMPORTRANGE(""https://docs.google.com/spreadsheets/d/14Bd19lYaqBhU8_DElYkX7l4wRkHqqCUFNJY4AfY3kHU/edit?usp=sharing  #gid=0"",""фіз особи new!relations_name""),6,FALSE)
,
(IF
(
C749=""юридична особа""
,
VLOOKUP(D7"&amp;"49,IMPORTRANGE(""https://docs.google.com/spreadsheets/d/14Bd19lYaqBhU8_DElYkX7l4wRkHqqCUFNJY4AfY3kHU/edit?usp=sharing  #gid=0"",""фіз особи new!relations_name_uo""),7,FALSE)
,
)
))"),"ІГНАТОВА Анастасія Михайлівна")</f>
        <v>ІГНАТОВА Анастасія Михайлівна</v>
      </c>
      <c r="G748" s="7" t="s">
        <v>10</v>
      </c>
      <c r="H748" s="7">
        <v>288</v>
      </c>
      <c r="I748" s="8" t="str">
        <f ca="1">IFERROR(__xludf.DUMMYFUNCTION("IF
(
G749=""фізична особа""
,
VLOOKUP(H749,IMPORTRANGE(""https://docs.google.com/spreadsheets/d/14Bd19lYaqBhU8_DElYkX7l4wRkHqqCUFNJY4AfY3kHU/edit?usp=sharing  #gid=0"",""фіз особи new!relations_name""),6,FALSE)
,
(IF
(
G749=""юридична особа""
,
VLOOKUP(H7"&amp;"49,IMPORTRANGE(""https://docs.google.com/spreadsheets/d/14Bd19lYaqBhU8_DElYkX7l4wRkHqqCUFNJY4AfY3kHU/edit?usp=sharing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J748" s="7" t="s">
        <v>21</v>
      </c>
    </row>
    <row r="749" spans="1:10" ht="13.2">
      <c r="A749" s="7">
        <v>748</v>
      </c>
      <c r="B749" s="7">
        <v>1</v>
      </c>
      <c r="C749" s="7" t="s">
        <v>10</v>
      </c>
      <c r="D749" s="7">
        <v>287</v>
      </c>
      <c r="E749" s="7" t="s">
        <v>49</v>
      </c>
      <c r="F749" s="8" t="str">
        <f ca="1">IFERROR(__xludf.DUMMYFUNCTION("IF
(
C750=""фізична особа""
,
VLOOKUP(D750,IMPORTRANGE(""https://docs.google.com/spreadsheets/d/14Bd19lYaqBhU8_DElYkX7l4wRkHqqCUFNJY4AfY3kHU/edit?usp=sharing  #gid=0"",""фіз особи new!relations_name""),6,FALSE)
,
(IF
(
C750=""юридична особа""
,
VLOOKUP(D7"&amp;"50,IMPORTRANGE(""https://docs.google.com/spreadsheets/d/14Bd19lYaqBhU8_DElYkX7l4wRkHqqCUFNJY4AfY3kHU/edit?usp=sharing  #gid=0"",""фіз особи new!relations_name_uo""),7,FALSE)
,
)
))"),"ІГНАТОВА Анастасія Михайлівна")</f>
        <v>ІГНАТОВА Анастасія Михайлівна</v>
      </c>
      <c r="G749" s="7" t="s">
        <v>10</v>
      </c>
      <c r="H749" s="7">
        <v>150</v>
      </c>
      <c r="I749" s="8" t="str">
        <f ca="1">IFERROR(__xludf.DUMMYFUNCTION("IF
(
G750=""фізична особа""
,
VLOOKUP(H750,IMPORTRANGE(""https://docs.google.com/spreadsheets/d/14Bd19lYaqBhU8_DElYkX7l4wRkHqqCUFNJY4AfY3kHU/edit?usp=sharing  #gid=0"",""фіз особи new!relations_name""),6,FALSE)
,
(IF
(
G750=""юридична особа""
,
VLOOKUP(H7"&amp;"50,IMPORTRANGE(""https://docs.google.com/spreadsheets/d/14Bd19lYaqBhU8_DElYkX7l4wRkHqqCUFNJY4AfY3kHU/edit?usp=sharing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749" s="7" t="s">
        <v>32</v>
      </c>
    </row>
    <row r="750" spans="1:10" ht="13.2">
      <c r="A750" s="7">
        <v>749</v>
      </c>
      <c r="B750" s="7">
        <v>1</v>
      </c>
      <c r="C750" s="7" t="s">
        <v>10</v>
      </c>
      <c r="D750" s="7">
        <v>288</v>
      </c>
      <c r="E750" s="7" t="s">
        <v>21</v>
      </c>
      <c r="F750" s="8" t="str">
        <f ca="1">IFERROR(__xludf.DUMMYFUNCTION("IF
(
C751=""фізична особа""
,
VLOOKUP(D751,IMPORTRANGE(""https://docs.google.com/spreadsheets/d/14Bd19lYaqBhU8_DElYkX7l4wRkHqqCUFNJY4AfY3kHU/edit?usp=sharing  #gid=0"",""фіз особи new!relations_name""),6,FALSE)
,
(IF
(
C751=""юридична особа""
,
VLOOKUP(D7"&amp;"51,IMPORTRANGE(""https://docs.google.com/spreadsheets/d/14Bd19lYaqBhU8_DElYkX7l4wRkHqqCUFNJY4AfY3kHU/edit?usp=sharing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G750" s="7" t="s">
        <v>10</v>
      </c>
      <c r="H750" s="7">
        <v>287</v>
      </c>
      <c r="I750" s="8" t="str">
        <f ca="1">IFERROR(__xludf.DUMMYFUNCTION("IF
(
G751=""фізична особа""
,
VLOOKUP(H751,IMPORTRANGE(""https://docs.google.com/spreadsheets/d/14Bd19lYaqBhU8_DElYkX7l4wRkHqqCUFNJY4AfY3kHU/edit?usp=sharing  #gid=0"",""фіз особи new!relations_name""),6,FALSE)
,
(IF
(
G751=""юридична особа""
,
VLOOKUP(H7"&amp;"51,IMPORTRANGE(""https://docs.google.com/spreadsheets/d/14Bd19lYaqBhU8_DElYkX7l4wRkHqqCUFNJY4AfY3kHU/edit?usp=sharing  #gid=0"",""фіз особи new!relations_name_uo""),7,FALSE)
,
)
))"),"ІГНАТОВА Анастасія Михайлівна")</f>
        <v>ІГНАТОВА Анастасія Михайлівна</v>
      </c>
      <c r="J750" s="7" t="s">
        <v>13</v>
      </c>
    </row>
    <row r="751" spans="1:10" ht="13.2">
      <c r="A751" s="7">
        <v>750</v>
      </c>
      <c r="B751" s="7">
        <v>1</v>
      </c>
      <c r="C751" s="7" t="s">
        <v>10</v>
      </c>
      <c r="D751" s="7">
        <v>288</v>
      </c>
      <c r="E751" s="7" t="s">
        <v>15</v>
      </c>
      <c r="F751" s="8" t="str">
        <f ca="1">IFERROR(__xludf.DUMMYFUNCTION("IF
(
C752=""фізична особа""
,
VLOOKUP(D752,IMPORTRANGE(""https://docs.google.com/spreadsheets/d/14Bd19lYaqBhU8_DElYkX7l4wRkHqqCUFNJY4AfY3kHU/edit?usp=sharing  #gid=0"",""фіз особи new!relations_name""),6,FALSE)
,
(IF
(
C752=""юридична особа""
,
VLOOKUP(D7"&amp;"52,IMPORTRANGE(""https://docs.google.com/spreadsheets/d/14Bd19lYaqBhU8_DElYkX7l4wRkHqqCUFNJY4AfY3kHU/edit?usp=sharing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G751" s="7" t="s">
        <v>10</v>
      </c>
      <c r="H751" s="7">
        <v>150</v>
      </c>
      <c r="I751" s="8" t="str">
        <f ca="1">IFERROR(__xludf.DUMMYFUNCTION("IF
(
G752=""фізична особа""
,
VLOOKUP(H752,IMPORTRANGE(""https://docs.google.com/spreadsheets/d/14Bd19lYaqBhU8_DElYkX7l4wRkHqqCUFNJY4AfY3kHU/edit?usp=sharing  #gid=0"",""фіз особи new!relations_name""),6,FALSE)
,
(IF
(
G752=""юридична особа""
,
VLOOKUP(H7"&amp;"52,IMPORTRANGE(""https://docs.google.com/spreadsheets/d/14Bd19lYaqBhU8_DElYkX7l4wRkHqqCUFNJY4AfY3kHU/edit?usp=sharing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751" s="7" t="s">
        <v>14</v>
      </c>
    </row>
    <row r="752" spans="1:10" ht="13.2">
      <c r="A752" s="7">
        <v>751</v>
      </c>
      <c r="B752" s="7">
        <v>1</v>
      </c>
      <c r="C752" s="7" t="s">
        <v>10</v>
      </c>
      <c r="D752" s="7">
        <v>288</v>
      </c>
      <c r="E752" s="7" t="s">
        <v>13</v>
      </c>
      <c r="F752" s="8" t="str">
        <f ca="1">IFERROR(__xludf.DUMMYFUNCTION("IF
(
C753=""фізична особа""
,
VLOOKUP(D753,IMPORTRANGE(""https://docs.google.com/spreadsheets/d/14Bd19lYaqBhU8_DElYkX7l4wRkHqqCUFNJY4AfY3kHU/edit?usp=sharing  #gid=0"",""фіз особи new!relations_name""),6,FALSE)
,
(IF
(
C753=""юридична особа""
,
VLOOKUP(D7"&amp;"53,IMPORTRANGE(""https://docs.google.com/spreadsheets/d/14Bd19lYaqBhU8_DElYkX7l4wRkHqqCUFNJY4AfY3kHU/edit?usp=sharing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G752" s="7" t="s">
        <v>10</v>
      </c>
      <c r="H752" s="7">
        <v>4367</v>
      </c>
      <c r="I752" s="8" t="str">
        <f ca="1">IFERROR(__xludf.DUMMYFUNCTION("IF
(
G753=""фізична особа""
,
VLOOKUP(H753,IMPORTRANGE(""https://docs.google.com/spreadsheets/d/14Bd19lYaqBhU8_DElYkX7l4wRkHqqCUFNJY4AfY3kHU/edit?usp=sharing  #gid=0"",""фіз особи new!relations_name""),6,FALSE)
,
(IF
(
G753=""юридична особа""
,
VLOOKUP(H7"&amp;"53,IMPORTRANGE(""https://docs.google.com/spreadsheets/d/14Bd19lYaqBhU8_DElYkX7l4wRkHqqCUFNJY4AfY3kHU/edit?usp=sharing  #gid=0"",""фіз особи new!relations_name_uo""),7,FALSE)
,
)
))"),"РУКАВИШНИКОВА Людмила Василівна")</f>
        <v>РУКАВИШНИКОВА Людмила Василівна</v>
      </c>
      <c r="J752" s="7" t="s">
        <v>21</v>
      </c>
    </row>
    <row r="753" spans="1:10" ht="13.2">
      <c r="A753" s="7">
        <v>752</v>
      </c>
      <c r="B753" s="7">
        <v>1</v>
      </c>
      <c r="C753" s="7" t="s">
        <v>10</v>
      </c>
      <c r="D753" s="7">
        <v>288</v>
      </c>
      <c r="E753" s="7" t="s">
        <v>11</v>
      </c>
      <c r="F753" s="8" t="str">
        <f ca="1">IFERROR(__xludf.DUMMYFUNCTION("IF
(
C754=""фізична особа""
,
VLOOKUP(D754,IMPORTRANGE(""https://docs.google.com/spreadsheets/d/14Bd19lYaqBhU8_DElYkX7l4wRkHqqCUFNJY4AfY3kHU/edit?usp=sharing  #gid=0"",""фіз особи new!relations_name""),6,FALSE)
,
(IF
(
C754=""юридична особа""
,
VLOOKUP(D7"&amp;"54,IMPORTRANGE(""https://docs.google.com/spreadsheets/d/14Bd19lYaqBhU8_DElYkX7l4wRkHqqCUFNJY4AfY3kHU/edit?usp=sharing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G753" s="7" t="s">
        <v>10</v>
      </c>
      <c r="H753" s="7">
        <v>310</v>
      </c>
      <c r="I753" s="8" t="str">
        <f ca="1">IFERROR(__xludf.DUMMYFUNCTION("IF
(
G754=""фізична особа""
,
VLOOKUP(H754,IMPORTRANGE(""https://docs.google.com/spreadsheets/d/14Bd19lYaqBhU8_DElYkX7l4wRkHqqCUFNJY4AfY3kHU/edit?usp=sharing  #gid=0"",""фіз особи new!relations_name""),6,FALSE)
,
(IF
(
G754=""юридична особа""
,
VLOOKUP(H7"&amp;"54,IMPORTRANGE(""https://docs.google.com/spreadsheets/d/14Bd19lYaqBhU8_DElYkX7l4wRkHqqCUFNJY4AfY3kHU/edit?usp=sharing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J753" s="7" t="s">
        <v>11</v>
      </c>
    </row>
    <row r="754" spans="1:10" ht="13.2">
      <c r="A754" s="7">
        <v>753</v>
      </c>
      <c r="B754" s="7">
        <v>1</v>
      </c>
      <c r="C754" s="7" t="s">
        <v>10</v>
      </c>
      <c r="D754" s="7">
        <v>289</v>
      </c>
      <c r="E754" s="7" t="s">
        <v>14</v>
      </c>
      <c r="F754" s="8" t="str">
        <f ca="1">IFERROR(__xludf.DUMMYFUNCTION("IF
(
C755=""фізична особа""
,
VLOOKUP(D755,IMPORTRANGE(""https://docs.google.com/spreadsheets/d/14Bd19lYaqBhU8_DElYkX7l4wRkHqqCUFNJY4AfY3kHU/edit?usp=sharing  #gid=0"",""фіз особи new!relations_name""),6,FALSE)
,
(IF
(
C755=""юридична особа""
,
VLOOKUP(D7"&amp;"55,IMPORTRANGE(""https://docs.google.com/spreadsheets/d/14Bd19lYaqBhU8_DElYkX7l4wRkHqqCUFNJY4AfY3kHU/edit?usp=sharing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4" s="7" t="s">
        <v>10</v>
      </c>
      <c r="H754" s="7">
        <v>5115</v>
      </c>
      <c r="I754" s="8" t="str">
        <f ca="1">IFERROR(__xludf.DUMMYFUNCTION("IF
(
G755=""фізична особа""
,
VLOOKUP(H755,IMPORTRANGE(""https://docs.google.com/spreadsheets/d/14Bd19lYaqBhU8_DElYkX7l4wRkHqqCUFNJY4AfY3kHU/edit?usp=sharing  #gid=0"",""фіз особи new!relations_name""),6,FALSE)
,
(IF
(
G755=""юридична особа""
,
VLOOKUP(H7"&amp;"55,IMPORTRANGE(""https://docs.google.com/spreadsheets/d/14Bd19lYaqBhU8_DElYkX7l4wRkHqqCUFNJY4AfY3kHU/edit?usp=sharing  #gid=0"",""фіз особи new!relations_name_uo""),7,FALSE)
,
)
))"),"АНАНСЬКИХ Алла Володимирівна")</f>
        <v>АНАНСЬКИХ Алла Володимирівна</v>
      </c>
      <c r="J754" s="7" t="s">
        <v>15</v>
      </c>
    </row>
    <row r="755" spans="1:10" ht="13.2">
      <c r="A755" s="7">
        <v>754</v>
      </c>
      <c r="B755" s="7">
        <v>1</v>
      </c>
      <c r="C755" s="7" t="s">
        <v>10</v>
      </c>
      <c r="D755" s="7">
        <v>289</v>
      </c>
      <c r="E755" s="7" t="s">
        <v>12</v>
      </c>
      <c r="F755" s="8" t="str">
        <f ca="1">IFERROR(__xludf.DUMMYFUNCTION("IF
(
C756=""фізична особа""
,
VLOOKUP(D756,IMPORTRANGE(""https://docs.google.com/spreadsheets/d/14Bd19lYaqBhU8_DElYkX7l4wRkHqqCUFNJY4AfY3kHU/edit?usp=sharing  #gid=0"",""фіз особи new!relations_name""),6,FALSE)
,
(IF
(
C756=""юридична особа""
,
VLOOKUP(D7"&amp;"56,IMPORTRANGE(""https://docs.google.com/spreadsheets/d/14Bd19lYaqBhU8_DElYkX7l4wRkHqqCUFNJY4AfY3kHU/edit?usp=sharing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5" s="7" t="s">
        <v>10</v>
      </c>
      <c r="H755" s="7">
        <v>5116</v>
      </c>
      <c r="I755" s="8" t="str">
        <f ca="1">IFERROR(__xludf.DUMMYFUNCTION("IF
(
G756=""фізична особа""
,
VLOOKUP(H756,IMPORTRANGE(""https://docs.google.com/spreadsheets/d/14Bd19lYaqBhU8_DElYkX7l4wRkHqqCUFNJY4AfY3kHU/edit?usp=sharing  #gid=0"",""фіз особи new!relations_name""),6,FALSE)
,
(IF
(
G756=""юридична особа""
,
VLOOKUP(H7"&amp;"56,IMPORTRANGE(""https://docs.google.com/spreadsheets/d/14Bd19lYaqBhU8_DElYkX7l4wRkHqqCUFNJY4AfY3kHU/edit?usp=sharing  #gid=0"",""фіз особи new!relations_name_uo""),7,FALSE)
,
)
))"),"АНАНСЬКИХ Ігор Ігорович")</f>
        <v>АНАНСЬКИХ Ігор Ігорович</v>
      </c>
      <c r="J755" s="7" t="s">
        <v>17</v>
      </c>
    </row>
    <row r="756" spans="1:10" ht="13.2">
      <c r="A756" s="7">
        <v>755</v>
      </c>
      <c r="B756" s="7">
        <v>1</v>
      </c>
      <c r="C756" s="7" t="s">
        <v>10</v>
      </c>
      <c r="D756" s="7">
        <v>289</v>
      </c>
      <c r="E756" s="7" t="s">
        <v>12</v>
      </c>
      <c r="F756" s="8" t="str">
        <f ca="1">IFERROR(__xludf.DUMMYFUNCTION("IF
(
C757=""фізична особа""
,
VLOOKUP(D757,IMPORTRANGE(""https://docs.google.com/spreadsheets/d/14Bd19lYaqBhU8_DElYkX7l4wRkHqqCUFNJY4AfY3kHU/edit?usp=sharing  #gid=0"",""фіз особи new!relations_name""),6,FALSE)
,
(IF
(
C757=""юридична особа""
,
VLOOKUP(D7"&amp;"57,IMPORTRANGE(""https://docs.google.com/spreadsheets/d/14Bd19lYaqBhU8_DElYkX7l4wRkHqqCUFNJY4AfY3kHU/edit?usp=sharing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6" s="7" t="s">
        <v>10</v>
      </c>
      <c r="H756" s="7">
        <v>5117</v>
      </c>
      <c r="I756" s="8" t="str">
        <f ca="1">IFERROR(__xludf.DUMMYFUNCTION("IF
(
G757=""фізична особа""
,
VLOOKUP(H757,IMPORTRANGE(""https://docs.google.com/spreadsheets/d/14Bd19lYaqBhU8_DElYkX7l4wRkHqqCUFNJY4AfY3kHU/edit?usp=sharing  #gid=0"",""фіз особи new!relations_name""),6,FALSE)
,
(IF
(
G757=""юридична особа""
,
VLOOKUP(H7"&amp;"57,IMPORTRANGE(""https://docs.google.com/spreadsheets/d/14Bd19lYaqBhU8_DElYkX7l4wRkHqqCUFNJY4AfY3kHU/edit?usp=sharing  #gid=0"",""фіз особи new!relations_name_uo""),7,FALSE)
,
)
))"),"АНАНСЬКИХ Тетяна Ігорівна")</f>
        <v>АНАНСЬКИХ Тетяна Ігорівна</v>
      </c>
      <c r="J756" s="7" t="s">
        <v>13</v>
      </c>
    </row>
    <row r="757" spans="1:10" ht="13.2">
      <c r="A757" s="7">
        <v>756</v>
      </c>
      <c r="B757" s="7">
        <v>1</v>
      </c>
      <c r="C757" s="7" t="s">
        <v>10</v>
      </c>
      <c r="D757" s="7">
        <v>289</v>
      </c>
      <c r="E757" s="7" t="s">
        <v>17</v>
      </c>
      <c r="F757" s="8" t="str">
        <f ca="1">IFERROR(__xludf.DUMMYFUNCTION("IF
(
C758=""фізична особа""
,
VLOOKUP(D758,IMPORTRANGE(""https://docs.google.com/spreadsheets/d/14Bd19lYaqBhU8_DElYkX7l4wRkHqqCUFNJY4AfY3kHU/edit?usp=sharing  #gid=0"",""фіз особи new!relations_name""),6,FALSE)
,
(IF
(
C758=""юридична особа""
,
VLOOKUP(D7"&amp;"58,IMPORTRANGE(""https://docs.google.com/spreadsheets/d/14Bd19lYaqBhU8_DElYkX7l4wRkHqqCUFNJY4AfY3kHU/edit?usp=sharing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7" s="7" t="s">
        <v>10</v>
      </c>
      <c r="H757" s="7">
        <v>5118</v>
      </c>
      <c r="I757" s="8" t="str">
        <f ca="1">IFERROR(__xludf.DUMMYFUNCTION("IF
(
G758=""фізична особа""
,
VLOOKUP(H758,IMPORTRANGE(""https://docs.google.com/spreadsheets/d/14Bd19lYaqBhU8_DElYkX7l4wRkHqqCUFNJY4AfY3kHU/edit?usp=sharing  #gid=0"",""фіз особи new!relations_name""),6,FALSE)
,
(IF
(
G758=""юридична особа""
,
VLOOKUP(H7"&amp;"58,IMPORTRANGE(""https://docs.google.com/spreadsheets/d/14Bd19lYaqBhU8_DElYkX7l4wRkHqqCUFNJY4AfY3kHU/edit?usp=sharing  #gid=0"",""фіз особи new!relations_name_uo""),7,FALSE)
,
)
))"),"АНАНСЬКИХ Олександр Васильович")</f>
        <v>АНАНСЬКИХ Олександр Васильович</v>
      </c>
      <c r="J757" s="7" t="s">
        <v>12</v>
      </c>
    </row>
    <row r="758" spans="1:10" ht="13.2">
      <c r="A758" s="7">
        <v>757</v>
      </c>
      <c r="B758" s="7">
        <v>1</v>
      </c>
      <c r="C758" s="7" t="s">
        <v>10</v>
      </c>
      <c r="D758" s="7">
        <v>289</v>
      </c>
      <c r="E758" s="7" t="s">
        <v>17</v>
      </c>
      <c r="F758" s="8" t="str">
        <f ca="1">IFERROR(__xludf.DUMMYFUNCTION("IF
(
C759=""фізична особа""
,
VLOOKUP(D759,IMPORTRANGE(""https://docs.google.com/spreadsheets/d/14Bd19lYaqBhU8_DElYkX7l4wRkHqqCUFNJY4AfY3kHU/edit?usp=sharing  #gid=0"",""фіз особи new!relations_name""),6,FALSE)
,
(IF
(
C759=""юридична особа""
,
VLOOKUP(D7"&amp;"59,IMPORTRANGE(""https://docs.google.com/spreadsheets/d/14Bd19lYaqBhU8_DElYkX7l4wRkHqqCUFNJY4AfY3kHU/edit?usp=sharing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8" s="7" t="s">
        <v>10</v>
      </c>
      <c r="H758" s="7">
        <v>5119</v>
      </c>
      <c r="I758" s="8" t="str">
        <f ca="1">IFERROR(__xludf.DUMMYFUNCTION("IF
(
G759=""фізична особа""
,
VLOOKUP(H759,IMPORTRANGE(""https://docs.google.com/spreadsheets/d/14Bd19lYaqBhU8_DElYkX7l4wRkHqqCUFNJY4AfY3kHU/edit?usp=sharing  #gid=0"",""фіз особи new!relations_name""),6,FALSE)
,
(IF
(
G759=""юридична особа""
,
VLOOKUP(H7"&amp;"59,IMPORTRANGE(""https://docs.google.com/spreadsheets/d/14Bd19lYaqBhU8_DElYkX7l4wRkHqqCUFNJY4AfY3kHU/edit?usp=sharing  #gid=0"",""фіз особи new!relations_name_uo""),7,FALSE)
,
)
))"),"АНАНСЬКИХ Галина Борисівна")</f>
        <v>АНАНСЬКИХ Галина Борисівна</v>
      </c>
      <c r="J758" s="7" t="s">
        <v>21</v>
      </c>
    </row>
    <row r="759" spans="1:10" ht="13.2">
      <c r="A759" s="7">
        <v>758</v>
      </c>
      <c r="B759" s="7">
        <v>1</v>
      </c>
      <c r="C759" s="7" t="s">
        <v>10</v>
      </c>
      <c r="D759" s="7">
        <v>289</v>
      </c>
      <c r="E759" s="7" t="s">
        <v>18</v>
      </c>
      <c r="F759" s="8" t="str">
        <f ca="1">IFERROR(__xludf.DUMMYFUNCTION("IF
(
C760=""фізична особа""
,
VLOOKUP(D760,IMPORTRANGE(""https://docs.google.com/spreadsheets/d/14Bd19lYaqBhU8_DElYkX7l4wRkHqqCUFNJY4AfY3kHU/edit?usp=sharing  #gid=0"",""фіз особи new!relations_name""),6,FALSE)
,
(IF
(
C760=""юридична особа""
,
VLOOKUP(D7"&amp;"60,IMPORTRANGE(""https://docs.google.com/spreadsheets/d/14Bd19lYaqBhU8_DElYkX7l4wRkHqqCUFNJY4AfY3kHU/edit?usp=sharing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G759" s="7" t="s">
        <v>10</v>
      </c>
      <c r="H759" s="7">
        <v>5120</v>
      </c>
      <c r="I759" s="8" t="str">
        <f ca="1">IFERROR(__xludf.DUMMYFUNCTION("IF
(
G760=""фізична особа""
,
VLOOKUP(H760,IMPORTRANGE(""https://docs.google.com/spreadsheets/d/14Bd19lYaqBhU8_DElYkX7l4wRkHqqCUFNJY4AfY3kHU/edit?usp=sharing  #gid=0"",""фіз особи new!relations_name""),6,FALSE)
,
(IF
(
G760=""юридична особа""
,
VLOOKUP(H7"&amp;"60,IMPORTRANGE(""https://docs.google.com/spreadsheets/d/14Bd19lYaqBhU8_DElYkX7l4wRkHqqCUFNJY4AfY3kHU/edit?usp=sharing  #gid=0"",""фіз особи new!relations_name_uo""),7,FALSE)
,
)
))"),"АНАНСЬКИХ В'ячеслав Олександрович")</f>
        <v>АНАНСЬКИХ В'ячеслав Олександрович</v>
      </c>
      <c r="J759" s="7" t="s">
        <v>18</v>
      </c>
    </row>
    <row r="760" spans="1:10" ht="13.2">
      <c r="A760" s="7">
        <v>759</v>
      </c>
      <c r="B760" s="7">
        <v>1</v>
      </c>
      <c r="C760" s="7" t="s">
        <v>10</v>
      </c>
      <c r="D760" s="7">
        <v>290</v>
      </c>
      <c r="E760" s="7" t="s">
        <v>12</v>
      </c>
      <c r="F760" s="8" t="str">
        <f ca="1">IFERROR(__xludf.DUMMYFUNCTION("IF
(
C761=""фізична особа""
,
VLOOKUP(D761,IMPORTRANGE(""https://docs.google.com/spreadsheets/d/14Bd19lYaqBhU8_DElYkX7l4wRkHqqCUFNJY4AfY3kHU/edit?usp=sharing  #gid=0"",""фіз особи new!relations_name""),6,FALSE)
,
(IF
(
C761=""юридична особа""
,
VLOOKUP(D7"&amp;"61,IMPORTRANGE(""https://docs.google.com/spreadsheets/d/14Bd19lYaqBhU8_DElYkX7l4wRkHqqCUFNJY4AfY3kHU/edit?usp=sharing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G760" s="7" t="s">
        <v>10</v>
      </c>
      <c r="H760" s="7">
        <v>23382</v>
      </c>
      <c r="I760" s="8" t="str">
        <f ca="1">IFERROR(__xludf.DUMMYFUNCTION("IF
(
G761=""фізична особа""
,
VLOOKUP(H761,IMPORTRANGE(""https://docs.google.com/spreadsheets/d/14Bd19lYaqBhU8_DElYkX7l4wRkHqqCUFNJY4AfY3kHU/edit?usp=sharing  #gid=0"",""фіз особи new!relations_name""),6,FALSE)
,
(IF
(
G761=""юридична особа""
,
VLOOKUP(H7"&amp;"61,IMPORTRANGE(""https://docs.google.com/spreadsheets/d/14Bd19lYaqBhU8_DElYkX7l4wRkHqqCUFNJY4AfY3kHU/edit?usp=sharing  #gid=0"",""фіз особи new!relations_name_uo""),7,FALSE)
,
)
))"),"КОНДРАТЕНКО Микола Олексійович")</f>
        <v>КОНДРАТЕНКО Микола Олексійович</v>
      </c>
      <c r="J760" s="7" t="s">
        <v>17</v>
      </c>
    </row>
    <row r="761" spans="1:10" ht="13.2">
      <c r="A761" s="7">
        <v>760</v>
      </c>
      <c r="B761" s="7">
        <v>1</v>
      </c>
      <c r="C761" s="7" t="s">
        <v>10</v>
      </c>
      <c r="D761" s="7">
        <v>290</v>
      </c>
      <c r="E761" s="7" t="s">
        <v>12</v>
      </c>
      <c r="F761" s="8" t="str">
        <f ca="1">IFERROR(__xludf.DUMMYFUNCTION("IF
(
C762=""фізична особа""
,
VLOOKUP(D762,IMPORTRANGE(""https://docs.google.com/spreadsheets/d/14Bd19lYaqBhU8_DElYkX7l4wRkHqqCUFNJY4AfY3kHU/edit?usp=sharing  #gid=0"",""фіз особи new!relations_name""),6,FALSE)
,
(IF
(
C762=""юридична особа""
,
VLOOKUP(D7"&amp;"62,IMPORTRANGE(""https://docs.google.com/spreadsheets/d/14Bd19lYaqBhU8_DElYkX7l4wRkHqqCUFNJY4AfY3kHU/edit?usp=sharing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G761" s="7" t="s">
        <v>10</v>
      </c>
      <c r="H761" s="7">
        <v>23383</v>
      </c>
      <c r="I761" s="8" t="str">
        <f ca="1">IFERROR(__xludf.DUMMYFUNCTION("IF
(
G762=""фізична особа""
,
VLOOKUP(H762,IMPORTRANGE(""https://docs.google.com/spreadsheets/d/14Bd19lYaqBhU8_DElYkX7l4wRkHqqCUFNJY4AfY3kHU/edit?usp=sharing  #gid=0"",""фіз особи new!relations_name""),6,FALSE)
,
(IF
(
G762=""юридична особа""
,
VLOOKUP(H7"&amp;"62,IMPORTRANGE(""https://docs.google.com/spreadsheets/d/14Bd19lYaqBhU8_DElYkX7l4wRkHqqCUFNJY4AfY3kHU/edit?usp=sharing  #gid=0"",""фіз особи new!relations_name_uo""),7,FALSE)
,
)
))"),"КОНДРАТЕНКО Катерина Олексіївна")</f>
        <v>КОНДРАТЕНКО Катерина Олексіївна</v>
      </c>
      <c r="J761" s="7" t="s">
        <v>13</v>
      </c>
    </row>
    <row r="762" spans="1:10" ht="13.2">
      <c r="A762" s="7">
        <v>761</v>
      </c>
      <c r="B762" s="7">
        <v>1</v>
      </c>
      <c r="C762" s="7" t="s">
        <v>10</v>
      </c>
      <c r="D762" s="7">
        <v>290</v>
      </c>
      <c r="E762" s="7" t="s">
        <v>14</v>
      </c>
      <c r="F762" s="8" t="str">
        <f ca="1">IFERROR(__xludf.DUMMYFUNCTION("IF
(
C763=""фізична особа""
,
VLOOKUP(D763,IMPORTRANGE(""https://docs.google.com/spreadsheets/d/14Bd19lYaqBhU8_DElYkX7l4wRkHqqCUFNJY4AfY3kHU/edit?usp=sharing  #gid=0"",""фіз особи new!relations_name""),6,FALSE)
,
(IF
(
C763=""юридична особа""
,
VLOOKUP(D7"&amp;"63,IMPORTRANGE(""https://docs.google.com/spreadsheets/d/14Bd19lYaqBhU8_DElYkX7l4wRkHqqCUFNJY4AfY3kHU/edit?usp=sharing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G762" s="7" t="s">
        <v>10</v>
      </c>
      <c r="H762" s="7">
        <v>8615</v>
      </c>
      <c r="I762" s="8" t="str">
        <f ca="1">IFERROR(__xludf.DUMMYFUNCTION("IF
(
G763=""фізична особа""
,
VLOOKUP(H763,IMPORTRANGE(""https://docs.google.com/spreadsheets/d/14Bd19lYaqBhU8_DElYkX7l4wRkHqqCUFNJY4AfY3kHU/edit?usp=sharing  #gid=0"",""фіз особи new!relations_name""),6,FALSE)
,
(IF
(
G763=""юридична особа""
,
VLOOKUP(H7"&amp;"63,IMPORTRANGE(""https://docs.google.com/spreadsheets/d/14Bd19lYaqBhU8_DElYkX7l4wRkHqqCUFNJY4AfY3kHU/edit?usp=sharing  #gid=0"",""фіз особи new!relations_name_uo""),7,FALSE)
,
)
))"),"КОНДРАТЕНКО Світлана")</f>
        <v>КОНДРАТЕНКО Світлана</v>
      </c>
      <c r="J762" s="7" t="s">
        <v>15</v>
      </c>
    </row>
    <row r="763" spans="1:10" ht="13.2">
      <c r="A763" s="7">
        <v>762</v>
      </c>
      <c r="B763" s="7">
        <v>1</v>
      </c>
      <c r="C763" s="7" t="s">
        <v>10</v>
      </c>
      <c r="D763" s="7">
        <v>290</v>
      </c>
      <c r="E763" s="7" t="s">
        <v>18</v>
      </c>
      <c r="F763" s="8" t="str">
        <f ca="1">IFERROR(__xludf.DUMMYFUNCTION("IF
(
C764=""фізична особа""
,
VLOOKUP(D764,IMPORTRANGE(""https://docs.google.com/spreadsheets/d/14Bd19lYaqBhU8_DElYkX7l4wRkHqqCUFNJY4AfY3kHU/edit?usp=sharing  #gid=0"",""фіз особи new!relations_name""),6,FALSE)
,
(IF
(
C764=""юридична особа""
,
VLOOKUP(D7"&amp;"64,IMPORTRANGE(""https://docs.google.com/spreadsheets/d/14Bd19lYaqBhU8_DElYkX7l4wRkHqqCUFNJY4AfY3kHU/edit?usp=sharing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G763" s="7" t="s">
        <v>10</v>
      </c>
      <c r="H763" s="7">
        <v>0</v>
      </c>
      <c r="I763" s="8" t="str">
        <f ca="1">IFERROR(__xludf.DUMMYFUNCTION("IF
(
G764=""фізична особа""
,
VLOOKUP(H764,IMPORTRANGE(""https://docs.google.com/spreadsheets/d/14Bd19lYaqBhU8_DElYkX7l4wRkHqqCUFNJY4AfY3kHU/edit?usp=sharing  #gid=0"",""фіз особи new!relations_name""),6,FALSE)
,
(IF
(
G764=""юридична особа""
,
VLOOKUP(H7"&amp;"64,IMPORTRANGE(""https://docs.google.com/spreadsheets/d/14Bd19lYaqBhU8_DElYkX7l4wRkHqqCUFNJY4AfY3kHU/edit?usp=sharing  #gid=0"",""фіз особи new!relations_name_uo""),7,FALSE)
,
)
))"),"#N/A")</f>
        <v>#N/A</v>
      </c>
      <c r="J763" s="7" t="s">
        <v>18</v>
      </c>
    </row>
    <row r="764" spans="1:10" ht="13.2">
      <c r="A764" s="7">
        <v>763</v>
      </c>
      <c r="B764" s="7">
        <v>1</v>
      </c>
      <c r="C764" s="7" t="s">
        <v>10</v>
      </c>
      <c r="D764" s="7">
        <v>290</v>
      </c>
      <c r="E764" s="7" t="s">
        <v>17</v>
      </c>
      <c r="F764" s="8" t="str">
        <f ca="1">IFERROR(__xludf.DUMMYFUNCTION("IF
(
C765=""фізична особа""
,
VLOOKUP(D765,IMPORTRANGE(""https://docs.google.com/spreadsheets/d/14Bd19lYaqBhU8_DElYkX7l4wRkHqqCUFNJY4AfY3kHU/edit?usp=sharing  #gid=0"",""фіз особи new!relations_name""),6,FALSE)
,
(IF
(
C765=""юридична особа""
,
VLOOKUP(D7"&amp;"65,IMPORTRANGE(""https://docs.google.com/spreadsheets/d/14Bd19lYaqBhU8_DElYkX7l4wRkHqqCUFNJY4AfY3kHU/edit?usp=sharing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G764" s="7" t="s">
        <v>10</v>
      </c>
      <c r="H764" s="7">
        <v>0</v>
      </c>
      <c r="I764" s="8" t="str">
        <f ca="1">IFERROR(__xludf.DUMMYFUNCTION("IF
(
G765=""фізична особа""
,
VLOOKUP(H765,IMPORTRANGE(""https://docs.google.com/spreadsheets/d/14Bd19lYaqBhU8_DElYkX7l4wRkHqqCUFNJY4AfY3kHU/edit?usp=sharing  #gid=0"",""фіз особи new!relations_name""),6,FALSE)
,
(IF
(
G765=""юридична особа""
,
VLOOKUP(H7"&amp;"65,IMPORTRANGE(""https://docs.google.com/spreadsheets/d/14Bd19lYaqBhU8_DElYkX7l4wRkHqqCUFNJY4AfY3kHU/edit?usp=sharing  #gid=0"",""фіз особи new!relations_name_uo""),7,FALSE)
,
)
))"),"#N/A")</f>
        <v>#N/A</v>
      </c>
      <c r="J764" s="7" t="s">
        <v>12</v>
      </c>
    </row>
    <row r="765" spans="1:10" ht="13.2">
      <c r="A765" s="7">
        <v>764</v>
      </c>
      <c r="B765" s="7">
        <v>1</v>
      </c>
      <c r="C765" s="7" t="s">
        <v>10</v>
      </c>
      <c r="D765" s="7">
        <v>291</v>
      </c>
      <c r="E765" s="7" t="s">
        <v>11</v>
      </c>
      <c r="F765" s="8" t="str">
        <f ca="1">IFERROR(__xludf.DUMMYFUNCTION("IF
(
C766=""фізична особа""
,
VLOOKUP(D766,IMPORTRANGE(""https://docs.google.com/spreadsheets/d/14Bd19lYaqBhU8_DElYkX7l4wRkHqqCUFNJY4AfY3kHU/edit?usp=sharing  #gid=0"",""фіз особи new!relations_name""),6,FALSE)
,
(IF
(
C766=""юридична особа""
,
VLOOKUP(D7"&amp;"66,IMPORTRANGE(""https://docs.google.com/spreadsheets/d/14Bd19lYaqBhU8_DElYkX7l4wRkHqqCUFNJY4AfY3kHU/edit?usp=sharing  #gid=0"",""фіз особи new!relations_name_uo""),7,FALSE)
,
)
))"),"АНТРОПЕНКО Ігор Олександрович")</f>
        <v>АНТРОПЕНКО Ігор Олександрович</v>
      </c>
      <c r="G765" s="7" t="s">
        <v>10</v>
      </c>
      <c r="H765" s="7">
        <v>0</v>
      </c>
      <c r="I765" s="8" t="str">
        <f ca="1">IFERROR(__xludf.DUMMYFUNCTION("IF
(
G766=""фізична особа""
,
VLOOKUP(H766,IMPORTRANGE(""https://docs.google.com/spreadsheets/d/14Bd19lYaqBhU8_DElYkX7l4wRkHqqCUFNJY4AfY3kHU/edit?usp=sharing  #gid=0"",""фіз особи new!relations_name""),6,FALSE)
,
(IF
(
G766=""юридична особа""
,
VLOOKUP(H7"&amp;"66,IMPORTRANGE(""https://docs.google.com/spreadsheets/d/14Bd19lYaqBhU8_DElYkX7l4wRkHqqCUFNJY4AfY3kHU/edit?usp=sharing  #gid=0"",""фіз особи new!relations_name_uo""),7,FALSE)
,
)
))"),"#N/A")</f>
        <v>#N/A</v>
      </c>
      <c r="J765" s="7" t="s">
        <v>11</v>
      </c>
    </row>
    <row r="766" spans="1:10" ht="13.2">
      <c r="A766" s="7">
        <v>765</v>
      </c>
      <c r="B766" s="7">
        <v>1</v>
      </c>
      <c r="C766" s="7" t="s">
        <v>10</v>
      </c>
      <c r="D766" s="7">
        <v>292</v>
      </c>
      <c r="E766" s="7" t="s">
        <v>28</v>
      </c>
      <c r="F766" s="8" t="str">
        <f ca="1">IFERROR(__xludf.DUMMYFUNCTION("IF
(
C767=""фізична особа""
,
VLOOKUP(D767,IMPORTRANGE(""https://docs.google.com/spreadsheets/d/14Bd19lYaqBhU8_DElYkX7l4wRkHqqCUFNJY4AfY3kHU/edit?usp=sharing  #gid=0"",""фіз особи new!relations_name""),6,FALSE)
,
(IF
(
C767=""юридична особа""
,
VLOOKUP(D7"&amp;"67,IMPORTRANGE(""https://docs.google.com/spreadsheets/d/14Bd19lYaqBhU8_DElYkX7l4wRkHqqCUFNJY4AfY3kHU/edit?usp=sharing  #gid=0"",""фіз особи new!relations_name_uo""),7,FALSE)
,
)
))"),"КОМАРОВ Ігор Анатолійович")</f>
        <v>КОМАРОВ Ігор Анатолійович</v>
      </c>
      <c r="G766" s="7" t="s">
        <v>10</v>
      </c>
      <c r="H766" s="7">
        <v>880</v>
      </c>
      <c r="I766" s="8" t="str">
        <f ca="1">IFERROR(__xludf.DUMMYFUNCTION("IF
(
G767=""фізична особа""
,
VLOOKUP(H767,IMPORTRANGE(""https://docs.google.com/spreadsheets/d/14Bd19lYaqBhU8_DElYkX7l4wRkHqqCUFNJY4AfY3kHU/edit?usp=sharing  #gid=0"",""фіз особи new!relations_name""),6,FALSE)
,
(IF
(
G767=""юридична особа""
,
VLOOKUP(H7"&amp;"67,IMPORTRANGE(""https://docs.google.com/spreadsheets/d/14Bd19lYaqBhU8_DElYkX7l4wRkHqqCUFNJY4AfY3kHU/edit?usp=sharing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66" s="7" t="s">
        <v>29</v>
      </c>
    </row>
    <row r="767" spans="1:10" ht="13.2">
      <c r="A767" s="7">
        <v>766</v>
      </c>
      <c r="B767" s="7">
        <v>1</v>
      </c>
      <c r="C767" s="7" t="s">
        <v>10</v>
      </c>
      <c r="D767" s="7">
        <v>293</v>
      </c>
      <c r="E767" s="7" t="s">
        <v>28</v>
      </c>
      <c r="F767" s="8" t="str">
        <f ca="1">IFERROR(__xludf.DUMMYFUNCTION("IF
(
C768=""фізична особа""
,
VLOOKUP(D768,IMPORTRANGE(""https://docs.google.com/spreadsheets/d/14Bd19lYaqBhU8_DElYkX7l4wRkHqqCUFNJY4AfY3kHU/edit?usp=sharing  #gid=0"",""фіз особи new!relations_name""),6,FALSE)
,
(IF
(
C768=""юридична особа""
,
VLOOKUP(D7"&amp;"68,IMPORTRANGE(""https://docs.google.com/spreadsheets/d/14Bd19lYaqBhU8_DElYkX7l4wRkHqqCUFNJY4AfY3kHU/edit?usp=sharing  #gid=0"",""фіз особи new!relations_name_uo""),7,FALSE)
,
)
))"),"АНТІПОВ Ігор Юрійович")</f>
        <v>АНТІПОВ Ігор Юрійович</v>
      </c>
      <c r="G767" s="7" t="s">
        <v>10</v>
      </c>
      <c r="H767" s="7">
        <v>4567</v>
      </c>
      <c r="I767" s="8" t="str">
        <f ca="1">IFERROR(__xludf.DUMMYFUNCTION("IF
(
G768=""фізична особа""
,
VLOOKUP(H768,IMPORTRANGE(""https://docs.google.com/spreadsheets/d/14Bd19lYaqBhU8_DElYkX7l4wRkHqqCUFNJY4AfY3kHU/edit?usp=sharing  #gid=0"",""фіз особи new!relations_name""),6,FALSE)
,
(IF
(
G768=""юридична особа""
,
VLOOKUP(H7"&amp;"68,IMPORTRANGE(""https://docs.google.com/spreadsheets/d/14Bd19lYaqBhU8_DElYkX7l4wRkHqqCUFNJY4AfY3kHU/edit?usp=sharing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767" s="7" t="s">
        <v>29</v>
      </c>
    </row>
    <row r="768" spans="1:10" ht="13.2">
      <c r="A768" s="7">
        <v>767</v>
      </c>
      <c r="B768" s="7">
        <v>1</v>
      </c>
      <c r="C768" s="7" t="s">
        <v>10</v>
      </c>
      <c r="D768" s="7">
        <v>294</v>
      </c>
      <c r="E768" s="7" t="s">
        <v>17</v>
      </c>
      <c r="F768" s="8" t="str">
        <f ca="1">IFERROR(__xludf.DUMMYFUNCTION("IF
(
C769=""фізична особа""
,
VLOOKUP(D769,IMPORTRANGE(""https://docs.google.com/spreadsheets/d/14Bd19lYaqBhU8_DElYkX7l4wRkHqqCUFNJY4AfY3kHU/edit?usp=sharing  #gid=0"",""фіз особи new!relations_name""),6,FALSE)
,
(IF
(
C769=""юридична особа""
,
VLOOKUP(D7"&amp;"69,IMPORTRANGE(""https://docs.google.com/spreadsheets/d/14Bd19lYaqBhU8_DElYkX7l4wRkHqqCUFNJY4AfY3kHU/edit?usp=sharing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68" s="7" t="s">
        <v>10</v>
      </c>
      <c r="H768" s="7">
        <v>629</v>
      </c>
      <c r="I768" s="8" t="str">
        <f ca="1">IFERROR(__xludf.DUMMYFUNCTION("IF
(
G769=""фізична особа""
,
VLOOKUP(H769,IMPORTRANGE(""https://docs.google.com/spreadsheets/d/14Bd19lYaqBhU8_DElYkX7l4wRkHqqCUFNJY4AfY3kHU/edit?usp=sharing  #gid=0"",""фіз особи new!relations_name""),6,FALSE)
,
(IF
(
G769=""юридична особа""
,
VLOOKUP(H7"&amp;"69,IMPORTRANGE(""https://docs.google.com/spreadsheets/d/14Bd19lYaqBhU8_DElYkX7l4wRkHqqCUFNJY4AfY3kHU/edit?usp=sharing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68" s="7" t="s">
        <v>12</v>
      </c>
    </row>
    <row r="769" spans="1:10" ht="13.2">
      <c r="A769" s="7">
        <v>768</v>
      </c>
      <c r="B769" s="7">
        <v>1</v>
      </c>
      <c r="C769" s="7" t="s">
        <v>10</v>
      </c>
      <c r="D769" s="7">
        <v>294</v>
      </c>
      <c r="E769" s="7" t="s">
        <v>18</v>
      </c>
      <c r="F769" s="8" t="str">
        <f ca="1">IFERROR(__xludf.DUMMYFUNCTION("IF
(
C770=""фізична особа""
,
VLOOKUP(D770,IMPORTRANGE(""https://docs.google.com/spreadsheets/d/14Bd19lYaqBhU8_DElYkX7l4wRkHqqCUFNJY4AfY3kHU/edit?usp=sharing  #gid=0"",""фіз особи new!relations_name""),6,FALSE)
,
(IF
(
C770=""юридична особа""
,
VLOOKUP(D7"&amp;"70,IMPORTRANGE(""https://docs.google.com/spreadsheets/d/14Bd19lYaqBhU8_DElYkX7l4wRkHqqCUFNJY4AfY3kHU/edit?usp=sharing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69" s="7" t="s">
        <v>10</v>
      </c>
      <c r="H769" s="7">
        <v>632</v>
      </c>
      <c r="I769" s="8" t="str">
        <f ca="1">IFERROR(__xludf.DUMMYFUNCTION("IF
(
G770=""фізична особа""
,
VLOOKUP(H770,IMPORTRANGE(""https://docs.google.com/spreadsheets/d/14Bd19lYaqBhU8_DElYkX7l4wRkHqqCUFNJY4AfY3kHU/edit?usp=sharing  #gid=0"",""фіз особи new!relations_name""),6,FALSE)
,
(IF
(
G770=""юридична особа""
,
VLOOKUP(H7"&amp;"70,IMPORTRANGE(""https://docs.google.com/spreadsheets/d/14Bd19lYaqBhU8_DElYkX7l4wRkHqqCUFNJY4AfY3kHU/edit?usp=sharing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J769" s="7" t="s">
        <v>31</v>
      </c>
    </row>
    <row r="770" spans="1:10" ht="13.2">
      <c r="A770" s="7">
        <v>769</v>
      </c>
      <c r="B770" s="7">
        <v>1</v>
      </c>
      <c r="C770" s="7" t="s">
        <v>10</v>
      </c>
      <c r="D770" s="7">
        <v>294</v>
      </c>
      <c r="E770" s="7" t="s">
        <v>17</v>
      </c>
      <c r="F770" s="8" t="str">
        <f ca="1">IFERROR(__xludf.DUMMYFUNCTION("IF
(
C771=""фізична особа""
,
VLOOKUP(D771,IMPORTRANGE(""https://docs.google.com/spreadsheets/d/14Bd19lYaqBhU8_DElYkX7l4wRkHqqCUFNJY4AfY3kHU/edit?usp=sharing  #gid=0"",""фіз особи new!relations_name""),6,FALSE)
,
(IF
(
C771=""юридична особа""
,
VLOOKUP(D7"&amp;"71,IMPORTRANGE(""https://docs.google.com/spreadsheets/d/14Bd19lYaqBhU8_DElYkX7l4wRkHqqCUFNJY4AfY3kHU/edit?usp=sharing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70" s="7" t="s">
        <v>10</v>
      </c>
      <c r="H770" s="7">
        <v>0</v>
      </c>
      <c r="I770" s="8" t="str">
        <f ca="1">IFERROR(__xludf.DUMMYFUNCTION("IF
(
G771=""фізична особа""
,
VLOOKUP(H771,IMPORTRANGE(""https://docs.google.com/spreadsheets/d/14Bd19lYaqBhU8_DElYkX7l4wRkHqqCUFNJY4AfY3kHU/edit?usp=sharing  #gid=0"",""фіз особи new!relations_name""),6,FALSE)
,
(IF
(
G771=""юридична особа""
,
VLOOKUP(H7"&amp;"71,IMPORTRANGE(""https://docs.google.com/spreadsheets/d/14Bd19lYaqBhU8_DElYkX7l4wRkHqqCUFNJY4AfY3kHU/edit?usp=sharing  #gid=0"",""фіз особи new!relations_name_uo""),7,FALSE)
,
)
))"),"#N/A")</f>
        <v>#N/A</v>
      </c>
      <c r="J770" s="7" t="s">
        <v>21</v>
      </c>
    </row>
    <row r="771" spans="1:10" ht="13.2">
      <c r="A771" s="7">
        <v>770</v>
      </c>
      <c r="B771" s="7">
        <v>1</v>
      </c>
      <c r="C771" s="7" t="s">
        <v>10</v>
      </c>
      <c r="D771" s="7">
        <v>294</v>
      </c>
      <c r="E771" s="7" t="s">
        <v>18</v>
      </c>
      <c r="F771" s="8" t="str">
        <f ca="1">IFERROR(__xludf.DUMMYFUNCTION("IF
(
C772=""фізична особа""
,
VLOOKUP(D772,IMPORTRANGE(""https://docs.google.com/spreadsheets/d/14Bd19lYaqBhU8_DElYkX7l4wRkHqqCUFNJY4AfY3kHU/edit?usp=sharing  #gid=0"",""фіз особи new!relations_name""),6,FALSE)
,
(IF
(
C772=""юридична особа""
,
VLOOKUP(D7"&amp;"72,IMPORTRANGE(""https://docs.google.com/spreadsheets/d/14Bd19lYaqBhU8_DElYkX7l4wRkHqqCUFNJY4AfY3kHU/edit?usp=sharing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71" s="7" t="s">
        <v>10</v>
      </c>
      <c r="H771" s="7">
        <v>633</v>
      </c>
      <c r="I771" s="8" t="str">
        <f ca="1">IFERROR(__xludf.DUMMYFUNCTION("IF
(
G772=""фізична особа""
,
VLOOKUP(H772,IMPORTRANGE(""https://docs.google.com/spreadsheets/d/14Bd19lYaqBhU8_DElYkX7l4wRkHqqCUFNJY4AfY3kHU/edit?usp=sharing  #gid=0"",""фіз особи new!relations_name""),6,FALSE)
,
(IF
(
G772=""юридична особа""
,
VLOOKUP(H7"&amp;"72,IMPORTRANGE(""https://docs.google.com/spreadsheets/d/14Bd19lYaqBhU8_DElYkX7l4wRkHqqCUFNJY4AfY3kHU/edit?usp=sharing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771" s="7" t="s">
        <v>18</v>
      </c>
    </row>
    <row r="772" spans="1:10" ht="13.2">
      <c r="A772" s="7">
        <v>771</v>
      </c>
      <c r="B772" s="7">
        <v>1</v>
      </c>
      <c r="C772" s="7" t="s">
        <v>10</v>
      </c>
      <c r="D772" s="7">
        <v>294</v>
      </c>
      <c r="E772" s="7" t="s">
        <v>18</v>
      </c>
      <c r="F772" s="8" t="str">
        <f ca="1">IFERROR(__xludf.DUMMYFUNCTION("IF
(
C773=""фізична особа""
,
VLOOKUP(D773,IMPORTRANGE(""https://docs.google.com/spreadsheets/d/14Bd19lYaqBhU8_DElYkX7l4wRkHqqCUFNJY4AfY3kHU/edit?usp=sharing  #gid=0"",""фіз особи new!relations_name""),6,FALSE)
,
(IF
(
C773=""юридична особа""
,
VLOOKUP(D7"&amp;"73,IMPORTRANGE(""https://docs.google.com/spreadsheets/d/14Bd19lYaqBhU8_DElYkX7l4wRkHqqCUFNJY4AfY3kHU/edit?usp=sharing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72" s="7" t="s">
        <v>10</v>
      </c>
      <c r="H772" s="7">
        <v>2053</v>
      </c>
      <c r="I772" s="8" t="str">
        <f ca="1">IFERROR(__xludf.DUMMYFUNCTION("IF
(
G773=""фізична особа""
,
VLOOKUP(H773,IMPORTRANGE(""https://docs.google.com/spreadsheets/d/14Bd19lYaqBhU8_DElYkX7l4wRkHqqCUFNJY4AfY3kHU/edit?usp=sharing  #gid=0"",""фіз особи new!relations_name""),6,FALSE)
,
(IF
(
G773=""юридична особа""
,
VLOOKUP(H7"&amp;"73,IMPORTRANGE(""https://docs.google.com/spreadsheets/d/14Bd19lYaqBhU8_DElYkX7l4wRkHqqCUFNJY4AfY3kHU/edit?usp=sharing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J772" s="7" t="s">
        <v>31</v>
      </c>
    </row>
    <row r="773" spans="1:10" ht="13.2">
      <c r="A773" s="7">
        <v>772</v>
      </c>
      <c r="B773" s="7">
        <v>1</v>
      </c>
      <c r="C773" s="7" t="s">
        <v>10</v>
      </c>
      <c r="D773" s="7">
        <v>294</v>
      </c>
      <c r="E773" s="7" t="s">
        <v>11</v>
      </c>
      <c r="F773" s="8" t="str">
        <f ca="1">IFERROR(__xludf.DUMMYFUNCTION("IF
(
C774=""фізична особа""
,
VLOOKUP(D774,IMPORTRANGE(""https://docs.google.com/spreadsheets/d/14Bd19lYaqBhU8_DElYkX7l4wRkHqqCUFNJY4AfY3kHU/edit?usp=sharing  #gid=0"",""фіз особи new!relations_name""),6,FALSE)
,
(IF
(
C774=""юридична особа""
,
VLOOKUP(D7"&amp;"74,IMPORTRANGE(""https://docs.google.com/spreadsheets/d/14Bd19lYaqBhU8_DElYkX7l4wRkHqqCUFNJY4AfY3kHU/edit?usp=sharing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G773" s="7" t="s">
        <v>10</v>
      </c>
      <c r="H773" s="7">
        <v>880</v>
      </c>
      <c r="I773" s="8" t="str">
        <f ca="1">IFERROR(__xludf.DUMMYFUNCTION("IF
(
G774=""фізична особа""
,
VLOOKUP(H774,IMPORTRANGE(""https://docs.google.com/spreadsheets/d/14Bd19lYaqBhU8_DElYkX7l4wRkHqqCUFNJY4AfY3kHU/edit?usp=sharing  #gid=0"",""фіз особи new!relations_name""),6,FALSE)
,
(IF
(
G774=""юридична особа""
,
VLOOKUP(H7"&amp;"74,IMPORTRANGE(""https://docs.google.com/spreadsheets/d/14Bd19lYaqBhU8_DElYkX7l4wRkHqqCUFNJY4AfY3kHU/edit?usp=sharing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73" s="7" t="s">
        <v>11</v>
      </c>
    </row>
    <row r="774" spans="1:10" ht="13.2">
      <c r="A774" s="7">
        <v>773</v>
      </c>
      <c r="B774" s="7">
        <v>1</v>
      </c>
      <c r="C774" s="7" t="s">
        <v>10</v>
      </c>
      <c r="D774" s="7">
        <v>295</v>
      </c>
      <c r="E774" s="7" t="s">
        <v>11</v>
      </c>
      <c r="F774" s="8" t="str">
        <f ca="1">IFERROR(__xludf.DUMMYFUNCTION("IF
(
C775=""фізична особа""
,
VLOOKUP(D775,IMPORTRANGE(""https://docs.google.com/spreadsheets/d/14Bd19lYaqBhU8_DElYkX7l4wRkHqqCUFNJY4AfY3kHU/edit?usp=sharing  #gid=0"",""фіз особи new!relations_name""),6,FALSE)
,
(IF
(
C775=""юридична особа""
,
VLOOKUP(D7"&amp;"75,IMPORTRANGE(""https://docs.google.com/spreadsheets/d/14Bd19lYaqBhU8_DElYkX7l4wRkHqqCUFNJY4AfY3kHU/edit?usp=sharing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4" s="7" t="s">
        <v>10</v>
      </c>
      <c r="H774" s="7">
        <v>0</v>
      </c>
      <c r="I774" s="8" t="str">
        <f ca="1">IFERROR(__xludf.DUMMYFUNCTION("IF
(
G775=""фізична особа""
,
VLOOKUP(H775,IMPORTRANGE(""https://docs.google.com/spreadsheets/d/14Bd19lYaqBhU8_DElYkX7l4wRkHqqCUFNJY4AfY3kHU/edit?usp=sharing  #gid=0"",""фіз особи new!relations_name""),6,FALSE)
,
(IF
(
G775=""юридична особа""
,
VLOOKUP(H7"&amp;"75,IMPORTRANGE(""https://docs.google.com/spreadsheets/d/14Bd19lYaqBhU8_DElYkX7l4wRkHqqCUFNJY4AfY3kHU/edit?usp=sharing  #gid=0"",""фіз особи new!relations_name_uo""),7,FALSE)
,
)
))"),"#N/A")</f>
        <v>#N/A</v>
      </c>
      <c r="J774" s="7" t="s">
        <v>11</v>
      </c>
    </row>
    <row r="775" spans="1:10" ht="13.2">
      <c r="A775" s="7">
        <v>774</v>
      </c>
      <c r="B775" s="7">
        <v>1</v>
      </c>
      <c r="C775" s="7" t="s">
        <v>10</v>
      </c>
      <c r="D775" s="7">
        <v>295</v>
      </c>
      <c r="E775" s="7" t="s">
        <v>11</v>
      </c>
      <c r="F775" s="8" t="str">
        <f ca="1">IFERROR(__xludf.DUMMYFUNCTION("IF
(
C776=""фізична особа""
,
VLOOKUP(D776,IMPORTRANGE(""https://docs.google.com/spreadsheets/d/14Bd19lYaqBhU8_DElYkX7l4wRkHqqCUFNJY4AfY3kHU/edit?usp=sharing  #gid=0"",""фіз особи new!relations_name""),6,FALSE)
,
(IF
(
C776=""юридична особа""
,
VLOOKUP(D7"&amp;"76,IMPORTRANGE(""https://docs.google.com/spreadsheets/d/14Bd19lYaqBhU8_DElYkX7l4wRkHqqCUFNJY4AfY3kHU/edit?usp=sharing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5" s="7" t="s">
        <v>10</v>
      </c>
      <c r="H775" s="7">
        <v>0</v>
      </c>
      <c r="I775" s="8" t="str">
        <f ca="1">IFERROR(__xludf.DUMMYFUNCTION("IF
(
G776=""фізична особа""
,
VLOOKUP(H776,IMPORTRANGE(""https://docs.google.com/spreadsheets/d/14Bd19lYaqBhU8_DElYkX7l4wRkHqqCUFNJY4AfY3kHU/edit?usp=sharing  #gid=0"",""фіз особи new!relations_name""),6,FALSE)
,
(IF
(
G776=""юридична особа""
,
VLOOKUP(H7"&amp;"76,IMPORTRANGE(""https://docs.google.com/spreadsheets/d/14Bd19lYaqBhU8_DElYkX7l4wRkHqqCUFNJY4AfY3kHU/edit?usp=sharing  #gid=0"",""фіз особи new!relations_name_uo""),7,FALSE)
,
)
))"),"#N/A")</f>
        <v>#N/A</v>
      </c>
      <c r="J775" s="7" t="s">
        <v>11</v>
      </c>
    </row>
    <row r="776" spans="1:10" ht="13.2">
      <c r="A776" s="7">
        <v>775</v>
      </c>
      <c r="B776" s="7">
        <v>1</v>
      </c>
      <c r="C776" s="7" t="s">
        <v>10</v>
      </c>
      <c r="D776" s="7">
        <v>295</v>
      </c>
      <c r="E776" s="7" t="s">
        <v>11</v>
      </c>
      <c r="F776" s="8" t="str">
        <f ca="1">IFERROR(__xludf.DUMMYFUNCTION("IF
(
C777=""фізична особа""
,
VLOOKUP(D777,IMPORTRANGE(""https://docs.google.com/spreadsheets/d/14Bd19lYaqBhU8_DElYkX7l4wRkHqqCUFNJY4AfY3kHU/edit?usp=sharing  #gid=0"",""фіз особи new!relations_name""),6,FALSE)
,
(IF
(
C777=""юридична особа""
,
VLOOKUP(D7"&amp;"77,IMPORTRANGE(""https://docs.google.com/spreadsheets/d/14Bd19lYaqBhU8_DElYkX7l4wRkHqqCUFNJY4AfY3kHU/edit?usp=sharing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6" s="7" t="s">
        <v>10</v>
      </c>
      <c r="H776" s="7">
        <v>0</v>
      </c>
      <c r="I776" s="8" t="str">
        <f ca="1">IFERROR(__xludf.DUMMYFUNCTION("IF
(
G777=""фізична особа""
,
VLOOKUP(H777,IMPORTRANGE(""https://docs.google.com/spreadsheets/d/14Bd19lYaqBhU8_DElYkX7l4wRkHqqCUFNJY4AfY3kHU/edit?usp=sharing  #gid=0"",""фіз особи new!relations_name""),6,FALSE)
,
(IF
(
G777=""юридична особа""
,
VLOOKUP(H7"&amp;"77,IMPORTRANGE(""https://docs.google.com/spreadsheets/d/14Bd19lYaqBhU8_DElYkX7l4wRkHqqCUFNJY4AfY3kHU/edit?usp=sharing  #gid=0"",""фіз особи new!relations_name_uo""),7,FALSE)
,
)
))"),"#N/A")</f>
        <v>#N/A</v>
      </c>
      <c r="J776" s="7" t="s">
        <v>11</v>
      </c>
    </row>
    <row r="777" spans="1:10" ht="13.2">
      <c r="A777" s="7">
        <v>776</v>
      </c>
      <c r="B777" s="7">
        <v>1</v>
      </c>
      <c r="C777" s="7" t="s">
        <v>10</v>
      </c>
      <c r="D777" s="7">
        <v>295</v>
      </c>
      <c r="E777" s="7" t="s">
        <v>11</v>
      </c>
      <c r="F777" s="8" t="str">
        <f ca="1">IFERROR(__xludf.DUMMYFUNCTION("IF
(
C778=""фізична особа""
,
VLOOKUP(D778,IMPORTRANGE(""https://docs.google.com/spreadsheets/d/14Bd19lYaqBhU8_DElYkX7l4wRkHqqCUFNJY4AfY3kHU/edit?usp=sharing  #gid=0"",""фіз особи new!relations_name""),6,FALSE)
,
(IF
(
C778=""юридична особа""
,
VLOOKUP(D7"&amp;"78,IMPORTRANGE(""https://docs.google.com/spreadsheets/d/14Bd19lYaqBhU8_DElYkX7l4wRkHqqCUFNJY4AfY3kHU/edit?usp=sharing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7" s="7" t="s">
        <v>10</v>
      </c>
      <c r="H777" s="7">
        <v>0</v>
      </c>
      <c r="I777" s="8" t="str">
        <f ca="1">IFERROR(__xludf.DUMMYFUNCTION("IF
(
G778=""фізична особа""
,
VLOOKUP(H778,IMPORTRANGE(""https://docs.google.com/spreadsheets/d/14Bd19lYaqBhU8_DElYkX7l4wRkHqqCUFNJY4AfY3kHU/edit?usp=sharing  #gid=0"",""фіз особи new!relations_name""),6,FALSE)
,
(IF
(
G778=""юридична особа""
,
VLOOKUP(H7"&amp;"78,IMPORTRANGE(""https://docs.google.com/spreadsheets/d/14Bd19lYaqBhU8_DElYkX7l4wRkHqqCUFNJY4AfY3kHU/edit?usp=sharing  #gid=0"",""фіз особи new!relations_name_uo""),7,FALSE)
,
)
))"),"#N/A")</f>
        <v>#N/A</v>
      </c>
      <c r="J777" s="7" t="s">
        <v>11</v>
      </c>
    </row>
    <row r="778" spans="1:10" ht="13.2">
      <c r="A778" s="7">
        <v>777</v>
      </c>
      <c r="B778" s="7">
        <v>1</v>
      </c>
      <c r="C778" s="7" t="s">
        <v>10</v>
      </c>
      <c r="D778" s="7">
        <v>295</v>
      </c>
      <c r="E778" s="7" t="s">
        <v>11</v>
      </c>
      <c r="F778" s="8" t="str">
        <f ca="1">IFERROR(__xludf.DUMMYFUNCTION("IF
(
C779=""фізична особа""
,
VLOOKUP(D779,IMPORTRANGE(""https://docs.google.com/spreadsheets/d/14Bd19lYaqBhU8_DElYkX7l4wRkHqqCUFNJY4AfY3kHU/edit?usp=sharing  #gid=0"",""фіз особи new!relations_name""),6,FALSE)
,
(IF
(
C779=""юридична особа""
,
VLOOKUP(D7"&amp;"79,IMPORTRANGE(""https://docs.google.com/spreadsheets/d/14Bd19lYaqBhU8_DElYkX7l4wRkHqqCUFNJY4AfY3kHU/edit?usp=sharing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8" s="7" t="s">
        <v>10</v>
      </c>
      <c r="H778" s="7">
        <v>0</v>
      </c>
      <c r="I778" s="8" t="str">
        <f ca="1">IFERROR(__xludf.DUMMYFUNCTION("IF
(
G779=""фізична особа""
,
VLOOKUP(H779,IMPORTRANGE(""https://docs.google.com/spreadsheets/d/14Bd19lYaqBhU8_DElYkX7l4wRkHqqCUFNJY4AfY3kHU/edit?usp=sharing  #gid=0"",""фіз особи new!relations_name""),6,FALSE)
,
(IF
(
G779=""юридична особа""
,
VLOOKUP(H7"&amp;"79,IMPORTRANGE(""https://docs.google.com/spreadsheets/d/14Bd19lYaqBhU8_DElYkX7l4wRkHqqCUFNJY4AfY3kHU/edit?usp=sharing  #gid=0"",""фіз особи new!relations_name_uo""),7,FALSE)
,
)
))"),"#N/A")</f>
        <v>#N/A</v>
      </c>
      <c r="J778" s="7" t="s">
        <v>11</v>
      </c>
    </row>
    <row r="779" spans="1:10" ht="13.2">
      <c r="A779" s="7">
        <v>778</v>
      </c>
      <c r="B779" s="7">
        <v>1</v>
      </c>
      <c r="C779" s="7" t="s">
        <v>10</v>
      </c>
      <c r="D779" s="7">
        <v>295</v>
      </c>
      <c r="E779" s="7" t="s">
        <v>11</v>
      </c>
      <c r="F779" s="8" t="str">
        <f ca="1">IFERROR(__xludf.DUMMYFUNCTION("IF
(
C780=""фізична особа""
,
VLOOKUP(D780,IMPORTRANGE(""https://docs.google.com/spreadsheets/d/14Bd19lYaqBhU8_DElYkX7l4wRkHqqCUFNJY4AfY3kHU/edit?usp=sharing  #gid=0"",""фіз особи new!relations_name""),6,FALSE)
,
(IF
(
C780=""юридична особа""
,
VLOOKUP(D7"&amp;"80,IMPORTRANGE(""https://docs.google.com/spreadsheets/d/14Bd19lYaqBhU8_DElYkX7l4wRkHqqCUFNJY4AfY3kHU/edit?usp=sharing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79" s="7" t="s">
        <v>10</v>
      </c>
      <c r="H779" s="7">
        <v>0</v>
      </c>
      <c r="I779" s="8" t="str">
        <f ca="1">IFERROR(__xludf.DUMMYFUNCTION("IF
(
G780=""фізична особа""
,
VLOOKUP(H780,IMPORTRANGE(""https://docs.google.com/spreadsheets/d/14Bd19lYaqBhU8_DElYkX7l4wRkHqqCUFNJY4AfY3kHU/edit?usp=sharing  #gid=0"",""фіз особи new!relations_name""),6,FALSE)
,
(IF
(
G780=""юридична особа""
,
VLOOKUP(H7"&amp;"80,IMPORTRANGE(""https://docs.google.com/spreadsheets/d/14Bd19lYaqBhU8_DElYkX7l4wRkHqqCUFNJY4AfY3kHU/edit?usp=sharing  #gid=0"",""фіз особи new!relations_name_uo""),7,FALSE)
,
)
))"),"#N/A")</f>
        <v>#N/A</v>
      </c>
      <c r="J779" s="7" t="s">
        <v>11</v>
      </c>
    </row>
    <row r="780" spans="1:10" ht="13.2">
      <c r="A780" s="7">
        <v>779</v>
      </c>
      <c r="B780" s="7">
        <v>1</v>
      </c>
      <c r="C780" s="7" t="s">
        <v>10</v>
      </c>
      <c r="D780" s="7">
        <v>295</v>
      </c>
      <c r="E780" s="7" t="s">
        <v>11</v>
      </c>
      <c r="F780" s="8" t="str">
        <f ca="1">IFERROR(__xludf.DUMMYFUNCTION("IF
(
C781=""фізична особа""
,
VLOOKUP(D781,IMPORTRANGE(""https://docs.google.com/spreadsheets/d/14Bd19lYaqBhU8_DElYkX7l4wRkHqqCUFNJY4AfY3kHU/edit?usp=sharing  #gid=0"",""фіз особи new!relations_name""),6,FALSE)
,
(IF
(
C781=""юридична особа""
,
VLOOKUP(D7"&amp;"81,IMPORTRANGE(""https://docs.google.com/spreadsheets/d/14Bd19lYaqBhU8_DElYkX7l4wRkHqqCUFNJY4AfY3kHU/edit?usp=sharing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80" s="7" t="s">
        <v>10</v>
      </c>
      <c r="H780" s="7">
        <v>0</v>
      </c>
      <c r="I780" s="8" t="str">
        <f ca="1">IFERROR(__xludf.DUMMYFUNCTION("IF
(
G781=""фізична особа""
,
VLOOKUP(H781,IMPORTRANGE(""https://docs.google.com/spreadsheets/d/14Bd19lYaqBhU8_DElYkX7l4wRkHqqCUFNJY4AfY3kHU/edit?usp=sharing  #gid=0"",""фіз особи new!relations_name""),6,FALSE)
,
(IF
(
G781=""юридична особа""
,
VLOOKUP(H7"&amp;"81,IMPORTRANGE(""https://docs.google.com/spreadsheets/d/14Bd19lYaqBhU8_DElYkX7l4wRkHqqCUFNJY4AfY3kHU/edit?usp=sharing  #gid=0"",""фіз особи new!relations_name_uo""),7,FALSE)
,
)
))"),"#N/A")</f>
        <v>#N/A</v>
      </c>
      <c r="J780" s="7" t="s">
        <v>11</v>
      </c>
    </row>
    <row r="781" spans="1:10" ht="13.2">
      <c r="A781" s="7">
        <v>780</v>
      </c>
      <c r="B781" s="7">
        <v>1</v>
      </c>
      <c r="C781" s="7" t="s">
        <v>10</v>
      </c>
      <c r="D781" s="7">
        <v>295</v>
      </c>
      <c r="E781" s="7" t="s">
        <v>11</v>
      </c>
      <c r="F781" s="8" t="str">
        <f ca="1">IFERROR(__xludf.DUMMYFUNCTION("IF
(
C782=""фізична особа""
,
VLOOKUP(D782,IMPORTRANGE(""https://docs.google.com/spreadsheets/d/14Bd19lYaqBhU8_DElYkX7l4wRkHqqCUFNJY4AfY3kHU/edit?usp=sharing  #gid=0"",""фіз особи new!relations_name""),6,FALSE)
,
(IF
(
C782=""юридична особа""
,
VLOOKUP(D7"&amp;"82,IMPORTRANGE(""https://docs.google.com/spreadsheets/d/14Bd19lYaqBhU8_DElYkX7l4wRkHqqCUFNJY4AfY3kHU/edit?usp=sharing  #gid=0"",""фіз особи new!relations_name_uo""),7,FALSE)
,
)
))"),"ЗУБАРЄВ Ігор Дмитрович")</f>
        <v>ЗУБАРЄВ Ігор Дмитрович</v>
      </c>
      <c r="G781" s="7" t="s">
        <v>10</v>
      </c>
      <c r="H781" s="7">
        <v>0</v>
      </c>
      <c r="I781" s="8" t="str">
        <f ca="1">IFERROR(__xludf.DUMMYFUNCTION("IF
(
G782=""фізична особа""
,
VLOOKUP(H782,IMPORTRANGE(""https://docs.google.com/spreadsheets/d/14Bd19lYaqBhU8_DElYkX7l4wRkHqqCUFNJY4AfY3kHU/edit?usp=sharing  #gid=0"",""фіз особи new!relations_name""),6,FALSE)
,
(IF
(
G782=""юридична особа""
,
VLOOKUP(H7"&amp;"82,IMPORTRANGE(""https://docs.google.com/spreadsheets/d/14Bd19lYaqBhU8_DElYkX7l4wRkHqqCUFNJY4AfY3kHU/edit?usp=sharing  #gid=0"",""фіз особи new!relations_name_uo""),7,FALSE)
,
)
))"),"#N/A")</f>
        <v>#N/A</v>
      </c>
      <c r="J781" s="7" t="s">
        <v>11</v>
      </c>
    </row>
    <row r="782" spans="1:10" ht="13.2">
      <c r="A782" s="7">
        <v>781</v>
      </c>
      <c r="B782" s="7">
        <v>1</v>
      </c>
      <c r="C782" s="7" t="s">
        <v>10</v>
      </c>
      <c r="D782" s="7">
        <v>296</v>
      </c>
      <c r="E782" s="7" t="s">
        <v>42</v>
      </c>
      <c r="F782" s="8" t="str">
        <f ca="1">IFERROR(__xludf.DUMMYFUNCTION("IF
(
C783=""фізична особа""
,
VLOOKUP(D783,IMPORTRANGE(""https://docs.google.com/spreadsheets/d/14Bd19lYaqBhU8_DElYkX7l4wRkHqqCUFNJY4AfY3kHU/edit?usp=sharing  #gid=0"",""фіз особи new!relations_name""),6,FALSE)
,
(IF
(
C783=""юридична особа""
,
VLOOKUP(D7"&amp;"83,IMPORTRANGE(""https://docs.google.com/spreadsheets/d/14Bd19lYaqBhU8_DElYkX7l4wRkHqqCUFNJY4AfY3kHU/edit?usp=sharing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2" s="7" t="s">
        <v>10</v>
      </c>
      <c r="H782" s="7">
        <v>429</v>
      </c>
      <c r="I782" s="8" t="str">
        <f ca="1">IFERROR(__xludf.DUMMYFUNCTION("IF
(
G783=""фізична особа""
,
VLOOKUP(H783,IMPORTRANGE(""https://docs.google.com/spreadsheets/d/14Bd19lYaqBhU8_DElYkX7l4wRkHqqCUFNJY4AfY3kHU/edit?usp=sharing  #gid=0"",""фіз особи new!relations_name""),6,FALSE)
,
(IF
(
G783=""юридична особа""
,
VLOOKUP(H7"&amp;"83,IMPORTRANGE(""https://docs.google.com/spreadsheets/d/14Bd19lYaqBhU8_DElYkX7l4wRkHqqCUFNJY4AfY3kHU/edit?usp=sharing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J782" s="7" t="s">
        <v>43</v>
      </c>
    </row>
    <row r="783" spans="1:10" ht="13.2">
      <c r="A783" s="7">
        <v>782</v>
      </c>
      <c r="B783" s="7">
        <v>1</v>
      </c>
      <c r="C783" s="7" t="s">
        <v>10</v>
      </c>
      <c r="D783" s="7">
        <v>296</v>
      </c>
      <c r="E783" s="7" t="s">
        <v>12</v>
      </c>
      <c r="F783" s="8" t="str">
        <f ca="1">IFERROR(__xludf.DUMMYFUNCTION("IF
(
C784=""фізична особа""
,
VLOOKUP(D784,IMPORTRANGE(""https://docs.google.com/spreadsheets/d/14Bd19lYaqBhU8_DElYkX7l4wRkHqqCUFNJY4AfY3kHU/edit?usp=sharing  #gid=0"",""фіз особи new!relations_name""),6,FALSE)
,
(IF
(
C784=""юридична особа""
,
VLOOKUP(D7"&amp;"84,IMPORTRANGE(""https://docs.google.com/spreadsheets/d/14Bd19lYaqBhU8_DElYkX7l4wRkHqqCUFNJY4AfY3kHU/edit?usp=sharing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3" s="7" t="s">
        <v>10</v>
      </c>
      <c r="H783" s="7">
        <v>340</v>
      </c>
      <c r="I783" s="8" t="str">
        <f ca="1">IFERROR(__xludf.DUMMYFUNCTION("IF
(
G784=""фізична особа""
,
VLOOKUP(H784,IMPORTRANGE(""https://docs.google.com/spreadsheets/d/14Bd19lYaqBhU8_DElYkX7l4wRkHqqCUFNJY4AfY3kHU/edit?usp=sharing  #gid=0"",""фіз особи new!relations_name""),6,FALSE)
,
(IF
(
G784=""юридична особа""
,
VLOOKUP(H7"&amp;"84,IMPORTRANGE(""https://docs.google.com/spreadsheets/d/14Bd19lYaqBhU8_DElYkX7l4wRkHqqCUFNJY4AfY3kHU/edit?usp=sharing  #gid=0"",""фіз особи new!relations_name_uo""),7,FALSE)
,
)
))"),"СЄЧИН Іван Ігорович")</f>
        <v>СЄЧИН Іван Ігорович</v>
      </c>
      <c r="J783" s="7" t="s">
        <v>17</v>
      </c>
    </row>
    <row r="784" spans="1:10" ht="13.2">
      <c r="A784" s="7">
        <v>783</v>
      </c>
      <c r="B784" s="7">
        <v>1</v>
      </c>
      <c r="C784" s="7" t="s">
        <v>10</v>
      </c>
      <c r="D784" s="7">
        <v>296</v>
      </c>
      <c r="E784" s="7" t="s">
        <v>12</v>
      </c>
      <c r="F784" s="8" t="str">
        <f ca="1">IFERROR(__xludf.DUMMYFUNCTION("IF
(
C785=""фізична особа""
,
VLOOKUP(D785,IMPORTRANGE(""https://docs.google.com/spreadsheets/d/14Bd19lYaqBhU8_DElYkX7l4wRkHqqCUFNJY4AfY3kHU/edit?usp=sharing  #gid=0"",""фіз особи new!relations_name""),6,FALSE)
,
(IF
(
C785=""юридична особа""
,
VLOOKUP(D7"&amp;"85,IMPORTRANGE(""https://docs.google.com/spreadsheets/d/14Bd19lYaqBhU8_DElYkX7l4wRkHqqCUFNJY4AfY3kHU/edit?usp=sharing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4" s="7" t="s">
        <v>10</v>
      </c>
      <c r="H784" s="7">
        <v>23384</v>
      </c>
      <c r="I784" s="8" t="str">
        <f ca="1">IFERROR(__xludf.DUMMYFUNCTION("IF
(
G785=""фізична особа""
,
VLOOKUP(H785,IMPORTRANGE(""https://docs.google.com/spreadsheets/d/14Bd19lYaqBhU8_DElYkX7l4wRkHqqCUFNJY4AfY3kHU/edit?usp=sharing  #gid=0"",""фіз особи new!relations_name""),6,FALSE)
,
(IF
(
G785=""юридична особа""
,
VLOOKUP(H7"&amp;"85,IMPORTRANGE(""https://docs.google.com/spreadsheets/d/14Bd19lYaqBhU8_DElYkX7l4wRkHqqCUFNJY4AfY3kHU/edit?usp=sharing  #gid=0"",""фіз особи new!relations_name_uo""),7,FALSE)
,
)
))"),"КАРІМОВА Інга Ігорівна")</f>
        <v>КАРІМОВА Інга Ігорівна</v>
      </c>
      <c r="J784" s="7" t="s">
        <v>13</v>
      </c>
    </row>
    <row r="785" spans="1:10" ht="13.2">
      <c r="A785" s="7">
        <v>784</v>
      </c>
      <c r="B785" s="7">
        <v>1</v>
      </c>
      <c r="C785" s="7" t="s">
        <v>10</v>
      </c>
      <c r="D785" s="7">
        <v>296</v>
      </c>
      <c r="E785" s="7" t="s">
        <v>19</v>
      </c>
      <c r="F785" s="8" t="str">
        <f ca="1">IFERROR(__xludf.DUMMYFUNCTION("IF
(
C786=""фізична особа""
,
VLOOKUP(D786,IMPORTRANGE(""https://docs.google.com/spreadsheets/d/14Bd19lYaqBhU8_DElYkX7l4wRkHqqCUFNJY4AfY3kHU/edit?usp=sharing  #gid=0"",""фіз особи new!relations_name""),6,FALSE)
,
(IF
(
C786=""юридична особа""
,
VLOOKUP(D7"&amp;"86,IMPORTRANGE(""https://docs.google.com/spreadsheets/d/14Bd19lYaqBhU8_DElYkX7l4wRkHqqCUFNJY4AfY3kHU/edit?usp=sharing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5" s="7" t="s">
        <v>10</v>
      </c>
      <c r="H785" s="7">
        <v>0</v>
      </c>
      <c r="I785" s="8" t="str">
        <f ca="1">IFERROR(__xludf.DUMMYFUNCTION("IF
(
G786=""фізична особа""
,
VLOOKUP(H786,IMPORTRANGE(""https://docs.google.com/spreadsheets/d/14Bd19lYaqBhU8_DElYkX7l4wRkHqqCUFNJY4AfY3kHU/edit?usp=sharing  #gid=0"",""фіз особи new!relations_name""),6,FALSE)
,
(IF
(
G786=""юридична особа""
,
VLOOKUP(H7"&amp;"86,IMPORTRANGE(""https://docs.google.com/spreadsheets/d/14Bd19lYaqBhU8_DElYkX7l4wRkHqqCUFNJY4AfY3kHU/edit?usp=sharing  #gid=0"",""фіз особи new!relations_name_uo""),7,FALSE)
,
)
))"),"#N/A")</f>
        <v>#N/A</v>
      </c>
      <c r="J785" s="7" t="s">
        <v>22</v>
      </c>
    </row>
    <row r="786" spans="1:10" ht="13.2">
      <c r="A786" s="7">
        <v>785</v>
      </c>
      <c r="B786" s="7">
        <v>1</v>
      </c>
      <c r="C786" s="7" t="s">
        <v>10</v>
      </c>
      <c r="D786" s="7">
        <v>296</v>
      </c>
      <c r="E786" s="7" t="s">
        <v>18</v>
      </c>
      <c r="F786" s="8" t="str">
        <f ca="1">IFERROR(__xludf.DUMMYFUNCTION("IF
(
C787=""фізична особа""
,
VLOOKUP(D787,IMPORTRANGE(""https://docs.google.com/spreadsheets/d/14Bd19lYaqBhU8_DElYkX7l4wRkHqqCUFNJY4AfY3kHU/edit?usp=sharing  #gid=0"",""фіз особи new!relations_name""),6,FALSE)
,
(IF
(
C787=""юридична особа""
,
VLOOKUP(D7"&amp;"87,IMPORTRANGE(""https://docs.google.com/spreadsheets/d/14Bd19lYaqBhU8_DElYkX7l4wRkHqqCUFNJY4AfY3kHU/edit?usp=sharing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6" s="7" t="s">
        <v>10</v>
      </c>
      <c r="H786" s="7">
        <v>0</v>
      </c>
      <c r="I786" s="8" t="str">
        <f ca="1">IFERROR(__xludf.DUMMYFUNCTION("IF
(
G787=""фізична особа""
,
VLOOKUP(H787,IMPORTRANGE(""https://docs.google.com/spreadsheets/d/14Bd19lYaqBhU8_DElYkX7l4wRkHqqCUFNJY4AfY3kHU/edit?usp=sharing  #gid=0"",""фіз особи new!relations_name""),6,FALSE)
,
(IF
(
G787=""юридична особа""
,
VLOOKUP(H7"&amp;"87,IMPORTRANGE(""https://docs.google.com/spreadsheets/d/14Bd19lYaqBhU8_DElYkX7l4wRkHqqCUFNJY4AfY3kHU/edit?usp=sharing  #gid=0"",""фіз особи new!relations_name_uo""),7,FALSE)
,
)
))"),"#N/A")</f>
        <v>#N/A</v>
      </c>
      <c r="J786" s="7" t="s">
        <v>31</v>
      </c>
    </row>
    <row r="787" spans="1:10" ht="13.2">
      <c r="A787" s="7">
        <v>786</v>
      </c>
      <c r="B787" s="7">
        <v>1</v>
      </c>
      <c r="C787" s="7" t="s">
        <v>10</v>
      </c>
      <c r="D787" s="7">
        <v>296</v>
      </c>
      <c r="E787" s="7" t="s">
        <v>62</v>
      </c>
      <c r="F787" s="8" t="str">
        <f ca="1">IFERROR(__xludf.DUMMYFUNCTION("IF
(
C788=""фізична особа""
,
VLOOKUP(D788,IMPORTRANGE(""https://docs.google.com/spreadsheets/d/14Bd19lYaqBhU8_DElYkX7l4wRkHqqCUFNJY4AfY3kHU/edit?usp=sharing  #gid=0"",""фіз особи new!relations_name""),6,FALSE)
,
(IF
(
C788=""юридична особа""
,
VLOOKUP(D7"&amp;"88,IMPORTRANGE(""https://docs.google.com/spreadsheets/d/14Bd19lYaqBhU8_DElYkX7l4wRkHqqCUFNJY4AfY3kHU/edit?usp=sharing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7" s="7" t="s">
        <v>10</v>
      </c>
      <c r="H787" s="7">
        <v>775</v>
      </c>
      <c r="I787" s="8" t="str">
        <f ca="1">IFERROR(__xludf.DUMMYFUNCTION("IF
(
G788=""фізична особа""
,
VLOOKUP(H788,IMPORTRANGE(""https://docs.google.com/spreadsheets/d/14Bd19lYaqBhU8_DElYkX7l4wRkHqqCUFNJY4AfY3kHU/edit?usp=sharing  #gid=0"",""фіз особи new!relations_name""),6,FALSE)
,
(IF
(
G788=""юридична особа""
,
VLOOKUP(H7"&amp;"88,IMPORTRANGE(""https://docs.google.com/spreadsheets/d/14Bd19lYaqBhU8_DElYkX7l4wRkHqqCUFNJY4AfY3kHU/edit?usp=sharing  #gid=0"",""фіз особи new!relations_name_uo""),7,FALSE)
,
)
))"),"УСТИНОВ Володимир Васильович")</f>
        <v>УСТИНОВ Володимир Васильович</v>
      </c>
      <c r="J787" s="7" t="s">
        <v>62</v>
      </c>
    </row>
    <row r="788" spans="1:10" ht="13.2">
      <c r="A788" s="7">
        <v>787</v>
      </c>
      <c r="B788" s="7">
        <v>1</v>
      </c>
      <c r="C788" s="7" t="s">
        <v>10</v>
      </c>
      <c r="D788" s="7">
        <v>296</v>
      </c>
      <c r="E788" s="7" t="s">
        <v>24</v>
      </c>
      <c r="F788" s="8" t="str">
        <f ca="1">IFERROR(__xludf.DUMMYFUNCTION("IF
(
C789=""фізична особа""
,
VLOOKUP(D789,IMPORTRANGE(""https://docs.google.com/spreadsheets/d/14Bd19lYaqBhU8_DElYkX7l4wRkHqqCUFNJY4AfY3kHU/edit?usp=sharing  #gid=0"",""фіз особи new!relations_name""),6,FALSE)
,
(IF
(
C789=""юридична особа""
,
VLOOKUP(D7"&amp;"89,IMPORTRANGE(""https://docs.google.com/spreadsheets/d/14Bd19lYaqBhU8_DElYkX7l4wRkHqqCUFNJY4AfY3kHU/edit?usp=sharing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8" s="7" t="s">
        <v>10</v>
      </c>
      <c r="H788" s="7">
        <v>0</v>
      </c>
      <c r="I788" s="8" t="str">
        <f ca="1">IFERROR(__xludf.DUMMYFUNCTION("IF
(
G789=""фізична особа""
,
VLOOKUP(H789,IMPORTRANGE(""https://docs.google.com/spreadsheets/d/14Bd19lYaqBhU8_DElYkX7l4wRkHqqCUFNJY4AfY3kHU/edit?usp=sharing  #gid=0"",""фіз особи new!relations_name""),6,FALSE)
,
(IF
(
G789=""юридична особа""
,
VLOOKUP(H7"&amp;"89,IMPORTRANGE(""https://docs.google.com/spreadsheets/d/14Bd19lYaqBhU8_DElYkX7l4wRkHqqCUFNJY4AfY3kHU/edit?usp=sharing  #gid=0"",""фіз особи new!relations_name_uo""),7,FALSE)
,
)
))"),"#N/A")</f>
        <v>#N/A</v>
      </c>
      <c r="J788" s="7" t="s">
        <v>26</v>
      </c>
    </row>
    <row r="789" spans="1:10" ht="13.2">
      <c r="A789" s="7">
        <v>788</v>
      </c>
      <c r="B789" s="7">
        <v>1</v>
      </c>
      <c r="C789" s="7" t="s">
        <v>10</v>
      </c>
      <c r="D789" s="7">
        <v>296</v>
      </c>
      <c r="E789" s="7" t="s">
        <v>11</v>
      </c>
      <c r="F789" s="8" t="str">
        <f ca="1">IFERROR(__xludf.DUMMYFUNCTION("IF
(
C790=""фізична особа""
,
VLOOKUP(D790,IMPORTRANGE(""https://docs.google.com/spreadsheets/d/14Bd19lYaqBhU8_DElYkX7l4wRkHqqCUFNJY4AfY3kHU/edit?usp=sharing  #gid=0"",""фіз особи new!relations_name""),6,FALSE)
,
(IF
(
C790=""юридична особа""
,
VLOOKUP(D7"&amp;"90,IMPORTRANGE(""https://docs.google.com/spreadsheets/d/14Bd19lYaqBhU8_DElYkX7l4wRkHqqCUFNJY4AfY3kHU/edit?usp=sharing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89" s="7" t="s">
        <v>10</v>
      </c>
      <c r="H789" s="7">
        <v>0</v>
      </c>
      <c r="I789" s="8" t="str">
        <f ca="1">IFERROR(__xludf.DUMMYFUNCTION("IF
(
G790=""фізична особа""
,
VLOOKUP(H790,IMPORTRANGE(""https://docs.google.com/spreadsheets/d/14Bd19lYaqBhU8_DElYkX7l4wRkHqqCUFNJY4AfY3kHU/edit?usp=sharing  #gid=0"",""фіз особи new!relations_name""),6,FALSE)
,
(IF
(
G790=""юридична особа""
,
VLOOKUP(H7"&amp;"90,IMPORTRANGE(""https://docs.google.com/spreadsheets/d/14Bd19lYaqBhU8_DElYkX7l4wRkHqqCUFNJY4AfY3kHU/edit?usp=sharing  #gid=0"",""фіз особи new!relations_name_uo""),7,FALSE)
,
)
))"),"#N/A")</f>
        <v>#N/A</v>
      </c>
      <c r="J789" s="7" t="s">
        <v>11</v>
      </c>
    </row>
    <row r="790" spans="1:10" ht="13.2">
      <c r="A790" s="7">
        <v>789</v>
      </c>
      <c r="B790" s="7">
        <v>1</v>
      </c>
      <c r="C790" s="7" t="s">
        <v>10</v>
      </c>
      <c r="D790" s="7">
        <v>296</v>
      </c>
      <c r="E790" s="7" t="s">
        <v>50</v>
      </c>
      <c r="F790" s="8" t="str">
        <f ca="1">IFERROR(__xludf.DUMMYFUNCTION("IF
(
C791=""фізична особа""
,
VLOOKUP(D791,IMPORTRANGE(""https://docs.google.com/spreadsheets/d/14Bd19lYaqBhU8_DElYkX7l4wRkHqqCUFNJY4AfY3kHU/edit?usp=sharing  #gid=0"",""фіз особи new!relations_name""),6,FALSE)
,
(IF
(
C791=""юридична особа""
,
VLOOKUP(D7"&amp;"91,IMPORTRANGE(""https://docs.google.com/spreadsheets/d/14Bd19lYaqBhU8_DElYkX7l4wRkHqqCUFNJY4AfY3kHU/edit?usp=sharing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0" s="7" t="s">
        <v>10</v>
      </c>
      <c r="H790" s="7">
        <v>0</v>
      </c>
      <c r="I790" s="8" t="str">
        <f ca="1">IFERROR(__xludf.DUMMYFUNCTION("IF
(
G791=""фізична особа""
,
VLOOKUP(H791,IMPORTRANGE(""https://docs.google.com/spreadsheets/d/14Bd19lYaqBhU8_DElYkX7l4wRkHqqCUFNJY4AfY3kHU/edit?usp=sharing  #gid=0"",""фіз особи new!relations_name""),6,FALSE)
,
(IF
(
G791=""юридична особа""
,
VLOOKUP(H7"&amp;"91,IMPORTRANGE(""https://docs.google.com/spreadsheets/d/14Bd19lYaqBhU8_DElYkX7l4wRkHqqCUFNJY4AfY3kHU/edit?usp=sharing  #gid=0"",""фіз особи new!relations_name_uo""),7,FALSE)
,
)
))"),"#N/A")</f>
        <v>#N/A</v>
      </c>
      <c r="J790" s="7" t="s">
        <v>26</v>
      </c>
    </row>
    <row r="791" spans="1:10" ht="13.2">
      <c r="A791" s="7">
        <v>790</v>
      </c>
      <c r="B791" s="7">
        <v>1</v>
      </c>
      <c r="C791" s="7" t="s">
        <v>10</v>
      </c>
      <c r="D791" s="7">
        <v>296</v>
      </c>
      <c r="E791" s="7" t="s">
        <v>16</v>
      </c>
      <c r="F791" s="8" t="str">
        <f ca="1">IFERROR(__xludf.DUMMYFUNCTION("IF
(
C792=""фізична особа""
,
VLOOKUP(D792,IMPORTRANGE(""https://docs.google.com/spreadsheets/d/14Bd19lYaqBhU8_DElYkX7l4wRkHqqCUFNJY4AfY3kHU/edit?usp=sharing  #gid=0"",""фіз особи new!relations_name""),6,FALSE)
,
(IF
(
C792=""юридична особа""
,
VLOOKUP(D7"&amp;"92,IMPORTRANGE(""https://docs.google.com/spreadsheets/d/14Bd19lYaqBhU8_DElYkX7l4wRkHqqCUFNJY4AfY3kHU/edit?usp=sharing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1" s="7" t="s">
        <v>10</v>
      </c>
      <c r="H791" s="7">
        <v>880</v>
      </c>
      <c r="I791" s="8" t="str">
        <f ca="1">IFERROR(__xludf.DUMMYFUNCTION("IF
(
G792=""фізична особа""
,
VLOOKUP(H792,IMPORTRANGE(""https://docs.google.com/spreadsheets/d/14Bd19lYaqBhU8_DElYkX7l4wRkHqqCUFNJY4AfY3kHU/edit?usp=sharing  #gid=0"",""фіз особи new!relations_name""),6,FALSE)
,
(IF
(
G792=""юридична особа""
,
VLOOKUP(H7"&amp;"92,IMPORTRANGE(""https://docs.google.com/spreadsheets/d/14Bd19lYaqBhU8_DElYkX7l4wRkHqqCUFNJY4AfY3kHU/edit?usp=sharing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91" s="7" t="s">
        <v>16</v>
      </c>
    </row>
    <row r="792" spans="1:10" ht="13.2">
      <c r="A792" s="7">
        <v>791</v>
      </c>
      <c r="B792" s="7">
        <v>1</v>
      </c>
      <c r="C792" s="7" t="s">
        <v>10</v>
      </c>
      <c r="D792" s="7">
        <v>296</v>
      </c>
      <c r="E792" s="7" t="s">
        <v>11</v>
      </c>
      <c r="F792" s="8" t="str">
        <f ca="1">IFERROR(__xludf.DUMMYFUNCTION("IF
(
C793=""фізична особа""
,
VLOOKUP(D793,IMPORTRANGE(""https://docs.google.com/spreadsheets/d/14Bd19lYaqBhU8_DElYkX7l4wRkHqqCUFNJY4AfY3kHU/edit?usp=sharing  #gid=0"",""фіз особи new!relations_name""),6,FALSE)
,
(IF
(
C793=""юридична особа""
,
VLOOKUP(D7"&amp;"93,IMPORTRANGE(""https://docs.google.com/spreadsheets/d/14Bd19lYaqBhU8_DElYkX7l4wRkHqqCUFNJY4AfY3kHU/edit?usp=sharing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2" s="7" t="s">
        <v>10</v>
      </c>
      <c r="H792" s="7">
        <v>771</v>
      </c>
      <c r="I792" s="8" t="str">
        <f ca="1">IFERROR(__xludf.DUMMYFUNCTION("IF
(
G793=""фізична особа""
,
VLOOKUP(H793,IMPORTRANGE(""https://docs.google.com/spreadsheets/d/14Bd19lYaqBhU8_DElYkX7l4wRkHqqCUFNJY4AfY3kHU/edit?usp=sharing  #gid=0"",""фіз особи new!relations_name""),6,FALSE)
,
(IF
(
G793=""юридична особа""
,
VLOOKUP(H7"&amp;"93,IMPORTRANGE(""https://docs.google.com/spreadsheets/d/14Bd19lYaqBhU8_DElYkX7l4wRkHqqCUFNJY4AfY3kHU/edit?usp=sharing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J792" s="7" t="s">
        <v>11</v>
      </c>
    </row>
    <row r="793" spans="1:10" ht="13.2">
      <c r="A793" s="7">
        <v>792</v>
      </c>
      <c r="B793" s="7">
        <v>1</v>
      </c>
      <c r="C793" s="7" t="s">
        <v>10</v>
      </c>
      <c r="D793" s="7">
        <v>296</v>
      </c>
      <c r="E793" s="7" t="s">
        <v>29</v>
      </c>
      <c r="F793" s="8" t="str">
        <f ca="1">IFERROR(__xludf.DUMMYFUNCTION("IF
(
C794=""фізична особа""
,
VLOOKUP(D794,IMPORTRANGE(""https://docs.google.com/spreadsheets/d/14Bd19lYaqBhU8_DElYkX7l4wRkHqqCUFNJY4AfY3kHU/edit?usp=sharing  #gid=0"",""фіз особи new!relations_name""),6,FALSE)
,
(IF
(
C794=""юридична особа""
,
VLOOKUP(D7"&amp;"94,IMPORTRANGE(""https://docs.google.com/spreadsheets/d/14Bd19lYaqBhU8_DElYkX7l4wRkHqqCUFNJY4AfY3kHU/edit?usp=sharing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3" s="7" t="s">
        <v>10</v>
      </c>
      <c r="H793" s="7">
        <v>2226</v>
      </c>
      <c r="I793" s="8" t="str">
        <f ca="1">IFERROR(__xludf.DUMMYFUNCTION("IF
(
G794=""фізична особа""
,
VLOOKUP(H794,IMPORTRANGE(""https://docs.google.com/spreadsheets/d/14Bd19lYaqBhU8_DElYkX7l4wRkHqqCUFNJY4AfY3kHU/edit?usp=sharing  #gid=0"",""фіз особи new!relations_name""),6,FALSE)
,
(IF
(
G794=""юридична особа""
,
VLOOKUP(H7"&amp;"94,IMPORTRANGE(""https://docs.google.com/spreadsheets/d/14Bd19lYaqBhU8_DElYkX7l4wRkHqqCUFNJY4AfY3kHU/edit?usp=sharing  #gid=0"",""фіз особи new!relations_name_uo""),7,FALSE)
,
)
))"),"ЛЕОНТЬЄВ Михайло Володимирович")</f>
        <v>ЛЕОНТЬЄВ Михайло Володимирович</v>
      </c>
      <c r="J793" s="7" t="s">
        <v>28</v>
      </c>
    </row>
    <row r="794" spans="1:10" ht="13.2">
      <c r="A794" s="7">
        <v>793</v>
      </c>
      <c r="B794" s="7">
        <v>1</v>
      </c>
      <c r="C794" s="7" t="s">
        <v>10</v>
      </c>
      <c r="D794" s="7">
        <v>296</v>
      </c>
      <c r="E794" s="7" t="s">
        <v>11</v>
      </c>
      <c r="F794" s="8" t="str">
        <f ca="1">IFERROR(__xludf.DUMMYFUNCTION("IF
(
C795=""фізична особа""
,
VLOOKUP(D795,IMPORTRANGE(""https://docs.google.com/spreadsheets/d/14Bd19lYaqBhU8_DElYkX7l4wRkHqqCUFNJY4AfY3kHU/edit?usp=sharing  #gid=0"",""фіз особи new!relations_name""),6,FALSE)
,
(IF
(
C795=""юридична особа""
,
VLOOKUP(D7"&amp;"95,IMPORTRANGE(""https://docs.google.com/spreadsheets/d/14Bd19lYaqBhU8_DElYkX7l4wRkHqqCUFNJY4AfY3kHU/edit?usp=sharing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4" s="7" t="s">
        <v>10</v>
      </c>
      <c r="H794" s="7">
        <v>2079</v>
      </c>
      <c r="I794" s="8" t="str">
        <f ca="1">IFERROR(__xludf.DUMMYFUNCTION("IF
(
G795=""фізична особа""
,
VLOOKUP(H795,IMPORTRANGE(""https://docs.google.com/spreadsheets/d/14Bd19lYaqBhU8_DElYkX7l4wRkHqqCUFNJY4AfY3kHU/edit?usp=sharing  #gid=0"",""фіз особи new!relations_name""),6,FALSE)
,
(IF
(
G795=""юридична особа""
,
VLOOKUP(H7"&amp;"95,IMPORTRANGE(""https://docs.google.com/spreadsheets/d/14Bd19lYaqBhU8_DElYkX7l4wRkHqqCUFNJY4AfY3kHU/edit?usp=sharing  #gid=0"",""фіз особи new!relations_name_uo""),7,FALSE)
,
)
))"),"ТРОЦЕНКО Роман Вікторович")</f>
        <v>ТРОЦЕНКО Роман Вікторович</v>
      </c>
      <c r="J794" s="7" t="s">
        <v>11</v>
      </c>
    </row>
    <row r="795" spans="1:10" ht="13.2">
      <c r="A795" s="7">
        <v>794</v>
      </c>
      <c r="B795" s="7">
        <v>1</v>
      </c>
      <c r="C795" s="7" t="s">
        <v>10</v>
      </c>
      <c r="D795" s="7">
        <v>296</v>
      </c>
      <c r="E795" s="7" t="s">
        <v>48</v>
      </c>
      <c r="F795" s="8" t="str">
        <f ca="1">IFERROR(__xludf.DUMMYFUNCTION("IF
(
C796=""фізична особа""
,
VLOOKUP(D796,IMPORTRANGE(""https://docs.google.com/spreadsheets/d/14Bd19lYaqBhU8_DElYkX7l4wRkHqqCUFNJY4AfY3kHU/edit?usp=sharing  #gid=0"",""фіз особи new!relations_name""),6,FALSE)
,
(IF
(
C796=""юридична особа""
,
VLOOKUP(D7"&amp;"96,IMPORTRANGE(""https://docs.google.com/spreadsheets/d/14Bd19lYaqBhU8_DElYkX7l4wRkHqqCUFNJY4AfY3kHU/edit?usp=sharing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5" s="7" t="s">
        <v>10</v>
      </c>
      <c r="H795" s="7">
        <v>10358</v>
      </c>
      <c r="I795" s="8" t="str">
        <f ca="1">IFERROR(__xludf.DUMMYFUNCTION("IF
(
G796=""фізична особа""
,
VLOOKUP(H796,IMPORTRANGE(""https://docs.google.com/spreadsheets/d/14Bd19lYaqBhU8_DElYkX7l4wRkHqqCUFNJY4AfY3kHU/edit?usp=sharing  #gid=0"",""фіз особи new!relations_name""),6,FALSE)
,
(IF
(
G796=""юридична особа""
,
VLOOKUP(H7"&amp;"96,IMPORTRANGE(""https://docs.google.com/spreadsheets/d/14Bd19lYaqBhU8_DElYkX7l4wRkHqqCUFNJY4AfY3kHU/edit?usp=sharing  #gid=0"",""фіз особи new!relations_name_uo""),7,FALSE)
,
)
))"),"РУБЄЖНОЙ Олексій Олександрович")</f>
        <v>РУБЄЖНОЙ Олексій Олександрович</v>
      </c>
      <c r="J795" s="7" t="s">
        <v>48</v>
      </c>
    </row>
    <row r="796" spans="1:10" ht="13.2">
      <c r="A796" s="7">
        <v>795</v>
      </c>
      <c r="B796" s="7">
        <v>1</v>
      </c>
      <c r="C796" s="7" t="s">
        <v>10</v>
      </c>
      <c r="D796" s="7">
        <v>296</v>
      </c>
      <c r="E796" s="7" t="s">
        <v>11</v>
      </c>
      <c r="F796" s="8" t="str">
        <f ca="1">IFERROR(__xludf.DUMMYFUNCTION("IF
(
C797=""фізична особа""
,
VLOOKUP(D797,IMPORTRANGE(""https://docs.google.com/spreadsheets/d/14Bd19lYaqBhU8_DElYkX7l4wRkHqqCUFNJY4AfY3kHU/edit?usp=sharing  #gid=0"",""фіз особи new!relations_name""),6,FALSE)
,
(IF
(
C797=""юридична особа""
,
VLOOKUP(D7"&amp;"97,IMPORTRANGE(""https://docs.google.com/spreadsheets/d/14Bd19lYaqBhU8_DElYkX7l4wRkHqqCUFNJY4AfY3kHU/edit?usp=sharing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6" s="7" t="s">
        <v>10</v>
      </c>
      <c r="H796" s="7">
        <v>0</v>
      </c>
      <c r="I796" s="8" t="str">
        <f ca="1">IFERROR(__xludf.DUMMYFUNCTION("IF
(
G797=""фізична особа""
,
VLOOKUP(H797,IMPORTRANGE(""https://docs.google.com/spreadsheets/d/14Bd19lYaqBhU8_DElYkX7l4wRkHqqCUFNJY4AfY3kHU/edit?usp=sharing  #gid=0"",""фіз особи new!relations_name""),6,FALSE)
,
(IF
(
G797=""юридична особа""
,
VLOOKUP(H7"&amp;"97,IMPORTRANGE(""https://docs.google.com/spreadsheets/d/14Bd19lYaqBhU8_DElYkX7l4wRkHqqCUFNJY4AfY3kHU/edit?usp=sharing  #gid=0"",""фіз особи new!relations_name_uo""),7,FALSE)
,
)
))"),"#N/A")</f>
        <v>#N/A</v>
      </c>
      <c r="J796" s="7" t="s">
        <v>11</v>
      </c>
    </row>
    <row r="797" spans="1:10" ht="13.2">
      <c r="A797" s="7">
        <v>796</v>
      </c>
      <c r="B797" s="7">
        <v>1</v>
      </c>
      <c r="C797" s="7" t="s">
        <v>10</v>
      </c>
      <c r="D797" s="7">
        <v>296</v>
      </c>
      <c r="E797" s="7" t="s">
        <v>11</v>
      </c>
      <c r="F797" s="8" t="str">
        <f ca="1">IFERROR(__xludf.DUMMYFUNCTION("IF
(
C798=""фізична особа""
,
VLOOKUP(D798,IMPORTRANGE(""https://docs.google.com/spreadsheets/d/14Bd19lYaqBhU8_DElYkX7l4wRkHqqCUFNJY4AfY3kHU/edit?usp=sharing  #gid=0"",""фіз особи new!relations_name""),6,FALSE)
,
(IF
(
C798=""юридична особа""
,
VLOOKUP(D7"&amp;"98,IMPORTRANGE(""https://docs.google.com/spreadsheets/d/14Bd19lYaqBhU8_DElYkX7l4wRkHqqCUFNJY4AfY3kHU/edit?usp=sharing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G797" s="7" t="s">
        <v>10</v>
      </c>
      <c r="H797" s="7">
        <v>6465</v>
      </c>
      <c r="I797" s="8" t="str">
        <f ca="1">IFERROR(__xludf.DUMMYFUNCTION("IF
(
G798=""фізична особа""
,
VLOOKUP(H798,IMPORTRANGE(""https://docs.google.com/spreadsheets/d/14Bd19lYaqBhU8_DElYkX7l4wRkHqqCUFNJY4AfY3kHU/edit?usp=sharing  #gid=0"",""фіз особи new!relations_name""),6,FALSE)
,
(IF
(
G798=""юридична особа""
,
VLOOKUP(H7"&amp;"98,IMPORTRANGE(""https://docs.google.com/spreadsheets/d/14Bd19lYaqBhU8_DElYkX7l4wRkHqqCUFNJY4AfY3kHU/edit?usp=sharing  #gid=0"",""фіз особи new!relations_name_uo""),7,FALSE)
,
)
))"),"УСТИНОВ Антон Олексійович")</f>
        <v>УСТИНОВ Антон Олексійович</v>
      </c>
      <c r="J797" s="7" t="s">
        <v>11</v>
      </c>
    </row>
    <row r="798" spans="1:10" ht="13.2">
      <c r="A798" s="7">
        <v>797</v>
      </c>
      <c r="B798" s="7">
        <v>1</v>
      </c>
      <c r="C798" s="7" t="s">
        <v>10</v>
      </c>
      <c r="D798" s="7">
        <v>297</v>
      </c>
      <c r="E798" s="7" t="s">
        <v>14</v>
      </c>
      <c r="F798" s="8" t="str">
        <f ca="1">IFERROR(__xludf.DUMMYFUNCTION("IF
(
C799=""фізична особа""
,
VLOOKUP(D799,IMPORTRANGE(""https://docs.google.com/spreadsheets/d/14Bd19lYaqBhU8_DElYkX7l4wRkHqqCUFNJY4AfY3kHU/edit?usp=sharing  #gid=0"",""фіз особи new!relations_name""),6,FALSE)
,
(IF
(
C799=""юридична особа""
,
VLOOKUP(D7"&amp;"99,IMPORTRANGE(""https://docs.google.com/spreadsheets/d/14Bd19lYaqBhU8_DElYkX7l4wRkHqqCUFNJY4AfY3kHU/edit?usp=sharing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G798" s="7" t="s">
        <v>10</v>
      </c>
      <c r="H798" s="7">
        <v>733</v>
      </c>
      <c r="I798" s="8" t="str">
        <f ca="1">IFERROR(__xludf.DUMMYFUNCTION("IF
(
G799=""фізична особа""
,
VLOOKUP(H799,IMPORTRANGE(""https://docs.google.com/spreadsheets/d/14Bd19lYaqBhU8_DElYkX7l4wRkHqqCUFNJY4AfY3kHU/edit?usp=sharing  #gid=0"",""фіз особи new!relations_name""),6,FALSE)
,
(IF
(
G799=""юридична особа""
,
VLOOKUP(H7"&amp;"99,IMPORTRANGE(""https://docs.google.com/spreadsheets/d/14Bd19lYaqBhU8_DElYkX7l4wRkHqqCUFNJY4AfY3kHU/edit?usp=sharing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J798" s="7" t="s">
        <v>15</v>
      </c>
    </row>
    <row r="799" spans="1:10" ht="13.2">
      <c r="A799" s="7">
        <v>798</v>
      </c>
      <c r="B799" s="7">
        <v>1</v>
      </c>
      <c r="C799" s="7" t="s">
        <v>10</v>
      </c>
      <c r="D799" s="7">
        <v>297</v>
      </c>
      <c r="E799" s="7" t="s">
        <v>12</v>
      </c>
      <c r="F799" s="8" t="str">
        <f ca="1">IFERROR(__xludf.DUMMYFUNCTION("IF
(
C800=""фізична особа""
,
VLOOKUP(D800,IMPORTRANGE(""https://docs.google.com/spreadsheets/d/14Bd19lYaqBhU8_DElYkX7l4wRkHqqCUFNJY4AfY3kHU/edit?usp=sharing  #gid=0"",""фіз особи new!relations_name""),6,FALSE)
,
(IF
(
C800=""юридична особа""
,
VLOOKUP(D8"&amp;"00,IMPORTRANGE(""https://docs.google.com/spreadsheets/d/14Bd19lYaqBhU8_DElYkX7l4wRkHqqCUFNJY4AfY3kHU/edit?usp=sharing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G799" s="7" t="s">
        <v>10</v>
      </c>
      <c r="H799" s="7">
        <v>732</v>
      </c>
      <c r="I799" s="8" t="str">
        <f ca="1">IFERROR(__xludf.DUMMYFUNCTION("IF
(
G800=""фізична особа""
,
VLOOKUP(H800,IMPORTRANGE(""https://docs.google.com/spreadsheets/d/14Bd19lYaqBhU8_DElYkX7l4wRkHqqCUFNJY4AfY3kHU/edit?usp=sharing  #gid=0"",""фіз особи new!relations_name""),6,FALSE)
,
(IF
(
G800=""юридична особа""
,
VLOOKUP(H8"&amp;"00,IMPORTRANGE(""https://docs.google.com/spreadsheets/d/14Bd19lYaqBhU8_DElYkX7l4wRkHqqCUFNJY4AfY3kHU/edit?usp=sharing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J799" s="7" t="s">
        <v>13</v>
      </c>
    </row>
    <row r="800" spans="1:10" ht="13.2">
      <c r="A800" s="7">
        <v>799</v>
      </c>
      <c r="B800" s="7">
        <v>1</v>
      </c>
      <c r="C800" s="7" t="s">
        <v>10</v>
      </c>
      <c r="D800" s="7">
        <v>297</v>
      </c>
      <c r="E800" s="7" t="s">
        <v>12</v>
      </c>
      <c r="F800" s="8" t="str">
        <f ca="1">IFERROR(__xludf.DUMMYFUNCTION("IF
(
C801=""фізична особа""
,
VLOOKUP(D801,IMPORTRANGE(""https://docs.google.com/spreadsheets/d/14Bd19lYaqBhU8_DElYkX7l4wRkHqqCUFNJY4AfY3kHU/edit?usp=sharing  #gid=0"",""фіз особи new!relations_name""),6,FALSE)
,
(IF
(
C801=""юридична особа""
,
VLOOKUP(D8"&amp;"01,IMPORTRANGE(""https://docs.google.com/spreadsheets/d/14Bd19lYaqBhU8_DElYkX7l4wRkHqqCUFNJY4AfY3kHU/edit?usp=sharing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G800" s="7" t="s">
        <v>10</v>
      </c>
      <c r="H800" s="7">
        <v>731</v>
      </c>
      <c r="I800" s="8" t="str">
        <f ca="1">IFERROR(__xludf.DUMMYFUNCTION("IF
(
G801=""фізична особа""
,
VLOOKUP(H801,IMPORTRANGE(""https://docs.google.com/spreadsheets/d/14Bd19lYaqBhU8_DElYkX7l4wRkHqqCUFNJY4AfY3kHU/edit?usp=sharing  #gid=0"",""фіз особи new!relations_name""),6,FALSE)
,
(IF
(
G801=""юридична особа""
,
VLOOKUP(H8"&amp;"01,IMPORTRANGE(""https://docs.google.com/spreadsheets/d/14Bd19lYaqBhU8_DElYkX7l4wRkHqqCUFNJY4AfY3kHU/edit?usp=sharing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J800" s="7" t="s">
        <v>17</v>
      </c>
    </row>
    <row r="801" spans="1:10" ht="13.2">
      <c r="A801" s="7">
        <v>800</v>
      </c>
      <c r="B801" s="7">
        <v>1</v>
      </c>
      <c r="C801" s="7" t="s">
        <v>10</v>
      </c>
      <c r="D801" s="7">
        <v>297</v>
      </c>
      <c r="E801" s="7" t="s">
        <v>12</v>
      </c>
      <c r="F801" s="8" t="str">
        <f ca="1">IFERROR(__xludf.DUMMYFUNCTION("IF
(
C802=""фізична особа""
,
VLOOKUP(D802,IMPORTRANGE(""https://docs.google.com/spreadsheets/d/14Bd19lYaqBhU8_DElYkX7l4wRkHqqCUFNJY4AfY3kHU/edit?usp=sharing  #gid=0"",""фіз особи new!relations_name""),6,FALSE)
,
(IF
(
C802=""юридична особа""
,
VLOOKUP(D8"&amp;"02,IMPORTRANGE(""https://docs.google.com/spreadsheets/d/14Bd19lYaqBhU8_DElYkX7l4wRkHqqCUFNJY4AfY3kHU/edit?usp=sharing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G801" s="7" t="s">
        <v>10</v>
      </c>
      <c r="H801" s="7">
        <v>2063</v>
      </c>
      <c r="I801" s="8" t="str">
        <f ca="1">IFERROR(__xludf.DUMMYFUNCTION("IF
(
G802=""фізична особа""
,
VLOOKUP(H802,IMPORTRANGE(""https://docs.google.com/spreadsheets/d/14Bd19lYaqBhU8_DElYkX7l4wRkHqqCUFNJY4AfY3kHU/edit?usp=sharing  #gid=0"",""фіз особи new!relations_name""),6,FALSE)
,
(IF
(
G802=""юридична особа""
,
VLOOKUP(H8"&amp;"02,IMPORTRANGE(""https://docs.google.com/spreadsheets/d/14Bd19lYaqBhU8_DElYkX7l4wRkHqqCUFNJY4AfY3kHU/edit?usp=sharing  #gid=0"",""фіз особи new!relations_name_uo""),7,FALSE)
,
)
))"),"ШУВАЛОВА Анастасія")</f>
        <v>ШУВАЛОВА Анастасія</v>
      </c>
      <c r="J801" s="7" t="s">
        <v>13</v>
      </c>
    </row>
    <row r="802" spans="1:10" ht="13.2">
      <c r="A802" s="7">
        <v>801</v>
      </c>
      <c r="B802" s="7">
        <v>1</v>
      </c>
      <c r="C802" s="7" t="s">
        <v>10</v>
      </c>
      <c r="D802" s="7">
        <v>297</v>
      </c>
      <c r="E802" s="7" t="s">
        <v>24</v>
      </c>
      <c r="F802" s="8" t="str">
        <f ca="1">IFERROR(__xludf.DUMMYFUNCTION("IF
(
C803=""фізична особа""
,
VLOOKUP(D803,IMPORTRANGE(""https://docs.google.com/spreadsheets/d/14Bd19lYaqBhU8_DElYkX7l4wRkHqqCUFNJY4AfY3kHU/edit?usp=sharing  #gid=0"",""фіз особи new!relations_name""),6,FALSE)
,
(IF
(
C803=""юридична особа""
,
VLOOKUP(D8"&amp;"03,IMPORTRANGE(""https://docs.google.com/spreadsheets/d/14Bd19lYaqBhU8_DElYkX7l4wRkHqqCUFNJY4AfY3kHU/edit?usp=sharing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G802" s="7" t="s">
        <v>10</v>
      </c>
      <c r="H802" s="7">
        <v>23385</v>
      </c>
      <c r="I802" s="8" t="str">
        <f ca="1">IFERROR(__xludf.DUMMYFUNCTION("IF
(
G803=""фізична особа""
,
VLOOKUP(H803,IMPORTRANGE(""https://docs.google.com/spreadsheets/d/14Bd19lYaqBhU8_DElYkX7l4wRkHqqCUFNJY4AfY3kHU/edit?usp=sharing  #gid=0"",""фіз особи new!relations_name""),6,FALSE)
,
(IF
(
G803=""юридична особа""
,
VLOOKUP(H8"&amp;"03,IMPORTRANGE(""https://docs.google.com/spreadsheets/d/14Bd19lYaqBhU8_DElYkX7l4wRkHqqCUFNJY4AfY3kHU/edit?usp=sharing  #gid=0"",""фіз особи new!relations_name_uo""),7,FALSE)
,
)
))"),"МАТАНЦЕВ Арсеній Володимирович")</f>
        <v>МАТАНЦЕВ Арсеній Володимирович</v>
      </c>
      <c r="J802" s="7" t="s">
        <v>26</v>
      </c>
    </row>
    <row r="803" spans="1:10" ht="13.2">
      <c r="A803" s="7">
        <v>802</v>
      </c>
      <c r="B803" s="7">
        <v>1</v>
      </c>
      <c r="C803" s="7" t="s">
        <v>10</v>
      </c>
      <c r="D803" s="7">
        <v>298</v>
      </c>
      <c r="E803" s="7" t="s">
        <v>28</v>
      </c>
      <c r="F803" s="8" t="str">
        <f ca="1">IFERROR(__xludf.DUMMYFUNCTION("IF
(
C804=""фізична особа""
,
VLOOKUP(D804,IMPORTRANGE(""https://docs.google.com/spreadsheets/d/14Bd19lYaqBhU8_DElYkX7l4wRkHqqCUFNJY4AfY3kHU/edit?usp=sharing  #gid=0"",""фіз особи new!relations_name""),6,FALSE)
,
(IF
(
C804=""юридична особа""
,
VLOOKUP(D8"&amp;"04,IMPORTRANGE(""https://docs.google.com/spreadsheets/d/14Bd19lYaqBhU8_DElYkX7l4wRkHqqCUFNJY4AfY3kHU/edit?usp=sharing  #gid=0"",""фіз особи new!relations_name_uo""),7,FALSE)
,
)
))"),"ХАЛЕПА Ігор Миколайович")</f>
        <v>ХАЛЕПА Ігор Миколайович</v>
      </c>
      <c r="G803" s="7" t="s">
        <v>10</v>
      </c>
      <c r="H803" s="7">
        <v>856</v>
      </c>
      <c r="I803" s="8" t="str">
        <f ca="1">IFERROR(__xludf.DUMMYFUNCTION("IF
(
G804=""фізична особа""
,
VLOOKUP(H804,IMPORTRANGE(""https://docs.google.com/spreadsheets/d/14Bd19lYaqBhU8_DElYkX7l4wRkHqqCUFNJY4AfY3kHU/edit?usp=sharing  #gid=0"",""фіз особи new!relations_name""),6,FALSE)
,
(IF
(
G804=""юридична особа""
,
VLOOKUP(H8"&amp;"04,IMPORTRANGE(""https://docs.google.com/spreadsheets/d/14Bd19lYaqBhU8_DElYkX7l4wRkHqqCUFNJY4AfY3kHU/edit?usp=sharing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803" s="7" t="s">
        <v>29</v>
      </c>
    </row>
    <row r="804" spans="1:10" ht="13.2">
      <c r="A804" s="7">
        <v>803</v>
      </c>
      <c r="B804" s="7">
        <v>1</v>
      </c>
      <c r="C804" s="7" t="s">
        <v>10</v>
      </c>
      <c r="D804" s="7">
        <v>299</v>
      </c>
      <c r="E804" s="7" t="s">
        <v>40</v>
      </c>
      <c r="F804" s="8" t="str">
        <f ca="1">IFERROR(__xludf.DUMMYFUNCTION("IF
(
C805=""фізична особа""
,
VLOOKUP(D805,IMPORTRANGE(""https://docs.google.com/spreadsheets/d/14Bd19lYaqBhU8_DElYkX7l4wRkHqqCUFNJY4AfY3kHU/edit?usp=sharing  #gid=0"",""фіз особи new!relations_name""),6,FALSE)
,
(IF
(
C805=""юридична особа""
,
VLOOKUP(D8"&amp;"05,IMPORTRANGE(""https://docs.google.com/spreadsheets/d/14Bd19lYaqBhU8_DElYkX7l4wRkHqqCUFNJY4AfY3kHU/edit?usp=sharing  #gid=0"",""фіз особи new!relations_name_uo""),7,FALSE)
,
)
))"),"КОРНЕТ Ігор Олександрович")</f>
        <v>КОРНЕТ Ігор Олександрович</v>
      </c>
      <c r="G804" s="7" t="s">
        <v>10</v>
      </c>
      <c r="H804" s="7">
        <v>23375</v>
      </c>
      <c r="I804" s="8" t="str">
        <f ca="1">IFERROR(__xludf.DUMMYFUNCTION("IF
(
G805=""фізична особа""
,
VLOOKUP(H805,IMPORTRANGE(""https://docs.google.com/spreadsheets/d/14Bd19lYaqBhU8_DElYkX7l4wRkHqqCUFNJY4AfY3kHU/edit?usp=sharing  #gid=0"",""фіз особи new!relations_name""),6,FALSE)
,
(IF
(
G805=""юридична особа""
,
VLOOKUP(H8"&amp;"05,IMPORTRANGE(""https://docs.google.com/spreadsheets/d/14Bd19lYaqBhU8_DElYkX7l4wRkHqqCUFNJY4AfY3kHU/edit?usp=sharing  #gid=0"",""фіз особи new!relations_name_uo""),7,FALSE)
,
)
))"),"ЦИПКАЛОВ Геннадій Миколайович")</f>
        <v>ЦИПКАЛОВ Геннадій Миколайович</v>
      </c>
      <c r="J804" s="7" t="s">
        <v>41</v>
      </c>
    </row>
    <row r="805" spans="1:10" ht="13.2">
      <c r="A805" s="7">
        <v>804</v>
      </c>
      <c r="B805" s="7">
        <v>1</v>
      </c>
      <c r="C805" s="7" t="s">
        <v>10</v>
      </c>
      <c r="D805" s="7">
        <v>300</v>
      </c>
      <c r="E805" s="7" t="s">
        <v>18</v>
      </c>
      <c r="F805" s="8" t="str">
        <f ca="1">IFERROR(__xludf.DUMMYFUNCTION("IF
(
C806=""фізична особа""
,
VLOOKUP(D806,IMPORTRANGE(""https://docs.google.com/spreadsheets/d/14Bd19lYaqBhU8_DElYkX7l4wRkHqqCUFNJY4AfY3kHU/edit?usp=sharing  #gid=0"",""фіз особи new!relations_name""),6,FALSE)
,
(IF
(
C806=""юридична особа""
,
VLOOKUP(D8"&amp;"06,IMPORTRANGE(""https://docs.google.com/spreadsheets/d/14Bd19lYaqBhU8_DElYkX7l4wRkHqqCUFNJY4AfY3kHU/edit?usp=sharing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05" s="7" t="s">
        <v>10</v>
      </c>
      <c r="H805" s="7">
        <v>0</v>
      </c>
      <c r="I805" s="8" t="str">
        <f ca="1">IFERROR(__xludf.DUMMYFUNCTION("IF
(
G806=""фізична особа""
,
VLOOKUP(H806,IMPORTRANGE(""https://docs.google.com/spreadsheets/d/14Bd19lYaqBhU8_DElYkX7l4wRkHqqCUFNJY4AfY3kHU/edit?usp=sharing  #gid=0"",""фіз особи new!relations_name""),6,FALSE)
,
(IF
(
G806=""юридична особа""
,
VLOOKUP(H8"&amp;"06,IMPORTRANGE(""https://docs.google.com/spreadsheets/d/14Bd19lYaqBhU8_DElYkX7l4wRkHqqCUFNJY4AfY3kHU/edit?usp=sharing  #gid=0"",""фіз особи new!relations_name_uo""),7,FALSE)
,
)
))"),"#N/A")</f>
        <v>#N/A</v>
      </c>
      <c r="J805" s="7" t="s">
        <v>31</v>
      </c>
    </row>
    <row r="806" spans="1:10" ht="13.2">
      <c r="A806" s="7">
        <v>805</v>
      </c>
      <c r="B806" s="7">
        <v>1</v>
      </c>
      <c r="C806" s="7" t="s">
        <v>10</v>
      </c>
      <c r="D806" s="7">
        <v>300</v>
      </c>
      <c r="E806" s="7" t="s">
        <v>17</v>
      </c>
      <c r="F806" s="8" t="str">
        <f ca="1">IFERROR(__xludf.DUMMYFUNCTION("IF
(
C807=""фізична особа""
,
VLOOKUP(D807,IMPORTRANGE(""https://docs.google.com/spreadsheets/d/14Bd19lYaqBhU8_DElYkX7l4wRkHqqCUFNJY4AfY3kHU/edit?usp=sharing  #gid=0"",""фіз особи new!relations_name""),6,FALSE)
,
(IF
(
C807=""юридична особа""
,
VLOOKUP(D8"&amp;"07,IMPORTRANGE(""https://docs.google.com/spreadsheets/d/14Bd19lYaqBhU8_DElYkX7l4wRkHqqCUFNJY4AfY3kHU/edit?usp=sharing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06" s="7" t="s">
        <v>10</v>
      </c>
      <c r="H806" s="7">
        <v>0</v>
      </c>
      <c r="I806" s="8" t="str">
        <f ca="1">IFERROR(__xludf.DUMMYFUNCTION("IF
(
G807=""фізична особа""
,
VLOOKUP(H807,IMPORTRANGE(""https://docs.google.com/spreadsheets/d/14Bd19lYaqBhU8_DElYkX7l4wRkHqqCUFNJY4AfY3kHU/edit?usp=sharing  #gid=0"",""фіз особи new!relations_name""),6,FALSE)
,
(IF
(
G807=""юридична особа""
,
VLOOKUP(H8"&amp;"07,IMPORTRANGE(""https://docs.google.com/spreadsheets/d/14Bd19lYaqBhU8_DElYkX7l4wRkHqqCUFNJY4AfY3kHU/edit?usp=sharing  #gid=0"",""фіз особи new!relations_name_uo""),7,FALSE)
,
)
))"),"#N/A")</f>
        <v>#N/A</v>
      </c>
      <c r="J806" s="7" t="s">
        <v>12</v>
      </c>
    </row>
    <row r="807" spans="1:10" ht="13.2">
      <c r="A807" s="7">
        <v>806</v>
      </c>
      <c r="B807" s="7">
        <v>1</v>
      </c>
      <c r="C807" s="7" t="s">
        <v>10</v>
      </c>
      <c r="D807" s="7">
        <v>300</v>
      </c>
      <c r="E807" s="7" t="s">
        <v>17</v>
      </c>
      <c r="F807" s="8" t="str">
        <f ca="1">IFERROR(__xludf.DUMMYFUNCTION("IF
(
C808=""фізична особа""
,
VLOOKUP(D808,IMPORTRANGE(""https://docs.google.com/spreadsheets/d/14Bd19lYaqBhU8_DElYkX7l4wRkHqqCUFNJY4AfY3kHU/edit?usp=sharing  #gid=0"",""фіз особи new!relations_name""),6,FALSE)
,
(IF
(
C808=""юридична особа""
,
VLOOKUP(D8"&amp;"08,IMPORTRANGE(""https://docs.google.com/spreadsheets/d/14Bd19lYaqBhU8_DElYkX7l4wRkHqqCUFNJY4AfY3kHU/edit?usp=sharing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07" s="7" t="s">
        <v>10</v>
      </c>
      <c r="H807" s="7">
        <v>0</v>
      </c>
      <c r="I807" s="8" t="str">
        <f ca="1">IFERROR(__xludf.DUMMYFUNCTION("IF
(
G808=""фізична особа""
,
VLOOKUP(H808,IMPORTRANGE(""https://docs.google.com/spreadsheets/d/14Bd19lYaqBhU8_DElYkX7l4wRkHqqCUFNJY4AfY3kHU/edit?usp=sharing  #gid=0"",""фіз особи new!relations_name""),6,FALSE)
,
(IF
(
G808=""юридична особа""
,
VLOOKUP(H8"&amp;"08,IMPORTRANGE(""https://docs.google.com/spreadsheets/d/14Bd19lYaqBhU8_DElYkX7l4wRkHqqCUFNJY4AfY3kHU/edit?usp=sharing  #gid=0"",""фіз особи new!relations_name_uo""),7,FALSE)
,
)
))"),"#N/A")</f>
        <v>#N/A</v>
      </c>
      <c r="J807" s="7" t="s">
        <v>21</v>
      </c>
    </row>
    <row r="808" spans="1:10" ht="13.2">
      <c r="A808" s="7">
        <v>807</v>
      </c>
      <c r="B808" s="7">
        <v>1</v>
      </c>
      <c r="C808" s="7" t="s">
        <v>10</v>
      </c>
      <c r="D808" s="7">
        <v>300</v>
      </c>
      <c r="E808" s="7" t="s">
        <v>12</v>
      </c>
      <c r="F808" s="8" t="str">
        <f ca="1">IFERROR(__xludf.DUMMYFUNCTION("IF
(
C809=""фізична особа""
,
VLOOKUP(D809,IMPORTRANGE(""https://docs.google.com/spreadsheets/d/14Bd19lYaqBhU8_DElYkX7l4wRkHqqCUFNJY4AfY3kHU/edit?usp=sharing  #gid=0"",""фіз особи new!relations_name""),6,FALSE)
,
(IF
(
C809=""юридична особа""
,
VLOOKUP(D8"&amp;"09,IMPORTRANGE(""https://docs.google.com/spreadsheets/d/14Bd19lYaqBhU8_DElYkX7l4wRkHqqCUFNJY4AfY3kHU/edit?usp=sharing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08" s="7" t="s">
        <v>10</v>
      </c>
      <c r="H808" s="7">
        <v>0</v>
      </c>
      <c r="I808" s="8" t="str">
        <f ca="1">IFERROR(__xludf.DUMMYFUNCTION("IF
(
G809=""фізична особа""
,
VLOOKUP(H809,IMPORTRANGE(""https://docs.google.com/spreadsheets/d/14Bd19lYaqBhU8_DElYkX7l4wRkHqqCUFNJY4AfY3kHU/edit?usp=sharing  #gid=0"",""фіз особи new!relations_name""),6,FALSE)
,
(IF
(
G809=""юридична особа""
,
VLOOKUP(H8"&amp;"09,IMPORTRANGE(""https://docs.google.com/spreadsheets/d/14Bd19lYaqBhU8_DElYkX7l4wRkHqqCUFNJY4AfY3kHU/edit?usp=sharing  #gid=0"",""фіз особи new!relations_name_uo""),7,FALSE)
,
)
))"),"#N/A")</f>
        <v>#N/A</v>
      </c>
      <c r="J808" s="7" t="s">
        <v>17</v>
      </c>
    </row>
    <row r="809" spans="1:10" ht="13.2">
      <c r="A809" s="7">
        <v>808</v>
      </c>
      <c r="B809" s="7">
        <v>1</v>
      </c>
      <c r="C809" s="7" t="s">
        <v>10</v>
      </c>
      <c r="D809" s="7">
        <v>300</v>
      </c>
      <c r="E809" s="7" t="s">
        <v>42</v>
      </c>
      <c r="F809" s="8" t="str">
        <f ca="1">IFERROR(__xludf.DUMMYFUNCTION("IF
(
C810=""фізична особа""
,
VLOOKUP(D810,IMPORTRANGE(""https://docs.google.com/spreadsheets/d/14Bd19lYaqBhU8_DElYkX7l4wRkHqqCUFNJY4AfY3kHU/edit?usp=sharing  #gid=0"",""фіз особи new!relations_name""),6,FALSE)
,
(IF
(
C810=""юридична особа""
,
VLOOKUP(D8"&amp;"10,IMPORTRANGE(""https://docs.google.com/spreadsheets/d/14Bd19lYaqBhU8_DElYkX7l4wRkHqqCUFNJY4AfY3kHU/edit?usp=sharing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09" s="7" t="s">
        <v>10</v>
      </c>
      <c r="H809" s="7">
        <v>0</v>
      </c>
      <c r="I809" s="8" t="str">
        <f ca="1">IFERROR(__xludf.DUMMYFUNCTION("IF
(
G810=""фізична особа""
,
VLOOKUP(H810,IMPORTRANGE(""https://docs.google.com/spreadsheets/d/14Bd19lYaqBhU8_DElYkX7l4wRkHqqCUFNJY4AfY3kHU/edit?usp=sharing  #gid=0"",""фіз особи new!relations_name""),6,FALSE)
,
(IF
(
G810=""юридична особа""
,
VLOOKUP(H8"&amp;"10,IMPORTRANGE(""https://docs.google.com/spreadsheets/d/14Bd19lYaqBhU8_DElYkX7l4wRkHqqCUFNJY4AfY3kHU/edit?usp=sharing  #gid=0"",""фіз особи new!relations_name_uo""),7,FALSE)
,
)
))"),"#N/A")</f>
        <v>#N/A</v>
      </c>
      <c r="J809" s="7" t="s">
        <v>43</v>
      </c>
    </row>
    <row r="810" spans="1:10" ht="13.2">
      <c r="A810" s="7">
        <v>809</v>
      </c>
      <c r="B810" s="7">
        <v>1</v>
      </c>
      <c r="C810" s="7" t="s">
        <v>10</v>
      </c>
      <c r="D810" s="7">
        <v>300</v>
      </c>
      <c r="E810" s="7" t="s">
        <v>29</v>
      </c>
      <c r="F810" s="8" t="str">
        <f ca="1">IFERROR(__xludf.DUMMYFUNCTION("IF
(
C811=""фізична особа""
,
VLOOKUP(D811,IMPORTRANGE(""https://docs.google.com/spreadsheets/d/14Bd19lYaqBhU8_DElYkX7l4wRkHqqCUFNJY4AfY3kHU/edit?usp=sharing  #gid=0"",""фіз особи new!relations_name""),6,FALSE)
,
(IF
(
C811=""юридична особа""
,
VLOOKUP(D8"&amp;"11,IMPORTRANGE(""https://docs.google.com/spreadsheets/d/14Bd19lYaqBhU8_DElYkX7l4wRkHqqCUFNJY4AfY3kHU/edit?usp=sharing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0" s="7" t="s">
        <v>10</v>
      </c>
      <c r="H810" s="7">
        <v>1749</v>
      </c>
      <c r="I810" s="8" t="str">
        <f ca="1">IFERROR(__xludf.DUMMYFUNCTION("IF
(
G811=""фізична особа""
,
VLOOKUP(H811,IMPORTRANGE(""https://docs.google.com/spreadsheets/d/14Bd19lYaqBhU8_DElYkX7l4wRkHqqCUFNJY4AfY3kHU/edit?usp=sharing  #gid=0"",""фіз особи new!relations_name""),6,FALSE)
,
(IF
(
G811=""юридична особа""
,
VLOOKUP(H8"&amp;"11,IMPORTRANGE(""https://docs.google.com/spreadsheets/d/14Bd19lYaqBhU8_DElYkX7l4wRkHqqCUFNJY4AfY3kHU/edit?usp=sharing  #gid=0"",""фіз особи new!relations_name_uo""),7,FALSE)
,
)
))"),"ВИННИЧЕНКО Микола Олександрович")</f>
        <v>ВИННИЧЕНКО Микола Олександрович</v>
      </c>
      <c r="J810" s="7" t="s">
        <v>28</v>
      </c>
    </row>
    <row r="811" spans="1:10" ht="13.2">
      <c r="A811" s="7">
        <v>810</v>
      </c>
      <c r="B811" s="7">
        <v>1</v>
      </c>
      <c r="C811" s="7" t="s">
        <v>10</v>
      </c>
      <c r="D811" s="7">
        <v>300</v>
      </c>
      <c r="E811" s="7" t="s">
        <v>29</v>
      </c>
      <c r="F811" s="8" t="str">
        <f ca="1">IFERROR(__xludf.DUMMYFUNCTION("IF
(
C812=""фізична особа""
,
VLOOKUP(D812,IMPORTRANGE(""https://docs.google.com/spreadsheets/d/14Bd19lYaqBhU8_DElYkX7l4wRkHqqCUFNJY4AfY3kHU/edit?usp=sharing  #gid=0"",""фіз особи new!relations_name""),6,FALSE)
,
(IF
(
C812=""юридична особа""
,
VLOOKUP(D8"&amp;"12,IMPORTRANGE(""https://docs.google.com/spreadsheets/d/14Bd19lYaqBhU8_DElYkX7l4wRkHqqCUFNJY4AfY3kHU/edit?usp=sharing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1" s="7" t="s">
        <v>10</v>
      </c>
      <c r="H811" s="7">
        <v>1750</v>
      </c>
      <c r="I811" s="8" t="str">
        <f ca="1">IFERROR(__xludf.DUMMYFUNCTION("IF
(
G812=""фізична особа""
,
VLOOKUP(H812,IMPORTRANGE(""https://docs.google.com/spreadsheets/d/14Bd19lYaqBhU8_DElYkX7l4wRkHqqCUFNJY4AfY3kHU/edit?usp=sharing  #gid=0"",""фіз особи new!relations_name""),6,FALSE)
,
(IF
(
G812=""юридична особа""
,
VLOOKUP(H8"&amp;"12,IMPORTRANGE(""https://docs.google.com/spreadsheets/d/14Bd19lYaqBhU8_DElYkX7l4wRkHqqCUFNJY4AfY3kHU/edit?usp=sharing  #gid=0"",""фіз особи new!relations_name_uo""),7,FALSE)
,
)
))"),"ЗАХАРОВ Олексій Юрійович")</f>
        <v>ЗАХАРОВ Олексій Юрійович</v>
      </c>
      <c r="J811" s="7" t="s">
        <v>28</v>
      </c>
    </row>
    <row r="812" spans="1:10" ht="13.2">
      <c r="A812" s="7">
        <v>811</v>
      </c>
      <c r="B812" s="7">
        <v>1</v>
      </c>
      <c r="C812" s="7" t="s">
        <v>10</v>
      </c>
      <c r="D812" s="7">
        <v>300</v>
      </c>
      <c r="E812" s="7" t="s">
        <v>35</v>
      </c>
      <c r="F812" s="8" t="str">
        <f ca="1">IFERROR(__xludf.DUMMYFUNCTION("IF
(
C813=""фізична особа""
,
VLOOKUP(D813,IMPORTRANGE(""https://docs.google.com/spreadsheets/d/14Bd19lYaqBhU8_DElYkX7l4wRkHqqCUFNJY4AfY3kHU/edit?usp=sharing  #gid=0"",""фіз особи new!relations_name""),6,FALSE)
,
(IF
(
C813=""юридична особа""
,
VLOOKUP(D8"&amp;"13,IMPORTRANGE(""https://docs.google.com/spreadsheets/d/14Bd19lYaqBhU8_DElYkX7l4wRkHqqCUFNJY4AfY3kHU/edit?usp=sharing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2" s="7" t="s">
        <v>10</v>
      </c>
      <c r="H812" s="7">
        <v>12618</v>
      </c>
      <c r="I812" s="8" t="str">
        <f ca="1">IFERROR(__xludf.DUMMYFUNCTION("IF
(
G813=""фізична особа""
,
VLOOKUP(H813,IMPORTRANGE(""https://docs.google.com/spreadsheets/d/14Bd19lYaqBhU8_DElYkX7l4wRkHqqCUFNJY4AfY3kHU/edit?usp=sharing  #gid=0"",""фіз особи new!relations_name""),6,FALSE)
,
(IF
(
G813=""юридична особа""
,
VLOOKUP(H8"&amp;"13,IMPORTRANGE(""https://docs.google.com/spreadsheets/d/14Bd19lYaqBhU8_DElYkX7l4wRkHqqCUFNJY4AfY3kHU/edit?usp=sharing  #gid=0"",""фіз особи new!relations_name_uo""),7,FALSE)
,
)
))"),"БАСТРИКІН Олександр Іванович")</f>
        <v>БАСТРИКІН Олександр Іванович</v>
      </c>
      <c r="J812" s="7" t="s">
        <v>35</v>
      </c>
    </row>
    <row r="813" spans="1:10" ht="13.2">
      <c r="A813" s="7">
        <v>812</v>
      </c>
      <c r="B813" s="7">
        <v>1</v>
      </c>
      <c r="C813" s="7" t="s">
        <v>10</v>
      </c>
      <c r="D813" s="7">
        <v>300</v>
      </c>
      <c r="E813" s="7" t="s">
        <v>29</v>
      </c>
      <c r="F813" s="8" t="str">
        <f ca="1">IFERROR(__xludf.DUMMYFUNCTION("IF
(
C814=""фізична особа""
,
VLOOKUP(D814,IMPORTRANGE(""https://docs.google.com/spreadsheets/d/14Bd19lYaqBhU8_DElYkX7l4wRkHqqCUFNJY4AfY3kHU/edit?usp=sharing  #gid=0"",""фіз особи new!relations_name""),6,FALSE)
,
(IF
(
C814=""юридична особа""
,
VLOOKUP(D8"&amp;"14,IMPORTRANGE(""https://docs.google.com/spreadsheets/d/14Bd19lYaqBhU8_DElYkX7l4wRkHqqCUFNJY4AfY3kHU/edit?usp=sharing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3" s="7" t="s">
        <v>10</v>
      </c>
      <c r="H813" s="7">
        <v>12630</v>
      </c>
      <c r="I813" s="8" t="str">
        <f ca="1">IFERROR(__xludf.DUMMYFUNCTION("IF
(
G814=""фізична особа""
,
VLOOKUP(H814,IMPORTRANGE(""https://docs.google.com/spreadsheets/d/14Bd19lYaqBhU8_DElYkX7l4wRkHqqCUFNJY4AfY3kHU/edit?usp=sharing  #gid=0"",""фіз особи new!relations_name""),6,FALSE)
,
(IF
(
G814=""юридична особа""
,
VLOOKUP(H8"&amp;"14,IMPORTRANGE(""https://docs.google.com/spreadsheets/d/14Bd19lYaqBhU8_DElYkX7l4wRkHqqCUFNJY4AfY3kHU/edit?usp=sharing  #gid=0"",""фіз особи new!relations_name_uo""),7,FALSE)
,
)
))"),"ГРІНЬ Віктор Якович")</f>
        <v>ГРІНЬ Віктор Якович</v>
      </c>
      <c r="J813" s="7" t="s">
        <v>28</v>
      </c>
    </row>
    <row r="814" spans="1:10" ht="13.2">
      <c r="A814" s="7">
        <v>813</v>
      </c>
      <c r="B814" s="7">
        <v>1</v>
      </c>
      <c r="C814" s="7" t="s">
        <v>10</v>
      </c>
      <c r="D814" s="7">
        <v>300</v>
      </c>
      <c r="E814" s="7" t="s">
        <v>29</v>
      </c>
      <c r="F814" s="8" t="str">
        <f ca="1">IFERROR(__xludf.DUMMYFUNCTION("IF
(
C815=""фізична особа""
,
VLOOKUP(D815,IMPORTRANGE(""https://docs.google.com/spreadsheets/d/14Bd19lYaqBhU8_DElYkX7l4wRkHqqCUFNJY4AfY3kHU/edit?usp=sharing  #gid=0"",""фіз особи new!relations_name""),6,FALSE)
,
(IF
(
C815=""юридична особа""
,
VLOOKUP(D8"&amp;"15,IMPORTRANGE(""https://docs.google.com/spreadsheets/d/14Bd19lYaqBhU8_DElYkX7l4wRkHqqCUFNJY4AfY3kHU/edit?usp=sharing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4" s="7" t="s">
        <v>10</v>
      </c>
      <c r="H814" s="7">
        <v>1778</v>
      </c>
      <c r="I814" s="8" t="str">
        <f ca="1">IFERROR(__xludf.DUMMYFUNCTION("IF
(
G815=""фізична особа""
,
VLOOKUP(H815,IMPORTRANGE(""https://docs.google.com/spreadsheets/d/14Bd19lYaqBhU8_DElYkX7l4wRkHqqCUFNJY4AfY3kHU/edit?usp=sharing  #gid=0"",""фіз особи new!relations_name""),6,FALSE)
,
(IF
(
G815=""юридична особа""
,
VLOOKUP(H8"&amp;"15,IMPORTRANGE(""https://docs.google.com/spreadsheets/d/14Bd19lYaqBhU8_DElYkX7l4wRkHqqCUFNJY4AfY3kHU/edit?usp=sharing  #gid=0"",""фіз особи new!relations_name_uo""),7,FALSE)
,
)
))"),"РАЗІНКІН Анатолій В'ячеславович")</f>
        <v>РАЗІНКІН Анатолій В'ячеславович</v>
      </c>
      <c r="J814" s="7" t="s">
        <v>28</v>
      </c>
    </row>
    <row r="815" spans="1:10" ht="13.2">
      <c r="A815" s="7">
        <v>814</v>
      </c>
      <c r="B815" s="7">
        <v>1</v>
      </c>
      <c r="C815" s="7" t="s">
        <v>10</v>
      </c>
      <c r="D815" s="7">
        <v>300</v>
      </c>
      <c r="E815" s="7" t="s">
        <v>29</v>
      </c>
      <c r="F815" s="8" t="str">
        <f ca="1">IFERROR(__xludf.DUMMYFUNCTION("IF
(
C816=""фізична особа""
,
VLOOKUP(D816,IMPORTRANGE(""https://docs.google.com/spreadsheets/d/14Bd19lYaqBhU8_DElYkX7l4wRkHqqCUFNJY4AfY3kHU/edit?usp=sharing  #gid=0"",""фіз особи new!relations_name""),6,FALSE)
,
(IF
(
C816=""юридична особа""
,
VLOOKUP(D8"&amp;"16,IMPORTRANGE(""https://docs.google.com/spreadsheets/d/14Bd19lYaqBhU8_DElYkX7l4wRkHqqCUFNJY4AfY3kHU/edit?usp=sharing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5" s="7" t="s">
        <v>10</v>
      </c>
      <c r="H815" s="7">
        <v>1752</v>
      </c>
      <c r="I815" s="8" t="str">
        <f ca="1">IFERROR(__xludf.DUMMYFUNCTION("IF
(
G816=""фізична особа""
,
VLOOKUP(H816,IMPORTRANGE(""https://docs.google.com/spreadsheets/d/14Bd19lYaqBhU8_DElYkX7l4wRkHqqCUFNJY4AfY3kHU/edit?usp=sharing  #gid=0"",""фіз особи new!relations_name""),6,FALSE)
,
(IF
(
G816=""юридична особа""
,
VLOOKUP(H8"&amp;"16,IMPORTRANGE(""https://docs.google.com/spreadsheets/d/14Bd19lYaqBhU8_DElYkX7l4wRkHqqCUFNJY4AfY3kHU/edit?usp=sharing  #gid=0"",""фіз особи new!relations_name_uo""),7,FALSE)
,
)
))"),"ШИШКІН Микола Анатолійович")</f>
        <v>ШИШКІН Микола Анатолійович</v>
      </c>
      <c r="J815" s="7" t="s">
        <v>28</v>
      </c>
    </row>
    <row r="816" spans="1:10" ht="13.2">
      <c r="A816" s="7">
        <v>815</v>
      </c>
      <c r="B816" s="7">
        <v>1</v>
      </c>
      <c r="C816" s="7" t="s">
        <v>10</v>
      </c>
      <c r="D816" s="7">
        <v>300</v>
      </c>
      <c r="E816" s="7" t="s">
        <v>29</v>
      </c>
      <c r="F816" s="8" t="str">
        <f ca="1">IFERROR(__xludf.DUMMYFUNCTION("IF
(
C817=""фізична особа""
,
VLOOKUP(D817,IMPORTRANGE(""https://docs.google.com/spreadsheets/d/14Bd19lYaqBhU8_DElYkX7l4wRkHqqCUFNJY4AfY3kHU/edit?usp=sharing  #gid=0"",""фіз особи new!relations_name""),6,FALSE)
,
(IF
(
C817=""юридична особа""
,
VLOOKUP(D8"&amp;"17,IMPORTRANGE(""https://docs.google.com/spreadsheets/d/14Bd19lYaqBhU8_DElYkX7l4wRkHqqCUFNJY4AfY3kHU/edit?usp=sharing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6" s="7" t="s">
        <v>10</v>
      </c>
      <c r="H816" s="7">
        <v>1751</v>
      </c>
      <c r="I816" s="8" t="str">
        <f ca="1">IFERROR(__xludf.DUMMYFUNCTION("IF
(
G817=""фізична особа""
,
VLOOKUP(H817,IMPORTRANGE(""https://docs.google.com/spreadsheets/d/14Bd19lYaqBhU8_DElYkX7l4wRkHqqCUFNJY4AfY3kHU/edit?usp=sharing  #gid=0"",""фіз особи new!relations_name""),6,FALSE)
,
(IF
(
G817=""юридична особа""
,
VLOOKUP(H8"&amp;"17,IMPORTRANGE(""https://docs.google.com/spreadsheets/d/14Bd19lYaqBhU8_DElYkX7l4wRkHqqCUFNJY4AfY3kHU/edit?usp=sharing  #gid=0"",""фіз особи new!relations_name_uo""),7,FALSE)
,
)
))"),"ТКАЧОВ Ігор Вікторович")</f>
        <v>ТКАЧОВ Ігор Вікторович</v>
      </c>
      <c r="J816" s="7" t="s">
        <v>28</v>
      </c>
    </row>
    <row r="817" spans="1:10" ht="13.2">
      <c r="A817" s="7">
        <v>816</v>
      </c>
      <c r="B817" s="7">
        <v>1</v>
      </c>
      <c r="C817" s="7" t="s">
        <v>10</v>
      </c>
      <c r="D817" s="7">
        <v>300</v>
      </c>
      <c r="E817" s="7" t="s">
        <v>29</v>
      </c>
      <c r="F817" s="8" t="str">
        <f ca="1">IFERROR(__xludf.DUMMYFUNCTION("IF
(
C818=""фізична особа""
,
VLOOKUP(D818,IMPORTRANGE(""https://docs.google.com/spreadsheets/d/14Bd19lYaqBhU8_DElYkX7l4wRkHqqCUFNJY4AfY3kHU/edit?usp=sharing  #gid=0"",""фіз особи new!relations_name""),6,FALSE)
,
(IF
(
C818=""юридична особа""
,
VLOOKUP(D8"&amp;"18,IMPORTRANGE(""https://docs.google.com/spreadsheets/d/14Bd19lYaqBhU8_DElYkX7l4wRkHqqCUFNJY4AfY3kHU/edit?usp=sharing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7" s="7" t="s">
        <v>10</v>
      </c>
      <c r="H817" s="7">
        <v>1762</v>
      </c>
      <c r="I817" s="8" t="str">
        <f ca="1">IFERROR(__xludf.DUMMYFUNCTION("IF
(
G818=""фізична особа""
,
VLOOKUP(H818,IMPORTRANGE(""https://docs.google.com/spreadsheets/d/14Bd19lYaqBhU8_DElYkX7l4wRkHqqCUFNJY4AfY3kHU/edit?usp=sharing  #gid=0"",""фіз особи new!relations_name""),6,FALSE)
,
(IF
(
G818=""юридична особа""
,
VLOOKUP(H8"&amp;"18,IMPORTRANGE(""https://docs.google.com/spreadsheets/d/14Bd19lYaqBhU8_DElYkX7l4wRkHqqCUFNJY4AfY3kHU/edit?usp=sharing  #gid=0"",""фіз особи new!relations_name_uo""),7,FALSE)
,
)
))"),"ПОНОМАРЬОВ Юрій Олександрович")</f>
        <v>ПОНОМАРЬОВ Юрій Олександрович</v>
      </c>
      <c r="J817" s="7" t="s">
        <v>28</v>
      </c>
    </row>
    <row r="818" spans="1:10" ht="13.2">
      <c r="A818" s="7">
        <v>817</v>
      </c>
      <c r="B818" s="7">
        <v>1</v>
      </c>
      <c r="C818" s="7" t="s">
        <v>10</v>
      </c>
      <c r="D818" s="7">
        <v>300</v>
      </c>
      <c r="E818" s="7" t="s">
        <v>29</v>
      </c>
      <c r="F818" s="8" t="str">
        <f ca="1">IFERROR(__xludf.DUMMYFUNCTION("IF
(
C819=""фізична особа""
,
VLOOKUP(D819,IMPORTRANGE(""https://docs.google.com/spreadsheets/d/14Bd19lYaqBhU8_DElYkX7l4wRkHqqCUFNJY4AfY3kHU/edit?usp=sharing  #gid=0"",""фіз особи new!relations_name""),6,FALSE)
,
(IF
(
C819=""юридична особа""
,
VLOOKUP(D8"&amp;"19,IMPORTRANGE(""https://docs.google.com/spreadsheets/d/14Bd19lYaqBhU8_DElYkX7l4wRkHqqCUFNJY4AfY3kHU/edit?usp=sharing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8" s="7" t="s">
        <v>10</v>
      </c>
      <c r="H818" s="7">
        <v>0</v>
      </c>
      <c r="I818" s="8" t="str">
        <f ca="1">IFERROR(__xludf.DUMMYFUNCTION("IF
(
G819=""фізична особа""
,
VLOOKUP(H819,IMPORTRANGE(""https://docs.google.com/spreadsheets/d/14Bd19lYaqBhU8_DElYkX7l4wRkHqqCUFNJY4AfY3kHU/edit?usp=sharing  #gid=0"",""фіз особи new!relations_name""),6,FALSE)
,
(IF
(
G819=""юридична особа""
,
VLOOKUP(H8"&amp;"19,IMPORTRANGE(""https://docs.google.com/spreadsheets/d/14Bd19lYaqBhU8_DElYkX7l4wRkHqqCUFNJY4AfY3kHU/edit?usp=sharing  #gid=0"",""фіз особи new!relations_name_uo""),7,FALSE)
,
)
))"),"#N/A")</f>
        <v>#N/A</v>
      </c>
      <c r="J818" s="7" t="s">
        <v>28</v>
      </c>
    </row>
    <row r="819" spans="1:10" ht="13.2">
      <c r="A819" s="7">
        <v>818</v>
      </c>
      <c r="B819" s="7">
        <v>1</v>
      </c>
      <c r="C819" s="7" t="s">
        <v>10</v>
      </c>
      <c r="D819" s="7">
        <v>300</v>
      </c>
      <c r="E819" s="7" t="s">
        <v>29</v>
      </c>
      <c r="F819" s="8" t="str">
        <f ca="1">IFERROR(__xludf.DUMMYFUNCTION("IF
(
C820=""фізична особа""
,
VLOOKUP(D820,IMPORTRANGE(""https://docs.google.com/spreadsheets/d/14Bd19lYaqBhU8_DElYkX7l4wRkHqqCUFNJY4AfY3kHU/edit?usp=sharing  #gid=0"",""фіз особи new!relations_name""),6,FALSE)
,
(IF
(
C820=""юридична особа""
,
VLOOKUP(D8"&amp;"20,IMPORTRANGE(""https://docs.google.com/spreadsheets/d/14Bd19lYaqBhU8_DElYkX7l4wRkHqqCUFNJY4AfY3kHU/edit?usp=sharing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19" s="7" t="s">
        <v>10</v>
      </c>
      <c r="H819" s="7">
        <v>1764</v>
      </c>
      <c r="I819" s="8" t="str">
        <f ca="1">IFERROR(__xludf.DUMMYFUNCTION("IF
(
G820=""фізична особа""
,
VLOOKUP(H820,IMPORTRANGE(""https://docs.google.com/spreadsheets/d/14Bd19lYaqBhU8_DElYkX7l4wRkHqqCUFNJY4AfY3kHU/edit?usp=sharing  #gid=0"",""фіз особи new!relations_name""),6,FALSE)
,
(IF
(
G820=""юридична особа""
,
VLOOKUP(H8"&amp;"20,IMPORTRANGE(""https://docs.google.com/spreadsheets/d/14Bd19lYaqBhU8_DElYkX7l4wRkHqqCUFNJY4AfY3kHU/edit?usp=sharing  #gid=0"",""фіз особи new!relations_name_uo""),7,FALSE)
,
)
))"),"ПЕТРОВ Валерій Георгійович")</f>
        <v>ПЕТРОВ Валерій Георгійович</v>
      </c>
      <c r="J819" s="7" t="s">
        <v>28</v>
      </c>
    </row>
    <row r="820" spans="1:10" ht="13.2">
      <c r="A820" s="7">
        <v>819</v>
      </c>
      <c r="B820" s="7">
        <v>1</v>
      </c>
      <c r="C820" s="7" t="s">
        <v>10</v>
      </c>
      <c r="D820" s="7">
        <v>300</v>
      </c>
      <c r="E820" s="7" t="s">
        <v>29</v>
      </c>
      <c r="F820" s="8" t="str">
        <f ca="1">IFERROR(__xludf.DUMMYFUNCTION("IF
(
C821=""фізична особа""
,
VLOOKUP(D821,IMPORTRANGE(""https://docs.google.com/spreadsheets/d/14Bd19lYaqBhU8_DElYkX7l4wRkHqqCUFNJY4AfY3kHU/edit?usp=sharing  #gid=0"",""фіз особи new!relations_name""),6,FALSE)
,
(IF
(
C821=""юридична особа""
,
VLOOKUP(D8"&amp;"21,IMPORTRANGE(""https://docs.google.com/spreadsheets/d/14Bd19lYaqBhU8_DElYkX7l4wRkHqqCUFNJY4AfY3kHU/edit?usp=sharing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20" s="7" t="s">
        <v>10</v>
      </c>
      <c r="H820" s="7">
        <v>1761</v>
      </c>
      <c r="I820" s="8" t="str">
        <f ca="1">IFERROR(__xludf.DUMMYFUNCTION("IF
(
G821=""фізична особа""
,
VLOOKUP(H821,IMPORTRANGE(""https://docs.google.com/spreadsheets/d/14Bd19lYaqBhU8_DElYkX7l4wRkHqqCUFNJY4AfY3kHU/edit?usp=sharing  #gid=0"",""фіз особи new!relations_name""),6,FALSE)
,
(IF
(
G821=""юридична особа""
,
VLOOKUP(H8"&amp;"21,IMPORTRANGE(""https://docs.google.com/spreadsheets/d/14Bd19lYaqBhU8_DElYkX7l4wRkHqqCUFNJY4AfY3kHU/edit?usp=sharing  #gid=0"",""фіз особи new!relations_name_uo""),7,FALSE)
,
)
))"),"ЛОПАТІН Геннадій Борисович")</f>
        <v>ЛОПАТІН Геннадій Борисович</v>
      </c>
      <c r="J820" s="7" t="s">
        <v>28</v>
      </c>
    </row>
    <row r="821" spans="1:10" ht="13.2">
      <c r="A821" s="7">
        <v>820</v>
      </c>
      <c r="B821" s="7">
        <v>1</v>
      </c>
      <c r="C821" s="7" t="s">
        <v>10</v>
      </c>
      <c r="D821" s="7">
        <v>300</v>
      </c>
      <c r="E821" s="7" t="s">
        <v>29</v>
      </c>
      <c r="F821" s="8" t="str">
        <f ca="1">IFERROR(__xludf.DUMMYFUNCTION("IF
(
C822=""фізична особа""
,
VLOOKUP(D822,IMPORTRANGE(""https://docs.google.com/spreadsheets/d/14Bd19lYaqBhU8_DElYkX7l4wRkHqqCUFNJY4AfY3kHU/edit?usp=sharing  #gid=0"",""фіз особи new!relations_name""),6,FALSE)
,
(IF
(
C822=""юридична особа""
,
VLOOKUP(D8"&amp;"22,IMPORTRANGE(""https://docs.google.com/spreadsheets/d/14Bd19lYaqBhU8_DElYkX7l4wRkHqqCUFNJY4AfY3kHU/edit?usp=sharing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21" s="7" t="s">
        <v>10</v>
      </c>
      <c r="H821" s="7">
        <v>1753</v>
      </c>
      <c r="I821" s="8" t="str">
        <f ca="1">IFERROR(__xludf.DUMMYFUNCTION("IF
(
G822=""фізична особа""
,
VLOOKUP(H822,IMPORTRANGE(""https://docs.google.com/spreadsheets/d/14Bd19lYaqBhU8_DElYkX7l4wRkHqqCUFNJY4AfY3kHU/edit?usp=sharing  #gid=0"",""фіз особи new!relations_name""),6,FALSE)
,
(IF
(
G822=""юридична особа""
,
VLOOKUP(H8"&amp;"22,IMPORTRANGE(""https://docs.google.com/spreadsheets/d/14Bd19lYaqBhU8_DElYkX7l4wRkHqqCUFNJY4AfY3kHU/edit?usp=sharing  #gid=0"",""фіз особи new!relations_name_uo""),7,FALSE)
,
)
))"),"КИКОТЬ Андрій Володимирович")</f>
        <v>КИКОТЬ Андрій Володимирович</v>
      </c>
      <c r="J821" s="7" t="s">
        <v>28</v>
      </c>
    </row>
    <row r="822" spans="1:10" ht="13.2">
      <c r="A822" s="7">
        <v>821</v>
      </c>
      <c r="B822" s="7">
        <v>1</v>
      </c>
      <c r="C822" s="7" t="s">
        <v>10</v>
      </c>
      <c r="D822" s="7">
        <v>300</v>
      </c>
      <c r="E822" s="7" t="s">
        <v>29</v>
      </c>
      <c r="F822" s="8" t="str">
        <f ca="1">IFERROR(__xludf.DUMMYFUNCTION("IF
(
C823=""фізична особа""
,
VLOOKUP(D823,IMPORTRANGE(""https://docs.google.com/spreadsheets/d/14Bd19lYaqBhU8_DElYkX7l4wRkHqqCUFNJY4AfY3kHU/edit?usp=sharing  #gid=0"",""фіз особи new!relations_name""),6,FALSE)
,
(IF
(
C823=""юридична особа""
,
VLOOKUP(D8"&amp;"23,IMPORTRANGE(""https://docs.google.com/spreadsheets/d/14Bd19lYaqBhU8_DElYkX7l4wRkHqqCUFNJY4AfY3kHU/edit?usp=sharing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22" s="7" t="s">
        <v>10</v>
      </c>
      <c r="H822" s="7">
        <v>1748</v>
      </c>
      <c r="I822" s="8" t="str">
        <f ca="1">IFERROR(__xludf.DUMMYFUNCTION("IF
(
G823=""фізична особа""
,
VLOOKUP(H823,IMPORTRANGE(""https://docs.google.com/spreadsheets/d/14Bd19lYaqBhU8_DElYkX7l4wRkHqqCUFNJY4AfY3kHU/edit?usp=sharing  #gid=0"",""фіз особи new!relations_name""),6,FALSE)
,
(IF
(
G823=""юридична особа""
,
VLOOKUP(H8"&amp;"23,IMPORTRANGE(""https://docs.google.com/spreadsheets/d/14Bd19lYaqBhU8_DElYkX7l4wRkHqqCUFNJY4AfY3kHU/edit?usp=sharing  #gid=0"",""фіз особи new!relations_name_uo""),7,FALSE)
,
)
))"),"ЗАЙЦЕВ Сергій Петрович")</f>
        <v>ЗАЙЦЕВ Сергій Петрович</v>
      </c>
      <c r="J822" s="7" t="s">
        <v>28</v>
      </c>
    </row>
    <row r="823" spans="1:10" ht="13.2">
      <c r="A823" s="7">
        <v>822</v>
      </c>
      <c r="B823" s="7">
        <v>1</v>
      </c>
      <c r="C823" s="7" t="s">
        <v>10</v>
      </c>
      <c r="D823" s="7">
        <v>300</v>
      </c>
      <c r="E823" s="7" t="s">
        <v>29</v>
      </c>
      <c r="F823" s="8" t="str">
        <f ca="1">IFERROR(__xludf.DUMMYFUNCTION("IF
(
C824=""фізична особа""
,
VLOOKUP(D824,IMPORTRANGE(""https://docs.google.com/spreadsheets/d/14Bd19lYaqBhU8_DElYkX7l4wRkHqqCUFNJY4AfY3kHU/edit?usp=sharing  #gid=0"",""фіз особи new!relations_name""),6,FALSE)
,
(IF
(
C824=""юридична особа""
,
VLOOKUP(D8"&amp;"24,IMPORTRANGE(""https://docs.google.com/spreadsheets/d/14Bd19lYaqBhU8_DElYkX7l4wRkHqqCUFNJY4AfY3kHU/edit?usp=sharing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23" s="7" t="s">
        <v>10</v>
      </c>
      <c r="H823" s="7">
        <v>1254</v>
      </c>
      <c r="I823" s="8" t="str">
        <f ca="1">IFERROR(__xludf.DUMMYFUNCTION("IF
(
G824=""фізична особа""
,
VLOOKUP(H824,IMPORTRANGE(""https://docs.google.com/spreadsheets/d/14Bd19lYaqBhU8_DElYkX7l4wRkHqqCUFNJY4AfY3kHU/edit?usp=sharing  #gid=0"",""фіз особи new!relations_name""),6,FALSE)
,
(IF
(
G824=""юридична особа""
,
VLOOKUP(H8"&amp;"24,IMPORTRANGE(""https://docs.google.com/spreadsheets/d/14Bd19lYaqBhU8_DElYkX7l4wRkHqqCUFNJY4AfY3kHU/edit?usp=sharing  #gid=0"",""фіз особи new!relations_name_uo""),7,FALSE)
,
)
))"),"ДЕМЕШИН Дмитро Вікторович")</f>
        <v>ДЕМЕШИН Дмитро Вікторович</v>
      </c>
      <c r="J823" s="7" t="s">
        <v>28</v>
      </c>
    </row>
    <row r="824" spans="1:10" ht="13.2">
      <c r="A824" s="7">
        <v>823</v>
      </c>
      <c r="B824" s="7">
        <v>1</v>
      </c>
      <c r="C824" s="7" t="s">
        <v>10</v>
      </c>
      <c r="D824" s="7">
        <v>300</v>
      </c>
      <c r="E824" s="7" t="s">
        <v>29</v>
      </c>
      <c r="F824" s="8" t="str">
        <f ca="1">IFERROR(__xludf.DUMMYFUNCTION("IF
(
C825=""фізична особа""
,
VLOOKUP(D825,IMPORTRANGE(""https://docs.google.com/spreadsheets/d/14Bd19lYaqBhU8_DElYkX7l4wRkHqqCUFNJY4AfY3kHU/edit?usp=sharing  #gid=0"",""фіз особи new!relations_name""),6,FALSE)
,
(IF
(
C825=""юридична особа""
,
VLOOKUP(D8"&amp;"25,IMPORTRANGE(""https://docs.google.com/spreadsheets/d/14Bd19lYaqBhU8_DElYkX7l4wRkHqqCUFNJY4AfY3kHU/edit?usp=sharing  #gid=0"",""фіз особи new!relations_name_uo""),7,FALSE)
,
)
))"),"КРАСНОВ Ігор Вікторович")</f>
        <v>КРАСНОВ Ігор Вікторович</v>
      </c>
      <c r="G824" s="7" t="s">
        <v>10</v>
      </c>
      <c r="H824" s="7">
        <v>0</v>
      </c>
      <c r="I824" s="8" t="str">
        <f ca="1">IFERROR(__xludf.DUMMYFUNCTION("IF
(
G825=""фізична особа""
,
VLOOKUP(H825,IMPORTRANGE(""https://docs.google.com/spreadsheets/d/14Bd19lYaqBhU8_DElYkX7l4wRkHqqCUFNJY4AfY3kHU/edit?usp=sharing  #gid=0"",""фіз особи new!relations_name""),6,FALSE)
,
(IF
(
G825=""юридична особа""
,
VLOOKUP(H8"&amp;"25,IMPORTRANGE(""https://docs.google.com/spreadsheets/d/14Bd19lYaqBhU8_DElYkX7l4wRkHqqCUFNJY4AfY3kHU/edit?usp=sharing  #gid=0"",""фіз особи new!relations_name_uo""),7,FALSE)
,
)
))"),"#N/A")</f>
        <v>#N/A</v>
      </c>
      <c r="J824" s="7" t="s">
        <v>28</v>
      </c>
    </row>
    <row r="825" spans="1:10" ht="13.2">
      <c r="A825" s="7">
        <v>824</v>
      </c>
      <c r="B825" s="7">
        <v>1</v>
      </c>
      <c r="C825" s="7" t="s">
        <v>10</v>
      </c>
      <c r="D825" s="7">
        <v>301</v>
      </c>
      <c r="E825" s="7" t="s">
        <v>28</v>
      </c>
      <c r="F825" s="8" t="str">
        <f ca="1">IFERROR(__xludf.DUMMYFUNCTION("IF
(
C826=""фізична особа""
,
VLOOKUP(D826,IMPORTRANGE(""https://docs.google.com/spreadsheets/d/14Bd19lYaqBhU8_DElYkX7l4wRkHqqCUFNJY4AfY3kHU/edit?usp=sharing  #gid=0"",""фіз особи new!relations_name""),6,FALSE)
,
(IF
(
C826=""юридична особа""
,
VLOOKUP(D8"&amp;"26,IMPORTRANGE(""https://docs.google.com/spreadsheets/d/14Bd19lYaqBhU8_DElYkX7l4wRkHqqCUFNJY4AfY3kHU/edit?usp=sharing  #gid=0"",""фіз особи new!relations_name_uo""),7,FALSE)
,
)
))"),"ЗАВІЗЬОН Олексій Володимирович")</f>
        <v>ЗАВІЗЬОН Олексій Володимирович</v>
      </c>
      <c r="G825" s="7" t="s">
        <v>10</v>
      </c>
      <c r="H825" s="7">
        <v>401</v>
      </c>
      <c r="I825" s="8" t="str">
        <f ca="1">IFERROR(__xludf.DUMMYFUNCTION("IF
(
G826=""фізична особа""
,
VLOOKUP(H826,IMPORTRANGE(""https://docs.google.com/spreadsheets/d/14Bd19lYaqBhU8_DElYkX7l4wRkHqqCUFNJY4AfY3kHU/edit?usp=sharing  #gid=0"",""фіз особи new!relations_name""),6,FALSE)
,
(IF
(
G826=""юридична особа""
,
VLOOKUP(H8"&amp;"26,IMPORTRANGE(""https://docs.google.com/spreadsheets/d/14Bd19lYaqBhU8_DElYkX7l4wRkHqqCUFNJY4AfY3kHU/edit?usp=sharing  #gid=0"",""фіз особи new!relations_name_uo""),7,FALSE)
,
)
))"),"ЖУРАВЛЬОВ Олександр Олександрович")</f>
        <v>ЖУРАВЛЬОВ Олександр Олександрович</v>
      </c>
      <c r="J825" s="7" t="s">
        <v>29</v>
      </c>
    </row>
    <row r="826" spans="1:10" ht="13.2">
      <c r="A826" s="7">
        <v>825</v>
      </c>
      <c r="B826" s="7">
        <v>1</v>
      </c>
      <c r="C826" s="7" t="s">
        <v>10</v>
      </c>
      <c r="D826" s="7">
        <v>302</v>
      </c>
      <c r="E826" s="7" t="s">
        <v>28</v>
      </c>
      <c r="F826" s="8" t="str">
        <f ca="1">IFERROR(__xludf.DUMMYFUNCTION("IF
(
C827=""фізична особа""
,
VLOOKUP(D827,IMPORTRANGE(""https://docs.google.com/spreadsheets/d/14Bd19lYaqBhU8_DElYkX7l4wRkHqqCUFNJY4AfY3kHU/edit?usp=sharing  #gid=0"",""фіз особи new!relations_name""),6,FALSE)
,
(IF
(
C827=""юридична особа""
,
VLOOKUP(D8"&amp;"27,IMPORTRANGE(""https://docs.google.com/spreadsheets/d/14Bd19lYaqBhU8_DElYkX7l4wRkHqqCUFNJY4AfY3kHU/edit?usp=sharing  #gid=0"",""фіз особи new!relations_name_uo""),7,FALSE)
,
)
))"),"ТУРЧЕНЮК Ігор Миколайович")</f>
        <v>ТУРЧЕНЮК Ігор Миколайович</v>
      </c>
      <c r="G826" s="7" t="s">
        <v>10</v>
      </c>
      <c r="H826" s="7">
        <v>401</v>
      </c>
      <c r="I826" s="8" t="str">
        <f ca="1">IFERROR(__xludf.DUMMYFUNCTION("IF
(
G827=""фізична особа""
,
VLOOKUP(H827,IMPORTRANGE(""https://docs.google.com/spreadsheets/d/14Bd19lYaqBhU8_DElYkX7l4wRkHqqCUFNJY4AfY3kHU/edit?usp=sharing  #gid=0"",""фіз особи new!relations_name""),6,FALSE)
,
(IF
(
G827=""юридична особа""
,
VLOOKUP(H8"&amp;"27,IMPORTRANGE(""https://docs.google.com/spreadsheets/d/14Bd19lYaqBhU8_DElYkX7l4wRkHqqCUFNJY4AfY3kHU/edit?usp=sharing  #gid=0"",""фіз особи new!relations_name_uo""),7,FALSE)
,
)
))"),"ЖУРАВЛЬОВ Олександр Олександрович")</f>
        <v>ЖУРАВЛЬОВ Олександр Олександрович</v>
      </c>
      <c r="J826" s="7" t="s">
        <v>29</v>
      </c>
    </row>
    <row r="827" spans="1:10" ht="13.2">
      <c r="A827" s="7">
        <v>826</v>
      </c>
      <c r="B827" s="7">
        <v>1</v>
      </c>
      <c r="C827" s="7" t="s">
        <v>10</v>
      </c>
      <c r="D827" s="7">
        <v>304</v>
      </c>
      <c r="E827" s="7" t="s">
        <v>17</v>
      </c>
      <c r="F827" s="8" t="str">
        <f ca="1">IFERROR(__xludf.DUMMYFUNCTION("IF
(
C828=""фізична особа""
,
VLOOKUP(D828,IMPORTRANGE(""https://docs.google.com/spreadsheets/d/14Bd19lYaqBhU8_DElYkX7l4wRkHqqCUFNJY4AfY3kHU/edit?usp=sharing  #gid=0"",""фіз особи new!relations_name""),6,FALSE)
,
(IF
(
C828=""юридична особа""
,
VLOOKUP(D8"&amp;"28,IMPORTRANGE(""https://docs.google.com/spreadsheets/d/14Bd19lYaqBhU8_DElYkX7l4wRkHqqCUFNJY4AfY3kHU/edit?usp=sharing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G827" s="7" t="s">
        <v>10</v>
      </c>
      <c r="H827" s="7">
        <v>5121</v>
      </c>
      <c r="I827" s="8" t="str">
        <f ca="1">IFERROR(__xludf.DUMMYFUNCTION("IF
(
G828=""фізична особа""
,
VLOOKUP(H828,IMPORTRANGE(""https://docs.google.com/spreadsheets/d/14Bd19lYaqBhU8_DElYkX7l4wRkHqqCUFNJY4AfY3kHU/edit?usp=sharing  #gid=0"",""фіз особи new!relations_name""),6,FALSE)
,
(IF
(
G828=""юридична особа""
,
VLOOKUP(H8"&amp;"28,IMPORTRANGE(""https://docs.google.com/spreadsheets/d/14Bd19lYaqBhU8_DElYkX7l4wRkHqqCUFNJY4AfY3kHU/edit?usp=sharing  #gid=0"",""фіз особи new!relations_name_uo""),7,FALSE)
,
)
))"),"РУДЕНСЬКА Валентина Степанівна")</f>
        <v>РУДЕНСЬКА Валентина Степанівна</v>
      </c>
      <c r="J827" s="7" t="s">
        <v>21</v>
      </c>
    </row>
    <row r="828" spans="1:10" ht="13.2">
      <c r="A828" s="7">
        <v>827</v>
      </c>
      <c r="B828" s="7">
        <v>1</v>
      </c>
      <c r="C828" s="7" t="s">
        <v>10</v>
      </c>
      <c r="D828" s="7">
        <v>304</v>
      </c>
      <c r="E828" s="7" t="s">
        <v>35</v>
      </c>
      <c r="F828" s="8" t="str">
        <f ca="1">IFERROR(__xludf.DUMMYFUNCTION("IF
(
C829=""фізична особа""
,
VLOOKUP(D829,IMPORTRANGE(""https://docs.google.com/spreadsheets/d/14Bd19lYaqBhU8_DElYkX7l4wRkHqqCUFNJY4AfY3kHU/edit?usp=sharing  #gid=0"",""фіз особи new!relations_name""),6,FALSE)
,
(IF
(
C829=""юридична особа""
,
VLOOKUP(D8"&amp;"29,IMPORTRANGE(""https://docs.google.com/spreadsheets/d/14Bd19lYaqBhU8_DElYkX7l4wRkHqqCUFNJY4AfY3kHU/edit?usp=sharing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G828" s="7" t="s">
        <v>10</v>
      </c>
      <c r="H828" s="7">
        <v>672</v>
      </c>
      <c r="I828" s="8" t="str">
        <f ca="1">IFERROR(__xludf.DUMMYFUNCTION("IF
(
G829=""фізична особа""
,
VLOOKUP(H829,IMPORTRANGE(""https://docs.google.com/spreadsheets/d/14Bd19lYaqBhU8_DElYkX7l4wRkHqqCUFNJY4AfY3kHU/edit?usp=sharing  #gid=0"",""фіз особи new!relations_name""),6,FALSE)
,
(IF
(
G829=""юридична особа""
,
VLOOKUP(H8"&amp;"29,IMPORTRANGE(""https://docs.google.com/spreadsheets/d/14Bd19lYaqBhU8_DElYkX7l4wRkHqqCUFNJY4AfY3kHU/edit?usp=sharing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828" s="7" t="s">
        <v>35</v>
      </c>
    </row>
    <row r="829" spans="1:10" ht="13.2">
      <c r="A829" s="7">
        <v>828</v>
      </c>
      <c r="B829" s="7">
        <v>1</v>
      </c>
      <c r="C829" s="7" t="s">
        <v>10</v>
      </c>
      <c r="D829" s="7">
        <v>304</v>
      </c>
      <c r="E829" s="7" t="s">
        <v>35</v>
      </c>
      <c r="F829" s="8" t="str">
        <f ca="1">IFERROR(__xludf.DUMMYFUNCTION("IF
(
C830=""фізична особа""
,
VLOOKUP(D830,IMPORTRANGE(""https://docs.google.com/spreadsheets/d/14Bd19lYaqBhU8_DElYkX7l4wRkHqqCUFNJY4AfY3kHU/edit?usp=sharing  #gid=0"",""фіз особи new!relations_name""),6,FALSE)
,
(IF
(
C830=""юридична особа""
,
VLOOKUP(D8"&amp;"30,IMPORTRANGE(""https://docs.google.com/spreadsheets/d/14Bd19lYaqBhU8_DElYkX7l4wRkHqqCUFNJY4AfY3kHU/edit?usp=sharing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G829" s="7" t="s">
        <v>10</v>
      </c>
      <c r="H829" s="7">
        <v>899</v>
      </c>
      <c r="I829" s="8" t="str">
        <f ca="1">IFERROR(__xludf.DUMMYFUNCTION("IF
(
G830=""фізична особа""
,
VLOOKUP(H830,IMPORTRANGE(""https://docs.google.com/spreadsheets/d/14Bd19lYaqBhU8_DElYkX7l4wRkHqqCUFNJY4AfY3kHU/edit?usp=sharing  #gid=0"",""фіз особи new!relations_name""),6,FALSE)
,
(IF
(
G830=""юридична особа""
,
VLOOKUP(H8"&amp;"30,IMPORTRANGE(""https://docs.google.com/spreadsheets/d/14Bd19lYaqBhU8_DElYkX7l4wRkHqqCUFNJY4AfY3kHU/edit?usp=sharing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829" s="7" t="s">
        <v>35</v>
      </c>
    </row>
    <row r="830" spans="1:10" ht="13.2">
      <c r="A830" s="7">
        <v>829</v>
      </c>
      <c r="B830" s="7">
        <v>1</v>
      </c>
      <c r="C830" s="7" t="s">
        <v>10</v>
      </c>
      <c r="D830" s="7">
        <v>304</v>
      </c>
      <c r="E830" s="7" t="s">
        <v>29</v>
      </c>
      <c r="F830" s="8" t="str">
        <f ca="1">IFERROR(__xludf.DUMMYFUNCTION("IF
(
C831=""фізична особа""
,
VLOOKUP(D831,IMPORTRANGE(""https://docs.google.com/spreadsheets/d/14Bd19lYaqBhU8_DElYkX7l4wRkHqqCUFNJY4AfY3kHU/edit?usp=sharing  #gid=0"",""фіз особи new!relations_name""),6,FALSE)
,
(IF
(
C831=""юридична особа""
,
VLOOKUP(D8"&amp;"31,IMPORTRANGE(""https://docs.google.com/spreadsheets/d/14Bd19lYaqBhU8_DElYkX7l4wRkHqqCUFNJY4AfY3kHU/edit?usp=sharing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G830" s="7" t="s">
        <v>10</v>
      </c>
      <c r="H830" s="7">
        <v>23386</v>
      </c>
      <c r="I830" s="8" t="str">
        <f ca="1">IFERROR(__xludf.DUMMYFUNCTION("IF
(
G831=""фізична особа""
,
VLOOKUP(H831,IMPORTRANGE(""https://docs.google.com/spreadsheets/d/14Bd19lYaqBhU8_DElYkX7l4wRkHqqCUFNJY4AfY3kHU/edit?usp=sharing  #gid=0"",""фіз особи new!relations_name""),6,FALSE)
,
(IF
(
G831=""юридична особа""
,
VLOOKUP(H8"&amp;"31,IMPORTRANGE(""https://docs.google.com/spreadsheets/d/14Bd19lYaqBhU8_DElYkX7l4wRkHqqCUFNJY4AfY3kHU/edit?usp=sharing  #gid=0"",""фіз особи new!relations_name_uo""),7,FALSE)
,
)
))"),"ФАУСТ Валентин Ізидорович")</f>
        <v>ФАУСТ Валентин Ізидорович</v>
      </c>
      <c r="J830" s="7" t="s">
        <v>28</v>
      </c>
    </row>
    <row r="831" spans="1:10" ht="13.2">
      <c r="A831" s="7">
        <v>830</v>
      </c>
      <c r="B831" s="7">
        <v>1</v>
      </c>
      <c r="C831" s="7" t="s">
        <v>10</v>
      </c>
      <c r="D831" s="7">
        <v>305</v>
      </c>
      <c r="E831" s="7" t="s">
        <v>14</v>
      </c>
      <c r="F831" s="8" t="str">
        <f ca="1">IFERROR(__xludf.DUMMYFUNCTION("IF
(
C832=""фізична особа""
,
VLOOKUP(D832,IMPORTRANGE(""https://docs.google.com/spreadsheets/d/14Bd19lYaqBhU8_DElYkX7l4wRkHqqCUFNJY4AfY3kHU/edit?usp=sharing  #gid=0"",""фіз особи new!relations_name""),6,FALSE)
,
(IF
(
C832=""юридична особа""
,
VLOOKUP(D8"&amp;"32,IMPORTRANGE(""https://docs.google.com/spreadsheets/d/14Bd19lYaqBhU8_DElYkX7l4wRkHqqCUFNJY4AfY3kHU/edit?usp=sharing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G831" s="7" t="s">
        <v>10</v>
      </c>
      <c r="H831" s="7">
        <v>5122</v>
      </c>
      <c r="I831" s="8" t="str">
        <f ca="1">IFERROR(__xludf.DUMMYFUNCTION("IF
(
G832=""фізична особа""
,
VLOOKUP(H832,IMPORTRANGE(""https://docs.google.com/spreadsheets/d/14Bd19lYaqBhU8_DElYkX7l4wRkHqqCUFNJY4AfY3kHU/edit?usp=sharing  #gid=0"",""фіз особи new!relations_name""),6,FALSE)
,
(IF
(
G832=""юридична особа""
,
VLOOKUP(H8"&amp;"32,IMPORTRANGE(""https://docs.google.com/spreadsheets/d/14Bd19lYaqBhU8_DElYkX7l4wRkHqqCUFNJY4AfY3kHU/edit?usp=sharing  #gid=0"",""фіз особи new!relations_name_uo""),7,FALSE)
,
)
))"),"ШУБІНА Тетяна Геннадіївна")</f>
        <v>ШУБІНА Тетяна Геннадіївна</v>
      </c>
      <c r="J831" s="7" t="s">
        <v>15</v>
      </c>
    </row>
    <row r="832" spans="1:10" ht="13.2">
      <c r="A832" s="7">
        <v>831</v>
      </c>
      <c r="B832" s="7">
        <v>1</v>
      </c>
      <c r="C832" s="7" t="s">
        <v>10</v>
      </c>
      <c r="D832" s="7">
        <v>305</v>
      </c>
      <c r="E832" s="7" t="s">
        <v>12</v>
      </c>
      <c r="F832" s="8" t="str">
        <f ca="1">IFERROR(__xludf.DUMMYFUNCTION("IF
(
C833=""фізична особа""
,
VLOOKUP(D833,IMPORTRANGE(""https://docs.google.com/spreadsheets/d/14Bd19lYaqBhU8_DElYkX7l4wRkHqqCUFNJY4AfY3kHU/edit?usp=sharing  #gid=0"",""фіз особи new!relations_name""),6,FALSE)
,
(IF
(
C833=""юридична особа""
,
VLOOKUP(D8"&amp;"33,IMPORTRANGE(""https://docs.google.com/spreadsheets/d/14Bd19lYaqBhU8_DElYkX7l4wRkHqqCUFNJY4AfY3kHU/edit?usp=sharing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G832" s="7" t="s">
        <v>10</v>
      </c>
      <c r="H832" s="7">
        <v>5123</v>
      </c>
      <c r="I832" s="8" t="str">
        <f ca="1">IFERROR(__xludf.DUMMYFUNCTION("IF
(
G833=""фізична особа""
,
VLOOKUP(H833,IMPORTRANGE(""https://docs.google.com/spreadsheets/d/14Bd19lYaqBhU8_DElYkX7l4wRkHqqCUFNJY4AfY3kHU/edit?usp=sharing  #gid=0"",""фіз особи new!relations_name""),6,FALSE)
,
(IF
(
G833=""юридична особа""
,
VLOOKUP(H8"&amp;"33,IMPORTRANGE(""https://docs.google.com/spreadsheets/d/14Bd19lYaqBhU8_DElYkX7l4wRkHqqCUFNJY4AfY3kHU/edit?usp=sharing  #gid=0"",""фіз особи new!relations_name_uo""),7,FALSE)
,
)
))"),"ШУБІНА Ольга Ігорівна")</f>
        <v>ШУБІНА Ольга Ігорівна</v>
      </c>
      <c r="J832" s="7" t="s">
        <v>13</v>
      </c>
    </row>
    <row r="833" spans="1:10" ht="13.2">
      <c r="A833" s="7">
        <v>832</v>
      </c>
      <c r="B833" s="7">
        <v>1</v>
      </c>
      <c r="C833" s="7" t="s">
        <v>10</v>
      </c>
      <c r="D833" s="7">
        <v>305</v>
      </c>
      <c r="E833" s="7" t="s">
        <v>12</v>
      </c>
      <c r="F833" s="8" t="str">
        <f ca="1">IFERROR(__xludf.DUMMYFUNCTION("IF
(
C834=""фізична особа""
,
VLOOKUP(D834,IMPORTRANGE(""https://docs.google.com/spreadsheets/d/14Bd19lYaqBhU8_DElYkX7l4wRkHqqCUFNJY4AfY3kHU/edit?usp=sharing  #gid=0"",""фіз особи new!relations_name""),6,FALSE)
,
(IF
(
C834=""юридична особа""
,
VLOOKUP(D8"&amp;"34,IMPORTRANGE(""https://docs.google.com/spreadsheets/d/14Bd19lYaqBhU8_DElYkX7l4wRkHqqCUFNJY4AfY3kHU/edit?usp=sharing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G833" s="7" t="s">
        <v>10</v>
      </c>
      <c r="H833" s="7">
        <v>5124</v>
      </c>
      <c r="I833" s="8" t="str">
        <f ca="1">IFERROR(__xludf.DUMMYFUNCTION("IF
(
G834=""фізична особа""
,
VLOOKUP(H834,IMPORTRANGE(""https://docs.google.com/spreadsheets/d/14Bd19lYaqBhU8_DElYkX7l4wRkHqqCUFNJY4AfY3kHU/edit?usp=sharing  #gid=0"",""фіз особи new!relations_name""),6,FALSE)
,
(IF
(
G834=""юридична особа""
,
VLOOKUP(H8"&amp;"34,IMPORTRANGE(""https://docs.google.com/spreadsheets/d/14Bd19lYaqBhU8_DElYkX7l4wRkHqqCUFNJY4AfY3kHU/edit?usp=sharing  #gid=0"",""фіз особи new!relations_name_uo""),7,FALSE)
,
)
))"),"ШУБІН Олексій Ігорович")</f>
        <v>ШУБІН Олексій Ігорович</v>
      </c>
      <c r="J833" s="7" t="s">
        <v>17</v>
      </c>
    </row>
    <row r="834" spans="1:10" ht="13.2">
      <c r="A834" s="7">
        <v>833</v>
      </c>
      <c r="B834" s="7">
        <v>1</v>
      </c>
      <c r="C834" s="7" t="s">
        <v>10</v>
      </c>
      <c r="D834" s="7">
        <v>306</v>
      </c>
      <c r="E834" s="7" t="s">
        <v>12</v>
      </c>
      <c r="F834" s="8" t="str">
        <f ca="1">IFERROR(__xludf.DUMMYFUNCTION("IF
(
C835=""фізична особа""
,
VLOOKUP(D835,IMPORTRANGE(""https://docs.google.com/spreadsheets/d/14Bd19lYaqBhU8_DElYkX7l4wRkHqqCUFNJY4AfY3kHU/edit?usp=sharing  #gid=0"",""фіз особи new!relations_name""),6,FALSE)
,
(IF
(
C835=""юридична особа""
,
VLOOKUP(D8"&amp;"35,IMPORTRANGE(""https://docs.google.com/spreadsheets/d/14Bd19lYaqBhU8_DElYkX7l4wRkHqqCUFNJY4AfY3kHU/edit?usp=sharing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4" s="7" t="s">
        <v>10</v>
      </c>
      <c r="H834" s="7">
        <v>0</v>
      </c>
      <c r="I834" s="8" t="str">
        <f ca="1">IFERROR(__xludf.DUMMYFUNCTION("IF
(
G835=""фізична особа""
,
VLOOKUP(H835,IMPORTRANGE(""https://docs.google.com/spreadsheets/d/14Bd19lYaqBhU8_DElYkX7l4wRkHqqCUFNJY4AfY3kHU/edit?usp=sharing  #gid=0"",""фіз особи new!relations_name""),6,FALSE)
,
(IF
(
G835=""юридична особа""
,
VLOOKUP(H8"&amp;"35,IMPORTRANGE(""https://docs.google.com/spreadsheets/d/14Bd19lYaqBhU8_DElYkX7l4wRkHqqCUFNJY4AfY3kHU/edit?usp=sharing  #gid=0"",""фіз особи new!relations_name_uo""),7,FALSE)
,
)
))"),"#N/A")</f>
        <v>#N/A</v>
      </c>
      <c r="J834" s="7" t="s">
        <v>17</v>
      </c>
    </row>
    <row r="835" spans="1:10" ht="13.2">
      <c r="A835" s="7">
        <v>834</v>
      </c>
      <c r="B835" s="7">
        <v>1</v>
      </c>
      <c r="C835" s="7" t="s">
        <v>10</v>
      </c>
      <c r="D835" s="7">
        <v>306</v>
      </c>
      <c r="E835" s="7" t="s">
        <v>14</v>
      </c>
      <c r="F835" s="8" t="str">
        <f ca="1">IFERROR(__xludf.DUMMYFUNCTION("IF
(
C836=""фізична особа""
,
VLOOKUP(D836,IMPORTRANGE(""https://docs.google.com/spreadsheets/d/14Bd19lYaqBhU8_DElYkX7l4wRkHqqCUFNJY4AfY3kHU/edit?usp=sharing  #gid=0"",""фіз особи new!relations_name""),6,FALSE)
,
(IF
(
C836=""юридична особа""
,
VLOOKUP(D8"&amp;"36,IMPORTRANGE(""https://docs.google.com/spreadsheets/d/14Bd19lYaqBhU8_DElYkX7l4wRkHqqCUFNJY4AfY3kHU/edit?usp=sharing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5" s="7" t="s">
        <v>10</v>
      </c>
      <c r="H835" s="7">
        <v>8616</v>
      </c>
      <c r="I835" s="8" t="str">
        <f ca="1">IFERROR(__xludf.DUMMYFUNCTION("IF
(
G836=""фізична особа""
,
VLOOKUP(H836,IMPORTRANGE(""https://docs.google.com/spreadsheets/d/14Bd19lYaqBhU8_DElYkX7l4wRkHqqCUFNJY4AfY3kHU/edit?usp=sharing  #gid=0"",""фіз особи new!relations_name""),6,FALSE)
,
(IF
(
G836=""юридична особа""
,
VLOOKUP(H8"&amp;"36,IMPORTRANGE(""https://docs.google.com/spreadsheets/d/14Bd19lYaqBhU8_DElYkX7l4wRkHqqCUFNJY4AfY3kHU/edit?usp=sharing  #gid=0"",""фіз особи new!relations_name_uo""),7,FALSE)
,
)
))"),"МОРОЗОВА Ольга Василівна")</f>
        <v>МОРОЗОВА Ольга Василівна</v>
      </c>
      <c r="J835" s="7" t="s">
        <v>15</v>
      </c>
    </row>
    <row r="836" spans="1:10" ht="13.2">
      <c r="A836" s="7">
        <v>835</v>
      </c>
      <c r="B836" s="7">
        <v>1</v>
      </c>
      <c r="C836" s="7" t="s">
        <v>10</v>
      </c>
      <c r="D836" s="7">
        <v>306</v>
      </c>
      <c r="E836" s="7" t="s">
        <v>12</v>
      </c>
      <c r="F836" s="8" t="str">
        <f ca="1">IFERROR(__xludf.DUMMYFUNCTION("IF
(
C837=""фізична особа""
,
VLOOKUP(D837,IMPORTRANGE(""https://docs.google.com/spreadsheets/d/14Bd19lYaqBhU8_DElYkX7l4wRkHqqCUFNJY4AfY3kHU/edit?usp=sharing  #gid=0"",""фіз особи new!relations_name""),6,FALSE)
,
(IF
(
C837=""юридична особа""
,
VLOOKUP(D8"&amp;"37,IMPORTRANGE(""https://docs.google.com/spreadsheets/d/14Bd19lYaqBhU8_DElYkX7l4wRkHqqCUFNJY4AfY3kHU/edit?usp=sharing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6" s="7" t="s">
        <v>10</v>
      </c>
      <c r="H836" s="7">
        <v>23387</v>
      </c>
      <c r="I836" s="8" t="str">
        <f ca="1">IFERROR(__xludf.DUMMYFUNCTION("IF
(
G837=""фізична особа""
,
VLOOKUP(H837,IMPORTRANGE(""https://docs.google.com/spreadsheets/d/14Bd19lYaqBhU8_DElYkX7l4wRkHqqCUFNJY4AfY3kHU/edit?usp=sharing  #gid=0"",""фіз особи new!relations_name""),6,FALSE)
,
(IF
(
G837=""юридична особа""
,
VLOOKUP(H8"&amp;"37,IMPORTRANGE(""https://docs.google.com/spreadsheets/d/14Bd19lYaqBhU8_DElYkX7l4wRkHqqCUFNJY4AfY3kHU/edit?usp=sharing  #gid=0"",""фіз особи new!relations_name_uo""),7,FALSE)
,
)
))"),"КОЖИНА Катерина Ігорівна")</f>
        <v>КОЖИНА Катерина Ігорівна</v>
      </c>
      <c r="J836" s="7" t="s">
        <v>13</v>
      </c>
    </row>
    <row r="837" spans="1:10" ht="13.2">
      <c r="A837" s="7">
        <v>836</v>
      </c>
      <c r="B837" s="7">
        <v>1</v>
      </c>
      <c r="C837" s="7" t="s">
        <v>10</v>
      </c>
      <c r="D837" s="7">
        <v>306</v>
      </c>
      <c r="E837" s="7" t="s">
        <v>24</v>
      </c>
      <c r="F837" s="8" t="str">
        <f ca="1">IFERROR(__xludf.DUMMYFUNCTION("IF
(
C838=""фізична особа""
,
VLOOKUP(D838,IMPORTRANGE(""https://docs.google.com/spreadsheets/d/14Bd19lYaqBhU8_DElYkX7l4wRkHqqCUFNJY4AfY3kHU/edit?usp=sharing  #gid=0"",""фіз особи new!relations_name""),6,FALSE)
,
(IF
(
C838=""юридична особа""
,
VLOOKUP(D8"&amp;"38,IMPORTRANGE(""https://docs.google.com/spreadsheets/d/14Bd19lYaqBhU8_DElYkX7l4wRkHqqCUFNJY4AfY3kHU/edit?usp=sharing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7" s="7" t="s">
        <v>10</v>
      </c>
      <c r="H837" s="7">
        <v>4312</v>
      </c>
      <c r="I837" s="8" t="str">
        <f ca="1">IFERROR(__xludf.DUMMYFUNCTION("IF
(
G838=""фізична особа""
,
VLOOKUP(H838,IMPORTRANGE(""https://docs.google.com/spreadsheets/d/14Bd19lYaqBhU8_DElYkX7l4wRkHqqCUFNJY4AfY3kHU/edit?usp=sharing  #gid=0"",""фіз особи new!relations_name""),6,FALSE)
,
(IF
(
G838=""юридична особа""
,
VLOOKUP(H8"&amp;"38,IMPORTRANGE(""https://docs.google.com/spreadsheets/d/14Bd19lYaqBhU8_DElYkX7l4wRkHqqCUFNJY4AfY3kHU/edit?usp=sharing  #gid=0"",""фіз особи new!relations_name_uo""),7,FALSE)
,
)
))"),"КОЖИН Ігор Володимирович")</f>
        <v>КОЖИН Ігор Володимирович</v>
      </c>
      <c r="J837" s="7" t="s">
        <v>26</v>
      </c>
    </row>
    <row r="838" spans="1:10" ht="13.2">
      <c r="A838" s="7">
        <v>837</v>
      </c>
      <c r="B838" s="7">
        <v>1</v>
      </c>
      <c r="C838" s="7" t="s">
        <v>10</v>
      </c>
      <c r="D838" s="7">
        <v>306</v>
      </c>
      <c r="E838" s="7" t="s">
        <v>11</v>
      </c>
      <c r="F838" s="8" t="str">
        <f ca="1">IFERROR(__xludf.DUMMYFUNCTION("IF
(
C839=""фізична особа""
,
VLOOKUP(D839,IMPORTRANGE(""https://docs.google.com/spreadsheets/d/14Bd19lYaqBhU8_DElYkX7l4wRkHqqCUFNJY4AfY3kHU/edit?usp=sharing  #gid=0"",""фіз особи new!relations_name""),6,FALSE)
,
(IF
(
C839=""юридична особа""
,
VLOOKUP(D8"&amp;"39,IMPORTRANGE(""https://docs.google.com/spreadsheets/d/14Bd19lYaqBhU8_DElYkX7l4wRkHqqCUFNJY4AfY3kHU/edit?usp=sharing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8" s="7" t="s">
        <v>10</v>
      </c>
      <c r="H838" s="7">
        <v>4022</v>
      </c>
      <c r="I838" s="8" t="str">
        <f ca="1">IFERROR(__xludf.DUMMYFUNCTION("IF
(
G839=""фізична особа""
,
VLOOKUP(H839,IMPORTRANGE(""https://docs.google.com/spreadsheets/d/14Bd19lYaqBhU8_DElYkX7l4wRkHqqCUFNJY4AfY3kHU/edit?usp=sharing  #gid=0"",""фіз особи new!relations_name""),6,FALSE)
,
(IF
(
G839=""юридична особа""
,
VLOOKUP(H8"&amp;"39,IMPORTRANGE(""https://docs.google.com/spreadsheets/d/14Bd19lYaqBhU8_DElYkX7l4wRkHqqCUFNJY4AfY3kHU/edit?usp=sharing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838" s="7" t="s">
        <v>11</v>
      </c>
    </row>
    <row r="839" spans="1:10" ht="13.2">
      <c r="A839" s="7">
        <v>838</v>
      </c>
      <c r="B839" s="7">
        <v>1</v>
      </c>
      <c r="C839" s="7" t="s">
        <v>10</v>
      </c>
      <c r="D839" s="7">
        <v>306</v>
      </c>
      <c r="E839" s="7" t="s">
        <v>62</v>
      </c>
      <c r="F839" s="8" t="str">
        <f ca="1">IFERROR(__xludf.DUMMYFUNCTION("IF
(
C840=""фізична особа""
,
VLOOKUP(D840,IMPORTRANGE(""https://docs.google.com/spreadsheets/d/14Bd19lYaqBhU8_DElYkX7l4wRkHqqCUFNJY4AfY3kHU/edit?usp=sharing  #gid=0"",""фіз особи new!relations_name""),6,FALSE)
,
(IF
(
C840=""юридична особа""
,
VLOOKUP(D8"&amp;"40,IMPORTRANGE(""https://docs.google.com/spreadsheets/d/14Bd19lYaqBhU8_DElYkX7l4wRkHqqCUFNJY4AfY3kHU/edit?usp=sharing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39" s="7" t="s">
        <v>10</v>
      </c>
      <c r="H839" s="7">
        <v>855</v>
      </c>
      <c r="I839" s="8" t="str">
        <f ca="1">IFERROR(__xludf.DUMMYFUNCTION("IF
(
G840=""фізична особа""
,
VLOOKUP(H840,IMPORTRANGE(""https://docs.google.com/spreadsheets/d/14Bd19lYaqBhU8_DElYkX7l4wRkHqqCUFNJY4AfY3kHU/edit?usp=sharing  #gid=0"",""фіз особи new!relations_name""),6,FALSE)
,
(IF
(
G840=""юридична особа""
,
VLOOKUP(H8"&amp;"40,IMPORTRANGE(""https://docs.google.com/spreadsheets/d/14Bd19lYaqBhU8_DElYkX7l4wRkHqqCUFNJY4AfY3kHU/edit?usp=sharing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J839" s="7" t="s">
        <v>62</v>
      </c>
    </row>
    <row r="840" spans="1:10" ht="13.2">
      <c r="A840" s="7">
        <v>839</v>
      </c>
      <c r="B840" s="7">
        <v>1</v>
      </c>
      <c r="C840" s="7" t="s">
        <v>10</v>
      </c>
      <c r="D840" s="7">
        <v>306</v>
      </c>
      <c r="E840" s="7" t="s">
        <v>17</v>
      </c>
      <c r="F840" s="8" t="str">
        <f ca="1">IFERROR(__xludf.DUMMYFUNCTION("IF
(
C841=""фізична особа""
,
VLOOKUP(D841,IMPORTRANGE(""https://docs.google.com/spreadsheets/d/14Bd19lYaqBhU8_DElYkX7l4wRkHqqCUFNJY4AfY3kHU/edit?usp=sharing  #gid=0"",""фіз особи new!relations_name""),6,FALSE)
,
(IF
(
C841=""юридична особа""
,
VLOOKUP(D8"&amp;"41,IMPORTRANGE(""https://docs.google.com/spreadsheets/d/14Bd19lYaqBhU8_DElYkX7l4wRkHqqCUFNJY4AfY3kHU/edit?usp=sharing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40" s="7" t="s">
        <v>10</v>
      </c>
      <c r="H840" s="7">
        <v>23388</v>
      </c>
      <c r="I840" s="8" t="str">
        <f ca="1">IFERROR(__xludf.DUMMYFUNCTION("IF
(
G841=""фізична особа""
,
VLOOKUP(H841,IMPORTRANGE(""https://docs.google.com/spreadsheets/d/14Bd19lYaqBhU8_DElYkX7l4wRkHqqCUFNJY4AfY3kHU/edit?usp=sharing  #gid=0"",""фіз особи new!relations_name""),6,FALSE)
,
(IF
(
G841=""юридична особа""
,
VLOOKUP(H8"&amp;"41,IMPORTRANGE(""https://docs.google.com/spreadsheets/d/14Bd19lYaqBhU8_DElYkX7l4wRkHqqCUFNJY4AfY3kHU/edit?usp=sharing  #gid=0"",""фіз особи new!relations_name_uo""),7,FALSE)
,
)
))"),"МОРОЗОВА Тамара Василівна")</f>
        <v>МОРОЗОВА Тамара Василівна</v>
      </c>
      <c r="J840" s="7" t="s">
        <v>21</v>
      </c>
    </row>
    <row r="841" spans="1:10" ht="13.2">
      <c r="A841" s="7">
        <v>840</v>
      </c>
      <c r="B841" s="7">
        <v>1</v>
      </c>
      <c r="C841" s="7" t="s">
        <v>10</v>
      </c>
      <c r="D841" s="7">
        <v>306</v>
      </c>
      <c r="E841" s="7" t="s">
        <v>30</v>
      </c>
      <c r="F841" s="8" t="str">
        <f ca="1">IFERROR(__xludf.DUMMYFUNCTION("IF
(
C842=""фізична особа""
,
VLOOKUP(D842,IMPORTRANGE(""https://docs.google.com/spreadsheets/d/14Bd19lYaqBhU8_DElYkX7l4wRkHqqCUFNJY4AfY3kHU/edit?usp=sharing  #gid=0"",""фіз особи new!relations_name""),6,FALSE)
,
(IF
(
C842=""юридична особа""
,
VLOOKUP(D8"&amp;"42,IMPORTRANGE(""https://docs.google.com/spreadsheets/d/14Bd19lYaqBhU8_DElYkX7l4wRkHqqCUFNJY4AfY3kHU/edit?usp=sharing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41" s="7" t="s">
        <v>10</v>
      </c>
      <c r="H841" s="7">
        <v>0</v>
      </c>
      <c r="I841" s="8" t="str">
        <f ca="1">IFERROR(__xludf.DUMMYFUNCTION("IF
(
G842=""фізична особа""
,
VLOOKUP(H842,IMPORTRANGE(""https://docs.google.com/spreadsheets/d/14Bd19lYaqBhU8_DElYkX7l4wRkHqqCUFNJY4AfY3kHU/edit?usp=sharing  #gid=0"",""фіз особи new!relations_name""),6,FALSE)
,
(IF
(
G842=""юридична особа""
,
VLOOKUP(H8"&amp;"42,IMPORTRANGE(""https://docs.google.com/spreadsheets/d/14Bd19lYaqBhU8_DElYkX7l4wRkHqqCUFNJY4AfY3kHU/edit?usp=sharing  #gid=0"",""фіз особи new!relations_name_uo""),7,FALSE)
,
)
))"),"#N/A")</f>
        <v>#N/A</v>
      </c>
      <c r="J841" s="7" t="s">
        <v>30</v>
      </c>
    </row>
    <row r="842" spans="1:10" ht="13.2">
      <c r="A842" s="7">
        <v>841</v>
      </c>
      <c r="B842" s="7">
        <v>1</v>
      </c>
      <c r="C842" s="7" t="s">
        <v>10</v>
      </c>
      <c r="D842" s="7">
        <v>306</v>
      </c>
      <c r="E842" s="7" t="s">
        <v>30</v>
      </c>
      <c r="F842" s="8" t="str">
        <f ca="1">IFERROR(__xludf.DUMMYFUNCTION("IF
(
C843=""фізична особа""
,
VLOOKUP(D843,IMPORTRANGE(""https://docs.google.com/spreadsheets/d/14Bd19lYaqBhU8_DElYkX7l4wRkHqqCUFNJY4AfY3kHU/edit?usp=sharing  #gid=0"",""фіз особи new!relations_name""),6,FALSE)
,
(IF
(
C843=""юридична особа""
,
VLOOKUP(D8"&amp;"43,IMPORTRANGE(""https://docs.google.com/spreadsheets/d/14Bd19lYaqBhU8_DElYkX7l4wRkHqqCUFNJY4AfY3kHU/edit?usp=sharing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42" s="7" t="s">
        <v>10</v>
      </c>
      <c r="H842" s="7">
        <v>0</v>
      </c>
      <c r="I842" s="8" t="str">
        <f ca="1">IFERROR(__xludf.DUMMYFUNCTION("IF
(
G843=""фізична особа""
,
VLOOKUP(H843,IMPORTRANGE(""https://docs.google.com/spreadsheets/d/14Bd19lYaqBhU8_DElYkX7l4wRkHqqCUFNJY4AfY3kHU/edit?usp=sharing  #gid=0"",""фіз особи new!relations_name""),6,FALSE)
,
(IF
(
G843=""юридична особа""
,
VLOOKUP(H8"&amp;"43,IMPORTRANGE(""https://docs.google.com/spreadsheets/d/14Bd19lYaqBhU8_DElYkX7l4wRkHqqCUFNJY4AfY3kHU/edit?usp=sharing  #gid=0"",""фіз особи new!relations_name_uo""),7,FALSE)
,
)
))"),"#N/A")</f>
        <v>#N/A</v>
      </c>
      <c r="J842" s="7" t="s">
        <v>30</v>
      </c>
    </row>
    <row r="843" spans="1:10" ht="13.2">
      <c r="A843" s="7">
        <v>842</v>
      </c>
      <c r="B843" s="7">
        <v>1</v>
      </c>
      <c r="C843" s="7" t="s">
        <v>10</v>
      </c>
      <c r="D843" s="7">
        <v>306</v>
      </c>
      <c r="E843" s="7" t="s">
        <v>30</v>
      </c>
      <c r="F843" s="8" t="str">
        <f ca="1">IFERROR(__xludf.DUMMYFUNCTION("IF
(
C844=""фізична особа""
,
VLOOKUP(D844,IMPORTRANGE(""https://docs.google.com/spreadsheets/d/14Bd19lYaqBhU8_DElYkX7l4wRkHqqCUFNJY4AfY3kHU/edit?usp=sharing  #gid=0"",""фіз особи new!relations_name""),6,FALSE)
,
(IF
(
C844=""юридична особа""
,
VLOOKUP(D8"&amp;"44,IMPORTRANGE(""https://docs.google.com/spreadsheets/d/14Bd19lYaqBhU8_DElYkX7l4wRkHqqCUFNJY4AfY3kHU/edit?usp=sharing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G843" s="7" t="s">
        <v>10</v>
      </c>
      <c r="H843" s="7">
        <v>0</v>
      </c>
      <c r="I843" s="8" t="str">
        <f ca="1">IFERROR(__xludf.DUMMYFUNCTION("IF
(
G844=""фізична особа""
,
VLOOKUP(H844,IMPORTRANGE(""https://docs.google.com/spreadsheets/d/14Bd19lYaqBhU8_DElYkX7l4wRkHqqCUFNJY4AfY3kHU/edit?usp=sharing  #gid=0"",""фіз особи new!relations_name""),6,FALSE)
,
(IF
(
G844=""юридична особа""
,
VLOOKUP(H8"&amp;"44,IMPORTRANGE(""https://docs.google.com/spreadsheets/d/14Bd19lYaqBhU8_DElYkX7l4wRkHqqCUFNJY4AfY3kHU/edit?usp=sharing  #gid=0"",""фіз особи new!relations_name_uo""),7,FALSE)
,
)
))"),"#N/A")</f>
        <v>#N/A</v>
      </c>
      <c r="J843" s="7" t="s">
        <v>30</v>
      </c>
    </row>
    <row r="844" spans="1:10" ht="13.2">
      <c r="A844" s="7">
        <v>843</v>
      </c>
      <c r="B844" s="7">
        <v>1</v>
      </c>
      <c r="C844" s="7" t="s">
        <v>10</v>
      </c>
      <c r="D844" s="7">
        <v>307</v>
      </c>
      <c r="E844" s="7" t="s">
        <v>14</v>
      </c>
      <c r="F844" s="8" t="str">
        <f ca="1">IFERROR(__xludf.DUMMYFUNCTION("IF
(
C845=""фізична особа""
,
VLOOKUP(D845,IMPORTRANGE(""https://docs.google.com/spreadsheets/d/14Bd19lYaqBhU8_DElYkX7l4wRkHqqCUFNJY4AfY3kHU/edit?usp=sharing  #gid=0"",""фіз особи new!relations_name""),6,FALSE)
,
(IF
(
C845=""юридична особа""
,
VLOOKUP(D8"&amp;"45,IMPORTRANGE(""https://docs.google.com/spreadsheets/d/14Bd19lYaqBhU8_DElYkX7l4wRkHqqCUFNJY4AfY3kHU/edit?usp=sharing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4" s="7" t="s">
        <v>10</v>
      </c>
      <c r="H844" s="7">
        <v>0</v>
      </c>
      <c r="I844" s="8" t="str">
        <f ca="1">IFERROR(__xludf.DUMMYFUNCTION("IF
(
G845=""фізична особа""
,
VLOOKUP(H845,IMPORTRANGE(""https://docs.google.com/spreadsheets/d/14Bd19lYaqBhU8_DElYkX7l4wRkHqqCUFNJY4AfY3kHU/edit?usp=sharing  #gid=0"",""фіз особи new!relations_name""),6,FALSE)
,
(IF
(
G845=""юридична особа""
,
VLOOKUP(H8"&amp;"45,IMPORTRANGE(""https://docs.google.com/spreadsheets/d/14Bd19lYaqBhU8_DElYkX7l4wRkHqqCUFNJY4AfY3kHU/edit?usp=sharing  #gid=0"",""фіз особи new!relations_name_uo""),7,FALSE)
,
)
))"),"#N/A")</f>
        <v>#N/A</v>
      </c>
      <c r="J844" s="7" t="s">
        <v>15</v>
      </c>
    </row>
    <row r="845" spans="1:10" ht="13.2">
      <c r="A845" s="7">
        <v>844</v>
      </c>
      <c r="B845" s="7">
        <v>1</v>
      </c>
      <c r="C845" s="7" t="s">
        <v>10</v>
      </c>
      <c r="D845" s="7">
        <v>307</v>
      </c>
      <c r="E845" s="7" t="s">
        <v>12</v>
      </c>
      <c r="F845" s="8" t="str">
        <f ca="1">IFERROR(__xludf.DUMMYFUNCTION("IF
(
C846=""фізична особа""
,
VLOOKUP(D846,IMPORTRANGE(""https://docs.google.com/spreadsheets/d/14Bd19lYaqBhU8_DElYkX7l4wRkHqqCUFNJY4AfY3kHU/edit?usp=sharing  #gid=0"",""фіз особи new!relations_name""),6,FALSE)
,
(IF
(
C846=""юридична особа""
,
VLOOKUP(D8"&amp;"46,IMPORTRANGE(""https://docs.google.com/spreadsheets/d/14Bd19lYaqBhU8_DElYkX7l4wRkHqqCUFNJY4AfY3kHU/edit?usp=sharing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5" s="7" t="s">
        <v>10</v>
      </c>
      <c r="H845" s="7">
        <v>0</v>
      </c>
      <c r="I845" s="8" t="str">
        <f ca="1">IFERROR(__xludf.DUMMYFUNCTION("IF
(
G846=""фізична особа""
,
VLOOKUP(H846,IMPORTRANGE(""https://docs.google.com/spreadsheets/d/14Bd19lYaqBhU8_DElYkX7l4wRkHqqCUFNJY4AfY3kHU/edit?usp=sharing  #gid=0"",""фіз особи new!relations_name""),6,FALSE)
,
(IF
(
G846=""юридична особа""
,
VLOOKUP(H8"&amp;"46,IMPORTRANGE(""https://docs.google.com/spreadsheets/d/14Bd19lYaqBhU8_DElYkX7l4wRkHqqCUFNJY4AfY3kHU/edit?usp=sharing  #gid=0"",""фіз особи new!relations_name_uo""),7,FALSE)
,
)
))"),"#N/A")</f>
        <v>#N/A</v>
      </c>
      <c r="J845" s="7" t="s">
        <v>17</v>
      </c>
    </row>
    <row r="846" spans="1:10" ht="13.2">
      <c r="A846" s="7">
        <v>845</v>
      </c>
      <c r="B846" s="7">
        <v>1</v>
      </c>
      <c r="C846" s="7" t="s">
        <v>10</v>
      </c>
      <c r="D846" s="7">
        <v>307</v>
      </c>
      <c r="E846" s="7" t="s">
        <v>34</v>
      </c>
      <c r="F846" s="8" t="str">
        <f ca="1">IFERROR(__xludf.DUMMYFUNCTION("IF
(
C847=""фізична особа""
,
VLOOKUP(D847,IMPORTRANGE(""https://docs.google.com/spreadsheets/d/14Bd19lYaqBhU8_DElYkX7l4wRkHqqCUFNJY4AfY3kHU/edit?usp=sharing  #gid=0"",""фіз особи new!relations_name""),6,FALSE)
,
(IF
(
C847=""юридична особа""
,
VLOOKUP(D8"&amp;"47,IMPORTRANGE(""https://docs.google.com/spreadsheets/d/14Bd19lYaqBhU8_DElYkX7l4wRkHqqCUFNJY4AfY3kHU/edit?usp=sharing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6" s="7" t="s">
        <v>10</v>
      </c>
      <c r="H846" s="7">
        <v>0</v>
      </c>
      <c r="I846" s="8" t="str">
        <f ca="1">IFERROR(__xludf.DUMMYFUNCTION("IF
(
G847=""фізична особа""
,
VLOOKUP(H847,IMPORTRANGE(""https://docs.google.com/spreadsheets/d/14Bd19lYaqBhU8_DElYkX7l4wRkHqqCUFNJY4AfY3kHU/edit?usp=sharing  #gid=0"",""фіз особи new!relations_name""),6,FALSE)
,
(IF
(
G847=""юридична особа""
,
VLOOKUP(H8"&amp;"47,IMPORTRANGE(""https://docs.google.com/spreadsheets/d/14Bd19lYaqBhU8_DElYkX7l4wRkHqqCUFNJY4AfY3kHU/edit?usp=sharing  #gid=0"",""фіз особи new!relations_name_uo""),7,FALSE)
,
)
))"),"#N/A")</f>
        <v>#N/A</v>
      </c>
      <c r="J846" s="7" t="s">
        <v>25</v>
      </c>
    </row>
    <row r="847" spans="1:10" ht="13.2">
      <c r="A847" s="7">
        <v>846</v>
      </c>
      <c r="B847" s="7">
        <v>1</v>
      </c>
      <c r="C847" s="7" t="s">
        <v>10</v>
      </c>
      <c r="D847" s="7">
        <v>307</v>
      </c>
      <c r="E847" s="7" t="s">
        <v>12</v>
      </c>
      <c r="F847" s="8" t="str">
        <f ca="1">IFERROR(__xludf.DUMMYFUNCTION("IF
(
C848=""фізична особа""
,
VLOOKUP(D848,IMPORTRANGE(""https://docs.google.com/spreadsheets/d/14Bd19lYaqBhU8_DElYkX7l4wRkHqqCUFNJY4AfY3kHU/edit?usp=sharing  #gid=0"",""фіз особи new!relations_name""),6,FALSE)
,
(IF
(
C848=""юридична особа""
,
VLOOKUP(D8"&amp;"48,IMPORTRANGE(""https://docs.google.com/spreadsheets/d/14Bd19lYaqBhU8_DElYkX7l4wRkHqqCUFNJY4AfY3kHU/edit?usp=sharing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7" s="7" t="s">
        <v>10</v>
      </c>
      <c r="H847" s="7">
        <v>0</v>
      </c>
      <c r="I847" s="8" t="str">
        <f ca="1">IFERROR(__xludf.DUMMYFUNCTION("IF
(
G848=""фізична особа""
,
VLOOKUP(H848,IMPORTRANGE(""https://docs.google.com/spreadsheets/d/14Bd19lYaqBhU8_DElYkX7l4wRkHqqCUFNJY4AfY3kHU/edit?usp=sharing  #gid=0"",""фіз особи new!relations_name""),6,FALSE)
,
(IF
(
G848=""юридична особа""
,
VLOOKUP(H8"&amp;"48,IMPORTRANGE(""https://docs.google.com/spreadsheets/d/14Bd19lYaqBhU8_DElYkX7l4wRkHqqCUFNJY4AfY3kHU/edit?usp=sharing  #gid=0"",""фіз особи new!relations_name_uo""),7,FALSE)
,
)
))"),"#N/A")</f>
        <v>#N/A</v>
      </c>
      <c r="J847" s="7" t="s">
        <v>13</v>
      </c>
    </row>
    <row r="848" spans="1:10" ht="13.2">
      <c r="A848" s="7">
        <v>847</v>
      </c>
      <c r="B848" s="7">
        <v>1</v>
      </c>
      <c r="C848" s="7" t="s">
        <v>10</v>
      </c>
      <c r="D848" s="7">
        <v>307</v>
      </c>
      <c r="E848" s="7" t="s">
        <v>28</v>
      </c>
      <c r="F848" s="8" t="str">
        <f ca="1">IFERROR(__xludf.DUMMYFUNCTION("IF
(
C849=""фізична особа""
,
VLOOKUP(D849,IMPORTRANGE(""https://docs.google.com/spreadsheets/d/14Bd19lYaqBhU8_DElYkX7l4wRkHqqCUFNJY4AfY3kHU/edit?usp=sharing  #gid=0"",""фіз особи new!relations_name""),6,FALSE)
,
(IF
(
C849=""юридична особа""
,
VLOOKUP(D8"&amp;"49,IMPORTRANGE(""https://docs.google.com/spreadsheets/d/14Bd19lYaqBhU8_DElYkX7l4wRkHqqCUFNJY4AfY3kHU/edit?usp=sharing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8" s="7" t="s">
        <v>10</v>
      </c>
      <c r="H848" s="7">
        <v>880</v>
      </c>
      <c r="I848" s="8" t="str">
        <f ca="1">IFERROR(__xludf.DUMMYFUNCTION("IF
(
G849=""фізична особа""
,
VLOOKUP(H849,IMPORTRANGE(""https://docs.google.com/spreadsheets/d/14Bd19lYaqBhU8_DElYkX7l4wRkHqqCUFNJY4AfY3kHU/edit?usp=sharing  #gid=0"",""фіз особи new!relations_name""),6,FALSE)
,
(IF
(
G849=""юридична особа""
,
VLOOKUP(H8"&amp;"49,IMPORTRANGE(""https://docs.google.com/spreadsheets/d/14Bd19lYaqBhU8_DElYkX7l4wRkHqqCUFNJY4AfY3kHU/edit?usp=sharing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48" s="7" t="s">
        <v>29</v>
      </c>
    </row>
    <row r="849" spans="1:10" ht="13.2">
      <c r="A849" s="7">
        <v>848</v>
      </c>
      <c r="B849" s="7">
        <v>1</v>
      </c>
      <c r="C849" s="7" t="s">
        <v>10</v>
      </c>
      <c r="D849" s="7">
        <v>307</v>
      </c>
      <c r="E849" s="7" t="s">
        <v>28</v>
      </c>
      <c r="F849" s="8" t="str">
        <f ca="1">IFERROR(__xludf.DUMMYFUNCTION("IF
(
C850=""фізична особа""
,
VLOOKUP(D850,IMPORTRANGE(""https://docs.google.com/spreadsheets/d/14Bd19lYaqBhU8_DElYkX7l4wRkHqqCUFNJY4AfY3kHU/edit?usp=sharing  #gid=0"",""фіз особи new!relations_name""),6,FALSE)
,
(IF
(
C850=""юридична особа""
,
VLOOKUP(D8"&amp;"50,IMPORTRANGE(""https://docs.google.com/spreadsheets/d/14Bd19lYaqBhU8_DElYkX7l4wRkHqqCUFNJY4AfY3kHU/edit?usp=sharing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G849" s="7" t="s">
        <v>10</v>
      </c>
      <c r="H849" s="7">
        <v>795</v>
      </c>
      <c r="I849" s="8" t="str">
        <f ca="1">IFERROR(__xludf.DUMMYFUNCTION("IF
(
G850=""фізична особа""
,
VLOOKUP(H850,IMPORTRANGE(""https://docs.google.com/spreadsheets/d/14Bd19lYaqBhU8_DElYkX7l4wRkHqqCUFNJY4AfY3kHU/edit?usp=sharing  #gid=0"",""фіз особи new!relations_name""),6,FALSE)
,
(IF
(
G850=""юридична особа""
,
VLOOKUP(H8"&amp;"50,IMPORTRANGE(""https://docs.google.com/spreadsheets/d/14Bd19lYaqBhU8_DElYkX7l4wRkHqqCUFNJY4AfY3kHU/edit?usp=sharing  #gid=0"",""фіз особи new!relations_name_uo""),7,FALSE)
,
)
))"),"ГЕРАСІМОВ Валерій Васильович")</f>
        <v>ГЕРАСІМОВ Валерій Васильович</v>
      </c>
      <c r="J849" s="7" t="s">
        <v>29</v>
      </c>
    </row>
    <row r="850" spans="1:10" ht="13.2">
      <c r="A850" s="7">
        <v>849</v>
      </c>
      <c r="B850" s="7">
        <v>1</v>
      </c>
      <c r="C850" s="7" t="s">
        <v>10</v>
      </c>
      <c r="D850" s="7">
        <v>308</v>
      </c>
      <c r="E850" s="7" t="s">
        <v>28</v>
      </c>
      <c r="F850" s="8" t="str">
        <f ca="1">IFERROR(__xludf.DUMMYFUNCTION("IF
(
C851=""фізична особа""
,
VLOOKUP(D851,IMPORTRANGE(""https://docs.google.com/spreadsheets/d/14Bd19lYaqBhU8_DElYkX7l4wRkHqqCUFNJY4AfY3kHU/edit?usp=sharing  #gid=0"",""фіз особи new!relations_name""),6,FALSE)
,
(IF
(
C851=""юридична особа""
,
VLOOKUP(D8"&amp;"51,IMPORTRANGE(""https://docs.google.com/spreadsheets/d/14Bd19lYaqBhU8_DElYkX7l4wRkHqqCUFNJY4AfY3kHU/edit?usp=sharing  #gid=0"",""фіз особи new!relations_name_uo""),7,FALSE)
,
)
))"),"ЩЕГОЛЄВ Ігор Олегович")</f>
        <v>ЩЕГОЛЄВ Ігор Олегович</v>
      </c>
      <c r="G850" s="7" t="s">
        <v>10</v>
      </c>
      <c r="H850" s="7">
        <v>880</v>
      </c>
      <c r="I850" s="8" t="str">
        <f ca="1">IFERROR(__xludf.DUMMYFUNCTION("IF
(
G851=""фізична особа""
,
VLOOKUP(H851,IMPORTRANGE(""https://docs.google.com/spreadsheets/d/14Bd19lYaqBhU8_DElYkX7l4wRkHqqCUFNJY4AfY3kHU/edit?usp=sharing  #gid=0"",""фіз особи new!relations_name""),6,FALSE)
,
(IF
(
G851=""юридична особа""
,
VLOOKUP(H8"&amp;"51,IMPORTRANGE(""https://docs.google.com/spreadsheets/d/14Bd19lYaqBhU8_DElYkX7l4wRkHqqCUFNJY4AfY3kHU/edit?usp=sharing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50" s="7" t="s">
        <v>29</v>
      </c>
    </row>
    <row r="851" spans="1:10" ht="13.2">
      <c r="A851" s="7">
        <v>850</v>
      </c>
      <c r="B851" s="7">
        <v>1</v>
      </c>
      <c r="C851" s="7" t="s">
        <v>10</v>
      </c>
      <c r="D851" s="7">
        <v>308</v>
      </c>
      <c r="E851" s="7" t="s">
        <v>14</v>
      </c>
      <c r="F851" s="8" t="str">
        <f ca="1">IFERROR(__xludf.DUMMYFUNCTION("IF
(
C852=""фізична особа""
,
VLOOKUP(D852,IMPORTRANGE(""https://docs.google.com/spreadsheets/d/14Bd19lYaqBhU8_DElYkX7l4wRkHqqCUFNJY4AfY3kHU/edit?usp=sharing  #gid=0"",""фіз особи new!relations_name""),6,FALSE)
,
(IF
(
C852=""юридична особа""
,
VLOOKUP(D8"&amp;"52,IMPORTRANGE(""https://docs.google.com/spreadsheets/d/14Bd19lYaqBhU8_DElYkX7l4wRkHqqCUFNJY4AfY3kHU/edit?usp=sharing  #gid=0"",""фіз особи new!relations_name_uo""),7,FALSE)
,
)
))"),"ЩЕГОЛЄВ Ігор Олегович")</f>
        <v>ЩЕГОЛЄВ Ігор Олегович</v>
      </c>
      <c r="G851" s="7" t="s">
        <v>10</v>
      </c>
      <c r="H851" s="7">
        <v>0</v>
      </c>
      <c r="I851" s="8" t="str">
        <f ca="1">IFERROR(__xludf.DUMMYFUNCTION("IF
(
G852=""фізична особа""
,
VLOOKUP(H852,IMPORTRANGE(""https://docs.google.com/spreadsheets/d/14Bd19lYaqBhU8_DElYkX7l4wRkHqqCUFNJY4AfY3kHU/edit?usp=sharing  #gid=0"",""фіз особи new!relations_name""),6,FALSE)
,
(IF
(
G852=""юридична особа""
,
VLOOKUP(H8"&amp;"52,IMPORTRANGE(""https://docs.google.com/spreadsheets/d/14Bd19lYaqBhU8_DElYkX7l4wRkHqqCUFNJY4AfY3kHU/edit?usp=sharing  #gid=0"",""фіз особи new!relations_name_uo""),7,FALSE)
,
)
))"),"#N/A")</f>
        <v>#N/A</v>
      </c>
      <c r="J851" s="7" t="s">
        <v>15</v>
      </c>
    </row>
    <row r="852" spans="1:10" ht="13.2">
      <c r="A852" s="7">
        <v>851</v>
      </c>
      <c r="B852" s="7">
        <v>1</v>
      </c>
      <c r="C852" s="7" t="s">
        <v>10</v>
      </c>
      <c r="D852" s="7">
        <v>308</v>
      </c>
      <c r="E852" s="7" t="s">
        <v>12</v>
      </c>
      <c r="F852" s="8" t="str">
        <f ca="1">IFERROR(__xludf.DUMMYFUNCTION("IF
(
C853=""фізична особа""
,
VLOOKUP(D853,IMPORTRANGE(""https://docs.google.com/spreadsheets/d/14Bd19lYaqBhU8_DElYkX7l4wRkHqqCUFNJY4AfY3kHU/edit?usp=sharing  #gid=0"",""фіз особи new!relations_name""),6,FALSE)
,
(IF
(
C853=""юридична особа""
,
VLOOKUP(D8"&amp;"53,IMPORTRANGE(""https://docs.google.com/spreadsheets/d/14Bd19lYaqBhU8_DElYkX7l4wRkHqqCUFNJY4AfY3kHU/edit?usp=sharing  #gid=0"",""фіз особи new!relations_name_uo""),7,FALSE)
,
)
))"),"ЩЕГОЛЄВ Ігор Олегович")</f>
        <v>ЩЕГОЛЄВ Ігор Олегович</v>
      </c>
      <c r="G852" s="7" t="s">
        <v>10</v>
      </c>
      <c r="H852" s="7">
        <v>0</v>
      </c>
      <c r="I852" s="8" t="str">
        <f ca="1">IFERROR(__xludf.DUMMYFUNCTION("IF
(
G853=""фізична особа""
,
VLOOKUP(H853,IMPORTRANGE(""https://docs.google.com/spreadsheets/d/14Bd19lYaqBhU8_DElYkX7l4wRkHqqCUFNJY4AfY3kHU/edit?usp=sharing  #gid=0"",""фіз особи new!relations_name""),6,FALSE)
,
(IF
(
G853=""юридична особа""
,
VLOOKUP(H8"&amp;"53,IMPORTRANGE(""https://docs.google.com/spreadsheets/d/14Bd19lYaqBhU8_DElYkX7l4wRkHqqCUFNJY4AfY3kHU/edit?usp=sharing  #gid=0"",""фіз особи new!relations_name_uo""),7,FALSE)
,
)
))"),"#N/A")</f>
        <v>#N/A</v>
      </c>
      <c r="J852" s="7" t="s">
        <v>17</v>
      </c>
    </row>
    <row r="853" spans="1:10" ht="13.2">
      <c r="A853" s="7">
        <v>852</v>
      </c>
      <c r="B853" s="7">
        <v>1</v>
      </c>
      <c r="C853" s="7" t="s">
        <v>10</v>
      </c>
      <c r="D853" s="7">
        <v>309</v>
      </c>
      <c r="E853" s="7" t="s">
        <v>28</v>
      </c>
      <c r="F853" s="8" t="str">
        <f ca="1">IFERROR(__xludf.DUMMYFUNCTION("IF
(
C854=""фізична особа""
,
VLOOKUP(D854,IMPORTRANGE(""https://docs.google.com/spreadsheets/d/14Bd19lYaqBhU8_DElYkX7l4wRkHqqCUFNJY4AfY3kHU/edit?usp=sharing  #gid=0"",""фіз особи new!relations_name""),6,FALSE)
,
(IF
(
C854=""юридична особа""
,
VLOOKUP(D8"&amp;"54,IMPORTRANGE(""https://docs.google.com/spreadsheets/d/14Bd19lYaqBhU8_DElYkX7l4wRkHqqCUFNJY4AfY3kHU/edit?usp=sharing  #gid=0"",""фіз особи new!relations_name_uo""),7,FALSE)
,
)
))"),"ДЕМІДЕНКО Ігор Вікторович")</f>
        <v>ДЕМІДЕНКО Ігор Вікторович</v>
      </c>
      <c r="G853" s="7" t="s">
        <v>10</v>
      </c>
      <c r="H853" s="7">
        <v>1017</v>
      </c>
      <c r="I853" s="8" t="str">
        <f ca="1">IFERROR(__xludf.DUMMYFUNCTION("IF
(
G854=""фізична особа""
,
VLOOKUP(H854,IMPORTRANGE(""https://docs.google.com/spreadsheets/d/14Bd19lYaqBhU8_DElYkX7l4wRkHqqCUFNJY4AfY3kHU/edit?usp=sharing  #gid=0"",""фіз особи new!relations_name""),6,FALSE)
,
(IF
(
G854=""юридична особа""
,
VLOOKUP(H8"&amp;"54,IMPORTRANGE(""https://docs.google.com/spreadsheets/d/14Bd19lYaqBhU8_DElYkX7l4wRkHqqCUFNJY4AfY3kHU/edit?usp=sharing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853" s="7" t="s">
        <v>29</v>
      </c>
    </row>
    <row r="854" spans="1:10" ht="13.2">
      <c r="A854" s="7">
        <v>853</v>
      </c>
      <c r="B854" s="7">
        <v>1</v>
      </c>
      <c r="C854" s="7" t="s">
        <v>10</v>
      </c>
      <c r="D854" s="7">
        <v>309</v>
      </c>
      <c r="E854" s="7" t="s">
        <v>28</v>
      </c>
      <c r="F854" s="8" t="str">
        <f ca="1">IFERROR(__xludf.DUMMYFUNCTION("IF
(
C855=""фізична особа""
,
VLOOKUP(D855,IMPORTRANGE(""https://docs.google.com/spreadsheets/d/14Bd19lYaqBhU8_DElYkX7l4wRkHqqCUFNJY4AfY3kHU/edit?usp=sharing  #gid=0"",""фіз особи new!relations_name""),6,FALSE)
,
(IF
(
C855=""юридична особа""
,
VLOOKUP(D8"&amp;"55,IMPORTRANGE(""https://docs.google.com/spreadsheets/d/14Bd19lYaqBhU8_DElYkX7l4wRkHqqCUFNJY4AfY3kHU/edit?usp=sharing  #gid=0"",""фіз особи new!relations_name_uo""),7,FALSE)
,
)
))"),"ДЕМІДЕНКО Ігор Вікторович")</f>
        <v>ДЕМІДЕНКО Ігор Вікторович</v>
      </c>
      <c r="G854" s="7" t="s">
        <v>10</v>
      </c>
      <c r="H854" s="7">
        <v>821</v>
      </c>
      <c r="I854" s="8" t="str">
        <f ca="1">IFERROR(__xludf.DUMMYFUNCTION("IF
(
G855=""фізична особа""
,
VLOOKUP(H855,IMPORTRANGE(""https://docs.google.com/spreadsheets/d/14Bd19lYaqBhU8_DElYkX7l4wRkHqqCUFNJY4AfY3kHU/edit?usp=sharing  #gid=0"",""фіз особи new!relations_name""),6,FALSE)
,
(IF
(
G855=""юридична особа""
,
VLOOKUP(H8"&amp;"55,IMPORTRANGE(""https://docs.google.com/spreadsheets/d/14Bd19lYaqBhU8_DElYkX7l4wRkHqqCUFNJY4AfY3kHU/edit?usp=sharing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854" s="7" t="s">
        <v>29</v>
      </c>
    </row>
    <row r="855" spans="1:10" ht="13.2">
      <c r="A855" s="7">
        <v>854</v>
      </c>
      <c r="B855" s="7">
        <v>1</v>
      </c>
      <c r="C855" s="7" t="s">
        <v>10</v>
      </c>
      <c r="D855" s="7">
        <v>310</v>
      </c>
      <c r="E855" s="7" t="s">
        <v>17</v>
      </c>
      <c r="F855" s="8" t="str">
        <f ca="1">IFERROR(__xludf.DUMMYFUNCTION("IF
(
C856=""фізична особа""
,
VLOOKUP(D856,IMPORTRANGE(""https://docs.google.com/spreadsheets/d/14Bd19lYaqBhU8_DElYkX7l4wRkHqqCUFNJY4AfY3kHU/edit?usp=sharing  #gid=0"",""фіз особи new!relations_name""),6,FALSE)
,
(IF
(
C856=""юридична особа""
,
VLOOKUP(D8"&amp;"56,IMPORTRANGE(""https://docs.google.com/spreadsheets/d/14Bd19lYaqBhU8_DElYkX7l4wRkHqqCUFNJY4AfY3kHU/edit?usp=sharing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55" s="7" t="s">
        <v>10</v>
      </c>
      <c r="H855" s="7">
        <v>11964</v>
      </c>
      <c r="I855" s="8" t="str">
        <f ca="1">IFERROR(__xludf.DUMMYFUNCTION("IF
(
G856=""фізична особа""
,
VLOOKUP(H856,IMPORTRANGE(""https://docs.google.com/spreadsheets/d/14Bd19lYaqBhU8_DElYkX7l4wRkHqqCUFNJY4AfY3kHU/edit?usp=sharing  #gid=0"",""фіз особи new!relations_name""),6,FALSE)
,
(IF
(
G856=""юридична особа""
,
VLOOKUP(H8"&amp;"56,IMPORTRANGE(""https://docs.google.com/spreadsheets/d/14Bd19lYaqBhU8_DElYkX7l4wRkHqqCUFNJY4AfY3kHU/edit?usp=sharing  #gid=0"",""фіз особи new!relations_name_uo""),7,FALSE)
,
)
))"),"ЖИРИНОВСЬКИЙ Володимир Вольфович")</f>
        <v>ЖИРИНОВСЬКИЙ Володимир Вольфович</v>
      </c>
      <c r="J855" s="7" t="s">
        <v>12</v>
      </c>
    </row>
    <row r="856" spans="1:10" ht="13.2">
      <c r="A856" s="7">
        <v>855</v>
      </c>
      <c r="B856" s="7">
        <v>1</v>
      </c>
      <c r="C856" s="7" t="s">
        <v>10</v>
      </c>
      <c r="D856" s="7">
        <v>310</v>
      </c>
      <c r="E856" s="7" t="s">
        <v>14</v>
      </c>
      <c r="F856" s="8" t="str">
        <f ca="1">IFERROR(__xludf.DUMMYFUNCTION("IF
(
C857=""фізична особа""
,
VLOOKUP(D857,IMPORTRANGE(""https://docs.google.com/spreadsheets/d/14Bd19lYaqBhU8_DElYkX7l4wRkHqqCUFNJY4AfY3kHU/edit?usp=sharing  #gid=0"",""фіз особи new!relations_name""),6,FALSE)
,
(IF
(
C857=""юридична особа""
,
VLOOKUP(D8"&amp;"57,IMPORTRANGE(""https://docs.google.com/spreadsheets/d/14Bd19lYaqBhU8_DElYkX7l4wRkHqqCUFNJY4AfY3kHU/edit?usp=sharing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56" s="7" t="s">
        <v>10</v>
      </c>
      <c r="H856" s="7">
        <v>0</v>
      </c>
      <c r="I856" s="8" t="str">
        <f ca="1">IFERROR(__xludf.DUMMYFUNCTION("IF
(
G857=""фізична особа""
,
VLOOKUP(H857,IMPORTRANGE(""https://docs.google.com/spreadsheets/d/14Bd19lYaqBhU8_DElYkX7l4wRkHqqCUFNJY4AfY3kHU/edit?usp=sharing  #gid=0"",""фіз особи new!relations_name""),6,FALSE)
,
(IF
(
G857=""юридична особа""
,
VLOOKUP(H8"&amp;"57,IMPORTRANGE(""https://docs.google.com/spreadsheets/d/14Bd19lYaqBhU8_DElYkX7l4wRkHqqCUFNJY4AfY3kHU/edit?usp=sharing  #gid=0"",""фіз особи new!relations_name_uo""),7,FALSE)
,
)
))"),"#N/A")</f>
        <v>#N/A</v>
      </c>
      <c r="J856" s="7" t="s">
        <v>15</v>
      </c>
    </row>
    <row r="857" spans="1:10" ht="13.2">
      <c r="A857" s="7">
        <v>856</v>
      </c>
      <c r="B857" s="7">
        <v>1</v>
      </c>
      <c r="C857" s="7" t="s">
        <v>10</v>
      </c>
      <c r="D857" s="7">
        <v>310</v>
      </c>
      <c r="E857" s="7" t="s">
        <v>17</v>
      </c>
      <c r="F857" s="8" t="str">
        <f ca="1">IFERROR(__xludf.DUMMYFUNCTION("IF
(
C858=""фізична особа""
,
VLOOKUP(D858,IMPORTRANGE(""https://docs.google.com/spreadsheets/d/14Bd19lYaqBhU8_DElYkX7l4wRkHqqCUFNJY4AfY3kHU/edit?usp=sharing  #gid=0"",""фіз особи new!relations_name""),6,FALSE)
,
(IF
(
C858=""юридична особа""
,
VLOOKUP(D8"&amp;"58,IMPORTRANGE(""https://docs.google.com/spreadsheets/d/14Bd19lYaqBhU8_DElYkX7l4wRkHqqCUFNJY4AfY3kHU/edit?usp=sharing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57" s="7" t="s">
        <v>10</v>
      </c>
      <c r="H857" s="7">
        <v>0</v>
      </c>
      <c r="I857" s="8" t="str">
        <f ca="1">IFERROR(__xludf.DUMMYFUNCTION("IF
(
G858=""фізична особа""
,
VLOOKUP(H858,IMPORTRANGE(""https://docs.google.com/spreadsheets/d/14Bd19lYaqBhU8_DElYkX7l4wRkHqqCUFNJY4AfY3kHU/edit?usp=sharing  #gid=0"",""фіз особи new!relations_name""),6,FALSE)
,
(IF
(
G858=""юридична особа""
,
VLOOKUP(H8"&amp;"58,IMPORTRANGE(""https://docs.google.com/spreadsheets/d/14Bd19lYaqBhU8_DElYkX7l4wRkHqqCUFNJY4AfY3kHU/edit?usp=sharing  #gid=0"",""фіз особи new!relations_name_uo""),7,FALSE)
,
)
))"),"#N/A")</f>
        <v>#N/A</v>
      </c>
      <c r="J857" s="7" t="s">
        <v>21</v>
      </c>
    </row>
    <row r="858" spans="1:10" ht="13.2">
      <c r="A858" s="7">
        <v>857</v>
      </c>
      <c r="B858" s="7">
        <v>1</v>
      </c>
      <c r="C858" s="7" t="s">
        <v>10</v>
      </c>
      <c r="D858" s="7">
        <v>310</v>
      </c>
      <c r="E858" s="7" t="s">
        <v>12</v>
      </c>
      <c r="F858" s="8" t="str">
        <f ca="1">IFERROR(__xludf.DUMMYFUNCTION("IF
(
C859=""фізична особа""
,
VLOOKUP(D859,IMPORTRANGE(""https://docs.google.com/spreadsheets/d/14Bd19lYaqBhU8_DElYkX7l4wRkHqqCUFNJY4AfY3kHU/edit?usp=sharing  #gid=0"",""фіз особи new!relations_name""),6,FALSE)
,
(IF
(
C859=""юридична особа""
,
VLOOKUP(D8"&amp;"59,IMPORTRANGE(""https://docs.google.com/spreadsheets/d/14Bd19lYaqBhU8_DElYkX7l4wRkHqqCUFNJY4AfY3kHU/edit?usp=sharing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58" s="7" t="s">
        <v>10</v>
      </c>
      <c r="H858" s="7">
        <v>0</v>
      </c>
      <c r="I858" s="8" t="str">
        <f ca="1">IFERROR(__xludf.DUMMYFUNCTION("IF
(
G859=""фізична особа""
,
VLOOKUP(H859,IMPORTRANGE(""https://docs.google.com/spreadsheets/d/14Bd19lYaqBhU8_DElYkX7l4wRkHqqCUFNJY4AfY3kHU/edit?usp=sharing  #gid=0"",""фіз особи new!relations_name""),6,FALSE)
,
(IF
(
G859=""юридична особа""
,
VLOOKUP(H8"&amp;"59,IMPORTRANGE(""https://docs.google.com/spreadsheets/d/14Bd19lYaqBhU8_DElYkX7l4wRkHqqCUFNJY4AfY3kHU/edit?usp=sharing  #gid=0"",""фіз особи new!relations_name_uo""),7,FALSE)
,
)
))"),"#N/A")</f>
        <v>#N/A</v>
      </c>
      <c r="J858" s="7" t="s">
        <v>17</v>
      </c>
    </row>
    <row r="859" spans="1:10" ht="13.2">
      <c r="A859" s="7">
        <v>858</v>
      </c>
      <c r="B859" s="7">
        <v>1</v>
      </c>
      <c r="C859" s="7" t="s">
        <v>10</v>
      </c>
      <c r="D859" s="7">
        <v>310</v>
      </c>
      <c r="E859" s="7" t="s">
        <v>12</v>
      </c>
      <c r="F859" s="8" t="str">
        <f ca="1">IFERROR(__xludf.DUMMYFUNCTION("IF
(
C860=""фізична особа""
,
VLOOKUP(D860,IMPORTRANGE(""https://docs.google.com/spreadsheets/d/14Bd19lYaqBhU8_DElYkX7l4wRkHqqCUFNJY4AfY3kHU/edit?usp=sharing  #gid=0"",""фіз особи new!relations_name""),6,FALSE)
,
(IF
(
C860=""юридична особа""
,
VLOOKUP(D8"&amp;"60,IMPORTRANGE(""https://docs.google.com/spreadsheets/d/14Bd19lYaqBhU8_DElYkX7l4wRkHqqCUFNJY4AfY3kHU/edit?usp=sharing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59" s="7" t="s">
        <v>10</v>
      </c>
      <c r="H859" s="7">
        <v>0</v>
      </c>
      <c r="I859" s="8" t="str">
        <f ca="1">IFERROR(__xludf.DUMMYFUNCTION("IF
(
G860=""фізична особа""
,
VLOOKUP(H860,IMPORTRANGE(""https://docs.google.com/spreadsheets/d/14Bd19lYaqBhU8_DElYkX7l4wRkHqqCUFNJY4AfY3kHU/edit?usp=sharing  #gid=0"",""фіз особи new!relations_name""),6,FALSE)
,
(IF
(
G860=""юридична особа""
,
VLOOKUP(H8"&amp;"60,IMPORTRANGE(""https://docs.google.com/spreadsheets/d/14Bd19lYaqBhU8_DElYkX7l4wRkHqqCUFNJY4AfY3kHU/edit?usp=sharing  #gid=0"",""фіз особи new!relations_name_uo""),7,FALSE)
,
)
))"),"#N/A")</f>
        <v>#N/A</v>
      </c>
      <c r="J859" s="7" t="s">
        <v>17</v>
      </c>
    </row>
    <row r="860" spans="1:10" ht="13.2">
      <c r="A860" s="7">
        <v>859</v>
      </c>
      <c r="B860" s="7">
        <v>1</v>
      </c>
      <c r="C860" s="7" t="s">
        <v>10</v>
      </c>
      <c r="D860" s="7">
        <v>310</v>
      </c>
      <c r="E860" s="7" t="s">
        <v>42</v>
      </c>
      <c r="F860" s="8" t="str">
        <f ca="1">IFERROR(__xludf.DUMMYFUNCTION("IF
(
C861=""фізична особа""
,
VLOOKUP(D861,IMPORTRANGE(""https://docs.google.com/spreadsheets/d/14Bd19lYaqBhU8_DElYkX7l4wRkHqqCUFNJY4AfY3kHU/edit?usp=sharing  #gid=0"",""фіз особи new!relations_name""),6,FALSE)
,
(IF
(
C861=""юридична особа""
,
VLOOKUP(D8"&amp;"61,IMPORTRANGE(""https://docs.google.com/spreadsheets/d/14Bd19lYaqBhU8_DElYkX7l4wRkHqqCUFNJY4AfY3kHU/edit?usp=sharing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0" s="7" t="s">
        <v>10</v>
      </c>
      <c r="H860" s="7">
        <v>0</v>
      </c>
      <c r="I860" s="8" t="str">
        <f ca="1">IFERROR(__xludf.DUMMYFUNCTION("IF
(
G861=""фізична особа""
,
VLOOKUP(H861,IMPORTRANGE(""https://docs.google.com/spreadsheets/d/14Bd19lYaqBhU8_DElYkX7l4wRkHqqCUFNJY4AfY3kHU/edit?usp=sharing  #gid=0"",""фіз особи new!relations_name""),6,FALSE)
,
(IF
(
G861=""юридична особа""
,
VLOOKUP(H8"&amp;"61,IMPORTRANGE(""https://docs.google.com/spreadsheets/d/14Bd19lYaqBhU8_DElYkX7l4wRkHqqCUFNJY4AfY3kHU/edit?usp=sharing  #gid=0"",""фіз особи new!relations_name_uo""),7,FALSE)
,
)
))"),"#N/A")</f>
        <v>#N/A</v>
      </c>
      <c r="J860" s="7" t="s">
        <v>43</v>
      </c>
    </row>
    <row r="861" spans="1:10" ht="13.2">
      <c r="A861" s="7">
        <v>860</v>
      </c>
      <c r="B861" s="7">
        <v>1</v>
      </c>
      <c r="C861" s="7" t="s">
        <v>10</v>
      </c>
      <c r="D861" s="7">
        <v>310</v>
      </c>
      <c r="E861" s="7" t="s">
        <v>16</v>
      </c>
      <c r="F861" s="8" t="str">
        <f ca="1">IFERROR(__xludf.DUMMYFUNCTION("IF
(
C862=""фізична особа""
,
VLOOKUP(D862,IMPORTRANGE(""https://docs.google.com/spreadsheets/d/14Bd19lYaqBhU8_DElYkX7l4wRkHqqCUFNJY4AfY3kHU/edit?usp=sharing  #gid=0"",""фіз особи new!relations_name""),6,FALSE)
,
(IF
(
C862=""юридична особа""
,
VLOOKUP(D8"&amp;"62,IMPORTRANGE(""https://docs.google.com/spreadsheets/d/14Bd19lYaqBhU8_DElYkX7l4wRkHqqCUFNJY4AfY3kHU/edit?usp=sharing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1" s="7" t="s">
        <v>10</v>
      </c>
      <c r="H861" s="7">
        <v>0</v>
      </c>
      <c r="I861" s="8" t="str">
        <f ca="1">IFERROR(__xludf.DUMMYFUNCTION("IF
(
G862=""фізична особа""
,
VLOOKUP(H862,IMPORTRANGE(""https://docs.google.com/spreadsheets/d/14Bd19lYaqBhU8_DElYkX7l4wRkHqqCUFNJY4AfY3kHU/edit?usp=sharing  #gid=0"",""фіз особи new!relations_name""),6,FALSE)
,
(IF
(
G862=""юридична особа""
,
VLOOKUP(H8"&amp;"62,IMPORTRANGE(""https://docs.google.com/spreadsheets/d/14Bd19lYaqBhU8_DElYkX7l4wRkHqqCUFNJY4AfY3kHU/edit?usp=sharing  #gid=0"",""фіз особи new!relations_name_uo""),7,FALSE)
,
)
))"),"#N/A")</f>
        <v>#N/A</v>
      </c>
      <c r="J861" s="7" t="s">
        <v>16</v>
      </c>
    </row>
    <row r="862" spans="1:10" ht="13.2">
      <c r="A862" s="7">
        <v>861</v>
      </c>
      <c r="B862" s="7">
        <v>1</v>
      </c>
      <c r="C862" s="7" t="s">
        <v>10</v>
      </c>
      <c r="D862" s="7">
        <v>310</v>
      </c>
      <c r="E862" s="7" t="s">
        <v>35</v>
      </c>
      <c r="F862" s="8" t="str">
        <f ca="1">IFERROR(__xludf.DUMMYFUNCTION("IF
(
C863=""фізична особа""
,
VLOOKUP(D863,IMPORTRANGE(""https://docs.google.com/spreadsheets/d/14Bd19lYaqBhU8_DElYkX7l4wRkHqqCUFNJY4AfY3kHU/edit?usp=sharing  #gid=0"",""фіз особи new!relations_name""),6,FALSE)
,
(IF
(
C863=""юридична особа""
,
VLOOKUP(D8"&amp;"63,IMPORTRANGE(""https://docs.google.com/spreadsheets/d/14Bd19lYaqBhU8_DElYkX7l4wRkHqqCUFNJY4AfY3kHU/edit?usp=sharing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2" s="7" t="s">
        <v>10</v>
      </c>
      <c r="H862" s="7">
        <v>12856</v>
      </c>
      <c r="I862" s="8" t="str">
        <f ca="1">IFERROR(__xludf.DUMMYFUNCTION("IF
(
G863=""фізична особа""
,
VLOOKUP(H863,IMPORTRANGE(""https://docs.google.com/spreadsheets/d/14Bd19lYaqBhU8_DElYkX7l4wRkHqqCUFNJY4AfY3kHU/edit?usp=sharing  #gid=0"",""фіз особи new!relations_name""),6,FALSE)
,
(IF
(
G863=""юридична особа""
,
VLOOKUP(H8"&amp;"63,IMPORTRANGE(""https://docs.google.com/spreadsheets/d/14Bd19lYaqBhU8_DElYkX7l4wRkHqqCUFNJY4AfY3kHU/edit?usp=sharing  #gid=0"",""фіз особи new!relations_name_uo""),7,FALSE)
,
)
))"),"ЗЕЛІНСЬКИЙ Ян Вікторович")</f>
        <v>ЗЕЛІНСЬКИЙ Ян Вікторович</v>
      </c>
      <c r="J862" s="7" t="s">
        <v>35</v>
      </c>
    </row>
    <row r="863" spans="1:10" ht="13.2">
      <c r="A863" s="7">
        <v>862</v>
      </c>
      <c r="B863" s="7">
        <v>1</v>
      </c>
      <c r="C863" s="7" t="s">
        <v>10</v>
      </c>
      <c r="D863" s="7">
        <v>310</v>
      </c>
      <c r="E863" s="7" t="s">
        <v>35</v>
      </c>
      <c r="F863" s="8" t="str">
        <f ca="1">IFERROR(__xludf.DUMMYFUNCTION("IF
(
C864=""фізична особа""
,
VLOOKUP(D864,IMPORTRANGE(""https://docs.google.com/spreadsheets/d/14Bd19lYaqBhU8_DElYkX7l4wRkHqqCUFNJY4AfY3kHU/edit?usp=sharing  #gid=0"",""фіз особи new!relations_name""),6,FALSE)
,
(IF
(
C864=""юридична особа""
,
VLOOKUP(D8"&amp;"64,IMPORTRANGE(""https://docs.google.com/spreadsheets/d/14Bd19lYaqBhU8_DElYkX7l4wRkHqqCUFNJY4AfY3kHU/edit?usp=sharing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3" s="7" t="s">
        <v>10</v>
      </c>
      <c r="H863" s="7">
        <v>787</v>
      </c>
      <c r="I863" s="8" t="str">
        <f ca="1">IFERROR(__xludf.DUMMYFUNCTION("IF
(
G864=""фізична особа""
,
VLOOKUP(H864,IMPORTRANGE(""https://docs.google.com/spreadsheets/d/14Bd19lYaqBhU8_DElYkX7l4wRkHqqCUFNJY4AfY3kHU/edit?usp=sharing  #gid=0"",""фіз особи new!relations_name""),6,FALSE)
,
(IF
(
G864=""юридична особа""
,
VLOOKUP(H8"&amp;"64,IMPORTRANGE(""https://docs.google.com/spreadsheets/d/14Bd19lYaqBhU8_DElYkX7l4wRkHqqCUFNJY4AfY3kHU/edit?usp=sharing  #gid=0"",""фіз особи new!relations_name_uo""),7,FALSE)
,
)
))"),"ДЄНЬГІН Вадим Євгенович")</f>
        <v>ДЄНЬГІН Вадим Євгенович</v>
      </c>
      <c r="J863" s="7" t="s">
        <v>35</v>
      </c>
    </row>
    <row r="864" spans="1:10" ht="13.2">
      <c r="A864" s="7">
        <v>863</v>
      </c>
      <c r="B864" s="7">
        <v>1</v>
      </c>
      <c r="C864" s="7" t="s">
        <v>10</v>
      </c>
      <c r="D864" s="7">
        <v>310</v>
      </c>
      <c r="E864" s="7" t="s">
        <v>35</v>
      </c>
      <c r="F864" s="8" t="str">
        <f ca="1">IFERROR(__xludf.DUMMYFUNCTION("IF
(
C865=""фізична особа""
,
VLOOKUP(D865,IMPORTRANGE(""https://docs.google.com/spreadsheets/d/14Bd19lYaqBhU8_DElYkX7l4wRkHqqCUFNJY4AfY3kHU/edit?usp=sharing  #gid=0"",""фіз особи new!relations_name""),6,FALSE)
,
(IF
(
C865=""юридична особа""
,
VLOOKUP(D8"&amp;"65,IMPORTRANGE(""https://docs.google.com/spreadsheets/d/14Bd19lYaqBhU8_DElYkX7l4wRkHqqCUFNJY4AfY3kHU/edit?usp=sharing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4" s="7" t="s">
        <v>10</v>
      </c>
      <c r="H864" s="7">
        <v>0</v>
      </c>
      <c r="I864" s="8" t="str">
        <f ca="1">IFERROR(__xludf.DUMMYFUNCTION("IF
(
G865=""фізична особа""
,
VLOOKUP(H865,IMPORTRANGE(""https://docs.google.com/spreadsheets/d/14Bd19lYaqBhU8_DElYkX7l4wRkHqqCUFNJY4AfY3kHU/edit?usp=sharing  #gid=0"",""фіз особи new!relations_name""),6,FALSE)
,
(IF
(
G865=""юридична особа""
,
VLOOKUP(H8"&amp;"65,IMPORTRANGE(""https://docs.google.com/spreadsheets/d/14Bd19lYaqBhU8_DElYkX7l4wRkHqqCUFNJY4AfY3kHU/edit?usp=sharing  #gid=0"",""фіз особи new!relations_name_uo""),7,FALSE)
,
)
))"),"#N/A")</f>
        <v>#N/A</v>
      </c>
      <c r="J864" s="7" t="s">
        <v>35</v>
      </c>
    </row>
    <row r="865" spans="1:10" ht="13.2">
      <c r="A865" s="7">
        <v>864</v>
      </c>
      <c r="B865" s="7">
        <v>1</v>
      </c>
      <c r="C865" s="7" t="s">
        <v>10</v>
      </c>
      <c r="D865" s="7">
        <v>310</v>
      </c>
      <c r="E865" s="7" t="s">
        <v>35</v>
      </c>
      <c r="F865" s="8" t="str">
        <f ca="1">IFERROR(__xludf.DUMMYFUNCTION("IF
(
C866=""фізична особа""
,
VLOOKUP(D866,IMPORTRANGE(""https://docs.google.com/spreadsheets/d/14Bd19lYaqBhU8_DElYkX7l4wRkHqqCUFNJY4AfY3kHU/edit?usp=sharing  #gid=0"",""фіз особи new!relations_name""),6,FALSE)
,
(IF
(
C866=""юридична особа""
,
VLOOKUP(D8"&amp;"66,IMPORTRANGE(""https://docs.google.com/spreadsheets/d/14Bd19lYaqBhU8_DElYkX7l4wRkHqqCUFNJY4AfY3kHU/edit?usp=sharing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5" s="7" t="s">
        <v>10</v>
      </c>
      <c r="H865" s="7">
        <v>0</v>
      </c>
      <c r="I865" s="8" t="str">
        <f ca="1">IFERROR(__xludf.DUMMYFUNCTION("IF
(
G866=""фізична особа""
,
VLOOKUP(H866,IMPORTRANGE(""https://docs.google.com/spreadsheets/d/14Bd19lYaqBhU8_DElYkX7l4wRkHqqCUFNJY4AfY3kHU/edit?usp=sharing  #gid=0"",""фіз особи new!relations_name""),6,FALSE)
,
(IF
(
G866=""юридична особа""
,
VLOOKUP(H8"&amp;"66,IMPORTRANGE(""https://docs.google.com/spreadsheets/d/14Bd19lYaqBhU8_DElYkX7l4wRkHqqCUFNJY4AfY3kHU/edit?usp=sharing  #gid=0"",""фіз особи new!relations_name_uo""),7,FALSE)
,
)
))"),"#N/A")</f>
        <v>#N/A</v>
      </c>
      <c r="J865" s="7" t="s">
        <v>35</v>
      </c>
    </row>
    <row r="866" spans="1:10" ht="13.2">
      <c r="A866" s="7">
        <v>865</v>
      </c>
      <c r="B866" s="7">
        <v>1</v>
      </c>
      <c r="C866" s="7" t="s">
        <v>10</v>
      </c>
      <c r="D866" s="7">
        <v>310</v>
      </c>
      <c r="E866" s="7" t="s">
        <v>35</v>
      </c>
      <c r="F866" s="8" t="str">
        <f ca="1">IFERROR(__xludf.DUMMYFUNCTION("IF
(
C867=""фізична особа""
,
VLOOKUP(D867,IMPORTRANGE(""https://docs.google.com/spreadsheets/d/14Bd19lYaqBhU8_DElYkX7l4wRkHqqCUFNJY4AfY3kHU/edit?usp=sharing  #gid=0"",""фіз особи new!relations_name""),6,FALSE)
,
(IF
(
C867=""юридична особа""
,
VLOOKUP(D8"&amp;"67,IMPORTRANGE(""https://docs.google.com/spreadsheets/d/14Bd19lYaqBhU8_DElYkX7l4wRkHqqCUFNJY4AfY3kHU/edit?usp=sharing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6" s="7" t="s">
        <v>10</v>
      </c>
      <c r="H866" s="7">
        <v>12866</v>
      </c>
      <c r="I866" s="8" t="str">
        <f ca="1">IFERROR(__xludf.DUMMYFUNCTION("IF
(
G867=""фізична особа""
,
VLOOKUP(H867,IMPORTRANGE(""https://docs.google.com/spreadsheets/d/14Bd19lYaqBhU8_DElYkX7l4wRkHqqCUFNJY4AfY3kHU/edit?usp=sharing  #gid=0"",""фіз особи new!relations_name""),6,FALSE)
,
(IF
(
G867=""юридична особа""
,
VLOOKUP(H8"&amp;"67,IMPORTRANGE(""https://docs.google.com/spreadsheets/d/14Bd19lYaqBhU8_DElYkX7l4wRkHqqCUFNJY4AfY3kHU/edit?usp=sharing  #gid=0"",""фіз особи new!relations_name_uo""),7,FALSE)
,
)
))"),"КАЛАШНІКОВ Сергій В'ячеславович")</f>
        <v>КАЛАШНІКОВ Сергій В'ячеславович</v>
      </c>
      <c r="J866" s="7" t="s">
        <v>35</v>
      </c>
    </row>
    <row r="867" spans="1:10" ht="13.2">
      <c r="A867" s="7">
        <v>866</v>
      </c>
      <c r="B867" s="7">
        <v>1</v>
      </c>
      <c r="C867" s="7" t="s">
        <v>10</v>
      </c>
      <c r="D867" s="7">
        <v>310</v>
      </c>
      <c r="E867" s="7" t="s">
        <v>30</v>
      </c>
      <c r="F867" s="8" t="str">
        <f ca="1">IFERROR(__xludf.DUMMYFUNCTION("IF
(
C868=""фізична особа""
,
VLOOKUP(D868,IMPORTRANGE(""https://docs.google.com/spreadsheets/d/14Bd19lYaqBhU8_DElYkX7l4wRkHqqCUFNJY4AfY3kHU/edit?usp=sharing  #gid=0"",""фіз особи new!relations_name""),6,FALSE)
,
(IF
(
C868=""юридична особа""
,
VLOOKUP(D8"&amp;"68,IMPORTRANGE(""https://docs.google.com/spreadsheets/d/14Bd19lYaqBhU8_DElYkX7l4wRkHqqCUFNJY4AfY3kHU/edit?usp=sharing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G867" s="7" t="s">
        <v>10</v>
      </c>
      <c r="H867" s="7">
        <v>0</v>
      </c>
      <c r="I867" s="8" t="str">
        <f ca="1">IFERROR(__xludf.DUMMYFUNCTION("IF
(
G868=""фізична особа""
,
VLOOKUP(H868,IMPORTRANGE(""https://docs.google.com/spreadsheets/d/14Bd19lYaqBhU8_DElYkX7l4wRkHqqCUFNJY4AfY3kHU/edit?usp=sharing  #gid=0"",""фіз особи new!relations_name""),6,FALSE)
,
(IF
(
G868=""юридична особа""
,
VLOOKUP(H8"&amp;"68,IMPORTRANGE(""https://docs.google.com/spreadsheets/d/14Bd19lYaqBhU8_DElYkX7l4wRkHqqCUFNJY4AfY3kHU/edit?usp=sharing  #gid=0"",""фіз особи new!relations_name_uo""),7,FALSE)
,
)
))"),"#N/A")</f>
        <v>#N/A</v>
      </c>
      <c r="J867" s="7" t="s">
        <v>30</v>
      </c>
    </row>
    <row r="868" spans="1:10" ht="13.2">
      <c r="A868" s="7">
        <v>867</v>
      </c>
      <c r="B868" s="7">
        <v>1</v>
      </c>
      <c r="C868" s="7" t="s">
        <v>10</v>
      </c>
      <c r="D868" s="7">
        <v>311</v>
      </c>
      <c r="E868" s="7" t="s">
        <v>28</v>
      </c>
      <c r="F868" s="8" t="str">
        <f ca="1">IFERROR(__xludf.DUMMYFUNCTION("IF
(
C869=""фізична особа""
,
VLOOKUP(D869,IMPORTRANGE(""https://docs.google.com/spreadsheets/d/14Bd19lYaqBhU8_DElYkX7l4wRkHqqCUFNJY4AfY3kHU/edit?usp=sharing  #gid=0"",""фіз особи new!relations_name""),6,FALSE)
,
(IF
(
C869=""юридична особа""
,
VLOOKUP(D8"&amp;"69,IMPORTRANGE(""https://docs.google.com/spreadsheets/d/14Bd19lYaqBhU8_DElYkX7l4wRkHqqCUFNJY4AfY3kHU/edit?usp=sharing  #gid=0"",""фіз особи new!relations_name_uo""),7,FALSE)
,
)
))"),"МОЖИЛОВСЬКИЙ Ігор Володимирович")</f>
        <v>МОЖИЛОВСЬКИЙ Ігор Володимирович</v>
      </c>
      <c r="G868" s="7" t="s">
        <v>10</v>
      </c>
      <c r="H868" s="7">
        <v>821</v>
      </c>
      <c r="I868" s="8" t="str">
        <f ca="1">IFERROR(__xludf.DUMMYFUNCTION("IF
(
G869=""фізична особа""
,
VLOOKUP(H869,IMPORTRANGE(""https://docs.google.com/spreadsheets/d/14Bd19lYaqBhU8_DElYkX7l4wRkHqqCUFNJY4AfY3kHU/edit?usp=sharing  #gid=0"",""фіз особи new!relations_name""),6,FALSE)
,
(IF
(
G869=""юридична особа""
,
VLOOKUP(H8"&amp;"69,IMPORTRANGE(""https://docs.google.com/spreadsheets/d/14Bd19lYaqBhU8_DElYkX7l4wRkHqqCUFNJY4AfY3kHU/edit?usp=sharing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868" s="7" t="s">
        <v>29</v>
      </c>
    </row>
    <row r="869" spans="1:10" ht="13.2">
      <c r="A869" s="7">
        <v>868</v>
      </c>
      <c r="B869" s="7">
        <v>1</v>
      </c>
      <c r="C869" s="7" t="s">
        <v>10</v>
      </c>
      <c r="D869" s="7">
        <v>312</v>
      </c>
      <c r="E869" s="7" t="s">
        <v>17</v>
      </c>
      <c r="F869" s="8" t="str">
        <f ca="1">IFERROR(__xludf.DUMMYFUNCTION("IF
(
C870=""фізична особа""
,
VLOOKUP(D870,IMPORTRANGE(""https://docs.google.com/spreadsheets/d/14Bd19lYaqBhU8_DElYkX7l4wRkHqqCUFNJY4AfY3kHU/edit?usp=sharing  #gid=0"",""фіз особи new!relations_name""),6,FALSE)
,
(IF
(
C870=""юридична особа""
,
VLOOKUP(D8"&amp;"70,IMPORTRANGE(""https://docs.google.com/spreadsheets/d/14Bd19lYaqBhU8_DElYkX7l4wRkHqqCUFNJY4AfY3kHU/edit?usp=sharing  #gid=0"",""фіз особи new!relations_name_uo""),7,FALSE)
,
)
))"),"КРИВОРУЧКО Олексій Юрійович")</f>
        <v>КРИВОРУЧКО Олексій Юрійович</v>
      </c>
      <c r="G869" s="7" t="s">
        <v>10</v>
      </c>
      <c r="H869" s="7">
        <v>0</v>
      </c>
      <c r="I869" s="8" t="str">
        <f ca="1">IFERROR(__xludf.DUMMYFUNCTION("IF
(
G870=""фізична особа""
,
VLOOKUP(H870,IMPORTRANGE(""https://docs.google.com/spreadsheets/d/14Bd19lYaqBhU8_DElYkX7l4wRkHqqCUFNJY4AfY3kHU/edit?usp=sharing  #gid=0"",""фіз особи new!relations_name""),6,FALSE)
,
(IF
(
G870=""юридична особа""
,
VLOOKUP(H8"&amp;"70,IMPORTRANGE(""https://docs.google.com/spreadsheets/d/14Bd19lYaqBhU8_DElYkX7l4wRkHqqCUFNJY4AfY3kHU/edit?usp=sharing  #gid=0"",""фіз особи new!relations_name_uo""),7,FALSE)
,
)
))"),"#N/A")</f>
        <v>#N/A</v>
      </c>
      <c r="J869" s="7" t="s">
        <v>21</v>
      </c>
    </row>
    <row r="870" spans="1:10" ht="13.2">
      <c r="A870" s="7">
        <v>869</v>
      </c>
      <c r="B870" s="7">
        <v>1</v>
      </c>
      <c r="C870" s="7" t="s">
        <v>10</v>
      </c>
      <c r="D870" s="7">
        <v>312</v>
      </c>
      <c r="E870" s="7" t="s">
        <v>17</v>
      </c>
      <c r="F870" s="8" t="str">
        <f ca="1">IFERROR(__xludf.DUMMYFUNCTION("IF
(
C871=""фізична особа""
,
VLOOKUP(D871,IMPORTRANGE(""https://docs.google.com/spreadsheets/d/14Bd19lYaqBhU8_DElYkX7l4wRkHqqCUFNJY4AfY3kHU/edit?usp=sharing  #gid=0"",""фіз особи new!relations_name""),6,FALSE)
,
(IF
(
C871=""юридична особа""
,
VLOOKUP(D8"&amp;"71,IMPORTRANGE(""https://docs.google.com/spreadsheets/d/14Bd19lYaqBhU8_DElYkX7l4wRkHqqCUFNJY4AfY3kHU/edit?usp=sharing  #gid=0"",""фіз особи new!relations_name_uo""),7,FALSE)
,
)
))"),"КРИВОРУЧКО Олексій Юрійович")</f>
        <v>КРИВОРУЧКО Олексій Юрійович</v>
      </c>
      <c r="G870" s="7" t="s">
        <v>10</v>
      </c>
      <c r="H870" s="7">
        <v>0</v>
      </c>
      <c r="I870" s="8" t="str">
        <f ca="1">IFERROR(__xludf.DUMMYFUNCTION("IF
(
G871=""фізична особа""
,
VLOOKUP(H871,IMPORTRANGE(""https://docs.google.com/spreadsheets/d/14Bd19lYaqBhU8_DElYkX7l4wRkHqqCUFNJY4AfY3kHU/edit?usp=sharing  #gid=0"",""фіз особи new!relations_name""),6,FALSE)
,
(IF
(
G871=""юридична особа""
,
VLOOKUP(H8"&amp;"71,IMPORTRANGE(""https://docs.google.com/spreadsheets/d/14Bd19lYaqBhU8_DElYkX7l4wRkHqqCUFNJY4AfY3kHU/edit?usp=sharing  #gid=0"",""фіз особи new!relations_name_uo""),7,FALSE)
,
)
))"),"#N/A")</f>
        <v>#N/A</v>
      </c>
      <c r="J870" s="7" t="s">
        <v>12</v>
      </c>
    </row>
    <row r="871" spans="1:10" ht="13.2">
      <c r="A871" s="7">
        <v>870</v>
      </c>
      <c r="B871" s="7">
        <v>1</v>
      </c>
      <c r="C871" s="7" t="s">
        <v>10</v>
      </c>
      <c r="D871" s="7">
        <v>312</v>
      </c>
      <c r="E871" s="7" t="s">
        <v>18</v>
      </c>
      <c r="F871" s="8" t="str">
        <f ca="1">IFERROR(__xludf.DUMMYFUNCTION("IF
(
C872=""фізична особа""
,
VLOOKUP(D872,IMPORTRANGE(""https://docs.google.com/spreadsheets/d/14Bd19lYaqBhU8_DElYkX7l4wRkHqqCUFNJY4AfY3kHU/edit?usp=sharing  #gid=0"",""фіз особи new!relations_name""),6,FALSE)
,
(IF
(
C872=""юридична особа""
,
VLOOKUP(D8"&amp;"72,IMPORTRANGE(""https://docs.google.com/spreadsheets/d/14Bd19lYaqBhU8_DElYkX7l4wRkHqqCUFNJY4AfY3kHU/edit?usp=sharing  #gid=0"",""фіз особи new!relations_name_uo""),7,FALSE)
,
)
))"),"КРИВОРУЧКО Олексій Юрійович")</f>
        <v>КРИВОРУЧКО Олексій Юрійович</v>
      </c>
      <c r="G871" s="7" t="s">
        <v>10</v>
      </c>
      <c r="H871" s="7">
        <v>0</v>
      </c>
      <c r="I871" s="8" t="str">
        <f ca="1">IFERROR(__xludf.DUMMYFUNCTION("IF
(
G872=""фізична особа""
,
VLOOKUP(H872,IMPORTRANGE(""https://docs.google.com/spreadsheets/d/14Bd19lYaqBhU8_DElYkX7l4wRkHqqCUFNJY4AfY3kHU/edit?usp=sharing  #gid=0"",""фіз особи new!relations_name""),6,FALSE)
,
(IF
(
G872=""юридична особа""
,
VLOOKUP(H8"&amp;"72,IMPORTRANGE(""https://docs.google.com/spreadsheets/d/14Bd19lYaqBhU8_DElYkX7l4wRkHqqCUFNJY4AfY3kHU/edit?usp=sharing  #gid=0"",""фіз особи new!relations_name_uo""),7,FALSE)
,
)
))"),"#N/A")</f>
        <v>#N/A</v>
      </c>
      <c r="J871" s="7" t="s">
        <v>18</v>
      </c>
    </row>
    <row r="872" spans="1:10" ht="13.2">
      <c r="A872" s="7">
        <v>871</v>
      </c>
      <c r="B872" s="7">
        <v>1</v>
      </c>
      <c r="C872" s="7" t="s">
        <v>10</v>
      </c>
      <c r="D872" s="7">
        <v>312</v>
      </c>
      <c r="E872" s="7" t="s">
        <v>28</v>
      </c>
      <c r="F872" s="8" t="str">
        <f ca="1">IFERROR(__xludf.DUMMYFUNCTION("IF
(
C873=""фізична особа""
,
VLOOKUP(D873,IMPORTRANGE(""https://docs.google.com/spreadsheets/d/14Bd19lYaqBhU8_DElYkX7l4wRkHqqCUFNJY4AfY3kHU/edit?usp=sharing  #gid=0"",""фіз особи new!relations_name""),6,FALSE)
,
(IF
(
C873=""юридична особа""
,
VLOOKUP(D8"&amp;"73,IMPORTRANGE(""https://docs.google.com/spreadsheets/d/14Bd19lYaqBhU8_DElYkX7l4wRkHqqCUFNJY4AfY3kHU/edit?usp=sharing  #gid=0"",""фіз особи new!relations_name_uo""),7,FALSE)
,
)
))"),"КРИВОРУЧКО Олексій Юрійович")</f>
        <v>КРИВОРУЧКО Олексій Юрійович</v>
      </c>
      <c r="G872" s="7" t="s">
        <v>10</v>
      </c>
      <c r="H872" s="7">
        <v>670</v>
      </c>
      <c r="I872" s="8" t="str">
        <f ca="1">IFERROR(__xludf.DUMMYFUNCTION("IF
(
G873=""фізична особа""
,
VLOOKUP(H873,IMPORTRANGE(""https://docs.google.com/spreadsheets/d/14Bd19lYaqBhU8_DElYkX7l4wRkHqqCUFNJY4AfY3kHU/edit?usp=sharing  #gid=0"",""фіз особи new!relations_name""),6,FALSE)
,
(IF
(
G873=""юридична особа""
,
VLOOKUP(H8"&amp;"73,IMPORTRANGE(""https://docs.google.com/spreadsheets/d/14Bd19lYaqBhU8_DElYkX7l4wRkHqqCUFNJY4AfY3kHU/edit?usp=sharing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872" s="7" t="s">
        <v>29</v>
      </c>
    </row>
    <row r="873" spans="1:10" ht="13.2">
      <c r="A873" s="7">
        <v>872</v>
      </c>
      <c r="B873" s="7">
        <v>1</v>
      </c>
      <c r="C873" s="7" t="s">
        <v>10</v>
      </c>
      <c r="D873" s="7">
        <v>313</v>
      </c>
      <c r="E873" s="7" t="s">
        <v>28</v>
      </c>
      <c r="F873" s="8" t="str">
        <f ca="1">IFERROR(__xludf.DUMMYFUNCTION("IF
(
C874=""фізична особа""
,
VLOOKUP(D874,IMPORTRANGE(""https://docs.google.com/spreadsheets/d/14Bd19lYaqBhU8_DElYkX7l4wRkHqqCUFNJY4AfY3kHU/edit?usp=sharing  #gid=0"",""фіз особи new!relations_name""),6,FALSE)
,
(IF
(
C874=""юридична особа""
,
VLOOKUP(D8"&amp;"74,IMPORTRANGE(""https://docs.google.com/spreadsheets/d/14Bd19lYaqBhU8_DElYkX7l4wRkHqqCUFNJY4AfY3kHU/edit?usp=sharing  #gid=0"",""фіз особи new!relations_name_uo""),7,FALSE)
,
)
))"),"ОСІПОВ Ігор Володимирович")</f>
        <v>ОСІПОВ Ігор Володимирович</v>
      </c>
      <c r="G873" s="7" t="s">
        <v>10</v>
      </c>
      <c r="H873" s="7">
        <v>880</v>
      </c>
      <c r="I873" s="8" t="str">
        <f ca="1">IFERROR(__xludf.DUMMYFUNCTION("IF
(
G874=""фізична особа""
,
VLOOKUP(H874,IMPORTRANGE(""https://docs.google.com/spreadsheets/d/14Bd19lYaqBhU8_DElYkX7l4wRkHqqCUFNJY4AfY3kHU/edit?usp=sharing  #gid=0"",""фіз особи new!relations_name""),6,FALSE)
,
(IF
(
G874=""юридична особа""
,
VLOOKUP(H8"&amp;"74,IMPORTRANGE(""https://docs.google.com/spreadsheets/d/14Bd19lYaqBhU8_DElYkX7l4wRkHqqCUFNJY4AfY3kHU/edit?usp=sharing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73" s="7" t="s">
        <v>29</v>
      </c>
    </row>
    <row r="874" spans="1:10" ht="13.2">
      <c r="A874" s="7">
        <v>873</v>
      </c>
      <c r="B874" s="7">
        <v>1</v>
      </c>
      <c r="C874" s="7" t="s">
        <v>10</v>
      </c>
      <c r="D874" s="7">
        <v>313</v>
      </c>
      <c r="E874" s="7" t="s">
        <v>28</v>
      </c>
      <c r="F874" s="8" t="str">
        <f ca="1">IFERROR(__xludf.DUMMYFUNCTION("IF
(
C875=""фізична особа""
,
VLOOKUP(D875,IMPORTRANGE(""https://docs.google.com/spreadsheets/d/14Bd19lYaqBhU8_DElYkX7l4wRkHqqCUFNJY4AfY3kHU/edit?usp=sharing  #gid=0"",""фіз особи new!relations_name""),6,FALSE)
,
(IF
(
C875=""юридична особа""
,
VLOOKUP(D8"&amp;"75,IMPORTRANGE(""https://docs.google.com/spreadsheets/d/14Bd19lYaqBhU8_DElYkX7l4wRkHqqCUFNJY4AfY3kHU/edit?usp=sharing  #gid=0"",""фіз особи new!relations_name_uo""),7,FALSE)
,
)
))"),"ОСІПОВ Ігор Володимирович")</f>
        <v>ОСІПОВ Ігор Володимирович</v>
      </c>
      <c r="G874" s="7" t="s">
        <v>10</v>
      </c>
      <c r="H874" s="7">
        <v>670</v>
      </c>
      <c r="I874" s="8" t="str">
        <f ca="1">IFERROR(__xludf.DUMMYFUNCTION("IF
(
G875=""фізична особа""
,
VLOOKUP(H875,IMPORTRANGE(""https://docs.google.com/spreadsheets/d/14Bd19lYaqBhU8_DElYkX7l4wRkHqqCUFNJY4AfY3kHU/edit?usp=sharing  #gid=0"",""фіз особи new!relations_name""),6,FALSE)
,
(IF
(
G875=""юридична особа""
,
VLOOKUP(H8"&amp;"75,IMPORTRANGE(""https://docs.google.com/spreadsheets/d/14Bd19lYaqBhU8_DElYkX7l4wRkHqqCUFNJY4AfY3kHU/edit?usp=sharing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874" s="7" t="s">
        <v>29</v>
      </c>
    </row>
    <row r="875" spans="1:10" ht="13.2">
      <c r="A875" s="7">
        <v>874</v>
      </c>
      <c r="B875" s="7">
        <v>1</v>
      </c>
      <c r="C875" s="7" t="s">
        <v>10</v>
      </c>
      <c r="D875" s="7">
        <v>314</v>
      </c>
      <c r="E875" s="7" t="s">
        <v>28</v>
      </c>
      <c r="F875" s="8" t="str">
        <f ca="1">IFERROR(__xludf.DUMMYFUNCTION("IF
(
C876=""фізична особа""
,
VLOOKUP(D876,IMPORTRANGE(""https://docs.google.com/spreadsheets/d/14Bd19lYaqBhU8_DElYkX7l4wRkHqqCUFNJY4AfY3kHU/edit?usp=sharing  #gid=0"",""фіз особи new!relations_name""),6,FALSE)
,
(IF
(
C876=""юридична особа""
,
VLOOKUP(D8"&amp;"76,IMPORTRANGE(""https://docs.google.com/spreadsheets/d/14Bd19lYaqBhU8_DElYkX7l4wRkHqqCUFNJY4AfY3kHU/edit?usp=sharing  #gid=0"",""фіз особи new!relations_name_uo""),7,FALSE)
,
)
))"),"ЯНЧУК Ігор Володимирович")</f>
        <v>ЯНЧУК Ігор Володимирович</v>
      </c>
      <c r="G875" s="7" t="s">
        <v>10</v>
      </c>
      <c r="H875" s="7">
        <v>6963</v>
      </c>
      <c r="I875" s="8" t="str">
        <f ca="1">IFERROR(__xludf.DUMMYFUNCTION("IF
(
G876=""фізична особа""
,
VLOOKUP(H876,IMPORTRANGE(""https://docs.google.com/spreadsheets/d/14Bd19lYaqBhU8_DElYkX7l4wRkHqqCUFNJY4AfY3kHU/edit?usp=sharing  #gid=0"",""фіз особи new!relations_name""),6,FALSE)
,
(IF
(
G876=""юридична особа""
,
VLOOKUP(H8"&amp;"76,IMPORTRANGE(""https://docs.google.com/spreadsheets/d/14Bd19lYaqBhU8_DElYkX7l4wRkHqqCUFNJY4AfY3kHU/edit?usp=sharing  #gid=0"",""фіз особи new!relations_name_uo""),7,FALSE)
,
)
))"),"ПАУКОВ Віктор Кузьмич")</f>
        <v>ПАУКОВ Віктор Кузьмич</v>
      </c>
      <c r="J875" s="7" t="s">
        <v>29</v>
      </c>
    </row>
    <row r="876" spans="1:10" ht="13.2">
      <c r="A876" s="7">
        <v>875</v>
      </c>
      <c r="B876" s="7">
        <v>1</v>
      </c>
      <c r="C876" s="7" t="s">
        <v>10</v>
      </c>
      <c r="D876" s="7">
        <v>315</v>
      </c>
      <c r="E876" s="7" t="s">
        <v>28</v>
      </c>
      <c r="F876" s="8" t="str">
        <f ca="1">IFERROR(__xludf.DUMMYFUNCTION("IF
(
C877=""фізична особа""
,
VLOOKUP(D877,IMPORTRANGE(""https://docs.google.com/spreadsheets/d/14Bd19lYaqBhU8_DElYkX7l4wRkHqqCUFNJY4AfY3kHU/edit?usp=sharing  #gid=0"",""фіз особи new!relations_name""),6,FALSE)
,
(IF
(
C877=""юридична особа""
,
VLOOKUP(D8"&amp;"77,IMPORTRANGE(""https://docs.google.com/spreadsheets/d/14Bd19lYaqBhU8_DElYkX7l4wRkHqqCUFNJY4AfY3kHU/edit?usp=sharing  #gid=0"",""фіз особи new!relations_name_uo""),7,FALSE)
,
)
))"),"КОНАШЕНКОВ Ігор Євгенович")</f>
        <v>КОНАШЕНКОВ Ігор Євгенович</v>
      </c>
      <c r="G876" s="7" t="s">
        <v>10</v>
      </c>
      <c r="H876" s="7">
        <v>670</v>
      </c>
      <c r="I876" s="8" t="str">
        <f ca="1">IFERROR(__xludf.DUMMYFUNCTION("IF
(
G877=""фізична особа""
,
VLOOKUP(H877,IMPORTRANGE(""https://docs.google.com/spreadsheets/d/14Bd19lYaqBhU8_DElYkX7l4wRkHqqCUFNJY4AfY3kHU/edit?usp=sharing  #gid=0"",""фіз особи new!relations_name""),6,FALSE)
,
(IF
(
G877=""юридична особа""
,
VLOOKUP(H8"&amp;"77,IMPORTRANGE(""https://docs.google.com/spreadsheets/d/14Bd19lYaqBhU8_DElYkX7l4wRkHqqCUFNJY4AfY3kHU/edit?usp=sharing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876" s="7" t="s">
        <v>29</v>
      </c>
    </row>
    <row r="877" spans="1:10" ht="13.2">
      <c r="A877" s="7">
        <v>876</v>
      </c>
      <c r="B877" s="7">
        <v>1</v>
      </c>
      <c r="C877" s="7" t="s">
        <v>10</v>
      </c>
      <c r="D877" s="7">
        <v>316</v>
      </c>
      <c r="E877" s="7" t="s">
        <v>28</v>
      </c>
      <c r="F877" s="8" t="str">
        <f ca="1">IFERROR(__xludf.DUMMYFUNCTION("IF
(
C878=""фізична особа""
,
VLOOKUP(D878,IMPORTRANGE(""https://docs.google.com/spreadsheets/d/14Bd19lYaqBhU8_DElYkX7l4wRkHqqCUFNJY4AfY3kHU/edit?usp=sharing  #gid=0"",""фіз особи new!relations_name""),6,FALSE)
,
(IF
(
C878=""юридична особа""
,
VLOOKUP(D8"&amp;"78,IMPORTRANGE(""https://docs.google.com/spreadsheets/d/14Bd19lYaqBhU8_DElYkX7l4wRkHqqCUFNJY4AfY3kHU/edit?usp=sharing  #gid=0"",""фіз особи new!relations_name_uo""),7,FALSE)
,
)
))"),"КАСТЮКЕВИЧ Ігор Юрійович")</f>
        <v>КАСТЮКЕВИЧ Ігор Юрійович</v>
      </c>
      <c r="G877" s="7" t="s">
        <v>10</v>
      </c>
      <c r="H877" s="7">
        <v>880</v>
      </c>
      <c r="I877" s="8" t="str">
        <f ca="1">IFERROR(__xludf.DUMMYFUNCTION("IF
(
G878=""фізична особа""
,
VLOOKUP(H878,IMPORTRANGE(""https://docs.google.com/spreadsheets/d/14Bd19lYaqBhU8_DElYkX7l4wRkHqqCUFNJY4AfY3kHU/edit?usp=sharing  #gid=0"",""фіз особи new!relations_name""),6,FALSE)
,
(IF
(
G878=""юридична особа""
,
VLOOKUP(H8"&amp;"78,IMPORTRANGE(""https://docs.google.com/spreadsheets/d/14Bd19lYaqBhU8_DElYkX7l4wRkHqqCUFNJY4AfY3kHU/edit?usp=sharing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77" s="7" t="s">
        <v>29</v>
      </c>
    </row>
    <row r="878" spans="1:10" ht="13.2">
      <c r="A878" s="7">
        <v>877</v>
      </c>
      <c r="B878" s="7">
        <v>1</v>
      </c>
      <c r="C878" s="7" t="s">
        <v>10</v>
      </c>
      <c r="D878" s="7">
        <v>317</v>
      </c>
      <c r="E878" s="7" t="s">
        <v>28</v>
      </c>
      <c r="F878" s="8" t="str">
        <f ca="1">IFERROR(__xludf.DUMMYFUNCTION("IF
(
C879=""фізична особа""
,
VLOOKUP(D879,IMPORTRANGE(""https://docs.google.com/spreadsheets/d/14Bd19lYaqBhU8_DElYkX7l4wRkHqqCUFNJY4AfY3kHU/edit?usp=sharing  #gid=0"",""фіз особи new!relations_name""),6,FALSE)
,
(IF
(
C879=""юридична особа""
,
VLOOKUP(D8"&amp;"79,IMPORTRANGE(""https://docs.google.com/spreadsheets/d/14Bd19lYaqBhU8_DElYkX7l4wRkHqqCUFNJY4AfY3kHU/edit?usp=sharing  #gid=0"",""фіз особи new!relations_name_uo""),7,FALSE)
,
)
))"),"ГІЛЬМУТДІНОВ Ільдар Ірекович")</f>
        <v>ГІЛЬМУТДІНОВ Ільдар Ірекович</v>
      </c>
      <c r="G878" s="7" t="s">
        <v>10</v>
      </c>
      <c r="H878" s="7">
        <v>880</v>
      </c>
      <c r="I878" s="8" t="str">
        <f ca="1">IFERROR(__xludf.DUMMYFUNCTION("IF
(
G879=""фізична особа""
,
VLOOKUP(H879,IMPORTRANGE(""https://docs.google.com/spreadsheets/d/14Bd19lYaqBhU8_DElYkX7l4wRkHqqCUFNJY4AfY3kHU/edit?usp=sharing  #gid=0"",""фіз особи new!relations_name""),6,FALSE)
,
(IF
(
G879=""юридична особа""
,
VLOOKUP(H8"&amp;"79,IMPORTRANGE(""https://docs.google.com/spreadsheets/d/14Bd19lYaqBhU8_DElYkX7l4wRkHqqCUFNJY4AfY3kHU/edit?usp=sharing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878" s="7" t="s">
        <v>29</v>
      </c>
    </row>
    <row r="879" spans="1:10" ht="13.2">
      <c r="A879" s="7">
        <v>878</v>
      </c>
      <c r="B879" s="7">
        <v>1</v>
      </c>
      <c r="C879" s="7" t="s">
        <v>10</v>
      </c>
      <c r="D879" s="7">
        <v>317</v>
      </c>
      <c r="E879" s="7" t="s">
        <v>29</v>
      </c>
      <c r="F879" s="8" t="str">
        <f ca="1">IFERROR(__xludf.DUMMYFUNCTION("IF
(
C880=""фізична особа""
,
VLOOKUP(D880,IMPORTRANGE(""https://docs.google.com/spreadsheets/d/14Bd19lYaqBhU8_DElYkX7l4wRkHqqCUFNJY4AfY3kHU/edit?usp=sharing  #gid=0"",""фіз особи new!relations_name""),6,FALSE)
,
(IF
(
C880=""юридична особа""
,
VLOOKUP(D8"&amp;"80,IMPORTRANGE(""https://docs.google.com/spreadsheets/d/14Bd19lYaqBhU8_DElYkX7l4wRkHqqCUFNJY4AfY3kHU/edit?usp=sharing  #gid=0"",""фіз особи new!relations_name_uo""),7,FALSE)
,
)
))"),"ГІЛЬМУТДІНОВ Ільдар Ірекович")</f>
        <v>ГІЛЬМУТДІНОВ Ільдар Ірекович</v>
      </c>
      <c r="G879" s="7" t="s">
        <v>10</v>
      </c>
      <c r="H879" s="7">
        <v>0</v>
      </c>
      <c r="I879" s="8" t="str">
        <f ca="1">IFERROR(__xludf.DUMMYFUNCTION("IF
(
G880=""фізична особа""
,
VLOOKUP(H880,IMPORTRANGE(""https://docs.google.com/spreadsheets/d/14Bd19lYaqBhU8_DElYkX7l4wRkHqqCUFNJY4AfY3kHU/edit?usp=sharing  #gid=0"",""фіз особи new!relations_name""),6,FALSE)
,
(IF
(
G880=""юридична особа""
,
VLOOKUP(H8"&amp;"80,IMPORTRANGE(""https://docs.google.com/spreadsheets/d/14Bd19lYaqBhU8_DElYkX7l4wRkHqqCUFNJY4AfY3kHU/edit?usp=sharing  #gid=0"",""фіз особи new!relations_name_uo""),7,FALSE)
,
)
))"),"#N/A")</f>
        <v>#N/A</v>
      </c>
      <c r="J879" s="7" t="s">
        <v>28</v>
      </c>
    </row>
    <row r="880" spans="1:10" ht="13.2">
      <c r="A880" s="7">
        <v>879</v>
      </c>
      <c r="B880" s="7">
        <v>1</v>
      </c>
      <c r="C880" s="7" t="s">
        <v>10</v>
      </c>
      <c r="D880" s="7">
        <v>318</v>
      </c>
      <c r="E880" s="7" t="s">
        <v>28</v>
      </c>
      <c r="F880" s="8" t="str">
        <f ca="1">IFERROR(__xludf.DUMMYFUNCTION("IF
(
C881=""фізична особа""
,
VLOOKUP(D881,IMPORTRANGE(""https://docs.google.com/spreadsheets/d/14Bd19lYaqBhU8_DElYkX7l4wRkHqqCUFNJY4AfY3kHU/edit?usp=sharing  #gid=0"",""фіз особи new!relations_name""),6,FALSE)
,
(IF
(
C881=""юридична особа""
,
VLOOKUP(D8"&amp;"81,IMPORTRANGE(""https://docs.google.com/spreadsheets/d/14Bd19lYaqBhU8_DElYkX7l4wRkHqqCUFNJY4AfY3kHU/edit?usp=sharing  #gid=0"",""фіз особи new!relations_name_uo""),7,FALSE)
,
)
))"),"КУЧУКОВ Ільгам")</f>
        <v>КУЧУКОВ Ільгам</v>
      </c>
      <c r="G880" s="7" t="s">
        <v>10</v>
      </c>
      <c r="H880" s="7">
        <v>296</v>
      </c>
      <c r="I880" s="8" t="str">
        <f ca="1">IFERROR(__xludf.DUMMYFUNCTION("IF
(
G881=""фізична особа""
,
VLOOKUP(H881,IMPORTRANGE(""https://docs.google.com/spreadsheets/d/14Bd19lYaqBhU8_DElYkX7l4wRkHqqCUFNJY4AfY3kHU/edit?usp=sharing  #gid=0"",""фіз особи new!relations_name""),6,FALSE)
,
(IF
(
G881=""юридична особа""
,
VLOOKUP(H8"&amp;"81,IMPORTRANGE(""https://docs.google.com/spreadsheets/d/14Bd19lYaqBhU8_DElYkX7l4wRkHqqCUFNJY4AfY3kHU/edit?usp=sharing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880" s="7" t="s">
        <v>29</v>
      </c>
    </row>
    <row r="881" spans="1:10" ht="13.2">
      <c r="A881" s="7">
        <v>880</v>
      </c>
      <c r="B881" s="7">
        <v>1</v>
      </c>
      <c r="C881" s="7" t="s">
        <v>10</v>
      </c>
      <c r="D881" s="7">
        <v>318</v>
      </c>
      <c r="E881" s="7" t="s">
        <v>28</v>
      </c>
      <c r="F881" s="8" t="str">
        <f ca="1">IFERROR(__xludf.DUMMYFUNCTION("IF
(
C882=""фізична особа""
,
VLOOKUP(D882,IMPORTRANGE(""https://docs.google.com/spreadsheets/d/14Bd19lYaqBhU8_DElYkX7l4wRkHqqCUFNJY4AfY3kHU/edit?usp=sharing  #gid=0"",""фіз особи new!relations_name""),6,FALSE)
,
(IF
(
C882=""юридична особа""
,
VLOOKUP(D8"&amp;"82,IMPORTRANGE(""https://docs.google.com/spreadsheets/d/14Bd19lYaqBhU8_DElYkX7l4wRkHqqCUFNJY4AfY3kHU/edit?usp=sharing  #gid=0"",""фіз особи new!relations_name_uo""),7,FALSE)
,
)
))"),"КУЧУКОВ Ільгам")</f>
        <v>КУЧУКОВ Ільгам</v>
      </c>
      <c r="G881" s="7" t="s">
        <v>10</v>
      </c>
      <c r="H881" s="7">
        <v>16409</v>
      </c>
      <c r="I881" s="8" t="str">
        <f ca="1">IFERROR(__xludf.DUMMYFUNCTION("IF
(
G882=""фізична особа""
,
VLOOKUP(H882,IMPORTRANGE(""https://docs.google.com/spreadsheets/d/14Bd19lYaqBhU8_DElYkX7l4wRkHqqCUFNJY4AfY3kHU/edit?usp=sharing  #gid=0"",""фіз особи new!relations_name""),6,FALSE)
,
(IF
(
G882=""юридична особа""
,
VLOOKUP(H8"&amp;"82,IMPORTRANGE(""https://docs.google.com/spreadsheets/d/14Bd19lYaqBhU8_DElYkX7l4wRkHqqCUFNJY4AfY3kHU/edit?usp=sharing  #gid=0"",""фіз особи new!relations_name_uo""),7,FALSE)
,
)
))"),"ШРЬОДЕР Герхард Фріц Курт")</f>
        <v>ШРЬОДЕР Герхард Фріц Курт</v>
      </c>
      <c r="J881" s="7" t="s">
        <v>29</v>
      </c>
    </row>
    <row r="882" spans="1:10" ht="13.2">
      <c r="A882" s="7">
        <v>881</v>
      </c>
      <c r="B882" s="7">
        <v>1</v>
      </c>
      <c r="C882" s="7" t="s">
        <v>10</v>
      </c>
      <c r="D882" s="7">
        <v>319</v>
      </c>
      <c r="E882" s="7" t="s">
        <v>11</v>
      </c>
      <c r="F882" s="8" t="str">
        <f ca="1">IFERROR(__xludf.DUMMYFUNCTION("IF
(
C883=""фізична особа""
,
VLOOKUP(D883,IMPORTRANGE(""https://docs.google.com/spreadsheets/d/14Bd19lYaqBhU8_DElYkX7l4wRkHqqCUFNJY4AfY3kHU/edit?usp=sharing  #gid=0"",""фіз особи new!relations_name""),6,FALSE)
,
(IF
(
C883=""юридична особа""
,
VLOOKUP(D8"&amp;"83,IMPORTRANGE(""https://docs.google.com/spreadsheets/d/14Bd19lYaqBhU8_DElYkX7l4wRkHqqCUFNJY4AfY3kHU/edit?usp=sharing  #gid=0"",""фіз особи new!relations_name_uo""),7,FALSE)
,
)
))"),"ВОЛЬФСОН Ілля Світлославович")</f>
        <v>ВОЛЬФСОН Ілля Світлославович</v>
      </c>
      <c r="G882" s="7" t="s">
        <v>10</v>
      </c>
      <c r="H882" s="7">
        <v>0</v>
      </c>
      <c r="I882" s="8" t="str">
        <f ca="1">IFERROR(__xludf.DUMMYFUNCTION("IF
(
G883=""фізична особа""
,
VLOOKUP(H883,IMPORTRANGE(""https://docs.google.com/spreadsheets/d/14Bd19lYaqBhU8_DElYkX7l4wRkHqqCUFNJY4AfY3kHU/edit?usp=sharing  #gid=0"",""фіз особи new!relations_name""),6,FALSE)
,
(IF
(
G883=""юридична особа""
,
VLOOKUP(H8"&amp;"83,IMPORTRANGE(""https://docs.google.com/spreadsheets/d/14Bd19lYaqBhU8_DElYkX7l4wRkHqqCUFNJY4AfY3kHU/edit?usp=sharing  #gid=0"",""фіз особи new!relations_name_uo""),7,FALSE)
,
)
))"),"#N/A")</f>
        <v>#N/A</v>
      </c>
      <c r="J882" s="7" t="s">
        <v>11</v>
      </c>
    </row>
    <row r="883" spans="1:10" ht="13.2">
      <c r="A883" s="7">
        <v>882</v>
      </c>
      <c r="B883" s="7">
        <v>1</v>
      </c>
      <c r="C883" s="7" t="s">
        <v>10</v>
      </c>
      <c r="D883" s="7">
        <v>320</v>
      </c>
      <c r="E883" s="7" t="s">
        <v>11</v>
      </c>
      <c r="F883" s="8" t="str">
        <f ca="1">IFERROR(__xludf.DUMMYFUNCTION("IF
(
C884=""фізична особа""
,
VLOOKUP(D884,IMPORTRANGE(""https://docs.google.com/spreadsheets/d/14Bd19lYaqBhU8_DElYkX7l4wRkHqqCUFNJY4AfY3kHU/edit?usp=sharing  #gid=0"",""фіз особи new!relations_name""),6,FALSE)
,
(IF
(
C884=""юридична особа""
,
VLOOKUP(D8"&amp;"84,IMPORTRANGE(""https://docs.google.com/spreadsheets/d/14Bd19lYaqBhU8_DElYkX7l4wRkHqqCUFNJY4AfY3kHU/edit?usp=sharing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G883" s="7" t="s">
        <v>10</v>
      </c>
      <c r="H883" s="7">
        <v>0</v>
      </c>
      <c r="I883" s="8" t="str">
        <f ca="1">IFERROR(__xludf.DUMMYFUNCTION("IF
(
G884=""фізична особа""
,
VLOOKUP(H884,IMPORTRANGE(""https://docs.google.com/spreadsheets/d/14Bd19lYaqBhU8_DElYkX7l4wRkHqqCUFNJY4AfY3kHU/edit?usp=sharing  #gid=0"",""фіз особи new!relations_name""),6,FALSE)
,
(IF
(
G884=""юридична особа""
,
VLOOKUP(H8"&amp;"84,IMPORTRANGE(""https://docs.google.com/spreadsheets/d/14Bd19lYaqBhU8_DElYkX7l4wRkHqqCUFNJY4AfY3kHU/edit?usp=sharing  #gid=0"",""фіз особи new!relations_name_uo""),7,FALSE)
,
)
))"),"#N/A")</f>
        <v>#N/A</v>
      </c>
      <c r="J883" s="7" t="s">
        <v>11</v>
      </c>
    </row>
    <row r="884" spans="1:10" ht="13.2">
      <c r="A884" s="7">
        <v>883</v>
      </c>
      <c r="B884" s="7">
        <v>1</v>
      </c>
      <c r="C884" s="7" t="s">
        <v>10</v>
      </c>
      <c r="D884" s="7">
        <v>320</v>
      </c>
      <c r="E884" s="7" t="s">
        <v>11</v>
      </c>
      <c r="F884" s="8" t="str">
        <f ca="1">IFERROR(__xludf.DUMMYFUNCTION("IF
(
C885=""фізична особа""
,
VLOOKUP(D885,IMPORTRANGE(""https://docs.google.com/spreadsheets/d/14Bd19lYaqBhU8_DElYkX7l4wRkHqqCUFNJY4AfY3kHU/edit?usp=sharing  #gid=0"",""фіз особи new!relations_name""),6,FALSE)
,
(IF
(
C885=""юридична особа""
,
VLOOKUP(D8"&amp;"85,IMPORTRANGE(""https://docs.google.com/spreadsheets/d/14Bd19lYaqBhU8_DElYkX7l4wRkHqqCUFNJY4AfY3kHU/edit?usp=sharing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G884" s="7" t="s">
        <v>10</v>
      </c>
      <c r="H884" s="7">
        <v>531</v>
      </c>
      <c r="I884" s="8" t="str">
        <f ca="1">IFERROR(__xludf.DUMMYFUNCTION("IF
(
G885=""фізична особа""
,
VLOOKUP(H885,IMPORTRANGE(""https://docs.google.com/spreadsheets/d/14Bd19lYaqBhU8_DElYkX7l4wRkHqqCUFNJY4AfY3kHU/edit?usp=sharing  #gid=0"",""фіз особи new!relations_name""),6,FALSE)
,
(IF
(
G885=""юридична особа""
,
VLOOKUP(H8"&amp;"85,IMPORTRANGE(""https://docs.google.com/spreadsheets/d/14Bd19lYaqBhU8_DElYkX7l4wRkHqqCUFNJY4AfY3kHU/edit?usp=sharing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884" s="7" t="s">
        <v>11</v>
      </c>
    </row>
    <row r="885" spans="1:10" ht="13.2">
      <c r="A885" s="7">
        <v>884</v>
      </c>
      <c r="B885" s="7">
        <v>1</v>
      </c>
      <c r="C885" s="7" t="s">
        <v>10</v>
      </c>
      <c r="D885" s="7">
        <v>320</v>
      </c>
      <c r="E885" s="7" t="s">
        <v>11</v>
      </c>
      <c r="F885" s="8" t="str">
        <f ca="1">IFERROR(__xludf.DUMMYFUNCTION("IF
(
C886=""фізична особа""
,
VLOOKUP(D886,IMPORTRANGE(""https://docs.google.com/spreadsheets/d/14Bd19lYaqBhU8_DElYkX7l4wRkHqqCUFNJY4AfY3kHU/edit?usp=sharing  #gid=0"",""фіз особи new!relations_name""),6,FALSE)
,
(IF
(
C886=""юридична особа""
,
VLOOKUP(D8"&amp;"86,IMPORTRANGE(""https://docs.google.com/spreadsheets/d/14Bd19lYaqBhU8_DElYkX7l4wRkHqqCUFNJY4AfY3kHU/edit?usp=sharing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G885" s="7" t="s">
        <v>10</v>
      </c>
      <c r="H885" s="7">
        <v>367</v>
      </c>
      <c r="I885" s="8" t="str">
        <f ca="1">IFERROR(__xludf.DUMMYFUNCTION("IF
(
G886=""фізична особа""
,
VLOOKUP(H886,IMPORTRANGE(""https://docs.google.com/spreadsheets/d/14Bd19lYaqBhU8_DElYkX7l4wRkHqqCUFNJY4AfY3kHU/edit?usp=sharing  #gid=0"",""фіз особи new!relations_name""),6,FALSE)
,
(IF
(
G886=""юридична особа""
,
VLOOKUP(H8"&amp;"86,IMPORTRANGE(""https://docs.google.com/spreadsheets/d/14Bd19lYaqBhU8_DElYkX7l4wRkHqqCUFNJY4AfY3kHU/edit?usp=sharing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885" s="7" t="s">
        <v>11</v>
      </c>
    </row>
    <row r="886" spans="1:10" ht="13.2">
      <c r="A886" s="7">
        <v>885</v>
      </c>
      <c r="B886" s="7">
        <v>1</v>
      </c>
      <c r="C886" s="7" t="s">
        <v>10</v>
      </c>
      <c r="D886" s="7">
        <v>321</v>
      </c>
      <c r="E886" s="7" t="s">
        <v>28</v>
      </c>
      <c r="F886" s="8" t="str">
        <f ca="1">IFERROR(__xludf.DUMMYFUNCTION("IF
(
C887=""фізична особа""
,
VLOOKUP(D887,IMPORTRANGE(""https://docs.google.com/spreadsheets/d/14Bd19lYaqBhU8_DElYkX7l4wRkHqqCUFNJY4AfY3kHU/edit?usp=sharing  #gid=0"",""фіз особи new!relations_name""),6,FALSE)
,
(IF
(
C887=""юридична особа""
,
VLOOKUP(D8"&amp;"87,IMPORTRANGE(""https://docs.google.com/spreadsheets/d/14Bd19lYaqBhU8_DElYkX7l4wRkHqqCUFNJY4AfY3kHU/edit?usp=sharing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G886" s="7" t="s">
        <v>10</v>
      </c>
      <c r="H886" s="7">
        <v>416</v>
      </c>
      <c r="I886" s="8" t="str">
        <f ca="1">IFERROR(__xludf.DUMMYFUNCTION("IF
(
G887=""фізична особа""
,
VLOOKUP(H887,IMPORTRANGE(""https://docs.google.com/spreadsheets/d/14Bd19lYaqBhU8_DElYkX7l4wRkHqqCUFNJY4AfY3kHU/edit?usp=sharing  #gid=0"",""фіз особи new!relations_name""),6,FALSE)
,
(IF
(
G887=""юридична особа""
,
VLOOKUP(H8"&amp;"87,IMPORTRANGE(""https://docs.google.com/spreadsheets/d/14Bd19lYaqBhU8_DElYkX7l4wRkHqqCUFNJY4AfY3kHU/edit?usp=sharing  #gid=0"",""фіз особи new!relations_name_uo""),7,FALSE)
,
)
))"),"МАЛИШЕВ Михайло Григорович")</f>
        <v>МАЛИШЕВ Михайло Григорович</v>
      </c>
      <c r="J886" s="7" t="s">
        <v>29</v>
      </c>
    </row>
    <row r="887" spans="1:10" ht="13.2">
      <c r="A887" s="7">
        <v>886</v>
      </c>
      <c r="B887" s="7">
        <v>1</v>
      </c>
      <c r="C887" s="7" t="s">
        <v>10</v>
      </c>
      <c r="D887" s="7">
        <v>321</v>
      </c>
      <c r="E887" s="7" t="s">
        <v>35</v>
      </c>
      <c r="F887" s="8" t="str">
        <f ca="1">IFERROR(__xludf.DUMMYFUNCTION("IF
(
C888=""фізична особа""
,
VLOOKUP(D888,IMPORTRANGE(""https://docs.google.com/spreadsheets/d/14Bd19lYaqBhU8_DElYkX7l4wRkHqqCUFNJY4AfY3kHU/edit?usp=sharing  #gid=0"",""фіз особи new!relations_name""),6,FALSE)
,
(IF
(
C888=""юридична особа""
,
VLOOKUP(D8"&amp;"88,IMPORTRANGE(""https://docs.google.com/spreadsheets/d/14Bd19lYaqBhU8_DElYkX7l4wRkHqqCUFNJY4AfY3kHU/edit?usp=sharing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G887" s="7" t="s">
        <v>10</v>
      </c>
      <c r="H887" s="7">
        <v>14480</v>
      </c>
      <c r="I887" s="8" t="str">
        <f ca="1">IFERROR(__xludf.DUMMYFUNCTION("IF
(
G888=""фізична особа""
,
VLOOKUP(H888,IMPORTRANGE(""https://docs.google.com/spreadsheets/d/14Bd19lYaqBhU8_DElYkX7l4wRkHqqCUFNJY4AfY3kHU/edit?usp=sharing  #gid=0"",""фіз особи new!relations_name""),6,FALSE)
,
(IF
(
G888=""юридична особа""
,
VLOOKUP(H8"&amp;"88,IMPORTRANGE(""https://docs.google.com/spreadsheets/d/14Bd19lYaqBhU8_DElYkX7l4wRkHqqCUFNJY4AfY3kHU/edit?usp=sharing  #gid=0"",""фіз особи new!relations_name_uo""),7,FALSE)
,
)
))"),"ГРИШИНА Майя Володимирівна")</f>
        <v>ГРИШИНА Майя Володимирівна</v>
      </c>
      <c r="J887" s="7" t="s">
        <v>35</v>
      </c>
    </row>
    <row r="888" spans="1:10" ht="13.2">
      <c r="A888" s="7">
        <v>887</v>
      </c>
      <c r="B888" s="7">
        <v>1</v>
      </c>
      <c r="C888" s="7" t="s">
        <v>10</v>
      </c>
      <c r="D888" s="7">
        <v>321</v>
      </c>
      <c r="E888" s="7" t="s">
        <v>35</v>
      </c>
      <c r="F888" s="8" t="str">
        <f ca="1">IFERROR(__xludf.DUMMYFUNCTION("IF
(
C889=""фізична особа""
,
VLOOKUP(D889,IMPORTRANGE(""https://docs.google.com/spreadsheets/d/14Bd19lYaqBhU8_DElYkX7l4wRkHqqCUFNJY4AfY3kHU/edit?usp=sharing  #gid=0"",""фіз особи new!relations_name""),6,FALSE)
,
(IF
(
C889=""юридична особа""
,
VLOOKUP(D8"&amp;"89,IMPORTRANGE(""https://docs.google.com/spreadsheets/d/14Bd19lYaqBhU8_DElYkX7l4wRkHqqCUFNJY4AfY3kHU/edit?usp=sharing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G888" s="7" t="s">
        <v>10</v>
      </c>
      <c r="H888" s="7">
        <v>659</v>
      </c>
      <c r="I888" s="8" t="str">
        <f ca="1">IFERROR(__xludf.DUMMYFUNCTION("IF
(
G889=""фізична особа""
,
VLOOKUP(H889,IMPORTRANGE(""https://docs.google.com/spreadsheets/d/14Bd19lYaqBhU8_DElYkX7l4wRkHqqCUFNJY4AfY3kHU/edit?usp=sharing  #gid=0"",""фіз особи new!relations_name""),6,FALSE)
,
(IF
(
G889=""юридична особа""
,
VLOOKUP(H8"&amp;"89,IMPORTRANGE(""https://docs.google.com/spreadsheets/d/14Bd19lYaqBhU8_DElYkX7l4wRkHqqCUFNJY4AfY3kHU/edit?usp=sharing  #gid=0"",""фіз особи new!relations_name_uo""),7,FALSE)
,
)
))"),"ДАНИЛЕНКО Сергій Андрійович")</f>
        <v>ДАНИЛЕНКО Сергій Андрійович</v>
      </c>
      <c r="J888" s="7" t="s">
        <v>35</v>
      </c>
    </row>
    <row r="889" spans="1:10" ht="13.2">
      <c r="A889" s="7">
        <v>888</v>
      </c>
      <c r="B889" s="7">
        <v>1</v>
      </c>
      <c r="C889" s="7" t="s">
        <v>10</v>
      </c>
      <c r="D889" s="7">
        <v>321</v>
      </c>
      <c r="E889" s="7" t="s">
        <v>30</v>
      </c>
      <c r="F889" s="8" t="str">
        <f ca="1">IFERROR(__xludf.DUMMYFUNCTION("IF
(
C890=""фізична особа""
,
VLOOKUP(D890,IMPORTRANGE(""https://docs.google.com/spreadsheets/d/14Bd19lYaqBhU8_DElYkX7l4wRkHqqCUFNJY4AfY3kHU/edit?usp=sharing  #gid=0"",""фіз особи new!relations_name""),6,FALSE)
,
(IF
(
C890=""юридична особа""
,
VLOOKUP(D8"&amp;"90,IMPORTRANGE(""https://docs.google.com/spreadsheets/d/14Bd19lYaqBhU8_DElYkX7l4wRkHqqCUFNJY4AfY3kHU/edit?usp=sharing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G889" s="7" t="s">
        <v>10</v>
      </c>
      <c r="H889" s="7">
        <v>0</v>
      </c>
      <c r="I889" s="8" t="str">
        <f ca="1">IFERROR(__xludf.DUMMYFUNCTION("IF
(
G890=""фізична особа""
,
VLOOKUP(H890,IMPORTRANGE(""https://docs.google.com/spreadsheets/d/14Bd19lYaqBhU8_DElYkX7l4wRkHqqCUFNJY4AfY3kHU/edit?usp=sharing  #gid=0"",""фіз особи new!relations_name""),6,FALSE)
,
(IF
(
G890=""юридична особа""
,
VLOOKUP(H8"&amp;"90,IMPORTRANGE(""https://docs.google.com/spreadsheets/d/14Bd19lYaqBhU8_DElYkX7l4wRkHqqCUFNJY4AfY3kHU/edit?usp=sharing  #gid=0"",""фіз особи new!relations_name_uo""),7,FALSE)
,
)
))"),"#N/A")</f>
        <v>#N/A</v>
      </c>
      <c r="J889" s="7" t="s">
        <v>30</v>
      </c>
    </row>
    <row r="890" spans="1:10" ht="13.2">
      <c r="A890" s="7">
        <v>889</v>
      </c>
      <c r="B890" s="7">
        <v>1</v>
      </c>
      <c r="C890" s="7" t="s">
        <v>10</v>
      </c>
      <c r="D890" s="7">
        <v>322</v>
      </c>
      <c r="E890" s="7" t="s">
        <v>13</v>
      </c>
      <c r="F890" s="8" t="str">
        <f ca="1">IFERROR(__xludf.DUMMYFUNCTION("IF
(
C891=""фізична особа""
,
VLOOKUP(D891,IMPORTRANGE(""https://docs.google.com/spreadsheets/d/14Bd19lYaqBhU8_DElYkX7l4wRkHqqCUFNJY4AfY3kHU/edit?usp=sharing  #gid=0"",""фіз особи new!relations_name""),6,FALSE)
,
(IF
(
C891=""юридична особа""
,
VLOOKUP(D8"&amp;"91,IMPORTRANGE(""https://docs.google.com/spreadsheets/d/14Bd19lYaqBhU8_DElYkX7l4wRkHqqCUFNJY4AfY3kHU/edit?usp=sharing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0" s="7" t="s">
        <v>10</v>
      </c>
      <c r="H890" s="7">
        <v>0</v>
      </c>
      <c r="I890" s="8" t="str">
        <f ca="1">IFERROR(__xludf.DUMMYFUNCTION("IF
(
G891=""фізична особа""
,
VLOOKUP(H891,IMPORTRANGE(""https://docs.google.com/spreadsheets/d/14Bd19lYaqBhU8_DElYkX7l4wRkHqqCUFNJY4AfY3kHU/edit?usp=sharing  #gid=0"",""фіз особи new!relations_name""),6,FALSE)
,
(IF
(
G891=""юридична особа""
,
VLOOKUP(H8"&amp;"91,IMPORTRANGE(""https://docs.google.com/spreadsheets/d/14Bd19lYaqBhU8_DElYkX7l4wRkHqqCUFNJY4AfY3kHU/edit?usp=sharing  #gid=0"",""фіз особи new!relations_name_uo""),7,FALSE)
,
)
))"),"#N/A")</f>
        <v>#N/A</v>
      </c>
      <c r="J890" s="7" t="s">
        <v>12</v>
      </c>
    </row>
    <row r="891" spans="1:10" ht="13.2">
      <c r="A891" s="7">
        <v>890</v>
      </c>
      <c r="B891" s="7">
        <v>1</v>
      </c>
      <c r="C891" s="7" t="s">
        <v>10</v>
      </c>
      <c r="D891" s="7">
        <v>322</v>
      </c>
      <c r="E891" s="7" t="s">
        <v>21</v>
      </c>
      <c r="F891" s="8" t="str">
        <f ca="1">IFERROR(__xludf.DUMMYFUNCTION("IF
(
C892=""фізична особа""
,
VLOOKUP(D892,IMPORTRANGE(""https://docs.google.com/spreadsheets/d/14Bd19lYaqBhU8_DElYkX7l4wRkHqqCUFNJY4AfY3kHU/edit?usp=sharing  #gid=0"",""фіз особи new!relations_name""),6,FALSE)
,
(IF
(
C892=""юридична особа""
,
VLOOKUP(D8"&amp;"92,IMPORTRANGE(""https://docs.google.com/spreadsheets/d/14Bd19lYaqBhU8_DElYkX7l4wRkHqqCUFNJY4AfY3kHU/edit?usp=sharing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1" s="7" t="s">
        <v>10</v>
      </c>
      <c r="H891" s="7">
        <v>4723</v>
      </c>
      <c r="I891" s="8" t="str">
        <f ca="1">IFERROR(__xludf.DUMMYFUNCTION("IF
(
G892=""фізична особа""
,
VLOOKUP(H892,IMPORTRANGE(""https://docs.google.com/spreadsheets/d/14Bd19lYaqBhU8_DElYkX7l4wRkHqqCUFNJY4AfY3kHU/edit?usp=sharing  #gid=0"",""фіз особи new!relations_name""),6,FALSE)
,
(IF
(
G892=""юридична особа""
,
VLOOKUP(H8"&amp;"92,IMPORTRANGE(""https://docs.google.com/spreadsheets/d/14Bd19lYaqBhU8_DElYkX7l4wRkHqqCUFNJY4AfY3kHU/edit?usp=sharing  #gid=0"",""фіз особи new!relations_name_uo""),7,FALSE)
,
)
))"),"СВЯТЕНКО Дар'я Кирилівна")</f>
        <v>СВЯТЕНКО Дар'я Кирилівна</v>
      </c>
      <c r="J891" s="7" t="s">
        <v>13</v>
      </c>
    </row>
    <row r="892" spans="1:10" ht="13.2">
      <c r="A892" s="7">
        <v>891</v>
      </c>
      <c r="B892" s="7">
        <v>1</v>
      </c>
      <c r="C892" s="7" t="s">
        <v>10</v>
      </c>
      <c r="D892" s="7">
        <v>322</v>
      </c>
      <c r="E892" s="7" t="s">
        <v>21</v>
      </c>
      <c r="F892" s="8" t="str">
        <f ca="1">IFERROR(__xludf.DUMMYFUNCTION("IF
(
C893=""фізична особа""
,
VLOOKUP(D893,IMPORTRANGE(""https://docs.google.com/spreadsheets/d/14Bd19lYaqBhU8_DElYkX7l4wRkHqqCUFNJY4AfY3kHU/edit?usp=sharing  #gid=0"",""фіз особи new!relations_name""),6,FALSE)
,
(IF
(
C893=""юридична особа""
,
VLOOKUP(D8"&amp;"93,IMPORTRANGE(""https://docs.google.com/spreadsheets/d/14Bd19lYaqBhU8_DElYkX7l4wRkHqqCUFNJY4AfY3kHU/edit?usp=sharing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2" s="7" t="s">
        <v>10</v>
      </c>
      <c r="H892" s="7">
        <v>4722</v>
      </c>
      <c r="I892" s="8" t="str">
        <f ca="1">IFERROR(__xludf.DUMMYFUNCTION("IF
(
G893=""фізична особа""
,
VLOOKUP(H893,IMPORTRANGE(""https://docs.google.com/spreadsheets/d/14Bd19lYaqBhU8_DElYkX7l4wRkHqqCUFNJY4AfY3kHU/edit?usp=sharing  #gid=0"",""фіз особи new!relations_name""),6,FALSE)
,
(IF
(
G893=""юридична особа""
,
VLOOKUP(H8"&amp;"93,IMPORTRANGE(""https://docs.google.com/spreadsheets/d/14Bd19lYaqBhU8_DElYkX7l4wRkHqqCUFNJY4AfY3kHU/edit?usp=sharing  #gid=0"",""фіз особи new!relations_name_uo""),7,FALSE)
,
)
))"),"СВЯТЕНКО / САВЧЕНКО Маргарита Кирилівна")</f>
        <v>СВЯТЕНКО / САВЧЕНКО Маргарита Кирилівна</v>
      </c>
      <c r="J892" s="7" t="s">
        <v>13</v>
      </c>
    </row>
    <row r="893" spans="1:10" ht="13.2">
      <c r="A893" s="7">
        <v>892</v>
      </c>
      <c r="B893" s="7">
        <v>1</v>
      </c>
      <c r="C893" s="7" t="s">
        <v>10</v>
      </c>
      <c r="D893" s="7">
        <v>322</v>
      </c>
      <c r="E893" s="7" t="s">
        <v>15</v>
      </c>
      <c r="F893" s="8" t="str">
        <f ca="1">IFERROR(__xludf.DUMMYFUNCTION("IF
(
C894=""фізична особа""
,
VLOOKUP(D894,IMPORTRANGE(""https://docs.google.com/spreadsheets/d/14Bd19lYaqBhU8_DElYkX7l4wRkHqqCUFNJY4AfY3kHU/edit?usp=sharing  #gid=0"",""фіз особи new!relations_name""),6,FALSE)
,
(IF
(
C894=""юридична особа""
,
VLOOKUP(D8"&amp;"94,IMPORTRANGE(""https://docs.google.com/spreadsheets/d/14Bd19lYaqBhU8_DElYkX7l4wRkHqqCUFNJY4AfY3kHU/edit?usp=sharing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3" s="7" t="s">
        <v>10</v>
      </c>
      <c r="H893" s="7">
        <v>4721</v>
      </c>
      <c r="I893" s="8" t="str">
        <f ca="1">IFERROR(__xludf.DUMMYFUNCTION("IF
(
G894=""фізична особа""
,
VLOOKUP(H894,IMPORTRANGE(""https://docs.google.com/spreadsheets/d/14Bd19lYaqBhU8_DElYkX7l4wRkHqqCUFNJY4AfY3kHU/edit?usp=sharing  #gid=0"",""фіз особи new!relations_name""),6,FALSE)
,
(IF
(
G894=""юридична особа""
,
VLOOKUP(H8"&amp;"94,IMPORTRANGE(""https://docs.google.com/spreadsheets/d/14Bd19lYaqBhU8_DElYkX7l4wRkHqqCUFNJY4AfY3kHU/edit?usp=sharing  #gid=0"",""фіз особи new!relations_name_uo""),7,FALSE)
,
)
))"),"СВЯТЕНКО Кирило Віталійович")</f>
        <v>СВЯТЕНКО Кирило Віталійович</v>
      </c>
      <c r="J893" s="7" t="s">
        <v>14</v>
      </c>
    </row>
    <row r="894" spans="1:10" ht="13.2">
      <c r="A894" s="7">
        <v>893</v>
      </c>
      <c r="B894" s="7">
        <v>1</v>
      </c>
      <c r="C894" s="7" t="s">
        <v>10</v>
      </c>
      <c r="D894" s="7">
        <v>322</v>
      </c>
      <c r="E894" s="7" t="s">
        <v>27</v>
      </c>
      <c r="F894" s="8" t="str">
        <f ca="1">IFERROR(__xludf.DUMMYFUNCTION("IF
(
C895=""фізична особа""
,
VLOOKUP(D895,IMPORTRANGE(""https://docs.google.com/spreadsheets/d/14Bd19lYaqBhU8_DElYkX7l4wRkHqqCUFNJY4AfY3kHU/edit?usp=sharing  #gid=0"",""фіз особи new!relations_name""),6,FALSE)
,
(IF
(
C895=""юридична особа""
,
VLOOKUP(D8"&amp;"95,IMPORTRANGE(""https://docs.google.com/spreadsheets/d/14Bd19lYaqBhU8_DElYkX7l4wRkHqqCUFNJY4AfY3kHU/edit?usp=sharing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4" s="7" t="s">
        <v>10</v>
      </c>
      <c r="H894" s="7">
        <v>4724</v>
      </c>
      <c r="I894" s="8" t="str">
        <f ca="1">IFERROR(__xludf.DUMMYFUNCTION("IF
(
G895=""фізична особа""
,
VLOOKUP(H895,IMPORTRANGE(""https://docs.google.com/spreadsheets/d/14Bd19lYaqBhU8_DElYkX7l4wRkHqqCUFNJY4AfY3kHU/edit?usp=sharing  #gid=0"",""фіз особи new!relations_name""),6,FALSE)
,
(IF
(
G895=""юридична особа""
,
VLOOKUP(H8"&amp;"95,IMPORTRANGE(""https://docs.google.com/spreadsheets/d/14Bd19lYaqBhU8_DElYkX7l4wRkHqqCUFNJY4AfY3kHU/edit?usp=sharing  #gid=0"",""фіз особи new!relations_name_uo""),7,FALSE)
,
)
))"),"САВЧЕНКО Георгій Євгенійович")</f>
        <v>САВЧЕНКО Георгій Євгенійович</v>
      </c>
      <c r="J894" s="7" t="s">
        <v>26</v>
      </c>
    </row>
    <row r="895" spans="1:10" ht="13.2">
      <c r="A895" s="7">
        <v>894</v>
      </c>
      <c r="B895" s="7">
        <v>1</v>
      </c>
      <c r="C895" s="7" t="s">
        <v>10</v>
      </c>
      <c r="D895" s="7">
        <v>322</v>
      </c>
      <c r="E895" s="7" t="s">
        <v>63</v>
      </c>
      <c r="F895" s="8" t="str">
        <f ca="1">IFERROR(__xludf.DUMMYFUNCTION("IF
(
C896=""фізична особа""
,
VLOOKUP(D896,IMPORTRANGE(""https://docs.google.com/spreadsheets/d/14Bd19lYaqBhU8_DElYkX7l4wRkHqqCUFNJY4AfY3kHU/edit?usp=sharing  #gid=0"",""фіз особи new!relations_name""),6,FALSE)
,
(IF
(
C896=""юридична особа""
,
VLOOKUP(D8"&amp;"96,IMPORTRANGE(""https://docs.google.com/spreadsheets/d/14Bd19lYaqBhU8_DElYkX7l4wRkHqqCUFNJY4AfY3kHU/edit?usp=sharing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5" s="7" t="s">
        <v>10</v>
      </c>
      <c r="H895" s="7">
        <v>0</v>
      </c>
      <c r="I895" s="8" t="str">
        <f ca="1">IFERROR(__xludf.DUMMYFUNCTION("IF
(
G896=""фізична особа""
,
VLOOKUP(H896,IMPORTRANGE(""https://docs.google.com/spreadsheets/d/14Bd19lYaqBhU8_DElYkX7l4wRkHqqCUFNJY4AfY3kHU/edit?usp=sharing  #gid=0"",""фіз особи new!relations_name""),6,FALSE)
,
(IF
(
G896=""юридична особа""
,
VLOOKUP(H8"&amp;"96,IMPORTRANGE(""https://docs.google.com/spreadsheets/d/14Bd19lYaqBhU8_DElYkX7l4wRkHqqCUFNJY4AfY3kHU/edit?usp=sharing  #gid=0"",""фіз особи new!relations_name_uo""),7,FALSE)
,
)
))"),"#N/A")</f>
        <v>#N/A</v>
      </c>
      <c r="J895" s="7" t="s">
        <v>63</v>
      </c>
    </row>
    <row r="896" spans="1:10" ht="13.2">
      <c r="A896" s="7">
        <v>895</v>
      </c>
      <c r="B896" s="7">
        <v>1</v>
      </c>
      <c r="C896" s="7" t="s">
        <v>10</v>
      </c>
      <c r="D896" s="7">
        <v>322</v>
      </c>
      <c r="E896" s="7" t="s">
        <v>63</v>
      </c>
      <c r="F896" s="8" t="str">
        <f ca="1">IFERROR(__xludf.DUMMYFUNCTION("IF
(
C897=""фізична особа""
,
VLOOKUP(D897,IMPORTRANGE(""https://docs.google.com/spreadsheets/d/14Bd19lYaqBhU8_DElYkX7l4wRkHqqCUFNJY4AfY3kHU/edit?usp=sharing  #gid=0"",""фіз особи new!relations_name""),6,FALSE)
,
(IF
(
C897=""юридична особа""
,
VLOOKUP(D8"&amp;"97,IMPORTRANGE(""https://docs.google.com/spreadsheets/d/14Bd19lYaqBhU8_DElYkX7l4wRkHqqCUFNJY4AfY3kHU/edit?usp=sharing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G896" s="7" t="s">
        <v>10</v>
      </c>
      <c r="H896" s="7">
        <v>0</v>
      </c>
      <c r="I896" s="8" t="str">
        <f ca="1">IFERROR(__xludf.DUMMYFUNCTION("IF
(
G897=""фізична особа""
,
VLOOKUP(H897,IMPORTRANGE(""https://docs.google.com/spreadsheets/d/14Bd19lYaqBhU8_DElYkX7l4wRkHqqCUFNJY4AfY3kHU/edit?usp=sharing  #gid=0"",""фіз особи new!relations_name""),6,FALSE)
,
(IF
(
G897=""юридична особа""
,
VLOOKUP(H8"&amp;"97,IMPORTRANGE(""https://docs.google.com/spreadsheets/d/14Bd19lYaqBhU8_DElYkX7l4wRkHqqCUFNJY4AfY3kHU/edit?usp=sharing  #gid=0"",""фіз особи new!relations_name_uo""),7,FALSE)
,
)
))"),"#N/A")</f>
        <v>#N/A</v>
      </c>
      <c r="J896" s="7" t="s">
        <v>62</v>
      </c>
    </row>
    <row r="897" spans="1:10" ht="13.2">
      <c r="A897" s="7">
        <v>896</v>
      </c>
      <c r="B897" s="7">
        <v>1</v>
      </c>
      <c r="C897" s="7" t="s">
        <v>10</v>
      </c>
      <c r="D897" s="7">
        <v>323</v>
      </c>
      <c r="E897" s="7" t="s">
        <v>13</v>
      </c>
      <c r="F897" s="8" t="str">
        <f ca="1">IFERROR(__xludf.DUMMYFUNCTION("IF
(
C898=""фізична особа""
,
VLOOKUP(D898,IMPORTRANGE(""https://docs.google.com/spreadsheets/d/14Bd19lYaqBhU8_DElYkX7l4wRkHqqCUFNJY4AfY3kHU/edit?usp=sharing  #gid=0"",""фіз особи new!relations_name""),6,FALSE)
,
(IF
(
C898=""юридична особа""
,
VLOOKUP(D8"&amp;"98,IMPORTRANGE(""https://docs.google.com/spreadsheets/d/14Bd19lYaqBhU8_DElYkX7l4wRkHqqCUFNJY4AfY3kHU/edit?usp=sharing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G897" s="7" t="s">
        <v>10</v>
      </c>
      <c r="H897" s="7">
        <v>4904</v>
      </c>
      <c r="I897" s="8" t="str">
        <f ca="1">IFERROR(__xludf.DUMMYFUNCTION("IF
(
G898=""фізична особа""
,
VLOOKUP(H898,IMPORTRANGE(""https://docs.google.com/spreadsheets/d/14Bd19lYaqBhU8_DElYkX7l4wRkHqqCUFNJY4AfY3kHU/edit?usp=sharing  #gid=0"",""фіз особи new!relations_name""),6,FALSE)
,
(IF
(
G898=""юридична особа""
,
VLOOKUP(H8"&amp;"98,IMPORTRANGE(""https://docs.google.com/spreadsheets/d/14Bd19lYaqBhU8_DElYkX7l4wRkHqqCUFNJY4AfY3kHU/edit?usp=sharing  #gid=0"",""фіз особи new!relations_name_uo""),7,FALSE)
,
)
))"),"АРШИНОВА Галина Іванівна")</f>
        <v>АРШИНОВА Галина Іванівна</v>
      </c>
      <c r="J897" s="7" t="s">
        <v>21</v>
      </c>
    </row>
    <row r="898" spans="1:10" ht="13.2">
      <c r="A898" s="7">
        <v>897</v>
      </c>
      <c r="B898" s="7">
        <v>1</v>
      </c>
      <c r="C898" s="7" t="s">
        <v>10</v>
      </c>
      <c r="D898" s="7">
        <v>323</v>
      </c>
      <c r="E898" s="7" t="s">
        <v>31</v>
      </c>
      <c r="F898" s="8" t="str">
        <f ca="1">IFERROR(__xludf.DUMMYFUNCTION("IF
(
C899=""фізична особа""
,
VLOOKUP(D899,IMPORTRANGE(""https://docs.google.com/spreadsheets/d/14Bd19lYaqBhU8_DElYkX7l4wRkHqqCUFNJY4AfY3kHU/edit?usp=sharing  #gid=0"",""фіз особи new!relations_name""),6,FALSE)
,
(IF
(
C899=""юридична особа""
,
VLOOKUP(D8"&amp;"99,IMPORTRANGE(""https://docs.google.com/spreadsheets/d/14Bd19lYaqBhU8_DElYkX7l4wRkHqqCUFNJY4AfY3kHU/edit?usp=sharing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G898" s="7" t="s">
        <v>10</v>
      </c>
      <c r="H898" s="7">
        <v>4905</v>
      </c>
      <c r="I898" s="8" t="str">
        <f ca="1">IFERROR(__xludf.DUMMYFUNCTION("IF
(
G899=""фізична особа""
,
VLOOKUP(H899,IMPORTRANGE(""https://docs.google.com/spreadsheets/d/14Bd19lYaqBhU8_DElYkX7l4wRkHqqCUFNJY4AfY3kHU/edit?usp=sharing  #gid=0"",""фіз особи new!relations_name""),6,FALSE)
,
(IF
(
G899=""юридична особа""
,
VLOOKUP(H8"&amp;"99,IMPORTRANGE(""https://docs.google.com/spreadsheets/d/14Bd19lYaqBhU8_DElYkX7l4wRkHqqCUFNJY4AfY3kHU/edit?usp=sharing  #gid=0"",""фіз особи new!relations_name_uo""),7,FALSE)
,
)
))"),"АРШИНОВ Олександра Ігорівна")</f>
        <v>АРШИНОВ Олександра Ігорівна</v>
      </c>
      <c r="J898" s="7" t="s">
        <v>31</v>
      </c>
    </row>
    <row r="899" spans="1:10" ht="13.2">
      <c r="A899" s="7">
        <v>898</v>
      </c>
      <c r="B899" s="7">
        <v>1</v>
      </c>
      <c r="C899" s="7" t="s">
        <v>10</v>
      </c>
      <c r="D899" s="7">
        <v>323</v>
      </c>
      <c r="E899" s="7" t="s">
        <v>13</v>
      </c>
      <c r="F899" s="8" t="str">
        <f ca="1">IFERROR(__xludf.DUMMYFUNCTION("IF
(
C900=""фізична особа""
,
VLOOKUP(D900,IMPORTRANGE(""https://docs.google.com/spreadsheets/d/14Bd19lYaqBhU8_DElYkX7l4wRkHqqCUFNJY4AfY3kHU/edit?usp=sharing  #gid=0"",""фіз особи new!relations_name""),6,FALSE)
,
(IF
(
C900=""юридична особа""
,
VLOOKUP(D9"&amp;"00,IMPORTRANGE(""https://docs.google.com/spreadsheets/d/14Bd19lYaqBhU8_DElYkX7l4wRkHqqCUFNJY4AfY3kHU/edit?usp=sharing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G899" s="7" t="s">
        <v>10</v>
      </c>
      <c r="H899" s="7">
        <v>4850</v>
      </c>
      <c r="I899" s="8" t="str">
        <f ca="1">IFERROR(__xludf.DUMMYFUNCTION("IF
(
G900=""фізична особа""
,
VLOOKUP(H900,IMPORTRANGE(""https://docs.google.com/spreadsheets/d/14Bd19lYaqBhU8_DElYkX7l4wRkHqqCUFNJY4AfY3kHU/edit?usp=sharing  #gid=0"",""фіз особи new!relations_name""),6,FALSE)
,
(IF
(
G900=""юридична особа""
,
VLOOKUP(H9"&amp;"00,IMPORTRANGE(""https://docs.google.com/spreadsheets/d/14Bd19lYaqBhU8_DElYkX7l4wRkHqqCUFNJY4AfY3kHU/edit?usp=sharing  #gid=0"",""фіз особи new!relations_name_uo""),7,FALSE)
,
)
))"),"АРШИНОВ Ігор Андрійович")</f>
        <v>АРШИНОВ Ігор Андрійович</v>
      </c>
      <c r="J899" s="7" t="s">
        <v>12</v>
      </c>
    </row>
    <row r="900" spans="1:10" ht="13.2">
      <c r="A900" s="7">
        <v>899</v>
      </c>
      <c r="B900" s="7">
        <v>1</v>
      </c>
      <c r="C900" s="7" t="s">
        <v>10</v>
      </c>
      <c r="D900" s="7">
        <v>324</v>
      </c>
      <c r="E900" s="7" t="s">
        <v>12</v>
      </c>
      <c r="F900" s="8" t="str">
        <f ca="1">IFERROR(__xludf.DUMMYFUNCTION("IF
(
C901=""фізична особа""
,
VLOOKUP(D901,IMPORTRANGE(""https://docs.google.com/spreadsheets/d/14Bd19lYaqBhU8_DElYkX7l4wRkHqqCUFNJY4AfY3kHU/edit?usp=sharing  #gid=0"",""фіз особи new!relations_name""),6,FALSE)
,
(IF
(
C901=""юридична особа""
,
VLOOKUP(D9"&amp;"01,IMPORTRANGE(""https://docs.google.com/spreadsheets/d/14Bd19lYaqBhU8_DElYkX7l4wRkHqqCUFNJY4AfY3kHU/edit?usp=sharing  #gid=0"",""фіз особи new!relations_name_uo""),7,FALSE)
,
)
))"),"БОГУСЛАВСЬКИЙ Ірек Борисович")</f>
        <v>БОГУСЛАВСЬКИЙ Ірек Борисович</v>
      </c>
      <c r="G900" s="7" t="s">
        <v>10</v>
      </c>
      <c r="H900" s="7">
        <v>5125</v>
      </c>
      <c r="I900" s="8" t="str">
        <f ca="1">IFERROR(__xludf.DUMMYFUNCTION("IF
(
G901=""фізична особа""
,
VLOOKUP(H901,IMPORTRANGE(""https://docs.google.com/spreadsheets/d/14Bd19lYaqBhU8_DElYkX7l4wRkHqqCUFNJY4AfY3kHU/edit?usp=sharing  #gid=0"",""фіз особи new!relations_name""),6,FALSE)
,
(IF
(
G901=""юридична особа""
,
VLOOKUP(H9"&amp;"01,IMPORTRANGE(""https://docs.google.com/spreadsheets/d/14Bd19lYaqBhU8_DElYkX7l4wRkHqqCUFNJY4AfY3kHU/edit?usp=sharing  #gid=0"",""фіз особи new!relations_name_uo""),7,FALSE)
,
)
))"),"БОГУСЛАВСЬКИЙ Тимур Ірекович")</f>
        <v>БОГУСЛАВСЬКИЙ Тимур Ірекович</v>
      </c>
      <c r="J900" s="7" t="s">
        <v>17</v>
      </c>
    </row>
    <row r="901" spans="1:10" ht="13.2">
      <c r="A901" s="7">
        <v>900</v>
      </c>
      <c r="B901" s="7">
        <v>1</v>
      </c>
      <c r="C901" s="7" t="s">
        <v>10</v>
      </c>
      <c r="D901" s="7">
        <v>324</v>
      </c>
      <c r="E901" s="7" t="s">
        <v>12</v>
      </c>
      <c r="F901" s="8" t="str">
        <f ca="1">IFERROR(__xludf.DUMMYFUNCTION("IF
(
C902=""фізична особа""
,
VLOOKUP(D902,IMPORTRANGE(""https://docs.google.com/spreadsheets/d/14Bd19lYaqBhU8_DElYkX7l4wRkHqqCUFNJY4AfY3kHU/edit?usp=sharing  #gid=0"",""фіз особи new!relations_name""),6,FALSE)
,
(IF
(
C902=""юридична особа""
,
VLOOKUP(D9"&amp;"02,IMPORTRANGE(""https://docs.google.com/spreadsheets/d/14Bd19lYaqBhU8_DElYkX7l4wRkHqqCUFNJY4AfY3kHU/edit?usp=sharing  #gid=0"",""фіз особи new!relations_name_uo""),7,FALSE)
,
)
))"),"БОГУСЛАВСЬКИЙ Ірек Борисович")</f>
        <v>БОГУСЛАВСЬКИЙ Ірек Борисович</v>
      </c>
      <c r="G901" s="7" t="s">
        <v>10</v>
      </c>
      <c r="H901" s="7">
        <v>5126</v>
      </c>
      <c r="I901" s="8" t="str">
        <f ca="1">IFERROR(__xludf.DUMMYFUNCTION("IF
(
G902=""фізична особа""
,
VLOOKUP(H902,IMPORTRANGE(""https://docs.google.com/spreadsheets/d/14Bd19lYaqBhU8_DElYkX7l4wRkHqqCUFNJY4AfY3kHU/edit?usp=sharing  #gid=0"",""фіз особи new!relations_name""),6,FALSE)
,
(IF
(
G902=""юридична особа""
,
VLOOKUP(H9"&amp;"02,IMPORTRANGE(""https://docs.google.com/spreadsheets/d/14Bd19lYaqBhU8_DElYkX7l4wRkHqqCUFNJY4AfY3kHU/edit?usp=sharing  #gid=0"",""фіз особи new!relations_name_uo""),7,FALSE)
,
)
))"),"БОГУСЛАВСЬКА Карина Іреківна")</f>
        <v>БОГУСЛАВСЬКА Карина Іреківна</v>
      </c>
      <c r="J901" s="7" t="s">
        <v>13</v>
      </c>
    </row>
    <row r="902" spans="1:10" ht="13.2">
      <c r="A902" s="7">
        <v>901</v>
      </c>
      <c r="B902" s="7">
        <v>1</v>
      </c>
      <c r="C902" s="7" t="s">
        <v>10</v>
      </c>
      <c r="D902" s="7">
        <v>324</v>
      </c>
      <c r="E902" s="7" t="s">
        <v>48</v>
      </c>
      <c r="F902" s="8" t="str">
        <f ca="1">IFERROR(__xludf.DUMMYFUNCTION("IF
(
C903=""фізична особа""
,
VLOOKUP(D903,IMPORTRANGE(""https://docs.google.com/spreadsheets/d/14Bd19lYaqBhU8_DElYkX7l4wRkHqqCUFNJY4AfY3kHU/edit?usp=sharing  #gid=0"",""фіз особи new!relations_name""),6,FALSE)
,
(IF
(
C903=""юридична особа""
,
VLOOKUP(D9"&amp;"03,IMPORTRANGE(""https://docs.google.com/spreadsheets/d/14Bd19lYaqBhU8_DElYkX7l4wRkHqqCUFNJY4AfY3kHU/edit?usp=sharing  #gid=0"",""фіз особи new!relations_name_uo""),7,FALSE)
,
)
))"),"БОГУСЛАВСЬКИЙ Ірек Борисович")</f>
        <v>БОГУСЛАВСЬКИЙ Ірек Борисович</v>
      </c>
      <c r="G902" s="7" t="s">
        <v>10</v>
      </c>
      <c r="H902" s="7">
        <v>2513</v>
      </c>
      <c r="I902" s="8" t="str">
        <f ca="1">IFERROR(__xludf.DUMMYFUNCTION("IF
(
G903=""фізична особа""
,
VLOOKUP(H903,IMPORTRANGE(""https://docs.google.com/spreadsheets/d/14Bd19lYaqBhU8_DElYkX7l4wRkHqqCUFNJY4AfY3kHU/edit?usp=sharing  #gid=0"",""фіз особи new!relations_name""),6,FALSE)
,
(IF
(
G903=""юридична особа""
,
VLOOKUP(H9"&amp;"03,IMPORTRANGE(""https://docs.google.com/spreadsheets/d/14Bd19lYaqBhU8_DElYkX7l4wRkHqqCUFNJY4AfY3kHU/edit?usp=sharing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902" s="7" t="s">
        <v>48</v>
      </c>
    </row>
    <row r="903" spans="1:10" ht="13.2">
      <c r="A903" s="7">
        <v>902</v>
      </c>
      <c r="B903" s="7">
        <v>1</v>
      </c>
      <c r="C903" s="7" t="s">
        <v>10</v>
      </c>
      <c r="D903" s="7">
        <v>325</v>
      </c>
      <c r="E903" s="7" t="s">
        <v>14</v>
      </c>
      <c r="F903" s="8" t="str">
        <f ca="1">IFERROR(__xludf.DUMMYFUNCTION("IF
(
C904=""фізична особа""
,
VLOOKUP(D904,IMPORTRANGE(""https://docs.google.com/spreadsheets/d/14Bd19lYaqBhU8_DElYkX7l4wRkHqqCUFNJY4AfY3kHU/edit?usp=sharing  #gid=0"",""фіз особи new!relations_name""),6,FALSE)
,
(IF
(
C904=""юридична особа""
,
VLOOKUP(D9"&amp;"04,IMPORTRANGE(""https://docs.google.com/spreadsheets/d/14Bd19lYaqBhU8_DElYkX7l4wRkHqqCUFNJY4AfY3kHU/edit?usp=sharing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3" s="7" t="s">
        <v>10</v>
      </c>
      <c r="H903" s="7">
        <v>0</v>
      </c>
      <c r="I903" s="8" t="str">
        <f ca="1">IFERROR(__xludf.DUMMYFUNCTION("IF
(
G904=""фізична особа""
,
VLOOKUP(H904,IMPORTRANGE(""https://docs.google.com/spreadsheets/d/14Bd19lYaqBhU8_DElYkX7l4wRkHqqCUFNJY4AfY3kHU/edit?usp=sharing  #gid=0"",""фіз особи new!relations_name""),6,FALSE)
,
(IF
(
G904=""юридична особа""
,
VLOOKUP(H9"&amp;"04,IMPORTRANGE(""https://docs.google.com/spreadsheets/d/14Bd19lYaqBhU8_DElYkX7l4wRkHqqCUFNJY4AfY3kHU/edit?usp=sharing  #gid=0"",""фіз особи new!relations_name_uo""),7,FALSE)
,
)
))"),"#N/A")</f>
        <v>#N/A</v>
      </c>
      <c r="J903" s="7" t="s">
        <v>15</v>
      </c>
    </row>
    <row r="904" spans="1:10" ht="13.2">
      <c r="A904" s="7">
        <v>903</v>
      </c>
      <c r="B904" s="7">
        <v>1</v>
      </c>
      <c r="C904" s="7" t="s">
        <v>10</v>
      </c>
      <c r="D904" s="7">
        <v>325</v>
      </c>
      <c r="E904" s="7" t="s">
        <v>12</v>
      </c>
      <c r="F904" s="8" t="str">
        <f ca="1">IFERROR(__xludf.DUMMYFUNCTION("IF
(
C905=""фізична особа""
,
VLOOKUP(D905,IMPORTRANGE(""https://docs.google.com/spreadsheets/d/14Bd19lYaqBhU8_DElYkX7l4wRkHqqCUFNJY4AfY3kHU/edit?usp=sharing  #gid=0"",""фіз особи new!relations_name""),6,FALSE)
,
(IF
(
C905=""юридична особа""
,
VLOOKUP(D9"&amp;"05,IMPORTRANGE(""https://docs.google.com/spreadsheets/d/14Bd19lYaqBhU8_DElYkX7l4wRkHqqCUFNJY4AfY3kHU/edit?usp=sharing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4" s="7" t="s">
        <v>10</v>
      </c>
      <c r="H904" s="7">
        <v>4692</v>
      </c>
      <c r="I904" s="8" t="str">
        <f ca="1">IFERROR(__xludf.DUMMYFUNCTION("IF
(
G905=""фізична особа""
,
VLOOKUP(H905,IMPORTRANGE(""https://docs.google.com/spreadsheets/d/14Bd19lYaqBhU8_DElYkX7l4wRkHqqCUFNJY4AfY3kHU/edit?usp=sharing  #gid=0"",""фіз особи new!relations_name""),6,FALSE)
,
(IF
(
G905=""юридична особа""
,
VLOOKUP(H9"&amp;"05,IMPORTRANGE(""https://docs.google.com/spreadsheets/d/14Bd19lYaqBhU8_DElYkX7l4wRkHqqCUFNJY4AfY3kHU/edit?usp=sharing  #gid=0"",""фіз особи new!relations_name_uo""),7,FALSE)
,
)
))"),"ФАЙЗУЛЛІН Алік Ірекович")</f>
        <v>ФАЙЗУЛЛІН Алік Ірекович</v>
      </c>
      <c r="J904" s="7" t="s">
        <v>17</v>
      </c>
    </row>
    <row r="905" spans="1:10" ht="13.2">
      <c r="A905" s="7">
        <v>904</v>
      </c>
      <c r="B905" s="7">
        <v>1</v>
      </c>
      <c r="C905" s="7" t="s">
        <v>10</v>
      </c>
      <c r="D905" s="7">
        <v>325</v>
      </c>
      <c r="E905" s="7" t="s">
        <v>12</v>
      </c>
      <c r="F905" s="8" t="str">
        <f ca="1">IFERROR(__xludf.DUMMYFUNCTION("IF
(
C906=""фізична особа""
,
VLOOKUP(D906,IMPORTRANGE(""https://docs.google.com/spreadsheets/d/14Bd19lYaqBhU8_DElYkX7l4wRkHqqCUFNJY4AfY3kHU/edit?usp=sharing  #gid=0"",""фіз особи new!relations_name""),6,FALSE)
,
(IF
(
C906=""юридична особа""
,
VLOOKUP(D9"&amp;"06,IMPORTRANGE(""https://docs.google.com/spreadsheets/d/14Bd19lYaqBhU8_DElYkX7l4wRkHqqCUFNJY4AfY3kHU/edit?usp=sharing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5" s="7" t="s">
        <v>10</v>
      </c>
      <c r="H905" s="7">
        <v>4694</v>
      </c>
      <c r="I905" s="8" t="str">
        <f ca="1">IFERROR(__xludf.DUMMYFUNCTION("IF
(
G906=""фізична особа""
,
VLOOKUP(H906,IMPORTRANGE(""https://docs.google.com/spreadsheets/d/14Bd19lYaqBhU8_DElYkX7l4wRkHqqCUFNJY4AfY3kHU/edit?usp=sharing  #gid=0"",""фіз особи new!relations_name""),6,FALSE)
,
(IF
(
G906=""юридична особа""
,
VLOOKUP(H9"&amp;"06,IMPORTRANGE(""https://docs.google.com/spreadsheets/d/14Bd19lYaqBhU8_DElYkX7l4wRkHqqCUFNJY4AfY3kHU/edit?usp=sharing  #gid=0"",""фіз особи new!relations_name_uo""),7,FALSE)
,
)
))"),"АЖІМОВА Лілія Ірековна")</f>
        <v>АЖІМОВА Лілія Ірековна</v>
      </c>
      <c r="J905" s="7" t="s">
        <v>13</v>
      </c>
    </row>
    <row r="906" spans="1:10" ht="13.2">
      <c r="A906" s="7">
        <v>905</v>
      </c>
      <c r="B906" s="7">
        <v>1</v>
      </c>
      <c r="C906" s="7" t="s">
        <v>10</v>
      </c>
      <c r="D906" s="7">
        <v>325</v>
      </c>
      <c r="E906" s="7" t="s">
        <v>34</v>
      </c>
      <c r="F906" s="8" t="str">
        <f ca="1">IFERROR(__xludf.DUMMYFUNCTION("IF
(
C907=""фізична особа""
,
VLOOKUP(D907,IMPORTRANGE(""https://docs.google.com/spreadsheets/d/14Bd19lYaqBhU8_DElYkX7l4wRkHqqCUFNJY4AfY3kHU/edit?usp=sharing  #gid=0"",""фіз особи new!relations_name""),6,FALSE)
,
(IF
(
C907=""юридична особа""
,
VLOOKUP(D9"&amp;"07,IMPORTRANGE(""https://docs.google.com/spreadsheets/d/14Bd19lYaqBhU8_DElYkX7l4wRkHqqCUFNJY4AfY3kHU/edit?usp=sharing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6" s="7" t="s">
        <v>10</v>
      </c>
      <c r="H906" s="7">
        <v>4693</v>
      </c>
      <c r="I906" s="8" t="str">
        <f ca="1">IFERROR(__xludf.DUMMYFUNCTION("IF
(
G907=""фізична особа""
,
VLOOKUP(H907,IMPORTRANGE(""https://docs.google.com/spreadsheets/d/14Bd19lYaqBhU8_DElYkX7l4wRkHqqCUFNJY4AfY3kHU/edit?usp=sharing  #gid=0"",""фіз особи new!relations_name""),6,FALSE)
,
(IF
(
G907=""юридична особа""
,
VLOOKUP(H9"&amp;"07,IMPORTRANGE(""https://docs.google.com/spreadsheets/d/14Bd19lYaqBhU8_DElYkX7l4wRkHqqCUFNJY4AfY3kHU/edit?usp=sharing  #gid=0"",""фіз особи new!relations_name_uo""),7,FALSE)
,
)
))"),"ФАЙЗУЛЛІНА Альбіна Ідрісівна")</f>
        <v>ФАЙЗУЛЛІНА Альбіна Ідрісівна</v>
      </c>
      <c r="J906" s="7" t="s">
        <v>25</v>
      </c>
    </row>
    <row r="907" spans="1:10" ht="13.2">
      <c r="A907" s="7">
        <v>906</v>
      </c>
      <c r="B907" s="7">
        <v>1</v>
      </c>
      <c r="C907" s="7" t="s">
        <v>10</v>
      </c>
      <c r="D907" s="7">
        <v>325</v>
      </c>
      <c r="E907" s="7" t="s">
        <v>24</v>
      </c>
      <c r="F907" s="8" t="str">
        <f ca="1">IFERROR(__xludf.DUMMYFUNCTION("IF
(
C908=""фізична особа""
,
VLOOKUP(D908,IMPORTRANGE(""https://docs.google.com/spreadsheets/d/14Bd19lYaqBhU8_DElYkX7l4wRkHqqCUFNJY4AfY3kHU/edit?usp=sharing  #gid=0"",""фіз особи new!relations_name""),6,FALSE)
,
(IF
(
C908=""юридична особа""
,
VLOOKUP(D9"&amp;"08,IMPORTRANGE(""https://docs.google.com/spreadsheets/d/14Bd19lYaqBhU8_DElYkX7l4wRkHqqCUFNJY4AfY3kHU/edit?usp=sharing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7" s="7" t="s">
        <v>10</v>
      </c>
      <c r="H907" s="7">
        <v>4695</v>
      </c>
      <c r="I907" s="8" t="str">
        <f ca="1">IFERROR(__xludf.DUMMYFUNCTION("IF
(
G908=""фізична особа""
,
VLOOKUP(H908,IMPORTRANGE(""https://docs.google.com/spreadsheets/d/14Bd19lYaqBhU8_DElYkX7l4wRkHqqCUFNJY4AfY3kHU/edit?usp=sharing  #gid=0"",""фіз особи new!relations_name""),6,FALSE)
,
(IF
(
G908=""юридична особа""
,
VLOOKUP(H9"&amp;"08,IMPORTRANGE(""https://docs.google.com/spreadsheets/d/14Bd19lYaqBhU8_DElYkX7l4wRkHqqCUFNJY4AfY3kHU/edit?usp=sharing  #gid=0"",""фіз особи new!relations_name_uo""),7,FALSE)
,
)
))"),"АЖИМОВ Тимур Загідович")</f>
        <v>АЖИМОВ Тимур Загідович</v>
      </c>
      <c r="J907" s="7" t="s">
        <v>26</v>
      </c>
    </row>
    <row r="908" spans="1:10" ht="13.2">
      <c r="A908" s="7">
        <v>907</v>
      </c>
      <c r="B908" s="7">
        <v>1</v>
      </c>
      <c r="C908" s="7" t="s">
        <v>10</v>
      </c>
      <c r="D908" s="7">
        <v>325</v>
      </c>
      <c r="E908" s="7" t="s">
        <v>48</v>
      </c>
      <c r="F908" s="8" t="str">
        <f ca="1">IFERROR(__xludf.DUMMYFUNCTION("IF
(
C909=""фізична особа""
,
VLOOKUP(D909,IMPORTRANGE(""https://docs.google.com/spreadsheets/d/14Bd19lYaqBhU8_DElYkX7l4wRkHqqCUFNJY4AfY3kHU/edit?usp=sharing  #gid=0"",""фіз особи new!relations_name""),6,FALSE)
,
(IF
(
C909=""юридична особа""
,
VLOOKUP(D9"&amp;"09,IMPORTRANGE(""https://docs.google.com/spreadsheets/d/14Bd19lYaqBhU8_DElYkX7l4wRkHqqCUFNJY4AfY3kHU/edit?usp=sharing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8" s="7" t="s">
        <v>10</v>
      </c>
      <c r="H908" s="7">
        <v>2513</v>
      </c>
      <c r="I908" s="8" t="str">
        <f ca="1">IFERROR(__xludf.DUMMYFUNCTION("IF
(
G909=""фізична особа""
,
VLOOKUP(H909,IMPORTRANGE(""https://docs.google.com/spreadsheets/d/14Bd19lYaqBhU8_DElYkX7l4wRkHqqCUFNJY4AfY3kHU/edit?usp=sharing  #gid=0"",""фіз особи new!relations_name""),6,FALSE)
,
(IF
(
G909=""юридична особа""
,
VLOOKUP(H9"&amp;"09,IMPORTRANGE(""https://docs.google.com/spreadsheets/d/14Bd19lYaqBhU8_DElYkX7l4wRkHqqCUFNJY4AfY3kHU/edit?usp=sharing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908" s="7" t="s">
        <v>48</v>
      </c>
    </row>
    <row r="909" spans="1:10" ht="13.2">
      <c r="A909" s="7">
        <v>908</v>
      </c>
      <c r="B909" s="7">
        <v>1</v>
      </c>
      <c r="C909" s="7" t="s">
        <v>10</v>
      </c>
      <c r="D909" s="7">
        <v>325</v>
      </c>
      <c r="E909" s="7" t="s">
        <v>62</v>
      </c>
      <c r="F909" s="8" t="str">
        <f ca="1">IFERROR(__xludf.DUMMYFUNCTION("IF
(
C910=""фізична особа""
,
VLOOKUP(D910,IMPORTRANGE(""https://docs.google.com/spreadsheets/d/14Bd19lYaqBhU8_DElYkX7l4wRkHqqCUFNJY4AfY3kHU/edit?usp=sharing  #gid=0"",""фіз особи new!relations_name""),6,FALSE)
,
(IF
(
C910=""юридична особа""
,
VLOOKUP(D9"&amp;"10,IMPORTRANGE(""https://docs.google.com/spreadsheets/d/14Bd19lYaqBhU8_DElYkX7l4wRkHqqCUFNJY4AfY3kHU/edit?usp=sharing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09" s="7" t="s">
        <v>10</v>
      </c>
      <c r="H909" s="7">
        <v>0</v>
      </c>
      <c r="I909" s="8" t="str">
        <f ca="1">IFERROR(__xludf.DUMMYFUNCTION("IF
(
G910=""фізична особа""
,
VLOOKUP(H910,IMPORTRANGE(""https://docs.google.com/spreadsheets/d/14Bd19lYaqBhU8_DElYkX7l4wRkHqqCUFNJY4AfY3kHU/edit?usp=sharing  #gid=0"",""фіз особи new!relations_name""),6,FALSE)
,
(IF
(
G910=""юридична особа""
,
VLOOKUP(H9"&amp;"10,IMPORTRANGE(""https://docs.google.com/spreadsheets/d/14Bd19lYaqBhU8_DElYkX7l4wRkHqqCUFNJY4AfY3kHU/edit?usp=sharing  #gid=0"",""фіз особи new!relations_name_uo""),7,FALSE)
,
)
))"),"#N/A")</f>
        <v>#N/A</v>
      </c>
      <c r="J909" s="7" t="s">
        <v>62</v>
      </c>
    </row>
    <row r="910" spans="1:10" ht="13.2">
      <c r="A910" s="7">
        <v>909</v>
      </c>
      <c r="B910" s="7">
        <v>1</v>
      </c>
      <c r="C910" s="7" t="s">
        <v>10</v>
      </c>
      <c r="D910" s="7">
        <v>325</v>
      </c>
      <c r="E910" s="7" t="s">
        <v>30</v>
      </c>
      <c r="F910" s="8" t="str">
        <f ca="1">IFERROR(__xludf.DUMMYFUNCTION("IF
(
C911=""фізична особа""
,
VLOOKUP(D911,IMPORTRANGE(""https://docs.google.com/spreadsheets/d/14Bd19lYaqBhU8_DElYkX7l4wRkHqqCUFNJY4AfY3kHU/edit?usp=sharing  #gid=0"",""фіз особи new!relations_name""),6,FALSE)
,
(IF
(
C911=""юридична особа""
,
VLOOKUP(D9"&amp;"11,IMPORTRANGE(""https://docs.google.com/spreadsheets/d/14Bd19lYaqBhU8_DElYkX7l4wRkHqqCUFNJY4AfY3kHU/edit?usp=sharing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0" s="7" t="s">
        <v>10</v>
      </c>
      <c r="H910" s="7">
        <v>0</v>
      </c>
      <c r="I910" s="8" t="str">
        <f ca="1">IFERROR(__xludf.DUMMYFUNCTION("IF
(
G911=""фізична особа""
,
VLOOKUP(H911,IMPORTRANGE(""https://docs.google.com/spreadsheets/d/14Bd19lYaqBhU8_DElYkX7l4wRkHqqCUFNJY4AfY3kHU/edit?usp=sharing  #gid=0"",""фіз особи new!relations_name""),6,FALSE)
,
(IF
(
G911=""юридична особа""
,
VLOOKUP(H9"&amp;"11,IMPORTRANGE(""https://docs.google.com/spreadsheets/d/14Bd19lYaqBhU8_DElYkX7l4wRkHqqCUFNJY4AfY3kHU/edit?usp=sharing  #gid=0"",""фіз особи new!relations_name_uo""),7,FALSE)
,
)
))"),"#N/A")</f>
        <v>#N/A</v>
      </c>
      <c r="J910" s="7" t="s">
        <v>30</v>
      </c>
    </row>
    <row r="911" spans="1:10" ht="13.2">
      <c r="A911" s="7">
        <v>910</v>
      </c>
      <c r="B911" s="7">
        <v>1</v>
      </c>
      <c r="C911" s="7" t="s">
        <v>10</v>
      </c>
      <c r="D911" s="7">
        <v>325</v>
      </c>
      <c r="E911" s="7" t="s">
        <v>30</v>
      </c>
      <c r="F911" s="8" t="str">
        <f ca="1">IFERROR(__xludf.DUMMYFUNCTION("IF
(
C912=""фізична особа""
,
VLOOKUP(D912,IMPORTRANGE(""https://docs.google.com/spreadsheets/d/14Bd19lYaqBhU8_DElYkX7l4wRkHqqCUFNJY4AfY3kHU/edit?usp=sharing  #gid=0"",""фіз особи new!relations_name""),6,FALSE)
,
(IF
(
C912=""юридична особа""
,
VLOOKUP(D9"&amp;"12,IMPORTRANGE(""https://docs.google.com/spreadsheets/d/14Bd19lYaqBhU8_DElYkX7l4wRkHqqCUFNJY4AfY3kHU/edit?usp=sharing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1" s="7" t="s">
        <v>10</v>
      </c>
      <c r="H911" s="7">
        <v>0</v>
      </c>
      <c r="I911" s="8" t="str">
        <f ca="1">IFERROR(__xludf.DUMMYFUNCTION("IF
(
G912=""фізична особа""
,
VLOOKUP(H912,IMPORTRANGE(""https://docs.google.com/spreadsheets/d/14Bd19lYaqBhU8_DElYkX7l4wRkHqqCUFNJY4AfY3kHU/edit?usp=sharing  #gid=0"",""фіз особи new!relations_name""),6,FALSE)
,
(IF
(
G912=""юридична особа""
,
VLOOKUP(H9"&amp;"12,IMPORTRANGE(""https://docs.google.com/spreadsheets/d/14Bd19lYaqBhU8_DElYkX7l4wRkHqqCUFNJY4AfY3kHU/edit?usp=sharing  #gid=0"",""фіз особи new!relations_name_uo""),7,FALSE)
,
)
))"),"#N/A")</f>
        <v>#N/A</v>
      </c>
      <c r="J911" s="7" t="s">
        <v>30</v>
      </c>
    </row>
    <row r="912" spans="1:10" ht="13.2">
      <c r="A912" s="7">
        <v>911</v>
      </c>
      <c r="B912" s="7">
        <v>1</v>
      </c>
      <c r="C912" s="7" t="s">
        <v>10</v>
      </c>
      <c r="D912" s="7">
        <v>325</v>
      </c>
      <c r="E912" s="7" t="s">
        <v>52</v>
      </c>
      <c r="F912" s="8" t="str">
        <f ca="1">IFERROR(__xludf.DUMMYFUNCTION("IF
(
C913=""фізична особа""
,
VLOOKUP(D913,IMPORTRANGE(""https://docs.google.com/spreadsheets/d/14Bd19lYaqBhU8_DElYkX7l4wRkHqqCUFNJY4AfY3kHU/edit?usp=sharing  #gid=0"",""фіз особи new!relations_name""),6,FALSE)
,
(IF
(
C913=""юридична особа""
,
VLOOKUP(D9"&amp;"13,IMPORTRANGE(""https://docs.google.com/spreadsheets/d/14Bd19lYaqBhU8_DElYkX7l4wRkHqqCUFNJY4AfY3kHU/edit?usp=sharing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2" s="7" t="s">
        <v>10</v>
      </c>
      <c r="H912" s="7">
        <v>882</v>
      </c>
      <c r="I912" s="8" t="str">
        <f ca="1">IFERROR(__xludf.DUMMYFUNCTION("IF
(
G913=""фізична особа""
,
VLOOKUP(H913,IMPORTRANGE(""https://docs.google.com/spreadsheets/d/14Bd19lYaqBhU8_DElYkX7l4wRkHqqCUFNJY4AfY3kHU/edit?usp=sharing  #gid=0"",""фіз особи new!relations_name""),6,FALSE)
,
(IF
(
G913=""юридична особа""
,
VLOOKUP(H9"&amp;"13,IMPORTRANGE(""https://docs.google.com/spreadsheets/d/14Bd19lYaqBhU8_DElYkX7l4wRkHqqCUFNJY4AfY3kHU/edit?usp=sharing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J912" s="7" t="s">
        <v>53</v>
      </c>
    </row>
    <row r="913" spans="1:10" ht="13.2">
      <c r="A913" s="7">
        <v>912</v>
      </c>
      <c r="B913" s="7">
        <v>1</v>
      </c>
      <c r="C913" s="7" t="s">
        <v>10</v>
      </c>
      <c r="D913" s="7">
        <v>325</v>
      </c>
      <c r="E913" s="7" t="s">
        <v>28</v>
      </c>
      <c r="F913" s="8" t="str">
        <f ca="1">IFERROR(__xludf.DUMMYFUNCTION("IF
(
C914=""фізична особа""
,
VLOOKUP(D914,IMPORTRANGE(""https://docs.google.com/spreadsheets/d/14Bd19lYaqBhU8_DElYkX7l4wRkHqqCUFNJY4AfY3kHU/edit?usp=sharing  #gid=0"",""фіз особи new!relations_name""),6,FALSE)
,
(IF
(
C914=""юридична особа""
,
VLOOKUP(D9"&amp;"14,IMPORTRANGE(""https://docs.google.com/spreadsheets/d/14Bd19lYaqBhU8_DElYkX7l4wRkHqqCUFNJY4AfY3kHU/edit?usp=sharing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3" s="7" t="s">
        <v>10</v>
      </c>
      <c r="H913" s="7">
        <v>419</v>
      </c>
      <c r="I913" s="8" t="str">
        <f ca="1">IFERROR(__xludf.DUMMYFUNCTION("IF
(
G914=""фізична особа""
,
VLOOKUP(H914,IMPORTRANGE(""https://docs.google.com/spreadsheets/d/14Bd19lYaqBhU8_DElYkX7l4wRkHqqCUFNJY4AfY3kHU/edit?usp=sharing  #gid=0"",""фіз особи new!relations_name""),6,FALSE)
,
(IF
(
G914=""юридична особа""
,
VLOOKUP(H9"&amp;"14,IMPORTRANGE(""https://docs.google.com/spreadsheets/d/14Bd19lYaqBhU8_DElYkX7l4wRkHqqCUFNJY4AfY3kHU/edit?usp=sharing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913" s="7" t="s">
        <v>29</v>
      </c>
    </row>
    <row r="914" spans="1:10" ht="13.2">
      <c r="A914" s="7">
        <v>913</v>
      </c>
      <c r="B914" s="7">
        <v>1</v>
      </c>
      <c r="C914" s="7" t="s">
        <v>10</v>
      </c>
      <c r="D914" s="7">
        <v>325</v>
      </c>
      <c r="E914" s="7" t="s">
        <v>29</v>
      </c>
      <c r="F914" s="8" t="str">
        <f ca="1">IFERROR(__xludf.DUMMYFUNCTION("IF
(
C915=""фізична особа""
,
VLOOKUP(D915,IMPORTRANGE(""https://docs.google.com/spreadsheets/d/14Bd19lYaqBhU8_DElYkX7l4wRkHqqCUFNJY4AfY3kHU/edit?usp=sharing  #gid=0"",""фіз особи new!relations_name""),6,FALSE)
,
(IF
(
C915=""юридична особа""
,
VLOOKUP(D9"&amp;"15,IMPORTRANGE(""https://docs.google.com/spreadsheets/d/14Bd19lYaqBhU8_DElYkX7l4wRkHqqCUFNJY4AfY3kHU/edit?usp=sharing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4" s="7" t="s">
        <v>10</v>
      </c>
      <c r="H914" s="7">
        <v>23389</v>
      </c>
      <c r="I914" s="8" t="str">
        <f ca="1">IFERROR(__xludf.DUMMYFUNCTION("IF
(
G915=""фізична особа""
,
VLOOKUP(H915,IMPORTRANGE(""https://docs.google.com/spreadsheets/d/14Bd19lYaqBhU8_DElYkX7l4wRkHqqCUFNJY4AfY3kHU/edit?usp=sharing  #gid=0"",""фіз особи new!relations_name""),6,FALSE)
,
(IF
(
G915=""юридична особа""
,
VLOOKUP(H9"&amp;"15,IMPORTRANGE(""https://docs.google.com/spreadsheets/d/14Bd19lYaqBhU8_DElYkX7l4wRkHqqCUFNJY4AfY3kHU/edit?usp=sharing  #gid=0"",""фіз особи new!relations_name_uo""),7,FALSE)
,
)
))"),"ЗАГРУТДІНОВ Рафік Равілович")</f>
        <v>ЗАГРУТДІНОВ Рафік Равілович</v>
      </c>
      <c r="J914" s="7" t="s">
        <v>28</v>
      </c>
    </row>
    <row r="915" spans="1:10" ht="13.2">
      <c r="A915" s="7">
        <v>914</v>
      </c>
      <c r="B915" s="7">
        <v>1</v>
      </c>
      <c r="C915" s="7" t="s">
        <v>10</v>
      </c>
      <c r="D915" s="7">
        <v>325</v>
      </c>
      <c r="E915" s="7" t="s">
        <v>29</v>
      </c>
      <c r="F915" s="8" t="str">
        <f ca="1">IFERROR(__xludf.DUMMYFUNCTION("IF
(
C916=""фізична особа""
,
VLOOKUP(D916,IMPORTRANGE(""https://docs.google.com/spreadsheets/d/14Bd19lYaqBhU8_DElYkX7l4wRkHqqCUFNJY4AfY3kHU/edit?usp=sharing  #gid=0"",""фіз особи new!relations_name""),6,FALSE)
,
(IF
(
C916=""юридична особа""
,
VLOOKUP(D9"&amp;"16,IMPORTRANGE(""https://docs.google.com/spreadsheets/d/14Bd19lYaqBhU8_DElYkX7l4wRkHqqCUFNJY4AfY3kHU/edit?usp=sharing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5" s="7" t="s">
        <v>10</v>
      </c>
      <c r="H915" s="7">
        <v>0</v>
      </c>
      <c r="I915" s="8" t="str">
        <f ca="1">IFERROR(__xludf.DUMMYFUNCTION("IF
(
G916=""фізична особа""
,
VLOOKUP(H916,IMPORTRANGE(""https://docs.google.com/spreadsheets/d/14Bd19lYaqBhU8_DElYkX7l4wRkHqqCUFNJY4AfY3kHU/edit?usp=sharing  #gid=0"",""фіз особи new!relations_name""),6,FALSE)
,
(IF
(
G916=""юридична особа""
,
VLOOKUP(H9"&amp;"16,IMPORTRANGE(""https://docs.google.com/spreadsheets/d/14Bd19lYaqBhU8_DElYkX7l4wRkHqqCUFNJY4AfY3kHU/edit?usp=sharing  #gid=0"",""фіз особи new!relations_name_uo""),7,FALSE)
,
)
))"),"#N/A")</f>
        <v>#N/A</v>
      </c>
      <c r="J915" s="7" t="s">
        <v>28</v>
      </c>
    </row>
    <row r="916" spans="1:10" ht="13.2">
      <c r="A916" s="7">
        <v>915</v>
      </c>
      <c r="B916" s="7">
        <v>1</v>
      </c>
      <c r="C916" s="7" t="s">
        <v>10</v>
      </c>
      <c r="D916" s="7">
        <v>325</v>
      </c>
      <c r="E916" s="7" t="s">
        <v>29</v>
      </c>
      <c r="F916" s="8" t="str">
        <f ca="1">IFERROR(__xludf.DUMMYFUNCTION("IF
(
C917=""фізична особа""
,
VLOOKUP(D917,IMPORTRANGE(""https://docs.google.com/spreadsheets/d/14Bd19lYaqBhU8_DElYkX7l4wRkHqqCUFNJY4AfY3kHU/edit?usp=sharing  #gid=0"",""фіз особи new!relations_name""),6,FALSE)
,
(IF
(
C917=""юридична особа""
,
VLOOKUP(D9"&amp;"17,IMPORTRANGE(""https://docs.google.com/spreadsheets/d/14Bd19lYaqBhU8_DElYkX7l4wRkHqqCUFNJY4AfY3kHU/edit?usp=sharing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6" s="7" t="s">
        <v>10</v>
      </c>
      <c r="H916" s="7">
        <v>22358</v>
      </c>
      <c r="I916" s="8" t="str">
        <f ca="1">IFERROR(__xludf.DUMMYFUNCTION("IF
(
G917=""фізична особа""
,
VLOOKUP(H917,IMPORTRANGE(""https://docs.google.com/spreadsheets/d/14Bd19lYaqBhU8_DElYkX7l4wRkHqqCUFNJY4AfY3kHU/edit?usp=sharing  #gid=0"",""фіз особи new!relations_name""),6,FALSE)
,
(IF
(
G917=""юридична особа""
,
VLOOKUP(H9"&amp;"17,IMPORTRANGE(""https://docs.google.com/spreadsheets/d/14Bd19lYaqBhU8_DElYkX7l4wRkHqqCUFNJY4AfY3kHU/edit?usp=sharing  #gid=0"",""фіз особи new!relations_name_uo""),7,FALSE)
,
)
))"),"ЛЕОНОВ Валерій Володимирович")</f>
        <v>ЛЕОНОВ Валерій Володимирович</v>
      </c>
      <c r="J916" s="7" t="s">
        <v>28</v>
      </c>
    </row>
    <row r="917" spans="1:10" ht="13.2">
      <c r="A917" s="7">
        <v>916</v>
      </c>
      <c r="B917" s="7">
        <v>1</v>
      </c>
      <c r="C917" s="7" t="s">
        <v>10</v>
      </c>
      <c r="D917" s="7">
        <v>325</v>
      </c>
      <c r="E917" s="7" t="s">
        <v>29</v>
      </c>
      <c r="F917" s="8" t="str">
        <f ca="1">IFERROR(__xludf.DUMMYFUNCTION("IF
(
C918=""фізична особа""
,
VLOOKUP(D918,IMPORTRANGE(""https://docs.google.com/spreadsheets/d/14Bd19lYaqBhU8_DElYkX7l4wRkHqqCUFNJY4AfY3kHU/edit?usp=sharing  #gid=0"",""фіз особи new!relations_name""),6,FALSE)
,
(IF
(
C918=""юридична особа""
,
VLOOKUP(D9"&amp;"18,IMPORTRANGE(""https://docs.google.com/spreadsheets/d/14Bd19lYaqBhU8_DElYkX7l4wRkHqqCUFNJY4AfY3kHU/edit?usp=sharing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7" s="7" t="s">
        <v>10</v>
      </c>
      <c r="H917" s="7">
        <v>23390</v>
      </c>
      <c r="I917" s="8" t="str">
        <f ca="1">IFERROR(__xludf.DUMMYFUNCTION("IF
(
G918=""фізична особа""
,
VLOOKUP(H918,IMPORTRANGE(""https://docs.google.com/spreadsheets/d/14Bd19lYaqBhU8_DElYkX7l4wRkHqqCUFNJY4AfY3kHU/edit?usp=sharing  #gid=0"",""фіз особи new!relations_name""),6,FALSE)
,
(IF
(
G918=""юридична особа""
,
VLOOKUP(H9"&amp;"18,IMPORTRANGE(""https://docs.google.com/spreadsheets/d/14Bd19lYaqBhU8_DElYkX7l4wRkHqqCUFNJY4AfY3kHU/edit?usp=sharing  #gid=0"",""фіз особи new!relations_name_uo""),7,FALSE)
,
)
))"),"ПЯТОВА Анастасія Миколаївна")</f>
        <v>ПЯТОВА Анастасія Миколаївна</v>
      </c>
      <c r="J917" s="7" t="s">
        <v>28</v>
      </c>
    </row>
    <row r="918" spans="1:10" ht="13.2">
      <c r="A918" s="7">
        <v>917</v>
      </c>
      <c r="B918" s="7">
        <v>1</v>
      </c>
      <c r="C918" s="7" t="s">
        <v>10</v>
      </c>
      <c r="D918" s="7">
        <v>325</v>
      </c>
      <c r="E918" s="7" t="s">
        <v>29</v>
      </c>
      <c r="F918" s="8" t="str">
        <f ca="1">IFERROR(__xludf.DUMMYFUNCTION("IF
(
C919=""фізична особа""
,
VLOOKUP(D919,IMPORTRANGE(""https://docs.google.com/spreadsheets/d/14Bd19lYaqBhU8_DElYkX7l4wRkHqqCUFNJY4AfY3kHU/edit?usp=sharing  #gid=0"",""фіз особи new!relations_name""),6,FALSE)
,
(IF
(
C919=""юридична особа""
,
VLOOKUP(D9"&amp;"19,IMPORTRANGE(""https://docs.google.com/spreadsheets/d/14Bd19lYaqBhU8_DElYkX7l4wRkHqqCUFNJY4AfY3kHU/edit?usp=sharing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8" s="7" t="s">
        <v>10</v>
      </c>
      <c r="H918" s="7">
        <v>2357</v>
      </c>
      <c r="I918" s="8" t="str">
        <f ca="1">IFERROR(__xludf.DUMMYFUNCTION("IF
(
G919=""фізична особа""
,
VLOOKUP(H919,IMPORTRANGE(""https://docs.google.com/spreadsheets/d/14Bd19lYaqBhU8_DElYkX7l4wRkHqqCUFNJY4AfY3kHU/edit?usp=sharing  #gid=0"",""фіз особи new!relations_name""),6,FALSE)
,
(IF
(
G919=""юридична особа""
,
VLOOKUP(H9"&amp;"19,IMPORTRANGE(""https://docs.google.com/spreadsheets/d/14Bd19lYaqBhU8_DElYkX7l4wRkHqqCUFNJY4AfY3kHU/edit?usp=sharing  #gid=0"",""фіз особи new!relations_name_uo""),7,FALSE)
,
)
))"),"ІВАНОВА Світлана Володимирівна")</f>
        <v>ІВАНОВА Світлана Володимирівна</v>
      </c>
      <c r="J918" s="7" t="s">
        <v>28</v>
      </c>
    </row>
    <row r="919" spans="1:10" ht="13.2">
      <c r="A919" s="7">
        <v>918</v>
      </c>
      <c r="B919" s="7">
        <v>1</v>
      </c>
      <c r="C919" s="7" t="s">
        <v>10</v>
      </c>
      <c r="D919" s="7">
        <v>325</v>
      </c>
      <c r="E919" s="7" t="s">
        <v>29</v>
      </c>
      <c r="F919" s="8" t="str">
        <f ca="1">IFERROR(__xludf.DUMMYFUNCTION("IF
(
C920=""фізична особа""
,
VLOOKUP(D920,IMPORTRANGE(""https://docs.google.com/spreadsheets/d/14Bd19lYaqBhU8_DElYkX7l4wRkHqqCUFNJY4AfY3kHU/edit?usp=sharing  #gid=0"",""фіз особи new!relations_name""),6,FALSE)
,
(IF
(
C920=""юридична особа""
,
VLOOKUP(D9"&amp;"20,IMPORTRANGE(""https://docs.google.com/spreadsheets/d/14Bd19lYaqBhU8_DElYkX7l4wRkHqqCUFNJY4AfY3kHU/edit?usp=sharing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G919" s="7" t="s">
        <v>10</v>
      </c>
      <c r="H919" s="7">
        <v>2356</v>
      </c>
      <c r="I919" s="8" t="str">
        <f ca="1">IFERROR(__xludf.DUMMYFUNCTION("IF
(
G920=""фізична особа""
,
VLOOKUP(H920,IMPORTRANGE(""https://docs.google.com/spreadsheets/d/14Bd19lYaqBhU8_DElYkX7l4wRkHqqCUFNJY4AfY3kHU/edit?usp=sharing  #gid=0"",""фіз особи new!relations_name""),6,FALSE)
,
(IF
(
G920=""юридична особа""
,
VLOOKUP(H9"&amp;"20,IMPORTRANGE(""https://docs.google.com/spreadsheets/d/14Bd19lYaqBhU8_DElYkX7l4wRkHqqCUFNJY4AfY3kHU/edit?usp=sharing  #gid=0"",""фіз особи new!relations_name_uo""),7,FALSE)
,
)
))"),"ЛОМАКІН Олександр Миколайович")</f>
        <v>ЛОМАКІН Олександр Миколайович</v>
      </c>
      <c r="J919" s="7" t="s">
        <v>28</v>
      </c>
    </row>
    <row r="920" spans="1:10" ht="13.2">
      <c r="A920" s="7">
        <v>919</v>
      </c>
      <c r="B920" s="7">
        <v>1</v>
      </c>
      <c r="C920" s="7" t="s">
        <v>10</v>
      </c>
      <c r="D920" s="7">
        <v>326</v>
      </c>
      <c r="E920" s="7" t="s">
        <v>14</v>
      </c>
      <c r="F920" s="8" t="str">
        <f ca="1">IFERROR(__xludf.DUMMYFUNCTION("IF
(
C921=""фізична особа""
,
VLOOKUP(D921,IMPORTRANGE(""https://docs.google.com/spreadsheets/d/14Bd19lYaqBhU8_DElYkX7l4wRkHqqCUFNJY4AfY3kHU/edit?usp=sharing  #gid=0"",""фіз особи new!relations_name""),6,FALSE)
,
(IF
(
C921=""юридична особа""
,
VLOOKUP(D9"&amp;"21,IMPORTRANGE(""https://docs.google.com/spreadsheets/d/14Bd19lYaqBhU8_DElYkX7l4wRkHqqCUFNJY4AfY3kHU/edit?usp=sharing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0" s="7" t="s">
        <v>10</v>
      </c>
      <c r="H920" s="7">
        <v>0</v>
      </c>
      <c r="I920" s="8" t="str">
        <f ca="1">IFERROR(__xludf.DUMMYFUNCTION("IF
(
G921=""фізична особа""
,
VLOOKUP(H921,IMPORTRANGE(""https://docs.google.com/spreadsheets/d/14Bd19lYaqBhU8_DElYkX7l4wRkHqqCUFNJY4AfY3kHU/edit?usp=sharing  #gid=0"",""фіз особи new!relations_name""),6,FALSE)
,
(IF
(
G921=""юридична особа""
,
VLOOKUP(H9"&amp;"21,IMPORTRANGE(""https://docs.google.com/spreadsheets/d/14Bd19lYaqBhU8_DElYkX7l4wRkHqqCUFNJY4AfY3kHU/edit?usp=sharing  #gid=0"",""фіз особи new!relations_name_uo""),7,FALSE)
,
)
))"),"#N/A")</f>
        <v>#N/A</v>
      </c>
      <c r="J920" s="7" t="s">
        <v>15</v>
      </c>
    </row>
    <row r="921" spans="1:10" ht="13.2">
      <c r="A921" s="7">
        <v>920</v>
      </c>
      <c r="B921" s="7">
        <v>1</v>
      </c>
      <c r="C921" s="7" t="s">
        <v>10</v>
      </c>
      <c r="D921" s="7">
        <v>326</v>
      </c>
      <c r="E921" s="7" t="s">
        <v>12</v>
      </c>
      <c r="F921" s="8" t="str">
        <f ca="1">IFERROR(__xludf.DUMMYFUNCTION("IF
(
C922=""фізична особа""
,
VLOOKUP(D922,IMPORTRANGE(""https://docs.google.com/spreadsheets/d/14Bd19lYaqBhU8_DElYkX7l4wRkHqqCUFNJY4AfY3kHU/edit?usp=sharing  #gid=0"",""фіз особи new!relations_name""),6,FALSE)
,
(IF
(
C922=""юридична особа""
,
VLOOKUP(D9"&amp;"22,IMPORTRANGE(""https://docs.google.com/spreadsheets/d/14Bd19lYaqBhU8_DElYkX7l4wRkHqqCUFNJY4AfY3kHU/edit?usp=sharing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1" s="7" t="s">
        <v>10</v>
      </c>
      <c r="H921" s="7">
        <v>0</v>
      </c>
      <c r="I921" s="8" t="str">
        <f ca="1">IFERROR(__xludf.DUMMYFUNCTION("IF
(
G922=""фізична особа""
,
VLOOKUP(H922,IMPORTRANGE(""https://docs.google.com/spreadsheets/d/14Bd19lYaqBhU8_DElYkX7l4wRkHqqCUFNJY4AfY3kHU/edit?usp=sharing  #gid=0"",""фіз особи new!relations_name""),6,FALSE)
,
(IF
(
G922=""юридична особа""
,
VLOOKUP(H9"&amp;"22,IMPORTRANGE(""https://docs.google.com/spreadsheets/d/14Bd19lYaqBhU8_DElYkX7l4wRkHqqCUFNJY4AfY3kHU/edit?usp=sharing  #gid=0"",""фіз особи new!relations_name_uo""),7,FALSE)
,
)
))"),"#N/A")</f>
        <v>#N/A</v>
      </c>
      <c r="J921" s="7" t="s">
        <v>13</v>
      </c>
    </row>
    <row r="922" spans="1:10" ht="13.2">
      <c r="A922" s="7">
        <v>921</v>
      </c>
      <c r="B922" s="7">
        <v>1</v>
      </c>
      <c r="C922" s="7" t="s">
        <v>10</v>
      </c>
      <c r="D922" s="7">
        <v>326</v>
      </c>
      <c r="E922" s="7" t="s">
        <v>12</v>
      </c>
      <c r="F922" s="8" t="str">
        <f ca="1">IFERROR(__xludf.DUMMYFUNCTION("IF
(
C923=""фізична особа""
,
VLOOKUP(D923,IMPORTRANGE(""https://docs.google.com/spreadsheets/d/14Bd19lYaqBhU8_DElYkX7l4wRkHqqCUFNJY4AfY3kHU/edit?usp=sharing  #gid=0"",""фіз особи new!relations_name""),6,FALSE)
,
(IF
(
C923=""юридична особа""
,
VLOOKUP(D9"&amp;"23,IMPORTRANGE(""https://docs.google.com/spreadsheets/d/14Bd19lYaqBhU8_DElYkX7l4wRkHqqCUFNJY4AfY3kHU/edit?usp=sharing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2" s="7" t="s">
        <v>10</v>
      </c>
      <c r="H922" s="7">
        <v>0</v>
      </c>
      <c r="I922" s="8" t="str">
        <f ca="1">IFERROR(__xludf.DUMMYFUNCTION("IF
(
G923=""фізична особа""
,
VLOOKUP(H923,IMPORTRANGE(""https://docs.google.com/spreadsheets/d/14Bd19lYaqBhU8_DElYkX7l4wRkHqqCUFNJY4AfY3kHU/edit?usp=sharing  #gid=0"",""фіз особи new!relations_name""),6,FALSE)
,
(IF
(
G923=""юридична особа""
,
VLOOKUP(H9"&amp;"23,IMPORTRANGE(""https://docs.google.com/spreadsheets/d/14Bd19lYaqBhU8_DElYkX7l4wRkHqqCUFNJY4AfY3kHU/edit?usp=sharing  #gid=0"",""фіз особи new!relations_name_uo""),7,FALSE)
,
)
))"),"#N/A")</f>
        <v>#N/A</v>
      </c>
      <c r="J922" s="7" t="s">
        <v>13</v>
      </c>
    </row>
    <row r="923" spans="1:10" ht="13.2">
      <c r="A923" s="7">
        <v>922</v>
      </c>
      <c r="B923" s="7">
        <v>1</v>
      </c>
      <c r="C923" s="7" t="s">
        <v>10</v>
      </c>
      <c r="D923" s="7">
        <v>326</v>
      </c>
      <c r="E923" s="7" t="s">
        <v>29</v>
      </c>
      <c r="F923" s="8" t="str">
        <f ca="1">IFERROR(__xludf.DUMMYFUNCTION("IF
(
C924=""фізична особа""
,
VLOOKUP(D924,IMPORTRANGE(""https://docs.google.com/spreadsheets/d/14Bd19lYaqBhU8_DElYkX7l4wRkHqqCUFNJY4AfY3kHU/edit?usp=sharing  #gid=0"",""фіз особи new!relations_name""),6,FALSE)
,
(IF
(
C924=""юридична особа""
,
VLOOKUP(D9"&amp;"24,IMPORTRANGE(""https://docs.google.com/spreadsheets/d/14Bd19lYaqBhU8_DElYkX7l4wRkHqqCUFNJY4AfY3kHU/edit?usp=sharing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3" s="7" t="s">
        <v>10</v>
      </c>
      <c r="H923" s="7">
        <v>0</v>
      </c>
      <c r="I923" s="8" t="str">
        <f ca="1">IFERROR(__xludf.DUMMYFUNCTION("IF
(
G924=""фізична особа""
,
VLOOKUP(H924,IMPORTRANGE(""https://docs.google.com/spreadsheets/d/14Bd19lYaqBhU8_DElYkX7l4wRkHqqCUFNJY4AfY3kHU/edit?usp=sharing  #gid=0"",""фіз особи new!relations_name""),6,FALSE)
,
(IF
(
G924=""юридична особа""
,
VLOOKUP(H9"&amp;"24,IMPORTRANGE(""https://docs.google.com/spreadsheets/d/14Bd19lYaqBhU8_DElYkX7l4wRkHqqCUFNJY4AfY3kHU/edit?usp=sharing  #gid=0"",""фіз особи new!relations_name_uo""),7,FALSE)
,
)
))"),"#N/A")</f>
        <v>#N/A</v>
      </c>
      <c r="J923" s="7" t="s">
        <v>28</v>
      </c>
    </row>
    <row r="924" spans="1:10" ht="13.2">
      <c r="A924" s="7">
        <v>923</v>
      </c>
      <c r="B924" s="7">
        <v>1</v>
      </c>
      <c r="C924" s="7" t="s">
        <v>10</v>
      </c>
      <c r="D924" s="7">
        <v>326</v>
      </c>
      <c r="E924" s="7" t="s">
        <v>29</v>
      </c>
      <c r="F924" s="8" t="str">
        <f ca="1">IFERROR(__xludf.DUMMYFUNCTION("IF
(
C925=""фізична особа""
,
VLOOKUP(D925,IMPORTRANGE(""https://docs.google.com/spreadsheets/d/14Bd19lYaqBhU8_DElYkX7l4wRkHqqCUFNJY4AfY3kHU/edit?usp=sharing  #gid=0"",""фіз особи new!relations_name""),6,FALSE)
,
(IF
(
C925=""юридична особа""
,
VLOOKUP(D9"&amp;"25,IMPORTRANGE(""https://docs.google.com/spreadsheets/d/14Bd19lYaqBhU8_DElYkX7l4wRkHqqCUFNJY4AfY3kHU/edit?usp=sharing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4" s="7" t="s">
        <v>10</v>
      </c>
      <c r="H924" s="7">
        <v>0</v>
      </c>
      <c r="I924" s="8" t="str">
        <f ca="1">IFERROR(__xludf.DUMMYFUNCTION("IF
(
G925=""фізична особа""
,
VLOOKUP(H925,IMPORTRANGE(""https://docs.google.com/spreadsheets/d/14Bd19lYaqBhU8_DElYkX7l4wRkHqqCUFNJY4AfY3kHU/edit?usp=sharing  #gid=0"",""фіз особи new!relations_name""),6,FALSE)
,
(IF
(
G925=""юридична особа""
,
VLOOKUP(H9"&amp;"25,IMPORTRANGE(""https://docs.google.com/spreadsheets/d/14Bd19lYaqBhU8_DElYkX7l4wRkHqqCUFNJY4AfY3kHU/edit?usp=sharing  #gid=0"",""фіз особи new!relations_name_uo""),7,FALSE)
,
)
))"),"#N/A")</f>
        <v>#N/A</v>
      </c>
      <c r="J924" s="7" t="s">
        <v>28</v>
      </c>
    </row>
    <row r="925" spans="1:10" ht="13.2">
      <c r="A925" s="7">
        <v>924</v>
      </c>
      <c r="B925" s="7">
        <v>1</v>
      </c>
      <c r="C925" s="7" t="s">
        <v>10</v>
      </c>
      <c r="D925" s="7">
        <v>326</v>
      </c>
      <c r="E925" s="7" t="s">
        <v>29</v>
      </c>
      <c r="F925" s="8" t="str">
        <f ca="1">IFERROR(__xludf.DUMMYFUNCTION("IF
(
C926=""фізична особа""
,
VLOOKUP(D926,IMPORTRANGE(""https://docs.google.com/spreadsheets/d/14Bd19lYaqBhU8_DElYkX7l4wRkHqqCUFNJY4AfY3kHU/edit?usp=sharing  #gid=0"",""фіз особи new!relations_name""),6,FALSE)
,
(IF
(
C926=""юридична особа""
,
VLOOKUP(D9"&amp;"26,IMPORTRANGE(""https://docs.google.com/spreadsheets/d/14Bd19lYaqBhU8_DElYkX7l4wRkHqqCUFNJY4AfY3kHU/edit?usp=sharing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5" s="7" t="s">
        <v>10</v>
      </c>
      <c r="H925" s="7">
        <v>0</v>
      </c>
      <c r="I925" s="8" t="str">
        <f ca="1">IFERROR(__xludf.DUMMYFUNCTION("IF
(
G926=""фізична особа""
,
VLOOKUP(H926,IMPORTRANGE(""https://docs.google.com/spreadsheets/d/14Bd19lYaqBhU8_DElYkX7l4wRkHqqCUFNJY4AfY3kHU/edit?usp=sharing  #gid=0"",""фіз особи new!relations_name""),6,FALSE)
,
(IF
(
G926=""юридична особа""
,
VLOOKUP(H9"&amp;"26,IMPORTRANGE(""https://docs.google.com/spreadsheets/d/14Bd19lYaqBhU8_DElYkX7l4wRkHqqCUFNJY4AfY3kHU/edit?usp=sharing  #gid=0"",""фіз особи new!relations_name_uo""),7,FALSE)
,
)
))"),"#N/A")</f>
        <v>#N/A</v>
      </c>
      <c r="J925" s="7" t="s">
        <v>28</v>
      </c>
    </row>
    <row r="926" spans="1:10" ht="13.2">
      <c r="A926" s="7">
        <v>925</v>
      </c>
      <c r="B926" s="7">
        <v>1</v>
      </c>
      <c r="C926" s="7" t="s">
        <v>10</v>
      </c>
      <c r="D926" s="7">
        <v>326</v>
      </c>
      <c r="E926" s="7" t="s">
        <v>29</v>
      </c>
      <c r="F926" s="8" t="str">
        <f ca="1">IFERROR(__xludf.DUMMYFUNCTION("IF
(
C927=""фізична особа""
,
VLOOKUP(D927,IMPORTRANGE(""https://docs.google.com/spreadsheets/d/14Bd19lYaqBhU8_DElYkX7l4wRkHqqCUFNJY4AfY3kHU/edit?usp=sharing  #gid=0"",""фіз особи new!relations_name""),6,FALSE)
,
(IF
(
C927=""юридична особа""
,
VLOOKUP(D9"&amp;"27,IMPORTRANGE(""https://docs.google.com/spreadsheets/d/14Bd19lYaqBhU8_DElYkX7l4wRkHqqCUFNJY4AfY3kHU/edit?usp=sharing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G926" s="7" t="s">
        <v>10</v>
      </c>
      <c r="H926" s="7">
        <v>0</v>
      </c>
      <c r="I926" s="8" t="str">
        <f ca="1">IFERROR(__xludf.DUMMYFUNCTION("IF
(
G927=""фізична особа""
,
VLOOKUP(H927,IMPORTRANGE(""https://docs.google.com/spreadsheets/d/14Bd19lYaqBhU8_DElYkX7l4wRkHqqCUFNJY4AfY3kHU/edit?usp=sharing  #gid=0"",""фіз особи new!relations_name""),6,FALSE)
,
(IF
(
G927=""юридична особа""
,
VLOOKUP(H9"&amp;"27,IMPORTRANGE(""https://docs.google.com/spreadsheets/d/14Bd19lYaqBhU8_DElYkX7l4wRkHqqCUFNJY4AfY3kHU/edit?usp=sharing  #gid=0"",""фіз особи new!relations_name_uo""),7,FALSE)
,
)
))"),"#N/A")</f>
        <v>#N/A</v>
      </c>
      <c r="J926" s="7" t="s">
        <v>28</v>
      </c>
    </row>
    <row r="927" spans="1:10" ht="13.2">
      <c r="A927" s="7">
        <v>926</v>
      </c>
      <c r="B927" s="7">
        <v>1</v>
      </c>
      <c r="C927" s="7" t="s">
        <v>10</v>
      </c>
      <c r="D927" s="7">
        <v>328</v>
      </c>
      <c r="E927" s="7" t="s">
        <v>35</v>
      </c>
      <c r="F927" s="8" t="str">
        <f ca="1">IFERROR(__xludf.DUMMYFUNCTION("IF
(
C928=""фізична особа""
,
VLOOKUP(D928,IMPORTRANGE(""https://docs.google.com/spreadsheets/d/14Bd19lYaqBhU8_DElYkX7l4wRkHqqCUFNJY4AfY3kHU/edit?usp=sharing  #gid=0"",""фіз особи new!relations_name""),6,FALSE)
,
(IF
(
C928=""юридична особа""
,
VLOOKUP(D9"&amp;"28,IMPORTRANGE(""https://docs.google.com/spreadsheets/d/14Bd19lYaqBhU8_DElYkX7l4wRkHqqCUFNJY4AfY3kHU/edit?usp=sharing  #gid=0"",""фіз особи new!relations_name_uo""),7,FALSE)
,
)
))"),"ПЄТІНА Ірина Олександрівна")</f>
        <v>ПЄТІНА Ірина Олександрівна</v>
      </c>
      <c r="G927" s="7" t="s">
        <v>10</v>
      </c>
      <c r="H927" s="7">
        <v>2556</v>
      </c>
      <c r="I927" s="8" t="str">
        <f ca="1">IFERROR(__xludf.DUMMYFUNCTION("IF
(
G928=""фізична особа""
,
VLOOKUP(H928,IMPORTRANGE(""https://docs.google.com/spreadsheets/d/14Bd19lYaqBhU8_DElYkX7l4wRkHqqCUFNJY4AfY3kHU/edit?usp=sharing  #gid=0"",""фіз особи new!relations_name""),6,FALSE)
,
(IF
(
G928=""юридична особа""
,
VLOOKUP(H9"&amp;"28,IMPORTRANGE(""https://docs.google.com/spreadsheets/d/14Bd19lYaqBhU8_DElYkX7l4wRkHqqCUFNJY4AfY3kHU/edit?usp=sharing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J927" s="7" t="s">
        <v>35</v>
      </c>
    </row>
    <row r="928" spans="1:10" ht="13.2">
      <c r="A928" s="7">
        <v>927</v>
      </c>
      <c r="B928" s="7">
        <v>1</v>
      </c>
      <c r="C928" s="7" t="s">
        <v>10</v>
      </c>
      <c r="D928" s="7">
        <v>328</v>
      </c>
      <c r="E928" s="7" t="s">
        <v>35</v>
      </c>
      <c r="F928" s="8" t="str">
        <f ca="1">IFERROR(__xludf.DUMMYFUNCTION("IF
(
C929=""фізична особа""
,
VLOOKUP(D929,IMPORTRANGE(""https://docs.google.com/spreadsheets/d/14Bd19lYaqBhU8_DElYkX7l4wRkHqqCUFNJY4AfY3kHU/edit?usp=sharing  #gid=0"",""фіз особи new!relations_name""),6,FALSE)
,
(IF
(
C929=""юридична особа""
,
VLOOKUP(D9"&amp;"29,IMPORTRANGE(""https://docs.google.com/spreadsheets/d/14Bd19lYaqBhU8_DElYkX7l4wRkHqqCUFNJY4AfY3kHU/edit?usp=sharing  #gid=0"",""фіз особи new!relations_name_uo""),7,FALSE)
,
)
))"),"ПЄТІНА Ірина Олександрівна")</f>
        <v>ПЄТІНА Ірина Олександрівна</v>
      </c>
      <c r="G928" s="7" t="s">
        <v>10</v>
      </c>
      <c r="H928" s="7">
        <v>306</v>
      </c>
      <c r="I928" s="8" t="str">
        <f ca="1">IFERROR(__xludf.DUMMYFUNCTION("IF
(
G929=""фізична особа""
,
VLOOKUP(H929,IMPORTRANGE(""https://docs.google.com/spreadsheets/d/14Bd19lYaqBhU8_DElYkX7l4wRkHqqCUFNJY4AfY3kHU/edit?usp=sharing  #gid=0"",""фіз особи new!relations_name""),6,FALSE)
,
(IF
(
G929=""юридична особа""
,
VLOOKUP(H9"&amp;"29,IMPORTRANGE(""https://docs.google.com/spreadsheets/d/14Bd19lYaqBhU8_DElYkX7l4wRkHqqCUFNJY4AfY3kHU/edit?usp=sharing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J928" s="7" t="s">
        <v>35</v>
      </c>
    </row>
    <row r="929" spans="1:10" ht="13.2">
      <c r="A929" s="7">
        <v>928</v>
      </c>
      <c r="B929" s="7">
        <v>1</v>
      </c>
      <c r="C929" s="7" t="s">
        <v>10</v>
      </c>
      <c r="D929" s="7">
        <v>329</v>
      </c>
      <c r="E929" s="7" t="s">
        <v>35</v>
      </c>
      <c r="F929" s="8" t="str">
        <f ca="1">IFERROR(__xludf.DUMMYFUNCTION("IF
(
C930=""фізична особа""
,
VLOOKUP(D930,IMPORTRANGE(""https://docs.google.com/spreadsheets/d/14Bd19lYaqBhU8_DElYkX7l4wRkHqqCUFNJY4AfY3kHU/edit?usp=sharing  #gid=0"",""фіз особи new!relations_name""),6,FALSE)
,
(IF
(
C930=""юридична особа""
,
VLOOKUP(D9"&amp;"30,IMPORTRANGE(""https://docs.google.com/spreadsheets/d/14Bd19lYaqBhU8_DElYkX7l4wRkHqqCUFNJY4AfY3kHU/edit?usp=sharing  #gid=0"",""фіз особи new!relations_name_uo""),7,FALSE)
,
)
))"),"ФІЛАТОВА Ірина Анатоліївна")</f>
        <v>ФІЛАТОВА Ірина Анатоліївна</v>
      </c>
      <c r="G929" s="7" t="s">
        <v>10</v>
      </c>
      <c r="H929" s="7">
        <v>941</v>
      </c>
      <c r="I929" s="8" t="str">
        <f ca="1">IFERROR(__xludf.DUMMYFUNCTION("IF
(
G930=""фізична особа""
,
VLOOKUP(H930,IMPORTRANGE(""https://docs.google.com/spreadsheets/d/14Bd19lYaqBhU8_DElYkX7l4wRkHqqCUFNJY4AfY3kHU/edit?usp=sharing  #gid=0"",""фіз особи new!relations_name""),6,FALSE)
,
(IF
(
G930=""юридична особа""
,
VLOOKUP(H9"&amp;"30,IMPORTRANGE(""https://docs.google.com/spreadsheets/d/14Bd19lYaqBhU8_DElYkX7l4wRkHqqCUFNJY4AfY3kHU/edit?usp=sharing  #gid=0"",""фіз особи new!relations_name_uo""),7,FALSE)
,
)
))"),"АФОНІН Юрій В'ячеславович")</f>
        <v>АФОНІН Юрій В'ячеславович</v>
      </c>
      <c r="J929" s="7" t="s">
        <v>35</v>
      </c>
    </row>
    <row r="930" spans="1:10" ht="13.2">
      <c r="A930" s="7">
        <v>929</v>
      </c>
      <c r="B930" s="7">
        <v>1</v>
      </c>
      <c r="C930" s="7" t="s">
        <v>10</v>
      </c>
      <c r="D930" s="7">
        <v>330</v>
      </c>
      <c r="E930" s="7" t="s">
        <v>15</v>
      </c>
      <c r="F930" s="8" t="str">
        <f ca="1">IFERROR(__xludf.DUMMYFUNCTION("IF
(
C931=""фізична особа""
,
VLOOKUP(D931,IMPORTRANGE(""https://docs.google.com/spreadsheets/d/14Bd19lYaqBhU8_DElYkX7l4wRkHqqCUFNJY4AfY3kHU/edit?usp=sharing  #gid=0"",""фіз особи new!relations_name""),6,FALSE)
,
(IF
(
C931=""юридична особа""
,
VLOOKUP(D9"&amp;"31,IMPORTRANGE(""https://docs.google.com/spreadsheets/d/14Bd19lYaqBhU8_DElYkX7l4wRkHqqCUFNJY4AfY3kHU/edit?usp=sharing  #gid=0"",""фіз особи new!relations_name_uo""),7,FALSE)
,
)
))"),"ЯРОВА Ірина Анатоліївна")</f>
        <v>ЯРОВА Ірина Анатоліївна</v>
      </c>
      <c r="G930" s="7" t="s">
        <v>10</v>
      </c>
      <c r="H930" s="7">
        <v>0</v>
      </c>
      <c r="I930" s="8" t="str">
        <f ca="1">IFERROR(__xludf.DUMMYFUNCTION("IF
(
G931=""фізична особа""
,
VLOOKUP(H931,IMPORTRANGE(""https://docs.google.com/spreadsheets/d/14Bd19lYaqBhU8_DElYkX7l4wRkHqqCUFNJY4AfY3kHU/edit?usp=sharing  #gid=0"",""фіз особи new!relations_name""),6,FALSE)
,
(IF
(
G931=""юридична особа""
,
VLOOKUP(H9"&amp;"31,IMPORTRANGE(""https://docs.google.com/spreadsheets/d/14Bd19lYaqBhU8_DElYkX7l4wRkHqqCUFNJY4AfY3kHU/edit?usp=sharing  #gid=0"",""фіз особи new!relations_name_uo""),7,FALSE)
,
)
))"),"#N/A")</f>
        <v>#N/A</v>
      </c>
      <c r="J930" s="7" t="s">
        <v>14</v>
      </c>
    </row>
    <row r="931" spans="1:10" ht="13.2">
      <c r="A931" s="7">
        <v>930</v>
      </c>
      <c r="B931" s="7">
        <v>1</v>
      </c>
      <c r="C931" s="7" t="s">
        <v>10</v>
      </c>
      <c r="D931" s="7">
        <v>331</v>
      </c>
      <c r="E931" s="7" t="s">
        <v>48</v>
      </c>
      <c r="F931" s="8" t="str">
        <f ca="1">IFERROR(__xludf.DUMMYFUNCTION("IF
(
C932=""фізична особа""
,
VLOOKUP(D932,IMPORTRANGE(""https://docs.google.com/spreadsheets/d/14Bd19lYaqBhU8_DElYkX7l4wRkHqqCUFNJY4AfY3kHU/edit?usp=sharing  #gid=0"",""фіз особи new!relations_name""),6,FALSE)
,
(IF
(
C932=""юридична особа""
,
VLOOKUP(D9"&amp;"32,IMPORTRANGE(""https://docs.google.com/spreadsheets/d/14Bd19lYaqBhU8_DElYkX7l4wRkHqqCUFNJY4AfY3kHU/edit?usp=sharing  #gid=0"",""фіз особи new!relations_name_uo""),7,FALSE)
,
)
))"),"КОЖАНОВА Ірина Андріївна")</f>
        <v>КОЖАНОВА Ірина Андріївна</v>
      </c>
      <c r="G931" s="7" t="s">
        <v>10</v>
      </c>
      <c r="H931" s="7">
        <v>905</v>
      </c>
      <c r="I931" s="8" t="str">
        <f ca="1">IFERROR(__xludf.DUMMYFUNCTION("IF
(
G932=""фізична особа""
,
VLOOKUP(H932,IMPORTRANGE(""https://docs.google.com/spreadsheets/d/14Bd19lYaqBhU8_DElYkX7l4wRkHqqCUFNJY4AfY3kHU/edit?usp=sharing  #gid=0"",""фіз особи new!relations_name""),6,FALSE)
,
(IF
(
G932=""юридична особа""
,
VLOOKUP(H9"&amp;"32,IMPORTRANGE(""https://docs.google.com/spreadsheets/d/14Bd19lYaqBhU8_DElYkX7l4wRkHqqCUFNJY4AfY3kHU/edit?usp=sharing  #gid=0"",""фіз особи new!relations_name_uo""),7,FALSE)
,
)
))"),"НІЛОВ Ярослав Євгенович")</f>
        <v>НІЛОВ Ярослав Євгенович</v>
      </c>
      <c r="J931" s="7" t="s">
        <v>48</v>
      </c>
    </row>
    <row r="932" spans="1:10" ht="13.2">
      <c r="A932" s="7">
        <v>931</v>
      </c>
      <c r="B932" s="7">
        <v>1</v>
      </c>
      <c r="C932" s="7" t="s">
        <v>10</v>
      </c>
      <c r="D932" s="7">
        <v>331</v>
      </c>
      <c r="E932" s="7" t="s">
        <v>31</v>
      </c>
      <c r="F932" s="8" t="str">
        <f ca="1">IFERROR(__xludf.DUMMYFUNCTION("IF
(
C933=""фізична особа""
,
VLOOKUP(D933,IMPORTRANGE(""https://docs.google.com/spreadsheets/d/14Bd19lYaqBhU8_DElYkX7l4wRkHqqCUFNJY4AfY3kHU/edit?usp=sharing  #gid=0"",""фіз особи new!relations_name""),6,FALSE)
,
(IF
(
C933=""юридична особа""
,
VLOOKUP(D9"&amp;"33,IMPORTRANGE(""https://docs.google.com/spreadsheets/d/14Bd19lYaqBhU8_DElYkX7l4wRkHqqCUFNJY4AfY3kHU/edit?usp=sharing  #gid=0"",""фіз особи new!relations_name_uo""),7,FALSE)
,
)
))"),"КОЖАНОВА Ірина Андріївна")</f>
        <v>КОЖАНОВА Ірина Андріївна</v>
      </c>
      <c r="G932" s="7" t="s">
        <v>10</v>
      </c>
      <c r="H932" s="7">
        <v>0</v>
      </c>
      <c r="I932" s="8" t="str">
        <f ca="1">IFERROR(__xludf.DUMMYFUNCTION("IF
(
G933=""фізична особа""
,
VLOOKUP(H933,IMPORTRANGE(""https://docs.google.com/spreadsheets/d/14Bd19lYaqBhU8_DElYkX7l4wRkHqqCUFNJY4AfY3kHU/edit?usp=sharing  #gid=0"",""фіз особи new!relations_name""),6,FALSE)
,
(IF
(
G933=""юридична особа""
,
VLOOKUP(H9"&amp;"33,IMPORTRANGE(""https://docs.google.com/spreadsheets/d/14Bd19lYaqBhU8_DElYkX7l4wRkHqqCUFNJY4AfY3kHU/edit?usp=sharing  #gid=0"",""фіз особи new!relations_name_uo""),7,FALSE)
,
)
))"),"#N/A")</f>
        <v>#N/A</v>
      </c>
      <c r="J932" s="7" t="s">
        <v>18</v>
      </c>
    </row>
    <row r="933" spans="1:10" ht="13.2">
      <c r="A933" s="7">
        <v>932</v>
      </c>
      <c r="B933" s="7">
        <v>1</v>
      </c>
      <c r="C933" s="7" t="s">
        <v>10</v>
      </c>
      <c r="D933" s="7">
        <v>332</v>
      </c>
      <c r="E933" s="7" t="s">
        <v>21</v>
      </c>
      <c r="F933" s="8" t="str">
        <f ca="1">IFERROR(__xludf.DUMMYFUNCTION("IF
(
C934=""фізична особа""
,
VLOOKUP(D934,IMPORTRANGE(""https://docs.google.com/spreadsheets/d/14Bd19lYaqBhU8_DElYkX7l4wRkHqqCUFNJY4AfY3kHU/edit?usp=sharing  #gid=0"",""фіз особи new!relations_name""),6,FALSE)
,
(IF
(
C934=""юридична особа""
,
VLOOKUP(D9"&amp;"34,IMPORTRANGE(""https://docs.google.com/spreadsheets/d/14Bd19lYaqBhU8_DElYkX7l4wRkHqqCUFNJY4AfY3kHU/edit?usp=sharing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3" s="7" t="s">
        <v>10</v>
      </c>
      <c r="H933" s="7">
        <v>5054</v>
      </c>
      <c r="I933" s="8" t="str">
        <f ca="1">IFERROR(__xludf.DUMMYFUNCTION("IF
(
G934=""фізична особа""
,
VLOOKUP(H934,IMPORTRANGE(""https://docs.google.com/spreadsheets/d/14Bd19lYaqBhU8_DElYkX7l4wRkHqqCUFNJY4AfY3kHU/edit?usp=sharing  #gid=0"",""фіз особи new!relations_name""),6,FALSE)
,
(IF
(
G934=""юридична особа""
,
VLOOKUP(H9"&amp;"34,IMPORTRANGE(""https://docs.google.com/spreadsheets/d/14Bd19lYaqBhU8_DElYkX7l4wRkHqqCUFNJY4AfY3kHU/edit?usp=sharing  #gid=0"",""фіз особи new!relations_name_uo""),7,FALSE)
,
)
))"),"МІНЬКОВСЬКА Альона Леонідівна")</f>
        <v>МІНЬКОВСЬКА Альона Леонідівна</v>
      </c>
      <c r="J933" s="7" t="s">
        <v>13</v>
      </c>
    </row>
    <row r="934" spans="1:10" ht="13.2">
      <c r="A934" s="7">
        <v>933</v>
      </c>
      <c r="B934" s="7">
        <v>1</v>
      </c>
      <c r="C934" s="7" t="s">
        <v>10</v>
      </c>
      <c r="D934" s="7">
        <v>332</v>
      </c>
      <c r="E934" s="7" t="s">
        <v>27</v>
      </c>
      <c r="F934" s="8" t="str">
        <f ca="1">IFERROR(__xludf.DUMMYFUNCTION("IF
(
C935=""фізична особа""
,
VLOOKUP(D935,IMPORTRANGE(""https://docs.google.com/spreadsheets/d/14Bd19lYaqBhU8_DElYkX7l4wRkHqqCUFNJY4AfY3kHU/edit?usp=sharing  #gid=0"",""фіз особи new!relations_name""),6,FALSE)
,
(IF
(
C935=""юридична особа""
,
VLOOKUP(D9"&amp;"35,IMPORTRANGE(""https://docs.google.com/spreadsheets/d/14Bd19lYaqBhU8_DElYkX7l4wRkHqqCUFNJY4AfY3kHU/edit?usp=sharing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4" s="7" t="s">
        <v>10</v>
      </c>
      <c r="H934" s="7">
        <v>0</v>
      </c>
      <c r="I934" s="8" t="str">
        <f ca="1">IFERROR(__xludf.DUMMYFUNCTION("IF
(
G935=""фізична особа""
,
VLOOKUP(H935,IMPORTRANGE(""https://docs.google.com/spreadsheets/d/14Bd19lYaqBhU8_DElYkX7l4wRkHqqCUFNJY4AfY3kHU/edit?usp=sharing  #gid=0"",""фіз особи new!relations_name""),6,FALSE)
,
(IF
(
G935=""юридична особа""
,
VLOOKUP(H9"&amp;"35,IMPORTRANGE(""https://docs.google.com/spreadsheets/d/14Bd19lYaqBhU8_DElYkX7l4wRkHqqCUFNJY4AfY3kHU/edit?usp=sharing  #gid=0"",""фіз особи new!relations_name_uo""),7,FALSE)
,
)
))"),"#N/A")</f>
        <v>#N/A</v>
      </c>
      <c r="J934" s="7" t="s">
        <v>26</v>
      </c>
    </row>
    <row r="935" spans="1:10" ht="13.2">
      <c r="A935" s="7">
        <v>934</v>
      </c>
      <c r="B935" s="7">
        <v>1</v>
      </c>
      <c r="C935" s="7" t="s">
        <v>10</v>
      </c>
      <c r="D935" s="7">
        <v>332</v>
      </c>
      <c r="E935" s="7" t="s">
        <v>43</v>
      </c>
      <c r="F935" s="8" t="str">
        <f ca="1">IFERROR(__xludf.DUMMYFUNCTION("IF
(
C936=""фізична особа""
,
VLOOKUP(D936,IMPORTRANGE(""https://docs.google.com/spreadsheets/d/14Bd19lYaqBhU8_DElYkX7l4wRkHqqCUFNJY4AfY3kHU/edit?usp=sharing  #gid=0"",""фіз особи new!relations_name""),6,FALSE)
,
(IF
(
C936=""юридична особа""
,
VLOOKUP(D9"&amp;"36,IMPORTRANGE(""https://docs.google.com/spreadsheets/d/14Bd19lYaqBhU8_DElYkX7l4wRkHqqCUFNJY4AfY3kHU/edit?usp=sharing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5" s="7" t="s">
        <v>10</v>
      </c>
      <c r="H935" s="7">
        <v>0</v>
      </c>
      <c r="I935" s="8" t="str">
        <f ca="1">IFERROR(__xludf.DUMMYFUNCTION("IF
(
G936=""фізична особа""
,
VLOOKUP(H936,IMPORTRANGE(""https://docs.google.com/spreadsheets/d/14Bd19lYaqBhU8_DElYkX7l4wRkHqqCUFNJY4AfY3kHU/edit?usp=sharing  #gid=0"",""фіз особи new!relations_name""),6,FALSE)
,
(IF
(
G936=""юридична особа""
,
VLOOKUP(H9"&amp;"36,IMPORTRANGE(""https://docs.google.com/spreadsheets/d/14Bd19lYaqBhU8_DElYkX7l4wRkHqqCUFNJY4AfY3kHU/edit?usp=sharing  #gid=0"",""фіз особи new!relations_name_uo""),7,FALSE)
,
)
))"),"#N/A")</f>
        <v>#N/A</v>
      </c>
      <c r="J935" s="7" t="s">
        <v>42</v>
      </c>
    </row>
    <row r="936" spans="1:10" ht="13.2">
      <c r="A936" s="7">
        <v>935</v>
      </c>
      <c r="B936" s="7">
        <v>1</v>
      </c>
      <c r="C936" s="7" t="s">
        <v>10</v>
      </c>
      <c r="D936" s="7">
        <v>332</v>
      </c>
      <c r="E936" s="7" t="s">
        <v>43</v>
      </c>
      <c r="F936" s="8" t="str">
        <f ca="1">IFERROR(__xludf.DUMMYFUNCTION("IF
(
C937=""фізична особа""
,
VLOOKUP(D937,IMPORTRANGE(""https://docs.google.com/spreadsheets/d/14Bd19lYaqBhU8_DElYkX7l4wRkHqqCUFNJY4AfY3kHU/edit?usp=sharing  #gid=0"",""фіз особи new!relations_name""),6,FALSE)
,
(IF
(
C937=""юридична особа""
,
VLOOKUP(D9"&amp;"37,IMPORTRANGE(""https://docs.google.com/spreadsheets/d/14Bd19lYaqBhU8_DElYkX7l4wRkHqqCUFNJY4AfY3kHU/edit?usp=sharing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6" s="7" t="s">
        <v>10</v>
      </c>
      <c r="H936" s="7">
        <v>5131</v>
      </c>
      <c r="I936" s="8" t="str">
        <f ca="1">IFERROR(__xludf.DUMMYFUNCTION("IF
(
G937=""фізична особа""
,
VLOOKUP(H937,IMPORTRANGE(""https://docs.google.com/spreadsheets/d/14Bd19lYaqBhU8_DElYkX7l4wRkHqqCUFNJY4AfY3kHU/edit?usp=sharing  #gid=0"",""фіз особи new!relations_name""),6,FALSE)
,
(IF
(
G937=""юридична особа""
,
VLOOKUP(H9"&amp;"37,IMPORTRANGE(""https://docs.google.com/spreadsheets/d/14Bd19lYaqBhU8_DElYkX7l4wRkHqqCUFNJY4AfY3kHU/edit?usp=sharing  #gid=0"",""фіз особи new!relations_name_uo""),7,FALSE)
,
)
))"),"ЗАЙЦЕВ Олександр Геннадійович")</f>
        <v>ЗАЙЦЕВ Олександр Геннадійович</v>
      </c>
      <c r="J936" s="7" t="s">
        <v>42</v>
      </c>
    </row>
    <row r="937" spans="1:10" ht="13.2">
      <c r="A937" s="7">
        <v>936</v>
      </c>
      <c r="B937" s="7">
        <v>1</v>
      </c>
      <c r="C937" s="7" t="s">
        <v>10</v>
      </c>
      <c r="D937" s="7">
        <v>332</v>
      </c>
      <c r="E937" s="7" t="s">
        <v>35</v>
      </c>
      <c r="F937" s="8" t="str">
        <f ca="1">IFERROR(__xludf.DUMMYFUNCTION("IF
(
C938=""фізична особа""
,
VLOOKUP(D938,IMPORTRANGE(""https://docs.google.com/spreadsheets/d/14Bd19lYaqBhU8_DElYkX7l4wRkHqqCUFNJY4AfY3kHU/edit?usp=sharing  #gid=0"",""фіз особи new!relations_name""),6,FALSE)
,
(IF
(
C938=""юридична особа""
,
VLOOKUP(D9"&amp;"38,IMPORTRANGE(""https://docs.google.com/spreadsheets/d/14Bd19lYaqBhU8_DElYkX7l4wRkHqqCUFNJY4AfY3kHU/edit?usp=sharing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7" s="7" t="s">
        <v>10</v>
      </c>
      <c r="H937" s="7">
        <v>959</v>
      </c>
      <c r="I937" s="8" t="str">
        <f ca="1">IFERROR(__xludf.DUMMYFUNCTION("IF
(
G938=""фізична особа""
,
VLOOKUP(H938,IMPORTRANGE(""https://docs.google.com/spreadsheets/d/14Bd19lYaqBhU8_DElYkX7l4wRkHqqCUFNJY4AfY3kHU/edit?usp=sharing  #gid=0"",""фіз особи new!relations_name""),6,FALSE)
,
(IF
(
G938=""юридична особа""
,
VLOOKUP(H9"&amp;"38,IMPORTRANGE(""https://docs.google.com/spreadsheets/d/14Bd19lYaqBhU8_DElYkX7l4wRkHqqCUFNJY4AfY3kHU/edit?usp=sharing  #gid=0"",""фіз особи new!relations_name_uo""),7,FALSE)
,
)
))"),"ЖУРОВА Світлана Сергіївна")</f>
        <v>ЖУРОВА Світлана Сергіївна</v>
      </c>
      <c r="J937" s="7" t="s">
        <v>35</v>
      </c>
    </row>
    <row r="938" spans="1:10" ht="13.2">
      <c r="A938" s="7">
        <v>937</v>
      </c>
      <c r="B938" s="7">
        <v>1</v>
      </c>
      <c r="C938" s="7" t="s">
        <v>10</v>
      </c>
      <c r="D938" s="7">
        <v>332</v>
      </c>
      <c r="E938" s="7" t="s">
        <v>11</v>
      </c>
      <c r="F938" s="8" t="str">
        <f ca="1">IFERROR(__xludf.DUMMYFUNCTION("IF
(
C939=""фізична особа""
,
VLOOKUP(D939,IMPORTRANGE(""https://docs.google.com/spreadsheets/d/14Bd19lYaqBhU8_DElYkX7l4wRkHqqCUFNJY4AfY3kHU/edit?usp=sharing  #gid=0"",""фіз особи new!relations_name""),6,FALSE)
,
(IF
(
C939=""юридична особа""
,
VLOOKUP(D9"&amp;"39,IMPORTRANGE(""https://docs.google.com/spreadsheets/d/14Bd19lYaqBhU8_DElYkX7l4wRkHqqCUFNJY4AfY3kHU/edit?usp=sharing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8" s="7" t="s">
        <v>10</v>
      </c>
      <c r="H938" s="7">
        <v>0</v>
      </c>
      <c r="I938" s="8" t="str">
        <f ca="1">IFERROR(__xludf.DUMMYFUNCTION("IF
(
G939=""фізична особа""
,
VLOOKUP(H939,IMPORTRANGE(""https://docs.google.com/spreadsheets/d/14Bd19lYaqBhU8_DElYkX7l4wRkHqqCUFNJY4AfY3kHU/edit?usp=sharing  #gid=0"",""фіз особи new!relations_name""),6,FALSE)
,
(IF
(
G939=""юридична особа""
,
VLOOKUP(H9"&amp;"39,IMPORTRANGE(""https://docs.google.com/spreadsheets/d/14Bd19lYaqBhU8_DElYkX7l4wRkHqqCUFNJY4AfY3kHU/edit?usp=sharing  #gid=0"",""фіз особи new!relations_name_uo""),7,FALSE)
,
)
))"),"#N/A")</f>
        <v>#N/A</v>
      </c>
      <c r="J938" s="7" t="s">
        <v>11</v>
      </c>
    </row>
    <row r="939" spans="1:10" ht="13.2">
      <c r="A939" s="7">
        <v>938</v>
      </c>
      <c r="B939" s="7">
        <v>1</v>
      </c>
      <c r="C939" s="7" t="s">
        <v>10</v>
      </c>
      <c r="D939" s="7">
        <v>332</v>
      </c>
      <c r="E939" s="7" t="s">
        <v>11</v>
      </c>
      <c r="F939" s="8" t="str">
        <f ca="1">IFERROR(__xludf.DUMMYFUNCTION("IF
(
C940=""фізична особа""
,
VLOOKUP(D940,IMPORTRANGE(""https://docs.google.com/spreadsheets/d/14Bd19lYaqBhU8_DElYkX7l4wRkHqqCUFNJY4AfY3kHU/edit?usp=sharing  #gid=0"",""фіз особи new!relations_name""),6,FALSE)
,
(IF
(
C940=""юридична особа""
,
VLOOKUP(D9"&amp;"40,IMPORTRANGE(""https://docs.google.com/spreadsheets/d/14Bd19lYaqBhU8_DElYkX7l4wRkHqqCUFNJY4AfY3kHU/edit?usp=sharing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39" s="7" t="s">
        <v>10</v>
      </c>
      <c r="H939" s="7">
        <v>2901</v>
      </c>
      <c r="I939" s="8" t="str">
        <f ca="1">IFERROR(__xludf.DUMMYFUNCTION("IF
(
G940=""фізична особа""
,
VLOOKUP(H940,IMPORTRANGE(""https://docs.google.com/spreadsheets/d/14Bd19lYaqBhU8_DElYkX7l4wRkHqqCUFNJY4AfY3kHU/edit?usp=sharing  #gid=0"",""фіз особи new!relations_name""),6,FALSE)
,
(IF
(
G940=""юридична особа""
,
VLOOKUP(H9"&amp;"40,IMPORTRANGE(""https://docs.google.com/spreadsheets/d/14Bd19lYaqBhU8_DElYkX7l4wRkHqqCUFNJY4AfY3kHU/edit?usp=sharing  #gid=0"",""фіз особи new!relations_name_uo""),7,FALSE)
,
)
))"),"Мішустіна / Разінова Владлена Юріївна")</f>
        <v>Мішустіна / Разінова Владлена Юріївна</v>
      </c>
      <c r="J939" s="7" t="s">
        <v>11</v>
      </c>
    </row>
    <row r="940" spans="1:10" ht="13.2">
      <c r="A940" s="7">
        <v>939</v>
      </c>
      <c r="B940" s="7">
        <v>1</v>
      </c>
      <c r="C940" s="7" t="s">
        <v>10</v>
      </c>
      <c r="D940" s="7">
        <v>332</v>
      </c>
      <c r="E940" s="7" t="s">
        <v>30</v>
      </c>
      <c r="F940" s="8" t="str">
        <f ca="1">IFERROR(__xludf.DUMMYFUNCTION("IF
(
C941=""фізична особа""
,
VLOOKUP(D941,IMPORTRANGE(""https://docs.google.com/spreadsheets/d/14Bd19lYaqBhU8_DElYkX7l4wRkHqqCUFNJY4AfY3kHU/edit?usp=sharing  #gid=0"",""фіз особи new!relations_name""),6,FALSE)
,
(IF
(
C941=""юридична особа""
,
VLOOKUP(D9"&amp;"41,IMPORTRANGE(""https://docs.google.com/spreadsheets/d/14Bd19lYaqBhU8_DElYkX7l4wRkHqqCUFNJY4AfY3kHU/edit?usp=sharing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940" s="7" t="s">
        <v>10</v>
      </c>
      <c r="H940" s="7">
        <v>23347</v>
      </c>
      <c r="I940" s="8" t="str">
        <f ca="1">IFERROR(__xludf.DUMMYFUNCTION("IF
(
G941=""фізична особа""
,
VLOOKUP(H941,IMPORTRANGE(""https://docs.google.com/spreadsheets/d/14Bd19lYaqBhU8_DElYkX7l4wRkHqqCUFNJY4AfY3kHU/edit?usp=sharing  #gid=0"",""фіз особи new!relations_name""),6,FALSE)
,
(IF
(
G941=""юридична особа""
,
VLOOKUP(H9"&amp;"41,IMPORTRANGE(""https://docs.google.com/spreadsheets/d/14Bd19lYaqBhU8_DElYkX7l4wRkHqqCUFNJY4AfY3kHU/edit?usp=sharing  #gid=0"",""фіз особи new!relations_name_uo""),7,FALSE)
,
)
))"),"ХАЗЕЙ Алан")</f>
        <v>ХАЗЕЙ Алан</v>
      </c>
      <c r="J940" s="7" t="s">
        <v>30</v>
      </c>
    </row>
    <row r="941" spans="1:10" ht="13.2">
      <c r="A941" s="7">
        <v>940</v>
      </c>
      <c r="B941" s="7">
        <v>1</v>
      </c>
      <c r="C941" s="7" t="s">
        <v>10</v>
      </c>
      <c r="D941" s="7">
        <v>5054</v>
      </c>
      <c r="E941" s="7" t="s">
        <v>30</v>
      </c>
      <c r="F941" s="8" t="str">
        <f ca="1">IFERROR(__xludf.DUMMYFUNCTION("IF
(
C942=""фізична особа""
,
VLOOKUP(D942,IMPORTRANGE(""https://docs.google.com/spreadsheets/d/14Bd19lYaqBhU8_DElYkX7l4wRkHqqCUFNJY4AfY3kHU/edit?usp=sharing  #gid=0"",""фіз особи new!relations_name""),6,FALSE)
,
(IF
(
C942=""юридична особа""
,
VLOOKUP(D9"&amp;"42,IMPORTRANGE(""https://docs.google.com/spreadsheets/d/14Bd19lYaqBhU8_DElYkX7l4wRkHqqCUFNJY4AfY3kHU/edit?usp=sharing  #gid=0"",""фіз особи new!relations_name_uo""),7,FALSE)
,
)
))"),"МІНЬКОВСЬКА Альона Леонідівна")</f>
        <v>МІНЬКОВСЬКА Альона Леонідівна</v>
      </c>
      <c r="G941" s="7" t="s">
        <v>10</v>
      </c>
      <c r="H941" s="7">
        <v>23347</v>
      </c>
      <c r="I941" s="8" t="str">
        <f ca="1">IFERROR(__xludf.DUMMYFUNCTION("IF
(
G942=""фізична особа""
,
VLOOKUP(H942,IMPORTRANGE(""https://docs.google.com/spreadsheets/d/14Bd19lYaqBhU8_DElYkX7l4wRkHqqCUFNJY4AfY3kHU/edit?usp=sharing  #gid=0"",""фіз особи new!relations_name""),6,FALSE)
,
(IF
(
G942=""юридична особа""
,
VLOOKUP(H9"&amp;"42,IMPORTRANGE(""https://docs.google.com/spreadsheets/d/14Bd19lYaqBhU8_DElYkX7l4wRkHqqCUFNJY4AfY3kHU/edit?usp=sharing  #gid=0"",""фіз особи new!relations_name_uo""),7,FALSE)
,
)
))"),"ХАЗЕЙ Алан")</f>
        <v>ХАЗЕЙ Алан</v>
      </c>
      <c r="J941" s="7" t="s">
        <v>30</v>
      </c>
    </row>
    <row r="942" spans="1:10" ht="13.2">
      <c r="A942" s="7">
        <v>941</v>
      </c>
      <c r="B942" s="7">
        <v>1</v>
      </c>
      <c r="C942" s="7" t="s">
        <v>10</v>
      </c>
      <c r="D942" s="7">
        <v>333</v>
      </c>
      <c r="E942" s="7" t="s">
        <v>28</v>
      </c>
      <c r="F942" s="8" t="str">
        <f ca="1">IFERROR(__xludf.DUMMYFUNCTION("IF
(
C943=""фізична особа""
,
VLOOKUP(D943,IMPORTRANGE(""https://docs.google.com/spreadsheets/d/14Bd19lYaqBhU8_DElYkX7l4wRkHqqCUFNJY4AfY3kHU/edit?usp=sharing  #gid=0"",""фіз особи new!relations_name""),6,FALSE)
,
(IF
(
C943=""юридична особа""
,
VLOOKUP(D9"&amp;"43,IMPORTRANGE(""https://docs.google.com/spreadsheets/d/14Bd19lYaqBhU8_DElYkX7l4wRkHqqCUFNJY4AfY3kHU/edit?usp=sharing  #gid=0"",""фіз особи new!relations_name_uo""),7,FALSE)
,
)
))"),"МІЛЮТІНА Ірина Миколаївна")</f>
        <v>МІЛЮТІНА Ірина Миколаївна</v>
      </c>
      <c r="G942" s="7" t="s">
        <v>10</v>
      </c>
      <c r="H942" s="7">
        <v>4</v>
      </c>
      <c r="I942" s="8" t="str">
        <f ca="1">IFERROR(__xludf.DUMMYFUNCTION("IF
(
G943=""фізична особа""
,
VLOOKUP(H943,IMPORTRANGE(""https://docs.google.com/spreadsheets/d/14Bd19lYaqBhU8_DElYkX7l4wRkHqqCUFNJY4AfY3kHU/edit?usp=sharing  #gid=0"",""фіз особи new!relations_name""),6,FALSE)
,
(IF
(
G943=""юридична особа""
,
VLOOKUP(H9"&amp;"43,IMPORTRANGE(""https://docs.google.com/spreadsheets/d/14Bd19lYaqBhU8_DElYkX7l4wRkHqqCUFNJY4AfY3kHU/edit?usp=sharing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J942" s="7" t="s">
        <v>29</v>
      </c>
    </row>
    <row r="943" spans="1:10" ht="13.2">
      <c r="A943" s="7">
        <v>942</v>
      </c>
      <c r="B943" s="7">
        <v>1</v>
      </c>
      <c r="C943" s="7" t="s">
        <v>10</v>
      </c>
      <c r="D943" s="7">
        <v>334</v>
      </c>
      <c r="E943" s="7" t="s">
        <v>14</v>
      </c>
      <c r="F943" s="8" t="str">
        <f ca="1">IFERROR(__xludf.DUMMYFUNCTION("IF
(
C944=""фізична особа""
,
VLOOKUP(D944,IMPORTRANGE(""https://docs.google.com/spreadsheets/d/14Bd19lYaqBhU8_DElYkX7l4wRkHqqCUFNJY4AfY3kHU/edit?usp=sharing  #gid=0"",""фіз особи new!relations_name""),6,FALSE)
,
(IF
(
C944=""юридична особа""
,
VLOOKUP(D9"&amp;"44,IMPORTRANGE(""https://docs.google.com/spreadsheets/d/14Bd19lYaqBhU8_DElYkX7l4wRkHqqCUFNJY4AfY3kHU/edit?usp=sharing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G943" s="7" t="s">
        <v>10</v>
      </c>
      <c r="H943" s="7">
        <v>5132</v>
      </c>
      <c r="I943" s="8" t="str">
        <f ca="1">IFERROR(__xludf.DUMMYFUNCTION("IF
(
G944=""фізична особа""
,
VLOOKUP(H944,IMPORTRANGE(""https://docs.google.com/spreadsheets/d/14Bd19lYaqBhU8_DElYkX7l4wRkHqqCUFNJY4AfY3kHU/edit?usp=sharing  #gid=0"",""фіз особи new!relations_name""),6,FALSE)
,
(IF
(
G944=""юридична особа""
,
VLOOKUP(H9"&amp;"44,IMPORTRANGE(""https://docs.google.com/spreadsheets/d/14Bd19lYaqBhU8_DElYkX7l4wRkHqqCUFNJY4AfY3kHU/edit?usp=sharing  #gid=0"",""фіз особи new!relations_name_uo""),7,FALSE)
,
)
))"),"МЕТШИНА Наіля Камільєвна")</f>
        <v>МЕТШИНА Наіля Камільєвна</v>
      </c>
      <c r="J943" s="7" t="s">
        <v>15</v>
      </c>
    </row>
    <row r="944" spans="1:10" ht="13.2">
      <c r="A944" s="7">
        <v>943</v>
      </c>
      <c r="B944" s="7">
        <v>1</v>
      </c>
      <c r="C944" s="7" t="s">
        <v>10</v>
      </c>
      <c r="D944" s="7">
        <v>334</v>
      </c>
      <c r="E944" s="7" t="s">
        <v>12</v>
      </c>
      <c r="F944" s="8" t="str">
        <f ca="1">IFERROR(__xludf.DUMMYFUNCTION("IF
(
C945=""фізична особа""
,
VLOOKUP(D945,IMPORTRANGE(""https://docs.google.com/spreadsheets/d/14Bd19lYaqBhU8_DElYkX7l4wRkHqqCUFNJY4AfY3kHU/edit?usp=sharing  #gid=0"",""фіз особи new!relations_name""),6,FALSE)
,
(IF
(
C945=""юридична особа""
,
VLOOKUP(D9"&amp;"45,IMPORTRANGE(""https://docs.google.com/spreadsheets/d/14Bd19lYaqBhU8_DElYkX7l4wRkHqqCUFNJY4AfY3kHU/edit?usp=sharing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G944" s="7" t="s">
        <v>10</v>
      </c>
      <c r="H944" s="7">
        <v>5133</v>
      </c>
      <c r="I944" s="8" t="str">
        <f ca="1">IFERROR(__xludf.DUMMYFUNCTION("IF
(
G945=""фізична особа""
,
VLOOKUP(H945,IMPORTRANGE(""https://docs.google.com/spreadsheets/d/14Bd19lYaqBhU8_DElYkX7l4wRkHqqCUFNJY4AfY3kHU/edit?usp=sharing  #gid=0"",""фіз особи new!relations_name""),6,FALSE)
,
(IF
(
G945=""юридична особа""
,
VLOOKUP(H9"&amp;"45,IMPORTRANGE(""https://docs.google.com/spreadsheets/d/14Bd19lYaqBhU8_DElYkX7l4wRkHqqCUFNJY4AfY3kHU/edit?usp=sharing  #gid=0"",""фіз особи new!relations_name_uo""),7,FALSE)
,
)
))"),"МЕТШИН Мурат Айдарович")</f>
        <v>МЕТШИН Мурат Айдарович</v>
      </c>
      <c r="J944" s="7" t="s">
        <v>17</v>
      </c>
    </row>
    <row r="945" spans="1:10" ht="13.2">
      <c r="A945" s="7">
        <v>944</v>
      </c>
      <c r="B945" s="7">
        <v>1</v>
      </c>
      <c r="C945" s="7" t="s">
        <v>10</v>
      </c>
      <c r="D945" s="7">
        <v>334</v>
      </c>
      <c r="E945" s="7" t="s">
        <v>18</v>
      </c>
      <c r="F945" s="8" t="str">
        <f ca="1">IFERROR(__xludf.DUMMYFUNCTION("IF
(
C946=""фізична особа""
,
VLOOKUP(D946,IMPORTRANGE(""https://docs.google.com/spreadsheets/d/14Bd19lYaqBhU8_DElYkX7l4wRkHqqCUFNJY4AfY3kHU/edit?usp=sharing  #gid=0"",""фіз особи new!relations_name""),6,FALSE)
,
(IF
(
C946=""юридична особа""
,
VLOOKUP(D9"&amp;"46,IMPORTRANGE(""https://docs.google.com/spreadsheets/d/14Bd19lYaqBhU8_DElYkX7l4wRkHqqCUFNJY4AfY3kHU/edit?usp=sharing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G945" s="7" t="s">
        <v>10</v>
      </c>
      <c r="H945" s="7">
        <v>4173</v>
      </c>
      <c r="I945" s="8" t="str">
        <f ca="1">IFERROR(__xludf.DUMMYFUNCTION("IF
(
G946=""фізична особа""
,
VLOOKUP(H946,IMPORTRANGE(""https://docs.google.com/spreadsheets/d/14Bd19lYaqBhU8_DElYkX7l4wRkHqqCUFNJY4AfY3kHU/edit?usp=sharing  #gid=0"",""фіз особи new!relations_name""),6,FALSE)
,
(IF
(
G946=""юридична особа""
,
VLOOKUP(H9"&amp;"46,IMPORTRANGE(""https://docs.google.com/spreadsheets/d/14Bd19lYaqBhU8_DElYkX7l4wRkHqqCUFNJY4AfY3kHU/edit?usp=sharing  #gid=0"",""фіз особи new!relations_name_uo""),7,FALSE)
,
)
))"),"МЕТШИН Ільсур Раїсович")</f>
        <v>МЕТШИН Ільсур Раїсович</v>
      </c>
      <c r="J945" s="7" t="s">
        <v>18</v>
      </c>
    </row>
    <row r="946" spans="1:10" ht="13.2">
      <c r="A946" s="7">
        <v>945</v>
      </c>
      <c r="B946" s="7">
        <v>1</v>
      </c>
      <c r="C946" s="7" t="s">
        <v>10</v>
      </c>
      <c r="D946" s="7">
        <v>334</v>
      </c>
      <c r="E946" s="7" t="s">
        <v>18</v>
      </c>
      <c r="F946" s="8" t="str">
        <f ca="1">IFERROR(__xludf.DUMMYFUNCTION("IF
(
C947=""фізична особа""
,
VLOOKUP(D947,IMPORTRANGE(""https://docs.google.com/spreadsheets/d/14Bd19lYaqBhU8_DElYkX7l4wRkHqqCUFNJY4AfY3kHU/edit?usp=sharing  #gid=0"",""фіз особи new!relations_name""),6,FALSE)
,
(IF
(
C947=""юридична особа""
,
VLOOKUP(D9"&amp;"47,IMPORTRANGE(""https://docs.google.com/spreadsheets/d/14Bd19lYaqBhU8_DElYkX7l4wRkHqqCUFNJY4AfY3kHU/edit?usp=sharing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G946" s="7" t="s">
        <v>10</v>
      </c>
      <c r="H946" s="7">
        <v>5134</v>
      </c>
      <c r="I946" s="8" t="str">
        <f ca="1">IFERROR(__xludf.DUMMYFUNCTION("IF
(
G947=""фізична особа""
,
VLOOKUP(H947,IMPORTRANGE(""https://docs.google.com/spreadsheets/d/14Bd19lYaqBhU8_DElYkX7l4wRkHqqCUFNJY4AfY3kHU/edit?usp=sharing  #gid=0"",""фіз особи new!relations_name""),6,FALSE)
,
(IF
(
G947=""юридична особа""
,
VLOOKUP(H9"&amp;"47,IMPORTRANGE(""https://docs.google.com/spreadsheets/d/14Bd19lYaqBhU8_DElYkX7l4wRkHqqCUFNJY4AfY3kHU/edit?usp=sharing  #gid=0"",""фіз особи new!relations_name_uo""),7,FALSE)
,
)
))"),"МЕТШИН Айрат Раісович")</f>
        <v>МЕТШИН Айрат Раісович</v>
      </c>
      <c r="J946" s="7" t="s">
        <v>18</v>
      </c>
    </row>
    <row r="947" spans="1:10" ht="13.2">
      <c r="A947" s="7">
        <v>946</v>
      </c>
      <c r="B947" s="7">
        <v>1</v>
      </c>
      <c r="C947" s="7" t="s">
        <v>10</v>
      </c>
      <c r="D947" s="7">
        <v>334</v>
      </c>
      <c r="E947" s="7" t="s">
        <v>30</v>
      </c>
      <c r="F947" s="8" t="str">
        <f ca="1">IFERROR(__xludf.DUMMYFUNCTION("IF
(
C948=""фізична особа""
,
VLOOKUP(D948,IMPORTRANGE(""https://docs.google.com/spreadsheets/d/14Bd19lYaqBhU8_DElYkX7l4wRkHqqCUFNJY4AfY3kHU/edit?usp=sharing  #gid=0"",""фіз особи new!relations_name""),6,FALSE)
,
(IF
(
C948=""юридична особа""
,
VLOOKUP(D9"&amp;"48,IMPORTRANGE(""https://docs.google.com/spreadsheets/d/14Bd19lYaqBhU8_DElYkX7l4wRkHqqCUFNJY4AfY3kHU/edit?usp=sharing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G947" s="7" t="s">
        <v>10</v>
      </c>
      <c r="H947" s="7">
        <v>0</v>
      </c>
      <c r="I947" s="8" t="str">
        <f ca="1">IFERROR(__xludf.DUMMYFUNCTION("IF
(
G948=""фізична особа""
,
VLOOKUP(H948,IMPORTRANGE(""https://docs.google.com/spreadsheets/d/14Bd19lYaqBhU8_DElYkX7l4wRkHqqCUFNJY4AfY3kHU/edit?usp=sharing  #gid=0"",""фіз особи new!relations_name""),6,FALSE)
,
(IF
(
G948=""юридична особа""
,
VLOOKUP(H9"&amp;"48,IMPORTRANGE(""https://docs.google.com/spreadsheets/d/14Bd19lYaqBhU8_DElYkX7l4wRkHqqCUFNJY4AfY3kHU/edit?usp=sharing  #gid=0"",""фіз особи new!relations_name_uo""),7,FALSE)
,
)
))"),"#N/A")</f>
        <v>#N/A</v>
      </c>
      <c r="J947" s="7" t="s">
        <v>30</v>
      </c>
    </row>
    <row r="948" spans="1:10" ht="13.2">
      <c r="A948" s="7">
        <v>947</v>
      </c>
      <c r="B948" s="7">
        <v>1</v>
      </c>
      <c r="C948" s="7" t="s">
        <v>10</v>
      </c>
      <c r="D948" s="7">
        <v>335</v>
      </c>
      <c r="E948" s="7" t="s">
        <v>28</v>
      </c>
      <c r="F948" s="8" t="str">
        <f ca="1">IFERROR(__xludf.DUMMYFUNCTION("IF
(
C949=""фізична особа""
,
VLOOKUP(D949,IMPORTRANGE(""https://docs.google.com/spreadsheets/d/14Bd19lYaqBhU8_DElYkX7l4wRkHqqCUFNJY4AfY3kHU/edit?usp=sharing  #gid=0"",""фіз особи new!relations_name""),6,FALSE)
,
(IF
(
C949=""юридична особа""
,
VLOOKUP(D9"&amp;"49,IMPORTRANGE(""https://docs.google.com/spreadsheets/d/14Bd19lYaqBhU8_DElYkX7l4wRkHqqCUFNJY4AfY3kHU/edit?usp=sharing  #gid=0"",""фіз особи new!relations_name_uo""),7,FALSE)
,
)
))"),"ВЄДЯХІН Олександр Олександрович")</f>
        <v>ВЄДЯХІН Олександр Олександрович</v>
      </c>
      <c r="G948" s="7" t="s">
        <v>10</v>
      </c>
      <c r="H948" s="7">
        <v>286</v>
      </c>
      <c r="I948" s="8" t="str">
        <f ca="1">IFERROR(__xludf.DUMMYFUNCTION("IF
(
G949=""фізична особа""
,
VLOOKUP(H949,IMPORTRANGE(""https://docs.google.com/spreadsheets/d/14Bd19lYaqBhU8_DElYkX7l4wRkHqqCUFNJY4AfY3kHU/edit?usp=sharing  #gid=0"",""фіз особи new!relations_name""),6,FALSE)
,
(IF
(
G949=""юридична особа""
,
VLOOKUP(H9"&amp;"49,IMPORTRANGE(""https://docs.google.com/spreadsheets/d/14Bd19lYaqBhU8_DElYkX7l4wRkHqqCUFNJY4AfY3kHU/edit?usp=sharing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J948" s="7" t="s">
        <v>29</v>
      </c>
    </row>
    <row r="949" spans="1:10" ht="13.2">
      <c r="A949" s="7">
        <v>948</v>
      </c>
      <c r="B949" s="7">
        <v>1</v>
      </c>
      <c r="C949" s="7" t="s">
        <v>10</v>
      </c>
      <c r="D949" s="7">
        <v>337</v>
      </c>
      <c r="E949" s="7" t="s">
        <v>31</v>
      </c>
      <c r="F949" s="8" t="str">
        <f ca="1">IFERROR(__xludf.DUMMYFUNCTION("IF
(
C950=""фізична особа""
,
VLOOKUP(D950,IMPORTRANGE(""https://docs.google.com/spreadsheets/d/14Bd19lYaqBhU8_DElYkX7l4wRkHqqCUFNJY4AfY3kHU/edit?usp=sharing  #gid=0"",""фіз особи new!relations_name""),6,FALSE)
,
(IF
(
C950=""юридична особа""
,
VLOOKUP(D9"&amp;"50,IMPORTRANGE(""https://docs.google.com/spreadsheets/d/14Bd19lYaqBhU8_DElYkX7l4wRkHqqCUFNJY4AfY3kHU/edit?usp=sharing  #gid=0"",""фіз особи new!relations_name_uo""),7,FALSE)
,
)
))"),"РУКАВІШНІКОВА Ірина Валеріївна")</f>
        <v>РУКАВІШНІКОВА Ірина Валеріївна</v>
      </c>
      <c r="G949" s="7" t="s">
        <v>10</v>
      </c>
      <c r="H949" s="7">
        <v>0</v>
      </c>
      <c r="I949" s="8" t="str">
        <f ca="1">IFERROR(__xludf.DUMMYFUNCTION("IF
(
G950=""фізична особа""
,
VLOOKUP(H950,IMPORTRANGE(""https://docs.google.com/spreadsheets/d/14Bd19lYaqBhU8_DElYkX7l4wRkHqqCUFNJY4AfY3kHU/edit?usp=sharing  #gid=0"",""фіз особи new!relations_name""),6,FALSE)
,
(IF
(
G950=""юридична особа""
,
VLOOKUP(H9"&amp;"50,IMPORTRANGE(""https://docs.google.com/spreadsheets/d/14Bd19lYaqBhU8_DElYkX7l4wRkHqqCUFNJY4AfY3kHU/edit?usp=sharing  #gid=0"",""фіз особи new!relations_name_uo""),7,FALSE)
,
)
))"),"#N/A")</f>
        <v>#N/A</v>
      </c>
      <c r="J949" s="7" t="s">
        <v>18</v>
      </c>
    </row>
    <row r="950" spans="1:10" ht="13.2">
      <c r="A950" s="7">
        <v>949</v>
      </c>
      <c r="B950" s="7">
        <v>1</v>
      </c>
      <c r="C950" s="7" t="s">
        <v>10</v>
      </c>
      <c r="D950" s="7">
        <v>337</v>
      </c>
      <c r="E950" s="7" t="s">
        <v>43</v>
      </c>
      <c r="F950" s="8" t="str">
        <f ca="1">IFERROR(__xludf.DUMMYFUNCTION("IF
(
C951=""фізична особа""
,
VLOOKUP(D951,IMPORTRANGE(""https://docs.google.com/spreadsheets/d/14Bd19lYaqBhU8_DElYkX7l4wRkHqqCUFNJY4AfY3kHU/edit?usp=sharing  #gid=0"",""фіз особи new!relations_name""),6,FALSE)
,
(IF
(
C951=""юридична особа""
,
VLOOKUP(D9"&amp;"51,IMPORTRANGE(""https://docs.google.com/spreadsheets/d/14Bd19lYaqBhU8_DElYkX7l4wRkHqqCUFNJY4AfY3kHU/edit?usp=sharing  #gid=0"",""фіз особи new!relations_name_uo""),7,FALSE)
,
)
))"),"РУКАВІШНІКОВА Ірина Валеріївна")</f>
        <v>РУКАВІШНІКОВА Ірина Валеріївна</v>
      </c>
      <c r="G950" s="7" t="s">
        <v>10</v>
      </c>
      <c r="H950" s="7">
        <v>0</v>
      </c>
      <c r="I950" s="8" t="str">
        <f ca="1">IFERROR(__xludf.DUMMYFUNCTION("IF
(
G951=""фізична особа""
,
VLOOKUP(H951,IMPORTRANGE(""https://docs.google.com/spreadsheets/d/14Bd19lYaqBhU8_DElYkX7l4wRkHqqCUFNJY4AfY3kHU/edit?usp=sharing  #gid=0"",""фіз особи new!relations_name""),6,FALSE)
,
(IF
(
G951=""юридична особа""
,
VLOOKUP(H9"&amp;"51,IMPORTRANGE(""https://docs.google.com/spreadsheets/d/14Bd19lYaqBhU8_DElYkX7l4wRkHqqCUFNJY4AfY3kHU/edit?usp=sharing  #gid=0"",""фіз особи new!relations_name_uo""),7,FALSE)
,
)
))"),"#N/A")</f>
        <v>#N/A</v>
      </c>
      <c r="J950" s="7" t="s">
        <v>42</v>
      </c>
    </row>
    <row r="951" spans="1:10" ht="13.2">
      <c r="A951" s="7">
        <v>950</v>
      </c>
      <c r="B951" s="7">
        <v>1</v>
      </c>
      <c r="C951" s="7" t="s">
        <v>10</v>
      </c>
      <c r="D951" s="7">
        <v>338</v>
      </c>
      <c r="E951" s="7" t="s">
        <v>21</v>
      </c>
      <c r="F951" s="8" t="str">
        <f ca="1">IFERROR(__xludf.DUMMYFUNCTION("IF
(
C952=""фізична особа""
,
VLOOKUP(D952,IMPORTRANGE(""https://docs.google.com/spreadsheets/d/14Bd19lYaqBhU8_DElYkX7l4wRkHqqCUFNJY4AfY3kHU/edit?usp=sharing  #gid=0"",""фіз особи new!relations_name""),6,FALSE)
,
(IF
(
C952=""юридична особа""
,
VLOOKUP(D9"&amp;"52,IMPORTRANGE(""https://docs.google.com/spreadsheets/d/14Bd19lYaqBhU8_DElYkX7l4wRkHqqCUFNJY4AfY3kHU/edit?usp=sharing  #gid=0"",""фіз особи new!relations_name_uo""),7,FALSE)
,
)
))"),"БЄЛИХ Ірина Вікторівна")</f>
        <v>БЄЛИХ Ірина Вікторівна</v>
      </c>
      <c r="G951" s="7" t="s">
        <v>10</v>
      </c>
      <c r="H951" s="7">
        <v>5135</v>
      </c>
      <c r="I951" s="8" t="str">
        <f ca="1">IFERROR(__xludf.DUMMYFUNCTION("IF
(
G952=""фізична особа""
,
VLOOKUP(H952,IMPORTRANGE(""https://docs.google.com/spreadsheets/d/14Bd19lYaqBhU8_DElYkX7l4wRkHqqCUFNJY4AfY3kHU/edit?usp=sharing  #gid=0"",""фіз особи new!relations_name""),6,FALSE)
,
(IF
(
G952=""юридична особа""
,
VLOOKUP(H9"&amp;"52,IMPORTRANGE(""https://docs.google.com/spreadsheets/d/14Bd19lYaqBhU8_DElYkX7l4wRkHqqCUFNJY4AfY3kHU/edit?usp=sharing  #gid=0"",""фіз особи new!relations_name_uo""),7,FALSE)
,
)
))"),"БЄЛИХ Денис Владиславович")</f>
        <v>БЄЛИХ Денис Владиславович</v>
      </c>
      <c r="J951" s="7" t="s">
        <v>17</v>
      </c>
    </row>
    <row r="952" spans="1:10" ht="13.2">
      <c r="A952" s="7">
        <v>951</v>
      </c>
      <c r="B952" s="7">
        <v>1</v>
      </c>
      <c r="C952" s="7" t="s">
        <v>10</v>
      </c>
      <c r="D952" s="7">
        <v>338</v>
      </c>
      <c r="E952" s="7" t="s">
        <v>48</v>
      </c>
      <c r="F952" s="8" t="str">
        <f ca="1">IFERROR(__xludf.DUMMYFUNCTION("IF
(
C953=""фізична особа""
,
VLOOKUP(D953,IMPORTRANGE(""https://docs.google.com/spreadsheets/d/14Bd19lYaqBhU8_DElYkX7l4wRkHqqCUFNJY4AfY3kHU/edit?usp=sharing  #gid=0"",""фіз особи new!relations_name""),6,FALSE)
,
(IF
(
C953=""юридична особа""
,
VLOOKUP(D9"&amp;"53,IMPORTRANGE(""https://docs.google.com/spreadsheets/d/14Bd19lYaqBhU8_DElYkX7l4wRkHqqCUFNJY4AfY3kHU/edit?usp=sharing  #gid=0"",""фіз особи new!relations_name_uo""),7,FALSE)
,
)
))"),"БЄЛИХ Ірина Вікторівна")</f>
        <v>БЄЛИХ Ірина Вікторівна</v>
      </c>
      <c r="G952" s="7" t="s">
        <v>10</v>
      </c>
      <c r="H952" s="7">
        <v>677</v>
      </c>
      <c r="I952" s="8" t="str">
        <f ca="1">IFERROR(__xludf.DUMMYFUNCTION("IF
(
G953=""фізична особа""
,
VLOOKUP(H953,IMPORTRANGE(""https://docs.google.com/spreadsheets/d/14Bd19lYaqBhU8_DElYkX7l4wRkHqqCUFNJY4AfY3kHU/edit?usp=sharing  #gid=0"",""фіз особи new!relations_name""),6,FALSE)
,
(IF
(
G953=""юридична особа""
,
VLOOKUP(H9"&amp;"53,IMPORTRANGE(""https://docs.google.com/spreadsheets/d/14Bd19lYaqBhU8_DElYkX7l4wRkHqqCUFNJY4AfY3kHU/edit?usp=sharing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952" s="7" t="s">
        <v>48</v>
      </c>
    </row>
    <row r="953" spans="1:10" ht="13.2">
      <c r="A953" s="7">
        <v>952</v>
      </c>
      <c r="B953" s="7">
        <v>1</v>
      </c>
      <c r="C953" s="7" t="s">
        <v>10</v>
      </c>
      <c r="D953" s="7">
        <v>340</v>
      </c>
      <c r="E953" s="7" t="s">
        <v>17</v>
      </c>
      <c r="F953" s="8" t="str">
        <f ca="1">IFERROR(__xludf.DUMMYFUNCTION("IF
(
C954=""фізична особа""
,
VLOOKUP(D954,IMPORTRANGE(""https://docs.google.com/spreadsheets/d/14Bd19lYaqBhU8_DElYkX7l4wRkHqqCUFNJY4AfY3kHU/edit?usp=sharing  #gid=0"",""фіз особи new!relations_name""),6,FALSE)
,
(IF
(
C954=""юридична особа""
,
VLOOKUP(D9"&amp;"54,IMPORTRANGE(""https://docs.google.com/spreadsheets/d/14Bd19lYaqBhU8_DElYkX7l4wRkHqqCUFNJY4AfY3kHU/edit?usp=sharing  #gid=0"",""фіз особи new!relations_name_uo""),7,FALSE)
,
)
))"),"СЄЧИН Іван Ігорович")</f>
        <v>СЄЧИН Іван Ігорович</v>
      </c>
      <c r="G953" s="7" t="s">
        <v>10</v>
      </c>
      <c r="H953" s="7">
        <v>296</v>
      </c>
      <c r="I953" s="8" t="str">
        <f ca="1">IFERROR(__xludf.DUMMYFUNCTION("IF
(
G954=""фізична особа""
,
VLOOKUP(H954,IMPORTRANGE(""https://docs.google.com/spreadsheets/d/14Bd19lYaqBhU8_DElYkX7l4wRkHqqCUFNJY4AfY3kHU/edit?usp=sharing  #gid=0"",""фіз особи new!relations_name""),6,FALSE)
,
(IF
(
G954=""юридична особа""
,
VLOOKUP(H9"&amp;"54,IMPORTRANGE(""https://docs.google.com/spreadsheets/d/14Bd19lYaqBhU8_DElYkX7l4wRkHqqCUFNJY4AfY3kHU/edit?usp=sharing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953" s="7" t="s">
        <v>12</v>
      </c>
    </row>
    <row r="954" spans="1:10" ht="13.2">
      <c r="A954" s="7">
        <v>953</v>
      </c>
      <c r="B954" s="7">
        <v>1</v>
      </c>
      <c r="C954" s="7" t="s">
        <v>10</v>
      </c>
      <c r="D954" s="7">
        <v>341</v>
      </c>
      <c r="E954" s="7" t="s">
        <v>12</v>
      </c>
      <c r="F954" s="8" t="str">
        <f ca="1">IFERROR(__xludf.DUMMYFUNCTION("IF
(
C955=""фізична особа""
,
VLOOKUP(D955,IMPORTRANGE(""https://docs.google.com/spreadsheets/d/14Bd19lYaqBhU8_DElYkX7l4wRkHqqCUFNJY4AfY3kHU/edit?usp=sharing  #gid=0"",""фіз особи new!relations_name""),6,FALSE)
,
(IF
(
C955=""юридична особа""
,
VLOOKUP(D9"&amp;"55,IMPORTRANGE(""https://docs.google.com/spreadsheets/d/14Bd19lYaqBhU8_DElYkX7l4wRkHqqCUFNJY4AfY3kHU/edit?usp=sharing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G954" s="7" t="s">
        <v>10</v>
      </c>
      <c r="H954" s="7">
        <v>5136</v>
      </c>
      <c r="I954" s="8" t="str">
        <f ca="1">IFERROR(__xludf.DUMMYFUNCTION("IF
(
G955=""фізична особа""
,
VLOOKUP(H955,IMPORTRANGE(""https://docs.google.com/spreadsheets/d/14Bd19lYaqBhU8_DElYkX7l4wRkHqqCUFNJY4AfY3kHU/edit?usp=sharing  #gid=0"",""фіз особи new!relations_name""),6,FALSE)
,
(IF
(
G955=""юридична особа""
,
VLOOKUP(H9"&amp;"55,IMPORTRANGE(""https://docs.google.com/spreadsheets/d/14Bd19lYaqBhU8_DElYkX7l4wRkHqqCUFNJY4AfY3kHU/edit?usp=sharing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J954" s="7" t="s">
        <v>17</v>
      </c>
    </row>
    <row r="955" spans="1:10" ht="13.2">
      <c r="A955" s="7">
        <v>954</v>
      </c>
      <c r="B955" s="7">
        <v>1</v>
      </c>
      <c r="C955" s="7" t="s">
        <v>10</v>
      </c>
      <c r="D955" s="7">
        <v>341</v>
      </c>
      <c r="E955" s="7" t="s">
        <v>12</v>
      </c>
      <c r="F955" s="8" t="str">
        <f ca="1">IFERROR(__xludf.DUMMYFUNCTION("IF
(
C956=""фізична особа""
,
VLOOKUP(D956,IMPORTRANGE(""https://docs.google.com/spreadsheets/d/14Bd19lYaqBhU8_DElYkX7l4wRkHqqCUFNJY4AfY3kHU/edit?usp=sharing  #gid=0"",""фіз особи new!relations_name""),6,FALSE)
,
(IF
(
C956=""юридична особа""
,
VLOOKUP(D9"&amp;"56,IMPORTRANGE(""https://docs.google.com/spreadsheets/d/14Bd19lYaqBhU8_DElYkX7l4wRkHqqCUFNJY4AfY3kHU/edit?usp=sharing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G955" s="7" t="s">
        <v>10</v>
      </c>
      <c r="H955" s="7">
        <v>5137</v>
      </c>
      <c r="I955" s="8" t="str">
        <f ca="1">IFERROR(__xludf.DUMMYFUNCTION("IF
(
G956=""фізична особа""
,
VLOOKUP(H956,IMPORTRANGE(""https://docs.google.com/spreadsheets/d/14Bd19lYaqBhU8_DElYkX7l4wRkHqqCUFNJY4AfY3kHU/edit?usp=sharing  #gid=0"",""фіз особи new!relations_name""),6,FALSE)
,
(IF
(
G956=""юридична особа""
,
VLOOKUP(H9"&amp;"56,IMPORTRANGE(""https://docs.google.com/spreadsheets/d/14Bd19lYaqBhU8_DElYkX7l4wRkHqqCUFNJY4AfY3kHU/edit?usp=sharing  #gid=0"",""фіз особи new!relations_name_uo""),7,FALSE)
,
)
))"),"ВАНІНА Альона Іванівна")</f>
        <v>ВАНІНА Альона Іванівна</v>
      </c>
      <c r="J955" s="7" t="s">
        <v>13</v>
      </c>
    </row>
    <row r="956" spans="1:10" ht="13.2">
      <c r="A956" s="7">
        <v>955</v>
      </c>
      <c r="B956" s="7">
        <v>1</v>
      </c>
      <c r="C956" s="7" t="s">
        <v>10</v>
      </c>
      <c r="D956" s="7">
        <v>341</v>
      </c>
      <c r="E956" s="7" t="s">
        <v>11</v>
      </c>
      <c r="F956" s="8" t="str">
        <f ca="1">IFERROR(__xludf.DUMMYFUNCTION("IF
(
C957=""фізична особа""
,
VLOOKUP(D957,IMPORTRANGE(""https://docs.google.com/spreadsheets/d/14Bd19lYaqBhU8_DElYkX7l4wRkHqqCUFNJY4AfY3kHU/edit?usp=sharing  #gid=0"",""фіз особи new!relations_name""),6,FALSE)
,
(IF
(
C957=""юридична особа""
,
VLOOKUP(D9"&amp;"57,IMPORTRANGE(""https://docs.google.com/spreadsheets/d/14Bd19lYaqBhU8_DElYkX7l4wRkHqqCUFNJY4AfY3kHU/edit?usp=sharing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G956" s="7" t="s">
        <v>10</v>
      </c>
      <c r="H956" s="7">
        <v>0</v>
      </c>
      <c r="I956" s="8" t="str">
        <f ca="1">IFERROR(__xludf.DUMMYFUNCTION("IF
(
G957=""фізична особа""
,
VLOOKUP(H957,IMPORTRANGE(""https://docs.google.com/spreadsheets/d/14Bd19lYaqBhU8_DElYkX7l4wRkHqqCUFNJY4AfY3kHU/edit?usp=sharing  #gid=0"",""фіз особи new!relations_name""),6,FALSE)
,
(IF
(
G957=""юридична особа""
,
VLOOKUP(H9"&amp;"57,IMPORTRANGE(""https://docs.google.com/spreadsheets/d/14Bd19lYaqBhU8_DElYkX7l4wRkHqqCUFNJY4AfY3kHU/edit?usp=sharing  #gid=0"",""фіз особи new!relations_name_uo""),7,FALSE)
,
)
))"),"#N/A")</f>
        <v>#N/A</v>
      </c>
      <c r="J956" s="7" t="s">
        <v>11</v>
      </c>
    </row>
    <row r="957" spans="1:10" ht="13.2">
      <c r="A957" s="7">
        <v>956</v>
      </c>
      <c r="B957" s="7">
        <v>1</v>
      </c>
      <c r="C957" s="7" t="s">
        <v>10</v>
      </c>
      <c r="D957" s="7">
        <v>341</v>
      </c>
      <c r="E957" s="7" t="s">
        <v>11</v>
      </c>
      <c r="F957" s="8" t="str">
        <f ca="1">IFERROR(__xludf.DUMMYFUNCTION("IF
(
C958=""фізична особа""
,
VLOOKUP(D958,IMPORTRANGE(""https://docs.google.com/spreadsheets/d/14Bd19lYaqBhU8_DElYkX7l4wRkHqqCUFNJY4AfY3kHU/edit?usp=sharing  #gid=0"",""фіз особи new!relations_name""),6,FALSE)
,
(IF
(
C958=""юридична особа""
,
VLOOKUP(D9"&amp;"58,IMPORTRANGE(""https://docs.google.com/spreadsheets/d/14Bd19lYaqBhU8_DElYkX7l4wRkHqqCUFNJY4AfY3kHU/edit?usp=sharing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G957" s="7" t="s">
        <v>10</v>
      </c>
      <c r="H957" s="7">
        <v>0</v>
      </c>
      <c r="I957" s="8" t="str">
        <f ca="1">IFERROR(__xludf.DUMMYFUNCTION("IF
(
G958=""фізична особа""
,
VLOOKUP(H958,IMPORTRANGE(""https://docs.google.com/spreadsheets/d/14Bd19lYaqBhU8_DElYkX7l4wRkHqqCUFNJY4AfY3kHU/edit?usp=sharing  #gid=0"",""фіз особи new!relations_name""),6,FALSE)
,
(IF
(
G958=""юридична особа""
,
VLOOKUP(H9"&amp;"58,IMPORTRANGE(""https://docs.google.com/spreadsheets/d/14Bd19lYaqBhU8_DElYkX7l4wRkHqqCUFNJY4AfY3kHU/edit?usp=sharing  #gid=0"",""фіз особи new!relations_name_uo""),7,FALSE)
,
)
))"),"#N/A")</f>
        <v>#N/A</v>
      </c>
      <c r="J957" s="7" t="s">
        <v>11</v>
      </c>
    </row>
    <row r="958" spans="1:10" ht="13.2">
      <c r="A958" s="7">
        <v>957</v>
      </c>
      <c r="B958" s="7">
        <v>1</v>
      </c>
      <c r="C958" s="7" t="s">
        <v>10</v>
      </c>
      <c r="D958" s="7">
        <v>342</v>
      </c>
      <c r="E958" s="7" t="s">
        <v>28</v>
      </c>
      <c r="F958" s="8" t="str">
        <f ca="1">IFERROR(__xludf.DUMMYFUNCTION("IF
(
C959=""фізична особа""
,
VLOOKUP(D959,IMPORTRANGE(""https://docs.google.com/spreadsheets/d/14Bd19lYaqBhU8_DElYkX7l4wRkHqqCUFNJY4AfY3kHU/edit?usp=sharing  #gid=0"",""фіз особи new!relations_name""),6,FALSE)
,
(IF
(
C959=""юридична особа""
,
VLOOKUP(D9"&amp;"59,IMPORTRANGE(""https://docs.google.com/spreadsheets/d/14Bd19lYaqBhU8_DElYkX7l4wRkHqqCUFNJY4AfY3kHU/edit?usp=sharing  #gid=0"",""фіз особи new!relations_name_uo""),7,FALSE)
,
)
))"),"КРУПКО Іван Іванович")</f>
        <v>КРУПКО Іван Іванович</v>
      </c>
      <c r="G958" s="7" t="s">
        <v>10</v>
      </c>
      <c r="H958" s="7">
        <v>1017</v>
      </c>
      <c r="I958" s="8" t="str">
        <f ca="1">IFERROR(__xludf.DUMMYFUNCTION("IF
(
G959=""фізична особа""
,
VLOOKUP(H959,IMPORTRANGE(""https://docs.google.com/spreadsheets/d/14Bd19lYaqBhU8_DElYkX7l4wRkHqqCUFNJY4AfY3kHU/edit?usp=sharing  #gid=0"",""фіз особи new!relations_name""),6,FALSE)
,
(IF
(
G959=""юридична особа""
,
VLOOKUP(H9"&amp;"59,IMPORTRANGE(""https://docs.google.com/spreadsheets/d/14Bd19lYaqBhU8_DElYkX7l4wRkHqqCUFNJY4AfY3kHU/edit?usp=sharing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958" s="7" t="s">
        <v>29</v>
      </c>
    </row>
    <row r="959" spans="1:10" ht="13.2">
      <c r="A959" s="7">
        <v>958</v>
      </c>
      <c r="B959" s="7">
        <v>1</v>
      </c>
      <c r="C959" s="7" t="s">
        <v>10</v>
      </c>
      <c r="D959" s="7">
        <v>343</v>
      </c>
      <c r="E959" s="7" t="s">
        <v>14</v>
      </c>
      <c r="F959" s="8" t="str">
        <f ca="1">IFERROR(__xludf.DUMMYFUNCTION("IF
(
C960=""фізична особа""
,
VLOOKUP(D960,IMPORTRANGE(""https://docs.google.com/spreadsheets/d/14Bd19lYaqBhU8_DElYkX7l4wRkHqqCUFNJY4AfY3kHU/edit?usp=sharing  #gid=0"",""фіз особи new!relations_name""),6,FALSE)
,
(IF
(
C960=""юридична особа""
,
VLOOKUP(D9"&amp;"60,IMPORTRANGE(""https://docs.google.com/spreadsheets/d/14Bd19lYaqBhU8_DElYkX7l4wRkHqqCUFNJY4AfY3kHU/edit?usp=sharing  #gid=0"",""фіз особи new!relations_name_uo""),7,FALSE)
,
)
))"),"КВІТКА Іван Іванович")</f>
        <v>КВІТКА Іван Іванович</v>
      </c>
      <c r="G959" s="7" t="s">
        <v>10</v>
      </c>
      <c r="H959" s="7">
        <v>4699</v>
      </c>
      <c r="I959" s="8" t="str">
        <f ca="1">IFERROR(__xludf.DUMMYFUNCTION("IF
(
G960=""фізична особа""
,
VLOOKUP(H960,IMPORTRANGE(""https://docs.google.com/spreadsheets/d/14Bd19lYaqBhU8_DElYkX7l4wRkHqqCUFNJY4AfY3kHU/edit?usp=sharing  #gid=0"",""фіз особи new!relations_name""),6,FALSE)
,
(IF
(
G960=""юридична особа""
,
VLOOKUP(H9"&amp;"60,IMPORTRANGE(""https://docs.google.com/spreadsheets/d/14Bd19lYaqBhU8_DElYkX7l4wRkHqqCUFNJY4AfY3kHU/edit?usp=sharing  #gid=0"",""фіз особи new!relations_name_uo""),7,FALSE)
,
)
))"),"КВІТКА Світлана Сергіївна")</f>
        <v>КВІТКА Світлана Сергіївна</v>
      </c>
      <c r="J959" s="7" t="s">
        <v>15</v>
      </c>
    </row>
    <row r="960" spans="1:10" ht="13.2">
      <c r="A960" s="7">
        <v>959</v>
      </c>
      <c r="B960" s="7">
        <v>1</v>
      </c>
      <c r="C960" s="7" t="s">
        <v>10</v>
      </c>
      <c r="D960" s="7">
        <v>343</v>
      </c>
      <c r="E960" s="7" t="s">
        <v>11</v>
      </c>
      <c r="F960" s="8" t="str">
        <f ca="1">IFERROR(__xludf.DUMMYFUNCTION("IF
(
C961=""фізична особа""
,
VLOOKUP(D961,IMPORTRANGE(""https://docs.google.com/spreadsheets/d/14Bd19lYaqBhU8_DElYkX7l4wRkHqqCUFNJY4AfY3kHU/edit?usp=sharing  #gid=0"",""фіз особи new!relations_name""),6,FALSE)
,
(IF
(
C961=""юридична особа""
,
VLOOKUP(D9"&amp;"61,IMPORTRANGE(""https://docs.google.com/spreadsheets/d/14Bd19lYaqBhU8_DElYkX7l4wRkHqqCUFNJY4AfY3kHU/edit?usp=sharing  #gid=0"",""фіз особи new!relations_name_uo""),7,FALSE)
,
)
))"),"КВІТКА Іван Іванович")</f>
        <v>КВІТКА Іван Іванович</v>
      </c>
      <c r="G960" s="7" t="s">
        <v>10</v>
      </c>
      <c r="H960" s="7">
        <v>0</v>
      </c>
      <c r="I960" s="8" t="str">
        <f ca="1">IFERROR(__xludf.DUMMYFUNCTION("IF
(
G961=""фізична особа""
,
VLOOKUP(H961,IMPORTRANGE(""https://docs.google.com/spreadsheets/d/14Bd19lYaqBhU8_DElYkX7l4wRkHqqCUFNJY4AfY3kHU/edit?usp=sharing  #gid=0"",""фіз особи new!relations_name""),6,FALSE)
,
(IF
(
G961=""юридична особа""
,
VLOOKUP(H9"&amp;"61,IMPORTRANGE(""https://docs.google.com/spreadsheets/d/14Bd19lYaqBhU8_DElYkX7l4wRkHqqCUFNJY4AfY3kHU/edit?usp=sharing  #gid=0"",""фіз особи new!relations_name_uo""),7,FALSE)
,
)
))"),"#N/A")</f>
        <v>#N/A</v>
      </c>
      <c r="J960" s="7" t="s">
        <v>11</v>
      </c>
    </row>
    <row r="961" spans="1:10" ht="13.2">
      <c r="A961" s="7">
        <v>960</v>
      </c>
      <c r="B961" s="7">
        <v>1</v>
      </c>
      <c r="C961" s="7" t="s">
        <v>10</v>
      </c>
      <c r="D961" s="7">
        <v>344</v>
      </c>
      <c r="E961" s="7" t="s">
        <v>14</v>
      </c>
      <c r="F961" s="8" t="str">
        <f ca="1">IFERROR(__xludf.DUMMYFUNCTION("IF
(
C962=""фізична особа""
,
VLOOKUP(D962,IMPORTRANGE(""https://docs.google.com/spreadsheets/d/14Bd19lYaqBhU8_DElYkX7l4wRkHqqCUFNJY4AfY3kHU/edit?usp=sharing  #gid=0"",""фіз особи new!relations_name""),6,FALSE)
,
(IF
(
C962=""юридична особа""
,
VLOOKUP(D9"&amp;"62,IMPORTRANGE(""https://docs.google.com/spreadsheets/d/14Bd19lYaqBhU8_DElYkX7l4wRkHqqCUFNJY4AfY3kHU/edit?usp=sharing  #gid=0"",""фіз особи new!relations_name_uo""),7,FALSE)
,
)
))"),"ЛООР Іван Іванович")</f>
        <v>ЛООР Іван Іванович</v>
      </c>
      <c r="G961" s="7" t="s">
        <v>10</v>
      </c>
      <c r="H961" s="7">
        <v>5138</v>
      </c>
      <c r="I961" s="8" t="str">
        <f ca="1">IFERROR(__xludf.DUMMYFUNCTION("IF
(
G962=""фізична особа""
,
VLOOKUP(H962,IMPORTRANGE(""https://docs.google.com/spreadsheets/d/14Bd19lYaqBhU8_DElYkX7l4wRkHqqCUFNJY4AfY3kHU/edit?usp=sharing  #gid=0"",""фіз особи new!relations_name""),6,FALSE)
,
(IF
(
G962=""юридична особа""
,
VLOOKUP(H9"&amp;"62,IMPORTRANGE(""https://docs.google.com/spreadsheets/d/14Bd19lYaqBhU8_DElYkX7l4wRkHqqCUFNJY4AfY3kHU/edit?usp=sharing  #gid=0"",""фіз особи new!relations_name_uo""),7,FALSE)
,
)
))"),"ЛООР Галина Федорівна")</f>
        <v>ЛООР Галина Федорівна</v>
      </c>
      <c r="J961" s="7" t="s">
        <v>15</v>
      </c>
    </row>
    <row r="962" spans="1:10" ht="13.2">
      <c r="A962" s="7">
        <v>961</v>
      </c>
      <c r="B962" s="7">
        <v>1</v>
      </c>
      <c r="C962" s="7" t="s">
        <v>10</v>
      </c>
      <c r="D962" s="7">
        <v>345</v>
      </c>
      <c r="E962" s="7" t="s">
        <v>28</v>
      </c>
      <c r="F962" s="8" t="str">
        <f ca="1">IFERROR(__xludf.DUMMYFUNCTION("IF
(
C963=""фізична особа""
,
VLOOKUP(D963,IMPORTRANGE(""https://docs.google.com/spreadsheets/d/14Bd19lYaqBhU8_DElYkX7l4wRkHqqCUFNJY4AfY3kHU/edit?usp=sharing  #gid=0"",""фіз особи new!relations_name""),6,FALSE)
,
(IF
(
C963=""юридична особа""
,
VLOOKUP(D9"&amp;"63,IMPORTRANGE(""https://docs.google.com/spreadsheets/d/14Bd19lYaqBhU8_DElYkX7l4wRkHqqCUFNJY4AfY3kHU/edit?usp=sharing  #gid=0"",""фіз особи new!relations_name_uo""),7,FALSE)
,
)
))"),"БОГУСЛАВСЬКИЙ Іван Йосипович")</f>
        <v>БОГУСЛАВСЬКИЙ Іван Йосипович</v>
      </c>
      <c r="G962" s="7" t="s">
        <v>10</v>
      </c>
      <c r="H962" s="7">
        <v>1017</v>
      </c>
      <c r="I962" s="8" t="str">
        <f ca="1">IFERROR(__xludf.DUMMYFUNCTION("IF
(
G963=""фізична особа""
,
VLOOKUP(H963,IMPORTRANGE(""https://docs.google.com/spreadsheets/d/14Bd19lYaqBhU8_DElYkX7l4wRkHqqCUFNJY4AfY3kHU/edit?usp=sharing  #gid=0"",""фіз особи new!relations_name""),6,FALSE)
,
(IF
(
G963=""юридична особа""
,
VLOOKUP(H9"&amp;"63,IMPORTRANGE(""https://docs.google.com/spreadsheets/d/14Bd19lYaqBhU8_DElYkX7l4wRkHqqCUFNJY4AfY3kHU/edit?usp=sharing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962" s="7" t="s">
        <v>29</v>
      </c>
    </row>
    <row r="963" spans="1:10" ht="13.2">
      <c r="A963" s="7">
        <v>962</v>
      </c>
      <c r="B963" s="7">
        <v>1</v>
      </c>
      <c r="C963" s="7" t="s">
        <v>10</v>
      </c>
      <c r="D963" s="7">
        <v>346</v>
      </c>
      <c r="E963" s="7" t="s">
        <v>35</v>
      </c>
      <c r="F963" s="8" t="str">
        <f ca="1">IFERROR(__xludf.DUMMYFUNCTION("IF
(
C964=""фізична особа""
,
VLOOKUP(D964,IMPORTRANGE(""https://docs.google.com/spreadsheets/d/14Bd19lYaqBhU8_DElYkX7l4wRkHqqCUFNJY4AfY3kHU/edit?usp=sharing  #gid=0"",""фіз особи new!relations_name""),6,FALSE)
,
(IF
(
C964=""юридична особа""
,
VLOOKUP(D9"&amp;"64,IMPORTRANGE(""https://docs.google.com/spreadsheets/d/14Bd19lYaqBhU8_DElYkX7l4wRkHqqCUFNJY4AfY3kHU/edit?usp=sharing  #gid=0"",""фіз особи new!relations_name_uo""),7,FALSE)
,
)
))"),"БОРИСОВ Олександр Олександрович")</f>
        <v>БОРИСОВ Олександр Олександрович</v>
      </c>
      <c r="G963" s="7" t="s">
        <v>10</v>
      </c>
      <c r="H963" s="7">
        <v>64</v>
      </c>
      <c r="I963" s="8" t="str">
        <f ca="1">IFERROR(__xludf.DUMMYFUNCTION("IF
(
G964=""фізична особа""
,
VLOOKUP(H964,IMPORTRANGE(""https://docs.google.com/spreadsheets/d/14Bd19lYaqBhU8_DElYkX7l4wRkHqqCUFNJY4AfY3kHU/edit?usp=sharing  #gid=0"",""фіз особи new!relations_name""),6,FALSE)
,
(IF
(
G964=""юридична особа""
,
VLOOKUP(H9"&amp;"64,IMPORTRANGE(""https://docs.google.com/spreadsheets/d/14Bd19lYaqBhU8_DElYkX7l4wRkHqqCUFNJY4AfY3kHU/edit?usp=sharing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963" s="7" t="s">
        <v>35</v>
      </c>
    </row>
    <row r="964" spans="1:10" ht="13.2">
      <c r="A964" s="7">
        <v>963</v>
      </c>
      <c r="B964" s="7">
        <v>1</v>
      </c>
      <c r="C964" s="7" t="s">
        <v>10</v>
      </c>
      <c r="D964" s="7">
        <v>347</v>
      </c>
      <c r="E964" s="7" t="s">
        <v>17</v>
      </c>
      <c r="F964" s="8" t="str">
        <f ca="1">IFERROR(__xludf.DUMMYFUNCTION("IF
(
C965=""фізична особа""
,
VLOOKUP(D965,IMPORTRANGE(""https://docs.google.com/spreadsheets/d/14Bd19lYaqBhU8_DElYkX7l4wRkHqqCUFNJY4AfY3kHU/edit?usp=sharing  #gid=0"",""фіз особи new!relations_name""),6,FALSE)
,
(IF
(
C965=""юридична особа""
,
VLOOKUP(D9"&amp;"65,IMPORTRANGE(""https://docs.google.com/spreadsheets/d/14Bd19lYaqBhU8_DElYkX7l4wRkHqqCUFNJY4AfY3kHU/edit?usp=sharing  #gid=0"",""фіз особи new!relations_name_uo""),7,FALSE)
,
)
))"),"СУХАРЄВ Іван Костянтинович")</f>
        <v>СУХАРЄВ Іван Костянтинович</v>
      </c>
      <c r="G964" s="7" t="s">
        <v>10</v>
      </c>
      <c r="H964" s="7">
        <v>5139</v>
      </c>
      <c r="I964" s="8" t="str">
        <f ca="1">IFERROR(__xludf.DUMMYFUNCTION("IF
(
G965=""фізична особа""
,
VLOOKUP(H965,IMPORTRANGE(""https://docs.google.com/spreadsheets/d/14Bd19lYaqBhU8_DElYkX7l4wRkHqqCUFNJY4AfY3kHU/edit?usp=sharing  #gid=0"",""фіз особи new!relations_name""),6,FALSE)
,
(IF
(
G965=""юридична особа""
,
VLOOKUP(H9"&amp;"65,IMPORTRANGE(""https://docs.google.com/spreadsheets/d/14Bd19lYaqBhU8_DElYkX7l4wRkHqqCUFNJY4AfY3kHU/edit?usp=sharing  #gid=0"",""фіз особи new!relations_name_uo""),7,FALSE)
,
)
))"),"СУХАРЄВ Костянтин Костянтинович")</f>
        <v>СУХАРЄВ Костянтин Костянтинович</v>
      </c>
      <c r="J964" s="7" t="s">
        <v>12</v>
      </c>
    </row>
    <row r="965" spans="1:10" ht="13.2">
      <c r="A965" s="7">
        <v>964</v>
      </c>
      <c r="B965" s="7">
        <v>1</v>
      </c>
      <c r="C965" s="7" t="s">
        <v>10</v>
      </c>
      <c r="D965" s="7">
        <v>348</v>
      </c>
      <c r="E965" s="7" t="s">
        <v>12</v>
      </c>
      <c r="F965" s="8" t="str">
        <f ca="1">IFERROR(__xludf.DUMMYFUNCTION("IF
(
C966=""фізична особа""
,
VLOOKUP(D966,IMPORTRANGE(""https://docs.google.com/spreadsheets/d/14Bd19lYaqBhU8_DElYkX7l4wRkHqqCUFNJY4AfY3kHU/edit?usp=sharing  #gid=0"",""фіз особи new!relations_name""),6,FALSE)
,
(IF
(
C966=""юридична особа""
,
VLOOKUP(D9"&amp;"66,IMPORTRANGE(""https://docs.google.com/spreadsheets/d/14Bd19lYaqBhU8_DElYkX7l4wRkHqqCUFNJY4AfY3kHU/edit?usp=sharing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65" s="7" t="s">
        <v>10</v>
      </c>
      <c r="H965" s="7">
        <v>0</v>
      </c>
      <c r="I965" s="8" t="str">
        <f ca="1">IFERROR(__xludf.DUMMYFUNCTION("IF
(
G966=""фізична особа""
,
VLOOKUP(H966,IMPORTRANGE(""https://docs.google.com/spreadsheets/d/14Bd19lYaqBhU8_DElYkX7l4wRkHqqCUFNJY4AfY3kHU/edit?usp=sharing  #gid=0"",""фіз особи new!relations_name""),6,FALSE)
,
(IF
(
G966=""юридична особа""
,
VLOOKUP(H9"&amp;"66,IMPORTRANGE(""https://docs.google.com/spreadsheets/d/14Bd19lYaqBhU8_DElYkX7l4wRkHqqCUFNJY4AfY3kHU/edit?usp=sharing  #gid=0"",""фіз особи new!relations_name_uo""),7,FALSE)
,
)
))"),"#N/A")</f>
        <v>#N/A</v>
      </c>
      <c r="J965" s="7" t="s">
        <v>17</v>
      </c>
    </row>
    <row r="966" spans="1:10" ht="13.2">
      <c r="A966" s="7">
        <v>965</v>
      </c>
      <c r="B966" s="7">
        <v>1</v>
      </c>
      <c r="C966" s="7" t="s">
        <v>10</v>
      </c>
      <c r="D966" s="7">
        <v>348</v>
      </c>
      <c r="E966" s="7" t="s">
        <v>14</v>
      </c>
      <c r="F966" s="8" t="str">
        <f ca="1">IFERROR(__xludf.DUMMYFUNCTION("IF
(
C967=""фізична особа""
,
VLOOKUP(D967,IMPORTRANGE(""https://docs.google.com/spreadsheets/d/14Bd19lYaqBhU8_DElYkX7l4wRkHqqCUFNJY4AfY3kHU/edit?usp=sharing  #gid=0"",""фіз особи new!relations_name""),6,FALSE)
,
(IF
(
C967=""юридична особа""
,
VLOOKUP(D9"&amp;"67,IMPORTRANGE(""https://docs.google.com/spreadsheets/d/14Bd19lYaqBhU8_DElYkX7l4wRkHqqCUFNJY4AfY3kHU/edit?usp=sharing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66" s="7" t="s">
        <v>10</v>
      </c>
      <c r="H966" s="7">
        <v>0</v>
      </c>
      <c r="I966" s="8" t="str">
        <f ca="1">IFERROR(__xludf.DUMMYFUNCTION("IF
(
G967=""фізична особа""
,
VLOOKUP(H967,IMPORTRANGE(""https://docs.google.com/spreadsheets/d/14Bd19lYaqBhU8_DElYkX7l4wRkHqqCUFNJY4AfY3kHU/edit?usp=sharing  #gid=0"",""фіз особи new!relations_name""),6,FALSE)
,
(IF
(
G967=""юридична особа""
,
VLOOKUP(H9"&amp;"67,IMPORTRANGE(""https://docs.google.com/spreadsheets/d/14Bd19lYaqBhU8_DElYkX7l4wRkHqqCUFNJY4AfY3kHU/edit?usp=sharing  #gid=0"",""фіз особи new!relations_name_uo""),7,FALSE)
,
)
))"),"#N/A")</f>
        <v>#N/A</v>
      </c>
      <c r="J966" s="7" t="s">
        <v>15</v>
      </c>
    </row>
    <row r="967" spans="1:10" ht="13.2">
      <c r="A967" s="7">
        <v>966</v>
      </c>
      <c r="B967" s="7">
        <v>1</v>
      </c>
      <c r="C967" s="7" t="s">
        <v>10</v>
      </c>
      <c r="D967" s="7">
        <v>348</v>
      </c>
      <c r="E967" s="7" t="s">
        <v>29</v>
      </c>
      <c r="F967" s="8" t="str">
        <f ca="1">IFERROR(__xludf.DUMMYFUNCTION("IF
(
C968=""фізична особа""
,
VLOOKUP(D968,IMPORTRANGE(""https://docs.google.com/spreadsheets/d/14Bd19lYaqBhU8_DElYkX7l4wRkHqqCUFNJY4AfY3kHU/edit?usp=sharing  #gid=0"",""фіз особи new!relations_name""),6,FALSE)
,
(IF
(
C968=""юридична особа""
,
VLOOKUP(D9"&amp;"68,IMPORTRANGE(""https://docs.google.com/spreadsheets/d/14Bd19lYaqBhU8_DElYkX7l4wRkHqqCUFNJY4AfY3kHU/edit?usp=sharing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67" s="7" t="s">
        <v>10</v>
      </c>
      <c r="H967" s="7">
        <v>0</v>
      </c>
      <c r="I967" s="8" t="str">
        <f ca="1">IFERROR(__xludf.DUMMYFUNCTION("IF
(
G968=""фізична особа""
,
VLOOKUP(H968,IMPORTRANGE(""https://docs.google.com/spreadsheets/d/14Bd19lYaqBhU8_DElYkX7l4wRkHqqCUFNJY4AfY3kHU/edit?usp=sharing  #gid=0"",""фіз особи new!relations_name""),6,FALSE)
,
(IF
(
G968=""юридична особа""
,
VLOOKUP(H9"&amp;"68,IMPORTRANGE(""https://docs.google.com/spreadsheets/d/14Bd19lYaqBhU8_DElYkX7l4wRkHqqCUFNJY4AfY3kHU/edit?usp=sharing  #gid=0"",""фіз особи new!relations_name_uo""),7,FALSE)
,
)
))"),"#N/A")</f>
        <v>#N/A</v>
      </c>
      <c r="J967" s="7" t="s">
        <v>28</v>
      </c>
    </row>
    <row r="968" spans="1:10" ht="13.2">
      <c r="A968" s="7">
        <v>967</v>
      </c>
      <c r="B968" s="7">
        <v>1</v>
      </c>
      <c r="C968" s="7" t="s">
        <v>10</v>
      </c>
      <c r="D968" s="7">
        <v>348</v>
      </c>
      <c r="E968" s="7" t="s">
        <v>29</v>
      </c>
      <c r="F968" s="8" t="str">
        <f ca="1">IFERROR(__xludf.DUMMYFUNCTION("IF
(
C969=""фізична особа""
,
VLOOKUP(D969,IMPORTRANGE(""https://docs.google.com/spreadsheets/d/14Bd19lYaqBhU8_DElYkX7l4wRkHqqCUFNJY4AfY3kHU/edit?usp=sharing  #gid=0"",""фіз особи new!relations_name""),6,FALSE)
,
(IF
(
C969=""юридична особа""
,
VLOOKUP(D9"&amp;"69,IMPORTRANGE(""https://docs.google.com/spreadsheets/d/14Bd19lYaqBhU8_DElYkX7l4wRkHqqCUFNJY4AfY3kHU/edit?usp=sharing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68" s="7" t="s">
        <v>10</v>
      </c>
      <c r="H968" s="7">
        <v>0</v>
      </c>
      <c r="I968" s="8" t="str">
        <f ca="1">IFERROR(__xludf.DUMMYFUNCTION("IF
(
G969=""фізична особа""
,
VLOOKUP(H969,IMPORTRANGE(""https://docs.google.com/spreadsheets/d/14Bd19lYaqBhU8_DElYkX7l4wRkHqqCUFNJY4AfY3kHU/edit?usp=sharing  #gid=0"",""фіз особи new!relations_name""),6,FALSE)
,
(IF
(
G969=""юридична особа""
,
VLOOKUP(H9"&amp;"69,IMPORTRANGE(""https://docs.google.com/spreadsheets/d/14Bd19lYaqBhU8_DElYkX7l4wRkHqqCUFNJY4AfY3kHU/edit?usp=sharing  #gid=0"",""фіз особи new!relations_name_uo""),7,FALSE)
,
)
))"),"#N/A")</f>
        <v>#N/A</v>
      </c>
      <c r="J968" s="7" t="s">
        <v>28</v>
      </c>
    </row>
    <row r="969" spans="1:10" ht="13.2">
      <c r="A969" s="7">
        <v>968</v>
      </c>
      <c r="B969" s="7">
        <v>1</v>
      </c>
      <c r="C969" s="7" t="s">
        <v>10</v>
      </c>
      <c r="D969" s="7">
        <v>348</v>
      </c>
      <c r="E969" s="7" t="s">
        <v>29</v>
      </c>
      <c r="F969" s="8" t="str">
        <f ca="1">IFERROR(__xludf.DUMMYFUNCTION("IF
(
C970=""фізична особа""
,
VLOOKUP(D970,IMPORTRANGE(""https://docs.google.com/spreadsheets/d/14Bd19lYaqBhU8_DElYkX7l4wRkHqqCUFNJY4AfY3kHU/edit?usp=sharing  #gid=0"",""фіз особи new!relations_name""),6,FALSE)
,
(IF
(
C970=""юридична особа""
,
VLOOKUP(D9"&amp;"70,IMPORTRANGE(""https://docs.google.com/spreadsheets/d/14Bd19lYaqBhU8_DElYkX7l4wRkHqqCUFNJY4AfY3kHU/edit?usp=sharing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69" s="7" t="s">
        <v>10</v>
      </c>
      <c r="H969" s="7">
        <v>0</v>
      </c>
      <c r="I969" s="8" t="str">
        <f ca="1">IFERROR(__xludf.DUMMYFUNCTION("IF
(
G970=""фізична особа""
,
VLOOKUP(H970,IMPORTRANGE(""https://docs.google.com/spreadsheets/d/14Bd19lYaqBhU8_DElYkX7l4wRkHqqCUFNJY4AfY3kHU/edit?usp=sharing  #gid=0"",""фіз особи new!relations_name""),6,FALSE)
,
(IF
(
G970=""юридична особа""
,
VLOOKUP(H9"&amp;"70,IMPORTRANGE(""https://docs.google.com/spreadsheets/d/14Bd19lYaqBhU8_DElYkX7l4wRkHqqCUFNJY4AfY3kHU/edit?usp=sharing  #gid=0"",""фіз особи new!relations_name_uo""),7,FALSE)
,
)
))"),"#N/A")</f>
        <v>#N/A</v>
      </c>
      <c r="J969" s="7" t="s">
        <v>28</v>
      </c>
    </row>
    <row r="970" spans="1:10" ht="13.2">
      <c r="A970" s="7">
        <v>969</v>
      </c>
      <c r="B970" s="7">
        <v>1</v>
      </c>
      <c r="C970" s="7" t="s">
        <v>10</v>
      </c>
      <c r="D970" s="7">
        <v>348</v>
      </c>
      <c r="E970" s="7" t="s">
        <v>29</v>
      </c>
      <c r="F970" s="8" t="str">
        <f ca="1">IFERROR(__xludf.DUMMYFUNCTION("IF
(
C971=""фізична особа""
,
VLOOKUP(D971,IMPORTRANGE(""https://docs.google.com/spreadsheets/d/14Bd19lYaqBhU8_DElYkX7l4wRkHqqCUFNJY4AfY3kHU/edit?usp=sharing  #gid=0"",""фіз особи new!relations_name""),6,FALSE)
,
(IF
(
C971=""юридична особа""
,
VLOOKUP(D9"&amp;"71,IMPORTRANGE(""https://docs.google.com/spreadsheets/d/14Bd19lYaqBhU8_DElYkX7l4wRkHqqCUFNJY4AfY3kHU/edit?usp=sharing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70" s="7" t="s">
        <v>10</v>
      </c>
      <c r="H970" s="7">
        <v>0</v>
      </c>
      <c r="I970" s="8" t="str">
        <f ca="1">IFERROR(__xludf.DUMMYFUNCTION("IF
(
G971=""фізична особа""
,
VLOOKUP(H971,IMPORTRANGE(""https://docs.google.com/spreadsheets/d/14Bd19lYaqBhU8_DElYkX7l4wRkHqqCUFNJY4AfY3kHU/edit?usp=sharing  #gid=0"",""фіз особи new!relations_name""),6,FALSE)
,
(IF
(
G971=""юридична особа""
,
VLOOKUP(H9"&amp;"71,IMPORTRANGE(""https://docs.google.com/spreadsheets/d/14Bd19lYaqBhU8_DElYkX7l4wRkHqqCUFNJY4AfY3kHU/edit?usp=sharing  #gid=0"",""фіз особи new!relations_name_uo""),7,FALSE)
,
)
))"),"#N/A")</f>
        <v>#N/A</v>
      </c>
      <c r="J970" s="7" t="s">
        <v>28</v>
      </c>
    </row>
    <row r="971" spans="1:10" ht="13.2">
      <c r="A971" s="7">
        <v>970</v>
      </c>
      <c r="B971" s="7">
        <v>1</v>
      </c>
      <c r="C971" s="7" t="s">
        <v>10</v>
      </c>
      <c r="D971" s="7">
        <v>348</v>
      </c>
      <c r="E971" s="7" t="s">
        <v>29</v>
      </c>
      <c r="F971" s="8" t="str">
        <f ca="1">IFERROR(__xludf.DUMMYFUNCTION("IF
(
C972=""фізична особа""
,
VLOOKUP(D972,IMPORTRANGE(""https://docs.google.com/spreadsheets/d/14Bd19lYaqBhU8_DElYkX7l4wRkHqqCUFNJY4AfY3kHU/edit?usp=sharing  #gid=0"",""фіз особи new!relations_name""),6,FALSE)
,
(IF
(
C972=""юридична особа""
,
VLOOKUP(D9"&amp;"72,IMPORTRANGE(""https://docs.google.com/spreadsheets/d/14Bd19lYaqBhU8_DElYkX7l4wRkHqqCUFNJY4AfY3kHU/edit?usp=sharing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71" s="7" t="s">
        <v>10</v>
      </c>
      <c r="H971" s="7">
        <v>0</v>
      </c>
      <c r="I971" s="8" t="str">
        <f ca="1">IFERROR(__xludf.DUMMYFUNCTION("IF
(
G972=""фізична особа""
,
VLOOKUP(H972,IMPORTRANGE(""https://docs.google.com/spreadsheets/d/14Bd19lYaqBhU8_DElYkX7l4wRkHqqCUFNJY4AfY3kHU/edit?usp=sharing  #gid=0"",""фіз особи new!relations_name""),6,FALSE)
,
(IF
(
G972=""юридична особа""
,
VLOOKUP(H9"&amp;"72,IMPORTRANGE(""https://docs.google.com/spreadsheets/d/14Bd19lYaqBhU8_DElYkX7l4wRkHqqCUFNJY4AfY3kHU/edit?usp=sharing  #gid=0"",""фіз особи new!relations_name_uo""),7,FALSE)
,
)
))"),"#N/A")</f>
        <v>#N/A</v>
      </c>
      <c r="J971" s="7" t="s">
        <v>28</v>
      </c>
    </row>
    <row r="972" spans="1:10" ht="13.2">
      <c r="A972" s="7">
        <v>971</v>
      </c>
      <c r="B972" s="7">
        <v>1</v>
      </c>
      <c r="C972" s="7" t="s">
        <v>10</v>
      </c>
      <c r="D972" s="7">
        <v>348</v>
      </c>
      <c r="E972" s="7" t="s">
        <v>29</v>
      </c>
      <c r="F972" s="8" t="str">
        <f ca="1">IFERROR(__xludf.DUMMYFUNCTION("IF
(
C973=""фізична особа""
,
VLOOKUP(D973,IMPORTRANGE(""https://docs.google.com/spreadsheets/d/14Bd19lYaqBhU8_DElYkX7l4wRkHqqCUFNJY4AfY3kHU/edit?usp=sharing  #gid=0"",""фіз особи new!relations_name""),6,FALSE)
,
(IF
(
C973=""юридична особа""
,
VLOOKUP(D9"&amp;"73,IMPORTRANGE(""https://docs.google.com/spreadsheets/d/14Bd19lYaqBhU8_DElYkX7l4wRkHqqCUFNJY4AfY3kHU/edit?usp=sharing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72" s="7" t="s">
        <v>10</v>
      </c>
      <c r="H972" s="7">
        <v>0</v>
      </c>
      <c r="I972" s="8" t="str">
        <f ca="1">IFERROR(__xludf.DUMMYFUNCTION("IF
(
G973=""фізична особа""
,
VLOOKUP(H973,IMPORTRANGE(""https://docs.google.com/spreadsheets/d/14Bd19lYaqBhU8_DElYkX7l4wRkHqqCUFNJY4AfY3kHU/edit?usp=sharing  #gid=0"",""фіз особи new!relations_name""),6,FALSE)
,
(IF
(
G973=""юридична особа""
,
VLOOKUP(H9"&amp;"73,IMPORTRANGE(""https://docs.google.com/spreadsheets/d/14Bd19lYaqBhU8_DElYkX7l4wRkHqqCUFNJY4AfY3kHU/edit?usp=sharing  #gid=0"",""фіз особи new!relations_name_uo""),7,FALSE)
,
)
))"),"#N/A")</f>
        <v>#N/A</v>
      </c>
      <c r="J972" s="7" t="s">
        <v>28</v>
      </c>
    </row>
    <row r="973" spans="1:10" ht="13.2">
      <c r="A973" s="7">
        <v>972</v>
      </c>
      <c r="B973" s="7">
        <v>1</v>
      </c>
      <c r="C973" s="7" t="s">
        <v>10</v>
      </c>
      <c r="D973" s="7">
        <v>348</v>
      </c>
      <c r="E973" s="7" t="s">
        <v>29</v>
      </c>
      <c r="F973" s="8" t="str">
        <f ca="1">IFERROR(__xludf.DUMMYFUNCTION("IF
(
C974=""фізична особа""
,
VLOOKUP(D974,IMPORTRANGE(""https://docs.google.com/spreadsheets/d/14Bd19lYaqBhU8_DElYkX7l4wRkHqqCUFNJY4AfY3kHU/edit?usp=sharing  #gid=0"",""фіз особи new!relations_name""),6,FALSE)
,
(IF
(
C974=""юридична особа""
,
VLOOKUP(D9"&amp;"74,IMPORTRANGE(""https://docs.google.com/spreadsheets/d/14Bd19lYaqBhU8_DElYkX7l4wRkHqqCUFNJY4AfY3kHU/edit?usp=sharing  #gid=0"",""фіз особи new!relations_name_uo""),7,FALSE)
,
)
))"),"КУБРАКОВ Іван Володимирович")</f>
        <v>КУБРАКОВ Іван Володимирович</v>
      </c>
      <c r="G973" s="7" t="s">
        <v>10</v>
      </c>
      <c r="H973" s="7">
        <v>0</v>
      </c>
      <c r="I973" s="8" t="str">
        <f ca="1">IFERROR(__xludf.DUMMYFUNCTION("IF
(
G974=""фізична особа""
,
VLOOKUP(H974,IMPORTRANGE(""https://docs.google.com/spreadsheets/d/14Bd19lYaqBhU8_DElYkX7l4wRkHqqCUFNJY4AfY3kHU/edit?usp=sharing  #gid=0"",""фіз особи new!relations_name""),6,FALSE)
,
(IF
(
G974=""юридична особа""
,
VLOOKUP(H9"&amp;"74,IMPORTRANGE(""https://docs.google.com/spreadsheets/d/14Bd19lYaqBhU8_DElYkX7l4wRkHqqCUFNJY4AfY3kHU/edit?usp=sharing  #gid=0"",""фіз особи new!relations_name_uo""),7,FALSE)
,
)
))"),"#N/A")</f>
        <v>#N/A</v>
      </c>
      <c r="J973" s="7" t="s">
        <v>28</v>
      </c>
    </row>
    <row r="974" spans="1:10" ht="13.2">
      <c r="A974" s="7">
        <v>973</v>
      </c>
      <c r="B974" s="7">
        <v>1</v>
      </c>
      <c r="C974" s="7" t="s">
        <v>10</v>
      </c>
      <c r="D974" s="7">
        <v>349</v>
      </c>
      <c r="E974" s="7" t="s">
        <v>17</v>
      </c>
      <c r="F974" s="8" t="str">
        <f ca="1">IFERROR(__xludf.DUMMYFUNCTION("IF
(
C975=""фізична особа""
,
VLOOKUP(D975,IMPORTRANGE(""https://docs.google.com/spreadsheets/d/14Bd19lYaqBhU8_DElYkX7l4wRkHqqCUFNJY4AfY3kHU/edit?usp=sharing  #gid=0"",""фіз особи new!relations_name""),6,FALSE)
,
(IF
(
C975=""юридична особа""
,
VLOOKUP(D9"&amp;"75,IMPORTRANGE(""https://docs.google.com/spreadsheets/d/14Bd19lYaqBhU8_DElYkX7l4wRkHqqCUFNJY4AfY3kHU/edit?usp=sharing  #gid=0"",""фіз особи new!relations_name_uo""),7,FALSE)
,
)
))"),"МУСАТОВ Іван Михайлович")</f>
        <v>МУСАТОВ Іван Михайлович</v>
      </c>
      <c r="G974" s="7" t="s">
        <v>10</v>
      </c>
      <c r="H974" s="7">
        <v>5140</v>
      </c>
      <c r="I974" s="8" t="str">
        <f ca="1">IFERROR(__xludf.DUMMYFUNCTION("IF
(
G975=""фізична особа""
,
VLOOKUP(H975,IMPORTRANGE(""https://docs.google.com/spreadsheets/d/14Bd19lYaqBhU8_DElYkX7l4wRkHqqCUFNJY4AfY3kHU/edit?usp=sharing  #gid=0"",""фіз особи new!relations_name""),6,FALSE)
,
(IF
(
G975=""юридична особа""
,
VLOOKUP(H9"&amp;"75,IMPORTRANGE(""https://docs.google.com/spreadsheets/d/14Bd19lYaqBhU8_DElYkX7l4wRkHqqCUFNJY4AfY3kHU/edit?usp=sharing  #gid=0"",""фіз особи new!relations_name_uo""),7,FALSE)
,
)
))"),"МУСАТОВ Михайло Іванович")</f>
        <v>МУСАТОВ Михайло Іванович</v>
      </c>
      <c r="J974" s="7" t="s">
        <v>12</v>
      </c>
    </row>
    <row r="975" spans="1:10" ht="13.2">
      <c r="A975" s="7">
        <v>974</v>
      </c>
      <c r="B975" s="7">
        <v>1</v>
      </c>
      <c r="C975" s="7" t="s">
        <v>10</v>
      </c>
      <c r="D975" s="7">
        <v>350</v>
      </c>
      <c r="E975" s="7" t="s">
        <v>48</v>
      </c>
      <c r="F975" s="8" t="str">
        <f ca="1">IFERROR(__xludf.DUMMYFUNCTION("IF
(
C976=""фізична особа""
,
VLOOKUP(D976,IMPORTRANGE(""https://docs.google.com/spreadsheets/d/14Bd19lYaqBhU8_DElYkX7l4wRkHqqCUFNJY4AfY3kHU/edit?usp=sharing  #gid=0"",""фіз особи new!relations_name""),6,FALSE)
,
(IF
(
C976=""юридична особа""
,
VLOOKUP(D9"&amp;"76,IMPORTRANGE(""https://docs.google.com/spreadsheets/d/14Bd19lYaqBhU8_DElYkX7l4wRkHqqCUFNJY4AfY3kHU/edit?usp=sharing  #gid=0"",""фіз особи new!relations_name_uo""),7,FALSE)
,
)
))"),"БАБІЧ Іван Миколайович")</f>
        <v>БАБІЧ Іван Миколайович</v>
      </c>
      <c r="G975" s="7" t="s">
        <v>10</v>
      </c>
      <c r="H975" s="7">
        <v>267</v>
      </c>
      <c r="I975" s="8" t="str">
        <f ca="1">IFERROR(__xludf.DUMMYFUNCTION("IF
(
G976=""фізична особа""
,
VLOOKUP(H976,IMPORTRANGE(""https://docs.google.com/spreadsheets/d/14Bd19lYaqBhU8_DElYkX7l4wRkHqqCUFNJY4AfY3kHU/edit?usp=sharing  #gid=0"",""фіз особи new!relations_name""),6,FALSE)
,
(IF
(
G976=""юридична особа""
,
VLOOKUP(H9"&amp;"76,IMPORTRANGE(""https://docs.google.com/spreadsheets/d/14Bd19lYaqBhU8_DElYkX7l4wRkHqqCUFNJY4AfY3kHU/edit?usp=sharing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975" s="7" t="s">
        <v>48</v>
      </c>
    </row>
    <row r="976" spans="1:10" ht="13.2">
      <c r="A976" s="7">
        <v>975</v>
      </c>
      <c r="B976" s="7">
        <v>1</v>
      </c>
      <c r="C976" s="7" t="s">
        <v>10</v>
      </c>
      <c r="D976" s="7">
        <v>351</v>
      </c>
      <c r="E976" s="7" t="s">
        <v>14</v>
      </c>
      <c r="F976" s="8" t="str">
        <f ca="1">IFERROR(__xludf.DUMMYFUNCTION("IF
(
C977=""фізична особа""
,
VLOOKUP(D977,IMPORTRANGE(""https://docs.google.com/spreadsheets/d/14Bd19lYaqBhU8_DElYkX7l4wRkHqqCUFNJY4AfY3kHU/edit?usp=sharing  #gid=0"",""фіз особи new!relations_name""),6,FALSE)
,
(IF
(
C977=""юридична особа""
,
VLOOKUP(D9"&amp;"77,IMPORTRANGE(""https://docs.google.com/spreadsheets/d/14Bd19lYaqBhU8_DElYkX7l4wRkHqqCUFNJY4AfY3kHU/edit?usp=sharing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76" s="7" t="s">
        <v>10</v>
      </c>
      <c r="H976" s="7">
        <v>8617</v>
      </c>
      <c r="I976" s="8" t="str">
        <f ca="1">IFERROR(__xludf.DUMMYFUNCTION("IF
(
G977=""фізична особа""
,
VLOOKUP(H977,IMPORTRANGE(""https://docs.google.com/spreadsheets/d/14Bd19lYaqBhU8_DElYkX7l4wRkHqqCUFNJY4AfY3kHU/edit?usp=sharing  #gid=0"",""фіз особи new!relations_name""),6,FALSE)
,
(IF
(
G977=""юридична особа""
,
VLOOKUP(H9"&amp;"77,IMPORTRANGE(""https://docs.google.com/spreadsheets/d/14Bd19lYaqBhU8_DElYkX7l4wRkHqqCUFNJY4AfY3kHU/edit?usp=sharing  #gid=0"",""фіз особи new!relations_name_uo""),7,FALSE)
,
)
))"),"АБРАМОВА Тетяна Миколаївна")</f>
        <v>АБРАМОВА Тетяна Миколаївна</v>
      </c>
      <c r="J976" s="7" t="s">
        <v>15</v>
      </c>
    </row>
    <row r="977" spans="1:10" ht="13.2">
      <c r="A977" s="7">
        <v>976</v>
      </c>
      <c r="B977" s="7">
        <v>1</v>
      </c>
      <c r="C977" s="7" t="s">
        <v>10</v>
      </c>
      <c r="D977" s="7">
        <v>351</v>
      </c>
      <c r="E977" s="7" t="s">
        <v>12</v>
      </c>
      <c r="F977" s="8" t="str">
        <f ca="1">IFERROR(__xludf.DUMMYFUNCTION("IF
(
C978=""фізична особа""
,
VLOOKUP(D978,IMPORTRANGE(""https://docs.google.com/spreadsheets/d/14Bd19lYaqBhU8_DElYkX7l4wRkHqqCUFNJY4AfY3kHU/edit?usp=sharing  #gid=0"",""фіз особи new!relations_name""),6,FALSE)
,
(IF
(
C978=""юридична особа""
,
VLOOKUP(D9"&amp;"78,IMPORTRANGE(""https://docs.google.com/spreadsheets/d/14Bd19lYaqBhU8_DElYkX7l4wRkHqqCUFNJY4AfY3kHU/edit?usp=sharing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77" s="7" t="s">
        <v>10</v>
      </c>
      <c r="H977" s="7">
        <v>23391</v>
      </c>
      <c r="I977" s="8" t="str">
        <f ca="1">IFERROR(__xludf.DUMMYFUNCTION("IF
(
G978=""фізична особа""
,
VLOOKUP(H978,IMPORTRANGE(""https://docs.google.com/spreadsheets/d/14Bd19lYaqBhU8_DElYkX7l4wRkHqqCUFNJY4AfY3kHU/edit?usp=sharing  #gid=0"",""фіз особи new!relations_name""),6,FALSE)
,
(IF
(
G978=""юридична особа""
,
VLOOKUP(H9"&amp;"78,IMPORTRANGE(""https://docs.google.com/spreadsheets/d/14Bd19lYaqBhU8_DElYkX7l4wRkHqqCUFNJY4AfY3kHU/edit?usp=sharing  #gid=0"",""фіз особи new!relations_name_uo""),7,FALSE)
,
)
))"),"АБРАМОВ Назар Іванович")</f>
        <v>АБРАМОВ Назар Іванович</v>
      </c>
      <c r="J977" s="7" t="s">
        <v>17</v>
      </c>
    </row>
    <row r="978" spans="1:10" ht="13.2">
      <c r="A978" s="7">
        <v>977</v>
      </c>
      <c r="B978" s="7">
        <v>1</v>
      </c>
      <c r="C978" s="7" t="s">
        <v>10</v>
      </c>
      <c r="D978" s="7">
        <v>351</v>
      </c>
      <c r="E978" s="7" t="s">
        <v>12</v>
      </c>
      <c r="F978" s="8" t="str">
        <f ca="1">IFERROR(__xludf.DUMMYFUNCTION("IF
(
C979=""фізична особа""
,
VLOOKUP(D979,IMPORTRANGE(""https://docs.google.com/spreadsheets/d/14Bd19lYaqBhU8_DElYkX7l4wRkHqqCUFNJY4AfY3kHU/edit?usp=sharing  #gid=0"",""фіз особи new!relations_name""),6,FALSE)
,
(IF
(
C979=""юридична особа""
,
VLOOKUP(D9"&amp;"79,IMPORTRANGE(""https://docs.google.com/spreadsheets/d/14Bd19lYaqBhU8_DElYkX7l4wRkHqqCUFNJY4AfY3kHU/edit?usp=sharing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78" s="7" t="s">
        <v>10</v>
      </c>
      <c r="H978" s="7">
        <v>23392</v>
      </c>
      <c r="I978" s="8" t="str">
        <f ca="1">IFERROR(__xludf.DUMMYFUNCTION("IF
(
G979=""фізична особа""
,
VLOOKUP(H979,IMPORTRANGE(""https://docs.google.com/spreadsheets/d/14Bd19lYaqBhU8_DElYkX7l4wRkHqqCUFNJY4AfY3kHU/edit?usp=sharing  #gid=0"",""фіз особи new!relations_name""),6,FALSE)
,
(IF
(
G979=""юридична особа""
,
VLOOKUP(H9"&amp;"79,IMPORTRANGE(""https://docs.google.com/spreadsheets/d/14Bd19lYaqBhU8_DElYkX7l4wRkHqqCUFNJY4AfY3kHU/edit?usp=sharing  #gid=0"",""фіз особи new!relations_name_uo""),7,FALSE)
,
)
))"),"АБРАМОВ Микола Іванович")</f>
        <v>АБРАМОВ Микола Іванович</v>
      </c>
      <c r="J978" s="7" t="s">
        <v>17</v>
      </c>
    </row>
    <row r="979" spans="1:10" ht="13.2">
      <c r="A979" s="7">
        <v>978</v>
      </c>
      <c r="B979" s="7">
        <v>1</v>
      </c>
      <c r="C979" s="7" t="s">
        <v>10</v>
      </c>
      <c r="D979" s="7">
        <v>351</v>
      </c>
      <c r="E979" s="7" t="s">
        <v>12</v>
      </c>
      <c r="F979" s="8" t="str">
        <f ca="1">IFERROR(__xludf.DUMMYFUNCTION("IF
(
C980=""фізична особа""
,
VLOOKUP(D980,IMPORTRANGE(""https://docs.google.com/spreadsheets/d/14Bd19lYaqBhU8_DElYkX7l4wRkHqqCUFNJY4AfY3kHU/edit?usp=sharing  #gid=0"",""фіз особи new!relations_name""),6,FALSE)
,
(IF
(
C980=""юридична особа""
,
VLOOKUP(D9"&amp;"80,IMPORTRANGE(""https://docs.google.com/spreadsheets/d/14Bd19lYaqBhU8_DElYkX7l4wRkHqqCUFNJY4AfY3kHU/edit?usp=sharing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79" s="7" t="s">
        <v>10</v>
      </c>
      <c r="H979" s="7">
        <v>0</v>
      </c>
      <c r="I979" s="8" t="str">
        <f ca="1">IFERROR(__xludf.DUMMYFUNCTION("IF
(
G980=""фізична особа""
,
VLOOKUP(H980,IMPORTRANGE(""https://docs.google.com/spreadsheets/d/14Bd19lYaqBhU8_DElYkX7l4wRkHqqCUFNJY4AfY3kHU/edit?usp=sharing  #gid=0"",""фіз особи new!relations_name""),6,FALSE)
,
(IF
(
G980=""юридична особа""
,
VLOOKUP(H9"&amp;"80,IMPORTRANGE(""https://docs.google.com/spreadsheets/d/14Bd19lYaqBhU8_DElYkX7l4wRkHqqCUFNJY4AfY3kHU/edit?usp=sharing  #gid=0"",""фіз особи new!relations_name_uo""),7,FALSE)
,
)
))"),"#N/A")</f>
        <v>#N/A</v>
      </c>
      <c r="J979" s="7" t="s">
        <v>17</v>
      </c>
    </row>
    <row r="980" spans="1:10" ht="13.2">
      <c r="A980" s="7">
        <v>979</v>
      </c>
      <c r="B980" s="7">
        <v>1</v>
      </c>
      <c r="C980" s="7" t="s">
        <v>10</v>
      </c>
      <c r="D980" s="7">
        <v>351</v>
      </c>
      <c r="E980" s="7" t="s">
        <v>12</v>
      </c>
      <c r="F980" s="8" t="str">
        <f ca="1">IFERROR(__xludf.DUMMYFUNCTION("IF
(
C981=""фізична особа""
,
VLOOKUP(D981,IMPORTRANGE(""https://docs.google.com/spreadsheets/d/14Bd19lYaqBhU8_DElYkX7l4wRkHqqCUFNJY4AfY3kHU/edit?usp=sharing  #gid=0"",""фіз особи new!relations_name""),6,FALSE)
,
(IF
(
C981=""юридична особа""
,
VLOOKUP(D9"&amp;"81,IMPORTRANGE(""https://docs.google.com/spreadsheets/d/14Bd19lYaqBhU8_DElYkX7l4wRkHqqCUFNJY4AfY3kHU/edit?usp=sharing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80" s="7" t="s">
        <v>10</v>
      </c>
      <c r="H980" s="7">
        <v>23393</v>
      </c>
      <c r="I980" s="8" t="str">
        <f ca="1">IFERROR(__xludf.DUMMYFUNCTION("IF
(
G981=""фізична особа""
,
VLOOKUP(H981,IMPORTRANGE(""https://docs.google.com/spreadsheets/d/14Bd19lYaqBhU8_DElYkX7l4wRkHqqCUFNJY4AfY3kHU/edit?usp=sharing  #gid=0"",""фіз особи new!relations_name""),6,FALSE)
,
(IF
(
G981=""юридична особа""
,
VLOOKUP(H9"&amp;"81,IMPORTRANGE(""https://docs.google.com/spreadsheets/d/14Bd19lYaqBhU8_DElYkX7l4wRkHqqCUFNJY4AfY3kHU/edit?usp=sharing  #gid=0"",""фіз особи new!relations_name_uo""),7,FALSE)
,
)
))"),"АБРАМОВА Еріка Іванівна")</f>
        <v>АБРАМОВА Еріка Іванівна</v>
      </c>
      <c r="J980" s="7" t="s">
        <v>13</v>
      </c>
    </row>
    <row r="981" spans="1:10" ht="13.2">
      <c r="A981" s="7">
        <v>980</v>
      </c>
      <c r="B981" s="7">
        <v>1</v>
      </c>
      <c r="C981" s="7" t="s">
        <v>10</v>
      </c>
      <c r="D981" s="7">
        <v>351</v>
      </c>
      <c r="E981" s="7" t="s">
        <v>18</v>
      </c>
      <c r="F981" s="8" t="str">
        <f ca="1">IFERROR(__xludf.DUMMYFUNCTION("IF
(
C982=""фізична особа""
,
VLOOKUP(D982,IMPORTRANGE(""https://docs.google.com/spreadsheets/d/14Bd19lYaqBhU8_DElYkX7l4wRkHqqCUFNJY4AfY3kHU/edit?usp=sharing  #gid=0"",""фіз особи new!relations_name""),6,FALSE)
,
(IF
(
C982=""юридична особа""
,
VLOOKUP(D9"&amp;"82,IMPORTRANGE(""https://docs.google.com/spreadsheets/d/14Bd19lYaqBhU8_DElYkX7l4wRkHqqCUFNJY4AfY3kHU/edit?usp=sharing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81" s="7" t="s">
        <v>10</v>
      </c>
      <c r="H981" s="7">
        <v>0</v>
      </c>
      <c r="I981" s="8" t="str">
        <f ca="1">IFERROR(__xludf.DUMMYFUNCTION("IF
(
G982=""фізична особа""
,
VLOOKUP(H982,IMPORTRANGE(""https://docs.google.com/spreadsheets/d/14Bd19lYaqBhU8_DElYkX7l4wRkHqqCUFNJY4AfY3kHU/edit?usp=sharing  #gid=0"",""фіз особи new!relations_name""),6,FALSE)
,
(IF
(
G982=""юридична особа""
,
VLOOKUP(H9"&amp;"82,IMPORTRANGE(""https://docs.google.com/spreadsheets/d/14Bd19lYaqBhU8_DElYkX7l4wRkHqqCUFNJY4AfY3kHU/edit?usp=sharing  #gid=0"",""фіз особи new!relations_name_uo""),7,FALSE)
,
)
))"),"#N/A")</f>
        <v>#N/A</v>
      </c>
      <c r="J981" s="7" t="s">
        <v>18</v>
      </c>
    </row>
    <row r="982" spans="1:10" ht="13.2">
      <c r="A982" s="7">
        <v>981</v>
      </c>
      <c r="B982" s="7">
        <v>1</v>
      </c>
      <c r="C982" s="7" t="s">
        <v>10</v>
      </c>
      <c r="D982" s="7">
        <v>351</v>
      </c>
      <c r="E982" s="7" t="s">
        <v>17</v>
      </c>
      <c r="F982" s="8" t="str">
        <f ca="1">IFERROR(__xludf.DUMMYFUNCTION("IF
(
C983=""фізична особа""
,
VLOOKUP(D983,IMPORTRANGE(""https://docs.google.com/spreadsheets/d/14Bd19lYaqBhU8_DElYkX7l4wRkHqqCUFNJY4AfY3kHU/edit?usp=sharing  #gid=0"",""фіз особи new!relations_name""),6,FALSE)
,
(IF
(
C983=""юридична особа""
,
VLOOKUP(D9"&amp;"83,IMPORTRANGE(""https://docs.google.com/spreadsheets/d/14Bd19lYaqBhU8_DElYkX7l4wRkHqqCUFNJY4AfY3kHU/edit?usp=sharing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82" s="7" t="s">
        <v>10</v>
      </c>
      <c r="H982" s="7">
        <v>0</v>
      </c>
      <c r="I982" s="8" t="str">
        <f ca="1">IFERROR(__xludf.DUMMYFUNCTION("IF
(
G983=""фізична особа""
,
VLOOKUP(H983,IMPORTRANGE(""https://docs.google.com/spreadsheets/d/14Bd19lYaqBhU8_DElYkX7l4wRkHqqCUFNJY4AfY3kHU/edit?usp=sharing  #gid=0"",""фіз особи new!relations_name""),6,FALSE)
,
(IF
(
G983=""юридична особа""
,
VLOOKUP(H9"&amp;"83,IMPORTRANGE(""https://docs.google.com/spreadsheets/d/14Bd19lYaqBhU8_DElYkX7l4wRkHqqCUFNJY4AfY3kHU/edit?usp=sharing  #gid=0"",""фіз особи new!relations_name_uo""),7,FALSE)
,
)
))"),"#N/A")</f>
        <v>#N/A</v>
      </c>
      <c r="J982" s="7" t="s">
        <v>21</v>
      </c>
    </row>
    <row r="983" spans="1:10" ht="13.2">
      <c r="A983" s="7">
        <v>982</v>
      </c>
      <c r="B983" s="7">
        <v>1</v>
      </c>
      <c r="C983" s="7" t="s">
        <v>10</v>
      </c>
      <c r="D983" s="7">
        <v>351</v>
      </c>
      <c r="E983" s="7" t="s">
        <v>17</v>
      </c>
      <c r="F983" s="8" t="str">
        <f ca="1">IFERROR(__xludf.DUMMYFUNCTION("IF
(
C984=""фізична особа""
,
VLOOKUP(D984,IMPORTRANGE(""https://docs.google.com/spreadsheets/d/14Bd19lYaqBhU8_DElYkX7l4wRkHqqCUFNJY4AfY3kHU/edit?usp=sharing  #gid=0"",""фіз особи new!relations_name""),6,FALSE)
,
(IF
(
C984=""юридична особа""
,
VLOOKUP(D9"&amp;"84,IMPORTRANGE(""https://docs.google.com/spreadsheets/d/14Bd19lYaqBhU8_DElYkX7l4wRkHqqCUFNJY4AfY3kHU/edit?usp=sharing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G983" s="7" t="s">
        <v>10</v>
      </c>
      <c r="H983" s="7">
        <v>23392</v>
      </c>
      <c r="I983" s="8" t="str">
        <f ca="1">IFERROR(__xludf.DUMMYFUNCTION("IF
(
G984=""фізична особа""
,
VLOOKUP(H984,IMPORTRANGE(""https://docs.google.com/spreadsheets/d/14Bd19lYaqBhU8_DElYkX7l4wRkHqqCUFNJY4AfY3kHU/edit?usp=sharing  #gid=0"",""фіз особи new!relations_name""),6,FALSE)
,
(IF
(
G984=""юридична особа""
,
VLOOKUP(H9"&amp;"84,IMPORTRANGE(""https://docs.google.com/spreadsheets/d/14Bd19lYaqBhU8_DElYkX7l4wRkHqqCUFNJY4AfY3kHU/edit?usp=sharing  #gid=0"",""фіз особи new!relations_name_uo""),7,FALSE)
,
)
))"),"АБРАМОВ Микола Іванович")</f>
        <v>АБРАМОВ Микола Іванович</v>
      </c>
      <c r="J983" s="7" t="s">
        <v>12</v>
      </c>
    </row>
    <row r="984" spans="1:10" ht="13.2">
      <c r="A984" s="7">
        <v>983</v>
      </c>
      <c r="B984" s="7">
        <v>1</v>
      </c>
      <c r="C984" s="7" t="s">
        <v>10</v>
      </c>
      <c r="D984" s="7">
        <v>352</v>
      </c>
      <c r="E984" s="7" t="s">
        <v>14</v>
      </c>
      <c r="F984" s="8" t="str">
        <f ca="1">IFERROR(__xludf.DUMMYFUNCTION("IF
(
C985=""фізична особа""
,
VLOOKUP(D985,IMPORTRANGE(""https://docs.google.com/spreadsheets/d/14Bd19lYaqBhU8_DElYkX7l4wRkHqqCUFNJY4AfY3kHU/edit?usp=sharing  #gid=0"",""фіз особи new!relations_name""),6,FALSE)
,
(IF
(
C985=""юридична особа""
,
VLOOKUP(D9"&amp;"85,IMPORTRANGE(""https://docs.google.com/spreadsheets/d/14Bd19lYaqBhU8_DElYkX7l4wRkHqqCUFNJY4AfY3kHU/edit?usp=sharing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4" s="7" t="s">
        <v>10</v>
      </c>
      <c r="H984" s="7">
        <v>0</v>
      </c>
      <c r="I984" s="8" t="str">
        <f ca="1">IFERROR(__xludf.DUMMYFUNCTION("IF
(
G985=""фізична особа""
,
VLOOKUP(H985,IMPORTRANGE(""https://docs.google.com/spreadsheets/d/14Bd19lYaqBhU8_DElYkX7l4wRkHqqCUFNJY4AfY3kHU/edit?usp=sharing  #gid=0"",""фіз особи new!relations_name""),6,FALSE)
,
(IF
(
G985=""юридична особа""
,
VLOOKUP(H9"&amp;"85,IMPORTRANGE(""https://docs.google.com/spreadsheets/d/14Bd19lYaqBhU8_DElYkX7l4wRkHqqCUFNJY4AfY3kHU/edit?usp=sharing  #gid=0"",""фіз особи new!relations_name_uo""),7,FALSE)
,
)
))"),"#N/A")</f>
        <v>#N/A</v>
      </c>
      <c r="J984" s="7" t="s">
        <v>15</v>
      </c>
    </row>
    <row r="985" spans="1:10" ht="13.2">
      <c r="A985" s="7">
        <v>984</v>
      </c>
      <c r="B985" s="7">
        <v>1</v>
      </c>
      <c r="C985" s="7" t="s">
        <v>10</v>
      </c>
      <c r="D985" s="7">
        <v>352</v>
      </c>
      <c r="E985" s="7" t="s">
        <v>12</v>
      </c>
      <c r="F985" s="8" t="str">
        <f ca="1">IFERROR(__xludf.DUMMYFUNCTION("IF
(
C986=""фізична особа""
,
VLOOKUP(D986,IMPORTRANGE(""https://docs.google.com/spreadsheets/d/14Bd19lYaqBhU8_DElYkX7l4wRkHqqCUFNJY4AfY3kHU/edit?usp=sharing  #gid=0"",""фіз особи new!relations_name""),6,FALSE)
,
(IF
(
C986=""юридична особа""
,
VLOOKUP(D9"&amp;"86,IMPORTRANGE(""https://docs.google.com/spreadsheets/d/14Bd19lYaqBhU8_DElYkX7l4wRkHqqCUFNJY4AfY3kHU/edit?usp=sharing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5" s="7" t="s">
        <v>10</v>
      </c>
      <c r="H985" s="7">
        <v>0</v>
      </c>
      <c r="I985" s="8" t="str">
        <f ca="1">IFERROR(__xludf.DUMMYFUNCTION("IF
(
G986=""фізична особа""
,
VLOOKUP(H986,IMPORTRANGE(""https://docs.google.com/spreadsheets/d/14Bd19lYaqBhU8_DElYkX7l4wRkHqqCUFNJY4AfY3kHU/edit?usp=sharing  #gid=0"",""фіз особи new!relations_name""),6,FALSE)
,
(IF
(
G986=""юридична особа""
,
VLOOKUP(H9"&amp;"86,IMPORTRANGE(""https://docs.google.com/spreadsheets/d/14Bd19lYaqBhU8_DElYkX7l4wRkHqqCUFNJY4AfY3kHU/edit?usp=sharing  #gid=0"",""фіз особи new!relations_name_uo""),7,FALSE)
,
)
))"),"#N/A")</f>
        <v>#N/A</v>
      </c>
      <c r="J985" s="7" t="s">
        <v>17</v>
      </c>
    </row>
    <row r="986" spans="1:10" ht="13.2">
      <c r="A986" s="7">
        <v>985</v>
      </c>
      <c r="B986" s="7">
        <v>1</v>
      </c>
      <c r="C986" s="7" t="s">
        <v>10</v>
      </c>
      <c r="D986" s="7">
        <v>352</v>
      </c>
      <c r="E986" s="7" t="s">
        <v>12</v>
      </c>
      <c r="F986" s="8" t="str">
        <f ca="1">IFERROR(__xludf.DUMMYFUNCTION("IF
(
C987=""фізична особа""
,
VLOOKUP(D987,IMPORTRANGE(""https://docs.google.com/spreadsheets/d/14Bd19lYaqBhU8_DElYkX7l4wRkHqqCUFNJY4AfY3kHU/edit?usp=sharing  #gid=0"",""фіз особи new!relations_name""),6,FALSE)
,
(IF
(
C987=""юридична особа""
,
VLOOKUP(D9"&amp;"87,IMPORTRANGE(""https://docs.google.com/spreadsheets/d/14Bd19lYaqBhU8_DElYkX7l4wRkHqqCUFNJY4AfY3kHU/edit?usp=sharing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6" s="7" t="s">
        <v>10</v>
      </c>
      <c r="H986" s="7">
        <v>0</v>
      </c>
      <c r="I986" s="8" t="str">
        <f ca="1">IFERROR(__xludf.DUMMYFUNCTION("IF
(
G987=""фізична особа""
,
VLOOKUP(H987,IMPORTRANGE(""https://docs.google.com/spreadsheets/d/14Bd19lYaqBhU8_DElYkX7l4wRkHqqCUFNJY4AfY3kHU/edit?usp=sharing  #gid=0"",""фіз особи new!relations_name""),6,FALSE)
,
(IF
(
G987=""юридична особа""
,
VLOOKUP(H9"&amp;"87,IMPORTRANGE(""https://docs.google.com/spreadsheets/d/14Bd19lYaqBhU8_DElYkX7l4wRkHqqCUFNJY4AfY3kHU/edit?usp=sharing  #gid=0"",""фіз особи new!relations_name_uo""),7,FALSE)
,
)
))"),"#N/A")</f>
        <v>#N/A</v>
      </c>
      <c r="J986" s="7" t="s">
        <v>13</v>
      </c>
    </row>
    <row r="987" spans="1:10" ht="13.2">
      <c r="A987" s="7">
        <v>986</v>
      </c>
      <c r="B987" s="7">
        <v>1</v>
      </c>
      <c r="C987" s="7" t="s">
        <v>10</v>
      </c>
      <c r="D987" s="7">
        <v>352</v>
      </c>
      <c r="E987" s="7" t="s">
        <v>18</v>
      </c>
      <c r="F987" s="8" t="str">
        <f ca="1">IFERROR(__xludf.DUMMYFUNCTION("IF
(
C988=""фізична особа""
,
VLOOKUP(D988,IMPORTRANGE(""https://docs.google.com/spreadsheets/d/14Bd19lYaqBhU8_DElYkX7l4wRkHqqCUFNJY4AfY3kHU/edit?usp=sharing  #gid=0"",""фіз особи new!relations_name""),6,FALSE)
,
(IF
(
C988=""юридична особа""
,
VLOOKUP(D9"&amp;"88,IMPORTRANGE(""https://docs.google.com/spreadsheets/d/14Bd19lYaqBhU8_DElYkX7l4wRkHqqCUFNJY4AfY3kHU/edit?usp=sharing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7" s="7" t="s">
        <v>10</v>
      </c>
      <c r="H987" s="7">
        <v>0</v>
      </c>
      <c r="I987" s="8" t="str">
        <f ca="1">IFERROR(__xludf.DUMMYFUNCTION("IF
(
G988=""фізична особа""
,
VLOOKUP(H988,IMPORTRANGE(""https://docs.google.com/spreadsheets/d/14Bd19lYaqBhU8_DElYkX7l4wRkHqqCUFNJY4AfY3kHU/edit?usp=sharing  #gid=0"",""фіз особи new!relations_name""),6,FALSE)
,
(IF
(
G988=""юридична особа""
,
VLOOKUP(H9"&amp;"88,IMPORTRANGE(""https://docs.google.com/spreadsheets/d/14Bd19lYaqBhU8_DElYkX7l4wRkHqqCUFNJY4AfY3kHU/edit?usp=sharing  #gid=0"",""фіз особи new!relations_name_uo""),7,FALSE)
,
)
))"),"#N/A")</f>
        <v>#N/A</v>
      </c>
      <c r="J987" s="7" t="s">
        <v>18</v>
      </c>
    </row>
    <row r="988" spans="1:10" ht="13.2">
      <c r="A988" s="7">
        <v>987</v>
      </c>
      <c r="B988" s="7">
        <v>1</v>
      </c>
      <c r="C988" s="7" t="s">
        <v>10</v>
      </c>
      <c r="D988" s="7">
        <v>352</v>
      </c>
      <c r="E988" s="7" t="s">
        <v>62</v>
      </c>
      <c r="F988" s="8" t="str">
        <f ca="1">IFERROR(__xludf.DUMMYFUNCTION("IF
(
C989=""фізична особа""
,
VLOOKUP(D989,IMPORTRANGE(""https://docs.google.com/spreadsheets/d/14Bd19lYaqBhU8_DElYkX7l4wRkHqqCUFNJY4AfY3kHU/edit?usp=sharing  #gid=0"",""фіз особи new!relations_name""),6,FALSE)
,
(IF
(
C989=""юридична особа""
,
VLOOKUP(D9"&amp;"89,IMPORTRANGE(""https://docs.google.com/spreadsheets/d/14Bd19lYaqBhU8_DElYkX7l4wRkHqqCUFNJY4AfY3kHU/edit?usp=sharing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8" s="7" t="s">
        <v>10</v>
      </c>
      <c r="H988" s="7">
        <v>0</v>
      </c>
      <c r="I988" s="8" t="str">
        <f ca="1">IFERROR(__xludf.DUMMYFUNCTION("IF
(
G989=""фізична особа""
,
VLOOKUP(H989,IMPORTRANGE(""https://docs.google.com/spreadsheets/d/14Bd19lYaqBhU8_DElYkX7l4wRkHqqCUFNJY4AfY3kHU/edit?usp=sharing  #gid=0"",""фіз особи new!relations_name""),6,FALSE)
,
(IF
(
G989=""юридична особа""
,
VLOOKUP(H9"&amp;"89,IMPORTRANGE(""https://docs.google.com/spreadsheets/d/14Bd19lYaqBhU8_DElYkX7l4wRkHqqCUFNJY4AfY3kHU/edit?usp=sharing  #gid=0"",""фіз особи new!relations_name_uo""),7,FALSE)
,
)
))"),"#N/A")</f>
        <v>#N/A</v>
      </c>
      <c r="J988" s="7" t="s">
        <v>63</v>
      </c>
    </row>
    <row r="989" spans="1:10" ht="13.2">
      <c r="A989" s="7">
        <v>988</v>
      </c>
      <c r="B989" s="7">
        <v>1</v>
      </c>
      <c r="C989" s="7" t="s">
        <v>10</v>
      </c>
      <c r="D989" s="7">
        <v>352</v>
      </c>
      <c r="E989" s="7" t="s">
        <v>29</v>
      </c>
      <c r="F989" s="8" t="str">
        <f ca="1">IFERROR(__xludf.DUMMYFUNCTION("IF
(
C990=""фізична особа""
,
VLOOKUP(D990,IMPORTRANGE(""https://docs.google.com/spreadsheets/d/14Bd19lYaqBhU8_DElYkX7l4wRkHqqCUFNJY4AfY3kHU/edit?usp=sharing  #gid=0"",""фіз особи new!relations_name""),6,FALSE)
,
(IF
(
C990=""юридична особа""
,
VLOOKUP(D9"&amp;"90,IMPORTRANGE(""https://docs.google.com/spreadsheets/d/14Bd19lYaqBhU8_DElYkX7l4wRkHqqCUFNJY4AfY3kHU/edit?usp=sharing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89" s="7" t="s">
        <v>10</v>
      </c>
      <c r="H989" s="7">
        <v>0</v>
      </c>
      <c r="I989" s="8" t="str">
        <f ca="1">IFERROR(__xludf.DUMMYFUNCTION("IF
(
G990=""фізична особа""
,
VLOOKUP(H990,IMPORTRANGE(""https://docs.google.com/spreadsheets/d/14Bd19lYaqBhU8_DElYkX7l4wRkHqqCUFNJY4AfY3kHU/edit?usp=sharing  #gid=0"",""фіз особи new!relations_name""),6,FALSE)
,
(IF
(
G990=""юридична особа""
,
VLOOKUP(H9"&amp;"90,IMPORTRANGE(""https://docs.google.com/spreadsheets/d/14Bd19lYaqBhU8_DElYkX7l4wRkHqqCUFNJY4AfY3kHU/edit?usp=sharing  #gid=0"",""фіз особи new!relations_name_uo""),7,FALSE)
,
)
))"),"#N/A")</f>
        <v>#N/A</v>
      </c>
      <c r="J989" s="7" t="s">
        <v>28</v>
      </c>
    </row>
    <row r="990" spans="1:10" ht="13.2">
      <c r="A990" s="7">
        <v>989</v>
      </c>
      <c r="B990" s="7">
        <v>1</v>
      </c>
      <c r="C990" s="7" t="s">
        <v>10</v>
      </c>
      <c r="D990" s="7">
        <v>352</v>
      </c>
      <c r="E990" s="7" t="s">
        <v>29</v>
      </c>
      <c r="F990" s="8" t="str">
        <f ca="1">IFERROR(__xludf.DUMMYFUNCTION("IF
(
C991=""фізична особа""
,
VLOOKUP(D991,IMPORTRANGE(""https://docs.google.com/spreadsheets/d/14Bd19lYaqBhU8_DElYkX7l4wRkHqqCUFNJY4AfY3kHU/edit?usp=sharing  #gid=0"",""фіз особи new!relations_name""),6,FALSE)
,
(IF
(
C991=""юридична особа""
,
VLOOKUP(D9"&amp;"91,IMPORTRANGE(""https://docs.google.com/spreadsheets/d/14Bd19lYaqBhU8_DElYkX7l4wRkHqqCUFNJY4AfY3kHU/edit?usp=sharing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0" s="7" t="s">
        <v>10</v>
      </c>
      <c r="H990" s="7">
        <v>0</v>
      </c>
      <c r="I990" s="8" t="str">
        <f ca="1">IFERROR(__xludf.DUMMYFUNCTION("IF
(
G991=""фізична особа""
,
VLOOKUP(H991,IMPORTRANGE(""https://docs.google.com/spreadsheets/d/14Bd19lYaqBhU8_DElYkX7l4wRkHqqCUFNJY4AfY3kHU/edit?usp=sharing  #gid=0"",""фіз особи new!relations_name""),6,FALSE)
,
(IF
(
G991=""юридична особа""
,
VLOOKUP(H9"&amp;"91,IMPORTRANGE(""https://docs.google.com/spreadsheets/d/14Bd19lYaqBhU8_DElYkX7l4wRkHqqCUFNJY4AfY3kHU/edit?usp=sharing  #gid=0"",""фіз особи new!relations_name_uo""),7,FALSE)
,
)
))"),"#N/A")</f>
        <v>#N/A</v>
      </c>
      <c r="J990" s="7" t="s">
        <v>28</v>
      </c>
    </row>
    <row r="991" spans="1:10" ht="13.2">
      <c r="A991" s="7">
        <v>990</v>
      </c>
      <c r="B991" s="7">
        <v>1</v>
      </c>
      <c r="C991" s="7" t="s">
        <v>10</v>
      </c>
      <c r="D991" s="7">
        <v>352</v>
      </c>
      <c r="E991" s="7" t="s">
        <v>29</v>
      </c>
      <c r="F991" s="8" t="str">
        <f ca="1">IFERROR(__xludf.DUMMYFUNCTION("IF
(
C992=""фізична особа""
,
VLOOKUP(D992,IMPORTRANGE(""https://docs.google.com/spreadsheets/d/14Bd19lYaqBhU8_DElYkX7l4wRkHqqCUFNJY4AfY3kHU/edit?usp=sharing  #gid=0"",""фіз особи new!relations_name""),6,FALSE)
,
(IF
(
C992=""юридична особа""
,
VLOOKUP(D9"&amp;"92,IMPORTRANGE(""https://docs.google.com/spreadsheets/d/14Bd19lYaqBhU8_DElYkX7l4wRkHqqCUFNJY4AfY3kHU/edit?usp=sharing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1" s="7" t="s">
        <v>10</v>
      </c>
      <c r="H991" s="7">
        <v>0</v>
      </c>
      <c r="I991" s="8" t="str">
        <f ca="1">IFERROR(__xludf.DUMMYFUNCTION("IF
(
G992=""фізична особа""
,
VLOOKUP(H992,IMPORTRANGE(""https://docs.google.com/spreadsheets/d/14Bd19lYaqBhU8_DElYkX7l4wRkHqqCUFNJY4AfY3kHU/edit?usp=sharing  #gid=0"",""фіз особи new!relations_name""),6,FALSE)
,
(IF
(
G992=""юридична особа""
,
VLOOKUP(H9"&amp;"92,IMPORTRANGE(""https://docs.google.com/spreadsheets/d/14Bd19lYaqBhU8_DElYkX7l4wRkHqqCUFNJY4AfY3kHU/edit?usp=sharing  #gid=0"",""фіз особи new!relations_name_uo""),7,FALSE)
,
)
))"),"#N/A")</f>
        <v>#N/A</v>
      </c>
      <c r="J991" s="7" t="s">
        <v>28</v>
      </c>
    </row>
    <row r="992" spans="1:10" ht="13.2">
      <c r="A992" s="7">
        <v>991</v>
      </c>
      <c r="B992" s="7">
        <v>1</v>
      </c>
      <c r="C992" s="7" t="s">
        <v>10</v>
      </c>
      <c r="D992" s="7">
        <v>352</v>
      </c>
      <c r="E992" s="7" t="s">
        <v>29</v>
      </c>
      <c r="F992" s="8" t="str">
        <f ca="1">IFERROR(__xludf.DUMMYFUNCTION("IF
(
C993=""фізична особа""
,
VLOOKUP(D993,IMPORTRANGE(""https://docs.google.com/spreadsheets/d/14Bd19lYaqBhU8_DElYkX7l4wRkHqqCUFNJY4AfY3kHU/edit?usp=sharing  #gid=0"",""фіз особи new!relations_name""),6,FALSE)
,
(IF
(
C993=""юридична особа""
,
VLOOKUP(D9"&amp;"93,IMPORTRANGE(""https://docs.google.com/spreadsheets/d/14Bd19lYaqBhU8_DElYkX7l4wRkHqqCUFNJY4AfY3kHU/edit?usp=sharing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2" s="7" t="s">
        <v>10</v>
      </c>
      <c r="H992" s="7">
        <v>0</v>
      </c>
      <c r="I992" s="8" t="str">
        <f ca="1">IFERROR(__xludf.DUMMYFUNCTION("IF
(
G993=""фізична особа""
,
VLOOKUP(H993,IMPORTRANGE(""https://docs.google.com/spreadsheets/d/14Bd19lYaqBhU8_DElYkX7l4wRkHqqCUFNJY4AfY3kHU/edit?usp=sharing  #gid=0"",""фіз особи new!relations_name""),6,FALSE)
,
(IF
(
G993=""юридична особа""
,
VLOOKUP(H9"&amp;"93,IMPORTRANGE(""https://docs.google.com/spreadsheets/d/14Bd19lYaqBhU8_DElYkX7l4wRkHqqCUFNJY4AfY3kHU/edit?usp=sharing  #gid=0"",""фіз особи new!relations_name_uo""),7,FALSE)
,
)
))"),"#N/A")</f>
        <v>#N/A</v>
      </c>
      <c r="J992" s="7" t="s">
        <v>28</v>
      </c>
    </row>
    <row r="993" spans="1:10" ht="13.2">
      <c r="A993" s="7">
        <v>992</v>
      </c>
      <c r="B993" s="7">
        <v>1</v>
      </c>
      <c r="C993" s="7" t="s">
        <v>10</v>
      </c>
      <c r="D993" s="7">
        <v>352</v>
      </c>
      <c r="E993" s="7" t="s">
        <v>29</v>
      </c>
      <c r="F993" s="8" t="str">
        <f ca="1">IFERROR(__xludf.DUMMYFUNCTION("IF
(
C994=""фізична особа""
,
VLOOKUP(D994,IMPORTRANGE(""https://docs.google.com/spreadsheets/d/14Bd19lYaqBhU8_DElYkX7l4wRkHqqCUFNJY4AfY3kHU/edit?usp=sharing  #gid=0"",""фіз особи new!relations_name""),6,FALSE)
,
(IF
(
C994=""юридична особа""
,
VLOOKUP(D9"&amp;"94,IMPORTRANGE(""https://docs.google.com/spreadsheets/d/14Bd19lYaqBhU8_DElYkX7l4wRkHqqCUFNJY4AfY3kHU/edit?usp=sharing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3" s="7" t="s">
        <v>10</v>
      </c>
      <c r="H993" s="7">
        <v>0</v>
      </c>
      <c r="I993" s="8" t="str">
        <f ca="1">IFERROR(__xludf.DUMMYFUNCTION("IF
(
G994=""фізична особа""
,
VLOOKUP(H994,IMPORTRANGE(""https://docs.google.com/spreadsheets/d/14Bd19lYaqBhU8_DElYkX7l4wRkHqqCUFNJY4AfY3kHU/edit?usp=sharing  #gid=0"",""фіз особи new!relations_name""),6,FALSE)
,
(IF
(
G994=""юридична особа""
,
VLOOKUP(H9"&amp;"94,IMPORTRANGE(""https://docs.google.com/spreadsheets/d/14Bd19lYaqBhU8_DElYkX7l4wRkHqqCUFNJY4AfY3kHU/edit?usp=sharing  #gid=0"",""фіз особи new!relations_name_uo""),7,FALSE)
,
)
))"),"#N/A")</f>
        <v>#N/A</v>
      </c>
      <c r="J993" s="7" t="s">
        <v>28</v>
      </c>
    </row>
    <row r="994" spans="1:10" ht="13.2">
      <c r="A994" s="7">
        <v>993</v>
      </c>
      <c r="B994" s="7">
        <v>1</v>
      </c>
      <c r="C994" s="7" t="s">
        <v>10</v>
      </c>
      <c r="D994" s="7">
        <v>352</v>
      </c>
      <c r="E994" s="7" t="s">
        <v>29</v>
      </c>
      <c r="F994" s="8" t="str">
        <f ca="1">IFERROR(__xludf.DUMMYFUNCTION("IF
(
C995=""фізична особа""
,
VLOOKUP(D995,IMPORTRANGE(""https://docs.google.com/spreadsheets/d/14Bd19lYaqBhU8_DElYkX7l4wRkHqqCUFNJY4AfY3kHU/edit?usp=sharing  #gid=0"",""фіз особи new!relations_name""),6,FALSE)
,
(IF
(
C995=""юридична особа""
,
VLOOKUP(D9"&amp;"95,IMPORTRANGE(""https://docs.google.com/spreadsheets/d/14Bd19lYaqBhU8_DElYkX7l4wRkHqqCUFNJY4AfY3kHU/edit?usp=sharing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4" s="7" t="s">
        <v>10</v>
      </c>
      <c r="H994" s="7">
        <v>0</v>
      </c>
      <c r="I994" s="8" t="str">
        <f ca="1">IFERROR(__xludf.DUMMYFUNCTION("IF
(
G995=""фізична особа""
,
VLOOKUP(H995,IMPORTRANGE(""https://docs.google.com/spreadsheets/d/14Bd19lYaqBhU8_DElYkX7l4wRkHqqCUFNJY4AfY3kHU/edit?usp=sharing  #gid=0"",""фіз особи new!relations_name""),6,FALSE)
,
(IF
(
G995=""юридична особа""
,
VLOOKUP(H9"&amp;"95,IMPORTRANGE(""https://docs.google.com/spreadsheets/d/14Bd19lYaqBhU8_DElYkX7l4wRkHqqCUFNJY4AfY3kHU/edit?usp=sharing  #gid=0"",""фіз особи new!relations_name_uo""),7,FALSE)
,
)
))"),"#N/A")</f>
        <v>#N/A</v>
      </c>
      <c r="J994" s="7" t="s">
        <v>28</v>
      </c>
    </row>
    <row r="995" spans="1:10" ht="13.2">
      <c r="A995" s="7">
        <v>994</v>
      </c>
      <c r="B995" s="7">
        <v>1</v>
      </c>
      <c r="C995" s="7" t="s">
        <v>10</v>
      </c>
      <c r="D995" s="7">
        <v>352</v>
      </c>
      <c r="E995" s="7" t="s">
        <v>29</v>
      </c>
      <c r="F995" s="8" t="str">
        <f ca="1">IFERROR(__xludf.DUMMYFUNCTION("IF
(
C996=""фізична особа""
,
VLOOKUP(D996,IMPORTRANGE(""https://docs.google.com/spreadsheets/d/14Bd19lYaqBhU8_DElYkX7l4wRkHqqCUFNJY4AfY3kHU/edit?usp=sharing  #gid=0"",""фіз особи new!relations_name""),6,FALSE)
,
(IF
(
C996=""юридична особа""
,
VLOOKUP(D9"&amp;"96,IMPORTRANGE(""https://docs.google.com/spreadsheets/d/14Bd19lYaqBhU8_DElYkX7l4wRkHqqCUFNJY4AfY3kHU/edit?usp=sharing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5" s="7" t="s">
        <v>10</v>
      </c>
      <c r="H995" s="7">
        <v>0</v>
      </c>
      <c r="I995" s="8" t="str">
        <f ca="1">IFERROR(__xludf.DUMMYFUNCTION("IF
(
G996=""фізична особа""
,
VLOOKUP(H996,IMPORTRANGE(""https://docs.google.com/spreadsheets/d/14Bd19lYaqBhU8_DElYkX7l4wRkHqqCUFNJY4AfY3kHU/edit?usp=sharing  #gid=0"",""фіз особи new!relations_name""),6,FALSE)
,
(IF
(
G996=""юридична особа""
,
VLOOKUP(H9"&amp;"96,IMPORTRANGE(""https://docs.google.com/spreadsheets/d/14Bd19lYaqBhU8_DElYkX7l4wRkHqqCUFNJY4AfY3kHU/edit?usp=sharing  #gid=0"",""фіз особи new!relations_name_uo""),7,FALSE)
,
)
))"),"#N/A")</f>
        <v>#N/A</v>
      </c>
      <c r="J995" s="7" t="s">
        <v>28</v>
      </c>
    </row>
    <row r="996" spans="1:10" ht="13.2">
      <c r="A996" s="7">
        <v>995</v>
      </c>
      <c r="B996" s="7">
        <v>1</v>
      </c>
      <c r="C996" s="7" t="s">
        <v>10</v>
      </c>
      <c r="D996" s="7">
        <v>352</v>
      </c>
      <c r="E996" s="7" t="s">
        <v>29</v>
      </c>
      <c r="F996" s="8" t="str">
        <f ca="1">IFERROR(__xludf.DUMMYFUNCTION("IF
(
C997=""фізична особа""
,
VLOOKUP(D997,IMPORTRANGE(""https://docs.google.com/spreadsheets/d/14Bd19lYaqBhU8_DElYkX7l4wRkHqqCUFNJY4AfY3kHU/edit?usp=sharing  #gid=0"",""фіз особи new!relations_name""),6,FALSE)
,
(IF
(
C997=""юридична особа""
,
VLOOKUP(D9"&amp;"97,IMPORTRANGE(""https://docs.google.com/spreadsheets/d/14Bd19lYaqBhU8_DElYkX7l4wRkHqqCUFNJY4AfY3kHU/edit?usp=sharing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6" s="7" t="s">
        <v>10</v>
      </c>
      <c r="H996" s="7">
        <v>0</v>
      </c>
      <c r="I996" s="8" t="str">
        <f ca="1">IFERROR(__xludf.DUMMYFUNCTION("IF
(
G997=""фізична особа""
,
VLOOKUP(H997,IMPORTRANGE(""https://docs.google.com/spreadsheets/d/14Bd19lYaqBhU8_DElYkX7l4wRkHqqCUFNJY4AfY3kHU/edit?usp=sharing  #gid=0"",""фіз особи new!relations_name""),6,FALSE)
,
(IF
(
G997=""юридична особа""
,
VLOOKUP(H9"&amp;"97,IMPORTRANGE(""https://docs.google.com/spreadsheets/d/14Bd19lYaqBhU8_DElYkX7l4wRkHqqCUFNJY4AfY3kHU/edit?usp=sharing  #gid=0"",""фіз особи new!relations_name_uo""),7,FALSE)
,
)
))"),"#N/A")</f>
        <v>#N/A</v>
      </c>
      <c r="J996" s="7" t="s">
        <v>28</v>
      </c>
    </row>
    <row r="997" spans="1:10" ht="13.2">
      <c r="A997" s="7">
        <v>996</v>
      </c>
      <c r="B997" s="7">
        <v>1</v>
      </c>
      <c r="C997" s="7" t="s">
        <v>10</v>
      </c>
      <c r="D997" s="7">
        <v>352</v>
      </c>
      <c r="E997" s="7" t="s">
        <v>29</v>
      </c>
      <c r="F997" s="8" t="str">
        <f ca="1">IFERROR(__xludf.DUMMYFUNCTION("IF
(
C998=""фізична особа""
,
VLOOKUP(D998,IMPORTRANGE(""https://docs.google.com/spreadsheets/d/14Bd19lYaqBhU8_DElYkX7l4wRkHqqCUFNJY4AfY3kHU/edit?usp=sharing  #gid=0"",""фіз особи new!relations_name""),6,FALSE)
,
(IF
(
C998=""юридична особа""
,
VLOOKUP(D9"&amp;"98,IMPORTRANGE(""https://docs.google.com/spreadsheets/d/14Bd19lYaqBhU8_DElYkX7l4wRkHqqCUFNJY4AfY3kHU/edit?usp=sharing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7" s="7" t="s">
        <v>10</v>
      </c>
      <c r="H997" s="7">
        <v>0</v>
      </c>
      <c r="I997" s="8" t="str">
        <f ca="1">IFERROR(__xludf.DUMMYFUNCTION("IF
(
G998=""фізична особа""
,
VLOOKUP(H998,IMPORTRANGE(""https://docs.google.com/spreadsheets/d/14Bd19lYaqBhU8_DElYkX7l4wRkHqqCUFNJY4AfY3kHU/edit?usp=sharing  #gid=0"",""фіз особи new!relations_name""),6,FALSE)
,
(IF
(
G998=""юридична особа""
,
VLOOKUP(H9"&amp;"98,IMPORTRANGE(""https://docs.google.com/spreadsheets/d/14Bd19lYaqBhU8_DElYkX7l4wRkHqqCUFNJY4AfY3kHU/edit?usp=sharing  #gid=0"",""фіз особи new!relations_name_uo""),7,FALSE)
,
)
))"),"#N/A")</f>
        <v>#N/A</v>
      </c>
      <c r="J997" s="7" t="s">
        <v>28</v>
      </c>
    </row>
    <row r="998" spans="1:10" ht="13.2">
      <c r="A998" s="7">
        <v>997</v>
      </c>
      <c r="B998" s="7">
        <v>1</v>
      </c>
      <c r="C998" s="7" t="s">
        <v>10</v>
      </c>
      <c r="D998" s="7">
        <v>352</v>
      </c>
      <c r="E998" s="7" t="s">
        <v>29</v>
      </c>
      <c r="F998" s="8" t="str">
        <f ca="1">IFERROR(__xludf.DUMMYFUNCTION("IF
(
C999=""фізична особа""
,
VLOOKUP(D999,IMPORTRANGE(""https://docs.google.com/spreadsheets/d/14Bd19lYaqBhU8_DElYkX7l4wRkHqqCUFNJY4AfY3kHU/edit?usp=sharing  #gid=0"",""фіз особи new!relations_name""),6,FALSE)
,
(IF
(
C999=""юридична особа""
,
VLOOKUP(D9"&amp;"99,IMPORTRANGE(""https://docs.google.com/spreadsheets/d/14Bd19lYaqBhU8_DElYkX7l4wRkHqqCUFNJY4AfY3kHU/edit?usp=sharing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8" s="7" t="s">
        <v>10</v>
      </c>
      <c r="H998" s="7">
        <v>0</v>
      </c>
      <c r="I998" s="8" t="str">
        <f ca="1">IFERROR(__xludf.DUMMYFUNCTION("IF
(
G999=""фізична особа""
,
VLOOKUP(H999,IMPORTRANGE(""https://docs.google.com/spreadsheets/d/14Bd19lYaqBhU8_DElYkX7l4wRkHqqCUFNJY4AfY3kHU/edit?usp=sharing  #gid=0"",""фіз особи new!relations_name""),6,FALSE)
,
(IF
(
G999=""юридична особа""
,
VLOOKUP(H9"&amp;"99,IMPORTRANGE(""https://docs.google.com/spreadsheets/d/14Bd19lYaqBhU8_DElYkX7l4wRkHqqCUFNJY4AfY3kHU/edit?usp=sharing  #gid=0"",""фіз особи new!relations_name_uo""),7,FALSE)
,
)
))"),"#N/A")</f>
        <v>#N/A</v>
      </c>
      <c r="J998" s="7" t="s">
        <v>28</v>
      </c>
    </row>
    <row r="999" spans="1:10" ht="13.2">
      <c r="A999" s="7">
        <v>998</v>
      </c>
      <c r="B999" s="7">
        <v>1</v>
      </c>
      <c r="C999" s="7" t="s">
        <v>10</v>
      </c>
      <c r="D999" s="7">
        <v>352</v>
      </c>
      <c r="E999" s="7" t="s">
        <v>29</v>
      </c>
      <c r="F999" s="8" t="str">
        <f ca="1">IFERROR(__xludf.DUMMYFUNCTION("IF
(
C1000=""фізична особа""
,
VLOOKUP(D1000,IMPORTRANGE(""https://docs.google.com/spreadsheets/d/14Bd19lYaqBhU8_DElYkX7l4wRkHqqCUFNJY4AfY3kHU/edit?usp=sharing  #gid=0"",""фіз особи new!relations_name""),6,FALSE)
,
(IF
(
C1000=""юридична особа""
,
VLOOKUP"&amp;"(D1000,IMPORTRANGE(""https://docs.google.com/spreadsheets/d/14Bd19lYaqBhU8_DElYkX7l4wRkHqqCUFNJY4AfY3kHU/edit?usp=sharing  #gid=0"",""фіз особи new!relations_name_uo""),7,FALSE)
,
)
))"),"ТЕРТЕЛЬ Іван Станіславович")</f>
        <v>ТЕРТЕЛЬ Іван Станіславович</v>
      </c>
      <c r="G999" s="7" t="s">
        <v>10</v>
      </c>
      <c r="H999" s="7">
        <v>0</v>
      </c>
      <c r="I999" s="8" t="str">
        <f ca="1">IFERROR(__xludf.DUMMYFUNCTION("IF
(
G1000=""фізична особа""
,
VLOOKUP(H1000,IMPORTRANGE(""https://docs.google.com/spreadsheets/d/14Bd19lYaqBhU8_DElYkX7l4wRkHqqCUFNJY4AfY3kHU/edit?usp=sharing  #gid=0"",""фіз особи new!relations_name""),6,FALSE)
,
(IF
(
G1000=""юридична особа""
,
VLOOKUP"&amp;"(H1000,IMPORTRANGE(""https://docs.google.com/spreadsheets/d/14Bd19lYaqBhU8_DElYkX7l4wRkHqqCUFNJY4AfY3kHU/edit?usp=sharing  #gid=0"",""фіз особи new!relations_name_uo""),7,FALSE)
,
)
))"),"#N/A")</f>
        <v>#N/A</v>
      </c>
      <c r="J999" s="7" t="s">
        <v>28</v>
      </c>
    </row>
    <row r="1000" spans="1:10" ht="13.2">
      <c r="A1000" s="7">
        <v>999</v>
      </c>
      <c r="B1000" s="7">
        <v>1</v>
      </c>
      <c r="C1000" s="7" t="s">
        <v>10</v>
      </c>
      <c r="D1000" s="7">
        <v>353</v>
      </c>
      <c r="E1000" s="7" t="s">
        <v>35</v>
      </c>
      <c r="F1000" s="8" t="str">
        <f ca="1">IFERROR(__xludf.DUMMYFUNCTION("IF
(
C1001=""фізична особа""
,
VLOOKUP(D1001,IMPORTRANGE(""https://docs.google.com/spreadsheets/d/14Bd19lYaqBhU8_DElYkX7l4wRkHqqCUFNJY4AfY3kHU/edit?usp=sharing  #gid=0"",""фіз особи new!relations_name""),6,FALSE)
,
(IF
(
C1001=""юридична особа""
,
VLOOKUP"&amp;"(D1001,IMPORTRANGE(""https://docs.google.com/spreadsheets/d/14Bd19lYaqBhU8_DElYkX7l4wRkHqqCUFNJY4AfY3kHU/edit?usp=sharing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G1000" s="7" t="s">
        <v>10</v>
      </c>
      <c r="H1000" s="7">
        <v>417</v>
      </c>
      <c r="I1000" s="8" t="str">
        <f ca="1">IFERROR(__xludf.DUMMYFUNCTION("IF
(
G1001=""фізична особа""
,
VLOOKUP(H1001,IMPORTRANGE(""https://docs.google.com/spreadsheets/d/14Bd19lYaqBhU8_DElYkX7l4wRkHqqCUFNJY4AfY3kHU/edit?usp=sharing  #gid=0"",""фіз особи new!relations_name""),6,FALSE)
,
(IF
(
G1001=""юридична особа""
,
VLOOKUP"&amp;"(H1001,IMPORTRANGE(""https://docs.google.com/spreadsheets/d/14Bd19lYaqBhU8_DElYkX7l4wRkHqqCUFNJY4AfY3kHU/edit?usp=sharing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J1000" s="7" t="s">
        <v>35</v>
      </c>
    </row>
    <row r="1001" spans="1:10" ht="13.2">
      <c r="A1001" s="7">
        <v>1000</v>
      </c>
      <c r="B1001" s="7">
        <v>1</v>
      </c>
      <c r="C1001" s="7" t="s">
        <v>10</v>
      </c>
      <c r="D1001" s="7">
        <v>353</v>
      </c>
      <c r="E1001" s="7" t="s">
        <v>35</v>
      </c>
      <c r="F1001" s="8" t="str">
        <f ca="1">IFERROR(__xludf.DUMMYFUNCTION("IF
(
C1002=""фізична особа""
,
VLOOKUP(D1002,IMPORTRANGE(""https://docs.google.com/spreadsheets/d/14Bd19lYaqBhU8_DElYkX7l4wRkHqqCUFNJY4AfY3kHU/edit?usp=sharing  #gid=0"",""фіз особи new!relations_name""),6,FALSE)
,
(IF
(
C1002=""юридична особа""
,
VLOOKUP"&amp;"(D1002,IMPORTRANGE(""https://docs.google.com/spreadsheets/d/14Bd19lYaqBhU8_DElYkX7l4wRkHqqCUFNJY4AfY3kHU/edit?usp=sharing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G1001" s="7" t="s">
        <v>10</v>
      </c>
      <c r="H1001" s="7">
        <v>152</v>
      </c>
      <c r="I1001" s="8" t="str">
        <f ca="1">IFERROR(__xludf.DUMMYFUNCTION("IF
(
G1002=""фізична особа""
,
VLOOKUP(H1002,IMPORTRANGE(""https://docs.google.com/spreadsheets/d/14Bd19lYaqBhU8_DElYkX7l4wRkHqqCUFNJY4AfY3kHU/edit?usp=sharing  #gid=0"",""фіз особи new!relations_name""),6,FALSE)
,
(IF
(
G1002=""юридична особа""
,
VLOOKUP"&amp;"(H1002,IMPORTRANGE(""https://docs.google.com/spreadsheets/d/14Bd19lYaqBhU8_DElYkX7l4wRkHqqCUFNJY4AfY3kHU/edit?usp=sharing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J1001" s="7" t="s">
        <v>35</v>
      </c>
    </row>
    <row r="1002" spans="1:10" ht="13.2">
      <c r="A1002" s="7">
        <v>1001</v>
      </c>
      <c r="B1002" s="7">
        <v>1</v>
      </c>
      <c r="C1002" s="7" t="s">
        <v>10</v>
      </c>
      <c r="D1002" s="7">
        <v>353</v>
      </c>
      <c r="E1002" s="7" t="s">
        <v>28</v>
      </c>
      <c r="F1002" s="8" t="str">
        <f ca="1">IFERROR(__xludf.DUMMYFUNCTION("IF
(
C1003=""фізична особа""
,
VLOOKUP(D1003,IMPORTRANGE(""https://docs.google.com/spreadsheets/d/14Bd19lYaqBhU8_DElYkX7l4wRkHqqCUFNJY4AfY3kHU/edit?usp=sharing  #gid=0"",""фіз особи new!relations_name""),6,FALSE)
,
(IF
(
C1003=""юридична особа""
,
VLOOKUP"&amp;"(D1003,IMPORTRANGE(""https://docs.google.com/spreadsheets/d/14Bd19lYaqBhU8_DElYkX7l4wRkHqqCUFNJY4AfY3kHU/edit?usp=sharing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G1002" s="7" t="s">
        <v>10</v>
      </c>
      <c r="H1002" s="7">
        <v>258</v>
      </c>
      <c r="I1002" s="8" t="str">
        <f ca="1">IFERROR(__xludf.DUMMYFUNCTION("IF
(
G1003=""фізична особа""
,
VLOOKUP(H1003,IMPORTRANGE(""https://docs.google.com/spreadsheets/d/14Bd19lYaqBhU8_DElYkX7l4wRkHqqCUFNJY4AfY3kHU/edit?usp=sharing  #gid=0"",""фіз особи new!relations_name""),6,FALSE)
,
(IF
(
G1003=""юридична особа""
,
VLOOKUP"&amp;"(H1003,IMPORTRANGE(""https://docs.google.com/spreadsheets/d/14Bd19lYaqBhU8_DElYkX7l4wRkHqqCUFNJY4AfY3kHU/edit?usp=sharing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J1002" s="7" t="s">
        <v>29</v>
      </c>
    </row>
    <row r="1003" spans="1:10" ht="13.2">
      <c r="A1003" s="7">
        <v>1002</v>
      </c>
      <c r="B1003" s="7">
        <v>1</v>
      </c>
      <c r="C1003" s="7" t="s">
        <v>10</v>
      </c>
      <c r="D1003" s="7">
        <v>354</v>
      </c>
      <c r="E1003" s="7" t="s">
        <v>48</v>
      </c>
      <c r="F1003" s="8" t="str">
        <f ca="1">IFERROR(__xludf.DUMMYFUNCTION("IF
(
C1004=""фізична особа""
,
VLOOKUP(D1004,IMPORTRANGE(""https://docs.google.com/spreadsheets/d/14Bd19lYaqBhU8_DElYkX7l4wRkHqqCUFNJY4AfY3kHU/edit?usp=sharing  #gid=0"",""фіз особи new!relations_name""),6,FALSE)
,
(IF
(
C1004=""юридична особа""
,
VLOOKUP"&amp;"(D1004,IMPORTRANGE(""https://docs.google.com/spreadsheets/d/14Bd19lYaqBhU8_DElYkX7l4wRkHqqCUFNJY4AfY3kHU/edit?usp=sharing  #gid=0"",""фіз особи new!relations_name_uo""),7,FALSE)
,
)
))"),"КАЛАШНІКОВ Леонід Іванович")</f>
        <v>КАЛАШНІКОВ Леонід Іванович</v>
      </c>
      <c r="G1003" s="7" t="s">
        <v>10</v>
      </c>
      <c r="H1003" s="7">
        <v>267</v>
      </c>
      <c r="I1003" s="8" t="str">
        <f ca="1">IFERROR(__xludf.DUMMYFUNCTION("IF
(
G1004=""фізична особа""
,
VLOOKUP(H1004,IMPORTRANGE(""https://docs.google.com/spreadsheets/d/14Bd19lYaqBhU8_DElYkX7l4wRkHqqCUFNJY4AfY3kHU/edit?usp=sharing  #gid=0"",""фіз особи new!relations_name""),6,FALSE)
,
(IF
(
G1004=""юридична особа""
,
VLOOKUP"&amp;"(H1004,IMPORTRANGE(""https://docs.google.com/spreadsheets/d/14Bd19lYaqBhU8_DElYkX7l4wRkHqqCUFNJY4AfY3kHU/edit?usp=sharing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1003" s="7" t="s">
        <v>48</v>
      </c>
    </row>
    <row r="1004" spans="1:10" ht="13.2">
      <c r="A1004" s="7">
        <v>1003</v>
      </c>
      <c r="B1004" s="7">
        <v>1</v>
      </c>
      <c r="C1004" s="7" t="s">
        <v>10</v>
      </c>
      <c r="D1004" s="7">
        <v>355</v>
      </c>
      <c r="E1004" s="7" t="s">
        <v>28</v>
      </c>
      <c r="F1004" s="8" t="str">
        <f ca="1">IFERROR(__xludf.DUMMYFUNCTION("IF
(
C1005=""фізична особа""
,
VLOOKUP(D1005,IMPORTRANGE(""https://docs.google.com/spreadsheets/d/14Bd19lYaqBhU8_DElYkX7l4wRkHqqCUFNJY4AfY3kHU/edit?usp=sharing  #gid=0"",""фіз особи new!relations_name""),6,FALSE)
,
(IF
(
C1005=""юридична особа""
,
VLOOKUP"&amp;"(D1005,IMPORTRANGE(""https://docs.google.com/spreadsheets/d/14Bd19lYaqBhU8_DElYkX7l4wRkHqqCUFNJY4AfY3kHU/edit?usp=sharing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4" s="7" t="s">
        <v>10</v>
      </c>
      <c r="H1004" s="7">
        <v>367</v>
      </c>
      <c r="I1004" s="8" t="str">
        <f ca="1">IFERROR(__xludf.DUMMYFUNCTION("IF
(
G1005=""фізична особа""
,
VLOOKUP(H1005,IMPORTRANGE(""https://docs.google.com/spreadsheets/d/14Bd19lYaqBhU8_DElYkX7l4wRkHqqCUFNJY4AfY3kHU/edit?usp=sharing  #gid=0"",""фіз особи new!relations_name""),6,FALSE)
,
(IF
(
G1005=""юридична особа""
,
VLOOKUP"&amp;"(H1005,IMPORTRANGE(""https://docs.google.com/spreadsheets/d/14Bd19lYaqBhU8_DElYkX7l4wRkHqqCUFNJY4AfY3kHU/edit?usp=sharing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1004" s="7" t="s">
        <v>29</v>
      </c>
    </row>
    <row r="1005" spans="1:10" ht="13.2">
      <c r="A1005" s="7">
        <v>1004</v>
      </c>
      <c r="B1005" s="7">
        <v>1</v>
      </c>
      <c r="C1005" s="7" t="s">
        <v>10</v>
      </c>
      <c r="D1005" s="7">
        <v>355</v>
      </c>
      <c r="E1005" s="7" t="s">
        <v>35</v>
      </c>
      <c r="F1005" s="8" t="str">
        <f ca="1">IFERROR(__xludf.DUMMYFUNCTION("IF
(
C1006=""фізична особа""
,
VLOOKUP(D1006,IMPORTRANGE(""https://docs.google.com/spreadsheets/d/14Bd19lYaqBhU8_DElYkX7l4wRkHqqCUFNJY4AfY3kHU/edit?usp=sharing  #gid=0"",""фіз особи new!relations_name""),6,FALSE)
,
(IF
(
C1006=""юридична особа""
,
VLOOKUP"&amp;"(D1006,IMPORTRANGE(""https://docs.google.com/spreadsheets/d/14Bd19lYaqBhU8_DElYkX7l4wRkHqqCUFNJY4AfY3kHU/edit?usp=sharing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5" s="7" t="s">
        <v>10</v>
      </c>
      <c r="H1005" s="7">
        <v>489</v>
      </c>
      <c r="I1005" s="8" t="str">
        <f ca="1">IFERROR(__xludf.DUMMYFUNCTION("IF
(
G1006=""фізична особа""
,
VLOOKUP(H1006,IMPORTRANGE(""https://docs.google.com/spreadsheets/d/14Bd19lYaqBhU8_DElYkX7l4wRkHqqCUFNJY4AfY3kHU/edit?usp=sharing  #gid=0"",""фіз особи new!relations_name""),6,FALSE)
,
(IF
(
G1006=""юридична особа""
,
VLOOKUP"&amp;"(H1006,IMPORTRANGE(""https://docs.google.com/spreadsheets/d/14Bd19lYaqBhU8_DElYkX7l4wRkHqqCUFNJY4AfY3kHU/edit?usp=sharing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1005" s="7" t="s">
        <v>35</v>
      </c>
    </row>
    <row r="1006" spans="1:10" ht="13.2">
      <c r="A1006" s="7">
        <v>1005</v>
      </c>
      <c r="B1006" s="7">
        <v>1</v>
      </c>
      <c r="C1006" s="7" t="s">
        <v>10</v>
      </c>
      <c r="D1006" s="7">
        <v>355</v>
      </c>
      <c r="E1006" s="7" t="s">
        <v>28</v>
      </c>
      <c r="F1006" s="8" t="str">
        <f ca="1">IFERROR(__xludf.DUMMYFUNCTION("IF
(
C1007=""фізична особа""
,
VLOOKUP(D1007,IMPORTRANGE(""https://docs.google.com/spreadsheets/d/14Bd19lYaqBhU8_DElYkX7l4wRkHqqCUFNJY4AfY3kHU/edit?usp=sharing  #gid=0"",""фіз особи new!relations_name""),6,FALSE)
,
(IF
(
C1007=""юридична особа""
,
VLOOKUP"&amp;"(D1007,IMPORTRANGE(""https://docs.google.com/spreadsheets/d/14Bd19lYaqBhU8_DElYkX7l4wRkHqqCUFNJY4AfY3kHU/edit?usp=sharing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6" s="7" t="s">
        <v>10</v>
      </c>
      <c r="H1006" s="7">
        <v>320</v>
      </c>
      <c r="I1006" s="8" t="str">
        <f ca="1">IFERROR(__xludf.DUMMYFUNCTION("IF
(
G1007=""фізична особа""
,
VLOOKUP(H1007,IMPORTRANGE(""https://docs.google.com/spreadsheets/d/14Bd19lYaqBhU8_DElYkX7l4wRkHqqCUFNJY4AfY3kHU/edit?usp=sharing  #gid=0"",""фіз особи new!relations_name""),6,FALSE)
,
(IF
(
G1007=""юридична особа""
,
VLOOKUP"&amp;"(H1007,IMPORTRANGE(""https://docs.google.com/spreadsheets/d/14Bd19lYaqBhU8_DElYkX7l4wRkHqqCUFNJY4AfY3kHU/edit?usp=sharing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006" s="7" t="s">
        <v>29</v>
      </c>
    </row>
    <row r="1007" spans="1:10" ht="13.2">
      <c r="A1007" s="7">
        <v>1006</v>
      </c>
      <c r="B1007" s="7">
        <v>1</v>
      </c>
      <c r="C1007" s="7" t="s">
        <v>10</v>
      </c>
      <c r="D1007" s="7">
        <v>355</v>
      </c>
      <c r="E1007" s="7" t="s">
        <v>28</v>
      </c>
      <c r="F1007" s="8" t="str">
        <f ca="1">IFERROR(__xludf.DUMMYFUNCTION("IF
(
C1008=""фізична особа""
,
VLOOKUP(D1008,IMPORTRANGE(""https://docs.google.com/spreadsheets/d/14Bd19lYaqBhU8_DElYkX7l4wRkHqqCUFNJY4AfY3kHU/edit?usp=sharing  #gid=0"",""фіз особи new!relations_name""),6,FALSE)
,
(IF
(
C1008=""юридична особа""
,
VLOOKUP"&amp;"(D1008,IMPORTRANGE(""https://docs.google.com/spreadsheets/d/14Bd19lYaqBhU8_DElYkX7l4wRkHqqCUFNJY4AfY3kHU/edit?usp=sharing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7" s="7" t="s">
        <v>10</v>
      </c>
      <c r="H1007" s="7">
        <v>531</v>
      </c>
      <c r="I1007" s="8" t="str">
        <f ca="1">IFERROR(__xludf.DUMMYFUNCTION("IF
(
G1008=""фізична особа""
,
VLOOKUP(H1008,IMPORTRANGE(""https://docs.google.com/spreadsheets/d/14Bd19lYaqBhU8_DElYkX7l4wRkHqqCUFNJY4AfY3kHU/edit?usp=sharing  #gid=0"",""фіз особи new!relations_name""),6,FALSE)
,
(IF
(
G1008=""юридична особа""
,
VLOOKUP"&amp;"(H1008,IMPORTRANGE(""https://docs.google.com/spreadsheets/d/14Bd19lYaqBhU8_DElYkX7l4wRkHqqCUFNJY4AfY3kHU/edit?usp=sharing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1007" s="7" t="s">
        <v>29</v>
      </c>
    </row>
    <row r="1008" spans="1:10" ht="13.2">
      <c r="A1008" s="7">
        <v>1007</v>
      </c>
      <c r="B1008" s="7">
        <v>1</v>
      </c>
      <c r="C1008" s="7" t="s">
        <v>10</v>
      </c>
      <c r="D1008" s="7">
        <v>355</v>
      </c>
      <c r="E1008" s="7" t="s">
        <v>35</v>
      </c>
      <c r="F1008" s="8" t="str">
        <f ca="1">IFERROR(__xludf.DUMMYFUNCTION("IF
(
C1009=""фізична особа""
,
VLOOKUP(D1009,IMPORTRANGE(""https://docs.google.com/spreadsheets/d/14Bd19lYaqBhU8_DElYkX7l4wRkHqqCUFNJY4AfY3kHU/edit?usp=sharing  #gid=0"",""фіз особи new!relations_name""),6,FALSE)
,
(IF
(
C1009=""юридична особа""
,
VLOOKUP"&amp;"(D1009,IMPORTRANGE(""https://docs.google.com/spreadsheets/d/14Bd19lYaqBhU8_DElYkX7l4wRkHqqCUFNJY4AfY3kHU/edit?usp=sharing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8" s="7" t="s">
        <v>10</v>
      </c>
      <c r="H1008" s="7">
        <v>385</v>
      </c>
      <c r="I1008" s="8" t="str">
        <f ca="1">IFERROR(__xludf.DUMMYFUNCTION("IF
(
G1009=""фізична особа""
,
VLOOKUP(H1009,IMPORTRANGE(""https://docs.google.com/spreadsheets/d/14Bd19lYaqBhU8_DElYkX7l4wRkHqqCUFNJY4AfY3kHU/edit?usp=sharing  #gid=0"",""фіз особи new!relations_name""),6,FALSE)
,
(IF
(
G1009=""юридична особа""
,
VLOOKUP"&amp;"(H1009,IMPORTRANGE(""https://docs.google.com/spreadsheets/d/14Bd19lYaqBhU8_DElYkX7l4wRkHqqCUFNJY4AfY3kHU/edit?usp=sharing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1008" s="7" t="s">
        <v>35</v>
      </c>
    </row>
    <row r="1009" spans="1:10" ht="13.2">
      <c r="A1009" s="7">
        <v>1008</v>
      </c>
      <c r="B1009" s="7">
        <v>1</v>
      </c>
      <c r="C1009" s="7" t="s">
        <v>10</v>
      </c>
      <c r="D1009" s="7">
        <v>355</v>
      </c>
      <c r="E1009" s="7" t="s">
        <v>35</v>
      </c>
      <c r="F1009" s="8" t="str">
        <f ca="1">IFERROR(__xludf.DUMMYFUNCTION("IF
(
C1010=""фізична особа""
,
VLOOKUP(D1010,IMPORTRANGE(""https://docs.google.com/spreadsheets/d/14Bd19lYaqBhU8_DElYkX7l4wRkHqqCUFNJY4AfY3kHU/edit?usp=sharing  #gid=0"",""фіз особи new!relations_name""),6,FALSE)
,
(IF
(
C1010=""юридична особа""
,
VLOOKUP"&amp;"(D1010,IMPORTRANGE(""https://docs.google.com/spreadsheets/d/14Bd19lYaqBhU8_DElYkX7l4wRkHqqCUFNJY4AfY3kHU/edit?usp=sharing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09" s="7" t="s">
        <v>10</v>
      </c>
      <c r="H1009" s="7">
        <v>794</v>
      </c>
      <c r="I1009" s="8" t="str">
        <f ca="1">IFERROR(__xludf.DUMMYFUNCTION("IF
(
G1010=""фізична особа""
,
VLOOKUP(H1010,IMPORTRANGE(""https://docs.google.com/spreadsheets/d/14Bd19lYaqBhU8_DElYkX7l4wRkHqqCUFNJY4AfY3kHU/edit?usp=sharing  #gid=0"",""фіз особи new!relations_name""),6,FALSE)
,
(IF
(
G1010=""юридична особа""
,
VLOOKUP"&amp;"(H1010,IMPORTRANGE(""https://docs.google.com/spreadsheets/d/14Bd19lYaqBhU8_DElYkX7l4wRkHqqCUFNJY4AfY3kHU/edit?usp=sharing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009" s="7" t="s">
        <v>35</v>
      </c>
    </row>
    <row r="1010" spans="1:10" ht="13.2">
      <c r="A1010" s="7">
        <v>1009</v>
      </c>
      <c r="B1010" s="7">
        <v>1</v>
      </c>
      <c r="C1010" s="7" t="s">
        <v>10</v>
      </c>
      <c r="D1010" s="7">
        <v>355</v>
      </c>
      <c r="E1010" s="7" t="s">
        <v>35</v>
      </c>
      <c r="F1010" s="8" t="str">
        <f ca="1">IFERROR(__xludf.DUMMYFUNCTION("IF
(
C1011=""фізична особа""
,
VLOOKUP(D1011,IMPORTRANGE(""https://docs.google.com/spreadsheets/d/14Bd19lYaqBhU8_DElYkX7l4wRkHqqCUFNJY4AfY3kHU/edit?usp=sharing  #gid=0"",""фіз особи new!relations_name""),6,FALSE)
,
(IF
(
C1011=""юридична особа""
,
VLOOKUP"&amp;"(D1011,IMPORTRANGE(""https://docs.google.com/spreadsheets/d/14Bd19lYaqBhU8_DElYkX7l4wRkHqqCUFNJY4AfY3kHU/edit?usp=sharing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10" s="7" t="s">
        <v>10</v>
      </c>
      <c r="H1010" s="7">
        <v>754</v>
      </c>
      <c r="I1010" s="8" t="str">
        <f ca="1">IFERROR(__xludf.DUMMYFUNCTION("IF
(
G1011=""фізична особа""
,
VLOOKUP(H1011,IMPORTRANGE(""https://docs.google.com/spreadsheets/d/14Bd19lYaqBhU8_DElYkX7l4wRkHqqCUFNJY4AfY3kHU/edit?usp=sharing  #gid=0"",""фіз особи new!relations_name""),6,FALSE)
,
(IF
(
G1011=""юридична особа""
,
VLOOKUP"&amp;"(H1011,IMPORTRANGE(""https://docs.google.com/spreadsheets/d/14Bd19lYaqBhU8_DElYkX7l4wRkHqqCUFNJY4AfY3kHU/edit?usp=sharing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1010" s="7" t="s">
        <v>35</v>
      </c>
    </row>
    <row r="1011" spans="1:10" ht="13.2">
      <c r="A1011" s="7">
        <v>1010</v>
      </c>
      <c r="B1011" s="7">
        <v>1</v>
      </c>
      <c r="C1011" s="7" t="s">
        <v>10</v>
      </c>
      <c r="D1011" s="7">
        <v>355</v>
      </c>
      <c r="E1011" s="7" t="s">
        <v>28</v>
      </c>
      <c r="F1011" s="8" t="str">
        <f ca="1">IFERROR(__xludf.DUMMYFUNCTION("IF
(
C1012=""фізична особа""
,
VLOOKUP(D1012,IMPORTRANGE(""https://docs.google.com/spreadsheets/d/14Bd19lYaqBhU8_DElYkX7l4wRkHqqCUFNJY4AfY3kHU/edit?usp=sharing  #gid=0"",""фіз особи new!relations_name""),6,FALSE)
,
(IF
(
C1012=""юридична особа""
,
VLOOKUP"&amp;"(D1012,IMPORTRANGE(""https://docs.google.com/spreadsheets/d/14Bd19lYaqBhU8_DElYkX7l4wRkHqqCUFNJY4AfY3kHU/edit?usp=sharing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G1011" s="7" t="s">
        <v>10</v>
      </c>
      <c r="H1011" s="7">
        <v>386</v>
      </c>
      <c r="I1011" s="8" t="str">
        <f ca="1">IFERROR(__xludf.DUMMYFUNCTION("IF
(
G1012=""фізична особа""
,
VLOOKUP(H1012,IMPORTRANGE(""https://docs.google.com/spreadsheets/d/14Bd19lYaqBhU8_DElYkX7l4wRkHqqCUFNJY4AfY3kHU/edit?usp=sharing  #gid=0"",""фіз особи new!relations_name""),6,FALSE)
,
(IF
(
G1012=""юридична особа""
,
VLOOKUP"&amp;"(H1012,IMPORTRANGE(""https://docs.google.com/spreadsheets/d/14Bd19lYaqBhU8_DElYkX7l4wRkHqqCUFNJY4AfY3kHU/edit?usp=sharing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1011" s="7" t="s">
        <v>29</v>
      </c>
    </row>
    <row r="1012" spans="1:10" ht="13.2">
      <c r="A1012" s="7">
        <v>1011</v>
      </c>
      <c r="B1012" s="7">
        <v>1</v>
      </c>
      <c r="C1012" s="7" t="s">
        <v>10</v>
      </c>
      <c r="D1012" s="7">
        <v>357</v>
      </c>
      <c r="E1012" s="7" t="s">
        <v>14</v>
      </c>
      <c r="F1012" s="8" t="str">
        <f ca="1">IFERROR(__xludf.DUMMYFUNCTION("IF
(
C1013=""фізична особа""
,
VLOOKUP(D1013,IMPORTRANGE(""https://docs.google.com/spreadsheets/d/14Bd19lYaqBhU8_DElYkX7l4wRkHqqCUFNJY4AfY3kHU/edit?usp=sharing  #gid=0"",""фіз особи new!relations_name""),6,FALSE)
,
(IF
(
C1013=""юридична особа""
,
VLOOKUP"&amp;"(D1013,IMPORTRANGE(""https://docs.google.com/spreadsheets/d/14Bd19lYaqBhU8_DElYkX7l4wRkHqqCUFNJY4AfY3kHU/edit?usp=sharing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2" s="7" t="s">
        <v>10</v>
      </c>
      <c r="H1012" s="7">
        <v>4979</v>
      </c>
      <c r="I1012" s="8" t="str">
        <f ca="1">IFERROR(__xludf.DUMMYFUNCTION("IF
(
G1013=""фізична особа""
,
VLOOKUP(H1013,IMPORTRANGE(""https://docs.google.com/spreadsheets/d/14Bd19lYaqBhU8_DElYkX7l4wRkHqqCUFNJY4AfY3kHU/edit?usp=sharing  #gid=0"",""фіз особи new!relations_name""),6,FALSE)
,
(IF
(
G1013=""юридична особа""
,
VLOOKUP"&amp;"(H1013,IMPORTRANGE(""https://docs.google.com/spreadsheets/d/14Bd19lYaqBhU8_DElYkX7l4wRkHqqCUFNJY4AfY3kHU/edit?usp=sharing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J1012" s="7" t="s">
        <v>15</v>
      </c>
    </row>
    <row r="1013" spans="1:10" ht="13.2">
      <c r="A1013" s="7">
        <v>1012</v>
      </c>
      <c r="B1013" s="7">
        <v>1</v>
      </c>
      <c r="C1013" s="7" t="s">
        <v>10</v>
      </c>
      <c r="D1013" s="7">
        <v>357</v>
      </c>
      <c r="E1013" s="7" t="s">
        <v>12</v>
      </c>
      <c r="F1013" s="8" t="str">
        <f ca="1">IFERROR(__xludf.DUMMYFUNCTION("IF
(
C1014=""фізична особа""
,
VLOOKUP(D1014,IMPORTRANGE(""https://docs.google.com/spreadsheets/d/14Bd19lYaqBhU8_DElYkX7l4wRkHqqCUFNJY4AfY3kHU/edit?usp=sharing  #gid=0"",""фіз особи new!relations_name""),6,FALSE)
,
(IF
(
C1014=""юридична особа""
,
VLOOKUP"&amp;"(D1014,IMPORTRANGE(""https://docs.google.com/spreadsheets/d/14Bd19lYaqBhU8_DElYkX7l4wRkHqqCUFNJY4AfY3kHU/edit?usp=sharing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3" s="7" t="s">
        <v>10</v>
      </c>
      <c r="H1013" s="7">
        <v>4981</v>
      </c>
      <c r="I1013" s="8" t="str">
        <f ca="1">IFERROR(__xludf.DUMMYFUNCTION("IF
(
G1014=""фізична особа""
,
VLOOKUP(H1014,IMPORTRANGE(""https://docs.google.com/spreadsheets/d/14Bd19lYaqBhU8_DElYkX7l4wRkHqqCUFNJY4AfY3kHU/edit?usp=sharing  #gid=0"",""фіз особи new!relations_name""),6,FALSE)
,
(IF
(
G1014=""юридична особа""
,
VLOOKUP"&amp;"(H1014,IMPORTRANGE(""https://docs.google.com/spreadsheets/d/14Bd19lYaqBhU8_DElYkX7l4wRkHqqCUFNJY4AfY3kHU/edit?usp=sharing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J1013" s="7" t="s">
        <v>17</v>
      </c>
    </row>
    <row r="1014" spans="1:10" ht="13.2">
      <c r="A1014" s="7">
        <v>1013</v>
      </c>
      <c r="B1014" s="7">
        <v>1</v>
      </c>
      <c r="C1014" s="7" t="s">
        <v>10</v>
      </c>
      <c r="D1014" s="7">
        <v>357</v>
      </c>
      <c r="E1014" s="7" t="s">
        <v>12</v>
      </c>
      <c r="F1014" s="8" t="str">
        <f ca="1">IFERROR(__xludf.DUMMYFUNCTION("IF
(
C1015=""фізична особа""
,
VLOOKUP(D1015,IMPORTRANGE(""https://docs.google.com/spreadsheets/d/14Bd19lYaqBhU8_DElYkX7l4wRkHqqCUFNJY4AfY3kHU/edit?usp=sharing  #gid=0"",""фіз особи new!relations_name""),6,FALSE)
,
(IF
(
C1015=""юридична особа""
,
VLOOKUP"&amp;"(D1015,IMPORTRANGE(""https://docs.google.com/spreadsheets/d/14Bd19lYaqBhU8_DElYkX7l4wRkHqqCUFNJY4AfY3kHU/edit?usp=sharing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4" s="7" t="s">
        <v>10</v>
      </c>
      <c r="H1014" s="7">
        <v>4980</v>
      </c>
      <c r="I1014" s="8" t="str">
        <f ca="1">IFERROR(__xludf.DUMMYFUNCTION("IF
(
G1015=""фізична особа""
,
VLOOKUP(H1015,IMPORTRANGE(""https://docs.google.com/spreadsheets/d/14Bd19lYaqBhU8_DElYkX7l4wRkHqqCUFNJY4AfY3kHU/edit?usp=sharing  #gid=0"",""фіз особи new!relations_name""),6,FALSE)
,
(IF
(
G1015=""юридична особа""
,
VLOOKUP"&amp;"(H1015,IMPORTRANGE(""https://docs.google.com/spreadsheets/d/14Bd19lYaqBhU8_DElYkX7l4wRkHqqCUFNJY4AfY3kHU/edit?usp=sharing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1014" s="7" t="s">
        <v>17</v>
      </c>
    </row>
    <row r="1015" spans="1:10" ht="13.2">
      <c r="A1015" s="7">
        <v>1014</v>
      </c>
      <c r="B1015" s="7">
        <v>1</v>
      </c>
      <c r="C1015" s="7" t="s">
        <v>10</v>
      </c>
      <c r="D1015" s="7">
        <v>357</v>
      </c>
      <c r="E1015" s="7" t="s">
        <v>12</v>
      </c>
      <c r="F1015" s="8" t="str">
        <f ca="1">IFERROR(__xludf.DUMMYFUNCTION("IF
(
C1016=""фізична особа""
,
VLOOKUP(D1016,IMPORTRANGE(""https://docs.google.com/spreadsheets/d/14Bd19lYaqBhU8_DElYkX7l4wRkHqqCUFNJY4AfY3kHU/edit?usp=sharing  #gid=0"",""фіз особи new!relations_name""),6,FALSE)
,
(IF
(
C1016=""юридична особа""
,
VLOOKUP"&amp;"(D1016,IMPORTRANGE(""https://docs.google.com/spreadsheets/d/14Bd19lYaqBhU8_DElYkX7l4wRkHqqCUFNJY4AfY3kHU/edit?usp=sharing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5" s="7" t="s">
        <v>10</v>
      </c>
      <c r="H1015" s="7">
        <v>4982</v>
      </c>
      <c r="I1015" s="8" t="str">
        <f ca="1">IFERROR(__xludf.DUMMYFUNCTION("IF
(
G1016=""фізична особа""
,
VLOOKUP(H1016,IMPORTRANGE(""https://docs.google.com/spreadsheets/d/14Bd19lYaqBhU8_DElYkX7l4wRkHqqCUFNJY4AfY3kHU/edit?usp=sharing  #gid=0"",""фіз особи new!relations_name""),6,FALSE)
,
(IF
(
G1016=""юридична особа""
,
VLOOKUP"&amp;"(H1016,IMPORTRANGE(""https://docs.google.com/spreadsheets/d/14Bd19lYaqBhU8_DElYkX7l4wRkHqqCUFNJY4AfY3kHU/edit?usp=sharing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J1015" s="7" t="s">
        <v>13</v>
      </c>
    </row>
    <row r="1016" spans="1:10" ht="13.2">
      <c r="A1016" s="7">
        <v>1015</v>
      </c>
      <c r="B1016" s="7">
        <v>1</v>
      </c>
      <c r="C1016" s="7" t="s">
        <v>10</v>
      </c>
      <c r="D1016" s="7">
        <v>357</v>
      </c>
      <c r="E1016" s="7" t="s">
        <v>34</v>
      </c>
      <c r="F1016" s="8" t="str">
        <f ca="1">IFERROR(__xludf.DUMMYFUNCTION("IF
(
C1017=""фізична особа""
,
VLOOKUP(D1017,IMPORTRANGE(""https://docs.google.com/spreadsheets/d/14Bd19lYaqBhU8_DElYkX7l4wRkHqqCUFNJY4AfY3kHU/edit?usp=sharing  #gid=0"",""фіз особи new!relations_name""),6,FALSE)
,
(IF
(
C1017=""юридична особа""
,
VLOOKUP"&amp;"(D1017,IMPORTRANGE(""https://docs.google.com/spreadsheets/d/14Bd19lYaqBhU8_DElYkX7l4wRkHqqCUFNJY4AfY3kHU/edit?usp=sharing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6" s="7" t="s">
        <v>10</v>
      </c>
      <c r="H1016" s="7">
        <v>4983</v>
      </c>
      <c r="I1016" s="8" t="str">
        <f ca="1">IFERROR(__xludf.DUMMYFUNCTION("IF
(
G1017=""фізична особа""
,
VLOOKUP(H1017,IMPORTRANGE(""https://docs.google.com/spreadsheets/d/14Bd19lYaqBhU8_DElYkX7l4wRkHqqCUFNJY4AfY3kHU/edit?usp=sharing  #gid=0"",""фіз особи new!relations_name""),6,FALSE)
,
(IF
(
G1017=""юридична особа""
,
VLOOKUP"&amp;"(H1017,IMPORTRANGE(""https://docs.google.com/spreadsheets/d/14Bd19lYaqBhU8_DElYkX7l4wRkHqqCUFNJY4AfY3kHU/edit?usp=sharing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J1016" s="7" t="s">
        <v>25</v>
      </c>
    </row>
    <row r="1017" spans="1:10" ht="13.2">
      <c r="A1017" s="7">
        <v>1016</v>
      </c>
      <c r="B1017" s="7">
        <v>1</v>
      </c>
      <c r="C1017" s="7" t="s">
        <v>10</v>
      </c>
      <c r="D1017" s="7">
        <v>357</v>
      </c>
      <c r="E1017" s="7" t="s">
        <v>11</v>
      </c>
      <c r="F1017" s="8" t="str">
        <f ca="1">IFERROR(__xludf.DUMMYFUNCTION("IF
(
C1018=""фізична особа""
,
VLOOKUP(D1018,IMPORTRANGE(""https://docs.google.com/spreadsheets/d/14Bd19lYaqBhU8_DElYkX7l4wRkHqqCUFNJY4AfY3kHU/edit?usp=sharing  #gid=0"",""фіз особи new!relations_name""),6,FALSE)
,
(IF
(
C1018=""юридична особа""
,
VLOOKUP"&amp;"(D1018,IMPORTRANGE(""https://docs.google.com/spreadsheets/d/14Bd19lYaqBhU8_DElYkX7l4wRkHqqCUFNJY4AfY3kHU/edit?usp=sharing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7" s="7" t="s">
        <v>10</v>
      </c>
      <c r="H1017" s="7">
        <v>23370</v>
      </c>
      <c r="I1017" s="8" t="str">
        <f ca="1">IFERROR(__xludf.DUMMYFUNCTION("IF
(
G1018=""фізична особа""
,
VLOOKUP(H1018,IMPORTRANGE(""https://docs.google.com/spreadsheets/d/14Bd19lYaqBhU8_DElYkX7l4wRkHqqCUFNJY4AfY3kHU/edit?usp=sharing  #gid=0"",""фіз особи new!relations_name""),6,FALSE)
,
(IF
(
G1018=""юридична особа""
,
VLOOKUP"&amp;"(H1018,IMPORTRANGE(""https://docs.google.com/spreadsheets/d/14Bd19lYaqBhU8_DElYkX7l4wRkHqqCUFNJY4AfY3kHU/edit?usp=sharing  #gid=0"",""фіз особи new!relations_name_uo""),7,FALSE)
,
)
))"),"АКСЕНЕНКО Сергій Васильович")</f>
        <v>АКСЕНЕНКО Сергій Васильович</v>
      </c>
      <c r="J1017" s="7" t="s">
        <v>11</v>
      </c>
    </row>
    <row r="1018" spans="1:10" ht="13.2">
      <c r="A1018" s="7">
        <v>1017</v>
      </c>
      <c r="B1018" s="7">
        <v>1</v>
      </c>
      <c r="C1018" s="7" t="s">
        <v>10</v>
      </c>
      <c r="D1018" s="7">
        <v>357</v>
      </c>
      <c r="E1018" s="7" t="s">
        <v>11</v>
      </c>
      <c r="F1018" s="8" t="str">
        <f ca="1">IFERROR(__xludf.DUMMYFUNCTION("IF
(
C1019=""фізична особа""
,
VLOOKUP(D1019,IMPORTRANGE(""https://docs.google.com/spreadsheets/d/14Bd19lYaqBhU8_DElYkX7l4wRkHqqCUFNJY4AfY3kHU/edit?usp=sharing  #gid=0"",""фіз особи new!relations_name""),6,FALSE)
,
(IF
(
C1019=""юридична особа""
,
VLOOKUP"&amp;"(D1019,IMPORTRANGE(""https://docs.google.com/spreadsheets/d/14Bd19lYaqBhU8_DElYkX7l4wRkHqqCUFNJY4AfY3kHU/edit?usp=sharing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8" s="7" t="s">
        <v>10</v>
      </c>
      <c r="H1018" s="7">
        <v>23369</v>
      </c>
      <c r="I1018" s="8" t="str">
        <f ca="1">IFERROR(__xludf.DUMMYFUNCTION("IF
(
G1019=""фізична особа""
,
VLOOKUP(H1019,IMPORTRANGE(""https://docs.google.com/spreadsheets/d/14Bd19lYaqBhU8_DElYkX7l4wRkHqqCUFNJY4AfY3kHU/edit?usp=sharing  #gid=0"",""фіз особи new!relations_name""),6,FALSE)
,
(IF
(
G1019=""юридична особа""
,
VLOOKUP"&amp;"(H1019,IMPORTRANGE(""https://docs.google.com/spreadsheets/d/14Bd19lYaqBhU8_DElYkX7l4wRkHqqCUFNJY4AfY3kHU/edit?usp=sharing  #gid=0"",""фіз особи new!relations_name_uo""),7,FALSE)
,
)
))"),"АКСЕНЕНКО Ганна Сергіївна")</f>
        <v>АКСЕНЕНКО Ганна Сергіївна</v>
      </c>
      <c r="J1018" s="7" t="s">
        <v>11</v>
      </c>
    </row>
    <row r="1019" spans="1:10" ht="13.2">
      <c r="A1019" s="7">
        <v>1018</v>
      </c>
      <c r="B1019" s="7">
        <v>1</v>
      </c>
      <c r="C1019" s="7" t="s">
        <v>10</v>
      </c>
      <c r="D1019" s="7">
        <v>357</v>
      </c>
      <c r="E1019" s="7" t="s">
        <v>11</v>
      </c>
      <c r="F1019" s="8" t="str">
        <f ca="1">IFERROR(__xludf.DUMMYFUNCTION("IF
(
C1020=""фізична особа""
,
VLOOKUP(D1020,IMPORTRANGE(""https://docs.google.com/spreadsheets/d/14Bd19lYaqBhU8_DElYkX7l4wRkHqqCUFNJY4AfY3kHU/edit?usp=sharing  #gid=0"",""фіз особи new!relations_name""),6,FALSE)
,
(IF
(
C1020=""юридична особа""
,
VLOOKUP"&amp;"(D1020,IMPORTRANGE(""https://docs.google.com/spreadsheets/d/14Bd19lYaqBhU8_DElYkX7l4wRkHqqCUFNJY4AfY3kHU/edit?usp=sharing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19" s="7" t="s">
        <v>10</v>
      </c>
      <c r="H1019" s="7">
        <v>0</v>
      </c>
      <c r="I1019" s="8" t="str">
        <f ca="1">IFERROR(__xludf.DUMMYFUNCTION("IF
(
G1020=""фізична особа""
,
VLOOKUP(H1020,IMPORTRANGE(""https://docs.google.com/spreadsheets/d/14Bd19lYaqBhU8_DElYkX7l4wRkHqqCUFNJY4AfY3kHU/edit?usp=sharing  #gid=0"",""фіз особи new!relations_name""),6,FALSE)
,
(IF
(
G1020=""юридична особа""
,
VLOOKUP"&amp;"(H1020,IMPORTRANGE(""https://docs.google.com/spreadsheets/d/14Bd19lYaqBhU8_DElYkX7l4wRkHqqCUFNJY4AfY3kHU/edit?usp=sharing  #gid=0"",""фіз особи new!relations_name_uo""),7,FALSE)
,
)
))"),"#N/A")</f>
        <v>#N/A</v>
      </c>
      <c r="J1019" s="7" t="s">
        <v>11</v>
      </c>
    </row>
    <row r="1020" spans="1:10" ht="13.2">
      <c r="A1020" s="7">
        <v>1019</v>
      </c>
      <c r="B1020" s="7">
        <v>1</v>
      </c>
      <c r="C1020" s="7" t="s">
        <v>10</v>
      </c>
      <c r="D1020" s="7">
        <v>357</v>
      </c>
      <c r="E1020" s="7" t="s">
        <v>11</v>
      </c>
      <c r="F1020" s="8" t="str">
        <f ca="1">IFERROR(__xludf.DUMMYFUNCTION("IF
(
C1021=""фізична особа""
,
VLOOKUP(D1021,IMPORTRANGE(""https://docs.google.com/spreadsheets/d/14Bd19lYaqBhU8_DElYkX7l4wRkHqqCUFNJY4AfY3kHU/edit?usp=sharing  #gid=0"",""фіз особи new!relations_name""),6,FALSE)
,
(IF
(
C1021=""юридична особа""
,
VLOOKUP"&amp;"(D1021,IMPORTRANGE(""https://docs.google.com/spreadsheets/d/14Bd19lYaqBhU8_DElYkX7l4wRkHqqCUFNJY4AfY3kHU/edit?usp=sharing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20" s="7" t="s">
        <v>10</v>
      </c>
      <c r="H1020" s="7">
        <v>0</v>
      </c>
      <c r="I1020" s="8" t="str">
        <f ca="1">IFERROR(__xludf.DUMMYFUNCTION("IF
(
G1021=""фізична особа""
,
VLOOKUP(H1021,IMPORTRANGE(""https://docs.google.com/spreadsheets/d/14Bd19lYaqBhU8_DElYkX7l4wRkHqqCUFNJY4AfY3kHU/edit?usp=sharing  #gid=0"",""фіз особи new!relations_name""),6,FALSE)
,
(IF
(
G1021=""юридична особа""
,
VLOOKUP"&amp;"(H1021,IMPORTRANGE(""https://docs.google.com/spreadsheets/d/14Bd19lYaqBhU8_DElYkX7l4wRkHqqCUFNJY4AfY3kHU/edit?usp=sharing  #gid=0"",""фіз особи new!relations_name_uo""),7,FALSE)
,
)
))"),"#N/A")</f>
        <v>#N/A</v>
      </c>
      <c r="J1020" s="7" t="s">
        <v>11</v>
      </c>
    </row>
    <row r="1021" spans="1:10" ht="13.2">
      <c r="A1021" s="7">
        <v>1020</v>
      </c>
      <c r="B1021" s="7">
        <v>1</v>
      </c>
      <c r="C1021" s="7" t="s">
        <v>10</v>
      </c>
      <c r="D1021" s="7">
        <v>357</v>
      </c>
      <c r="E1021" s="7" t="s">
        <v>11</v>
      </c>
      <c r="F1021" s="8" t="str">
        <f ca="1">IFERROR(__xludf.DUMMYFUNCTION("IF
(
C1022=""фізична особа""
,
VLOOKUP(D1022,IMPORTRANGE(""https://docs.google.com/spreadsheets/d/14Bd19lYaqBhU8_DElYkX7l4wRkHqqCUFNJY4AfY3kHU/edit?usp=sharing  #gid=0"",""фіз особи new!relations_name""),6,FALSE)
,
(IF
(
C1022=""юридична особа""
,
VLOOKUP"&amp;"(D1022,IMPORTRANGE(""https://docs.google.com/spreadsheets/d/14Bd19lYaqBhU8_DElYkX7l4wRkHqqCUFNJY4AfY3kHU/edit?usp=sharing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G1021" s="7" t="s">
        <v>10</v>
      </c>
      <c r="H1021" s="7">
        <v>0</v>
      </c>
      <c r="I1021" s="8" t="str">
        <f ca="1">IFERROR(__xludf.DUMMYFUNCTION("IF
(
G1022=""фізична особа""
,
VLOOKUP(H1022,IMPORTRANGE(""https://docs.google.com/spreadsheets/d/14Bd19lYaqBhU8_DElYkX7l4wRkHqqCUFNJY4AfY3kHU/edit?usp=sharing  #gid=0"",""фіз особи new!relations_name""),6,FALSE)
,
(IF
(
G1022=""юридична особа""
,
VLOOKUP"&amp;"(H1022,IMPORTRANGE(""https://docs.google.com/spreadsheets/d/14Bd19lYaqBhU8_DElYkX7l4wRkHqqCUFNJY4AfY3kHU/edit?usp=sharing  #gid=0"",""фіз особи new!relations_name_uo""),7,FALSE)
,
)
))"),"#N/A")</f>
        <v>#N/A</v>
      </c>
      <c r="J1021" s="7" t="s">
        <v>11</v>
      </c>
    </row>
    <row r="1022" spans="1:10" ht="13.2">
      <c r="A1022" s="7">
        <v>1021</v>
      </c>
      <c r="B1022" s="7">
        <v>1</v>
      </c>
      <c r="C1022" s="7" t="s">
        <v>10</v>
      </c>
      <c r="D1022" s="7">
        <v>358</v>
      </c>
      <c r="E1022" s="7" t="s">
        <v>14</v>
      </c>
      <c r="F1022" s="8" t="str">
        <f ca="1">IFERROR(__xludf.DUMMYFUNCTION("IF
(
C1023=""фізична особа""
,
VLOOKUP(D1023,IMPORTRANGE(""https://docs.google.com/spreadsheets/d/14Bd19lYaqBhU8_DElYkX7l4wRkHqqCUFNJY4AfY3kHU/edit?usp=sharing  #gid=0"",""фіз особи new!relations_name""),6,FALSE)
,
(IF
(
C1023=""юридична особа""
,
VLOOKUP"&amp;"(D1023,IMPORTRANGE(""https://docs.google.com/spreadsheets/d/14Bd19lYaqBhU8_DElYkX7l4wRkHqqCUFNJY4AfY3kHU/edit?usp=sharing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G1022" s="7" t="s">
        <v>10</v>
      </c>
      <c r="H1022" s="7">
        <v>5141</v>
      </c>
      <c r="I1022" s="8" t="str">
        <f ca="1">IFERROR(__xludf.DUMMYFUNCTION("IF
(
G1023=""фізична особа""
,
VLOOKUP(H1023,IMPORTRANGE(""https://docs.google.com/spreadsheets/d/14Bd19lYaqBhU8_DElYkX7l4wRkHqqCUFNJY4AfY3kHU/edit?usp=sharing  #gid=0"",""фіз особи new!relations_name""),6,FALSE)
,
(IF
(
G1023=""юридична особа""
,
VLOOKUP"&amp;"(H1023,IMPORTRANGE(""https://docs.google.com/spreadsheets/d/14Bd19lYaqBhU8_DElYkX7l4wRkHqqCUFNJY4AfY3kHU/edit?usp=sharing  #gid=0"",""фіз особи new!relations_name_uo""),7,FALSE)
,
)
))"),"ТАЙСАЄВА Інна Лук'янівна")</f>
        <v>ТАЙСАЄВА Інна Лук'янівна</v>
      </c>
      <c r="J1022" s="7" t="s">
        <v>15</v>
      </c>
    </row>
    <row r="1023" spans="1:10" ht="13.2">
      <c r="A1023" s="7">
        <v>1022</v>
      </c>
      <c r="B1023" s="7">
        <v>1</v>
      </c>
      <c r="C1023" s="7" t="s">
        <v>10</v>
      </c>
      <c r="D1023" s="7">
        <v>358</v>
      </c>
      <c r="E1023" s="7" t="s">
        <v>12</v>
      </c>
      <c r="F1023" s="8" t="str">
        <f ca="1">IFERROR(__xludf.DUMMYFUNCTION("IF
(
C1024=""фізична особа""
,
VLOOKUP(D1024,IMPORTRANGE(""https://docs.google.com/spreadsheets/d/14Bd19lYaqBhU8_DElYkX7l4wRkHqqCUFNJY4AfY3kHU/edit?usp=sharing  #gid=0"",""фіз особи new!relations_name""),6,FALSE)
,
(IF
(
C1024=""юридична особа""
,
VLOOKUP"&amp;"(D1024,IMPORTRANGE(""https://docs.google.com/spreadsheets/d/14Bd19lYaqBhU8_DElYkX7l4wRkHqqCUFNJY4AfY3kHU/edit?usp=sharing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G1023" s="7" t="s">
        <v>10</v>
      </c>
      <c r="H1023" s="7">
        <v>5142</v>
      </c>
      <c r="I1023" s="8" t="str">
        <f ca="1">IFERROR(__xludf.DUMMYFUNCTION("IF
(
G1024=""фізична особа""
,
VLOOKUP(H1024,IMPORTRANGE(""https://docs.google.com/spreadsheets/d/14Bd19lYaqBhU8_DElYkX7l4wRkHqqCUFNJY4AfY3kHU/edit?usp=sharing  #gid=0"",""фіз особи new!relations_name""),6,FALSE)
,
(IF
(
G1024=""юридична особа""
,
VLOOKUP"&amp;"(H1024,IMPORTRANGE(""https://docs.google.com/spreadsheets/d/14Bd19lYaqBhU8_DElYkX7l4wRkHqqCUFNJY4AfY3kHU/edit?usp=sharing  #gid=0"",""фіз особи new!relations_name_uo""),7,FALSE)
,
)
))"),"ТАЙСАЄВ Куцук Казбекович")</f>
        <v>ТАЙСАЄВ Куцук Казбекович</v>
      </c>
      <c r="J1023" s="7" t="s">
        <v>17</v>
      </c>
    </row>
    <row r="1024" spans="1:10" ht="13.2">
      <c r="A1024" s="7">
        <v>1023</v>
      </c>
      <c r="B1024" s="7">
        <v>1</v>
      </c>
      <c r="C1024" s="7" t="s">
        <v>10</v>
      </c>
      <c r="D1024" s="7">
        <v>358</v>
      </c>
      <c r="E1024" s="7" t="s">
        <v>12</v>
      </c>
      <c r="F1024" s="8" t="str">
        <f ca="1">IFERROR(__xludf.DUMMYFUNCTION("IF
(
C1025=""фізична особа""
,
VLOOKUP(D1025,IMPORTRANGE(""https://docs.google.com/spreadsheets/d/14Bd19lYaqBhU8_DElYkX7l4wRkHqqCUFNJY4AfY3kHU/edit?usp=sharing  #gid=0"",""фіз особи new!relations_name""),6,FALSE)
,
(IF
(
C1025=""юридична особа""
,
VLOOKUP"&amp;"(D1025,IMPORTRANGE(""https://docs.google.com/spreadsheets/d/14Bd19lYaqBhU8_DElYkX7l4wRkHqqCUFNJY4AfY3kHU/edit?usp=sharing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G1024" s="7" t="s">
        <v>10</v>
      </c>
      <c r="H1024" s="7">
        <v>5143</v>
      </c>
      <c r="I1024" s="8" t="str">
        <f ca="1">IFERROR(__xludf.DUMMYFUNCTION("IF
(
G1025=""фізична особа""
,
VLOOKUP(H1025,IMPORTRANGE(""https://docs.google.com/spreadsheets/d/14Bd19lYaqBhU8_DElYkX7l4wRkHqqCUFNJY4AfY3kHU/edit?usp=sharing  #gid=0"",""фіз особи new!relations_name""),6,FALSE)
,
(IF
(
G1025=""юридична особа""
,
VLOOKUP"&amp;"(H1025,IMPORTRANGE(""https://docs.google.com/spreadsheets/d/14Bd19lYaqBhU8_DElYkX7l4wRkHqqCUFNJY4AfY3kHU/edit?usp=sharing  #gid=0"",""фіз особи new!relations_name_uo""),7,FALSE)
,
)
))"),"ТАЙСАЄВА Вікторія Казбеківна")</f>
        <v>ТАЙСАЄВА Вікторія Казбеківна</v>
      </c>
      <c r="J1024" s="7" t="s">
        <v>13</v>
      </c>
    </row>
    <row r="1025" spans="1:10" ht="13.2">
      <c r="A1025" s="7">
        <v>1024</v>
      </c>
      <c r="B1025" s="7">
        <v>1</v>
      </c>
      <c r="C1025" s="7" t="s">
        <v>10</v>
      </c>
      <c r="D1025" s="7">
        <v>358</v>
      </c>
      <c r="E1025" s="7" t="s">
        <v>18</v>
      </c>
      <c r="F1025" s="8" t="str">
        <f ca="1">IFERROR(__xludf.DUMMYFUNCTION("IF
(
C1026=""фізична особа""
,
VLOOKUP(D1026,IMPORTRANGE(""https://docs.google.com/spreadsheets/d/14Bd19lYaqBhU8_DElYkX7l4wRkHqqCUFNJY4AfY3kHU/edit?usp=sharing  #gid=0"",""фіз особи new!relations_name""),6,FALSE)
,
(IF
(
C1026=""юридична особа""
,
VLOOKUP"&amp;"(D1026,IMPORTRANGE(""https://docs.google.com/spreadsheets/d/14Bd19lYaqBhU8_DElYkX7l4wRkHqqCUFNJY4AfY3kHU/edit?usp=sharing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G1025" s="7" t="s">
        <v>10</v>
      </c>
      <c r="H1025" s="7">
        <v>5144</v>
      </c>
      <c r="I1025" s="8" t="str">
        <f ca="1">IFERROR(__xludf.DUMMYFUNCTION("IF
(
G1026=""фізична особа""
,
VLOOKUP(H1026,IMPORTRANGE(""https://docs.google.com/spreadsheets/d/14Bd19lYaqBhU8_DElYkX7l4wRkHqqCUFNJY4AfY3kHU/edit?usp=sharing  #gid=0"",""фіз особи new!relations_name""),6,FALSE)
,
(IF
(
G1026=""юридична особа""
,
VLOOKUP"&amp;"(H1026,IMPORTRANGE(""https://docs.google.com/spreadsheets/d/14Bd19lYaqBhU8_DElYkX7l4wRkHqqCUFNJY4AfY3kHU/edit?usp=sharing  #gid=0"",""фіз особи new!relations_name_uo""),7,FALSE)
,
)
))"),"ТАЙСАЄВ Ельбрус Куцукович")</f>
        <v>ТАЙСАЄВ Ельбрус Куцукович</v>
      </c>
      <c r="J1025" s="7" t="s">
        <v>18</v>
      </c>
    </row>
    <row r="1026" spans="1:10" ht="13.2">
      <c r="A1026" s="7">
        <v>1025</v>
      </c>
      <c r="B1026" s="7">
        <v>1</v>
      </c>
      <c r="C1026" s="7" t="s">
        <v>10</v>
      </c>
      <c r="D1026" s="7">
        <v>358</v>
      </c>
      <c r="E1026" s="7" t="s">
        <v>29</v>
      </c>
      <c r="F1026" s="8" t="str">
        <f ca="1">IFERROR(__xludf.DUMMYFUNCTION("IF
(
C1027=""фізична особа""
,
VLOOKUP(D1027,IMPORTRANGE(""https://docs.google.com/spreadsheets/d/14Bd19lYaqBhU8_DElYkX7l4wRkHqqCUFNJY4AfY3kHU/edit?usp=sharing  #gid=0"",""фіз особи new!relations_name""),6,FALSE)
,
(IF
(
C1027=""юридична особа""
,
VLOOKUP"&amp;"(D1027,IMPORTRANGE(""https://docs.google.com/spreadsheets/d/14Bd19lYaqBhU8_DElYkX7l4wRkHqqCUFNJY4AfY3kHU/edit?usp=sharing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G1026" s="7" t="s">
        <v>10</v>
      </c>
      <c r="H1026" s="7">
        <v>0</v>
      </c>
      <c r="I1026" s="8" t="str">
        <f ca="1">IFERROR(__xludf.DUMMYFUNCTION("IF
(
G1027=""фізична особа""
,
VLOOKUP(H1027,IMPORTRANGE(""https://docs.google.com/spreadsheets/d/14Bd19lYaqBhU8_DElYkX7l4wRkHqqCUFNJY4AfY3kHU/edit?usp=sharing  #gid=0"",""фіз особи new!relations_name""),6,FALSE)
,
(IF
(
G1027=""юридична особа""
,
VLOOKUP"&amp;"(H1027,IMPORTRANGE(""https://docs.google.com/spreadsheets/d/14Bd19lYaqBhU8_DElYkX7l4wRkHqqCUFNJY4AfY3kHU/edit?usp=sharing  #gid=0"",""фіз особи new!relations_name_uo""),7,FALSE)
,
)
))"),"#N/A")</f>
        <v>#N/A</v>
      </c>
      <c r="J1026" s="7" t="s">
        <v>28</v>
      </c>
    </row>
    <row r="1027" spans="1:10" ht="13.2">
      <c r="A1027" s="7">
        <v>1026</v>
      </c>
      <c r="B1027" s="7">
        <v>1</v>
      </c>
      <c r="C1027" s="7" t="s">
        <v>10</v>
      </c>
      <c r="D1027" s="7">
        <v>359</v>
      </c>
      <c r="E1027" s="7" t="s">
        <v>16</v>
      </c>
      <c r="F1027" s="8" t="str">
        <f ca="1">IFERROR(__xludf.DUMMYFUNCTION("IF
(
C1028=""фізична особа""
,
VLOOKUP(D1028,IMPORTRANGE(""https://docs.google.com/spreadsheets/d/14Bd19lYaqBhU8_DElYkX7l4wRkHqqCUFNJY4AfY3kHU/edit?usp=sharing  #gid=0"",""фіз особи new!relations_name""),6,FALSE)
,
(IF
(
C1028=""юридична особа""
,
VLOOKUP"&amp;"(D1028,IMPORTRANGE(""https://docs.google.com/spreadsheets/d/14Bd19lYaqBhU8_DElYkX7l4wRkHqqCUFNJY4AfY3kHU/edit?usp=sharing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G1027" s="7" t="s">
        <v>10</v>
      </c>
      <c r="H1027" s="7">
        <v>880</v>
      </c>
      <c r="I1027" s="8" t="str">
        <f ca="1">IFERROR(__xludf.DUMMYFUNCTION("IF
(
G1028=""фізична особа""
,
VLOOKUP(H1028,IMPORTRANGE(""https://docs.google.com/spreadsheets/d/14Bd19lYaqBhU8_DElYkX7l4wRkHqqCUFNJY4AfY3kHU/edit?usp=sharing  #gid=0"",""фіз особи new!relations_name""),6,FALSE)
,
(IF
(
G1028=""юридична особа""
,
VLOOKUP"&amp;"(H1028,IMPORTRANGE(""https://docs.google.com/spreadsheets/d/14Bd19lYaqBhU8_DElYkX7l4wRkHqqCUFNJY4AfY3kHU/edit?usp=sharing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27" s="7" t="s">
        <v>16</v>
      </c>
    </row>
    <row r="1028" spans="1:10" ht="13.2">
      <c r="A1028" s="7">
        <v>1027</v>
      </c>
      <c r="B1028" s="7">
        <v>1</v>
      </c>
      <c r="C1028" s="7" t="s">
        <v>10</v>
      </c>
      <c r="D1028" s="7">
        <v>359</v>
      </c>
      <c r="E1028" s="7" t="s">
        <v>11</v>
      </c>
      <c r="F1028" s="8" t="str">
        <f ca="1">IFERROR(__xludf.DUMMYFUNCTION("IF
(
C1029=""фізична особа""
,
VLOOKUP(D1029,IMPORTRANGE(""https://docs.google.com/spreadsheets/d/14Bd19lYaqBhU8_DElYkX7l4wRkHqqCUFNJY4AfY3kHU/edit?usp=sharing  #gid=0"",""фіз особи new!relations_name""),6,FALSE)
,
(IF
(
C1029=""юридична особа""
,
VLOOKUP"&amp;"(D1029,IMPORTRANGE(""https://docs.google.com/spreadsheets/d/14Bd19lYaqBhU8_DElYkX7l4wRkHqqCUFNJY4AfY3kHU/edit?usp=sharing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G1028" s="7" t="s">
        <v>10</v>
      </c>
      <c r="H1028" s="7">
        <v>451</v>
      </c>
      <c r="I1028" s="8" t="str">
        <f ca="1">IFERROR(__xludf.DUMMYFUNCTION("IF
(
G1029=""фізична особа""
,
VLOOKUP(H1029,IMPORTRANGE(""https://docs.google.com/spreadsheets/d/14Bd19lYaqBhU8_DElYkX7l4wRkHqqCUFNJY4AfY3kHU/edit?usp=sharing  #gid=0"",""фіз особи new!relations_name""),6,FALSE)
,
(IF
(
G1029=""юридична особа""
,
VLOOKUP"&amp;"(H1029,IMPORTRANGE(""https://docs.google.com/spreadsheets/d/14Bd19lYaqBhU8_DElYkX7l4wRkHqqCUFNJY4AfY3kHU/edit?usp=sharing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28" s="7" t="s">
        <v>11</v>
      </c>
    </row>
    <row r="1029" spans="1:10" ht="13.2">
      <c r="A1029" s="7">
        <v>1028</v>
      </c>
      <c r="B1029" s="7">
        <v>1</v>
      </c>
      <c r="C1029" s="7" t="s">
        <v>10</v>
      </c>
      <c r="D1029" s="7">
        <v>359</v>
      </c>
      <c r="E1029" s="7" t="s">
        <v>11</v>
      </c>
      <c r="F1029" s="8" t="str">
        <f ca="1">IFERROR(__xludf.DUMMYFUNCTION("IF
(
C1030=""фізична особа""
,
VLOOKUP(D1030,IMPORTRANGE(""https://docs.google.com/spreadsheets/d/14Bd19lYaqBhU8_DElYkX7l4wRkHqqCUFNJY4AfY3kHU/edit?usp=sharing  #gid=0"",""фіз особи new!relations_name""),6,FALSE)
,
(IF
(
C1030=""юридична особа""
,
VLOOKUP"&amp;"(D1030,IMPORTRANGE(""https://docs.google.com/spreadsheets/d/14Bd19lYaqBhU8_DElYkX7l4wRkHqqCUFNJY4AfY3kHU/edit?usp=sharing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G1029" s="7" t="s">
        <v>10</v>
      </c>
      <c r="H1029" s="7">
        <v>595</v>
      </c>
      <c r="I1029" s="8" t="str">
        <f ca="1">IFERROR(__xludf.DUMMYFUNCTION("IF
(
G1030=""фізична особа""
,
VLOOKUP(H1030,IMPORTRANGE(""https://docs.google.com/spreadsheets/d/14Bd19lYaqBhU8_DElYkX7l4wRkHqqCUFNJY4AfY3kHU/edit?usp=sharing  #gid=0"",""фіз особи new!relations_name""),6,FALSE)
,
(IF
(
G1030=""юридична особа""
,
VLOOKUP"&amp;"(H1030,IMPORTRANGE(""https://docs.google.com/spreadsheets/d/14Bd19lYaqBhU8_DElYkX7l4wRkHqqCUFNJY4AfY3kHU/edit?usp=sharing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29" s="7" t="s">
        <v>11</v>
      </c>
    </row>
    <row r="1030" spans="1:10" ht="13.2">
      <c r="A1030" s="7">
        <v>1029</v>
      </c>
      <c r="B1030" s="7">
        <v>1</v>
      </c>
      <c r="C1030" s="7" t="s">
        <v>10</v>
      </c>
      <c r="D1030" s="7">
        <v>359</v>
      </c>
      <c r="E1030" s="7" t="s">
        <v>11</v>
      </c>
      <c r="F1030" s="8" t="str">
        <f ca="1">IFERROR(__xludf.DUMMYFUNCTION("IF
(
C1031=""фізична особа""
,
VLOOKUP(D1031,IMPORTRANGE(""https://docs.google.com/spreadsheets/d/14Bd19lYaqBhU8_DElYkX7l4wRkHqqCUFNJY4AfY3kHU/edit?usp=sharing  #gid=0"",""фіз особи new!relations_name""),6,FALSE)
,
(IF
(
C1031=""юридична особа""
,
VLOOKUP"&amp;"(D1031,IMPORTRANGE(""https://docs.google.com/spreadsheets/d/14Bd19lYaqBhU8_DElYkX7l4wRkHqqCUFNJY4AfY3kHU/edit?usp=sharing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G1030" s="7" t="s">
        <v>10</v>
      </c>
      <c r="H1030" s="7">
        <v>12</v>
      </c>
      <c r="I1030" s="8" t="str">
        <f ca="1">IFERROR(__xludf.DUMMYFUNCTION("IF
(
G1031=""фізична особа""
,
VLOOKUP(H1031,IMPORTRANGE(""https://docs.google.com/spreadsheets/d/14Bd19lYaqBhU8_DElYkX7l4wRkHqqCUFNJY4AfY3kHU/edit?usp=sharing  #gid=0"",""фіз особи new!relations_name""),6,FALSE)
,
(IF
(
G1031=""юридична особа""
,
VLOOKUP"&amp;"(H1031,IMPORTRANGE(""https://docs.google.com/spreadsheets/d/14Bd19lYaqBhU8_DElYkX7l4wRkHqqCUFNJY4AfY3kHU/edit?usp=sharing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J1030" s="7" t="s">
        <v>11</v>
      </c>
    </row>
    <row r="1031" spans="1:10" ht="13.2">
      <c r="A1031" s="7">
        <v>1030</v>
      </c>
      <c r="B1031" s="7">
        <v>1</v>
      </c>
      <c r="C1031" s="7" t="s">
        <v>10</v>
      </c>
      <c r="D1031" s="7">
        <v>359</v>
      </c>
      <c r="E1031" s="7" t="s">
        <v>11</v>
      </c>
      <c r="F1031" s="8" t="str">
        <f ca="1">IFERROR(__xludf.DUMMYFUNCTION("IF
(
C1032=""фізична особа""
,
VLOOKUP(D1032,IMPORTRANGE(""https://docs.google.com/spreadsheets/d/14Bd19lYaqBhU8_DElYkX7l4wRkHqqCUFNJY4AfY3kHU/edit?usp=sharing  #gid=0"",""фіз особи new!relations_name""),6,FALSE)
,
(IF
(
C1032=""юридична особа""
,
VLOOKUP"&amp;"(D1032,IMPORTRANGE(""https://docs.google.com/spreadsheets/d/14Bd19lYaqBhU8_DElYkX7l4wRkHqqCUFNJY4AfY3kHU/edit?usp=sharing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G1031" s="7" t="s">
        <v>10</v>
      </c>
      <c r="H1031" s="7">
        <v>0</v>
      </c>
      <c r="I1031" s="8" t="str">
        <f ca="1">IFERROR(__xludf.DUMMYFUNCTION("IF
(
G1032=""фізична особа""
,
VLOOKUP(H1032,IMPORTRANGE(""https://docs.google.com/spreadsheets/d/14Bd19lYaqBhU8_DElYkX7l4wRkHqqCUFNJY4AfY3kHU/edit?usp=sharing  #gid=0"",""фіз особи new!relations_name""),6,FALSE)
,
(IF
(
G1032=""юридична особа""
,
VLOOKUP"&amp;"(H1032,IMPORTRANGE(""https://docs.google.com/spreadsheets/d/14Bd19lYaqBhU8_DElYkX7l4wRkHqqCUFNJY4AfY3kHU/edit?usp=sharing  #gid=0"",""фіз особи new!relations_name_uo""),7,FALSE)
,
)
))"),"#N/A")</f>
        <v>#N/A</v>
      </c>
      <c r="J1031" s="7" t="s">
        <v>11</v>
      </c>
    </row>
    <row r="1032" spans="1:10" ht="13.2">
      <c r="A1032" s="7">
        <v>1031</v>
      </c>
      <c r="B1032" s="7">
        <v>1</v>
      </c>
      <c r="C1032" s="7" t="s">
        <v>10</v>
      </c>
      <c r="D1032" s="7">
        <v>361</v>
      </c>
      <c r="E1032" s="7" t="s">
        <v>48</v>
      </c>
      <c r="F1032" s="8" t="str">
        <f ca="1">IFERROR(__xludf.DUMMYFUNCTION("IF
(
C1033=""фізична особа""
,
VLOOKUP(D1033,IMPORTRANGE(""https://docs.google.com/spreadsheets/d/14Bd19lYaqBhU8_DElYkX7l4wRkHqqCUFNJY4AfY3kHU/edit?usp=sharing  #gid=0"",""фіз особи new!relations_name""),6,FALSE)
,
(IF
(
C1033=""юридична особа""
,
VLOOKUP"&amp;"(D1033,IMPORTRANGE(""https://docs.google.com/spreadsheets/d/14Bd19lYaqBhU8_DElYkX7l4wRkHqqCUFNJY4AfY3kHU/edit?usp=sharing  #gid=0"",""фіз особи new!relations_name_uo""),7,FALSE)
,
)
))"),"АБАКАРОВ Хизри Магомедович")</f>
        <v>АБАКАРОВ Хизри Магомедович</v>
      </c>
      <c r="G1032" s="7" t="s">
        <v>10</v>
      </c>
      <c r="H1032" s="7">
        <v>741</v>
      </c>
      <c r="I1032" s="8" t="str">
        <f ca="1">IFERROR(__xludf.DUMMYFUNCTION("IF
(
G1033=""фізична особа""
,
VLOOKUP(H1033,IMPORTRANGE(""https://docs.google.com/spreadsheets/d/14Bd19lYaqBhU8_DElYkX7l4wRkHqqCUFNJY4AfY3kHU/edit?usp=sharing  #gid=0"",""фіз особи new!relations_name""),6,FALSE)
,
(IF
(
G1033=""юридична особа""
,
VLOOKUP"&amp;"(H1033,IMPORTRANGE(""https://docs.google.com/spreadsheets/d/14Bd19lYaqBhU8_DElYkX7l4wRkHqqCUFNJY4AfY3kHU/edit?usp=sharing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J1032" s="7" t="s">
        <v>48</v>
      </c>
    </row>
    <row r="1033" spans="1:10" ht="13.2">
      <c r="A1033" s="7">
        <v>1032</v>
      </c>
      <c r="B1033" s="7">
        <v>1</v>
      </c>
      <c r="C1033" s="7" t="s">
        <v>10</v>
      </c>
      <c r="D1033" s="7">
        <v>361</v>
      </c>
      <c r="E1033" s="7" t="s">
        <v>48</v>
      </c>
      <c r="F1033" s="8" t="str">
        <f ca="1">IFERROR(__xludf.DUMMYFUNCTION("IF
(
C1034=""фізична особа""
,
VLOOKUP(D1034,IMPORTRANGE(""https://docs.google.com/spreadsheets/d/14Bd19lYaqBhU8_DElYkX7l4wRkHqqCUFNJY4AfY3kHU/edit?usp=sharing  #gid=0"",""фіз особи new!relations_name""),6,FALSE)
,
(IF
(
C1034=""юридична особа""
,
VLOOKUP"&amp;"(D1034,IMPORTRANGE(""https://docs.google.com/spreadsheets/d/14Bd19lYaqBhU8_DElYkX7l4wRkHqqCUFNJY4AfY3kHU/edit?usp=sharing  #gid=0"",""фіз особи new!relations_name_uo""),7,FALSE)
,
)
))"),"АБАКАРОВ Хизри Магомедович")</f>
        <v>АБАКАРОВ Хизри Магомедович</v>
      </c>
      <c r="G1033" s="7" t="s">
        <v>10</v>
      </c>
      <c r="H1033" s="7">
        <v>2503</v>
      </c>
      <c r="I1033" s="8" t="str">
        <f ca="1">IFERROR(__xludf.DUMMYFUNCTION("IF
(
G1034=""фізична особа""
,
VLOOKUP(H1034,IMPORTRANGE(""https://docs.google.com/spreadsheets/d/14Bd19lYaqBhU8_DElYkX7l4wRkHqqCUFNJY4AfY3kHU/edit?usp=sharing  #gid=0"",""фіз особи new!relations_name""),6,FALSE)
,
(IF
(
G1034=""юридична особа""
,
VLOOKUP"&amp;"(H1034,IMPORTRANGE(""https://docs.google.com/spreadsheets/d/14Bd19lYaqBhU8_DElYkX7l4wRkHqqCUFNJY4AfY3kHU/edit?usp=sharing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J1033" s="7" t="s">
        <v>48</v>
      </c>
    </row>
    <row r="1034" spans="1:10" ht="13.2">
      <c r="A1034" s="7">
        <v>1033</v>
      </c>
      <c r="B1034" s="7">
        <v>1</v>
      </c>
      <c r="C1034" s="7" t="s">
        <v>10</v>
      </c>
      <c r="D1034" s="7">
        <v>363</v>
      </c>
      <c r="E1034" s="7" t="s">
        <v>15</v>
      </c>
      <c r="F1034" s="8" t="str">
        <f ca="1">IFERROR(__xludf.DUMMYFUNCTION("IF
(
C1035=""фізична особа""
,
VLOOKUP(D1035,IMPORTRANGE(""https://docs.google.com/spreadsheets/d/14Bd19lYaqBhU8_DElYkX7l4wRkHqqCUFNJY4AfY3kHU/edit?usp=sharing  #gid=0"",""фіз особи new!relations_name""),6,FALSE)
,
(IF
(
C1035=""юридична особа""
,
VLOOKUP"&amp;"(D1035,IMPORTRANGE(""https://docs.google.com/spreadsheets/d/14Bd19lYaqBhU8_DElYkX7l4wRkHqqCUFNJY4AfY3kHU/edit?usp=sharing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G1034" s="7" t="s">
        <v>10</v>
      </c>
      <c r="H1034" s="7">
        <v>364</v>
      </c>
      <c r="I1034" s="8" t="str">
        <f ca="1">IFERROR(__xludf.DUMMYFUNCTION("IF
(
G1035=""фізична особа""
,
VLOOKUP(H1035,IMPORTRANGE(""https://docs.google.com/spreadsheets/d/14Bd19lYaqBhU8_DElYkX7l4wRkHqqCUFNJY4AfY3kHU/edit?usp=sharing  #gid=0"",""фіз особи new!relations_name""),6,FALSE)
,
(IF
(
G1035=""юридична особа""
,
VLOOKUP"&amp;"(H1035,IMPORTRANGE(""https://docs.google.com/spreadsheets/d/14Bd19lYaqBhU8_DElYkX7l4wRkHqqCUFNJY4AfY3kHU/edit?usp=sharing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J1034" s="7" t="s">
        <v>14</v>
      </c>
    </row>
    <row r="1035" spans="1:10" ht="13.2">
      <c r="A1035" s="7">
        <v>1034</v>
      </c>
      <c r="B1035" s="7">
        <v>1</v>
      </c>
      <c r="C1035" s="7" t="s">
        <v>10</v>
      </c>
      <c r="D1035" s="7">
        <v>363</v>
      </c>
      <c r="E1035" s="7" t="s">
        <v>64</v>
      </c>
      <c r="F1035" s="8" t="str">
        <f ca="1">IFERROR(__xludf.DUMMYFUNCTION("IF
(
C1036=""фізична особа""
,
VLOOKUP(D1036,IMPORTRANGE(""https://docs.google.com/spreadsheets/d/14Bd19lYaqBhU8_DElYkX7l4wRkHqqCUFNJY4AfY3kHU/edit?usp=sharing  #gid=0"",""фіз особи new!relations_name""),6,FALSE)
,
(IF
(
C1036=""юридична особа""
,
VLOOKUP"&amp;"(D1036,IMPORTRANGE(""https://docs.google.com/spreadsheets/d/14Bd19lYaqBhU8_DElYkX7l4wRkHqqCUFNJY4AfY3kHU/edit?usp=sharing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G1035" s="7" t="s">
        <v>10</v>
      </c>
      <c r="H1035" s="7">
        <v>926</v>
      </c>
      <c r="I1035" s="8" t="str">
        <f ca="1">IFERROR(__xludf.DUMMYFUNCTION("IF
(
G1036=""фізична особа""
,
VLOOKUP(H1036,IMPORTRANGE(""https://docs.google.com/spreadsheets/d/14Bd19lYaqBhU8_DElYkX7l4wRkHqqCUFNJY4AfY3kHU/edit?usp=sharing  #gid=0"",""фіз особи new!relations_name""),6,FALSE)
,
(IF
(
G1036=""юридична особа""
,
VLOOKUP"&amp;"(H1036,IMPORTRANGE(""https://docs.google.com/spreadsheets/d/14Bd19lYaqBhU8_DElYkX7l4wRkHqqCUFNJY4AfY3kHU/edit?usp=sharing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1035" s="7" t="s">
        <v>65</v>
      </c>
    </row>
    <row r="1036" spans="1:10" ht="13.2">
      <c r="A1036" s="7">
        <v>1035</v>
      </c>
      <c r="B1036" s="7">
        <v>1</v>
      </c>
      <c r="C1036" s="7" t="s">
        <v>10</v>
      </c>
      <c r="D1036" s="7">
        <v>363</v>
      </c>
      <c r="E1036" s="7" t="s">
        <v>25</v>
      </c>
      <c r="F1036" s="8" t="str">
        <f ca="1">IFERROR(__xludf.DUMMYFUNCTION("IF
(
C1037=""фізична особа""
,
VLOOKUP(D1037,IMPORTRANGE(""https://docs.google.com/spreadsheets/d/14Bd19lYaqBhU8_DElYkX7l4wRkHqqCUFNJY4AfY3kHU/edit?usp=sharing  #gid=0"",""фіз особи new!relations_name""),6,FALSE)
,
(IF
(
C1037=""юридична особа""
,
VLOOKUP"&amp;"(D1037,IMPORTRANGE(""https://docs.google.com/spreadsheets/d/14Bd19lYaqBhU8_DElYkX7l4wRkHqqCUFNJY4AfY3kHU/edit?usp=sharing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G1036" s="7" t="s">
        <v>10</v>
      </c>
      <c r="H1036" s="7">
        <v>1396</v>
      </c>
      <c r="I1036" s="8" t="str">
        <f ca="1">IFERROR(__xludf.DUMMYFUNCTION("IF
(
G1037=""фізична особа""
,
VLOOKUP(H1037,IMPORTRANGE(""https://docs.google.com/spreadsheets/d/14Bd19lYaqBhU8_DElYkX7l4wRkHqqCUFNJY4AfY3kHU/edit?usp=sharing  #gid=0"",""фіз особи new!relations_name""),6,FALSE)
,
(IF
(
G1037=""юридична особа""
,
VLOOKUP"&amp;"(H1037,IMPORTRANGE(""https://docs.google.com/spreadsheets/d/14Bd19lYaqBhU8_DElYkX7l4wRkHqqCUFNJY4AfY3kHU/edit?usp=sharing  #gid=0"",""фіз особи new!relations_name_uo""),7,FALSE)
,
)
))"),"КОВАЛЬЧУК Михайло Валентинович")</f>
        <v>КОВАЛЬЧУК Михайло Валентинович</v>
      </c>
      <c r="J1036" s="7" t="s">
        <v>34</v>
      </c>
    </row>
    <row r="1037" spans="1:10" ht="13.2">
      <c r="A1037" s="7">
        <v>1036</v>
      </c>
      <c r="B1037" s="7">
        <v>1</v>
      </c>
      <c r="C1037" s="7" t="s">
        <v>10</v>
      </c>
      <c r="D1037" s="7">
        <v>363</v>
      </c>
      <c r="E1037" s="7" t="s">
        <v>21</v>
      </c>
      <c r="F1037" s="8" t="str">
        <f ca="1">IFERROR(__xludf.DUMMYFUNCTION("IF
(
C1038=""фізична особа""
,
VLOOKUP(D1038,IMPORTRANGE(""https://docs.google.com/spreadsheets/d/14Bd19lYaqBhU8_DElYkX7l4wRkHqqCUFNJY4AfY3kHU/edit?usp=sharing  #gid=0"",""фіз особи new!relations_name""),6,FALSE)
,
(IF
(
C1038=""юридична особа""
,
VLOOKUP"&amp;"(D1038,IMPORTRANGE(""https://docs.google.com/spreadsheets/d/14Bd19lYaqBhU8_DElYkX7l4wRkHqqCUFNJY4AfY3kHU/edit?usp=sharing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G1037" s="7" t="s">
        <v>10</v>
      </c>
      <c r="H1037" s="7">
        <v>739</v>
      </c>
      <c r="I1037" s="8" t="str">
        <f ca="1">IFERROR(__xludf.DUMMYFUNCTION("IF
(
G1038=""фізична особа""
,
VLOOKUP(H1038,IMPORTRANGE(""https://docs.google.com/spreadsheets/d/14Bd19lYaqBhU8_DElYkX7l4wRkHqqCUFNJY4AfY3kHU/edit?usp=sharing  #gid=0"",""фіз особи new!relations_name""),6,FALSE)
,
(IF
(
G1038=""юридична особа""
,
VLOOKUP"&amp;"(H1038,IMPORTRANGE(""https://docs.google.com/spreadsheets/d/14Bd19lYaqBhU8_DElYkX7l4wRkHqqCUFNJY4AfY3kHU/edit?usp=sharing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J1037" s="7" t="s">
        <v>17</v>
      </c>
    </row>
    <row r="1038" spans="1:10" ht="13.2">
      <c r="A1038" s="7">
        <v>1037</v>
      </c>
      <c r="B1038" s="7">
        <v>1</v>
      </c>
      <c r="C1038" s="7" t="s">
        <v>10</v>
      </c>
      <c r="D1038" s="7">
        <v>363</v>
      </c>
      <c r="E1038" s="7" t="s">
        <v>21</v>
      </c>
      <c r="F1038" s="8" t="str">
        <f ca="1">IFERROR(__xludf.DUMMYFUNCTION("IF
(
C1039=""фізична особа""
,
VLOOKUP(D1039,IMPORTRANGE(""https://docs.google.com/spreadsheets/d/14Bd19lYaqBhU8_DElYkX7l4wRkHqqCUFNJY4AfY3kHU/edit?usp=sharing  #gid=0"",""фіз особи new!relations_name""),6,FALSE)
,
(IF
(
C1039=""юридична особа""
,
VLOOKUP"&amp;"(D1039,IMPORTRANGE(""https://docs.google.com/spreadsheets/d/14Bd19lYaqBhU8_DElYkX7l4wRkHqqCUFNJY4AfY3kHU/edit?usp=sharing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G1038" s="7" t="s">
        <v>10</v>
      </c>
      <c r="H1038" s="7">
        <v>23394</v>
      </c>
      <c r="I1038" s="8" t="str">
        <f ca="1">IFERROR(__xludf.DUMMYFUNCTION("IF
(
G1039=""фізична особа""
,
VLOOKUP(H1039,IMPORTRANGE(""https://docs.google.com/spreadsheets/d/14Bd19lYaqBhU8_DElYkX7l4wRkHqqCUFNJY4AfY3kHU/edit?usp=sharing  #gid=0"",""фіз особи new!relations_name""),6,FALSE)
,
(IF
(
G1039=""юридична особа""
,
VLOOKUP"&amp;"(H1039,IMPORTRANGE(""https://docs.google.com/spreadsheets/d/14Bd19lYaqBhU8_DElYkX7l4wRkHqqCUFNJY4AfY3kHU/edit?usp=sharing  #gid=0"",""фіз особи new!relations_name_uo""),7,FALSE)
,
)
))"),"БЛАГУШКО Валентина Андріївна")</f>
        <v>БЛАГУШКО Валентина Андріївна</v>
      </c>
      <c r="J1038" s="7" t="s">
        <v>13</v>
      </c>
    </row>
    <row r="1039" spans="1:10" ht="13.2">
      <c r="A1039" s="7">
        <v>1038</v>
      </c>
      <c r="B1039" s="7">
        <v>1</v>
      </c>
      <c r="C1039" s="7" t="s">
        <v>10</v>
      </c>
      <c r="D1039" s="7">
        <v>364</v>
      </c>
      <c r="E1039" s="7" t="s">
        <v>14</v>
      </c>
      <c r="F1039" s="8" t="str">
        <f ca="1">IFERROR(__xludf.DUMMYFUNCTION("IF
(
C1040=""фізична особа""
,
VLOOKUP(D1040,IMPORTRANGE(""https://docs.google.com/spreadsheets/d/14Bd19lYaqBhU8_DElYkX7l4wRkHqqCUFNJY4AfY3kHU/edit?usp=sharing  #gid=0"",""фіз особи new!relations_name""),6,FALSE)
,
(IF
(
C1040=""юридична особа""
,
VLOOKUP"&amp;"(D1040,IMPORTRANGE(""https://docs.google.com/spreadsheets/d/14Bd19lYaqBhU8_DElYkX7l4wRkHqqCUFNJY4AfY3kHU/edit?usp=sharing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39" s="7" t="s">
        <v>10</v>
      </c>
      <c r="H1039" s="7">
        <v>363</v>
      </c>
      <c r="I1039" s="8" t="str">
        <f ca="1">IFERROR(__xludf.DUMMYFUNCTION("IF
(
G1040=""фізична особа""
,
VLOOKUP(H1040,IMPORTRANGE(""https://docs.google.com/spreadsheets/d/14Bd19lYaqBhU8_DElYkX7l4wRkHqqCUFNJY4AfY3kHU/edit?usp=sharing  #gid=0"",""фіз особи new!relations_name""),6,FALSE)
,
(IF
(
G1040=""юридична особа""
,
VLOOKUP"&amp;"(H1040,IMPORTRANGE(""https://docs.google.com/spreadsheets/d/14Bd19lYaqBhU8_DElYkX7l4wRkHqqCUFNJY4AfY3kHU/edit?usp=sharing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J1039" s="7" t="s">
        <v>15</v>
      </c>
    </row>
    <row r="1040" spans="1:10" ht="13.2">
      <c r="A1040" s="7">
        <v>1039</v>
      </c>
      <c r="B1040" s="7">
        <v>1</v>
      </c>
      <c r="C1040" s="7" t="s">
        <v>10</v>
      </c>
      <c r="D1040" s="7">
        <v>364</v>
      </c>
      <c r="E1040" s="7" t="s">
        <v>20</v>
      </c>
      <c r="F1040" s="8" t="str">
        <f ca="1">IFERROR(__xludf.DUMMYFUNCTION("IF
(
C1041=""фізична особа""
,
VLOOKUP(D1041,IMPORTRANGE(""https://docs.google.com/spreadsheets/d/14Bd19lYaqBhU8_DElYkX7l4wRkHqqCUFNJY4AfY3kHU/edit?usp=sharing  #gid=0"",""фіз особи new!relations_name""),6,FALSE)
,
(IF
(
C1041=""юридична особа""
,
VLOOKUP"&amp;"(D1041,IMPORTRANGE(""https://docs.google.com/spreadsheets/d/14Bd19lYaqBhU8_DElYkX7l4wRkHqqCUFNJY4AfY3kHU/edit?usp=sharing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0" s="7" t="s">
        <v>10</v>
      </c>
      <c r="H1040" s="7">
        <v>926</v>
      </c>
      <c r="I1040" s="8" t="str">
        <f ca="1">IFERROR(__xludf.DUMMYFUNCTION("IF
(
G1041=""фізична особа""
,
VLOOKUP(H1041,IMPORTRANGE(""https://docs.google.com/spreadsheets/d/14Bd19lYaqBhU8_DElYkX7l4wRkHqqCUFNJY4AfY3kHU/edit?usp=sharing  #gid=0"",""фіз особи new!relations_name""),6,FALSE)
,
(IF
(
G1041=""юридична особа""
,
VLOOKUP"&amp;"(H1041,IMPORTRANGE(""https://docs.google.com/spreadsheets/d/14Bd19lYaqBhU8_DElYkX7l4wRkHqqCUFNJY4AfY3kHU/edit?usp=sharing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1040" s="7" t="s">
        <v>19</v>
      </c>
    </row>
    <row r="1041" spans="1:10" ht="13.2">
      <c r="A1041" s="7">
        <v>1040</v>
      </c>
      <c r="B1041" s="7">
        <v>1</v>
      </c>
      <c r="C1041" s="7" t="s">
        <v>10</v>
      </c>
      <c r="D1041" s="7">
        <v>364</v>
      </c>
      <c r="E1041" s="7" t="s">
        <v>17</v>
      </c>
      <c r="F1041" s="8" t="str">
        <f ca="1">IFERROR(__xludf.DUMMYFUNCTION("IF
(
C1042=""фізична особа""
,
VLOOKUP(D1042,IMPORTRANGE(""https://docs.google.com/spreadsheets/d/14Bd19lYaqBhU8_DElYkX7l4wRkHqqCUFNJY4AfY3kHU/edit?usp=sharing  #gid=0"",""фіз особи new!relations_name""),6,FALSE)
,
(IF
(
C1042=""юридична особа""
,
VLOOKUP"&amp;"(D1042,IMPORTRANGE(""https://docs.google.com/spreadsheets/d/14Bd19lYaqBhU8_DElYkX7l4wRkHqqCUFNJY4AfY3kHU/edit?usp=sharing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1" s="7" t="s">
        <v>10</v>
      </c>
      <c r="H1041" s="7">
        <v>1396</v>
      </c>
      <c r="I1041" s="8" t="str">
        <f ca="1">IFERROR(__xludf.DUMMYFUNCTION("IF
(
G1042=""фізична особа""
,
VLOOKUP(H1042,IMPORTRANGE(""https://docs.google.com/spreadsheets/d/14Bd19lYaqBhU8_DElYkX7l4wRkHqqCUFNJY4AfY3kHU/edit?usp=sharing  #gid=0"",""фіз особи new!relations_name""),6,FALSE)
,
(IF
(
G1042=""юридична особа""
,
VLOOKUP"&amp;"(H1042,IMPORTRANGE(""https://docs.google.com/spreadsheets/d/14Bd19lYaqBhU8_DElYkX7l4wRkHqqCUFNJY4AfY3kHU/edit?usp=sharing  #gid=0"",""фіз особи new!relations_name_uo""),7,FALSE)
,
)
))"),"КОВАЛЬЧУК Михайло Валентинович")</f>
        <v>КОВАЛЬЧУК Михайло Валентинович</v>
      </c>
      <c r="J1041" s="7" t="s">
        <v>12</v>
      </c>
    </row>
    <row r="1042" spans="1:10" ht="13.2">
      <c r="A1042" s="7">
        <v>1041</v>
      </c>
      <c r="B1042" s="7">
        <v>1</v>
      </c>
      <c r="C1042" s="7" t="s">
        <v>10</v>
      </c>
      <c r="D1042" s="7">
        <v>364</v>
      </c>
      <c r="E1042" s="7" t="s">
        <v>12</v>
      </c>
      <c r="F1042" s="8" t="str">
        <f ca="1">IFERROR(__xludf.DUMMYFUNCTION("IF
(
C1043=""фізична особа""
,
VLOOKUP(D1043,IMPORTRANGE(""https://docs.google.com/spreadsheets/d/14Bd19lYaqBhU8_DElYkX7l4wRkHqqCUFNJY4AfY3kHU/edit?usp=sharing  #gid=0"",""фіз особи new!relations_name""),6,FALSE)
,
(IF
(
C1043=""юридична особа""
,
VLOOKUP"&amp;"(D1043,IMPORTRANGE(""https://docs.google.com/spreadsheets/d/14Bd19lYaqBhU8_DElYkX7l4wRkHqqCUFNJY4AfY3kHU/edit?usp=sharing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2" s="7" t="s">
        <v>10</v>
      </c>
      <c r="H1042" s="7">
        <v>739</v>
      </c>
      <c r="I1042" s="8" t="str">
        <f ca="1">IFERROR(__xludf.DUMMYFUNCTION("IF
(
G1043=""фізична особа""
,
VLOOKUP(H1043,IMPORTRANGE(""https://docs.google.com/spreadsheets/d/14Bd19lYaqBhU8_DElYkX7l4wRkHqqCUFNJY4AfY3kHU/edit?usp=sharing  #gid=0"",""фіз особи new!relations_name""),6,FALSE)
,
(IF
(
G1043=""юридична особа""
,
VLOOKUP"&amp;"(H1043,IMPORTRANGE(""https://docs.google.com/spreadsheets/d/14Bd19lYaqBhU8_DElYkX7l4wRkHqqCUFNJY4AfY3kHU/edit?usp=sharing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J1042" s="7" t="s">
        <v>17</v>
      </c>
    </row>
    <row r="1043" spans="1:10" ht="13.2">
      <c r="A1043" s="7">
        <v>1042</v>
      </c>
      <c r="B1043" s="7">
        <v>1</v>
      </c>
      <c r="C1043" s="7" t="s">
        <v>10</v>
      </c>
      <c r="D1043" s="7">
        <v>364</v>
      </c>
      <c r="E1043" s="7" t="s">
        <v>26</v>
      </c>
      <c r="F1043" s="8" t="str">
        <f ca="1">IFERROR(__xludf.DUMMYFUNCTION("IF
(
C1044=""фізична особа""
,
VLOOKUP(D1044,IMPORTRANGE(""https://docs.google.com/spreadsheets/d/14Bd19lYaqBhU8_DElYkX7l4wRkHqqCUFNJY4AfY3kHU/edit?usp=sharing  #gid=0"",""фіз особи new!relations_name""),6,FALSE)
,
(IF
(
C1044=""юридична особа""
,
VLOOKUP"&amp;"(D1044,IMPORTRANGE(""https://docs.google.com/spreadsheets/d/14Bd19lYaqBhU8_DElYkX7l4wRkHqqCUFNJY4AfY3kHU/edit?usp=sharing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3" s="7" t="s">
        <v>10</v>
      </c>
      <c r="H1043" s="7">
        <v>23394</v>
      </c>
      <c r="I1043" s="8" t="str">
        <f ca="1">IFERROR(__xludf.DUMMYFUNCTION("IF
(
G1044=""фізична особа""
,
VLOOKUP(H1044,IMPORTRANGE(""https://docs.google.com/spreadsheets/d/14Bd19lYaqBhU8_DElYkX7l4wRkHqqCUFNJY4AfY3kHU/edit?usp=sharing  #gid=0"",""фіз особи new!relations_name""),6,FALSE)
,
(IF
(
G1044=""юридична особа""
,
VLOOKUP"&amp;"(H1044,IMPORTRANGE(""https://docs.google.com/spreadsheets/d/14Bd19lYaqBhU8_DElYkX7l4wRkHqqCUFNJY4AfY3kHU/edit?usp=sharing  #gid=0"",""фіз особи new!relations_name_uo""),7,FALSE)
,
)
))"),"БЛАГУШКО Валентина Андріївна")</f>
        <v>БЛАГУШКО Валентина Андріївна</v>
      </c>
      <c r="J1043" s="7" t="s">
        <v>27</v>
      </c>
    </row>
    <row r="1044" spans="1:10" ht="13.2">
      <c r="A1044" s="7">
        <v>1043</v>
      </c>
      <c r="B1044" s="7">
        <v>1</v>
      </c>
      <c r="C1044" s="7" t="s">
        <v>10</v>
      </c>
      <c r="D1044" s="7">
        <v>364</v>
      </c>
      <c r="E1044" s="7" t="s">
        <v>11</v>
      </c>
      <c r="F1044" s="8" t="str">
        <f ca="1">IFERROR(__xludf.DUMMYFUNCTION("IF
(
C1045=""фізична особа""
,
VLOOKUP(D1045,IMPORTRANGE(""https://docs.google.com/spreadsheets/d/14Bd19lYaqBhU8_DElYkX7l4wRkHqqCUFNJY4AfY3kHU/edit?usp=sharing  #gid=0"",""фіз особи new!relations_name""),6,FALSE)
,
(IF
(
C1045=""юридична особа""
,
VLOOKUP"&amp;"(D1045,IMPORTRANGE(""https://docs.google.com/spreadsheets/d/14Bd19lYaqBhU8_DElYkX7l4wRkHqqCUFNJY4AfY3kHU/edit?usp=sharing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4" s="7" t="s">
        <v>10</v>
      </c>
      <c r="H1044" s="7">
        <v>0</v>
      </c>
      <c r="I1044" s="8" t="str">
        <f ca="1">IFERROR(__xludf.DUMMYFUNCTION("IF
(
G1045=""фізична особа""
,
VLOOKUP(H1045,IMPORTRANGE(""https://docs.google.com/spreadsheets/d/14Bd19lYaqBhU8_DElYkX7l4wRkHqqCUFNJY4AfY3kHU/edit?usp=sharing  #gid=0"",""фіз особи new!relations_name""),6,FALSE)
,
(IF
(
G1045=""юридична особа""
,
VLOOKUP"&amp;"(H1045,IMPORTRANGE(""https://docs.google.com/spreadsheets/d/14Bd19lYaqBhU8_DElYkX7l4wRkHqqCUFNJY4AfY3kHU/edit?usp=sharing  #gid=0"",""фіз особи new!relations_name_uo""),7,FALSE)
,
)
))"),"#N/A")</f>
        <v>#N/A</v>
      </c>
      <c r="J1044" s="7" t="s">
        <v>11</v>
      </c>
    </row>
    <row r="1045" spans="1:10" ht="13.2">
      <c r="A1045" s="7">
        <v>1044</v>
      </c>
      <c r="B1045" s="7">
        <v>1</v>
      </c>
      <c r="C1045" s="7" t="s">
        <v>10</v>
      </c>
      <c r="D1045" s="7">
        <v>364</v>
      </c>
      <c r="E1045" s="7" t="s">
        <v>11</v>
      </c>
      <c r="F1045" s="8" t="str">
        <f ca="1">IFERROR(__xludf.DUMMYFUNCTION("IF
(
C1046=""фізична особа""
,
VLOOKUP(D1046,IMPORTRANGE(""https://docs.google.com/spreadsheets/d/14Bd19lYaqBhU8_DElYkX7l4wRkHqqCUFNJY4AfY3kHU/edit?usp=sharing  #gid=0"",""фіз особи new!relations_name""),6,FALSE)
,
(IF
(
C1046=""юридична особа""
,
VLOOKUP"&amp;"(D1046,IMPORTRANGE(""https://docs.google.com/spreadsheets/d/14Bd19lYaqBhU8_DElYkX7l4wRkHqqCUFNJY4AfY3kHU/edit?usp=sharing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5" s="7" t="s">
        <v>10</v>
      </c>
      <c r="H1045" s="7">
        <v>0</v>
      </c>
      <c r="I1045" s="8" t="str">
        <f ca="1">IFERROR(__xludf.DUMMYFUNCTION("IF
(
G1046=""фізична особа""
,
VLOOKUP(H1046,IMPORTRANGE(""https://docs.google.com/spreadsheets/d/14Bd19lYaqBhU8_DElYkX7l4wRkHqqCUFNJY4AfY3kHU/edit?usp=sharing  #gid=0"",""фіз особи new!relations_name""),6,FALSE)
,
(IF
(
G1046=""юридична особа""
,
VLOOKUP"&amp;"(H1046,IMPORTRANGE(""https://docs.google.com/spreadsheets/d/14Bd19lYaqBhU8_DElYkX7l4wRkHqqCUFNJY4AfY3kHU/edit?usp=sharing  #gid=0"",""фіз особи new!relations_name_uo""),7,FALSE)
,
)
))"),"#N/A")</f>
        <v>#N/A</v>
      </c>
      <c r="J1045" s="7" t="s">
        <v>11</v>
      </c>
    </row>
    <row r="1046" spans="1:10" ht="13.2">
      <c r="A1046" s="7">
        <v>1045</v>
      </c>
      <c r="B1046" s="7">
        <v>1</v>
      </c>
      <c r="C1046" s="7" t="s">
        <v>10</v>
      </c>
      <c r="D1046" s="7">
        <v>364</v>
      </c>
      <c r="E1046" s="7" t="s">
        <v>30</v>
      </c>
      <c r="F1046" s="8" t="str">
        <f ca="1">IFERROR(__xludf.DUMMYFUNCTION("IF
(
C1047=""фізична особа""
,
VLOOKUP(D1047,IMPORTRANGE(""https://docs.google.com/spreadsheets/d/14Bd19lYaqBhU8_DElYkX7l4wRkHqqCUFNJY4AfY3kHU/edit?usp=sharing  #gid=0"",""фіз особи new!relations_name""),6,FALSE)
,
(IF
(
C1047=""юридична особа""
,
VLOOKUP"&amp;"(D1047,IMPORTRANGE(""https://docs.google.com/spreadsheets/d/14Bd19lYaqBhU8_DElYkX7l4wRkHqqCUFNJY4AfY3kHU/edit?usp=sharing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6" s="7" t="s">
        <v>10</v>
      </c>
      <c r="H1046" s="7">
        <v>672</v>
      </c>
      <c r="I1046" s="8" t="str">
        <f ca="1">IFERROR(__xludf.DUMMYFUNCTION("IF
(
G1047=""фізична особа""
,
VLOOKUP(H1047,IMPORTRANGE(""https://docs.google.com/spreadsheets/d/14Bd19lYaqBhU8_DElYkX7l4wRkHqqCUFNJY4AfY3kHU/edit?usp=sharing  #gid=0"",""фіз особи new!relations_name""),6,FALSE)
,
(IF
(
G1047=""юридична особа""
,
VLOOKUP"&amp;"(H1047,IMPORTRANGE(""https://docs.google.com/spreadsheets/d/14Bd19lYaqBhU8_DElYkX7l4wRkHqqCUFNJY4AfY3kHU/edit?usp=sharing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1046" s="7" t="s">
        <v>30</v>
      </c>
    </row>
    <row r="1047" spans="1:10" ht="13.2">
      <c r="A1047" s="7">
        <v>1046</v>
      </c>
      <c r="B1047" s="7">
        <v>1</v>
      </c>
      <c r="C1047" s="7" t="s">
        <v>10</v>
      </c>
      <c r="D1047" s="7">
        <v>364</v>
      </c>
      <c r="E1047" s="7" t="s">
        <v>30</v>
      </c>
      <c r="F1047" s="8" t="str">
        <f ca="1">IFERROR(__xludf.DUMMYFUNCTION("IF
(
C1048=""фізична особа""
,
VLOOKUP(D1048,IMPORTRANGE(""https://docs.google.com/spreadsheets/d/14Bd19lYaqBhU8_DElYkX7l4wRkHqqCUFNJY4AfY3kHU/edit?usp=sharing  #gid=0"",""фіз особи new!relations_name""),6,FALSE)
,
(IF
(
C1048=""юридична особа""
,
VLOOKUP"&amp;"(D1048,IMPORTRANGE(""https://docs.google.com/spreadsheets/d/14Bd19lYaqBhU8_DElYkX7l4wRkHqqCUFNJY4AfY3kHU/edit?usp=sharing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7" s="7" t="s">
        <v>10</v>
      </c>
      <c r="H1047" s="7">
        <v>899</v>
      </c>
      <c r="I1047" s="8" t="str">
        <f ca="1">IFERROR(__xludf.DUMMYFUNCTION("IF
(
G1048=""фізична особа""
,
VLOOKUP(H1048,IMPORTRANGE(""https://docs.google.com/spreadsheets/d/14Bd19lYaqBhU8_DElYkX7l4wRkHqqCUFNJY4AfY3kHU/edit?usp=sharing  #gid=0"",""фіз особи new!relations_name""),6,FALSE)
,
(IF
(
G1048=""юридична особа""
,
VLOOKUP"&amp;"(H1048,IMPORTRANGE(""https://docs.google.com/spreadsheets/d/14Bd19lYaqBhU8_DElYkX7l4wRkHqqCUFNJY4AfY3kHU/edit?usp=sharing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1047" s="7" t="s">
        <v>30</v>
      </c>
    </row>
    <row r="1048" spans="1:10" ht="13.2">
      <c r="A1048" s="7">
        <v>1047</v>
      </c>
      <c r="B1048" s="7">
        <v>1</v>
      </c>
      <c r="C1048" s="7" t="s">
        <v>10</v>
      </c>
      <c r="D1048" s="7">
        <v>364</v>
      </c>
      <c r="E1048" s="7" t="s">
        <v>30</v>
      </c>
      <c r="F1048" s="8" t="str">
        <f ca="1">IFERROR(__xludf.DUMMYFUNCTION("IF
(
C1049=""фізична особа""
,
VLOOKUP(D1049,IMPORTRANGE(""https://docs.google.com/spreadsheets/d/14Bd19lYaqBhU8_DElYkX7l4wRkHqqCUFNJY4AfY3kHU/edit?usp=sharing  #gid=0"",""фіз особи new!relations_name""),6,FALSE)
,
(IF
(
C1049=""юридична особа""
,
VLOOKUP"&amp;"(D1049,IMPORTRANGE(""https://docs.google.com/spreadsheets/d/14Bd19lYaqBhU8_DElYkX7l4wRkHqqCUFNJY4AfY3kHU/edit?usp=sharing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8" s="7" t="s">
        <v>10</v>
      </c>
      <c r="H1048" s="7">
        <v>23386</v>
      </c>
      <c r="I1048" s="8" t="str">
        <f ca="1">IFERROR(__xludf.DUMMYFUNCTION("IF
(
G1049=""фізична особа""
,
VLOOKUP(H1049,IMPORTRANGE(""https://docs.google.com/spreadsheets/d/14Bd19lYaqBhU8_DElYkX7l4wRkHqqCUFNJY4AfY3kHU/edit?usp=sharing  #gid=0"",""фіз особи new!relations_name""),6,FALSE)
,
(IF
(
G1049=""юридична особа""
,
VLOOKUP"&amp;"(H1049,IMPORTRANGE(""https://docs.google.com/spreadsheets/d/14Bd19lYaqBhU8_DElYkX7l4wRkHqqCUFNJY4AfY3kHU/edit?usp=sharing  #gid=0"",""фіз особи new!relations_name_uo""),7,FALSE)
,
)
))"),"ФАУСТ Валентин Ізидорович")</f>
        <v>ФАУСТ Валентин Ізидорович</v>
      </c>
      <c r="J1048" s="7" t="s">
        <v>30</v>
      </c>
    </row>
    <row r="1049" spans="1:10" ht="13.2">
      <c r="A1049" s="7">
        <v>1048</v>
      </c>
      <c r="B1049" s="7">
        <v>1</v>
      </c>
      <c r="C1049" s="7" t="s">
        <v>10</v>
      </c>
      <c r="D1049" s="7">
        <v>364</v>
      </c>
      <c r="E1049" s="7" t="s">
        <v>29</v>
      </c>
      <c r="F1049" s="8" t="str">
        <f ca="1">IFERROR(__xludf.DUMMYFUNCTION("IF
(
C1050=""фізична особа""
,
VLOOKUP(D1050,IMPORTRANGE(""https://docs.google.com/spreadsheets/d/14Bd19lYaqBhU8_DElYkX7l4wRkHqqCUFNJY4AfY3kHU/edit?usp=sharing  #gid=0"",""фіз особи new!relations_name""),6,FALSE)
,
(IF
(
C1050=""юридична особа""
,
VLOOKUP"&amp;"(D1050,IMPORTRANGE(""https://docs.google.com/spreadsheets/d/14Bd19lYaqBhU8_DElYkX7l4wRkHqqCUFNJY4AfY3kHU/edit?usp=sharing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G1049" s="7" t="s">
        <v>10</v>
      </c>
      <c r="H1049" s="7">
        <v>1436</v>
      </c>
      <c r="I1049" s="8" t="str">
        <f ca="1">IFERROR(__xludf.DUMMYFUNCTION("IF
(
G1050=""фізична особа""
,
VLOOKUP(H1050,IMPORTRANGE(""https://docs.google.com/spreadsheets/d/14Bd19lYaqBhU8_DElYkX7l4wRkHqqCUFNJY4AfY3kHU/edit?usp=sharing  #gid=0"",""фіз особи new!relations_name""),6,FALSE)
,
(IF
(
G1050=""юридична особа""
,
VLOOKUP"&amp;"(H1050,IMPORTRANGE(""https://docs.google.com/spreadsheets/d/14Bd19lYaqBhU8_DElYkX7l4wRkHqqCUFNJY4AfY3kHU/edit?usp=sharing  #gid=0"",""фіз особи new!relations_name_uo""),7,FALSE)
,
)
))"),"ХАЧАТУРОВ Тигран Гарікович")</f>
        <v>ХАЧАТУРОВ Тигран Гарікович</v>
      </c>
      <c r="J1049" s="7" t="s">
        <v>28</v>
      </c>
    </row>
    <row r="1050" spans="1:10" ht="13.2">
      <c r="A1050" s="7">
        <v>1049</v>
      </c>
      <c r="B1050" s="7">
        <v>1</v>
      </c>
      <c r="C1050" s="7" t="s">
        <v>10</v>
      </c>
      <c r="D1050" s="7">
        <v>365</v>
      </c>
      <c r="E1050" s="7" t="s">
        <v>14</v>
      </c>
      <c r="F1050" s="8" t="str">
        <f ca="1">IFERROR(__xludf.DUMMYFUNCTION("IF
(
C1051=""фізична особа""
,
VLOOKUP(D1051,IMPORTRANGE(""https://docs.google.com/spreadsheets/d/14Bd19lYaqBhU8_DElYkX7l4wRkHqqCUFNJY4AfY3kHU/edit?usp=sharing  #gid=0"",""фіз особи new!relations_name""),6,FALSE)
,
(IF
(
C1051=""юридична особа""
,
VLOOKUP"&amp;"(D1051,IMPORTRANGE(""https://docs.google.com/spreadsheets/d/14Bd19lYaqBhU8_DElYkX7l4wRkHqqCUFNJY4AfY3kHU/edit?usp=sharing  #gid=0"",""фіз особи new!relations_name_uo""),7,FALSE)
,
)
))"),"ДМИТРІЄВ Кирило Олександрович")</f>
        <v>ДМИТРІЄВ Кирило Олександрович</v>
      </c>
      <c r="G1050" s="7" t="s">
        <v>10</v>
      </c>
      <c r="H1050" s="7">
        <v>1580</v>
      </c>
      <c r="I1050" s="8" t="str">
        <f ca="1">IFERROR(__xludf.DUMMYFUNCTION("IF
(
G1051=""фізична особа""
,
VLOOKUP(H1051,IMPORTRANGE(""https://docs.google.com/spreadsheets/d/14Bd19lYaqBhU8_DElYkX7l4wRkHqqCUFNJY4AfY3kHU/edit?usp=sharing  #gid=0"",""фіз особи new!relations_name""),6,FALSE)
,
(IF
(
G1051=""юридична особа""
,
VLOOKUP"&amp;"(H1051,IMPORTRANGE(""https://docs.google.com/spreadsheets/d/14Bd19lYaqBhU8_DElYkX7l4wRkHqqCUFNJY4AfY3kHU/edit?usp=sharing  #gid=0"",""фіз особи new!relations_name_uo""),7,FALSE)
,
)
))"),"ПОПОВА Наталія Валеріївна")</f>
        <v>ПОПОВА Наталія Валеріївна</v>
      </c>
      <c r="J1050" s="7" t="s">
        <v>15</v>
      </c>
    </row>
    <row r="1051" spans="1:10" ht="13.2">
      <c r="A1051" s="7">
        <v>1050</v>
      </c>
      <c r="B1051" s="7">
        <v>1</v>
      </c>
      <c r="C1051" s="7" t="s">
        <v>10</v>
      </c>
      <c r="D1051" s="7">
        <v>365</v>
      </c>
      <c r="E1051" s="7" t="s">
        <v>11</v>
      </c>
      <c r="F1051" s="8" t="str">
        <f ca="1">IFERROR(__xludf.DUMMYFUNCTION("IF
(
C1052=""фізична особа""
,
VLOOKUP(D1052,IMPORTRANGE(""https://docs.google.com/spreadsheets/d/14Bd19lYaqBhU8_DElYkX7l4wRkHqqCUFNJY4AfY3kHU/edit?usp=sharing  #gid=0"",""фіз особи new!relations_name""),6,FALSE)
,
(IF
(
C1052=""юридична особа""
,
VLOOKUP"&amp;"(D1052,IMPORTRANGE(""https://docs.google.com/spreadsheets/d/14Bd19lYaqBhU8_DElYkX7l4wRkHqqCUFNJY4AfY3kHU/edit?usp=sharing  #gid=0"",""фіз особи new!relations_name_uo""),7,FALSE)
,
)
))"),"ДМИТРІЄВ Кирило Олександрович")</f>
        <v>ДМИТРІЄВ Кирило Олександрович</v>
      </c>
      <c r="G1051" s="7" t="s">
        <v>10</v>
      </c>
      <c r="H1051" s="7">
        <v>880</v>
      </c>
      <c r="I1051" s="8" t="str">
        <f ca="1">IFERROR(__xludf.DUMMYFUNCTION("IF
(
G1052=""фізична особа""
,
VLOOKUP(H1052,IMPORTRANGE(""https://docs.google.com/spreadsheets/d/14Bd19lYaqBhU8_DElYkX7l4wRkHqqCUFNJY4AfY3kHU/edit?usp=sharing  #gid=0"",""фіз особи new!relations_name""),6,FALSE)
,
(IF
(
G1052=""юридична особа""
,
VLOOKUP"&amp;"(H1052,IMPORTRANGE(""https://docs.google.com/spreadsheets/d/14Bd19lYaqBhU8_DElYkX7l4wRkHqqCUFNJY4AfY3kHU/edit?usp=sharing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51" s="7" t="s">
        <v>11</v>
      </c>
    </row>
    <row r="1052" spans="1:10" ht="13.2">
      <c r="A1052" s="7">
        <v>1051</v>
      </c>
      <c r="B1052" s="7">
        <v>1</v>
      </c>
      <c r="C1052" s="7" t="s">
        <v>10</v>
      </c>
      <c r="D1052" s="7">
        <v>365</v>
      </c>
      <c r="E1052" s="7" t="s">
        <v>16</v>
      </c>
      <c r="F1052" s="8" t="str">
        <f ca="1">IFERROR(__xludf.DUMMYFUNCTION("IF
(
C1053=""фізична особа""
,
VLOOKUP(D1053,IMPORTRANGE(""https://docs.google.com/spreadsheets/d/14Bd19lYaqBhU8_DElYkX7l4wRkHqqCUFNJY4AfY3kHU/edit?usp=sharing  #gid=0"",""фіз особи new!relations_name""),6,FALSE)
,
(IF
(
C1053=""юридична особа""
,
VLOOKUP"&amp;"(D1053,IMPORTRANGE(""https://docs.google.com/spreadsheets/d/14Bd19lYaqBhU8_DElYkX7l4wRkHqqCUFNJY4AfY3kHU/edit?usp=sharing  #gid=0"",""фіз особи new!relations_name_uo""),7,FALSE)
,
)
))"),"ДМИТРІЄВ Кирило Олександрович")</f>
        <v>ДМИТРІЄВ Кирило Олександрович</v>
      </c>
      <c r="G1052" s="7" t="s">
        <v>10</v>
      </c>
      <c r="H1052" s="7">
        <v>366</v>
      </c>
      <c r="I1052" s="8" t="str">
        <f ca="1">IFERROR(__xludf.DUMMYFUNCTION("IF
(
G1053=""фізична особа""
,
VLOOKUP(H1053,IMPORTRANGE(""https://docs.google.com/spreadsheets/d/14Bd19lYaqBhU8_DElYkX7l4wRkHqqCUFNJY4AfY3kHU/edit?usp=sharing  #gid=0"",""фіз особи new!relations_name""),6,FALSE)
,
(IF
(
G1053=""юридична особа""
,
VLOOKUP"&amp;"(H1053,IMPORTRANGE(""https://docs.google.com/spreadsheets/d/14Bd19lYaqBhU8_DElYkX7l4wRkHqqCUFNJY4AfY3kHU/edit?usp=sharing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J1052" s="7" t="s">
        <v>16</v>
      </c>
    </row>
    <row r="1053" spans="1:10" ht="13.2">
      <c r="A1053" s="7">
        <v>1052</v>
      </c>
      <c r="B1053" s="7">
        <v>1</v>
      </c>
      <c r="C1053" s="7" t="s">
        <v>10</v>
      </c>
      <c r="D1053" s="7">
        <v>366</v>
      </c>
      <c r="E1053" s="7" t="s">
        <v>16</v>
      </c>
      <c r="F1053" s="8" t="str">
        <f ca="1">IFERROR(__xludf.DUMMYFUNCTION("IF
(
C1054=""фізична особа""
,
VLOOKUP(D1054,IMPORTRANGE(""https://docs.google.com/spreadsheets/d/14Bd19lYaqBhU8_DElYkX7l4wRkHqqCUFNJY4AfY3kHU/edit?usp=sharing  #gid=0"",""фіз особи new!relations_name""),6,FALSE)
,
(IF
(
C1054=""юридична особа""
,
VLOOKUP"&amp;"(D1054,IMPORTRANGE(""https://docs.google.com/spreadsheets/d/14Bd19lYaqBhU8_DElYkX7l4wRkHqqCUFNJY4AfY3kHU/edit?usp=sharing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G1053" s="7" t="s">
        <v>10</v>
      </c>
      <c r="H1053" s="7">
        <v>365</v>
      </c>
      <c r="I1053" s="8" t="str">
        <f ca="1">IFERROR(__xludf.DUMMYFUNCTION("IF
(
G1054=""фізична особа""
,
VLOOKUP(H1054,IMPORTRANGE(""https://docs.google.com/spreadsheets/d/14Bd19lYaqBhU8_DElYkX7l4wRkHqqCUFNJY4AfY3kHU/edit?usp=sharing  #gid=0"",""фіз особи new!relations_name""),6,FALSE)
,
(IF
(
G1054=""юридична особа""
,
VLOOKUP"&amp;"(H1054,IMPORTRANGE(""https://docs.google.com/spreadsheets/d/14Bd19lYaqBhU8_DElYkX7l4wRkHqqCUFNJY4AfY3kHU/edit?usp=sharing  #gid=0"",""фіз особи new!relations_name_uo""),7,FALSE)
,
)
))"),"ДМИТРІЄВ Кирило Олександрович")</f>
        <v>ДМИТРІЄВ Кирило Олександрович</v>
      </c>
      <c r="J1053" s="7" t="s">
        <v>16</v>
      </c>
    </row>
    <row r="1054" spans="1:10" ht="13.2">
      <c r="A1054" s="7">
        <v>1053</v>
      </c>
      <c r="B1054" s="7">
        <v>1</v>
      </c>
      <c r="C1054" s="7" t="s">
        <v>10</v>
      </c>
      <c r="D1054" s="7">
        <v>366</v>
      </c>
      <c r="E1054" s="7" t="s">
        <v>17</v>
      </c>
      <c r="F1054" s="8" t="str">
        <f ca="1">IFERROR(__xludf.DUMMYFUNCTION("IF
(
C1055=""фізична особа""
,
VLOOKUP(D1055,IMPORTRANGE(""https://docs.google.com/spreadsheets/d/14Bd19lYaqBhU8_DElYkX7l4wRkHqqCUFNJY4AfY3kHU/edit?usp=sharing  #gid=0"",""фіз особи new!relations_name""),6,FALSE)
,
(IF
(
C1055=""юридична особа""
,
VLOOKUP"&amp;"(D1055,IMPORTRANGE(""https://docs.google.com/spreadsheets/d/14Bd19lYaqBhU8_DElYkX7l4wRkHqqCUFNJY4AfY3kHU/edit?usp=sharing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G1054" s="7" t="s">
        <v>10</v>
      </c>
      <c r="H1054" s="7">
        <v>995</v>
      </c>
      <c r="I1054" s="8" t="str">
        <f ca="1">IFERROR(__xludf.DUMMYFUNCTION("IF
(
G1055=""фізична особа""
,
VLOOKUP(H1055,IMPORTRANGE(""https://docs.google.com/spreadsheets/d/14Bd19lYaqBhU8_DElYkX7l4wRkHqqCUFNJY4AfY3kHU/edit?usp=sharing  #gid=0"",""фіз особи new!relations_name""),6,FALSE)
,
(IF
(
G1055=""юридична особа""
,
VLOOKUP"&amp;"(H1055,IMPORTRANGE(""https://docs.google.com/spreadsheets/d/14Bd19lYaqBhU8_DElYkX7l4wRkHqqCUFNJY4AfY3kHU/edit?usp=sharing  #gid=0"",""фіз особи new!relations_name_uo""),7,FALSE)
,
)
))"),"ШАМАЛОВ Микола Терентійович")</f>
        <v>ШАМАЛОВ Микола Терентійович</v>
      </c>
      <c r="J1054" s="7" t="s">
        <v>12</v>
      </c>
    </row>
    <row r="1055" spans="1:10" ht="13.2">
      <c r="A1055" s="7">
        <v>1054</v>
      </c>
      <c r="B1055" s="7">
        <v>1</v>
      </c>
      <c r="C1055" s="7" t="s">
        <v>10</v>
      </c>
      <c r="D1055" s="7">
        <v>366</v>
      </c>
      <c r="E1055" s="7" t="s">
        <v>18</v>
      </c>
      <c r="F1055" s="8" t="str">
        <f ca="1">IFERROR(__xludf.DUMMYFUNCTION("IF
(
C1056=""фізична особа""
,
VLOOKUP(D1056,IMPORTRANGE(""https://docs.google.com/spreadsheets/d/14Bd19lYaqBhU8_DElYkX7l4wRkHqqCUFNJY4AfY3kHU/edit?usp=sharing  #gid=0"",""фіз особи new!relations_name""),6,FALSE)
,
(IF
(
C1056=""юридична особа""
,
VLOOKUP"&amp;"(D1056,IMPORTRANGE(""https://docs.google.com/spreadsheets/d/14Bd19lYaqBhU8_DElYkX7l4wRkHqqCUFNJY4AfY3kHU/edit?usp=sharing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G1055" s="7" t="s">
        <v>10</v>
      </c>
      <c r="H1055" s="7">
        <v>1422</v>
      </c>
      <c r="I1055" s="8" t="str">
        <f ca="1">IFERROR(__xludf.DUMMYFUNCTION("IF
(
G1056=""фізична особа""
,
VLOOKUP(H1056,IMPORTRANGE(""https://docs.google.com/spreadsheets/d/14Bd19lYaqBhU8_DElYkX7l4wRkHqqCUFNJY4AfY3kHU/edit?usp=sharing  #gid=0"",""фіз особи new!relations_name""),6,FALSE)
,
(IF
(
G1056=""юридична особа""
,
VLOOKUP"&amp;"(H1056,IMPORTRANGE(""https://docs.google.com/spreadsheets/d/14Bd19lYaqBhU8_DElYkX7l4wRkHqqCUFNJY4AfY3kHU/edit?usp=sharing  #gid=0"",""фіз особи new!relations_name_uo""),7,FALSE)
,
)
))"),"ШАМАЛОВ Юрій Миколайович")</f>
        <v>ШАМАЛОВ Юрій Миколайович</v>
      </c>
      <c r="J1055" s="7" t="s">
        <v>18</v>
      </c>
    </row>
    <row r="1056" spans="1:10" ht="13.2">
      <c r="A1056" s="7">
        <v>1055</v>
      </c>
      <c r="B1056" s="7">
        <v>1</v>
      </c>
      <c r="C1056" s="7" t="s">
        <v>10</v>
      </c>
      <c r="D1056" s="7">
        <v>366</v>
      </c>
      <c r="E1056" s="7" t="s">
        <v>42</v>
      </c>
      <c r="F1056" s="8" t="str">
        <f ca="1">IFERROR(__xludf.DUMMYFUNCTION("IF
(
C1057=""фізична особа""
,
VLOOKUP(D1057,IMPORTRANGE(""https://docs.google.com/spreadsheets/d/14Bd19lYaqBhU8_DElYkX7l4wRkHqqCUFNJY4AfY3kHU/edit?usp=sharing  #gid=0"",""фіз особи new!relations_name""),6,FALSE)
,
(IF
(
C1057=""юридична особа""
,
VLOOKUP"&amp;"(D1057,IMPORTRANGE(""https://docs.google.com/spreadsheets/d/14Bd19lYaqBhU8_DElYkX7l4wRkHqqCUFNJY4AfY3kHU/edit?usp=sharing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G1056" s="7" t="s">
        <v>10</v>
      </c>
      <c r="H1056" s="7">
        <v>2495</v>
      </c>
      <c r="I1056" s="8" t="str">
        <f ca="1">IFERROR(__xludf.DUMMYFUNCTION("IF
(
G1057=""фізична особа""
,
VLOOKUP(H1057,IMPORTRANGE(""https://docs.google.com/spreadsheets/d/14Bd19lYaqBhU8_DElYkX7l4wRkHqqCUFNJY4AfY3kHU/edit?usp=sharing  #gid=0"",""фіз особи new!relations_name""),6,FALSE)
,
(IF
(
G1057=""юридична особа""
,
VLOOKUP"&amp;"(H1057,IMPORTRANGE(""https://docs.google.com/spreadsheets/d/14Bd19lYaqBhU8_DElYkX7l4wRkHqqCUFNJY4AfY3kHU/edit?usp=sharing  #gid=0"",""фіз особи new!relations_name_uo""),7,FALSE)
,
)
))"),"ПУТІНА / ТИХОНОВА Катерина Володимирівна")</f>
        <v>ПУТІНА / ТИХОНОВА Катерина Володимирівна</v>
      </c>
      <c r="J1056" s="7" t="s">
        <v>43</v>
      </c>
    </row>
    <row r="1057" spans="1:10" ht="13.2">
      <c r="A1057" s="7">
        <v>1056</v>
      </c>
      <c r="B1057" s="7">
        <v>1</v>
      </c>
      <c r="C1057" s="7" t="s">
        <v>10</v>
      </c>
      <c r="D1057" s="7">
        <v>366</v>
      </c>
      <c r="E1057" s="7" t="s">
        <v>26</v>
      </c>
      <c r="F1057" s="8" t="str">
        <f ca="1">IFERROR(__xludf.DUMMYFUNCTION("IF
(
C1058=""фізична особа""
,
VLOOKUP(D1058,IMPORTRANGE(""https://docs.google.com/spreadsheets/d/14Bd19lYaqBhU8_DElYkX7l4wRkHqqCUFNJY4AfY3kHU/edit?usp=sharing  #gid=0"",""фіз особи new!relations_name""),6,FALSE)
,
(IF
(
C1058=""юридична особа""
,
VLOOKUP"&amp;"(D1058,IMPORTRANGE(""https://docs.google.com/spreadsheets/d/14Bd19lYaqBhU8_DElYkX7l4wRkHqqCUFNJY4AfY3kHU/edit?usp=sharing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G1057" s="7" t="s">
        <v>10</v>
      </c>
      <c r="H1057" s="7">
        <v>880</v>
      </c>
      <c r="I1057" s="8" t="str">
        <f ca="1">IFERROR(__xludf.DUMMYFUNCTION("IF
(
G1058=""фізична особа""
,
VLOOKUP(H1058,IMPORTRANGE(""https://docs.google.com/spreadsheets/d/14Bd19lYaqBhU8_DElYkX7l4wRkHqqCUFNJY4AfY3kHU/edit?usp=sharing  #gid=0"",""фіз особи new!relations_name""),6,FALSE)
,
(IF
(
G1058=""юридична особа""
,
VLOOKUP"&amp;"(H1058,IMPORTRANGE(""https://docs.google.com/spreadsheets/d/14Bd19lYaqBhU8_DElYkX7l4wRkHqqCUFNJY4AfY3kHU/edit?usp=sharing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57" s="7" t="s">
        <v>34</v>
      </c>
    </row>
    <row r="1058" spans="1:10" ht="13.2">
      <c r="A1058" s="7">
        <v>1057</v>
      </c>
      <c r="B1058" s="7">
        <v>1</v>
      </c>
      <c r="C1058" s="7" t="s">
        <v>10</v>
      </c>
      <c r="D1058" s="7">
        <v>367</v>
      </c>
      <c r="E1058" s="7" t="s">
        <v>29</v>
      </c>
      <c r="F1058" s="8" t="str">
        <f ca="1">IFERROR(__xludf.DUMMYFUNCTION("IF
(
C1059=""фізична особа""
,
VLOOKUP(D1059,IMPORTRANGE(""https://docs.google.com/spreadsheets/d/14Bd19lYaqBhU8_DElYkX7l4wRkHqqCUFNJY4AfY3kHU/edit?usp=sharing  #gid=0"",""фіз особи new!relations_name""),6,FALSE)
,
(IF
(
C1059=""юридична особа""
,
VLOOKUP"&amp;"(D1059,IMPORTRANGE(""https://docs.google.com/spreadsheets/d/14Bd19lYaqBhU8_DElYkX7l4wRkHqqCUFNJY4AfY3kHU/edit?usp=sharing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58" s="7" t="s">
        <v>10</v>
      </c>
      <c r="H1058" s="7">
        <v>355</v>
      </c>
      <c r="I1058" s="8" t="str">
        <f ca="1">IFERROR(__xludf.DUMMYFUNCTION("IF
(
G1059=""фізична особа""
,
VLOOKUP(H1059,IMPORTRANGE(""https://docs.google.com/spreadsheets/d/14Bd19lYaqBhU8_DElYkX7l4wRkHqqCUFNJY4AfY3kHU/edit?usp=sharing  #gid=0"",""фіз особи new!relations_name""),6,FALSE)
,
(IF
(
G1059=""юридична особа""
,
VLOOKUP"&amp;"(H1059,IMPORTRANGE(""https://docs.google.com/spreadsheets/d/14Bd19lYaqBhU8_DElYkX7l4wRkHqqCUFNJY4AfY3kHU/edit?usp=sharing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1058" s="7" t="s">
        <v>28</v>
      </c>
    </row>
    <row r="1059" spans="1:10" ht="13.2">
      <c r="A1059" s="7">
        <v>1058</v>
      </c>
      <c r="B1059" s="7">
        <v>1</v>
      </c>
      <c r="C1059" s="7" t="s">
        <v>10</v>
      </c>
      <c r="D1059" s="7">
        <v>367</v>
      </c>
      <c r="E1059" s="7" t="s">
        <v>35</v>
      </c>
      <c r="F1059" s="8" t="str">
        <f ca="1">IFERROR(__xludf.DUMMYFUNCTION("IF
(
C1060=""фізична особа""
,
VLOOKUP(D1060,IMPORTRANGE(""https://docs.google.com/spreadsheets/d/14Bd19lYaqBhU8_DElYkX7l4wRkHqqCUFNJY4AfY3kHU/edit?usp=sharing  #gid=0"",""фіз особи new!relations_name""),6,FALSE)
,
(IF
(
C1060=""юридична особа""
,
VLOOKUP"&amp;"(D1060,IMPORTRANGE(""https://docs.google.com/spreadsheets/d/14Bd19lYaqBhU8_DElYkX7l4wRkHqqCUFNJY4AfY3kHU/edit?usp=sharing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59" s="7" t="s">
        <v>10</v>
      </c>
      <c r="H1059" s="7">
        <v>489</v>
      </c>
      <c r="I1059" s="8" t="str">
        <f ca="1">IFERROR(__xludf.DUMMYFUNCTION("IF
(
G1060=""фізична особа""
,
VLOOKUP(H1060,IMPORTRANGE(""https://docs.google.com/spreadsheets/d/14Bd19lYaqBhU8_DElYkX7l4wRkHqqCUFNJY4AfY3kHU/edit?usp=sharing  #gid=0"",""фіз особи new!relations_name""),6,FALSE)
,
(IF
(
G1060=""юридична особа""
,
VLOOKUP"&amp;"(H1060,IMPORTRANGE(""https://docs.google.com/spreadsheets/d/14Bd19lYaqBhU8_DElYkX7l4wRkHqqCUFNJY4AfY3kHU/edit?usp=sharing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1059" s="7" t="s">
        <v>35</v>
      </c>
    </row>
    <row r="1060" spans="1:10" ht="13.2">
      <c r="A1060" s="7">
        <v>1059</v>
      </c>
      <c r="B1060" s="7">
        <v>1</v>
      </c>
      <c r="C1060" s="7" t="s">
        <v>10</v>
      </c>
      <c r="D1060" s="7">
        <v>367</v>
      </c>
      <c r="E1060" s="7" t="s">
        <v>11</v>
      </c>
      <c r="F1060" s="8" t="str">
        <f ca="1">IFERROR(__xludf.DUMMYFUNCTION("IF
(
C1061=""фізична особа""
,
VLOOKUP(D1061,IMPORTRANGE(""https://docs.google.com/spreadsheets/d/14Bd19lYaqBhU8_DElYkX7l4wRkHqqCUFNJY4AfY3kHU/edit?usp=sharing  #gid=0"",""фіз особи new!relations_name""),6,FALSE)
,
(IF
(
C1061=""юридична особа""
,
VLOOKUP"&amp;"(D1061,IMPORTRANGE(""https://docs.google.com/spreadsheets/d/14Bd19lYaqBhU8_DElYkX7l4wRkHqqCUFNJY4AfY3kHU/edit?usp=sharing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0" s="7" t="s">
        <v>10</v>
      </c>
      <c r="H1060" s="7">
        <v>320</v>
      </c>
      <c r="I1060" s="8" t="str">
        <f ca="1">IFERROR(__xludf.DUMMYFUNCTION("IF
(
G1061=""фізична особа""
,
VLOOKUP(H1061,IMPORTRANGE(""https://docs.google.com/spreadsheets/d/14Bd19lYaqBhU8_DElYkX7l4wRkHqqCUFNJY4AfY3kHU/edit?usp=sharing  #gid=0"",""фіз особи new!relations_name""),6,FALSE)
,
(IF
(
G1061=""юридична особа""
,
VLOOKUP"&amp;"(H1061,IMPORTRANGE(""https://docs.google.com/spreadsheets/d/14Bd19lYaqBhU8_DElYkX7l4wRkHqqCUFNJY4AfY3kHU/edit?usp=sharing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060" s="7" t="s">
        <v>11</v>
      </c>
    </row>
    <row r="1061" spans="1:10" ht="13.2">
      <c r="A1061" s="7">
        <v>1060</v>
      </c>
      <c r="B1061" s="7">
        <v>1</v>
      </c>
      <c r="C1061" s="7" t="s">
        <v>10</v>
      </c>
      <c r="D1061" s="7">
        <v>367</v>
      </c>
      <c r="E1061" s="7" t="s">
        <v>11</v>
      </c>
      <c r="F1061" s="8" t="str">
        <f ca="1">IFERROR(__xludf.DUMMYFUNCTION("IF
(
C1062=""фізична особа""
,
VLOOKUP(D1062,IMPORTRANGE(""https://docs.google.com/spreadsheets/d/14Bd19lYaqBhU8_DElYkX7l4wRkHqqCUFNJY4AfY3kHU/edit?usp=sharing  #gid=0"",""фіз особи new!relations_name""),6,FALSE)
,
(IF
(
C1062=""юридична особа""
,
VLOOKUP"&amp;"(D1062,IMPORTRANGE(""https://docs.google.com/spreadsheets/d/14Bd19lYaqBhU8_DElYkX7l4wRkHqqCUFNJY4AfY3kHU/edit?usp=sharing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1" s="7" t="s">
        <v>10</v>
      </c>
      <c r="H1061" s="7">
        <v>531</v>
      </c>
      <c r="I1061" s="8" t="str">
        <f ca="1">IFERROR(__xludf.DUMMYFUNCTION("IF
(
G1062=""фізична особа""
,
VLOOKUP(H1062,IMPORTRANGE(""https://docs.google.com/spreadsheets/d/14Bd19lYaqBhU8_DElYkX7l4wRkHqqCUFNJY4AfY3kHU/edit?usp=sharing  #gid=0"",""фіз особи new!relations_name""),6,FALSE)
,
(IF
(
G1062=""юридична особа""
,
VLOOKUP"&amp;"(H1062,IMPORTRANGE(""https://docs.google.com/spreadsheets/d/14Bd19lYaqBhU8_DElYkX7l4wRkHqqCUFNJY4AfY3kHU/edit?usp=sharing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1061" s="7" t="s">
        <v>11</v>
      </c>
    </row>
    <row r="1062" spans="1:10" ht="13.2">
      <c r="A1062" s="7">
        <v>1061</v>
      </c>
      <c r="B1062" s="7">
        <v>1</v>
      </c>
      <c r="C1062" s="7" t="s">
        <v>10</v>
      </c>
      <c r="D1062" s="7">
        <v>367</v>
      </c>
      <c r="E1062" s="7" t="s">
        <v>29</v>
      </c>
      <c r="F1062" s="8" t="str">
        <f ca="1">IFERROR(__xludf.DUMMYFUNCTION("IF
(
C1063=""фізична особа""
,
VLOOKUP(D1063,IMPORTRANGE(""https://docs.google.com/spreadsheets/d/14Bd19lYaqBhU8_DElYkX7l4wRkHqqCUFNJY4AfY3kHU/edit?usp=sharing  #gid=0"",""фіз особи new!relations_name""),6,FALSE)
,
(IF
(
C1063=""юридична особа""
,
VLOOKUP"&amp;"(D1063,IMPORTRANGE(""https://docs.google.com/spreadsheets/d/14Bd19lYaqBhU8_DElYkX7l4wRkHqqCUFNJY4AfY3kHU/edit?usp=sharing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2" s="7" t="s">
        <v>10</v>
      </c>
      <c r="H1062" s="7">
        <v>385</v>
      </c>
      <c r="I1062" s="8" t="str">
        <f ca="1">IFERROR(__xludf.DUMMYFUNCTION("IF
(
G1063=""фізична особа""
,
VLOOKUP(H1063,IMPORTRANGE(""https://docs.google.com/spreadsheets/d/14Bd19lYaqBhU8_DElYkX7l4wRkHqqCUFNJY4AfY3kHU/edit?usp=sharing  #gid=0"",""фіз особи new!relations_name""),6,FALSE)
,
(IF
(
G1063=""юридична особа""
,
VLOOKUP"&amp;"(H1063,IMPORTRANGE(""https://docs.google.com/spreadsheets/d/14Bd19lYaqBhU8_DElYkX7l4wRkHqqCUFNJY4AfY3kHU/edit?usp=sharing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1062" s="7" t="s">
        <v>28</v>
      </c>
    </row>
    <row r="1063" spans="1:10" ht="13.2">
      <c r="A1063" s="7">
        <v>1062</v>
      </c>
      <c r="B1063" s="7">
        <v>1</v>
      </c>
      <c r="C1063" s="7" t="s">
        <v>10</v>
      </c>
      <c r="D1063" s="7">
        <v>367</v>
      </c>
      <c r="E1063" s="7" t="s">
        <v>29</v>
      </c>
      <c r="F1063" s="8" t="str">
        <f ca="1">IFERROR(__xludf.DUMMYFUNCTION("IF
(
C1064=""фізична особа""
,
VLOOKUP(D1064,IMPORTRANGE(""https://docs.google.com/spreadsheets/d/14Bd19lYaqBhU8_DElYkX7l4wRkHqqCUFNJY4AfY3kHU/edit?usp=sharing  #gid=0"",""фіз особи new!relations_name""),6,FALSE)
,
(IF
(
C1064=""юридична особа""
,
VLOOKUP"&amp;"(D1064,IMPORTRANGE(""https://docs.google.com/spreadsheets/d/14Bd19lYaqBhU8_DElYkX7l4wRkHqqCUFNJY4AfY3kHU/edit?usp=sharing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3" s="7" t="s">
        <v>10</v>
      </c>
      <c r="H1063" s="7">
        <v>794</v>
      </c>
      <c r="I1063" s="8" t="str">
        <f ca="1">IFERROR(__xludf.DUMMYFUNCTION("IF
(
G1064=""фізична особа""
,
VLOOKUP(H1064,IMPORTRANGE(""https://docs.google.com/spreadsheets/d/14Bd19lYaqBhU8_DElYkX7l4wRkHqqCUFNJY4AfY3kHU/edit?usp=sharing  #gid=0"",""фіз особи new!relations_name""),6,FALSE)
,
(IF
(
G1064=""юридична особа""
,
VLOOKUP"&amp;"(H1064,IMPORTRANGE(""https://docs.google.com/spreadsheets/d/14Bd19lYaqBhU8_DElYkX7l4wRkHqqCUFNJY4AfY3kHU/edit?usp=sharing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063" s="7" t="s">
        <v>28</v>
      </c>
    </row>
    <row r="1064" spans="1:10" ht="13.2">
      <c r="A1064" s="7">
        <v>1063</v>
      </c>
      <c r="B1064" s="7">
        <v>1</v>
      </c>
      <c r="C1064" s="7" t="s">
        <v>10</v>
      </c>
      <c r="D1064" s="7">
        <v>367</v>
      </c>
      <c r="E1064" s="7" t="s">
        <v>29</v>
      </c>
      <c r="F1064" s="8" t="str">
        <f ca="1">IFERROR(__xludf.DUMMYFUNCTION("IF
(
C1065=""фізична особа""
,
VLOOKUP(D1065,IMPORTRANGE(""https://docs.google.com/spreadsheets/d/14Bd19lYaqBhU8_DElYkX7l4wRkHqqCUFNJY4AfY3kHU/edit?usp=sharing  #gid=0"",""фіз особи new!relations_name""),6,FALSE)
,
(IF
(
C1065=""юридична особа""
,
VLOOKUP"&amp;"(D1065,IMPORTRANGE(""https://docs.google.com/spreadsheets/d/14Bd19lYaqBhU8_DElYkX7l4wRkHqqCUFNJY4AfY3kHU/edit?usp=sharing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4" s="7" t="s">
        <v>10</v>
      </c>
      <c r="H1064" s="7">
        <v>754</v>
      </c>
      <c r="I1064" s="8" t="str">
        <f ca="1">IFERROR(__xludf.DUMMYFUNCTION("IF
(
G1065=""фізична особа""
,
VLOOKUP(H1065,IMPORTRANGE(""https://docs.google.com/spreadsheets/d/14Bd19lYaqBhU8_DElYkX7l4wRkHqqCUFNJY4AfY3kHU/edit?usp=sharing  #gid=0"",""фіз особи new!relations_name""),6,FALSE)
,
(IF
(
G1065=""юридична особа""
,
VLOOKUP"&amp;"(H1065,IMPORTRANGE(""https://docs.google.com/spreadsheets/d/14Bd19lYaqBhU8_DElYkX7l4wRkHqqCUFNJY4AfY3kHU/edit?usp=sharing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1064" s="7" t="s">
        <v>28</v>
      </c>
    </row>
    <row r="1065" spans="1:10" ht="13.2">
      <c r="A1065" s="7">
        <v>1064</v>
      </c>
      <c r="B1065" s="7">
        <v>1</v>
      </c>
      <c r="C1065" s="7" t="s">
        <v>10</v>
      </c>
      <c r="D1065" s="7">
        <v>367</v>
      </c>
      <c r="E1065" s="7" t="s">
        <v>11</v>
      </c>
      <c r="F1065" s="8" t="str">
        <f ca="1">IFERROR(__xludf.DUMMYFUNCTION("IF
(
C1066=""фізична особа""
,
VLOOKUP(D1066,IMPORTRANGE(""https://docs.google.com/spreadsheets/d/14Bd19lYaqBhU8_DElYkX7l4wRkHqqCUFNJY4AfY3kHU/edit?usp=sharing  #gid=0"",""фіз особи new!relations_name""),6,FALSE)
,
(IF
(
C1066=""юридична особа""
,
VLOOKUP"&amp;"(D1066,IMPORTRANGE(""https://docs.google.com/spreadsheets/d/14Bd19lYaqBhU8_DElYkX7l4wRkHqqCUFNJY4AfY3kHU/edit?usp=sharing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G1065" s="7" t="s">
        <v>10</v>
      </c>
      <c r="H1065" s="7">
        <v>386</v>
      </c>
      <c r="I1065" s="8" t="str">
        <f ca="1">IFERROR(__xludf.DUMMYFUNCTION("IF
(
G1066=""фізична особа""
,
VLOOKUP(H1066,IMPORTRANGE(""https://docs.google.com/spreadsheets/d/14Bd19lYaqBhU8_DElYkX7l4wRkHqqCUFNJY4AfY3kHU/edit?usp=sharing  #gid=0"",""фіз особи new!relations_name""),6,FALSE)
,
(IF
(
G1066=""юридична особа""
,
VLOOKUP"&amp;"(H1066,IMPORTRANGE(""https://docs.google.com/spreadsheets/d/14Bd19lYaqBhU8_DElYkX7l4wRkHqqCUFNJY4AfY3kHU/edit?usp=sharing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1065" s="7" t="s">
        <v>11</v>
      </c>
    </row>
    <row r="1066" spans="1:10" ht="13.2">
      <c r="A1066" s="7">
        <v>1065</v>
      </c>
      <c r="B1066" s="7">
        <v>1</v>
      </c>
      <c r="C1066" s="7" t="s">
        <v>10</v>
      </c>
      <c r="D1066" s="7">
        <v>368</v>
      </c>
      <c r="E1066" s="7" t="s">
        <v>48</v>
      </c>
      <c r="F1066" s="8" t="str">
        <f ca="1">IFERROR(__xludf.DUMMYFUNCTION("IF
(
C1067=""фізична особа""
,
VLOOKUP(D1067,IMPORTRANGE(""https://docs.google.com/spreadsheets/d/14Bd19lYaqBhU8_DElYkX7l4wRkHqqCUFNJY4AfY3kHU/edit?usp=sharing  #gid=0"",""фіз особи new!relations_name""),6,FALSE)
,
(IF
(
C1067=""юридична особа""
,
VLOOKUP"&amp;"(D1067,IMPORTRANGE(""https://docs.google.com/spreadsheets/d/14Bd19lYaqBhU8_DElYkX7l4wRkHqqCUFNJY4AfY3kHU/edit?usp=sharing  #gid=0"",""фіз особи new!relations_name_uo""),7,FALSE)
,
)
))"),"МАКСІМОВ Олександр Олександрович")</f>
        <v>МАКСІМОВ Олександр Олександрович</v>
      </c>
      <c r="G1066" s="7" t="s">
        <v>10</v>
      </c>
      <c r="H1066" s="7">
        <v>23395</v>
      </c>
      <c r="I1066" s="8" t="str">
        <f ca="1">IFERROR(__xludf.DUMMYFUNCTION("IF
(
G1067=""фізична особа""
,
VLOOKUP(H1067,IMPORTRANGE(""https://docs.google.com/spreadsheets/d/14Bd19lYaqBhU8_DElYkX7l4wRkHqqCUFNJY4AfY3kHU/edit?usp=sharing  #gid=0"",""фіз особи new!relations_name""),6,FALSE)
,
(IF
(
G1067=""юридична особа""
,
VLOOKUP"&amp;"(H1067,IMPORTRANGE(""https://docs.google.com/spreadsheets/d/14Bd19lYaqBhU8_DElYkX7l4wRkHqqCUFNJY4AfY3kHU/edit?usp=sharing  #gid=0"",""фіз особи new!relations_name_uo""),7,FALSE)
,
)
))"),"ТУЛЕЄВ Аман Гумирович")</f>
        <v>ТУЛЕЄВ Аман Гумирович</v>
      </c>
      <c r="J1066" s="7" t="s">
        <v>48</v>
      </c>
    </row>
    <row r="1067" spans="1:10" ht="13.2">
      <c r="A1067" s="7">
        <v>1066</v>
      </c>
      <c r="B1067" s="7">
        <v>1</v>
      </c>
      <c r="C1067" s="7" t="s">
        <v>10</v>
      </c>
      <c r="D1067" s="7">
        <v>370</v>
      </c>
      <c r="E1067" s="7" t="s">
        <v>14</v>
      </c>
      <c r="F1067" s="8" t="str">
        <f ca="1">IFERROR(__xludf.DUMMYFUNCTION("IF
(
C1068=""фізична особа""
,
VLOOKUP(D1068,IMPORTRANGE(""https://docs.google.com/spreadsheets/d/14Bd19lYaqBhU8_DElYkX7l4wRkHqqCUFNJY4AfY3kHU/edit?usp=sharing  #gid=0"",""фіз особи new!relations_name""),6,FALSE)
,
(IF
(
C1068=""юридична особа""
,
VLOOKUP"&amp;"(D1068,IMPORTRANGE(""https://docs.google.com/spreadsheets/d/14Bd19lYaqBhU8_DElYkX7l4wRkHqqCUFNJY4AfY3kHU/edit?usp=sharing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67" s="7" t="s">
        <v>10</v>
      </c>
      <c r="H1067" s="7">
        <v>4991</v>
      </c>
      <c r="I1067" s="8" t="str">
        <f ca="1">IFERROR(__xludf.DUMMYFUNCTION("IF
(
G1068=""фізична особа""
,
VLOOKUP(H1068,IMPORTRANGE(""https://docs.google.com/spreadsheets/d/14Bd19lYaqBhU8_DElYkX7l4wRkHqqCUFNJY4AfY3kHU/edit?usp=sharing  #gid=0"",""фіз особи new!relations_name""),6,FALSE)
,
(IF
(
G1068=""юридична особа""
,
VLOOKUP"&amp;"(H1068,IMPORTRANGE(""https://docs.google.com/spreadsheets/d/14Bd19lYaqBhU8_DElYkX7l4wRkHqqCUFNJY4AfY3kHU/edit?usp=sharing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J1067" s="7" t="s">
        <v>15</v>
      </c>
    </row>
    <row r="1068" spans="1:10" ht="13.2">
      <c r="A1068" s="7">
        <v>1067</v>
      </c>
      <c r="B1068" s="7">
        <v>1</v>
      </c>
      <c r="C1068" s="7" t="s">
        <v>10</v>
      </c>
      <c r="D1068" s="7">
        <v>370</v>
      </c>
      <c r="E1068" s="7" t="s">
        <v>12</v>
      </c>
      <c r="F1068" s="8" t="str">
        <f ca="1">IFERROR(__xludf.DUMMYFUNCTION("IF
(
C1069=""фізична особа""
,
VLOOKUP(D1069,IMPORTRANGE(""https://docs.google.com/spreadsheets/d/14Bd19lYaqBhU8_DElYkX7l4wRkHqqCUFNJY4AfY3kHU/edit?usp=sharing  #gid=0"",""фіз особи new!relations_name""),6,FALSE)
,
(IF
(
C1069=""юридична особа""
,
VLOOKUP"&amp;"(D1069,IMPORTRANGE(""https://docs.google.com/spreadsheets/d/14Bd19lYaqBhU8_DElYkX7l4wRkHqqCUFNJY4AfY3kHU/edit?usp=sharing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68" s="7" t="s">
        <v>10</v>
      </c>
      <c r="H1068" s="7">
        <v>4992</v>
      </c>
      <c r="I1068" s="8" t="str">
        <f ca="1">IFERROR(__xludf.DUMMYFUNCTION("IF
(
G1069=""фізична особа""
,
VLOOKUP(H1069,IMPORTRANGE(""https://docs.google.com/spreadsheets/d/14Bd19lYaqBhU8_DElYkX7l4wRkHqqCUFNJY4AfY3kHU/edit?usp=sharing  #gid=0"",""фіз особи new!relations_name""),6,FALSE)
,
(IF
(
G1069=""юридична особа""
,
VLOOKUP"&amp;"(H1069,IMPORTRANGE(""https://docs.google.com/spreadsheets/d/14Bd19lYaqBhU8_DElYkX7l4wRkHqqCUFNJY4AfY3kHU/edit?usp=sharing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J1068" s="7" t="s">
        <v>17</v>
      </c>
    </row>
    <row r="1069" spans="1:10" ht="13.2">
      <c r="A1069" s="7">
        <v>1068</v>
      </c>
      <c r="B1069" s="7">
        <v>1</v>
      </c>
      <c r="C1069" s="7" t="s">
        <v>10</v>
      </c>
      <c r="D1069" s="7">
        <v>370</v>
      </c>
      <c r="E1069" s="7" t="s">
        <v>12</v>
      </c>
      <c r="F1069" s="8" t="str">
        <f ca="1">IFERROR(__xludf.DUMMYFUNCTION("IF
(
C1070=""фізична особа""
,
VLOOKUP(D1070,IMPORTRANGE(""https://docs.google.com/spreadsheets/d/14Bd19lYaqBhU8_DElYkX7l4wRkHqqCUFNJY4AfY3kHU/edit?usp=sharing  #gid=0"",""фіз особи new!relations_name""),6,FALSE)
,
(IF
(
C1070=""юридична особа""
,
VLOOKUP"&amp;"(D1070,IMPORTRANGE(""https://docs.google.com/spreadsheets/d/14Bd19lYaqBhU8_DElYkX7l4wRkHqqCUFNJY4AfY3kHU/edit?usp=sharing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69" s="7" t="s">
        <v>10</v>
      </c>
      <c r="H1069" s="7">
        <v>4993</v>
      </c>
      <c r="I1069" s="8" t="str">
        <f ca="1">IFERROR(__xludf.DUMMYFUNCTION("IF
(
G1070=""фізична особа""
,
VLOOKUP(H1070,IMPORTRANGE(""https://docs.google.com/spreadsheets/d/14Bd19lYaqBhU8_DElYkX7l4wRkHqqCUFNJY4AfY3kHU/edit?usp=sharing  #gid=0"",""фіз особи new!relations_name""),6,FALSE)
,
(IF
(
G1070=""юридична особа""
,
VLOOKUP"&amp;"(H1070,IMPORTRANGE(""https://docs.google.com/spreadsheets/d/14Bd19lYaqBhU8_DElYkX7l4wRkHqqCUFNJY4AfY3kHU/edit?usp=sharing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J1069" s="7" t="s">
        <v>13</v>
      </c>
    </row>
    <row r="1070" spans="1:10" ht="13.2">
      <c r="A1070" s="7">
        <v>1069</v>
      </c>
      <c r="B1070" s="7">
        <v>1</v>
      </c>
      <c r="C1070" s="7" t="s">
        <v>10</v>
      </c>
      <c r="D1070" s="7">
        <v>370</v>
      </c>
      <c r="E1070" s="7" t="s">
        <v>17</v>
      </c>
      <c r="F1070" s="8" t="str">
        <f ca="1">IFERROR(__xludf.DUMMYFUNCTION("IF
(
C1071=""фізична особа""
,
VLOOKUP(D1071,IMPORTRANGE(""https://docs.google.com/spreadsheets/d/14Bd19lYaqBhU8_DElYkX7l4wRkHqqCUFNJY4AfY3kHU/edit?usp=sharing  #gid=0"",""фіз особи new!relations_name""),6,FALSE)
,
(IF
(
C1071=""юридична особа""
,
VLOOKUP"&amp;"(D1071,IMPORTRANGE(""https://docs.google.com/spreadsheets/d/14Bd19lYaqBhU8_DElYkX7l4wRkHqqCUFNJY4AfY3kHU/edit?usp=sharing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70" s="7" t="s">
        <v>10</v>
      </c>
      <c r="H1070" s="7">
        <v>4989</v>
      </c>
      <c r="I1070" s="8" t="str">
        <f ca="1">IFERROR(__xludf.DUMMYFUNCTION("IF
(
G1071=""фізична особа""
,
VLOOKUP(H1071,IMPORTRANGE(""https://docs.google.com/spreadsheets/d/14Bd19lYaqBhU8_DElYkX7l4wRkHqqCUFNJY4AfY3kHU/edit?usp=sharing  #gid=0"",""фіз особи new!relations_name""),6,FALSE)
,
(IF
(
G1071=""юридична особа""
,
VLOOKUP"&amp;"(H1071,IMPORTRANGE(""https://docs.google.com/spreadsheets/d/14Bd19lYaqBhU8_DElYkX7l4wRkHqqCUFNJY4AfY3kHU/edit?usp=sharing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J1070" s="7" t="s">
        <v>12</v>
      </c>
    </row>
    <row r="1071" spans="1:10" ht="13.2">
      <c r="A1071" s="7">
        <v>1070</v>
      </c>
      <c r="B1071" s="7">
        <v>1</v>
      </c>
      <c r="C1071" s="7" t="s">
        <v>10</v>
      </c>
      <c r="D1071" s="7">
        <v>370</v>
      </c>
      <c r="E1071" s="7" t="s">
        <v>17</v>
      </c>
      <c r="F1071" s="8" t="str">
        <f ca="1">IFERROR(__xludf.DUMMYFUNCTION("IF
(
C1072=""фізична особа""
,
VLOOKUP(D1072,IMPORTRANGE(""https://docs.google.com/spreadsheets/d/14Bd19lYaqBhU8_DElYkX7l4wRkHqqCUFNJY4AfY3kHU/edit?usp=sharing  #gid=0"",""фіз особи new!relations_name""),6,FALSE)
,
(IF
(
C1072=""юридична особа""
,
VLOOKUP"&amp;"(D1072,IMPORTRANGE(""https://docs.google.com/spreadsheets/d/14Bd19lYaqBhU8_DElYkX7l4wRkHqqCUFNJY4AfY3kHU/edit?usp=sharing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71" s="7" t="s">
        <v>10</v>
      </c>
      <c r="H1071" s="7">
        <v>4990</v>
      </c>
      <c r="I1071" s="8" t="str">
        <f ca="1">IFERROR(__xludf.DUMMYFUNCTION("IF
(
G1072=""фізична особа""
,
VLOOKUP(H1072,IMPORTRANGE(""https://docs.google.com/spreadsheets/d/14Bd19lYaqBhU8_DElYkX7l4wRkHqqCUFNJY4AfY3kHU/edit?usp=sharing  #gid=0"",""фіз особи new!relations_name""),6,FALSE)
,
(IF
(
G1072=""юридична особа""
,
VLOOKUP"&amp;"(H1072,IMPORTRANGE(""https://docs.google.com/spreadsheets/d/14Bd19lYaqBhU8_DElYkX7l4wRkHqqCUFNJY4AfY3kHU/edit?usp=sharing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J1071" s="7" t="s">
        <v>21</v>
      </c>
    </row>
    <row r="1072" spans="1:10" ht="13.2">
      <c r="A1072" s="7">
        <v>1071</v>
      </c>
      <c r="B1072" s="7">
        <v>1</v>
      </c>
      <c r="C1072" s="7" t="s">
        <v>10</v>
      </c>
      <c r="D1072" s="7">
        <v>370</v>
      </c>
      <c r="E1072" s="7" t="s">
        <v>48</v>
      </c>
      <c r="F1072" s="8" t="str">
        <f ca="1">IFERROR(__xludf.DUMMYFUNCTION("IF
(
C1073=""фізична особа""
,
VLOOKUP(D1073,IMPORTRANGE(""https://docs.google.com/spreadsheets/d/14Bd19lYaqBhU8_DElYkX7l4wRkHqqCUFNJY4AfY3kHU/edit?usp=sharing  #gid=0"",""фіз особи new!relations_name""),6,FALSE)
,
(IF
(
C1073=""юридична особа""
,
VLOOKUP"&amp;"(D1073,IMPORTRANGE(""https://docs.google.com/spreadsheets/d/14Bd19lYaqBhU8_DElYkX7l4wRkHqqCUFNJY4AfY3kHU/edit?usp=sharing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72" s="7" t="s">
        <v>10</v>
      </c>
      <c r="H1072" s="7">
        <v>2172</v>
      </c>
      <c r="I1072" s="8" t="str">
        <f ca="1">IFERROR(__xludf.DUMMYFUNCTION("IF
(
G1073=""фізична особа""
,
VLOOKUP(H1073,IMPORTRANGE(""https://docs.google.com/spreadsheets/d/14Bd19lYaqBhU8_DElYkX7l4wRkHqqCUFNJY4AfY3kHU/edit?usp=sharing  #gid=0"",""фіз особи new!relations_name""),6,FALSE)
,
(IF
(
G1073=""юридична особа""
,
VLOOKUP"&amp;"(H1073,IMPORTRANGE(""https://docs.google.com/spreadsheets/d/14Bd19lYaqBhU8_DElYkX7l4wRkHqqCUFNJY4AfY3kHU/edit?usp=sharing  #gid=0"",""фіз особи new!relations_name_uo""),7,FALSE)
,
)
))"),"ПОТАНІН Володимир Олегович")</f>
        <v>ПОТАНІН Володимир Олегович</v>
      </c>
      <c r="J1072" s="7" t="s">
        <v>48</v>
      </c>
    </row>
    <row r="1073" spans="1:10" ht="13.2">
      <c r="A1073" s="7">
        <v>1072</v>
      </c>
      <c r="B1073" s="7">
        <v>1</v>
      </c>
      <c r="C1073" s="7" t="s">
        <v>10</v>
      </c>
      <c r="D1073" s="7">
        <v>370</v>
      </c>
      <c r="E1073" s="7" t="s">
        <v>66</v>
      </c>
      <c r="F1073" s="8" t="str">
        <f ca="1">IFERROR(__xludf.DUMMYFUNCTION("IF
(
C1074=""фізична особа""
,
VLOOKUP(D1074,IMPORTRANGE(""https://docs.google.com/spreadsheets/d/14Bd19lYaqBhU8_DElYkX7l4wRkHqqCUFNJY4AfY3kHU/edit?usp=sharing  #gid=0"",""фіз особи new!relations_name""),6,FALSE)
,
(IF
(
C1074=""юридична особа""
,
VLOOKUP"&amp;"(D1074,IMPORTRANGE(""https://docs.google.com/spreadsheets/d/14Bd19lYaqBhU8_DElYkX7l4wRkHqqCUFNJY4AfY3kHU/edit?usp=sharing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73" s="7" t="s">
        <v>10</v>
      </c>
      <c r="H1073" s="7">
        <v>0</v>
      </c>
      <c r="I1073" s="8" t="str">
        <f ca="1">IFERROR(__xludf.DUMMYFUNCTION("IF
(
G1074=""фізична особа""
,
VLOOKUP(H1074,IMPORTRANGE(""https://docs.google.com/spreadsheets/d/14Bd19lYaqBhU8_DElYkX7l4wRkHqqCUFNJY4AfY3kHU/edit?usp=sharing  #gid=0"",""фіз особи new!relations_name""),6,FALSE)
,
(IF
(
G1074=""юридична особа""
,
VLOOKUP"&amp;"(H1074,IMPORTRANGE(""https://docs.google.com/spreadsheets/d/14Bd19lYaqBhU8_DElYkX7l4wRkHqqCUFNJY4AfY3kHU/edit?usp=sharing  #gid=0"",""фіз особи new!relations_name_uo""),7,FALSE)
,
)
))"),"#N/A")</f>
        <v>#N/A</v>
      </c>
      <c r="J1073" s="7" t="s">
        <v>66</v>
      </c>
    </row>
    <row r="1074" spans="1:10" ht="13.2">
      <c r="A1074" s="7">
        <v>1073</v>
      </c>
      <c r="B1074" s="7">
        <v>1</v>
      </c>
      <c r="C1074" s="7" t="s">
        <v>10</v>
      </c>
      <c r="D1074" s="7">
        <v>370</v>
      </c>
      <c r="E1074" s="7" t="s">
        <v>29</v>
      </c>
      <c r="F1074" s="8" t="str">
        <f ca="1">IFERROR(__xludf.DUMMYFUNCTION("IF
(
C1075=""фізична особа""
,
VLOOKUP(D1075,IMPORTRANGE(""https://docs.google.com/spreadsheets/d/14Bd19lYaqBhU8_DElYkX7l4wRkHqqCUFNJY4AfY3kHU/edit?usp=sharing  #gid=0"",""фіз особи new!relations_name""),6,FALSE)
,
(IF
(
C1075=""юридична особа""
,
VLOOKUP"&amp;"(D1075,IMPORTRANGE(""https://docs.google.com/spreadsheets/d/14Bd19lYaqBhU8_DElYkX7l4wRkHqqCUFNJY4AfY3kHU/edit?usp=sharing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G1074" s="7" t="s">
        <v>10</v>
      </c>
      <c r="H1074" s="7">
        <v>0</v>
      </c>
      <c r="I1074" s="8" t="str">
        <f ca="1">IFERROR(__xludf.DUMMYFUNCTION("IF
(
G1075=""фізична особа""
,
VLOOKUP(H1075,IMPORTRANGE(""https://docs.google.com/spreadsheets/d/14Bd19lYaqBhU8_DElYkX7l4wRkHqqCUFNJY4AfY3kHU/edit?usp=sharing  #gid=0"",""фіз особи new!relations_name""),6,FALSE)
,
(IF
(
G1075=""юридична особа""
,
VLOOKUP"&amp;"(H1075,IMPORTRANGE(""https://docs.google.com/spreadsheets/d/14Bd19lYaqBhU8_DElYkX7l4wRkHqqCUFNJY4AfY3kHU/edit?usp=sharing  #gid=0"",""фіз особи new!relations_name_uo""),7,FALSE)
,
)
))"),"#N/A")</f>
        <v>#N/A</v>
      </c>
      <c r="J1074" s="7" t="s">
        <v>28</v>
      </c>
    </row>
    <row r="1075" spans="1:10" ht="13.2">
      <c r="A1075" s="7">
        <v>1074</v>
      </c>
      <c r="B1075" s="7">
        <v>1</v>
      </c>
      <c r="C1075" s="7" t="s">
        <v>10</v>
      </c>
      <c r="D1075" s="7">
        <v>371</v>
      </c>
      <c r="E1075" s="7" t="s">
        <v>28</v>
      </c>
      <c r="F1075" s="8" t="str">
        <f ca="1">IFERROR(__xludf.DUMMYFUNCTION("IF
(
C1076=""фізична особа""
,
VLOOKUP(D1076,IMPORTRANGE(""https://docs.google.com/spreadsheets/d/14Bd19lYaqBhU8_DElYkX7l4wRkHqqCUFNJY4AfY3kHU/edit?usp=sharing  #gid=0"",""фіз особи new!relations_name""),6,FALSE)
,
(IF
(
C1076=""юридична особа""
,
VLOOKUP"&amp;"(D1076,IMPORTRANGE(""https://docs.google.com/spreadsheets/d/14Bd19lYaqBhU8_DElYkX7l4wRkHqqCUFNJY4AfY3kHU/edit?usp=sharing  #gid=0"",""фіз особи new!relations_name_uo""),7,FALSE)
,
)
))"),"КНЯГІНІН Володимир Миколайович")</f>
        <v>КНЯГІНІН Володимир Миколайович</v>
      </c>
      <c r="G1075" s="7" t="s">
        <v>10</v>
      </c>
      <c r="H1075" s="7">
        <v>468</v>
      </c>
      <c r="I1075" s="8" t="str">
        <f ca="1">IFERROR(__xludf.DUMMYFUNCTION("IF
(
G1076=""фізична особа""
,
VLOOKUP(H1076,IMPORTRANGE(""https://docs.google.com/spreadsheets/d/14Bd19lYaqBhU8_DElYkX7l4wRkHqqCUFNJY4AfY3kHU/edit?usp=sharing  #gid=0"",""фіз особи new!relations_name""),6,FALSE)
,
(IF
(
G1076=""юридична особа""
,
VLOOKUP"&amp;"(H1076,IMPORTRANGE(""https://docs.google.com/spreadsheets/d/14Bd19lYaqBhU8_DElYkX7l4wRkHqqCUFNJY4AfY3kHU/edit?usp=sharing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075" s="7" t="s">
        <v>29</v>
      </c>
    </row>
    <row r="1076" spans="1:10" ht="13.2">
      <c r="A1076" s="7">
        <v>1075</v>
      </c>
      <c r="B1076" s="7">
        <v>1</v>
      </c>
      <c r="C1076" s="7" t="s">
        <v>10</v>
      </c>
      <c r="D1076" s="7">
        <v>372</v>
      </c>
      <c r="E1076" s="7" t="s">
        <v>14</v>
      </c>
      <c r="F1076" s="8" t="str">
        <f ca="1">IFERROR(__xludf.DUMMYFUNCTION("IF
(
C1077=""фізична особа""
,
VLOOKUP(D1077,IMPORTRANGE(""https://docs.google.com/spreadsheets/d/14Bd19lYaqBhU8_DElYkX7l4wRkHqqCUFNJY4AfY3kHU/edit?usp=sharing  #gid=0"",""фіз особи new!relations_name""),6,FALSE)
,
(IF
(
C1077=""юридична особа""
,
VLOOKUP"&amp;"(D1077,IMPORTRANGE(""https://docs.google.com/spreadsheets/d/14Bd19lYaqBhU8_DElYkX7l4wRkHqqCUFNJY4AfY3kHU/edit?usp=sharing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76" s="7" t="s">
        <v>10</v>
      </c>
      <c r="H1076" s="7">
        <v>0</v>
      </c>
      <c r="I1076" s="8" t="str">
        <f ca="1">IFERROR(__xludf.DUMMYFUNCTION("IF
(
G1077=""фізична особа""
,
VLOOKUP(H1077,IMPORTRANGE(""https://docs.google.com/spreadsheets/d/14Bd19lYaqBhU8_DElYkX7l4wRkHqqCUFNJY4AfY3kHU/edit?usp=sharing  #gid=0"",""фіз особи new!relations_name""),6,FALSE)
,
(IF
(
G1077=""юридична особа""
,
VLOOKUP"&amp;"(H1077,IMPORTRANGE(""https://docs.google.com/spreadsheets/d/14Bd19lYaqBhU8_DElYkX7l4wRkHqqCUFNJY4AfY3kHU/edit?usp=sharing  #gid=0"",""фіз особи new!relations_name_uo""),7,FALSE)
,
)
))"),"#N/A")</f>
        <v>#N/A</v>
      </c>
      <c r="J1076" s="7" t="s">
        <v>15</v>
      </c>
    </row>
    <row r="1077" spans="1:10" ht="13.2">
      <c r="A1077" s="7">
        <v>1076</v>
      </c>
      <c r="B1077" s="7">
        <v>1</v>
      </c>
      <c r="C1077" s="7" t="s">
        <v>10</v>
      </c>
      <c r="D1077" s="7">
        <v>372</v>
      </c>
      <c r="E1077" s="7" t="s">
        <v>12</v>
      </c>
      <c r="F1077" s="8" t="str">
        <f ca="1">IFERROR(__xludf.DUMMYFUNCTION("IF
(
C1078=""фізична особа""
,
VLOOKUP(D1078,IMPORTRANGE(""https://docs.google.com/spreadsheets/d/14Bd19lYaqBhU8_DElYkX7l4wRkHqqCUFNJY4AfY3kHU/edit?usp=sharing  #gid=0"",""фіз особи new!relations_name""),6,FALSE)
,
(IF
(
C1078=""юридична особа""
,
VLOOKUP"&amp;"(D1078,IMPORTRANGE(""https://docs.google.com/spreadsheets/d/14Bd19lYaqBhU8_DElYkX7l4wRkHqqCUFNJY4AfY3kHU/edit?usp=sharing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77" s="7" t="s">
        <v>10</v>
      </c>
      <c r="H1077" s="7">
        <v>0</v>
      </c>
      <c r="I1077" s="8" t="str">
        <f ca="1">IFERROR(__xludf.DUMMYFUNCTION("IF
(
G1078=""фізична особа""
,
VLOOKUP(H1078,IMPORTRANGE(""https://docs.google.com/spreadsheets/d/14Bd19lYaqBhU8_DElYkX7l4wRkHqqCUFNJY4AfY3kHU/edit?usp=sharing  #gid=0"",""фіз особи new!relations_name""),6,FALSE)
,
(IF
(
G1078=""юридична особа""
,
VLOOKUP"&amp;"(H1078,IMPORTRANGE(""https://docs.google.com/spreadsheets/d/14Bd19lYaqBhU8_DElYkX7l4wRkHqqCUFNJY4AfY3kHU/edit?usp=sharing  #gid=0"",""фіз особи new!relations_name_uo""),7,FALSE)
,
)
))"),"#N/A")</f>
        <v>#N/A</v>
      </c>
      <c r="J1077" s="7" t="s">
        <v>13</v>
      </c>
    </row>
    <row r="1078" spans="1:10" ht="13.2">
      <c r="A1078" s="7">
        <v>1077</v>
      </c>
      <c r="B1078" s="7">
        <v>1</v>
      </c>
      <c r="C1078" s="7" t="s">
        <v>10</v>
      </c>
      <c r="D1078" s="7">
        <v>372</v>
      </c>
      <c r="E1078" s="7" t="s">
        <v>12</v>
      </c>
      <c r="F1078" s="8" t="str">
        <f ca="1">IFERROR(__xludf.DUMMYFUNCTION("IF
(
C1079=""фізична особа""
,
VLOOKUP(D1079,IMPORTRANGE(""https://docs.google.com/spreadsheets/d/14Bd19lYaqBhU8_DElYkX7l4wRkHqqCUFNJY4AfY3kHU/edit?usp=sharing  #gid=0"",""фіз особи new!relations_name""),6,FALSE)
,
(IF
(
C1079=""юридична особа""
,
VLOOKUP"&amp;"(D1079,IMPORTRANGE(""https://docs.google.com/spreadsheets/d/14Bd19lYaqBhU8_DElYkX7l4wRkHqqCUFNJY4AfY3kHU/edit?usp=sharing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78" s="7" t="s">
        <v>10</v>
      </c>
      <c r="H1078" s="7">
        <v>0</v>
      </c>
      <c r="I1078" s="8" t="str">
        <f ca="1">IFERROR(__xludf.DUMMYFUNCTION("IF
(
G1079=""фізична особа""
,
VLOOKUP(H1079,IMPORTRANGE(""https://docs.google.com/spreadsheets/d/14Bd19lYaqBhU8_DElYkX7l4wRkHqqCUFNJY4AfY3kHU/edit?usp=sharing  #gid=0"",""фіз особи new!relations_name""),6,FALSE)
,
(IF
(
G1079=""юридична особа""
,
VLOOKUP"&amp;"(H1079,IMPORTRANGE(""https://docs.google.com/spreadsheets/d/14Bd19lYaqBhU8_DElYkX7l4wRkHqqCUFNJY4AfY3kHU/edit?usp=sharing  #gid=0"",""фіз особи new!relations_name_uo""),7,FALSE)
,
)
))"),"#N/A")</f>
        <v>#N/A</v>
      </c>
      <c r="J1078" s="7" t="s">
        <v>13</v>
      </c>
    </row>
    <row r="1079" spans="1:10" ht="13.2">
      <c r="A1079" s="7">
        <v>1078</v>
      </c>
      <c r="B1079" s="7">
        <v>1</v>
      </c>
      <c r="C1079" s="7" t="s">
        <v>10</v>
      </c>
      <c r="D1079" s="7">
        <v>372</v>
      </c>
      <c r="E1079" s="7" t="s">
        <v>19</v>
      </c>
      <c r="F1079" s="8" t="str">
        <f ca="1">IFERROR(__xludf.DUMMYFUNCTION("IF
(
C1080=""фізична особа""
,
VLOOKUP(D1080,IMPORTRANGE(""https://docs.google.com/spreadsheets/d/14Bd19lYaqBhU8_DElYkX7l4wRkHqqCUFNJY4AfY3kHU/edit?usp=sharing  #gid=0"",""фіз особи new!relations_name""),6,FALSE)
,
(IF
(
C1080=""юридична особа""
,
VLOOKUP"&amp;"(D1080,IMPORTRANGE(""https://docs.google.com/spreadsheets/d/14Bd19lYaqBhU8_DElYkX7l4wRkHqqCUFNJY4AfY3kHU/edit?usp=sharing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79" s="7" t="s">
        <v>10</v>
      </c>
      <c r="H1079" s="7">
        <v>0</v>
      </c>
      <c r="I1079" s="8" t="str">
        <f ca="1">IFERROR(__xludf.DUMMYFUNCTION("IF
(
G1080=""фізична особа""
,
VLOOKUP(H1080,IMPORTRANGE(""https://docs.google.com/spreadsheets/d/14Bd19lYaqBhU8_DElYkX7l4wRkHqqCUFNJY4AfY3kHU/edit?usp=sharing  #gid=0"",""фіз особи new!relations_name""),6,FALSE)
,
(IF
(
G1080=""юридична особа""
,
VLOOKUP"&amp;"(H1080,IMPORTRANGE(""https://docs.google.com/spreadsheets/d/14Bd19lYaqBhU8_DElYkX7l4wRkHqqCUFNJY4AfY3kHU/edit?usp=sharing  #gid=0"",""фіз особи new!relations_name_uo""),7,FALSE)
,
)
))"),"#N/A")</f>
        <v>#N/A</v>
      </c>
      <c r="J1079" s="7" t="s">
        <v>22</v>
      </c>
    </row>
    <row r="1080" spans="1:10" ht="13.2">
      <c r="A1080" s="7">
        <v>1079</v>
      </c>
      <c r="B1080" s="7">
        <v>1</v>
      </c>
      <c r="C1080" s="7" t="s">
        <v>10</v>
      </c>
      <c r="D1080" s="7">
        <v>372</v>
      </c>
      <c r="E1080" s="7" t="s">
        <v>16</v>
      </c>
      <c r="F1080" s="8" t="str">
        <f ca="1">IFERROR(__xludf.DUMMYFUNCTION("IF
(
C1081=""фізична особа""
,
VLOOKUP(D1081,IMPORTRANGE(""https://docs.google.com/spreadsheets/d/14Bd19lYaqBhU8_DElYkX7l4wRkHqqCUFNJY4AfY3kHU/edit?usp=sharing  #gid=0"",""фіз особи new!relations_name""),6,FALSE)
,
(IF
(
C1081=""юридична особа""
,
VLOOKUP"&amp;"(D1081,IMPORTRANGE(""https://docs.google.com/spreadsheets/d/14Bd19lYaqBhU8_DElYkX7l4wRkHqqCUFNJY4AfY3kHU/edit?usp=sharing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0" s="7" t="s">
        <v>10</v>
      </c>
      <c r="H1080" s="7">
        <v>1756</v>
      </c>
      <c r="I1080" s="8" t="str">
        <f ca="1">IFERROR(__xludf.DUMMYFUNCTION("IF
(
G1081=""фізична особа""
,
VLOOKUP(H1081,IMPORTRANGE(""https://docs.google.com/spreadsheets/d/14Bd19lYaqBhU8_DElYkX7l4wRkHqqCUFNJY4AfY3kHU/edit?usp=sharing  #gid=0"",""фіз особи new!relations_name""),6,FALSE)
,
(IF
(
G1081=""юридична особа""
,
VLOOKUP"&amp;"(H1081,IMPORTRANGE(""https://docs.google.com/spreadsheets/d/14Bd19lYaqBhU8_DElYkX7l4wRkHqqCUFNJY4AfY3kHU/edit?usp=sharing  #gid=0"",""фіз особи new!relations_name_uo""),7,FALSE)
,
)
))"),"ЛЕОНЕНКО Олена Євгенівна")</f>
        <v>ЛЕОНЕНКО Олена Євгенівна</v>
      </c>
      <c r="J1080" s="7" t="s">
        <v>16</v>
      </c>
    </row>
    <row r="1081" spans="1:10" ht="13.2">
      <c r="A1081" s="7">
        <v>1080</v>
      </c>
      <c r="B1081" s="7">
        <v>1</v>
      </c>
      <c r="C1081" s="7" t="s">
        <v>10</v>
      </c>
      <c r="D1081" s="7">
        <v>372</v>
      </c>
      <c r="E1081" s="7" t="s">
        <v>26</v>
      </c>
      <c r="F1081" s="8" t="str">
        <f ca="1">IFERROR(__xludf.DUMMYFUNCTION("IF
(
C1082=""фізична особа""
,
VLOOKUP(D1082,IMPORTRANGE(""https://docs.google.com/spreadsheets/d/14Bd19lYaqBhU8_DElYkX7l4wRkHqqCUFNJY4AfY3kHU/edit?usp=sharing  #gid=0"",""фіз особи new!relations_name""),6,FALSE)
,
(IF
(
C1082=""юридична особа""
,
VLOOKUP"&amp;"(D1082,IMPORTRANGE(""https://docs.google.com/spreadsheets/d/14Bd19lYaqBhU8_DElYkX7l4wRkHqqCUFNJY4AfY3kHU/edit?usp=sharing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1" s="7" t="s">
        <v>10</v>
      </c>
      <c r="H1081" s="7">
        <v>15577</v>
      </c>
      <c r="I1081" s="8" t="str">
        <f ca="1">IFERROR(__xludf.DUMMYFUNCTION("IF
(
G1082=""фізична особа""
,
VLOOKUP(H1082,IMPORTRANGE(""https://docs.google.com/spreadsheets/d/14Bd19lYaqBhU8_DElYkX7l4wRkHqqCUFNJY4AfY3kHU/edit?usp=sharing  #gid=0"",""фіз особи new!relations_name""),6,FALSE)
,
(IF
(
G1082=""юридична особа""
,
VLOOKUP"&amp;"(H1082,IMPORTRANGE(""https://docs.google.com/spreadsheets/d/14Bd19lYaqBhU8_DElYkX7l4wRkHqqCUFNJY4AfY3kHU/edit?usp=sharing  #gid=0"",""фіз особи new!relations_name_uo""),7,FALSE)
,
)
))"),"ТИХОНОВА Яна Робертівна")</f>
        <v>ТИХОНОВА Яна Робертівна</v>
      </c>
      <c r="J1081" s="7" t="s">
        <v>67</v>
      </c>
    </row>
    <row r="1082" spans="1:10" ht="13.2">
      <c r="A1082" s="7">
        <v>1081</v>
      </c>
      <c r="B1082" s="7">
        <v>1</v>
      </c>
      <c r="C1082" s="7" t="s">
        <v>10</v>
      </c>
      <c r="D1082" s="7">
        <v>372</v>
      </c>
      <c r="E1082" s="7" t="s">
        <v>68</v>
      </c>
      <c r="F1082" s="8" t="str">
        <f ca="1">IFERROR(__xludf.DUMMYFUNCTION("IF
(
C1083=""фізична особа""
,
VLOOKUP(D1083,IMPORTRANGE(""https://docs.google.com/spreadsheets/d/14Bd19lYaqBhU8_DElYkX7l4wRkHqqCUFNJY4AfY3kHU/edit?usp=sharing  #gid=0"",""фіз особи new!relations_name""),6,FALSE)
,
(IF
(
C1083=""юридична особа""
,
VLOOKUP"&amp;"(D1083,IMPORTRANGE(""https://docs.google.com/spreadsheets/d/14Bd19lYaqBhU8_DElYkX7l4wRkHqqCUFNJY4AfY3kHU/edit?usp=sharing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2" s="7" t="s">
        <v>10</v>
      </c>
      <c r="H1082" s="7">
        <v>23396</v>
      </c>
      <c r="I1082" s="8" t="str">
        <f ca="1">IFERROR(__xludf.DUMMYFUNCTION("IF
(
G1083=""фізична особа""
,
VLOOKUP(H1083,IMPORTRANGE(""https://docs.google.com/spreadsheets/d/14Bd19lYaqBhU8_DElYkX7l4wRkHqqCUFNJY4AfY3kHU/edit?usp=sharing  #gid=0"",""фіз особи new!relations_name""),6,FALSE)
,
(IF
(
G1083=""юридична особа""
,
VLOOKUP"&amp;"(H1083,IMPORTRANGE(""https://docs.google.com/spreadsheets/d/14Bd19lYaqBhU8_DElYkX7l4wRkHqqCUFNJY4AfY3kHU/edit?usp=sharing  #gid=0"",""фіз особи new!relations_name_uo""),7,FALSE)
,
)
))"),"ТРОЇЦЬКИЙ Максим Ігорович")</f>
        <v>ТРОЇЦЬКИЙ Максим Ігорович</v>
      </c>
      <c r="J1082" s="7" t="s">
        <v>68</v>
      </c>
    </row>
    <row r="1083" spans="1:10" ht="13.2">
      <c r="A1083" s="7">
        <v>1082</v>
      </c>
      <c r="B1083" s="7">
        <v>1</v>
      </c>
      <c r="C1083" s="7" t="s">
        <v>10</v>
      </c>
      <c r="D1083" s="7">
        <v>372</v>
      </c>
      <c r="E1083" s="7" t="s">
        <v>16</v>
      </c>
      <c r="F1083" s="8" t="str">
        <f ca="1">IFERROR(__xludf.DUMMYFUNCTION("IF
(
C1084=""фізична особа""
,
VLOOKUP(D1084,IMPORTRANGE(""https://docs.google.com/spreadsheets/d/14Bd19lYaqBhU8_DElYkX7l4wRkHqqCUFNJY4AfY3kHU/edit?usp=sharing  #gid=0"",""фіз особи new!relations_name""),6,FALSE)
,
(IF
(
C1084=""юридична особа""
,
VLOOKUP"&amp;"(D1084,IMPORTRANGE(""https://docs.google.com/spreadsheets/d/14Bd19lYaqBhU8_DElYkX7l4wRkHqqCUFNJY4AfY3kHU/edit?usp=sharing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3" s="7" t="s">
        <v>10</v>
      </c>
      <c r="H1083" s="7">
        <v>1749</v>
      </c>
      <c r="I1083" s="8" t="str">
        <f ca="1">IFERROR(__xludf.DUMMYFUNCTION("IF
(
G1084=""фізична особа""
,
VLOOKUP(H1084,IMPORTRANGE(""https://docs.google.com/spreadsheets/d/14Bd19lYaqBhU8_DElYkX7l4wRkHqqCUFNJY4AfY3kHU/edit?usp=sharing  #gid=0"",""фіз особи new!relations_name""),6,FALSE)
,
(IF
(
G1084=""юридична особа""
,
VLOOKUP"&amp;"(H1084,IMPORTRANGE(""https://docs.google.com/spreadsheets/d/14Bd19lYaqBhU8_DElYkX7l4wRkHqqCUFNJY4AfY3kHU/edit?usp=sharing  #gid=0"",""фіз особи new!relations_name_uo""),7,FALSE)
,
)
))"),"ВИННИЧЕНКО Микола Олександрович")</f>
        <v>ВИННИЧЕНКО Микола Олександрович</v>
      </c>
      <c r="J1083" s="7" t="s">
        <v>16</v>
      </c>
    </row>
    <row r="1084" spans="1:10" ht="13.2">
      <c r="A1084" s="7">
        <v>1083</v>
      </c>
      <c r="B1084" s="7">
        <v>1</v>
      </c>
      <c r="C1084" s="7" t="s">
        <v>10</v>
      </c>
      <c r="D1084" s="7">
        <v>372</v>
      </c>
      <c r="E1084" s="7" t="s">
        <v>16</v>
      </c>
      <c r="F1084" s="8" t="str">
        <f ca="1">IFERROR(__xludf.DUMMYFUNCTION("IF
(
C1085=""фізична особа""
,
VLOOKUP(D1085,IMPORTRANGE(""https://docs.google.com/spreadsheets/d/14Bd19lYaqBhU8_DElYkX7l4wRkHqqCUFNJY4AfY3kHU/edit?usp=sharing  #gid=0"",""фіз особи new!relations_name""),6,FALSE)
,
(IF
(
C1085=""юридична особа""
,
VLOOKUP"&amp;"(D1085,IMPORTRANGE(""https://docs.google.com/spreadsheets/d/14Bd19lYaqBhU8_DElYkX7l4wRkHqqCUFNJY4AfY3kHU/edit?usp=sharing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4" s="7" t="s">
        <v>10</v>
      </c>
      <c r="H1084" s="7">
        <v>185</v>
      </c>
      <c r="I1084" s="8" t="str">
        <f ca="1">IFERROR(__xludf.DUMMYFUNCTION("IF
(
G1085=""фізична особа""
,
VLOOKUP(H1085,IMPORTRANGE(""https://docs.google.com/spreadsheets/d/14Bd19lYaqBhU8_DElYkX7l4wRkHqqCUFNJY4AfY3kHU/edit?usp=sharing  #gid=0"",""фіз особи new!relations_name""),6,FALSE)
,
(IF
(
G1085=""юридична особа""
,
VLOOKUP"&amp;"(H1085,IMPORTRANGE(""https://docs.google.com/spreadsheets/d/14Bd19lYaqBhU8_DElYkX7l4wRkHqqCUFNJY4AfY3kHU/edit?usp=sharing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084" s="7" t="s">
        <v>16</v>
      </c>
    </row>
    <row r="1085" spans="1:10" ht="13.2">
      <c r="A1085" s="7">
        <v>1084</v>
      </c>
      <c r="B1085" s="7">
        <v>1</v>
      </c>
      <c r="C1085" s="7" t="s">
        <v>10</v>
      </c>
      <c r="D1085" s="7">
        <v>372</v>
      </c>
      <c r="E1085" s="7" t="s">
        <v>16</v>
      </c>
      <c r="F1085" s="8" t="str">
        <f ca="1">IFERROR(__xludf.DUMMYFUNCTION("IF
(
C1086=""фізична особа""
,
VLOOKUP(D1086,IMPORTRANGE(""https://docs.google.com/spreadsheets/d/14Bd19lYaqBhU8_DElYkX7l4wRkHqqCUFNJY4AfY3kHU/edit?usp=sharing  #gid=0"",""фіз особи new!relations_name""),6,FALSE)
,
(IF
(
C1086=""юридична особа""
,
VLOOKUP"&amp;"(D1086,IMPORTRANGE(""https://docs.google.com/spreadsheets/d/14Bd19lYaqBhU8_DElYkX7l4wRkHqqCUFNJY4AfY3kHU/edit?usp=sharing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5" s="7" t="s">
        <v>10</v>
      </c>
      <c r="H1085" s="7">
        <v>756</v>
      </c>
      <c r="I1085" s="8" t="str">
        <f ca="1">IFERROR(__xludf.DUMMYFUNCTION("IF
(
G1086=""фізична особа""
,
VLOOKUP(H1086,IMPORTRANGE(""https://docs.google.com/spreadsheets/d/14Bd19lYaqBhU8_DElYkX7l4wRkHqqCUFNJY4AfY3kHU/edit?usp=sharing  #gid=0"",""фіз особи new!relations_name""),6,FALSE)
,
(IF
(
G1086=""юридична особа""
,
VLOOKUP"&amp;"(H1086,IMPORTRANGE(""https://docs.google.com/spreadsheets/d/14Bd19lYaqBhU8_DElYkX7l4wRkHqqCUFNJY4AfY3kHU/edit?usp=sharing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J1085" s="7" t="s">
        <v>16</v>
      </c>
    </row>
    <row r="1086" spans="1:10" ht="13.2">
      <c r="A1086" s="7">
        <v>1085</v>
      </c>
      <c r="B1086" s="7">
        <v>1</v>
      </c>
      <c r="C1086" s="7" t="s">
        <v>10</v>
      </c>
      <c r="D1086" s="7">
        <v>372</v>
      </c>
      <c r="E1086" s="7" t="s">
        <v>16</v>
      </c>
      <c r="F1086" s="8" t="str">
        <f ca="1">IFERROR(__xludf.DUMMYFUNCTION("IF
(
C1087=""фізична особа""
,
VLOOKUP(D1087,IMPORTRANGE(""https://docs.google.com/spreadsheets/d/14Bd19lYaqBhU8_DElYkX7l4wRkHqqCUFNJY4AfY3kHU/edit?usp=sharing  #gid=0"",""фіз особи new!relations_name""),6,FALSE)
,
(IF
(
C1087=""юридична особа""
,
VLOOKUP"&amp;"(D1087,IMPORTRANGE(""https://docs.google.com/spreadsheets/d/14Bd19lYaqBhU8_DElYkX7l4wRkHqqCUFNJY4AfY3kHU/edit?usp=sharing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6" s="7" t="s">
        <v>10</v>
      </c>
      <c r="H1086" s="7">
        <v>1428</v>
      </c>
      <c r="I1086" s="8" t="str">
        <f ca="1">IFERROR(__xludf.DUMMYFUNCTION("IF
(
G1087=""фізична особа""
,
VLOOKUP(H1087,IMPORTRANGE(""https://docs.google.com/spreadsheets/d/14Bd19lYaqBhU8_DElYkX7l4wRkHqqCUFNJY4AfY3kHU/edit?usp=sharing  #gid=0"",""фіз особи new!relations_name""),6,FALSE)
,
(IF
(
G1087=""юридична особа""
,
VLOOKUP"&amp;"(H1087,IMPORTRANGE(""https://docs.google.com/spreadsheets/d/14Bd19lYaqBhU8_DElYkX7l4wRkHqqCUFNJY4AfY3kHU/edit?usp=sharing  #gid=0"",""фіз особи new!relations_name_uo""),7,FALSE)
,
)
))"),"ЄЛІСЄЄВ Ілля Володимирович")</f>
        <v>ЄЛІСЄЄВ Ілля Володимирович</v>
      </c>
      <c r="J1086" s="7" t="s">
        <v>16</v>
      </c>
    </row>
    <row r="1087" spans="1:10" ht="13.2">
      <c r="A1087" s="7">
        <v>1086</v>
      </c>
      <c r="B1087" s="7">
        <v>1</v>
      </c>
      <c r="C1087" s="7" t="s">
        <v>10</v>
      </c>
      <c r="D1087" s="7">
        <v>372</v>
      </c>
      <c r="E1087" s="7" t="s">
        <v>16</v>
      </c>
      <c r="F1087" s="8" t="str">
        <f ca="1">IFERROR(__xludf.DUMMYFUNCTION("IF
(
C1088=""фізична особа""
,
VLOOKUP(D1088,IMPORTRANGE(""https://docs.google.com/spreadsheets/d/14Bd19lYaqBhU8_DElYkX7l4wRkHqqCUFNJY4AfY3kHU/edit?usp=sharing  #gid=0"",""фіз особи new!relations_name""),6,FALSE)
,
(IF
(
C1088=""юридична особа""
,
VLOOKUP"&amp;"(D1088,IMPORTRANGE(""https://docs.google.com/spreadsheets/d/14Bd19lYaqBhU8_DElYkX7l4wRkHqqCUFNJY4AfY3kHU/edit?usp=sharing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7" s="7" t="s">
        <v>10</v>
      </c>
      <c r="H1087" s="7">
        <v>4265</v>
      </c>
      <c r="I1087" s="8" t="str">
        <f ca="1">IFERROR(__xludf.DUMMYFUNCTION("IF
(
G1088=""фізична особа""
,
VLOOKUP(H1088,IMPORTRANGE(""https://docs.google.com/spreadsheets/d/14Bd19lYaqBhU8_DElYkX7l4wRkHqqCUFNJY4AfY3kHU/edit?usp=sharing  #gid=0"",""фіз особи new!relations_name""),6,FALSE)
,
(IF
(
G1088=""юридична особа""
,
VLOOKUP"&amp;"(H1088,IMPORTRANGE(""https://docs.google.com/spreadsheets/d/14Bd19lYaqBhU8_DElYkX7l4wRkHqqCUFNJY4AfY3kHU/edit?usp=sharing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J1087" s="7" t="s">
        <v>16</v>
      </c>
    </row>
    <row r="1088" spans="1:10" ht="13.2">
      <c r="A1088" s="7">
        <v>1087</v>
      </c>
      <c r="B1088" s="7">
        <v>1</v>
      </c>
      <c r="C1088" s="7" t="s">
        <v>10</v>
      </c>
      <c r="D1088" s="7">
        <v>372</v>
      </c>
      <c r="E1088" s="7" t="s">
        <v>29</v>
      </c>
      <c r="F1088" s="8" t="str">
        <f ca="1">IFERROR(__xludf.DUMMYFUNCTION("IF
(
C1089=""фізична особа""
,
VLOOKUP(D1089,IMPORTRANGE(""https://docs.google.com/spreadsheets/d/14Bd19lYaqBhU8_DElYkX7l4wRkHqqCUFNJY4AfY3kHU/edit?usp=sharing  #gid=0"",""фіз особи new!relations_name""),6,FALSE)
,
(IF
(
C1089=""юридична особа""
,
VLOOKUP"&amp;"(D1089,IMPORTRANGE(""https://docs.google.com/spreadsheets/d/14Bd19lYaqBhU8_DElYkX7l4wRkHqqCUFNJY4AfY3kHU/edit?usp=sharing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8" s="7" t="s">
        <v>10</v>
      </c>
      <c r="H1088" s="7">
        <v>2322</v>
      </c>
      <c r="I1088" s="8" t="str">
        <f ca="1">IFERROR(__xludf.DUMMYFUNCTION("IF
(
G1089=""фізична особа""
,
VLOOKUP(H1089,IMPORTRANGE(""https://docs.google.com/spreadsheets/d/14Bd19lYaqBhU8_DElYkX7l4wRkHqqCUFNJY4AfY3kHU/edit?usp=sharing  #gid=0"",""фіз особи new!relations_name""),6,FALSE)
,
(IF
(
G1089=""юридична особа""
,
VLOOKUP"&amp;"(H1089,IMPORTRANGE(""https://docs.google.com/spreadsheets/d/14Bd19lYaqBhU8_DElYkX7l4wRkHqqCUFNJY4AfY3kHU/edit?usp=sharing  #gid=0"",""фіз особи new!relations_name_uo""),7,FALSE)
,
)
))"),"АЛХАНОВ Алі / Aлу Дадашевич")</f>
        <v>АЛХАНОВ Алі / Aлу Дадашевич</v>
      </c>
      <c r="J1088" s="7" t="s">
        <v>28</v>
      </c>
    </row>
    <row r="1089" spans="1:10" ht="13.2">
      <c r="A1089" s="7">
        <v>1088</v>
      </c>
      <c r="B1089" s="7">
        <v>1</v>
      </c>
      <c r="C1089" s="7" t="s">
        <v>10</v>
      </c>
      <c r="D1089" s="7">
        <v>372</v>
      </c>
      <c r="E1089" s="7" t="s">
        <v>29</v>
      </c>
      <c r="F1089" s="8" t="str">
        <f ca="1">IFERROR(__xludf.DUMMYFUNCTION("IF
(
C1090=""фізична особа""
,
VLOOKUP(D1090,IMPORTRANGE(""https://docs.google.com/spreadsheets/d/14Bd19lYaqBhU8_DElYkX7l4wRkHqqCUFNJY4AfY3kHU/edit?usp=sharing  #gid=0"",""фіз особи new!relations_name""),6,FALSE)
,
(IF
(
C1090=""юридична особа""
,
VLOOKUP"&amp;"(D1090,IMPORTRANGE(""https://docs.google.com/spreadsheets/d/14Bd19lYaqBhU8_DElYkX7l4wRkHqqCUFNJY4AfY3kHU/edit?usp=sharing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89" s="7" t="s">
        <v>10</v>
      </c>
      <c r="H1089" s="7">
        <v>2329</v>
      </c>
      <c r="I1089" s="8" t="str">
        <f ca="1">IFERROR(__xludf.DUMMYFUNCTION("IF
(
G1090=""фізична особа""
,
VLOOKUP(H1090,IMPORTRANGE(""https://docs.google.com/spreadsheets/d/14Bd19lYaqBhU8_DElYkX7l4wRkHqqCUFNJY4AfY3kHU/edit?usp=sharing  #gid=0"",""фіз особи new!relations_name""),6,FALSE)
,
(IF
(
G1090=""юридична особа""
,
VLOOKUP"&amp;"(H1090,IMPORTRANGE(""https://docs.google.com/spreadsheets/d/14Bd19lYaqBhU8_DElYkX7l4wRkHqqCUFNJY4AfY3kHU/edit?usp=sharing  #gid=0"",""фіз особи new!relations_name_uo""),7,FALSE)
,
)
))"),"ЖУЙКОВ Дмитро Сергійович")</f>
        <v>ЖУЙКОВ Дмитро Сергійович</v>
      </c>
      <c r="J1089" s="7" t="s">
        <v>28</v>
      </c>
    </row>
    <row r="1090" spans="1:10" ht="13.2">
      <c r="A1090" s="7">
        <v>1089</v>
      </c>
      <c r="B1090" s="7">
        <v>1</v>
      </c>
      <c r="C1090" s="7" t="s">
        <v>10</v>
      </c>
      <c r="D1090" s="7">
        <v>372</v>
      </c>
      <c r="E1090" s="7" t="s">
        <v>29</v>
      </c>
      <c r="F1090" s="8" t="str">
        <f ca="1">IFERROR(__xludf.DUMMYFUNCTION("IF
(
C1091=""фізична особа""
,
VLOOKUP(D1091,IMPORTRANGE(""https://docs.google.com/spreadsheets/d/14Bd19lYaqBhU8_DElYkX7l4wRkHqqCUFNJY4AfY3kHU/edit?usp=sharing  #gid=0"",""фіз особи new!relations_name""),6,FALSE)
,
(IF
(
C1091=""юридична особа""
,
VLOOKUP"&amp;"(D1091,IMPORTRANGE(""https://docs.google.com/spreadsheets/d/14Bd19lYaqBhU8_DElYkX7l4wRkHqqCUFNJY4AfY3kHU/edit?usp=sharing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0" s="7" t="s">
        <v>10</v>
      </c>
      <c r="H1090" s="7">
        <v>2324</v>
      </c>
      <c r="I1090" s="8" t="str">
        <f ca="1">IFERROR(__xludf.DUMMYFUNCTION("IF
(
G1091=""фізична особа""
,
VLOOKUP(H1091,IMPORTRANGE(""https://docs.google.com/spreadsheets/d/14Bd19lYaqBhU8_DElYkX7l4wRkHqqCUFNJY4AfY3kHU/edit?usp=sharing  #gid=0"",""фіз особи new!relations_name""),6,FALSE)
,
(IF
(
G1091=""юридична особа""
,
VLOOKUP"&amp;"(H1091,IMPORTRANGE(""https://docs.google.com/spreadsheets/d/14Bd19lYaqBhU8_DElYkX7l4wRkHqqCUFNJY4AfY3kHU/edit?usp=sharing  #gid=0"",""фіз особи new!relations_name_uo""),7,FALSE)
,
)
))"),"ЗАБАРЧУК Євген Леонідович")</f>
        <v>ЗАБАРЧУК Євген Леонідович</v>
      </c>
      <c r="J1090" s="7" t="s">
        <v>28</v>
      </c>
    </row>
    <row r="1091" spans="1:10" ht="13.2">
      <c r="A1091" s="7">
        <v>1090</v>
      </c>
      <c r="B1091" s="7">
        <v>1</v>
      </c>
      <c r="C1091" s="7" t="s">
        <v>10</v>
      </c>
      <c r="D1091" s="7">
        <v>372</v>
      </c>
      <c r="E1091" s="7" t="s">
        <v>41</v>
      </c>
      <c r="F1091" s="8" t="str">
        <f ca="1">IFERROR(__xludf.DUMMYFUNCTION("IF
(
C1092=""фізична особа""
,
VLOOKUP(D1092,IMPORTRANGE(""https://docs.google.com/spreadsheets/d/14Bd19lYaqBhU8_DElYkX7l4wRkHqqCUFNJY4AfY3kHU/edit?usp=sharing  #gid=0"",""фіз особи new!relations_name""),6,FALSE)
,
(IF
(
C1092=""юридична особа""
,
VLOOKUP"&amp;"(D1092,IMPORTRANGE(""https://docs.google.com/spreadsheets/d/14Bd19lYaqBhU8_DElYkX7l4wRkHqqCUFNJY4AfY3kHU/edit?usp=sharing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1" s="7" t="s">
        <v>10</v>
      </c>
      <c r="H1091" s="7">
        <v>0</v>
      </c>
      <c r="I1091" s="8" t="str">
        <f ca="1">IFERROR(__xludf.DUMMYFUNCTION("IF
(
G1092=""фізична особа""
,
VLOOKUP(H1092,IMPORTRANGE(""https://docs.google.com/spreadsheets/d/14Bd19lYaqBhU8_DElYkX7l4wRkHqqCUFNJY4AfY3kHU/edit?usp=sharing  #gid=0"",""фіз особи new!relations_name""),6,FALSE)
,
(IF
(
G1092=""юридична особа""
,
VLOOKUP"&amp;"(H1092,IMPORTRANGE(""https://docs.google.com/spreadsheets/d/14Bd19lYaqBhU8_DElYkX7l4wRkHqqCUFNJY4AfY3kHU/edit?usp=sharing  #gid=0"",""фіз особи new!relations_name_uo""),7,FALSE)
,
)
))"),"#N/A")</f>
        <v>#N/A</v>
      </c>
      <c r="J1091" s="7" t="s">
        <v>40</v>
      </c>
    </row>
    <row r="1092" spans="1:10" ht="13.2">
      <c r="A1092" s="7">
        <v>1091</v>
      </c>
      <c r="B1092" s="7">
        <v>1</v>
      </c>
      <c r="C1092" s="7" t="s">
        <v>10</v>
      </c>
      <c r="D1092" s="7">
        <v>372</v>
      </c>
      <c r="E1092" s="7" t="s">
        <v>29</v>
      </c>
      <c r="F1092" s="8" t="str">
        <f ca="1">IFERROR(__xludf.DUMMYFUNCTION("IF
(
C1093=""фізична особа""
,
VLOOKUP(D1093,IMPORTRANGE(""https://docs.google.com/spreadsheets/d/14Bd19lYaqBhU8_DElYkX7l4wRkHqqCUFNJY4AfY3kHU/edit?usp=sharing  #gid=0"",""фіз особи new!relations_name""),6,FALSE)
,
(IF
(
C1093=""юридична особа""
,
VLOOKUP"&amp;"(D1093,IMPORTRANGE(""https://docs.google.com/spreadsheets/d/14Bd19lYaqBhU8_DElYkX7l4wRkHqqCUFNJY4AfY3kHU/edit?usp=sharing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2" s="7" t="s">
        <v>10</v>
      </c>
      <c r="H1092" s="7">
        <v>2324</v>
      </c>
      <c r="I1092" s="8" t="str">
        <f ca="1">IFERROR(__xludf.DUMMYFUNCTION("IF
(
G1093=""фізична особа""
,
VLOOKUP(H1093,IMPORTRANGE(""https://docs.google.com/spreadsheets/d/14Bd19lYaqBhU8_DElYkX7l4wRkHqqCUFNJY4AfY3kHU/edit?usp=sharing  #gid=0"",""фіз особи new!relations_name""),6,FALSE)
,
(IF
(
G1093=""юридична особа""
,
VLOOKUP"&amp;"(H1093,IMPORTRANGE(""https://docs.google.com/spreadsheets/d/14Bd19lYaqBhU8_DElYkX7l4wRkHqqCUFNJY4AfY3kHU/edit?usp=sharing  #gid=0"",""фіз особи new!relations_name_uo""),7,FALSE)
,
)
))"),"ЗАБАРЧУК Євген Леонідович")</f>
        <v>ЗАБАРЧУК Євген Леонідович</v>
      </c>
      <c r="J1092" s="7" t="s">
        <v>28</v>
      </c>
    </row>
    <row r="1093" spans="1:10" ht="13.2">
      <c r="A1093" s="7">
        <v>1092</v>
      </c>
      <c r="B1093" s="7">
        <v>1</v>
      </c>
      <c r="C1093" s="7" t="s">
        <v>10</v>
      </c>
      <c r="D1093" s="7">
        <v>372</v>
      </c>
      <c r="E1093" s="7" t="s">
        <v>29</v>
      </c>
      <c r="F1093" s="8" t="str">
        <f ca="1">IFERROR(__xludf.DUMMYFUNCTION("IF
(
C1094=""фізична особа""
,
VLOOKUP(D1094,IMPORTRANGE(""https://docs.google.com/spreadsheets/d/14Bd19lYaqBhU8_DElYkX7l4wRkHqqCUFNJY4AfY3kHU/edit?usp=sharing  #gid=0"",""фіз особи new!relations_name""),6,FALSE)
,
(IF
(
C1094=""юридична особа""
,
VLOOKUP"&amp;"(D1094,IMPORTRANGE(""https://docs.google.com/spreadsheets/d/14Bd19lYaqBhU8_DElYkX7l4wRkHqqCUFNJY4AfY3kHU/edit?usp=sharing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3" s="7" t="s">
        <v>10</v>
      </c>
      <c r="H1093" s="7">
        <v>0</v>
      </c>
      <c r="I1093" s="8" t="str">
        <f ca="1">IFERROR(__xludf.DUMMYFUNCTION("IF
(
G1094=""фізична особа""
,
VLOOKUP(H1094,IMPORTRANGE(""https://docs.google.com/spreadsheets/d/14Bd19lYaqBhU8_DElYkX7l4wRkHqqCUFNJY4AfY3kHU/edit?usp=sharing  #gid=0"",""фіз особи new!relations_name""),6,FALSE)
,
(IF
(
G1094=""юридична особа""
,
VLOOKUP"&amp;"(H1094,IMPORTRANGE(""https://docs.google.com/spreadsheets/d/14Bd19lYaqBhU8_DElYkX7l4wRkHqqCUFNJY4AfY3kHU/edit?usp=sharing  #gid=0"",""фіз особи new!relations_name_uo""),7,FALSE)
,
)
))"),"#N/A")</f>
        <v>#N/A</v>
      </c>
      <c r="J1093" s="7" t="s">
        <v>28</v>
      </c>
    </row>
    <row r="1094" spans="1:10" ht="13.2">
      <c r="A1094" s="7">
        <v>1093</v>
      </c>
      <c r="B1094" s="7">
        <v>1</v>
      </c>
      <c r="C1094" s="7" t="s">
        <v>10</v>
      </c>
      <c r="D1094" s="7">
        <v>372</v>
      </c>
      <c r="E1094" s="7" t="s">
        <v>29</v>
      </c>
      <c r="F1094" s="8" t="str">
        <f ca="1">IFERROR(__xludf.DUMMYFUNCTION("IF
(
C1095=""фізична особа""
,
VLOOKUP(D1095,IMPORTRANGE(""https://docs.google.com/spreadsheets/d/14Bd19lYaqBhU8_DElYkX7l4wRkHqqCUFNJY4AfY3kHU/edit?usp=sharing  #gid=0"",""фіз особи new!relations_name""),6,FALSE)
,
(IF
(
C1095=""юридична особа""
,
VLOOKUP"&amp;"(D1095,IMPORTRANGE(""https://docs.google.com/spreadsheets/d/14Bd19lYaqBhU8_DElYkX7l4wRkHqqCUFNJY4AfY3kHU/edit?usp=sharing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4" s="7" t="s">
        <v>10</v>
      </c>
      <c r="H1094" s="7">
        <v>0</v>
      </c>
      <c r="I1094" s="8" t="str">
        <f ca="1">IFERROR(__xludf.DUMMYFUNCTION("IF
(
G1095=""фізична особа""
,
VLOOKUP(H1095,IMPORTRANGE(""https://docs.google.com/spreadsheets/d/14Bd19lYaqBhU8_DElYkX7l4wRkHqqCUFNJY4AfY3kHU/edit?usp=sharing  #gid=0"",""фіз особи new!relations_name""),6,FALSE)
,
(IF
(
G1095=""юридична особа""
,
VLOOKUP"&amp;"(H1095,IMPORTRANGE(""https://docs.google.com/spreadsheets/d/14Bd19lYaqBhU8_DElYkX7l4wRkHqqCUFNJY4AfY3kHU/edit?usp=sharing  #gid=0"",""фіз особи new!relations_name_uo""),7,FALSE)
,
)
))"),"#N/A")</f>
        <v>#N/A</v>
      </c>
      <c r="J1094" s="7" t="s">
        <v>28</v>
      </c>
    </row>
    <row r="1095" spans="1:10" ht="13.2">
      <c r="A1095" s="7">
        <v>1094</v>
      </c>
      <c r="B1095" s="7">
        <v>1</v>
      </c>
      <c r="C1095" s="7" t="s">
        <v>10</v>
      </c>
      <c r="D1095" s="7">
        <v>372</v>
      </c>
      <c r="E1095" s="7" t="s">
        <v>29</v>
      </c>
      <c r="F1095" s="8" t="str">
        <f ca="1">IFERROR(__xludf.DUMMYFUNCTION("IF
(
C1096=""фізична особа""
,
VLOOKUP(D1096,IMPORTRANGE(""https://docs.google.com/spreadsheets/d/14Bd19lYaqBhU8_DElYkX7l4wRkHqqCUFNJY4AfY3kHU/edit?usp=sharing  #gid=0"",""фіз особи new!relations_name""),6,FALSE)
,
(IF
(
C1096=""юридична особа""
,
VLOOKUP"&amp;"(D1096,IMPORTRANGE(""https://docs.google.com/spreadsheets/d/14Bd19lYaqBhU8_DElYkX7l4wRkHqqCUFNJY4AfY3kHU/edit?usp=sharing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5" s="7" t="s">
        <v>10</v>
      </c>
      <c r="H1095" s="7">
        <v>0</v>
      </c>
      <c r="I1095" s="8" t="str">
        <f ca="1">IFERROR(__xludf.DUMMYFUNCTION("IF
(
G1096=""фізична особа""
,
VLOOKUP(H1096,IMPORTRANGE(""https://docs.google.com/spreadsheets/d/14Bd19lYaqBhU8_DElYkX7l4wRkHqqCUFNJY4AfY3kHU/edit?usp=sharing  #gid=0"",""фіз особи new!relations_name""),6,FALSE)
,
(IF
(
G1096=""юридична особа""
,
VLOOKUP"&amp;"(H1096,IMPORTRANGE(""https://docs.google.com/spreadsheets/d/14Bd19lYaqBhU8_DElYkX7l4wRkHqqCUFNJY4AfY3kHU/edit?usp=sharing  #gid=0"",""фіз особи new!relations_name_uo""),7,FALSE)
,
)
))"),"#N/A")</f>
        <v>#N/A</v>
      </c>
      <c r="J1095" s="7" t="s">
        <v>28</v>
      </c>
    </row>
    <row r="1096" spans="1:10" ht="13.2">
      <c r="A1096" s="7">
        <v>1095</v>
      </c>
      <c r="B1096" s="7">
        <v>1</v>
      </c>
      <c r="C1096" s="7" t="s">
        <v>10</v>
      </c>
      <c r="D1096" s="7">
        <v>372</v>
      </c>
      <c r="E1096" s="7" t="s">
        <v>29</v>
      </c>
      <c r="F1096" s="8" t="str">
        <f ca="1">IFERROR(__xludf.DUMMYFUNCTION("IF
(
C1097=""фізична особа""
,
VLOOKUP(D1097,IMPORTRANGE(""https://docs.google.com/spreadsheets/d/14Bd19lYaqBhU8_DElYkX7l4wRkHqqCUFNJY4AfY3kHU/edit?usp=sharing  #gid=0"",""фіз особи new!relations_name""),6,FALSE)
,
(IF
(
C1097=""юридична особа""
,
VLOOKUP"&amp;"(D1097,IMPORTRANGE(""https://docs.google.com/spreadsheets/d/14Bd19lYaqBhU8_DElYkX7l4wRkHqqCUFNJY4AfY3kHU/edit?usp=sharing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6" s="7" t="s">
        <v>10</v>
      </c>
      <c r="H1096" s="7">
        <v>2321</v>
      </c>
      <c r="I1096" s="8" t="str">
        <f ca="1">IFERROR(__xludf.DUMMYFUNCTION("IF
(
G1097=""фізична особа""
,
VLOOKUP(H1097,IMPORTRANGE(""https://docs.google.com/spreadsheets/d/14Bd19lYaqBhU8_DElYkX7l4wRkHqqCUFNJY4AfY3kHU/edit?usp=sharing  #gid=0"",""фіз особи new!relations_name""),6,FALSE)
,
(IF
(
G1097=""юридична особа""
,
VLOOKUP"&amp;"(H1097,IMPORTRANGE(""https://docs.google.com/spreadsheets/d/14Bd19lYaqBhU8_DElYkX7l4wRkHqqCUFNJY4AfY3kHU/edit?usp=sharing  #gid=0"",""фіз особи new!relations_name_uo""),7,FALSE)
,
)
))"),"ФЕДОРОВ Вадим Віталійович")</f>
        <v>ФЕДОРОВ Вадим Віталійович</v>
      </c>
      <c r="J1096" s="7" t="s">
        <v>28</v>
      </c>
    </row>
    <row r="1097" spans="1:10" ht="13.2">
      <c r="A1097" s="7">
        <v>1096</v>
      </c>
      <c r="B1097" s="7">
        <v>1</v>
      </c>
      <c r="C1097" s="7" t="s">
        <v>10</v>
      </c>
      <c r="D1097" s="7">
        <v>372</v>
      </c>
      <c r="E1097" s="7" t="s">
        <v>29</v>
      </c>
      <c r="F1097" s="8" t="str">
        <f ca="1">IFERROR(__xludf.DUMMYFUNCTION("IF
(
C1098=""фізична особа""
,
VLOOKUP(D1098,IMPORTRANGE(""https://docs.google.com/spreadsheets/d/14Bd19lYaqBhU8_DElYkX7l4wRkHqqCUFNJY4AfY3kHU/edit?usp=sharing  #gid=0"",""фіз особи new!relations_name""),6,FALSE)
,
(IF
(
C1098=""юридична особа""
,
VLOOKUP"&amp;"(D1098,IMPORTRANGE(""https://docs.google.com/spreadsheets/d/14Bd19lYaqBhU8_DElYkX7l4wRkHqqCUFNJY4AfY3kHU/edit?usp=sharing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7" s="7" t="s">
        <v>10</v>
      </c>
      <c r="H1097" s="7">
        <v>0</v>
      </c>
      <c r="I1097" s="8" t="str">
        <f ca="1">IFERROR(__xludf.DUMMYFUNCTION("IF
(
G1098=""фізична особа""
,
VLOOKUP(H1098,IMPORTRANGE(""https://docs.google.com/spreadsheets/d/14Bd19lYaqBhU8_DElYkX7l4wRkHqqCUFNJY4AfY3kHU/edit?usp=sharing  #gid=0"",""фіз особи new!relations_name""),6,FALSE)
,
(IF
(
G1098=""юридична особа""
,
VLOOKUP"&amp;"(H1098,IMPORTRANGE(""https://docs.google.com/spreadsheets/d/14Bd19lYaqBhU8_DElYkX7l4wRkHqqCUFNJY4AfY3kHU/edit?usp=sharing  #gid=0"",""фіз особи new!relations_name_uo""),7,FALSE)
,
)
))"),"#N/A")</f>
        <v>#N/A</v>
      </c>
      <c r="J1097" s="7" t="s">
        <v>28</v>
      </c>
    </row>
    <row r="1098" spans="1:10" ht="13.2">
      <c r="A1098" s="7">
        <v>1097</v>
      </c>
      <c r="B1098" s="7">
        <v>1</v>
      </c>
      <c r="C1098" s="7" t="s">
        <v>10</v>
      </c>
      <c r="D1098" s="7">
        <v>372</v>
      </c>
      <c r="E1098" s="7" t="s">
        <v>29</v>
      </c>
      <c r="F1098" s="8" t="str">
        <f ca="1">IFERROR(__xludf.DUMMYFUNCTION("IF
(
C1099=""фізична особа""
,
VLOOKUP(D1099,IMPORTRANGE(""https://docs.google.com/spreadsheets/d/14Bd19lYaqBhU8_DElYkX7l4wRkHqqCUFNJY4AfY3kHU/edit?usp=sharing  #gid=0"",""фіз особи new!relations_name""),6,FALSE)
,
(IF
(
C1099=""юридична особа""
,
VLOOKUP"&amp;"(D1099,IMPORTRANGE(""https://docs.google.com/spreadsheets/d/14Bd19lYaqBhU8_DElYkX7l4wRkHqqCUFNJY4AfY3kHU/edit?usp=sharing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8" s="7" t="s">
        <v>10</v>
      </c>
      <c r="H1098" s="7">
        <v>2326</v>
      </c>
      <c r="I1098" s="8" t="str">
        <f ca="1">IFERROR(__xludf.DUMMYFUNCTION("IF
(
G1099=""фізична особа""
,
VLOOKUP(H1099,IMPORTRANGE(""https://docs.google.com/spreadsheets/d/14Bd19lYaqBhU8_DElYkX7l4wRkHqqCUFNJY4AfY3kHU/edit?usp=sharing  #gid=0"",""фіз особи new!relations_name""),6,FALSE)
,
(IF
(
G1099=""юридична особа""
,
VLOOKUP"&amp;"(H1099,IMPORTRANGE(""https://docs.google.com/spreadsheets/d/14Bd19lYaqBhU8_DElYkX7l4wRkHqqCUFNJY4AfY3kHU/edit?usp=sharing  #gid=0"",""фіз особи new!relations_name_uo""),7,FALSE)
,
)
))"),"БЕСХМЕЛЬНІЦИН Максим Михайлович")</f>
        <v>БЕСХМЕЛЬНІЦИН Максим Михайлович</v>
      </c>
      <c r="J1098" s="7" t="s">
        <v>28</v>
      </c>
    </row>
    <row r="1099" spans="1:10" ht="13.2">
      <c r="A1099" s="7">
        <v>1098</v>
      </c>
      <c r="B1099" s="7">
        <v>1</v>
      </c>
      <c r="C1099" s="7" t="s">
        <v>10</v>
      </c>
      <c r="D1099" s="7">
        <v>372</v>
      </c>
      <c r="E1099" s="7" t="s">
        <v>29</v>
      </c>
      <c r="F1099" s="8" t="str">
        <f ca="1">IFERROR(__xludf.DUMMYFUNCTION("IF
(
C1100=""фізична особа""
,
VLOOKUP(D1100,IMPORTRANGE(""https://docs.google.com/spreadsheets/d/14Bd19lYaqBhU8_DElYkX7l4wRkHqqCUFNJY4AfY3kHU/edit?usp=sharing  #gid=0"",""фіз особи new!relations_name""),6,FALSE)
,
(IF
(
C1100=""юридична особа""
,
VLOOKUP"&amp;"(D1100,IMPORTRANGE(""https://docs.google.com/spreadsheets/d/14Bd19lYaqBhU8_DElYkX7l4wRkHqqCUFNJY4AfY3kHU/edit?usp=sharing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099" s="7" t="s">
        <v>10</v>
      </c>
      <c r="H1099" s="7">
        <v>0</v>
      </c>
      <c r="I1099" s="8" t="str">
        <f ca="1">IFERROR(__xludf.DUMMYFUNCTION("IF
(
G1100=""фізична особа""
,
VLOOKUP(H1100,IMPORTRANGE(""https://docs.google.com/spreadsheets/d/14Bd19lYaqBhU8_DElYkX7l4wRkHqqCUFNJY4AfY3kHU/edit?usp=sharing  #gid=0"",""фіз особи new!relations_name""),6,FALSE)
,
(IF
(
G1100=""юридична особа""
,
VLOOKUP"&amp;"(H1100,IMPORTRANGE(""https://docs.google.com/spreadsheets/d/14Bd19lYaqBhU8_DElYkX7l4wRkHqqCUFNJY4AfY3kHU/edit?usp=sharing  #gid=0"",""фіз особи new!relations_name_uo""),7,FALSE)
,
)
))"),"#N/A")</f>
        <v>#N/A</v>
      </c>
      <c r="J1099" s="7" t="s">
        <v>28</v>
      </c>
    </row>
    <row r="1100" spans="1:10" ht="13.2">
      <c r="A1100" s="7">
        <v>1099</v>
      </c>
      <c r="B1100" s="7">
        <v>1</v>
      </c>
      <c r="C1100" s="7" t="s">
        <v>10</v>
      </c>
      <c r="D1100" s="7">
        <v>372</v>
      </c>
      <c r="E1100" s="7" t="s">
        <v>29</v>
      </c>
      <c r="F1100" s="8" t="str">
        <f ca="1">IFERROR(__xludf.DUMMYFUNCTION("IF
(
C1101=""фізична особа""
,
VLOOKUP(D1101,IMPORTRANGE(""https://docs.google.com/spreadsheets/d/14Bd19lYaqBhU8_DElYkX7l4wRkHqqCUFNJY4AfY3kHU/edit?usp=sharing  #gid=0"",""фіз особи new!relations_name""),6,FALSE)
,
(IF
(
C1101=""юридична особа""
,
VLOOKUP"&amp;"(D1101,IMPORTRANGE(""https://docs.google.com/spreadsheets/d/14Bd19lYaqBhU8_DElYkX7l4wRkHqqCUFNJY4AfY3kHU/edit?usp=sharing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G1100" s="7" t="s">
        <v>10</v>
      </c>
      <c r="H1100" s="7">
        <v>2327</v>
      </c>
      <c r="I1100" s="8" t="str">
        <f ca="1">IFERROR(__xludf.DUMMYFUNCTION("IF
(
G1101=""фізична особа""
,
VLOOKUP(H1101,IMPORTRANGE(""https://docs.google.com/spreadsheets/d/14Bd19lYaqBhU8_DElYkX7l4wRkHqqCUFNJY4AfY3kHU/edit?usp=sharing  #gid=0"",""фіз особи new!relations_name""),6,FALSE)
,
(IF
(
G1101=""юридична особа""
,
VLOOKUP"&amp;"(H1101,IMPORTRANGE(""https://docs.google.com/spreadsheets/d/14Bd19lYaqBhU8_DElYkX7l4wRkHqqCUFNJY4AfY3kHU/edit?usp=sharing  #gid=0"",""фіз особи new!relations_name_uo""),7,FALSE)
,
)
))"),"СВИРИДЕНКО Олег Михайлович")</f>
        <v>СВИРИДЕНКО Олег Михайлович</v>
      </c>
      <c r="J1100" s="7" t="s">
        <v>28</v>
      </c>
    </row>
    <row r="1101" spans="1:10" ht="13.2">
      <c r="A1101" s="7">
        <v>1100</v>
      </c>
      <c r="B1101" s="7">
        <v>1</v>
      </c>
      <c r="C1101" s="7" t="s">
        <v>10</v>
      </c>
      <c r="D1101" s="7">
        <v>373</v>
      </c>
      <c r="E1101" s="7" t="s">
        <v>14</v>
      </c>
      <c r="F1101" s="8" t="str">
        <f ca="1">IFERROR(__xludf.DUMMYFUNCTION("IF
(
C1102=""фізична особа""
,
VLOOKUP(D1102,IMPORTRANGE(""https://docs.google.com/spreadsheets/d/14Bd19lYaqBhU8_DElYkX7l4wRkHqqCUFNJY4AfY3kHU/edit?usp=sharing  #gid=0"",""фіз особи new!relations_name""),6,FALSE)
,
(IF
(
C1102=""юридична особа""
,
VLOOKUP"&amp;"(D1102,IMPORTRANGE(""https://docs.google.com/spreadsheets/d/14Bd19lYaqBhU8_DElYkX7l4wRkHqqCUFNJY4AfY3kHU/edit?usp=sharing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1" s="7" t="s">
        <v>10</v>
      </c>
      <c r="H1101" s="7">
        <v>4994</v>
      </c>
      <c r="I1101" s="8" t="str">
        <f ca="1">IFERROR(__xludf.DUMMYFUNCTION("IF
(
G1102=""фізична особа""
,
VLOOKUP(H1102,IMPORTRANGE(""https://docs.google.com/spreadsheets/d/14Bd19lYaqBhU8_DElYkX7l4wRkHqqCUFNJY4AfY3kHU/edit?usp=sharing  #gid=0"",""фіз особи new!relations_name""),6,FALSE)
,
(IF
(
G1102=""юридична особа""
,
VLOOKUP"&amp;"(H1102,IMPORTRANGE(""https://docs.google.com/spreadsheets/d/14Bd19lYaqBhU8_DElYkX7l4wRkHqqCUFNJY4AfY3kHU/edit?usp=sharing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J1101" s="7" t="s">
        <v>15</v>
      </c>
    </row>
    <row r="1102" spans="1:10" ht="13.2">
      <c r="A1102" s="7">
        <v>1101</v>
      </c>
      <c r="B1102" s="7">
        <v>1</v>
      </c>
      <c r="C1102" s="7" t="s">
        <v>10</v>
      </c>
      <c r="D1102" s="7">
        <v>373</v>
      </c>
      <c r="E1102" s="7" t="s">
        <v>12</v>
      </c>
      <c r="F1102" s="8" t="str">
        <f ca="1">IFERROR(__xludf.DUMMYFUNCTION("IF
(
C1103=""фізична особа""
,
VLOOKUP(D1103,IMPORTRANGE(""https://docs.google.com/spreadsheets/d/14Bd19lYaqBhU8_DElYkX7l4wRkHqqCUFNJY4AfY3kHU/edit?usp=sharing  #gid=0"",""фіз особи new!relations_name""),6,FALSE)
,
(IF
(
C1103=""юридична особа""
,
VLOOKUP"&amp;"(D1103,IMPORTRANGE(""https://docs.google.com/spreadsheets/d/14Bd19lYaqBhU8_DElYkX7l4wRkHqqCUFNJY4AfY3kHU/edit?usp=sharing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2" s="7" t="s">
        <v>10</v>
      </c>
      <c r="H1102" s="7">
        <v>4995</v>
      </c>
      <c r="I1102" s="8" t="str">
        <f ca="1">IFERROR(__xludf.DUMMYFUNCTION("IF
(
G1103=""фізична особа""
,
VLOOKUP(H1103,IMPORTRANGE(""https://docs.google.com/spreadsheets/d/14Bd19lYaqBhU8_DElYkX7l4wRkHqqCUFNJY4AfY3kHU/edit?usp=sharing  #gid=0"",""фіз особи new!relations_name""),6,FALSE)
,
(IF
(
G1103=""юридична особа""
,
VLOOKUP"&amp;"(H1103,IMPORTRANGE(""https://docs.google.com/spreadsheets/d/14Bd19lYaqBhU8_DElYkX7l4wRkHqqCUFNJY4AfY3kHU/edit?usp=sharing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J1102" s="7" t="s">
        <v>13</v>
      </c>
    </row>
    <row r="1103" spans="1:10" ht="13.2">
      <c r="A1103" s="7">
        <v>1102</v>
      </c>
      <c r="B1103" s="7">
        <v>1</v>
      </c>
      <c r="C1103" s="7" t="s">
        <v>10</v>
      </c>
      <c r="D1103" s="7">
        <v>373</v>
      </c>
      <c r="E1103" s="7" t="s">
        <v>12</v>
      </c>
      <c r="F1103" s="8" t="str">
        <f ca="1">IFERROR(__xludf.DUMMYFUNCTION("IF
(
C1104=""фізична особа""
,
VLOOKUP(D1104,IMPORTRANGE(""https://docs.google.com/spreadsheets/d/14Bd19lYaqBhU8_DElYkX7l4wRkHqqCUFNJY4AfY3kHU/edit?usp=sharing  #gid=0"",""фіз особи new!relations_name""),6,FALSE)
,
(IF
(
C1104=""юридична особа""
,
VLOOKUP"&amp;"(D1104,IMPORTRANGE(""https://docs.google.com/spreadsheets/d/14Bd19lYaqBhU8_DElYkX7l4wRkHqqCUFNJY4AfY3kHU/edit?usp=sharing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3" s="7" t="s">
        <v>10</v>
      </c>
      <c r="H1103" s="7">
        <v>4996</v>
      </c>
      <c r="I1103" s="8" t="str">
        <f ca="1">IFERROR(__xludf.DUMMYFUNCTION("IF
(
G1104=""фізична особа""
,
VLOOKUP(H1104,IMPORTRANGE(""https://docs.google.com/spreadsheets/d/14Bd19lYaqBhU8_DElYkX7l4wRkHqqCUFNJY4AfY3kHU/edit?usp=sharing  #gid=0"",""фіз особи new!relations_name""),6,FALSE)
,
(IF
(
G1104=""юридична особа""
,
VLOOKUP"&amp;"(H1104,IMPORTRANGE(""https://docs.google.com/spreadsheets/d/14Bd19lYaqBhU8_DElYkX7l4wRkHqqCUFNJY4AfY3kHU/edit?usp=sharing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J1103" s="7" t="s">
        <v>13</v>
      </c>
    </row>
    <row r="1104" spans="1:10" ht="13.2">
      <c r="A1104" s="7">
        <v>1103</v>
      </c>
      <c r="B1104" s="7">
        <v>1</v>
      </c>
      <c r="C1104" s="7" t="s">
        <v>10</v>
      </c>
      <c r="D1104" s="7">
        <v>373</v>
      </c>
      <c r="E1104" s="7" t="s">
        <v>12</v>
      </c>
      <c r="F1104" s="8" t="str">
        <f ca="1">IFERROR(__xludf.DUMMYFUNCTION("IF
(
C1105=""фізична особа""
,
VLOOKUP(D1105,IMPORTRANGE(""https://docs.google.com/spreadsheets/d/14Bd19lYaqBhU8_DElYkX7l4wRkHqqCUFNJY4AfY3kHU/edit?usp=sharing  #gid=0"",""фіз особи new!relations_name""),6,FALSE)
,
(IF
(
C1105=""юридична особа""
,
VLOOKUP"&amp;"(D1105,IMPORTRANGE(""https://docs.google.com/spreadsheets/d/14Bd19lYaqBhU8_DElYkX7l4wRkHqqCUFNJY4AfY3kHU/edit?usp=sharing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4" s="7" t="s">
        <v>10</v>
      </c>
      <c r="H1104" s="7">
        <v>4997</v>
      </c>
      <c r="I1104" s="8" t="str">
        <f ca="1">IFERROR(__xludf.DUMMYFUNCTION("IF
(
G1105=""фізична особа""
,
VLOOKUP(H1105,IMPORTRANGE(""https://docs.google.com/spreadsheets/d/14Bd19lYaqBhU8_DElYkX7l4wRkHqqCUFNJY4AfY3kHU/edit?usp=sharing  #gid=0"",""фіз особи new!relations_name""),6,FALSE)
,
(IF
(
G1105=""юридична особа""
,
VLOOKUP"&amp;"(H1105,IMPORTRANGE(""https://docs.google.com/spreadsheets/d/14Bd19lYaqBhU8_DElYkX7l4wRkHqqCUFNJY4AfY3kHU/edit?usp=sharing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J1104" s="7" t="s">
        <v>17</v>
      </c>
    </row>
    <row r="1105" spans="1:10" ht="13.2">
      <c r="A1105" s="7">
        <v>1104</v>
      </c>
      <c r="B1105" s="7">
        <v>1</v>
      </c>
      <c r="C1105" s="7" t="s">
        <v>10</v>
      </c>
      <c r="D1105" s="7">
        <v>373</v>
      </c>
      <c r="E1105" s="7" t="s">
        <v>34</v>
      </c>
      <c r="F1105" s="8" t="str">
        <f ca="1">IFERROR(__xludf.DUMMYFUNCTION("IF
(
C1106=""фізична особа""
,
VLOOKUP(D1106,IMPORTRANGE(""https://docs.google.com/spreadsheets/d/14Bd19lYaqBhU8_DElYkX7l4wRkHqqCUFNJY4AfY3kHU/edit?usp=sharing  #gid=0"",""фіз особи new!relations_name""),6,FALSE)
,
(IF
(
C1106=""юридична особа""
,
VLOOKUP"&amp;"(D1106,IMPORTRANGE(""https://docs.google.com/spreadsheets/d/14Bd19lYaqBhU8_DElYkX7l4wRkHqqCUFNJY4AfY3kHU/edit?usp=sharing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5" s="7" t="s">
        <v>10</v>
      </c>
      <c r="H1105" s="7">
        <v>4998</v>
      </c>
      <c r="I1105" s="8" t="str">
        <f ca="1">IFERROR(__xludf.DUMMYFUNCTION("IF
(
G1106=""фізична особа""
,
VLOOKUP(H1106,IMPORTRANGE(""https://docs.google.com/spreadsheets/d/14Bd19lYaqBhU8_DElYkX7l4wRkHqqCUFNJY4AfY3kHU/edit?usp=sharing  #gid=0"",""фіз особи new!relations_name""),6,FALSE)
,
(IF
(
G1106=""юридична особа""
,
VLOOKUP"&amp;"(H1106,IMPORTRANGE(""https://docs.google.com/spreadsheets/d/14Bd19lYaqBhU8_DElYkX7l4wRkHqqCUFNJY4AfY3kHU/edit?usp=sharing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J1105" s="7" t="s">
        <v>25</v>
      </c>
    </row>
    <row r="1106" spans="1:10" ht="13.2">
      <c r="A1106" s="7">
        <v>1105</v>
      </c>
      <c r="B1106" s="7">
        <v>1</v>
      </c>
      <c r="C1106" s="7" t="s">
        <v>10</v>
      </c>
      <c r="D1106" s="7">
        <v>373</v>
      </c>
      <c r="E1106" s="7" t="s">
        <v>28</v>
      </c>
      <c r="F1106" s="8" t="str">
        <f ca="1">IFERROR(__xludf.DUMMYFUNCTION("IF
(
C1107=""фізична особа""
,
VLOOKUP(D1107,IMPORTRANGE(""https://docs.google.com/spreadsheets/d/14Bd19lYaqBhU8_DElYkX7l4wRkHqqCUFNJY4AfY3kHU/edit?usp=sharing  #gid=0"",""фіз особи new!relations_name""),6,FALSE)
,
(IF
(
C1107=""юридична особа""
,
VLOOKUP"&amp;"(D1107,IMPORTRANGE(""https://docs.google.com/spreadsheets/d/14Bd19lYaqBhU8_DElYkX7l4wRkHqqCUFNJY4AfY3kHU/edit?usp=sharing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6" s="7" t="s">
        <v>10</v>
      </c>
      <c r="H1106" s="7">
        <v>430</v>
      </c>
      <c r="I1106" s="8" t="str">
        <f ca="1">IFERROR(__xludf.DUMMYFUNCTION("IF
(
G1107=""фізична особа""
,
VLOOKUP(H1107,IMPORTRANGE(""https://docs.google.com/spreadsheets/d/14Bd19lYaqBhU8_DElYkX7l4wRkHqqCUFNJY4AfY3kHU/edit?usp=sharing  #gid=0"",""фіз особи new!relations_name""),6,FALSE)
,
(IF
(
G1107=""юридична особа""
,
VLOOKUP"&amp;"(H1107,IMPORTRANGE(""https://docs.google.com/spreadsheets/d/14Bd19lYaqBhU8_DElYkX7l4wRkHqqCUFNJY4AfY3kHU/edit?usp=sharing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1106" s="7" t="s">
        <v>29</v>
      </c>
    </row>
    <row r="1107" spans="1:10" ht="13.2">
      <c r="A1107" s="7">
        <v>1106</v>
      </c>
      <c r="B1107" s="7">
        <v>1</v>
      </c>
      <c r="C1107" s="7" t="s">
        <v>10</v>
      </c>
      <c r="D1107" s="7">
        <v>373</v>
      </c>
      <c r="E1107" s="7" t="s">
        <v>35</v>
      </c>
      <c r="F1107" s="8" t="str">
        <f ca="1">IFERROR(__xludf.DUMMYFUNCTION("IF
(
C1108=""фізична особа""
,
VLOOKUP(D1108,IMPORTRANGE(""https://docs.google.com/spreadsheets/d/14Bd19lYaqBhU8_DElYkX7l4wRkHqqCUFNJY4AfY3kHU/edit?usp=sharing  #gid=0"",""фіз особи new!relations_name""),6,FALSE)
,
(IF
(
C1108=""юридична особа""
,
VLOOKUP"&amp;"(D1108,IMPORTRANGE(""https://docs.google.com/spreadsheets/d/14Bd19lYaqBhU8_DElYkX7l4wRkHqqCUFNJY4AfY3kHU/edit?usp=sharing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7" s="7" t="s">
        <v>10</v>
      </c>
      <c r="H1107" s="7">
        <v>672</v>
      </c>
      <c r="I1107" s="8" t="str">
        <f ca="1">IFERROR(__xludf.DUMMYFUNCTION("IF
(
G1108=""фізична особа""
,
VLOOKUP(H1108,IMPORTRANGE(""https://docs.google.com/spreadsheets/d/14Bd19lYaqBhU8_DElYkX7l4wRkHqqCUFNJY4AfY3kHU/edit?usp=sharing  #gid=0"",""фіз особи new!relations_name""),6,FALSE)
,
(IF
(
G1108=""юридична особа""
,
VLOOKUP"&amp;"(H1108,IMPORTRANGE(""https://docs.google.com/spreadsheets/d/14Bd19lYaqBhU8_DElYkX7l4wRkHqqCUFNJY4AfY3kHU/edit?usp=sharing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1107" s="7" t="s">
        <v>35</v>
      </c>
    </row>
    <row r="1108" spans="1:10" ht="13.2">
      <c r="A1108" s="7">
        <v>1107</v>
      </c>
      <c r="B1108" s="7">
        <v>1</v>
      </c>
      <c r="C1108" s="7" t="s">
        <v>10</v>
      </c>
      <c r="D1108" s="7">
        <v>373</v>
      </c>
      <c r="E1108" s="7" t="s">
        <v>35</v>
      </c>
      <c r="F1108" s="8" t="str">
        <f ca="1">IFERROR(__xludf.DUMMYFUNCTION("IF
(
C1109=""фізична особа""
,
VLOOKUP(D1109,IMPORTRANGE(""https://docs.google.com/spreadsheets/d/14Bd19lYaqBhU8_DElYkX7l4wRkHqqCUFNJY4AfY3kHU/edit?usp=sharing  #gid=0"",""фіз особи new!relations_name""),6,FALSE)
,
(IF
(
C1109=""юридична особа""
,
VLOOKUP"&amp;"(D1109,IMPORTRANGE(""https://docs.google.com/spreadsheets/d/14Bd19lYaqBhU8_DElYkX7l4wRkHqqCUFNJY4AfY3kHU/edit?usp=sharing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G1108" s="7" t="s">
        <v>10</v>
      </c>
      <c r="H1108" s="7">
        <v>691</v>
      </c>
      <c r="I1108" s="8" t="str">
        <f ca="1">IFERROR(__xludf.DUMMYFUNCTION("IF
(
G1109=""фізична особа""
,
VLOOKUP(H1109,IMPORTRANGE(""https://docs.google.com/spreadsheets/d/14Bd19lYaqBhU8_DElYkX7l4wRkHqqCUFNJY4AfY3kHU/edit?usp=sharing  #gid=0"",""фіз особи new!relations_name""),6,FALSE)
,
(IF
(
G1109=""юридична особа""
,
VLOOKUP"&amp;"(H1109,IMPORTRANGE(""https://docs.google.com/spreadsheets/d/14Bd19lYaqBhU8_DElYkX7l4wRkHqqCUFNJY4AfY3kHU/edit?usp=sharing  #gid=0"",""фіз особи new!relations_name_uo""),7,FALSE)
,
)
))"),"МАРТИНОВ Сергій Олександрович")</f>
        <v>МАРТИНОВ Сергій Олександрович</v>
      </c>
      <c r="J1108" s="7" t="s">
        <v>35</v>
      </c>
    </row>
    <row r="1109" spans="1:10" ht="13.2">
      <c r="A1109" s="7">
        <v>1108</v>
      </c>
      <c r="B1109" s="7">
        <v>1</v>
      </c>
      <c r="C1109" s="7" t="s">
        <v>10</v>
      </c>
      <c r="D1109" s="7">
        <v>374</v>
      </c>
      <c r="E1109" s="7" t="s">
        <v>35</v>
      </c>
      <c r="F1109" s="8" t="str">
        <f ca="1">IFERROR(__xludf.DUMMYFUNCTION("IF
(
C1110=""фізична особа""
,
VLOOKUP(D1110,IMPORTRANGE(""https://docs.google.com/spreadsheets/d/14Bd19lYaqBhU8_DElYkX7l4wRkHqqCUFNJY4AfY3kHU/edit?usp=sharing  #gid=0"",""фіз особи new!relations_name""),6,FALSE)
,
(IF
(
C1110=""юридична особа""
,
VLOOKUP"&amp;"(D1110,IMPORTRANGE(""https://docs.google.com/spreadsheets/d/14Bd19lYaqBhU8_DElYkX7l4wRkHqqCUFNJY4AfY3kHU/edit?usp=sharing  #gid=0"",""фіз особи new!relations_name_uo""),7,FALSE)
,
)
))"),"ДОЛГОВ Костянтин Костянтинович")</f>
        <v>ДОЛГОВ Костянтин Костянтинович</v>
      </c>
      <c r="G1109" s="7" t="s">
        <v>10</v>
      </c>
      <c r="H1109" s="7">
        <v>759</v>
      </c>
      <c r="I1109" s="8" t="str">
        <f ca="1">IFERROR(__xludf.DUMMYFUNCTION("IF
(
G1110=""фізична особа""
,
VLOOKUP(H1110,IMPORTRANGE(""https://docs.google.com/spreadsheets/d/14Bd19lYaqBhU8_DElYkX7l4wRkHqqCUFNJY4AfY3kHU/edit?usp=sharing  #gid=0"",""фіз особи new!relations_name""),6,FALSE)
,
(IF
(
G1110=""юридична особа""
,
VLOOKUP"&amp;"(H1110,IMPORTRANGE(""https://docs.google.com/spreadsheets/d/14Bd19lYaqBhU8_DElYkX7l4wRkHqqCUFNJY4AfY3kHU/edit?usp=sharing  #gid=0"",""фіз особи new!relations_name_uo""),7,FALSE)
,
)
))"),"САХАРОВА Тетяна Анатоліївна")</f>
        <v>САХАРОВА Тетяна Анатоліївна</v>
      </c>
      <c r="J1109" s="7" t="s">
        <v>35</v>
      </c>
    </row>
    <row r="1110" spans="1:10" ht="13.2">
      <c r="A1110" s="7">
        <v>1109</v>
      </c>
      <c r="B1110" s="7">
        <v>1</v>
      </c>
      <c r="C1110" s="7" t="s">
        <v>10</v>
      </c>
      <c r="D1110" s="7">
        <v>375</v>
      </c>
      <c r="E1110" s="7" t="s">
        <v>14</v>
      </c>
      <c r="F1110" s="8" t="str">
        <f ca="1">IFERROR(__xludf.DUMMYFUNCTION("IF
(
C1111=""фізична особа""
,
VLOOKUP(D1111,IMPORTRANGE(""https://docs.google.com/spreadsheets/d/14Bd19lYaqBhU8_DElYkX7l4wRkHqqCUFNJY4AfY3kHU/edit?usp=sharing  #gid=0"",""фіз особи new!relations_name""),6,FALSE)
,
(IF
(
C1111=""юридична особа""
,
VLOOKUP"&amp;"(D1111,IMPORTRANGE(""https://docs.google.com/spreadsheets/d/14Bd19lYaqBhU8_DElYkX7l4wRkHqqCUFNJY4AfY3kHU/edit?usp=sharing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0" s="7" t="s">
        <v>10</v>
      </c>
      <c r="H1110" s="7">
        <v>0</v>
      </c>
      <c r="I1110" s="8" t="str">
        <f ca="1">IFERROR(__xludf.DUMMYFUNCTION("IF
(
G1111=""фізична особа""
,
VLOOKUP(H1111,IMPORTRANGE(""https://docs.google.com/spreadsheets/d/14Bd19lYaqBhU8_DElYkX7l4wRkHqqCUFNJY4AfY3kHU/edit?usp=sharing  #gid=0"",""фіз особи new!relations_name""),6,FALSE)
,
(IF
(
G1111=""юридична особа""
,
VLOOKUP"&amp;"(H1111,IMPORTRANGE(""https://docs.google.com/spreadsheets/d/14Bd19lYaqBhU8_DElYkX7l4wRkHqqCUFNJY4AfY3kHU/edit?usp=sharing  #gid=0"",""фіз особи new!relations_name_uo""),7,FALSE)
,
)
))"),"#N/A")</f>
        <v>#N/A</v>
      </c>
      <c r="J1110" s="7" t="s">
        <v>15</v>
      </c>
    </row>
    <row r="1111" spans="1:10" ht="13.2">
      <c r="A1111" s="7">
        <v>1110</v>
      </c>
      <c r="B1111" s="7">
        <v>1</v>
      </c>
      <c r="C1111" s="7" t="s">
        <v>10</v>
      </c>
      <c r="D1111" s="7">
        <v>375</v>
      </c>
      <c r="E1111" s="7" t="s">
        <v>12</v>
      </c>
      <c r="F1111" s="8" t="str">
        <f ca="1">IFERROR(__xludf.DUMMYFUNCTION("IF
(
C1112=""фізична особа""
,
VLOOKUP(D1112,IMPORTRANGE(""https://docs.google.com/spreadsheets/d/14Bd19lYaqBhU8_DElYkX7l4wRkHqqCUFNJY4AfY3kHU/edit?usp=sharing  #gid=0"",""фіз особи new!relations_name""),6,FALSE)
,
(IF
(
C1112=""юридична особа""
,
VLOOKUP"&amp;"(D1112,IMPORTRANGE(""https://docs.google.com/spreadsheets/d/14Bd19lYaqBhU8_DElYkX7l4wRkHqqCUFNJY4AfY3kHU/edit?usp=sharing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1" s="7" t="s">
        <v>10</v>
      </c>
      <c r="H1111" s="7">
        <v>0</v>
      </c>
      <c r="I1111" s="8" t="str">
        <f ca="1">IFERROR(__xludf.DUMMYFUNCTION("IF
(
G1112=""фізична особа""
,
VLOOKUP(H1112,IMPORTRANGE(""https://docs.google.com/spreadsheets/d/14Bd19lYaqBhU8_DElYkX7l4wRkHqqCUFNJY4AfY3kHU/edit?usp=sharing  #gid=0"",""фіз особи new!relations_name""),6,FALSE)
,
(IF
(
G1112=""юридична особа""
,
VLOOKUP"&amp;"(H1112,IMPORTRANGE(""https://docs.google.com/spreadsheets/d/14Bd19lYaqBhU8_DElYkX7l4wRkHqqCUFNJY4AfY3kHU/edit?usp=sharing  #gid=0"",""фіз особи new!relations_name_uo""),7,FALSE)
,
)
))"),"#N/A")</f>
        <v>#N/A</v>
      </c>
      <c r="J1111" s="7" t="s">
        <v>17</v>
      </c>
    </row>
    <row r="1112" spans="1:10" ht="13.2">
      <c r="A1112" s="7">
        <v>1111</v>
      </c>
      <c r="B1112" s="7">
        <v>1</v>
      </c>
      <c r="C1112" s="7" t="s">
        <v>10</v>
      </c>
      <c r="D1112" s="7">
        <v>375</v>
      </c>
      <c r="E1112" s="7" t="s">
        <v>12</v>
      </c>
      <c r="F1112" s="8" t="str">
        <f ca="1">IFERROR(__xludf.DUMMYFUNCTION("IF
(
C1113=""фізична особа""
,
VLOOKUP(D1113,IMPORTRANGE(""https://docs.google.com/spreadsheets/d/14Bd19lYaqBhU8_DElYkX7l4wRkHqqCUFNJY4AfY3kHU/edit?usp=sharing  #gid=0"",""фіз особи new!relations_name""),6,FALSE)
,
(IF
(
C1113=""юридична особа""
,
VLOOKUP"&amp;"(D1113,IMPORTRANGE(""https://docs.google.com/spreadsheets/d/14Bd19lYaqBhU8_DElYkX7l4wRkHqqCUFNJY4AfY3kHU/edit?usp=sharing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2" s="7" t="s">
        <v>10</v>
      </c>
      <c r="H1112" s="7">
        <v>0</v>
      </c>
      <c r="I1112" s="8" t="str">
        <f ca="1">IFERROR(__xludf.DUMMYFUNCTION("IF
(
G1113=""фізична особа""
,
VLOOKUP(H1113,IMPORTRANGE(""https://docs.google.com/spreadsheets/d/14Bd19lYaqBhU8_DElYkX7l4wRkHqqCUFNJY4AfY3kHU/edit?usp=sharing  #gid=0"",""фіз особи new!relations_name""),6,FALSE)
,
(IF
(
G1113=""юридична особа""
,
VLOOKUP"&amp;"(H1113,IMPORTRANGE(""https://docs.google.com/spreadsheets/d/14Bd19lYaqBhU8_DElYkX7l4wRkHqqCUFNJY4AfY3kHU/edit?usp=sharing  #gid=0"",""фіз особи new!relations_name_uo""),7,FALSE)
,
)
))"),"#N/A")</f>
        <v>#N/A</v>
      </c>
      <c r="J1112" s="7" t="s">
        <v>13</v>
      </c>
    </row>
    <row r="1113" spans="1:10" ht="13.2">
      <c r="A1113" s="7">
        <v>1112</v>
      </c>
      <c r="B1113" s="7">
        <v>1</v>
      </c>
      <c r="C1113" s="7" t="s">
        <v>10</v>
      </c>
      <c r="D1113" s="7">
        <v>375</v>
      </c>
      <c r="E1113" s="7" t="s">
        <v>12</v>
      </c>
      <c r="F1113" s="8" t="str">
        <f ca="1">IFERROR(__xludf.DUMMYFUNCTION("IF
(
C1114=""фізична особа""
,
VLOOKUP(D1114,IMPORTRANGE(""https://docs.google.com/spreadsheets/d/14Bd19lYaqBhU8_DElYkX7l4wRkHqqCUFNJY4AfY3kHU/edit?usp=sharing  #gid=0"",""фіз особи new!relations_name""),6,FALSE)
,
(IF
(
C1114=""юридична особа""
,
VLOOKUP"&amp;"(D1114,IMPORTRANGE(""https://docs.google.com/spreadsheets/d/14Bd19lYaqBhU8_DElYkX7l4wRkHqqCUFNJY4AfY3kHU/edit?usp=sharing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3" s="7" t="s">
        <v>10</v>
      </c>
      <c r="H1113" s="7">
        <v>0</v>
      </c>
      <c r="I1113" s="8" t="str">
        <f ca="1">IFERROR(__xludf.DUMMYFUNCTION("IF
(
G1114=""фізична особа""
,
VLOOKUP(H1114,IMPORTRANGE(""https://docs.google.com/spreadsheets/d/14Bd19lYaqBhU8_DElYkX7l4wRkHqqCUFNJY4AfY3kHU/edit?usp=sharing  #gid=0"",""фіз особи new!relations_name""),6,FALSE)
,
(IF
(
G1114=""юридична особа""
,
VLOOKUP"&amp;"(H1114,IMPORTRANGE(""https://docs.google.com/spreadsheets/d/14Bd19lYaqBhU8_DElYkX7l4wRkHqqCUFNJY4AfY3kHU/edit?usp=sharing  #gid=0"",""фіз особи new!relations_name_uo""),7,FALSE)
,
)
))"),"#N/A")</f>
        <v>#N/A</v>
      </c>
      <c r="J1113" s="7" t="s">
        <v>13</v>
      </c>
    </row>
    <row r="1114" spans="1:10" ht="13.2">
      <c r="A1114" s="7">
        <v>1113</v>
      </c>
      <c r="B1114" s="7">
        <v>1</v>
      </c>
      <c r="C1114" s="7" t="s">
        <v>10</v>
      </c>
      <c r="D1114" s="7">
        <v>375</v>
      </c>
      <c r="E1114" s="7" t="s">
        <v>12</v>
      </c>
      <c r="F1114" s="8" t="str">
        <f ca="1">IFERROR(__xludf.DUMMYFUNCTION("IF
(
C1115=""фізична особа""
,
VLOOKUP(D1115,IMPORTRANGE(""https://docs.google.com/spreadsheets/d/14Bd19lYaqBhU8_DElYkX7l4wRkHqqCUFNJY4AfY3kHU/edit?usp=sharing  #gid=0"",""фіз особи new!relations_name""),6,FALSE)
,
(IF
(
C1115=""юридична особа""
,
VLOOKUP"&amp;"(D1115,IMPORTRANGE(""https://docs.google.com/spreadsheets/d/14Bd19lYaqBhU8_DElYkX7l4wRkHqqCUFNJY4AfY3kHU/edit?usp=sharing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4" s="7" t="s">
        <v>10</v>
      </c>
      <c r="H1114" s="7">
        <v>0</v>
      </c>
      <c r="I1114" s="8" t="str">
        <f ca="1">IFERROR(__xludf.DUMMYFUNCTION("IF
(
G1115=""фізична особа""
,
VLOOKUP(H1115,IMPORTRANGE(""https://docs.google.com/spreadsheets/d/14Bd19lYaqBhU8_DElYkX7l4wRkHqqCUFNJY4AfY3kHU/edit?usp=sharing  #gid=0"",""фіз особи new!relations_name""),6,FALSE)
,
(IF
(
G1115=""юридична особа""
,
VLOOKUP"&amp;"(H1115,IMPORTRANGE(""https://docs.google.com/spreadsheets/d/14Bd19lYaqBhU8_DElYkX7l4wRkHqqCUFNJY4AfY3kHU/edit?usp=sharing  #gid=0"",""фіз особи new!relations_name_uo""),7,FALSE)
,
)
))"),"#N/A")</f>
        <v>#N/A</v>
      </c>
      <c r="J1114" s="7" t="s">
        <v>13</v>
      </c>
    </row>
    <row r="1115" spans="1:10" ht="13.2">
      <c r="A1115" s="7">
        <v>1114</v>
      </c>
      <c r="B1115" s="7">
        <v>1</v>
      </c>
      <c r="C1115" s="7" t="s">
        <v>10</v>
      </c>
      <c r="D1115" s="7">
        <v>375</v>
      </c>
      <c r="E1115" s="7" t="s">
        <v>42</v>
      </c>
      <c r="F1115" s="8" t="str">
        <f ca="1">IFERROR(__xludf.DUMMYFUNCTION("IF
(
C1116=""фізична особа""
,
VLOOKUP(D1116,IMPORTRANGE(""https://docs.google.com/spreadsheets/d/14Bd19lYaqBhU8_DElYkX7l4wRkHqqCUFNJY4AfY3kHU/edit?usp=sharing  #gid=0"",""фіз особи new!relations_name""),6,FALSE)
,
(IF
(
C1116=""юридична особа""
,
VLOOKUP"&amp;"(D1116,IMPORTRANGE(""https://docs.google.com/spreadsheets/d/14Bd19lYaqBhU8_DElYkX7l4wRkHqqCUFNJY4AfY3kHU/edit?usp=sharing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5" s="7" t="s">
        <v>10</v>
      </c>
      <c r="H1115" s="7">
        <v>0</v>
      </c>
      <c r="I1115" s="8" t="str">
        <f ca="1">IFERROR(__xludf.DUMMYFUNCTION("IF
(
G1116=""фізична особа""
,
VLOOKUP(H1116,IMPORTRANGE(""https://docs.google.com/spreadsheets/d/14Bd19lYaqBhU8_DElYkX7l4wRkHqqCUFNJY4AfY3kHU/edit?usp=sharing  #gid=0"",""фіз особи new!relations_name""),6,FALSE)
,
(IF
(
G1116=""юридична особа""
,
VLOOKUP"&amp;"(H1116,IMPORTRANGE(""https://docs.google.com/spreadsheets/d/14Bd19lYaqBhU8_DElYkX7l4wRkHqqCUFNJY4AfY3kHU/edit?usp=sharing  #gid=0"",""фіз особи new!relations_name_uo""),7,FALSE)
,
)
))"),"#N/A")</f>
        <v>#N/A</v>
      </c>
      <c r="J1115" s="7" t="s">
        <v>43</v>
      </c>
    </row>
    <row r="1116" spans="1:10" ht="13.2">
      <c r="A1116" s="7">
        <v>1115</v>
      </c>
      <c r="B1116" s="7">
        <v>1</v>
      </c>
      <c r="C1116" s="7" t="s">
        <v>10</v>
      </c>
      <c r="D1116" s="7">
        <v>375</v>
      </c>
      <c r="E1116" s="7" t="s">
        <v>12</v>
      </c>
      <c r="F1116" s="8" t="str">
        <f ca="1">IFERROR(__xludf.DUMMYFUNCTION("IF
(
C1117=""фізична особа""
,
VLOOKUP(D1117,IMPORTRANGE(""https://docs.google.com/spreadsheets/d/14Bd19lYaqBhU8_DElYkX7l4wRkHqqCUFNJY4AfY3kHU/edit?usp=sharing  #gid=0"",""фіз особи new!relations_name""),6,FALSE)
,
(IF
(
C1117=""юридична особа""
,
VLOOKUP"&amp;"(D1117,IMPORTRANGE(""https://docs.google.com/spreadsheets/d/14Bd19lYaqBhU8_DElYkX7l4wRkHqqCUFNJY4AfY3kHU/edit?usp=sharing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6" s="7" t="s">
        <v>10</v>
      </c>
      <c r="H1116" s="7">
        <v>0</v>
      </c>
      <c r="I1116" s="8" t="str">
        <f ca="1">IFERROR(__xludf.DUMMYFUNCTION("IF
(
G1117=""фізична особа""
,
VLOOKUP(H1117,IMPORTRANGE(""https://docs.google.com/spreadsheets/d/14Bd19lYaqBhU8_DElYkX7l4wRkHqqCUFNJY4AfY3kHU/edit?usp=sharing  #gid=0"",""фіз особи new!relations_name""),6,FALSE)
,
(IF
(
G1117=""юридична особа""
,
VLOOKUP"&amp;"(H1117,IMPORTRANGE(""https://docs.google.com/spreadsheets/d/14Bd19lYaqBhU8_DElYkX7l4wRkHqqCUFNJY4AfY3kHU/edit?usp=sharing  #gid=0"",""фіз особи new!relations_name_uo""),7,FALSE)
,
)
))"),"#N/A")</f>
        <v>#N/A</v>
      </c>
      <c r="J1116" s="7" t="s">
        <v>13</v>
      </c>
    </row>
    <row r="1117" spans="1:10" ht="13.2">
      <c r="A1117" s="7">
        <v>1116</v>
      </c>
      <c r="B1117" s="7">
        <v>1</v>
      </c>
      <c r="C1117" s="7" t="s">
        <v>10</v>
      </c>
      <c r="D1117" s="7">
        <v>375</v>
      </c>
      <c r="E1117" s="7" t="s">
        <v>12</v>
      </c>
      <c r="F1117" s="8" t="str">
        <f ca="1">IFERROR(__xludf.DUMMYFUNCTION("IF
(
C1118=""фізична особа""
,
VLOOKUP(D1118,IMPORTRANGE(""https://docs.google.com/spreadsheets/d/14Bd19lYaqBhU8_DElYkX7l4wRkHqqCUFNJY4AfY3kHU/edit?usp=sharing  #gid=0"",""фіз особи new!relations_name""),6,FALSE)
,
(IF
(
C1118=""юридична особа""
,
VLOOKUP"&amp;"(D1118,IMPORTRANGE(""https://docs.google.com/spreadsheets/d/14Bd19lYaqBhU8_DElYkX7l4wRkHqqCUFNJY4AfY3kHU/edit?usp=sharing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7" s="7" t="s">
        <v>10</v>
      </c>
      <c r="H1117" s="7">
        <v>0</v>
      </c>
      <c r="I1117" s="8" t="str">
        <f ca="1">IFERROR(__xludf.DUMMYFUNCTION("IF
(
G1118=""фізична особа""
,
VLOOKUP(H1118,IMPORTRANGE(""https://docs.google.com/spreadsheets/d/14Bd19lYaqBhU8_DElYkX7l4wRkHqqCUFNJY4AfY3kHU/edit?usp=sharing  #gid=0"",""фіз особи new!relations_name""),6,FALSE)
,
(IF
(
G1118=""юридична особа""
,
VLOOKUP"&amp;"(H1118,IMPORTRANGE(""https://docs.google.com/spreadsheets/d/14Bd19lYaqBhU8_DElYkX7l4wRkHqqCUFNJY4AfY3kHU/edit?usp=sharing  #gid=0"",""фіз особи new!relations_name_uo""),7,FALSE)
,
)
))"),"#N/A")</f>
        <v>#N/A</v>
      </c>
      <c r="J1117" s="7" t="s">
        <v>17</v>
      </c>
    </row>
    <row r="1118" spans="1:10" ht="13.2">
      <c r="A1118" s="7">
        <v>1117</v>
      </c>
      <c r="B1118" s="7">
        <v>1</v>
      </c>
      <c r="C1118" s="7" t="s">
        <v>10</v>
      </c>
      <c r="D1118" s="7">
        <v>375</v>
      </c>
      <c r="E1118" s="7" t="s">
        <v>11</v>
      </c>
      <c r="F1118" s="8" t="str">
        <f ca="1">IFERROR(__xludf.DUMMYFUNCTION("IF
(
C1119=""фізична особа""
,
VLOOKUP(D1119,IMPORTRANGE(""https://docs.google.com/spreadsheets/d/14Bd19lYaqBhU8_DElYkX7l4wRkHqqCUFNJY4AfY3kHU/edit?usp=sharing  #gid=0"",""фіз особи new!relations_name""),6,FALSE)
,
(IF
(
C1119=""юридична особа""
,
VLOOKUP"&amp;"(D1119,IMPORTRANGE(""https://docs.google.com/spreadsheets/d/14Bd19lYaqBhU8_DElYkX7l4wRkHqqCUFNJY4AfY3kHU/edit?usp=sharing  #gid=0"",""фіз особи new!relations_name_uo""),7,FALSE)
,
)
))"),"ЕРНСТ Костянтин Львович")</f>
        <v>ЕРНСТ Костянтин Львович</v>
      </c>
      <c r="G1118" s="7" t="s">
        <v>10</v>
      </c>
      <c r="H1118" s="7">
        <v>880</v>
      </c>
      <c r="I1118" s="8" t="str">
        <f ca="1">IFERROR(__xludf.DUMMYFUNCTION("IF
(
G1119=""фізична особа""
,
VLOOKUP(H1119,IMPORTRANGE(""https://docs.google.com/spreadsheets/d/14Bd19lYaqBhU8_DElYkX7l4wRkHqqCUFNJY4AfY3kHU/edit?usp=sharing  #gid=0"",""фіз особи new!relations_name""),6,FALSE)
,
(IF
(
G1119=""юридична особа""
,
VLOOKUP"&amp;"(H1119,IMPORTRANGE(""https://docs.google.com/spreadsheets/d/14Bd19lYaqBhU8_DElYkX7l4wRkHqqCUFNJY4AfY3kHU/edit?usp=sharing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118" s="7" t="s">
        <v>11</v>
      </c>
    </row>
    <row r="1119" spans="1:10" ht="13.2">
      <c r="A1119" s="7">
        <v>1118</v>
      </c>
      <c r="B1119" s="7">
        <v>1</v>
      </c>
      <c r="C1119" s="7" t="s">
        <v>10</v>
      </c>
      <c r="D1119" s="7">
        <v>376</v>
      </c>
      <c r="E1119" s="7" t="s">
        <v>12</v>
      </c>
      <c r="F1119" s="8" t="str">
        <f ca="1">IFERROR(__xludf.DUMMYFUNCTION("IF
(
C1120=""фізична особа""
,
VLOOKUP(D1120,IMPORTRANGE(""https://docs.google.com/spreadsheets/d/14Bd19lYaqBhU8_DElYkX7l4wRkHqqCUFNJY4AfY3kHU/edit?usp=sharing  #gid=0"",""фіз особи new!relations_name""),6,FALSE)
,
(IF
(
C1120=""юридична особа""
,
VLOOKUP"&amp;"(D1120,IMPORTRANGE(""https://docs.google.com/spreadsheets/d/14Bd19lYaqBhU8_DElYkX7l4wRkHqqCUFNJY4AfY3kHU/edit?usp=sharing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19" s="7" t="s">
        <v>10</v>
      </c>
      <c r="H1119" s="7">
        <v>5928</v>
      </c>
      <c r="I1119" s="8" t="str">
        <f ca="1">IFERROR(__xludf.DUMMYFUNCTION("IF
(
G1120=""фізична особа""
,
VLOOKUP(H1120,IMPORTRANGE(""https://docs.google.com/spreadsheets/d/14Bd19lYaqBhU8_DElYkX7l4wRkHqqCUFNJY4AfY3kHU/edit?usp=sharing  #gid=0"",""фіз особи new!relations_name""),6,FALSE)
,
(IF
(
G1120=""юридична особа""
,
VLOOKUP"&amp;"(H1120,IMPORTRANGE(""https://docs.google.com/spreadsheets/d/14Bd19lYaqBhU8_DElYkX7l4wRkHqqCUFNJY4AfY3kHU/edit?usp=sharing  #gid=0"",""фіз особи new!relations_name_uo""),7,FALSE)
,
)
))"),"МАЛОФЄЄВ Кирило Костянтинович")</f>
        <v>МАЛОФЄЄВ Кирило Костянтинович</v>
      </c>
      <c r="J1119" s="7" t="s">
        <v>17</v>
      </c>
    </row>
    <row r="1120" spans="1:10" ht="13.2">
      <c r="A1120" s="7">
        <v>1119</v>
      </c>
      <c r="B1120" s="7">
        <v>1</v>
      </c>
      <c r="C1120" s="7" t="s">
        <v>10</v>
      </c>
      <c r="D1120" s="7">
        <v>376</v>
      </c>
      <c r="E1120" s="7" t="s">
        <v>28</v>
      </c>
      <c r="F1120" s="8" t="str">
        <f ca="1">IFERROR(__xludf.DUMMYFUNCTION("IF
(
C1121=""фізична особа""
,
VLOOKUP(D1121,IMPORTRANGE(""https://docs.google.com/spreadsheets/d/14Bd19lYaqBhU8_DElYkX7l4wRkHqqCUFNJY4AfY3kHU/edit?usp=sharing  #gid=0"",""фіз особи new!relations_name""),6,FALSE)
,
(IF
(
C1121=""юридична особа""
,
VLOOKUP"&amp;"(D1121,IMPORTRANGE(""https://docs.google.com/spreadsheets/d/14Bd19lYaqBhU8_DElYkX7l4wRkHqqCUFNJY4AfY3kHU/edit?usp=sharing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0" s="7" t="s">
        <v>10</v>
      </c>
      <c r="H1120" s="7">
        <v>5918</v>
      </c>
      <c r="I1120" s="8" t="str">
        <f ca="1">IFERROR(__xludf.DUMMYFUNCTION("IF
(
G1121=""фізична особа""
,
VLOOKUP(H1121,IMPORTRANGE(""https://docs.google.com/spreadsheets/d/14Bd19lYaqBhU8_DElYkX7l4wRkHqqCUFNJY4AfY3kHU/edit?usp=sharing  #gid=0"",""фіз особи new!relations_name""),6,FALSE)
,
(IF
(
G1121=""юридична особа""
,
VLOOKUP"&amp;"(H1121,IMPORTRANGE(""https://docs.google.com/spreadsheets/d/14Bd19lYaqBhU8_DElYkX7l4wRkHqqCUFNJY4AfY3kHU/edit?usp=sharing  #gid=0"",""фіз особи new!relations_name_uo""),7,FALSE)
,
)
))"),"ТЮРІНА Наталія Олександрівна")</f>
        <v>ТЮРІНА Наталія Олександрівна</v>
      </c>
      <c r="J1120" s="7" t="s">
        <v>29</v>
      </c>
    </row>
    <row r="1121" spans="1:10" ht="13.2">
      <c r="A1121" s="7">
        <v>1120</v>
      </c>
      <c r="B1121" s="7">
        <v>1</v>
      </c>
      <c r="C1121" s="7" t="s">
        <v>10</v>
      </c>
      <c r="D1121" s="7">
        <v>376</v>
      </c>
      <c r="E1121" s="7" t="s">
        <v>11</v>
      </c>
      <c r="F1121" s="8" t="str">
        <f ca="1">IFERROR(__xludf.DUMMYFUNCTION("IF
(
C1122=""фізична особа""
,
VLOOKUP(D1122,IMPORTRANGE(""https://docs.google.com/spreadsheets/d/14Bd19lYaqBhU8_DElYkX7l4wRkHqqCUFNJY4AfY3kHU/edit?usp=sharing  #gid=0"",""фіз особи new!relations_name""),6,FALSE)
,
(IF
(
C1122=""юридична особа""
,
VLOOKUP"&amp;"(D1122,IMPORTRANGE(""https://docs.google.com/spreadsheets/d/14Bd19lYaqBhU8_DElYkX7l4wRkHqqCUFNJY4AfY3kHU/edit?usp=sharing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1" s="7" t="s">
        <v>10</v>
      </c>
      <c r="H1121" s="7">
        <v>0</v>
      </c>
      <c r="I1121" s="8" t="str">
        <f ca="1">IFERROR(__xludf.DUMMYFUNCTION("IF
(
G1122=""фізична особа""
,
VLOOKUP(H1122,IMPORTRANGE(""https://docs.google.com/spreadsheets/d/14Bd19lYaqBhU8_DElYkX7l4wRkHqqCUFNJY4AfY3kHU/edit?usp=sharing  #gid=0"",""фіз особи new!relations_name""),6,FALSE)
,
(IF
(
G1122=""юридична особа""
,
VLOOKUP"&amp;"(H1122,IMPORTRANGE(""https://docs.google.com/spreadsheets/d/14Bd19lYaqBhU8_DElYkX7l4wRkHqqCUFNJY4AfY3kHU/edit?usp=sharing  #gid=0"",""фіз особи new!relations_name_uo""),7,FALSE)
,
)
))"),"#N/A")</f>
        <v>#N/A</v>
      </c>
      <c r="J1121" s="7" t="s">
        <v>11</v>
      </c>
    </row>
    <row r="1122" spans="1:10" ht="13.2">
      <c r="A1122" s="7">
        <v>1121</v>
      </c>
      <c r="B1122" s="7">
        <v>1</v>
      </c>
      <c r="C1122" s="7" t="s">
        <v>10</v>
      </c>
      <c r="D1122" s="7">
        <v>376</v>
      </c>
      <c r="E1122" s="7" t="s">
        <v>28</v>
      </c>
      <c r="F1122" s="8" t="str">
        <f ca="1">IFERROR(__xludf.DUMMYFUNCTION("IF
(
C1123=""фізична особа""
,
VLOOKUP(D1123,IMPORTRANGE(""https://docs.google.com/spreadsheets/d/14Bd19lYaqBhU8_DElYkX7l4wRkHqqCUFNJY4AfY3kHU/edit?usp=sharing  #gid=0"",""фіз особи new!relations_name""),6,FALSE)
,
(IF
(
C1123=""юридична особа""
,
VLOOKUP"&amp;"(D1123,IMPORTRANGE(""https://docs.google.com/spreadsheets/d/14Bd19lYaqBhU8_DElYkX7l4wRkHqqCUFNJY4AfY3kHU/edit?usp=sharing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2" s="7" t="s">
        <v>10</v>
      </c>
      <c r="H1122" s="7">
        <v>8913</v>
      </c>
      <c r="I1122" s="8" t="str">
        <f ca="1">IFERROR(__xludf.DUMMYFUNCTION("IF
(
G1123=""фізична особа""
,
VLOOKUP(H1123,IMPORTRANGE(""https://docs.google.com/spreadsheets/d/14Bd19lYaqBhU8_DElYkX7l4wRkHqqCUFNJY4AfY3kHU/edit?usp=sharing  #gid=0"",""фіз особи new!relations_name""),6,FALSE)
,
(IF
(
G1123=""юридична особа""
,
VLOOKUP"&amp;"(H1123,IMPORTRANGE(""https://docs.google.com/spreadsheets/d/14Bd19lYaqBhU8_DElYkX7l4wRkHqqCUFNJY4AfY3kHU/edit?usp=sharing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122" s="7" t="s">
        <v>29</v>
      </c>
    </row>
    <row r="1123" spans="1:10" ht="13.2">
      <c r="A1123" s="7">
        <v>1122</v>
      </c>
      <c r="B1123" s="7">
        <v>1</v>
      </c>
      <c r="C1123" s="7" t="s">
        <v>10</v>
      </c>
      <c r="D1123" s="7">
        <v>376</v>
      </c>
      <c r="E1123" s="7" t="s">
        <v>35</v>
      </c>
      <c r="F1123" s="8" t="str">
        <f ca="1">IFERROR(__xludf.DUMMYFUNCTION("IF
(
C1124=""фізична особа""
,
VLOOKUP(D1124,IMPORTRANGE(""https://docs.google.com/spreadsheets/d/14Bd19lYaqBhU8_DElYkX7l4wRkHqqCUFNJY4AfY3kHU/edit?usp=sharing  #gid=0"",""фіз особи new!relations_name""),6,FALSE)
,
(IF
(
C1124=""юридична особа""
,
VLOOKUP"&amp;"(D1124,IMPORTRANGE(""https://docs.google.com/spreadsheets/d/14Bd19lYaqBhU8_DElYkX7l4wRkHqqCUFNJY4AfY3kHU/edit?usp=sharing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3" s="7" t="s">
        <v>10</v>
      </c>
      <c r="H1123" s="7">
        <v>9007</v>
      </c>
      <c r="I1123" s="8" t="str">
        <f ca="1">IFERROR(__xludf.DUMMYFUNCTION("IF
(
G1124=""фізична особа""
,
VLOOKUP(H1124,IMPORTRANGE(""https://docs.google.com/spreadsheets/d/14Bd19lYaqBhU8_DElYkX7l4wRkHqqCUFNJY4AfY3kHU/edit?usp=sharing  #gid=0"",""фіз особи new!relations_name""),6,FALSE)
,
(IF
(
G1124=""юридична особа""
,
VLOOKUP"&amp;"(H1124,IMPORTRANGE(""https://docs.google.com/spreadsheets/d/14Bd19lYaqBhU8_DElYkX7l4wRkHqqCUFNJY4AfY3kHU/edit?usp=sharing  #gid=0"",""фіз особи new!relations_name_uo""),7,FALSE)
,
)
))"),"ПОРУБАЙ Петро Миколайович")</f>
        <v>ПОРУБАЙ Петро Миколайович</v>
      </c>
      <c r="J1123" s="7" t="s">
        <v>35</v>
      </c>
    </row>
    <row r="1124" spans="1:10" ht="13.2">
      <c r="A1124" s="7">
        <v>1123</v>
      </c>
      <c r="B1124" s="7">
        <v>1</v>
      </c>
      <c r="C1124" s="7" t="s">
        <v>10</v>
      </c>
      <c r="D1124" s="7">
        <v>376</v>
      </c>
      <c r="E1124" s="7" t="s">
        <v>35</v>
      </c>
      <c r="F1124" s="8" t="str">
        <f ca="1">IFERROR(__xludf.DUMMYFUNCTION("IF
(
C1125=""фізична особа""
,
VLOOKUP(D1125,IMPORTRANGE(""https://docs.google.com/spreadsheets/d/14Bd19lYaqBhU8_DElYkX7l4wRkHqqCUFNJY4AfY3kHU/edit?usp=sharing  #gid=0"",""фіз особи new!relations_name""),6,FALSE)
,
(IF
(
C1125=""юридична особа""
,
VLOOKUP"&amp;"(D1125,IMPORTRANGE(""https://docs.google.com/spreadsheets/d/14Bd19lYaqBhU8_DElYkX7l4wRkHqqCUFNJY4AfY3kHU/edit?usp=sharing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4" s="7" t="s">
        <v>10</v>
      </c>
      <c r="H1124" s="7">
        <v>0</v>
      </c>
      <c r="I1124" s="8" t="str">
        <f ca="1">IFERROR(__xludf.DUMMYFUNCTION("IF
(
G1125=""фізична особа""
,
VLOOKUP(H1125,IMPORTRANGE(""https://docs.google.com/spreadsheets/d/14Bd19lYaqBhU8_DElYkX7l4wRkHqqCUFNJY4AfY3kHU/edit?usp=sharing  #gid=0"",""фіз особи new!relations_name""),6,FALSE)
,
(IF
(
G1125=""юридична особа""
,
VLOOKUP"&amp;"(H1125,IMPORTRANGE(""https://docs.google.com/spreadsheets/d/14Bd19lYaqBhU8_DElYkX7l4wRkHqqCUFNJY4AfY3kHU/edit?usp=sharing  #gid=0"",""фіз особи new!relations_name_uo""),7,FALSE)
,
)
))"),"#N/A")</f>
        <v>#N/A</v>
      </c>
      <c r="J1124" s="7" t="s">
        <v>35</v>
      </c>
    </row>
    <row r="1125" spans="1:10" ht="13.2">
      <c r="A1125" s="7">
        <v>1124</v>
      </c>
      <c r="B1125" s="7">
        <v>1</v>
      </c>
      <c r="C1125" s="7" t="s">
        <v>10</v>
      </c>
      <c r="D1125" s="7">
        <v>376</v>
      </c>
      <c r="E1125" s="7" t="s">
        <v>11</v>
      </c>
      <c r="F1125" s="8" t="str">
        <f ca="1">IFERROR(__xludf.DUMMYFUNCTION("IF
(
C1126=""фізична особа""
,
VLOOKUP(D1126,IMPORTRANGE(""https://docs.google.com/spreadsheets/d/14Bd19lYaqBhU8_DElYkX7l4wRkHqqCUFNJY4AfY3kHU/edit?usp=sharing  #gid=0"",""фіз особи new!relations_name""),6,FALSE)
,
(IF
(
C1126=""юридична особа""
,
VLOOKUP"&amp;"(D1126,IMPORTRANGE(""https://docs.google.com/spreadsheets/d/14Bd19lYaqBhU8_DElYkX7l4wRkHqqCUFNJY4AfY3kHU/edit?usp=sharing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5" s="7" t="s">
        <v>10</v>
      </c>
      <c r="H1125" s="7">
        <v>392</v>
      </c>
      <c r="I1125" s="8" t="str">
        <f ca="1">IFERROR(__xludf.DUMMYFUNCTION("IF
(
G1126=""фізична особа""
,
VLOOKUP(H1126,IMPORTRANGE(""https://docs.google.com/spreadsheets/d/14Bd19lYaqBhU8_DElYkX7l4wRkHqqCUFNJY4AfY3kHU/edit?usp=sharing  #gid=0"",""фіз особи new!relations_name""),6,FALSE)
,
(IF
(
G1126=""юридична особа""
,
VLOOKUP"&amp;"(H1126,IMPORTRANGE(""https://docs.google.com/spreadsheets/d/14Bd19lYaqBhU8_DElYkX7l4wRkHqqCUFNJY4AfY3kHU/edit?usp=sharing  #gid=0"",""фіз особи new!relations_name_uo""),7,FALSE)
,
)
))"),"ЛЕБЄДЄВ Олег Володимирович")</f>
        <v>ЛЕБЄДЄВ Олег Володимирович</v>
      </c>
      <c r="J1125" s="7" t="s">
        <v>11</v>
      </c>
    </row>
    <row r="1126" spans="1:10" ht="13.2">
      <c r="A1126" s="7">
        <v>1125</v>
      </c>
      <c r="B1126" s="7">
        <v>1</v>
      </c>
      <c r="C1126" s="7" t="s">
        <v>10</v>
      </c>
      <c r="D1126" s="7">
        <v>376</v>
      </c>
      <c r="E1126" s="7" t="s">
        <v>11</v>
      </c>
      <c r="F1126" s="8" t="str">
        <f ca="1">IFERROR(__xludf.DUMMYFUNCTION("IF
(
C1127=""фізична особа""
,
VLOOKUP(D1127,IMPORTRANGE(""https://docs.google.com/spreadsheets/d/14Bd19lYaqBhU8_DElYkX7l4wRkHqqCUFNJY4AfY3kHU/edit?usp=sharing  #gid=0"",""фіз особи new!relations_name""),6,FALSE)
,
(IF
(
C1127=""юридична особа""
,
VLOOKUP"&amp;"(D1127,IMPORTRANGE(""https://docs.google.com/spreadsheets/d/14Bd19lYaqBhU8_DElYkX7l4wRkHqqCUFNJY4AfY3kHU/edit?usp=sharing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6" s="7" t="s">
        <v>10</v>
      </c>
      <c r="H1126" s="7">
        <v>0</v>
      </c>
      <c r="I1126" s="8" t="str">
        <f ca="1">IFERROR(__xludf.DUMMYFUNCTION("IF
(
G1127=""фізична особа""
,
VLOOKUP(H1127,IMPORTRANGE(""https://docs.google.com/spreadsheets/d/14Bd19lYaqBhU8_DElYkX7l4wRkHqqCUFNJY4AfY3kHU/edit?usp=sharing  #gid=0"",""фіз особи new!relations_name""),6,FALSE)
,
(IF
(
G1127=""юридична особа""
,
VLOOKUP"&amp;"(H1127,IMPORTRANGE(""https://docs.google.com/spreadsheets/d/14Bd19lYaqBhU8_DElYkX7l4wRkHqqCUFNJY4AfY3kHU/edit?usp=sharing  #gid=0"",""фіз особи new!relations_name_uo""),7,FALSE)
,
)
))"),"#N/A")</f>
        <v>#N/A</v>
      </c>
      <c r="J1126" s="7" t="s">
        <v>11</v>
      </c>
    </row>
    <row r="1127" spans="1:10" ht="13.2">
      <c r="A1127" s="7">
        <v>1126</v>
      </c>
      <c r="B1127" s="7">
        <v>1</v>
      </c>
      <c r="C1127" s="7" t="s">
        <v>10</v>
      </c>
      <c r="D1127" s="7">
        <v>376</v>
      </c>
      <c r="E1127" s="7" t="s">
        <v>11</v>
      </c>
      <c r="F1127" s="8" t="str">
        <f ca="1">IFERROR(__xludf.DUMMYFUNCTION("IF
(
C1128=""фізична особа""
,
VLOOKUP(D1128,IMPORTRANGE(""https://docs.google.com/spreadsheets/d/14Bd19lYaqBhU8_DElYkX7l4wRkHqqCUFNJY4AfY3kHU/edit?usp=sharing  #gid=0"",""фіз особи new!relations_name""),6,FALSE)
,
(IF
(
C1128=""юридична особа""
,
VLOOKUP"&amp;"(D1128,IMPORTRANGE(""https://docs.google.com/spreadsheets/d/14Bd19lYaqBhU8_DElYkX7l4wRkHqqCUFNJY4AfY3kHU/edit?usp=sharing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G1127" s="7" t="s">
        <v>10</v>
      </c>
      <c r="H1127" s="7">
        <v>5916</v>
      </c>
      <c r="I1127" s="8" t="str">
        <f ca="1">IFERROR(__xludf.DUMMYFUNCTION("IF
(
G1128=""фізична особа""
,
VLOOKUP(H1128,IMPORTRANGE(""https://docs.google.com/spreadsheets/d/14Bd19lYaqBhU8_DElYkX7l4wRkHqqCUFNJY4AfY3kHU/edit?usp=sharing  #gid=0"",""фіз особи new!relations_name""),6,FALSE)
,
(IF
(
G1128=""юридична особа""
,
VLOOKUP"&amp;"(H1128,IMPORTRANGE(""https://docs.google.com/spreadsheets/d/14Bd19lYaqBhU8_DElYkX7l4wRkHqqCUFNJY4AfY3kHU/edit?usp=sharing  #gid=0"",""фіз особи new!relations_name_uo""),7,FALSE)
,
)
))"),"ГАДЕЦЬКИЙ Євген Юрійович")</f>
        <v>ГАДЕЦЬКИЙ Євген Юрійович</v>
      </c>
      <c r="J1127" s="7" t="s">
        <v>11</v>
      </c>
    </row>
    <row r="1128" spans="1:10" ht="13.2">
      <c r="A1128" s="7">
        <v>1127</v>
      </c>
      <c r="B1128" s="7">
        <v>1</v>
      </c>
      <c r="C1128" s="7" t="s">
        <v>10</v>
      </c>
      <c r="D1128" s="7">
        <v>377</v>
      </c>
      <c r="E1128" s="7" t="s">
        <v>11</v>
      </c>
      <c r="F1128" s="8" t="str">
        <f ca="1">IFERROR(__xludf.DUMMYFUNCTION("IF
(
C1129=""фізична особа""
,
VLOOKUP(D1129,IMPORTRANGE(""https://docs.google.com/spreadsheets/d/14Bd19lYaqBhU8_DElYkX7l4wRkHqqCUFNJY4AfY3kHU/edit?usp=sharing  #gid=0"",""фіз особи new!relations_name""),6,FALSE)
,
(IF
(
C1129=""юридична особа""
,
VLOOKUP"&amp;"(D1129,IMPORTRANGE(""https://docs.google.com/spreadsheets/d/14Bd19lYaqBhU8_DElYkX7l4wRkHqqCUFNJY4AfY3kHU/edit?usp=sharing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28" s="7" t="s">
        <v>10</v>
      </c>
      <c r="H1128" s="7">
        <v>253</v>
      </c>
      <c r="I1128" s="8" t="str">
        <f ca="1">IFERROR(__xludf.DUMMYFUNCTION("IF
(
G1129=""фізична особа""
,
VLOOKUP(H1129,IMPORTRANGE(""https://docs.google.com/spreadsheets/d/14Bd19lYaqBhU8_DElYkX7l4wRkHqqCUFNJY4AfY3kHU/edit?usp=sharing  #gid=0"",""фіз особи new!relations_name""),6,FALSE)
,
(IF
(
G1129=""юридична особа""
,
VLOOKUP"&amp;"(H1129,IMPORTRANGE(""https://docs.google.com/spreadsheets/d/14Bd19lYaqBhU8_DElYkX7l4wRkHqqCUFNJY4AfY3kHU/edit?usp=sharing  #gid=0"",""фіз особи new!relations_name_uo""),7,FALSE)
,
)
))"),"ФЕДІН Юрій Сергійович")</f>
        <v>ФЕДІН Юрій Сергійович</v>
      </c>
      <c r="J1128" s="7" t="s">
        <v>11</v>
      </c>
    </row>
    <row r="1129" spans="1:10" ht="13.2">
      <c r="A1129" s="7">
        <v>1128</v>
      </c>
      <c r="B1129" s="7">
        <v>1</v>
      </c>
      <c r="C1129" s="7" t="s">
        <v>10</v>
      </c>
      <c r="D1129" s="7">
        <v>377</v>
      </c>
      <c r="E1129" s="7" t="s">
        <v>11</v>
      </c>
      <c r="F1129" s="8" t="str">
        <f ca="1">IFERROR(__xludf.DUMMYFUNCTION("IF
(
C1130=""фізична особа""
,
VLOOKUP(D1130,IMPORTRANGE(""https://docs.google.com/spreadsheets/d/14Bd19lYaqBhU8_DElYkX7l4wRkHqqCUFNJY4AfY3kHU/edit?usp=sharing  #gid=0"",""фіз особи new!relations_name""),6,FALSE)
,
(IF
(
C1130=""юридична особа""
,
VLOOKUP"&amp;"(D1130,IMPORTRANGE(""https://docs.google.com/spreadsheets/d/14Bd19lYaqBhU8_DElYkX7l4wRkHqqCUFNJY4AfY3kHU/edit?usp=sharing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29" s="7" t="s">
        <v>10</v>
      </c>
      <c r="H1129" s="7">
        <v>735</v>
      </c>
      <c r="I1129" s="8" t="str">
        <f ca="1">IFERROR(__xludf.DUMMYFUNCTION("IF
(
G1130=""фізична особа""
,
VLOOKUP(H1130,IMPORTRANGE(""https://docs.google.com/spreadsheets/d/14Bd19lYaqBhU8_DElYkX7l4wRkHqqCUFNJY4AfY3kHU/edit?usp=sharing  #gid=0"",""фіз особи new!relations_name""),6,FALSE)
,
(IF
(
G1130=""юридична особа""
,
VLOOKUP"&amp;"(H1130,IMPORTRANGE(""https://docs.google.com/spreadsheets/d/14Bd19lYaqBhU8_DElYkX7l4wRkHqqCUFNJY4AfY3kHU/edit?usp=sharing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J1129" s="7" t="s">
        <v>11</v>
      </c>
    </row>
    <row r="1130" spans="1:10" ht="13.2">
      <c r="A1130" s="7">
        <v>1129</v>
      </c>
      <c r="B1130" s="7">
        <v>1</v>
      </c>
      <c r="C1130" s="7" t="s">
        <v>10</v>
      </c>
      <c r="D1130" s="7">
        <v>377</v>
      </c>
      <c r="E1130" s="7" t="s">
        <v>11</v>
      </c>
      <c r="F1130" s="8" t="str">
        <f ca="1">IFERROR(__xludf.DUMMYFUNCTION("IF
(
C1131=""фізична особа""
,
VLOOKUP(D1131,IMPORTRANGE(""https://docs.google.com/spreadsheets/d/14Bd19lYaqBhU8_DElYkX7l4wRkHqqCUFNJY4AfY3kHU/edit?usp=sharing  #gid=0"",""фіз особи new!relations_name""),6,FALSE)
,
(IF
(
C1131=""юридична особа""
,
VLOOKUP"&amp;"(D1131,IMPORTRANGE(""https://docs.google.com/spreadsheets/d/14Bd19lYaqBhU8_DElYkX7l4wRkHqqCUFNJY4AfY3kHU/edit?usp=sharing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30" s="7" t="s">
        <v>10</v>
      </c>
      <c r="H1130" s="7">
        <v>280</v>
      </c>
      <c r="I1130" s="8" t="str">
        <f ca="1">IFERROR(__xludf.DUMMYFUNCTION("IF
(
G1131=""фізична особа""
,
VLOOKUP(H1131,IMPORTRANGE(""https://docs.google.com/spreadsheets/d/14Bd19lYaqBhU8_DElYkX7l4wRkHqqCUFNJY4AfY3kHU/edit?usp=sharing  #gid=0"",""фіз особи new!relations_name""),6,FALSE)
,
(IF
(
G1131=""юридична особа""
,
VLOOKUP"&amp;"(H1131,IMPORTRANGE(""https://docs.google.com/spreadsheets/d/14Bd19lYaqBhU8_DElYkX7l4wRkHqqCUFNJY4AfY3kHU/edit?usp=sharing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J1130" s="7" t="s">
        <v>11</v>
      </c>
    </row>
    <row r="1131" spans="1:10" ht="13.2">
      <c r="A1131" s="7">
        <v>1130</v>
      </c>
      <c r="B1131" s="7">
        <v>1</v>
      </c>
      <c r="C1131" s="7" t="s">
        <v>10</v>
      </c>
      <c r="D1131" s="7">
        <v>377</v>
      </c>
      <c r="E1131" s="7" t="s">
        <v>11</v>
      </c>
      <c r="F1131" s="8" t="str">
        <f ca="1">IFERROR(__xludf.DUMMYFUNCTION("IF
(
C1132=""фізична особа""
,
VLOOKUP(D1132,IMPORTRANGE(""https://docs.google.com/spreadsheets/d/14Bd19lYaqBhU8_DElYkX7l4wRkHqqCUFNJY4AfY3kHU/edit?usp=sharing  #gid=0"",""фіз особи new!relations_name""),6,FALSE)
,
(IF
(
C1132=""юридична особа""
,
VLOOKUP"&amp;"(D1132,IMPORTRANGE(""https://docs.google.com/spreadsheets/d/14Bd19lYaqBhU8_DElYkX7l4wRkHqqCUFNJY4AfY3kHU/edit?usp=sharing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31" s="7" t="s">
        <v>10</v>
      </c>
      <c r="H1131" s="7">
        <v>0</v>
      </c>
      <c r="I1131" s="8" t="str">
        <f ca="1">IFERROR(__xludf.DUMMYFUNCTION("IF
(
G1132=""фізична особа""
,
VLOOKUP(H1132,IMPORTRANGE(""https://docs.google.com/spreadsheets/d/14Bd19lYaqBhU8_DElYkX7l4wRkHqqCUFNJY4AfY3kHU/edit?usp=sharing  #gid=0"",""фіз особи new!relations_name""),6,FALSE)
,
(IF
(
G1132=""юридична особа""
,
VLOOKUP"&amp;"(H1132,IMPORTRANGE(""https://docs.google.com/spreadsheets/d/14Bd19lYaqBhU8_DElYkX7l4wRkHqqCUFNJY4AfY3kHU/edit?usp=sharing  #gid=0"",""фіз особи new!relations_name_uo""),7,FALSE)
,
)
))"),"#N/A")</f>
        <v>#N/A</v>
      </c>
      <c r="J1131" s="7" t="s">
        <v>11</v>
      </c>
    </row>
    <row r="1132" spans="1:10" ht="13.2">
      <c r="A1132" s="7">
        <v>1131</v>
      </c>
      <c r="B1132" s="7">
        <v>1</v>
      </c>
      <c r="C1132" s="7" t="s">
        <v>10</v>
      </c>
      <c r="D1132" s="7">
        <v>377</v>
      </c>
      <c r="E1132" s="7" t="s">
        <v>11</v>
      </c>
      <c r="F1132" s="8" t="str">
        <f ca="1">IFERROR(__xludf.DUMMYFUNCTION("IF
(
C1133=""фізична особа""
,
VLOOKUP(D1133,IMPORTRANGE(""https://docs.google.com/spreadsheets/d/14Bd19lYaqBhU8_DElYkX7l4wRkHqqCUFNJY4AfY3kHU/edit?usp=sharing  #gid=0"",""фіз особи new!relations_name""),6,FALSE)
,
(IF
(
C1133=""юридична особа""
,
VLOOKUP"&amp;"(D1133,IMPORTRANGE(""https://docs.google.com/spreadsheets/d/14Bd19lYaqBhU8_DElYkX7l4wRkHqqCUFNJY4AfY3kHU/edit?usp=sharing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32" s="7" t="s">
        <v>10</v>
      </c>
      <c r="H1132" s="7">
        <v>0</v>
      </c>
      <c r="I1132" s="8" t="str">
        <f ca="1">IFERROR(__xludf.DUMMYFUNCTION("IF
(
G1133=""фізична особа""
,
VLOOKUP(H1133,IMPORTRANGE(""https://docs.google.com/spreadsheets/d/14Bd19lYaqBhU8_DElYkX7l4wRkHqqCUFNJY4AfY3kHU/edit?usp=sharing  #gid=0"",""фіз особи new!relations_name""),6,FALSE)
,
(IF
(
G1133=""юридична особа""
,
VLOOKUP"&amp;"(H1133,IMPORTRANGE(""https://docs.google.com/spreadsheets/d/14Bd19lYaqBhU8_DElYkX7l4wRkHqqCUFNJY4AfY3kHU/edit?usp=sharing  #gid=0"",""фіз особи new!relations_name_uo""),7,FALSE)
,
)
))"),"#N/A")</f>
        <v>#N/A</v>
      </c>
      <c r="J1132" s="7" t="s">
        <v>11</v>
      </c>
    </row>
    <row r="1133" spans="1:10" ht="13.2">
      <c r="A1133" s="7">
        <v>1132</v>
      </c>
      <c r="B1133" s="7">
        <v>1</v>
      </c>
      <c r="C1133" s="7" t="s">
        <v>10</v>
      </c>
      <c r="D1133" s="7">
        <v>377</v>
      </c>
      <c r="E1133" s="7" t="s">
        <v>11</v>
      </c>
      <c r="F1133" s="8" t="str">
        <f ca="1">IFERROR(__xludf.DUMMYFUNCTION("IF
(
C1134=""фізична особа""
,
VLOOKUP(D1134,IMPORTRANGE(""https://docs.google.com/spreadsheets/d/14Bd19lYaqBhU8_DElYkX7l4wRkHqqCUFNJY4AfY3kHU/edit?usp=sharing  #gid=0"",""фіз особи new!relations_name""),6,FALSE)
,
(IF
(
C1134=""юридична особа""
,
VLOOKUP"&amp;"(D1134,IMPORTRANGE(""https://docs.google.com/spreadsheets/d/14Bd19lYaqBhU8_DElYkX7l4wRkHqqCUFNJY4AfY3kHU/edit?usp=sharing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33" s="7" t="s">
        <v>10</v>
      </c>
      <c r="H1133" s="7">
        <v>0</v>
      </c>
      <c r="I1133" s="8" t="str">
        <f ca="1">IFERROR(__xludf.DUMMYFUNCTION("IF
(
G1134=""фізична особа""
,
VLOOKUP(H1134,IMPORTRANGE(""https://docs.google.com/spreadsheets/d/14Bd19lYaqBhU8_DElYkX7l4wRkHqqCUFNJY4AfY3kHU/edit?usp=sharing  #gid=0"",""фіз особи new!relations_name""),6,FALSE)
,
(IF
(
G1134=""юридична особа""
,
VLOOKUP"&amp;"(H1134,IMPORTRANGE(""https://docs.google.com/spreadsheets/d/14Bd19lYaqBhU8_DElYkX7l4wRkHqqCUFNJY4AfY3kHU/edit?usp=sharing  #gid=0"",""фіз особи new!relations_name_uo""),7,FALSE)
,
)
))"),"#N/A")</f>
        <v>#N/A</v>
      </c>
      <c r="J1133" s="7" t="s">
        <v>11</v>
      </c>
    </row>
    <row r="1134" spans="1:10" ht="13.2">
      <c r="A1134" s="7">
        <v>1133</v>
      </c>
      <c r="B1134" s="7">
        <v>1</v>
      </c>
      <c r="C1134" s="7" t="s">
        <v>10</v>
      </c>
      <c r="D1134" s="7">
        <v>377</v>
      </c>
      <c r="E1134" s="7" t="s">
        <v>11</v>
      </c>
      <c r="F1134" s="8" t="str">
        <f ca="1">IFERROR(__xludf.DUMMYFUNCTION("IF
(
C1135=""фізична особа""
,
VLOOKUP(D1135,IMPORTRANGE(""https://docs.google.com/spreadsheets/d/14Bd19lYaqBhU8_DElYkX7l4wRkHqqCUFNJY4AfY3kHU/edit?usp=sharing  #gid=0"",""фіз особи new!relations_name""),6,FALSE)
,
(IF
(
C1135=""юридична особа""
,
VLOOKUP"&amp;"(D1135,IMPORTRANGE(""https://docs.google.com/spreadsheets/d/14Bd19lYaqBhU8_DElYkX7l4wRkHqqCUFNJY4AfY3kHU/edit?usp=sharing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G1134" s="7" t="s">
        <v>10</v>
      </c>
      <c r="H1134" s="7">
        <v>0</v>
      </c>
      <c r="I1134" s="8" t="str">
        <f ca="1">IFERROR(__xludf.DUMMYFUNCTION("IF
(
G1135=""фізична особа""
,
VLOOKUP(H1135,IMPORTRANGE(""https://docs.google.com/spreadsheets/d/14Bd19lYaqBhU8_DElYkX7l4wRkHqqCUFNJY4AfY3kHU/edit?usp=sharing  #gid=0"",""фіз особи new!relations_name""),6,FALSE)
,
(IF
(
G1135=""юридична особа""
,
VLOOKUP"&amp;"(H1135,IMPORTRANGE(""https://docs.google.com/spreadsheets/d/14Bd19lYaqBhU8_DElYkX7l4wRkHqqCUFNJY4AfY3kHU/edit?usp=sharing  #gid=0"",""фіз особи new!relations_name_uo""),7,FALSE)
,
)
))"),"#N/A")</f>
        <v>#N/A</v>
      </c>
      <c r="J1134" s="7" t="s">
        <v>11</v>
      </c>
    </row>
    <row r="1135" spans="1:10" ht="13.2">
      <c r="A1135" s="7">
        <v>1134</v>
      </c>
      <c r="B1135" s="7">
        <v>1</v>
      </c>
      <c r="C1135" s="7" t="s">
        <v>10</v>
      </c>
      <c r="D1135" s="7">
        <v>378</v>
      </c>
      <c r="E1135" s="7" t="s">
        <v>35</v>
      </c>
      <c r="F1135" s="8" t="str">
        <f ca="1">IFERROR(__xludf.DUMMYFUNCTION("IF
(
C1136=""фізична особа""
,
VLOOKUP(D1136,IMPORTRANGE(""https://docs.google.com/spreadsheets/d/14Bd19lYaqBhU8_DElYkX7l4wRkHqqCUFNJY4AfY3kHU/edit?usp=sharing  #gid=0"",""фіз особи new!relations_name""),6,FALSE)
,
(IF
(
C1136=""юридична особа""
,
VLOOKUP"&amp;"(D1136,IMPORTRANGE(""https://docs.google.com/spreadsheets/d/14Bd19lYaqBhU8_DElYkX7l4wRkHqqCUFNJY4AfY3kHU/edit?usp=sharing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35" s="7" t="s">
        <v>10</v>
      </c>
      <c r="H1135" s="7">
        <v>4051</v>
      </c>
      <c r="I1135" s="8" t="str">
        <f ca="1">IFERROR(__xludf.DUMMYFUNCTION("IF
(
G1136=""фізична особа""
,
VLOOKUP(H1136,IMPORTRANGE(""https://docs.google.com/spreadsheets/d/14Bd19lYaqBhU8_DElYkX7l4wRkHqqCUFNJY4AfY3kHU/edit?usp=sharing  #gid=0"",""фіз особи new!relations_name""),6,FALSE)
,
(IF
(
G1136=""юридична особа""
,
VLOOKUP"&amp;"(H1136,IMPORTRANGE(""https://docs.google.com/spreadsheets/d/14Bd19lYaqBhU8_DElYkX7l4wRkHqqCUFNJY4AfY3kHU/edit?usp=sharing  #gid=0"",""фіз особи new!relations_name_uo""),7,FALSE)
,
)
))"),"ГУТЕНЬОВ Володимир Володимирович")</f>
        <v>ГУТЕНЬОВ Володимир Володимирович</v>
      </c>
      <c r="J1135" s="7" t="s">
        <v>35</v>
      </c>
    </row>
    <row r="1136" spans="1:10" ht="13.2">
      <c r="A1136" s="7">
        <v>1135</v>
      </c>
      <c r="B1136" s="7">
        <v>1</v>
      </c>
      <c r="C1136" s="7" t="s">
        <v>10</v>
      </c>
      <c r="D1136" s="7">
        <v>378</v>
      </c>
      <c r="E1136" s="7" t="s">
        <v>35</v>
      </c>
      <c r="F1136" s="8" t="str">
        <f ca="1">IFERROR(__xludf.DUMMYFUNCTION("IF
(
C1137=""фізична особа""
,
VLOOKUP(D1137,IMPORTRANGE(""https://docs.google.com/spreadsheets/d/14Bd19lYaqBhU8_DElYkX7l4wRkHqqCUFNJY4AfY3kHU/edit?usp=sharing  #gid=0"",""фіз особи new!relations_name""),6,FALSE)
,
(IF
(
C1137=""юридична особа""
,
VLOOKUP"&amp;"(D1137,IMPORTRANGE(""https://docs.google.com/spreadsheets/d/14Bd19lYaqBhU8_DElYkX7l4wRkHqqCUFNJY4AfY3kHU/edit?usp=sharing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36" s="7" t="s">
        <v>10</v>
      </c>
      <c r="H1136" s="7">
        <v>890</v>
      </c>
      <c r="I1136" s="8" t="str">
        <f ca="1">IFERROR(__xludf.DUMMYFUNCTION("IF
(
G1137=""фізична особа""
,
VLOOKUP(H1137,IMPORTRANGE(""https://docs.google.com/spreadsheets/d/14Bd19lYaqBhU8_DElYkX7l4wRkHqqCUFNJY4AfY3kHU/edit?usp=sharing  #gid=0"",""фіз особи new!relations_name""),6,FALSE)
,
(IF
(
G1137=""юридична особа""
,
VLOOKUP"&amp;"(H1137,IMPORTRANGE(""https://docs.google.com/spreadsheets/d/14Bd19lYaqBhU8_DElYkX7l4wRkHqqCUFNJY4AfY3kHU/edit?usp=sharing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J1136" s="7" t="s">
        <v>35</v>
      </c>
    </row>
    <row r="1137" spans="1:10" ht="13.2">
      <c r="A1137" s="7">
        <v>1136</v>
      </c>
      <c r="B1137" s="7">
        <v>1</v>
      </c>
      <c r="C1137" s="7" t="s">
        <v>10</v>
      </c>
      <c r="D1137" s="7">
        <v>378</v>
      </c>
      <c r="E1137" s="7" t="s">
        <v>35</v>
      </c>
      <c r="F1137" s="8" t="str">
        <f ca="1">IFERROR(__xludf.DUMMYFUNCTION("IF
(
C1138=""фізична особа""
,
VLOOKUP(D1138,IMPORTRANGE(""https://docs.google.com/spreadsheets/d/14Bd19lYaqBhU8_DElYkX7l4wRkHqqCUFNJY4AfY3kHU/edit?usp=sharing  #gid=0"",""фіз особи new!relations_name""),6,FALSE)
,
(IF
(
C1138=""юридична особа""
,
VLOOKUP"&amp;"(D1138,IMPORTRANGE(""https://docs.google.com/spreadsheets/d/14Bd19lYaqBhU8_DElYkX7l4wRkHqqCUFNJY4AfY3kHU/edit?usp=sharing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37" s="7" t="s">
        <v>10</v>
      </c>
      <c r="H1137" s="7">
        <v>668</v>
      </c>
      <c r="I1137" s="8" t="str">
        <f ca="1">IFERROR(__xludf.DUMMYFUNCTION("IF
(
G1138=""фізична особа""
,
VLOOKUP(H1138,IMPORTRANGE(""https://docs.google.com/spreadsheets/d/14Bd19lYaqBhU8_DElYkX7l4wRkHqqCUFNJY4AfY3kHU/edit?usp=sharing  #gid=0"",""фіз особи new!relations_name""),6,FALSE)
,
(IF
(
G1138=""юридична особа""
,
VLOOKUP"&amp;"(H1138,IMPORTRANGE(""https://docs.google.com/spreadsheets/d/14Bd19lYaqBhU8_DElYkX7l4wRkHqqCUFNJY4AfY3kHU/edit?usp=sharing  #gid=0"",""фіз особи new!relations_name_uo""),7,FALSE)
,
)
))"),"ДРОЗДОВ Олександр Сергійович")</f>
        <v>ДРОЗДОВ Олександр Сергійович</v>
      </c>
      <c r="J1137" s="7" t="s">
        <v>35</v>
      </c>
    </row>
    <row r="1138" spans="1:10" ht="13.2">
      <c r="A1138" s="7">
        <v>1137</v>
      </c>
      <c r="B1138" s="7">
        <v>1</v>
      </c>
      <c r="C1138" s="7" t="s">
        <v>10</v>
      </c>
      <c r="D1138" s="7">
        <v>378</v>
      </c>
      <c r="E1138" s="7" t="s">
        <v>35</v>
      </c>
      <c r="F1138" s="8" t="str">
        <f ca="1">IFERROR(__xludf.DUMMYFUNCTION("IF
(
C1139=""фізична особа""
,
VLOOKUP(D1139,IMPORTRANGE(""https://docs.google.com/spreadsheets/d/14Bd19lYaqBhU8_DElYkX7l4wRkHqqCUFNJY4AfY3kHU/edit?usp=sharing  #gid=0"",""фіз особи new!relations_name""),6,FALSE)
,
(IF
(
C1139=""юридична особа""
,
VLOOKUP"&amp;"(D1139,IMPORTRANGE(""https://docs.google.com/spreadsheets/d/14Bd19lYaqBhU8_DElYkX7l4wRkHqqCUFNJY4AfY3kHU/edit?usp=sharing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38" s="7" t="s">
        <v>10</v>
      </c>
      <c r="H1138" s="7">
        <v>266</v>
      </c>
      <c r="I1138" s="8" t="str">
        <f ca="1">IFERROR(__xludf.DUMMYFUNCTION("IF
(
G1139=""фізична особа""
,
VLOOKUP(H1139,IMPORTRANGE(""https://docs.google.com/spreadsheets/d/14Bd19lYaqBhU8_DElYkX7l4wRkHqqCUFNJY4AfY3kHU/edit?usp=sharing  #gid=0"",""фіз особи new!relations_name""),6,FALSE)
,
(IF
(
G1139=""юридична особа""
,
VLOOKUP"&amp;"(H1139,IMPORTRANGE(""https://docs.google.com/spreadsheets/d/14Bd19lYaqBhU8_DElYkX7l4wRkHqqCUFNJY4AfY3kHU/edit?usp=sharing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J1138" s="7" t="s">
        <v>35</v>
      </c>
    </row>
    <row r="1139" spans="1:10" ht="13.2">
      <c r="A1139" s="7">
        <v>1138</v>
      </c>
      <c r="B1139" s="7">
        <v>1</v>
      </c>
      <c r="C1139" s="7" t="s">
        <v>10</v>
      </c>
      <c r="D1139" s="7">
        <v>378</v>
      </c>
      <c r="E1139" s="7" t="s">
        <v>35</v>
      </c>
      <c r="F1139" s="8" t="str">
        <f ca="1">IFERROR(__xludf.DUMMYFUNCTION("IF
(
C1140=""фізична особа""
,
VLOOKUP(D1140,IMPORTRANGE(""https://docs.google.com/spreadsheets/d/14Bd19lYaqBhU8_DElYkX7l4wRkHqqCUFNJY4AfY3kHU/edit?usp=sharing  #gid=0"",""фіз особи new!relations_name""),6,FALSE)
,
(IF
(
C1140=""юридична особа""
,
VLOOKUP"&amp;"(D1140,IMPORTRANGE(""https://docs.google.com/spreadsheets/d/14Bd19lYaqBhU8_DElYkX7l4wRkHqqCUFNJY4AfY3kHU/edit?usp=sharing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39" s="7" t="s">
        <v>10</v>
      </c>
      <c r="H1139" s="7">
        <v>190</v>
      </c>
      <c r="I1139" s="8" t="str">
        <f ca="1">IFERROR(__xludf.DUMMYFUNCTION("IF
(
G1140=""фізична особа""
,
VLOOKUP(H1140,IMPORTRANGE(""https://docs.google.com/spreadsheets/d/14Bd19lYaqBhU8_DElYkX7l4wRkHqqCUFNJY4AfY3kHU/edit?usp=sharing  #gid=0"",""фіз особи new!relations_name""),6,FALSE)
,
(IF
(
G1140=""юридична особа""
,
VLOOKUP"&amp;"(H1140,IMPORTRANGE(""https://docs.google.com/spreadsheets/d/14Bd19lYaqBhU8_DElYkX7l4wRkHqqCUFNJY4AfY3kHU/edit?usp=sharing  #gid=0"",""фіз особи new!relations_name_uo""),7,FALSE)
,
)
))"),"СПІРІДОНОВ Олександр Юрійович")</f>
        <v>СПІРІДОНОВ Олександр Юрійович</v>
      </c>
      <c r="J1139" s="7" t="s">
        <v>35</v>
      </c>
    </row>
    <row r="1140" spans="1:10" ht="13.2">
      <c r="A1140" s="7">
        <v>1139</v>
      </c>
      <c r="B1140" s="7">
        <v>1</v>
      </c>
      <c r="C1140" s="7" t="s">
        <v>10</v>
      </c>
      <c r="D1140" s="7">
        <v>378</v>
      </c>
      <c r="E1140" s="7" t="s">
        <v>35</v>
      </c>
      <c r="F1140" s="8" t="str">
        <f ca="1">IFERROR(__xludf.DUMMYFUNCTION("IF
(
C1141=""фізична особа""
,
VLOOKUP(D1141,IMPORTRANGE(""https://docs.google.com/spreadsheets/d/14Bd19lYaqBhU8_DElYkX7l4wRkHqqCUFNJY4AfY3kHU/edit?usp=sharing  #gid=0"",""фіз особи new!relations_name""),6,FALSE)
,
(IF
(
C1141=""юридична особа""
,
VLOOKUP"&amp;"(D1141,IMPORTRANGE(""https://docs.google.com/spreadsheets/d/14Bd19lYaqBhU8_DElYkX7l4wRkHqqCUFNJY4AfY3kHU/edit?usp=sharing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0" s="7" t="s">
        <v>10</v>
      </c>
      <c r="H1140" s="7">
        <v>701</v>
      </c>
      <c r="I1140" s="8" t="str">
        <f ca="1">IFERROR(__xludf.DUMMYFUNCTION("IF
(
G1141=""фізична особа""
,
VLOOKUP(H1141,IMPORTRANGE(""https://docs.google.com/spreadsheets/d/14Bd19lYaqBhU8_DElYkX7l4wRkHqqCUFNJY4AfY3kHU/edit?usp=sharing  #gid=0"",""фіз особи new!relations_name""),6,FALSE)
,
(IF
(
G1141=""юридична особа""
,
VLOOKUP"&amp;"(H1141,IMPORTRANGE(""https://docs.google.com/spreadsheets/d/14Bd19lYaqBhU8_DElYkX7l4wRkHqqCUFNJY4AfY3kHU/edit?usp=sharing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J1140" s="7" t="s">
        <v>35</v>
      </c>
    </row>
    <row r="1141" spans="1:10" ht="13.2">
      <c r="A1141" s="7">
        <v>1140</v>
      </c>
      <c r="B1141" s="7">
        <v>1</v>
      </c>
      <c r="C1141" s="7" t="s">
        <v>10</v>
      </c>
      <c r="D1141" s="7">
        <v>378</v>
      </c>
      <c r="E1141" s="7" t="s">
        <v>35</v>
      </c>
      <c r="F1141" s="8" t="str">
        <f ca="1">IFERROR(__xludf.DUMMYFUNCTION("IF
(
C1142=""фізична особа""
,
VLOOKUP(D1142,IMPORTRANGE(""https://docs.google.com/spreadsheets/d/14Bd19lYaqBhU8_DElYkX7l4wRkHqqCUFNJY4AfY3kHU/edit?usp=sharing  #gid=0"",""фіз особи new!relations_name""),6,FALSE)
,
(IF
(
C1142=""юридична особа""
,
VLOOKUP"&amp;"(D1142,IMPORTRANGE(""https://docs.google.com/spreadsheets/d/14Bd19lYaqBhU8_DElYkX7l4wRkHqqCUFNJY4AfY3kHU/edit?usp=sharing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1" s="7" t="s">
        <v>10</v>
      </c>
      <c r="H1141" s="7">
        <v>291</v>
      </c>
      <c r="I1141" s="8" t="str">
        <f ca="1">IFERROR(__xludf.DUMMYFUNCTION("IF
(
G1142=""фізична особа""
,
VLOOKUP(H1142,IMPORTRANGE(""https://docs.google.com/spreadsheets/d/14Bd19lYaqBhU8_DElYkX7l4wRkHqqCUFNJY4AfY3kHU/edit?usp=sharing  #gid=0"",""фіз особи new!relations_name""),6,FALSE)
,
(IF
(
G1142=""юридична особа""
,
VLOOKUP"&amp;"(H1142,IMPORTRANGE(""https://docs.google.com/spreadsheets/d/14Bd19lYaqBhU8_DElYkX7l4wRkHqqCUFNJY4AfY3kHU/edit?usp=sharing  #gid=0"",""фіз особи new!relations_name_uo""),7,FALSE)
,
)
))"),"АНТРОПЕНКО Ігор Олександрович")</f>
        <v>АНТРОПЕНКО Ігор Олександрович</v>
      </c>
      <c r="J1141" s="7" t="s">
        <v>35</v>
      </c>
    </row>
    <row r="1142" spans="1:10" ht="13.2">
      <c r="A1142" s="7">
        <v>1141</v>
      </c>
      <c r="B1142" s="7">
        <v>1</v>
      </c>
      <c r="C1142" s="7" t="s">
        <v>10</v>
      </c>
      <c r="D1142" s="7">
        <v>378</v>
      </c>
      <c r="E1142" s="7" t="s">
        <v>35</v>
      </c>
      <c r="F1142" s="8" t="str">
        <f ca="1">IFERROR(__xludf.DUMMYFUNCTION("IF
(
C1143=""фізична особа""
,
VLOOKUP(D1143,IMPORTRANGE(""https://docs.google.com/spreadsheets/d/14Bd19lYaqBhU8_DElYkX7l4wRkHqqCUFNJY4AfY3kHU/edit?usp=sharing  #gid=0"",""фіз особи new!relations_name""),6,FALSE)
,
(IF
(
C1143=""юридична особа""
,
VLOOKUP"&amp;"(D1143,IMPORTRANGE(""https://docs.google.com/spreadsheets/d/14Bd19lYaqBhU8_DElYkX7l4wRkHqqCUFNJY4AfY3kHU/edit?usp=sharing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2" s="7" t="s">
        <v>10</v>
      </c>
      <c r="H1142" s="7">
        <v>425</v>
      </c>
      <c r="I1142" s="8" t="str">
        <f ca="1">IFERROR(__xludf.DUMMYFUNCTION("IF
(
G1143=""фізична особа""
,
VLOOKUP(H1143,IMPORTRANGE(""https://docs.google.com/spreadsheets/d/14Bd19lYaqBhU8_DElYkX7l4wRkHqqCUFNJY4AfY3kHU/edit?usp=sharing  #gid=0"",""фіз особи new!relations_name""),6,FALSE)
,
(IF
(
G1143=""юридична особа""
,
VLOOKUP"&amp;"(H1143,IMPORTRANGE(""https://docs.google.com/spreadsheets/d/14Bd19lYaqBhU8_DElYkX7l4wRkHqqCUFNJY4AfY3kHU/edit?usp=sharing  #gid=0"",""фіз особи new!relations_name_uo""),7,FALSE)
,
)
))"),"ВАСИЛЬКОВА Марія Вікторівна")</f>
        <v>ВАСИЛЬКОВА Марія Вікторівна</v>
      </c>
      <c r="J1142" s="7" t="s">
        <v>35</v>
      </c>
    </row>
    <row r="1143" spans="1:10" ht="13.2">
      <c r="A1143" s="7">
        <v>1142</v>
      </c>
      <c r="B1143" s="7">
        <v>1</v>
      </c>
      <c r="C1143" s="7" t="s">
        <v>10</v>
      </c>
      <c r="D1143" s="7">
        <v>378</v>
      </c>
      <c r="E1143" s="7" t="s">
        <v>35</v>
      </c>
      <c r="F1143" s="8" t="str">
        <f ca="1">IFERROR(__xludf.DUMMYFUNCTION("IF
(
C1144=""фізична особа""
,
VLOOKUP(D1144,IMPORTRANGE(""https://docs.google.com/spreadsheets/d/14Bd19lYaqBhU8_DElYkX7l4wRkHqqCUFNJY4AfY3kHU/edit?usp=sharing  #gid=0"",""фіз особи new!relations_name""),6,FALSE)
,
(IF
(
C1144=""юридична особа""
,
VLOOKUP"&amp;"(D1144,IMPORTRANGE(""https://docs.google.com/spreadsheets/d/14Bd19lYaqBhU8_DElYkX7l4wRkHqqCUFNJY4AfY3kHU/edit?usp=sharing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3" s="7" t="s">
        <v>10</v>
      </c>
      <c r="H1143" s="7">
        <v>86</v>
      </c>
      <c r="I1143" s="8" t="str">
        <f ca="1">IFERROR(__xludf.DUMMYFUNCTION("IF
(
G1144=""фізична особа""
,
VLOOKUP(H1144,IMPORTRANGE(""https://docs.google.com/spreadsheets/d/14Bd19lYaqBhU8_DElYkX7l4wRkHqqCUFNJY4AfY3kHU/edit?usp=sharing  #gid=0"",""фіз особи new!relations_name""),6,FALSE)
,
(IF
(
G1144=""юридична особа""
,
VLOOKUP"&amp;"(H1144,IMPORTRANGE(""https://docs.google.com/spreadsheets/d/14Bd19lYaqBhU8_DElYkX7l4wRkHqqCUFNJY4AfY3kHU/edit?usp=sharing  #gid=0"",""фіз особи new!relations_name_uo""),7,FALSE)
,
)
))"),"ВОРОБЙОВ Андрій Вікторович")</f>
        <v>ВОРОБЙОВ Андрій Вікторович</v>
      </c>
      <c r="J1143" s="7" t="s">
        <v>35</v>
      </c>
    </row>
    <row r="1144" spans="1:10" ht="13.2">
      <c r="A1144" s="7">
        <v>1143</v>
      </c>
      <c r="B1144" s="7">
        <v>1</v>
      </c>
      <c r="C1144" s="7" t="s">
        <v>10</v>
      </c>
      <c r="D1144" s="7">
        <v>378</v>
      </c>
      <c r="E1144" s="7" t="s">
        <v>35</v>
      </c>
      <c r="F1144" s="8" t="str">
        <f ca="1">IFERROR(__xludf.DUMMYFUNCTION("IF
(
C1145=""фізична особа""
,
VLOOKUP(D1145,IMPORTRANGE(""https://docs.google.com/spreadsheets/d/14Bd19lYaqBhU8_DElYkX7l4wRkHqqCUFNJY4AfY3kHU/edit?usp=sharing  #gid=0"",""фіз особи new!relations_name""),6,FALSE)
,
(IF
(
C1145=""юридична особа""
,
VLOOKUP"&amp;"(D1145,IMPORTRANGE(""https://docs.google.com/spreadsheets/d/14Bd19lYaqBhU8_DElYkX7l4wRkHqqCUFNJY4AfY3kHU/edit?usp=sharing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4" s="7" t="s">
        <v>10</v>
      </c>
      <c r="H1144" s="7">
        <v>828</v>
      </c>
      <c r="I1144" s="8" t="str">
        <f ca="1">IFERROR(__xludf.DUMMYFUNCTION("IF
(
G1145=""фізична особа""
,
VLOOKUP(H1145,IMPORTRANGE(""https://docs.google.com/spreadsheets/d/14Bd19lYaqBhU8_DElYkX7l4wRkHqqCUFNJY4AfY3kHU/edit?usp=sharing  #gid=0"",""фіз особи new!relations_name""),6,FALSE)
,
(IF
(
G1145=""юридична особа""
,
VLOOKUP"&amp;"(H1145,IMPORTRANGE(""https://docs.google.com/spreadsheets/d/14Bd19lYaqBhU8_DElYkX7l4wRkHqqCUFNJY4AfY3kHU/edit?usp=sharing  #gid=0"",""фіз особи new!relations_name_uo""),7,FALSE)
,
)
))"),"ДЗЮБА Віктор Вікторович")</f>
        <v>ДЗЮБА Віктор Вікторович</v>
      </c>
      <c r="J1144" s="7" t="s">
        <v>35</v>
      </c>
    </row>
    <row r="1145" spans="1:10" ht="13.2">
      <c r="A1145" s="7">
        <v>1144</v>
      </c>
      <c r="B1145" s="7">
        <v>1</v>
      </c>
      <c r="C1145" s="7" t="s">
        <v>10</v>
      </c>
      <c r="D1145" s="7">
        <v>378</v>
      </c>
      <c r="E1145" s="7" t="s">
        <v>35</v>
      </c>
      <c r="F1145" s="8" t="str">
        <f ca="1">IFERROR(__xludf.DUMMYFUNCTION("IF
(
C1146=""фізична особа""
,
VLOOKUP(D1146,IMPORTRANGE(""https://docs.google.com/spreadsheets/d/14Bd19lYaqBhU8_DElYkX7l4wRkHqqCUFNJY4AfY3kHU/edit?usp=sharing  #gid=0"",""фіз особи new!relations_name""),6,FALSE)
,
(IF
(
C1146=""юридична особа""
,
VLOOKUP"&amp;"(D1146,IMPORTRANGE(""https://docs.google.com/spreadsheets/d/14Bd19lYaqBhU8_DElYkX7l4wRkHqqCUFNJY4AfY3kHU/edit?usp=sharing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5" s="7" t="s">
        <v>10</v>
      </c>
      <c r="H1145" s="7">
        <v>874</v>
      </c>
      <c r="I1145" s="8" t="str">
        <f ca="1">IFERROR(__xludf.DUMMYFUNCTION("IF
(
G1146=""фізична особа""
,
VLOOKUP(H1146,IMPORTRANGE(""https://docs.google.com/spreadsheets/d/14Bd19lYaqBhU8_DElYkX7l4wRkHqqCUFNJY4AfY3kHU/edit?usp=sharing  #gid=0"",""фіз особи new!relations_name""),6,FALSE)
,
(IF
(
G1146=""юридична особа""
,
VLOOKUP"&amp;"(H1146,IMPORTRANGE(""https://docs.google.com/spreadsheets/d/14Bd19lYaqBhU8_DElYkX7l4wRkHqqCUFNJY4AfY3kHU/edit?usp=sharing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J1145" s="7" t="s">
        <v>35</v>
      </c>
    </row>
    <row r="1146" spans="1:10" ht="13.2">
      <c r="A1146" s="7">
        <v>1145</v>
      </c>
      <c r="B1146" s="7">
        <v>1</v>
      </c>
      <c r="C1146" s="7" t="s">
        <v>10</v>
      </c>
      <c r="D1146" s="7">
        <v>378</v>
      </c>
      <c r="E1146" s="7" t="s">
        <v>35</v>
      </c>
      <c r="F1146" s="8" t="str">
        <f ca="1">IFERROR(__xludf.DUMMYFUNCTION("IF
(
C1147=""фізична особа""
,
VLOOKUP(D1147,IMPORTRANGE(""https://docs.google.com/spreadsheets/d/14Bd19lYaqBhU8_DElYkX7l4wRkHqqCUFNJY4AfY3kHU/edit?usp=sharing  #gid=0"",""фіз особи new!relations_name""),6,FALSE)
,
(IF
(
C1147=""юридична особа""
,
VLOOKUP"&amp;"(D1147,IMPORTRANGE(""https://docs.google.com/spreadsheets/d/14Bd19lYaqBhU8_DElYkX7l4wRkHqqCUFNJY4AfY3kHU/edit?usp=sharing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6" s="7" t="s">
        <v>10</v>
      </c>
      <c r="H1146" s="7">
        <v>9</v>
      </c>
      <c r="I1146" s="8" t="str">
        <f ca="1">IFERROR(__xludf.DUMMYFUNCTION("IF
(
G1147=""фізична особа""
,
VLOOKUP(H1147,IMPORTRANGE(""https://docs.google.com/spreadsheets/d/14Bd19lYaqBhU8_DElYkX7l4wRkHqqCUFNJY4AfY3kHU/edit?usp=sharing  #gid=0"",""фіз особи new!relations_name""),6,FALSE)
,
(IF
(
G1147=""юридична особа""
,
VLOOKUP"&amp;"(H1147,IMPORTRANGE(""https://docs.google.com/spreadsheets/d/14Bd19lYaqBhU8_DElYkX7l4wRkHqqCUFNJY4AfY3kHU/edit?usp=sharing  #gid=0"",""фіз особи new!relations_name_uo""),7,FALSE)
,
)
))"),"КАНАЄВ Олексій Валеріанович")</f>
        <v>КАНАЄВ Олексій Валеріанович</v>
      </c>
      <c r="J1146" s="7" t="s">
        <v>35</v>
      </c>
    </row>
    <row r="1147" spans="1:10" ht="13.2">
      <c r="A1147" s="7">
        <v>1146</v>
      </c>
      <c r="B1147" s="7">
        <v>1</v>
      </c>
      <c r="C1147" s="7" t="s">
        <v>10</v>
      </c>
      <c r="D1147" s="7">
        <v>378</v>
      </c>
      <c r="E1147" s="7" t="s">
        <v>35</v>
      </c>
      <c r="F1147" s="8" t="str">
        <f ca="1">IFERROR(__xludf.DUMMYFUNCTION("IF
(
C1148=""фізична особа""
,
VLOOKUP(D1148,IMPORTRANGE(""https://docs.google.com/spreadsheets/d/14Bd19lYaqBhU8_DElYkX7l4wRkHqqCUFNJY4AfY3kHU/edit?usp=sharing  #gid=0"",""фіз особи new!relations_name""),6,FALSE)
,
(IF
(
C1148=""юридична особа""
,
VLOOKUP"&amp;"(D1148,IMPORTRANGE(""https://docs.google.com/spreadsheets/d/14Bd19lYaqBhU8_DElYkX7l4wRkHqqCUFNJY4AfY3kHU/edit?usp=sharing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7" s="7" t="s">
        <v>10</v>
      </c>
      <c r="H1147" s="7">
        <v>368</v>
      </c>
      <c r="I1147" s="8" t="str">
        <f ca="1">IFERROR(__xludf.DUMMYFUNCTION("IF
(
G1148=""фізична особа""
,
VLOOKUP(H1148,IMPORTRANGE(""https://docs.google.com/spreadsheets/d/14Bd19lYaqBhU8_DElYkX7l4wRkHqqCUFNJY4AfY3kHU/edit?usp=sharing  #gid=0"",""фіз особи new!relations_name""),6,FALSE)
,
(IF
(
G1148=""юридична особа""
,
VLOOKUP"&amp;"(H1148,IMPORTRANGE(""https://docs.google.com/spreadsheets/d/14Bd19lYaqBhU8_DElYkX7l4wRkHqqCUFNJY4AfY3kHU/edit?usp=sharing  #gid=0"",""фіз особи new!relations_name_uo""),7,FALSE)
,
)
))"),"МАКСІМОВ Олександр Олександрович")</f>
        <v>МАКСІМОВ Олександр Олександрович</v>
      </c>
      <c r="J1147" s="7" t="s">
        <v>35</v>
      </c>
    </row>
    <row r="1148" spans="1:10" ht="13.2">
      <c r="A1148" s="7">
        <v>1147</v>
      </c>
      <c r="B1148" s="7">
        <v>1</v>
      </c>
      <c r="C1148" s="7" t="s">
        <v>10</v>
      </c>
      <c r="D1148" s="7">
        <v>378</v>
      </c>
      <c r="E1148" s="7" t="s">
        <v>35</v>
      </c>
      <c r="F1148" s="8" t="str">
        <f ca="1">IFERROR(__xludf.DUMMYFUNCTION("IF
(
C1149=""фізична особа""
,
VLOOKUP(D1149,IMPORTRANGE(""https://docs.google.com/spreadsheets/d/14Bd19lYaqBhU8_DElYkX7l4wRkHqqCUFNJY4AfY3kHU/edit?usp=sharing  #gid=0"",""фіз особи new!relations_name""),6,FALSE)
,
(IF
(
C1149=""юридична особа""
,
VLOOKUP"&amp;"(D1149,IMPORTRANGE(""https://docs.google.com/spreadsheets/d/14Bd19lYaqBhU8_DElYkX7l4wRkHqqCUFNJY4AfY3kHU/edit?usp=sharing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8" s="7" t="s">
        <v>10</v>
      </c>
      <c r="H1148" s="7">
        <v>247</v>
      </c>
      <c r="I1148" s="8" t="str">
        <f ca="1">IFERROR(__xludf.DUMMYFUNCTION("IF
(
G1149=""фізична особа""
,
VLOOKUP(H1149,IMPORTRANGE(""https://docs.google.com/spreadsheets/d/14Bd19lYaqBhU8_DElYkX7l4wRkHqqCUFNJY4AfY3kHU/edit?usp=sharing  #gid=0"",""фіз особи new!relations_name""),6,FALSE)
,
(IF
(
G1149=""юридична особа""
,
VLOOKUP"&amp;"(H1149,IMPORTRANGE(""https://docs.google.com/spreadsheets/d/14Bd19lYaqBhU8_DElYkX7l4wRkHqqCUFNJY4AfY3kHU/edit?usp=sharing  #gid=0"",""фіз особи new!relations_name_uo""),7,FALSE)
,
)
))"),"НІФАНТЬЄВ Євген Олегович")</f>
        <v>НІФАНТЬЄВ Євген Олегович</v>
      </c>
      <c r="J1148" s="7" t="s">
        <v>35</v>
      </c>
    </row>
    <row r="1149" spans="1:10" ht="13.2">
      <c r="A1149" s="7">
        <v>1148</v>
      </c>
      <c r="B1149" s="7">
        <v>1</v>
      </c>
      <c r="C1149" s="7" t="s">
        <v>10</v>
      </c>
      <c r="D1149" s="7">
        <v>378</v>
      </c>
      <c r="E1149" s="7" t="s">
        <v>35</v>
      </c>
      <c r="F1149" s="8" t="str">
        <f ca="1">IFERROR(__xludf.DUMMYFUNCTION("IF
(
C1150=""фізична особа""
,
VLOOKUP(D1150,IMPORTRANGE(""https://docs.google.com/spreadsheets/d/14Bd19lYaqBhU8_DElYkX7l4wRkHqqCUFNJY4AfY3kHU/edit?usp=sharing  #gid=0"",""фіз особи new!relations_name""),6,FALSE)
,
(IF
(
C1150=""юридична особа""
,
VLOOKUP"&amp;"(D1150,IMPORTRANGE(""https://docs.google.com/spreadsheets/d/14Bd19lYaqBhU8_DElYkX7l4wRkHqqCUFNJY4AfY3kHU/edit?usp=sharing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49" s="7" t="s">
        <v>10</v>
      </c>
      <c r="H1149" s="7">
        <v>4039</v>
      </c>
      <c r="I1149" s="8" t="str">
        <f ca="1">IFERROR(__xludf.DUMMYFUNCTION("IF
(
G1150=""фізична особа""
,
VLOOKUP(H1150,IMPORTRANGE(""https://docs.google.com/spreadsheets/d/14Bd19lYaqBhU8_DElYkX7l4wRkHqqCUFNJY4AfY3kHU/edit?usp=sharing  #gid=0"",""фіз особи new!relations_name""),6,FALSE)
,
(IF
(
G1150=""юридична особа""
,
VLOOKUP"&amp;"(H1150,IMPORTRANGE(""https://docs.google.com/spreadsheets/d/14Bd19lYaqBhU8_DElYkX7l4wRkHqqCUFNJY4AfY3kHU/edit?usp=sharing  #gid=0"",""фіз особи new!relations_name_uo""),7,FALSE)
,
)
))"),"ПАВЛОВ Володимир Вікторович")</f>
        <v>ПАВЛОВ Володимир Вікторович</v>
      </c>
      <c r="J1149" s="7" t="s">
        <v>35</v>
      </c>
    </row>
    <row r="1150" spans="1:10" ht="13.2">
      <c r="A1150" s="7">
        <v>1149</v>
      </c>
      <c r="B1150" s="7">
        <v>1</v>
      </c>
      <c r="C1150" s="7" t="s">
        <v>10</v>
      </c>
      <c r="D1150" s="7">
        <v>378</v>
      </c>
      <c r="E1150" s="7" t="s">
        <v>35</v>
      </c>
      <c r="F1150" s="8" t="str">
        <f ca="1">IFERROR(__xludf.DUMMYFUNCTION("IF
(
C1151=""фізична особа""
,
VLOOKUP(D1151,IMPORTRANGE(""https://docs.google.com/spreadsheets/d/14Bd19lYaqBhU8_DElYkX7l4wRkHqqCUFNJY4AfY3kHU/edit?usp=sharing  #gid=0"",""фіз особи new!relations_name""),6,FALSE)
,
(IF
(
C1151=""юридична особа""
,
VLOOKUP"&amp;"(D1151,IMPORTRANGE(""https://docs.google.com/spreadsheets/d/14Bd19lYaqBhU8_DElYkX7l4wRkHqqCUFNJY4AfY3kHU/edit?usp=sharing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50" s="7" t="s">
        <v>10</v>
      </c>
      <c r="H1150" s="7">
        <v>702</v>
      </c>
      <c r="I1150" s="8" t="str">
        <f ca="1">IFERROR(__xludf.DUMMYFUNCTION("IF
(
G1151=""фізична особа""
,
VLOOKUP(H1151,IMPORTRANGE(""https://docs.google.com/spreadsheets/d/14Bd19lYaqBhU8_DElYkX7l4wRkHqqCUFNJY4AfY3kHU/edit?usp=sharing  #gid=0"",""фіз особи new!relations_name""),6,FALSE)
,
(IF
(
G1151=""юридична особа""
,
VLOOKUP"&amp;"(H1151,IMPORTRANGE(""https://docs.google.com/spreadsheets/d/14Bd19lYaqBhU8_DElYkX7l4wRkHqqCUFNJY4AfY3kHU/edit?usp=sharing  #gid=0"",""фіз особи new!relations_name_uo""),7,FALSE)
,
)
))"),"ПАНТЕЛЄЄВ Сергій Михайлович")</f>
        <v>ПАНТЕЛЄЄВ Сергій Михайлович</v>
      </c>
      <c r="J1150" s="7" t="s">
        <v>35</v>
      </c>
    </row>
    <row r="1151" spans="1:10" ht="13.2">
      <c r="A1151" s="7">
        <v>1150</v>
      </c>
      <c r="B1151" s="7">
        <v>1</v>
      </c>
      <c r="C1151" s="7" t="s">
        <v>10</v>
      </c>
      <c r="D1151" s="7">
        <v>378</v>
      </c>
      <c r="E1151" s="7" t="s">
        <v>35</v>
      </c>
      <c r="F1151" s="8" t="str">
        <f ca="1">IFERROR(__xludf.DUMMYFUNCTION("IF
(
C1152=""фізична особа""
,
VLOOKUP(D1152,IMPORTRANGE(""https://docs.google.com/spreadsheets/d/14Bd19lYaqBhU8_DElYkX7l4wRkHqqCUFNJY4AfY3kHU/edit?usp=sharing  #gid=0"",""фіз особи new!relations_name""),6,FALSE)
,
(IF
(
C1152=""юридична особа""
,
VLOOKUP"&amp;"(D1152,IMPORTRANGE(""https://docs.google.com/spreadsheets/d/14Bd19lYaqBhU8_DElYkX7l4wRkHqqCUFNJY4AfY3kHU/edit?usp=sharing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51" s="7" t="s">
        <v>10</v>
      </c>
      <c r="H1151" s="7">
        <v>877</v>
      </c>
      <c r="I1151" s="8" t="str">
        <f ca="1">IFERROR(__xludf.DUMMYFUNCTION("IF
(
G1152=""фізична особа""
,
VLOOKUP(H1152,IMPORTRANGE(""https://docs.google.com/spreadsheets/d/14Bd19lYaqBhU8_DElYkX7l4wRkHqqCUFNJY4AfY3kHU/edit?usp=sharing  #gid=0"",""фіз особи new!relations_name""),6,FALSE)
,
(IF
(
G1152=""юридична особа""
,
VLOOKUP"&amp;"(H1152,IMPORTRANGE(""https://docs.google.com/spreadsheets/d/14Bd19lYaqBhU8_DElYkX7l4wRkHqqCUFNJY4AfY3kHU/edit?usp=sharing  #gid=0"",""фіз особи new!relations_name_uo""),7,FALSE)
,
)
))"),"ПЛЯКІН Володимир Володимирович")</f>
        <v>ПЛЯКІН Володимир Володимирович</v>
      </c>
      <c r="J1151" s="7" t="s">
        <v>35</v>
      </c>
    </row>
    <row r="1152" spans="1:10" ht="13.2">
      <c r="A1152" s="7">
        <v>1151</v>
      </c>
      <c r="B1152" s="7">
        <v>1</v>
      </c>
      <c r="C1152" s="7" t="s">
        <v>10</v>
      </c>
      <c r="D1152" s="7">
        <v>378</v>
      </c>
      <c r="E1152" s="7" t="s">
        <v>35</v>
      </c>
      <c r="F1152" s="8" t="str">
        <f ca="1">IFERROR(__xludf.DUMMYFUNCTION("IF
(
C1153=""фізична особа""
,
VLOOKUP(D1153,IMPORTRANGE(""https://docs.google.com/spreadsheets/d/14Bd19lYaqBhU8_DElYkX7l4wRkHqqCUFNJY4AfY3kHU/edit?usp=sharing  #gid=0"",""фіз особи new!relations_name""),6,FALSE)
,
(IF
(
C1153=""юридична особа""
,
VLOOKUP"&amp;"(D1153,IMPORTRANGE(""https://docs.google.com/spreadsheets/d/14Bd19lYaqBhU8_DElYkX7l4wRkHqqCUFNJY4AfY3kHU/edit?usp=sharing  #gid=0"",""фіз особи new!relations_name_uo""),7,FALSE)
,
)
))"),"ЗАХАРОВ Костянтин Юрійович")</f>
        <v>ЗАХАРОВ Костянтин Юрійович</v>
      </c>
      <c r="G1152" s="7" t="s">
        <v>10</v>
      </c>
      <c r="H1152" s="7">
        <v>66</v>
      </c>
      <c r="I1152" s="8" t="str">
        <f ca="1">IFERROR(__xludf.DUMMYFUNCTION("IF
(
G1153=""фізична особа""
,
VLOOKUP(H1153,IMPORTRANGE(""https://docs.google.com/spreadsheets/d/14Bd19lYaqBhU8_DElYkX7l4wRkHqqCUFNJY4AfY3kHU/edit?usp=sharing  #gid=0"",""фіз особи new!relations_name""),6,FALSE)
,
(IF
(
G1153=""юридична особа""
,
VLOOKUP"&amp;"(H1153,IMPORTRANGE(""https://docs.google.com/spreadsheets/d/14Bd19lYaqBhU8_DElYkX7l4wRkHqqCUFNJY4AfY3kHU/edit?usp=sharing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1152" s="7" t="s">
        <v>35</v>
      </c>
    </row>
    <row r="1153" spans="1:10" ht="13.2">
      <c r="A1153" s="7">
        <v>1152</v>
      </c>
      <c r="B1153" s="7">
        <v>1</v>
      </c>
      <c r="C1153" s="7" t="s">
        <v>10</v>
      </c>
      <c r="D1153" s="7">
        <v>379</v>
      </c>
      <c r="E1153" s="7" t="s">
        <v>26</v>
      </c>
      <c r="F1153" s="8" t="str">
        <f ca="1">IFERROR(__xludf.DUMMYFUNCTION("IF
(
C1154=""фізична особа""
,
VLOOKUP(D1154,IMPORTRANGE(""https://docs.google.com/spreadsheets/d/14Bd19lYaqBhU8_DElYkX7l4wRkHqqCUFNJY4AfY3kHU/edit?usp=sharing  #gid=0"",""фіз особи new!relations_name""),6,FALSE)
,
(IF
(
C1154=""юридична особа""
,
VLOOKUP"&amp;"(D1154,IMPORTRANGE(""https://docs.google.com/spreadsheets/d/14Bd19lYaqBhU8_DElYkX7l4wRkHqqCUFNJY4AfY3kHU/edit?usp=sharing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3" s="7" t="s">
        <v>10</v>
      </c>
      <c r="H1153" s="7">
        <v>5145</v>
      </c>
      <c r="I1153" s="8" t="str">
        <f ca="1">IFERROR(__xludf.DUMMYFUNCTION("IF
(
G1154=""фізична особа""
,
VLOOKUP(H1154,IMPORTRANGE(""https://docs.google.com/spreadsheets/d/14Bd19lYaqBhU8_DElYkX7l4wRkHqqCUFNJY4AfY3kHU/edit?usp=sharing  #gid=0"",""фіз особи new!relations_name""),6,FALSE)
,
(IF
(
G1154=""юридична особа""
,
VLOOKUP"&amp;"(H1154,IMPORTRANGE(""https://docs.google.com/spreadsheets/d/14Bd19lYaqBhU8_DElYkX7l4wRkHqqCUFNJY4AfY3kHU/edit?usp=sharing  #gid=0"",""фіз особи new!relations_name_uo""),7,FALSE)
,
)
))"),"БАРЛЕТ Людмила")</f>
        <v>БАРЛЕТ Людмила</v>
      </c>
      <c r="J1153" s="7" t="s">
        <v>27</v>
      </c>
    </row>
    <row r="1154" spans="1:10" ht="13.2">
      <c r="A1154" s="7">
        <v>1153</v>
      </c>
      <c r="B1154" s="7">
        <v>1</v>
      </c>
      <c r="C1154" s="7" t="s">
        <v>10</v>
      </c>
      <c r="D1154" s="7">
        <v>379</v>
      </c>
      <c r="E1154" s="7" t="s">
        <v>12</v>
      </c>
      <c r="F1154" s="8" t="str">
        <f ca="1">IFERROR(__xludf.DUMMYFUNCTION("IF
(
C1155=""фізична особа""
,
VLOOKUP(D1155,IMPORTRANGE(""https://docs.google.com/spreadsheets/d/14Bd19lYaqBhU8_DElYkX7l4wRkHqqCUFNJY4AfY3kHU/edit?usp=sharing  #gid=0"",""фіз особи new!relations_name""),6,FALSE)
,
(IF
(
C1155=""юридична особа""
,
VLOOKUP"&amp;"(D1155,IMPORTRANGE(""https://docs.google.com/spreadsheets/d/14Bd19lYaqBhU8_DElYkX7l4wRkHqqCUFNJY4AfY3kHU/edit?usp=sharing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4" s="7" t="s">
        <v>10</v>
      </c>
      <c r="H1154" s="7">
        <v>5146</v>
      </c>
      <c r="I1154" s="8" t="str">
        <f ca="1">IFERROR(__xludf.DUMMYFUNCTION("IF
(
G1155=""фізична особа""
,
VLOOKUP(H1155,IMPORTRANGE(""https://docs.google.com/spreadsheets/d/14Bd19lYaqBhU8_DElYkX7l4wRkHqqCUFNJY4AfY3kHU/edit?usp=sharing  #gid=0"",""фіз особи new!relations_name""),6,FALSE)
,
(IF
(
G1155=""юридична особа""
,
VLOOKUP"&amp;"(H1155,IMPORTRANGE(""https://docs.google.com/spreadsheets/d/14Bd19lYaqBhU8_DElYkX7l4wRkHqqCUFNJY4AfY3kHU/edit?usp=sharing  #gid=0"",""фіз особи new!relations_name_uo""),7,FALSE)
,
)
))"),"РЕМЕЗКОВ Степан Олександрович")</f>
        <v>РЕМЕЗКОВ Степан Олександрович</v>
      </c>
      <c r="J1154" s="7" t="s">
        <v>17</v>
      </c>
    </row>
    <row r="1155" spans="1:10" ht="13.2">
      <c r="A1155" s="7">
        <v>1154</v>
      </c>
      <c r="B1155" s="7">
        <v>1</v>
      </c>
      <c r="C1155" s="7" t="s">
        <v>10</v>
      </c>
      <c r="D1155" s="7">
        <v>379</v>
      </c>
      <c r="E1155" s="7" t="s">
        <v>12</v>
      </c>
      <c r="F1155" s="8" t="str">
        <f ca="1">IFERROR(__xludf.DUMMYFUNCTION("IF
(
C1156=""фізична особа""
,
VLOOKUP(D1156,IMPORTRANGE(""https://docs.google.com/spreadsheets/d/14Bd19lYaqBhU8_DElYkX7l4wRkHqqCUFNJY4AfY3kHU/edit?usp=sharing  #gid=0"",""фіз особи new!relations_name""),6,FALSE)
,
(IF
(
C1156=""юридична особа""
,
VLOOKUP"&amp;"(D1156,IMPORTRANGE(""https://docs.google.com/spreadsheets/d/14Bd19lYaqBhU8_DElYkX7l4wRkHqqCUFNJY4AfY3kHU/edit?usp=sharing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5" s="7" t="s">
        <v>10</v>
      </c>
      <c r="H1155" s="7">
        <v>5147</v>
      </c>
      <c r="I1155" s="8" t="str">
        <f ca="1">IFERROR(__xludf.DUMMYFUNCTION("IF
(
G1156=""фізична особа""
,
VLOOKUP(H1156,IMPORTRANGE(""https://docs.google.com/spreadsheets/d/14Bd19lYaqBhU8_DElYkX7l4wRkHqqCUFNJY4AfY3kHU/edit?usp=sharing  #gid=0"",""фіз особи new!relations_name""),6,FALSE)
,
(IF
(
G1156=""юридична особа""
,
VLOOKUP"&amp;"(H1156,IMPORTRANGE(""https://docs.google.com/spreadsheets/d/14Bd19lYaqBhU8_DElYkX7l4wRkHqqCUFNJY4AfY3kHU/edit?usp=sharing  #gid=0"",""фіз особи new!relations_name_uo""),7,FALSE)
,
)
))"),"РЕМЕЗКОВ Микола Олександрович")</f>
        <v>РЕМЕЗКОВ Микола Олександрович</v>
      </c>
      <c r="J1155" s="7" t="s">
        <v>17</v>
      </c>
    </row>
    <row r="1156" spans="1:10" ht="13.2">
      <c r="A1156" s="7">
        <v>1155</v>
      </c>
      <c r="B1156" s="7">
        <v>1</v>
      </c>
      <c r="C1156" s="7" t="s">
        <v>10</v>
      </c>
      <c r="D1156" s="7">
        <v>379</v>
      </c>
      <c r="E1156" s="7" t="s">
        <v>12</v>
      </c>
      <c r="F1156" s="8" t="str">
        <f ca="1">IFERROR(__xludf.DUMMYFUNCTION("IF
(
C1157=""фізична особа""
,
VLOOKUP(D1157,IMPORTRANGE(""https://docs.google.com/spreadsheets/d/14Bd19lYaqBhU8_DElYkX7l4wRkHqqCUFNJY4AfY3kHU/edit?usp=sharing  #gid=0"",""фіз особи new!relations_name""),6,FALSE)
,
(IF
(
C1157=""юридична особа""
,
VLOOKUP"&amp;"(D1157,IMPORTRANGE(""https://docs.google.com/spreadsheets/d/14Bd19lYaqBhU8_DElYkX7l4wRkHqqCUFNJY4AfY3kHU/edit?usp=sharing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6" s="7" t="s">
        <v>10</v>
      </c>
      <c r="H1156" s="7">
        <v>5148</v>
      </c>
      <c r="I1156" s="8" t="str">
        <f ca="1">IFERROR(__xludf.DUMMYFUNCTION("IF
(
G1157=""фізична особа""
,
VLOOKUP(H1157,IMPORTRANGE(""https://docs.google.com/spreadsheets/d/14Bd19lYaqBhU8_DElYkX7l4wRkHqqCUFNJY4AfY3kHU/edit?usp=sharing  #gid=0"",""фіз особи new!relations_name""),6,FALSE)
,
(IF
(
G1157=""юридична особа""
,
VLOOKUP"&amp;"(H1157,IMPORTRANGE(""https://docs.google.com/spreadsheets/d/14Bd19lYaqBhU8_DElYkX7l4wRkHqqCUFNJY4AfY3kHU/edit?usp=sharing  #gid=0"",""фіз особи new!relations_name_uo""),7,FALSE)
,
)
))"),"РЕМЕЗКОВА Марія Олександрівна")</f>
        <v>РЕМЕЗКОВА Марія Олександрівна</v>
      </c>
      <c r="J1156" s="7" t="s">
        <v>13</v>
      </c>
    </row>
    <row r="1157" spans="1:10" ht="13.2">
      <c r="A1157" s="7">
        <v>1156</v>
      </c>
      <c r="B1157" s="7">
        <v>1</v>
      </c>
      <c r="C1157" s="7" t="s">
        <v>10</v>
      </c>
      <c r="D1157" s="7">
        <v>379</v>
      </c>
      <c r="E1157" s="7" t="s">
        <v>18</v>
      </c>
      <c r="F1157" s="8" t="str">
        <f ca="1">IFERROR(__xludf.DUMMYFUNCTION("IF
(
C1158=""фізична особа""
,
VLOOKUP(D1158,IMPORTRANGE(""https://docs.google.com/spreadsheets/d/14Bd19lYaqBhU8_DElYkX7l4wRkHqqCUFNJY4AfY3kHU/edit?usp=sharing  #gid=0"",""фіз особи new!relations_name""),6,FALSE)
,
(IF
(
C1158=""юридична особа""
,
VLOOKUP"&amp;"(D1158,IMPORTRANGE(""https://docs.google.com/spreadsheets/d/14Bd19lYaqBhU8_DElYkX7l4wRkHqqCUFNJY4AfY3kHU/edit?usp=sharing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7" s="7" t="s">
        <v>10</v>
      </c>
      <c r="H1157" s="7">
        <v>5149</v>
      </c>
      <c r="I1157" s="8" t="str">
        <f ca="1">IFERROR(__xludf.DUMMYFUNCTION("IF
(
G1158=""фізична особа""
,
VLOOKUP(H1158,IMPORTRANGE(""https://docs.google.com/spreadsheets/d/14Bd19lYaqBhU8_DElYkX7l4wRkHqqCUFNJY4AfY3kHU/edit?usp=sharing  #gid=0"",""фіз особи new!relations_name""),6,FALSE)
,
(IF
(
G1158=""юридична особа""
,
VLOOKUP"&amp;"(H1158,IMPORTRANGE(""https://docs.google.com/spreadsheets/d/14Bd19lYaqBhU8_DElYkX7l4wRkHqqCUFNJY4AfY3kHU/edit?usp=sharing  #gid=0"",""фіз особи new!relations_name_uo""),7,FALSE)
,
)
))"),"АРЕФ'ЄВА Жанна Олександрівна")</f>
        <v>АРЕФ'ЄВА Жанна Олександрівна</v>
      </c>
      <c r="J1157" s="7" t="s">
        <v>31</v>
      </c>
    </row>
    <row r="1158" spans="1:10" ht="13.2">
      <c r="A1158" s="7">
        <v>1157</v>
      </c>
      <c r="B1158" s="7">
        <v>1</v>
      </c>
      <c r="C1158" s="7" t="s">
        <v>10</v>
      </c>
      <c r="D1158" s="7">
        <v>379</v>
      </c>
      <c r="E1158" s="7" t="s">
        <v>19</v>
      </c>
      <c r="F1158" s="8" t="str">
        <f ca="1">IFERROR(__xludf.DUMMYFUNCTION("IF
(
C1159=""фізична особа""
,
VLOOKUP(D1159,IMPORTRANGE(""https://docs.google.com/spreadsheets/d/14Bd19lYaqBhU8_DElYkX7l4wRkHqqCUFNJY4AfY3kHU/edit?usp=sharing  #gid=0"",""фіз особи new!relations_name""),6,FALSE)
,
(IF
(
C1159=""юридична особа""
,
VLOOKUP"&amp;"(D1159,IMPORTRANGE(""https://docs.google.com/spreadsheets/d/14Bd19lYaqBhU8_DElYkX7l4wRkHqqCUFNJY4AfY3kHU/edit?usp=sharing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8" s="7" t="s">
        <v>10</v>
      </c>
      <c r="H1158" s="7">
        <v>5150</v>
      </c>
      <c r="I1158" s="8" t="str">
        <f ca="1">IFERROR(__xludf.DUMMYFUNCTION("IF
(
G1159=""фізична особа""
,
VLOOKUP(H1159,IMPORTRANGE(""https://docs.google.com/spreadsheets/d/14Bd19lYaqBhU8_DElYkX7l4wRkHqqCUFNJY4AfY3kHU/edit?usp=sharing  #gid=0"",""фіз особи new!relations_name""),6,FALSE)
,
(IF
(
G1159=""юридична особа""
,
VLOOKUP"&amp;"(H1159,IMPORTRANGE(""https://docs.google.com/spreadsheets/d/14Bd19lYaqBhU8_DElYkX7l4wRkHqqCUFNJY4AfY3kHU/edit?usp=sharing  #gid=0"",""фіз особи new!relations_name_uo""),7,FALSE)
,
)
))"),"АРЕФ'ЄВ Андрій Сергійович")</f>
        <v>АРЕФ'ЄВ Андрій Сергійович</v>
      </c>
      <c r="J1158" s="7" t="s">
        <v>20</v>
      </c>
    </row>
    <row r="1159" spans="1:10" ht="13.2">
      <c r="A1159" s="7">
        <v>1158</v>
      </c>
      <c r="B1159" s="7">
        <v>1</v>
      </c>
      <c r="C1159" s="7" t="s">
        <v>10</v>
      </c>
      <c r="D1159" s="7">
        <v>379</v>
      </c>
      <c r="E1159" s="7" t="s">
        <v>19</v>
      </c>
      <c r="F1159" s="8" t="str">
        <f ca="1">IFERROR(__xludf.DUMMYFUNCTION("IF
(
C1160=""фізична особа""
,
VLOOKUP(D1160,IMPORTRANGE(""https://docs.google.com/spreadsheets/d/14Bd19lYaqBhU8_DElYkX7l4wRkHqqCUFNJY4AfY3kHU/edit?usp=sharing  #gid=0"",""фіз особи new!relations_name""),6,FALSE)
,
(IF
(
C1160=""юридична особа""
,
VLOOKUP"&amp;"(D1160,IMPORTRANGE(""https://docs.google.com/spreadsheets/d/14Bd19lYaqBhU8_DElYkX7l4wRkHqqCUFNJY4AfY3kHU/edit?usp=sharing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59" s="7" t="s">
        <v>10</v>
      </c>
      <c r="H1159" s="7">
        <v>5151</v>
      </c>
      <c r="I1159" s="8" t="str">
        <f ca="1">IFERROR(__xludf.DUMMYFUNCTION("IF
(
G1160=""фізична особа""
,
VLOOKUP(H1160,IMPORTRANGE(""https://docs.google.com/spreadsheets/d/14Bd19lYaqBhU8_DElYkX7l4wRkHqqCUFNJY4AfY3kHU/edit?usp=sharing  #gid=0"",""фіз особи new!relations_name""),6,FALSE)
,
(IF
(
G1160=""юридична особа""
,
VLOOKUP"&amp;"(H1160,IMPORTRANGE(""https://docs.google.com/spreadsheets/d/14Bd19lYaqBhU8_DElYkX7l4wRkHqqCUFNJY4AfY3kHU/edit?usp=sharing  #gid=0"",""фіз особи new!relations_name_uo""),7,FALSE)
,
)
))"),"МЯЧИНА Маргарита Сергіївна")</f>
        <v>МЯЧИНА Маргарита Сергіївна</v>
      </c>
      <c r="J1159" s="7" t="s">
        <v>22</v>
      </c>
    </row>
    <row r="1160" spans="1:10" ht="13.2">
      <c r="A1160" s="7">
        <v>1159</v>
      </c>
      <c r="B1160" s="7">
        <v>1</v>
      </c>
      <c r="C1160" s="7" t="s">
        <v>10</v>
      </c>
      <c r="D1160" s="7">
        <v>379</v>
      </c>
      <c r="E1160" s="7" t="s">
        <v>65</v>
      </c>
      <c r="F1160" s="8" t="str">
        <f ca="1">IFERROR(__xludf.DUMMYFUNCTION("IF
(
C1161=""фізична особа""
,
VLOOKUP(D1161,IMPORTRANGE(""https://docs.google.com/spreadsheets/d/14Bd19lYaqBhU8_DElYkX7l4wRkHqqCUFNJY4AfY3kHU/edit?usp=sharing  #gid=0"",""фіз особи new!relations_name""),6,FALSE)
,
(IF
(
C1161=""юридична особа""
,
VLOOKUP"&amp;"(D1161,IMPORTRANGE(""https://docs.google.com/spreadsheets/d/14Bd19lYaqBhU8_DElYkX7l4wRkHqqCUFNJY4AfY3kHU/edit?usp=sharing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60" s="7" t="s">
        <v>10</v>
      </c>
      <c r="H1160" s="7">
        <v>5152</v>
      </c>
      <c r="I1160" s="8" t="str">
        <f ca="1">IFERROR(__xludf.DUMMYFUNCTION("IF
(
G1161=""фізична особа""
,
VLOOKUP(H1161,IMPORTRANGE(""https://docs.google.com/spreadsheets/d/14Bd19lYaqBhU8_DElYkX7l4wRkHqqCUFNJY4AfY3kHU/edit?usp=sharing  #gid=0"",""фіз особи new!relations_name""),6,FALSE)
,
(IF
(
G1161=""юридична особа""
,
VLOOKUP"&amp;"(H1161,IMPORTRANGE(""https://docs.google.com/spreadsheets/d/14Bd19lYaqBhU8_DElYkX7l4wRkHqqCUFNJY4AfY3kHU/edit?usp=sharing  #gid=0"",""фіз особи new!relations_name_uo""),7,FALSE)
,
)
))"),"РЕМЕЗКОВА Євгенія Євгеніївна")</f>
        <v>РЕМЕЗКОВА Євгенія Євгеніївна</v>
      </c>
      <c r="J1160" s="7" t="s">
        <v>64</v>
      </c>
    </row>
    <row r="1161" spans="1:10" ht="13.2">
      <c r="A1161" s="7">
        <v>1160</v>
      </c>
      <c r="B1161" s="7">
        <v>1</v>
      </c>
      <c r="C1161" s="7" t="s">
        <v>10</v>
      </c>
      <c r="D1161" s="7">
        <v>379</v>
      </c>
      <c r="E1161" s="7" t="s">
        <v>48</v>
      </c>
      <c r="F1161" s="8" t="str">
        <f ca="1">IFERROR(__xludf.DUMMYFUNCTION("IF
(
C1162=""фізична особа""
,
VLOOKUP(D1162,IMPORTRANGE(""https://docs.google.com/spreadsheets/d/14Bd19lYaqBhU8_DElYkX7l4wRkHqqCUFNJY4AfY3kHU/edit?usp=sharing  #gid=0"",""фіз особи new!relations_name""),6,FALSE)
,
(IF
(
C1162=""юридична особа""
,
VLOOKUP"&amp;"(D1162,IMPORTRANGE(""https://docs.google.com/spreadsheets/d/14Bd19lYaqBhU8_DElYkX7l4wRkHqqCUFNJY4AfY3kHU/edit?usp=sharing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61" s="7" t="s">
        <v>10</v>
      </c>
      <c r="H1161" s="7">
        <v>4068</v>
      </c>
      <c r="I1161" s="8" t="str">
        <f ca="1">IFERROR(__xludf.DUMMYFUNCTION("IF
(
G1162=""фізична особа""
,
VLOOKUP(H1162,IMPORTRANGE(""https://docs.google.com/spreadsheets/d/14Bd19lYaqBhU8_DElYkX7l4wRkHqqCUFNJY4AfY3kHU/edit?usp=sharing  #gid=0"",""фіз особи new!relations_name""),6,FALSE)
,
(IF
(
G1162=""юридична особа""
,
VLOOKUP"&amp;"(H1162,IMPORTRANGE(""https://docs.google.com/spreadsheets/d/14Bd19lYaqBhU8_DElYkX7l4wRkHqqCUFNJY4AfY3kHU/edit?usp=sharing  #gid=0"",""фіз особи new!relations_name_uo""),7,FALSE)
,
)
))"),"КРАТТЛІ Анастасія Олексіївна")</f>
        <v>КРАТТЛІ Анастасія Олексіївна</v>
      </c>
      <c r="J1161" s="7" t="s">
        <v>48</v>
      </c>
    </row>
    <row r="1162" spans="1:10" ht="13.2">
      <c r="A1162" s="7">
        <v>1161</v>
      </c>
      <c r="B1162" s="7">
        <v>1</v>
      </c>
      <c r="C1162" s="7" t="s">
        <v>10</v>
      </c>
      <c r="D1162" s="7">
        <v>379</v>
      </c>
      <c r="E1162" s="7" t="s">
        <v>48</v>
      </c>
      <c r="F1162" s="8" t="str">
        <f ca="1">IFERROR(__xludf.DUMMYFUNCTION("IF
(
C1163=""фізична особа""
,
VLOOKUP(D1163,IMPORTRANGE(""https://docs.google.com/spreadsheets/d/14Bd19lYaqBhU8_DElYkX7l4wRkHqqCUFNJY4AfY3kHU/edit?usp=sharing  #gid=0"",""фіз особи new!relations_name""),6,FALSE)
,
(IF
(
C1163=""юридична особа""
,
VLOOKUP"&amp;"(D1163,IMPORTRANGE(""https://docs.google.com/spreadsheets/d/14Bd19lYaqBhU8_DElYkX7l4wRkHqqCUFNJY4AfY3kHU/edit?usp=sharing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G1162" s="7" t="s">
        <v>10</v>
      </c>
      <c r="H1162" s="7">
        <v>8</v>
      </c>
      <c r="I1162" s="8" t="str">
        <f ca="1">IFERROR(__xludf.DUMMYFUNCTION("IF
(
G1163=""фізична особа""
,
VLOOKUP(H1163,IMPORTRANGE(""https://docs.google.com/spreadsheets/d/14Bd19lYaqBhU8_DElYkX7l4wRkHqqCUFNJY4AfY3kHU/edit?usp=sharing  #gid=0"",""фіз особи new!relations_name""),6,FALSE)
,
(IF
(
G1163=""юридична особа""
,
VLOOKUP"&amp;"(H1163,IMPORTRANGE(""https://docs.google.com/spreadsheets/d/14Bd19lYaqBhU8_DElYkX7l4wRkHqqCUFNJY4AfY3kHU/edit?usp=sharing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J1162" s="7" t="s">
        <v>48</v>
      </c>
    </row>
    <row r="1163" spans="1:10" ht="13.2">
      <c r="A1163" s="7">
        <v>1162</v>
      </c>
      <c r="B1163" s="7">
        <v>1</v>
      </c>
      <c r="C1163" s="7" t="s">
        <v>10</v>
      </c>
      <c r="D1163" s="7">
        <v>380</v>
      </c>
      <c r="E1163" s="7" t="s">
        <v>14</v>
      </c>
      <c r="F1163" s="8" t="str">
        <f ca="1">IFERROR(__xludf.DUMMYFUNCTION("IF
(
C1164=""фізична особа""
,
VLOOKUP(D1164,IMPORTRANGE(""https://docs.google.com/spreadsheets/d/14Bd19lYaqBhU8_DElYkX7l4wRkHqqCUFNJY4AfY3kHU/edit?usp=sharing  #gid=0"",""фіз особи new!relations_name""),6,FALSE)
,
(IF
(
C1164=""юридична особа""
,
VLOOKUP"&amp;"(D1164,IMPORTRANGE(""https://docs.google.com/spreadsheets/d/14Bd19lYaqBhU8_DElYkX7l4wRkHqqCUFNJY4AfY3kHU/edit?usp=sharing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G1163" s="7" t="s">
        <v>10</v>
      </c>
      <c r="H1163" s="7">
        <v>4802</v>
      </c>
      <c r="I1163" s="8" t="str">
        <f ca="1">IFERROR(__xludf.DUMMYFUNCTION("IF
(
G1164=""фізична особа""
,
VLOOKUP(H1164,IMPORTRANGE(""https://docs.google.com/spreadsheets/d/14Bd19lYaqBhU8_DElYkX7l4wRkHqqCUFNJY4AfY3kHU/edit?usp=sharing  #gid=0"",""фіз особи new!relations_name""),6,FALSE)
,
(IF
(
G1164=""юридична особа""
,
VLOOKUP"&amp;"(H1164,IMPORTRANGE(""https://docs.google.com/spreadsheets/d/14Bd19lYaqBhU8_DElYkX7l4wRkHqqCUFNJY4AfY3kHU/edit?usp=sharing  #gid=0"",""фіз особи new!relations_name_uo""),7,FALSE)
,
)
))"),"КОНСТАНТІНОВА Олена Анатоліївна")</f>
        <v>КОНСТАНТІНОВА Олена Анатоліївна</v>
      </c>
      <c r="J1163" s="7" t="s">
        <v>15</v>
      </c>
    </row>
    <row r="1164" spans="1:10" ht="13.2">
      <c r="A1164" s="7">
        <v>1163</v>
      </c>
      <c r="B1164" s="7">
        <v>1</v>
      </c>
      <c r="C1164" s="7" t="s">
        <v>10</v>
      </c>
      <c r="D1164" s="7">
        <v>380</v>
      </c>
      <c r="E1164" s="7" t="s">
        <v>12</v>
      </c>
      <c r="F1164" s="8" t="str">
        <f ca="1">IFERROR(__xludf.DUMMYFUNCTION("IF
(
C1165=""фізична особа""
,
VLOOKUP(D1165,IMPORTRANGE(""https://docs.google.com/spreadsheets/d/14Bd19lYaqBhU8_DElYkX7l4wRkHqqCUFNJY4AfY3kHU/edit?usp=sharing  #gid=0"",""фіз особи new!relations_name""),6,FALSE)
,
(IF
(
C1165=""юридична особа""
,
VLOOKUP"&amp;"(D1165,IMPORTRANGE(""https://docs.google.com/spreadsheets/d/14Bd19lYaqBhU8_DElYkX7l4wRkHqqCUFNJY4AfY3kHU/edit?usp=sharing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G1164" s="7" t="s">
        <v>10</v>
      </c>
      <c r="H1164" s="7">
        <v>4803</v>
      </c>
      <c r="I1164" s="8" t="str">
        <f ca="1">IFERROR(__xludf.DUMMYFUNCTION("IF
(
G1165=""фізична особа""
,
VLOOKUP(H1165,IMPORTRANGE(""https://docs.google.com/spreadsheets/d/14Bd19lYaqBhU8_DElYkX7l4wRkHqqCUFNJY4AfY3kHU/edit?usp=sharing  #gid=0"",""фіз особи new!relations_name""),6,FALSE)
,
(IF
(
G1165=""юридична особа""
,
VLOOKUP"&amp;"(H1165,IMPORTRANGE(""https://docs.google.com/spreadsheets/d/14Bd19lYaqBhU8_DElYkX7l4wRkHqqCUFNJY4AfY3kHU/edit?usp=sharing  #gid=0"",""фіз особи new!relations_name_uo""),7,FALSE)
,
)
))"),"КОНСТАНТІНОВ Олег Володимирович")</f>
        <v>КОНСТАНТІНОВ Олег Володимирович</v>
      </c>
      <c r="J1164" s="7" t="s">
        <v>17</v>
      </c>
    </row>
    <row r="1165" spans="1:10" ht="13.2">
      <c r="A1165" s="7">
        <v>1164</v>
      </c>
      <c r="B1165" s="7">
        <v>1</v>
      </c>
      <c r="C1165" s="7" t="s">
        <v>10</v>
      </c>
      <c r="D1165" s="7">
        <v>380</v>
      </c>
      <c r="E1165" s="7" t="s">
        <v>12</v>
      </c>
      <c r="F1165" s="8" t="str">
        <f ca="1">IFERROR(__xludf.DUMMYFUNCTION("IF
(
C1166=""фізична особа""
,
VLOOKUP(D1166,IMPORTRANGE(""https://docs.google.com/spreadsheets/d/14Bd19lYaqBhU8_DElYkX7l4wRkHqqCUFNJY4AfY3kHU/edit?usp=sharing  #gid=0"",""фіз особи new!relations_name""),6,FALSE)
,
(IF
(
C1166=""юридична особа""
,
VLOOKUP"&amp;"(D1166,IMPORTRANGE(""https://docs.google.com/spreadsheets/d/14Bd19lYaqBhU8_DElYkX7l4wRkHqqCUFNJY4AfY3kHU/edit?usp=sharing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G1165" s="7" t="s">
        <v>10</v>
      </c>
      <c r="H1165" s="7">
        <v>4804</v>
      </c>
      <c r="I1165" s="8" t="str">
        <f ca="1">IFERROR(__xludf.DUMMYFUNCTION("IF
(
G1166=""фізична особа""
,
VLOOKUP(H1166,IMPORTRANGE(""https://docs.google.com/spreadsheets/d/14Bd19lYaqBhU8_DElYkX7l4wRkHqqCUFNJY4AfY3kHU/edit?usp=sharing  #gid=0"",""фіз особи new!relations_name""),6,FALSE)
,
(IF
(
G1166=""юридична особа""
,
VLOOKUP"&amp;"(H1166,IMPORTRANGE(""https://docs.google.com/spreadsheets/d/14Bd19lYaqBhU8_DElYkX7l4wRkHqqCUFNJY4AfY3kHU/edit?usp=sharing  #gid=0"",""фіз особи new!relations_name_uo""),7,FALSE)
,
)
))"),"КОНСТАНТІНОВА Катерина Володимирівна")</f>
        <v>КОНСТАНТІНОВА Катерина Володимирівна</v>
      </c>
      <c r="J1165" s="7" t="s">
        <v>13</v>
      </c>
    </row>
    <row r="1166" spans="1:10" ht="13.2">
      <c r="A1166" s="7">
        <v>1165</v>
      </c>
      <c r="B1166" s="7">
        <v>1</v>
      </c>
      <c r="C1166" s="7" t="s">
        <v>10</v>
      </c>
      <c r="D1166" s="7">
        <v>382</v>
      </c>
      <c r="E1166" s="7" t="s">
        <v>12</v>
      </c>
      <c r="F1166" s="8" t="str">
        <f ca="1">IFERROR(__xludf.DUMMYFUNCTION("IF
(
C1167=""фізична особа""
,
VLOOKUP(D1167,IMPORTRANGE(""https://docs.google.com/spreadsheets/d/14Bd19lYaqBhU8_DElYkX7l4wRkHqqCUFNJY4AfY3kHU/edit?usp=sharing  #gid=0"",""фіз особи new!relations_name""),6,FALSE)
,
(IF
(
C1167=""юридична особа""
,
VLOOKUP"&amp;"(D1167,IMPORTRANGE(""https://docs.google.com/spreadsheets/d/14Bd19lYaqBhU8_DElYkX7l4wRkHqqCUFNJY4AfY3kHU/edit?usp=sharing  #gid=0"",""фіз особи new!relations_name_uo""),7,FALSE)
,
)
))"),"КОРОЛЬОВ Сергій Борисович")</f>
        <v>КОРОЛЬОВ Сергій Борисович</v>
      </c>
      <c r="G1166" s="7" t="s">
        <v>10</v>
      </c>
      <c r="H1166" s="7">
        <v>0</v>
      </c>
      <c r="I1166" s="8" t="str">
        <f ca="1">IFERROR(__xludf.DUMMYFUNCTION("IF
(
G1167=""фізична особа""
,
VLOOKUP(H1167,IMPORTRANGE(""https://docs.google.com/spreadsheets/d/14Bd19lYaqBhU8_DElYkX7l4wRkHqqCUFNJY4AfY3kHU/edit?usp=sharing  #gid=0"",""фіз особи new!relations_name""),6,FALSE)
,
(IF
(
G1167=""юридична особа""
,
VLOOKUP"&amp;"(H1167,IMPORTRANGE(""https://docs.google.com/spreadsheets/d/14Bd19lYaqBhU8_DElYkX7l4wRkHqqCUFNJY4AfY3kHU/edit?usp=sharing  #gid=0"",""фіз особи new!relations_name_uo""),7,FALSE)
,
)
))"),"#N/A")</f>
        <v>#N/A</v>
      </c>
      <c r="J1166" s="7" t="s">
        <v>17</v>
      </c>
    </row>
    <row r="1167" spans="1:10" ht="13.2">
      <c r="A1167" s="7">
        <v>1166</v>
      </c>
      <c r="B1167" s="7">
        <v>1</v>
      </c>
      <c r="C1167" s="7" t="s">
        <v>10</v>
      </c>
      <c r="D1167" s="7">
        <v>382</v>
      </c>
      <c r="E1167" s="7" t="s">
        <v>28</v>
      </c>
      <c r="F1167" s="8" t="str">
        <f ca="1">IFERROR(__xludf.DUMMYFUNCTION("IF
(
C1168=""фізична особа""
,
VLOOKUP(D1168,IMPORTRANGE(""https://docs.google.com/spreadsheets/d/14Bd19lYaqBhU8_DElYkX7l4wRkHqqCUFNJY4AfY3kHU/edit?usp=sharing  #gid=0"",""фіз особи new!relations_name""),6,FALSE)
,
(IF
(
C1168=""юридична особа""
,
VLOOKUP"&amp;"(D1168,IMPORTRANGE(""https://docs.google.com/spreadsheets/d/14Bd19lYaqBhU8_DElYkX7l4wRkHqqCUFNJY4AfY3kHU/edit?usp=sharing  #gid=0"",""фіз особи new!relations_name_uo""),7,FALSE)
,
)
))"),"КОРОЛЬОВ Сергій Борисович")</f>
        <v>КОРОЛЬОВ Сергій Борисович</v>
      </c>
      <c r="G1167" s="7" t="s">
        <v>10</v>
      </c>
      <c r="H1167" s="7">
        <v>13</v>
      </c>
      <c r="I1167" s="8" t="str">
        <f ca="1">IFERROR(__xludf.DUMMYFUNCTION("IF
(
G1168=""фізична особа""
,
VLOOKUP(H1168,IMPORTRANGE(""https://docs.google.com/spreadsheets/d/14Bd19lYaqBhU8_DElYkX7l4wRkHqqCUFNJY4AfY3kHU/edit?usp=sharing  #gid=0"",""фіз особи new!relations_name""),6,FALSE)
,
(IF
(
G1168=""юридична особа""
,
VLOOKUP"&amp;"(H1168,IMPORTRANGE(""https://docs.google.com/spreadsheets/d/14Bd19lYaqBhU8_DElYkX7l4wRkHqqCUFNJY4AfY3kHU/edit?usp=sharing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1167" s="7" t="s">
        <v>29</v>
      </c>
    </row>
    <row r="1168" spans="1:10" ht="13.2">
      <c r="A1168" s="7">
        <v>1167</v>
      </c>
      <c r="B1168" s="7">
        <v>1</v>
      </c>
      <c r="C1168" s="7" t="s">
        <v>10</v>
      </c>
      <c r="D1168" s="7">
        <v>383</v>
      </c>
      <c r="E1168" s="7" t="s">
        <v>15</v>
      </c>
      <c r="F1168" s="8" t="str">
        <f ca="1">IFERROR(__xludf.DUMMYFUNCTION("IF
(
C1169=""фізична особа""
,
VLOOKUP(D1169,IMPORTRANGE(""https://docs.google.com/spreadsheets/d/14Bd19lYaqBhU8_DElYkX7l4wRkHqqCUFNJY4AfY3kHU/edit?usp=sharing  #gid=0"",""фіз особи new!relations_name""),6,FALSE)
,
(IF
(
C1169=""юридична особа""
,
VLOOKUP"&amp;"(D1169,IMPORTRANGE(""https://docs.google.com/spreadsheets/d/14Bd19lYaqBhU8_DElYkX7l4wRkHqqCUFNJY4AfY3kHU/edit?usp=sharing  #gid=0"",""фіз особи new!relations_name_uo""),7,FALSE)
,
)
))"),"КОВІТІДІ Ольга Федорівна")</f>
        <v>КОВІТІДІ Ольга Федорівна</v>
      </c>
      <c r="G1168" s="7" t="s">
        <v>10</v>
      </c>
      <c r="H1168" s="7">
        <v>8618</v>
      </c>
      <c r="I1168" s="8" t="str">
        <f ca="1">IFERROR(__xludf.DUMMYFUNCTION("IF
(
G1169=""фізична особа""
,
VLOOKUP(H1169,IMPORTRANGE(""https://docs.google.com/spreadsheets/d/14Bd19lYaqBhU8_DElYkX7l4wRkHqqCUFNJY4AfY3kHU/edit?usp=sharing  #gid=0"",""фіз особи new!relations_name""),6,FALSE)
,
(IF
(
G1169=""юридична особа""
,
VLOOKUP"&amp;"(H1169,IMPORTRANGE(""https://docs.google.com/spreadsheets/d/14Bd19lYaqBhU8_DElYkX7l4wRkHqqCUFNJY4AfY3kHU/edit?usp=sharing  #gid=0"",""фіз особи new!relations_name_uo""),7,FALSE)
,
)
))"),"МАЛЬЦЕВ Артем Олександрович")</f>
        <v>МАЛЬЦЕВ Артем Олександрович</v>
      </c>
      <c r="J1168" s="7" t="s">
        <v>14</v>
      </c>
    </row>
    <row r="1169" spans="1:10" ht="13.2">
      <c r="A1169" s="7">
        <v>1168</v>
      </c>
      <c r="B1169" s="7">
        <v>1</v>
      </c>
      <c r="C1169" s="7" t="s">
        <v>10</v>
      </c>
      <c r="D1169" s="7">
        <v>383</v>
      </c>
      <c r="E1169" s="7" t="s">
        <v>35</v>
      </c>
      <c r="F1169" s="8" t="str">
        <f ca="1">IFERROR(__xludf.DUMMYFUNCTION("IF
(
C1170=""фізична особа""
,
VLOOKUP(D1170,IMPORTRANGE(""https://docs.google.com/spreadsheets/d/14Bd19lYaqBhU8_DElYkX7l4wRkHqqCUFNJY4AfY3kHU/edit?usp=sharing  #gid=0"",""фіз особи new!relations_name""),6,FALSE)
,
(IF
(
C1170=""юридична особа""
,
VLOOKUP"&amp;"(D1170,IMPORTRANGE(""https://docs.google.com/spreadsheets/d/14Bd19lYaqBhU8_DElYkX7l4wRkHqqCUFNJY4AfY3kHU/edit?usp=sharing  #gid=0"",""фіз особи new!relations_name_uo""),7,FALSE)
,
)
))"),"КОВІТІДІ Ольга Федорівна")</f>
        <v>КОВІТІДІ Ольга Федорівна</v>
      </c>
      <c r="G1169" s="7" t="s">
        <v>10</v>
      </c>
      <c r="H1169" s="7">
        <v>710</v>
      </c>
      <c r="I1169" s="8" t="str">
        <f ca="1">IFERROR(__xludf.DUMMYFUNCTION("IF
(
G1170=""фізична особа""
,
VLOOKUP(H1170,IMPORTRANGE(""https://docs.google.com/spreadsheets/d/14Bd19lYaqBhU8_DElYkX7l4wRkHqqCUFNJY4AfY3kHU/edit?usp=sharing  #gid=0"",""фіз особи new!relations_name""),6,FALSE)
,
(IF
(
G1170=""юридична особа""
,
VLOOKUP"&amp;"(H1170,IMPORTRANGE(""https://docs.google.com/spreadsheets/d/14Bd19lYaqBhU8_DElYkX7l4wRkHqqCUFNJY4AfY3kHU/edit?usp=sharing  #gid=0"",""фіз особи new!relations_name_uo""),7,FALSE)
,
)
))"),"ЦЕКОВ Сергій Павлович")</f>
        <v>ЦЕКОВ Сергій Павлович</v>
      </c>
      <c r="J1169" s="7" t="s">
        <v>35</v>
      </c>
    </row>
    <row r="1170" spans="1:10" ht="13.2">
      <c r="A1170" s="7">
        <v>1169</v>
      </c>
      <c r="B1170" s="7">
        <v>1</v>
      </c>
      <c r="C1170" s="7" t="s">
        <v>10</v>
      </c>
      <c r="D1170" s="7">
        <v>384</v>
      </c>
      <c r="E1170" s="7" t="s">
        <v>28</v>
      </c>
      <c r="F1170" s="8" t="str">
        <f ca="1">IFERROR(__xludf.DUMMYFUNCTION("IF
(
C1171=""фізична особа""
,
VLOOKUP(D1171,IMPORTRANGE(""https://docs.google.com/spreadsheets/d/14Bd19lYaqBhU8_DElYkX7l4wRkHqqCUFNJY4AfY3kHU/edit?usp=sharing  #gid=0"",""фіз особи new!relations_name""),6,FALSE)
,
(IF
(
C1171=""юридична особа""
,
VLOOKUP"&amp;"(D1171,IMPORTRANGE(""https://docs.google.com/spreadsheets/d/14Bd19lYaqBhU8_DElYkX7l4wRkHqqCUFNJY4AfY3kHU/edit?usp=sharing  #gid=0"",""фіз особи new!relations_name_uo""),7,FALSE)
,
)
))"),"КОЗЮРА Олег Григорович")</f>
        <v>КОЗЮРА Олег Григорович</v>
      </c>
      <c r="G1170" s="7" t="s">
        <v>10</v>
      </c>
      <c r="H1170" s="7">
        <v>4519</v>
      </c>
      <c r="I1170" s="8" t="str">
        <f ca="1">IFERROR(__xludf.DUMMYFUNCTION("IF
(
G1171=""фізична особа""
,
VLOOKUP(H1171,IMPORTRANGE(""https://docs.google.com/spreadsheets/d/14Bd19lYaqBhU8_DElYkX7l4wRkHqqCUFNJY4AfY3kHU/edit?usp=sharing  #gid=0"",""фіз особи new!relations_name""),6,FALSE)
,
(IF
(
G1171=""юридична особа""
,
VLOOKUP"&amp;"(H1171,IMPORTRANGE(""https://docs.google.com/spreadsheets/d/14Bd19lYaqBhU8_DElYkX7l4wRkHqqCUFNJY4AfY3kHU/edit?usp=sharing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J1170" s="7" t="s">
        <v>29</v>
      </c>
    </row>
    <row r="1171" spans="1:10" ht="13.2">
      <c r="A1171" s="7">
        <v>1170</v>
      </c>
      <c r="B1171" s="7">
        <v>1</v>
      </c>
      <c r="C1171" s="7" t="s">
        <v>10</v>
      </c>
      <c r="D1171" s="7">
        <v>385</v>
      </c>
      <c r="E1171" s="7" t="s">
        <v>28</v>
      </c>
      <c r="F1171" s="8" t="str">
        <f ca="1">IFERROR(__xludf.DUMMYFUNCTION("IF
(
C1172=""фізична особа""
,
VLOOKUP(D1172,IMPORTRANGE(""https://docs.google.com/spreadsheets/d/14Bd19lYaqBhU8_DElYkX7l4wRkHqqCUFNJY4AfY3kHU/edit?usp=sharing  #gid=0"",""фіз особи new!relations_name""),6,FALSE)
,
(IF
(
C1172=""юридична особа""
,
VLOOKUP"&amp;"(D1172,IMPORTRANGE(""https://docs.google.com/spreadsheets/d/14Bd19lYaqBhU8_DElYkX7l4wRkHqqCUFNJY4AfY3kHU/edit?usp=sharing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1" s="7" t="s">
        <v>10</v>
      </c>
      <c r="H1171" s="7">
        <v>367</v>
      </c>
      <c r="I1171" s="8" t="str">
        <f ca="1">IFERROR(__xludf.DUMMYFUNCTION("IF
(
G1172=""фізична особа""
,
VLOOKUP(H1172,IMPORTRANGE(""https://docs.google.com/spreadsheets/d/14Bd19lYaqBhU8_DElYkX7l4wRkHqqCUFNJY4AfY3kHU/edit?usp=sharing  #gid=0"",""фіз особи new!relations_name""),6,FALSE)
,
(IF
(
G1172=""юридична особа""
,
VLOOKUP"&amp;"(H1172,IMPORTRANGE(""https://docs.google.com/spreadsheets/d/14Bd19lYaqBhU8_DElYkX7l4wRkHqqCUFNJY4AfY3kHU/edit?usp=sharing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1171" s="7" t="s">
        <v>29</v>
      </c>
    </row>
    <row r="1172" spans="1:10" ht="13.2">
      <c r="A1172" s="7">
        <v>1171</v>
      </c>
      <c r="B1172" s="7">
        <v>1</v>
      </c>
      <c r="C1172" s="7" t="s">
        <v>10</v>
      </c>
      <c r="D1172" s="7">
        <v>385</v>
      </c>
      <c r="E1172" s="7" t="s">
        <v>35</v>
      </c>
      <c r="F1172" s="8" t="str">
        <f ca="1">IFERROR(__xludf.DUMMYFUNCTION("IF
(
C1173=""фізична особа""
,
VLOOKUP(D1173,IMPORTRANGE(""https://docs.google.com/spreadsheets/d/14Bd19lYaqBhU8_DElYkX7l4wRkHqqCUFNJY4AfY3kHU/edit?usp=sharing  #gid=0"",""фіз особи new!relations_name""),6,FALSE)
,
(IF
(
C1173=""юридична особа""
,
VLOOKUP"&amp;"(D1173,IMPORTRANGE(""https://docs.google.com/spreadsheets/d/14Bd19lYaqBhU8_DElYkX7l4wRkHqqCUFNJY4AfY3kHU/edit?usp=sharing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2" s="7" t="s">
        <v>10</v>
      </c>
      <c r="H1172" s="7">
        <v>355</v>
      </c>
      <c r="I1172" s="8" t="str">
        <f ca="1">IFERROR(__xludf.DUMMYFUNCTION("IF
(
G1173=""фізична особа""
,
VLOOKUP(H1173,IMPORTRANGE(""https://docs.google.com/spreadsheets/d/14Bd19lYaqBhU8_DElYkX7l4wRkHqqCUFNJY4AfY3kHU/edit?usp=sharing  #gid=0"",""фіз особи new!relations_name""),6,FALSE)
,
(IF
(
G1173=""юридична особа""
,
VLOOKUP"&amp;"(H1173,IMPORTRANGE(""https://docs.google.com/spreadsheets/d/14Bd19lYaqBhU8_DElYkX7l4wRkHqqCUFNJY4AfY3kHU/edit?usp=sharing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1172" s="7" t="s">
        <v>35</v>
      </c>
    </row>
    <row r="1173" spans="1:10" ht="13.2">
      <c r="A1173" s="7">
        <v>1172</v>
      </c>
      <c r="B1173" s="7">
        <v>1</v>
      </c>
      <c r="C1173" s="7" t="s">
        <v>10</v>
      </c>
      <c r="D1173" s="7">
        <v>385</v>
      </c>
      <c r="E1173" s="7" t="s">
        <v>35</v>
      </c>
      <c r="F1173" s="8" t="str">
        <f ca="1">IFERROR(__xludf.DUMMYFUNCTION("IF
(
C1174=""фізична особа""
,
VLOOKUP(D1174,IMPORTRANGE(""https://docs.google.com/spreadsheets/d/14Bd19lYaqBhU8_DElYkX7l4wRkHqqCUFNJY4AfY3kHU/edit?usp=sharing  #gid=0"",""фіз особи new!relations_name""),6,FALSE)
,
(IF
(
C1174=""юридична особа""
,
VLOOKUP"&amp;"(D1174,IMPORTRANGE(""https://docs.google.com/spreadsheets/d/14Bd19lYaqBhU8_DElYkX7l4wRkHqqCUFNJY4AfY3kHU/edit?usp=sharing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3" s="7" t="s">
        <v>10</v>
      </c>
      <c r="H1173" s="7">
        <v>489</v>
      </c>
      <c r="I1173" s="8" t="str">
        <f ca="1">IFERROR(__xludf.DUMMYFUNCTION("IF
(
G1174=""фізична особа""
,
VLOOKUP(H1174,IMPORTRANGE(""https://docs.google.com/spreadsheets/d/14Bd19lYaqBhU8_DElYkX7l4wRkHqqCUFNJY4AfY3kHU/edit?usp=sharing  #gid=0"",""фіз особи new!relations_name""),6,FALSE)
,
(IF
(
G1174=""юридична особа""
,
VLOOKUP"&amp;"(H1174,IMPORTRANGE(""https://docs.google.com/spreadsheets/d/14Bd19lYaqBhU8_DElYkX7l4wRkHqqCUFNJY4AfY3kHU/edit?usp=sharing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1173" s="7" t="s">
        <v>35</v>
      </c>
    </row>
    <row r="1174" spans="1:10" ht="13.2">
      <c r="A1174" s="7">
        <v>1173</v>
      </c>
      <c r="B1174" s="7">
        <v>1</v>
      </c>
      <c r="C1174" s="7" t="s">
        <v>10</v>
      </c>
      <c r="D1174" s="7">
        <v>385</v>
      </c>
      <c r="E1174" s="7" t="s">
        <v>28</v>
      </c>
      <c r="F1174" s="8" t="str">
        <f ca="1">IFERROR(__xludf.DUMMYFUNCTION("IF
(
C1175=""фізична особа""
,
VLOOKUP(D1175,IMPORTRANGE(""https://docs.google.com/spreadsheets/d/14Bd19lYaqBhU8_DElYkX7l4wRkHqqCUFNJY4AfY3kHU/edit?usp=sharing  #gid=0"",""фіз особи new!relations_name""),6,FALSE)
,
(IF
(
C1175=""юридична особа""
,
VLOOKUP"&amp;"(D1175,IMPORTRANGE(""https://docs.google.com/spreadsheets/d/14Bd19lYaqBhU8_DElYkX7l4wRkHqqCUFNJY4AfY3kHU/edit?usp=sharing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4" s="7" t="s">
        <v>10</v>
      </c>
      <c r="H1174" s="7">
        <v>320</v>
      </c>
      <c r="I1174" s="8" t="str">
        <f ca="1">IFERROR(__xludf.DUMMYFUNCTION("IF
(
G1175=""фізична особа""
,
VLOOKUP(H1175,IMPORTRANGE(""https://docs.google.com/spreadsheets/d/14Bd19lYaqBhU8_DElYkX7l4wRkHqqCUFNJY4AfY3kHU/edit?usp=sharing  #gid=0"",""фіз особи new!relations_name""),6,FALSE)
,
(IF
(
G1175=""юридична особа""
,
VLOOKUP"&amp;"(H1175,IMPORTRANGE(""https://docs.google.com/spreadsheets/d/14Bd19lYaqBhU8_DElYkX7l4wRkHqqCUFNJY4AfY3kHU/edit?usp=sharing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174" s="7" t="s">
        <v>29</v>
      </c>
    </row>
    <row r="1175" spans="1:10" ht="13.2">
      <c r="A1175" s="7">
        <v>1174</v>
      </c>
      <c r="B1175" s="7">
        <v>1</v>
      </c>
      <c r="C1175" s="7" t="s">
        <v>10</v>
      </c>
      <c r="D1175" s="7">
        <v>385</v>
      </c>
      <c r="E1175" s="7" t="s">
        <v>28</v>
      </c>
      <c r="F1175" s="8" t="str">
        <f ca="1">IFERROR(__xludf.DUMMYFUNCTION("IF
(
C1176=""фізична особа""
,
VLOOKUP(D1176,IMPORTRANGE(""https://docs.google.com/spreadsheets/d/14Bd19lYaqBhU8_DElYkX7l4wRkHqqCUFNJY4AfY3kHU/edit?usp=sharing  #gid=0"",""фіз особи new!relations_name""),6,FALSE)
,
(IF
(
C1176=""юридична особа""
,
VLOOKUP"&amp;"(D1176,IMPORTRANGE(""https://docs.google.com/spreadsheets/d/14Bd19lYaqBhU8_DElYkX7l4wRkHqqCUFNJY4AfY3kHU/edit?usp=sharing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5" s="7" t="s">
        <v>10</v>
      </c>
      <c r="H1175" s="7">
        <v>531</v>
      </c>
      <c r="I1175" s="8" t="str">
        <f ca="1">IFERROR(__xludf.DUMMYFUNCTION("IF
(
G1176=""фізична особа""
,
VLOOKUP(H1176,IMPORTRANGE(""https://docs.google.com/spreadsheets/d/14Bd19lYaqBhU8_DElYkX7l4wRkHqqCUFNJY4AfY3kHU/edit?usp=sharing  #gid=0"",""фіз особи new!relations_name""),6,FALSE)
,
(IF
(
G1176=""юридична особа""
,
VLOOKUP"&amp;"(H1176,IMPORTRANGE(""https://docs.google.com/spreadsheets/d/14Bd19lYaqBhU8_DElYkX7l4wRkHqqCUFNJY4AfY3kHU/edit?usp=sharing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1175" s="7" t="s">
        <v>29</v>
      </c>
    </row>
    <row r="1176" spans="1:10" ht="13.2">
      <c r="A1176" s="7">
        <v>1175</v>
      </c>
      <c r="B1176" s="7">
        <v>1</v>
      </c>
      <c r="C1176" s="7" t="s">
        <v>10</v>
      </c>
      <c r="D1176" s="7">
        <v>385</v>
      </c>
      <c r="E1176" s="7" t="s">
        <v>35</v>
      </c>
      <c r="F1176" s="8" t="str">
        <f ca="1">IFERROR(__xludf.DUMMYFUNCTION("IF
(
C1177=""фізична особа""
,
VLOOKUP(D1177,IMPORTRANGE(""https://docs.google.com/spreadsheets/d/14Bd19lYaqBhU8_DElYkX7l4wRkHqqCUFNJY4AfY3kHU/edit?usp=sharing  #gid=0"",""фіз особи new!relations_name""),6,FALSE)
,
(IF
(
C1177=""юридична особа""
,
VLOOKUP"&amp;"(D1177,IMPORTRANGE(""https://docs.google.com/spreadsheets/d/14Bd19lYaqBhU8_DElYkX7l4wRkHqqCUFNJY4AfY3kHU/edit?usp=sharing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6" s="7" t="s">
        <v>10</v>
      </c>
      <c r="H1176" s="7">
        <v>794</v>
      </c>
      <c r="I1176" s="8" t="str">
        <f ca="1">IFERROR(__xludf.DUMMYFUNCTION("IF
(
G1177=""фізична особа""
,
VLOOKUP(H1177,IMPORTRANGE(""https://docs.google.com/spreadsheets/d/14Bd19lYaqBhU8_DElYkX7l4wRkHqqCUFNJY4AfY3kHU/edit?usp=sharing  #gid=0"",""фіз особи new!relations_name""),6,FALSE)
,
(IF
(
G1177=""юридична особа""
,
VLOOKUP"&amp;"(H1177,IMPORTRANGE(""https://docs.google.com/spreadsheets/d/14Bd19lYaqBhU8_DElYkX7l4wRkHqqCUFNJY4AfY3kHU/edit?usp=sharing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176" s="7" t="s">
        <v>35</v>
      </c>
    </row>
    <row r="1177" spans="1:10" ht="13.2">
      <c r="A1177" s="7">
        <v>1176</v>
      </c>
      <c r="B1177" s="7">
        <v>1</v>
      </c>
      <c r="C1177" s="7" t="s">
        <v>10</v>
      </c>
      <c r="D1177" s="7">
        <v>385</v>
      </c>
      <c r="E1177" s="7" t="s">
        <v>35</v>
      </c>
      <c r="F1177" s="8" t="str">
        <f ca="1">IFERROR(__xludf.DUMMYFUNCTION("IF
(
C1178=""фізична особа""
,
VLOOKUP(D1178,IMPORTRANGE(""https://docs.google.com/spreadsheets/d/14Bd19lYaqBhU8_DElYkX7l4wRkHqqCUFNJY4AfY3kHU/edit?usp=sharing  #gid=0"",""фіз особи new!relations_name""),6,FALSE)
,
(IF
(
C1178=""юридична особа""
,
VLOOKUP"&amp;"(D1178,IMPORTRANGE(""https://docs.google.com/spreadsheets/d/14Bd19lYaqBhU8_DElYkX7l4wRkHqqCUFNJY4AfY3kHU/edit?usp=sharing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7" s="7" t="s">
        <v>10</v>
      </c>
      <c r="H1177" s="7">
        <v>754</v>
      </c>
      <c r="I1177" s="8" t="str">
        <f ca="1">IFERROR(__xludf.DUMMYFUNCTION("IF
(
G1178=""фізична особа""
,
VLOOKUP(H1178,IMPORTRANGE(""https://docs.google.com/spreadsheets/d/14Bd19lYaqBhU8_DElYkX7l4wRkHqqCUFNJY4AfY3kHU/edit?usp=sharing  #gid=0"",""фіз особи new!relations_name""),6,FALSE)
,
(IF
(
G1178=""юридична особа""
,
VLOOKUP"&amp;"(H1178,IMPORTRANGE(""https://docs.google.com/spreadsheets/d/14Bd19lYaqBhU8_DElYkX7l4wRkHqqCUFNJY4AfY3kHU/edit?usp=sharing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1177" s="7" t="s">
        <v>35</v>
      </c>
    </row>
    <row r="1178" spans="1:10" ht="13.2">
      <c r="A1178" s="7">
        <v>1177</v>
      </c>
      <c r="B1178" s="7">
        <v>1</v>
      </c>
      <c r="C1178" s="7" t="s">
        <v>10</v>
      </c>
      <c r="D1178" s="7">
        <v>385</v>
      </c>
      <c r="E1178" s="7" t="s">
        <v>28</v>
      </c>
      <c r="F1178" s="8" t="str">
        <f ca="1">IFERROR(__xludf.DUMMYFUNCTION("IF
(
C1179=""фізична особа""
,
VLOOKUP(D1179,IMPORTRANGE(""https://docs.google.com/spreadsheets/d/14Bd19lYaqBhU8_DElYkX7l4wRkHqqCUFNJY4AfY3kHU/edit?usp=sharing  #gid=0"",""фіз особи new!relations_name""),6,FALSE)
,
(IF
(
C1179=""юридична особа""
,
VLOOKUP"&amp;"(D1179,IMPORTRANGE(""https://docs.google.com/spreadsheets/d/14Bd19lYaqBhU8_DElYkX7l4wRkHqqCUFNJY4AfY3kHU/edit?usp=sharing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G1178" s="7" t="s">
        <v>10</v>
      </c>
      <c r="H1178" s="7">
        <v>386</v>
      </c>
      <c r="I1178" s="8" t="str">
        <f ca="1">IFERROR(__xludf.DUMMYFUNCTION("IF
(
G1179=""фізична особа""
,
VLOOKUP(H1179,IMPORTRANGE(""https://docs.google.com/spreadsheets/d/14Bd19lYaqBhU8_DElYkX7l4wRkHqqCUFNJY4AfY3kHU/edit?usp=sharing  #gid=0"",""фіз особи new!relations_name""),6,FALSE)
,
(IF
(
G1179=""юридична особа""
,
VLOOKUP"&amp;"(H1179,IMPORTRANGE(""https://docs.google.com/spreadsheets/d/14Bd19lYaqBhU8_DElYkX7l4wRkHqqCUFNJY4AfY3kHU/edit?usp=sharing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1178" s="7" t="s">
        <v>29</v>
      </c>
    </row>
    <row r="1179" spans="1:10" ht="13.2">
      <c r="A1179" s="7">
        <v>1178</v>
      </c>
      <c r="B1179" s="7">
        <v>1</v>
      </c>
      <c r="C1179" s="7" t="s">
        <v>10</v>
      </c>
      <c r="D1179" s="7">
        <v>386</v>
      </c>
      <c r="E1179" s="7" t="s">
        <v>11</v>
      </c>
      <c r="F1179" s="8" t="str">
        <f ca="1">IFERROR(__xludf.DUMMYFUNCTION("IF
(
C1180=""фізична особа""
,
VLOOKUP(D1180,IMPORTRANGE(""https://docs.google.com/spreadsheets/d/14Bd19lYaqBhU8_DElYkX7l4wRkHqqCUFNJY4AfY3kHU/edit?usp=sharing  #gid=0"",""фіз особи new!relations_name""),6,FALSE)
,
(IF
(
C1180=""юридична особа""
,
VLOOKUP"&amp;"(D1180,IMPORTRANGE(""https://docs.google.com/spreadsheets/d/14Bd19lYaqBhU8_DElYkX7l4wRkHqqCUFNJY4AfY3kHU/edit?usp=sharing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79" s="7" t="s">
        <v>10</v>
      </c>
      <c r="H1179" s="7">
        <v>367</v>
      </c>
      <c r="I1179" s="8" t="str">
        <f ca="1">IFERROR(__xludf.DUMMYFUNCTION("IF
(
G1180=""фізична особа""
,
VLOOKUP(H1180,IMPORTRANGE(""https://docs.google.com/spreadsheets/d/14Bd19lYaqBhU8_DElYkX7l4wRkHqqCUFNJY4AfY3kHU/edit?usp=sharing  #gid=0"",""фіз особи new!relations_name""),6,FALSE)
,
(IF
(
G1180=""юридична особа""
,
VLOOKUP"&amp;"(H1180,IMPORTRANGE(""https://docs.google.com/spreadsheets/d/14Bd19lYaqBhU8_DElYkX7l4wRkHqqCUFNJY4AfY3kHU/edit?usp=sharing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1179" s="7" t="s">
        <v>11</v>
      </c>
    </row>
    <row r="1180" spans="1:10" ht="13.2">
      <c r="A1180" s="7">
        <v>1179</v>
      </c>
      <c r="B1180" s="7">
        <v>1</v>
      </c>
      <c r="C1180" s="7" t="s">
        <v>10</v>
      </c>
      <c r="D1180" s="7">
        <v>386</v>
      </c>
      <c r="E1180" s="7" t="s">
        <v>28</v>
      </c>
      <c r="F1180" s="8" t="str">
        <f ca="1">IFERROR(__xludf.DUMMYFUNCTION("IF
(
C1181=""фізична особа""
,
VLOOKUP(D1181,IMPORTRANGE(""https://docs.google.com/spreadsheets/d/14Bd19lYaqBhU8_DElYkX7l4wRkHqqCUFNJY4AfY3kHU/edit?usp=sharing  #gid=0"",""фіз особи new!relations_name""),6,FALSE)
,
(IF
(
C1181=""юридична особа""
,
VLOOKUP"&amp;"(D1181,IMPORTRANGE(""https://docs.google.com/spreadsheets/d/14Bd19lYaqBhU8_DElYkX7l4wRkHqqCUFNJY4AfY3kHU/edit?usp=sharing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0" s="7" t="s">
        <v>10</v>
      </c>
      <c r="H1180" s="7">
        <v>355</v>
      </c>
      <c r="I1180" s="8" t="str">
        <f ca="1">IFERROR(__xludf.DUMMYFUNCTION("IF
(
G1181=""фізична особа""
,
VLOOKUP(H1181,IMPORTRANGE(""https://docs.google.com/spreadsheets/d/14Bd19lYaqBhU8_DElYkX7l4wRkHqqCUFNJY4AfY3kHU/edit?usp=sharing  #gid=0"",""фіз особи new!relations_name""),6,FALSE)
,
(IF
(
G1181=""юридична особа""
,
VLOOKUP"&amp;"(H1181,IMPORTRANGE(""https://docs.google.com/spreadsheets/d/14Bd19lYaqBhU8_DElYkX7l4wRkHqqCUFNJY4AfY3kHU/edit?usp=sharing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1180" s="7" t="s">
        <v>29</v>
      </c>
    </row>
    <row r="1181" spans="1:10" ht="13.2">
      <c r="A1181" s="7">
        <v>1180</v>
      </c>
      <c r="B1181" s="7">
        <v>1</v>
      </c>
      <c r="C1181" s="7" t="s">
        <v>10</v>
      </c>
      <c r="D1181" s="7">
        <v>386</v>
      </c>
      <c r="E1181" s="7" t="s">
        <v>29</v>
      </c>
      <c r="F1181" s="8" t="str">
        <f ca="1">IFERROR(__xludf.DUMMYFUNCTION("IF
(
C1182=""фізична особа""
,
VLOOKUP(D1182,IMPORTRANGE(""https://docs.google.com/spreadsheets/d/14Bd19lYaqBhU8_DElYkX7l4wRkHqqCUFNJY4AfY3kHU/edit?usp=sharing  #gid=0"",""фіз особи new!relations_name""),6,FALSE)
,
(IF
(
C1182=""юридична особа""
,
VLOOKUP"&amp;"(D1182,IMPORTRANGE(""https://docs.google.com/spreadsheets/d/14Bd19lYaqBhU8_DElYkX7l4wRkHqqCUFNJY4AfY3kHU/edit?usp=sharing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1" s="7" t="s">
        <v>10</v>
      </c>
      <c r="H1181" s="7">
        <v>489</v>
      </c>
      <c r="I1181" s="8" t="str">
        <f ca="1">IFERROR(__xludf.DUMMYFUNCTION("IF
(
G1182=""фізична особа""
,
VLOOKUP(H1182,IMPORTRANGE(""https://docs.google.com/spreadsheets/d/14Bd19lYaqBhU8_DElYkX7l4wRkHqqCUFNJY4AfY3kHU/edit?usp=sharing  #gid=0"",""фіз особи new!relations_name""),6,FALSE)
,
(IF
(
G1182=""юридична особа""
,
VLOOKUP"&amp;"(H1182,IMPORTRANGE(""https://docs.google.com/spreadsheets/d/14Bd19lYaqBhU8_DElYkX7l4wRkHqqCUFNJY4AfY3kHU/edit?usp=sharing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1181" s="7" t="s">
        <v>28</v>
      </c>
    </row>
    <row r="1182" spans="1:10" ht="13.2">
      <c r="A1182" s="7">
        <v>1181</v>
      </c>
      <c r="B1182" s="7">
        <v>1</v>
      </c>
      <c r="C1182" s="7" t="s">
        <v>10</v>
      </c>
      <c r="D1182" s="7">
        <v>386</v>
      </c>
      <c r="E1182" s="7" t="s">
        <v>11</v>
      </c>
      <c r="F1182" s="8" t="str">
        <f ca="1">IFERROR(__xludf.DUMMYFUNCTION("IF
(
C1183=""фізична особа""
,
VLOOKUP(D1183,IMPORTRANGE(""https://docs.google.com/spreadsheets/d/14Bd19lYaqBhU8_DElYkX7l4wRkHqqCUFNJY4AfY3kHU/edit?usp=sharing  #gid=0"",""фіз особи new!relations_name""),6,FALSE)
,
(IF
(
C1183=""юридична особа""
,
VLOOKUP"&amp;"(D1183,IMPORTRANGE(""https://docs.google.com/spreadsheets/d/14Bd19lYaqBhU8_DElYkX7l4wRkHqqCUFNJY4AfY3kHU/edit?usp=sharing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2" s="7" t="s">
        <v>10</v>
      </c>
      <c r="H1182" s="7">
        <v>320</v>
      </c>
      <c r="I1182" s="8" t="str">
        <f ca="1">IFERROR(__xludf.DUMMYFUNCTION("IF
(
G1183=""фізична особа""
,
VLOOKUP(H1183,IMPORTRANGE(""https://docs.google.com/spreadsheets/d/14Bd19lYaqBhU8_DElYkX7l4wRkHqqCUFNJY4AfY3kHU/edit?usp=sharing  #gid=0"",""фіз особи new!relations_name""),6,FALSE)
,
(IF
(
G1183=""юридична особа""
,
VLOOKUP"&amp;"(H1183,IMPORTRANGE(""https://docs.google.com/spreadsheets/d/14Bd19lYaqBhU8_DElYkX7l4wRkHqqCUFNJY4AfY3kHU/edit?usp=sharing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182" s="7" t="s">
        <v>11</v>
      </c>
    </row>
    <row r="1183" spans="1:10" ht="13.2">
      <c r="A1183" s="7">
        <v>1182</v>
      </c>
      <c r="B1183" s="7">
        <v>1</v>
      </c>
      <c r="C1183" s="7" t="s">
        <v>10</v>
      </c>
      <c r="D1183" s="7">
        <v>386</v>
      </c>
      <c r="E1183" s="7" t="s">
        <v>11</v>
      </c>
      <c r="F1183" s="8" t="str">
        <f ca="1">IFERROR(__xludf.DUMMYFUNCTION("IF
(
C1184=""фізична особа""
,
VLOOKUP(D1184,IMPORTRANGE(""https://docs.google.com/spreadsheets/d/14Bd19lYaqBhU8_DElYkX7l4wRkHqqCUFNJY4AfY3kHU/edit?usp=sharing  #gid=0"",""фіз особи new!relations_name""),6,FALSE)
,
(IF
(
C1184=""юридична особа""
,
VLOOKUP"&amp;"(D1184,IMPORTRANGE(""https://docs.google.com/spreadsheets/d/14Bd19lYaqBhU8_DElYkX7l4wRkHqqCUFNJY4AfY3kHU/edit?usp=sharing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3" s="7" t="s">
        <v>10</v>
      </c>
      <c r="H1183" s="7">
        <v>531</v>
      </c>
      <c r="I1183" s="8" t="str">
        <f ca="1">IFERROR(__xludf.DUMMYFUNCTION("IF
(
G1184=""фізична особа""
,
VLOOKUP(H1184,IMPORTRANGE(""https://docs.google.com/spreadsheets/d/14Bd19lYaqBhU8_DElYkX7l4wRkHqqCUFNJY4AfY3kHU/edit?usp=sharing  #gid=0"",""фіз особи new!relations_name""),6,FALSE)
,
(IF
(
G1184=""юридична особа""
,
VLOOKUP"&amp;"(H1184,IMPORTRANGE(""https://docs.google.com/spreadsheets/d/14Bd19lYaqBhU8_DElYkX7l4wRkHqqCUFNJY4AfY3kHU/edit?usp=sharing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1183" s="7" t="s">
        <v>11</v>
      </c>
    </row>
    <row r="1184" spans="1:10" ht="13.2">
      <c r="A1184" s="7">
        <v>1183</v>
      </c>
      <c r="B1184" s="7">
        <v>1</v>
      </c>
      <c r="C1184" s="7" t="s">
        <v>10</v>
      </c>
      <c r="D1184" s="7">
        <v>386</v>
      </c>
      <c r="E1184" s="7" t="s">
        <v>29</v>
      </c>
      <c r="F1184" s="8" t="str">
        <f ca="1">IFERROR(__xludf.DUMMYFUNCTION("IF
(
C1185=""фізична особа""
,
VLOOKUP(D1185,IMPORTRANGE(""https://docs.google.com/spreadsheets/d/14Bd19lYaqBhU8_DElYkX7l4wRkHqqCUFNJY4AfY3kHU/edit?usp=sharing  #gid=0"",""фіз особи new!relations_name""),6,FALSE)
,
(IF
(
C1185=""юридична особа""
,
VLOOKUP"&amp;"(D1185,IMPORTRANGE(""https://docs.google.com/spreadsheets/d/14Bd19lYaqBhU8_DElYkX7l4wRkHqqCUFNJY4AfY3kHU/edit?usp=sharing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4" s="7" t="s">
        <v>10</v>
      </c>
      <c r="H1184" s="7">
        <v>385</v>
      </c>
      <c r="I1184" s="8" t="str">
        <f ca="1">IFERROR(__xludf.DUMMYFUNCTION("IF
(
G1185=""фізична особа""
,
VLOOKUP(H1185,IMPORTRANGE(""https://docs.google.com/spreadsheets/d/14Bd19lYaqBhU8_DElYkX7l4wRkHqqCUFNJY4AfY3kHU/edit?usp=sharing  #gid=0"",""фіз особи new!relations_name""),6,FALSE)
,
(IF
(
G1185=""юридична особа""
,
VLOOKUP"&amp;"(H1185,IMPORTRANGE(""https://docs.google.com/spreadsheets/d/14Bd19lYaqBhU8_DElYkX7l4wRkHqqCUFNJY4AfY3kHU/edit?usp=sharing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1184" s="7" t="s">
        <v>28</v>
      </c>
    </row>
    <row r="1185" spans="1:10" ht="13.2">
      <c r="A1185" s="7">
        <v>1184</v>
      </c>
      <c r="B1185" s="7">
        <v>1</v>
      </c>
      <c r="C1185" s="7" t="s">
        <v>10</v>
      </c>
      <c r="D1185" s="7">
        <v>386</v>
      </c>
      <c r="E1185" s="7" t="s">
        <v>29</v>
      </c>
      <c r="F1185" s="8" t="str">
        <f ca="1">IFERROR(__xludf.DUMMYFUNCTION("IF
(
C1186=""фізична особа""
,
VLOOKUP(D1186,IMPORTRANGE(""https://docs.google.com/spreadsheets/d/14Bd19lYaqBhU8_DElYkX7l4wRkHqqCUFNJY4AfY3kHU/edit?usp=sharing  #gid=0"",""фіз особи new!relations_name""),6,FALSE)
,
(IF
(
C1186=""юридична особа""
,
VLOOKUP"&amp;"(D1186,IMPORTRANGE(""https://docs.google.com/spreadsheets/d/14Bd19lYaqBhU8_DElYkX7l4wRkHqqCUFNJY4AfY3kHU/edit?usp=sharing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5" s="7" t="s">
        <v>10</v>
      </c>
      <c r="H1185" s="7">
        <v>794</v>
      </c>
      <c r="I1185" s="8" t="str">
        <f ca="1">IFERROR(__xludf.DUMMYFUNCTION("IF
(
G1186=""фізична особа""
,
VLOOKUP(H1186,IMPORTRANGE(""https://docs.google.com/spreadsheets/d/14Bd19lYaqBhU8_DElYkX7l4wRkHqqCUFNJY4AfY3kHU/edit?usp=sharing  #gid=0"",""фіз особи new!relations_name""),6,FALSE)
,
(IF
(
G1186=""юридична особа""
,
VLOOKUP"&amp;"(H1186,IMPORTRANGE(""https://docs.google.com/spreadsheets/d/14Bd19lYaqBhU8_DElYkX7l4wRkHqqCUFNJY4AfY3kHU/edit?usp=sharing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185" s="7" t="s">
        <v>28</v>
      </c>
    </row>
    <row r="1186" spans="1:10" ht="13.2">
      <c r="A1186" s="7">
        <v>1185</v>
      </c>
      <c r="B1186" s="7">
        <v>1</v>
      </c>
      <c r="C1186" s="7" t="s">
        <v>10</v>
      </c>
      <c r="D1186" s="7">
        <v>386</v>
      </c>
      <c r="E1186" s="7" t="s">
        <v>29</v>
      </c>
      <c r="F1186" s="8" t="str">
        <f ca="1">IFERROR(__xludf.DUMMYFUNCTION("IF
(
C1187=""фізична особа""
,
VLOOKUP(D1187,IMPORTRANGE(""https://docs.google.com/spreadsheets/d/14Bd19lYaqBhU8_DElYkX7l4wRkHqqCUFNJY4AfY3kHU/edit?usp=sharing  #gid=0"",""фіз особи new!relations_name""),6,FALSE)
,
(IF
(
C1187=""юридична особа""
,
VLOOKUP"&amp;"(D1187,IMPORTRANGE(""https://docs.google.com/spreadsheets/d/14Bd19lYaqBhU8_DElYkX7l4wRkHqqCUFNJY4AfY3kHU/edit?usp=sharing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G1186" s="7" t="s">
        <v>10</v>
      </c>
      <c r="H1186" s="7">
        <v>754</v>
      </c>
      <c r="I1186" s="8" t="str">
        <f ca="1">IFERROR(__xludf.DUMMYFUNCTION("IF
(
G1187=""фізична особа""
,
VLOOKUP(H1187,IMPORTRANGE(""https://docs.google.com/spreadsheets/d/14Bd19lYaqBhU8_DElYkX7l4wRkHqqCUFNJY4AfY3kHU/edit?usp=sharing  #gid=0"",""фіз особи new!relations_name""),6,FALSE)
,
(IF
(
G1187=""юридична особа""
,
VLOOKUP"&amp;"(H1187,IMPORTRANGE(""https://docs.google.com/spreadsheets/d/14Bd19lYaqBhU8_DElYkX7l4wRkHqqCUFNJY4AfY3kHU/edit?usp=sharing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1186" s="7" t="s">
        <v>28</v>
      </c>
    </row>
    <row r="1187" spans="1:10" ht="13.2">
      <c r="A1187" s="7">
        <v>1186</v>
      </c>
      <c r="B1187" s="7">
        <v>1</v>
      </c>
      <c r="C1187" s="7" t="s">
        <v>10</v>
      </c>
      <c r="D1187" s="7">
        <v>387</v>
      </c>
      <c r="E1187" s="7" t="s">
        <v>18</v>
      </c>
      <c r="F1187" s="8" t="str">
        <f ca="1">IFERROR(__xludf.DUMMYFUNCTION("IF
(
C1188=""фізична особа""
,
VLOOKUP(D1188,IMPORTRANGE(""https://docs.google.com/spreadsheets/d/14Bd19lYaqBhU8_DElYkX7l4wRkHqqCUFNJY4AfY3kHU/edit?usp=sharing  #gid=0"",""фіз особи new!relations_name""),6,FALSE)
,
(IF
(
C1188=""юридична особа""
,
VLOOKUP"&amp;"(D1188,IMPORTRANGE(""https://docs.google.com/spreadsheets/d/14Bd19lYaqBhU8_DElYkX7l4wRkHqqCUFNJY4AfY3kHU/edit?usp=sharing  #gid=0"",""фіз особи new!relations_name_uo""),7,FALSE)
,
)
))"),"КАЗАНОКОВ Крим Олійович")</f>
        <v>КАЗАНОКОВ Крим Олійович</v>
      </c>
      <c r="G1187" s="7" t="s">
        <v>10</v>
      </c>
      <c r="H1187" s="7">
        <v>0</v>
      </c>
      <c r="I1187" s="8" t="str">
        <f ca="1">IFERROR(__xludf.DUMMYFUNCTION("IF
(
G1188=""фізична особа""
,
VLOOKUP(H1188,IMPORTRANGE(""https://docs.google.com/spreadsheets/d/14Bd19lYaqBhU8_DElYkX7l4wRkHqqCUFNJY4AfY3kHU/edit?usp=sharing  #gid=0"",""фіз особи new!relations_name""),6,FALSE)
,
(IF
(
G1188=""юридична особа""
,
VLOOKUP"&amp;"(H1188,IMPORTRANGE(""https://docs.google.com/spreadsheets/d/14Bd19lYaqBhU8_DElYkX7l4wRkHqqCUFNJY4AfY3kHU/edit?usp=sharing  #gid=0"",""фіз особи new!relations_name_uo""),7,FALSE)
,
)
))"),"#N/A")</f>
        <v>#N/A</v>
      </c>
      <c r="J1187" s="7" t="s">
        <v>18</v>
      </c>
    </row>
    <row r="1188" spans="1:10" ht="13.2">
      <c r="A1188" s="7">
        <v>1187</v>
      </c>
      <c r="B1188" s="7">
        <v>1</v>
      </c>
      <c r="C1188" s="7" t="s">
        <v>10</v>
      </c>
      <c r="D1188" s="7">
        <v>387</v>
      </c>
      <c r="E1188" s="7" t="s">
        <v>35</v>
      </c>
      <c r="F1188" s="8" t="str">
        <f ca="1">IFERROR(__xludf.DUMMYFUNCTION("IF
(
C1189=""фізична особа""
,
VLOOKUP(D1189,IMPORTRANGE(""https://docs.google.com/spreadsheets/d/14Bd19lYaqBhU8_DElYkX7l4wRkHqqCUFNJY4AfY3kHU/edit?usp=sharing  #gid=0"",""фіз особи new!relations_name""),6,FALSE)
,
(IF
(
C1189=""юридична особа""
,
VLOOKUP"&amp;"(D1189,IMPORTRANGE(""https://docs.google.com/spreadsheets/d/14Bd19lYaqBhU8_DElYkX7l4wRkHqqCUFNJY4AfY3kHU/edit?usp=sharing  #gid=0"",""фіз особи new!relations_name_uo""),7,FALSE)
,
)
))"),"КАЗАНОКОВ Крим Олійович")</f>
        <v>КАЗАНОКОВ Крим Олійович</v>
      </c>
      <c r="G1188" s="7" t="s">
        <v>10</v>
      </c>
      <c r="H1188" s="7">
        <v>2507</v>
      </c>
      <c r="I1188" s="8" t="str">
        <f ca="1">IFERROR(__xludf.DUMMYFUNCTION("IF
(
G1189=""фізична особа""
,
VLOOKUP(H1189,IMPORTRANGE(""https://docs.google.com/spreadsheets/d/14Bd19lYaqBhU8_DElYkX7l4wRkHqqCUFNJY4AfY3kHU/edit?usp=sharing  #gid=0"",""фіз особи new!relations_name""),6,FALSE)
,
(IF
(
G1189=""юридична особа""
,
VLOOKUP"&amp;"(H1189,IMPORTRANGE(""https://docs.google.com/spreadsheets/d/14Bd19lYaqBhU8_DElYkX7l4wRkHqqCUFNJY4AfY3kHU/edit?usp=sharing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1188" s="7" t="s">
        <v>35</v>
      </c>
    </row>
    <row r="1189" spans="1:10" ht="13.2">
      <c r="A1189" s="7">
        <v>1188</v>
      </c>
      <c r="B1189" s="7">
        <v>1</v>
      </c>
      <c r="C1189" s="7" t="s">
        <v>10</v>
      </c>
      <c r="D1189" s="7">
        <v>388</v>
      </c>
      <c r="E1189" s="7" t="s">
        <v>35</v>
      </c>
      <c r="F1189" s="8" t="str">
        <f ca="1">IFERROR(__xludf.DUMMYFUNCTION("IF
(
C1190=""фізична особа""
,
VLOOKUP(D1190,IMPORTRANGE(""https://docs.google.com/spreadsheets/d/14Bd19lYaqBhU8_DElYkX7l4wRkHqqCUFNJY4AfY3kHU/edit?usp=sharing  #gid=0"",""фіз особи new!relations_name""),6,FALSE)
,
(IF
(
C1190=""юридична особа""
,
VLOOKUP"&amp;"(D1190,IMPORTRANGE(""https://docs.google.com/spreadsheets/d/14Bd19lYaqBhU8_DElYkX7l4wRkHqqCUFNJY4AfY3kHU/edit?usp=sharing  #gid=0"",""фіз особи new!relations_name_uo""),7,FALSE)
,
)
))"),"ГОРЯЧЄВА Ксенія Олександрівна")</f>
        <v>ГОРЯЧЄВА Ксенія Олександрівна</v>
      </c>
      <c r="G1189" s="7" t="s">
        <v>10</v>
      </c>
      <c r="H1189" s="7">
        <v>7</v>
      </c>
      <c r="I1189" s="8" t="str">
        <f ca="1">IFERROR(__xludf.DUMMYFUNCTION("IF
(
G1190=""фізична особа""
,
VLOOKUP(H1190,IMPORTRANGE(""https://docs.google.com/spreadsheets/d/14Bd19lYaqBhU8_DElYkX7l4wRkHqqCUFNJY4AfY3kHU/edit?usp=sharing  #gid=0"",""фіз особи new!relations_name""),6,FALSE)
,
(IF
(
G1190=""юридична особа""
,
VLOOKUP"&amp;"(H1190,IMPORTRANGE(""https://docs.google.com/spreadsheets/d/14Bd19lYaqBhU8_DElYkX7l4wRkHqqCUFNJY4AfY3kHU/edit?usp=sharing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1189" s="7" t="s">
        <v>35</v>
      </c>
    </row>
    <row r="1190" spans="1:10" ht="13.2">
      <c r="A1190" s="7">
        <v>1189</v>
      </c>
      <c r="B1190" s="7">
        <v>1</v>
      </c>
      <c r="C1190" s="7" t="s">
        <v>10</v>
      </c>
      <c r="D1190" s="7">
        <v>389</v>
      </c>
      <c r="E1190" s="7" t="s">
        <v>29</v>
      </c>
      <c r="F1190" s="8" t="str">
        <f ca="1">IFERROR(__xludf.DUMMYFUNCTION("IF
(
C1191=""фізична особа""
,
VLOOKUP(D1191,IMPORTRANGE(""https://docs.google.com/spreadsheets/d/14Bd19lYaqBhU8_DElYkX7l4wRkHqqCUFNJY4AfY3kHU/edit?usp=sharing  #gid=0"",""фіз особи new!relations_name""),6,FALSE)
,
(IF
(
C1191=""юридична особа""
,
VLOOKUP"&amp;"(D1191,IMPORTRANGE(""https://docs.google.com/spreadsheets/d/14Bd19lYaqBhU8_DElYkX7l4wRkHqqCUFNJY4AfY3kHU/edit?usp=sharing  #gid=0"",""фіз особи new!relations_name_uo""),7,FALSE)
,
)
))"),"ТУТОВА Лариса Миколаївна")</f>
        <v>ТУТОВА Лариса Миколаївна</v>
      </c>
      <c r="G1190" s="7" t="s">
        <v>10</v>
      </c>
      <c r="H1190" s="7">
        <v>0</v>
      </c>
      <c r="I1190" s="8" t="str">
        <f ca="1">IFERROR(__xludf.DUMMYFUNCTION("IF
(
G1191=""фізична особа""
,
VLOOKUP(H1191,IMPORTRANGE(""https://docs.google.com/spreadsheets/d/14Bd19lYaqBhU8_DElYkX7l4wRkHqqCUFNJY4AfY3kHU/edit?usp=sharing  #gid=0"",""фіз особи new!relations_name""),6,FALSE)
,
(IF
(
G1191=""юридична особа""
,
VLOOKUP"&amp;"(H1191,IMPORTRANGE(""https://docs.google.com/spreadsheets/d/14Bd19lYaqBhU8_DElYkX7l4wRkHqqCUFNJY4AfY3kHU/edit?usp=sharing  #gid=0"",""фіз особи new!relations_name_uo""),7,FALSE)
,
)
))"),"#N/A")</f>
        <v>#N/A</v>
      </c>
      <c r="J1190" s="7" t="s">
        <v>28</v>
      </c>
    </row>
    <row r="1191" spans="1:10" ht="13.2">
      <c r="A1191" s="7">
        <v>1190</v>
      </c>
      <c r="B1191" s="7">
        <v>1</v>
      </c>
      <c r="C1191" s="7" t="s">
        <v>10</v>
      </c>
      <c r="D1191" s="7">
        <v>390</v>
      </c>
      <c r="E1191" s="7" t="s">
        <v>35</v>
      </c>
      <c r="F1191" s="8" t="str">
        <f ca="1">IFERROR(__xludf.DUMMYFUNCTION("IF
(
C1192=""фізична особа""
,
VLOOKUP(D1192,IMPORTRANGE(""https://docs.google.com/spreadsheets/d/14Bd19lYaqBhU8_DElYkX7l4wRkHqqCUFNJY4AfY3kHU/edit?usp=sharing  #gid=0"",""фіз особи new!relations_name""),6,FALSE)
,
(IF
(
C1192=""юридична особа""
,
VLOOKUP"&amp;"(D1192,IMPORTRANGE(""https://docs.google.com/spreadsheets/d/14Bd19lYaqBhU8_DElYkX7l4wRkHqqCUFNJY4AfY3kHU/edit?usp=sharing  #gid=0"",""фіз особи new!relations_name_uo""),7,FALSE)
,
)
))"),"САВІН Олександр Олександрович")</f>
        <v>САВІН Олександр Олександрович</v>
      </c>
      <c r="G1191" s="7" t="s">
        <v>10</v>
      </c>
      <c r="H1191" s="7">
        <v>32</v>
      </c>
      <c r="I1191" s="8" t="str">
        <f ca="1">IFERROR(__xludf.DUMMYFUNCTION("IF
(
G1192=""фізична особа""
,
VLOOKUP(H1192,IMPORTRANGE(""https://docs.google.com/spreadsheets/d/14Bd19lYaqBhU8_DElYkX7l4wRkHqqCUFNJY4AfY3kHU/edit?usp=sharing  #gid=0"",""фіз особи new!relations_name""),6,FALSE)
,
(IF
(
G1192=""юридична особа""
,
VLOOKUP"&amp;"(H1192,IMPORTRANGE(""https://docs.google.com/spreadsheets/d/14Bd19lYaqBhU8_DElYkX7l4wRkHqqCUFNJY4AfY3kHU/edit?usp=sharing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1191" s="7" t="s">
        <v>35</v>
      </c>
    </row>
    <row r="1192" spans="1:10" ht="13.2">
      <c r="A1192" s="7">
        <v>1191</v>
      </c>
      <c r="B1192" s="7">
        <v>1</v>
      </c>
      <c r="C1192" s="7" t="s">
        <v>10</v>
      </c>
      <c r="D1192" s="7">
        <v>391</v>
      </c>
      <c r="E1192" s="7" t="s">
        <v>29</v>
      </c>
      <c r="F1192" s="8" t="str">
        <f ca="1">IFERROR(__xludf.DUMMYFUNCTION("IF
(
C1193=""фізична особа""
,
VLOOKUP(D1193,IMPORTRANGE(""https://docs.google.com/spreadsheets/d/14Bd19lYaqBhU8_DElYkX7l4wRkHqqCUFNJY4AfY3kHU/edit?usp=sharing  #gid=0"",""фіз особи new!relations_name""),6,FALSE)
,
(IF
(
C1193=""юридична особа""
,
VLOOKUP"&amp;"(D1193,IMPORTRANGE(""https://docs.google.com/spreadsheets/d/14Bd19lYaqBhU8_DElYkX7l4wRkHqqCUFNJY4AfY3kHU/edit?usp=sharing  #gid=0"",""фіз особи new!relations_name_uo""),7,FALSE)
,
)
))"),"ТОЛСТИКІНА Лариса Валентинівна")</f>
        <v>ТОЛСТИКІНА Лариса Валентинівна</v>
      </c>
      <c r="G1192" s="7" t="s">
        <v>10</v>
      </c>
      <c r="H1192" s="7">
        <v>0</v>
      </c>
      <c r="I1192" s="8" t="str">
        <f ca="1">IFERROR(__xludf.DUMMYFUNCTION("IF
(
G1193=""фізична особа""
,
VLOOKUP(H1193,IMPORTRANGE(""https://docs.google.com/spreadsheets/d/14Bd19lYaqBhU8_DElYkX7l4wRkHqqCUFNJY4AfY3kHU/edit?usp=sharing  #gid=0"",""фіз особи new!relations_name""),6,FALSE)
,
(IF
(
G1193=""юридична особа""
,
VLOOKUP"&amp;"(H1193,IMPORTRANGE(""https://docs.google.com/spreadsheets/d/14Bd19lYaqBhU8_DElYkX7l4wRkHqqCUFNJY4AfY3kHU/edit?usp=sharing  #gid=0"",""фіз особи new!relations_name_uo""),7,FALSE)
,
)
))"),"#N/A")</f>
        <v>#N/A</v>
      </c>
      <c r="J1192" s="7" t="s">
        <v>28</v>
      </c>
    </row>
    <row r="1193" spans="1:10" ht="13.2">
      <c r="A1193" s="7">
        <v>1192</v>
      </c>
      <c r="B1193" s="7">
        <v>1</v>
      </c>
      <c r="C1193" s="7" t="s">
        <v>10</v>
      </c>
      <c r="D1193" s="7">
        <v>391</v>
      </c>
      <c r="E1193" s="7" t="s">
        <v>29</v>
      </c>
      <c r="F1193" s="8" t="str">
        <f ca="1">IFERROR(__xludf.DUMMYFUNCTION("IF
(
C1194=""фізична особа""
,
VLOOKUP(D1194,IMPORTRANGE(""https://docs.google.com/spreadsheets/d/14Bd19lYaqBhU8_DElYkX7l4wRkHqqCUFNJY4AfY3kHU/edit?usp=sharing  #gid=0"",""фіз особи new!relations_name""),6,FALSE)
,
(IF
(
C1194=""юридична особа""
,
VLOOKUP"&amp;"(D1194,IMPORTRANGE(""https://docs.google.com/spreadsheets/d/14Bd19lYaqBhU8_DElYkX7l4wRkHqqCUFNJY4AfY3kHU/edit?usp=sharing  #gid=0"",""фіз особи new!relations_name_uo""),7,FALSE)
,
)
))"),"ТОЛСТИКІНА Лариса Валентинівна")</f>
        <v>ТОЛСТИКІНА Лариса Валентинівна</v>
      </c>
      <c r="G1193" s="7" t="s">
        <v>10</v>
      </c>
      <c r="H1193" s="7">
        <v>0</v>
      </c>
      <c r="I1193" s="8" t="str">
        <f ca="1">IFERROR(__xludf.DUMMYFUNCTION("IF
(
G1194=""фізична особа""
,
VLOOKUP(H1194,IMPORTRANGE(""https://docs.google.com/spreadsheets/d/14Bd19lYaqBhU8_DElYkX7l4wRkHqqCUFNJY4AfY3kHU/edit?usp=sharing  #gid=0"",""фіз особи new!relations_name""),6,FALSE)
,
(IF
(
G1194=""юридична особа""
,
VLOOKUP"&amp;"(H1194,IMPORTRANGE(""https://docs.google.com/spreadsheets/d/14Bd19lYaqBhU8_DElYkX7l4wRkHqqCUFNJY4AfY3kHU/edit?usp=sharing  #gid=0"",""фіз особи new!relations_name_uo""),7,FALSE)
,
)
))"),"#N/A")</f>
        <v>#N/A</v>
      </c>
      <c r="J1193" s="7" t="s">
        <v>28</v>
      </c>
    </row>
    <row r="1194" spans="1:10" ht="13.2">
      <c r="A1194" s="7">
        <v>1193</v>
      </c>
      <c r="B1194" s="7">
        <v>1</v>
      </c>
      <c r="C1194" s="7" t="s">
        <v>10</v>
      </c>
      <c r="D1194" s="7">
        <v>393</v>
      </c>
      <c r="E1194" s="7" t="s">
        <v>35</v>
      </c>
      <c r="F1194" s="8" t="str">
        <f ca="1">IFERROR(__xludf.DUMMYFUNCTION("IF
(
C1195=""фізична особа""
,
VLOOKUP(D1195,IMPORTRANGE(""https://docs.google.com/spreadsheets/d/14Bd19lYaqBhU8_DElYkX7l4wRkHqqCUFNJY4AfY3kHU/edit?usp=sharing  #gid=0"",""фіз особи new!relations_name""),6,FALSE)
,
(IF
(
C1195=""юридична особа""
,
VLOOKUP"&amp;"(D1195,IMPORTRANGE(""https://docs.google.com/spreadsheets/d/14Bd19lYaqBhU8_DElYkX7l4wRkHqqCUFNJY4AfY3kHU/edit?usp=sharing  #gid=0"",""фіз особи new!relations_name_uo""),7,FALSE)
,
)
))"),"САФІН Ленар Рінатович")</f>
        <v>САФІН Ленар Рінатович</v>
      </c>
      <c r="G1194" s="7" t="s">
        <v>10</v>
      </c>
      <c r="H1194" s="7">
        <v>2513</v>
      </c>
      <c r="I1194" s="8" t="str">
        <f ca="1">IFERROR(__xludf.DUMMYFUNCTION("IF
(
G1195=""фізична особа""
,
VLOOKUP(H1195,IMPORTRANGE(""https://docs.google.com/spreadsheets/d/14Bd19lYaqBhU8_DElYkX7l4wRkHqqCUFNJY4AfY3kHU/edit?usp=sharing  #gid=0"",""фіз особи new!relations_name""),6,FALSE)
,
(IF
(
G1195=""юридична особа""
,
VLOOKUP"&amp;"(H1195,IMPORTRANGE(""https://docs.google.com/spreadsheets/d/14Bd19lYaqBhU8_DElYkX7l4wRkHqqCUFNJY4AfY3kHU/edit?usp=sharing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194" s="7" t="s">
        <v>35</v>
      </c>
    </row>
    <row r="1195" spans="1:10" ht="13.2">
      <c r="A1195" s="7">
        <v>1194</v>
      </c>
      <c r="B1195" s="7">
        <v>1</v>
      </c>
      <c r="C1195" s="7" t="s">
        <v>10</v>
      </c>
      <c r="D1195" s="7">
        <v>393</v>
      </c>
      <c r="E1195" s="7" t="s">
        <v>35</v>
      </c>
      <c r="F1195" s="8" t="str">
        <f ca="1">IFERROR(__xludf.DUMMYFUNCTION("IF
(
C1196=""фізична особа""
,
VLOOKUP(D1196,IMPORTRANGE(""https://docs.google.com/spreadsheets/d/14Bd19lYaqBhU8_DElYkX7l4wRkHqqCUFNJY4AfY3kHU/edit?usp=sharing  #gid=0"",""фіз особи new!relations_name""),6,FALSE)
,
(IF
(
C1196=""юридична особа""
,
VLOOKUP"&amp;"(D1196,IMPORTRANGE(""https://docs.google.com/spreadsheets/d/14Bd19lYaqBhU8_DElYkX7l4wRkHqqCUFNJY4AfY3kHU/edit?usp=sharing  #gid=0"",""фіз особи new!relations_name_uo""),7,FALSE)
,
)
))"),"САФІН Ленар Рінатович")</f>
        <v>САФІН Ленар Рінатович</v>
      </c>
      <c r="G1195" s="7" t="s">
        <v>10</v>
      </c>
      <c r="H1195" s="7">
        <v>269</v>
      </c>
      <c r="I1195" s="8" t="str">
        <f ca="1">IFERROR(__xludf.DUMMYFUNCTION("IF
(
G1196=""фізична особа""
,
VLOOKUP(H1196,IMPORTRANGE(""https://docs.google.com/spreadsheets/d/14Bd19lYaqBhU8_DElYkX7l4wRkHqqCUFNJY4AfY3kHU/edit?usp=sharing  #gid=0"",""фіз особи new!relations_name""),6,FALSE)
,
(IF
(
G1196=""юридична особа""
,
VLOOKUP"&amp;"(H1196,IMPORTRANGE(""https://docs.google.com/spreadsheets/d/14Bd19lYaqBhU8_DElYkX7l4wRkHqqCUFNJY4AfY3kHU/edit?usp=sharing  #gid=0"",""фіз особи new!relations_name_uo""),7,FALSE)
,
)
))"),"ЄМЕЛЬЯНОВ Геннадій Єгорович")</f>
        <v>ЄМЕЛЬЯНОВ Геннадій Єгорович</v>
      </c>
      <c r="J1195" s="7" t="s">
        <v>35</v>
      </c>
    </row>
    <row r="1196" spans="1:10" ht="13.2">
      <c r="A1196" s="7">
        <v>1195</v>
      </c>
      <c r="B1196" s="7">
        <v>1</v>
      </c>
      <c r="C1196" s="7" t="s">
        <v>10</v>
      </c>
      <c r="D1196" s="7">
        <v>394</v>
      </c>
      <c r="E1196" s="7" t="s">
        <v>48</v>
      </c>
      <c r="F1196" s="8" t="str">
        <f ca="1">IFERROR(__xludf.DUMMYFUNCTION("IF
(
C1197=""фізична особа""
,
VLOOKUP(D1197,IMPORTRANGE(""https://docs.google.com/spreadsheets/d/14Bd19lYaqBhU8_DElYkX7l4wRkHqqCUFNJY4AfY3kHU/edit?usp=sharing  #gid=0"",""фіз особи new!relations_name""),6,FALSE)
,
(IF
(
C1197=""юридична особа""
,
VLOOKUP"&amp;"(D1197,IMPORTRANGE(""https://docs.google.com/spreadsheets/d/14Bd19lYaqBhU8_DElYkX7l4wRkHqqCUFNJY4AfY3kHU/edit?usp=sharing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196" s="7" t="s">
        <v>10</v>
      </c>
      <c r="H1196" s="7">
        <v>185</v>
      </c>
      <c r="I1196" s="8" t="str">
        <f ca="1">IFERROR(__xludf.DUMMYFUNCTION("IF
(
G1197=""фізична особа""
,
VLOOKUP(H1197,IMPORTRANGE(""https://docs.google.com/spreadsheets/d/14Bd19lYaqBhU8_DElYkX7l4wRkHqqCUFNJY4AfY3kHU/edit?usp=sharing  #gid=0"",""фіз особи new!relations_name""),6,FALSE)
,
(IF
(
G1197=""юридична особа""
,
VLOOKUP"&amp;"(H1197,IMPORTRANGE(""https://docs.google.com/spreadsheets/d/14Bd19lYaqBhU8_DElYkX7l4wRkHqqCUFNJY4AfY3kHU/edit?usp=sharing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196" s="7" t="s">
        <v>48</v>
      </c>
    </row>
    <row r="1197" spans="1:10" ht="13.2">
      <c r="A1197" s="7">
        <v>1196</v>
      </c>
      <c r="B1197" s="7">
        <v>1</v>
      </c>
      <c r="C1197" s="7" t="s">
        <v>10</v>
      </c>
      <c r="D1197" s="7">
        <v>394</v>
      </c>
      <c r="E1197" s="7" t="s">
        <v>48</v>
      </c>
      <c r="F1197" s="8" t="str">
        <f ca="1">IFERROR(__xludf.DUMMYFUNCTION("IF
(
C1198=""фізична особа""
,
VLOOKUP(D1198,IMPORTRANGE(""https://docs.google.com/spreadsheets/d/14Bd19lYaqBhU8_DElYkX7l4wRkHqqCUFNJY4AfY3kHU/edit?usp=sharing  #gid=0"",""фіз особи new!relations_name""),6,FALSE)
,
(IF
(
C1198=""юридична особа""
,
VLOOKUP"&amp;"(D1198,IMPORTRANGE(""https://docs.google.com/spreadsheets/d/14Bd19lYaqBhU8_DElYkX7l4wRkHqqCUFNJY4AfY3kHU/edit?usp=sharing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197" s="7" t="s">
        <v>10</v>
      </c>
      <c r="H1197" s="7">
        <v>183</v>
      </c>
      <c r="I1197" s="8" t="str">
        <f ca="1">IFERROR(__xludf.DUMMYFUNCTION("IF
(
G1198=""фізична особа""
,
VLOOKUP(H1198,IMPORTRANGE(""https://docs.google.com/spreadsheets/d/14Bd19lYaqBhU8_DElYkX7l4wRkHqqCUFNJY4AfY3kHU/edit?usp=sharing  #gid=0"",""фіз особи new!relations_name""),6,FALSE)
,
(IF
(
G1198=""юридична особа""
,
VLOOKUP"&amp;"(H1198,IMPORTRANGE(""https://docs.google.com/spreadsheets/d/14Bd19lYaqBhU8_DElYkX7l4wRkHqqCUFNJY4AfY3kHU/edit?usp=sharing  #gid=0"",""фіз особи new!relations_name_uo""),7,FALSE)
,
)
))"),"ХУБЕЗОВ Дмитро Анатолійович")</f>
        <v>ХУБЕЗОВ Дмитро Анатолійович</v>
      </c>
      <c r="J1197" s="7" t="s">
        <v>48</v>
      </c>
    </row>
    <row r="1198" spans="1:10" ht="13.2">
      <c r="A1198" s="7">
        <v>1197</v>
      </c>
      <c r="B1198" s="7">
        <v>1</v>
      </c>
      <c r="C1198" s="7" t="s">
        <v>10</v>
      </c>
      <c r="D1198" s="7">
        <v>394</v>
      </c>
      <c r="E1198" s="7" t="s">
        <v>48</v>
      </c>
      <c r="F1198" s="8" t="str">
        <f ca="1">IFERROR(__xludf.DUMMYFUNCTION("IF
(
C1199=""фізична особа""
,
VLOOKUP(D1199,IMPORTRANGE(""https://docs.google.com/spreadsheets/d/14Bd19lYaqBhU8_DElYkX7l4wRkHqqCUFNJY4AfY3kHU/edit?usp=sharing  #gid=0"",""фіз особи new!relations_name""),6,FALSE)
,
(IF
(
C1199=""юридична особа""
,
VLOOKUP"&amp;"(D1199,IMPORTRANGE(""https://docs.google.com/spreadsheets/d/14Bd19lYaqBhU8_DElYkX7l4wRkHqqCUFNJY4AfY3kHU/edit?usp=sharing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198" s="7" t="s">
        <v>10</v>
      </c>
      <c r="H1198" s="7">
        <v>254</v>
      </c>
      <c r="I1198" s="8" t="str">
        <f ca="1">IFERROR(__xludf.DUMMYFUNCTION("IF
(
G1199=""фізична особа""
,
VLOOKUP(H1199,IMPORTRANGE(""https://docs.google.com/spreadsheets/d/14Bd19lYaqBhU8_DElYkX7l4wRkHqqCUFNJY4AfY3kHU/edit?usp=sharing  #gid=0"",""фіз особи new!relations_name""),6,FALSE)
,
(IF
(
G1199=""юридична особа""
,
VLOOKUP"&amp;"(H1199,IMPORTRANGE(""https://docs.google.com/spreadsheets/d/14Bd19lYaqBhU8_DElYkX7l4wRkHqqCUFNJY4AfY3kHU/edit?usp=sharing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J1198" s="7" t="s">
        <v>48</v>
      </c>
    </row>
    <row r="1199" spans="1:10" ht="13.2">
      <c r="A1199" s="7">
        <v>1198</v>
      </c>
      <c r="B1199" s="7">
        <v>1</v>
      </c>
      <c r="C1199" s="7" t="s">
        <v>10</v>
      </c>
      <c r="D1199" s="7">
        <v>394</v>
      </c>
      <c r="E1199" s="7" t="s">
        <v>48</v>
      </c>
      <c r="F1199" s="8" t="str">
        <f ca="1">IFERROR(__xludf.DUMMYFUNCTION("IF
(
C1200=""фізична особа""
,
VLOOKUP(D1200,IMPORTRANGE(""https://docs.google.com/spreadsheets/d/14Bd19lYaqBhU8_DElYkX7l4wRkHqqCUFNJY4AfY3kHU/edit?usp=sharing  #gid=0"",""фіз особи new!relations_name""),6,FALSE)
,
(IF
(
C1200=""юридична особа""
,
VLOOKUP"&amp;"(D1200,IMPORTRANGE(""https://docs.google.com/spreadsheets/d/14Bd19lYaqBhU8_DElYkX7l4wRkHqqCUFNJY4AfY3kHU/edit?usp=sharing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199" s="7" t="s">
        <v>10</v>
      </c>
      <c r="H1199" s="7">
        <v>696</v>
      </c>
      <c r="I1199" s="8" t="str">
        <f ca="1">IFERROR(__xludf.DUMMYFUNCTION("IF
(
G1200=""фізична особа""
,
VLOOKUP(H1200,IMPORTRANGE(""https://docs.google.com/spreadsheets/d/14Bd19lYaqBhU8_DElYkX7l4wRkHqqCUFNJY4AfY3kHU/edit?usp=sharing  #gid=0"",""фіз особи new!relations_name""),6,FALSE)
,
(IF
(
G1200=""юридична особа""
,
VLOOKUP"&amp;"(H1200,IMPORTRANGE(""https://docs.google.com/spreadsheets/d/14Bd19lYaqBhU8_DElYkX7l4wRkHqqCUFNJY4AfY3kHU/edit?usp=sharing  #gid=0"",""фіз особи new!relations_name_uo""),7,FALSE)
,
)
))"),"ЛЕОНОВ Сергій Дмитрович")</f>
        <v>ЛЕОНОВ Сергій Дмитрович</v>
      </c>
      <c r="J1199" s="7" t="s">
        <v>48</v>
      </c>
    </row>
    <row r="1200" spans="1:10" ht="13.2">
      <c r="A1200" s="7">
        <v>1199</v>
      </c>
      <c r="B1200" s="7">
        <v>1</v>
      </c>
      <c r="C1200" s="7" t="s">
        <v>10</v>
      </c>
      <c r="D1200" s="7">
        <v>394</v>
      </c>
      <c r="E1200" s="7" t="s">
        <v>48</v>
      </c>
      <c r="F1200" s="8" t="str">
        <f ca="1">IFERROR(__xludf.DUMMYFUNCTION("IF
(
C1201=""фізична особа""
,
VLOOKUP(D1201,IMPORTRANGE(""https://docs.google.com/spreadsheets/d/14Bd19lYaqBhU8_DElYkX7l4wRkHqqCUFNJY4AfY3kHU/edit?usp=sharing  #gid=0"",""фіз особи new!relations_name""),6,FALSE)
,
(IF
(
C1201=""юридична особа""
,
VLOOKUP"&amp;"(D1201,IMPORTRANGE(""https://docs.google.com/spreadsheets/d/14Bd19lYaqBhU8_DElYkX7l4wRkHqqCUFNJY4AfY3kHU/edit?usp=sharing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0" s="7" t="s">
        <v>10</v>
      </c>
      <c r="H1200" s="7">
        <v>14</v>
      </c>
      <c r="I1200" s="8" t="str">
        <f ca="1">IFERROR(__xludf.DUMMYFUNCTION("IF
(
G1201=""фізична особа""
,
VLOOKUP(H1201,IMPORTRANGE(""https://docs.google.com/spreadsheets/d/14Bd19lYaqBhU8_DElYkX7l4wRkHqqCUFNJY4AfY3kHU/edit?usp=sharing  #gid=0"",""фіз особи new!relations_name""),6,FALSE)
,
(IF
(
G1201=""юридична особа""
,
VLOOKUP"&amp;"(H1201,IMPORTRANGE(""https://docs.google.com/spreadsheets/d/14Bd19lYaqBhU8_DElYkX7l4wRkHqqCUFNJY4AfY3kHU/edit?usp=sharing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J1200" s="7" t="s">
        <v>48</v>
      </c>
    </row>
    <row r="1201" spans="1:10" ht="13.2">
      <c r="A1201" s="7">
        <v>1200</v>
      </c>
      <c r="B1201" s="7">
        <v>1</v>
      </c>
      <c r="C1201" s="7" t="s">
        <v>10</v>
      </c>
      <c r="D1201" s="7">
        <v>394</v>
      </c>
      <c r="E1201" s="7" t="s">
        <v>48</v>
      </c>
      <c r="F1201" s="8" t="str">
        <f ca="1">IFERROR(__xludf.DUMMYFUNCTION("IF
(
C1202=""фізична особа""
,
VLOOKUP(D1202,IMPORTRANGE(""https://docs.google.com/spreadsheets/d/14Bd19lYaqBhU8_DElYkX7l4wRkHqqCUFNJY4AfY3kHU/edit?usp=sharing  #gid=0"",""фіз особи new!relations_name""),6,FALSE)
,
(IF
(
C1202=""юридична особа""
,
VLOOKUP"&amp;"(D1202,IMPORTRANGE(""https://docs.google.com/spreadsheets/d/14Bd19lYaqBhU8_DElYkX7l4wRkHqqCUFNJY4AfY3kHU/edit?usp=sharing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1" s="7" t="s">
        <v>10</v>
      </c>
      <c r="H1201" s="7">
        <v>128</v>
      </c>
      <c r="I1201" s="8" t="str">
        <f ca="1">IFERROR(__xludf.DUMMYFUNCTION("IF
(
G1202=""фізична особа""
,
VLOOKUP(H1202,IMPORTRANGE(""https://docs.google.com/spreadsheets/d/14Bd19lYaqBhU8_DElYkX7l4wRkHqqCUFNJY4AfY3kHU/edit?usp=sharing  #gid=0"",""фіз особи new!relations_name""),6,FALSE)
,
(IF
(
G1202=""юридична особа""
,
VLOOKUP"&amp;"(H1202,IMPORTRANGE(""https://docs.google.com/spreadsheets/d/14Bd19lYaqBhU8_DElYkX7l4wRkHqqCUFNJY4AfY3kHU/edit?usp=sharing  #gid=0"",""фіз особи new!relations_name_uo""),7,FALSE)
,
)
))"),"БАШАНКАЄВ Бадма Миколайович")</f>
        <v>БАШАНКАЄВ Бадма Миколайович</v>
      </c>
      <c r="J1201" s="7" t="s">
        <v>48</v>
      </c>
    </row>
    <row r="1202" spans="1:10" ht="13.2">
      <c r="A1202" s="7">
        <v>1201</v>
      </c>
      <c r="B1202" s="7">
        <v>1</v>
      </c>
      <c r="C1202" s="7" t="s">
        <v>10</v>
      </c>
      <c r="D1202" s="7">
        <v>394</v>
      </c>
      <c r="E1202" s="7" t="s">
        <v>48</v>
      </c>
      <c r="F1202" s="8" t="str">
        <f ca="1">IFERROR(__xludf.DUMMYFUNCTION("IF
(
C1203=""фізична особа""
,
VLOOKUP(D1203,IMPORTRANGE(""https://docs.google.com/spreadsheets/d/14Bd19lYaqBhU8_DElYkX7l4wRkHqqCUFNJY4AfY3kHU/edit?usp=sharing  #gid=0"",""фіз особи new!relations_name""),6,FALSE)
,
(IF
(
C1203=""юридична особа""
,
VLOOKUP"&amp;"(D1203,IMPORTRANGE(""https://docs.google.com/spreadsheets/d/14Bd19lYaqBhU8_DElYkX7l4wRkHqqCUFNJY4AfY3kHU/edit?usp=sharing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2" s="7" t="s">
        <v>10</v>
      </c>
      <c r="H1202" s="7">
        <v>4050</v>
      </c>
      <c r="I1202" s="8" t="str">
        <f ca="1">IFERROR(__xludf.DUMMYFUNCTION("IF
(
G1203=""фізична особа""
,
VLOOKUP(H1203,IMPORTRANGE(""https://docs.google.com/spreadsheets/d/14Bd19lYaqBhU8_DElYkX7l4wRkHqqCUFNJY4AfY3kHU/edit?usp=sharing  #gid=0"",""фіз особи new!relations_name""),6,FALSE)
,
(IF
(
G1203=""юридична особа""
,
VLOOKUP"&amp;"(H1203,IMPORTRANGE(""https://docs.google.com/spreadsheets/d/14Bd19lYaqBhU8_DElYkX7l4wRkHqqCUFNJY4AfY3kHU/edit?usp=sharing  #gid=0"",""фіз особи new!relations_name_uo""),7,FALSE)
,
)
))"),"СОЛОМАТІНА Тетяна Василівна")</f>
        <v>СОЛОМАТІНА Тетяна Василівна</v>
      </c>
      <c r="J1202" s="7" t="s">
        <v>48</v>
      </c>
    </row>
    <row r="1203" spans="1:10" ht="13.2">
      <c r="A1203" s="7">
        <v>1202</v>
      </c>
      <c r="B1203" s="7">
        <v>1</v>
      </c>
      <c r="C1203" s="7" t="s">
        <v>10</v>
      </c>
      <c r="D1203" s="7">
        <v>394</v>
      </c>
      <c r="E1203" s="7" t="s">
        <v>11</v>
      </c>
      <c r="F1203" s="8" t="str">
        <f ca="1">IFERROR(__xludf.DUMMYFUNCTION("IF
(
C1204=""фізична особа""
,
VLOOKUP(D1204,IMPORTRANGE(""https://docs.google.com/spreadsheets/d/14Bd19lYaqBhU8_DElYkX7l4wRkHqqCUFNJY4AfY3kHU/edit?usp=sharing  #gid=0"",""фіз особи new!relations_name""),6,FALSE)
,
(IF
(
C1204=""юридична особа""
,
VLOOKUP"&amp;"(D1204,IMPORTRANGE(""https://docs.google.com/spreadsheets/d/14Bd19lYaqBhU8_DElYkX7l4wRkHqqCUFNJY4AfY3kHU/edit?usp=sharing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3" s="7" t="s">
        <v>10</v>
      </c>
      <c r="H1203" s="7">
        <v>0</v>
      </c>
      <c r="I1203" s="8" t="str">
        <f ca="1">IFERROR(__xludf.DUMMYFUNCTION("IF
(
G1204=""фізична особа""
,
VLOOKUP(H1204,IMPORTRANGE(""https://docs.google.com/spreadsheets/d/14Bd19lYaqBhU8_DElYkX7l4wRkHqqCUFNJY4AfY3kHU/edit?usp=sharing  #gid=0"",""фіз особи new!relations_name""),6,FALSE)
,
(IF
(
G1204=""юридична особа""
,
VLOOKUP"&amp;"(H1204,IMPORTRANGE(""https://docs.google.com/spreadsheets/d/14Bd19lYaqBhU8_DElYkX7l4wRkHqqCUFNJY4AfY3kHU/edit?usp=sharing  #gid=0"",""фіз особи new!relations_name_uo""),7,FALSE)
,
)
))"),"#N/A")</f>
        <v>#N/A</v>
      </c>
      <c r="J1203" s="7" t="s">
        <v>11</v>
      </c>
    </row>
    <row r="1204" spans="1:10" ht="13.2">
      <c r="A1204" s="7">
        <v>1203</v>
      </c>
      <c r="B1204" s="7">
        <v>1</v>
      </c>
      <c r="C1204" s="7" t="s">
        <v>10</v>
      </c>
      <c r="D1204" s="7">
        <v>394</v>
      </c>
      <c r="E1204" s="7" t="s">
        <v>11</v>
      </c>
      <c r="F1204" s="8" t="str">
        <f ca="1">IFERROR(__xludf.DUMMYFUNCTION("IF
(
C1205=""фізична особа""
,
VLOOKUP(D1205,IMPORTRANGE(""https://docs.google.com/spreadsheets/d/14Bd19lYaqBhU8_DElYkX7l4wRkHqqCUFNJY4AfY3kHU/edit?usp=sharing  #gid=0"",""фіз особи new!relations_name""),6,FALSE)
,
(IF
(
C1205=""юридична особа""
,
VLOOKUP"&amp;"(D1205,IMPORTRANGE(""https://docs.google.com/spreadsheets/d/14Bd19lYaqBhU8_DElYkX7l4wRkHqqCUFNJY4AfY3kHU/edit?usp=sharing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4" s="7" t="s">
        <v>10</v>
      </c>
      <c r="H1204" s="7">
        <v>0</v>
      </c>
      <c r="I1204" s="8" t="str">
        <f ca="1">IFERROR(__xludf.DUMMYFUNCTION("IF
(
G1205=""фізична особа""
,
VLOOKUP(H1205,IMPORTRANGE(""https://docs.google.com/spreadsheets/d/14Bd19lYaqBhU8_DElYkX7l4wRkHqqCUFNJY4AfY3kHU/edit?usp=sharing  #gid=0"",""фіз особи new!relations_name""),6,FALSE)
,
(IF
(
G1205=""юридична особа""
,
VLOOKUP"&amp;"(H1205,IMPORTRANGE(""https://docs.google.com/spreadsheets/d/14Bd19lYaqBhU8_DElYkX7l4wRkHqqCUFNJY4AfY3kHU/edit?usp=sharing  #gid=0"",""фіз особи new!relations_name_uo""),7,FALSE)
,
)
))"),"#N/A")</f>
        <v>#N/A</v>
      </c>
      <c r="J1204" s="7" t="s">
        <v>11</v>
      </c>
    </row>
    <row r="1205" spans="1:10" ht="13.2">
      <c r="A1205" s="7">
        <v>1204</v>
      </c>
      <c r="B1205" s="7">
        <v>1</v>
      </c>
      <c r="C1205" s="7" t="s">
        <v>10</v>
      </c>
      <c r="D1205" s="7">
        <v>394</v>
      </c>
      <c r="E1205" s="7" t="s">
        <v>11</v>
      </c>
      <c r="F1205" s="8" t="str">
        <f ca="1">IFERROR(__xludf.DUMMYFUNCTION("IF
(
C1206=""фізична особа""
,
VLOOKUP(D1206,IMPORTRANGE(""https://docs.google.com/spreadsheets/d/14Bd19lYaqBhU8_DElYkX7l4wRkHqqCUFNJY4AfY3kHU/edit?usp=sharing  #gid=0"",""фіз особи new!relations_name""),6,FALSE)
,
(IF
(
C1206=""юридична особа""
,
VLOOKUP"&amp;"(D1206,IMPORTRANGE(""https://docs.google.com/spreadsheets/d/14Bd19lYaqBhU8_DElYkX7l4wRkHqqCUFNJY4AfY3kHU/edit?usp=sharing  #gid=0"",""фіз особи new!relations_name_uo""),7,FALSE)
,
)
))"),"ОГУЛЬ Леонід Анатолійович")</f>
        <v>ОГУЛЬ Леонід Анатолійович</v>
      </c>
      <c r="G1205" s="7" t="s">
        <v>10</v>
      </c>
      <c r="H1205" s="7">
        <v>0</v>
      </c>
      <c r="I1205" s="8" t="str">
        <f ca="1">IFERROR(__xludf.DUMMYFUNCTION("IF
(
G1206=""фізична особа""
,
VLOOKUP(H1206,IMPORTRANGE(""https://docs.google.com/spreadsheets/d/14Bd19lYaqBhU8_DElYkX7l4wRkHqqCUFNJY4AfY3kHU/edit?usp=sharing  #gid=0"",""фіз особи new!relations_name""),6,FALSE)
,
(IF
(
G1206=""юридична особа""
,
VLOOKUP"&amp;"(H1206,IMPORTRANGE(""https://docs.google.com/spreadsheets/d/14Bd19lYaqBhU8_DElYkX7l4wRkHqqCUFNJY4AfY3kHU/edit?usp=sharing  #gid=0"",""фіз особи new!relations_name_uo""),7,FALSE)
,
)
))"),"#N/A")</f>
        <v>#N/A</v>
      </c>
      <c r="J1205" s="7" t="s">
        <v>11</v>
      </c>
    </row>
    <row r="1206" spans="1:10" ht="13.2">
      <c r="A1206" s="7">
        <v>1205</v>
      </c>
      <c r="B1206" s="7">
        <v>1</v>
      </c>
      <c r="C1206" s="7" t="s">
        <v>10</v>
      </c>
      <c r="D1206" s="7">
        <v>395</v>
      </c>
      <c r="E1206" s="7" t="s">
        <v>12</v>
      </c>
      <c r="F1206" s="8" t="str">
        <f ca="1">IFERROR(__xludf.DUMMYFUNCTION("IF
(
C1207=""фізична особа""
,
VLOOKUP(D1207,IMPORTRANGE(""https://docs.google.com/spreadsheets/d/14Bd19lYaqBhU8_DElYkX7l4wRkHqqCUFNJY4AfY3kHU/edit?usp=sharing  #gid=0"",""фіз особи new!relations_name""),6,FALSE)
,
(IF
(
C1207=""юридична особа""
,
VLOOKUP"&amp;"(D1207,IMPORTRANGE(""https://docs.google.com/spreadsheets/d/14Bd19lYaqBhU8_DElYkX7l4wRkHqqCUFNJY4AfY3kHU/edit?usp=sharing  #gid=0"",""фіз особи new!relations_name_uo""),7,FALSE)
,
)
))"),"ІВЛЄВ Леонід Григорович")</f>
        <v>ІВЛЄВ Леонід Григорович</v>
      </c>
      <c r="G1206" s="7" t="s">
        <v>10</v>
      </c>
      <c r="H1206" s="7">
        <v>5153</v>
      </c>
      <c r="I1206" s="8" t="str">
        <f ca="1">IFERROR(__xludf.DUMMYFUNCTION("IF
(
G1207=""фізична особа""
,
VLOOKUP(H1207,IMPORTRANGE(""https://docs.google.com/spreadsheets/d/14Bd19lYaqBhU8_DElYkX7l4wRkHqqCUFNJY4AfY3kHU/edit?usp=sharing  #gid=0"",""фіз особи new!relations_name""),6,FALSE)
,
(IF
(
G1207=""юридична особа""
,
VLOOKUP"&amp;"(H1207,IMPORTRANGE(""https://docs.google.com/spreadsheets/d/14Bd19lYaqBhU8_DElYkX7l4wRkHqqCUFNJY4AfY3kHU/edit?usp=sharing  #gid=0"",""фіз особи new!relations_name_uo""),7,FALSE)
,
)
))"),"ІВЛЕВ Юрій Леонідович")</f>
        <v>ІВЛЕВ Юрій Леонідович</v>
      </c>
      <c r="J1206" s="7" t="s">
        <v>17</v>
      </c>
    </row>
    <row r="1207" spans="1:10" ht="13.2">
      <c r="A1207" s="7">
        <v>1206</v>
      </c>
      <c r="B1207" s="7">
        <v>1</v>
      </c>
      <c r="C1207" s="7" t="s">
        <v>10</v>
      </c>
      <c r="D1207" s="7">
        <v>395</v>
      </c>
      <c r="E1207" s="7" t="s">
        <v>48</v>
      </c>
      <c r="F1207" s="8" t="str">
        <f ca="1">IFERROR(__xludf.DUMMYFUNCTION("IF
(
C1208=""фізична особа""
,
VLOOKUP(D1208,IMPORTRANGE(""https://docs.google.com/spreadsheets/d/14Bd19lYaqBhU8_DElYkX7l4wRkHqqCUFNJY4AfY3kHU/edit?usp=sharing  #gid=0"",""фіз особи new!relations_name""),6,FALSE)
,
(IF
(
C1208=""юридична особа""
,
VLOOKUP"&amp;"(D1208,IMPORTRANGE(""https://docs.google.com/spreadsheets/d/14Bd19lYaqBhU8_DElYkX7l4wRkHqqCUFNJY4AfY3kHU/edit?usp=sharing  #gid=0"",""фіз особи new!relations_name_uo""),7,FALSE)
,
)
))"),"ІВЛЄВ Леонід Григорович")</f>
        <v>ІВЛЄВ Леонід Григорович</v>
      </c>
      <c r="G1207" s="7" t="s">
        <v>10</v>
      </c>
      <c r="H1207" s="7">
        <v>558</v>
      </c>
      <c r="I1207" s="8" t="str">
        <f ca="1">IFERROR(__xludf.DUMMYFUNCTION("IF
(
G1208=""фізична особа""
,
VLOOKUP(H1208,IMPORTRANGE(""https://docs.google.com/spreadsheets/d/14Bd19lYaqBhU8_DElYkX7l4wRkHqqCUFNJY4AfY3kHU/edit?usp=sharing  #gid=0"",""фіз особи new!relations_name""),6,FALSE)
,
(IF
(
G1208=""юридична особа""
,
VLOOKUP"&amp;"(H1208,IMPORTRANGE(""https://docs.google.com/spreadsheets/d/14Bd19lYaqBhU8_DElYkX7l4wRkHqqCUFNJY4AfY3kHU/edit?usp=sharing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J1207" s="7" t="s">
        <v>48</v>
      </c>
    </row>
    <row r="1208" spans="1:10" ht="13.2">
      <c r="A1208" s="7">
        <v>1207</v>
      </c>
      <c r="B1208" s="7">
        <v>1</v>
      </c>
      <c r="C1208" s="7" t="s">
        <v>10</v>
      </c>
      <c r="D1208" s="7">
        <v>396</v>
      </c>
      <c r="E1208" s="7" t="s">
        <v>12</v>
      </c>
      <c r="F1208" s="8" t="str">
        <f ca="1">IFERROR(__xludf.DUMMYFUNCTION("IF
(
C1209=""фізична особа""
,
VLOOKUP(D1209,IMPORTRANGE(""https://docs.google.com/spreadsheets/d/14Bd19lYaqBhU8_DElYkX7l4wRkHqqCUFNJY4AfY3kHU/edit?usp=sharing  #gid=0"",""фіз особи new!relations_name""),6,FALSE)
,
(IF
(
C1209=""юридична особа""
,
VLOOKUP"&amp;"(D1209,IMPORTRANGE(""https://docs.google.com/spreadsheets/d/14Bd19lYaqBhU8_DElYkX7l4wRkHqqCUFNJY4AfY3kHU/edit?usp=sharing  #gid=0"",""фіз особи new!relations_name_uo""),7,FALSE)
,
)
))"),"БАБАШОВ Леонід Іванович")</f>
        <v>БАБАШОВ Леонід Іванович</v>
      </c>
      <c r="G1208" s="7" t="s">
        <v>10</v>
      </c>
      <c r="H1208" s="7">
        <v>5154</v>
      </c>
      <c r="I1208" s="8" t="str">
        <f ca="1">IFERROR(__xludf.DUMMYFUNCTION("IF
(
G1209=""фізична особа""
,
VLOOKUP(H1209,IMPORTRANGE(""https://docs.google.com/spreadsheets/d/14Bd19lYaqBhU8_DElYkX7l4wRkHqqCUFNJY4AfY3kHU/edit?usp=sharing  #gid=0"",""фіз особи new!relations_name""),6,FALSE)
,
(IF
(
G1209=""юридична особа""
,
VLOOKUP"&amp;"(H1209,IMPORTRANGE(""https://docs.google.com/spreadsheets/d/14Bd19lYaqBhU8_DElYkX7l4wRkHqqCUFNJY4AfY3kHU/edit?usp=sharing  #gid=0"",""фіз особи new!relations_name_uo""),7,FALSE)
,
)
))"),"БАБАШОВ Артур Леонідович")</f>
        <v>БАБАШОВ Артур Леонідович</v>
      </c>
      <c r="J1208" s="7" t="s">
        <v>17</v>
      </c>
    </row>
    <row r="1209" spans="1:10" ht="13.2">
      <c r="A1209" s="7">
        <v>1208</v>
      </c>
      <c r="B1209" s="7">
        <v>1</v>
      </c>
      <c r="C1209" s="7" t="s">
        <v>10</v>
      </c>
      <c r="D1209" s="7">
        <v>396</v>
      </c>
      <c r="E1209" s="7" t="s">
        <v>12</v>
      </c>
      <c r="F1209" s="8" t="str">
        <f ca="1">IFERROR(__xludf.DUMMYFUNCTION("IF
(
C1210=""фізична особа""
,
VLOOKUP(D1210,IMPORTRANGE(""https://docs.google.com/spreadsheets/d/14Bd19lYaqBhU8_DElYkX7l4wRkHqqCUFNJY4AfY3kHU/edit?usp=sharing  #gid=0"",""фіз особи new!relations_name""),6,FALSE)
,
(IF
(
C1210=""юридична особа""
,
VLOOKUP"&amp;"(D1210,IMPORTRANGE(""https://docs.google.com/spreadsheets/d/14Bd19lYaqBhU8_DElYkX7l4wRkHqqCUFNJY4AfY3kHU/edit?usp=sharing  #gid=0"",""фіз особи new!relations_name_uo""),7,FALSE)
,
)
))"),"БАБАШОВ Леонід Іванович")</f>
        <v>БАБАШОВ Леонід Іванович</v>
      </c>
      <c r="G1209" s="7" t="s">
        <v>10</v>
      </c>
      <c r="H1209" s="7">
        <v>5155</v>
      </c>
      <c r="I1209" s="8" t="str">
        <f ca="1">IFERROR(__xludf.DUMMYFUNCTION("IF
(
G1210=""фізична особа""
,
VLOOKUP(H1210,IMPORTRANGE(""https://docs.google.com/spreadsheets/d/14Bd19lYaqBhU8_DElYkX7l4wRkHqqCUFNJY4AfY3kHU/edit?usp=sharing  #gid=0"",""фіз особи new!relations_name""),6,FALSE)
,
(IF
(
G1210=""юридична особа""
,
VLOOKUP"&amp;"(H1210,IMPORTRANGE(""https://docs.google.com/spreadsheets/d/14Bd19lYaqBhU8_DElYkX7l4wRkHqqCUFNJY4AfY3kHU/edit?usp=sharing  #gid=0"",""фіз особи new!relations_name_uo""),7,FALSE)
,
)
))"),"БАБАШОВА Алла Леонідівна")</f>
        <v>БАБАШОВА Алла Леонідівна</v>
      </c>
      <c r="J1209" s="7" t="s">
        <v>13</v>
      </c>
    </row>
    <row r="1210" spans="1:10" ht="13.2">
      <c r="A1210" s="7">
        <v>1209</v>
      </c>
      <c r="B1210" s="7">
        <v>1</v>
      </c>
      <c r="C1210" s="7" t="s">
        <v>10</v>
      </c>
      <c r="D1210" s="7">
        <v>396</v>
      </c>
      <c r="E1210" s="7" t="s">
        <v>48</v>
      </c>
      <c r="F1210" s="8" t="str">
        <f ca="1">IFERROR(__xludf.DUMMYFUNCTION("IF
(
C1211=""фізична особа""
,
VLOOKUP(D1211,IMPORTRANGE(""https://docs.google.com/spreadsheets/d/14Bd19lYaqBhU8_DElYkX7l4wRkHqqCUFNJY4AfY3kHU/edit?usp=sharing  #gid=0"",""фіз особи new!relations_name""),6,FALSE)
,
(IF
(
C1211=""юридична особа""
,
VLOOKUP"&amp;"(D1211,IMPORTRANGE(""https://docs.google.com/spreadsheets/d/14Bd19lYaqBhU8_DElYkX7l4wRkHqqCUFNJY4AfY3kHU/edit?usp=sharing  #gid=0"",""фіз особи new!relations_name_uo""),7,FALSE)
,
)
))"),"БАБАШОВ Леонід Іванович")</f>
        <v>БАБАШОВ Леонід Іванович</v>
      </c>
      <c r="G1210" s="7" t="s">
        <v>10</v>
      </c>
      <c r="H1210" s="7">
        <v>380</v>
      </c>
      <c r="I1210" s="8" t="str">
        <f ca="1">IFERROR(__xludf.DUMMYFUNCTION("IF
(
G1211=""фізична особа""
,
VLOOKUP(H1211,IMPORTRANGE(""https://docs.google.com/spreadsheets/d/14Bd19lYaqBhU8_DElYkX7l4wRkHqqCUFNJY4AfY3kHU/edit?usp=sharing  #gid=0"",""фіз особи new!relations_name""),6,FALSE)
,
(IF
(
G1211=""юридична особа""
,
VLOOKUP"&amp;"(H1211,IMPORTRANGE(""https://docs.google.com/spreadsheets/d/14Bd19lYaqBhU8_DElYkX7l4wRkHqqCUFNJY4AfY3kHU/edit?usp=sharing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J1210" s="7" t="s">
        <v>48</v>
      </c>
    </row>
    <row r="1211" spans="1:10" ht="13.2">
      <c r="A1211" s="7">
        <v>1210</v>
      </c>
      <c r="B1211" s="7">
        <v>1</v>
      </c>
      <c r="C1211" s="7" t="s">
        <v>10</v>
      </c>
      <c r="D1211" s="7">
        <v>397</v>
      </c>
      <c r="E1211" s="7" t="s">
        <v>14</v>
      </c>
      <c r="F1211" s="8" t="str">
        <f ca="1">IFERROR(__xludf.DUMMYFUNCTION("IF
(
C1212=""фізична особа""
,
VLOOKUP(D1212,IMPORTRANGE(""https://docs.google.com/spreadsheets/d/14Bd19lYaqBhU8_DElYkX7l4wRkHqqCUFNJY4AfY3kHU/edit?usp=sharing  #gid=0"",""фіз особи new!relations_name""),6,FALSE)
,
(IF
(
C1212=""юридична особа""
,
VLOOKUP"&amp;"(D1212,IMPORTRANGE(""https://docs.google.com/spreadsheets/d/14Bd19lYaqBhU8_DElYkX7l4wRkHqqCUFNJY4AfY3kHU/edit?usp=sharing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G1211" s="7" t="s">
        <v>10</v>
      </c>
      <c r="H1211" s="7">
        <v>2066</v>
      </c>
      <c r="I1211" s="8" t="str">
        <f ca="1">IFERROR(__xludf.DUMMYFUNCTION("IF
(
G1212=""фізична особа""
,
VLOOKUP(H1212,IMPORTRANGE(""https://docs.google.com/spreadsheets/d/14Bd19lYaqBhU8_DElYkX7l4wRkHqqCUFNJY4AfY3kHU/edit?usp=sharing  #gid=0"",""фіз особи new!relations_name""),6,FALSE)
,
(IF
(
G1212=""юридична особа""
,
VLOOKUP"&amp;"(H1212,IMPORTRANGE(""https://docs.google.com/spreadsheets/d/14Bd19lYaqBhU8_DElYkX7l4wRkHqqCUFNJY4AfY3kHU/edit?usp=sharing  #gid=0"",""фіз особи new!relations_name_uo""),7,FALSE)
,
)
))"),"СИМАНОВСЬКА Софія Кимівна")</f>
        <v>СИМАНОВСЬКА Софія Кимівна</v>
      </c>
      <c r="J1211" s="7" t="s">
        <v>15</v>
      </c>
    </row>
    <row r="1212" spans="1:10" ht="13.2">
      <c r="A1212" s="7">
        <v>1211</v>
      </c>
      <c r="B1212" s="7">
        <v>1</v>
      </c>
      <c r="C1212" s="7" t="s">
        <v>10</v>
      </c>
      <c r="D1212" s="7">
        <v>397</v>
      </c>
      <c r="E1212" s="7" t="s">
        <v>12</v>
      </c>
      <c r="F1212" s="8" t="str">
        <f ca="1">IFERROR(__xludf.DUMMYFUNCTION("IF
(
C1213=""фізична особа""
,
VLOOKUP(D1213,IMPORTRANGE(""https://docs.google.com/spreadsheets/d/14Bd19lYaqBhU8_DElYkX7l4wRkHqqCUFNJY4AfY3kHU/edit?usp=sharing  #gid=0"",""фіз особи new!relations_name""),6,FALSE)
,
(IF
(
C1213=""юридична особа""
,
VLOOKUP"&amp;"(D1213,IMPORTRANGE(""https://docs.google.com/spreadsheets/d/14Bd19lYaqBhU8_DElYkX7l4wRkHqqCUFNJY4AfY3kHU/edit?usp=sharing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G1212" s="7" t="s">
        <v>10</v>
      </c>
      <c r="H1212" s="7">
        <v>2067</v>
      </c>
      <c r="I1212" s="8" t="str">
        <f ca="1">IFERROR(__xludf.DUMMYFUNCTION("IF
(
G1213=""фізична особа""
,
VLOOKUP(H1213,IMPORTRANGE(""https://docs.google.com/spreadsheets/d/14Bd19lYaqBhU8_DElYkX7l4wRkHqqCUFNJY4AfY3kHU/edit?usp=sharing  #gid=0"",""фіз особи new!relations_name""),6,FALSE)
,
(IF
(
G1213=""юридична особа""
,
VLOOKUP"&amp;"(H1213,IMPORTRANGE(""https://docs.google.com/spreadsheets/d/14Bd19lYaqBhU8_DElYkX7l4wRkHqqCUFNJY4AfY3kHU/edit?usp=sharing  #gid=0"",""фіз особи new!relations_name_uo""),7,FALSE)
,
)
))"),"СИМАНІВСЬКА Світлана Леонідівна")</f>
        <v>СИМАНІВСЬКА Світлана Леонідівна</v>
      </c>
      <c r="J1212" s="7" t="s">
        <v>13</v>
      </c>
    </row>
    <row r="1213" spans="1:10" ht="13.2">
      <c r="A1213" s="7">
        <v>1212</v>
      </c>
      <c r="B1213" s="7">
        <v>1</v>
      </c>
      <c r="C1213" s="7" t="s">
        <v>10</v>
      </c>
      <c r="D1213" s="7">
        <v>397</v>
      </c>
      <c r="E1213" s="7" t="s">
        <v>11</v>
      </c>
      <c r="F1213" s="8" t="str">
        <f ca="1">IFERROR(__xludf.DUMMYFUNCTION("IF
(
C1214=""фізична особа""
,
VLOOKUP(D1214,IMPORTRANGE(""https://docs.google.com/spreadsheets/d/14Bd19lYaqBhU8_DElYkX7l4wRkHqqCUFNJY4AfY3kHU/edit?usp=sharing  #gid=0"",""фіз особи new!relations_name""),6,FALSE)
,
(IF
(
C1214=""юридична особа""
,
VLOOKUP"&amp;"(D1214,IMPORTRANGE(""https://docs.google.com/spreadsheets/d/14Bd19lYaqBhU8_DElYkX7l4wRkHqqCUFNJY4AfY3kHU/edit?usp=sharing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G1213" s="7" t="s">
        <v>10</v>
      </c>
      <c r="H1213" s="7">
        <v>2024</v>
      </c>
      <c r="I1213" s="8" t="str">
        <f ca="1">IFERROR(__xludf.DUMMYFUNCTION("IF
(
G1214=""фізична особа""
,
VLOOKUP(H1214,IMPORTRANGE(""https://docs.google.com/spreadsheets/d/14Bd19lYaqBhU8_DElYkX7l4wRkHqqCUFNJY4AfY3kHU/edit?usp=sharing  #gid=0"",""фіз особи new!relations_name""),6,FALSE)
,
(IF
(
G1214=""юридична особа""
,
VLOOKUP"&amp;"(H1214,IMPORTRANGE(""https://docs.google.com/spreadsheets/d/14Bd19lYaqBhU8_DElYkX7l4wRkHqqCUFNJY4AfY3kHU/edit?usp=sharing  #gid=0"",""фіз особи new!relations_name_uo""),7,FALSE)
,
)
))"),"МІХЕЛЬСОН Леонід Вікторович")</f>
        <v>МІХЕЛЬСОН Леонід Вікторович</v>
      </c>
      <c r="J1213" s="7" t="s">
        <v>11</v>
      </c>
    </row>
    <row r="1214" spans="1:10" ht="13.2">
      <c r="A1214" s="7">
        <v>1213</v>
      </c>
      <c r="B1214" s="7">
        <v>1</v>
      </c>
      <c r="C1214" s="7" t="s">
        <v>10</v>
      </c>
      <c r="D1214" s="7">
        <v>397</v>
      </c>
      <c r="E1214" s="7" t="s">
        <v>11</v>
      </c>
      <c r="F1214" s="8" t="str">
        <f ca="1">IFERROR(__xludf.DUMMYFUNCTION("IF
(
C1215=""фізична особа""
,
VLOOKUP(D1215,IMPORTRANGE(""https://docs.google.com/spreadsheets/d/14Bd19lYaqBhU8_DElYkX7l4wRkHqqCUFNJY4AfY3kHU/edit?usp=sharing  #gid=0"",""фіз особи new!relations_name""),6,FALSE)
,
(IF
(
C1215=""юридична особа""
,
VLOOKUP"&amp;"(D1215,IMPORTRANGE(""https://docs.google.com/spreadsheets/d/14Bd19lYaqBhU8_DElYkX7l4wRkHqqCUFNJY4AfY3kHU/edit?usp=sharing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G1214" s="7" t="s">
        <v>10</v>
      </c>
      <c r="H1214" s="7">
        <v>0</v>
      </c>
      <c r="I1214" s="8" t="str">
        <f ca="1">IFERROR(__xludf.DUMMYFUNCTION("IF
(
G1215=""фізична особа""
,
VLOOKUP(H1215,IMPORTRANGE(""https://docs.google.com/spreadsheets/d/14Bd19lYaqBhU8_DElYkX7l4wRkHqqCUFNJY4AfY3kHU/edit?usp=sharing  #gid=0"",""фіз особи new!relations_name""),6,FALSE)
,
(IF
(
G1215=""юридична особа""
,
VLOOKUP"&amp;"(H1215,IMPORTRANGE(""https://docs.google.com/spreadsheets/d/14Bd19lYaqBhU8_DElYkX7l4wRkHqqCUFNJY4AfY3kHU/edit?usp=sharing  #gid=0"",""фіз особи new!relations_name_uo""),7,FALSE)
,
)
))"),"#N/A")</f>
        <v>#N/A</v>
      </c>
      <c r="J1214" s="7" t="s">
        <v>11</v>
      </c>
    </row>
    <row r="1215" spans="1:10" ht="13.2">
      <c r="A1215" s="7">
        <v>1214</v>
      </c>
      <c r="B1215" s="7">
        <v>1</v>
      </c>
      <c r="C1215" s="7" t="s">
        <v>10</v>
      </c>
      <c r="D1215" s="7">
        <v>397</v>
      </c>
      <c r="E1215" s="7" t="s">
        <v>35</v>
      </c>
      <c r="F1215" s="8" t="str">
        <f ca="1">IFERROR(__xludf.DUMMYFUNCTION("IF
(
C1216=""фізична особа""
,
VLOOKUP(D1216,IMPORTRANGE(""https://docs.google.com/spreadsheets/d/14Bd19lYaqBhU8_DElYkX7l4wRkHqqCUFNJY4AfY3kHU/edit?usp=sharing  #gid=0"",""фіз особи new!relations_name""),6,FALSE)
,
(IF
(
C1216=""юридична особа""
,
VLOOKUP"&amp;"(D1216,IMPORTRANGE(""https://docs.google.com/spreadsheets/d/14Bd19lYaqBhU8_DElYkX7l4wRkHqqCUFNJY4AfY3kHU/edit?usp=sharing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G1215" s="7" t="s">
        <v>10</v>
      </c>
      <c r="H1215" s="7">
        <v>76</v>
      </c>
      <c r="I1215" s="8" t="str">
        <f ca="1">IFERROR(__xludf.DUMMYFUNCTION("IF
(
G1216=""фізична особа""
,
VLOOKUP(H1216,IMPORTRANGE(""https://docs.google.com/spreadsheets/d/14Bd19lYaqBhU8_DElYkX7l4wRkHqqCUFNJY4AfY3kHU/edit?usp=sharing  #gid=0"",""фіз особи new!relations_name""),6,FALSE)
,
(IF
(
G1216=""юридична особа""
,
VLOOKUP"&amp;"(H1216,IMPORTRANGE(""https://docs.google.com/spreadsheets/d/14Bd19lYaqBhU8_DElYkX7l4wRkHqqCUFNJY4AfY3kHU/edit?usp=sharing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1215" s="7" t="s">
        <v>35</v>
      </c>
    </row>
    <row r="1216" spans="1:10" ht="13.2">
      <c r="A1216" s="7">
        <v>1215</v>
      </c>
      <c r="B1216" s="7">
        <v>1</v>
      </c>
      <c r="C1216" s="7" t="s">
        <v>10</v>
      </c>
      <c r="D1216" s="7">
        <v>399</v>
      </c>
      <c r="E1216" s="7" t="s">
        <v>69</v>
      </c>
      <c r="F1216" s="8" t="str">
        <f ca="1">IFERROR(__xludf.DUMMYFUNCTION("IF
(
C1217=""фізична особа""
,
VLOOKUP(D1217,IMPORTRANGE(""https://docs.google.com/spreadsheets/d/14Bd19lYaqBhU8_DElYkX7l4wRkHqqCUFNJY4AfY3kHU/edit?usp=sharing  #gid=0"",""фіз особи new!relations_name""),6,FALSE)
,
(IF
(
C1217=""юридична особа""
,
VLOOKUP"&amp;"(D1217,IMPORTRANGE(""https://docs.google.com/spreadsheets/d/14Bd19lYaqBhU8_DElYkX7l4wRkHqqCUFNJY4AfY3kHU/edit?usp=sharing  #gid=0"",""фіз особи new!relations_name_uo""),7,FALSE)
,
)
))"),"ПАСІЧНИК Леонід Іванович")</f>
        <v>ПАСІЧНИК Леонід Іванович</v>
      </c>
      <c r="G1216" s="7" t="s">
        <v>10</v>
      </c>
      <c r="H1216" s="7">
        <v>4552</v>
      </c>
      <c r="I1216" s="8" t="str">
        <f ca="1">IFERROR(__xludf.DUMMYFUNCTION("IF
(
G1217=""фізична особа""
,
VLOOKUP(H1217,IMPORTRANGE(""https://docs.google.com/spreadsheets/d/14Bd19lYaqBhU8_DElYkX7l4wRkHqqCUFNJY4AfY3kHU/edit?usp=sharing  #gid=0"",""фіз особи new!relations_name""),6,FALSE)
,
(IF
(
G1217=""юридична особа""
,
VLOOKUP"&amp;"(H1217,IMPORTRANGE(""https://docs.google.com/spreadsheets/d/14Bd19lYaqBhU8_DElYkX7l4wRkHqqCUFNJY4AfY3kHU/edit?usp=sharing  #gid=0"",""фіз особи new!relations_name_uo""),7,FALSE)
,
)
))"),"ПЛОТНИЦЬКИЙ Ігор Венедиктович")</f>
        <v>ПЛОТНИЦЬКИЙ Ігор Венедиктович</v>
      </c>
      <c r="J1216" s="7" t="s">
        <v>53</v>
      </c>
    </row>
    <row r="1217" spans="1:10" ht="13.2">
      <c r="A1217" s="7">
        <v>1216</v>
      </c>
      <c r="B1217" s="7">
        <v>1</v>
      </c>
      <c r="C1217" s="7" t="s">
        <v>10</v>
      </c>
      <c r="D1217" s="7">
        <v>400</v>
      </c>
      <c r="E1217" s="7" t="s">
        <v>28</v>
      </c>
      <c r="F1217" s="8" t="str">
        <f ca="1">IFERROR(__xludf.DUMMYFUNCTION("IF
(
C1218=""фізична особа""
,
VLOOKUP(D1218,IMPORTRANGE(""https://docs.google.com/spreadsheets/d/14Bd19lYaqBhU8_DElYkX7l4wRkHqqCUFNJY4AfY3kHU/edit?usp=sharing  #gid=0"",""фіз особи new!relations_name""),6,FALSE)
,
(IF
(
C1218=""юридична особа""
,
VLOOKUP"&amp;"(D1218,IMPORTRANGE(""https://docs.google.com/spreadsheets/d/14Bd19lYaqBhU8_DElYkX7l4wRkHqqCUFNJY4AfY3kHU/edit?usp=sharing  #gid=0"",""фіз особи new!relations_name_uo""),7,FALSE)
,
)
))"),"КАСИНСЬКИЙ Леонід Вікторович")</f>
        <v>КАСИНСЬКИЙ Леонід Вікторович</v>
      </c>
      <c r="G1217" s="7" t="s">
        <v>10</v>
      </c>
      <c r="H1217" s="7">
        <v>821</v>
      </c>
      <c r="I1217" s="8" t="str">
        <f ca="1">IFERROR(__xludf.DUMMYFUNCTION("IF
(
G1218=""фізична особа""
,
VLOOKUP(H1218,IMPORTRANGE(""https://docs.google.com/spreadsheets/d/14Bd19lYaqBhU8_DElYkX7l4wRkHqqCUFNJY4AfY3kHU/edit?usp=sharing  #gid=0"",""фіз особи new!relations_name""),6,FALSE)
,
(IF
(
G1218=""юридична особа""
,
VLOOKUP"&amp;"(H1218,IMPORTRANGE(""https://docs.google.com/spreadsheets/d/14Bd19lYaqBhU8_DElYkX7l4wRkHqqCUFNJY4AfY3kHU/edit?usp=sharing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1217" s="7" t="s">
        <v>29</v>
      </c>
    </row>
    <row r="1218" spans="1:10" ht="13.2">
      <c r="A1218" s="7">
        <v>1217</v>
      </c>
      <c r="B1218" s="7">
        <v>1</v>
      </c>
      <c r="C1218" s="7" t="s">
        <v>10</v>
      </c>
      <c r="D1218" s="7">
        <v>401</v>
      </c>
      <c r="E1218" s="7" t="s">
        <v>28</v>
      </c>
      <c r="F1218" s="8" t="str">
        <f ca="1">IFERROR(__xludf.DUMMYFUNCTION("IF
(
C1219=""фізична особа""
,
VLOOKUP(D1219,IMPORTRANGE(""https://docs.google.com/spreadsheets/d/14Bd19lYaqBhU8_DElYkX7l4wRkHqqCUFNJY4AfY3kHU/edit?usp=sharing  #gid=0"",""фіз особи new!relations_name""),6,FALSE)
,
(IF
(
C1219=""юридична особа""
,
VLOOKUP"&amp;"(D1219,IMPORTRANGE(""https://docs.google.com/spreadsheets/d/14Bd19lYaqBhU8_DElYkX7l4wRkHqqCUFNJY4AfY3kHU/edit?usp=sharing  #gid=0"",""фіз особи new!relations_name_uo""),7,FALSE)
,
)
))"),"ЖУРАВЛЬОВ Олександр Олександрович")</f>
        <v>ЖУРАВЛЬОВ Олександр Олександрович</v>
      </c>
      <c r="G1218" s="7" t="s">
        <v>10</v>
      </c>
      <c r="H1218" s="7">
        <v>670</v>
      </c>
      <c r="I1218" s="8" t="str">
        <f ca="1">IFERROR(__xludf.DUMMYFUNCTION("IF
(
G1219=""фізична особа""
,
VLOOKUP(H1219,IMPORTRANGE(""https://docs.google.com/spreadsheets/d/14Bd19lYaqBhU8_DElYkX7l4wRkHqqCUFNJY4AfY3kHU/edit?usp=sharing  #gid=0"",""фіз особи new!relations_name""),6,FALSE)
,
(IF
(
G1219=""юридична особа""
,
VLOOKUP"&amp;"(H1219,IMPORTRANGE(""https://docs.google.com/spreadsheets/d/14Bd19lYaqBhU8_DElYkX7l4wRkHqqCUFNJY4AfY3kHU/edit?usp=sharing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218" s="7" t="s">
        <v>29</v>
      </c>
    </row>
    <row r="1219" spans="1:10" ht="13.2">
      <c r="A1219" s="7">
        <v>1218</v>
      </c>
      <c r="B1219" s="7">
        <v>1</v>
      </c>
      <c r="C1219" s="7" t="s">
        <v>10</v>
      </c>
      <c r="D1219" s="7">
        <v>401</v>
      </c>
      <c r="E1219" s="7" t="s">
        <v>28</v>
      </c>
      <c r="F1219" s="8" t="str">
        <f ca="1">IFERROR(__xludf.DUMMYFUNCTION("IF
(
C1220=""фізична особа""
,
VLOOKUP(D1220,IMPORTRANGE(""https://docs.google.com/spreadsheets/d/14Bd19lYaqBhU8_DElYkX7l4wRkHqqCUFNJY4AfY3kHU/edit?usp=sharing  #gid=0"",""фіз особи new!relations_name""),6,FALSE)
,
(IF
(
C1220=""юридична особа""
,
VLOOKUP"&amp;"(D1220,IMPORTRANGE(""https://docs.google.com/spreadsheets/d/14Bd19lYaqBhU8_DElYkX7l4wRkHqqCUFNJY4AfY3kHU/edit?usp=sharing  #gid=0"",""фіз особи new!relations_name_uo""),7,FALSE)
,
)
))"),"ЖУРАВЛЬОВ Олександр Олександрович")</f>
        <v>ЖУРАВЛЬОВ Олександр Олександрович</v>
      </c>
      <c r="G1219" s="7" t="s">
        <v>10</v>
      </c>
      <c r="H1219" s="7">
        <v>880</v>
      </c>
      <c r="I1219" s="8" t="str">
        <f ca="1">IFERROR(__xludf.DUMMYFUNCTION("IF
(
G1220=""фізична особа""
,
VLOOKUP(H1220,IMPORTRANGE(""https://docs.google.com/spreadsheets/d/14Bd19lYaqBhU8_DElYkX7l4wRkHqqCUFNJY4AfY3kHU/edit?usp=sharing  #gid=0"",""фіз особи new!relations_name""),6,FALSE)
,
(IF
(
G1220=""юридична особа""
,
VLOOKUP"&amp;"(H1220,IMPORTRANGE(""https://docs.google.com/spreadsheets/d/14Bd19lYaqBhU8_DElYkX7l4wRkHqqCUFNJY4AfY3kHU/edit?usp=sharing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219" s="7" t="s">
        <v>29</v>
      </c>
    </row>
    <row r="1220" spans="1:10" ht="13.2">
      <c r="A1220" s="7">
        <v>1219</v>
      </c>
      <c r="B1220" s="7">
        <v>1</v>
      </c>
      <c r="C1220" s="7" t="s">
        <v>10</v>
      </c>
      <c r="D1220" s="7">
        <v>402</v>
      </c>
      <c r="E1220" s="7" t="s">
        <v>12</v>
      </c>
      <c r="F1220" s="8" t="str">
        <f ca="1">IFERROR(__xludf.DUMMYFUNCTION("IF
(
C1221=""фізична особа""
,
VLOOKUP(D1221,IMPORTRANGE(""https://docs.google.com/spreadsheets/d/14Bd19lYaqBhU8_DElYkX7l4wRkHqqCUFNJY4AfY3kHU/edit?usp=sharing  #gid=0"",""фіз особи new!relations_name""),6,FALSE)
,
(IF
(
C1221=""юридична особа""
,
VLOOKUP"&amp;"(D1221,IMPORTRANGE(""https://docs.google.com/spreadsheets/d/14Bd19lYaqBhU8_DElYkX7l4wRkHqqCUFNJY4AfY3kHU/edit?usp=sharing  #gid=0"",""фіз особи new!relations_name_uo""),7,FALSE)
,
)
))"),"ХАСІС Лев Аронович")</f>
        <v>ХАСІС Лев Аронович</v>
      </c>
      <c r="G1220" s="7" t="s">
        <v>10</v>
      </c>
      <c r="H1220" s="7">
        <v>0</v>
      </c>
      <c r="I1220" s="8" t="str">
        <f ca="1">IFERROR(__xludf.DUMMYFUNCTION("IF
(
G1221=""фізична особа""
,
VLOOKUP(H1221,IMPORTRANGE(""https://docs.google.com/spreadsheets/d/14Bd19lYaqBhU8_DElYkX7l4wRkHqqCUFNJY4AfY3kHU/edit?usp=sharing  #gid=0"",""фіз особи new!relations_name""),6,FALSE)
,
(IF
(
G1221=""юридична особа""
,
VLOOKUP"&amp;"(H1221,IMPORTRANGE(""https://docs.google.com/spreadsheets/d/14Bd19lYaqBhU8_DElYkX7l4wRkHqqCUFNJY4AfY3kHU/edit?usp=sharing  #gid=0"",""фіз особи new!relations_name_uo""),7,FALSE)
,
)
))"),"#N/A")</f>
        <v>#N/A</v>
      </c>
      <c r="J1220" s="7" t="s">
        <v>17</v>
      </c>
    </row>
    <row r="1221" spans="1:10" ht="13.2">
      <c r="A1221" s="7">
        <v>1220</v>
      </c>
      <c r="B1221" s="7">
        <v>1</v>
      </c>
      <c r="C1221" s="7" t="s">
        <v>10</v>
      </c>
      <c r="D1221" s="7">
        <v>402</v>
      </c>
      <c r="E1221" s="7" t="s">
        <v>12</v>
      </c>
      <c r="F1221" s="8" t="str">
        <f ca="1">IFERROR(__xludf.DUMMYFUNCTION("IF
(
C1222=""фізична особа""
,
VLOOKUP(D1222,IMPORTRANGE(""https://docs.google.com/spreadsheets/d/14Bd19lYaqBhU8_DElYkX7l4wRkHqqCUFNJY4AfY3kHU/edit?usp=sharing  #gid=0"",""фіз особи new!relations_name""),6,FALSE)
,
(IF
(
C1222=""юридична особа""
,
VLOOKUP"&amp;"(D1222,IMPORTRANGE(""https://docs.google.com/spreadsheets/d/14Bd19lYaqBhU8_DElYkX7l4wRkHqqCUFNJY4AfY3kHU/edit?usp=sharing  #gid=0"",""фіз особи new!relations_name_uo""),7,FALSE)
,
)
))"),"ХАСІС Лев Аронович")</f>
        <v>ХАСІС Лев Аронович</v>
      </c>
      <c r="G1221" s="7" t="s">
        <v>10</v>
      </c>
      <c r="H1221" s="7">
        <v>0</v>
      </c>
      <c r="I1221" s="8" t="str">
        <f ca="1">IFERROR(__xludf.DUMMYFUNCTION("IF
(
G1222=""фізична особа""
,
VLOOKUP(H1222,IMPORTRANGE(""https://docs.google.com/spreadsheets/d/14Bd19lYaqBhU8_DElYkX7l4wRkHqqCUFNJY4AfY3kHU/edit?usp=sharing  #gid=0"",""фіз особи new!relations_name""),6,FALSE)
,
(IF
(
G1222=""юридична особа""
,
VLOOKUP"&amp;"(H1222,IMPORTRANGE(""https://docs.google.com/spreadsheets/d/14Bd19lYaqBhU8_DElYkX7l4wRkHqqCUFNJY4AfY3kHU/edit?usp=sharing  #gid=0"",""фіз особи new!relations_name_uo""),7,FALSE)
,
)
))"),"#N/A")</f>
        <v>#N/A</v>
      </c>
      <c r="J1221" s="7" t="s">
        <v>17</v>
      </c>
    </row>
    <row r="1222" spans="1:10" ht="13.2">
      <c r="A1222" s="7">
        <v>1221</v>
      </c>
      <c r="B1222" s="7">
        <v>1</v>
      </c>
      <c r="C1222" s="7" t="s">
        <v>10</v>
      </c>
      <c r="D1222" s="7">
        <v>402</v>
      </c>
      <c r="E1222" s="7" t="s">
        <v>14</v>
      </c>
      <c r="F1222" s="8" t="str">
        <f ca="1">IFERROR(__xludf.DUMMYFUNCTION("IF
(
C1223=""фізична особа""
,
VLOOKUP(D1223,IMPORTRANGE(""https://docs.google.com/spreadsheets/d/14Bd19lYaqBhU8_DElYkX7l4wRkHqqCUFNJY4AfY3kHU/edit?usp=sharing  #gid=0"",""фіз особи new!relations_name""),6,FALSE)
,
(IF
(
C1223=""юридична особа""
,
VLOOKUP"&amp;"(D1223,IMPORTRANGE(""https://docs.google.com/spreadsheets/d/14Bd19lYaqBhU8_DElYkX7l4wRkHqqCUFNJY4AfY3kHU/edit?usp=sharing  #gid=0"",""фіз особи new!relations_name_uo""),7,FALSE)
,
)
))"),"ХАСІС Лев Аронович")</f>
        <v>ХАСІС Лев Аронович</v>
      </c>
      <c r="G1222" s="7" t="s">
        <v>10</v>
      </c>
      <c r="H1222" s="7">
        <v>0</v>
      </c>
      <c r="I1222" s="8" t="str">
        <f ca="1">IFERROR(__xludf.DUMMYFUNCTION("IF
(
G1223=""фізична особа""
,
VLOOKUP(H1223,IMPORTRANGE(""https://docs.google.com/spreadsheets/d/14Bd19lYaqBhU8_DElYkX7l4wRkHqqCUFNJY4AfY3kHU/edit?usp=sharing  #gid=0"",""фіз особи new!relations_name""),6,FALSE)
,
(IF
(
G1223=""юридична особа""
,
VLOOKUP"&amp;"(H1223,IMPORTRANGE(""https://docs.google.com/spreadsheets/d/14Bd19lYaqBhU8_DElYkX7l4wRkHqqCUFNJY4AfY3kHU/edit?usp=sharing  #gid=0"",""фіз особи new!relations_name_uo""),7,FALSE)
,
)
))"),"#N/A")</f>
        <v>#N/A</v>
      </c>
      <c r="J1222" s="7" t="s">
        <v>15</v>
      </c>
    </row>
    <row r="1223" spans="1:10" ht="13.2">
      <c r="A1223" s="7">
        <v>1222</v>
      </c>
      <c r="B1223" s="7">
        <v>1</v>
      </c>
      <c r="C1223" s="7" t="s">
        <v>10</v>
      </c>
      <c r="D1223" s="7">
        <v>403</v>
      </c>
      <c r="E1223" s="7" t="s">
        <v>14</v>
      </c>
      <c r="F1223" s="8" t="str">
        <f ca="1">IFERROR(__xludf.DUMMYFUNCTION("IF
(
C1224=""фізична особа""
,
VLOOKUP(D1224,IMPORTRANGE(""https://docs.google.com/spreadsheets/d/14Bd19lYaqBhU8_DElYkX7l4wRkHqqCUFNJY4AfY3kHU/edit?usp=sharing  #gid=0"",""фіз особи new!relations_name""),6,FALSE)
,
(IF
(
C1224=""юридична особа""
,
VLOOKUP"&amp;"(D1224,IMPORTRANGE(""https://docs.google.com/spreadsheets/d/14Bd19lYaqBhU8_DElYkX7l4wRkHqqCUFNJY4AfY3kHU/edit?usp=sharing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3" s="7" t="s">
        <v>10</v>
      </c>
      <c r="H1223" s="7">
        <v>8846</v>
      </c>
      <c r="I1223" s="8" t="str">
        <f ca="1">IFERROR(__xludf.DUMMYFUNCTION("IF
(
G1224=""фізична особа""
,
VLOOKUP(H1224,IMPORTRANGE(""https://docs.google.com/spreadsheets/d/14Bd19lYaqBhU8_DElYkX7l4wRkHqqCUFNJY4AfY3kHU/edit?usp=sharing  #gid=0"",""фіз особи new!relations_name""),6,FALSE)
,
(IF
(
G1224=""юридична особа""
,
VLOOKUP"&amp;"(H1224,IMPORTRANGE(""https://docs.google.com/spreadsheets/d/14Bd19lYaqBhU8_DElYkX7l4wRkHqqCUFNJY4AfY3kHU/edit?usp=sharing  #gid=0"",""фіз особи new!relations_name_uo""),7,FALSE)
,
)
))"),"КОВПАК Вероніка Олександрівна")</f>
        <v>КОВПАК Вероніка Олександрівна</v>
      </c>
      <c r="J1223" s="7" t="s">
        <v>15</v>
      </c>
    </row>
    <row r="1224" spans="1:10" ht="13.2">
      <c r="A1224" s="7">
        <v>1223</v>
      </c>
      <c r="B1224" s="7">
        <v>1</v>
      </c>
      <c r="C1224" s="7" t="s">
        <v>10</v>
      </c>
      <c r="D1224" s="7">
        <v>403</v>
      </c>
      <c r="E1224" s="7" t="s">
        <v>17</v>
      </c>
      <c r="F1224" s="8" t="str">
        <f ca="1">IFERROR(__xludf.DUMMYFUNCTION("IF
(
C1225=""фізична особа""
,
VLOOKUP(D1225,IMPORTRANGE(""https://docs.google.com/spreadsheets/d/14Bd19lYaqBhU8_DElYkX7l4wRkHqqCUFNJY4AfY3kHU/edit?usp=sharing  #gid=0"",""фіз особи new!relations_name""),6,FALSE)
,
(IF
(
C1225=""юридична особа""
,
VLOOKUP"&amp;"(D1225,IMPORTRANGE(""https://docs.google.com/spreadsheets/d/14Bd19lYaqBhU8_DElYkX7l4wRkHqqCUFNJY4AfY3kHU/edit?usp=sharing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4" s="7" t="s">
        <v>10</v>
      </c>
      <c r="H1224" s="7">
        <v>8847</v>
      </c>
      <c r="I1224" s="8" t="str">
        <f ca="1">IFERROR(__xludf.DUMMYFUNCTION("IF
(
G1225=""фізична особа""
,
VLOOKUP(H1225,IMPORTRANGE(""https://docs.google.com/spreadsheets/d/14Bd19lYaqBhU8_DElYkX7l4wRkHqqCUFNJY4AfY3kHU/edit?usp=sharing  #gid=0"",""фіз особи new!relations_name""),6,FALSE)
,
(IF
(
G1225=""юридична особа""
,
VLOOKUP"&amp;"(H1225,IMPORTRANGE(""https://docs.google.com/spreadsheets/d/14Bd19lYaqBhU8_DElYkX7l4wRkHqqCUFNJY4AfY3kHU/edit?usp=sharing  #gid=0"",""фіз особи new!relations_name_uo""),7,FALSE)
,
)
))"),"КОВПАК Ігор Іванович")</f>
        <v>КОВПАК Ігор Іванович</v>
      </c>
      <c r="J1224" s="7" t="s">
        <v>12</v>
      </c>
    </row>
    <row r="1225" spans="1:10" ht="13.2">
      <c r="A1225" s="7">
        <v>1224</v>
      </c>
      <c r="B1225" s="7">
        <v>1</v>
      </c>
      <c r="C1225" s="7" t="s">
        <v>10</v>
      </c>
      <c r="D1225" s="7">
        <v>403</v>
      </c>
      <c r="E1225" s="7" t="s">
        <v>17</v>
      </c>
      <c r="F1225" s="8" t="str">
        <f ca="1">IFERROR(__xludf.DUMMYFUNCTION("IF
(
C1226=""фізична особа""
,
VLOOKUP(D1226,IMPORTRANGE(""https://docs.google.com/spreadsheets/d/14Bd19lYaqBhU8_DElYkX7l4wRkHqqCUFNJY4AfY3kHU/edit?usp=sharing  #gid=0"",""фіз особи new!relations_name""),6,FALSE)
,
(IF
(
C1226=""юридична особа""
,
VLOOKUP"&amp;"(D1226,IMPORTRANGE(""https://docs.google.com/spreadsheets/d/14Bd19lYaqBhU8_DElYkX7l4wRkHqqCUFNJY4AfY3kHU/edit?usp=sharing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5" s="7" t="s">
        <v>10</v>
      </c>
      <c r="H1225" s="7">
        <v>0</v>
      </c>
      <c r="I1225" s="8" t="str">
        <f ca="1">IFERROR(__xludf.DUMMYFUNCTION("IF
(
G1226=""фізична особа""
,
VLOOKUP(H1226,IMPORTRANGE(""https://docs.google.com/spreadsheets/d/14Bd19lYaqBhU8_DElYkX7l4wRkHqqCUFNJY4AfY3kHU/edit?usp=sharing  #gid=0"",""фіз особи new!relations_name""),6,FALSE)
,
(IF
(
G1226=""юридична особа""
,
VLOOKUP"&amp;"(H1226,IMPORTRANGE(""https://docs.google.com/spreadsheets/d/14Bd19lYaqBhU8_DElYkX7l4wRkHqqCUFNJY4AfY3kHU/edit?usp=sharing  #gid=0"",""фіз особи new!relations_name_uo""),7,FALSE)
,
)
))"),"#N/A")</f>
        <v>#N/A</v>
      </c>
      <c r="J1225" s="7" t="s">
        <v>21</v>
      </c>
    </row>
    <row r="1226" spans="1:10" ht="13.2">
      <c r="A1226" s="7">
        <v>1225</v>
      </c>
      <c r="B1226" s="7">
        <v>1</v>
      </c>
      <c r="C1226" s="7" t="s">
        <v>10</v>
      </c>
      <c r="D1226" s="7">
        <v>403</v>
      </c>
      <c r="E1226" s="7" t="s">
        <v>11</v>
      </c>
      <c r="F1226" s="8" t="str">
        <f ca="1">IFERROR(__xludf.DUMMYFUNCTION("IF
(
C1227=""фізична особа""
,
VLOOKUP(D1227,IMPORTRANGE(""https://docs.google.com/spreadsheets/d/14Bd19lYaqBhU8_DElYkX7l4wRkHqqCUFNJY4AfY3kHU/edit?usp=sharing  #gid=0"",""фіз особи new!relations_name""),6,FALSE)
,
(IF
(
C1227=""юридична особа""
,
VLOOKUP"&amp;"(D1227,IMPORTRANGE(""https://docs.google.com/spreadsheets/d/14Bd19lYaqBhU8_DElYkX7l4wRkHqqCUFNJY4AfY3kHU/edit?usp=sharing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6" s="7" t="s">
        <v>10</v>
      </c>
      <c r="H1226" s="7">
        <v>0</v>
      </c>
      <c r="I1226" s="8" t="str">
        <f ca="1">IFERROR(__xludf.DUMMYFUNCTION("IF
(
G1227=""фізична особа""
,
VLOOKUP(H1227,IMPORTRANGE(""https://docs.google.com/spreadsheets/d/14Bd19lYaqBhU8_DElYkX7l4wRkHqqCUFNJY4AfY3kHU/edit?usp=sharing  #gid=0"",""фіз особи new!relations_name""),6,FALSE)
,
(IF
(
G1227=""юридична особа""
,
VLOOKUP"&amp;"(H1227,IMPORTRANGE(""https://docs.google.com/spreadsheets/d/14Bd19lYaqBhU8_DElYkX7l4wRkHqqCUFNJY4AfY3kHU/edit?usp=sharing  #gid=0"",""фіз особи new!relations_name_uo""),7,FALSE)
,
)
))"),"#N/A")</f>
        <v>#N/A</v>
      </c>
      <c r="J1226" s="7" t="s">
        <v>11</v>
      </c>
    </row>
    <row r="1227" spans="1:10" ht="13.2">
      <c r="A1227" s="7">
        <v>1226</v>
      </c>
      <c r="B1227" s="7">
        <v>1</v>
      </c>
      <c r="C1227" s="7" t="s">
        <v>10</v>
      </c>
      <c r="D1227" s="7">
        <v>403</v>
      </c>
      <c r="E1227" s="7" t="s">
        <v>11</v>
      </c>
      <c r="F1227" s="8" t="str">
        <f ca="1">IFERROR(__xludf.DUMMYFUNCTION("IF
(
C1228=""фізична особа""
,
VLOOKUP(D1228,IMPORTRANGE(""https://docs.google.com/spreadsheets/d/14Bd19lYaqBhU8_DElYkX7l4wRkHqqCUFNJY4AfY3kHU/edit?usp=sharing  #gid=0"",""фіз особи new!relations_name""),6,FALSE)
,
(IF
(
C1228=""юридична особа""
,
VLOOKUP"&amp;"(D1228,IMPORTRANGE(""https://docs.google.com/spreadsheets/d/14Bd19lYaqBhU8_DElYkX7l4wRkHqqCUFNJY4AfY3kHU/edit?usp=sharing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7" s="7" t="s">
        <v>10</v>
      </c>
      <c r="H1227" s="7">
        <v>0</v>
      </c>
      <c r="I1227" s="8" t="str">
        <f ca="1">IFERROR(__xludf.DUMMYFUNCTION("IF
(
G1228=""фізична особа""
,
VLOOKUP(H1228,IMPORTRANGE(""https://docs.google.com/spreadsheets/d/14Bd19lYaqBhU8_DElYkX7l4wRkHqqCUFNJY4AfY3kHU/edit?usp=sharing  #gid=0"",""фіз особи new!relations_name""),6,FALSE)
,
(IF
(
G1228=""юридична особа""
,
VLOOKUP"&amp;"(H1228,IMPORTRANGE(""https://docs.google.com/spreadsheets/d/14Bd19lYaqBhU8_DElYkX7l4wRkHqqCUFNJY4AfY3kHU/edit?usp=sharing  #gid=0"",""фіз особи new!relations_name_uo""),7,FALSE)
,
)
))"),"#N/A")</f>
        <v>#N/A</v>
      </c>
      <c r="J1227" s="7" t="s">
        <v>11</v>
      </c>
    </row>
    <row r="1228" spans="1:10" ht="13.2">
      <c r="A1228" s="7">
        <v>1227</v>
      </c>
      <c r="B1228" s="7">
        <v>1</v>
      </c>
      <c r="C1228" s="7" t="s">
        <v>10</v>
      </c>
      <c r="D1228" s="7">
        <v>403</v>
      </c>
      <c r="E1228" s="7" t="s">
        <v>11</v>
      </c>
      <c r="F1228" s="8" t="str">
        <f ca="1">IFERROR(__xludf.DUMMYFUNCTION("IF
(
C1229=""фізична особа""
,
VLOOKUP(D1229,IMPORTRANGE(""https://docs.google.com/spreadsheets/d/14Bd19lYaqBhU8_DElYkX7l4wRkHqqCUFNJY4AfY3kHU/edit?usp=sharing  #gid=0"",""фіз особи new!relations_name""),6,FALSE)
,
(IF
(
C1229=""юридична особа""
,
VLOOKUP"&amp;"(D1229,IMPORTRANGE(""https://docs.google.com/spreadsheets/d/14Bd19lYaqBhU8_DElYkX7l4wRkHqqCUFNJY4AfY3kHU/edit?usp=sharing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8" s="7" t="s">
        <v>10</v>
      </c>
      <c r="H1228" s="7">
        <v>0</v>
      </c>
      <c r="I1228" s="8" t="str">
        <f ca="1">IFERROR(__xludf.DUMMYFUNCTION("IF
(
G1229=""фізична особа""
,
VLOOKUP(H1229,IMPORTRANGE(""https://docs.google.com/spreadsheets/d/14Bd19lYaqBhU8_DElYkX7l4wRkHqqCUFNJY4AfY3kHU/edit?usp=sharing  #gid=0"",""фіз особи new!relations_name""),6,FALSE)
,
(IF
(
G1229=""юридична особа""
,
VLOOKUP"&amp;"(H1229,IMPORTRANGE(""https://docs.google.com/spreadsheets/d/14Bd19lYaqBhU8_DElYkX7l4wRkHqqCUFNJY4AfY3kHU/edit?usp=sharing  #gid=0"",""фіз особи new!relations_name_uo""),7,FALSE)
,
)
))"),"#N/A")</f>
        <v>#N/A</v>
      </c>
      <c r="J1228" s="7" t="s">
        <v>11</v>
      </c>
    </row>
    <row r="1229" spans="1:10" ht="13.2">
      <c r="A1229" s="7">
        <v>1228</v>
      </c>
      <c r="B1229" s="7">
        <v>1</v>
      </c>
      <c r="C1229" s="7" t="s">
        <v>10</v>
      </c>
      <c r="D1229" s="7">
        <v>403</v>
      </c>
      <c r="E1229" s="7" t="s">
        <v>11</v>
      </c>
      <c r="F1229" s="8" t="str">
        <f ca="1">IFERROR(__xludf.DUMMYFUNCTION("IF
(
C1230=""фізична особа""
,
VLOOKUP(D1230,IMPORTRANGE(""https://docs.google.com/spreadsheets/d/14Bd19lYaqBhU8_DElYkX7l4wRkHqqCUFNJY4AfY3kHU/edit?usp=sharing  #gid=0"",""фіз особи new!relations_name""),6,FALSE)
,
(IF
(
C1230=""юридична особа""
,
VLOOKUP"&amp;"(D1230,IMPORTRANGE(""https://docs.google.com/spreadsheets/d/14Bd19lYaqBhU8_DElYkX7l4wRkHqqCUFNJY4AfY3kHU/edit?usp=sharing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29" s="7" t="s">
        <v>10</v>
      </c>
      <c r="H1229" s="7">
        <v>0</v>
      </c>
      <c r="I1229" s="8" t="str">
        <f ca="1">IFERROR(__xludf.DUMMYFUNCTION("IF
(
G1230=""фізична особа""
,
VLOOKUP(H1230,IMPORTRANGE(""https://docs.google.com/spreadsheets/d/14Bd19lYaqBhU8_DElYkX7l4wRkHqqCUFNJY4AfY3kHU/edit?usp=sharing  #gid=0"",""фіз особи new!relations_name""),6,FALSE)
,
(IF
(
G1230=""юридична особа""
,
VLOOKUP"&amp;"(H1230,IMPORTRANGE(""https://docs.google.com/spreadsheets/d/14Bd19lYaqBhU8_DElYkX7l4wRkHqqCUFNJY4AfY3kHU/edit?usp=sharing  #gid=0"",""фіз особи new!relations_name_uo""),7,FALSE)
,
)
))"),"#N/A")</f>
        <v>#N/A</v>
      </c>
      <c r="J1229" s="7" t="s">
        <v>11</v>
      </c>
    </row>
    <row r="1230" spans="1:10" ht="13.2">
      <c r="A1230" s="7">
        <v>1229</v>
      </c>
      <c r="B1230" s="7">
        <v>1</v>
      </c>
      <c r="C1230" s="7" t="s">
        <v>10</v>
      </c>
      <c r="D1230" s="7">
        <v>403</v>
      </c>
      <c r="E1230" s="7" t="s">
        <v>11</v>
      </c>
      <c r="F1230" s="8" t="str">
        <f ca="1">IFERROR(__xludf.DUMMYFUNCTION("IF
(
C1231=""фізична особа""
,
VLOOKUP(D1231,IMPORTRANGE(""https://docs.google.com/spreadsheets/d/14Bd19lYaqBhU8_DElYkX7l4wRkHqqCUFNJY4AfY3kHU/edit?usp=sharing  #gid=0"",""фіз особи new!relations_name""),6,FALSE)
,
(IF
(
C1231=""юридична особа""
,
VLOOKUP"&amp;"(D1231,IMPORTRANGE(""https://docs.google.com/spreadsheets/d/14Bd19lYaqBhU8_DElYkX7l4wRkHqqCUFNJY4AfY3kHU/edit?usp=sharing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30" s="7" t="s">
        <v>10</v>
      </c>
      <c r="H1230" s="7">
        <v>0</v>
      </c>
      <c r="I1230" s="8" t="str">
        <f ca="1">IFERROR(__xludf.DUMMYFUNCTION("IF
(
G1231=""фізична особа""
,
VLOOKUP(H1231,IMPORTRANGE(""https://docs.google.com/spreadsheets/d/14Bd19lYaqBhU8_DElYkX7l4wRkHqqCUFNJY4AfY3kHU/edit?usp=sharing  #gid=0"",""фіз особи new!relations_name""),6,FALSE)
,
(IF
(
G1231=""юридична особа""
,
VLOOKUP"&amp;"(H1231,IMPORTRANGE(""https://docs.google.com/spreadsheets/d/14Bd19lYaqBhU8_DElYkX7l4wRkHqqCUFNJY4AfY3kHU/edit?usp=sharing  #gid=0"",""фіз особи new!relations_name_uo""),7,FALSE)
,
)
))"),"#N/A")</f>
        <v>#N/A</v>
      </c>
      <c r="J1230" s="7" t="s">
        <v>11</v>
      </c>
    </row>
    <row r="1231" spans="1:10" ht="13.2">
      <c r="A1231" s="7">
        <v>1230</v>
      </c>
      <c r="B1231" s="7">
        <v>1</v>
      </c>
      <c r="C1231" s="7" t="s">
        <v>10</v>
      </c>
      <c r="D1231" s="7">
        <v>403</v>
      </c>
      <c r="E1231" s="7" t="s">
        <v>11</v>
      </c>
      <c r="F1231" s="8" t="str">
        <f ca="1">IFERROR(__xludf.DUMMYFUNCTION("IF
(
C1232=""фізична особа""
,
VLOOKUP(D1232,IMPORTRANGE(""https://docs.google.com/spreadsheets/d/14Bd19lYaqBhU8_DElYkX7l4wRkHqqCUFNJY4AfY3kHU/edit?usp=sharing  #gid=0"",""фіз особи new!relations_name""),6,FALSE)
,
(IF
(
C1232=""юридична особа""
,
VLOOKUP"&amp;"(D1232,IMPORTRANGE(""https://docs.google.com/spreadsheets/d/14Bd19lYaqBhU8_DElYkX7l4wRkHqqCUFNJY4AfY3kHU/edit?usp=sharing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31" s="7" t="s">
        <v>10</v>
      </c>
      <c r="H1231" s="7">
        <v>0</v>
      </c>
      <c r="I1231" s="8" t="str">
        <f ca="1">IFERROR(__xludf.DUMMYFUNCTION("IF
(
G1232=""фізична особа""
,
VLOOKUP(H1232,IMPORTRANGE(""https://docs.google.com/spreadsheets/d/14Bd19lYaqBhU8_DElYkX7l4wRkHqqCUFNJY4AfY3kHU/edit?usp=sharing  #gid=0"",""фіз особи new!relations_name""),6,FALSE)
,
(IF
(
G1232=""юридична особа""
,
VLOOKUP"&amp;"(H1232,IMPORTRANGE(""https://docs.google.com/spreadsheets/d/14Bd19lYaqBhU8_DElYkX7l4wRkHqqCUFNJY4AfY3kHU/edit?usp=sharing  #gid=0"",""фіз особи new!relations_name_uo""),7,FALSE)
,
)
))"),"#N/A")</f>
        <v>#N/A</v>
      </c>
      <c r="J1231" s="7" t="s">
        <v>11</v>
      </c>
    </row>
    <row r="1232" spans="1:10" ht="13.2">
      <c r="A1232" s="7">
        <v>1231</v>
      </c>
      <c r="B1232" s="7">
        <v>1</v>
      </c>
      <c r="C1232" s="7" t="s">
        <v>10</v>
      </c>
      <c r="D1232" s="7">
        <v>403</v>
      </c>
      <c r="E1232" s="7" t="s">
        <v>11</v>
      </c>
      <c r="F1232" s="8" t="str">
        <f ca="1">IFERROR(__xludf.DUMMYFUNCTION("IF
(
C1233=""фізична особа""
,
VLOOKUP(D1233,IMPORTRANGE(""https://docs.google.com/spreadsheets/d/14Bd19lYaqBhU8_DElYkX7l4wRkHqqCUFNJY4AfY3kHU/edit?usp=sharing  #gid=0"",""фіз особи new!relations_name""),6,FALSE)
,
(IF
(
C1233=""юридична особа""
,
VLOOKUP"&amp;"(D1233,IMPORTRANGE(""https://docs.google.com/spreadsheets/d/14Bd19lYaqBhU8_DElYkX7l4wRkHqqCUFNJY4AfY3kHU/edit?usp=sharing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32" s="7" t="s">
        <v>10</v>
      </c>
      <c r="H1232" s="7">
        <v>0</v>
      </c>
      <c r="I1232" s="8" t="str">
        <f ca="1">IFERROR(__xludf.DUMMYFUNCTION("IF
(
G1233=""фізична особа""
,
VLOOKUP(H1233,IMPORTRANGE(""https://docs.google.com/spreadsheets/d/14Bd19lYaqBhU8_DElYkX7l4wRkHqqCUFNJY4AfY3kHU/edit?usp=sharing  #gid=0"",""фіз особи new!relations_name""),6,FALSE)
,
(IF
(
G1233=""юридична особа""
,
VLOOKUP"&amp;"(H1233,IMPORTRANGE(""https://docs.google.com/spreadsheets/d/14Bd19lYaqBhU8_DElYkX7l4wRkHqqCUFNJY4AfY3kHU/edit?usp=sharing  #gid=0"",""фіз особи new!relations_name_uo""),7,FALSE)
,
)
))"),"#N/A")</f>
        <v>#N/A</v>
      </c>
      <c r="J1232" s="7" t="s">
        <v>11</v>
      </c>
    </row>
    <row r="1233" spans="1:10" ht="13.2">
      <c r="A1233" s="7">
        <v>1232</v>
      </c>
      <c r="B1233" s="7">
        <v>1</v>
      </c>
      <c r="C1233" s="7" t="s">
        <v>10</v>
      </c>
      <c r="D1233" s="7">
        <v>403</v>
      </c>
      <c r="E1233" s="7" t="s">
        <v>11</v>
      </c>
      <c r="F1233" s="8" t="str">
        <f ca="1">IFERROR(__xludf.DUMMYFUNCTION("IF
(
C1234=""фізична особа""
,
VLOOKUP(D1234,IMPORTRANGE(""https://docs.google.com/spreadsheets/d/14Bd19lYaqBhU8_DElYkX7l4wRkHqqCUFNJY4AfY3kHU/edit?usp=sharing  #gid=0"",""фіз особи new!relations_name""),6,FALSE)
,
(IF
(
C1234=""юридична особа""
,
VLOOKUP"&amp;"(D1234,IMPORTRANGE(""https://docs.google.com/spreadsheets/d/14Bd19lYaqBhU8_DElYkX7l4wRkHqqCUFNJY4AfY3kHU/edit?usp=sharing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G1233" s="7" t="s">
        <v>10</v>
      </c>
      <c r="H1233" s="7">
        <v>0</v>
      </c>
      <c r="I1233" s="8" t="str">
        <f ca="1">IFERROR(__xludf.DUMMYFUNCTION("IF
(
G1234=""фізична особа""
,
VLOOKUP(H1234,IMPORTRANGE(""https://docs.google.com/spreadsheets/d/14Bd19lYaqBhU8_DElYkX7l4wRkHqqCUFNJY4AfY3kHU/edit?usp=sharing  #gid=0"",""фіз особи new!relations_name""),6,FALSE)
,
(IF
(
G1234=""юридична особа""
,
VLOOKUP"&amp;"(H1234,IMPORTRANGE(""https://docs.google.com/spreadsheets/d/14Bd19lYaqBhU8_DElYkX7l4wRkHqqCUFNJY4AfY3kHU/edit?usp=sharing  #gid=0"",""фіз особи new!relations_name_uo""),7,FALSE)
,
)
))"),"#N/A")</f>
        <v>#N/A</v>
      </c>
      <c r="J1233" s="7" t="s">
        <v>11</v>
      </c>
    </row>
    <row r="1234" spans="1:10" ht="13.2">
      <c r="A1234" s="7">
        <v>1233</v>
      </c>
      <c r="B1234" s="7">
        <v>1</v>
      </c>
      <c r="C1234" s="7" t="s">
        <v>10</v>
      </c>
      <c r="D1234" s="7">
        <v>405</v>
      </c>
      <c r="E1234" s="7" t="s">
        <v>15</v>
      </c>
      <c r="F1234" s="8" t="str">
        <f ca="1">IFERROR(__xludf.DUMMYFUNCTION("IF
(
C1235=""фізична особа""
,
VLOOKUP(D1235,IMPORTRANGE(""https://docs.google.com/spreadsheets/d/14Bd19lYaqBhU8_DElYkX7l4wRkHqqCUFNJY4AfY3kHU/edit?usp=sharing  #gid=0"",""фіз особи new!relations_name""),6,FALSE)
,
(IF
(
C1235=""юридична особа""
,
VLOOKUP"&amp;"(D1235,IMPORTRANGE(""https://docs.google.com/spreadsheets/d/14Bd19lYaqBhU8_DElYkX7l4wRkHqqCUFNJY4AfY3kHU/edit?usp=sharing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G1234" s="7" t="s">
        <v>10</v>
      </c>
      <c r="H1234" s="7">
        <v>4894</v>
      </c>
      <c r="I1234" s="8" t="str">
        <f ca="1">IFERROR(__xludf.DUMMYFUNCTION("IF
(
G1235=""фізична особа""
,
VLOOKUP(H1235,IMPORTRANGE(""https://docs.google.com/spreadsheets/d/14Bd19lYaqBhU8_DElYkX7l4wRkHqqCUFNJY4AfY3kHU/edit?usp=sharing  #gid=0"",""фіз особи new!relations_name""),6,FALSE)
,
(IF
(
G1235=""юридична особа""
,
VLOOKUP"&amp;"(H1235,IMPORTRANGE(""https://docs.google.com/spreadsheets/d/14Bd19lYaqBhU8_DElYkX7l4wRkHqqCUFNJY4AfY3kHU/edit?usp=sharing  #gid=0"",""фіз особи new!relations_name_uo""),7,FALSE)
,
)
))"),"ГУМЕРОВ Рахім'ян Мухтарович")</f>
        <v>ГУМЕРОВ Рахім'ян Мухтарович</v>
      </c>
      <c r="J1234" s="7" t="s">
        <v>14</v>
      </c>
    </row>
    <row r="1235" spans="1:10" ht="13.2">
      <c r="A1235" s="7">
        <v>1234</v>
      </c>
      <c r="B1235" s="7">
        <v>1</v>
      </c>
      <c r="C1235" s="7" t="s">
        <v>10</v>
      </c>
      <c r="D1235" s="7">
        <v>405</v>
      </c>
      <c r="E1235" s="7" t="s">
        <v>21</v>
      </c>
      <c r="F1235" s="8" t="str">
        <f ca="1">IFERROR(__xludf.DUMMYFUNCTION("IF
(
C1236=""фізична особа""
,
VLOOKUP(D1236,IMPORTRANGE(""https://docs.google.com/spreadsheets/d/14Bd19lYaqBhU8_DElYkX7l4wRkHqqCUFNJY4AfY3kHU/edit?usp=sharing  #gid=0"",""фіз особи new!relations_name""),6,FALSE)
,
(IF
(
C1236=""юридична особа""
,
VLOOKUP"&amp;"(D1236,IMPORTRANGE(""https://docs.google.com/spreadsheets/d/14Bd19lYaqBhU8_DElYkX7l4wRkHqqCUFNJY4AfY3kHU/edit?usp=sharing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G1235" s="7" t="s">
        <v>10</v>
      </c>
      <c r="H1235" s="7">
        <v>4895</v>
      </c>
      <c r="I1235" s="8" t="str">
        <f ca="1">IFERROR(__xludf.DUMMYFUNCTION("IF
(
G1236=""фізична особа""
,
VLOOKUP(H1236,IMPORTRANGE(""https://docs.google.com/spreadsheets/d/14Bd19lYaqBhU8_DElYkX7l4wRkHqqCUFNJY4AfY3kHU/edit?usp=sharing  #gid=0"",""фіз особи new!relations_name""),6,FALSE)
,
(IF
(
G1236=""юридична особа""
,
VLOOKUP"&amp;"(H1236,IMPORTRANGE(""https://docs.google.com/spreadsheets/d/14Bd19lYaqBhU8_DElYkX7l4wRkHqqCUFNJY4AfY3kHU/edit?usp=sharing  #gid=0"",""фіз особи new!relations_name_uo""),7,FALSE)
,
)
))"),"ГУМЕРОВА Діна Рахім'янівна")</f>
        <v>ГУМЕРОВА Діна Рахім'янівна</v>
      </c>
      <c r="J1235" s="7" t="s">
        <v>13</v>
      </c>
    </row>
    <row r="1236" spans="1:10" ht="13.2">
      <c r="A1236" s="7">
        <v>1235</v>
      </c>
      <c r="B1236" s="7">
        <v>1</v>
      </c>
      <c r="C1236" s="7" t="s">
        <v>10</v>
      </c>
      <c r="D1236" s="7">
        <v>405</v>
      </c>
      <c r="E1236" s="7" t="s">
        <v>48</v>
      </c>
      <c r="F1236" s="8" t="str">
        <f ca="1">IFERROR(__xludf.DUMMYFUNCTION("IF
(
C1237=""фізична особа""
,
VLOOKUP(D1237,IMPORTRANGE(""https://docs.google.com/spreadsheets/d/14Bd19lYaqBhU8_DElYkX7l4wRkHqqCUFNJY4AfY3kHU/edit?usp=sharing  #gid=0"",""фіз особи new!relations_name""),6,FALSE)
,
(IF
(
C1237=""юридична особа""
,
VLOOKUP"&amp;"(D1237,IMPORTRANGE(""https://docs.google.com/spreadsheets/d/14Bd19lYaqBhU8_DElYkX7l4wRkHqqCUFNJY4AfY3kHU/edit?usp=sharing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G1236" s="7" t="s">
        <v>10</v>
      </c>
      <c r="H1236" s="7">
        <v>326</v>
      </c>
      <c r="I1236" s="8" t="str">
        <f ca="1">IFERROR(__xludf.DUMMYFUNCTION("IF
(
G1237=""фізична особа""
,
VLOOKUP(H1237,IMPORTRANGE(""https://docs.google.com/spreadsheets/d/14Bd19lYaqBhU8_DElYkX7l4wRkHqqCUFNJY4AfY3kHU/edit?usp=sharing  #gid=0"",""фіз особи new!relations_name""),6,FALSE)
,
(IF
(
G1237=""юридична особа""
,
VLOOKUP"&amp;"(H1237,IMPORTRANGE(""https://docs.google.com/spreadsheets/d/14Bd19lYaqBhU8_DElYkX7l4wRkHqqCUFNJY4AfY3kHU/edit?usp=sharing  #gid=0"",""фіз особи new!relations_name_uo""),7,FALSE)
,
)
))"),"ЯЛАЛОВ Ірек Ішмухаметович")</f>
        <v>ЯЛАЛОВ Ірек Ішмухаметович</v>
      </c>
      <c r="J1236" s="7" t="s">
        <v>48</v>
      </c>
    </row>
    <row r="1237" spans="1:10" ht="13.2">
      <c r="A1237" s="7">
        <v>1236</v>
      </c>
      <c r="B1237" s="7">
        <v>1</v>
      </c>
      <c r="C1237" s="7" t="s">
        <v>10</v>
      </c>
      <c r="D1237" s="7">
        <v>406</v>
      </c>
      <c r="E1237" s="7" t="s">
        <v>21</v>
      </c>
      <c r="F1237" s="8" t="str">
        <f ca="1">IFERROR(__xludf.DUMMYFUNCTION("IF
(
C1238=""фізична особа""
,
VLOOKUP(D1238,IMPORTRANGE(""https://docs.google.com/spreadsheets/d/14Bd19lYaqBhU8_DElYkX7l4wRkHqqCUFNJY4AfY3kHU/edit?usp=sharing  #gid=0"",""фіз особи new!relations_name""),6,FALSE)
,
(IF
(
C1238=""юридична особа""
,
VLOOKUP"&amp;"(D1238,IMPORTRANGE(""https://docs.google.com/spreadsheets/d/14Bd19lYaqBhU8_DElYkX7l4wRkHqqCUFNJY4AfY3kHU/edit?usp=sharing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G1237" s="7" t="s">
        <v>10</v>
      </c>
      <c r="H1237" s="7">
        <v>0</v>
      </c>
      <c r="I1237" s="8" t="str">
        <f ca="1">IFERROR(__xludf.DUMMYFUNCTION("IF
(
G1238=""фізична особа""
,
VLOOKUP(H1238,IMPORTRANGE(""https://docs.google.com/spreadsheets/d/14Bd19lYaqBhU8_DElYkX7l4wRkHqqCUFNJY4AfY3kHU/edit?usp=sharing  #gid=0"",""фіз особи new!relations_name""),6,FALSE)
,
(IF
(
G1238=""юридична особа""
,
VLOOKUP"&amp;"(H1238,IMPORTRANGE(""https://docs.google.com/spreadsheets/d/14Bd19lYaqBhU8_DElYkX7l4wRkHqqCUFNJY4AfY3kHU/edit?usp=sharing  #gid=0"",""фіз особи new!relations_name_uo""),7,FALSE)
,
)
))"),"#N/A")</f>
        <v>#N/A</v>
      </c>
      <c r="J1237" s="7" t="s">
        <v>17</v>
      </c>
    </row>
    <row r="1238" spans="1:10" ht="13.2">
      <c r="A1238" s="7">
        <v>1237</v>
      </c>
      <c r="B1238" s="7">
        <v>1</v>
      </c>
      <c r="C1238" s="7" t="s">
        <v>10</v>
      </c>
      <c r="D1238" s="7">
        <v>406</v>
      </c>
      <c r="E1238" s="7" t="s">
        <v>15</v>
      </c>
      <c r="F1238" s="8" t="str">
        <f ca="1">IFERROR(__xludf.DUMMYFUNCTION("IF
(
C1239=""фізична особа""
,
VLOOKUP(D1239,IMPORTRANGE(""https://docs.google.com/spreadsheets/d/14Bd19lYaqBhU8_DElYkX7l4wRkHqqCUFNJY4AfY3kHU/edit?usp=sharing  #gid=0"",""фіз особи new!relations_name""),6,FALSE)
,
(IF
(
C1239=""юридична особа""
,
VLOOKUP"&amp;"(D1239,IMPORTRANGE(""https://docs.google.com/spreadsheets/d/14Bd19lYaqBhU8_DElYkX7l4wRkHqqCUFNJY4AfY3kHU/edit?usp=sharing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G1238" s="7" t="s">
        <v>10</v>
      </c>
      <c r="H1238" s="7">
        <v>8619</v>
      </c>
      <c r="I1238" s="8" t="str">
        <f ca="1">IFERROR(__xludf.DUMMYFUNCTION("IF
(
G1239=""фізична особа""
,
VLOOKUP(H1239,IMPORTRANGE(""https://docs.google.com/spreadsheets/d/14Bd19lYaqBhU8_DElYkX7l4wRkHqqCUFNJY4AfY3kHU/edit?usp=sharing  #gid=0"",""фіз особи new!relations_name""),6,FALSE)
,
(IF
(
G1239=""юридична особа""
,
VLOOKUP"&amp;"(H1239,IMPORTRANGE(""https://docs.google.com/spreadsheets/d/14Bd19lYaqBhU8_DElYkX7l4wRkHqqCUFNJY4AfY3kHU/edit?usp=sharing  #gid=0"",""фіз особи new!relations_name_uo""),7,FALSE)
,
)
))"),"КОМАРОВ Кирило Борисович")</f>
        <v>КОМАРОВ Кирило Борисович</v>
      </c>
      <c r="J1238" s="7" t="s">
        <v>14</v>
      </c>
    </row>
    <row r="1239" spans="1:10" ht="13.2">
      <c r="A1239" s="7">
        <v>1238</v>
      </c>
      <c r="B1239" s="7">
        <v>1</v>
      </c>
      <c r="C1239" s="7" t="s">
        <v>10</v>
      </c>
      <c r="D1239" s="7">
        <v>406</v>
      </c>
      <c r="E1239" s="7" t="s">
        <v>48</v>
      </c>
      <c r="F1239" s="8" t="str">
        <f ca="1">IFERROR(__xludf.DUMMYFUNCTION("IF
(
C1240=""фізична особа""
,
VLOOKUP(D1240,IMPORTRANGE(""https://docs.google.com/spreadsheets/d/14Bd19lYaqBhU8_DElYkX7l4wRkHqqCUFNJY4AfY3kHU/edit?usp=sharing  #gid=0"",""фіз особи new!relations_name""),6,FALSE)
,
(IF
(
C1240=""юридична особа""
,
VLOOKUP"&amp;"(D1240,IMPORTRANGE(""https://docs.google.com/spreadsheets/d/14Bd19lYaqBhU8_DElYkX7l4wRkHqqCUFNJY4AfY3kHU/edit?usp=sharing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G1239" s="7" t="s">
        <v>10</v>
      </c>
      <c r="H1239" s="7">
        <v>669</v>
      </c>
      <c r="I1239" s="8" t="str">
        <f ca="1">IFERROR(__xludf.DUMMYFUNCTION("IF
(
G1240=""фізична особа""
,
VLOOKUP(H1240,IMPORTRANGE(""https://docs.google.com/spreadsheets/d/14Bd19lYaqBhU8_DElYkX7l4wRkHqqCUFNJY4AfY3kHU/edit?usp=sharing  #gid=0"",""фіз особи new!relations_name""),6,FALSE)
,
(IF
(
G1240=""юридична особа""
,
VLOOKUP"&amp;"(H1240,IMPORTRANGE(""https://docs.google.com/spreadsheets/d/14Bd19lYaqBhU8_DElYkX7l4wRkHqqCUFNJY4AfY3kHU/edit?usp=sharing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J1239" s="7" t="s">
        <v>48</v>
      </c>
    </row>
    <row r="1240" spans="1:10" ht="13.2">
      <c r="A1240" s="7">
        <v>1239</v>
      </c>
      <c r="B1240" s="7">
        <v>1</v>
      </c>
      <c r="C1240" s="7" t="s">
        <v>10</v>
      </c>
      <c r="D1240" s="7">
        <v>406</v>
      </c>
      <c r="E1240" s="7" t="s">
        <v>70</v>
      </c>
      <c r="F1240" s="8" t="str">
        <f ca="1">IFERROR(__xludf.DUMMYFUNCTION("IF
(
C1241=""фізична особа""
,
VLOOKUP(D1241,IMPORTRANGE(""https://docs.google.com/spreadsheets/d/14Bd19lYaqBhU8_DElYkX7l4wRkHqqCUFNJY4AfY3kHU/edit?usp=sharing  #gid=0"",""фіз особи new!relations_name""),6,FALSE)
,
(IF
(
C1241=""юридична особа""
,
VLOOKUP"&amp;"(D1241,IMPORTRANGE(""https://docs.google.com/spreadsheets/d/14Bd19lYaqBhU8_DElYkX7l4wRkHqqCUFNJY4AfY3kHU/edit?usp=sharing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G1240" s="7" t="s">
        <v>10</v>
      </c>
      <c r="H1240" s="7">
        <v>0</v>
      </c>
      <c r="I1240" s="8" t="str">
        <f ca="1">IFERROR(__xludf.DUMMYFUNCTION("IF
(
G1241=""фізична особа""
,
VLOOKUP(H1241,IMPORTRANGE(""https://docs.google.com/spreadsheets/d/14Bd19lYaqBhU8_DElYkX7l4wRkHqqCUFNJY4AfY3kHU/edit?usp=sharing  #gid=0"",""фіз особи new!relations_name""),6,FALSE)
,
(IF
(
G1241=""юридична особа""
,
VLOOKUP"&amp;"(H1241,IMPORTRANGE(""https://docs.google.com/spreadsheets/d/14Bd19lYaqBhU8_DElYkX7l4wRkHqqCUFNJY4AfY3kHU/edit?usp=sharing  #gid=0"",""фіз особи new!relations_name_uo""),7,FALSE)
,
)
))"),"#N/A")</f>
        <v>#N/A</v>
      </c>
      <c r="J1240" s="7" t="s">
        <v>70</v>
      </c>
    </row>
    <row r="1241" spans="1:10" ht="13.2">
      <c r="A1241" s="7">
        <v>1240</v>
      </c>
      <c r="B1241" s="7">
        <v>1</v>
      </c>
      <c r="C1241" s="7" t="s">
        <v>10</v>
      </c>
      <c r="D1241" s="7">
        <v>406</v>
      </c>
      <c r="E1241" s="7" t="s">
        <v>35</v>
      </c>
      <c r="F1241" s="8" t="str">
        <f ca="1">IFERROR(__xludf.DUMMYFUNCTION("IF
(
C1242=""фізична особа""
,
VLOOKUP(D1242,IMPORTRANGE(""https://docs.google.com/spreadsheets/d/14Bd19lYaqBhU8_DElYkX7l4wRkHqqCUFNJY4AfY3kHU/edit?usp=sharing  #gid=0"",""фіз особи new!relations_name""),6,FALSE)
,
(IF
(
C1242=""юридична особа""
,
VLOOKUP"&amp;"(D1242,IMPORTRANGE(""https://docs.google.com/spreadsheets/d/14Bd19lYaqBhU8_DElYkX7l4wRkHqqCUFNJY4AfY3kHU/edit?usp=sharing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G1241" s="7" t="s">
        <v>10</v>
      </c>
      <c r="H1241" s="7">
        <v>950</v>
      </c>
      <c r="I1241" s="8" t="str">
        <f ca="1">IFERROR(__xludf.DUMMYFUNCTION("IF
(
G1242=""фізична особа""
,
VLOOKUP(H1242,IMPORTRANGE(""https://docs.google.com/spreadsheets/d/14Bd19lYaqBhU8_DElYkX7l4wRkHqqCUFNJY4AfY3kHU/edit?usp=sharing  #gid=0"",""фіз особи new!relations_name""),6,FALSE)
,
(IF
(
G1242=""юридична особа""
,
VLOOKUP"&amp;"(H1242,IMPORTRANGE(""https://docs.google.com/spreadsheets/d/14Bd19lYaqBhU8_DElYkX7l4wRkHqqCUFNJY4AfY3kHU/edit?usp=sharing  #gid=0"",""фіз особи new!relations_name_uo""),7,FALSE)
,
)
))"),"ФЬОДОРОВ Юрій Вікторович")</f>
        <v>ФЬОДОРОВ Юрій Вікторович</v>
      </c>
      <c r="J1241" s="7" t="s">
        <v>35</v>
      </c>
    </row>
    <row r="1242" spans="1:10" ht="13.2">
      <c r="A1242" s="7">
        <v>1241</v>
      </c>
      <c r="B1242" s="7">
        <v>1</v>
      </c>
      <c r="C1242" s="7" t="s">
        <v>10</v>
      </c>
      <c r="D1242" s="7">
        <v>407</v>
      </c>
      <c r="E1242" s="7" t="s">
        <v>15</v>
      </c>
      <c r="F1242" s="8" t="str">
        <f ca="1">IFERROR(__xludf.DUMMYFUNCTION("IF
(
C1243=""фізична особа""
,
VLOOKUP(D1243,IMPORTRANGE(""https://docs.google.com/spreadsheets/d/14Bd19lYaqBhU8_DElYkX7l4wRkHqqCUFNJY4AfY3kHU/edit?usp=sharing  #gid=0"",""фіз особи new!relations_name""),6,FALSE)
,
(IF
(
C1243=""юридична особа""
,
VLOOKUP"&amp;"(D1243,IMPORTRANGE(""https://docs.google.com/spreadsheets/d/14Bd19lYaqBhU8_DElYkX7l4wRkHqqCUFNJY4AfY3kHU/edit?usp=sharing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G1242" s="7" t="s">
        <v>10</v>
      </c>
      <c r="H1242" s="7">
        <v>602</v>
      </c>
      <c r="I1242" s="8" t="str">
        <f ca="1">IFERROR(__xludf.DUMMYFUNCTION("IF
(
G1243=""фізична особа""
,
VLOOKUP(H1243,IMPORTRANGE(""https://docs.google.com/spreadsheets/d/14Bd19lYaqBhU8_DElYkX7l4wRkHqqCUFNJY4AfY3kHU/edit?usp=sharing  #gid=0"",""фіз особи new!relations_name""),6,FALSE)
,
(IF
(
G1243=""юридична особа""
,
VLOOKUP"&amp;"(H1243,IMPORTRANGE(""https://docs.google.com/spreadsheets/d/14Bd19lYaqBhU8_DElYkX7l4wRkHqqCUFNJY4AfY3kHU/edit?usp=sharing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J1242" s="7" t="s">
        <v>14</v>
      </c>
    </row>
    <row r="1243" spans="1:10" ht="13.2">
      <c r="A1243" s="7">
        <v>1242</v>
      </c>
      <c r="B1243" s="7">
        <v>1</v>
      </c>
      <c r="C1243" s="7" t="s">
        <v>10</v>
      </c>
      <c r="D1243" s="7">
        <v>407</v>
      </c>
      <c r="E1243" s="7" t="s">
        <v>21</v>
      </c>
      <c r="F1243" s="8" t="str">
        <f ca="1">IFERROR(__xludf.DUMMYFUNCTION("IF
(
C1244=""фізична особа""
,
VLOOKUP(D1244,IMPORTRANGE(""https://docs.google.com/spreadsheets/d/14Bd19lYaqBhU8_DElYkX7l4wRkHqqCUFNJY4AfY3kHU/edit?usp=sharing  #gid=0"",""фіз особи new!relations_name""),6,FALSE)
,
(IF
(
C1244=""юридична особа""
,
VLOOKUP"&amp;"(D1244,IMPORTRANGE(""https://docs.google.com/spreadsheets/d/14Bd19lYaqBhU8_DElYkX7l4wRkHqqCUFNJY4AfY3kHU/edit?usp=sharing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G1243" s="7" t="s">
        <v>10</v>
      </c>
      <c r="H1243" s="7">
        <v>600</v>
      </c>
      <c r="I1243" s="8" t="str">
        <f ca="1">IFERROR(__xludf.DUMMYFUNCTION("IF
(
G1244=""фізична особа""
,
VLOOKUP(H1244,IMPORTRANGE(""https://docs.google.com/spreadsheets/d/14Bd19lYaqBhU8_DElYkX7l4wRkHqqCUFNJY4AfY3kHU/edit?usp=sharing  #gid=0"",""фіз особи new!relations_name""),6,FALSE)
,
(IF
(
G1244=""юридична особа""
,
VLOOKUP"&amp;"(H1244,IMPORTRANGE(""https://docs.google.com/spreadsheets/d/14Bd19lYaqBhU8_DElYkX7l4wRkHqqCUFNJY4AfY3kHU/edit?usp=sharing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J1243" s="7" t="s">
        <v>17</v>
      </c>
    </row>
    <row r="1244" spans="1:10" ht="13.2">
      <c r="A1244" s="7">
        <v>1243</v>
      </c>
      <c r="B1244" s="7">
        <v>1</v>
      </c>
      <c r="C1244" s="7" t="s">
        <v>10</v>
      </c>
      <c r="D1244" s="7">
        <v>407</v>
      </c>
      <c r="E1244" s="7" t="s">
        <v>21</v>
      </c>
      <c r="F1244" s="8" t="str">
        <f ca="1">IFERROR(__xludf.DUMMYFUNCTION("IF
(
C1245=""фізична особа""
,
VLOOKUP(D1245,IMPORTRANGE(""https://docs.google.com/spreadsheets/d/14Bd19lYaqBhU8_DElYkX7l4wRkHqqCUFNJY4AfY3kHU/edit?usp=sharing  #gid=0"",""фіз особи new!relations_name""),6,FALSE)
,
(IF
(
C1245=""юридична особа""
,
VLOOKUP"&amp;"(D1245,IMPORTRANGE(""https://docs.google.com/spreadsheets/d/14Bd19lYaqBhU8_DElYkX7l4wRkHqqCUFNJY4AfY3kHU/edit?usp=sharing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G1244" s="7" t="s">
        <v>10</v>
      </c>
      <c r="H1244" s="7">
        <v>603</v>
      </c>
      <c r="I1244" s="8" t="str">
        <f ca="1">IFERROR(__xludf.DUMMYFUNCTION("IF
(
G1245=""фізична особа""
,
VLOOKUP(H1245,IMPORTRANGE(""https://docs.google.com/spreadsheets/d/14Bd19lYaqBhU8_DElYkX7l4wRkHqqCUFNJY4AfY3kHU/edit?usp=sharing  #gid=0"",""фіз особи new!relations_name""),6,FALSE)
,
(IF
(
G1245=""юридична особа""
,
VLOOKUP"&amp;"(H1245,IMPORTRANGE(""https://docs.google.com/spreadsheets/d/14Bd19lYaqBhU8_DElYkX7l4wRkHqqCUFNJY4AfY3kHU/edit?usp=sharing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J1244" s="7" t="s">
        <v>13</v>
      </c>
    </row>
    <row r="1245" spans="1:10" ht="13.2">
      <c r="A1245" s="7">
        <v>1244</v>
      </c>
      <c r="B1245" s="7">
        <v>1</v>
      </c>
      <c r="C1245" s="7" t="s">
        <v>10</v>
      </c>
      <c r="D1245" s="7">
        <v>407</v>
      </c>
      <c r="E1245" s="7" t="s">
        <v>21</v>
      </c>
      <c r="F1245" s="8" t="str">
        <f ca="1">IFERROR(__xludf.DUMMYFUNCTION("IF
(
C1246=""фізична особа""
,
VLOOKUP(D1246,IMPORTRANGE(""https://docs.google.com/spreadsheets/d/14Bd19lYaqBhU8_DElYkX7l4wRkHqqCUFNJY4AfY3kHU/edit?usp=sharing  #gid=0"",""фіз особи new!relations_name""),6,FALSE)
,
(IF
(
C1246=""юридична особа""
,
VLOOKUP"&amp;"(D1246,IMPORTRANGE(""https://docs.google.com/spreadsheets/d/14Bd19lYaqBhU8_DElYkX7l4wRkHqqCUFNJY4AfY3kHU/edit?usp=sharing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G1245" s="7" t="s">
        <v>10</v>
      </c>
      <c r="H1245" s="7">
        <v>23397</v>
      </c>
      <c r="I1245" s="8" t="str">
        <f ca="1">IFERROR(__xludf.DUMMYFUNCTION("IF
(
G1246=""фізична особа""
,
VLOOKUP(H1246,IMPORTRANGE(""https://docs.google.com/spreadsheets/d/14Bd19lYaqBhU8_DElYkX7l4wRkHqqCUFNJY4AfY3kHU/edit?usp=sharing  #gid=0"",""фіз особи new!relations_name""),6,FALSE)
,
(IF
(
G1246=""юридична особа""
,
VLOOKUP"&amp;"(H1246,IMPORTRANGE(""https://docs.google.com/spreadsheets/d/14Bd19lYaqBhU8_DElYkX7l4wRkHqqCUFNJY4AfY3kHU/edit?usp=sharing  #gid=0"",""фіз особи new!relations_name_uo""),7,FALSE)
,
)
))"),"ПРИГОЖИНА Вероніка Євгенівна")</f>
        <v>ПРИГОЖИНА Вероніка Євгенівна</v>
      </c>
      <c r="J1245" s="7" t="s">
        <v>13</v>
      </c>
    </row>
    <row r="1246" spans="1:10" ht="13.2">
      <c r="A1246" s="7">
        <v>1245</v>
      </c>
      <c r="B1246" s="7">
        <v>1</v>
      </c>
      <c r="C1246" s="7" t="s">
        <v>10</v>
      </c>
      <c r="D1246" s="7">
        <v>408</v>
      </c>
      <c r="E1246" s="7" t="s">
        <v>35</v>
      </c>
      <c r="F1246" s="8" t="str">
        <f ca="1">IFERROR(__xludf.DUMMYFUNCTION("IF
(
C1247=""фізична особа""
,
VLOOKUP(D1247,IMPORTRANGE(""https://docs.google.com/spreadsheets/d/14Bd19lYaqBhU8_DElYkX7l4wRkHqqCUFNJY4AfY3kHU/edit?usp=sharing  #gid=0"",""фіз особи new!relations_name""),6,FALSE)
,
(IF
(
C1247=""юридична особа""
,
VLOOKUP"&amp;"(D1247,IMPORTRANGE(""https://docs.google.com/spreadsheets/d/14Bd19lYaqBhU8_DElYkX7l4wRkHqqCUFNJY4AfY3kHU/edit?usp=sharing  #gid=0"",""фіз особи new!relations_name_uo""),7,FALSE)
,
)
))"),"СКАКОВСЬКА Людмила Миколаївна")</f>
        <v>СКАКОВСЬКА Людмила Миколаївна</v>
      </c>
      <c r="G1246" s="7" t="s">
        <v>10</v>
      </c>
      <c r="H1246" s="7">
        <v>51</v>
      </c>
      <c r="I1246" s="8" t="str">
        <f ca="1">IFERROR(__xludf.DUMMYFUNCTION("IF
(
G1247=""фізична особа""
,
VLOOKUP(H1247,IMPORTRANGE(""https://docs.google.com/spreadsheets/d/14Bd19lYaqBhU8_DElYkX7l4wRkHqqCUFNJY4AfY3kHU/edit?usp=sharing  #gid=0"",""фіз особи new!relations_name""),6,FALSE)
,
(IF
(
G1247=""юридична особа""
,
VLOOKUP"&amp;"(H1247,IMPORTRANGE(""https://docs.google.com/spreadsheets/d/14Bd19lYaqBhU8_DElYkX7l4wRkHqqCUFNJY4AfY3kHU/edit?usp=sharing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J1246" s="7" t="s">
        <v>35</v>
      </c>
    </row>
    <row r="1247" spans="1:10" ht="13.2">
      <c r="A1247" s="7">
        <v>1246</v>
      </c>
      <c r="B1247" s="7">
        <v>1</v>
      </c>
      <c r="C1247" s="7" t="s">
        <v>10</v>
      </c>
      <c r="D1247" s="7">
        <v>408</v>
      </c>
      <c r="E1247" s="7" t="s">
        <v>48</v>
      </c>
      <c r="F1247" s="8" t="str">
        <f ca="1">IFERROR(__xludf.DUMMYFUNCTION("IF
(
C1248=""фізична особа""
,
VLOOKUP(D1248,IMPORTRANGE(""https://docs.google.com/spreadsheets/d/14Bd19lYaqBhU8_DElYkX7l4wRkHqqCUFNJY4AfY3kHU/edit?usp=sharing  #gid=0"",""фіз особи new!relations_name""),6,FALSE)
,
(IF
(
C1248=""юридична особа""
,
VLOOKUP"&amp;"(D1248,IMPORTRANGE(""https://docs.google.com/spreadsheets/d/14Bd19lYaqBhU8_DElYkX7l4wRkHqqCUFNJY4AfY3kHU/edit?usp=sharing  #gid=0"",""фіз особи new!relations_name_uo""),7,FALSE)
,
)
))"),"СКАКОВСЬКА Людмила Миколаївна")</f>
        <v>СКАКОВСЬКА Людмила Миколаївна</v>
      </c>
      <c r="G1247" s="7" t="s">
        <v>10</v>
      </c>
      <c r="H1247" s="7">
        <v>2562</v>
      </c>
      <c r="I1247" s="8" t="str">
        <f ca="1">IFERROR(__xludf.DUMMYFUNCTION("IF
(
G1248=""фізична особа""
,
VLOOKUP(H1248,IMPORTRANGE(""https://docs.google.com/spreadsheets/d/14Bd19lYaqBhU8_DElYkX7l4wRkHqqCUFNJY4AfY3kHU/edit?usp=sharing  #gid=0"",""фіз особи new!relations_name""),6,FALSE)
,
(IF
(
G1248=""юридична особа""
,
VLOOKUP"&amp;"(H1248,IMPORTRANGE(""https://docs.google.com/spreadsheets/d/14Bd19lYaqBhU8_DElYkX7l4wRkHqqCUFNJY4AfY3kHU/edit?usp=sharing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1247" s="7" t="s">
        <v>48</v>
      </c>
    </row>
    <row r="1248" spans="1:10" ht="13.2">
      <c r="A1248" s="7">
        <v>1247</v>
      </c>
      <c r="B1248" s="7">
        <v>1</v>
      </c>
      <c r="C1248" s="7" t="s">
        <v>10</v>
      </c>
      <c r="D1248" s="7">
        <v>409</v>
      </c>
      <c r="E1248" s="7" t="s">
        <v>35</v>
      </c>
      <c r="F1248" s="8" t="str">
        <f ca="1">IFERROR(__xludf.DUMMYFUNCTION("IF
(
C1249=""фізична особа""
,
VLOOKUP(D1249,IMPORTRANGE(""https://docs.google.com/spreadsheets/d/14Bd19lYaqBhU8_DElYkX7l4wRkHqqCUFNJY4AfY3kHU/edit?usp=sharing  #gid=0"",""фіз особи new!relations_name""),6,FALSE)
,
(IF
(
C1249=""юридична особа""
,
VLOOKUP"&amp;"(D1249,IMPORTRANGE(""https://docs.google.com/spreadsheets/d/14Bd19lYaqBhU8_DElYkX7l4wRkHqqCUFNJY4AfY3kHU/edit?usp=sharing  #gid=0"",""фіз особи new!relations_name_uo""),7,FALSE)
,
)
))"),"ТАЛАБАЄВА Людмила Заумовна")</f>
        <v>ТАЛАБАЄВА Людмила Заумовна</v>
      </c>
      <c r="G1248" s="7" t="s">
        <v>10</v>
      </c>
      <c r="H1248" s="7">
        <v>746</v>
      </c>
      <c r="I1248" s="8" t="str">
        <f ca="1">IFERROR(__xludf.DUMMYFUNCTION("IF
(
G1249=""фізична особа""
,
VLOOKUP(H1249,IMPORTRANGE(""https://docs.google.com/spreadsheets/d/14Bd19lYaqBhU8_DElYkX7l4wRkHqqCUFNJY4AfY3kHU/edit?usp=sharing  #gid=0"",""фіз особи new!relations_name""),6,FALSE)
,
(IF
(
G1249=""юридична особа""
,
VLOOKUP"&amp;"(H1249,IMPORTRANGE(""https://docs.google.com/spreadsheets/d/14Bd19lYaqBhU8_DElYkX7l4wRkHqqCUFNJY4AfY3kHU/edit?usp=sharing  #gid=0"",""фіз особи new!relations_name_uo""),7,FALSE)
,
)
))"),"ГОРЯЧЄВА Світлана Петрівна")</f>
        <v>ГОРЯЧЄВА Світлана Петрівна</v>
      </c>
      <c r="J1248" s="7" t="s">
        <v>35</v>
      </c>
    </row>
    <row r="1249" spans="1:10" ht="13.2">
      <c r="A1249" s="7">
        <v>1248</v>
      </c>
      <c r="B1249" s="7">
        <v>1</v>
      </c>
      <c r="C1249" s="7" t="s">
        <v>10</v>
      </c>
      <c r="D1249" s="7">
        <v>412</v>
      </c>
      <c r="E1249" s="7" t="s">
        <v>14</v>
      </c>
      <c r="F1249" s="8" t="str">
        <f ca="1">IFERROR(__xludf.DUMMYFUNCTION("IF
(
C1250=""фізична особа""
,
VLOOKUP(D1250,IMPORTRANGE(""https://docs.google.com/spreadsheets/d/14Bd19lYaqBhU8_DElYkX7l4wRkHqqCUFNJY4AfY3kHU/edit?usp=sharing  #gid=0"",""фіз особи new!relations_name""),6,FALSE)
,
(IF
(
C1250=""юридична особа""
,
VLOOKUP"&amp;"(D1250,IMPORTRANGE(""https://docs.google.com/spreadsheets/d/14Bd19lYaqBhU8_DElYkX7l4wRkHqqCUFNJY4AfY3kHU/edit?usp=sharing  #gid=0"",""фіз особи new!relations_name_uo""),7,FALSE)
,
)
))"),"ЮЩЕНКО Олександр Андрійович")</f>
        <v>ЮЩЕНКО Олександр Андрійович</v>
      </c>
      <c r="G1249" s="7" t="s">
        <v>10</v>
      </c>
      <c r="H1249" s="7">
        <v>0</v>
      </c>
      <c r="I1249" s="8" t="str">
        <f ca="1">IFERROR(__xludf.DUMMYFUNCTION("IF
(
G1250=""фізична особа""
,
VLOOKUP(H1250,IMPORTRANGE(""https://docs.google.com/spreadsheets/d/14Bd19lYaqBhU8_DElYkX7l4wRkHqqCUFNJY4AfY3kHU/edit?usp=sharing  #gid=0"",""фіз особи new!relations_name""),6,FALSE)
,
(IF
(
G1250=""юридична особа""
,
VLOOKUP"&amp;"(H1250,IMPORTRANGE(""https://docs.google.com/spreadsheets/d/14Bd19lYaqBhU8_DElYkX7l4wRkHqqCUFNJY4AfY3kHU/edit?usp=sharing  #gid=0"",""фіз особи new!relations_name_uo""),7,FALSE)
,
)
))"),"#N/A")</f>
        <v>#N/A</v>
      </c>
      <c r="J1249" s="7" t="s">
        <v>15</v>
      </c>
    </row>
    <row r="1250" spans="1:10" ht="13.2">
      <c r="A1250" s="7">
        <v>1249</v>
      </c>
      <c r="B1250" s="7">
        <v>1</v>
      </c>
      <c r="C1250" s="7" t="s">
        <v>10</v>
      </c>
      <c r="D1250" s="7">
        <v>412</v>
      </c>
      <c r="E1250" s="7" t="s">
        <v>28</v>
      </c>
      <c r="F1250" s="8" t="str">
        <f ca="1">IFERROR(__xludf.DUMMYFUNCTION("IF
(
C1251=""фізична особа""
,
VLOOKUP(D1251,IMPORTRANGE(""https://docs.google.com/spreadsheets/d/14Bd19lYaqBhU8_DElYkX7l4wRkHqqCUFNJY4AfY3kHU/edit?usp=sharing  #gid=0"",""фіз особи new!relations_name""),6,FALSE)
,
(IF
(
C1251=""юридична особа""
,
VLOOKUP"&amp;"(D1251,IMPORTRANGE(""https://docs.google.com/spreadsheets/d/14Bd19lYaqBhU8_DElYkX7l4wRkHqqCUFNJY4AfY3kHU/edit?usp=sharing  #gid=0"",""фіз особи new!relations_name_uo""),7,FALSE)
,
)
))"),"ЮЩЕНКО Олександр Андрійович")</f>
        <v>ЮЩЕНКО Олександр Андрійович</v>
      </c>
      <c r="G1250" s="7" t="s">
        <v>10</v>
      </c>
      <c r="H1250" s="7">
        <v>267</v>
      </c>
      <c r="I1250" s="8" t="str">
        <f ca="1">IFERROR(__xludf.DUMMYFUNCTION("IF
(
G1251=""фізична особа""
,
VLOOKUP(H1251,IMPORTRANGE(""https://docs.google.com/spreadsheets/d/14Bd19lYaqBhU8_DElYkX7l4wRkHqqCUFNJY4AfY3kHU/edit?usp=sharing  #gid=0"",""фіз особи new!relations_name""),6,FALSE)
,
(IF
(
G1251=""юридична особа""
,
VLOOKUP"&amp;"(H1251,IMPORTRANGE(""https://docs.google.com/spreadsheets/d/14Bd19lYaqBhU8_DElYkX7l4wRkHqqCUFNJY4AfY3kHU/edit?usp=sharing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1250" s="7" t="s">
        <v>29</v>
      </c>
    </row>
    <row r="1251" spans="1:10" ht="13.2">
      <c r="A1251" s="7">
        <v>1250</v>
      </c>
      <c r="B1251" s="7">
        <v>1</v>
      </c>
      <c r="C1251" s="7" t="s">
        <v>10</v>
      </c>
      <c r="D1251" s="7">
        <v>414</v>
      </c>
      <c r="E1251" s="7" t="s">
        <v>35</v>
      </c>
      <c r="F1251" s="8" t="str">
        <f ca="1">IFERROR(__xludf.DUMMYFUNCTION("IF
(
C1252=""фізична особа""
,
VLOOKUP(D1252,IMPORTRANGE(""https://docs.google.com/spreadsheets/d/14Bd19lYaqBhU8_DElYkX7l4wRkHqqCUFNJY4AfY3kHU/edit?usp=sharing  #gid=0"",""фіз особи new!relations_name""),6,FALSE)
,
(IF
(
C1252=""юридична особа""
,
VLOOKUP"&amp;"(D1252,IMPORTRANGE(""https://docs.google.com/spreadsheets/d/14Bd19lYaqBhU8_DElYkX7l4wRkHqqCUFNJY4AfY3kHU/edit?usp=sharing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1" s="7" t="s">
        <v>10</v>
      </c>
      <c r="H1251" s="7">
        <v>23372</v>
      </c>
      <c r="I1251" s="8" t="str">
        <f ca="1">IFERROR(__xludf.DUMMYFUNCTION("IF
(
G1252=""фізична особа""
,
VLOOKUP(H1252,IMPORTRANGE(""https://docs.google.com/spreadsheets/d/14Bd19lYaqBhU8_DElYkX7l4wRkHqqCUFNJY4AfY3kHU/edit?usp=sharing  #gid=0"",""фіз особи new!relations_name""),6,FALSE)
,
(IF
(
G1252=""юридична особа""
,
VLOOKUP"&amp;"(H1252,IMPORTRANGE(""https://docs.google.com/spreadsheets/d/14Bd19lYaqBhU8_DElYkX7l4wRkHqqCUFNJY4AfY3kHU/edit?usp=sharing  #gid=0"",""фіз особи new!relations_name_uo""),7,FALSE)
,
)
))"),"ЮРЧЕНКО Олександр Володимирович")</f>
        <v>ЮРЧЕНКО Олександр Володимирович</v>
      </c>
      <c r="J1251" s="7" t="s">
        <v>35</v>
      </c>
    </row>
    <row r="1252" spans="1:10" ht="13.2">
      <c r="A1252" s="7">
        <v>1251</v>
      </c>
      <c r="B1252" s="7">
        <v>1</v>
      </c>
      <c r="C1252" s="7" t="s">
        <v>10</v>
      </c>
      <c r="D1252" s="7">
        <v>414</v>
      </c>
      <c r="E1252" s="7" t="s">
        <v>35</v>
      </c>
      <c r="F1252" s="8" t="str">
        <f ca="1">IFERROR(__xludf.DUMMYFUNCTION("IF
(
C1253=""фізична особа""
,
VLOOKUP(D1253,IMPORTRANGE(""https://docs.google.com/spreadsheets/d/14Bd19lYaqBhU8_DElYkX7l4wRkHqqCUFNJY4AfY3kHU/edit?usp=sharing  #gid=0"",""фіз особи new!relations_name""),6,FALSE)
,
(IF
(
C1253=""юридична особа""
,
VLOOKUP"&amp;"(D1253,IMPORTRANGE(""https://docs.google.com/spreadsheets/d/14Bd19lYaqBhU8_DElYkX7l4wRkHqqCUFNJY4AfY3kHU/edit?usp=sharing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2" s="7" t="s">
        <v>10</v>
      </c>
      <c r="H1252" s="7">
        <v>23373</v>
      </c>
      <c r="I1252" s="8" t="str">
        <f ca="1">IFERROR(__xludf.DUMMYFUNCTION("IF
(
G1253=""фізична особа""
,
VLOOKUP(H1253,IMPORTRANGE(""https://docs.google.com/spreadsheets/d/14Bd19lYaqBhU8_DElYkX7l4wRkHqqCUFNJY4AfY3kHU/edit?usp=sharing  #gid=0"",""фіз особи new!relations_name""),6,FALSE)
,
(IF
(
G1253=""юридична особа""
,
VLOOKUP"&amp;"(H1253,IMPORTRANGE(""https://docs.google.com/spreadsheets/d/14Bd19lYaqBhU8_DElYkX7l4wRkHqqCUFNJY4AfY3kHU/edit?usp=sharing  #gid=0"",""фіз особи new!relations_name_uo""),7,FALSE)
,
)
))"),"ПАВЛЮК Віталій Вікторович")</f>
        <v>ПАВЛЮК Віталій Вікторович</v>
      </c>
      <c r="J1252" s="7" t="s">
        <v>35</v>
      </c>
    </row>
    <row r="1253" spans="1:10" ht="13.2">
      <c r="A1253" s="7">
        <v>1252</v>
      </c>
      <c r="B1253" s="7">
        <v>1</v>
      </c>
      <c r="C1253" s="7" t="s">
        <v>10</v>
      </c>
      <c r="D1253" s="7">
        <v>414</v>
      </c>
      <c r="E1253" s="7" t="s">
        <v>28</v>
      </c>
      <c r="F1253" s="8" t="str">
        <f ca="1">IFERROR(__xludf.DUMMYFUNCTION("IF
(
C1254=""фізична особа""
,
VLOOKUP(D1254,IMPORTRANGE(""https://docs.google.com/spreadsheets/d/14Bd19lYaqBhU8_DElYkX7l4wRkHqqCUFNJY4AfY3kHU/edit?usp=sharing  #gid=0"",""фіз особи new!relations_name""),6,FALSE)
,
(IF
(
C1254=""юридична особа""
,
VLOOKUP"&amp;"(D1254,IMPORTRANGE(""https://docs.google.com/spreadsheets/d/14Bd19lYaqBhU8_DElYkX7l4wRkHqqCUFNJY4AfY3kHU/edit?usp=sharing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3" s="7" t="s">
        <v>10</v>
      </c>
      <c r="H1253" s="7">
        <v>229</v>
      </c>
      <c r="I1253" s="8" t="str">
        <f ca="1">IFERROR(__xludf.DUMMYFUNCTION("IF
(
G1254=""фізична особа""
,
VLOOKUP(H1254,IMPORTRANGE(""https://docs.google.com/spreadsheets/d/14Bd19lYaqBhU8_DElYkX7l4wRkHqqCUFNJY4AfY3kHU/edit?usp=sharing  #gid=0"",""фіз особи new!relations_name""),6,FALSE)
,
(IF
(
G1254=""юридична особа""
,
VLOOKUP"&amp;"(H1254,IMPORTRANGE(""https://docs.google.com/spreadsheets/d/14Bd19lYaqBhU8_DElYkX7l4wRkHqqCUFNJY4AfY3kHU/edit?usp=sharing  #gid=0"",""фіз особи new!relations_name_uo""),7,FALSE)
,
)
))"),"КРАВЧЕНКО Олена Валеріївна")</f>
        <v>КРАВЧЕНКО Олена Валеріївна</v>
      </c>
      <c r="J1253" s="7" t="s">
        <v>29</v>
      </c>
    </row>
    <row r="1254" spans="1:10" ht="13.2">
      <c r="A1254" s="7">
        <v>1253</v>
      </c>
      <c r="B1254" s="7">
        <v>1</v>
      </c>
      <c r="C1254" s="7" t="s">
        <v>10</v>
      </c>
      <c r="D1254" s="7">
        <v>414</v>
      </c>
      <c r="E1254" s="7" t="s">
        <v>35</v>
      </c>
      <c r="F1254" s="8" t="str">
        <f ca="1">IFERROR(__xludf.DUMMYFUNCTION("IF
(
C1255=""фізична особа""
,
VLOOKUP(D1255,IMPORTRANGE(""https://docs.google.com/spreadsheets/d/14Bd19lYaqBhU8_DElYkX7l4wRkHqqCUFNJY4AfY3kHU/edit?usp=sharing  #gid=0"",""фіз особи new!relations_name""),6,FALSE)
,
(IF
(
C1255=""юридична особа""
,
VLOOKUP"&amp;"(D1255,IMPORTRANGE(""https://docs.google.com/spreadsheets/d/14Bd19lYaqBhU8_DElYkX7l4wRkHqqCUFNJY4AfY3kHU/edit?usp=sharing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4" s="7" t="s">
        <v>10</v>
      </c>
      <c r="H1254" s="7">
        <v>23374</v>
      </c>
      <c r="I1254" s="8" t="str">
        <f ca="1">IFERROR(__xludf.DUMMYFUNCTION("IF
(
G1255=""фізична особа""
,
VLOOKUP(H1255,IMPORTRANGE(""https://docs.google.com/spreadsheets/d/14Bd19lYaqBhU8_DElYkX7l4wRkHqqCUFNJY4AfY3kHU/edit?usp=sharing  #gid=0"",""фіз особи new!relations_name""),6,FALSE)
,
(IF
(
G1255=""юридична особа""
,
VLOOKUP"&amp;"(H1255,IMPORTRANGE(""https://docs.google.com/spreadsheets/d/14Bd19lYaqBhU8_DElYkX7l4wRkHqqCUFNJY4AfY3kHU/edit?usp=sharing  #gid=0"",""фіз особи new!relations_name_uo""),7,FALSE)
,
)
))"),"РЕУС Олена Віталіївна")</f>
        <v>РЕУС Олена Віталіївна</v>
      </c>
      <c r="J1254" s="7" t="s">
        <v>35</v>
      </c>
    </row>
    <row r="1255" spans="1:10" ht="13.2">
      <c r="A1255" s="7">
        <v>1254</v>
      </c>
      <c r="B1255" s="7">
        <v>1</v>
      </c>
      <c r="C1255" s="7" t="s">
        <v>10</v>
      </c>
      <c r="D1255" s="7">
        <v>414</v>
      </c>
      <c r="E1255" s="7" t="s">
        <v>35</v>
      </c>
      <c r="F1255" s="8" t="str">
        <f ca="1">IFERROR(__xludf.DUMMYFUNCTION("IF
(
C1256=""фізична особа""
,
VLOOKUP(D1256,IMPORTRANGE(""https://docs.google.com/spreadsheets/d/14Bd19lYaqBhU8_DElYkX7l4wRkHqqCUFNJY4AfY3kHU/edit?usp=sharing  #gid=0"",""фіз особи new!relations_name""),6,FALSE)
,
(IF
(
C1256=""юридична особа""
,
VLOOKUP"&amp;"(D1256,IMPORTRANGE(""https://docs.google.com/spreadsheets/d/14Bd19lYaqBhU8_DElYkX7l4wRkHqqCUFNJY4AfY3kHU/edit?usp=sharing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5" s="7" t="s">
        <v>10</v>
      </c>
      <c r="H1255" s="7">
        <v>221</v>
      </c>
      <c r="I1255" s="8" t="str">
        <f ca="1">IFERROR(__xludf.DUMMYFUNCTION("IF
(
G1256=""фізична особа""
,
VLOOKUP(H1256,IMPORTRANGE(""https://docs.google.com/spreadsheets/d/14Bd19lYaqBhU8_DElYkX7l4wRkHqqCUFNJY4AfY3kHU/edit?usp=sharing  #gid=0"",""фіз особи new!relations_name""),6,FALSE)
,
(IF
(
G1256=""юридична особа""
,
VLOOKUP"&amp;"(H1256,IMPORTRANGE(""https://docs.google.com/spreadsheets/d/14Bd19lYaqBhU8_DElYkX7l4wRkHqqCUFNJY4AfY3kHU/edit?usp=sharing  #gid=0"",""фіз особи new!relations_name_uo""),7,FALSE)
,
)
))"),"ТЕРЕЩЕНКО Катерина Василівна")</f>
        <v>ТЕРЕЩЕНКО Катерина Василівна</v>
      </c>
      <c r="J1255" s="7" t="s">
        <v>35</v>
      </c>
    </row>
    <row r="1256" spans="1:10" ht="13.2">
      <c r="A1256" s="7">
        <v>1255</v>
      </c>
      <c r="B1256" s="7">
        <v>1</v>
      </c>
      <c r="C1256" s="7" t="s">
        <v>10</v>
      </c>
      <c r="D1256" s="7">
        <v>414</v>
      </c>
      <c r="E1256" s="7" t="s">
        <v>28</v>
      </c>
      <c r="F1256" s="8" t="str">
        <f ca="1">IFERROR(__xludf.DUMMYFUNCTION("IF
(
C1257=""фізична особа""
,
VLOOKUP(D1257,IMPORTRANGE(""https://docs.google.com/spreadsheets/d/14Bd19lYaqBhU8_DElYkX7l4wRkHqqCUFNJY4AfY3kHU/edit?usp=sharing  #gid=0"",""фіз особи new!relations_name""),6,FALSE)
,
(IF
(
C1257=""юридична особа""
,
VLOOKUP"&amp;"(D1257,IMPORTRANGE(""https://docs.google.com/spreadsheets/d/14Bd19lYaqBhU8_DElYkX7l4wRkHqqCUFNJY4AfY3kHU/edit?usp=sharing  #gid=0"",""фіз особи new!relations_name_uo""),7,FALSE)
,
)
))"),"СВІДЧЕНКО Максим Олександрович")</f>
        <v>СВІДЧЕНКО Максим Олександрович</v>
      </c>
      <c r="G1256" s="7" t="s">
        <v>10</v>
      </c>
      <c r="H1256" s="7">
        <v>399</v>
      </c>
      <c r="I1256" s="8" t="str">
        <f ca="1">IFERROR(__xludf.DUMMYFUNCTION("IF
(
G1257=""фізична особа""
,
VLOOKUP(H1257,IMPORTRANGE(""https://docs.google.com/spreadsheets/d/14Bd19lYaqBhU8_DElYkX7l4wRkHqqCUFNJY4AfY3kHU/edit?usp=sharing  #gid=0"",""фіз особи new!relations_name""),6,FALSE)
,
(IF
(
G1257=""юридична особа""
,
VLOOKUP"&amp;"(H1257,IMPORTRANGE(""https://docs.google.com/spreadsheets/d/14Bd19lYaqBhU8_DElYkX7l4wRkHqqCUFNJY4AfY3kHU/edit?usp=sharing  #gid=0"",""фіз особи new!relations_name_uo""),7,FALSE)
,
)
))"),"ПАСІЧНИК Леонід Іванович")</f>
        <v>ПАСІЧНИК Леонід Іванович</v>
      </c>
      <c r="J1256" s="7" t="s">
        <v>29</v>
      </c>
    </row>
    <row r="1257" spans="1:10" ht="13.2">
      <c r="A1257" s="7">
        <v>1256</v>
      </c>
      <c r="B1257" s="7">
        <v>1</v>
      </c>
      <c r="C1257" s="7" t="s">
        <v>10</v>
      </c>
      <c r="D1257" s="7">
        <v>415</v>
      </c>
      <c r="E1257" s="7" t="s">
        <v>11</v>
      </c>
      <c r="F1257" s="8" t="str">
        <f ca="1">IFERROR(__xludf.DUMMYFUNCTION("IF
(
C1258=""фізична особа""
,
VLOOKUP(D1258,IMPORTRANGE(""https://docs.google.com/spreadsheets/d/14Bd19lYaqBhU8_DElYkX7l4wRkHqqCUFNJY4AfY3kHU/edit?usp=sharing  #gid=0"",""фіз особи new!relations_name""),6,FALSE)
,
(IF
(
C1258=""юридична особа""
,
VLOOKUP"&amp;"(D1258,IMPORTRANGE(""https://docs.google.com/spreadsheets/d/14Bd19lYaqBhU8_DElYkX7l4wRkHqqCUFNJY4AfY3kHU/edit?usp=sharing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57" s="7" t="s">
        <v>10</v>
      </c>
      <c r="H1257" s="7">
        <v>69</v>
      </c>
      <c r="I1257" s="8" t="str">
        <f ca="1">IFERROR(__xludf.DUMMYFUNCTION("IF
(
G1258=""фізична особа""
,
VLOOKUP(H1258,IMPORTRANGE(""https://docs.google.com/spreadsheets/d/14Bd19lYaqBhU8_DElYkX7l4wRkHqqCUFNJY4AfY3kHU/edit?usp=sharing  #gid=0"",""фіз особи new!relations_name""),6,FALSE)
,
(IF
(
G1258=""юридична особа""
,
VLOOKUP"&amp;"(H1258,IMPORTRANGE(""https://docs.google.com/spreadsheets/d/14Bd19lYaqBhU8_DElYkX7l4wRkHqqCUFNJY4AfY3kHU/edit?usp=sharing  #gid=0"",""фіз особи new!relations_name_uo""),7,FALSE)
,
)
))"),"АРЄШЕВ Андрій Григорович")</f>
        <v>АРЄШЕВ Андрій Григорович</v>
      </c>
      <c r="J1257" s="7" t="s">
        <v>11</v>
      </c>
    </row>
    <row r="1258" spans="1:10" ht="13.2">
      <c r="A1258" s="7">
        <v>1257</v>
      </c>
      <c r="B1258" s="7">
        <v>1</v>
      </c>
      <c r="C1258" s="7" t="s">
        <v>10</v>
      </c>
      <c r="D1258" s="7">
        <v>415</v>
      </c>
      <c r="E1258" s="7" t="s">
        <v>29</v>
      </c>
      <c r="F1258" s="8" t="str">
        <f ca="1">IFERROR(__xludf.DUMMYFUNCTION("IF
(
C1259=""фізична особа""
,
VLOOKUP(D1259,IMPORTRANGE(""https://docs.google.com/spreadsheets/d/14Bd19lYaqBhU8_DElYkX7l4wRkHqqCUFNJY4AfY3kHU/edit?usp=sharing  #gid=0"",""фіз особи new!relations_name""),6,FALSE)
,
(IF
(
C1259=""юридична особа""
,
VLOOKUP"&amp;"(D1259,IMPORTRANGE(""https://docs.google.com/spreadsheets/d/14Bd19lYaqBhU8_DElYkX7l4wRkHqqCUFNJY4AfY3kHU/edit?usp=sharing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58" s="7" t="s">
        <v>10</v>
      </c>
      <c r="H1258" s="7">
        <v>148</v>
      </c>
      <c r="I1258" s="8" t="str">
        <f ca="1">IFERROR(__xludf.DUMMYFUNCTION("IF
(
G1259=""фізична особа""
,
VLOOKUP(H1259,IMPORTRANGE(""https://docs.google.com/spreadsheets/d/14Bd19lYaqBhU8_DElYkX7l4wRkHqqCUFNJY4AfY3kHU/edit?usp=sharing  #gid=0"",""фіз особи new!relations_name""),6,FALSE)
,
(IF
(
G1259=""юридична особа""
,
VLOOKUP"&amp;"(H1259,IMPORTRANGE(""https://docs.google.com/spreadsheets/d/14Bd19lYaqBhU8_DElYkX7l4wRkHqqCUFNJY4AfY3kHU/edit?usp=sharing  #gid=0"",""фіз особи new!relations_name_uo""),7,FALSE)
,
)
))"),"БУБНОВА Ірина Сергіївна")</f>
        <v>БУБНОВА Ірина Сергіївна</v>
      </c>
      <c r="J1258" s="7" t="s">
        <v>28</v>
      </c>
    </row>
    <row r="1259" spans="1:10" ht="13.2">
      <c r="A1259" s="7">
        <v>1258</v>
      </c>
      <c r="B1259" s="7">
        <v>1</v>
      </c>
      <c r="C1259" s="7" t="s">
        <v>10</v>
      </c>
      <c r="D1259" s="7">
        <v>415</v>
      </c>
      <c r="E1259" s="7" t="s">
        <v>29</v>
      </c>
      <c r="F1259" s="8" t="str">
        <f ca="1">IFERROR(__xludf.DUMMYFUNCTION("IF
(
C1260=""фізична особа""
,
VLOOKUP(D1260,IMPORTRANGE(""https://docs.google.com/spreadsheets/d/14Bd19lYaqBhU8_DElYkX7l4wRkHqqCUFNJY4AfY3kHU/edit?usp=sharing  #gid=0"",""фіз особи new!relations_name""),6,FALSE)
,
(IF
(
C1260=""юридична особа""
,
VLOOKUP"&amp;"(D1260,IMPORTRANGE(""https://docs.google.com/spreadsheets/d/14Bd19lYaqBhU8_DElYkX7l4wRkHqqCUFNJY4AfY3kHU/edit?usp=sharing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59" s="7" t="s">
        <v>10</v>
      </c>
      <c r="H1259" s="7">
        <v>736</v>
      </c>
      <c r="I1259" s="8" t="str">
        <f ca="1">IFERROR(__xludf.DUMMYFUNCTION("IF
(
G1260=""фізична особа""
,
VLOOKUP(H1260,IMPORTRANGE(""https://docs.google.com/spreadsheets/d/14Bd19lYaqBhU8_DElYkX7l4wRkHqqCUFNJY4AfY3kHU/edit?usp=sharing  #gid=0"",""фіз особи new!relations_name""),6,FALSE)
,
(IF
(
G1260=""юридична особа""
,
VLOOKUP"&amp;"(H1260,IMPORTRANGE(""https://docs.google.com/spreadsheets/d/14Bd19lYaqBhU8_DElYkX7l4wRkHqqCUFNJY4AfY3kHU/edit?usp=sharing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J1259" s="7" t="s">
        <v>28</v>
      </c>
    </row>
    <row r="1260" spans="1:10" ht="13.2">
      <c r="A1260" s="7">
        <v>1259</v>
      </c>
      <c r="B1260" s="7">
        <v>1</v>
      </c>
      <c r="C1260" s="7" t="s">
        <v>10</v>
      </c>
      <c r="D1260" s="7">
        <v>415</v>
      </c>
      <c r="E1260" s="7" t="s">
        <v>29</v>
      </c>
      <c r="F1260" s="8" t="str">
        <f ca="1">IFERROR(__xludf.DUMMYFUNCTION("IF
(
C1261=""фізична особа""
,
VLOOKUP(D1261,IMPORTRANGE(""https://docs.google.com/spreadsheets/d/14Bd19lYaqBhU8_DElYkX7l4wRkHqqCUFNJY4AfY3kHU/edit?usp=sharing  #gid=0"",""фіз особи new!relations_name""),6,FALSE)
,
(IF
(
C1261=""юридична особа""
,
VLOOKUP"&amp;"(D1261,IMPORTRANGE(""https://docs.google.com/spreadsheets/d/14Bd19lYaqBhU8_DElYkX7l4wRkHqqCUFNJY4AfY3kHU/edit?usp=sharing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60" s="7" t="s">
        <v>10</v>
      </c>
      <c r="H1260" s="7">
        <v>102</v>
      </c>
      <c r="I1260" s="8" t="str">
        <f ca="1">IFERROR(__xludf.DUMMYFUNCTION("IF
(
G1261=""фізична особа""
,
VLOOKUP(H1261,IMPORTRANGE(""https://docs.google.com/spreadsheets/d/14Bd19lYaqBhU8_DElYkX7l4wRkHqqCUFNJY4AfY3kHU/edit?usp=sharing  #gid=0"",""фіз особи new!relations_name""),6,FALSE)
,
(IF
(
G1261=""юридична особа""
,
VLOOKUP"&amp;"(H1261,IMPORTRANGE(""https://docs.google.com/spreadsheets/d/14Bd19lYaqBhU8_DElYkX7l4wRkHqqCUFNJY4AfY3kHU/edit?usp=sharing  #gid=0"",""фіз особи new!relations_name_uo""),7,FALSE)
,
)
))"),"БЕСПАЛОВ Антон Сергійович")</f>
        <v>БЕСПАЛОВ Антон Сергійович</v>
      </c>
      <c r="J1260" s="7" t="s">
        <v>28</v>
      </c>
    </row>
    <row r="1261" spans="1:10" ht="13.2">
      <c r="A1261" s="7">
        <v>1260</v>
      </c>
      <c r="B1261" s="7">
        <v>1</v>
      </c>
      <c r="C1261" s="7" t="s">
        <v>10</v>
      </c>
      <c r="D1261" s="7">
        <v>415</v>
      </c>
      <c r="E1261" s="7" t="s">
        <v>11</v>
      </c>
      <c r="F1261" s="8" t="str">
        <f ca="1">IFERROR(__xludf.DUMMYFUNCTION("IF
(
C1262=""фізична особа""
,
VLOOKUP(D1262,IMPORTRANGE(""https://docs.google.com/spreadsheets/d/14Bd19lYaqBhU8_DElYkX7l4wRkHqqCUFNJY4AfY3kHU/edit?usp=sharing  #gid=0"",""фіз особи new!relations_name""),6,FALSE)
,
(IF
(
C1262=""юридична особа""
,
VLOOKUP"&amp;"(D1262,IMPORTRANGE(""https://docs.google.com/spreadsheets/d/14Bd19lYaqBhU8_DElYkX7l4wRkHqqCUFNJY4AfY3kHU/edit?usp=sharing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61" s="7" t="s">
        <v>10</v>
      </c>
      <c r="H1261" s="7">
        <v>604</v>
      </c>
      <c r="I1261" s="8" t="str">
        <f ca="1">IFERROR(__xludf.DUMMYFUNCTION("IF
(
G1262=""фізична особа""
,
VLOOKUP(H1262,IMPORTRANGE(""https://docs.google.com/spreadsheets/d/14Bd19lYaqBhU8_DElYkX7l4wRkHqqCUFNJY4AfY3kHU/edit?usp=sharing  #gid=0"",""фіз особи new!relations_name""),6,FALSE)
,
(IF
(
G1262=""юридична особа""
,
VLOOKUP"&amp;"(H1262,IMPORTRANGE(""https://docs.google.com/spreadsheets/d/14Bd19lYaqBhU8_DElYkX7l4wRkHqqCUFNJY4AfY3kHU/edit?usp=sharing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J1261" s="7" t="s">
        <v>11</v>
      </c>
    </row>
    <row r="1262" spans="1:10" ht="13.2">
      <c r="A1262" s="7">
        <v>1261</v>
      </c>
      <c r="B1262" s="7">
        <v>1</v>
      </c>
      <c r="C1262" s="7" t="s">
        <v>10</v>
      </c>
      <c r="D1262" s="7">
        <v>415</v>
      </c>
      <c r="E1262" s="7" t="s">
        <v>29</v>
      </c>
      <c r="F1262" s="8" t="str">
        <f ca="1">IFERROR(__xludf.DUMMYFUNCTION("IF
(
C1263=""фізична особа""
,
VLOOKUP(D1263,IMPORTRANGE(""https://docs.google.com/spreadsheets/d/14Bd19lYaqBhU8_DElYkX7l4wRkHqqCUFNJY4AfY3kHU/edit?usp=sharing  #gid=0"",""фіз особи new!relations_name""),6,FALSE)
,
(IF
(
C1263=""юридична особа""
,
VLOOKUP"&amp;"(D1263,IMPORTRANGE(""https://docs.google.com/spreadsheets/d/14Bd19lYaqBhU8_DElYkX7l4wRkHqqCUFNJY4AfY3kHU/edit?usp=sharing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62" s="7" t="s">
        <v>10</v>
      </c>
      <c r="H1262" s="7">
        <v>646</v>
      </c>
      <c r="I1262" s="8" t="str">
        <f ca="1">IFERROR(__xludf.DUMMYFUNCTION("IF
(
G1263=""фізична особа""
,
VLOOKUP(H1263,IMPORTRANGE(""https://docs.google.com/spreadsheets/d/14Bd19lYaqBhU8_DElYkX7l4wRkHqqCUFNJY4AfY3kHU/edit?usp=sharing  #gid=0"",""фіз особи new!relations_name""),6,FALSE)
,
(IF
(
G1263=""юридична особа""
,
VLOOKUP"&amp;"(H1263,IMPORTRANGE(""https://docs.google.com/spreadsheets/d/14Bd19lYaqBhU8_DElYkX7l4wRkHqqCUFNJY4AfY3kHU/edit?usp=sharing  #gid=0"",""фіз особи new!relations_name_uo""),7,FALSE)
,
)
))"),"САЄНКО Сергій Іванович")</f>
        <v>САЄНКО Сергій Іванович</v>
      </c>
      <c r="J1262" s="7" t="s">
        <v>28</v>
      </c>
    </row>
    <row r="1263" spans="1:10" ht="13.2">
      <c r="A1263" s="7">
        <v>1262</v>
      </c>
      <c r="B1263" s="7">
        <v>1</v>
      </c>
      <c r="C1263" s="7" t="s">
        <v>10</v>
      </c>
      <c r="D1263" s="7">
        <v>415</v>
      </c>
      <c r="E1263" s="7" t="s">
        <v>30</v>
      </c>
      <c r="F1263" s="8" t="str">
        <f ca="1">IFERROR(__xludf.DUMMYFUNCTION("IF
(
C1264=""фізична особа""
,
VLOOKUP(D1264,IMPORTRANGE(""https://docs.google.com/spreadsheets/d/14Bd19lYaqBhU8_DElYkX7l4wRkHqqCUFNJY4AfY3kHU/edit?usp=sharing  #gid=0"",""фіз особи new!relations_name""),6,FALSE)
,
(IF
(
C1264=""юридична особа""
,
VLOOKUP"&amp;"(D1264,IMPORTRANGE(""https://docs.google.com/spreadsheets/d/14Bd19lYaqBhU8_DElYkX7l4wRkHqqCUFNJY4AfY3kHU/edit?usp=sharing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G1263" s="7" t="s">
        <v>10</v>
      </c>
      <c r="H1263" s="7">
        <v>321</v>
      </c>
      <c r="I1263" s="8" t="str">
        <f ca="1">IFERROR(__xludf.DUMMYFUNCTION("IF
(
G1264=""фізична особа""
,
VLOOKUP(H1264,IMPORTRANGE(""https://docs.google.com/spreadsheets/d/14Bd19lYaqBhU8_DElYkX7l4wRkHqqCUFNJY4AfY3kHU/edit?usp=sharing  #gid=0"",""фіз особи new!relations_name""),6,FALSE)
,
(IF
(
G1264=""юридична особа""
,
VLOOKUP"&amp;"(H1264,IMPORTRANGE(""https://docs.google.com/spreadsheets/d/14Bd19lYaqBhU8_DElYkX7l4wRkHqqCUFNJY4AfY3kHU/edit?usp=sharing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J1263" s="7" t="s">
        <v>30</v>
      </c>
    </row>
    <row r="1264" spans="1:10" ht="13.2">
      <c r="A1264" s="7">
        <v>1263</v>
      </c>
      <c r="B1264" s="7">
        <v>1</v>
      </c>
      <c r="C1264" s="7" t="s">
        <v>10</v>
      </c>
      <c r="D1264" s="7">
        <v>416</v>
      </c>
      <c r="E1264" s="7" t="s">
        <v>29</v>
      </c>
      <c r="F1264" s="8" t="str">
        <f ca="1">IFERROR(__xludf.DUMMYFUNCTION("IF
(
C1265=""фізична особа""
,
VLOOKUP(D1265,IMPORTRANGE(""https://docs.google.com/spreadsheets/d/14Bd19lYaqBhU8_DElYkX7l4wRkHqqCUFNJY4AfY3kHU/edit?usp=sharing  #gid=0"",""фіз особи new!relations_name""),6,FALSE)
,
(IF
(
C1265=""юридична особа""
,
VLOOKUP"&amp;"(D1265,IMPORTRANGE(""https://docs.google.com/spreadsheets/d/14Bd19lYaqBhU8_DElYkX7l4wRkHqqCUFNJY4AfY3kHU/edit?usp=sharing  #gid=0"",""фіз особи new!relations_name_uo""),7,FALSE)
,
)
))"),"МАЛИШЕВ Михайло Григорович")</f>
        <v>МАЛИШЕВ Михайло Григорович</v>
      </c>
      <c r="G1264" s="7" t="s">
        <v>10</v>
      </c>
      <c r="H1264" s="7">
        <v>321</v>
      </c>
      <c r="I1264" s="8" t="str">
        <f ca="1">IFERROR(__xludf.DUMMYFUNCTION("IF
(
G1265=""фізична особа""
,
VLOOKUP(H1265,IMPORTRANGE(""https://docs.google.com/spreadsheets/d/14Bd19lYaqBhU8_DElYkX7l4wRkHqqCUFNJY4AfY3kHU/edit?usp=sharing  #gid=0"",""фіз особи new!relations_name""),6,FALSE)
,
(IF
(
G1265=""юридична особа""
,
VLOOKUP"&amp;"(H1265,IMPORTRANGE(""https://docs.google.com/spreadsheets/d/14Bd19lYaqBhU8_DElYkX7l4wRkHqqCUFNJY4AfY3kHU/edit?usp=sharing  #gid=0"",""фіз особи new!relations_name_uo""),7,FALSE)
,
)
))"),"ГУЗЄЄВА Інна Миколаївна")</f>
        <v>ГУЗЄЄВА Інна Миколаївна</v>
      </c>
      <c r="J1264" s="7" t="s">
        <v>28</v>
      </c>
    </row>
    <row r="1265" spans="1:10" ht="13.2">
      <c r="A1265" s="7">
        <v>1264</v>
      </c>
      <c r="B1265" s="7">
        <v>1</v>
      </c>
      <c r="C1265" s="7" t="s">
        <v>10</v>
      </c>
      <c r="D1265" s="7">
        <v>417</v>
      </c>
      <c r="E1265" s="7" t="s">
        <v>35</v>
      </c>
      <c r="F1265" s="8" t="str">
        <f ca="1">IFERROR(__xludf.DUMMYFUNCTION("IF
(
C1266=""фізична особа""
,
VLOOKUP(D1266,IMPORTRANGE(""https://docs.google.com/spreadsheets/d/14Bd19lYaqBhU8_DElYkX7l4wRkHqqCUFNJY4AfY3kHU/edit?usp=sharing  #gid=0"",""фіз особи new!relations_name""),6,FALSE)
,
(IF
(
C1266=""юридична особа""
,
VLOOKUP"&amp;"(D1266,IMPORTRANGE(""https://docs.google.com/spreadsheets/d/14Bd19lYaqBhU8_DElYkX7l4wRkHqqCUFNJY4AfY3kHU/edit?usp=sharing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G1265" s="7" t="s">
        <v>10</v>
      </c>
      <c r="H1265" s="7">
        <v>353</v>
      </c>
      <c r="I1265" s="8" t="str">
        <f ca="1">IFERROR(__xludf.DUMMYFUNCTION("IF
(
G1266=""фізична особа""
,
VLOOKUP(H1266,IMPORTRANGE(""https://docs.google.com/spreadsheets/d/14Bd19lYaqBhU8_DElYkX7l4wRkHqqCUFNJY4AfY3kHU/edit?usp=sharing  #gid=0"",""фіз особи new!relations_name""),6,FALSE)
,
(IF
(
G1266=""юридична особа""
,
VLOOKUP"&amp;"(H1266,IMPORTRANGE(""https://docs.google.com/spreadsheets/d/14Bd19lYaqBhU8_DElYkX7l4wRkHqqCUFNJY4AfY3kHU/edit?usp=sharing  #gid=0"",""фіз особи new!relations_name_uo""),7,FALSE)
,
)
))"),"КАЛАБАЄВА Валерія")</f>
        <v>КАЛАБАЄВА Валерія</v>
      </c>
      <c r="J1265" s="7" t="s">
        <v>35</v>
      </c>
    </row>
    <row r="1266" spans="1:10" ht="13.2">
      <c r="A1266" s="7">
        <v>1265</v>
      </c>
      <c r="B1266" s="7">
        <v>1</v>
      </c>
      <c r="C1266" s="7" t="s">
        <v>10</v>
      </c>
      <c r="D1266" s="7">
        <v>417</v>
      </c>
      <c r="E1266" s="7" t="s">
        <v>28</v>
      </c>
      <c r="F1266" s="8" t="str">
        <f ca="1">IFERROR(__xludf.DUMMYFUNCTION("IF
(
C1267=""фізична особа""
,
VLOOKUP(D1267,IMPORTRANGE(""https://docs.google.com/spreadsheets/d/14Bd19lYaqBhU8_DElYkX7l4wRkHqqCUFNJY4AfY3kHU/edit?usp=sharing  #gid=0"",""фіз особи new!relations_name""),6,FALSE)
,
(IF
(
C1267=""юридична особа""
,
VLOOKUP"&amp;"(D1267,IMPORTRANGE(""https://docs.google.com/spreadsheets/d/14Bd19lYaqBhU8_DElYkX7l4wRkHqqCUFNJY4AfY3kHU/edit?usp=sharing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G1266" s="7" t="s">
        <v>10</v>
      </c>
      <c r="H1266" s="7">
        <v>258</v>
      </c>
      <c r="I1266" s="8" t="str">
        <f ca="1">IFERROR(__xludf.DUMMYFUNCTION("IF
(
G1267=""фізична особа""
,
VLOOKUP(H1267,IMPORTRANGE(""https://docs.google.com/spreadsheets/d/14Bd19lYaqBhU8_DElYkX7l4wRkHqqCUFNJY4AfY3kHU/edit?usp=sharing  #gid=0"",""фіз особи new!relations_name""),6,FALSE)
,
(IF
(
G1267=""юридична особа""
,
VLOOKUP"&amp;"(H1267,IMPORTRANGE(""https://docs.google.com/spreadsheets/d/14Bd19lYaqBhU8_DElYkX7l4wRkHqqCUFNJY4AfY3kHU/edit?usp=sharing  #gid=0"",""фіз особи new!relations_name_uo""),7,FALSE)
,
)
))"),"ГАФНЕР Денис Якович")</f>
        <v>ГАФНЕР Денис Якович</v>
      </c>
      <c r="J1266" s="7" t="s">
        <v>29</v>
      </c>
    </row>
    <row r="1267" spans="1:10" ht="13.2">
      <c r="A1267" s="7">
        <v>1266</v>
      </c>
      <c r="B1267" s="7">
        <v>1</v>
      </c>
      <c r="C1267" s="7" t="s">
        <v>10</v>
      </c>
      <c r="D1267" s="7">
        <v>417</v>
      </c>
      <c r="E1267" s="7" t="s">
        <v>35</v>
      </c>
      <c r="F1267" s="8" t="str">
        <f ca="1">IFERROR(__xludf.DUMMYFUNCTION("IF
(
C1268=""фізична особа""
,
VLOOKUP(D1268,IMPORTRANGE(""https://docs.google.com/spreadsheets/d/14Bd19lYaqBhU8_DElYkX7l4wRkHqqCUFNJY4AfY3kHU/edit?usp=sharing  #gid=0"",""фіз особи new!relations_name""),6,FALSE)
,
(IF
(
C1268=""юридична особа""
,
VLOOKUP"&amp;"(D1268,IMPORTRANGE(""https://docs.google.com/spreadsheets/d/14Bd19lYaqBhU8_DElYkX7l4wRkHqqCUFNJY4AfY3kHU/edit?usp=sharing  #gid=0"",""фіз особи new!relations_name_uo""),7,FALSE)
,
)
))"),"МАМАКОВА Аеліта Леонідівна")</f>
        <v>МАМАКОВА Аеліта Леонідівна</v>
      </c>
      <c r="G1267" s="7" t="s">
        <v>10</v>
      </c>
      <c r="H1267" s="7">
        <v>152</v>
      </c>
      <c r="I1267" s="8" t="str">
        <f ca="1">IFERROR(__xludf.DUMMYFUNCTION("IF
(
G1268=""фізична особа""
,
VLOOKUP(H1268,IMPORTRANGE(""https://docs.google.com/spreadsheets/d/14Bd19lYaqBhU8_DElYkX7l4wRkHqqCUFNJY4AfY3kHU/edit?usp=sharing  #gid=0"",""фіз особи new!relations_name""),6,FALSE)
,
(IF
(
G1268=""юридична особа""
,
VLOOKUP"&amp;"(H1268,IMPORTRANGE(""https://docs.google.com/spreadsheets/d/14Bd19lYaqBhU8_DElYkX7l4wRkHqqCUFNJY4AfY3kHU/edit?usp=sharing  #gid=0"",""фіз особи new!relations_name_uo""),7,FALSE)
,
)
))"),"ЧУГУЛЄВА Олена Анатоліївна")</f>
        <v>ЧУГУЛЄВА Олена Анатоліївна</v>
      </c>
      <c r="J1267" s="7" t="s">
        <v>35</v>
      </c>
    </row>
    <row r="1268" spans="1:10" ht="13.2">
      <c r="A1268" s="7">
        <v>1267</v>
      </c>
      <c r="B1268" s="7">
        <v>1</v>
      </c>
      <c r="C1268" s="7" t="s">
        <v>10</v>
      </c>
      <c r="D1268" s="7">
        <v>419</v>
      </c>
      <c r="E1268" s="7" t="s">
        <v>17</v>
      </c>
      <c r="F1268" s="8" t="str">
        <f ca="1">IFERROR(__xludf.DUMMYFUNCTION("IF
(
C1269=""фізична особа""
,
VLOOKUP(D1269,IMPORTRANGE(""https://docs.google.com/spreadsheets/d/14Bd19lYaqBhU8_DElYkX7l4wRkHqqCUFNJY4AfY3kHU/edit?usp=sharing  #gid=0"",""фіз особи new!relations_name""),6,FALSE)
,
(IF
(
C1269=""юридична особа""
,
VLOOKUP"&amp;"(D1269,IMPORTRANGE(""https://docs.google.com/spreadsheets/d/14Bd19lYaqBhU8_DElYkX7l4wRkHqqCUFNJY4AfY3kHU/edit?usp=sharing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68" s="7" t="s">
        <v>10</v>
      </c>
      <c r="H1268" s="7">
        <v>0</v>
      </c>
      <c r="I1268" s="8" t="str">
        <f ca="1">IFERROR(__xludf.DUMMYFUNCTION("IF
(
G1269=""фізична особа""
,
VLOOKUP(H1269,IMPORTRANGE(""https://docs.google.com/spreadsheets/d/14Bd19lYaqBhU8_DElYkX7l4wRkHqqCUFNJY4AfY3kHU/edit?usp=sharing  #gid=0"",""фіз особи new!relations_name""),6,FALSE)
,
(IF
(
G1269=""юридична особа""
,
VLOOKUP"&amp;"(H1269,IMPORTRANGE(""https://docs.google.com/spreadsheets/d/14Bd19lYaqBhU8_DElYkX7l4wRkHqqCUFNJY4AfY3kHU/edit?usp=sharing  #gid=0"",""фіз особи new!relations_name_uo""),7,FALSE)
,
)
))"),"#N/A")</f>
        <v>#N/A</v>
      </c>
      <c r="J1268" s="7" t="s">
        <v>21</v>
      </c>
    </row>
    <row r="1269" spans="1:10" ht="13.2">
      <c r="A1269" s="7">
        <v>1268</v>
      </c>
      <c r="B1269" s="7">
        <v>1</v>
      </c>
      <c r="C1269" s="7" t="s">
        <v>10</v>
      </c>
      <c r="D1269" s="7">
        <v>419</v>
      </c>
      <c r="E1269" s="7" t="s">
        <v>12</v>
      </c>
      <c r="F1269" s="8" t="str">
        <f ca="1">IFERROR(__xludf.DUMMYFUNCTION("IF
(
C1270=""фізична особа""
,
VLOOKUP(D1270,IMPORTRANGE(""https://docs.google.com/spreadsheets/d/14Bd19lYaqBhU8_DElYkX7l4wRkHqqCUFNJY4AfY3kHU/edit?usp=sharing  #gid=0"",""фіз особи new!relations_name""),6,FALSE)
,
(IF
(
C1270=""юридична особа""
,
VLOOKUP"&amp;"(D1270,IMPORTRANGE(""https://docs.google.com/spreadsheets/d/14Bd19lYaqBhU8_DElYkX7l4wRkHqqCUFNJY4AfY3kHU/edit?usp=sharing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69" s="7" t="s">
        <v>10</v>
      </c>
      <c r="H1269" s="7">
        <v>2934</v>
      </c>
      <c r="I1269" s="8" t="str">
        <f ca="1">IFERROR(__xludf.DUMMYFUNCTION("IF
(
G1270=""фізична особа""
,
VLOOKUP(H1270,IMPORTRANGE(""https://docs.google.com/spreadsheets/d/14Bd19lYaqBhU8_DElYkX7l4wRkHqqCUFNJY4AfY3kHU/edit?usp=sharing  #gid=0"",""фіз особи new!relations_name""),6,FALSE)
,
(IF
(
G1270=""юридична особа""
,
VLOOKUP"&amp;"(H1270,IMPORTRANGE(""https://docs.google.com/spreadsheets/d/14Bd19lYaqBhU8_DElYkX7l4wRkHqqCUFNJY4AfY3kHU/edit?usp=sharing  #gid=0"",""фіз особи new!relations_name_uo""),7,FALSE)
,
)
))"),"ХУСНУЛЛІН Альберт Маратович")</f>
        <v>ХУСНУЛЛІН Альберт Маратович</v>
      </c>
      <c r="J1269" s="7" t="s">
        <v>17</v>
      </c>
    </row>
    <row r="1270" spans="1:10" ht="13.2">
      <c r="A1270" s="7">
        <v>1269</v>
      </c>
      <c r="B1270" s="7">
        <v>1</v>
      </c>
      <c r="C1270" s="7" t="s">
        <v>10</v>
      </c>
      <c r="D1270" s="7">
        <v>419</v>
      </c>
      <c r="E1270" s="7" t="s">
        <v>12</v>
      </c>
      <c r="F1270" s="8" t="str">
        <f ca="1">IFERROR(__xludf.DUMMYFUNCTION("IF
(
C1271=""фізична особа""
,
VLOOKUP(D1271,IMPORTRANGE(""https://docs.google.com/spreadsheets/d/14Bd19lYaqBhU8_DElYkX7l4wRkHqqCUFNJY4AfY3kHU/edit?usp=sharing  #gid=0"",""фіз особи new!relations_name""),6,FALSE)
,
(IF
(
C1271=""юридична особа""
,
VLOOKUP"&amp;"(D1271,IMPORTRANGE(""https://docs.google.com/spreadsheets/d/14Bd19lYaqBhU8_DElYkX7l4wRkHqqCUFNJY4AfY3kHU/edit?usp=sharing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0" s="7" t="s">
        <v>10</v>
      </c>
      <c r="H1270" s="7">
        <v>2935</v>
      </c>
      <c r="I1270" s="8" t="str">
        <f ca="1">IFERROR(__xludf.DUMMYFUNCTION("IF
(
G1271=""фізична особа""
,
VLOOKUP(H1271,IMPORTRANGE(""https://docs.google.com/spreadsheets/d/14Bd19lYaqBhU8_DElYkX7l4wRkHqqCUFNJY4AfY3kHU/edit?usp=sharing  #gid=0"",""фіз особи new!relations_name""),6,FALSE)
,
(IF
(
G1271=""юридична особа""
,
VLOOKUP"&amp;"(H1271,IMPORTRANGE(""https://docs.google.com/spreadsheets/d/14Bd19lYaqBhU8_DElYkX7l4wRkHqqCUFNJY4AfY3kHU/edit?usp=sharing  #gid=0"",""фіз особи new!relations_name_uo""),7,FALSE)
,
)
))"),"ХУСНУЛЛІНА Маліка Маратівна")</f>
        <v>ХУСНУЛЛІНА Маліка Маратівна</v>
      </c>
      <c r="J1270" s="7" t="s">
        <v>13</v>
      </c>
    </row>
    <row r="1271" spans="1:10" ht="13.2">
      <c r="A1271" s="7">
        <v>1270</v>
      </c>
      <c r="B1271" s="7">
        <v>1</v>
      </c>
      <c r="C1271" s="7" t="s">
        <v>10</v>
      </c>
      <c r="D1271" s="7">
        <v>419</v>
      </c>
      <c r="E1271" s="7" t="s">
        <v>12</v>
      </c>
      <c r="F1271" s="8" t="str">
        <f ca="1">IFERROR(__xludf.DUMMYFUNCTION("IF
(
C1272=""фізична особа""
,
VLOOKUP(D1272,IMPORTRANGE(""https://docs.google.com/spreadsheets/d/14Bd19lYaqBhU8_DElYkX7l4wRkHqqCUFNJY4AfY3kHU/edit?usp=sharing  #gid=0"",""фіз особи new!relations_name""),6,FALSE)
,
(IF
(
C1272=""юридична особа""
,
VLOOKUP"&amp;"(D1272,IMPORTRANGE(""https://docs.google.com/spreadsheets/d/14Bd19lYaqBhU8_DElYkX7l4wRkHqqCUFNJY4AfY3kHU/edit?usp=sharing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1" s="7" t="s">
        <v>10</v>
      </c>
      <c r="H1271" s="7">
        <v>2932</v>
      </c>
      <c r="I1271" s="8" t="str">
        <f ca="1">IFERROR(__xludf.DUMMYFUNCTION("IF
(
G1272=""фізична особа""
,
VLOOKUP(H1272,IMPORTRANGE(""https://docs.google.com/spreadsheets/d/14Bd19lYaqBhU8_DElYkX7l4wRkHqqCUFNJY4AfY3kHU/edit?usp=sharing  #gid=0"",""фіз особи new!relations_name""),6,FALSE)
,
(IF
(
G1272=""юридична особа""
,
VLOOKUP"&amp;"(H1272,IMPORTRANGE(""https://docs.google.com/spreadsheets/d/14Bd19lYaqBhU8_DElYkX7l4wRkHqqCUFNJY4AfY3kHU/edit?usp=sharing  #gid=0"",""фіз особи new!relations_name_uo""),7,FALSE)
,
)
))"),"Кіреєва / Хуснулліна Аліна Маратівна")</f>
        <v>Кіреєва / Хуснулліна Аліна Маратівна</v>
      </c>
      <c r="J1271" s="7" t="s">
        <v>13</v>
      </c>
    </row>
    <row r="1272" spans="1:10" ht="13.2">
      <c r="A1272" s="7">
        <v>1271</v>
      </c>
      <c r="B1272" s="7">
        <v>1</v>
      </c>
      <c r="C1272" s="7" t="s">
        <v>10</v>
      </c>
      <c r="D1272" s="7">
        <v>419</v>
      </c>
      <c r="E1272" s="7" t="s">
        <v>24</v>
      </c>
      <c r="F1272" s="8" t="str">
        <f ca="1">IFERROR(__xludf.DUMMYFUNCTION("IF
(
C1273=""фізична особа""
,
VLOOKUP(D1273,IMPORTRANGE(""https://docs.google.com/spreadsheets/d/14Bd19lYaqBhU8_DElYkX7l4wRkHqqCUFNJY4AfY3kHU/edit?usp=sharing  #gid=0"",""фіз особи new!relations_name""),6,FALSE)
,
(IF
(
C1273=""юридична особа""
,
VLOOKUP"&amp;"(D1273,IMPORTRANGE(""https://docs.google.com/spreadsheets/d/14Bd19lYaqBhU8_DElYkX7l4wRkHqqCUFNJY4AfY3kHU/edit?usp=sharing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2" s="7" t="s">
        <v>10</v>
      </c>
      <c r="H1272" s="7">
        <v>2933</v>
      </c>
      <c r="I1272" s="8" t="str">
        <f ca="1">IFERROR(__xludf.DUMMYFUNCTION("IF
(
G1273=""фізична особа""
,
VLOOKUP(H1273,IMPORTRANGE(""https://docs.google.com/spreadsheets/d/14Bd19lYaqBhU8_DElYkX7l4wRkHqqCUFNJY4AfY3kHU/edit?usp=sharing  #gid=0"",""фіз особи new!relations_name""),6,FALSE)
,
(IF
(
G1273=""юридична особа""
,
VLOOKUP"&amp;"(H1273,IMPORTRANGE(""https://docs.google.com/spreadsheets/d/14Bd19lYaqBhU8_DElYkX7l4wRkHqqCUFNJY4AfY3kHU/edit?usp=sharing  #gid=0"",""фіз особи new!relations_name_uo""),7,FALSE)
,
)
))"),"КИРЕЄВ Євген Сергійович")</f>
        <v>КИРЕЄВ Євген Сергійович</v>
      </c>
      <c r="J1272" s="7" t="s">
        <v>26</v>
      </c>
    </row>
    <row r="1273" spans="1:10" ht="13.2">
      <c r="A1273" s="7">
        <v>1272</v>
      </c>
      <c r="B1273" s="7">
        <v>1</v>
      </c>
      <c r="C1273" s="7" t="s">
        <v>10</v>
      </c>
      <c r="D1273" s="7">
        <v>419</v>
      </c>
      <c r="E1273" s="7" t="s">
        <v>62</v>
      </c>
      <c r="F1273" s="8" t="str">
        <f ca="1">IFERROR(__xludf.DUMMYFUNCTION("IF
(
C1274=""фізична особа""
,
VLOOKUP(D1274,IMPORTRANGE(""https://docs.google.com/spreadsheets/d/14Bd19lYaqBhU8_DElYkX7l4wRkHqqCUFNJY4AfY3kHU/edit?usp=sharing  #gid=0"",""фіз особи new!relations_name""),6,FALSE)
,
(IF
(
C1274=""юридична особа""
,
VLOOKUP"&amp;"(D1274,IMPORTRANGE(""https://docs.google.com/spreadsheets/d/14Bd19lYaqBhU8_DElYkX7l4wRkHqqCUFNJY4AfY3kHU/edit?usp=sharing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3" s="7" t="s">
        <v>10</v>
      </c>
      <c r="H1273" s="7">
        <v>3367</v>
      </c>
      <c r="I1273" s="8" t="str">
        <f ca="1">IFERROR(__xludf.DUMMYFUNCTION("IF
(
G1274=""фізична особа""
,
VLOOKUP(H1274,IMPORTRANGE(""https://docs.google.com/spreadsheets/d/14Bd19lYaqBhU8_DElYkX7l4wRkHqqCUFNJY4AfY3kHU/edit?usp=sharing  #gid=0"",""фіз особи new!relations_name""),6,FALSE)
,
(IF
(
G1274=""юридична особа""
,
VLOOKUP"&amp;"(H1274,IMPORTRANGE(""https://docs.google.com/spreadsheets/d/14Bd19lYaqBhU8_DElYkX7l4wRkHqqCUFNJY4AfY3kHU/edit?usp=sharing  #gid=0"",""фіз особи new!relations_name_uo""),7,FALSE)
,
)
))"),"КІРЄЄВ Сергій Георгійович")</f>
        <v>КІРЄЄВ Сергій Георгійович</v>
      </c>
      <c r="J1273" s="7" t="s">
        <v>62</v>
      </c>
    </row>
    <row r="1274" spans="1:10" ht="13.2">
      <c r="A1274" s="7">
        <v>1273</v>
      </c>
      <c r="B1274" s="7">
        <v>1</v>
      </c>
      <c r="C1274" s="7" t="s">
        <v>10</v>
      </c>
      <c r="D1274" s="7">
        <v>419</v>
      </c>
      <c r="E1274" s="7" t="s">
        <v>42</v>
      </c>
      <c r="F1274" s="8" t="str">
        <f ca="1">IFERROR(__xludf.DUMMYFUNCTION("IF
(
C1275=""фізична особа""
,
VLOOKUP(D1275,IMPORTRANGE(""https://docs.google.com/spreadsheets/d/14Bd19lYaqBhU8_DElYkX7l4wRkHqqCUFNJY4AfY3kHU/edit?usp=sharing  #gid=0"",""фіз особи new!relations_name""),6,FALSE)
,
(IF
(
C1275=""юридична особа""
,
VLOOKUP"&amp;"(D1275,IMPORTRANGE(""https://docs.google.com/spreadsheets/d/14Bd19lYaqBhU8_DElYkX7l4wRkHqqCUFNJY4AfY3kHU/edit?usp=sharing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4" s="7" t="s">
        <v>10</v>
      </c>
      <c r="H1274" s="7">
        <v>2936</v>
      </c>
      <c r="I1274" s="8" t="str">
        <f ca="1">IFERROR(__xludf.DUMMYFUNCTION("IF
(
G1275=""фізична особа""
,
VLOOKUP(H1275,IMPORTRANGE(""https://docs.google.com/spreadsheets/d/14Bd19lYaqBhU8_DElYkX7l4wRkHqqCUFNJY4AfY3kHU/edit?usp=sharing  #gid=0"",""фіз особи new!relations_name""),6,FALSE)
,
(IF
(
G1275=""юридична особа""
,
VLOOKUP"&amp;"(H1275,IMPORTRANGE(""https://docs.google.com/spreadsheets/d/14Bd19lYaqBhU8_DElYkX7l4wRkHqqCUFNJY4AfY3kHU/edit?usp=sharing  #gid=0"",""фіз особи new!relations_name_uo""),7,FALSE)
,
)
))"),"Харисова / Хуснулліна Лілія Наільївна")</f>
        <v>Харисова / Хуснулліна Лілія Наільївна</v>
      </c>
      <c r="J1274" s="7" t="s">
        <v>43</v>
      </c>
    </row>
    <row r="1275" spans="1:10" ht="13.2">
      <c r="A1275" s="7">
        <v>1274</v>
      </c>
      <c r="B1275" s="7">
        <v>1</v>
      </c>
      <c r="C1275" s="7" t="s">
        <v>10</v>
      </c>
      <c r="D1275" s="7">
        <v>419</v>
      </c>
      <c r="E1275" s="7" t="s">
        <v>44</v>
      </c>
      <c r="F1275" s="8" t="str">
        <f ca="1">IFERROR(__xludf.DUMMYFUNCTION("IF
(
C1276=""фізична особа""
,
VLOOKUP(D1276,IMPORTRANGE(""https://docs.google.com/spreadsheets/d/14Bd19lYaqBhU8_DElYkX7l4wRkHqqCUFNJY4AfY3kHU/edit?usp=sharing  #gid=0"",""фіз особи new!relations_name""),6,FALSE)
,
(IF
(
C1276=""юридична особа""
,
VLOOKUP"&amp;"(D1276,IMPORTRANGE(""https://docs.google.com/spreadsheets/d/14Bd19lYaqBhU8_DElYkX7l4wRkHqqCUFNJY4AfY3kHU/edit?usp=sharing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5" s="7" t="s">
        <v>10</v>
      </c>
      <c r="H1275" s="7">
        <v>2938</v>
      </c>
      <c r="I1275" s="8" t="str">
        <f ca="1">IFERROR(__xludf.DUMMYFUNCTION("IF
(
G1276=""фізична особа""
,
VLOOKUP(H1276,IMPORTRANGE(""https://docs.google.com/spreadsheets/d/14Bd19lYaqBhU8_DElYkX7l4wRkHqqCUFNJY4AfY3kHU/edit?usp=sharing  #gid=0"",""фіз особи new!relations_name""),6,FALSE)
,
(IF
(
G1276=""юридична особа""
,
VLOOKUP"&amp;"(H1276,IMPORTRANGE(""https://docs.google.com/spreadsheets/d/14Bd19lYaqBhU8_DElYkX7l4wRkHqqCUFNJY4AfY3kHU/edit?usp=sharing  #gid=0"",""фіз особи new!relations_name_uo""),7,FALSE)
,
)
))"),"МІННІХАНОВ Ільдус Замільєвич")</f>
        <v>МІННІХАНОВ Ільдус Замільєвич</v>
      </c>
      <c r="J1275" s="7" t="s">
        <v>44</v>
      </c>
    </row>
    <row r="1276" spans="1:10" ht="13.2">
      <c r="A1276" s="7">
        <v>1275</v>
      </c>
      <c r="B1276" s="7">
        <v>1</v>
      </c>
      <c r="C1276" s="7" t="s">
        <v>10</v>
      </c>
      <c r="D1276" s="7">
        <v>419</v>
      </c>
      <c r="E1276" s="7" t="s">
        <v>71</v>
      </c>
      <c r="F1276" s="8" t="str">
        <f ca="1">IFERROR(__xludf.DUMMYFUNCTION("IF
(
C1277=""фізична особа""
,
VLOOKUP(D1277,IMPORTRANGE(""https://docs.google.com/spreadsheets/d/14Bd19lYaqBhU8_DElYkX7l4wRkHqqCUFNJY4AfY3kHU/edit?usp=sharing  #gid=0"",""фіз особи new!relations_name""),6,FALSE)
,
(IF
(
C1277=""юридична особа""
,
VLOOKUP"&amp;"(D1277,IMPORTRANGE(""https://docs.google.com/spreadsheets/d/14Bd19lYaqBhU8_DElYkX7l4wRkHqqCUFNJY4AfY3kHU/edit?usp=sharing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6" s="7" t="s">
        <v>10</v>
      </c>
      <c r="H1276" s="7">
        <v>2939</v>
      </c>
      <c r="I1276" s="8" t="str">
        <f ca="1">IFERROR(__xludf.DUMMYFUNCTION("IF
(
G1277=""фізична особа""
,
VLOOKUP(H1277,IMPORTRANGE(""https://docs.google.com/spreadsheets/d/14Bd19lYaqBhU8_DElYkX7l4wRkHqqCUFNJY4AfY3kHU/edit?usp=sharing  #gid=0"",""фіз особи new!relations_name""),6,FALSE)
,
(IF
(
G1277=""юридична особа""
,
VLOOKUP"&amp;"(H1277,IMPORTRANGE(""https://docs.google.com/spreadsheets/d/14Bd19lYaqBhU8_DElYkX7l4wRkHqqCUFNJY4AfY3kHU/edit?usp=sharing  #gid=0"",""фіз особи new!relations_name_uo""),7,FALSE)
,
)
))"),"МІННІХАНОВА Ліана Ільдусівна")</f>
        <v>МІННІХАНОВА Ліана Ільдусівна</v>
      </c>
      <c r="J1276" s="7" t="s">
        <v>72</v>
      </c>
    </row>
    <row r="1277" spans="1:10" ht="13.2">
      <c r="A1277" s="7">
        <v>1276</v>
      </c>
      <c r="B1277" s="7">
        <v>1</v>
      </c>
      <c r="C1277" s="7" t="s">
        <v>10</v>
      </c>
      <c r="D1277" s="7">
        <v>419</v>
      </c>
      <c r="E1277" s="7" t="s">
        <v>73</v>
      </c>
      <c r="F1277" s="8" t="str">
        <f ca="1">IFERROR(__xludf.DUMMYFUNCTION("IF
(
C1278=""фізична особа""
,
VLOOKUP(D1278,IMPORTRANGE(""https://docs.google.com/spreadsheets/d/14Bd19lYaqBhU8_DElYkX7l4wRkHqqCUFNJY4AfY3kHU/edit?usp=sharing  #gid=0"",""фіз особи new!relations_name""),6,FALSE)
,
(IF
(
C1278=""юридична особа""
,
VLOOKUP"&amp;"(D1278,IMPORTRANGE(""https://docs.google.com/spreadsheets/d/14Bd19lYaqBhU8_DElYkX7l4wRkHqqCUFNJY4AfY3kHU/edit?usp=sharing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7" s="7" t="s">
        <v>10</v>
      </c>
      <c r="H1277" s="7">
        <v>2940</v>
      </c>
      <c r="I1277" s="8" t="str">
        <f ca="1">IFERROR(__xludf.DUMMYFUNCTION("IF
(
G1278=""фізична особа""
,
VLOOKUP(H1278,IMPORTRANGE(""https://docs.google.com/spreadsheets/d/14Bd19lYaqBhU8_DElYkX7l4wRkHqqCUFNJY4AfY3kHU/edit?usp=sharing  #gid=0"",""фіз особи new!relations_name""),6,FALSE)
,
(IF
(
G1278=""юридична особа""
,
VLOOKUP"&amp;"(H1278,IMPORTRANGE(""https://docs.google.com/spreadsheets/d/14Bd19lYaqBhU8_DElYkX7l4wRkHqqCUFNJY4AfY3kHU/edit?usp=sharing  #gid=0"",""фіз особи new!relations_name_uo""),7,FALSE)
,
)
))"),"Мінніханова / Шеммедова Христина Оразівна")</f>
        <v>Мінніханова / Шеммедова Христина Оразівна</v>
      </c>
      <c r="J1277" s="7" t="s">
        <v>25</v>
      </c>
    </row>
    <row r="1278" spans="1:10" ht="13.2">
      <c r="A1278" s="7">
        <v>1277</v>
      </c>
      <c r="B1278" s="7">
        <v>1</v>
      </c>
      <c r="C1278" s="7" t="s">
        <v>10</v>
      </c>
      <c r="D1278" s="7">
        <v>419</v>
      </c>
      <c r="E1278" s="7" t="s">
        <v>73</v>
      </c>
      <c r="F1278" s="8" t="str">
        <f ca="1">IFERROR(__xludf.DUMMYFUNCTION("IF
(
C1279=""фізична особа""
,
VLOOKUP(D1279,IMPORTRANGE(""https://docs.google.com/spreadsheets/d/14Bd19lYaqBhU8_DElYkX7l4wRkHqqCUFNJY4AfY3kHU/edit?usp=sharing  #gid=0"",""фіз особи new!relations_name""),6,FALSE)
,
(IF
(
C1279=""юридична особа""
,
VLOOKUP"&amp;"(D1279,IMPORTRANGE(""https://docs.google.com/spreadsheets/d/14Bd19lYaqBhU8_DElYkX7l4wRkHqqCUFNJY4AfY3kHU/edit?usp=sharing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8" s="7" t="s">
        <v>10</v>
      </c>
      <c r="H1278" s="7">
        <v>2941</v>
      </c>
      <c r="I1278" s="8" t="str">
        <f ca="1">IFERROR(__xludf.DUMMYFUNCTION("IF
(
G1279=""фізична особа""
,
VLOOKUP(H1279,IMPORTRANGE(""https://docs.google.com/spreadsheets/d/14Bd19lYaqBhU8_DElYkX7l4wRkHqqCUFNJY4AfY3kHU/edit?usp=sharing  #gid=0"",""фіз особи new!relations_name""),6,FALSE)
,
(IF
(
G1279=""юридична особа""
,
VLOOKUP"&amp;"(H1279,IMPORTRANGE(""https://docs.google.com/spreadsheets/d/14Bd19lYaqBhU8_DElYkX7l4wRkHqqCUFNJY4AfY3kHU/edit?usp=sharing  #gid=0"",""фіз особи new!relations_name_uo""),7,FALSE)
,
)
))"),"ШЕММЕДОВ Максат Оразович")</f>
        <v>ШЕММЕДОВ Максат Оразович</v>
      </c>
      <c r="J1278" s="7" t="s">
        <v>74</v>
      </c>
    </row>
    <row r="1279" spans="1:10" ht="13.2">
      <c r="A1279" s="7">
        <v>1278</v>
      </c>
      <c r="B1279" s="7">
        <v>1</v>
      </c>
      <c r="C1279" s="7" t="s">
        <v>10</v>
      </c>
      <c r="D1279" s="7">
        <v>419</v>
      </c>
      <c r="E1279" s="7" t="s">
        <v>35</v>
      </c>
      <c r="F1279" s="8" t="str">
        <f ca="1">IFERROR(__xludf.DUMMYFUNCTION("IF
(
C1280=""фізична особа""
,
VLOOKUP(D1280,IMPORTRANGE(""https://docs.google.com/spreadsheets/d/14Bd19lYaqBhU8_DElYkX7l4wRkHqqCUFNJY4AfY3kHU/edit?usp=sharing  #gid=0"",""фіз особи new!relations_name""),6,FALSE)
,
(IF
(
C1280=""юридична особа""
,
VLOOKUP"&amp;"(D1280,IMPORTRANGE(""https://docs.google.com/spreadsheets/d/14Bd19lYaqBhU8_DElYkX7l4wRkHqqCUFNJY4AfY3kHU/edit?usp=sharing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79" s="7" t="s">
        <v>10</v>
      </c>
      <c r="H1279" s="7">
        <v>175</v>
      </c>
      <c r="I1279" s="8" t="str">
        <f ca="1">IFERROR(__xludf.DUMMYFUNCTION("IF
(
G1280=""фізична особа""
,
VLOOKUP(H1280,IMPORTRANGE(""https://docs.google.com/spreadsheets/d/14Bd19lYaqBhU8_DElYkX7l4wRkHqqCUFNJY4AfY3kHU/edit?usp=sharing  #gid=0"",""фіз особи new!relations_name""),6,FALSE)
,
(IF
(
G1280=""юридична особа""
,
VLOOKUP"&amp;"(H1280,IMPORTRANGE(""https://docs.google.com/spreadsheets/d/14Bd19lYaqBhU8_DElYkX7l4wRkHqqCUFNJY4AfY3kHU/edit?usp=sharing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J1279" s="7" t="s">
        <v>35</v>
      </c>
    </row>
    <row r="1280" spans="1:10" ht="13.2">
      <c r="A1280" s="7">
        <v>1279</v>
      </c>
      <c r="B1280" s="7">
        <v>1</v>
      </c>
      <c r="C1280" s="7" t="s">
        <v>10</v>
      </c>
      <c r="D1280" s="7">
        <v>419</v>
      </c>
      <c r="E1280" s="7" t="s">
        <v>35</v>
      </c>
      <c r="F1280" s="8" t="str">
        <f ca="1">IFERROR(__xludf.DUMMYFUNCTION("IF
(
C1281=""фізична особа""
,
VLOOKUP(D1281,IMPORTRANGE(""https://docs.google.com/spreadsheets/d/14Bd19lYaqBhU8_DElYkX7l4wRkHqqCUFNJY4AfY3kHU/edit?usp=sharing  #gid=0"",""фіз особи new!relations_name""),6,FALSE)
,
(IF
(
C1281=""юридична особа""
,
VLOOKUP"&amp;"(D1281,IMPORTRANGE(""https://docs.google.com/spreadsheets/d/14Bd19lYaqBhU8_DElYkX7l4wRkHqqCUFNJY4AfY3kHU/edit?usp=sharing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0" s="7" t="s">
        <v>10</v>
      </c>
      <c r="H1280" s="7">
        <v>2882</v>
      </c>
      <c r="I1280" s="8" t="str">
        <f ca="1">IFERROR(__xludf.DUMMYFUNCTION("IF
(
G1281=""фізична особа""
,
VLOOKUP(H1281,IMPORTRANGE(""https://docs.google.com/spreadsheets/d/14Bd19lYaqBhU8_DElYkX7l4wRkHqqCUFNJY4AfY3kHU/edit?usp=sharing  #gid=0"",""фіз особи new!relations_name""),6,FALSE)
,
(IF
(
G1281=""юридична особа""
,
VLOOKUP"&amp;"(H1281,IMPORTRANGE(""https://docs.google.com/spreadsheets/d/14Bd19lYaqBhU8_DElYkX7l4wRkHqqCUFNJY4AfY3kHU/edit?usp=sharing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J1280" s="7" t="s">
        <v>35</v>
      </c>
    </row>
    <row r="1281" spans="1:10" ht="13.2">
      <c r="A1281" s="7">
        <v>1280</v>
      </c>
      <c r="B1281" s="7">
        <v>1</v>
      </c>
      <c r="C1281" s="7" t="s">
        <v>10</v>
      </c>
      <c r="D1281" s="7">
        <v>419</v>
      </c>
      <c r="E1281" s="7" t="s">
        <v>35</v>
      </c>
      <c r="F1281" s="8" t="str">
        <f ca="1">IFERROR(__xludf.DUMMYFUNCTION("IF
(
C1282=""фізична особа""
,
VLOOKUP(D1282,IMPORTRANGE(""https://docs.google.com/spreadsheets/d/14Bd19lYaqBhU8_DElYkX7l4wRkHqqCUFNJY4AfY3kHU/edit?usp=sharing  #gid=0"",""фіз особи new!relations_name""),6,FALSE)
,
(IF
(
C1282=""юридична особа""
,
VLOOKUP"&amp;"(D1282,IMPORTRANGE(""https://docs.google.com/spreadsheets/d/14Bd19lYaqBhU8_DElYkX7l4wRkHqqCUFNJY4AfY3kHU/edit?usp=sharing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1" s="7" t="s">
        <v>10</v>
      </c>
      <c r="H1281" s="7">
        <v>2883</v>
      </c>
      <c r="I1281" s="8" t="str">
        <f ca="1">IFERROR(__xludf.DUMMYFUNCTION("IF
(
G1282=""фізична особа""
,
VLOOKUP(H1282,IMPORTRANGE(""https://docs.google.com/spreadsheets/d/14Bd19lYaqBhU8_DElYkX7l4wRkHqqCUFNJY4AfY3kHU/edit?usp=sharing  #gid=0"",""фіз особи new!relations_name""),6,FALSE)
,
(IF
(
G1282=""юридична особа""
,
VLOOKUP"&amp;"(H1282,IMPORTRANGE(""https://docs.google.com/spreadsheets/d/14Bd19lYaqBhU8_DElYkX7l4wRkHqqCUFNJY4AfY3kHU/edit?usp=sharing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J1281" s="7" t="s">
        <v>35</v>
      </c>
    </row>
    <row r="1282" spans="1:10" ht="13.2">
      <c r="A1282" s="7">
        <v>1281</v>
      </c>
      <c r="B1282" s="7">
        <v>1</v>
      </c>
      <c r="C1282" s="7" t="s">
        <v>10</v>
      </c>
      <c r="D1282" s="7">
        <v>419</v>
      </c>
      <c r="E1282" s="7" t="s">
        <v>35</v>
      </c>
      <c r="F1282" s="8" t="str">
        <f ca="1">IFERROR(__xludf.DUMMYFUNCTION("IF
(
C1283=""фізична особа""
,
VLOOKUP(D1283,IMPORTRANGE(""https://docs.google.com/spreadsheets/d/14Bd19lYaqBhU8_DElYkX7l4wRkHqqCUFNJY4AfY3kHU/edit?usp=sharing  #gid=0"",""фіз особи new!relations_name""),6,FALSE)
,
(IF
(
C1283=""юридична особа""
,
VLOOKUP"&amp;"(D1283,IMPORTRANGE(""https://docs.google.com/spreadsheets/d/14Bd19lYaqBhU8_DElYkX7l4wRkHqqCUFNJY4AfY3kHU/edit?usp=sharing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2" s="7" t="s">
        <v>10</v>
      </c>
      <c r="H1282" s="7">
        <v>949</v>
      </c>
      <c r="I1282" s="8" t="str">
        <f ca="1">IFERROR(__xludf.DUMMYFUNCTION("IF
(
G1283=""фізична особа""
,
VLOOKUP(H1283,IMPORTRANGE(""https://docs.google.com/spreadsheets/d/14Bd19lYaqBhU8_DElYkX7l4wRkHqqCUFNJY4AfY3kHU/edit?usp=sharing  #gid=0"",""фіз особи new!relations_name""),6,FALSE)
,
(IF
(
G1283=""юридична особа""
,
VLOOKUP"&amp;"(H1283,IMPORTRANGE(""https://docs.google.com/spreadsheets/d/14Bd19lYaqBhU8_DElYkX7l4wRkHqqCUFNJY4AfY3kHU/edit?usp=sharing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1282" s="7" t="s">
        <v>35</v>
      </c>
    </row>
    <row r="1283" spans="1:10" ht="13.2">
      <c r="A1283" s="7">
        <v>1282</v>
      </c>
      <c r="B1283" s="7">
        <v>1</v>
      </c>
      <c r="C1283" s="7" t="s">
        <v>10</v>
      </c>
      <c r="D1283" s="7">
        <v>419</v>
      </c>
      <c r="E1283" s="7" t="s">
        <v>35</v>
      </c>
      <c r="F1283" s="8" t="str">
        <f ca="1">IFERROR(__xludf.DUMMYFUNCTION("IF
(
C1284=""фізична особа""
,
VLOOKUP(D1284,IMPORTRANGE(""https://docs.google.com/spreadsheets/d/14Bd19lYaqBhU8_DElYkX7l4wRkHqqCUFNJY4AfY3kHU/edit?usp=sharing  #gid=0"",""фіз особи new!relations_name""),6,FALSE)
,
(IF
(
C1284=""юридична особа""
,
VLOOKUP"&amp;"(D1284,IMPORTRANGE(""https://docs.google.com/spreadsheets/d/14Bd19lYaqBhU8_DElYkX7l4wRkHqqCUFNJY4AfY3kHU/edit?usp=sharing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3" s="7" t="s">
        <v>10</v>
      </c>
      <c r="H1283" s="7">
        <v>2886</v>
      </c>
      <c r="I1283" s="8" t="str">
        <f ca="1">IFERROR(__xludf.DUMMYFUNCTION("IF
(
G1284=""фізична особа""
,
VLOOKUP(H1284,IMPORTRANGE(""https://docs.google.com/spreadsheets/d/14Bd19lYaqBhU8_DElYkX7l4wRkHqqCUFNJY4AfY3kHU/edit?usp=sharing  #gid=0"",""фіз особи new!relations_name""),6,FALSE)
,
(IF
(
G1284=""юридична особа""
,
VLOOKUP"&amp;"(H1284,IMPORTRANGE(""https://docs.google.com/spreadsheets/d/14Bd19lYaqBhU8_DElYkX7l4wRkHqqCUFNJY4AfY3kHU/edit?usp=sharing  #gid=0"",""фіз особи new!relations_name_uo""),7,FALSE)
,
)
))"),"ОВЕРЧУК Олексій Логвинович")</f>
        <v>ОВЕРЧУК Олексій Логвинович</v>
      </c>
      <c r="J1283" s="7" t="s">
        <v>35</v>
      </c>
    </row>
    <row r="1284" spans="1:10" ht="13.2">
      <c r="A1284" s="7">
        <v>1283</v>
      </c>
      <c r="B1284" s="7">
        <v>1</v>
      </c>
      <c r="C1284" s="7" t="s">
        <v>10</v>
      </c>
      <c r="D1284" s="7">
        <v>419</v>
      </c>
      <c r="E1284" s="7" t="s">
        <v>35</v>
      </c>
      <c r="F1284" s="8" t="str">
        <f ca="1">IFERROR(__xludf.DUMMYFUNCTION("IF
(
C1285=""фізична особа""
,
VLOOKUP(D1285,IMPORTRANGE(""https://docs.google.com/spreadsheets/d/14Bd19lYaqBhU8_DElYkX7l4wRkHqqCUFNJY4AfY3kHU/edit?usp=sharing  #gid=0"",""фіз особи new!relations_name""),6,FALSE)
,
(IF
(
C1285=""юридична особа""
,
VLOOKUP"&amp;"(D1285,IMPORTRANGE(""https://docs.google.com/spreadsheets/d/14Bd19lYaqBhU8_DElYkX7l4wRkHqqCUFNJY4AfY3kHU/edit?usp=sharing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4" s="7" t="s">
        <v>10</v>
      </c>
      <c r="H1284" s="7">
        <v>2884</v>
      </c>
      <c r="I1284" s="8" t="str">
        <f ca="1">IFERROR(__xludf.DUMMYFUNCTION("IF
(
G1285=""фізична особа""
,
VLOOKUP(H1285,IMPORTRANGE(""https://docs.google.com/spreadsheets/d/14Bd19lYaqBhU8_DElYkX7l4wRkHqqCUFNJY4AfY3kHU/edit?usp=sharing  #gid=0"",""фіз особи new!relations_name""),6,FALSE)
,
(IF
(
G1285=""юридична особа""
,
VLOOKUP"&amp;"(H1285,IMPORTRANGE(""https://docs.google.com/spreadsheets/d/14Bd19lYaqBhU8_DElYkX7l4wRkHqqCUFNJY4AfY3kHU/edit?usp=sharing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1284" s="7" t="s">
        <v>35</v>
      </c>
    </row>
    <row r="1285" spans="1:10" ht="13.2">
      <c r="A1285" s="7">
        <v>1284</v>
      </c>
      <c r="B1285" s="7">
        <v>1</v>
      </c>
      <c r="C1285" s="7" t="s">
        <v>10</v>
      </c>
      <c r="D1285" s="7">
        <v>419</v>
      </c>
      <c r="E1285" s="7" t="s">
        <v>35</v>
      </c>
      <c r="F1285" s="8" t="str">
        <f ca="1">IFERROR(__xludf.DUMMYFUNCTION("IF
(
C1286=""фізична особа""
,
VLOOKUP(D1286,IMPORTRANGE(""https://docs.google.com/spreadsheets/d/14Bd19lYaqBhU8_DElYkX7l4wRkHqqCUFNJY4AfY3kHU/edit?usp=sharing  #gid=0"",""фіз особи new!relations_name""),6,FALSE)
,
(IF
(
C1286=""юридична особа""
,
VLOOKUP"&amp;"(D1286,IMPORTRANGE(""https://docs.google.com/spreadsheets/d/14Bd19lYaqBhU8_DElYkX7l4wRkHqqCUFNJY4AfY3kHU/edit?usp=sharing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5" s="7" t="s">
        <v>10</v>
      </c>
      <c r="H1285" s="7">
        <v>197</v>
      </c>
      <c r="I1285" s="8" t="str">
        <f ca="1">IFERROR(__xludf.DUMMYFUNCTION("IF
(
G1286=""фізична особа""
,
VLOOKUP(H1286,IMPORTRANGE(""https://docs.google.com/spreadsheets/d/14Bd19lYaqBhU8_DElYkX7l4wRkHqqCUFNJY4AfY3kHU/edit?usp=sharing  #gid=0"",""фіз особи new!relations_name""),6,FALSE)
,
(IF
(
G1286=""юридична особа""
,
VLOOKUP"&amp;"(H1286,IMPORTRANGE(""https://docs.google.com/spreadsheets/d/14Bd19lYaqBhU8_DElYkX7l4wRkHqqCUFNJY4AfY3kHU/edit?usp=sharing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J1285" s="7" t="s">
        <v>35</v>
      </c>
    </row>
    <row r="1286" spans="1:10" ht="13.2">
      <c r="A1286" s="7">
        <v>1285</v>
      </c>
      <c r="B1286" s="7">
        <v>1</v>
      </c>
      <c r="C1286" s="7" t="s">
        <v>10</v>
      </c>
      <c r="D1286" s="7">
        <v>419</v>
      </c>
      <c r="E1286" s="7" t="s">
        <v>35</v>
      </c>
      <c r="F1286" s="8" t="str">
        <f ca="1">IFERROR(__xludf.DUMMYFUNCTION("IF
(
C1287=""фізична особа""
,
VLOOKUP(D1287,IMPORTRANGE(""https://docs.google.com/spreadsheets/d/14Bd19lYaqBhU8_DElYkX7l4wRkHqqCUFNJY4AfY3kHU/edit?usp=sharing  #gid=0"",""фіз особи new!relations_name""),6,FALSE)
,
(IF
(
C1287=""юридична особа""
,
VLOOKUP"&amp;"(D1287,IMPORTRANGE(""https://docs.google.com/spreadsheets/d/14Bd19lYaqBhU8_DElYkX7l4wRkHqqCUFNJY4AfY3kHU/edit?usp=sharing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6" s="7" t="s">
        <v>10</v>
      </c>
      <c r="H1286" s="7">
        <v>2885</v>
      </c>
      <c r="I1286" s="8" t="str">
        <f ca="1">IFERROR(__xludf.DUMMYFUNCTION("IF
(
G1287=""фізична особа""
,
VLOOKUP(H1287,IMPORTRANGE(""https://docs.google.com/spreadsheets/d/14Bd19lYaqBhU8_DElYkX7l4wRkHqqCUFNJY4AfY3kHU/edit?usp=sharing  #gid=0"",""фіз особи new!relations_name""),6,FALSE)
,
(IF
(
G1287=""юридична особа""
,
VLOOKUP"&amp;"(H1287,IMPORTRANGE(""https://docs.google.com/spreadsheets/d/14Bd19lYaqBhU8_DElYkX7l4wRkHqqCUFNJY4AfY3kHU/edit?usp=sharing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1286" s="7" t="s">
        <v>35</v>
      </c>
    </row>
    <row r="1287" spans="1:10" ht="13.2">
      <c r="A1287" s="7">
        <v>1286</v>
      </c>
      <c r="B1287" s="7">
        <v>1</v>
      </c>
      <c r="C1287" s="7" t="s">
        <v>10</v>
      </c>
      <c r="D1287" s="7">
        <v>419</v>
      </c>
      <c r="E1287" s="7" t="s">
        <v>28</v>
      </c>
      <c r="F1287" s="8" t="str">
        <f ca="1">IFERROR(__xludf.DUMMYFUNCTION("IF
(
C1288=""фізична особа""
,
VLOOKUP(D1288,IMPORTRANGE(""https://docs.google.com/spreadsheets/d/14Bd19lYaqBhU8_DElYkX7l4wRkHqqCUFNJY4AfY3kHU/edit?usp=sharing  #gid=0"",""фіз особи new!relations_name""),6,FALSE)
,
(IF
(
C1288=""юридична особа""
,
VLOOKUP"&amp;"(D1288,IMPORTRANGE(""https://docs.google.com/spreadsheets/d/14Bd19lYaqBhU8_DElYkX7l4wRkHqqCUFNJY4AfY3kHU/edit?usp=sharing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7" s="7" t="s">
        <v>10</v>
      </c>
      <c r="H1287" s="7">
        <v>460</v>
      </c>
      <c r="I1287" s="8" t="str">
        <f ca="1">IFERROR(__xludf.DUMMYFUNCTION("IF
(
G1288=""фізична особа""
,
VLOOKUP(H1288,IMPORTRANGE(""https://docs.google.com/spreadsheets/d/14Bd19lYaqBhU8_DElYkX7l4wRkHqqCUFNJY4AfY3kHU/edit?usp=sharing  #gid=0"",""фіз особи new!relations_name""),6,FALSE)
,
(IF
(
G1288=""юридична особа""
,
VLOOKUP"&amp;"(H1288,IMPORTRANGE(""https://docs.google.com/spreadsheets/d/14Bd19lYaqBhU8_DElYkX7l4wRkHqqCUFNJY4AfY3kHU/edit?usp=sharing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1287" s="7" t="s">
        <v>29</v>
      </c>
    </row>
    <row r="1288" spans="1:10" ht="13.2">
      <c r="A1288" s="7">
        <v>1287</v>
      </c>
      <c r="B1288" s="7">
        <v>1</v>
      </c>
      <c r="C1288" s="7" t="s">
        <v>10</v>
      </c>
      <c r="D1288" s="7">
        <v>419</v>
      </c>
      <c r="E1288" s="7" t="s">
        <v>29</v>
      </c>
      <c r="F1288" s="8" t="str">
        <f ca="1">IFERROR(__xludf.DUMMYFUNCTION("IF
(
C1289=""фізична особа""
,
VLOOKUP(D1289,IMPORTRANGE(""https://docs.google.com/spreadsheets/d/14Bd19lYaqBhU8_DElYkX7l4wRkHqqCUFNJY4AfY3kHU/edit?usp=sharing  #gid=0"",""фіз особи new!relations_name""),6,FALSE)
,
(IF
(
C1289=""юридична особа""
,
VLOOKUP"&amp;"(D1289,IMPORTRANGE(""https://docs.google.com/spreadsheets/d/14Bd19lYaqBhU8_DElYkX7l4wRkHqqCUFNJY4AfY3kHU/edit?usp=sharing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8" s="7" t="s">
        <v>10</v>
      </c>
      <c r="H1288" s="7">
        <v>23389</v>
      </c>
      <c r="I1288" s="8" t="str">
        <f ca="1">IFERROR(__xludf.DUMMYFUNCTION("IF
(
G1289=""фізична особа""
,
VLOOKUP(H1289,IMPORTRANGE(""https://docs.google.com/spreadsheets/d/14Bd19lYaqBhU8_DElYkX7l4wRkHqqCUFNJY4AfY3kHU/edit?usp=sharing  #gid=0"",""фіз особи new!relations_name""),6,FALSE)
,
(IF
(
G1289=""юридична особа""
,
VLOOKUP"&amp;"(H1289,IMPORTRANGE(""https://docs.google.com/spreadsheets/d/14Bd19lYaqBhU8_DElYkX7l4wRkHqqCUFNJY4AfY3kHU/edit?usp=sharing  #gid=0"",""фіз особи new!relations_name_uo""),7,FALSE)
,
)
))"),"ЗАГРУТДІНОВ Рафік Равілович")</f>
        <v>ЗАГРУТДІНОВ Рафік Равілович</v>
      </c>
      <c r="J1288" s="7" t="s">
        <v>28</v>
      </c>
    </row>
    <row r="1289" spans="1:10" ht="13.2">
      <c r="A1289" s="7">
        <v>1288</v>
      </c>
      <c r="B1289" s="7">
        <v>1</v>
      </c>
      <c r="C1289" s="7" t="s">
        <v>10</v>
      </c>
      <c r="D1289" s="7">
        <v>419</v>
      </c>
      <c r="E1289" s="7" t="s">
        <v>29</v>
      </c>
      <c r="F1289" s="8" t="str">
        <f ca="1">IFERROR(__xludf.DUMMYFUNCTION("IF
(
C1290=""фізична особа""
,
VLOOKUP(D1290,IMPORTRANGE(""https://docs.google.com/spreadsheets/d/14Bd19lYaqBhU8_DElYkX7l4wRkHqqCUFNJY4AfY3kHU/edit?usp=sharing  #gid=0"",""фіз особи new!relations_name""),6,FALSE)
,
(IF
(
C1290=""юридична особа""
,
VLOOKUP"&amp;"(D1290,IMPORTRANGE(""https://docs.google.com/spreadsheets/d/14Bd19lYaqBhU8_DElYkX7l4wRkHqqCUFNJY4AfY3kHU/edit?usp=sharing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89" s="7" t="s">
        <v>10</v>
      </c>
      <c r="H1289" s="7">
        <v>23390</v>
      </c>
      <c r="I1289" s="8" t="str">
        <f ca="1">IFERROR(__xludf.DUMMYFUNCTION("IF
(
G1290=""фізична особа""
,
VLOOKUP(H1290,IMPORTRANGE(""https://docs.google.com/spreadsheets/d/14Bd19lYaqBhU8_DElYkX7l4wRkHqqCUFNJY4AfY3kHU/edit?usp=sharing  #gid=0"",""фіз особи new!relations_name""),6,FALSE)
,
(IF
(
G1290=""юридична особа""
,
VLOOKUP"&amp;"(H1290,IMPORTRANGE(""https://docs.google.com/spreadsheets/d/14Bd19lYaqBhU8_DElYkX7l4wRkHqqCUFNJY4AfY3kHU/edit?usp=sharing  #gid=0"",""фіз особи new!relations_name_uo""),7,FALSE)
,
)
))"),"ПЯТОВА Анастасія Миколаївна")</f>
        <v>ПЯТОВА Анастасія Миколаївна</v>
      </c>
      <c r="J1289" s="7" t="s">
        <v>28</v>
      </c>
    </row>
    <row r="1290" spans="1:10" ht="13.2">
      <c r="A1290" s="7">
        <v>1289</v>
      </c>
      <c r="B1290" s="7">
        <v>1</v>
      </c>
      <c r="C1290" s="7" t="s">
        <v>10</v>
      </c>
      <c r="D1290" s="7">
        <v>419</v>
      </c>
      <c r="E1290" s="7" t="s">
        <v>29</v>
      </c>
      <c r="F1290" s="8" t="str">
        <f ca="1">IFERROR(__xludf.DUMMYFUNCTION("IF
(
C1291=""фізична особа""
,
VLOOKUP(D1291,IMPORTRANGE(""https://docs.google.com/spreadsheets/d/14Bd19lYaqBhU8_DElYkX7l4wRkHqqCUFNJY4AfY3kHU/edit?usp=sharing  #gid=0"",""фіз особи new!relations_name""),6,FALSE)
,
(IF
(
C1291=""юридична особа""
,
VLOOKUP"&amp;"(D1291,IMPORTRANGE(""https://docs.google.com/spreadsheets/d/14Bd19lYaqBhU8_DElYkX7l4wRkHqqCUFNJY4AfY3kHU/edit?usp=sharing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90" s="7" t="s">
        <v>10</v>
      </c>
      <c r="H1290" s="7">
        <v>22358</v>
      </c>
      <c r="I1290" s="8" t="str">
        <f ca="1">IFERROR(__xludf.DUMMYFUNCTION("IF
(
G1291=""фізична особа""
,
VLOOKUP(H1291,IMPORTRANGE(""https://docs.google.com/spreadsheets/d/14Bd19lYaqBhU8_DElYkX7l4wRkHqqCUFNJY4AfY3kHU/edit?usp=sharing  #gid=0"",""фіз особи new!relations_name""),6,FALSE)
,
(IF
(
G1291=""юридична особа""
,
VLOOKUP"&amp;"(H1291,IMPORTRANGE(""https://docs.google.com/spreadsheets/d/14Bd19lYaqBhU8_DElYkX7l4wRkHqqCUFNJY4AfY3kHU/edit?usp=sharing  #gid=0"",""фіз особи new!relations_name_uo""),7,FALSE)
,
)
))"),"ЛЕОНОВ Валерій Володимирович")</f>
        <v>ЛЕОНОВ Валерій Володимирович</v>
      </c>
      <c r="J1290" s="7" t="s">
        <v>28</v>
      </c>
    </row>
    <row r="1291" spans="1:10" ht="13.2">
      <c r="A1291" s="7">
        <v>1290</v>
      </c>
      <c r="B1291" s="7">
        <v>1</v>
      </c>
      <c r="C1291" s="7" t="s">
        <v>10</v>
      </c>
      <c r="D1291" s="7">
        <v>419</v>
      </c>
      <c r="E1291" s="7" t="s">
        <v>48</v>
      </c>
      <c r="F1291" s="8" t="str">
        <f ca="1">IFERROR(__xludf.DUMMYFUNCTION("IF
(
C1292=""фізична особа""
,
VLOOKUP(D1292,IMPORTRANGE(""https://docs.google.com/spreadsheets/d/14Bd19lYaqBhU8_DElYkX7l4wRkHqqCUFNJY4AfY3kHU/edit?usp=sharing  #gid=0"",""фіз особи new!relations_name""),6,FALSE)
,
(IF
(
C1292=""юридична особа""
,
VLOOKUP"&amp;"(D1292,IMPORTRANGE(""https://docs.google.com/spreadsheets/d/14Bd19lYaqBhU8_DElYkX7l4wRkHqqCUFNJY4AfY3kHU/edit?usp=sharing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G1291" s="7" t="s">
        <v>10</v>
      </c>
      <c r="H1291" s="7">
        <v>677</v>
      </c>
      <c r="I1291" s="8" t="str">
        <f ca="1">IFERROR(__xludf.DUMMYFUNCTION("IF
(
G1292=""фізична особа""
,
VLOOKUP(H1292,IMPORTRANGE(""https://docs.google.com/spreadsheets/d/14Bd19lYaqBhU8_DElYkX7l4wRkHqqCUFNJY4AfY3kHU/edit?usp=sharing  #gid=0"",""фіз особи new!relations_name""),6,FALSE)
,
(IF
(
G1292=""юридична особа""
,
VLOOKUP"&amp;"(H1292,IMPORTRANGE(""https://docs.google.com/spreadsheets/d/14Bd19lYaqBhU8_DElYkX7l4wRkHqqCUFNJY4AfY3kHU/edit?usp=sharing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1291" s="7" t="s">
        <v>48</v>
      </c>
    </row>
    <row r="1292" spans="1:10" ht="13.2">
      <c r="A1292" s="7">
        <v>1291</v>
      </c>
      <c r="B1292" s="7">
        <v>1</v>
      </c>
      <c r="C1292" s="7" t="s">
        <v>10</v>
      </c>
      <c r="D1292" s="7">
        <v>420</v>
      </c>
      <c r="E1292" s="7" t="s">
        <v>15</v>
      </c>
      <c r="F1292" s="8" t="str">
        <f ca="1">IFERROR(__xludf.DUMMYFUNCTION("IF
(
C1293=""фізична особа""
,
VLOOKUP(D1293,IMPORTRANGE(""https://docs.google.com/spreadsheets/d/14Bd19lYaqBhU8_DElYkX7l4wRkHqqCUFNJY4AfY3kHU/edit?usp=sharing  #gid=0"",""фіз особи new!relations_name""),6,FALSE)
,
(IF
(
C1293=""юридична особа""
,
VLOOKUP"&amp;"(D1293,IMPORTRANGE(""https://docs.google.com/spreadsheets/d/14Bd19lYaqBhU8_DElYkX7l4wRkHqqCUFNJY4AfY3kHU/edit?usp=sharing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2" s="7" t="s">
        <v>10</v>
      </c>
      <c r="H1292" s="7">
        <v>8620</v>
      </c>
      <c r="I1292" s="8" t="str">
        <f ca="1">IFERROR(__xludf.DUMMYFUNCTION("IF
(
G1293=""фізична особа""
,
VLOOKUP(H1293,IMPORTRANGE(""https://docs.google.com/spreadsheets/d/14Bd19lYaqBhU8_DElYkX7l4wRkHqqCUFNJY4AfY3kHU/edit?usp=sharing  #gid=0"",""фіз особи new!relations_name""),6,FALSE)
,
(IF
(
G1293=""юридична особа""
,
VLOOKUP"&amp;"(H1293,IMPORTRANGE(""https://docs.google.com/spreadsheets/d/14Bd19lYaqBhU8_DElYkX7l4wRkHqqCUFNJY4AfY3kHU/edit?usp=sharing  #gid=0"",""фіз особи new!relations_name_uo""),7,FALSE)
,
)
))"),"ПАВЛОВ Олександр Володимирович")</f>
        <v>ПАВЛОВ Олександр Володимирович</v>
      </c>
      <c r="J1292" s="7" t="s">
        <v>14</v>
      </c>
    </row>
    <row r="1293" spans="1:10" ht="13.2">
      <c r="A1293" s="7">
        <v>1292</v>
      </c>
      <c r="B1293" s="7">
        <v>1</v>
      </c>
      <c r="C1293" s="7" t="s">
        <v>10</v>
      </c>
      <c r="D1293" s="7">
        <v>420</v>
      </c>
      <c r="E1293" s="7" t="s">
        <v>21</v>
      </c>
      <c r="F1293" s="8" t="str">
        <f ca="1">IFERROR(__xludf.DUMMYFUNCTION("IF
(
C1294=""фізична особа""
,
VLOOKUP(D1294,IMPORTRANGE(""https://docs.google.com/spreadsheets/d/14Bd19lYaqBhU8_DElYkX7l4wRkHqqCUFNJY4AfY3kHU/edit?usp=sharing  #gid=0"",""фіз особи new!relations_name""),6,FALSE)
,
(IF
(
C1294=""юридична особа""
,
VLOOKUP"&amp;"(D1294,IMPORTRANGE(""https://docs.google.com/spreadsheets/d/14Bd19lYaqBhU8_DElYkX7l4wRkHqqCUFNJY4AfY3kHU/edit?usp=sharing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3" s="7" t="s">
        <v>10</v>
      </c>
      <c r="H1293" s="7">
        <v>23398</v>
      </c>
      <c r="I1293" s="8" t="str">
        <f ca="1">IFERROR(__xludf.DUMMYFUNCTION("IF
(
G1294=""фізична особа""
,
VLOOKUP(H1294,IMPORTRANGE(""https://docs.google.com/spreadsheets/d/14Bd19lYaqBhU8_DElYkX7l4wRkHqqCUFNJY4AfY3kHU/edit?usp=sharing  #gid=0"",""фіз особи new!relations_name""),6,FALSE)
,
(IF
(
G1294=""юридична особа""
,
VLOOKUP"&amp;"(H1294,IMPORTRANGE(""https://docs.google.com/spreadsheets/d/14Bd19lYaqBhU8_DElYkX7l4wRkHqqCUFNJY4AfY3kHU/edit?usp=sharing  #gid=0"",""фіз особи new!relations_name_uo""),7,FALSE)
,
)
))"),"ПАВЛОВА Вікторія Олександрівна")</f>
        <v>ПАВЛОВА Вікторія Олександрівна</v>
      </c>
      <c r="J1293" s="7" t="s">
        <v>13</v>
      </c>
    </row>
    <row r="1294" spans="1:10" ht="13.2">
      <c r="A1294" s="7">
        <v>1293</v>
      </c>
      <c r="B1294" s="7">
        <v>1</v>
      </c>
      <c r="C1294" s="7" t="s">
        <v>10</v>
      </c>
      <c r="D1294" s="7">
        <v>420</v>
      </c>
      <c r="E1294" s="7" t="s">
        <v>21</v>
      </c>
      <c r="F1294" s="8" t="str">
        <f ca="1">IFERROR(__xludf.DUMMYFUNCTION("IF
(
C1295=""фізична особа""
,
VLOOKUP(D1295,IMPORTRANGE(""https://docs.google.com/spreadsheets/d/14Bd19lYaqBhU8_DElYkX7l4wRkHqqCUFNJY4AfY3kHU/edit?usp=sharing  #gid=0"",""фіз особи new!relations_name""),6,FALSE)
,
(IF
(
C1295=""юридична особа""
,
VLOOKUP"&amp;"(D1295,IMPORTRANGE(""https://docs.google.com/spreadsheets/d/14Bd19lYaqBhU8_DElYkX7l4wRkHqqCUFNJY4AfY3kHU/edit?usp=sharing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4" s="7" t="s">
        <v>10</v>
      </c>
      <c r="H1294" s="7">
        <v>0</v>
      </c>
      <c r="I1294" s="8" t="str">
        <f ca="1">IFERROR(__xludf.DUMMYFUNCTION("IF
(
G1295=""фізична особа""
,
VLOOKUP(H1295,IMPORTRANGE(""https://docs.google.com/spreadsheets/d/14Bd19lYaqBhU8_DElYkX7l4wRkHqqCUFNJY4AfY3kHU/edit?usp=sharing  #gid=0"",""фіз особи new!relations_name""),6,FALSE)
,
(IF
(
G1295=""юридична особа""
,
VLOOKUP"&amp;"(H1295,IMPORTRANGE(""https://docs.google.com/spreadsheets/d/14Bd19lYaqBhU8_DElYkX7l4wRkHqqCUFNJY4AfY3kHU/edit?usp=sharing  #gid=0"",""фіз особи new!relations_name_uo""),7,FALSE)
,
)
))"),"#N/A")</f>
        <v>#N/A</v>
      </c>
      <c r="J1294" s="7" t="s">
        <v>17</v>
      </c>
    </row>
    <row r="1295" spans="1:10" ht="13.2">
      <c r="A1295" s="7">
        <v>1294</v>
      </c>
      <c r="B1295" s="7">
        <v>1</v>
      </c>
      <c r="C1295" s="7" t="s">
        <v>10</v>
      </c>
      <c r="D1295" s="7">
        <v>420</v>
      </c>
      <c r="E1295" s="7" t="s">
        <v>48</v>
      </c>
      <c r="F1295" s="8" t="str">
        <f ca="1">IFERROR(__xludf.DUMMYFUNCTION("IF
(
C1296=""фізична особа""
,
VLOOKUP(D1296,IMPORTRANGE(""https://docs.google.com/spreadsheets/d/14Bd19lYaqBhU8_DElYkX7l4wRkHqqCUFNJY4AfY3kHU/edit?usp=sharing  #gid=0"",""фіз особи new!relations_name""),6,FALSE)
,
(IF
(
C1296=""юридична особа""
,
VLOOKUP"&amp;"(D1296,IMPORTRANGE(""https://docs.google.com/spreadsheets/d/14Bd19lYaqBhU8_DElYkX7l4wRkHqqCUFNJY4AfY3kHU/edit?usp=sharing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5" s="7" t="s">
        <v>10</v>
      </c>
      <c r="H1295" s="7">
        <v>562</v>
      </c>
      <c r="I1295" s="8" t="str">
        <f ca="1">IFERROR(__xludf.DUMMYFUNCTION("IF
(
G1296=""фізична особа""
,
VLOOKUP(H1296,IMPORTRANGE(""https://docs.google.com/spreadsheets/d/14Bd19lYaqBhU8_DElYkX7l4wRkHqqCUFNJY4AfY3kHU/edit?usp=sharing  #gid=0"",""фіз особи new!relations_name""),6,FALSE)
,
(IF
(
G1296=""юридична особа""
,
VLOOKUP"&amp;"(H1296,IMPORTRANGE(""https://docs.google.com/spreadsheets/d/14Bd19lYaqBhU8_DElYkX7l4wRkHqqCUFNJY4AfY3kHU/edit?usp=sharing  #gid=0"",""фіз особи new!relations_name_uo""),7,FALSE)
,
)
))"),"ЦЕПКІН Олег Володимирович")</f>
        <v>ЦЕПКІН Олег Володимирович</v>
      </c>
      <c r="J1295" s="7" t="s">
        <v>48</v>
      </c>
    </row>
    <row r="1296" spans="1:10" ht="13.2">
      <c r="A1296" s="7">
        <v>1295</v>
      </c>
      <c r="B1296" s="7">
        <v>1</v>
      </c>
      <c r="C1296" s="7" t="s">
        <v>10</v>
      </c>
      <c r="D1296" s="7">
        <v>420</v>
      </c>
      <c r="E1296" s="7" t="s">
        <v>48</v>
      </c>
      <c r="F1296" s="8" t="str">
        <f ca="1">IFERROR(__xludf.DUMMYFUNCTION("IF
(
C1297=""фізична особа""
,
VLOOKUP(D1297,IMPORTRANGE(""https://docs.google.com/spreadsheets/d/14Bd19lYaqBhU8_DElYkX7l4wRkHqqCUFNJY4AfY3kHU/edit?usp=sharing  #gid=0"",""фіз особи new!relations_name""),6,FALSE)
,
(IF
(
C1297=""юридична особа""
,
VLOOKUP"&amp;"(D1297,IMPORTRANGE(""https://docs.google.com/spreadsheets/d/14Bd19lYaqBhU8_DElYkX7l4wRkHqqCUFNJY4AfY3kHU/edit?usp=sharing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6" s="7" t="s">
        <v>10</v>
      </c>
      <c r="H1296" s="7">
        <v>2565</v>
      </c>
      <c r="I1296" s="8" t="str">
        <f ca="1">IFERROR(__xludf.DUMMYFUNCTION("IF
(
G1297=""фізична особа""
,
VLOOKUP(H1297,IMPORTRANGE(""https://docs.google.com/spreadsheets/d/14Bd19lYaqBhU8_DElYkX7l4wRkHqqCUFNJY4AfY3kHU/edit?usp=sharing  #gid=0"",""фіз особи new!relations_name""),6,FALSE)
,
(IF
(
G1297=""юридична особа""
,
VLOOKUP"&amp;"(H1297,IMPORTRANGE(""https://docs.google.com/spreadsheets/d/14Bd19lYaqBhU8_DElYkX7l4wRkHqqCUFNJY4AfY3kHU/edit?usp=sharing  #gid=0"",""фіз особи new!relations_name_uo""),7,FALSE)
,
)
))"),"ТЕКСЛЕР Олексій Леонідович")</f>
        <v>ТЕКСЛЕР Олексій Леонідович</v>
      </c>
      <c r="J1296" s="7" t="s">
        <v>48</v>
      </c>
    </row>
    <row r="1297" spans="1:10" ht="13.2">
      <c r="A1297" s="7">
        <v>1296</v>
      </c>
      <c r="B1297" s="7">
        <v>1</v>
      </c>
      <c r="C1297" s="7" t="s">
        <v>10</v>
      </c>
      <c r="D1297" s="7">
        <v>420</v>
      </c>
      <c r="E1297" s="7" t="s">
        <v>48</v>
      </c>
      <c r="F1297" s="8" t="str">
        <f ca="1">IFERROR(__xludf.DUMMYFUNCTION("IF
(
C1298=""фізична особа""
,
VLOOKUP(D1298,IMPORTRANGE(""https://docs.google.com/spreadsheets/d/14Bd19lYaqBhU8_DElYkX7l4wRkHqqCUFNJY4AfY3kHU/edit?usp=sharing  #gid=0"",""фіз особи new!relations_name""),6,FALSE)
,
(IF
(
C1298=""юридична особа""
,
VLOOKUP"&amp;"(D1298,IMPORTRANGE(""https://docs.google.com/spreadsheets/d/14Bd19lYaqBhU8_DElYkX7l4wRkHqqCUFNJY4AfY3kHU/edit?usp=sharing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G1297" s="7" t="s">
        <v>10</v>
      </c>
      <c r="H1297" s="7">
        <v>23399</v>
      </c>
      <c r="I1297" s="8" t="str">
        <f ca="1">IFERROR(__xludf.DUMMYFUNCTION("IF
(
G1298=""фізична особа""
,
VLOOKUP(H1298,IMPORTRANGE(""https://docs.google.com/spreadsheets/d/14Bd19lYaqBhU8_DElYkX7l4wRkHqqCUFNJY4AfY3kHU/edit?usp=sharing  #gid=0"",""фіз особи new!relations_name""),6,FALSE)
,
(IF
(
G1298=""юридична особа""
,
VLOOKUP"&amp;"(H1298,IMPORTRANGE(""https://docs.google.com/spreadsheets/d/14Bd19lYaqBhU8_DElYkX7l4wRkHqqCUFNJY4AfY3kHU/edit?usp=sharing  #gid=0"",""фіз особи new!relations_name_uo""),7,FALSE)
,
)
))"),"ЮРЕВИЧ Михайло Валерійович")</f>
        <v>ЮРЕВИЧ Михайло Валерійович</v>
      </c>
      <c r="J1297" s="7" t="s">
        <v>48</v>
      </c>
    </row>
    <row r="1298" spans="1:10" ht="13.2">
      <c r="A1298" s="7">
        <v>1297</v>
      </c>
      <c r="B1298" s="7">
        <v>1</v>
      </c>
      <c r="C1298" s="7" t="s">
        <v>10</v>
      </c>
      <c r="D1298" s="7">
        <v>421</v>
      </c>
      <c r="E1298" s="7" t="s">
        <v>14</v>
      </c>
      <c r="F1298" s="8" t="str">
        <f ca="1">IFERROR(__xludf.DUMMYFUNCTION("IF
(
C1299=""фізична особа""
,
VLOOKUP(D1299,IMPORTRANGE(""https://docs.google.com/spreadsheets/d/14Bd19lYaqBhU8_DElYkX7l4wRkHqqCUFNJY4AfY3kHU/edit?usp=sharing  #gid=0"",""фіз особи new!relations_name""),6,FALSE)
,
(IF
(
C1299=""юридична особа""
,
VLOOKUP"&amp;"(D1299,IMPORTRANGE(""https://docs.google.com/spreadsheets/d/14Bd19lYaqBhU8_DElYkX7l4wRkHqqCUFNJY4AfY3kHU/edit?usp=sharing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298" s="7" t="s">
        <v>10</v>
      </c>
      <c r="H1298" s="7">
        <v>766</v>
      </c>
      <c r="I1298" s="8" t="str">
        <f ca="1">IFERROR(__xludf.DUMMYFUNCTION("IF
(
G1299=""фізична особа""
,
VLOOKUP(H1299,IMPORTRANGE(""https://docs.google.com/spreadsheets/d/14Bd19lYaqBhU8_DElYkX7l4wRkHqqCUFNJY4AfY3kHU/edit?usp=sharing  #gid=0"",""фіз особи new!relations_name""),6,FALSE)
,
(IF
(
G1299=""юридична особа""
,
VLOOKUP"&amp;"(H1299,IMPORTRANGE(""https://docs.google.com/spreadsheets/d/14Bd19lYaqBhU8_DElYkX7l4wRkHqqCUFNJY4AfY3kHU/edit?usp=sharing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J1298" s="7" t="s">
        <v>15</v>
      </c>
    </row>
    <row r="1299" spans="1:10" ht="13.2">
      <c r="A1299" s="7">
        <v>1298</v>
      </c>
      <c r="B1299" s="7">
        <v>1</v>
      </c>
      <c r="C1299" s="7" t="s">
        <v>10</v>
      </c>
      <c r="D1299" s="7">
        <v>421</v>
      </c>
      <c r="E1299" s="7" t="s">
        <v>21</v>
      </c>
      <c r="F1299" s="8" t="str">
        <f ca="1">IFERROR(__xludf.DUMMYFUNCTION("IF
(
C1300=""фізична особа""
,
VLOOKUP(D1300,IMPORTRANGE(""https://docs.google.com/spreadsheets/d/14Bd19lYaqBhU8_DElYkX7l4wRkHqqCUFNJY4AfY3kHU/edit?usp=sharing  #gid=0"",""фіз особи new!relations_name""),6,FALSE)
,
(IF
(
C1300=""юридична особа""
,
VLOOKUP"&amp;"(D1300,IMPORTRANGE(""https://docs.google.com/spreadsheets/d/14Bd19lYaqBhU8_DElYkX7l4wRkHqqCUFNJY4AfY3kHU/edit?usp=sharing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299" s="7" t="s">
        <v>10</v>
      </c>
      <c r="H1299" s="7">
        <v>0</v>
      </c>
      <c r="I1299" s="8" t="str">
        <f ca="1">IFERROR(__xludf.DUMMYFUNCTION("IF
(
G1300=""фізична особа""
,
VLOOKUP(H1300,IMPORTRANGE(""https://docs.google.com/spreadsheets/d/14Bd19lYaqBhU8_DElYkX7l4wRkHqqCUFNJY4AfY3kHU/edit?usp=sharing  #gid=0"",""фіз особи new!relations_name""),6,FALSE)
,
(IF
(
G1300=""юридична особа""
,
VLOOKUP"&amp;"(H1300,IMPORTRANGE(""https://docs.google.com/spreadsheets/d/14Bd19lYaqBhU8_DElYkX7l4wRkHqqCUFNJY4AfY3kHU/edit?usp=sharing  #gid=0"",""фіз особи new!relations_name_uo""),7,FALSE)
,
)
))"),"#N/A")</f>
        <v>#N/A</v>
      </c>
      <c r="J1299" s="7" t="s">
        <v>13</v>
      </c>
    </row>
    <row r="1300" spans="1:10" ht="13.2">
      <c r="A1300" s="7">
        <v>1299</v>
      </c>
      <c r="B1300" s="7">
        <v>1</v>
      </c>
      <c r="C1300" s="7" t="s">
        <v>10</v>
      </c>
      <c r="D1300" s="7">
        <v>421</v>
      </c>
      <c r="E1300" s="7" t="s">
        <v>21</v>
      </c>
      <c r="F1300" s="8" t="str">
        <f ca="1">IFERROR(__xludf.DUMMYFUNCTION("IF
(
C1301=""фізична особа""
,
VLOOKUP(D1301,IMPORTRANGE(""https://docs.google.com/spreadsheets/d/14Bd19lYaqBhU8_DElYkX7l4wRkHqqCUFNJY4AfY3kHU/edit?usp=sharing  #gid=0"",""фіз особи new!relations_name""),6,FALSE)
,
(IF
(
C1301=""юридична особа""
,
VLOOKUP"&amp;"(D1301,IMPORTRANGE(""https://docs.google.com/spreadsheets/d/14Bd19lYaqBhU8_DElYkX7l4wRkHqqCUFNJY4AfY3kHU/edit?usp=sharing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0" s="7" t="s">
        <v>10</v>
      </c>
      <c r="H1300" s="7">
        <v>23400</v>
      </c>
      <c r="I1300" s="8" t="str">
        <f ca="1">IFERROR(__xludf.DUMMYFUNCTION("IF
(
G1301=""фізична особа""
,
VLOOKUP(H1301,IMPORTRANGE(""https://docs.google.com/spreadsheets/d/14Bd19lYaqBhU8_DElYkX7l4wRkHqqCUFNJY4AfY3kHU/edit?usp=sharing  #gid=0"",""фіз особи new!relations_name""),6,FALSE)
,
(IF
(
G1301=""юридична особа""
,
VLOOKUP"&amp;"(H1301,IMPORTRANGE(""https://docs.google.com/spreadsheets/d/14Bd19lYaqBhU8_DElYkX7l4wRkHqqCUFNJY4AfY3kHU/edit?usp=sharing  #gid=0"",""фіз особи new!relations_name_uo""),7,FALSE)
,
)
))"),"КЕОСАЯН Маро Тигранівна")</f>
        <v>КЕОСАЯН Маро Тигранівна</v>
      </c>
      <c r="J1300" s="7" t="s">
        <v>13</v>
      </c>
    </row>
    <row r="1301" spans="1:10" ht="13.2">
      <c r="A1301" s="7">
        <v>1300</v>
      </c>
      <c r="B1301" s="7">
        <v>1</v>
      </c>
      <c r="C1301" s="7" t="s">
        <v>10</v>
      </c>
      <c r="D1301" s="7">
        <v>421</v>
      </c>
      <c r="E1301" s="7" t="s">
        <v>21</v>
      </c>
      <c r="F1301" s="8" t="str">
        <f ca="1">IFERROR(__xludf.DUMMYFUNCTION("IF
(
C1302=""фізична особа""
,
VLOOKUP(D1302,IMPORTRANGE(""https://docs.google.com/spreadsheets/d/14Bd19lYaqBhU8_DElYkX7l4wRkHqqCUFNJY4AfY3kHU/edit?usp=sharing  #gid=0"",""фіз особи new!relations_name""),6,FALSE)
,
(IF
(
C1302=""юридична особа""
,
VLOOKUP"&amp;"(D1302,IMPORTRANGE(""https://docs.google.com/spreadsheets/d/14Bd19lYaqBhU8_DElYkX7l4wRkHqqCUFNJY4AfY3kHU/edit?usp=sharing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1" s="7" t="s">
        <v>10</v>
      </c>
      <c r="H1301" s="7">
        <v>23401</v>
      </c>
      <c r="I1301" s="8" t="str">
        <f ca="1">IFERROR(__xludf.DUMMYFUNCTION("IF
(
G1302=""фізична особа""
,
VLOOKUP(H1302,IMPORTRANGE(""https://docs.google.com/spreadsheets/d/14Bd19lYaqBhU8_DElYkX7l4wRkHqqCUFNJY4AfY3kHU/edit?usp=sharing  #gid=0"",""фіз особи new!relations_name""),6,FALSE)
,
(IF
(
G1302=""юридична особа""
,
VLOOKUP"&amp;"(H1302,IMPORTRANGE(""https://docs.google.com/spreadsheets/d/14Bd19lYaqBhU8_DElYkX7l4wRkHqqCUFNJY4AfY3kHU/edit?usp=sharing  #gid=0"",""фіз особи new!relations_name_uo""),7,FALSE)
,
)
))"),"КЕОСАЯН Баграт Тигранович")</f>
        <v>КЕОСАЯН Баграт Тигранович</v>
      </c>
      <c r="J1301" s="7" t="s">
        <v>17</v>
      </c>
    </row>
    <row r="1302" spans="1:10" ht="13.2">
      <c r="A1302" s="7">
        <v>1301</v>
      </c>
      <c r="B1302" s="7">
        <v>1</v>
      </c>
      <c r="C1302" s="7" t="s">
        <v>10</v>
      </c>
      <c r="D1302" s="7">
        <v>421</v>
      </c>
      <c r="E1302" s="7" t="s">
        <v>31</v>
      </c>
      <c r="F1302" s="8" t="str">
        <f ca="1">IFERROR(__xludf.DUMMYFUNCTION("IF
(
C1303=""фізична особа""
,
VLOOKUP(D1303,IMPORTRANGE(""https://docs.google.com/spreadsheets/d/14Bd19lYaqBhU8_DElYkX7l4wRkHqqCUFNJY4AfY3kHU/edit?usp=sharing  #gid=0"",""фіз особи new!relations_name""),6,FALSE)
,
(IF
(
C1303=""юридична особа""
,
VLOOKUP"&amp;"(D1303,IMPORTRANGE(""https://docs.google.com/spreadsheets/d/14Bd19lYaqBhU8_DElYkX7l4wRkHqqCUFNJY4AfY3kHU/edit?usp=sharing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2" s="7" t="s">
        <v>10</v>
      </c>
      <c r="H1302" s="7">
        <v>0</v>
      </c>
      <c r="I1302" s="8" t="str">
        <f ca="1">IFERROR(__xludf.DUMMYFUNCTION("IF
(
G1303=""фізична особа""
,
VLOOKUP(H1303,IMPORTRANGE(""https://docs.google.com/spreadsheets/d/14Bd19lYaqBhU8_DElYkX7l4wRkHqqCUFNJY4AfY3kHU/edit?usp=sharing  #gid=0"",""фіз особи new!relations_name""),6,FALSE)
,
(IF
(
G1303=""юридична особа""
,
VLOOKUP"&amp;"(H1303,IMPORTRANGE(""https://docs.google.com/spreadsheets/d/14Bd19lYaqBhU8_DElYkX7l4wRkHqqCUFNJY4AfY3kHU/edit?usp=sharing  #gid=0"",""фіз особи new!relations_name_uo""),7,FALSE)
,
)
))"),"#N/A")</f>
        <v>#N/A</v>
      </c>
      <c r="J1302" s="7" t="s">
        <v>31</v>
      </c>
    </row>
    <row r="1303" spans="1:10" ht="13.2">
      <c r="A1303" s="7">
        <v>1302</v>
      </c>
      <c r="B1303" s="7">
        <v>1</v>
      </c>
      <c r="C1303" s="7" t="s">
        <v>10</v>
      </c>
      <c r="D1303" s="7">
        <v>421</v>
      </c>
      <c r="E1303" s="7" t="s">
        <v>73</v>
      </c>
      <c r="F1303" s="8" t="str">
        <f ca="1">IFERROR(__xludf.DUMMYFUNCTION("IF
(
C1304=""фізична особа""
,
VLOOKUP(D1304,IMPORTRANGE(""https://docs.google.com/spreadsheets/d/14Bd19lYaqBhU8_DElYkX7l4wRkHqqCUFNJY4AfY3kHU/edit?usp=sharing  #gid=0"",""фіз особи new!relations_name""),6,FALSE)
,
(IF
(
C1304=""юридична особа""
,
VLOOKUP"&amp;"(D1304,IMPORTRANGE(""https://docs.google.com/spreadsheets/d/14Bd19lYaqBhU8_DElYkX7l4wRkHqqCUFNJY4AfY3kHU/edit?usp=sharing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3" s="7" t="s">
        <v>10</v>
      </c>
      <c r="H1303" s="7">
        <v>0</v>
      </c>
      <c r="I1303" s="8" t="str">
        <f ca="1">IFERROR(__xludf.DUMMYFUNCTION("IF
(
G1304=""фізична особа""
,
VLOOKUP(H1304,IMPORTRANGE(""https://docs.google.com/spreadsheets/d/14Bd19lYaqBhU8_DElYkX7l4wRkHqqCUFNJY4AfY3kHU/edit?usp=sharing  #gid=0"",""фіз особи new!relations_name""),6,FALSE)
,
(IF
(
G1304=""юридична особа""
,
VLOOKUP"&amp;"(H1304,IMPORTRANGE(""https://docs.google.com/spreadsheets/d/14Bd19lYaqBhU8_DElYkX7l4wRkHqqCUFNJY4AfY3kHU/edit?usp=sharing  #gid=0"",""фіз особи new!relations_name_uo""),7,FALSE)
,
)
))"),"#N/A")</f>
        <v>#N/A</v>
      </c>
      <c r="J1303" s="7" t="s">
        <v>25</v>
      </c>
    </row>
    <row r="1304" spans="1:10" ht="13.2">
      <c r="A1304" s="7">
        <v>1303</v>
      </c>
      <c r="B1304" s="7">
        <v>1</v>
      </c>
      <c r="C1304" s="7" t="s">
        <v>10</v>
      </c>
      <c r="D1304" s="7">
        <v>421</v>
      </c>
      <c r="E1304" s="7" t="s">
        <v>28</v>
      </c>
      <c r="F1304" s="8" t="str">
        <f ca="1">IFERROR(__xludf.DUMMYFUNCTION("IF
(
C1305=""фізична особа""
,
VLOOKUP(D1305,IMPORTRANGE(""https://docs.google.com/spreadsheets/d/14Bd19lYaqBhU8_DElYkX7l4wRkHqqCUFNJY4AfY3kHU/edit?usp=sharing  #gid=0"",""фіз особи new!relations_name""),6,FALSE)
,
(IF
(
C1305=""юридична особа""
,
VLOOKUP"&amp;"(D1305,IMPORTRANGE(""https://docs.google.com/spreadsheets/d/14Bd19lYaqBhU8_DElYkX7l4wRkHqqCUFNJY4AfY3kHU/edit?usp=sharing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4" s="7" t="s">
        <v>10</v>
      </c>
      <c r="H1304" s="7">
        <v>4006</v>
      </c>
      <c r="I1304" s="8" t="str">
        <f ca="1">IFERROR(__xludf.DUMMYFUNCTION("IF
(
G1305=""фізична особа""
,
VLOOKUP(H1305,IMPORTRANGE(""https://docs.google.com/spreadsheets/d/14Bd19lYaqBhU8_DElYkX7l4wRkHqqCUFNJY4AfY3kHU/edit?usp=sharing  #gid=0"",""фіз особи new!relations_name""),6,FALSE)
,
(IF
(
G1305=""юридична особа""
,
VLOOKUP"&amp;"(H1305,IMPORTRANGE(""https://docs.google.com/spreadsheets/d/14Bd19lYaqBhU8_DElYkX7l4wRkHqqCUFNJY4AfY3kHU/edit?usp=sharing  #gid=0"",""фіз особи new!relations_name_uo""),7,FALSE)
,
)
))"),"КІСЄЛЬОВ Дмитро Костянтинович")</f>
        <v>КІСЄЛЬОВ Дмитро Костянтинович</v>
      </c>
      <c r="J1304" s="7" t="s">
        <v>29</v>
      </c>
    </row>
    <row r="1305" spans="1:10" ht="13.2">
      <c r="A1305" s="7">
        <v>1304</v>
      </c>
      <c r="B1305" s="7">
        <v>1</v>
      </c>
      <c r="C1305" s="7" t="s">
        <v>10</v>
      </c>
      <c r="D1305" s="7">
        <v>421</v>
      </c>
      <c r="E1305" s="7" t="s">
        <v>11</v>
      </c>
      <c r="F1305" s="8" t="str">
        <f ca="1">IFERROR(__xludf.DUMMYFUNCTION("IF
(
C1306=""фізична особа""
,
VLOOKUP(D1306,IMPORTRANGE(""https://docs.google.com/spreadsheets/d/14Bd19lYaqBhU8_DElYkX7l4wRkHqqCUFNJY4AfY3kHU/edit?usp=sharing  #gid=0"",""фіз особи new!relations_name""),6,FALSE)
,
(IF
(
C1306=""юридична особа""
,
VLOOKUP"&amp;"(D1306,IMPORTRANGE(""https://docs.google.com/spreadsheets/d/14Bd19lYaqBhU8_DElYkX7l4wRkHqqCUFNJY4AfY3kHU/edit?usp=sharing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5" s="7" t="s">
        <v>10</v>
      </c>
      <c r="H1305" s="7">
        <v>880</v>
      </c>
      <c r="I1305" s="8" t="str">
        <f ca="1">IFERROR(__xludf.DUMMYFUNCTION("IF
(
G1306=""фізична особа""
,
VLOOKUP(H1306,IMPORTRANGE(""https://docs.google.com/spreadsheets/d/14Bd19lYaqBhU8_DElYkX7l4wRkHqqCUFNJY4AfY3kHU/edit?usp=sharing  #gid=0"",""фіз особи new!relations_name""),6,FALSE)
,
(IF
(
G1306=""юридична особа""
,
VLOOKUP"&amp;"(H1306,IMPORTRANGE(""https://docs.google.com/spreadsheets/d/14Bd19lYaqBhU8_DElYkX7l4wRkHqqCUFNJY4AfY3kHU/edit?usp=sharing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305" s="7" t="s">
        <v>11</v>
      </c>
    </row>
    <row r="1306" spans="1:10" ht="13.2">
      <c r="A1306" s="7">
        <v>1305</v>
      </c>
      <c r="B1306" s="7">
        <v>1</v>
      </c>
      <c r="C1306" s="7" t="s">
        <v>10</v>
      </c>
      <c r="D1306" s="7">
        <v>421</v>
      </c>
      <c r="E1306" s="7" t="s">
        <v>11</v>
      </c>
      <c r="F1306" s="8" t="str">
        <f ca="1">IFERROR(__xludf.DUMMYFUNCTION("IF
(
C1307=""фізична особа""
,
VLOOKUP(D1307,IMPORTRANGE(""https://docs.google.com/spreadsheets/d/14Bd19lYaqBhU8_DElYkX7l4wRkHqqCUFNJY4AfY3kHU/edit?usp=sharing  #gid=0"",""фіз особи new!relations_name""),6,FALSE)
,
(IF
(
C1307=""юридична особа""
,
VLOOKUP"&amp;"(D1307,IMPORTRANGE(""https://docs.google.com/spreadsheets/d/14Bd19lYaqBhU8_DElYkX7l4wRkHqqCUFNJY4AfY3kHU/edit?usp=sharing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G1306" s="7" t="s">
        <v>10</v>
      </c>
      <c r="H1306" s="7">
        <v>257</v>
      </c>
      <c r="I1306" s="8" t="str">
        <f ca="1">IFERROR(__xludf.DUMMYFUNCTION("IF
(
G1307=""фізична особа""
,
VLOOKUP(H1307,IMPORTRANGE(""https://docs.google.com/spreadsheets/d/14Bd19lYaqBhU8_DElYkX7l4wRkHqqCUFNJY4AfY3kHU/edit?usp=sharing  #gid=0"",""фіз особи new!relations_name""),6,FALSE)
,
(IF
(
G1307=""юридична особа""
,
VLOOKUP"&amp;"(H1307,IMPORTRANGE(""https://docs.google.com/spreadsheets/d/14Bd19lYaqBhU8_DElYkX7l4wRkHqqCUFNJY4AfY3kHU/edit?usp=sharing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J1306" s="7" t="s">
        <v>11</v>
      </c>
    </row>
    <row r="1307" spans="1:10" ht="13.2">
      <c r="A1307" s="7">
        <v>1306</v>
      </c>
      <c r="B1307" s="7">
        <v>1</v>
      </c>
      <c r="C1307" s="7" t="s">
        <v>10</v>
      </c>
      <c r="D1307" s="7">
        <v>423</v>
      </c>
      <c r="E1307" s="7" t="s">
        <v>14</v>
      </c>
      <c r="F1307" s="8" t="str">
        <f ca="1">IFERROR(__xludf.DUMMYFUNCTION("IF
(
C1308=""фізична особа""
,
VLOOKUP(D1308,IMPORTRANGE(""https://docs.google.com/spreadsheets/d/14Bd19lYaqBhU8_DElYkX7l4wRkHqqCUFNJY4AfY3kHU/edit?usp=sharing  #gid=0"",""фіз особи new!relations_name""),6,FALSE)
,
(IF
(
C1308=""юридична особа""
,
VLOOKUP"&amp;"(D1308,IMPORTRANGE(""https://docs.google.com/spreadsheets/d/14Bd19lYaqBhU8_DElYkX7l4wRkHqqCUFNJY4AfY3kHU/edit?usp=sharing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07" s="7" t="s">
        <v>10</v>
      </c>
      <c r="H1307" s="7">
        <v>8621</v>
      </c>
      <c r="I1307" s="8" t="str">
        <f ca="1">IFERROR(__xludf.DUMMYFUNCTION("IF
(
G1308=""фізична особа""
,
VLOOKUP(H1308,IMPORTRANGE(""https://docs.google.com/spreadsheets/d/14Bd19lYaqBhU8_DElYkX7l4wRkHqqCUFNJY4AfY3kHU/edit?usp=sharing  #gid=0"",""фіз особи new!relations_name""),6,FALSE)
,
(IF
(
G1308=""юридична особа""
,
VLOOKUP"&amp;"(H1308,IMPORTRANGE(""https://docs.google.com/spreadsheets/d/14Bd19lYaqBhU8_DElYkX7l4wRkHqqCUFNJY4AfY3kHU/edit?usp=sharing  #gid=0"",""фіз особи new!relations_name_uo""),7,FALSE)
,
)
))"),"КАРЛІНА Галина Вікторівна")</f>
        <v>КАРЛІНА Галина Вікторівна</v>
      </c>
      <c r="J1307" s="7" t="s">
        <v>15</v>
      </c>
    </row>
    <row r="1308" spans="1:10" ht="13.2">
      <c r="A1308" s="7">
        <v>1307</v>
      </c>
      <c r="B1308" s="7">
        <v>1</v>
      </c>
      <c r="C1308" s="7" t="s">
        <v>10</v>
      </c>
      <c r="D1308" s="7">
        <v>423</v>
      </c>
      <c r="E1308" s="7" t="s">
        <v>12</v>
      </c>
      <c r="F1308" s="8" t="str">
        <f ca="1">IFERROR(__xludf.DUMMYFUNCTION("IF
(
C1309=""фізична особа""
,
VLOOKUP(D1309,IMPORTRANGE(""https://docs.google.com/spreadsheets/d/14Bd19lYaqBhU8_DElYkX7l4wRkHqqCUFNJY4AfY3kHU/edit?usp=sharing  #gid=0"",""фіз особи new!relations_name""),6,FALSE)
,
(IF
(
C1309=""юридична особа""
,
VLOOKUP"&amp;"(D1309,IMPORTRANGE(""https://docs.google.com/spreadsheets/d/14Bd19lYaqBhU8_DElYkX7l4wRkHqqCUFNJY4AfY3kHU/edit?usp=sharing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08" s="7" t="s">
        <v>10</v>
      </c>
      <c r="H1308" s="7">
        <v>23402</v>
      </c>
      <c r="I1308" s="8" t="str">
        <f ca="1">IFERROR(__xludf.DUMMYFUNCTION("IF
(
G1309=""фізична особа""
,
VLOOKUP(H1309,IMPORTRANGE(""https://docs.google.com/spreadsheets/d/14Bd19lYaqBhU8_DElYkX7l4wRkHqqCUFNJY4AfY3kHU/edit?usp=sharing  #gid=0"",""фіз особи new!relations_name""),6,FALSE)
,
(IF
(
G1309=""юридична особа""
,
VLOOKUP"&amp;"(H1309,IMPORTRANGE(""https://docs.google.com/spreadsheets/d/14Bd19lYaqBhU8_DElYkX7l4wRkHqqCUFNJY4AfY3kHU/edit?usp=sharing  #gid=0"",""фіз особи new!relations_name_uo""),7,FALSE)
,
)
))"),"КАРЛІН Андрій Олександрович")</f>
        <v>КАРЛІН Андрій Олександрович</v>
      </c>
      <c r="J1308" s="7" t="s">
        <v>17</v>
      </c>
    </row>
    <row r="1309" spans="1:10" ht="13.2">
      <c r="A1309" s="7">
        <v>1308</v>
      </c>
      <c r="B1309" s="7">
        <v>1</v>
      </c>
      <c r="C1309" s="7" t="s">
        <v>10</v>
      </c>
      <c r="D1309" s="7">
        <v>423</v>
      </c>
      <c r="E1309" s="7" t="s">
        <v>12</v>
      </c>
      <c r="F1309" s="8" t="str">
        <f ca="1">IFERROR(__xludf.DUMMYFUNCTION("IF
(
C1310=""фізична особа""
,
VLOOKUP(D1310,IMPORTRANGE(""https://docs.google.com/spreadsheets/d/14Bd19lYaqBhU8_DElYkX7l4wRkHqqCUFNJY4AfY3kHU/edit?usp=sharing  #gid=0"",""фіз особи new!relations_name""),6,FALSE)
,
(IF
(
C1310=""юридична особа""
,
VLOOKUP"&amp;"(D1310,IMPORTRANGE(""https://docs.google.com/spreadsheets/d/14Bd19lYaqBhU8_DElYkX7l4wRkHqqCUFNJY4AfY3kHU/edit?usp=sharing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09" s="7" t="s">
        <v>10</v>
      </c>
      <c r="H1309" s="7">
        <v>23403</v>
      </c>
      <c r="I1309" s="8" t="str">
        <f ca="1">IFERROR(__xludf.DUMMYFUNCTION("IF
(
G1310=""фізична особа""
,
VLOOKUP(H1310,IMPORTRANGE(""https://docs.google.com/spreadsheets/d/14Bd19lYaqBhU8_DElYkX7l4wRkHqqCUFNJY4AfY3kHU/edit?usp=sharing  #gid=0"",""фіз особи new!relations_name""),6,FALSE)
,
(IF
(
G1310=""юридична особа""
,
VLOOKUP"&amp;"(H1310,IMPORTRANGE(""https://docs.google.com/spreadsheets/d/14Bd19lYaqBhU8_DElYkX7l4wRkHqqCUFNJY4AfY3kHU/edit?usp=sharing  #gid=0"",""фіз особи new!relations_name_uo""),7,FALSE)
,
)
))"),"КАРЛІН Віктор Олександрович")</f>
        <v>КАРЛІН Віктор Олександрович</v>
      </c>
      <c r="J1309" s="7" t="s">
        <v>17</v>
      </c>
    </row>
    <row r="1310" spans="1:10" ht="13.2">
      <c r="A1310" s="7">
        <v>1309</v>
      </c>
      <c r="B1310" s="7">
        <v>1</v>
      </c>
      <c r="C1310" s="7" t="s">
        <v>10</v>
      </c>
      <c r="D1310" s="7">
        <v>423</v>
      </c>
      <c r="E1310" s="7" t="s">
        <v>18</v>
      </c>
      <c r="F1310" s="8" t="str">
        <f ca="1">IFERROR(__xludf.DUMMYFUNCTION("IF
(
C1311=""фізична особа""
,
VLOOKUP(D1311,IMPORTRANGE(""https://docs.google.com/spreadsheets/d/14Bd19lYaqBhU8_DElYkX7l4wRkHqqCUFNJY4AfY3kHU/edit?usp=sharing  #gid=0"",""фіз особи new!relations_name""),6,FALSE)
,
(IF
(
C1311=""юридична особа""
,
VLOOKUP"&amp;"(D1311,IMPORTRANGE(""https://docs.google.com/spreadsheets/d/14Bd19lYaqBhU8_DElYkX7l4wRkHqqCUFNJY4AfY3kHU/edit?usp=sharing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0" s="7" t="s">
        <v>10</v>
      </c>
      <c r="H1310" s="7">
        <v>0</v>
      </c>
      <c r="I1310" s="8" t="str">
        <f ca="1">IFERROR(__xludf.DUMMYFUNCTION("IF
(
G1311=""фізична особа""
,
VLOOKUP(H1311,IMPORTRANGE(""https://docs.google.com/spreadsheets/d/14Bd19lYaqBhU8_DElYkX7l4wRkHqqCUFNJY4AfY3kHU/edit?usp=sharing  #gid=0"",""фіз особи new!relations_name""),6,FALSE)
,
(IF
(
G1311=""юридична особа""
,
VLOOKUP"&amp;"(H1311,IMPORTRANGE(""https://docs.google.com/spreadsheets/d/14Bd19lYaqBhU8_DElYkX7l4wRkHqqCUFNJY4AfY3kHU/edit?usp=sharing  #gid=0"",""фіз особи new!relations_name_uo""),7,FALSE)
,
)
))"),"#N/A")</f>
        <v>#N/A</v>
      </c>
      <c r="J1310" s="7" t="s">
        <v>31</v>
      </c>
    </row>
    <row r="1311" spans="1:10" ht="13.2">
      <c r="A1311" s="7">
        <v>1310</v>
      </c>
      <c r="B1311" s="7">
        <v>1</v>
      </c>
      <c r="C1311" s="7" t="s">
        <v>10</v>
      </c>
      <c r="D1311" s="7">
        <v>423</v>
      </c>
      <c r="E1311" s="7" t="s">
        <v>35</v>
      </c>
      <c r="F1311" s="8" t="str">
        <f ca="1">IFERROR(__xludf.DUMMYFUNCTION("IF
(
C1312=""фізична особа""
,
VLOOKUP(D1312,IMPORTRANGE(""https://docs.google.com/spreadsheets/d/14Bd19lYaqBhU8_DElYkX7l4wRkHqqCUFNJY4AfY3kHU/edit?usp=sharing  #gid=0"",""фіз особи new!relations_name""),6,FALSE)
,
(IF
(
C1312=""юридична особа""
,
VLOOKUP"&amp;"(D1312,IMPORTRANGE(""https://docs.google.com/spreadsheets/d/14Bd19lYaqBhU8_DElYkX7l4wRkHqqCUFNJY4AfY3kHU/edit?usp=sharing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1" s="7" t="s">
        <v>10</v>
      </c>
      <c r="H1311" s="7">
        <v>827</v>
      </c>
      <c r="I1311" s="8" t="str">
        <f ca="1">IFERROR(__xludf.DUMMYFUNCTION("IF
(
G1312=""фізична особа""
,
VLOOKUP(H1312,IMPORTRANGE(""https://docs.google.com/spreadsheets/d/14Bd19lYaqBhU8_DElYkX7l4wRkHqqCUFNJY4AfY3kHU/edit?usp=sharing  #gid=0"",""фіз особи new!relations_name""),6,FALSE)
,
(IF
(
G1312=""юридична особа""
,
VLOOKUP"&amp;"(H1312,IMPORTRANGE(""https://docs.google.com/spreadsheets/d/14Bd19lYaqBhU8_DElYkX7l4wRkHqqCUFNJY4AfY3kHU/edit?usp=sharing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J1311" s="7" t="s">
        <v>35</v>
      </c>
    </row>
    <row r="1312" spans="1:10" ht="13.2">
      <c r="A1312" s="7">
        <v>1311</v>
      </c>
      <c r="B1312" s="7">
        <v>1</v>
      </c>
      <c r="C1312" s="7" t="s">
        <v>10</v>
      </c>
      <c r="D1312" s="7">
        <v>423</v>
      </c>
      <c r="E1312" s="7" t="s">
        <v>48</v>
      </c>
      <c r="F1312" s="8" t="str">
        <f ca="1">IFERROR(__xludf.DUMMYFUNCTION("IF
(
C1313=""фізична особа""
,
VLOOKUP(D1313,IMPORTRANGE(""https://docs.google.com/spreadsheets/d/14Bd19lYaqBhU8_DElYkX7l4wRkHqqCUFNJY4AfY3kHU/edit?usp=sharing  #gid=0"",""фіз особи new!relations_name""),6,FALSE)
,
(IF
(
C1313=""юридична особа""
,
VLOOKUP"&amp;"(D1313,IMPORTRANGE(""https://docs.google.com/spreadsheets/d/14Bd19lYaqBhU8_DElYkX7l4wRkHqqCUFNJY4AfY3kHU/edit?usp=sharing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2" s="7" t="s">
        <v>10</v>
      </c>
      <c r="H1312" s="7">
        <v>0</v>
      </c>
      <c r="I1312" s="8" t="str">
        <f ca="1">IFERROR(__xludf.DUMMYFUNCTION("IF
(
G1313=""фізична особа""
,
VLOOKUP(H1313,IMPORTRANGE(""https://docs.google.com/spreadsheets/d/14Bd19lYaqBhU8_DElYkX7l4wRkHqqCUFNJY4AfY3kHU/edit?usp=sharing  #gid=0"",""фіз особи new!relations_name""),6,FALSE)
,
(IF
(
G1313=""юридична особа""
,
VLOOKUP"&amp;"(H1313,IMPORTRANGE(""https://docs.google.com/spreadsheets/d/14Bd19lYaqBhU8_DElYkX7l4wRkHqqCUFNJY4AfY3kHU/edit?usp=sharing  #gid=0"",""фіз особи new!relations_name_uo""),7,FALSE)
,
)
))"),"#N/A")</f>
        <v>#N/A</v>
      </c>
      <c r="J1312" s="7" t="s">
        <v>48</v>
      </c>
    </row>
    <row r="1313" spans="1:10" ht="13.2">
      <c r="A1313" s="7">
        <v>1312</v>
      </c>
      <c r="B1313" s="7">
        <v>1</v>
      </c>
      <c r="C1313" s="7" t="s">
        <v>10</v>
      </c>
      <c r="D1313" s="7">
        <v>423</v>
      </c>
      <c r="E1313" s="7" t="s">
        <v>11</v>
      </c>
      <c r="F1313" s="8" t="str">
        <f ca="1">IFERROR(__xludf.DUMMYFUNCTION("IF
(
C1314=""фізична особа""
,
VLOOKUP(D1314,IMPORTRANGE(""https://docs.google.com/spreadsheets/d/14Bd19lYaqBhU8_DElYkX7l4wRkHqqCUFNJY4AfY3kHU/edit?usp=sharing  #gid=0"",""фіз особи new!relations_name""),6,FALSE)
,
(IF
(
C1314=""юридична особа""
,
VLOOKUP"&amp;"(D1314,IMPORTRANGE(""https://docs.google.com/spreadsheets/d/14Bd19lYaqBhU8_DElYkX7l4wRkHqqCUFNJY4AfY3kHU/edit?usp=sharing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3" s="7" t="s">
        <v>10</v>
      </c>
      <c r="H1313" s="7">
        <v>0</v>
      </c>
      <c r="I1313" s="8" t="str">
        <f ca="1">IFERROR(__xludf.DUMMYFUNCTION("IF
(
G1314=""фізична особа""
,
VLOOKUP(H1314,IMPORTRANGE(""https://docs.google.com/spreadsheets/d/14Bd19lYaqBhU8_DElYkX7l4wRkHqqCUFNJY4AfY3kHU/edit?usp=sharing  #gid=0"",""фіз особи new!relations_name""),6,FALSE)
,
(IF
(
G1314=""юридична особа""
,
VLOOKUP"&amp;"(H1314,IMPORTRANGE(""https://docs.google.com/spreadsheets/d/14Bd19lYaqBhU8_DElYkX7l4wRkHqqCUFNJY4AfY3kHU/edit?usp=sharing  #gid=0"",""фіз особи new!relations_name_uo""),7,FALSE)
,
)
))"),"#N/A")</f>
        <v>#N/A</v>
      </c>
      <c r="J1313" s="7" t="s">
        <v>11</v>
      </c>
    </row>
    <row r="1314" spans="1:10" ht="13.2">
      <c r="A1314" s="7">
        <v>1313</v>
      </c>
      <c r="B1314" s="7">
        <v>1</v>
      </c>
      <c r="C1314" s="7" t="s">
        <v>10</v>
      </c>
      <c r="D1314" s="7">
        <v>423</v>
      </c>
      <c r="E1314" s="7" t="s">
        <v>11</v>
      </c>
      <c r="F1314" s="8" t="str">
        <f ca="1">IFERROR(__xludf.DUMMYFUNCTION("IF
(
C1315=""фізична особа""
,
VLOOKUP(D1315,IMPORTRANGE(""https://docs.google.com/spreadsheets/d/14Bd19lYaqBhU8_DElYkX7l4wRkHqqCUFNJY4AfY3kHU/edit?usp=sharing  #gid=0"",""фіз особи new!relations_name""),6,FALSE)
,
(IF
(
C1315=""юридична особа""
,
VLOOKUP"&amp;"(D1315,IMPORTRANGE(""https://docs.google.com/spreadsheets/d/14Bd19lYaqBhU8_DElYkX7l4wRkHqqCUFNJY4AfY3kHU/edit?usp=sharing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4" s="7" t="s">
        <v>10</v>
      </c>
      <c r="H1314" s="7">
        <v>0</v>
      </c>
      <c r="I1314" s="8" t="str">
        <f ca="1">IFERROR(__xludf.DUMMYFUNCTION("IF
(
G1315=""фізична особа""
,
VLOOKUP(H1315,IMPORTRANGE(""https://docs.google.com/spreadsheets/d/14Bd19lYaqBhU8_DElYkX7l4wRkHqqCUFNJY4AfY3kHU/edit?usp=sharing  #gid=0"",""фіз особи new!relations_name""),6,FALSE)
,
(IF
(
G1315=""юридична особа""
,
VLOOKUP"&amp;"(H1315,IMPORTRANGE(""https://docs.google.com/spreadsheets/d/14Bd19lYaqBhU8_DElYkX7l4wRkHqqCUFNJY4AfY3kHU/edit?usp=sharing  #gid=0"",""фіз особи new!relations_name_uo""),7,FALSE)
,
)
))"),"#N/A")</f>
        <v>#N/A</v>
      </c>
      <c r="J1314" s="7" t="s">
        <v>11</v>
      </c>
    </row>
    <row r="1315" spans="1:10" ht="13.2">
      <c r="A1315" s="7">
        <v>1314</v>
      </c>
      <c r="B1315" s="7">
        <v>1</v>
      </c>
      <c r="C1315" s="7" t="s">
        <v>10</v>
      </c>
      <c r="D1315" s="7">
        <v>423</v>
      </c>
      <c r="E1315" s="7" t="s">
        <v>11</v>
      </c>
      <c r="F1315" s="8" t="str">
        <f ca="1">IFERROR(__xludf.DUMMYFUNCTION("IF
(
C1316=""фізична особа""
,
VLOOKUP(D1316,IMPORTRANGE(""https://docs.google.com/spreadsheets/d/14Bd19lYaqBhU8_DElYkX7l4wRkHqqCUFNJY4AfY3kHU/edit?usp=sharing  #gid=0"",""фіз особи new!relations_name""),6,FALSE)
,
(IF
(
C1316=""юридична особа""
,
VLOOKUP"&amp;"(D1316,IMPORTRANGE(""https://docs.google.com/spreadsheets/d/14Bd19lYaqBhU8_DElYkX7l4wRkHqqCUFNJY4AfY3kHU/edit?usp=sharing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G1315" s="7" t="s">
        <v>10</v>
      </c>
      <c r="H1315" s="7">
        <v>0</v>
      </c>
      <c r="I1315" s="8" t="str">
        <f ca="1">IFERROR(__xludf.DUMMYFUNCTION("IF
(
G1316=""фізична особа""
,
VLOOKUP(H1316,IMPORTRANGE(""https://docs.google.com/spreadsheets/d/14Bd19lYaqBhU8_DElYkX7l4wRkHqqCUFNJY4AfY3kHU/edit?usp=sharing  #gid=0"",""фіз особи new!relations_name""),6,FALSE)
,
(IF
(
G1316=""юридична особа""
,
VLOOKUP"&amp;"(H1316,IMPORTRANGE(""https://docs.google.com/spreadsheets/d/14Bd19lYaqBhU8_DElYkX7l4wRkHqqCUFNJY4AfY3kHU/edit?usp=sharing  #gid=0"",""фіз особи new!relations_name_uo""),7,FALSE)
,
)
))"),"#N/A")</f>
        <v>#N/A</v>
      </c>
      <c r="J1315" s="7" t="s">
        <v>11</v>
      </c>
    </row>
    <row r="1316" spans="1:10" ht="13.2">
      <c r="A1316" s="7">
        <v>1315</v>
      </c>
      <c r="B1316" s="7">
        <v>1</v>
      </c>
      <c r="C1316" s="7" t="s">
        <v>10</v>
      </c>
      <c r="D1316" s="7">
        <v>427</v>
      </c>
      <c r="E1316" s="7" t="s">
        <v>15</v>
      </c>
      <c r="F1316" s="8" t="str">
        <f ca="1">IFERROR(__xludf.DUMMYFUNCTION("IF
(
C1317=""фізична особа""
,
VLOOKUP(D1317,IMPORTRANGE(""https://docs.google.com/spreadsheets/d/14Bd19lYaqBhU8_DElYkX7l4wRkHqqCUFNJY4AfY3kHU/edit?usp=sharing  #gid=0"",""фіз особи new!relations_name""),6,FALSE)
,
(IF
(
C1317=""юридична особа""
,
VLOOKUP"&amp;"(D1317,IMPORTRANGE(""https://docs.google.com/spreadsheets/d/14Bd19lYaqBhU8_DElYkX7l4wRkHqqCUFNJY4AfY3kHU/edit?usp=sharing  #gid=0"",""фіз особи new!relations_name_uo""),7,FALSE)
,
)
))"),"ЗАХАРОВА Марія Володимирівна")</f>
        <v>ЗАХАРОВА Марія Володимирівна</v>
      </c>
      <c r="G1316" s="7" t="s">
        <v>10</v>
      </c>
      <c r="H1316" s="7">
        <v>0</v>
      </c>
      <c r="I1316" s="8" t="str">
        <f ca="1">IFERROR(__xludf.DUMMYFUNCTION("IF
(
G1317=""фізична особа""
,
VLOOKUP(H1317,IMPORTRANGE(""https://docs.google.com/spreadsheets/d/14Bd19lYaqBhU8_DElYkX7l4wRkHqqCUFNJY4AfY3kHU/edit?usp=sharing  #gid=0"",""фіз особи new!relations_name""),6,FALSE)
,
(IF
(
G1317=""юридична особа""
,
VLOOKUP"&amp;"(H1317,IMPORTRANGE(""https://docs.google.com/spreadsheets/d/14Bd19lYaqBhU8_DElYkX7l4wRkHqqCUFNJY4AfY3kHU/edit?usp=sharing  #gid=0"",""фіз особи new!relations_name_uo""),7,FALSE)
,
)
))"),"#N/A")</f>
        <v>#N/A</v>
      </c>
      <c r="J1316" s="7" t="s">
        <v>14</v>
      </c>
    </row>
    <row r="1317" spans="1:10" ht="13.2">
      <c r="A1317" s="7">
        <v>1316</v>
      </c>
      <c r="B1317" s="7">
        <v>1</v>
      </c>
      <c r="C1317" s="7" t="s">
        <v>10</v>
      </c>
      <c r="D1317" s="7">
        <v>427</v>
      </c>
      <c r="E1317" s="7" t="s">
        <v>21</v>
      </c>
      <c r="F1317" s="8" t="str">
        <f ca="1">IFERROR(__xludf.DUMMYFUNCTION("IF
(
C1318=""фізична особа""
,
VLOOKUP(D1318,IMPORTRANGE(""https://docs.google.com/spreadsheets/d/14Bd19lYaqBhU8_DElYkX7l4wRkHqqCUFNJY4AfY3kHU/edit?usp=sharing  #gid=0"",""фіз особи new!relations_name""),6,FALSE)
,
(IF
(
C1318=""юридична особа""
,
VLOOKUP"&amp;"(D1318,IMPORTRANGE(""https://docs.google.com/spreadsheets/d/14Bd19lYaqBhU8_DElYkX7l4wRkHqqCUFNJY4AfY3kHU/edit?usp=sharing  #gid=0"",""фіз особи new!relations_name_uo""),7,FALSE)
,
)
))"),"ЗАХАРОВА Марія Володимирівна")</f>
        <v>ЗАХАРОВА Марія Володимирівна</v>
      </c>
      <c r="G1317" s="7" t="s">
        <v>10</v>
      </c>
      <c r="H1317" s="7">
        <v>0</v>
      </c>
      <c r="I1317" s="8" t="str">
        <f ca="1">IFERROR(__xludf.DUMMYFUNCTION("IF
(
G1318=""фізична особа""
,
VLOOKUP(H1318,IMPORTRANGE(""https://docs.google.com/spreadsheets/d/14Bd19lYaqBhU8_DElYkX7l4wRkHqqCUFNJY4AfY3kHU/edit?usp=sharing  #gid=0"",""фіз особи new!relations_name""),6,FALSE)
,
(IF
(
G1318=""юридична особа""
,
VLOOKUP"&amp;"(H1318,IMPORTRANGE(""https://docs.google.com/spreadsheets/d/14Bd19lYaqBhU8_DElYkX7l4wRkHqqCUFNJY4AfY3kHU/edit?usp=sharing  #gid=0"",""фіз особи new!relations_name_uo""),7,FALSE)
,
)
))"),"#N/A")</f>
        <v>#N/A</v>
      </c>
      <c r="J1317" s="7" t="s">
        <v>13</v>
      </c>
    </row>
    <row r="1318" spans="1:10" ht="13.2">
      <c r="A1318" s="7">
        <v>1317</v>
      </c>
      <c r="B1318" s="7">
        <v>1</v>
      </c>
      <c r="C1318" s="7" t="s">
        <v>10</v>
      </c>
      <c r="D1318" s="7">
        <v>427</v>
      </c>
      <c r="E1318" s="7" t="s">
        <v>13</v>
      </c>
      <c r="F1318" s="8" t="str">
        <f ca="1">IFERROR(__xludf.DUMMYFUNCTION("IF
(
C1319=""фізична особа""
,
VLOOKUP(D1319,IMPORTRANGE(""https://docs.google.com/spreadsheets/d/14Bd19lYaqBhU8_DElYkX7l4wRkHqqCUFNJY4AfY3kHU/edit?usp=sharing  #gid=0"",""фіз особи new!relations_name""),6,FALSE)
,
(IF
(
C1319=""юридична особа""
,
VLOOKUP"&amp;"(D1319,IMPORTRANGE(""https://docs.google.com/spreadsheets/d/14Bd19lYaqBhU8_DElYkX7l4wRkHqqCUFNJY4AfY3kHU/edit?usp=sharing  #gid=0"",""фіз особи new!relations_name_uo""),7,FALSE)
,
)
))"),"ЗАХАРОВА Марія Володимирівна")</f>
        <v>ЗАХАРОВА Марія Володимирівна</v>
      </c>
      <c r="G1318" s="7" t="s">
        <v>10</v>
      </c>
      <c r="H1318" s="7">
        <v>0</v>
      </c>
      <c r="I1318" s="8" t="str">
        <f ca="1">IFERROR(__xludf.DUMMYFUNCTION("IF
(
G1319=""фізична особа""
,
VLOOKUP(H1319,IMPORTRANGE(""https://docs.google.com/spreadsheets/d/14Bd19lYaqBhU8_DElYkX7l4wRkHqqCUFNJY4AfY3kHU/edit?usp=sharing  #gid=0"",""фіз особи new!relations_name""),6,FALSE)
,
(IF
(
G1319=""юридична особа""
,
VLOOKUP"&amp;"(H1319,IMPORTRANGE(""https://docs.google.com/spreadsheets/d/14Bd19lYaqBhU8_DElYkX7l4wRkHqqCUFNJY4AfY3kHU/edit?usp=sharing  #gid=0"",""фіз особи new!relations_name_uo""),7,FALSE)
,
)
))"),"#N/A")</f>
        <v>#N/A</v>
      </c>
      <c r="J1318" s="7" t="s">
        <v>21</v>
      </c>
    </row>
    <row r="1319" spans="1:10" ht="13.2">
      <c r="A1319" s="7">
        <v>1318</v>
      </c>
      <c r="B1319" s="7">
        <v>1</v>
      </c>
      <c r="C1319" s="7" t="s">
        <v>10</v>
      </c>
      <c r="D1319" s="7">
        <v>427</v>
      </c>
      <c r="E1319" s="7" t="s">
        <v>13</v>
      </c>
      <c r="F1319" s="8" t="str">
        <f ca="1">IFERROR(__xludf.DUMMYFUNCTION("IF
(
C1320=""фізична особа""
,
VLOOKUP(D1320,IMPORTRANGE(""https://docs.google.com/spreadsheets/d/14Bd19lYaqBhU8_DElYkX7l4wRkHqqCUFNJY4AfY3kHU/edit?usp=sharing  #gid=0"",""фіз особи new!relations_name""),6,FALSE)
,
(IF
(
C1320=""юридична особа""
,
VLOOKUP"&amp;"(D1320,IMPORTRANGE(""https://docs.google.com/spreadsheets/d/14Bd19lYaqBhU8_DElYkX7l4wRkHqqCUFNJY4AfY3kHU/edit?usp=sharing  #gid=0"",""фіз особи new!relations_name_uo""),7,FALSE)
,
)
))"),"ЗАХАРОВА Марія Володимирівна")</f>
        <v>ЗАХАРОВА Марія Володимирівна</v>
      </c>
      <c r="G1319" s="7" t="s">
        <v>10</v>
      </c>
      <c r="H1319" s="7">
        <v>0</v>
      </c>
      <c r="I1319" s="8" t="str">
        <f ca="1">IFERROR(__xludf.DUMMYFUNCTION("IF
(
G1320=""фізична особа""
,
VLOOKUP(H1320,IMPORTRANGE(""https://docs.google.com/spreadsheets/d/14Bd19lYaqBhU8_DElYkX7l4wRkHqqCUFNJY4AfY3kHU/edit?usp=sharing  #gid=0"",""фіз особи new!relations_name""),6,FALSE)
,
(IF
(
G1320=""юридична особа""
,
VLOOKUP"&amp;"(H1320,IMPORTRANGE(""https://docs.google.com/spreadsheets/d/14Bd19lYaqBhU8_DElYkX7l4wRkHqqCUFNJY4AfY3kHU/edit?usp=sharing  #gid=0"",""фіз особи new!relations_name_uo""),7,FALSE)
,
)
))"),"#N/A")</f>
        <v>#N/A</v>
      </c>
      <c r="J1319" s="7" t="s">
        <v>12</v>
      </c>
    </row>
    <row r="1320" spans="1:10" ht="13.2">
      <c r="A1320" s="7">
        <v>1319</v>
      </c>
      <c r="B1320" s="7">
        <v>1</v>
      </c>
      <c r="C1320" s="7" t="s">
        <v>10</v>
      </c>
      <c r="D1320" s="7">
        <v>427</v>
      </c>
      <c r="E1320" s="7" t="s">
        <v>28</v>
      </c>
      <c r="F1320" s="8" t="str">
        <f ca="1">IFERROR(__xludf.DUMMYFUNCTION("IF
(
C1321=""фізична особа""
,
VLOOKUP(D1321,IMPORTRANGE(""https://docs.google.com/spreadsheets/d/14Bd19lYaqBhU8_DElYkX7l4wRkHqqCUFNJY4AfY3kHU/edit?usp=sharing  #gid=0"",""фіз особи new!relations_name""),6,FALSE)
,
(IF
(
C1321=""юридична особа""
,
VLOOKUP"&amp;"(D1321,IMPORTRANGE(""https://docs.google.com/spreadsheets/d/14Bd19lYaqBhU8_DElYkX7l4wRkHqqCUFNJY4AfY3kHU/edit?usp=sharing  #gid=0"",""фіз особи new!relations_name_uo""),7,FALSE)
,
)
))"),"ЗАХАРОВА Марія Володимирівна")</f>
        <v>ЗАХАРОВА Марія Володимирівна</v>
      </c>
      <c r="G1320" s="7" t="s">
        <v>10</v>
      </c>
      <c r="H1320" s="7">
        <v>718</v>
      </c>
      <c r="I1320" s="8" t="str">
        <f ca="1">IFERROR(__xludf.DUMMYFUNCTION("IF
(
G1321=""фізична особа""
,
VLOOKUP(H1321,IMPORTRANGE(""https://docs.google.com/spreadsheets/d/14Bd19lYaqBhU8_DElYkX7l4wRkHqqCUFNJY4AfY3kHU/edit?usp=sharing  #gid=0"",""фіз особи new!relations_name""),6,FALSE)
,
(IF
(
G1321=""юридична особа""
,
VLOOKUP"&amp;"(H1321,IMPORTRANGE(""https://docs.google.com/spreadsheets/d/14Bd19lYaqBhU8_DElYkX7l4wRkHqqCUFNJY4AfY3kHU/edit?usp=sharing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1320" s="7" t="s">
        <v>29</v>
      </c>
    </row>
    <row r="1321" spans="1:10" ht="13.2">
      <c r="A1321" s="7">
        <v>1320</v>
      </c>
      <c r="B1321" s="7">
        <v>1</v>
      </c>
      <c r="C1321" s="7" t="s">
        <v>10</v>
      </c>
      <c r="D1321" s="7">
        <v>428</v>
      </c>
      <c r="E1321" s="7" t="s">
        <v>15</v>
      </c>
      <c r="F1321" s="8" t="str">
        <f ca="1">IFERROR(__xludf.DUMMYFUNCTION("IF
(
C1322=""фізична особа""
,
VLOOKUP(D1322,IMPORTRANGE(""https://docs.google.com/spreadsheets/d/14Bd19lYaqBhU8_DElYkX7l4wRkHqqCUFNJY4AfY3kHU/edit?usp=sharing  #gid=0"",""фіз особи new!relations_name""),6,FALSE)
,
(IF
(
C1322=""юридична особа""
,
VLOOKUP"&amp;"(D1322,IMPORTRANGE(""https://docs.google.com/spreadsheets/d/14Bd19lYaqBhU8_DElYkX7l4wRkHqqCUFNJY4AfY3kHU/edit?usp=sharing  #gid=0"",""фіз особи new!relations_name_uo""),7,FALSE)
,
)
))"),"ОРГЕЄВА Марія Едуардівна")</f>
        <v>ОРГЕЄВА Марія Едуардівна</v>
      </c>
      <c r="G1321" s="7" t="s">
        <v>10</v>
      </c>
      <c r="H1321" s="7">
        <v>15436</v>
      </c>
      <c r="I1321" s="8" t="str">
        <f ca="1">IFERROR(__xludf.DUMMYFUNCTION("IF
(
G1322=""фізична особа""
,
VLOOKUP(H1322,IMPORTRANGE(""https://docs.google.com/spreadsheets/d/14Bd19lYaqBhU8_DElYkX7l4wRkHqqCUFNJY4AfY3kHU/edit?usp=sharing  #gid=0"",""фіз особи new!relations_name""),6,FALSE)
,
(IF
(
G1322=""юридична особа""
,
VLOOKUP"&amp;"(H1322,IMPORTRANGE(""https://docs.google.com/spreadsheets/d/14Bd19lYaqBhU8_DElYkX7l4wRkHqqCUFNJY4AfY3kHU/edit?usp=sharing  #gid=0"",""фіз особи new!relations_name_uo""),7,FALSE)
,
)
))"),"ОРГЕЄВ Ігор Володимирович")</f>
        <v>ОРГЕЄВ Ігор Володимирович</v>
      </c>
      <c r="J1321" s="7" t="s">
        <v>14</v>
      </c>
    </row>
    <row r="1322" spans="1:10" ht="13.2">
      <c r="A1322" s="7">
        <v>1321</v>
      </c>
      <c r="B1322" s="7">
        <v>1</v>
      </c>
      <c r="C1322" s="7" t="s">
        <v>10</v>
      </c>
      <c r="D1322" s="7">
        <v>428</v>
      </c>
      <c r="E1322" s="7" t="s">
        <v>35</v>
      </c>
      <c r="F1322" s="8" t="str">
        <f ca="1">IFERROR(__xludf.DUMMYFUNCTION("IF
(
C1323=""фізична особа""
,
VLOOKUP(D1323,IMPORTRANGE(""https://docs.google.com/spreadsheets/d/14Bd19lYaqBhU8_DElYkX7l4wRkHqqCUFNJY4AfY3kHU/edit?usp=sharing  #gid=0"",""фіз особи new!relations_name""),6,FALSE)
,
(IF
(
C1323=""юридична особа""
,
VLOOKUP"&amp;"(D1323,IMPORTRANGE(""https://docs.google.com/spreadsheets/d/14Bd19lYaqBhU8_DElYkX7l4wRkHqqCUFNJY4AfY3kHU/edit?usp=sharing  #gid=0"",""фіз особи new!relations_name_uo""),7,FALSE)
,
)
))"),"ОРГЕЄВА Марія Едуардівна")</f>
        <v>ОРГЕЄВА Марія Едуардівна</v>
      </c>
      <c r="G1322" s="7" t="s">
        <v>10</v>
      </c>
      <c r="H1322" s="7">
        <v>91</v>
      </c>
      <c r="I1322" s="8" t="str">
        <f ca="1">IFERROR(__xludf.DUMMYFUNCTION("IF
(
G1323=""фізична особа""
,
VLOOKUP(H1323,IMPORTRANGE(""https://docs.google.com/spreadsheets/d/14Bd19lYaqBhU8_DElYkX7l4wRkHqqCUFNJY4AfY3kHU/edit?usp=sharing  #gid=0"",""фіз особи new!relations_name""),6,FALSE)
,
(IF
(
G1323=""юридична особа""
,
VLOOKUP"&amp;"(H1323,IMPORTRANGE(""https://docs.google.com/spreadsheets/d/14Bd19lYaqBhU8_DElYkX7l4wRkHqqCUFNJY4AfY3kHU/edit?usp=sharing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J1322" s="7" t="s">
        <v>35</v>
      </c>
    </row>
    <row r="1323" spans="1:10" ht="13.2">
      <c r="A1323" s="7">
        <v>1322</v>
      </c>
      <c r="B1323" s="7">
        <v>1</v>
      </c>
      <c r="C1323" s="7" t="s">
        <v>10</v>
      </c>
      <c r="D1323" s="7">
        <v>428</v>
      </c>
      <c r="E1323" s="7" t="s">
        <v>30</v>
      </c>
      <c r="F1323" s="8" t="str">
        <f ca="1">IFERROR(__xludf.DUMMYFUNCTION("IF
(
C1324=""фізична особа""
,
VLOOKUP(D1324,IMPORTRANGE(""https://docs.google.com/spreadsheets/d/14Bd19lYaqBhU8_DElYkX7l4wRkHqqCUFNJY4AfY3kHU/edit?usp=sharing  #gid=0"",""фіз особи new!relations_name""),6,FALSE)
,
(IF
(
C1324=""юридична особа""
,
VLOOKUP"&amp;"(D1324,IMPORTRANGE(""https://docs.google.com/spreadsheets/d/14Bd19lYaqBhU8_DElYkX7l4wRkHqqCUFNJY4AfY3kHU/edit?usp=sharing  #gid=0"",""фіз особи new!relations_name_uo""),7,FALSE)
,
)
))"),"ОРГЕЄВА Марія Едуардівна")</f>
        <v>ОРГЕЄВА Марія Едуардівна</v>
      </c>
      <c r="G1323" s="7" t="s">
        <v>10</v>
      </c>
      <c r="H1323" s="7">
        <v>0</v>
      </c>
      <c r="I1323" s="8" t="str">
        <f ca="1">IFERROR(__xludf.DUMMYFUNCTION("IF
(
G1324=""фізична особа""
,
VLOOKUP(H1324,IMPORTRANGE(""https://docs.google.com/spreadsheets/d/14Bd19lYaqBhU8_DElYkX7l4wRkHqqCUFNJY4AfY3kHU/edit?usp=sharing  #gid=0"",""фіз особи new!relations_name""),6,FALSE)
,
(IF
(
G1324=""юридична особа""
,
VLOOKUP"&amp;"(H1324,IMPORTRANGE(""https://docs.google.com/spreadsheets/d/14Bd19lYaqBhU8_DElYkX7l4wRkHqqCUFNJY4AfY3kHU/edit?usp=sharing  #gid=0"",""фіз особи new!relations_name_uo""),7,FALSE)
,
)
))"),"#N/A")</f>
        <v>#N/A</v>
      </c>
      <c r="J1323" s="7" t="s">
        <v>30</v>
      </c>
    </row>
    <row r="1324" spans="1:10" ht="13.2">
      <c r="A1324" s="7">
        <v>1323</v>
      </c>
      <c r="B1324" s="7">
        <v>1</v>
      </c>
      <c r="C1324" s="7" t="s">
        <v>10</v>
      </c>
      <c r="D1324" s="7">
        <v>429</v>
      </c>
      <c r="E1324" s="7" t="s">
        <v>43</v>
      </c>
      <c r="F1324" s="8" t="str">
        <f ca="1">IFERROR(__xludf.DUMMYFUNCTION("IF
(
C1325=""фізична особа""
,
VLOOKUP(D1325,IMPORTRANGE(""https://docs.google.com/spreadsheets/d/14Bd19lYaqBhU8_DElYkX7l4wRkHqqCUFNJY4AfY3kHU/edit?usp=sharing  #gid=0"",""фіз особи new!relations_name""),6,FALSE)
,
(IF
(
C1325=""юридична особа""
,
VLOOKUP"&amp;"(D1325,IMPORTRANGE(""https://docs.google.com/spreadsheets/d/14Bd19lYaqBhU8_DElYkX7l4wRkHqqCUFNJY4AfY3kHU/edit?usp=sharing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4" s="7" t="s">
        <v>10</v>
      </c>
      <c r="H1324" s="7">
        <v>296</v>
      </c>
      <c r="I1324" s="8" t="str">
        <f ca="1">IFERROR(__xludf.DUMMYFUNCTION("IF
(
G1325=""фізична особа""
,
VLOOKUP(H1325,IMPORTRANGE(""https://docs.google.com/spreadsheets/d/14Bd19lYaqBhU8_DElYkX7l4wRkHqqCUFNJY4AfY3kHU/edit?usp=sharing  #gid=0"",""фіз особи new!relations_name""),6,FALSE)
,
(IF
(
G1325=""юридична особа""
,
VLOOKUP"&amp;"(H1325,IMPORTRANGE(""https://docs.google.com/spreadsheets/d/14Bd19lYaqBhU8_DElYkX7l4wRkHqqCUFNJY4AfY3kHU/edit?usp=sharing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1324" s="7" t="s">
        <v>42</v>
      </c>
    </row>
    <row r="1325" spans="1:10" ht="13.2">
      <c r="A1325" s="7">
        <v>1324</v>
      </c>
      <c r="B1325" s="7">
        <v>1</v>
      </c>
      <c r="C1325" s="7" t="s">
        <v>10</v>
      </c>
      <c r="D1325" s="7">
        <v>429</v>
      </c>
      <c r="E1325" s="7" t="s">
        <v>21</v>
      </c>
      <c r="F1325" s="8" t="str">
        <f ca="1">IFERROR(__xludf.DUMMYFUNCTION("IF
(
C1326=""фізична особа""
,
VLOOKUP(D1326,IMPORTRANGE(""https://docs.google.com/spreadsheets/d/14Bd19lYaqBhU8_DElYkX7l4wRkHqqCUFNJY4AfY3kHU/edit?usp=sharing  #gid=0"",""фіз особи new!relations_name""),6,FALSE)
,
(IF
(
C1326=""юридична особа""
,
VLOOKUP"&amp;"(D1326,IMPORTRANGE(""https://docs.google.com/spreadsheets/d/14Bd19lYaqBhU8_DElYkX7l4wRkHqqCUFNJY4AfY3kHU/edit?usp=sharing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5" s="7" t="s">
        <v>10</v>
      </c>
      <c r="H1325" s="7">
        <v>340</v>
      </c>
      <c r="I1325" s="8" t="str">
        <f ca="1">IFERROR(__xludf.DUMMYFUNCTION("IF
(
G1326=""фізична особа""
,
VLOOKUP(H1326,IMPORTRANGE(""https://docs.google.com/spreadsheets/d/14Bd19lYaqBhU8_DElYkX7l4wRkHqqCUFNJY4AfY3kHU/edit?usp=sharing  #gid=0"",""фіз особи new!relations_name""),6,FALSE)
,
(IF
(
G1326=""юридична особа""
,
VLOOKUP"&amp;"(H1326,IMPORTRANGE(""https://docs.google.com/spreadsheets/d/14Bd19lYaqBhU8_DElYkX7l4wRkHqqCUFNJY4AfY3kHU/edit?usp=sharing  #gid=0"",""фіз особи new!relations_name_uo""),7,FALSE)
,
)
))"),"СЄЧИН Іван Ігорович")</f>
        <v>СЄЧИН Іван Ігорович</v>
      </c>
      <c r="J1325" s="7" t="s">
        <v>17</v>
      </c>
    </row>
    <row r="1326" spans="1:10" ht="13.2">
      <c r="A1326" s="7">
        <v>1325</v>
      </c>
      <c r="B1326" s="7">
        <v>1</v>
      </c>
      <c r="C1326" s="7" t="s">
        <v>10</v>
      </c>
      <c r="D1326" s="7">
        <v>429</v>
      </c>
      <c r="E1326" s="7" t="s">
        <v>21</v>
      </c>
      <c r="F1326" s="8" t="str">
        <f ca="1">IFERROR(__xludf.DUMMYFUNCTION("IF
(
C1327=""фізична особа""
,
VLOOKUP(D1327,IMPORTRANGE(""https://docs.google.com/spreadsheets/d/14Bd19lYaqBhU8_DElYkX7l4wRkHqqCUFNJY4AfY3kHU/edit?usp=sharing  #gid=0"",""фіз особи new!relations_name""),6,FALSE)
,
(IF
(
C1327=""юридична особа""
,
VLOOKUP"&amp;"(D1327,IMPORTRANGE(""https://docs.google.com/spreadsheets/d/14Bd19lYaqBhU8_DElYkX7l4wRkHqqCUFNJY4AfY3kHU/edit?usp=sharing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6" s="7" t="s">
        <v>10</v>
      </c>
      <c r="H1326" s="7">
        <v>23384</v>
      </c>
      <c r="I1326" s="8" t="str">
        <f ca="1">IFERROR(__xludf.DUMMYFUNCTION("IF
(
G1327=""фізична особа""
,
VLOOKUP(H1327,IMPORTRANGE(""https://docs.google.com/spreadsheets/d/14Bd19lYaqBhU8_DElYkX7l4wRkHqqCUFNJY4AfY3kHU/edit?usp=sharing  #gid=0"",""фіз особи new!relations_name""),6,FALSE)
,
(IF
(
G1327=""юридична особа""
,
VLOOKUP"&amp;"(H1327,IMPORTRANGE(""https://docs.google.com/spreadsheets/d/14Bd19lYaqBhU8_DElYkX7l4wRkHqqCUFNJY4AfY3kHU/edit?usp=sharing  #gid=0"",""фіз особи new!relations_name_uo""),7,FALSE)
,
)
))"),"КАРІМОВА Інга Ігорівна")</f>
        <v>КАРІМОВА Інга Ігорівна</v>
      </c>
      <c r="J1326" s="7" t="s">
        <v>13</v>
      </c>
    </row>
    <row r="1327" spans="1:10" ht="13.2">
      <c r="A1327" s="7">
        <v>1326</v>
      </c>
      <c r="B1327" s="7">
        <v>1</v>
      </c>
      <c r="C1327" s="7" t="s">
        <v>10</v>
      </c>
      <c r="D1327" s="7">
        <v>429</v>
      </c>
      <c r="E1327" s="7" t="s">
        <v>11</v>
      </c>
      <c r="F1327" s="8" t="str">
        <f ca="1">IFERROR(__xludf.DUMMYFUNCTION("IF
(
C1328=""фізична особа""
,
VLOOKUP(D1328,IMPORTRANGE(""https://docs.google.com/spreadsheets/d/14Bd19lYaqBhU8_DElYkX7l4wRkHqqCUFNJY4AfY3kHU/edit?usp=sharing  #gid=0"",""фіз особи new!relations_name""),6,FALSE)
,
(IF
(
C1328=""юридична особа""
,
VLOOKUP"&amp;"(D1328,IMPORTRANGE(""https://docs.google.com/spreadsheets/d/14Bd19lYaqBhU8_DElYkX7l4wRkHqqCUFNJY4AfY3kHU/edit?usp=sharing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7" s="7" t="s">
        <v>10</v>
      </c>
      <c r="H1327" s="7">
        <v>0</v>
      </c>
      <c r="I1327" s="8" t="str">
        <f ca="1">IFERROR(__xludf.DUMMYFUNCTION("IF
(
G1328=""фізична особа""
,
VLOOKUP(H1328,IMPORTRANGE(""https://docs.google.com/spreadsheets/d/14Bd19lYaqBhU8_DElYkX7l4wRkHqqCUFNJY4AfY3kHU/edit?usp=sharing  #gid=0"",""фіз особи new!relations_name""),6,FALSE)
,
(IF
(
G1328=""юридична особа""
,
VLOOKUP"&amp;"(H1328,IMPORTRANGE(""https://docs.google.com/spreadsheets/d/14Bd19lYaqBhU8_DElYkX7l4wRkHqqCUFNJY4AfY3kHU/edit?usp=sharing  #gid=0"",""фіз особи new!relations_name_uo""),7,FALSE)
,
)
))"),"#N/A")</f>
        <v>#N/A</v>
      </c>
      <c r="J1327" s="7" t="s">
        <v>11</v>
      </c>
    </row>
    <row r="1328" spans="1:10" ht="13.2">
      <c r="A1328" s="7">
        <v>1327</v>
      </c>
      <c r="B1328" s="7">
        <v>1</v>
      </c>
      <c r="C1328" s="7" t="s">
        <v>10</v>
      </c>
      <c r="D1328" s="7">
        <v>429</v>
      </c>
      <c r="E1328" s="7" t="s">
        <v>11</v>
      </c>
      <c r="F1328" s="8" t="str">
        <f ca="1">IFERROR(__xludf.DUMMYFUNCTION("IF
(
C1329=""фізична особа""
,
VLOOKUP(D1329,IMPORTRANGE(""https://docs.google.com/spreadsheets/d/14Bd19lYaqBhU8_DElYkX7l4wRkHqqCUFNJY4AfY3kHU/edit?usp=sharing  #gid=0"",""фіз особи new!relations_name""),6,FALSE)
,
(IF
(
C1329=""юридична особа""
,
VLOOKUP"&amp;"(D1329,IMPORTRANGE(""https://docs.google.com/spreadsheets/d/14Bd19lYaqBhU8_DElYkX7l4wRkHqqCUFNJY4AfY3kHU/edit?usp=sharing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8" s="7" t="s">
        <v>10</v>
      </c>
      <c r="H1328" s="7">
        <v>0</v>
      </c>
      <c r="I1328" s="8" t="str">
        <f ca="1">IFERROR(__xludf.DUMMYFUNCTION("IF
(
G1329=""фізична особа""
,
VLOOKUP(H1329,IMPORTRANGE(""https://docs.google.com/spreadsheets/d/14Bd19lYaqBhU8_DElYkX7l4wRkHqqCUFNJY4AfY3kHU/edit?usp=sharing  #gid=0"",""фіз особи new!relations_name""),6,FALSE)
,
(IF
(
G1329=""юридична особа""
,
VLOOKUP"&amp;"(H1329,IMPORTRANGE(""https://docs.google.com/spreadsheets/d/14Bd19lYaqBhU8_DElYkX7l4wRkHqqCUFNJY4AfY3kHU/edit?usp=sharing  #gid=0"",""фіз особи new!relations_name_uo""),7,FALSE)
,
)
))"),"#N/A")</f>
        <v>#N/A</v>
      </c>
      <c r="J1328" s="7" t="s">
        <v>11</v>
      </c>
    </row>
    <row r="1329" spans="1:10" ht="13.2">
      <c r="A1329" s="7">
        <v>1328</v>
      </c>
      <c r="B1329" s="7">
        <v>1</v>
      </c>
      <c r="C1329" s="7" t="s">
        <v>10</v>
      </c>
      <c r="D1329" s="7">
        <v>429</v>
      </c>
      <c r="E1329" s="7" t="s">
        <v>11</v>
      </c>
      <c r="F1329" s="8" t="str">
        <f ca="1">IFERROR(__xludf.DUMMYFUNCTION("IF
(
C1330=""фізична особа""
,
VLOOKUP(D1330,IMPORTRANGE(""https://docs.google.com/spreadsheets/d/14Bd19lYaqBhU8_DElYkX7l4wRkHqqCUFNJY4AfY3kHU/edit?usp=sharing  #gid=0"",""фіз особи new!relations_name""),6,FALSE)
,
(IF
(
C1330=""юридична особа""
,
VLOOKUP"&amp;"(D1330,IMPORTRANGE(""https://docs.google.com/spreadsheets/d/14Bd19lYaqBhU8_DElYkX7l4wRkHqqCUFNJY4AfY3kHU/edit?usp=sharing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29" s="7" t="s">
        <v>10</v>
      </c>
      <c r="H1329" s="7">
        <v>0</v>
      </c>
      <c r="I1329" s="8" t="str">
        <f ca="1">IFERROR(__xludf.DUMMYFUNCTION("IF
(
G1330=""фізична особа""
,
VLOOKUP(H1330,IMPORTRANGE(""https://docs.google.com/spreadsheets/d/14Bd19lYaqBhU8_DElYkX7l4wRkHqqCUFNJY4AfY3kHU/edit?usp=sharing  #gid=0"",""фіз особи new!relations_name""),6,FALSE)
,
(IF
(
G1330=""юридична особа""
,
VLOOKUP"&amp;"(H1330,IMPORTRANGE(""https://docs.google.com/spreadsheets/d/14Bd19lYaqBhU8_DElYkX7l4wRkHqqCUFNJY4AfY3kHU/edit?usp=sharing  #gid=0"",""фіз особи new!relations_name_uo""),7,FALSE)
,
)
))"),"#N/A")</f>
        <v>#N/A</v>
      </c>
      <c r="J1329" s="7" t="s">
        <v>11</v>
      </c>
    </row>
    <row r="1330" spans="1:10" ht="13.2">
      <c r="A1330" s="7">
        <v>1329</v>
      </c>
      <c r="B1330" s="7">
        <v>1</v>
      </c>
      <c r="C1330" s="7" t="s">
        <v>10</v>
      </c>
      <c r="D1330" s="7">
        <v>429</v>
      </c>
      <c r="E1330" s="7" t="s">
        <v>11</v>
      </c>
      <c r="F1330" s="8" t="str">
        <f ca="1">IFERROR(__xludf.DUMMYFUNCTION("IF
(
C1331=""фізична особа""
,
VLOOKUP(D1331,IMPORTRANGE(""https://docs.google.com/spreadsheets/d/14Bd19lYaqBhU8_DElYkX7l4wRkHqqCUFNJY4AfY3kHU/edit?usp=sharing  #gid=0"",""фіз особи new!relations_name""),6,FALSE)
,
(IF
(
C1331=""юридична особа""
,
VLOOKUP"&amp;"(D1331,IMPORTRANGE(""https://docs.google.com/spreadsheets/d/14Bd19lYaqBhU8_DElYkX7l4wRkHqqCUFNJY4AfY3kHU/edit?usp=sharing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30" s="7" t="s">
        <v>10</v>
      </c>
      <c r="H1330" s="7">
        <v>0</v>
      </c>
      <c r="I1330" s="8" t="str">
        <f ca="1">IFERROR(__xludf.DUMMYFUNCTION("IF
(
G1331=""фізична особа""
,
VLOOKUP(H1331,IMPORTRANGE(""https://docs.google.com/spreadsheets/d/14Bd19lYaqBhU8_DElYkX7l4wRkHqqCUFNJY4AfY3kHU/edit?usp=sharing  #gid=0"",""фіз особи new!relations_name""),6,FALSE)
,
(IF
(
G1331=""юридична особа""
,
VLOOKUP"&amp;"(H1331,IMPORTRANGE(""https://docs.google.com/spreadsheets/d/14Bd19lYaqBhU8_DElYkX7l4wRkHqqCUFNJY4AfY3kHU/edit?usp=sharing  #gid=0"",""фіз особи new!relations_name_uo""),7,FALSE)
,
)
))"),"#N/A")</f>
        <v>#N/A</v>
      </c>
      <c r="J1330" s="7" t="s">
        <v>11</v>
      </c>
    </row>
    <row r="1331" spans="1:10" ht="13.2">
      <c r="A1331" s="7">
        <v>1330</v>
      </c>
      <c r="B1331" s="7">
        <v>1</v>
      </c>
      <c r="C1331" s="7" t="s">
        <v>10</v>
      </c>
      <c r="D1331" s="7">
        <v>429</v>
      </c>
      <c r="E1331" s="7" t="s">
        <v>11</v>
      </c>
      <c r="F1331" s="8" t="str">
        <f ca="1">IFERROR(__xludf.DUMMYFUNCTION("IF
(
C1332=""фізична особа""
,
VLOOKUP(D1332,IMPORTRANGE(""https://docs.google.com/spreadsheets/d/14Bd19lYaqBhU8_DElYkX7l4wRkHqqCUFNJY4AfY3kHU/edit?usp=sharing  #gid=0"",""фіз особи new!relations_name""),6,FALSE)
,
(IF
(
C1332=""юридична особа""
,
VLOOKUP"&amp;"(D1332,IMPORTRANGE(""https://docs.google.com/spreadsheets/d/14Bd19lYaqBhU8_DElYkX7l4wRkHqqCUFNJY4AfY3kHU/edit?usp=sharing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31" s="7" t="s">
        <v>10</v>
      </c>
      <c r="H1331" s="7">
        <v>0</v>
      </c>
      <c r="I1331" s="8" t="str">
        <f ca="1">IFERROR(__xludf.DUMMYFUNCTION("IF
(
G1332=""фізична особа""
,
VLOOKUP(H1332,IMPORTRANGE(""https://docs.google.com/spreadsheets/d/14Bd19lYaqBhU8_DElYkX7l4wRkHqqCUFNJY4AfY3kHU/edit?usp=sharing  #gid=0"",""фіз особи new!relations_name""),6,FALSE)
,
(IF
(
G1332=""юридична особа""
,
VLOOKUP"&amp;"(H1332,IMPORTRANGE(""https://docs.google.com/spreadsheets/d/14Bd19lYaqBhU8_DElYkX7l4wRkHqqCUFNJY4AfY3kHU/edit?usp=sharing  #gid=0"",""фіз особи new!relations_name_uo""),7,FALSE)
,
)
))"),"#N/A")</f>
        <v>#N/A</v>
      </c>
      <c r="J1331" s="7" t="s">
        <v>11</v>
      </c>
    </row>
    <row r="1332" spans="1:10" ht="13.2">
      <c r="A1332" s="7">
        <v>1331</v>
      </c>
      <c r="B1332" s="7">
        <v>1</v>
      </c>
      <c r="C1332" s="7" t="s">
        <v>10</v>
      </c>
      <c r="D1332" s="7">
        <v>429</v>
      </c>
      <c r="E1332" s="7" t="s">
        <v>11</v>
      </c>
      <c r="F1332" s="8" t="str">
        <f ca="1">IFERROR(__xludf.DUMMYFUNCTION("IF
(
C1333=""фізична особа""
,
VLOOKUP(D1333,IMPORTRANGE(""https://docs.google.com/spreadsheets/d/14Bd19lYaqBhU8_DElYkX7l4wRkHqqCUFNJY4AfY3kHU/edit?usp=sharing  #gid=0"",""фіз особи new!relations_name""),6,FALSE)
,
(IF
(
C1333=""юридична особа""
,
VLOOKUP"&amp;"(D1333,IMPORTRANGE(""https://docs.google.com/spreadsheets/d/14Bd19lYaqBhU8_DElYkX7l4wRkHqqCUFNJY4AfY3kHU/edit?usp=sharing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32" s="7" t="s">
        <v>10</v>
      </c>
      <c r="H1332" s="7">
        <v>0</v>
      </c>
      <c r="I1332" s="8" t="str">
        <f ca="1">IFERROR(__xludf.DUMMYFUNCTION("IF
(
G1333=""фізична особа""
,
VLOOKUP(H1333,IMPORTRANGE(""https://docs.google.com/spreadsheets/d/14Bd19lYaqBhU8_DElYkX7l4wRkHqqCUFNJY4AfY3kHU/edit?usp=sharing  #gid=0"",""фіз особи new!relations_name""),6,FALSE)
,
(IF
(
G1333=""юридична особа""
,
VLOOKUP"&amp;"(H1333,IMPORTRANGE(""https://docs.google.com/spreadsheets/d/14Bd19lYaqBhU8_DElYkX7l4wRkHqqCUFNJY4AfY3kHU/edit?usp=sharing  #gid=0"",""фіз особи new!relations_name_uo""),7,FALSE)
,
)
))"),"#N/A")</f>
        <v>#N/A</v>
      </c>
      <c r="J1332" s="7" t="s">
        <v>11</v>
      </c>
    </row>
    <row r="1333" spans="1:10" ht="13.2">
      <c r="A1333" s="7">
        <v>1332</v>
      </c>
      <c r="B1333" s="7">
        <v>1</v>
      </c>
      <c r="C1333" s="7" t="s">
        <v>10</v>
      </c>
      <c r="D1333" s="7">
        <v>429</v>
      </c>
      <c r="E1333" s="7" t="s">
        <v>11</v>
      </c>
      <c r="F1333" s="8" t="str">
        <f ca="1">IFERROR(__xludf.DUMMYFUNCTION("IF
(
C1334=""фізична особа""
,
VLOOKUP(D1334,IMPORTRANGE(""https://docs.google.com/spreadsheets/d/14Bd19lYaqBhU8_DElYkX7l4wRkHqqCUFNJY4AfY3kHU/edit?usp=sharing  #gid=0"",""фіз особи new!relations_name""),6,FALSE)
,
(IF
(
C1334=""юридична особа""
,
VLOOKUP"&amp;"(D1334,IMPORTRANGE(""https://docs.google.com/spreadsheets/d/14Bd19lYaqBhU8_DElYkX7l4wRkHqqCUFNJY4AfY3kHU/edit?usp=sharing  #gid=0"",""фіз особи new!relations_name_uo""),7,FALSE)
,
)
))"),"СЕЧІНА Марина Володимирівна")</f>
        <v>СЕЧІНА Марина Володимирівна</v>
      </c>
      <c r="G1333" s="7" t="s">
        <v>10</v>
      </c>
      <c r="H1333" s="7">
        <v>0</v>
      </c>
      <c r="I1333" s="8" t="str">
        <f ca="1">IFERROR(__xludf.DUMMYFUNCTION("IF
(
G1334=""фізична особа""
,
VLOOKUP(H1334,IMPORTRANGE(""https://docs.google.com/spreadsheets/d/14Bd19lYaqBhU8_DElYkX7l4wRkHqqCUFNJY4AfY3kHU/edit?usp=sharing  #gid=0"",""фіз особи new!relations_name""),6,FALSE)
,
(IF
(
G1334=""юридична особа""
,
VLOOKUP"&amp;"(H1334,IMPORTRANGE(""https://docs.google.com/spreadsheets/d/14Bd19lYaqBhU8_DElYkX7l4wRkHqqCUFNJY4AfY3kHU/edit?usp=sharing  #gid=0"",""фіз особи new!relations_name_uo""),7,FALSE)
,
)
))"),"#N/A")</f>
        <v>#N/A</v>
      </c>
      <c r="J1333" s="7" t="s">
        <v>11</v>
      </c>
    </row>
    <row r="1334" spans="1:10" ht="13.2">
      <c r="A1334" s="7">
        <v>1333</v>
      </c>
      <c r="B1334" s="7">
        <v>1</v>
      </c>
      <c r="C1334" s="7" t="s">
        <v>10</v>
      </c>
      <c r="D1334" s="7">
        <v>432</v>
      </c>
      <c r="E1334" s="7" t="s">
        <v>14</v>
      </c>
      <c r="F1334" s="8" t="str">
        <f ca="1">IFERROR(__xludf.DUMMYFUNCTION("IF
(
C1335=""фізична особа""
,
VLOOKUP(D1335,IMPORTRANGE(""https://docs.google.com/spreadsheets/d/14Bd19lYaqBhU8_DElYkX7l4wRkHqqCUFNJY4AfY3kHU/edit?usp=sharing  #gid=0"",""фіз особи new!relations_name""),6,FALSE)
,
(IF
(
C1335=""юридична особа""
,
VLOOKUP"&amp;"(D1335,IMPORTRANGE(""https://docs.google.com/spreadsheets/d/14Bd19lYaqBhU8_DElYkX7l4wRkHqqCUFNJY4AfY3kHU/edit?usp=sharing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4" s="7" t="s">
        <v>10</v>
      </c>
      <c r="H1334" s="7">
        <v>8848</v>
      </c>
      <c r="I1334" s="8" t="str">
        <f ca="1">IFERROR(__xludf.DUMMYFUNCTION("IF
(
G1335=""фізична особа""
,
VLOOKUP(H1335,IMPORTRANGE(""https://docs.google.com/spreadsheets/d/14Bd19lYaqBhU8_DElYkX7l4wRkHqqCUFNJY4AfY3kHU/edit?usp=sharing  #gid=0"",""фіз особи new!relations_name""),6,FALSE)
,
(IF
(
G1335=""юридична особа""
,
VLOOKUP"&amp;"(H1335,IMPORTRANGE(""https://docs.google.com/spreadsheets/d/14Bd19lYaqBhU8_DElYkX7l4wRkHqqCUFNJY4AfY3kHU/edit?usp=sharing  #gid=0"",""фіз особи new!relations_name_uo""),7,FALSE)
,
)
))"),"ТОПІЛІНА Марія Валентинівна")</f>
        <v>ТОПІЛІНА Марія Валентинівна</v>
      </c>
      <c r="J1334" s="7" t="s">
        <v>15</v>
      </c>
    </row>
    <row r="1335" spans="1:10" ht="13.2">
      <c r="A1335" s="7">
        <v>1334</v>
      </c>
      <c r="B1335" s="7">
        <v>1</v>
      </c>
      <c r="C1335" s="7" t="s">
        <v>10</v>
      </c>
      <c r="D1335" s="7">
        <v>432</v>
      </c>
      <c r="E1335" s="7" t="s">
        <v>17</v>
      </c>
      <c r="F1335" s="8" t="str">
        <f ca="1">IFERROR(__xludf.DUMMYFUNCTION("IF
(
C1336=""фізична особа""
,
VLOOKUP(D1336,IMPORTRANGE(""https://docs.google.com/spreadsheets/d/14Bd19lYaqBhU8_DElYkX7l4wRkHqqCUFNJY4AfY3kHU/edit?usp=sharing  #gid=0"",""фіз особи new!relations_name""),6,FALSE)
,
(IF
(
C1336=""юридична особа""
,
VLOOKUP"&amp;"(D1336,IMPORTRANGE(""https://docs.google.com/spreadsheets/d/14Bd19lYaqBhU8_DElYkX7l4wRkHqqCUFNJY4AfY3kHU/edit?usp=sharing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5" s="7" t="s">
        <v>10</v>
      </c>
      <c r="H1335" s="7">
        <v>0</v>
      </c>
      <c r="I1335" s="8" t="str">
        <f ca="1">IFERROR(__xludf.DUMMYFUNCTION("IF
(
G1336=""фізична особа""
,
VLOOKUP(H1336,IMPORTRANGE(""https://docs.google.com/spreadsheets/d/14Bd19lYaqBhU8_DElYkX7l4wRkHqqCUFNJY4AfY3kHU/edit?usp=sharing  #gid=0"",""фіз особи new!relations_name""),6,FALSE)
,
(IF
(
G1336=""юридична особа""
,
VLOOKUP"&amp;"(H1336,IMPORTRANGE(""https://docs.google.com/spreadsheets/d/14Bd19lYaqBhU8_DElYkX7l4wRkHqqCUFNJY4AfY3kHU/edit?usp=sharing  #gid=0"",""фіз особи new!relations_name_uo""),7,FALSE)
,
)
))"),"#N/A")</f>
        <v>#N/A</v>
      </c>
      <c r="J1335" s="7" t="s">
        <v>12</v>
      </c>
    </row>
    <row r="1336" spans="1:10" ht="13.2">
      <c r="A1336" s="7">
        <v>1335</v>
      </c>
      <c r="B1336" s="7">
        <v>1</v>
      </c>
      <c r="C1336" s="7" t="s">
        <v>10</v>
      </c>
      <c r="D1336" s="7">
        <v>432</v>
      </c>
      <c r="E1336" s="7" t="s">
        <v>17</v>
      </c>
      <c r="F1336" s="8" t="str">
        <f ca="1">IFERROR(__xludf.DUMMYFUNCTION("IF
(
C1337=""фізична особа""
,
VLOOKUP(D1337,IMPORTRANGE(""https://docs.google.com/spreadsheets/d/14Bd19lYaqBhU8_DElYkX7l4wRkHqqCUFNJY4AfY3kHU/edit?usp=sharing  #gid=0"",""фіз особи new!relations_name""),6,FALSE)
,
(IF
(
C1337=""юридична особа""
,
VLOOKUP"&amp;"(D1337,IMPORTRANGE(""https://docs.google.com/spreadsheets/d/14Bd19lYaqBhU8_DElYkX7l4wRkHqqCUFNJY4AfY3kHU/edit?usp=sharing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6" s="7" t="s">
        <v>10</v>
      </c>
      <c r="H1336" s="7">
        <v>0</v>
      </c>
      <c r="I1336" s="8" t="str">
        <f ca="1">IFERROR(__xludf.DUMMYFUNCTION("IF
(
G1337=""фізична особа""
,
VLOOKUP(H1337,IMPORTRANGE(""https://docs.google.com/spreadsheets/d/14Bd19lYaqBhU8_DElYkX7l4wRkHqqCUFNJY4AfY3kHU/edit?usp=sharing  #gid=0"",""фіз особи new!relations_name""),6,FALSE)
,
(IF
(
G1337=""юридична особа""
,
VLOOKUP"&amp;"(H1337,IMPORTRANGE(""https://docs.google.com/spreadsheets/d/14Bd19lYaqBhU8_DElYkX7l4wRkHqqCUFNJY4AfY3kHU/edit?usp=sharing  #gid=0"",""фіз особи new!relations_name_uo""),7,FALSE)
,
)
))"),"#N/A")</f>
        <v>#N/A</v>
      </c>
      <c r="J1336" s="7" t="s">
        <v>21</v>
      </c>
    </row>
    <row r="1337" spans="1:10" ht="13.2">
      <c r="A1337" s="7">
        <v>1336</v>
      </c>
      <c r="B1337" s="7">
        <v>1</v>
      </c>
      <c r="C1337" s="7" t="s">
        <v>10</v>
      </c>
      <c r="D1337" s="7">
        <v>432</v>
      </c>
      <c r="E1337" s="7" t="s">
        <v>18</v>
      </c>
      <c r="F1337" s="8" t="str">
        <f ca="1">IFERROR(__xludf.DUMMYFUNCTION("IF
(
C1338=""фізична особа""
,
VLOOKUP(D1338,IMPORTRANGE(""https://docs.google.com/spreadsheets/d/14Bd19lYaqBhU8_DElYkX7l4wRkHqqCUFNJY4AfY3kHU/edit?usp=sharing  #gid=0"",""фіз особи new!relations_name""),6,FALSE)
,
(IF
(
C1338=""юридична особа""
,
VLOOKUP"&amp;"(D1338,IMPORTRANGE(""https://docs.google.com/spreadsheets/d/14Bd19lYaqBhU8_DElYkX7l4wRkHqqCUFNJY4AfY3kHU/edit?usp=sharing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7" s="7" t="s">
        <v>10</v>
      </c>
      <c r="H1337" s="7">
        <v>0</v>
      </c>
      <c r="I1337" s="8" t="str">
        <f ca="1">IFERROR(__xludf.DUMMYFUNCTION("IF
(
G1338=""фізична особа""
,
VLOOKUP(H1338,IMPORTRANGE(""https://docs.google.com/spreadsheets/d/14Bd19lYaqBhU8_DElYkX7l4wRkHqqCUFNJY4AfY3kHU/edit?usp=sharing  #gid=0"",""фіз особи new!relations_name""),6,FALSE)
,
(IF
(
G1338=""юридична особа""
,
VLOOKUP"&amp;"(H1338,IMPORTRANGE(""https://docs.google.com/spreadsheets/d/14Bd19lYaqBhU8_DElYkX7l4wRkHqqCUFNJY4AfY3kHU/edit?usp=sharing  #gid=0"",""фіз особи new!relations_name_uo""),7,FALSE)
,
)
))"),"#N/A")</f>
        <v>#N/A</v>
      </c>
      <c r="J1337" s="7" t="s">
        <v>18</v>
      </c>
    </row>
    <row r="1338" spans="1:10" ht="13.2">
      <c r="A1338" s="7">
        <v>1337</v>
      </c>
      <c r="B1338" s="7">
        <v>1</v>
      </c>
      <c r="C1338" s="7" t="s">
        <v>10</v>
      </c>
      <c r="D1338" s="7">
        <v>432</v>
      </c>
      <c r="E1338" s="7" t="s">
        <v>40</v>
      </c>
      <c r="F1338" s="8" t="str">
        <f ca="1">IFERROR(__xludf.DUMMYFUNCTION("IF
(
C1339=""фізична особа""
,
VLOOKUP(D1339,IMPORTRANGE(""https://docs.google.com/spreadsheets/d/14Bd19lYaqBhU8_DElYkX7l4wRkHqqCUFNJY4AfY3kHU/edit?usp=sharing  #gid=0"",""фіз особи new!relations_name""),6,FALSE)
,
(IF
(
C1339=""юридична особа""
,
VLOOKUP"&amp;"(D1339,IMPORTRANGE(""https://docs.google.com/spreadsheets/d/14Bd19lYaqBhU8_DElYkX7l4wRkHqqCUFNJY4AfY3kHU/edit?usp=sharing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8" s="7" t="s">
        <v>10</v>
      </c>
      <c r="H1338" s="7">
        <v>3284</v>
      </c>
      <c r="I1338" s="8" t="str">
        <f ca="1">IFERROR(__xludf.DUMMYFUNCTION("IF
(
G1339=""фізична особа""
,
VLOOKUP(H1339,IMPORTRANGE(""https://docs.google.com/spreadsheets/d/14Bd19lYaqBhU8_DElYkX7l4wRkHqqCUFNJY4AfY3kHU/edit?usp=sharing  #gid=0"",""фіз особи new!relations_name""),6,FALSE)
,
(IF
(
G1339=""юридична особа""
,
VLOOKUP"&amp;"(H1339,IMPORTRANGE(""https://docs.google.com/spreadsheets/d/14Bd19lYaqBhU8_DElYkX7l4wRkHqqCUFNJY4AfY3kHU/edit?usp=sharing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J1338" s="7" t="s">
        <v>41</v>
      </c>
    </row>
    <row r="1339" spans="1:10" ht="13.2">
      <c r="A1339" s="7">
        <v>1338</v>
      </c>
      <c r="B1339" s="7">
        <v>1</v>
      </c>
      <c r="C1339" s="7" t="s">
        <v>10</v>
      </c>
      <c r="D1339" s="7">
        <v>432</v>
      </c>
      <c r="E1339" s="7" t="s">
        <v>41</v>
      </c>
      <c r="F1339" s="8" t="str">
        <f ca="1">IFERROR(__xludf.DUMMYFUNCTION("IF
(
C1340=""фізична особа""
,
VLOOKUP(D1340,IMPORTRANGE(""https://docs.google.com/spreadsheets/d/14Bd19lYaqBhU8_DElYkX7l4wRkHqqCUFNJY4AfY3kHU/edit?usp=sharing  #gid=0"",""фіз особи new!relations_name""),6,FALSE)
,
(IF
(
C1340=""юридична особа""
,
VLOOKUP"&amp;"(D1340,IMPORTRANGE(""https://docs.google.com/spreadsheets/d/14Bd19lYaqBhU8_DElYkX7l4wRkHqqCUFNJY4AfY3kHU/edit?usp=sharing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39" s="7" t="s">
        <v>10</v>
      </c>
      <c r="H1339" s="7">
        <v>0</v>
      </c>
      <c r="I1339" s="8" t="str">
        <f ca="1">IFERROR(__xludf.DUMMYFUNCTION("IF
(
G1340=""фізична особа""
,
VLOOKUP(H1340,IMPORTRANGE(""https://docs.google.com/spreadsheets/d/14Bd19lYaqBhU8_DElYkX7l4wRkHqqCUFNJY4AfY3kHU/edit?usp=sharing  #gid=0"",""фіз особи new!relations_name""),6,FALSE)
,
(IF
(
G1340=""юридична особа""
,
VLOOKUP"&amp;"(H1340,IMPORTRANGE(""https://docs.google.com/spreadsheets/d/14Bd19lYaqBhU8_DElYkX7l4wRkHqqCUFNJY4AfY3kHU/edit?usp=sharing  #gid=0"",""фіз особи new!relations_name_uo""),7,FALSE)
,
)
))"),"#N/A")</f>
        <v>#N/A</v>
      </c>
      <c r="J1339" s="7" t="s">
        <v>40</v>
      </c>
    </row>
    <row r="1340" spans="1:10" ht="13.2">
      <c r="A1340" s="7">
        <v>1339</v>
      </c>
      <c r="B1340" s="7">
        <v>1</v>
      </c>
      <c r="C1340" s="7" t="s">
        <v>10</v>
      </c>
      <c r="D1340" s="7">
        <v>432</v>
      </c>
      <c r="E1340" s="7" t="s">
        <v>41</v>
      </c>
      <c r="F1340" s="8" t="str">
        <f ca="1">IFERROR(__xludf.DUMMYFUNCTION("IF
(
C1341=""фізична особа""
,
VLOOKUP(D1341,IMPORTRANGE(""https://docs.google.com/spreadsheets/d/14Bd19lYaqBhU8_DElYkX7l4wRkHqqCUFNJY4AfY3kHU/edit?usp=sharing  #gid=0"",""фіз особи new!relations_name""),6,FALSE)
,
(IF
(
C1341=""юридична особа""
,
VLOOKUP"&amp;"(D1341,IMPORTRANGE(""https://docs.google.com/spreadsheets/d/14Bd19lYaqBhU8_DElYkX7l4wRkHqqCUFNJY4AfY3kHU/edit?usp=sharing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0" s="7" t="s">
        <v>10</v>
      </c>
      <c r="H1340" s="7">
        <v>2385</v>
      </c>
      <c r="I1340" s="8" t="str">
        <f ca="1">IFERROR(__xludf.DUMMYFUNCTION("IF
(
G1341=""фізична особа""
,
VLOOKUP(H1341,IMPORTRANGE(""https://docs.google.com/spreadsheets/d/14Bd19lYaqBhU8_DElYkX7l4wRkHqqCUFNJY4AfY3kHU/edit?usp=sharing  #gid=0"",""фіз особи new!relations_name""),6,FALSE)
,
(IF
(
G1341=""юридична особа""
,
VLOOKUP"&amp;"(H1341,IMPORTRANGE(""https://docs.google.com/spreadsheets/d/14Bd19lYaqBhU8_DElYkX7l4wRkHqqCUFNJY4AfY3kHU/edit?usp=sharing  #gid=0"",""фіз особи new!relations_name_uo""),7,FALSE)
,
)
))"),"ПУДОВ Андрій Миколайович")</f>
        <v>ПУДОВ Андрій Миколайович</v>
      </c>
      <c r="J1340" s="7" t="s">
        <v>40</v>
      </c>
    </row>
    <row r="1341" spans="1:10" ht="13.2">
      <c r="A1341" s="7">
        <v>1340</v>
      </c>
      <c r="B1341" s="7">
        <v>1</v>
      </c>
      <c r="C1341" s="7" t="s">
        <v>10</v>
      </c>
      <c r="D1341" s="7">
        <v>432</v>
      </c>
      <c r="E1341" s="7" t="s">
        <v>41</v>
      </c>
      <c r="F1341" s="8" t="str">
        <f ca="1">IFERROR(__xludf.DUMMYFUNCTION("IF
(
C1342=""фізична особа""
,
VLOOKUP(D1342,IMPORTRANGE(""https://docs.google.com/spreadsheets/d/14Bd19lYaqBhU8_DElYkX7l4wRkHqqCUFNJY4AfY3kHU/edit?usp=sharing  #gid=0"",""фіз особи new!relations_name""),6,FALSE)
,
(IF
(
C1342=""юридична особа""
,
VLOOKUP"&amp;"(D1342,IMPORTRANGE(""https://docs.google.com/spreadsheets/d/14Bd19lYaqBhU8_DElYkX7l4wRkHqqCUFNJY4AfY3kHU/edit?usp=sharing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1" s="7" t="s">
        <v>10</v>
      </c>
      <c r="H1341" s="7">
        <v>2401</v>
      </c>
      <c r="I1341" s="8" t="str">
        <f ca="1">IFERROR(__xludf.DUMMYFUNCTION("IF
(
G1342=""фізична особа""
,
VLOOKUP(H1342,IMPORTRANGE(""https://docs.google.com/spreadsheets/d/14Bd19lYaqBhU8_DElYkX7l4wRkHqqCUFNJY4AfY3kHU/edit?usp=sharing  #gid=0"",""фіз особи new!relations_name""),6,FALSE)
,
(IF
(
G1342=""юридична особа""
,
VLOOKUP"&amp;"(H1342,IMPORTRANGE(""https://docs.google.com/spreadsheets/d/14Bd19lYaqBhU8_DElYkX7l4wRkHqqCUFNJY4AfY3kHU/edit?usp=sharing  #gid=0"",""фіз особи new!relations_name_uo""),7,FALSE)
,
)
))"),"ВУКОЛОВ Всеволод Львович")</f>
        <v>ВУКОЛОВ Всеволод Львович</v>
      </c>
      <c r="J1341" s="7" t="s">
        <v>40</v>
      </c>
    </row>
    <row r="1342" spans="1:10" ht="13.2">
      <c r="A1342" s="7">
        <v>1341</v>
      </c>
      <c r="B1342" s="7">
        <v>1</v>
      </c>
      <c r="C1342" s="7" t="s">
        <v>10</v>
      </c>
      <c r="D1342" s="7">
        <v>432</v>
      </c>
      <c r="E1342" s="7" t="s">
        <v>41</v>
      </c>
      <c r="F1342" s="8" t="str">
        <f ca="1">IFERROR(__xludf.DUMMYFUNCTION("IF
(
C1343=""фізична особа""
,
VLOOKUP(D1343,IMPORTRANGE(""https://docs.google.com/spreadsheets/d/14Bd19lYaqBhU8_DElYkX7l4wRkHqqCUFNJY4AfY3kHU/edit?usp=sharing  #gid=0"",""фіз особи new!relations_name""),6,FALSE)
,
(IF
(
C1343=""юридична особа""
,
VLOOKUP"&amp;"(D1343,IMPORTRANGE(""https://docs.google.com/spreadsheets/d/14Bd19lYaqBhU8_DElYkX7l4wRkHqqCUFNJY4AfY3kHU/edit?usp=sharing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2" s="7" t="s">
        <v>10</v>
      </c>
      <c r="H1342" s="7">
        <v>0</v>
      </c>
      <c r="I1342" s="8" t="str">
        <f ca="1">IFERROR(__xludf.DUMMYFUNCTION("IF
(
G1343=""фізична особа""
,
VLOOKUP(H1343,IMPORTRANGE(""https://docs.google.com/spreadsheets/d/14Bd19lYaqBhU8_DElYkX7l4wRkHqqCUFNJY4AfY3kHU/edit?usp=sharing  #gid=0"",""фіз особи new!relations_name""),6,FALSE)
,
(IF
(
G1343=""юридична особа""
,
VLOOKUP"&amp;"(H1343,IMPORTRANGE(""https://docs.google.com/spreadsheets/d/14Bd19lYaqBhU8_DElYkX7l4wRkHqqCUFNJY4AfY3kHU/edit?usp=sharing  #gid=0"",""фіз особи new!relations_name_uo""),7,FALSE)
,
)
))"),"#N/A")</f>
        <v>#N/A</v>
      </c>
      <c r="J1342" s="7" t="s">
        <v>40</v>
      </c>
    </row>
    <row r="1343" spans="1:10" ht="13.2">
      <c r="A1343" s="7">
        <v>1342</v>
      </c>
      <c r="B1343" s="7">
        <v>1</v>
      </c>
      <c r="C1343" s="7" t="s">
        <v>10</v>
      </c>
      <c r="D1343" s="7">
        <v>432</v>
      </c>
      <c r="E1343" s="7" t="s">
        <v>41</v>
      </c>
      <c r="F1343" s="8" t="str">
        <f ca="1">IFERROR(__xludf.DUMMYFUNCTION("IF
(
C1344=""фізична особа""
,
VLOOKUP(D1344,IMPORTRANGE(""https://docs.google.com/spreadsheets/d/14Bd19lYaqBhU8_DElYkX7l4wRkHqqCUFNJY4AfY3kHU/edit?usp=sharing  #gid=0"",""фіз особи new!relations_name""),6,FALSE)
,
(IF
(
C1344=""юридична особа""
,
VLOOKUP"&amp;"(D1344,IMPORTRANGE(""https://docs.google.com/spreadsheets/d/14Bd19lYaqBhU8_DElYkX7l4wRkHqqCUFNJY4AfY3kHU/edit?usp=sharing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3" s="7" t="s">
        <v>10</v>
      </c>
      <c r="H1343" s="7">
        <v>0</v>
      </c>
      <c r="I1343" s="8" t="str">
        <f ca="1">IFERROR(__xludf.DUMMYFUNCTION("IF
(
G1344=""фізична особа""
,
VLOOKUP(H1344,IMPORTRANGE(""https://docs.google.com/spreadsheets/d/14Bd19lYaqBhU8_DElYkX7l4wRkHqqCUFNJY4AfY3kHU/edit?usp=sharing  #gid=0"",""фіз особи new!relations_name""),6,FALSE)
,
(IF
(
G1344=""юридична особа""
,
VLOOKUP"&amp;"(H1344,IMPORTRANGE(""https://docs.google.com/spreadsheets/d/14Bd19lYaqBhU8_DElYkX7l4wRkHqqCUFNJY4AfY3kHU/edit?usp=sharing  #gid=0"",""фіз особи new!relations_name_uo""),7,FALSE)
,
)
))"),"#N/A")</f>
        <v>#N/A</v>
      </c>
      <c r="J1343" s="7" t="s">
        <v>40</v>
      </c>
    </row>
    <row r="1344" spans="1:10" ht="13.2">
      <c r="A1344" s="7">
        <v>1343</v>
      </c>
      <c r="B1344" s="7">
        <v>1</v>
      </c>
      <c r="C1344" s="7" t="s">
        <v>10</v>
      </c>
      <c r="D1344" s="7">
        <v>432</v>
      </c>
      <c r="E1344" s="7" t="s">
        <v>41</v>
      </c>
      <c r="F1344" s="8" t="str">
        <f ca="1">IFERROR(__xludf.DUMMYFUNCTION("IF
(
C1345=""фізична особа""
,
VLOOKUP(D1345,IMPORTRANGE(""https://docs.google.com/spreadsheets/d/14Bd19lYaqBhU8_DElYkX7l4wRkHqqCUFNJY4AfY3kHU/edit?usp=sharing  #gid=0"",""фіз особи new!relations_name""),6,FALSE)
,
(IF
(
C1345=""юридична особа""
,
VLOOKUP"&amp;"(D1345,IMPORTRANGE(""https://docs.google.com/spreadsheets/d/14Bd19lYaqBhU8_DElYkX7l4wRkHqqCUFNJY4AfY3kHU/edit?usp=sharing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4" s="7" t="s">
        <v>10</v>
      </c>
      <c r="H1344" s="7">
        <v>0</v>
      </c>
      <c r="I1344" s="8" t="str">
        <f ca="1">IFERROR(__xludf.DUMMYFUNCTION("IF
(
G1345=""фізична особа""
,
VLOOKUP(H1345,IMPORTRANGE(""https://docs.google.com/spreadsheets/d/14Bd19lYaqBhU8_DElYkX7l4wRkHqqCUFNJY4AfY3kHU/edit?usp=sharing  #gid=0"",""фіз особи new!relations_name""),6,FALSE)
,
(IF
(
G1345=""юридична особа""
,
VLOOKUP"&amp;"(H1345,IMPORTRANGE(""https://docs.google.com/spreadsheets/d/14Bd19lYaqBhU8_DElYkX7l4wRkHqqCUFNJY4AfY3kHU/edit?usp=sharing  #gid=0"",""фіз особи new!relations_name_uo""),7,FALSE)
,
)
))"),"#N/A")</f>
        <v>#N/A</v>
      </c>
      <c r="J1344" s="7" t="s">
        <v>40</v>
      </c>
    </row>
    <row r="1345" spans="1:10" ht="13.2">
      <c r="A1345" s="7">
        <v>1344</v>
      </c>
      <c r="B1345" s="7">
        <v>1</v>
      </c>
      <c r="C1345" s="7" t="s">
        <v>10</v>
      </c>
      <c r="D1345" s="7">
        <v>432</v>
      </c>
      <c r="E1345" s="7" t="s">
        <v>41</v>
      </c>
      <c r="F1345" s="8" t="str">
        <f ca="1">IFERROR(__xludf.DUMMYFUNCTION("IF
(
C1346=""фізична особа""
,
VLOOKUP(D1346,IMPORTRANGE(""https://docs.google.com/spreadsheets/d/14Bd19lYaqBhU8_DElYkX7l4wRkHqqCUFNJY4AfY3kHU/edit?usp=sharing  #gid=0"",""фіз особи new!relations_name""),6,FALSE)
,
(IF
(
C1346=""юридична особа""
,
VLOOKUP"&amp;"(D1346,IMPORTRANGE(""https://docs.google.com/spreadsheets/d/14Bd19lYaqBhU8_DElYkX7l4wRkHqqCUFNJY4AfY3kHU/edit?usp=sharing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5" s="7" t="s">
        <v>10</v>
      </c>
      <c r="H1345" s="7">
        <v>0</v>
      </c>
      <c r="I1345" s="8" t="str">
        <f ca="1">IFERROR(__xludf.DUMMYFUNCTION("IF
(
G1346=""фізична особа""
,
VLOOKUP(H1346,IMPORTRANGE(""https://docs.google.com/spreadsheets/d/14Bd19lYaqBhU8_DElYkX7l4wRkHqqCUFNJY4AfY3kHU/edit?usp=sharing  #gid=0"",""фіз особи new!relations_name""),6,FALSE)
,
(IF
(
G1346=""юридична особа""
,
VLOOKUP"&amp;"(H1346,IMPORTRANGE(""https://docs.google.com/spreadsheets/d/14Bd19lYaqBhU8_DElYkX7l4wRkHqqCUFNJY4AfY3kHU/edit?usp=sharing  #gid=0"",""фіз особи new!relations_name_uo""),7,FALSE)
,
)
))"),"#N/A")</f>
        <v>#N/A</v>
      </c>
      <c r="J1345" s="7" t="s">
        <v>40</v>
      </c>
    </row>
    <row r="1346" spans="1:10" ht="13.2">
      <c r="A1346" s="7">
        <v>1345</v>
      </c>
      <c r="B1346" s="7">
        <v>1</v>
      </c>
      <c r="C1346" s="7" t="s">
        <v>10</v>
      </c>
      <c r="D1346" s="7">
        <v>432</v>
      </c>
      <c r="E1346" s="7" t="s">
        <v>41</v>
      </c>
      <c r="F1346" s="8" t="str">
        <f ca="1">IFERROR(__xludf.DUMMYFUNCTION("IF
(
C1347=""фізична особа""
,
VLOOKUP(D1347,IMPORTRANGE(""https://docs.google.com/spreadsheets/d/14Bd19lYaqBhU8_DElYkX7l4wRkHqqCUFNJY4AfY3kHU/edit?usp=sharing  #gid=0"",""фіз особи new!relations_name""),6,FALSE)
,
(IF
(
C1347=""юридична особа""
,
VLOOKUP"&amp;"(D1347,IMPORTRANGE(""https://docs.google.com/spreadsheets/d/14Bd19lYaqBhU8_DElYkX7l4wRkHqqCUFNJY4AfY3kHU/edit?usp=sharing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6" s="7" t="s">
        <v>10</v>
      </c>
      <c r="H1346" s="7">
        <v>0</v>
      </c>
      <c r="I1346" s="8" t="str">
        <f ca="1">IFERROR(__xludf.DUMMYFUNCTION("IF
(
G1347=""фізична особа""
,
VLOOKUP(H1347,IMPORTRANGE(""https://docs.google.com/spreadsheets/d/14Bd19lYaqBhU8_DElYkX7l4wRkHqqCUFNJY4AfY3kHU/edit?usp=sharing  #gid=0"",""фіз особи new!relations_name""),6,FALSE)
,
(IF
(
G1347=""юридична особа""
,
VLOOKUP"&amp;"(H1347,IMPORTRANGE(""https://docs.google.com/spreadsheets/d/14Bd19lYaqBhU8_DElYkX7l4wRkHqqCUFNJY4AfY3kHU/edit?usp=sharing  #gid=0"",""фіз особи new!relations_name_uo""),7,FALSE)
,
)
))"),"#N/A")</f>
        <v>#N/A</v>
      </c>
      <c r="J1346" s="7" t="s">
        <v>40</v>
      </c>
    </row>
    <row r="1347" spans="1:10" ht="13.2">
      <c r="A1347" s="7">
        <v>1346</v>
      </c>
      <c r="B1347" s="7">
        <v>1</v>
      </c>
      <c r="C1347" s="7" t="s">
        <v>10</v>
      </c>
      <c r="D1347" s="7">
        <v>432</v>
      </c>
      <c r="E1347" s="7" t="s">
        <v>41</v>
      </c>
      <c r="F1347" s="8" t="str">
        <f ca="1">IFERROR(__xludf.DUMMYFUNCTION("IF
(
C1348=""фізична особа""
,
VLOOKUP(D1348,IMPORTRANGE(""https://docs.google.com/spreadsheets/d/14Bd19lYaqBhU8_DElYkX7l4wRkHqqCUFNJY4AfY3kHU/edit?usp=sharing  #gid=0"",""фіз особи new!relations_name""),6,FALSE)
,
(IF
(
C1348=""юридична особа""
,
VLOOKUP"&amp;"(D1348,IMPORTRANGE(""https://docs.google.com/spreadsheets/d/14Bd19lYaqBhU8_DElYkX7l4wRkHqqCUFNJY4AfY3kHU/edit?usp=sharing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7" s="7" t="s">
        <v>10</v>
      </c>
      <c r="H1347" s="7">
        <v>0</v>
      </c>
      <c r="I1347" s="8" t="str">
        <f ca="1">IFERROR(__xludf.DUMMYFUNCTION("IF
(
G1348=""фізична особа""
,
VLOOKUP(H1348,IMPORTRANGE(""https://docs.google.com/spreadsheets/d/14Bd19lYaqBhU8_DElYkX7l4wRkHqqCUFNJY4AfY3kHU/edit?usp=sharing  #gid=0"",""фіз особи new!relations_name""),6,FALSE)
,
(IF
(
G1348=""юридична особа""
,
VLOOKUP"&amp;"(H1348,IMPORTRANGE(""https://docs.google.com/spreadsheets/d/14Bd19lYaqBhU8_DElYkX7l4wRkHqqCUFNJY4AfY3kHU/edit?usp=sharing  #gid=0"",""фіз особи new!relations_name_uo""),7,FALSE)
,
)
))"),"#N/A")</f>
        <v>#N/A</v>
      </c>
      <c r="J1347" s="7" t="s">
        <v>40</v>
      </c>
    </row>
    <row r="1348" spans="1:10" ht="13.2">
      <c r="A1348" s="7">
        <v>1347</v>
      </c>
      <c r="B1348" s="7">
        <v>1</v>
      </c>
      <c r="C1348" s="7" t="s">
        <v>10</v>
      </c>
      <c r="D1348" s="7">
        <v>432</v>
      </c>
      <c r="E1348" s="7" t="s">
        <v>41</v>
      </c>
      <c r="F1348" s="8" t="str">
        <f ca="1">IFERROR(__xludf.DUMMYFUNCTION("IF
(
C1349=""фізична особа""
,
VLOOKUP(D1349,IMPORTRANGE(""https://docs.google.com/spreadsheets/d/14Bd19lYaqBhU8_DElYkX7l4wRkHqqCUFNJY4AfY3kHU/edit?usp=sharing  #gid=0"",""фіз особи new!relations_name""),6,FALSE)
,
(IF
(
C1349=""юридична особа""
,
VLOOKUP"&amp;"(D1349,IMPORTRANGE(""https://docs.google.com/spreadsheets/d/14Bd19lYaqBhU8_DElYkX7l4wRkHqqCUFNJY4AfY3kHU/edit?usp=sharing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8" s="7" t="s">
        <v>10</v>
      </c>
      <c r="H1348" s="7">
        <v>0</v>
      </c>
      <c r="I1348" s="8" t="str">
        <f ca="1">IFERROR(__xludf.DUMMYFUNCTION("IF
(
G1349=""фізична особа""
,
VLOOKUP(H1349,IMPORTRANGE(""https://docs.google.com/spreadsheets/d/14Bd19lYaqBhU8_DElYkX7l4wRkHqqCUFNJY4AfY3kHU/edit?usp=sharing  #gid=0"",""фіз особи new!relations_name""),6,FALSE)
,
(IF
(
G1349=""юридична особа""
,
VLOOKUP"&amp;"(H1349,IMPORTRANGE(""https://docs.google.com/spreadsheets/d/14Bd19lYaqBhU8_DElYkX7l4wRkHqqCUFNJY4AfY3kHU/edit?usp=sharing  #gid=0"",""фіз особи new!relations_name_uo""),7,FALSE)
,
)
))"),"#N/A")</f>
        <v>#N/A</v>
      </c>
      <c r="J1348" s="7" t="s">
        <v>40</v>
      </c>
    </row>
    <row r="1349" spans="1:10" ht="13.2">
      <c r="A1349" s="7">
        <v>1348</v>
      </c>
      <c r="B1349" s="7">
        <v>1</v>
      </c>
      <c r="C1349" s="7" t="s">
        <v>10</v>
      </c>
      <c r="D1349" s="7">
        <v>432</v>
      </c>
      <c r="E1349" s="7" t="s">
        <v>41</v>
      </c>
      <c r="F1349" s="8" t="str">
        <f ca="1">IFERROR(__xludf.DUMMYFUNCTION("IF
(
C1350=""фізична особа""
,
VLOOKUP(D1350,IMPORTRANGE(""https://docs.google.com/spreadsheets/d/14Bd19lYaqBhU8_DElYkX7l4wRkHqqCUFNJY4AfY3kHU/edit?usp=sharing  #gid=0"",""фіз особи new!relations_name""),6,FALSE)
,
(IF
(
C1350=""юридична особа""
,
VLOOKUP"&amp;"(D1350,IMPORTRANGE(""https://docs.google.com/spreadsheets/d/14Bd19lYaqBhU8_DElYkX7l4wRkHqqCUFNJY4AfY3kHU/edit?usp=sharing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G1349" s="7" t="s">
        <v>10</v>
      </c>
      <c r="H1349" s="7">
        <v>0</v>
      </c>
      <c r="I1349" s="8" t="str">
        <f ca="1">IFERROR(__xludf.DUMMYFUNCTION("IF
(
G1350=""фізична особа""
,
VLOOKUP(H1350,IMPORTRANGE(""https://docs.google.com/spreadsheets/d/14Bd19lYaqBhU8_DElYkX7l4wRkHqqCUFNJY4AfY3kHU/edit?usp=sharing  #gid=0"",""фіз особи new!relations_name""),6,FALSE)
,
(IF
(
G1350=""юридична особа""
,
VLOOKUP"&amp;"(H1350,IMPORTRANGE(""https://docs.google.com/spreadsheets/d/14Bd19lYaqBhU8_DElYkX7l4wRkHqqCUFNJY4AfY3kHU/edit?usp=sharing  #gid=0"",""фіз особи new!relations_name_uo""),7,FALSE)
,
)
))"),"#N/A")</f>
        <v>#N/A</v>
      </c>
      <c r="J1349" s="7" t="s">
        <v>40</v>
      </c>
    </row>
    <row r="1350" spans="1:10" ht="13.2">
      <c r="A1350" s="7">
        <v>1349</v>
      </c>
      <c r="B1350" s="7">
        <v>1</v>
      </c>
      <c r="C1350" s="7" t="s">
        <v>10</v>
      </c>
      <c r="D1350" s="7">
        <v>433</v>
      </c>
      <c r="E1350" s="7" t="s">
        <v>35</v>
      </c>
      <c r="F1350" s="8" t="str">
        <f ca="1">IFERROR(__xludf.DUMMYFUNCTION("IF
(
C1351=""фізична особа""
,
VLOOKUP(D1351,IMPORTRANGE(""https://docs.google.com/spreadsheets/d/14Bd19lYaqBhU8_DElYkX7l4wRkHqqCUFNJY4AfY3kHU/edit?usp=sharing  #gid=0"",""фіз особи new!relations_name""),6,FALSE)
,
(IF
(
C1351=""юридична особа""
,
VLOOKUP"&amp;"(D1351,IMPORTRANGE(""https://docs.google.com/spreadsheets/d/14Bd19lYaqBhU8_DElYkX7l4wRkHqqCUFNJY4AfY3kHU/edit?usp=sharing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0" s="7" t="s">
        <v>10</v>
      </c>
      <c r="H1350" s="7">
        <v>171</v>
      </c>
      <c r="I1350" s="8" t="str">
        <f ca="1">IFERROR(__xludf.DUMMYFUNCTION("IF
(
G1351=""фізична особа""
,
VLOOKUP(H1351,IMPORTRANGE(""https://docs.google.com/spreadsheets/d/14Bd19lYaqBhU8_DElYkX7l4wRkHqqCUFNJY4AfY3kHU/edit?usp=sharing  #gid=0"",""фіз особи new!relations_name""),6,FALSE)
,
(IF
(
G1351=""юридична особа""
,
VLOOKUP"&amp;"(H1351,IMPORTRANGE(""https://docs.google.com/spreadsheets/d/14Bd19lYaqBhU8_DElYkX7l4wRkHqqCUFNJY4AfY3kHU/edit?usp=sharing  #gid=0"",""фіз особи new!relations_name_uo""),7,FALSE)
,
)
))"),"П'ЯНОВ Дмитро Васильович")</f>
        <v>П'ЯНОВ Дмитро Васильович</v>
      </c>
      <c r="J1350" s="7" t="s">
        <v>35</v>
      </c>
    </row>
    <row r="1351" spans="1:10" ht="13.2">
      <c r="A1351" s="7">
        <v>1350</v>
      </c>
      <c r="B1351" s="7">
        <v>1</v>
      </c>
      <c r="C1351" s="7" t="s">
        <v>10</v>
      </c>
      <c r="D1351" s="7">
        <v>433</v>
      </c>
      <c r="E1351" s="7" t="s">
        <v>35</v>
      </c>
      <c r="F1351" s="8" t="str">
        <f ca="1">IFERROR(__xludf.DUMMYFUNCTION("IF
(
C1352=""фізична особа""
,
VLOOKUP(D1352,IMPORTRANGE(""https://docs.google.com/spreadsheets/d/14Bd19lYaqBhU8_DElYkX7l4wRkHqqCUFNJY4AfY3kHU/edit?usp=sharing  #gid=0"",""фіз особи new!relations_name""),6,FALSE)
,
(IF
(
C1352=""юридична особа""
,
VLOOKUP"&amp;"(D1352,IMPORTRANGE(""https://docs.google.com/spreadsheets/d/14Bd19lYaqBhU8_DElYkX7l4wRkHqqCUFNJY4AfY3kHU/edit?usp=sharing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1" s="7" t="s">
        <v>10</v>
      </c>
      <c r="H1351" s="7">
        <v>237</v>
      </c>
      <c r="I1351" s="8" t="str">
        <f ca="1">IFERROR(__xludf.DUMMYFUNCTION("IF
(
G1352=""фізична особа""
,
VLOOKUP(H1352,IMPORTRANGE(""https://docs.google.com/spreadsheets/d/14Bd19lYaqBhU8_DElYkX7l4wRkHqqCUFNJY4AfY3kHU/edit?usp=sharing  #gid=0"",""фіз особи new!relations_name""),6,FALSE)
,
(IF
(
G1352=""юридична особа""
,
VLOOKUP"&amp;"(H1352,IMPORTRANGE(""https://docs.google.com/spreadsheets/d/14Bd19lYaqBhU8_DElYkX7l4wRkHqqCUFNJY4AfY3kHU/edit?usp=sharing  #gid=0"",""фіз особи new!relations_name_uo""),7,FALSE)
,
)
))"),"НОРОВ Еркін Рахматович")</f>
        <v>НОРОВ Еркін Рахматович</v>
      </c>
      <c r="J1351" s="7" t="s">
        <v>35</v>
      </c>
    </row>
    <row r="1352" spans="1:10" ht="13.2">
      <c r="A1352" s="7">
        <v>1351</v>
      </c>
      <c r="B1352" s="7">
        <v>1</v>
      </c>
      <c r="C1352" s="7" t="s">
        <v>10</v>
      </c>
      <c r="D1352" s="7">
        <v>433</v>
      </c>
      <c r="E1352" s="7" t="s">
        <v>28</v>
      </c>
      <c r="F1352" s="8" t="str">
        <f ca="1">IFERROR(__xludf.DUMMYFUNCTION("IF
(
C1353=""фізична особа""
,
VLOOKUP(D1353,IMPORTRANGE(""https://docs.google.com/spreadsheets/d/14Bd19lYaqBhU8_DElYkX7l4wRkHqqCUFNJY4AfY3kHU/edit?usp=sharing  #gid=0"",""фіз особи new!relations_name""),6,FALSE)
,
(IF
(
C1353=""юридична особа""
,
VLOOKUP"&amp;"(D1353,IMPORTRANGE(""https://docs.google.com/spreadsheets/d/14Bd19lYaqBhU8_DElYkX7l4wRkHqqCUFNJY4AfY3kHU/edit?usp=sharing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2" s="7" t="s">
        <v>10</v>
      </c>
      <c r="H1352" s="7">
        <v>156</v>
      </c>
      <c r="I1352" s="8" t="str">
        <f ca="1">IFERROR(__xludf.DUMMYFUNCTION("IF
(
G1353=""фізична особа""
,
VLOOKUP(H1353,IMPORTRANGE(""https://docs.google.com/spreadsheets/d/14Bd19lYaqBhU8_DElYkX7l4wRkHqqCUFNJY4AfY3kHU/edit?usp=sharing  #gid=0"",""фіз особи new!relations_name""),6,FALSE)
,
(IF
(
G1353=""юридична особа""
,
VLOOKUP"&amp;"(H1353,IMPORTRANGE(""https://docs.google.com/spreadsheets/d/14Bd19lYaqBhU8_DElYkX7l4wRkHqqCUFNJY4AfY3kHU/edit?usp=sharing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J1352" s="7" t="s">
        <v>29</v>
      </c>
    </row>
    <row r="1353" spans="1:10" ht="13.2">
      <c r="A1353" s="7">
        <v>1352</v>
      </c>
      <c r="B1353" s="7">
        <v>1</v>
      </c>
      <c r="C1353" s="7" t="s">
        <v>10</v>
      </c>
      <c r="D1353" s="7">
        <v>433</v>
      </c>
      <c r="E1353" s="7" t="s">
        <v>28</v>
      </c>
      <c r="F1353" s="8" t="str">
        <f ca="1">IFERROR(__xludf.DUMMYFUNCTION("IF
(
C1354=""фізична особа""
,
VLOOKUP(D1354,IMPORTRANGE(""https://docs.google.com/spreadsheets/d/14Bd19lYaqBhU8_DElYkX7l4wRkHqqCUFNJY4AfY3kHU/edit?usp=sharing  #gid=0"",""фіз особи new!relations_name""),6,FALSE)
,
(IF
(
C1354=""юридична особа""
,
VLOOKUP"&amp;"(D1354,IMPORTRANGE(""https://docs.google.com/spreadsheets/d/14Bd19lYaqBhU8_DElYkX7l4wRkHqqCUFNJY4AfY3kHU/edit?usp=sharing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3" s="7" t="s">
        <v>10</v>
      </c>
      <c r="H1353" s="7">
        <v>58</v>
      </c>
      <c r="I1353" s="8" t="str">
        <f ca="1">IFERROR(__xludf.DUMMYFUNCTION("IF
(
G1354=""фізична особа""
,
VLOOKUP(H1354,IMPORTRANGE(""https://docs.google.com/spreadsheets/d/14Bd19lYaqBhU8_DElYkX7l4wRkHqqCUFNJY4AfY3kHU/edit?usp=sharing  #gid=0"",""фіз особи new!relations_name""),6,FALSE)
,
(IF
(
G1354=""юридична особа""
,
VLOOKUP"&amp;"(H1354,IMPORTRANGE(""https://docs.google.com/spreadsheets/d/14Bd19lYaqBhU8_DElYkX7l4wRkHqqCUFNJY4AfY3kHU/edit?usp=sharing  #gid=0"",""фіз особи new!relations_name_uo""),7,FALSE)
,
)
))"),"ПУЧКОВ Андрій Сергійович")</f>
        <v>ПУЧКОВ Андрій Сергійович</v>
      </c>
      <c r="J1353" s="7" t="s">
        <v>29</v>
      </c>
    </row>
    <row r="1354" spans="1:10" ht="13.2">
      <c r="A1354" s="7">
        <v>1353</v>
      </c>
      <c r="B1354" s="7">
        <v>1</v>
      </c>
      <c r="C1354" s="7" t="s">
        <v>10</v>
      </c>
      <c r="D1354" s="7">
        <v>433</v>
      </c>
      <c r="E1354" s="7" t="s">
        <v>35</v>
      </c>
      <c r="F1354" s="8" t="str">
        <f ca="1">IFERROR(__xludf.DUMMYFUNCTION("IF
(
C1355=""фізична особа""
,
VLOOKUP(D1355,IMPORTRANGE(""https://docs.google.com/spreadsheets/d/14Bd19lYaqBhU8_DElYkX7l4wRkHqqCUFNJY4AfY3kHU/edit?usp=sharing  #gid=0"",""фіз особи new!relations_name""),6,FALSE)
,
(IF
(
C1355=""юридична особа""
,
VLOOKUP"&amp;"(D1355,IMPORTRANGE(""https://docs.google.com/spreadsheets/d/14Bd19lYaqBhU8_DElYkX7l4wRkHqqCUFNJY4AfY3kHU/edit?usp=sharing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4" s="7" t="s">
        <v>10</v>
      </c>
      <c r="H1354" s="7">
        <v>1827</v>
      </c>
      <c r="I1354" s="8" t="str">
        <f ca="1">IFERROR(__xludf.DUMMYFUNCTION("IF
(
G1355=""фізична особа""
,
VLOOKUP(H1355,IMPORTRANGE(""https://docs.google.com/spreadsheets/d/14Bd19lYaqBhU8_DElYkX7l4wRkHqqCUFNJY4AfY3kHU/edit?usp=sharing  #gid=0"",""фіз особи new!relations_name""),6,FALSE)
,
(IF
(
G1355=""юридична особа""
,
VLOOKUP"&amp;"(H1355,IMPORTRANGE(""https://docs.google.com/spreadsheets/d/14Bd19lYaqBhU8_DElYkX7l4wRkHqqCUFNJY4AfY3kHU/edit?usp=sharing  #gid=0"",""фіз особи new!relations_name_uo""),7,FALSE)
,
)
))"),"ЛЕВИКІН Володимир Дмитрович")</f>
        <v>ЛЕВИКІН Володимир Дмитрович</v>
      </c>
      <c r="J1354" s="7" t="s">
        <v>35</v>
      </c>
    </row>
    <row r="1355" spans="1:10" ht="13.2">
      <c r="A1355" s="7">
        <v>1354</v>
      </c>
      <c r="B1355" s="7">
        <v>1</v>
      </c>
      <c r="C1355" s="7" t="s">
        <v>10</v>
      </c>
      <c r="D1355" s="7">
        <v>433</v>
      </c>
      <c r="E1355" s="7" t="s">
        <v>35</v>
      </c>
      <c r="F1355" s="8" t="str">
        <f ca="1">IFERROR(__xludf.DUMMYFUNCTION("IF
(
C1356=""фізична особа""
,
VLOOKUP(D1356,IMPORTRANGE(""https://docs.google.com/spreadsheets/d/14Bd19lYaqBhU8_DElYkX7l4wRkHqqCUFNJY4AfY3kHU/edit?usp=sharing  #gid=0"",""фіз особи new!relations_name""),6,FALSE)
,
(IF
(
C1356=""юридична особа""
,
VLOOKUP"&amp;"(D1356,IMPORTRANGE(""https://docs.google.com/spreadsheets/d/14Bd19lYaqBhU8_DElYkX7l4wRkHqqCUFNJY4AfY3kHU/edit?usp=sharing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5" s="7" t="s">
        <v>10</v>
      </c>
      <c r="H1355" s="7">
        <v>23404</v>
      </c>
      <c r="I1355" s="8" t="str">
        <f ca="1">IFERROR(__xludf.DUMMYFUNCTION("IF
(
G1356=""фізична особа""
,
VLOOKUP(H1356,IMPORTRANGE(""https://docs.google.com/spreadsheets/d/14Bd19lYaqBhU8_DElYkX7l4wRkHqqCUFNJY4AfY3kHU/edit?usp=sharing  #gid=0"",""фіз особи new!relations_name""),6,FALSE)
,
(IF
(
G1356=""юридична особа""
,
VLOOKUP"&amp;"(H1356,IMPORTRANGE(""https://docs.google.com/spreadsheets/d/14Bd19lYaqBhU8_DElYkX7l4wRkHqqCUFNJY4AfY3kHU/edit?usp=sharing  #gid=0"",""фіз особи new!relations_name_uo""),7,FALSE)
,
)
))"),"ЕСКІНДАРОВ Мухадін Абдурахманович")</f>
        <v>ЕСКІНДАРОВ Мухадін Абдурахманович</v>
      </c>
      <c r="J1355" s="7" t="s">
        <v>35</v>
      </c>
    </row>
    <row r="1356" spans="1:10" ht="13.2">
      <c r="A1356" s="7">
        <v>1355</v>
      </c>
      <c r="B1356" s="7">
        <v>1</v>
      </c>
      <c r="C1356" s="7" t="s">
        <v>10</v>
      </c>
      <c r="D1356" s="7">
        <v>433</v>
      </c>
      <c r="E1356" s="7" t="s">
        <v>35</v>
      </c>
      <c r="F1356" s="8" t="str">
        <f ca="1">IFERROR(__xludf.DUMMYFUNCTION("IF
(
C1357=""фізична особа""
,
VLOOKUP(D1357,IMPORTRANGE(""https://docs.google.com/spreadsheets/d/14Bd19lYaqBhU8_DElYkX7l4wRkHqqCUFNJY4AfY3kHU/edit?usp=sharing  #gid=0"",""фіз особи new!relations_name""),6,FALSE)
,
(IF
(
C1357=""юридична особа""
,
VLOOKUP"&amp;"(D1357,IMPORTRANGE(""https://docs.google.com/spreadsheets/d/14Bd19lYaqBhU8_DElYkX7l4wRkHqqCUFNJY4AfY3kHU/edit?usp=sharing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6" s="7" t="s">
        <v>10</v>
      </c>
      <c r="H1356" s="7">
        <v>1826</v>
      </c>
      <c r="I1356" s="8" t="str">
        <f ca="1">IFERROR(__xludf.DUMMYFUNCTION("IF
(
G1357=""фізична особа""
,
VLOOKUP(H1357,IMPORTRANGE(""https://docs.google.com/spreadsheets/d/14Bd19lYaqBhU8_DElYkX7l4wRkHqqCUFNJY4AfY3kHU/edit?usp=sharing  #gid=0"",""фіз особи new!relations_name""),6,FALSE)
,
(IF
(
G1357=""юридична особа""
,
VLOOKUP"&amp;"(H1357,IMPORTRANGE(""https://docs.google.com/spreadsheets/d/14Bd19lYaqBhU8_DElYkX7l4wRkHqqCUFNJY4AfY3kHU/edit?usp=sharing  #gid=0"",""фіз особи new!relations_name_uo""),7,FALSE)
,
)
))"),"СОЛДАТЕНКО Геннадій Володимирович")</f>
        <v>СОЛДАТЕНКО Геннадій Володимирович</v>
      </c>
      <c r="J1356" s="7" t="s">
        <v>35</v>
      </c>
    </row>
    <row r="1357" spans="1:10" ht="13.2">
      <c r="A1357" s="7">
        <v>1356</v>
      </c>
      <c r="B1357" s="7">
        <v>1</v>
      </c>
      <c r="C1357" s="7" t="s">
        <v>10</v>
      </c>
      <c r="D1357" s="7">
        <v>433</v>
      </c>
      <c r="E1357" s="7" t="s">
        <v>28</v>
      </c>
      <c r="F1357" s="8" t="str">
        <f ca="1">IFERROR(__xludf.DUMMYFUNCTION("IF
(
C1358=""фізична особа""
,
VLOOKUP(D1358,IMPORTRANGE(""https://docs.google.com/spreadsheets/d/14Bd19lYaqBhU8_DElYkX7l4wRkHqqCUFNJY4AfY3kHU/edit?usp=sharing  #gid=0"",""фіз особи new!relations_name""),6,FALSE)
,
(IF
(
C1358=""юридична особа""
,
VLOOKUP"&amp;"(D1358,IMPORTRANGE(""https://docs.google.com/spreadsheets/d/14Bd19lYaqBhU8_DElYkX7l4wRkHqqCUFNJY4AfY3kHU/edit?usp=sharing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7" s="7" t="s">
        <v>10</v>
      </c>
      <c r="H1357" s="7">
        <v>49</v>
      </c>
      <c r="I1357" s="8" t="str">
        <f ca="1">IFERROR(__xludf.DUMMYFUNCTION("IF
(
G1358=""фізична особа""
,
VLOOKUP(H1358,IMPORTRANGE(""https://docs.google.com/spreadsheets/d/14Bd19lYaqBhU8_DElYkX7l4wRkHqqCUFNJY4AfY3kHU/edit?usp=sharing  #gid=0"",""фіз особи new!relations_name""),6,FALSE)
,
(IF
(
G1358=""юридична особа""
,
VLOOKUP"&amp;"(H1358,IMPORTRANGE(""https://docs.google.com/spreadsheets/d/14Bd19lYaqBhU8_DElYkX7l4wRkHqqCUFNJY4AfY3kHU/edit?usp=sharing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357" s="7" t="s">
        <v>29</v>
      </c>
    </row>
    <row r="1358" spans="1:10" ht="13.2">
      <c r="A1358" s="7">
        <v>1357</v>
      </c>
      <c r="B1358" s="7">
        <v>1</v>
      </c>
      <c r="C1358" s="7" t="s">
        <v>10</v>
      </c>
      <c r="D1358" s="7">
        <v>433</v>
      </c>
      <c r="E1358" s="7" t="s">
        <v>28</v>
      </c>
      <c r="F1358" s="8" t="str">
        <f ca="1">IFERROR(__xludf.DUMMYFUNCTION("IF
(
C1359=""фізична особа""
,
VLOOKUP(D1359,IMPORTRANGE(""https://docs.google.com/spreadsheets/d/14Bd19lYaqBhU8_DElYkX7l4wRkHqqCUFNJY4AfY3kHU/edit?usp=sharing  #gid=0"",""фіз особи new!relations_name""),6,FALSE)
,
(IF
(
C1359=""юридична особа""
,
VLOOKUP"&amp;"(D1359,IMPORTRANGE(""https://docs.google.com/spreadsheets/d/14Bd19lYaqBhU8_DElYkX7l4wRkHqqCUFNJY4AfY3kHU/edit?usp=sharing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8" s="7" t="s">
        <v>10</v>
      </c>
      <c r="H1358" s="7">
        <v>566</v>
      </c>
      <c r="I1358" s="8" t="str">
        <f ca="1">IFERROR(__xludf.DUMMYFUNCTION("IF
(
G1359=""фізична особа""
,
VLOOKUP(H1359,IMPORTRANGE(""https://docs.google.com/spreadsheets/d/14Bd19lYaqBhU8_DElYkX7l4wRkHqqCUFNJY4AfY3kHU/edit?usp=sharing  #gid=0"",""фіз особи new!relations_name""),6,FALSE)
,
(IF
(
G1359=""юридична особа""
,
VLOOKUP"&amp;"(H1359,IMPORTRANGE(""https://docs.google.com/spreadsheets/d/14Bd19lYaqBhU8_DElYkX7l4wRkHqqCUFNJY4AfY3kHU/edit?usp=sharing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J1358" s="7" t="s">
        <v>29</v>
      </c>
    </row>
    <row r="1359" spans="1:10" ht="13.2">
      <c r="A1359" s="7">
        <v>1358</v>
      </c>
      <c r="B1359" s="7">
        <v>1</v>
      </c>
      <c r="C1359" s="7" t="s">
        <v>10</v>
      </c>
      <c r="D1359" s="7">
        <v>433</v>
      </c>
      <c r="E1359" s="7" t="s">
        <v>28</v>
      </c>
      <c r="F1359" s="8" t="str">
        <f ca="1">IFERROR(__xludf.DUMMYFUNCTION("IF
(
C1360=""фізична особа""
,
VLOOKUP(D1360,IMPORTRANGE(""https://docs.google.com/spreadsheets/d/14Bd19lYaqBhU8_DElYkX7l4wRkHqqCUFNJY4AfY3kHU/edit?usp=sharing  #gid=0"",""фіз особи new!relations_name""),6,FALSE)
,
(IF
(
C1360=""юридична особа""
,
VLOOKUP"&amp;"(D1360,IMPORTRANGE(""https://docs.google.com/spreadsheets/d/14Bd19lYaqBhU8_DElYkX7l4wRkHqqCUFNJY4AfY3kHU/edit?usp=sharing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G1359" s="7" t="s">
        <v>10</v>
      </c>
      <c r="H1359" s="7">
        <v>937</v>
      </c>
      <c r="I1359" s="8" t="str">
        <f ca="1">IFERROR(__xludf.DUMMYFUNCTION("IF
(
G1360=""фізична особа""
,
VLOOKUP(H1360,IMPORTRANGE(""https://docs.google.com/spreadsheets/d/14Bd19lYaqBhU8_DElYkX7l4wRkHqqCUFNJY4AfY3kHU/edit?usp=sharing  #gid=0"",""фіз особи new!relations_name""),6,FALSE)
,
(IF
(
G1360=""юридична особа""
,
VLOOKUP"&amp;"(H1360,IMPORTRANGE(""https://docs.google.com/spreadsheets/d/14Bd19lYaqBhU8_DElYkX7l4wRkHqqCUFNJY4AfY3kHU/edit?usp=sharing  #gid=0"",""фіз особи new!relations_name_uo""),7,FALSE)
,
)
))"),"СОЛОВЙОВ Юрій Олексійович")</f>
        <v>СОЛОВЙОВ Юрій Олексійович</v>
      </c>
      <c r="J1359" s="7" t="s">
        <v>29</v>
      </c>
    </row>
    <row r="1360" spans="1:10" ht="13.2">
      <c r="A1360" s="7">
        <v>1359</v>
      </c>
      <c r="B1360" s="7">
        <v>1</v>
      </c>
      <c r="C1360" s="7" t="s">
        <v>10</v>
      </c>
      <c r="D1360" s="7">
        <v>434</v>
      </c>
      <c r="E1360" s="7" t="s">
        <v>14</v>
      </c>
      <c r="F1360" s="8" t="str">
        <f ca="1">IFERROR(__xludf.DUMMYFUNCTION("IF
(
C1361=""фізична особа""
,
VLOOKUP(D1361,IMPORTRANGE(""https://docs.google.com/spreadsheets/d/14Bd19lYaqBhU8_DElYkX7l4wRkHqqCUFNJY4AfY3kHU/edit?usp=sharing  #gid=0"",""фіз особи new!relations_name""),6,FALSE)
,
(IF
(
C1361=""юридична особа""
,
VLOOKUP"&amp;"(D1361,IMPORTRANGE(""https://docs.google.com/spreadsheets/d/14Bd19lYaqBhU8_DElYkX7l4wRkHqqCUFNJY4AfY3kHU/edit?usp=sharing  #gid=0"",""фіз особи new!relations_name_uo""),7,FALSE)
,
)
))"),"БАШКІН Олександр Давидович")</f>
        <v>БАШКІН Олександр Давидович</v>
      </c>
      <c r="G1360" s="7" t="s">
        <v>10</v>
      </c>
      <c r="H1360" s="7">
        <v>8622</v>
      </c>
      <c r="I1360" s="8" t="str">
        <f ca="1">IFERROR(__xludf.DUMMYFUNCTION("IF
(
G1361=""фізична особа""
,
VLOOKUP(H1361,IMPORTRANGE(""https://docs.google.com/spreadsheets/d/14Bd19lYaqBhU8_DElYkX7l4wRkHqqCUFNJY4AfY3kHU/edit?usp=sharing  #gid=0"",""фіз особи new!relations_name""),6,FALSE)
,
(IF
(
G1361=""юридична особа""
,
VLOOKUP"&amp;"(H1361,IMPORTRANGE(""https://docs.google.com/spreadsheets/d/14Bd19lYaqBhU8_DElYkX7l4wRkHqqCUFNJY4AfY3kHU/edit?usp=sharing  #gid=0"",""фіз особи new!relations_name_uo""),7,FALSE)
,
)
))"),"БАШКІНА / ПРОТОПОПОВА Алла Олександрівна")</f>
        <v>БАШКІНА / ПРОТОПОПОВА Алла Олександрівна</v>
      </c>
      <c r="J1360" s="7" t="s">
        <v>15</v>
      </c>
    </row>
    <row r="1361" spans="1:10" ht="13.2">
      <c r="A1361" s="7">
        <v>1360</v>
      </c>
      <c r="B1361" s="7">
        <v>1</v>
      </c>
      <c r="C1361" s="7" t="s">
        <v>10</v>
      </c>
      <c r="D1361" s="7">
        <v>434</v>
      </c>
      <c r="E1361" s="7" t="s">
        <v>12</v>
      </c>
      <c r="F1361" s="8" t="str">
        <f ca="1">IFERROR(__xludf.DUMMYFUNCTION("IF
(
C1362=""фізична особа""
,
VLOOKUP(D1362,IMPORTRANGE(""https://docs.google.com/spreadsheets/d/14Bd19lYaqBhU8_DElYkX7l4wRkHqqCUFNJY4AfY3kHU/edit?usp=sharing  #gid=0"",""фіз особи new!relations_name""),6,FALSE)
,
(IF
(
C1362=""юридична особа""
,
VLOOKUP"&amp;"(D1362,IMPORTRANGE(""https://docs.google.com/spreadsheets/d/14Bd19lYaqBhU8_DElYkX7l4wRkHqqCUFNJY4AfY3kHU/edit?usp=sharing  #gid=0"",""фіз особи new!relations_name_uo""),7,FALSE)
,
)
))"),"БАШКІН Олександр Давидович")</f>
        <v>БАШКІН Олександр Давидович</v>
      </c>
      <c r="G1361" s="7" t="s">
        <v>10</v>
      </c>
      <c r="H1361" s="7">
        <v>8622</v>
      </c>
      <c r="I1361" s="8" t="str">
        <f ca="1">IFERROR(__xludf.DUMMYFUNCTION("IF
(
G1362=""фізична особа""
,
VLOOKUP(H1362,IMPORTRANGE(""https://docs.google.com/spreadsheets/d/14Bd19lYaqBhU8_DElYkX7l4wRkHqqCUFNJY4AfY3kHU/edit?usp=sharing  #gid=0"",""фіз особи new!relations_name""),6,FALSE)
,
(IF
(
G1362=""юридична особа""
,
VLOOKUP"&amp;"(H1362,IMPORTRANGE(""https://docs.google.com/spreadsheets/d/14Bd19lYaqBhU8_DElYkX7l4wRkHqqCUFNJY4AfY3kHU/edit?usp=sharing  #gid=0"",""фіз особи new!relations_name_uo""),7,FALSE)
,
)
))"),"БАШКІНА / ПРОТОПОПОВА Алла Олександрівна")</f>
        <v>БАШКІНА / ПРОТОПОПОВА Алла Олександрівна</v>
      </c>
      <c r="J1361" s="7" t="s">
        <v>13</v>
      </c>
    </row>
    <row r="1362" spans="1:10" ht="13.2">
      <c r="A1362" s="7">
        <v>1361</v>
      </c>
      <c r="B1362" s="7">
        <v>1</v>
      </c>
      <c r="C1362" s="7" t="s">
        <v>10</v>
      </c>
      <c r="D1362" s="7">
        <v>434</v>
      </c>
      <c r="E1362" s="7" t="s">
        <v>59</v>
      </c>
      <c r="F1362" s="8" t="str">
        <f ca="1">IFERROR(__xludf.DUMMYFUNCTION("IF
(
C1363=""фізична особа""
,
VLOOKUP(D1363,IMPORTRANGE(""https://docs.google.com/spreadsheets/d/14Bd19lYaqBhU8_DElYkX7l4wRkHqqCUFNJY4AfY3kHU/edit?usp=sharing  #gid=0"",""фіз особи new!relations_name""),6,FALSE)
,
(IF
(
C1363=""юридична особа""
,
VLOOKUP"&amp;"(D1363,IMPORTRANGE(""https://docs.google.com/spreadsheets/d/14Bd19lYaqBhU8_DElYkX7l4wRkHqqCUFNJY4AfY3kHU/edit?usp=sharing  #gid=0"",""фіз особи new!relations_name_uo""),7,FALSE)
,
)
))"),"БАШКІН Олександр Давидович")</f>
        <v>БАШКІН Олександр Давидович</v>
      </c>
      <c r="G1362" s="7" t="s">
        <v>10</v>
      </c>
      <c r="H1362" s="7">
        <v>0</v>
      </c>
      <c r="I1362" s="8" t="str">
        <f ca="1">IFERROR(__xludf.DUMMYFUNCTION("IF
(
G1363=""фізична особа""
,
VLOOKUP(H1363,IMPORTRANGE(""https://docs.google.com/spreadsheets/d/14Bd19lYaqBhU8_DElYkX7l4wRkHqqCUFNJY4AfY3kHU/edit?usp=sharing  #gid=0"",""фіз особи new!relations_name""),6,FALSE)
,
(IF
(
G1363=""юридична особа""
,
VLOOKUP"&amp;"(H1363,IMPORTRANGE(""https://docs.google.com/spreadsheets/d/14Bd19lYaqBhU8_DElYkX7l4wRkHqqCUFNJY4AfY3kHU/edit?usp=sharing  #gid=0"",""фіз особи new!relations_name_uo""),7,FALSE)
,
)
))"),"#N/A")</f>
        <v>#N/A</v>
      </c>
      <c r="J1362" s="7" t="s">
        <v>60</v>
      </c>
    </row>
    <row r="1363" spans="1:10" ht="13.2">
      <c r="A1363" s="7">
        <v>1362</v>
      </c>
      <c r="B1363" s="7">
        <v>1</v>
      </c>
      <c r="C1363" s="7" t="s">
        <v>10</v>
      </c>
      <c r="D1363" s="7">
        <v>434</v>
      </c>
      <c r="E1363" s="7" t="s">
        <v>35</v>
      </c>
      <c r="F1363" s="8" t="str">
        <f ca="1">IFERROR(__xludf.DUMMYFUNCTION("IF
(
C1364=""фізична особа""
,
VLOOKUP(D1364,IMPORTRANGE(""https://docs.google.com/spreadsheets/d/14Bd19lYaqBhU8_DElYkX7l4wRkHqqCUFNJY4AfY3kHU/edit?usp=sharing  #gid=0"",""фіз особи new!relations_name""),6,FALSE)
,
(IF
(
C1364=""юридична особа""
,
VLOOKUP"&amp;"(D1364,IMPORTRANGE(""https://docs.google.com/spreadsheets/d/14Bd19lYaqBhU8_DElYkX7l4wRkHqqCUFNJY4AfY3kHU/edit?usp=sharing  #gid=0"",""фіз особи new!relations_name_uo""),7,FALSE)
,
)
))"),"БАШКІН Олександр Давидович")</f>
        <v>БАШКІН Олександр Давидович</v>
      </c>
      <c r="G1363" s="7" t="s">
        <v>10</v>
      </c>
      <c r="H1363" s="7">
        <v>270</v>
      </c>
      <c r="I1363" s="8" t="str">
        <f ca="1">IFERROR(__xludf.DUMMYFUNCTION("IF
(
G1364=""фізична особа""
,
VLOOKUP(H1364,IMPORTRANGE(""https://docs.google.com/spreadsheets/d/14Bd19lYaqBhU8_DElYkX7l4wRkHqqCUFNJY4AfY3kHU/edit?usp=sharing  #gid=0"",""фіз особи new!relations_name""),6,FALSE)
,
(IF
(
G1364=""юридична особа""
,
VLOOKUP"&amp;"(H1364,IMPORTRANGE(""https://docs.google.com/spreadsheets/d/14Bd19lYaqBhU8_DElYkX7l4wRkHqqCUFNJY4AfY3kHU/edit?usp=sharing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J1363" s="7" t="s">
        <v>35</v>
      </c>
    </row>
    <row r="1364" spans="1:10" ht="13.2">
      <c r="A1364" s="7">
        <v>1363</v>
      </c>
      <c r="B1364" s="7">
        <v>1</v>
      </c>
      <c r="C1364" s="7" t="s">
        <v>10</v>
      </c>
      <c r="D1364" s="7">
        <v>435</v>
      </c>
      <c r="E1364" s="7" t="s">
        <v>14</v>
      </c>
      <c r="F1364" s="8" t="str">
        <f ca="1">IFERROR(__xludf.DUMMYFUNCTION("IF
(
C1365=""фізична особа""
,
VLOOKUP(D1365,IMPORTRANGE(""https://docs.google.com/spreadsheets/d/14Bd19lYaqBhU8_DElYkX7l4wRkHqqCUFNJY4AfY3kHU/edit?usp=sharing  #gid=0"",""фіз особи new!relations_name""),6,FALSE)
,
(IF
(
C1365=""юридична особа""
,
VLOOKUP"&amp;"(D1365,IMPORTRANGE(""https://docs.google.com/spreadsheets/d/14Bd19lYaqBhU8_DElYkX7l4wRkHqqCUFNJY4AfY3kHU/edit?usp=sharing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4" s="7" t="s">
        <v>10</v>
      </c>
      <c r="H1364" s="7">
        <v>5052</v>
      </c>
      <c r="I1364" s="8" t="str">
        <f ca="1">IFERROR(__xludf.DUMMYFUNCTION("IF
(
G1365=""фізична особа""
,
VLOOKUP(H1365,IMPORTRANGE(""https://docs.google.com/spreadsheets/d/14Bd19lYaqBhU8_DElYkX7l4wRkHqqCUFNJY4AfY3kHU/edit?usp=sharing  #gid=0"",""фіз особи new!relations_name""),6,FALSE)
,
(IF
(
G1365=""юридична особа""
,
VLOOKUP"&amp;"(H1365,IMPORTRANGE(""https://docs.google.com/spreadsheets/d/14Bd19lYaqBhU8_DElYkX7l4wRkHqqCUFNJY4AfY3kHU/edit?usp=sharing  #gid=0"",""фіз особи new!relations_name_uo""),7,FALSE)
,
)
))"),"Решетнікова / Панькова Ганна Сергіївна")</f>
        <v>Решетнікова / Панькова Ганна Сергіївна</v>
      </c>
      <c r="J1364" s="7" t="s">
        <v>15</v>
      </c>
    </row>
    <row r="1365" spans="1:10" ht="13.2">
      <c r="A1365" s="7">
        <v>1364</v>
      </c>
      <c r="B1365" s="7">
        <v>1</v>
      </c>
      <c r="C1365" s="7" t="s">
        <v>10</v>
      </c>
      <c r="D1365" s="7">
        <v>435</v>
      </c>
      <c r="E1365" s="7" t="s">
        <v>12</v>
      </c>
      <c r="F1365" s="8" t="str">
        <f ca="1">IFERROR(__xludf.DUMMYFUNCTION("IF
(
C1366=""фізична особа""
,
VLOOKUP(D1366,IMPORTRANGE(""https://docs.google.com/spreadsheets/d/14Bd19lYaqBhU8_DElYkX7l4wRkHqqCUFNJY4AfY3kHU/edit?usp=sharing  #gid=0"",""фіз особи new!relations_name""),6,FALSE)
,
(IF
(
C1366=""юридична особа""
,
VLOOKUP"&amp;"(D1366,IMPORTRANGE(""https://docs.google.com/spreadsheets/d/14Bd19lYaqBhU8_DElYkX7l4wRkHqqCUFNJY4AfY3kHU/edit?usp=sharing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5" s="7" t="s">
        <v>10</v>
      </c>
      <c r="H1365" s="7">
        <v>0</v>
      </c>
      <c r="I1365" s="8" t="str">
        <f ca="1">IFERROR(__xludf.DUMMYFUNCTION("IF
(
G1366=""фізична особа""
,
VLOOKUP(H1366,IMPORTRANGE(""https://docs.google.com/spreadsheets/d/14Bd19lYaqBhU8_DElYkX7l4wRkHqqCUFNJY4AfY3kHU/edit?usp=sharing  #gid=0"",""фіз особи new!relations_name""),6,FALSE)
,
(IF
(
G1366=""юридична особа""
,
VLOOKUP"&amp;"(H1366,IMPORTRANGE(""https://docs.google.com/spreadsheets/d/14Bd19lYaqBhU8_DElYkX7l4wRkHqqCUFNJY4AfY3kHU/edit?usp=sharing  #gid=0"",""фіз особи new!relations_name_uo""),7,FALSE)
,
)
))"),"#N/A")</f>
        <v>#N/A</v>
      </c>
      <c r="J1365" s="7" t="s">
        <v>13</v>
      </c>
    </row>
    <row r="1366" spans="1:10" ht="13.2">
      <c r="A1366" s="7">
        <v>1365</v>
      </c>
      <c r="B1366" s="7">
        <v>1</v>
      </c>
      <c r="C1366" s="7" t="s">
        <v>10</v>
      </c>
      <c r="D1366" s="7">
        <v>435</v>
      </c>
      <c r="E1366" s="7" t="s">
        <v>12</v>
      </c>
      <c r="F1366" s="8" t="str">
        <f ca="1">IFERROR(__xludf.DUMMYFUNCTION("IF
(
C1367=""фізична особа""
,
VLOOKUP(D1367,IMPORTRANGE(""https://docs.google.com/spreadsheets/d/14Bd19lYaqBhU8_DElYkX7l4wRkHqqCUFNJY4AfY3kHU/edit?usp=sharing  #gid=0"",""фіз особи new!relations_name""),6,FALSE)
,
(IF
(
C1367=""юридична особа""
,
VLOOKUP"&amp;"(D1367,IMPORTRANGE(""https://docs.google.com/spreadsheets/d/14Bd19lYaqBhU8_DElYkX7l4wRkHqqCUFNJY4AfY3kHU/edit?usp=sharing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6" s="7" t="s">
        <v>10</v>
      </c>
      <c r="H1366" s="7">
        <v>0</v>
      </c>
      <c r="I1366" s="8" t="str">
        <f ca="1">IFERROR(__xludf.DUMMYFUNCTION("IF
(
G1367=""фізична особа""
,
VLOOKUP(H1367,IMPORTRANGE(""https://docs.google.com/spreadsheets/d/14Bd19lYaqBhU8_DElYkX7l4wRkHqqCUFNJY4AfY3kHU/edit?usp=sharing  #gid=0"",""фіз особи new!relations_name""),6,FALSE)
,
(IF
(
G1367=""юридична особа""
,
VLOOKUP"&amp;"(H1367,IMPORTRANGE(""https://docs.google.com/spreadsheets/d/14Bd19lYaqBhU8_DElYkX7l4wRkHqqCUFNJY4AfY3kHU/edit?usp=sharing  #gid=0"",""фіз особи new!relations_name_uo""),7,FALSE)
,
)
))"),"#N/A")</f>
        <v>#N/A</v>
      </c>
      <c r="J1366" s="7" t="s">
        <v>13</v>
      </c>
    </row>
    <row r="1367" spans="1:10" ht="13.2">
      <c r="A1367" s="7">
        <v>1366</v>
      </c>
      <c r="B1367" s="7">
        <v>1</v>
      </c>
      <c r="C1367" s="7" t="s">
        <v>10</v>
      </c>
      <c r="D1367" s="7">
        <v>435</v>
      </c>
      <c r="E1367" s="7" t="s">
        <v>12</v>
      </c>
      <c r="F1367" s="8" t="str">
        <f ca="1">IFERROR(__xludf.DUMMYFUNCTION("IF
(
C1368=""фізична особа""
,
VLOOKUP(D1368,IMPORTRANGE(""https://docs.google.com/spreadsheets/d/14Bd19lYaqBhU8_DElYkX7l4wRkHqqCUFNJY4AfY3kHU/edit?usp=sharing  #gid=0"",""фіз особи new!relations_name""),6,FALSE)
,
(IF
(
C1368=""юридична особа""
,
VLOOKUP"&amp;"(D1368,IMPORTRANGE(""https://docs.google.com/spreadsheets/d/14Bd19lYaqBhU8_DElYkX7l4wRkHqqCUFNJY4AfY3kHU/edit?usp=sharing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7" s="7" t="s">
        <v>10</v>
      </c>
      <c r="H1367" s="7">
        <v>0</v>
      </c>
      <c r="I1367" s="8" t="str">
        <f ca="1">IFERROR(__xludf.DUMMYFUNCTION("IF
(
G1368=""фізична особа""
,
VLOOKUP(H1368,IMPORTRANGE(""https://docs.google.com/spreadsheets/d/14Bd19lYaqBhU8_DElYkX7l4wRkHqqCUFNJY4AfY3kHU/edit?usp=sharing  #gid=0"",""фіз особи new!relations_name""),6,FALSE)
,
(IF
(
G1368=""юридична особа""
,
VLOOKUP"&amp;"(H1368,IMPORTRANGE(""https://docs.google.com/spreadsheets/d/14Bd19lYaqBhU8_DElYkX7l4wRkHqqCUFNJY4AfY3kHU/edit?usp=sharing  #gid=0"",""фіз особи new!relations_name_uo""),7,FALSE)
,
)
))"),"#N/A")</f>
        <v>#N/A</v>
      </c>
      <c r="J1367" s="7" t="s">
        <v>17</v>
      </c>
    </row>
    <row r="1368" spans="1:10" ht="13.2">
      <c r="A1368" s="7">
        <v>1367</v>
      </c>
      <c r="B1368" s="7">
        <v>1</v>
      </c>
      <c r="C1368" s="7" t="s">
        <v>10</v>
      </c>
      <c r="D1368" s="7">
        <v>435</v>
      </c>
      <c r="E1368" s="7" t="s">
        <v>29</v>
      </c>
      <c r="F1368" s="8" t="str">
        <f ca="1">IFERROR(__xludf.DUMMYFUNCTION("IF
(
C1369=""фізична особа""
,
VLOOKUP(D1369,IMPORTRANGE(""https://docs.google.com/spreadsheets/d/14Bd19lYaqBhU8_DElYkX7l4wRkHqqCUFNJY4AfY3kHU/edit?usp=sharing  #gid=0"",""фіз особи new!relations_name""),6,FALSE)
,
(IF
(
C1369=""юридична особа""
,
VLOOKUP"&amp;"(D1369,IMPORTRANGE(""https://docs.google.com/spreadsheets/d/14Bd19lYaqBhU8_DElYkX7l4wRkHqqCUFNJY4AfY3kHU/edit?usp=sharing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8" s="7" t="s">
        <v>10</v>
      </c>
      <c r="H1368" s="7">
        <v>2448</v>
      </c>
      <c r="I1368" s="8" t="str">
        <f ca="1">IFERROR(__xludf.DUMMYFUNCTION("IF
(
G1369=""фізична особа""
,
VLOOKUP(H1369,IMPORTRANGE(""https://docs.google.com/spreadsheets/d/14Bd19lYaqBhU8_DElYkX7l4wRkHqqCUFNJY4AfY3kHU/edit?usp=sharing  #gid=0"",""фіз особи new!relations_name""),6,FALSE)
,
(IF
(
G1369=""юридична особа""
,
VLOOKUP"&amp;"(H1369,IMPORTRANGE(""https://docs.google.com/spreadsheets/d/14Bd19lYaqBhU8_DElYkX7l4wRkHqqCUFNJY4AfY3kHU/edit?usp=sharing  #gid=0"",""фіз особи new!relations_name_uo""),7,FALSE)
,
)
))"),"ФЕДУЛОВ Владислав Вікторович")</f>
        <v>ФЕДУЛОВ Владислав Вікторович</v>
      </c>
      <c r="J1368" s="7" t="s">
        <v>28</v>
      </c>
    </row>
    <row r="1369" spans="1:10" ht="13.2">
      <c r="A1369" s="7">
        <v>1368</v>
      </c>
      <c r="B1369" s="7">
        <v>1</v>
      </c>
      <c r="C1369" s="7" t="s">
        <v>10</v>
      </c>
      <c r="D1369" s="7">
        <v>435</v>
      </c>
      <c r="E1369" s="7" t="s">
        <v>29</v>
      </c>
      <c r="F1369" s="8" t="str">
        <f ca="1">IFERROR(__xludf.DUMMYFUNCTION("IF
(
C1370=""фізична особа""
,
VLOOKUP(D1370,IMPORTRANGE(""https://docs.google.com/spreadsheets/d/14Bd19lYaqBhU8_DElYkX7l4wRkHqqCUFNJY4AfY3kHU/edit?usp=sharing  #gid=0"",""фіз особи new!relations_name""),6,FALSE)
,
(IF
(
C1370=""юридична особа""
,
VLOOKUP"&amp;"(D1370,IMPORTRANGE(""https://docs.google.com/spreadsheets/d/14Bd19lYaqBhU8_DElYkX7l4wRkHqqCUFNJY4AfY3kHU/edit?usp=sharing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69" s="7" t="s">
        <v>10</v>
      </c>
      <c r="H1369" s="7">
        <v>0</v>
      </c>
      <c r="I1369" s="8" t="str">
        <f ca="1">IFERROR(__xludf.DUMMYFUNCTION("IF
(
G1370=""фізична особа""
,
VLOOKUP(H1370,IMPORTRANGE(""https://docs.google.com/spreadsheets/d/14Bd19lYaqBhU8_DElYkX7l4wRkHqqCUFNJY4AfY3kHU/edit?usp=sharing  #gid=0"",""фіз особи new!relations_name""),6,FALSE)
,
(IF
(
G1370=""юридична особа""
,
VLOOKUP"&amp;"(H1370,IMPORTRANGE(""https://docs.google.com/spreadsheets/d/14Bd19lYaqBhU8_DElYkX7l4wRkHqqCUFNJY4AfY3kHU/edit?usp=sharing  #gid=0"",""фіз особи new!relations_name_uo""),7,FALSE)
,
)
))"),"#N/A")</f>
        <v>#N/A</v>
      </c>
      <c r="J1369" s="7" t="s">
        <v>28</v>
      </c>
    </row>
    <row r="1370" spans="1:10" ht="13.2">
      <c r="A1370" s="7">
        <v>1369</v>
      </c>
      <c r="B1370" s="7">
        <v>1</v>
      </c>
      <c r="C1370" s="7" t="s">
        <v>10</v>
      </c>
      <c r="D1370" s="7">
        <v>435</v>
      </c>
      <c r="E1370" s="7" t="s">
        <v>29</v>
      </c>
      <c r="F1370" s="8" t="str">
        <f ca="1">IFERROR(__xludf.DUMMYFUNCTION("IF
(
C1371=""фізична особа""
,
VLOOKUP(D1371,IMPORTRANGE(""https://docs.google.com/spreadsheets/d/14Bd19lYaqBhU8_DElYkX7l4wRkHqqCUFNJY4AfY3kHU/edit?usp=sharing  #gid=0"",""фіз особи new!relations_name""),6,FALSE)
,
(IF
(
C1371=""юридична особа""
,
VLOOKUP"&amp;"(D1371,IMPORTRANGE(""https://docs.google.com/spreadsheets/d/14Bd19lYaqBhU8_DElYkX7l4wRkHqqCUFNJY4AfY3kHU/edit?usp=sharing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0" s="7" t="s">
        <v>10</v>
      </c>
      <c r="H1370" s="7">
        <v>2442</v>
      </c>
      <c r="I1370" s="8" t="str">
        <f ca="1">IFERROR(__xludf.DUMMYFUNCTION("IF
(
G1371=""фізична особа""
,
VLOOKUP(H1371,IMPORTRANGE(""https://docs.google.com/spreadsheets/d/14Bd19lYaqBhU8_DElYkX7l4wRkHqqCUFNJY4AfY3kHU/edit?usp=sharing  #gid=0"",""фіз особи new!relations_name""),6,FALSE)
,
(IF
(
G1371=""юридична особа""
,
VLOOKUP"&amp;"(H1371,IMPORTRANGE(""https://docs.google.com/spreadsheets/d/14Bd19lYaqBhU8_DElYkX7l4wRkHqqCUFNJY4AfY3kHU/edit?usp=sharing  #gid=0"",""фіз особи new!relations_name_uo""),7,FALSE)
,
)
))"),"ГАЛКІН Сергій Сергійович")</f>
        <v>ГАЛКІН Сергій Сергійович</v>
      </c>
      <c r="J1370" s="7" t="s">
        <v>28</v>
      </c>
    </row>
    <row r="1371" spans="1:10" ht="13.2">
      <c r="A1371" s="7">
        <v>1370</v>
      </c>
      <c r="B1371" s="7">
        <v>1</v>
      </c>
      <c r="C1371" s="7" t="s">
        <v>10</v>
      </c>
      <c r="D1371" s="7">
        <v>435</v>
      </c>
      <c r="E1371" s="7" t="s">
        <v>29</v>
      </c>
      <c r="F1371" s="8" t="str">
        <f ca="1">IFERROR(__xludf.DUMMYFUNCTION("IF
(
C1372=""фізична особа""
,
VLOOKUP(D1372,IMPORTRANGE(""https://docs.google.com/spreadsheets/d/14Bd19lYaqBhU8_DElYkX7l4wRkHqqCUFNJY4AfY3kHU/edit?usp=sharing  #gid=0"",""фіз особи new!relations_name""),6,FALSE)
,
(IF
(
C1372=""юридична особа""
,
VLOOKUP"&amp;"(D1372,IMPORTRANGE(""https://docs.google.com/spreadsheets/d/14Bd19lYaqBhU8_DElYkX7l4wRkHqqCUFNJY4AfY3kHU/edit?usp=sharing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1" s="7" t="s">
        <v>10</v>
      </c>
      <c r="H1371" s="7">
        <v>2438</v>
      </c>
      <c r="I1371" s="8" t="str">
        <f ca="1">IFERROR(__xludf.DUMMYFUNCTION("IF
(
G1372=""фізична особа""
,
VLOOKUP(H1372,IMPORTRANGE(""https://docs.google.com/spreadsheets/d/14Bd19lYaqBhU8_DElYkX7l4wRkHqqCUFNJY4AfY3kHU/edit?usp=sharing  #gid=0"",""фіз особи new!relations_name""),6,FALSE)
,
(IF
(
G1372=""юридична особа""
,
VLOOKUP"&amp;"(H1372,IMPORTRANGE(""https://docs.google.com/spreadsheets/d/14Bd19lYaqBhU8_DElYkX7l4wRkHqqCUFNJY4AfY3kHU/edit?usp=sharing  #gid=0"",""фіз особи new!relations_name_uo""),7,FALSE)
,
)
))"),"ІВАНОВ Андрій Юрійович")</f>
        <v>ІВАНОВ Андрій Юрійович</v>
      </c>
      <c r="J1371" s="7" t="s">
        <v>28</v>
      </c>
    </row>
    <row r="1372" spans="1:10" ht="13.2">
      <c r="A1372" s="7">
        <v>1371</v>
      </c>
      <c r="B1372" s="7">
        <v>1</v>
      </c>
      <c r="C1372" s="7" t="s">
        <v>10</v>
      </c>
      <c r="D1372" s="7">
        <v>435</v>
      </c>
      <c r="E1372" s="7" t="s">
        <v>41</v>
      </c>
      <c r="F1372" s="8" t="str">
        <f ca="1">IFERROR(__xludf.DUMMYFUNCTION("IF
(
C1373=""фізична особа""
,
VLOOKUP(D1373,IMPORTRANGE(""https://docs.google.com/spreadsheets/d/14Bd19lYaqBhU8_DElYkX7l4wRkHqqCUFNJY4AfY3kHU/edit?usp=sharing  #gid=0"",""фіз особи new!relations_name""),6,FALSE)
,
(IF
(
C1373=""юридична особа""
,
VLOOKUP"&amp;"(D1373,IMPORTRANGE(""https://docs.google.com/spreadsheets/d/14Bd19lYaqBhU8_DElYkX7l4wRkHqqCUFNJY4AfY3kHU/edit?usp=sharing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2" s="7" t="s">
        <v>10</v>
      </c>
      <c r="H1372" s="7">
        <v>1568</v>
      </c>
      <c r="I1372" s="8" t="str">
        <f ca="1">IFERROR(__xludf.DUMMYFUNCTION("IF
(
G1373=""фізична особа""
,
VLOOKUP(H1373,IMPORTRANGE(""https://docs.google.com/spreadsheets/d/14Bd19lYaqBhU8_DElYkX7l4wRkHqqCUFNJY4AfY3kHU/edit?usp=sharing  #gid=0"",""фіз особи new!relations_name""),6,FALSE)
,
(IF
(
G1373=""юридична особа""
,
VLOOKUP"&amp;"(H1373,IMPORTRANGE(""https://docs.google.com/spreadsheets/d/14Bd19lYaqBhU8_DElYkX7l4wRkHqqCUFNJY4AfY3kHU/edit?usp=sharing  #gid=0"",""фіз особи new!relations_name_uo""),7,FALSE)
,
)
))"),"ЗАСЕЛЬСЬКИЙ Петро Володимирович")</f>
        <v>ЗАСЕЛЬСЬКИЙ Петро Володимирович</v>
      </c>
      <c r="J1372" s="7" t="s">
        <v>40</v>
      </c>
    </row>
    <row r="1373" spans="1:10" ht="13.2">
      <c r="A1373" s="7">
        <v>1372</v>
      </c>
      <c r="B1373" s="7">
        <v>1</v>
      </c>
      <c r="C1373" s="7" t="s">
        <v>10</v>
      </c>
      <c r="D1373" s="7">
        <v>435</v>
      </c>
      <c r="E1373" s="7" t="s">
        <v>29</v>
      </c>
      <c r="F1373" s="8" t="str">
        <f ca="1">IFERROR(__xludf.DUMMYFUNCTION("IF
(
C1374=""фізична особа""
,
VLOOKUP(D1374,IMPORTRANGE(""https://docs.google.com/spreadsheets/d/14Bd19lYaqBhU8_DElYkX7l4wRkHqqCUFNJY4AfY3kHU/edit?usp=sharing  #gid=0"",""фіз особи new!relations_name""),6,FALSE)
,
(IF
(
C1374=""юридична особа""
,
VLOOKUP"&amp;"(D1374,IMPORTRANGE(""https://docs.google.com/spreadsheets/d/14Bd19lYaqBhU8_DElYkX7l4wRkHqqCUFNJY4AfY3kHU/edit?usp=sharing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3" s="7" t="s">
        <v>10</v>
      </c>
      <c r="H1373" s="7">
        <v>2443</v>
      </c>
      <c r="I1373" s="8" t="str">
        <f ca="1">IFERROR(__xludf.DUMMYFUNCTION("IF
(
G1374=""фізична особа""
,
VLOOKUP(H1374,IMPORTRANGE(""https://docs.google.com/spreadsheets/d/14Bd19lYaqBhU8_DElYkX7l4wRkHqqCUFNJY4AfY3kHU/edit?usp=sharing  #gid=0"",""фіз особи new!relations_name""),6,FALSE)
,
(IF
(
G1374=""юридична особа""
,
VLOOKUP"&amp;"(H1374,IMPORTRANGE(""https://docs.google.com/spreadsheets/d/14Bd19lYaqBhU8_DElYkX7l4wRkHqqCUFNJY4AfY3kHU/edit?usp=sharing  #gid=0"",""фіз особи new!relations_name_uo""),7,FALSE)
,
)
))"),"ІЛЬЇЧОВ Володимир Євгенович")</f>
        <v>ІЛЬЇЧОВ Володимир Євгенович</v>
      </c>
      <c r="J1373" s="7" t="s">
        <v>28</v>
      </c>
    </row>
    <row r="1374" spans="1:10" ht="13.2">
      <c r="A1374" s="7">
        <v>1373</v>
      </c>
      <c r="B1374" s="7">
        <v>1</v>
      </c>
      <c r="C1374" s="7" t="s">
        <v>10</v>
      </c>
      <c r="D1374" s="7">
        <v>435</v>
      </c>
      <c r="E1374" s="7" t="s">
        <v>29</v>
      </c>
      <c r="F1374" s="8" t="str">
        <f ca="1">IFERROR(__xludf.DUMMYFUNCTION("IF
(
C1375=""фізична особа""
,
VLOOKUP(D1375,IMPORTRANGE(""https://docs.google.com/spreadsheets/d/14Bd19lYaqBhU8_DElYkX7l4wRkHqqCUFNJY4AfY3kHU/edit?usp=sharing  #gid=0"",""фіз особи new!relations_name""),6,FALSE)
,
(IF
(
C1375=""юридична особа""
,
VLOOKUP"&amp;"(D1375,IMPORTRANGE(""https://docs.google.com/spreadsheets/d/14Bd19lYaqBhU8_DElYkX7l4wRkHqqCUFNJY4AfY3kHU/edit?usp=sharing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4" s="7" t="s">
        <v>10</v>
      </c>
      <c r="H1374" s="7">
        <v>2444</v>
      </c>
      <c r="I1374" s="8" t="str">
        <f ca="1">IFERROR(__xludf.DUMMYFUNCTION("IF
(
G1375=""фізична особа""
,
VLOOKUP(H1375,IMPORTRANGE(""https://docs.google.com/spreadsheets/d/14Bd19lYaqBhU8_DElYkX7l4wRkHqqCUFNJY4AfY3kHU/edit?usp=sharing  #gid=0"",""фіз особи new!relations_name""),6,FALSE)
,
(IF
(
G1375=""юридична особа""
,
VLOOKUP"&amp;"(H1375,IMPORTRANGE(""https://docs.google.com/spreadsheets/d/14Bd19lYaqBhU8_DElYkX7l4wRkHqqCUFNJY4AfY3kHU/edit?usp=sharing  #gid=0"",""фіз особи new!relations_name_uo""),7,FALSE)
,
)
))"),"ІЛЮШНИКОВА Тетяна Олександрівна")</f>
        <v>ІЛЮШНИКОВА Тетяна Олександрівна</v>
      </c>
      <c r="J1374" s="7" t="s">
        <v>28</v>
      </c>
    </row>
    <row r="1375" spans="1:10" ht="13.2">
      <c r="A1375" s="7">
        <v>1374</v>
      </c>
      <c r="B1375" s="7">
        <v>1</v>
      </c>
      <c r="C1375" s="7" t="s">
        <v>10</v>
      </c>
      <c r="D1375" s="7">
        <v>435</v>
      </c>
      <c r="E1375" s="7" t="s">
        <v>29</v>
      </c>
      <c r="F1375" s="8" t="str">
        <f ca="1">IFERROR(__xludf.DUMMYFUNCTION("IF
(
C1376=""фізична особа""
,
VLOOKUP(D1376,IMPORTRANGE(""https://docs.google.com/spreadsheets/d/14Bd19lYaqBhU8_DElYkX7l4wRkHqqCUFNJY4AfY3kHU/edit?usp=sharing  #gid=0"",""фіз особи new!relations_name""),6,FALSE)
,
(IF
(
C1376=""юридична особа""
,
VLOOKUP"&amp;"(D1376,IMPORTRANGE(""https://docs.google.com/spreadsheets/d/14Bd19lYaqBhU8_DElYkX7l4wRkHqqCUFNJY4AfY3kHU/edit?usp=sharing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5" s="7" t="s">
        <v>10</v>
      </c>
      <c r="H1375" s="7">
        <v>2445</v>
      </c>
      <c r="I1375" s="8" t="str">
        <f ca="1">IFERROR(__xludf.DUMMYFUNCTION("IF
(
G1376=""фізична особа""
,
VLOOKUP(H1376,IMPORTRANGE(""https://docs.google.com/spreadsheets/d/14Bd19lYaqBhU8_DElYkX7l4wRkHqqCUFNJY4AfY3kHU/edit?usp=sharing  #gid=0"",""фіз особи new!relations_name""),6,FALSE)
,
(IF
(
G1376=""юридична особа""
,
VLOOKUP"&amp;"(H1376,IMPORTRANGE(""https://docs.google.com/spreadsheets/d/14Bd19lYaqBhU8_DElYkX7l4wRkHqqCUFNJY4AfY3kHU/edit?usp=sharing  #gid=0"",""фіз особи new!relations_name_uo""),7,FALSE)
,
)
))"),"КРЮЧКОВА Поліна Вікторівна")</f>
        <v>КРЮЧКОВА Поліна Вікторівна</v>
      </c>
      <c r="J1375" s="7" t="s">
        <v>28</v>
      </c>
    </row>
    <row r="1376" spans="1:10" ht="13.2">
      <c r="A1376" s="7">
        <v>1375</v>
      </c>
      <c r="B1376" s="7">
        <v>1</v>
      </c>
      <c r="C1376" s="7" t="s">
        <v>10</v>
      </c>
      <c r="D1376" s="7">
        <v>435</v>
      </c>
      <c r="E1376" s="7" t="s">
        <v>29</v>
      </c>
      <c r="F1376" s="8" t="str">
        <f ca="1">IFERROR(__xludf.DUMMYFUNCTION("IF
(
C1377=""фізична особа""
,
VLOOKUP(D1377,IMPORTRANGE(""https://docs.google.com/spreadsheets/d/14Bd19lYaqBhU8_DElYkX7l4wRkHqqCUFNJY4AfY3kHU/edit?usp=sharing  #gid=0"",""фіз особи new!relations_name""),6,FALSE)
,
(IF
(
C1377=""юридична особа""
,
VLOOKUP"&amp;"(D1377,IMPORTRANGE(""https://docs.google.com/spreadsheets/d/14Bd19lYaqBhU8_DElYkX7l4wRkHqqCUFNJY4AfY3kHU/edit?usp=sharing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6" s="7" t="s">
        <v>10</v>
      </c>
      <c r="H1376" s="7">
        <v>2446</v>
      </c>
      <c r="I1376" s="8" t="str">
        <f ca="1">IFERROR(__xludf.DUMMYFUNCTION("IF
(
G1377=""фізична особа""
,
VLOOKUP(H1377,IMPORTRANGE(""https://docs.google.com/spreadsheets/d/14Bd19lYaqBhU8_DElYkX7l4wRkHqqCUFNJY4AfY3kHU/edit?usp=sharing  #gid=0"",""фіз особи new!relations_name""),6,FALSE)
,
(IF
(
G1377=""юридична особа""
,
VLOOKUP"&amp;"(H1377,IMPORTRANGE(""https://docs.google.com/spreadsheets/d/14Bd19lYaqBhU8_DElYkX7l4wRkHqqCUFNJY4AfY3kHU/edit?usp=sharing  #gid=0"",""фіз особи new!relations_name_uo""),7,FALSE)
,
)
))"),"НАЗАРОВ Сергій Макарович")</f>
        <v>НАЗАРОВ Сергій Макарович</v>
      </c>
      <c r="J1376" s="7" t="s">
        <v>28</v>
      </c>
    </row>
    <row r="1377" spans="1:10" ht="13.2">
      <c r="A1377" s="7">
        <v>1376</v>
      </c>
      <c r="B1377" s="7">
        <v>1</v>
      </c>
      <c r="C1377" s="7" t="s">
        <v>10</v>
      </c>
      <c r="D1377" s="7">
        <v>435</v>
      </c>
      <c r="E1377" s="7" t="s">
        <v>41</v>
      </c>
      <c r="F1377" s="8" t="str">
        <f ca="1">IFERROR(__xludf.DUMMYFUNCTION("IF
(
C1378=""фізична особа""
,
VLOOKUP(D1378,IMPORTRANGE(""https://docs.google.com/spreadsheets/d/14Bd19lYaqBhU8_DElYkX7l4wRkHqqCUFNJY4AfY3kHU/edit?usp=sharing  #gid=0"",""фіз особи new!relations_name""),6,FALSE)
,
(IF
(
C1378=""юридична особа""
,
VLOOKUP"&amp;"(D1378,IMPORTRANGE(""https://docs.google.com/spreadsheets/d/14Bd19lYaqBhU8_DElYkX7l4wRkHqqCUFNJY4AfY3kHU/edit?usp=sharing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7" s="7" t="s">
        <v>10</v>
      </c>
      <c r="H1377" s="7">
        <v>1404</v>
      </c>
      <c r="I1377" s="8" t="str">
        <f ca="1">IFERROR(__xludf.DUMMYFUNCTION("IF
(
G1378=""фізична особа""
,
VLOOKUP(H1378,IMPORTRANGE(""https://docs.google.com/spreadsheets/d/14Bd19lYaqBhU8_DElYkX7l4wRkHqqCUFNJY4AfY3kHU/edit?usp=sharing  #gid=0"",""фіз особи new!relations_name""),6,FALSE)
,
(IF
(
G1378=""юридична особа""
,
VLOOKUP"&amp;"(H1378,IMPORTRANGE(""https://docs.google.com/spreadsheets/d/14Bd19lYaqBhU8_DElYkX7l4wRkHqqCUFNJY4AfY3kHU/edit?usp=sharing  #gid=0"",""фіз особи new!relations_name_uo""),7,FALSE)
,
)
))"),"ТАРАСЕНКО Оксана Валеріївна")</f>
        <v>ТАРАСЕНКО Оксана Валеріївна</v>
      </c>
      <c r="J1377" s="7" t="s">
        <v>40</v>
      </c>
    </row>
    <row r="1378" spans="1:10" ht="13.2">
      <c r="A1378" s="7">
        <v>1377</v>
      </c>
      <c r="B1378" s="7">
        <v>1</v>
      </c>
      <c r="C1378" s="7" t="s">
        <v>10</v>
      </c>
      <c r="D1378" s="7">
        <v>435</v>
      </c>
      <c r="E1378" s="7" t="s">
        <v>29</v>
      </c>
      <c r="F1378" s="8" t="str">
        <f ca="1">IFERROR(__xludf.DUMMYFUNCTION("IF
(
C1379=""фізична особа""
,
VLOOKUP(D1379,IMPORTRANGE(""https://docs.google.com/spreadsheets/d/14Bd19lYaqBhU8_DElYkX7l4wRkHqqCUFNJY4AfY3kHU/edit?usp=sharing  #gid=0"",""фіз особи new!relations_name""),6,FALSE)
,
(IF
(
C1379=""юридична особа""
,
VLOOKUP"&amp;"(D1379,IMPORTRANGE(""https://docs.google.com/spreadsheets/d/14Bd19lYaqBhU8_DElYkX7l4wRkHqqCUFNJY4AfY3kHU/edit?usp=sharing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8" s="7" t="s">
        <v>10</v>
      </c>
      <c r="H1378" s="7">
        <v>2447</v>
      </c>
      <c r="I1378" s="8" t="str">
        <f ca="1">IFERROR(__xludf.DUMMYFUNCTION("IF
(
G1379=""фізична особа""
,
VLOOKUP(H1379,IMPORTRANGE(""https://docs.google.com/spreadsheets/d/14Bd19lYaqBhU8_DElYkX7l4wRkHqqCUFNJY4AfY3kHU/edit?usp=sharing  #gid=0"",""фіз особи new!relations_name""),6,FALSE)
,
(IF
(
G1379=""юридична особа""
,
VLOOKUP"&amp;"(H1379,IMPORTRANGE(""https://docs.google.com/spreadsheets/d/14Bd19lYaqBhU8_DElYkX7l4wRkHqqCUFNJY4AfY3kHU/edit?usp=sharing  #gid=0"",""фіз особи new!relations_name_uo""),7,FALSE)
,
)
))"),"ТОРОСОВ Ілля Едуардович")</f>
        <v>ТОРОСОВ Ілля Едуардович</v>
      </c>
      <c r="J1378" s="7" t="s">
        <v>28</v>
      </c>
    </row>
    <row r="1379" spans="1:10" ht="13.2">
      <c r="A1379" s="7">
        <v>1378</v>
      </c>
      <c r="B1379" s="7">
        <v>1</v>
      </c>
      <c r="C1379" s="7" t="s">
        <v>10</v>
      </c>
      <c r="D1379" s="7">
        <v>435</v>
      </c>
      <c r="E1379" s="7" t="s">
        <v>29</v>
      </c>
      <c r="F1379" s="8" t="str">
        <f ca="1">IFERROR(__xludf.DUMMYFUNCTION("IF
(
C1380=""фізична особа""
,
VLOOKUP(D1380,IMPORTRANGE(""https://docs.google.com/spreadsheets/d/14Bd19lYaqBhU8_DElYkX7l4wRkHqqCUFNJY4AfY3kHU/edit?usp=sharing  #gid=0"",""фіз особи new!relations_name""),6,FALSE)
,
(IF
(
C1380=""юридична особа""
,
VLOOKUP"&amp;"(D1380,IMPORTRANGE(""https://docs.google.com/spreadsheets/d/14Bd19lYaqBhU8_DElYkX7l4wRkHqqCUFNJY4AfY3kHU/edit?usp=sharing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79" s="7" t="s">
        <v>10</v>
      </c>
      <c r="H1379" s="7">
        <v>2441</v>
      </c>
      <c r="I1379" s="8" t="str">
        <f ca="1">IFERROR(__xludf.DUMMYFUNCTION("IF
(
G1380=""фізична особа""
,
VLOOKUP(H1380,IMPORTRANGE(""https://docs.google.com/spreadsheets/d/14Bd19lYaqBhU8_DElYkX7l4wRkHqqCUFNJY4AfY3kHU/edit?usp=sharing  #gid=0"",""фіз особи new!relations_name""),6,FALSE)
,
(IF
(
G1380=""юридична особа""
,
VLOOKUP"&amp;"(H1380,IMPORTRANGE(""https://docs.google.com/spreadsheets/d/14Bd19lYaqBhU8_DElYkX7l4wRkHqqCUFNJY4AfY3kHU/edit?usp=sharing  #gid=0"",""фіз особи new!relations_name_uo""),7,FALSE)
,
)
))"),"ВОЛЬВАЧ Дмитро Валерійович")</f>
        <v>ВОЛЬВАЧ Дмитро Валерійович</v>
      </c>
      <c r="J1379" s="7" t="s">
        <v>28</v>
      </c>
    </row>
    <row r="1380" spans="1:10" ht="13.2">
      <c r="A1380" s="7">
        <v>1379</v>
      </c>
      <c r="B1380" s="7">
        <v>1</v>
      </c>
      <c r="C1380" s="7" t="s">
        <v>10</v>
      </c>
      <c r="D1380" s="7">
        <v>435</v>
      </c>
      <c r="E1380" s="7" t="s">
        <v>29</v>
      </c>
      <c r="F1380" s="8" t="str">
        <f ca="1">IFERROR(__xludf.DUMMYFUNCTION("IF
(
C1381=""фізична особа""
,
VLOOKUP(D1381,IMPORTRANGE(""https://docs.google.com/spreadsheets/d/14Bd19lYaqBhU8_DElYkX7l4wRkHqqCUFNJY4AfY3kHU/edit?usp=sharing  #gid=0"",""фіз особи new!relations_name""),6,FALSE)
,
(IF
(
C1381=""юридична особа""
,
VLOOKUP"&amp;"(D1381,IMPORTRANGE(""https://docs.google.com/spreadsheets/d/14Bd19lYaqBhU8_DElYkX7l4wRkHqqCUFNJY4AfY3kHU/edit?usp=sharing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80" s="7" t="s">
        <v>10</v>
      </c>
      <c r="H1380" s="7">
        <v>0</v>
      </c>
      <c r="I1380" s="8" t="str">
        <f ca="1">IFERROR(__xludf.DUMMYFUNCTION("IF
(
G1381=""фізична особа""
,
VLOOKUP(H1381,IMPORTRANGE(""https://docs.google.com/spreadsheets/d/14Bd19lYaqBhU8_DElYkX7l4wRkHqqCUFNJY4AfY3kHU/edit?usp=sharing  #gid=0"",""фіз особи new!relations_name""),6,FALSE)
,
(IF
(
G1381=""юридична особа""
,
VLOOKUP"&amp;"(H1381,IMPORTRANGE(""https://docs.google.com/spreadsheets/d/14Bd19lYaqBhU8_DElYkX7l4wRkHqqCUFNJY4AfY3kHU/edit?usp=sharing  #gid=0"",""фіз особи new!relations_name_uo""),7,FALSE)
,
)
))"),"#N/A")</f>
        <v>#N/A</v>
      </c>
      <c r="J1380" s="7" t="s">
        <v>28</v>
      </c>
    </row>
    <row r="1381" spans="1:10" ht="13.2">
      <c r="A1381" s="7">
        <v>1380</v>
      </c>
      <c r="B1381" s="7">
        <v>1</v>
      </c>
      <c r="C1381" s="7" t="s">
        <v>10</v>
      </c>
      <c r="D1381" s="7">
        <v>435</v>
      </c>
      <c r="E1381" s="7" t="s">
        <v>41</v>
      </c>
      <c r="F1381" s="8" t="str">
        <f ca="1">IFERROR(__xludf.DUMMYFUNCTION("IF
(
C1382=""фізична особа""
,
VLOOKUP(D1382,IMPORTRANGE(""https://docs.google.com/spreadsheets/d/14Bd19lYaqBhU8_DElYkX7l4wRkHqqCUFNJY4AfY3kHU/edit?usp=sharing  #gid=0"",""фіз особи new!relations_name""),6,FALSE)
,
(IF
(
C1382=""юридична особа""
,
VLOOKUP"&amp;"(D1382,IMPORTRANGE(""https://docs.google.com/spreadsheets/d/14Bd19lYaqBhU8_DElYkX7l4wRkHqqCUFNJY4AfY3kHU/edit?usp=sharing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81" s="7" t="s">
        <v>10</v>
      </c>
      <c r="H1381" s="7">
        <v>0</v>
      </c>
      <c r="I1381" s="8" t="str">
        <f ca="1">IFERROR(__xludf.DUMMYFUNCTION("IF
(
G1382=""фізична особа""
,
VLOOKUP(H1382,IMPORTRANGE(""https://docs.google.com/spreadsheets/d/14Bd19lYaqBhU8_DElYkX7l4wRkHqqCUFNJY4AfY3kHU/edit?usp=sharing  #gid=0"",""фіз особи new!relations_name""),6,FALSE)
,
(IF
(
G1382=""юридична особа""
,
VLOOKUP"&amp;"(H1382,IMPORTRANGE(""https://docs.google.com/spreadsheets/d/14Bd19lYaqBhU8_DElYkX7l4wRkHqqCUFNJY4AfY3kHU/edit?usp=sharing  #gid=0"",""фіз особи new!relations_name_uo""),7,FALSE)
,
)
))"),"#N/A")</f>
        <v>#N/A</v>
      </c>
      <c r="J1381" s="7" t="s">
        <v>40</v>
      </c>
    </row>
    <row r="1382" spans="1:10" ht="13.2">
      <c r="A1382" s="7">
        <v>1381</v>
      </c>
      <c r="B1382" s="7">
        <v>1</v>
      </c>
      <c r="C1382" s="7" t="s">
        <v>10</v>
      </c>
      <c r="D1382" s="7">
        <v>435</v>
      </c>
      <c r="E1382" s="7" t="s">
        <v>41</v>
      </c>
      <c r="F1382" s="8" t="str">
        <f ca="1">IFERROR(__xludf.DUMMYFUNCTION("IF
(
C1383=""фізична особа""
,
VLOOKUP(D1383,IMPORTRANGE(""https://docs.google.com/spreadsheets/d/14Bd19lYaqBhU8_DElYkX7l4wRkHqqCUFNJY4AfY3kHU/edit?usp=sharing  #gid=0"",""фіз особи new!relations_name""),6,FALSE)
,
(IF
(
C1383=""юридична особа""
,
VLOOKUP"&amp;"(D1383,IMPORTRANGE(""https://docs.google.com/spreadsheets/d/14Bd19lYaqBhU8_DElYkX7l4wRkHqqCUFNJY4AfY3kHU/edit?usp=sharing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82" s="7" t="s">
        <v>10</v>
      </c>
      <c r="H1382" s="7">
        <v>1463</v>
      </c>
      <c r="I1382" s="8" t="str">
        <f ca="1">IFERROR(__xludf.DUMMYFUNCTION("IF
(
G1383=""фізична особа""
,
VLOOKUP(H1383,IMPORTRANGE(""https://docs.google.com/spreadsheets/d/14Bd19lYaqBhU8_DElYkX7l4wRkHqqCUFNJY4AfY3kHU/edit?usp=sharing  #gid=0"",""фіз особи new!relations_name""),6,FALSE)
,
(IF
(
G1383=""юридична особа""
,
VLOOKUP"&amp;"(H1383,IMPORTRANGE(""https://docs.google.com/spreadsheets/d/14Bd19lYaqBhU8_DElYkX7l4wRkHqqCUFNJY4AfY3kHU/edit?usp=sharing  #gid=0"",""фіз особи new!relations_name_uo""),7,FALSE)
,
)
))"),"ТАЛИБОВ Азер Муталім огли")</f>
        <v>ТАЛИБОВ Азер Муталім огли</v>
      </c>
      <c r="J1382" s="7" t="s">
        <v>40</v>
      </c>
    </row>
    <row r="1383" spans="1:10" ht="13.2">
      <c r="A1383" s="7">
        <v>1382</v>
      </c>
      <c r="B1383" s="7">
        <v>1</v>
      </c>
      <c r="C1383" s="7" t="s">
        <v>10</v>
      </c>
      <c r="D1383" s="7">
        <v>435</v>
      </c>
      <c r="E1383" s="7" t="s">
        <v>41</v>
      </c>
      <c r="F1383" s="8" t="str">
        <f ca="1">IFERROR(__xludf.DUMMYFUNCTION("IF
(
C1384=""фізична особа""
,
VLOOKUP(D1384,IMPORTRANGE(""https://docs.google.com/spreadsheets/d/14Bd19lYaqBhU8_DElYkX7l4wRkHqqCUFNJY4AfY3kHU/edit?usp=sharing  #gid=0"",""фіз особи new!relations_name""),6,FALSE)
,
(IF
(
C1384=""юридична особа""
,
VLOOKUP"&amp;"(D1384,IMPORTRANGE(""https://docs.google.com/spreadsheets/d/14Bd19lYaqBhU8_DElYkX7l4wRkHqqCUFNJY4AfY3kHU/edit?usp=sharing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83" s="7" t="s">
        <v>10</v>
      </c>
      <c r="H1383" s="7">
        <v>6008</v>
      </c>
      <c r="I1383" s="8" t="str">
        <f ca="1">IFERROR(__xludf.DUMMYFUNCTION("IF
(
G1384=""фізична особа""
,
VLOOKUP(H1384,IMPORTRANGE(""https://docs.google.com/spreadsheets/d/14Bd19lYaqBhU8_DElYkX7l4wRkHqqCUFNJY4AfY3kHU/edit?usp=sharing  #gid=0"",""фіз особи new!relations_name""),6,FALSE)
,
(IF
(
G1384=""юридична особа""
,
VLOOKUP"&amp;"(H1384,IMPORTRANGE(""https://docs.google.com/spreadsheets/d/14Bd19lYaqBhU8_DElYkX7l4wRkHqqCUFNJY4AfY3kHU/edit?usp=sharing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J1383" s="7" t="s">
        <v>40</v>
      </c>
    </row>
    <row r="1384" spans="1:10" ht="13.2">
      <c r="A1384" s="7">
        <v>1383</v>
      </c>
      <c r="B1384" s="7">
        <v>1</v>
      </c>
      <c r="C1384" s="7" t="s">
        <v>10</v>
      </c>
      <c r="D1384" s="7">
        <v>435</v>
      </c>
      <c r="E1384" s="7" t="s">
        <v>41</v>
      </c>
      <c r="F1384" s="8" t="str">
        <f ca="1">IFERROR(__xludf.DUMMYFUNCTION("IF
(
C1385=""фізична особа""
,
VLOOKUP(D1385,IMPORTRANGE(""https://docs.google.com/spreadsheets/d/14Bd19lYaqBhU8_DElYkX7l4wRkHqqCUFNJY4AfY3kHU/edit?usp=sharing  #gid=0"",""фіз особи new!relations_name""),6,FALSE)
,
(IF
(
C1385=""юридична особа""
,
VLOOKUP"&amp;"(D1385,IMPORTRANGE(""https://docs.google.com/spreadsheets/d/14Bd19lYaqBhU8_DElYkX7l4wRkHqqCUFNJY4AfY3kHU/edit?usp=sharing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G1384" s="7" t="s">
        <v>10</v>
      </c>
      <c r="H1384" s="7">
        <v>1350</v>
      </c>
      <c r="I1384" s="8" t="str">
        <f ca="1">IFERROR(__xludf.DUMMYFUNCTION("IF
(
G1385=""фізична особа""
,
VLOOKUP(H1385,IMPORTRANGE(""https://docs.google.com/spreadsheets/d/14Bd19lYaqBhU8_DElYkX7l4wRkHqqCUFNJY4AfY3kHU/edit?usp=sharing  #gid=0"",""фіз особи new!relations_name""),6,FALSE)
,
(IF
(
G1385=""юридична особа""
,
VLOOKUP"&amp;"(H1385,IMPORTRANGE(""https://docs.google.com/spreadsheets/d/14Bd19lYaqBhU8_DElYkX7l4wRkHqqCUFNJY4AfY3kHU/edit?usp=sharing  #gid=0"",""фіз особи new!relations_name_uo""),7,FALSE)
,
)
))"),"ЧЕБОТАРЬОВ Сергій Вікторович")</f>
        <v>ЧЕБОТАРЬОВ Сергій Вікторович</v>
      </c>
      <c r="J1384" s="7" t="s">
        <v>40</v>
      </c>
    </row>
    <row r="1385" spans="1:10" ht="13.2">
      <c r="A1385" s="7">
        <v>1384</v>
      </c>
      <c r="B1385" s="7">
        <v>1</v>
      </c>
      <c r="C1385" s="7" t="s">
        <v>10</v>
      </c>
      <c r="D1385" s="7">
        <v>436</v>
      </c>
      <c r="E1385" s="7" t="s">
        <v>12</v>
      </c>
      <c r="F1385" s="8" t="str">
        <f ca="1">IFERROR(__xludf.DUMMYFUNCTION("IF
(
C1386=""фізична особа""
,
VLOOKUP(D1386,IMPORTRANGE(""https://docs.google.com/spreadsheets/d/14Bd19lYaqBhU8_DElYkX7l4wRkHqqCUFNJY4AfY3kHU/edit?usp=sharing  #gid=0"",""фіз особи new!relations_name""),6,FALSE)
,
(IF
(
C1386=""юридична особа""
,
VLOOKUP"&amp;"(D1386,IMPORTRANGE(""https://docs.google.com/spreadsheets/d/14Bd19lYaqBhU8_DElYkX7l4wRkHqqCUFNJY4AfY3kHU/edit?usp=sharing  #gid=0"",""фіз особи new!relations_name_uo""),7,FALSE)
,
)
))"),"МЕЛЬНІКОВ Іван Іванович")</f>
        <v>МЕЛЬНІКОВ Іван Іванович</v>
      </c>
      <c r="G1385" s="7" t="s">
        <v>10</v>
      </c>
      <c r="H1385" s="7">
        <v>0</v>
      </c>
      <c r="I1385" s="8" t="str">
        <f ca="1">IFERROR(__xludf.DUMMYFUNCTION("IF
(
G1386=""фізична особа""
,
VLOOKUP(H1386,IMPORTRANGE(""https://docs.google.com/spreadsheets/d/14Bd19lYaqBhU8_DElYkX7l4wRkHqqCUFNJY4AfY3kHU/edit?usp=sharing  #gid=0"",""фіз особи new!relations_name""),6,FALSE)
,
(IF
(
G1386=""юридична особа""
,
VLOOKUP"&amp;"(H1386,IMPORTRANGE(""https://docs.google.com/spreadsheets/d/14Bd19lYaqBhU8_DElYkX7l4wRkHqqCUFNJY4AfY3kHU/edit?usp=sharing  #gid=0"",""фіз особи new!relations_name_uo""),7,FALSE)
,
)
))"),"#N/A")</f>
        <v>#N/A</v>
      </c>
      <c r="J1385" s="7" t="s">
        <v>17</v>
      </c>
    </row>
    <row r="1386" spans="1:10" ht="13.2">
      <c r="A1386" s="7">
        <v>1385</v>
      </c>
      <c r="B1386" s="7">
        <v>1</v>
      </c>
      <c r="C1386" s="7" t="s">
        <v>10</v>
      </c>
      <c r="D1386" s="7">
        <v>436</v>
      </c>
      <c r="E1386" s="7" t="s">
        <v>12</v>
      </c>
      <c r="F1386" s="8" t="str">
        <f ca="1">IFERROR(__xludf.DUMMYFUNCTION("IF
(
C1387=""фізична особа""
,
VLOOKUP(D1387,IMPORTRANGE(""https://docs.google.com/spreadsheets/d/14Bd19lYaqBhU8_DElYkX7l4wRkHqqCUFNJY4AfY3kHU/edit?usp=sharing  #gid=0"",""фіз особи new!relations_name""),6,FALSE)
,
(IF
(
C1387=""юридична особа""
,
VLOOKUP"&amp;"(D1387,IMPORTRANGE(""https://docs.google.com/spreadsheets/d/14Bd19lYaqBhU8_DElYkX7l4wRkHqqCUFNJY4AfY3kHU/edit?usp=sharing  #gid=0"",""фіз особи new!relations_name_uo""),7,FALSE)
,
)
))"),"МЕЛЬНІКОВ Іван Іванович")</f>
        <v>МЕЛЬНІКОВ Іван Іванович</v>
      </c>
      <c r="G1386" s="7" t="s">
        <v>10</v>
      </c>
      <c r="H1386" s="7">
        <v>0</v>
      </c>
      <c r="I1386" s="8" t="str">
        <f ca="1">IFERROR(__xludf.DUMMYFUNCTION("IF
(
G1387=""фізична особа""
,
VLOOKUP(H1387,IMPORTRANGE(""https://docs.google.com/spreadsheets/d/14Bd19lYaqBhU8_DElYkX7l4wRkHqqCUFNJY4AfY3kHU/edit?usp=sharing  #gid=0"",""фіз особи new!relations_name""),6,FALSE)
,
(IF
(
G1387=""юридична особа""
,
VLOOKUP"&amp;"(H1387,IMPORTRANGE(""https://docs.google.com/spreadsheets/d/14Bd19lYaqBhU8_DElYkX7l4wRkHqqCUFNJY4AfY3kHU/edit?usp=sharing  #gid=0"",""фіз особи new!relations_name_uo""),7,FALSE)
,
)
))"),"#N/A")</f>
        <v>#N/A</v>
      </c>
      <c r="J1386" s="7" t="s">
        <v>17</v>
      </c>
    </row>
    <row r="1387" spans="1:10" ht="13.2">
      <c r="A1387" s="7">
        <v>1386</v>
      </c>
      <c r="B1387" s="7">
        <v>1</v>
      </c>
      <c r="C1387" s="7" t="s">
        <v>10</v>
      </c>
      <c r="D1387" s="7">
        <v>436</v>
      </c>
      <c r="E1387" s="7" t="s">
        <v>12</v>
      </c>
      <c r="F1387" s="8" t="str">
        <f ca="1">IFERROR(__xludf.DUMMYFUNCTION("IF
(
C1388=""фізична особа""
,
VLOOKUP(D1388,IMPORTRANGE(""https://docs.google.com/spreadsheets/d/14Bd19lYaqBhU8_DElYkX7l4wRkHqqCUFNJY4AfY3kHU/edit?usp=sharing  #gid=0"",""фіз особи new!relations_name""),6,FALSE)
,
(IF
(
C1388=""юридична особа""
,
VLOOKUP"&amp;"(D1388,IMPORTRANGE(""https://docs.google.com/spreadsheets/d/14Bd19lYaqBhU8_DElYkX7l4wRkHqqCUFNJY4AfY3kHU/edit?usp=sharing  #gid=0"",""фіз особи new!relations_name_uo""),7,FALSE)
,
)
))"),"МЕЛЬНІКОВ Іван Іванович")</f>
        <v>МЕЛЬНІКОВ Іван Іванович</v>
      </c>
      <c r="G1387" s="7" t="s">
        <v>10</v>
      </c>
      <c r="H1387" s="7">
        <v>0</v>
      </c>
      <c r="I1387" s="8" t="str">
        <f ca="1">IFERROR(__xludf.DUMMYFUNCTION("IF
(
G1388=""фізична особа""
,
VLOOKUP(H1388,IMPORTRANGE(""https://docs.google.com/spreadsheets/d/14Bd19lYaqBhU8_DElYkX7l4wRkHqqCUFNJY4AfY3kHU/edit?usp=sharing  #gid=0"",""фіз особи new!relations_name""),6,FALSE)
,
(IF
(
G1388=""юридична особа""
,
VLOOKUP"&amp;"(H1388,IMPORTRANGE(""https://docs.google.com/spreadsheets/d/14Bd19lYaqBhU8_DElYkX7l4wRkHqqCUFNJY4AfY3kHU/edit?usp=sharing  #gid=0"",""фіз особи new!relations_name_uo""),7,FALSE)
,
)
))"),"#N/A")</f>
        <v>#N/A</v>
      </c>
      <c r="J1387" s="7" t="s">
        <v>13</v>
      </c>
    </row>
    <row r="1388" spans="1:10" ht="13.2">
      <c r="A1388" s="7">
        <v>1387</v>
      </c>
      <c r="B1388" s="7">
        <v>1</v>
      </c>
      <c r="C1388" s="7" t="s">
        <v>10</v>
      </c>
      <c r="D1388" s="7">
        <v>439</v>
      </c>
      <c r="E1388" s="7" t="s">
        <v>14</v>
      </c>
      <c r="F1388" s="8" t="str">
        <f ca="1">IFERROR(__xludf.DUMMYFUNCTION("IF
(
C1389=""фізична особа""
,
VLOOKUP(D1389,IMPORTRANGE(""https://docs.google.com/spreadsheets/d/14Bd19lYaqBhU8_DElYkX7l4wRkHqqCUFNJY4AfY3kHU/edit?usp=sharing  #gid=0"",""фіз особи new!relations_name""),6,FALSE)
,
(IF
(
C1389=""юридична особа""
,
VLOOKUP"&amp;"(D1389,IMPORTRANGE(""https://docs.google.com/spreadsheets/d/14Bd19lYaqBhU8_DElYkX7l4wRkHqqCUFNJY4AfY3kHU/edit?usp=sharing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88" s="7" t="s">
        <v>10</v>
      </c>
      <c r="H1388" s="7">
        <v>0</v>
      </c>
      <c r="I1388" s="8" t="str">
        <f ca="1">IFERROR(__xludf.DUMMYFUNCTION("IF
(
G1389=""фізична особа""
,
VLOOKUP(H1389,IMPORTRANGE(""https://docs.google.com/spreadsheets/d/14Bd19lYaqBhU8_DElYkX7l4wRkHqqCUFNJY4AfY3kHU/edit?usp=sharing  #gid=0"",""фіз особи new!relations_name""),6,FALSE)
,
(IF
(
G1389=""юридична особа""
,
VLOOKUP"&amp;"(H1389,IMPORTRANGE(""https://docs.google.com/spreadsheets/d/14Bd19lYaqBhU8_DElYkX7l4wRkHqqCUFNJY4AfY3kHU/edit?usp=sharing  #gid=0"",""фіз особи new!relations_name_uo""),7,FALSE)
,
)
))"),"#N/A")</f>
        <v>#N/A</v>
      </c>
      <c r="J1388" s="7" t="s">
        <v>15</v>
      </c>
    </row>
    <row r="1389" spans="1:10" ht="13.2">
      <c r="A1389" s="7">
        <v>1388</v>
      </c>
      <c r="B1389" s="7">
        <v>1</v>
      </c>
      <c r="C1389" s="7" t="s">
        <v>10</v>
      </c>
      <c r="D1389" s="7">
        <v>439</v>
      </c>
      <c r="E1389" s="7" t="s">
        <v>12</v>
      </c>
      <c r="F1389" s="8" t="str">
        <f ca="1">IFERROR(__xludf.DUMMYFUNCTION("IF
(
C1390=""фізична особа""
,
VLOOKUP(D1390,IMPORTRANGE(""https://docs.google.com/spreadsheets/d/14Bd19lYaqBhU8_DElYkX7l4wRkHqqCUFNJY4AfY3kHU/edit?usp=sharing  #gid=0"",""фіз особи new!relations_name""),6,FALSE)
,
(IF
(
C1390=""юридична особа""
,
VLOOKUP"&amp;"(D1390,IMPORTRANGE(""https://docs.google.com/spreadsheets/d/14Bd19lYaqBhU8_DElYkX7l4wRkHqqCUFNJY4AfY3kHU/edit?usp=sharing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89" s="7" t="s">
        <v>10</v>
      </c>
      <c r="H1389" s="7">
        <v>0</v>
      </c>
      <c r="I1389" s="8" t="str">
        <f ca="1">IFERROR(__xludf.DUMMYFUNCTION("IF
(
G1390=""фізична особа""
,
VLOOKUP(H1390,IMPORTRANGE(""https://docs.google.com/spreadsheets/d/14Bd19lYaqBhU8_DElYkX7l4wRkHqqCUFNJY4AfY3kHU/edit?usp=sharing  #gid=0"",""фіз особи new!relations_name""),6,FALSE)
,
(IF
(
G1390=""юридична особа""
,
VLOOKUP"&amp;"(H1390,IMPORTRANGE(""https://docs.google.com/spreadsheets/d/14Bd19lYaqBhU8_DElYkX7l4wRkHqqCUFNJY4AfY3kHU/edit?usp=sharing  #gid=0"",""фіз особи new!relations_name_uo""),7,FALSE)
,
)
))"),"#N/A")</f>
        <v>#N/A</v>
      </c>
      <c r="J1389" s="7" t="s">
        <v>17</v>
      </c>
    </row>
    <row r="1390" spans="1:10" ht="13.2">
      <c r="A1390" s="7">
        <v>1389</v>
      </c>
      <c r="B1390" s="7">
        <v>1</v>
      </c>
      <c r="C1390" s="7" t="s">
        <v>10</v>
      </c>
      <c r="D1390" s="7">
        <v>439</v>
      </c>
      <c r="E1390" s="7" t="s">
        <v>12</v>
      </c>
      <c r="F1390" s="8" t="str">
        <f ca="1">IFERROR(__xludf.DUMMYFUNCTION("IF
(
C1391=""фізична особа""
,
VLOOKUP(D1391,IMPORTRANGE(""https://docs.google.com/spreadsheets/d/14Bd19lYaqBhU8_DElYkX7l4wRkHqqCUFNJY4AfY3kHU/edit?usp=sharing  #gid=0"",""фіз особи new!relations_name""),6,FALSE)
,
(IF
(
C1391=""юридична особа""
,
VLOOKUP"&amp;"(D1391,IMPORTRANGE(""https://docs.google.com/spreadsheets/d/14Bd19lYaqBhU8_DElYkX7l4wRkHqqCUFNJY4AfY3kHU/edit?usp=sharing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0" s="7" t="s">
        <v>10</v>
      </c>
      <c r="H1390" s="7">
        <v>0</v>
      </c>
      <c r="I1390" s="8" t="str">
        <f ca="1">IFERROR(__xludf.DUMMYFUNCTION("IF
(
G1391=""фізична особа""
,
VLOOKUP(H1391,IMPORTRANGE(""https://docs.google.com/spreadsheets/d/14Bd19lYaqBhU8_DElYkX7l4wRkHqqCUFNJY4AfY3kHU/edit?usp=sharing  #gid=0"",""фіз особи new!relations_name""),6,FALSE)
,
(IF
(
G1391=""юридична особа""
,
VLOOKUP"&amp;"(H1391,IMPORTRANGE(""https://docs.google.com/spreadsheets/d/14Bd19lYaqBhU8_DElYkX7l4wRkHqqCUFNJY4AfY3kHU/edit?usp=sharing  #gid=0"",""фіз особи new!relations_name_uo""),7,FALSE)
,
)
))"),"#N/A")</f>
        <v>#N/A</v>
      </c>
      <c r="J1390" s="7" t="s">
        <v>17</v>
      </c>
    </row>
    <row r="1391" spans="1:10" ht="13.2">
      <c r="A1391" s="7">
        <v>1390</v>
      </c>
      <c r="B1391" s="7">
        <v>1</v>
      </c>
      <c r="C1391" s="7" t="s">
        <v>10</v>
      </c>
      <c r="D1391" s="7">
        <v>439</v>
      </c>
      <c r="E1391" s="7" t="s">
        <v>17</v>
      </c>
      <c r="F1391" s="8" t="str">
        <f ca="1">IFERROR(__xludf.DUMMYFUNCTION("IF
(
C1392=""фізична особа""
,
VLOOKUP(D1392,IMPORTRANGE(""https://docs.google.com/spreadsheets/d/14Bd19lYaqBhU8_DElYkX7l4wRkHqqCUFNJY4AfY3kHU/edit?usp=sharing  #gid=0"",""фіз особи new!relations_name""),6,FALSE)
,
(IF
(
C1392=""юридична особа""
,
VLOOKUP"&amp;"(D1392,IMPORTRANGE(""https://docs.google.com/spreadsheets/d/14Bd19lYaqBhU8_DElYkX7l4wRkHqqCUFNJY4AfY3kHU/edit?usp=sharing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1" s="7" t="s">
        <v>10</v>
      </c>
      <c r="H1391" s="7">
        <v>0</v>
      </c>
      <c r="I1391" s="8" t="str">
        <f ca="1">IFERROR(__xludf.DUMMYFUNCTION("IF
(
G1392=""фізична особа""
,
VLOOKUP(H1392,IMPORTRANGE(""https://docs.google.com/spreadsheets/d/14Bd19lYaqBhU8_DElYkX7l4wRkHqqCUFNJY4AfY3kHU/edit?usp=sharing  #gid=0"",""фіз особи new!relations_name""),6,FALSE)
,
(IF
(
G1392=""юридична особа""
,
VLOOKUP"&amp;"(H1392,IMPORTRANGE(""https://docs.google.com/spreadsheets/d/14Bd19lYaqBhU8_DElYkX7l4wRkHqqCUFNJY4AfY3kHU/edit?usp=sharing  #gid=0"",""фіз особи new!relations_name_uo""),7,FALSE)
,
)
))"),"#N/A")</f>
        <v>#N/A</v>
      </c>
      <c r="J1391" s="7" t="s">
        <v>21</v>
      </c>
    </row>
    <row r="1392" spans="1:10" ht="13.2">
      <c r="A1392" s="7">
        <v>1391</v>
      </c>
      <c r="B1392" s="7">
        <v>1</v>
      </c>
      <c r="C1392" s="7" t="s">
        <v>10</v>
      </c>
      <c r="D1392" s="7">
        <v>439</v>
      </c>
      <c r="E1392" s="7" t="s">
        <v>18</v>
      </c>
      <c r="F1392" s="8" t="str">
        <f ca="1">IFERROR(__xludf.DUMMYFUNCTION("IF
(
C1393=""фізична особа""
,
VLOOKUP(D1393,IMPORTRANGE(""https://docs.google.com/spreadsheets/d/14Bd19lYaqBhU8_DElYkX7l4wRkHqqCUFNJY4AfY3kHU/edit?usp=sharing  #gid=0"",""фіз особи new!relations_name""),6,FALSE)
,
(IF
(
C1393=""юридична особа""
,
VLOOKUP"&amp;"(D1393,IMPORTRANGE(""https://docs.google.com/spreadsheets/d/14Bd19lYaqBhU8_DElYkX7l4wRkHqqCUFNJY4AfY3kHU/edit?usp=sharing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2" s="7" t="s">
        <v>10</v>
      </c>
      <c r="H1392" s="7">
        <v>0</v>
      </c>
      <c r="I1392" s="8" t="str">
        <f ca="1">IFERROR(__xludf.DUMMYFUNCTION("IF
(
G1393=""фізична особа""
,
VLOOKUP(H1393,IMPORTRANGE(""https://docs.google.com/spreadsheets/d/14Bd19lYaqBhU8_DElYkX7l4wRkHqqCUFNJY4AfY3kHU/edit?usp=sharing  #gid=0"",""фіз особи new!relations_name""),6,FALSE)
,
(IF
(
G1393=""юридична особа""
,
VLOOKUP"&amp;"(H1393,IMPORTRANGE(""https://docs.google.com/spreadsheets/d/14Bd19lYaqBhU8_DElYkX7l4wRkHqqCUFNJY4AfY3kHU/edit?usp=sharing  #gid=0"",""фіз особи new!relations_name_uo""),7,FALSE)
,
)
))"),"#N/A")</f>
        <v>#N/A</v>
      </c>
      <c r="J1392" s="7" t="s">
        <v>31</v>
      </c>
    </row>
    <row r="1393" spans="1:10" ht="13.2">
      <c r="A1393" s="7">
        <v>1392</v>
      </c>
      <c r="B1393" s="7">
        <v>1</v>
      </c>
      <c r="C1393" s="7" t="s">
        <v>10</v>
      </c>
      <c r="D1393" s="7">
        <v>439</v>
      </c>
      <c r="E1393" s="7" t="s">
        <v>41</v>
      </c>
      <c r="F1393" s="8" t="str">
        <f ca="1">IFERROR(__xludf.DUMMYFUNCTION("IF
(
C1394=""фізична особа""
,
VLOOKUP(D1394,IMPORTRANGE(""https://docs.google.com/spreadsheets/d/14Bd19lYaqBhU8_DElYkX7l4wRkHqqCUFNJY4AfY3kHU/edit?usp=sharing  #gid=0"",""фіз особи new!relations_name""),6,FALSE)
,
(IF
(
C1394=""юридична особа""
,
VLOOKUP"&amp;"(D1394,IMPORTRANGE(""https://docs.google.com/spreadsheets/d/14Bd19lYaqBhU8_DElYkX7l4wRkHqqCUFNJY4AfY3kHU/edit?usp=sharing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3" s="7" t="s">
        <v>10</v>
      </c>
      <c r="H1393" s="7">
        <v>2509</v>
      </c>
      <c r="I1393" s="8" t="str">
        <f ca="1">IFERROR(__xludf.DUMMYFUNCTION("IF
(
G1394=""фізична особа""
,
VLOOKUP(H1394,IMPORTRANGE(""https://docs.google.com/spreadsheets/d/14Bd19lYaqBhU8_DElYkX7l4wRkHqqCUFNJY4AfY3kHU/edit?usp=sharing  #gid=0"",""фіз особи new!relations_name""),6,FALSE)
,
(IF
(
G1394=""юридична особа""
,
VLOOKUP"&amp;"(H1394,IMPORTRANGE(""https://docs.google.com/spreadsheets/d/14Bd19lYaqBhU8_DElYkX7l4wRkHqqCUFNJY4AfY3kHU/edit?usp=sharing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J1393" s="7" t="s">
        <v>40</v>
      </c>
    </row>
    <row r="1394" spans="1:10" ht="13.2">
      <c r="A1394" s="7">
        <v>1393</v>
      </c>
      <c r="B1394" s="7">
        <v>1</v>
      </c>
      <c r="C1394" s="7" t="s">
        <v>10</v>
      </c>
      <c r="D1394" s="7">
        <v>439</v>
      </c>
      <c r="E1394" s="7" t="s">
        <v>29</v>
      </c>
      <c r="F1394" s="8" t="str">
        <f ca="1">IFERROR(__xludf.DUMMYFUNCTION("IF
(
C1395=""фізична особа""
,
VLOOKUP(D1395,IMPORTRANGE(""https://docs.google.com/spreadsheets/d/14Bd19lYaqBhU8_DElYkX7l4wRkHqqCUFNJY4AfY3kHU/edit?usp=sharing  #gid=0"",""фіз особи new!relations_name""),6,FALSE)
,
(IF
(
C1395=""юридична особа""
,
VLOOKUP"&amp;"(D1395,IMPORTRANGE(""https://docs.google.com/spreadsheets/d/14Bd19lYaqBhU8_DElYkX7l4wRkHqqCUFNJY4AfY3kHU/edit?usp=sharing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4" s="7" t="s">
        <v>10</v>
      </c>
      <c r="H1394" s="7">
        <v>4906</v>
      </c>
      <c r="I1394" s="8" t="str">
        <f ca="1">IFERROR(__xludf.DUMMYFUNCTION("IF
(
G1395=""фізична особа""
,
VLOOKUP(H1395,IMPORTRANGE(""https://docs.google.com/spreadsheets/d/14Bd19lYaqBhU8_DElYkX7l4wRkHqqCUFNJY4AfY3kHU/edit?usp=sharing  #gid=0"",""фіз особи new!relations_name""),6,FALSE)
,
(IF
(
G1395=""юридична особа""
,
VLOOKUP"&amp;"(H1395,IMPORTRANGE(""https://docs.google.com/spreadsheets/d/14Bd19lYaqBhU8_DElYkX7l4wRkHqqCUFNJY4AfY3kHU/edit?usp=sharing  #gid=0"",""фіз особи new!relations_name_uo""),7,FALSE)
,
)
))"),"КАГРАМАНЯН Ігор Миколайович")</f>
        <v>КАГРАМАНЯН Ігор Миколайович</v>
      </c>
      <c r="J1394" s="7" t="s">
        <v>28</v>
      </c>
    </row>
    <row r="1395" spans="1:10" ht="13.2">
      <c r="A1395" s="7">
        <v>1394</v>
      </c>
      <c r="B1395" s="7">
        <v>1</v>
      </c>
      <c r="C1395" s="7" t="s">
        <v>10</v>
      </c>
      <c r="D1395" s="7">
        <v>439</v>
      </c>
      <c r="E1395" s="7" t="s">
        <v>29</v>
      </c>
      <c r="F1395" s="8" t="str">
        <f ca="1">IFERROR(__xludf.DUMMYFUNCTION("IF
(
C1396=""фізична особа""
,
VLOOKUP(D1396,IMPORTRANGE(""https://docs.google.com/spreadsheets/d/14Bd19lYaqBhU8_DElYkX7l4wRkHqqCUFNJY4AfY3kHU/edit?usp=sharing  #gid=0"",""фіз особи new!relations_name""),6,FALSE)
,
(IF
(
C1396=""юридична особа""
,
VLOOKUP"&amp;"(D1396,IMPORTRANGE(""https://docs.google.com/spreadsheets/d/14Bd19lYaqBhU8_DElYkX7l4wRkHqqCUFNJY4AfY3kHU/edit?usp=sharing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5" s="7" t="s">
        <v>10</v>
      </c>
      <c r="H1395" s="7">
        <v>2434</v>
      </c>
      <c r="I1395" s="8" t="str">
        <f ca="1">IFERROR(__xludf.DUMMYFUNCTION("IF
(
G1396=""фізична особа""
,
VLOOKUP(H1396,IMPORTRANGE(""https://docs.google.com/spreadsheets/d/14Bd19lYaqBhU8_DElYkX7l4wRkHqqCUFNJY4AfY3kHU/edit?usp=sharing  #gid=0"",""фіз особи new!relations_name""),6,FALSE)
,
(IF
(
G1396=""юридична особа""
,
VLOOKUP"&amp;"(H1396,IMPORTRANGE(""https://docs.google.com/spreadsheets/d/14Bd19lYaqBhU8_DElYkX7l4wRkHqqCUFNJY4AfY3kHU/edit?usp=sharing  #gid=0"",""фіз особи new!relations_name_uo""),7,FALSE)
,
)
))"),"ГЛАГОЛЄВ Сергій Володимирович")</f>
        <v>ГЛАГОЛЄВ Сергій Володимирович</v>
      </c>
      <c r="J1395" s="7" t="s">
        <v>28</v>
      </c>
    </row>
    <row r="1396" spans="1:10" ht="13.2">
      <c r="A1396" s="7">
        <v>1395</v>
      </c>
      <c r="B1396" s="7">
        <v>1</v>
      </c>
      <c r="C1396" s="7" t="s">
        <v>10</v>
      </c>
      <c r="D1396" s="7">
        <v>439</v>
      </c>
      <c r="E1396" s="7" t="s">
        <v>29</v>
      </c>
      <c r="F1396" s="8" t="str">
        <f ca="1">IFERROR(__xludf.DUMMYFUNCTION("IF
(
C1397=""фізична особа""
,
VLOOKUP(D1397,IMPORTRANGE(""https://docs.google.com/spreadsheets/d/14Bd19lYaqBhU8_DElYkX7l4wRkHqqCUFNJY4AfY3kHU/edit?usp=sharing  #gid=0"",""фіз особи new!relations_name""),6,FALSE)
,
(IF
(
C1397=""юридична особа""
,
VLOOKUP"&amp;"(D1397,IMPORTRANGE(""https://docs.google.com/spreadsheets/d/14Bd19lYaqBhU8_DElYkX7l4wRkHqqCUFNJY4AfY3kHU/edit?usp=sharing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6" s="7" t="s">
        <v>10</v>
      </c>
      <c r="H1396" s="7">
        <v>2429</v>
      </c>
      <c r="I1396" s="8" t="str">
        <f ca="1">IFERROR(__xludf.DUMMYFUNCTION("IF
(
G1397=""фізична особа""
,
VLOOKUP(H1397,IMPORTRANGE(""https://docs.google.com/spreadsheets/d/14Bd19lYaqBhU8_DElYkX7l4wRkHqqCUFNJY4AfY3kHU/edit?usp=sharing  #gid=0"",""фіз особи new!relations_name""),6,FALSE)
,
(IF
(
G1397=""юридична особа""
,
VLOOKUP"&amp;"(H1397,IMPORTRANGE(""https://docs.google.com/spreadsheets/d/14Bd19lYaqBhU8_DElYkX7l4wRkHqqCUFNJY4AfY3kHU/edit?usp=sharing  #gid=0"",""фіз особи new!relations_name_uo""),7,FALSE)
,
)
))"),"СЕМЕНОВА Тетяна Володимирівна")</f>
        <v>СЕМЕНОВА Тетяна Володимирівна</v>
      </c>
      <c r="J1396" s="7" t="s">
        <v>28</v>
      </c>
    </row>
    <row r="1397" spans="1:10" ht="13.2">
      <c r="A1397" s="7">
        <v>1396</v>
      </c>
      <c r="B1397" s="7">
        <v>1</v>
      </c>
      <c r="C1397" s="7" t="s">
        <v>10</v>
      </c>
      <c r="D1397" s="7">
        <v>439</v>
      </c>
      <c r="E1397" s="7" t="s">
        <v>41</v>
      </c>
      <c r="F1397" s="8" t="str">
        <f ca="1">IFERROR(__xludf.DUMMYFUNCTION("IF
(
C1398=""фізична особа""
,
VLOOKUP(D1398,IMPORTRANGE(""https://docs.google.com/spreadsheets/d/14Bd19lYaqBhU8_DElYkX7l4wRkHqqCUFNJY4AfY3kHU/edit?usp=sharing  #gid=0"",""фіз особи new!relations_name""),6,FALSE)
,
(IF
(
C1398=""юридична особа""
,
VLOOKUP"&amp;"(D1398,IMPORTRANGE(""https://docs.google.com/spreadsheets/d/14Bd19lYaqBhU8_DElYkX7l4wRkHqqCUFNJY4AfY3kHU/edit?usp=sharing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7" s="7" t="s">
        <v>10</v>
      </c>
      <c r="H1397" s="7">
        <v>0</v>
      </c>
      <c r="I1397" s="8" t="str">
        <f ca="1">IFERROR(__xludf.DUMMYFUNCTION("IF
(
G1398=""фізична особа""
,
VLOOKUP(H1398,IMPORTRANGE(""https://docs.google.com/spreadsheets/d/14Bd19lYaqBhU8_DElYkX7l4wRkHqqCUFNJY4AfY3kHU/edit?usp=sharing  #gid=0"",""фіз особи new!relations_name""),6,FALSE)
,
(IF
(
G1398=""юридична особа""
,
VLOOKUP"&amp;"(H1398,IMPORTRANGE(""https://docs.google.com/spreadsheets/d/14Bd19lYaqBhU8_DElYkX7l4wRkHqqCUFNJY4AfY3kHU/edit?usp=sharing  #gid=0"",""фіз особи new!relations_name_uo""),7,FALSE)
,
)
))"),"#N/A")</f>
        <v>#N/A</v>
      </c>
      <c r="J1397" s="7" t="s">
        <v>40</v>
      </c>
    </row>
    <row r="1398" spans="1:10" ht="13.2">
      <c r="A1398" s="7">
        <v>1397</v>
      </c>
      <c r="B1398" s="7">
        <v>1</v>
      </c>
      <c r="C1398" s="7" t="s">
        <v>10</v>
      </c>
      <c r="D1398" s="7">
        <v>439</v>
      </c>
      <c r="E1398" s="7" t="s">
        <v>29</v>
      </c>
      <c r="F1398" s="8" t="str">
        <f ca="1">IFERROR(__xludf.DUMMYFUNCTION("IF
(
C1399=""фізична особа""
,
VLOOKUP(D1399,IMPORTRANGE(""https://docs.google.com/spreadsheets/d/14Bd19lYaqBhU8_DElYkX7l4wRkHqqCUFNJY4AfY3kHU/edit?usp=sharing  #gid=0"",""фіз особи new!relations_name""),6,FALSE)
,
(IF
(
C1399=""юридична особа""
,
VLOOKUP"&amp;"(D1399,IMPORTRANGE(""https://docs.google.com/spreadsheets/d/14Bd19lYaqBhU8_DElYkX7l4wRkHqqCUFNJY4AfY3kHU/edit?usp=sharing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8" s="7" t="s">
        <v>10</v>
      </c>
      <c r="H1398" s="7">
        <v>2433</v>
      </c>
      <c r="I1398" s="8" t="str">
        <f ca="1">IFERROR(__xludf.DUMMYFUNCTION("IF
(
G1399=""фізична особа""
,
VLOOKUP(H1399,IMPORTRANGE(""https://docs.google.com/spreadsheets/d/14Bd19lYaqBhU8_DElYkX7l4wRkHqqCUFNJY4AfY3kHU/edit?usp=sharing  #gid=0"",""фіз особи new!relations_name""),6,FALSE)
,
(IF
(
G1399=""юридична особа""
,
VLOOKUP"&amp;"(H1399,IMPORTRANGE(""https://docs.google.com/spreadsheets/d/14Bd19lYaqBhU8_DElYkX7l4wRkHqqCUFNJY4AfY3kHU/edit?usp=sharing  #gid=0"",""фіз особи new!relations_name_uo""),7,FALSE)
,
)
))"),"КАМКІН Євген Геннадійович")</f>
        <v>КАМКІН Євген Геннадійович</v>
      </c>
      <c r="J1398" s="7" t="s">
        <v>28</v>
      </c>
    </row>
    <row r="1399" spans="1:10" ht="13.2">
      <c r="A1399" s="7">
        <v>1398</v>
      </c>
      <c r="B1399" s="7">
        <v>1</v>
      </c>
      <c r="C1399" s="7" t="s">
        <v>10</v>
      </c>
      <c r="D1399" s="7">
        <v>439</v>
      </c>
      <c r="E1399" s="7" t="s">
        <v>29</v>
      </c>
      <c r="F1399" s="8" t="str">
        <f ca="1">IFERROR(__xludf.DUMMYFUNCTION("IF
(
C1400=""фізична особа""
,
VLOOKUP(D1400,IMPORTRANGE(""https://docs.google.com/spreadsheets/d/14Bd19lYaqBhU8_DElYkX7l4wRkHqqCUFNJY4AfY3kHU/edit?usp=sharing  #gid=0"",""фіз особи new!relations_name""),6,FALSE)
,
(IF
(
C1400=""юридична особа""
,
VLOOKUP"&amp;"(D1400,IMPORTRANGE(""https://docs.google.com/spreadsheets/d/14Bd19lYaqBhU8_DElYkX7l4wRkHqqCUFNJY4AfY3kHU/edit?usp=sharing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399" s="7" t="s">
        <v>10</v>
      </c>
      <c r="H1399" s="7">
        <v>2430</v>
      </c>
      <c r="I1399" s="8" t="str">
        <f ca="1">IFERROR(__xludf.DUMMYFUNCTION("IF
(
G1400=""фізична особа""
,
VLOOKUP(H1400,IMPORTRANGE(""https://docs.google.com/spreadsheets/d/14Bd19lYaqBhU8_DElYkX7l4wRkHqqCUFNJY4AfY3kHU/edit?usp=sharing  #gid=0"",""фіз особи new!relations_name""),6,FALSE)
,
(IF
(
G1400=""юридична особа""
,
VLOOKUP"&amp;"(H1400,IMPORTRANGE(""https://docs.google.com/spreadsheets/d/14Bd19lYaqBhU8_DElYkX7l4wRkHqqCUFNJY4AfY3kHU/edit?usp=sharing  #gid=0"",""фіз особи new!relations_name_uo""),7,FALSE)
,
)
))"),"ПУГАЧОВ Павло Сергійович")</f>
        <v>ПУГАЧОВ Павло Сергійович</v>
      </c>
      <c r="J1399" s="7" t="s">
        <v>28</v>
      </c>
    </row>
    <row r="1400" spans="1:10" ht="13.2">
      <c r="A1400" s="7">
        <v>1399</v>
      </c>
      <c r="B1400" s="7">
        <v>1</v>
      </c>
      <c r="C1400" s="7" t="s">
        <v>10</v>
      </c>
      <c r="D1400" s="7">
        <v>439</v>
      </c>
      <c r="E1400" s="7" t="s">
        <v>29</v>
      </c>
      <c r="F1400" s="8" t="str">
        <f ca="1">IFERROR(__xludf.DUMMYFUNCTION("IF
(
C1401=""фізична особа""
,
VLOOKUP(D1401,IMPORTRANGE(""https://docs.google.com/spreadsheets/d/14Bd19lYaqBhU8_DElYkX7l4wRkHqqCUFNJY4AfY3kHU/edit?usp=sharing  #gid=0"",""фіз особи new!relations_name""),6,FALSE)
,
(IF
(
C1401=""юридична особа""
,
VLOOKUP"&amp;"(D1401,IMPORTRANGE(""https://docs.google.com/spreadsheets/d/14Bd19lYaqBhU8_DElYkX7l4wRkHqqCUFNJY4AfY3kHU/edit?usp=sharing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0" s="7" t="s">
        <v>10</v>
      </c>
      <c r="H1400" s="7">
        <v>2431</v>
      </c>
      <c r="I1400" s="8" t="str">
        <f ca="1">IFERROR(__xludf.DUMMYFUNCTION("IF
(
G1401=""фізична особа""
,
VLOOKUP(H1401,IMPORTRANGE(""https://docs.google.com/spreadsheets/d/14Bd19lYaqBhU8_DElYkX7l4wRkHqqCUFNJY4AfY3kHU/edit?usp=sharing  #gid=0"",""фіз особи new!relations_name""),6,FALSE)
,
(IF
(
G1401=""юридична особа""
,
VLOOKUP"&amp;"(H1401,IMPORTRANGE(""https://docs.google.com/spreadsheets/d/14Bd19lYaqBhU8_DElYkX7l4wRkHqqCUFNJY4AfY3kHU/edit?usp=sharing  #gid=0"",""фіз особи new!relations_name_uo""),7,FALSE)
,
)
))"),"ХОРОВА Наталія Олександрівна")</f>
        <v>ХОРОВА Наталія Олександрівна</v>
      </c>
      <c r="J1400" s="7" t="s">
        <v>28</v>
      </c>
    </row>
    <row r="1401" spans="1:10" ht="13.2">
      <c r="A1401" s="7">
        <v>1400</v>
      </c>
      <c r="B1401" s="7">
        <v>1</v>
      </c>
      <c r="C1401" s="7" t="s">
        <v>10</v>
      </c>
      <c r="D1401" s="7">
        <v>439</v>
      </c>
      <c r="E1401" s="7" t="s">
        <v>29</v>
      </c>
      <c r="F1401" s="8" t="str">
        <f ca="1">IFERROR(__xludf.DUMMYFUNCTION("IF
(
C1402=""фізична особа""
,
VLOOKUP(D1402,IMPORTRANGE(""https://docs.google.com/spreadsheets/d/14Bd19lYaqBhU8_DElYkX7l4wRkHqqCUFNJY4AfY3kHU/edit?usp=sharing  #gid=0"",""фіз особи new!relations_name""),6,FALSE)
,
(IF
(
C1402=""юридична особа""
,
VLOOKUP"&amp;"(D1402,IMPORTRANGE(""https://docs.google.com/spreadsheets/d/14Bd19lYaqBhU8_DElYkX7l4wRkHqqCUFNJY4AfY3kHU/edit?usp=sharing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1" s="7" t="s">
        <v>10</v>
      </c>
      <c r="H1401" s="7">
        <v>2435</v>
      </c>
      <c r="I1401" s="8" t="str">
        <f ca="1">IFERROR(__xludf.DUMMYFUNCTION("IF
(
G1402=""фізична особа""
,
VLOOKUP(H1402,IMPORTRANGE(""https://docs.google.com/spreadsheets/d/14Bd19lYaqBhU8_DElYkX7l4wRkHqqCUFNJY4AfY3kHU/edit?usp=sharing  #gid=0"",""фіз особи new!relations_name""),6,FALSE)
,
(IF
(
G1402=""юридична особа""
,
VLOOKUP"&amp;"(H1402,IMPORTRANGE(""https://docs.google.com/spreadsheets/d/14Bd19lYaqBhU8_DElYkX7l4wRkHqqCUFNJY4AfY3kHU/edit?usp=sharing  #gid=0"",""фіз особи new!relations_name_uo""),7,FALSE)
,
)
))"),"САЛАГАЙ Олег Олегович")</f>
        <v>САЛАГАЙ Олег Олегович</v>
      </c>
      <c r="J1401" s="7" t="s">
        <v>28</v>
      </c>
    </row>
    <row r="1402" spans="1:10" ht="13.2">
      <c r="A1402" s="7">
        <v>1401</v>
      </c>
      <c r="B1402" s="7">
        <v>1</v>
      </c>
      <c r="C1402" s="7" t="s">
        <v>10</v>
      </c>
      <c r="D1402" s="7">
        <v>439</v>
      </c>
      <c r="E1402" s="7" t="s">
        <v>41</v>
      </c>
      <c r="F1402" s="8" t="str">
        <f ca="1">IFERROR(__xludf.DUMMYFUNCTION("IF
(
C1403=""фізична особа""
,
VLOOKUP(D1403,IMPORTRANGE(""https://docs.google.com/spreadsheets/d/14Bd19lYaqBhU8_DElYkX7l4wRkHqqCUFNJY4AfY3kHU/edit?usp=sharing  #gid=0"",""фіз особи new!relations_name""),6,FALSE)
,
(IF
(
C1403=""юридична особа""
,
VLOOKUP"&amp;"(D1403,IMPORTRANGE(""https://docs.google.com/spreadsheets/d/14Bd19lYaqBhU8_DElYkX7l4wRkHqqCUFNJY4AfY3kHU/edit?usp=sharing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2" s="7" t="s">
        <v>10</v>
      </c>
      <c r="H1402" s="7">
        <v>0</v>
      </c>
      <c r="I1402" s="8" t="str">
        <f ca="1">IFERROR(__xludf.DUMMYFUNCTION("IF
(
G1403=""фізична особа""
,
VLOOKUP(H1403,IMPORTRANGE(""https://docs.google.com/spreadsheets/d/14Bd19lYaqBhU8_DElYkX7l4wRkHqqCUFNJY4AfY3kHU/edit?usp=sharing  #gid=0"",""фіз особи new!relations_name""),6,FALSE)
,
(IF
(
G1403=""юридична особа""
,
VLOOKUP"&amp;"(H1403,IMPORTRANGE(""https://docs.google.com/spreadsheets/d/14Bd19lYaqBhU8_DElYkX7l4wRkHqqCUFNJY4AfY3kHU/edit?usp=sharing  #gid=0"",""фіз особи new!relations_name_uo""),7,FALSE)
,
)
))"),"#N/A")</f>
        <v>#N/A</v>
      </c>
      <c r="J1402" s="7" t="s">
        <v>40</v>
      </c>
    </row>
    <row r="1403" spans="1:10" ht="13.2">
      <c r="A1403" s="7">
        <v>1402</v>
      </c>
      <c r="B1403" s="7">
        <v>1</v>
      </c>
      <c r="C1403" s="7" t="s">
        <v>10</v>
      </c>
      <c r="D1403" s="7">
        <v>439</v>
      </c>
      <c r="E1403" s="7" t="s">
        <v>29</v>
      </c>
      <c r="F1403" s="8" t="str">
        <f ca="1">IFERROR(__xludf.DUMMYFUNCTION("IF
(
C1404=""фізична особа""
,
VLOOKUP(D1404,IMPORTRANGE(""https://docs.google.com/spreadsheets/d/14Bd19lYaqBhU8_DElYkX7l4wRkHqqCUFNJY4AfY3kHU/edit?usp=sharing  #gid=0"",""фіз особи new!relations_name""),6,FALSE)
,
(IF
(
C1404=""юридична особа""
,
VLOOKUP"&amp;"(D1404,IMPORTRANGE(""https://docs.google.com/spreadsheets/d/14Bd19lYaqBhU8_DElYkX7l4wRkHqqCUFNJY4AfY3kHU/edit?usp=sharing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3" s="7" t="s">
        <v>10</v>
      </c>
      <c r="H1403" s="7">
        <v>2428</v>
      </c>
      <c r="I1403" s="8" t="str">
        <f ca="1">IFERROR(__xludf.DUMMYFUNCTION("IF
(
G1404=""фізична особа""
,
VLOOKUP(H1404,IMPORTRANGE(""https://docs.google.com/spreadsheets/d/14Bd19lYaqBhU8_DElYkX7l4wRkHqqCUFNJY4AfY3kHU/edit?usp=sharing  #gid=0"",""фіз особи new!relations_name""),6,FALSE)
,
(IF
(
G1404=""юридична особа""
,
VLOOKUP"&amp;"(H1404,IMPORTRANGE(""https://docs.google.com/spreadsheets/d/14Bd19lYaqBhU8_DElYkX7l4wRkHqqCUFNJY4AfY3kHU/edit?usp=sharing  #gid=0"",""фіз особи new!relations_name_uo""),7,FALSE)
,
)
))"),"ДРОНОВА Олександра Вікторівна")</f>
        <v>ДРОНОВА Олександра Вікторівна</v>
      </c>
      <c r="J1403" s="7" t="s">
        <v>28</v>
      </c>
    </row>
    <row r="1404" spans="1:10" ht="13.2">
      <c r="A1404" s="7">
        <v>1403</v>
      </c>
      <c r="B1404" s="7">
        <v>1</v>
      </c>
      <c r="C1404" s="7" t="s">
        <v>10</v>
      </c>
      <c r="D1404" s="7">
        <v>439</v>
      </c>
      <c r="E1404" s="7" t="s">
        <v>29</v>
      </c>
      <c r="F1404" s="8" t="str">
        <f ca="1">IFERROR(__xludf.DUMMYFUNCTION("IF
(
C1405=""фізична особа""
,
VLOOKUP(D1405,IMPORTRANGE(""https://docs.google.com/spreadsheets/d/14Bd19lYaqBhU8_DElYkX7l4wRkHqqCUFNJY4AfY3kHU/edit?usp=sharing  #gid=0"",""фіз особи new!relations_name""),6,FALSE)
,
(IF
(
C1405=""юридична особа""
,
VLOOKUP"&amp;"(D1405,IMPORTRANGE(""https://docs.google.com/spreadsheets/d/14Bd19lYaqBhU8_DElYkX7l4wRkHqqCUFNJY4AfY3kHU/edit?usp=sharing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4" s="7" t="s">
        <v>10</v>
      </c>
      <c r="H1404" s="7">
        <v>2426</v>
      </c>
      <c r="I1404" s="8" t="str">
        <f ca="1">IFERROR(__xludf.DUMMYFUNCTION("IF
(
G1405=""фізична особа""
,
VLOOKUP(H1405,IMPORTRANGE(""https://docs.google.com/spreadsheets/d/14Bd19lYaqBhU8_DElYkX7l4wRkHqqCUFNJY4AfY3kHU/edit?usp=sharing  #gid=0"",""фіз особи new!relations_name""),6,FALSE)
,
(IF
(
G1405=""юридична особа""
,
VLOOKUP"&amp;"(H1405,IMPORTRANGE(""https://docs.google.com/spreadsheets/d/14Bd19lYaqBhU8_DElYkX7l4wRkHqqCUFNJY4AfY3kHU/edit?usp=sharing  #gid=0"",""фіз особи new!relations_name_uo""),7,FALSE)
,
)
))"),"ФІСЕНКО Віктор Сергійович")</f>
        <v>ФІСЕНКО Віктор Сергійович</v>
      </c>
      <c r="J1404" s="7" t="s">
        <v>28</v>
      </c>
    </row>
    <row r="1405" spans="1:10" ht="13.2">
      <c r="A1405" s="7">
        <v>1404</v>
      </c>
      <c r="B1405" s="7">
        <v>1</v>
      </c>
      <c r="C1405" s="7" t="s">
        <v>10</v>
      </c>
      <c r="D1405" s="7">
        <v>439</v>
      </c>
      <c r="E1405" s="7" t="s">
        <v>29</v>
      </c>
      <c r="F1405" s="8" t="str">
        <f ca="1">IFERROR(__xludf.DUMMYFUNCTION("IF
(
C1406=""фізична особа""
,
VLOOKUP(D1406,IMPORTRANGE(""https://docs.google.com/spreadsheets/d/14Bd19lYaqBhU8_DElYkX7l4wRkHqqCUFNJY4AfY3kHU/edit?usp=sharing  #gid=0"",""фіз особи new!relations_name""),6,FALSE)
,
(IF
(
C1406=""юридична особа""
,
VLOOKUP"&amp;"(D1406,IMPORTRANGE(""https://docs.google.com/spreadsheets/d/14Bd19lYaqBhU8_DElYkX7l4wRkHqqCUFNJY4AfY3kHU/edit?usp=sharing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5" s="7" t="s">
        <v>10</v>
      </c>
      <c r="H1405" s="7">
        <v>0</v>
      </c>
      <c r="I1405" s="8" t="str">
        <f ca="1">IFERROR(__xludf.DUMMYFUNCTION("IF
(
G1406=""фізична особа""
,
VLOOKUP(H1406,IMPORTRANGE(""https://docs.google.com/spreadsheets/d/14Bd19lYaqBhU8_DElYkX7l4wRkHqqCUFNJY4AfY3kHU/edit?usp=sharing  #gid=0"",""фіз особи new!relations_name""),6,FALSE)
,
(IF
(
G1406=""юридична особа""
,
VLOOKUP"&amp;"(H1406,IMPORTRANGE(""https://docs.google.com/spreadsheets/d/14Bd19lYaqBhU8_DElYkX7l4wRkHqqCUFNJY4AfY3kHU/edit?usp=sharing  #gid=0"",""фіз особи new!relations_name_uo""),7,FALSE)
,
)
))"),"#N/A")</f>
        <v>#N/A</v>
      </c>
      <c r="J1405" s="7" t="s">
        <v>28</v>
      </c>
    </row>
    <row r="1406" spans="1:10" ht="13.2">
      <c r="A1406" s="7">
        <v>1405</v>
      </c>
      <c r="B1406" s="7">
        <v>1</v>
      </c>
      <c r="C1406" s="7" t="s">
        <v>10</v>
      </c>
      <c r="D1406" s="7">
        <v>439</v>
      </c>
      <c r="E1406" s="7" t="s">
        <v>29</v>
      </c>
      <c r="F1406" s="8" t="str">
        <f ca="1">IFERROR(__xludf.DUMMYFUNCTION("IF
(
C1407=""фізична особа""
,
VLOOKUP(D1407,IMPORTRANGE(""https://docs.google.com/spreadsheets/d/14Bd19lYaqBhU8_DElYkX7l4wRkHqqCUFNJY4AfY3kHU/edit?usp=sharing  #gid=0"",""фіз особи new!relations_name""),6,FALSE)
,
(IF
(
C1407=""юридична особа""
,
VLOOKUP"&amp;"(D1407,IMPORTRANGE(""https://docs.google.com/spreadsheets/d/14Bd19lYaqBhU8_DElYkX7l4wRkHqqCUFNJY4AfY3kHU/edit?usp=sharing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6" s="7" t="s">
        <v>10</v>
      </c>
      <c r="H1406" s="7">
        <v>0</v>
      </c>
      <c r="I1406" s="8" t="str">
        <f ca="1">IFERROR(__xludf.DUMMYFUNCTION("IF
(
G1407=""фізична особа""
,
VLOOKUP(H1407,IMPORTRANGE(""https://docs.google.com/spreadsheets/d/14Bd19lYaqBhU8_DElYkX7l4wRkHqqCUFNJY4AfY3kHU/edit?usp=sharing  #gid=0"",""фіз особи new!relations_name""),6,FALSE)
,
(IF
(
G1407=""юридична особа""
,
VLOOKUP"&amp;"(H1407,IMPORTRANGE(""https://docs.google.com/spreadsheets/d/14Bd19lYaqBhU8_DElYkX7l4wRkHqqCUFNJY4AfY3kHU/edit?usp=sharing  #gid=0"",""фіз особи new!relations_name_uo""),7,FALSE)
,
)
))"),"#N/A")</f>
        <v>#N/A</v>
      </c>
      <c r="J1406" s="7" t="s">
        <v>28</v>
      </c>
    </row>
    <row r="1407" spans="1:10" ht="13.2">
      <c r="A1407" s="7">
        <v>1406</v>
      </c>
      <c r="B1407" s="7">
        <v>1</v>
      </c>
      <c r="C1407" s="7" t="s">
        <v>10</v>
      </c>
      <c r="D1407" s="7">
        <v>439</v>
      </c>
      <c r="E1407" s="7" t="s">
        <v>29</v>
      </c>
      <c r="F1407" s="8" t="str">
        <f ca="1">IFERROR(__xludf.DUMMYFUNCTION("IF
(
C1408=""фізична особа""
,
VLOOKUP(D1408,IMPORTRANGE(""https://docs.google.com/spreadsheets/d/14Bd19lYaqBhU8_DElYkX7l4wRkHqqCUFNJY4AfY3kHU/edit?usp=sharing  #gid=0"",""фіз особи new!relations_name""),6,FALSE)
,
(IF
(
C1408=""юридична особа""
,
VLOOKUP"&amp;"(D1408,IMPORTRANGE(""https://docs.google.com/spreadsheets/d/14Bd19lYaqBhU8_DElYkX7l4wRkHqqCUFNJY4AfY3kHU/edit?usp=sharing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7" s="7" t="s">
        <v>10</v>
      </c>
      <c r="H1407" s="7">
        <v>0</v>
      </c>
      <c r="I1407" s="8" t="str">
        <f ca="1">IFERROR(__xludf.DUMMYFUNCTION("IF
(
G1408=""фізична особа""
,
VLOOKUP(H1408,IMPORTRANGE(""https://docs.google.com/spreadsheets/d/14Bd19lYaqBhU8_DElYkX7l4wRkHqqCUFNJY4AfY3kHU/edit?usp=sharing  #gid=0"",""фіз особи new!relations_name""),6,FALSE)
,
(IF
(
G1408=""юридична особа""
,
VLOOKUP"&amp;"(H1408,IMPORTRANGE(""https://docs.google.com/spreadsheets/d/14Bd19lYaqBhU8_DElYkX7l4wRkHqqCUFNJY4AfY3kHU/edit?usp=sharing  #gid=0"",""фіз особи new!relations_name_uo""),7,FALSE)
,
)
))"),"#N/A")</f>
        <v>#N/A</v>
      </c>
      <c r="J1407" s="7" t="s">
        <v>28</v>
      </c>
    </row>
    <row r="1408" spans="1:10" ht="13.2">
      <c r="A1408" s="7">
        <v>1407</v>
      </c>
      <c r="B1408" s="7">
        <v>1</v>
      </c>
      <c r="C1408" s="7" t="s">
        <v>10</v>
      </c>
      <c r="D1408" s="7">
        <v>439</v>
      </c>
      <c r="E1408" s="7" t="s">
        <v>29</v>
      </c>
      <c r="F1408" s="8" t="str">
        <f ca="1">IFERROR(__xludf.DUMMYFUNCTION("IF
(
C1409=""фізична особа""
,
VLOOKUP(D1409,IMPORTRANGE(""https://docs.google.com/spreadsheets/d/14Bd19lYaqBhU8_DElYkX7l4wRkHqqCUFNJY4AfY3kHU/edit?usp=sharing  #gid=0"",""фіз особи new!relations_name""),6,FALSE)
,
(IF
(
C1409=""юридична особа""
,
VLOOKUP"&amp;"(D1409,IMPORTRANGE(""https://docs.google.com/spreadsheets/d/14Bd19lYaqBhU8_DElYkX7l4wRkHqqCUFNJY4AfY3kHU/edit?usp=sharing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8" s="7" t="s">
        <v>10</v>
      </c>
      <c r="H1408" s="7">
        <v>0</v>
      </c>
      <c r="I1408" s="8" t="str">
        <f ca="1">IFERROR(__xludf.DUMMYFUNCTION("IF
(
G1409=""фізична особа""
,
VLOOKUP(H1409,IMPORTRANGE(""https://docs.google.com/spreadsheets/d/14Bd19lYaqBhU8_DElYkX7l4wRkHqqCUFNJY4AfY3kHU/edit?usp=sharing  #gid=0"",""фіз особи new!relations_name""),6,FALSE)
,
(IF
(
G1409=""юридична особа""
,
VLOOKUP"&amp;"(H1409,IMPORTRANGE(""https://docs.google.com/spreadsheets/d/14Bd19lYaqBhU8_DElYkX7l4wRkHqqCUFNJY4AfY3kHU/edit?usp=sharing  #gid=0"",""фіз особи new!relations_name_uo""),7,FALSE)
,
)
))"),"#N/A")</f>
        <v>#N/A</v>
      </c>
      <c r="J1408" s="7" t="s">
        <v>28</v>
      </c>
    </row>
    <row r="1409" spans="1:10" ht="13.2">
      <c r="A1409" s="7">
        <v>1408</v>
      </c>
      <c r="B1409" s="7">
        <v>1</v>
      </c>
      <c r="C1409" s="7" t="s">
        <v>10</v>
      </c>
      <c r="D1409" s="7">
        <v>439</v>
      </c>
      <c r="E1409" s="7" t="s">
        <v>29</v>
      </c>
      <c r="F1409" s="8" t="str">
        <f ca="1">IFERROR(__xludf.DUMMYFUNCTION("IF
(
C1410=""фізична особа""
,
VLOOKUP(D1410,IMPORTRANGE(""https://docs.google.com/spreadsheets/d/14Bd19lYaqBhU8_DElYkX7l4wRkHqqCUFNJY4AfY3kHU/edit?usp=sharing  #gid=0"",""фіз особи new!relations_name""),6,FALSE)
,
(IF
(
C1410=""юридична особа""
,
VLOOKUP"&amp;"(D1410,IMPORTRANGE(""https://docs.google.com/spreadsheets/d/14Bd19lYaqBhU8_DElYkX7l4wRkHqqCUFNJY4AfY3kHU/edit?usp=sharing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09" s="7" t="s">
        <v>10</v>
      </c>
      <c r="H1409" s="7">
        <v>0</v>
      </c>
      <c r="I1409" s="8" t="str">
        <f ca="1">IFERROR(__xludf.DUMMYFUNCTION("IF
(
G1410=""фізична особа""
,
VLOOKUP(H1410,IMPORTRANGE(""https://docs.google.com/spreadsheets/d/14Bd19lYaqBhU8_DElYkX7l4wRkHqqCUFNJY4AfY3kHU/edit?usp=sharing  #gid=0"",""фіз особи new!relations_name""),6,FALSE)
,
(IF
(
G1410=""юридична особа""
,
VLOOKUP"&amp;"(H1410,IMPORTRANGE(""https://docs.google.com/spreadsheets/d/14Bd19lYaqBhU8_DElYkX7l4wRkHqqCUFNJY4AfY3kHU/edit?usp=sharing  #gid=0"",""фіз особи new!relations_name_uo""),7,FALSE)
,
)
))"),"#N/A")</f>
        <v>#N/A</v>
      </c>
      <c r="J1409" s="7" t="s">
        <v>28</v>
      </c>
    </row>
    <row r="1410" spans="1:10" ht="13.2">
      <c r="A1410" s="7">
        <v>1409</v>
      </c>
      <c r="B1410" s="7">
        <v>1</v>
      </c>
      <c r="C1410" s="7" t="s">
        <v>10</v>
      </c>
      <c r="D1410" s="7">
        <v>439</v>
      </c>
      <c r="E1410" s="7" t="s">
        <v>29</v>
      </c>
      <c r="F1410" s="8" t="str">
        <f ca="1">IFERROR(__xludf.DUMMYFUNCTION("IF
(
C1411=""фізична особа""
,
VLOOKUP(D1411,IMPORTRANGE(""https://docs.google.com/spreadsheets/d/14Bd19lYaqBhU8_DElYkX7l4wRkHqqCUFNJY4AfY3kHU/edit?usp=sharing  #gid=0"",""фіз особи new!relations_name""),6,FALSE)
,
(IF
(
C1411=""юридична особа""
,
VLOOKUP"&amp;"(D1411,IMPORTRANGE(""https://docs.google.com/spreadsheets/d/14Bd19lYaqBhU8_DElYkX7l4wRkHqqCUFNJY4AfY3kHU/edit?usp=sharing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10" s="7" t="s">
        <v>10</v>
      </c>
      <c r="H1410" s="7">
        <v>0</v>
      </c>
      <c r="I1410" s="8" t="str">
        <f ca="1">IFERROR(__xludf.DUMMYFUNCTION("IF
(
G1411=""фізична особа""
,
VLOOKUP(H1411,IMPORTRANGE(""https://docs.google.com/spreadsheets/d/14Bd19lYaqBhU8_DElYkX7l4wRkHqqCUFNJY4AfY3kHU/edit?usp=sharing  #gid=0"",""фіз особи new!relations_name""),6,FALSE)
,
(IF
(
G1411=""юридична особа""
,
VLOOKUP"&amp;"(H1411,IMPORTRANGE(""https://docs.google.com/spreadsheets/d/14Bd19lYaqBhU8_DElYkX7l4wRkHqqCUFNJY4AfY3kHU/edit?usp=sharing  #gid=0"",""фіз особи new!relations_name_uo""),7,FALSE)
,
)
))"),"#N/A")</f>
        <v>#N/A</v>
      </c>
      <c r="J1410" s="7" t="s">
        <v>28</v>
      </c>
    </row>
    <row r="1411" spans="1:10" ht="13.2">
      <c r="A1411" s="7">
        <v>1410</v>
      </c>
      <c r="B1411" s="7">
        <v>1</v>
      </c>
      <c r="C1411" s="7" t="s">
        <v>10</v>
      </c>
      <c r="D1411" s="7">
        <v>439</v>
      </c>
      <c r="E1411" s="7" t="s">
        <v>29</v>
      </c>
      <c r="F1411" s="8" t="str">
        <f ca="1">IFERROR(__xludf.DUMMYFUNCTION("IF
(
C1412=""фізична особа""
,
VLOOKUP(D1412,IMPORTRANGE(""https://docs.google.com/spreadsheets/d/14Bd19lYaqBhU8_DElYkX7l4wRkHqqCUFNJY4AfY3kHU/edit?usp=sharing  #gid=0"",""фіз особи new!relations_name""),6,FALSE)
,
(IF
(
C1412=""юридична особа""
,
VLOOKUP"&amp;"(D1412,IMPORTRANGE(""https://docs.google.com/spreadsheets/d/14Bd19lYaqBhU8_DElYkX7l4wRkHqqCUFNJY4AfY3kHU/edit?usp=sharing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11" s="7" t="s">
        <v>10</v>
      </c>
      <c r="H1411" s="7">
        <v>0</v>
      </c>
      <c r="I1411" s="8" t="str">
        <f ca="1">IFERROR(__xludf.DUMMYFUNCTION("IF
(
G1412=""фізична особа""
,
VLOOKUP(H1412,IMPORTRANGE(""https://docs.google.com/spreadsheets/d/14Bd19lYaqBhU8_DElYkX7l4wRkHqqCUFNJY4AfY3kHU/edit?usp=sharing  #gid=0"",""фіз особи new!relations_name""),6,FALSE)
,
(IF
(
G1412=""юридична особа""
,
VLOOKUP"&amp;"(H1412,IMPORTRANGE(""https://docs.google.com/spreadsheets/d/14Bd19lYaqBhU8_DElYkX7l4wRkHqqCUFNJY4AfY3kHU/edit?usp=sharing  #gid=0"",""фіз особи new!relations_name_uo""),7,FALSE)
,
)
))"),"#N/A")</f>
        <v>#N/A</v>
      </c>
      <c r="J1411" s="7" t="s">
        <v>28</v>
      </c>
    </row>
    <row r="1412" spans="1:10" ht="13.2">
      <c r="A1412" s="7">
        <v>1411</v>
      </c>
      <c r="B1412" s="7">
        <v>1</v>
      </c>
      <c r="C1412" s="7" t="s">
        <v>10</v>
      </c>
      <c r="D1412" s="7">
        <v>439</v>
      </c>
      <c r="E1412" s="7" t="s">
        <v>29</v>
      </c>
      <c r="F1412" s="8" t="str">
        <f ca="1">IFERROR(__xludf.DUMMYFUNCTION("IF
(
C1413=""фізична особа""
,
VLOOKUP(D1413,IMPORTRANGE(""https://docs.google.com/spreadsheets/d/14Bd19lYaqBhU8_DElYkX7l4wRkHqqCUFNJY4AfY3kHU/edit?usp=sharing  #gid=0"",""фіз особи new!relations_name""),6,FALSE)
,
(IF
(
C1413=""юридична особа""
,
VLOOKUP"&amp;"(D1413,IMPORTRANGE(""https://docs.google.com/spreadsheets/d/14Bd19lYaqBhU8_DElYkX7l4wRkHqqCUFNJY4AfY3kHU/edit?usp=sharing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12" s="7" t="s">
        <v>10</v>
      </c>
      <c r="H1412" s="7">
        <v>0</v>
      </c>
      <c r="I1412" s="8" t="str">
        <f ca="1">IFERROR(__xludf.DUMMYFUNCTION("IF
(
G1413=""фізична особа""
,
VLOOKUP(H1413,IMPORTRANGE(""https://docs.google.com/spreadsheets/d/14Bd19lYaqBhU8_DElYkX7l4wRkHqqCUFNJY4AfY3kHU/edit?usp=sharing  #gid=0"",""фіз особи new!relations_name""),6,FALSE)
,
(IF
(
G1413=""юридична особа""
,
VLOOKUP"&amp;"(H1413,IMPORTRANGE(""https://docs.google.com/spreadsheets/d/14Bd19lYaqBhU8_DElYkX7l4wRkHqqCUFNJY4AfY3kHU/edit?usp=sharing  #gid=0"",""фіз особи new!relations_name_uo""),7,FALSE)
,
)
))"),"#N/A")</f>
        <v>#N/A</v>
      </c>
      <c r="J1412" s="7" t="s">
        <v>28</v>
      </c>
    </row>
    <row r="1413" spans="1:10" ht="13.2">
      <c r="A1413" s="7">
        <v>1412</v>
      </c>
      <c r="B1413" s="7">
        <v>1</v>
      </c>
      <c r="C1413" s="7" t="s">
        <v>10</v>
      </c>
      <c r="D1413" s="7">
        <v>439</v>
      </c>
      <c r="E1413" s="7" t="s">
        <v>29</v>
      </c>
      <c r="F1413" s="8" t="str">
        <f ca="1">IFERROR(__xludf.DUMMYFUNCTION("IF
(
C1414=""фізична особа""
,
VLOOKUP(D1414,IMPORTRANGE(""https://docs.google.com/spreadsheets/d/14Bd19lYaqBhU8_DElYkX7l4wRkHqqCUFNJY4AfY3kHU/edit?usp=sharing  #gid=0"",""фіз особи new!relations_name""),6,FALSE)
,
(IF
(
C1414=""юридична особа""
,
VLOOKUP"&amp;"(D1414,IMPORTRANGE(""https://docs.google.com/spreadsheets/d/14Bd19lYaqBhU8_DElYkX7l4wRkHqqCUFNJY4AfY3kHU/edit?usp=sharing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G1413" s="7" t="s">
        <v>10</v>
      </c>
      <c r="H1413" s="7">
        <v>0</v>
      </c>
      <c r="I1413" s="8" t="str">
        <f ca="1">IFERROR(__xludf.DUMMYFUNCTION("IF
(
G1414=""фізична особа""
,
VLOOKUP(H1414,IMPORTRANGE(""https://docs.google.com/spreadsheets/d/14Bd19lYaqBhU8_DElYkX7l4wRkHqqCUFNJY4AfY3kHU/edit?usp=sharing  #gid=0"",""фіз особи new!relations_name""),6,FALSE)
,
(IF
(
G1414=""юридична особа""
,
VLOOKUP"&amp;"(H1414,IMPORTRANGE(""https://docs.google.com/spreadsheets/d/14Bd19lYaqBhU8_DElYkX7l4wRkHqqCUFNJY4AfY3kHU/edit?usp=sharing  #gid=0"",""фіз особи new!relations_name_uo""),7,FALSE)
,
)
))"),"#N/A")</f>
        <v>#N/A</v>
      </c>
      <c r="J1413" s="7" t="s">
        <v>28</v>
      </c>
    </row>
    <row r="1414" spans="1:10" ht="13.2">
      <c r="A1414" s="7">
        <v>1413</v>
      </c>
      <c r="B1414" s="7">
        <v>1</v>
      </c>
      <c r="C1414" s="7" t="s">
        <v>10</v>
      </c>
      <c r="D1414" s="7">
        <v>440</v>
      </c>
      <c r="E1414" s="7" t="s">
        <v>12</v>
      </c>
      <c r="F1414" s="8" t="str">
        <f ca="1">IFERROR(__xludf.DUMMYFUNCTION("IF
(
C1415=""фізична особа""
,
VLOOKUP(D1415,IMPORTRANGE(""https://docs.google.com/spreadsheets/d/14Bd19lYaqBhU8_DElYkX7l4wRkHqqCUFNJY4AfY3kHU/edit?usp=sharing  #gid=0"",""фіз особи new!relations_name""),6,FALSE)
,
(IF
(
C1415=""юридична особа""
,
VLOOKUP"&amp;"(D1415,IMPORTRANGE(""https://docs.google.com/spreadsheets/d/14Bd19lYaqBhU8_DElYkX7l4wRkHqqCUFNJY4AfY3kHU/edit?usp=sharing  #gid=0"",""фіз особи new!relations_name_uo""),7,FALSE)
,
)
))"),"АФАНАСОВ Михайло Олександрович")</f>
        <v>АФАНАСОВ Михайло Олександрович</v>
      </c>
      <c r="G1414" s="7" t="s">
        <v>10</v>
      </c>
      <c r="H1414" s="7">
        <v>0</v>
      </c>
      <c r="I1414" s="8" t="str">
        <f ca="1">IFERROR(__xludf.DUMMYFUNCTION("IF
(
G1415=""фізична особа""
,
VLOOKUP(H1415,IMPORTRANGE(""https://docs.google.com/spreadsheets/d/14Bd19lYaqBhU8_DElYkX7l4wRkHqqCUFNJY4AfY3kHU/edit?usp=sharing  #gid=0"",""фіз особи new!relations_name""),6,FALSE)
,
(IF
(
G1415=""юридична особа""
,
VLOOKUP"&amp;"(H1415,IMPORTRANGE(""https://docs.google.com/spreadsheets/d/14Bd19lYaqBhU8_DElYkX7l4wRkHqqCUFNJY4AfY3kHU/edit?usp=sharing  #gid=0"",""фіз особи new!relations_name_uo""),7,FALSE)
,
)
))"),"#N/A")</f>
        <v>#N/A</v>
      </c>
      <c r="J1414" s="7" t="s">
        <v>13</v>
      </c>
    </row>
    <row r="1415" spans="1:10" ht="13.2">
      <c r="A1415" s="7">
        <v>1414</v>
      </c>
      <c r="B1415" s="7">
        <v>1</v>
      </c>
      <c r="C1415" s="7" t="s">
        <v>10</v>
      </c>
      <c r="D1415" s="7">
        <v>440</v>
      </c>
      <c r="E1415" s="7" t="s">
        <v>12</v>
      </c>
      <c r="F1415" s="8" t="str">
        <f ca="1">IFERROR(__xludf.DUMMYFUNCTION("IF
(
C1416=""фізична особа""
,
VLOOKUP(D1416,IMPORTRANGE(""https://docs.google.com/spreadsheets/d/14Bd19lYaqBhU8_DElYkX7l4wRkHqqCUFNJY4AfY3kHU/edit?usp=sharing  #gid=0"",""фіз особи new!relations_name""),6,FALSE)
,
(IF
(
C1416=""юридична особа""
,
VLOOKUP"&amp;"(D1416,IMPORTRANGE(""https://docs.google.com/spreadsheets/d/14Bd19lYaqBhU8_DElYkX7l4wRkHqqCUFNJY4AfY3kHU/edit?usp=sharing  #gid=0"",""фіз особи new!relations_name_uo""),7,FALSE)
,
)
))"),"АФАНАСОВ Михайло Олександрович")</f>
        <v>АФАНАСОВ Михайло Олександрович</v>
      </c>
      <c r="G1415" s="7" t="s">
        <v>10</v>
      </c>
      <c r="H1415" s="7">
        <v>0</v>
      </c>
      <c r="I1415" s="8" t="str">
        <f ca="1">IFERROR(__xludf.DUMMYFUNCTION("IF
(
G1416=""фізична особа""
,
VLOOKUP(H1416,IMPORTRANGE(""https://docs.google.com/spreadsheets/d/14Bd19lYaqBhU8_DElYkX7l4wRkHqqCUFNJY4AfY3kHU/edit?usp=sharing  #gid=0"",""фіз особи new!relations_name""),6,FALSE)
,
(IF
(
G1416=""юридична особа""
,
VLOOKUP"&amp;"(H1416,IMPORTRANGE(""https://docs.google.com/spreadsheets/d/14Bd19lYaqBhU8_DElYkX7l4wRkHqqCUFNJY4AfY3kHU/edit?usp=sharing  #gid=0"",""фіз особи new!relations_name_uo""),7,FALSE)
,
)
))"),"#N/A")</f>
        <v>#N/A</v>
      </c>
      <c r="J1415" s="7" t="s">
        <v>17</v>
      </c>
    </row>
    <row r="1416" spans="1:10" ht="13.2">
      <c r="A1416" s="7">
        <v>1415</v>
      </c>
      <c r="B1416" s="7">
        <v>1</v>
      </c>
      <c r="C1416" s="7" t="s">
        <v>10</v>
      </c>
      <c r="D1416" s="7">
        <v>440</v>
      </c>
      <c r="E1416" s="7" t="s">
        <v>35</v>
      </c>
      <c r="F1416" s="8" t="str">
        <f ca="1">IFERROR(__xludf.DUMMYFUNCTION("IF
(
C1417=""фізична особа""
,
VLOOKUP(D1417,IMPORTRANGE(""https://docs.google.com/spreadsheets/d/14Bd19lYaqBhU8_DElYkX7l4wRkHqqCUFNJY4AfY3kHU/edit?usp=sharing  #gid=0"",""фіз особи new!relations_name""),6,FALSE)
,
(IF
(
C1417=""юридична особа""
,
VLOOKUP"&amp;"(D1417,IMPORTRANGE(""https://docs.google.com/spreadsheets/d/14Bd19lYaqBhU8_DElYkX7l4wRkHqqCUFNJY4AfY3kHU/edit?usp=sharing  #gid=0"",""фіз особи new!relations_name_uo""),7,FALSE)
,
)
))"),"АФАНАСОВ Михайло Олександрович")</f>
        <v>АФАНАСОВ Михайло Олександрович</v>
      </c>
      <c r="G1416" s="7" t="s">
        <v>10</v>
      </c>
      <c r="H1416" s="7">
        <v>273</v>
      </c>
      <c r="I1416" s="8" t="str">
        <f ca="1">IFERROR(__xludf.DUMMYFUNCTION("IF
(
G1417=""фізична особа""
,
VLOOKUP(H1417,IMPORTRANGE(""https://docs.google.com/spreadsheets/d/14Bd19lYaqBhU8_DElYkX7l4wRkHqqCUFNJY4AfY3kHU/edit?usp=sharing  #gid=0"",""фіз особи new!relations_name""),6,FALSE)
,
(IF
(
G1417=""юридична особа""
,
VLOOKUP"&amp;"(H1417,IMPORTRANGE(""https://docs.google.com/spreadsheets/d/14Bd19lYaqBhU8_DElYkX7l4wRkHqqCUFNJY4AfY3kHU/edit?usp=sharing  #gid=0"",""фіз особи new!relations_name_uo""),7,FALSE)
,
)
))"),"ЯГУБОВ Геннадій Володимирович")</f>
        <v>ЯГУБОВ Геннадій Володимирович</v>
      </c>
      <c r="J1416" s="7" t="s">
        <v>35</v>
      </c>
    </row>
    <row r="1417" spans="1:10" ht="13.2">
      <c r="A1417" s="7">
        <v>1416</v>
      </c>
      <c r="B1417" s="7">
        <v>1</v>
      </c>
      <c r="C1417" s="7" t="s">
        <v>10</v>
      </c>
      <c r="D1417" s="7">
        <v>443</v>
      </c>
      <c r="E1417" s="7" t="s">
        <v>14</v>
      </c>
      <c r="F1417" s="8" t="str">
        <f ca="1">IFERROR(__xludf.DUMMYFUNCTION("IF
(
C1418=""фізична особа""
,
VLOOKUP(D1418,IMPORTRANGE(""https://docs.google.com/spreadsheets/d/14Bd19lYaqBhU8_DElYkX7l4wRkHqqCUFNJY4AfY3kHU/edit?usp=sharing  #gid=0"",""фіз особи new!relations_name""),6,FALSE)
,
(IF
(
C1418=""юридична особа""
,
VLOOKUP"&amp;"(D1418,IMPORTRANGE(""https://docs.google.com/spreadsheets/d/14Bd19lYaqBhU8_DElYkX7l4wRkHqqCUFNJY4AfY3kHU/edit?usp=sharing  #gid=0"",""фіз особи new!relations_name_uo""),7,FALSE)
,
)
))"),"ОСЕЄВСЬКИЙ Михайло Едуардович")</f>
        <v>ОСЕЄВСЬКИЙ Михайло Едуардович</v>
      </c>
      <c r="G1417" s="7" t="s">
        <v>10</v>
      </c>
      <c r="H1417" s="7">
        <v>4930</v>
      </c>
      <c r="I1417" s="8" t="str">
        <f ca="1">IFERROR(__xludf.DUMMYFUNCTION("IF
(
G1418=""фізична особа""
,
VLOOKUP(H1418,IMPORTRANGE(""https://docs.google.com/spreadsheets/d/14Bd19lYaqBhU8_DElYkX7l4wRkHqqCUFNJY4AfY3kHU/edit?usp=sharing  #gid=0"",""фіз особи new!relations_name""),6,FALSE)
,
(IF
(
G1418=""юридична особа""
,
VLOOKUP"&amp;"(H1418,IMPORTRANGE(""https://docs.google.com/spreadsheets/d/14Bd19lYaqBhU8_DElYkX7l4wRkHqqCUFNJY4AfY3kHU/edit?usp=sharing  #gid=0"",""фіз особи new!relations_name_uo""),7,FALSE)
,
)
))"),"ОСЕЇВСЬКА / ОСІПОВА Наталія Андріївна")</f>
        <v>ОСЕЇВСЬКА / ОСІПОВА Наталія Андріївна</v>
      </c>
      <c r="J1417" s="7" t="s">
        <v>15</v>
      </c>
    </row>
    <row r="1418" spans="1:10" ht="13.2">
      <c r="A1418" s="7">
        <v>1417</v>
      </c>
      <c r="B1418" s="7">
        <v>1</v>
      </c>
      <c r="C1418" s="7" t="s">
        <v>10</v>
      </c>
      <c r="D1418" s="7">
        <v>443</v>
      </c>
      <c r="E1418" s="7" t="s">
        <v>12</v>
      </c>
      <c r="F1418" s="8" t="str">
        <f ca="1">IFERROR(__xludf.DUMMYFUNCTION("IF
(
C1419=""фізична особа""
,
VLOOKUP(D1419,IMPORTRANGE(""https://docs.google.com/spreadsheets/d/14Bd19lYaqBhU8_DElYkX7l4wRkHqqCUFNJY4AfY3kHU/edit?usp=sharing  #gid=0"",""фіз особи new!relations_name""),6,FALSE)
,
(IF
(
C1419=""юридична особа""
,
VLOOKUP"&amp;"(D1419,IMPORTRANGE(""https://docs.google.com/spreadsheets/d/14Bd19lYaqBhU8_DElYkX7l4wRkHqqCUFNJY4AfY3kHU/edit?usp=sharing  #gid=0"",""фіз особи new!relations_name_uo""),7,FALSE)
,
)
))"),"ОСЕЄВСЬКИЙ Михайло Едуардович")</f>
        <v>ОСЕЄВСЬКИЙ Михайло Едуардович</v>
      </c>
      <c r="G1418" s="7" t="s">
        <v>10</v>
      </c>
      <c r="H1418" s="7">
        <v>23405</v>
      </c>
      <c r="I1418" s="8" t="str">
        <f ca="1">IFERROR(__xludf.DUMMYFUNCTION("IF
(
G1419=""фізична особа""
,
VLOOKUP(H1419,IMPORTRANGE(""https://docs.google.com/spreadsheets/d/14Bd19lYaqBhU8_DElYkX7l4wRkHqqCUFNJY4AfY3kHU/edit?usp=sharing  #gid=0"",""фіз особи new!relations_name""),6,FALSE)
,
(IF
(
G1419=""юридична особа""
,
VLOOKUP"&amp;"(H1419,IMPORTRANGE(""https://docs.google.com/spreadsheets/d/14Bd19lYaqBhU8_DElYkX7l4wRkHqqCUFNJY4AfY3kHU/edit?usp=sharing  #gid=0"",""фіз особи new!relations_name_uo""),7,FALSE)
,
)
))"),"ОСЄЄВСЬКИЙ Олександр Михайлович")</f>
        <v>ОСЄЄВСЬКИЙ Олександр Михайлович</v>
      </c>
      <c r="J1418" s="7" t="s">
        <v>17</v>
      </c>
    </row>
    <row r="1419" spans="1:10" ht="13.2">
      <c r="A1419" s="7">
        <v>1418</v>
      </c>
      <c r="B1419" s="7">
        <v>1</v>
      </c>
      <c r="C1419" s="7" t="s">
        <v>10</v>
      </c>
      <c r="D1419" s="7">
        <v>443</v>
      </c>
      <c r="E1419" s="7" t="s">
        <v>12</v>
      </c>
      <c r="F1419" s="8" t="str">
        <f ca="1">IFERROR(__xludf.DUMMYFUNCTION("IF
(
C1420=""фізична особа""
,
VLOOKUP(D1420,IMPORTRANGE(""https://docs.google.com/spreadsheets/d/14Bd19lYaqBhU8_DElYkX7l4wRkHqqCUFNJY4AfY3kHU/edit?usp=sharing  #gid=0"",""фіз особи new!relations_name""),6,FALSE)
,
(IF
(
C1420=""юридична особа""
,
VLOOKUP"&amp;"(D1420,IMPORTRANGE(""https://docs.google.com/spreadsheets/d/14Bd19lYaqBhU8_DElYkX7l4wRkHqqCUFNJY4AfY3kHU/edit?usp=sharing  #gid=0"",""фіз особи new!relations_name_uo""),7,FALSE)
,
)
))"),"ОСЕЄВСЬКИЙ Михайло Едуардович")</f>
        <v>ОСЕЄВСЬКИЙ Михайло Едуардович</v>
      </c>
      <c r="G1419" s="7" t="s">
        <v>10</v>
      </c>
      <c r="H1419" s="7">
        <v>23406</v>
      </c>
      <c r="I1419" s="8" t="str">
        <f ca="1">IFERROR(__xludf.DUMMYFUNCTION("IF
(
G1420=""фізична особа""
,
VLOOKUP(H1420,IMPORTRANGE(""https://docs.google.com/spreadsheets/d/14Bd19lYaqBhU8_DElYkX7l4wRkHqqCUFNJY4AfY3kHU/edit?usp=sharing  #gid=0"",""фіз особи new!relations_name""),6,FALSE)
,
(IF
(
G1420=""юридична особа""
,
VLOOKUP"&amp;"(H1420,IMPORTRANGE(""https://docs.google.com/spreadsheets/d/14Bd19lYaqBhU8_DElYkX7l4wRkHqqCUFNJY4AfY3kHU/edit?usp=sharing  #gid=0"",""фіз особи new!relations_name_uo""),7,FALSE)
,
)
))"),"ОСЄЄВСЬКИЙ Дмитро Михайлович")</f>
        <v>ОСЄЄВСЬКИЙ Дмитро Михайлович</v>
      </c>
      <c r="J1419" s="7" t="s">
        <v>17</v>
      </c>
    </row>
    <row r="1420" spans="1:10" ht="13.2">
      <c r="A1420" s="7">
        <v>1419</v>
      </c>
      <c r="B1420" s="7">
        <v>1</v>
      </c>
      <c r="C1420" s="7" t="s">
        <v>10</v>
      </c>
      <c r="D1420" s="7">
        <v>443</v>
      </c>
      <c r="E1420" s="7" t="s">
        <v>11</v>
      </c>
      <c r="F1420" s="8" t="str">
        <f ca="1">IFERROR(__xludf.DUMMYFUNCTION("IF
(
C1421=""фізична особа""
,
VLOOKUP(D1421,IMPORTRANGE(""https://docs.google.com/spreadsheets/d/14Bd19lYaqBhU8_DElYkX7l4wRkHqqCUFNJY4AfY3kHU/edit?usp=sharing  #gid=0"",""фіз особи new!relations_name""),6,FALSE)
,
(IF
(
C1421=""юридична особа""
,
VLOOKUP"&amp;"(D1421,IMPORTRANGE(""https://docs.google.com/spreadsheets/d/14Bd19lYaqBhU8_DElYkX7l4wRkHqqCUFNJY4AfY3kHU/edit?usp=sharing  #gid=0"",""фіз особи new!relations_name_uo""),7,FALSE)
,
)
))"),"ОСЕЄВСЬКИЙ Михайло Едуардович")</f>
        <v>ОСЕЄВСЬКИЙ Михайло Едуардович</v>
      </c>
      <c r="G1420" s="7" t="s">
        <v>10</v>
      </c>
      <c r="H1420" s="7">
        <v>880</v>
      </c>
      <c r="I1420" s="8" t="str">
        <f ca="1">IFERROR(__xludf.DUMMYFUNCTION("IF
(
G1421=""фізична особа""
,
VLOOKUP(H1421,IMPORTRANGE(""https://docs.google.com/spreadsheets/d/14Bd19lYaqBhU8_DElYkX7l4wRkHqqCUFNJY4AfY3kHU/edit?usp=sharing  #gid=0"",""фіз особи new!relations_name""),6,FALSE)
,
(IF
(
G1421=""юридична особа""
,
VLOOKUP"&amp;"(H1421,IMPORTRANGE(""https://docs.google.com/spreadsheets/d/14Bd19lYaqBhU8_DElYkX7l4wRkHqqCUFNJY4AfY3kHU/edit?usp=sharing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420" s="7" t="s">
        <v>11</v>
      </c>
    </row>
    <row r="1421" spans="1:10" ht="13.2">
      <c r="A1421" s="7">
        <v>1420</v>
      </c>
      <c r="B1421" s="7">
        <v>1</v>
      </c>
      <c r="C1421" s="7" t="s">
        <v>10</v>
      </c>
      <c r="D1421" s="7">
        <v>445</v>
      </c>
      <c r="E1421" s="7" t="s">
        <v>14</v>
      </c>
      <c r="F1421" s="8" t="str">
        <f ca="1">IFERROR(__xludf.DUMMYFUNCTION("IF
(
C1422=""фізична особа""
,
VLOOKUP(D1422,IMPORTRANGE(""https://docs.google.com/spreadsheets/d/14Bd19lYaqBhU8_DElYkX7l4wRkHqqCUFNJY4AfY3kHU/edit?usp=sharing  #gid=0"",""фіз особи new!relations_name""),6,FALSE)
,
(IF
(
C1422=""юридична особа""
,
VLOOKUP"&amp;"(D1422,IMPORTRANGE(""https://docs.google.com/spreadsheets/d/14Bd19lYaqBhU8_DElYkX7l4wRkHqqCUFNJY4AfY3kHU/edit?usp=sharing  #gid=0"",""фіз особи new!relations_name_uo""),7,FALSE)
,
)
))"),"ГІБАТДІНОВ Айрат Мінерасихович")</f>
        <v>ГІБАТДІНОВ Айрат Мінерасихович</v>
      </c>
      <c r="G1421" s="7" t="s">
        <v>10</v>
      </c>
      <c r="H1421" s="7">
        <v>0</v>
      </c>
      <c r="I1421" s="8" t="str">
        <f ca="1">IFERROR(__xludf.DUMMYFUNCTION("IF
(
G1422=""фізична особа""
,
VLOOKUP(H1422,IMPORTRANGE(""https://docs.google.com/spreadsheets/d/14Bd19lYaqBhU8_DElYkX7l4wRkHqqCUFNJY4AfY3kHU/edit?usp=sharing  #gid=0"",""фіз особи new!relations_name""),6,FALSE)
,
(IF
(
G1422=""юридична особа""
,
VLOOKUP"&amp;"(H1422,IMPORTRANGE(""https://docs.google.com/spreadsheets/d/14Bd19lYaqBhU8_DElYkX7l4wRkHqqCUFNJY4AfY3kHU/edit?usp=sharing  #gid=0"",""фіз особи new!relations_name_uo""),7,FALSE)
,
)
))"),"#N/A")</f>
        <v>#N/A</v>
      </c>
      <c r="J1421" s="7" t="s">
        <v>15</v>
      </c>
    </row>
    <row r="1422" spans="1:10" ht="13.2">
      <c r="A1422" s="7">
        <v>1421</v>
      </c>
      <c r="B1422" s="7">
        <v>1</v>
      </c>
      <c r="C1422" s="7" t="s">
        <v>10</v>
      </c>
      <c r="D1422" s="7">
        <v>445</v>
      </c>
      <c r="E1422" s="7" t="s">
        <v>17</v>
      </c>
      <c r="F1422" s="8" t="str">
        <f ca="1">IFERROR(__xludf.DUMMYFUNCTION("IF
(
C1423=""фізична особа""
,
VLOOKUP(D1423,IMPORTRANGE(""https://docs.google.com/spreadsheets/d/14Bd19lYaqBhU8_DElYkX7l4wRkHqqCUFNJY4AfY3kHU/edit?usp=sharing  #gid=0"",""фіз особи new!relations_name""),6,FALSE)
,
(IF
(
C1423=""юридична особа""
,
VLOOKUP"&amp;"(D1423,IMPORTRANGE(""https://docs.google.com/spreadsheets/d/14Bd19lYaqBhU8_DElYkX7l4wRkHqqCUFNJY4AfY3kHU/edit?usp=sharing  #gid=0"",""фіз особи new!relations_name_uo""),7,FALSE)
,
)
))"),"ГІБАТДІНОВ Айрат Мінерасихович")</f>
        <v>ГІБАТДІНОВ Айрат Мінерасихович</v>
      </c>
      <c r="G1422" s="7" t="s">
        <v>10</v>
      </c>
      <c r="H1422" s="7">
        <v>0</v>
      </c>
      <c r="I1422" s="8" t="str">
        <f ca="1">IFERROR(__xludf.DUMMYFUNCTION("IF
(
G1423=""фізична особа""
,
VLOOKUP(H1423,IMPORTRANGE(""https://docs.google.com/spreadsheets/d/14Bd19lYaqBhU8_DElYkX7l4wRkHqqCUFNJY4AfY3kHU/edit?usp=sharing  #gid=0"",""фіз особи new!relations_name""),6,FALSE)
,
(IF
(
G1423=""юридична особа""
,
VLOOKUP"&amp;"(H1423,IMPORTRANGE(""https://docs.google.com/spreadsheets/d/14Bd19lYaqBhU8_DElYkX7l4wRkHqqCUFNJY4AfY3kHU/edit?usp=sharing  #gid=0"",""фіз особи new!relations_name_uo""),7,FALSE)
,
)
))"),"#N/A")</f>
        <v>#N/A</v>
      </c>
      <c r="J1422" s="7" t="s">
        <v>21</v>
      </c>
    </row>
    <row r="1423" spans="1:10" ht="13.2">
      <c r="A1423" s="7">
        <v>1422</v>
      </c>
      <c r="B1423" s="7">
        <v>1</v>
      </c>
      <c r="C1423" s="7" t="s">
        <v>10</v>
      </c>
      <c r="D1423" s="7">
        <v>445</v>
      </c>
      <c r="E1423" s="7" t="s">
        <v>35</v>
      </c>
      <c r="F1423" s="8" t="str">
        <f ca="1">IFERROR(__xludf.DUMMYFUNCTION("IF
(
C1424=""фізична особа""
,
VLOOKUP(D1424,IMPORTRANGE(""https://docs.google.com/spreadsheets/d/14Bd19lYaqBhU8_DElYkX7l4wRkHqqCUFNJY4AfY3kHU/edit?usp=sharing  #gid=0"",""фіз особи new!relations_name""),6,FALSE)
,
(IF
(
C1424=""юридична особа""
,
VLOOKUP"&amp;"(D1424,IMPORTRANGE(""https://docs.google.com/spreadsheets/d/14Bd19lYaqBhU8_DElYkX7l4wRkHqqCUFNJY4AfY3kHU/edit?usp=sharing  #gid=0"",""фіз особи new!relations_name_uo""),7,FALSE)
,
)
))"),"ГІБАТДІНОВ Айрат Мінерасихович")</f>
        <v>ГІБАТДІНОВ Айрат Мінерасихович</v>
      </c>
      <c r="G1423" s="7" t="s">
        <v>10</v>
      </c>
      <c r="H1423" s="7">
        <v>709</v>
      </c>
      <c r="I1423" s="8" t="str">
        <f ca="1">IFERROR(__xludf.DUMMYFUNCTION("IF
(
G1424=""фізична особа""
,
VLOOKUP(H1424,IMPORTRANGE(""https://docs.google.com/spreadsheets/d/14Bd19lYaqBhU8_DElYkX7l4wRkHqqCUFNJY4AfY3kHU/edit?usp=sharing  #gid=0"",""фіз особи new!relations_name""),6,FALSE)
,
(IF
(
G1424=""юридична особа""
,
VLOOKUP"&amp;"(H1424,IMPORTRANGE(""https://docs.google.com/spreadsheets/d/14Bd19lYaqBhU8_DElYkX7l4wRkHqqCUFNJY4AfY3kHU/edit?usp=sharing  #gid=0"",""фіз особи new!relations_name_uo""),7,FALSE)
,
)
))"),"РЯБУХІН Сергій Миколайович")</f>
        <v>РЯБУХІН Сергій Миколайович</v>
      </c>
      <c r="J1423" s="7" t="s">
        <v>35</v>
      </c>
    </row>
    <row r="1424" spans="1:10" ht="13.2">
      <c r="A1424" s="7">
        <v>1423</v>
      </c>
      <c r="B1424" s="7">
        <v>1</v>
      </c>
      <c r="C1424" s="7" t="s">
        <v>10</v>
      </c>
      <c r="D1424" s="7">
        <v>446</v>
      </c>
      <c r="E1424" s="7" t="s">
        <v>17</v>
      </c>
      <c r="F1424" s="8" t="str">
        <f ca="1">IFERROR(__xludf.DUMMYFUNCTION("IF
(
C1425=""фізична особа""
,
VLOOKUP(D1425,IMPORTRANGE(""https://docs.google.com/spreadsheets/d/14Bd19lYaqBhU8_DElYkX7l4wRkHqqCUFNJY4AfY3kHU/edit?usp=sharing  #gid=0"",""фіз особи new!relations_name""),6,FALSE)
,
(IF
(
C1425=""юридична особа""
,
VLOOKUP"&amp;"(D1425,IMPORTRANGE(""https://docs.google.com/spreadsheets/d/14Bd19lYaqBhU8_DElYkX7l4wRkHqqCUFNJY4AfY3kHU/edit?usp=sharing  #gid=0"",""фіз особи new!relations_name_uo""),7,FALSE)
,
)
))"),"ПУМПЯНСЬКИЙ Олександр Дмитрович")</f>
        <v>ПУМПЯНСЬКИЙ Олександр Дмитрович</v>
      </c>
      <c r="G1424" s="7" t="s">
        <v>10</v>
      </c>
      <c r="H1424" s="7">
        <v>178</v>
      </c>
      <c r="I1424" s="8" t="str">
        <f ca="1">IFERROR(__xludf.DUMMYFUNCTION("IF
(
G1425=""фізична особа""
,
VLOOKUP(H1425,IMPORTRANGE(""https://docs.google.com/spreadsheets/d/14Bd19lYaqBhU8_DElYkX7l4wRkHqqCUFNJY4AfY3kHU/edit?usp=sharing  #gid=0"",""фіз особи new!relations_name""),6,FALSE)
,
(IF
(
G1425=""юридична особа""
,
VLOOKUP"&amp;"(H1425,IMPORTRANGE(""https://docs.google.com/spreadsheets/d/14Bd19lYaqBhU8_DElYkX7l4wRkHqqCUFNJY4AfY3kHU/edit?usp=sharing  #gid=0"",""фіз особи new!relations_name_uo""),7,FALSE)
,
)
))"),"ПУМПЯНСЬКИЙ Дмитро Олександрович")</f>
        <v>ПУМПЯНСЬКИЙ Дмитро Олександрович</v>
      </c>
      <c r="J1424" s="7" t="s">
        <v>12</v>
      </c>
    </row>
    <row r="1425" spans="1:10" ht="13.2">
      <c r="A1425" s="7">
        <v>1424</v>
      </c>
      <c r="B1425" s="7">
        <v>1</v>
      </c>
      <c r="C1425" s="7" t="s">
        <v>10</v>
      </c>
      <c r="D1425" s="7">
        <v>446</v>
      </c>
      <c r="E1425" s="7" t="s">
        <v>17</v>
      </c>
      <c r="F1425" s="8" t="str">
        <f ca="1">IFERROR(__xludf.DUMMYFUNCTION("IF
(
C1426=""фізична особа""
,
VLOOKUP(D1426,IMPORTRANGE(""https://docs.google.com/spreadsheets/d/14Bd19lYaqBhU8_DElYkX7l4wRkHqqCUFNJY4AfY3kHU/edit?usp=sharing  #gid=0"",""фіз особи new!relations_name""),6,FALSE)
,
(IF
(
C1426=""юридична особа""
,
VLOOKUP"&amp;"(D1426,IMPORTRANGE(""https://docs.google.com/spreadsheets/d/14Bd19lYaqBhU8_DElYkX7l4wRkHqqCUFNJY4AfY3kHU/edit?usp=sharing  #gid=0"",""фіз особи new!relations_name_uo""),7,FALSE)
,
)
))"),"ПУМПЯНСЬКИЙ Олександр Дмитрович")</f>
        <v>ПУМПЯНСЬКИЙ Олександр Дмитрович</v>
      </c>
      <c r="G1425" s="7" t="s">
        <v>10</v>
      </c>
      <c r="H1425" s="7">
        <v>259</v>
      </c>
      <c r="I1425" s="8" t="str">
        <f ca="1">IFERROR(__xludf.DUMMYFUNCTION("IF
(
G1426=""фізична особа""
,
VLOOKUP(H1426,IMPORTRANGE(""https://docs.google.com/spreadsheets/d/14Bd19lYaqBhU8_DElYkX7l4wRkHqqCUFNJY4AfY3kHU/edit?usp=sharing  #gid=0"",""фіз особи new!relations_name""),6,FALSE)
,
(IF
(
G1426=""юридична особа""
,
VLOOKUP"&amp;"(H1426,IMPORTRANGE(""https://docs.google.com/spreadsheets/d/14Bd19lYaqBhU8_DElYkX7l4wRkHqqCUFNJY4AfY3kHU/edit?usp=sharing  #gid=0"",""фіз особи new!relations_name_uo""),7,FALSE)
,
)
))"),"ПУМПЯНСЬКА Галина Євгенівна")</f>
        <v>ПУМПЯНСЬКА Галина Євгенівна</v>
      </c>
      <c r="J1425" s="7" t="s">
        <v>21</v>
      </c>
    </row>
    <row r="1426" spans="1:10" ht="13.2">
      <c r="A1426" s="7">
        <v>1425</v>
      </c>
      <c r="B1426" s="7">
        <v>1</v>
      </c>
      <c r="C1426" s="7" t="s">
        <v>10</v>
      </c>
      <c r="D1426" s="7">
        <v>446</v>
      </c>
      <c r="E1426" s="7" t="s">
        <v>29</v>
      </c>
      <c r="F1426" s="8" t="str">
        <f ca="1">IFERROR(__xludf.DUMMYFUNCTION("IF
(
C1427=""фізична особа""
,
VLOOKUP(D1427,IMPORTRANGE(""https://docs.google.com/spreadsheets/d/14Bd19lYaqBhU8_DElYkX7l4wRkHqqCUFNJY4AfY3kHU/edit?usp=sharing  #gid=0"",""фіз особи new!relations_name""),6,FALSE)
,
(IF
(
C1427=""юридична особа""
,
VLOOKUP"&amp;"(D1427,IMPORTRANGE(""https://docs.google.com/spreadsheets/d/14Bd19lYaqBhU8_DElYkX7l4wRkHqqCUFNJY4AfY3kHU/edit?usp=sharing  #gid=0"",""фіз особи new!relations_name_uo""),7,FALSE)
,
)
))"),"ПУМПЯНСЬКИЙ Олександр Дмитрович")</f>
        <v>ПУМПЯНСЬКИЙ Олександр Дмитрович</v>
      </c>
      <c r="G1426" s="7" t="s">
        <v>10</v>
      </c>
      <c r="H1426" s="7">
        <v>0</v>
      </c>
      <c r="I1426" s="8" t="str">
        <f ca="1">IFERROR(__xludf.DUMMYFUNCTION("IF
(
G1427=""фізична особа""
,
VLOOKUP(H1427,IMPORTRANGE(""https://docs.google.com/spreadsheets/d/14Bd19lYaqBhU8_DElYkX7l4wRkHqqCUFNJY4AfY3kHU/edit?usp=sharing  #gid=0"",""фіз особи new!relations_name""),6,FALSE)
,
(IF
(
G1427=""юридична особа""
,
VLOOKUP"&amp;"(H1427,IMPORTRANGE(""https://docs.google.com/spreadsheets/d/14Bd19lYaqBhU8_DElYkX7l4wRkHqqCUFNJY4AfY3kHU/edit?usp=sharing  #gid=0"",""фіз особи new!relations_name_uo""),7,FALSE)
,
)
))"),"#N/A")</f>
        <v>#N/A</v>
      </c>
      <c r="J1426" s="7" t="s">
        <v>28</v>
      </c>
    </row>
    <row r="1427" spans="1:10" ht="13.2">
      <c r="A1427" s="7">
        <v>1426</v>
      </c>
      <c r="B1427" s="7">
        <v>1</v>
      </c>
      <c r="C1427" s="7" t="s">
        <v>10</v>
      </c>
      <c r="D1427" s="7">
        <v>446</v>
      </c>
      <c r="E1427" s="7" t="s">
        <v>11</v>
      </c>
      <c r="F1427" s="8" t="str">
        <f ca="1">IFERROR(__xludf.DUMMYFUNCTION("IF
(
C1428=""фізична особа""
,
VLOOKUP(D1428,IMPORTRANGE(""https://docs.google.com/spreadsheets/d/14Bd19lYaqBhU8_DElYkX7l4wRkHqqCUFNJY4AfY3kHU/edit?usp=sharing  #gid=0"",""фіз особи new!relations_name""),6,FALSE)
,
(IF
(
C1428=""юридична особа""
,
VLOOKUP"&amp;"(D1428,IMPORTRANGE(""https://docs.google.com/spreadsheets/d/14Bd19lYaqBhU8_DElYkX7l4wRkHqqCUFNJY4AfY3kHU/edit?usp=sharing  #gid=0"",""фіз особи new!relations_name_uo""),7,FALSE)
,
)
))"),"ПУМПЯНСЬКИЙ Олександр Дмитрович")</f>
        <v>ПУМПЯНСЬКИЙ Олександр Дмитрович</v>
      </c>
      <c r="G1427" s="7" t="s">
        <v>10</v>
      </c>
      <c r="H1427" s="7">
        <v>0</v>
      </c>
      <c r="I1427" s="8" t="str">
        <f ca="1">IFERROR(__xludf.DUMMYFUNCTION("IF
(
G1428=""фізична особа""
,
VLOOKUP(H1428,IMPORTRANGE(""https://docs.google.com/spreadsheets/d/14Bd19lYaqBhU8_DElYkX7l4wRkHqqCUFNJY4AfY3kHU/edit?usp=sharing  #gid=0"",""фіз особи new!relations_name""),6,FALSE)
,
(IF
(
G1428=""юридична особа""
,
VLOOKUP"&amp;"(H1428,IMPORTRANGE(""https://docs.google.com/spreadsheets/d/14Bd19lYaqBhU8_DElYkX7l4wRkHqqCUFNJY4AfY3kHU/edit?usp=sharing  #gid=0"",""фіз особи new!relations_name_uo""),7,FALSE)
,
)
))"),"#N/A")</f>
        <v>#N/A</v>
      </c>
      <c r="J1427" s="7" t="s">
        <v>11</v>
      </c>
    </row>
    <row r="1428" spans="1:10" ht="13.2">
      <c r="A1428" s="7">
        <v>1427</v>
      </c>
      <c r="B1428" s="7">
        <v>1</v>
      </c>
      <c r="C1428" s="7" t="s">
        <v>10</v>
      </c>
      <c r="D1428" s="7">
        <v>448</v>
      </c>
      <c r="E1428" s="7" t="s">
        <v>11</v>
      </c>
      <c r="F1428" s="8" t="str">
        <f ca="1">IFERROR(__xludf.DUMMYFUNCTION("IF
(
C1429=""фізична особа""
,
VLOOKUP(D1429,IMPORTRANGE(""https://docs.google.com/spreadsheets/d/14Bd19lYaqBhU8_DElYkX7l4wRkHqqCUFNJY4AfY3kHU/edit?usp=sharing  #gid=0"",""фіз особи new!relations_name""),6,FALSE)
,
(IF
(
C1429=""юридична особа""
,
VLOOKUP"&amp;"(D1429,IMPORTRANGE(""https://docs.google.com/spreadsheets/d/14Bd19lYaqBhU8_DElYkX7l4wRkHqqCUFNJY4AfY3kHU/edit?usp=sharing  #gid=0"",""фіз особи new!relations_name_uo""),7,FALSE)
,
)
))"),"ПОЛУБОЯРИНОВ Михайло Ігорович")</f>
        <v>ПОЛУБОЯРИНОВ Михайло Ігорович</v>
      </c>
      <c r="G1428" s="7" t="s">
        <v>10</v>
      </c>
      <c r="H1428" s="7">
        <v>3378</v>
      </c>
      <c r="I1428" s="8" t="str">
        <f ca="1">IFERROR(__xludf.DUMMYFUNCTION("IF
(
G1429=""фізична особа""
,
VLOOKUP(H1429,IMPORTRANGE(""https://docs.google.com/spreadsheets/d/14Bd19lYaqBhU8_DElYkX7l4wRkHqqCUFNJY4AfY3kHU/edit?usp=sharing  #gid=0"",""фіз особи new!relations_name""),6,FALSE)
,
(IF
(
G1429=""юридична особа""
,
VLOOKUP"&amp;"(H1429,IMPORTRANGE(""https://docs.google.com/spreadsheets/d/14Bd19lYaqBhU8_DElYkX7l4wRkHqqCUFNJY4AfY3kHU/edit?usp=sharing  #gid=0"",""фіз особи new!relations_name_uo""),7,FALSE)
,
)
))"),"ДІТРІХ Євгеній Іванович")</f>
        <v>ДІТРІХ Євгеній Іванович</v>
      </c>
      <c r="J1428" s="7" t="s">
        <v>11</v>
      </c>
    </row>
    <row r="1429" spans="1:10" ht="13.2">
      <c r="A1429" s="7">
        <v>1428</v>
      </c>
      <c r="B1429" s="7">
        <v>1</v>
      </c>
      <c r="C1429" s="7" t="s">
        <v>10</v>
      </c>
      <c r="D1429" s="7">
        <v>449</v>
      </c>
      <c r="E1429" s="7" t="s">
        <v>28</v>
      </c>
      <c r="F1429" s="8" t="str">
        <f ca="1">IFERROR(__xludf.DUMMYFUNCTION("IF
(
C1430=""фізична особа""
,
VLOOKUP(D1430,IMPORTRANGE(""https://docs.google.com/spreadsheets/d/14Bd19lYaqBhU8_DElYkX7l4wRkHqqCUFNJY4AfY3kHU/edit?usp=sharing  #gid=0"",""фіз особи new!relations_name""),6,FALSE)
,
(IF
(
C1430=""юридична особа""
,
VLOOKUP"&amp;"(D1430,IMPORTRANGE(""https://docs.google.com/spreadsheets/d/14Bd19lYaqBhU8_DElYkX7l4wRkHqqCUFNJY4AfY3kHU/edit?usp=sharing  #gid=0"",""фіз особи new!relations_name_uo""),7,FALSE)
,
)
))"),"КУШАКОВ Михайло Миколайович")</f>
        <v>КУШАКОВ Михайло Миколайович</v>
      </c>
      <c r="G1429" s="7" t="s">
        <v>10</v>
      </c>
      <c r="H1429" s="7">
        <v>4567</v>
      </c>
      <c r="I1429" s="8" t="str">
        <f ca="1">IFERROR(__xludf.DUMMYFUNCTION("IF
(
G1430=""фізична особа""
,
VLOOKUP(H1430,IMPORTRANGE(""https://docs.google.com/spreadsheets/d/14Bd19lYaqBhU8_DElYkX7l4wRkHqqCUFNJY4AfY3kHU/edit?usp=sharing  #gid=0"",""фіз особи new!relations_name""),6,FALSE)
,
(IF
(
G1430=""юридична особа""
,
VLOOKUP"&amp;"(H1430,IMPORTRANGE(""https://docs.google.com/spreadsheets/d/14Bd19lYaqBhU8_DElYkX7l4wRkHqqCUFNJY4AfY3kHU/edit?usp=sharing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1429" s="7" t="s">
        <v>29</v>
      </c>
    </row>
    <row r="1430" spans="1:10" ht="13.2">
      <c r="A1430" s="7">
        <v>1429</v>
      </c>
      <c r="B1430" s="7">
        <v>1</v>
      </c>
      <c r="C1430" s="7" t="s">
        <v>10</v>
      </c>
      <c r="D1430" s="7">
        <v>451</v>
      </c>
      <c r="E1430" s="7" t="s">
        <v>29</v>
      </c>
      <c r="F1430" s="8" t="str">
        <f ca="1">IFERROR(__xludf.DUMMYFUNCTION("IF
(
C1431=""фізична особа""
,
VLOOKUP(D1431,IMPORTRANGE(""https://docs.google.com/spreadsheets/d/14Bd19lYaqBhU8_DElYkX7l4wRkHqqCUFNJY4AfY3kHU/edit?usp=sharing  #gid=0"",""фіз особи new!relations_name""),6,FALSE)
,
(IF
(
C1431=""юридична особа""
,
VLOOKUP"&amp;"(D1431,IMPORTRANGE(""https://docs.google.com/spreadsheets/d/14Bd19lYaqBhU8_DElYkX7l4wRkHqqCUFNJY4AfY3kHU/edit?usp=sharing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0" s="7" t="s">
        <v>10</v>
      </c>
      <c r="H1430" s="7">
        <v>4516</v>
      </c>
      <c r="I1430" s="8" t="str">
        <f ca="1">IFERROR(__xludf.DUMMYFUNCTION("IF
(
G1431=""фізична особа""
,
VLOOKUP(H1431,IMPORTRANGE(""https://docs.google.com/spreadsheets/d/14Bd19lYaqBhU8_DElYkX7l4wRkHqqCUFNJY4AfY3kHU/edit?usp=sharing  #gid=0"",""фіз особи new!relations_name""),6,FALSE)
,
(IF
(
G1431=""юридична особа""
,
VLOOKUP"&amp;"(H1431,IMPORTRANGE(""https://docs.google.com/spreadsheets/d/14Bd19lYaqBhU8_DElYkX7l4wRkHqqCUFNJY4AfY3kHU/edit?usp=sharing  #gid=0"",""фіз особи new!relations_name_uo""),7,FALSE)
,
)
))"),"ЗАІРОВА Нігіна")</f>
        <v>ЗАІРОВА Нігіна</v>
      </c>
      <c r="J1430" s="7" t="s">
        <v>75</v>
      </c>
    </row>
    <row r="1431" spans="1:10" ht="13.2">
      <c r="A1431" s="7">
        <v>1430</v>
      </c>
      <c r="B1431" s="7">
        <v>1</v>
      </c>
      <c r="C1431" s="7" t="s">
        <v>10</v>
      </c>
      <c r="D1431" s="7">
        <v>451</v>
      </c>
      <c r="E1431" s="7" t="s">
        <v>42</v>
      </c>
      <c r="F1431" s="8" t="str">
        <f ca="1">IFERROR(__xludf.DUMMYFUNCTION("IF
(
C1432=""фізична особа""
,
VLOOKUP(D1432,IMPORTRANGE(""https://docs.google.com/spreadsheets/d/14Bd19lYaqBhU8_DElYkX7l4wRkHqqCUFNJY4AfY3kHU/edit?usp=sharing  #gid=0"",""фіз особи new!relations_name""),6,FALSE)
,
(IF
(
C1432=""юридична особа""
,
VLOOKUP"&amp;"(D1432,IMPORTRANGE(""https://docs.google.com/spreadsheets/d/14Bd19lYaqBhU8_DElYkX7l4wRkHqqCUFNJY4AfY3kHU/edit?usp=sharing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1" s="7" t="s">
        <v>10</v>
      </c>
      <c r="H1431" s="7">
        <v>1979</v>
      </c>
      <c r="I1431" s="8" t="str">
        <f ca="1">IFERROR(__xludf.DUMMYFUNCTION("IF
(
G1432=""фізична особа""
,
VLOOKUP(H1432,IMPORTRANGE(""https://docs.google.com/spreadsheets/d/14Bd19lYaqBhU8_DElYkX7l4wRkHqqCUFNJY4AfY3kHU/edit?usp=sharing  #gid=0"",""фіз особи new!relations_name""),6,FALSE)
,
(IF
(
G1432=""юридична особа""
,
VLOOKUP"&amp;"(H1432,IMPORTRANGE(""https://docs.google.com/spreadsheets/d/14Bd19lYaqBhU8_DElYkX7l4wRkHqqCUFNJY4AfY3kHU/edit?usp=sharing  #gid=0"",""фіз особи new!relations_name_uo""),7,FALSE)
,
)
))"),"ФРІДМАН / АЙЗІМАН Ольга")</f>
        <v>ФРІДМАН / АЙЗІМАН Ольга</v>
      </c>
      <c r="J1431" s="7" t="s">
        <v>43</v>
      </c>
    </row>
    <row r="1432" spans="1:10" ht="13.2">
      <c r="A1432" s="7">
        <v>1431</v>
      </c>
      <c r="B1432" s="7">
        <v>1</v>
      </c>
      <c r="C1432" s="7" t="s">
        <v>10</v>
      </c>
      <c r="D1432" s="7">
        <v>451</v>
      </c>
      <c r="E1432" s="7" t="s">
        <v>11</v>
      </c>
      <c r="F1432" s="8" t="str">
        <f ca="1">IFERROR(__xludf.DUMMYFUNCTION("IF
(
C1433=""фізична особа""
,
VLOOKUP(D1433,IMPORTRANGE(""https://docs.google.com/spreadsheets/d/14Bd19lYaqBhU8_DElYkX7l4wRkHqqCUFNJY4AfY3kHU/edit?usp=sharing  #gid=0"",""фіз особи new!relations_name""),6,FALSE)
,
(IF
(
C1433=""юридична особа""
,
VLOOKUP"&amp;"(D1433,IMPORTRANGE(""https://docs.google.com/spreadsheets/d/14Bd19lYaqBhU8_DElYkX7l4wRkHqqCUFNJY4AfY3kHU/edit?usp=sharing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2" s="7" t="s">
        <v>10</v>
      </c>
      <c r="H1432" s="7">
        <v>880</v>
      </c>
      <c r="I1432" s="8" t="str">
        <f ca="1">IFERROR(__xludf.DUMMYFUNCTION("IF
(
G1433=""фізична особа""
,
VLOOKUP(H1433,IMPORTRANGE(""https://docs.google.com/spreadsheets/d/14Bd19lYaqBhU8_DElYkX7l4wRkHqqCUFNJY4AfY3kHU/edit?usp=sharing  #gid=0"",""фіз особи new!relations_name""),6,FALSE)
,
(IF
(
G1433=""юридична особа""
,
VLOOKUP"&amp;"(H1433,IMPORTRANGE(""https://docs.google.com/spreadsheets/d/14Bd19lYaqBhU8_DElYkX7l4wRkHqqCUFNJY4AfY3kHU/edit?usp=sharing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432" s="7" t="s">
        <v>11</v>
      </c>
    </row>
    <row r="1433" spans="1:10" ht="13.2">
      <c r="A1433" s="7">
        <v>1432</v>
      </c>
      <c r="B1433" s="7">
        <v>1</v>
      </c>
      <c r="C1433" s="7" t="s">
        <v>10</v>
      </c>
      <c r="D1433" s="7">
        <v>451</v>
      </c>
      <c r="E1433" s="7" t="s">
        <v>11</v>
      </c>
      <c r="F1433" s="8" t="str">
        <f ca="1">IFERROR(__xludf.DUMMYFUNCTION("IF
(
C1434=""фізична особа""
,
VLOOKUP(D1434,IMPORTRANGE(""https://docs.google.com/spreadsheets/d/14Bd19lYaqBhU8_DElYkX7l4wRkHqqCUFNJY4AfY3kHU/edit?usp=sharing  #gid=0"",""фіз особи new!relations_name""),6,FALSE)
,
(IF
(
C1434=""юридична особа""
,
VLOOKUP"&amp;"(D1434,IMPORTRANGE(""https://docs.google.com/spreadsheets/d/14Bd19lYaqBhU8_DElYkX7l4wRkHqqCUFNJY4AfY3kHU/edit?usp=sharing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3" s="7" t="s">
        <v>10</v>
      </c>
      <c r="H1433" s="7">
        <v>359</v>
      </c>
      <c r="I1433" s="8" t="str">
        <f ca="1">IFERROR(__xludf.DUMMYFUNCTION("IF
(
G1434=""фізична особа""
,
VLOOKUP(H1434,IMPORTRANGE(""https://docs.google.com/spreadsheets/d/14Bd19lYaqBhU8_DElYkX7l4wRkHqqCUFNJY4AfY3kHU/edit?usp=sharing  #gid=0"",""фіз особи new!relations_name""),6,FALSE)
,
(IF
(
G1434=""юридична особа""
,
VLOOKUP"&amp;"(H1434,IMPORTRANGE(""https://docs.google.com/spreadsheets/d/14Bd19lYaqBhU8_DElYkX7l4wRkHqqCUFNJY4AfY3kHU/edit?usp=sharing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1433" s="7" t="s">
        <v>11</v>
      </c>
    </row>
    <row r="1434" spans="1:10" ht="13.2">
      <c r="A1434" s="7">
        <v>1433</v>
      </c>
      <c r="B1434" s="7">
        <v>1</v>
      </c>
      <c r="C1434" s="7" t="s">
        <v>10</v>
      </c>
      <c r="D1434" s="7">
        <v>451</v>
      </c>
      <c r="E1434" s="7" t="s">
        <v>11</v>
      </c>
      <c r="F1434" s="8" t="str">
        <f ca="1">IFERROR(__xludf.DUMMYFUNCTION("IF
(
C1435=""фізична особа""
,
VLOOKUP(D1435,IMPORTRANGE(""https://docs.google.com/spreadsheets/d/14Bd19lYaqBhU8_DElYkX7l4wRkHqqCUFNJY4AfY3kHU/edit?usp=sharing  #gid=0"",""фіз особи new!relations_name""),6,FALSE)
,
(IF
(
C1435=""юридична особа""
,
VLOOKUP"&amp;"(D1435,IMPORTRANGE(""https://docs.google.com/spreadsheets/d/14Bd19lYaqBhU8_DElYkX7l4wRkHqqCUFNJY4AfY3kHU/edit?usp=sharing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4" s="7" t="s">
        <v>10</v>
      </c>
      <c r="H1434" s="7">
        <v>12</v>
      </c>
      <c r="I1434" s="8" t="str">
        <f ca="1">IFERROR(__xludf.DUMMYFUNCTION("IF
(
G1435=""фізична особа""
,
VLOOKUP(H1435,IMPORTRANGE(""https://docs.google.com/spreadsheets/d/14Bd19lYaqBhU8_DElYkX7l4wRkHqqCUFNJY4AfY3kHU/edit?usp=sharing  #gid=0"",""фіз особи new!relations_name""),6,FALSE)
,
(IF
(
G1435=""юридична особа""
,
VLOOKUP"&amp;"(H1435,IMPORTRANGE(""https://docs.google.com/spreadsheets/d/14Bd19lYaqBhU8_DElYkX7l4wRkHqqCUFNJY4AfY3kHU/edit?usp=sharing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J1434" s="7" t="s">
        <v>11</v>
      </c>
    </row>
    <row r="1435" spans="1:10" ht="13.2">
      <c r="A1435" s="7">
        <v>1434</v>
      </c>
      <c r="B1435" s="7">
        <v>1</v>
      </c>
      <c r="C1435" s="7" t="s">
        <v>10</v>
      </c>
      <c r="D1435" s="7">
        <v>451</v>
      </c>
      <c r="E1435" s="7" t="s">
        <v>11</v>
      </c>
      <c r="F1435" s="8" t="str">
        <f ca="1">IFERROR(__xludf.DUMMYFUNCTION("IF
(
C1436=""фізична особа""
,
VLOOKUP(D1436,IMPORTRANGE(""https://docs.google.com/spreadsheets/d/14Bd19lYaqBhU8_DElYkX7l4wRkHqqCUFNJY4AfY3kHU/edit?usp=sharing  #gid=0"",""фіз особи new!relations_name""),6,FALSE)
,
(IF
(
C1436=""юридична особа""
,
VLOOKUP"&amp;"(D1436,IMPORTRANGE(""https://docs.google.com/spreadsheets/d/14Bd19lYaqBhU8_DElYkX7l4wRkHqqCUFNJY4AfY3kHU/edit?usp=sharing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5" s="7" t="s">
        <v>10</v>
      </c>
      <c r="H1435" s="7">
        <v>595</v>
      </c>
      <c r="I1435" s="8" t="str">
        <f ca="1">IFERROR(__xludf.DUMMYFUNCTION("IF
(
G1436=""фізична особа""
,
VLOOKUP(H1436,IMPORTRANGE(""https://docs.google.com/spreadsheets/d/14Bd19lYaqBhU8_DElYkX7l4wRkHqqCUFNJY4AfY3kHU/edit?usp=sharing  #gid=0"",""фіз особи new!relations_name""),6,FALSE)
,
(IF
(
G1436=""юридична особа""
,
VLOOKUP"&amp;"(H1436,IMPORTRANGE(""https://docs.google.com/spreadsheets/d/14Bd19lYaqBhU8_DElYkX7l4wRkHqqCUFNJY4AfY3kHU/edit?usp=sharing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435" s="7" t="s">
        <v>11</v>
      </c>
    </row>
    <row r="1436" spans="1:10" ht="13.2">
      <c r="A1436" s="7">
        <v>1435</v>
      </c>
      <c r="B1436" s="7">
        <v>1</v>
      </c>
      <c r="C1436" s="7" t="s">
        <v>10</v>
      </c>
      <c r="D1436" s="7">
        <v>451</v>
      </c>
      <c r="E1436" s="7" t="s">
        <v>30</v>
      </c>
      <c r="F1436" s="8" t="str">
        <f ca="1">IFERROR(__xludf.DUMMYFUNCTION("IF
(
C1437=""фізична особа""
,
VLOOKUP(D1437,IMPORTRANGE(""https://docs.google.com/spreadsheets/d/14Bd19lYaqBhU8_DElYkX7l4wRkHqqCUFNJY4AfY3kHU/edit?usp=sharing  #gid=0"",""фіз особи new!relations_name""),6,FALSE)
,
(IF
(
C1437=""юридична особа""
,
VLOOKUP"&amp;"(D1437,IMPORTRANGE(""https://docs.google.com/spreadsheets/d/14Bd19lYaqBhU8_DElYkX7l4wRkHqqCUFNJY4AfY3kHU/edit?usp=sharing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6" s="7" t="s">
        <v>10</v>
      </c>
      <c r="H1436" s="7">
        <v>0</v>
      </c>
      <c r="I1436" s="8" t="str">
        <f ca="1">IFERROR(__xludf.DUMMYFUNCTION("IF
(
G1437=""фізична особа""
,
VLOOKUP(H1437,IMPORTRANGE(""https://docs.google.com/spreadsheets/d/14Bd19lYaqBhU8_DElYkX7l4wRkHqqCUFNJY4AfY3kHU/edit?usp=sharing  #gid=0"",""фіз особи new!relations_name""),6,FALSE)
,
(IF
(
G1437=""юридична особа""
,
VLOOKUP"&amp;"(H1437,IMPORTRANGE(""https://docs.google.com/spreadsheets/d/14Bd19lYaqBhU8_DElYkX7l4wRkHqqCUFNJY4AfY3kHU/edit?usp=sharing  #gid=0"",""фіз особи new!relations_name_uo""),7,FALSE)
,
)
))"),"#N/A")</f>
        <v>#N/A</v>
      </c>
      <c r="J1436" s="7" t="s">
        <v>30</v>
      </c>
    </row>
    <row r="1437" spans="1:10" ht="13.2">
      <c r="A1437" s="7">
        <v>1436</v>
      </c>
      <c r="B1437" s="7">
        <v>1</v>
      </c>
      <c r="C1437" s="7" t="s">
        <v>10</v>
      </c>
      <c r="D1437" s="7">
        <v>451</v>
      </c>
      <c r="E1437" s="7" t="s">
        <v>12</v>
      </c>
      <c r="F1437" s="8" t="str">
        <f ca="1">IFERROR(__xludf.DUMMYFUNCTION("IF
(
C1438=""фізична особа""
,
VLOOKUP(D1438,IMPORTRANGE(""https://docs.google.com/spreadsheets/d/14Bd19lYaqBhU8_DElYkX7l4wRkHqqCUFNJY4AfY3kHU/edit?usp=sharing  #gid=0"",""фіз особи new!relations_name""),6,FALSE)
,
(IF
(
C1438=""юридична особа""
,
VLOOKUP"&amp;"(D1438,IMPORTRANGE(""https://docs.google.com/spreadsheets/d/14Bd19lYaqBhU8_DElYkX7l4wRkHqqCUFNJY4AfY3kHU/edit?usp=sharing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7" s="7" t="s">
        <v>10</v>
      </c>
      <c r="H1437" s="7">
        <v>1982</v>
      </c>
      <c r="I1437" s="8" t="str">
        <f ca="1">IFERROR(__xludf.DUMMYFUNCTION("IF
(
G1438=""фізична особа""
,
VLOOKUP(H1438,IMPORTRANGE(""https://docs.google.com/spreadsheets/d/14Bd19lYaqBhU8_DElYkX7l4wRkHqqCUFNJY4AfY3kHU/edit?usp=sharing  #gid=0"",""фіз особи new!relations_name""),6,FALSE)
,
(IF
(
G1438=""юридична особа""
,
VLOOKUP"&amp;"(H1438,IMPORTRANGE(""https://docs.google.com/spreadsheets/d/14Bd19lYaqBhU8_DElYkX7l4wRkHqqCUFNJY4AfY3kHU/edit?usp=sharing  #gid=0"",""фіз особи new!relations_name_uo""),7,FALSE)
,
)
))"),"ФРІДМАН Катя Михайлівна")</f>
        <v>ФРІДМАН Катя Михайлівна</v>
      </c>
      <c r="J1437" s="7" t="s">
        <v>76</v>
      </c>
    </row>
    <row r="1438" spans="1:10" ht="13.2">
      <c r="A1438" s="7">
        <v>1437</v>
      </c>
      <c r="B1438" s="7">
        <v>1</v>
      </c>
      <c r="C1438" s="7" t="s">
        <v>10</v>
      </c>
      <c r="D1438" s="7">
        <v>451</v>
      </c>
      <c r="E1438" s="7" t="s">
        <v>12</v>
      </c>
      <c r="F1438" s="8" t="str">
        <f ca="1">IFERROR(__xludf.DUMMYFUNCTION("IF
(
C1439=""фізична особа""
,
VLOOKUP(D1439,IMPORTRANGE(""https://docs.google.com/spreadsheets/d/14Bd19lYaqBhU8_DElYkX7l4wRkHqqCUFNJY4AfY3kHU/edit?usp=sharing  #gid=0"",""фіз особи new!relations_name""),6,FALSE)
,
(IF
(
C1439=""юридична особа""
,
VLOOKUP"&amp;"(D1439,IMPORTRANGE(""https://docs.google.com/spreadsheets/d/14Bd19lYaqBhU8_DElYkX7l4wRkHqqCUFNJY4AfY3kHU/edit?usp=sharing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G1438" s="7" t="s">
        <v>10</v>
      </c>
      <c r="H1438" s="7">
        <v>1983</v>
      </c>
      <c r="I1438" s="8" t="str">
        <f ca="1">IFERROR(__xludf.DUMMYFUNCTION("IF
(
G1439=""фізична особа""
,
VLOOKUP(H1439,IMPORTRANGE(""https://docs.google.com/spreadsheets/d/14Bd19lYaqBhU8_DElYkX7l4wRkHqqCUFNJY4AfY3kHU/edit?usp=sharing  #gid=0"",""фіз особи new!relations_name""),6,FALSE)
,
(IF
(
G1439=""юридична особа""
,
VLOOKUP"&amp;"(H1439,IMPORTRANGE(""https://docs.google.com/spreadsheets/d/14Bd19lYaqBhU8_DElYkX7l4wRkHqqCUFNJY4AfY3kHU/edit?usp=sharing  #gid=0"",""фіз особи new!relations_name_uo""),7,FALSE)
,
)
))"),"ФРІДМАН Лариса Михайлівна")</f>
        <v>ФРІДМАН Лариса Михайлівна</v>
      </c>
      <c r="J1438" s="7" t="s">
        <v>76</v>
      </c>
    </row>
    <row r="1439" spans="1:10" ht="13.2">
      <c r="A1439" s="7">
        <v>1438</v>
      </c>
      <c r="B1439" s="7">
        <v>1</v>
      </c>
      <c r="C1439" s="7" t="s">
        <v>10</v>
      </c>
      <c r="D1439" s="7">
        <v>452</v>
      </c>
      <c r="E1439" s="7" t="s">
        <v>14</v>
      </c>
      <c r="F1439" s="8" t="str">
        <f ca="1">IFERROR(__xludf.DUMMYFUNCTION("IF
(
C1440=""фізична особа""
,
VLOOKUP(D1440,IMPORTRANGE(""https://docs.google.com/spreadsheets/d/14Bd19lYaqBhU8_DElYkX7l4wRkHqqCUFNJY4AfY3kHU/edit?usp=sharing  #gid=0"",""фіз особи new!relations_name""),6,FALSE)
,
(IF
(
C1440=""юридична особа""
,
VLOOKUP"&amp;"(D1440,IMPORTRANGE(""https://docs.google.com/spreadsheets/d/14Bd19lYaqBhU8_DElYkX7l4wRkHqqCUFNJY4AfY3kHU/edit?usp=sharing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39" s="7" t="s">
        <v>10</v>
      </c>
      <c r="H1439" s="7">
        <v>8849</v>
      </c>
      <c r="I1439" s="8" t="str">
        <f ca="1">IFERROR(__xludf.DUMMYFUNCTION("IF
(
G1440=""фізична особа""
,
VLOOKUP(H1440,IMPORTRANGE(""https://docs.google.com/spreadsheets/d/14Bd19lYaqBhU8_DElYkX7l4wRkHqqCUFNJY4AfY3kHU/edit?usp=sharing  #gid=0"",""фіз особи new!relations_name""),6,FALSE)
,
(IF
(
G1440=""юридична особа""
,
VLOOKUP"&amp;"(H1440,IMPORTRANGE(""https://docs.google.com/spreadsheets/d/14Bd19lYaqBhU8_DElYkX7l4wRkHqqCUFNJY4AfY3kHU/edit?usp=sharing  #gid=0"",""фіз особи new!relations_name_uo""),7,FALSE)
,
)
))"),"БЕРУЛАВА Галина Олексіївна")</f>
        <v>БЕРУЛАВА Галина Олексіївна</v>
      </c>
      <c r="J1439" s="7" t="s">
        <v>15</v>
      </c>
    </row>
    <row r="1440" spans="1:10" ht="13.2">
      <c r="A1440" s="7">
        <v>1439</v>
      </c>
      <c r="B1440" s="7">
        <v>1</v>
      </c>
      <c r="C1440" s="7" t="s">
        <v>10</v>
      </c>
      <c r="D1440" s="7">
        <v>452</v>
      </c>
      <c r="E1440" s="7" t="s">
        <v>12</v>
      </c>
      <c r="F1440" s="8" t="str">
        <f ca="1">IFERROR(__xludf.DUMMYFUNCTION("IF
(
C1441=""фізична особа""
,
VLOOKUP(D1441,IMPORTRANGE(""https://docs.google.com/spreadsheets/d/14Bd19lYaqBhU8_DElYkX7l4wRkHqqCUFNJY4AfY3kHU/edit?usp=sharing  #gid=0"",""фіз особи new!relations_name""),6,FALSE)
,
(IF
(
C1441=""юридична особа""
,
VLOOKUP"&amp;"(D1441,IMPORTRANGE(""https://docs.google.com/spreadsheets/d/14Bd19lYaqBhU8_DElYkX7l4wRkHqqCUFNJY4AfY3kHU/edit?usp=sharing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0" s="7" t="s">
        <v>10</v>
      </c>
      <c r="H1440" s="7">
        <v>8850</v>
      </c>
      <c r="I1440" s="8" t="str">
        <f ca="1">IFERROR(__xludf.DUMMYFUNCTION("IF
(
G1441=""фізична особа""
,
VLOOKUP(H1441,IMPORTRANGE(""https://docs.google.com/spreadsheets/d/14Bd19lYaqBhU8_DElYkX7l4wRkHqqCUFNJY4AfY3kHU/edit?usp=sharing  #gid=0"",""фіз особи new!relations_name""),6,FALSE)
,
(IF
(
G1441=""юридична особа""
,
VLOOKUP"&amp;"(H1441,IMPORTRANGE(""https://docs.google.com/spreadsheets/d/14Bd19lYaqBhU8_DElYkX7l4wRkHqqCUFNJY4AfY3kHU/edit?usp=sharing  #gid=0"",""фіз особи new!relations_name_uo""),7,FALSE)
,
)
))"),"БЕРУЛАВА Марія Михайлівна")</f>
        <v>БЕРУЛАВА Марія Михайлівна</v>
      </c>
      <c r="J1440" s="7" t="s">
        <v>13</v>
      </c>
    </row>
    <row r="1441" spans="1:10" ht="13.2">
      <c r="A1441" s="7">
        <v>1440</v>
      </c>
      <c r="B1441" s="7">
        <v>1</v>
      </c>
      <c r="C1441" s="7" t="s">
        <v>10</v>
      </c>
      <c r="D1441" s="7">
        <v>452</v>
      </c>
      <c r="E1441" s="7" t="s">
        <v>12</v>
      </c>
      <c r="F1441" s="8" t="str">
        <f ca="1">IFERROR(__xludf.DUMMYFUNCTION("IF
(
C1442=""фізична особа""
,
VLOOKUP(D1442,IMPORTRANGE(""https://docs.google.com/spreadsheets/d/14Bd19lYaqBhU8_DElYkX7l4wRkHqqCUFNJY4AfY3kHU/edit?usp=sharing  #gid=0"",""фіз особи new!relations_name""),6,FALSE)
,
(IF
(
C1442=""юридична особа""
,
VLOOKUP"&amp;"(D1442,IMPORTRANGE(""https://docs.google.com/spreadsheets/d/14Bd19lYaqBhU8_DElYkX7l4wRkHqqCUFNJY4AfY3kHU/edit?usp=sharing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1" s="7" t="s">
        <v>10</v>
      </c>
      <c r="H1441" s="7">
        <v>0</v>
      </c>
      <c r="I1441" s="8" t="str">
        <f ca="1">IFERROR(__xludf.DUMMYFUNCTION("IF
(
G1442=""фізична особа""
,
VLOOKUP(H1442,IMPORTRANGE(""https://docs.google.com/spreadsheets/d/14Bd19lYaqBhU8_DElYkX7l4wRkHqqCUFNJY4AfY3kHU/edit?usp=sharing  #gid=0"",""фіз особи new!relations_name""),6,FALSE)
,
(IF
(
G1442=""юридична особа""
,
VLOOKUP"&amp;"(H1442,IMPORTRANGE(""https://docs.google.com/spreadsheets/d/14Bd19lYaqBhU8_DElYkX7l4wRkHqqCUFNJY4AfY3kHU/edit?usp=sharing  #gid=0"",""фіз особи new!relations_name_uo""),7,FALSE)
,
)
))"),"#N/A")</f>
        <v>#N/A</v>
      </c>
      <c r="J1441" s="7" t="s">
        <v>17</v>
      </c>
    </row>
    <row r="1442" spans="1:10" ht="13.2">
      <c r="A1442" s="7">
        <v>1441</v>
      </c>
      <c r="B1442" s="7">
        <v>1</v>
      </c>
      <c r="C1442" s="7" t="s">
        <v>10</v>
      </c>
      <c r="D1442" s="7">
        <v>452</v>
      </c>
      <c r="E1442" s="7" t="s">
        <v>34</v>
      </c>
      <c r="F1442" s="8" t="str">
        <f ca="1">IFERROR(__xludf.DUMMYFUNCTION("IF
(
C1443=""фізична особа""
,
VLOOKUP(D1443,IMPORTRANGE(""https://docs.google.com/spreadsheets/d/14Bd19lYaqBhU8_DElYkX7l4wRkHqqCUFNJY4AfY3kHU/edit?usp=sharing  #gid=0"",""фіз особи new!relations_name""),6,FALSE)
,
(IF
(
C1443=""юридична особа""
,
VLOOKUP"&amp;"(D1443,IMPORTRANGE(""https://docs.google.com/spreadsheets/d/14Bd19lYaqBhU8_DElYkX7l4wRkHqqCUFNJY4AfY3kHU/edit?usp=sharing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2" s="7" t="s">
        <v>10</v>
      </c>
      <c r="H1442" s="7">
        <v>0</v>
      </c>
      <c r="I1442" s="8" t="str">
        <f ca="1">IFERROR(__xludf.DUMMYFUNCTION("IF
(
G1443=""фізична особа""
,
VLOOKUP(H1443,IMPORTRANGE(""https://docs.google.com/spreadsheets/d/14Bd19lYaqBhU8_DElYkX7l4wRkHqqCUFNJY4AfY3kHU/edit?usp=sharing  #gid=0"",""фіз особи new!relations_name""),6,FALSE)
,
(IF
(
G1443=""юридична особа""
,
VLOOKUP"&amp;"(H1443,IMPORTRANGE(""https://docs.google.com/spreadsheets/d/14Bd19lYaqBhU8_DElYkX7l4wRkHqqCUFNJY4AfY3kHU/edit?usp=sharing  #gid=0"",""фіз особи new!relations_name_uo""),7,FALSE)
,
)
))"),"#N/A")</f>
        <v>#N/A</v>
      </c>
      <c r="J1442" s="7" t="s">
        <v>25</v>
      </c>
    </row>
    <row r="1443" spans="1:10" ht="13.2">
      <c r="A1443" s="7">
        <v>1442</v>
      </c>
      <c r="B1443" s="7">
        <v>1</v>
      </c>
      <c r="C1443" s="7" t="s">
        <v>10</v>
      </c>
      <c r="D1443" s="7">
        <v>452</v>
      </c>
      <c r="E1443" s="7" t="s">
        <v>59</v>
      </c>
      <c r="F1443" s="8" t="str">
        <f ca="1">IFERROR(__xludf.DUMMYFUNCTION("IF
(
C1444=""фізична особа""
,
VLOOKUP(D1444,IMPORTRANGE(""https://docs.google.com/spreadsheets/d/14Bd19lYaqBhU8_DElYkX7l4wRkHqqCUFNJY4AfY3kHU/edit?usp=sharing  #gid=0"",""фіз особи new!relations_name""),6,FALSE)
,
(IF
(
C1444=""юридична особа""
,
VLOOKUP"&amp;"(D1444,IMPORTRANGE(""https://docs.google.com/spreadsheets/d/14Bd19lYaqBhU8_DElYkX7l4wRkHqqCUFNJY4AfY3kHU/edit?usp=sharing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3" s="7" t="s">
        <v>10</v>
      </c>
      <c r="H1443" s="7">
        <v>0</v>
      </c>
      <c r="I1443" s="8" t="str">
        <f ca="1">IFERROR(__xludf.DUMMYFUNCTION("IF
(
G1444=""фізична особа""
,
VLOOKUP(H1444,IMPORTRANGE(""https://docs.google.com/spreadsheets/d/14Bd19lYaqBhU8_DElYkX7l4wRkHqqCUFNJY4AfY3kHU/edit?usp=sharing  #gid=0"",""фіз особи new!relations_name""),6,FALSE)
,
(IF
(
G1444=""юридична особа""
,
VLOOKUP"&amp;"(H1444,IMPORTRANGE(""https://docs.google.com/spreadsheets/d/14Bd19lYaqBhU8_DElYkX7l4wRkHqqCUFNJY4AfY3kHU/edit?usp=sharing  #gid=0"",""фіз особи new!relations_name_uo""),7,FALSE)
,
)
))"),"#N/A")</f>
        <v>#N/A</v>
      </c>
      <c r="J1443" s="7" t="s">
        <v>60</v>
      </c>
    </row>
    <row r="1444" spans="1:10" ht="13.2">
      <c r="A1444" s="7">
        <v>1443</v>
      </c>
      <c r="B1444" s="7">
        <v>1</v>
      </c>
      <c r="C1444" s="7" t="s">
        <v>10</v>
      </c>
      <c r="D1444" s="7">
        <v>452</v>
      </c>
      <c r="E1444" s="7" t="s">
        <v>59</v>
      </c>
      <c r="F1444" s="8" t="str">
        <f ca="1">IFERROR(__xludf.DUMMYFUNCTION("IF
(
C1445=""фізична особа""
,
VLOOKUP(D1445,IMPORTRANGE(""https://docs.google.com/spreadsheets/d/14Bd19lYaqBhU8_DElYkX7l4wRkHqqCUFNJY4AfY3kHU/edit?usp=sharing  #gid=0"",""фіз особи new!relations_name""),6,FALSE)
,
(IF
(
C1445=""юридична особа""
,
VLOOKUP"&amp;"(D1445,IMPORTRANGE(""https://docs.google.com/spreadsheets/d/14Bd19lYaqBhU8_DElYkX7l4wRkHqqCUFNJY4AfY3kHU/edit?usp=sharing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4" s="7" t="s">
        <v>10</v>
      </c>
      <c r="H1444" s="7">
        <v>0</v>
      </c>
      <c r="I1444" s="8" t="str">
        <f ca="1">IFERROR(__xludf.DUMMYFUNCTION("IF
(
G1445=""фізична особа""
,
VLOOKUP(H1445,IMPORTRANGE(""https://docs.google.com/spreadsheets/d/14Bd19lYaqBhU8_DElYkX7l4wRkHqqCUFNJY4AfY3kHU/edit?usp=sharing  #gid=0"",""фіз особи new!relations_name""),6,FALSE)
,
(IF
(
G1445=""юридична особа""
,
VLOOKUP"&amp;"(H1445,IMPORTRANGE(""https://docs.google.com/spreadsheets/d/14Bd19lYaqBhU8_DElYkX7l4wRkHqqCUFNJY4AfY3kHU/edit?usp=sharing  #gid=0"",""фіз особи new!relations_name_uo""),7,FALSE)
,
)
))"),"#N/A")</f>
        <v>#N/A</v>
      </c>
      <c r="J1444" s="7" t="s">
        <v>60</v>
      </c>
    </row>
    <row r="1445" spans="1:10" ht="13.2">
      <c r="A1445" s="7">
        <v>1444</v>
      </c>
      <c r="B1445" s="7">
        <v>1</v>
      </c>
      <c r="C1445" s="7" t="s">
        <v>10</v>
      </c>
      <c r="D1445" s="7">
        <v>452</v>
      </c>
      <c r="E1445" s="7" t="s">
        <v>11</v>
      </c>
      <c r="F1445" s="8" t="str">
        <f ca="1">IFERROR(__xludf.DUMMYFUNCTION("IF
(
C1446=""фізична особа""
,
VLOOKUP(D1446,IMPORTRANGE(""https://docs.google.com/spreadsheets/d/14Bd19lYaqBhU8_DElYkX7l4wRkHqqCUFNJY4AfY3kHU/edit?usp=sharing  #gid=0"",""фіз особи new!relations_name""),6,FALSE)
,
(IF
(
C1446=""юридична особа""
,
VLOOKUP"&amp;"(D1446,IMPORTRANGE(""https://docs.google.com/spreadsheets/d/14Bd19lYaqBhU8_DElYkX7l4wRkHqqCUFNJY4AfY3kHU/edit?usp=sharing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G1445" s="7" t="s">
        <v>10</v>
      </c>
      <c r="H1445" s="7">
        <v>0</v>
      </c>
      <c r="I1445" s="8" t="str">
        <f ca="1">IFERROR(__xludf.DUMMYFUNCTION("IF
(
G1446=""фізична особа""
,
VLOOKUP(H1446,IMPORTRANGE(""https://docs.google.com/spreadsheets/d/14Bd19lYaqBhU8_DElYkX7l4wRkHqqCUFNJY4AfY3kHU/edit?usp=sharing  #gid=0"",""фіз особи new!relations_name""),6,FALSE)
,
(IF
(
G1446=""юридична особа""
,
VLOOKUP"&amp;"(H1446,IMPORTRANGE(""https://docs.google.com/spreadsheets/d/14Bd19lYaqBhU8_DElYkX7l4wRkHqqCUFNJY4AfY3kHU/edit?usp=sharing  #gid=0"",""фіз особи new!relations_name_uo""),7,FALSE)
,
)
))"),"#N/A")</f>
        <v>#N/A</v>
      </c>
      <c r="J1445" s="7" t="s">
        <v>11</v>
      </c>
    </row>
    <row r="1446" spans="1:10" ht="13.2">
      <c r="A1446" s="7">
        <v>1445</v>
      </c>
      <c r="B1446" s="7">
        <v>1</v>
      </c>
      <c r="C1446" s="7" t="s">
        <v>10</v>
      </c>
      <c r="D1446" s="7">
        <v>455</v>
      </c>
      <c r="E1446" s="7" t="s">
        <v>17</v>
      </c>
      <c r="F1446" s="8" t="str">
        <f ca="1">IFERROR(__xludf.DUMMYFUNCTION("IF
(
C1447=""фізична особа""
,
VLOOKUP(D1447,IMPORTRANGE(""https://docs.google.com/spreadsheets/d/14Bd19lYaqBhU8_DElYkX7l4wRkHqqCUFNJY4AfY3kHU/edit?usp=sharing  #gid=0"",""фіз особи new!relations_name""),6,FALSE)
,
(IF
(
C1447=""юридична особа""
,
VLOOKUP"&amp;"(D1447,IMPORTRANGE(""https://docs.google.com/spreadsheets/d/14Bd19lYaqBhU8_DElYkX7l4wRkHqqCUFNJY4AfY3kHU/edit?usp=sharing  #gid=0"",""фіз особи new!relations_name_uo""),7,FALSE)
,
)
))"),"ДЕГТЯРЬОВ Михайло Володимирович")</f>
        <v>ДЕГТЯРЬОВ Михайло Володимирович</v>
      </c>
      <c r="G1446" s="7" t="s">
        <v>10</v>
      </c>
      <c r="H1446" s="7">
        <v>0</v>
      </c>
      <c r="I1446" s="8" t="str">
        <f ca="1">IFERROR(__xludf.DUMMYFUNCTION("IF
(
G1447=""фізична особа""
,
VLOOKUP(H1447,IMPORTRANGE(""https://docs.google.com/spreadsheets/d/14Bd19lYaqBhU8_DElYkX7l4wRkHqqCUFNJY4AfY3kHU/edit?usp=sharing  #gid=0"",""фіз особи new!relations_name""),6,FALSE)
,
(IF
(
G1447=""юридична особа""
,
VLOOKUP"&amp;"(H1447,IMPORTRANGE(""https://docs.google.com/spreadsheets/d/14Bd19lYaqBhU8_DElYkX7l4wRkHqqCUFNJY4AfY3kHU/edit?usp=sharing  #gid=0"",""фіз особи new!relations_name_uo""),7,FALSE)
,
)
))"),"#N/A")</f>
        <v>#N/A</v>
      </c>
      <c r="J1446" s="7" t="s">
        <v>12</v>
      </c>
    </row>
    <row r="1447" spans="1:10" ht="13.2">
      <c r="A1447" s="7">
        <v>1446</v>
      </c>
      <c r="B1447" s="7">
        <v>1</v>
      </c>
      <c r="C1447" s="7" t="s">
        <v>10</v>
      </c>
      <c r="D1447" s="7">
        <v>455</v>
      </c>
      <c r="E1447" s="7" t="s">
        <v>17</v>
      </c>
      <c r="F1447" s="8" t="str">
        <f ca="1">IFERROR(__xludf.DUMMYFUNCTION("IF
(
C1448=""фізична особа""
,
VLOOKUP(D1448,IMPORTRANGE(""https://docs.google.com/spreadsheets/d/14Bd19lYaqBhU8_DElYkX7l4wRkHqqCUFNJY4AfY3kHU/edit?usp=sharing  #gid=0"",""фіз особи new!relations_name""),6,FALSE)
,
(IF
(
C1448=""юридична особа""
,
VLOOKUP"&amp;"(D1448,IMPORTRANGE(""https://docs.google.com/spreadsheets/d/14Bd19lYaqBhU8_DElYkX7l4wRkHqqCUFNJY4AfY3kHU/edit?usp=sharing  #gid=0"",""фіз особи new!relations_name_uo""),7,FALSE)
,
)
))"),"ДЕГТЯРЬОВ Михайло Володимирович")</f>
        <v>ДЕГТЯРЬОВ Михайло Володимирович</v>
      </c>
      <c r="G1447" s="7" t="s">
        <v>10</v>
      </c>
      <c r="H1447" s="7">
        <v>0</v>
      </c>
      <c r="I1447" s="8" t="str">
        <f ca="1">IFERROR(__xludf.DUMMYFUNCTION("IF
(
G1448=""фізична особа""
,
VLOOKUP(H1448,IMPORTRANGE(""https://docs.google.com/spreadsheets/d/14Bd19lYaqBhU8_DElYkX7l4wRkHqqCUFNJY4AfY3kHU/edit?usp=sharing  #gid=0"",""фіз особи new!relations_name""),6,FALSE)
,
(IF
(
G1448=""юридична особа""
,
VLOOKUP"&amp;"(H1448,IMPORTRANGE(""https://docs.google.com/spreadsheets/d/14Bd19lYaqBhU8_DElYkX7l4wRkHqqCUFNJY4AfY3kHU/edit?usp=sharing  #gid=0"",""фіз особи new!relations_name_uo""),7,FALSE)
,
)
))"),"#N/A")</f>
        <v>#N/A</v>
      </c>
      <c r="J1447" s="7" t="s">
        <v>21</v>
      </c>
    </row>
    <row r="1448" spans="1:10" ht="13.2">
      <c r="A1448" s="7">
        <v>1447</v>
      </c>
      <c r="B1448" s="7">
        <v>1</v>
      </c>
      <c r="C1448" s="7" t="s">
        <v>10</v>
      </c>
      <c r="D1448" s="7">
        <v>455</v>
      </c>
      <c r="E1448" s="7" t="s">
        <v>14</v>
      </c>
      <c r="F1448" s="8" t="str">
        <f ca="1">IFERROR(__xludf.DUMMYFUNCTION("IF
(
C1449=""фізична особа""
,
VLOOKUP(D1449,IMPORTRANGE(""https://docs.google.com/spreadsheets/d/14Bd19lYaqBhU8_DElYkX7l4wRkHqqCUFNJY4AfY3kHU/edit?usp=sharing  #gid=0"",""фіз особи new!relations_name""),6,FALSE)
,
(IF
(
C1449=""юридична особа""
,
VLOOKUP"&amp;"(D1449,IMPORTRANGE(""https://docs.google.com/spreadsheets/d/14Bd19lYaqBhU8_DElYkX7l4wRkHqqCUFNJY4AfY3kHU/edit?usp=sharing  #gid=0"",""фіз особи new!relations_name_uo""),7,FALSE)
,
)
))"),"ДЕГТЯРЬОВ Михайло Володимирович")</f>
        <v>ДЕГТЯРЬОВ Михайло Володимирович</v>
      </c>
      <c r="G1448" s="7" t="s">
        <v>10</v>
      </c>
      <c r="H1448" s="7">
        <v>0</v>
      </c>
      <c r="I1448" s="8" t="str">
        <f ca="1">IFERROR(__xludf.DUMMYFUNCTION("IF
(
G1449=""фізична особа""
,
VLOOKUP(H1449,IMPORTRANGE(""https://docs.google.com/spreadsheets/d/14Bd19lYaqBhU8_DElYkX7l4wRkHqqCUFNJY4AfY3kHU/edit?usp=sharing  #gid=0"",""фіз особи new!relations_name""),6,FALSE)
,
(IF
(
G1449=""юридична особа""
,
VLOOKUP"&amp;"(H1449,IMPORTRANGE(""https://docs.google.com/spreadsheets/d/14Bd19lYaqBhU8_DElYkX7l4wRkHqqCUFNJY4AfY3kHU/edit?usp=sharing  #gid=0"",""фіз особи new!relations_name_uo""),7,FALSE)
,
)
))"),"#N/A")</f>
        <v>#N/A</v>
      </c>
      <c r="J1448" s="7" t="s">
        <v>15</v>
      </c>
    </row>
    <row r="1449" spans="1:10" ht="13.2">
      <c r="A1449" s="7">
        <v>1448</v>
      </c>
      <c r="B1449" s="7">
        <v>1</v>
      </c>
      <c r="C1449" s="7" t="s">
        <v>10</v>
      </c>
      <c r="D1449" s="7">
        <v>455</v>
      </c>
      <c r="E1449" s="7" t="s">
        <v>30</v>
      </c>
      <c r="F1449" s="8" t="str">
        <f ca="1">IFERROR(__xludf.DUMMYFUNCTION("IF
(
C1450=""фізична особа""
,
VLOOKUP(D1450,IMPORTRANGE(""https://docs.google.com/spreadsheets/d/14Bd19lYaqBhU8_DElYkX7l4wRkHqqCUFNJY4AfY3kHU/edit?usp=sharing  #gid=0"",""фіз особи new!relations_name""),6,FALSE)
,
(IF
(
C1450=""юридична особа""
,
VLOOKUP"&amp;"(D1450,IMPORTRANGE(""https://docs.google.com/spreadsheets/d/14Bd19lYaqBhU8_DElYkX7l4wRkHqqCUFNJY4AfY3kHU/edit?usp=sharing  #gid=0"",""фіз особи new!relations_name_uo""),7,FALSE)
,
)
))"),"ДЕГТЯРЬОВ Михайло Володимирович")</f>
        <v>ДЕГТЯРЬОВ Михайло Володимирович</v>
      </c>
      <c r="G1449" s="7" t="s">
        <v>10</v>
      </c>
      <c r="H1449" s="7">
        <v>0</v>
      </c>
      <c r="I1449" s="8" t="str">
        <f ca="1">IFERROR(__xludf.DUMMYFUNCTION("IF
(
G1450=""фізична особа""
,
VLOOKUP(H1450,IMPORTRANGE(""https://docs.google.com/spreadsheets/d/14Bd19lYaqBhU8_DElYkX7l4wRkHqqCUFNJY4AfY3kHU/edit?usp=sharing  #gid=0"",""фіз особи new!relations_name""),6,FALSE)
,
(IF
(
G1450=""юридична особа""
,
VLOOKUP"&amp;"(H1450,IMPORTRANGE(""https://docs.google.com/spreadsheets/d/14Bd19lYaqBhU8_DElYkX7l4wRkHqqCUFNJY4AfY3kHU/edit?usp=sharing  #gid=0"",""фіз особи new!relations_name_uo""),7,FALSE)
,
)
))"),"#N/A")</f>
        <v>#N/A</v>
      </c>
      <c r="J1449" s="7" t="s">
        <v>30</v>
      </c>
    </row>
    <row r="1450" spans="1:10" ht="13.2">
      <c r="A1450" s="7">
        <v>1449</v>
      </c>
      <c r="B1450" s="7">
        <v>1</v>
      </c>
      <c r="C1450" s="7" t="s">
        <v>10</v>
      </c>
      <c r="D1450" s="7">
        <v>456</v>
      </c>
      <c r="E1450" s="7" t="s">
        <v>48</v>
      </c>
      <c r="F1450" s="8" t="str">
        <f ca="1">IFERROR(__xludf.DUMMYFUNCTION("IF
(
C1451=""фізична особа""
,
VLOOKUP(D1451,IMPORTRANGE(""https://docs.google.com/spreadsheets/d/14Bd19lYaqBhU8_DElYkX7l4wRkHqqCUFNJY4AfY3kHU/edit?usp=sharing  #gid=0"",""фіз особи new!relations_name""),6,FALSE)
,
(IF
(
C1451=""юридична особа""
,
VLOOKUP"&amp;"(D1451,IMPORTRANGE(""https://docs.google.com/spreadsheets/d/14Bd19lYaqBhU8_DElYkX7l4wRkHqqCUFNJY4AfY3kHU/edit?usp=sharing  #gid=0"",""фіз особи new!relations_name_uo""),7,FALSE)
,
)
))"),"БЄЛОУСОВ Михайло Володимирович")</f>
        <v>БЄЛОУСОВ Михайло Володимирович</v>
      </c>
      <c r="G1450" s="7" t="s">
        <v>10</v>
      </c>
      <c r="H1450" s="7">
        <v>2470</v>
      </c>
      <c r="I1450" s="8" t="str">
        <f ca="1">IFERROR(__xludf.DUMMYFUNCTION("IF
(
G1451=""фізична особа""
,
VLOOKUP(H1451,IMPORTRANGE(""https://docs.google.com/spreadsheets/d/14Bd19lYaqBhU8_DElYkX7l4wRkHqqCUFNJY4AfY3kHU/edit?usp=sharing  #gid=0"",""фіз особи new!relations_name""),6,FALSE)
,
(IF
(
G1451=""юридична особа""
,
VLOOKUP"&amp;"(H1451,IMPORTRANGE(""https://docs.google.com/spreadsheets/d/14Bd19lYaqBhU8_DElYkX7l4wRkHqqCUFNJY4AfY3kHU/edit?usp=sharing  #gid=0"",""фіз особи new!relations_name_uo""),7,FALSE)
,
)
))"),"ЯРІН Андрій Веніамінович")</f>
        <v>ЯРІН Андрій Веніамінович</v>
      </c>
      <c r="J1450" s="7" t="s">
        <v>48</v>
      </c>
    </row>
    <row r="1451" spans="1:10" ht="13.2">
      <c r="A1451" s="7">
        <v>1450</v>
      </c>
      <c r="B1451" s="7">
        <v>1</v>
      </c>
      <c r="C1451" s="7" t="s">
        <v>10</v>
      </c>
      <c r="D1451" s="7">
        <v>456</v>
      </c>
      <c r="E1451" s="7" t="s">
        <v>48</v>
      </c>
      <c r="F1451" s="8" t="str">
        <f ca="1">IFERROR(__xludf.DUMMYFUNCTION("IF
(
C1452=""фізична особа""
,
VLOOKUP(D1452,IMPORTRANGE(""https://docs.google.com/spreadsheets/d/14Bd19lYaqBhU8_DElYkX7l4wRkHqqCUFNJY4AfY3kHU/edit?usp=sharing  #gid=0"",""фіз особи new!relations_name""),6,FALSE)
,
(IF
(
C1452=""юридична особа""
,
VLOOKUP"&amp;"(D1452,IMPORTRANGE(""https://docs.google.com/spreadsheets/d/14Bd19lYaqBhU8_DElYkX7l4wRkHqqCUFNJY4AfY3kHU/edit?usp=sharing  #gid=0"",""фіз особи new!relations_name_uo""),7,FALSE)
,
)
))"),"БЄЛОУСОВ Михайло Володимирович")</f>
        <v>БЄЛОУСОВ Михайло Володимирович</v>
      </c>
      <c r="G1451" s="7" t="s">
        <v>10</v>
      </c>
      <c r="H1451" s="7">
        <v>690</v>
      </c>
      <c r="I1451" s="8" t="str">
        <f ca="1">IFERROR(__xludf.DUMMYFUNCTION("IF
(
G1452=""фізична особа""
,
VLOOKUP(H1452,IMPORTRANGE(""https://docs.google.com/spreadsheets/d/14Bd19lYaqBhU8_DElYkX7l4wRkHqqCUFNJY4AfY3kHU/edit?usp=sharing  #gid=0"",""фіз особи new!relations_name""),6,FALSE)
,
(IF
(
G1452=""юридична особа""
,
VLOOKUP"&amp;"(H1452,IMPORTRANGE(""https://docs.google.com/spreadsheets/d/14Bd19lYaqBhU8_DElYkX7l4wRkHqqCUFNJY4AfY3kHU/edit?usp=sharing  #gid=0"",""фіз особи new!relations_name_uo""),7,FALSE)
,
)
))"),"НІКІТІН Олександр Валерійович")</f>
        <v>НІКІТІН Олександр Валерійович</v>
      </c>
      <c r="J1451" s="7" t="s">
        <v>48</v>
      </c>
    </row>
    <row r="1452" spans="1:10" ht="13.2">
      <c r="A1452" s="7">
        <v>1451</v>
      </c>
      <c r="B1452" s="7">
        <v>1</v>
      </c>
      <c r="C1452" s="7" t="s">
        <v>10</v>
      </c>
      <c r="D1452" s="7">
        <v>457</v>
      </c>
      <c r="E1452" s="7" t="s">
        <v>14</v>
      </c>
      <c r="F1452" s="8" t="str">
        <f ca="1">IFERROR(__xludf.DUMMYFUNCTION("IF
(
C1453=""фізична особа""
,
VLOOKUP(D1453,IMPORTRANGE(""https://docs.google.com/spreadsheets/d/14Bd19lYaqBhU8_DElYkX7l4wRkHqqCUFNJY4AfY3kHU/edit?usp=sharing  #gid=0"",""фіз особи new!relations_name""),6,FALSE)
,
(IF
(
C1453=""юридична особа""
,
VLOOKUP"&amp;"(D1453,IMPORTRANGE(""https://docs.google.com/spreadsheets/d/14Bd19lYaqBhU8_DElYkX7l4wRkHqqCUFNJY4AfY3kHU/edit?usp=sharing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2" s="7" t="s">
        <v>10</v>
      </c>
      <c r="H1452" s="7">
        <v>4900</v>
      </c>
      <c r="I1452" s="8" t="str">
        <f ca="1">IFERROR(__xludf.DUMMYFUNCTION("IF
(
G1453=""фізична особа""
,
VLOOKUP(H1453,IMPORTRANGE(""https://docs.google.com/spreadsheets/d/14Bd19lYaqBhU8_DElYkX7l4wRkHqqCUFNJY4AfY3kHU/edit?usp=sharing  #gid=0"",""фіз особи new!relations_name""),6,FALSE)
,
(IF
(
G1453=""юридична особа""
,
VLOOKUP"&amp;"(H1453,IMPORTRANGE(""https://docs.google.com/spreadsheets/d/14Bd19lYaqBhU8_DElYkX7l4wRkHqqCUFNJY4AfY3kHU/edit?usp=sharing  #gid=0"",""фіз особи new!relations_name_uo""),7,FALSE)
,
)
))"),"ЖУКОВА Катерина Володимирівна")</f>
        <v>ЖУКОВА Катерина Володимирівна</v>
      </c>
      <c r="J1452" s="7" t="s">
        <v>15</v>
      </c>
    </row>
    <row r="1453" spans="1:10" ht="13.2">
      <c r="A1453" s="7">
        <v>1452</v>
      </c>
      <c r="B1453" s="7">
        <v>1</v>
      </c>
      <c r="C1453" s="7" t="s">
        <v>10</v>
      </c>
      <c r="D1453" s="7">
        <v>457</v>
      </c>
      <c r="E1453" s="7" t="s">
        <v>12</v>
      </c>
      <c r="F1453" s="8" t="str">
        <f ca="1">IFERROR(__xludf.DUMMYFUNCTION("IF
(
C1454=""фізична особа""
,
VLOOKUP(D1454,IMPORTRANGE(""https://docs.google.com/spreadsheets/d/14Bd19lYaqBhU8_DElYkX7l4wRkHqqCUFNJY4AfY3kHU/edit?usp=sharing  #gid=0"",""фіз особи new!relations_name""),6,FALSE)
,
(IF
(
C1454=""юридична особа""
,
VLOOKUP"&amp;"(D1454,IMPORTRANGE(""https://docs.google.com/spreadsheets/d/14Bd19lYaqBhU8_DElYkX7l4wRkHqqCUFNJY4AfY3kHU/edit?usp=sharing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3" s="7" t="s">
        <v>10</v>
      </c>
      <c r="H1453" s="7">
        <v>4901</v>
      </c>
      <c r="I1453" s="8" t="str">
        <f ca="1">IFERROR(__xludf.DUMMYFUNCTION("IF
(
G1454=""фізична особа""
,
VLOOKUP(H1454,IMPORTRANGE(""https://docs.google.com/spreadsheets/d/14Bd19lYaqBhU8_DElYkX7l4wRkHqqCUFNJY4AfY3kHU/edit?usp=sharing  #gid=0"",""фіз особи new!relations_name""),6,FALSE)
,
(IF
(
G1454=""юридична особа""
,
VLOOKUP"&amp;"(H1454,IMPORTRANGE(""https://docs.google.com/spreadsheets/d/14Bd19lYaqBhU8_DElYkX7l4wRkHqqCUFNJY4AfY3kHU/edit?usp=sharing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J1453" s="7" t="s">
        <v>17</v>
      </c>
    </row>
    <row r="1454" spans="1:10" ht="13.2">
      <c r="A1454" s="7">
        <v>1453</v>
      </c>
      <c r="B1454" s="7">
        <v>1</v>
      </c>
      <c r="C1454" s="7" t="s">
        <v>10</v>
      </c>
      <c r="D1454" s="7">
        <v>457</v>
      </c>
      <c r="E1454" s="7" t="s">
        <v>34</v>
      </c>
      <c r="F1454" s="8" t="str">
        <f ca="1">IFERROR(__xludf.DUMMYFUNCTION("IF
(
C1455=""фізична особа""
,
VLOOKUP(D1455,IMPORTRANGE(""https://docs.google.com/spreadsheets/d/14Bd19lYaqBhU8_DElYkX7l4wRkHqqCUFNJY4AfY3kHU/edit?usp=sharing  #gid=0"",""фіз особи new!relations_name""),6,FALSE)
,
(IF
(
C1455=""юридична особа""
,
VLOOKUP"&amp;"(D1455,IMPORTRANGE(""https://docs.google.com/spreadsheets/d/14Bd19lYaqBhU8_DElYkX7l4wRkHqqCUFNJY4AfY3kHU/edit?usp=sharing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4" s="7" t="s">
        <v>10</v>
      </c>
      <c r="H1454" s="7">
        <v>23407</v>
      </c>
      <c r="I1454" s="8" t="str">
        <f ca="1">IFERROR(__xludf.DUMMYFUNCTION("IF
(
G1455=""фізична особа""
,
VLOOKUP(H1455,IMPORTRANGE(""https://docs.google.com/spreadsheets/d/14Bd19lYaqBhU8_DElYkX7l4wRkHqqCUFNJY4AfY3kHU/edit?usp=sharing  #gid=0"",""фіз особи new!relations_name""),6,FALSE)
,
(IF
(
G1455=""юридична особа""
,
VLOOKUP"&amp;"(H1455,IMPORTRANGE(""https://docs.google.com/spreadsheets/d/14Bd19lYaqBhU8_DElYkX7l4wRkHqqCUFNJY4AfY3kHU/edit?usp=sharing  #gid=0"",""фіз особи new!relations_name_uo""),7,FALSE)
,
)
))"),"ЖУКОВА Тетяна Дмитрівна")</f>
        <v>ЖУКОВА Тетяна Дмитрівна</v>
      </c>
      <c r="J1454" s="7" t="s">
        <v>25</v>
      </c>
    </row>
    <row r="1455" spans="1:10" ht="13.2">
      <c r="A1455" s="7">
        <v>1454</v>
      </c>
      <c r="B1455" s="7">
        <v>1</v>
      </c>
      <c r="C1455" s="7" t="s">
        <v>10</v>
      </c>
      <c r="D1455" s="7">
        <v>457</v>
      </c>
      <c r="E1455" s="7" t="s">
        <v>17</v>
      </c>
      <c r="F1455" s="8" t="str">
        <f ca="1">IFERROR(__xludf.DUMMYFUNCTION("IF
(
C1456=""фізична особа""
,
VLOOKUP(D1456,IMPORTRANGE(""https://docs.google.com/spreadsheets/d/14Bd19lYaqBhU8_DElYkX7l4wRkHqqCUFNJY4AfY3kHU/edit?usp=sharing  #gid=0"",""фіз особи new!relations_name""),6,FALSE)
,
(IF
(
C1456=""юридична особа""
,
VLOOKUP"&amp;"(D1456,IMPORTRANGE(""https://docs.google.com/spreadsheets/d/14Bd19lYaqBhU8_DElYkX7l4wRkHqqCUFNJY4AfY3kHU/edit?usp=sharing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5" s="7" t="s">
        <v>10</v>
      </c>
      <c r="H1455" s="7">
        <v>0</v>
      </c>
      <c r="I1455" s="8" t="str">
        <f ca="1">IFERROR(__xludf.DUMMYFUNCTION("IF
(
G1456=""фізична особа""
,
VLOOKUP(H1456,IMPORTRANGE(""https://docs.google.com/spreadsheets/d/14Bd19lYaqBhU8_DElYkX7l4wRkHqqCUFNJY4AfY3kHU/edit?usp=sharing  #gid=0"",""фіз особи new!relations_name""),6,FALSE)
,
(IF
(
G1456=""юридична особа""
,
VLOOKUP"&amp;"(H1456,IMPORTRANGE(""https://docs.google.com/spreadsheets/d/14Bd19lYaqBhU8_DElYkX7l4wRkHqqCUFNJY4AfY3kHU/edit?usp=sharing  #gid=0"",""фіз особи new!relations_name_uo""),7,FALSE)
,
)
))"),"#N/A")</f>
        <v>#N/A</v>
      </c>
      <c r="J1455" s="7" t="s">
        <v>12</v>
      </c>
    </row>
    <row r="1456" spans="1:10" ht="13.2">
      <c r="A1456" s="7">
        <v>1455</v>
      </c>
      <c r="B1456" s="7">
        <v>1</v>
      </c>
      <c r="C1456" s="7" t="s">
        <v>10</v>
      </c>
      <c r="D1456" s="7">
        <v>457</v>
      </c>
      <c r="E1456" s="7" t="s">
        <v>30</v>
      </c>
      <c r="F1456" s="8" t="str">
        <f ca="1">IFERROR(__xludf.DUMMYFUNCTION("IF
(
C1457=""фізична особа""
,
VLOOKUP(D1457,IMPORTRANGE(""https://docs.google.com/spreadsheets/d/14Bd19lYaqBhU8_DElYkX7l4wRkHqqCUFNJY4AfY3kHU/edit?usp=sharing  #gid=0"",""фіз особи new!relations_name""),6,FALSE)
,
(IF
(
C1457=""юридична особа""
,
VLOOKUP"&amp;"(D1457,IMPORTRANGE(""https://docs.google.com/spreadsheets/d/14Bd19lYaqBhU8_DElYkX7l4wRkHqqCUFNJY4AfY3kHU/edit?usp=sharing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6" s="7" t="s">
        <v>10</v>
      </c>
      <c r="H1456" s="7">
        <v>0</v>
      </c>
      <c r="I1456" s="8" t="str">
        <f ca="1">IFERROR(__xludf.DUMMYFUNCTION("IF
(
G1457=""фізична особа""
,
VLOOKUP(H1457,IMPORTRANGE(""https://docs.google.com/spreadsheets/d/14Bd19lYaqBhU8_DElYkX7l4wRkHqqCUFNJY4AfY3kHU/edit?usp=sharing  #gid=0"",""фіз особи new!relations_name""),6,FALSE)
,
(IF
(
G1457=""юридична особа""
,
VLOOKUP"&amp;"(H1457,IMPORTRANGE(""https://docs.google.com/spreadsheets/d/14Bd19lYaqBhU8_DElYkX7l4wRkHqqCUFNJY4AfY3kHU/edit?usp=sharing  #gid=0"",""фіз особи new!relations_name_uo""),7,FALSE)
,
)
))"),"#N/A")</f>
        <v>#N/A</v>
      </c>
      <c r="J1456" s="7" t="s">
        <v>30</v>
      </c>
    </row>
    <row r="1457" spans="1:10" ht="13.2">
      <c r="A1457" s="7">
        <v>1456</v>
      </c>
      <c r="B1457" s="7">
        <v>1</v>
      </c>
      <c r="C1457" s="7" t="s">
        <v>10</v>
      </c>
      <c r="D1457" s="7">
        <v>457</v>
      </c>
      <c r="E1457" s="7" t="s">
        <v>30</v>
      </c>
      <c r="F1457" s="8" t="str">
        <f ca="1">IFERROR(__xludf.DUMMYFUNCTION("IF
(
C1458=""фізична особа""
,
VLOOKUP(D1458,IMPORTRANGE(""https://docs.google.com/spreadsheets/d/14Bd19lYaqBhU8_DElYkX7l4wRkHqqCUFNJY4AfY3kHU/edit?usp=sharing  #gid=0"",""фіз особи new!relations_name""),6,FALSE)
,
(IF
(
C1458=""юридична особа""
,
VLOOKUP"&amp;"(D1458,IMPORTRANGE(""https://docs.google.com/spreadsheets/d/14Bd19lYaqBhU8_DElYkX7l4wRkHqqCUFNJY4AfY3kHU/edit?usp=sharing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G1457" s="7" t="s">
        <v>10</v>
      </c>
      <c r="H1457" s="7">
        <v>0</v>
      </c>
      <c r="I1457" s="8" t="str">
        <f ca="1">IFERROR(__xludf.DUMMYFUNCTION("IF
(
G1458=""фізична особа""
,
VLOOKUP(H1458,IMPORTRANGE(""https://docs.google.com/spreadsheets/d/14Bd19lYaqBhU8_DElYkX7l4wRkHqqCUFNJY4AfY3kHU/edit?usp=sharing  #gid=0"",""фіз особи new!relations_name""),6,FALSE)
,
(IF
(
G1458=""юридична особа""
,
VLOOKUP"&amp;"(H1458,IMPORTRANGE(""https://docs.google.com/spreadsheets/d/14Bd19lYaqBhU8_DElYkX7l4wRkHqqCUFNJY4AfY3kHU/edit?usp=sharing  #gid=0"",""фіз особи new!relations_name_uo""),7,FALSE)
,
)
))"),"#N/A")</f>
        <v>#N/A</v>
      </c>
      <c r="J1457" s="7" t="s">
        <v>30</v>
      </c>
    </row>
    <row r="1458" spans="1:10" ht="13.2">
      <c r="A1458" s="7">
        <v>1457</v>
      </c>
      <c r="B1458" s="7">
        <v>1</v>
      </c>
      <c r="C1458" s="7" t="s">
        <v>10</v>
      </c>
      <c r="D1458" s="7">
        <v>460</v>
      </c>
      <c r="E1458" s="7" t="s">
        <v>14</v>
      </c>
      <c r="F1458" s="8" t="str">
        <f ca="1">IFERROR(__xludf.DUMMYFUNCTION("IF
(
C1459=""фізична особа""
,
VLOOKUP(D1459,IMPORTRANGE(""https://docs.google.com/spreadsheets/d/14Bd19lYaqBhU8_DElYkX7l4wRkHqqCUFNJY4AfY3kHU/edit?usp=sharing  #gid=0"",""фіз особи new!relations_name""),6,FALSE)
,
(IF
(
C1459=""юридична особа""
,
VLOOKUP"&amp;"(D1459,IMPORTRANGE(""https://docs.google.com/spreadsheets/d/14Bd19lYaqBhU8_DElYkX7l4wRkHqqCUFNJY4AfY3kHU/edit?usp=sharing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58" s="7" t="s">
        <v>10</v>
      </c>
      <c r="H1458" s="7">
        <v>2901</v>
      </c>
      <c r="I1458" s="8" t="str">
        <f ca="1">IFERROR(__xludf.DUMMYFUNCTION("IF
(
G1459=""фізична особа""
,
VLOOKUP(H1459,IMPORTRANGE(""https://docs.google.com/spreadsheets/d/14Bd19lYaqBhU8_DElYkX7l4wRkHqqCUFNJY4AfY3kHU/edit?usp=sharing  #gid=0"",""фіз особи new!relations_name""),6,FALSE)
,
(IF
(
G1459=""юридична особа""
,
VLOOKUP"&amp;"(H1459,IMPORTRANGE(""https://docs.google.com/spreadsheets/d/14Bd19lYaqBhU8_DElYkX7l4wRkHqqCUFNJY4AfY3kHU/edit?usp=sharing  #gid=0"",""фіз особи new!relations_name_uo""),7,FALSE)
,
)
))"),"Мішустіна / Разінова Владлена Юріївна")</f>
        <v>Мішустіна / Разінова Владлена Юріївна</v>
      </c>
      <c r="J1458" s="7" t="s">
        <v>15</v>
      </c>
    </row>
    <row r="1459" spans="1:10" ht="13.2">
      <c r="A1459" s="7">
        <v>1458</v>
      </c>
      <c r="B1459" s="7">
        <v>1</v>
      </c>
      <c r="C1459" s="7" t="s">
        <v>10</v>
      </c>
      <c r="D1459" s="7">
        <v>460</v>
      </c>
      <c r="E1459" s="7" t="s">
        <v>12</v>
      </c>
      <c r="F1459" s="8" t="str">
        <f ca="1">IFERROR(__xludf.DUMMYFUNCTION("IF
(
C1460=""фізична особа""
,
VLOOKUP(D1460,IMPORTRANGE(""https://docs.google.com/spreadsheets/d/14Bd19lYaqBhU8_DElYkX7l4wRkHqqCUFNJY4AfY3kHU/edit?usp=sharing  #gid=0"",""фіз особи new!relations_name""),6,FALSE)
,
(IF
(
C1460=""юридична особа""
,
VLOOKUP"&amp;"(D1460,IMPORTRANGE(""https://docs.google.com/spreadsheets/d/14Bd19lYaqBhU8_DElYkX7l4wRkHqqCUFNJY4AfY3kHU/edit?usp=sharing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59" s="7" t="s">
        <v>10</v>
      </c>
      <c r="H1459" s="7">
        <v>2895</v>
      </c>
      <c r="I1459" s="8" t="str">
        <f ca="1">IFERROR(__xludf.DUMMYFUNCTION("IF
(
G1460=""фізична особа""
,
VLOOKUP(H1460,IMPORTRANGE(""https://docs.google.com/spreadsheets/d/14Bd19lYaqBhU8_DElYkX7l4wRkHqqCUFNJY4AfY3kHU/edit?usp=sharing  #gid=0"",""фіз особи new!relations_name""),6,FALSE)
,
(IF
(
G1460=""юридична особа""
,
VLOOKUP"&amp;"(H1460,IMPORTRANGE(""https://docs.google.com/spreadsheets/d/14Bd19lYaqBhU8_DElYkX7l4wRkHqqCUFNJY4AfY3kHU/edit?usp=sharing  #gid=0"",""фіз особи new!relations_name_uo""),7,FALSE)
,
)
))"),"МІШУСТІН Олексій Михайлович")</f>
        <v>МІШУСТІН Олексій Михайлович</v>
      </c>
      <c r="J1459" s="7" t="s">
        <v>17</v>
      </c>
    </row>
    <row r="1460" spans="1:10" ht="13.2">
      <c r="A1460" s="7">
        <v>1459</v>
      </c>
      <c r="B1460" s="7">
        <v>1</v>
      </c>
      <c r="C1460" s="7" t="s">
        <v>10</v>
      </c>
      <c r="D1460" s="7">
        <v>460</v>
      </c>
      <c r="E1460" s="7" t="s">
        <v>12</v>
      </c>
      <c r="F1460" s="8" t="str">
        <f ca="1">IFERROR(__xludf.DUMMYFUNCTION("IF
(
C1461=""фізична особа""
,
VLOOKUP(D1461,IMPORTRANGE(""https://docs.google.com/spreadsheets/d/14Bd19lYaqBhU8_DElYkX7l4wRkHqqCUFNJY4AfY3kHU/edit?usp=sharing  #gid=0"",""фіз особи new!relations_name""),6,FALSE)
,
(IF
(
C1461=""юридична особа""
,
VLOOKUP"&amp;"(D1461,IMPORTRANGE(""https://docs.google.com/spreadsheets/d/14Bd19lYaqBhU8_DElYkX7l4wRkHqqCUFNJY4AfY3kHU/edit?usp=sharing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0" s="7" t="s">
        <v>10</v>
      </c>
      <c r="H1460" s="7">
        <v>2894</v>
      </c>
      <c r="I1460" s="8" t="str">
        <f ca="1">IFERROR(__xludf.DUMMYFUNCTION("IF
(
G1461=""фізична особа""
,
VLOOKUP(H1461,IMPORTRANGE(""https://docs.google.com/spreadsheets/d/14Bd19lYaqBhU8_DElYkX7l4wRkHqqCUFNJY4AfY3kHU/edit?usp=sharing  #gid=0"",""фіз особи new!relations_name""),6,FALSE)
,
(IF
(
G1461=""юридична особа""
,
VLOOKUP"&amp;"(H1461,IMPORTRANGE(""https://docs.google.com/spreadsheets/d/14Bd19lYaqBhU8_DElYkX7l4wRkHqqCUFNJY4AfY3kHU/edit?usp=sharing  #gid=0"",""фіз особи new!relations_name_uo""),7,FALSE)
,
)
))"),"МІШУСТІН Олександр Михайлович")</f>
        <v>МІШУСТІН Олександр Михайлович</v>
      </c>
      <c r="J1460" s="7" t="s">
        <v>17</v>
      </c>
    </row>
    <row r="1461" spans="1:10" ht="13.2">
      <c r="A1461" s="7">
        <v>1460</v>
      </c>
      <c r="B1461" s="7">
        <v>1</v>
      </c>
      <c r="C1461" s="7" t="s">
        <v>10</v>
      </c>
      <c r="D1461" s="7">
        <v>460</v>
      </c>
      <c r="E1461" s="7" t="s">
        <v>12</v>
      </c>
      <c r="F1461" s="8" t="str">
        <f ca="1">IFERROR(__xludf.DUMMYFUNCTION("IF
(
C1462=""фізична особа""
,
VLOOKUP(D1462,IMPORTRANGE(""https://docs.google.com/spreadsheets/d/14Bd19lYaqBhU8_DElYkX7l4wRkHqqCUFNJY4AfY3kHU/edit?usp=sharing  #gid=0"",""фіз особи new!relations_name""),6,FALSE)
,
(IF
(
C1462=""юридична особа""
,
VLOOKUP"&amp;"(D1462,IMPORTRANGE(""https://docs.google.com/spreadsheets/d/14Bd19lYaqBhU8_DElYkX7l4wRkHqqCUFNJY4AfY3kHU/edit?usp=sharing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1" s="7" t="s">
        <v>10</v>
      </c>
      <c r="H1461" s="7">
        <v>2896</v>
      </c>
      <c r="I1461" s="8" t="str">
        <f ca="1">IFERROR(__xludf.DUMMYFUNCTION("IF
(
G1462=""фізична особа""
,
VLOOKUP(H1462,IMPORTRANGE(""https://docs.google.com/spreadsheets/d/14Bd19lYaqBhU8_DElYkX7l4wRkHqqCUFNJY4AfY3kHU/edit?usp=sharing  #gid=0"",""фіз особи new!relations_name""),6,FALSE)
,
(IF
(
G1462=""юридична особа""
,
VLOOKUP"&amp;"(H1462,IMPORTRANGE(""https://docs.google.com/spreadsheets/d/14Bd19lYaqBhU8_DElYkX7l4wRkHqqCUFNJY4AfY3kHU/edit?usp=sharing  #gid=0"",""фіз особи new!relations_name_uo""),7,FALSE)
,
)
))"),"МІШУСТІН Михайло Михайлович")</f>
        <v>МІШУСТІН Михайло Михайлович</v>
      </c>
      <c r="J1461" s="7" t="s">
        <v>17</v>
      </c>
    </row>
    <row r="1462" spans="1:10" ht="13.2">
      <c r="A1462" s="7">
        <v>1461</v>
      </c>
      <c r="B1462" s="7">
        <v>1</v>
      </c>
      <c r="C1462" s="7" t="s">
        <v>10</v>
      </c>
      <c r="D1462" s="7">
        <v>460</v>
      </c>
      <c r="E1462" s="7" t="s">
        <v>17</v>
      </c>
      <c r="F1462" s="8" t="str">
        <f ca="1">IFERROR(__xludf.DUMMYFUNCTION("IF
(
C1463=""фізична особа""
,
VLOOKUP(D1463,IMPORTRANGE(""https://docs.google.com/spreadsheets/d/14Bd19lYaqBhU8_DElYkX7l4wRkHqqCUFNJY4AfY3kHU/edit?usp=sharing  #gid=0"",""фіз особи new!relations_name""),6,FALSE)
,
(IF
(
C1463=""юридична особа""
,
VLOOKUP"&amp;"(D1463,IMPORTRANGE(""https://docs.google.com/spreadsheets/d/14Bd19lYaqBhU8_DElYkX7l4wRkHqqCUFNJY4AfY3kHU/edit?usp=sharing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2" s="7" t="s">
        <v>10</v>
      </c>
      <c r="H1462" s="7">
        <v>0</v>
      </c>
      <c r="I1462" s="8" t="str">
        <f ca="1">IFERROR(__xludf.DUMMYFUNCTION("IF
(
G1463=""фізична особа""
,
VLOOKUP(H1463,IMPORTRANGE(""https://docs.google.com/spreadsheets/d/14Bd19lYaqBhU8_DElYkX7l4wRkHqqCUFNJY4AfY3kHU/edit?usp=sharing  #gid=0"",""фіз особи new!relations_name""),6,FALSE)
,
(IF
(
G1463=""юридична особа""
,
VLOOKUP"&amp;"(H1463,IMPORTRANGE(""https://docs.google.com/spreadsheets/d/14Bd19lYaqBhU8_DElYkX7l4wRkHqqCUFNJY4AfY3kHU/edit?usp=sharing  #gid=0"",""фіз особи new!relations_name_uo""),7,FALSE)
,
)
))"),"#N/A")</f>
        <v>#N/A</v>
      </c>
      <c r="J1462" s="7" t="s">
        <v>12</v>
      </c>
    </row>
    <row r="1463" spans="1:10" ht="13.2">
      <c r="A1463" s="7">
        <v>1462</v>
      </c>
      <c r="B1463" s="7">
        <v>1</v>
      </c>
      <c r="C1463" s="7" t="s">
        <v>10</v>
      </c>
      <c r="D1463" s="7">
        <v>460</v>
      </c>
      <c r="E1463" s="7" t="s">
        <v>17</v>
      </c>
      <c r="F1463" s="8" t="str">
        <f ca="1">IFERROR(__xludf.DUMMYFUNCTION("IF
(
C1464=""фізична особа""
,
VLOOKUP(D1464,IMPORTRANGE(""https://docs.google.com/spreadsheets/d/14Bd19lYaqBhU8_DElYkX7l4wRkHqqCUFNJY4AfY3kHU/edit?usp=sharing  #gid=0"",""фіз особи new!relations_name""),6,FALSE)
,
(IF
(
C1464=""юридична особа""
,
VLOOKUP"&amp;"(D1464,IMPORTRANGE(""https://docs.google.com/spreadsheets/d/14Bd19lYaqBhU8_DElYkX7l4wRkHqqCUFNJY4AfY3kHU/edit?usp=sharing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3" s="7" t="s">
        <v>10</v>
      </c>
      <c r="H1463" s="7">
        <v>2893</v>
      </c>
      <c r="I1463" s="8" t="str">
        <f ca="1">IFERROR(__xludf.DUMMYFUNCTION("IF
(
G1464=""фізична особа""
,
VLOOKUP(H1464,IMPORTRANGE(""https://docs.google.com/spreadsheets/d/14Bd19lYaqBhU8_DElYkX7l4wRkHqqCUFNJY4AfY3kHU/edit?usp=sharing  #gid=0"",""фіз особи new!relations_name""),6,FALSE)
,
(IF
(
G1464=""юридична особа""
,
VLOOKUP"&amp;"(H1464,IMPORTRANGE(""https://docs.google.com/spreadsheets/d/14Bd19lYaqBhU8_DElYkX7l4wRkHqqCUFNJY4AfY3kHU/edit?usp=sharing  #gid=0"",""фіз особи new!relations_name_uo""),7,FALSE)
,
)
))"),"МІШУСТІНА Луїза Михайлівна")</f>
        <v>МІШУСТІНА Луїза Михайлівна</v>
      </c>
      <c r="J1463" s="7" t="s">
        <v>21</v>
      </c>
    </row>
    <row r="1464" spans="1:10" ht="13.2">
      <c r="A1464" s="7">
        <v>1463</v>
      </c>
      <c r="B1464" s="7">
        <v>1</v>
      </c>
      <c r="C1464" s="7" t="s">
        <v>10</v>
      </c>
      <c r="D1464" s="7">
        <v>460</v>
      </c>
      <c r="E1464" s="7" t="s">
        <v>18</v>
      </c>
      <c r="F1464" s="8" t="str">
        <f ca="1">IFERROR(__xludf.DUMMYFUNCTION("IF
(
C1465=""фізична особа""
,
VLOOKUP(D1465,IMPORTRANGE(""https://docs.google.com/spreadsheets/d/14Bd19lYaqBhU8_DElYkX7l4wRkHqqCUFNJY4AfY3kHU/edit?usp=sharing  #gid=0"",""фіз особи new!relations_name""),6,FALSE)
,
(IF
(
C1465=""юридична особа""
,
VLOOKUP"&amp;"(D1465,IMPORTRANGE(""https://docs.google.com/spreadsheets/d/14Bd19lYaqBhU8_DElYkX7l4wRkHqqCUFNJY4AfY3kHU/edit?usp=sharing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4" s="7" t="s">
        <v>10</v>
      </c>
      <c r="H1464" s="7">
        <v>2900</v>
      </c>
      <c r="I1464" s="8" t="str">
        <f ca="1">IFERROR(__xludf.DUMMYFUNCTION("IF
(
G1465=""фізична особа""
,
VLOOKUP(H1465,IMPORTRANGE(""https://docs.google.com/spreadsheets/d/14Bd19lYaqBhU8_DElYkX7l4wRkHqqCUFNJY4AfY3kHU/edit?usp=sharing  #gid=0"",""фіз особи new!relations_name""),6,FALSE)
,
(IF
(
G1465=""юридична особа""
,
VLOOKUP"&amp;"(H1465,IMPORTRANGE(""https://docs.google.com/spreadsheets/d/14Bd19lYaqBhU8_DElYkX7l4wRkHqqCUFNJY4AfY3kHU/edit?usp=sharing  #gid=0"",""фіз особи new!relations_name_uo""),7,FALSE)
,
)
))"),"СТЄНІНА Наталя Володимирівна")</f>
        <v>СТЄНІНА Наталя Володимирівна</v>
      </c>
      <c r="J1464" s="7" t="s">
        <v>31</v>
      </c>
    </row>
    <row r="1465" spans="1:10" ht="13.2">
      <c r="A1465" s="7">
        <v>1464</v>
      </c>
      <c r="B1465" s="7">
        <v>1</v>
      </c>
      <c r="C1465" s="7" t="s">
        <v>10</v>
      </c>
      <c r="D1465" s="7">
        <v>460</v>
      </c>
      <c r="E1465" s="7" t="s">
        <v>19</v>
      </c>
      <c r="F1465" s="8" t="str">
        <f ca="1">IFERROR(__xludf.DUMMYFUNCTION("IF
(
C1466=""фізична особа""
,
VLOOKUP(D1466,IMPORTRANGE(""https://docs.google.com/spreadsheets/d/14Bd19lYaqBhU8_DElYkX7l4wRkHqqCUFNJY4AfY3kHU/edit?usp=sharing  #gid=0"",""фіз особи new!relations_name""),6,FALSE)
,
(IF
(
C1466=""юридична особа""
,
VLOOKUP"&amp;"(D1466,IMPORTRANGE(""https://docs.google.com/spreadsheets/d/14Bd19lYaqBhU8_DElYkX7l4wRkHqqCUFNJY4AfY3kHU/edit?usp=sharing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5" s="7" t="s">
        <v>10</v>
      </c>
      <c r="H1465" s="7">
        <v>2898</v>
      </c>
      <c r="I1465" s="8" t="str">
        <f ca="1">IFERROR(__xludf.DUMMYFUNCTION("IF
(
G1466=""фізична особа""
,
VLOOKUP(H1466,IMPORTRANGE(""https://docs.google.com/spreadsheets/d/14Bd19lYaqBhU8_DElYkX7l4wRkHqqCUFNJY4AfY3kHU/edit?usp=sharing  #gid=0"",""фіз особи new!relations_name""),6,FALSE)
,
(IF
(
G1466=""юридична особа""
,
VLOOKUP"&amp;"(H1466,IMPORTRANGE(""https://docs.google.com/spreadsheets/d/14Bd19lYaqBhU8_DElYkX7l4wRkHqqCUFNJY4AfY3kHU/edit?usp=sharing  #gid=0"",""фіз особи new!relations_name_uo""),7,FALSE)
,
)
))"),"СТЄНІН Михайло Сергійович")</f>
        <v>СТЄНІН Михайло Сергійович</v>
      </c>
      <c r="J1465" s="7" t="s">
        <v>20</v>
      </c>
    </row>
    <row r="1466" spans="1:10" ht="13.2">
      <c r="A1466" s="7">
        <v>1465</v>
      </c>
      <c r="B1466" s="7">
        <v>1</v>
      </c>
      <c r="C1466" s="7" t="s">
        <v>10</v>
      </c>
      <c r="D1466" s="7">
        <v>460</v>
      </c>
      <c r="E1466" s="7" t="s">
        <v>19</v>
      </c>
      <c r="F1466" s="8" t="str">
        <f ca="1">IFERROR(__xludf.DUMMYFUNCTION("IF
(
C1467=""фізична особа""
,
VLOOKUP(D1467,IMPORTRANGE(""https://docs.google.com/spreadsheets/d/14Bd19lYaqBhU8_DElYkX7l4wRkHqqCUFNJY4AfY3kHU/edit?usp=sharing  #gid=0"",""фіз особи new!relations_name""),6,FALSE)
,
(IF
(
C1467=""юридична особа""
,
VLOOKUP"&amp;"(D1467,IMPORTRANGE(""https://docs.google.com/spreadsheets/d/14Bd19lYaqBhU8_DElYkX7l4wRkHqqCUFNJY4AfY3kHU/edit?usp=sharing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6" s="7" t="s">
        <v>10</v>
      </c>
      <c r="H1466" s="7">
        <v>2899</v>
      </c>
      <c r="I1466" s="8" t="str">
        <f ca="1">IFERROR(__xludf.DUMMYFUNCTION("IF
(
G1467=""фізична особа""
,
VLOOKUP(H1467,IMPORTRANGE(""https://docs.google.com/spreadsheets/d/14Bd19lYaqBhU8_DElYkX7l4wRkHqqCUFNJY4AfY3kHU/edit?usp=sharing  #gid=0"",""фіз особи new!relations_name""),6,FALSE)
,
(IF
(
G1467=""юридична особа""
,
VLOOKUP"&amp;"(H1467,IMPORTRANGE(""https://docs.google.com/spreadsheets/d/14Bd19lYaqBhU8_DElYkX7l4wRkHqqCUFNJY4AfY3kHU/edit?usp=sharing  #gid=0"",""фіз особи new!relations_name_uo""),7,FALSE)
,
)
))"),"СТЄНІНА Соф'я Сергіївна")</f>
        <v>СТЄНІНА Соф'я Сергіївна</v>
      </c>
      <c r="J1466" s="7" t="s">
        <v>22</v>
      </c>
    </row>
    <row r="1467" spans="1:10" ht="13.2">
      <c r="A1467" s="7">
        <v>1466</v>
      </c>
      <c r="B1467" s="7">
        <v>1</v>
      </c>
      <c r="C1467" s="7" t="s">
        <v>10</v>
      </c>
      <c r="D1467" s="7">
        <v>460</v>
      </c>
      <c r="E1467" s="7" t="s">
        <v>26</v>
      </c>
      <c r="F1467" s="8" t="str">
        <f ca="1">IFERROR(__xludf.DUMMYFUNCTION("IF
(
C1468=""фізична особа""
,
VLOOKUP(D1468,IMPORTRANGE(""https://docs.google.com/spreadsheets/d/14Bd19lYaqBhU8_DElYkX7l4wRkHqqCUFNJY4AfY3kHU/edit?usp=sharing  #gid=0"",""фіз особи new!relations_name""),6,FALSE)
,
(IF
(
C1468=""юридична особа""
,
VLOOKUP"&amp;"(D1468,IMPORTRANGE(""https://docs.google.com/spreadsheets/d/14Bd19lYaqBhU8_DElYkX7l4wRkHqqCUFNJY4AfY3kHU/edit?usp=sharing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7" s="7" t="s">
        <v>10</v>
      </c>
      <c r="H1467" s="7">
        <v>2897</v>
      </c>
      <c r="I1467" s="8" t="str">
        <f ca="1">IFERROR(__xludf.DUMMYFUNCTION("IF
(
G1468=""фізична особа""
,
VLOOKUP(H1468,IMPORTRANGE(""https://docs.google.com/spreadsheets/d/14Bd19lYaqBhU8_DElYkX7l4wRkHqqCUFNJY4AfY3kHU/edit?usp=sharing  #gid=0"",""фіз особи new!relations_name""),6,FALSE)
,
(IF
(
G1468=""юридична особа""
,
VLOOKUP"&amp;"(H1468,IMPORTRANGE(""https://docs.google.com/spreadsheets/d/14Bd19lYaqBhU8_DElYkX7l4wRkHqqCUFNJY4AfY3kHU/edit?usp=sharing  #gid=0"",""фіз особи new!relations_name_uo""),7,FALSE)
,
)
))"),"РАЗИНОВ Юрій Іванович")</f>
        <v>РАЗИНОВ Юрій Іванович</v>
      </c>
      <c r="J1467" s="7" t="s">
        <v>24</v>
      </c>
    </row>
    <row r="1468" spans="1:10" ht="13.2">
      <c r="A1468" s="7">
        <v>1467</v>
      </c>
      <c r="B1468" s="7">
        <v>1</v>
      </c>
      <c r="C1468" s="7" t="s">
        <v>10</v>
      </c>
      <c r="D1468" s="7">
        <v>460</v>
      </c>
      <c r="E1468" s="7" t="s">
        <v>50</v>
      </c>
      <c r="F1468" s="8" t="str">
        <f ca="1">IFERROR(__xludf.DUMMYFUNCTION("IF
(
C1469=""фізична особа""
,
VLOOKUP(D1469,IMPORTRANGE(""https://docs.google.com/spreadsheets/d/14Bd19lYaqBhU8_DElYkX7l4wRkHqqCUFNJY4AfY3kHU/edit?usp=sharing  #gid=0"",""фіз особи new!relations_name""),6,FALSE)
,
(IF
(
C1469=""юридична особа""
,
VLOOKUP"&amp;"(D1469,IMPORTRANGE(""https://docs.google.com/spreadsheets/d/14Bd19lYaqBhU8_DElYkX7l4wRkHqqCUFNJY4AfY3kHU/edit?usp=sharing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8" s="7" t="s">
        <v>10</v>
      </c>
      <c r="H1468" s="7">
        <v>0</v>
      </c>
      <c r="I1468" s="8" t="str">
        <f ca="1">IFERROR(__xludf.DUMMYFUNCTION("IF
(
G1469=""фізична особа""
,
VLOOKUP(H1469,IMPORTRANGE(""https://docs.google.com/spreadsheets/d/14Bd19lYaqBhU8_DElYkX7l4wRkHqqCUFNJY4AfY3kHU/edit?usp=sharing  #gid=0"",""фіз особи new!relations_name""),6,FALSE)
,
(IF
(
G1469=""юридична особа""
,
VLOOKUP"&amp;"(H1469,IMPORTRANGE(""https://docs.google.com/spreadsheets/d/14Bd19lYaqBhU8_DElYkX7l4wRkHqqCUFNJY4AfY3kHU/edit?usp=sharing  #gid=0"",""фіз особи new!relations_name_uo""),7,FALSE)
,
)
))"),"#N/A")</f>
        <v>#N/A</v>
      </c>
      <c r="J1468" s="7" t="s">
        <v>26</v>
      </c>
    </row>
    <row r="1469" spans="1:10" ht="13.2">
      <c r="A1469" s="7">
        <v>1468</v>
      </c>
      <c r="B1469" s="7">
        <v>1</v>
      </c>
      <c r="C1469" s="7" t="s">
        <v>10</v>
      </c>
      <c r="D1469" s="7">
        <v>460</v>
      </c>
      <c r="E1469" s="7" t="s">
        <v>77</v>
      </c>
      <c r="F1469" s="8" t="str">
        <f ca="1">IFERROR(__xludf.DUMMYFUNCTION("IF
(
C1470=""фізична особа""
,
VLOOKUP(D1470,IMPORTRANGE(""https://docs.google.com/spreadsheets/d/14Bd19lYaqBhU8_DElYkX7l4wRkHqqCUFNJY4AfY3kHU/edit?usp=sharing  #gid=0"",""фіз особи new!relations_name""),6,FALSE)
,
(IF
(
C1470=""юридична особа""
,
VLOOKUP"&amp;"(D1470,IMPORTRANGE(""https://docs.google.com/spreadsheets/d/14Bd19lYaqBhU8_DElYkX7l4wRkHqqCUFNJY4AfY3kHU/edit?usp=sharing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69" s="7" t="s">
        <v>10</v>
      </c>
      <c r="H1469" s="7">
        <v>0</v>
      </c>
      <c r="I1469" s="8" t="str">
        <f ca="1">IFERROR(__xludf.DUMMYFUNCTION("IF
(
G1470=""фізична особа""
,
VLOOKUP(H1470,IMPORTRANGE(""https://docs.google.com/spreadsheets/d/14Bd19lYaqBhU8_DElYkX7l4wRkHqqCUFNJY4AfY3kHU/edit?usp=sharing  #gid=0"",""фіз особи new!relations_name""),6,FALSE)
,
(IF
(
G1470=""юридична особа""
,
VLOOKUP"&amp;"(H1470,IMPORTRANGE(""https://docs.google.com/spreadsheets/d/14Bd19lYaqBhU8_DElYkX7l4wRkHqqCUFNJY4AfY3kHU/edit?usp=sharing  #gid=0"",""фіз особи new!relations_name_uo""),7,FALSE)
,
)
))"),"#N/A")</f>
        <v>#N/A</v>
      </c>
      <c r="J1469" s="7" t="s">
        <v>54</v>
      </c>
    </row>
    <row r="1470" spans="1:10" ht="13.2">
      <c r="A1470" s="7">
        <v>1469</v>
      </c>
      <c r="B1470" s="7">
        <v>1</v>
      </c>
      <c r="C1470" s="7" t="s">
        <v>10</v>
      </c>
      <c r="D1470" s="7">
        <v>460</v>
      </c>
      <c r="E1470" s="7" t="s">
        <v>29</v>
      </c>
      <c r="F1470" s="8" t="str">
        <f ca="1">IFERROR(__xludf.DUMMYFUNCTION("IF
(
C1471=""фізична особа""
,
VLOOKUP(D1471,IMPORTRANGE(""https://docs.google.com/spreadsheets/d/14Bd19lYaqBhU8_DElYkX7l4wRkHqqCUFNJY4AfY3kHU/edit?usp=sharing  #gid=0"",""фіз особи new!relations_name""),6,FALSE)
,
(IF
(
C1471=""юридична особа""
,
VLOOKUP"&amp;"(D1471,IMPORTRANGE(""https://docs.google.com/spreadsheets/d/14Bd19lYaqBhU8_DElYkX7l4wRkHqqCUFNJY4AfY3kHU/edit?usp=sharing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0" s="7" t="s">
        <v>10</v>
      </c>
      <c r="H1470" s="7">
        <v>23408</v>
      </c>
      <c r="I1470" s="8" t="str">
        <f ca="1">IFERROR(__xludf.DUMMYFUNCTION("IF
(
G1471=""фізична особа""
,
VLOOKUP(H1471,IMPORTRANGE(""https://docs.google.com/spreadsheets/d/14Bd19lYaqBhU8_DElYkX7l4wRkHqqCUFNJY4AfY3kHU/edit?usp=sharing  #gid=0"",""фіз особи new!relations_name""),6,FALSE)
,
(IF
(
G1471=""юридична особа""
,
VLOOKUP"&amp;"(H1471,IMPORTRANGE(""https://docs.google.com/spreadsheets/d/14Bd19lYaqBhU8_DElYkX7l4wRkHqqCUFNJY4AfY3kHU/edit?usp=sharing  #gid=0"",""фіз особи new!relations_name_uo""),7,FALSE)
,
)
))"),"ВОЗНЕСЕНСЬКА Олеся Олегівна")</f>
        <v>ВОЗНЕСЕНСЬКА Олеся Олегівна</v>
      </c>
      <c r="J1470" s="7" t="s">
        <v>28</v>
      </c>
    </row>
    <row r="1471" spans="1:10" ht="13.2">
      <c r="A1471" s="7">
        <v>1470</v>
      </c>
      <c r="B1471" s="7">
        <v>1</v>
      </c>
      <c r="C1471" s="7" t="s">
        <v>10</v>
      </c>
      <c r="D1471" s="7">
        <v>460</v>
      </c>
      <c r="E1471" s="7" t="s">
        <v>29</v>
      </c>
      <c r="F1471" s="8" t="str">
        <f ca="1">IFERROR(__xludf.DUMMYFUNCTION("IF
(
C1472=""фізична особа""
,
VLOOKUP(D1472,IMPORTRANGE(""https://docs.google.com/spreadsheets/d/14Bd19lYaqBhU8_DElYkX7l4wRkHqqCUFNJY4AfY3kHU/edit?usp=sharing  #gid=0"",""фіз особи new!relations_name""),6,FALSE)
,
(IF
(
C1472=""юридична особа""
,
VLOOKUP"&amp;"(D1472,IMPORTRANGE(""https://docs.google.com/spreadsheets/d/14Bd19lYaqBhU8_DElYkX7l4wRkHqqCUFNJY4AfY3kHU/edit?usp=sharing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1" s="7" t="s">
        <v>10</v>
      </c>
      <c r="H1471" s="7">
        <v>2441</v>
      </c>
      <c r="I1471" s="8" t="str">
        <f ca="1">IFERROR(__xludf.DUMMYFUNCTION("IF
(
G1472=""фізична особа""
,
VLOOKUP(H1472,IMPORTRANGE(""https://docs.google.com/spreadsheets/d/14Bd19lYaqBhU8_DElYkX7l4wRkHqqCUFNJY4AfY3kHU/edit?usp=sharing  #gid=0"",""фіз особи new!relations_name""),6,FALSE)
,
(IF
(
G1472=""юридична особа""
,
VLOOKUP"&amp;"(H1472,IMPORTRANGE(""https://docs.google.com/spreadsheets/d/14Bd19lYaqBhU8_DElYkX7l4wRkHqqCUFNJY4AfY3kHU/edit?usp=sharing  #gid=0"",""фіз особи new!relations_name_uo""),7,FALSE)
,
)
))"),"ВОЛЬВАЧ Дмитро Валерійович")</f>
        <v>ВОЛЬВАЧ Дмитро Валерійович</v>
      </c>
      <c r="J1471" s="7" t="s">
        <v>28</v>
      </c>
    </row>
    <row r="1472" spans="1:10" ht="13.2">
      <c r="A1472" s="7">
        <v>1471</v>
      </c>
      <c r="B1472" s="7">
        <v>1</v>
      </c>
      <c r="C1472" s="7" t="s">
        <v>10</v>
      </c>
      <c r="D1472" s="7">
        <v>460</v>
      </c>
      <c r="E1472" s="7" t="s">
        <v>29</v>
      </c>
      <c r="F1472" s="8" t="str">
        <f ca="1">IFERROR(__xludf.DUMMYFUNCTION("IF
(
C1473=""фізична особа""
,
VLOOKUP(D1473,IMPORTRANGE(""https://docs.google.com/spreadsheets/d/14Bd19lYaqBhU8_DElYkX7l4wRkHqqCUFNJY4AfY3kHU/edit?usp=sharing  #gid=0"",""фіз особи new!relations_name""),6,FALSE)
,
(IF
(
C1473=""юридична особа""
,
VLOOKUP"&amp;"(D1473,IMPORTRANGE(""https://docs.google.com/spreadsheets/d/14Bd19lYaqBhU8_DElYkX7l4wRkHqqCUFNJY4AfY3kHU/edit?usp=sharing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2" s="7" t="s">
        <v>10</v>
      </c>
      <c r="H1472" s="7">
        <v>0</v>
      </c>
      <c r="I1472" s="8" t="str">
        <f ca="1">IFERROR(__xludf.DUMMYFUNCTION("IF
(
G1473=""фізична особа""
,
VLOOKUP(H1473,IMPORTRANGE(""https://docs.google.com/spreadsheets/d/14Bd19lYaqBhU8_DElYkX7l4wRkHqqCUFNJY4AfY3kHU/edit?usp=sharing  #gid=0"",""фіз особи new!relations_name""),6,FALSE)
,
(IF
(
G1473=""юридична особа""
,
VLOOKUP"&amp;"(H1473,IMPORTRANGE(""https://docs.google.com/spreadsheets/d/14Bd19lYaqBhU8_DElYkX7l4wRkHqqCUFNJY4AfY3kHU/edit?usp=sharing  #gid=0"",""фіз особи new!relations_name_uo""),7,FALSE)
,
)
))"),"#N/A")</f>
        <v>#N/A</v>
      </c>
      <c r="J1472" s="7" t="s">
        <v>28</v>
      </c>
    </row>
    <row r="1473" spans="1:10" ht="13.2">
      <c r="A1473" s="7">
        <v>1472</v>
      </c>
      <c r="B1473" s="7">
        <v>1</v>
      </c>
      <c r="C1473" s="7" t="s">
        <v>10</v>
      </c>
      <c r="D1473" s="7">
        <v>460</v>
      </c>
      <c r="E1473" s="7" t="s">
        <v>29</v>
      </c>
      <c r="F1473" s="8" t="str">
        <f ca="1">IFERROR(__xludf.DUMMYFUNCTION("IF
(
C1474=""фізична особа""
,
VLOOKUP(D1474,IMPORTRANGE(""https://docs.google.com/spreadsheets/d/14Bd19lYaqBhU8_DElYkX7l4wRkHqqCUFNJY4AfY3kHU/edit?usp=sharing  #gid=0"",""фіз особи new!relations_name""),6,FALSE)
,
(IF
(
C1474=""юридична особа""
,
VLOOKUP"&amp;"(D1474,IMPORTRANGE(""https://docs.google.com/spreadsheets/d/14Bd19lYaqBhU8_DElYkX7l4wRkHqqCUFNJY4AfY3kHU/edit?usp=sharing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3" s="7" t="s">
        <v>10</v>
      </c>
      <c r="H1473" s="7">
        <v>3095</v>
      </c>
      <c r="I1473" s="8" t="str">
        <f ca="1">IFERROR(__xludf.DUMMYFUNCTION("IF
(
G1474=""фізична особа""
,
VLOOKUP(H1474,IMPORTRANGE(""https://docs.google.com/spreadsheets/d/14Bd19lYaqBhU8_DElYkX7l4wRkHqqCUFNJY4AfY3kHU/edit?usp=sharing  #gid=0"",""фіз особи new!relations_name""),6,FALSE)
,
(IF
(
G1474=""юридична особа""
,
VLOOKUP"&amp;"(H1474,IMPORTRANGE(""https://docs.google.com/spreadsheets/d/14Bd19lYaqBhU8_DElYkX7l4wRkHqqCUFNJY4AfY3kHU/edit?usp=sharing  #gid=0"",""фіз особи new!relations_name_uo""),7,FALSE)
,
)
))"),"ПЕТРУШИН Андрій Станіславович")</f>
        <v>ПЕТРУШИН Андрій Станіславович</v>
      </c>
      <c r="J1473" s="7" t="s">
        <v>28</v>
      </c>
    </row>
    <row r="1474" spans="1:10" ht="13.2">
      <c r="A1474" s="7">
        <v>1473</v>
      </c>
      <c r="B1474" s="7">
        <v>1</v>
      </c>
      <c r="C1474" s="7" t="s">
        <v>10</v>
      </c>
      <c r="D1474" s="7">
        <v>460</v>
      </c>
      <c r="E1474" s="7" t="s">
        <v>29</v>
      </c>
      <c r="F1474" s="8" t="str">
        <f ca="1">IFERROR(__xludf.DUMMYFUNCTION("IF
(
C1475=""фізична особа""
,
VLOOKUP(D1475,IMPORTRANGE(""https://docs.google.com/spreadsheets/d/14Bd19lYaqBhU8_DElYkX7l4wRkHqqCUFNJY4AfY3kHU/edit?usp=sharing  #gid=0"",""фіз особи new!relations_name""),6,FALSE)
,
(IF
(
C1475=""юридична особа""
,
VLOOKUP"&amp;"(D1475,IMPORTRANGE(""https://docs.google.com/spreadsheets/d/14Bd19lYaqBhU8_DElYkX7l4wRkHqqCUFNJY4AfY3kHU/edit?usp=sharing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4" s="7" t="s">
        <v>10</v>
      </c>
      <c r="H1474" s="7">
        <v>3097</v>
      </c>
      <c r="I1474" s="8" t="str">
        <f ca="1">IFERROR(__xludf.DUMMYFUNCTION("IF
(
G1475=""фізична особа""
,
VLOOKUP(H1475,IMPORTRANGE(""https://docs.google.com/spreadsheets/d/14Bd19lYaqBhU8_DElYkX7l4wRkHqqCUFNJY4AfY3kHU/edit?usp=sharing  #gid=0"",""фіз особи new!relations_name""),6,FALSE)
,
(IF
(
G1475=""юридична особа""
,
VLOOKUP"&amp;"(H1475,IMPORTRANGE(""https://docs.google.com/spreadsheets/d/14Bd19lYaqBhU8_DElYkX7l4wRkHqqCUFNJY4AfY3kHU/edit?usp=sharing  #gid=0"",""фіз особи new!relations_name_uo""),7,FALSE)
,
)
))"),"ЧЕКМИШЕВ Костянтин Миколайович")</f>
        <v>ЧЕКМИШЕВ Костянтин Миколайович</v>
      </c>
      <c r="J1474" s="7" t="s">
        <v>28</v>
      </c>
    </row>
    <row r="1475" spans="1:10" ht="13.2">
      <c r="A1475" s="7">
        <v>1474</v>
      </c>
      <c r="B1475" s="7">
        <v>1</v>
      </c>
      <c r="C1475" s="7" t="s">
        <v>10</v>
      </c>
      <c r="D1475" s="7">
        <v>460</v>
      </c>
      <c r="E1475" s="7" t="s">
        <v>29</v>
      </c>
      <c r="F1475" s="8" t="str">
        <f ca="1">IFERROR(__xludf.DUMMYFUNCTION("IF
(
C1476=""фізична особа""
,
VLOOKUP(D1476,IMPORTRANGE(""https://docs.google.com/spreadsheets/d/14Bd19lYaqBhU8_DElYkX7l4wRkHqqCUFNJY4AfY3kHU/edit?usp=sharing  #gid=0"",""фіз особи new!relations_name""),6,FALSE)
,
(IF
(
C1476=""юридична особа""
,
VLOOKUP"&amp;"(D1476,IMPORTRANGE(""https://docs.google.com/spreadsheets/d/14Bd19lYaqBhU8_DElYkX7l4wRkHqqCUFNJY4AfY3kHU/edit?usp=sharing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5" s="7" t="s">
        <v>10</v>
      </c>
      <c r="H1475" s="7">
        <v>3096</v>
      </c>
      <c r="I1475" s="8" t="str">
        <f ca="1">IFERROR(__xludf.DUMMYFUNCTION("IF
(
G1476=""фізична особа""
,
VLOOKUP(H1476,IMPORTRANGE(""https://docs.google.com/spreadsheets/d/14Bd19lYaqBhU8_DElYkX7l4wRkHqqCUFNJY4AfY3kHU/edit?usp=sharing  #gid=0"",""фіз особи new!relations_name""),6,FALSE)
,
(IF
(
G1476=""юридична особа""
,
VLOOKUP"&amp;"(H1476,IMPORTRANGE(""https://docs.google.com/spreadsheets/d/14Bd19lYaqBhU8_DElYkX7l4wRkHqqCUFNJY4AfY3kHU/edit?usp=sharing  #gid=0"",""фіз особи new!relations_name_uo""),7,FALSE)
,
)
))"),"САТІН Дмитро Станіславович")</f>
        <v>САТІН Дмитро Станіславович</v>
      </c>
      <c r="J1475" s="7" t="s">
        <v>28</v>
      </c>
    </row>
    <row r="1476" spans="1:10" ht="13.2">
      <c r="A1476" s="7">
        <v>1475</v>
      </c>
      <c r="B1476" s="7">
        <v>1</v>
      </c>
      <c r="C1476" s="7" t="s">
        <v>10</v>
      </c>
      <c r="D1476" s="7">
        <v>460</v>
      </c>
      <c r="E1476" s="7" t="s">
        <v>29</v>
      </c>
      <c r="F1476" s="8" t="str">
        <f ca="1">IFERROR(__xludf.DUMMYFUNCTION("IF
(
C1477=""фізична особа""
,
VLOOKUP(D1477,IMPORTRANGE(""https://docs.google.com/spreadsheets/d/14Bd19lYaqBhU8_DElYkX7l4wRkHqqCUFNJY4AfY3kHU/edit?usp=sharing  #gid=0"",""фіз особи new!relations_name""),6,FALSE)
,
(IF
(
C1477=""юридична особа""
,
VLOOKUP"&amp;"(D1477,IMPORTRANGE(""https://docs.google.com/spreadsheets/d/14Bd19lYaqBhU8_DElYkX7l4wRkHqqCUFNJY4AfY3kHU/edit?usp=sharing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6" s="7" t="s">
        <v>10</v>
      </c>
      <c r="H1476" s="7">
        <v>2885</v>
      </c>
      <c r="I1476" s="8" t="str">
        <f ca="1">IFERROR(__xludf.DUMMYFUNCTION("IF
(
G1477=""фізична особа""
,
VLOOKUP(H1477,IMPORTRANGE(""https://docs.google.com/spreadsheets/d/14Bd19lYaqBhU8_DElYkX7l4wRkHqqCUFNJY4AfY3kHU/edit?usp=sharing  #gid=0"",""фіз особи new!relations_name""),6,FALSE)
,
(IF
(
G1477=""юридична особа""
,
VLOOKUP"&amp;"(H1477,IMPORTRANGE(""https://docs.google.com/spreadsheets/d/14Bd19lYaqBhU8_DElYkX7l4wRkHqqCUFNJY4AfY3kHU/edit?usp=sharing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1476" s="7" t="s">
        <v>28</v>
      </c>
    </row>
    <row r="1477" spans="1:10" ht="13.2">
      <c r="A1477" s="7">
        <v>1476</v>
      </c>
      <c r="B1477" s="7">
        <v>1</v>
      </c>
      <c r="C1477" s="7" t="s">
        <v>10</v>
      </c>
      <c r="D1477" s="7">
        <v>460</v>
      </c>
      <c r="E1477" s="7" t="s">
        <v>29</v>
      </c>
      <c r="F1477" s="8" t="str">
        <f ca="1">IFERROR(__xludf.DUMMYFUNCTION("IF
(
C1478=""фізична особа""
,
VLOOKUP(D1478,IMPORTRANGE(""https://docs.google.com/spreadsheets/d/14Bd19lYaqBhU8_DElYkX7l4wRkHqqCUFNJY4AfY3kHU/edit?usp=sharing  #gid=0"",""фіз особи new!relations_name""),6,FALSE)
,
(IF
(
C1478=""юридична особа""
,
VLOOKUP"&amp;"(D1478,IMPORTRANGE(""https://docs.google.com/spreadsheets/d/14Bd19lYaqBhU8_DElYkX7l4wRkHqqCUFNJY4AfY3kHU/edit?usp=sharing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7" s="7" t="s">
        <v>10</v>
      </c>
      <c r="H1477" s="7">
        <v>197</v>
      </c>
      <c r="I1477" s="8" t="str">
        <f ca="1">IFERROR(__xludf.DUMMYFUNCTION("IF
(
G1478=""фізична особа""
,
VLOOKUP(H1478,IMPORTRANGE(""https://docs.google.com/spreadsheets/d/14Bd19lYaqBhU8_DElYkX7l4wRkHqqCUFNJY4AfY3kHU/edit?usp=sharing  #gid=0"",""фіз особи new!relations_name""),6,FALSE)
,
(IF
(
G1478=""юридична особа""
,
VLOOKUP"&amp;"(H1478,IMPORTRANGE(""https://docs.google.com/spreadsheets/d/14Bd19lYaqBhU8_DElYkX7l4wRkHqqCUFNJY4AfY3kHU/edit?usp=sharing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J1477" s="7" t="s">
        <v>28</v>
      </c>
    </row>
    <row r="1478" spans="1:10" ht="13.2">
      <c r="A1478" s="7">
        <v>1477</v>
      </c>
      <c r="B1478" s="7">
        <v>1</v>
      </c>
      <c r="C1478" s="7" t="s">
        <v>10</v>
      </c>
      <c r="D1478" s="7">
        <v>460</v>
      </c>
      <c r="E1478" s="7" t="s">
        <v>29</v>
      </c>
      <c r="F1478" s="8" t="str">
        <f ca="1">IFERROR(__xludf.DUMMYFUNCTION("IF
(
C1479=""фізична особа""
,
VLOOKUP(D1479,IMPORTRANGE(""https://docs.google.com/spreadsheets/d/14Bd19lYaqBhU8_DElYkX7l4wRkHqqCUFNJY4AfY3kHU/edit?usp=sharing  #gid=0"",""фіз особи new!relations_name""),6,FALSE)
,
(IF
(
C1479=""юридична особа""
,
VLOOKUP"&amp;"(D1479,IMPORTRANGE(""https://docs.google.com/spreadsheets/d/14Bd19lYaqBhU8_DElYkX7l4wRkHqqCUFNJY4AfY3kHU/edit?usp=sharing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8" s="7" t="s">
        <v>10</v>
      </c>
      <c r="H1478" s="7">
        <v>3087</v>
      </c>
      <c r="I1478" s="8" t="str">
        <f ca="1">IFERROR(__xludf.DUMMYFUNCTION("IF
(
G1479=""фізична особа""
,
VLOOKUP(H1479,IMPORTRANGE(""https://docs.google.com/spreadsheets/d/14Bd19lYaqBhU8_DElYkX7l4wRkHqqCUFNJY4AfY3kHU/edit?usp=sharing  #gid=0"",""фіз особи new!relations_name""),6,FALSE)
,
(IF
(
G1479=""юридична особа""
,
VLOOKUP"&amp;"(H1479,IMPORTRANGE(""https://docs.google.com/spreadsheets/d/14Bd19lYaqBhU8_DElYkX7l4wRkHqqCUFNJY4AfY3kHU/edit?usp=sharing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1478" s="7" t="s">
        <v>28</v>
      </c>
    </row>
    <row r="1479" spans="1:10" ht="13.2">
      <c r="A1479" s="7">
        <v>1478</v>
      </c>
      <c r="B1479" s="7">
        <v>1</v>
      </c>
      <c r="C1479" s="7" t="s">
        <v>10</v>
      </c>
      <c r="D1479" s="7">
        <v>460</v>
      </c>
      <c r="E1479" s="7" t="s">
        <v>29</v>
      </c>
      <c r="F1479" s="8" t="str">
        <f ca="1">IFERROR(__xludf.DUMMYFUNCTION("IF
(
C1480=""фізична особа""
,
VLOOKUP(D1480,IMPORTRANGE(""https://docs.google.com/spreadsheets/d/14Bd19lYaqBhU8_DElYkX7l4wRkHqqCUFNJY4AfY3kHU/edit?usp=sharing  #gid=0"",""фіз особи new!relations_name""),6,FALSE)
,
(IF
(
C1480=""юридична особа""
,
VLOOKUP"&amp;"(D1480,IMPORTRANGE(""https://docs.google.com/spreadsheets/d/14Bd19lYaqBhU8_DElYkX7l4wRkHqqCUFNJY4AfY3kHU/edit?usp=sharing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79" s="7" t="s">
        <v>10</v>
      </c>
      <c r="H1479" s="7">
        <v>175</v>
      </c>
      <c r="I1479" s="8" t="str">
        <f ca="1">IFERROR(__xludf.DUMMYFUNCTION("IF
(
G1480=""фізична особа""
,
VLOOKUP(H1480,IMPORTRANGE(""https://docs.google.com/spreadsheets/d/14Bd19lYaqBhU8_DElYkX7l4wRkHqqCUFNJY4AfY3kHU/edit?usp=sharing  #gid=0"",""фіз особи new!relations_name""),6,FALSE)
,
(IF
(
G1480=""юридична особа""
,
VLOOKUP"&amp;"(H1480,IMPORTRANGE(""https://docs.google.com/spreadsheets/d/14Bd19lYaqBhU8_DElYkX7l4wRkHqqCUFNJY4AfY3kHU/edit?usp=sharing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J1479" s="7" t="s">
        <v>28</v>
      </c>
    </row>
    <row r="1480" spans="1:10" ht="13.2">
      <c r="A1480" s="7">
        <v>1479</v>
      </c>
      <c r="B1480" s="7">
        <v>1</v>
      </c>
      <c r="C1480" s="7" t="s">
        <v>10</v>
      </c>
      <c r="D1480" s="7">
        <v>460</v>
      </c>
      <c r="E1480" s="7" t="s">
        <v>29</v>
      </c>
      <c r="F1480" s="8" t="str">
        <f ca="1">IFERROR(__xludf.DUMMYFUNCTION("IF
(
C1481=""фізична особа""
,
VLOOKUP(D1481,IMPORTRANGE(""https://docs.google.com/spreadsheets/d/14Bd19lYaqBhU8_DElYkX7l4wRkHqqCUFNJY4AfY3kHU/edit?usp=sharing  #gid=0"",""фіз особи new!relations_name""),6,FALSE)
,
(IF
(
C1481=""юридична особа""
,
VLOOKUP"&amp;"(D1481,IMPORTRANGE(""https://docs.google.com/spreadsheets/d/14Bd19lYaqBhU8_DElYkX7l4wRkHqqCUFNJY4AfY3kHU/edit?usp=sharing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80" s="7" t="s">
        <v>10</v>
      </c>
      <c r="H1480" s="7">
        <v>419</v>
      </c>
      <c r="I1480" s="8" t="str">
        <f ca="1">IFERROR(__xludf.DUMMYFUNCTION("IF
(
G1481=""фізична особа""
,
VLOOKUP(H1481,IMPORTRANGE(""https://docs.google.com/spreadsheets/d/14Bd19lYaqBhU8_DElYkX7l4wRkHqqCUFNJY4AfY3kHU/edit?usp=sharing  #gid=0"",""фіз особи new!relations_name""),6,FALSE)
,
(IF
(
G1481=""юридична особа""
,
VLOOKUP"&amp;"(H1481,IMPORTRANGE(""https://docs.google.com/spreadsheets/d/14Bd19lYaqBhU8_DElYkX7l4wRkHqqCUFNJY4AfY3kHU/edit?usp=sharing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1480" s="7" t="s">
        <v>28</v>
      </c>
    </row>
    <row r="1481" spans="1:10" ht="13.2">
      <c r="A1481" s="7">
        <v>1480</v>
      </c>
      <c r="B1481" s="7">
        <v>1</v>
      </c>
      <c r="C1481" s="7" t="s">
        <v>10</v>
      </c>
      <c r="D1481" s="7">
        <v>460</v>
      </c>
      <c r="E1481" s="7" t="s">
        <v>29</v>
      </c>
      <c r="F1481" s="8" t="str">
        <f ca="1">IFERROR(__xludf.DUMMYFUNCTION("IF
(
C1482=""фізична особа""
,
VLOOKUP(D1482,IMPORTRANGE(""https://docs.google.com/spreadsheets/d/14Bd19lYaqBhU8_DElYkX7l4wRkHqqCUFNJY4AfY3kHU/edit?usp=sharing  #gid=0"",""фіз особи new!relations_name""),6,FALSE)
,
(IF
(
C1482=""юридична особа""
,
VLOOKUP"&amp;"(D1482,IMPORTRANGE(""https://docs.google.com/spreadsheets/d/14Bd19lYaqBhU8_DElYkX7l4wRkHqqCUFNJY4AfY3kHU/edit?usp=sharing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81" s="7" t="s">
        <v>10</v>
      </c>
      <c r="H1481" s="7">
        <v>23409</v>
      </c>
      <c r="I1481" s="8" t="str">
        <f ca="1">IFERROR(__xludf.DUMMYFUNCTION("IF
(
G1482=""фізична особа""
,
VLOOKUP(H1482,IMPORTRANGE(""https://docs.google.com/spreadsheets/d/14Bd19lYaqBhU8_DElYkX7l4wRkHqqCUFNJY4AfY3kHU/edit?usp=sharing  #gid=0"",""фіз особи new!relations_name""),6,FALSE)
,
(IF
(
G1482=""юридична особа""
,
VLOOKUP"&amp;"(H1482,IMPORTRANGE(""https://docs.google.com/spreadsheets/d/14Bd19lYaqBhU8_DElYkX7l4wRkHqqCUFNJY4AfY3kHU/edit?usp=sharing  #gid=0"",""фіз особи new!relations_name_uo""),7,FALSE)
,
)
))"),"ПРИХОДЬКО Сергій Едуардович")</f>
        <v>ПРИХОДЬКО Сергій Едуардович</v>
      </c>
      <c r="J1481" s="7" t="s">
        <v>28</v>
      </c>
    </row>
    <row r="1482" spans="1:10" ht="13.2">
      <c r="A1482" s="7">
        <v>1481</v>
      </c>
      <c r="B1482" s="7">
        <v>1</v>
      </c>
      <c r="C1482" s="7" t="s">
        <v>10</v>
      </c>
      <c r="D1482" s="7">
        <v>460</v>
      </c>
      <c r="E1482" s="7" t="s">
        <v>29</v>
      </c>
      <c r="F1482" s="8" t="str">
        <f ca="1">IFERROR(__xludf.DUMMYFUNCTION("IF
(
C1483=""фізична особа""
,
VLOOKUP(D1483,IMPORTRANGE(""https://docs.google.com/spreadsheets/d/14Bd19lYaqBhU8_DElYkX7l4wRkHqqCUFNJY4AfY3kHU/edit?usp=sharing  #gid=0"",""фіз особи new!relations_name""),6,FALSE)
,
(IF
(
C1483=""юридична особа""
,
VLOOKUP"&amp;"(D1483,IMPORTRANGE(""https://docs.google.com/spreadsheets/d/14Bd19lYaqBhU8_DElYkX7l4wRkHqqCUFNJY4AfY3kHU/edit?usp=sharing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82" s="7" t="s">
        <v>10</v>
      </c>
      <c r="H1482" s="7">
        <v>2882</v>
      </c>
      <c r="I1482" s="8" t="str">
        <f ca="1">IFERROR(__xludf.DUMMYFUNCTION("IF
(
G1483=""фізична особа""
,
VLOOKUP(H1483,IMPORTRANGE(""https://docs.google.com/spreadsheets/d/14Bd19lYaqBhU8_DElYkX7l4wRkHqqCUFNJY4AfY3kHU/edit?usp=sharing  #gid=0"",""фіз особи new!relations_name""),6,FALSE)
,
(IF
(
G1483=""юридична особа""
,
VLOOKUP"&amp;"(H1483,IMPORTRANGE(""https://docs.google.com/spreadsheets/d/14Bd19lYaqBhU8_DElYkX7l4wRkHqqCUFNJY4AfY3kHU/edit?usp=sharing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J1482" s="7" t="s">
        <v>28</v>
      </c>
    </row>
    <row r="1483" spans="1:10" ht="13.2">
      <c r="A1483" s="7">
        <v>1482</v>
      </c>
      <c r="B1483" s="7">
        <v>1</v>
      </c>
      <c r="C1483" s="7" t="s">
        <v>10</v>
      </c>
      <c r="D1483" s="7">
        <v>460</v>
      </c>
      <c r="E1483" s="7" t="s">
        <v>29</v>
      </c>
      <c r="F1483" s="8" t="str">
        <f ca="1">IFERROR(__xludf.DUMMYFUNCTION("IF
(
C1484=""фізична особа""
,
VLOOKUP(D1484,IMPORTRANGE(""https://docs.google.com/spreadsheets/d/14Bd19lYaqBhU8_DElYkX7l4wRkHqqCUFNJY4AfY3kHU/edit?usp=sharing  #gid=0"",""фіз особи new!relations_name""),6,FALSE)
,
(IF
(
C1484=""юридична особа""
,
VLOOKUP"&amp;"(D1484,IMPORTRANGE(""https://docs.google.com/spreadsheets/d/14Bd19lYaqBhU8_DElYkX7l4wRkHqqCUFNJY4AfY3kHU/edit?usp=sharing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G1483" s="7" t="s">
        <v>10</v>
      </c>
      <c r="H1483" s="7">
        <v>23410</v>
      </c>
      <c r="I1483" s="8" t="str">
        <f ca="1">IFERROR(__xludf.DUMMYFUNCTION("IF
(
G1484=""фізична особа""
,
VLOOKUP(H1484,IMPORTRANGE(""https://docs.google.com/spreadsheets/d/14Bd19lYaqBhU8_DElYkX7l4wRkHqqCUFNJY4AfY3kHU/edit?usp=sharing  #gid=0"",""фіз особи new!relations_name""),6,FALSE)
,
(IF
(
G1484=""юридична особа""
,
VLOOKUP"&amp;"(H1484,IMPORTRANGE(""https://docs.google.com/spreadsheets/d/14Bd19lYaqBhU8_DElYkX7l4wRkHqqCUFNJY4AfY3kHU/edit?usp=sharing  #gid=0"",""фіз особи new!relations_name_uo""),7,FALSE)
,
)
))"),"АРТЕМ'ЄВ Ігор Юрійович")</f>
        <v>АРТЕМ'ЄВ Ігор Юрійович</v>
      </c>
      <c r="J1483" s="7" t="s">
        <v>28</v>
      </c>
    </row>
    <row r="1484" spans="1:10" ht="13.2">
      <c r="A1484" s="7">
        <v>1483</v>
      </c>
      <c r="B1484" s="7">
        <v>1</v>
      </c>
      <c r="C1484" s="7" t="s">
        <v>10</v>
      </c>
      <c r="D1484" s="7">
        <v>461</v>
      </c>
      <c r="E1484" s="7" t="s">
        <v>28</v>
      </c>
      <c r="F1484" s="8" t="str">
        <f ca="1">IFERROR(__xludf.DUMMYFUNCTION("IF
(
C1485=""фізична особа""
,
VLOOKUP(D1485,IMPORTRANGE(""https://docs.google.com/spreadsheets/d/14Bd19lYaqBhU8_DElYkX7l4wRkHqqCUFNJY4AfY3kHU/edit?usp=sharing  #gid=0"",""фіз особи new!relations_name""),6,FALSE)
,
(IF
(
C1485=""юридична особа""
,
VLOOKUP"&amp;"(D1485,IMPORTRANGE(""https://docs.google.com/spreadsheets/d/14Bd19lYaqBhU8_DElYkX7l4wRkHqqCUFNJY4AfY3kHU/edit?usp=sharing  #gid=0"",""фіз особи new!relations_name_uo""),7,FALSE)
,
)
))"),"МІЗИНЦЕВ Михайло Євгенович")</f>
        <v>МІЗИНЦЕВ Михайло Євгенович</v>
      </c>
      <c r="G1484" s="7" t="s">
        <v>10</v>
      </c>
      <c r="H1484" s="7">
        <v>880</v>
      </c>
      <c r="I1484" s="8" t="str">
        <f ca="1">IFERROR(__xludf.DUMMYFUNCTION("IF
(
G1485=""фізична особа""
,
VLOOKUP(H1485,IMPORTRANGE(""https://docs.google.com/spreadsheets/d/14Bd19lYaqBhU8_DElYkX7l4wRkHqqCUFNJY4AfY3kHU/edit?usp=sharing  #gid=0"",""фіз особи new!relations_name""),6,FALSE)
,
(IF
(
G1485=""юридична особа""
,
VLOOKUP"&amp;"(H1485,IMPORTRANGE(""https://docs.google.com/spreadsheets/d/14Bd19lYaqBhU8_DElYkX7l4wRkHqqCUFNJY4AfY3kHU/edit?usp=sharing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484" s="7" t="s">
        <v>29</v>
      </c>
    </row>
    <row r="1485" spans="1:10" ht="13.2">
      <c r="A1485" s="7">
        <v>1484</v>
      </c>
      <c r="B1485" s="7">
        <v>1</v>
      </c>
      <c r="C1485" s="7" t="s">
        <v>10</v>
      </c>
      <c r="D1485" s="7">
        <v>462</v>
      </c>
      <c r="E1485" s="7" t="s">
        <v>28</v>
      </c>
      <c r="F1485" s="8" t="str">
        <f ca="1">IFERROR(__xludf.DUMMYFUNCTION("IF
(
C1486=""фізична особа""
,
VLOOKUP(D1486,IMPORTRANGE(""https://docs.google.com/spreadsheets/d/14Bd19lYaqBhU8_DElYkX7l4wRkHqqCUFNJY4AfY3kHU/edit?usp=sharing  #gid=0"",""фіз особи new!relations_name""),6,FALSE)
,
(IF
(
C1486=""юридична особа""
,
VLOOKUP"&amp;"(D1486,IMPORTRANGE(""https://docs.google.com/spreadsheets/d/14Bd19lYaqBhU8_DElYkX7l4wRkHqqCUFNJY4AfY3kHU/edit?usp=sharing  #gid=0"",""фіз особи new!relations_name_uo""),7,FALSE)
,
)
))"),"ЖЕЛТЯКОВ Михайло Васильович")</f>
        <v>ЖЕЛТЯКОВ Михайло Васильович</v>
      </c>
      <c r="G1485" s="7" t="s">
        <v>10</v>
      </c>
      <c r="H1485" s="7">
        <v>4567</v>
      </c>
      <c r="I1485" s="8" t="str">
        <f ca="1">IFERROR(__xludf.DUMMYFUNCTION("IF
(
G1486=""фізична особа""
,
VLOOKUP(H1486,IMPORTRANGE(""https://docs.google.com/spreadsheets/d/14Bd19lYaqBhU8_DElYkX7l4wRkHqqCUFNJY4AfY3kHU/edit?usp=sharing  #gid=0"",""фіз особи new!relations_name""),6,FALSE)
,
(IF
(
G1486=""юридична особа""
,
VLOOKUP"&amp;"(H1486,IMPORTRANGE(""https://docs.google.com/spreadsheets/d/14Bd19lYaqBhU8_DElYkX7l4wRkHqqCUFNJY4AfY3kHU/edit?usp=sharing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1485" s="7" t="s">
        <v>29</v>
      </c>
    </row>
    <row r="1486" spans="1:10" ht="13.2">
      <c r="A1486" s="7">
        <v>1485</v>
      </c>
      <c r="B1486" s="7">
        <v>1</v>
      </c>
      <c r="C1486" s="7" t="s">
        <v>10</v>
      </c>
      <c r="D1486" s="7">
        <v>465</v>
      </c>
      <c r="E1486" s="7" t="s">
        <v>15</v>
      </c>
      <c r="F1486" s="8" t="str">
        <f ca="1">IFERROR(__xludf.DUMMYFUNCTION("IF
(
C1487=""фізична особа""
,
VLOOKUP(D1487,IMPORTRANGE(""https://docs.google.com/spreadsheets/d/14Bd19lYaqBhU8_DElYkX7l4wRkHqqCUFNJY4AfY3kHU/edit?usp=sharing  #gid=0"",""фіз особи new!relations_name""),6,FALSE)
,
(IF
(
C1487=""юридична особа""
,
VLOOKUP"&amp;"(D1487,IMPORTRANGE(""https://docs.google.com/spreadsheets/d/14Bd19lYaqBhU8_DElYkX7l4wRkHqqCUFNJY4AfY3kHU/edit?usp=sharing  #gid=0"",""фіз особи new!relations_name_uo""),7,FALSE)
,
)
))"),"МІЗУЛІНА Олена Борисівна")</f>
        <v>МІЗУЛІНА Олена Борисівна</v>
      </c>
      <c r="G1486" s="7" t="s">
        <v>10</v>
      </c>
      <c r="H1486" s="7">
        <v>8623</v>
      </c>
      <c r="I1486" s="8" t="str">
        <f ca="1">IFERROR(__xludf.DUMMYFUNCTION("IF
(
G1487=""фізична особа""
,
VLOOKUP(H1487,IMPORTRANGE(""https://docs.google.com/spreadsheets/d/14Bd19lYaqBhU8_DElYkX7l4wRkHqqCUFNJY4AfY3kHU/edit?usp=sharing  #gid=0"",""фіз особи new!relations_name""),6,FALSE)
,
(IF
(
G1487=""юридична особа""
,
VLOOKUP"&amp;"(H1487,IMPORTRANGE(""https://docs.google.com/spreadsheets/d/14Bd19lYaqBhU8_DElYkX7l4wRkHqqCUFNJY4AfY3kHU/edit?usp=sharing  #gid=0"",""фіз особи new!relations_name_uo""),7,FALSE)
,
)
))"),"МІЗУЛІН Михайло Юрійович")</f>
        <v>МІЗУЛІН Михайло Юрійович</v>
      </c>
      <c r="J1486" s="7" t="s">
        <v>14</v>
      </c>
    </row>
    <row r="1487" spans="1:10" ht="13.2">
      <c r="A1487" s="7">
        <v>1486</v>
      </c>
      <c r="B1487" s="7">
        <v>1</v>
      </c>
      <c r="C1487" s="7" t="s">
        <v>10</v>
      </c>
      <c r="D1487" s="7">
        <v>465</v>
      </c>
      <c r="E1487" s="7" t="s">
        <v>21</v>
      </c>
      <c r="F1487" s="8" t="str">
        <f ca="1">IFERROR(__xludf.DUMMYFUNCTION("IF
(
C1488=""фізична особа""
,
VLOOKUP(D1488,IMPORTRANGE(""https://docs.google.com/spreadsheets/d/14Bd19lYaqBhU8_DElYkX7l4wRkHqqCUFNJY4AfY3kHU/edit?usp=sharing  #gid=0"",""фіз особи new!relations_name""),6,FALSE)
,
(IF
(
C1488=""юридична особа""
,
VLOOKUP"&amp;"(D1488,IMPORTRANGE(""https://docs.google.com/spreadsheets/d/14Bd19lYaqBhU8_DElYkX7l4wRkHqqCUFNJY4AfY3kHU/edit?usp=sharing  #gid=0"",""фіз особи new!relations_name_uo""),7,FALSE)
,
)
))"),"МІЗУЛІНА Олена Борисівна")</f>
        <v>МІЗУЛІНА Олена Борисівна</v>
      </c>
      <c r="G1487" s="7" t="s">
        <v>10</v>
      </c>
      <c r="H1487" s="7">
        <v>23411</v>
      </c>
      <c r="I1487" s="8" t="str">
        <f ca="1">IFERROR(__xludf.DUMMYFUNCTION("IF
(
G1488=""фізична особа""
,
VLOOKUP(H1488,IMPORTRANGE(""https://docs.google.com/spreadsheets/d/14Bd19lYaqBhU8_DElYkX7l4wRkHqqCUFNJY4AfY3kHU/edit?usp=sharing  #gid=0"",""фіз особи new!relations_name""),6,FALSE)
,
(IF
(
G1488=""юридична особа""
,
VLOOKUP"&amp;"(H1488,IMPORTRANGE(""https://docs.google.com/spreadsheets/d/14Bd19lYaqBhU8_DElYkX7l4wRkHqqCUFNJY4AfY3kHU/edit?usp=sharing  #gid=0"",""фіз особи new!relations_name_uo""),7,FALSE)
,
)
))"),"МІЗУЛІН Микола Михайлович")</f>
        <v>МІЗУЛІН Микола Михайлович</v>
      </c>
      <c r="J1487" s="7" t="s">
        <v>17</v>
      </c>
    </row>
    <row r="1488" spans="1:10" ht="13.2">
      <c r="A1488" s="7">
        <v>1487</v>
      </c>
      <c r="B1488" s="7">
        <v>1</v>
      </c>
      <c r="C1488" s="7" t="s">
        <v>10</v>
      </c>
      <c r="D1488" s="7">
        <v>465</v>
      </c>
      <c r="E1488" s="7" t="s">
        <v>21</v>
      </c>
      <c r="F1488" s="8" t="str">
        <f ca="1">IFERROR(__xludf.DUMMYFUNCTION("IF
(
C1489=""фізична особа""
,
VLOOKUP(D1489,IMPORTRANGE(""https://docs.google.com/spreadsheets/d/14Bd19lYaqBhU8_DElYkX7l4wRkHqqCUFNJY4AfY3kHU/edit?usp=sharing  #gid=0"",""фіз особи new!relations_name""),6,FALSE)
,
(IF
(
C1489=""юридична особа""
,
VLOOKUP"&amp;"(D1489,IMPORTRANGE(""https://docs.google.com/spreadsheets/d/14Bd19lYaqBhU8_DElYkX7l4wRkHqqCUFNJY4AfY3kHU/edit?usp=sharing  #gid=0"",""фіз особи new!relations_name_uo""),7,FALSE)
,
)
))"),"МІЗУЛІНА Олена Борисівна")</f>
        <v>МІЗУЛІНА Олена Борисівна</v>
      </c>
      <c r="G1488" s="7" t="s">
        <v>10</v>
      </c>
      <c r="H1488" s="7">
        <v>22383</v>
      </c>
      <c r="I1488" s="8" t="str">
        <f ca="1">IFERROR(__xludf.DUMMYFUNCTION("IF
(
G1489=""фізична особа""
,
VLOOKUP(H1489,IMPORTRANGE(""https://docs.google.com/spreadsheets/d/14Bd19lYaqBhU8_DElYkX7l4wRkHqqCUFNJY4AfY3kHU/edit?usp=sharing  #gid=0"",""фіз особи new!relations_name""),6,FALSE)
,
(IF
(
G1489=""юридична особа""
,
VLOOKUP"&amp;"(H1489,IMPORTRANGE(""https://docs.google.com/spreadsheets/d/14Bd19lYaqBhU8_DElYkX7l4wRkHqqCUFNJY4AfY3kHU/edit?usp=sharing  #gid=0"",""фіз особи new!relations_name_uo""),7,FALSE)
,
)
))"),"МІЗУЛІНА Катерина Михайлівна")</f>
        <v>МІЗУЛІНА Катерина Михайлівна</v>
      </c>
      <c r="J1488" s="7" t="s">
        <v>13</v>
      </c>
    </row>
    <row r="1489" spans="1:10" ht="13.2">
      <c r="A1489" s="7">
        <v>1488</v>
      </c>
      <c r="B1489" s="7">
        <v>1</v>
      </c>
      <c r="C1489" s="7" t="s">
        <v>10</v>
      </c>
      <c r="D1489" s="7">
        <v>465</v>
      </c>
      <c r="E1489" s="7" t="s">
        <v>58</v>
      </c>
      <c r="F1489" s="8" t="str">
        <f ca="1">IFERROR(__xludf.DUMMYFUNCTION("IF
(
C1490=""фізична особа""
,
VLOOKUP(D1490,IMPORTRANGE(""https://docs.google.com/spreadsheets/d/14Bd19lYaqBhU8_DElYkX7l4wRkHqqCUFNJY4AfY3kHU/edit?usp=sharing  #gid=0"",""фіз особи new!relations_name""),6,FALSE)
,
(IF
(
C1490=""юридична особа""
,
VLOOKUP"&amp;"(D1490,IMPORTRANGE(""https://docs.google.com/spreadsheets/d/14Bd19lYaqBhU8_DElYkX7l4wRkHqqCUFNJY4AfY3kHU/edit?usp=sharing  #gid=0"",""фіз особи new!relations_name_uo""),7,FALSE)
,
)
))"),"МІЗУЛІНА Олена Борисівна")</f>
        <v>МІЗУЛІНА Олена Борисівна</v>
      </c>
      <c r="G1489" s="7" t="s">
        <v>10</v>
      </c>
      <c r="H1489" s="7">
        <v>0</v>
      </c>
      <c r="I1489" s="8" t="str">
        <f ca="1">IFERROR(__xludf.DUMMYFUNCTION("IF
(
G1490=""фізична особа""
,
VLOOKUP(H1490,IMPORTRANGE(""https://docs.google.com/spreadsheets/d/14Bd19lYaqBhU8_DElYkX7l4wRkHqqCUFNJY4AfY3kHU/edit?usp=sharing  #gid=0"",""фіз особи new!relations_name""),6,FALSE)
,
(IF
(
G1490=""юридична особа""
,
VLOOKUP"&amp;"(H1490,IMPORTRANGE(""https://docs.google.com/spreadsheets/d/14Bd19lYaqBhU8_DElYkX7l4wRkHqqCUFNJY4AfY3kHU/edit?usp=sharing  #gid=0"",""фіз особи new!relations_name_uo""),7,FALSE)
,
)
))"),"#N/A")</f>
        <v>#N/A</v>
      </c>
      <c r="J1489" s="7" t="s">
        <v>25</v>
      </c>
    </row>
    <row r="1490" spans="1:10" ht="13.2">
      <c r="A1490" s="7">
        <v>1489</v>
      </c>
      <c r="B1490" s="7">
        <v>1</v>
      </c>
      <c r="C1490" s="7" t="s">
        <v>10</v>
      </c>
      <c r="D1490" s="7">
        <v>466</v>
      </c>
      <c r="E1490" s="7" t="s">
        <v>14</v>
      </c>
      <c r="F1490" s="8" t="str">
        <f ca="1">IFERROR(__xludf.DUMMYFUNCTION("IF
(
C1491=""фізична особа""
,
VLOOKUP(D1491,IMPORTRANGE(""https://docs.google.com/spreadsheets/d/14Bd19lYaqBhU8_DElYkX7l4wRkHqqCUFNJY4AfY3kHU/edit?usp=sharing  #gid=0"",""фіз особи new!relations_name""),6,FALSE)
,
(IF
(
C1491=""юридична особа""
,
VLOOKUP"&amp;"(D1491,IMPORTRANGE(""https://docs.google.com/spreadsheets/d/14Bd19lYaqBhU8_DElYkX7l4wRkHqqCUFNJY4AfY3kHU/edit?usp=sharing  #gid=0"",""фіз особи new!relations_name_uo""),7,FALSE)
,
)
))"),"КОЛЕРОВ Модест Олексійович")</f>
        <v>КОЛЕРОВ Модест Олексійович</v>
      </c>
      <c r="G1490" s="7" t="s">
        <v>10</v>
      </c>
      <c r="H1490" s="7">
        <v>0</v>
      </c>
      <c r="I1490" s="8" t="str">
        <f ca="1">IFERROR(__xludf.DUMMYFUNCTION("IF
(
G1491=""фізична особа""
,
VLOOKUP(H1491,IMPORTRANGE(""https://docs.google.com/spreadsheets/d/14Bd19lYaqBhU8_DElYkX7l4wRkHqqCUFNJY4AfY3kHU/edit?usp=sharing  #gid=0"",""фіз особи new!relations_name""),6,FALSE)
,
(IF
(
G1491=""юридична особа""
,
VLOOKUP"&amp;"(H1491,IMPORTRANGE(""https://docs.google.com/spreadsheets/d/14Bd19lYaqBhU8_DElYkX7l4wRkHqqCUFNJY4AfY3kHU/edit?usp=sharing  #gid=0"",""фіз особи new!relations_name_uo""),7,FALSE)
,
)
))"),"#N/A")</f>
        <v>#N/A</v>
      </c>
      <c r="J1490" s="7" t="s">
        <v>15</v>
      </c>
    </row>
    <row r="1491" spans="1:10" ht="13.2">
      <c r="A1491" s="7">
        <v>1490</v>
      </c>
      <c r="B1491" s="7">
        <v>1</v>
      </c>
      <c r="C1491" s="7" t="s">
        <v>10</v>
      </c>
      <c r="D1491" s="7">
        <v>466</v>
      </c>
      <c r="E1491" s="7" t="s">
        <v>12</v>
      </c>
      <c r="F1491" s="8" t="str">
        <f ca="1">IFERROR(__xludf.DUMMYFUNCTION("IF
(
C1492=""фізична особа""
,
VLOOKUP(D1492,IMPORTRANGE(""https://docs.google.com/spreadsheets/d/14Bd19lYaqBhU8_DElYkX7l4wRkHqqCUFNJY4AfY3kHU/edit?usp=sharing  #gid=0"",""фіз особи new!relations_name""),6,FALSE)
,
(IF
(
C1492=""юридична особа""
,
VLOOKUP"&amp;"(D1492,IMPORTRANGE(""https://docs.google.com/spreadsheets/d/14Bd19lYaqBhU8_DElYkX7l4wRkHqqCUFNJY4AfY3kHU/edit?usp=sharing  #gid=0"",""фіз особи new!relations_name_uo""),7,FALSE)
,
)
))"),"КОЛЕРОВ Модест Олексійович")</f>
        <v>КОЛЕРОВ Модест Олексійович</v>
      </c>
      <c r="G1491" s="7" t="s">
        <v>10</v>
      </c>
      <c r="H1491" s="7">
        <v>0</v>
      </c>
      <c r="I1491" s="8" t="str">
        <f ca="1">IFERROR(__xludf.DUMMYFUNCTION("IF
(
G1492=""фізична особа""
,
VLOOKUP(H1492,IMPORTRANGE(""https://docs.google.com/spreadsheets/d/14Bd19lYaqBhU8_DElYkX7l4wRkHqqCUFNJY4AfY3kHU/edit?usp=sharing  #gid=0"",""фіз особи new!relations_name""),6,FALSE)
,
(IF
(
G1492=""юридична особа""
,
VLOOKUP"&amp;"(H1492,IMPORTRANGE(""https://docs.google.com/spreadsheets/d/14Bd19lYaqBhU8_DElYkX7l4wRkHqqCUFNJY4AfY3kHU/edit?usp=sharing  #gid=0"",""фіз особи new!relations_name_uo""),7,FALSE)
,
)
))"),"#N/A")</f>
        <v>#N/A</v>
      </c>
      <c r="J1491" s="7" t="s">
        <v>17</v>
      </c>
    </row>
    <row r="1492" spans="1:10" ht="13.2">
      <c r="A1492" s="7">
        <v>1491</v>
      </c>
      <c r="B1492" s="7">
        <v>1</v>
      </c>
      <c r="C1492" s="7" t="s">
        <v>10</v>
      </c>
      <c r="D1492" s="7">
        <v>466</v>
      </c>
      <c r="E1492" s="7" t="s">
        <v>11</v>
      </c>
      <c r="F1492" s="8" t="str">
        <f ca="1">IFERROR(__xludf.DUMMYFUNCTION("IF
(
C1493=""фізична особа""
,
VLOOKUP(D1493,IMPORTRANGE(""https://docs.google.com/spreadsheets/d/14Bd19lYaqBhU8_DElYkX7l4wRkHqqCUFNJY4AfY3kHU/edit?usp=sharing  #gid=0"",""фіз особи new!relations_name""),6,FALSE)
,
(IF
(
C1493=""юридична особа""
,
VLOOKUP"&amp;"(D1493,IMPORTRANGE(""https://docs.google.com/spreadsheets/d/14Bd19lYaqBhU8_DElYkX7l4wRkHqqCUFNJY4AfY3kHU/edit?usp=sharing  #gid=0"",""фіз особи new!relations_name_uo""),7,FALSE)
,
)
))"),"КОЛЕРОВ Модест Олексійович")</f>
        <v>КОЛЕРОВ Модест Олексійович</v>
      </c>
      <c r="G1492" s="7" t="s">
        <v>10</v>
      </c>
      <c r="H1492" s="7">
        <v>0</v>
      </c>
      <c r="I1492" s="8" t="str">
        <f ca="1">IFERROR(__xludf.DUMMYFUNCTION("IF
(
G1493=""фізична особа""
,
VLOOKUP(H1493,IMPORTRANGE(""https://docs.google.com/spreadsheets/d/14Bd19lYaqBhU8_DElYkX7l4wRkHqqCUFNJY4AfY3kHU/edit?usp=sharing  #gid=0"",""фіз особи new!relations_name""),6,FALSE)
,
(IF
(
G1493=""юридична особа""
,
VLOOKUP"&amp;"(H1493,IMPORTRANGE(""https://docs.google.com/spreadsheets/d/14Bd19lYaqBhU8_DElYkX7l4wRkHqqCUFNJY4AfY3kHU/edit?usp=sharing  #gid=0"",""фіз особи new!relations_name_uo""),7,FALSE)
,
)
))"),"#N/A")</f>
        <v>#N/A</v>
      </c>
      <c r="J1492" s="7" t="s">
        <v>11</v>
      </c>
    </row>
    <row r="1493" spans="1:10" ht="13.2">
      <c r="A1493" s="7">
        <v>1492</v>
      </c>
      <c r="B1493" s="7">
        <v>1</v>
      </c>
      <c r="C1493" s="7" t="s">
        <v>10</v>
      </c>
      <c r="D1493" s="7">
        <v>466</v>
      </c>
      <c r="E1493" s="7" t="s">
        <v>11</v>
      </c>
      <c r="F1493" s="8" t="str">
        <f ca="1">IFERROR(__xludf.DUMMYFUNCTION("IF
(
C1494=""фізична особа""
,
VLOOKUP(D1494,IMPORTRANGE(""https://docs.google.com/spreadsheets/d/14Bd19lYaqBhU8_DElYkX7l4wRkHqqCUFNJY4AfY3kHU/edit?usp=sharing  #gid=0"",""фіз особи new!relations_name""),6,FALSE)
,
(IF
(
C1494=""юридична особа""
,
VLOOKUP"&amp;"(D1494,IMPORTRANGE(""https://docs.google.com/spreadsheets/d/14Bd19lYaqBhU8_DElYkX7l4wRkHqqCUFNJY4AfY3kHU/edit?usp=sharing  #gid=0"",""фіз особи new!relations_name_uo""),7,FALSE)
,
)
))"),"КОЛЕРОВ Модест Олексійович")</f>
        <v>КОЛЕРОВ Модест Олексійович</v>
      </c>
      <c r="G1493" s="7" t="s">
        <v>10</v>
      </c>
      <c r="H1493" s="7">
        <v>0</v>
      </c>
      <c r="I1493" s="8" t="str">
        <f ca="1">IFERROR(__xludf.DUMMYFUNCTION("IF
(
G1494=""фізична особа""
,
VLOOKUP(H1494,IMPORTRANGE(""https://docs.google.com/spreadsheets/d/14Bd19lYaqBhU8_DElYkX7l4wRkHqqCUFNJY4AfY3kHU/edit?usp=sharing  #gid=0"",""фіз особи new!relations_name""),6,FALSE)
,
(IF
(
G1494=""юридична особа""
,
VLOOKUP"&amp;"(H1494,IMPORTRANGE(""https://docs.google.com/spreadsheets/d/14Bd19lYaqBhU8_DElYkX7l4wRkHqqCUFNJY4AfY3kHU/edit?usp=sharing  #gid=0"",""фіз особи new!relations_name_uo""),7,FALSE)
,
)
))"),"#N/A")</f>
        <v>#N/A</v>
      </c>
      <c r="J1493" s="7" t="s">
        <v>11</v>
      </c>
    </row>
    <row r="1494" spans="1:10" ht="13.2">
      <c r="A1494" s="7">
        <v>1493</v>
      </c>
      <c r="B1494" s="7">
        <v>1</v>
      </c>
      <c r="C1494" s="7" t="s">
        <v>10</v>
      </c>
      <c r="D1494" s="7">
        <v>466</v>
      </c>
      <c r="E1494" s="7" t="s">
        <v>11</v>
      </c>
      <c r="F1494" s="8" t="str">
        <f ca="1">IFERROR(__xludf.DUMMYFUNCTION("IF
(
C1495=""фізична особа""
,
VLOOKUP(D1495,IMPORTRANGE(""https://docs.google.com/spreadsheets/d/14Bd19lYaqBhU8_DElYkX7l4wRkHqqCUFNJY4AfY3kHU/edit?usp=sharing  #gid=0"",""фіз особи new!relations_name""),6,FALSE)
,
(IF
(
C1495=""юридична особа""
,
VLOOKUP"&amp;"(D1495,IMPORTRANGE(""https://docs.google.com/spreadsheets/d/14Bd19lYaqBhU8_DElYkX7l4wRkHqqCUFNJY4AfY3kHU/edit?usp=sharing  #gid=0"",""фіз особи new!relations_name_uo""),7,FALSE)
,
)
))"),"КОЛЕРОВ Модест Олексійович")</f>
        <v>КОЛЕРОВ Модест Олексійович</v>
      </c>
      <c r="G1494" s="7" t="s">
        <v>10</v>
      </c>
      <c r="H1494" s="7">
        <v>10554</v>
      </c>
      <c r="I1494" s="8" t="str">
        <f ca="1">IFERROR(__xludf.DUMMYFUNCTION("IF
(
G1495=""фізична особа""
,
VLOOKUP(H1495,IMPORTRANGE(""https://docs.google.com/spreadsheets/d/14Bd19lYaqBhU8_DElYkX7l4wRkHqqCUFNJY4AfY3kHU/edit?usp=sharing  #gid=0"",""фіз особи new!relations_name""),6,FALSE)
,
(IF
(
G1495=""юридична особа""
,
VLOOKUP"&amp;"(H1495,IMPORTRANGE(""https://docs.google.com/spreadsheets/d/14Bd19lYaqBhU8_DElYkX7l4wRkHqqCUFNJY4AfY3kHU/edit?usp=sharing  #gid=0"",""фіз особи new!relations_name_uo""),7,FALSE)
,
)
))"),"ЗАХАРОВА Марина Анатоліївна")</f>
        <v>ЗАХАРОВА Марина Анатоліївна</v>
      </c>
      <c r="J1494" s="7" t="s">
        <v>11</v>
      </c>
    </row>
    <row r="1495" spans="1:10" ht="13.2">
      <c r="A1495" s="7">
        <v>1494</v>
      </c>
      <c r="B1495" s="7">
        <v>1</v>
      </c>
      <c r="C1495" s="7" t="s">
        <v>10</v>
      </c>
      <c r="D1495" s="7">
        <v>468</v>
      </c>
      <c r="E1495" s="7" t="s">
        <v>14</v>
      </c>
      <c r="F1495" s="8" t="str">
        <f ca="1">IFERROR(__xludf.DUMMYFUNCTION("IF
(
C1496=""фізична особа""
,
VLOOKUP(D1496,IMPORTRANGE(""https://docs.google.com/spreadsheets/d/14Bd19lYaqBhU8_DElYkX7l4wRkHqqCUFNJY4AfY3kHU/edit?usp=sharing  #gid=0"",""фіз особи new!relations_name""),6,FALSE)
,
(IF
(
C1496=""юридична особа""
,
VLOOKUP"&amp;"(D1496,IMPORTRANGE(""https://docs.google.com/spreadsheets/d/14Bd19lYaqBhU8_DElYkX7l4wRkHqqCUFNJY4AfY3kHU/edit?usp=sharing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495" s="7" t="s">
        <v>10</v>
      </c>
      <c r="H1495" s="7">
        <v>0</v>
      </c>
      <c r="I1495" s="8" t="str">
        <f ca="1">IFERROR(__xludf.DUMMYFUNCTION("IF
(
G1496=""фізична особа""
,
VLOOKUP(H1496,IMPORTRANGE(""https://docs.google.com/spreadsheets/d/14Bd19lYaqBhU8_DElYkX7l4wRkHqqCUFNJY4AfY3kHU/edit?usp=sharing  #gid=0"",""фіз особи new!relations_name""),6,FALSE)
,
(IF
(
G1496=""юридична особа""
,
VLOOKUP"&amp;"(H1496,IMPORTRANGE(""https://docs.google.com/spreadsheets/d/14Bd19lYaqBhU8_DElYkX7l4wRkHqqCUFNJY4AfY3kHU/edit?usp=sharing  #gid=0"",""фіз особи new!relations_name_uo""),7,FALSE)
,
)
))"),"#N/A")</f>
        <v>#N/A</v>
      </c>
      <c r="J1495" s="7" t="s">
        <v>15</v>
      </c>
    </row>
    <row r="1496" spans="1:10" ht="13.2">
      <c r="A1496" s="7">
        <v>1495</v>
      </c>
      <c r="B1496" s="7">
        <v>1</v>
      </c>
      <c r="C1496" s="7" t="s">
        <v>10</v>
      </c>
      <c r="D1496" s="7">
        <v>468</v>
      </c>
      <c r="E1496" s="7" t="s">
        <v>12</v>
      </c>
      <c r="F1496" s="8" t="str">
        <f ca="1">IFERROR(__xludf.DUMMYFUNCTION("IF
(
C1497=""фізична особа""
,
VLOOKUP(D1497,IMPORTRANGE(""https://docs.google.com/spreadsheets/d/14Bd19lYaqBhU8_DElYkX7l4wRkHqqCUFNJY4AfY3kHU/edit?usp=sharing  #gid=0"",""фіз особи new!relations_name""),6,FALSE)
,
(IF
(
C1497=""юридична особа""
,
VLOOKUP"&amp;"(D1497,IMPORTRANGE(""https://docs.google.com/spreadsheets/d/14Bd19lYaqBhU8_DElYkX7l4wRkHqqCUFNJY4AfY3kHU/edit?usp=sharing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496" s="7" t="s">
        <v>10</v>
      </c>
      <c r="H1496" s="7">
        <v>0</v>
      </c>
      <c r="I1496" s="8" t="str">
        <f ca="1">IFERROR(__xludf.DUMMYFUNCTION("IF
(
G1497=""фізична особа""
,
VLOOKUP(H1497,IMPORTRANGE(""https://docs.google.com/spreadsheets/d/14Bd19lYaqBhU8_DElYkX7l4wRkHqqCUFNJY4AfY3kHU/edit?usp=sharing  #gid=0"",""фіз особи new!relations_name""),6,FALSE)
,
(IF
(
G1497=""юридична особа""
,
VLOOKUP"&amp;"(H1497,IMPORTRANGE(""https://docs.google.com/spreadsheets/d/14Bd19lYaqBhU8_DElYkX7l4wRkHqqCUFNJY4AfY3kHU/edit?usp=sharing  #gid=0"",""фіз особи new!relations_name_uo""),7,FALSE)
,
)
))"),"#N/A")</f>
        <v>#N/A</v>
      </c>
      <c r="J1496" s="7" t="s">
        <v>13</v>
      </c>
    </row>
    <row r="1497" spans="1:10" ht="13.2">
      <c r="A1497" s="7">
        <v>1496</v>
      </c>
      <c r="B1497" s="7">
        <v>1</v>
      </c>
      <c r="C1497" s="7" t="s">
        <v>10</v>
      </c>
      <c r="D1497" s="7">
        <v>468</v>
      </c>
      <c r="E1497" s="7" t="s">
        <v>12</v>
      </c>
      <c r="F1497" s="8" t="str">
        <f ca="1">IFERROR(__xludf.DUMMYFUNCTION("IF
(
C1498=""фізична особа""
,
VLOOKUP(D1498,IMPORTRANGE(""https://docs.google.com/spreadsheets/d/14Bd19lYaqBhU8_DElYkX7l4wRkHqqCUFNJY4AfY3kHU/edit?usp=sharing  #gid=0"",""фіз особи new!relations_name""),6,FALSE)
,
(IF
(
C1498=""юридична особа""
,
VLOOKUP"&amp;"(D1498,IMPORTRANGE(""https://docs.google.com/spreadsheets/d/14Bd19lYaqBhU8_DElYkX7l4wRkHqqCUFNJY4AfY3kHU/edit?usp=sharing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497" s="7" t="s">
        <v>10</v>
      </c>
      <c r="H1497" s="7">
        <v>0</v>
      </c>
      <c r="I1497" s="8" t="str">
        <f ca="1">IFERROR(__xludf.DUMMYFUNCTION("IF
(
G1498=""фізична особа""
,
VLOOKUP(H1498,IMPORTRANGE(""https://docs.google.com/spreadsheets/d/14Bd19lYaqBhU8_DElYkX7l4wRkHqqCUFNJY4AfY3kHU/edit?usp=sharing  #gid=0"",""фіз особи new!relations_name""),6,FALSE)
,
(IF
(
G1498=""юридична особа""
,
VLOOKUP"&amp;"(H1498,IMPORTRANGE(""https://docs.google.com/spreadsheets/d/14Bd19lYaqBhU8_DElYkX7l4wRkHqqCUFNJY4AfY3kHU/edit?usp=sharing  #gid=0"",""фіз особи new!relations_name_uo""),7,FALSE)
,
)
))"),"#N/A")</f>
        <v>#N/A</v>
      </c>
      <c r="J1497" s="7" t="s">
        <v>13</v>
      </c>
    </row>
    <row r="1498" spans="1:10" ht="13.2">
      <c r="A1498" s="7">
        <v>1497</v>
      </c>
      <c r="B1498" s="7">
        <v>1</v>
      </c>
      <c r="C1498" s="7" t="s">
        <v>10</v>
      </c>
      <c r="D1498" s="7">
        <v>468</v>
      </c>
      <c r="E1498" s="7" t="s">
        <v>24</v>
      </c>
      <c r="F1498" s="8" t="str">
        <f ca="1">IFERROR(__xludf.DUMMYFUNCTION("IF
(
C1499=""фізична особа""
,
VLOOKUP(D1499,IMPORTRANGE(""https://docs.google.com/spreadsheets/d/14Bd19lYaqBhU8_DElYkX7l4wRkHqqCUFNJY4AfY3kHU/edit?usp=sharing  #gid=0"",""фіз особи new!relations_name""),6,FALSE)
,
(IF
(
C1499=""юридична особа""
,
VLOOKUP"&amp;"(D1499,IMPORTRANGE(""https://docs.google.com/spreadsheets/d/14Bd19lYaqBhU8_DElYkX7l4wRkHqqCUFNJY4AfY3kHU/edit?usp=sharing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498" s="7" t="s">
        <v>10</v>
      </c>
      <c r="H1498" s="7">
        <v>0</v>
      </c>
      <c r="I1498" s="8" t="str">
        <f ca="1">IFERROR(__xludf.DUMMYFUNCTION("IF
(
G1499=""фізична особа""
,
VLOOKUP(H1499,IMPORTRANGE(""https://docs.google.com/spreadsheets/d/14Bd19lYaqBhU8_DElYkX7l4wRkHqqCUFNJY4AfY3kHU/edit?usp=sharing  #gid=0"",""фіз особи new!relations_name""),6,FALSE)
,
(IF
(
G1499=""юридична особа""
,
VLOOKUP"&amp;"(H1499,IMPORTRANGE(""https://docs.google.com/spreadsheets/d/14Bd19lYaqBhU8_DElYkX7l4wRkHqqCUFNJY4AfY3kHU/edit?usp=sharing  #gid=0"",""фіз особи new!relations_name_uo""),7,FALSE)
,
)
))"),"#N/A")</f>
        <v>#N/A</v>
      </c>
      <c r="J1498" s="7" t="s">
        <v>26</v>
      </c>
    </row>
    <row r="1499" spans="1:10" ht="13.2">
      <c r="A1499" s="7">
        <v>1498</v>
      </c>
      <c r="B1499" s="7">
        <v>1</v>
      </c>
      <c r="C1499" s="7" t="s">
        <v>10</v>
      </c>
      <c r="D1499" s="7">
        <v>468</v>
      </c>
      <c r="E1499" s="7" t="s">
        <v>24</v>
      </c>
      <c r="F1499" s="8" t="str">
        <f ca="1">IFERROR(__xludf.DUMMYFUNCTION("IF
(
C1500=""фізична особа""
,
VLOOKUP(D1500,IMPORTRANGE(""https://docs.google.com/spreadsheets/d/14Bd19lYaqBhU8_DElYkX7l4wRkHqqCUFNJY4AfY3kHU/edit?usp=sharing  #gid=0"",""фіз особи new!relations_name""),6,FALSE)
,
(IF
(
C1500=""юридична особа""
,
VLOOKUP"&amp;"(D1500,IMPORTRANGE(""https://docs.google.com/spreadsheets/d/14Bd19lYaqBhU8_DElYkX7l4wRkHqqCUFNJY4AfY3kHU/edit?usp=sharing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499" s="7" t="s">
        <v>10</v>
      </c>
      <c r="H1499" s="7">
        <v>0</v>
      </c>
      <c r="I1499" s="8" t="str">
        <f ca="1">IFERROR(__xludf.DUMMYFUNCTION("IF
(
G1500=""фізична особа""
,
VLOOKUP(H1500,IMPORTRANGE(""https://docs.google.com/spreadsheets/d/14Bd19lYaqBhU8_DElYkX7l4wRkHqqCUFNJY4AfY3kHU/edit?usp=sharing  #gid=0"",""фіз особи new!relations_name""),6,FALSE)
,
(IF
(
G1500=""юридична особа""
,
VLOOKUP"&amp;"(H1500,IMPORTRANGE(""https://docs.google.com/spreadsheets/d/14Bd19lYaqBhU8_DElYkX7l4wRkHqqCUFNJY4AfY3kHU/edit?usp=sharing  #gid=0"",""фіз особи new!relations_name_uo""),7,FALSE)
,
)
))"),"#N/A")</f>
        <v>#N/A</v>
      </c>
      <c r="J1499" s="7" t="s">
        <v>26</v>
      </c>
    </row>
    <row r="1500" spans="1:10" ht="13.2">
      <c r="A1500" s="7">
        <v>1499</v>
      </c>
      <c r="B1500" s="7">
        <v>1</v>
      </c>
      <c r="C1500" s="7" t="s">
        <v>10</v>
      </c>
      <c r="D1500" s="7">
        <v>468</v>
      </c>
      <c r="E1500" s="7" t="s">
        <v>48</v>
      </c>
      <c r="F1500" s="8" t="str">
        <f ca="1">IFERROR(__xludf.DUMMYFUNCTION("IF
(
C1501=""фізична особа""
,
VLOOKUP(D1501,IMPORTRANGE(""https://docs.google.com/spreadsheets/d/14Bd19lYaqBhU8_DElYkX7l4wRkHqqCUFNJY4AfY3kHU/edit?usp=sharing  #gid=0"",""фіз особи new!relations_name""),6,FALSE)
,
(IF
(
C1501=""юридична особа""
,
VLOOKUP"&amp;"(D1501,IMPORTRANGE(""https://docs.google.com/spreadsheets/d/14Bd19lYaqBhU8_DElYkX7l4wRkHqqCUFNJY4AfY3kHU/edit?usp=sharing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0" s="7" t="s">
        <v>10</v>
      </c>
      <c r="H1500" s="7">
        <v>737</v>
      </c>
      <c r="I1500" s="8" t="str">
        <f ca="1">IFERROR(__xludf.DUMMYFUNCTION("IF
(
G1501=""фізична особа""
,
VLOOKUP(H1501,IMPORTRANGE(""https://docs.google.com/spreadsheets/d/14Bd19lYaqBhU8_DElYkX7l4wRkHqqCUFNJY4AfY3kHU/edit?usp=sharing  #gid=0"",""фіз особи new!relations_name""),6,FALSE)
,
(IF
(
G1501=""юридична особа""
,
VLOOKUP"&amp;"(H1501,IMPORTRANGE(""https://docs.google.com/spreadsheets/d/14Bd19lYaqBhU8_DElYkX7l4wRkHqqCUFNJY4AfY3kHU/edit?usp=sharing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500" s="7" t="s">
        <v>48</v>
      </c>
    </row>
    <row r="1501" spans="1:10" ht="13.2">
      <c r="A1501" s="7">
        <v>1500</v>
      </c>
      <c r="B1501" s="7">
        <v>1</v>
      </c>
      <c r="C1501" s="7" t="s">
        <v>10</v>
      </c>
      <c r="D1501" s="7">
        <v>468</v>
      </c>
      <c r="E1501" s="7" t="s">
        <v>65</v>
      </c>
      <c r="F1501" s="8" t="str">
        <f ca="1">IFERROR(__xludf.DUMMYFUNCTION("IF
(
C1502=""фізична особа""
,
VLOOKUP(D1502,IMPORTRANGE(""https://docs.google.com/spreadsheets/d/14Bd19lYaqBhU8_DElYkX7l4wRkHqqCUFNJY4AfY3kHU/edit?usp=sharing  #gid=0"",""фіз особи new!relations_name""),6,FALSE)
,
(IF
(
C1502=""юридична особа""
,
VLOOKUP"&amp;"(D1502,IMPORTRANGE(""https://docs.google.com/spreadsheets/d/14Bd19lYaqBhU8_DElYkX7l4wRkHqqCUFNJY4AfY3kHU/edit?usp=sharing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1" s="7" t="s">
        <v>10</v>
      </c>
      <c r="H1501" s="7">
        <v>0</v>
      </c>
      <c r="I1501" s="8" t="str">
        <f ca="1">IFERROR(__xludf.DUMMYFUNCTION("IF
(
G1502=""фізична особа""
,
VLOOKUP(H1502,IMPORTRANGE(""https://docs.google.com/spreadsheets/d/14Bd19lYaqBhU8_DElYkX7l4wRkHqqCUFNJY4AfY3kHU/edit?usp=sharing  #gid=0"",""фіз особи new!relations_name""),6,FALSE)
,
(IF
(
G1502=""юридична особа""
,
VLOOKUP"&amp;"(H1502,IMPORTRANGE(""https://docs.google.com/spreadsheets/d/14Bd19lYaqBhU8_DElYkX7l4wRkHqqCUFNJY4AfY3kHU/edit?usp=sharing  #gid=0"",""фіз особи new!relations_name_uo""),7,FALSE)
,
)
))"),"#N/A")</f>
        <v>#N/A</v>
      </c>
      <c r="J1501" s="7" t="s">
        <v>65</v>
      </c>
    </row>
    <row r="1502" spans="1:10" ht="13.2">
      <c r="A1502" s="7">
        <v>1501</v>
      </c>
      <c r="B1502" s="7">
        <v>1</v>
      </c>
      <c r="C1502" s="7" t="s">
        <v>10</v>
      </c>
      <c r="D1502" s="7">
        <v>468</v>
      </c>
      <c r="E1502" s="7" t="s">
        <v>48</v>
      </c>
      <c r="F1502" s="8" t="str">
        <f ca="1">IFERROR(__xludf.DUMMYFUNCTION("IF
(
C1503=""фізична особа""
,
VLOOKUP(D1503,IMPORTRANGE(""https://docs.google.com/spreadsheets/d/14Bd19lYaqBhU8_DElYkX7l4wRkHqqCUFNJY4AfY3kHU/edit?usp=sharing  #gid=0"",""фіз особи new!relations_name""),6,FALSE)
,
(IF
(
C1503=""юридична особа""
,
VLOOKUP"&amp;"(D1503,IMPORTRANGE(""https://docs.google.com/spreadsheets/d/14Bd19lYaqBhU8_DElYkX7l4wRkHqqCUFNJY4AfY3kHU/edit?usp=sharing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2" s="7" t="s">
        <v>10</v>
      </c>
      <c r="H1502" s="7">
        <v>23352</v>
      </c>
      <c r="I1502" s="8" t="str">
        <f ca="1">IFERROR(__xludf.DUMMYFUNCTION("IF
(
G1503=""фізична особа""
,
VLOOKUP(H1503,IMPORTRANGE(""https://docs.google.com/spreadsheets/d/14Bd19lYaqBhU8_DElYkX7l4wRkHqqCUFNJY4AfY3kHU/edit?usp=sharing  #gid=0"",""фіз особи new!relations_name""),6,FALSE)
,
(IF
(
G1503=""юридична особа""
,
VLOOKUP"&amp;"(H1503,IMPORTRANGE(""https://docs.google.com/spreadsheets/d/14Bd19lYaqBhU8_DElYkX7l4wRkHqqCUFNJY4AfY3kHU/edit?usp=sharing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502" s="7" t="s">
        <v>48</v>
      </c>
    </row>
    <row r="1503" spans="1:10" ht="13.2">
      <c r="A1503" s="7">
        <v>1502</v>
      </c>
      <c r="B1503" s="7">
        <v>1</v>
      </c>
      <c r="C1503" s="7" t="s">
        <v>10</v>
      </c>
      <c r="D1503" s="7">
        <v>468</v>
      </c>
      <c r="E1503" s="7" t="s">
        <v>48</v>
      </c>
      <c r="F1503" s="8" t="str">
        <f ca="1">IFERROR(__xludf.DUMMYFUNCTION("IF
(
C1504=""фізична особа""
,
VLOOKUP(D1504,IMPORTRANGE(""https://docs.google.com/spreadsheets/d/14Bd19lYaqBhU8_DElYkX7l4wRkHqqCUFNJY4AfY3kHU/edit?usp=sharing  #gid=0"",""фіз особи new!relations_name""),6,FALSE)
,
(IF
(
C1504=""юридична особа""
,
VLOOKUP"&amp;"(D1504,IMPORTRANGE(""https://docs.google.com/spreadsheets/d/14Bd19lYaqBhU8_DElYkX7l4wRkHqqCUFNJY4AfY3kHU/edit?usp=sharing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3" s="7" t="s">
        <v>10</v>
      </c>
      <c r="H1503" s="7">
        <v>2378</v>
      </c>
      <c r="I1503" s="8" t="str">
        <f ca="1">IFERROR(__xludf.DUMMYFUNCTION("IF
(
G1504=""фізична особа""
,
VLOOKUP(H1504,IMPORTRANGE(""https://docs.google.com/spreadsheets/d/14Bd19lYaqBhU8_DElYkX7l4wRkHqqCUFNJY4AfY3kHU/edit?usp=sharing  #gid=0"",""фіз особи new!relations_name""),6,FALSE)
,
(IF
(
G1504=""юридична особа""
,
VLOOKUP"&amp;"(H1504,IMPORTRANGE(""https://docs.google.com/spreadsheets/d/14Bd19lYaqBhU8_DElYkX7l4wRkHqqCUFNJY4AfY3kHU/edit?usp=sharing  #gid=0"",""фіз особи new!relations_name_uo""),7,FALSE)
,
)
))"),"ОБРИВАЛІН Сергій Геннадійович")</f>
        <v>ОБРИВАЛІН Сергій Геннадійович</v>
      </c>
      <c r="J1503" s="7" t="s">
        <v>48</v>
      </c>
    </row>
    <row r="1504" spans="1:10" ht="13.2">
      <c r="A1504" s="7">
        <v>1503</v>
      </c>
      <c r="B1504" s="7">
        <v>1</v>
      </c>
      <c r="C1504" s="7" t="s">
        <v>10</v>
      </c>
      <c r="D1504" s="7">
        <v>468</v>
      </c>
      <c r="E1504" s="7" t="s">
        <v>41</v>
      </c>
      <c r="F1504" s="8" t="str">
        <f ca="1">IFERROR(__xludf.DUMMYFUNCTION("IF
(
C1505=""фізична особа""
,
VLOOKUP(D1505,IMPORTRANGE(""https://docs.google.com/spreadsheets/d/14Bd19lYaqBhU8_DElYkX7l4wRkHqqCUFNJY4AfY3kHU/edit?usp=sharing  #gid=0"",""фіз особи new!relations_name""),6,FALSE)
,
(IF
(
C1505=""юридична особа""
,
VLOOKUP"&amp;"(D1505,IMPORTRANGE(""https://docs.google.com/spreadsheets/d/14Bd19lYaqBhU8_DElYkX7l4wRkHqqCUFNJY4AfY3kHU/edit?usp=sharing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4" s="7" t="s">
        <v>10</v>
      </c>
      <c r="H1504" s="7">
        <v>3020</v>
      </c>
      <c r="I1504" s="8" t="str">
        <f ca="1">IFERROR(__xludf.DUMMYFUNCTION("IF
(
G1505=""фізична особа""
,
VLOOKUP(H1505,IMPORTRANGE(""https://docs.google.com/spreadsheets/d/14Bd19lYaqBhU8_DElYkX7l4wRkHqqCUFNJY4AfY3kHU/edit?usp=sharing  #gid=0"",""фіз особи new!relations_name""),6,FALSE)
,
(IF
(
G1505=""юридична особа""
,
VLOOKUP"&amp;"(H1505,IMPORTRANGE(""https://docs.google.com/spreadsheets/d/14Bd19lYaqBhU8_DElYkX7l4wRkHqqCUFNJY4AfY3kHU/edit?usp=sharing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1504" s="7" t="s">
        <v>40</v>
      </c>
    </row>
    <row r="1505" spans="1:10" ht="13.2">
      <c r="A1505" s="7">
        <v>1504</v>
      </c>
      <c r="B1505" s="7">
        <v>1</v>
      </c>
      <c r="C1505" s="7" t="s">
        <v>10</v>
      </c>
      <c r="D1505" s="7">
        <v>468</v>
      </c>
      <c r="E1505" s="7" t="s">
        <v>29</v>
      </c>
      <c r="F1505" s="8" t="str">
        <f ca="1">IFERROR(__xludf.DUMMYFUNCTION("IF
(
C1506=""фізична особа""
,
VLOOKUP(D1506,IMPORTRANGE(""https://docs.google.com/spreadsheets/d/14Bd19lYaqBhU8_DElYkX7l4wRkHqqCUFNJY4AfY3kHU/edit?usp=sharing  #gid=0"",""фіз особи new!relations_name""),6,FALSE)
,
(IF
(
C1506=""юридична особа""
,
VLOOKUP"&amp;"(D1506,IMPORTRANGE(""https://docs.google.com/spreadsheets/d/14Bd19lYaqBhU8_DElYkX7l4wRkHqqCUFNJY4AfY3kHU/edit?usp=sharing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5" s="7" t="s">
        <v>10</v>
      </c>
      <c r="H1505" s="7">
        <v>0</v>
      </c>
      <c r="I1505" s="8" t="str">
        <f ca="1">IFERROR(__xludf.DUMMYFUNCTION("IF
(
G1506=""фізична особа""
,
VLOOKUP(H1506,IMPORTRANGE(""https://docs.google.com/spreadsheets/d/14Bd19lYaqBhU8_DElYkX7l4wRkHqqCUFNJY4AfY3kHU/edit?usp=sharing  #gid=0"",""фіз особи new!relations_name""),6,FALSE)
,
(IF
(
G1506=""юридична особа""
,
VLOOKUP"&amp;"(H1506,IMPORTRANGE(""https://docs.google.com/spreadsheets/d/14Bd19lYaqBhU8_DElYkX7l4wRkHqqCUFNJY4AfY3kHU/edit?usp=sharing  #gid=0"",""фіз особи new!relations_name_uo""),7,FALSE)
,
)
))"),"#N/A")</f>
        <v>#N/A</v>
      </c>
      <c r="J1505" s="7" t="s">
        <v>28</v>
      </c>
    </row>
    <row r="1506" spans="1:10" ht="13.2">
      <c r="A1506" s="7">
        <v>1505</v>
      </c>
      <c r="B1506" s="7">
        <v>1</v>
      </c>
      <c r="C1506" s="7" t="s">
        <v>10</v>
      </c>
      <c r="D1506" s="7">
        <v>468</v>
      </c>
      <c r="E1506" s="7" t="s">
        <v>30</v>
      </c>
      <c r="F1506" s="8" t="str">
        <f ca="1">IFERROR(__xludf.DUMMYFUNCTION("IF
(
C1507=""фізична особа""
,
VLOOKUP(D1507,IMPORTRANGE(""https://docs.google.com/spreadsheets/d/14Bd19lYaqBhU8_DElYkX7l4wRkHqqCUFNJY4AfY3kHU/edit?usp=sharing  #gid=0"",""фіз особи new!relations_name""),6,FALSE)
,
(IF
(
C1507=""юридична особа""
,
VLOOKUP"&amp;"(D1507,IMPORTRANGE(""https://docs.google.com/spreadsheets/d/14Bd19lYaqBhU8_DElYkX7l4wRkHqqCUFNJY4AfY3kHU/edit?usp=sharing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6" s="7" t="s">
        <v>10</v>
      </c>
      <c r="H1506" s="7">
        <v>0</v>
      </c>
      <c r="I1506" s="8" t="str">
        <f ca="1">IFERROR(__xludf.DUMMYFUNCTION("IF
(
G1507=""фізична особа""
,
VLOOKUP(H1507,IMPORTRANGE(""https://docs.google.com/spreadsheets/d/14Bd19lYaqBhU8_DElYkX7l4wRkHqqCUFNJY4AfY3kHU/edit?usp=sharing  #gid=0"",""фіз особи new!relations_name""),6,FALSE)
,
(IF
(
G1507=""юридична особа""
,
VLOOKUP"&amp;"(H1507,IMPORTRANGE(""https://docs.google.com/spreadsheets/d/14Bd19lYaqBhU8_DElYkX7l4wRkHqqCUFNJY4AfY3kHU/edit?usp=sharing  #gid=0"",""фіз особи new!relations_name_uo""),7,FALSE)
,
)
))"),"#N/A")</f>
        <v>#N/A</v>
      </c>
      <c r="J1506" s="7" t="s">
        <v>30</v>
      </c>
    </row>
    <row r="1507" spans="1:10" ht="13.2">
      <c r="A1507" s="7">
        <v>1506</v>
      </c>
      <c r="B1507" s="7">
        <v>1</v>
      </c>
      <c r="C1507" s="7" t="s">
        <v>10</v>
      </c>
      <c r="D1507" s="7">
        <v>468</v>
      </c>
      <c r="E1507" s="7" t="s">
        <v>41</v>
      </c>
      <c r="F1507" s="8" t="str">
        <f ca="1">IFERROR(__xludf.DUMMYFUNCTION("IF
(
C1508=""фізична особа""
,
VLOOKUP(D1508,IMPORTRANGE(""https://docs.google.com/spreadsheets/d/14Bd19lYaqBhU8_DElYkX7l4wRkHqqCUFNJY4AfY3kHU/edit?usp=sharing  #gid=0"",""фіз особи new!relations_name""),6,FALSE)
,
(IF
(
C1508=""юридична особа""
,
VLOOKUP"&amp;"(D1508,IMPORTRANGE(""https://docs.google.com/spreadsheets/d/14Bd19lYaqBhU8_DElYkX7l4wRkHqqCUFNJY4AfY3kHU/edit?usp=sharing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7" s="7" t="s">
        <v>10</v>
      </c>
      <c r="H1507" s="7">
        <v>23353</v>
      </c>
      <c r="I1507" s="8" t="str">
        <f ca="1">IFERROR(__xludf.DUMMYFUNCTION("IF
(
G1508=""фізична особа""
,
VLOOKUP(H1508,IMPORTRANGE(""https://docs.google.com/spreadsheets/d/14Bd19lYaqBhU8_DElYkX7l4wRkHqqCUFNJY4AfY3kHU/edit?usp=sharing  #gid=0"",""фіз особи new!relations_name""),6,FALSE)
,
(IF
(
G1508=""юридична особа""
,
VLOOKUP"&amp;"(H1508,IMPORTRANGE(""https://docs.google.com/spreadsheets/d/14Bd19lYaqBhU8_DElYkX7l4wRkHqqCUFNJY4AfY3kHU/edit?usp=sharing  #gid=0"",""фіз особи new!relations_name_uo""),7,FALSE)
,
)
))"),"СОКОЛОВ Максим Юрійович")</f>
        <v>СОКОЛОВ Максим Юрійович</v>
      </c>
      <c r="J1507" s="7" t="s">
        <v>40</v>
      </c>
    </row>
    <row r="1508" spans="1:10" ht="13.2">
      <c r="A1508" s="7">
        <v>1507</v>
      </c>
      <c r="B1508" s="7">
        <v>1</v>
      </c>
      <c r="C1508" s="7" t="s">
        <v>10</v>
      </c>
      <c r="D1508" s="7">
        <v>468</v>
      </c>
      <c r="E1508" s="7" t="s">
        <v>48</v>
      </c>
      <c r="F1508" s="8" t="str">
        <f ca="1">IFERROR(__xludf.DUMMYFUNCTION("IF
(
C1509=""фізична особа""
,
VLOOKUP(D1509,IMPORTRANGE(""https://docs.google.com/spreadsheets/d/14Bd19lYaqBhU8_DElYkX7l4wRkHqqCUFNJY4AfY3kHU/edit?usp=sharing  #gid=0"",""фіз особи new!relations_name""),6,FALSE)
,
(IF
(
C1509=""юридична особа""
,
VLOOKUP"&amp;"(D1509,IMPORTRANGE(""https://docs.google.com/spreadsheets/d/14Bd19lYaqBhU8_DElYkX7l4wRkHqqCUFNJY4AfY3kHU/edit?usp=sharing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508" s="7" t="s">
        <v>10</v>
      </c>
      <c r="H1508" s="7">
        <v>2470</v>
      </c>
      <c r="I1508" s="8" t="str">
        <f ca="1">IFERROR(__xludf.DUMMYFUNCTION("IF
(
G1509=""фізична особа""
,
VLOOKUP(H1509,IMPORTRANGE(""https://docs.google.com/spreadsheets/d/14Bd19lYaqBhU8_DElYkX7l4wRkHqqCUFNJY4AfY3kHU/edit?usp=sharing  #gid=0"",""фіз особи new!relations_name""),6,FALSE)
,
(IF
(
G1509=""юридична особа""
,
VLOOKUP"&amp;"(H1509,IMPORTRANGE(""https://docs.google.com/spreadsheets/d/14Bd19lYaqBhU8_DElYkX7l4wRkHqqCUFNJY4AfY3kHU/edit?usp=sharing  #gid=0"",""фіз особи new!relations_name_uo""),7,FALSE)
,
)
))"),"ЯРІН Андрій Веніамінович")</f>
        <v>ЯРІН Андрій Веніамінович</v>
      </c>
      <c r="J1508" s="7" t="s">
        <v>48</v>
      </c>
    </row>
    <row r="1509" spans="1:10" ht="13.2">
      <c r="A1509" s="7">
        <v>1508</v>
      </c>
      <c r="B1509" s="7">
        <v>1</v>
      </c>
      <c r="C1509" s="7" t="s">
        <v>10</v>
      </c>
      <c r="D1509" s="7">
        <v>469</v>
      </c>
      <c r="E1509" s="7" t="s">
        <v>48</v>
      </c>
      <c r="F1509" s="8" t="str">
        <f ca="1">IFERROR(__xludf.DUMMYFUNCTION("IF
(
C1510=""фізична особа""
,
VLOOKUP(D1510,IMPORTRANGE(""https://docs.google.com/spreadsheets/d/14Bd19lYaqBhU8_DElYkX7l4wRkHqqCUFNJY4AfY3kHU/edit?usp=sharing  #gid=0"",""фіз особи new!relations_name""),6,FALSE)
,
(IF
(
C1510=""юридична особа""
,
VLOOKUP"&amp;"(D1510,IMPORTRANGE(""https://docs.google.com/spreadsheets/d/14Bd19lYaqBhU8_DElYkX7l4wRkHqqCUFNJY4AfY3kHU/edit?usp=sharing  #gid=0"",""фіз особи new!relations_name_uo""),7,FALSE)
,
)
))"),"БАРАХОЄВ Мухарбек Ойбертович")</f>
        <v>БАРАХОЄВ Мухарбек Ойбертович</v>
      </c>
      <c r="G1509" s="7" t="s">
        <v>10</v>
      </c>
      <c r="H1509" s="7">
        <v>133</v>
      </c>
      <c r="I1509" s="8" t="str">
        <f ca="1">IFERROR(__xludf.DUMMYFUNCTION("IF
(
G1510=""фізична особа""
,
VLOOKUP(H1510,IMPORTRANGE(""https://docs.google.com/spreadsheets/d/14Bd19lYaqBhU8_DElYkX7l4wRkHqqCUFNJY4AfY3kHU/edit?usp=sharing  #gid=0"",""фіз особи new!relations_name""),6,FALSE)
,
(IF
(
G1510=""юридична особа""
,
VLOOKUP"&amp;"(H1510,IMPORTRANGE(""https://docs.google.com/spreadsheets/d/14Bd19lYaqBhU8_DElYkX7l4wRkHqqCUFNJY4AfY3kHU/edit?usp=sharing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1509" s="7" t="s">
        <v>48</v>
      </c>
    </row>
    <row r="1510" spans="1:10" ht="13.2">
      <c r="A1510" s="7">
        <v>1509</v>
      </c>
      <c r="B1510" s="7">
        <v>1</v>
      </c>
      <c r="C1510" s="7" t="s">
        <v>10</v>
      </c>
      <c r="D1510" s="7">
        <v>470</v>
      </c>
      <c r="E1510" s="7" t="s">
        <v>48</v>
      </c>
      <c r="F1510" s="8" t="str">
        <f ca="1">IFERROR(__xludf.DUMMYFUNCTION("IF
(
C1511=""фізична особа""
,
VLOOKUP(D1511,IMPORTRANGE(""https://docs.google.com/spreadsheets/d/14Bd19lYaqBhU8_DElYkX7l4wRkHqqCUFNJY4AfY3kHU/edit?usp=sharing  #gid=0"",""фіз особи new!relations_name""),6,FALSE)
,
(IF
(
C1511=""юридична особа""
,
VLOOKUP"&amp;"(D1511,IMPORTRANGE(""https://docs.google.com/spreadsheets/d/14Bd19lYaqBhU8_DElYkX7l4wRkHqqCUFNJY4AfY3kHU/edit?usp=sharing  #gid=0"",""фіз особи new!relations_name_uo""),7,FALSE)
,
)
))"),"УЛЬБАШЕВ Мухарбій Магомедович")</f>
        <v>УЛЬБАШЕВ Мухарбій Магомедович</v>
      </c>
      <c r="G1510" s="7" t="s">
        <v>10</v>
      </c>
      <c r="H1510" s="7">
        <v>12734</v>
      </c>
      <c r="I1510" s="8" t="str">
        <f ca="1">IFERROR(__xludf.DUMMYFUNCTION("IF
(
G1511=""фізична особа""
,
VLOOKUP(H1511,IMPORTRANGE(""https://docs.google.com/spreadsheets/d/14Bd19lYaqBhU8_DElYkX7l4wRkHqqCUFNJY4AfY3kHU/edit?usp=sharing  #gid=0"",""фіз особи new!relations_name""),6,FALSE)
,
(IF
(
G1511=""юридична особа""
,
VLOOKUP"&amp;"(H1511,IMPORTRANGE(""https://docs.google.com/spreadsheets/d/14Bd19lYaqBhU8_DElYkX7l4wRkHqqCUFNJY4AfY3kHU/edit?usp=sharing  #gid=0"",""фіз особи new!relations_name_uo""),7,FALSE)
,
)
))"),"БУШМІН Євгеній Вікторович")</f>
        <v>БУШМІН Євгеній Вікторович</v>
      </c>
      <c r="J1510" s="7" t="s">
        <v>48</v>
      </c>
    </row>
    <row r="1511" spans="1:10" ht="13.2">
      <c r="A1511" s="7">
        <v>1510</v>
      </c>
      <c r="B1511" s="7">
        <v>1</v>
      </c>
      <c r="C1511" s="7" t="s">
        <v>10</v>
      </c>
      <c r="D1511" s="7">
        <v>470</v>
      </c>
      <c r="E1511" s="7" t="s">
        <v>48</v>
      </c>
      <c r="F1511" s="8" t="str">
        <f ca="1">IFERROR(__xludf.DUMMYFUNCTION("IF
(
C1512=""фізична особа""
,
VLOOKUP(D1512,IMPORTRANGE(""https://docs.google.com/spreadsheets/d/14Bd19lYaqBhU8_DElYkX7l4wRkHqqCUFNJY4AfY3kHU/edit?usp=sharing  #gid=0"",""фіз особи new!relations_name""),6,FALSE)
,
(IF
(
C1512=""юридична особа""
,
VLOOKUP"&amp;"(D1512,IMPORTRANGE(""https://docs.google.com/spreadsheets/d/14Bd19lYaqBhU8_DElYkX7l4wRkHqqCUFNJY4AfY3kHU/edit?usp=sharing  #gid=0"",""фіз особи new!relations_name_uo""),7,FALSE)
,
)
))"),"УЛЬБАШЕВ Мухарбій Магомедович")</f>
        <v>УЛЬБАШЕВ Мухарбій Магомедович</v>
      </c>
      <c r="G1511" s="7" t="s">
        <v>10</v>
      </c>
      <c r="H1511" s="7">
        <v>997</v>
      </c>
      <c r="I1511" s="8" t="str">
        <f ca="1">IFERROR(__xludf.DUMMYFUNCTION("IF
(
G1512=""фізична особа""
,
VLOOKUP(H1512,IMPORTRANGE(""https://docs.google.com/spreadsheets/d/14Bd19lYaqBhU8_DElYkX7l4wRkHqqCUFNJY4AfY3kHU/edit?usp=sharing  #gid=0"",""фіз особи new!relations_name""),6,FALSE)
,
(IF
(
G1512=""юридична особа""
,
VLOOKUP"&amp;"(H1512,IMPORTRANGE(""https://docs.google.com/spreadsheets/d/14Bd19lYaqBhU8_DElYkX7l4wRkHqqCUFNJY4AfY3kHU/edit?usp=sharing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J1511" s="7" t="s">
        <v>48</v>
      </c>
    </row>
    <row r="1512" spans="1:10" ht="13.2">
      <c r="A1512" s="7">
        <v>1511</v>
      </c>
      <c r="B1512" s="7">
        <v>1</v>
      </c>
      <c r="C1512" s="7" t="s">
        <v>10</v>
      </c>
      <c r="D1512" s="7">
        <v>470</v>
      </c>
      <c r="E1512" s="7" t="s">
        <v>28</v>
      </c>
      <c r="F1512" s="8" t="str">
        <f ca="1">IFERROR(__xludf.DUMMYFUNCTION("IF
(
C1513=""фізична особа""
,
VLOOKUP(D1513,IMPORTRANGE(""https://docs.google.com/spreadsheets/d/14Bd19lYaqBhU8_DElYkX7l4wRkHqqCUFNJY4AfY3kHU/edit?usp=sharing  #gid=0"",""фіз особи new!relations_name""),6,FALSE)
,
(IF
(
C1513=""юридична особа""
,
VLOOKUP"&amp;"(D1513,IMPORTRANGE(""https://docs.google.com/spreadsheets/d/14Bd19lYaqBhU8_DElYkX7l4wRkHqqCUFNJY4AfY3kHU/edit?usp=sharing  #gid=0"",""фіз особи new!relations_name_uo""),7,FALSE)
,
)
))"),"УЛЬБАШЕВ Мухарбій Магомедович")</f>
        <v>УЛЬБАШЕВ Мухарбій Магомедович</v>
      </c>
      <c r="G1512" s="7" t="s">
        <v>10</v>
      </c>
      <c r="H1512" s="7">
        <v>430</v>
      </c>
      <c r="I1512" s="8" t="str">
        <f ca="1">IFERROR(__xludf.DUMMYFUNCTION("IF
(
G1513=""фізична особа""
,
VLOOKUP(H1513,IMPORTRANGE(""https://docs.google.com/spreadsheets/d/14Bd19lYaqBhU8_DElYkX7l4wRkHqqCUFNJY4AfY3kHU/edit?usp=sharing  #gid=0"",""фіз особи new!relations_name""),6,FALSE)
,
(IF
(
G1513=""юридична особа""
,
VLOOKUP"&amp;"(H1513,IMPORTRANGE(""https://docs.google.com/spreadsheets/d/14Bd19lYaqBhU8_DElYkX7l4wRkHqqCUFNJY4AfY3kHU/edit?usp=sharing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1512" s="7" t="s">
        <v>29</v>
      </c>
    </row>
    <row r="1513" spans="1:10" ht="13.2">
      <c r="A1513" s="7">
        <v>1512</v>
      </c>
      <c r="B1513" s="7">
        <v>1</v>
      </c>
      <c r="C1513" s="7" t="s">
        <v>10</v>
      </c>
      <c r="D1513" s="7">
        <v>470</v>
      </c>
      <c r="E1513" s="7" t="s">
        <v>28</v>
      </c>
      <c r="F1513" s="8" t="str">
        <f ca="1">IFERROR(__xludf.DUMMYFUNCTION("IF
(
C1514=""фізична особа""
,
VLOOKUP(D1514,IMPORTRANGE(""https://docs.google.com/spreadsheets/d/14Bd19lYaqBhU8_DElYkX7l4wRkHqqCUFNJY4AfY3kHU/edit?usp=sharing  #gid=0"",""фіз особи new!relations_name""),6,FALSE)
,
(IF
(
C1514=""юридична особа""
,
VLOOKUP"&amp;"(D1514,IMPORTRANGE(""https://docs.google.com/spreadsheets/d/14Bd19lYaqBhU8_DElYkX7l4wRkHqqCUFNJY4AfY3kHU/edit?usp=sharing  #gid=0"",""фіз особи new!relations_name_uo""),7,FALSE)
,
)
))"),"УЛЬБАШЕВ Мухарбій Магомедович")</f>
        <v>УЛЬБАШЕВ Мухарбій Магомедович</v>
      </c>
      <c r="G1513" s="7" t="s">
        <v>10</v>
      </c>
      <c r="H1513" s="7">
        <v>1354</v>
      </c>
      <c r="I1513" s="8" t="str">
        <f ca="1">IFERROR(__xludf.DUMMYFUNCTION("IF
(
G1514=""фізична особа""
,
VLOOKUP(H1514,IMPORTRANGE(""https://docs.google.com/spreadsheets/d/14Bd19lYaqBhU8_DElYkX7l4wRkHqqCUFNJY4AfY3kHU/edit?usp=sharing  #gid=0"",""фіз особи new!relations_name""),6,FALSE)
,
(IF
(
G1514=""юридична особа""
,
VLOOKUP"&amp;"(H1514,IMPORTRANGE(""https://docs.google.com/spreadsheets/d/14Bd19lYaqBhU8_DElYkX7l4wRkHqqCUFNJY4AfY3kHU/edit?usp=sharing  #gid=0"",""фіз особи new!relations_name_uo""),7,FALSE)
,
)
))"),"КОКОВ Юрій Олександрович")</f>
        <v>КОКОВ Юрій Олександрович</v>
      </c>
      <c r="J1513" s="7" t="s">
        <v>29</v>
      </c>
    </row>
    <row r="1514" spans="1:10" ht="13.2">
      <c r="A1514" s="7">
        <v>1513</v>
      </c>
      <c r="B1514" s="7">
        <v>1</v>
      </c>
      <c r="C1514" s="7" t="s">
        <v>10</v>
      </c>
      <c r="D1514" s="7">
        <v>471</v>
      </c>
      <c r="E1514" s="7" t="s">
        <v>17</v>
      </c>
      <c r="F1514" s="8" t="str">
        <f ca="1">IFERROR(__xludf.DUMMYFUNCTION("IF
(
C1515=""фізична особа""
,
VLOOKUP(D1515,IMPORTRANGE(""https://docs.google.com/spreadsheets/d/14Bd19lYaqBhU8_DElYkX7l4wRkHqqCUFNJY4AfY3kHU/edit?usp=sharing  #gid=0"",""фіз особи new!relations_name""),6,FALSE)
,
(IF
(
C1515=""юридична особа""
,
VLOOKUP"&amp;"(D1515,IMPORTRANGE(""https://docs.google.com/spreadsheets/d/14Bd19lYaqBhU8_DElYkX7l4wRkHqqCUFNJY4AfY3kHU/edit?usp=sharing  #gid=0"",""фіз особи new!relations_name_uo""),7,FALSE)
,
)
))"),"ГАДЖІЄВ Мурад Станіславович")</f>
        <v>ГАДЖІЄВ Мурад Станіславович</v>
      </c>
      <c r="G1514" s="7" t="s">
        <v>10</v>
      </c>
      <c r="H1514" s="7">
        <v>0</v>
      </c>
      <c r="I1514" s="8" t="str">
        <f ca="1">IFERROR(__xludf.DUMMYFUNCTION("IF
(
G1515=""фізична особа""
,
VLOOKUP(H1515,IMPORTRANGE(""https://docs.google.com/spreadsheets/d/14Bd19lYaqBhU8_DElYkX7l4wRkHqqCUFNJY4AfY3kHU/edit?usp=sharing  #gid=0"",""фіз особи new!relations_name""),6,FALSE)
,
(IF
(
G1515=""юридична особа""
,
VLOOKUP"&amp;"(H1515,IMPORTRANGE(""https://docs.google.com/spreadsheets/d/14Bd19lYaqBhU8_DElYkX7l4wRkHqqCUFNJY4AfY3kHU/edit?usp=sharing  #gid=0"",""фіз особи new!relations_name_uo""),7,FALSE)
,
)
))"),"#N/A")</f>
        <v>#N/A</v>
      </c>
      <c r="J1514" s="7" t="s">
        <v>12</v>
      </c>
    </row>
    <row r="1515" spans="1:10" ht="13.2">
      <c r="A1515" s="7">
        <v>1514</v>
      </c>
      <c r="B1515" s="7">
        <v>1</v>
      </c>
      <c r="C1515" s="7" t="s">
        <v>10</v>
      </c>
      <c r="D1515" s="7">
        <v>471</v>
      </c>
      <c r="E1515" s="7" t="s">
        <v>18</v>
      </c>
      <c r="F1515" s="8" t="str">
        <f ca="1">IFERROR(__xludf.DUMMYFUNCTION("IF
(
C1516=""фізична особа""
,
VLOOKUP(D1516,IMPORTRANGE(""https://docs.google.com/spreadsheets/d/14Bd19lYaqBhU8_DElYkX7l4wRkHqqCUFNJY4AfY3kHU/edit?usp=sharing  #gid=0"",""фіз особи new!relations_name""),6,FALSE)
,
(IF
(
C1516=""юридична особа""
,
VLOOKUP"&amp;"(D1516,IMPORTRANGE(""https://docs.google.com/spreadsheets/d/14Bd19lYaqBhU8_DElYkX7l4wRkHqqCUFNJY4AfY3kHU/edit?usp=sharing  #gid=0"",""фіз особи new!relations_name_uo""),7,FALSE)
,
)
))"),"ГАДЖІЄВ Мурад Станіславович")</f>
        <v>ГАДЖІЄВ Мурад Станіславович</v>
      </c>
      <c r="G1515" s="7" t="s">
        <v>10</v>
      </c>
      <c r="H1515" s="7">
        <v>8856</v>
      </c>
      <c r="I1515" s="8" t="str">
        <f ca="1">IFERROR(__xludf.DUMMYFUNCTION("IF
(
G1516=""фізична особа""
,
VLOOKUP(H1516,IMPORTRANGE(""https://docs.google.com/spreadsheets/d/14Bd19lYaqBhU8_DElYkX7l4wRkHqqCUFNJY4AfY3kHU/edit?usp=sharing  #gid=0"",""фіз особи new!relations_name""),6,FALSE)
,
(IF
(
G1516=""юридична особа""
,
VLOOKUP"&amp;"(H1516,IMPORTRANGE(""https://docs.google.com/spreadsheets/d/14Bd19lYaqBhU8_DElYkX7l4wRkHqqCUFNJY4AfY3kHU/edit?usp=sharing  #gid=0"",""фіз особи new!relations_name_uo""),7,FALSE)
,
)
))"),"ГАДЖИЄВ Рустам Станіславович")</f>
        <v>ГАДЖИЄВ Рустам Станіславович</v>
      </c>
      <c r="J1515" s="7" t="s">
        <v>18</v>
      </c>
    </row>
    <row r="1516" spans="1:10" ht="13.2">
      <c r="A1516" s="7">
        <v>1515</v>
      </c>
      <c r="B1516" s="7">
        <v>1</v>
      </c>
      <c r="C1516" s="7" t="s">
        <v>10</v>
      </c>
      <c r="D1516" s="7">
        <v>471</v>
      </c>
      <c r="E1516" s="7" t="s">
        <v>14</v>
      </c>
      <c r="F1516" s="8" t="str">
        <f ca="1">IFERROR(__xludf.DUMMYFUNCTION("IF
(
C1517=""фізична особа""
,
VLOOKUP(D1517,IMPORTRANGE(""https://docs.google.com/spreadsheets/d/14Bd19lYaqBhU8_DElYkX7l4wRkHqqCUFNJY4AfY3kHU/edit?usp=sharing  #gid=0"",""фіз особи new!relations_name""),6,FALSE)
,
(IF
(
C1517=""юридична особа""
,
VLOOKUP"&amp;"(D1517,IMPORTRANGE(""https://docs.google.com/spreadsheets/d/14Bd19lYaqBhU8_DElYkX7l4wRkHqqCUFNJY4AfY3kHU/edit?usp=sharing  #gid=0"",""фіз особи new!relations_name_uo""),7,FALSE)
,
)
))"),"ГАДЖІЄВ Мурад Станіславович")</f>
        <v>ГАДЖІЄВ Мурад Станіславович</v>
      </c>
      <c r="G1516" s="7" t="s">
        <v>10</v>
      </c>
      <c r="H1516" s="7">
        <v>8855</v>
      </c>
      <c r="I1516" s="8" t="str">
        <f ca="1">IFERROR(__xludf.DUMMYFUNCTION("IF
(
G1517=""фізична особа""
,
VLOOKUP(H1517,IMPORTRANGE(""https://docs.google.com/spreadsheets/d/14Bd19lYaqBhU8_DElYkX7l4wRkHqqCUFNJY4AfY3kHU/edit?usp=sharing  #gid=0"",""фіз особи new!relations_name""),6,FALSE)
,
(IF
(
G1517=""юридична особа""
,
VLOOKUP"&amp;"(H1517,IMPORTRANGE(""https://docs.google.com/spreadsheets/d/14Bd19lYaqBhU8_DElYkX7l4wRkHqqCUFNJY4AfY3kHU/edit?usp=sharing  #gid=0"",""фіз особи new!relations_name_uo""),7,FALSE)
,
)
))"),"ГАДЖИЄВА Ашура Магомедзагірівна")</f>
        <v>ГАДЖИЄВА Ашура Магомедзагірівна</v>
      </c>
      <c r="J1516" s="7" t="s">
        <v>15</v>
      </c>
    </row>
    <row r="1517" spans="1:10" ht="13.2">
      <c r="A1517" s="7">
        <v>1516</v>
      </c>
      <c r="B1517" s="7">
        <v>1</v>
      </c>
      <c r="C1517" s="7" t="s">
        <v>10</v>
      </c>
      <c r="D1517" s="7">
        <v>472</v>
      </c>
      <c r="E1517" s="7" t="s">
        <v>17</v>
      </c>
      <c r="F1517" s="8" t="str">
        <f ca="1">IFERROR(__xludf.DUMMYFUNCTION("IF
(
C1518=""фізична особа""
,
VLOOKUP(D1518,IMPORTRANGE(""https://docs.google.com/spreadsheets/d/14Bd19lYaqBhU8_DElYkX7l4wRkHqqCUFNJY4AfY3kHU/edit?usp=sharing  #gid=0"",""фіз особи new!relations_name""),6,FALSE)
,
(IF
(
C1518=""юридична особа""
,
VLOOKUP"&amp;"(D1518,IMPORTRANGE(""https://docs.google.com/spreadsheets/d/14Bd19lYaqBhU8_DElYkX7l4wRkHqqCUFNJY4AfY3kHU/edit?usp=sharing  #gid=0"",""фіз особи new!relations_name_uo""),7,FALSE)
,
)
))"),"ХАПСІРОКІВ Мурат Крим-Герійович")</f>
        <v>ХАПСІРОКІВ Мурат Крим-Герійович</v>
      </c>
      <c r="G1517" s="7" t="s">
        <v>10</v>
      </c>
      <c r="H1517" s="7">
        <v>0</v>
      </c>
      <c r="I1517" s="8" t="str">
        <f ca="1">IFERROR(__xludf.DUMMYFUNCTION("IF
(
G1518=""фізична особа""
,
VLOOKUP(H1518,IMPORTRANGE(""https://docs.google.com/spreadsheets/d/14Bd19lYaqBhU8_DElYkX7l4wRkHqqCUFNJY4AfY3kHU/edit?usp=sharing  #gid=0"",""фіз особи new!relations_name""),6,FALSE)
,
(IF
(
G1518=""юридична особа""
,
VLOOKUP"&amp;"(H1518,IMPORTRANGE(""https://docs.google.com/spreadsheets/d/14Bd19lYaqBhU8_DElYkX7l4wRkHqqCUFNJY4AfY3kHU/edit?usp=sharing  #gid=0"",""фіз особи new!relations_name_uo""),7,FALSE)
,
)
))"),"#N/A")</f>
        <v>#N/A</v>
      </c>
      <c r="J1517" s="7" t="s">
        <v>21</v>
      </c>
    </row>
    <row r="1518" spans="1:10" ht="13.2">
      <c r="A1518" s="7">
        <v>1517</v>
      </c>
      <c r="B1518" s="7">
        <v>1</v>
      </c>
      <c r="C1518" s="7" t="s">
        <v>10</v>
      </c>
      <c r="D1518" s="7">
        <v>472</v>
      </c>
      <c r="E1518" s="7" t="s">
        <v>18</v>
      </c>
      <c r="F1518" s="8" t="str">
        <f ca="1">IFERROR(__xludf.DUMMYFUNCTION("IF
(
C1519=""фізична особа""
,
VLOOKUP(D1519,IMPORTRANGE(""https://docs.google.com/spreadsheets/d/14Bd19lYaqBhU8_DElYkX7l4wRkHqqCUFNJY4AfY3kHU/edit?usp=sharing  #gid=0"",""фіз особи new!relations_name""),6,FALSE)
,
(IF
(
C1519=""юридична особа""
,
VLOOKUP"&amp;"(D1519,IMPORTRANGE(""https://docs.google.com/spreadsheets/d/14Bd19lYaqBhU8_DElYkX7l4wRkHqqCUFNJY4AfY3kHU/edit?usp=sharing  #gid=0"",""фіз особи new!relations_name_uo""),7,FALSE)
,
)
))"),"ХАПСІРОКІВ Мурат Крим-Герійович")</f>
        <v>ХАПСІРОКІВ Мурат Крим-Герійович</v>
      </c>
      <c r="G1518" s="7" t="s">
        <v>10</v>
      </c>
      <c r="H1518" s="7">
        <v>0</v>
      </c>
      <c r="I1518" s="8" t="str">
        <f ca="1">IFERROR(__xludf.DUMMYFUNCTION("IF
(
G1519=""фізична особа""
,
VLOOKUP(H1519,IMPORTRANGE(""https://docs.google.com/spreadsheets/d/14Bd19lYaqBhU8_DElYkX7l4wRkHqqCUFNJY4AfY3kHU/edit?usp=sharing  #gid=0"",""фіз особи new!relations_name""),6,FALSE)
,
(IF
(
G1519=""юридична особа""
,
VLOOKUP"&amp;"(H1519,IMPORTRANGE(""https://docs.google.com/spreadsheets/d/14Bd19lYaqBhU8_DElYkX7l4wRkHqqCUFNJY4AfY3kHU/edit?usp=sharing  #gid=0"",""фіз особи new!relations_name_uo""),7,FALSE)
,
)
))"),"#N/A")</f>
        <v>#N/A</v>
      </c>
      <c r="J1518" s="7" t="s">
        <v>18</v>
      </c>
    </row>
    <row r="1519" spans="1:10" ht="13.2">
      <c r="A1519" s="7">
        <v>1518</v>
      </c>
      <c r="B1519" s="7">
        <v>1</v>
      </c>
      <c r="C1519" s="7" t="s">
        <v>10</v>
      </c>
      <c r="D1519" s="7">
        <v>472</v>
      </c>
      <c r="E1519" s="7" t="s">
        <v>11</v>
      </c>
      <c r="F1519" s="8" t="str">
        <f ca="1">IFERROR(__xludf.DUMMYFUNCTION("IF
(
C1520=""фізична особа""
,
VLOOKUP(D1520,IMPORTRANGE(""https://docs.google.com/spreadsheets/d/14Bd19lYaqBhU8_DElYkX7l4wRkHqqCUFNJY4AfY3kHU/edit?usp=sharing  #gid=0"",""фіз особи new!relations_name""),6,FALSE)
,
(IF
(
C1520=""юридична особа""
,
VLOOKUP"&amp;"(D1520,IMPORTRANGE(""https://docs.google.com/spreadsheets/d/14Bd19lYaqBhU8_DElYkX7l4wRkHqqCUFNJY4AfY3kHU/edit?usp=sharing  #gid=0"",""фіз особи new!relations_name_uo""),7,FALSE)
,
)
))"),"ХАПСІРОКІВ Мурат Крим-Герійович")</f>
        <v>ХАПСІРОКІВ Мурат Крим-Герійович</v>
      </c>
      <c r="G1519" s="7" t="s">
        <v>10</v>
      </c>
      <c r="H1519" s="7">
        <v>17132</v>
      </c>
      <c r="I1519" s="8" t="str">
        <f ca="1">IFERROR(__xludf.DUMMYFUNCTION("IF
(
G1520=""фізична особа""
,
VLOOKUP(H1520,IMPORTRANGE(""https://docs.google.com/spreadsheets/d/14Bd19lYaqBhU8_DElYkX7l4wRkHqqCUFNJY4AfY3kHU/edit?usp=sharing  #gid=0"",""фіз особи new!relations_name""),6,FALSE)
,
(IF
(
G1520=""юридична особа""
,
VLOOKUP"&amp;"(H1520,IMPORTRANGE(""https://docs.google.com/spreadsheets/d/14Bd19lYaqBhU8_DElYkX7l4wRkHqqCUFNJY4AfY3kHU/edit?usp=sharing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J1519" s="7" t="s">
        <v>11</v>
      </c>
    </row>
    <row r="1520" spans="1:10" ht="13.2">
      <c r="A1520" s="7">
        <v>1519</v>
      </c>
      <c r="B1520" s="7">
        <v>1</v>
      </c>
      <c r="C1520" s="7" t="s">
        <v>10</v>
      </c>
      <c r="D1520" s="7">
        <v>472</v>
      </c>
      <c r="E1520" s="7" t="s">
        <v>48</v>
      </c>
      <c r="F1520" s="8" t="str">
        <f ca="1">IFERROR(__xludf.DUMMYFUNCTION("IF
(
C1521=""фізична особа""
,
VLOOKUP(D1521,IMPORTRANGE(""https://docs.google.com/spreadsheets/d/14Bd19lYaqBhU8_DElYkX7l4wRkHqqCUFNJY4AfY3kHU/edit?usp=sharing  #gid=0"",""фіз особи new!relations_name""),6,FALSE)
,
(IF
(
C1521=""юридична особа""
,
VLOOKUP"&amp;"(D1521,IMPORTRANGE(""https://docs.google.com/spreadsheets/d/14Bd19lYaqBhU8_DElYkX7l4wRkHqqCUFNJY4AfY3kHU/edit?usp=sharing  #gid=0"",""фіз особи new!relations_name_uo""),7,FALSE)
,
)
))"),"ХАПСІРОКІВ Мурат Крим-Герійович")</f>
        <v>ХАПСІРОКІВ Мурат Крим-Герійович</v>
      </c>
      <c r="G1520" s="7" t="s">
        <v>10</v>
      </c>
      <c r="H1520" s="7">
        <v>767</v>
      </c>
      <c r="I1520" s="8" t="str">
        <f ca="1">IFERROR(__xludf.DUMMYFUNCTION("IF
(
G1521=""фізична особа""
,
VLOOKUP(H1521,IMPORTRANGE(""https://docs.google.com/spreadsheets/d/14Bd19lYaqBhU8_DElYkX7l4wRkHqqCUFNJY4AfY3kHU/edit?usp=sharing  #gid=0"",""фіз особи new!relations_name""),6,FALSE)
,
(IF
(
G1521=""юридична особа""
,
VLOOKUP"&amp;"(H1521,IMPORTRANGE(""https://docs.google.com/spreadsheets/d/14Bd19lYaqBhU8_DElYkX7l4wRkHqqCUFNJY4AfY3kHU/edit?usp=sharing  #gid=0"",""фіз особи new!relations_name_uo""),7,FALSE)
,
)
))"),"НАРОЛІН Олександр Володимирович")</f>
        <v>НАРОЛІН Олександр Володимирович</v>
      </c>
      <c r="J1520" s="7" t="s">
        <v>48</v>
      </c>
    </row>
    <row r="1521" spans="1:10" ht="13.2">
      <c r="A1521" s="7">
        <v>1520</v>
      </c>
      <c r="B1521" s="7">
        <v>1</v>
      </c>
      <c r="C1521" s="7" t="s">
        <v>10</v>
      </c>
      <c r="D1521" s="7">
        <v>476</v>
      </c>
      <c r="E1521" s="7" t="s">
        <v>15</v>
      </c>
      <c r="F1521" s="8" t="str">
        <f ca="1">IFERROR(__xludf.DUMMYFUNCTION("IF
(
C1522=""фізична особа""
,
VLOOKUP(D1522,IMPORTRANGE(""https://docs.google.com/spreadsheets/d/14Bd19lYaqBhU8_DElYkX7l4wRkHqqCUFNJY4AfY3kHU/edit?usp=sharing  #gid=0"",""фіз особи new!relations_name""),6,FALSE)
,
(IF
(
C1522=""юридична особа""
,
VLOOKUP"&amp;"(D1522,IMPORTRANGE(""https://docs.google.com/spreadsheets/d/14Bd19lYaqBhU8_DElYkX7l4wRkHqqCUFNJY4AfY3kHU/edit?usp=sharing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1" s="7" t="s">
        <v>10</v>
      </c>
      <c r="H1521" s="7">
        <v>0</v>
      </c>
      <c r="I1521" s="8" t="str">
        <f ca="1">IFERROR(__xludf.DUMMYFUNCTION("IF
(
G1522=""фізична особа""
,
VLOOKUP(H1522,IMPORTRANGE(""https://docs.google.com/spreadsheets/d/14Bd19lYaqBhU8_DElYkX7l4wRkHqqCUFNJY4AfY3kHU/edit?usp=sharing  #gid=0"",""фіз особи new!relations_name""),6,FALSE)
,
(IF
(
G1522=""юридична особа""
,
VLOOKUP"&amp;"(H1522,IMPORTRANGE(""https://docs.google.com/spreadsheets/d/14Bd19lYaqBhU8_DElYkX7l4wRkHqqCUFNJY4AfY3kHU/edit?usp=sharing  #gid=0"",""фіз особи new!relations_name_uo""),7,FALSE)
,
)
))"),"#N/A")</f>
        <v>#N/A</v>
      </c>
      <c r="J1521" s="7" t="s">
        <v>14</v>
      </c>
    </row>
    <row r="1522" spans="1:10" ht="13.2">
      <c r="A1522" s="7">
        <v>1521</v>
      </c>
      <c r="B1522" s="7">
        <v>1</v>
      </c>
      <c r="C1522" s="7" t="s">
        <v>10</v>
      </c>
      <c r="D1522" s="7">
        <v>476</v>
      </c>
      <c r="E1522" s="7" t="s">
        <v>13</v>
      </c>
      <c r="F1522" s="8" t="str">
        <f ca="1">IFERROR(__xludf.DUMMYFUNCTION("IF
(
C1523=""фізична особа""
,
VLOOKUP(D1523,IMPORTRANGE(""https://docs.google.com/spreadsheets/d/14Bd19lYaqBhU8_DElYkX7l4wRkHqqCUFNJY4AfY3kHU/edit?usp=sharing  #gid=0"",""фіз особи new!relations_name""),6,FALSE)
,
(IF
(
C1523=""юридична особа""
,
VLOOKUP"&amp;"(D1523,IMPORTRANGE(""https://docs.google.com/spreadsheets/d/14Bd19lYaqBhU8_DElYkX7l4wRkHqqCUFNJY4AfY3kHU/edit?usp=sharing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2" s="7" t="s">
        <v>10</v>
      </c>
      <c r="H1522" s="7">
        <v>0</v>
      </c>
      <c r="I1522" s="8" t="str">
        <f ca="1">IFERROR(__xludf.DUMMYFUNCTION("IF
(
G1523=""фізична особа""
,
VLOOKUP(H1523,IMPORTRANGE(""https://docs.google.com/spreadsheets/d/14Bd19lYaqBhU8_DElYkX7l4wRkHqqCUFNJY4AfY3kHU/edit?usp=sharing  #gid=0"",""фіз особи new!relations_name""),6,FALSE)
,
(IF
(
G1523=""юридична особа""
,
VLOOKUP"&amp;"(H1523,IMPORTRANGE(""https://docs.google.com/spreadsheets/d/14Bd19lYaqBhU8_DElYkX7l4wRkHqqCUFNJY4AfY3kHU/edit?usp=sharing  #gid=0"",""фіз особи new!relations_name_uo""),7,FALSE)
,
)
))"),"#N/A")</f>
        <v>#N/A</v>
      </c>
      <c r="J1522" s="7" t="s">
        <v>12</v>
      </c>
    </row>
    <row r="1523" spans="1:10" ht="13.2">
      <c r="A1523" s="7">
        <v>1522</v>
      </c>
      <c r="B1523" s="7">
        <v>1</v>
      </c>
      <c r="C1523" s="7" t="s">
        <v>10</v>
      </c>
      <c r="D1523" s="7">
        <v>476</v>
      </c>
      <c r="E1523" s="7" t="s">
        <v>13</v>
      </c>
      <c r="F1523" s="8" t="str">
        <f ca="1">IFERROR(__xludf.DUMMYFUNCTION("IF
(
C1524=""фізична особа""
,
VLOOKUP(D1524,IMPORTRANGE(""https://docs.google.com/spreadsheets/d/14Bd19lYaqBhU8_DElYkX7l4wRkHqqCUFNJY4AfY3kHU/edit?usp=sharing  #gid=0"",""фіз особи new!relations_name""),6,FALSE)
,
(IF
(
C1524=""юридична особа""
,
VLOOKUP"&amp;"(D1524,IMPORTRANGE(""https://docs.google.com/spreadsheets/d/14Bd19lYaqBhU8_DElYkX7l4wRkHqqCUFNJY4AfY3kHU/edit?usp=sharing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3" s="7" t="s">
        <v>10</v>
      </c>
      <c r="H1523" s="7">
        <v>0</v>
      </c>
      <c r="I1523" s="8" t="str">
        <f ca="1">IFERROR(__xludf.DUMMYFUNCTION("IF
(
G1524=""фізична особа""
,
VLOOKUP(H1524,IMPORTRANGE(""https://docs.google.com/spreadsheets/d/14Bd19lYaqBhU8_DElYkX7l4wRkHqqCUFNJY4AfY3kHU/edit?usp=sharing  #gid=0"",""фіз особи new!relations_name""),6,FALSE)
,
(IF
(
G1524=""юридична особа""
,
VLOOKUP"&amp;"(H1524,IMPORTRANGE(""https://docs.google.com/spreadsheets/d/14Bd19lYaqBhU8_DElYkX7l4wRkHqqCUFNJY4AfY3kHU/edit?usp=sharing  #gid=0"",""фіз особи new!relations_name_uo""),7,FALSE)
,
)
))"),"#N/A")</f>
        <v>#N/A</v>
      </c>
      <c r="J1523" s="7" t="s">
        <v>21</v>
      </c>
    </row>
    <row r="1524" spans="1:10" ht="13.2">
      <c r="A1524" s="7">
        <v>1523</v>
      </c>
      <c r="B1524" s="7">
        <v>1</v>
      </c>
      <c r="C1524" s="7" t="s">
        <v>10</v>
      </c>
      <c r="D1524" s="7">
        <v>476</v>
      </c>
      <c r="E1524" s="7" t="s">
        <v>30</v>
      </c>
      <c r="F1524" s="8" t="str">
        <f ca="1">IFERROR(__xludf.DUMMYFUNCTION("IF
(
C1525=""фізична особа""
,
VLOOKUP(D1525,IMPORTRANGE(""https://docs.google.com/spreadsheets/d/14Bd19lYaqBhU8_DElYkX7l4wRkHqqCUFNJY4AfY3kHU/edit?usp=sharing  #gid=0"",""фіз особи new!relations_name""),6,FALSE)
,
(IF
(
C1525=""юридична особа""
,
VLOOKUP"&amp;"(D1525,IMPORTRANGE(""https://docs.google.com/spreadsheets/d/14Bd19lYaqBhU8_DElYkX7l4wRkHqqCUFNJY4AfY3kHU/edit?usp=sharing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4" s="7" t="s">
        <v>10</v>
      </c>
      <c r="H1524" s="7">
        <v>0</v>
      </c>
      <c r="I1524" s="8" t="str">
        <f ca="1">IFERROR(__xludf.DUMMYFUNCTION("IF
(
G1525=""фізична особа""
,
VLOOKUP(H1525,IMPORTRANGE(""https://docs.google.com/spreadsheets/d/14Bd19lYaqBhU8_DElYkX7l4wRkHqqCUFNJY4AfY3kHU/edit?usp=sharing  #gid=0"",""фіз особи new!relations_name""),6,FALSE)
,
(IF
(
G1525=""юридична особа""
,
VLOOKUP"&amp;"(H1525,IMPORTRANGE(""https://docs.google.com/spreadsheets/d/14Bd19lYaqBhU8_DElYkX7l4wRkHqqCUFNJY4AfY3kHU/edit?usp=sharing  #gid=0"",""фіз особи new!relations_name_uo""),7,FALSE)
,
)
))"),"#N/A")</f>
        <v>#N/A</v>
      </c>
      <c r="J1524" s="7" t="s">
        <v>30</v>
      </c>
    </row>
    <row r="1525" spans="1:10" ht="13.2">
      <c r="A1525" s="7">
        <v>1524</v>
      </c>
      <c r="B1525" s="7">
        <v>1</v>
      </c>
      <c r="C1525" s="7" t="s">
        <v>10</v>
      </c>
      <c r="D1525" s="7">
        <v>476</v>
      </c>
      <c r="E1525" s="7" t="s">
        <v>30</v>
      </c>
      <c r="F1525" s="8" t="str">
        <f ca="1">IFERROR(__xludf.DUMMYFUNCTION("IF
(
C1526=""фізична особа""
,
VLOOKUP(D1526,IMPORTRANGE(""https://docs.google.com/spreadsheets/d/14Bd19lYaqBhU8_DElYkX7l4wRkHqqCUFNJY4AfY3kHU/edit?usp=sharing  #gid=0"",""фіз особи new!relations_name""),6,FALSE)
,
(IF
(
C1526=""юридична особа""
,
VLOOKUP"&amp;"(D1526,IMPORTRANGE(""https://docs.google.com/spreadsheets/d/14Bd19lYaqBhU8_DElYkX7l4wRkHqqCUFNJY4AfY3kHU/edit?usp=sharing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5" s="7" t="s">
        <v>10</v>
      </c>
      <c r="H1525" s="7">
        <v>0</v>
      </c>
      <c r="I1525" s="8" t="str">
        <f ca="1">IFERROR(__xludf.DUMMYFUNCTION("IF
(
G1526=""фізична особа""
,
VLOOKUP(H1526,IMPORTRANGE(""https://docs.google.com/spreadsheets/d/14Bd19lYaqBhU8_DElYkX7l4wRkHqqCUFNJY4AfY3kHU/edit?usp=sharing  #gid=0"",""фіз особи new!relations_name""),6,FALSE)
,
(IF
(
G1526=""юридична особа""
,
VLOOKUP"&amp;"(H1526,IMPORTRANGE(""https://docs.google.com/spreadsheets/d/14Bd19lYaqBhU8_DElYkX7l4wRkHqqCUFNJY4AfY3kHU/edit?usp=sharing  #gid=0"",""фіз особи new!relations_name_uo""),7,FALSE)
,
)
))"),"#N/A")</f>
        <v>#N/A</v>
      </c>
      <c r="J1525" s="7" t="s">
        <v>30</v>
      </c>
    </row>
    <row r="1526" spans="1:10" ht="13.2">
      <c r="A1526" s="7">
        <v>1525</v>
      </c>
      <c r="B1526" s="7">
        <v>1</v>
      </c>
      <c r="C1526" s="7" t="s">
        <v>10</v>
      </c>
      <c r="D1526" s="7">
        <v>476</v>
      </c>
      <c r="E1526" s="7" t="s">
        <v>30</v>
      </c>
      <c r="F1526" s="8" t="str">
        <f ca="1">IFERROR(__xludf.DUMMYFUNCTION("IF
(
C1527=""фізична особа""
,
VLOOKUP(D1527,IMPORTRANGE(""https://docs.google.com/spreadsheets/d/14Bd19lYaqBhU8_DElYkX7l4wRkHqqCUFNJY4AfY3kHU/edit?usp=sharing  #gid=0"",""фіз особи new!relations_name""),6,FALSE)
,
(IF
(
C1527=""юридична особа""
,
VLOOKUP"&amp;"(D1527,IMPORTRANGE(""https://docs.google.com/spreadsheets/d/14Bd19lYaqBhU8_DElYkX7l4wRkHqqCUFNJY4AfY3kHU/edit?usp=sharing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6" s="7" t="s">
        <v>10</v>
      </c>
      <c r="H1526" s="7">
        <v>0</v>
      </c>
      <c r="I1526" s="8" t="str">
        <f ca="1">IFERROR(__xludf.DUMMYFUNCTION("IF
(
G1527=""фізична особа""
,
VLOOKUP(H1527,IMPORTRANGE(""https://docs.google.com/spreadsheets/d/14Bd19lYaqBhU8_DElYkX7l4wRkHqqCUFNJY4AfY3kHU/edit?usp=sharing  #gid=0"",""фіз особи new!relations_name""),6,FALSE)
,
(IF
(
G1527=""юридична особа""
,
VLOOKUP"&amp;"(H1527,IMPORTRANGE(""https://docs.google.com/spreadsheets/d/14Bd19lYaqBhU8_DElYkX7l4wRkHqqCUFNJY4AfY3kHU/edit?usp=sharing  #gid=0"",""фіз особи new!relations_name_uo""),7,FALSE)
,
)
))"),"#N/A")</f>
        <v>#N/A</v>
      </c>
      <c r="J1526" s="7" t="s">
        <v>30</v>
      </c>
    </row>
    <row r="1527" spans="1:10" ht="13.2">
      <c r="A1527" s="7">
        <v>1526</v>
      </c>
      <c r="B1527" s="7">
        <v>1</v>
      </c>
      <c r="C1527" s="7" t="s">
        <v>10</v>
      </c>
      <c r="D1527" s="7">
        <v>476</v>
      </c>
      <c r="E1527" s="7" t="s">
        <v>31</v>
      </c>
      <c r="F1527" s="8" t="str">
        <f ca="1">IFERROR(__xludf.DUMMYFUNCTION("IF
(
C1528=""фізична особа""
,
VLOOKUP(D1528,IMPORTRANGE(""https://docs.google.com/spreadsheets/d/14Bd19lYaqBhU8_DElYkX7l4wRkHqqCUFNJY4AfY3kHU/edit?usp=sharing  #gid=0"",""фіз особи new!relations_name""),6,FALSE)
,
(IF
(
C1528=""юридична особа""
,
VLOOKUP"&amp;"(D1528,IMPORTRANGE(""https://docs.google.com/spreadsheets/d/14Bd19lYaqBhU8_DElYkX7l4wRkHqqCUFNJY4AfY3kHU/edit?usp=sharing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7" s="7" t="s">
        <v>10</v>
      </c>
      <c r="H1527" s="7">
        <v>0</v>
      </c>
      <c r="I1527" s="8" t="str">
        <f ca="1">IFERROR(__xludf.DUMMYFUNCTION("IF
(
G1528=""фізична особа""
,
VLOOKUP(H1528,IMPORTRANGE(""https://docs.google.com/spreadsheets/d/14Bd19lYaqBhU8_DElYkX7l4wRkHqqCUFNJY4AfY3kHU/edit?usp=sharing  #gid=0"",""фіз особи new!relations_name""),6,FALSE)
,
(IF
(
G1528=""юридична особа""
,
VLOOKUP"&amp;"(H1528,IMPORTRANGE(""https://docs.google.com/spreadsheets/d/14Bd19lYaqBhU8_DElYkX7l4wRkHqqCUFNJY4AfY3kHU/edit?usp=sharing  #gid=0"",""фіз особи new!relations_name_uo""),7,FALSE)
,
)
))"),"#N/A")</f>
        <v>#N/A</v>
      </c>
      <c r="J1527" s="7" t="s">
        <v>31</v>
      </c>
    </row>
    <row r="1528" spans="1:10" ht="13.2">
      <c r="A1528" s="7">
        <v>1527</v>
      </c>
      <c r="B1528" s="7">
        <v>1</v>
      </c>
      <c r="C1528" s="7" t="s">
        <v>10</v>
      </c>
      <c r="D1528" s="7">
        <v>476</v>
      </c>
      <c r="E1528" s="7" t="s">
        <v>30</v>
      </c>
      <c r="F1528" s="8" t="str">
        <f ca="1">IFERROR(__xludf.DUMMYFUNCTION("IF
(
C1529=""фізична особа""
,
VLOOKUP(D1529,IMPORTRANGE(""https://docs.google.com/spreadsheets/d/14Bd19lYaqBhU8_DElYkX7l4wRkHqqCUFNJY4AfY3kHU/edit?usp=sharing  #gid=0"",""фіз особи new!relations_name""),6,FALSE)
,
(IF
(
C1529=""юридична особа""
,
VLOOKUP"&amp;"(D1529,IMPORTRANGE(""https://docs.google.com/spreadsheets/d/14Bd19lYaqBhU8_DElYkX7l4wRkHqqCUFNJY4AfY3kHU/edit?usp=sharing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8" s="7" t="s">
        <v>10</v>
      </c>
      <c r="H1528" s="7">
        <v>0</v>
      </c>
      <c r="I1528" s="8" t="str">
        <f ca="1">IFERROR(__xludf.DUMMYFUNCTION("IF
(
G1529=""фізична особа""
,
VLOOKUP(H1529,IMPORTRANGE(""https://docs.google.com/spreadsheets/d/14Bd19lYaqBhU8_DElYkX7l4wRkHqqCUFNJY4AfY3kHU/edit?usp=sharing  #gid=0"",""фіз особи new!relations_name""),6,FALSE)
,
(IF
(
G1529=""юридична особа""
,
VLOOKUP"&amp;"(H1529,IMPORTRANGE(""https://docs.google.com/spreadsheets/d/14Bd19lYaqBhU8_DElYkX7l4wRkHqqCUFNJY4AfY3kHU/edit?usp=sharing  #gid=0"",""фіз особи new!relations_name_uo""),7,FALSE)
,
)
))"),"#N/A")</f>
        <v>#N/A</v>
      </c>
      <c r="J1528" s="7" t="s">
        <v>30</v>
      </c>
    </row>
    <row r="1529" spans="1:10" ht="13.2">
      <c r="A1529" s="7">
        <v>1528</v>
      </c>
      <c r="B1529" s="7">
        <v>1</v>
      </c>
      <c r="C1529" s="7" t="s">
        <v>10</v>
      </c>
      <c r="D1529" s="7">
        <v>476</v>
      </c>
      <c r="E1529" s="7" t="s">
        <v>28</v>
      </c>
      <c r="F1529" s="8" t="str">
        <f ca="1">IFERROR(__xludf.DUMMYFUNCTION("IF
(
C1530=""фізична особа""
,
VLOOKUP(D1530,IMPORTRANGE(""https://docs.google.com/spreadsheets/d/14Bd19lYaqBhU8_DElYkX7l4wRkHqqCUFNJY4AfY3kHU/edit?usp=sharing  #gid=0"",""фіз особи new!relations_name""),6,FALSE)
,
(IF
(
C1530=""юридична особа""
,
VLOOKUP"&amp;"(D1530,IMPORTRANGE(""https://docs.google.com/spreadsheets/d/14Bd19lYaqBhU8_DElYkX7l4wRkHqqCUFNJY4AfY3kHU/edit?usp=sharing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G1529" s="7" t="s">
        <v>10</v>
      </c>
      <c r="H1529" s="7">
        <v>1017</v>
      </c>
      <c r="I1529" s="8" t="str">
        <f ca="1">IFERROR(__xludf.DUMMYFUNCTION("IF
(
G1530=""фізична особа""
,
VLOOKUP(H1530,IMPORTRANGE(""https://docs.google.com/spreadsheets/d/14Bd19lYaqBhU8_DElYkX7l4wRkHqqCUFNJY4AfY3kHU/edit?usp=sharing  #gid=0"",""фіз особи new!relations_name""),6,FALSE)
,
(IF
(
G1530=""юридична особа""
,
VLOOKUP"&amp;"(H1530,IMPORTRANGE(""https://docs.google.com/spreadsheets/d/14Bd19lYaqBhU8_DElYkX7l4wRkHqqCUFNJY4AfY3kHU/edit?usp=sharing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529" s="7" t="s">
        <v>29</v>
      </c>
    </row>
    <row r="1530" spans="1:10" ht="13.2">
      <c r="A1530" s="7">
        <v>1529</v>
      </c>
      <c r="B1530" s="7">
        <v>1</v>
      </c>
      <c r="C1530" s="7" t="s">
        <v>10</v>
      </c>
      <c r="D1530" s="7">
        <v>477</v>
      </c>
      <c r="E1530" s="7" t="s">
        <v>35</v>
      </c>
      <c r="F1530" s="8" t="str">
        <f ca="1">IFERROR(__xludf.DUMMYFUNCTION("IF
(
C1531=""фізична особа""
,
VLOOKUP(D1531,IMPORTRANGE(""https://docs.google.com/spreadsheets/d/14Bd19lYaqBhU8_DElYkX7l4wRkHqqCUFNJY4AfY3kHU/edit?usp=sharing  #gid=0"",""фіз особи new!relations_name""),6,FALSE)
,
(IF
(
C1531=""юридична особа""
,
VLOOKUP"&amp;"(D1531,IMPORTRANGE(""https://docs.google.com/spreadsheets/d/14Bd19lYaqBhU8_DElYkX7l4wRkHqqCUFNJY4AfY3kHU/edit?usp=sharing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G1530" s="7" t="s">
        <v>10</v>
      </c>
      <c r="H1530" s="7">
        <v>433</v>
      </c>
      <c r="I1530" s="8" t="str">
        <f ca="1">IFERROR(__xludf.DUMMYFUNCTION("IF
(
G1531=""фізична особа""
,
VLOOKUP(H1531,IMPORTRANGE(""https://docs.google.com/spreadsheets/d/14Bd19lYaqBhU8_DElYkX7l4wRkHqqCUFNJY4AfY3kHU/edit?usp=sharing  #gid=0"",""фіз особи new!relations_name""),6,FALSE)
,
(IF
(
G1531=""юридична особа""
,
VLOOKUP"&amp;"(H1531,IMPORTRANGE(""https://docs.google.com/spreadsheets/d/14Bd19lYaqBhU8_DElYkX7l4wRkHqqCUFNJY4AfY3kHU/edit?usp=sharing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J1530" s="7" t="s">
        <v>35</v>
      </c>
    </row>
    <row r="1531" spans="1:10" ht="13.2">
      <c r="A1531" s="7">
        <v>1530</v>
      </c>
      <c r="B1531" s="7">
        <v>1</v>
      </c>
      <c r="C1531" s="7" t="s">
        <v>10</v>
      </c>
      <c r="D1531" s="7">
        <v>477</v>
      </c>
      <c r="E1531" s="7" t="s">
        <v>35</v>
      </c>
      <c r="F1531" s="8" t="str">
        <f ca="1">IFERROR(__xludf.DUMMYFUNCTION("IF
(
C1532=""фізична особа""
,
VLOOKUP(D1532,IMPORTRANGE(""https://docs.google.com/spreadsheets/d/14Bd19lYaqBhU8_DElYkX7l4wRkHqqCUFNJY4AfY3kHU/edit?usp=sharing  #gid=0"",""фіз особи new!relations_name""),6,FALSE)
,
(IF
(
C1532=""юридична особа""
,
VLOOKUP"&amp;"(D1532,IMPORTRANGE(""https://docs.google.com/spreadsheets/d/14Bd19lYaqBhU8_DElYkX7l4wRkHqqCUFNJY4AfY3kHU/edit?usp=sharing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G1531" s="7" t="s">
        <v>10</v>
      </c>
      <c r="H1531" s="7">
        <v>237</v>
      </c>
      <c r="I1531" s="8" t="str">
        <f ca="1">IFERROR(__xludf.DUMMYFUNCTION("IF
(
G1532=""фізична особа""
,
VLOOKUP(H1532,IMPORTRANGE(""https://docs.google.com/spreadsheets/d/14Bd19lYaqBhU8_DElYkX7l4wRkHqqCUFNJY4AfY3kHU/edit?usp=sharing  #gid=0"",""фіз особи new!relations_name""),6,FALSE)
,
(IF
(
G1532=""юридична особа""
,
VLOOKUP"&amp;"(H1532,IMPORTRANGE(""https://docs.google.com/spreadsheets/d/14Bd19lYaqBhU8_DElYkX7l4wRkHqqCUFNJY4AfY3kHU/edit?usp=sharing  #gid=0"",""фіз особи new!relations_name_uo""),7,FALSE)
,
)
))"),"НОРОВ Еркін Рахматович")</f>
        <v>НОРОВ Еркін Рахматович</v>
      </c>
      <c r="J1531" s="7" t="s">
        <v>35</v>
      </c>
    </row>
    <row r="1532" spans="1:10" ht="13.2">
      <c r="A1532" s="7">
        <v>1531</v>
      </c>
      <c r="B1532" s="7">
        <v>1</v>
      </c>
      <c r="C1532" s="7" t="s">
        <v>10</v>
      </c>
      <c r="D1532" s="7">
        <v>477</v>
      </c>
      <c r="E1532" s="7" t="s">
        <v>35</v>
      </c>
      <c r="F1532" s="8" t="str">
        <f ca="1">IFERROR(__xludf.DUMMYFUNCTION("IF
(
C1533=""фізична особа""
,
VLOOKUP(D1533,IMPORTRANGE(""https://docs.google.com/spreadsheets/d/14Bd19lYaqBhU8_DElYkX7l4wRkHqqCUFNJY4AfY3kHU/edit?usp=sharing  #gid=0"",""фіз особи new!relations_name""),6,FALSE)
,
(IF
(
C1533=""юридична особа""
,
VLOOKUP"&amp;"(D1533,IMPORTRANGE(""https://docs.google.com/spreadsheets/d/14Bd19lYaqBhU8_DElYkX7l4wRkHqqCUFNJY4AfY3kHU/edit?usp=sharing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G1532" s="7" t="s">
        <v>10</v>
      </c>
      <c r="H1532" s="7">
        <v>171</v>
      </c>
      <c r="I1532" s="8" t="str">
        <f ca="1">IFERROR(__xludf.DUMMYFUNCTION("IF
(
G1533=""фізична особа""
,
VLOOKUP(H1533,IMPORTRANGE(""https://docs.google.com/spreadsheets/d/14Bd19lYaqBhU8_DElYkX7l4wRkHqqCUFNJY4AfY3kHU/edit?usp=sharing  #gid=0"",""фіз особи new!relations_name""),6,FALSE)
,
(IF
(
G1533=""юридична особа""
,
VLOOKUP"&amp;"(H1533,IMPORTRANGE(""https://docs.google.com/spreadsheets/d/14Bd19lYaqBhU8_DElYkX7l4wRkHqqCUFNJY4AfY3kHU/edit?usp=sharing  #gid=0"",""фіз особи new!relations_name_uo""),7,FALSE)
,
)
))"),"П'ЯНОВ Дмитро Васильович")</f>
        <v>П'ЯНОВ Дмитро Васильович</v>
      </c>
      <c r="J1532" s="7" t="s">
        <v>35</v>
      </c>
    </row>
    <row r="1533" spans="1:10" ht="13.2">
      <c r="A1533" s="7">
        <v>1532</v>
      </c>
      <c r="B1533" s="7">
        <v>1</v>
      </c>
      <c r="C1533" s="7" t="s">
        <v>10</v>
      </c>
      <c r="D1533" s="7">
        <v>477</v>
      </c>
      <c r="E1533" s="7" t="s">
        <v>35</v>
      </c>
      <c r="F1533" s="8" t="str">
        <f ca="1">IFERROR(__xludf.DUMMYFUNCTION("IF
(
C1534=""фізична особа""
,
VLOOKUP(D1534,IMPORTRANGE(""https://docs.google.com/spreadsheets/d/14Bd19lYaqBhU8_DElYkX7l4wRkHqqCUFNJY4AfY3kHU/edit?usp=sharing  #gid=0"",""фіз особи new!relations_name""),6,FALSE)
,
(IF
(
C1534=""юридична особа""
,
VLOOKUP"&amp;"(D1534,IMPORTRANGE(""https://docs.google.com/spreadsheets/d/14Bd19lYaqBhU8_DElYkX7l4wRkHqqCUFNJY4AfY3kHU/edit?usp=sharing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G1533" s="7" t="s">
        <v>10</v>
      </c>
      <c r="H1533" s="7">
        <v>940</v>
      </c>
      <c r="I1533" s="8" t="str">
        <f ca="1">IFERROR(__xludf.DUMMYFUNCTION("IF
(
G1534=""фізична особа""
,
VLOOKUP(H1534,IMPORTRANGE(""https://docs.google.com/spreadsheets/d/14Bd19lYaqBhU8_DElYkX7l4wRkHqqCUFNJY4AfY3kHU/edit?usp=sharing  #gid=0"",""фіз особи new!relations_name""),6,FALSE)
,
(IF
(
G1534=""юридична особа""
,
VLOOKUP"&amp;"(H1534,IMPORTRANGE(""https://docs.google.com/spreadsheets/d/14Bd19lYaqBhU8_DElYkX7l4wRkHqqCUFNJY4AfY3kHU/edit?usp=sharing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J1533" s="7" t="s">
        <v>35</v>
      </c>
    </row>
    <row r="1534" spans="1:10" ht="13.2">
      <c r="A1534" s="7">
        <v>1533</v>
      </c>
      <c r="B1534" s="7">
        <v>1</v>
      </c>
      <c r="C1534" s="7" t="s">
        <v>10</v>
      </c>
      <c r="D1534" s="7">
        <v>477</v>
      </c>
      <c r="E1534" s="7" t="s">
        <v>35</v>
      </c>
      <c r="F1534" s="8" t="str">
        <f ca="1">IFERROR(__xludf.DUMMYFUNCTION("IF
(
C1535=""фізична особа""
,
VLOOKUP(D1535,IMPORTRANGE(""https://docs.google.com/spreadsheets/d/14Bd19lYaqBhU8_DElYkX7l4wRkHqqCUFNJY4AfY3kHU/edit?usp=sharing  #gid=0"",""фіз особи new!relations_name""),6,FALSE)
,
(IF
(
C1535=""юридична особа""
,
VLOOKUP"&amp;"(D1535,IMPORTRANGE(""https://docs.google.com/spreadsheets/d/14Bd19lYaqBhU8_DElYkX7l4wRkHqqCUFNJY4AfY3kHU/edit?usp=sharing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G1534" s="7" t="s">
        <v>10</v>
      </c>
      <c r="H1534" s="7">
        <v>751</v>
      </c>
      <c r="I1534" s="8" t="str">
        <f ca="1">IFERROR(__xludf.DUMMYFUNCTION("IF
(
G1535=""фізична особа""
,
VLOOKUP(H1535,IMPORTRANGE(""https://docs.google.com/spreadsheets/d/14Bd19lYaqBhU8_DElYkX7l4wRkHqqCUFNJY4AfY3kHU/edit?usp=sharing  #gid=0"",""фіз особи new!relations_name""),6,FALSE)
,
(IF
(
G1535=""юридична особа""
,
VLOOKUP"&amp;"(H1535,IMPORTRANGE(""https://docs.google.com/spreadsheets/d/14Bd19lYaqBhU8_DElYkX7l4wRkHqqCUFNJY4AfY3kHU/edit?usp=sharing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J1534" s="7" t="s">
        <v>35</v>
      </c>
    </row>
    <row r="1535" spans="1:10" ht="13.2">
      <c r="A1535" s="7">
        <v>1534</v>
      </c>
      <c r="B1535" s="7">
        <v>1</v>
      </c>
      <c r="C1535" s="7" t="s">
        <v>10</v>
      </c>
      <c r="D1535" s="7">
        <v>478</v>
      </c>
      <c r="E1535" s="7" t="s">
        <v>15</v>
      </c>
      <c r="F1535" s="8" t="str">
        <f ca="1">IFERROR(__xludf.DUMMYFUNCTION("IF
(
C1536=""фізична особа""
,
VLOOKUP(D1536,IMPORTRANGE(""https://docs.google.com/spreadsheets/d/14Bd19lYaqBhU8_DElYkX7l4wRkHqqCUFNJY4AfY3kHU/edit?usp=sharing  #gid=0"",""фіз особи new!relations_name""),6,FALSE)
,
(IF
(
C1536=""юридична особа""
,
VLOOKUP"&amp;"(D1536,IMPORTRANGE(""https://docs.google.com/spreadsheets/d/14Bd19lYaqBhU8_DElYkX7l4wRkHqqCUFNJY4AfY3kHU/edit?usp=sharing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35" s="7" t="s">
        <v>10</v>
      </c>
      <c r="H1535" s="7">
        <v>0</v>
      </c>
      <c r="I1535" s="8" t="str">
        <f ca="1">IFERROR(__xludf.DUMMYFUNCTION("IF
(
G1536=""фізична особа""
,
VLOOKUP(H1536,IMPORTRANGE(""https://docs.google.com/spreadsheets/d/14Bd19lYaqBhU8_DElYkX7l4wRkHqqCUFNJY4AfY3kHU/edit?usp=sharing  #gid=0"",""фіз особи new!relations_name""),6,FALSE)
,
(IF
(
G1536=""юридична особа""
,
VLOOKUP"&amp;"(H1536,IMPORTRANGE(""https://docs.google.com/spreadsheets/d/14Bd19lYaqBhU8_DElYkX7l4wRkHqqCUFNJY4AfY3kHU/edit?usp=sharing  #gid=0"",""фіз особи new!relations_name_uo""),7,FALSE)
,
)
))"),"#N/A")</f>
        <v>#N/A</v>
      </c>
      <c r="J1535" s="7" t="s">
        <v>14</v>
      </c>
    </row>
    <row r="1536" spans="1:10" ht="13.2">
      <c r="A1536" s="7">
        <v>1535</v>
      </c>
      <c r="B1536" s="7">
        <v>1</v>
      </c>
      <c r="C1536" s="7" t="s">
        <v>10</v>
      </c>
      <c r="D1536" s="7">
        <v>478</v>
      </c>
      <c r="E1536" s="7" t="s">
        <v>21</v>
      </c>
      <c r="F1536" s="8" t="str">
        <f ca="1">IFERROR(__xludf.DUMMYFUNCTION("IF
(
C1537=""фізична особа""
,
VLOOKUP(D1537,IMPORTRANGE(""https://docs.google.com/spreadsheets/d/14Bd19lYaqBhU8_DElYkX7l4wRkHqqCUFNJY4AfY3kHU/edit?usp=sharing  #gid=0"",""фіз особи new!relations_name""),6,FALSE)
,
(IF
(
C1537=""юридична особа""
,
VLOOKUP"&amp;"(D1537,IMPORTRANGE(""https://docs.google.com/spreadsheets/d/14Bd19lYaqBhU8_DElYkX7l4wRkHqqCUFNJY4AfY3kHU/edit?usp=sharing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36" s="7" t="s">
        <v>10</v>
      </c>
      <c r="H1536" s="7">
        <v>0</v>
      </c>
      <c r="I1536" s="8" t="str">
        <f ca="1">IFERROR(__xludf.DUMMYFUNCTION("IF
(
G1537=""фізична особа""
,
VLOOKUP(H1537,IMPORTRANGE(""https://docs.google.com/spreadsheets/d/14Bd19lYaqBhU8_DElYkX7l4wRkHqqCUFNJY4AfY3kHU/edit?usp=sharing  #gid=0"",""фіз особи new!relations_name""),6,FALSE)
,
(IF
(
G1537=""юридична особа""
,
VLOOKUP"&amp;"(H1537,IMPORTRANGE(""https://docs.google.com/spreadsheets/d/14Bd19lYaqBhU8_DElYkX7l4wRkHqqCUFNJY4AfY3kHU/edit?usp=sharing  #gid=0"",""фіз особи new!relations_name_uo""),7,FALSE)
,
)
))"),"#N/A")</f>
        <v>#N/A</v>
      </c>
      <c r="J1536" s="7" t="s">
        <v>13</v>
      </c>
    </row>
    <row r="1537" spans="1:10" ht="13.2">
      <c r="A1537" s="7">
        <v>1536</v>
      </c>
      <c r="B1537" s="7">
        <v>1</v>
      </c>
      <c r="C1537" s="7" t="s">
        <v>10</v>
      </c>
      <c r="D1537" s="7">
        <v>478</v>
      </c>
      <c r="E1537" s="7" t="s">
        <v>21</v>
      </c>
      <c r="F1537" s="8" t="str">
        <f ca="1">IFERROR(__xludf.DUMMYFUNCTION("IF
(
C1538=""фізична особа""
,
VLOOKUP(D1538,IMPORTRANGE(""https://docs.google.com/spreadsheets/d/14Bd19lYaqBhU8_DElYkX7l4wRkHqqCUFNJY4AfY3kHU/edit?usp=sharing  #gid=0"",""фіз особи new!relations_name""),6,FALSE)
,
(IF
(
C1538=""юридична особа""
,
VLOOKUP"&amp;"(D1538,IMPORTRANGE(""https://docs.google.com/spreadsheets/d/14Bd19lYaqBhU8_DElYkX7l4wRkHqqCUFNJY4AfY3kHU/edit?usp=sharing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37" s="7" t="s">
        <v>10</v>
      </c>
      <c r="H1537" s="7">
        <v>0</v>
      </c>
      <c r="I1537" s="8" t="str">
        <f ca="1">IFERROR(__xludf.DUMMYFUNCTION("IF
(
G1538=""фізична особа""
,
VLOOKUP(H1538,IMPORTRANGE(""https://docs.google.com/spreadsheets/d/14Bd19lYaqBhU8_DElYkX7l4wRkHqqCUFNJY4AfY3kHU/edit?usp=sharing  #gid=0"",""фіз особи new!relations_name""),6,FALSE)
,
(IF
(
G1538=""юридична особа""
,
VLOOKUP"&amp;"(H1538,IMPORTRANGE(""https://docs.google.com/spreadsheets/d/14Bd19lYaqBhU8_DElYkX7l4wRkHqqCUFNJY4AfY3kHU/edit?usp=sharing  #gid=0"",""фіз особи new!relations_name_uo""),7,FALSE)
,
)
))"),"#N/A")</f>
        <v>#N/A</v>
      </c>
      <c r="J1537" s="7" t="s">
        <v>13</v>
      </c>
    </row>
    <row r="1538" spans="1:10" ht="13.2">
      <c r="A1538" s="7">
        <v>1537</v>
      </c>
      <c r="B1538" s="7">
        <v>1</v>
      </c>
      <c r="C1538" s="7" t="s">
        <v>10</v>
      </c>
      <c r="D1538" s="7">
        <v>478</v>
      </c>
      <c r="E1538" s="7" t="s">
        <v>28</v>
      </c>
      <c r="F1538" s="8" t="str">
        <f ca="1">IFERROR(__xludf.DUMMYFUNCTION("IF
(
C1539=""фізична особа""
,
VLOOKUP(D1539,IMPORTRANGE(""https://docs.google.com/spreadsheets/d/14Bd19lYaqBhU8_DElYkX7l4wRkHqqCUFNJY4AfY3kHU/edit?usp=sharing  #gid=0"",""фіз особи new!relations_name""),6,FALSE)
,
(IF
(
C1539=""юридична особа""
,
VLOOKUP"&amp;"(D1539,IMPORTRANGE(""https://docs.google.com/spreadsheets/d/14Bd19lYaqBhU8_DElYkX7l4wRkHqqCUFNJY4AfY3kHU/edit?usp=sharing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38" s="7" t="s">
        <v>10</v>
      </c>
      <c r="H1538" s="7">
        <v>1017</v>
      </c>
      <c r="I1538" s="8" t="str">
        <f ca="1">IFERROR(__xludf.DUMMYFUNCTION("IF
(
G1539=""фізична особа""
,
VLOOKUP(H1539,IMPORTRANGE(""https://docs.google.com/spreadsheets/d/14Bd19lYaqBhU8_DElYkX7l4wRkHqqCUFNJY4AfY3kHU/edit?usp=sharing  #gid=0"",""фіз особи new!relations_name""),6,FALSE)
,
(IF
(
G1539=""юридична особа""
,
VLOOKUP"&amp;"(H1539,IMPORTRANGE(""https://docs.google.com/spreadsheets/d/14Bd19lYaqBhU8_DElYkX7l4wRkHqqCUFNJY4AfY3kHU/edit?usp=sharing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538" s="7" t="s">
        <v>29</v>
      </c>
    </row>
    <row r="1539" spans="1:10" ht="13.2">
      <c r="A1539" s="7">
        <v>1538</v>
      </c>
      <c r="B1539" s="7">
        <v>1</v>
      </c>
      <c r="C1539" s="7" t="s">
        <v>10</v>
      </c>
      <c r="D1539" s="7">
        <v>478</v>
      </c>
      <c r="E1539" s="7" t="s">
        <v>29</v>
      </c>
      <c r="F1539" s="8" t="str">
        <f ca="1">IFERROR(__xludf.DUMMYFUNCTION("IF
(
C1540=""фізична особа""
,
VLOOKUP(D1540,IMPORTRANGE(""https://docs.google.com/spreadsheets/d/14Bd19lYaqBhU8_DElYkX7l4wRkHqqCUFNJY4AfY3kHU/edit?usp=sharing  #gid=0"",""фіз особи new!relations_name""),6,FALSE)
,
(IF
(
C1540=""юридична особа""
,
VLOOKUP"&amp;"(D1540,IMPORTRANGE(""https://docs.google.com/spreadsheets/d/14Bd19lYaqBhU8_DElYkX7l4wRkHqqCUFNJY4AfY3kHU/edit?usp=sharing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39" s="7" t="s">
        <v>10</v>
      </c>
      <c r="H1539" s="7">
        <v>0</v>
      </c>
      <c r="I1539" s="8" t="str">
        <f ca="1">IFERROR(__xludf.DUMMYFUNCTION("IF
(
G1540=""фізична особа""
,
VLOOKUP(H1540,IMPORTRANGE(""https://docs.google.com/spreadsheets/d/14Bd19lYaqBhU8_DElYkX7l4wRkHqqCUFNJY4AfY3kHU/edit?usp=sharing  #gid=0"",""фіз особи new!relations_name""),6,FALSE)
,
(IF
(
G1540=""юридична особа""
,
VLOOKUP"&amp;"(H1540,IMPORTRANGE(""https://docs.google.com/spreadsheets/d/14Bd19lYaqBhU8_DElYkX7l4wRkHqqCUFNJY4AfY3kHU/edit?usp=sharing  #gid=0"",""фіз особи new!relations_name_uo""),7,FALSE)
,
)
))"),"#N/A")</f>
        <v>#N/A</v>
      </c>
      <c r="J1539" s="7" t="s">
        <v>28</v>
      </c>
    </row>
    <row r="1540" spans="1:10" ht="13.2">
      <c r="A1540" s="7">
        <v>1539</v>
      </c>
      <c r="B1540" s="7">
        <v>1</v>
      </c>
      <c r="C1540" s="7" t="s">
        <v>10</v>
      </c>
      <c r="D1540" s="7">
        <v>478</v>
      </c>
      <c r="E1540" s="7" t="s">
        <v>48</v>
      </c>
      <c r="F1540" s="8" t="str">
        <f ca="1">IFERROR(__xludf.DUMMYFUNCTION("IF
(
C1541=""фізична особа""
,
VLOOKUP(D1541,IMPORTRANGE(""https://docs.google.com/spreadsheets/d/14Bd19lYaqBhU8_DElYkX7l4wRkHqqCUFNJY4AfY3kHU/edit?usp=sharing  #gid=0"",""фіз особи new!relations_name""),6,FALSE)
,
(IF
(
C1541=""юридична особа""
,
VLOOKUP"&amp;"(D1541,IMPORTRANGE(""https://docs.google.com/spreadsheets/d/14Bd19lYaqBhU8_DElYkX7l4wRkHqqCUFNJY4AfY3kHU/edit?usp=sharing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40" s="7" t="s">
        <v>10</v>
      </c>
      <c r="H1540" s="7">
        <v>0</v>
      </c>
      <c r="I1540" s="8" t="str">
        <f ca="1">IFERROR(__xludf.DUMMYFUNCTION("IF
(
G1541=""фізична особа""
,
VLOOKUP(H1541,IMPORTRANGE(""https://docs.google.com/spreadsheets/d/14Bd19lYaqBhU8_DElYkX7l4wRkHqqCUFNJY4AfY3kHU/edit?usp=sharing  #gid=0"",""фіз особи new!relations_name""),6,FALSE)
,
(IF
(
G1541=""юридична особа""
,
VLOOKUP"&amp;"(H1541,IMPORTRANGE(""https://docs.google.com/spreadsheets/d/14Bd19lYaqBhU8_DElYkX7l4wRkHqqCUFNJY4AfY3kHU/edit?usp=sharing  #gid=0"",""фіз особи new!relations_name_uo""),7,FALSE)
,
)
))"),"#N/A")</f>
        <v>#N/A</v>
      </c>
      <c r="J1540" s="7" t="s">
        <v>48</v>
      </c>
    </row>
    <row r="1541" spans="1:10" ht="13.2">
      <c r="A1541" s="7">
        <v>1540</v>
      </c>
      <c r="B1541" s="7">
        <v>1</v>
      </c>
      <c r="C1541" s="7" t="s">
        <v>10</v>
      </c>
      <c r="D1541" s="7">
        <v>478</v>
      </c>
      <c r="E1541" s="7" t="s">
        <v>21</v>
      </c>
      <c r="F1541" s="8" t="str">
        <f ca="1">IFERROR(__xludf.DUMMYFUNCTION("IF
(
C1542=""фізична особа""
,
VLOOKUP(D1542,IMPORTRANGE(""https://docs.google.com/spreadsheets/d/14Bd19lYaqBhU8_DElYkX7l4wRkHqqCUFNJY4AfY3kHU/edit?usp=sharing  #gid=0"",""фіз особи new!relations_name""),6,FALSE)
,
(IF
(
C1542=""юридична особа""
,
VLOOKUP"&amp;"(D1542,IMPORTRANGE(""https://docs.google.com/spreadsheets/d/14Bd19lYaqBhU8_DElYkX7l4wRkHqqCUFNJY4AfY3kHU/edit?usp=sharing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41" s="7" t="s">
        <v>10</v>
      </c>
      <c r="H1541" s="7">
        <v>0</v>
      </c>
      <c r="I1541" s="8" t="str">
        <f ca="1">IFERROR(__xludf.DUMMYFUNCTION("IF
(
G1542=""фізична особа""
,
VLOOKUP(H1542,IMPORTRANGE(""https://docs.google.com/spreadsheets/d/14Bd19lYaqBhU8_DElYkX7l4wRkHqqCUFNJY4AfY3kHU/edit?usp=sharing  #gid=0"",""фіз особи new!relations_name""),6,FALSE)
,
(IF
(
G1542=""юридична особа""
,
VLOOKUP"&amp;"(H1542,IMPORTRANGE(""https://docs.google.com/spreadsheets/d/14Bd19lYaqBhU8_DElYkX7l4wRkHqqCUFNJY4AfY3kHU/edit?usp=sharing  #gid=0"",""фіз особи new!relations_name_uo""),7,FALSE)
,
)
))"),"#N/A")</f>
        <v>#N/A</v>
      </c>
      <c r="J1541" s="7" t="s">
        <v>17</v>
      </c>
    </row>
    <row r="1542" spans="1:10" ht="13.2">
      <c r="A1542" s="7">
        <v>1541</v>
      </c>
      <c r="B1542" s="7">
        <v>1</v>
      </c>
      <c r="C1542" s="7" t="s">
        <v>10</v>
      </c>
      <c r="D1542" s="7">
        <v>478</v>
      </c>
      <c r="E1542" s="7" t="s">
        <v>70</v>
      </c>
      <c r="F1542" s="8" t="str">
        <f ca="1">IFERROR(__xludf.DUMMYFUNCTION("IF
(
C1543=""фізична особа""
,
VLOOKUP(D1543,IMPORTRANGE(""https://docs.google.com/spreadsheets/d/14Bd19lYaqBhU8_DElYkX7l4wRkHqqCUFNJY4AfY3kHU/edit?usp=sharing  #gid=0"",""фіз особи new!relations_name""),6,FALSE)
,
(IF
(
C1543=""юридична особа""
,
VLOOKUP"&amp;"(D1543,IMPORTRANGE(""https://docs.google.com/spreadsheets/d/14Bd19lYaqBhU8_DElYkX7l4wRkHqqCUFNJY4AfY3kHU/edit?usp=sharing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42" s="7" t="s">
        <v>10</v>
      </c>
      <c r="H1542" s="7">
        <v>0</v>
      </c>
      <c r="I1542" s="8" t="str">
        <f ca="1">IFERROR(__xludf.DUMMYFUNCTION("IF
(
G1543=""фізична особа""
,
VLOOKUP(H1543,IMPORTRANGE(""https://docs.google.com/spreadsheets/d/14Bd19lYaqBhU8_DElYkX7l4wRkHqqCUFNJY4AfY3kHU/edit?usp=sharing  #gid=0"",""фіз особи new!relations_name""),6,FALSE)
,
(IF
(
G1543=""юридична особа""
,
VLOOKUP"&amp;"(H1543,IMPORTRANGE(""https://docs.google.com/spreadsheets/d/14Bd19lYaqBhU8_DElYkX7l4wRkHqqCUFNJY4AfY3kHU/edit?usp=sharing  #gid=0"",""фіз особи new!relations_name_uo""),7,FALSE)
,
)
))"),"#N/A")</f>
        <v>#N/A</v>
      </c>
      <c r="J1542" s="7" t="s">
        <v>70</v>
      </c>
    </row>
    <row r="1543" spans="1:10" ht="13.2">
      <c r="A1543" s="7">
        <v>1542</v>
      </c>
      <c r="B1543" s="7">
        <v>1</v>
      </c>
      <c r="C1543" s="7" t="s">
        <v>10</v>
      </c>
      <c r="D1543" s="7">
        <v>478</v>
      </c>
      <c r="E1543" s="7" t="s">
        <v>48</v>
      </c>
      <c r="F1543" s="8" t="str">
        <f ca="1">IFERROR(__xludf.DUMMYFUNCTION("IF
(
C1544=""фізична особа""
,
VLOOKUP(D1544,IMPORTRANGE(""https://docs.google.com/spreadsheets/d/14Bd19lYaqBhU8_DElYkX7l4wRkHqqCUFNJY4AfY3kHU/edit?usp=sharing  #gid=0"",""фіз особи new!relations_name""),6,FALSE)
,
(IF
(
C1544=""юридична особа""
,
VLOOKUP"&amp;"(D1544,IMPORTRANGE(""https://docs.google.com/spreadsheets/d/14Bd19lYaqBhU8_DElYkX7l4wRkHqqCUFNJY4AfY3kHU/edit?usp=sharing  #gid=0"",""фіз особи new!relations_name_uo""),7,FALSE)
,
)
))"),"КОЧАНОВА Наталія Іванівна")</f>
        <v>КОЧАНОВА Наталія Іванівна</v>
      </c>
      <c r="G1543" s="7" t="s">
        <v>10</v>
      </c>
      <c r="H1543" s="7">
        <v>0</v>
      </c>
      <c r="I1543" s="8" t="str">
        <f ca="1">IFERROR(__xludf.DUMMYFUNCTION("IF
(
G1544=""фізична особа""
,
VLOOKUP(H1544,IMPORTRANGE(""https://docs.google.com/spreadsheets/d/14Bd19lYaqBhU8_DElYkX7l4wRkHqqCUFNJY4AfY3kHU/edit?usp=sharing  #gid=0"",""фіз особи new!relations_name""),6,FALSE)
,
(IF
(
G1544=""юридична особа""
,
VLOOKUP"&amp;"(H1544,IMPORTRANGE(""https://docs.google.com/spreadsheets/d/14Bd19lYaqBhU8_DElYkX7l4wRkHqqCUFNJY4AfY3kHU/edit?usp=sharing  #gid=0"",""фіз особи new!relations_name_uo""),7,FALSE)
,
)
))"),"#N/A")</f>
        <v>#N/A</v>
      </c>
      <c r="J1543" s="7" t="s">
        <v>48</v>
      </c>
    </row>
    <row r="1544" spans="1:10" ht="13.2">
      <c r="A1544" s="7">
        <v>1543</v>
      </c>
      <c r="B1544" s="7">
        <v>1</v>
      </c>
      <c r="C1544" s="7" t="s">
        <v>10</v>
      </c>
      <c r="D1544" s="7">
        <v>479</v>
      </c>
      <c r="E1544" s="7" t="s">
        <v>12</v>
      </c>
      <c r="F1544" s="8" t="str">
        <f ca="1">IFERROR(__xludf.DUMMYFUNCTION("IF
(
C1545=""фізична особа""
,
VLOOKUP(D1545,IMPORTRANGE(""https://docs.google.com/spreadsheets/d/14Bd19lYaqBhU8_DElYkX7l4wRkHqqCUFNJY4AfY3kHU/edit?usp=sharing  #gid=0"",""фіз особи new!relations_name""),6,FALSE)
,
(IF
(
C1545=""юридична особа""
,
VLOOKUP"&amp;"(D1545,IMPORTRANGE(""https://docs.google.com/spreadsheets/d/14Bd19lYaqBhU8_DElYkX7l4wRkHqqCUFNJY4AfY3kHU/edit?usp=sharing  #gid=0"",""фіз особи new!relations_name_uo""),7,FALSE)
,
)
))"),"ХІНШТЕЙН Олександр Євсійович")</f>
        <v>ХІНШТЕЙН Олександр Євсійович</v>
      </c>
      <c r="G1544" s="7" t="s">
        <v>10</v>
      </c>
      <c r="H1544" s="7">
        <v>0</v>
      </c>
      <c r="I1544" s="8" t="str">
        <f ca="1">IFERROR(__xludf.DUMMYFUNCTION("IF
(
G1545=""фізична особа""
,
VLOOKUP(H1545,IMPORTRANGE(""https://docs.google.com/spreadsheets/d/14Bd19lYaqBhU8_DElYkX7l4wRkHqqCUFNJY4AfY3kHU/edit?usp=sharing  #gid=0"",""фіз особи new!relations_name""),6,FALSE)
,
(IF
(
G1545=""юридична особа""
,
VLOOKUP"&amp;"(H1545,IMPORTRANGE(""https://docs.google.com/spreadsheets/d/14Bd19lYaqBhU8_DElYkX7l4wRkHqqCUFNJY4AfY3kHU/edit?usp=sharing  #gid=0"",""фіз особи new!relations_name_uo""),7,FALSE)
,
)
))"),"#N/A")</f>
        <v>#N/A</v>
      </c>
      <c r="J1544" s="7" t="s">
        <v>17</v>
      </c>
    </row>
    <row r="1545" spans="1:10" ht="13.2">
      <c r="A1545" s="7">
        <v>1544</v>
      </c>
      <c r="B1545" s="7">
        <v>1</v>
      </c>
      <c r="C1545" s="7" t="s">
        <v>10</v>
      </c>
      <c r="D1545" s="7">
        <v>479</v>
      </c>
      <c r="E1545" s="7" t="s">
        <v>14</v>
      </c>
      <c r="F1545" s="8" t="str">
        <f ca="1">IFERROR(__xludf.DUMMYFUNCTION("IF
(
C1546=""фізична особа""
,
VLOOKUP(D1546,IMPORTRANGE(""https://docs.google.com/spreadsheets/d/14Bd19lYaqBhU8_DElYkX7l4wRkHqqCUFNJY4AfY3kHU/edit?usp=sharing  #gid=0"",""фіз особи new!relations_name""),6,FALSE)
,
(IF
(
C1546=""юридична особа""
,
VLOOKUP"&amp;"(D1546,IMPORTRANGE(""https://docs.google.com/spreadsheets/d/14Bd19lYaqBhU8_DElYkX7l4wRkHqqCUFNJY4AfY3kHU/edit?usp=sharing  #gid=0"",""фіз особи new!relations_name_uo""),7,FALSE)
,
)
))"),"ХІНШТЕЙН Олександр Євсійович")</f>
        <v>ХІНШТЕЙН Олександр Євсійович</v>
      </c>
      <c r="G1545" s="7" t="s">
        <v>10</v>
      </c>
      <c r="H1545" s="7">
        <v>4775</v>
      </c>
      <c r="I1545" s="8" t="str">
        <f ca="1">IFERROR(__xludf.DUMMYFUNCTION("IF
(
G1546=""фізична особа""
,
VLOOKUP(H1546,IMPORTRANGE(""https://docs.google.com/spreadsheets/d/14Bd19lYaqBhU8_DElYkX7l4wRkHqqCUFNJY4AfY3kHU/edit?usp=sharing  #gid=0"",""фіз особи new!relations_name""),6,FALSE)
,
(IF
(
G1546=""юридична особа""
,
VLOOKUP"&amp;"(H1546,IMPORTRANGE(""https://docs.google.com/spreadsheets/d/14Bd19lYaqBhU8_DElYkX7l4wRkHqqCUFNJY4AfY3kHU/edit?usp=sharing  #gid=0"",""фіз особи new!relations_name_uo""),7,FALSE)
,
)
))"),"ПОЛЯКОВА Ольга Олександрівна")</f>
        <v>ПОЛЯКОВА Ольга Олександрівна</v>
      </c>
      <c r="J1545" s="7" t="s">
        <v>15</v>
      </c>
    </row>
    <row r="1546" spans="1:10" ht="13.2">
      <c r="A1546" s="7">
        <v>1545</v>
      </c>
      <c r="B1546" s="7">
        <v>1</v>
      </c>
      <c r="C1546" s="7" t="s">
        <v>10</v>
      </c>
      <c r="D1546" s="7">
        <v>479</v>
      </c>
      <c r="E1546" s="7" t="s">
        <v>40</v>
      </c>
      <c r="F1546" s="8" t="str">
        <f ca="1">IFERROR(__xludf.DUMMYFUNCTION("IF
(
C1547=""фізична особа""
,
VLOOKUP(D1547,IMPORTRANGE(""https://docs.google.com/spreadsheets/d/14Bd19lYaqBhU8_DElYkX7l4wRkHqqCUFNJY4AfY3kHU/edit?usp=sharing  #gid=0"",""фіз особи new!relations_name""),6,FALSE)
,
(IF
(
C1547=""юридична особа""
,
VLOOKUP"&amp;"(D1547,IMPORTRANGE(""https://docs.google.com/spreadsheets/d/14Bd19lYaqBhU8_DElYkX7l4wRkHqqCUFNJY4AfY3kHU/edit?usp=sharing  #gid=0"",""фіз особи new!relations_name_uo""),7,FALSE)
,
)
))"),"ХІНШТЕЙН Олександр Євсійович")</f>
        <v>ХІНШТЕЙН Олександр Євсійович</v>
      </c>
      <c r="G1546" s="7" t="s">
        <v>10</v>
      </c>
      <c r="H1546" s="7">
        <v>833</v>
      </c>
      <c r="I1546" s="8" t="str">
        <f ca="1">IFERROR(__xludf.DUMMYFUNCTION("IF
(
G1547=""фізична особа""
,
VLOOKUP(H1547,IMPORTRANGE(""https://docs.google.com/spreadsheets/d/14Bd19lYaqBhU8_DElYkX7l4wRkHqqCUFNJY4AfY3kHU/edit?usp=sharing  #gid=0"",""фіз особи new!relations_name""),6,FALSE)
,
(IF
(
G1547=""юридична особа""
,
VLOOKUP"&amp;"(H1547,IMPORTRANGE(""https://docs.google.com/spreadsheets/d/14Bd19lYaqBhU8_DElYkX7l4wRkHqqCUFNJY4AfY3kHU/edit?usp=sharing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J1546" s="7" t="s">
        <v>41</v>
      </c>
    </row>
    <row r="1547" spans="1:10" ht="13.2">
      <c r="A1547" s="7">
        <v>1546</v>
      </c>
      <c r="B1547" s="7">
        <v>1</v>
      </c>
      <c r="C1547" s="7" t="s">
        <v>10</v>
      </c>
      <c r="D1547" s="7">
        <v>480</v>
      </c>
      <c r="E1547" s="7" t="s">
        <v>15</v>
      </c>
      <c r="F1547" s="8" t="str">
        <f ca="1">IFERROR(__xludf.DUMMYFUNCTION("IF
(
C1548=""фізична особа""
,
VLOOKUP(D1548,IMPORTRANGE(""https://docs.google.com/spreadsheets/d/14Bd19lYaqBhU8_DElYkX7l4wRkHqqCUFNJY4AfY3kHU/edit?usp=sharing  #gid=0"",""фіз особи new!relations_name""),6,FALSE)
,
(IF
(
C1548=""юридична особа""
,
VLOOKUP"&amp;"(D1548,IMPORTRANGE(""https://docs.google.com/spreadsheets/d/14Bd19lYaqBhU8_DElYkX7l4wRkHqqCUFNJY4AfY3kHU/edit?usp=sharing  #gid=0"",""фіз особи new!relations_name_uo""),7,FALSE)
,
)
))"),"КОСИХІНА Наталія Володимирівна")</f>
        <v>КОСИХІНА Наталія Володимирівна</v>
      </c>
      <c r="G1547" s="7" t="s">
        <v>10</v>
      </c>
      <c r="H1547" s="7">
        <v>8624</v>
      </c>
      <c r="I1547" s="8" t="str">
        <f ca="1">IFERROR(__xludf.DUMMYFUNCTION("IF
(
G1548=""фізична особа""
,
VLOOKUP(H1548,IMPORTRANGE(""https://docs.google.com/spreadsheets/d/14Bd19lYaqBhU8_DElYkX7l4wRkHqqCUFNJY4AfY3kHU/edit?usp=sharing  #gid=0"",""фіз особи new!relations_name""),6,FALSE)
,
(IF
(
G1548=""юридична особа""
,
VLOOKUP"&amp;"(H1548,IMPORTRANGE(""https://docs.google.com/spreadsheets/d/14Bd19lYaqBhU8_DElYkX7l4wRkHqqCUFNJY4AfY3kHU/edit?usp=sharing  #gid=0"",""фіз особи new!relations_name_uo""),7,FALSE)
,
)
))"),"КОСИХІН Денис Валерійович")</f>
        <v>КОСИХІН Денис Валерійович</v>
      </c>
      <c r="J1547" s="7" t="s">
        <v>14</v>
      </c>
    </row>
    <row r="1548" spans="1:10" ht="13.2">
      <c r="A1548" s="7">
        <v>1547</v>
      </c>
      <c r="B1548" s="7">
        <v>1</v>
      </c>
      <c r="C1548" s="7" t="s">
        <v>10</v>
      </c>
      <c r="D1548" s="7">
        <v>480</v>
      </c>
      <c r="E1548" s="7" t="s">
        <v>21</v>
      </c>
      <c r="F1548" s="8" t="str">
        <f ca="1">IFERROR(__xludf.DUMMYFUNCTION("IF
(
C1549=""фізична особа""
,
VLOOKUP(D1549,IMPORTRANGE(""https://docs.google.com/spreadsheets/d/14Bd19lYaqBhU8_DElYkX7l4wRkHqqCUFNJY4AfY3kHU/edit?usp=sharing  #gid=0"",""фіз особи new!relations_name""),6,FALSE)
,
(IF
(
C1549=""юридична особа""
,
VLOOKUP"&amp;"(D1549,IMPORTRANGE(""https://docs.google.com/spreadsheets/d/14Bd19lYaqBhU8_DElYkX7l4wRkHqqCUFNJY4AfY3kHU/edit?usp=sharing  #gid=0"",""фіз особи new!relations_name_uo""),7,FALSE)
,
)
))"),"КОСИХІНА Наталія Володимирівна")</f>
        <v>КОСИХІНА Наталія Володимирівна</v>
      </c>
      <c r="G1548" s="7" t="s">
        <v>10</v>
      </c>
      <c r="H1548" s="7">
        <v>23412</v>
      </c>
      <c r="I1548" s="8" t="str">
        <f ca="1">IFERROR(__xludf.DUMMYFUNCTION("IF
(
G1549=""фізична особа""
,
VLOOKUP(H1549,IMPORTRANGE(""https://docs.google.com/spreadsheets/d/14Bd19lYaqBhU8_DElYkX7l4wRkHqqCUFNJY4AfY3kHU/edit?usp=sharing  #gid=0"",""фіз особи new!relations_name""),6,FALSE)
,
(IF
(
G1549=""юридична особа""
,
VLOOKUP"&amp;"(H1549,IMPORTRANGE(""https://docs.google.com/spreadsheets/d/14Bd19lYaqBhU8_DElYkX7l4wRkHqqCUFNJY4AfY3kHU/edit?usp=sharing  #gid=0"",""фіз особи new!relations_name_uo""),7,FALSE)
,
)
))"),"КОСИХІНА Валерія Денисівна")</f>
        <v>КОСИХІНА Валерія Денисівна</v>
      </c>
      <c r="J1548" s="7" t="s">
        <v>13</v>
      </c>
    </row>
    <row r="1549" spans="1:10" ht="13.2">
      <c r="A1549" s="7">
        <v>1548</v>
      </c>
      <c r="B1549" s="7">
        <v>1</v>
      </c>
      <c r="C1549" s="7" t="s">
        <v>10</v>
      </c>
      <c r="D1549" s="7">
        <v>481</v>
      </c>
      <c r="E1549" s="7" t="s">
        <v>13</v>
      </c>
      <c r="F1549" s="8" t="str">
        <f ca="1">IFERROR(__xludf.DUMMYFUNCTION("IF
(
C1550=""фізична особа""
,
VLOOKUP(D1550,IMPORTRANGE(""https://docs.google.com/spreadsheets/d/14Bd19lYaqBhU8_DElYkX7l4wRkHqqCUFNJY4AfY3kHU/edit?usp=sharing  #gid=0"",""фіз особи new!relations_name""),6,FALSE)
,
(IF
(
C1550=""юридична особа""
,
VLOOKUP"&amp;"(D1550,IMPORTRANGE(""https://docs.google.com/spreadsheets/d/14Bd19lYaqBhU8_DElYkX7l4wRkHqqCUFNJY4AfY3kHU/edit?usp=sharing  #gid=0"",""фіз особи new!relations_name_uo""),7,FALSE)
,
)
))"),"ПОКЛОНСЬКА Наталія Володимирівна")</f>
        <v>ПОКЛОНСЬКА Наталія Володимирівна</v>
      </c>
      <c r="G1549" s="7" t="s">
        <v>10</v>
      </c>
      <c r="H1549" s="7">
        <v>0</v>
      </c>
      <c r="I1549" s="8" t="str">
        <f ca="1">IFERROR(__xludf.DUMMYFUNCTION("IF
(
G1550=""фізична особа""
,
VLOOKUP(H1550,IMPORTRANGE(""https://docs.google.com/spreadsheets/d/14Bd19lYaqBhU8_DElYkX7l4wRkHqqCUFNJY4AfY3kHU/edit?usp=sharing  #gid=0"",""фіз особи new!relations_name""),6,FALSE)
,
(IF
(
G1550=""юридична особа""
,
VLOOKUP"&amp;"(H1550,IMPORTRANGE(""https://docs.google.com/spreadsheets/d/14Bd19lYaqBhU8_DElYkX7l4wRkHqqCUFNJY4AfY3kHU/edit?usp=sharing  #gid=0"",""фіз особи new!relations_name_uo""),7,FALSE)
,
)
))"),"#N/A")</f>
        <v>#N/A</v>
      </c>
      <c r="J1549" s="7" t="s">
        <v>21</v>
      </c>
    </row>
    <row r="1550" spans="1:10" ht="13.2">
      <c r="A1550" s="7">
        <v>1549</v>
      </c>
      <c r="B1550" s="7">
        <v>1</v>
      </c>
      <c r="C1550" s="7" t="s">
        <v>10</v>
      </c>
      <c r="D1550" s="7">
        <v>481</v>
      </c>
      <c r="E1550" s="7" t="s">
        <v>21</v>
      </c>
      <c r="F1550" s="8" t="str">
        <f ca="1">IFERROR(__xludf.DUMMYFUNCTION("IF
(
C1551=""фізична особа""
,
VLOOKUP(D1551,IMPORTRANGE(""https://docs.google.com/spreadsheets/d/14Bd19lYaqBhU8_DElYkX7l4wRkHqqCUFNJY4AfY3kHU/edit?usp=sharing  #gid=0"",""фіз особи new!relations_name""),6,FALSE)
,
(IF
(
C1551=""юридична особа""
,
VLOOKUP"&amp;"(D1551,IMPORTRANGE(""https://docs.google.com/spreadsheets/d/14Bd19lYaqBhU8_DElYkX7l4wRkHqqCUFNJY4AfY3kHU/edit?usp=sharing  #gid=0"",""фіз особи new!relations_name_uo""),7,FALSE)
,
)
))"),"ПОКЛОНСЬКА Наталія Володимирівна")</f>
        <v>ПОКЛОНСЬКА Наталія Володимирівна</v>
      </c>
      <c r="G1550" s="7" t="s">
        <v>10</v>
      </c>
      <c r="H1550" s="7">
        <v>0</v>
      </c>
      <c r="I1550" s="8" t="str">
        <f ca="1">IFERROR(__xludf.DUMMYFUNCTION("IF
(
G1551=""фізична особа""
,
VLOOKUP(H1551,IMPORTRANGE(""https://docs.google.com/spreadsheets/d/14Bd19lYaqBhU8_DElYkX7l4wRkHqqCUFNJY4AfY3kHU/edit?usp=sharing  #gid=0"",""фіз особи new!relations_name""),6,FALSE)
,
(IF
(
G1551=""юридична особа""
,
VLOOKUP"&amp;"(H1551,IMPORTRANGE(""https://docs.google.com/spreadsheets/d/14Bd19lYaqBhU8_DElYkX7l4wRkHqqCUFNJY4AfY3kHU/edit?usp=sharing  #gid=0"",""фіз особи new!relations_name_uo""),7,FALSE)
,
)
))"),"#N/A")</f>
        <v>#N/A</v>
      </c>
      <c r="J1550" s="7" t="s">
        <v>13</v>
      </c>
    </row>
    <row r="1551" spans="1:10" ht="13.2">
      <c r="A1551" s="7">
        <v>1550</v>
      </c>
      <c r="B1551" s="7">
        <v>1</v>
      </c>
      <c r="C1551" s="7" t="s">
        <v>10</v>
      </c>
      <c r="D1551" s="7">
        <v>481</v>
      </c>
      <c r="E1551" s="7" t="s">
        <v>13</v>
      </c>
      <c r="F1551" s="8" t="str">
        <f ca="1">IFERROR(__xludf.DUMMYFUNCTION("IF
(
C1552=""фізична особа""
,
VLOOKUP(D1552,IMPORTRANGE(""https://docs.google.com/spreadsheets/d/14Bd19lYaqBhU8_DElYkX7l4wRkHqqCUFNJY4AfY3kHU/edit?usp=sharing  #gid=0"",""фіз особи new!relations_name""),6,FALSE)
,
(IF
(
C1552=""юридична особа""
,
VLOOKUP"&amp;"(D1552,IMPORTRANGE(""https://docs.google.com/spreadsheets/d/14Bd19lYaqBhU8_DElYkX7l4wRkHqqCUFNJY4AfY3kHU/edit?usp=sharing  #gid=0"",""фіз особи new!relations_name_uo""),7,FALSE)
,
)
))"),"ПОКЛОНСЬКА Наталія Володимирівна")</f>
        <v>ПОКЛОНСЬКА Наталія Володимирівна</v>
      </c>
      <c r="G1551" s="7" t="s">
        <v>10</v>
      </c>
      <c r="H1551" s="7">
        <v>0</v>
      </c>
      <c r="I1551" s="8" t="str">
        <f ca="1">IFERROR(__xludf.DUMMYFUNCTION("IF
(
G1552=""фізична особа""
,
VLOOKUP(H1552,IMPORTRANGE(""https://docs.google.com/spreadsheets/d/14Bd19lYaqBhU8_DElYkX7l4wRkHqqCUFNJY4AfY3kHU/edit?usp=sharing  #gid=0"",""фіз особи new!relations_name""),6,FALSE)
,
(IF
(
G1552=""юридична особа""
,
VLOOKUP"&amp;"(H1552,IMPORTRANGE(""https://docs.google.com/spreadsheets/d/14Bd19lYaqBhU8_DElYkX7l4wRkHqqCUFNJY4AfY3kHU/edit?usp=sharing  #gid=0"",""фіз особи new!relations_name_uo""),7,FALSE)
,
)
))"),"#N/A")</f>
        <v>#N/A</v>
      </c>
      <c r="J1551" s="7" t="s">
        <v>12</v>
      </c>
    </row>
    <row r="1552" spans="1:10" ht="13.2">
      <c r="A1552" s="7">
        <v>1551</v>
      </c>
      <c r="B1552" s="7">
        <v>1</v>
      </c>
      <c r="C1552" s="7" t="s">
        <v>10</v>
      </c>
      <c r="D1552" s="7">
        <v>481</v>
      </c>
      <c r="E1552" s="7" t="s">
        <v>31</v>
      </c>
      <c r="F1552" s="8" t="str">
        <f ca="1">IFERROR(__xludf.DUMMYFUNCTION("IF
(
C1553=""фізична особа""
,
VLOOKUP(D1553,IMPORTRANGE(""https://docs.google.com/spreadsheets/d/14Bd19lYaqBhU8_DElYkX7l4wRkHqqCUFNJY4AfY3kHU/edit?usp=sharing  #gid=0"",""фіз особи new!relations_name""),6,FALSE)
,
(IF
(
C1553=""юридична особа""
,
VLOOKUP"&amp;"(D1553,IMPORTRANGE(""https://docs.google.com/spreadsheets/d/14Bd19lYaqBhU8_DElYkX7l4wRkHqqCUFNJY4AfY3kHU/edit?usp=sharing  #gid=0"",""фіз особи new!relations_name_uo""),7,FALSE)
,
)
))"),"ПОКЛОНСЬКА Наталія Володимирівна")</f>
        <v>ПОКЛОНСЬКА Наталія Володимирівна</v>
      </c>
      <c r="G1552" s="7" t="s">
        <v>10</v>
      </c>
      <c r="H1552" s="7">
        <v>0</v>
      </c>
      <c r="I1552" s="8" t="str">
        <f ca="1">IFERROR(__xludf.DUMMYFUNCTION("IF
(
G1553=""фізична особа""
,
VLOOKUP(H1553,IMPORTRANGE(""https://docs.google.com/spreadsheets/d/14Bd19lYaqBhU8_DElYkX7l4wRkHqqCUFNJY4AfY3kHU/edit?usp=sharing  #gid=0"",""фіз особи new!relations_name""),6,FALSE)
,
(IF
(
G1553=""юридична особа""
,
VLOOKUP"&amp;"(H1553,IMPORTRANGE(""https://docs.google.com/spreadsheets/d/14Bd19lYaqBhU8_DElYkX7l4wRkHqqCUFNJY4AfY3kHU/edit?usp=sharing  #gid=0"",""фіз особи new!relations_name_uo""),7,FALSE)
,
)
))"),"#N/A")</f>
        <v>#N/A</v>
      </c>
      <c r="J1552" s="7" t="s">
        <v>31</v>
      </c>
    </row>
    <row r="1553" spans="1:10" ht="13.2">
      <c r="A1553" s="7">
        <v>1552</v>
      </c>
      <c r="B1553" s="7">
        <v>1</v>
      </c>
      <c r="C1553" s="7" t="s">
        <v>10</v>
      </c>
      <c r="D1553" s="7">
        <v>481</v>
      </c>
      <c r="E1553" s="7" t="s">
        <v>45</v>
      </c>
      <c r="F1553" s="8" t="str">
        <f ca="1">IFERROR(__xludf.DUMMYFUNCTION("IF
(
C1554=""фізична особа""
,
VLOOKUP(D1554,IMPORTRANGE(""https://docs.google.com/spreadsheets/d/14Bd19lYaqBhU8_DElYkX7l4wRkHqqCUFNJY4AfY3kHU/edit?usp=sharing  #gid=0"",""фіз особи new!relations_name""),6,FALSE)
,
(IF
(
C1554=""юридична особа""
,
VLOOKUP"&amp;"(D1554,IMPORTRANGE(""https://docs.google.com/spreadsheets/d/14Bd19lYaqBhU8_DElYkX7l4wRkHqqCUFNJY4AfY3kHU/edit?usp=sharing  #gid=0"",""фіз особи new!relations_name_uo""),7,FALSE)
,
)
))"),"ПОКЛОНСЬКА Наталія Володимирівна")</f>
        <v>ПОКЛОНСЬКА Наталія Володимирівна</v>
      </c>
      <c r="G1553" s="7" t="s">
        <v>10</v>
      </c>
      <c r="H1553" s="7">
        <v>0</v>
      </c>
      <c r="I1553" s="8" t="str">
        <f ca="1">IFERROR(__xludf.DUMMYFUNCTION("IF
(
G1554=""фізична особа""
,
VLOOKUP(H1554,IMPORTRANGE(""https://docs.google.com/spreadsheets/d/14Bd19lYaqBhU8_DElYkX7l4wRkHqqCUFNJY4AfY3kHU/edit?usp=sharing  #gid=0"",""фіз особи new!relations_name""),6,FALSE)
,
(IF
(
G1554=""юридична особа""
,
VLOOKUP"&amp;"(H1554,IMPORTRANGE(""https://docs.google.com/spreadsheets/d/14Bd19lYaqBhU8_DElYkX7l4wRkHqqCUFNJY4AfY3kHU/edit?usp=sharing  #gid=0"",""фіз особи new!relations_name_uo""),7,FALSE)
,
)
))"),"#N/A")</f>
        <v>#N/A</v>
      </c>
      <c r="J1553" s="7" t="s">
        <v>20</v>
      </c>
    </row>
    <row r="1554" spans="1:10" ht="13.2">
      <c r="A1554" s="7">
        <v>1553</v>
      </c>
      <c r="B1554" s="7">
        <v>1</v>
      </c>
      <c r="C1554" s="7" t="s">
        <v>10</v>
      </c>
      <c r="D1554" s="7">
        <v>483</v>
      </c>
      <c r="E1554" s="7" t="s">
        <v>53</v>
      </c>
      <c r="F1554" s="8" t="str">
        <f ca="1">IFERROR(__xludf.DUMMYFUNCTION("IF
(
C1555=""фізична особа""
,
VLOOKUP(D1555,IMPORTRANGE(""https://docs.google.com/spreadsheets/d/14Bd19lYaqBhU8_DElYkX7l4wRkHqqCUFNJY4AfY3kHU/edit?usp=sharing  #gid=0"",""фіз особи new!relations_name""),6,FALSE)
,
(IF
(
C1555=""юридична особа""
,
VLOOKUP"&amp;"(D1555,IMPORTRANGE(""https://docs.google.com/spreadsheets/d/14Bd19lYaqBhU8_DElYkX7l4wRkHqqCUFNJY4AfY3kHU/edit?usp=sharing  #gid=0"",""фіз особи new!relations_name_uo""),7,FALSE)
,
)
))"),"ПОЛУЯНОВА Наталія Володимирівна")</f>
        <v>ПОЛУЯНОВА Наталія Володимирівна</v>
      </c>
      <c r="G1554" s="7" t="s">
        <v>10</v>
      </c>
      <c r="H1554" s="7">
        <v>15461</v>
      </c>
      <c r="I1554" s="8" t="str">
        <f ca="1">IFERROR(__xludf.DUMMYFUNCTION("IF
(
G1555=""фізична особа""
,
VLOOKUP(H1555,IMPORTRANGE(""https://docs.google.com/spreadsheets/d/14Bd19lYaqBhU8_DElYkX7l4wRkHqqCUFNJY4AfY3kHU/edit?usp=sharing  #gid=0"",""фіз особи new!relations_name""),6,FALSE)
,
(IF
(
G1555=""юридична особа""
,
VLOOKUP"&amp;"(H1555,IMPORTRANGE(""https://docs.google.com/spreadsheets/d/14Bd19lYaqBhU8_DElYkX7l4wRkHqqCUFNJY4AfY3kHU/edit?usp=sharing  #gid=0"",""фіз особи new!relations_name_uo""),7,FALSE)
,
)
))"),"ПАВЛОВА Ольга Альбертовна")</f>
        <v>ПАВЛОВА Ольга Альбертовна</v>
      </c>
      <c r="J1554" s="7" t="s">
        <v>52</v>
      </c>
    </row>
    <row r="1555" spans="1:10" ht="13.2">
      <c r="A1555" s="7">
        <v>1554</v>
      </c>
      <c r="B1555" s="7">
        <v>1</v>
      </c>
      <c r="C1555" s="7" t="s">
        <v>10</v>
      </c>
      <c r="D1555" s="7">
        <v>484</v>
      </c>
      <c r="E1555" s="7" t="s">
        <v>40</v>
      </c>
      <c r="F1555" s="8" t="str">
        <f ca="1">IFERROR(__xludf.DUMMYFUNCTION("IF
(
C1556=""фізична особа""
,
VLOOKUP(D1556,IMPORTRANGE(""https://docs.google.com/spreadsheets/d/14Bd19lYaqBhU8_DElYkX7l4wRkHqqCUFNJY4AfY3kHU/edit?usp=sharing  #gid=0"",""фіз особи new!relations_name""),6,FALSE)
,
(IF
(
C1556=""юридична особа""
,
VLOOKUP"&amp;"(D1556,IMPORTRANGE(""https://docs.google.com/spreadsheets/d/14Bd19lYaqBhU8_DElYkX7l4wRkHqqCUFNJY4AfY3kHU/edit?usp=sharing  #gid=0"",""фіз особи new!relations_name_uo""),7,FALSE)
,
)
))"),"НІКОНОРОВА Наталія Юріївна")</f>
        <v>НІКОНОРОВА Наталія Юріївна</v>
      </c>
      <c r="G1555" s="7" t="s">
        <v>10</v>
      </c>
      <c r="H1555" s="7">
        <v>14762</v>
      </c>
      <c r="I1555" s="8" t="str">
        <f ca="1">IFERROR(__xludf.DUMMYFUNCTION("IF
(
G1556=""фізична особа""
,
VLOOKUP(H1556,IMPORTRANGE(""https://docs.google.com/spreadsheets/d/14Bd19lYaqBhU8_DElYkX7l4wRkHqqCUFNJY4AfY3kHU/edit?usp=sharing  #gid=0"",""фіз особи new!relations_name""),6,FALSE)
,
(IF
(
G1556=""юридична особа""
,
VLOOKUP"&amp;"(H1556,IMPORTRANGE(""https://docs.google.com/spreadsheets/d/14Bd19lYaqBhU8_DElYkX7l4wRkHqqCUFNJY4AfY3kHU/edit?usp=sharing  #gid=0"",""фіз особи new!relations_name_uo""),7,FALSE)
,
)
))"),"ЗАХАРЧЕНКО Олександр Володимирович")</f>
        <v>ЗАХАРЧЕНКО Олександр Володимирович</v>
      </c>
      <c r="J1555" s="7" t="s">
        <v>41</v>
      </c>
    </row>
    <row r="1556" spans="1:10" ht="13.2">
      <c r="A1556" s="7">
        <v>1555</v>
      </c>
      <c r="B1556" s="7">
        <v>1</v>
      </c>
      <c r="C1556" s="7" t="s">
        <v>10</v>
      </c>
      <c r="D1556" s="7">
        <v>489</v>
      </c>
      <c r="E1556" s="7" t="s">
        <v>28</v>
      </c>
      <c r="F1556" s="8" t="str">
        <f ca="1">IFERROR(__xludf.DUMMYFUNCTION("IF
(
C1557=""фізична особа""
,
VLOOKUP(D1557,IMPORTRANGE(""https://docs.google.com/spreadsheets/d/14Bd19lYaqBhU8_DElYkX7l4wRkHqqCUFNJY4AfY3kHU/edit?usp=sharing  #gid=0"",""фіз особи new!relations_name""),6,FALSE)
,
(IF
(
C1557=""юридична особа""
,
VLOOKUP"&amp;"(D1557,IMPORTRANGE(""https://docs.google.com/spreadsheets/d/14Bd19lYaqBhU8_DElYkX7l4wRkHqqCUFNJY4AfY3kHU/edit?usp=sharing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56" s="7" t="s">
        <v>10</v>
      </c>
      <c r="H1556" s="7">
        <v>320</v>
      </c>
      <c r="I1556" s="8" t="str">
        <f ca="1">IFERROR(__xludf.DUMMYFUNCTION("IF
(
G1557=""фізична особа""
,
VLOOKUP(H1557,IMPORTRANGE(""https://docs.google.com/spreadsheets/d/14Bd19lYaqBhU8_DElYkX7l4wRkHqqCUFNJY4AfY3kHU/edit?usp=sharing  #gid=0"",""фіз особи new!relations_name""),6,FALSE)
,
(IF
(
G1557=""юридична особа""
,
VLOOKUP"&amp;"(H1557,IMPORTRANGE(""https://docs.google.com/spreadsheets/d/14Bd19lYaqBhU8_DElYkX7l4wRkHqqCUFNJY4AfY3kHU/edit?usp=sharing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556" s="7" t="s">
        <v>29</v>
      </c>
    </row>
    <row r="1557" spans="1:10" ht="13.2">
      <c r="A1557" s="7">
        <v>1556</v>
      </c>
      <c r="B1557" s="7">
        <v>1</v>
      </c>
      <c r="C1557" s="7" t="s">
        <v>10</v>
      </c>
      <c r="D1557" s="7">
        <v>489</v>
      </c>
      <c r="E1557" s="7" t="s">
        <v>28</v>
      </c>
      <c r="F1557" s="8" t="str">
        <f ca="1">IFERROR(__xludf.DUMMYFUNCTION("IF
(
C1558=""фізична особа""
,
VLOOKUP(D1558,IMPORTRANGE(""https://docs.google.com/spreadsheets/d/14Bd19lYaqBhU8_DElYkX7l4wRkHqqCUFNJY4AfY3kHU/edit?usp=sharing  #gid=0"",""фіз особи new!relations_name""),6,FALSE)
,
(IF
(
C1558=""юридична особа""
,
VLOOKUP"&amp;"(D1558,IMPORTRANGE(""https://docs.google.com/spreadsheets/d/14Bd19lYaqBhU8_DElYkX7l4wRkHqqCUFNJY4AfY3kHU/edit?usp=sharing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57" s="7" t="s">
        <v>10</v>
      </c>
      <c r="H1557" s="7">
        <v>367</v>
      </c>
      <c r="I1557" s="8" t="str">
        <f ca="1">IFERROR(__xludf.DUMMYFUNCTION("IF
(
G1558=""фізична особа""
,
VLOOKUP(H1558,IMPORTRANGE(""https://docs.google.com/spreadsheets/d/14Bd19lYaqBhU8_DElYkX7l4wRkHqqCUFNJY4AfY3kHU/edit?usp=sharing  #gid=0"",""фіз особи new!relations_name""),6,FALSE)
,
(IF
(
G1558=""юридична особа""
,
VLOOKUP"&amp;"(H1558,IMPORTRANGE(""https://docs.google.com/spreadsheets/d/14Bd19lYaqBhU8_DElYkX7l4wRkHqqCUFNJY4AfY3kHU/edit?usp=sharing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1557" s="7" t="s">
        <v>29</v>
      </c>
    </row>
    <row r="1558" spans="1:10" ht="13.2">
      <c r="A1558" s="7">
        <v>1557</v>
      </c>
      <c r="B1558" s="7">
        <v>1</v>
      </c>
      <c r="C1558" s="7" t="s">
        <v>10</v>
      </c>
      <c r="D1558" s="7">
        <v>489</v>
      </c>
      <c r="E1558" s="7" t="s">
        <v>28</v>
      </c>
      <c r="F1558" s="8" t="str">
        <f ca="1">IFERROR(__xludf.DUMMYFUNCTION("IF
(
C1559=""фізична особа""
,
VLOOKUP(D1559,IMPORTRANGE(""https://docs.google.com/spreadsheets/d/14Bd19lYaqBhU8_DElYkX7l4wRkHqqCUFNJY4AfY3kHU/edit?usp=sharing  #gid=0"",""фіз особи new!relations_name""),6,FALSE)
,
(IF
(
C1559=""юридична особа""
,
VLOOKUP"&amp;"(D1559,IMPORTRANGE(""https://docs.google.com/spreadsheets/d/14Bd19lYaqBhU8_DElYkX7l4wRkHqqCUFNJY4AfY3kHU/edit?usp=sharing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58" s="7" t="s">
        <v>10</v>
      </c>
      <c r="H1558" s="7">
        <v>386</v>
      </c>
      <c r="I1558" s="8" t="str">
        <f ca="1">IFERROR(__xludf.DUMMYFUNCTION("IF
(
G1559=""фізична особа""
,
VLOOKUP(H1559,IMPORTRANGE(""https://docs.google.com/spreadsheets/d/14Bd19lYaqBhU8_DElYkX7l4wRkHqqCUFNJY4AfY3kHU/edit?usp=sharing  #gid=0"",""фіз особи new!relations_name""),6,FALSE)
,
(IF
(
G1559=""юридична особа""
,
VLOOKUP"&amp;"(H1559,IMPORTRANGE(""https://docs.google.com/spreadsheets/d/14Bd19lYaqBhU8_DElYkX7l4wRkHqqCUFNJY4AfY3kHU/edit?usp=sharing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1558" s="7" t="s">
        <v>29</v>
      </c>
    </row>
    <row r="1559" spans="1:10" ht="13.2">
      <c r="A1559" s="7">
        <v>1558</v>
      </c>
      <c r="B1559" s="7">
        <v>1</v>
      </c>
      <c r="C1559" s="7" t="s">
        <v>10</v>
      </c>
      <c r="D1559" s="7">
        <v>489</v>
      </c>
      <c r="E1559" s="7" t="s">
        <v>28</v>
      </c>
      <c r="F1559" s="8" t="str">
        <f ca="1">IFERROR(__xludf.DUMMYFUNCTION("IF
(
C1560=""фізична особа""
,
VLOOKUP(D1560,IMPORTRANGE(""https://docs.google.com/spreadsheets/d/14Bd19lYaqBhU8_DElYkX7l4wRkHqqCUFNJY4AfY3kHU/edit?usp=sharing  #gid=0"",""фіз особи new!relations_name""),6,FALSE)
,
(IF
(
C1560=""юридична особа""
,
VLOOKUP"&amp;"(D1560,IMPORTRANGE(""https://docs.google.com/spreadsheets/d/14Bd19lYaqBhU8_DElYkX7l4wRkHqqCUFNJY4AfY3kHU/edit?usp=sharing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59" s="7" t="s">
        <v>10</v>
      </c>
      <c r="H1559" s="7">
        <v>531</v>
      </c>
      <c r="I1559" s="8" t="str">
        <f ca="1">IFERROR(__xludf.DUMMYFUNCTION("IF
(
G1560=""фізична особа""
,
VLOOKUP(H1560,IMPORTRANGE(""https://docs.google.com/spreadsheets/d/14Bd19lYaqBhU8_DElYkX7l4wRkHqqCUFNJY4AfY3kHU/edit?usp=sharing  #gid=0"",""фіз особи new!relations_name""),6,FALSE)
,
(IF
(
G1560=""юридична особа""
,
VLOOKUP"&amp;"(H1560,IMPORTRANGE(""https://docs.google.com/spreadsheets/d/14Bd19lYaqBhU8_DElYkX7l4wRkHqqCUFNJY4AfY3kHU/edit?usp=sharing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1559" s="7" t="s">
        <v>29</v>
      </c>
    </row>
    <row r="1560" spans="1:10" ht="13.2">
      <c r="A1560" s="7">
        <v>1559</v>
      </c>
      <c r="B1560" s="7">
        <v>1</v>
      </c>
      <c r="C1560" s="7" t="s">
        <v>10</v>
      </c>
      <c r="D1560" s="7">
        <v>489</v>
      </c>
      <c r="E1560" s="7" t="s">
        <v>35</v>
      </c>
      <c r="F1560" s="8" t="str">
        <f ca="1">IFERROR(__xludf.DUMMYFUNCTION("IF
(
C1561=""фізична особа""
,
VLOOKUP(D1561,IMPORTRANGE(""https://docs.google.com/spreadsheets/d/14Bd19lYaqBhU8_DElYkX7l4wRkHqqCUFNJY4AfY3kHU/edit?usp=sharing  #gid=0"",""фіз особи new!relations_name""),6,FALSE)
,
(IF
(
C1561=""юридична особа""
,
VLOOKUP"&amp;"(D1561,IMPORTRANGE(""https://docs.google.com/spreadsheets/d/14Bd19lYaqBhU8_DElYkX7l4wRkHqqCUFNJY4AfY3kHU/edit?usp=sharing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60" s="7" t="s">
        <v>10</v>
      </c>
      <c r="H1560" s="7">
        <v>355</v>
      </c>
      <c r="I1560" s="8" t="str">
        <f ca="1">IFERROR(__xludf.DUMMYFUNCTION("IF
(
G1561=""фізична особа""
,
VLOOKUP(H1561,IMPORTRANGE(""https://docs.google.com/spreadsheets/d/14Bd19lYaqBhU8_DElYkX7l4wRkHqqCUFNJY4AfY3kHU/edit?usp=sharing  #gid=0"",""фіз особи new!relations_name""),6,FALSE)
,
(IF
(
G1561=""юридична особа""
,
VLOOKUP"&amp;"(H1561,IMPORTRANGE(""https://docs.google.com/spreadsheets/d/14Bd19lYaqBhU8_DElYkX7l4wRkHqqCUFNJY4AfY3kHU/edit?usp=sharing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1560" s="7" t="s">
        <v>35</v>
      </c>
    </row>
    <row r="1561" spans="1:10" ht="13.2">
      <c r="A1561" s="7">
        <v>1560</v>
      </c>
      <c r="B1561" s="7">
        <v>1</v>
      </c>
      <c r="C1561" s="7" t="s">
        <v>10</v>
      </c>
      <c r="D1561" s="7">
        <v>489</v>
      </c>
      <c r="E1561" s="7" t="s">
        <v>35</v>
      </c>
      <c r="F1561" s="8" t="str">
        <f ca="1">IFERROR(__xludf.DUMMYFUNCTION("IF
(
C1562=""фізична особа""
,
VLOOKUP(D1562,IMPORTRANGE(""https://docs.google.com/spreadsheets/d/14Bd19lYaqBhU8_DElYkX7l4wRkHqqCUFNJY4AfY3kHU/edit?usp=sharing  #gid=0"",""фіз особи new!relations_name""),6,FALSE)
,
(IF
(
C1562=""юридична особа""
,
VLOOKUP"&amp;"(D1562,IMPORTRANGE(""https://docs.google.com/spreadsheets/d/14Bd19lYaqBhU8_DElYkX7l4wRkHqqCUFNJY4AfY3kHU/edit?usp=sharing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61" s="7" t="s">
        <v>10</v>
      </c>
      <c r="H1561" s="7">
        <v>385</v>
      </c>
      <c r="I1561" s="8" t="str">
        <f ca="1">IFERROR(__xludf.DUMMYFUNCTION("IF
(
G1562=""фізична особа""
,
VLOOKUP(H1562,IMPORTRANGE(""https://docs.google.com/spreadsheets/d/14Bd19lYaqBhU8_DElYkX7l4wRkHqqCUFNJY4AfY3kHU/edit?usp=sharing  #gid=0"",""фіз особи new!relations_name""),6,FALSE)
,
(IF
(
G1562=""юридична особа""
,
VLOOKUP"&amp;"(H1562,IMPORTRANGE(""https://docs.google.com/spreadsheets/d/14Bd19lYaqBhU8_DElYkX7l4wRkHqqCUFNJY4AfY3kHU/edit?usp=sharing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1561" s="7" t="s">
        <v>35</v>
      </c>
    </row>
    <row r="1562" spans="1:10" ht="13.2">
      <c r="A1562" s="7">
        <v>1561</v>
      </c>
      <c r="B1562" s="7">
        <v>1</v>
      </c>
      <c r="C1562" s="7" t="s">
        <v>10</v>
      </c>
      <c r="D1562" s="7">
        <v>489</v>
      </c>
      <c r="E1562" s="7" t="s">
        <v>35</v>
      </c>
      <c r="F1562" s="8" t="str">
        <f ca="1">IFERROR(__xludf.DUMMYFUNCTION("IF
(
C1563=""фізична особа""
,
VLOOKUP(D1563,IMPORTRANGE(""https://docs.google.com/spreadsheets/d/14Bd19lYaqBhU8_DElYkX7l4wRkHqqCUFNJY4AfY3kHU/edit?usp=sharing  #gid=0"",""фіз особи new!relations_name""),6,FALSE)
,
(IF
(
C1563=""юридична особа""
,
VLOOKUP"&amp;"(D1563,IMPORTRANGE(""https://docs.google.com/spreadsheets/d/14Bd19lYaqBhU8_DElYkX7l4wRkHqqCUFNJY4AfY3kHU/edit?usp=sharing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G1562" s="7" t="s">
        <v>10</v>
      </c>
      <c r="H1562" s="7">
        <v>794</v>
      </c>
      <c r="I1562" s="8" t="str">
        <f ca="1">IFERROR(__xludf.DUMMYFUNCTION("IF
(
G1563=""фізична особа""
,
VLOOKUP(H1563,IMPORTRANGE(""https://docs.google.com/spreadsheets/d/14Bd19lYaqBhU8_DElYkX7l4wRkHqqCUFNJY4AfY3kHU/edit?usp=sharing  #gid=0"",""фіз особи new!relations_name""),6,FALSE)
,
(IF
(
G1563=""юридична особа""
,
VLOOKUP"&amp;"(H1563,IMPORTRANGE(""https://docs.google.com/spreadsheets/d/14Bd19lYaqBhU8_DElYkX7l4wRkHqqCUFNJY4AfY3kHU/edit?usp=sharing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562" s="7" t="s">
        <v>35</v>
      </c>
    </row>
    <row r="1563" spans="1:10" ht="13.2">
      <c r="A1563" s="7">
        <v>1562</v>
      </c>
      <c r="B1563" s="7">
        <v>1</v>
      </c>
      <c r="C1563" s="7" t="s">
        <v>10</v>
      </c>
      <c r="D1563" s="7">
        <v>490</v>
      </c>
      <c r="E1563" s="7" t="s">
        <v>26</v>
      </c>
      <c r="F1563" s="8" t="str">
        <f ca="1">IFERROR(__xludf.DUMMYFUNCTION("IF
(
C1564=""фізична особа""
,
VLOOKUP(D1564,IMPORTRANGE(""https://docs.google.com/spreadsheets/d/14Bd19lYaqBhU8_DElYkX7l4wRkHqqCUFNJY4AfY3kHU/edit?usp=sharing  #gid=0"",""фіз особи new!relations_name""),6,FALSE)
,
(IF
(
C1564=""юридична особа""
,
VLOOKUP"&amp;"(D1564,IMPORTRANGE(""https://docs.google.com/spreadsheets/d/14Bd19lYaqBhU8_DElYkX7l4wRkHqqCUFNJY4AfY3kHU/edit?usp=sharing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3" s="7" t="s">
        <v>10</v>
      </c>
      <c r="H1563" s="7">
        <v>0</v>
      </c>
      <c r="I1563" s="8" t="str">
        <f ca="1">IFERROR(__xludf.DUMMYFUNCTION("IF
(
G1564=""фізична особа""
,
VLOOKUP(H1564,IMPORTRANGE(""https://docs.google.com/spreadsheets/d/14Bd19lYaqBhU8_DElYkX7l4wRkHqqCUFNJY4AfY3kHU/edit?usp=sharing  #gid=0"",""фіз особи new!relations_name""),6,FALSE)
,
(IF
(
G1564=""юридична особа""
,
VLOOKUP"&amp;"(H1564,IMPORTRANGE(""https://docs.google.com/spreadsheets/d/14Bd19lYaqBhU8_DElYkX7l4wRkHqqCUFNJY4AfY3kHU/edit?usp=sharing  #gid=0"",""фіз особи new!relations_name_uo""),7,FALSE)
,
)
))"),"#N/A")</f>
        <v>#N/A</v>
      </c>
      <c r="J1563" s="7" t="s">
        <v>27</v>
      </c>
    </row>
    <row r="1564" spans="1:10" ht="13.2">
      <c r="A1564" s="7">
        <v>1563</v>
      </c>
      <c r="B1564" s="7">
        <v>1</v>
      </c>
      <c r="C1564" s="7" t="s">
        <v>10</v>
      </c>
      <c r="D1564" s="7">
        <v>490</v>
      </c>
      <c r="E1564" s="7" t="s">
        <v>46</v>
      </c>
      <c r="F1564" s="8" t="str">
        <f ca="1">IFERROR(__xludf.DUMMYFUNCTION("IF
(
C1565=""фізична особа""
,
VLOOKUP(D1565,IMPORTRANGE(""https://docs.google.com/spreadsheets/d/14Bd19lYaqBhU8_DElYkX7l4wRkHqqCUFNJY4AfY3kHU/edit?usp=sharing  #gid=0"",""фіз особи new!relations_name""),6,FALSE)
,
(IF
(
C1565=""юридична особа""
,
VLOOKUP"&amp;"(D1565,IMPORTRANGE(""https://docs.google.com/spreadsheets/d/14Bd19lYaqBhU8_DElYkX7l4wRkHqqCUFNJY4AfY3kHU/edit?usp=sharing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4" s="7" t="s">
        <v>10</v>
      </c>
      <c r="H1564" s="7">
        <v>0</v>
      </c>
      <c r="I1564" s="8" t="str">
        <f ca="1">IFERROR(__xludf.DUMMYFUNCTION("IF
(
G1565=""фізична особа""
,
VLOOKUP(H1565,IMPORTRANGE(""https://docs.google.com/spreadsheets/d/14Bd19lYaqBhU8_DElYkX7l4wRkHqqCUFNJY4AfY3kHU/edit?usp=sharing  #gid=0"",""фіз особи new!relations_name""),6,FALSE)
,
(IF
(
G1565=""юридична особа""
,
VLOOKUP"&amp;"(H1565,IMPORTRANGE(""https://docs.google.com/spreadsheets/d/14Bd19lYaqBhU8_DElYkX7l4wRkHqqCUFNJY4AfY3kHU/edit?usp=sharing  #gid=0"",""фіз особи new!relations_name_uo""),7,FALSE)
,
)
))"),"#N/A")</f>
        <v>#N/A</v>
      </c>
      <c r="J1564" s="7" t="s">
        <v>47</v>
      </c>
    </row>
    <row r="1565" spans="1:10" ht="13.2">
      <c r="A1565" s="7">
        <v>1564</v>
      </c>
      <c r="B1565" s="7">
        <v>1</v>
      </c>
      <c r="C1565" s="7" t="s">
        <v>10</v>
      </c>
      <c r="D1565" s="7">
        <v>490</v>
      </c>
      <c r="E1565" s="7" t="s">
        <v>26</v>
      </c>
      <c r="F1565" s="8" t="str">
        <f ca="1">IFERROR(__xludf.DUMMYFUNCTION("IF
(
C1566=""фізична особа""
,
VLOOKUP(D1566,IMPORTRANGE(""https://docs.google.com/spreadsheets/d/14Bd19lYaqBhU8_DElYkX7l4wRkHqqCUFNJY4AfY3kHU/edit?usp=sharing  #gid=0"",""фіз особи new!relations_name""),6,FALSE)
,
(IF
(
C1566=""юридична особа""
,
VLOOKUP"&amp;"(D1566,IMPORTRANGE(""https://docs.google.com/spreadsheets/d/14Bd19lYaqBhU8_DElYkX7l4wRkHqqCUFNJY4AfY3kHU/edit?usp=sharing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5" s="7" t="s">
        <v>10</v>
      </c>
      <c r="H1565" s="7">
        <v>0</v>
      </c>
      <c r="I1565" s="8" t="str">
        <f ca="1">IFERROR(__xludf.DUMMYFUNCTION("IF
(
G1566=""фізична особа""
,
VLOOKUP(H1566,IMPORTRANGE(""https://docs.google.com/spreadsheets/d/14Bd19lYaqBhU8_DElYkX7l4wRkHqqCUFNJY4AfY3kHU/edit?usp=sharing  #gid=0"",""фіз особи new!relations_name""),6,FALSE)
,
(IF
(
G1566=""юридична особа""
,
VLOOKUP"&amp;"(H1566,IMPORTRANGE(""https://docs.google.com/spreadsheets/d/14Bd19lYaqBhU8_DElYkX7l4wRkHqqCUFNJY4AfY3kHU/edit?usp=sharing  #gid=0"",""фіз особи new!relations_name_uo""),7,FALSE)
,
)
))"),"#N/A")</f>
        <v>#N/A</v>
      </c>
      <c r="J1565" s="7" t="s">
        <v>24</v>
      </c>
    </row>
    <row r="1566" spans="1:10" ht="13.2">
      <c r="A1566" s="7">
        <v>1565</v>
      </c>
      <c r="B1566" s="7">
        <v>1</v>
      </c>
      <c r="C1566" s="7" t="s">
        <v>10</v>
      </c>
      <c r="D1566" s="7">
        <v>490</v>
      </c>
      <c r="E1566" s="7" t="s">
        <v>17</v>
      </c>
      <c r="F1566" s="8" t="str">
        <f ca="1">IFERROR(__xludf.DUMMYFUNCTION("IF
(
C1567=""фізична особа""
,
VLOOKUP(D1567,IMPORTRANGE(""https://docs.google.com/spreadsheets/d/14Bd19lYaqBhU8_DElYkX7l4wRkHqqCUFNJY4AfY3kHU/edit?usp=sharing  #gid=0"",""фіз особи new!relations_name""),6,FALSE)
,
(IF
(
C1567=""юридична особа""
,
VLOOKUP"&amp;"(D1567,IMPORTRANGE(""https://docs.google.com/spreadsheets/d/14Bd19lYaqBhU8_DElYkX7l4wRkHqqCUFNJY4AfY3kHU/edit?usp=sharing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6" s="7" t="s">
        <v>10</v>
      </c>
      <c r="H1566" s="7">
        <v>0</v>
      </c>
      <c r="I1566" s="8" t="str">
        <f ca="1">IFERROR(__xludf.DUMMYFUNCTION("IF
(
G1567=""фізична особа""
,
VLOOKUP(H1567,IMPORTRANGE(""https://docs.google.com/spreadsheets/d/14Bd19lYaqBhU8_DElYkX7l4wRkHqqCUFNJY4AfY3kHU/edit?usp=sharing  #gid=0"",""фіз особи new!relations_name""),6,FALSE)
,
(IF
(
G1567=""юридична особа""
,
VLOOKUP"&amp;"(H1567,IMPORTRANGE(""https://docs.google.com/spreadsheets/d/14Bd19lYaqBhU8_DElYkX7l4wRkHqqCUFNJY4AfY3kHU/edit?usp=sharing  #gid=0"",""фіз особи new!relations_name_uo""),7,FALSE)
,
)
))"),"#N/A")</f>
        <v>#N/A</v>
      </c>
      <c r="J1566" s="7" t="s">
        <v>21</v>
      </c>
    </row>
    <row r="1567" spans="1:10" ht="13.2">
      <c r="A1567" s="7">
        <v>1566</v>
      </c>
      <c r="B1567" s="7">
        <v>1</v>
      </c>
      <c r="C1567" s="7" t="s">
        <v>10</v>
      </c>
      <c r="D1567" s="7">
        <v>490</v>
      </c>
      <c r="E1567" s="7" t="s">
        <v>12</v>
      </c>
      <c r="F1567" s="8" t="str">
        <f ca="1">IFERROR(__xludf.DUMMYFUNCTION("IF
(
C1568=""фізична особа""
,
VLOOKUP(D1568,IMPORTRANGE(""https://docs.google.com/spreadsheets/d/14Bd19lYaqBhU8_DElYkX7l4wRkHqqCUFNJY4AfY3kHU/edit?usp=sharing  #gid=0"",""фіз особи new!relations_name""),6,FALSE)
,
(IF
(
C1568=""юридична особа""
,
VLOOKUP"&amp;"(D1568,IMPORTRANGE(""https://docs.google.com/spreadsheets/d/14Bd19lYaqBhU8_DElYkX7l4wRkHqqCUFNJY4AfY3kHU/edit?usp=sharing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7" s="7" t="s">
        <v>10</v>
      </c>
      <c r="H1567" s="7">
        <v>0</v>
      </c>
      <c r="I1567" s="8" t="str">
        <f ca="1">IFERROR(__xludf.DUMMYFUNCTION("IF
(
G1568=""фізична особа""
,
VLOOKUP(H1568,IMPORTRANGE(""https://docs.google.com/spreadsheets/d/14Bd19lYaqBhU8_DElYkX7l4wRkHqqCUFNJY4AfY3kHU/edit?usp=sharing  #gid=0"",""фіз особи new!relations_name""),6,FALSE)
,
(IF
(
G1568=""юридична особа""
,
VLOOKUP"&amp;"(H1568,IMPORTRANGE(""https://docs.google.com/spreadsheets/d/14Bd19lYaqBhU8_DElYkX7l4wRkHqqCUFNJY4AfY3kHU/edit?usp=sharing  #gid=0"",""фіз особи new!relations_name_uo""),7,FALSE)
,
)
))"),"#N/A")</f>
        <v>#N/A</v>
      </c>
      <c r="J1567" s="7" t="s">
        <v>17</v>
      </c>
    </row>
    <row r="1568" spans="1:10" ht="13.2">
      <c r="A1568" s="7">
        <v>1567</v>
      </c>
      <c r="B1568" s="7">
        <v>1</v>
      </c>
      <c r="C1568" s="7" t="s">
        <v>10</v>
      </c>
      <c r="D1568" s="7">
        <v>490</v>
      </c>
      <c r="E1568" s="7" t="s">
        <v>12</v>
      </c>
      <c r="F1568" s="8" t="str">
        <f ca="1">IFERROR(__xludf.DUMMYFUNCTION("IF
(
C1569=""фізична особа""
,
VLOOKUP(D1569,IMPORTRANGE(""https://docs.google.com/spreadsheets/d/14Bd19lYaqBhU8_DElYkX7l4wRkHqqCUFNJY4AfY3kHU/edit?usp=sharing  #gid=0"",""фіз особи new!relations_name""),6,FALSE)
,
(IF
(
C1569=""юридична особа""
,
VLOOKUP"&amp;"(D1569,IMPORTRANGE(""https://docs.google.com/spreadsheets/d/14Bd19lYaqBhU8_DElYkX7l4wRkHqqCUFNJY4AfY3kHU/edit?usp=sharing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8" s="7" t="s">
        <v>10</v>
      </c>
      <c r="H1568" s="7">
        <v>0</v>
      </c>
      <c r="I1568" s="8" t="str">
        <f ca="1">IFERROR(__xludf.DUMMYFUNCTION("IF
(
G1569=""фізична особа""
,
VLOOKUP(H1569,IMPORTRANGE(""https://docs.google.com/spreadsheets/d/14Bd19lYaqBhU8_DElYkX7l4wRkHqqCUFNJY4AfY3kHU/edit?usp=sharing  #gid=0"",""фіз особи new!relations_name""),6,FALSE)
,
(IF
(
G1569=""юридична особа""
,
VLOOKUP"&amp;"(H1569,IMPORTRANGE(""https://docs.google.com/spreadsheets/d/14Bd19lYaqBhU8_DElYkX7l4wRkHqqCUFNJY4AfY3kHU/edit?usp=sharing  #gid=0"",""фіз особи new!relations_name_uo""),7,FALSE)
,
)
))"),"#N/A")</f>
        <v>#N/A</v>
      </c>
      <c r="J1568" s="7" t="s">
        <v>17</v>
      </c>
    </row>
    <row r="1569" spans="1:10" ht="13.2">
      <c r="A1569" s="7">
        <v>1568</v>
      </c>
      <c r="B1569" s="7">
        <v>1</v>
      </c>
      <c r="C1569" s="7" t="s">
        <v>10</v>
      </c>
      <c r="D1569" s="7">
        <v>490</v>
      </c>
      <c r="E1569" s="7" t="s">
        <v>18</v>
      </c>
      <c r="F1569" s="8" t="str">
        <f ca="1">IFERROR(__xludf.DUMMYFUNCTION("IF
(
C1570=""фізична особа""
,
VLOOKUP(D1570,IMPORTRANGE(""https://docs.google.com/spreadsheets/d/14Bd19lYaqBhU8_DElYkX7l4wRkHqqCUFNJY4AfY3kHU/edit?usp=sharing  #gid=0"",""фіз особи new!relations_name""),6,FALSE)
,
(IF
(
C1570=""юридична особа""
,
VLOOKUP"&amp;"(D1570,IMPORTRANGE(""https://docs.google.com/spreadsheets/d/14Bd19lYaqBhU8_DElYkX7l4wRkHqqCUFNJY4AfY3kHU/edit?usp=sharing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69" s="7" t="s">
        <v>10</v>
      </c>
      <c r="H1569" s="7">
        <v>0</v>
      </c>
      <c r="I1569" s="8" t="str">
        <f ca="1">IFERROR(__xludf.DUMMYFUNCTION("IF
(
G1570=""фізична особа""
,
VLOOKUP(H1570,IMPORTRANGE(""https://docs.google.com/spreadsheets/d/14Bd19lYaqBhU8_DElYkX7l4wRkHqqCUFNJY4AfY3kHU/edit?usp=sharing  #gid=0"",""фіз особи new!relations_name""),6,FALSE)
,
(IF
(
G1570=""юридична особа""
,
VLOOKUP"&amp;"(H1570,IMPORTRANGE(""https://docs.google.com/spreadsheets/d/14Bd19lYaqBhU8_DElYkX7l4wRkHqqCUFNJY4AfY3kHU/edit?usp=sharing  #gid=0"",""фіз особи new!relations_name_uo""),7,FALSE)
,
)
))"),"#N/A")</f>
        <v>#N/A</v>
      </c>
      <c r="J1569" s="7" t="s">
        <v>18</v>
      </c>
    </row>
    <row r="1570" spans="1:10" ht="13.2">
      <c r="A1570" s="7">
        <v>1569</v>
      </c>
      <c r="B1570" s="7">
        <v>1</v>
      </c>
      <c r="C1570" s="7" t="s">
        <v>10</v>
      </c>
      <c r="D1570" s="7">
        <v>490</v>
      </c>
      <c r="E1570" s="7" t="s">
        <v>73</v>
      </c>
      <c r="F1570" s="8" t="str">
        <f ca="1">IFERROR(__xludf.DUMMYFUNCTION("IF
(
C1571=""фізична особа""
,
VLOOKUP(D1571,IMPORTRANGE(""https://docs.google.com/spreadsheets/d/14Bd19lYaqBhU8_DElYkX7l4wRkHqqCUFNJY4AfY3kHU/edit?usp=sharing  #gid=0"",""фіз особи new!relations_name""),6,FALSE)
,
(IF
(
C1571=""юридична особа""
,
VLOOKUP"&amp;"(D1571,IMPORTRANGE(""https://docs.google.com/spreadsheets/d/14Bd19lYaqBhU8_DElYkX7l4wRkHqqCUFNJY4AfY3kHU/edit?usp=sharing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70" s="7" t="s">
        <v>10</v>
      </c>
      <c r="H1570" s="7">
        <v>0</v>
      </c>
      <c r="I1570" s="8" t="str">
        <f ca="1">IFERROR(__xludf.DUMMYFUNCTION("IF
(
G1571=""фізична особа""
,
VLOOKUP(H1571,IMPORTRANGE(""https://docs.google.com/spreadsheets/d/14Bd19lYaqBhU8_DElYkX7l4wRkHqqCUFNJY4AfY3kHU/edit?usp=sharing  #gid=0"",""фіз особи new!relations_name""),6,FALSE)
,
(IF
(
G1571=""юридична особа""
,
VLOOKUP"&amp;"(H1571,IMPORTRANGE(""https://docs.google.com/spreadsheets/d/14Bd19lYaqBhU8_DElYkX7l4wRkHqqCUFNJY4AfY3kHU/edit?usp=sharing  #gid=0"",""фіз особи new!relations_name_uo""),7,FALSE)
,
)
))"),"#N/A")</f>
        <v>#N/A</v>
      </c>
      <c r="J1570" s="7" t="s">
        <v>25</v>
      </c>
    </row>
    <row r="1571" spans="1:10" ht="13.2">
      <c r="A1571" s="7">
        <v>1570</v>
      </c>
      <c r="B1571" s="7">
        <v>1</v>
      </c>
      <c r="C1571" s="7" t="s">
        <v>10</v>
      </c>
      <c r="D1571" s="7">
        <v>490</v>
      </c>
      <c r="E1571" s="7" t="s">
        <v>48</v>
      </c>
      <c r="F1571" s="8" t="str">
        <f ca="1">IFERROR(__xludf.DUMMYFUNCTION("IF
(
C1572=""фізична особа""
,
VLOOKUP(D1572,IMPORTRANGE(""https://docs.google.com/spreadsheets/d/14Bd19lYaqBhU8_DElYkX7l4wRkHqqCUFNJY4AfY3kHU/edit?usp=sharing  #gid=0"",""фіз особи new!relations_name""),6,FALSE)
,
(IF
(
C1572=""юридична особа""
,
VLOOKUP"&amp;"(D1572,IMPORTRANGE(""https://docs.google.com/spreadsheets/d/14Bd19lYaqBhU8_DElYkX7l4wRkHqqCUFNJY4AfY3kHU/edit?usp=sharing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G1571" s="7" t="s">
        <v>10</v>
      </c>
      <c r="H1571" s="7">
        <v>2560</v>
      </c>
      <c r="I1571" s="8" t="str">
        <f ca="1">IFERROR(__xludf.DUMMYFUNCTION("IF
(
G1572=""фізична особа""
,
VLOOKUP(H1572,IMPORTRANGE(""https://docs.google.com/spreadsheets/d/14Bd19lYaqBhU8_DElYkX7l4wRkHqqCUFNJY4AfY3kHU/edit?usp=sharing  #gid=0"",""фіз особи new!relations_name""),6,FALSE)
,
(IF
(
G1572=""юридична особа""
,
VLOOKUP"&amp;"(H1572,IMPORTRANGE(""https://docs.google.com/spreadsheets/d/14Bd19lYaqBhU8_DElYkX7l4wRkHqqCUFNJY4AfY3kHU/edit?usp=sharing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J1571" s="7" t="s">
        <v>48</v>
      </c>
    </row>
    <row r="1572" spans="1:10" ht="13.2">
      <c r="A1572" s="7">
        <v>1571</v>
      </c>
      <c r="B1572" s="7">
        <v>1</v>
      </c>
      <c r="C1572" s="7" t="s">
        <v>10</v>
      </c>
      <c r="D1572" s="7">
        <v>491</v>
      </c>
      <c r="E1572" s="7" t="s">
        <v>17</v>
      </c>
      <c r="F1572" s="8" t="str">
        <f ca="1">IFERROR(__xludf.DUMMYFUNCTION("IF
(
C1573=""фізична особа""
,
VLOOKUP(D1573,IMPORTRANGE(""https://docs.google.com/spreadsheets/d/14Bd19lYaqBhU8_DElYkX7l4wRkHqqCUFNJY4AfY3kHU/edit?usp=sharing  #gid=0"",""фіз особи new!relations_name""),6,FALSE)
,
(IF
(
C1573=""юридична особа""
,
VLOOKUP"&amp;"(D1573,IMPORTRANGE(""https://docs.google.com/spreadsheets/d/14Bd19lYaqBhU8_DElYkX7l4wRkHqqCUFNJY4AfY3kHU/edit?usp=sharing  #gid=0"",""фіз особи new!relations_name_uo""),7,FALSE)
,
)
))"),"МАЗЕПІН Микита Дмитрович")</f>
        <v>МАЗЕПІН Микита Дмитрович</v>
      </c>
      <c r="G1572" s="7" t="s">
        <v>10</v>
      </c>
      <c r="H1572" s="7">
        <v>186</v>
      </c>
      <c r="I1572" s="8" t="str">
        <f ca="1">IFERROR(__xludf.DUMMYFUNCTION("IF
(
G1573=""фізична особа""
,
VLOOKUP(H1573,IMPORTRANGE(""https://docs.google.com/spreadsheets/d/14Bd19lYaqBhU8_DElYkX7l4wRkHqqCUFNJY4AfY3kHU/edit?usp=sharing  #gid=0"",""фіз особи new!relations_name""),6,FALSE)
,
(IF
(
G1573=""юридична особа""
,
VLOOKUP"&amp;"(H1573,IMPORTRANGE(""https://docs.google.com/spreadsheets/d/14Bd19lYaqBhU8_DElYkX7l4wRkHqqCUFNJY4AfY3kHU/edit?usp=sharing  #gid=0"",""фіз особи new!relations_name_uo""),7,FALSE)
,
)
))"),"МАЗЕПІН Дмитро Аркадійович")</f>
        <v>МАЗЕПІН Дмитро Аркадійович</v>
      </c>
      <c r="J1572" s="7" t="s">
        <v>12</v>
      </c>
    </row>
    <row r="1573" spans="1:10" ht="13.2">
      <c r="A1573" s="7">
        <v>1572</v>
      </c>
      <c r="B1573" s="7">
        <v>1</v>
      </c>
      <c r="C1573" s="7" t="s">
        <v>10</v>
      </c>
      <c r="D1573" s="7">
        <v>494</v>
      </c>
      <c r="E1573" s="7" t="s">
        <v>12</v>
      </c>
      <c r="F1573" s="8" t="str">
        <f ca="1">IFERROR(__xludf.DUMMYFUNCTION("IF
(
C1574=""фізична особа""
,
VLOOKUP(D1574,IMPORTRANGE(""https://docs.google.com/spreadsheets/d/14Bd19lYaqBhU8_DElYkX7l4wRkHqqCUFNJY4AfY3kHU/edit?usp=sharing  #gid=0"",""фіз особи new!relations_name""),6,FALSE)
,
(IF
(
C1574=""юридична особа""
,
VLOOKUP"&amp;"(D1574,IMPORTRANGE(""https://docs.google.com/spreadsheets/d/14Bd19lYaqBhU8_DElYkX7l4wRkHqqCUFNJY4AfY3kHU/edit?usp=sharing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G1573" s="7" t="s">
        <v>10</v>
      </c>
      <c r="H1573" s="7">
        <v>4796</v>
      </c>
      <c r="I1573" s="8" t="str">
        <f ca="1">IFERROR(__xludf.DUMMYFUNCTION("IF
(
G1574=""фізична особа""
,
VLOOKUP(H1574,IMPORTRANGE(""https://docs.google.com/spreadsheets/d/14Bd19lYaqBhU8_DElYkX7l4wRkHqqCUFNJY4AfY3kHU/edit?usp=sharing  #gid=0"",""фіз особи new!relations_name""),6,FALSE)
,
(IF
(
G1574=""юридична особа""
,
VLOOKUP"&amp;"(H1574,IMPORTRANGE(""https://docs.google.com/spreadsheets/d/14Bd19lYaqBhU8_DElYkX7l4wRkHqqCUFNJY4AfY3kHU/edit?usp=sharing  #gid=0"",""фіз особи new!relations_name_uo""),7,FALSE)
,
)
))"),"ЖУРАВЛЬОВ Василь Миколайович")</f>
        <v>ЖУРАВЛЬОВ Василь Миколайович</v>
      </c>
      <c r="J1573" s="7" t="s">
        <v>17</v>
      </c>
    </row>
    <row r="1574" spans="1:10" ht="13.2">
      <c r="A1574" s="7">
        <v>1573</v>
      </c>
      <c r="B1574" s="7">
        <v>1</v>
      </c>
      <c r="C1574" s="7" t="s">
        <v>10</v>
      </c>
      <c r="D1574" s="7">
        <v>494</v>
      </c>
      <c r="E1574" s="7" t="s">
        <v>12</v>
      </c>
      <c r="F1574" s="8" t="str">
        <f ca="1">IFERROR(__xludf.DUMMYFUNCTION("IF
(
C1575=""фізична особа""
,
VLOOKUP(D1575,IMPORTRANGE(""https://docs.google.com/spreadsheets/d/14Bd19lYaqBhU8_DElYkX7l4wRkHqqCUFNJY4AfY3kHU/edit?usp=sharing  #gid=0"",""фіз особи new!relations_name""),6,FALSE)
,
(IF
(
C1575=""юридична особа""
,
VLOOKUP"&amp;"(D1575,IMPORTRANGE(""https://docs.google.com/spreadsheets/d/14Bd19lYaqBhU8_DElYkX7l4wRkHqqCUFNJY4AfY3kHU/edit?usp=sharing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G1574" s="7" t="s">
        <v>10</v>
      </c>
      <c r="H1574" s="7">
        <v>4962</v>
      </c>
      <c r="I1574" s="8" t="str">
        <f ca="1">IFERROR(__xludf.DUMMYFUNCTION("IF
(
G1575=""фізична особа""
,
VLOOKUP(H1575,IMPORTRANGE(""https://docs.google.com/spreadsheets/d/14Bd19lYaqBhU8_DElYkX7l4wRkHqqCUFNJY4AfY3kHU/edit?usp=sharing  #gid=0"",""фіз особи new!relations_name""),6,FALSE)
,
(IF
(
G1575=""юридична особа""
,
VLOOKUP"&amp;"(H1575,IMPORTRANGE(""https://docs.google.com/spreadsheets/d/14Bd19lYaqBhU8_DElYkX7l4wRkHqqCUFNJY4AfY3kHU/edit?usp=sharing  #gid=0"",""фіз особи new!relations_name_uo""),7,FALSE)
,
)
))"),"ЖУРАВЛЬОВ Іван Миколайович")</f>
        <v>ЖУРАВЛЬОВ Іван Миколайович</v>
      </c>
      <c r="J1574" s="7" t="s">
        <v>17</v>
      </c>
    </row>
    <row r="1575" spans="1:10" ht="13.2">
      <c r="A1575" s="7">
        <v>1574</v>
      </c>
      <c r="B1575" s="7">
        <v>1</v>
      </c>
      <c r="C1575" s="7" t="s">
        <v>10</v>
      </c>
      <c r="D1575" s="7">
        <v>494</v>
      </c>
      <c r="E1575" s="7" t="s">
        <v>12</v>
      </c>
      <c r="F1575" s="8" t="str">
        <f ca="1">IFERROR(__xludf.DUMMYFUNCTION("IF
(
C1576=""фізична особа""
,
VLOOKUP(D1576,IMPORTRANGE(""https://docs.google.com/spreadsheets/d/14Bd19lYaqBhU8_DElYkX7l4wRkHqqCUFNJY4AfY3kHU/edit?usp=sharing  #gid=0"",""фіз особи new!relations_name""),6,FALSE)
,
(IF
(
C1576=""юридична особа""
,
VLOOKUP"&amp;"(D1576,IMPORTRANGE(""https://docs.google.com/spreadsheets/d/14Bd19lYaqBhU8_DElYkX7l4wRkHqqCUFNJY4AfY3kHU/edit?usp=sharing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G1575" s="7" t="s">
        <v>10</v>
      </c>
      <c r="H1575" s="7">
        <v>4963</v>
      </c>
      <c r="I1575" s="8" t="str">
        <f ca="1">IFERROR(__xludf.DUMMYFUNCTION("IF
(
G1576=""фізична особа""
,
VLOOKUP(H1576,IMPORTRANGE(""https://docs.google.com/spreadsheets/d/14Bd19lYaqBhU8_DElYkX7l4wRkHqqCUFNJY4AfY3kHU/edit?usp=sharing  #gid=0"",""фіз особи new!relations_name""),6,FALSE)
,
(IF
(
G1576=""юридична особа""
,
VLOOKUP"&amp;"(H1576,IMPORTRANGE(""https://docs.google.com/spreadsheets/d/14Bd19lYaqBhU8_DElYkX7l4wRkHqqCUFNJY4AfY3kHU/edit?usp=sharing  #gid=0"",""фіз особи new!relations_name_uo""),7,FALSE)
,
)
))"),"ЖУРАВЛЬОВА Валерія Миколаївна")</f>
        <v>ЖУРАВЛЬОВА Валерія Миколаївна</v>
      </c>
      <c r="J1575" s="7" t="s">
        <v>13</v>
      </c>
    </row>
    <row r="1576" spans="1:10" ht="13.2">
      <c r="A1576" s="7">
        <v>1575</v>
      </c>
      <c r="B1576" s="7">
        <v>1</v>
      </c>
      <c r="C1576" s="7" t="s">
        <v>10</v>
      </c>
      <c r="D1576" s="7">
        <v>494</v>
      </c>
      <c r="E1576" s="7" t="s">
        <v>42</v>
      </c>
      <c r="F1576" s="8" t="str">
        <f ca="1">IFERROR(__xludf.DUMMYFUNCTION("IF
(
C1577=""фізична особа""
,
VLOOKUP(D1577,IMPORTRANGE(""https://docs.google.com/spreadsheets/d/14Bd19lYaqBhU8_DElYkX7l4wRkHqqCUFNJY4AfY3kHU/edit?usp=sharing  #gid=0"",""фіз особи new!relations_name""),6,FALSE)
,
(IF
(
C1577=""юридична особа""
,
VLOOKUP"&amp;"(D1577,IMPORTRANGE(""https://docs.google.com/spreadsheets/d/14Bd19lYaqBhU8_DElYkX7l4wRkHqqCUFNJY4AfY3kHU/edit?usp=sharing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G1576" s="7" t="s">
        <v>10</v>
      </c>
      <c r="H1576" s="7">
        <v>0</v>
      </c>
      <c r="I1576" s="8" t="str">
        <f ca="1">IFERROR(__xludf.DUMMYFUNCTION("IF
(
G1577=""фізична особа""
,
VLOOKUP(H1577,IMPORTRANGE(""https://docs.google.com/spreadsheets/d/14Bd19lYaqBhU8_DElYkX7l4wRkHqqCUFNJY4AfY3kHU/edit?usp=sharing  #gid=0"",""фіз особи new!relations_name""),6,FALSE)
,
(IF
(
G1577=""юридична особа""
,
VLOOKUP"&amp;"(H1577,IMPORTRANGE(""https://docs.google.com/spreadsheets/d/14Bd19lYaqBhU8_DElYkX7l4wRkHqqCUFNJY4AfY3kHU/edit?usp=sharing  #gid=0"",""фіз особи new!relations_name_uo""),7,FALSE)
,
)
))"),"#N/A")</f>
        <v>#N/A</v>
      </c>
      <c r="J1576" s="7" t="s">
        <v>43</v>
      </c>
    </row>
    <row r="1577" spans="1:10" ht="13.2">
      <c r="A1577" s="7">
        <v>1576</v>
      </c>
      <c r="B1577" s="7">
        <v>1</v>
      </c>
      <c r="C1577" s="7" t="s">
        <v>10</v>
      </c>
      <c r="D1577" s="7">
        <v>496</v>
      </c>
      <c r="E1577" s="7" t="s">
        <v>12</v>
      </c>
      <c r="F1577" s="8" t="str">
        <f ca="1">IFERROR(__xludf.DUMMYFUNCTION("IF
(
C1578=""фізична особа""
,
VLOOKUP(D1578,IMPORTRANGE(""https://docs.google.com/spreadsheets/d/14Bd19lYaqBhU8_DElYkX7l4wRkHqqCUFNJY4AfY3kHU/edit?usp=sharing  #gid=0"",""фіз особи new!relations_name""),6,FALSE)
,
(IF
(
C1578=""юридична особа""
,
VLOOKUP"&amp;"(D1578,IMPORTRANGE(""https://docs.google.com/spreadsheets/d/14Bd19lYaqBhU8_DElYkX7l4wRkHqqCUFNJY4AfY3kHU/edit?usp=sharing  #gid=0"",""фіз особи new!relations_name_uo""),7,FALSE)
,
)
))"),"КОНДРАТЮК Микола Федорович")</f>
        <v>КОНДРАТЮК Микола Федорович</v>
      </c>
      <c r="G1577" s="7" t="s">
        <v>10</v>
      </c>
      <c r="H1577" s="7">
        <v>0</v>
      </c>
      <c r="I1577" s="8" t="str">
        <f ca="1">IFERROR(__xludf.DUMMYFUNCTION("IF
(
G1578=""фізична особа""
,
VLOOKUP(H1578,IMPORTRANGE(""https://docs.google.com/spreadsheets/d/14Bd19lYaqBhU8_DElYkX7l4wRkHqqCUFNJY4AfY3kHU/edit?usp=sharing  #gid=0"",""фіз особи new!relations_name""),6,FALSE)
,
(IF
(
G1578=""юридична особа""
,
VLOOKUP"&amp;"(H1578,IMPORTRANGE(""https://docs.google.com/spreadsheets/d/14Bd19lYaqBhU8_DElYkX7l4wRkHqqCUFNJY4AfY3kHU/edit?usp=sharing  #gid=0"",""фіз особи new!relations_name_uo""),7,FALSE)
,
)
))"),"#N/A")</f>
        <v>#N/A</v>
      </c>
      <c r="J1577" s="7" t="s">
        <v>17</v>
      </c>
    </row>
    <row r="1578" spans="1:10" ht="13.2">
      <c r="A1578" s="7">
        <v>1577</v>
      </c>
      <c r="B1578" s="7">
        <v>1</v>
      </c>
      <c r="C1578" s="7" t="s">
        <v>10</v>
      </c>
      <c r="D1578" s="7">
        <v>496</v>
      </c>
      <c r="E1578" s="7" t="s">
        <v>12</v>
      </c>
      <c r="F1578" s="8" t="str">
        <f ca="1">IFERROR(__xludf.DUMMYFUNCTION("IF
(
C1579=""фізична особа""
,
VLOOKUP(D1579,IMPORTRANGE(""https://docs.google.com/spreadsheets/d/14Bd19lYaqBhU8_DElYkX7l4wRkHqqCUFNJY4AfY3kHU/edit?usp=sharing  #gid=0"",""фіз особи new!relations_name""),6,FALSE)
,
(IF
(
C1579=""юридична особа""
,
VLOOKUP"&amp;"(D1579,IMPORTRANGE(""https://docs.google.com/spreadsheets/d/14Bd19lYaqBhU8_DElYkX7l4wRkHqqCUFNJY4AfY3kHU/edit?usp=sharing  #gid=0"",""фіз особи new!relations_name_uo""),7,FALSE)
,
)
))"),"КОНДРАТЮК Микола Федорович")</f>
        <v>КОНДРАТЮК Микола Федорович</v>
      </c>
      <c r="G1578" s="7" t="s">
        <v>10</v>
      </c>
      <c r="H1578" s="7">
        <v>0</v>
      </c>
      <c r="I1578" s="8" t="str">
        <f ca="1">IFERROR(__xludf.DUMMYFUNCTION("IF
(
G1579=""фізична особа""
,
VLOOKUP(H1579,IMPORTRANGE(""https://docs.google.com/spreadsheets/d/14Bd19lYaqBhU8_DElYkX7l4wRkHqqCUFNJY4AfY3kHU/edit?usp=sharing  #gid=0"",""фіз особи new!relations_name""),6,FALSE)
,
(IF
(
G1579=""юридична особа""
,
VLOOKUP"&amp;"(H1579,IMPORTRANGE(""https://docs.google.com/spreadsheets/d/14Bd19lYaqBhU8_DElYkX7l4wRkHqqCUFNJY4AfY3kHU/edit?usp=sharing  #gid=0"",""фіз особи new!relations_name_uo""),7,FALSE)
,
)
))"),"#N/A")</f>
        <v>#N/A</v>
      </c>
      <c r="J1578" s="7" t="s">
        <v>17</v>
      </c>
    </row>
    <row r="1579" spans="1:10" ht="13.2">
      <c r="A1579" s="7">
        <v>1578</v>
      </c>
      <c r="B1579" s="7">
        <v>1</v>
      </c>
      <c r="C1579" s="7" t="s">
        <v>10</v>
      </c>
      <c r="D1579" s="7">
        <v>496</v>
      </c>
      <c r="E1579" s="7" t="s">
        <v>40</v>
      </c>
      <c r="F1579" s="8" t="str">
        <f ca="1">IFERROR(__xludf.DUMMYFUNCTION("IF
(
C1580=""фізична особа""
,
VLOOKUP(D1580,IMPORTRANGE(""https://docs.google.com/spreadsheets/d/14Bd19lYaqBhU8_DElYkX7l4wRkHqqCUFNJY4AfY3kHU/edit?usp=sharing  #gid=0"",""фіз особи new!relations_name""),6,FALSE)
,
(IF
(
C1580=""юридична особа""
,
VLOOKUP"&amp;"(D1580,IMPORTRANGE(""https://docs.google.com/spreadsheets/d/14Bd19lYaqBhU8_DElYkX7l4wRkHqqCUFNJY4AfY3kHU/edit?usp=sharing  #gid=0"",""фіз особи new!relations_name_uo""),7,FALSE)
,
)
))"),"КОНДРАТЮК Микола Федорович")</f>
        <v>КОНДРАТЮК Микола Федорович</v>
      </c>
      <c r="G1579" s="7" t="s">
        <v>10</v>
      </c>
      <c r="H1579" s="7">
        <v>208</v>
      </c>
      <c r="I1579" s="8" t="str">
        <f ca="1">IFERROR(__xludf.DUMMYFUNCTION("IF
(
G1580=""фізична особа""
,
VLOOKUP(H1580,IMPORTRANGE(""https://docs.google.com/spreadsheets/d/14Bd19lYaqBhU8_DElYkX7l4wRkHqqCUFNJY4AfY3kHU/edit?usp=sharing  #gid=0"",""фіз особи new!relations_name""),6,FALSE)
,
(IF
(
G1580=""юридична особа""
,
VLOOKUP"&amp;"(H1580,IMPORTRANGE(""https://docs.google.com/spreadsheets/d/14Bd19lYaqBhU8_DElYkX7l4wRkHqqCUFNJY4AfY3kHU/edit?usp=sharing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J1579" s="7" t="s">
        <v>41</v>
      </c>
    </row>
    <row r="1580" spans="1:10" ht="13.2">
      <c r="A1580" s="7">
        <v>1579</v>
      </c>
      <c r="B1580" s="7">
        <v>1</v>
      </c>
      <c r="C1580" s="7" t="s">
        <v>10</v>
      </c>
      <c r="D1580" s="7">
        <v>497</v>
      </c>
      <c r="E1580" s="7" t="s">
        <v>28</v>
      </c>
      <c r="F1580" s="8" t="str">
        <f ca="1">IFERROR(__xludf.DUMMYFUNCTION("IF
(
C1581=""фізична особа""
,
VLOOKUP(D1581,IMPORTRANGE(""https://docs.google.com/spreadsheets/d/14Bd19lYaqBhU8_DElYkX7l4wRkHqqCUFNJY4AfY3kHU/edit?usp=sharing  #gid=0"",""фіз особи new!relations_name""),6,FALSE)
,
(IF
(
C1581=""юридична особа""
,
VLOOKUP"&amp;"(D1581,IMPORTRANGE(""https://docs.google.com/spreadsheets/d/14Bd19lYaqBhU8_DElYkX7l4wRkHqqCUFNJY4AfY3kHU/edit?usp=sharing  #gid=0"",""фіз особи new!relations_name_uo""),7,FALSE)
,
)
))"),"РОГАЩУК Микола Михайлович")</f>
        <v>РОГАЩУК Микола Михайлович</v>
      </c>
      <c r="G1580" s="7" t="s">
        <v>10</v>
      </c>
      <c r="H1580" s="7">
        <v>1017</v>
      </c>
      <c r="I1580" s="8" t="str">
        <f ca="1">IFERROR(__xludf.DUMMYFUNCTION("IF
(
G1581=""фізична особа""
,
VLOOKUP(H1581,IMPORTRANGE(""https://docs.google.com/spreadsheets/d/14Bd19lYaqBhU8_DElYkX7l4wRkHqqCUFNJY4AfY3kHU/edit?usp=sharing  #gid=0"",""фіз особи new!relations_name""),6,FALSE)
,
(IF
(
G1581=""юридична особа""
,
VLOOKUP"&amp;"(H1581,IMPORTRANGE(""https://docs.google.com/spreadsheets/d/14Bd19lYaqBhU8_DElYkX7l4wRkHqqCUFNJY4AfY3kHU/edit?usp=sharing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580" s="7" t="s">
        <v>29</v>
      </c>
    </row>
    <row r="1581" spans="1:10" ht="13.2">
      <c r="A1581" s="7">
        <v>1580</v>
      </c>
      <c r="B1581" s="7">
        <v>1</v>
      </c>
      <c r="C1581" s="7" t="s">
        <v>10</v>
      </c>
      <c r="D1581" s="7">
        <v>503</v>
      </c>
      <c r="E1581" s="7" t="s">
        <v>14</v>
      </c>
      <c r="F1581" s="8" t="str">
        <f ca="1">IFERROR(__xludf.DUMMYFUNCTION("IF
(
C1582=""фізична особа""
,
VLOOKUP(D1582,IMPORTRANGE(""https://docs.google.com/spreadsheets/d/14Bd19lYaqBhU8_DElYkX7l4wRkHqqCUFNJY4AfY3kHU/edit?usp=sharing  #gid=0"",""фіз особи new!relations_name""),6,FALSE)
,
(IF
(
C1582=""юридична особа""
,
VLOOKUP"&amp;"(D1582,IMPORTRANGE(""https://docs.google.com/spreadsheets/d/14Bd19lYaqBhU8_DElYkX7l4wRkHqqCUFNJY4AfY3kHU/edit?usp=sharing  #gid=0"",""фіз особи new!relations_name_uo""),7,FALSE)
,
)
))"),"СЕМИСОТОВ Микола Петрович")</f>
        <v>СЕМИСОТОВ Микола Петрович</v>
      </c>
      <c r="G1581" s="7" t="s">
        <v>10</v>
      </c>
      <c r="H1581" s="7">
        <v>8625</v>
      </c>
      <c r="I1581" s="8" t="str">
        <f ca="1">IFERROR(__xludf.DUMMYFUNCTION("IF
(
G1582=""фізична особа""
,
VLOOKUP(H1582,IMPORTRANGE(""https://docs.google.com/spreadsheets/d/14Bd19lYaqBhU8_DElYkX7l4wRkHqqCUFNJY4AfY3kHU/edit?usp=sharing  #gid=0"",""фіз особи new!relations_name""),6,FALSE)
,
(IF
(
G1582=""юридична особа""
,
VLOOKUP"&amp;"(H1582,IMPORTRANGE(""https://docs.google.com/spreadsheets/d/14Bd19lYaqBhU8_DElYkX7l4wRkHqqCUFNJY4AfY3kHU/edit?usp=sharing  #gid=0"",""фіз особи new!relations_name_uo""),7,FALSE)
,
)
))"),"СЕМИСОТОВА Наталія Олександрівна")</f>
        <v>СЕМИСОТОВА Наталія Олександрівна</v>
      </c>
      <c r="J1581" s="7" t="s">
        <v>15</v>
      </c>
    </row>
    <row r="1582" spans="1:10" ht="13.2">
      <c r="A1582" s="7">
        <v>1581</v>
      </c>
      <c r="B1582" s="7">
        <v>1</v>
      </c>
      <c r="C1582" s="7" t="s">
        <v>10</v>
      </c>
      <c r="D1582" s="7">
        <v>504</v>
      </c>
      <c r="E1582" s="7" t="s">
        <v>12</v>
      </c>
      <c r="F1582" s="8" t="str">
        <f ca="1">IFERROR(__xludf.DUMMYFUNCTION("IF
(
C1583=""фізична особа""
,
VLOOKUP(D1583,IMPORTRANGE(""https://docs.google.com/spreadsheets/d/14Bd19lYaqBhU8_DElYkX7l4wRkHqqCUFNJY4AfY3kHU/edit?usp=sharing  #gid=0"",""фіз особи new!relations_name""),6,FALSE)
,
(IF
(
C1583=""юридична особа""
,
VLOOKUP"&amp;"(D1583,IMPORTRANGE(""https://docs.google.com/spreadsheets/d/14Bd19lYaqBhU8_DElYkX7l4wRkHqqCUFNJY4AfY3kHU/edit?usp=sharing  #gid=0"",""фіз особи new!relations_name_uo""),7,FALSE)
,
)
))"),"ПАТРУШЕВ Микола Платонович")</f>
        <v>ПАТРУШЕВ Микола Платонович</v>
      </c>
      <c r="G1582" s="7" t="s">
        <v>10</v>
      </c>
      <c r="H1582" s="7">
        <v>78</v>
      </c>
      <c r="I1582" s="8" t="str">
        <f ca="1">IFERROR(__xludf.DUMMYFUNCTION("IF
(
G1583=""фізична особа""
,
VLOOKUP(H1583,IMPORTRANGE(""https://docs.google.com/spreadsheets/d/14Bd19lYaqBhU8_DElYkX7l4wRkHqqCUFNJY4AfY3kHU/edit?usp=sharing  #gid=0"",""фіз особи new!relations_name""),6,FALSE)
,
(IF
(
G1583=""юридична особа""
,
VLOOKUP"&amp;"(H1583,IMPORTRANGE(""https://docs.google.com/spreadsheets/d/14Bd19lYaqBhU8_DElYkX7l4wRkHqqCUFNJY4AfY3kHU/edit?usp=sharing  #gid=0"",""фіз особи new!relations_name_uo""),7,FALSE)
,
)
))"),"ПАТРУШЕВ Андрій Миколайович")</f>
        <v>ПАТРУШЕВ Андрій Миколайович</v>
      </c>
      <c r="J1582" s="7" t="s">
        <v>17</v>
      </c>
    </row>
    <row r="1583" spans="1:10" ht="13.2">
      <c r="A1583" s="7">
        <v>1582</v>
      </c>
      <c r="B1583" s="7">
        <v>1</v>
      </c>
      <c r="C1583" s="7" t="s">
        <v>10</v>
      </c>
      <c r="D1583" s="7">
        <v>505</v>
      </c>
      <c r="E1583" s="7" t="s">
        <v>26</v>
      </c>
      <c r="F1583" s="8" t="str">
        <f ca="1">IFERROR(__xludf.DUMMYFUNCTION("IF
(
C1584=""фізична особа""
,
VLOOKUP(D1584,IMPORTRANGE(""https://docs.google.com/spreadsheets/d/14Bd19lYaqBhU8_DElYkX7l4wRkHqqCUFNJY4AfY3kHU/edit?usp=sharing  #gid=0"",""фіз особи new!relations_name""),6,FALSE)
,
(IF
(
C1584=""юридична особа""
,
VLOOKUP"&amp;"(D1584,IMPORTRANGE(""https://docs.google.com/spreadsheets/d/14Bd19lYaqBhU8_DElYkX7l4wRkHqqCUFNJY4AfY3kHU/edit?usp=sharing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G1583" s="7" t="s">
        <v>10</v>
      </c>
      <c r="H1583" s="7">
        <v>0</v>
      </c>
      <c r="I1583" s="8" t="str">
        <f ca="1">IFERROR(__xludf.DUMMYFUNCTION("IF
(
G1584=""фізична особа""
,
VLOOKUP(H1584,IMPORTRANGE(""https://docs.google.com/spreadsheets/d/14Bd19lYaqBhU8_DElYkX7l4wRkHqqCUFNJY4AfY3kHU/edit?usp=sharing  #gid=0"",""фіз особи new!relations_name""),6,FALSE)
,
(IF
(
G1584=""юридична особа""
,
VLOOKUP"&amp;"(H1584,IMPORTRANGE(""https://docs.google.com/spreadsheets/d/14Bd19lYaqBhU8_DElYkX7l4wRkHqqCUFNJY4AfY3kHU/edit?usp=sharing  #gid=0"",""фіз особи new!relations_name_uo""),7,FALSE)
,
)
))"),"#N/A")</f>
        <v>#N/A</v>
      </c>
      <c r="J1583" s="7" t="s">
        <v>24</v>
      </c>
    </row>
    <row r="1584" spans="1:10" ht="13.2">
      <c r="A1584" s="7">
        <v>1583</v>
      </c>
      <c r="B1584" s="7">
        <v>1</v>
      </c>
      <c r="C1584" s="7" t="s">
        <v>10</v>
      </c>
      <c r="D1584" s="7">
        <v>505</v>
      </c>
      <c r="E1584" s="7" t="s">
        <v>12</v>
      </c>
      <c r="F1584" s="8" t="str">
        <f ca="1">IFERROR(__xludf.DUMMYFUNCTION("IF
(
C1585=""фізична особа""
,
VLOOKUP(D1585,IMPORTRANGE(""https://docs.google.com/spreadsheets/d/14Bd19lYaqBhU8_DElYkX7l4wRkHqqCUFNJY4AfY3kHU/edit?usp=sharing  #gid=0"",""фіз особи new!relations_name""),6,FALSE)
,
(IF
(
C1585=""юридична особа""
,
VLOOKUP"&amp;"(D1585,IMPORTRANGE(""https://docs.google.com/spreadsheets/d/14Bd19lYaqBhU8_DElYkX7l4wRkHqqCUFNJY4AfY3kHU/edit?usp=sharing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G1584" s="7" t="s">
        <v>10</v>
      </c>
      <c r="H1584" s="7">
        <v>0</v>
      </c>
      <c r="I1584" s="8" t="str">
        <f ca="1">IFERROR(__xludf.DUMMYFUNCTION("IF
(
G1585=""фізична особа""
,
VLOOKUP(H1585,IMPORTRANGE(""https://docs.google.com/spreadsheets/d/14Bd19lYaqBhU8_DElYkX7l4wRkHqqCUFNJY4AfY3kHU/edit?usp=sharing  #gid=0"",""фіз особи new!relations_name""),6,FALSE)
,
(IF
(
G1585=""юридична особа""
,
VLOOKUP"&amp;"(H1585,IMPORTRANGE(""https://docs.google.com/spreadsheets/d/14Bd19lYaqBhU8_DElYkX7l4wRkHqqCUFNJY4AfY3kHU/edit?usp=sharing  #gid=0"",""фіз особи new!relations_name_uo""),7,FALSE)
,
)
))"),"#N/A")</f>
        <v>#N/A</v>
      </c>
      <c r="J1584" s="7" t="s">
        <v>17</v>
      </c>
    </row>
    <row r="1585" spans="1:10" ht="13.2">
      <c r="A1585" s="7">
        <v>1584</v>
      </c>
      <c r="B1585" s="7">
        <v>1</v>
      </c>
      <c r="C1585" s="7" t="s">
        <v>10</v>
      </c>
      <c r="D1585" s="7">
        <v>505</v>
      </c>
      <c r="E1585" s="7" t="s">
        <v>12</v>
      </c>
      <c r="F1585" s="8" t="str">
        <f ca="1">IFERROR(__xludf.DUMMYFUNCTION("IF
(
C1586=""фізична особа""
,
VLOOKUP(D1586,IMPORTRANGE(""https://docs.google.com/spreadsheets/d/14Bd19lYaqBhU8_DElYkX7l4wRkHqqCUFNJY4AfY3kHU/edit?usp=sharing  #gid=0"",""фіз особи new!relations_name""),6,FALSE)
,
(IF
(
C1586=""юридична особа""
,
VLOOKUP"&amp;"(D1586,IMPORTRANGE(""https://docs.google.com/spreadsheets/d/14Bd19lYaqBhU8_DElYkX7l4wRkHqqCUFNJY4AfY3kHU/edit?usp=sharing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G1585" s="7" t="s">
        <v>10</v>
      </c>
      <c r="H1585" s="7">
        <v>0</v>
      </c>
      <c r="I1585" s="8" t="str">
        <f ca="1">IFERROR(__xludf.DUMMYFUNCTION("IF
(
G1586=""фізична особа""
,
VLOOKUP(H1586,IMPORTRANGE(""https://docs.google.com/spreadsheets/d/14Bd19lYaqBhU8_DElYkX7l4wRkHqqCUFNJY4AfY3kHU/edit?usp=sharing  #gid=0"",""фіз особи new!relations_name""),6,FALSE)
,
(IF
(
G1586=""юридична особа""
,
VLOOKUP"&amp;"(H1586,IMPORTRANGE(""https://docs.google.com/spreadsheets/d/14Bd19lYaqBhU8_DElYkX7l4wRkHqqCUFNJY4AfY3kHU/edit?usp=sharing  #gid=0"",""фіз особи new!relations_name_uo""),7,FALSE)
,
)
))"),"#N/A")</f>
        <v>#N/A</v>
      </c>
      <c r="J1585" s="7" t="s">
        <v>17</v>
      </c>
    </row>
    <row r="1586" spans="1:10" ht="13.2">
      <c r="A1586" s="7">
        <v>1585</v>
      </c>
      <c r="B1586" s="7">
        <v>1</v>
      </c>
      <c r="C1586" s="7" t="s">
        <v>10</v>
      </c>
      <c r="D1586" s="7">
        <v>505</v>
      </c>
      <c r="E1586" s="7" t="s">
        <v>14</v>
      </c>
      <c r="F1586" s="8" t="str">
        <f ca="1">IFERROR(__xludf.DUMMYFUNCTION("IF
(
C1587=""фізична особа""
,
VLOOKUP(D1587,IMPORTRANGE(""https://docs.google.com/spreadsheets/d/14Bd19lYaqBhU8_DElYkX7l4wRkHqqCUFNJY4AfY3kHU/edit?usp=sharing  #gid=0"",""фіз особи new!relations_name""),6,FALSE)
,
(IF
(
C1587=""юридична особа""
,
VLOOKUP"&amp;"(D1587,IMPORTRANGE(""https://docs.google.com/spreadsheets/d/14Bd19lYaqBhU8_DElYkX7l4wRkHqqCUFNJY4AfY3kHU/edit?usp=sharing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G1586" s="7" t="s">
        <v>10</v>
      </c>
      <c r="H1586" s="7">
        <v>8851</v>
      </c>
      <c r="I1586" s="8" t="str">
        <f ca="1">IFERROR(__xludf.DUMMYFUNCTION("IF
(
G1587=""фізична особа""
,
VLOOKUP(H1587,IMPORTRANGE(""https://docs.google.com/spreadsheets/d/14Bd19lYaqBhU8_DElYkX7l4wRkHqqCUFNJY4AfY3kHU/edit?usp=sharing  #gid=0"",""фіз особи new!relations_name""),6,FALSE)
,
(IF
(
G1587=""юридична особа""
,
VLOOKUP"&amp;"(H1587,IMPORTRANGE(""https://docs.google.com/spreadsheets/d/14Bd19lYaqBhU8_DElYkX7l4wRkHqqCUFNJY4AfY3kHU/edit?usp=sharing  #gid=0"",""фіз особи new!relations_name_uo""),7,FALSE)
,
)
))"),"ВАЛУЄВА Галина Борисівна")</f>
        <v>ВАЛУЄВА Галина Борисівна</v>
      </c>
      <c r="J1586" s="7" t="s">
        <v>15</v>
      </c>
    </row>
    <row r="1587" spans="1:10" ht="13.2">
      <c r="A1587" s="7">
        <v>1586</v>
      </c>
      <c r="B1587" s="7">
        <v>1</v>
      </c>
      <c r="C1587" s="7" t="s">
        <v>10</v>
      </c>
      <c r="D1587" s="7">
        <v>505</v>
      </c>
      <c r="E1587" s="7" t="s">
        <v>12</v>
      </c>
      <c r="F1587" s="8" t="str">
        <f ca="1">IFERROR(__xludf.DUMMYFUNCTION("IF
(
C1588=""фізична особа""
,
VLOOKUP(D1588,IMPORTRANGE(""https://docs.google.com/spreadsheets/d/14Bd19lYaqBhU8_DElYkX7l4wRkHqqCUFNJY4AfY3kHU/edit?usp=sharing  #gid=0"",""фіз особи new!relations_name""),6,FALSE)
,
(IF
(
C1588=""юридична особа""
,
VLOOKUP"&amp;"(D1588,IMPORTRANGE(""https://docs.google.com/spreadsheets/d/14Bd19lYaqBhU8_DElYkX7l4wRkHqqCUFNJY4AfY3kHU/edit?usp=sharing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G1587" s="7" t="s">
        <v>10</v>
      </c>
      <c r="H1587" s="7">
        <v>0</v>
      </c>
      <c r="I1587" s="8" t="str">
        <f ca="1">IFERROR(__xludf.DUMMYFUNCTION("IF
(
G1588=""фізична особа""
,
VLOOKUP(H1588,IMPORTRANGE(""https://docs.google.com/spreadsheets/d/14Bd19lYaqBhU8_DElYkX7l4wRkHqqCUFNJY4AfY3kHU/edit?usp=sharing  #gid=0"",""фіз особи new!relations_name""),6,FALSE)
,
(IF
(
G1588=""юридична особа""
,
VLOOKUP"&amp;"(H1588,IMPORTRANGE(""https://docs.google.com/spreadsheets/d/14Bd19lYaqBhU8_DElYkX7l4wRkHqqCUFNJY4AfY3kHU/edit?usp=sharing  #gid=0"",""фіз особи new!relations_name_uo""),7,FALSE)
,
)
))"),"#N/A")</f>
        <v>#N/A</v>
      </c>
      <c r="J1587" s="7" t="s">
        <v>13</v>
      </c>
    </row>
    <row r="1588" spans="1:10" ht="13.2">
      <c r="A1588" s="7">
        <v>1587</v>
      </c>
      <c r="B1588" s="7">
        <v>1</v>
      </c>
      <c r="C1588" s="7" t="s">
        <v>10</v>
      </c>
      <c r="D1588" s="7">
        <v>507</v>
      </c>
      <c r="E1588" s="7" t="s">
        <v>14</v>
      </c>
      <c r="F1588" s="8" t="str">
        <f ca="1">IFERROR(__xludf.DUMMYFUNCTION("IF
(
C1589=""фізична особа""
,
VLOOKUP(D1589,IMPORTRANGE(""https://docs.google.com/spreadsheets/d/14Bd19lYaqBhU8_DElYkX7l4wRkHqqCUFNJY4AfY3kHU/edit?usp=sharing  #gid=0"",""фіз особи new!relations_name""),6,FALSE)
,
(IF
(
C1589=""юридична особа""
,
VLOOKUP"&amp;"(D1589,IMPORTRANGE(""https://docs.google.com/spreadsheets/d/14Bd19lYaqBhU8_DElYkX7l4wRkHqqCUFNJY4AfY3kHU/edit?usp=sharing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G1588" s="7" t="s">
        <v>10</v>
      </c>
      <c r="H1588" s="7">
        <v>8626</v>
      </c>
      <c r="I1588" s="8" t="str">
        <f ca="1">IFERROR(__xludf.DUMMYFUNCTION("IF
(
G1589=""фізична особа""
,
VLOOKUP(H1589,IMPORTRANGE(""https://docs.google.com/spreadsheets/d/14Bd19lYaqBhU8_DElYkX7l4wRkHqqCUFNJY4AfY3kHU/edit?usp=sharing  #gid=0"",""фіз особи new!relations_name""),6,FALSE)
,
(IF
(
G1589=""юридична особа""
,
VLOOKUP"&amp;"(H1589,IMPORTRANGE(""https://docs.google.com/spreadsheets/d/14Bd19lYaqBhU8_DElYkX7l4wRkHqqCUFNJY4AfY3kHU/edit?usp=sharing  #gid=0"",""фіз особи new!relations_name_uo""),7,FALSE)
,
)
))"),"ФЕДОРОВА Світлана Юріївна")</f>
        <v>ФЕДОРОВА Світлана Юріївна</v>
      </c>
      <c r="J1588" s="7" t="s">
        <v>15</v>
      </c>
    </row>
    <row r="1589" spans="1:10" ht="13.2">
      <c r="A1589" s="7">
        <v>1588</v>
      </c>
      <c r="B1589" s="7">
        <v>1</v>
      </c>
      <c r="C1589" s="7" t="s">
        <v>10</v>
      </c>
      <c r="D1589" s="9">
        <v>507</v>
      </c>
      <c r="E1589" s="7" t="s">
        <v>12</v>
      </c>
      <c r="F1589" s="8" t="str">
        <f ca="1">IFERROR(__xludf.DUMMYFUNCTION("IF
(
C1590=""фізична особа""
,
VLOOKUP(D1590,IMPORTRANGE(""https://docs.google.com/spreadsheets/d/14Bd19lYaqBhU8_DElYkX7l4wRkHqqCUFNJY4AfY3kHU/edit?usp=sharing  #gid=0"",""фіз особи new!relations_name""),6,FALSE)
,
(IF
(
C1590=""юридична особа""
,
VLOOKUP"&amp;"(D1590,IMPORTRANGE(""https://docs.google.com/spreadsheets/d/14Bd19lYaqBhU8_DElYkX7l4wRkHqqCUFNJY4AfY3kHU/edit?usp=sharing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G1589" s="7" t="s">
        <v>10</v>
      </c>
      <c r="H1589" s="7">
        <v>23413</v>
      </c>
      <c r="I1589" s="8" t="str">
        <f ca="1">IFERROR(__xludf.DUMMYFUNCTION("IF
(
G1590=""фізична особа""
,
VLOOKUP(H1590,IMPORTRANGE(""https://docs.google.com/spreadsheets/d/14Bd19lYaqBhU8_DElYkX7l4wRkHqqCUFNJY4AfY3kHU/edit?usp=sharing  #gid=0"",""фіз особи new!relations_name""),6,FALSE)
,
(IF
(
G1590=""юридична особа""
,
VLOOKUP"&amp;"(H1590,IMPORTRANGE(""https://docs.google.com/spreadsheets/d/14Bd19lYaqBhU8_DElYkX7l4wRkHqqCUFNJY4AfY3kHU/edit?usp=sharing  #gid=0"",""фіз особи new!relations_name_uo""),7,FALSE)
,
)
))"),"ФЕДОРОВ Василь Миколайович")</f>
        <v>ФЕДОРОВ Василь Миколайович</v>
      </c>
      <c r="J1589" s="7" t="s">
        <v>17</v>
      </c>
    </row>
    <row r="1590" spans="1:10" ht="13.2">
      <c r="A1590" s="7">
        <v>1589</v>
      </c>
      <c r="B1590" s="7">
        <v>1</v>
      </c>
      <c r="C1590" s="7" t="s">
        <v>10</v>
      </c>
      <c r="D1590" s="7">
        <v>507</v>
      </c>
      <c r="E1590" s="7" t="s">
        <v>12</v>
      </c>
      <c r="F1590" s="8" t="str">
        <f ca="1">IFERROR(__xludf.DUMMYFUNCTION("IF
(
C1591=""фізична особа""
,
VLOOKUP(D1591,IMPORTRANGE(""https://docs.google.com/spreadsheets/d/14Bd19lYaqBhU8_DElYkX7l4wRkHqqCUFNJY4AfY3kHU/edit?usp=sharing  #gid=0"",""фіз особи new!relations_name""),6,FALSE)
,
(IF
(
C1591=""юридична особа""
,
VLOOKUP"&amp;"(D1591,IMPORTRANGE(""https://docs.google.com/spreadsheets/d/14Bd19lYaqBhU8_DElYkX7l4wRkHqqCUFNJY4AfY3kHU/edit?usp=sharing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G1590" s="7" t="s">
        <v>10</v>
      </c>
      <c r="H1590" s="7">
        <v>23414</v>
      </c>
      <c r="I1590" s="8" t="str">
        <f ca="1">IFERROR(__xludf.DUMMYFUNCTION("IF
(
G1591=""фізична особа""
,
VLOOKUP(H1591,IMPORTRANGE(""https://docs.google.com/spreadsheets/d/14Bd19lYaqBhU8_DElYkX7l4wRkHqqCUFNJY4AfY3kHU/edit?usp=sharing  #gid=0"",""фіз особи new!relations_name""),6,FALSE)
,
(IF
(
G1591=""юридична особа""
,
VLOOKUP"&amp;"(H1591,IMPORTRANGE(""https://docs.google.com/spreadsheets/d/14Bd19lYaqBhU8_DElYkX7l4wRkHqqCUFNJY4AfY3kHU/edit?usp=sharing  #gid=0"",""фіз особи new!relations_name_uo""),7,FALSE)
,
)
))"),"ФЕДОРОВА Карина Миколаївна")</f>
        <v>ФЕДОРОВА Карина Миколаївна</v>
      </c>
      <c r="J1590" s="7" t="s">
        <v>13</v>
      </c>
    </row>
    <row r="1591" spans="1:10" ht="13.2">
      <c r="A1591" s="7">
        <v>1590</v>
      </c>
      <c r="B1591" s="7">
        <v>1</v>
      </c>
      <c r="C1591" s="7" t="s">
        <v>10</v>
      </c>
      <c r="D1591" s="7">
        <v>507</v>
      </c>
      <c r="E1591" s="7" t="s">
        <v>28</v>
      </c>
      <c r="F1591" s="8" t="str">
        <f ca="1">IFERROR(__xludf.DUMMYFUNCTION("IF
(
C1592=""фізична особа""
,
VLOOKUP(D1592,IMPORTRANGE(""https://docs.google.com/spreadsheets/d/14Bd19lYaqBhU8_DElYkX7l4wRkHqqCUFNJY4AfY3kHU/edit?usp=sharing  #gid=0"",""фіз особи new!relations_name""),6,FALSE)
,
(IF
(
C1592=""юридична особа""
,
VLOOKUP"&amp;"(D1592,IMPORTRANGE(""https://docs.google.com/spreadsheets/d/14Bd19lYaqBhU8_DElYkX7l4wRkHqqCUFNJY4AfY3kHU/edit?usp=sharing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G1591" s="7" t="s">
        <v>10</v>
      </c>
      <c r="H1591" s="7">
        <v>430</v>
      </c>
      <c r="I1591" s="8" t="str">
        <f ca="1">IFERROR(__xludf.DUMMYFUNCTION("IF
(
G1592=""фізична особа""
,
VLOOKUP(H1592,IMPORTRANGE(""https://docs.google.com/spreadsheets/d/14Bd19lYaqBhU8_DElYkX7l4wRkHqqCUFNJY4AfY3kHU/edit?usp=sharing  #gid=0"",""фіз особи new!relations_name""),6,FALSE)
,
(IF
(
G1592=""юридична особа""
,
VLOOKUP"&amp;"(H1592,IMPORTRANGE(""https://docs.google.com/spreadsheets/d/14Bd19lYaqBhU8_DElYkX7l4wRkHqqCUFNJY4AfY3kHU/edit?usp=sharing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1591" s="7" t="s">
        <v>29</v>
      </c>
    </row>
    <row r="1592" spans="1:10" ht="13.2">
      <c r="A1592" s="7">
        <v>1591</v>
      </c>
      <c r="B1592" s="7">
        <v>1</v>
      </c>
      <c r="C1592" s="7" t="s">
        <v>10</v>
      </c>
      <c r="D1592" s="7">
        <v>507</v>
      </c>
      <c r="E1592" s="7" t="s">
        <v>40</v>
      </c>
      <c r="F1592" s="8" t="str">
        <f ca="1">IFERROR(__xludf.DUMMYFUNCTION("IF
(
C1593=""фізична особа""
,
VLOOKUP(D1593,IMPORTRANGE(""https://docs.google.com/spreadsheets/d/14Bd19lYaqBhU8_DElYkX7l4wRkHqqCUFNJY4AfY3kHU/edit?usp=sharing  #gid=0"",""фіз особи new!relations_name""),6,FALSE)
,
(IF
(
C1593=""юридична особа""
,
VLOOKUP"&amp;"(D1593,IMPORTRANGE(""https://docs.google.com/spreadsheets/d/14Bd19lYaqBhU8_DElYkX7l4wRkHqqCUFNJY4AfY3kHU/edit?usp=sharing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G1592" s="7" t="s">
        <v>10</v>
      </c>
      <c r="H1592" s="7">
        <v>185</v>
      </c>
      <c r="I1592" s="8" t="str">
        <f ca="1">IFERROR(__xludf.DUMMYFUNCTION("IF
(
G1593=""фізична особа""
,
VLOOKUP(H1593,IMPORTRANGE(""https://docs.google.com/spreadsheets/d/14Bd19lYaqBhU8_DElYkX7l4wRkHqqCUFNJY4AfY3kHU/edit?usp=sharing  #gid=0"",""фіз особи new!relations_name""),6,FALSE)
,
(IF
(
G1593=""юридична особа""
,
VLOOKUP"&amp;"(H1593,IMPORTRANGE(""https://docs.google.com/spreadsheets/d/14Bd19lYaqBhU8_DElYkX7l4wRkHqqCUFNJY4AfY3kHU/edit?usp=sharing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592" s="7" t="s">
        <v>41</v>
      </c>
    </row>
    <row r="1593" spans="1:10" ht="13.2">
      <c r="A1593" s="7">
        <v>1592</v>
      </c>
      <c r="B1593" s="7">
        <v>1</v>
      </c>
      <c r="C1593" s="7" t="s">
        <v>10</v>
      </c>
      <c r="D1593" s="7">
        <v>508</v>
      </c>
      <c r="E1593" s="7" t="s">
        <v>14</v>
      </c>
      <c r="F1593" s="8" t="str">
        <f ca="1">IFERROR(__xludf.DUMMYFUNCTION("IF
(
C1594=""фізична особа""
,
VLOOKUP(D1594,IMPORTRANGE(""https://docs.google.com/spreadsheets/d/14Bd19lYaqBhU8_DElYkX7l4wRkHqqCUFNJY4AfY3kHU/edit?usp=sharing  #gid=0"",""фіз особи new!relations_name""),6,FALSE)
,
(IF
(
C1594=""юридична особа""
,
VLOOKUP"&amp;"(D1594,IMPORTRANGE(""https://docs.google.com/spreadsheets/d/14Bd19lYaqBhU8_DElYkX7l4wRkHqqCUFNJY4AfY3kHU/edit?usp=sharing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G1593" s="7" t="s">
        <v>10</v>
      </c>
      <c r="H1593" s="7">
        <v>0</v>
      </c>
      <c r="I1593" s="8" t="str">
        <f ca="1">IFERROR(__xludf.DUMMYFUNCTION("IF
(
G1594=""фізична особа""
,
VLOOKUP(H1594,IMPORTRANGE(""https://docs.google.com/spreadsheets/d/14Bd19lYaqBhU8_DElYkX7l4wRkHqqCUFNJY4AfY3kHU/edit?usp=sharing  #gid=0"",""фіз особи new!relations_name""),6,FALSE)
,
(IF
(
G1594=""юридична особа""
,
VLOOKUP"&amp;"(H1594,IMPORTRANGE(""https://docs.google.com/spreadsheets/d/14Bd19lYaqBhU8_DElYkX7l4wRkHqqCUFNJY4AfY3kHU/edit?usp=sharing  #gid=0"",""фіз особи new!relations_name_uo""),7,FALSE)
,
)
))"),"#N/A")</f>
        <v>#N/A</v>
      </c>
      <c r="J1593" s="7" t="s">
        <v>15</v>
      </c>
    </row>
    <row r="1594" spans="1:10" ht="13.2">
      <c r="A1594" s="7">
        <v>1593</v>
      </c>
      <c r="B1594" s="7">
        <v>1</v>
      </c>
      <c r="C1594" s="7" t="s">
        <v>10</v>
      </c>
      <c r="D1594" s="7">
        <v>508</v>
      </c>
      <c r="E1594" s="7" t="s">
        <v>12</v>
      </c>
      <c r="F1594" s="8" t="str">
        <f ca="1">IFERROR(__xludf.DUMMYFUNCTION("IF
(
C1595=""фізична особа""
,
VLOOKUP(D1595,IMPORTRANGE(""https://docs.google.com/spreadsheets/d/14Bd19lYaqBhU8_DElYkX7l4wRkHqqCUFNJY4AfY3kHU/edit?usp=sharing  #gid=0"",""фіз особи new!relations_name""),6,FALSE)
,
(IF
(
C1595=""юридична особа""
,
VLOOKUP"&amp;"(D1595,IMPORTRANGE(""https://docs.google.com/spreadsheets/d/14Bd19lYaqBhU8_DElYkX7l4wRkHqqCUFNJY4AfY3kHU/edit?usp=sharing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G1594" s="7" t="s">
        <v>10</v>
      </c>
      <c r="H1594" s="7">
        <v>0</v>
      </c>
      <c r="I1594" s="8" t="str">
        <f ca="1">IFERROR(__xludf.DUMMYFUNCTION("IF
(
G1595=""фізична особа""
,
VLOOKUP(H1595,IMPORTRANGE(""https://docs.google.com/spreadsheets/d/14Bd19lYaqBhU8_DElYkX7l4wRkHqqCUFNJY4AfY3kHU/edit?usp=sharing  #gid=0"",""фіз особи new!relations_name""),6,FALSE)
,
(IF
(
G1595=""юридична особа""
,
VLOOKUP"&amp;"(H1595,IMPORTRANGE(""https://docs.google.com/spreadsheets/d/14Bd19lYaqBhU8_DElYkX7l4wRkHqqCUFNJY4AfY3kHU/edit?usp=sharing  #gid=0"",""фіз особи new!relations_name_uo""),7,FALSE)
,
)
))"),"#N/A")</f>
        <v>#N/A</v>
      </c>
      <c r="J1594" s="7" t="s">
        <v>17</v>
      </c>
    </row>
    <row r="1595" spans="1:10" ht="13.2">
      <c r="A1595" s="7">
        <v>1594</v>
      </c>
      <c r="B1595" s="7">
        <v>1</v>
      </c>
      <c r="C1595" s="7" t="s">
        <v>10</v>
      </c>
      <c r="D1595" s="7">
        <v>508</v>
      </c>
      <c r="E1595" s="7" t="s">
        <v>12</v>
      </c>
      <c r="F1595" s="8" t="str">
        <f ca="1">IFERROR(__xludf.DUMMYFUNCTION("IF
(
C1596=""фізична особа""
,
VLOOKUP(D1596,IMPORTRANGE(""https://docs.google.com/spreadsheets/d/14Bd19lYaqBhU8_DElYkX7l4wRkHqqCUFNJY4AfY3kHU/edit?usp=sharing  #gid=0"",""фіз особи new!relations_name""),6,FALSE)
,
(IF
(
C1596=""юридична особа""
,
VLOOKUP"&amp;"(D1596,IMPORTRANGE(""https://docs.google.com/spreadsheets/d/14Bd19lYaqBhU8_DElYkX7l4wRkHqqCUFNJY4AfY3kHU/edit?usp=sharing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G1595" s="7" t="s">
        <v>10</v>
      </c>
      <c r="H1595" s="7">
        <v>0</v>
      </c>
      <c r="I1595" s="8" t="str">
        <f ca="1">IFERROR(__xludf.DUMMYFUNCTION("IF
(
G1596=""фізична особа""
,
VLOOKUP(H1596,IMPORTRANGE(""https://docs.google.com/spreadsheets/d/14Bd19lYaqBhU8_DElYkX7l4wRkHqqCUFNJY4AfY3kHU/edit?usp=sharing  #gid=0"",""фіз особи new!relations_name""),6,FALSE)
,
(IF
(
G1596=""юридична особа""
,
VLOOKUP"&amp;"(H1596,IMPORTRANGE(""https://docs.google.com/spreadsheets/d/14Bd19lYaqBhU8_DElYkX7l4wRkHqqCUFNJY4AfY3kHU/edit?usp=sharing  #gid=0"",""фіз особи new!relations_name_uo""),7,FALSE)
,
)
))"),"#N/A")</f>
        <v>#N/A</v>
      </c>
      <c r="J1595" s="7" t="s">
        <v>17</v>
      </c>
    </row>
    <row r="1596" spans="1:10" ht="13.2">
      <c r="A1596" s="7">
        <v>1595</v>
      </c>
      <c r="B1596" s="7">
        <v>1</v>
      </c>
      <c r="C1596" s="7" t="s">
        <v>10</v>
      </c>
      <c r="D1596" s="7">
        <v>508</v>
      </c>
      <c r="E1596" s="7" t="s">
        <v>28</v>
      </c>
      <c r="F1596" s="8" t="str">
        <f ca="1">IFERROR(__xludf.DUMMYFUNCTION("IF
(
C1597=""фізична особа""
,
VLOOKUP(D1597,IMPORTRANGE(""https://docs.google.com/spreadsheets/d/14Bd19lYaqBhU8_DElYkX7l4wRkHqqCUFNJY4AfY3kHU/edit?usp=sharing  #gid=0"",""фіз особи new!relations_name""),6,FALSE)
,
(IF
(
C1597=""юридична особа""
,
VLOOKUP"&amp;"(D1597,IMPORTRANGE(""https://docs.google.com/spreadsheets/d/14Bd19lYaqBhU8_DElYkX7l4wRkHqqCUFNJY4AfY3kHU/edit?usp=sharing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G1596" s="7" t="s">
        <v>10</v>
      </c>
      <c r="H1596" s="7">
        <v>670</v>
      </c>
      <c r="I1596" s="8" t="str">
        <f ca="1">IFERROR(__xludf.DUMMYFUNCTION("IF
(
G1597=""фізична особа""
,
VLOOKUP(H1597,IMPORTRANGE(""https://docs.google.com/spreadsheets/d/14Bd19lYaqBhU8_DElYkX7l4wRkHqqCUFNJY4AfY3kHU/edit?usp=sharing  #gid=0"",""фіз особи new!relations_name""),6,FALSE)
,
(IF
(
G1597=""юридична особа""
,
VLOOKUP"&amp;"(H1597,IMPORTRANGE(""https://docs.google.com/spreadsheets/d/14Bd19lYaqBhU8_DElYkX7l4wRkHqqCUFNJY4AfY3kHU/edit?usp=sharing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596" s="7" t="s">
        <v>29</v>
      </c>
    </row>
    <row r="1597" spans="1:10" ht="13.2">
      <c r="A1597" s="7">
        <v>1596</v>
      </c>
      <c r="B1597" s="7">
        <v>1</v>
      </c>
      <c r="C1597" s="7" t="s">
        <v>10</v>
      </c>
      <c r="D1597" s="7">
        <v>508</v>
      </c>
      <c r="E1597" s="7" t="s">
        <v>28</v>
      </c>
      <c r="F1597" s="8" t="str">
        <f ca="1">IFERROR(__xludf.DUMMYFUNCTION("IF
(
C1598=""фізична особа""
,
VLOOKUP(D1598,IMPORTRANGE(""https://docs.google.com/spreadsheets/d/14Bd19lYaqBhU8_DElYkX7l4wRkHqqCUFNJY4AfY3kHU/edit?usp=sharing  #gid=0"",""фіз особи new!relations_name""),6,FALSE)
,
(IF
(
C1598=""юридична особа""
,
VLOOKUP"&amp;"(D1598,IMPORTRANGE(""https://docs.google.com/spreadsheets/d/14Bd19lYaqBhU8_DElYkX7l4wRkHqqCUFNJY4AfY3kHU/edit?usp=sharing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G1597" s="7" t="s">
        <v>10</v>
      </c>
      <c r="H1597" s="7">
        <v>880</v>
      </c>
      <c r="I1597" s="8" t="str">
        <f ca="1">IFERROR(__xludf.DUMMYFUNCTION("IF
(
G1598=""фізична особа""
,
VLOOKUP(H1598,IMPORTRANGE(""https://docs.google.com/spreadsheets/d/14Bd19lYaqBhU8_DElYkX7l4wRkHqqCUFNJY4AfY3kHU/edit?usp=sharing  #gid=0"",""фіз особи new!relations_name""),6,FALSE)
,
(IF
(
G1598=""юридична особа""
,
VLOOKUP"&amp;"(H1598,IMPORTRANGE(""https://docs.google.com/spreadsheets/d/14Bd19lYaqBhU8_DElYkX7l4wRkHqqCUFNJY4AfY3kHU/edit?usp=sharing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597" s="7" t="s">
        <v>29</v>
      </c>
    </row>
    <row r="1598" spans="1:10" ht="13.2">
      <c r="A1598" s="7">
        <v>1597</v>
      </c>
      <c r="B1598" s="7">
        <v>1</v>
      </c>
      <c r="C1598" s="7" t="s">
        <v>10</v>
      </c>
      <c r="D1598" s="7">
        <v>510</v>
      </c>
      <c r="E1598" s="7" t="s">
        <v>17</v>
      </c>
      <c r="F1598" s="8" t="str">
        <f ca="1">IFERROR(__xludf.DUMMYFUNCTION("IF
(
C1599=""фізична особа""
,
VLOOKUP(D1599,IMPORTRANGE(""https://docs.google.com/spreadsheets/d/14Bd19lYaqBhU8_DElYkX7l4wRkHqqCUFNJY4AfY3kHU/edit?usp=sharing  #gid=0"",""фіз особи new!relations_name""),6,FALSE)
,
(IF
(
C1599=""юридична особа""
,
VLOOKUP"&amp;"(D1599,IMPORTRANGE(""https://docs.google.com/spreadsheets/d/14Bd19lYaqBhU8_DElYkX7l4wRkHqqCUFNJY4AfY3kHU/edit?usp=sharing  #gid=0"",""фіз особи new!relations_name_uo""),7,FALSE)
,
)
))"),"ГОНЧАРОВ Микола Олександрович")</f>
        <v>ГОНЧАРОВ Микола Олександрович</v>
      </c>
      <c r="G1598" s="7" t="s">
        <v>10</v>
      </c>
      <c r="H1598" s="7">
        <v>15643</v>
      </c>
      <c r="I1598" s="8" t="str">
        <f ca="1">IFERROR(__xludf.DUMMYFUNCTION("IF
(
G1599=""фізична особа""
,
VLOOKUP(H1599,IMPORTRANGE(""https://docs.google.com/spreadsheets/d/14Bd19lYaqBhU8_DElYkX7l4wRkHqqCUFNJY4AfY3kHU/edit?usp=sharing  #gid=0"",""фіз особи new!relations_name""),6,FALSE)
,
(IF
(
G1599=""юридична особа""
,
VLOOKUP"&amp;"(H1599,IMPORTRANGE(""https://docs.google.com/spreadsheets/d/14Bd19lYaqBhU8_DElYkX7l4wRkHqqCUFNJY4AfY3kHU/edit?usp=sharing  #gid=0"",""фіз особи new!relations_name_uo""),7,FALSE)
,
)
))"),"ГОНЧАРОВ Олександр Євгенійович")</f>
        <v>ГОНЧАРОВ Олександр Євгенійович</v>
      </c>
      <c r="J1598" s="7" t="s">
        <v>12</v>
      </c>
    </row>
    <row r="1599" spans="1:10" ht="13.2">
      <c r="A1599" s="7">
        <v>1598</v>
      </c>
      <c r="B1599" s="7">
        <v>1</v>
      </c>
      <c r="C1599" s="7" t="s">
        <v>10</v>
      </c>
      <c r="D1599" s="7">
        <v>510</v>
      </c>
      <c r="E1599" s="7" t="s">
        <v>11</v>
      </c>
      <c r="F1599" s="8" t="str">
        <f ca="1">IFERROR(__xludf.DUMMYFUNCTION("IF
(
C1600=""фізична особа""
,
VLOOKUP(D1600,IMPORTRANGE(""https://docs.google.com/spreadsheets/d/14Bd19lYaqBhU8_DElYkX7l4wRkHqqCUFNJY4AfY3kHU/edit?usp=sharing  #gid=0"",""фіз особи new!relations_name""),6,FALSE)
,
(IF
(
C1600=""юридична особа""
,
VLOOKUP"&amp;"(D1600,IMPORTRANGE(""https://docs.google.com/spreadsheets/d/14Bd19lYaqBhU8_DElYkX7l4wRkHqqCUFNJY4AfY3kHU/edit?usp=sharing  #gid=0"",""фіз особи new!relations_name_uo""),7,FALSE)
,
)
))"),"ГОНЧАРОВ Микола Олександрович")</f>
        <v>ГОНЧАРОВ Микола Олександрович</v>
      </c>
      <c r="G1599" s="7" t="s">
        <v>10</v>
      </c>
      <c r="H1599" s="7">
        <v>0</v>
      </c>
      <c r="I1599" s="8" t="str">
        <f ca="1">IFERROR(__xludf.DUMMYFUNCTION("IF
(
G1600=""фізична особа""
,
VLOOKUP(H1600,IMPORTRANGE(""https://docs.google.com/spreadsheets/d/14Bd19lYaqBhU8_DElYkX7l4wRkHqqCUFNJY4AfY3kHU/edit?usp=sharing  #gid=0"",""фіз особи new!relations_name""),6,FALSE)
,
(IF
(
G1600=""юридична особа""
,
VLOOKUP"&amp;"(H1600,IMPORTRANGE(""https://docs.google.com/spreadsheets/d/14Bd19lYaqBhU8_DElYkX7l4wRkHqqCUFNJY4AfY3kHU/edit?usp=sharing  #gid=0"",""фіз особи new!relations_name_uo""),7,FALSE)
,
)
))"),"#N/A")</f>
        <v>#N/A</v>
      </c>
      <c r="J1599" s="7" t="s">
        <v>11</v>
      </c>
    </row>
    <row r="1600" spans="1:10" ht="13.2">
      <c r="A1600" s="7">
        <v>1599</v>
      </c>
      <c r="B1600" s="7">
        <v>1</v>
      </c>
      <c r="C1600" s="7" t="s">
        <v>10</v>
      </c>
      <c r="D1600" s="7">
        <v>511</v>
      </c>
      <c r="E1600" s="7" t="s">
        <v>12</v>
      </c>
      <c r="F1600" s="8" t="str">
        <f ca="1">IFERROR(__xludf.DUMMYFUNCTION("IF
(
C1601=""фізична особа""
,
VLOOKUP(D1601,IMPORTRANGE(""https://docs.google.com/spreadsheets/d/14Bd19lYaqBhU8_DElYkX7l4wRkHqqCUFNJY4AfY3kHU/edit?usp=sharing  #gid=0"",""фіз особи new!relations_name""),6,FALSE)
,
(IF
(
C1601=""юридична особа""
,
VLOOKUP"&amp;"(D1601,IMPORTRANGE(""https://docs.google.com/spreadsheets/d/14Bd19lYaqBhU8_DElYkX7l4wRkHqqCUFNJY4AfY3kHU/edit?usp=sharing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G1600" s="7" t="s">
        <v>10</v>
      </c>
      <c r="H1600" s="7">
        <v>15642</v>
      </c>
      <c r="I1600" s="8" t="str">
        <f ca="1">IFERROR(__xludf.DUMMYFUNCTION("IF
(
G1601=""фізична особа""
,
VLOOKUP(H1601,IMPORTRANGE(""https://docs.google.com/spreadsheets/d/14Bd19lYaqBhU8_DElYkX7l4wRkHqqCUFNJY4AfY3kHU/edit?usp=sharing  #gid=0"",""фіз особи new!relations_name""),6,FALSE)
,
(IF
(
G1601=""юридична особа""
,
VLOOKUP"&amp;"(H1601,IMPORTRANGE(""https://docs.google.com/spreadsheets/d/14Bd19lYaqBhU8_DElYkX7l4wRkHqqCUFNJY4AfY3kHU/edit?usp=sharing  #gid=0"",""фіз особи new!relations_name_uo""),7,FALSE)
,
)
))"),"КІР'ЯНОВА Валентина Миколаївна")</f>
        <v>КІР'ЯНОВА Валентина Миколаївна</v>
      </c>
      <c r="J1600" s="7" t="s">
        <v>13</v>
      </c>
    </row>
    <row r="1601" spans="1:10" ht="13.2">
      <c r="A1601" s="7">
        <v>1600</v>
      </c>
      <c r="B1601" s="7">
        <v>1</v>
      </c>
      <c r="C1601" s="7" t="s">
        <v>10</v>
      </c>
      <c r="D1601" s="7">
        <v>511</v>
      </c>
      <c r="E1601" s="7" t="s">
        <v>24</v>
      </c>
      <c r="F1601" s="8" t="str">
        <f ca="1">IFERROR(__xludf.DUMMYFUNCTION("IF
(
C1602=""фізична особа""
,
VLOOKUP(D1602,IMPORTRANGE(""https://docs.google.com/spreadsheets/d/14Bd19lYaqBhU8_DElYkX7l4wRkHqqCUFNJY4AfY3kHU/edit?usp=sharing  #gid=0"",""фіз особи new!relations_name""),6,FALSE)
,
(IF
(
C1602=""юридична особа""
,
VLOOKUP"&amp;"(D1602,IMPORTRANGE(""https://docs.google.com/spreadsheets/d/14Bd19lYaqBhU8_DElYkX7l4wRkHqqCUFNJY4AfY3kHU/edit?usp=sharing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G1601" s="7" t="s">
        <v>10</v>
      </c>
      <c r="H1601" s="7">
        <v>0</v>
      </c>
      <c r="I1601" s="8" t="str">
        <f ca="1">IFERROR(__xludf.DUMMYFUNCTION("IF
(
G1602=""фізична особа""
,
VLOOKUP(H1602,IMPORTRANGE(""https://docs.google.com/spreadsheets/d/14Bd19lYaqBhU8_DElYkX7l4wRkHqqCUFNJY4AfY3kHU/edit?usp=sharing  #gid=0"",""фіз особи new!relations_name""),6,FALSE)
,
(IF
(
G1602=""юридична особа""
,
VLOOKUP"&amp;"(H1602,IMPORTRANGE(""https://docs.google.com/spreadsheets/d/14Bd19lYaqBhU8_DElYkX7l4wRkHqqCUFNJY4AfY3kHU/edit?usp=sharing  #gid=0"",""фіз особи new!relations_name_uo""),7,FALSE)
,
)
))"),"#N/A")</f>
        <v>#N/A</v>
      </c>
      <c r="J1601" s="7" t="s">
        <v>26</v>
      </c>
    </row>
    <row r="1602" spans="1:10" ht="13.2">
      <c r="A1602" s="7">
        <v>1601</v>
      </c>
      <c r="B1602" s="7">
        <v>1</v>
      </c>
      <c r="C1602" s="7" t="s">
        <v>10</v>
      </c>
      <c r="D1602" s="7">
        <v>511</v>
      </c>
      <c r="E1602" s="7" t="s">
        <v>11</v>
      </c>
      <c r="F1602" s="8" t="str">
        <f ca="1">IFERROR(__xludf.DUMMYFUNCTION("IF
(
C1603=""фізична особа""
,
VLOOKUP(D1603,IMPORTRANGE(""https://docs.google.com/spreadsheets/d/14Bd19lYaqBhU8_DElYkX7l4wRkHqqCUFNJY4AfY3kHU/edit?usp=sharing  #gid=0"",""фіз особи new!relations_name""),6,FALSE)
,
(IF
(
C1603=""юридична особа""
,
VLOOKUP"&amp;"(D1603,IMPORTRANGE(""https://docs.google.com/spreadsheets/d/14Bd19lYaqBhU8_DElYkX7l4wRkHqqCUFNJY4AfY3kHU/edit?usp=sharing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G1602" s="7" t="s">
        <v>10</v>
      </c>
      <c r="H1602" s="7">
        <v>0</v>
      </c>
      <c r="I1602" s="8" t="str">
        <f ca="1">IFERROR(__xludf.DUMMYFUNCTION("IF
(
G1603=""фізична особа""
,
VLOOKUP(H1603,IMPORTRANGE(""https://docs.google.com/spreadsheets/d/14Bd19lYaqBhU8_DElYkX7l4wRkHqqCUFNJY4AfY3kHU/edit?usp=sharing  #gid=0"",""фіз особи new!relations_name""),6,FALSE)
,
(IF
(
G1603=""юридична особа""
,
VLOOKUP"&amp;"(H1603,IMPORTRANGE(""https://docs.google.com/spreadsheets/d/14Bd19lYaqBhU8_DElYkX7l4wRkHqqCUFNJY4AfY3kHU/edit?usp=sharing  #gid=0"",""фіз особи new!relations_name_uo""),7,FALSE)
,
)
))"),"#N/A")</f>
        <v>#N/A</v>
      </c>
      <c r="J1602" s="7" t="s">
        <v>11</v>
      </c>
    </row>
    <row r="1603" spans="1:10" ht="13.2">
      <c r="A1603" s="7">
        <v>1602</v>
      </c>
      <c r="B1603" s="7">
        <v>1</v>
      </c>
      <c r="C1603" s="7" t="s">
        <v>10</v>
      </c>
      <c r="D1603" s="7">
        <v>511</v>
      </c>
      <c r="E1603" s="7" t="s">
        <v>11</v>
      </c>
      <c r="F1603" s="8" t="str">
        <f ca="1">IFERROR(__xludf.DUMMYFUNCTION("IF
(
C1604=""фізична особа""
,
VLOOKUP(D1604,IMPORTRANGE(""https://docs.google.com/spreadsheets/d/14Bd19lYaqBhU8_DElYkX7l4wRkHqqCUFNJY4AfY3kHU/edit?usp=sharing  #gid=0"",""фіз особи new!relations_name""),6,FALSE)
,
(IF
(
C1604=""юридична особа""
,
VLOOKUP"&amp;"(D1604,IMPORTRANGE(""https://docs.google.com/spreadsheets/d/14Bd19lYaqBhU8_DElYkX7l4wRkHqqCUFNJY4AfY3kHU/edit?usp=sharing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G1603" s="7" t="s">
        <v>10</v>
      </c>
      <c r="H1603" s="7">
        <v>0</v>
      </c>
      <c r="I1603" s="8" t="str">
        <f ca="1">IFERROR(__xludf.DUMMYFUNCTION("IF
(
G1604=""фізична особа""
,
VLOOKUP(H1604,IMPORTRANGE(""https://docs.google.com/spreadsheets/d/14Bd19lYaqBhU8_DElYkX7l4wRkHqqCUFNJY4AfY3kHU/edit?usp=sharing  #gid=0"",""фіз особи new!relations_name""),6,FALSE)
,
(IF
(
G1604=""юридична особа""
,
VLOOKUP"&amp;"(H1604,IMPORTRANGE(""https://docs.google.com/spreadsheets/d/14Bd19lYaqBhU8_DElYkX7l4wRkHqqCUFNJY4AfY3kHU/edit?usp=sharing  #gid=0"",""фіз особи new!relations_name_uo""),7,FALSE)
,
)
))"),"#N/A")</f>
        <v>#N/A</v>
      </c>
      <c r="J1603" s="7" t="s">
        <v>11</v>
      </c>
    </row>
    <row r="1604" spans="1:10" ht="13.2">
      <c r="A1604" s="7">
        <v>1603</v>
      </c>
      <c r="B1604" s="7">
        <v>1</v>
      </c>
      <c r="C1604" s="7" t="s">
        <v>10</v>
      </c>
      <c r="D1604" s="7">
        <v>511</v>
      </c>
      <c r="E1604" s="7" t="s">
        <v>11</v>
      </c>
      <c r="F1604" s="8" t="str">
        <f ca="1">IFERROR(__xludf.DUMMYFUNCTION("IF
(
C1605=""фізична особа""
,
VLOOKUP(D1605,IMPORTRANGE(""https://docs.google.com/spreadsheets/d/14Bd19lYaqBhU8_DElYkX7l4wRkHqqCUFNJY4AfY3kHU/edit?usp=sharing  #gid=0"",""фіз особи new!relations_name""),6,FALSE)
,
(IF
(
C1605=""юридична особа""
,
VLOOKUP"&amp;"(D1605,IMPORTRANGE(""https://docs.google.com/spreadsheets/d/14Bd19lYaqBhU8_DElYkX7l4wRkHqqCUFNJY4AfY3kHU/edit?usp=sharing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G1604" s="7" t="s">
        <v>10</v>
      </c>
      <c r="H1604" s="7">
        <v>0</v>
      </c>
      <c r="I1604" s="8" t="str">
        <f ca="1">IFERROR(__xludf.DUMMYFUNCTION("IF
(
G1605=""фізична особа""
,
VLOOKUP(H1605,IMPORTRANGE(""https://docs.google.com/spreadsheets/d/14Bd19lYaqBhU8_DElYkX7l4wRkHqqCUFNJY4AfY3kHU/edit?usp=sharing  #gid=0"",""фіз особи new!relations_name""),6,FALSE)
,
(IF
(
G1605=""юридична особа""
,
VLOOKUP"&amp;"(H1605,IMPORTRANGE(""https://docs.google.com/spreadsheets/d/14Bd19lYaqBhU8_DElYkX7l4wRkHqqCUFNJY4AfY3kHU/edit?usp=sharing  #gid=0"",""фіз особи new!relations_name_uo""),7,FALSE)
,
)
))"),"#N/A")</f>
        <v>#N/A</v>
      </c>
      <c r="J1604" s="7" t="s">
        <v>11</v>
      </c>
    </row>
    <row r="1605" spans="1:10" ht="13.2">
      <c r="A1605" s="7">
        <v>1604</v>
      </c>
      <c r="B1605" s="7">
        <v>1</v>
      </c>
      <c r="C1605" s="7" t="s">
        <v>10</v>
      </c>
      <c r="D1605" s="7">
        <v>512</v>
      </c>
      <c r="E1605" s="7" t="s">
        <v>12</v>
      </c>
      <c r="F1605" s="8" t="str">
        <f ca="1">IFERROR(__xludf.DUMMYFUNCTION("IF
(
C1606=""фізична особа""
,
VLOOKUP(D1606,IMPORTRANGE(""https://docs.google.com/spreadsheets/d/14Bd19lYaqBhU8_DElYkX7l4wRkHqqCUFNJY4AfY3kHU/edit?usp=sharing  #gid=0"",""фіз особи new!relations_name""),6,FALSE)
,
(IF
(
C1606=""юридична особа""
,
VLOOKUP"&amp;"(D1606,IMPORTRANGE(""https://docs.google.com/spreadsheets/d/14Bd19lYaqBhU8_DElYkX7l4wRkHqqCUFNJY4AfY3kHU/edit?usp=sharing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05" s="7" t="s">
        <v>10</v>
      </c>
      <c r="H1605" s="7">
        <v>0</v>
      </c>
      <c r="I1605" s="8" t="str">
        <f ca="1">IFERROR(__xludf.DUMMYFUNCTION("IF
(
G1606=""фізична особа""
,
VLOOKUP(H1606,IMPORTRANGE(""https://docs.google.com/spreadsheets/d/14Bd19lYaqBhU8_DElYkX7l4wRkHqqCUFNJY4AfY3kHU/edit?usp=sharing  #gid=0"",""фіз особи new!relations_name""),6,FALSE)
,
(IF
(
G1606=""юридична особа""
,
VLOOKUP"&amp;"(H1606,IMPORTRANGE(""https://docs.google.com/spreadsheets/d/14Bd19lYaqBhU8_DElYkX7l4wRkHqqCUFNJY4AfY3kHU/edit?usp=sharing  #gid=0"",""фіз особи new!relations_name_uo""),7,FALSE)
,
)
))"),"#N/A")</f>
        <v>#N/A</v>
      </c>
      <c r="J1605" s="7" t="s">
        <v>13</v>
      </c>
    </row>
    <row r="1606" spans="1:10" ht="13.2">
      <c r="A1606" s="7">
        <v>1605</v>
      </c>
      <c r="B1606" s="7">
        <v>1</v>
      </c>
      <c r="C1606" s="7" t="s">
        <v>10</v>
      </c>
      <c r="D1606" s="7">
        <v>512</v>
      </c>
      <c r="E1606" s="7" t="s">
        <v>12</v>
      </c>
      <c r="F1606" s="8" t="str">
        <f ca="1">IFERROR(__xludf.DUMMYFUNCTION("IF
(
C1607=""фізична особа""
,
VLOOKUP(D1607,IMPORTRANGE(""https://docs.google.com/spreadsheets/d/14Bd19lYaqBhU8_DElYkX7l4wRkHqqCUFNJY4AfY3kHU/edit?usp=sharing  #gid=0"",""фіз особи new!relations_name""),6,FALSE)
,
(IF
(
C1607=""юридична особа""
,
VLOOKUP"&amp;"(D1607,IMPORTRANGE(""https://docs.google.com/spreadsheets/d/14Bd19lYaqBhU8_DElYkX7l4wRkHqqCUFNJY4AfY3kHU/edit?usp=sharing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06" s="7" t="s">
        <v>10</v>
      </c>
      <c r="H1606" s="7">
        <v>0</v>
      </c>
      <c r="I1606" s="8" t="str">
        <f ca="1">IFERROR(__xludf.DUMMYFUNCTION("IF
(
G1607=""фізична особа""
,
VLOOKUP(H1607,IMPORTRANGE(""https://docs.google.com/spreadsheets/d/14Bd19lYaqBhU8_DElYkX7l4wRkHqqCUFNJY4AfY3kHU/edit?usp=sharing  #gid=0"",""фіз особи new!relations_name""),6,FALSE)
,
(IF
(
G1607=""юридична особа""
,
VLOOKUP"&amp;"(H1607,IMPORTRANGE(""https://docs.google.com/spreadsheets/d/14Bd19lYaqBhU8_DElYkX7l4wRkHqqCUFNJY4AfY3kHU/edit?usp=sharing  #gid=0"",""фіз особи new!relations_name_uo""),7,FALSE)
,
)
))"),"#N/A")</f>
        <v>#N/A</v>
      </c>
      <c r="J1606" s="7" t="s">
        <v>17</v>
      </c>
    </row>
    <row r="1607" spans="1:10" ht="13.2">
      <c r="A1607" s="7">
        <v>1606</v>
      </c>
      <c r="B1607" s="7">
        <v>1</v>
      </c>
      <c r="C1607" s="7" t="s">
        <v>10</v>
      </c>
      <c r="D1607" s="7">
        <v>512</v>
      </c>
      <c r="E1607" s="7" t="s">
        <v>12</v>
      </c>
      <c r="F1607" s="8" t="str">
        <f ca="1">IFERROR(__xludf.DUMMYFUNCTION("IF
(
C1608=""фізична особа""
,
VLOOKUP(D1608,IMPORTRANGE(""https://docs.google.com/spreadsheets/d/14Bd19lYaqBhU8_DElYkX7l4wRkHqqCUFNJY4AfY3kHU/edit?usp=sharing  #gid=0"",""фіз особи new!relations_name""),6,FALSE)
,
(IF
(
C1608=""юридична особа""
,
VLOOKUP"&amp;"(D1608,IMPORTRANGE(""https://docs.google.com/spreadsheets/d/14Bd19lYaqBhU8_DElYkX7l4wRkHqqCUFNJY4AfY3kHU/edit?usp=sharing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07" s="7" t="s">
        <v>10</v>
      </c>
      <c r="H1607" s="7">
        <v>0</v>
      </c>
      <c r="I1607" s="8" t="str">
        <f ca="1">IFERROR(__xludf.DUMMYFUNCTION("IF
(
G1608=""фізична особа""
,
VLOOKUP(H1608,IMPORTRANGE(""https://docs.google.com/spreadsheets/d/14Bd19lYaqBhU8_DElYkX7l4wRkHqqCUFNJY4AfY3kHU/edit?usp=sharing  #gid=0"",""фіз особи new!relations_name""),6,FALSE)
,
(IF
(
G1608=""юридична особа""
,
VLOOKUP"&amp;"(H1608,IMPORTRANGE(""https://docs.google.com/spreadsheets/d/14Bd19lYaqBhU8_DElYkX7l4wRkHqqCUFNJY4AfY3kHU/edit?usp=sharing  #gid=0"",""фіз особи new!relations_name_uo""),7,FALSE)
,
)
))"),"#N/A")</f>
        <v>#N/A</v>
      </c>
      <c r="J1607" s="7" t="s">
        <v>17</v>
      </c>
    </row>
    <row r="1608" spans="1:10" ht="13.2">
      <c r="A1608" s="7">
        <v>1607</v>
      </c>
      <c r="B1608" s="7">
        <v>1</v>
      </c>
      <c r="C1608" s="7" t="s">
        <v>10</v>
      </c>
      <c r="D1608" s="7">
        <v>512</v>
      </c>
      <c r="E1608" s="7" t="s">
        <v>42</v>
      </c>
      <c r="F1608" s="8" t="str">
        <f ca="1">IFERROR(__xludf.DUMMYFUNCTION("IF
(
C1609=""фізична особа""
,
VLOOKUP(D1609,IMPORTRANGE(""https://docs.google.com/spreadsheets/d/14Bd19lYaqBhU8_DElYkX7l4wRkHqqCUFNJY4AfY3kHU/edit?usp=sharing  #gid=0"",""фіз особи new!relations_name""),6,FALSE)
,
(IF
(
C1609=""юридична особа""
,
VLOOKUP"&amp;"(D1609,IMPORTRANGE(""https://docs.google.com/spreadsheets/d/14Bd19lYaqBhU8_DElYkX7l4wRkHqqCUFNJY4AfY3kHU/edit?usp=sharing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08" s="7" t="s">
        <v>10</v>
      </c>
      <c r="H1608" s="7">
        <v>0</v>
      </c>
      <c r="I1608" s="8" t="str">
        <f ca="1">IFERROR(__xludf.DUMMYFUNCTION("IF
(
G1609=""фізична особа""
,
VLOOKUP(H1609,IMPORTRANGE(""https://docs.google.com/spreadsheets/d/14Bd19lYaqBhU8_DElYkX7l4wRkHqqCUFNJY4AfY3kHU/edit?usp=sharing  #gid=0"",""фіз особи new!relations_name""),6,FALSE)
,
(IF
(
G1609=""юридична особа""
,
VLOOKUP"&amp;"(H1609,IMPORTRANGE(""https://docs.google.com/spreadsheets/d/14Bd19lYaqBhU8_DElYkX7l4wRkHqqCUFNJY4AfY3kHU/edit?usp=sharing  #gid=0"",""фіз особи new!relations_name_uo""),7,FALSE)
,
)
))"),"#N/A")</f>
        <v>#N/A</v>
      </c>
      <c r="J1608" s="7" t="s">
        <v>43</v>
      </c>
    </row>
    <row r="1609" spans="1:10" ht="13.2">
      <c r="A1609" s="7">
        <v>1608</v>
      </c>
      <c r="B1609" s="7">
        <v>1</v>
      </c>
      <c r="C1609" s="7" t="s">
        <v>10</v>
      </c>
      <c r="D1609" s="7">
        <v>512</v>
      </c>
      <c r="E1609" s="7" t="s">
        <v>48</v>
      </c>
      <c r="F1609" s="8" t="str">
        <f ca="1">IFERROR(__xludf.DUMMYFUNCTION("IF
(
C1610=""фізична особа""
,
VLOOKUP(D1610,IMPORTRANGE(""https://docs.google.com/spreadsheets/d/14Bd19lYaqBhU8_DElYkX7l4wRkHqqCUFNJY4AfY3kHU/edit?usp=sharing  #gid=0"",""фіз особи new!relations_name""),6,FALSE)
,
(IF
(
C1610=""юридична особа""
,
VLOOKUP"&amp;"(D1610,IMPORTRANGE(""https://docs.google.com/spreadsheets/d/14Bd19lYaqBhU8_DElYkX7l4wRkHqqCUFNJY4AfY3kHU/edit?usp=sharing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09" s="7" t="s">
        <v>10</v>
      </c>
      <c r="H1609" s="7">
        <v>13050</v>
      </c>
      <c r="I1609" s="8" t="str">
        <f ca="1">IFERROR(__xludf.DUMMYFUNCTION("IF
(
G1610=""фізична особа""
,
VLOOKUP(H1610,IMPORTRANGE(""https://docs.google.com/spreadsheets/d/14Bd19lYaqBhU8_DElYkX7l4wRkHqqCUFNJY4AfY3kHU/edit?usp=sharing  #gid=0"",""фіз особи new!relations_name""),6,FALSE)
,
(IF
(
G1610=""юридична особа""
,
VLOOKUP"&amp;"(H1610,IMPORTRANGE(""https://docs.google.com/spreadsheets/d/14Bd19lYaqBhU8_DElYkX7l4wRkHqqCUFNJY4AfY3kHU/edit?usp=sharing  #gid=0"",""фіз особи new!relations_name_uo""),7,FALSE)
,
)
))"),"ГОЛУШКО Андрій Іванович")</f>
        <v>ГОЛУШКО Андрій Іванович</v>
      </c>
      <c r="J1609" s="7" t="s">
        <v>48</v>
      </c>
    </row>
    <row r="1610" spans="1:10" ht="13.2">
      <c r="A1610" s="7">
        <v>1609</v>
      </c>
      <c r="B1610" s="7">
        <v>1</v>
      </c>
      <c r="C1610" s="7" t="s">
        <v>10</v>
      </c>
      <c r="D1610" s="7">
        <v>512</v>
      </c>
      <c r="E1610" s="7" t="s">
        <v>11</v>
      </c>
      <c r="F1610" s="8" t="str">
        <f ca="1">IFERROR(__xludf.DUMMYFUNCTION("IF
(
C1611=""фізична особа""
,
VLOOKUP(D1611,IMPORTRANGE(""https://docs.google.com/spreadsheets/d/14Bd19lYaqBhU8_DElYkX7l4wRkHqqCUFNJY4AfY3kHU/edit?usp=sharing  #gid=0"",""фіз особи new!relations_name""),6,FALSE)
,
(IF
(
C1611=""юридична особа""
,
VLOOKUP"&amp;"(D1611,IMPORTRANGE(""https://docs.google.com/spreadsheets/d/14Bd19lYaqBhU8_DElYkX7l4wRkHqqCUFNJY4AfY3kHU/edit?usp=sharing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10" s="7" t="s">
        <v>10</v>
      </c>
      <c r="H1610" s="7">
        <v>0</v>
      </c>
      <c r="I1610" s="8" t="str">
        <f ca="1">IFERROR(__xludf.DUMMYFUNCTION("IF
(
G1611=""фізична особа""
,
VLOOKUP(H1611,IMPORTRANGE(""https://docs.google.com/spreadsheets/d/14Bd19lYaqBhU8_DElYkX7l4wRkHqqCUFNJY4AfY3kHU/edit?usp=sharing  #gid=0"",""фіз особи new!relations_name""),6,FALSE)
,
(IF
(
G1611=""юридична особа""
,
VLOOKUP"&amp;"(H1611,IMPORTRANGE(""https://docs.google.com/spreadsheets/d/14Bd19lYaqBhU8_DElYkX7l4wRkHqqCUFNJY4AfY3kHU/edit?usp=sharing  #gid=0"",""фіз особи new!relations_name_uo""),7,FALSE)
,
)
))"),"#N/A")</f>
        <v>#N/A</v>
      </c>
      <c r="J1610" s="7" t="s">
        <v>11</v>
      </c>
    </row>
    <row r="1611" spans="1:10" ht="13.2">
      <c r="A1611" s="7">
        <v>1610</v>
      </c>
      <c r="B1611" s="7">
        <v>1</v>
      </c>
      <c r="C1611" s="7" t="s">
        <v>10</v>
      </c>
      <c r="D1611" s="7">
        <v>512</v>
      </c>
      <c r="E1611" s="7" t="s">
        <v>11</v>
      </c>
      <c r="F1611" s="8" t="str">
        <f ca="1">IFERROR(__xludf.DUMMYFUNCTION("IF
(
C1612=""фізична особа""
,
VLOOKUP(D1612,IMPORTRANGE(""https://docs.google.com/spreadsheets/d/14Bd19lYaqBhU8_DElYkX7l4wRkHqqCUFNJY4AfY3kHU/edit?usp=sharing  #gid=0"",""фіз особи new!relations_name""),6,FALSE)
,
(IF
(
C1612=""юридична особа""
,
VLOOKUP"&amp;"(D1612,IMPORTRANGE(""https://docs.google.com/spreadsheets/d/14Bd19lYaqBhU8_DElYkX7l4wRkHqqCUFNJY4AfY3kHU/edit?usp=sharing  #gid=0"",""фіз особи new!relations_name_uo""),7,FALSE)
,
)
))"),"ЯРОШУК Олександр Георгійович")</f>
        <v>ЯРОШУК Олександр Георгійович</v>
      </c>
      <c r="G1611" s="7" t="s">
        <v>10</v>
      </c>
      <c r="H1611" s="7">
        <v>0</v>
      </c>
      <c r="I1611" s="8" t="str">
        <f ca="1">IFERROR(__xludf.DUMMYFUNCTION("IF
(
G1612=""фізична особа""
,
VLOOKUP(H1612,IMPORTRANGE(""https://docs.google.com/spreadsheets/d/14Bd19lYaqBhU8_DElYkX7l4wRkHqqCUFNJY4AfY3kHU/edit?usp=sharing  #gid=0"",""фіз особи new!relations_name""),6,FALSE)
,
(IF
(
G1612=""юридична особа""
,
VLOOKUP"&amp;"(H1612,IMPORTRANGE(""https://docs.google.com/spreadsheets/d/14Bd19lYaqBhU8_DElYkX7l4wRkHqqCUFNJY4AfY3kHU/edit?usp=sharing  #gid=0"",""фіз особи new!relations_name_uo""),7,FALSE)
,
)
))"),"#N/A")</f>
        <v>#N/A</v>
      </c>
      <c r="J1611" s="7" t="s">
        <v>11</v>
      </c>
    </row>
    <row r="1612" spans="1:10" ht="13.2">
      <c r="A1612" s="7">
        <v>1611</v>
      </c>
      <c r="B1612" s="7">
        <v>1</v>
      </c>
      <c r="C1612" s="7" t="s">
        <v>10</v>
      </c>
      <c r="D1612" s="7">
        <v>513</v>
      </c>
      <c r="E1612" s="7" t="s">
        <v>12</v>
      </c>
      <c r="F1612" s="8" t="str">
        <f ca="1">IFERROR(__xludf.DUMMYFUNCTION("IF
(
C1613=""фізична особа""
,
VLOOKUP(D1613,IMPORTRANGE(""https://docs.google.com/spreadsheets/d/14Bd19lYaqBhU8_DElYkX7l4wRkHqqCUFNJY4AfY3kHU/edit?usp=sharing  #gid=0"",""фіз особи new!relations_name""),6,FALSE)
,
(IF
(
C1613=""юридична особа""
,
VLOOKUP"&amp;"(D1613,IMPORTRANGE(""https://docs.google.com/spreadsheets/d/14Bd19lYaqBhU8_DElYkX7l4wRkHqqCUFNJY4AfY3kHU/edit?usp=sharing  #gid=0"",""фіз особи new!relations_name_uo""),7,FALSE)
,
)
))"),"ПАНКОВ Микола Олександрович")</f>
        <v>ПАНКОВ Микола Олександрович</v>
      </c>
      <c r="G1612" s="7" t="s">
        <v>10</v>
      </c>
      <c r="H1612" s="7">
        <v>0</v>
      </c>
      <c r="I1612" s="8" t="str">
        <f ca="1">IFERROR(__xludf.DUMMYFUNCTION("IF
(
G1613=""фізична особа""
,
VLOOKUP(H1613,IMPORTRANGE(""https://docs.google.com/spreadsheets/d/14Bd19lYaqBhU8_DElYkX7l4wRkHqqCUFNJY4AfY3kHU/edit?usp=sharing  #gid=0"",""фіз особи new!relations_name""),6,FALSE)
,
(IF
(
G1613=""юридична особа""
,
VLOOKUP"&amp;"(H1613,IMPORTRANGE(""https://docs.google.com/spreadsheets/d/14Bd19lYaqBhU8_DElYkX7l4wRkHqqCUFNJY4AfY3kHU/edit?usp=sharing  #gid=0"",""фіз особи new!relations_name_uo""),7,FALSE)
,
)
))"),"#N/A")</f>
        <v>#N/A</v>
      </c>
      <c r="J1612" s="7" t="s">
        <v>17</v>
      </c>
    </row>
    <row r="1613" spans="1:10" ht="13.2">
      <c r="A1613" s="7">
        <v>1612</v>
      </c>
      <c r="B1613" s="7">
        <v>1</v>
      </c>
      <c r="C1613" s="7" t="s">
        <v>10</v>
      </c>
      <c r="D1613" s="7">
        <v>513</v>
      </c>
      <c r="E1613" s="7" t="s">
        <v>14</v>
      </c>
      <c r="F1613" s="8" t="str">
        <f ca="1">IFERROR(__xludf.DUMMYFUNCTION("IF
(
C1614=""фізична особа""
,
VLOOKUP(D1614,IMPORTRANGE(""https://docs.google.com/spreadsheets/d/14Bd19lYaqBhU8_DElYkX7l4wRkHqqCUFNJY4AfY3kHU/edit?usp=sharing  #gid=0"",""фіз особи new!relations_name""),6,FALSE)
,
(IF
(
C1614=""юридична особа""
,
VLOOKUP"&amp;"(D1614,IMPORTRANGE(""https://docs.google.com/spreadsheets/d/14Bd19lYaqBhU8_DElYkX7l4wRkHqqCUFNJY4AfY3kHU/edit?usp=sharing  #gid=0"",""фіз особи new!relations_name_uo""),7,FALSE)
,
)
))"),"ПАНКОВ Микола Олександрович")</f>
        <v>ПАНКОВ Микола Олександрович</v>
      </c>
      <c r="G1613" s="7" t="s">
        <v>10</v>
      </c>
      <c r="H1613" s="7">
        <v>0</v>
      </c>
      <c r="I1613" s="8" t="str">
        <f ca="1">IFERROR(__xludf.DUMMYFUNCTION("IF
(
G1614=""фізична особа""
,
VLOOKUP(H1614,IMPORTRANGE(""https://docs.google.com/spreadsheets/d/14Bd19lYaqBhU8_DElYkX7l4wRkHqqCUFNJY4AfY3kHU/edit?usp=sharing  #gid=0"",""фіз особи new!relations_name""),6,FALSE)
,
(IF
(
G1614=""юридична особа""
,
VLOOKUP"&amp;"(H1614,IMPORTRANGE(""https://docs.google.com/spreadsheets/d/14Bd19lYaqBhU8_DElYkX7l4wRkHqqCUFNJY4AfY3kHU/edit?usp=sharing  #gid=0"",""фіз особи new!relations_name_uo""),7,FALSE)
,
)
))"),"#N/A")</f>
        <v>#N/A</v>
      </c>
      <c r="J1613" s="7" t="s">
        <v>15</v>
      </c>
    </row>
    <row r="1614" spans="1:10" ht="13.2">
      <c r="A1614" s="7">
        <v>1613</v>
      </c>
      <c r="B1614" s="7">
        <v>1</v>
      </c>
      <c r="C1614" s="7" t="s">
        <v>10</v>
      </c>
      <c r="D1614" s="7">
        <v>513</v>
      </c>
      <c r="E1614" s="7" t="s">
        <v>28</v>
      </c>
      <c r="F1614" s="8" t="str">
        <f ca="1">IFERROR(__xludf.DUMMYFUNCTION("IF
(
C1615=""фізична особа""
,
VLOOKUP(D1615,IMPORTRANGE(""https://docs.google.com/spreadsheets/d/14Bd19lYaqBhU8_DElYkX7l4wRkHqqCUFNJY4AfY3kHU/edit?usp=sharing  #gid=0"",""фіз особи new!relations_name""),6,FALSE)
,
(IF
(
C1615=""юридична особа""
,
VLOOKUP"&amp;"(D1615,IMPORTRANGE(""https://docs.google.com/spreadsheets/d/14Bd19lYaqBhU8_DElYkX7l4wRkHqqCUFNJY4AfY3kHU/edit?usp=sharing  #gid=0"",""фіз особи new!relations_name_uo""),7,FALSE)
,
)
))"),"ПАНКОВ Микола Олександрович")</f>
        <v>ПАНКОВ Микола Олександрович</v>
      </c>
      <c r="G1614" s="7" t="s">
        <v>10</v>
      </c>
      <c r="H1614" s="7">
        <v>670</v>
      </c>
      <c r="I1614" s="8" t="str">
        <f ca="1">IFERROR(__xludf.DUMMYFUNCTION("IF
(
G1615=""фізична особа""
,
VLOOKUP(H1615,IMPORTRANGE(""https://docs.google.com/spreadsheets/d/14Bd19lYaqBhU8_DElYkX7l4wRkHqqCUFNJY4AfY3kHU/edit?usp=sharing  #gid=0"",""фіз особи new!relations_name""),6,FALSE)
,
(IF
(
G1615=""юридична особа""
,
VLOOKUP"&amp;"(H1615,IMPORTRANGE(""https://docs.google.com/spreadsheets/d/14Bd19lYaqBhU8_DElYkX7l4wRkHqqCUFNJY4AfY3kHU/edit?usp=sharing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614" s="7" t="s">
        <v>29</v>
      </c>
    </row>
    <row r="1615" spans="1:10" ht="13.2">
      <c r="A1615" s="7">
        <v>1614</v>
      </c>
      <c r="B1615" s="7">
        <v>1</v>
      </c>
      <c r="C1615" s="7" t="s">
        <v>10</v>
      </c>
      <c r="D1615" s="7">
        <v>513</v>
      </c>
      <c r="E1615" s="7" t="s">
        <v>40</v>
      </c>
      <c r="F1615" s="8" t="str">
        <f ca="1">IFERROR(__xludf.DUMMYFUNCTION("IF
(
C1616=""фізична особа""
,
VLOOKUP(D1616,IMPORTRANGE(""https://docs.google.com/spreadsheets/d/14Bd19lYaqBhU8_DElYkX7l4wRkHqqCUFNJY4AfY3kHU/edit?usp=sharing  #gid=0"",""фіз особи new!relations_name""),6,FALSE)
,
(IF
(
C1616=""юридична особа""
,
VLOOKUP"&amp;"(D1616,IMPORTRANGE(""https://docs.google.com/spreadsheets/d/14Bd19lYaqBhU8_DElYkX7l4wRkHqqCUFNJY4AfY3kHU/edit?usp=sharing  #gid=0"",""фіз особи new!relations_name_uo""),7,FALSE)
,
)
))"),"ПАНКОВ Микола Олександрович")</f>
        <v>ПАНКОВ Микола Олександрович</v>
      </c>
      <c r="G1615" s="7" t="s">
        <v>10</v>
      </c>
      <c r="H1615" s="7">
        <v>2158</v>
      </c>
      <c r="I1615" s="8" t="str">
        <f ca="1">IFERROR(__xludf.DUMMYFUNCTION("IF
(
G1616=""фізична особа""
,
VLOOKUP(H1616,IMPORTRANGE(""https://docs.google.com/spreadsheets/d/14Bd19lYaqBhU8_DElYkX7l4wRkHqqCUFNJY4AfY3kHU/edit?usp=sharing  #gid=0"",""фіз особи new!relations_name""),6,FALSE)
,
(IF
(
G1616=""юридична особа""
,
VLOOKUP"&amp;"(H1616,IMPORTRANGE(""https://docs.google.com/spreadsheets/d/14Bd19lYaqBhU8_DElYkX7l4wRkHqqCUFNJY4AfY3kHU/edit?usp=sharing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1615" s="7" t="s">
        <v>41</v>
      </c>
    </row>
    <row r="1616" spans="1:10" ht="13.2">
      <c r="A1616" s="7">
        <v>1615</v>
      </c>
      <c r="B1616" s="7">
        <v>1</v>
      </c>
      <c r="C1616" s="7" t="s">
        <v>10</v>
      </c>
      <c r="D1616" s="7">
        <v>515</v>
      </c>
      <c r="E1616" s="7" t="s">
        <v>59</v>
      </c>
      <c r="F1616" s="8" t="str">
        <f ca="1">IFERROR(__xludf.DUMMYFUNCTION("IF
(
C1617=""фізична особа""
,
VLOOKUP(D1617,IMPORTRANGE(""https://docs.google.com/spreadsheets/d/14Bd19lYaqBhU8_DElYkX7l4wRkHqqCUFNJY4AfY3kHU/edit?usp=sharing  #gid=0"",""фіз особи new!relations_name""),6,FALSE)
,
(IF
(
C1617=""юридична особа""
,
VLOOKUP"&amp;"(D1617,IMPORTRANGE(""https://docs.google.com/spreadsheets/d/14Bd19lYaqBhU8_DElYkX7l4wRkHqqCUFNJY4AfY3kHU/edit?usp=sharing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16" s="7" t="s">
        <v>10</v>
      </c>
      <c r="H1616" s="7">
        <v>5156</v>
      </c>
      <c r="I1616" s="8" t="str">
        <f ca="1">IFERROR(__xludf.DUMMYFUNCTION("IF
(
G1617=""фізична особа""
,
VLOOKUP(H1617,IMPORTRANGE(""https://docs.google.com/spreadsheets/d/14Bd19lYaqBhU8_DElYkX7l4wRkHqqCUFNJY4AfY3kHU/edit?usp=sharing  #gid=0"",""фіз особи new!relations_name""),6,FALSE)
,
(IF
(
G1617=""юридична особа""
,
VLOOKUP"&amp;"(H1617,IMPORTRANGE(""https://docs.google.com/spreadsheets/d/14Bd19lYaqBhU8_DElYkX7l4wRkHqqCUFNJY4AfY3kHU/edit?usp=sharing  #gid=0"",""фіз особи new!relations_name_uo""),7,FALSE)
,
)
))"),"БОРЦОВ Микола Юрійович")</f>
        <v>БОРЦОВ Микола Юрійович</v>
      </c>
      <c r="J1616" s="7" t="s">
        <v>61</v>
      </c>
    </row>
    <row r="1617" spans="1:10" ht="13.2">
      <c r="A1617" s="7">
        <v>1616</v>
      </c>
      <c r="B1617" s="7">
        <v>1</v>
      </c>
      <c r="C1617" s="7" t="s">
        <v>10</v>
      </c>
      <c r="D1617" s="7">
        <v>515</v>
      </c>
      <c r="E1617" s="7" t="s">
        <v>59</v>
      </c>
      <c r="F1617" s="8" t="str">
        <f ca="1">IFERROR(__xludf.DUMMYFUNCTION("IF
(
C1618=""фізична особа""
,
VLOOKUP(D1618,IMPORTRANGE(""https://docs.google.com/spreadsheets/d/14Bd19lYaqBhU8_DElYkX7l4wRkHqqCUFNJY4AfY3kHU/edit?usp=sharing  #gid=0"",""фіз особи new!relations_name""),6,FALSE)
,
(IF
(
C1618=""юридична особа""
,
VLOOKUP"&amp;"(D1618,IMPORTRANGE(""https://docs.google.com/spreadsheets/d/14Bd19lYaqBhU8_DElYkX7l4wRkHqqCUFNJY4AfY3kHU/edit?usp=sharing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17" s="7" t="s">
        <v>10</v>
      </c>
      <c r="H1617" s="7">
        <v>5157</v>
      </c>
      <c r="I1617" s="8" t="str">
        <f ca="1">IFERROR(__xludf.DUMMYFUNCTION("IF
(
G1618=""фізична особа""
,
VLOOKUP(H1618,IMPORTRANGE(""https://docs.google.com/spreadsheets/d/14Bd19lYaqBhU8_DElYkX7l4wRkHqqCUFNJY4AfY3kHU/edit?usp=sharing  #gid=0"",""фіз особи new!relations_name""),6,FALSE)
,
(IF
(
G1618=""юридична особа""
,
VLOOKUP"&amp;"(H1618,IMPORTRANGE(""https://docs.google.com/spreadsheets/d/14Bd19lYaqBhU8_DElYkX7l4wRkHqqCUFNJY4AfY3kHU/edit?usp=sharing  #gid=0"",""фіз особи new!relations_name_uo""),7,FALSE)
,
)
))"),"БОРЦОВ Михайло Юрійович")</f>
        <v>БОРЦОВ Михайло Юрійович</v>
      </c>
      <c r="J1617" s="7" t="s">
        <v>61</v>
      </c>
    </row>
    <row r="1618" spans="1:10" ht="13.2">
      <c r="A1618" s="7">
        <v>1617</v>
      </c>
      <c r="B1618" s="7">
        <v>1</v>
      </c>
      <c r="C1618" s="7" t="s">
        <v>10</v>
      </c>
      <c r="D1618" s="7">
        <v>515</v>
      </c>
      <c r="E1618" s="7" t="s">
        <v>59</v>
      </c>
      <c r="F1618" s="8" t="str">
        <f ca="1">IFERROR(__xludf.DUMMYFUNCTION("IF
(
C1619=""фізична особа""
,
VLOOKUP(D1619,IMPORTRANGE(""https://docs.google.com/spreadsheets/d/14Bd19lYaqBhU8_DElYkX7l4wRkHqqCUFNJY4AfY3kHU/edit?usp=sharing  #gid=0"",""фіз особи new!relations_name""),6,FALSE)
,
(IF
(
C1619=""юридична особа""
,
VLOOKUP"&amp;"(D1619,IMPORTRANGE(""https://docs.google.com/spreadsheets/d/14Bd19lYaqBhU8_DElYkX7l4wRkHqqCUFNJY4AfY3kHU/edit?usp=sharing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18" s="7" t="s">
        <v>10</v>
      </c>
      <c r="H1618" s="7">
        <v>5158</v>
      </c>
      <c r="I1618" s="8" t="str">
        <f ca="1">IFERROR(__xludf.DUMMYFUNCTION("IF
(
G1619=""фізична особа""
,
VLOOKUP(H1619,IMPORTRANGE(""https://docs.google.com/spreadsheets/d/14Bd19lYaqBhU8_DElYkX7l4wRkHqqCUFNJY4AfY3kHU/edit?usp=sharing  #gid=0"",""фіз особи new!relations_name""),6,FALSE)
,
(IF
(
G1619=""юридична особа""
,
VLOOKUP"&amp;"(H1619,IMPORTRANGE(""https://docs.google.com/spreadsheets/d/14Bd19lYaqBhU8_DElYkX7l4wRkHqqCUFNJY4AfY3kHU/edit?usp=sharing  #gid=0"",""фіз особи new!relations_name_uo""),7,FALSE)
,
)
))"),"БОРЦОВ Святослав Юрійович")</f>
        <v>БОРЦОВ Святослав Юрійович</v>
      </c>
      <c r="J1618" s="7" t="s">
        <v>61</v>
      </c>
    </row>
    <row r="1619" spans="1:10" ht="13.2">
      <c r="A1619" s="7">
        <v>1618</v>
      </c>
      <c r="B1619" s="7">
        <v>1</v>
      </c>
      <c r="C1619" s="7" t="s">
        <v>10</v>
      </c>
      <c r="D1619" s="7">
        <v>515</v>
      </c>
      <c r="E1619" s="7" t="s">
        <v>14</v>
      </c>
      <c r="F1619" s="8" t="str">
        <f ca="1">IFERROR(__xludf.DUMMYFUNCTION("IF
(
C1620=""фізична особа""
,
VLOOKUP(D1620,IMPORTRANGE(""https://docs.google.com/spreadsheets/d/14Bd19lYaqBhU8_DElYkX7l4wRkHqqCUFNJY4AfY3kHU/edit?usp=sharing  #gid=0"",""фіз особи new!relations_name""),6,FALSE)
,
(IF
(
C1620=""юридична особа""
,
VLOOKUP"&amp;"(D1620,IMPORTRANGE(""https://docs.google.com/spreadsheets/d/14Bd19lYaqBhU8_DElYkX7l4wRkHqqCUFNJY4AfY3kHU/edit?usp=sharing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19" s="7" t="s">
        <v>10</v>
      </c>
      <c r="H1619" s="7">
        <v>5159</v>
      </c>
      <c r="I1619" s="8" t="str">
        <f ca="1">IFERROR(__xludf.DUMMYFUNCTION("IF
(
G1620=""фізична особа""
,
VLOOKUP(H1620,IMPORTRANGE(""https://docs.google.com/spreadsheets/d/14Bd19lYaqBhU8_DElYkX7l4wRkHqqCUFNJY4AfY3kHU/edit?usp=sharing  #gid=0"",""фіз особи new!relations_name""),6,FALSE)
,
(IF
(
G1620=""юридична особа""
,
VLOOKUP"&amp;"(H1620,IMPORTRANGE(""https://docs.google.com/spreadsheets/d/14Bd19lYaqBhU8_DElYkX7l4wRkHqqCUFNJY4AfY3kHU/edit?usp=sharing  #gid=0"",""фіз особи new!relations_name_uo""),7,FALSE)
,
)
))"),"БОРЦОВА Ніна Олексіївна")</f>
        <v>БОРЦОВА Ніна Олексіївна</v>
      </c>
      <c r="J1619" s="7" t="s">
        <v>15</v>
      </c>
    </row>
    <row r="1620" spans="1:10" ht="13.2">
      <c r="A1620" s="7">
        <v>1619</v>
      </c>
      <c r="B1620" s="7">
        <v>1</v>
      </c>
      <c r="C1620" s="7" t="s">
        <v>10</v>
      </c>
      <c r="D1620" s="7">
        <v>515</v>
      </c>
      <c r="E1620" s="7" t="s">
        <v>12</v>
      </c>
      <c r="F1620" s="8" t="str">
        <f ca="1">IFERROR(__xludf.DUMMYFUNCTION("IF
(
C1621=""фізична особа""
,
VLOOKUP(D1621,IMPORTRANGE(""https://docs.google.com/spreadsheets/d/14Bd19lYaqBhU8_DElYkX7l4wRkHqqCUFNJY4AfY3kHU/edit?usp=sharing  #gid=0"",""фіз особи new!relations_name""),6,FALSE)
,
(IF
(
C1621=""юридична особа""
,
VLOOKUP"&amp;"(D1621,IMPORTRANGE(""https://docs.google.com/spreadsheets/d/14Bd19lYaqBhU8_DElYkX7l4wRkHqqCUFNJY4AfY3kHU/edit?usp=sharing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20" s="7" t="s">
        <v>10</v>
      </c>
      <c r="H1620" s="7">
        <v>5160</v>
      </c>
      <c r="I1620" s="8" t="str">
        <f ca="1">IFERROR(__xludf.DUMMYFUNCTION("IF
(
G1621=""фізична особа""
,
VLOOKUP(H1621,IMPORTRANGE(""https://docs.google.com/spreadsheets/d/14Bd19lYaqBhU8_DElYkX7l4wRkHqqCUFNJY4AfY3kHU/edit?usp=sharing  #gid=0"",""фіз особи new!relations_name""),6,FALSE)
,
(IF
(
G1621=""юридична особа""
,
VLOOKUP"&amp;"(H1621,IMPORTRANGE(""https://docs.google.com/spreadsheets/d/14Bd19lYaqBhU8_DElYkX7l4wRkHqqCUFNJY4AfY3kHU/edit?usp=sharing  #gid=0"",""фіз особи new!relations_name_uo""),7,FALSE)
,
)
))"),"БОРЦОВА Наталія Миколаївна")</f>
        <v>БОРЦОВА Наталія Миколаївна</v>
      </c>
      <c r="J1620" s="7" t="s">
        <v>13</v>
      </c>
    </row>
    <row r="1621" spans="1:10" ht="13.2">
      <c r="A1621" s="7">
        <v>1620</v>
      </c>
      <c r="B1621" s="7">
        <v>1</v>
      </c>
      <c r="C1621" s="7" t="s">
        <v>10</v>
      </c>
      <c r="D1621" s="7">
        <v>515</v>
      </c>
      <c r="E1621" s="7" t="s">
        <v>34</v>
      </c>
      <c r="F1621" s="8" t="str">
        <f ca="1">IFERROR(__xludf.DUMMYFUNCTION("IF
(
C1622=""фізична особа""
,
VLOOKUP(D1622,IMPORTRANGE(""https://docs.google.com/spreadsheets/d/14Bd19lYaqBhU8_DElYkX7l4wRkHqqCUFNJY4AfY3kHU/edit?usp=sharing  #gid=0"",""фіз особи new!relations_name""),6,FALSE)
,
(IF
(
C1622=""юридична особа""
,
VLOOKUP"&amp;"(D1622,IMPORTRANGE(""https://docs.google.com/spreadsheets/d/14Bd19lYaqBhU8_DElYkX7l4wRkHqqCUFNJY4AfY3kHU/edit?usp=sharing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21" s="7" t="s">
        <v>10</v>
      </c>
      <c r="H1621" s="7">
        <v>5161</v>
      </c>
      <c r="I1621" s="8" t="str">
        <f ca="1">IFERROR(__xludf.DUMMYFUNCTION("IF
(
G1622=""фізична особа""
,
VLOOKUP(H1622,IMPORTRANGE(""https://docs.google.com/spreadsheets/d/14Bd19lYaqBhU8_DElYkX7l4wRkHqqCUFNJY4AfY3kHU/edit?usp=sharing  #gid=0"",""фіз особи new!relations_name""),6,FALSE)
,
(IF
(
G1622=""юридична особа""
,
VLOOKUP"&amp;"(H1622,IMPORTRANGE(""https://docs.google.com/spreadsheets/d/14Bd19lYaqBhU8_DElYkX7l4wRkHqqCUFNJY4AfY3kHU/edit?usp=sharing  #gid=0"",""фіз особи new!relations_name_uo""),7,FALSE)
,
)
))"),"БОРЦОВА Світлана Миколаївна")</f>
        <v>БОРЦОВА Світлана Миколаївна</v>
      </c>
      <c r="J1621" s="7" t="s">
        <v>25</v>
      </c>
    </row>
    <row r="1622" spans="1:10" ht="13.2">
      <c r="A1622" s="7">
        <v>1621</v>
      </c>
      <c r="B1622" s="7">
        <v>1</v>
      </c>
      <c r="C1622" s="7" t="s">
        <v>10</v>
      </c>
      <c r="D1622" s="7">
        <v>515</v>
      </c>
      <c r="E1622" s="7" t="s">
        <v>59</v>
      </c>
      <c r="F1622" s="8" t="str">
        <f ca="1">IFERROR(__xludf.DUMMYFUNCTION("IF
(
C1623=""фізична особа""
,
VLOOKUP(D1623,IMPORTRANGE(""https://docs.google.com/spreadsheets/d/14Bd19lYaqBhU8_DElYkX7l4wRkHqqCUFNJY4AfY3kHU/edit?usp=sharing  #gid=0"",""фіз особи new!relations_name""),6,FALSE)
,
(IF
(
C1623=""юридична особа""
,
VLOOKUP"&amp;"(D1623,IMPORTRANGE(""https://docs.google.com/spreadsheets/d/14Bd19lYaqBhU8_DElYkX7l4wRkHqqCUFNJY4AfY3kHU/edit?usp=sharing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G1622" s="7" t="s">
        <v>10</v>
      </c>
      <c r="H1622" s="7">
        <v>5162</v>
      </c>
      <c r="I1622" s="8" t="str">
        <f ca="1">IFERROR(__xludf.DUMMYFUNCTION("IF
(
G1623=""фізична особа""
,
VLOOKUP(H1623,IMPORTRANGE(""https://docs.google.com/spreadsheets/d/14Bd19lYaqBhU8_DElYkX7l4wRkHqqCUFNJY4AfY3kHU/edit?usp=sharing  #gid=0"",""фіз особи new!relations_name""),6,FALSE)
,
(IF
(
G1623=""юридична особа""
,
VLOOKUP"&amp;"(H1623,IMPORTRANGE(""https://docs.google.com/spreadsheets/d/14Bd19lYaqBhU8_DElYkX7l4wRkHqqCUFNJY4AfY3kHU/edit?usp=sharing  #gid=0"",""фіз особи new!relations_name_uo""),7,FALSE)
,
)
))"),"БОРЦОВА Влада Юріївна")</f>
        <v>БОРЦОВА Влада Юріївна</v>
      </c>
      <c r="J1622" s="7" t="s">
        <v>60</v>
      </c>
    </row>
    <row r="1623" spans="1:10" ht="13.2">
      <c r="A1623" s="7">
        <v>1622</v>
      </c>
      <c r="B1623" s="7">
        <v>1</v>
      </c>
      <c r="C1623" s="7" t="s">
        <v>10</v>
      </c>
      <c r="D1623" s="7">
        <v>516</v>
      </c>
      <c r="E1623" s="7" t="s">
        <v>48</v>
      </c>
      <c r="F1623" s="8" t="str">
        <f ca="1">IFERROR(__xludf.DUMMYFUNCTION("IF
(
C1624=""фізична особа""
,
VLOOKUP(D1624,IMPORTRANGE(""https://docs.google.com/spreadsheets/d/14Bd19lYaqBhU8_DElYkX7l4wRkHqqCUFNJY4AfY3kHU/edit?usp=sharing  #gid=0"",""фіз особи new!relations_name""),6,FALSE)
,
(IF
(
C1624=""юридична особа""
,
VLOOKUP"&amp;"(D1624,IMPORTRANGE(""https://docs.google.com/spreadsheets/d/14Bd19lYaqBhU8_DElYkX7l4wRkHqqCUFNJY4AfY3kHU/edit?usp=sharing  #gid=0"",""фіз особи new!relations_name_uo""),7,FALSE)
,
)
))"),"ОСАДЧИЙ Микола Іванович")</f>
        <v>ОСАДЧИЙ Микола Іванович</v>
      </c>
      <c r="G1623" s="7" t="s">
        <v>10</v>
      </c>
      <c r="H1623" s="7">
        <v>23415</v>
      </c>
      <c r="I1623" s="8" t="str">
        <f ca="1">IFERROR(__xludf.DUMMYFUNCTION("IF
(
G1624=""фізична особа""
,
VLOOKUP(H1624,IMPORTRANGE(""https://docs.google.com/spreadsheets/d/14Bd19lYaqBhU8_DElYkX7l4wRkHqqCUFNJY4AfY3kHU/edit?usp=sharing  #gid=0"",""фіз особи new!relations_name""),6,FALSE)
,
(IF
(
G1624=""юридична особа""
,
VLOOKUP"&amp;"(H1624,IMPORTRANGE(""https://docs.google.com/spreadsheets/d/14Bd19lYaqBhU8_DElYkX7l4wRkHqqCUFNJY4AfY3kHU/edit?usp=sharing  #gid=0"",""фіз особи new!relations_name_uo""),7,FALSE)
,
)
))"),"ТРЕНІН Олексій Миколайович")</f>
        <v>ТРЕНІН Олексій Миколайович</v>
      </c>
      <c r="J1623" s="7" t="s">
        <v>48</v>
      </c>
    </row>
    <row r="1624" spans="1:10" ht="13.2">
      <c r="A1624" s="7">
        <v>1623</v>
      </c>
      <c r="B1624" s="7">
        <v>1</v>
      </c>
      <c r="C1624" s="7" t="s">
        <v>10</v>
      </c>
      <c r="D1624" s="7">
        <v>517</v>
      </c>
      <c r="E1624" s="7" t="s">
        <v>28</v>
      </c>
      <c r="F1624" s="8" t="str">
        <f ca="1">IFERROR(__xludf.DUMMYFUNCTION("IF
(
C1625=""фізична особа""
,
VLOOKUP(D1625,IMPORTRANGE(""https://docs.google.com/spreadsheets/d/14Bd19lYaqBhU8_DElYkX7l4wRkHqqCUFNJY4AfY3kHU/edit?usp=sharing  #gid=0"",""фіз особи new!relations_name""),6,FALSE)
,
(IF
(
C1625=""юридична особа""
,
VLOOKUP"&amp;"(D1625,IMPORTRANGE(""https://docs.google.com/spreadsheets/d/14Bd19lYaqBhU8_DElYkX7l4wRkHqqCUFNJY4AfY3kHU/edit?usp=sharing  #gid=0"",""фіз особи new!relations_name_uo""),7,FALSE)
,
)
))"),"ВАСИЛЬЄВ Микола Іванович")</f>
        <v>ВАСИЛЬЄВ Микола Іванович</v>
      </c>
      <c r="G1624" s="7" t="s">
        <v>10</v>
      </c>
      <c r="H1624" s="7">
        <v>4819</v>
      </c>
      <c r="I1624" s="8" t="str">
        <f ca="1">IFERROR(__xludf.DUMMYFUNCTION("IF
(
G1625=""фізична особа""
,
VLOOKUP(H1625,IMPORTRANGE(""https://docs.google.com/spreadsheets/d/14Bd19lYaqBhU8_DElYkX7l4wRkHqqCUFNJY4AfY3kHU/edit?usp=sharing  #gid=0"",""фіз особи new!relations_name""),6,FALSE)
,
(IF
(
G1625=""юридична особа""
,
VLOOKUP"&amp;"(H1625,IMPORTRANGE(""https://docs.google.com/spreadsheets/d/14Bd19lYaqBhU8_DElYkX7l4wRkHqqCUFNJY4AfY3kHU/edit?usp=sharing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J1624" s="7" t="s">
        <v>29</v>
      </c>
    </row>
    <row r="1625" spans="1:10" ht="13.2">
      <c r="A1625" s="7">
        <v>1624</v>
      </c>
      <c r="B1625" s="7">
        <v>1</v>
      </c>
      <c r="C1625" s="7" t="s">
        <v>10</v>
      </c>
      <c r="D1625" s="7">
        <v>518</v>
      </c>
      <c r="E1625" s="7" t="s">
        <v>14</v>
      </c>
      <c r="F1625" s="8" t="str">
        <f ca="1">IFERROR(__xludf.DUMMYFUNCTION("IF
(
C1626=""фізична особа""
,
VLOOKUP(D1626,IMPORTRANGE(""https://docs.google.com/spreadsheets/d/14Bd19lYaqBhU8_DElYkX7l4wRkHqqCUFNJY4AfY3kHU/edit?usp=sharing  #gid=0"",""фіз особи new!relations_name""),6,FALSE)
,
(IF
(
C1626=""юридична особа""
,
VLOOKUP"&amp;"(D1626,IMPORTRANGE(""https://docs.google.com/spreadsheets/d/14Bd19lYaqBhU8_DElYkX7l4wRkHqqCUFNJY4AfY3kHU/edit?usp=sharing  #gid=0"",""фіз особи new!relations_name_uo""),7,FALSE)
,
)
))"),"ХАРИТОНОВ Микола Михайлович")</f>
        <v>ХАРИТОНОВ Микола Михайлович</v>
      </c>
      <c r="G1625" s="7" t="s">
        <v>10</v>
      </c>
      <c r="H1625" s="7">
        <v>5163</v>
      </c>
      <c r="I1625" s="8" t="str">
        <f ca="1">IFERROR(__xludf.DUMMYFUNCTION("IF
(
G1626=""фізична особа""
,
VLOOKUP(H1626,IMPORTRANGE(""https://docs.google.com/spreadsheets/d/14Bd19lYaqBhU8_DElYkX7l4wRkHqqCUFNJY4AfY3kHU/edit?usp=sharing  #gid=0"",""фіз особи new!relations_name""),6,FALSE)
,
(IF
(
G1626=""юридична особа""
,
VLOOKUP"&amp;"(H1626,IMPORTRANGE(""https://docs.google.com/spreadsheets/d/14Bd19lYaqBhU8_DElYkX7l4wRkHqqCUFNJY4AfY3kHU/edit?usp=sharing  #gid=0"",""фіз особи new!relations_name_uo""),7,FALSE)
,
)
))"),"ХАРИТОНОВА Ніна Євгеніївна")</f>
        <v>ХАРИТОНОВА Ніна Євгеніївна</v>
      </c>
      <c r="J1625" s="7" t="s">
        <v>15</v>
      </c>
    </row>
    <row r="1626" spans="1:10" ht="13.2">
      <c r="A1626" s="7">
        <v>1625</v>
      </c>
      <c r="B1626" s="7">
        <v>1</v>
      </c>
      <c r="C1626" s="7" t="s">
        <v>10</v>
      </c>
      <c r="D1626" s="7">
        <v>518</v>
      </c>
      <c r="E1626" s="7" t="s">
        <v>12</v>
      </c>
      <c r="F1626" s="8" t="str">
        <f ca="1">IFERROR(__xludf.DUMMYFUNCTION("IF
(
C1627=""фізична особа""
,
VLOOKUP(D1627,IMPORTRANGE(""https://docs.google.com/spreadsheets/d/14Bd19lYaqBhU8_DElYkX7l4wRkHqqCUFNJY4AfY3kHU/edit?usp=sharing  #gid=0"",""фіз особи new!relations_name""),6,FALSE)
,
(IF
(
C1627=""юридична особа""
,
VLOOKUP"&amp;"(D1627,IMPORTRANGE(""https://docs.google.com/spreadsheets/d/14Bd19lYaqBhU8_DElYkX7l4wRkHqqCUFNJY4AfY3kHU/edit?usp=sharing  #gid=0"",""фіз особи new!relations_name_uo""),7,FALSE)
,
)
))"),"ХАРИТОНОВ Микола Михайлович")</f>
        <v>ХАРИТОНОВ Микола Михайлович</v>
      </c>
      <c r="G1626" s="7" t="s">
        <v>10</v>
      </c>
      <c r="H1626" s="7">
        <v>5164</v>
      </c>
      <c r="I1626" s="8" t="str">
        <f ca="1">IFERROR(__xludf.DUMMYFUNCTION("IF
(
G1627=""фізична особа""
,
VLOOKUP(H1627,IMPORTRANGE(""https://docs.google.com/spreadsheets/d/14Bd19lYaqBhU8_DElYkX7l4wRkHqqCUFNJY4AfY3kHU/edit?usp=sharing  #gid=0"",""фіз особи new!relations_name""),6,FALSE)
,
(IF
(
G1627=""юридична особа""
,
VLOOKUP"&amp;"(H1627,IMPORTRANGE(""https://docs.google.com/spreadsheets/d/14Bd19lYaqBhU8_DElYkX7l4wRkHqqCUFNJY4AfY3kHU/edit?usp=sharing  #gid=0"",""фіз особи new!relations_name_uo""),7,FALSE)
,
)
))"),"ХАРИТОНОВА Ніна Миколаївна")</f>
        <v>ХАРИТОНОВА Ніна Миколаївна</v>
      </c>
      <c r="J1626" s="7" t="s">
        <v>13</v>
      </c>
    </row>
    <row r="1627" spans="1:10" ht="13.2">
      <c r="A1627" s="7">
        <v>1626</v>
      </c>
      <c r="B1627" s="7">
        <v>1</v>
      </c>
      <c r="C1627" s="7" t="s">
        <v>10</v>
      </c>
      <c r="D1627" s="7">
        <v>518</v>
      </c>
      <c r="E1627" s="7" t="s">
        <v>29</v>
      </c>
      <c r="F1627" s="8" t="str">
        <f ca="1">IFERROR(__xludf.DUMMYFUNCTION("IF
(
C1628=""фізична особа""
,
VLOOKUP(D1628,IMPORTRANGE(""https://docs.google.com/spreadsheets/d/14Bd19lYaqBhU8_DElYkX7l4wRkHqqCUFNJY4AfY3kHU/edit?usp=sharing  #gid=0"",""фіз особи new!relations_name""),6,FALSE)
,
(IF
(
C1628=""юридична особа""
,
VLOOKUP"&amp;"(D1628,IMPORTRANGE(""https://docs.google.com/spreadsheets/d/14Bd19lYaqBhU8_DElYkX7l4wRkHqqCUFNJY4AfY3kHU/edit?usp=sharing  #gid=0"",""фіз особи new!relations_name_uo""),7,FALSE)
,
)
))"),"ХАРИТОНОВ Микола Михайлович")</f>
        <v>ХАРИТОНОВ Микола Михайлович</v>
      </c>
      <c r="G1627" s="7" t="s">
        <v>10</v>
      </c>
      <c r="H1627" s="7">
        <v>23415</v>
      </c>
      <c r="I1627" s="8" t="str">
        <f ca="1">IFERROR(__xludf.DUMMYFUNCTION("IF
(
G1628=""фізична особа""
,
VLOOKUP(H1628,IMPORTRANGE(""https://docs.google.com/spreadsheets/d/14Bd19lYaqBhU8_DElYkX7l4wRkHqqCUFNJY4AfY3kHU/edit?usp=sharing  #gid=0"",""фіз особи new!relations_name""),6,FALSE)
,
(IF
(
G1628=""юридична особа""
,
VLOOKUP"&amp;"(H1628,IMPORTRANGE(""https://docs.google.com/spreadsheets/d/14Bd19lYaqBhU8_DElYkX7l4wRkHqqCUFNJY4AfY3kHU/edit?usp=sharing  #gid=0"",""фіз особи new!relations_name_uo""),7,FALSE)
,
)
))"),"ТРЕНІН Олексій Миколайович")</f>
        <v>ТРЕНІН Олексій Миколайович</v>
      </c>
      <c r="J1627" s="7" t="s">
        <v>28</v>
      </c>
    </row>
    <row r="1628" spans="1:10" ht="13.2">
      <c r="A1628" s="7">
        <v>1627</v>
      </c>
      <c r="B1628" s="7">
        <v>1</v>
      </c>
      <c r="C1628" s="7" t="s">
        <v>10</v>
      </c>
      <c r="D1628" s="7">
        <v>519</v>
      </c>
      <c r="E1628" s="7" t="s">
        <v>14</v>
      </c>
      <c r="F1628" s="8" t="str">
        <f ca="1">IFERROR(__xludf.DUMMYFUNCTION("IF
(
C1629=""фізична особа""
,
VLOOKUP(D1629,IMPORTRANGE(""https://docs.google.com/spreadsheets/d/14Bd19lYaqBhU8_DElYkX7l4wRkHqqCUFNJY4AfY3kHU/edit?usp=sharing  #gid=0"",""фіз особи new!relations_name""),6,FALSE)
,
(IF
(
C1629=""юридична особа""
,
VLOOKUP"&amp;"(D1629,IMPORTRANGE(""https://docs.google.com/spreadsheets/d/14Bd19lYaqBhU8_DElYkX7l4wRkHqqCUFNJY4AfY3kHU/edit?usp=sharing  #gid=0"",""фіз особи new!relations_name_uo""),7,FALSE)
,
)
))"),"ЄЗЕРСЬКИЙ Микола Миколайович")</f>
        <v>ЄЗЕРСЬКИЙ Микола Миколайович</v>
      </c>
      <c r="G1628" s="7" t="s">
        <v>10</v>
      </c>
      <c r="H1628" s="7">
        <v>5165</v>
      </c>
      <c r="I1628" s="8" t="str">
        <f ca="1">IFERROR(__xludf.DUMMYFUNCTION("IF
(
G1629=""фізична особа""
,
VLOOKUP(H1629,IMPORTRANGE(""https://docs.google.com/spreadsheets/d/14Bd19lYaqBhU8_DElYkX7l4wRkHqqCUFNJY4AfY3kHU/edit?usp=sharing  #gid=0"",""фіз особи new!relations_name""),6,FALSE)
,
(IF
(
G1629=""юридична особа""
,
VLOOKUP"&amp;"(H1629,IMPORTRANGE(""https://docs.google.com/spreadsheets/d/14Bd19lYaqBhU8_DElYkX7l4wRkHqqCUFNJY4AfY3kHU/edit?usp=sharing  #gid=0"",""фіз особи new!relations_name_uo""),7,FALSE)
,
)
))"),"ЄЗЕРСЬКА / ГОРОДИЛОВА Ольга Миколаївна")</f>
        <v>ЄЗЕРСЬКА / ГОРОДИЛОВА Ольга Миколаївна</v>
      </c>
      <c r="J1628" s="7" t="s">
        <v>15</v>
      </c>
    </row>
    <row r="1629" spans="1:10" ht="13.2">
      <c r="A1629" s="7">
        <v>1628</v>
      </c>
      <c r="B1629" s="7">
        <v>1</v>
      </c>
      <c r="C1629" s="7" t="s">
        <v>10</v>
      </c>
      <c r="D1629" s="7">
        <v>519</v>
      </c>
      <c r="E1629" s="7" t="s">
        <v>12</v>
      </c>
      <c r="F1629" s="8" t="str">
        <f ca="1">IFERROR(__xludf.DUMMYFUNCTION("IF
(
C1630=""фізична особа""
,
VLOOKUP(D1630,IMPORTRANGE(""https://docs.google.com/spreadsheets/d/14Bd19lYaqBhU8_DElYkX7l4wRkHqqCUFNJY4AfY3kHU/edit?usp=sharing  #gid=0"",""фіз особи new!relations_name""),6,FALSE)
,
(IF
(
C1630=""юридична особа""
,
VLOOKUP"&amp;"(D1630,IMPORTRANGE(""https://docs.google.com/spreadsheets/d/14Bd19lYaqBhU8_DElYkX7l4wRkHqqCUFNJY4AfY3kHU/edit?usp=sharing  #gid=0"",""фіз особи new!relations_name_uo""),7,FALSE)
,
)
))"),"ЄЗЕРСЬКИЙ Микола Миколайович")</f>
        <v>ЄЗЕРСЬКИЙ Микола Миколайович</v>
      </c>
      <c r="G1629" s="7" t="s">
        <v>10</v>
      </c>
      <c r="H1629" s="7">
        <v>5166</v>
      </c>
      <c r="I1629" s="8" t="str">
        <f ca="1">IFERROR(__xludf.DUMMYFUNCTION("IF
(
G1630=""фізична особа""
,
VLOOKUP(H1630,IMPORTRANGE(""https://docs.google.com/spreadsheets/d/14Bd19lYaqBhU8_DElYkX7l4wRkHqqCUFNJY4AfY3kHU/edit?usp=sharing  #gid=0"",""фіз особи new!relations_name""),6,FALSE)
,
(IF
(
G1630=""юридична особа""
,
VLOOKUP"&amp;"(H1630,IMPORTRANGE(""https://docs.google.com/spreadsheets/d/14Bd19lYaqBhU8_DElYkX7l4wRkHqqCUFNJY4AfY3kHU/edit?usp=sharing  #gid=0"",""фіз особи new!relations_name_uo""),7,FALSE)
,
)
))"),"ЄЗЕРСЬКА Ксенія Миколаївна")</f>
        <v>ЄЗЕРСЬКА Ксенія Миколаївна</v>
      </c>
      <c r="J1629" s="7" t="s">
        <v>13</v>
      </c>
    </row>
    <row r="1630" spans="1:10" ht="13.2">
      <c r="A1630" s="7">
        <v>1629</v>
      </c>
      <c r="B1630" s="7">
        <v>1</v>
      </c>
      <c r="C1630" s="7" t="s">
        <v>10</v>
      </c>
      <c r="D1630" s="7">
        <v>520</v>
      </c>
      <c r="E1630" s="7" t="s">
        <v>18</v>
      </c>
      <c r="F1630" s="8" t="str">
        <f ca="1">IFERROR(__xludf.DUMMYFUNCTION("IF
(
C1631=""фізична особа""
,
VLOOKUP(D1631,IMPORTRANGE(""https://docs.google.com/spreadsheets/d/14Bd19lYaqBhU8_DElYkX7l4wRkHqqCUFNJY4AfY3kHU/edit?usp=sharing  #gid=0"",""фіз особи new!relations_name""),6,FALSE)
,
(IF
(
C1631=""юридична особа""
,
VLOOKUP"&amp;"(D1631,IMPORTRANGE(""https://docs.google.com/spreadsheets/d/14Bd19lYaqBhU8_DElYkX7l4wRkHqqCUFNJY4AfY3kHU/edit?usp=sharing  #gid=0"",""фіз особи new!relations_name_uo""),7,FALSE)
,
)
))"),"ВЛАДІМІРОВ Микола Миколайович")</f>
        <v>ВЛАДІМІРОВ Микола Миколайович</v>
      </c>
      <c r="G1630" s="7" t="s">
        <v>10</v>
      </c>
      <c r="H1630" s="7">
        <v>0</v>
      </c>
      <c r="I1630" s="8" t="str">
        <f ca="1">IFERROR(__xludf.DUMMYFUNCTION("IF
(
G1631=""фізична особа""
,
VLOOKUP(H1631,IMPORTRANGE(""https://docs.google.com/spreadsheets/d/14Bd19lYaqBhU8_DElYkX7l4wRkHqqCUFNJY4AfY3kHU/edit?usp=sharing  #gid=0"",""фіз особи new!relations_name""),6,FALSE)
,
(IF
(
G1631=""юридична особа""
,
VLOOKUP"&amp;"(H1631,IMPORTRANGE(""https://docs.google.com/spreadsheets/d/14Bd19lYaqBhU8_DElYkX7l4wRkHqqCUFNJY4AfY3kHU/edit?usp=sharing  #gid=0"",""фіз особи new!relations_name_uo""),7,FALSE)
,
)
))"),"#N/A")</f>
        <v>#N/A</v>
      </c>
      <c r="J1630" s="7" t="s">
        <v>18</v>
      </c>
    </row>
    <row r="1631" spans="1:10" ht="13.2">
      <c r="A1631" s="7">
        <v>1630</v>
      </c>
      <c r="B1631" s="7">
        <v>1</v>
      </c>
      <c r="C1631" s="7" t="s">
        <v>10</v>
      </c>
      <c r="D1631" s="7">
        <v>520</v>
      </c>
      <c r="E1631" s="7" t="s">
        <v>17</v>
      </c>
      <c r="F1631" s="8" t="str">
        <f ca="1">IFERROR(__xludf.DUMMYFUNCTION("IF
(
C1632=""фізична особа""
,
VLOOKUP(D1632,IMPORTRANGE(""https://docs.google.com/spreadsheets/d/14Bd19lYaqBhU8_DElYkX7l4wRkHqqCUFNJY4AfY3kHU/edit?usp=sharing  #gid=0"",""фіз особи new!relations_name""),6,FALSE)
,
(IF
(
C1632=""юридична особа""
,
VLOOKUP"&amp;"(D1632,IMPORTRANGE(""https://docs.google.com/spreadsheets/d/14Bd19lYaqBhU8_DElYkX7l4wRkHqqCUFNJY4AfY3kHU/edit?usp=sharing  #gid=0"",""фіз особи new!relations_name_uo""),7,FALSE)
,
)
))"),"ВЛАДІМІРОВ Микола Миколайович")</f>
        <v>ВЛАДІМІРОВ Микола Миколайович</v>
      </c>
      <c r="G1631" s="7" t="s">
        <v>10</v>
      </c>
      <c r="H1631" s="7">
        <v>0</v>
      </c>
      <c r="I1631" s="8" t="str">
        <f ca="1">IFERROR(__xludf.DUMMYFUNCTION("IF
(
G1632=""фізична особа""
,
VLOOKUP(H1632,IMPORTRANGE(""https://docs.google.com/spreadsheets/d/14Bd19lYaqBhU8_DElYkX7l4wRkHqqCUFNJY4AfY3kHU/edit?usp=sharing  #gid=0"",""фіз особи new!relations_name""),6,FALSE)
,
(IF
(
G1632=""юридична особа""
,
VLOOKUP"&amp;"(H1632,IMPORTRANGE(""https://docs.google.com/spreadsheets/d/14Bd19lYaqBhU8_DElYkX7l4wRkHqqCUFNJY4AfY3kHU/edit?usp=sharing  #gid=0"",""фіз особи new!relations_name_uo""),7,FALSE)
,
)
))"),"#N/A")</f>
        <v>#N/A</v>
      </c>
      <c r="J1631" s="7" t="s">
        <v>12</v>
      </c>
    </row>
    <row r="1632" spans="1:10" ht="13.2">
      <c r="A1632" s="7">
        <v>1631</v>
      </c>
      <c r="B1632" s="7">
        <v>1</v>
      </c>
      <c r="C1632" s="7" t="s">
        <v>10</v>
      </c>
      <c r="D1632" s="7">
        <v>520</v>
      </c>
      <c r="E1632" s="7" t="s">
        <v>17</v>
      </c>
      <c r="F1632" s="8" t="str">
        <f ca="1">IFERROR(__xludf.DUMMYFUNCTION("IF
(
C1633=""фізична особа""
,
VLOOKUP(D1633,IMPORTRANGE(""https://docs.google.com/spreadsheets/d/14Bd19lYaqBhU8_DElYkX7l4wRkHqqCUFNJY4AfY3kHU/edit?usp=sharing  #gid=0"",""фіз особи new!relations_name""),6,FALSE)
,
(IF
(
C1633=""юридична особа""
,
VLOOKUP"&amp;"(D1633,IMPORTRANGE(""https://docs.google.com/spreadsheets/d/14Bd19lYaqBhU8_DElYkX7l4wRkHqqCUFNJY4AfY3kHU/edit?usp=sharing  #gid=0"",""фіз особи new!relations_name_uo""),7,FALSE)
,
)
))"),"ВЛАДІМІРОВ Микола Миколайович")</f>
        <v>ВЛАДІМІРОВ Микола Миколайович</v>
      </c>
      <c r="G1632" s="7" t="s">
        <v>10</v>
      </c>
      <c r="H1632" s="7">
        <v>0</v>
      </c>
      <c r="I1632" s="8" t="str">
        <f ca="1">IFERROR(__xludf.DUMMYFUNCTION("IF
(
G1633=""фізична особа""
,
VLOOKUP(H1633,IMPORTRANGE(""https://docs.google.com/spreadsheets/d/14Bd19lYaqBhU8_DElYkX7l4wRkHqqCUFNJY4AfY3kHU/edit?usp=sharing  #gid=0"",""фіз особи new!relations_name""),6,FALSE)
,
(IF
(
G1633=""юридична особа""
,
VLOOKUP"&amp;"(H1633,IMPORTRANGE(""https://docs.google.com/spreadsheets/d/14Bd19lYaqBhU8_DElYkX7l4wRkHqqCUFNJY4AfY3kHU/edit?usp=sharing  #gid=0"",""фіз особи new!relations_name_uo""),7,FALSE)
,
)
))"),"#N/A")</f>
        <v>#N/A</v>
      </c>
      <c r="J1632" s="7" t="s">
        <v>21</v>
      </c>
    </row>
    <row r="1633" spans="1:10" ht="13.2">
      <c r="A1633" s="7">
        <v>1632</v>
      </c>
      <c r="B1633" s="7">
        <v>1</v>
      </c>
      <c r="C1633" s="7" t="s">
        <v>10</v>
      </c>
      <c r="D1633" s="7">
        <v>20</v>
      </c>
      <c r="E1633" s="7" t="s">
        <v>12</v>
      </c>
      <c r="F1633" s="8" t="str">
        <f ca="1">IFERROR(__xludf.DUMMYFUNCTION("IF
(
C1634=""фізична особа""
,
VLOOKUP(D1634,IMPORTRANGE(""https://docs.google.com/spreadsheets/d/14Bd19lYaqBhU8_DElYkX7l4wRkHqqCUFNJY4AfY3kHU/edit?usp=sharing  #gid=0"",""фіз особи new!relations_name""),6,FALSE)
,
(IF
(
C1634=""юридична особа""
,
VLOOKUP"&amp;"(D1634,IMPORTRANGE(""https://docs.google.com/spreadsheets/d/14Bd19lYaqBhU8_DElYkX7l4wRkHqqCUFNJY4AfY3kHU/edit?usp=sharing  #gid=0"",""фіз особи new!relations_name_uo""),7,FALSE)
,
)
))"),"САЛАЄВА Алла Леонідівна")</f>
        <v>САЛАЄВА Алла Леонідівна</v>
      </c>
      <c r="G1633" s="7" t="s">
        <v>10</v>
      </c>
      <c r="H1633" s="7">
        <v>0</v>
      </c>
      <c r="I1633" s="8" t="str">
        <f ca="1">IFERROR(__xludf.DUMMYFUNCTION("IF
(
G1634=""фізична особа""
,
VLOOKUP(H1634,IMPORTRANGE(""https://docs.google.com/spreadsheets/d/14Bd19lYaqBhU8_DElYkX7l4wRkHqqCUFNJY4AfY3kHU/edit?usp=sharing  #gid=0"",""фіз особи new!relations_name""),6,FALSE)
,
(IF
(
G1634=""юридична особа""
,
VLOOKUP"&amp;"(H1634,IMPORTRANGE(""https://docs.google.com/spreadsheets/d/14Bd19lYaqBhU8_DElYkX7l4wRkHqqCUFNJY4AfY3kHU/edit?usp=sharing  #gid=0"",""фіз особи new!relations_name_uo""),7,FALSE)
,
)
))"),"#N/A")</f>
        <v>#N/A</v>
      </c>
      <c r="J1633" s="7" t="s">
        <v>17</v>
      </c>
    </row>
    <row r="1634" spans="1:10" ht="13.2">
      <c r="A1634" s="7">
        <v>1633</v>
      </c>
      <c r="B1634" s="7">
        <v>1</v>
      </c>
      <c r="C1634" s="7" t="s">
        <v>10</v>
      </c>
      <c r="D1634" s="7">
        <v>521</v>
      </c>
      <c r="E1634" s="7" t="s">
        <v>14</v>
      </c>
      <c r="F1634" s="8" t="str">
        <f ca="1">IFERROR(__xludf.DUMMYFUNCTION("IF
(
C1635=""фізична особа""
,
VLOOKUP(D1635,IMPORTRANGE(""https://docs.google.com/spreadsheets/d/14Bd19lYaqBhU8_DElYkX7l4wRkHqqCUFNJY4AfY3kHU/edit?usp=sharing  #gid=0"",""фіз особи new!relations_name""),6,FALSE)
,
(IF
(
C1635=""юридична особа""
,
VLOOKUP"&amp;"(D1635,IMPORTRANGE(""https://docs.google.com/spreadsheets/d/14Bd19lYaqBhU8_DElYkX7l4wRkHqqCUFNJY4AfY3kHU/edit?usp=sharing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G1634" s="7" t="s">
        <v>10</v>
      </c>
      <c r="H1634" s="7">
        <v>773</v>
      </c>
      <c r="I1634" s="8" t="str">
        <f ca="1">IFERROR(__xludf.DUMMYFUNCTION("IF
(
G1635=""фізична особа""
,
VLOOKUP(H1635,IMPORTRANGE(""https://docs.google.com/spreadsheets/d/14Bd19lYaqBhU8_DElYkX7l4wRkHqqCUFNJY4AfY3kHU/edit?usp=sharing  #gid=0"",""фіз особи new!relations_name""),6,FALSE)
,
(IF
(
G1635=""юридична особа""
,
VLOOKUP"&amp;"(H1635,IMPORTRANGE(""https://docs.google.com/spreadsheets/d/14Bd19lYaqBhU8_DElYkX7l4wRkHqqCUFNJY4AfY3kHU/edit?usp=sharing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J1634" s="7" t="s">
        <v>15</v>
      </c>
    </row>
    <row r="1635" spans="1:10" ht="13.2">
      <c r="A1635" s="7">
        <v>1634</v>
      </c>
      <c r="B1635" s="7">
        <v>1</v>
      </c>
      <c r="C1635" s="7" t="s">
        <v>10</v>
      </c>
      <c r="D1635" s="7">
        <v>521</v>
      </c>
      <c r="E1635" s="7" t="s">
        <v>12</v>
      </c>
      <c r="F1635" s="8" t="str">
        <f ca="1">IFERROR(__xludf.DUMMYFUNCTION("IF
(
C1636=""фізична особа""
,
VLOOKUP(D1636,IMPORTRANGE(""https://docs.google.com/spreadsheets/d/14Bd19lYaqBhU8_DElYkX7l4wRkHqqCUFNJY4AfY3kHU/edit?usp=sharing  #gid=0"",""фіз особи new!relations_name""),6,FALSE)
,
(IF
(
C1636=""юридична особа""
,
VLOOKUP"&amp;"(D1636,IMPORTRANGE(""https://docs.google.com/spreadsheets/d/14Bd19lYaqBhU8_DElYkX7l4wRkHqqCUFNJY4AfY3kHU/edit?usp=sharing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G1635" s="7" t="s">
        <v>10</v>
      </c>
      <c r="H1635" s="7">
        <v>774</v>
      </c>
      <c r="I1635" s="8" t="str">
        <f ca="1">IFERROR(__xludf.DUMMYFUNCTION("IF
(
G1636=""фізична особа""
,
VLOOKUP(H1636,IMPORTRANGE(""https://docs.google.com/spreadsheets/d/14Bd19lYaqBhU8_DElYkX7l4wRkHqqCUFNJY4AfY3kHU/edit?usp=sharing  #gid=0"",""фіз особи new!relations_name""),6,FALSE)
,
(IF
(
G1636=""юридична особа""
,
VLOOKUP"&amp;"(H1636,IMPORTRANGE(""https://docs.google.com/spreadsheets/d/14Bd19lYaqBhU8_DElYkX7l4wRkHqqCUFNJY4AfY3kHU/edit?usp=sharing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J1635" s="7" t="s">
        <v>13</v>
      </c>
    </row>
    <row r="1636" spans="1:10" ht="13.2">
      <c r="A1636" s="7">
        <v>1635</v>
      </c>
      <c r="B1636" s="7">
        <v>1</v>
      </c>
      <c r="C1636" s="7" t="s">
        <v>10</v>
      </c>
      <c r="D1636" s="7">
        <v>521</v>
      </c>
      <c r="E1636" s="7" t="s">
        <v>55</v>
      </c>
      <c r="F1636" s="8" t="str">
        <f ca="1">IFERROR(__xludf.DUMMYFUNCTION("IF
(
C1637=""фізична особа""
,
VLOOKUP(D1637,IMPORTRANGE(""https://docs.google.com/spreadsheets/d/14Bd19lYaqBhU8_DElYkX7l4wRkHqqCUFNJY4AfY3kHU/edit?usp=sharing  #gid=0"",""фіз особи new!relations_name""),6,FALSE)
,
(IF
(
C1637=""юридична особа""
,
VLOOKUP"&amp;"(D1637,IMPORTRANGE(""https://docs.google.com/spreadsheets/d/14Bd19lYaqBhU8_DElYkX7l4wRkHqqCUFNJY4AfY3kHU/edit?usp=sharing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G1636" s="7" t="s">
        <v>10</v>
      </c>
      <c r="H1636" s="7">
        <v>23416</v>
      </c>
      <c r="I1636" s="8" t="str">
        <f ca="1">IFERROR(__xludf.DUMMYFUNCTION("IF
(
G1637=""фізична особа""
,
VLOOKUP(H1637,IMPORTRANGE(""https://docs.google.com/spreadsheets/d/14Bd19lYaqBhU8_DElYkX7l4wRkHqqCUFNJY4AfY3kHU/edit?usp=sharing  #gid=0"",""фіз особи new!relations_name""),6,FALSE)
,
(IF
(
G1637=""юридична особа""
,
VLOOKUP"&amp;"(H1637,IMPORTRANGE(""https://docs.google.com/spreadsheets/d/14Bd19lYaqBhU8_DElYkX7l4wRkHqqCUFNJY4AfY3kHU/edit?usp=sharing  #gid=0"",""фіз особи new!relations_name_uo""),7,FALSE)
,
)
))"),"БОЛОТОВ Андрій Юрійович")</f>
        <v>БОЛОТОВ Андрій Юрійович</v>
      </c>
      <c r="J1636" s="7" t="s">
        <v>54</v>
      </c>
    </row>
    <row r="1637" spans="1:10" ht="13.2">
      <c r="A1637" s="7">
        <v>1636</v>
      </c>
      <c r="B1637" s="7">
        <v>1</v>
      </c>
      <c r="C1637" s="7" t="s">
        <v>10</v>
      </c>
      <c r="D1637" s="7">
        <v>521</v>
      </c>
      <c r="E1637" s="7" t="s">
        <v>11</v>
      </c>
      <c r="F1637" s="8" t="str">
        <f ca="1">IFERROR(__xludf.DUMMYFUNCTION("IF
(
C1638=""фізична особа""
,
VLOOKUP(D1638,IMPORTRANGE(""https://docs.google.com/spreadsheets/d/14Bd19lYaqBhU8_DElYkX7l4wRkHqqCUFNJY4AfY3kHU/edit?usp=sharing  #gid=0"",""фіз особи new!relations_name""),6,FALSE)
,
(IF
(
C1638=""юридична особа""
,
VLOOKUP"&amp;"(D1638,IMPORTRANGE(""https://docs.google.com/spreadsheets/d/14Bd19lYaqBhU8_DElYkX7l4wRkHqqCUFNJY4AfY3kHU/edit?usp=sharing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G1637" s="7" t="s">
        <v>10</v>
      </c>
      <c r="H1637" s="7">
        <v>23417</v>
      </c>
      <c r="I1637" s="8" t="str">
        <f ca="1">IFERROR(__xludf.DUMMYFUNCTION("IF
(
G1638=""фізична особа""
,
VLOOKUP(H1638,IMPORTRANGE(""https://docs.google.com/spreadsheets/d/14Bd19lYaqBhU8_DElYkX7l4wRkHqqCUFNJY4AfY3kHU/edit?usp=sharing  #gid=0"",""фіз особи new!relations_name""),6,FALSE)
,
(IF
(
G1638=""юридична особа""
,
VLOOKUP"&amp;"(H1638,IMPORTRANGE(""https://docs.google.com/spreadsheets/d/14Bd19lYaqBhU8_DElYkX7l4wRkHqqCUFNJY4AfY3kHU/edit?usp=sharing  #gid=0"",""фіз особи new!relations_name_uo""),7,FALSE)
,
)
))"),"АРУСТАМОВ Михайло Михайлович")</f>
        <v>АРУСТАМОВ Михайло Михайлович</v>
      </c>
      <c r="J1637" s="7" t="s">
        <v>11</v>
      </c>
    </row>
    <row r="1638" spans="1:10" ht="13.2">
      <c r="A1638" s="7">
        <v>1637</v>
      </c>
      <c r="B1638" s="7">
        <v>1</v>
      </c>
      <c r="C1638" s="7" t="s">
        <v>10</v>
      </c>
      <c r="D1638" s="7">
        <v>522</v>
      </c>
      <c r="E1638" s="7" t="s">
        <v>14</v>
      </c>
      <c r="F1638" s="8" t="str">
        <f ca="1">IFERROR(__xludf.DUMMYFUNCTION("IF
(
C1639=""фізична особа""
,
VLOOKUP(D1639,IMPORTRANGE(""https://docs.google.com/spreadsheets/d/14Bd19lYaqBhU8_DElYkX7l4wRkHqqCUFNJY4AfY3kHU/edit?usp=sharing  #gid=0"",""фіз особи new!relations_name""),6,FALSE)
,
(IF
(
C1639=""юридична особа""
,
VLOOKUP"&amp;"(D1639,IMPORTRANGE(""https://docs.google.com/spreadsheets/d/14Bd19lYaqBhU8_DElYkX7l4wRkHqqCUFNJY4AfY3kHU/edit?usp=sharing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G1638" s="7" t="s">
        <v>10</v>
      </c>
      <c r="H1638" s="7">
        <v>5167</v>
      </c>
      <c r="I1638" s="8" t="str">
        <f ca="1">IFERROR(__xludf.DUMMYFUNCTION("IF
(
G1639=""фізична особа""
,
VLOOKUP(H1639,IMPORTRANGE(""https://docs.google.com/spreadsheets/d/14Bd19lYaqBhU8_DElYkX7l4wRkHqqCUFNJY4AfY3kHU/edit?usp=sharing  #gid=0"",""фіз особи new!relations_name""),6,FALSE)
,
(IF
(
G1639=""юридична особа""
,
VLOOKUP"&amp;"(H1639,IMPORTRANGE(""https://docs.google.com/spreadsheets/d/14Bd19lYaqBhU8_DElYkX7l4wRkHqqCUFNJY4AfY3kHU/edit?usp=sharing  #gid=0"",""фіз особи new!relations_name_uo""),7,FALSE)
,
)
))"),"АРЕФ'ЄВА Надія Юріївна")</f>
        <v>АРЕФ'ЄВА Надія Юріївна</v>
      </c>
      <c r="J1638" s="7" t="s">
        <v>15</v>
      </c>
    </row>
    <row r="1639" spans="1:10" ht="13.2">
      <c r="A1639" s="7">
        <v>1638</v>
      </c>
      <c r="B1639" s="7">
        <v>1</v>
      </c>
      <c r="C1639" s="7" t="s">
        <v>10</v>
      </c>
      <c r="D1639" s="7">
        <v>522</v>
      </c>
      <c r="E1639" s="7" t="s">
        <v>12</v>
      </c>
      <c r="F1639" s="8" t="str">
        <f ca="1">IFERROR(__xludf.DUMMYFUNCTION("IF
(
C1640=""фізична особа""
,
VLOOKUP(D1640,IMPORTRANGE(""https://docs.google.com/spreadsheets/d/14Bd19lYaqBhU8_DElYkX7l4wRkHqqCUFNJY4AfY3kHU/edit?usp=sharing  #gid=0"",""фіз особи new!relations_name""),6,FALSE)
,
(IF
(
C1640=""юридична особа""
,
VLOOKUP"&amp;"(D1640,IMPORTRANGE(""https://docs.google.com/spreadsheets/d/14Bd19lYaqBhU8_DElYkX7l4wRkHqqCUFNJY4AfY3kHU/edit?usp=sharing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G1639" s="7" t="s">
        <v>10</v>
      </c>
      <c r="H1639" s="7">
        <v>5168</v>
      </c>
      <c r="I1639" s="8" t="str">
        <f ca="1">IFERROR(__xludf.DUMMYFUNCTION("IF
(
G1640=""фізична особа""
,
VLOOKUP(H1640,IMPORTRANGE(""https://docs.google.com/spreadsheets/d/14Bd19lYaqBhU8_DElYkX7l4wRkHqqCUFNJY4AfY3kHU/edit?usp=sharing  #gid=0"",""фіз особи new!relations_name""),6,FALSE)
,
(IF
(
G1640=""юридична особа""
,
VLOOKUP"&amp;"(H1640,IMPORTRANGE(""https://docs.google.com/spreadsheets/d/14Bd19lYaqBhU8_DElYkX7l4wRkHqqCUFNJY4AfY3kHU/edit?usp=sharing  #gid=0"",""фіз особи new!relations_name_uo""),7,FALSE)
,
)
))"),"АРЕФ'ЄВ Олександр Миколайович")</f>
        <v>АРЕФ'ЄВ Олександр Миколайович</v>
      </c>
      <c r="J1639" s="7" t="s">
        <v>17</v>
      </c>
    </row>
    <row r="1640" spans="1:10" ht="13.2">
      <c r="A1640" s="7">
        <v>1639</v>
      </c>
      <c r="B1640" s="7">
        <v>1</v>
      </c>
      <c r="C1640" s="7" t="s">
        <v>10</v>
      </c>
      <c r="D1640" s="7">
        <v>522</v>
      </c>
      <c r="E1640" s="7" t="s">
        <v>12</v>
      </c>
      <c r="F1640" s="8" t="str">
        <f ca="1">IFERROR(__xludf.DUMMYFUNCTION("IF
(
C1641=""фізична особа""
,
VLOOKUP(D1641,IMPORTRANGE(""https://docs.google.com/spreadsheets/d/14Bd19lYaqBhU8_DElYkX7l4wRkHqqCUFNJY4AfY3kHU/edit?usp=sharing  #gid=0"",""фіз особи new!relations_name""),6,FALSE)
,
(IF
(
C1641=""юридична особа""
,
VLOOKUP"&amp;"(D1641,IMPORTRANGE(""https://docs.google.com/spreadsheets/d/14Bd19lYaqBhU8_DElYkX7l4wRkHqqCUFNJY4AfY3kHU/edit?usp=sharing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G1640" s="7" t="s">
        <v>10</v>
      </c>
      <c r="H1640" s="7">
        <v>5169</v>
      </c>
      <c r="I1640" s="8" t="str">
        <f ca="1">IFERROR(__xludf.DUMMYFUNCTION("IF
(
G1641=""фізична особа""
,
VLOOKUP(H1641,IMPORTRANGE(""https://docs.google.com/spreadsheets/d/14Bd19lYaqBhU8_DElYkX7l4wRkHqqCUFNJY4AfY3kHU/edit?usp=sharing  #gid=0"",""фіз особи new!relations_name""),6,FALSE)
,
(IF
(
G1641=""юридична особа""
,
VLOOKUP"&amp;"(H1641,IMPORTRANGE(""https://docs.google.com/spreadsheets/d/14Bd19lYaqBhU8_DElYkX7l4wRkHqqCUFNJY4AfY3kHU/edit?usp=sharing  #gid=0"",""фіз особи new!relations_name_uo""),7,FALSE)
,
)
))"),"АРЕФ'ЄВ Володимир Миколайович")</f>
        <v>АРЕФ'ЄВ Володимир Миколайович</v>
      </c>
      <c r="J1640" s="7" t="s">
        <v>17</v>
      </c>
    </row>
    <row r="1641" spans="1:10" ht="13.2">
      <c r="A1641" s="7">
        <v>1640</v>
      </c>
      <c r="B1641" s="7">
        <v>1</v>
      </c>
      <c r="C1641" s="7" t="s">
        <v>10</v>
      </c>
      <c r="D1641" s="7">
        <v>523</v>
      </c>
      <c r="E1641" s="7" t="s">
        <v>18</v>
      </c>
      <c r="F1641" s="8" t="str">
        <f ca="1">IFERROR(__xludf.DUMMYFUNCTION("IF
(
C1642=""фізична особа""
,
VLOOKUP(D1642,IMPORTRANGE(""https://docs.google.com/spreadsheets/d/14Bd19lYaqBhU8_DElYkX7l4wRkHqqCUFNJY4AfY3kHU/edit?usp=sharing  #gid=0"",""фіз особи new!relations_name""),6,FALSE)
,
(IF
(
C1642=""юридична особа""
,
VLOOKUP"&amp;"(D1642,IMPORTRANGE(""https://docs.google.com/spreadsheets/d/14Bd19lYaqBhU8_DElYkX7l4wRkHqqCUFNJY4AfY3kHU/edit?usp=sharing  #gid=0"",""фіз особи new!relations_name_uo""),7,FALSE)
,
)
))"),"ВАРФОЛОМЄЄВ Олександр Георгійович")</f>
        <v>ВАРФОЛОМЄЄВ Олександр Георгійович</v>
      </c>
      <c r="G1641" s="7" t="s">
        <v>10</v>
      </c>
      <c r="H1641" s="7">
        <v>0</v>
      </c>
      <c r="I1641" s="8" t="str">
        <f ca="1">IFERROR(__xludf.DUMMYFUNCTION("IF
(
G1642=""фізична особа""
,
VLOOKUP(H1642,IMPORTRANGE(""https://docs.google.com/spreadsheets/d/14Bd19lYaqBhU8_DElYkX7l4wRkHqqCUFNJY4AfY3kHU/edit?usp=sharing  #gid=0"",""фіз особи new!relations_name""),6,FALSE)
,
(IF
(
G1642=""юридична особа""
,
VLOOKUP"&amp;"(H1642,IMPORTRANGE(""https://docs.google.com/spreadsheets/d/14Bd19lYaqBhU8_DElYkX7l4wRkHqqCUFNJY4AfY3kHU/edit?usp=sharing  #gid=0"",""фіз особи new!relations_name_uo""),7,FALSE)
,
)
))"),"#N/A")</f>
        <v>#N/A</v>
      </c>
      <c r="J1641" s="7" t="s">
        <v>31</v>
      </c>
    </row>
    <row r="1642" spans="1:10" ht="13.2">
      <c r="A1642" s="7">
        <v>1641</v>
      </c>
      <c r="B1642" s="7">
        <v>1</v>
      </c>
      <c r="C1642" s="7" t="s">
        <v>10</v>
      </c>
      <c r="D1642" s="7">
        <v>524</v>
      </c>
      <c r="E1642" s="7" t="s">
        <v>17</v>
      </c>
      <c r="F1642" s="8" t="str">
        <f ca="1">IFERROR(__xludf.DUMMYFUNCTION("IF
(
C1643=""фізична особа""
,
VLOOKUP(D1643,IMPORTRANGE(""https://docs.google.com/spreadsheets/d/14Bd19lYaqBhU8_DElYkX7l4wRkHqqCUFNJY4AfY3kHU/edit?usp=sharing  #gid=0"",""фіз особи new!relations_name""),6,FALSE)
,
(IF
(
C1643=""юридична особа""
,
VLOOKUP"&amp;"(D1643,IMPORTRANGE(""https://docs.google.com/spreadsheets/d/14Bd19lYaqBhU8_DElYkX7l4wRkHqqCUFNJY4AfY3kHU/edit?usp=sharing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G1642" s="7" t="s">
        <v>10</v>
      </c>
      <c r="H1642" s="7">
        <v>5170</v>
      </c>
      <c r="I1642" s="8" t="str">
        <f ca="1">IFERROR(__xludf.DUMMYFUNCTION("IF
(
G1643=""фізична особа""
,
VLOOKUP(H1643,IMPORTRANGE(""https://docs.google.com/spreadsheets/d/14Bd19lYaqBhU8_DElYkX7l4wRkHqqCUFNJY4AfY3kHU/edit?usp=sharing  #gid=0"",""фіз особи new!relations_name""),6,FALSE)
,
(IF
(
G1643=""юридична особа""
,
VLOOKUP"&amp;"(H1643,IMPORTRANGE(""https://docs.google.com/spreadsheets/d/14Bd19lYaqBhU8_DElYkX7l4wRkHqqCUFNJY4AfY3kHU/edit?usp=sharing  #gid=0"",""фіз особи new!relations_name_uo""),7,FALSE)
,
)
))"),"ПАНКОВА Ніна Олексіївна")</f>
        <v>ПАНКОВА Ніна Олексіївна</v>
      </c>
      <c r="J1642" s="7" t="s">
        <v>21</v>
      </c>
    </row>
    <row r="1643" spans="1:10" ht="13.2">
      <c r="A1643" s="7">
        <v>1642</v>
      </c>
      <c r="B1643" s="7">
        <v>1</v>
      </c>
      <c r="C1643" s="7" t="s">
        <v>10</v>
      </c>
      <c r="D1643" s="7">
        <v>524</v>
      </c>
      <c r="E1643" s="7" t="s">
        <v>14</v>
      </c>
      <c r="F1643" s="8" t="str">
        <f ca="1">IFERROR(__xludf.DUMMYFUNCTION("IF
(
C1644=""фізична особа""
,
VLOOKUP(D1644,IMPORTRANGE(""https://docs.google.com/spreadsheets/d/14Bd19lYaqBhU8_DElYkX7l4wRkHqqCUFNJY4AfY3kHU/edit?usp=sharing  #gid=0"",""фіз особи new!relations_name""),6,FALSE)
,
(IF
(
C1644=""юридична особа""
,
VLOOKUP"&amp;"(D1644,IMPORTRANGE(""https://docs.google.com/spreadsheets/d/14Bd19lYaqBhU8_DElYkX7l4wRkHqqCUFNJY4AfY3kHU/edit?usp=sharing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G1643" s="7" t="s">
        <v>10</v>
      </c>
      <c r="H1643" s="7">
        <v>4929</v>
      </c>
      <c r="I1643" s="8" t="str">
        <f ca="1">IFERROR(__xludf.DUMMYFUNCTION("IF
(
G1644=""фізична особа""
,
VLOOKUP(H1644,IMPORTRANGE(""https://docs.google.com/spreadsheets/d/14Bd19lYaqBhU8_DElYkX7l4wRkHqqCUFNJY4AfY3kHU/edit?usp=sharing  #gid=0"",""фіз особи new!relations_name""),6,FALSE)
,
(IF
(
G1644=""юридична особа""
,
VLOOKUP"&amp;"(H1644,IMPORTRANGE(""https://docs.google.com/spreadsheets/d/14Bd19lYaqBhU8_DElYkX7l4wRkHqqCUFNJY4AfY3kHU/edit?usp=sharing  #gid=0"",""фіз особи new!relations_name_uo""),7,FALSE)
,
)
))"),"ПАНКОВА Ірина Володимирівна")</f>
        <v>ПАНКОВА Ірина Володимирівна</v>
      </c>
      <c r="J1643" s="7" t="s">
        <v>15</v>
      </c>
    </row>
    <row r="1644" spans="1:10" ht="13.2">
      <c r="A1644" s="7">
        <v>1643</v>
      </c>
      <c r="B1644" s="7">
        <v>1</v>
      </c>
      <c r="C1644" s="7" t="s">
        <v>10</v>
      </c>
      <c r="D1644" s="7">
        <v>524</v>
      </c>
      <c r="E1644" s="7" t="s">
        <v>26</v>
      </c>
      <c r="F1644" s="8" t="str">
        <f ca="1">IFERROR(__xludf.DUMMYFUNCTION("IF
(
C1645=""фізична особа""
,
VLOOKUP(D1645,IMPORTRANGE(""https://docs.google.com/spreadsheets/d/14Bd19lYaqBhU8_DElYkX7l4wRkHqqCUFNJY4AfY3kHU/edit?usp=sharing  #gid=0"",""фіз особи new!relations_name""),6,FALSE)
,
(IF
(
C1645=""юридична особа""
,
VLOOKUP"&amp;"(D1645,IMPORTRANGE(""https://docs.google.com/spreadsheets/d/14Bd19lYaqBhU8_DElYkX7l4wRkHqqCUFNJY4AfY3kHU/edit?usp=sharing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G1644" s="7" t="s">
        <v>10</v>
      </c>
      <c r="H1644" s="7">
        <v>5171</v>
      </c>
      <c r="I1644" s="8" t="str">
        <f ca="1">IFERROR(__xludf.DUMMYFUNCTION("IF
(
G1645=""фізична особа""
,
VLOOKUP(H1645,IMPORTRANGE(""https://docs.google.com/spreadsheets/d/14Bd19lYaqBhU8_DElYkX7l4wRkHqqCUFNJY4AfY3kHU/edit?usp=sharing  #gid=0"",""фіз особи new!relations_name""),6,FALSE)
,
(IF
(
G1645=""юридична особа""
,
VLOOKUP"&amp;"(H1645,IMPORTRANGE(""https://docs.google.com/spreadsheets/d/14Bd19lYaqBhU8_DElYkX7l4wRkHqqCUFNJY4AfY3kHU/edit?usp=sharing  #gid=0"",""фіз особи new!relations_name_uo""),7,FALSE)
,
)
))"),"НАЙДЕНОВА Клавдія Олексіївна")</f>
        <v>НАЙДЕНОВА Клавдія Олексіївна</v>
      </c>
      <c r="J1644" s="7" t="s">
        <v>27</v>
      </c>
    </row>
    <row r="1645" spans="1:10" ht="13.2">
      <c r="A1645" s="7">
        <v>1644</v>
      </c>
      <c r="B1645" s="7">
        <v>1</v>
      </c>
      <c r="C1645" s="7" t="s">
        <v>10</v>
      </c>
      <c r="D1645" s="7">
        <v>524</v>
      </c>
      <c r="E1645" s="7" t="s">
        <v>28</v>
      </c>
      <c r="F1645" s="8" t="str">
        <f ca="1">IFERROR(__xludf.DUMMYFUNCTION("IF
(
C1646=""фізична особа""
,
VLOOKUP(D1646,IMPORTRANGE(""https://docs.google.com/spreadsheets/d/14Bd19lYaqBhU8_DElYkX7l4wRkHqqCUFNJY4AfY3kHU/edit?usp=sharing  #gid=0"",""фіз особи new!relations_name""),6,FALSE)
,
(IF
(
C1646=""юридична особа""
,
VLOOKUP"&amp;"(D1646,IMPORTRANGE(""https://docs.google.com/spreadsheets/d/14Bd19lYaqBhU8_DElYkX7l4wRkHqqCUFNJY4AfY3kHU/edit?usp=sharing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G1645" s="7" t="s">
        <v>10</v>
      </c>
      <c r="H1645" s="7">
        <v>899</v>
      </c>
      <c r="I1645" s="8" t="str">
        <f ca="1">IFERROR(__xludf.DUMMYFUNCTION("IF
(
G1646=""фізична особа""
,
VLOOKUP(H1646,IMPORTRANGE(""https://docs.google.com/spreadsheets/d/14Bd19lYaqBhU8_DElYkX7l4wRkHqqCUFNJY4AfY3kHU/edit?usp=sharing  #gid=0"",""фіз особи new!relations_name""),6,FALSE)
,
(IF
(
G1646=""юридична особа""
,
VLOOKUP"&amp;"(H1646,IMPORTRANGE(""https://docs.google.com/spreadsheets/d/14Bd19lYaqBhU8_DElYkX7l4wRkHqqCUFNJY4AfY3kHU/edit?usp=sharing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1645" s="7" t="s">
        <v>29</v>
      </c>
    </row>
    <row r="1646" spans="1:10" ht="13.2">
      <c r="A1646" s="7">
        <v>1645</v>
      </c>
      <c r="B1646" s="7">
        <v>1</v>
      </c>
      <c r="C1646" s="7" t="s">
        <v>10</v>
      </c>
      <c r="D1646" s="7">
        <v>525</v>
      </c>
      <c r="E1646" s="7" t="s">
        <v>14</v>
      </c>
      <c r="F1646" s="8" t="str">
        <f ca="1">IFERROR(__xludf.DUMMYFUNCTION("IF
(
C1647=""фізична особа""
,
VLOOKUP(D1647,IMPORTRANGE(""https://docs.google.com/spreadsheets/d/14Bd19lYaqBhU8_DElYkX7l4wRkHqqCUFNJY4AfY3kHU/edit?usp=sharing  #gid=0"",""фіз особи new!relations_name""),6,FALSE)
,
(IF
(
C1647=""юридична особа""
,
VLOOKUP"&amp;"(D1647,IMPORTRANGE(""https://docs.google.com/spreadsheets/d/14Bd19lYaqBhU8_DElYkX7l4wRkHqqCUFNJY4AfY3kHU/edit?usp=sharing  #gid=0"",""фіз особи new!relations_name_uo""),7,FALSE)
,
)
))"),"НОВІЧКОВ Микола Володимирович")</f>
        <v>НОВІЧКОВ Микола Володимирович</v>
      </c>
      <c r="G1646" s="7" t="s">
        <v>10</v>
      </c>
      <c r="H1646" s="7">
        <v>0</v>
      </c>
      <c r="I1646" s="8" t="str">
        <f ca="1">IFERROR(__xludf.DUMMYFUNCTION("IF
(
G1647=""фізична особа""
,
VLOOKUP(H1647,IMPORTRANGE(""https://docs.google.com/spreadsheets/d/14Bd19lYaqBhU8_DElYkX7l4wRkHqqCUFNJY4AfY3kHU/edit?usp=sharing  #gid=0"",""фіз особи new!relations_name""),6,FALSE)
,
(IF
(
G1647=""юридична особа""
,
VLOOKUP"&amp;"(H1647,IMPORTRANGE(""https://docs.google.com/spreadsheets/d/14Bd19lYaqBhU8_DElYkX7l4wRkHqqCUFNJY4AfY3kHU/edit?usp=sharing  #gid=0"",""фіз особи new!relations_name_uo""),7,FALSE)
,
)
))"),"#N/A")</f>
        <v>#N/A</v>
      </c>
      <c r="J1646" s="7" t="s">
        <v>15</v>
      </c>
    </row>
    <row r="1647" spans="1:10" ht="13.2">
      <c r="A1647" s="7">
        <v>1646</v>
      </c>
      <c r="B1647" s="7">
        <v>1</v>
      </c>
      <c r="C1647" s="7" t="s">
        <v>10</v>
      </c>
      <c r="D1647" s="7">
        <v>525</v>
      </c>
      <c r="E1647" s="7" t="s">
        <v>12</v>
      </c>
      <c r="F1647" s="8" t="str">
        <f ca="1">IFERROR(__xludf.DUMMYFUNCTION("IF
(
C1648=""фізична особа""
,
VLOOKUP(D1648,IMPORTRANGE(""https://docs.google.com/spreadsheets/d/14Bd19lYaqBhU8_DElYkX7l4wRkHqqCUFNJY4AfY3kHU/edit?usp=sharing  #gid=0"",""фіз особи new!relations_name""),6,FALSE)
,
(IF
(
C1648=""юридична особа""
,
VLOOKUP"&amp;"(D1648,IMPORTRANGE(""https://docs.google.com/spreadsheets/d/14Bd19lYaqBhU8_DElYkX7l4wRkHqqCUFNJY4AfY3kHU/edit?usp=sharing  #gid=0"",""фіз особи new!relations_name_uo""),7,FALSE)
,
)
))"),"НОВІЧКОВ Микола Володимирович")</f>
        <v>НОВІЧКОВ Микола Володимирович</v>
      </c>
      <c r="G1647" s="7" t="s">
        <v>10</v>
      </c>
      <c r="H1647" s="7">
        <v>0</v>
      </c>
      <c r="I1647" s="8" t="str">
        <f ca="1">IFERROR(__xludf.DUMMYFUNCTION("IF
(
G1648=""фізична особа""
,
VLOOKUP(H1648,IMPORTRANGE(""https://docs.google.com/spreadsheets/d/14Bd19lYaqBhU8_DElYkX7l4wRkHqqCUFNJY4AfY3kHU/edit?usp=sharing  #gid=0"",""фіз особи new!relations_name""),6,FALSE)
,
(IF
(
G1648=""юридична особа""
,
VLOOKUP"&amp;"(H1648,IMPORTRANGE(""https://docs.google.com/spreadsheets/d/14Bd19lYaqBhU8_DElYkX7l4wRkHqqCUFNJY4AfY3kHU/edit?usp=sharing  #gid=0"",""фіз особи new!relations_name_uo""),7,FALSE)
,
)
))"),"#N/A")</f>
        <v>#N/A</v>
      </c>
      <c r="J1647" s="7" t="s">
        <v>13</v>
      </c>
    </row>
    <row r="1648" spans="1:10" ht="13.2">
      <c r="A1648" s="7">
        <v>1647</v>
      </c>
      <c r="B1648" s="7">
        <v>1</v>
      </c>
      <c r="C1648" s="7" t="s">
        <v>10</v>
      </c>
      <c r="D1648" s="7">
        <v>526</v>
      </c>
      <c r="E1648" s="7" t="s">
        <v>14</v>
      </c>
      <c r="F1648" s="8" t="str">
        <f ca="1">IFERROR(__xludf.DUMMYFUNCTION("IF
(
C1649=""фізична особа""
,
VLOOKUP(D1649,IMPORTRANGE(""https://docs.google.com/spreadsheets/d/14Bd19lYaqBhU8_DElYkX7l4wRkHqqCUFNJY4AfY3kHU/edit?usp=sharing  #gid=0"",""фіз особи new!relations_name""),6,FALSE)
,
(IF
(
C1649=""юридична особа""
,
VLOOKUP"&amp;"(D1649,IMPORTRANGE(""https://docs.google.com/spreadsheets/d/14Bd19lYaqBhU8_DElYkX7l4wRkHqqCUFNJY4AfY3kHU/edit?usp=sharing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48" s="7" t="s">
        <v>10</v>
      </c>
      <c r="H1648" s="7">
        <v>0</v>
      </c>
      <c r="I1648" s="8" t="str">
        <f ca="1">IFERROR(__xludf.DUMMYFUNCTION("IF
(
G1649=""фізична особа""
,
VLOOKUP(H1649,IMPORTRANGE(""https://docs.google.com/spreadsheets/d/14Bd19lYaqBhU8_DElYkX7l4wRkHqqCUFNJY4AfY3kHU/edit?usp=sharing  #gid=0"",""фіз особи new!relations_name""),6,FALSE)
,
(IF
(
G1649=""юридична особа""
,
VLOOKUP"&amp;"(H1649,IMPORTRANGE(""https://docs.google.com/spreadsheets/d/14Bd19lYaqBhU8_DElYkX7l4wRkHqqCUFNJY4AfY3kHU/edit?usp=sharing  #gid=0"",""фіз особи new!relations_name_uo""),7,FALSE)
,
)
))"),"#N/A")</f>
        <v>#N/A</v>
      </c>
      <c r="J1648" s="7" t="s">
        <v>15</v>
      </c>
    </row>
    <row r="1649" spans="1:10" ht="13.2">
      <c r="A1649" s="7">
        <v>1648</v>
      </c>
      <c r="B1649" s="7">
        <v>1</v>
      </c>
      <c r="C1649" s="7" t="s">
        <v>10</v>
      </c>
      <c r="D1649" s="7">
        <v>526</v>
      </c>
      <c r="E1649" s="7" t="s">
        <v>12</v>
      </c>
      <c r="F1649" s="8" t="str">
        <f ca="1">IFERROR(__xludf.DUMMYFUNCTION("IF
(
C1650=""фізична особа""
,
VLOOKUP(D1650,IMPORTRANGE(""https://docs.google.com/spreadsheets/d/14Bd19lYaqBhU8_DElYkX7l4wRkHqqCUFNJY4AfY3kHU/edit?usp=sharing  #gid=0"",""фіз особи new!relations_name""),6,FALSE)
,
(IF
(
C1650=""юридична особа""
,
VLOOKUP"&amp;"(D1650,IMPORTRANGE(""https://docs.google.com/spreadsheets/d/14Bd19lYaqBhU8_DElYkX7l4wRkHqqCUFNJY4AfY3kHU/edit?usp=sharing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49" s="7" t="s">
        <v>10</v>
      </c>
      <c r="H1649" s="7">
        <v>0</v>
      </c>
      <c r="I1649" s="8" t="str">
        <f ca="1">IFERROR(__xludf.DUMMYFUNCTION("IF
(
G1650=""фізична особа""
,
VLOOKUP(H1650,IMPORTRANGE(""https://docs.google.com/spreadsheets/d/14Bd19lYaqBhU8_DElYkX7l4wRkHqqCUFNJY4AfY3kHU/edit?usp=sharing  #gid=0"",""фіз особи new!relations_name""),6,FALSE)
,
(IF
(
G1650=""юридична особа""
,
VLOOKUP"&amp;"(H1650,IMPORTRANGE(""https://docs.google.com/spreadsheets/d/14Bd19lYaqBhU8_DElYkX7l4wRkHqqCUFNJY4AfY3kHU/edit?usp=sharing  #gid=0"",""фіз особи new!relations_name_uo""),7,FALSE)
,
)
))"),"#N/A")</f>
        <v>#N/A</v>
      </c>
      <c r="J1649" s="7" t="s">
        <v>17</v>
      </c>
    </row>
    <row r="1650" spans="1:10" ht="13.2">
      <c r="A1650" s="7">
        <v>1649</v>
      </c>
      <c r="B1650" s="7">
        <v>1</v>
      </c>
      <c r="C1650" s="7" t="s">
        <v>10</v>
      </c>
      <c r="D1650" s="7">
        <v>526</v>
      </c>
      <c r="E1650" s="7" t="s">
        <v>34</v>
      </c>
      <c r="F1650" s="8" t="str">
        <f ca="1">IFERROR(__xludf.DUMMYFUNCTION("IF
(
C1651=""фізична особа""
,
VLOOKUP(D1651,IMPORTRANGE(""https://docs.google.com/spreadsheets/d/14Bd19lYaqBhU8_DElYkX7l4wRkHqqCUFNJY4AfY3kHU/edit?usp=sharing  #gid=0"",""фіз особи new!relations_name""),6,FALSE)
,
(IF
(
C1651=""юридична особа""
,
VLOOKUP"&amp;"(D1651,IMPORTRANGE(""https://docs.google.com/spreadsheets/d/14Bd19lYaqBhU8_DElYkX7l4wRkHqqCUFNJY4AfY3kHU/edit?usp=sharing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0" s="7" t="s">
        <v>10</v>
      </c>
      <c r="H1650" s="7">
        <v>0</v>
      </c>
      <c r="I1650" s="8" t="str">
        <f ca="1">IFERROR(__xludf.DUMMYFUNCTION("IF
(
G1651=""фізична особа""
,
VLOOKUP(H1651,IMPORTRANGE(""https://docs.google.com/spreadsheets/d/14Bd19lYaqBhU8_DElYkX7l4wRkHqqCUFNJY4AfY3kHU/edit?usp=sharing  #gid=0"",""фіз особи new!relations_name""),6,FALSE)
,
(IF
(
G1651=""юридична особа""
,
VLOOKUP"&amp;"(H1651,IMPORTRANGE(""https://docs.google.com/spreadsheets/d/14Bd19lYaqBhU8_DElYkX7l4wRkHqqCUFNJY4AfY3kHU/edit?usp=sharing  #gid=0"",""фіз особи new!relations_name_uo""),7,FALSE)
,
)
))"),"#N/A")</f>
        <v>#N/A</v>
      </c>
      <c r="J1650" s="7" t="s">
        <v>25</v>
      </c>
    </row>
    <row r="1651" spans="1:10" ht="13.2">
      <c r="A1651" s="7">
        <v>1650</v>
      </c>
      <c r="B1651" s="7">
        <v>1</v>
      </c>
      <c r="C1651" s="7" t="s">
        <v>10</v>
      </c>
      <c r="D1651" s="7">
        <v>526</v>
      </c>
      <c r="E1651" s="7" t="s">
        <v>12</v>
      </c>
      <c r="F1651" s="8" t="str">
        <f ca="1">IFERROR(__xludf.DUMMYFUNCTION("IF
(
C1652=""фізична особа""
,
VLOOKUP(D1652,IMPORTRANGE(""https://docs.google.com/spreadsheets/d/14Bd19lYaqBhU8_DElYkX7l4wRkHqqCUFNJY4AfY3kHU/edit?usp=sharing  #gid=0"",""фіз особи new!relations_name""),6,FALSE)
,
(IF
(
C1652=""юридична особа""
,
VLOOKUP"&amp;"(D1652,IMPORTRANGE(""https://docs.google.com/spreadsheets/d/14Bd19lYaqBhU8_DElYkX7l4wRkHqqCUFNJY4AfY3kHU/edit?usp=sharing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1" s="7" t="s">
        <v>10</v>
      </c>
      <c r="H1651" s="7">
        <v>0</v>
      </c>
      <c r="I1651" s="8" t="str">
        <f ca="1">IFERROR(__xludf.DUMMYFUNCTION("IF
(
G1652=""фізична особа""
,
VLOOKUP(H1652,IMPORTRANGE(""https://docs.google.com/spreadsheets/d/14Bd19lYaqBhU8_DElYkX7l4wRkHqqCUFNJY4AfY3kHU/edit?usp=sharing  #gid=0"",""фіз особи new!relations_name""),6,FALSE)
,
(IF
(
G1652=""юридична особа""
,
VLOOKUP"&amp;"(H1652,IMPORTRANGE(""https://docs.google.com/spreadsheets/d/14Bd19lYaqBhU8_DElYkX7l4wRkHqqCUFNJY4AfY3kHU/edit?usp=sharing  #gid=0"",""фіз особи new!relations_name_uo""),7,FALSE)
,
)
))"),"#N/A")</f>
        <v>#N/A</v>
      </c>
      <c r="J1651" s="7" t="s">
        <v>13</v>
      </c>
    </row>
    <row r="1652" spans="1:10" ht="13.2">
      <c r="A1652" s="7">
        <v>1651</v>
      </c>
      <c r="B1652" s="7">
        <v>1</v>
      </c>
      <c r="C1652" s="7" t="s">
        <v>10</v>
      </c>
      <c r="D1652" s="7">
        <v>526</v>
      </c>
      <c r="E1652" s="7" t="s">
        <v>24</v>
      </c>
      <c r="F1652" s="8" t="str">
        <f ca="1">IFERROR(__xludf.DUMMYFUNCTION("IF
(
C1653=""фізична особа""
,
VLOOKUP(D1653,IMPORTRANGE(""https://docs.google.com/spreadsheets/d/14Bd19lYaqBhU8_DElYkX7l4wRkHqqCUFNJY4AfY3kHU/edit?usp=sharing  #gid=0"",""фіз особи new!relations_name""),6,FALSE)
,
(IF
(
C1653=""юридична особа""
,
VLOOKUP"&amp;"(D1653,IMPORTRANGE(""https://docs.google.com/spreadsheets/d/14Bd19lYaqBhU8_DElYkX7l4wRkHqqCUFNJY4AfY3kHU/edit?usp=sharing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2" s="7" t="s">
        <v>10</v>
      </c>
      <c r="H1652" s="7">
        <v>0</v>
      </c>
      <c r="I1652" s="8" t="str">
        <f ca="1">IFERROR(__xludf.DUMMYFUNCTION("IF
(
G1653=""фізична особа""
,
VLOOKUP(H1653,IMPORTRANGE(""https://docs.google.com/spreadsheets/d/14Bd19lYaqBhU8_DElYkX7l4wRkHqqCUFNJY4AfY3kHU/edit?usp=sharing  #gid=0"",""фіз особи new!relations_name""),6,FALSE)
,
(IF
(
G1653=""юридична особа""
,
VLOOKUP"&amp;"(H1653,IMPORTRANGE(""https://docs.google.com/spreadsheets/d/14Bd19lYaqBhU8_DElYkX7l4wRkHqqCUFNJY4AfY3kHU/edit?usp=sharing  #gid=0"",""фіз особи new!relations_name_uo""),7,FALSE)
,
)
))"),"#N/A")</f>
        <v>#N/A</v>
      </c>
      <c r="J1652" s="7" t="s">
        <v>26</v>
      </c>
    </row>
    <row r="1653" spans="1:10" ht="13.2">
      <c r="A1653" s="7">
        <v>1652</v>
      </c>
      <c r="B1653" s="7">
        <v>1</v>
      </c>
      <c r="C1653" s="7" t="s">
        <v>10</v>
      </c>
      <c r="D1653" s="7">
        <v>526</v>
      </c>
      <c r="E1653" s="7" t="s">
        <v>48</v>
      </c>
      <c r="F1653" s="8" t="str">
        <f ca="1">IFERROR(__xludf.DUMMYFUNCTION("IF
(
C1654=""фізична особа""
,
VLOOKUP(D1654,IMPORTRANGE(""https://docs.google.com/spreadsheets/d/14Bd19lYaqBhU8_DElYkX7l4wRkHqqCUFNJY4AfY3kHU/edit?usp=sharing  #gid=0"",""фіз особи new!relations_name""),6,FALSE)
,
(IF
(
C1654=""юридична особа""
,
VLOOKUP"&amp;"(D1654,IMPORTRANGE(""https://docs.google.com/spreadsheets/d/14Bd19lYaqBhU8_DElYkX7l4wRkHqqCUFNJY4AfY3kHU/edit?usp=sharing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3" s="7" t="s">
        <v>10</v>
      </c>
      <c r="H1653" s="7">
        <v>1017</v>
      </c>
      <c r="I1653" s="8" t="str">
        <f ca="1">IFERROR(__xludf.DUMMYFUNCTION("IF
(
G1654=""фізична особа""
,
VLOOKUP(H1654,IMPORTRANGE(""https://docs.google.com/spreadsheets/d/14Bd19lYaqBhU8_DElYkX7l4wRkHqqCUFNJY4AfY3kHU/edit?usp=sharing  #gid=0"",""фіз особи new!relations_name""),6,FALSE)
,
(IF
(
G1654=""юридична особа""
,
VLOOKUP"&amp;"(H1654,IMPORTRANGE(""https://docs.google.com/spreadsheets/d/14Bd19lYaqBhU8_DElYkX7l4wRkHqqCUFNJY4AfY3kHU/edit?usp=sharing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J1653" s="7" t="s">
        <v>48</v>
      </c>
    </row>
    <row r="1654" spans="1:10" ht="13.2">
      <c r="A1654" s="7">
        <v>1653</v>
      </c>
      <c r="B1654" s="7">
        <v>1</v>
      </c>
      <c r="C1654" s="7" t="s">
        <v>10</v>
      </c>
      <c r="D1654" s="7">
        <v>526</v>
      </c>
      <c r="E1654" s="7" t="s">
        <v>11</v>
      </c>
      <c r="F1654" s="8" t="str">
        <f ca="1">IFERROR(__xludf.DUMMYFUNCTION("IF
(
C1655=""фізична особа""
,
VLOOKUP(D1655,IMPORTRANGE(""https://docs.google.com/spreadsheets/d/14Bd19lYaqBhU8_DElYkX7l4wRkHqqCUFNJY4AfY3kHU/edit?usp=sharing  #gid=0"",""фіз особи new!relations_name""),6,FALSE)
,
(IF
(
C1655=""юридична особа""
,
VLOOKUP"&amp;"(D1655,IMPORTRANGE(""https://docs.google.com/spreadsheets/d/14Bd19lYaqBhU8_DElYkX7l4wRkHqqCUFNJY4AfY3kHU/edit?usp=sharing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4" s="7" t="s">
        <v>10</v>
      </c>
      <c r="H1654" s="7">
        <v>0</v>
      </c>
      <c r="I1654" s="8" t="str">
        <f ca="1">IFERROR(__xludf.DUMMYFUNCTION("IF
(
G1655=""фізична особа""
,
VLOOKUP(H1655,IMPORTRANGE(""https://docs.google.com/spreadsheets/d/14Bd19lYaqBhU8_DElYkX7l4wRkHqqCUFNJY4AfY3kHU/edit?usp=sharing  #gid=0"",""фіз особи new!relations_name""),6,FALSE)
,
(IF
(
G1655=""юридична особа""
,
VLOOKUP"&amp;"(H1655,IMPORTRANGE(""https://docs.google.com/spreadsheets/d/14Bd19lYaqBhU8_DElYkX7l4wRkHqqCUFNJY4AfY3kHU/edit?usp=sharing  #gid=0"",""фіз особи new!relations_name_uo""),7,FALSE)
,
)
))"),"#N/A")</f>
        <v>#N/A</v>
      </c>
      <c r="J1654" s="7" t="s">
        <v>11</v>
      </c>
    </row>
    <row r="1655" spans="1:10" ht="13.2">
      <c r="A1655" s="7">
        <v>1654</v>
      </c>
      <c r="B1655" s="7">
        <v>1</v>
      </c>
      <c r="C1655" s="7" t="s">
        <v>10</v>
      </c>
      <c r="D1655" s="7">
        <v>526</v>
      </c>
      <c r="E1655" s="7" t="s">
        <v>11</v>
      </c>
      <c r="F1655" s="8" t="str">
        <f ca="1">IFERROR(__xludf.DUMMYFUNCTION("IF
(
C1656=""фізична особа""
,
VLOOKUP(D1656,IMPORTRANGE(""https://docs.google.com/spreadsheets/d/14Bd19lYaqBhU8_DElYkX7l4wRkHqqCUFNJY4AfY3kHU/edit?usp=sharing  #gid=0"",""фіз особи new!relations_name""),6,FALSE)
,
(IF
(
C1656=""юридична особа""
,
VLOOKUP"&amp;"(D1656,IMPORTRANGE(""https://docs.google.com/spreadsheets/d/14Bd19lYaqBhU8_DElYkX7l4wRkHqqCUFNJY4AfY3kHU/edit?usp=sharing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5" s="7" t="s">
        <v>10</v>
      </c>
      <c r="H1655" s="7">
        <v>0</v>
      </c>
      <c r="I1655" s="8" t="str">
        <f ca="1">IFERROR(__xludf.DUMMYFUNCTION("IF
(
G1656=""фізична особа""
,
VLOOKUP(H1656,IMPORTRANGE(""https://docs.google.com/spreadsheets/d/14Bd19lYaqBhU8_DElYkX7l4wRkHqqCUFNJY4AfY3kHU/edit?usp=sharing  #gid=0"",""фіз особи new!relations_name""),6,FALSE)
,
(IF
(
G1656=""юридична особа""
,
VLOOKUP"&amp;"(H1656,IMPORTRANGE(""https://docs.google.com/spreadsheets/d/14Bd19lYaqBhU8_DElYkX7l4wRkHqqCUFNJY4AfY3kHU/edit?usp=sharing  #gid=0"",""фіз особи new!relations_name_uo""),7,FALSE)
,
)
))"),"#N/A")</f>
        <v>#N/A</v>
      </c>
      <c r="J1655" s="7" t="s">
        <v>11</v>
      </c>
    </row>
    <row r="1656" spans="1:10" ht="13.2">
      <c r="A1656" s="7">
        <v>1655</v>
      </c>
      <c r="B1656" s="7">
        <v>1</v>
      </c>
      <c r="C1656" s="7" t="s">
        <v>10</v>
      </c>
      <c r="D1656" s="7">
        <v>526</v>
      </c>
      <c r="E1656" s="7" t="s">
        <v>11</v>
      </c>
      <c r="F1656" s="8" t="str">
        <f ca="1">IFERROR(__xludf.DUMMYFUNCTION("IF
(
C1657=""фізична особа""
,
VLOOKUP(D1657,IMPORTRANGE(""https://docs.google.com/spreadsheets/d/14Bd19lYaqBhU8_DElYkX7l4wRkHqqCUFNJY4AfY3kHU/edit?usp=sharing  #gid=0"",""фіз особи new!relations_name""),6,FALSE)
,
(IF
(
C1657=""юридична особа""
,
VLOOKUP"&amp;"(D1657,IMPORTRANGE(""https://docs.google.com/spreadsheets/d/14Bd19lYaqBhU8_DElYkX7l4wRkHqqCUFNJY4AfY3kHU/edit?usp=sharing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6" s="7" t="s">
        <v>10</v>
      </c>
      <c r="H1656" s="7">
        <v>0</v>
      </c>
      <c r="I1656" s="8" t="str">
        <f ca="1">IFERROR(__xludf.DUMMYFUNCTION("IF
(
G1657=""фізична особа""
,
VLOOKUP(H1657,IMPORTRANGE(""https://docs.google.com/spreadsheets/d/14Bd19lYaqBhU8_DElYkX7l4wRkHqqCUFNJY4AfY3kHU/edit?usp=sharing  #gid=0"",""фіз особи new!relations_name""),6,FALSE)
,
(IF
(
G1657=""юридична особа""
,
VLOOKUP"&amp;"(H1657,IMPORTRANGE(""https://docs.google.com/spreadsheets/d/14Bd19lYaqBhU8_DElYkX7l4wRkHqqCUFNJY4AfY3kHU/edit?usp=sharing  #gid=0"",""фіз особи new!relations_name_uo""),7,FALSE)
,
)
))"),"#N/A")</f>
        <v>#N/A</v>
      </c>
      <c r="J1656" s="7" t="s">
        <v>11</v>
      </c>
    </row>
    <row r="1657" spans="1:10" ht="13.2">
      <c r="A1657" s="7">
        <v>1656</v>
      </c>
      <c r="B1657" s="7">
        <v>1</v>
      </c>
      <c r="C1657" s="7" t="s">
        <v>10</v>
      </c>
      <c r="D1657" s="7">
        <v>526</v>
      </c>
      <c r="E1657" s="7" t="s">
        <v>11</v>
      </c>
      <c r="F1657" s="8" t="str">
        <f ca="1">IFERROR(__xludf.DUMMYFUNCTION("IF
(
C1658=""фізична особа""
,
VLOOKUP(D1658,IMPORTRANGE(""https://docs.google.com/spreadsheets/d/14Bd19lYaqBhU8_DElYkX7l4wRkHqqCUFNJY4AfY3kHU/edit?usp=sharing  #gid=0"",""фіз особи new!relations_name""),6,FALSE)
,
(IF
(
C1658=""юридична особа""
,
VLOOKUP"&amp;"(D1658,IMPORTRANGE(""https://docs.google.com/spreadsheets/d/14Bd19lYaqBhU8_DElYkX7l4wRkHqqCUFNJY4AfY3kHU/edit?usp=sharing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7" s="7" t="s">
        <v>10</v>
      </c>
      <c r="H1657" s="7">
        <v>79</v>
      </c>
      <c r="I1657" s="8" t="str">
        <f ca="1">IFERROR(__xludf.DUMMYFUNCTION("IF
(
G1658=""фізична особа""
,
VLOOKUP(H1658,IMPORTRANGE(""https://docs.google.com/spreadsheets/d/14Bd19lYaqBhU8_DElYkX7l4wRkHqqCUFNJY4AfY3kHU/edit?usp=sharing  #gid=0"",""фіз особи new!relations_name""),6,FALSE)
,
(IF
(
G1658=""юридична особа""
,
VLOOKUP"&amp;"(H1658,IMPORTRANGE(""https://docs.google.com/spreadsheets/d/14Bd19lYaqBhU8_DElYkX7l4wRkHqqCUFNJY4AfY3kHU/edit?usp=sharing  #gid=0"",""фіз особи new!relations_name_uo""),7,FALSE)
,
)
))"),"ЗАЙЦЕВ Олександр Миколайович")</f>
        <v>ЗАЙЦЕВ Олександр Миколайович</v>
      </c>
      <c r="J1657" s="7" t="s">
        <v>11</v>
      </c>
    </row>
    <row r="1658" spans="1:10" ht="13.2">
      <c r="A1658" s="7">
        <v>1657</v>
      </c>
      <c r="B1658" s="7">
        <v>1</v>
      </c>
      <c r="C1658" s="7" t="s">
        <v>10</v>
      </c>
      <c r="D1658" s="7">
        <v>526</v>
      </c>
      <c r="E1658" s="7" t="s">
        <v>11</v>
      </c>
      <c r="F1658" s="8" t="str">
        <f ca="1">IFERROR(__xludf.DUMMYFUNCTION("IF
(
C1659=""фізична особа""
,
VLOOKUP(D1659,IMPORTRANGE(""https://docs.google.com/spreadsheets/d/14Bd19lYaqBhU8_DElYkX7l4wRkHqqCUFNJY4AfY3kHU/edit?usp=sharing  #gid=0"",""фіз особи new!relations_name""),6,FALSE)
,
(IF
(
C1659=""юридична особа""
,
VLOOKUP"&amp;"(D1659,IMPORTRANGE(""https://docs.google.com/spreadsheets/d/14Bd19lYaqBhU8_DElYkX7l4wRkHqqCUFNJY4AfY3kHU/edit?usp=sharing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8" s="7" t="s">
        <v>10</v>
      </c>
      <c r="H1658" s="7">
        <v>0</v>
      </c>
      <c r="I1658" s="8" t="str">
        <f ca="1">IFERROR(__xludf.DUMMYFUNCTION("IF
(
G1659=""фізична особа""
,
VLOOKUP(H1659,IMPORTRANGE(""https://docs.google.com/spreadsheets/d/14Bd19lYaqBhU8_DElYkX7l4wRkHqqCUFNJY4AfY3kHU/edit?usp=sharing  #gid=0"",""фіз особи new!relations_name""),6,FALSE)
,
(IF
(
G1659=""юридична особа""
,
VLOOKUP"&amp;"(H1659,IMPORTRANGE(""https://docs.google.com/spreadsheets/d/14Bd19lYaqBhU8_DElYkX7l4wRkHqqCUFNJY4AfY3kHU/edit?usp=sharing  #gid=0"",""фіз особи new!relations_name_uo""),7,FALSE)
,
)
))"),"#N/A")</f>
        <v>#N/A</v>
      </c>
      <c r="J1658" s="7" t="s">
        <v>11</v>
      </c>
    </row>
    <row r="1659" spans="1:10" ht="13.2">
      <c r="A1659" s="7">
        <v>1658</v>
      </c>
      <c r="B1659" s="7">
        <v>1</v>
      </c>
      <c r="C1659" s="7" t="s">
        <v>10</v>
      </c>
      <c r="D1659" s="7">
        <v>526</v>
      </c>
      <c r="E1659" s="7" t="s">
        <v>11</v>
      </c>
      <c r="F1659" s="8" t="str">
        <f ca="1">IFERROR(__xludf.DUMMYFUNCTION("IF
(
C1660=""фізична особа""
,
VLOOKUP(D1660,IMPORTRANGE(""https://docs.google.com/spreadsheets/d/14Bd19lYaqBhU8_DElYkX7l4wRkHqqCUFNJY4AfY3kHU/edit?usp=sharing  #gid=0"",""фіз особи new!relations_name""),6,FALSE)
,
(IF
(
C1660=""юридична особа""
,
VLOOKUP"&amp;"(D1660,IMPORTRANGE(""https://docs.google.com/spreadsheets/d/14Bd19lYaqBhU8_DElYkX7l4wRkHqqCUFNJY4AfY3kHU/edit?usp=sharing  #gid=0"",""фіз особи new!relations_name_uo""),7,FALSE)
,
)
))"),"ВОРОБЕЙ Микола Миколайович")</f>
        <v>ВОРОБЕЙ Микола Миколайович</v>
      </c>
      <c r="G1659" s="7" t="s">
        <v>10</v>
      </c>
      <c r="H1659" s="7">
        <v>4009</v>
      </c>
      <c r="I1659" s="8" t="str">
        <f ca="1">IFERROR(__xludf.DUMMYFUNCTION("IF
(
G1660=""фізична особа""
,
VLOOKUP(H1660,IMPORTRANGE(""https://docs.google.com/spreadsheets/d/14Bd19lYaqBhU8_DElYkX7l4wRkHqqCUFNJY4AfY3kHU/edit?usp=sharing  #gid=0"",""фіз особи new!relations_name""),6,FALSE)
,
(IF
(
G1660=""юридична особа""
,
VLOOKUP"&amp;"(H1660,IMPORTRANGE(""https://docs.google.com/spreadsheets/d/14Bd19lYaqBhU8_DElYkX7l4wRkHqqCUFNJY4AfY3kHU/edit?usp=sharing  #gid=0"",""фіз особи new!relations_name_uo""),7,FALSE)
,
)
))"),"ШАКУТІН Олександр Васильович")</f>
        <v>ШАКУТІН Олександр Васильович</v>
      </c>
      <c r="J1659" s="7" t="s">
        <v>11</v>
      </c>
    </row>
    <row r="1660" spans="1:10" ht="13.2">
      <c r="A1660" s="7">
        <v>1659</v>
      </c>
      <c r="B1660" s="7">
        <v>1</v>
      </c>
      <c r="C1660" s="7" t="s">
        <v>10</v>
      </c>
      <c r="D1660" s="7">
        <v>527</v>
      </c>
      <c r="E1660" s="7" t="s">
        <v>12</v>
      </c>
      <c r="F1660" s="8" t="str">
        <f ca="1">IFERROR(__xludf.DUMMYFUNCTION("IF
(
C1661=""фізична особа""
,
VLOOKUP(D1661,IMPORTRANGE(""https://docs.google.com/spreadsheets/d/14Bd19lYaqBhU8_DElYkX7l4wRkHqqCUFNJY4AfY3kHU/edit?usp=sharing  #gid=0"",""фіз особи new!relations_name""),6,FALSE)
,
(IF
(
C1661=""юридична особа""
,
VLOOKUP"&amp;"(D1661,IMPORTRANGE(""https://docs.google.com/spreadsheets/d/14Bd19lYaqBhU8_DElYkX7l4wRkHqqCUFNJY4AfY3kHU/edit?usp=sharing  #gid=0"",""фіз особи new!relations_name_uo""),7,FALSE)
,
)
))"),"ПЕТРУНІН Микола Юрійович")</f>
        <v>ПЕТРУНІН Микола Юрійович</v>
      </c>
      <c r="G1660" s="7" t="s">
        <v>10</v>
      </c>
      <c r="H1660" s="7">
        <v>0</v>
      </c>
      <c r="I1660" s="8" t="str">
        <f ca="1">IFERROR(__xludf.DUMMYFUNCTION("IF
(
G1661=""фізична особа""
,
VLOOKUP(H1661,IMPORTRANGE(""https://docs.google.com/spreadsheets/d/14Bd19lYaqBhU8_DElYkX7l4wRkHqqCUFNJY4AfY3kHU/edit?usp=sharing  #gid=0"",""фіз особи new!relations_name""),6,FALSE)
,
(IF
(
G1661=""юридична особа""
,
VLOOKUP"&amp;"(H1661,IMPORTRANGE(""https://docs.google.com/spreadsheets/d/14Bd19lYaqBhU8_DElYkX7l4wRkHqqCUFNJY4AfY3kHU/edit?usp=sharing  #gid=0"",""фіз особи new!relations_name_uo""),7,FALSE)
,
)
))"),"#N/A")</f>
        <v>#N/A</v>
      </c>
      <c r="J1660" s="7" t="s">
        <v>17</v>
      </c>
    </row>
    <row r="1661" spans="1:10" ht="13.2">
      <c r="A1661" s="7">
        <v>1660</v>
      </c>
      <c r="B1661" s="7">
        <v>1</v>
      </c>
      <c r="C1661" s="7" t="s">
        <v>10</v>
      </c>
      <c r="D1661" s="7">
        <v>527</v>
      </c>
      <c r="E1661" s="7" t="s">
        <v>12</v>
      </c>
      <c r="F1661" s="8" t="str">
        <f ca="1">IFERROR(__xludf.DUMMYFUNCTION("IF
(
C1662=""фізична особа""
,
VLOOKUP(D1662,IMPORTRANGE(""https://docs.google.com/spreadsheets/d/14Bd19lYaqBhU8_DElYkX7l4wRkHqqCUFNJY4AfY3kHU/edit?usp=sharing  #gid=0"",""фіз особи new!relations_name""),6,FALSE)
,
(IF
(
C1662=""юридична особа""
,
VLOOKUP"&amp;"(D1662,IMPORTRANGE(""https://docs.google.com/spreadsheets/d/14Bd19lYaqBhU8_DElYkX7l4wRkHqqCUFNJY4AfY3kHU/edit?usp=sharing  #gid=0"",""фіз особи new!relations_name_uo""),7,FALSE)
,
)
))"),"ПЕТРУНІН Микола Юрійович")</f>
        <v>ПЕТРУНІН Микола Юрійович</v>
      </c>
      <c r="G1661" s="7" t="s">
        <v>10</v>
      </c>
      <c r="H1661" s="7">
        <v>0</v>
      </c>
      <c r="I1661" s="8" t="str">
        <f ca="1">IFERROR(__xludf.DUMMYFUNCTION("IF
(
G1662=""фізична особа""
,
VLOOKUP(H1662,IMPORTRANGE(""https://docs.google.com/spreadsheets/d/14Bd19lYaqBhU8_DElYkX7l4wRkHqqCUFNJY4AfY3kHU/edit?usp=sharing  #gid=0"",""фіз особи new!relations_name""),6,FALSE)
,
(IF
(
G1662=""юридична особа""
,
VLOOKUP"&amp;"(H1662,IMPORTRANGE(""https://docs.google.com/spreadsheets/d/14Bd19lYaqBhU8_DElYkX7l4wRkHqqCUFNJY4AfY3kHU/edit?usp=sharing  #gid=0"",""фіз особи new!relations_name_uo""),7,FALSE)
,
)
))"),"#N/A")</f>
        <v>#N/A</v>
      </c>
      <c r="J1661" s="7" t="s">
        <v>13</v>
      </c>
    </row>
    <row r="1662" spans="1:10" ht="13.2">
      <c r="A1662" s="7">
        <v>1661</v>
      </c>
      <c r="B1662" s="7">
        <v>1</v>
      </c>
      <c r="C1662" s="7" t="s">
        <v>10</v>
      </c>
      <c r="D1662" s="7">
        <v>527</v>
      </c>
      <c r="E1662" s="7" t="s">
        <v>12</v>
      </c>
      <c r="F1662" s="8" t="str">
        <f ca="1">IFERROR(__xludf.DUMMYFUNCTION("IF
(
C1663=""фізична особа""
,
VLOOKUP(D1663,IMPORTRANGE(""https://docs.google.com/spreadsheets/d/14Bd19lYaqBhU8_DElYkX7l4wRkHqqCUFNJY4AfY3kHU/edit?usp=sharing  #gid=0"",""фіз особи new!relations_name""),6,FALSE)
,
(IF
(
C1663=""юридична особа""
,
VLOOKUP"&amp;"(D1663,IMPORTRANGE(""https://docs.google.com/spreadsheets/d/14Bd19lYaqBhU8_DElYkX7l4wRkHqqCUFNJY4AfY3kHU/edit?usp=sharing  #gid=0"",""фіз особи new!relations_name_uo""),7,FALSE)
,
)
))"),"ПЕТРУНІН Микола Юрійович")</f>
        <v>ПЕТРУНІН Микола Юрійович</v>
      </c>
      <c r="G1662" s="7" t="s">
        <v>10</v>
      </c>
      <c r="H1662" s="7">
        <v>0</v>
      </c>
      <c r="I1662" s="8" t="str">
        <f ca="1">IFERROR(__xludf.DUMMYFUNCTION("IF
(
G1663=""фізична особа""
,
VLOOKUP(H1663,IMPORTRANGE(""https://docs.google.com/spreadsheets/d/14Bd19lYaqBhU8_DElYkX7l4wRkHqqCUFNJY4AfY3kHU/edit?usp=sharing  #gid=0"",""фіз особи new!relations_name""),6,FALSE)
,
(IF
(
G1663=""юридична особа""
,
VLOOKUP"&amp;"(H1663,IMPORTRANGE(""https://docs.google.com/spreadsheets/d/14Bd19lYaqBhU8_DElYkX7l4wRkHqqCUFNJY4AfY3kHU/edit?usp=sharing  #gid=0"",""фіз особи new!relations_name_uo""),7,FALSE)
,
)
))"),"#N/A")</f>
        <v>#N/A</v>
      </c>
      <c r="J1662" s="7" t="s">
        <v>17</v>
      </c>
    </row>
    <row r="1663" spans="1:10" ht="13.2">
      <c r="A1663" s="7">
        <v>1662</v>
      </c>
      <c r="B1663" s="7">
        <v>1</v>
      </c>
      <c r="C1663" s="7" t="s">
        <v>10</v>
      </c>
      <c r="D1663" s="7">
        <v>528</v>
      </c>
      <c r="E1663" s="7" t="s">
        <v>15</v>
      </c>
      <c r="F1663" s="8" t="str">
        <f ca="1">IFERROR(__xludf.DUMMYFUNCTION("IF
(
C1664=""фізична особа""
,
VLOOKUP(D1664,IMPORTRANGE(""https://docs.google.com/spreadsheets/d/14Bd19lYaqBhU8_DElYkX7l4wRkHqqCUFNJY4AfY3kHU/edit?usp=sharing  #gid=0"",""фіз особи new!relations_name""),6,FALSE)
,
(IF
(
C1664=""юридична особа""
,
VLOOKUP"&amp;"(D1664,IMPORTRANGE(""https://docs.google.com/spreadsheets/d/14Bd19lYaqBhU8_DElYkX7l4wRkHqqCUFNJY4AfY3kHU/edit?usp=sharing  #gid=0"",""фіз особи new!relations_name_uo""),7,FALSE)
,
)
))"),"ОСТАНІНА Ніна Олександрівна")</f>
        <v>ОСТАНІНА Ніна Олександрівна</v>
      </c>
      <c r="G1663" s="7" t="s">
        <v>10</v>
      </c>
      <c r="H1663" s="7">
        <v>0</v>
      </c>
      <c r="I1663" s="8" t="str">
        <f ca="1">IFERROR(__xludf.DUMMYFUNCTION("IF
(
G1664=""фізична особа""
,
VLOOKUP(H1664,IMPORTRANGE(""https://docs.google.com/spreadsheets/d/14Bd19lYaqBhU8_DElYkX7l4wRkHqqCUFNJY4AfY3kHU/edit?usp=sharing  #gid=0"",""фіз особи new!relations_name""),6,FALSE)
,
(IF
(
G1664=""юридична особа""
,
VLOOKUP"&amp;"(H1664,IMPORTRANGE(""https://docs.google.com/spreadsheets/d/14Bd19lYaqBhU8_DElYkX7l4wRkHqqCUFNJY4AfY3kHU/edit?usp=sharing  #gid=0"",""фіз особи new!relations_name_uo""),7,FALSE)
,
)
))"),"#N/A")</f>
        <v>#N/A</v>
      </c>
      <c r="J1663" s="7" t="s">
        <v>14</v>
      </c>
    </row>
    <row r="1664" spans="1:10" ht="13.2">
      <c r="A1664" s="7">
        <v>1663</v>
      </c>
      <c r="B1664" s="7">
        <v>1</v>
      </c>
      <c r="C1664" s="7" t="s">
        <v>10</v>
      </c>
      <c r="D1664" s="7">
        <v>528</v>
      </c>
      <c r="E1664" s="7" t="s">
        <v>21</v>
      </c>
      <c r="F1664" s="8" t="str">
        <f ca="1">IFERROR(__xludf.DUMMYFUNCTION("IF
(
C1665=""фізична особа""
,
VLOOKUP(D1665,IMPORTRANGE(""https://docs.google.com/spreadsheets/d/14Bd19lYaqBhU8_DElYkX7l4wRkHqqCUFNJY4AfY3kHU/edit?usp=sharing  #gid=0"",""фіз особи new!relations_name""),6,FALSE)
,
(IF
(
C1665=""юридична особа""
,
VLOOKUP"&amp;"(D1665,IMPORTRANGE(""https://docs.google.com/spreadsheets/d/14Bd19lYaqBhU8_DElYkX7l4wRkHqqCUFNJY4AfY3kHU/edit?usp=sharing  #gid=0"",""фіз особи new!relations_name_uo""),7,FALSE)
,
)
))"),"ОСТАНІНА Ніна Олександрівна")</f>
        <v>ОСТАНІНА Ніна Олександрівна</v>
      </c>
      <c r="G1664" s="7" t="s">
        <v>10</v>
      </c>
      <c r="H1664" s="7">
        <v>0</v>
      </c>
      <c r="I1664" s="8" t="str">
        <f ca="1">IFERROR(__xludf.DUMMYFUNCTION("IF
(
G1665=""фізична особа""
,
VLOOKUP(H1665,IMPORTRANGE(""https://docs.google.com/spreadsheets/d/14Bd19lYaqBhU8_DElYkX7l4wRkHqqCUFNJY4AfY3kHU/edit?usp=sharing  #gid=0"",""фіз особи new!relations_name""),6,FALSE)
,
(IF
(
G1665=""юридична особа""
,
VLOOKUP"&amp;"(H1665,IMPORTRANGE(""https://docs.google.com/spreadsheets/d/14Bd19lYaqBhU8_DElYkX7l4wRkHqqCUFNJY4AfY3kHU/edit?usp=sharing  #gid=0"",""фіз особи new!relations_name_uo""),7,FALSE)
,
)
))"),"#N/A")</f>
        <v>#N/A</v>
      </c>
      <c r="J1664" s="7" t="s">
        <v>17</v>
      </c>
    </row>
    <row r="1665" spans="1:10" ht="13.2">
      <c r="A1665" s="7">
        <v>1664</v>
      </c>
      <c r="B1665" s="7">
        <v>1</v>
      </c>
      <c r="C1665" s="7" t="s">
        <v>10</v>
      </c>
      <c r="D1665" s="7">
        <v>528</v>
      </c>
      <c r="E1665" s="7" t="s">
        <v>48</v>
      </c>
      <c r="F1665" s="8" t="str">
        <f ca="1">IFERROR(__xludf.DUMMYFUNCTION("IF
(
C1666=""фізична особа""
,
VLOOKUP(D1666,IMPORTRANGE(""https://docs.google.com/spreadsheets/d/14Bd19lYaqBhU8_DElYkX7l4wRkHqqCUFNJY4AfY3kHU/edit?usp=sharing  #gid=0"",""фіз особи new!relations_name""),6,FALSE)
,
(IF
(
C1666=""юридична особа""
,
VLOOKUP"&amp;"(D1666,IMPORTRANGE(""https://docs.google.com/spreadsheets/d/14Bd19lYaqBhU8_DElYkX7l4wRkHqqCUFNJY4AfY3kHU/edit?usp=sharing  #gid=0"",""фіз особи new!relations_name_uo""),7,FALSE)
,
)
))"),"ОСТАНІНА Ніна Олександрівна")</f>
        <v>ОСТАНІНА Ніна Олександрівна</v>
      </c>
      <c r="G1665" s="7" t="s">
        <v>10</v>
      </c>
      <c r="H1665" s="7">
        <v>23395</v>
      </c>
      <c r="I1665" s="8" t="str">
        <f ca="1">IFERROR(__xludf.DUMMYFUNCTION("IF
(
G1666=""фізична особа""
,
VLOOKUP(H1666,IMPORTRANGE(""https://docs.google.com/spreadsheets/d/14Bd19lYaqBhU8_DElYkX7l4wRkHqqCUFNJY4AfY3kHU/edit?usp=sharing  #gid=0"",""фіз особи new!relations_name""),6,FALSE)
,
(IF
(
G1666=""юридична особа""
,
VLOOKUP"&amp;"(H1666,IMPORTRANGE(""https://docs.google.com/spreadsheets/d/14Bd19lYaqBhU8_DElYkX7l4wRkHqqCUFNJY4AfY3kHU/edit?usp=sharing  #gid=0"",""фіз особи new!relations_name_uo""),7,FALSE)
,
)
))"),"ТУЛЕЄВ Аман Гумирович")</f>
        <v>ТУЛЕЄВ Аман Гумирович</v>
      </c>
      <c r="J1665" s="7" t="s">
        <v>48</v>
      </c>
    </row>
    <row r="1666" spans="1:10" ht="13.2">
      <c r="A1666" s="7">
        <v>1665</v>
      </c>
      <c r="B1666" s="7">
        <v>1</v>
      </c>
      <c r="C1666" s="7" t="s">
        <v>10</v>
      </c>
      <c r="D1666" s="7">
        <v>528</v>
      </c>
      <c r="E1666" s="7" t="s">
        <v>48</v>
      </c>
      <c r="F1666" s="8" t="str">
        <f ca="1">IFERROR(__xludf.DUMMYFUNCTION("IF
(
C1667=""фізична особа""
,
VLOOKUP(D1667,IMPORTRANGE(""https://docs.google.com/spreadsheets/d/14Bd19lYaqBhU8_DElYkX7l4wRkHqqCUFNJY4AfY3kHU/edit?usp=sharing  #gid=0"",""фіз особи new!relations_name""),6,FALSE)
,
(IF
(
C1667=""юридична особа""
,
VLOOKUP"&amp;"(D1667,IMPORTRANGE(""https://docs.google.com/spreadsheets/d/14Bd19lYaqBhU8_DElYkX7l4wRkHqqCUFNJY4AfY3kHU/edit?usp=sharing  #gid=0"",""фіз особи new!relations_name_uo""),7,FALSE)
,
)
))"),"ОСТАНІНА Ніна Олександрівна")</f>
        <v>ОСТАНІНА Ніна Олександрівна</v>
      </c>
      <c r="G1666" s="7" t="s">
        <v>10</v>
      </c>
      <c r="H1666" s="7">
        <v>0</v>
      </c>
      <c r="I1666" s="8" t="str">
        <f ca="1">IFERROR(__xludf.DUMMYFUNCTION("IF
(
G1667=""фізична особа""
,
VLOOKUP(H1667,IMPORTRANGE(""https://docs.google.com/spreadsheets/d/14Bd19lYaqBhU8_DElYkX7l4wRkHqqCUFNJY4AfY3kHU/edit?usp=sharing  #gid=0"",""фіз особи new!relations_name""),6,FALSE)
,
(IF
(
G1667=""юридична особа""
,
VLOOKUP"&amp;"(H1667,IMPORTRANGE(""https://docs.google.com/spreadsheets/d/14Bd19lYaqBhU8_DElYkX7l4wRkHqqCUFNJY4AfY3kHU/edit?usp=sharing  #gid=0"",""фіз особи new!relations_name_uo""),7,FALSE)
,
)
))"),"#N/A")</f>
        <v>#N/A</v>
      </c>
      <c r="J1666" s="7" t="s">
        <v>48</v>
      </c>
    </row>
    <row r="1667" spans="1:10" ht="13.2">
      <c r="A1667" s="7">
        <v>1666</v>
      </c>
      <c r="B1667" s="7">
        <v>1</v>
      </c>
      <c r="C1667" s="7" t="s">
        <v>10</v>
      </c>
      <c r="D1667" s="7">
        <v>529</v>
      </c>
      <c r="E1667" s="7" t="s">
        <v>48</v>
      </c>
      <c r="F1667" s="8" t="str">
        <f ca="1">IFERROR(__xludf.DUMMYFUNCTION("IF
(
C1668=""фізична особа""
,
VLOOKUP(D1668,IMPORTRANGE(""https://docs.google.com/spreadsheets/d/14Bd19lYaqBhU8_DElYkX7l4wRkHqqCUFNJY4AfY3kHU/edit?usp=sharing  #gid=0"",""фіз особи new!relations_name""),6,FALSE)
,
(IF
(
C1668=""юридична особа""
,
VLOOKUP"&amp;"(D1668,IMPORTRANGE(""https://docs.google.com/spreadsheets/d/14Bd19lYaqBhU8_DElYkX7l4wRkHqqCUFNJY4AfY3kHU/edit?usp=sharing  #gid=0"",""фіз особи new!relations_name_uo""),7,FALSE)
,
)
))"),"КУЛИКОВСЬКИХ Ніна Германівна")</f>
        <v>КУЛИКОВСЬКИХ Ніна Германівна</v>
      </c>
      <c r="G1667" s="7" t="s">
        <v>10</v>
      </c>
      <c r="H1667" s="7">
        <v>2561</v>
      </c>
      <c r="I1667" s="8" t="str">
        <f ca="1">IFERROR(__xludf.DUMMYFUNCTION("IF
(
G1668=""фізична особа""
,
VLOOKUP(H1668,IMPORTRANGE(""https://docs.google.com/spreadsheets/d/14Bd19lYaqBhU8_DElYkX7l4wRkHqqCUFNJY4AfY3kHU/edit?usp=sharing  #gid=0"",""фіз особи new!relations_name""),6,FALSE)
,
(IF
(
G1668=""юридична особа""
,
VLOOKUP"&amp;"(H1668,IMPORTRANGE(""https://docs.google.com/spreadsheets/d/14Bd19lYaqBhU8_DElYkX7l4wRkHqqCUFNJY4AfY3kHU/edit?usp=sharing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J1667" s="7" t="s">
        <v>48</v>
      </c>
    </row>
    <row r="1668" spans="1:10" ht="13.2">
      <c r="A1668" s="7">
        <v>1667</v>
      </c>
      <c r="B1668" s="7">
        <v>1</v>
      </c>
      <c r="C1668" s="7" t="s">
        <v>10</v>
      </c>
      <c r="D1668" s="7">
        <v>530</v>
      </c>
      <c r="E1668" s="7" t="s">
        <v>29</v>
      </c>
      <c r="F1668" s="8" t="str">
        <f ca="1">IFERROR(__xludf.DUMMYFUNCTION("IF
(
C1669=""фізична особа""
,
VLOOKUP(D1669,IMPORTRANGE(""https://docs.google.com/spreadsheets/d/14Bd19lYaqBhU8_DElYkX7l4wRkHqqCUFNJY4AfY3kHU/edit?usp=sharing  #gid=0"",""фіз особи new!relations_name""),6,FALSE)
,
(IF
(
C1669=""юридична особа""
,
VLOOKUP"&amp;"(D1669,IMPORTRANGE(""https://docs.google.com/spreadsheets/d/14Bd19lYaqBhU8_DElYkX7l4wRkHqqCUFNJY4AfY3kHU/edit?usp=sharing  #gid=0"",""фіз особи new!relations_name_uo""),7,FALSE)
,
)
))"),"ФАУСТОВА Ніна Сергіївна")</f>
        <v>ФАУСТОВА Ніна Сергіївна</v>
      </c>
      <c r="G1668" s="7" t="s">
        <v>10</v>
      </c>
      <c r="H1668" s="7">
        <v>24</v>
      </c>
      <c r="I1668" s="8" t="str">
        <f ca="1">IFERROR(__xludf.DUMMYFUNCTION("IF
(
G1669=""фізична особа""
,
VLOOKUP(H1669,IMPORTRANGE(""https://docs.google.com/spreadsheets/d/14Bd19lYaqBhU8_DElYkX7l4wRkHqqCUFNJY4AfY3kHU/edit?usp=sharing  #gid=0"",""фіз особи new!relations_name""),6,FALSE)
,
(IF
(
G1669=""юридична особа""
,
VLOOKUP"&amp;"(H1669,IMPORTRANGE(""https://docs.google.com/spreadsheets/d/14Bd19lYaqBhU8_DElYkX7l4wRkHqqCUFNJY4AfY3kHU/edit?usp=sharing  #gid=0"",""фіз особи new!relations_name_uo""),7,FALSE)
,
)
))"),"ЧМИХАЛОВ Олександр Євгенович")</f>
        <v>ЧМИХАЛОВ Олександр Євгенович</v>
      </c>
      <c r="J1668" s="7" t="s">
        <v>78</v>
      </c>
    </row>
    <row r="1669" spans="1:10" ht="13.2">
      <c r="A1669" s="7">
        <v>1668</v>
      </c>
      <c r="B1669" s="7">
        <v>1</v>
      </c>
      <c r="C1669" s="7" t="s">
        <v>10</v>
      </c>
      <c r="D1669" s="7">
        <v>530</v>
      </c>
      <c r="E1669" s="7" t="s">
        <v>28</v>
      </c>
      <c r="F1669" s="8" t="str">
        <f ca="1">IFERROR(__xludf.DUMMYFUNCTION("IF
(
C1670=""фізична особа""
,
VLOOKUP(D1670,IMPORTRANGE(""https://docs.google.com/spreadsheets/d/14Bd19lYaqBhU8_DElYkX7l4wRkHqqCUFNJY4AfY3kHU/edit?usp=sharing  #gid=0"",""фіз особи new!relations_name""),6,FALSE)
,
(IF
(
C1670=""юридична особа""
,
VLOOKUP"&amp;"(D1670,IMPORTRANGE(""https://docs.google.com/spreadsheets/d/14Bd19lYaqBhU8_DElYkX7l4wRkHqqCUFNJY4AfY3kHU/edit?usp=sharing  #gid=0"",""фіз особи new!relations_name_uo""),7,FALSE)
,
)
))"),"ФАУСТОВА Ніна Сергіївна")</f>
        <v>ФАУСТОВА Ніна Сергіївна</v>
      </c>
      <c r="G1669" s="7" t="s">
        <v>10</v>
      </c>
      <c r="H1669" s="7">
        <v>4519</v>
      </c>
      <c r="I1669" s="8" t="str">
        <f ca="1">IFERROR(__xludf.DUMMYFUNCTION("IF
(
G1670=""фізична особа""
,
VLOOKUP(H1670,IMPORTRANGE(""https://docs.google.com/spreadsheets/d/14Bd19lYaqBhU8_DElYkX7l4wRkHqqCUFNJY4AfY3kHU/edit?usp=sharing  #gid=0"",""фіз особи new!relations_name""),6,FALSE)
,
(IF
(
G1670=""юридична особа""
,
VLOOKUP"&amp;"(H1670,IMPORTRANGE(""https://docs.google.com/spreadsheets/d/14Bd19lYaqBhU8_DElYkX7l4wRkHqqCUFNJY4AfY3kHU/edit?usp=sharing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J1669" s="7" t="s">
        <v>29</v>
      </c>
    </row>
    <row r="1670" spans="1:10" ht="13.2">
      <c r="A1670" s="7">
        <v>1669</v>
      </c>
      <c r="B1670" s="7">
        <v>1</v>
      </c>
      <c r="C1670" s="7" t="s">
        <v>10</v>
      </c>
      <c r="D1670" s="7">
        <v>531</v>
      </c>
      <c r="E1670" s="7" t="s">
        <v>11</v>
      </c>
      <c r="F1670" s="8" t="str">
        <f ca="1">IFERROR(__xludf.DUMMYFUNCTION("IF
(
C1671=""фізична особа""
,
VLOOKUP(D1671,IMPORTRANGE(""https://docs.google.com/spreadsheets/d/14Bd19lYaqBhU8_DElYkX7l4wRkHqqCUFNJY4AfY3kHU/edit?usp=sharing  #gid=0"",""фіз особи new!relations_name""),6,FALSE)
,
(IF
(
C1671=""юридична особа""
,
VLOOKUP"&amp;"(D1671,IMPORTRANGE(""https://docs.google.com/spreadsheets/d/14Bd19lYaqBhU8_DElYkX7l4wRkHqqCUFNJY4AfY3kHU/edit?usp=sharing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0" s="7" t="s">
        <v>10</v>
      </c>
      <c r="H1670" s="7">
        <v>367</v>
      </c>
      <c r="I1670" s="8" t="str">
        <f ca="1">IFERROR(__xludf.DUMMYFUNCTION("IF
(
G1671=""фізична особа""
,
VLOOKUP(H1671,IMPORTRANGE(""https://docs.google.com/spreadsheets/d/14Bd19lYaqBhU8_DElYkX7l4wRkHqqCUFNJY4AfY3kHU/edit?usp=sharing  #gid=0"",""фіз особи new!relations_name""),6,FALSE)
,
(IF
(
G1671=""юридична особа""
,
VLOOKUP"&amp;"(H1671,IMPORTRANGE(""https://docs.google.com/spreadsheets/d/14Bd19lYaqBhU8_DElYkX7l4wRkHqqCUFNJY4AfY3kHU/edit?usp=sharing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1670" s="7" t="s">
        <v>11</v>
      </c>
    </row>
    <row r="1671" spans="1:10" ht="13.2">
      <c r="A1671" s="7">
        <v>1670</v>
      </c>
      <c r="B1671" s="7">
        <v>1</v>
      </c>
      <c r="C1671" s="7" t="s">
        <v>10</v>
      </c>
      <c r="D1671" s="7">
        <v>531</v>
      </c>
      <c r="E1671" s="7" t="s">
        <v>29</v>
      </c>
      <c r="F1671" s="8" t="str">
        <f ca="1">IFERROR(__xludf.DUMMYFUNCTION("IF
(
C1672=""фізична особа""
,
VLOOKUP(D1672,IMPORTRANGE(""https://docs.google.com/spreadsheets/d/14Bd19lYaqBhU8_DElYkX7l4wRkHqqCUFNJY4AfY3kHU/edit?usp=sharing  #gid=0"",""фіз особи new!relations_name""),6,FALSE)
,
(IF
(
C1672=""юридична особа""
,
VLOOKUP"&amp;"(D1672,IMPORTRANGE(""https://docs.google.com/spreadsheets/d/14Bd19lYaqBhU8_DElYkX7l4wRkHqqCUFNJY4AfY3kHU/edit?usp=sharing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1" s="7" t="s">
        <v>10</v>
      </c>
      <c r="H1671" s="7">
        <v>489</v>
      </c>
      <c r="I1671" s="8" t="str">
        <f ca="1">IFERROR(__xludf.DUMMYFUNCTION("IF
(
G1672=""фізична особа""
,
VLOOKUP(H1672,IMPORTRANGE(""https://docs.google.com/spreadsheets/d/14Bd19lYaqBhU8_DElYkX7l4wRkHqqCUFNJY4AfY3kHU/edit?usp=sharing  #gid=0"",""фіз особи new!relations_name""),6,FALSE)
,
(IF
(
G1672=""юридична особа""
,
VLOOKUP"&amp;"(H1672,IMPORTRANGE(""https://docs.google.com/spreadsheets/d/14Bd19lYaqBhU8_DElYkX7l4wRkHqqCUFNJY4AfY3kHU/edit?usp=sharing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1671" s="7" t="s">
        <v>28</v>
      </c>
    </row>
    <row r="1672" spans="1:10" ht="13.2">
      <c r="A1672" s="7">
        <v>1671</v>
      </c>
      <c r="B1672" s="7">
        <v>1</v>
      </c>
      <c r="C1672" s="7" t="s">
        <v>10</v>
      </c>
      <c r="D1672" s="7">
        <v>531</v>
      </c>
      <c r="E1672" s="7" t="s">
        <v>11</v>
      </c>
      <c r="F1672" s="8" t="str">
        <f ca="1">IFERROR(__xludf.DUMMYFUNCTION("IF
(
C1673=""фізична особа""
,
VLOOKUP(D1673,IMPORTRANGE(""https://docs.google.com/spreadsheets/d/14Bd19lYaqBhU8_DElYkX7l4wRkHqqCUFNJY4AfY3kHU/edit?usp=sharing  #gid=0"",""фіз особи new!relations_name""),6,FALSE)
,
(IF
(
C1673=""юридична особа""
,
VLOOKUP"&amp;"(D1673,IMPORTRANGE(""https://docs.google.com/spreadsheets/d/14Bd19lYaqBhU8_DElYkX7l4wRkHqqCUFNJY4AfY3kHU/edit?usp=sharing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2" s="7" t="s">
        <v>10</v>
      </c>
      <c r="H1672" s="7">
        <v>320</v>
      </c>
      <c r="I1672" s="8" t="str">
        <f ca="1">IFERROR(__xludf.DUMMYFUNCTION("IF
(
G1673=""фізична особа""
,
VLOOKUP(H1673,IMPORTRANGE(""https://docs.google.com/spreadsheets/d/14Bd19lYaqBhU8_DElYkX7l4wRkHqqCUFNJY4AfY3kHU/edit?usp=sharing  #gid=0"",""фіз особи new!relations_name""),6,FALSE)
,
(IF
(
G1673=""юридична особа""
,
VLOOKUP"&amp;"(H1673,IMPORTRANGE(""https://docs.google.com/spreadsheets/d/14Bd19lYaqBhU8_DElYkX7l4wRkHqqCUFNJY4AfY3kHU/edit?usp=sharing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1672" s="7" t="s">
        <v>11</v>
      </c>
    </row>
    <row r="1673" spans="1:10" ht="13.2">
      <c r="A1673" s="7">
        <v>1672</v>
      </c>
      <c r="B1673" s="7">
        <v>1</v>
      </c>
      <c r="C1673" s="7" t="s">
        <v>10</v>
      </c>
      <c r="D1673" s="7">
        <v>531</v>
      </c>
      <c r="E1673" s="7" t="s">
        <v>29</v>
      </c>
      <c r="F1673" s="8" t="str">
        <f ca="1">IFERROR(__xludf.DUMMYFUNCTION("IF
(
C1674=""фізична особа""
,
VLOOKUP(D1674,IMPORTRANGE(""https://docs.google.com/spreadsheets/d/14Bd19lYaqBhU8_DElYkX7l4wRkHqqCUFNJY4AfY3kHU/edit?usp=sharing  #gid=0"",""фіз особи new!relations_name""),6,FALSE)
,
(IF
(
C1674=""юридична особа""
,
VLOOKUP"&amp;"(D1674,IMPORTRANGE(""https://docs.google.com/spreadsheets/d/14Bd19lYaqBhU8_DElYkX7l4wRkHqqCUFNJY4AfY3kHU/edit?usp=sharing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3" s="7" t="s">
        <v>10</v>
      </c>
      <c r="H1673" s="7">
        <v>385</v>
      </c>
      <c r="I1673" s="8" t="str">
        <f ca="1">IFERROR(__xludf.DUMMYFUNCTION("IF
(
G1674=""фізична особа""
,
VLOOKUP(H1674,IMPORTRANGE(""https://docs.google.com/spreadsheets/d/14Bd19lYaqBhU8_DElYkX7l4wRkHqqCUFNJY4AfY3kHU/edit?usp=sharing  #gid=0"",""фіз особи new!relations_name""),6,FALSE)
,
(IF
(
G1674=""юридична особа""
,
VLOOKUP"&amp;"(H1674,IMPORTRANGE(""https://docs.google.com/spreadsheets/d/14Bd19lYaqBhU8_DElYkX7l4wRkHqqCUFNJY4AfY3kHU/edit?usp=sharing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1673" s="7" t="s">
        <v>28</v>
      </c>
    </row>
    <row r="1674" spans="1:10" ht="13.2">
      <c r="A1674" s="7">
        <v>1673</v>
      </c>
      <c r="B1674" s="7">
        <v>1</v>
      </c>
      <c r="C1674" s="7" t="s">
        <v>10</v>
      </c>
      <c r="D1674" s="7">
        <v>531</v>
      </c>
      <c r="E1674" s="7" t="s">
        <v>29</v>
      </c>
      <c r="F1674" s="8" t="str">
        <f ca="1">IFERROR(__xludf.DUMMYFUNCTION("IF
(
C1675=""фізична особа""
,
VLOOKUP(D1675,IMPORTRANGE(""https://docs.google.com/spreadsheets/d/14Bd19lYaqBhU8_DElYkX7l4wRkHqqCUFNJY4AfY3kHU/edit?usp=sharing  #gid=0"",""фіз особи new!relations_name""),6,FALSE)
,
(IF
(
C1675=""юридична особа""
,
VLOOKUP"&amp;"(D1675,IMPORTRANGE(""https://docs.google.com/spreadsheets/d/14Bd19lYaqBhU8_DElYkX7l4wRkHqqCUFNJY4AfY3kHU/edit?usp=sharing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4" s="7" t="s">
        <v>10</v>
      </c>
      <c r="H1674" s="7">
        <v>794</v>
      </c>
      <c r="I1674" s="8" t="str">
        <f ca="1">IFERROR(__xludf.DUMMYFUNCTION("IF
(
G1675=""фізична особа""
,
VLOOKUP(H1675,IMPORTRANGE(""https://docs.google.com/spreadsheets/d/14Bd19lYaqBhU8_DElYkX7l4wRkHqqCUFNJY4AfY3kHU/edit?usp=sharing  #gid=0"",""фіз особи new!relations_name""),6,FALSE)
,
(IF
(
G1675=""юридична особа""
,
VLOOKUP"&amp;"(H1675,IMPORTRANGE(""https://docs.google.com/spreadsheets/d/14Bd19lYaqBhU8_DElYkX7l4wRkHqqCUFNJY4AfY3kHU/edit?usp=sharing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1674" s="7" t="s">
        <v>28</v>
      </c>
    </row>
    <row r="1675" spans="1:10" ht="13.2">
      <c r="A1675" s="7">
        <v>1674</v>
      </c>
      <c r="B1675" s="7">
        <v>1</v>
      </c>
      <c r="C1675" s="7" t="s">
        <v>10</v>
      </c>
      <c r="D1675" s="7">
        <v>531</v>
      </c>
      <c r="E1675" s="7" t="s">
        <v>29</v>
      </c>
      <c r="F1675" s="8" t="str">
        <f ca="1">IFERROR(__xludf.DUMMYFUNCTION("IF
(
C1676=""фізична особа""
,
VLOOKUP(D1676,IMPORTRANGE(""https://docs.google.com/spreadsheets/d/14Bd19lYaqBhU8_DElYkX7l4wRkHqqCUFNJY4AfY3kHU/edit?usp=sharing  #gid=0"",""фіз особи new!relations_name""),6,FALSE)
,
(IF
(
C1676=""юридична особа""
,
VLOOKUP"&amp;"(D1676,IMPORTRANGE(""https://docs.google.com/spreadsheets/d/14Bd19lYaqBhU8_DElYkX7l4wRkHqqCUFNJY4AfY3kHU/edit?usp=sharing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5" s="7" t="s">
        <v>10</v>
      </c>
      <c r="H1675" s="7">
        <v>754</v>
      </c>
      <c r="I1675" s="8" t="str">
        <f ca="1">IFERROR(__xludf.DUMMYFUNCTION("IF
(
G1676=""фізична особа""
,
VLOOKUP(H1676,IMPORTRANGE(""https://docs.google.com/spreadsheets/d/14Bd19lYaqBhU8_DElYkX7l4wRkHqqCUFNJY4AfY3kHU/edit?usp=sharing  #gid=0"",""фіз особи new!relations_name""),6,FALSE)
,
(IF
(
G1676=""юридична особа""
,
VLOOKUP"&amp;"(H1676,IMPORTRANGE(""https://docs.google.com/spreadsheets/d/14Bd19lYaqBhU8_DElYkX7l4wRkHqqCUFNJY4AfY3kHU/edit?usp=sharing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1675" s="7" t="s">
        <v>28</v>
      </c>
    </row>
    <row r="1676" spans="1:10" ht="13.2">
      <c r="A1676" s="7">
        <v>1675</v>
      </c>
      <c r="B1676" s="7">
        <v>1</v>
      </c>
      <c r="C1676" s="7" t="s">
        <v>10</v>
      </c>
      <c r="D1676" s="7">
        <v>531</v>
      </c>
      <c r="E1676" s="7" t="s">
        <v>11</v>
      </c>
      <c r="F1676" s="8" t="str">
        <f ca="1">IFERROR(__xludf.DUMMYFUNCTION("IF
(
C1677=""фізична особа""
,
VLOOKUP(D1677,IMPORTRANGE(""https://docs.google.com/spreadsheets/d/14Bd19lYaqBhU8_DElYkX7l4wRkHqqCUFNJY4AfY3kHU/edit?usp=sharing  #gid=0"",""фіз особи new!relations_name""),6,FALSE)
,
(IF
(
C1677=""юридична особа""
,
VLOOKUP"&amp;"(D1677,IMPORTRANGE(""https://docs.google.com/spreadsheets/d/14Bd19lYaqBhU8_DElYkX7l4wRkHqqCUFNJY4AfY3kHU/edit?usp=sharing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6" s="7" t="s">
        <v>10</v>
      </c>
      <c r="H1676" s="7">
        <v>386</v>
      </c>
      <c r="I1676" s="8" t="str">
        <f ca="1">IFERROR(__xludf.DUMMYFUNCTION("IF
(
G1677=""фізична особа""
,
VLOOKUP(H1677,IMPORTRANGE(""https://docs.google.com/spreadsheets/d/14Bd19lYaqBhU8_DElYkX7l4wRkHqqCUFNJY4AfY3kHU/edit?usp=sharing  #gid=0"",""фіз особи new!relations_name""),6,FALSE)
,
(IF
(
G1677=""юридична особа""
,
VLOOKUP"&amp;"(H1677,IMPORTRANGE(""https://docs.google.com/spreadsheets/d/14Bd19lYaqBhU8_DElYkX7l4wRkHqqCUFNJY4AfY3kHU/edit?usp=sharing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1676" s="7" t="s">
        <v>11</v>
      </c>
    </row>
    <row r="1677" spans="1:10" ht="13.2">
      <c r="A1677" s="7">
        <v>1676</v>
      </c>
      <c r="B1677" s="7">
        <v>1</v>
      </c>
      <c r="C1677" s="7" t="s">
        <v>10</v>
      </c>
      <c r="D1677" s="7">
        <v>531</v>
      </c>
      <c r="E1677" s="7" t="s">
        <v>29</v>
      </c>
      <c r="F1677" s="8" t="str">
        <f ca="1">IFERROR(__xludf.DUMMYFUNCTION("IF
(
C1678=""фізична особа""
,
VLOOKUP(D1678,IMPORTRANGE(""https://docs.google.com/spreadsheets/d/14Bd19lYaqBhU8_DElYkX7l4wRkHqqCUFNJY4AfY3kHU/edit?usp=sharing  #gid=0"",""фіз особи new!relations_name""),6,FALSE)
,
(IF
(
C1678=""юридична особа""
,
VLOOKUP"&amp;"(D1678,IMPORTRANGE(""https://docs.google.com/spreadsheets/d/14Bd19lYaqBhU8_DElYkX7l4wRkHqqCUFNJY4AfY3kHU/edit?usp=sharing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G1677" s="7" t="s">
        <v>10</v>
      </c>
      <c r="H1677" s="7">
        <v>355</v>
      </c>
      <c r="I1677" s="8" t="str">
        <f ca="1">IFERROR(__xludf.DUMMYFUNCTION("IF
(
G1678=""фізична особа""
,
VLOOKUP(H1678,IMPORTRANGE(""https://docs.google.com/spreadsheets/d/14Bd19lYaqBhU8_DElYkX7l4wRkHqqCUFNJY4AfY3kHU/edit?usp=sharing  #gid=0"",""фіз особи new!relations_name""),6,FALSE)
,
(IF
(
G1678=""юридична особа""
,
VLOOKUP"&amp;"(H1678,IMPORTRANGE(""https://docs.google.com/spreadsheets/d/14Bd19lYaqBhU8_DElYkX7l4wRkHqqCUFNJY4AfY3kHU/edit?usp=sharing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1677" s="7" t="s">
        <v>28</v>
      </c>
    </row>
    <row r="1678" spans="1:10" ht="13.2">
      <c r="A1678" s="7">
        <v>1677</v>
      </c>
      <c r="B1678" s="7">
        <v>1</v>
      </c>
      <c r="C1678" s="7" t="s">
        <v>10</v>
      </c>
      <c r="D1678" s="7">
        <v>532</v>
      </c>
      <c r="E1678" s="7" t="s">
        <v>14</v>
      </c>
      <c r="F1678" s="8" t="str">
        <f ca="1">IFERROR(__xludf.DUMMYFUNCTION("IF
(
C1679=""фізична особа""
,
VLOOKUP(D1679,IMPORTRANGE(""https://docs.google.com/spreadsheets/d/14Bd19lYaqBhU8_DElYkX7l4wRkHqqCUFNJY4AfY3kHU/edit?usp=sharing  #gid=0"",""фіз особи new!relations_name""),6,FALSE)
,
(IF
(
C1679=""юридична особа""
,
VLOOKUP"&amp;"(D1679,IMPORTRANGE(""https://docs.google.com/spreadsheets/d/14Bd19lYaqBhU8_DElYkX7l4wRkHqqCUFNJY4AfY3kHU/edit?usp=sharing  #gid=0"",""фіз особи new!relations_name_uo""),7,FALSE)
,
)
))"),"НУРБАГАНДОВ Нурбаганд Магомедович")</f>
        <v>НУРБАГАНДОВ Нурбаганд Магомедович</v>
      </c>
      <c r="G1678" s="7" t="s">
        <v>10</v>
      </c>
      <c r="H1678" s="7">
        <v>0</v>
      </c>
      <c r="I1678" s="8" t="str">
        <f ca="1">IFERROR(__xludf.DUMMYFUNCTION("IF
(
G1679=""фізична особа""
,
VLOOKUP(H1679,IMPORTRANGE(""https://docs.google.com/spreadsheets/d/14Bd19lYaqBhU8_DElYkX7l4wRkHqqCUFNJY4AfY3kHU/edit?usp=sharing  #gid=0"",""фіз особи new!relations_name""),6,FALSE)
,
(IF
(
G1679=""юридична особа""
,
VLOOKUP"&amp;"(H1679,IMPORTRANGE(""https://docs.google.com/spreadsheets/d/14Bd19lYaqBhU8_DElYkX7l4wRkHqqCUFNJY4AfY3kHU/edit?usp=sharing  #gid=0"",""фіз особи new!relations_name_uo""),7,FALSE)
,
)
))"),"#N/A")</f>
        <v>#N/A</v>
      </c>
      <c r="J1678" s="7" t="s">
        <v>15</v>
      </c>
    </row>
    <row r="1679" spans="1:10" ht="13.2">
      <c r="A1679" s="7">
        <v>1678</v>
      </c>
      <c r="B1679" s="7">
        <v>1</v>
      </c>
      <c r="C1679" s="7" t="s">
        <v>10</v>
      </c>
      <c r="D1679" s="7">
        <v>532</v>
      </c>
      <c r="E1679" s="7" t="s">
        <v>12</v>
      </c>
      <c r="F1679" s="8" t="str">
        <f ca="1">IFERROR(__xludf.DUMMYFUNCTION("IF
(
C1680=""фізична особа""
,
VLOOKUP(D1680,IMPORTRANGE(""https://docs.google.com/spreadsheets/d/14Bd19lYaqBhU8_DElYkX7l4wRkHqqCUFNJY4AfY3kHU/edit?usp=sharing  #gid=0"",""фіз особи new!relations_name""),6,FALSE)
,
(IF
(
C1680=""юридична особа""
,
VLOOKUP"&amp;"(D1680,IMPORTRANGE(""https://docs.google.com/spreadsheets/d/14Bd19lYaqBhU8_DElYkX7l4wRkHqqCUFNJY4AfY3kHU/edit?usp=sharing  #gid=0"",""фіз особи new!relations_name_uo""),7,FALSE)
,
)
))"),"НУРБАГАНДОВ Нурбаганд Магомедович")</f>
        <v>НУРБАГАНДОВ Нурбаганд Магомедович</v>
      </c>
      <c r="G1679" s="7" t="s">
        <v>10</v>
      </c>
      <c r="H1679" s="7">
        <v>0</v>
      </c>
      <c r="I1679" s="8" t="str">
        <f ca="1">IFERROR(__xludf.DUMMYFUNCTION("IF
(
G1680=""фізична особа""
,
VLOOKUP(H1680,IMPORTRANGE(""https://docs.google.com/spreadsheets/d/14Bd19lYaqBhU8_DElYkX7l4wRkHqqCUFNJY4AfY3kHU/edit?usp=sharing  #gid=0"",""фіз особи new!relations_name""),6,FALSE)
,
(IF
(
G1680=""юридична особа""
,
VLOOKUP"&amp;"(H1680,IMPORTRANGE(""https://docs.google.com/spreadsheets/d/14Bd19lYaqBhU8_DElYkX7l4wRkHqqCUFNJY4AfY3kHU/edit?usp=sharing  #gid=0"",""фіз особи new!relations_name_uo""),7,FALSE)
,
)
))"),"#N/A")</f>
        <v>#N/A</v>
      </c>
      <c r="J1679" s="7" t="s">
        <v>13</v>
      </c>
    </row>
    <row r="1680" spans="1:10" ht="13.2">
      <c r="A1680" s="7">
        <v>1679</v>
      </c>
      <c r="B1680" s="7">
        <v>1</v>
      </c>
      <c r="C1680" s="7" t="s">
        <v>10</v>
      </c>
      <c r="D1680" s="7">
        <v>532</v>
      </c>
      <c r="E1680" s="7" t="s">
        <v>12</v>
      </c>
      <c r="F1680" s="8" t="str">
        <f ca="1">IFERROR(__xludf.DUMMYFUNCTION("IF
(
C1681=""фізична особа""
,
VLOOKUP(D1681,IMPORTRANGE(""https://docs.google.com/spreadsheets/d/14Bd19lYaqBhU8_DElYkX7l4wRkHqqCUFNJY4AfY3kHU/edit?usp=sharing  #gid=0"",""фіз особи new!relations_name""),6,FALSE)
,
(IF
(
C1681=""юридична особа""
,
VLOOKUP"&amp;"(D1681,IMPORTRANGE(""https://docs.google.com/spreadsheets/d/14Bd19lYaqBhU8_DElYkX7l4wRkHqqCUFNJY4AfY3kHU/edit?usp=sharing  #gid=0"",""фіз особи new!relations_name_uo""),7,FALSE)
,
)
))"),"НУРБАГАНДОВ Нурбаганд Магомедович")</f>
        <v>НУРБАГАНДОВ Нурбаганд Магомедович</v>
      </c>
      <c r="G1680" s="7" t="s">
        <v>10</v>
      </c>
      <c r="H1680" s="7">
        <v>0</v>
      </c>
      <c r="I1680" s="8" t="str">
        <f ca="1">IFERROR(__xludf.DUMMYFUNCTION("IF
(
G1681=""фізична особа""
,
VLOOKUP(H1681,IMPORTRANGE(""https://docs.google.com/spreadsheets/d/14Bd19lYaqBhU8_DElYkX7l4wRkHqqCUFNJY4AfY3kHU/edit?usp=sharing  #gid=0"",""фіз особи new!relations_name""),6,FALSE)
,
(IF
(
G1681=""юридична особа""
,
VLOOKUP"&amp;"(H1681,IMPORTRANGE(""https://docs.google.com/spreadsheets/d/14Bd19lYaqBhU8_DElYkX7l4wRkHqqCUFNJY4AfY3kHU/edit?usp=sharing  #gid=0"",""фіз особи new!relations_name_uo""),7,FALSE)
,
)
))"),"#N/A")</f>
        <v>#N/A</v>
      </c>
      <c r="J1680" s="7" t="s">
        <v>13</v>
      </c>
    </row>
    <row r="1681" spans="1:10" ht="13.2">
      <c r="A1681" s="7">
        <v>1680</v>
      </c>
      <c r="B1681" s="7">
        <v>1</v>
      </c>
      <c r="C1681" s="7" t="s">
        <v>10</v>
      </c>
      <c r="D1681" s="7">
        <v>533</v>
      </c>
      <c r="E1681" s="7" t="s">
        <v>15</v>
      </c>
      <c r="F1681" s="8" t="str">
        <f ca="1">IFERROR(__xludf.DUMMYFUNCTION("IF
(
C1682=""фізична особа""
,
VLOOKUP(D1682,IMPORTRANGE(""https://docs.google.com/spreadsheets/d/14Bd19lYaqBhU8_DElYkX7l4wRkHqqCUFNJY4AfY3kHU/edit?usp=sharing  #gid=0"",""фіз особи new!relations_name""),6,FALSE)
,
(IF
(
C1682=""юридична особа""
,
VLOOKUP"&amp;"(D1682,IMPORTRANGE(""https://docs.google.com/spreadsheets/d/14Bd19lYaqBhU8_DElYkX7l4wRkHqqCUFNJY4AfY3kHU/edit?usp=sharing  #gid=0"",""фіз особи new!relations_name_uo""),7,FALSE)
,
)
))"),"ДМІТРІЄВА Оксана Генріхівна")</f>
        <v>ДМІТРІЄВА Оксана Генріхівна</v>
      </c>
      <c r="G1681" s="7" t="s">
        <v>10</v>
      </c>
      <c r="H1681" s="7">
        <v>0</v>
      </c>
      <c r="I1681" s="8" t="str">
        <f ca="1">IFERROR(__xludf.DUMMYFUNCTION("IF
(
G1682=""фізична особа""
,
VLOOKUP(H1682,IMPORTRANGE(""https://docs.google.com/spreadsheets/d/14Bd19lYaqBhU8_DElYkX7l4wRkHqqCUFNJY4AfY3kHU/edit?usp=sharing  #gid=0"",""фіз особи new!relations_name""),6,FALSE)
,
(IF
(
G1682=""юридична особа""
,
VLOOKUP"&amp;"(H1682,IMPORTRANGE(""https://docs.google.com/spreadsheets/d/14Bd19lYaqBhU8_DElYkX7l4wRkHqqCUFNJY4AfY3kHU/edit?usp=sharing  #gid=0"",""фіз особи new!relations_name_uo""),7,FALSE)
,
)
))"),"#N/A")</f>
        <v>#N/A</v>
      </c>
      <c r="J1681" s="7" t="s">
        <v>14</v>
      </c>
    </row>
    <row r="1682" spans="1:10" ht="13.2">
      <c r="A1682" s="7">
        <v>1681</v>
      </c>
      <c r="B1682" s="7">
        <v>1</v>
      </c>
      <c r="C1682" s="7" t="s">
        <v>10</v>
      </c>
      <c r="D1682" s="7">
        <v>533</v>
      </c>
      <c r="E1682" s="7" t="s">
        <v>21</v>
      </c>
      <c r="F1682" s="8" t="str">
        <f ca="1">IFERROR(__xludf.DUMMYFUNCTION("IF
(
C1683=""фізична особа""
,
VLOOKUP(D1683,IMPORTRANGE(""https://docs.google.com/spreadsheets/d/14Bd19lYaqBhU8_DElYkX7l4wRkHqqCUFNJY4AfY3kHU/edit?usp=sharing  #gid=0"",""фіз особи new!relations_name""),6,FALSE)
,
(IF
(
C1683=""юридична особа""
,
VLOOKUP"&amp;"(D1683,IMPORTRANGE(""https://docs.google.com/spreadsheets/d/14Bd19lYaqBhU8_DElYkX7l4wRkHqqCUFNJY4AfY3kHU/edit?usp=sharing  #gid=0"",""фіз особи new!relations_name_uo""),7,FALSE)
,
)
))"),"ДМІТРІЄВА Оксана Генріхівна")</f>
        <v>ДМІТРІЄВА Оксана Генріхівна</v>
      </c>
      <c r="G1682" s="7" t="s">
        <v>10</v>
      </c>
      <c r="H1682" s="7">
        <v>0</v>
      </c>
      <c r="I1682" s="8" t="str">
        <f ca="1">IFERROR(__xludf.DUMMYFUNCTION("IF
(
G1683=""фізична особа""
,
VLOOKUP(H1683,IMPORTRANGE(""https://docs.google.com/spreadsheets/d/14Bd19lYaqBhU8_DElYkX7l4wRkHqqCUFNJY4AfY3kHU/edit?usp=sharing  #gid=0"",""фіз особи new!relations_name""),6,FALSE)
,
(IF
(
G1683=""юридична особа""
,
VLOOKUP"&amp;"(H1683,IMPORTRANGE(""https://docs.google.com/spreadsheets/d/14Bd19lYaqBhU8_DElYkX7l4wRkHqqCUFNJY4AfY3kHU/edit?usp=sharing  #gid=0"",""фіз особи new!relations_name_uo""),7,FALSE)
,
)
))"),"#N/A")</f>
        <v>#N/A</v>
      </c>
      <c r="J1682" s="7" t="s">
        <v>17</v>
      </c>
    </row>
    <row r="1683" spans="1:10" ht="13.2">
      <c r="A1683" s="7">
        <v>1682</v>
      </c>
      <c r="B1683" s="7">
        <v>1</v>
      </c>
      <c r="C1683" s="7" t="s">
        <v>10</v>
      </c>
      <c r="D1683" s="7">
        <v>533</v>
      </c>
      <c r="E1683" s="7" t="s">
        <v>48</v>
      </c>
      <c r="F1683" s="8" t="str">
        <f ca="1">IFERROR(__xludf.DUMMYFUNCTION("IF
(
C1684=""фізична особа""
,
VLOOKUP(D1684,IMPORTRANGE(""https://docs.google.com/spreadsheets/d/14Bd19lYaqBhU8_DElYkX7l4wRkHqqCUFNJY4AfY3kHU/edit?usp=sharing  #gid=0"",""фіз особи new!relations_name""),6,FALSE)
,
(IF
(
C1684=""юридична особа""
,
VLOOKUP"&amp;"(D1684,IMPORTRANGE(""https://docs.google.com/spreadsheets/d/14Bd19lYaqBhU8_DElYkX7l4wRkHqqCUFNJY4AfY3kHU/edit?usp=sharing  #gid=0"",""фіз особи new!relations_name_uo""),7,FALSE)
,
)
))"),"ДМІТРІЄВА Оксана Генріхівна")</f>
        <v>ДМІТРІЄВА Оксана Генріхівна</v>
      </c>
      <c r="G1683" s="7" t="s">
        <v>10</v>
      </c>
      <c r="H1683" s="7">
        <v>0</v>
      </c>
      <c r="I1683" s="8" t="str">
        <f ca="1">IFERROR(__xludf.DUMMYFUNCTION("IF
(
G1684=""фізична особа""
,
VLOOKUP(H1684,IMPORTRANGE(""https://docs.google.com/spreadsheets/d/14Bd19lYaqBhU8_DElYkX7l4wRkHqqCUFNJY4AfY3kHU/edit?usp=sharing  #gid=0"",""фіз особи new!relations_name""),6,FALSE)
,
(IF
(
G1684=""юридична особа""
,
VLOOKUP"&amp;"(H1684,IMPORTRANGE(""https://docs.google.com/spreadsheets/d/14Bd19lYaqBhU8_DElYkX7l4wRkHqqCUFNJY4AfY3kHU/edit?usp=sharing  #gid=0"",""фіз особи new!relations_name_uo""),7,FALSE)
,
)
))"),"#N/A")</f>
        <v>#N/A</v>
      </c>
      <c r="J1683" s="7" t="s">
        <v>48</v>
      </c>
    </row>
    <row r="1684" spans="1:10" ht="13.2">
      <c r="A1684" s="7">
        <v>1683</v>
      </c>
      <c r="B1684" s="7">
        <v>1</v>
      </c>
      <c r="C1684" s="7" t="s">
        <v>10</v>
      </c>
      <c r="D1684" s="7">
        <v>533</v>
      </c>
      <c r="E1684" s="7" t="s">
        <v>48</v>
      </c>
      <c r="F1684" s="8" t="str">
        <f ca="1">IFERROR(__xludf.DUMMYFUNCTION("IF
(
C1685=""фізична особа""
,
VLOOKUP(D1685,IMPORTRANGE(""https://docs.google.com/spreadsheets/d/14Bd19lYaqBhU8_DElYkX7l4wRkHqqCUFNJY4AfY3kHU/edit?usp=sharing  #gid=0"",""фіз особи new!relations_name""),6,FALSE)
,
(IF
(
C1685=""юридична особа""
,
VLOOKUP"&amp;"(D1685,IMPORTRANGE(""https://docs.google.com/spreadsheets/d/14Bd19lYaqBhU8_DElYkX7l4wRkHqqCUFNJY4AfY3kHU/edit?usp=sharing  #gid=0"",""фіз особи new!relations_name_uo""),7,FALSE)
,
)
))"),"ДМІТРІЄВА Оксана Генріхівна")</f>
        <v>ДМІТРІЄВА Оксана Генріхівна</v>
      </c>
      <c r="G1684" s="7" t="s">
        <v>10</v>
      </c>
      <c r="H1684" s="7">
        <v>16355</v>
      </c>
      <c r="I1684" s="8" t="str">
        <f ca="1">IFERROR(__xludf.DUMMYFUNCTION("IF
(
G1685=""фізична особа""
,
VLOOKUP(H1685,IMPORTRANGE(""https://docs.google.com/spreadsheets/d/14Bd19lYaqBhU8_DElYkX7l4wRkHqqCUFNJY4AfY3kHU/edit?usp=sharing  #gid=0"",""фіз особи new!relations_name""),6,FALSE)
,
(IF
(
G1685=""юридична особа""
,
VLOOKUP"&amp;"(H1685,IMPORTRANGE(""https://docs.google.com/spreadsheets/d/14Bd19lYaqBhU8_DElYkX7l4wRkHqqCUFNJY4AfY3kHU/edit?usp=sharing  #gid=0"",""фіз особи new!relations_name_uo""),7,FALSE)
,
)
))"),"УШАКОВ Дмитро Володимирович")</f>
        <v>УШАКОВ Дмитро Володимирович</v>
      </c>
      <c r="J1684" s="7" t="s">
        <v>48</v>
      </c>
    </row>
    <row r="1685" spans="1:10" ht="13.2">
      <c r="A1685" s="7">
        <v>1684</v>
      </c>
      <c r="B1685" s="7">
        <v>1</v>
      </c>
      <c r="C1685" s="7" t="s">
        <v>10</v>
      </c>
      <c r="D1685" s="7">
        <v>534</v>
      </c>
      <c r="E1685" s="7" t="s">
        <v>48</v>
      </c>
      <c r="F1685" s="8" t="str">
        <f ca="1">IFERROR(__xludf.DUMMYFUNCTION("IF
(
C1686=""фізична особа""
,
VLOOKUP(D1686,IMPORTRANGE(""https://docs.google.com/spreadsheets/d/14Bd19lYaqBhU8_DElYkX7l4wRkHqqCUFNJY4AfY3kHU/edit?usp=sharing  #gid=0"",""фіз особи new!relations_name""),6,FALSE)
,
(IF
(
C1686=""юридична особа""
,
VLOOKUP"&amp;"(D1686,IMPORTRANGE(""https://docs.google.com/spreadsheets/d/14Bd19lYaqBhU8_DElYkX7l4wRkHqqCUFNJY4AfY3kHU/edit?usp=sharing  #gid=0"",""фіз особи new!relations_name_uo""),7,FALSE)
,
)
))"),"РУМ'ЯНЦЕВ Олександр Григорович")</f>
        <v>РУМ'ЯНЦЕВ Олександр Григорович</v>
      </c>
      <c r="G1685" s="7" t="s">
        <v>10</v>
      </c>
      <c r="H1685" s="7">
        <v>677</v>
      </c>
      <c r="I1685" s="8" t="str">
        <f ca="1">IFERROR(__xludf.DUMMYFUNCTION("IF
(
G1686=""фізична особа""
,
VLOOKUP(H1686,IMPORTRANGE(""https://docs.google.com/spreadsheets/d/14Bd19lYaqBhU8_DElYkX7l4wRkHqqCUFNJY4AfY3kHU/edit?usp=sharing  #gid=0"",""фіз особи new!relations_name""),6,FALSE)
,
(IF
(
G1686=""юридична особа""
,
VLOOKUP"&amp;"(H1686,IMPORTRANGE(""https://docs.google.com/spreadsheets/d/14Bd19lYaqBhU8_DElYkX7l4wRkHqqCUFNJY4AfY3kHU/edit?usp=sharing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1685" s="7" t="s">
        <v>48</v>
      </c>
    </row>
    <row r="1686" spans="1:10" ht="13.2">
      <c r="A1686" s="7">
        <v>1685</v>
      </c>
      <c r="B1686" s="7">
        <v>1</v>
      </c>
      <c r="C1686" s="7" t="s">
        <v>10</v>
      </c>
      <c r="D1686" s="7">
        <v>535</v>
      </c>
      <c r="E1686" s="7" t="s">
        <v>21</v>
      </c>
      <c r="F1686" s="8" t="str">
        <f ca="1">IFERROR(__xludf.DUMMYFUNCTION("IF
(
C1687=""фізична особа""
,
VLOOKUP(D1687,IMPORTRANGE(""https://docs.google.com/spreadsheets/d/14Bd19lYaqBhU8_DElYkX7l4wRkHqqCUFNJY4AfY3kHU/edit?usp=sharing  #gid=0"",""фіз особи new!relations_name""),6,FALSE)
,
(IF
(
C1687=""юридична особа""
,
VLOOKUP"&amp;"(D1687,IMPORTRANGE(""https://docs.google.com/spreadsheets/d/14Bd19lYaqBhU8_DElYkX7l4wRkHqqCUFNJY4AfY3kHU/edit?usp=sharing  #gid=0"",""фіз особи new!relations_name_uo""),7,FALSE)
,
)
))"),"ФАДІНА Оксана Миколаївна")</f>
        <v>ФАДІНА Оксана Миколаївна</v>
      </c>
      <c r="G1686" s="7" t="s">
        <v>10</v>
      </c>
      <c r="H1686" s="7">
        <v>0</v>
      </c>
      <c r="I1686" s="8" t="str">
        <f ca="1">IFERROR(__xludf.DUMMYFUNCTION("IF
(
G1687=""фізична особа""
,
VLOOKUP(H1687,IMPORTRANGE(""https://docs.google.com/spreadsheets/d/14Bd19lYaqBhU8_DElYkX7l4wRkHqqCUFNJY4AfY3kHU/edit?usp=sharing  #gid=0"",""фіз особи new!relations_name""),6,FALSE)
,
(IF
(
G1687=""юридична особа""
,
VLOOKUP"&amp;"(H1687,IMPORTRANGE(""https://docs.google.com/spreadsheets/d/14Bd19lYaqBhU8_DElYkX7l4wRkHqqCUFNJY4AfY3kHU/edit?usp=sharing  #gid=0"",""фіз особи new!relations_name_uo""),7,FALSE)
,
)
))"),"#N/A")</f>
        <v>#N/A</v>
      </c>
      <c r="J1686" s="7" t="s">
        <v>13</v>
      </c>
    </row>
    <row r="1687" spans="1:10" ht="13.2">
      <c r="A1687" s="7">
        <v>1686</v>
      </c>
      <c r="B1687" s="7">
        <v>1</v>
      </c>
      <c r="C1687" s="7" t="s">
        <v>10</v>
      </c>
      <c r="D1687" s="7">
        <v>537</v>
      </c>
      <c r="E1687" s="7" t="s">
        <v>12</v>
      </c>
      <c r="F1687" s="8" t="str">
        <f ca="1">IFERROR(__xludf.DUMMYFUNCTION("IF
(
C1688=""фізична особа""
,
VLOOKUP(D1688,IMPORTRANGE(""https://docs.google.com/spreadsheets/d/14Bd19lYaqBhU8_DElYkX7l4wRkHqqCUFNJY4AfY3kHU/edit?usp=sharing  #gid=0"",""фіз особи new!relations_name""),6,FALSE)
,
(IF
(
C1688=""юридична особа""
,
VLOOKUP"&amp;"(D1688,IMPORTRANGE(""https://docs.google.com/spreadsheets/d/14Bd19lYaqBhU8_DElYkX7l4wRkHqqCUFNJY4AfY3kHU/edit?usp=sharing  #gid=0"",""фіз особи new!relations_name_uo""),7,FALSE)
,
)
))"),"АЛЕКСЄЄВ Олег Олександрович")</f>
        <v>АЛЕКСЄЄВ Олег Олександрович</v>
      </c>
      <c r="G1687" s="7" t="s">
        <v>10</v>
      </c>
      <c r="H1687" s="7">
        <v>0</v>
      </c>
      <c r="I1687" s="8" t="str">
        <f ca="1">IFERROR(__xludf.DUMMYFUNCTION("IF
(
G1688=""фізична особа""
,
VLOOKUP(H1688,IMPORTRANGE(""https://docs.google.com/spreadsheets/d/14Bd19lYaqBhU8_DElYkX7l4wRkHqqCUFNJY4AfY3kHU/edit?usp=sharing  #gid=0"",""фіз особи new!relations_name""),6,FALSE)
,
(IF
(
G1688=""юридична особа""
,
VLOOKUP"&amp;"(H1688,IMPORTRANGE(""https://docs.google.com/spreadsheets/d/14Bd19lYaqBhU8_DElYkX7l4wRkHqqCUFNJY4AfY3kHU/edit?usp=sharing  #gid=0"",""фіз особи new!relations_name_uo""),7,FALSE)
,
)
))"),"#N/A")</f>
        <v>#N/A</v>
      </c>
      <c r="J1687" s="7" t="s">
        <v>17</v>
      </c>
    </row>
    <row r="1688" spans="1:10" ht="13.2">
      <c r="A1688" s="7">
        <v>1687</v>
      </c>
      <c r="B1688" s="7">
        <v>1</v>
      </c>
      <c r="C1688" s="7" t="s">
        <v>10</v>
      </c>
      <c r="D1688" s="7">
        <v>537</v>
      </c>
      <c r="E1688" s="7" t="s">
        <v>17</v>
      </c>
      <c r="F1688" s="8" t="str">
        <f ca="1">IFERROR(__xludf.DUMMYFUNCTION("IF
(
C1689=""фізична особа""
,
VLOOKUP(D1689,IMPORTRANGE(""https://docs.google.com/spreadsheets/d/14Bd19lYaqBhU8_DElYkX7l4wRkHqqCUFNJY4AfY3kHU/edit?usp=sharing  #gid=0"",""фіз особи new!relations_name""),6,FALSE)
,
(IF
(
C1689=""юридична особа""
,
VLOOKUP"&amp;"(D1689,IMPORTRANGE(""https://docs.google.com/spreadsheets/d/14Bd19lYaqBhU8_DElYkX7l4wRkHqqCUFNJY4AfY3kHU/edit?usp=sharing  #gid=0"",""фіз особи new!relations_name_uo""),7,FALSE)
,
)
))"),"АЛЕКСЄЄВ Олег Олександрович")</f>
        <v>АЛЕКСЄЄВ Олег Олександрович</v>
      </c>
      <c r="G1688" s="7" t="s">
        <v>10</v>
      </c>
      <c r="H1688" s="7">
        <v>0</v>
      </c>
      <c r="I1688" s="8" t="str">
        <f ca="1">IFERROR(__xludf.DUMMYFUNCTION("IF
(
G1689=""фізична особа""
,
VLOOKUP(H1689,IMPORTRANGE(""https://docs.google.com/spreadsheets/d/14Bd19lYaqBhU8_DElYkX7l4wRkHqqCUFNJY4AfY3kHU/edit?usp=sharing  #gid=0"",""фіз особи new!relations_name""),6,FALSE)
,
(IF
(
G1689=""юридична особа""
,
VLOOKUP"&amp;"(H1689,IMPORTRANGE(""https://docs.google.com/spreadsheets/d/14Bd19lYaqBhU8_DElYkX7l4wRkHqqCUFNJY4AfY3kHU/edit?usp=sharing  #gid=0"",""фіз особи new!relations_name_uo""),7,FALSE)
,
)
))"),"#N/A")</f>
        <v>#N/A</v>
      </c>
      <c r="J1688" s="7" t="s">
        <v>12</v>
      </c>
    </row>
    <row r="1689" spans="1:10" ht="13.2">
      <c r="A1689" s="7">
        <v>1688</v>
      </c>
      <c r="B1689" s="7">
        <v>1</v>
      </c>
      <c r="C1689" s="7" t="s">
        <v>10</v>
      </c>
      <c r="D1689" s="7">
        <v>538</v>
      </c>
      <c r="E1689" s="7" t="s">
        <v>18</v>
      </c>
      <c r="F1689" s="8" t="str">
        <f ca="1">IFERROR(__xludf.DUMMYFUNCTION("IF
(
C1690=""фізична особа""
,
VLOOKUP(D1690,IMPORTRANGE(""https://docs.google.com/spreadsheets/d/14Bd19lYaqBhU8_DElYkX7l4wRkHqqCUFNJY4AfY3kHU/edit?usp=sharing  #gid=0"",""фіз особи new!relations_name""),6,FALSE)
,
(IF
(
C1690=""юридична особа""
,
VLOOKUP"&amp;"(D1690,IMPORTRANGE(""https://docs.google.com/spreadsheets/d/14Bd19lYaqBhU8_DElYkX7l4wRkHqqCUFNJY4AfY3kHU/edit?usp=sharing  #gid=0"",""фіз особи new!relations_name_uo""),7,FALSE)
,
)
))"),"ЛЕБЄДЄВ Олег Олександрович")</f>
        <v>ЛЕБЄДЄВ Олег Олександрович</v>
      </c>
      <c r="G1689" s="7" t="s">
        <v>10</v>
      </c>
      <c r="H1689" s="7">
        <v>0</v>
      </c>
      <c r="I1689" s="8" t="str">
        <f ca="1">IFERROR(__xludf.DUMMYFUNCTION("IF
(
G1690=""фізична особа""
,
VLOOKUP(H1690,IMPORTRANGE(""https://docs.google.com/spreadsheets/d/14Bd19lYaqBhU8_DElYkX7l4wRkHqqCUFNJY4AfY3kHU/edit?usp=sharing  #gid=0"",""фіз особи new!relations_name""),6,FALSE)
,
(IF
(
G1690=""юридична особа""
,
VLOOKUP"&amp;"(H1690,IMPORTRANGE(""https://docs.google.com/spreadsheets/d/14Bd19lYaqBhU8_DElYkX7l4wRkHqqCUFNJY4AfY3kHU/edit?usp=sharing  #gid=0"",""фіз особи new!relations_name_uo""),7,FALSE)
,
)
))"),"#N/A")</f>
        <v>#N/A</v>
      </c>
      <c r="J1689" s="7" t="s">
        <v>18</v>
      </c>
    </row>
    <row r="1690" spans="1:10" ht="13.2">
      <c r="A1690" s="7">
        <v>1689</v>
      </c>
      <c r="B1690" s="7">
        <v>1</v>
      </c>
      <c r="C1690" s="7" t="s">
        <v>10</v>
      </c>
      <c r="D1690" s="7">
        <v>538</v>
      </c>
      <c r="E1690" s="7" t="s">
        <v>17</v>
      </c>
      <c r="F1690" s="8" t="str">
        <f ca="1">IFERROR(__xludf.DUMMYFUNCTION("IF
(
C1691=""фізична особа""
,
VLOOKUP(D1691,IMPORTRANGE(""https://docs.google.com/spreadsheets/d/14Bd19lYaqBhU8_DElYkX7l4wRkHqqCUFNJY4AfY3kHU/edit?usp=sharing  #gid=0"",""фіз особи new!relations_name""),6,FALSE)
,
(IF
(
C1691=""юридична особа""
,
VLOOKUP"&amp;"(D1691,IMPORTRANGE(""https://docs.google.com/spreadsheets/d/14Bd19lYaqBhU8_DElYkX7l4wRkHqqCUFNJY4AfY3kHU/edit?usp=sharing  #gid=0"",""фіз особи new!relations_name_uo""),7,FALSE)
,
)
))"),"ЛЕБЄДЄВ Олег Олександрович")</f>
        <v>ЛЕБЄДЄВ Олег Олександрович</v>
      </c>
      <c r="G1690" s="7" t="s">
        <v>10</v>
      </c>
      <c r="H1690" s="7">
        <v>0</v>
      </c>
      <c r="I1690" s="8" t="str">
        <f ca="1">IFERROR(__xludf.DUMMYFUNCTION("IF
(
G1691=""фізична особа""
,
VLOOKUP(H1691,IMPORTRANGE(""https://docs.google.com/spreadsheets/d/14Bd19lYaqBhU8_DElYkX7l4wRkHqqCUFNJY4AfY3kHU/edit?usp=sharing  #gid=0"",""фіз особи new!relations_name""),6,FALSE)
,
(IF
(
G1691=""юридична особа""
,
VLOOKUP"&amp;"(H1691,IMPORTRANGE(""https://docs.google.com/spreadsheets/d/14Bd19lYaqBhU8_DElYkX7l4wRkHqqCUFNJY4AfY3kHU/edit?usp=sharing  #gid=0"",""фіз особи new!relations_name_uo""),7,FALSE)
,
)
))"),"#N/A")</f>
        <v>#N/A</v>
      </c>
      <c r="J1690" s="7" t="s">
        <v>12</v>
      </c>
    </row>
    <row r="1691" spans="1:10" ht="13.2">
      <c r="A1691" s="7">
        <v>1690</v>
      </c>
      <c r="B1691" s="7">
        <v>1</v>
      </c>
      <c r="C1691" s="7" t="s">
        <v>10</v>
      </c>
      <c r="D1691" s="7">
        <v>538</v>
      </c>
      <c r="E1691" s="7" t="s">
        <v>14</v>
      </c>
      <c r="F1691" s="8" t="str">
        <f ca="1">IFERROR(__xludf.DUMMYFUNCTION("IF
(
C1692=""фізична особа""
,
VLOOKUP(D1692,IMPORTRANGE(""https://docs.google.com/spreadsheets/d/14Bd19lYaqBhU8_DElYkX7l4wRkHqqCUFNJY4AfY3kHU/edit?usp=sharing  #gid=0"",""фіз особи new!relations_name""),6,FALSE)
,
(IF
(
C1692=""юридична особа""
,
VLOOKUP"&amp;"(D1692,IMPORTRANGE(""https://docs.google.com/spreadsheets/d/14Bd19lYaqBhU8_DElYkX7l4wRkHqqCUFNJY4AfY3kHU/edit?usp=sharing  #gid=0"",""фіз особи new!relations_name_uo""),7,FALSE)
,
)
))"),"ЛЕБЄДЄВ Олег Олександрович")</f>
        <v>ЛЕБЄДЄВ Олег Олександрович</v>
      </c>
      <c r="G1691" s="7" t="s">
        <v>10</v>
      </c>
      <c r="H1691" s="7">
        <v>0</v>
      </c>
      <c r="I1691" s="8" t="str">
        <f ca="1">IFERROR(__xludf.DUMMYFUNCTION("IF
(
G1692=""фізична особа""
,
VLOOKUP(H1692,IMPORTRANGE(""https://docs.google.com/spreadsheets/d/14Bd19lYaqBhU8_DElYkX7l4wRkHqqCUFNJY4AfY3kHU/edit?usp=sharing  #gid=0"",""фіз особи new!relations_name""),6,FALSE)
,
(IF
(
G1692=""юридична особа""
,
VLOOKUP"&amp;"(H1692,IMPORTRANGE(""https://docs.google.com/spreadsheets/d/14Bd19lYaqBhU8_DElYkX7l4wRkHqqCUFNJY4AfY3kHU/edit?usp=sharing  #gid=0"",""фіз особи new!relations_name_uo""),7,FALSE)
,
)
))"),"#N/A")</f>
        <v>#N/A</v>
      </c>
      <c r="J1691" s="7" t="s">
        <v>15</v>
      </c>
    </row>
    <row r="1692" spans="1:10" ht="13.2">
      <c r="A1692" s="7">
        <v>1691</v>
      </c>
      <c r="B1692" s="7">
        <v>1</v>
      </c>
      <c r="C1692" s="7" t="s">
        <v>10</v>
      </c>
      <c r="D1692" s="7">
        <v>538</v>
      </c>
      <c r="E1692" s="7" t="s">
        <v>42</v>
      </c>
      <c r="F1692" s="8" t="str">
        <f ca="1">IFERROR(__xludf.DUMMYFUNCTION("IF
(
C1693=""фізична особа""
,
VLOOKUP(D1693,IMPORTRANGE(""https://docs.google.com/spreadsheets/d/14Bd19lYaqBhU8_DElYkX7l4wRkHqqCUFNJY4AfY3kHU/edit?usp=sharing  #gid=0"",""фіз особи new!relations_name""),6,FALSE)
,
(IF
(
C1693=""юридична особа""
,
VLOOKUP"&amp;"(D1693,IMPORTRANGE(""https://docs.google.com/spreadsheets/d/14Bd19lYaqBhU8_DElYkX7l4wRkHqqCUFNJY4AfY3kHU/edit?usp=sharing  #gid=0"",""фіз особи new!relations_name_uo""),7,FALSE)
,
)
))"),"ЛЕБЄДЄВ Олег Олександрович")</f>
        <v>ЛЕБЄДЄВ Олег Олександрович</v>
      </c>
      <c r="G1692" s="7" t="s">
        <v>10</v>
      </c>
      <c r="H1692" s="7">
        <v>0</v>
      </c>
      <c r="I1692" s="8" t="str">
        <f ca="1">IFERROR(__xludf.DUMMYFUNCTION("IF
(
G1693=""фізична особа""
,
VLOOKUP(H1693,IMPORTRANGE(""https://docs.google.com/spreadsheets/d/14Bd19lYaqBhU8_DElYkX7l4wRkHqqCUFNJY4AfY3kHU/edit?usp=sharing  #gid=0"",""фіз особи new!relations_name""),6,FALSE)
,
(IF
(
G1693=""юридична особа""
,
VLOOKUP"&amp;"(H1693,IMPORTRANGE(""https://docs.google.com/spreadsheets/d/14Bd19lYaqBhU8_DElYkX7l4wRkHqqCUFNJY4AfY3kHU/edit?usp=sharing  #gid=0"",""фіз особи new!relations_name_uo""),7,FALSE)
,
)
))"),"#N/A")</f>
        <v>#N/A</v>
      </c>
      <c r="J1692" s="7" t="s">
        <v>43</v>
      </c>
    </row>
    <row r="1693" spans="1:10" ht="13.2">
      <c r="A1693" s="7">
        <v>1692</v>
      </c>
      <c r="B1693" s="7">
        <v>1</v>
      </c>
      <c r="C1693" s="7" t="s">
        <v>10</v>
      </c>
      <c r="D1693" s="7">
        <v>539</v>
      </c>
      <c r="E1693" s="7" t="s">
        <v>12</v>
      </c>
      <c r="F1693" s="8" t="str">
        <f ca="1">IFERROR(__xludf.DUMMYFUNCTION("IF
(
C1694=""фізична особа""
,
VLOOKUP(D1694,IMPORTRANGE(""https://docs.google.com/spreadsheets/d/14Bd19lYaqBhU8_DElYkX7l4wRkHqqCUFNJY4AfY3kHU/edit?usp=sharing  #gid=0"",""фіз особи new!relations_name""),6,FALSE)
,
(IF
(
C1694=""юридична особа""
,
VLOOKUP"&amp;"(D1694,IMPORTRANGE(""https://docs.google.com/spreadsheets/d/14Bd19lYaqBhU8_DElYkX7l4wRkHqqCUFNJY4AfY3kHU/edit?usp=sharing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3" s="7" t="s">
        <v>10</v>
      </c>
      <c r="H1693" s="7">
        <v>0</v>
      </c>
      <c r="I1693" s="8" t="str">
        <f ca="1">IFERROR(__xludf.DUMMYFUNCTION("IF
(
G1694=""фізична особа""
,
VLOOKUP(H1694,IMPORTRANGE(""https://docs.google.com/spreadsheets/d/14Bd19lYaqBhU8_DElYkX7l4wRkHqqCUFNJY4AfY3kHU/edit?usp=sharing  #gid=0"",""фіз особи new!relations_name""),6,FALSE)
,
(IF
(
G1694=""юридична особа""
,
VLOOKUP"&amp;"(H1694,IMPORTRANGE(""https://docs.google.com/spreadsheets/d/14Bd19lYaqBhU8_DElYkX7l4wRkHqqCUFNJY4AfY3kHU/edit?usp=sharing  #gid=0"",""фіз особи new!relations_name_uo""),7,FALSE)
,
)
))"),"#N/A")</f>
        <v>#N/A</v>
      </c>
      <c r="J1693" s="7" t="s">
        <v>17</v>
      </c>
    </row>
    <row r="1694" spans="1:10" ht="13.2">
      <c r="A1694" s="7">
        <v>1693</v>
      </c>
      <c r="B1694" s="7">
        <v>1</v>
      </c>
      <c r="C1694" s="7" t="s">
        <v>10</v>
      </c>
      <c r="D1694" s="7">
        <v>539</v>
      </c>
      <c r="E1694" s="7" t="s">
        <v>14</v>
      </c>
      <c r="F1694" s="8" t="str">
        <f ca="1">IFERROR(__xludf.DUMMYFUNCTION("IF
(
C1695=""фізична особа""
,
VLOOKUP(D1695,IMPORTRANGE(""https://docs.google.com/spreadsheets/d/14Bd19lYaqBhU8_DElYkX7l4wRkHqqCUFNJY4AfY3kHU/edit?usp=sharing  #gid=0"",""фіз особи new!relations_name""),6,FALSE)
,
(IF
(
C1695=""юридична особа""
,
VLOOKUP"&amp;"(D1695,IMPORTRANGE(""https://docs.google.com/spreadsheets/d/14Bd19lYaqBhU8_DElYkX7l4wRkHqqCUFNJY4AfY3kHU/edit?usp=sharing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4" s="7" t="s">
        <v>10</v>
      </c>
      <c r="H1694" s="7">
        <v>8858</v>
      </c>
      <c r="I1694" s="8" t="str">
        <f ca="1">IFERROR(__xludf.DUMMYFUNCTION("IF
(
G1695=""фізична особа""
,
VLOOKUP(H1695,IMPORTRANGE(""https://docs.google.com/spreadsheets/d/14Bd19lYaqBhU8_DElYkX7l4wRkHqqCUFNJY4AfY3kHU/edit?usp=sharing  #gid=0"",""фіз особи new!relations_name""),6,FALSE)
,
(IF
(
G1695=""юридична особа""
,
VLOOKUP"&amp;"(H1695,IMPORTRANGE(""https://docs.google.com/spreadsheets/d/14Bd19lYaqBhU8_DElYkX7l4wRkHqqCUFNJY4AfY3kHU/edit?usp=sharing  #gid=0"",""фіз особи new!relations_name_uo""),7,FALSE)
,
)
))"),"КОЛЕСНІКОВА Олена Рафіківна")</f>
        <v>КОЛЕСНІКОВА Олена Рафіківна</v>
      </c>
      <c r="J1694" s="7" t="s">
        <v>15</v>
      </c>
    </row>
    <row r="1695" spans="1:10" ht="13.2">
      <c r="A1695" s="7">
        <v>1694</v>
      </c>
      <c r="B1695" s="7">
        <v>1</v>
      </c>
      <c r="C1695" s="7" t="s">
        <v>10</v>
      </c>
      <c r="D1695" s="7">
        <v>539</v>
      </c>
      <c r="E1695" s="7" t="s">
        <v>12</v>
      </c>
      <c r="F1695" s="8" t="str">
        <f ca="1">IFERROR(__xludf.DUMMYFUNCTION("IF
(
C1696=""фізична особа""
,
VLOOKUP(D1696,IMPORTRANGE(""https://docs.google.com/spreadsheets/d/14Bd19lYaqBhU8_DElYkX7l4wRkHqqCUFNJY4AfY3kHU/edit?usp=sharing  #gid=0"",""фіз особи new!relations_name""),6,FALSE)
,
(IF
(
C1696=""юридична особа""
,
VLOOKUP"&amp;"(D1696,IMPORTRANGE(""https://docs.google.com/spreadsheets/d/14Bd19lYaqBhU8_DElYkX7l4wRkHqqCUFNJY4AfY3kHU/edit?usp=sharing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5" s="7" t="s">
        <v>10</v>
      </c>
      <c r="H1695" s="7">
        <v>0</v>
      </c>
      <c r="I1695" s="8" t="str">
        <f ca="1">IFERROR(__xludf.DUMMYFUNCTION("IF
(
G1696=""фізична особа""
,
VLOOKUP(H1696,IMPORTRANGE(""https://docs.google.com/spreadsheets/d/14Bd19lYaqBhU8_DElYkX7l4wRkHqqCUFNJY4AfY3kHU/edit?usp=sharing  #gid=0"",""фіз особи new!relations_name""),6,FALSE)
,
(IF
(
G1696=""юридична особа""
,
VLOOKUP"&amp;"(H1696,IMPORTRANGE(""https://docs.google.com/spreadsheets/d/14Bd19lYaqBhU8_DElYkX7l4wRkHqqCUFNJY4AfY3kHU/edit?usp=sharing  #gid=0"",""фіз особи new!relations_name_uo""),7,FALSE)
,
)
))"),"#N/A")</f>
        <v>#N/A</v>
      </c>
      <c r="J1695" s="7" t="s">
        <v>13</v>
      </c>
    </row>
    <row r="1696" spans="1:10" ht="13.2">
      <c r="A1696" s="7">
        <v>1695</v>
      </c>
      <c r="B1696" s="7">
        <v>1</v>
      </c>
      <c r="C1696" s="7" t="s">
        <v>10</v>
      </c>
      <c r="D1696" s="7">
        <v>539</v>
      </c>
      <c r="E1696" s="7" t="s">
        <v>12</v>
      </c>
      <c r="F1696" s="8" t="str">
        <f ca="1">IFERROR(__xludf.DUMMYFUNCTION("IF
(
C1697=""фізична особа""
,
VLOOKUP(D1697,IMPORTRANGE(""https://docs.google.com/spreadsheets/d/14Bd19lYaqBhU8_DElYkX7l4wRkHqqCUFNJY4AfY3kHU/edit?usp=sharing  #gid=0"",""фіз особи new!relations_name""),6,FALSE)
,
(IF
(
C1697=""юридична особа""
,
VLOOKUP"&amp;"(D1697,IMPORTRANGE(""https://docs.google.com/spreadsheets/d/14Bd19lYaqBhU8_DElYkX7l4wRkHqqCUFNJY4AfY3kHU/edit?usp=sharing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6" s="7" t="s">
        <v>10</v>
      </c>
      <c r="H1696" s="7">
        <v>0</v>
      </c>
      <c r="I1696" s="8" t="str">
        <f ca="1">IFERROR(__xludf.DUMMYFUNCTION("IF
(
G1697=""фізична особа""
,
VLOOKUP(H1697,IMPORTRANGE(""https://docs.google.com/spreadsheets/d/14Bd19lYaqBhU8_DElYkX7l4wRkHqqCUFNJY4AfY3kHU/edit?usp=sharing  #gid=0"",""фіз особи new!relations_name""),6,FALSE)
,
(IF
(
G1697=""юридична особа""
,
VLOOKUP"&amp;"(H1697,IMPORTRANGE(""https://docs.google.com/spreadsheets/d/14Bd19lYaqBhU8_DElYkX7l4wRkHqqCUFNJY4AfY3kHU/edit?usp=sharing  #gid=0"",""фіз особи new!relations_name_uo""),7,FALSE)
,
)
))"),"#N/A")</f>
        <v>#N/A</v>
      </c>
      <c r="J1696" s="7" t="s">
        <v>13</v>
      </c>
    </row>
    <row r="1697" spans="1:10" ht="13.2">
      <c r="A1697" s="7">
        <v>1696</v>
      </c>
      <c r="B1697" s="7">
        <v>1</v>
      </c>
      <c r="C1697" s="7" t="s">
        <v>10</v>
      </c>
      <c r="D1697" s="7">
        <v>539</v>
      </c>
      <c r="E1697" s="7" t="s">
        <v>48</v>
      </c>
      <c r="F1697" s="8" t="str">
        <f ca="1">IFERROR(__xludf.DUMMYFUNCTION("IF
(
C1698=""фізична особа""
,
VLOOKUP(D1698,IMPORTRANGE(""https://docs.google.com/spreadsheets/d/14Bd19lYaqBhU8_DElYkX7l4wRkHqqCUFNJY4AfY3kHU/edit?usp=sharing  #gid=0"",""фіз особи new!relations_name""),6,FALSE)
,
(IF
(
C1698=""юридична особа""
,
VLOOKUP"&amp;"(D1698,IMPORTRANGE(""https://docs.google.com/spreadsheets/d/14Bd19lYaqBhU8_DElYkX7l4wRkHqqCUFNJY4AfY3kHU/edit?usp=sharing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7" s="7" t="s">
        <v>10</v>
      </c>
      <c r="H1697" s="7">
        <v>23399</v>
      </c>
      <c r="I1697" s="8" t="str">
        <f ca="1">IFERROR(__xludf.DUMMYFUNCTION("IF
(
G1698=""фізична особа""
,
VLOOKUP(H1698,IMPORTRANGE(""https://docs.google.com/spreadsheets/d/14Bd19lYaqBhU8_DElYkX7l4wRkHqqCUFNJY4AfY3kHU/edit?usp=sharing  #gid=0"",""фіз особи new!relations_name""),6,FALSE)
,
(IF
(
G1698=""юридична особа""
,
VLOOKUP"&amp;"(H1698,IMPORTRANGE(""https://docs.google.com/spreadsheets/d/14Bd19lYaqBhU8_DElYkX7l4wRkHqqCUFNJY4AfY3kHU/edit?usp=sharing  #gid=0"",""фіз особи new!relations_name_uo""),7,FALSE)
,
)
))"),"ЮРЕВИЧ Михайло Валерійович")</f>
        <v>ЮРЕВИЧ Михайло Валерійович</v>
      </c>
      <c r="J1697" s="7" t="s">
        <v>48</v>
      </c>
    </row>
    <row r="1698" spans="1:10" ht="13.2">
      <c r="A1698" s="7">
        <v>1697</v>
      </c>
      <c r="B1698" s="7">
        <v>1</v>
      </c>
      <c r="C1698" s="7" t="s">
        <v>10</v>
      </c>
      <c r="D1698" s="7">
        <v>539</v>
      </c>
      <c r="E1698" s="7" t="s">
        <v>11</v>
      </c>
      <c r="F1698" s="8" t="str">
        <f ca="1">IFERROR(__xludf.DUMMYFUNCTION("IF
(
C1699=""фізична особа""
,
VLOOKUP(D1699,IMPORTRANGE(""https://docs.google.com/spreadsheets/d/14Bd19lYaqBhU8_DElYkX7l4wRkHqqCUFNJY4AfY3kHU/edit?usp=sharing  #gid=0"",""фіз особи new!relations_name""),6,FALSE)
,
(IF
(
C1699=""юридична особа""
,
VLOOKUP"&amp;"(D1699,IMPORTRANGE(""https://docs.google.com/spreadsheets/d/14Bd19lYaqBhU8_DElYkX7l4wRkHqqCUFNJY4AfY3kHU/edit?usp=sharing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G1698" s="7" t="s">
        <v>10</v>
      </c>
      <c r="H1698" s="7">
        <v>13032</v>
      </c>
      <c r="I1698" s="8" t="str">
        <f ca="1">IFERROR(__xludf.DUMMYFUNCTION("IF
(
G1699=""фізична особа""
,
VLOOKUP(H1699,IMPORTRANGE(""https://docs.google.com/spreadsheets/d/14Bd19lYaqBhU8_DElYkX7l4wRkHqqCUFNJY4AfY3kHU/edit?usp=sharing  #gid=0"",""фіз особи new!relations_name""),6,FALSE)
,
(IF
(
G1699=""юридична особа""
,
VLOOKUP"&amp;"(H1699,IMPORTRANGE(""https://docs.google.com/spreadsheets/d/14Bd19lYaqBhU8_DElYkX7l4wRkHqqCUFNJY4AfY3kHU/edit?usp=sharing  #gid=0"",""фіз особи new!relations_name_uo""),7,FALSE)
,
)
))"),"ЮСУПОВ Марсель Харисович")</f>
        <v>ЮСУПОВ Марсель Харисович</v>
      </c>
      <c r="J1698" s="7" t="s">
        <v>11</v>
      </c>
    </row>
    <row r="1699" spans="1:10" ht="13.2">
      <c r="A1699" s="7">
        <v>1698</v>
      </c>
      <c r="B1699" s="7">
        <v>1</v>
      </c>
      <c r="C1699" s="7" t="s">
        <v>10</v>
      </c>
      <c r="D1699" s="7">
        <v>540</v>
      </c>
      <c r="E1699" s="7" t="s">
        <v>14</v>
      </c>
      <c r="F1699" s="8" t="str">
        <f ca="1">IFERROR(__xludf.DUMMYFUNCTION("IF
(
C1700=""фізична особа""
,
VLOOKUP(D1700,IMPORTRANGE(""https://docs.google.com/spreadsheets/d/14Bd19lYaqBhU8_DElYkX7l4wRkHqqCUFNJY4AfY3kHU/edit?usp=sharing  #gid=0"",""фіз особи new!relations_name""),6,FALSE)
,
(IF
(
C1700=""юридична особа""
,
VLOOKUP"&amp;"(D1700,IMPORTRANGE(""https://docs.google.com/spreadsheets/d/14Bd19lYaqBhU8_DElYkX7l4wRkHqqCUFNJY4AfY3kHU/edit?usp=sharing  #gid=0"",""фіз особи new!relations_name_uo""),7,FALSE)
,
)
))"),"ГОЛІКОВ Олег Олександрович")</f>
        <v>ГОЛІКОВ Олег Олександрович</v>
      </c>
      <c r="G1699" s="7" t="s">
        <v>10</v>
      </c>
      <c r="H1699" s="7">
        <v>0</v>
      </c>
      <c r="I1699" s="8" t="str">
        <f ca="1">IFERROR(__xludf.DUMMYFUNCTION("IF
(
G1700=""фізична особа""
,
VLOOKUP(H1700,IMPORTRANGE(""https://docs.google.com/spreadsheets/d/14Bd19lYaqBhU8_DElYkX7l4wRkHqqCUFNJY4AfY3kHU/edit?usp=sharing  #gid=0"",""фіз особи new!relations_name""),6,FALSE)
,
(IF
(
G1700=""юридична особа""
,
VLOOKUP"&amp;"(H1700,IMPORTRANGE(""https://docs.google.com/spreadsheets/d/14Bd19lYaqBhU8_DElYkX7l4wRkHqqCUFNJY4AfY3kHU/edit?usp=sharing  #gid=0"",""фіз особи new!relations_name_uo""),7,FALSE)
,
)
))"),"#N/A")</f>
        <v>#N/A</v>
      </c>
      <c r="J1699" s="7" t="s">
        <v>15</v>
      </c>
    </row>
    <row r="1700" spans="1:10" ht="13.2">
      <c r="A1700" s="7">
        <v>1699</v>
      </c>
      <c r="B1700" s="7">
        <v>1</v>
      </c>
      <c r="C1700" s="7" t="s">
        <v>10</v>
      </c>
      <c r="D1700" s="7">
        <v>541</v>
      </c>
      <c r="E1700" s="7" t="s">
        <v>48</v>
      </c>
      <c r="F1700" s="8" t="str">
        <f ca="1">IFERROR(__xludf.DUMMYFUNCTION("IF
(
C1701=""фізична особа""
,
VLOOKUP(D1701,IMPORTRANGE(""https://docs.google.com/spreadsheets/d/14Bd19lYaqBhU8_DElYkX7l4wRkHqqCUFNJY4AfY3kHU/edit?usp=sharing  #gid=0"",""фіз особи new!relations_name""),6,FALSE)
,
(IF
(
C1701=""юридична особа""
,
VLOOKUP"&amp;"(D1701,IMPORTRANGE(""https://docs.google.com/spreadsheets/d/14Bd19lYaqBhU8_DElYkX7l4wRkHqqCUFNJY4AfY3kHU/edit?usp=sharing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0" s="7" t="s">
        <v>10</v>
      </c>
      <c r="H1700" s="7">
        <v>463</v>
      </c>
      <c r="I1700" s="8" t="str">
        <f ca="1">IFERROR(__xludf.DUMMYFUNCTION("IF
(
G1701=""фізична особа""
,
VLOOKUP(H1701,IMPORTRANGE(""https://docs.google.com/spreadsheets/d/14Bd19lYaqBhU8_DElYkX7l4wRkHqqCUFNJY4AfY3kHU/edit?usp=sharing  #gid=0"",""фіз особи new!relations_name""),6,FALSE)
,
(IF
(
G1701=""юридична особа""
,
VLOOKUP"&amp;"(H1701,IMPORTRANGE(""https://docs.google.com/spreadsheets/d/14Bd19lYaqBhU8_DElYkX7l4wRkHqqCUFNJY4AfY3kHU/edit?usp=sharing  #gid=0"",""фіз особи new!relations_name_uo""),7,FALSE)
,
)
))"),"МИРОНОВ Сергій Михайлович")</f>
        <v>МИРОНОВ Сергій Михайлович</v>
      </c>
      <c r="J1700" s="7" t="s">
        <v>48</v>
      </c>
    </row>
    <row r="1701" spans="1:10" ht="13.2">
      <c r="A1701" s="7">
        <v>1700</v>
      </c>
      <c r="B1701" s="7">
        <v>1</v>
      </c>
      <c r="C1701" s="7" t="s">
        <v>10</v>
      </c>
      <c r="D1701" s="7">
        <v>541</v>
      </c>
      <c r="E1701" s="7" t="s">
        <v>11</v>
      </c>
      <c r="F1701" s="8" t="str">
        <f ca="1">IFERROR(__xludf.DUMMYFUNCTION("IF
(
C1702=""фізична особа""
,
VLOOKUP(D1702,IMPORTRANGE(""https://docs.google.com/spreadsheets/d/14Bd19lYaqBhU8_DElYkX7l4wRkHqqCUFNJY4AfY3kHU/edit?usp=sharing  #gid=0"",""фіз особи new!relations_name""),6,FALSE)
,
(IF
(
C1702=""юридична особа""
,
VLOOKUP"&amp;"(D1702,IMPORTRANGE(""https://docs.google.com/spreadsheets/d/14Bd19lYaqBhU8_DElYkX7l4wRkHqqCUFNJY4AfY3kHU/edit?usp=sharing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1" s="7" t="s">
        <v>10</v>
      </c>
      <c r="H1701" s="7">
        <v>0</v>
      </c>
      <c r="I1701" s="8" t="str">
        <f ca="1">IFERROR(__xludf.DUMMYFUNCTION("IF
(
G1702=""фізична особа""
,
VLOOKUP(H1702,IMPORTRANGE(""https://docs.google.com/spreadsheets/d/14Bd19lYaqBhU8_DElYkX7l4wRkHqqCUFNJY4AfY3kHU/edit?usp=sharing  #gid=0"",""фіз особи new!relations_name""),6,FALSE)
,
(IF
(
G1702=""юридична особа""
,
VLOOKUP"&amp;"(H1702,IMPORTRANGE(""https://docs.google.com/spreadsheets/d/14Bd19lYaqBhU8_DElYkX7l4wRkHqqCUFNJY4AfY3kHU/edit?usp=sharing  #gid=0"",""фіз особи new!relations_name_uo""),7,FALSE)
,
)
))"),"#N/A")</f>
        <v>#N/A</v>
      </c>
      <c r="J1701" s="7" t="s">
        <v>11</v>
      </c>
    </row>
    <row r="1702" spans="1:10" ht="13.2">
      <c r="A1702" s="7">
        <v>1701</v>
      </c>
      <c r="B1702" s="7">
        <v>1</v>
      </c>
      <c r="C1702" s="7" t="s">
        <v>10</v>
      </c>
      <c r="D1702" s="7">
        <v>541</v>
      </c>
      <c r="E1702" s="7" t="s">
        <v>11</v>
      </c>
      <c r="F1702" s="8" t="str">
        <f ca="1">IFERROR(__xludf.DUMMYFUNCTION("IF
(
C1703=""фізична особа""
,
VLOOKUP(D1703,IMPORTRANGE(""https://docs.google.com/spreadsheets/d/14Bd19lYaqBhU8_DElYkX7l4wRkHqqCUFNJY4AfY3kHU/edit?usp=sharing  #gid=0"",""фіз особи new!relations_name""),6,FALSE)
,
(IF
(
C1703=""юридична особа""
,
VLOOKUP"&amp;"(D1703,IMPORTRANGE(""https://docs.google.com/spreadsheets/d/14Bd19lYaqBhU8_DElYkX7l4wRkHqqCUFNJY4AfY3kHU/edit?usp=sharing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2" s="7" t="s">
        <v>10</v>
      </c>
      <c r="H1702" s="7">
        <v>0</v>
      </c>
      <c r="I1702" s="8" t="str">
        <f ca="1">IFERROR(__xludf.DUMMYFUNCTION("IF
(
G1703=""фізична особа""
,
VLOOKUP(H1703,IMPORTRANGE(""https://docs.google.com/spreadsheets/d/14Bd19lYaqBhU8_DElYkX7l4wRkHqqCUFNJY4AfY3kHU/edit?usp=sharing  #gid=0"",""фіз особи new!relations_name""),6,FALSE)
,
(IF
(
G1703=""юридична особа""
,
VLOOKUP"&amp;"(H1703,IMPORTRANGE(""https://docs.google.com/spreadsheets/d/14Bd19lYaqBhU8_DElYkX7l4wRkHqqCUFNJY4AfY3kHU/edit?usp=sharing  #gid=0"",""фіз особи new!relations_name_uo""),7,FALSE)
,
)
))"),"#N/A")</f>
        <v>#N/A</v>
      </c>
      <c r="J1702" s="7" t="s">
        <v>11</v>
      </c>
    </row>
    <row r="1703" spans="1:10" ht="13.2">
      <c r="A1703" s="7">
        <v>1702</v>
      </c>
      <c r="B1703" s="7">
        <v>1</v>
      </c>
      <c r="C1703" s="7" t="s">
        <v>10</v>
      </c>
      <c r="D1703" s="7">
        <v>541</v>
      </c>
      <c r="E1703" s="7" t="s">
        <v>11</v>
      </c>
      <c r="F1703" s="8" t="str">
        <f ca="1">IFERROR(__xludf.DUMMYFUNCTION("IF
(
C1704=""фізична особа""
,
VLOOKUP(D1704,IMPORTRANGE(""https://docs.google.com/spreadsheets/d/14Bd19lYaqBhU8_DElYkX7l4wRkHqqCUFNJY4AfY3kHU/edit?usp=sharing  #gid=0"",""фіз особи new!relations_name""),6,FALSE)
,
(IF
(
C1704=""юридична особа""
,
VLOOKUP"&amp;"(D1704,IMPORTRANGE(""https://docs.google.com/spreadsheets/d/14Bd19lYaqBhU8_DElYkX7l4wRkHqqCUFNJY4AfY3kHU/edit?usp=sharing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3" s="7" t="s">
        <v>10</v>
      </c>
      <c r="H1703" s="7">
        <v>0</v>
      </c>
      <c r="I1703" s="8" t="str">
        <f ca="1">IFERROR(__xludf.DUMMYFUNCTION("IF
(
G1704=""фізична особа""
,
VLOOKUP(H1704,IMPORTRANGE(""https://docs.google.com/spreadsheets/d/14Bd19lYaqBhU8_DElYkX7l4wRkHqqCUFNJY4AfY3kHU/edit?usp=sharing  #gid=0"",""фіз особи new!relations_name""),6,FALSE)
,
(IF
(
G1704=""юридична особа""
,
VLOOKUP"&amp;"(H1704,IMPORTRANGE(""https://docs.google.com/spreadsheets/d/14Bd19lYaqBhU8_DElYkX7l4wRkHqqCUFNJY4AfY3kHU/edit?usp=sharing  #gid=0"",""фіз особи new!relations_name_uo""),7,FALSE)
,
)
))"),"#N/A")</f>
        <v>#N/A</v>
      </c>
      <c r="J1703" s="7" t="s">
        <v>11</v>
      </c>
    </row>
    <row r="1704" spans="1:10" ht="13.2">
      <c r="A1704" s="7">
        <v>1703</v>
      </c>
      <c r="B1704" s="7">
        <v>1</v>
      </c>
      <c r="C1704" s="7" t="s">
        <v>10</v>
      </c>
      <c r="D1704" s="7">
        <v>541</v>
      </c>
      <c r="E1704" s="7" t="s">
        <v>11</v>
      </c>
      <c r="F1704" s="8" t="str">
        <f ca="1">IFERROR(__xludf.DUMMYFUNCTION("IF
(
C1705=""фізична особа""
,
VLOOKUP(D1705,IMPORTRANGE(""https://docs.google.com/spreadsheets/d/14Bd19lYaqBhU8_DElYkX7l4wRkHqqCUFNJY4AfY3kHU/edit?usp=sharing  #gid=0"",""фіз особи new!relations_name""),6,FALSE)
,
(IF
(
C1705=""юридична особа""
,
VLOOKUP"&amp;"(D1705,IMPORTRANGE(""https://docs.google.com/spreadsheets/d/14Bd19lYaqBhU8_DElYkX7l4wRkHqqCUFNJY4AfY3kHU/edit?usp=sharing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4" s="7" t="s">
        <v>10</v>
      </c>
      <c r="H1704" s="7">
        <v>0</v>
      </c>
      <c r="I1704" s="8" t="str">
        <f ca="1">IFERROR(__xludf.DUMMYFUNCTION("IF
(
G1705=""фізична особа""
,
VLOOKUP(H1705,IMPORTRANGE(""https://docs.google.com/spreadsheets/d/14Bd19lYaqBhU8_DElYkX7l4wRkHqqCUFNJY4AfY3kHU/edit?usp=sharing  #gid=0"",""фіз особи new!relations_name""),6,FALSE)
,
(IF
(
G1705=""юридична особа""
,
VLOOKUP"&amp;"(H1705,IMPORTRANGE(""https://docs.google.com/spreadsheets/d/14Bd19lYaqBhU8_DElYkX7l4wRkHqqCUFNJY4AfY3kHU/edit?usp=sharing  #gid=0"",""фіз особи new!relations_name_uo""),7,FALSE)
,
)
))"),"#N/A")</f>
        <v>#N/A</v>
      </c>
      <c r="J1704" s="7" t="s">
        <v>11</v>
      </c>
    </row>
    <row r="1705" spans="1:10" ht="13.2">
      <c r="A1705" s="7">
        <v>1704</v>
      </c>
      <c r="B1705" s="7">
        <v>1</v>
      </c>
      <c r="C1705" s="7" t="s">
        <v>10</v>
      </c>
      <c r="D1705" s="7">
        <v>541</v>
      </c>
      <c r="E1705" s="7" t="s">
        <v>11</v>
      </c>
      <c r="F1705" s="8" t="str">
        <f ca="1">IFERROR(__xludf.DUMMYFUNCTION("IF
(
C1706=""фізична особа""
,
VLOOKUP(D1706,IMPORTRANGE(""https://docs.google.com/spreadsheets/d/14Bd19lYaqBhU8_DElYkX7l4wRkHqqCUFNJY4AfY3kHU/edit?usp=sharing  #gid=0"",""фіз особи new!relations_name""),6,FALSE)
,
(IF
(
C1706=""юридична особа""
,
VLOOKUP"&amp;"(D1706,IMPORTRANGE(""https://docs.google.com/spreadsheets/d/14Bd19lYaqBhU8_DElYkX7l4wRkHqqCUFNJY4AfY3kHU/edit?usp=sharing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5" s="7" t="s">
        <v>10</v>
      </c>
      <c r="H1705" s="7">
        <v>0</v>
      </c>
      <c r="I1705" s="8" t="str">
        <f ca="1">IFERROR(__xludf.DUMMYFUNCTION("IF
(
G1706=""фізична особа""
,
VLOOKUP(H1706,IMPORTRANGE(""https://docs.google.com/spreadsheets/d/14Bd19lYaqBhU8_DElYkX7l4wRkHqqCUFNJY4AfY3kHU/edit?usp=sharing  #gid=0"",""фіз особи new!relations_name""),6,FALSE)
,
(IF
(
G1706=""юридична особа""
,
VLOOKUP"&amp;"(H1706,IMPORTRANGE(""https://docs.google.com/spreadsheets/d/14Bd19lYaqBhU8_DElYkX7l4wRkHqqCUFNJY4AfY3kHU/edit?usp=sharing  #gid=0"",""фіз особи new!relations_name_uo""),7,FALSE)
,
)
))"),"#N/A")</f>
        <v>#N/A</v>
      </c>
      <c r="J1705" s="7" t="s">
        <v>11</v>
      </c>
    </row>
    <row r="1706" spans="1:10" ht="13.2">
      <c r="A1706" s="7">
        <v>1705</v>
      </c>
      <c r="B1706" s="7">
        <v>1</v>
      </c>
      <c r="C1706" s="7" t="s">
        <v>10</v>
      </c>
      <c r="D1706" s="7">
        <v>541</v>
      </c>
      <c r="E1706" s="7" t="s">
        <v>11</v>
      </c>
      <c r="F1706" s="8" t="str">
        <f ca="1">IFERROR(__xludf.DUMMYFUNCTION("IF
(
C1707=""фізична особа""
,
VLOOKUP(D1707,IMPORTRANGE(""https://docs.google.com/spreadsheets/d/14Bd19lYaqBhU8_DElYkX7l4wRkHqqCUFNJY4AfY3kHU/edit?usp=sharing  #gid=0"",""фіз особи new!relations_name""),6,FALSE)
,
(IF
(
C1707=""юридична особа""
,
VLOOKUP"&amp;"(D1707,IMPORTRANGE(""https://docs.google.com/spreadsheets/d/14Bd19lYaqBhU8_DElYkX7l4wRkHqqCUFNJY4AfY3kHU/edit?usp=sharing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6" s="7" t="s">
        <v>10</v>
      </c>
      <c r="H1706" s="7">
        <v>0</v>
      </c>
      <c r="I1706" s="8" t="str">
        <f ca="1">IFERROR(__xludf.DUMMYFUNCTION("IF
(
G1707=""фізична особа""
,
VLOOKUP(H1707,IMPORTRANGE(""https://docs.google.com/spreadsheets/d/14Bd19lYaqBhU8_DElYkX7l4wRkHqqCUFNJY4AfY3kHU/edit?usp=sharing  #gid=0"",""фіз особи new!relations_name""),6,FALSE)
,
(IF
(
G1707=""юридична особа""
,
VLOOKUP"&amp;"(H1707,IMPORTRANGE(""https://docs.google.com/spreadsheets/d/14Bd19lYaqBhU8_DElYkX7l4wRkHqqCUFNJY4AfY3kHU/edit?usp=sharing  #gid=0"",""фіз особи new!relations_name_uo""),7,FALSE)
,
)
))"),"#N/A")</f>
        <v>#N/A</v>
      </c>
      <c r="J1706" s="7" t="s">
        <v>11</v>
      </c>
    </row>
    <row r="1707" spans="1:10" ht="13.2">
      <c r="A1707" s="7">
        <v>1706</v>
      </c>
      <c r="B1707" s="7">
        <v>1</v>
      </c>
      <c r="C1707" s="7" t="s">
        <v>10</v>
      </c>
      <c r="D1707" s="7">
        <v>541</v>
      </c>
      <c r="E1707" s="7" t="s">
        <v>11</v>
      </c>
      <c r="F1707" s="8" t="str">
        <f ca="1">IFERROR(__xludf.DUMMYFUNCTION("IF
(
C1708=""фізична особа""
,
VLOOKUP(D1708,IMPORTRANGE(""https://docs.google.com/spreadsheets/d/14Bd19lYaqBhU8_DElYkX7l4wRkHqqCUFNJY4AfY3kHU/edit?usp=sharing  #gid=0"",""фіз особи new!relations_name""),6,FALSE)
,
(IF
(
C1708=""юридична особа""
,
VLOOKUP"&amp;"(D1708,IMPORTRANGE(""https://docs.google.com/spreadsheets/d/14Bd19lYaqBhU8_DElYkX7l4wRkHqqCUFNJY4AfY3kHU/edit?usp=sharing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7" s="7" t="s">
        <v>10</v>
      </c>
      <c r="H1707" s="7">
        <v>0</v>
      </c>
      <c r="I1707" s="8" t="str">
        <f ca="1">IFERROR(__xludf.DUMMYFUNCTION("IF
(
G1708=""фізична особа""
,
VLOOKUP(H1708,IMPORTRANGE(""https://docs.google.com/spreadsheets/d/14Bd19lYaqBhU8_DElYkX7l4wRkHqqCUFNJY4AfY3kHU/edit?usp=sharing  #gid=0"",""фіз особи new!relations_name""),6,FALSE)
,
(IF
(
G1708=""юридична особа""
,
VLOOKUP"&amp;"(H1708,IMPORTRANGE(""https://docs.google.com/spreadsheets/d/14Bd19lYaqBhU8_DElYkX7l4wRkHqqCUFNJY4AfY3kHU/edit?usp=sharing  #gid=0"",""фіз особи new!relations_name_uo""),7,FALSE)
,
)
))"),"#N/A")</f>
        <v>#N/A</v>
      </c>
      <c r="J1707" s="7" t="s">
        <v>11</v>
      </c>
    </row>
    <row r="1708" spans="1:10" ht="13.2">
      <c r="A1708" s="7">
        <v>1707</v>
      </c>
      <c r="B1708" s="7">
        <v>1</v>
      </c>
      <c r="C1708" s="7" t="s">
        <v>10</v>
      </c>
      <c r="D1708" s="7">
        <v>541</v>
      </c>
      <c r="E1708" s="7" t="s">
        <v>48</v>
      </c>
      <c r="F1708" s="8" t="str">
        <f ca="1">IFERROR(__xludf.DUMMYFUNCTION("IF
(
C1709=""фізична особа""
,
VLOOKUP(D1709,IMPORTRANGE(""https://docs.google.com/spreadsheets/d/14Bd19lYaqBhU8_DElYkX7l4wRkHqqCUFNJY4AfY3kHU/edit?usp=sharing  #gid=0"",""фіз особи new!relations_name""),6,FALSE)
,
(IF
(
C1709=""юридична особа""
,
VLOOKUP"&amp;"(D1709,IMPORTRANGE(""https://docs.google.com/spreadsheets/d/14Bd19lYaqBhU8_DElYkX7l4wRkHqqCUFNJY4AfY3kHU/edit?usp=sharing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8" s="7" t="s">
        <v>10</v>
      </c>
      <c r="H1708" s="7">
        <v>0</v>
      </c>
      <c r="I1708" s="8" t="str">
        <f ca="1">IFERROR(__xludf.DUMMYFUNCTION("IF
(
G1709=""фізична особа""
,
VLOOKUP(H1709,IMPORTRANGE(""https://docs.google.com/spreadsheets/d/14Bd19lYaqBhU8_DElYkX7l4wRkHqqCUFNJY4AfY3kHU/edit?usp=sharing  #gid=0"",""фіз особи new!relations_name""),6,FALSE)
,
(IF
(
G1709=""юридична особа""
,
VLOOKUP"&amp;"(H1709,IMPORTRANGE(""https://docs.google.com/spreadsheets/d/14Bd19lYaqBhU8_DElYkX7l4wRkHqqCUFNJY4AfY3kHU/edit?usp=sharing  #gid=0"",""фіз особи new!relations_name_uo""),7,FALSE)
,
)
))"),"#N/A")</f>
        <v>#N/A</v>
      </c>
      <c r="J1708" s="7" t="s">
        <v>48</v>
      </c>
    </row>
    <row r="1709" spans="1:10" ht="13.2">
      <c r="A1709" s="7">
        <v>1708</v>
      </c>
      <c r="B1709" s="7">
        <v>1</v>
      </c>
      <c r="C1709" s="7" t="s">
        <v>10</v>
      </c>
      <c r="D1709" s="7">
        <v>541</v>
      </c>
      <c r="E1709" s="7" t="s">
        <v>11</v>
      </c>
      <c r="F1709" s="8" t="str">
        <f ca="1">IFERROR(__xludf.DUMMYFUNCTION("IF
(
C1710=""фізична особа""
,
VLOOKUP(D1710,IMPORTRANGE(""https://docs.google.com/spreadsheets/d/14Bd19lYaqBhU8_DElYkX7l4wRkHqqCUFNJY4AfY3kHU/edit?usp=sharing  #gid=0"",""фіз особи new!relations_name""),6,FALSE)
,
(IF
(
C1710=""юридична особа""
,
VLOOKUP"&amp;"(D1710,IMPORTRANGE(""https://docs.google.com/spreadsheets/d/14Bd19lYaqBhU8_DElYkX7l4wRkHqqCUFNJY4AfY3kHU/edit?usp=sharing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09" s="7" t="s">
        <v>10</v>
      </c>
      <c r="H1709" s="7">
        <v>0</v>
      </c>
      <c r="I1709" s="8" t="str">
        <f ca="1">IFERROR(__xludf.DUMMYFUNCTION("IF
(
G1710=""фізична особа""
,
VLOOKUP(H1710,IMPORTRANGE(""https://docs.google.com/spreadsheets/d/14Bd19lYaqBhU8_DElYkX7l4wRkHqqCUFNJY4AfY3kHU/edit?usp=sharing  #gid=0"",""фіз особи new!relations_name""),6,FALSE)
,
(IF
(
G1710=""юридична особа""
,
VLOOKUP"&amp;"(H1710,IMPORTRANGE(""https://docs.google.com/spreadsheets/d/14Bd19lYaqBhU8_DElYkX7l4wRkHqqCUFNJY4AfY3kHU/edit?usp=sharing  #gid=0"",""фіз особи new!relations_name_uo""),7,FALSE)
,
)
))"),"#N/A")</f>
        <v>#N/A</v>
      </c>
      <c r="J1709" s="7" t="s">
        <v>11</v>
      </c>
    </row>
    <row r="1710" spans="1:10" ht="13.2">
      <c r="A1710" s="7">
        <v>1709</v>
      </c>
      <c r="B1710" s="7">
        <v>1</v>
      </c>
      <c r="C1710" s="7" t="s">
        <v>10</v>
      </c>
      <c r="D1710" s="7">
        <v>541</v>
      </c>
      <c r="E1710" s="7" t="s">
        <v>11</v>
      </c>
      <c r="F1710" s="8" t="str">
        <f ca="1">IFERROR(__xludf.DUMMYFUNCTION("IF
(
C1711=""фізична особа""
,
VLOOKUP(D1711,IMPORTRANGE(""https://docs.google.com/spreadsheets/d/14Bd19lYaqBhU8_DElYkX7l4wRkHqqCUFNJY4AfY3kHU/edit?usp=sharing  #gid=0"",""фіз особи new!relations_name""),6,FALSE)
,
(IF
(
C1711=""юридична особа""
,
VLOOKUP"&amp;"(D1711,IMPORTRANGE(""https://docs.google.com/spreadsheets/d/14Bd19lYaqBhU8_DElYkX7l4wRkHqqCUFNJY4AfY3kHU/edit?usp=sharing  #gid=0"",""фіз особи new!relations_name_uo""),7,FALSE)
,
)
))"),"НІЛОВ Олег Анатолійович")</f>
        <v>НІЛОВ Олег Анатолійович</v>
      </c>
      <c r="G1710" s="7" t="s">
        <v>10</v>
      </c>
      <c r="H1710" s="7">
        <v>0</v>
      </c>
      <c r="I1710" s="8" t="str">
        <f ca="1">IFERROR(__xludf.DUMMYFUNCTION("IF
(
G1711=""фізична особа""
,
VLOOKUP(H1711,IMPORTRANGE(""https://docs.google.com/spreadsheets/d/14Bd19lYaqBhU8_DElYkX7l4wRkHqqCUFNJY4AfY3kHU/edit?usp=sharing  #gid=0"",""фіз особи new!relations_name""),6,FALSE)
,
(IF
(
G1711=""юридична особа""
,
VLOOKUP"&amp;"(H1711,IMPORTRANGE(""https://docs.google.com/spreadsheets/d/14Bd19lYaqBhU8_DElYkX7l4wRkHqqCUFNJY4AfY3kHU/edit?usp=sharing  #gid=0"",""фіз особи new!relations_name_uo""),7,FALSE)
,
)
))"),"#N/A")</f>
        <v>#N/A</v>
      </c>
      <c r="J1710" s="7" t="s">
        <v>11</v>
      </c>
    </row>
    <row r="1711" spans="1:10" ht="13.2">
      <c r="A1711" s="7">
        <v>1710</v>
      </c>
      <c r="B1711" s="7">
        <v>1</v>
      </c>
      <c r="C1711" s="7" t="s">
        <v>10</v>
      </c>
      <c r="D1711" s="7">
        <v>543</v>
      </c>
      <c r="E1711" s="7" t="s">
        <v>48</v>
      </c>
      <c r="F1711" s="8" t="str">
        <f ca="1">IFERROR(__xludf.DUMMYFUNCTION("IF
(
C1712=""фізична особа""
,
VLOOKUP(D1712,IMPORTRANGE(""https://docs.google.com/spreadsheets/d/14Bd19lYaqBhU8_DElYkX7l4wRkHqqCUFNJY4AfY3kHU/edit?usp=sharing  #gid=0"",""фіз особи new!relations_name""),6,FALSE)
,
(IF
(
C1712=""юридична особа""
,
VLOOKUP"&amp;"(D1712,IMPORTRANGE(""https://docs.google.com/spreadsheets/d/14Bd19lYaqBhU8_DElYkX7l4wRkHqqCUFNJY4AfY3kHU/edit?usp=sharing  #gid=0"",""фіз особи new!relations_name_uo""),7,FALSE)
,
)
))"),"МАТВЕЙЧЄВ Олег Анатолыйович")</f>
        <v>МАТВЕЙЧЄВ Олег Анатолыйович</v>
      </c>
      <c r="G1711" s="7" t="s">
        <v>10</v>
      </c>
      <c r="H1711" s="7">
        <v>872</v>
      </c>
      <c r="I1711" s="8" t="str">
        <f ca="1">IFERROR(__xludf.DUMMYFUNCTION("IF
(
G1712=""фізична особа""
,
VLOOKUP(H1712,IMPORTRANGE(""https://docs.google.com/spreadsheets/d/14Bd19lYaqBhU8_DElYkX7l4wRkHqqCUFNJY4AfY3kHU/edit?usp=sharing  #gid=0"",""фіз особи new!relations_name""),6,FALSE)
,
(IF
(
G1712=""юридична особа""
,
VLOOKUP"&amp;"(H1712,IMPORTRANGE(""https://docs.google.com/spreadsheets/d/14Bd19lYaqBhU8_DElYkX7l4wRkHqqCUFNJY4AfY3kHU/edit?usp=sharing  #gid=0"",""фіз особи new!relations_name_uo""),7,FALSE)
,
)
))"),"СОЛОВЙОВ Володимир Рудольфович")</f>
        <v>СОЛОВЙОВ Володимир Рудольфович</v>
      </c>
      <c r="J1711" s="7" t="s">
        <v>48</v>
      </c>
    </row>
    <row r="1712" spans="1:10" ht="13.2">
      <c r="A1712" s="7">
        <v>1711</v>
      </c>
      <c r="B1712" s="7">
        <v>1</v>
      </c>
      <c r="C1712" s="7" t="s">
        <v>10</v>
      </c>
      <c r="D1712" s="7">
        <v>543</v>
      </c>
      <c r="E1712" s="7" t="s">
        <v>48</v>
      </c>
      <c r="F1712" s="8" t="str">
        <f ca="1">IFERROR(__xludf.DUMMYFUNCTION("IF
(
C1713=""фізична особа""
,
VLOOKUP(D1713,IMPORTRANGE(""https://docs.google.com/spreadsheets/d/14Bd19lYaqBhU8_DElYkX7l4wRkHqqCUFNJY4AfY3kHU/edit?usp=sharing  #gid=0"",""фіз особи new!relations_name""),6,FALSE)
,
(IF
(
C1713=""юридична особа""
,
VLOOKUP"&amp;"(D1713,IMPORTRANGE(""https://docs.google.com/spreadsheets/d/14Bd19lYaqBhU8_DElYkX7l4wRkHqqCUFNJY4AfY3kHU/edit?usp=sharing  #gid=0"",""фіз особи new!relations_name_uo""),7,FALSE)
,
)
))"),"МАТВЕЙЧЄВ Олег Анатолыйович")</f>
        <v>МАТВЕЙЧЄВ Олег Анатолыйович</v>
      </c>
      <c r="G1712" s="7" t="s">
        <v>10</v>
      </c>
      <c r="H1712" s="7">
        <v>605</v>
      </c>
      <c r="I1712" s="8" t="str">
        <f ca="1">IFERROR(__xludf.DUMMYFUNCTION("IF
(
G1713=""фізична особа""
,
VLOOKUP(H1713,IMPORTRANGE(""https://docs.google.com/spreadsheets/d/14Bd19lYaqBhU8_DElYkX7l4wRkHqqCUFNJY4AfY3kHU/edit?usp=sharing  #gid=0"",""фіз особи new!relations_name""),6,FALSE)
,
(IF
(
G1713=""юридична особа""
,
VLOOKUP"&amp;"(H1713,IMPORTRANGE(""https://docs.google.com/spreadsheets/d/14Bd19lYaqBhU8_DElYkX7l4wRkHqqCUFNJY4AfY3kHU/edit?usp=sharing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J1712" s="7" t="s">
        <v>48</v>
      </c>
    </row>
    <row r="1713" spans="1:10" ht="13.2">
      <c r="A1713" s="7">
        <v>1712</v>
      </c>
      <c r="B1713" s="7">
        <v>1</v>
      </c>
      <c r="C1713" s="7" t="s">
        <v>10</v>
      </c>
      <c r="D1713" s="7">
        <v>543</v>
      </c>
      <c r="E1713" s="7" t="s">
        <v>48</v>
      </c>
      <c r="F1713" s="8" t="str">
        <f ca="1">IFERROR(__xludf.DUMMYFUNCTION("IF
(
C1714=""фізична особа""
,
VLOOKUP(D1714,IMPORTRANGE(""https://docs.google.com/spreadsheets/d/14Bd19lYaqBhU8_DElYkX7l4wRkHqqCUFNJY4AfY3kHU/edit?usp=sharing  #gid=0"",""фіз особи new!relations_name""),6,FALSE)
,
(IF
(
C1714=""юридична особа""
,
VLOOKUP"&amp;"(D1714,IMPORTRANGE(""https://docs.google.com/spreadsheets/d/14Bd19lYaqBhU8_DElYkX7l4wRkHqqCUFNJY4AfY3kHU/edit?usp=sharing  #gid=0"",""фіз особи new!relations_name_uo""),7,FALSE)
,
)
))"),"МАТВЕЙЧЄВ Олег Анатолыйович")</f>
        <v>МАТВЕЙЧЄВ Олег Анатолыйович</v>
      </c>
      <c r="G1713" s="7" t="s">
        <v>10</v>
      </c>
      <c r="H1713" s="7">
        <v>621</v>
      </c>
      <c r="I1713" s="8" t="str">
        <f ca="1">IFERROR(__xludf.DUMMYFUNCTION("IF
(
G1714=""фізична особа""
,
VLOOKUP(H1714,IMPORTRANGE(""https://docs.google.com/spreadsheets/d/14Bd19lYaqBhU8_DElYkX7l4wRkHqqCUFNJY4AfY3kHU/edit?usp=sharing  #gid=0"",""фіз особи new!relations_name""),6,FALSE)
,
(IF
(
G1714=""юридична особа""
,
VLOOKUP"&amp;"(H1714,IMPORTRANGE(""https://docs.google.com/spreadsheets/d/14Bd19lYaqBhU8_DElYkX7l4wRkHqqCUFNJY4AfY3kHU/edit?usp=sharing  #gid=0"",""фіз особи new!relations_name_uo""),7,FALSE)
,
)
))"),"БАБАЯН Роман Георгійович")</f>
        <v>БАБАЯН Роман Георгійович</v>
      </c>
      <c r="J1713" s="7" t="s">
        <v>48</v>
      </c>
    </row>
    <row r="1714" spans="1:10" ht="13.2">
      <c r="A1714" s="7">
        <v>1713</v>
      </c>
      <c r="B1714" s="7">
        <v>1</v>
      </c>
      <c r="C1714" s="7" t="s">
        <v>10</v>
      </c>
      <c r="D1714" s="7">
        <v>543</v>
      </c>
      <c r="E1714" s="7" t="s">
        <v>48</v>
      </c>
      <c r="F1714" s="8" t="str">
        <f ca="1">IFERROR(__xludf.DUMMYFUNCTION("IF
(
C1715=""фізична особа""
,
VLOOKUP(D1715,IMPORTRANGE(""https://docs.google.com/spreadsheets/d/14Bd19lYaqBhU8_DElYkX7l4wRkHqqCUFNJY4AfY3kHU/edit?usp=sharing  #gid=0"",""фіз особи new!relations_name""),6,FALSE)
,
(IF
(
C1715=""юридична особа""
,
VLOOKUP"&amp;"(D1715,IMPORTRANGE(""https://docs.google.com/spreadsheets/d/14Bd19lYaqBhU8_DElYkX7l4wRkHqqCUFNJY4AfY3kHU/edit?usp=sharing  #gid=0"",""фіз особи new!relations_name_uo""),7,FALSE)
,
)
))"),"МАТВЕЙЧЄВ Олег Анатолыйович")</f>
        <v>МАТВЕЙЧЄВ Олег Анатолыйович</v>
      </c>
      <c r="G1714" s="7" t="s">
        <v>10</v>
      </c>
      <c r="H1714" s="7">
        <v>185</v>
      </c>
      <c r="I1714" s="8" t="str">
        <f ca="1">IFERROR(__xludf.DUMMYFUNCTION("IF
(
G1715=""фізична особа""
,
VLOOKUP(H1715,IMPORTRANGE(""https://docs.google.com/spreadsheets/d/14Bd19lYaqBhU8_DElYkX7l4wRkHqqCUFNJY4AfY3kHU/edit?usp=sharing  #gid=0"",""фіз особи new!relations_name""),6,FALSE)
,
(IF
(
G1715=""юридична особа""
,
VLOOKUP"&amp;"(H1715,IMPORTRANGE(""https://docs.google.com/spreadsheets/d/14Bd19lYaqBhU8_DElYkX7l4wRkHqqCUFNJY4AfY3kHU/edit?usp=sharing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714" s="7" t="s">
        <v>48</v>
      </c>
    </row>
    <row r="1715" spans="1:10" ht="13.2">
      <c r="A1715" s="7">
        <v>1714</v>
      </c>
      <c r="B1715" s="7">
        <v>1</v>
      </c>
      <c r="C1715" s="7" t="s">
        <v>10</v>
      </c>
      <c r="D1715" s="7">
        <v>545</v>
      </c>
      <c r="E1715" s="7" t="s">
        <v>28</v>
      </c>
      <c r="F1715" s="8" t="str">
        <f ca="1">IFERROR(__xludf.DUMMYFUNCTION("IF
(
C1716=""фізична особа""
,
VLOOKUP(D1716,IMPORTRANGE(""https://docs.google.com/spreadsheets/d/14Bd19lYaqBhU8_DElYkX7l4wRkHqqCUFNJY4AfY3kHU/edit?usp=sharing  #gid=0"",""фіз особи new!relations_name""),6,FALSE)
,
(IF
(
C1716=""юридична особа""
,
VLOOKUP"&amp;"(D1716,IMPORTRANGE(""https://docs.google.com/spreadsheets/d/14Bd19lYaqBhU8_DElYkX7l4wRkHqqCUFNJY4AfY3kHU/edit?usp=sharing  #gid=0"",""фіз особи new!relations_name_uo""),7,FALSE)
,
)
))"),"БАС Олександр Іванович")</f>
        <v>БАС Олександр Іванович</v>
      </c>
      <c r="G1715" s="7" t="s">
        <v>10</v>
      </c>
      <c r="H1715" s="7">
        <v>821</v>
      </c>
      <c r="I1715" s="8" t="str">
        <f ca="1">IFERROR(__xludf.DUMMYFUNCTION("IF
(
G1716=""фізична особа""
,
VLOOKUP(H1716,IMPORTRANGE(""https://docs.google.com/spreadsheets/d/14Bd19lYaqBhU8_DElYkX7l4wRkHqqCUFNJY4AfY3kHU/edit?usp=sharing  #gid=0"",""фіз особи new!relations_name""),6,FALSE)
,
(IF
(
G1716=""юридична особа""
,
VLOOKUP"&amp;"(H1716,IMPORTRANGE(""https://docs.google.com/spreadsheets/d/14Bd19lYaqBhU8_DElYkX7l4wRkHqqCUFNJY4AfY3kHU/edit?usp=sharing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1715" s="7" t="s">
        <v>28</v>
      </c>
    </row>
    <row r="1716" spans="1:10" ht="13.2">
      <c r="A1716" s="7">
        <v>1715</v>
      </c>
      <c r="B1716" s="7">
        <v>1</v>
      </c>
      <c r="C1716" s="7" t="s">
        <v>10</v>
      </c>
      <c r="D1716" s="7">
        <v>546</v>
      </c>
      <c r="E1716" s="7" t="s">
        <v>14</v>
      </c>
      <c r="F1716" s="8" t="str">
        <f ca="1">IFERROR(__xludf.DUMMYFUNCTION("IF
(
C1717=""фізична особа""
,
VLOOKUP(D1717,IMPORTRANGE(""https://docs.google.com/spreadsheets/d/14Bd19lYaqBhU8_DElYkX7l4wRkHqqCUFNJY4AfY3kHU/edit?usp=sharing  #gid=0"",""фіз особи new!relations_name""),6,FALSE)
,
(IF
(
C1717=""юридична особа""
,
VLOOKUP"&amp;"(D1717,IMPORTRANGE(""https://docs.google.com/spreadsheets/d/14Bd19lYaqBhU8_DElYkX7l4wRkHqqCUFNJY4AfY3kHU/edit?usp=sharing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G1716" s="7" t="s">
        <v>10</v>
      </c>
      <c r="H1716" s="7">
        <v>8859</v>
      </c>
      <c r="I1716" s="8" t="str">
        <f ca="1">IFERROR(__xludf.DUMMYFUNCTION("IF
(
G1717=""фізична особа""
,
VLOOKUP(H1717,IMPORTRANGE(""https://docs.google.com/spreadsheets/d/14Bd19lYaqBhU8_DElYkX7l4wRkHqqCUFNJY4AfY3kHU/edit?usp=sharing  #gid=0"",""фіз особи new!relations_name""),6,FALSE)
,
(IF
(
G1717=""юридична особа""
,
VLOOKUP"&amp;"(H1717,IMPORTRANGE(""https://docs.google.com/spreadsheets/d/14Bd19lYaqBhU8_DElYkX7l4wRkHqqCUFNJY4AfY3kHU/edit?usp=sharing  #gid=0"",""фіз особи new!relations_name_uo""),7,FALSE)
,
)
))"),"МІКРЮКОВА Тетяна Петрівна")</f>
        <v>МІКРЮКОВА Тетяна Петрівна</v>
      </c>
      <c r="J1716" s="7" t="s">
        <v>15</v>
      </c>
    </row>
    <row r="1717" spans="1:10" ht="13.2">
      <c r="A1717" s="7">
        <v>1716</v>
      </c>
      <c r="B1717" s="7">
        <v>1</v>
      </c>
      <c r="C1717" s="7" t="s">
        <v>10</v>
      </c>
      <c r="D1717" s="7">
        <v>546</v>
      </c>
      <c r="E1717" s="7" t="s">
        <v>12</v>
      </c>
      <c r="F1717" s="8" t="str">
        <f ca="1">IFERROR(__xludf.DUMMYFUNCTION("IF
(
C1718=""фізична особа""
,
VLOOKUP(D1718,IMPORTRANGE(""https://docs.google.com/spreadsheets/d/14Bd19lYaqBhU8_DElYkX7l4wRkHqqCUFNJY4AfY3kHU/edit?usp=sharing  #gid=0"",""фіз особи new!relations_name""),6,FALSE)
,
(IF
(
C1718=""юридична особа""
,
VLOOKUP"&amp;"(D1718,IMPORTRANGE(""https://docs.google.com/spreadsheets/d/14Bd19lYaqBhU8_DElYkX7l4wRkHqqCUFNJY4AfY3kHU/edit?usp=sharing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G1717" s="7" t="s">
        <v>10</v>
      </c>
      <c r="H1717" s="7">
        <v>8860</v>
      </c>
      <c r="I1717" s="8" t="str">
        <f ca="1">IFERROR(__xludf.DUMMYFUNCTION("IF
(
G1718=""фізична особа""
,
VLOOKUP(H1718,IMPORTRANGE(""https://docs.google.com/spreadsheets/d/14Bd19lYaqBhU8_DElYkX7l4wRkHqqCUFNJY4AfY3kHU/edit?usp=sharing  #gid=0"",""фіз особи new!relations_name""),6,FALSE)
,
(IF
(
G1718=""юридична особа""
,
VLOOKUP"&amp;"(H1718,IMPORTRANGE(""https://docs.google.com/spreadsheets/d/14Bd19lYaqBhU8_DElYkX7l4wRkHqqCUFNJY4AfY3kHU/edit?usp=sharing  #gid=0"",""фіз особи new!relations_name_uo""),7,FALSE)
,
)
))"),"ВАЛЕНЧУК Поліна Олегівна")</f>
        <v>ВАЛЕНЧУК Поліна Олегівна</v>
      </c>
      <c r="J1717" s="7" t="s">
        <v>13</v>
      </c>
    </row>
    <row r="1718" spans="1:10" ht="13.2">
      <c r="A1718" s="7">
        <v>1717</v>
      </c>
      <c r="B1718" s="7">
        <v>1</v>
      </c>
      <c r="C1718" s="7" t="s">
        <v>10</v>
      </c>
      <c r="D1718" s="7">
        <v>546</v>
      </c>
      <c r="E1718" s="7" t="s">
        <v>12</v>
      </c>
      <c r="F1718" s="8" t="str">
        <f ca="1">IFERROR(__xludf.DUMMYFUNCTION("IF
(
C1719=""фізична особа""
,
VLOOKUP(D1719,IMPORTRANGE(""https://docs.google.com/spreadsheets/d/14Bd19lYaqBhU8_DElYkX7l4wRkHqqCUFNJY4AfY3kHU/edit?usp=sharing  #gid=0"",""фіз особи new!relations_name""),6,FALSE)
,
(IF
(
C1719=""юридична особа""
,
VLOOKUP"&amp;"(D1719,IMPORTRANGE(""https://docs.google.com/spreadsheets/d/14Bd19lYaqBhU8_DElYkX7l4wRkHqqCUFNJY4AfY3kHU/edit?usp=sharing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G1718" s="7" t="s">
        <v>10</v>
      </c>
      <c r="H1718" s="7">
        <v>8861</v>
      </c>
      <c r="I1718" s="8" t="str">
        <f ca="1">IFERROR(__xludf.DUMMYFUNCTION("IF
(
G1719=""фізична особа""
,
VLOOKUP(H1719,IMPORTRANGE(""https://docs.google.com/spreadsheets/d/14Bd19lYaqBhU8_DElYkX7l4wRkHqqCUFNJY4AfY3kHU/edit?usp=sharing  #gid=0"",""фіз особи new!relations_name""),6,FALSE)
,
(IF
(
G1719=""юридична особа""
,
VLOOKUP"&amp;"(H1719,IMPORTRANGE(""https://docs.google.com/spreadsheets/d/14Bd19lYaqBhU8_DElYkX7l4wRkHqqCUFNJY4AfY3kHU/edit?usp=sharing  #gid=0"",""фіз особи new!relations_name_uo""),7,FALSE)
,
)
))"),"ВАЛЕНЧУК Павло Олегович")</f>
        <v>ВАЛЕНЧУК Павло Олегович</v>
      </c>
      <c r="J1718" s="7" t="s">
        <v>17</v>
      </c>
    </row>
    <row r="1719" spans="1:10" ht="13.2">
      <c r="A1719" s="7">
        <v>1718</v>
      </c>
      <c r="B1719" s="7">
        <v>1</v>
      </c>
      <c r="C1719" s="7" t="s">
        <v>10</v>
      </c>
      <c r="D1719" s="7">
        <v>547</v>
      </c>
      <c r="E1719" s="7" t="s">
        <v>14</v>
      </c>
      <c r="F1719" s="8" t="str">
        <f ca="1">IFERROR(__xludf.DUMMYFUNCTION("IF
(
C1720=""фізична особа""
,
VLOOKUP(D1720,IMPORTRANGE(""https://docs.google.com/spreadsheets/d/14Bd19lYaqBhU8_DElYkX7l4wRkHqqCUFNJY4AfY3kHU/edit?usp=sharing  #gid=0"",""фіз особи new!relations_name""),6,FALSE)
,
(IF
(
C1720=""юридична особа""
,
VLOOKUP"&amp;"(D1720,IMPORTRANGE(""https://docs.google.com/spreadsheets/d/14Bd19lYaqBhU8_DElYkX7l4wRkHqqCUFNJY4AfY3kHU/edit?usp=sharing  #gid=0"",""фіз особи new!relations_name_uo""),7,FALSE)
,
)
))"),"ФЕТІСОВ Олег Васильович")</f>
        <v>ФЕТІСОВ Олег Васильович</v>
      </c>
      <c r="G1719" s="7" t="s">
        <v>10</v>
      </c>
      <c r="H1719" s="7">
        <v>0</v>
      </c>
      <c r="I1719" s="8" t="str">
        <f ca="1">IFERROR(__xludf.DUMMYFUNCTION("IF
(
G1720=""фізична особа""
,
VLOOKUP(H1720,IMPORTRANGE(""https://docs.google.com/spreadsheets/d/14Bd19lYaqBhU8_DElYkX7l4wRkHqqCUFNJY4AfY3kHU/edit?usp=sharing  #gid=0"",""фіз особи new!relations_name""),6,FALSE)
,
(IF
(
G1720=""юридична особа""
,
VLOOKUP"&amp;"(H1720,IMPORTRANGE(""https://docs.google.com/spreadsheets/d/14Bd19lYaqBhU8_DElYkX7l4wRkHqqCUFNJY4AfY3kHU/edit?usp=sharing  #gid=0"",""фіз особи new!relations_name_uo""),7,FALSE)
,
)
))"),"#N/A")</f>
        <v>#N/A</v>
      </c>
      <c r="J1719" s="7" t="s">
        <v>15</v>
      </c>
    </row>
    <row r="1720" spans="1:10" ht="13.2">
      <c r="A1720" s="7">
        <v>1719</v>
      </c>
      <c r="B1720" s="7">
        <v>1</v>
      </c>
      <c r="C1720" s="7" t="s">
        <v>10</v>
      </c>
      <c r="D1720" s="7">
        <v>548</v>
      </c>
      <c r="E1720" s="7" t="s">
        <v>18</v>
      </c>
      <c r="F1720" s="8" t="str">
        <f ca="1">IFERROR(__xludf.DUMMYFUNCTION("IF
(
C1721=""фізична особа""
,
VLOOKUP(D1721,IMPORTRANGE(""https://docs.google.com/spreadsheets/d/14Bd19lYaqBhU8_DElYkX7l4wRkHqqCUFNJY4AfY3kHU/edit?usp=sharing  #gid=0"",""фіз особи new!relations_name""),6,FALSE)
,
(IF
(
C1721=""юридична особа""
,
VLOOKUP"&amp;"(D1721,IMPORTRANGE(""https://docs.google.com/spreadsheets/d/14Bd19lYaqBhU8_DElYkX7l4wRkHqqCUFNJY4AfY3kHU/edit?usp=sharing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0" s="7" t="s">
        <v>10</v>
      </c>
      <c r="H1720" s="7">
        <v>0</v>
      </c>
      <c r="I1720" s="8" t="str">
        <f ca="1">IFERROR(__xludf.DUMMYFUNCTION("IF
(
G1721=""фізична особа""
,
VLOOKUP(H1721,IMPORTRANGE(""https://docs.google.com/spreadsheets/d/14Bd19lYaqBhU8_DElYkX7l4wRkHqqCUFNJY4AfY3kHU/edit?usp=sharing  #gid=0"",""фіз особи new!relations_name""),6,FALSE)
,
(IF
(
G1721=""юридична особа""
,
VLOOKUP"&amp;"(H1721,IMPORTRANGE(""https://docs.google.com/spreadsheets/d/14Bd19lYaqBhU8_DElYkX7l4wRkHqqCUFNJY4AfY3kHU/edit?usp=sharing  #gid=0"",""фіз особи new!relations_name_uo""),7,FALSE)
,
)
))"),"#N/A")</f>
        <v>#N/A</v>
      </c>
      <c r="J1720" s="7" t="s">
        <v>18</v>
      </c>
    </row>
    <row r="1721" spans="1:10" ht="13.2">
      <c r="A1721" s="7">
        <v>1720</v>
      </c>
      <c r="B1721" s="7">
        <v>1</v>
      </c>
      <c r="C1721" s="7" t="s">
        <v>10</v>
      </c>
      <c r="D1721" s="7">
        <v>548</v>
      </c>
      <c r="E1721" s="7" t="s">
        <v>17</v>
      </c>
      <c r="F1721" s="8" t="str">
        <f ca="1">IFERROR(__xludf.DUMMYFUNCTION("IF
(
C1722=""фізична особа""
,
VLOOKUP(D1722,IMPORTRANGE(""https://docs.google.com/spreadsheets/d/14Bd19lYaqBhU8_DElYkX7l4wRkHqqCUFNJY4AfY3kHU/edit?usp=sharing  #gid=0"",""фіз особи new!relations_name""),6,FALSE)
,
(IF
(
C1722=""юридична особа""
,
VLOOKUP"&amp;"(D1722,IMPORTRANGE(""https://docs.google.com/spreadsheets/d/14Bd19lYaqBhU8_DElYkX7l4wRkHqqCUFNJY4AfY3kHU/edit?usp=sharing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1" s="7" t="s">
        <v>10</v>
      </c>
      <c r="H1721" s="7">
        <v>0</v>
      </c>
      <c r="I1721" s="8" t="str">
        <f ca="1">IFERROR(__xludf.DUMMYFUNCTION("IF
(
G1722=""фізична особа""
,
VLOOKUP(H1722,IMPORTRANGE(""https://docs.google.com/spreadsheets/d/14Bd19lYaqBhU8_DElYkX7l4wRkHqqCUFNJY4AfY3kHU/edit?usp=sharing  #gid=0"",""фіз особи new!relations_name""),6,FALSE)
,
(IF
(
G1722=""юридична особа""
,
VLOOKUP"&amp;"(H1722,IMPORTRANGE(""https://docs.google.com/spreadsheets/d/14Bd19lYaqBhU8_DElYkX7l4wRkHqqCUFNJY4AfY3kHU/edit?usp=sharing  #gid=0"",""фіз особи new!relations_name_uo""),7,FALSE)
,
)
))"),"#N/A")</f>
        <v>#N/A</v>
      </c>
      <c r="J1721" s="7" t="s">
        <v>21</v>
      </c>
    </row>
    <row r="1722" spans="1:10" ht="13.2">
      <c r="A1722" s="7">
        <v>1721</v>
      </c>
      <c r="B1722" s="7">
        <v>1</v>
      </c>
      <c r="C1722" s="7" t="s">
        <v>10</v>
      </c>
      <c r="D1722" s="7">
        <v>548</v>
      </c>
      <c r="E1722" s="7" t="s">
        <v>17</v>
      </c>
      <c r="F1722" s="8" t="str">
        <f ca="1">IFERROR(__xludf.DUMMYFUNCTION("IF
(
C1723=""фізична особа""
,
VLOOKUP(D1723,IMPORTRANGE(""https://docs.google.com/spreadsheets/d/14Bd19lYaqBhU8_DElYkX7l4wRkHqqCUFNJY4AfY3kHU/edit?usp=sharing  #gid=0"",""фіз особи new!relations_name""),6,FALSE)
,
(IF
(
C1723=""юридична особа""
,
VLOOKUP"&amp;"(D1723,IMPORTRANGE(""https://docs.google.com/spreadsheets/d/14Bd19lYaqBhU8_DElYkX7l4wRkHqqCUFNJY4AfY3kHU/edit?usp=sharing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2" s="7" t="s">
        <v>10</v>
      </c>
      <c r="H1722" s="7">
        <v>0</v>
      </c>
      <c r="I1722" s="8" t="str">
        <f ca="1">IFERROR(__xludf.DUMMYFUNCTION("IF
(
G1723=""фізична особа""
,
VLOOKUP(H1723,IMPORTRANGE(""https://docs.google.com/spreadsheets/d/14Bd19lYaqBhU8_DElYkX7l4wRkHqqCUFNJY4AfY3kHU/edit?usp=sharing  #gid=0"",""фіз особи new!relations_name""),6,FALSE)
,
(IF
(
G1723=""юридична особа""
,
VLOOKUP"&amp;"(H1723,IMPORTRANGE(""https://docs.google.com/spreadsheets/d/14Bd19lYaqBhU8_DElYkX7l4wRkHqqCUFNJY4AfY3kHU/edit?usp=sharing  #gid=0"",""фіз особи new!relations_name_uo""),7,FALSE)
,
)
))"),"#N/A")</f>
        <v>#N/A</v>
      </c>
      <c r="J1722" s="7" t="s">
        <v>12</v>
      </c>
    </row>
    <row r="1723" spans="1:10" ht="13.2">
      <c r="A1723" s="7">
        <v>1722</v>
      </c>
      <c r="B1723" s="7">
        <v>1</v>
      </c>
      <c r="C1723" s="7" t="s">
        <v>10</v>
      </c>
      <c r="D1723" s="7">
        <v>548</v>
      </c>
      <c r="E1723" s="7" t="s">
        <v>12</v>
      </c>
      <c r="F1723" s="8" t="str">
        <f ca="1">IFERROR(__xludf.DUMMYFUNCTION("IF
(
C1724=""фізична особа""
,
VLOOKUP(D1724,IMPORTRANGE(""https://docs.google.com/spreadsheets/d/14Bd19lYaqBhU8_DElYkX7l4wRkHqqCUFNJY4AfY3kHU/edit?usp=sharing  #gid=0"",""фіз особи new!relations_name""),6,FALSE)
,
(IF
(
C1724=""юридична особа""
,
VLOOKUP"&amp;"(D1724,IMPORTRANGE(""https://docs.google.com/spreadsheets/d/14Bd19lYaqBhU8_DElYkX7l4wRkHqqCUFNJY4AfY3kHU/edit?usp=sharing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3" s="7" t="s">
        <v>10</v>
      </c>
      <c r="H1723" s="7">
        <v>0</v>
      </c>
      <c r="I1723" s="8" t="str">
        <f ca="1">IFERROR(__xludf.DUMMYFUNCTION("IF
(
G1724=""фізична особа""
,
VLOOKUP(H1724,IMPORTRANGE(""https://docs.google.com/spreadsheets/d/14Bd19lYaqBhU8_DElYkX7l4wRkHqqCUFNJY4AfY3kHU/edit?usp=sharing  #gid=0"",""фіз особи new!relations_name""),6,FALSE)
,
(IF
(
G1724=""юридична особа""
,
VLOOKUP"&amp;"(H1724,IMPORTRANGE(""https://docs.google.com/spreadsheets/d/14Bd19lYaqBhU8_DElYkX7l4wRkHqqCUFNJY4AfY3kHU/edit?usp=sharing  #gid=0"",""фіз особи new!relations_name_uo""),7,FALSE)
,
)
))"),"#N/A")</f>
        <v>#N/A</v>
      </c>
      <c r="J1723" s="7" t="s">
        <v>13</v>
      </c>
    </row>
    <row r="1724" spans="1:10" ht="13.2">
      <c r="A1724" s="7">
        <v>1723</v>
      </c>
      <c r="B1724" s="7">
        <v>1</v>
      </c>
      <c r="C1724" s="7" t="s">
        <v>10</v>
      </c>
      <c r="D1724" s="7">
        <v>548</v>
      </c>
      <c r="E1724" s="7" t="s">
        <v>12</v>
      </c>
      <c r="F1724" s="8" t="str">
        <f ca="1">IFERROR(__xludf.DUMMYFUNCTION("IF
(
C1725=""фізична особа""
,
VLOOKUP(D1725,IMPORTRANGE(""https://docs.google.com/spreadsheets/d/14Bd19lYaqBhU8_DElYkX7l4wRkHqqCUFNJY4AfY3kHU/edit?usp=sharing  #gid=0"",""фіз особи new!relations_name""),6,FALSE)
,
(IF
(
C1725=""юридична особа""
,
VLOOKUP"&amp;"(D1725,IMPORTRANGE(""https://docs.google.com/spreadsheets/d/14Bd19lYaqBhU8_DElYkX7l4wRkHqqCUFNJY4AfY3kHU/edit?usp=sharing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4" s="7" t="s">
        <v>10</v>
      </c>
      <c r="H1724" s="7">
        <v>0</v>
      </c>
      <c r="I1724" s="8" t="str">
        <f ca="1">IFERROR(__xludf.DUMMYFUNCTION("IF
(
G1725=""фізична особа""
,
VLOOKUP(H1725,IMPORTRANGE(""https://docs.google.com/spreadsheets/d/14Bd19lYaqBhU8_DElYkX7l4wRkHqqCUFNJY4AfY3kHU/edit?usp=sharing  #gid=0"",""фіз особи new!relations_name""),6,FALSE)
,
(IF
(
G1725=""юридична особа""
,
VLOOKUP"&amp;"(H1725,IMPORTRANGE(""https://docs.google.com/spreadsheets/d/14Bd19lYaqBhU8_DElYkX7l4wRkHqqCUFNJY4AfY3kHU/edit?usp=sharing  #gid=0"",""фіз особи new!relations_name_uo""),7,FALSE)
,
)
))"),"#N/A")</f>
        <v>#N/A</v>
      </c>
      <c r="J1724" s="7" t="s">
        <v>13</v>
      </c>
    </row>
    <row r="1725" spans="1:10" ht="13.2">
      <c r="A1725" s="7">
        <v>1724</v>
      </c>
      <c r="B1725" s="7">
        <v>1</v>
      </c>
      <c r="C1725" s="7" t="s">
        <v>10</v>
      </c>
      <c r="D1725" s="7">
        <v>548</v>
      </c>
      <c r="E1725" s="7" t="s">
        <v>14</v>
      </c>
      <c r="F1725" s="8" t="str">
        <f ca="1">IFERROR(__xludf.DUMMYFUNCTION("IF
(
C1726=""фізична особа""
,
VLOOKUP(D1726,IMPORTRANGE(""https://docs.google.com/spreadsheets/d/14Bd19lYaqBhU8_DElYkX7l4wRkHqqCUFNJY4AfY3kHU/edit?usp=sharing  #gid=0"",""фіз особи new!relations_name""),6,FALSE)
,
(IF
(
C1726=""юридична особа""
,
VLOOKUP"&amp;"(D1726,IMPORTRANGE(""https://docs.google.com/spreadsheets/d/14Bd19lYaqBhU8_DElYkX7l4wRkHqqCUFNJY4AfY3kHU/edit?usp=sharing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5" s="7" t="s">
        <v>10</v>
      </c>
      <c r="H1725" s="7">
        <v>0</v>
      </c>
      <c r="I1725" s="8" t="str">
        <f ca="1">IFERROR(__xludf.DUMMYFUNCTION("IF
(
G1726=""фізична особа""
,
VLOOKUP(H1726,IMPORTRANGE(""https://docs.google.com/spreadsheets/d/14Bd19lYaqBhU8_DElYkX7l4wRkHqqCUFNJY4AfY3kHU/edit?usp=sharing  #gid=0"",""фіз особи new!relations_name""),6,FALSE)
,
(IF
(
G1726=""юридична особа""
,
VLOOKUP"&amp;"(H1726,IMPORTRANGE(""https://docs.google.com/spreadsheets/d/14Bd19lYaqBhU8_DElYkX7l4wRkHqqCUFNJY4AfY3kHU/edit?usp=sharing  #gid=0"",""фіз особи new!relations_name_uo""),7,FALSE)
,
)
))"),"#N/A")</f>
        <v>#N/A</v>
      </c>
      <c r="J1725" s="7" t="s">
        <v>15</v>
      </c>
    </row>
    <row r="1726" spans="1:10" ht="13.2">
      <c r="A1726" s="7">
        <v>1725</v>
      </c>
      <c r="B1726" s="7">
        <v>1</v>
      </c>
      <c r="C1726" s="7" t="s">
        <v>10</v>
      </c>
      <c r="D1726" s="7">
        <v>548</v>
      </c>
      <c r="E1726" s="7" t="s">
        <v>29</v>
      </c>
      <c r="F1726" s="8" t="str">
        <f ca="1">IFERROR(__xludf.DUMMYFUNCTION("IF
(
C1727=""фізична особа""
,
VLOOKUP(D1727,IMPORTRANGE(""https://docs.google.com/spreadsheets/d/14Bd19lYaqBhU8_DElYkX7l4wRkHqqCUFNJY4AfY3kHU/edit?usp=sharing  #gid=0"",""фіз особи new!relations_name""),6,FALSE)
,
(IF
(
C1727=""юридична особа""
,
VLOOKUP"&amp;"(D1727,IMPORTRANGE(""https://docs.google.com/spreadsheets/d/14Bd19lYaqBhU8_DElYkX7l4wRkHqqCUFNJY4AfY3kHU/edit?usp=sharing  #gid=0"",""фіз особи new!relations_name_uo""),7,FALSE)
,
)
))"),"ГАЙДУКЕВИЧ Олег Сергійович")</f>
        <v>ГАЙДУКЕВИЧ Олег Сергійович</v>
      </c>
      <c r="G1726" s="7" t="s">
        <v>10</v>
      </c>
      <c r="H1726" s="7">
        <v>0</v>
      </c>
      <c r="I1726" s="8" t="str">
        <f ca="1">IFERROR(__xludf.DUMMYFUNCTION("IF
(
G1727=""фізична особа""
,
VLOOKUP(H1727,IMPORTRANGE(""https://docs.google.com/spreadsheets/d/14Bd19lYaqBhU8_DElYkX7l4wRkHqqCUFNJY4AfY3kHU/edit?usp=sharing  #gid=0"",""фіз особи new!relations_name""),6,FALSE)
,
(IF
(
G1727=""юридична особа""
,
VLOOKUP"&amp;"(H1727,IMPORTRANGE(""https://docs.google.com/spreadsheets/d/14Bd19lYaqBhU8_DElYkX7l4wRkHqqCUFNJY4AfY3kHU/edit?usp=sharing  #gid=0"",""фіз особи new!relations_name_uo""),7,FALSE)
,
)
))"),"#N/A")</f>
        <v>#N/A</v>
      </c>
      <c r="J1726" s="7" t="s">
        <v>28</v>
      </c>
    </row>
    <row r="1727" spans="1:10" ht="13.2">
      <c r="A1727" s="7">
        <v>1726</v>
      </c>
      <c r="B1727" s="7">
        <v>1</v>
      </c>
      <c r="C1727" s="7" t="s">
        <v>10</v>
      </c>
      <c r="D1727" s="7">
        <v>549</v>
      </c>
      <c r="E1727" s="7" t="s">
        <v>14</v>
      </c>
      <c r="F1727" s="8" t="str">
        <f ca="1">IFERROR(__xludf.DUMMYFUNCTION("IF
(
C1728=""фізична особа""
,
VLOOKUP(D1728,IMPORTRANGE(""https://docs.google.com/spreadsheets/d/14Bd19lYaqBhU8_DElYkX7l4wRkHqqCUFNJY4AfY3kHU/edit?usp=sharing  #gid=0"",""фіз особи new!relations_name""),6,FALSE)
,
(IF
(
C1728=""юридична особа""
,
VLOOKUP"&amp;"(D1728,IMPORTRANGE(""https://docs.google.com/spreadsheets/d/14Bd19lYaqBhU8_DElYkX7l4wRkHqqCUFNJY4AfY3kHU/edit?usp=sharing  #gid=0"",""фіз особи new!relations_name_uo""),7,FALSE)
,
)
))"),"ІВАНІНСЬКИЙ Олег Іванович")</f>
        <v>ІВАНІНСЬКИЙ Олег Іванович</v>
      </c>
      <c r="G1727" s="7" t="s">
        <v>10</v>
      </c>
      <c r="H1727" s="7">
        <v>0</v>
      </c>
      <c r="I1727" s="8" t="str">
        <f ca="1">IFERROR(__xludf.DUMMYFUNCTION("IF
(
G1728=""фізична особа""
,
VLOOKUP(H1728,IMPORTRANGE(""https://docs.google.com/spreadsheets/d/14Bd19lYaqBhU8_DElYkX7l4wRkHqqCUFNJY4AfY3kHU/edit?usp=sharing  #gid=0"",""фіз особи new!relations_name""),6,FALSE)
,
(IF
(
G1728=""юридична особа""
,
VLOOKUP"&amp;"(H1728,IMPORTRANGE(""https://docs.google.com/spreadsheets/d/14Bd19lYaqBhU8_DElYkX7l4wRkHqqCUFNJY4AfY3kHU/edit?usp=sharing  #gid=0"",""фіз особи new!relations_name_uo""),7,FALSE)
,
)
))"),"#N/A")</f>
        <v>#N/A</v>
      </c>
      <c r="J1727" s="7" t="s">
        <v>15</v>
      </c>
    </row>
    <row r="1728" spans="1:10" ht="13.2">
      <c r="A1728" s="7">
        <v>1727</v>
      </c>
      <c r="B1728" s="7">
        <v>1</v>
      </c>
      <c r="C1728" s="7" t="s">
        <v>10</v>
      </c>
      <c r="D1728" s="7">
        <v>549</v>
      </c>
      <c r="E1728" s="7" t="s">
        <v>12</v>
      </c>
      <c r="F1728" s="8" t="str">
        <f ca="1">IFERROR(__xludf.DUMMYFUNCTION("IF
(
C1729=""фізична особа""
,
VLOOKUP(D1729,IMPORTRANGE(""https://docs.google.com/spreadsheets/d/14Bd19lYaqBhU8_DElYkX7l4wRkHqqCUFNJY4AfY3kHU/edit?usp=sharing  #gid=0"",""фіз особи new!relations_name""),6,FALSE)
,
(IF
(
C1729=""юридична особа""
,
VLOOKUP"&amp;"(D1729,IMPORTRANGE(""https://docs.google.com/spreadsheets/d/14Bd19lYaqBhU8_DElYkX7l4wRkHqqCUFNJY4AfY3kHU/edit?usp=sharing  #gid=0"",""фіз особи new!relations_name_uo""),7,FALSE)
,
)
))"),"ІВАНІНСЬКИЙ Олег Іванович")</f>
        <v>ІВАНІНСЬКИЙ Олег Іванович</v>
      </c>
      <c r="G1728" s="7" t="s">
        <v>10</v>
      </c>
      <c r="H1728" s="7">
        <v>0</v>
      </c>
      <c r="I1728" s="8" t="str">
        <f ca="1">IFERROR(__xludf.DUMMYFUNCTION("IF
(
G1729=""фізична особа""
,
VLOOKUP(H1729,IMPORTRANGE(""https://docs.google.com/spreadsheets/d/14Bd19lYaqBhU8_DElYkX7l4wRkHqqCUFNJY4AfY3kHU/edit?usp=sharing  #gid=0"",""фіз особи new!relations_name""),6,FALSE)
,
(IF
(
G1729=""юридична особа""
,
VLOOKUP"&amp;"(H1729,IMPORTRANGE(""https://docs.google.com/spreadsheets/d/14Bd19lYaqBhU8_DElYkX7l4wRkHqqCUFNJY4AfY3kHU/edit?usp=sharing  #gid=0"",""фіз особи new!relations_name_uo""),7,FALSE)
,
)
))"),"#N/A")</f>
        <v>#N/A</v>
      </c>
      <c r="J1728" s="7" t="s">
        <v>17</v>
      </c>
    </row>
    <row r="1729" spans="1:10" ht="13.2">
      <c r="A1729" s="7">
        <v>1728</v>
      </c>
      <c r="B1729" s="7">
        <v>1</v>
      </c>
      <c r="C1729" s="7" t="s">
        <v>10</v>
      </c>
      <c r="D1729" s="7">
        <v>549</v>
      </c>
      <c r="E1729" s="7" t="s">
        <v>12</v>
      </c>
      <c r="F1729" s="8" t="str">
        <f ca="1">IFERROR(__xludf.DUMMYFUNCTION("IF
(
C1730=""фізична особа""
,
VLOOKUP(D1730,IMPORTRANGE(""https://docs.google.com/spreadsheets/d/14Bd19lYaqBhU8_DElYkX7l4wRkHqqCUFNJY4AfY3kHU/edit?usp=sharing  #gid=0"",""фіз особи new!relations_name""),6,FALSE)
,
(IF
(
C1730=""юридична особа""
,
VLOOKUP"&amp;"(D1730,IMPORTRANGE(""https://docs.google.com/spreadsheets/d/14Bd19lYaqBhU8_DElYkX7l4wRkHqqCUFNJY4AfY3kHU/edit?usp=sharing  #gid=0"",""фіз особи new!relations_name_uo""),7,FALSE)
,
)
))"),"ІВАНІНСЬКИЙ Олег Іванович")</f>
        <v>ІВАНІНСЬКИЙ Олег Іванович</v>
      </c>
      <c r="G1729" s="7" t="s">
        <v>10</v>
      </c>
      <c r="H1729" s="7">
        <v>0</v>
      </c>
      <c r="I1729" s="8" t="str">
        <f ca="1">IFERROR(__xludf.DUMMYFUNCTION("IF
(
G1730=""фізична особа""
,
VLOOKUP(H1730,IMPORTRANGE(""https://docs.google.com/spreadsheets/d/14Bd19lYaqBhU8_DElYkX7l4wRkHqqCUFNJY4AfY3kHU/edit?usp=sharing  #gid=0"",""фіз особи new!relations_name""),6,FALSE)
,
(IF
(
G1730=""юридична особа""
,
VLOOKUP"&amp;"(H1730,IMPORTRANGE(""https://docs.google.com/spreadsheets/d/14Bd19lYaqBhU8_DElYkX7l4wRkHqqCUFNJY4AfY3kHU/edit?usp=sharing  #gid=0"",""фіз особи new!relations_name_uo""),7,FALSE)
,
)
))"),"#N/A")</f>
        <v>#N/A</v>
      </c>
      <c r="J1729" s="7" t="s">
        <v>17</v>
      </c>
    </row>
    <row r="1730" spans="1:10" ht="13.2">
      <c r="A1730" s="7">
        <v>1729</v>
      </c>
      <c r="B1730" s="7">
        <v>1</v>
      </c>
      <c r="C1730" s="7" t="s">
        <v>10</v>
      </c>
      <c r="D1730" s="7">
        <v>549</v>
      </c>
      <c r="E1730" s="7" t="s">
        <v>12</v>
      </c>
      <c r="F1730" s="8" t="str">
        <f ca="1">IFERROR(__xludf.DUMMYFUNCTION("IF
(
C1731=""фізична особа""
,
VLOOKUP(D1731,IMPORTRANGE(""https://docs.google.com/spreadsheets/d/14Bd19lYaqBhU8_DElYkX7l4wRkHqqCUFNJY4AfY3kHU/edit?usp=sharing  #gid=0"",""фіз особи new!relations_name""),6,FALSE)
,
(IF
(
C1731=""юридична особа""
,
VLOOKUP"&amp;"(D1731,IMPORTRANGE(""https://docs.google.com/spreadsheets/d/14Bd19lYaqBhU8_DElYkX7l4wRkHqqCUFNJY4AfY3kHU/edit?usp=sharing  #gid=0"",""фіз особи new!relations_name_uo""),7,FALSE)
,
)
))"),"ІВАНІНСЬКИЙ Олег Іванович")</f>
        <v>ІВАНІНСЬКИЙ Олег Іванович</v>
      </c>
      <c r="G1730" s="7" t="s">
        <v>10</v>
      </c>
      <c r="H1730" s="7">
        <v>0</v>
      </c>
      <c r="I1730" s="8" t="str">
        <f ca="1">IFERROR(__xludf.DUMMYFUNCTION("IF
(
G1731=""фізична особа""
,
VLOOKUP(H1731,IMPORTRANGE(""https://docs.google.com/spreadsheets/d/14Bd19lYaqBhU8_DElYkX7l4wRkHqqCUFNJY4AfY3kHU/edit?usp=sharing  #gid=0"",""фіз особи new!relations_name""),6,FALSE)
,
(IF
(
G1731=""юридична особа""
,
VLOOKUP"&amp;"(H1731,IMPORTRANGE(""https://docs.google.com/spreadsheets/d/14Bd19lYaqBhU8_DElYkX7l4wRkHqqCUFNJY4AfY3kHU/edit?usp=sharing  #gid=0"",""фіз особи new!relations_name_uo""),7,FALSE)
,
)
))"),"#N/A")</f>
        <v>#N/A</v>
      </c>
      <c r="J1730" s="7" t="s">
        <v>13</v>
      </c>
    </row>
    <row r="1731" spans="1:10" ht="13.2">
      <c r="A1731" s="7">
        <v>1730</v>
      </c>
      <c r="B1731" s="7">
        <v>1</v>
      </c>
      <c r="C1731" s="7" t="s">
        <v>10</v>
      </c>
      <c r="D1731" s="7">
        <v>549</v>
      </c>
      <c r="E1731" s="7" t="s">
        <v>17</v>
      </c>
      <c r="F1731" s="8" t="str">
        <f ca="1">IFERROR(__xludf.DUMMYFUNCTION("IF
(
C1732=""фізична особа""
,
VLOOKUP(D1732,IMPORTRANGE(""https://docs.google.com/spreadsheets/d/14Bd19lYaqBhU8_DElYkX7l4wRkHqqCUFNJY4AfY3kHU/edit?usp=sharing  #gid=0"",""фіз особи new!relations_name""),6,FALSE)
,
(IF
(
C1732=""юридична особа""
,
VLOOKUP"&amp;"(D1732,IMPORTRANGE(""https://docs.google.com/spreadsheets/d/14Bd19lYaqBhU8_DElYkX7l4wRkHqqCUFNJY4AfY3kHU/edit?usp=sharing  #gid=0"",""фіз особи new!relations_name_uo""),7,FALSE)
,
)
))"),"ІВАНІНСЬКИЙ Олег Іванович")</f>
        <v>ІВАНІНСЬКИЙ Олег Іванович</v>
      </c>
      <c r="G1731" s="7" t="s">
        <v>10</v>
      </c>
      <c r="H1731" s="7">
        <v>0</v>
      </c>
      <c r="I1731" s="8" t="str">
        <f ca="1">IFERROR(__xludf.DUMMYFUNCTION("IF
(
G1732=""фізична особа""
,
VLOOKUP(H1732,IMPORTRANGE(""https://docs.google.com/spreadsheets/d/14Bd19lYaqBhU8_DElYkX7l4wRkHqqCUFNJY4AfY3kHU/edit?usp=sharing  #gid=0"",""фіз особи new!relations_name""),6,FALSE)
,
(IF
(
G1732=""юридична особа""
,
VLOOKUP"&amp;"(H1732,IMPORTRANGE(""https://docs.google.com/spreadsheets/d/14Bd19lYaqBhU8_DElYkX7l4wRkHqqCUFNJY4AfY3kHU/edit?usp=sharing  #gid=0"",""фіз особи new!relations_name_uo""),7,FALSE)
,
)
))"),"#N/A")</f>
        <v>#N/A</v>
      </c>
      <c r="J1731" s="7" t="s">
        <v>21</v>
      </c>
    </row>
    <row r="1732" spans="1:10" ht="13.2">
      <c r="A1732" s="7">
        <v>1731</v>
      </c>
      <c r="B1732" s="7">
        <v>1</v>
      </c>
      <c r="C1732" s="7" t="s">
        <v>10</v>
      </c>
      <c r="D1732" s="7">
        <v>552</v>
      </c>
      <c r="E1732" s="7" t="s">
        <v>28</v>
      </c>
      <c r="F1732" s="8" t="str">
        <f ca="1">IFERROR(__xludf.DUMMYFUNCTION("IF
(
C1733=""фізична особа""
,
VLOOKUP(D1733,IMPORTRANGE(""https://docs.google.com/spreadsheets/d/14Bd19lYaqBhU8_DElYkX7l4wRkHqqCUFNJY4AfY3kHU/edit?usp=sharing  #gid=0"",""фіз особи new!relations_name""),6,FALSE)
,
(IF
(
C1733=""юридична особа""
,
VLOOKUP"&amp;"(D1733,IMPORTRANGE(""https://docs.google.com/spreadsheets/d/14Bd19lYaqBhU8_DElYkX7l4wRkHqqCUFNJY4AfY3kHU/edit?usp=sharing  #gid=0"",""фіз особи new!relations_name_uo""),7,FALSE)
,
)
))"),"САЛЮКОВ Олег Леонідович")</f>
        <v>САЛЮКОВ Олег Леонідович</v>
      </c>
      <c r="G1732" s="7" t="s">
        <v>10</v>
      </c>
      <c r="H1732" s="7">
        <v>880</v>
      </c>
      <c r="I1732" s="8" t="str">
        <f ca="1">IFERROR(__xludf.DUMMYFUNCTION("IF
(
G1733=""фізична особа""
,
VLOOKUP(H1733,IMPORTRANGE(""https://docs.google.com/spreadsheets/d/14Bd19lYaqBhU8_DElYkX7l4wRkHqqCUFNJY4AfY3kHU/edit?usp=sharing  #gid=0"",""фіз особи new!relations_name""),6,FALSE)
,
(IF
(
G1733=""юридична особа""
,
VLOOKUP"&amp;"(H1733,IMPORTRANGE(""https://docs.google.com/spreadsheets/d/14Bd19lYaqBhU8_DElYkX7l4wRkHqqCUFNJY4AfY3kHU/edit?usp=sharing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732" s="7" t="s">
        <v>29</v>
      </c>
    </row>
    <row r="1733" spans="1:10" ht="13.2">
      <c r="A1733" s="7">
        <v>1732</v>
      </c>
      <c r="B1733" s="7">
        <v>1</v>
      </c>
      <c r="C1733" s="7" t="s">
        <v>10</v>
      </c>
      <c r="D1733" s="7">
        <v>553</v>
      </c>
      <c r="E1733" s="7" t="s">
        <v>14</v>
      </c>
      <c r="F1733" s="8" t="str">
        <f ca="1">IFERROR(__xludf.DUMMYFUNCTION("IF
(
C1734=""фізична особа""
,
VLOOKUP(D1734,IMPORTRANGE(""https://docs.google.com/spreadsheets/d/14Bd19lYaqBhU8_DElYkX7l4wRkHqqCUFNJY4AfY3kHU/edit?usp=sharing  #gid=0"",""фіз особи new!relations_name""),6,FALSE)
,
(IF
(
C1734=""юридична особа""
,
VLOOKUP"&amp;"(D1734,IMPORTRANGE(""https://docs.google.com/spreadsheets/d/14Bd19lYaqBhU8_DElYkX7l4wRkHqqCUFNJY4AfY3kHU/edit?usp=sharing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G1733" s="7" t="s">
        <v>10</v>
      </c>
      <c r="H1733" s="7">
        <v>0</v>
      </c>
      <c r="I1733" s="8" t="str">
        <f ca="1">IFERROR(__xludf.DUMMYFUNCTION("IF
(
G1734=""фізична особа""
,
VLOOKUP(H1734,IMPORTRANGE(""https://docs.google.com/spreadsheets/d/14Bd19lYaqBhU8_DElYkX7l4wRkHqqCUFNJY4AfY3kHU/edit?usp=sharing  #gid=0"",""фіз особи new!relations_name""),6,FALSE)
,
(IF
(
G1734=""юридична особа""
,
VLOOKUP"&amp;"(H1734,IMPORTRANGE(""https://docs.google.com/spreadsheets/d/14Bd19lYaqBhU8_DElYkX7l4wRkHqqCUFNJY4AfY3kHU/edit?usp=sharing  #gid=0"",""фіз особи new!relations_name_uo""),7,FALSE)
,
)
))"),"#N/A")</f>
        <v>#N/A</v>
      </c>
      <c r="J1733" s="7" t="s">
        <v>15</v>
      </c>
    </row>
    <row r="1734" spans="1:10" ht="13.2">
      <c r="A1734" s="7">
        <v>1733</v>
      </c>
      <c r="B1734" s="7">
        <v>1</v>
      </c>
      <c r="C1734" s="7" t="s">
        <v>10</v>
      </c>
      <c r="D1734" s="7">
        <v>553</v>
      </c>
      <c r="E1734" s="7" t="s">
        <v>12</v>
      </c>
      <c r="F1734" s="8" t="str">
        <f ca="1">IFERROR(__xludf.DUMMYFUNCTION("IF
(
C1735=""фізична особа""
,
VLOOKUP(D1735,IMPORTRANGE(""https://docs.google.com/spreadsheets/d/14Bd19lYaqBhU8_DElYkX7l4wRkHqqCUFNJY4AfY3kHU/edit?usp=sharing  #gid=0"",""фіз особи new!relations_name""),6,FALSE)
,
(IF
(
C1735=""юридична особа""
,
VLOOKUP"&amp;"(D1735,IMPORTRANGE(""https://docs.google.com/spreadsheets/d/14Bd19lYaqBhU8_DElYkX7l4wRkHqqCUFNJY4AfY3kHU/edit?usp=sharing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G1734" s="7" t="s">
        <v>10</v>
      </c>
      <c r="H1734" s="7">
        <v>0</v>
      </c>
      <c r="I1734" s="8" t="str">
        <f ca="1">IFERROR(__xludf.DUMMYFUNCTION("IF
(
G1735=""фізична особа""
,
VLOOKUP(H1735,IMPORTRANGE(""https://docs.google.com/spreadsheets/d/14Bd19lYaqBhU8_DElYkX7l4wRkHqqCUFNJY4AfY3kHU/edit?usp=sharing  #gid=0"",""фіз особи new!relations_name""),6,FALSE)
,
(IF
(
G1735=""юридична особа""
,
VLOOKUP"&amp;"(H1735,IMPORTRANGE(""https://docs.google.com/spreadsheets/d/14Bd19lYaqBhU8_DElYkX7l4wRkHqqCUFNJY4AfY3kHU/edit?usp=sharing  #gid=0"",""фіз особи new!relations_name_uo""),7,FALSE)
,
)
))"),"#N/A")</f>
        <v>#N/A</v>
      </c>
      <c r="J1734" s="7" t="s">
        <v>17</v>
      </c>
    </row>
    <row r="1735" spans="1:10" ht="13.2">
      <c r="A1735" s="7">
        <v>1734</v>
      </c>
      <c r="B1735" s="7">
        <v>1</v>
      </c>
      <c r="C1735" s="7" t="s">
        <v>10</v>
      </c>
      <c r="D1735" s="7">
        <v>553</v>
      </c>
      <c r="E1735" s="7" t="s">
        <v>59</v>
      </c>
      <c r="F1735" s="8" t="str">
        <f ca="1">IFERROR(__xludf.DUMMYFUNCTION("IF
(
C1736=""фізична особа""
,
VLOOKUP(D1736,IMPORTRANGE(""https://docs.google.com/spreadsheets/d/14Bd19lYaqBhU8_DElYkX7l4wRkHqqCUFNJY4AfY3kHU/edit?usp=sharing  #gid=0"",""фіз особи new!relations_name""),6,FALSE)
,
(IF
(
C1736=""юридична особа""
,
VLOOKUP"&amp;"(D1736,IMPORTRANGE(""https://docs.google.com/spreadsheets/d/14Bd19lYaqBhU8_DElYkX7l4wRkHqqCUFNJY4AfY3kHU/edit?usp=sharing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G1735" s="7" t="s">
        <v>10</v>
      </c>
      <c r="H1735" s="7">
        <v>0</v>
      </c>
      <c r="I1735" s="8" t="str">
        <f ca="1">IFERROR(__xludf.DUMMYFUNCTION("IF
(
G1736=""фізична особа""
,
VLOOKUP(H1736,IMPORTRANGE(""https://docs.google.com/spreadsheets/d/14Bd19lYaqBhU8_DElYkX7l4wRkHqqCUFNJY4AfY3kHU/edit?usp=sharing  #gid=0"",""фіз особи new!relations_name""),6,FALSE)
,
(IF
(
G1736=""юридична особа""
,
VLOOKUP"&amp;"(H1736,IMPORTRANGE(""https://docs.google.com/spreadsheets/d/14Bd19lYaqBhU8_DElYkX7l4wRkHqqCUFNJY4AfY3kHU/edit?usp=sharing  #gid=0"",""фіз особи new!relations_name_uo""),7,FALSE)
,
)
))"),"#N/A")</f>
        <v>#N/A</v>
      </c>
      <c r="J1735" s="7" t="s">
        <v>61</v>
      </c>
    </row>
    <row r="1736" spans="1:10" ht="13.2">
      <c r="A1736" s="7">
        <v>1735</v>
      </c>
      <c r="B1736" s="7">
        <v>1</v>
      </c>
      <c r="C1736" s="7" t="s">
        <v>10</v>
      </c>
      <c r="D1736" s="7">
        <v>553</v>
      </c>
      <c r="E1736" s="7" t="s">
        <v>29</v>
      </c>
      <c r="F1736" s="8" t="str">
        <f ca="1">IFERROR(__xludf.DUMMYFUNCTION("IF
(
C1737=""фізична особа""
,
VLOOKUP(D1737,IMPORTRANGE(""https://docs.google.com/spreadsheets/d/14Bd19lYaqBhU8_DElYkX7l4wRkHqqCUFNJY4AfY3kHU/edit?usp=sharing  #gid=0"",""фіз особи new!relations_name""),6,FALSE)
,
(IF
(
C1737=""юридична особа""
,
VLOOKUP"&amp;"(D1737,IMPORTRANGE(""https://docs.google.com/spreadsheets/d/14Bd19lYaqBhU8_DElYkX7l4wRkHqqCUFNJY4AfY3kHU/edit?usp=sharing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G1736" s="7" t="s">
        <v>10</v>
      </c>
      <c r="H1736" s="7">
        <v>0</v>
      </c>
      <c r="I1736" s="8" t="str">
        <f ca="1">IFERROR(__xludf.DUMMYFUNCTION("IF
(
G1737=""фізична особа""
,
VLOOKUP(H1737,IMPORTRANGE(""https://docs.google.com/spreadsheets/d/14Bd19lYaqBhU8_DElYkX7l4wRkHqqCUFNJY4AfY3kHU/edit?usp=sharing  #gid=0"",""фіз особи new!relations_name""),6,FALSE)
,
(IF
(
G1737=""юридична особа""
,
VLOOKUP"&amp;"(H1737,IMPORTRANGE(""https://docs.google.com/spreadsheets/d/14Bd19lYaqBhU8_DElYkX7l4wRkHqqCUFNJY4AfY3kHU/edit?usp=sharing  #gid=0"",""фіз особи new!relations_name_uo""),7,FALSE)
,
)
))"),"#N/A")</f>
        <v>#N/A</v>
      </c>
      <c r="J1736" s="7" t="s">
        <v>28</v>
      </c>
    </row>
    <row r="1737" spans="1:10" ht="13.2">
      <c r="A1737" s="7">
        <v>1736</v>
      </c>
      <c r="B1737" s="7">
        <v>1</v>
      </c>
      <c r="C1737" s="7" t="s">
        <v>10</v>
      </c>
      <c r="D1737" s="7">
        <v>553</v>
      </c>
      <c r="E1737" s="7" t="s">
        <v>35</v>
      </c>
      <c r="F1737" s="8" t="str">
        <f ca="1">IFERROR(__xludf.DUMMYFUNCTION("IF
(
C1738=""фізична особа""
,
VLOOKUP(D1738,IMPORTRANGE(""https://docs.google.com/spreadsheets/d/14Bd19lYaqBhU8_DElYkX7l4wRkHqqCUFNJY4AfY3kHU/edit?usp=sharing  #gid=0"",""фіз особи new!relations_name""),6,FALSE)
,
(IF
(
C1738=""юридична особа""
,
VLOOKUP"&amp;"(D1738,IMPORTRANGE(""https://docs.google.com/spreadsheets/d/14Bd19lYaqBhU8_DElYkX7l4wRkHqqCUFNJY4AfY3kHU/edit?usp=sharing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G1737" s="7" t="s">
        <v>10</v>
      </c>
      <c r="H1737" s="7">
        <v>891</v>
      </c>
      <c r="I1737" s="8" t="str">
        <f ca="1">IFERROR(__xludf.DUMMYFUNCTION("IF
(
G1738=""фізична особа""
,
VLOOKUP(H1738,IMPORTRANGE(""https://docs.google.com/spreadsheets/d/14Bd19lYaqBhU8_DElYkX7l4wRkHqqCUFNJY4AfY3kHU/edit?usp=sharing  #gid=0"",""фіз особи new!relations_name""),6,FALSE)
,
(IF
(
G1738=""юридична особа""
,
VLOOKUP"&amp;"(H1738,IMPORTRANGE(""https://docs.google.com/spreadsheets/d/14Bd19lYaqBhU8_DElYkX7l4wRkHqqCUFNJY4AfY3kHU/edit?usp=sharing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J1737" s="7" t="s">
        <v>35</v>
      </c>
    </row>
    <row r="1738" spans="1:10" ht="13.2">
      <c r="A1738" s="7">
        <v>1737</v>
      </c>
      <c r="B1738" s="7">
        <v>1</v>
      </c>
      <c r="C1738" s="7" t="s">
        <v>10</v>
      </c>
      <c r="D1738" s="7">
        <v>555</v>
      </c>
      <c r="E1738" s="7" t="s">
        <v>17</v>
      </c>
      <c r="F1738" s="8" t="str">
        <f ca="1">IFERROR(__xludf.DUMMYFUNCTION("IF
(
C1739=""фізична особа""
,
VLOOKUP(D1739,IMPORTRANGE(""https://docs.google.com/spreadsheets/d/14Bd19lYaqBhU8_DElYkX7l4wRkHqqCUFNJY4AfY3kHU/edit?usp=sharing  #gid=0"",""фіз особи new!relations_name""),6,FALSE)
,
(IF
(
C1739=""юридична особа""
,
VLOOKUP"&amp;"(D1739,IMPORTRANGE(""https://docs.google.com/spreadsheets/d/14Bd19lYaqBhU8_DElYkX7l4wRkHqqCUFNJY4AfY3kHU/edit?usp=sharing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38" s="7" t="s">
        <v>10</v>
      </c>
      <c r="H1738" s="7">
        <v>0</v>
      </c>
      <c r="I1738" s="8" t="str">
        <f ca="1">IFERROR(__xludf.DUMMYFUNCTION("IF
(
G1739=""фізична особа""
,
VLOOKUP(H1739,IMPORTRANGE(""https://docs.google.com/spreadsheets/d/14Bd19lYaqBhU8_DElYkX7l4wRkHqqCUFNJY4AfY3kHU/edit?usp=sharing  #gid=0"",""фіз особи new!relations_name""),6,FALSE)
,
(IF
(
G1739=""юридична особа""
,
VLOOKUP"&amp;"(H1739,IMPORTRANGE(""https://docs.google.com/spreadsheets/d/14Bd19lYaqBhU8_DElYkX7l4wRkHqqCUFNJY4AfY3kHU/edit?usp=sharing  #gid=0"",""фіз особи new!relations_name_uo""),7,FALSE)
,
)
))"),"#N/A")</f>
        <v>#N/A</v>
      </c>
      <c r="J1738" s="7" t="s">
        <v>21</v>
      </c>
    </row>
    <row r="1739" spans="1:10" ht="13.2">
      <c r="A1739" s="7">
        <v>1738</v>
      </c>
      <c r="B1739" s="7">
        <v>1</v>
      </c>
      <c r="C1739" s="7" t="s">
        <v>10</v>
      </c>
      <c r="D1739" s="7">
        <v>555</v>
      </c>
      <c r="E1739" s="7" t="s">
        <v>14</v>
      </c>
      <c r="F1739" s="8" t="str">
        <f ca="1">IFERROR(__xludf.DUMMYFUNCTION("IF
(
C1740=""фізична особа""
,
VLOOKUP(D1740,IMPORTRANGE(""https://docs.google.com/spreadsheets/d/14Bd19lYaqBhU8_DElYkX7l4wRkHqqCUFNJY4AfY3kHU/edit?usp=sharing  #gid=0"",""фіз особи new!relations_name""),6,FALSE)
,
(IF
(
C1740=""юридична особа""
,
VLOOKUP"&amp;"(D1740,IMPORTRANGE(""https://docs.google.com/spreadsheets/d/14Bd19lYaqBhU8_DElYkX7l4wRkHqqCUFNJY4AfY3kHU/edit?usp=sharing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39" s="7" t="s">
        <v>10</v>
      </c>
      <c r="H1739" s="7">
        <v>8627</v>
      </c>
      <c r="I1739" s="8" t="str">
        <f ca="1">IFERROR(__xludf.DUMMYFUNCTION("IF
(
G1740=""фізична особа""
,
VLOOKUP(H1740,IMPORTRANGE(""https://docs.google.com/spreadsheets/d/14Bd19lYaqBhU8_DElYkX7l4wRkHqqCUFNJY4AfY3kHU/edit?usp=sharing  #gid=0"",""фіз особи new!relations_name""),6,FALSE)
,
(IF
(
G1740=""юридична особа""
,
VLOOKUP"&amp;"(H1740,IMPORTRANGE(""https://docs.google.com/spreadsheets/d/14Bd19lYaqBhU8_DElYkX7l4wRkHqqCUFNJY4AfY3kHU/edit?usp=sharing  #gid=0"",""фіз особи new!relations_name_uo""),7,FALSE)
,
)
))"),"ТКАЧ Наталія Миколаївна")</f>
        <v>ТКАЧ Наталія Миколаївна</v>
      </c>
      <c r="J1739" s="7" t="s">
        <v>15</v>
      </c>
    </row>
    <row r="1740" spans="1:10" ht="13.2">
      <c r="A1740" s="7">
        <v>1739</v>
      </c>
      <c r="B1740" s="7">
        <v>1</v>
      </c>
      <c r="C1740" s="7" t="s">
        <v>10</v>
      </c>
      <c r="D1740" s="7">
        <v>555</v>
      </c>
      <c r="E1740" s="7" t="s">
        <v>12</v>
      </c>
      <c r="F1740" s="8" t="str">
        <f ca="1">IFERROR(__xludf.DUMMYFUNCTION("IF
(
C1741=""фізична особа""
,
VLOOKUP(D1741,IMPORTRANGE(""https://docs.google.com/spreadsheets/d/14Bd19lYaqBhU8_DElYkX7l4wRkHqqCUFNJY4AfY3kHU/edit?usp=sharing  #gid=0"",""фіз особи new!relations_name""),6,FALSE)
,
(IF
(
C1741=""юридична особа""
,
VLOOKUP"&amp;"(D1741,IMPORTRANGE(""https://docs.google.com/spreadsheets/d/14Bd19lYaqBhU8_DElYkX7l4wRkHqqCUFNJY4AfY3kHU/edit?usp=sharing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0" s="7" t="s">
        <v>10</v>
      </c>
      <c r="H1740" s="7">
        <v>23418</v>
      </c>
      <c r="I1740" s="8" t="str">
        <f ca="1">IFERROR(__xludf.DUMMYFUNCTION("IF
(
G1741=""фізична особа""
,
VLOOKUP(H1741,IMPORTRANGE(""https://docs.google.com/spreadsheets/d/14Bd19lYaqBhU8_DElYkX7l4wRkHqqCUFNJY4AfY3kHU/edit?usp=sharing  #gid=0"",""фіз особи new!relations_name""),6,FALSE)
,
(IF
(
G1741=""юридична особа""
,
VLOOKUP"&amp;"(H1741,IMPORTRANGE(""https://docs.google.com/spreadsheets/d/14Bd19lYaqBhU8_DElYkX7l4wRkHqqCUFNJY4AfY3kHU/edit?usp=sharing  #gid=0"",""фіз особи new!relations_name_uo""),7,FALSE)
,
)
))"),"ТКАЧ Оксана Олегівна")</f>
        <v>ТКАЧ Оксана Олегівна</v>
      </c>
      <c r="J1740" s="7" t="s">
        <v>13</v>
      </c>
    </row>
    <row r="1741" spans="1:10" ht="13.2">
      <c r="A1741" s="7">
        <v>1740</v>
      </c>
      <c r="B1741" s="7">
        <v>1</v>
      </c>
      <c r="C1741" s="7" t="s">
        <v>10</v>
      </c>
      <c r="D1741" s="7">
        <v>555</v>
      </c>
      <c r="E1741" s="7" t="s">
        <v>12</v>
      </c>
      <c r="F1741" s="8" t="str">
        <f ca="1">IFERROR(__xludf.DUMMYFUNCTION("IF
(
C1742=""фізична особа""
,
VLOOKUP(D1742,IMPORTRANGE(""https://docs.google.com/spreadsheets/d/14Bd19lYaqBhU8_DElYkX7l4wRkHqqCUFNJY4AfY3kHU/edit?usp=sharing  #gid=0"",""фіз особи new!relations_name""),6,FALSE)
,
(IF
(
C1742=""юридична особа""
,
VLOOKUP"&amp;"(D1742,IMPORTRANGE(""https://docs.google.com/spreadsheets/d/14Bd19lYaqBhU8_DElYkX7l4wRkHqqCUFNJY4AfY3kHU/edit?usp=sharing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1" s="7" t="s">
        <v>10</v>
      </c>
      <c r="H1741" s="7">
        <v>23408</v>
      </c>
      <c r="I1741" s="8" t="str">
        <f ca="1">IFERROR(__xludf.DUMMYFUNCTION("IF
(
G1742=""фізична особа""
,
VLOOKUP(H1742,IMPORTRANGE(""https://docs.google.com/spreadsheets/d/14Bd19lYaqBhU8_DElYkX7l4wRkHqqCUFNJY4AfY3kHU/edit?usp=sharing  #gid=0"",""фіз особи new!relations_name""),6,FALSE)
,
(IF
(
G1742=""юридична особа""
,
VLOOKUP"&amp;"(H1742,IMPORTRANGE(""https://docs.google.com/spreadsheets/d/14Bd19lYaqBhU8_DElYkX7l4wRkHqqCUFNJY4AfY3kHU/edit?usp=sharing  #gid=0"",""фіз особи new!relations_name_uo""),7,FALSE)
,
)
))"),"ВОЗНЕСЕНСЬКА Олеся Олегівна")</f>
        <v>ВОЗНЕСЕНСЬКА Олеся Олегівна</v>
      </c>
      <c r="J1741" s="7" t="s">
        <v>13</v>
      </c>
    </row>
    <row r="1742" spans="1:10" ht="13.2">
      <c r="A1742" s="7">
        <v>1741</v>
      </c>
      <c r="B1742" s="7">
        <v>1</v>
      </c>
      <c r="C1742" s="7" t="s">
        <v>10</v>
      </c>
      <c r="D1742" s="7">
        <v>555</v>
      </c>
      <c r="E1742" s="7" t="s">
        <v>24</v>
      </c>
      <c r="F1742" s="8" t="str">
        <f ca="1">IFERROR(__xludf.DUMMYFUNCTION("IF
(
C1743=""фізична особа""
,
VLOOKUP(D1743,IMPORTRANGE(""https://docs.google.com/spreadsheets/d/14Bd19lYaqBhU8_DElYkX7l4wRkHqqCUFNJY4AfY3kHU/edit?usp=sharing  #gid=0"",""фіз особи new!relations_name""),6,FALSE)
,
(IF
(
C1743=""юридична особа""
,
VLOOKUP"&amp;"(D1743,IMPORTRANGE(""https://docs.google.com/spreadsheets/d/14Bd19lYaqBhU8_DElYkX7l4wRkHqqCUFNJY4AfY3kHU/edit?usp=sharing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2" s="7" t="s">
        <v>10</v>
      </c>
      <c r="H1742" s="7">
        <v>0</v>
      </c>
      <c r="I1742" s="8" t="str">
        <f ca="1">IFERROR(__xludf.DUMMYFUNCTION("IF
(
G1743=""фізична особа""
,
VLOOKUP(H1743,IMPORTRANGE(""https://docs.google.com/spreadsheets/d/14Bd19lYaqBhU8_DElYkX7l4wRkHqqCUFNJY4AfY3kHU/edit?usp=sharing  #gid=0"",""фіз особи new!relations_name""),6,FALSE)
,
(IF
(
G1743=""юридична особа""
,
VLOOKUP"&amp;"(H1743,IMPORTRANGE(""https://docs.google.com/spreadsheets/d/14Bd19lYaqBhU8_DElYkX7l4wRkHqqCUFNJY4AfY3kHU/edit?usp=sharing  #gid=0"",""фіз особи new!relations_name_uo""),7,FALSE)
,
)
))"),"#N/A")</f>
        <v>#N/A</v>
      </c>
      <c r="J1742" s="7" t="s">
        <v>26</v>
      </c>
    </row>
    <row r="1743" spans="1:10" ht="13.2">
      <c r="A1743" s="7">
        <v>1742</v>
      </c>
      <c r="B1743" s="7">
        <v>1</v>
      </c>
      <c r="C1743" s="7" t="s">
        <v>10</v>
      </c>
      <c r="D1743" s="7">
        <v>555</v>
      </c>
      <c r="E1743" s="7" t="s">
        <v>11</v>
      </c>
      <c r="F1743" s="8" t="str">
        <f ca="1">IFERROR(__xludf.DUMMYFUNCTION("IF
(
C1744=""фізична особа""
,
VLOOKUP(D1744,IMPORTRANGE(""https://docs.google.com/spreadsheets/d/14Bd19lYaqBhU8_DElYkX7l4wRkHqqCUFNJY4AfY3kHU/edit?usp=sharing  #gid=0"",""фіз особи new!relations_name""),6,FALSE)
,
(IF
(
C1744=""юридична особа""
,
VLOOKUP"&amp;"(D1744,IMPORTRANGE(""https://docs.google.com/spreadsheets/d/14Bd19lYaqBhU8_DElYkX7l4wRkHqqCUFNJY4AfY3kHU/edit?usp=sharing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3" s="7" t="s">
        <v>10</v>
      </c>
      <c r="H1743" s="7">
        <v>8371</v>
      </c>
      <c r="I1743" s="8" t="str">
        <f ca="1">IFERROR(__xludf.DUMMYFUNCTION("IF
(
G1744=""фізична особа""
,
VLOOKUP(H1744,IMPORTRANGE(""https://docs.google.com/spreadsheets/d/14Bd19lYaqBhU8_DElYkX7l4wRkHqqCUFNJY4AfY3kHU/edit?usp=sharing  #gid=0"",""фіз особи new!relations_name""),6,FALSE)
,
(IF
(
G1744=""юридична особа""
,
VLOOKUP"&amp;"(H1744,IMPORTRANGE(""https://docs.google.com/spreadsheets/d/14Bd19lYaqBhU8_DElYkX7l4wRkHqqCUFNJY4AfY3kHU/edit?usp=sharing  #gid=0"",""фіз особи new!relations_name_uo""),7,FALSE)
,
)
))"),"УЗУН Володимир Ілліч")</f>
        <v>УЗУН Володимир Ілліч</v>
      </c>
      <c r="J1743" s="7" t="s">
        <v>11</v>
      </c>
    </row>
    <row r="1744" spans="1:10" ht="13.2">
      <c r="A1744" s="7">
        <v>1743</v>
      </c>
      <c r="B1744" s="7">
        <v>1</v>
      </c>
      <c r="C1744" s="7" t="s">
        <v>10</v>
      </c>
      <c r="D1744" s="7">
        <v>555</v>
      </c>
      <c r="E1744" s="7" t="s">
        <v>11</v>
      </c>
      <c r="F1744" s="8" t="str">
        <f ca="1">IFERROR(__xludf.DUMMYFUNCTION("IF
(
C1745=""фізична особа""
,
VLOOKUP(D1745,IMPORTRANGE(""https://docs.google.com/spreadsheets/d/14Bd19lYaqBhU8_DElYkX7l4wRkHqqCUFNJY4AfY3kHU/edit?usp=sharing  #gid=0"",""фіз особи new!relations_name""),6,FALSE)
,
(IF
(
C1745=""юридична особа""
,
VLOOKUP"&amp;"(D1745,IMPORTRANGE(""https://docs.google.com/spreadsheets/d/14Bd19lYaqBhU8_DElYkX7l4wRkHqqCUFNJY4AfY3kHU/edit?usp=sharing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4" s="7" t="s">
        <v>10</v>
      </c>
      <c r="H1744" s="7">
        <v>629</v>
      </c>
      <c r="I1744" s="8" t="str">
        <f ca="1">IFERROR(__xludf.DUMMYFUNCTION("IF
(
G1745=""фізична особа""
,
VLOOKUP(H1745,IMPORTRANGE(""https://docs.google.com/spreadsheets/d/14Bd19lYaqBhU8_DElYkX7l4wRkHqqCUFNJY4AfY3kHU/edit?usp=sharing  #gid=0"",""фіз особи new!relations_name""),6,FALSE)
,
(IF
(
G1745=""юридична особа""
,
VLOOKUP"&amp;"(H1745,IMPORTRANGE(""https://docs.google.com/spreadsheets/d/14Bd19lYaqBhU8_DElYkX7l4wRkHqqCUFNJY4AfY3kHU/edit?usp=sharing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1744" s="7" t="s">
        <v>11</v>
      </c>
    </row>
    <row r="1745" spans="1:10" ht="13.2">
      <c r="A1745" s="7">
        <v>1744</v>
      </c>
      <c r="B1745" s="7">
        <v>1</v>
      </c>
      <c r="C1745" s="7" t="s">
        <v>10</v>
      </c>
      <c r="D1745" s="7">
        <v>555</v>
      </c>
      <c r="E1745" s="7" t="s">
        <v>11</v>
      </c>
      <c r="F1745" s="8" t="str">
        <f ca="1">IFERROR(__xludf.DUMMYFUNCTION("IF
(
C1746=""фізична особа""
,
VLOOKUP(D1746,IMPORTRANGE(""https://docs.google.com/spreadsheets/d/14Bd19lYaqBhU8_DElYkX7l4wRkHqqCUFNJY4AfY3kHU/edit?usp=sharing  #gid=0"",""фіз особи new!relations_name""),6,FALSE)
,
(IF
(
C1746=""юридична особа""
,
VLOOKUP"&amp;"(D1746,IMPORTRANGE(""https://docs.google.com/spreadsheets/d/14Bd19lYaqBhU8_DElYkX7l4wRkHqqCUFNJY4AfY3kHU/edit?usp=sharing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5" s="7" t="s">
        <v>10</v>
      </c>
      <c r="H1745" s="7">
        <v>2900</v>
      </c>
      <c r="I1745" s="8" t="str">
        <f ca="1">IFERROR(__xludf.DUMMYFUNCTION("IF
(
G1746=""фізична особа""
,
VLOOKUP(H1746,IMPORTRANGE(""https://docs.google.com/spreadsheets/d/14Bd19lYaqBhU8_DElYkX7l4wRkHqqCUFNJY4AfY3kHU/edit?usp=sharing  #gid=0"",""фіз особи new!relations_name""),6,FALSE)
,
(IF
(
G1746=""юридична особа""
,
VLOOKUP"&amp;"(H1746,IMPORTRANGE(""https://docs.google.com/spreadsheets/d/14Bd19lYaqBhU8_DElYkX7l4wRkHqqCUFNJY4AfY3kHU/edit?usp=sharing  #gid=0"",""фіз особи new!relations_name_uo""),7,FALSE)
,
)
))"),"СТЄНІНА Наталя Володимирівна")</f>
        <v>СТЄНІНА Наталя Володимирівна</v>
      </c>
      <c r="J1745" s="7" t="s">
        <v>11</v>
      </c>
    </row>
    <row r="1746" spans="1:10" ht="13.2">
      <c r="A1746" s="7">
        <v>1745</v>
      </c>
      <c r="B1746" s="7">
        <v>1</v>
      </c>
      <c r="C1746" s="7" t="s">
        <v>10</v>
      </c>
      <c r="D1746" s="7">
        <v>555</v>
      </c>
      <c r="E1746" s="7" t="s">
        <v>11</v>
      </c>
      <c r="F1746" s="8" t="str">
        <f ca="1">IFERROR(__xludf.DUMMYFUNCTION("IF
(
C1747=""фізична особа""
,
VLOOKUP(D1747,IMPORTRANGE(""https://docs.google.com/spreadsheets/d/14Bd19lYaqBhU8_DElYkX7l4wRkHqqCUFNJY4AfY3kHU/edit?usp=sharing  #gid=0"",""фіз особи new!relations_name""),6,FALSE)
,
(IF
(
C1747=""юридична особа""
,
VLOOKUP"&amp;"(D1747,IMPORTRANGE(""https://docs.google.com/spreadsheets/d/14Bd19lYaqBhU8_DElYkX7l4wRkHqqCUFNJY4AfY3kHU/edit?usp=sharing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G1746" s="7" t="s">
        <v>10</v>
      </c>
      <c r="H1746" s="7">
        <v>4614</v>
      </c>
      <c r="I1746" s="8" t="str">
        <f ca="1">IFERROR(__xludf.DUMMYFUNCTION("IF
(
G1747=""фізична особа""
,
VLOOKUP(H1747,IMPORTRANGE(""https://docs.google.com/spreadsheets/d/14Bd19lYaqBhU8_DElYkX7l4wRkHqqCUFNJY4AfY3kHU/edit?usp=sharing  #gid=0"",""фіз особи new!relations_name""),6,FALSE)
,
(IF
(
G1747=""юридична особа""
,
VLOOKUP"&amp;"(H1747,IMPORTRANGE(""https://docs.google.com/spreadsheets/d/14Bd19lYaqBhU8_DElYkX7l4wRkHqqCUFNJY4AfY3kHU/edit?usp=sharing  #gid=0"",""фіз особи new!relations_name_uo""),7,FALSE)
,
)
))"),"УДОДОВ Олександр Євгенійович")</f>
        <v>УДОДОВ Олександр Євгенійович</v>
      </c>
      <c r="J1746" s="7" t="s">
        <v>11</v>
      </c>
    </row>
    <row r="1747" spans="1:10" ht="13.2">
      <c r="A1747" s="7">
        <v>1746</v>
      </c>
      <c r="B1747" s="7">
        <v>1</v>
      </c>
      <c r="C1747" s="7" t="s">
        <v>10</v>
      </c>
      <c r="D1747" s="7">
        <v>556</v>
      </c>
      <c r="E1747" s="7" t="s">
        <v>14</v>
      </c>
      <c r="F1747" s="8" t="str">
        <f ca="1">IFERROR(__xludf.DUMMYFUNCTION("IF
(
C1748=""фізична особа""
,
VLOOKUP(D1748,IMPORTRANGE(""https://docs.google.com/spreadsheets/d/14Bd19lYaqBhU8_DElYkX7l4wRkHqqCUFNJY4AfY3kHU/edit?usp=sharing  #gid=0"",""фіз особи new!relations_name""),6,FALSE)
,
(IF
(
C1748=""юридична особа""
,
VLOOKUP"&amp;"(D1748,IMPORTRANGE(""https://docs.google.com/spreadsheets/d/14Bd19lYaqBhU8_DElYkX7l4wRkHqqCUFNJY4AfY3kHU/edit?usp=sharing  #gid=0"",""фіз особи new!relations_name_uo""),7,FALSE)
,
)
))"),"ФАРРАХОВ Айрат Закієвич")</f>
        <v>ФАРРАХОВ Айрат Закієвич</v>
      </c>
      <c r="G1747" s="7" t="s">
        <v>10</v>
      </c>
      <c r="H1747" s="7">
        <v>0</v>
      </c>
      <c r="I1747" s="8" t="str">
        <f ca="1">IFERROR(__xludf.DUMMYFUNCTION("IF
(
G1748=""фізична особа""
,
VLOOKUP(H1748,IMPORTRANGE(""https://docs.google.com/spreadsheets/d/14Bd19lYaqBhU8_DElYkX7l4wRkHqqCUFNJY4AfY3kHU/edit?usp=sharing  #gid=0"",""фіз особи new!relations_name""),6,FALSE)
,
(IF
(
G1748=""юридична особа""
,
VLOOKUP"&amp;"(H1748,IMPORTRANGE(""https://docs.google.com/spreadsheets/d/14Bd19lYaqBhU8_DElYkX7l4wRkHqqCUFNJY4AfY3kHU/edit?usp=sharing  #gid=0"",""фіз особи new!relations_name_uo""),7,FALSE)
,
)
))"),"#N/A")</f>
        <v>#N/A</v>
      </c>
      <c r="J1747" s="7" t="s">
        <v>15</v>
      </c>
    </row>
    <row r="1748" spans="1:10" ht="13.2">
      <c r="A1748" s="7">
        <v>1747</v>
      </c>
      <c r="B1748" s="7">
        <v>1</v>
      </c>
      <c r="C1748" s="7" t="s">
        <v>10</v>
      </c>
      <c r="D1748" s="7">
        <v>556</v>
      </c>
      <c r="E1748" s="7" t="s">
        <v>29</v>
      </c>
      <c r="F1748" s="8" t="str">
        <f ca="1">IFERROR(__xludf.DUMMYFUNCTION("IF
(
C1749=""фізична особа""
,
VLOOKUP(D1749,IMPORTRANGE(""https://docs.google.com/spreadsheets/d/14Bd19lYaqBhU8_DElYkX7l4wRkHqqCUFNJY4AfY3kHU/edit?usp=sharing  #gid=0"",""фіз особи new!relations_name""),6,FALSE)
,
(IF
(
C1749=""юридична особа""
,
VLOOKUP"&amp;"(D1749,IMPORTRANGE(""https://docs.google.com/spreadsheets/d/14Bd19lYaqBhU8_DElYkX7l4wRkHqqCUFNJY4AfY3kHU/edit?usp=sharing  #gid=0"",""фіз особи new!relations_name_uo""),7,FALSE)
,
)
))"),"ФАРРАХОВ Айрат Закієвич")</f>
        <v>ФАРРАХОВ Айрат Закієвич</v>
      </c>
      <c r="G1748" s="7" t="s">
        <v>10</v>
      </c>
      <c r="H1748" s="7">
        <v>0</v>
      </c>
      <c r="I1748" s="8" t="str">
        <f ca="1">IFERROR(__xludf.DUMMYFUNCTION("IF
(
G1749=""фізична особа""
,
VLOOKUP(H1749,IMPORTRANGE(""https://docs.google.com/spreadsheets/d/14Bd19lYaqBhU8_DElYkX7l4wRkHqqCUFNJY4AfY3kHU/edit?usp=sharing  #gid=0"",""фіз особи new!relations_name""),6,FALSE)
,
(IF
(
G1749=""юридична особа""
,
VLOOKUP"&amp;"(H1749,IMPORTRANGE(""https://docs.google.com/spreadsheets/d/14Bd19lYaqBhU8_DElYkX7l4wRkHqqCUFNJY4AfY3kHU/edit?usp=sharing  #gid=0"",""фіз особи new!relations_name_uo""),7,FALSE)
,
)
))"),"#N/A")</f>
        <v>#N/A</v>
      </c>
      <c r="J1748" s="7" t="s">
        <v>28</v>
      </c>
    </row>
    <row r="1749" spans="1:10" ht="13.2">
      <c r="A1749" s="7">
        <v>1748</v>
      </c>
      <c r="B1749" s="7">
        <v>1</v>
      </c>
      <c r="C1749" s="7" t="s">
        <v>10</v>
      </c>
      <c r="D1749" s="7">
        <v>557</v>
      </c>
      <c r="E1749" s="7" t="s">
        <v>14</v>
      </c>
      <c r="F1749" s="8" t="str">
        <f ca="1">IFERROR(__xludf.DUMMYFUNCTION("IF
(
C1750=""фізична особа""
,
VLOOKUP(D1750,IMPORTRANGE(""https://docs.google.com/spreadsheets/d/14Bd19lYaqBhU8_DElYkX7l4wRkHqqCUFNJY4AfY3kHU/edit?usp=sharing  #gid=0"",""фіз особи new!relations_name""),6,FALSE)
,
(IF
(
C1750=""юридична особа""
,
VLOOKUP"&amp;"(D1750,IMPORTRANGE(""https://docs.google.com/spreadsheets/d/14Bd19lYaqBhU8_DElYkX7l4wRkHqqCUFNJY4AfY3kHU/edit?usp=sharing  #gid=0"",""фіз особи new!relations_name_uo""),7,FALSE)
,
)
))"),"АКІМОВ Олександр Костянтинович")</f>
        <v>АКІМОВ Олександр Костянтинович</v>
      </c>
      <c r="G1749" s="7" t="s">
        <v>10</v>
      </c>
      <c r="H1749" s="7">
        <v>0</v>
      </c>
      <c r="I1749" s="8" t="str">
        <f ca="1">IFERROR(__xludf.DUMMYFUNCTION("IF
(
G1750=""фізична особа""
,
VLOOKUP(H1750,IMPORTRANGE(""https://docs.google.com/spreadsheets/d/14Bd19lYaqBhU8_DElYkX7l4wRkHqqCUFNJY4AfY3kHU/edit?usp=sharing  #gid=0"",""фіз особи new!relations_name""),6,FALSE)
,
(IF
(
G1750=""юридична особа""
,
VLOOKUP"&amp;"(H1750,IMPORTRANGE(""https://docs.google.com/spreadsheets/d/14Bd19lYaqBhU8_DElYkX7l4wRkHqqCUFNJY4AfY3kHU/edit?usp=sharing  #gid=0"",""фіз особи new!relations_name_uo""),7,FALSE)
,
)
))"),"#N/A")</f>
        <v>#N/A</v>
      </c>
      <c r="J1749" s="7" t="s">
        <v>15</v>
      </c>
    </row>
    <row r="1750" spans="1:10" ht="13.2">
      <c r="A1750" s="7">
        <v>1749</v>
      </c>
      <c r="B1750" s="7">
        <v>1</v>
      </c>
      <c r="C1750" s="7" t="s">
        <v>10</v>
      </c>
      <c r="D1750" s="7">
        <v>557</v>
      </c>
      <c r="E1750" s="7" t="s">
        <v>12</v>
      </c>
      <c r="F1750" s="8" t="str">
        <f ca="1">IFERROR(__xludf.DUMMYFUNCTION("IF
(
C1751=""фізична особа""
,
VLOOKUP(D1751,IMPORTRANGE(""https://docs.google.com/spreadsheets/d/14Bd19lYaqBhU8_DElYkX7l4wRkHqqCUFNJY4AfY3kHU/edit?usp=sharing  #gid=0"",""фіз особи new!relations_name""),6,FALSE)
,
(IF
(
C1751=""юридична особа""
,
VLOOKUP"&amp;"(D1751,IMPORTRANGE(""https://docs.google.com/spreadsheets/d/14Bd19lYaqBhU8_DElYkX7l4wRkHqqCUFNJY4AfY3kHU/edit?usp=sharing  #gid=0"",""фіз особи new!relations_name_uo""),7,FALSE)
,
)
))"),"АКІМОВ Олександр Костянтинович")</f>
        <v>АКІМОВ Олександр Костянтинович</v>
      </c>
      <c r="G1750" s="7" t="s">
        <v>10</v>
      </c>
      <c r="H1750" s="7">
        <v>0</v>
      </c>
      <c r="I1750" s="8" t="str">
        <f ca="1">IFERROR(__xludf.DUMMYFUNCTION("IF
(
G1751=""фізична особа""
,
VLOOKUP(H1751,IMPORTRANGE(""https://docs.google.com/spreadsheets/d/14Bd19lYaqBhU8_DElYkX7l4wRkHqqCUFNJY4AfY3kHU/edit?usp=sharing  #gid=0"",""фіз особи new!relations_name""),6,FALSE)
,
(IF
(
G1751=""юридична особа""
,
VLOOKUP"&amp;"(H1751,IMPORTRANGE(""https://docs.google.com/spreadsheets/d/14Bd19lYaqBhU8_DElYkX7l4wRkHqqCUFNJY4AfY3kHU/edit?usp=sharing  #gid=0"",""фіз особи new!relations_name_uo""),7,FALSE)
,
)
))"),"#N/A")</f>
        <v>#N/A</v>
      </c>
      <c r="J1750" s="7" t="s">
        <v>17</v>
      </c>
    </row>
    <row r="1751" spans="1:10" ht="13.2">
      <c r="A1751" s="7">
        <v>1750</v>
      </c>
      <c r="B1751" s="7">
        <v>1</v>
      </c>
      <c r="C1751" s="7" t="s">
        <v>10</v>
      </c>
      <c r="D1751" s="7">
        <v>557</v>
      </c>
      <c r="E1751" s="7" t="s">
        <v>34</v>
      </c>
      <c r="F1751" s="8" t="str">
        <f ca="1">IFERROR(__xludf.DUMMYFUNCTION("IF
(
C1752=""фізична особа""
,
VLOOKUP(D1752,IMPORTRANGE(""https://docs.google.com/spreadsheets/d/14Bd19lYaqBhU8_DElYkX7l4wRkHqqCUFNJY4AfY3kHU/edit?usp=sharing  #gid=0"",""фіз особи new!relations_name""),6,FALSE)
,
(IF
(
C1752=""юридична особа""
,
VLOOKUP"&amp;"(D1752,IMPORTRANGE(""https://docs.google.com/spreadsheets/d/14Bd19lYaqBhU8_DElYkX7l4wRkHqqCUFNJY4AfY3kHU/edit?usp=sharing  #gid=0"",""фіз особи new!relations_name_uo""),7,FALSE)
,
)
))"),"АКІМОВ Олександр Костянтинович")</f>
        <v>АКІМОВ Олександр Костянтинович</v>
      </c>
      <c r="G1751" s="7" t="s">
        <v>10</v>
      </c>
      <c r="H1751" s="7">
        <v>0</v>
      </c>
      <c r="I1751" s="8" t="str">
        <f ca="1">IFERROR(__xludf.DUMMYFUNCTION("IF
(
G1752=""фізична особа""
,
VLOOKUP(H1752,IMPORTRANGE(""https://docs.google.com/spreadsheets/d/14Bd19lYaqBhU8_DElYkX7l4wRkHqqCUFNJY4AfY3kHU/edit?usp=sharing  #gid=0"",""фіз особи new!relations_name""),6,FALSE)
,
(IF
(
G1752=""юридична особа""
,
VLOOKUP"&amp;"(H1752,IMPORTRANGE(""https://docs.google.com/spreadsheets/d/14Bd19lYaqBhU8_DElYkX7l4wRkHqqCUFNJY4AfY3kHU/edit?usp=sharing  #gid=0"",""фіз особи new!relations_name_uo""),7,FALSE)
,
)
))"),"#N/A")</f>
        <v>#N/A</v>
      </c>
      <c r="J1751" s="7" t="s">
        <v>25</v>
      </c>
    </row>
    <row r="1752" spans="1:10" ht="13.2">
      <c r="A1752" s="7">
        <v>1751</v>
      </c>
      <c r="B1752" s="7">
        <v>1</v>
      </c>
      <c r="C1752" s="7" t="s">
        <v>10</v>
      </c>
      <c r="D1752" s="7">
        <v>558</v>
      </c>
      <c r="E1752" s="7" t="s">
        <v>12</v>
      </c>
      <c r="F1752" s="8" t="str">
        <f ca="1">IFERROR(__xludf.DUMMYFUNCTION("IF
(
C1753=""фізична особа""
,
VLOOKUP(D1753,IMPORTRANGE(""https://docs.google.com/spreadsheets/d/14Bd19lYaqBhU8_DElYkX7l4wRkHqqCUFNJY4AfY3kHU/edit?usp=sharing  #gid=0"",""фіз особи new!relations_name""),6,FALSE)
,
(IF
(
C1753=""юридична особа""
,
VLOOKUP"&amp;"(D1753,IMPORTRANGE(""https://docs.google.com/spreadsheets/d/14Bd19lYaqBhU8_DElYkX7l4wRkHqqCUFNJY4AfY3kHU/edit?usp=sharing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G1752" s="7" t="s">
        <v>10</v>
      </c>
      <c r="H1752" s="7">
        <v>0</v>
      </c>
      <c r="I1752" s="8" t="str">
        <f ca="1">IFERROR(__xludf.DUMMYFUNCTION("IF
(
G1753=""фізична особа""
,
VLOOKUP(H1753,IMPORTRANGE(""https://docs.google.com/spreadsheets/d/14Bd19lYaqBhU8_DElYkX7l4wRkHqqCUFNJY4AfY3kHU/edit?usp=sharing  #gid=0"",""фіз особи new!relations_name""),6,FALSE)
,
(IF
(
G1753=""юридична особа""
,
VLOOKUP"&amp;"(H1753,IMPORTRANGE(""https://docs.google.com/spreadsheets/d/14Bd19lYaqBhU8_DElYkX7l4wRkHqqCUFNJY4AfY3kHU/edit?usp=sharing  #gid=0"",""фіз особи new!relations_name_uo""),7,FALSE)
,
)
))"),"#N/A")</f>
        <v>#N/A</v>
      </c>
      <c r="J1752" s="7" t="s">
        <v>13</v>
      </c>
    </row>
    <row r="1753" spans="1:10" ht="13.2">
      <c r="A1753" s="7">
        <v>1752</v>
      </c>
      <c r="B1753" s="7">
        <v>1</v>
      </c>
      <c r="C1753" s="7" t="s">
        <v>10</v>
      </c>
      <c r="D1753" s="7">
        <v>558</v>
      </c>
      <c r="E1753" s="7" t="s">
        <v>12</v>
      </c>
      <c r="F1753" s="8" t="str">
        <f ca="1">IFERROR(__xludf.DUMMYFUNCTION("IF
(
C1754=""фізична особа""
,
VLOOKUP(D1754,IMPORTRANGE(""https://docs.google.com/spreadsheets/d/14Bd19lYaqBhU8_DElYkX7l4wRkHqqCUFNJY4AfY3kHU/edit?usp=sharing  #gid=0"",""фіз особи new!relations_name""),6,FALSE)
,
(IF
(
C1754=""юридична особа""
,
VLOOKUP"&amp;"(D1754,IMPORTRANGE(""https://docs.google.com/spreadsheets/d/14Bd19lYaqBhU8_DElYkX7l4wRkHqqCUFNJY4AfY3kHU/edit?usp=sharing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G1753" s="7" t="s">
        <v>10</v>
      </c>
      <c r="H1753" s="7">
        <v>0</v>
      </c>
      <c r="I1753" s="8" t="str">
        <f ca="1">IFERROR(__xludf.DUMMYFUNCTION("IF
(
G1754=""фізична особа""
,
VLOOKUP(H1754,IMPORTRANGE(""https://docs.google.com/spreadsheets/d/14Bd19lYaqBhU8_DElYkX7l4wRkHqqCUFNJY4AfY3kHU/edit?usp=sharing  #gid=0"",""фіз особи new!relations_name""),6,FALSE)
,
(IF
(
G1754=""юридична особа""
,
VLOOKUP"&amp;"(H1754,IMPORTRANGE(""https://docs.google.com/spreadsheets/d/14Bd19lYaqBhU8_DElYkX7l4wRkHqqCUFNJY4AfY3kHU/edit?usp=sharing  #gid=0"",""фіз особи new!relations_name_uo""),7,FALSE)
,
)
))"),"#N/A")</f>
        <v>#N/A</v>
      </c>
      <c r="J1753" s="7" t="s">
        <v>13</v>
      </c>
    </row>
    <row r="1754" spans="1:10" ht="13.2">
      <c r="A1754" s="7">
        <v>1753</v>
      </c>
      <c r="B1754" s="7">
        <v>1</v>
      </c>
      <c r="C1754" s="7" t="s">
        <v>10</v>
      </c>
      <c r="D1754" s="7">
        <v>558</v>
      </c>
      <c r="E1754" s="7" t="s">
        <v>42</v>
      </c>
      <c r="F1754" s="8" t="str">
        <f ca="1">IFERROR(__xludf.DUMMYFUNCTION("IF
(
C1755=""фізична особа""
,
VLOOKUP(D1755,IMPORTRANGE(""https://docs.google.com/spreadsheets/d/14Bd19lYaqBhU8_DElYkX7l4wRkHqqCUFNJY4AfY3kHU/edit?usp=sharing  #gid=0"",""фіз особи new!relations_name""),6,FALSE)
,
(IF
(
C1755=""юридична особа""
,
VLOOKUP"&amp;"(D1755,IMPORTRANGE(""https://docs.google.com/spreadsheets/d/14Bd19lYaqBhU8_DElYkX7l4wRkHqqCUFNJY4AfY3kHU/edit?usp=sharing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G1754" s="7" t="s">
        <v>10</v>
      </c>
      <c r="H1754" s="7">
        <v>0</v>
      </c>
      <c r="I1754" s="8" t="str">
        <f ca="1">IFERROR(__xludf.DUMMYFUNCTION("IF
(
G1755=""фізична особа""
,
VLOOKUP(H1755,IMPORTRANGE(""https://docs.google.com/spreadsheets/d/14Bd19lYaqBhU8_DElYkX7l4wRkHqqCUFNJY4AfY3kHU/edit?usp=sharing  #gid=0"",""фіз особи new!relations_name""),6,FALSE)
,
(IF
(
G1755=""юридична особа""
,
VLOOKUP"&amp;"(H1755,IMPORTRANGE(""https://docs.google.com/spreadsheets/d/14Bd19lYaqBhU8_DElYkX7l4wRkHqqCUFNJY4AfY3kHU/edit?usp=sharing  #gid=0"",""фіз особи new!relations_name_uo""),7,FALSE)
,
)
))"),"#N/A")</f>
        <v>#N/A</v>
      </c>
      <c r="J1754" s="7" t="s">
        <v>43</v>
      </c>
    </row>
    <row r="1755" spans="1:10" ht="13.2">
      <c r="A1755" s="7">
        <v>1754</v>
      </c>
      <c r="B1755" s="7">
        <v>1</v>
      </c>
      <c r="C1755" s="7" t="s">
        <v>10</v>
      </c>
      <c r="D1755" s="7">
        <v>558</v>
      </c>
      <c r="E1755" s="7" t="s">
        <v>77</v>
      </c>
      <c r="F1755" s="8" t="str">
        <f ca="1">IFERROR(__xludf.DUMMYFUNCTION("IF
(
C1756=""фізична особа""
,
VLOOKUP(D1756,IMPORTRANGE(""https://docs.google.com/spreadsheets/d/14Bd19lYaqBhU8_DElYkX7l4wRkHqqCUFNJY4AfY3kHU/edit?usp=sharing  #gid=0"",""фіз особи new!relations_name""),6,FALSE)
,
(IF
(
C1756=""юридична особа""
,
VLOOKUP"&amp;"(D1756,IMPORTRANGE(""https://docs.google.com/spreadsheets/d/14Bd19lYaqBhU8_DElYkX7l4wRkHqqCUFNJY4AfY3kHU/edit?usp=sharing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G1755" s="7" t="s">
        <v>10</v>
      </c>
      <c r="H1755" s="7">
        <v>0</v>
      </c>
      <c r="I1755" s="8" t="str">
        <f ca="1">IFERROR(__xludf.DUMMYFUNCTION("IF
(
G1756=""фізична особа""
,
VLOOKUP(H1756,IMPORTRANGE(""https://docs.google.com/spreadsheets/d/14Bd19lYaqBhU8_DElYkX7l4wRkHqqCUFNJY4AfY3kHU/edit?usp=sharing  #gid=0"",""фіз особи new!relations_name""),6,FALSE)
,
(IF
(
G1756=""юридична особа""
,
VLOOKUP"&amp;"(H1756,IMPORTRANGE(""https://docs.google.com/spreadsheets/d/14Bd19lYaqBhU8_DElYkX7l4wRkHqqCUFNJY4AfY3kHU/edit?usp=sharing  #gid=0"",""фіз особи new!relations_name_uo""),7,FALSE)
,
)
))"),"#N/A")</f>
        <v>#N/A</v>
      </c>
      <c r="J1755" s="7" t="s">
        <v>54</v>
      </c>
    </row>
    <row r="1756" spans="1:10" ht="13.2">
      <c r="A1756" s="7">
        <v>1755</v>
      </c>
      <c r="B1756" s="7">
        <v>1</v>
      </c>
      <c r="C1756" s="7" t="s">
        <v>10</v>
      </c>
      <c r="D1756" s="7">
        <v>558</v>
      </c>
      <c r="E1756" s="7" t="s">
        <v>42</v>
      </c>
      <c r="F1756" s="8" t="str">
        <f ca="1">IFERROR(__xludf.DUMMYFUNCTION("IF
(
C1757=""фізична особа""
,
VLOOKUP(D1757,IMPORTRANGE(""https://docs.google.com/spreadsheets/d/14Bd19lYaqBhU8_DElYkX7l4wRkHqqCUFNJY4AfY3kHU/edit?usp=sharing  #gid=0"",""фіз особи new!relations_name""),6,FALSE)
,
(IF
(
C1757=""юридична особа""
,
VLOOKUP"&amp;"(D1757,IMPORTRANGE(""https://docs.google.com/spreadsheets/d/14Bd19lYaqBhU8_DElYkX7l4wRkHqqCUFNJY4AfY3kHU/edit?usp=sharing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G1756" s="7" t="s">
        <v>10</v>
      </c>
      <c r="H1756" s="7">
        <v>0</v>
      </c>
      <c r="I1756" s="8" t="str">
        <f ca="1">IFERROR(__xludf.DUMMYFUNCTION("IF
(
G1757=""фізична особа""
,
VLOOKUP(H1757,IMPORTRANGE(""https://docs.google.com/spreadsheets/d/14Bd19lYaqBhU8_DElYkX7l4wRkHqqCUFNJY4AfY3kHU/edit?usp=sharing  #gid=0"",""фіз особи new!relations_name""),6,FALSE)
,
(IF
(
G1757=""юридична особа""
,
VLOOKUP"&amp;"(H1757,IMPORTRANGE(""https://docs.google.com/spreadsheets/d/14Bd19lYaqBhU8_DElYkX7l4wRkHqqCUFNJY4AfY3kHU/edit?usp=sharing  #gid=0"",""фіз особи new!relations_name_uo""),7,FALSE)
,
)
))"),"#N/A")</f>
        <v>#N/A</v>
      </c>
      <c r="J1756" s="7" t="s">
        <v>43</v>
      </c>
    </row>
    <row r="1757" spans="1:10" ht="13.2">
      <c r="A1757" s="7">
        <v>1756</v>
      </c>
      <c r="B1757" s="7">
        <v>1</v>
      </c>
      <c r="C1757" s="7" t="s">
        <v>10</v>
      </c>
      <c r="D1757" s="7">
        <v>559</v>
      </c>
      <c r="E1757" s="7" t="s">
        <v>17</v>
      </c>
      <c r="F1757" s="8" t="str">
        <f ca="1">IFERROR(__xludf.DUMMYFUNCTION("IF
(
C1758=""фізична особа""
,
VLOOKUP(D1758,IMPORTRANGE(""https://docs.google.com/spreadsheets/d/14Bd19lYaqBhU8_DElYkX7l4wRkHqqCUFNJY4AfY3kHU/edit?usp=sharing  #gid=0"",""фіз особи new!relations_name""),6,FALSE)
,
(IF
(
C1758=""юридична особа""
,
VLOOKUP"&amp;"(D1758,IMPORTRANGE(""https://docs.google.com/spreadsheets/d/14Bd19lYaqBhU8_DElYkX7l4wRkHqqCUFNJY4AfY3kHU/edit?usp=sharing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57" s="7" t="s">
        <v>10</v>
      </c>
      <c r="H1757" s="7">
        <v>23419</v>
      </c>
      <c r="I1757" s="8" t="str">
        <f ca="1">IFERROR(__xludf.DUMMYFUNCTION("IF
(
G1758=""фізична особа""
,
VLOOKUP(H1758,IMPORTRANGE(""https://docs.google.com/spreadsheets/d/14Bd19lYaqBhU8_DElYkX7l4wRkHqqCUFNJY4AfY3kHU/edit?usp=sharing  #gid=0"",""фіз особи new!relations_name""),6,FALSE)
,
(IF
(
G1758=""юридична особа""
,
VLOOKUP"&amp;"(H1758,IMPORTRANGE(""https://docs.google.com/spreadsheets/d/14Bd19lYaqBhU8_DElYkX7l4wRkHqqCUFNJY4AfY3kHU/edit?usp=sharing  #gid=0"",""фіз особи new!relations_name_uo""),7,FALSE)
,
)
))"),"ДЕРИПАСКА Валентина Петрівна")</f>
        <v>ДЕРИПАСКА Валентина Петрівна</v>
      </c>
      <c r="J1757" s="7" t="s">
        <v>21</v>
      </c>
    </row>
    <row r="1758" spans="1:10" ht="13.2">
      <c r="A1758" s="7">
        <v>1757</v>
      </c>
      <c r="B1758" s="7">
        <v>1</v>
      </c>
      <c r="C1758" s="7" t="s">
        <v>10</v>
      </c>
      <c r="D1758" s="7">
        <v>559</v>
      </c>
      <c r="E1758" s="7" t="s">
        <v>12</v>
      </c>
      <c r="F1758" s="8" t="str">
        <f ca="1">IFERROR(__xludf.DUMMYFUNCTION("IF
(
C1759=""фізична особа""
,
VLOOKUP(D1759,IMPORTRANGE(""https://docs.google.com/spreadsheets/d/14Bd19lYaqBhU8_DElYkX7l4wRkHqqCUFNJY4AfY3kHU/edit?usp=sharing  #gid=0"",""фіз особи new!relations_name""),6,FALSE)
,
(IF
(
C1759=""юридична особа""
,
VLOOKUP"&amp;"(D1759,IMPORTRANGE(""https://docs.google.com/spreadsheets/d/14Bd19lYaqBhU8_DElYkX7l4wRkHqqCUFNJY4AfY3kHU/edit?usp=sharing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58" s="7" t="s">
        <v>10</v>
      </c>
      <c r="H1758" s="7">
        <v>0</v>
      </c>
      <c r="I1758" s="8" t="str">
        <f ca="1">IFERROR(__xludf.DUMMYFUNCTION("IF
(
G1759=""фізична особа""
,
VLOOKUP(H1759,IMPORTRANGE(""https://docs.google.com/spreadsheets/d/14Bd19lYaqBhU8_DElYkX7l4wRkHqqCUFNJY4AfY3kHU/edit?usp=sharing  #gid=0"",""фіз особи new!relations_name""),6,FALSE)
,
(IF
(
G1759=""юридична особа""
,
VLOOKUP"&amp;"(H1759,IMPORTRANGE(""https://docs.google.com/spreadsheets/d/14Bd19lYaqBhU8_DElYkX7l4wRkHqqCUFNJY4AfY3kHU/edit?usp=sharing  #gid=0"",""фіз особи new!relations_name_uo""),7,FALSE)
,
)
))"),"#N/A")</f>
        <v>#N/A</v>
      </c>
      <c r="J1758" s="7" t="s">
        <v>17</v>
      </c>
    </row>
    <row r="1759" spans="1:10" ht="13.2">
      <c r="A1759" s="7">
        <v>1758</v>
      </c>
      <c r="B1759" s="7">
        <v>1</v>
      </c>
      <c r="C1759" s="7" t="s">
        <v>10</v>
      </c>
      <c r="D1759" s="7">
        <v>559</v>
      </c>
      <c r="E1759" s="7" t="s">
        <v>12</v>
      </c>
      <c r="F1759" s="8" t="str">
        <f ca="1">IFERROR(__xludf.DUMMYFUNCTION("IF
(
C1760=""фізична особа""
,
VLOOKUP(D1760,IMPORTRANGE(""https://docs.google.com/spreadsheets/d/14Bd19lYaqBhU8_DElYkX7l4wRkHqqCUFNJY4AfY3kHU/edit?usp=sharing  #gid=0"",""фіз особи new!relations_name""),6,FALSE)
,
(IF
(
C1760=""юридична особа""
,
VLOOKUP"&amp;"(D1760,IMPORTRANGE(""https://docs.google.com/spreadsheets/d/14Bd19lYaqBhU8_DElYkX7l4wRkHqqCUFNJY4AfY3kHU/edit?usp=sharing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59" s="7" t="s">
        <v>10</v>
      </c>
      <c r="H1759" s="7">
        <v>0</v>
      </c>
      <c r="I1759" s="8" t="str">
        <f ca="1">IFERROR(__xludf.DUMMYFUNCTION("IF
(
G1760=""фізична особа""
,
VLOOKUP(H1760,IMPORTRANGE(""https://docs.google.com/spreadsheets/d/14Bd19lYaqBhU8_DElYkX7l4wRkHqqCUFNJY4AfY3kHU/edit?usp=sharing  #gid=0"",""фіз особи new!relations_name""),6,FALSE)
,
(IF
(
G1760=""юридична особа""
,
VLOOKUP"&amp;"(H1760,IMPORTRANGE(""https://docs.google.com/spreadsheets/d/14Bd19lYaqBhU8_DElYkX7l4wRkHqqCUFNJY4AfY3kHU/edit?usp=sharing  #gid=0"",""фіз особи new!relations_name_uo""),7,FALSE)
,
)
))"),"#N/A")</f>
        <v>#N/A</v>
      </c>
      <c r="J1759" s="7" t="s">
        <v>13</v>
      </c>
    </row>
    <row r="1760" spans="1:10" ht="13.2">
      <c r="A1760" s="7">
        <v>1759</v>
      </c>
      <c r="B1760" s="7">
        <v>1</v>
      </c>
      <c r="C1760" s="7" t="s">
        <v>10</v>
      </c>
      <c r="D1760" s="7">
        <v>559</v>
      </c>
      <c r="E1760" s="7" t="s">
        <v>14</v>
      </c>
      <c r="F1760" s="8" t="str">
        <f ca="1">IFERROR(__xludf.DUMMYFUNCTION("IF
(
C1761=""фізична особа""
,
VLOOKUP(D1761,IMPORTRANGE(""https://docs.google.com/spreadsheets/d/14Bd19lYaqBhU8_DElYkX7l4wRkHqqCUFNJY4AfY3kHU/edit?usp=sharing  #gid=0"",""фіз особи new!relations_name""),6,FALSE)
,
(IF
(
C1761=""юридична особа""
,
VLOOKUP"&amp;"(D1761,IMPORTRANGE(""https://docs.google.com/spreadsheets/d/14Bd19lYaqBhU8_DElYkX7l4wRkHqqCUFNJY4AfY3kHU/edit?usp=sharing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0" s="7" t="s">
        <v>10</v>
      </c>
      <c r="H1760" s="7">
        <v>0</v>
      </c>
      <c r="I1760" s="8" t="str">
        <f ca="1">IFERROR(__xludf.DUMMYFUNCTION("IF
(
G1761=""фізична особа""
,
VLOOKUP(H1761,IMPORTRANGE(""https://docs.google.com/spreadsheets/d/14Bd19lYaqBhU8_DElYkX7l4wRkHqqCUFNJY4AfY3kHU/edit?usp=sharing  #gid=0"",""фіз особи new!relations_name""),6,FALSE)
,
(IF
(
G1761=""юридична особа""
,
VLOOKUP"&amp;"(H1761,IMPORTRANGE(""https://docs.google.com/spreadsheets/d/14Bd19lYaqBhU8_DElYkX7l4wRkHqqCUFNJY4AfY3kHU/edit?usp=sharing  #gid=0"",""фіз особи new!relations_name_uo""),7,FALSE)
,
)
))"),"#N/A")</f>
        <v>#N/A</v>
      </c>
      <c r="J1760" s="7" t="s">
        <v>15</v>
      </c>
    </row>
    <row r="1761" spans="1:10" ht="13.2">
      <c r="A1761" s="7">
        <v>1760</v>
      </c>
      <c r="B1761" s="7">
        <v>1</v>
      </c>
      <c r="C1761" s="7" t="s">
        <v>10</v>
      </c>
      <c r="D1761" s="7">
        <v>559</v>
      </c>
      <c r="E1761" s="7" t="s">
        <v>20</v>
      </c>
      <c r="F1761" s="8" t="str">
        <f ca="1">IFERROR(__xludf.DUMMYFUNCTION("IF
(
C1762=""фізична особа""
,
VLOOKUP(D1762,IMPORTRANGE(""https://docs.google.com/spreadsheets/d/14Bd19lYaqBhU8_DElYkX7l4wRkHqqCUFNJY4AfY3kHU/edit?usp=sharing  #gid=0"",""фіз особи new!relations_name""),6,FALSE)
,
(IF
(
C1762=""юридична особа""
,
VLOOKUP"&amp;"(D1762,IMPORTRANGE(""https://docs.google.com/spreadsheets/d/14Bd19lYaqBhU8_DElYkX7l4wRkHqqCUFNJY4AfY3kHU/edit?usp=sharing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1" s="7" t="s">
        <v>10</v>
      </c>
      <c r="H1761" s="7">
        <v>966</v>
      </c>
      <c r="I1761" s="8" t="str">
        <f ca="1">IFERROR(__xludf.DUMMYFUNCTION("IF
(
G1762=""фізична особа""
,
VLOOKUP(H1762,IMPORTRANGE(""https://docs.google.com/spreadsheets/d/14Bd19lYaqBhU8_DElYkX7l4wRkHqqCUFNJY4AfY3kHU/edit?usp=sharing  #gid=0"",""фіз особи new!relations_name""),6,FALSE)
,
(IF
(
G1762=""юридична особа""
,
VLOOKUP"&amp;"(H1762,IMPORTRANGE(""https://docs.google.com/spreadsheets/d/14Bd19lYaqBhU8_DElYkX7l4wRkHqqCUFNJY4AfY3kHU/edit?usp=sharing  #gid=0"",""фіз особи new!relations_name_uo""),7,FALSE)
,
)
))"),"ЄЗУБОВ Олексій Петрович")</f>
        <v>ЄЗУБОВ Олексій Петрович</v>
      </c>
      <c r="J1761" s="7" t="s">
        <v>19</v>
      </c>
    </row>
    <row r="1762" spans="1:10" ht="13.2">
      <c r="A1762" s="7">
        <v>1761</v>
      </c>
      <c r="B1762" s="7">
        <v>1</v>
      </c>
      <c r="C1762" s="7" t="s">
        <v>10</v>
      </c>
      <c r="D1762" s="7">
        <v>559</v>
      </c>
      <c r="E1762" s="7" t="s">
        <v>44</v>
      </c>
      <c r="F1762" s="8" t="str">
        <f ca="1">IFERROR(__xludf.DUMMYFUNCTION("IF
(
C1763=""фізична особа""
,
VLOOKUP(D1763,IMPORTRANGE(""https://docs.google.com/spreadsheets/d/14Bd19lYaqBhU8_DElYkX7l4wRkHqqCUFNJY4AfY3kHU/edit?usp=sharing  #gid=0"",""фіз особи new!relations_name""),6,FALSE)
,
(IF
(
C1763=""юридична особа""
,
VLOOKUP"&amp;"(D1763,IMPORTRANGE(""https://docs.google.com/spreadsheets/d/14Bd19lYaqBhU8_DElYkX7l4wRkHqqCUFNJY4AfY3kHU/edit?usp=sharing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2" s="7" t="s">
        <v>10</v>
      </c>
      <c r="H1762" s="7">
        <v>4512</v>
      </c>
      <c r="I1762" s="8" t="str">
        <f ca="1">IFERROR(__xludf.DUMMYFUNCTION("IF
(
G1763=""фізична особа""
,
VLOOKUP(H1763,IMPORTRANGE(""https://docs.google.com/spreadsheets/d/14Bd19lYaqBhU8_DElYkX7l4wRkHqqCUFNJY4AfY3kHU/edit?usp=sharing  #gid=0"",""фіз особи new!relations_name""),6,FALSE)
,
(IF
(
G1763=""юридична особа""
,
VLOOKUP"&amp;"(H1763,IMPORTRANGE(""https://docs.google.com/spreadsheets/d/14Bd19lYaqBhU8_DElYkX7l4wRkHqqCUFNJY4AfY3kHU/edit?usp=sharing  #gid=0"",""фіз особи new!relations_name_uo""),7,FALSE)
,
)
))"),"ЄЗУБОВ Павло Олексійович")</f>
        <v>ЄЗУБОВ Павло Олексійович</v>
      </c>
      <c r="J1762" s="7" t="s">
        <v>44</v>
      </c>
    </row>
    <row r="1763" spans="1:10" ht="13.2">
      <c r="A1763" s="7">
        <v>1762</v>
      </c>
      <c r="B1763" s="7">
        <v>1</v>
      </c>
      <c r="C1763" s="7" t="s">
        <v>10</v>
      </c>
      <c r="D1763" s="7">
        <v>559</v>
      </c>
      <c r="E1763" s="7" t="s">
        <v>11</v>
      </c>
      <c r="F1763" s="8" t="str">
        <f ca="1">IFERROR(__xludf.DUMMYFUNCTION("IF
(
C1764=""фізична особа""
,
VLOOKUP(D1764,IMPORTRANGE(""https://docs.google.com/spreadsheets/d/14Bd19lYaqBhU8_DElYkX7l4wRkHqqCUFNJY4AfY3kHU/edit?usp=sharing  #gid=0"",""фіз особи new!relations_name""),6,FALSE)
,
(IF
(
C1764=""юридична особа""
,
VLOOKUP"&amp;"(D1764,IMPORTRANGE(""https://docs.google.com/spreadsheets/d/14Bd19lYaqBhU8_DElYkX7l4wRkHqqCUFNJY4AfY3kHU/edit?usp=sharing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3" s="7" t="s">
        <v>10</v>
      </c>
      <c r="H1763" s="7">
        <v>0</v>
      </c>
      <c r="I1763" s="8" t="str">
        <f ca="1">IFERROR(__xludf.DUMMYFUNCTION("IF
(
G1764=""фізична особа""
,
VLOOKUP(H1764,IMPORTRANGE(""https://docs.google.com/spreadsheets/d/14Bd19lYaqBhU8_DElYkX7l4wRkHqqCUFNJY4AfY3kHU/edit?usp=sharing  #gid=0"",""фіз особи new!relations_name""),6,FALSE)
,
(IF
(
G1764=""юридична особа""
,
VLOOKUP"&amp;"(H1764,IMPORTRANGE(""https://docs.google.com/spreadsheets/d/14Bd19lYaqBhU8_DElYkX7l4wRkHqqCUFNJY4AfY3kHU/edit?usp=sharing  #gid=0"",""фіз особи new!relations_name_uo""),7,FALSE)
,
)
))"),"#N/A")</f>
        <v>#N/A</v>
      </c>
      <c r="J1763" s="7" t="s">
        <v>11</v>
      </c>
    </row>
    <row r="1764" spans="1:10" ht="13.2">
      <c r="A1764" s="7">
        <v>1763</v>
      </c>
      <c r="B1764" s="7">
        <v>1</v>
      </c>
      <c r="C1764" s="7" t="s">
        <v>10</v>
      </c>
      <c r="D1764" s="7">
        <v>559</v>
      </c>
      <c r="E1764" s="7" t="s">
        <v>16</v>
      </c>
      <c r="F1764" s="8" t="str">
        <f ca="1">IFERROR(__xludf.DUMMYFUNCTION("IF
(
C1765=""фізична особа""
,
VLOOKUP(D1765,IMPORTRANGE(""https://docs.google.com/spreadsheets/d/14Bd19lYaqBhU8_DElYkX7l4wRkHqqCUFNJY4AfY3kHU/edit?usp=sharing  #gid=0"",""фіз особи new!relations_name""),6,FALSE)
,
(IF
(
C1765=""юридична особа""
,
VLOOKUP"&amp;"(D1765,IMPORTRANGE(""https://docs.google.com/spreadsheets/d/14Bd19lYaqBhU8_DElYkX7l4wRkHqqCUFNJY4AfY3kHU/edit?usp=sharing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4" s="7" t="s">
        <v>10</v>
      </c>
      <c r="H1764" s="7">
        <v>718</v>
      </c>
      <c r="I1764" s="8" t="str">
        <f ca="1">IFERROR(__xludf.DUMMYFUNCTION("IF
(
G1765=""фізична особа""
,
VLOOKUP(H1765,IMPORTRANGE(""https://docs.google.com/spreadsheets/d/14Bd19lYaqBhU8_DElYkX7l4wRkHqqCUFNJY4AfY3kHU/edit?usp=sharing  #gid=0"",""фіз особи new!relations_name""),6,FALSE)
,
(IF
(
G1765=""юридична особа""
,
VLOOKUP"&amp;"(H1765,IMPORTRANGE(""https://docs.google.com/spreadsheets/d/14Bd19lYaqBhU8_DElYkX7l4wRkHqqCUFNJY4AfY3kHU/edit?usp=sharing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1764" s="7" t="s">
        <v>16</v>
      </c>
    </row>
    <row r="1765" spans="1:10" ht="13.2">
      <c r="A1765" s="7">
        <v>1764</v>
      </c>
      <c r="B1765" s="7">
        <v>1</v>
      </c>
      <c r="C1765" s="7" t="s">
        <v>10</v>
      </c>
      <c r="D1765" s="7">
        <v>559</v>
      </c>
      <c r="E1765" s="7" t="s">
        <v>11</v>
      </c>
      <c r="F1765" s="8" t="str">
        <f ca="1">IFERROR(__xludf.DUMMYFUNCTION("IF
(
C1766=""фізична особа""
,
VLOOKUP(D1766,IMPORTRANGE(""https://docs.google.com/spreadsheets/d/14Bd19lYaqBhU8_DElYkX7l4wRkHqqCUFNJY4AfY3kHU/edit?usp=sharing  #gid=0"",""фіз особи new!relations_name""),6,FALSE)
,
(IF
(
C1766=""юридична особа""
,
VLOOKUP"&amp;"(D1766,IMPORTRANGE(""https://docs.google.com/spreadsheets/d/14Bd19lYaqBhU8_DElYkX7l4wRkHqqCUFNJY4AfY3kHU/edit?usp=sharing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5" s="7" t="s">
        <v>10</v>
      </c>
      <c r="H1765" s="7">
        <v>23409</v>
      </c>
      <c r="I1765" s="8" t="str">
        <f ca="1">IFERROR(__xludf.DUMMYFUNCTION("IF
(
G1766=""фізична особа""
,
VLOOKUP(H1766,IMPORTRANGE(""https://docs.google.com/spreadsheets/d/14Bd19lYaqBhU8_DElYkX7l4wRkHqqCUFNJY4AfY3kHU/edit?usp=sharing  #gid=0"",""фіз особи new!relations_name""),6,FALSE)
,
(IF
(
G1766=""юридична особа""
,
VLOOKUP"&amp;"(H1766,IMPORTRANGE(""https://docs.google.com/spreadsheets/d/14Bd19lYaqBhU8_DElYkX7l4wRkHqqCUFNJY4AfY3kHU/edit?usp=sharing  #gid=0"",""фіз особи new!relations_name_uo""),7,FALSE)
,
)
))"),"ПРИХОДЬКО Сергій Едуардович")</f>
        <v>ПРИХОДЬКО Сергій Едуардович</v>
      </c>
      <c r="J1765" s="7" t="s">
        <v>11</v>
      </c>
    </row>
    <row r="1766" spans="1:10" ht="13.2">
      <c r="A1766" s="7">
        <v>1765</v>
      </c>
      <c r="B1766" s="7">
        <v>1</v>
      </c>
      <c r="C1766" s="7" t="s">
        <v>10</v>
      </c>
      <c r="D1766" s="7">
        <v>559</v>
      </c>
      <c r="E1766" s="7" t="s">
        <v>11</v>
      </c>
      <c r="F1766" s="8" t="str">
        <f ca="1">IFERROR(__xludf.DUMMYFUNCTION("IF
(
C1767=""фізична особа""
,
VLOOKUP(D1767,IMPORTRANGE(""https://docs.google.com/spreadsheets/d/14Bd19lYaqBhU8_DElYkX7l4wRkHqqCUFNJY4AfY3kHU/edit?usp=sharing  #gid=0"",""фіз особи new!relations_name""),6,FALSE)
,
(IF
(
C1767=""юридична особа""
,
VLOOKUP"&amp;"(D1767,IMPORTRANGE(""https://docs.google.com/spreadsheets/d/14Bd19lYaqBhU8_DElYkX7l4wRkHqqCUFNJY4AfY3kHU/edit?usp=sharing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6" s="7" t="s">
        <v>10</v>
      </c>
      <c r="H1766" s="7">
        <v>488</v>
      </c>
      <c r="I1766" s="8" t="str">
        <f ca="1">IFERROR(__xludf.DUMMYFUNCTION("IF
(
G1767=""фізична особа""
,
VLOOKUP(H1767,IMPORTRANGE(""https://docs.google.com/spreadsheets/d/14Bd19lYaqBhU8_DElYkX7l4wRkHqqCUFNJY4AfY3kHU/edit?usp=sharing  #gid=0"",""фіз особи new!relations_name""),6,FALSE)
,
(IF
(
G1767=""юридична особа""
,
VLOOKUP"&amp;"(H1767,IMPORTRANGE(""https://docs.google.com/spreadsheets/d/14Bd19lYaqBhU8_DElYkX7l4wRkHqqCUFNJY4AfY3kHU/edit?usp=sharing  #gid=0"",""фіз особи new!relations_name_uo""),7,FALSE)
,
)
))"),"НАЗАРОВА Наталія Василівна")</f>
        <v>НАЗАРОВА Наталія Василівна</v>
      </c>
      <c r="J1766" s="7" t="s">
        <v>11</v>
      </c>
    </row>
    <row r="1767" spans="1:10" ht="13.2">
      <c r="A1767" s="7">
        <v>1766</v>
      </c>
      <c r="B1767" s="7">
        <v>1</v>
      </c>
      <c r="C1767" s="7" t="s">
        <v>10</v>
      </c>
      <c r="D1767" s="7">
        <v>559</v>
      </c>
      <c r="E1767" s="7" t="s">
        <v>11</v>
      </c>
      <c r="F1767" s="8" t="str">
        <f ca="1">IFERROR(__xludf.DUMMYFUNCTION("IF
(
C1768=""фізична особа""
,
VLOOKUP(D1768,IMPORTRANGE(""https://docs.google.com/spreadsheets/d/14Bd19lYaqBhU8_DElYkX7l4wRkHqqCUFNJY4AfY3kHU/edit?usp=sharing  #gid=0"",""фіз особи new!relations_name""),6,FALSE)
,
(IF
(
C1768=""юридична особа""
,
VLOOKUP"&amp;"(D1768,IMPORTRANGE(""https://docs.google.com/spreadsheets/d/14Bd19lYaqBhU8_DElYkX7l4wRkHqqCUFNJY4AfY3kHU/edit?usp=sharing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7" s="7" t="s">
        <v>10</v>
      </c>
      <c r="H1767" s="7">
        <v>257</v>
      </c>
      <c r="I1767" s="8" t="str">
        <f ca="1">IFERROR(__xludf.DUMMYFUNCTION("IF
(
G1768=""фізична особа""
,
VLOOKUP(H1768,IMPORTRANGE(""https://docs.google.com/spreadsheets/d/14Bd19lYaqBhU8_DElYkX7l4wRkHqqCUFNJY4AfY3kHU/edit?usp=sharing  #gid=0"",""фіз особи new!relations_name""),6,FALSE)
,
(IF
(
G1768=""юридична особа""
,
VLOOKUP"&amp;"(H1768,IMPORTRANGE(""https://docs.google.com/spreadsheets/d/14Bd19lYaqBhU8_DElYkX7l4wRkHqqCUFNJY4AfY3kHU/edit?usp=sharing  #gid=0"",""фіз особи new!relations_name_uo""),7,FALSE)
,
)
))"),"ГРОМОВ Олексій Олексійович")</f>
        <v>ГРОМОВ Олексій Олексійович</v>
      </c>
      <c r="J1767" s="7" t="s">
        <v>11</v>
      </c>
    </row>
    <row r="1768" spans="1:10" ht="13.2">
      <c r="A1768" s="7">
        <v>1767</v>
      </c>
      <c r="B1768" s="7">
        <v>1</v>
      </c>
      <c r="C1768" s="7" t="s">
        <v>10</v>
      </c>
      <c r="D1768" s="7">
        <v>559</v>
      </c>
      <c r="E1768" s="7" t="s">
        <v>11</v>
      </c>
      <c r="F1768" s="8" t="str">
        <f ca="1">IFERROR(__xludf.DUMMYFUNCTION("IF
(
C1769=""фізична особа""
,
VLOOKUP(D1769,IMPORTRANGE(""https://docs.google.com/spreadsheets/d/14Bd19lYaqBhU8_DElYkX7l4wRkHqqCUFNJY4AfY3kHU/edit?usp=sharing  #gid=0"",""фіз особи new!relations_name""),6,FALSE)
,
(IF
(
C1769=""юридична особа""
,
VLOOKUP"&amp;"(D1769,IMPORTRANGE(""https://docs.google.com/spreadsheets/d/14Bd19lYaqBhU8_DElYkX7l4wRkHqqCUFNJY4AfY3kHU/edit?usp=sharing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8" s="7" t="s">
        <v>10</v>
      </c>
      <c r="H1768" s="7">
        <v>23377</v>
      </c>
      <c r="I1768" s="8" t="str">
        <f ca="1">IFERROR(__xludf.DUMMYFUNCTION("IF
(
G1769=""фізична особа""
,
VLOOKUP(H1769,IMPORTRANGE(""https://docs.google.com/spreadsheets/d/14Bd19lYaqBhU8_DElYkX7l4wRkHqqCUFNJY4AfY3kHU/edit?usp=sharing  #gid=0"",""фіз особи new!relations_name""),6,FALSE)
,
(IF
(
G1769=""юридична особа""
,
VLOOKUP"&amp;"(H1769,IMPORTRANGE(""https://docs.google.com/spreadsheets/d/14Bd19lYaqBhU8_DElYkX7l4wRkHqqCUFNJY4AfY3kHU/edit?usp=sharing  #gid=0"",""фіз особи new!relations_name_uo""),7,FALSE)
,
)
))"),"ГРОМОВА Ганна Віталіївна")</f>
        <v>ГРОМОВА Ганна Віталіївна</v>
      </c>
      <c r="J1768" s="7" t="s">
        <v>11</v>
      </c>
    </row>
    <row r="1769" spans="1:10" ht="13.2">
      <c r="A1769" s="7">
        <v>1768</v>
      </c>
      <c r="B1769" s="7">
        <v>1</v>
      </c>
      <c r="C1769" s="7" t="s">
        <v>10</v>
      </c>
      <c r="D1769" s="7">
        <v>559</v>
      </c>
      <c r="E1769" s="7" t="s">
        <v>11</v>
      </c>
      <c r="F1769" s="8" t="str">
        <f ca="1">IFERROR(__xludf.DUMMYFUNCTION("IF
(
C1770=""фізична особа""
,
VLOOKUP(D1770,IMPORTRANGE(""https://docs.google.com/spreadsheets/d/14Bd19lYaqBhU8_DElYkX7l4wRkHqqCUFNJY4AfY3kHU/edit?usp=sharing  #gid=0"",""фіз особи new!relations_name""),6,FALSE)
,
(IF
(
C1770=""юридична особа""
,
VLOOKUP"&amp;"(D1770,IMPORTRANGE(""https://docs.google.com/spreadsheets/d/14Bd19lYaqBhU8_DElYkX7l4wRkHqqCUFNJY4AfY3kHU/edit?usp=sharing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G1769" s="7" t="s">
        <v>10</v>
      </c>
      <c r="H1769" s="7">
        <v>0</v>
      </c>
      <c r="I1769" s="8" t="str">
        <f ca="1">IFERROR(__xludf.DUMMYFUNCTION("IF
(
G1770=""фізична особа""
,
VLOOKUP(H1770,IMPORTRANGE(""https://docs.google.com/spreadsheets/d/14Bd19lYaqBhU8_DElYkX7l4wRkHqqCUFNJY4AfY3kHU/edit?usp=sharing  #gid=0"",""фіз особи new!relations_name""),6,FALSE)
,
(IF
(
G1770=""юридична особа""
,
VLOOKUP"&amp;"(H1770,IMPORTRANGE(""https://docs.google.com/spreadsheets/d/14Bd19lYaqBhU8_DElYkX7l4wRkHqqCUFNJY4AfY3kHU/edit?usp=sharing  #gid=0"",""фіз особи new!relations_name_uo""),7,FALSE)
,
)
))"),"#N/A")</f>
        <v>#N/A</v>
      </c>
      <c r="J1769" s="7" t="s">
        <v>11</v>
      </c>
    </row>
    <row r="1770" spans="1:10" ht="13.2">
      <c r="A1770" s="7">
        <v>1769</v>
      </c>
      <c r="B1770" s="7">
        <v>1</v>
      </c>
      <c r="C1770" s="7" t="s">
        <v>10</v>
      </c>
      <c r="D1770" s="7">
        <v>560</v>
      </c>
      <c r="E1770" s="7" t="s">
        <v>18</v>
      </c>
      <c r="F1770" s="8" t="str">
        <f ca="1">IFERROR(__xludf.DUMMYFUNCTION("IF
(
C1771=""фізична особа""
,
VLOOKUP(D1771,IMPORTRANGE(""https://docs.google.com/spreadsheets/d/14Bd19lYaqBhU8_DElYkX7l4wRkHqqCUFNJY4AfY3kHU/edit?usp=sharing  #gid=0"",""фіз особи new!relations_name""),6,FALSE)
,
(IF
(
C1771=""юридична особа""
,
VLOOKUP"&amp;"(D1771,IMPORTRANGE(""https://docs.google.com/spreadsheets/d/14Bd19lYaqBhU8_DElYkX7l4wRkHqqCUFNJY4AfY3kHU/edit?usp=sharing  #gid=0"",""фіз особи new!relations_name_uo""),7,FALSE)
,
)
))"),"ГАРІН Олег Володимирович")</f>
        <v>ГАРІН Олег Володимирович</v>
      </c>
      <c r="G1770" s="7" t="s">
        <v>10</v>
      </c>
      <c r="H1770" s="7">
        <v>0</v>
      </c>
      <c r="I1770" s="8" t="str">
        <f ca="1">IFERROR(__xludf.DUMMYFUNCTION("IF
(
G1771=""фізична особа""
,
VLOOKUP(H1771,IMPORTRANGE(""https://docs.google.com/spreadsheets/d/14Bd19lYaqBhU8_DElYkX7l4wRkHqqCUFNJY4AfY3kHU/edit?usp=sharing  #gid=0"",""фіз особи new!relations_name""),6,FALSE)
,
(IF
(
G1771=""юридична особа""
,
VLOOKUP"&amp;"(H1771,IMPORTRANGE(""https://docs.google.com/spreadsheets/d/14Bd19lYaqBhU8_DElYkX7l4wRkHqqCUFNJY4AfY3kHU/edit?usp=sharing  #gid=0"",""фіз особи new!relations_name_uo""),7,FALSE)
,
)
))"),"#N/A")</f>
        <v>#N/A</v>
      </c>
      <c r="J1770" s="7" t="s">
        <v>18</v>
      </c>
    </row>
    <row r="1771" spans="1:10" ht="13.2">
      <c r="A1771" s="7">
        <v>1770</v>
      </c>
      <c r="B1771" s="7">
        <v>1</v>
      </c>
      <c r="C1771" s="7" t="s">
        <v>10</v>
      </c>
      <c r="D1771" s="7">
        <v>561</v>
      </c>
      <c r="E1771" s="7" t="s">
        <v>11</v>
      </c>
      <c r="F1771" s="8" t="str">
        <f ca="1">IFERROR(__xludf.DUMMYFUNCTION("IF
(
C1772=""фізична особа""
,
VLOOKUP(D1772,IMPORTRANGE(""https://docs.google.com/spreadsheets/d/14Bd19lYaqBhU8_DElYkX7l4wRkHqqCUFNJY4AfY3kHU/edit?usp=sharing  #gid=0"",""фіз особи new!relations_name""),6,FALSE)
,
(IF
(
C1772=""юридична особа""
,
VLOOKUP"&amp;"(D1772,IMPORTRANGE(""https://docs.google.com/spreadsheets/d/14Bd19lYaqBhU8_DElYkX7l4wRkHqqCUFNJY4AfY3kHU/edit?usp=sharing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G1771" s="7" t="s">
        <v>10</v>
      </c>
      <c r="H1771" s="7">
        <v>0</v>
      </c>
      <c r="I1771" s="8" t="str">
        <f ca="1">IFERROR(__xludf.DUMMYFUNCTION("IF
(
G1772=""фізична особа""
,
VLOOKUP(H1772,IMPORTRANGE(""https://docs.google.com/spreadsheets/d/14Bd19lYaqBhU8_DElYkX7l4wRkHqqCUFNJY4AfY3kHU/edit?usp=sharing  #gid=0"",""фіз особи new!relations_name""),6,FALSE)
,
(IF
(
G1772=""юридична особа""
,
VLOOKUP"&amp;"(H1772,IMPORTRANGE(""https://docs.google.com/spreadsheets/d/14Bd19lYaqBhU8_DElYkX7l4wRkHqqCUFNJY4AfY3kHU/edit?usp=sharing  #gid=0"",""фіз особи new!relations_name_uo""),7,FALSE)
,
)
))"),"#N/A")</f>
        <v>#N/A</v>
      </c>
      <c r="J1771" s="7" t="s">
        <v>11</v>
      </c>
    </row>
    <row r="1772" spans="1:10" ht="13.2">
      <c r="A1772" s="7">
        <v>1771</v>
      </c>
      <c r="B1772" s="7">
        <v>1</v>
      </c>
      <c r="C1772" s="7" t="s">
        <v>10</v>
      </c>
      <c r="D1772" s="7">
        <v>561</v>
      </c>
      <c r="E1772" s="7" t="s">
        <v>11</v>
      </c>
      <c r="F1772" s="8" t="str">
        <f ca="1">IFERROR(__xludf.DUMMYFUNCTION("IF
(
C1773=""фізична особа""
,
VLOOKUP(D1773,IMPORTRANGE(""https://docs.google.com/spreadsheets/d/14Bd19lYaqBhU8_DElYkX7l4wRkHqqCUFNJY4AfY3kHU/edit?usp=sharing  #gid=0"",""фіз особи new!relations_name""),6,FALSE)
,
(IF
(
C1773=""юридична особа""
,
VLOOKUP"&amp;"(D1773,IMPORTRANGE(""https://docs.google.com/spreadsheets/d/14Bd19lYaqBhU8_DElYkX7l4wRkHqqCUFNJY4AfY3kHU/edit?usp=sharing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G1772" s="7" t="s">
        <v>10</v>
      </c>
      <c r="H1772" s="7">
        <v>0</v>
      </c>
      <c r="I1772" s="8" t="str">
        <f ca="1">IFERROR(__xludf.DUMMYFUNCTION("IF
(
G1773=""фізична особа""
,
VLOOKUP(H1773,IMPORTRANGE(""https://docs.google.com/spreadsheets/d/14Bd19lYaqBhU8_DElYkX7l4wRkHqqCUFNJY4AfY3kHU/edit?usp=sharing  #gid=0"",""фіз особи new!relations_name""),6,FALSE)
,
(IF
(
G1773=""юридична особа""
,
VLOOKUP"&amp;"(H1773,IMPORTRANGE(""https://docs.google.com/spreadsheets/d/14Bd19lYaqBhU8_DElYkX7l4wRkHqqCUFNJY4AfY3kHU/edit?usp=sharing  #gid=0"",""фіз особи new!relations_name_uo""),7,FALSE)
,
)
))"),"#N/A")</f>
        <v>#N/A</v>
      </c>
      <c r="J1772" s="7" t="s">
        <v>11</v>
      </c>
    </row>
    <row r="1773" spans="1:10" ht="13.2">
      <c r="A1773" s="7">
        <v>1772</v>
      </c>
      <c r="B1773" s="7">
        <v>1</v>
      </c>
      <c r="C1773" s="7" t="s">
        <v>10</v>
      </c>
      <c r="D1773" s="7">
        <v>561</v>
      </c>
      <c r="E1773" s="7" t="s">
        <v>11</v>
      </c>
      <c r="F1773" s="8" t="str">
        <f ca="1">IFERROR(__xludf.DUMMYFUNCTION("IF
(
C1774=""фізична особа""
,
VLOOKUP(D1774,IMPORTRANGE(""https://docs.google.com/spreadsheets/d/14Bd19lYaqBhU8_DElYkX7l4wRkHqqCUFNJY4AfY3kHU/edit?usp=sharing  #gid=0"",""фіз особи new!relations_name""),6,FALSE)
,
(IF
(
C1774=""юридична особа""
,
VLOOKUP"&amp;"(D1774,IMPORTRANGE(""https://docs.google.com/spreadsheets/d/14Bd19lYaqBhU8_DElYkX7l4wRkHqqCUFNJY4AfY3kHU/edit?usp=sharing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G1773" s="7" t="s">
        <v>10</v>
      </c>
      <c r="H1773" s="7">
        <v>0</v>
      </c>
      <c r="I1773" s="8" t="str">
        <f ca="1">IFERROR(__xludf.DUMMYFUNCTION("IF
(
G1774=""фізична особа""
,
VLOOKUP(H1774,IMPORTRANGE(""https://docs.google.com/spreadsheets/d/14Bd19lYaqBhU8_DElYkX7l4wRkHqqCUFNJY4AfY3kHU/edit?usp=sharing  #gid=0"",""фіз особи new!relations_name""),6,FALSE)
,
(IF
(
G1774=""юридична особа""
,
VLOOKUP"&amp;"(H1774,IMPORTRANGE(""https://docs.google.com/spreadsheets/d/14Bd19lYaqBhU8_DElYkX7l4wRkHqqCUFNJY4AfY3kHU/edit?usp=sharing  #gid=0"",""фіз особи new!relations_name_uo""),7,FALSE)
,
)
))"),"#N/A")</f>
        <v>#N/A</v>
      </c>
      <c r="J1773" s="7" t="s">
        <v>11</v>
      </c>
    </row>
    <row r="1774" spans="1:10" ht="13.2">
      <c r="A1774" s="7">
        <v>1773</v>
      </c>
      <c r="B1774" s="7">
        <v>1</v>
      </c>
      <c r="C1774" s="7" t="s">
        <v>10</v>
      </c>
      <c r="D1774" s="7">
        <v>561</v>
      </c>
      <c r="E1774" s="7" t="s">
        <v>11</v>
      </c>
      <c r="F1774" s="8" t="str">
        <f ca="1">IFERROR(__xludf.DUMMYFUNCTION("IF
(
C1775=""фізична особа""
,
VLOOKUP(D1775,IMPORTRANGE(""https://docs.google.com/spreadsheets/d/14Bd19lYaqBhU8_DElYkX7l4wRkHqqCUFNJY4AfY3kHU/edit?usp=sharing  #gid=0"",""фіз особи new!relations_name""),6,FALSE)
,
(IF
(
C1775=""юридична особа""
,
VLOOKUP"&amp;"(D1775,IMPORTRANGE(""https://docs.google.com/spreadsheets/d/14Bd19lYaqBhU8_DElYkX7l4wRkHqqCUFNJY4AfY3kHU/edit?usp=sharing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G1774" s="7" t="s">
        <v>10</v>
      </c>
      <c r="H1774" s="7">
        <v>620</v>
      </c>
      <c r="I1774" s="8" t="str">
        <f ca="1">IFERROR(__xludf.DUMMYFUNCTION("IF
(
G1775=""фізична особа""
,
VLOOKUP(H1775,IMPORTRANGE(""https://docs.google.com/spreadsheets/d/14Bd19lYaqBhU8_DElYkX7l4wRkHqqCUFNJY4AfY3kHU/edit?usp=sharing  #gid=0"",""фіз особи new!relations_name""),6,FALSE)
,
(IF
(
G1775=""юридична особа""
,
VLOOKUP"&amp;"(H1775,IMPORTRANGE(""https://docs.google.com/spreadsheets/d/14Bd19lYaqBhU8_DElYkX7l4wRkHqqCUFNJY4AfY3kHU/edit?usp=sharing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1774" s="7" t="s">
        <v>11</v>
      </c>
    </row>
    <row r="1775" spans="1:10" ht="13.2">
      <c r="A1775" s="7">
        <v>1774</v>
      </c>
      <c r="B1775" s="7">
        <v>1</v>
      </c>
      <c r="C1775" s="7" t="s">
        <v>10</v>
      </c>
      <c r="D1775" s="7">
        <v>561</v>
      </c>
      <c r="E1775" s="7" t="s">
        <v>11</v>
      </c>
      <c r="F1775" s="8" t="str">
        <f ca="1">IFERROR(__xludf.DUMMYFUNCTION("IF
(
C1776=""фізична особа""
,
VLOOKUP(D1776,IMPORTRANGE(""https://docs.google.com/spreadsheets/d/14Bd19lYaqBhU8_DElYkX7l4wRkHqqCUFNJY4AfY3kHU/edit?usp=sharing  #gid=0"",""фіз особи new!relations_name""),6,FALSE)
,
(IF
(
C1776=""юридична особа""
,
VLOOKUP"&amp;"(D1776,IMPORTRANGE(""https://docs.google.com/spreadsheets/d/14Bd19lYaqBhU8_DElYkX7l4wRkHqqCUFNJY4AfY3kHU/edit?usp=sharing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G1775" s="7" t="s">
        <v>10</v>
      </c>
      <c r="H1775" s="7">
        <v>0</v>
      </c>
      <c r="I1775" s="8" t="str">
        <f ca="1">IFERROR(__xludf.DUMMYFUNCTION("IF
(
G1776=""фізична особа""
,
VLOOKUP(H1776,IMPORTRANGE(""https://docs.google.com/spreadsheets/d/14Bd19lYaqBhU8_DElYkX7l4wRkHqqCUFNJY4AfY3kHU/edit?usp=sharing  #gid=0"",""фіз особи new!relations_name""),6,FALSE)
,
(IF
(
G1776=""юридична особа""
,
VLOOKUP"&amp;"(H1776,IMPORTRANGE(""https://docs.google.com/spreadsheets/d/14Bd19lYaqBhU8_DElYkX7l4wRkHqqCUFNJY4AfY3kHU/edit?usp=sharing  #gid=0"",""фіз особи new!relations_name_uo""),7,FALSE)
,
)
))"),"#N/A")</f>
        <v>#N/A</v>
      </c>
      <c r="J1775" s="7" t="s">
        <v>11</v>
      </c>
    </row>
    <row r="1776" spans="1:10" ht="13.2">
      <c r="A1776" s="7">
        <v>1775</v>
      </c>
      <c r="B1776" s="7">
        <v>1</v>
      </c>
      <c r="C1776" s="7" t="s">
        <v>10</v>
      </c>
      <c r="D1776" s="7">
        <v>562</v>
      </c>
      <c r="E1776" s="7" t="s">
        <v>14</v>
      </c>
      <c r="F1776" s="8" t="str">
        <f ca="1">IFERROR(__xludf.DUMMYFUNCTION("IF
(
C1777=""фізична особа""
,
VLOOKUP(D1777,IMPORTRANGE(""https://docs.google.com/spreadsheets/d/14Bd19lYaqBhU8_DElYkX7l4wRkHqqCUFNJY4AfY3kHU/edit?usp=sharing  #gid=0"",""фіз особи new!relations_name""),6,FALSE)
,
(IF
(
C1777=""юридична особа""
,
VLOOKUP"&amp;"(D1777,IMPORTRANGE(""https://docs.google.com/spreadsheets/d/14Bd19lYaqBhU8_DElYkX7l4wRkHqqCUFNJY4AfY3kHU/edit?usp=sharing  #gid=0"",""фіз особи new!relations_name_uo""),7,FALSE)
,
)
))"),"ЦЕПКІН Олег Володимирович")</f>
        <v>ЦЕПКІН Олег Володимирович</v>
      </c>
      <c r="G1776" s="7" t="s">
        <v>10</v>
      </c>
      <c r="H1776" s="7">
        <v>8629</v>
      </c>
      <c r="I1776" s="8" t="str">
        <f ca="1">IFERROR(__xludf.DUMMYFUNCTION("IF
(
G1777=""фізична особа""
,
VLOOKUP(H1777,IMPORTRANGE(""https://docs.google.com/spreadsheets/d/14Bd19lYaqBhU8_DElYkX7l4wRkHqqCUFNJY4AfY3kHU/edit?usp=sharing  #gid=0"",""фіз особи new!relations_name""),6,FALSE)
,
(IF
(
G1777=""юридична особа""
,
VLOOKUP"&amp;"(H1777,IMPORTRANGE(""https://docs.google.com/spreadsheets/d/14Bd19lYaqBhU8_DElYkX7l4wRkHqqCUFNJY4AfY3kHU/edit?usp=sharing  #gid=0"",""фіз особи new!relations_name_uo""),7,FALSE)
,
)
))"),"ЦЕПКІНА Тетяна")</f>
        <v>ЦЕПКІНА Тетяна</v>
      </c>
      <c r="J1776" s="7" t="s">
        <v>15</v>
      </c>
    </row>
    <row r="1777" spans="1:10" ht="13.2">
      <c r="A1777" s="7">
        <v>1776</v>
      </c>
      <c r="B1777" s="7">
        <v>1</v>
      </c>
      <c r="C1777" s="7" t="s">
        <v>10</v>
      </c>
      <c r="D1777" s="7">
        <v>562</v>
      </c>
      <c r="E1777" s="7" t="s">
        <v>12</v>
      </c>
      <c r="F1777" s="8" t="str">
        <f ca="1">IFERROR(__xludf.DUMMYFUNCTION("IF
(
C1778=""фізична особа""
,
VLOOKUP(D1778,IMPORTRANGE(""https://docs.google.com/spreadsheets/d/14Bd19lYaqBhU8_DElYkX7l4wRkHqqCUFNJY4AfY3kHU/edit?usp=sharing  #gid=0"",""фіз особи new!relations_name""),6,FALSE)
,
(IF
(
C1778=""юридична особа""
,
VLOOKUP"&amp;"(D1778,IMPORTRANGE(""https://docs.google.com/spreadsheets/d/14Bd19lYaqBhU8_DElYkX7l4wRkHqqCUFNJY4AfY3kHU/edit?usp=sharing  #gid=0"",""фіз особи new!relations_name_uo""),7,FALSE)
,
)
))"),"ЦЕПКІН Олег Володимирович")</f>
        <v>ЦЕПКІН Олег Володимирович</v>
      </c>
      <c r="G1777" s="7" t="s">
        <v>10</v>
      </c>
      <c r="H1777" s="7">
        <v>23420</v>
      </c>
      <c r="I1777" s="8" t="str">
        <f ca="1">IFERROR(__xludf.DUMMYFUNCTION("IF
(
G1778=""фізична особа""
,
VLOOKUP(H1778,IMPORTRANGE(""https://docs.google.com/spreadsheets/d/14Bd19lYaqBhU8_DElYkX7l4wRkHqqCUFNJY4AfY3kHU/edit?usp=sharing  #gid=0"",""фіз особи new!relations_name""),6,FALSE)
,
(IF
(
G1778=""юридична особа""
,
VLOOKUP"&amp;"(H1778,IMPORTRANGE(""https://docs.google.com/spreadsheets/d/14Bd19lYaqBhU8_DElYkX7l4wRkHqqCUFNJY4AfY3kHU/edit?usp=sharing  #gid=0"",""фіз особи new!relations_name_uo""),7,FALSE)
,
)
))"),"ЦЕПКІН Єгор Олегович")</f>
        <v>ЦЕПКІН Єгор Олегович</v>
      </c>
      <c r="J1777" s="7" t="s">
        <v>17</v>
      </c>
    </row>
    <row r="1778" spans="1:10" ht="13.2">
      <c r="A1778" s="7">
        <v>1777</v>
      </c>
      <c r="B1778" s="7">
        <v>1</v>
      </c>
      <c r="C1778" s="7" t="s">
        <v>10</v>
      </c>
      <c r="D1778" s="7">
        <v>562</v>
      </c>
      <c r="E1778" s="7" t="s">
        <v>12</v>
      </c>
      <c r="F1778" s="8" t="str">
        <f ca="1">IFERROR(__xludf.DUMMYFUNCTION("IF
(
C1779=""фізична особа""
,
VLOOKUP(D1779,IMPORTRANGE(""https://docs.google.com/spreadsheets/d/14Bd19lYaqBhU8_DElYkX7l4wRkHqqCUFNJY4AfY3kHU/edit?usp=sharing  #gid=0"",""фіз особи new!relations_name""),6,FALSE)
,
(IF
(
C1779=""юридична особа""
,
VLOOKUP"&amp;"(D1779,IMPORTRANGE(""https://docs.google.com/spreadsheets/d/14Bd19lYaqBhU8_DElYkX7l4wRkHqqCUFNJY4AfY3kHU/edit?usp=sharing  #gid=0"",""фіз особи new!relations_name_uo""),7,FALSE)
,
)
))"),"ЦЕПКІН Олег Володимирович")</f>
        <v>ЦЕПКІН Олег Володимирович</v>
      </c>
      <c r="G1778" s="7" t="s">
        <v>10</v>
      </c>
      <c r="H1778" s="7">
        <v>23421</v>
      </c>
      <c r="I1778" s="8" t="str">
        <f ca="1">IFERROR(__xludf.DUMMYFUNCTION("IF
(
G1779=""фізична особа""
,
VLOOKUP(H1779,IMPORTRANGE(""https://docs.google.com/spreadsheets/d/14Bd19lYaqBhU8_DElYkX7l4wRkHqqCUFNJY4AfY3kHU/edit?usp=sharing  #gid=0"",""фіз особи new!relations_name""),6,FALSE)
,
(IF
(
G1779=""юридична особа""
,
VLOOKUP"&amp;"(H1779,IMPORTRANGE(""https://docs.google.com/spreadsheets/d/14Bd19lYaqBhU8_DElYkX7l4wRkHqqCUFNJY4AfY3kHU/edit?usp=sharing  #gid=0"",""фіз особи new!relations_name_uo""),7,FALSE)
,
)
))"),"ЦЕПКІНА Олександра Олегівна")</f>
        <v>ЦЕПКІНА Олександра Олегівна</v>
      </c>
      <c r="J1778" s="7" t="s">
        <v>13</v>
      </c>
    </row>
    <row r="1779" spans="1:10" ht="13.2">
      <c r="A1779" s="7">
        <v>1778</v>
      </c>
      <c r="B1779" s="7">
        <v>1</v>
      </c>
      <c r="C1779" s="7" t="s">
        <v>10</v>
      </c>
      <c r="D1779" s="7">
        <v>563</v>
      </c>
      <c r="E1779" s="7" t="s">
        <v>28</v>
      </c>
      <c r="F1779" s="8" t="str">
        <f ca="1">IFERROR(__xludf.DUMMYFUNCTION("IF
(
C1780=""фізична особа""
,
VLOOKUP(D1780,IMPORTRANGE(""https://docs.google.com/spreadsheets/d/14Bd19lYaqBhU8_DElYkX7l4wRkHqqCUFNJY4AfY3kHU/edit?usp=sharing  #gid=0"",""фіз особи new!relations_name""),6,FALSE)
,
(IF
(
C1780=""юридична особа""
,
VLOOKUP"&amp;"(D1780,IMPORTRANGE(""https://docs.google.com/spreadsheets/d/14Bd19lYaqBhU8_DElYkX7l4wRkHqqCUFNJY4AfY3kHU/edit?usp=sharing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79" s="7" t="s">
        <v>10</v>
      </c>
      <c r="H1779" s="7">
        <v>4</v>
      </c>
      <c r="I1779" s="8" t="str">
        <f ca="1">IFERROR(__xludf.DUMMYFUNCTION("IF
(
G1780=""фізична особа""
,
VLOOKUP(H1780,IMPORTRANGE(""https://docs.google.com/spreadsheets/d/14Bd19lYaqBhU8_DElYkX7l4wRkHqqCUFNJY4AfY3kHU/edit?usp=sharing  #gid=0"",""фіз особи new!relations_name""),6,FALSE)
,
(IF
(
G1780=""юридична особа""
,
VLOOKUP"&amp;"(H1780,IMPORTRANGE(""https://docs.google.com/spreadsheets/d/14Bd19lYaqBhU8_DElYkX7l4wRkHqqCUFNJY4AfY3kHU/edit?usp=sharing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J1779" s="7" t="s">
        <v>29</v>
      </c>
    </row>
    <row r="1780" spans="1:10" ht="13.2">
      <c r="A1780" s="7">
        <v>1779</v>
      </c>
      <c r="B1780" s="7">
        <v>1</v>
      </c>
      <c r="C1780" s="7" t="s">
        <v>10</v>
      </c>
      <c r="D1780" s="7">
        <v>563</v>
      </c>
      <c r="E1780" s="7" t="s">
        <v>28</v>
      </c>
      <c r="F1780" s="8" t="str">
        <f ca="1">IFERROR(__xludf.DUMMYFUNCTION("IF
(
C1781=""фізична особа""
,
VLOOKUP(D1781,IMPORTRANGE(""https://docs.google.com/spreadsheets/d/14Bd19lYaqBhU8_DElYkX7l4wRkHqqCUFNJY4AfY3kHU/edit?usp=sharing  #gid=0"",""фіз особи new!relations_name""),6,FALSE)
,
(IF
(
C1781=""юридична особа""
,
VLOOKUP"&amp;"(D1781,IMPORTRANGE(""https://docs.google.com/spreadsheets/d/14Bd19lYaqBhU8_DElYkX7l4wRkHqqCUFNJY4AfY3kHU/edit?usp=sharing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0" s="7" t="s">
        <v>10</v>
      </c>
      <c r="H1780" s="7">
        <v>0</v>
      </c>
      <c r="I1780" s="8" t="str">
        <f ca="1">IFERROR(__xludf.DUMMYFUNCTION("IF
(
G1781=""фізична особа""
,
VLOOKUP(H1781,IMPORTRANGE(""https://docs.google.com/spreadsheets/d/14Bd19lYaqBhU8_DElYkX7l4wRkHqqCUFNJY4AfY3kHU/edit?usp=sharing  #gid=0"",""фіз особи new!relations_name""),6,FALSE)
,
(IF
(
G1781=""юридична особа""
,
VLOOKUP"&amp;"(H1781,IMPORTRANGE(""https://docs.google.com/spreadsheets/d/14Bd19lYaqBhU8_DElYkX7l4wRkHqqCUFNJY4AfY3kHU/edit?usp=sharing  #gid=0"",""фіз особи new!relations_name_uo""),7,FALSE)
,
)
))"),"#N/A")</f>
        <v>#N/A</v>
      </c>
      <c r="J1780" s="7" t="s">
        <v>29</v>
      </c>
    </row>
    <row r="1781" spans="1:10" ht="13.2">
      <c r="A1781" s="7">
        <v>1780</v>
      </c>
      <c r="B1781" s="7">
        <v>1</v>
      </c>
      <c r="C1781" s="7" t="s">
        <v>10</v>
      </c>
      <c r="D1781" s="7">
        <v>563</v>
      </c>
      <c r="E1781" s="7" t="s">
        <v>35</v>
      </c>
      <c r="F1781" s="8" t="str">
        <f ca="1">IFERROR(__xludf.DUMMYFUNCTION("IF
(
C1782=""фізична особа""
,
VLOOKUP(D1782,IMPORTRANGE(""https://docs.google.com/spreadsheets/d/14Bd19lYaqBhU8_DElYkX7l4wRkHqqCUFNJY4AfY3kHU/edit?usp=sharing  #gid=0"",""фіз особи new!relations_name""),6,FALSE)
,
(IF
(
C1782=""юридична особа""
,
VLOOKUP"&amp;"(D1782,IMPORTRANGE(""https://docs.google.com/spreadsheets/d/14Bd19lYaqBhU8_DElYkX7l4wRkHqqCUFNJY4AfY3kHU/edit?usp=sharing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1" s="7" t="s">
        <v>10</v>
      </c>
      <c r="H1781" s="7">
        <v>0</v>
      </c>
      <c r="I1781" s="8" t="str">
        <f ca="1">IFERROR(__xludf.DUMMYFUNCTION("IF
(
G1782=""фізична особа""
,
VLOOKUP(H1782,IMPORTRANGE(""https://docs.google.com/spreadsheets/d/14Bd19lYaqBhU8_DElYkX7l4wRkHqqCUFNJY4AfY3kHU/edit?usp=sharing  #gid=0"",""фіз особи new!relations_name""),6,FALSE)
,
(IF
(
G1782=""юридична особа""
,
VLOOKUP"&amp;"(H1782,IMPORTRANGE(""https://docs.google.com/spreadsheets/d/14Bd19lYaqBhU8_DElYkX7l4wRkHqqCUFNJY4AfY3kHU/edit?usp=sharing  #gid=0"",""фіз особи new!relations_name_uo""),7,FALSE)
,
)
))"),"#N/A")</f>
        <v>#N/A</v>
      </c>
      <c r="J1781" s="7" t="s">
        <v>35</v>
      </c>
    </row>
    <row r="1782" spans="1:10" ht="13.2">
      <c r="A1782" s="7">
        <v>1781</v>
      </c>
      <c r="B1782" s="7">
        <v>1</v>
      </c>
      <c r="C1782" s="7" t="s">
        <v>10</v>
      </c>
      <c r="D1782" s="7">
        <v>563</v>
      </c>
      <c r="E1782" s="7" t="s">
        <v>11</v>
      </c>
      <c r="F1782" s="8" t="str">
        <f ca="1">IFERROR(__xludf.DUMMYFUNCTION("IF
(
C1783=""фізична особа""
,
VLOOKUP(D1783,IMPORTRANGE(""https://docs.google.com/spreadsheets/d/14Bd19lYaqBhU8_DElYkX7l4wRkHqqCUFNJY4AfY3kHU/edit?usp=sharing  #gid=0"",""фіз особи new!relations_name""),6,FALSE)
,
(IF
(
C1783=""юридична особа""
,
VLOOKUP"&amp;"(D1783,IMPORTRANGE(""https://docs.google.com/spreadsheets/d/14Bd19lYaqBhU8_DElYkX7l4wRkHqqCUFNJY4AfY3kHU/edit?usp=sharing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2" s="7" t="s">
        <v>10</v>
      </c>
      <c r="H1782" s="7">
        <v>271</v>
      </c>
      <c r="I1782" s="8" t="str">
        <f ca="1">IFERROR(__xludf.DUMMYFUNCTION("IF
(
G1783=""фізична особа""
,
VLOOKUP(H1783,IMPORTRANGE(""https://docs.google.com/spreadsheets/d/14Bd19lYaqBhU8_DElYkX7l4wRkHqqCUFNJY4AfY3kHU/edit?usp=sharing  #gid=0"",""фіз особи new!relations_name""),6,FALSE)
,
(IF
(
G1783=""юридична особа""
,
VLOOKUP"&amp;"(H1783,IMPORTRANGE(""https://docs.google.com/spreadsheets/d/14Bd19lYaqBhU8_DElYkX7l4wRkHqqCUFNJY4AfY3kHU/edit?usp=sharing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J1782" s="7" t="s">
        <v>11</v>
      </c>
    </row>
    <row r="1783" spans="1:10" ht="13.2">
      <c r="A1783" s="7">
        <v>1782</v>
      </c>
      <c r="B1783" s="7">
        <v>1</v>
      </c>
      <c r="C1783" s="7" t="s">
        <v>10</v>
      </c>
      <c r="D1783" s="7">
        <v>563</v>
      </c>
      <c r="E1783" s="7" t="s">
        <v>35</v>
      </c>
      <c r="F1783" s="8" t="str">
        <f ca="1">IFERROR(__xludf.DUMMYFUNCTION("IF
(
C1784=""фізична особа""
,
VLOOKUP(D1784,IMPORTRANGE(""https://docs.google.com/spreadsheets/d/14Bd19lYaqBhU8_DElYkX7l4wRkHqqCUFNJY4AfY3kHU/edit?usp=sharing  #gid=0"",""фіз особи new!relations_name""),6,FALSE)
,
(IF
(
C1784=""юридична особа""
,
VLOOKUP"&amp;"(D1784,IMPORTRANGE(""https://docs.google.com/spreadsheets/d/14Bd19lYaqBhU8_DElYkX7l4wRkHqqCUFNJY4AfY3kHU/edit?usp=sharing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3" s="7" t="s">
        <v>10</v>
      </c>
      <c r="H1783" s="7">
        <v>23422</v>
      </c>
      <c r="I1783" s="8" t="str">
        <f ca="1">IFERROR(__xludf.DUMMYFUNCTION("IF
(
G1784=""фізична особа""
,
VLOOKUP(H1784,IMPORTRANGE(""https://docs.google.com/spreadsheets/d/14Bd19lYaqBhU8_DElYkX7l4wRkHqqCUFNJY4AfY3kHU/edit?usp=sharing  #gid=0"",""фіз особи new!relations_name""),6,FALSE)
,
(IF
(
G1784=""юридична особа""
,
VLOOKUP"&amp;"(H1784,IMPORTRANGE(""https://docs.google.com/spreadsheets/d/14Bd19lYaqBhU8_DElYkX7l4wRkHqqCUFNJY4AfY3kHU/edit?usp=sharing  #gid=0"",""фіз особи new!relations_name_uo""),7,FALSE)
,
)
))"),"ЗУБКОВ Віктор Олексійович")</f>
        <v>ЗУБКОВ Віктор Олексійович</v>
      </c>
      <c r="J1783" s="7" t="s">
        <v>35</v>
      </c>
    </row>
    <row r="1784" spans="1:10" ht="13.2">
      <c r="A1784" s="7">
        <v>1783</v>
      </c>
      <c r="B1784" s="7">
        <v>1</v>
      </c>
      <c r="C1784" s="7" t="s">
        <v>10</v>
      </c>
      <c r="D1784" s="7">
        <v>563</v>
      </c>
      <c r="E1784" s="7" t="s">
        <v>35</v>
      </c>
      <c r="F1784" s="8" t="str">
        <f ca="1">IFERROR(__xludf.DUMMYFUNCTION("IF
(
C1785=""фізична особа""
,
VLOOKUP(D1785,IMPORTRANGE(""https://docs.google.com/spreadsheets/d/14Bd19lYaqBhU8_DElYkX7l4wRkHqqCUFNJY4AfY3kHU/edit?usp=sharing  #gid=0"",""фіз особи new!relations_name""),6,FALSE)
,
(IF
(
C1785=""юридична особа""
,
VLOOKUP"&amp;"(D1785,IMPORTRANGE(""https://docs.google.com/spreadsheets/d/14Bd19lYaqBhU8_DElYkX7l4wRkHqqCUFNJY4AfY3kHU/edit?usp=sharing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4" s="7" t="s">
        <v>10</v>
      </c>
      <c r="H1784" s="7">
        <v>18099</v>
      </c>
      <c r="I1784" s="8" t="str">
        <f ca="1">IFERROR(__xludf.DUMMYFUNCTION("IF
(
G1785=""фізична особа""
,
VLOOKUP(H1785,IMPORTRANGE(""https://docs.google.com/spreadsheets/d/14Bd19lYaqBhU8_DElYkX7l4wRkHqqCUFNJY4AfY3kHU/edit?usp=sharing  #gid=0"",""фіз особи new!relations_name""),6,FALSE)
,
(IF
(
G1785=""юридична особа""
,
VLOOKUP"&amp;"(H1785,IMPORTRANGE(""https://docs.google.com/spreadsheets/d/14Bd19lYaqBhU8_DElYkX7l4wRkHqqCUFNJY4AfY3kHU/edit?usp=sharing  #gid=0"",""фіз особи new!relations_name_uo""),7,FALSE)
,
)
))"),"МИХАЙЛОВА Олена Володимирівна")</f>
        <v>МИХАЙЛОВА Олена Володимирівна</v>
      </c>
      <c r="J1784" s="7" t="s">
        <v>35</v>
      </c>
    </row>
    <row r="1785" spans="1:10" ht="13.2">
      <c r="A1785" s="7">
        <v>1784</v>
      </c>
      <c r="B1785" s="7">
        <v>1</v>
      </c>
      <c r="C1785" s="7" t="s">
        <v>10</v>
      </c>
      <c r="D1785" s="7">
        <v>563</v>
      </c>
      <c r="E1785" s="7" t="s">
        <v>35</v>
      </c>
      <c r="F1785" s="8" t="str">
        <f ca="1">IFERROR(__xludf.DUMMYFUNCTION("IF
(
C1786=""фізична особа""
,
VLOOKUP(D1786,IMPORTRANGE(""https://docs.google.com/spreadsheets/d/14Bd19lYaqBhU8_DElYkX7l4wRkHqqCUFNJY4AfY3kHU/edit?usp=sharing  #gid=0"",""фіз особи new!relations_name""),6,FALSE)
,
(IF
(
C1786=""юридична особа""
,
VLOOKUP"&amp;"(D1786,IMPORTRANGE(""https://docs.google.com/spreadsheets/d/14Bd19lYaqBhU8_DElYkX7l4wRkHqqCUFNJY4AfY3kHU/edit?usp=sharing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5" s="7" t="s">
        <v>10</v>
      </c>
      <c r="H1785" s="7">
        <v>0</v>
      </c>
      <c r="I1785" s="8" t="str">
        <f ca="1">IFERROR(__xludf.DUMMYFUNCTION("IF
(
G1786=""фізична особа""
,
VLOOKUP(H1786,IMPORTRANGE(""https://docs.google.com/spreadsheets/d/14Bd19lYaqBhU8_DElYkX7l4wRkHqqCUFNJY4AfY3kHU/edit?usp=sharing  #gid=0"",""фіз особи new!relations_name""),6,FALSE)
,
(IF
(
G1786=""юридична особа""
,
VLOOKUP"&amp;"(H1786,IMPORTRANGE(""https://docs.google.com/spreadsheets/d/14Bd19lYaqBhU8_DElYkX7l4wRkHqqCUFNJY4AfY3kHU/edit?usp=sharing  #gid=0"",""фіз особи new!relations_name_uo""),7,FALSE)
,
)
))"),"#N/A")</f>
        <v>#N/A</v>
      </c>
      <c r="J1785" s="7" t="s">
        <v>35</v>
      </c>
    </row>
    <row r="1786" spans="1:10" ht="13.2">
      <c r="A1786" s="7">
        <v>1785</v>
      </c>
      <c r="B1786" s="7">
        <v>1</v>
      </c>
      <c r="C1786" s="7" t="s">
        <v>10</v>
      </c>
      <c r="D1786" s="7">
        <v>563</v>
      </c>
      <c r="E1786" s="7" t="s">
        <v>35</v>
      </c>
      <c r="F1786" s="8" t="str">
        <f ca="1">IFERROR(__xludf.DUMMYFUNCTION("IF
(
C1787=""фізична особа""
,
VLOOKUP(D1787,IMPORTRANGE(""https://docs.google.com/spreadsheets/d/14Bd19lYaqBhU8_DElYkX7l4wRkHqqCUFNJY4AfY3kHU/edit?usp=sharing  #gid=0"",""фіз особи new!relations_name""),6,FALSE)
,
(IF
(
C1787=""юридична особа""
,
VLOOKUP"&amp;"(D1787,IMPORTRANGE(""https://docs.google.com/spreadsheets/d/14Bd19lYaqBhU8_DElYkX7l4wRkHqqCUFNJY4AfY3kHU/edit?usp=sharing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6" s="7" t="s">
        <v>10</v>
      </c>
      <c r="H1786" s="7">
        <v>1421</v>
      </c>
      <c r="I1786" s="8" t="str">
        <f ca="1">IFERROR(__xludf.DUMMYFUNCTION("IF
(
G1787=""фізична особа""
,
VLOOKUP(H1787,IMPORTRANGE(""https://docs.google.com/spreadsheets/d/14Bd19lYaqBhU8_DElYkX7l4wRkHqqCUFNJY4AfY3kHU/edit?usp=sharing  #gid=0"",""фіз особи new!relations_name""),6,FALSE)
,
(IF
(
G1787=""юридична особа""
,
VLOOKUP"&amp;"(H1787,IMPORTRANGE(""https://docs.google.com/spreadsheets/d/14Bd19lYaqBhU8_DElYkX7l4wRkHqqCUFNJY4AfY3kHU/edit?usp=sharing  #gid=0"",""фіз особи new!relations_name_uo""),7,FALSE)
,
)
))"),"СЕРЕДА Михайло Леонідович")</f>
        <v>СЕРЕДА Михайло Леонідович</v>
      </c>
      <c r="J1786" s="7" t="s">
        <v>35</v>
      </c>
    </row>
    <row r="1787" spans="1:10" ht="13.2">
      <c r="A1787" s="7">
        <v>1786</v>
      </c>
      <c r="B1787" s="7">
        <v>1</v>
      </c>
      <c r="C1787" s="7" t="s">
        <v>10</v>
      </c>
      <c r="D1787" s="7">
        <v>563</v>
      </c>
      <c r="E1787" s="7" t="s">
        <v>35</v>
      </c>
      <c r="F1787" s="8" t="str">
        <f ca="1">IFERROR(__xludf.DUMMYFUNCTION("IF
(
C1788=""фізична особа""
,
VLOOKUP(D1788,IMPORTRANGE(""https://docs.google.com/spreadsheets/d/14Bd19lYaqBhU8_DElYkX7l4wRkHqqCUFNJY4AfY3kHU/edit?usp=sharing  #gid=0"",""фіз особи new!relations_name""),6,FALSE)
,
(IF
(
C1788=""юридична особа""
,
VLOOKUP"&amp;"(D1788,IMPORTRANGE(""https://docs.google.com/spreadsheets/d/14Bd19lYaqBhU8_DElYkX7l4wRkHqqCUFNJY4AfY3kHU/edit?usp=sharing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7" s="7" t="s">
        <v>10</v>
      </c>
      <c r="H1787" s="7">
        <v>0</v>
      </c>
      <c r="I1787" s="8" t="str">
        <f ca="1">IFERROR(__xludf.DUMMYFUNCTION("IF
(
G1788=""фізична особа""
,
VLOOKUP(H1788,IMPORTRANGE(""https://docs.google.com/spreadsheets/d/14Bd19lYaqBhU8_DElYkX7l4wRkHqqCUFNJY4AfY3kHU/edit?usp=sharing  #gid=0"",""фіз особи new!relations_name""),6,FALSE)
,
(IF
(
G1788=""юридична особа""
,
VLOOKUP"&amp;"(H1788,IMPORTRANGE(""https://docs.google.com/spreadsheets/d/14Bd19lYaqBhU8_DElYkX7l4wRkHqqCUFNJY4AfY3kHU/edit?usp=sharing  #gid=0"",""фіз особи new!relations_name_uo""),7,FALSE)
,
)
))"),"#N/A")</f>
        <v>#N/A</v>
      </c>
      <c r="J1787" s="7" t="s">
        <v>35</v>
      </c>
    </row>
    <row r="1788" spans="1:10" ht="13.2">
      <c r="A1788" s="7">
        <v>1787</v>
      </c>
      <c r="B1788" s="7">
        <v>1</v>
      </c>
      <c r="C1788" s="7" t="s">
        <v>10</v>
      </c>
      <c r="D1788" s="7">
        <v>563</v>
      </c>
      <c r="E1788" s="7" t="s">
        <v>35</v>
      </c>
      <c r="F1788" s="8" t="str">
        <f ca="1">IFERROR(__xludf.DUMMYFUNCTION("IF
(
C1789=""фізична особа""
,
VLOOKUP(D1789,IMPORTRANGE(""https://docs.google.com/spreadsheets/d/14Bd19lYaqBhU8_DElYkX7l4wRkHqqCUFNJY4AfY3kHU/edit?usp=sharing  #gid=0"",""фіз особи new!relations_name""),6,FALSE)
,
(IF
(
C1789=""юридична особа""
,
VLOOKUP"&amp;"(D1789,IMPORTRANGE(""https://docs.google.com/spreadsheets/d/14Bd19lYaqBhU8_DElYkX7l4wRkHqqCUFNJY4AfY3kHU/edit?usp=sharing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8" s="7" t="s">
        <v>10</v>
      </c>
      <c r="H1788" s="7">
        <v>0</v>
      </c>
      <c r="I1788" s="8" t="str">
        <f ca="1">IFERROR(__xludf.DUMMYFUNCTION("IF
(
G1789=""фізична особа""
,
VLOOKUP(H1789,IMPORTRANGE(""https://docs.google.com/spreadsheets/d/14Bd19lYaqBhU8_DElYkX7l4wRkHqqCUFNJY4AfY3kHU/edit?usp=sharing  #gid=0"",""фіз особи new!relations_name""),6,FALSE)
,
(IF
(
G1789=""юридична особа""
,
VLOOKUP"&amp;"(H1789,IMPORTRANGE(""https://docs.google.com/spreadsheets/d/14Bd19lYaqBhU8_DElYkX7l4wRkHqqCUFNJY4AfY3kHU/edit?usp=sharing  #gid=0"",""фіз особи new!relations_name_uo""),7,FALSE)
,
)
))"),"#N/A")</f>
        <v>#N/A</v>
      </c>
      <c r="J1788" s="7" t="s">
        <v>35</v>
      </c>
    </row>
    <row r="1789" spans="1:10" ht="13.2">
      <c r="A1789" s="7">
        <v>1788</v>
      </c>
      <c r="B1789" s="7">
        <v>1</v>
      </c>
      <c r="C1789" s="7" t="s">
        <v>10</v>
      </c>
      <c r="D1789" s="7">
        <v>563</v>
      </c>
      <c r="E1789" s="7" t="s">
        <v>35</v>
      </c>
      <c r="F1789" s="8" t="str">
        <f ca="1">IFERROR(__xludf.DUMMYFUNCTION("IF
(
C1790=""фізична особа""
,
VLOOKUP(D1790,IMPORTRANGE(""https://docs.google.com/spreadsheets/d/14Bd19lYaqBhU8_DElYkX7l4wRkHqqCUFNJY4AfY3kHU/edit?usp=sharing  #gid=0"",""фіз особи new!relations_name""),6,FALSE)
,
(IF
(
C1790=""юридична особа""
,
VLOOKUP"&amp;"(D1790,IMPORTRANGE(""https://docs.google.com/spreadsheets/d/14Bd19lYaqBhU8_DElYkX7l4wRkHqqCUFNJY4AfY3kHU/edit?usp=sharing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89" s="7" t="s">
        <v>10</v>
      </c>
      <c r="H1789" s="7">
        <v>0</v>
      </c>
      <c r="I1789" s="8" t="str">
        <f ca="1">IFERROR(__xludf.DUMMYFUNCTION("IF
(
G1790=""фізична особа""
,
VLOOKUP(H1790,IMPORTRANGE(""https://docs.google.com/spreadsheets/d/14Bd19lYaqBhU8_DElYkX7l4wRkHqqCUFNJY4AfY3kHU/edit?usp=sharing  #gid=0"",""фіз особи new!relations_name""),6,FALSE)
,
(IF
(
G1790=""юридична особа""
,
VLOOKUP"&amp;"(H1790,IMPORTRANGE(""https://docs.google.com/spreadsheets/d/14Bd19lYaqBhU8_DElYkX7l4wRkHqqCUFNJY4AfY3kHU/edit?usp=sharing  #gid=0"",""фіз особи new!relations_name_uo""),7,FALSE)
,
)
))"),"#N/A")</f>
        <v>#N/A</v>
      </c>
      <c r="J1789" s="7" t="s">
        <v>35</v>
      </c>
    </row>
    <row r="1790" spans="1:10" ht="13.2">
      <c r="A1790" s="7">
        <v>1789</v>
      </c>
      <c r="B1790" s="7">
        <v>1</v>
      </c>
      <c r="C1790" s="7" t="s">
        <v>10</v>
      </c>
      <c r="D1790" s="7">
        <v>563</v>
      </c>
      <c r="E1790" s="7" t="s">
        <v>35</v>
      </c>
      <c r="F1790" s="8" t="str">
        <f ca="1">IFERROR(__xludf.DUMMYFUNCTION("IF
(
C1791=""фізична особа""
,
VLOOKUP(D1791,IMPORTRANGE(""https://docs.google.com/spreadsheets/d/14Bd19lYaqBhU8_DElYkX7l4wRkHqqCUFNJY4AfY3kHU/edit?usp=sharing  #gid=0"",""фіз особи new!relations_name""),6,FALSE)
,
(IF
(
C1791=""юридична особа""
,
VLOOKUP"&amp;"(D1791,IMPORTRANGE(""https://docs.google.com/spreadsheets/d/14Bd19lYaqBhU8_DElYkX7l4wRkHqqCUFNJY4AfY3kHU/edit?usp=sharing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90" s="7" t="s">
        <v>10</v>
      </c>
      <c r="H1790" s="7">
        <v>0</v>
      </c>
      <c r="I1790" s="8" t="str">
        <f ca="1">IFERROR(__xludf.DUMMYFUNCTION("IF
(
G1791=""фізична особа""
,
VLOOKUP(H1791,IMPORTRANGE(""https://docs.google.com/spreadsheets/d/14Bd19lYaqBhU8_DElYkX7l4wRkHqqCUFNJY4AfY3kHU/edit?usp=sharing  #gid=0"",""фіз особи new!relations_name""),6,FALSE)
,
(IF
(
G1791=""юридична особа""
,
VLOOKUP"&amp;"(H1791,IMPORTRANGE(""https://docs.google.com/spreadsheets/d/14Bd19lYaqBhU8_DElYkX7l4wRkHqqCUFNJY4AfY3kHU/edit?usp=sharing  #gid=0"",""фіз особи new!relations_name_uo""),7,FALSE)
,
)
))"),"#N/A")</f>
        <v>#N/A</v>
      </c>
      <c r="J1790" s="7" t="s">
        <v>35</v>
      </c>
    </row>
    <row r="1791" spans="1:10" ht="13.2">
      <c r="A1791" s="7">
        <v>1790</v>
      </c>
      <c r="B1791" s="7">
        <v>1</v>
      </c>
      <c r="C1791" s="7" t="s">
        <v>10</v>
      </c>
      <c r="D1791" s="7">
        <v>563</v>
      </c>
      <c r="E1791" s="7" t="s">
        <v>35</v>
      </c>
      <c r="F1791" s="8" t="str">
        <f ca="1">IFERROR(__xludf.DUMMYFUNCTION("IF
(
C1792=""фізична особа""
,
VLOOKUP(D1792,IMPORTRANGE(""https://docs.google.com/spreadsheets/d/14Bd19lYaqBhU8_DElYkX7l4wRkHqqCUFNJY4AfY3kHU/edit?usp=sharing  #gid=0"",""фіз особи new!relations_name""),6,FALSE)
,
(IF
(
C1792=""юридична особа""
,
VLOOKUP"&amp;"(D1792,IMPORTRANGE(""https://docs.google.com/spreadsheets/d/14Bd19lYaqBhU8_DElYkX7l4wRkHqqCUFNJY4AfY3kHU/edit?usp=sharing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91" s="7" t="s">
        <v>10</v>
      </c>
      <c r="H1791" s="7">
        <v>8249</v>
      </c>
      <c r="I1791" s="8" t="str">
        <f ca="1">IFERROR(__xludf.DUMMYFUNCTION("IF
(
G1792=""фізична особа""
,
VLOOKUP(H1792,IMPORTRANGE(""https://docs.google.com/spreadsheets/d/14Bd19lYaqBhU8_DElYkX7l4wRkHqqCUFNJY4AfY3kHU/edit?usp=sharing  #gid=0"",""фіз особи new!relations_name""),6,FALSE)
,
(IF
(
G1792=""юридична особа""
,
VLOOKUP"&amp;"(H1792,IMPORTRANGE(""https://docs.google.com/spreadsheets/d/14Bd19lYaqBhU8_DElYkX7l4wRkHqqCUFNJY4AfY3kHU/edit?usp=sharing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J1791" s="7" t="s">
        <v>35</v>
      </c>
    </row>
    <row r="1792" spans="1:10" ht="13.2">
      <c r="A1792" s="7">
        <v>1791</v>
      </c>
      <c r="B1792" s="7">
        <v>1</v>
      </c>
      <c r="C1792" s="7" t="s">
        <v>10</v>
      </c>
      <c r="D1792" s="7">
        <v>563</v>
      </c>
      <c r="E1792" s="7" t="s">
        <v>35</v>
      </c>
      <c r="F1792" s="8" t="str">
        <f ca="1">IFERROR(__xludf.DUMMYFUNCTION("IF
(
C1793=""фізична особа""
,
VLOOKUP(D1793,IMPORTRANGE(""https://docs.google.com/spreadsheets/d/14Bd19lYaqBhU8_DElYkX7l4wRkHqqCUFNJY4AfY3kHU/edit?usp=sharing  #gid=0"",""фіз особи new!relations_name""),6,FALSE)
,
(IF
(
C1793=""юридична особа""
,
VLOOKUP"&amp;"(D1793,IMPORTRANGE(""https://docs.google.com/spreadsheets/d/14Bd19lYaqBhU8_DElYkX7l4wRkHqqCUFNJY4AfY3kHU/edit?usp=sharing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92" s="7" t="s">
        <v>10</v>
      </c>
      <c r="H1792" s="7">
        <v>0</v>
      </c>
      <c r="I1792" s="8" t="str">
        <f ca="1">IFERROR(__xludf.DUMMYFUNCTION("IF
(
G1793=""фізична особа""
,
VLOOKUP(H1793,IMPORTRANGE(""https://docs.google.com/spreadsheets/d/14Bd19lYaqBhU8_DElYkX7l4wRkHqqCUFNJY4AfY3kHU/edit?usp=sharing  #gid=0"",""фіз особи new!relations_name""),6,FALSE)
,
(IF
(
G1793=""юридична особа""
,
VLOOKUP"&amp;"(H1793,IMPORTRANGE(""https://docs.google.com/spreadsheets/d/14Bd19lYaqBhU8_DElYkX7l4wRkHqqCUFNJY4AfY3kHU/edit?usp=sharing  #gid=0"",""фіз особи new!relations_name_uo""),7,FALSE)
,
)
))"),"#N/A")</f>
        <v>#N/A</v>
      </c>
      <c r="J1792" s="7" t="s">
        <v>35</v>
      </c>
    </row>
    <row r="1793" spans="1:10" ht="13.2">
      <c r="A1793" s="7">
        <v>1792</v>
      </c>
      <c r="B1793" s="7">
        <v>1</v>
      </c>
      <c r="C1793" s="7" t="s">
        <v>10</v>
      </c>
      <c r="D1793" s="7">
        <v>563</v>
      </c>
      <c r="E1793" s="7" t="s">
        <v>35</v>
      </c>
      <c r="F1793" s="8" t="str">
        <f ca="1">IFERROR(__xludf.DUMMYFUNCTION("IF
(
C1794=""фізична особа""
,
VLOOKUP(D1794,IMPORTRANGE(""https://docs.google.com/spreadsheets/d/14Bd19lYaqBhU8_DElYkX7l4wRkHqqCUFNJY4AfY3kHU/edit?usp=sharing  #gid=0"",""фіз особи new!relations_name""),6,FALSE)
,
(IF
(
C1794=""юридична особа""
,
VLOOKUP"&amp;"(D1794,IMPORTRANGE(""https://docs.google.com/spreadsheets/d/14Bd19lYaqBhU8_DElYkX7l4wRkHqqCUFNJY4AfY3kHU/edit?usp=sharing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93" s="7" t="s">
        <v>10</v>
      </c>
      <c r="H1793" s="7">
        <v>0</v>
      </c>
      <c r="I1793" s="8" t="str">
        <f ca="1">IFERROR(__xludf.DUMMYFUNCTION("IF
(
G1794=""фізична особа""
,
VLOOKUP(H1794,IMPORTRANGE(""https://docs.google.com/spreadsheets/d/14Bd19lYaqBhU8_DElYkX7l4wRkHqqCUFNJY4AfY3kHU/edit?usp=sharing  #gid=0"",""фіз особи new!relations_name""),6,FALSE)
,
(IF
(
G1794=""юридична особа""
,
VLOOKUP"&amp;"(H1794,IMPORTRANGE(""https://docs.google.com/spreadsheets/d/14Bd19lYaqBhU8_DElYkX7l4wRkHqqCUFNJY4AfY3kHU/edit?usp=sharing  #gid=0"",""фіз особи new!relations_name_uo""),7,FALSE)
,
)
))"),"#N/A")</f>
        <v>#N/A</v>
      </c>
      <c r="J1793" s="7" t="s">
        <v>35</v>
      </c>
    </row>
    <row r="1794" spans="1:10" ht="13.2">
      <c r="A1794" s="7">
        <v>1793</v>
      </c>
      <c r="B1794" s="7">
        <v>1</v>
      </c>
      <c r="C1794" s="7" t="s">
        <v>10</v>
      </c>
      <c r="D1794" s="7">
        <v>563</v>
      </c>
      <c r="E1794" s="7" t="s">
        <v>35</v>
      </c>
      <c r="F1794" s="8" t="str">
        <f ca="1">IFERROR(__xludf.DUMMYFUNCTION("IF
(
C1795=""фізична особа""
,
VLOOKUP(D1795,IMPORTRANGE(""https://docs.google.com/spreadsheets/d/14Bd19lYaqBhU8_DElYkX7l4wRkHqqCUFNJY4AfY3kHU/edit?usp=sharing  #gid=0"",""фіз особи new!relations_name""),6,FALSE)
,
(IF
(
C1795=""юридична особа""
,
VLOOKUP"&amp;"(D1795,IMPORTRANGE(""https://docs.google.com/spreadsheets/d/14Bd19lYaqBhU8_DElYkX7l4wRkHqqCUFNJY4AfY3kHU/edit?usp=sharing  #gid=0"",""фіз особи new!relations_name_uo""),7,FALSE)
,
)
))"),"АКСЮТІН Олег Євгенович")</f>
        <v>АКСЮТІН Олег Євгенович</v>
      </c>
      <c r="G1794" s="7" t="s">
        <v>10</v>
      </c>
      <c r="H1794" s="7">
        <v>0</v>
      </c>
      <c r="I1794" s="8" t="str">
        <f ca="1">IFERROR(__xludf.DUMMYFUNCTION("IF
(
G1795=""фізична особа""
,
VLOOKUP(H1795,IMPORTRANGE(""https://docs.google.com/spreadsheets/d/14Bd19lYaqBhU8_DElYkX7l4wRkHqqCUFNJY4AfY3kHU/edit?usp=sharing  #gid=0"",""фіз особи new!relations_name""),6,FALSE)
,
(IF
(
G1795=""юридична особа""
,
VLOOKUP"&amp;"(H1795,IMPORTRANGE(""https://docs.google.com/spreadsheets/d/14Bd19lYaqBhU8_DElYkX7l4wRkHqqCUFNJY4AfY3kHU/edit?usp=sharing  #gid=0"",""фіз особи new!relations_name_uo""),7,FALSE)
,
)
))"),"#N/A")</f>
        <v>#N/A</v>
      </c>
      <c r="J1794" s="7" t="s">
        <v>35</v>
      </c>
    </row>
    <row r="1795" spans="1:10" ht="13.2">
      <c r="A1795" s="7">
        <v>1794</v>
      </c>
      <c r="B1795" s="7">
        <v>1</v>
      </c>
      <c r="C1795" s="7" t="s">
        <v>10</v>
      </c>
      <c r="D1795" s="7">
        <v>564</v>
      </c>
      <c r="E1795" s="7" t="s">
        <v>14</v>
      </c>
      <c r="F1795" s="8" t="str">
        <f ca="1">IFERROR(__xludf.DUMMYFUNCTION("IF
(
C1796=""фізична особа""
,
VLOOKUP(D1796,IMPORTRANGE(""https://docs.google.com/spreadsheets/d/14Bd19lYaqBhU8_DElYkX7l4wRkHqqCUFNJY4AfY3kHU/edit?usp=sharing  #gid=0"",""фіз особи new!relations_name""),6,FALSE)
,
(IF
(
C1796=""юридична особа""
,
VLOOKUP"&amp;"(D1796,IMPORTRANGE(""https://docs.google.com/spreadsheets/d/14Bd19lYaqBhU8_DElYkX7l4wRkHqqCUFNJY4AfY3kHU/edit?usp=sharing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795" s="7" t="s">
        <v>10</v>
      </c>
      <c r="H1795" s="7">
        <v>0</v>
      </c>
      <c r="I1795" s="8" t="str">
        <f ca="1">IFERROR(__xludf.DUMMYFUNCTION("IF
(
G1796=""фізична особа""
,
VLOOKUP(H1796,IMPORTRANGE(""https://docs.google.com/spreadsheets/d/14Bd19lYaqBhU8_DElYkX7l4wRkHqqCUFNJY4AfY3kHU/edit?usp=sharing  #gid=0"",""фіз особи new!relations_name""),6,FALSE)
,
(IF
(
G1796=""юридична особа""
,
VLOOKUP"&amp;"(H1796,IMPORTRANGE(""https://docs.google.com/spreadsheets/d/14Bd19lYaqBhU8_DElYkX7l4wRkHqqCUFNJY4AfY3kHU/edit?usp=sharing  #gid=0"",""фіз особи new!relations_name_uo""),7,FALSE)
,
)
))"),"#N/A")</f>
        <v>#N/A</v>
      </c>
      <c r="J1795" s="7" t="s">
        <v>15</v>
      </c>
    </row>
    <row r="1796" spans="1:10" ht="13.2">
      <c r="A1796" s="7">
        <v>1795</v>
      </c>
      <c r="B1796" s="7">
        <v>1</v>
      </c>
      <c r="C1796" s="7" t="s">
        <v>10</v>
      </c>
      <c r="D1796" s="7">
        <v>564</v>
      </c>
      <c r="E1796" s="7" t="s">
        <v>12</v>
      </c>
      <c r="F1796" s="8" t="str">
        <f ca="1">IFERROR(__xludf.DUMMYFUNCTION("IF
(
C1797=""фізична особа""
,
VLOOKUP(D1797,IMPORTRANGE(""https://docs.google.com/spreadsheets/d/14Bd19lYaqBhU8_DElYkX7l4wRkHqqCUFNJY4AfY3kHU/edit?usp=sharing  #gid=0"",""фіз особи new!relations_name""),6,FALSE)
,
(IF
(
C1797=""юридична особа""
,
VLOOKUP"&amp;"(D1797,IMPORTRANGE(""https://docs.google.com/spreadsheets/d/14Bd19lYaqBhU8_DElYkX7l4wRkHqqCUFNJY4AfY3kHU/edit?usp=sharing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796" s="7" t="s">
        <v>10</v>
      </c>
      <c r="H1796" s="7">
        <v>0</v>
      </c>
      <c r="I1796" s="8" t="str">
        <f ca="1">IFERROR(__xludf.DUMMYFUNCTION("IF
(
G1797=""фізична особа""
,
VLOOKUP(H1797,IMPORTRANGE(""https://docs.google.com/spreadsheets/d/14Bd19lYaqBhU8_DElYkX7l4wRkHqqCUFNJY4AfY3kHU/edit?usp=sharing  #gid=0"",""фіз особи new!relations_name""),6,FALSE)
,
(IF
(
G1797=""юридична особа""
,
VLOOKUP"&amp;"(H1797,IMPORTRANGE(""https://docs.google.com/spreadsheets/d/14Bd19lYaqBhU8_DElYkX7l4wRkHqqCUFNJY4AfY3kHU/edit?usp=sharing  #gid=0"",""фіз особи new!relations_name_uo""),7,FALSE)
,
)
))"),"#N/A")</f>
        <v>#N/A</v>
      </c>
      <c r="J1796" s="7" t="s">
        <v>13</v>
      </c>
    </row>
    <row r="1797" spans="1:10" ht="13.2">
      <c r="A1797" s="7">
        <v>1796</v>
      </c>
      <c r="B1797" s="7">
        <v>1</v>
      </c>
      <c r="C1797" s="7" t="s">
        <v>10</v>
      </c>
      <c r="D1797" s="7">
        <v>564</v>
      </c>
      <c r="E1797" s="7" t="s">
        <v>12</v>
      </c>
      <c r="F1797" s="8" t="str">
        <f ca="1">IFERROR(__xludf.DUMMYFUNCTION("IF
(
C1798=""фізична особа""
,
VLOOKUP(D1798,IMPORTRANGE(""https://docs.google.com/spreadsheets/d/14Bd19lYaqBhU8_DElYkX7l4wRkHqqCUFNJY4AfY3kHU/edit?usp=sharing  #gid=0"",""фіз особи new!relations_name""),6,FALSE)
,
(IF
(
C1798=""юридична особа""
,
VLOOKUP"&amp;"(D1798,IMPORTRANGE(""https://docs.google.com/spreadsheets/d/14Bd19lYaqBhU8_DElYkX7l4wRkHqqCUFNJY4AfY3kHU/edit?usp=sharing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797" s="7" t="s">
        <v>10</v>
      </c>
      <c r="H1797" s="7">
        <v>0</v>
      </c>
      <c r="I1797" s="8" t="str">
        <f ca="1">IFERROR(__xludf.DUMMYFUNCTION("IF
(
G1798=""фізична особа""
,
VLOOKUP(H1798,IMPORTRANGE(""https://docs.google.com/spreadsheets/d/14Bd19lYaqBhU8_DElYkX7l4wRkHqqCUFNJY4AfY3kHU/edit?usp=sharing  #gid=0"",""фіз особи new!relations_name""),6,FALSE)
,
(IF
(
G1798=""юридична особа""
,
VLOOKUP"&amp;"(H1798,IMPORTRANGE(""https://docs.google.com/spreadsheets/d/14Bd19lYaqBhU8_DElYkX7l4wRkHqqCUFNJY4AfY3kHU/edit?usp=sharing  #gid=0"",""фіз особи new!relations_name_uo""),7,FALSE)
,
)
))"),"#N/A")</f>
        <v>#N/A</v>
      </c>
      <c r="J1797" s="7" t="s">
        <v>13</v>
      </c>
    </row>
    <row r="1798" spans="1:10" ht="13.2">
      <c r="A1798" s="7">
        <v>1797</v>
      </c>
      <c r="B1798" s="7">
        <v>1</v>
      </c>
      <c r="C1798" s="7" t="s">
        <v>10</v>
      </c>
      <c r="D1798" s="7">
        <v>564</v>
      </c>
      <c r="E1798" s="7" t="s">
        <v>12</v>
      </c>
      <c r="F1798" s="8" t="str">
        <f ca="1">IFERROR(__xludf.DUMMYFUNCTION("IF
(
C1799=""фізична особа""
,
VLOOKUP(D1799,IMPORTRANGE(""https://docs.google.com/spreadsheets/d/14Bd19lYaqBhU8_DElYkX7l4wRkHqqCUFNJY4AfY3kHU/edit?usp=sharing  #gid=0"",""фіз особи new!relations_name""),6,FALSE)
,
(IF
(
C1799=""юридична особа""
,
VLOOKUP"&amp;"(D1799,IMPORTRANGE(""https://docs.google.com/spreadsheets/d/14Bd19lYaqBhU8_DElYkX7l4wRkHqqCUFNJY4AfY3kHU/edit?usp=sharing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798" s="7" t="s">
        <v>10</v>
      </c>
      <c r="H1798" s="7">
        <v>0</v>
      </c>
      <c r="I1798" s="8" t="str">
        <f ca="1">IFERROR(__xludf.DUMMYFUNCTION("IF
(
G1799=""фізична особа""
,
VLOOKUP(H1799,IMPORTRANGE(""https://docs.google.com/spreadsheets/d/14Bd19lYaqBhU8_DElYkX7l4wRkHqqCUFNJY4AfY3kHU/edit?usp=sharing  #gid=0"",""фіз особи new!relations_name""),6,FALSE)
,
(IF
(
G1799=""юридична особа""
,
VLOOKUP"&amp;"(H1799,IMPORTRANGE(""https://docs.google.com/spreadsheets/d/14Bd19lYaqBhU8_DElYkX7l4wRkHqqCUFNJY4AfY3kHU/edit?usp=sharing  #gid=0"",""фіз особи new!relations_name_uo""),7,FALSE)
,
)
))"),"#N/A")</f>
        <v>#N/A</v>
      </c>
      <c r="J1798" s="7" t="s">
        <v>13</v>
      </c>
    </row>
    <row r="1799" spans="1:10" ht="13.2">
      <c r="A1799" s="7">
        <v>1798</v>
      </c>
      <c r="B1799" s="7">
        <v>1</v>
      </c>
      <c r="C1799" s="7" t="s">
        <v>10</v>
      </c>
      <c r="D1799" s="7">
        <v>564</v>
      </c>
      <c r="E1799" s="7" t="s">
        <v>11</v>
      </c>
      <c r="F1799" s="8" t="str">
        <f ca="1">IFERROR(__xludf.DUMMYFUNCTION("IF
(
C1800=""фізична особа""
,
VLOOKUP(D1800,IMPORTRANGE(""https://docs.google.com/spreadsheets/d/14Bd19lYaqBhU8_DElYkX7l4wRkHqqCUFNJY4AfY3kHU/edit?usp=sharing  #gid=0"",""фіз особи new!relations_name""),6,FALSE)
,
(IF
(
C1800=""юридична особа""
,
VLOOKUP"&amp;"(D1800,IMPORTRANGE(""https://docs.google.com/spreadsheets/d/14Bd19lYaqBhU8_DElYkX7l4wRkHqqCUFNJY4AfY3kHU/edit?usp=sharing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799" s="7" t="s">
        <v>10</v>
      </c>
      <c r="H1799" s="7">
        <v>0</v>
      </c>
      <c r="I1799" s="8" t="str">
        <f ca="1">IFERROR(__xludf.DUMMYFUNCTION("IF
(
G1800=""фізична особа""
,
VLOOKUP(H1800,IMPORTRANGE(""https://docs.google.com/spreadsheets/d/14Bd19lYaqBhU8_DElYkX7l4wRkHqqCUFNJY4AfY3kHU/edit?usp=sharing  #gid=0"",""фіз особи new!relations_name""),6,FALSE)
,
(IF
(
G1800=""юридична особа""
,
VLOOKUP"&amp;"(H1800,IMPORTRANGE(""https://docs.google.com/spreadsheets/d/14Bd19lYaqBhU8_DElYkX7l4wRkHqqCUFNJY4AfY3kHU/edit?usp=sharing  #gid=0"",""фіз особи new!relations_name_uo""),7,FALSE)
,
)
))"),"#N/A")</f>
        <v>#N/A</v>
      </c>
      <c r="J1799" s="7" t="s">
        <v>11</v>
      </c>
    </row>
    <row r="1800" spans="1:10" ht="13.2">
      <c r="A1800" s="7">
        <v>1799</v>
      </c>
      <c r="B1800" s="7">
        <v>1</v>
      </c>
      <c r="C1800" s="7" t="s">
        <v>10</v>
      </c>
      <c r="D1800" s="7">
        <v>564</v>
      </c>
      <c r="E1800" s="7" t="s">
        <v>48</v>
      </c>
      <c r="F1800" s="8" t="str">
        <f ca="1">IFERROR(__xludf.DUMMYFUNCTION("IF
(
C1801=""фізична особа""
,
VLOOKUP(D1801,IMPORTRANGE(""https://docs.google.com/spreadsheets/d/14Bd19lYaqBhU8_DElYkX7l4wRkHqqCUFNJY4AfY3kHU/edit?usp=sharing  #gid=0"",""фіз особи new!relations_name""),6,FALSE)
,
(IF
(
C1801=""юридична особа""
,
VLOOKUP"&amp;"(D1801,IMPORTRANGE(""https://docs.google.com/spreadsheets/d/14Bd19lYaqBhU8_DElYkX7l4wRkHqqCUFNJY4AfY3kHU/edit?usp=sharing  #gid=0"",""фіз особи new!relations_name_uo""),7,FALSE)
,
)
))"),"ЛЕОНОВ Олег Юрійович")</f>
        <v>ЛЕОНОВ Олег Юрійович</v>
      </c>
      <c r="G1800" s="7" t="s">
        <v>10</v>
      </c>
      <c r="H1800" s="7">
        <v>7</v>
      </c>
      <c r="I1800" s="8" t="str">
        <f ca="1">IFERROR(__xludf.DUMMYFUNCTION("IF
(
G1801=""фізична особа""
,
VLOOKUP(H1801,IMPORTRANGE(""https://docs.google.com/spreadsheets/d/14Bd19lYaqBhU8_DElYkX7l4wRkHqqCUFNJY4AfY3kHU/edit?usp=sharing  #gid=0"",""фіз особи new!relations_name""),6,FALSE)
,
(IF
(
G1801=""юридична особа""
,
VLOOKUP"&amp;"(H1801,IMPORTRANGE(""https://docs.google.com/spreadsheets/d/14Bd19lYaqBhU8_DElYkX7l4wRkHqqCUFNJY4AfY3kHU/edit?usp=sharing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1800" s="7" t="s">
        <v>48</v>
      </c>
    </row>
    <row r="1801" spans="1:10" ht="13.2">
      <c r="A1801" s="7">
        <v>1800</v>
      </c>
      <c r="B1801" s="7">
        <v>1</v>
      </c>
      <c r="C1801" s="7" t="s">
        <v>10</v>
      </c>
      <c r="D1801" s="7">
        <v>565</v>
      </c>
      <c r="E1801" s="7" t="s">
        <v>28</v>
      </c>
      <c r="F1801" s="8" t="str">
        <f ca="1">IFERROR(__xludf.DUMMYFUNCTION("IF
(
C1802=""фізична особа""
,
VLOOKUP(D1802,IMPORTRANGE(""https://docs.google.com/spreadsheets/d/14Bd19lYaqBhU8_DElYkX7l4wRkHqqCUFNJY4AfY3kHU/edit?usp=sharing  #gid=0"",""фіз особи new!relations_name""),6,FALSE)
,
(IF
(
C1802=""юридична особа""
,
VLOOKUP"&amp;"(D1802,IMPORTRANGE(""https://docs.google.com/spreadsheets/d/14Bd19lYaqBhU8_DElYkX7l4wRkHqqCUFNJY4AfY3kHU/edit?usp=sharing  #gid=0"",""фіз особи new!relations_name_uo""),7,FALSE)
,
)
))"),"МАКЕЄВА Ольга Олександрівна")</f>
        <v>МАКЕЄВА Ольга Олександрівна</v>
      </c>
      <c r="G1801" s="7" t="s">
        <v>10</v>
      </c>
      <c r="H1801" s="7">
        <v>852</v>
      </c>
      <c r="I1801" s="8" t="str">
        <f ca="1">IFERROR(__xludf.DUMMYFUNCTION("IF
(
G1802=""фізична особа""
,
VLOOKUP(H1802,IMPORTRANGE(""https://docs.google.com/spreadsheets/d/14Bd19lYaqBhU8_DElYkX7l4wRkHqqCUFNJY4AfY3kHU/edit?usp=sharing  #gid=0"",""фіз особи new!relations_name""),6,FALSE)
,
(IF
(
G1802=""юридична особа""
,
VLOOKUP"&amp;"(H1802,IMPORTRANGE(""https://docs.google.com/spreadsheets/d/14Bd19lYaqBhU8_DElYkX7l4wRkHqqCUFNJY4AfY3kHU/edit?usp=sharing  #gid=0"",""фіз особи new!relations_name_uo""),7,FALSE)
,
)
))"),"БІДЬОВКА Володимир Анатолійович")</f>
        <v>БІДЬОВКА Володимир Анатолійович</v>
      </c>
      <c r="J1801" s="7" t="s">
        <v>29</v>
      </c>
    </row>
    <row r="1802" spans="1:10" ht="13.2">
      <c r="A1802" s="7">
        <v>1801</v>
      </c>
      <c r="B1802" s="7">
        <v>1</v>
      </c>
      <c r="C1802" s="7" t="s">
        <v>10</v>
      </c>
      <c r="D1802" s="7">
        <v>566</v>
      </c>
      <c r="E1802" s="7" t="s">
        <v>15</v>
      </c>
      <c r="F1802" s="8" t="str">
        <f ca="1">IFERROR(__xludf.DUMMYFUNCTION("IF
(
C1803=""фізична особа""
,
VLOOKUP(D1803,IMPORTRANGE(""https://docs.google.com/spreadsheets/d/14Bd19lYaqBhU8_DElYkX7l4wRkHqqCUFNJY4AfY3kHU/edit?usp=sharing  #gid=0"",""фіз особи new!relations_name""),6,FALSE)
,
(IF
(
C1803=""юридична особа""
,
VLOOKUP"&amp;"(D1803,IMPORTRANGE(""https://docs.google.com/spreadsheets/d/14Bd19lYaqBhU8_DElYkX7l4wRkHqqCUFNJY4AfY3kHU/edit?usp=sharing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G1802" s="7" t="s">
        <v>10</v>
      </c>
      <c r="H1802" s="7">
        <v>0</v>
      </c>
      <c r="I1802" s="8" t="str">
        <f ca="1">IFERROR(__xludf.DUMMYFUNCTION("IF
(
G1803=""фізична особа""
,
VLOOKUP(H1803,IMPORTRANGE(""https://docs.google.com/spreadsheets/d/14Bd19lYaqBhU8_DElYkX7l4wRkHqqCUFNJY4AfY3kHU/edit?usp=sharing  #gid=0"",""фіз особи new!relations_name""),6,FALSE)
,
(IF
(
G1803=""юридична особа""
,
VLOOKUP"&amp;"(H1803,IMPORTRANGE(""https://docs.google.com/spreadsheets/d/14Bd19lYaqBhU8_DElYkX7l4wRkHqqCUFNJY4AfY3kHU/edit?usp=sharing  #gid=0"",""фіз особи new!relations_name_uo""),7,FALSE)
,
)
))"),"#N/A")</f>
        <v>#N/A</v>
      </c>
      <c r="J1802" s="7" t="s">
        <v>14</v>
      </c>
    </row>
    <row r="1803" spans="1:10" ht="13.2">
      <c r="A1803" s="7">
        <v>1802</v>
      </c>
      <c r="B1803" s="7">
        <v>1</v>
      </c>
      <c r="C1803" s="7" t="s">
        <v>10</v>
      </c>
      <c r="D1803" s="7">
        <v>566</v>
      </c>
      <c r="E1803" s="7" t="s">
        <v>21</v>
      </c>
      <c r="F1803" s="8" t="str">
        <f ca="1">IFERROR(__xludf.DUMMYFUNCTION("IF
(
C1804=""фізична особа""
,
VLOOKUP(D1804,IMPORTRANGE(""https://docs.google.com/spreadsheets/d/14Bd19lYaqBhU8_DElYkX7l4wRkHqqCUFNJY4AfY3kHU/edit?usp=sharing  #gid=0"",""фіз особи new!relations_name""),6,FALSE)
,
(IF
(
C1804=""юридична особа""
,
VLOOKUP"&amp;"(D1804,IMPORTRANGE(""https://docs.google.com/spreadsheets/d/14Bd19lYaqBhU8_DElYkX7l4wRkHqqCUFNJY4AfY3kHU/edit?usp=sharing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G1803" s="7" t="s">
        <v>10</v>
      </c>
      <c r="H1803" s="7">
        <v>0</v>
      </c>
      <c r="I1803" s="8" t="str">
        <f ca="1">IFERROR(__xludf.DUMMYFUNCTION("IF
(
G1804=""фізична особа""
,
VLOOKUP(H1804,IMPORTRANGE(""https://docs.google.com/spreadsheets/d/14Bd19lYaqBhU8_DElYkX7l4wRkHqqCUFNJY4AfY3kHU/edit?usp=sharing  #gid=0"",""фіз особи new!relations_name""),6,FALSE)
,
(IF
(
G1804=""юридична особа""
,
VLOOKUP"&amp;"(H1804,IMPORTRANGE(""https://docs.google.com/spreadsheets/d/14Bd19lYaqBhU8_DElYkX7l4wRkHqqCUFNJY4AfY3kHU/edit?usp=sharing  #gid=0"",""фіз особи new!relations_name_uo""),7,FALSE)
,
)
))"),"#N/A")</f>
        <v>#N/A</v>
      </c>
      <c r="J1803" s="7" t="s">
        <v>13</v>
      </c>
    </row>
    <row r="1804" spans="1:10" ht="13.2">
      <c r="A1804" s="7">
        <v>1803</v>
      </c>
      <c r="B1804" s="7">
        <v>1</v>
      </c>
      <c r="C1804" s="7" t="s">
        <v>10</v>
      </c>
      <c r="D1804" s="7">
        <v>566</v>
      </c>
      <c r="E1804" s="7" t="s">
        <v>31</v>
      </c>
      <c r="F1804" s="8" t="str">
        <f ca="1">IFERROR(__xludf.DUMMYFUNCTION("IF
(
C1805=""фізична особа""
,
VLOOKUP(D1805,IMPORTRANGE(""https://docs.google.com/spreadsheets/d/14Bd19lYaqBhU8_DElYkX7l4wRkHqqCUFNJY4AfY3kHU/edit?usp=sharing  #gid=0"",""фіз особи new!relations_name""),6,FALSE)
,
(IF
(
C1805=""юридична особа""
,
VLOOKUP"&amp;"(D1805,IMPORTRANGE(""https://docs.google.com/spreadsheets/d/14Bd19lYaqBhU8_DElYkX7l4wRkHqqCUFNJY4AfY3kHU/edit?usp=sharing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G1804" s="7" t="s">
        <v>10</v>
      </c>
      <c r="H1804" s="7">
        <v>0</v>
      </c>
      <c r="I1804" s="8" t="str">
        <f ca="1">IFERROR(__xludf.DUMMYFUNCTION("IF
(
G1805=""фізична особа""
,
VLOOKUP(H1805,IMPORTRANGE(""https://docs.google.com/spreadsheets/d/14Bd19lYaqBhU8_DElYkX7l4wRkHqqCUFNJY4AfY3kHU/edit?usp=sharing  #gid=0"",""фіз особи new!relations_name""),6,FALSE)
,
(IF
(
G1805=""юридична особа""
,
VLOOKUP"&amp;"(H1805,IMPORTRANGE(""https://docs.google.com/spreadsheets/d/14Bd19lYaqBhU8_DElYkX7l4wRkHqqCUFNJY4AfY3kHU/edit?usp=sharing  #gid=0"",""фіз особи new!relations_name_uo""),7,FALSE)
,
)
))"),"#N/A")</f>
        <v>#N/A</v>
      </c>
      <c r="J1804" s="7" t="s">
        <v>31</v>
      </c>
    </row>
    <row r="1805" spans="1:10" ht="13.2">
      <c r="A1805" s="7">
        <v>1804</v>
      </c>
      <c r="B1805" s="7">
        <v>1</v>
      </c>
      <c r="C1805" s="7" t="s">
        <v>10</v>
      </c>
      <c r="D1805" s="7">
        <v>567</v>
      </c>
      <c r="E1805" s="7" t="s">
        <v>48</v>
      </c>
      <c r="F1805" s="8" t="str">
        <f ca="1">IFERROR(__xludf.DUMMYFUNCTION("IF
(
C1806=""фізична особа""
,
VLOOKUP(D1806,IMPORTRANGE(""https://docs.google.com/spreadsheets/d/14Bd19lYaqBhU8_DElYkX7l4wRkHqqCUFNJY4AfY3kHU/edit?usp=sharing  #gid=0"",""фіз особи new!relations_name""),6,FALSE)
,
(IF
(
C1806=""юридична особа""
,
VLOOKUP"&amp;"(D1806,IMPORTRANGE(""https://docs.google.com/spreadsheets/d/14Bd19lYaqBhU8_DElYkX7l4wRkHqqCUFNJY4AfY3kHU/edit?usp=sharing  #gid=0"",""фіз особи new!relations_name_uo""),7,FALSE)
,
)
))"),"ГЕРМАНОВА Ольга Михайлівна")</f>
        <v>ГЕРМАНОВА Ольга Михайлівна</v>
      </c>
      <c r="G1805" s="7" t="s">
        <v>10</v>
      </c>
      <c r="H1805" s="7">
        <v>226</v>
      </c>
      <c r="I1805" s="8" t="str">
        <f ca="1">IFERROR(__xludf.DUMMYFUNCTION("IF
(
G1806=""фізична особа""
,
VLOOKUP(H1806,IMPORTRANGE(""https://docs.google.com/spreadsheets/d/14Bd19lYaqBhU8_DElYkX7l4wRkHqqCUFNJY4AfY3kHU/edit?usp=sharing  #gid=0"",""фіз особи new!relations_name""),6,FALSE)
,
(IF
(
G1806=""юридична особа""
,
VLOOKUP"&amp;"(H1806,IMPORTRANGE(""https://docs.google.com/spreadsheets/d/14Bd19lYaqBhU8_DElYkX7l4wRkHqqCUFNJY4AfY3kHU/edit?usp=sharing  #gid=0"",""фіз особи new!relations_name_uo""),7,FALSE)
,
)
))"),"ЯМПОЛЬСЬКА Олена Олександрівна")</f>
        <v>ЯМПОЛЬСЬКА Олена Олександрівна</v>
      </c>
      <c r="J1805" s="7" t="s">
        <v>48</v>
      </c>
    </row>
    <row r="1806" spans="1:10" ht="13.2">
      <c r="A1806" s="7">
        <v>1805</v>
      </c>
      <c r="B1806" s="7">
        <v>1</v>
      </c>
      <c r="C1806" s="7" t="s">
        <v>10</v>
      </c>
      <c r="D1806" s="7">
        <v>567</v>
      </c>
      <c r="E1806" s="7" t="s">
        <v>48</v>
      </c>
      <c r="F1806" s="8" t="str">
        <f ca="1">IFERROR(__xludf.DUMMYFUNCTION("IF
(
C1807=""фізична особа""
,
VLOOKUP(D1807,IMPORTRANGE(""https://docs.google.com/spreadsheets/d/14Bd19lYaqBhU8_DElYkX7l4wRkHqqCUFNJY4AfY3kHU/edit?usp=sharing  #gid=0"",""фіз особи new!relations_name""),6,FALSE)
,
(IF
(
C1807=""юридична особа""
,
VLOOKUP"&amp;"(D1807,IMPORTRANGE(""https://docs.google.com/spreadsheets/d/14Bd19lYaqBhU8_DElYkX7l4wRkHqqCUFNJY4AfY3kHU/edit?usp=sharing  #gid=0"",""фіз особи new!relations_name_uo""),7,FALSE)
,
)
))"),"ГЕРМАНОВА Ольга Михайлівна")</f>
        <v>ГЕРМАНОВА Ольга Михайлівна</v>
      </c>
      <c r="G1806" s="7" t="s">
        <v>10</v>
      </c>
      <c r="H1806" s="7">
        <v>4054</v>
      </c>
      <c r="I1806" s="8" t="str">
        <f ca="1">IFERROR(__xludf.DUMMYFUNCTION("IF
(
G1807=""фізична особа""
,
VLOOKUP(H1807,IMPORTRANGE(""https://docs.google.com/spreadsheets/d/14Bd19lYaqBhU8_DElYkX7l4wRkHqqCUFNJY4AfY3kHU/edit?usp=sharing  #gid=0"",""фіз особи new!relations_name""),6,FALSE)
,
(IF
(
G1807=""юридична особа""
,
VLOOKUP"&amp;"(H1807,IMPORTRANGE(""https://docs.google.com/spreadsheets/d/14Bd19lYaqBhU8_DElYkX7l4wRkHqqCUFNJY4AfY3kHU/edit?usp=sharing  #gid=0"",""фіз особи new!relations_name_uo""),7,FALSE)
,
)
))"),"ДРАПЕКО Олена Григорівна")</f>
        <v>ДРАПЕКО Олена Григорівна</v>
      </c>
      <c r="J1806" s="7" t="s">
        <v>48</v>
      </c>
    </row>
    <row r="1807" spans="1:10" ht="13.2">
      <c r="A1807" s="7">
        <v>1806</v>
      </c>
      <c r="B1807" s="7">
        <v>1</v>
      </c>
      <c r="C1807" s="7" t="s">
        <v>10</v>
      </c>
      <c r="D1807" s="7">
        <v>568</v>
      </c>
      <c r="E1807" s="7" t="s">
        <v>28</v>
      </c>
      <c r="F1807" s="8" t="str">
        <f ca="1">IFERROR(__xludf.DUMMYFUNCTION("IF
(
C1808=""фізична особа""
,
VLOOKUP(D1808,IMPORTRANGE(""https://docs.google.com/spreadsheets/d/14Bd19lYaqBhU8_DElYkX7l4wRkHqqCUFNJY4AfY3kHU/edit?usp=sharing  #gid=0"",""фіз особи new!relations_name""),6,FALSE)
,
(IF
(
C1808=""юридична особа""
,
VLOOKUP"&amp;"(D1808,IMPORTRANGE(""https://docs.google.com/spreadsheets/d/14Bd19lYaqBhU8_DElYkX7l4wRkHqqCUFNJY4AfY3kHU/edit?usp=sharing  #gid=0"",""фіз особи new!relations_name_uo""),7,FALSE)
,
)
))"),"НОСАТОВ Олександр Михайлович")</f>
        <v>НОСАТОВ Олександр Михайлович</v>
      </c>
      <c r="G1807" s="7" t="s">
        <v>10</v>
      </c>
      <c r="H1807" s="7">
        <v>508</v>
      </c>
      <c r="I1807" s="8" t="str">
        <f ca="1">IFERROR(__xludf.DUMMYFUNCTION("IF
(
G1808=""фізична особа""
,
VLOOKUP(H1808,IMPORTRANGE(""https://docs.google.com/spreadsheets/d/14Bd19lYaqBhU8_DElYkX7l4wRkHqqCUFNJY4AfY3kHU/edit?usp=sharing  #gid=0"",""фіз особи new!relations_name""),6,FALSE)
,
(IF
(
G1808=""юридична особа""
,
VLOOKUP"&amp;"(H1808,IMPORTRANGE(""https://docs.google.com/spreadsheets/d/14Bd19lYaqBhU8_DElYkX7l4wRkHqqCUFNJY4AfY3kHU/edit?usp=sharing  #gid=0"",""фіз особи new!relations_name_uo""),7,FALSE)
,
)
))"),"ЄВМЕНОВ Микола Анатолійович")</f>
        <v>ЄВМЕНОВ Микола Анатолійович</v>
      </c>
      <c r="J1807" s="7" t="s">
        <v>29</v>
      </c>
    </row>
    <row r="1808" spans="1:10" ht="13.2">
      <c r="A1808" s="7">
        <v>1807</v>
      </c>
      <c r="B1808" s="7">
        <v>1</v>
      </c>
      <c r="C1808" s="7" t="s">
        <v>10</v>
      </c>
      <c r="D1808" s="7">
        <v>569</v>
      </c>
      <c r="E1808" s="7" t="s">
        <v>31</v>
      </c>
      <c r="F1808" s="8" t="str">
        <f ca="1">IFERROR(__xludf.DUMMYFUNCTION("IF
(
C1809=""фізична особа""
,
VLOOKUP(D1809,IMPORTRANGE(""https://docs.google.com/spreadsheets/d/14Bd19lYaqBhU8_DElYkX7l4wRkHqqCUFNJY4AfY3kHU/edit?usp=sharing  #gid=0"",""фіз особи new!relations_name""),6,FALSE)
,
(IF
(
C1809=""юридична особа""
,
VLOOKUP"&amp;"(D1809,IMPORTRANGE(""https://docs.google.com/spreadsheets/d/14Bd19lYaqBhU8_DElYkX7l4wRkHqqCUFNJY4AfY3kHU/edit?usp=sharing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08" s="7" t="s">
        <v>10</v>
      </c>
      <c r="H1808" s="7">
        <v>0</v>
      </c>
      <c r="I1808" s="8" t="str">
        <f ca="1">IFERROR(__xludf.DUMMYFUNCTION("IF
(
G1809=""фізична особа""
,
VLOOKUP(H1809,IMPORTRANGE(""https://docs.google.com/spreadsheets/d/14Bd19lYaqBhU8_DElYkX7l4wRkHqqCUFNJY4AfY3kHU/edit?usp=sharing  #gid=0"",""фіз особи new!relations_name""),6,FALSE)
,
(IF
(
G1809=""юридична особа""
,
VLOOKUP"&amp;"(H1809,IMPORTRANGE(""https://docs.google.com/spreadsheets/d/14Bd19lYaqBhU8_DElYkX7l4wRkHqqCUFNJY4AfY3kHU/edit?usp=sharing  #gid=0"",""фіз особи new!relations_name_uo""),7,FALSE)
,
)
))"),"#N/A")</f>
        <v>#N/A</v>
      </c>
      <c r="J1808" s="7" t="s">
        <v>18</v>
      </c>
    </row>
    <row r="1809" spans="1:10" ht="13.2">
      <c r="A1809" s="7">
        <v>1808</v>
      </c>
      <c r="B1809" s="7">
        <v>1</v>
      </c>
      <c r="C1809" s="7" t="s">
        <v>10</v>
      </c>
      <c r="D1809" s="7">
        <v>569</v>
      </c>
      <c r="E1809" s="7" t="s">
        <v>21</v>
      </c>
      <c r="F1809" s="8" t="str">
        <f ca="1">IFERROR(__xludf.DUMMYFUNCTION("IF
(
C1810=""фізична особа""
,
VLOOKUP(D1810,IMPORTRANGE(""https://docs.google.com/spreadsheets/d/14Bd19lYaqBhU8_DElYkX7l4wRkHqqCUFNJY4AfY3kHU/edit?usp=sharing  #gid=0"",""фіз особи new!relations_name""),6,FALSE)
,
(IF
(
C1810=""юридична особа""
,
VLOOKUP"&amp;"(D1810,IMPORTRANGE(""https://docs.google.com/spreadsheets/d/14Bd19lYaqBhU8_DElYkX7l4wRkHqqCUFNJY4AfY3kHU/edit?usp=sharing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09" s="7" t="s">
        <v>10</v>
      </c>
      <c r="H1809" s="7">
        <v>4921</v>
      </c>
      <c r="I1809" s="8" t="str">
        <f ca="1">IFERROR(__xludf.DUMMYFUNCTION("IF
(
G1810=""фізична особа""
,
VLOOKUP(H1810,IMPORTRANGE(""https://docs.google.com/spreadsheets/d/14Bd19lYaqBhU8_DElYkX7l4wRkHqqCUFNJY4AfY3kHU/edit?usp=sharing  #gid=0"",""фіз особи new!relations_name""),6,FALSE)
,
(IF
(
G1810=""юридична особа""
,
VLOOKUP"&amp;"(H1810,IMPORTRANGE(""https://docs.google.com/spreadsheets/d/14Bd19lYaqBhU8_DElYkX7l4wRkHqqCUFNJY4AfY3kHU/edit?usp=sharing  #gid=0"",""фіз особи new!relations_name_uo""),7,FALSE)
,
)
))"),"КАЗАКОВ Михайло")</f>
        <v>КАЗАКОВ Михайло</v>
      </c>
      <c r="J1809" s="7" t="s">
        <v>17</v>
      </c>
    </row>
    <row r="1810" spans="1:10" ht="13.2">
      <c r="A1810" s="7">
        <v>1809</v>
      </c>
      <c r="B1810" s="7">
        <v>1</v>
      </c>
      <c r="C1810" s="7" t="s">
        <v>10</v>
      </c>
      <c r="D1810" s="7">
        <v>569</v>
      </c>
      <c r="E1810" s="7" t="s">
        <v>27</v>
      </c>
      <c r="F1810" s="8" t="str">
        <f ca="1">IFERROR(__xludf.DUMMYFUNCTION("IF
(
C1811=""фізична особа""
,
VLOOKUP(D1811,IMPORTRANGE(""https://docs.google.com/spreadsheets/d/14Bd19lYaqBhU8_DElYkX7l4wRkHqqCUFNJY4AfY3kHU/edit?usp=sharing  #gid=0"",""фіз особи new!relations_name""),6,FALSE)
,
(IF
(
C1811=""юридична особа""
,
VLOOKUP"&amp;"(D1811,IMPORTRANGE(""https://docs.google.com/spreadsheets/d/14Bd19lYaqBhU8_DElYkX7l4wRkHqqCUFNJY4AfY3kHU/edit?usp=sharing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10" s="7" t="s">
        <v>10</v>
      </c>
      <c r="H1810" s="7">
        <v>4919</v>
      </c>
      <c r="I1810" s="8" t="str">
        <f ca="1">IFERROR(__xludf.DUMMYFUNCTION("IF
(
G1811=""фізична особа""
,
VLOOKUP(H1811,IMPORTRANGE(""https://docs.google.com/spreadsheets/d/14Bd19lYaqBhU8_DElYkX7l4wRkHqqCUFNJY4AfY3kHU/edit?usp=sharing  #gid=0"",""фіз особи new!relations_name""),6,FALSE)
,
(IF
(
G1811=""юридична особа""
,
VLOOKUP"&amp;"(H1811,IMPORTRANGE(""https://docs.google.com/spreadsheets/d/14Bd19lYaqBhU8_DElYkX7l4wRkHqqCUFNJY4AfY3kHU/edit?usp=sharing  #gid=0"",""фіз особи new!relations_name_uo""),7,FALSE)
,
)
))"),"ЖАЛНІН Ярослав Володимирович")</f>
        <v>ЖАЛНІН Ярослав Володимирович</v>
      </c>
      <c r="J1810" s="7" t="s">
        <v>26</v>
      </c>
    </row>
    <row r="1811" spans="1:10" ht="13.2">
      <c r="A1811" s="7">
        <v>1810</v>
      </c>
      <c r="B1811" s="7">
        <v>1</v>
      </c>
      <c r="C1811" s="7" t="s">
        <v>10</v>
      </c>
      <c r="D1811" s="7">
        <v>569</v>
      </c>
      <c r="E1811" s="7" t="s">
        <v>21</v>
      </c>
      <c r="F1811" s="8" t="str">
        <f ca="1">IFERROR(__xludf.DUMMYFUNCTION("IF
(
C1812=""фізична особа""
,
VLOOKUP(D1812,IMPORTRANGE(""https://docs.google.com/spreadsheets/d/14Bd19lYaqBhU8_DElYkX7l4wRkHqqCUFNJY4AfY3kHU/edit?usp=sharing  #gid=0"",""фіз особи new!relations_name""),6,FALSE)
,
(IF
(
C1812=""юридична особа""
,
VLOOKUP"&amp;"(D1812,IMPORTRANGE(""https://docs.google.com/spreadsheets/d/14Bd19lYaqBhU8_DElYkX7l4wRkHqqCUFNJY4AfY3kHU/edit?usp=sharing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11" s="7" t="s">
        <v>10</v>
      </c>
      <c r="H1811" s="7">
        <v>4920</v>
      </c>
      <c r="I1811" s="8" t="str">
        <f ca="1">IFERROR(__xludf.DUMMYFUNCTION("IF
(
G1812=""фізична особа""
,
VLOOKUP(H1812,IMPORTRANGE(""https://docs.google.com/spreadsheets/d/14Bd19lYaqBhU8_DElYkX7l4wRkHqqCUFNJY4AfY3kHU/edit?usp=sharing  #gid=0"",""фіз особи new!relations_name""),6,FALSE)
,
(IF
(
G1812=""юридична особа""
,
VLOOKUP"&amp;"(H1812,IMPORTRANGE(""https://docs.google.com/spreadsheets/d/14Bd19lYaqBhU8_DElYkX7l4wRkHqqCUFNJY4AfY3kHU/edit?usp=sharing  #gid=0"",""фіз особи new!relations_name_uo""),7,FALSE)
,
)
))"),"ЖАЛНІНА Ілона Вадимівна")</f>
        <v>ЖАЛНІНА Ілона Вадимівна</v>
      </c>
      <c r="J1811" s="7" t="s">
        <v>13</v>
      </c>
    </row>
    <row r="1812" spans="1:10" ht="13.2">
      <c r="A1812" s="7">
        <v>1811</v>
      </c>
      <c r="B1812" s="7">
        <v>1</v>
      </c>
      <c r="C1812" s="7" t="s">
        <v>10</v>
      </c>
      <c r="D1812" s="7">
        <v>569</v>
      </c>
      <c r="E1812" s="7" t="s">
        <v>79</v>
      </c>
      <c r="F1812" s="8" t="str">
        <f ca="1">IFERROR(__xludf.DUMMYFUNCTION("IF
(
C1813=""фізична особа""
,
VLOOKUP(D1813,IMPORTRANGE(""https://docs.google.com/spreadsheets/d/14Bd19lYaqBhU8_DElYkX7l4wRkHqqCUFNJY4AfY3kHU/edit?usp=sharing  #gid=0"",""фіз особи new!relations_name""),6,FALSE)
,
(IF
(
C1813=""юридична особа""
,
VLOOKUP"&amp;"(D1813,IMPORTRANGE(""https://docs.google.com/spreadsheets/d/14Bd19lYaqBhU8_DElYkX7l4wRkHqqCUFNJY4AfY3kHU/edit?usp=sharing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12" s="7" t="s">
        <v>10</v>
      </c>
      <c r="H1812" s="7">
        <v>0</v>
      </c>
      <c r="I1812" s="8" t="str">
        <f ca="1">IFERROR(__xludf.DUMMYFUNCTION("IF
(
G1813=""фізична особа""
,
VLOOKUP(H1813,IMPORTRANGE(""https://docs.google.com/spreadsheets/d/14Bd19lYaqBhU8_DElYkX7l4wRkHqqCUFNJY4AfY3kHU/edit?usp=sharing  #gid=0"",""фіз особи new!relations_name""),6,FALSE)
,
(IF
(
G1813=""юридична особа""
,
VLOOKUP"&amp;"(H1813,IMPORTRANGE(""https://docs.google.com/spreadsheets/d/14Bd19lYaqBhU8_DElYkX7l4wRkHqqCUFNJY4AfY3kHU/edit?usp=sharing  #gid=0"",""фіз особи new!relations_name_uo""),7,FALSE)
,
)
))"),"#N/A")</f>
        <v>#N/A</v>
      </c>
      <c r="J1812" s="7" t="s">
        <v>60</v>
      </c>
    </row>
    <row r="1813" spans="1:10" ht="13.2">
      <c r="A1813" s="7">
        <v>1812</v>
      </c>
      <c r="B1813" s="7">
        <v>1</v>
      </c>
      <c r="C1813" s="7" t="s">
        <v>10</v>
      </c>
      <c r="D1813" s="7">
        <v>569</v>
      </c>
      <c r="E1813" s="7" t="s">
        <v>29</v>
      </c>
      <c r="F1813" s="8" t="str">
        <f ca="1">IFERROR(__xludf.DUMMYFUNCTION("IF
(
C1814=""фізична особа""
,
VLOOKUP(D1814,IMPORTRANGE(""https://docs.google.com/spreadsheets/d/14Bd19lYaqBhU8_DElYkX7l4wRkHqqCUFNJY4AfY3kHU/edit?usp=sharing  #gid=0"",""фіз особи new!relations_name""),6,FALSE)
,
(IF
(
C1814=""юридична особа""
,
VLOOKUP"&amp;"(D1814,IMPORTRANGE(""https://docs.google.com/spreadsheets/d/14Bd19lYaqBhU8_DElYkX7l4wRkHqqCUFNJY4AfY3kHU/edit?usp=sharing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13" s="7" t="s">
        <v>10</v>
      </c>
      <c r="H1813" s="7">
        <v>0</v>
      </c>
      <c r="I1813" s="8" t="str">
        <f ca="1">IFERROR(__xludf.DUMMYFUNCTION("IF
(
G1814=""фізична особа""
,
VLOOKUP(H1814,IMPORTRANGE(""https://docs.google.com/spreadsheets/d/14Bd19lYaqBhU8_DElYkX7l4wRkHqqCUFNJY4AfY3kHU/edit?usp=sharing  #gid=0"",""фіз особи new!relations_name""),6,FALSE)
,
(IF
(
G1814=""юридична особа""
,
VLOOKUP"&amp;"(H1814,IMPORTRANGE(""https://docs.google.com/spreadsheets/d/14Bd19lYaqBhU8_DElYkX7l4wRkHqqCUFNJY4AfY3kHU/edit?usp=sharing  #gid=0"",""фіз особи new!relations_name_uo""),7,FALSE)
,
)
))"),"#N/A")</f>
        <v>#N/A</v>
      </c>
      <c r="J1813" s="7" t="s">
        <v>28</v>
      </c>
    </row>
    <row r="1814" spans="1:10" ht="13.2">
      <c r="A1814" s="7">
        <v>1813</v>
      </c>
      <c r="B1814" s="7">
        <v>1</v>
      </c>
      <c r="C1814" s="7" t="s">
        <v>10</v>
      </c>
      <c r="D1814" s="7">
        <v>569</v>
      </c>
      <c r="E1814" s="7" t="s">
        <v>29</v>
      </c>
      <c r="F1814" s="8" t="str">
        <f ca="1">IFERROR(__xludf.DUMMYFUNCTION("IF
(
C1815=""фізична особа""
,
VLOOKUP(D1815,IMPORTRANGE(""https://docs.google.com/spreadsheets/d/14Bd19lYaqBhU8_DElYkX7l4wRkHqqCUFNJY4AfY3kHU/edit?usp=sharing  #gid=0"",""фіз особи new!relations_name""),6,FALSE)
,
(IF
(
C1815=""юридична особа""
,
VLOOKUP"&amp;"(D1815,IMPORTRANGE(""https://docs.google.com/spreadsheets/d/14Bd19lYaqBhU8_DElYkX7l4wRkHqqCUFNJY4AfY3kHU/edit?usp=sharing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G1814" s="7" t="s">
        <v>10</v>
      </c>
      <c r="H1814" s="7">
        <v>0</v>
      </c>
      <c r="I1814" s="8" t="str">
        <f ca="1">IFERROR(__xludf.DUMMYFUNCTION("IF
(
G1815=""фізична особа""
,
VLOOKUP(H1815,IMPORTRANGE(""https://docs.google.com/spreadsheets/d/14Bd19lYaqBhU8_DElYkX7l4wRkHqqCUFNJY4AfY3kHU/edit?usp=sharing  #gid=0"",""фіз особи new!relations_name""),6,FALSE)
,
(IF
(
G1815=""юридична особа""
,
VLOOKUP"&amp;"(H1815,IMPORTRANGE(""https://docs.google.com/spreadsheets/d/14Bd19lYaqBhU8_DElYkX7l4wRkHqqCUFNJY4AfY3kHU/edit?usp=sharing  #gid=0"",""фіз особи new!relations_name_uo""),7,FALSE)
,
)
))"),"#N/A")</f>
        <v>#N/A</v>
      </c>
      <c r="J1814" s="7" t="s">
        <v>28</v>
      </c>
    </row>
    <row r="1815" spans="1:10" ht="13.2">
      <c r="A1815" s="7">
        <v>1814</v>
      </c>
      <c r="B1815" s="7">
        <v>1</v>
      </c>
      <c r="C1815" s="7" t="s">
        <v>10</v>
      </c>
      <c r="D1815" s="7">
        <v>570</v>
      </c>
      <c r="E1815" s="7" t="s">
        <v>15</v>
      </c>
      <c r="F1815" s="8" t="str">
        <f ca="1">IFERROR(__xludf.DUMMYFUNCTION("IF
(
C1816=""фізична особа""
,
VLOOKUP(D1816,IMPORTRANGE(""https://docs.google.com/spreadsheets/d/14Bd19lYaqBhU8_DElYkX7l4wRkHqqCUFNJY4AfY3kHU/edit?usp=sharing  #gid=0"",""фіз особи new!relations_name""),6,FALSE)
,
(IF
(
C1816=""юридична особа""
,
VLOOKUP"&amp;"(D1816,IMPORTRANGE(""https://docs.google.com/spreadsheets/d/14Bd19lYaqBhU8_DElYkX7l4wRkHqqCUFNJY4AfY3kHU/edit?usp=sharing  #gid=0"",""фіз особи new!relations_name_uo""),7,FALSE)
,
)
))"),"АМЕЛЬЧЕНКОВА Ольга Миколаївна")</f>
        <v>АМЕЛЬЧЕНКОВА Ольга Миколаївна</v>
      </c>
      <c r="G1815" s="7" t="s">
        <v>10</v>
      </c>
      <c r="H1815" s="7">
        <v>0</v>
      </c>
      <c r="I1815" s="8" t="str">
        <f ca="1">IFERROR(__xludf.DUMMYFUNCTION("IF
(
G1816=""фізична особа""
,
VLOOKUP(H1816,IMPORTRANGE(""https://docs.google.com/spreadsheets/d/14Bd19lYaqBhU8_DElYkX7l4wRkHqqCUFNJY4AfY3kHU/edit?usp=sharing  #gid=0"",""фіз особи new!relations_name""),6,FALSE)
,
(IF
(
G1816=""юридична особа""
,
VLOOKUP"&amp;"(H1816,IMPORTRANGE(""https://docs.google.com/spreadsheets/d/14Bd19lYaqBhU8_DElYkX7l4wRkHqqCUFNJY4AfY3kHU/edit?usp=sharing  #gid=0"",""фіз особи new!relations_name_uo""),7,FALSE)
,
)
))"),"#N/A")</f>
        <v>#N/A</v>
      </c>
      <c r="J1815" s="7" t="s">
        <v>14</v>
      </c>
    </row>
    <row r="1816" spans="1:10" ht="13.2">
      <c r="A1816" s="7">
        <v>1815</v>
      </c>
      <c r="B1816" s="7">
        <v>1</v>
      </c>
      <c r="C1816" s="7" t="s">
        <v>10</v>
      </c>
      <c r="D1816" s="7">
        <v>570</v>
      </c>
      <c r="E1816" s="7" t="s">
        <v>48</v>
      </c>
      <c r="F1816" s="8" t="str">
        <f ca="1">IFERROR(__xludf.DUMMYFUNCTION("IF
(
C1817=""фізична особа""
,
VLOOKUP(D1817,IMPORTRANGE(""https://docs.google.com/spreadsheets/d/14Bd19lYaqBhU8_DElYkX7l4wRkHqqCUFNJY4AfY3kHU/edit?usp=sharing  #gid=0"",""фіз особи new!relations_name""),6,FALSE)
,
(IF
(
C1817=""юридична особа""
,
VLOOKUP"&amp;"(D1817,IMPORTRANGE(""https://docs.google.com/spreadsheets/d/14Bd19lYaqBhU8_DElYkX7l4wRkHqqCUFNJY4AfY3kHU/edit?usp=sharing  #gid=0"",""фіз особи new!relations_name_uo""),7,FALSE)
,
)
))"),"АМЕЛЬЧЕНКОВА Ольга Миколаївна")</f>
        <v>АМЕЛЬЧЕНКОВА Ольга Миколаївна</v>
      </c>
      <c r="G1816" s="7" t="s">
        <v>10</v>
      </c>
      <c r="H1816" s="7">
        <v>8665</v>
      </c>
      <c r="I1816" s="8" t="str">
        <f ca="1">IFERROR(__xludf.DUMMYFUNCTION("IF
(
G1817=""фізична особа""
,
VLOOKUP(H1817,IMPORTRANGE(""https://docs.google.com/spreadsheets/d/14Bd19lYaqBhU8_DElYkX7l4wRkHqqCUFNJY4AfY3kHU/edit?usp=sharing  #gid=0"",""фіз особи new!relations_name""),6,FALSE)
,
(IF
(
G1817=""юридична особа""
,
VLOOKUP"&amp;"(H1817,IMPORTRANGE(""https://docs.google.com/spreadsheets/d/14Bd19lYaqBhU8_DElYkX7l4wRkHqqCUFNJY4AfY3kHU/edit?usp=sharing  #gid=0"",""фіз особи new!relations_name_uo""),7,FALSE)
,
)
))"),"КУЗНЕЦОВ Михайло Михайлович")</f>
        <v>КУЗНЕЦОВ Михайло Михайлович</v>
      </c>
      <c r="J1816" s="7" t="s">
        <v>48</v>
      </c>
    </row>
    <row r="1817" spans="1:10" ht="13.2">
      <c r="A1817" s="7">
        <v>1816</v>
      </c>
      <c r="B1817" s="7">
        <v>1</v>
      </c>
      <c r="C1817" s="7" t="s">
        <v>10</v>
      </c>
      <c r="D1817" s="7">
        <v>570</v>
      </c>
      <c r="E1817" s="7" t="s">
        <v>48</v>
      </c>
      <c r="F1817" s="8" t="str">
        <f ca="1">IFERROR(__xludf.DUMMYFUNCTION("IF
(
C1818=""фізична особа""
,
VLOOKUP(D1818,IMPORTRANGE(""https://docs.google.com/spreadsheets/d/14Bd19lYaqBhU8_DElYkX7l4wRkHqqCUFNJY4AfY3kHU/edit?usp=sharing  #gid=0"",""фіз особи new!relations_name""),6,FALSE)
,
(IF
(
C1818=""юридична особа""
,
VLOOKUP"&amp;"(D1818,IMPORTRANGE(""https://docs.google.com/spreadsheets/d/14Bd19lYaqBhU8_DElYkX7l4wRkHqqCUFNJY4AfY3kHU/edit?usp=sharing  #gid=0"",""фіз особи new!relations_name_uo""),7,FALSE)
,
)
))"),"АМЕЛЬЧЕНКОВА Ольга Миколаївна")</f>
        <v>АМЕЛЬЧЕНКОВА Ольга Миколаївна</v>
      </c>
      <c r="G1817" s="7" t="s">
        <v>10</v>
      </c>
      <c r="H1817" s="7">
        <v>880</v>
      </c>
      <c r="I1817" s="8" t="str">
        <f ca="1">IFERROR(__xludf.DUMMYFUNCTION("IF
(
G1818=""фізична особа""
,
VLOOKUP(H1818,IMPORTRANGE(""https://docs.google.com/spreadsheets/d/14Bd19lYaqBhU8_DElYkX7l4wRkHqqCUFNJY4AfY3kHU/edit?usp=sharing  #gid=0"",""фіз особи new!relations_name""),6,FALSE)
,
(IF
(
G1818=""юридична особа""
,
VLOOKUP"&amp;"(H1818,IMPORTRANGE(""https://docs.google.com/spreadsheets/d/14Bd19lYaqBhU8_DElYkX7l4wRkHqqCUFNJY4AfY3kHU/edit?usp=sharing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817" s="7" t="s">
        <v>48</v>
      </c>
    </row>
    <row r="1818" spans="1:10" ht="13.2">
      <c r="A1818" s="7">
        <v>1817</v>
      </c>
      <c r="B1818" s="7">
        <v>1</v>
      </c>
      <c r="C1818" s="7" t="s">
        <v>10</v>
      </c>
      <c r="D1818" s="7">
        <v>570</v>
      </c>
      <c r="E1818" s="7" t="s">
        <v>48</v>
      </c>
      <c r="F1818" s="8" t="str">
        <f ca="1">IFERROR(__xludf.DUMMYFUNCTION("IF
(
C1819=""фізична особа""
,
VLOOKUP(D1819,IMPORTRANGE(""https://docs.google.com/spreadsheets/d/14Bd19lYaqBhU8_DElYkX7l4wRkHqqCUFNJY4AfY3kHU/edit?usp=sharing  #gid=0"",""фіз особи new!relations_name""),6,FALSE)
,
(IF
(
C1819=""юридична особа""
,
VLOOKUP"&amp;"(D1819,IMPORTRANGE(""https://docs.google.com/spreadsheets/d/14Bd19lYaqBhU8_DElYkX7l4wRkHqqCUFNJY4AfY3kHU/edit?usp=sharing  #gid=0"",""фіз особи new!relations_name_uo""),7,FALSE)
,
)
))"),"АМЕЛЬЧЕНКОВА Ольга Миколаївна")</f>
        <v>АМЕЛЬЧЕНКОВА Ольга Миколаївна</v>
      </c>
      <c r="G1818" s="7" t="s">
        <v>10</v>
      </c>
      <c r="H1818" s="7">
        <v>578</v>
      </c>
      <c r="I1818" s="8" t="str">
        <f ca="1">IFERROR(__xludf.DUMMYFUNCTION("IF
(
G1819=""фізична особа""
,
VLOOKUP(H1819,IMPORTRANGE(""https://docs.google.com/spreadsheets/d/14Bd19lYaqBhU8_DElYkX7l4wRkHqqCUFNJY4AfY3kHU/edit?usp=sharing  #gid=0"",""фіз особи new!relations_name""),6,FALSE)
,
(IF
(
G1819=""юридична особа""
,
VLOOKUP"&amp;"(H1819,IMPORTRANGE(""https://docs.google.com/spreadsheets/d/14Bd19lYaqBhU8_DElYkX7l4wRkHqqCUFNJY4AfY3kHU/edit?usp=sharing  #gid=0"",""фіз особи new!relations_name_uo""),7,FALSE)
,
)
))"),"ТИМОФЄЄВА Ольга Вікторівна")</f>
        <v>ТИМОФЄЄВА Ольга Вікторівна</v>
      </c>
      <c r="J1818" s="7" t="s">
        <v>48</v>
      </c>
    </row>
    <row r="1819" spans="1:10" ht="13.2">
      <c r="A1819" s="7">
        <v>1818</v>
      </c>
      <c r="B1819" s="7">
        <v>1</v>
      </c>
      <c r="C1819" s="7" t="s">
        <v>10</v>
      </c>
      <c r="D1819" s="7">
        <v>571</v>
      </c>
      <c r="E1819" s="7" t="s">
        <v>48</v>
      </c>
      <c r="F1819" s="8" t="str">
        <f ca="1">IFERROR(__xludf.DUMMYFUNCTION("IF
(
C1820=""фізична особа""
,
VLOOKUP(D1820,IMPORTRANGE(""https://docs.google.com/spreadsheets/d/14Bd19lYaqBhU8_DElYkX7l4wRkHqqCUFNJY4AfY3kHU/edit?usp=sharing  #gid=0"",""фіз особи new!relations_name""),6,FALSE)
,
(IF
(
C1820=""юридична особа""
,
VLOOKUP"&amp;"(D1820,IMPORTRANGE(""https://docs.google.com/spreadsheets/d/14Bd19lYaqBhU8_DElYkX7l4wRkHqqCUFNJY4AfY3kHU/edit?usp=sharing  #gid=0"",""фіз особи new!relations_name_uo""),7,FALSE)
,
)
))"),"АНУФРІЄВА Ольга Миколаївна")</f>
        <v>АНУФРІЄВА Ольга Миколаївна</v>
      </c>
      <c r="G1819" s="7" t="s">
        <v>10</v>
      </c>
      <c r="H1819" s="7">
        <v>76</v>
      </c>
      <c r="I1819" s="8" t="str">
        <f ca="1">IFERROR(__xludf.DUMMYFUNCTION("IF
(
G1820=""фізична особа""
,
VLOOKUP(H1820,IMPORTRANGE(""https://docs.google.com/spreadsheets/d/14Bd19lYaqBhU8_DElYkX7l4wRkHqqCUFNJY4AfY3kHU/edit?usp=sharing  #gid=0"",""фіз особи new!relations_name""),6,FALSE)
,
(IF
(
G1820=""юридична особа""
,
VLOOKUP"&amp;"(H1820,IMPORTRANGE(""https://docs.google.com/spreadsheets/d/14Bd19lYaqBhU8_DElYkX7l4wRkHqqCUFNJY4AfY3kHU/edit?usp=sharing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1819" s="7" t="s">
        <v>48</v>
      </c>
    </row>
    <row r="1820" spans="1:10" ht="13.2">
      <c r="A1820" s="7">
        <v>1819</v>
      </c>
      <c r="B1820" s="7">
        <v>1</v>
      </c>
      <c r="C1820" s="7" t="s">
        <v>10</v>
      </c>
      <c r="D1820" s="7">
        <v>571</v>
      </c>
      <c r="E1820" s="7" t="s">
        <v>11</v>
      </c>
      <c r="F1820" s="8" t="str">
        <f ca="1">IFERROR(__xludf.DUMMYFUNCTION("IF
(
C1821=""фізична особа""
,
VLOOKUP(D1821,IMPORTRANGE(""https://docs.google.com/spreadsheets/d/14Bd19lYaqBhU8_DElYkX7l4wRkHqqCUFNJY4AfY3kHU/edit?usp=sharing  #gid=0"",""фіз особи new!relations_name""),6,FALSE)
,
(IF
(
C1821=""юридична особа""
,
VLOOKUP"&amp;"(D1821,IMPORTRANGE(""https://docs.google.com/spreadsheets/d/14Bd19lYaqBhU8_DElYkX7l4wRkHqqCUFNJY4AfY3kHU/edit?usp=sharing  #gid=0"",""фіз особи new!relations_name_uo""),7,FALSE)
,
)
))"),"АНУФРІЄВА Ольга Миколаївна")</f>
        <v>АНУФРІЄВА Ольга Миколаївна</v>
      </c>
      <c r="G1820" s="7" t="s">
        <v>10</v>
      </c>
      <c r="H1820" s="7">
        <v>0</v>
      </c>
      <c r="I1820" s="8" t="str">
        <f ca="1">IFERROR(__xludf.DUMMYFUNCTION("IF
(
G1821=""фізична особа""
,
VLOOKUP(H1821,IMPORTRANGE(""https://docs.google.com/spreadsheets/d/14Bd19lYaqBhU8_DElYkX7l4wRkHqqCUFNJY4AfY3kHU/edit?usp=sharing  #gid=0"",""фіз особи new!relations_name""),6,FALSE)
,
(IF
(
G1821=""юридична особа""
,
VLOOKUP"&amp;"(H1821,IMPORTRANGE(""https://docs.google.com/spreadsheets/d/14Bd19lYaqBhU8_DElYkX7l4wRkHqqCUFNJY4AfY3kHU/edit?usp=sharing  #gid=0"",""фіз особи new!relations_name_uo""),7,FALSE)
,
)
))"),"#N/A")</f>
        <v>#N/A</v>
      </c>
      <c r="J1820" s="7" t="s">
        <v>11</v>
      </c>
    </row>
    <row r="1821" spans="1:10" ht="13.2">
      <c r="A1821" s="7">
        <v>1820</v>
      </c>
      <c r="B1821" s="7">
        <v>1</v>
      </c>
      <c r="C1821" s="7" t="s">
        <v>10</v>
      </c>
      <c r="D1821" s="7">
        <v>571</v>
      </c>
      <c r="E1821" s="7" t="s">
        <v>11</v>
      </c>
      <c r="F1821" s="8" t="str">
        <f ca="1">IFERROR(__xludf.DUMMYFUNCTION("IF
(
C1822=""фізична особа""
,
VLOOKUP(D1822,IMPORTRANGE(""https://docs.google.com/spreadsheets/d/14Bd19lYaqBhU8_DElYkX7l4wRkHqqCUFNJY4AfY3kHU/edit?usp=sharing  #gid=0"",""фіз особи new!relations_name""),6,FALSE)
,
(IF
(
C1822=""юридична особа""
,
VLOOKUP"&amp;"(D1822,IMPORTRANGE(""https://docs.google.com/spreadsheets/d/14Bd19lYaqBhU8_DElYkX7l4wRkHqqCUFNJY4AfY3kHU/edit?usp=sharing  #gid=0"",""фіз особи new!relations_name_uo""),7,FALSE)
,
)
))"),"АНУФРІЄВА Ольга Миколаївна")</f>
        <v>АНУФРІЄВА Ольга Миколаївна</v>
      </c>
      <c r="G1821" s="7" t="s">
        <v>10</v>
      </c>
      <c r="H1821" s="7">
        <v>4114</v>
      </c>
      <c r="I1821" s="8" t="str">
        <f ca="1">IFERROR(__xludf.DUMMYFUNCTION("IF
(
G1822=""фізична особа""
,
VLOOKUP(H1822,IMPORTRANGE(""https://docs.google.com/spreadsheets/d/14Bd19lYaqBhU8_DElYkX7l4wRkHqqCUFNJY4AfY3kHU/edit?usp=sharing  #gid=0"",""фіз особи new!relations_name""),6,FALSE)
,
(IF
(
G1822=""юридична особа""
,
VLOOKUP"&amp;"(H1822,IMPORTRANGE(""https://docs.google.com/spreadsheets/d/14Bd19lYaqBhU8_DElYkX7l4wRkHqqCUFNJY4AfY3kHU/edit?usp=sharing  #gid=0"",""фіз особи new!relations_name_uo""),7,FALSE)
,
)
))"),"МАКАРОВА Юлія Андріївна")</f>
        <v>МАКАРОВА Юлія Андріївна</v>
      </c>
      <c r="J1821" s="7" t="s">
        <v>11</v>
      </c>
    </row>
    <row r="1822" spans="1:10" ht="13.2">
      <c r="A1822" s="7">
        <v>1821</v>
      </c>
      <c r="B1822" s="7">
        <v>1</v>
      </c>
      <c r="C1822" s="7" t="s">
        <v>10</v>
      </c>
      <c r="D1822" s="7">
        <v>571</v>
      </c>
      <c r="E1822" s="7" t="s">
        <v>48</v>
      </c>
      <c r="F1822" s="8" t="str">
        <f ca="1">IFERROR(__xludf.DUMMYFUNCTION("IF
(
C1823=""фізична особа""
,
VLOOKUP(D1823,IMPORTRANGE(""https://docs.google.com/spreadsheets/d/14Bd19lYaqBhU8_DElYkX7l4wRkHqqCUFNJY4AfY3kHU/edit?usp=sharing  #gid=0"",""фіз особи new!relations_name""),6,FALSE)
,
(IF
(
C1823=""юридична особа""
,
VLOOKUP"&amp;"(D1823,IMPORTRANGE(""https://docs.google.com/spreadsheets/d/14Bd19lYaqBhU8_DElYkX7l4wRkHqqCUFNJY4AfY3kHU/edit?usp=sharing  #gid=0"",""фіз особи new!relations_name_uo""),7,FALSE)
,
)
))"),"АНУФРІЄВА Ольга Миколаївна")</f>
        <v>АНУФРІЄВА Ольга Миколаївна</v>
      </c>
      <c r="G1822" s="7" t="s">
        <v>10</v>
      </c>
      <c r="H1822" s="7">
        <v>2568</v>
      </c>
      <c r="I1822" s="8" t="str">
        <f ca="1">IFERROR(__xludf.DUMMYFUNCTION("IF
(
G1823=""фізична особа""
,
VLOOKUP(H1823,IMPORTRANGE(""https://docs.google.com/spreadsheets/d/14Bd19lYaqBhU8_DElYkX7l4wRkHqqCUFNJY4AfY3kHU/edit?usp=sharing  #gid=0"",""фіз особи new!relations_name""),6,FALSE)
,
(IF
(
G1823=""юридична особа""
,
VLOOKUP"&amp;"(H1823,IMPORTRANGE(""https://docs.google.com/spreadsheets/d/14Bd19lYaqBhU8_DElYkX7l4wRkHqqCUFNJY4AfY3kHU/edit?usp=sharing  #gid=0"",""фіз особи new!relations_name_uo""),7,FALSE)
,
)
))"),"КОМАРОВА Наталія Володимирівна")</f>
        <v>КОМАРОВА Наталія Володимирівна</v>
      </c>
      <c r="J1822" s="7" t="s">
        <v>48</v>
      </c>
    </row>
    <row r="1823" spans="1:10" ht="13.2">
      <c r="A1823" s="7">
        <v>1822</v>
      </c>
      <c r="B1823" s="7">
        <v>1</v>
      </c>
      <c r="C1823" s="7" t="s">
        <v>10</v>
      </c>
      <c r="D1823" s="7">
        <v>572</v>
      </c>
      <c r="E1823" s="7" t="s">
        <v>21</v>
      </c>
      <c r="F1823" s="8" t="str">
        <f ca="1">IFERROR(__xludf.DUMMYFUNCTION("IF
(
C1824=""фізична особа""
,
VLOOKUP(D1824,IMPORTRANGE(""https://docs.google.com/spreadsheets/d/14Bd19lYaqBhU8_DElYkX7l4wRkHqqCUFNJY4AfY3kHU/edit?usp=sharing  #gid=0"",""фіз особи new!relations_name""),6,FALSE)
,
(IF
(
C1824=""юридична особа""
,
VLOOKUP"&amp;"(D1824,IMPORTRANGE(""https://docs.google.com/spreadsheets/d/14Bd19lYaqBhU8_DElYkX7l4wRkHqqCUFNJY4AfY3kHU/edit?usp=sharing  #gid=0"",""фіз особи new!relations_name_uo""),7,FALSE)
,
)
))"),"АЛІМОВА Ольга Миколаївна")</f>
        <v>АЛІМОВА Ольга Миколаївна</v>
      </c>
      <c r="G1823" s="7" t="s">
        <v>10</v>
      </c>
      <c r="H1823" s="7">
        <v>0</v>
      </c>
      <c r="I1823" s="8" t="str">
        <f ca="1">IFERROR(__xludf.DUMMYFUNCTION("IF
(
G1824=""фізична особа""
,
VLOOKUP(H1824,IMPORTRANGE(""https://docs.google.com/spreadsheets/d/14Bd19lYaqBhU8_DElYkX7l4wRkHqqCUFNJY4AfY3kHU/edit?usp=sharing  #gid=0"",""фіз особи new!relations_name""),6,FALSE)
,
(IF
(
G1824=""юридична особа""
,
VLOOKUP"&amp;"(H1824,IMPORTRANGE(""https://docs.google.com/spreadsheets/d/14Bd19lYaqBhU8_DElYkX7l4wRkHqqCUFNJY4AfY3kHU/edit?usp=sharing  #gid=0"",""фіз особи new!relations_name_uo""),7,FALSE)
,
)
))"),"#N/A")</f>
        <v>#N/A</v>
      </c>
      <c r="J1823" s="7" t="s">
        <v>17</v>
      </c>
    </row>
    <row r="1824" spans="1:10" ht="13.2">
      <c r="A1824" s="7">
        <v>1823</v>
      </c>
      <c r="B1824" s="7">
        <v>1</v>
      </c>
      <c r="C1824" s="7" t="s">
        <v>10</v>
      </c>
      <c r="D1824" s="7">
        <v>572</v>
      </c>
      <c r="E1824" s="7" t="s">
        <v>79</v>
      </c>
      <c r="F1824" s="8" t="str">
        <f ca="1">IFERROR(__xludf.DUMMYFUNCTION("IF
(
C1825=""фізична особа""
,
VLOOKUP(D1825,IMPORTRANGE(""https://docs.google.com/spreadsheets/d/14Bd19lYaqBhU8_DElYkX7l4wRkHqqCUFNJY4AfY3kHU/edit?usp=sharing  #gid=0"",""фіз особи new!relations_name""),6,FALSE)
,
(IF
(
C1825=""юридична особа""
,
VLOOKUP"&amp;"(D1825,IMPORTRANGE(""https://docs.google.com/spreadsheets/d/14Bd19lYaqBhU8_DElYkX7l4wRkHqqCUFNJY4AfY3kHU/edit?usp=sharing  #gid=0"",""фіз особи new!relations_name_uo""),7,FALSE)
,
)
))"),"АЛІМОВА Ольга Миколаївна")</f>
        <v>АЛІМОВА Ольга Миколаївна</v>
      </c>
      <c r="G1824" s="7" t="s">
        <v>10</v>
      </c>
      <c r="H1824" s="7">
        <v>0</v>
      </c>
      <c r="I1824" s="8" t="str">
        <f ca="1">IFERROR(__xludf.DUMMYFUNCTION("IF
(
G1825=""фізична особа""
,
VLOOKUP(H1825,IMPORTRANGE(""https://docs.google.com/spreadsheets/d/14Bd19lYaqBhU8_DElYkX7l4wRkHqqCUFNJY4AfY3kHU/edit?usp=sharing  #gid=0"",""фіз особи new!relations_name""),6,FALSE)
,
(IF
(
G1825=""юридична особа""
,
VLOOKUP"&amp;"(H1825,IMPORTRANGE(""https://docs.google.com/spreadsheets/d/14Bd19lYaqBhU8_DElYkX7l4wRkHqqCUFNJY4AfY3kHU/edit?usp=sharing  #gid=0"",""фіз особи new!relations_name_uo""),7,FALSE)
,
)
))"),"#N/A")</f>
        <v>#N/A</v>
      </c>
      <c r="J1824" s="7" t="s">
        <v>61</v>
      </c>
    </row>
    <row r="1825" spans="1:10" ht="13.2">
      <c r="A1825" s="7">
        <v>1824</v>
      </c>
      <c r="B1825" s="7">
        <v>1</v>
      </c>
      <c r="C1825" s="7" t="s">
        <v>10</v>
      </c>
      <c r="D1825" s="7">
        <v>572</v>
      </c>
      <c r="E1825" s="7" t="s">
        <v>79</v>
      </c>
      <c r="F1825" s="8" t="str">
        <f ca="1">IFERROR(__xludf.DUMMYFUNCTION("IF
(
C1826=""фізична особа""
,
VLOOKUP(D1826,IMPORTRANGE(""https://docs.google.com/spreadsheets/d/14Bd19lYaqBhU8_DElYkX7l4wRkHqqCUFNJY4AfY3kHU/edit?usp=sharing  #gid=0"",""фіз особи new!relations_name""),6,FALSE)
,
(IF
(
C1826=""юридична особа""
,
VLOOKUP"&amp;"(D1826,IMPORTRANGE(""https://docs.google.com/spreadsheets/d/14Bd19lYaqBhU8_DElYkX7l4wRkHqqCUFNJY4AfY3kHU/edit?usp=sharing  #gid=0"",""фіз особи new!relations_name_uo""),7,FALSE)
,
)
))"),"АЛІМОВА Ольга Миколаївна")</f>
        <v>АЛІМОВА Ольга Миколаївна</v>
      </c>
      <c r="G1825" s="7" t="s">
        <v>10</v>
      </c>
      <c r="H1825" s="7">
        <v>0</v>
      </c>
      <c r="I1825" s="8" t="str">
        <f ca="1">IFERROR(__xludf.DUMMYFUNCTION("IF
(
G1826=""фізична особа""
,
VLOOKUP(H1826,IMPORTRANGE(""https://docs.google.com/spreadsheets/d/14Bd19lYaqBhU8_DElYkX7l4wRkHqqCUFNJY4AfY3kHU/edit?usp=sharing  #gid=0"",""фіз особи new!relations_name""),6,FALSE)
,
(IF
(
G1826=""юридична особа""
,
VLOOKUP"&amp;"(H1826,IMPORTRANGE(""https://docs.google.com/spreadsheets/d/14Bd19lYaqBhU8_DElYkX7l4wRkHqqCUFNJY4AfY3kHU/edit?usp=sharing  #gid=0"",""фіз особи new!relations_name_uo""),7,FALSE)
,
)
))"),"#N/A")</f>
        <v>#N/A</v>
      </c>
      <c r="J1825" s="7" t="s">
        <v>61</v>
      </c>
    </row>
    <row r="1826" spans="1:10" ht="13.2">
      <c r="A1826" s="7">
        <v>1825</v>
      </c>
      <c r="B1826" s="7">
        <v>1</v>
      </c>
      <c r="C1826" s="7" t="s">
        <v>10</v>
      </c>
      <c r="D1826" s="7">
        <v>572</v>
      </c>
      <c r="E1826" s="7" t="s">
        <v>48</v>
      </c>
      <c r="F1826" s="8" t="str">
        <f ca="1">IFERROR(__xludf.DUMMYFUNCTION("IF
(
C1827=""фізична особа""
,
VLOOKUP(D1827,IMPORTRANGE(""https://docs.google.com/spreadsheets/d/14Bd19lYaqBhU8_DElYkX7l4wRkHqqCUFNJY4AfY3kHU/edit?usp=sharing  #gid=0"",""фіз особи new!relations_name""),6,FALSE)
,
(IF
(
C1827=""юридична особа""
,
VLOOKUP"&amp;"(D1827,IMPORTRANGE(""https://docs.google.com/spreadsheets/d/14Bd19lYaqBhU8_DElYkX7l4wRkHqqCUFNJY4AfY3kHU/edit?usp=sharing  #gid=0"",""фіз особи new!relations_name_uo""),7,FALSE)
,
)
))"),"АЛІМОВА Ольга Миколаївна")</f>
        <v>АЛІМОВА Ольга Миколаївна</v>
      </c>
      <c r="G1826" s="7" t="s">
        <v>10</v>
      </c>
      <c r="H1826" s="7">
        <v>610</v>
      </c>
      <c r="I1826" s="8" t="str">
        <f ca="1">IFERROR(__xludf.DUMMYFUNCTION("IF
(
G1827=""фізична особа""
,
VLOOKUP(H1827,IMPORTRANGE(""https://docs.google.com/spreadsheets/d/14Bd19lYaqBhU8_DElYkX7l4wRkHqqCUFNJY4AfY3kHU/edit?usp=sharing  #gid=0"",""фіз особи new!relations_name""),6,FALSE)
,
(IF
(
G1827=""юридична особа""
,
VLOOKUP"&amp;"(H1827,IMPORTRANGE(""https://docs.google.com/spreadsheets/d/14Bd19lYaqBhU8_DElYkX7l4wRkHqqCUFNJY4AfY3kHU/edit?usp=sharing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J1826" s="7" t="s">
        <v>48</v>
      </c>
    </row>
    <row r="1827" spans="1:10" ht="13.2">
      <c r="A1827" s="7">
        <v>1826</v>
      </c>
      <c r="B1827" s="7">
        <v>1</v>
      </c>
      <c r="C1827" s="7" t="s">
        <v>10</v>
      </c>
      <c r="D1827" s="7">
        <v>573</v>
      </c>
      <c r="E1827" s="7" t="s">
        <v>15</v>
      </c>
      <c r="F1827" s="8" t="str">
        <f ca="1">IFERROR(__xludf.DUMMYFUNCTION("IF
(
C1828=""фізична особа""
,
VLOOKUP(D1828,IMPORTRANGE(""https://docs.google.com/spreadsheets/d/14Bd19lYaqBhU8_DElYkX7l4wRkHqqCUFNJY4AfY3kHU/edit?usp=sharing  #gid=0"",""фіз особи new!relations_name""),6,FALSE)
,
(IF
(
C1828=""юридична особа""
,
VLOOKUP"&amp;"(D1828,IMPORTRANGE(""https://docs.google.com/spreadsheets/d/14Bd19lYaqBhU8_DElYkX7l4wRkHqqCUFNJY4AfY3kHU/edit?usp=sharing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27" s="7" t="s">
        <v>10</v>
      </c>
      <c r="H1827" s="7">
        <v>8630</v>
      </c>
      <c r="I1827" s="8" t="str">
        <f ca="1">IFERROR(__xludf.DUMMYFUNCTION("IF
(
G1828=""фізична особа""
,
VLOOKUP(H1828,IMPORTRANGE(""https://docs.google.com/spreadsheets/d/14Bd19lYaqBhU8_DElYkX7l4wRkHqqCUFNJY4AfY3kHU/edit?usp=sharing  #gid=0"",""фіз особи new!relations_name""),6,FALSE)
,
(IF
(
G1828=""юридична особа""
,
VLOOKUP"&amp;"(H1828,IMPORTRANGE(""https://docs.google.com/spreadsheets/d/14Bd19lYaqBhU8_DElYkX7l4wRkHqqCUFNJY4AfY3kHU/edit?usp=sharing  #gid=0"",""фіз особи new!relations_name_uo""),7,FALSE)
,
)
))"),"ЄПІФАНОВ Володимир")</f>
        <v>ЄПІФАНОВ Володимир</v>
      </c>
      <c r="J1827" s="7" t="s">
        <v>14</v>
      </c>
    </row>
    <row r="1828" spans="1:10" ht="13.2">
      <c r="A1828" s="7">
        <v>1827</v>
      </c>
      <c r="B1828" s="7">
        <v>1</v>
      </c>
      <c r="C1828" s="7" t="s">
        <v>10</v>
      </c>
      <c r="D1828" s="7">
        <v>573</v>
      </c>
      <c r="E1828" s="7" t="s">
        <v>21</v>
      </c>
      <c r="F1828" s="8" t="str">
        <f ca="1">IFERROR(__xludf.DUMMYFUNCTION("IF
(
C1829=""фізична особа""
,
VLOOKUP(D1829,IMPORTRANGE(""https://docs.google.com/spreadsheets/d/14Bd19lYaqBhU8_DElYkX7l4wRkHqqCUFNJY4AfY3kHU/edit?usp=sharing  #gid=0"",""фіз особи new!relations_name""),6,FALSE)
,
(IF
(
C1829=""юридична особа""
,
VLOOKUP"&amp;"(D1829,IMPORTRANGE(""https://docs.google.com/spreadsheets/d/14Bd19lYaqBhU8_DElYkX7l4wRkHqqCUFNJY4AfY3kHU/edit?usp=sharing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28" s="7" t="s">
        <v>10</v>
      </c>
      <c r="H1828" s="7">
        <v>23423</v>
      </c>
      <c r="I1828" s="8" t="str">
        <f ca="1">IFERROR(__xludf.DUMMYFUNCTION("IF
(
G1829=""фізична особа""
,
VLOOKUP(H1829,IMPORTRANGE(""https://docs.google.com/spreadsheets/d/14Bd19lYaqBhU8_DElYkX7l4wRkHqqCUFNJY4AfY3kHU/edit?usp=sharing  #gid=0"",""фіз особи new!relations_name""),6,FALSE)
,
(IF
(
G1829=""юридична особа""
,
VLOOKUP"&amp;"(H1829,IMPORTRANGE(""https://docs.google.com/spreadsheets/d/14Bd19lYaqBhU8_DElYkX7l4wRkHqqCUFNJY4AfY3kHU/edit?usp=sharing  #gid=0"",""фіз особи new!relations_name_uo""),7,FALSE)
,
)
))"),"ЄПІФАНОВ Євген Володимирович")</f>
        <v>ЄПІФАНОВ Євген Володимирович</v>
      </c>
      <c r="J1828" s="7" t="s">
        <v>17</v>
      </c>
    </row>
    <row r="1829" spans="1:10" ht="13.2">
      <c r="A1829" s="7">
        <v>1828</v>
      </c>
      <c r="B1829" s="7">
        <v>1</v>
      </c>
      <c r="C1829" s="7" t="s">
        <v>10</v>
      </c>
      <c r="D1829" s="7">
        <v>573</v>
      </c>
      <c r="E1829" s="7" t="s">
        <v>21</v>
      </c>
      <c r="F1829" s="8" t="str">
        <f ca="1">IFERROR(__xludf.DUMMYFUNCTION("IF
(
C1830=""фізична особа""
,
VLOOKUP(D1830,IMPORTRANGE(""https://docs.google.com/spreadsheets/d/14Bd19lYaqBhU8_DElYkX7l4wRkHqqCUFNJY4AfY3kHU/edit?usp=sharing  #gid=0"",""фіз особи new!relations_name""),6,FALSE)
,
(IF
(
C1830=""юридична особа""
,
VLOOKUP"&amp;"(D1830,IMPORTRANGE(""https://docs.google.com/spreadsheets/d/14Bd19lYaqBhU8_DElYkX7l4wRkHqqCUFNJY4AfY3kHU/edit?usp=sharing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29" s="7" t="s">
        <v>10</v>
      </c>
      <c r="H1829" s="7">
        <v>0</v>
      </c>
      <c r="I1829" s="8" t="str">
        <f ca="1">IFERROR(__xludf.DUMMYFUNCTION("IF
(
G1830=""фізична особа""
,
VLOOKUP(H1830,IMPORTRANGE(""https://docs.google.com/spreadsheets/d/14Bd19lYaqBhU8_DElYkX7l4wRkHqqCUFNJY4AfY3kHU/edit?usp=sharing  #gid=0"",""фіз особи new!relations_name""),6,FALSE)
,
(IF
(
G1830=""юридична особа""
,
VLOOKUP"&amp;"(H1830,IMPORTRANGE(""https://docs.google.com/spreadsheets/d/14Bd19lYaqBhU8_DElYkX7l4wRkHqqCUFNJY4AfY3kHU/edit?usp=sharing  #gid=0"",""фіз особи new!relations_name_uo""),7,FALSE)
,
)
))"),"#N/A")</f>
        <v>#N/A</v>
      </c>
      <c r="J1829" s="7" t="s">
        <v>13</v>
      </c>
    </row>
    <row r="1830" spans="1:10" ht="13.2">
      <c r="A1830" s="7">
        <v>1829</v>
      </c>
      <c r="B1830" s="7">
        <v>1</v>
      </c>
      <c r="C1830" s="7" t="s">
        <v>10</v>
      </c>
      <c r="D1830" s="7">
        <v>573</v>
      </c>
      <c r="E1830" s="7" t="s">
        <v>48</v>
      </c>
      <c r="F1830" s="8" t="str">
        <f ca="1">IFERROR(__xludf.DUMMYFUNCTION("IF
(
C1831=""фізична особа""
,
VLOOKUP(D1831,IMPORTRANGE(""https://docs.google.com/spreadsheets/d/14Bd19lYaqBhU8_DElYkX7l4wRkHqqCUFNJY4AfY3kHU/edit?usp=sharing  #gid=0"",""фіз особи new!relations_name""),6,FALSE)
,
(IF
(
C1831=""юридична особа""
,
VLOOKUP"&amp;"(D1831,IMPORTRANGE(""https://docs.google.com/spreadsheets/d/14Bd19lYaqBhU8_DElYkX7l4wRkHqqCUFNJY4AfY3kHU/edit?usp=sharing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30" s="7" t="s">
        <v>10</v>
      </c>
      <c r="H1830" s="7">
        <v>13015</v>
      </c>
      <c r="I1830" s="8" t="str">
        <f ca="1">IFERROR(__xludf.DUMMYFUNCTION("IF
(
G1831=""фізична особа""
,
VLOOKUP(H1831,IMPORTRANGE(""https://docs.google.com/spreadsheets/d/14Bd19lYaqBhU8_DElYkX7l4wRkHqqCUFNJY4AfY3kHU/edit?usp=sharing  #gid=0"",""фіз особи new!relations_name""),6,FALSE)
,
(IF
(
G1831=""юридична особа""
,
VLOOKUP"&amp;"(H1831,IMPORTRANGE(""https://docs.google.com/spreadsheets/d/14Bd19lYaqBhU8_DElYkX7l4wRkHqqCUFNJY4AfY3kHU/edit?usp=sharing  #gid=0"",""фіз особи new!relations_name_uo""),7,FALSE)
,
)
))"),"ЧІРКОВА (Чиркова) Ірина Олександрівна")</f>
        <v>ЧІРКОВА (Чиркова) Ірина Олександрівна</v>
      </c>
      <c r="J1830" s="7" t="s">
        <v>48</v>
      </c>
    </row>
    <row r="1831" spans="1:10" ht="13.2">
      <c r="A1831" s="7">
        <v>1830</v>
      </c>
      <c r="B1831" s="7">
        <v>1</v>
      </c>
      <c r="C1831" s="7" t="s">
        <v>10</v>
      </c>
      <c r="D1831" s="7">
        <v>573</v>
      </c>
      <c r="E1831" s="7" t="s">
        <v>29</v>
      </c>
      <c r="F1831" s="8" t="str">
        <f ca="1">IFERROR(__xludf.DUMMYFUNCTION("IF
(
C1832=""фізична особа""
,
VLOOKUP(D1832,IMPORTRANGE(""https://docs.google.com/spreadsheets/d/14Bd19lYaqBhU8_DElYkX7l4wRkHqqCUFNJY4AfY3kHU/edit?usp=sharing  #gid=0"",""фіз особи new!relations_name""),6,FALSE)
,
(IF
(
C1832=""юридична особа""
,
VLOOKUP"&amp;"(D1832,IMPORTRANGE(""https://docs.google.com/spreadsheets/d/14Bd19lYaqBhU8_DElYkX7l4wRkHqqCUFNJY4AfY3kHU/edit?usp=sharing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31" s="7" t="s">
        <v>10</v>
      </c>
      <c r="H1831" s="7">
        <v>0</v>
      </c>
      <c r="I1831" s="8" t="str">
        <f ca="1">IFERROR(__xludf.DUMMYFUNCTION("IF
(
G1832=""фізична особа""
,
VLOOKUP(H1832,IMPORTRANGE(""https://docs.google.com/spreadsheets/d/14Bd19lYaqBhU8_DElYkX7l4wRkHqqCUFNJY4AfY3kHU/edit?usp=sharing  #gid=0"",""фіз особи new!relations_name""),6,FALSE)
,
(IF
(
G1832=""юридична особа""
,
VLOOKUP"&amp;"(H1832,IMPORTRANGE(""https://docs.google.com/spreadsheets/d/14Bd19lYaqBhU8_DElYkX7l4wRkHqqCUFNJY4AfY3kHU/edit?usp=sharing  #gid=0"",""фіз особи new!relations_name_uo""),7,FALSE)
,
)
))"),"#N/A")</f>
        <v>#N/A</v>
      </c>
      <c r="J1831" s="7" t="s">
        <v>28</v>
      </c>
    </row>
    <row r="1832" spans="1:10" ht="13.2">
      <c r="A1832" s="7">
        <v>1831</v>
      </c>
      <c r="B1832" s="7">
        <v>1</v>
      </c>
      <c r="C1832" s="7" t="s">
        <v>10</v>
      </c>
      <c r="D1832" s="7">
        <v>573</v>
      </c>
      <c r="E1832" s="7" t="s">
        <v>48</v>
      </c>
      <c r="F1832" s="8" t="str">
        <f ca="1">IFERROR(__xludf.DUMMYFUNCTION("IF
(
C1833=""фізична особа""
,
VLOOKUP(D1833,IMPORTRANGE(""https://docs.google.com/spreadsheets/d/14Bd19lYaqBhU8_DElYkX7l4wRkHqqCUFNJY4AfY3kHU/edit?usp=sharing  #gid=0"",""фіз особи new!relations_name""),6,FALSE)
,
(IF
(
C1833=""юридична особа""
,
VLOOKUP"&amp;"(D1833,IMPORTRANGE(""https://docs.google.com/spreadsheets/d/14Bd19lYaqBhU8_DElYkX7l4wRkHqqCUFNJY4AfY3kHU/edit?usp=sharing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G1832" s="7" t="s">
        <v>10</v>
      </c>
      <c r="H1832" s="7">
        <v>0</v>
      </c>
      <c r="I1832" s="8" t="str">
        <f ca="1">IFERROR(__xludf.DUMMYFUNCTION("IF
(
G1833=""фізична особа""
,
VLOOKUP(H1833,IMPORTRANGE(""https://docs.google.com/spreadsheets/d/14Bd19lYaqBhU8_DElYkX7l4wRkHqqCUFNJY4AfY3kHU/edit?usp=sharing  #gid=0"",""фіз особи new!relations_name""),6,FALSE)
,
(IF
(
G1833=""юридична особа""
,
VLOOKUP"&amp;"(H1833,IMPORTRANGE(""https://docs.google.com/spreadsheets/d/14Bd19lYaqBhU8_DElYkX7l4wRkHqqCUFNJY4AfY3kHU/edit?usp=sharing  #gid=0"",""фіз особи new!relations_name_uo""),7,FALSE)
,
)
))"),"#N/A")</f>
        <v>#N/A</v>
      </c>
      <c r="J1832" s="7" t="s">
        <v>48</v>
      </c>
    </row>
    <row r="1833" spans="1:10" ht="13.2">
      <c r="A1833" s="7">
        <v>1832</v>
      </c>
      <c r="B1833" s="7">
        <v>1</v>
      </c>
      <c r="C1833" s="7" t="s">
        <v>10</v>
      </c>
      <c r="D1833" s="7">
        <v>574</v>
      </c>
      <c r="E1833" s="7" t="s">
        <v>80</v>
      </c>
      <c r="F1833" s="8" t="str">
        <f ca="1">IFERROR(__xludf.DUMMYFUNCTION("IF
(
C1834=""фізична особа""
,
VLOOKUP(D1834,IMPORTRANGE(""https://docs.google.com/spreadsheets/d/14Bd19lYaqBhU8_DElYkX7l4wRkHqqCUFNJY4AfY3kHU/edit?usp=sharing  #gid=0"",""фіз особи new!relations_name""),6,FALSE)
,
(IF
(
C1834=""юридична особа""
,
VLOOKUP"&amp;"(D1834,IMPORTRANGE(""https://docs.google.com/spreadsheets/d/14Bd19lYaqBhU8_DElYkX7l4wRkHqqCUFNJY4AfY3kHU/edit?usp=sharing  #gid=0"",""фіз особи new!relations_name_uo""),7,FALSE)
,
)
))"),"ХОХЛОВА Ольга Миколаївна")</f>
        <v>ХОХЛОВА Ольга Миколаївна</v>
      </c>
      <c r="G1833" s="7" t="s">
        <v>10</v>
      </c>
      <c r="H1833" s="7">
        <v>405</v>
      </c>
      <c r="I1833" s="8" t="str">
        <f ca="1">IFERROR(__xludf.DUMMYFUNCTION("IF
(
G1834=""фізична особа""
,
VLOOKUP(H1834,IMPORTRANGE(""https://docs.google.com/spreadsheets/d/14Bd19lYaqBhU8_DElYkX7l4wRkHqqCUFNJY4AfY3kHU/edit?usp=sharing  #gid=0"",""фіз особи new!relations_name""),6,FALSE)
,
(IF
(
G1834=""юридична особа""
,
VLOOKUP"&amp;"(H1834,IMPORTRANGE(""https://docs.google.com/spreadsheets/d/14Bd19lYaqBhU8_DElYkX7l4wRkHqqCUFNJY4AfY3kHU/edit?usp=sharing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J1833" s="7" t="s">
        <v>48</v>
      </c>
    </row>
    <row r="1834" spans="1:10" ht="13.2">
      <c r="A1834" s="7">
        <v>1833</v>
      </c>
      <c r="B1834" s="7">
        <v>1</v>
      </c>
      <c r="C1834" s="7" t="s">
        <v>10</v>
      </c>
      <c r="D1834" s="7">
        <v>575</v>
      </c>
      <c r="E1834" s="7" t="s">
        <v>15</v>
      </c>
      <c r="F1834" s="8" t="str">
        <f ca="1">IFERROR(__xludf.DUMMYFUNCTION("IF
(
C1835=""фізична особа""
,
VLOOKUP(D1835,IMPORTRANGE(""https://docs.google.com/spreadsheets/d/14Bd19lYaqBhU8_DElYkX7l4wRkHqqCUFNJY4AfY3kHU/edit?usp=sharing  #gid=0"",""фіз особи new!relations_name""),6,FALSE)
,
(IF
(
C1835=""юридична особа""
,
VLOOKUP"&amp;"(D1835,IMPORTRANGE(""https://docs.google.com/spreadsheets/d/14Bd19lYaqBhU8_DElYkX7l4wRkHqqCUFNJY4AfY3kHU/edit?usp=sharing  #gid=0"",""фіз особи new!relations_name_uo""),7,FALSE)
,
)
))"),"ЗАБРАЛОВА Ольга Сергіївна")</f>
        <v>ЗАБРАЛОВА Ольга Сергіївна</v>
      </c>
      <c r="G1834" s="7" t="s">
        <v>10</v>
      </c>
      <c r="H1834" s="7">
        <v>8631</v>
      </c>
      <c r="I1834" s="8" t="str">
        <f ca="1">IFERROR(__xludf.DUMMYFUNCTION("IF
(
G1835=""фізична особа""
,
VLOOKUP(H1835,IMPORTRANGE(""https://docs.google.com/spreadsheets/d/14Bd19lYaqBhU8_DElYkX7l4wRkHqqCUFNJY4AfY3kHU/edit?usp=sharing  #gid=0"",""фіз особи new!relations_name""),6,FALSE)
,
(IF
(
G1835=""юридична особа""
,
VLOOKUP"&amp;"(H1835,IMPORTRANGE(""https://docs.google.com/spreadsheets/d/14Bd19lYaqBhU8_DElYkX7l4wRkHqqCUFNJY4AfY3kHU/edit?usp=sharing  #gid=0"",""фіз особи new!relations_name_uo""),7,FALSE)
,
)
))"),"ЗАБРАЛОВ Ігор Сергійович")</f>
        <v>ЗАБРАЛОВ Ігор Сергійович</v>
      </c>
      <c r="J1834" s="7" t="s">
        <v>14</v>
      </c>
    </row>
    <row r="1835" spans="1:10" ht="13.2">
      <c r="A1835" s="7">
        <v>1834</v>
      </c>
      <c r="B1835" s="7">
        <v>1</v>
      </c>
      <c r="C1835" s="7" t="s">
        <v>10</v>
      </c>
      <c r="D1835" s="7">
        <v>575</v>
      </c>
      <c r="E1835" s="7" t="s">
        <v>48</v>
      </c>
      <c r="F1835" s="8" t="str">
        <f ca="1">IFERROR(__xludf.DUMMYFUNCTION("IF
(
C1836=""фізична особа""
,
VLOOKUP(D1836,IMPORTRANGE(""https://docs.google.com/spreadsheets/d/14Bd19lYaqBhU8_DElYkX7l4wRkHqqCUFNJY4AfY3kHU/edit?usp=sharing  #gid=0"",""фіз особи new!relations_name""),6,FALSE)
,
(IF
(
C1836=""юридична особа""
,
VLOOKUP"&amp;"(D1836,IMPORTRANGE(""https://docs.google.com/spreadsheets/d/14Bd19lYaqBhU8_DElYkX7l4wRkHqqCUFNJY4AfY3kHU/edit?usp=sharing  #gid=0"",""фіз особи new!relations_name_uo""),7,FALSE)
,
)
))"),"ЗАБРАЛОВА Ольга Сергіївна")</f>
        <v>ЗАБРАЛОВА Ольга Сергіївна</v>
      </c>
      <c r="G1835" s="7" t="s">
        <v>10</v>
      </c>
      <c r="H1835" s="7">
        <v>2545</v>
      </c>
      <c r="I1835" s="8" t="str">
        <f ca="1">IFERROR(__xludf.DUMMYFUNCTION("IF
(
G1836=""фізична особа""
,
VLOOKUP(H1836,IMPORTRANGE(""https://docs.google.com/spreadsheets/d/14Bd19lYaqBhU8_DElYkX7l4wRkHqqCUFNJY4AfY3kHU/edit?usp=sharing  #gid=0"",""фіз особи new!relations_name""),6,FALSE)
,
(IF
(
G1836=""юридична особа""
,
VLOOKUP"&amp;"(H1836,IMPORTRANGE(""https://docs.google.com/spreadsheets/d/14Bd19lYaqBhU8_DElYkX7l4wRkHqqCUFNJY4AfY3kHU/edit?usp=sharing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1835" s="7" t="s">
        <v>48</v>
      </c>
    </row>
    <row r="1836" spans="1:10" ht="13.2">
      <c r="A1836" s="7">
        <v>1835</v>
      </c>
      <c r="B1836" s="7">
        <v>1</v>
      </c>
      <c r="C1836" s="7" t="s">
        <v>10</v>
      </c>
      <c r="D1836" s="7">
        <v>576</v>
      </c>
      <c r="E1836" s="7" t="s">
        <v>14</v>
      </c>
      <c r="F1836" s="8" t="str">
        <f ca="1">IFERROR(__xludf.DUMMYFUNCTION("IF
(
C1837=""фізична особа""
,
VLOOKUP(D1837,IMPORTRANGE(""https://docs.google.com/spreadsheets/d/14Bd19lYaqBhU8_DElYkX7l4wRkHqqCUFNJY4AfY3kHU/edit?usp=sharing  #gid=0"",""фіз особи new!relations_name""),6,FALSE)
,
(IF
(
C1837=""юридична особа""
,
VLOOKUP"&amp;"(D1837,IMPORTRANGE(""https://docs.google.com/spreadsheets/d/14Bd19lYaqBhU8_DElYkX7l4wRkHqqCUFNJY4AfY3kHU/edit?usp=sharing  #gid=0"",""фіз особи new!relations_name_uo""),7,FALSE)
,
)
))"),"ПОЗДНЯКОВА Ольга Валеріївна")</f>
        <v>ПОЗДНЯКОВА Ольга Валеріївна</v>
      </c>
      <c r="G1836" s="7" t="s">
        <v>10</v>
      </c>
      <c r="H1836" s="7">
        <v>0</v>
      </c>
      <c r="I1836" s="8" t="str">
        <f ca="1">IFERROR(__xludf.DUMMYFUNCTION("IF
(
G1837=""фізична особа""
,
VLOOKUP(H1837,IMPORTRANGE(""https://docs.google.com/spreadsheets/d/14Bd19lYaqBhU8_DElYkX7l4wRkHqqCUFNJY4AfY3kHU/edit?usp=sharing  #gid=0"",""фіз особи new!relations_name""),6,FALSE)
,
(IF
(
G1837=""юридична особа""
,
VLOOKUP"&amp;"(H1837,IMPORTRANGE(""https://docs.google.com/spreadsheets/d/14Bd19lYaqBhU8_DElYkX7l4wRkHqqCUFNJY4AfY3kHU/edit?usp=sharing  #gid=0"",""фіз особи new!relations_name_uo""),7,FALSE)
,
)
))"),"#N/A")</f>
        <v>#N/A</v>
      </c>
      <c r="J1836" s="7" t="s">
        <v>15</v>
      </c>
    </row>
    <row r="1837" spans="1:10" ht="13.2">
      <c r="A1837" s="7">
        <v>1836</v>
      </c>
      <c r="B1837" s="7">
        <v>1</v>
      </c>
      <c r="C1837" s="7" t="s">
        <v>10</v>
      </c>
      <c r="D1837" s="7">
        <v>576</v>
      </c>
      <c r="E1837" s="7" t="s">
        <v>40</v>
      </c>
      <c r="F1837" s="8" t="str">
        <f ca="1">IFERROR(__xludf.DUMMYFUNCTION("IF
(
C1838=""фізична особа""
,
VLOOKUP(D1838,IMPORTRANGE(""https://docs.google.com/spreadsheets/d/14Bd19lYaqBhU8_DElYkX7l4wRkHqqCUFNJY4AfY3kHU/edit?usp=sharing  #gid=0"",""фіз особи new!relations_name""),6,FALSE)
,
(IF
(
C1838=""юридична особа""
,
VLOOKUP"&amp;"(D1838,IMPORTRANGE(""https://docs.google.com/spreadsheets/d/14Bd19lYaqBhU8_DElYkX7l4wRkHqqCUFNJY4AfY3kHU/edit?usp=sharing  #gid=0"",""фіз особи new!relations_name_uo""),7,FALSE)
,
)
))"),"ПОЗДНЯКОВА Ольга Валеріївна")</f>
        <v>ПОЗДНЯКОВА Ольга Валеріївна</v>
      </c>
      <c r="G1837" s="7" t="s">
        <v>10</v>
      </c>
      <c r="H1837" s="7">
        <v>4567</v>
      </c>
      <c r="I1837" s="8" t="str">
        <f ca="1">IFERROR(__xludf.DUMMYFUNCTION("IF
(
G1838=""фізична особа""
,
VLOOKUP(H1838,IMPORTRANGE(""https://docs.google.com/spreadsheets/d/14Bd19lYaqBhU8_DElYkX7l4wRkHqqCUFNJY4AfY3kHU/edit?usp=sharing  #gid=0"",""фіз особи new!relations_name""),6,FALSE)
,
(IF
(
G1838=""юридична особа""
,
VLOOKUP"&amp;"(H1838,IMPORTRANGE(""https://docs.google.com/spreadsheets/d/14Bd19lYaqBhU8_DElYkX7l4wRkHqqCUFNJY4AfY3kHU/edit?usp=sharing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1837" s="7" t="s">
        <v>41</v>
      </c>
    </row>
    <row r="1838" spans="1:10" ht="13.2">
      <c r="A1838" s="7">
        <v>1837</v>
      </c>
      <c r="B1838" s="7">
        <v>1</v>
      </c>
      <c r="C1838" s="7" t="s">
        <v>10</v>
      </c>
      <c r="D1838" s="7">
        <v>576</v>
      </c>
      <c r="E1838" s="7" t="s">
        <v>48</v>
      </c>
      <c r="F1838" s="8" t="str">
        <f ca="1">IFERROR(__xludf.DUMMYFUNCTION("IF
(
C1839=""фізична особа""
,
VLOOKUP(D1839,IMPORTRANGE(""https://docs.google.com/spreadsheets/d/14Bd19lYaqBhU8_DElYkX7l4wRkHqqCUFNJY4AfY3kHU/edit?usp=sharing  #gid=0"",""фіз особи new!relations_name""),6,FALSE)
,
(IF
(
C1839=""юридична особа""
,
VLOOKUP"&amp;"(D1839,IMPORTRANGE(""https://docs.google.com/spreadsheets/d/14Bd19lYaqBhU8_DElYkX7l4wRkHqqCUFNJY4AfY3kHU/edit?usp=sharing  #gid=0"",""фіз особи new!relations_name_uo""),7,FALSE)
,
)
))"),"ПОЗДНЯКОВА Ольга Валеріївна")</f>
        <v>ПОЗДНЯКОВА Ольга Валеріївна</v>
      </c>
      <c r="G1838" s="7" t="s">
        <v>10</v>
      </c>
      <c r="H1838" s="7">
        <v>14717</v>
      </c>
      <c r="I1838" s="8" t="str">
        <f ca="1">IFERROR(__xludf.DUMMYFUNCTION("IF
(
G1839=""фізична особа""
,
VLOOKUP(H1839,IMPORTRANGE(""https://docs.google.com/spreadsheets/d/14Bd19lYaqBhU8_DElYkX7l4wRkHqqCUFNJY4AfY3kHU/edit?usp=sharing  #gid=0"",""фіз особи new!relations_name""),6,FALSE)
,
(IF
(
G1839=""юридична особа""
,
VLOOKUP"&amp;"(H1839,IMPORTRANGE(""https://docs.google.com/spreadsheets/d/14Bd19lYaqBhU8_DElYkX7l4wRkHqqCUFNJY4AfY3kHU/edit?usp=sharing  #gid=0"",""фіз особи new!relations_name_uo""),7,FALSE)
,
)
))"),"МУРАТОВ Олексій Валентинович")</f>
        <v>МУРАТОВ Олексій Валентинович</v>
      </c>
      <c r="J1838" s="7" t="s">
        <v>48</v>
      </c>
    </row>
    <row r="1839" spans="1:10" ht="13.2">
      <c r="A1839" s="7">
        <v>1838</v>
      </c>
      <c r="B1839" s="7">
        <v>1</v>
      </c>
      <c r="C1839" s="7" t="s">
        <v>10</v>
      </c>
      <c r="D1839" s="7">
        <v>576</v>
      </c>
      <c r="E1839" s="7" t="s">
        <v>48</v>
      </c>
      <c r="F1839" s="8" t="str">
        <f ca="1">IFERROR(__xludf.DUMMYFUNCTION("IF
(
C1840=""фізична особа""
,
VLOOKUP(D1840,IMPORTRANGE(""https://docs.google.com/spreadsheets/d/14Bd19lYaqBhU8_DElYkX7l4wRkHqqCUFNJY4AfY3kHU/edit?usp=sharing  #gid=0"",""фіз особи new!relations_name""),6,FALSE)
,
(IF
(
C1840=""юридична особа""
,
VLOOKUP"&amp;"(D1840,IMPORTRANGE(""https://docs.google.com/spreadsheets/d/14Bd19lYaqBhU8_DElYkX7l4wRkHqqCUFNJY4AfY3kHU/edit?usp=sharing  #gid=0"",""фіз особи new!relations_name_uo""),7,FALSE)
,
)
))"),"ПОЗДНЯКОВА Ольга Валеріївна")</f>
        <v>ПОЗДНЯКОВА Ольга Валеріївна</v>
      </c>
      <c r="G1839" s="7" t="s">
        <v>10</v>
      </c>
      <c r="H1839" s="7">
        <v>0</v>
      </c>
      <c r="I1839" s="8" t="str">
        <f ca="1">IFERROR(__xludf.DUMMYFUNCTION("IF
(
G1840=""фізична особа""
,
VLOOKUP(H1840,IMPORTRANGE(""https://docs.google.com/spreadsheets/d/14Bd19lYaqBhU8_DElYkX7l4wRkHqqCUFNJY4AfY3kHU/edit?usp=sharing  #gid=0"",""фіз особи new!relations_name""),6,FALSE)
,
(IF
(
G1840=""юридична особа""
,
VLOOKUP"&amp;"(H1840,IMPORTRANGE(""https://docs.google.com/spreadsheets/d/14Bd19lYaqBhU8_DElYkX7l4wRkHqqCUFNJY4AfY3kHU/edit?usp=sharing  #gid=0"",""фіз особи new!relations_name_uo""),7,FALSE)
,
)
))"),"#N/A")</f>
        <v>#N/A</v>
      </c>
      <c r="J1839" s="7" t="s">
        <v>48</v>
      </c>
    </row>
    <row r="1840" spans="1:10" ht="13.2">
      <c r="A1840" s="7">
        <v>1839</v>
      </c>
      <c r="B1840" s="7">
        <v>1</v>
      </c>
      <c r="C1840" s="7" t="s">
        <v>10</v>
      </c>
      <c r="D1840" s="7">
        <v>577</v>
      </c>
      <c r="E1840" s="7" t="s">
        <v>21</v>
      </c>
      <c r="F1840" s="8" t="str">
        <f ca="1">IFERROR(__xludf.DUMMYFUNCTION("IF
(
C1841=""фізична особа""
,
VLOOKUP(D1841,IMPORTRANGE(""https://docs.google.com/spreadsheets/d/14Bd19lYaqBhU8_DElYkX7l4wRkHqqCUFNJY4AfY3kHU/edit?usp=sharing  #gid=0"",""фіз особи new!relations_name""),6,FALSE)
,
(IF
(
C1841=""юридична особа""
,
VLOOKUP"&amp;"(D1841,IMPORTRANGE(""https://docs.google.com/spreadsheets/d/14Bd19lYaqBhU8_DElYkX7l4wRkHqqCUFNJY4AfY3kHU/edit?usp=sharing  #gid=0"",""фіз особи new!relations_name_uo""),7,FALSE)
,
)
))"),"ПИЛИПЕНКО Ольга Василівна")</f>
        <v>ПИЛИПЕНКО Ольга Василівна</v>
      </c>
      <c r="G1840" s="7" t="s">
        <v>10</v>
      </c>
      <c r="H1840" s="7">
        <v>0</v>
      </c>
      <c r="I1840" s="8" t="str">
        <f ca="1">IFERROR(__xludf.DUMMYFUNCTION("IF
(
G1841=""фізична особа""
,
VLOOKUP(H1841,IMPORTRANGE(""https://docs.google.com/spreadsheets/d/14Bd19lYaqBhU8_DElYkX7l4wRkHqqCUFNJY4AfY3kHU/edit?usp=sharing  #gid=0"",""фіз особи new!relations_name""),6,FALSE)
,
(IF
(
G1841=""юридична особа""
,
VLOOKUP"&amp;"(H1841,IMPORTRANGE(""https://docs.google.com/spreadsheets/d/14Bd19lYaqBhU8_DElYkX7l4wRkHqqCUFNJY4AfY3kHU/edit?usp=sharing  #gid=0"",""фіз особи new!relations_name_uo""),7,FALSE)
,
)
))"),"#N/A")</f>
        <v>#N/A</v>
      </c>
      <c r="J1840" s="7" t="s">
        <v>17</v>
      </c>
    </row>
    <row r="1841" spans="1:10" ht="13.2">
      <c r="A1841" s="7">
        <v>1840</v>
      </c>
      <c r="B1841" s="7">
        <v>1</v>
      </c>
      <c r="C1841" s="7" t="s">
        <v>10</v>
      </c>
      <c r="D1841" s="7">
        <v>577</v>
      </c>
      <c r="E1841" s="7" t="s">
        <v>58</v>
      </c>
      <c r="F1841" s="8" t="str">
        <f ca="1">IFERROR(__xludf.DUMMYFUNCTION("IF
(
C1842=""фізична особа""
,
VLOOKUP(D1842,IMPORTRANGE(""https://docs.google.com/spreadsheets/d/14Bd19lYaqBhU8_DElYkX7l4wRkHqqCUFNJY4AfY3kHU/edit?usp=sharing  #gid=0"",""фіз особи new!relations_name""),6,FALSE)
,
(IF
(
C1842=""юридична особа""
,
VLOOKUP"&amp;"(D1842,IMPORTRANGE(""https://docs.google.com/spreadsheets/d/14Bd19lYaqBhU8_DElYkX7l4wRkHqqCUFNJY4AfY3kHU/edit?usp=sharing  #gid=0"",""фіз особи new!relations_name_uo""),7,FALSE)
,
)
))"),"ПИЛИПЕНКО Ольга Василівна")</f>
        <v>ПИЛИПЕНКО Ольга Василівна</v>
      </c>
      <c r="G1841" s="7" t="s">
        <v>10</v>
      </c>
      <c r="H1841" s="7">
        <v>0</v>
      </c>
      <c r="I1841" s="8" t="str">
        <f ca="1">IFERROR(__xludf.DUMMYFUNCTION("IF
(
G1842=""фізична особа""
,
VLOOKUP(H1842,IMPORTRANGE(""https://docs.google.com/spreadsheets/d/14Bd19lYaqBhU8_DElYkX7l4wRkHqqCUFNJY4AfY3kHU/edit?usp=sharing  #gid=0"",""фіз особи new!relations_name""),6,FALSE)
,
(IF
(
G1842=""юридична особа""
,
VLOOKUP"&amp;"(H1842,IMPORTRANGE(""https://docs.google.com/spreadsheets/d/14Bd19lYaqBhU8_DElYkX7l4wRkHqqCUFNJY4AfY3kHU/edit?usp=sharing  #gid=0"",""фіз особи new!relations_name_uo""),7,FALSE)
,
)
))"),"#N/A")</f>
        <v>#N/A</v>
      </c>
      <c r="J1841" s="7" t="s">
        <v>25</v>
      </c>
    </row>
    <row r="1842" spans="1:10" ht="13.2">
      <c r="A1842" s="7">
        <v>1841</v>
      </c>
      <c r="B1842" s="7">
        <v>1</v>
      </c>
      <c r="C1842" s="7" t="s">
        <v>10</v>
      </c>
      <c r="D1842" s="7">
        <v>577</v>
      </c>
      <c r="E1842" s="7" t="s">
        <v>48</v>
      </c>
      <c r="F1842" s="8" t="str">
        <f ca="1">IFERROR(__xludf.DUMMYFUNCTION("IF
(
C1843=""фізична особа""
,
VLOOKUP(D1843,IMPORTRANGE(""https://docs.google.com/spreadsheets/d/14Bd19lYaqBhU8_DElYkX7l4wRkHqqCUFNJY4AfY3kHU/edit?usp=sharing  #gid=0"",""фіз особи new!relations_name""),6,FALSE)
,
(IF
(
C1843=""юридична особа""
,
VLOOKUP"&amp;"(D1843,IMPORTRANGE(""https://docs.google.com/spreadsheets/d/14Bd19lYaqBhU8_DElYkX7l4wRkHqqCUFNJY4AfY3kHU/edit?usp=sharing  #gid=0"",""фіз особи new!relations_name_uo""),7,FALSE)
,
)
))"),"ПИЛИПЕНКО Ольга Василівна")</f>
        <v>ПИЛИПЕНКО Ольга Василівна</v>
      </c>
      <c r="G1842" s="7" t="s">
        <v>10</v>
      </c>
      <c r="H1842" s="7">
        <v>3047</v>
      </c>
      <c r="I1842" s="8" t="str">
        <f ca="1">IFERROR(__xludf.DUMMYFUNCTION("IF
(
G1843=""фізична особа""
,
VLOOKUP(H1843,IMPORTRANGE(""https://docs.google.com/spreadsheets/d/14Bd19lYaqBhU8_DElYkX7l4wRkHqqCUFNJY4AfY3kHU/edit?usp=sharing  #gid=0"",""фіз особи new!relations_name""),6,FALSE)
,
(IF
(
G1843=""юридична особа""
,
VLOOKUP"&amp;"(H1843,IMPORTRANGE(""https://docs.google.com/spreadsheets/d/14Bd19lYaqBhU8_DElYkX7l4wRkHqqCUFNJY4AfY3kHU/edit?usp=sharing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1842" s="7" t="s">
        <v>48</v>
      </c>
    </row>
    <row r="1843" spans="1:10" ht="13.2">
      <c r="A1843" s="7">
        <v>1842</v>
      </c>
      <c r="B1843" s="7">
        <v>1</v>
      </c>
      <c r="C1843" s="7" t="s">
        <v>10</v>
      </c>
      <c r="D1843" s="7">
        <v>578</v>
      </c>
      <c r="E1843" s="7" t="s">
        <v>48</v>
      </c>
      <c r="F1843" s="8" t="str">
        <f ca="1">IFERROR(__xludf.DUMMYFUNCTION("IF
(
C1844=""фізична особа""
,
VLOOKUP(D1844,IMPORTRANGE(""https://docs.google.com/spreadsheets/d/14Bd19lYaqBhU8_DElYkX7l4wRkHqqCUFNJY4AfY3kHU/edit?usp=sharing  #gid=0"",""фіз особи new!relations_name""),6,FALSE)
,
(IF
(
C1844=""юридична особа""
,
VLOOKUP"&amp;"(D1844,IMPORTRANGE(""https://docs.google.com/spreadsheets/d/14Bd19lYaqBhU8_DElYkX7l4wRkHqqCUFNJY4AfY3kHU/edit?usp=sharing  #gid=0"",""фіз особи new!relations_name_uo""),7,FALSE)
,
)
))"),"ТИМОФЄЄВА Ольга Вікторівна")</f>
        <v>ТИМОФЄЄВА Ольга Вікторівна</v>
      </c>
      <c r="G1843" s="7" t="s">
        <v>10</v>
      </c>
      <c r="H1843" s="7">
        <v>899</v>
      </c>
      <c r="I1843" s="8" t="str">
        <f ca="1">IFERROR(__xludf.DUMMYFUNCTION("IF
(
G1844=""фізична особа""
,
VLOOKUP(H1844,IMPORTRANGE(""https://docs.google.com/spreadsheets/d/14Bd19lYaqBhU8_DElYkX7l4wRkHqqCUFNJY4AfY3kHU/edit?usp=sharing  #gid=0"",""фіз особи new!relations_name""),6,FALSE)
,
(IF
(
G1844=""юридична особа""
,
VLOOKUP"&amp;"(H1844,IMPORTRANGE(""https://docs.google.com/spreadsheets/d/14Bd19lYaqBhU8_DElYkX7l4wRkHqqCUFNJY4AfY3kHU/edit?usp=sharing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1843" s="7" t="s">
        <v>48</v>
      </c>
    </row>
    <row r="1844" spans="1:10" ht="13.2">
      <c r="A1844" s="7">
        <v>1843</v>
      </c>
      <c r="B1844" s="7">
        <v>1</v>
      </c>
      <c r="C1844" s="7" t="s">
        <v>10</v>
      </c>
      <c r="D1844" s="7">
        <v>578</v>
      </c>
      <c r="E1844" s="7" t="s">
        <v>48</v>
      </c>
      <c r="F1844" s="8" t="str">
        <f ca="1">IFERROR(__xludf.DUMMYFUNCTION("IF
(
C1845=""фізична особа""
,
VLOOKUP(D1845,IMPORTRANGE(""https://docs.google.com/spreadsheets/d/14Bd19lYaqBhU8_DElYkX7l4wRkHqqCUFNJY4AfY3kHU/edit?usp=sharing  #gid=0"",""фіз особи new!relations_name""),6,FALSE)
,
(IF
(
C1845=""юридична особа""
,
VLOOKUP"&amp;"(D1845,IMPORTRANGE(""https://docs.google.com/spreadsheets/d/14Bd19lYaqBhU8_DElYkX7l4wRkHqqCUFNJY4AfY3kHU/edit?usp=sharing  #gid=0"",""фіз особи new!relations_name_uo""),7,FALSE)
,
)
))"),"ТИМОФЄЄВА Ольга Вікторівна")</f>
        <v>ТИМОФЄЄВА Ольга Вікторівна</v>
      </c>
      <c r="G1844" s="7" t="s">
        <v>10</v>
      </c>
      <c r="H1844" s="7">
        <v>4859</v>
      </c>
      <c r="I1844" s="8" t="str">
        <f ca="1">IFERROR(__xludf.DUMMYFUNCTION("IF
(
G1845=""фізична особа""
,
VLOOKUP(H1845,IMPORTRANGE(""https://docs.google.com/spreadsheets/d/14Bd19lYaqBhU8_DElYkX7l4wRkHqqCUFNJY4AfY3kHU/edit?usp=sharing  #gid=0"",""фіз особи new!relations_name""),6,FALSE)
,
(IF
(
G1845=""юридична особа""
,
VLOOKUP"&amp;"(H1845,IMPORTRANGE(""https://docs.google.com/spreadsheets/d/14Bd19lYaqBhU8_DElYkX7l4wRkHqqCUFNJY4AfY3kHU/edit?usp=sharing  #gid=0"",""фіз особи new!relations_name_uo""),7,FALSE)
,
)
))"),"ЗАНКО Ольга Миколаївна")</f>
        <v>ЗАНКО Ольга Миколаївна</v>
      </c>
      <c r="J1844" s="7" t="s">
        <v>48</v>
      </c>
    </row>
    <row r="1845" spans="1:10" ht="13.2">
      <c r="A1845" s="7">
        <v>1844</v>
      </c>
      <c r="B1845" s="7">
        <v>1</v>
      </c>
      <c r="C1845" s="7" t="s">
        <v>10</v>
      </c>
      <c r="D1845" s="7">
        <v>579</v>
      </c>
      <c r="E1845" s="7" t="s">
        <v>12</v>
      </c>
      <c r="F1845" s="8" t="str">
        <f ca="1">IFERROR(__xludf.DUMMYFUNCTION("IF
(
C1846=""фізична особа""
,
VLOOKUP(D1846,IMPORTRANGE(""https://docs.google.com/spreadsheets/d/14Bd19lYaqBhU8_DElYkX7l4wRkHqqCUFNJY4AfY3kHU/edit?usp=sharing  #gid=0"",""фіз особи new!relations_name""),6,FALSE)
,
(IF
(
C1846=""юридична особа""
,
VLOOKUP"&amp;"(D1846,IMPORTRANGE(""https://docs.google.com/spreadsheets/d/14Bd19lYaqBhU8_DElYkX7l4wRkHqqCUFNJY4AfY3kHU/edit?usp=sharing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45" s="7" t="s">
        <v>10</v>
      </c>
      <c r="H1845" s="7">
        <v>4030</v>
      </c>
      <c r="I1845" s="8" t="str">
        <f ca="1">IFERROR(__xludf.DUMMYFUNCTION("IF
(
G1846=""фізична особа""
,
VLOOKUP(H1846,IMPORTRANGE(""https://docs.google.com/spreadsheets/d/14Bd19lYaqBhU8_DElYkX7l4wRkHqqCUFNJY4AfY3kHU/edit?usp=sharing  #gid=0"",""фіз особи new!relations_name""),6,FALSE)
,
(IF
(
G1846=""юридична особа""
,
VLOOKUP"&amp;"(H1846,IMPORTRANGE(""https://docs.google.com/spreadsheets/d/14Bd19lYaqBhU8_DElYkX7l4wRkHqqCUFNJY4AfY3kHU/edit?usp=sharing  #gid=0"",""фіз особи new!relations_name_uo""),7,FALSE)
,
)
))"),"БАБАКОВ Михайло Олександрович")</f>
        <v>БАБАКОВ Михайло Олександрович</v>
      </c>
      <c r="J1845" s="7" t="s">
        <v>17</v>
      </c>
    </row>
    <row r="1846" spans="1:10" ht="13.2">
      <c r="A1846" s="7">
        <v>1845</v>
      </c>
      <c r="B1846" s="7">
        <v>1</v>
      </c>
      <c r="C1846" s="7" t="s">
        <v>10</v>
      </c>
      <c r="D1846" s="7">
        <v>579</v>
      </c>
      <c r="E1846" s="7" t="s">
        <v>14</v>
      </c>
      <c r="F1846" s="8" t="str">
        <f ca="1">IFERROR(__xludf.DUMMYFUNCTION("IF
(
C1847=""фізична особа""
,
VLOOKUP(D1847,IMPORTRANGE(""https://docs.google.com/spreadsheets/d/14Bd19lYaqBhU8_DElYkX7l4wRkHqqCUFNJY4AfY3kHU/edit?usp=sharing  #gid=0"",""фіз особи new!relations_name""),6,FALSE)
,
(IF
(
C1847=""юридична особа""
,
VLOOKUP"&amp;"(D1847,IMPORTRANGE(""https://docs.google.com/spreadsheets/d/14Bd19lYaqBhU8_DElYkX7l4wRkHqqCUFNJY4AfY3kHU/edit?usp=sharing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46" s="7" t="s">
        <v>10</v>
      </c>
      <c r="H1846" s="7">
        <v>0</v>
      </c>
      <c r="I1846" s="8" t="str">
        <f ca="1">IFERROR(__xludf.DUMMYFUNCTION("IF
(
G1847=""фізична особа""
,
VLOOKUP(H1847,IMPORTRANGE(""https://docs.google.com/spreadsheets/d/14Bd19lYaqBhU8_DElYkX7l4wRkHqqCUFNJY4AfY3kHU/edit?usp=sharing  #gid=0"",""фіз особи new!relations_name""),6,FALSE)
,
(IF
(
G1847=""юридична особа""
,
VLOOKUP"&amp;"(H1847,IMPORTRANGE(""https://docs.google.com/spreadsheets/d/14Bd19lYaqBhU8_DElYkX7l4wRkHqqCUFNJY4AfY3kHU/edit?usp=sharing  #gid=0"",""фіз особи new!relations_name_uo""),7,FALSE)
,
)
))"),"#N/A")</f>
        <v>#N/A</v>
      </c>
      <c r="J1846" s="7" t="s">
        <v>15</v>
      </c>
    </row>
    <row r="1847" spans="1:10" ht="13.2">
      <c r="A1847" s="7">
        <v>1846</v>
      </c>
      <c r="B1847" s="7">
        <v>1</v>
      </c>
      <c r="C1847" s="7" t="s">
        <v>10</v>
      </c>
      <c r="D1847" s="7">
        <v>579</v>
      </c>
      <c r="E1847" s="7" t="s">
        <v>21</v>
      </c>
      <c r="F1847" s="8" t="str">
        <f ca="1">IFERROR(__xludf.DUMMYFUNCTION("IF
(
C1848=""фізична особа""
,
VLOOKUP(D1848,IMPORTRANGE(""https://docs.google.com/spreadsheets/d/14Bd19lYaqBhU8_DElYkX7l4wRkHqqCUFNJY4AfY3kHU/edit?usp=sharing  #gid=0"",""фіз особи new!relations_name""),6,FALSE)
,
(IF
(
C1848=""юридична особа""
,
VLOOKUP"&amp;"(D1848,IMPORTRANGE(""https://docs.google.com/spreadsheets/d/14Bd19lYaqBhU8_DElYkX7l4wRkHqqCUFNJY4AfY3kHU/edit?usp=sharing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47" s="7" t="s">
        <v>10</v>
      </c>
      <c r="H1847" s="7">
        <v>8865</v>
      </c>
      <c r="I1847" s="8" t="str">
        <f ca="1">IFERROR(__xludf.DUMMYFUNCTION("IF
(
G1848=""фізична особа""
,
VLOOKUP(H1848,IMPORTRANGE(""https://docs.google.com/spreadsheets/d/14Bd19lYaqBhU8_DElYkX7l4wRkHqqCUFNJY4AfY3kHU/edit?usp=sharing  #gid=0"",""фіз особи new!relations_name""),6,FALSE)
,
(IF
(
G1848=""юридична особа""
,
VLOOKUP"&amp;"(H1848,IMPORTRANGE(""https://docs.google.com/spreadsheets/d/14Bd19lYaqBhU8_DElYkX7l4wRkHqqCUFNJY4AfY3kHU/edit?usp=sharing  #gid=0"",""фіз особи new!relations_name_uo""),7,FALSE)
,
)
))"),"ЛЕ БРЕН / БАБАКОВА Ольга Олександрівна")</f>
        <v>ЛЕ БРЕН / БАБАКОВА Ольга Олександрівна</v>
      </c>
      <c r="J1847" s="7" t="s">
        <v>13</v>
      </c>
    </row>
    <row r="1848" spans="1:10" ht="13.2">
      <c r="A1848" s="7">
        <v>1847</v>
      </c>
      <c r="B1848" s="7">
        <v>1</v>
      </c>
      <c r="C1848" s="7" t="s">
        <v>10</v>
      </c>
      <c r="D1848" s="7">
        <v>579</v>
      </c>
      <c r="E1848" s="7" t="s">
        <v>48</v>
      </c>
      <c r="F1848" s="8" t="str">
        <f ca="1">IFERROR(__xludf.DUMMYFUNCTION("IF
(
C1849=""фізична особа""
,
VLOOKUP(D1849,IMPORTRANGE(""https://docs.google.com/spreadsheets/d/14Bd19lYaqBhU8_DElYkX7l4wRkHqqCUFNJY4AfY3kHU/edit?usp=sharing  #gid=0"",""фіз особи new!relations_name""),6,FALSE)
,
(IF
(
C1849=""юридична особа""
,
VLOOKUP"&amp;"(D1849,IMPORTRANGE(""https://docs.google.com/spreadsheets/d/14Bd19lYaqBhU8_DElYkX7l4wRkHqqCUFNJY4AfY3kHU/edit?usp=sharing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48" s="7" t="s">
        <v>10</v>
      </c>
      <c r="H1848" s="7">
        <v>0</v>
      </c>
      <c r="I1848" s="8" t="str">
        <f ca="1">IFERROR(__xludf.DUMMYFUNCTION("IF
(
G1849=""фізична особа""
,
VLOOKUP(H1849,IMPORTRANGE(""https://docs.google.com/spreadsheets/d/14Bd19lYaqBhU8_DElYkX7l4wRkHqqCUFNJY4AfY3kHU/edit?usp=sharing  #gid=0"",""фіз особи new!relations_name""),6,FALSE)
,
(IF
(
G1849=""юридична особа""
,
VLOOKUP"&amp;"(H1849,IMPORTRANGE(""https://docs.google.com/spreadsheets/d/14Bd19lYaqBhU8_DElYkX7l4wRkHqqCUFNJY4AfY3kHU/edit?usp=sharing  #gid=0"",""фіз особи new!relations_name_uo""),7,FALSE)
,
)
))"),"#N/A")</f>
        <v>#N/A</v>
      </c>
      <c r="J1848" s="7" t="s">
        <v>48</v>
      </c>
    </row>
    <row r="1849" spans="1:10" ht="13.2">
      <c r="A1849" s="7">
        <v>1848</v>
      </c>
      <c r="B1849" s="7">
        <v>1</v>
      </c>
      <c r="C1849" s="7" t="s">
        <v>10</v>
      </c>
      <c r="D1849" s="7">
        <v>579</v>
      </c>
      <c r="E1849" s="7" t="s">
        <v>11</v>
      </c>
      <c r="F1849" s="8" t="str">
        <f ca="1">IFERROR(__xludf.DUMMYFUNCTION("IF
(
C1850=""фізична особа""
,
VLOOKUP(D1850,IMPORTRANGE(""https://docs.google.com/spreadsheets/d/14Bd19lYaqBhU8_DElYkX7l4wRkHqqCUFNJY4AfY3kHU/edit?usp=sharing  #gid=0"",""фіз особи new!relations_name""),6,FALSE)
,
(IF
(
C1850=""юридична особа""
,
VLOOKUP"&amp;"(D1850,IMPORTRANGE(""https://docs.google.com/spreadsheets/d/14Bd19lYaqBhU8_DElYkX7l4wRkHqqCUFNJY4AfY3kHU/edit?usp=sharing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49" s="7" t="s">
        <v>10</v>
      </c>
      <c r="H1849" s="7">
        <v>0</v>
      </c>
      <c r="I1849" s="8" t="str">
        <f ca="1">IFERROR(__xludf.DUMMYFUNCTION("IF
(
G1850=""фізична особа""
,
VLOOKUP(H1850,IMPORTRANGE(""https://docs.google.com/spreadsheets/d/14Bd19lYaqBhU8_DElYkX7l4wRkHqqCUFNJY4AfY3kHU/edit?usp=sharing  #gid=0"",""фіз особи new!relations_name""),6,FALSE)
,
(IF
(
G1850=""юридична особа""
,
VLOOKUP"&amp;"(H1850,IMPORTRANGE(""https://docs.google.com/spreadsheets/d/14Bd19lYaqBhU8_DElYkX7l4wRkHqqCUFNJY4AfY3kHU/edit?usp=sharing  #gid=0"",""фіз особи new!relations_name_uo""),7,FALSE)
,
)
))"),"#N/A")</f>
        <v>#N/A</v>
      </c>
      <c r="J1849" s="7" t="s">
        <v>11</v>
      </c>
    </row>
    <row r="1850" spans="1:10" ht="13.2">
      <c r="A1850" s="7">
        <v>1849</v>
      </c>
      <c r="B1850" s="7">
        <v>1</v>
      </c>
      <c r="C1850" s="7" t="s">
        <v>10</v>
      </c>
      <c r="D1850" s="7">
        <v>579</v>
      </c>
      <c r="E1850" s="7" t="s">
        <v>11</v>
      </c>
      <c r="F1850" s="8" t="str">
        <f ca="1">IFERROR(__xludf.DUMMYFUNCTION("IF
(
C1851=""фізична особа""
,
VLOOKUP(D1851,IMPORTRANGE(""https://docs.google.com/spreadsheets/d/14Bd19lYaqBhU8_DElYkX7l4wRkHqqCUFNJY4AfY3kHU/edit?usp=sharing  #gid=0"",""фіз особи new!relations_name""),6,FALSE)
,
(IF
(
C1851=""юридична особа""
,
VLOOKUP"&amp;"(D1851,IMPORTRANGE(""https://docs.google.com/spreadsheets/d/14Bd19lYaqBhU8_DElYkX7l4wRkHqqCUFNJY4AfY3kHU/edit?usp=sharing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0" s="7" t="s">
        <v>10</v>
      </c>
      <c r="H1850" s="7">
        <v>0</v>
      </c>
      <c r="I1850" s="8" t="str">
        <f ca="1">IFERROR(__xludf.DUMMYFUNCTION("IF
(
G1851=""фізична особа""
,
VLOOKUP(H1851,IMPORTRANGE(""https://docs.google.com/spreadsheets/d/14Bd19lYaqBhU8_DElYkX7l4wRkHqqCUFNJY4AfY3kHU/edit?usp=sharing  #gid=0"",""фіз особи new!relations_name""),6,FALSE)
,
(IF
(
G1851=""юридична особа""
,
VLOOKUP"&amp;"(H1851,IMPORTRANGE(""https://docs.google.com/spreadsheets/d/14Bd19lYaqBhU8_DElYkX7l4wRkHqqCUFNJY4AfY3kHU/edit?usp=sharing  #gid=0"",""фіз особи new!relations_name_uo""),7,FALSE)
,
)
))"),"#N/A")</f>
        <v>#N/A</v>
      </c>
      <c r="J1850" s="7" t="s">
        <v>11</v>
      </c>
    </row>
    <row r="1851" spans="1:10" ht="13.2">
      <c r="A1851" s="7">
        <v>1850</v>
      </c>
      <c r="B1851" s="7">
        <v>1</v>
      </c>
      <c r="C1851" s="7" t="s">
        <v>10</v>
      </c>
      <c r="D1851" s="7">
        <v>579</v>
      </c>
      <c r="E1851" s="7" t="s">
        <v>48</v>
      </c>
      <c r="F1851" s="8" t="str">
        <f ca="1">IFERROR(__xludf.DUMMYFUNCTION("IF
(
C1852=""фізична особа""
,
VLOOKUP(D1852,IMPORTRANGE(""https://docs.google.com/spreadsheets/d/14Bd19lYaqBhU8_DElYkX7l4wRkHqqCUFNJY4AfY3kHU/edit?usp=sharing  #gid=0"",""фіз особи new!relations_name""),6,FALSE)
,
(IF
(
C1852=""юридична особа""
,
VLOOKUP"&amp;"(D1852,IMPORTRANGE(""https://docs.google.com/spreadsheets/d/14Bd19lYaqBhU8_DElYkX7l4wRkHqqCUFNJY4AfY3kHU/edit?usp=sharing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1" s="7" t="s">
        <v>10</v>
      </c>
      <c r="H1851" s="7">
        <v>880</v>
      </c>
      <c r="I1851" s="8" t="str">
        <f ca="1">IFERROR(__xludf.DUMMYFUNCTION("IF
(
G1852=""фізична особа""
,
VLOOKUP(H1852,IMPORTRANGE(""https://docs.google.com/spreadsheets/d/14Bd19lYaqBhU8_DElYkX7l4wRkHqqCUFNJY4AfY3kHU/edit?usp=sharing  #gid=0"",""фіз особи new!relations_name""),6,FALSE)
,
(IF
(
G1852=""юридична особа""
,
VLOOKUP"&amp;"(H1852,IMPORTRANGE(""https://docs.google.com/spreadsheets/d/14Bd19lYaqBhU8_DElYkX7l4wRkHqqCUFNJY4AfY3kHU/edit?usp=sharing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851" s="7" t="s">
        <v>48</v>
      </c>
    </row>
    <row r="1852" spans="1:10" ht="13.2">
      <c r="A1852" s="7">
        <v>1851</v>
      </c>
      <c r="B1852" s="7">
        <v>1</v>
      </c>
      <c r="C1852" s="7" t="s">
        <v>10</v>
      </c>
      <c r="D1852" s="7">
        <v>579</v>
      </c>
      <c r="E1852" s="7" t="s">
        <v>11</v>
      </c>
      <c r="F1852" s="8" t="str">
        <f ca="1">IFERROR(__xludf.DUMMYFUNCTION("IF
(
C1853=""фізична особа""
,
VLOOKUP(D1853,IMPORTRANGE(""https://docs.google.com/spreadsheets/d/14Bd19lYaqBhU8_DElYkX7l4wRkHqqCUFNJY4AfY3kHU/edit?usp=sharing  #gid=0"",""фіз особи new!relations_name""),6,FALSE)
,
(IF
(
C1853=""юридична особа""
,
VLOOKUP"&amp;"(D1853,IMPORTRANGE(""https://docs.google.com/spreadsheets/d/14Bd19lYaqBhU8_DElYkX7l4wRkHqqCUFNJY4AfY3kHU/edit?usp=sharing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2" s="7" t="s">
        <v>10</v>
      </c>
      <c r="H1852" s="7">
        <v>0</v>
      </c>
      <c r="I1852" s="8" t="str">
        <f ca="1">IFERROR(__xludf.DUMMYFUNCTION("IF
(
G1853=""фізична особа""
,
VLOOKUP(H1853,IMPORTRANGE(""https://docs.google.com/spreadsheets/d/14Bd19lYaqBhU8_DElYkX7l4wRkHqqCUFNJY4AfY3kHU/edit?usp=sharing  #gid=0"",""фіз особи new!relations_name""),6,FALSE)
,
(IF
(
G1853=""юридична особа""
,
VLOOKUP"&amp;"(H1853,IMPORTRANGE(""https://docs.google.com/spreadsheets/d/14Bd19lYaqBhU8_DElYkX7l4wRkHqqCUFNJY4AfY3kHU/edit?usp=sharing  #gid=0"",""фіз особи new!relations_name_uo""),7,FALSE)
,
)
))"),"#N/A")</f>
        <v>#N/A</v>
      </c>
      <c r="J1852" s="7" t="s">
        <v>11</v>
      </c>
    </row>
    <row r="1853" spans="1:10" ht="13.2">
      <c r="A1853" s="7">
        <v>1852</v>
      </c>
      <c r="B1853" s="7">
        <v>1</v>
      </c>
      <c r="C1853" s="7" t="s">
        <v>10</v>
      </c>
      <c r="D1853" s="7">
        <v>579</v>
      </c>
      <c r="E1853" s="7" t="s">
        <v>11</v>
      </c>
      <c r="F1853" s="8" t="str">
        <f ca="1">IFERROR(__xludf.DUMMYFUNCTION("IF
(
C1854=""фізична особа""
,
VLOOKUP(D1854,IMPORTRANGE(""https://docs.google.com/spreadsheets/d/14Bd19lYaqBhU8_DElYkX7l4wRkHqqCUFNJY4AfY3kHU/edit?usp=sharing  #gid=0"",""фіз особи new!relations_name""),6,FALSE)
,
(IF
(
C1854=""юридична особа""
,
VLOOKUP"&amp;"(D1854,IMPORTRANGE(""https://docs.google.com/spreadsheets/d/14Bd19lYaqBhU8_DElYkX7l4wRkHqqCUFNJY4AfY3kHU/edit?usp=sharing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3" s="7" t="s">
        <v>10</v>
      </c>
      <c r="H1853" s="7">
        <v>23424</v>
      </c>
      <c r="I1853" s="8" t="str">
        <f ca="1">IFERROR(__xludf.DUMMYFUNCTION("IF
(
G1854=""фізична особа""
,
VLOOKUP(H1854,IMPORTRANGE(""https://docs.google.com/spreadsheets/d/14Bd19lYaqBhU8_DElYkX7l4wRkHqqCUFNJY4AfY3kHU/edit?usp=sharing  #gid=0"",""фіз особи new!relations_name""),6,FALSE)
,
(IF
(
G1854=""юридична особа""
,
VLOOKUP"&amp;"(H1854,IMPORTRANGE(""https://docs.google.com/spreadsheets/d/14Bd19lYaqBhU8_DElYkX7l4wRkHqqCUFNJY4AfY3kHU/edit?usp=sharing  #gid=0"",""фіз особи new!relations_name_uo""),7,FALSE)
,
)
))"),"ВОЄВОДІН Михайло Вікторович")</f>
        <v>ВОЄВОДІН Михайло Вікторович</v>
      </c>
      <c r="J1853" s="7" t="s">
        <v>11</v>
      </c>
    </row>
    <row r="1854" spans="1:10" ht="13.2">
      <c r="A1854" s="7">
        <v>1853</v>
      </c>
      <c r="B1854" s="7">
        <v>1</v>
      </c>
      <c r="C1854" s="7" t="s">
        <v>10</v>
      </c>
      <c r="D1854" s="7">
        <v>579</v>
      </c>
      <c r="E1854" s="7" t="s">
        <v>48</v>
      </c>
      <c r="F1854" s="8" t="str">
        <f ca="1">IFERROR(__xludf.DUMMYFUNCTION("IF
(
C1855=""фізична особа""
,
VLOOKUP(D1855,IMPORTRANGE(""https://docs.google.com/spreadsheets/d/14Bd19lYaqBhU8_DElYkX7l4wRkHqqCUFNJY4AfY3kHU/edit?usp=sharing  #gid=0"",""фіз особи new!relations_name""),6,FALSE)
,
(IF
(
C1855=""юридична особа""
,
VLOOKUP"&amp;"(D1855,IMPORTRANGE(""https://docs.google.com/spreadsheets/d/14Bd19lYaqBhU8_DElYkX7l4wRkHqqCUFNJY4AfY3kHU/edit?usp=sharing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4" s="7" t="s">
        <v>10</v>
      </c>
      <c r="H1854" s="7">
        <v>0</v>
      </c>
      <c r="I1854" s="8" t="str">
        <f ca="1">IFERROR(__xludf.DUMMYFUNCTION("IF
(
G1855=""фізична особа""
,
VLOOKUP(H1855,IMPORTRANGE(""https://docs.google.com/spreadsheets/d/14Bd19lYaqBhU8_DElYkX7l4wRkHqqCUFNJY4AfY3kHU/edit?usp=sharing  #gid=0"",""фіз особи new!relations_name""),6,FALSE)
,
(IF
(
G1855=""юридична особа""
,
VLOOKUP"&amp;"(H1855,IMPORTRANGE(""https://docs.google.com/spreadsheets/d/14Bd19lYaqBhU8_DElYkX7l4wRkHqqCUFNJY4AfY3kHU/edit?usp=sharing  #gid=0"",""фіз особи new!relations_name_uo""),7,FALSE)
,
)
))"),"#N/A")</f>
        <v>#N/A</v>
      </c>
      <c r="J1854" s="7" t="s">
        <v>48</v>
      </c>
    </row>
    <row r="1855" spans="1:10" ht="13.2">
      <c r="A1855" s="7">
        <v>1854</v>
      </c>
      <c r="B1855" s="7">
        <v>1</v>
      </c>
      <c r="C1855" s="7" t="s">
        <v>10</v>
      </c>
      <c r="D1855" s="7">
        <v>579</v>
      </c>
      <c r="E1855" s="7" t="s">
        <v>48</v>
      </c>
      <c r="F1855" s="8" t="str">
        <f ca="1">IFERROR(__xludf.DUMMYFUNCTION("IF
(
C1856=""фізична особа""
,
VLOOKUP(D1856,IMPORTRANGE(""https://docs.google.com/spreadsheets/d/14Bd19lYaqBhU8_DElYkX7l4wRkHqqCUFNJY4AfY3kHU/edit?usp=sharing  #gid=0"",""фіз особи new!relations_name""),6,FALSE)
,
(IF
(
C1856=""юридична особа""
,
VLOOKUP"&amp;"(D1856,IMPORTRANGE(""https://docs.google.com/spreadsheets/d/14Bd19lYaqBhU8_DElYkX7l4wRkHqqCUFNJY4AfY3kHU/edit?usp=sharing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5" s="7" t="s">
        <v>10</v>
      </c>
      <c r="H1855" s="7">
        <v>4545</v>
      </c>
      <c r="I1855" s="8" t="str">
        <f ca="1">IFERROR(__xludf.DUMMYFUNCTION("IF
(
G1856=""фізична особа""
,
VLOOKUP(H1856,IMPORTRANGE(""https://docs.google.com/spreadsheets/d/14Bd19lYaqBhU8_DElYkX7l4wRkHqqCUFNJY4AfY3kHU/edit?usp=sharing  #gid=0"",""фіз особи new!relations_name""),6,FALSE)
,
(IF
(
G1856=""юридична особа""
,
VLOOKUP"&amp;"(H1856,IMPORTRANGE(""https://docs.google.com/spreadsheets/d/14Bd19lYaqBhU8_DElYkX7l4wRkHqqCUFNJY4AfY3kHU/edit?usp=sharing  #gid=0"",""фіз особи new!relations_name_uo""),7,FALSE)
,
)
))"),"ЛЄВІЧЄВ Микола Володимирович")</f>
        <v>ЛЄВІЧЄВ Микола Володимирович</v>
      </c>
      <c r="J1855" s="7" t="s">
        <v>48</v>
      </c>
    </row>
    <row r="1856" spans="1:10" ht="13.2">
      <c r="A1856" s="7">
        <v>1855</v>
      </c>
      <c r="B1856" s="7">
        <v>1</v>
      </c>
      <c r="C1856" s="7" t="s">
        <v>10</v>
      </c>
      <c r="D1856" s="7">
        <v>580</v>
      </c>
      <c r="E1856" s="7" t="s">
        <v>15</v>
      </c>
      <c r="F1856" s="8" t="str">
        <f ca="1">IFERROR(__xludf.DUMMYFUNCTION("IF
(
C1857=""фізична особа""
,
VLOOKUP(D1857,IMPORTRANGE(""https://docs.google.com/spreadsheets/d/14Bd19lYaqBhU8_DElYkX7l4wRkHqqCUFNJY4AfY3kHU/edit?usp=sharing  #gid=0"",""фіз особи new!relations_name""),6,FALSE)
,
(IF
(
C1857=""юридична особа""
,
VLOOKUP"&amp;"(D1857,IMPORTRANGE(""https://docs.google.com/spreadsheets/d/14Bd19lYaqBhU8_DElYkX7l4wRkHqqCUFNJY4AfY3kHU/edit?usp=sharing  #gid=0"",""фіз особи new!relations_name_uo""),7,FALSE)
,
)
))"),"КОРОБОВА Ольга Володимирівна")</f>
        <v>КОРОБОВА Ольга Володимирівна</v>
      </c>
      <c r="G1856" s="7" t="s">
        <v>10</v>
      </c>
      <c r="H1856" s="7">
        <v>0</v>
      </c>
      <c r="I1856" s="8" t="str">
        <f ca="1">IFERROR(__xludf.DUMMYFUNCTION("IF
(
G1857=""фізична особа""
,
VLOOKUP(H1857,IMPORTRANGE(""https://docs.google.com/spreadsheets/d/14Bd19lYaqBhU8_DElYkX7l4wRkHqqCUFNJY4AfY3kHU/edit?usp=sharing  #gid=0"",""фіз особи new!relations_name""),6,FALSE)
,
(IF
(
G1857=""юридична особа""
,
VLOOKUP"&amp;"(H1857,IMPORTRANGE(""https://docs.google.com/spreadsheets/d/14Bd19lYaqBhU8_DElYkX7l4wRkHqqCUFNJY4AfY3kHU/edit?usp=sharing  #gid=0"",""фіз особи new!relations_name_uo""),7,FALSE)
,
)
))"),"#N/A")</f>
        <v>#N/A</v>
      </c>
      <c r="J1856" s="7" t="s">
        <v>14</v>
      </c>
    </row>
    <row r="1857" spans="1:10" ht="13.2">
      <c r="A1857" s="7">
        <v>1856</v>
      </c>
      <c r="B1857" s="7">
        <v>1</v>
      </c>
      <c r="C1857" s="7" t="s">
        <v>10</v>
      </c>
      <c r="D1857" s="7">
        <v>579</v>
      </c>
      <c r="E1857" s="7" t="s">
        <v>48</v>
      </c>
      <c r="F1857" s="8" t="str">
        <f ca="1">IFERROR(__xludf.DUMMYFUNCTION("IF
(
C1858=""фізична особа""
,
VLOOKUP(D1858,IMPORTRANGE(""https://docs.google.com/spreadsheets/d/14Bd19lYaqBhU8_DElYkX7l4wRkHqqCUFNJY4AfY3kHU/edit?usp=sharing  #gid=0"",""фіз особи new!relations_name""),6,FALSE)
,
(IF
(
C1858=""юридична особа""
,
VLOOKUP"&amp;"(D1858,IMPORTRANGE(""https://docs.google.com/spreadsheets/d/14Bd19lYaqBhU8_DElYkX7l4wRkHqqCUFNJY4AfY3kHU/edit?usp=sharing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7" s="7" t="s">
        <v>10</v>
      </c>
      <c r="H1857" s="7">
        <v>0</v>
      </c>
      <c r="I1857" s="8" t="str">
        <f ca="1">IFERROR(__xludf.DUMMYFUNCTION("IF
(
G1858=""фізична особа""
,
VLOOKUP(H1858,IMPORTRANGE(""https://docs.google.com/spreadsheets/d/14Bd19lYaqBhU8_DElYkX7l4wRkHqqCUFNJY4AfY3kHU/edit?usp=sharing  #gid=0"",""фіз особи new!relations_name""),6,FALSE)
,
(IF
(
G1858=""юридична особа""
,
VLOOKUP"&amp;"(H1858,IMPORTRANGE(""https://docs.google.com/spreadsheets/d/14Bd19lYaqBhU8_DElYkX7l4wRkHqqCUFNJY4AfY3kHU/edit?usp=sharing  #gid=0"",""фіз особи new!relations_name_uo""),7,FALSE)
,
)
))"),"#N/A")</f>
        <v>#N/A</v>
      </c>
      <c r="J1857" s="7" t="s">
        <v>48</v>
      </c>
    </row>
    <row r="1858" spans="1:10" ht="13.2">
      <c r="A1858" s="7">
        <v>1857</v>
      </c>
      <c r="B1858" s="7">
        <v>1</v>
      </c>
      <c r="C1858" s="7" t="s">
        <v>10</v>
      </c>
      <c r="D1858" s="7">
        <v>579</v>
      </c>
      <c r="E1858" s="7" t="s">
        <v>48</v>
      </c>
      <c r="F1858" s="8" t="str">
        <f ca="1">IFERROR(__xludf.DUMMYFUNCTION("IF
(
C1859=""фізична особа""
,
VLOOKUP(D1859,IMPORTRANGE(""https://docs.google.com/spreadsheets/d/14Bd19lYaqBhU8_DElYkX7l4wRkHqqCUFNJY4AfY3kHU/edit?usp=sharing  #gid=0"",""фіз особи new!relations_name""),6,FALSE)
,
(IF
(
C1859=""юридична особа""
,
VLOOKUP"&amp;"(D1859,IMPORTRANGE(""https://docs.google.com/spreadsheets/d/14Bd19lYaqBhU8_DElYkX7l4wRkHqqCUFNJY4AfY3kHU/edit?usp=sharing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G1858" s="7" t="s">
        <v>10</v>
      </c>
      <c r="H1858" s="7">
        <v>2536</v>
      </c>
      <c r="I1858" s="8" t="str">
        <f ca="1">IFERROR(__xludf.DUMMYFUNCTION("IF
(
G1859=""фізична особа""
,
VLOOKUP(H1859,IMPORTRANGE(""https://docs.google.com/spreadsheets/d/14Bd19lYaqBhU8_DElYkX7l4wRkHqqCUFNJY4AfY3kHU/edit?usp=sharing  #gid=0"",""фіз особи new!relations_name""),6,FALSE)
,
(IF
(
G1859=""юридична особа""
,
VLOOKUP"&amp;"(H1859,IMPORTRANGE(""https://docs.google.com/spreadsheets/d/14Bd19lYaqBhU8_DElYkX7l4wRkHqqCUFNJY4AfY3kHU/edit?usp=sharing  #gid=0"",""фіз особи new!relations_name_uo""),7,FALSE)
,
)
))"),"ШАПША Владислав Валерійович")</f>
        <v>ШАПША Владислав Валерійович</v>
      </c>
      <c r="J1858" s="7" t="s">
        <v>48</v>
      </c>
    </row>
    <row r="1859" spans="1:10" ht="13.2">
      <c r="A1859" s="7">
        <v>1858</v>
      </c>
      <c r="B1859" s="7">
        <v>1</v>
      </c>
      <c r="C1859" s="7" t="s">
        <v>10</v>
      </c>
      <c r="D1859" s="7">
        <v>581</v>
      </c>
      <c r="E1859" s="7" t="s">
        <v>15</v>
      </c>
      <c r="F1859" s="8" t="str">
        <f ca="1">IFERROR(__xludf.DUMMYFUNCTION("IF
(
C1860=""фізична особа""
,
VLOOKUP(D1860,IMPORTRANGE(""https://docs.google.com/spreadsheets/d/14Bd19lYaqBhU8_DElYkX7l4wRkHqqCUFNJY4AfY3kHU/edit?usp=sharing  #gid=0"",""фіз особи new!relations_name""),6,FALSE)
,
(IF
(
C1860=""юридична особа""
,
VLOOKUP"&amp;"(D1860,IMPORTRANGE(""https://docs.google.com/spreadsheets/d/14Bd19lYaqBhU8_DElYkX7l4wRkHqqCUFNJY4AfY3kHU/edit?usp=sharing  #gid=0"",""фіз особи new!relations_name_uo""),7,FALSE)
,
)
))"),"СКАБЄЄВА Ольга Володимирівна")</f>
        <v>СКАБЄЄВА Ольга Володимирівна</v>
      </c>
      <c r="G1859" s="7" t="s">
        <v>10</v>
      </c>
      <c r="H1859" s="7">
        <v>245</v>
      </c>
      <c r="I1859" s="8" t="str">
        <f ca="1">IFERROR(__xludf.DUMMYFUNCTION("IF
(
G1860=""фізична особа""
,
VLOOKUP(H1860,IMPORTRANGE(""https://docs.google.com/spreadsheets/d/14Bd19lYaqBhU8_DElYkX7l4wRkHqqCUFNJY4AfY3kHU/edit?usp=sharing  #gid=0"",""фіз особи new!relations_name""),6,FALSE)
,
(IF
(
G1860=""юридична особа""
,
VLOOKUP"&amp;"(H1860,IMPORTRANGE(""https://docs.google.com/spreadsheets/d/14Bd19lYaqBhU8_DElYkX7l4wRkHqqCUFNJY4AfY3kHU/edit?usp=sharing  #gid=0"",""фіз особи new!relations_name_uo""),7,FALSE)
,
)
))"),"ПОПОВ Євген Георгійович")</f>
        <v>ПОПОВ Євген Георгійович</v>
      </c>
      <c r="J1859" s="7" t="s">
        <v>14</v>
      </c>
    </row>
    <row r="1860" spans="1:10" ht="13.2">
      <c r="A1860" s="7">
        <v>1859</v>
      </c>
      <c r="B1860" s="7">
        <v>1</v>
      </c>
      <c r="C1860" s="7" t="s">
        <v>10</v>
      </c>
      <c r="D1860" s="7">
        <v>581</v>
      </c>
      <c r="E1860" s="7" t="s">
        <v>21</v>
      </c>
      <c r="F1860" s="8" t="str">
        <f ca="1">IFERROR(__xludf.DUMMYFUNCTION("IF
(
C1861=""фізична особа""
,
VLOOKUP(D1861,IMPORTRANGE(""https://docs.google.com/spreadsheets/d/14Bd19lYaqBhU8_DElYkX7l4wRkHqqCUFNJY4AfY3kHU/edit?usp=sharing  #gid=0"",""фіз особи new!relations_name""),6,FALSE)
,
(IF
(
C1861=""юридична особа""
,
VLOOKUP"&amp;"(D1861,IMPORTRANGE(""https://docs.google.com/spreadsheets/d/14Bd19lYaqBhU8_DElYkX7l4wRkHqqCUFNJY4AfY3kHU/edit?usp=sharing  #gid=0"",""фіз особи new!relations_name_uo""),7,FALSE)
,
)
))"),"СКАБЄЄВА Ольга Володимирівна")</f>
        <v>СКАБЄЄВА Ольга Володимирівна</v>
      </c>
      <c r="G1860" s="7" t="s">
        <v>10</v>
      </c>
      <c r="H1860" s="7">
        <v>0</v>
      </c>
      <c r="I1860" s="8" t="str">
        <f ca="1">IFERROR(__xludf.DUMMYFUNCTION("IF
(
G1861=""фізична особа""
,
VLOOKUP(H1861,IMPORTRANGE(""https://docs.google.com/spreadsheets/d/14Bd19lYaqBhU8_DElYkX7l4wRkHqqCUFNJY4AfY3kHU/edit?usp=sharing  #gid=0"",""фіз особи new!relations_name""),6,FALSE)
,
(IF
(
G1861=""юридична особа""
,
VLOOKUP"&amp;"(H1861,IMPORTRANGE(""https://docs.google.com/spreadsheets/d/14Bd19lYaqBhU8_DElYkX7l4wRkHqqCUFNJY4AfY3kHU/edit?usp=sharing  #gid=0"",""фіз особи new!relations_name_uo""),7,FALSE)
,
)
))"),"#N/A")</f>
        <v>#N/A</v>
      </c>
      <c r="J1860" s="7" t="s">
        <v>17</v>
      </c>
    </row>
    <row r="1861" spans="1:10" ht="13.2">
      <c r="A1861" s="7">
        <v>1860</v>
      </c>
      <c r="B1861" s="7">
        <v>1</v>
      </c>
      <c r="C1861" s="7" t="s">
        <v>10</v>
      </c>
      <c r="D1861" s="7">
        <v>582</v>
      </c>
      <c r="E1861" s="7" t="s">
        <v>12</v>
      </c>
      <c r="F1861" s="8" t="str">
        <f ca="1">IFERROR(__xludf.DUMMYFUNCTION("IF
(
C1862=""фізична особа""
,
VLOOKUP(D1862,IMPORTRANGE(""https://docs.google.com/spreadsheets/d/14Bd19lYaqBhU8_DElYkX7l4wRkHqqCUFNJY4AfY3kHU/edit?usp=sharing  #gid=0"",""фіз особи new!relations_name""),6,FALSE)
,
(IF
(
C1862=""юридична особа""
,
VLOOKUP"&amp;"(D1862,IMPORTRANGE(""https://docs.google.com/spreadsheets/d/14Bd19lYaqBhU8_DElYkX7l4wRkHqqCUFNJY4AfY3kHU/edit?usp=sharing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1" s="7" t="s">
        <v>10</v>
      </c>
      <c r="H1861" s="7">
        <v>4742</v>
      </c>
      <c r="I1861" s="8" t="str">
        <f ca="1">IFERROR(__xludf.DUMMYFUNCTION("IF
(
G1862=""фізична особа""
,
VLOOKUP(H1862,IMPORTRANGE(""https://docs.google.com/spreadsheets/d/14Bd19lYaqBhU8_DElYkX7l4wRkHqqCUFNJY4AfY3kHU/edit?usp=sharing  #gid=0"",""фіз особи new!relations_name""),6,FALSE)
,
(IF
(
G1862=""юридична особа""
,
VLOOKUP"&amp;"(H1862,IMPORTRANGE(""https://docs.google.com/spreadsheets/d/14Bd19lYaqBhU8_DElYkX7l4wRkHqqCUFNJY4AfY3kHU/edit?usp=sharing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J1861" s="7" t="s">
        <v>13</v>
      </c>
    </row>
    <row r="1862" spans="1:10" ht="13.2">
      <c r="A1862" s="7">
        <v>1861</v>
      </c>
      <c r="B1862" s="7">
        <v>1</v>
      </c>
      <c r="C1862" s="7" t="s">
        <v>10</v>
      </c>
      <c r="D1862" s="7">
        <v>582</v>
      </c>
      <c r="E1862" s="7" t="s">
        <v>12</v>
      </c>
      <c r="F1862" s="8" t="str">
        <f ca="1">IFERROR(__xludf.DUMMYFUNCTION("IF
(
C1863=""фізична особа""
,
VLOOKUP(D1863,IMPORTRANGE(""https://docs.google.com/spreadsheets/d/14Bd19lYaqBhU8_DElYkX7l4wRkHqqCUFNJY4AfY3kHU/edit?usp=sharing  #gid=0"",""фіз особи new!relations_name""),6,FALSE)
,
(IF
(
C1863=""юридична особа""
,
VLOOKUP"&amp;"(D1863,IMPORTRANGE(""https://docs.google.com/spreadsheets/d/14Bd19lYaqBhU8_DElYkX7l4wRkHqqCUFNJY4AfY3kHU/edit?usp=sharing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2" s="7" t="s">
        <v>10</v>
      </c>
      <c r="H1862" s="7">
        <v>4743</v>
      </c>
      <c r="I1862" s="8" t="str">
        <f ca="1">IFERROR(__xludf.DUMMYFUNCTION("IF
(
G1863=""фізична особа""
,
VLOOKUP(H1863,IMPORTRANGE(""https://docs.google.com/spreadsheets/d/14Bd19lYaqBhU8_DElYkX7l4wRkHqqCUFNJY4AfY3kHU/edit?usp=sharing  #gid=0"",""фіз особи new!relations_name""),6,FALSE)
,
(IF
(
G1863=""юридична особа""
,
VLOOKUP"&amp;"(H1863,IMPORTRANGE(""https://docs.google.com/spreadsheets/d/14Bd19lYaqBhU8_DElYkX7l4wRkHqqCUFNJY4AfY3kHU/edit?usp=sharing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J1862" s="7" t="s">
        <v>17</v>
      </c>
    </row>
    <row r="1863" spans="1:10" ht="13.2">
      <c r="A1863" s="7">
        <v>1862</v>
      </c>
      <c r="B1863" s="7">
        <v>1</v>
      </c>
      <c r="C1863" s="7" t="s">
        <v>10</v>
      </c>
      <c r="D1863" s="7">
        <v>582</v>
      </c>
      <c r="E1863" s="7" t="s">
        <v>34</v>
      </c>
      <c r="F1863" s="8" t="str">
        <f ca="1">IFERROR(__xludf.DUMMYFUNCTION("IF
(
C1864=""фізична особа""
,
VLOOKUP(D1864,IMPORTRANGE(""https://docs.google.com/spreadsheets/d/14Bd19lYaqBhU8_DElYkX7l4wRkHqqCUFNJY4AfY3kHU/edit?usp=sharing  #gid=0"",""фіз особи new!relations_name""),6,FALSE)
,
(IF
(
C1864=""юридична особа""
,
VLOOKUP"&amp;"(D1864,IMPORTRANGE(""https://docs.google.com/spreadsheets/d/14Bd19lYaqBhU8_DElYkX7l4wRkHqqCUFNJY4AfY3kHU/edit?usp=sharing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3" s="7" t="s">
        <v>10</v>
      </c>
      <c r="H1863" s="7">
        <v>0</v>
      </c>
      <c r="I1863" s="8" t="str">
        <f ca="1">IFERROR(__xludf.DUMMYFUNCTION("IF
(
G1864=""фізична особа""
,
VLOOKUP(H1864,IMPORTRANGE(""https://docs.google.com/spreadsheets/d/14Bd19lYaqBhU8_DElYkX7l4wRkHqqCUFNJY4AfY3kHU/edit?usp=sharing  #gid=0"",""фіз особи new!relations_name""),6,FALSE)
,
(IF
(
G1864=""юридична особа""
,
VLOOKUP"&amp;"(H1864,IMPORTRANGE(""https://docs.google.com/spreadsheets/d/14Bd19lYaqBhU8_DElYkX7l4wRkHqqCUFNJY4AfY3kHU/edit?usp=sharing  #gid=0"",""фіз особи new!relations_name_uo""),7,FALSE)
,
)
))"),"#N/A")</f>
        <v>#N/A</v>
      </c>
      <c r="J1863" s="7" t="s">
        <v>25</v>
      </c>
    </row>
    <row r="1864" spans="1:10" ht="13.2">
      <c r="A1864" s="7">
        <v>1863</v>
      </c>
      <c r="B1864" s="7">
        <v>1</v>
      </c>
      <c r="C1864" s="7" t="s">
        <v>10</v>
      </c>
      <c r="D1864" s="7">
        <v>582</v>
      </c>
      <c r="E1864" s="7" t="s">
        <v>14</v>
      </c>
      <c r="F1864" s="8" t="str">
        <f ca="1">IFERROR(__xludf.DUMMYFUNCTION("IF
(
C1865=""фізична особа""
,
VLOOKUP(D1865,IMPORTRANGE(""https://docs.google.com/spreadsheets/d/14Bd19lYaqBhU8_DElYkX7l4wRkHqqCUFNJY4AfY3kHU/edit?usp=sharing  #gid=0"",""фіз особи new!relations_name""),6,FALSE)
,
(IF
(
C1865=""юридична особа""
,
VLOOKUP"&amp;"(D1865,IMPORTRANGE(""https://docs.google.com/spreadsheets/d/14Bd19lYaqBhU8_DElYkX7l4wRkHqqCUFNJY4AfY3kHU/edit?usp=sharing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4" s="7" t="s">
        <v>10</v>
      </c>
      <c r="H1864" s="7">
        <v>0</v>
      </c>
      <c r="I1864" s="8" t="str">
        <f ca="1">IFERROR(__xludf.DUMMYFUNCTION("IF
(
G1865=""фізична особа""
,
VLOOKUP(H1865,IMPORTRANGE(""https://docs.google.com/spreadsheets/d/14Bd19lYaqBhU8_DElYkX7l4wRkHqqCUFNJY4AfY3kHU/edit?usp=sharing  #gid=0"",""фіз особи new!relations_name""),6,FALSE)
,
(IF
(
G1865=""юридична особа""
,
VLOOKUP"&amp;"(H1865,IMPORTRANGE(""https://docs.google.com/spreadsheets/d/14Bd19lYaqBhU8_DElYkX7l4wRkHqqCUFNJY4AfY3kHU/edit?usp=sharing  #gid=0"",""фіз особи new!relations_name_uo""),7,FALSE)
,
)
))"),"#N/A")</f>
        <v>#N/A</v>
      </c>
      <c r="J1864" s="7" t="s">
        <v>15</v>
      </c>
    </row>
    <row r="1865" spans="1:10" ht="13.2">
      <c r="A1865" s="7">
        <v>1864</v>
      </c>
      <c r="B1865" s="7">
        <v>1</v>
      </c>
      <c r="C1865" s="7" t="s">
        <v>10</v>
      </c>
      <c r="D1865" s="7">
        <v>582</v>
      </c>
      <c r="E1865" s="7" t="s">
        <v>18</v>
      </c>
      <c r="F1865" s="8" t="str">
        <f ca="1">IFERROR(__xludf.DUMMYFUNCTION("IF
(
C1866=""фізична особа""
,
VLOOKUP(D1866,IMPORTRANGE(""https://docs.google.com/spreadsheets/d/14Bd19lYaqBhU8_DElYkX7l4wRkHqqCUFNJY4AfY3kHU/edit?usp=sharing  #gid=0"",""фіз особи new!relations_name""),6,FALSE)
,
(IF
(
C1866=""юридична особа""
,
VLOOKUP"&amp;"(D1866,IMPORTRANGE(""https://docs.google.com/spreadsheets/d/14Bd19lYaqBhU8_DElYkX7l4wRkHqqCUFNJY4AfY3kHU/edit?usp=sharing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5" s="7" t="s">
        <v>10</v>
      </c>
      <c r="H1865" s="7">
        <v>23425</v>
      </c>
      <c r="I1865" s="8" t="str">
        <f ca="1">IFERROR(__xludf.DUMMYFUNCTION("IF
(
G1866=""фізична особа""
,
VLOOKUP(H1866,IMPORTRANGE(""https://docs.google.com/spreadsheets/d/14Bd19lYaqBhU8_DElYkX7l4wRkHqqCUFNJY4AfY3kHU/edit?usp=sharing  #gid=0"",""фіз особи new!relations_name""),6,FALSE)
,
(IF
(
G1866=""юридична особа""
,
VLOOKUP"&amp;"(H1866,IMPORTRANGE(""https://docs.google.com/spreadsheets/d/14Bd19lYaqBhU8_DElYkX7l4wRkHqqCUFNJY4AfY3kHU/edit?usp=sharing  #gid=0"",""фіз особи new!relations_name_uo""),7,FALSE)
,
)
))"),"АРШБА Олександр Іонович")</f>
        <v>АРШБА Олександр Іонович</v>
      </c>
      <c r="J1865" s="7" t="s">
        <v>18</v>
      </c>
    </row>
    <row r="1866" spans="1:10" ht="13.2">
      <c r="A1866" s="7">
        <v>1865</v>
      </c>
      <c r="B1866" s="7">
        <v>1</v>
      </c>
      <c r="C1866" s="7" t="s">
        <v>10</v>
      </c>
      <c r="D1866" s="7">
        <v>582</v>
      </c>
      <c r="E1866" s="7" t="s">
        <v>19</v>
      </c>
      <c r="F1866" s="8" t="str">
        <f ca="1">IFERROR(__xludf.DUMMYFUNCTION("IF
(
C1867=""фізична особа""
,
VLOOKUP(D1867,IMPORTRANGE(""https://docs.google.com/spreadsheets/d/14Bd19lYaqBhU8_DElYkX7l4wRkHqqCUFNJY4AfY3kHU/edit?usp=sharing  #gid=0"",""фіз особи new!relations_name""),6,FALSE)
,
(IF
(
C1867=""юридична особа""
,
VLOOKUP"&amp;"(D1867,IMPORTRANGE(""https://docs.google.com/spreadsheets/d/14Bd19lYaqBhU8_DElYkX7l4wRkHqqCUFNJY4AfY3kHU/edit?usp=sharing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6" s="7" t="s">
        <v>10</v>
      </c>
      <c r="H1866" s="7">
        <v>0</v>
      </c>
      <c r="I1866" s="8" t="str">
        <f ca="1">IFERROR(__xludf.DUMMYFUNCTION("IF
(
G1867=""фізична особа""
,
VLOOKUP(H1867,IMPORTRANGE(""https://docs.google.com/spreadsheets/d/14Bd19lYaqBhU8_DElYkX7l4wRkHqqCUFNJY4AfY3kHU/edit?usp=sharing  #gid=0"",""фіз особи new!relations_name""),6,FALSE)
,
(IF
(
G1867=""юридична особа""
,
VLOOKUP"&amp;"(H1867,IMPORTRANGE(""https://docs.google.com/spreadsheets/d/14Bd19lYaqBhU8_DElYkX7l4wRkHqqCUFNJY4AfY3kHU/edit?usp=sharing  #gid=0"",""фіз особи new!relations_name_uo""),7,FALSE)
,
)
))"),"#N/A")</f>
        <v>#N/A</v>
      </c>
      <c r="J1866" s="7" t="s">
        <v>20</v>
      </c>
    </row>
    <row r="1867" spans="1:10" ht="13.2">
      <c r="A1867" s="7">
        <v>1866</v>
      </c>
      <c r="B1867" s="7">
        <v>1</v>
      </c>
      <c r="C1867" s="7" t="s">
        <v>10</v>
      </c>
      <c r="D1867" s="7">
        <v>582</v>
      </c>
      <c r="E1867" s="7" t="s">
        <v>19</v>
      </c>
      <c r="F1867" s="8" t="str">
        <f ca="1">IFERROR(__xludf.DUMMYFUNCTION("IF
(
C1868=""фізична особа""
,
VLOOKUP(D1868,IMPORTRANGE(""https://docs.google.com/spreadsheets/d/14Bd19lYaqBhU8_DElYkX7l4wRkHqqCUFNJY4AfY3kHU/edit?usp=sharing  #gid=0"",""фіз особи new!relations_name""),6,FALSE)
,
(IF
(
C1868=""юридична особа""
,
VLOOKUP"&amp;"(D1868,IMPORTRANGE(""https://docs.google.com/spreadsheets/d/14Bd19lYaqBhU8_DElYkX7l4wRkHqqCUFNJY4AfY3kHU/edit?usp=sharing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7" s="7" t="s">
        <v>10</v>
      </c>
      <c r="H1867" s="7">
        <v>0</v>
      </c>
      <c r="I1867" s="8" t="str">
        <f ca="1">IFERROR(__xludf.DUMMYFUNCTION("IF
(
G1868=""фізична особа""
,
VLOOKUP(H1868,IMPORTRANGE(""https://docs.google.com/spreadsheets/d/14Bd19lYaqBhU8_DElYkX7l4wRkHqqCUFNJY4AfY3kHU/edit?usp=sharing  #gid=0"",""фіз особи new!relations_name""),6,FALSE)
,
(IF
(
G1868=""юридична особа""
,
VLOOKUP"&amp;"(H1868,IMPORTRANGE(""https://docs.google.com/spreadsheets/d/14Bd19lYaqBhU8_DElYkX7l4wRkHqqCUFNJY4AfY3kHU/edit?usp=sharing  #gid=0"",""фіз особи new!relations_name_uo""),7,FALSE)
,
)
))"),"#N/A")</f>
        <v>#N/A</v>
      </c>
      <c r="J1867" s="7" t="s">
        <v>22</v>
      </c>
    </row>
    <row r="1868" spans="1:10" ht="13.2">
      <c r="A1868" s="7">
        <v>1867</v>
      </c>
      <c r="B1868" s="7">
        <v>1</v>
      </c>
      <c r="C1868" s="7" t="s">
        <v>10</v>
      </c>
      <c r="D1868" s="7">
        <v>582</v>
      </c>
      <c r="E1868" s="7" t="s">
        <v>65</v>
      </c>
      <c r="F1868" s="8" t="str">
        <f ca="1">IFERROR(__xludf.DUMMYFUNCTION("IF
(
C1869=""фізична особа""
,
VLOOKUP(D1869,IMPORTRANGE(""https://docs.google.com/spreadsheets/d/14Bd19lYaqBhU8_DElYkX7l4wRkHqqCUFNJY4AfY3kHU/edit?usp=sharing  #gid=0"",""фіз особи new!relations_name""),6,FALSE)
,
(IF
(
C1869=""юридична особа""
,
VLOOKUP"&amp;"(D1869,IMPORTRANGE(""https://docs.google.com/spreadsheets/d/14Bd19lYaqBhU8_DElYkX7l4wRkHqqCUFNJY4AfY3kHU/edit?usp=sharing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8" s="7" t="s">
        <v>10</v>
      </c>
      <c r="H1868" s="7">
        <v>0</v>
      </c>
      <c r="I1868" s="8" t="str">
        <f ca="1">IFERROR(__xludf.DUMMYFUNCTION("IF
(
G1869=""фізична особа""
,
VLOOKUP(H1869,IMPORTRANGE(""https://docs.google.com/spreadsheets/d/14Bd19lYaqBhU8_DElYkX7l4wRkHqqCUFNJY4AfY3kHU/edit?usp=sharing  #gid=0"",""фіз особи new!relations_name""),6,FALSE)
,
(IF
(
G1869=""юридична особа""
,
VLOOKUP"&amp;"(H1869,IMPORTRANGE(""https://docs.google.com/spreadsheets/d/14Bd19lYaqBhU8_DElYkX7l4wRkHqqCUFNJY4AfY3kHU/edit?usp=sharing  #gid=0"",""фіз особи new!relations_name_uo""),7,FALSE)
,
)
))"),"#N/A")</f>
        <v>#N/A</v>
      </c>
      <c r="J1868" s="7" t="s">
        <v>65</v>
      </c>
    </row>
    <row r="1869" spans="1:10" ht="13.2">
      <c r="A1869" s="7">
        <v>1868</v>
      </c>
      <c r="B1869" s="7">
        <v>1</v>
      </c>
      <c r="C1869" s="7" t="s">
        <v>10</v>
      </c>
      <c r="D1869" s="7">
        <v>582</v>
      </c>
      <c r="E1869" s="7" t="s">
        <v>11</v>
      </c>
      <c r="F1869" s="8" t="str">
        <f ca="1">IFERROR(__xludf.DUMMYFUNCTION("IF
(
C1870=""фізична особа""
,
VLOOKUP(D1870,IMPORTRANGE(""https://docs.google.com/spreadsheets/d/14Bd19lYaqBhU8_DElYkX7l4wRkHqqCUFNJY4AfY3kHU/edit?usp=sharing  #gid=0"",""фіз особи new!relations_name""),6,FALSE)
,
(IF
(
C1870=""юридична особа""
,
VLOOKUP"&amp;"(D1870,IMPORTRANGE(""https://docs.google.com/spreadsheets/d/14Bd19lYaqBhU8_DElYkX7l4wRkHqqCUFNJY4AfY3kHU/edit?usp=sharing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69" s="7" t="s">
        <v>10</v>
      </c>
      <c r="H1869" s="7">
        <v>0</v>
      </c>
      <c r="I1869" s="8" t="str">
        <f ca="1">IFERROR(__xludf.DUMMYFUNCTION("IF
(
G1870=""фізична особа""
,
VLOOKUP(H1870,IMPORTRANGE(""https://docs.google.com/spreadsheets/d/14Bd19lYaqBhU8_DElYkX7l4wRkHqqCUFNJY4AfY3kHU/edit?usp=sharing  #gid=0"",""фіз особи new!relations_name""),6,FALSE)
,
(IF
(
G1870=""юридична особа""
,
VLOOKUP"&amp;"(H1870,IMPORTRANGE(""https://docs.google.com/spreadsheets/d/14Bd19lYaqBhU8_DElYkX7l4wRkHqqCUFNJY4AfY3kHU/edit?usp=sharing  #gid=0"",""фіз особи new!relations_name_uo""),7,FALSE)
,
)
))"),"#N/A")</f>
        <v>#N/A</v>
      </c>
      <c r="J1869" s="7" t="s">
        <v>11</v>
      </c>
    </row>
    <row r="1870" spans="1:10" ht="13.2">
      <c r="A1870" s="7">
        <v>1869</v>
      </c>
      <c r="B1870" s="7">
        <v>1</v>
      </c>
      <c r="C1870" s="7" t="s">
        <v>10</v>
      </c>
      <c r="D1870" s="7">
        <v>582</v>
      </c>
      <c r="E1870" s="7" t="s">
        <v>48</v>
      </c>
      <c r="F1870" s="8" t="str">
        <f ca="1">IFERROR(__xludf.DUMMYFUNCTION("IF
(
C1871=""фізична особа""
,
VLOOKUP(D1871,IMPORTRANGE(""https://docs.google.com/spreadsheets/d/14Bd19lYaqBhU8_DElYkX7l4wRkHqqCUFNJY4AfY3kHU/edit?usp=sharing  #gid=0"",""фіз особи new!relations_name""),6,FALSE)
,
(IF
(
C1871=""юридична особа""
,
VLOOKUP"&amp;"(D1871,IMPORTRANGE(""https://docs.google.com/spreadsheets/d/14Bd19lYaqBhU8_DElYkX7l4wRkHqqCUFNJY4AfY3kHU/edit?usp=sharing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0" s="7" t="s">
        <v>10</v>
      </c>
      <c r="H1870" s="7">
        <v>23395</v>
      </c>
      <c r="I1870" s="8" t="str">
        <f ca="1">IFERROR(__xludf.DUMMYFUNCTION("IF
(
G1871=""фізична особа""
,
VLOOKUP(H1871,IMPORTRANGE(""https://docs.google.com/spreadsheets/d/14Bd19lYaqBhU8_DElYkX7l4wRkHqqCUFNJY4AfY3kHU/edit?usp=sharing  #gid=0"",""фіз особи new!relations_name""),6,FALSE)
,
(IF
(
G1871=""юридична особа""
,
VLOOKUP"&amp;"(H1871,IMPORTRANGE(""https://docs.google.com/spreadsheets/d/14Bd19lYaqBhU8_DElYkX7l4wRkHqqCUFNJY4AfY3kHU/edit?usp=sharing  #gid=0"",""фіз особи new!relations_name_uo""),7,FALSE)
,
)
))"),"ТУЛЕЄВ Аман Гумирович")</f>
        <v>ТУЛЕЄВ Аман Гумирович</v>
      </c>
      <c r="J1870" s="7" t="s">
        <v>48</v>
      </c>
    </row>
    <row r="1871" spans="1:10" ht="13.2">
      <c r="A1871" s="7">
        <v>1870</v>
      </c>
      <c r="B1871" s="7">
        <v>1</v>
      </c>
      <c r="C1871" s="7" t="s">
        <v>10</v>
      </c>
      <c r="D1871" s="7">
        <v>582</v>
      </c>
      <c r="E1871" s="7" t="s">
        <v>48</v>
      </c>
      <c r="F1871" s="8" t="str">
        <f ca="1">IFERROR(__xludf.DUMMYFUNCTION("IF
(
C1872=""фізична особа""
,
VLOOKUP(D1872,IMPORTRANGE(""https://docs.google.com/spreadsheets/d/14Bd19lYaqBhU8_DElYkX7l4wRkHqqCUFNJY4AfY3kHU/edit?usp=sharing  #gid=0"",""фіз особи new!relations_name""),6,FALSE)
,
(IF
(
C1872=""юридична особа""
,
VLOOKUP"&amp;"(D1872,IMPORTRANGE(""https://docs.google.com/spreadsheets/d/14Bd19lYaqBhU8_DElYkX7l4wRkHqqCUFNJY4AfY3kHU/edit?usp=sharing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1" s="7" t="s">
        <v>10</v>
      </c>
      <c r="H1871" s="7">
        <v>672</v>
      </c>
      <c r="I1871" s="8" t="str">
        <f ca="1">IFERROR(__xludf.DUMMYFUNCTION("IF
(
G1872=""фізична особа""
,
VLOOKUP(H1872,IMPORTRANGE(""https://docs.google.com/spreadsheets/d/14Bd19lYaqBhU8_DElYkX7l4wRkHqqCUFNJY4AfY3kHU/edit?usp=sharing  #gid=0"",""фіз особи new!relations_name""),6,FALSE)
,
(IF
(
G1872=""юридична особа""
,
VLOOKUP"&amp;"(H1872,IMPORTRANGE(""https://docs.google.com/spreadsheets/d/14Bd19lYaqBhU8_DElYkX7l4wRkHqqCUFNJY4AfY3kHU/edit?usp=sharing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1871" s="7" t="s">
        <v>48</v>
      </c>
    </row>
    <row r="1872" spans="1:10" ht="13.2">
      <c r="A1872" s="7">
        <v>1871</v>
      </c>
      <c r="B1872" s="7">
        <v>1</v>
      </c>
      <c r="C1872" s="7" t="s">
        <v>10</v>
      </c>
      <c r="D1872" s="7">
        <v>582</v>
      </c>
      <c r="E1872" s="7" t="s">
        <v>48</v>
      </c>
      <c r="F1872" s="8" t="str">
        <f ca="1">IFERROR(__xludf.DUMMYFUNCTION("IF
(
C1873=""фізична особа""
,
VLOOKUP(D1873,IMPORTRANGE(""https://docs.google.com/spreadsheets/d/14Bd19lYaqBhU8_DElYkX7l4wRkHqqCUFNJY4AfY3kHU/edit?usp=sharing  #gid=0"",""фіз особи new!relations_name""),6,FALSE)
,
(IF
(
C1873=""юридична особа""
,
VLOOKUP"&amp;"(D1873,IMPORTRANGE(""https://docs.google.com/spreadsheets/d/14Bd19lYaqBhU8_DElYkX7l4wRkHqqCUFNJY4AfY3kHU/edit?usp=sharing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2" s="7" t="s">
        <v>10</v>
      </c>
      <c r="H1872" s="7">
        <v>0</v>
      </c>
      <c r="I1872" s="8" t="str">
        <f ca="1">IFERROR(__xludf.DUMMYFUNCTION("IF
(
G1873=""фізична особа""
,
VLOOKUP(H1873,IMPORTRANGE(""https://docs.google.com/spreadsheets/d/14Bd19lYaqBhU8_DElYkX7l4wRkHqqCUFNJY4AfY3kHU/edit?usp=sharing  #gid=0"",""фіз особи new!relations_name""),6,FALSE)
,
(IF
(
G1873=""юридична особа""
,
VLOOKUP"&amp;"(H1873,IMPORTRANGE(""https://docs.google.com/spreadsheets/d/14Bd19lYaqBhU8_DElYkX7l4wRkHqqCUFNJY4AfY3kHU/edit?usp=sharing  #gid=0"",""фіз особи new!relations_name_uo""),7,FALSE)
,
)
))"),"#N/A")</f>
        <v>#N/A</v>
      </c>
      <c r="J1872" s="7" t="s">
        <v>48</v>
      </c>
    </row>
    <row r="1873" spans="1:10" ht="13.2">
      <c r="A1873" s="7">
        <v>1872</v>
      </c>
      <c r="B1873" s="7">
        <v>1</v>
      </c>
      <c r="C1873" s="7" t="s">
        <v>10</v>
      </c>
      <c r="D1873" s="7">
        <v>582</v>
      </c>
      <c r="E1873" s="7" t="s">
        <v>48</v>
      </c>
      <c r="F1873" s="8" t="str">
        <f ca="1">IFERROR(__xludf.DUMMYFUNCTION("IF
(
C1874=""фізична особа""
,
VLOOKUP(D1874,IMPORTRANGE(""https://docs.google.com/spreadsheets/d/14Bd19lYaqBhU8_DElYkX7l4wRkHqqCUFNJY4AfY3kHU/edit?usp=sharing  #gid=0"",""фіз особи new!relations_name""),6,FALSE)
,
(IF
(
C1874=""юридична особа""
,
VLOOKUP"&amp;"(D1874,IMPORTRANGE(""https://docs.google.com/spreadsheets/d/14Bd19lYaqBhU8_DElYkX7l4wRkHqqCUFNJY4AfY3kHU/edit?usp=sharing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3" s="7" t="s">
        <v>10</v>
      </c>
      <c r="H1873" s="7">
        <v>13141</v>
      </c>
      <c r="I1873" s="8" t="str">
        <f ca="1">IFERROR(__xludf.DUMMYFUNCTION("IF
(
G1874=""фізична особа""
,
VLOOKUP(H1874,IMPORTRANGE(""https://docs.google.com/spreadsheets/d/14Bd19lYaqBhU8_DElYkX7l4wRkHqqCUFNJY4AfY3kHU/edit?usp=sharing  #gid=0"",""фіз особи new!relations_name""),6,FALSE)
,
(IF
(
G1874=""юридична особа""
,
VLOOKUP"&amp;"(H1874,IMPORTRANGE(""https://docs.google.com/spreadsheets/d/14Bd19lYaqBhU8_DElYkX7l4wRkHqqCUFNJY4AfY3kHU/edit?usp=sharing  #gid=0"",""фіз особи new!relations_name_uo""),7,FALSE)
,
)
))"),"ШАТІРОВ Сергій Володимирович")</f>
        <v>ШАТІРОВ Сергій Володимирович</v>
      </c>
      <c r="J1873" s="7" t="s">
        <v>48</v>
      </c>
    </row>
    <row r="1874" spans="1:10" ht="13.2">
      <c r="A1874" s="7">
        <v>1873</v>
      </c>
      <c r="B1874" s="7">
        <v>1</v>
      </c>
      <c r="C1874" s="7" t="s">
        <v>10</v>
      </c>
      <c r="D1874" s="7">
        <v>582</v>
      </c>
      <c r="E1874" s="7" t="s">
        <v>11</v>
      </c>
      <c r="F1874" s="8" t="str">
        <f ca="1">IFERROR(__xludf.DUMMYFUNCTION("IF
(
C1875=""фізична особа""
,
VLOOKUP(D1875,IMPORTRANGE(""https://docs.google.com/spreadsheets/d/14Bd19lYaqBhU8_DElYkX7l4wRkHqqCUFNJY4AfY3kHU/edit?usp=sharing  #gid=0"",""фіз особи new!relations_name""),6,FALSE)
,
(IF
(
C1875=""юридична особа""
,
VLOOKUP"&amp;"(D1875,IMPORTRANGE(""https://docs.google.com/spreadsheets/d/14Bd19lYaqBhU8_DElYkX7l4wRkHqqCUFNJY4AfY3kHU/edit?usp=sharing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4" s="7" t="s">
        <v>10</v>
      </c>
      <c r="H1874" s="7">
        <v>1877</v>
      </c>
      <c r="I1874" s="8" t="str">
        <f ca="1">IFERROR(__xludf.DUMMYFUNCTION("IF
(
G1875=""фізична особа""
,
VLOOKUP(H1875,IMPORTRANGE(""https://docs.google.com/spreadsheets/d/14Bd19lYaqBhU8_DElYkX7l4wRkHqqCUFNJY4AfY3kHU/edit?usp=sharing  #gid=0"",""фіз особи new!relations_name""),6,FALSE)
,
(IF
(
G1875=""юридична особа""
,
VLOOKUP"&amp;"(H1875,IMPORTRANGE(""https://docs.google.com/spreadsheets/d/14Bd19lYaqBhU8_DElYkX7l4wRkHqqCUFNJY4AfY3kHU/edit?usp=sharing  #gid=0"",""фіз особи new!relations_name_uo""),7,FALSE)
,
)
))"),"АБРАМОВ Олександр Григорович")</f>
        <v>АБРАМОВ Олександр Григорович</v>
      </c>
      <c r="J1874" s="7" t="s">
        <v>11</v>
      </c>
    </row>
    <row r="1875" spans="1:10" ht="13.2">
      <c r="A1875" s="7">
        <v>1874</v>
      </c>
      <c r="B1875" s="7">
        <v>1</v>
      </c>
      <c r="C1875" s="7" t="s">
        <v>10</v>
      </c>
      <c r="D1875" s="7">
        <v>582</v>
      </c>
      <c r="E1875" s="7" t="s">
        <v>11</v>
      </c>
      <c r="F1875" s="8" t="str">
        <f ca="1">IFERROR(__xludf.DUMMYFUNCTION("IF
(
C1876=""фізична особа""
,
VLOOKUP(D1876,IMPORTRANGE(""https://docs.google.com/spreadsheets/d/14Bd19lYaqBhU8_DElYkX7l4wRkHqqCUFNJY4AfY3kHU/edit?usp=sharing  #gid=0"",""фіз особи new!relations_name""),6,FALSE)
,
(IF
(
C1876=""юридична особа""
,
VLOOKUP"&amp;"(D1876,IMPORTRANGE(""https://docs.google.com/spreadsheets/d/14Bd19lYaqBhU8_DElYkX7l4wRkHqqCUFNJY4AfY3kHU/edit?usp=sharing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5" s="7" t="s">
        <v>10</v>
      </c>
      <c r="H1875" s="7">
        <v>1984</v>
      </c>
      <c r="I1875" s="8" t="str">
        <f ca="1">IFERROR(__xludf.DUMMYFUNCTION("IF
(
G1876=""фізична особа""
,
VLOOKUP(H1876,IMPORTRANGE(""https://docs.google.com/spreadsheets/d/14Bd19lYaqBhU8_DElYkX7l4wRkHqqCUFNJY4AfY3kHU/edit?usp=sharing  #gid=0"",""фіз особи new!relations_name""),6,FALSE)
,
(IF
(
G1876=""юридична особа""
,
VLOOKUP"&amp;"(H1876,IMPORTRANGE(""https://docs.google.com/spreadsheets/d/14Bd19lYaqBhU8_DElYkX7l4wRkHqqCUFNJY4AfY3kHU/edit?usp=sharing  #gid=0"",""фіз особи new!relations_name_uo""),7,FALSE)
,
)
))"),"ФРОЛОВ Олександр Володимирович")</f>
        <v>ФРОЛОВ Олександр Володимирович</v>
      </c>
      <c r="J1875" s="7" t="s">
        <v>11</v>
      </c>
    </row>
    <row r="1876" spans="1:10" ht="13.2">
      <c r="A1876" s="7">
        <v>1875</v>
      </c>
      <c r="B1876" s="7">
        <v>1</v>
      </c>
      <c r="C1876" s="7" t="s">
        <v>10</v>
      </c>
      <c r="D1876" s="7">
        <v>582</v>
      </c>
      <c r="E1876" s="7" t="s">
        <v>11</v>
      </c>
      <c r="F1876" s="8" t="str">
        <f ca="1">IFERROR(__xludf.DUMMYFUNCTION("IF
(
C1877=""фізична особа""
,
VLOOKUP(D1877,IMPORTRANGE(""https://docs.google.com/spreadsheets/d/14Bd19lYaqBhU8_DElYkX7l4wRkHqqCUFNJY4AfY3kHU/edit?usp=sharing  #gid=0"",""фіз особи new!relations_name""),6,FALSE)
,
(IF
(
C1877=""юридична особа""
,
VLOOKUP"&amp;"(D1877,IMPORTRANGE(""https://docs.google.com/spreadsheets/d/14Bd19lYaqBhU8_DElYkX7l4wRkHqqCUFNJY4AfY3kHU/edit?usp=sharing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6" s="7" t="s">
        <v>10</v>
      </c>
      <c r="H1876" s="7">
        <v>0</v>
      </c>
      <c r="I1876" s="8" t="str">
        <f ca="1">IFERROR(__xludf.DUMMYFUNCTION("IF
(
G1877=""фізична особа""
,
VLOOKUP(H1877,IMPORTRANGE(""https://docs.google.com/spreadsheets/d/14Bd19lYaqBhU8_DElYkX7l4wRkHqqCUFNJY4AfY3kHU/edit?usp=sharing  #gid=0"",""фіз особи new!relations_name""),6,FALSE)
,
(IF
(
G1877=""юридична особа""
,
VLOOKUP"&amp;"(H1877,IMPORTRANGE(""https://docs.google.com/spreadsheets/d/14Bd19lYaqBhU8_DElYkX7l4wRkHqqCUFNJY4AfY3kHU/edit?usp=sharing  #gid=0"",""фіз особи new!relations_name_uo""),7,FALSE)
,
)
))"),"#N/A")</f>
        <v>#N/A</v>
      </c>
      <c r="J1876" s="7" t="s">
        <v>11</v>
      </c>
    </row>
    <row r="1877" spans="1:10" ht="13.2">
      <c r="A1877" s="7">
        <v>1876</v>
      </c>
      <c r="B1877" s="7">
        <v>1</v>
      </c>
      <c r="C1877" s="7" t="s">
        <v>10</v>
      </c>
      <c r="D1877" s="7">
        <v>582</v>
      </c>
      <c r="E1877" s="7" t="s">
        <v>11</v>
      </c>
      <c r="F1877" s="8" t="str">
        <f ca="1">IFERROR(__xludf.DUMMYFUNCTION("IF
(
C1878=""фізична особа""
,
VLOOKUP(D1878,IMPORTRANGE(""https://docs.google.com/spreadsheets/d/14Bd19lYaqBhU8_DElYkX7l4wRkHqqCUFNJY4AfY3kHU/edit?usp=sharing  #gid=0"",""фіз особи new!relations_name""),6,FALSE)
,
(IF
(
C1878=""юридична особа""
,
VLOOKUP"&amp;"(D1878,IMPORTRANGE(""https://docs.google.com/spreadsheets/d/14Bd19lYaqBhU8_DElYkX7l4wRkHqqCUFNJY4AfY3kHU/edit?usp=sharing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7" s="7" t="s">
        <v>10</v>
      </c>
      <c r="H1877" s="7">
        <v>1973</v>
      </c>
      <c r="I1877" s="8" t="str">
        <f ca="1">IFERROR(__xludf.DUMMYFUNCTION("IF
(
G1878=""фізична особа""
,
VLOOKUP(H1878,IMPORTRANGE(""https://docs.google.com/spreadsheets/d/14Bd19lYaqBhU8_DElYkX7l4wRkHqqCUFNJY4AfY3kHU/edit?usp=sharing  #gid=0"",""фіз особи new!relations_name""),6,FALSE)
,
(IF
(
G1878=""юридична особа""
,
VLOOKUP"&amp;"(H1878,IMPORTRANGE(""https://docs.google.com/spreadsheets/d/14Bd19lYaqBhU8_DElYkX7l4wRkHqqCUFNJY4AfY3kHU/edit?usp=sharing  #gid=0"",""фіз особи new!relations_name_uo""),7,FALSE)
,
)
))"),"БОКАРЄВ Андрій Ремович")</f>
        <v>БОКАРЄВ Андрій Ремович</v>
      </c>
      <c r="J1877" s="7" t="s">
        <v>11</v>
      </c>
    </row>
    <row r="1878" spans="1:10" ht="13.2">
      <c r="A1878" s="7">
        <v>1877</v>
      </c>
      <c r="B1878" s="7">
        <v>1</v>
      </c>
      <c r="C1878" s="7" t="s">
        <v>10</v>
      </c>
      <c r="D1878" s="7">
        <v>582</v>
      </c>
      <c r="E1878" s="7" t="s">
        <v>48</v>
      </c>
      <c r="F1878" s="8" t="str">
        <f ca="1">IFERROR(__xludf.DUMMYFUNCTION("IF
(
C1879=""фізична особа""
,
VLOOKUP(D1879,IMPORTRANGE(""https://docs.google.com/spreadsheets/d/14Bd19lYaqBhU8_DElYkX7l4wRkHqqCUFNJY4AfY3kHU/edit?usp=sharing  #gid=0"",""фіз особи new!relations_name""),6,FALSE)
,
(IF
(
C1879=""юридична особа""
,
VLOOKUP"&amp;"(D1879,IMPORTRANGE(""https://docs.google.com/spreadsheets/d/14Bd19lYaqBhU8_DElYkX7l4wRkHqqCUFNJY4AfY3kHU/edit?usp=sharing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G1878" s="7" t="s">
        <v>10</v>
      </c>
      <c r="H1878" s="7">
        <v>0</v>
      </c>
      <c r="I1878" s="8" t="str">
        <f ca="1">IFERROR(__xludf.DUMMYFUNCTION("IF
(
G1879=""фізична особа""
,
VLOOKUP(H1879,IMPORTRANGE(""https://docs.google.com/spreadsheets/d/14Bd19lYaqBhU8_DElYkX7l4wRkHqqCUFNJY4AfY3kHU/edit?usp=sharing  #gid=0"",""фіз особи new!relations_name""),6,FALSE)
,
(IF
(
G1879=""юридична особа""
,
VLOOKUP"&amp;"(H1879,IMPORTRANGE(""https://docs.google.com/spreadsheets/d/14Bd19lYaqBhU8_DElYkX7l4wRkHqqCUFNJY4AfY3kHU/edit?usp=sharing  #gid=0"",""фіз особи new!relations_name_uo""),7,FALSE)
,
)
))"),"#N/A")</f>
        <v>#N/A</v>
      </c>
      <c r="J1878" s="7" t="s">
        <v>48</v>
      </c>
    </row>
    <row r="1879" spans="1:10" ht="13.2">
      <c r="A1879" s="7">
        <v>1878</v>
      </c>
      <c r="B1879" s="7">
        <v>1</v>
      </c>
      <c r="C1879" s="7" t="s">
        <v>10</v>
      </c>
      <c r="D1879" s="7">
        <v>583</v>
      </c>
      <c r="E1879" s="7" t="s">
        <v>28</v>
      </c>
      <c r="F1879" s="8" t="str">
        <f ca="1">IFERROR(__xludf.DUMMYFUNCTION("IF
(
C1880=""фізична особа""
,
VLOOKUP(D1880,IMPORTRANGE(""https://docs.google.com/spreadsheets/d/14Bd19lYaqBhU8_DElYkX7l4wRkHqqCUFNJY4AfY3kHU/edit?usp=sharing  #gid=0"",""фіз особи new!relations_name""),6,FALSE)
,
(IF
(
C1880=""юридична особа""
,
VLOOKUP"&amp;"(D1880,IMPORTRANGE(""https://docs.google.com/spreadsheets/d/14Bd19lYaqBhU8_DElYkX7l4wRkHqqCUFNJY4AfY3kHU/edit?usp=sharing  #gid=0"",""фіз особи new!relations_name_uo""),7,FALSE)
,
)
))"),"ПОПОВ Павло Анатолійович")</f>
        <v>ПОПОВ Павло Анатолійович</v>
      </c>
      <c r="G1879" s="7" t="s">
        <v>10</v>
      </c>
      <c r="H1879" s="7">
        <v>670</v>
      </c>
      <c r="I1879" s="8" t="str">
        <f ca="1">IFERROR(__xludf.DUMMYFUNCTION("IF
(
G1880=""фізична особа""
,
VLOOKUP(H1880,IMPORTRANGE(""https://docs.google.com/spreadsheets/d/14Bd19lYaqBhU8_DElYkX7l4wRkHqqCUFNJY4AfY3kHU/edit?usp=sharing  #gid=0"",""фіз особи new!relations_name""),6,FALSE)
,
(IF
(
G1880=""юридична особа""
,
VLOOKUP"&amp;"(H1880,IMPORTRANGE(""https://docs.google.com/spreadsheets/d/14Bd19lYaqBhU8_DElYkX7l4wRkHqqCUFNJY4AfY3kHU/edit?usp=sharing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879" s="7" t="s">
        <v>29</v>
      </c>
    </row>
    <row r="1880" spans="1:10" ht="13.2">
      <c r="A1880" s="7">
        <v>1879</v>
      </c>
      <c r="B1880" s="7">
        <v>1</v>
      </c>
      <c r="C1880" s="7" t="s">
        <v>10</v>
      </c>
      <c r="D1880" s="7">
        <v>584</v>
      </c>
      <c r="E1880" s="7" t="s">
        <v>17</v>
      </c>
      <c r="F1880" s="8" t="str">
        <f ca="1">IFERROR(__xludf.DUMMYFUNCTION("IF
(
C1881=""фізична особа""
,
VLOOKUP(D1881,IMPORTRANGE(""https://docs.google.com/spreadsheets/d/14Bd19lYaqBhU8_DElYkX7l4wRkHqqCUFNJY4AfY3kHU/edit?usp=sharing  #gid=0"",""фіз особи new!relations_name""),6,FALSE)
,
(IF
(
C1881=""юридична особа""
,
VLOOKUP"&amp;"(D1881,IMPORTRANGE(""https://docs.google.com/spreadsheets/d/14Bd19lYaqBhU8_DElYkX7l4wRkHqqCUFNJY4AfY3kHU/edit?usp=sharing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0" s="7" t="s">
        <v>10</v>
      </c>
      <c r="H1880" s="7">
        <v>4667</v>
      </c>
      <c r="I1880" s="8" t="str">
        <f ca="1">IFERROR(__xludf.DUMMYFUNCTION("IF
(
G1881=""фізична особа""
,
VLOOKUP(H1881,IMPORTRANGE(""https://docs.google.com/spreadsheets/d/14Bd19lYaqBhU8_DElYkX7l4wRkHqqCUFNJY4AfY3kHU/edit?usp=sharing  #gid=0"",""фіз особи new!relations_name""),6,FALSE)
,
(IF
(
G1881=""юридична особа""
,
VLOOKUP"&amp;"(H1881,IMPORTRANGE(""https://docs.google.com/spreadsheets/d/14Bd19lYaqBhU8_DElYkX7l4wRkHqqCUFNJY4AfY3kHU/edit?usp=sharing  #gid=0"",""фіз особи new!relations_name_uo""),7,FALSE)
,
)
))"),"ФЕДЯЄВ Михайло Юрійович")</f>
        <v>ФЕДЯЄВ Михайло Юрійович</v>
      </c>
      <c r="J1880" s="7" t="s">
        <v>12</v>
      </c>
    </row>
    <row r="1881" spans="1:10" ht="13.2">
      <c r="A1881" s="7">
        <v>1880</v>
      </c>
      <c r="B1881" s="7">
        <v>1</v>
      </c>
      <c r="C1881" s="7" t="s">
        <v>10</v>
      </c>
      <c r="D1881" s="7">
        <v>584</v>
      </c>
      <c r="E1881" s="7" t="s">
        <v>18</v>
      </c>
      <c r="F1881" s="8" t="str">
        <f ca="1">IFERROR(__xludf.DUMMYFUNCTION("IF
(
C1882=""фізична особа""
,
VLOOKUP(D1882,IMPORTRANGE(""https://docs.google.com/spreadsheets/d/14Bd19lYaqBhU8_DElYkX7l4wRkHqqCUFNJY4AfY3kHU/edit?usp=sharing  #gid=0"",""фіз особи new!relations_name""),6,FALSE)
,
(IF
(
C1882=""юридична особа""
,
VLOOKUP"&amp;"(D1882,IMPORTRANGE(""https://docs.google.com/spreadsheets/d/14Bd19lYaqBhU8_DElYkX7l4wRkHqqCUFNJY4AfY3kHU/edit?usp=sharing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1" s="7" t="s">
        <v>10</v>
      </c>
      <c r="H1881" s="7">
        <v>8867</v>
      </c>
      <c r="I1881" s="8" t="str">
        <f ca="1">IFERROR(__xludf.DUMMYFUNCTION("IF
(
G1882=""фізична особа""
,
VLOOKUP(H1882,IMPORTRANGE(""https://docs.google.com/spreadsheets/d/14Bd19lYaqBhU8_DElYkX7l4wRkHqqCUFNJY4AfY3kHU/edit?usp=sharing  #gid=0"",""фіз особи new!relations_name""),6,FALSE)
,
(IF
(
G1882=""юридична особа""
,
VLOOKUP"&amp;"(H1882,IMPORTRANGE(""https://docs.google.com/spreadsheets/d/14Bd19lYaqBhU8_DElYkX7l4wRkHqqCUFNJY4AfY3kHU/edit?usp=sharing  #gid=0"",""фіз особи new!relations_name_uo""),7,FALSE)
,
)
))"),"ФЕДЯЄВ Юрій Михайлович")</f>
        <v>ФЕДЯЄВ Юрій Михайлович</v>
      </c>
      <c r="J1881" s="7" t="s">
        <v>18</v>
      </c>
    </row>
    <row r="1882" spans="1:10" ht="13.2">
      <c r="A1882" s="7">
        <v>1881</v>
      </c>
      <c r="B1882" s="7">
        <v>1</v>
      </c>
      <c r="C1882" s="7" t="s">
        <v>10</v>
      </c>
      <c r="D1882" s="7">
        <v>584</v>
      </c>
      <c r="E1882" s="7" t="s">
        <v>14</v>
      </c>
      <c r="F1882" s="8" t="str">
        <f ca="1">IFERROR(__xludf.DUMMYFUNCTION("IF
(
C1883=""фізична особа""
,
VLOOKUP(D1883,IMPORTRANGE(""https://docs.google.com/spreadsheets/d/14Bd19lYaqBhU8_DElYkX7l4wRkHqqCUFNJY4AfY3kHU/edit?usp=sharing  #gid=0"",""фіз особи new!relations_name""),6,FALSE)
,
(IF
(
C1883=""юридична особа""
,
VLOOKUP"&amp;"(D1883,IMPORTRANGE(""https://docs.google.com/spreadsheets/d/14Bd19lYaqBhU8_DElYkX7l4wRkHqqCUFNJY4AfY3kHU/edit?usp=sharing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2" s="7" t="s">
        <v>10</v>
      </c>
      <c r="H1882" s="7">
        <v>8866</v>
      </c>
      <c r="I1882" s="8" t="str">
        <f ca="1">IFERROR(__xludf.DUMMYFUNCTION("IF
(
G1883=""фізична особа""
,
VLOOKUP(H1883,IMPORTRANGE(""https://docs.google.com/spreadsheets/d/14Bd19lYaqBhU8_DElYkX7l4wRkHqqCUFNJY4AfY3kHU/edit?usp=sharing  #gid=0"",""фіз особи new!relations_name""),6,FALSE)
,
(IF
(
G1883=""юридична особа""
,
VLOOKUP"&amp;"(H1883,IMPORTRANGE(""https://docs.google.com/spreadsheets/d/14Bd19lYaqBhU8_DElYkX7l4wRkHqqCUFNJY4AfY3kHU/edit?usp=sharing  #gid=0"",""фіз особи new!relations_name_uo""),7,FALSE)
,
)
))"),"ФЕДЯЄВА Надія Мулкадарівна")</f>
        <v>ФЕДЯЄВА Надія Мулкадарівна</v>
      </c>
      <c r="J1882" s="7" t="s">
        <v>15</v>
      </c>
    </row>
    <row r="1883" spans="1:10" ht="13.2">
      <c r="A1883" s="7">
        <v>1882</v>
      </c>
      <c r="B1883" s="7">
        <v>1</v>
      </c>
      <c r="C1883" s="7" t="s">
        <v>10</v>
      </c>
      <c r="D1883" s="7">
        <v>584</v>
      </c>
      <c r="E1883" s="7" t="s">
        <v>48</v>
      </c>
      <c r="F1883" s="8" t="str">
        <f ca="1">IFERROR(__xludf.DUMMYFUNCTION("IF
(
C1884=""фізична особа""
,
VLOOKUP(D1884,IMPORTRANGE(""https://docs.google.com/spreadsheets/d/14Bd19lYaqBhU8_DElYkX7l4wRkHqqCUFNJY4AfY3kHU/edit?usp=sharing  #gid=0"",""фіз особи new!relations_name""),6,FALSE)
,
(IF
(
C1884=""юридична особа""
,
VLOOKUP"&amp;"(D1884,IMPORTRANGE(""https://docs.google.com/spreadsheets/d/14Bd19lYaqBhU8_DElYkX7l4wRkHqqCUFNJY4AfY3kHU/edit?usp=sharing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3" s="7" t="s">
        <v>10</v>
      </c>
      <c r="H1883" s="7">
        <v>12837</v>
      </c>
      <c r="I1883" s="8" t="str">
        <f ca="1">IFERROR(__xludf.DUMMYFUNCTION("IF
(
G1884=""фізична особа""
,
VLOOKUP(H1884,IMPORTRANGE(""https://docs.google.com/spreadsheets/d/14Bd19lYaqBhU8_DElYkX7l4wRkHqqCUFNJY4AfY3kHU/edit?usp=sharing  #gid=0"",""фіз особи new!relations_name""),6,FALSE)
,
(IF
(
G1884=""юридична особа""
,
VLOOKUP"&amp;"(H1884,IMPORTRANGE(""https://docs.google.com/spreadsheets/d/14Bd19lYaqBhU8_DElYkX7l4wRkHqqCUFNJY4AfY3kHU/edit?usp=sharing  #gid=0"",""фіз особи new!relations_name_uo""),7,FALSE)
,
)
))"),"ГРІДІН Володимир Григорович")</f>
        <v>ГРІДІН Володимир Григорович</v>
      </c>
      <c r="J1883" s="7" t="s">
        <v>48</v>
      </c>
    </row>
    <row r="1884" spans="1:10" ht="13.2">
      <c r="A1884" s="7">
        <v>1883</v>
      </c>
      <c r="B1884" s="7">
        <v>1</v>
      </c>
      <c r="C1884" s="7" t="s">
        <v>10</v>
      </c>
      <c r="D1884" s="7">
        <v>584</v>
      </c>
      <c r="E1884" s="7" t="s">
        <v>29</v>
      </c>
      <c r="F1884" s="8" t="str">
        <f ca="1">IFERROR(__xludf.DUMMYFUNCTION("IF
(
C1885=""фізична особа""
,
VLOOKUP(D1885,IMPORTRANGE(""https://docs.google.com/spreadsheets/d/14Bd19lYaqBhU8_DElYkX7l4wRkHqqCUFNJY4AfY3kHU/edit?usp=sharing  #gid=0"",""фіз особи new!relations_name""),6,FALSE)
,
(IF
(
C1885=""юридична особа""
,
VLOOKUP"&amp;"(D1885,IMPORTRANGE(""https://docs.google.com/spreadsheets/d/14Bd19lYaqBhU8_DElYkX7l4wRkHqqCUFNJY4AfY3kHU/edit?usp=sharing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4" s="7" t="s">
        <v>10</v>
      </c>
      <c r="H1884" s="7">
        <v>0</v>
      </c>
      <c r="I1884" s="8" t="str">
        <f ca="1">IFERROR(__xludf.DUMMYFUNCTION("IF
(
G1885=""фізична особа""
,
VLOOKUP(H1885,IMPORTRANGE(""https://docs.google.com/spreadsheets/d/14Bd19lYaqBhU8_DElYkX7l4wRkHqqCUFNJY4AfY3kHU/edit?usp=sharing  #gid=0"",""фіз особи new!relations_name""),6,FALSE)
,
(IF
(
G1885=""юридична особа""
,
VLOOKUP"&amp;"(H1885,IMPORTRANGE(""https://docs.google.com/spreadsheets/d/14Bd19lYaqBhU8_DElYkX7l4wRkHqqCUFNJY4AfY3kHU/edit?usp=sharing  #gid=0"",""фіз особи new!relations_name_uo""),7,FALSE)
,
)
))"),"#N/A")</f>
        <v>#N/A</v>
      </c>
      <c r="J1884" s="7" t="s">
        <v>28</v>
      </c>
    </row>
    <row r="1885" spans="1:10" ht="13.2">
      <c r="A1885" s="7">
        <v>1884</v>
      </c>
      <c r="B1885" s="7">
        <v>1</v>
      </c>
      <c r="C1885" s="7" t="s">
        <v>10</v>
      </c>
      <c r="D1885" s="7">
        <v>584</v>
      </c>
      <c r="E1885" s="7" t="s">
        <v>29</v>
      </c>
      <c r="F1885" s="8" t="str">
        <f ca="1">IFERROR(__xludf.DUMMYFUNCTION("IF
(
C1886=""фізична особа""
,
VLOOKUP(D1886,IMPORTRANGE(""https://docs.google.com/spreadsheets/d/14Bd19lYaqBhU8_DElYkX7l4wRkHqqCUFNJY4AfY3kHU/edit?usp=sharing  #gid=0"",""фіз особи new!relations_name""),6,FALSE)
,
(IF
(
C1886=""юридична особа""
,
VLOOKUP"&amp;"(D1886,IMPORTRANGE(""https://docs.google.com/spreadsheets/d/14Bd19lYaqBhU8_DElYkX7l4wRkHqqCUFNJY4AfY3kHU/edit?usp=sharing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5" s="7" t="s">
        <v>10</v>
      </c>
      <c r="H1885" s="7">
        <v>0</v>
      </c>
      <c r="I1885" s="8" t="str">
        <f ca="1">IFERROR(__xludf.DUMMYFUNCTION("IF
(
G1886=""фізична особа""
,
VLOOKUP(H1886,IMPORTRANGE(""https://docs.google.com/spreadsheets/d/14Bd19lYaqBhU8_DElYkX7l4wRkHqqCUFNJY4AfY3kHU/edit?usp=sharing  #gid=0"",""фіз особи new!relations_name""),6,FALSE)
,
(IF
(
G1886=""юридична особа""
,
VLOOKUP"&amp;"(H1886,IMPORTRANGE(""https://docs.google.com/spreadsheets/d/14Bd19lYaqBhU8_DElYkX7l4wRkHqqCUFNJY4AfY3kHU/edit?usp=sharing  #gid=0"",""фіз особи new!relations_name_uo""),7,FALSE)
,
)
))"),"#N/A")</f>
        <v>#N/A</v>
      </c>
      <c r="J1885" s="7" t="s">
        <v>28</v>
      </c>
    </row>
    <row r="1886" spans="1:10" ht="13.2">
      <c r="A1886" s="7">
        <v>1885</v>
      </c>
      <c r="B1886" s="7">
        <v>1</v>
      </c>
      <c r="C1886" s="7" t="s">
        <v>10</v>
      </c>
      <c r="D1886" s="7">
        <v>584</v>
      </c>
      <c r="E1886" s="7" t="s">
        <v>11</v>
      </c>
      <c r="F1886" s="8" t="str">
        <f ca="1">IFERROR(__xludf.DUMMYFUNCTION("IF
(
C1887=""фізична особа""
,
VLOOKUP(D1887,IMPORTRANGE(""https://docs.google.com/spreadsheets/d/14Bd19lYaqBhU8_DElYkX7l4wRkHqqCUFNJY4AfY3kHU/edit?usp=sharing  #gid=0"",""фіз особи new!relations_name""),6,FALSE)
,
(IF
(
C1887=""юридична особа""
,
VLOOKUP"&amp;"(D1887,IMPORTRANGE(""https://docs.google.com/spreadsheets/d/14Bd19lYaqBhU8_DElYkX7l4wRkHqqCUFNJY4AfY3kHU/edit?usp=sharing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6" s="7" t="s">
        <v>10</v>
      </c>
      <c r="H1886" s="7">
        <v>0</v>
      </c>
      <c r="I1886" s="8" t="str">
        <f ca="1">IFERROR(__xludf.DUMMYFUNCTION("IF
(
G1887=""фізична особа""
,
VLOOKUP(H1887,IMPORTRANGE(""https://docs.google.com/spreadsheets/d/14Bd19lYaqBhU8_DElYkX7l4wRkHqqCUFNJY4AfY3kHU/edit?usp=sharing  #gid=0"",""фіз особи new!relations_name""),6,FALSE)
,
(IF
(
G1887=""юридична особа""
,
VLOOKUP"&amp;"(H1887,IMPORTRANGE(""https://docs.google.com/spreadsheets/d/14Bd19lYaqBhU8_DElYkX7l4wRkHqqCUFNJY4AfY3kHU/edit?usp=sharing  #gid=0"",""фіз особи new!relations_name_uo""),7,FALSE)
,
)
))"),"#N/A")</f>
        <v>#N/A</v>
      </c>
      <c r="J1886" s="7" t="s">
        <v>11</v>
      </c>
    </row>
    <row r="1887" spans="1:10" ht="13.2">
      <c r="A1887" s="7">
        <v>1886</v>
      </c>
      <c r="B1887" s="7">
        <v>1</v>
      </c>
      <c r="C1887" s="7" t="s">
        <v>10</v>
      </c>
      <c r="D1887" s="7">
        <v>584</v>
      </c>
      <c r="E1887" s="7" t="s">
        <v>11</v>
      </c>
      <c r="F1887" s="8" t="str">
        <f ca="1">IFERROR(__xludf.DUMMYFUNCTION("IF
(
C1888=""фізична особа""
,
VLOOKUP(D1888,IMPORTRANGE(""https://docs.google.com/spreadsheets/d/14Bd19lYaqBhU8_DElYkX7l4wRkHqqCUFNJY4AfY3kHU/edit?usp=sharing  #gid=0"",""фіз особи new!relations_name""),6,FALSE)
,
(IF
(
C1888=""юридична особа""
,
VLOOKUP"&amp;"(D1888,IMPORTRANGE(""https://docs.google.com/spreadsheets/d/14Bd19lYaqBhU8_DElYkX7l4wRkHqqCUFNJY4AfY3kHU/edit?usp=sharing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G1887" s="7" t="s">
        <v>10</v>
      </c>
      <c r="H1887" s="7">
        <v>4148</v>
      </c>
      <c r="I1887" s="8" t="str">
        <f ca="1">IFERROR(__xludf.DUMMYFUNCTION("IF
(
G1888=""фізична особа""
,
VLOOKUP(H1888,IMPORTRANGE(""https://docs.google.com/spreadsheets/d/14Bd19lYaqBhU8_DElYkX7l4wRkHqqCUFNJY4AfY3kHU/edit?usp=sharing  #gid=0"",""фіз особи new!relations_name""),6,FALSE)
,
(IF
(
G1888=""юридична особа""
,
VLOOKUP"&amp;"(H1888,IMPORTRANGE(""https://docs.google.com/spreadsheets/d/14Bd19lYaqBhU8_DElYkX7l4wRkHqqCUFNJY4AfY3kHU/edit?usp=sharing  #gid=0"",""фіз особи new!relations_name_uo""),7,FALSE)
,
)
))"),"ГОРЄЛКІНА Анастасія Вікторівна")</f>
        <v>ГОРЄЛКІНА Анастасія Вікторівна</v>
      </c>
      <c r="J1887" s="7" t="s">
        <v>11</v>
      </c>
    </row>
    <row r="1888" spans="1:10" ht="13.2">
      <c r="A1888" s="7">
        <v>1887</v>
      </c>
      <c r="B1888" s="7">
        <v>1</v>
      </c>
      <c r="C1888" s="7" t="s">
        <v>10</v>
      </c>
      <c r="D1888" s="7">
        <v>585</v>
      </c>
      <c r="E1888" s="7" t="s">
        <v>12</v>
      </c>
      <c r="F1888" s="8" t="str">
        <f ca="1">IFERROR(__xludf.DUMMYFUNCTION("IF
(
C1889=""фізична особа""
,
VLOOKUP(D1889,IMPORTRANGE(""https://docs.google.com/spreadsheets/d/14Bd19lYaqBhU8_DElYkX7l4wRkHqqCUFNJY4AfY3kHU/edit?usp=sharing  #gid=0"",""фіз особи new!relations_name""),6,FALSE)
,
(IF
(
C1889=""юридична особа""
,
VLOOKUP"&amp;"(D1889,IMPORTRANGE(""https://docs.google.com/spreadsheets/d/14Bd19lYaqBhU8_DElYkX7l4wRkHqqCUFNJY4AfY3kHU/edit?usp=sharing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G1888" s="7" t="s">
        <v>10</v>
      </c>
      <c r="H1888" s="7">
        <v>4865</v>
      </c>
      <c r="I1888" s="8" t="str">
        <f ca="1">IFERROR(__xludf.DUMMYFUNCTION("IF
(
G1889=""фізична особа""
,
VLOOKUP(H1889,IMPORTRANGE(""https://docs.google.com/spreadsheets/d/14Bd19lYaqBhU8_DElYkX7l4wRkHqqCUFNJY4AfY3kHU/edit?usp=sharing  #gid=0"",""фіз особи new!relations_name""),6,FALSE)
,
(IF
(
G1889=""юридична особа""
,
VLOOKUP"&amp;"(H1889,IMPORTRANGE(""https://docs.google.com/spreadsheets/d/14Bd19lYaqBhU8_DElYkX7l4wRkHqqCUFNJY4AfY3kHU/edit?usp=sharing  #gid=0"",""фіз особи new!relations_name_uo""),7,FALSE)
,
)
))"),"КАЧКАЄВ Сергій Павлович")</f>
        <v>КАЧКАЄВ Сергій Павлович</v>
      </c>
      <c r="J1888" s="7" t="s">
        <v>17</v>
      </c>
    </row>
    <row r="1889" spans="1:10" ht="13.2">
      <c r="A1889" s="7">
        <v>1888</v>
      </c>
      <c r="B1889" s="7">
        <v>1</v>
      </c>
      <c r="C1889" s="7" t="s">
        <v>10</v>
      </c>
      <c r="D1889" s="7">
        <v>585</v>
      </c>
      <c r="E1889" s="7" t="s">
        <v>12</v>
      </c>
      <c r="F1889" s="8" t="str">
        <f ca="1">IFERROR(__xludf.DUMMYFUNCTION("IF
(
C1890=""фізична особа""
,
VLOOKUP(D1890,IMPORTRANGE(""https://docs.google.com/spreadsheets/d/14Bd19lYaqBhU8_DElYkX7l4wRkHqqCUFNJY4AfY3kHU/edit?usp=sharing  #gid=0"",""фіз особи new!relations_name""),6,FALSE)
,
(IF
(
C1890=""юридична особа""
,
VLOOKUP"&amp;"(D1890,IMPORTRANGE(""https://docs.google.com/spreadsheets/d/14Bd19lYaqBhU8_DElYkX7l4wRkHqqCUFNJY4AfY3kHU/edit?usp=sharing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G1889" s="7" t="s">
        <v>10</v>
      </c>
      <c r="H1889" s="7">
        <v>4964</v>
      </c>
      <c r="I1889" s="8" t="str">
        <f ca="1">IFERROR(__xludf.DUMMYFUNCTION("IF
(
G1890=""фізична особа""
,
VLOOKUP(H1890,IMPORTRANGE(""https://docs.google.com/spreadsheets/d/14Bd19lYaqBhU8_DElYkX7l4wRkHqqCUFNJY4AfY3kHU/edit?usp=sharing  #gid=0"",""фіз особи new!relations_name""),6,FALSE)
,
(IF
(
G1890=""юридична особа""
,
VLOOKUP"&amp;"(H1890,IMPORTRANGE(""https://docs.google.com/spreadsheets/d/14Bd19lYaqBhU8_DElYkX7l4wRkHqqCUFNJY4AfY3kHU/edit?usp=sharing  #gid=0"",""фіз особи new!relations_name_uo""),7,FALSE)
,
)
))"),"КАЧКАЄВ Дмитро Павлович")</f>
        <v>КАЧКАЄВ Дмитро Павлович</v>
      </c>
      <c r="J1889" s="7" t="s">
        <v>17</v>
      </c>
    </row>
    <row r="1890" spans="1:10" ht="13.2">
      <c r="A1890" s="7">
        <v>1889</v>
      </c>
      <c r="B1890" s="7">
        <v>1</v>
      </c>
      <c r="C1890" s="7" t="s">
        <v>10</v>
      </c>
      <c r="D1890" s="7">
        <v>585</v>
      </c>
      <c r="E1890" s="7" t="s">
        <v>14</v>
      </c>
      <c r="F1890" s="8" t="str">
        <f ca="1">IFERROR(__xludf.DUMMYFUNCTION("IF
(
C1891=""фізична особа""
,
VLOOKUP(D1891,IMPORTRANGE(""https://docs.google.com/spreadsheets/d/14Bd19lYaqBhU8_DElYkX7l4wRkHqqCUFNJY4AfY3kHU/edit?usp=sharing  #gid=0"",""фіз особи new!relations_name""),6,FALSE)
,
(IF
(
C1891=""юридична особа""
,
VLOOKUP"&amp;"(D1891,IMPORTRANGE(""https://docs.google.com/spreadsheets/d/14Bd19lYaqBhU8_DElYkX7l4wRkHqqCUFNJY4AfY3kHU/edit?usp=sharing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G1890" s="7" t="s">
        <v>10</v>
      </c>
      <c r="H1890" s="7">
        <v>4965</v>
      </c>
      <c r="I1890" s="8" t="str">
        <f ca="1">IFERROR(__xludf.DUMMYFUNCTION("IF
(
G1891=""фізична особа""
,
VLOOKUP(H1891,IMPORTRANGE(""https://docs.google.com/spreadsheets/d/14Bd19lYaqBhU8_DElYkX7l4wRkHqqCUFNJY4AfY3kHU/edit?usp=sharing  #gid=0"",""фіз особи new!relations_name""),6,FALSE)
,
(IF
(
G1891=""юридична особа""
,
VLOOKUP"&amp;"(H1891,IMPORTRANGE(""https://docs.google.com/spreadsheets/d/14Bd19lYaqBhU8_DElYkX7l4wRkHqqCUFNJY4AfY3kHU/edit?usp=sharing  #gid=0"",""фіз особи new!relations_name_uo""),7,FALSE)
,
)
))"),"КАЧКАЄВА Галина Юріївна")</f>
        <v>КАЧКАЄВА Галина Юріївна</v>
      </c>
      <c r="J1890" s="7" t="s">
        <v>15</v>
      </c>
    </row>
    <row r="1891" spans="1:10" ht="13.2">
      <c r="A1891" s="7">
        <v>1890</v>
      </c>
      <c r="B1891" s="7">
        <v>1</v>
      </c>
      <c r="C1891" s="7" t="s">
        <v>10</v>
      </c>
      <c r="D1891" s="7">
        <v>585</v>
      </c>
      <c r="E1891" s="7" t="s">
        <v>34</v>
      </c>
      <c r="F1891" s="8" t="str">
        <f ca="1">IFERROR(__xludf.DUMMYFUNCTION("IF
(
C1892=""фізична особа""
,
VLOOKUP(D1892,IMPORTRANGE(""https://docs.google.com/spreadsheets/d/14Bd19lYaqBhU8_DElYkX7l4wRkHqqCUFNJY4AfY3kHU/edit?usp=sharing  #gid=0"",""фіз особи new!relations_name""),6,FALSE)
,
(IF
(
C1892=""юридична особа""
,
VLOOKUP"&amp;"(D1892,IMPORTRANGE(""https://docs.google.com/spreadsheets/d/14Bd19lYaqBhU8_DElYkX7l4wRkHqqCUFNJY4AfY3kHU/edit?usp=sharing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G1891" s="7" t="s">
        <v>10</v>
      </c>
      <c r="H1891" s="7">
        <v>5007</v>
      </c>
      <c r="I1891" s="8" t="str">
        <f ca="1">IFERROR(__xludf.DUMMYFUNCTION("IF
(
G1892=""фізична особа""
,
VLOOKUP(H1892,IMPORTRANGE(""https://docs.google.com/spreadsheets/d/14Bd19lYaqBhU8_DElYkX7l4wRkHqqCUFNJY4AfY3kHU/edit?usp=sharing  #gid=0"",""фіз особи new!relations_name""),6,FALSE)
,
(IF
(
G1892=""юридична особа""
,
VLOOKUP"&amp;"(H1892,IMPORTRANGE(""https://docs.google.com/spreadsheets/d/14Bd19lYaqBhU8_DElYkX7l4wRkHqqCUFNJY4AfY3kHU/edit?usp=sharing  #gid=0"",""фіз особи new!relations_name_uo""),7,FALSE)
,
)
))"),"КАЧКАЄВА Любов Михайлівна")</f>
        <v>КАЧКАЄВА Любов Михайлівна</v>
      </c>
      <c r="J1891" s="7" t="s">
        <v>25</v>
      </c>
    </row>
    <row r="1892" spans="1:10" ht="13.2">
      <c r="A1892" s="7">
        <v>1891</v>
      </c>
      <c r="B1892" s="7">
        <v>1</v>
      </c>
      <c r="C1892" s="7" t="s">
        <v>10</v>
      </c>
      <c r="D1892" s="7">
        <v>585</v>
      </c>
      <c r="E1892" s="7" t="s">
        <v>34</v>
      </c>
      <c r="F1892" s="8" t="str">
        <f ca="1">IFERROR(__xludf.DUMMYFUNCTION("IF
(
C1893=""фізична особа""
,
VLOOKUP(D1893,IMPORTRANGE(""https://docs.google.com/spreadsheets/d/14Bd19lYaqBhU8_DElYkX7l4wRkHqqCUFNJY4AfY3kHU/edit?usp=sharing  #gid=0"",""фіз особи new!relations_name""),6,FALSE)
,
(IF
(
C1893=""юридична особа""
,
VLOOKUP"&amp;"(D1893,IMPORTRANGE(""https://docs.google.com/spreadsheets/d/14Bd19lYaqBhU8_DElYkX7l4wRkHqqCUFNJY4AfY3kHU/edit?usp=sharing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G1892" s="7" t="s">
        <v>10</v>
      </c>
      <c r="H1892" s="7">
        <v>4864</v>
      </c>
      <c r="I1892" s="8" t="str">
        <f ca="1">IFERROR(__xludf.DUMMYFUNCTION("IF
(
G1893=""фізична особа""
,
VLOOKUP(H1893,IMPORTRANGE(""https://docs.google.com/spreadsheets/d/14Bd19lYaqBhU8_DElYkX7l4wRkHqqCUFNJY4AfY3kHU/edit?usp=sharing  #gid=0"",""фіз особи new!relations_name""),6,FALSE)
,
(IF
(
G1893=""юридична особа""
,
VLOOKUP"&amp;"(H1893,IMPORTRANGE(""https://docs.google.com/spreadsheets/d/14Bd19lYaqBhU8_DElYkX7l4wRkHqqCUFNJY4AfY3kHU/edit?usp=sharing  #gid=0"",""фіз особи new!relations_name_uo""),7,FALSE)
,
)
))"),"КАЧКАЄВА Сабіна Адельшівна")</f>
        <v>КАЧКАЄВА Сабіна Адельшівна</v>
      </c>
      <c r="J1892" s="7" t="s">
        <v>25</v>
      </c>
    </row>
    <row r="1893" spans="1:10" ht="13.2">
      <c r="A1893" s="7">
        <v>1892</v>
      </c>
      <c r="B1893" s="7">
        <v>1</v>
      </c>
      <c r="C1893" s="7" t="s">
        <v>10</v>
      </c>
      <c r="D1893" s="7">
        <v>586</v>
      </c>
      <c r="E1893" s="7" t="s">
        <v>12</v>
      </c>
      <c r="F1893" s="8" t="str">
        <f ca="1">IFERROR(__xludf.DUMMYFUNCTION("IF
(
C1894=""фізична особа""
,
VLOOKUP(D1894,IMPORTRANGE(""https://docs.google.com/spreadsheets/d/14Bd19lYaqBhU8_DElYkX7l4wRkHqqCUFNJY4AfY3kHU/edit?usp=sharing  #gid=0"",""фіз особи new!relations_name""),6,FALSE)
,
(IF
(
C1894=""юридична особа""
,
VLOOKUP"&amp;"(D1894,IMPORTRANGE(""https://docs.google.com/spreadsheets/d/14Bd19lYaqBhU8_DElYkX7l4wRkHqqCUFNJY4AfY3kHU/edit?usp=sharing  #gid=0"",""фіз особи new!relations_name_uo""),7,FALSE)
,
)
))"),"ШПЕРОВ Павло Валентинович")</f>
        <v>ШПЕРОВ Павло Валентинович</v>
      </c>
      <c r="G1893" s="7" t="s">
        <v>10</v>
      </c>
      <c r="H1893" s="7">
        <v>0</v>
      </c>
      <c r="I1893" s="8" t="str">
        <f ca="1">IFERROR(__xludf.DUMMYFUNCTION("IF
(
G1894=""фізична особа""
,
VLOOKUP(H1894,IMPORTRANGE(""https://docs.google.com/spreadsheets/d/14Bd19lYaqBhU8_DElYkX7l4wRkHqqCUFNJY4AfY3kHU/edit?usp=sharing  #gid=0"",""фіз особи new!relations_name""),6,FALSE)
,
(IF
(
G1894=""юридична особа""
,
VLOOKUP"&amp;"(H1894,IMPORTRANGE(""https://docs.google.com/spreadsheets/d/14Bd19lYaqBhU8_DElYkX7l4wRkHqqCUFNJY4AfY3kHU/edit?usp=sharing  #gid=0"",""фіз особи new!relations_name_uo""),7,FALSE)
,
)
))"),"#N/A")</f>
        <v>#N/A</v>
      </c>
      <c r="J1893" s="7" t="s">
        <v>17</v>
      </c>
    </row>
    <row r="1894" spans="1:10" ht="13.2">
      <c r="A1894" s="7">
        <v>1893</v>
      </c>
      <c r="B1894" s="7">
        <v>1</v>
      </c>
      <c r="C1894" s="7" t="s">
        <v>10</v>
      </c>
      <c r="D1894" s="7">
        <v>587</v>
      </c>
      <c r="E1894" s="7" t="s">
        <v>14</v>
      </c>
      <c r="F1894" s="8" t="str">
        <f ca="1">IFERROR(__xludf.DUMMYFUNCTION("IF
(
C1895=""фізична особа""
,
VLOOKUP(D1895,IMPORTRANGE(""https://docs.google.com/spreadsheets/d/14Bd19lYaqBhU8_DElYkX7l4wRkHqqCUFNJY4AfY3kHU/edit?usp=sharing  #gid=0"",""фіз особи new!relations_name""),6,FALSE)
,
(IF
(
C1895=""юридична особа""
,
VLOOKUP"&amp;"(D1895,IMPORTRANGE(""https://docs.google.com/spreadsheets/d/14Bd19lYaqBhU8_DElYkX7l4wRkHqqCUFNJY4AfY3kHU/edit?usp=sharing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G1894" s="7" t="s">
        <v>10</v>
      </c>
      <c r="H1894" s="7">
        <v>5000</v>
      </c>
      <c r="I1894" s="8" t="str">
        <f ca="1">IFERROR(__xludf.DUMMYFUNCTION("IF
(
G1895=""фізична особа""
,
VLOOKUP(H1895,IMPORTRANGE(""https://docs.google.com/spreadsheets/d/14Bd19lYaqBhU8_DElYkX7l4wRkHqqCUFNJY4AfY3kHU/edit?usp=sharing  #gid=0"",""фіз особи new!relations_name""),6,FALSE)
,
(IF
(
G1895=""юридична особа""
,
VLOOKUP"&amp;"(H1895,IMPORTRANGE(""https://docs.google.com/spreadsheets/d/14Bd19lYaqBhU8_DElYkX7l4wRkHqqCUFNJY4AfY3kHU/edit?usp=sharing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J1894" s="7" t="s">
        <v>15</v>
      </c>
    </row>
    <row r="1895" spans="1:10" ht="13.2">
      <c r="A1895" s="7">
        <v>1894</v>
      </c>
      <c r="B1895" s="7">
        <v>1</v>
      </c>
      <c r="C1895" s="7" t="s">
        <v>10</v>
      </c>
      <c r="D1895" s="7">
        <v>587</v>
      </c>
      <c r="E1895" s="7" t="s">
        <v>12</v>
      </c>
      <c r="F1895" s="8" t="str">
        <f ca="1">IFERROR(__xludf.DUMMYFUNCTION("IF
(
C1896=""фізична особа""
,
VLOOKUP(D1896,IMPORTRANGE(""https://docs.google.com/spreadsheets/d/14Bd19lYaqBhU8_DElYkX7l4wRkHqqCUFNJY4AfY3kHU/edit?usp=sharing  #gid=0"",""фіз особи new!relations_name""),6,FALSE)
,
(IF
(
C1896=""юридична особа""
,
VLOOKUP"&amp;"(D1896,IMPORTRANGE(""https://docs.google.com/spreadsheets/d/14Bd19lYaqBhU8_DElYkX7l4wRkHqqCUFNJY4AfY3kHU/edit?usp=sharing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G1895" s="7" t="s">
        <v>10</v>
      </c>
      <c r="H1895" s="7">
        <v>5001</v>
      </c>
      <c r="I1895" s="8" t="str">
        <f ca="1">IFERROR(__xludf.DUMMYFUNCTION("IF
(
G1896=""фізична особа""
,
VLOOKUP(H1896,IMPORTRANGE(""https://docs.google.com/spreadsheets/d/14Bd19lYaqBhU8_DElYkX7l4wRkHqqCUFNJY4AfY3kHU/edit?usp=sharing  #gid=0"",""фіз особи new!relations_name""),6,FALSE)
,
(IF
(
G1896=""юридична особа""
,
VLOOKUP"&amp;"(H1896,IMPORTRANGE(""https://docs.google.com/spreadsheets/d/14Bd19lYaqBhU8_DElYkX7l4wRkHqqCUFNJY4AfY3kHU/edit?usp=sharing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J1895" s="7" t="s">
        <v>17</v>
      </c>
    </row>
    <row r="1896" spans="1:10" ht="13.2">
      <c r="A1896" s="7">
        <v>1895</v>
      </c>
      <c r="B1896" s="7">
        <v>1</v>
      </c>
      <c r="C1896" s="7" t="s">
        <v>10</v>
      </c>
      <c r="D1896" s="7">
        <v>587</v>
      </c>
      <c r="E1896" s="7" t="s">
        <v>12</v>
      </c>
      <c r="F1896" s="8" t="str">
        <f ca="1">IFERROR(__xludf.DUMMYFUNCTION("IF
(
C1897=""фізична особа""
,
VLOOKUP(D1897,IMPORTRANGE(""https://docs.google.com/spreadsheets/d/14Bd19lYaqBhU8_DElYkX7l4wRkHqqCUFNJY4AfY3kHU/edit?usp=sharing  #gid=0"",""фіз особи new!relations_name""),6,FALSE)
,
(IF
(
C1897=""юридична особа""
,
VLOOKUP"&amp;"(D1897,IMPORTRANGE(""https://docs.google.com/spreadsheets/d/14Bd19lYaqBhU8_DElYkX7l4wRkHqqCUFNJY4AfY3kHU/edit?usp=sharing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G1896" s="7" t="s">
        <v>10</v>
      </c>
      <c r="H1896" s="7">
        <v>5001</v>
      </c>
      <c r="I1896" s="8" t="str">
        <f ca="1">IFERROR(__xludf.DUMMYFUNCTION("IF
(
G1897=""фізична особа""
,
VLOOKUP(H1897,IMPORTRANGE(""https://docs.google.com/spreadsheets/d/14Bd19lYaqBhU8_DElYkX7l4wRkHqqCUFNJY4AfY3kHU/edit?usp=sharing  #gid=0"",""фіз особи new!relations_name""),6,FALSE)
,
(IF
(
G1897=""юридична особа""
,
VLOOKUP"&amp;"(H1897,IMPORTRANGE(""https://docs.google.com/spreadsheets/d/14Bd19lYaqBhU8_DElYkX7l4wRkHqqCUFNJY4AfY3kHU/edit?usp=sharing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J1896" s="7" t="s">
        <v>13</v>
      </c>
    </row>
    <row r="1897" spans="1:10" ht="13.2">
      <c r="A1897" s="7">
        <v>1896</v>
      </c>
      <c r="B1897" s="7">
        <v>1</v>
      </c>
      <c r="C1897" s="7" t="s">
        <v>10</v>
      </c>
      <c r="D1897" s="7">
        <v>588</v>
      </c>
      <c r="E1897" s="7" t="s">
        <v>14</v>
      </c>
      <c r="F1897" s="8" t="str">
        <f ca="1">IFERROR(__xludf.DUMMYFUNCTION("IF
(
C1898=""фізична особа""
,
VLOOKUP(D1898,IMPORTRANGE(""https://docs.google.com/spreadsheets/d/14Bd19lYaqBhU8_DElYkX7l4wRkHqqCUFNJY4AfY3kHU/edit?usp=sharing  #gid=0"",""фіз особи new!relations_name""),6,FALSE)
,
(IF
(
C1898=""юридична особа""
,
VLOOKUP"&amp;"(D1898,IMPORTRANGE(""https://docs.google.com/spreadsheets/d/14Bd19lYaqBhU8_DElYkX7l4wRkHqqCUFNJY4AfY3kHU/edit?usp=sharing  #gid=0"",""фіз особи new!relations_name_uo""),7,FALSE)
,
)
))"),"СІМІГІН Павло Володимирович")</f>
        <v>СІМІГІН Павло Володимирович</v>
      </c>
      <c r="G1897" s="7" t="s">
        <v>10</v>
      </c>
      <c r="H1897" s="7">
        <v>0</v>
      </c>
      <c r="I1897" s="8" t="str">
        <f ca="1">IFERROR(__xludf.DUMMYFUNCTION("IF
(
G1898=""фізична особа""
,
VLOOKUP(H1898,IMPORTRANGE(""https://docs.google.com/spreadsheets/d/14Bd19lYaqBhU8_DElYkX7l4wRkHqqCUFNJY4AfY3kHU/edit?usp=sharing  #gid=0"",""фіз особи new!relations_name""),6,FALSE)
,
(IF
(
G1898=""юридична особа""
,
VLOOKUP"&amp;"(H1898,IMPORTRANGE(""https://docs.google.com/spreadsheets/d/14Bd19lYaqBhU8_DElYkX7l4wRkHqqCUFNJY4AfY3kHU/edit?usp=sharing  #gid=0"",""фіз особи new!relations_name_uo""),7,FALSE)
,
)
))"),"#N/A")</f>
        <v>#N/A</v>
      </c>
      <c r="J1897" s="7" t="s">
        <v>15</v>
      </c>
    </row>
    <row r="1898" spans="1:10" ht="13.2">
      <c r="A1898" s="7">
        <v>1897</v>
      </c>
      <c r="B1898" s="7">
        <v>1</v>
      </c>
      <c r="C1898" s="7" t="s">
        <v>10</v>
      </c>
      <c r="D1898" s="7">
        <v>588</v>
      </c>
      <c r="E1898" s="7" t="s">
        <v>12</v>
      </c>
      <c r="F1898" s="8" t="str">
        <f ca="1">IFERROR(__xludf.DUMMYFUNCTION("IF
(
C1899=""фізична особа""
,
VLOOKUP(D1899,IMPORTRANGE(""https://docs.google.com/spreadsheets/d/14Bd19lYaqBhU8_DElYkX7l4wRkHqqCUFNJY4AfY3kHU/edit?usp=sharing  #gid=0"",""фіз особи new!relations_name""),6,FALSE)
,
(IF
(
C1899=""юридична особа""
,
VLOOKUP"&amp;"(D1899,IMPORTRANGE(""https://docs.google.com/spreadsheets/d/14Bd19lYaqBhU8_DElYkX7l4wRkHqqCUFNJY4AfY3kHU/edit?usp=sharing  #gid=0"",""фіз особи new!relations_name_uo""),7,FALSE)
,
)
))"),"СІМІГІН Павло Володимирович")</f>
        <v>СІМІГІН Павло Володимирович</v>
      </c>
      <c r="G1898" s="7" t="s">
        <v>10</v>
      </c>
      <c r="H1898" s="7">
        <v>0</v>
      </c>
      <c r="I1898" s="8" t="str">
        <f ca="1">IFERROR(__xludf.DUMMYFUNCTION("IF
(
G1899=""фізична особа""
,
VLOOKUP(H1899,IMPORTRANGE(""https://docs.google.com/spreadsheets/d/14Bd19lYaqBhU8_DElYkX7l4wRkHqqCUFNJY4AfY3kHU/edit?usp=sharing  #gid=0"",""фіз особи new!relations_name""),6,FALSE)
,
(IF
(
G1899=""юридична особа""
,
VLOOKUP"&amp;"(H1899,IMPORTRANGE(""https://docs.google.com/spreadsheets/d/14Bd19lYaqBhU8_DElYkX7l4wRkHqqCUFNJY4AfY3kHU/edit?usp=sharing  #gid=0"",""фіз особи new!relations_name_uo""),7,FALSE)
,
)
))"),"#N/A")</f>
        <v>#N/A</v>
      </c>
      <c r="J1898" s="7" t="s">
        <v>17</v>
      </c>
    </row>
    <row r="1899" spans="1:10" ht="13.2">
      <c r="A1899" s="7">
        <v>1898</v>
      </c>
      <c r="B1899" s="7">
        <v>1</v>
      </c>
      <c r="C1899" s="7" t="s">
        <v>10</v>
      </c>
      <c r="D1899" s="7">
        <v>589</v>
      </c>
      <c r="E1899" s="7" t="s">
        <v>48</v>
      </c>
      <c r="F1899" s="8" t="str">
        <f ca="1">IFERROR(__xludf.DUMMYFUNCTION("IF
(
C1900=""фізична особа""
,
VLOOKUP(D1900,IMPORTRANGE(""https://docs.google.com/spreadsheets/d/14Bd19lYaqBhU8_DElYkX7l4wRkHqqCUFNJY4AfY3kHU/edit?usp=sharing  #gid=0"",""фіз особи new!relations_name""),6,FALSE)
,
(IF
(
C1900=""юридична особа""
,
VLOOKUP"&amp;"(D1900,IMPORTRANGE(""https://docs.google.com/spreadsheets/d/14Bd19lYaqBhU8_DElYkX7l4wRkHqqCUFNJY4AfY3kHU/edit?usp=sharing  #gid=0"",""фіз особи new!relations_name_uo""),7,FALSE)
,
)
))"),"ТАРАКАНОВ Павло Володимирович")</f>
        <v>ТАРАКАНОВ Павло Володимирович</v>
      </c>
      <c r="G1899" s="7" t="s">
        <v>10</v>
      </c>
      <c r="H1899" s="7">
        <v>32</v>
      </c>
      <c r="I1899" s="8" t="str">
        <f ca="1">IFERROR(__xludf.DUMMYFUNCTION("IF
(
G1900=""фізична особа""
,
VLOOKUP(H1900,IMPORTRANGE(""https://docs.google.com/spreadsheets/d/14Bd19lYaqBhU8_DElYkX7l4wRkHqqCUFNJY4AfY3kHU/edit?usp=sharing  #gid=0"",""фіз особи new!relations_name""),6,FALSE)
,
(IF
(
G1900=""юридична особа""
,
VLOOKUP"&amp;"(H1900,IMPORTRANGE(""https://docs.google.com/spreadsheets/d/14Bd19lYaqBhU8_DElYkX7l4wRkHqqCUFNJY4AfY3kHU/edit?usp=sharing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1899" s="7" t="s">
        <v>48</v>
      </c>
    </row>
    <row r="1900" spans="1:10" ht="13.2">
      <c r="A1900" s="7">
        <v>1899</v>
      </c>
      <c r="B1900" s="7">
        <v>1</v>
      </c>
      <c r="C1900" s="7" t="s">
        <v>10</v>
      </c>
      <c r="D1900" s="7">
        <v>589</v>
      </c>
      <c r="E1900" s="7" t="s">
        <v>48</v>
      </c>
      <c r="F1900" s="8" t="str">
        <f ca="1">IFERROR(__xludf.DUMMYFUNCTION("IF
(
C1901=""фізична особа""
,
VLOOKUP(D1901,IMPORTRANGE(""https://docs.google.com/spreadsheets/d/14Bd19lYaqBhU8_DElYkX7l4wRkHqqCUFNJY4AfY3kHU/edit?usp=sharing  #gid=0"",""фіз особи new!relations_name""),6,FALSE)
,
(IF
(
C1901=""юридична особа""
,
VLOOKUP"&amp;"(D1901,IMPORTRANGE(""https://docs.google.com/spreadsheets/d/14Bd19lYaqBhU8_DElYkX7l4wRkHqqCUFNJY4AfY3kHU/edit?usp=sharing  #gid=0"",""фіз особи new!relations_name_uo""),7,FALSE)
,
)
))"),"ТАРАКАНОВ Павло Володимирович")</f>
        <v>ТАРАКАНОВ Павло Володимирович</v>
      </c>
      <c r="G1900" s="7" t="s">
        <v>10</v>
      </c>
      <c r="H1900" s="7">
        <v>882</v>
      </c>
      <c r="I1900" s="8" t="str">
        <f ca="1">IFERROR(__xludf.DUMMYFUNCTION("IF
(
G1901=""фізична особа""
,
VLOOKUP(H1901,IMPORTRANGE(""https://docs.google.com/spreadsheets/d/14Bd19lYaqBhU8_DElYkX7l4wRkHqqCUFNJY4AfY3kHU/edit?usp=sharing  #gid=0"",""фіз особи new!relations_name""),6,FALSE)
,
(IF
(
G1901=""юридична особа""
,
VLOOKUP"&amp;"(H1901,IMPORTRANGE(""https://docs.google.com/spreadsheets/d/14Bd19lYaqBhU8_DElYkX7l4wRkHqqCUFNJY4AfY3kHU/edit?usp=sharing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J1900" s="7" t="s">
        <v>48</v>
      </c>
    </row>
    <row r="1901" spans="1:10" ht="13.2">
      <c r="A1901" s="7">
        <v>1900</v>
      </c>
      <c r="B1901" s="7">
        <v>1</v>
      </c>
      <c r="C1901" s="7" t="s">
        <v>10</v>
      </c>
      <c r="D1901" s="7">
        <v>590</v>
      </c>
      <c r="E1901" s="7" t="s">
        <v>18</v>
      </c>
      <c r="F1901" s="8" t="str">
        <f ca="1">IFERROR(__xludf.DUMMYFUNCTION("IF
(
C1902=""фізична особа""
,
VLOOKUP(D1902,IMPORTRANGE(""https://docs.google.com/spreadsheets/d/14Bd19lYaqBhU8_DElYkX7l4wRkHqqCUFNJY4AfY3kHU/edit?usp=sharing  #gid=0"",""фіз особи new!relations_name""),6,FALSE)
,
(IF
(
C1902=""юридична особа""
,
VLOOKUP"&amp;"(D1902,IMPORTRANGE(""https://docs.google.com/spreadsheets/d/14Bd19lYaqBhU8_DElYkX7l4wRkHqqCUFNJY4AfY3kHU/edit?usp=sharing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1" s="7" t="s">
        <v>10</v>
      </c>
      <c r="H1901" s="7">
        <v>0</v>
      </c>
      <c r="I1901" s="8" t="str">
        <f ca="1">IFERROR(__xludf.DUMMYFUNCTION("IF
(
G1902=""фізична особа""
,
VLOOKUP(H1902,IMPORTRANGE(""https://docs.google.com/spreadsheets/d/14Bd19lYaqBhU8_DElYkX7l4wRkHqqCUFNJY4AfY3kHU/edit?usp=sharing  #gid=0"",""фіз особи new!relations_name""),6,FALSE)
,
(IF
(
G1902=""юридична особа""
,
VLOOKUP"&amp;"(H1902,IMPORTRANGE(""https://docs.google.com/spreadsheets/d/14Bd19lYaqBhU8_DElYkX7l4wRkHqqCUFNJY4AfY3kHU/edit?usp=sharing  #gid=0"",""фіз особи new!relations_name_uo""),7,FALSE)
,
)
))"),"#N/A")</f>
        <v>#N/A</v>
      </c>
      <c r="J1901" s="7" t="s">
        <v>18</v>
      </c>
    </row>
    <row r="1902" spans="1:10" ht="13.2">
      <c r="A1902" s="7">
        <v>1901</v>
      </c>
      <c r="B1902" s="7">
        <v>1</v>
      </c>
      <c r="C1902" s="7" t="s">
        <v>10</v>
      </c>
      <c r="D1902" s="7">
        <v>590</v>
      </c>
      <c r="E1902" s="7" t="s">
        <v>17</v>
      </c>
      <c r="F1902" s="8" t="str">
        <f ca="1">IFERROR(__xludf.DUMMYFUNCTION("IF
(
C1903=""фізична особа""
,
VLOOKUP(D1903,IMPORTRANGE(""https://docs.google.com/spreadsheets/d/14Bd19lYaqBhU8_DElYkX7l4wRkHqqCUFNJY4AfY3kHU/edit?usp=sharing  #gid=0"",""фіз особи new!relations_name""),6,FALSE)
,
(IF
(
C1903=""юридична особа""
,
VLOOKUP"&amp;"(D1903,IMPORTRANGE(""https://docs.google.com/spreadsheets/d/14Bd19lYaqBhU8_DElYkX7l4wRkHqqCUFNJY4AfY3kHU/edit?usp=sharing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2" s="7" t="s">
        <v>10</v>
      </c>
      <c r="H1902" s="7">
        <v>0</v>
      </c>
      <c r="I1902" s="8" t="str">
        <f ca="1">IFERROR(__xludf.DUMMYFUNCTION("IF
(
G1903=""фізична особа""
,
VLOOKUP(H1903,IMPORTRANGE(""https://docs.google.com/spreadsheets/d/14Bd19lYaqBhU8_DElYkX7l4wRkHqqCUFNJY4AfY3kHU/edit?usp=sharing  #gid=0"",""фіз особи new!relations_name""),6,FALSE)
,
(IF
(
G1903=""юридична особа""
,
VLOOKUP"&amp;"(H1903,IMPORTRANGE(""https://docs.google.com/spreadsheets/d/14Bd19lYaqBhU8_DElYkX7l4wRkHqqCUFNJY4AfY3kHU/edit?usp=sharing  #gid=0"",""фіз особи new!relations_name_uo""),7,FALSE)
,
)
))"),"#N/A")</f>
        <v>#N/A</v>
      </c>
      <c r="J1902" s="7" t="s">
        <v>21</v>
      </c>
    </row>
    <row r="1903" spans="1:10" ht="13.2">
      <c r="A1903" s="7">
        <v>1902</v>
      </c>
      <c r="B1903" s="7">
        <v>1</v>
      </c>
      <c r="C1903" s="7" t="s">
        <v>10</v>
      </c>
      <c r="D1903" s="7">
        <v>590</v>
      </c>
      <c r="E1903" s="7" t="s">
        <v>14</v>
      </c>
      <c r="F1903" s="8" t="str">
        <f ca="1">IFERROR(__xludf.DUMMYFUNCTION("IF
(
C1904=""фізична особа""
,
VLOOKUP(D1904,IMPORTRANGE(""https://docs.google.com/spreadsheets/d/14Bd19lYaqBhU8_DElYkX7l4wRkHqqCUFNJY4AfY3kHU/edit?usp=sharing  #gid=0"",""фіз особи new!relations_name""),6,FALSE)
,
(IF
(
C1904=""юридична особа""
,
VLOOKUP"&amp;"(D1904,IMPORTRANGE(""https://docs.google.com/spreadsheets/d/14Bd19lYaqBhU8_DElYkX7l4wRkHqqCUFNJY4AfY3kHU/edit?usp=sharing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3" s="7" t="s">
        <v>10</v>
      </c>
      <c r="H1903" s="7">
        <v>0</v>
      </c>
      <c r="I1903" s="8" t="str">
        <f ca="1">IFERROR(__xludf.DUMMYFUNCTION("IF
(
G1904=""фізична особа""
,
VLOOKUP(H1904,IMPORTRANGE(""https://docs.google.com/spreadsheets/d/14Bd19lYaqBhU8_DElYkX7l4wRkHqqCUFNJY4AfY3kHU/edit?usp=sharing  #gid=0"",""фіз особи new!relations_name""),6,FALSE)
,
(IF
(
G1904=""юридична особа""
,
VLOOKUP"&amp;"(H1904,IMPORTRANGE(""https://docs.google.com/spreadsheets/d/14Bd19lYaqBhU8_DElYkX7l4wRkHqqCUFNJY4AfY3kHU/edit?usp=sharing  #gid=0"",""фіз особи new!relations_name_uo""),7,FALSE)
,
)
))"),"#N/A")</f>
        <v>#N/A</v>
      </c>
      <c r="J1903" s="7" t="s">
        <v>15</v>
      </c>
    </row>
    <row r="1904" spans="1:10" ht="13.2">
      <c r="A1904" s="7">
        <v>1903</v>
      </c>
      <c r="B1904" s="7">
        <v>1</v>
      </c>
      <c r="C1904" s="7" t="s">
        <v>10</v>
      </c>
      <c r="D1904" s="7">
        <v>590</v>
      </c>
      <c r="E1904" s="7" t="s">
        <v>24</v>
      </c>
      <c r="F1904" s="8" t="str">
        <f ca="1">IFERROR(__xludf.DUMMYFUNCTION("IF
(
C1905=""фізична особа""
,
VLOOKUP(D1905,IMPORTRANGE(""https://docs.google.com/spreadsheets/d/14Bd19lYaqBhU8_DElYkX7l4wRkHqqCUFNJY4AfY3kHU/edit?usp=sharing  #gid=0"",""фіз особи new!relations_name""),6,FALSE)
,
(IF
(
C1905=""юридична особа""
,
VLOOKUP"&amp;"(D1905,IMPORTRANGE(""https://docs.google.com/spreadsheets/d/14Bd19lYaqBhU8_DElYkX7l4wRkHqqCUFNJY4AfY3kHU/edit?usp=sharing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4" s="7" t="s">
        <v>10</v>
      </c>
      <c r="H1904" s="7">
        <v>0</v>
      </c>
      <c r="I1904" s="8" t="str">
        <f ca="1">IFERROR(__xludf.DUMMYFUNCTION("IF
(
G1905=""фізична особа""
,
VLOOKUP(H1905,IMPORTRANGE(""https://docs.google.com/spreadsheets/d/14Bd19lYaqBhU8_DElYkX7l4wRkHqqCUFNJY4AfY3kHU/edit?usp=sharing  #gid=0"",""фіз особи new!relations_name""),6,FALSE)
,
(IF
(
G1905=""юридична особа""
,
VLOOKUP"&amp;"(H1905,IMPORTRANGE(""https://docs.google.com/spreadsheets/d/14Bd19lYaqBhU8_DElYkX7l4wRkHqqCUFNJY4AfY3kHU/edit?usp=sharing  #gid=0"",""фіз особи new!relations_name_uo""),7,FALSE)
,
)
))"),"#N/A")</f>
        <v>#N/A</v>
      </c>
      <c r="J1904" s="7" t="s">
        <v>26</v>
      </c>
    </row>
    <row r="1905" spans="1:10" ht="13.2">
      <c r="A1905" s="7">
        <v>1904</v>
      </c>
      <c r="B1905" s="7">
        <v>1</v>
      </c>
      <c r="C1905" s="7" t="s">
        <v>10</v>
      </c>
      <c r="D1905" s="7">
        <v>590</v>
      </c>
      <c r="E1905" s="7" t="s">
        <v>12</v>
      </c>
      <c r="F1905" s="8" t="str">
        <f ca="1">IFERROR(__xludf.DUMMYFUNCTION("IF
(
C1906=""фізична особа""
,
VLOOKUP(D1906,IMPORTRANGE(""https://docs.google.com/spreadsheets/d/14Bd19lYaqBhU8_DElYkX7l4wRkHqqCUFNJY4AfY3kHU/edit?usp=sharing  #gid=0"",""фіз особи new!relations_name""),6,FALSE)
,
(IF
(
C1906=""юридична особа""
,
VLOOKUP"&amp;"(D1906,IMPORTRANGE(""https://docs.google.com/spreadsheets/d/14Bd19lYaqBhU8_DElYkX7l4wRkHqqCUFNJY4AfY3kHU/edit?usp=sharing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5" s="7" t="s">
        <v>10</v>
      </c>
      <c r="H1905" s="7">
        <v>0</v>
      </c>
      <c r="I1905" s="8" t="str">
        <f ca="1">IFERROR(__xludf.DUMMYFUNCTION("IF
(
G1906=""фізична особа""
,
VLOOKUP(H1906,IMPORTRANGE(""https://docs.google.com/spreadsheets/d/14Bd19lYaqBhU8_DElYkX7l4wRkHqqCUFNJY4AfY3kHU/edit?usp=sharing  #gid=0"",""фіз особи new!relations_name""),6,FALSE)
,
(IF
(
G1906=""юридична особа""
,
VLOOKUP"&amp;"(H1906,IMPORTRANGE(""https://docs.google.com/spreadsheets/d/14Bd19lYaqBhU8_DElYkX7l4wRkHqqCUFNJY4AfY3kHU/edit?usp=sharing  #gid=0"",""фіз особи new!relations_name_uo""),7,FALSE)
,
)
))"),"#N/A")</f>
        <v>#N/A</v>
      </c>
      <c r="J1905" s="7" t="s">
        <v>13</v>
      </c>
    </row>
    <row r="1906" spans="1:10" ht="13.2">
      <c r="A1906" s="7">
        <v>1905</v>
      </c>
      <c r="B1906" s="7">
        <v>1</v>
      </c>
      <c r="C1906" s="7" t="s">
        <v>10</v>
      </c>
      <c r="D1906" s="7">
        <v>590</v>
      </c>
      <c r="E1906" s="7" t="s">
        <v>65</v>
      </c>
      <c r="F1906" s="8" t="str">
        <f ca="1">IFERROR(__xludf.DUMMYFUNCTION("IF
(
C1907=""фізична особа""
,
VLOOKUP(D1907,IMPORTRANGE(""https://docs.google.com/spreadsheets/d/14Bd19lYaqBhU8_DElYkX7l4wRkHqqCUFNJY4AfY3kHU/edit?usp=sharing  #gid=0"",""фіз особи new!relations_name""),6,FALSE)
,
(IF
(
C1907=""юридична особа""
,
VLOOKUP"&amp;"(D1907,IMPORTRANGE(""https://docs.google.com/spreadsheets/d/14Bd19lYaqBhU8_DElYkX7l4wRkHqqCUFNJY4AfY3kHU/edit?usp=sharing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6" s="7" t="s">
        <v>10</v>
      </c>
      <c r="H1906" s="7">
        <v>0</v>
      </c>
      <c r="I1906" s="8" t="str">
        <f ca="1">IFERROR(__xludf.DUMMYFUNCTION("IF
(
G1907=""фізична особа""
,
VLOOKUP(H1907,IMPORTRANGE(""https://docs.google.com/spreadsheets/d/14Bd19lYaqBhU8_DElYkX7l4wRkHqqCUFNJY4AfY3kHU/edit?usp=sharing  #gid=0"",""фіз особи new!relations_name""),6,FALSE)
,
(IF
(
G1907=""юридична особа""
,
VLOOKUP"&amp;"(H1907,IMPORTRANGE(""https://docs.google.com/spreadsheets/d/14Bd19lYaqBhU8_DElYkX7l4wRkHqqCUFNJY4AfY3kHU/edit?usp=sharing  #gid=0"",""фіз особи new!relations_name_uo""),7,FALSE)
,
)
))"),"#N/A")</f>
        <v>#N/A</v>
      </c>
      <c r="J1906" s="7" t="s">
        <v>65</v>
      </c>
    </row>
    <row r="1907" spans="1:10" ht="13.2">
      <c r="A1907" s="7">
        <v>1906</v>
      </c>
      <c r="B1907" s="7">
        <v>1</v>
      </c>
      <c r="C1907" s="7" t="s">
        <v>10</v>
      </c>
      <c r="D1907" s="7">
        <v>590</v>
      </c>
      <c r="E1907" s="7" t="s">
        <v>65</v>
      </c>
      <c r="F1907" s="8" t="str">
        <f ca="1">IFERROR(__xludf.DUMMYFUNCTION("IF
(
C1908=""фізична особа""
,
VLOOKUP(D1908,IMPORTRANGE(""https://docs.google.com/spreadsheets/d/14Bd19lYaqBhU8_DElYkX7l4wRkHqqCUFNJY4AfY3kHU/edit?usp=sharing  #gid=0"",""фіз особи new!relations_name""),6,FALSE)
,
(IF
(
C1908=""юридична особа""
,
VLOOKUP"&amp;"(D1908,IMPORTRANGE(""https://docs.google.com/spreadsheets/d/14Bd19lYaqBhU8_DElYkX7l4wRkHqqCUFNJY4AfY3kHU/edit?usp=sharing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7" s="7" t="s">
        <v>10</v>
      </c>
      <c r="H1907" s="7">
        <v>0</v>
      </c>
      <c r="I1907" s="8" t="str">
        <f ca="1">IFERROR(__xludf.DUMMYFUNCTION("IF
(
G1908=""фізична особа""
,
VLOOKUP(H1908,IMPORTRANGE(""https://docs.google.com/spreadsheets/d/14Bd19lYaqBhU8_DElYkX7l4wRkHqqCUFNJY4AfY3kHU/edit?usp=sharing  #gid=0"",""фіз особи new!relations_name""),6,FALSE)
,
(IF
(
G1908=""юридична особа""
,
VLOOKUP"&amp;"(H1908,IMPORTRANGE(""https://docs.google.com/spreadsheets/d/14Bd19lYaqBhU8_DElYkX7l4wRkHqqCUFNJY4AfY3kHU/edit?usp=sharing  #gid=0"",""фіз особи new!relations_name_uo""),7,FALSE)
,
)
))"),"#N/A")</f>
        <v>#N/A</v>
      </c>
      <c r="J1907" s="7" t="s">
        <v>65</v>
      </c>
    </row>
    <row r="1908" spans="1:10" ht="13.2">
      <c r="A1908" s="7">
        <v>1907</v>
      </c>
      <c r="B1908" s="7">
        <v>1</v>
      </c>
      <c r="C1908" s="7" t="s">
        <v>10</v>
      </c>
      <c r="D1908" s="7">
        <v>590</v>
      </c>
      <c r="E1908" s="7" t="s">
        <v>11</v>
      </c>
      <c r="F1908" s="8" t="str">
        <f ca="1">IFERROR(__xludf.DUMMYFUNCTION("IF
(
C1909=""фізична особа""
,
VLOOKUP(D1909,IMPORTRANGE(""https://docs.google.com/spreadsheets/d/14Bd19lYaqBhU8_DElYkX7l4wRkHqqCUFNJY4AfY3kHU/edit?usp=sharing  #gid=0"",""фіз особи new!relations_name""),6,FALSE)
,
(IF
(
C1909=""юридична особа""
,
VLOOKUP"&amp;"(D1909,IMPORTRANGE(""https://docs.google.com/spreadsheets/d/14Bd19lYaqBhU8_DElYkX7l4wRkHqqCUFNJY4AfY3kHU/edit?usp=sharing  #gid=0"",""фіз особи new!relations_name_uo""),7,FALSE)
,
)
))"),"САМОКУТЯЄВ Олександр Михайлович")</f>
        <v>САМОКУТЯЄВ Олександр Михайлович</v>
      </c>
      <c r="G1908" s="7" t="s">
        <v>10</v>
      </c>
      <c r="H1908" s="7">
        <v>0</v>
      </c>
      <c r="I1908" s="8" t="str">
        <f ca="1">IFERROR(__xludf.DUMMYFUNCTION("IF
(
G1909=""фізична особа""
,
VLOOKUP(H1909,IMPORTRANGE(""https://docs.google.com/spreadsheets/d/14Bd19lYaqBhU8_DElYkX7l4wRkHqqCUFNJY4AfY3kHU/edit?usp=sharing  #gid=0"",""фіз особи new!relations_name""),6,FALSE)
,
(IF
(
G1909=""юридична особа""
,
VLOOKUP"&amp;"(H1909,IMPORTRANGE(""https://docs.google.com/spreadsheets/d/14Bd19lYaqBhU8_DElYkX7l4wRkHqqCUFNJY4AfY3kHU/edit?usp=sharing  #gid=0"",""фіз особи new!relations_name_uo""),7,FALSE)
,
)
))"),"#N/A")</f>
        <v>#N/A</v>
      </c>
      <c r="J1908" s="7" t="s">
        <v>11</v>
      </c>
    </row>
    <row r="1909" spans="1:10" ht="13.2">
      <c r="A1909" s="7">
        <v>1908</v>
      </c>
      <c r="B1909" s="7">
        <v>1</v>
      </c>
      <c r="C1909" s="7" t="s">
        <v>10</v>
      </c>
      <c r="D1909" s="7">
        <v>591</v>
      </c>
      <c r="E1909" s="7" t="s">
        <v>17</v>
      </c>
      <c r="F1909" s="8" t="str">
        <f ca="1">IFERROR(__xludf.DUMMYFUNCTION("IF
(
C1910=""фізична особа""
,
VLOOKUP(D1910,IMPORTRANGE(""https://docs.google.com/spreadsheets/d/14Bd19lYaqBhU8_DElYkX7l4wRkHqqCUFNJY4AfY3kHU/edit?usp=sharing  #gid=0"",""фіз особи new!relations_name""),6,FALSE)
,
(IF
(
C1910=""юридична особа""
,
VLOOKUP"&amp;"(D1910,IMPORTRANGE(""https://docs.google.com/spreadsheets/d/14Bd19lYaqBhU8_DElYkX7l4wRkHqqCUFNJY4AfY3kHU/edit?usp=sharing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09" s="7" t="s">
        <v>10</v>
      </c>
      <c r="H1909" s="7">
        <v>0</v>
      </c>
      <c r="I1909" s="8" t="str">
        <f ca="1">IFERROR(__xludf.DUMMYFUNCTION("IF
(
G1910=""фізична особа""
,
VLOOKUP(H1910,IMPORTRANGE(""https://docs.google.com/spreadsheets/d/14Bd19lYaqBhU8_DElYkX7l4wRkHqqCUFNJY4AfY3kHU/edit?usp=sharing  #gid=0"",""фіз особи new!relations_name""),6,FALSE)
,
(IF
(
G1910=""юридична особа""
,
VLOOKUP"&amp;"(H1910,IMPORTRANGE(""https://docs.google.com/spreadsheets/d/14Bd19lYaqBhU8_DElYkX7l4wRkHqqCUFNJY4AfY3kHU/edit?usp=sharing  #gid=0"",""фіз особи new!relations_name_uo""),7,FALSE)
,
)
))"),"#N/A")</f>
        <v>#N/A</v>
      </c>
      <c r="J1909" s="7" t="s">
        <v>21</v>
      </c>
    </row>
    <row r="1910" spans="1:10" ht="13.2">
      <c r="A1910" s="7">
        <v>1909</v>
      </c>
      <c r="B1910" s="7">
        <v>1</v>
      </c>
      <c r="C1910" s="7" t="s">
        <v>10</v>
      </c>
      <c r="D1910" s="7">
        <v>591</v>
      </c>
      <c r="E1910" s="7" t="s">
        <v>17</v>
      </c>
      <c r="F1910" s="8" t="str">
        <f ca="1">IFERROR(__xludf.DUMMYFUNCTION("IF
(
C1911=""фізична особа""
,
VLOOKUP(D1911,IMPORTRANGE(""https://docs.google.com/spreadsheets/d/14Bd19lYaqBhU8_DElYkX7l4wRkHqqCUFNJY4AfY3kHU/edit?usp=sharing  #gid=0"",""фіз особи new!relations_name""),6,FALSE)
,
(IF
(
C1911=""юридична особа""
,
VLOOKUP"&amp;"(D1911,IMPORTRANGE(""https://docs.google.com/spreadsheets/d/14Bd19lYaqBhU8_DElYkX7l4wRkHqqCUFNJY4AfY3kHU/edit?usp=sharing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10" s="7" t="s">
        <v>10</v>
      </c>
      <c r="H1910" s="7">
        <v>203</v>
      </c>
      <c r="I1910" s="8" t="str">
        <f ca="1">IFERROR(__xludf.DUMMYFUNCTION("IF
(
G1911=""фізична особа""
,
VLOOKUP(H1911,IMPORTRANGE(""https://docs.google.com/spreadsheets/d/14Bd19lYaqBhU8_DElYkX7l4wRkHqqCUFNJY4AfY3kHU/edit?usp=sharing  #gid=0"",""фіз особи new!relations_name""),6,FALSE)
,
(IF
(
G1911=""юридична особа""
,
VLOOKUP"&amp;"(H1911,IMPORTRANGE(""https://docs.google.com/spreadsheets/d/14Bd19lYaqBhU8_DElYkX7l4wRkHqqCUFNJY4AfY3kHU/edit?usp=sharing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J1910" s="7" t="s">
        <v>12</v>
      </c>
    </row>
    <row r="1911" spans="1:10" ht="13.2">
      <c r="A1911" s="7">
        <v>1910</v>
      </c>
      <c r="B1911" s="7">
        <v>1</v>
      </c>
      <c r="C1911" s="7" t="s">
        <v>10</v>
      </c>
      <c r="D1911" s="7">
        <v>591</v>
      </c>
      <c r="E1911" s="7" t="s">
        <v>18</v>
      </c>
      <c r="F1911" s="8" t="str">
        <f ca="1">IFERROR(__xludf.DUMMYFUNCTION("IF
(
C1912=""фізична особа""
,
VLOOKUP(D1912,IMPORTRANGE(""https://docs.google.com/spreadsheets/d/14Bd19lYaqBhU8_DElYkX7l4wRkHqqCUFNJY4AfY3kHU/edit?usp=sharing  #gid=0"",""фіз особи new!relations_name""),6,FALSE)
,
(IF
(
C1912=""юридична особа""
,
VLOOKUP"&amp;"(D1912,IMPORTRANGE(""https://docs.google.com/spreadsheets/d/14Bd19lYaqBhU8_DElYkX7l4wRkHqqCUFNJY4AfY3kHU/edit?usp=sharing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11" s="7" t="s">
        <v>10</v>
      </c>
      <c r="H1911" s="7">
        <v>23426</v>
      </c>
      <c r="I1911" s="8" t="str">
        <f ca="1">IFERROR(__xludf.DUMMYFUNCTION("IF
(
G1912=""фізична особа""
,
VLOOKUP(H1912,IMPORTRANGE(""https://docs.google.com/spreadsheets/d/14Bd19lYaqBhU8_DElYkX7l4wRkHqqCUFNJY4AfY3kHU/edit?usp=sharing  #gid=0"",""фіз особи new!relations_name""),6,FALSE)
,
(IF
(
G1912=""юридична особа""
,
VLOOKUP"&amp;"(H1912,IMPORTRANGE(""https://docs.google.com/spreadsheets/d/14Bd19lYaqBhU8_DElYkX7l4wRkHqqCUFNJY4AfY3kHU/edit?usp=sharing  #gid=0"",""фіз особи new!relations_name_uo""),7,FALSE)
,
)
))"),"ПЄСКОВ Мік Дмитрович")</f>
        <v>ПЄСКОВ Мік Дмитрович</v>
      </c>
      <c r="J1911" s="7" t="s">
        <v>18</v>
      </c>
    </row>
    <row r="1912" spans="1:10" ht="13.2">
      <c r="A1912" s="7">
        <v>1911</v>
      </c>
      <c r="B1912" s="7">
        <v>1</v>
      </c>
      <c r="C1912" s="7" t="s">
        <v>10</v>
      </c>
      <c r="D1912" s="7">
        <v>591</v>
      </c>
      <c r="E1912" s="7" t="s">
        <v>18</v>
      </c>
      <c r="F1912" s="8" t="str">
        <f ca="1">IFERROR(__xludf.DUMMYFUNCTION("IF
(
C1913=""фізична особа""
,
VLOOKUP(D1913,IMPORTRANGE(""https://docs.google.com/spreadsheets/d/14Bd19lYaqBhU8_DElYkX7l4wRkHqqCUFNJY4AfY3kHU/edit?usp=sharing  #gid=0"",""фіз особи new!relations_name""),6,FALSE)
,
(IF
(
C1913=""юридична особа""
,
VLOOKUP"&amp;"(D1913,IMPORTRANGE(""https://docs.google.com/spreadsheets/d/14Bd19lYaqBhU8_DElYkX7l4wRkHqqCUFNJY4AfY3kHU/edit?usp=sharing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12" s="7" t="s">
        <v>10</v>
      </c>
      <c r="H1912" s="7">
        <v>2042</v>
      </c>
      <c r="I1912" s="8" t="str">
        <f ca="1">IFERROR(__xludf.DUMMYFUNCTION("IF
(
G1913=""фізична особа""
,
VLOOKUP(H1913,IMPORTRANGE(""https://docs.google.com/spreadsheets/d/14Bd19lYaqBhU8_DElYkX7l4wRkHqqCUFNJY4AfY3kHU/edit?usp=sharing  #gid=0"",""фіз особи new!relations_name""),6,FALSE)
,
(IF
(
G1913=""юридична особа""
,
VLOOKUP"&amp;"(H1913,IMPORTRANGE(""https://docs.google.com/spreadsheets/d/14Bd19lYaqBhU8_DElYkX7l4wRkHqqCUFNJY4AfY3kHU/edit?usp=sharing  #gid=0"",""фіз особи new!relations_name_uo""),7,FALSE)
,
)
))"),"ПЄСКОВ Дені Дмитрович")</f>
        <v>ПЄСКОВ Дені Дмитрович</v>
      </c>
      <c r="J1912" s="7" t="s">
        <v>18</v>
      </c>
    </row>
    <row r="1913" spans="1:10" ht="13.2">
      <c r="A1913" s="7">
        <v>1912</v>
      </c>
      <c r="B1913" s="7">
        <v>1</v>
      </c>
      <c r="C1913" s="7" t="s">
        <v>10</v>
      </c>
      <c r="D1913" s="7">
        <v>591</v>
      </c>
      <c r="E1913" s="7" t="s">
        <v>18</v>
      </c>
      <c r="F1913" s="8" t="str">
        <f ca="1">IFERROR(__xludf.DUMMYFUNCTION("IF
(
C1914=""фізична особа""
,
VLOOKUP(D1914,IMPORTRANGE(""https://docs.google.com/spreadsheets/d/14Bd19lYaqBhU8_DElYkX7l4wRkHqqCUFNJY4AfY3kHU/edit?usp=sharing  #gid=0"",""фіз особи new!relations_name""),6,FALSE)
,
(IF
(
C1914=""юридична особа""
,
VLOOKUP"&amp;"(D1914,IMPORTRANGE(""https://docs.google.com/spreadsheets/d/14Bd19lYaqBhU8_DElYkX7l4wRkHqqCUFNJY4AfY3kHU/edit?usp=sharing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13" s="7" t="s">
        <v>10</v>
      </c>
      <c r="H1913" s="7">
        <v>2041</v>
      </c>
      <c r="I1913" s="8" t="str">
        <f ca="1">IFERROR(__xludf.DUMMYFUNCTION("IF
(
G1914=""фізична особа""
,
VLOOKUP(H1914,IMPORTRANGE(""https://docs.google.com/spreadsheets/d/14Bd19lYaqBhU8_DElYkX7l4wRkHqqCUFNJY4AfY3kHU/edit?usp=sharing  #gid=0"",""фіз особи new!relations_name""),6,FALSE)
,
(IF
(
G1914=""юридична особа""
,
VLOOKUP"&amp;"(H1914,IMPORTRANGE(""https://docs.google.com/spreadsheets/d/14Bd19lYaqBhU8_DElYkX7l4wRkHqqCUFNJY4AfY3kHU/edit?usp=sharing  #gid=0"",""фіз особи new!relations_name_uo""),7,FALSE)
,
)
))"),"ПЄСКОВА Надія Дмитрівна")</f>
        <v>ПЄСКОВА Надія Дмитрівна</v>
      </c>
      <c r="J1913" s="7" t="s">
        <v>31</v>
      </c>
    </row>
    <row r="1914" spans="1:10" ht="13.2">
      <c r="A1914" s="7">
        <v>1913</v>
      </c>
      <c r="B1914" s="7">
        <v>1</v>
      </c>
      <c r="C1914" s="7" t="s">
        <v>10</v>
      </c>
      <c r="D1914" s="7">
        <v>591</v>
      </c>
      <c r="E1914" s="7" t="s">
        <v>18</v>
      </c>
      <c r="F1914" s="8" t="str">
        <f ca="1">IFERROR(__xludf.DUMMYFUNCTION("IF
(
C1915=""фізична особа""
,
VLOOKUP(D1915,IMPORTRANGE(""https://docs.google.com/spreadsheets/d/14Bd19lYaqBhU8_DElYkX7l4wRkHqqCUFNJY4AfY3kHU/edit?usp=sharing  #gid=0"",""фіз особи new!relations_name""),6,FALSE)
,
(IF
(
C1915=""юридична особа""
,
VLOOKUP"&amp;"(D1915,IMPORTRANGE(""https://docs.google.com/spreadsheets/d/14Bd19lYaqBhU8_DElYkX7l4wRkHqqCUFNJY4AfY3kHU/edit?usp=sharing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G1914" s="7" t="s">
        <v>10</v>
      </c>
      <c r="H1914" s="7">
        <v>592</v>
      </c>
      <c r="I1914" s="8" t="str">
        <f ca="1">IFERROR(__xludf.DUMMYFUNCTION("IF
(
G1915=""фізична особа""
,
VLOOKUP(H1915,IMPORTRANGE(""https://docs.google.com/spreadsheets/d/14Bd19lYaqBhU8_DElYkX7l4wRkHqqCUFNJY4AfY3kHU/edit?usp=sharing  #gid=0"",""фіз особи new!relations_name""),6,FALSE)
,
(IF
(
G1915=""юридична особа""
,
VLOOKUP"&amp;"(H1915,IMPORTRANGE(""https://docs.google.com/spreadsheets/d/14Bd19lYaqBhU8_DElYkX7l4wRkHqqCUFNJY4AfY3kHU/edit?usp=sharing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J1914" s="7" t="s">
        <v>31</v>
      </c>
    </row>
    <row r="1915" spans="1:10" ht="13.2">
      <c r="A1915" s="7">
        <v>1914</v>
      </c>
      <c r="B1915" s="7">
        <v>1</v>
      </c>
      <c r="C1915" s="7" t="s">
        <v>10</v>
      </c>
      <c r="D1915" s="7">
        <v>592</v>
      </c>
      <c r="E1915" s="7" t="s">
        <v>31</v>
      </c>
      <c r="F1915" s="8" t="str">
        <f ca="1">IFERROR(__xludf.DUMMYFUNCTION("IF
(
C1916=""фізична особа""
,
VLOOKUP(D1916,IMPORTRANGE(""https://docs.google.com/spreadsheets/d/14Bd19lYaqBhU8_DElYkX7l4wRkHqqCUFNJY4AfY3kHU/edit?usp=sharing  #gid=0"",""фіз особи new!relations_name""),6,FALSE)
,
(IF
(
C1916=""юридична особа""
,
VLOOKUP"&amp;"(D1916,IMPORTRANGE(""https://docs.google.com/spreadsheets/d/14Bd19lYaqBhU8_DElYkX7l4wRkHqqCUFNJY4AfY3kHU/edit?usp=sharing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15" s="7" t="s">
        <v>10</v>
      </c>
      <c r="H1915" s="7">
        <v>591</v>
      </c>
      <c r="I1915" s="8" t="str">
        <f ca="1">IFERROR(__xludf.DUMMYFUNCTION("IF
(
G1916=""фізична особа""
,
VLOOKUP(H1916,IMPORTRANGE(""https://docs.google.com/spreadsheets/d/14Bd19lYaqBhU8_DElYkX7l4wRkHqqCUFNJY4AfY3kHU/edit?usp=sharing  #gid=0"",""фіз особи new!relations_name""),6,FALSE)
,
(IF
(
G1916=""юридична особа""
,
VLOOKUP"&amp;"(H1916,IMPORTRANGE(""https://docs.google.com/spreadsheets/d/14Bd19lYaqBhU8_DElYkX7l4wRkHqqCUFNJY4AfY3kHU/edit?usp=sharing  #gid=0"",""фіз особи new!relations_name_uo""),7,FALSE)
,
)
))"),"ПЄСКОВ Микола Дмитрович")</f>
        <v>ПЄСКОВ Микола Дмитрович</v>
      </c>
      <c r="J1915" s="7" t="s">
        <v>18</v>
      </c>
    </row>
    <row r="1916" spans="1:10" ht="13.2">
      <c r="A1916" s="7">
        <v>1915</v>
      </c>
      <c r="B1916" s="7">
        <v>1</v>
      </c>
      <c r="C1916" s="7" t="s">
        <v>10</v>
      </c>
      <c r="D1916" s="7">
        <v>592</v>
      </c>
      <c r="E1916" s="7" t="s">
        <v>13</v>
      </c>
      <c r="F1916" s="8" t="str">
        <f ca="1">IFERROR(__xludf.DUMMYFUNCTION("IF
(
C1917=""фізична особа""
,
VLOOKUP(D1917,IMPORTRANGE(""https://docs.google.com/spreadsheets/d/14Bd19lYaqBhU8_DElYkX7l4wRkHqqCUFNJY4AfY3kHU/edit?usp=sharing  #gid=0"",""фіз особи new!relations_name""),6,FALSE)
,
(IF
(
C1917=""юридична особа""
,
VLOOKUP"&amp;"(D1917,IMPORTRANGE(""https://docs.google.com/spreadsheets/d/14Bd19lYaqBhU8_DElYkX7l4wRkHqqCUFNJY4AfY3kHU/edit?usp=sharing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16" s="7" t="s">
        <v>10</v>
      </c>
      <c r="H1916" s="7">
        <v>203</v>
      </c>
      <c r="I1916" s="8" t="str">
        <f ca="1">IFERROR(__xludf.DUMMYFUNCTION("IF
(
G1917=""фізична особа""
,
VLOOKUP(H1917,IMPORTRANGE(""https://docs.google.com/spreadsheets/d/14Bd19lYaqBhU8_DElYkX7l4wRkHqqCUFNJY4AfY3kHU/edit?usp=sharing  #gid=0"",""фіз особи new!relations_name""),6,FALSE)
,
(IF
(
G1917=""юридична особа""
,
VLOOKUP"&amp;"(H1917,IMPORTRANGE(""https://docs.google.com/spreadsheets/d/14Bd19lYaqBhU8_DElYkX7l4wRkHqqCUFNJY4AfY3kHU/edit?usp=sharing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J1916" s="7" t="s">
        <v>12</v>
      </c>
    </row>
    <row r="1917" spans="1:10" ht="13.2">
      <c r="A1917" s="7">
        <v>1916</v>
      </c>
      <c r="B1917" s="7">
        <v>1</v>
      </c>
      <c r="C1917" s="7" t="s">
        <v>10</v>
      </c>
      <c r="D1917" s="7">
        <v>592</v>
      </c>
      <c r="E1917" s="7" t="s">
        <v>31</v>
      </c>
      <c r="F1917" s="8" t="str">
        <f ca="1">IFERROR(__xludf.DUMMYFUNCTION("IF
(
C1918=""фізична особа""
,
VLOOKUP(D1918,IMPORTRANGE(""https://docs.google.com/spreadsheets/d/14Bd19lYaqBhU8_DElYkX7l4wRkHqqCUFNJY4AfY3kHU/edit?usp=sharing  #gid=0"",""фіз особи new!relations_name""),6,FALSE)
,
(IF
(
C1918=""юридична особа""
,
VLOOKUP"&amp;"(D1918,IMPORTRANGE(""https://docs.google.com/spreadsheets/d/14Bd19lYaqBhU8_DElYkX7l4wRkHqqCUFNJY4AfY3kHU/edit?usp=sharing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17" s="7" t="s">
        <v>10</v>
      </c>
      <c r="H1917" s="7">
        <v>23426</v>
      </c>
      <c r="I1917" s="8" t="str">
        <f ca="1">IFERROR(__xludf.DUMMYFUNCTION("IF
(
G1918=""фізична особа""
,
VLOOKUP(H1918,IMPORTRANGE(""https://docs.google.com/spreadsheets/d/14Bd19lYaqBhU8_DElYkX7l4wRkHqqCUFNJY4AfY3kHU/edit?usp=sharing  #gid=0"",""фіз особи new!relations_name""),6,FALSE)
,
(IF
(
G1918=""юридична особа""
,
VLOOKUP"&amp;"(H1918,IMPORTRANGE(""https://docs.google.com/spreadsheets/d/14Bd19lYaqBhU8_DElYkX7l4wRkHqqCUFNJY4AfY3kHU/edit?usp=sharing  #gid=0"",""фіз особи new!relations_name_uo""),7,FALSE)
,
)
))"),"ПЄСКОВ Мік Дмитрович")</f>
        <v>ПЄСКОВ Мік Дмитрович</v>
      </c>
      <c r="J1917" s="7" t="s">
        <v>18</v>
      </c>
    </row>
    <row r="1918" spans="1:10" ht="13.2">
      <c r="A1918" s="7">
        <v>1917</v>
      </c>
      <c r="B1918" s="7">
        <v>1</v>
      </c>
      <c r="C1918" s="7" t="s">
        <v>10</v>
      </c>
      <c r="D1918" s="7">
        <v>592</v>
      </c>
      <c r="E1918" s="7" t="s">
        <v>81</v>
      </c>
      <c r="F1918" s="8" t="str">
        <f ca="1">IFERROR(__xludf.DUMMYFUNCTION("IF
(
C1919=""фізична особа""
,
VLOOKUP(D1919,IMPORTRANGE(""https://docs.google.com/spreadsheets/d/14Bd19lYaqBhU8_DElYkX7l4wRkHqqCUFNJY4AfY3kHU/edit?usp=sharing  #gid=0"",""фіз особи new!relations_name""),6,FALSE)
,
(IF
(
C1919=""юридична особа""
,
VLOOKUP"&amp;"(D1919,IMPORTRANGE(""https://docs.google.com/spreadsheets/d/14Bd19lYaqBhU8_DElYkX7l4wRkHqqCUFNJY4AfY3kHU/edit?usp=sharing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18" s="7" t="s">
        <v>10</v>
      </c>
      <c r="H1918" s="7">
        <v>2042</v>
      </c>
      <c r="I1918" s="8" t="str">
        <f ca="1">IFERROR(__xludf.DUMMYFUNCTION("IF
(
G1919=""фізична особа""
,
VLOOKUP(H1919,IMPORTRANGE(""https://docs.google.com/spreadsheets/d/14Bd19lYaqBhU8_DElYkX7l4wRkHqqCUFNJY4AfY3kHU/edit?usp=sharing  #gid=0"",""фіз особи new!relations_name""),6,FALSE)
,
(IF
(
G1919=""юридична особа""
,
VLOOKUP"&amp;"(H1919,IMPORTRANGE(""https://docs.google.com/spreadsheets/d/14Bd19lYaqBhU8_DElYkX7l4wRkHqqCUFNJY4AfY3kHU/edit?usp=sharing  #gid=0"",""фіз особи new!relations_name_uo""),7,FALSE)
,
)
))"),"ПЄСКОВ Дені Дмитрович")</f>
        <v>ПЄСКОВ Дені Дмитрович</v>
      </c>
      <c r="J1918" s="7" t="s">
        <v>18</v>
      </c>
    </row>
    <row r="1919" spans="1:10" ht="13.2">
      <c r="A1919" s="7">
        <v>1918</v>
      </c>
      <c r="B1919" s="7">
        <v>1</v>
      </c>
      <c r="C1919" s="7" t="s">
        <v>10</v>
      </c>
      <c r="D1919" s="7">
        <v>592</v>
      </c>
      <c r="E1919" s="7" t="s">
        <v>31</v>
      </c>
      <c r="F1919" s="8" t="str">
        <f ca="1">IFERROR(__xludf.DUMMYFUNCTION("IF
(
C1920=""фізична особа""
,
VLOOKUP(D1920,IMPORTRANGE(""https://docs.google.com/spreadsheets/d/14Bd19lYaqBhU8_DElYkX7l4wRkHqqCUFNJY4AfY3kHU/edit?usp=sharing  #gid=0"",""фіз особи new!relations_name""),6,FALSE)
,
(IF
(
C1920=""юридична особа""
,
VLOOKUP"&amp;"(D1920,IMPORTRANGE(""https://docs.google.com/spreadsheets/d/14Bd19lYaqBhU8_DElYkX7l4wRkHqqCUFNJY4AfY3kHU/edit?usp=sharing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19" s="7" t="s">
        <v>10</v>
      </c>
      <c r="H1919" s="7">
        <v>2041</v>
      </c>
      <c r="I1919" s="8" t="str">
        <f ca="1">IFERROR(__xludf.DUMMYFUNCTION("IF
(
G1920=""фізична особа""
,
VLOOKUP(H1920,IMPORTRANGE(""https://docs.google.com/spreadsheets/d/14Bd19lYaqBhU8_DElYkX7l4wRkHqqCUFNJY4AfY3kHU/edit?usp=sharing  #gid=0"",""фіз особи new!relations_name""),6,FALSE)
,
(IF
(
G1920=""юридична особа""
,
VLOOKUP"&amp;"(H1920,IMPORTRANGE(""https://docs.google.com/spreadsheets/d/14Bd19lYaqBhU8_DElYkX7l4wRkHqqCUFNJY4AfY3kHU/edit?usp=sharing  #gid=0"",""фіз особи new!relations_name_uo""),7,FALSE)
,
)
))"),"ПЄСКОВА Надія Дмитрівна")</f>
        <v>ПЄСКОВА Надія Дмитрівна</v>
      </c>
      <c r="J1919" s="7" t="s">
        <v>31</v>
      </c>
    </row>
    <row r="1920" spans="1:10" ht="13.2">
      <c r="A1920" s="7">
        <v>1919</v>
      </c>
      <c r="B1920" s="7">
        <v>1</v>
      </c>
      <c r="C1920" s="7" t="s">
        <v>10</v>
      </c>
      <c r="D1920" s="7">
        <v>592</v>
      </c>
      <c r="E1920" s="7" t="s">
        <v>13</v>
      </c>
      <c r="F1920" s="8" t="str">
        <f ca="1">IFERROR(__xludf.DUMMYFUNCTION("IF
(
C1921=""фізична особа""
,
VLOOKUP(D1921,IMPORTRANGE(""https://docs.google.com/spreadsheets/d/14Bd19lYaqBhU8_DElYkX7l4wRkHqqCUFNJY4AfY3kHU/edit?usp=sharing  #gid=0"",""фіз особи new!relations_name""),6,FALSE)
,
(IF
(
C1921=""юридична особа""
,
VLOOKUP"&amp;"(D1921,IMPORTRANGE(""https://docs.google.com/spreadsheets/d/14Bd19lYaqBhU8_DElYkX7l4wRkHqqCUFNJY4AfY3kHU/edit?usp=sharing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20" s="7" t="s">
        <v>10</v>
      </c>
      <c r="H1920" s="7">
        <v>0</v>
      </c>
      <c r="I1920" s="8" t="str">
        <f ca="1">IFERROR(__xludf.DUMMYFUNCTION("IF
(
G1921=""фізична особа""
,
VLOOKUP(H1921,IMPORTRANGE(""https://docs.google.com/spreadsheets/d/14Bd19lYaqBhU8_DElYkX7l4wRkHqqCUFNJY4AfY3kHU/edit?usp=sharing  #gid=0"",""фіз особи new!relations_name""),6,FALSE)
,
(IF
(
G1921=""юридична особа""
,
VLOOKUP"&amp;"(H1921,IMPORTRANGE(""https://docs.google.com/spreadsheets/d/14Bd19lYaqBhU8_DElYkX7l4wRkHqqCUFNJY4AfY3kHU/edit?usp=sharing  #gid=0"",""фіз особи new!relations_name_uo""),7,FALSE)
,
)
))"),"#N/A")</f>
        <v>#N/A</v>
      </c>
      <c r="J1920" s="7" t="s">
        <v>21</v>
      </c>
    </row>
    <row r="1921" spans="1:10" ht="13.2">
      <c r="A1921" s="7">
        <v>1920</v>
      </c>
      <c r="B1921" s="7">
        <v>1</v>
      </c>
      <c r="C1921" s="7" t="s">
        <v>10</v>
      </c>
      <c r="D1921" s="7">
        <v>592</v>
      </c>
      <c r="E1921" s="7" t="s">
        <v>11</v>
      </c>
      <c r="F1921" s="8" t="str">
        <f ca="1">IFERROR(__xludf.DUMMYFUNCTION("IF
(
C1922=""фізична особа""
,
VLOOKUP(D1922,IMPORTRANGE(""https://docs.google.com/spreadsheets/d/14Bd19lYaqBhU8_DElYkX7l4wRkHqqCUFNJY4AfY3kHU/edit?usp=sharing  #gid=0"",""фіз особи new!relations_name""),6,FALSE)
,
(IF
(
C1922=""юридична особа""
,
VLOOKUP"&amp;"(D1922,IMPORTRANGE(""https://docs.google.com/spreadsheets/d/14Bd19lYaqBhU8_DElYkX7l4wRkHqqCUFNJY4AfY3kHU/edit?usp=sharing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21" s="7" t="s">
        <v>10</v>
      </c>
      <c r="H1921" s="7">
        <v>0</v>
      </c>
      <c r="I1921" s="8" t="str">
        <f ca="1">IFERROR(__xludf.DUMMYFUNCTION("IF
(
G1922=""фізична особа""
,
VLOOKUP(H1922,IMPORTRANGE(""https://docs.google.com/spreadsheets/d/14Bd19lYaqBhU8_DElYkX7l4wRkHqqCUFNJY4AfY3kHU/edit?usp=sharing  #gid=0"",""фіз особи new!relations_name""),6,FALSE)
,
(IF
(
G1922=""юридична особа""
,
VLOOKUP"&amp;"(H1922,IMPORTRANGE(""https://docs.google.com/spreadsheets/d/14Bd19lYaqBhU8_DElYkX7l4wRkHqqCUFNJY4AfY3kHU/edit?usp=sharing  #gid=0"",""фіз особи new!relations_name_uo""),7,FALSE)
,
)
))"),"#N/A")</f>
        <v>#N/A</v>
      </c>
      <c r="J1921" s="7" t="s">
        <v>11</v>
      </c>
    </row>
    <row r="1922" spans="1:10" ht="13.2">
      <c r="A1922" s="7">
        <v>1921</v>
      </c>
      <c r="B1922" s="7">
        <v>1</v>
      </c>
      <c r="C1922" s="7" t="s">
        <v>10</v>
      </c>
      <c r="D1922" s="7">
        <v>592</v>
      </c>
      <c r="E1922" s="7" t="s">
        <v>11</v>
      </c>
      <c r="F1922" s="8" t="str">
        <f ca="1">IFERROR(__xludf.DUMMYFUNCTION("IF
(
C1923=""фізична особа""
,
VLOOKUP(D1923,IMPORTRANGE(""https://docs.google.com/spreadsheets/d/14Bd19lYaqBhU8_DElYkX7l4wRkHqqCUFNJY4AfY3kHU/edit?usp=sharing  #gid=0"",""фіз особи new!relations_name""),6,FALSE)
,
(IF
(
C1923=""юридична особа""
,
VLOOKUP"&amp;"(D1923,IMPORTRANGE(""https://docs.google.com/spreadsheets/d/14Bd19lYaqBhU8_DElYkX7l4wRkHqqCUFNJY4AfY3kHU/edit?usp=sharing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22" s="7" t="s">
        <v>10</v>
      </c>
      <c r="H1922" s="7">
        <v>0</v>
      </c>
      <c r="I1922" s="8" t="str">
        <f ca="1">IFERROR(__xludf.DUMMYFUNCTION("IF
(
G1923=""фізична особа""
,
VLOOKUP(H1923,IMPORTRANGE(""https://docs.google.com/spreadsheets/d/14Bd19lYaqBhU8_DElYkX7l4wRkHqqCUFNJY4AfY3kHU/edit?usp=sharing  #gid=0"",""фіз особи new!relations_name""),6,FALSE)
,
(IF
(
G1923=""юридична особа""
,
VLOOKUP"&amp;"(H1923,IMPORTRANGE(""https://docs.google.com/spreadsheets/d/14Bd19lYaqBhU8_DElYkX7l4wRkHqqCUFNJY4AfY3kHU/edit?usp=sharing  #gid=0"",""фіз особи new!relations_name_uo""),7,FALSE)
,
)
))"),"#N/A")</f>
        <v>#N/A</v>
      </c>
      <c r="J1922" s="7" t="s">
        <v>11</v>
      </c>
    </row>
    <row r="1923" spans="1:10" ht="13.2">
      <c r="A1923" s="7">
        <v>1922</v>
      </c>
      <c r="B1923" s="7">
        <v>1</v>
      </c>
      <c r="C1923" s="7" t="s">
        <v>10</v>
      </c>
      <c r="D1923" s="7">
        <v>592</v>
      </c>
      <c r="E1923" s="7" t="s">
        <v>11</v>
      </c>
      <c r="F1923" s="8" t="str">
        <f ca="1">IFERROR(__xludf.DUMMYFUNCTION("IF
(
C1924=""фізична особа""
,
VLOOKUP(D1924,IMPORTRANGE(""https://docs.google.com/spreadsheets/d/14Bd19lYaqBhU8_DElYkX7l4wRkHqqCUFNJY4AfY3kHU/edit?usp=sharing  #gid=0"",""фіз особи new!relations_name""),6,FALSE)
,
(IF
(
C1924=""юридична особа""
,
VLOOKUP"&amp;"(D1924,IMPORTRANGE(""https://docs.google.com/spreadsheets/d/14Bd19lYaqBhU8_DElYkX7l4wRkHqqCUFNJY4AfY3kHU/edit?usp=sharing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23" s="7" t="s">
        <v>10</v>
      </c>
      <c r="H1923" s="7">
        <v>0</v>
      </c>
      <c r="I1923" s="8" t="str">
        <f ca="1">IFERROR(__xludf.DUMMYFUNCTION("IF
(
G1924=""фізична особа""
,
VLOOKUP(H1924,IMPORTRANGE(""https://docs.google.com/spreadsheets/d/14Bd19lYaqBhU8_DElYkX7l4wRkHqqCUFNJY4AfY3kHU/edit?usp=sharing  #gid=0"",""фіз особи new!relations_name""),6,FALSE)
,
(IF
(
G1924=""юридична особа""
,
VLOOKUP"&amp;"(H1924,IMPORTRANGE(""https://docs.google.com/spreadsheets/d/14Bd19lYaqBhU8_DElYkX7l4wRkHqqCUFNJY4AfY3kHU/edit?usp=sharing  #gid=0"",""фіз особи new!relations_name_uo""),7,FALSE)
,
)
))"),"#N/A")</f>
        <v>#N/A</v>
      </c>
      <c r="J1923" s="7" t="s">
        <v>11</v>
      </c>
    </row>
    <row r="1924" spans="1:10" ht="13.2">
      <c r="A1924" s="7">
        <v>1923</v>
      </c>
      <c r="B1924" s="7">
        <v>1</v>
      </c>
      <c r="C1924" s="7" t="s">
        <v>10</v>
      </c>
      <c r="D1924" s="7">
        <v>592</v>
      </c>
      <c r="E1924" s="7" t="s">
        <v>11</v>
      </c>
      <c r="F1924" s="8" t="str">
        <f ca="1">IFERROR(__xludf.DUMMYFUNCTION("IF
(
C1925=""фізична особа""
,
VLOOKUP(D1925,IMPORTRANGE(""https://docs.google.com/spreadsheets/d/14Bd19lYaqBhU8_DElYkX7l4wRkHqqCUFNJY4AfY3kHU/edit?usp=sharing  #gid=0"",""фіз особи new!relations_name""),6,FALSE)
,
(IF
(
C1925=""юридична особа""
,
VLOOKUP"&amp;"(D1925,IMPORTRANGE(""https://docs.google.com/spreadsheets/d/14Bd19lYaqBhU8_DElYkX7l4wRkHqqCUFNJY4AfY3kHU/edit?usp=sharing  #gid=0"",""фіз особи new!relations_name_uo""),7,FALSE)
,
)
))"),"ПЄСКОВА Єлизавета Дмитрівна")</f>
        <v>ПЄСКОВА Єлизавета Дмитрівна</v>
      </c>
      <c r="G1924" s="7" t="s">
        <v>10</v>
      </c>
      <c r="H1924" s="7">
        <v>0</v>
      </c>
      <c r="I1924" s="8" t="str">
        <f ca="1">IFERROR(__xludf.DUMMYFUNCTION("IF
(
G1925=""фізична особа""
,
VLOOKUP(H1925,IMPORTRANGE(""https://docs.google.com/spreadsheets/d/14Bd19lYaqBhU8_DElYkX7l4wRkHqqCUFNJY4AfY3kHU/edit?usp=sharing  #gid=0"",""фіз особи new!relations_name""),6,FALSE)
,
(IF
(
G1925=""юридична особа""
,
VLOOKUP"&amp;"(H1925,IMPORTRANGE(""https://docs.google.com/spreadsheets/d/14Bd19lYaqBhU8_DElYkX7l4wRkHqqCUFNJY4AfY3kHU/edit?usp=sharing  #gid=0"",""фіз особи new!relations_name_uo""),7,FALSE)
,
)
))"),"#N/A")</f>
        <v>#N/A</v>
      </c>
      <c r="J1924" s="7" t="s">
        <v>11</v>
      </c>
    </row>
    <row r="1925" spans="1:10" ht="13.2">
      <c r="A1925" s="7">
        <v>1924</v>
      </c>
      <c r="B1925" s="7">
        <v>1</v>
      </c>
      <c r="C1925" s="7" t="s">
        <v>10</v>
      </c>
      <c r="D1925" s="7">
        <v>593</v>
      </c>
      <c r="E1925" s="7" t="s">
        <v>18</v>
      </c>
      <c r="F1925" s="8" t="str">
        <f ca="1">IFERROR(__xludf.DUMMYFUNCTION("IF
(
C1926=""фізична особа""
,
VLOOKUP(D1926,IMPORTRANGE(""https://docs.google.com/spreadsheets/d/14Bd19lYaqBhU8_DElYkX7l4wRkHqqCUFNJY4AfY3kHU/edit?usp=sharing  #gid=0"",""фіз особи new!relations_name""),6,FALSE)
,
(IF
(
C1926=""юридична особа""
,
VLOOKUP"&amp;"(D1926,IMPORTRANGE(""https://docs.google.com/spreadsheets/d/14Bd19lYaqBhU8_DElYkX7l4wRkHqqCUFNJY4AfY3kHU/edit?usp=sharing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25" s="7" t="s">
        <v>10</v>
      </c>
      <c r="H1925" s="7">
        <v>0</v>
      </c>
      <c r="I1925" s="8" t="str">
        <f ca="1">IFERROR(__xludf.DUMMYFUNCTION("IF
(
G1926=""фізична особа""
,
VLOOKUP(H1926,IMPORTRANGE(""https://docs.google.com/spreadsheets/d/14Bd19lYaqBhU8_DElYkX7l4wRkHqqCUFNJY4AfY3kHU/edit?usp=sharing  #gid=0"",""фіз особи new!relations_name""),6,FALSE)
,
(IF
(
G1926=""юридична особа""
,
VLOOKUP"&amp;"(H1926,IMPORTRANGE(""https://docs.google.com/spreadsheets/d/14Bd19lYaqBhU8_DElYkX7l4wRkHqqCUFNJY4AfY3kHU/edit?usp=sharing  #gid=0"",""фіз особи new!relations_name_uo""),7,FALSE)
,
)
))"),"#N/A")</f>
        <v>#N/A</v>
      </c>
      <c r="J1925" s="7" t="s">
        <v>18</v>
      </c>
    </row>
    <row r="1926" spans="1:10" ht="13.2">
      <c r="A1926" s="7">
        <v>1925</v>
      </c>
      <c r="B1926" s="7">
        <v>1</v>
      </c>
      <c r="C1926" s="7" t="s">
        <v>10</v>
      </c>
      <c r="D1926" s="7">
        <v>593</v>
      </c>
      <c r="E1926" s="7" t="s">
        <v>73</v>
      </c>
      <c r="F1926" s="8" t="str">
        <f ca="1">IFERROR(__xludf.DUMMYFUNCTION("IF
(
C1927=""фізична особа""
,
VLOOKUP(D1927,IMPORTRANGE(""https://docs.google.com/spreadsheets/d/14Bd19lYaqBhU8_DElYkX7l4wRkHqqCUFNJY4AfY3kHU/edit?usp=sharing  #gid=0"",""фіз особи new!relations_name""),6,FALSE)
,
(IF
(
C1927=""юридична особа""
,
VLOOKUP"&amp;"(D1927,IMPORTRANGE(""https://docs.google.com/spreadsheets/d/14Bd19lYaqBhU8_DElYkX7l4wRkHqqCUFNJY4AfY3kHU/edit?usp=sharing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26" s="7" t="s">
        <v>10</v>
      </c>
      <c r="H1926" s="7">
        <v>0</v>
      </c>
      <c r="I1926" s="8" t="str">
        <f ca="1">IFERROR(__xludf.DUMMYFUNCTION("IF
(
G1927=""фізична особа""
,
VLOOKUP(H1927,IMPORTRANGE(""https://docs.google.com/spreadsheets/d/14Bd19lYaqBhU8_DElYkX7l4wRkHqqCUFNJY4AfY3kHU/edit?usp=sharing  #gid=0"",""фіз особи new!relations_name""),6,FALSE)
,
(IF
(
G1927=""юридична особа""
,
VLOOKUP"&amp;"(H1927,IMPORTRANGE(""https://docs.google.com/spreadsheets/d/14Bd19lYaqBhU8_DElYkX7l4wRkHqqCUFNJY4AfY3kHU/edit?usp=sharing  #gid=0"",""фіз особи new!relations_name_uo""),7,FALSE)
,
)
))"),"#N/A")</f>
        <v>#N/A</v>
      </c>
      <c r="J1926" s="7" t="s">
        <v>25</v>
      </c>
    </row>
    <row r="1927" spans="1:10" ht="13.2">
      <c r="A1927" s="7">
        <v>1926</v>
      </c>
      <c r="B1927" s="7">
        <v>1</v>
      </c>
      <c r="C1927" s="7" t="s">
        <v>10</v>
      </c>
      <c r="D1927" s="7">
        <v>593</v>
      </c>
      <c r="E1927" s="7" t="s">
        <v>17</v>
      </c>
      <c r="F1927" s="8" t="str">
        <f ca="1">IFERROR(__xludf.DUMMYFUNCTION("IF
(
C1928=""фізична особа""
,
VLOOKUP(D1928,IMPORTRANGE(""https://docs.google.com/spreadsheets/d/14Bd19lYaqBhU8_DElYkX7l4wRkHqqCUFNJY4AfY3kHU/edit?usp=sharing  #gid=0"",""фіз особи new!relations_name""),6,FALSE)
,
(IF
(
C1928=""юридична особа""
,
VLOOKUP"&amp;"(D1928,IMPORTRANGE(""https://docs.google.com/spreadsheets/d/14Bd19lYaqBhU8_DElYkX7l4wRkHqqCUFNJY4AfY3kHU/edit?usp=sharing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27" s="7" t="s">
        <v>10</v>
      </c>
      <c r="H1927" s="7">
        <v>0</v>
      </c>
      <c r="I1927" s="8" t="str">
        <f ca="1">IFERROR(__xludf.DUMMYFUNCTION("IF
(
G1928=""фізична особа""
,
VLOOKUP(H1928,IMPORTRANGE(""https://docs.google.com/spreadsheets/d/14Bd19lYaqBhU8_DElYkX7l4wRkHqqCUFNJY4AfY3kHU/edit?usp=sharing  #gid=0"",""фіз особи new!relations_name""),6,FALSE)
,
(IF
(
G1928=""юридична особа""
,
VLOOKUP"&amp;"(H1928,IMPORTRANGE(""https://docs.google.com/spreadsheets/d/14Bd19lYaqBhU8_DElYkX7l4wRkHqqCUFNJY4AfY3kHU/edit?usp=sharing  #gid=0"",""фіз особи new!relations_name_uo""),7,FALSE)
,
)
))"),"#N/A")</f>
        <v>#N/A</v>
      </c>
      <c r="J1927" s="7" t="s">
        <v>12</v>
      </c>
    </row>
    <row r="1928" spans="1:10" ht="13.2">
      <c r="A1928" s="7">
        <v>1927</v>
      </c>
      <c r="B1928" s="7">
        <v>1</v>
      </c>
      <c r="C1928" s="7" t="s">
        <v>10</v>
      </c>
      <c r="D1928" s="7">
        <v>593</v>
      </c>
      <c r="E1928" s="7" t="s">
        <v>17</v>
      </c>
      <c r="F1928" s="8" t="str">
        <f ca="1">IFERROR(__xludf.DUMMYFUNCTION("IF
(
C1929=""фізична особа""
,
VLOOKUP(D1929,IMPORTRANGE(""https://docs.google.com/spreadsheets/d/14Bd19lYaqBhU8_DElYkX7l4wRkHqqCUFNJY4AfY3kHU/edit?usp=sharing  #gid=0"",""фіз особи new!relations_name""),6,FALSE)
,
(IF
(
C1929=""юридична особа""
,
VLOOKUP"&amp;"(D1929,IMPORTRANGE(""https://docs.google.com/spreadsheets/d/14Bd19lYaqBhU8_DElYkX7l4wRkHqqCUFNJY4AfY3kHU/edit?usp=sharing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28" s="7" t="s">
        <v>10</v>
      </c>
      <c r="H1928" s="7">
        <v>0</v>
      </c>
      <c r="I1928" s="8" t="str">
        <f ca="1">IFERROR(__xludf.DUMMYFUNCTION("IF
(
G1929=""фізична особа""
,
VLOOKUP(H1929,IMPORTRANGE(""https://docs.google.com/spreadsheets/d/14Bd19lYaqBhU8_DElYkX7l4wRkHqqCUFNJY4AfY3kHU/edit?usp=sharing  #gid=0"",""фіз особи new!relations_name""),6,FALSE)
,
(IF
(
G1929=""юридична особа""
,
VLOOKUP"&amp;"(H1929,IMPORTRANGE(""https://docs.google.com/spreadsheets/d/14Bd19lYaqBhU8_DElYkX7l4wRkHqqCUFNJY4AfY3kHU/edit?usp=sharing  #gid=0"",""фіз особи new!relations_name_uo""),7,FALSE)
,
)
))"),"#N/A")</f>
        <v>#N/A</v>
      </c>
      <c r="J1928" s="7" t="s">
        <v>21</v>
      </c>
    </row>
    <row r="1929" spans="1:10" ht="13.2">
      <c r="A1929" s="7">
        <v>1928</v>
      </c>
      <c r="B1929" s="7">
        <v>1</v>
      </c>
      <c r="C1929" s="7" t="s">
        <v>10</v>
      </c>
      <c r="D1929" s="7">
        <v>593</v>
      </c>
      <c r="E1929" s="7" t="s">
        <v>14</v>
      </c>
      <c r="F1929" s="8" t="str">
        <f ca="1">IFERROR(__xludf.DUMMYFUNCTION("IF
(
C1930=""фізична особа""
,
VLOOKUP(D1930,IMPORTRANGE(""https://docs.google.com/spreadsheets/d/14Bd19lYaqBhU8_DElYkX7l4wRkHqqCUFNJY4AfY3kHU/edit?usp=sharing  #gid=0"",""фіз особи new!relations_name""),6,FALSE)
,
(IF
(
C1930=""юридична особа""
,
VLOOKUP"&amp;"(D1930,IMPORTRANGE(""https://docs.google.com/spreadsheets/d/14Bd19lYaqBhU8_DElYkX7l4wRkHqqCUFNJY4AfY3kHU/edit?usp=sharing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29" s="7" t="s">
        <v>10</v>
      </c>
      <c r="H1929" s="7">
        <v>0</v>
      </c>
      <c r="I1929" s="8" t="str">
        <f ca="1">IFERROR(__xludf.DUMMYFUNCTION("IF
(
G1930=""фізична особа""
,
VLOOKUP(H1930,IMPORTRANGE(""https://docs.google.com/spreadsheets/d/14Bd19lYaqBhU8_DElYkX7l4wRkHqqCUFNJY4AfY3kHU/edit?usp=sharing  #gid=0"",""фіз особи new!relations_name""),6,FALSE)
,
(IF
(
G1930=""юридична особа""
,
VLOOKUP"&amp;"(H1930,IMPORTRANGE(""https://docs.google.com/spreadsheets/d/14Bd19lYaqBhU8_DElYkX7l4wRkHqqCUFNJY4AfY3kHU/edit?usp=sharing  #gid=0"",""фіз особи new!relations_name_uo""),7,FALSE)
,
)
))"),"#N/A")</f>
        <v>#N/A</v>
      </c>
      <c r="J1929" s="7" t="s">
        <v>15</v>
      </c>
    </row>
    <row r="1930" spans="1:10" ht="13.2">
      <c r="A1930" s="7">
        <v>1929</v>
      </c>
      <c r="B1930" s="7">
        <v>1</v>
      </c>
      <c r="C1930" s="7" t="s">
        <v>10</v>
      </c>
      <c r="D1930" s="7">
        <v>593</v>
      </c>
      <c r="E1930" s="7" t="s">
        <v>65</v>
      </c>
      <c r="F1930" s="8" t="str">
        <f ca="1">IFERROR(__xludf.DUMMYFUNCTION("IF
(
C1931=""фізична особа""
,
VLOOKUP(D1931,IMPORTRANGE(""https://docs.google.com/spreadsheets/d/14Bd19lYaqBhU8_DElYkX7l4wRkHqqCUFNJY4AfY3kHU/edit?usp=sharing  #gid=0"",""фіз особи new!relations_name""),6,FALSE)
,
(IF
(
C1931=""юридична особа""
,
VLOOKUP"&amp;"(D1931,IMPORTRANGE(""https://docs.google.com/spreadsheets/d/14Bd19lYaqBhU8_DElYkX7l4wRkHqqCUFNJY4AfY3kHU/edit?usp=sharing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30" s="7" t="s">
        <v>10</v>
      </c>
      <c r="H1930" s="7">
        <v>0</v>
      </c>
      <c r="I1930" s="8" t="str">
        <f ca="1">IFERROR(__xludf.DUMMYFUNCTION("IF
(
G1931=""фізична особа""
,
VLOOKUP(H1931,IMPORTRANGE(""https://docs.google.com/spreadsheets/d/14Bd19lYaqBhU8_DElYkX7l4wRkHqqCUFNJY4AfY3kHU/edit?usp=sharing  #gid=0"",""фіз особи new!relations_name""),6,FALSE)
,
(IF
(
G1931=""юридична особа""
,
VLOOKUP"&amp;"(H1931,IMPORTRANGE(""https://docs.google.com/spreadsheets/d/14Bd19lYaqBhU8_DElYkX7l4wRkHqqCUFNJY4AfY3kHU/edit?usp=sharing  #gid=0"",""фіз особи new!relations_name_uo""),7,FALSE)
,
)
))"),"#N/A")</f>
        <v>#N/A</v>
      </c>
      <c r="J1930" s="7" t="s">
        <v>65</v>
      </c>
    </row>
    <row r="1931" spans="1:10" ht="13.2">
      <c r="A1931" s="7">
        <v>1930</v>
      </c>
      <c r="B1931" s="7">
        <v>1</v>
      </c>
      <c r="C1931" s="7" t="s">
        <v>10</v>
      </c>
      <c r="D1931" s="7">
        <v>593</v>
      </c>
      <c r="E1931" s="7" t="s">
        <v>65</v>
      </c>
      <c r="F1931" s="8" t="str">
        <f ca="1">IFERROR(__xludf.DUMMYFUNCTION("IF
(
C1932=""фізична особа""
,
VLOOKUP(D1932,IMPORTRANGE(""https://docs.google.com/spreadsheets/d/14Bd19lYaqBhU8_DElYkX7l4wRkHqqCUFNJY4AfY3kHU/edit?usp=sharing  #gid=0"",""фіз особи new!relations_name""),6,FALSE)
,
(IF
(
C1932=""юридична особа""
,
VLOOKUP"&amp;"(D1932,IMPORTRANGE(""https://docs.google.com/spreadsheets/d/14Bd19lYaqBhU8_DElYkX7l4wRkHqqCUFNJY4AfY3kHU/edit?usp=sharing  #gid=0"",""фіз особи new!relations_name_uo""),7,FALSE)
,
)
))"),"ФРАДКОВ Петро Михайлович")</f>
        <v>ФРАДКОВ Петро Михайлович</v>
      </c>
      <c r="G1931" s="7" t="s">
        <v>10</v>
      </c>
      <c r="H1931" s="7">
        <v>0</v>
      </c>
      <c r="I1931" s="8" t="str">
        <f ca="1">IFERROR(__xludf.DUMMYFUNCTION("IF
(
G1932=""фізична особа""
,
VLOOKUP(H1932,IMPORTRANGE(""https://docs.google.com/spreadsheets/d/14Bd19lYaqBhU8_DElYkX7l4wRkHqqCUFNJY4AfY3kHU/edit?usp=sharing  #gid=0"",""фіз особи new!relations_name""),6,FALSE)
,
(IF
(
G1932=""юридична особа""
,
VLOOKUP"&amp;"(H1932,IMPORTRANGE(""https://docs.google.com/spreadsheets/d/14Bd19lYaqBhU8_DElYkX7l4wRkHqqCUFNJY4AfY3kHU/edit?usp=sharing  #gid=0"",""фіз особи new!relations_name_uo""),7,FALSE)
,
)
))"),"#N/A")</f>
        <v>#N/A</v>
      </c>
      <c r="J1931" s="7" t="s">
        <v>64</v>
      </c>
    </row>
    <row r="1932" spans="1:10" ht="13.2">
      <c r="A1932" s="7">
        <v>1931</v>
      </c>
      <c r="B1932" s="7">
        <v>1</v>
      </c>
      <c r="C1932" s="7" t="s">
        <v>10</v>
      </c>
      <c r="D1932" s="7">
        <v>594</v>
      </c>
      <c r="E1932" s="7" t="s">
        <v>48</v>
      </c>
      <c r="F1932" s="8" t="str">
        <f ca="1">IFERROR(__xludf.DUMMYFUNCTION("IF
(
C1933=""фізична особа""
,
VLOOKUP(D1933,IMPORTRANGE(""https://docs.google.com/spreadsheets/d/14Bd19lYaqBhU8_DElYkX7l4wRkHqqCUFNJY4AfY3kHU/edit?usp=sharing  #gid=0"",""фіз особи new!relations_name""),6,FALSE)
,
(IF
(
C1933=""юридична особа""
,
VLOOKUP"&amp;"(D1933,IMPORTRANGE(""https://docs.google.com/spreadsheets/d/14Bd19lYaqBhU8_DElYkX7l4wRkHqqCUFNJY4AfY3kHU/edit?usp=sharing  #gid=0"",""фіз особи new!relations_name_uo""),7,FALSE)
,
)
))"),"ТУЛТАЄВ Петро Миколайович")</f>
        <v>ТУЛТАЄВ Петро Миколайович</v>
      </c>
      <c r="G1932" s="7" t="s">
        <v>10</v>
      </c>
      <c r="H1932" s="7">
        <v>405</v>
      </c>
      <c r="I1932" s="8" t="str">
        <f ca="1">IFERROR(__xludf.DUMMYFUNCTION("IF
(
G1933=""фізична особа""
,
VLOOKUP(H1933,IMPORTRANGE(""https://docs.google.com/spreadsheets/d/14Bd19lYaqBhU8_DElYkX7l4wRkHqqCUFNJY4AfY3kHU/edit?usp=sharing  #gid=0"",""фіз особи new!relations_name""),6,FALSE)
,
(IF
(
G1933=""юридична особа""
,
VLOOKUP"&amp;"(H1933,IMPORTRANGE(""https://docs.google.com/spreadsheets/d/14Bd19lYaqBhU8_DElYkX7l4wRkHqqCUFNJY4AfY3kHU/edit?usp=sharing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J1932" s="7" t="s">
        <v>48</v>
      </c>
    </row>
    <row r="1933" spans="1:10" ht="13.2">
      <c r="A1933" s="7">
        <v>1932</v>
      </c>
      <c r="B1933" s="7">
        <v>1</v>
      </c>
      <c r="C1933" s="7" t="s">
        <v>10</v>
      </c>
      <c r="D1933" s="7">
        <v>594</v>
      </c>
      <c r="E1933" s="7" t="s">
        <v>11</v>
      </c>
      <c r="F1933" s="8" t="str">
        <f ca="1">IFERROR(__xludf.DUMMYFUNCTION("IF
(
C1934=""фізична особа""
,
VLOOKUP(D1934,IMPORTRANGE(""https://docs.google.com/spreadsheets/d/14Bd19lYaqBhU8_DElYkX7l4wRkHqqCUFNJY4AfY3kHU/edit?usp=sharing  #gid=0"",""фіз особи new!relations_name""),6,FALSE)
,
(IF
(
C1934=""юридична особа""
,
VLOOKUP"&amp;"(D1934,IMPORTRANGE(""https://docs.google.com/spreadsheets/d/14Bd19lYaqBhU8_DElYkX7l4wRkHqqCUFNJY4AfY3kHU/edit?usp=sharing  #gid=0"",""фіз особи new!relations_name_uo""),7,FALSE)
,
)
))"),"ТУЛТАЄВ Петро Миколайович")</f>
        <v>ТУЛТАЄВ Петро Миколайович</v>
      </c>
      <c r="G1933" s="7" t="s">
        <v>10</v>
      </c>
      <c r="H1933" s="7">
        <v>0</v>
      </c>
      <c r="I1933" s="8" t="str">
        <f ca="1">IFERROR(__xludf.DUMMYFUNCTION("IF
(
G1934=""фізична особа""
,
VLOOKUP(H1934,IMPORTRANGE(""https://docs.google.com/spreadsheets/d/14Bd19lYaqBhU8_DElYkX7l4wRkHqqCUFNJY4AfY3kHU/edit?usp=sharing  #gid=0"",""фіз особи new!relations_name""),6,FALSE)
,
(IF
(
G1934=""юридична особа""
,
VLOOKUP"&amp;"(H1934,IMPORTRANGE(""https://docs.google.com/spreadsheets/d/14Bd19lYaqBhU8_DElYkX7l4wRkHqqCUFNJY4AfY3kHU/edit?usp=sharing  #gid=0"",""фіз особи new!relations_name_uo""),7,FALSE)
,
)
))"),"#N/A")</f>
        <v>#N/A</v>
      </c>
      <c r="J1933" s="7" t="s">
        <v>11</v>
      </c>
    </row>
    <row r="1934" spans="1:10" ht="13.2">
      <c r="A1934" s="7">
        <v>1933</v>
      </c>
      <c r="B1934" s="7">
        <v>1</v>
      </c>
      <c r="C1934" s="7" t="s">
        <v>10</v>
      </c>
      <c r="D1934" s="7">
        <v>595</v>
      </c>
      <c r="E1934" s="7" t="s">
        <v>17</v>
      </c>
      <c r="F1934" s="8" t="str">
        <f ca="1">IFERROR(__xludf.DUMMYFUNCTION("IF
(
C1935=""фізична особа""
,
VLOOKUP(D1935,IMPORTRANGE(""https://docs.google.com/spreadsheets/d/14Bd19lYaqBhU8_DElYkX7l4wRkHqqCUFNJY4AfY3kHU/edit?usp=sharing  #gid=0"",""фіз особи new!relations_name""),6,FALSE)
,
(IF
(
C1935=""юридична особа""
,
VLOOKUP"&amp;"(D1935,IMPORTRANGE(""https://docs.google.com/spreadsheets/d/14Bd19lYaqBhU8_DElYkX7l4wRkHqqCUFNJY4AfY3kHU/edit?usp=sharing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4" s="7" t="s">
        <v>10</v>
      </c>
      <c r="H1934" s="7">
        <v>0</v>
      </c>
      <c r="I1934" s="8" t="str">
        <f ca="1">IFERROR(__xludf.DUMMYFUNCTION("IF
(
G1935=""фізична особа""
,
VLOOKUP(H1935,IMPORTRANGE(""https://docs.google.com/spreadsheets/d/14Bd19lYaqBhU8_DElYkX7l4wRkHqqCUFNJY4AfY3kHU/edit?usp=sharing  #gid=0"",""фіз особи new!relations_name""),6,FALSE)
,
(IF
(
G1935=""юридична особа""
,
VLOOKUP"&amp;"(H1935,IMPORTRANGE(""https://docs.google.com/spreadsheets/d/14Bd19lYaqBhU8_DElYkX7l4wRkHqqCUFNJY4AfY3kHU/edit?usp=sharing  #gid=0"",""фіз особи new!relations_name_uo""),7,FALSE)
,
)
))"),"#N/A")</f>
        <v>#N/A</v>
      </c>
      <c r="J1934" s="7" t="s">
        <v>12</v>
      </c>
    </row>
    <row r="1935" spans="1:10" ht="13.2">
      <c r="A1935" s="7">
        <v>1934</v>
      </c>
      <c r="B1935" s="7">
        <v>1</v>
      </c>
      <c r="C1935" s="7" t="s">
        <v>10</v>
      </c>
      <c r="D1935" s="7">
        <v>595</v>
      </c>
      <c r="E1935" s="7" t="s">
        <v>12</v>
      </c>
      <c r="F1935" s="8" t="str">
        <f ca="1">IFERROR(__xludf.DUMMYFUNCTION("IF
(
C1936=""фізична особа""
,
VLOOKUP(D1936,IMPORTRANGE(""https://docs.google.com/spreadsheets/d/14Bd19lYaqBhU8_DElYkX7l4wRkHqqCUFNJY4AfY3kHU/edit?usp=sharing  #gid=0"",""фіз особи new!relations_name""),6,FALSE)
,
(IF
(
C1936=""юридична особа""
,
VLOOKUP"&amp;"(D1936,IMPORTRANGE(""https://docs.google.com/spreadsheets/d/14Bd19lYaqBhU8_DElYkX7l4wRkHqqCUFNJY4AfY3kHU/edit?usp=sharing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5" s="7" t="s">
        <v>10</v>
      </c>
      <c r="H1935" s="7">
        <v>1959</v>
      </c>
      <c r="I1935" s="8" t="str">
        <f ca="1">IFERROR(__xludf.DUMMYFUNCTION("IF
(
G1936=""фізична особа""
,
VLOOKUP(H1936,IMPORTRANGE(""https://docs.google.com/spreadsheets/d/14Bd19lYaqBhU8_DElYkX7l4wRkHqqCUFNJY4AfY3kHU/edit?usp=sharing  #gid=0"",""фіз особи new!relations_name""),6,FALSE)
,
(IF
(
G1936=""юридична особа""
,
VLOOKUP"&amp;"(H1936,IMPORTRANGE(""https://docs.google.com/spreadsheets/d/14Bd19lYaqBhU8_DElYkX7l4wRkHqqCUFNJY4AfY3kHU/edit?usp=sharing  #gid=0"",""фіз особи new!relations_name_uo""),7,FALSE)
,
)
))"),"АВЕН Денис Петрович")</f>
        <v>АВЕН Денис Петрович</v>
      </c>
      <c r="J1935" s="7" t="s">
        <v>17</v>
      </c>
    </row>
    <row r="1936" spans="1:10" ht="13.2">
      <c r="A1936" s="7">
        <v>1935</v>
      </c>
      <c r="B1936" s="7">
        <v>1</v>
      </c>
      <c r="C1936" s="7" t="s">
        <v>10</v>
      </c>
      <c r="D1936" s="7">
        <v>595</v>
      </c>
      <c r="E1936" s="7" t="s">
        <v>12</v>
      </c>
      <c r="F1936" s="8" t="str">
        <f ca="1">IFERROR(__xludf.DUMMYFUNCTION("IF
(
C1937=""фізична особа""
,
VLOOKUP(D1937,IMPORTRANGE(""https://docs.google.com/spreadsheets/d/14Bd19lYaqBhU8_DElYkX7l4wRkHqqCUFNJY4AfY3kHU/edit?usp=sharing  #gid=0"",""фіз особи new!relations_name""),6,FALSE)
,
(IF
(
C1937=""юридична особа""
,
VLOOKUP"&amp;"(D1937,IMPORTRANGE(""https://docs.google.com/spreadsheets/d/14Bd19lYaqBhU8_DElYkX7l4wRkHqqCUFNJY4AfY3kHU/edit?usp=sharing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6" s="7" t="s">
        <v>10</v>
      </c>
      <c r="H1936" s="7">
        <v>1960</v>
      </c>
      <c r="I1936" s="8" t="str">
        <f ca="1">IFERROR(__xludf.DUMMYFUNCTION("IF
(
G1937=""фізична особа""
,
VLOOKUP(H1937,IMPORTRANGE(""https://docs.google.com/spreadsheets/d/14Bd19lYaqBhU8_DElYkX7l4wRkHqqCUFNJY4AfY3kHU/edit?usp=sharing  #gid=0"",""фіз особи new!relations_name""),6,FALSE)
,
(IF
(
G1937=""юридична особа""
,
VLOOKUP"&amp;"(H1937,IMPORTRANGE(""https://docs.google.com/spreadsheets/d/14Bd19lYaqBhU8_DElYkX7l4wRkHqqCUFNJY4AfY3kHU/edit?usp=sharing  #gid=0"",""фіз особи new!relations_name_uo""),7,FALSE)
,
)
))"),"АВЕН Дарія Петрівна")</f>
        <v>АВЕН Дарія Петрівна</v>
      </c>
      <c r="J1936" s="7" t="s">
        <v>13</v>
      </c>
    </row>
    <row r="1937" spans="1:10" ht="13.2">
      <c r="A1937" s="7">
        <v>1936</v>
      </c>
      <c r="B1937" s="7">
        <v>1</v>
      </c>
      <c r="C1937" s="7" t="s">
        <v>10</v>
      </c>
      <c r="D1937" s="7">
        <v>595</v>
      </c>
      <c r="E1937" s="7" t="s">
        <v>14</v>
      </c>
      <c r="F1937" s="8" t="str">
        <f ca="1">IFERROR(__xludf.DUMMYFUNCTION("IF
(
C1938=""фізична особа""
,
VLOOKUP(D1938,IMPORTRANGE(""https://docs.google.com/spreadsheets/d/14Bd19lYaqBhU8_DElYkX7l4wRkHqqCUFNJY4AfY3kHU/edit?usp=sharing  #gid=0"",""фіз особи new!relations_name""),6,FALSE)
,
(IF
(
C1938=""юридична особа""
,
VLOOKUP"&amp;"(D1938,IMPORTRANGE(""https://docs.google.com/spreadsheets/d/14Bd19lYaqBhU8_DElYkX7l4wRkHqqCUFNJY4AfY3kHU/edit?usp=sharing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7" s="7" t="s">
        <v>10</v>
      </c>
      <c r="H1937" s="7">
        <v>1958</v>
      </c>
      <c r="I1937" s="8" t="str">
        <f ca="1">IFERROR(__xludf.DUMMYFUNCTION("IF
(
G1938=""фізична особа""
,
VLOOKUP(H1938,IMPORTRANGE(""https://docs.google.com/spreadsheets/d/14Bd19lYaqBhU8_DElYkX7l4wRkHqqCUFNJY4AfY3kHU/edit?usp=sharing  #gid=0"",""фіз особи new!relations_name""),6,FALSE)
,
(IF
(
G1938=""юридична особа""
,
VLOOKUP"&amp;"(H1938,IMPORTRANGE(""https://docs.google.com/spreadsheets/d/14Bd19lYaqBhU8_DElYkX7l4wRkHqqCUFNJY4AfY3kHU/edit?usp=sharing  #gid=0"",""фіз особи new!relations_name_uo""),7,FALSE)
,
)
))"),"КОЗІНА Катерина")</f>
        <v>КОЗІНА Катерина</v>
      </c>
      <c r="J1937" s="7" t="s">
        <v>15</v>
      </c>
    </row>
    <row r="1938" spans="1:10" ht="13.2">
      <c r="A1938" s="7">
        <v>1937</v>
      </c>
      <c r="B1938" s="7">
        <v>1</v>
      </c>
      <c r="C1938" s="7" t="s">
        <v>10</v>
      </c>
      <c r="D1938" s="7">
        <v>595</v>
      </c>
      <c r="E1938" s="7" t="s">
        <v>12</v>
      </c>
      <c r="F1938" s="8" t="str">
        <f ca="1">IFERROR(__xludf.DUMMYFUNCTION("IF
(
C1939=""фізична особа""
,
VLOOKUP(D1939,IMPORTRANGE(""https://docs.google.com/spreadsheets/d/14Bd19lYaqBhU8_DElYkX7l4wRkHqqCUFNJY4AfY3kHU/edit?usp=sharing  #gid=0"",""фіз особи new!relations_name""),6,FALSE)
,
(IF
(
C1939=""юридична особа""
,
VLOOKUP"&amp;"(D1939,IMPORTRANGE(""https://docs.google.com/spreadsheets/d/14Bd19lYaqBhU8_DElYkX7l4wRkHqqCUFNJY4AfY3kHU/edit?usp=sharing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8" s="7" t="s">
        <v>10</v>
      </c>
      <c r="H1938" s="7">
        <v>1961</v>
      </c>
      <c r="I1938" s="8" t="str">
        <f ca="1">IFERROR(__xludf.DUMMYFUNCTION("IF
(
G1939=""фізична особа""
,
VLOOKUP(H1939,IMPORTRANGE(""https://docs.google.com/spreadsheets/d/14Bd19lYaqBhU8_DElYkX7l4wRkHqqCUFNJY4AfY3kHU/edit?usp=sharing  #gid=0"",""фіз особи new!relations_name""),6,FALSE)
,
(IF
(
G1939=""юридична особа""
,
VLOOKUP"&amp;"(H1939,IMPORTRANGE(""https://docs.google.com/spreadsheets/d/14Bd19lYaqBhU8_DElYkX7l4wRkHqqCUFNJY4AfY3kHU/edit?usp=sharing  #gid=0"",""фіз особи new!relations_name_uo""),7,FALSE)
,
)
))"),"АВЕН Пилип Петрович")</f>
        <v>АВЕН Пилип Петрович</v>
      </c>
      <c r="J1938" s="7" t="s">
        <v>17</v>
      </c>
    </row>
    <row r="1939" spans="1:10" ht="13.2">
      <c r="A1939" s="7">
        <v>1938</v>
      </c>
      <c r="B1939" s="7">
        <v>1</v>
      </c>
      <c r="C1939" s="7" t="s">
        <v>10</v>
      </c>
      <c r="D1939" s="7">
        <v>595</v>
      </c>
      <c r="E1939" s="7" t="s">
        <v>11</v>
      </c>
      <c r="F1939" s="8" t="str">
        <f ca="1">IFERROR(__xludf.DUMMYFUNCTION("IF
(
C1940=""фізична особа""
,
VLOOKUP(D1940,IMPORTRANGE(""https://docs.google.com/spreadsheets/d/14Bd19lYaqBhU8_DElYkX7l4wRkHqqCUFNJY4AfY3kHU/edit?usp=sharing  #gid=0"",""фіз особи new!relations_name""),6,FALSE)
,
(IF
(
C1940=""юридична особа""
,
VLOOKUP"&amp;"(D1940,IMPORTRANGE(""https://docs.google.com/spreadsheets/d/14Bd19lYaqBhU8_DElYkX7l4wRkHqqCUFNJY4AfY3kHU/edit?usp=sharing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39" s="7" t="s">
        <v>10</v>
      </c>
      <c r="H1939" s="7">
        <v>2038</v>
      </c>
      <c r="I1939" s="8" t="str">
        <f ca="1">IFERROR(__xludf.DUMMYFUNCTION("IF
(
G1940=""фізична особа""
,
VLOOKUP(H1940,IMPORTRANGE(""https://docs.google.com/spreadsheets/d/14Bd19lYaqBhU8_DElYkX7l4wRkHqqCUFNJY4AfY3kHU/edit?usp=sharing  #gid=0"",""фіз особи new!relations_name""),6,FALSE)
,
(IF
(
G1940=""юридична особа""
,
VLOOKUP"&amp;"(H1940,IMPORTRANGE(""https://docs.google.com/spreadsheets/d/14Bd19lYaqBhU8_DElYkX7l4wRkHqqCUFNJY4AfY3kHU/edit?usp=sharing  #gid=0"",""фіз особи new!relations_name_uo""),7,FALSE)
,
)
))"),"ПУТІНА / ВОРОНЦОВА / ФААССЕН Марія Володимирівна")</f>
        <v>ПУТІНА / ВОРОНЦОВА / ФААССЕН Марія Володимирівна</v>
      </c>
      <c r="J1939" s="7" t="s">
        <v>11</v>
      </c>
    </row>
    <row r="1940" spans="1:10" ht="13.2">
      <c r="A1940" s="7">
        <v>1939</v>
      </c>
      <c r="B1940" s="7">
        <v>1</v>
      </c>
      <c r="C1940" s="7" t="s">
        <v>10</v>
      </c>
      <c r="D1940" s="7">
        <v>595</v>
      </c>
      <c r="E1940" s="7" t="s">
        <v>11</v>
      </c>
      <c r="F1940" s="8" t="str">
        <f ca="1">IFERROR(__xludf.DUMMYFUNCTION("IF
(
C1941=""фізична особа""
,
VLOOKUP(D1941,IMPORTRANGE(""https://docs.google.com/spreadsheets/d/14Bd19lYaqBhU8_DElYkX7l4wRkHqqCUFNJY4AfY3kHU/edit?usp=sharing  #gid=0"",""фіз особи new!relations_name""),6,FALSE)
,
(IF
(
C1941=""юридична особа""
,
VLOOKUP"&amp;"(D1941,IMPORTRANGE(""https://docs.google.com/spreadsheets/d/14Bd19lYaqBhU8_DElYkX7l4wRkHqqCUFNJY4AfY3kHU/edit?usp=sharing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40" s="7" t="s">
        <v>10</v>
      </c>
      <c r="H1940" s="7">
        <v>451</v>
      </c>
      <c r="I1940" s="8" t="str">
        <f ca="1">IFERROR(__xludf.DUMMYFUNCTION("IF
(
G1941=""фізична особа""
,
VLOOKUP(H1941,IMPORTRANGE(""https://docs.google.com/spreadsheets/d/14Bd19lYaqBhU8_DElYkX7l4wRkHqqCUFNJY4AfY3kHU/edit?usp=sharing  #gid=0"",""фіз особи new!relations_name""),6,FALSE)
,
(IF
(
G1941=""юридична особа""
,
VLOOKUP"&amp;"(H1941,IMPORTRANGE(""https://docs.google.com/spreadsheets/d/14Bd19lYaqBhU8_DElYkX7l4wRkHqqCUFNJY4AfY3kHU/edit?usp=sharing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940" s="7" t="s">
        <v>11</v>
      </c>
    </row>
    <row r="1941" spans="1:10" ht="13.2">
      <c r="A1941" s="7">
        <v>1940</v>
      </c>
      <c r="B1941" s="7">
        <v>1</v>
      </c>
      <c r="C1941" s="7" t="s">
        <v>10</v>
      </c>
      <c r="D1941" s="7">
        <v>595</v>
      </c>
      <c r="E1941" s="7" t="s">
        <v>11</v>
      </c>
      <c r="F1941" s="8" t="str">
        <f ca="1">IFERROR(__xludf.DUMMYFUNCTION("IF
(
C1942=""фізична особа""
,
VLOOKUP(D1942,IMPORTRANGE(""https://docs.google.com/spreadsheets/d/14Bd19lYaqBhU8_DElYkX7l4wRkHqqCUFNJY4AfY3kHU/edit?usp=sharing  #gid=0"",""фіз особи new!relations_name""),6,FALSE)
,
(IF
(
C1942=""юридична особа""
,
VLOOKUP"&amp;"(D1942,IMPORTRANGE(""https://docs.google.com/spreadsheets/d/14Bd19lYaqBhU8_DElYkX7l4wRkHqqCUFNJY4AfY3kHU/edit?usp=sharing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41" s="7" t="s">
        <v>10</v>
      </c>
      <c r="H1941" s="7">
        <v>359</v>
      </c>
      <c r="I1941" s="8" t="str">
        <f ca="1">IFERROR(__xludf.DUMMYFUNCTION("IF
(
G1942=""фізична особа""
,
VLOOKUP(H1942,IMPORTRANGE(""https://docs.google.com/spreadsheets/d/14Bd19lYaqBhU8_DElYkX7l4wRkHqqCUFNJY4AfY3kHU/edit?usp=sharing  #gid=0"",""фіз особи new!relations_name""),6,FALSE)
,
(IF
(
G1942=""юридична особа""
,
VLOOKUP"&amp;"(H1942,IMPORTRANGE(""https://docs.google.com/spreadsheets/d/14Bd19lYaqBhU8_DElYkX7l4wRkHqqCUFNJY4AfY3kHU/edit?usp=sharing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1941" s="7" t="s">
        <v>11</v>
      </c>
    </row>
    <row r="1942" spans="1:10" ht="13.2">
      <c r="A1942" s="7">
        <v>1941</v>
      </c>
      <c r="B1942" s="7">
        <v>1</v>
      </c>
      <c r="C1942" s="7" t="s">
        <v>10</v>
      </c>
      <c r="D1942" s="7">
        <v>595</v>
      </c>
      <c r="E1942" s="7" t="s">
        <v>11</v>
      </c>
      <c r="F1942" s="8" t="str">
        <f ca="1">IFERROR(__xludf.DUMMYFUNCTION("IF
(
C1943=""фізична особа""
,
VLOOKUP(D1943,IMPORTRANGE(""https://docs.google.com/spreadsheets/d/14Bd19lYaqBhU8_DElYkX7l4wRkHqqCUFNJY4AfY3kHU/edit?usp=sharing  #gid=0"",""фіз особи new!relations_name""),6,FALSE)
,
(IF
(
C1943=""юридична особа""
,
VLOOKUP"&amp;"(D1943,IMPORTRANGE(""https://docs.google.com/spreadsheets/d/14Bd19lYaqBhU8_DElYkX7l4wRkHqqCUFNJY4AfY3kHU/edit?usp=sharing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42" s="7" t="s">
        <v>10</v>
      </c>
      <c r="H1942" s="7">
        <v>12</v>
      </c>
      <c r="I1942" s="8" t="str">
        <f ca="1">IFERROR(__xludf.DUMMYFUNCTION("IF
(
G1943=""фізична особа""
,
VLOOKUP(H1943,IMPORTRANGE(""https://docs.google.com/spreadsheets/d/14Bd19lYaqBhU8_DElYkX7l4wRkHqqCUFNJY4AfY3kHU/edit?usp=sharing  #gid=0"",""фіз особи new!relations_name""),6,FALSE)
,
(IF
(
G1943=""юридична особа""
,
VLOOKUP"&amp;"(H1943,IMPORTRANGE(""https://docs.google.com/spreadsheets/d/14Bd19lYaqBhU8_DElYkX7l4wRkHqqCUFNJY4AfY3kHU/edit?usp=sharing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J1942" s="7" t="s">
        <v>11</v>
      </c>
    </row>
    <row r="1943" spans="1:10" ht="13.2">
      <c r="A1943" s="7">
        <v>1942</v>
      </c>
      <c r="B1943" s="7">
        <v>1</v>
      </c>
      <c r="C1943" s="7" t="s">
        <v>10</v>
      </c>
      <c r="D1943" s="7">
        <v>595</v>
      </c>
      <c r="E1943" s="7" t="s">
        <v>11</v>
      </c>
      <c r="F1943" s="8" t="str">
        <f ca="1">IFERROR(__xludf.DUMMYFUNCTION("IF
(
C1944=""фізична особа""
,
VLOOKUP(D1944,IMPORTRANGE(""https://docs.google.com/spreadsheets/d/14Bd19lYaqBhU8_DElYkX7l4wRkHqqCUFNJY4AfY3kHU/edit?usp=sharing  #gid=0"",""фіз особи new!relations_name""),6,FALSE)
,
(IF
(
C1944=""юридична особа""
,
VLOOKUP"&amp;"(D1944,IMPORTRANGE(""https://docs.google.com/spreadsheets/d/14Bd19lYaqBhU8_DElYkX7l4wRkHqqCUFNJY4AfY3kHU/edit?usp=sharing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G1943" s="7" t="s">
        <v>10</v>
      </c>
      <c r="H1943" s="7">
        <v>880</v>
      </c>
      <c r="I1943" s="8" t="str">
        <f ca="1">IFERROR(__xludf.DUMMYFUNCTION("IF
(
G1944=""фізична особа""
,
VLOOKUP(H1944,IMPORTRANGE(""https://docs.google.com/spreadsheets/d/14Bd19lYaqBhU8_DElYkX7l4wRkHqqCUFNJY4AfY3kHU/edit?usp=sharing  #gid=0"",""фіз особи new!relations_name""),6,FALSE)
,
(IF
(
G1944=""юридична особа""
,
VLOOKUP"&amp;"(H1944,IMPORTRANGE(""https://docs.google.com/spreadsheets/d/14Bd19lYaqBhU8_DElYkX7l4wRkHqqCUFNJY4AfY3kHU/edit?usp=sharing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943" s="7" t="s">
        <v>11</v>
      </c>
    </row>
    <row r="1944" spans="1:10" ht="13.2">
      <c r="A1944" s="7">
        <v>1943</v>
      </c>
      <c r="B1944" s="7">
        <v>1</v>
      </c>
      <c r="C1944" s="7" t="s">
        <v>10</v>
      </c>
      <c r="D1944" s="7">
        <v>596</v>
      </c>
      <c r="E1944" s="7" t="s">
        <v>48</v>
      </c>
      <c r="F1944" s="8" t="str">
        <f ca="1">IFERROR(__xludf.DUMMYFUNCTION("IF
(
C1945=""фізична особа""
,
VLOOKUP(D1945,IMPORTRANGE(""https://docs.google.com/spreadsheets/d/14Bd19lYaqBhU8_DElYkX7l4wRkHqqCUFNJY4AfY3kHU/edit?usp=sharing  #gid=0"",""фіз особи new!relations_name""),6,FALSE)
,
(IF
(
C1945=""юридична особа""
,
VLOOKUP"&amp;"(D1945,IMPORTRANGE(""https://docs.google.com/spreadsheets/d/14Bd19lYaqBhU8_DElYkX7l4wRkHqqCUFNJY4AfY3kHU/edit?usp=sharing  #gid=0"",""фіз особи new!relations_name_uo""),7,FALSE)
,
)
))"),"АММОСОВ Петро Револьдович")</f>
        <v>АММОСОВ Петро Револьдович</v>
      </c>
      <c r="G1944" s="7" t="s">
        <v>10</v>
      </c>
      <c r="H1944" s="7">
        <v>917</v>
      </c>
      <c r="I1944" s="8" t="str">
        <f ca="1">IFERROR(__xludf.DUMMYFUNCTION("IF
(
G1945=""фізична особа""
,
VLOOKUP(H1945,IMPORTRANGE(""https://docs.google.com/spreadsheets/d/14Bd19lYaqBhU8_DElYkX7l4wRkHqqCUFNJY4AfY3kHU/edit?usp=sharing  #gid=0"",""фіз особи new!relations_name""),6,FALSE)
,
(IF
(
G1945=""юридична особа""
,
VLOOKUP"&amp;"(H1945,IMPORTRANGE(""https://docs.google.com/spreadsheets/d/14Bd19lYaqBhU8_DElYkX7l4wRkHqqCUFNJY4AfY3kHU/edit?usp=sharing  #gid=0"",""фіз особи new!relations_name_uo""),7,FALSE)
,
)
))"),"МОСКВИЧОВ Євгеній Сергійович")</f>
        <v>МОСКВИЧОВ Євгеній Сергійович</v>
      </c>
      <c r="J1944" s="7" t="s">
        <v>48</v>
      </c>
    </row>
    <row r="1945" spans="1:10" ht="13.2">
      <c r="A1945" s="7">
        <v>1944</v>
      </c>
      <c r="B1945" s="7">
        <v>1</v>
      </c>
      <c r="C1945" s="7" t="s">
        <v>10</v>
      </c>
      <c r="D1945" s="7">
        <v>597</v>
      </c>
      <c r="E1945" s="7" t="s">
        <v>15</v>
      </c>
      <c r="F1945" s="8" t="str">
        <f ca="1">IFERROR(__xludf.DUMMYFUNCTION("IF
(
C1946=""фізична особа""
,
VLOOKUP(D1946,IMPORTRANGE(""https://docs.google.com/spreadsheets/d/14Bd19lYaqBhU8_DElYkX7l4wRkHqqCUFNJY4AfY3kHU/edit?usp=sharing  #gid=0"",""фіз особи new!relations_name""),6,FALSE)
,
(IF
(
C1946=""юридична особа""
,
VLOOKUP"&amp;"(D1946,IMPORTRANGE(""https://docs.google.com/spreadsheets/d/14Bd19lYaqBhU8_DElYkX7l4wRkHqqCUFNJY4AfY3kHU/edit?usp=sharing  #gid=0"",""фіз особи new!relations_name_uo""),7,FALSE)
,
)
))"),"ПОЛЯКОВА Алла Вікторівна")</f>
        <v>ПОЛЯКОВА Алла Вікторівна</v>
      </c>
      <c r="G1945" s="7" t="s">
        <v>10</v>
      </c>
      <c r="H1945" s="7">
        <v>0</v>
      </c>
      <c r="I1945" s="8" t="str">
        <f ca="1">IFERROR(__xludf.DUMMYFUNCTION("IF
(
G1946=""фізична особа""
,
VLOOKUP(H1946,IMPORTRANGE(""https://docs.google.com/spreadsheets/d/14Bd19lYaqBhU8_DElYkX7l4wRkHqqCUFNJY4AfY3kHU/edit?usp=sharing  #gid=0"",""фіз особи new!relations_name""),6,FALSE)
,
(IF
(
G1946=""юридична особа""
,
VLOOKUP"&amp;"(H1946,IMPORTRANGE(""https://docs.google.com/spreadsheets/d/14Bd19lYaqBhU8_DElYkX7l4wRkHqqCUFNJY4AfY3kHU/edit?usp=sharing  #gid=0"",""фіз особи new!relations_name_uo""),7,FALSE)
,
)
))"),"#N/A")</f>
        <v>#N/A</v>
      </c>
      <c r="J1945" s="7" t="s">
        <v>14</v>
      </c>
    </row>
    <row r="1946" spans="1:10" ht="13.2">
      <c r="A1946" s="7">
        <v>1945</v>
      </c>
      <c r="B1946" s="7">
        <v>1</v>
      </c>
      <c r="C1946" s="7" t="s">
        <v>10</v>
      </c>
      <c r="D1946" s="7">
        <v>597</v>
      </c>
      <c r="E1946" s="7" t="s">
        <v>31</v>
      </c>
      <c r="F1946" s="8" t="str">
        <f ca="1">IFERROR(__xludf.DUMMYFUNCTION("IF
(
C1947=""фізична особа""
,
VLOOKUP(D1947,IMPORTRANGE(""https://docs.google.com/spreadsheets/d/14Bd19lYaqBhU8_DElYkX7l4wRkHqqCUFNJY4AfY3kHU/edit?usp=sharing  #gid=0"",""фіз особи new!relations_name""),6,FALSE)
,
(IF
(
C1947=""юридична особа""
,
VLOOKUP"&amp;"(D1947,IMPORTRANGE(""https://docs.google.com/spreadsheets/d/14Bd19lYaqBhU8_DElYkX7l4wRkHqqCUFNJY4AfY3kHU/edit?usp=sharing  #gid=0"",""фіз особи new!relations_name_uo""),7,FALSE)
,
)
))"),"ПОЛЯКОВА Алла Вікторівна")</f>
        <v>ПОЛЯКОВА Алла Вікторівна</v>
      </c>
      <c r="G1946" s="7" t="s">
        <v>10</v>
      </c>
      <c r="H1946" s="7">
        <v>6008</v>
      </c>
      <c r="I1946" s="8" t="str">
        <f ca="1">IFERROR(__xludf.DUMMYFUNCTION("IF
(
G1947=""фізична особа""
,
VLOOKUP(H1947,IMPORTRANGE(""https://docs.google.com/spreadsheets/d/14Bd19lYaqBhU8_DElYkX7l4wRkHqqCUFNJY4AfY3kHU/edit?usp=sharing  #gid=0"",""фіз особи new!relations_name""),6,FALSE)
,
(IF
(
G1947=""юридична особа""
,
VLOOKUP"&amp;"(H1947,IMPORTRANGE(""https://docs.google.com/spreadsheets/d/14Bd19lYaqBhU8_DElYkX7l4wRkHqqCUFNJY4AfY3kHU/edit?usp=sharing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J1946" s="7" t="s">
        <v>18</v>
      </c>
    </row>
    <row r="1947" spans="1:10" ht="13.2">
      <c r="A1947" s="7">
        <v>1946</v>
      </c>
      <c r="B1947" s="7">
        <v>1</v>
      </c>
      <c r="C1947" s="7" t="s">
        <v>10</v>
      </c>
      <c r="D1947" s="7">
        <v>598</v>
      </c>
      <c r="E1947" s="7" t="s">
        <v>18</v>
      </c>
      <c r="F1947" s="8" t="str">
        <f ca="1">IFERROR(__xludf.DUMMYFUNCTION("IF
(
C1948=""фізична особа""
,
VLOOKUP(D1948,IMPORTRANGE(""https://docs.google.com/spreadsheets/d/14Bd19lYaqBhU8_DElYkX7l4wRkHqqCUFNJY4AfY3kHU/edit?usp=sharing  #gid=0"",""фіз особи new!relations_name""),6,FALSE)
,
(IF
(
C1948=""юридична особа""
,
VLOOKUP"&amp;"(D1948,IMPORTRANGE(""https://docs.google.com/spreadsheets/d/14Bd19lYaqBhU8_DElYkX7l4wRkHqqCUFNJY4AfY3kHU/edit?usp=sharing  #gid=0"",""фіз особи new!relations_name_uo""),7,FALSE)
,
)
))"),"ПОНОМАРЬОВ Валерій Андрійович")</f>
        <v>ПОНОМАРЬОВ Валерій Андрійович</v>
      </c>
      <c r="G1947" s="7" t="s">
        <v>10</v>
      </c>
      <c r="H1947" s="7">
        <v>0</v>
      </c>
      <c r="I1947" s="8" t="str">
        <f ca="1">IFERROR(__xludf.DUMMYFUNCTION("IF
(
G1948=""фізична особа""
,
VLOOKUP(H1948,IMPORTRANGE(""https://docs.google.com/spreadsheets/d/14Bd19lYaqBhU8_DElYkX7l4wRkHqqCUFNJY4AfY3kHU/edit?usp=sharing  #gid=0"",""фіз особи new!relations_name""),6,FALSE)
,
(IF
(
G1948=""юридична особа""
,
VLOOKUP"&amp;"(H1948,IMPORTRANGE(""https://docs.google.com/spreadsheets/d/14Bd19lYaqBhU8_DElYkX7l4wRkHqqCUFNJY4AfY3kHU/edit?usp=sharing  #gid=0"",""фіз особи new!relations_name_uo""),7,FALSE)
,
)
))"),"#N/A")</f>
        <v>#N/A</v>
      </c>
      <c r="J1947" s="7" t="s">
        <v>18</v>
      </c>
    </row>
    <row r="1948" spans="1:10" ht="13.2">
      <c r="A1948" s="7">
        <v>1947</v>
      </c>
      <c r="B1948" s="7">
        <v>1</v>
      </c>
      <c r="C1948" s="7" t="s">
        <v>10</v>
      </c>
      <c r="D1948" s="7">
        <v>598</v>
      </c>
      <c r="E1948" s="7" t="s">
        <v>14</v>
      </c>
      <c r="F1948" s="8" t="str">
        <f ca="1">IFERROR(__xludf.DUMMYFUNCTION("IF
(
C1949=""фізична особа""
,
VLOOKUP(D1949,IMPORTRANGE(""https://docs.google.com/spreadsheets/d/14Bd19lYaqBhU8_DElYkX7l4wRkHqqCUFNJY4AfY3kHU/edit?usp=sharing  #gid=0"",""фіз особи new!relations_name""),6,FALSE)
,
(IF
(
C1949=""юридична особа""
,
VLOOKUP"&amp;"(D1949,IMPORTRANGE(""https://docs.google.com/spreadsheets/d/14Bd19lYaqBhU8_DElYkX7l4wRkHqqCUFNJY4AfY3kHU/edit?usp=sharing  #gid=0"",""фіз особи new!relations_name_uo""),7,FALSE)
,
)
))"),"ПОНОМАРЬОВ Валерій Андрійович")</f>
        <v>ПОНОМАРЬОВ Валерій Андрійович</v>
      </c>
      <c r="G1948" s="7" t="s">
        <v>10</v>
      </c>
      <c r="H1948" s="7">
        <v>8632</v>
      </c>
      <c r="I1948" s="8" t="str">
        <f ca="1">IFERROR(__xludf.DUMMYFUNCTION("IF
(
G1949=""фізична особа""
,
VLOOKUP(H1949,IMPORTRANGE(""https://docs.google.com/spreadsheets/d/14Bd19lYaqBhU8_DElYkX7l4wRkHqqCUFNJY4AfY3kHU/edit?usp=sharing  #gid=0"",""фіз особи new!relations_name""),6,FALSE)
,
(IF
(
G1949=""юридична особа""
,
VLOOKUP"&amp;"(H1949,IMPORTRANGE(""https://docs.google.com/spreadsheets/d/14Bd19lYaqBhU8_DElYkX7l4wRkHqqCUFNJY4AfY3kHU/edit?usp=sharing  #gid=0"",""фіз особи new!relations_name_uo""),7,FALSE)
,
)
))"),"ПОНОМАРЬОВА Катерина Анатоліївна")</f>
        <v>ПОНОМАРЬОВА Катерина Анатоліївна</v>
      </c>
      <c r="J1948" s="7" t="s">
        <v>15</v>
      </c>
    </row>
    <row r="1949" spans="1:10" ht="13.2">
      <c r="A1949" s="7">
        <v>1948</v>
      </c>
      <c r="B1949" s="7">
        <v>1</v>
      </c>
      <c r="C1949" s="7" t="s">
        <v>10</v>
      </c>
      <c r="D1949" s="7">
        <v>598</v>
      </c>
      <c r="E1949" s="7" t="s">
        <v>12</v>
      </c>
      <c r="F1949" s="8" t="str">
        <f ca="1">IFERROR(__xludf.DUMMYFUNCTION("IF
(
C1950=""фізична особа""
,
VLOOKUP(D1950,IMPORTRANGE(""https://docs.google.com/spreadsheets/d/14Bd19lYaqBhU8_DElYkX7l4wRkHqqCUFNJY4AfY3kHU/edit?usp=sharing  #gid=0"",""фіз особи new!relations_name""),6,FALSE)
,
(IF
(
C1950=""юридична особа""
,
VLOOKUP"&amp;"(D1950,IMPORTRANGE(""https://docs.google.com/spreadsheets/d/14Bd19lYaqBhU8_DElYkX7l4wRkHqqCUFNJY4AfY3kHU/edit?usp=sharing  #gid=0"",""фіз особи new!relations_name_uo""),7,FALSE)
,
)
))"),"ПОНОМАРЬОВ Валерій Андрійович")</f>
        <v>ПОНОМАРЬОВ Валерій Андрійович</v>
      </c>
      <c r="G1949" s="7" t="s">
        <v>10</v>
      </c>
      <c r="H1949" s="7">
        <v>23427</v>
      </c>
      <c r="I1949" s="8" t="str">
        <f ca="1">IFERROR(__xludf.DUMMYFUNCTION("IF
(
G1950=""фізична особа""
,
VLOOKUP(H1950,IMPORTRANGE(""https://docs.google.com/spreadsheets/d/14Bd19lYaqBhU8_DElYkX7l4wRkHqqCUFNJY4AfY3kHU/edit?usp=sharing  #gid=0"",""фіз особи new!relations_name""),6,FALSE)
,
(IF
(
G1950=""юридична особа""
,
VLOOKUP"&amp;"(H1950,IMPORTRANGE(""https://docs.google.com/spreadsheets/d/14Bd19lYaqBhU8_DElYkX7l4wRkHqqCUFNJY4AfY3kHU/edit?usp=sharing  #gid=0"",""фіз особи new!relations_name_uo""),7,FALSE)
,
)
))"),"ПОНОМАРЬОВА Зоя Валеріївна")</f>
        <v>ПОНОМАРЬОВА Зоя Валеріївна</v>
      </c>
      <c r="J1949" s="7" t="s">
        <v>13</v>
      </c>
    </row>
    <row r="1950" spans="1:10" ht="13.2">
      <c r="A1950" s="7">
        <v>1949</v>
      </c>
      <c r="B1950" s="7">
        <v>1</v>
      </c>
      <c r="C1950" s="7" t="s">
        <v>10</v>
      </c>
      <c r="D1950" s="7">
        <v>599</v>
      </c>
      <c r="E1950" s="7" t="s">
        <v>80</v>
      </c>
      <c r="F1950" s="8" t="str">
        <f ca="1">IFERROR(__xludf.DUMMYFUNCTION("IF
(
C1951=""фізична особа""
,
VLOOKUP(D1951,IMPORTRANGE(""https://docs.google.com/spreadsheets/d/14Bd19lYaqBhU8_DElYkX7l4wRkHqqCUFNJY4AfY3kHU/edit?usp=sharing  #gid=0"",""фіз особи new!relations_name""),6,FALSE)
,
(IF
(
C1951=""юридична особа""
,
VLOOKUP"&amp;"(D1951,IMPORTRANGE(""https://docs.google.com/spreadsheets/d/14Bd19lYaqBhU8_DElYkX7l4wRkHqqCUFNJY4AfY3kHU/edit?usp=sharing  #gid=0"",""фіз особи new!relations_name_uo""),7,FALSE)
,
)
))"),"ПОНОМАРЬОВ В'ячеслав Володимирович")</f>
        <v>ПОНОМАРЬОВ В'ячеслав Володимирович</v>
      </c>
      <c r="G1950" s="7" t="s">
        <v>10</v>
      </c>
      <c r="H1950" s="7">
        <v>4593</v>
      </c>
      <c r="I1950" s="8" t="str">
        <f ca="1">IFERROR(__xludf.DUMMYFUNCTION("IF
(
G1951=""фізична особа""
,
VLOOKUP(H1951,IMPORTRANGE(""https://docs.google.com/spreadsheets/d/14Bd19lYaqBhU8_DElYkX7l4wRkHqqCUFNJY4AfY3kHU/edit?usp=sharing  #gid=0"",""фіз особи new!relations_name""),6,FALSE)
,
(IF
(
G1951=""юридична особа""
,
VLOOKUP"&amp;"(H1951,IMPORTRANGE(""https://docs.google.com/spreadsheets/d/14Bd19lYaqBhU8_DElYkX7l4wRkHqqCUFNJY4AfY3kHU/edit?usp=sharing  #gid=0"",""фіз особи new!relations_name_uo""),7,FALSE)
,
)
))"),"ЗДРИЛЮК Сергій Анатолійович")</f>
        <v>ЗДРИЛЮК Сергій Анатолійович</v>
      </c>
      <c r="J1950" s="7" t="s">
        <v>48</v>
      </c>
    </row>
    <row r="1951" spans="1:10" ht="13.2">
      <c r="A1951" s="7">
        <v>1950</v>
      </c>
      <c r="B1951" s="7">
        <v>1</v>
      </c>
      <c r="C1951" s="7" t="s">
        <v>10</v>
      </c>
      <c r="D1951" s="7">
        <v>600</v>
      </c>
      <c r="E1951" s="7" t="s">
        <v>17</v>
      </c>
      <c r="F1951" s="8" t="str">
        <f ca="1">IFERROR(__xludf.DUMMYFUNCTION("IF
(
C1952=""фізична особа""
,
VLOOKUP(D1952,IMPORTRANGE(""https://docs.google.com/spreadsheets/d/14Bd19lYaqBhU8_DElYkX7l4wRkHqqCUFNJY4AfY3kHU/edit?usp=sharing  #gid=0"",""фіз особи new!relations_name""),6,FALSE)
,
(IF
(
C1952=""юридична особа""
,
VLOOKUP"&amp;"(D1952,IMPORTRANGE(""https://docs.google.com/spreadsheets/d/14Bd19lYaqBhU8_DElYkX7l4wRkHqqCUFNJY4AfY3kHU/edit?usp=sharing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G1951" s="7" t="s">
        <v>10</v>
      </c>
      <c r="H1951" s="7">
        <v>602</v>
      </c>
      <c r="I1951" s="8" t="str">
        <f ca="1">IFERROR(__xludf.DUMMYFUNCTION("IF
(
G1952=""фізична особа""
,
VLOOKUP(H1952,IMPORTRANGE(""https://docs.google.com/spreadsheets/d/14Bd19lYaqBhU8_DElYkX7l4wRkHqqCUFNJY4AfY3kHU/edit?usp=sharing  #gid=0"",""фіз особи new!relations_name""),6,FALSE)
,
(IF
(
G1952=""юридична особа""
,
VLOOKUP"&amp;"(H1952,IMPORTRANGE(""https://docs.google.com/spreadsheets/d/14Bd19lYaqBhU8_DElYkX7l4wRkHqqCUFNJY4AfY3kHU/edit?usp=sharing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J1951" s="7" t="s">
        <v>12</v>
      </c>
    </row>
    <row r="1952" spans="1:10" ht="13.2">
      <c r="A1952" s="7">
        <v>1951</v>
      </c>
      <c r="B1952" s="7">
        <v>1</v>
      </c>
      <c r="C1952" s="7" t="s">
        <v>10</v>
      </c>
      <c r="D1952" s="7">
        <v>600</v>
      </c>
      <c r="E1952" s="7" t="s">
        <v>17</v>
      </c>
      <c r="F1952" s="8" t="str">
        <f ca="1">IFERROR(__xludf.DUMMYFUNCTION("IF
(
C1953=""фізична особа""
,
VLOOKUP(D1953,IMPORTRANGE(""https://docs.google.com/spreadsheets/d/14Bd19lYaqBhU8_DElYkX7l4wRkHqqCUFNJY4AfY3kHU/edit?usp=sharing  #gid=0"",""фіз особи new!relations_name""),6,FALSE)
,
(IF
(
C1953=""юридична особа""
,
VLOOKUP"&amp;"(D1953,IMPORTRANGE(""https://docs.google.com/spreadsheets/d/14Bd19lYaqBhU8_DElYkX7l4wRkHqqCUFNJY4AfY3kHU/edit?usp=sharing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G1952" s="7" t="s">
        <v>10</v>
      </c>
      <c r="H1952" s="7">
        <v>407</v>
      </c>
      <c r="I1952" s="8" t="str">
        <f ca="1">IFERROR(__xludf.DUMMYFUNCTION("IF
(
G1953=""фізична особа""
,
VLOOKUP(H1953,IMPORTRANGE(""https://docs.google.com/spreadsheets/d/14Bd19lYaqBhU8_DElYkX7l4wRkHqqCUFNJY4AfY3kHU/edit?usp=sharing  #gid=0"",""фіз особи new!relations_name""),6,FALSE)
,
(IF
(
G1953=""юридична особа""
,
VLOOKUP"&amp;"(H1953,IMPORTRANGE(""https://docs.google.com/spreadsheets/d/14Bd19lYaqBhU8_DElYkX7l4wRkHqqCUFNJY4AfY3kHU/edit?usp=sharing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J1952" s="7" t="s">
        <v>21</v>
      </c>
    </row>
    <row r="1953" spans="1:10" ht="13.2">
      <c r="A1953" s="7">
        <v>1952</v>
      </c>
      <c r="B1953" s="7">
        <v>1</v>
      </c>
      <c r="C1953" s="7" t="s">
        <v>10</v>
      </c>
      <c r="D1953" s="7">
        <v>600</v>
      </c>
      <c r="E1953" s="7" t="s">
        <v>18</v>
      </c>
      <c r="F1953" s="8" t="str">
        <f ca="1">IFERROR(__xludf.DUMMYFUNCTION("IF
(
C1954=""фізична особа""
,
VLOOKUP(D1954,IMPORTRANGE(""https://docs.google.com/spreadsheets/d/14Bd19lYaqBhU8_DElYkX7l4wRkHqqCUFNJY4AfY3kHU/edit?usp=sharing  #gid=0"",""фіз особи new!relations_name""),6,FALSE)
,
(IF
(
C1954=""юридична особа""
,
VLOOKUP"&amp;"(D1954,IMPORTRANGE(""https://docs.google.com/spreadsheets/d/14Bd19lYaqBhU8_DElYkX7l4wRkHqqCUFNJY4AfY3kHU/edit?usp=sharing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G1953" s="7" t="s">
        <v>10</v>
      </c>
      <c r="H1953" s="7">
        <v>603</v>
      </c>
      <c r="I1953" s="8" t="str">
        <f ca="1">IFERROR(__xludf.DUMMYFUNCTION("IF
(
G1954=""фізична особа""
,
VLOOKUP(H1954,IMPORTRANGE(""https://docs.google.com/spreadsheets/d/14Bd19lYaqBhU8_DElYkX7l4wRkHqqCUFNJY4AfY3kHU/edit?usp=sharing  #gid=0"",""фіз особи new!relations_name""),6,FALSE)
,
(IF
(
G1954=""юридична особа""
,
VLOOKUP"&amp;"(H1954,IMPORTRANGE(""https://docs.google.com/spreadsheets/d/14Bd19lYaqBhU8_DElYkX7l4wRkHqqCUFNJY4AfY3kHU/edit?usp=sharing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J1953" s="7" t="s">
        <v>31</v>
      </c>
    </row>
    <row r="1954" spans="1:10" ht="13.2">
      <c r="A1954" s="7">
        <v>1953</v>
      </c>
      <c r="B1954" s="7">
        <v>1</v>
      </c>
      <c r="C1954" s="7" t="s">
        <v>10</v>
      </c>
      <c r="D1954" s="7">
        <v>600</v>
      </c>
      <c r="E1954" s="7" t="s">
        <v>18</v>
      </c>
      <c r="F1954" s="8" t="str">
        <f ca="1">IFERROR(__xludf.DUMMYFUNCTION("IF
(
C1955=""фізична особа""
,
VLOOKUP(D1955,IMPORTRANGE(""https://docs.google.com/spreadsheets/d/14Bd19lYaqBhU8_DElYkX7l4wRkHqqCUFNJY4AfY3kHU/edit?usp=sharing  #gid=0"",""фіз особи new!relations_name""),6,FALSE)
,
(IF
(
C1955=""юридична особа""
,
VLOOKUP"&amp;"(D1955,IMPORTRANGE(""https://docs.google.com/spreadsheets/d/14Bd19lYaqBhU8_DElYkX7l4wRkHqqCUFNJY4AfY3kHU/edit?usp=sharing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G1954" s="7" t="s">
        <v>10</v>
      </c>
      <c r="H1954" s="7">
        <v>23397</v>
      </c>
      <c r="I1954" s="8" t="str">
        <f ca="1">IFERROR(__xludf.DUMMYFUNCTION("IF
(
G1955=""фізична особа""
,
VLOOKUP(H1955,IMPORTRANGE(""https://docs.google.com/spreadsheets/d/14Bd19lYaqBhU8_DElYkX7l4wRkHqqCUFNJY4AfY3kHU/edit?usp=sharing  #gid=0"",""фіз особи new!relations_name""),6,FALSE)
,
(IF
(
G1955=""юридична особа""
,
VLOOKUP"&amp;"(H1955,IMPORTRANGE(""https://docs.google.com/spreadsheets/d/14Bd19lYaqBhU8_DElYkX7l4wRkHqqCUFNJY4AfY3kHU/edit?usp=sharing  #gid=0"",""фіз особи new!relations_name_uo""),7,FALSE)
,
)
))"),"ПРИГОЖИНА Вероніка Євгенівна")</f>
        <v>ПРИГОЖИНА Вероніка Євгенівна</v>
      </c>
      <c r="J1954" s="7" t="s">
        <v>31</v>
      </c>
    </row>
    <row r="1955" spans="1:10" ht="13.2">
      <c r="A1955" s="7">
        <v>1954</v>
      </c>
      <c r="B1955" s="7">
        <v>1</v>
      </c>
      <c r="C1955" s="7" t="s">
        <v>10</v>
      </c>
      <c r="D1955" s="7">
        <v>601</v>
      </c>
      <c r="E1955" s="7" t="s">
        <v>12</v>
      </c>
      <c r="F1955" s="8" t="str">
        <f ca="1">IFERROR(__xludf.DUMMYFUNCTION("IF
(
C1956=""фізична особа""
,
VLOOKUP(D1956,IMPORTRANGE(""https://docs.google.com/spreadsheets/d/14Bd19lYaqBhU8_DElYkX7l4wRkHqqCUFNJY4AfY3kHU/edit?usp=sharing  #gid=0"",""фіз особи new!relations_name""),6,FALSE)
,
(IF
(
C1956=""юридична особа""
,
VLOOKUP"&amp;"(D1956,IMPORTRANGE(""https://docs.google.com/spreadsheets/d/14Bd19lYaqBhU8_DElYkX7l4wRkHqqCUFNJY4AfY3kHU/edit?usp=sharing  #gid=0"",""фіз особи new!relations_name_uo""),7,FALSE)
,
)
))"),"ШОЛОХОВ Олександр Михайлович")</f>
        <v>ШОЛОХОВ Олександр Михайлович</v>
      </c>
      <c r="G1955" s="7" t="s">
        <v>10</v>
      </c>
      <c r="H1955" s="7">
        <v>0</v>
      </c>
      <c r="I1955" s="8" t="str">
        <f ca="1">IFERROR(__xludf.DUMMYFUNCTION("IF
(
G1956=""фізична особа""
,
VLOOKUP(H1956,IMPORTRANGE(""https://docs.google.com/spreadsheets/d/14Bd19lYaqBhU8_DElYkX7l4wRkHqqCUFNJY4AfY3kHU/edit?usp=sharing  #gid=0"",""фіз особи new!relations_name""),6,FALSE)
,
(IF
(
G1956=""юридична особа""
,
VLOOKUP"&amp;"(H1956,IMPORTRANGE(""https://docs.google.com/spreadsheets/d/14Bd19lYaqBhU8_DElYkX7l4wRkHqqCUFNJY4AfY3kHU/edit?usp=sharing  #gid=0"",""фіз особи new!relations_name_uo""),7,FALSE)
,
)
))"),"#N/A")</f>
        <v>#N/A</v>
      </c>
      <c r="J1955" s="7" t="s">
        <v>17</v>
      </c>
    </row>
    <row r="1956" spans="1:10" ht="13.2">
      <c r="A1956" s="7">
        <v>1955</v>
      </c>
      <c r="B1956" s="7">
        <v>1</v>
      </c>
      <c r="C1956" s="7" t="s">
        <v>10</v>
      </c>
      <c r="D1956" s="7">
        <v>601</v>
      </c>
      <c r="E1956" s="7" t="s">
        <v>14</v>
      </c>
      <c r="F1956" s="8" t="str">
        <f ca="1">IFERROR(__xludf.DUMMYFUNCTION("IF
(
C1957=""фізична особа""
,
VLOOKUP(D1957,IMPORTRANGE(""https://docs.google.com/spreadsheets/d/14Bd19lYaqBhU8_DElYkX7l4wRkHqqCUFNJY4AfY3kHU/edit?usp=sharing  #gid=0"",""фіз особи new!relations_name""),6,FALSE)
,
(IF
(
C1957=""юридична особа""
,
VLOOKUP"&amp;"(D1957,IMPORTRANGE(""https://docs.google.com/spreadsheets/d/14Bd19lYaqBhU8_DElYkX7l4wRkHqqCUFNJY4AfY3kHU/edit?usp=sharing  #gid=0"",""фіз особи new!relations_name_uo""),7,FALSE)
,
)
))"),"ШОЛОХОВ Олександр Михайлович")</f>
        <v>ШОЛОХОВ Олександр Михайлович</v>
      </c>
      <c r="G1956" s="7" t="s">
        <v>10</v>
      </c>
      <c r="H1956" s="7">
        <v>8868</v>
      </c>
      <c r="I1956" s="8" t="str">
        <f ca="1">IFERROR(__xludf.DUMMYFUNCTION("IF
(
G1957=""фізична особа""
,
VLOOKUP(H1957,IMPORTRANGE(""https://docs.google.com/spreadsheets/d/14Bd19lYaqBhU8_DElYkX7l4wRkHqqCUFNJY4AfY3kHU/edit?usp=sharing  #gid=0"",""фіз особи new!relations_name""),6,FALSE)
,
(IF
(
G1957=""юридична особа""
,
VLOOKUP"&amp;"(H1957,IMPORTRANGE(""https://docs.google.com/spreadsheets/d/14Bd19lYaqBhU8_DElYkX7l4wRkHqqCUFNJY4AfY3kHU/edit?usp=sharing  #gid=0"",""фіз особи new!relations_name_uo""),7,FALSE)
,
)
))"),"ШОЛОХОВА Валерія Володимирівна")</f>
        <v>ШОЛОХОВА Валерія Володимирівна</v>
      </c>
      <c r="J1956" s="7" t="s">
        <v>15</v>
      </c>
    </row>
    <row r="1957" spans="1:10" ht="13.2">
      <c r="A1957" s="7">
        <v>1956</v>
      </c>
      <c r="B1957" s="7">
        <v>1</v>
      </c>
      <c r="C1957" s="7" t="s">
        <v>10</v>
      </c>
      <c r="D1957" s="7">
        <v>601</v>
      </c>
      <c r="E1957" s="7" t="s">
        <v>12</v>
      </c>
      <c r="F1957" s="8" t="str">
        <f ca="1">IFERROR(__xludf.DUMMYFUNCTION("IF
(
C1958=""фізична особа""
,
VLOOKUP(D1958,IMPORTRANGE(""https://docs.google.com/spreadsheets/d/14Bd19lYaqBhU8_DElYkX7l4wRkHqqCUFNJY4AfY3kHU/edit?usp=sharing  #gid=0"",""фіз особи new!relations_name""),6,FALSE)
,
(IF
(
C1958=""юридична особа""
,
VLOOKUP"&amp;"(D1958,IMPORTRANGE(""https://docs.google.com/spreadsheets/d/14Bd19lYaqBhU8_DElYkX7l4wRkHqqCUFNJY4AfY3kHU/edit?usp=sharing  #gid=0"",""фіз особи new!relations_name_uo""),7,FALSE)
,
)
))"),"ШОЛОХОВ Олександр Михайлович")</f>
        <v>ШОЛОХОВ Олександр Михайлович</v>
      </c>
      <c r="G1957" s="7" t="s">
        <v>10</v>
      </c>
      <c r="H1957" s="7">
        <v>0</v>
      </c>
      <c r="I1957" s="8" t="str">
        <f ca="1">IFERROR(__xludf.DUMMYFUNCTION("IF
(
G1958=""фізична особа""
,
VLOOKUP(H1958,IMPORTRANGE(""https://docs.google.com/spreadsheets/d/14Bd19lYaqBhU8_DElYkX7l4wRkHqqCUFNJY4AfY3kHU/edit?usp=sharing  #gid=0"",""фіз особи new!relations_name""),6,FALSE)
,
(IF
(
G1958=""юридична особа""
,
VLOOKUP"&amp;"(H1958,IMPORTRANGE(""https://docs.google.com/spreadsheets/d/14Bd19lYaqBhU8_DElYkX7l4wRkHqqCUFNJY4AfY3kHU/edit?usp=sharing  #gid=0"",""фіз особи new!relations_name_uo""),7,FALSE)
,
)
))"),"#N/A")</f>
        <v>#N/A</v>
      </c>
      <c r="J1957" s="7" t="s">
        <v>17</v>
      </c>
    </row>
    <row r="1958" spans="1:10" ht="13.2">
      <c r="A1958" s="7">
        <v>1957</v>
      </c>
      <c r="B1958" s="7">
        <v>1</v>
      </c>
      <c r="C1958" s="7" t="s">
        <v>10</v>
      </c>
      <c r="D1958" s="7">
        <v>601</v>
      </c>
      <c r="E1958" s="7" t="s">
        <v>17</v>
      </c>
      <c r="F1958" s="8" t="str">
        <f ca="1">IFERROR(__xludf.DUMMYFUNCTION("IF
(
C1959=""фізична особа""
,
VLOOKUP(D1959,IMPORTRANGE(""https://docs.google.com/spreadsheets/d/14Bd19lYaqBhU8_DElYkX7l4wRkHqqCUFNJY4AfY3kHU/edit?usp=sharing  #gid=0"",""фіз особи new!relations_name""),6,FALSE)
,
(IF
(
C1959=""юридична особа""
,
VLOOKUP"&amp;"(D1959,IMPORTRANGE(""https://docs.google.com/spreadsheets/d/14Bd19lYaqBhU8_DElYkX7l4wRkHqqCUFNJY4AfY3kHU/edit?usp=sharing  #gid=0"",""фіз особи new!relations_name_uo""),7,FALSE)
,
)
))"),"ШОЛОХОВ Олександр Михайлович")</f>
        <v>ШОЛОХОВ Олександр Михайлович</v>
      </c>
      <c r="G1958" s="7" t="s">
        <v>10</v>
      </c>
      <c r="H1958" s="7">
        <v>0</v>
      </c>
      <c r="I1958" s="8" t="str">
        <f ca="1">IFERROR(__xludf.DUMMYFUNCTION("IF
(
G1959=""фізична особа""
,
VLOOKUP(H1959,IMPORTRANGE(""https://docs.google.com/spreadsheets/d/14Bd19lYaqBhU8_DElYkX7l4wRkHqqCUFNJY4AfY3kHU/edit?usp=sharing  #gid=0"",""фіз особи new!relations_name""),6,FALSE)
,
(IF
(
G1959=""юридична особа""
,
VLOOKUP"&amp;"(H1959,IMPORTRANGE(""https://docs.google.com/spreadsheets/d/14Bd19lYaqBhU8_DElYkX7l4wRkHqqCUFNJY4AfY3kHU/edit?usp=sharing  #gid=0"",""фіз особи new!relations_name_uo""),7,FALSE)
,
)
))"),"#N/A")</f>
        <v>#N/A</v>
      </c>
      <c r="J1958" s="7" t="s">
        <v>12</v>
      </c>
    </row>
    <row r="1959" spans="1:10" ht="13.2">
      <c r="A1959" s="7">
        <v>1958</v>
      </c>
      <c r="B1959" s="7">
        <v>1</v>
      </c>
      <c r="C1959" s="7" t="s">
        <v>10</v>
      </c>
      <c r="D1959" s="7">
        <v>602</v>
      </c>
      <c r="E1959" s="7" t="s">
        <v>12</v>
      </c>
      <c r="F1959" s="8" t="str">
        <f ca="1">IFERROR(__xludf.DUMMYFUNCTION("IF
(
C1960=""фізична особа""
,
VLOOKUP(D1960,IMPORTRANGE(""https://docs.google.com/spreadsheets/d/14Bd19lYaqBhU8_DElYkX7l4wRkHqqCUFNJY4AfY3kHU/edit?usp=sharing  #gid=0"",""фіз особи new!relations_name""),6,FALSE)
,
(IF
(
C1960=""юридична особа""
,
VLOOKUP"&amp;"(D1960,IMPORTRANGE(""https://docs.google.com/spreadsheets/d/14Bd19lYaqBhU8_DElYkX7l4wRkHqqCUFNJY4AfY3kHU/edit?usp=sharing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G1959" s="7" t="s">
        <v>10</v>
      </c>
      <c r="H1959" s="7">
        <v>600</v>
      </c>
      <c r="I1959" s="8" t="str">
        <f ca="1">IFERROR(__xludf.DUMMYFUNCTION("IF
(
G1960=""фізична особа""
,
VLOOKUP(H1960,IMPORTRANGE(""https://docs.google.com/spreadsheets/d/14Bd19lYaqBhU8_DElYkX7l4wRkHqqCUFNJY4AfY3kHU/edit?usp=sharing  #gid=0"",""фіз особи new!relations_name""),6,FALSE)
,
(IF
(
G1960=""юридична особа""
,
VLOOKUP"&amp;"(H1960,IMPORTRANGE(""https://docs.google.com/spreadsheets/d/14Bd19lYaqBhU8_DElYkX7l4wRkHqqCUFNJY4AfY3kHU/edit?usp=sharing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J1959" s="7" t="s">
        <v>17</v>
      </c>
    </row>
    <row r="1960" spans="1:10" ht="13.2">
      <c r="A1960" s="7">
        <v>1959</v>
      </c>
      <c r="B1960" s="7">
        <v>1</v>
      </c>
      <c r="C1960" s="7" t="s">
        <v>10</v>
      </c>
      <c r="D1960" s="7">
        <v>602</v>
      </c>
      <c r="E1960" s="7" t="s">
        <v>12</v>
      </c>
      <c r="F1960" s="8" t="str">
        <f ca="1">IFERROR(__xludf.DUMMYFUNCTION("IF
(
C1961=""фізична особа""
,
VLOOKUP(D1961,IMPORTRANGE(""https://docs.google.com/spreadsheets/d/14Bd19lYaqBhU8_DElYkX7l4wRkHqqCUFNJY4AfY3kHU/edit?usp=sharing  #gid=0"",""фіз особи new!relations_name""),6,FALSE)
,
(IF
(
C1961=""юридична особа""
,
VLOOKUP"&amp;"(D1961,IMPORTRANGE(""https://docs.google.com/spreadsheets/d/14Bd19lYaqBhU8_DElYkX7l4wRkHqqCUFNJY4AfY3kHU/edit?usp=sharing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G1960" s="7" t="s">
        <v>10</v>
      </c>
      <c r="H1960" s="7">
        <v>603</v>
      </c>
      <c r="I1960" s="8" t="str">
        <f ca="1">IFERROR(__xludf.DUMMYFUNCTION("IF
(
G1961=""фізична особа""
,
VLOOKUP(H1961,IMPORTRANGE(""https://docs.google.com/spreadsheets/d/14Bd19lYaqBhU8_DElYkX7l4wRkHqqCUFNJY4AfY3kHU/edit?usp=sharing  #gid=0"",""фіз особи new!relations_name""),6,FALSE)
,
(IF
(
G1961=""юридична особа""
,
VLOOKUP"&amp;"(H1961,IMPORTRANGE(""https://docs.google.com/spreadsheets/d/14Bd19lYaqBhU8_DElYkX7l4wRkHqqCUFNJY4AfY3kHU/edit?usp=sharing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J1960" s="7" t="s">
        <v>13</v>
      </c>
    </row>
    <row r="1961" spans="1:10" ht="13.2">
      <c r="A1961" s="7">
        <v>1960</v>
      </c>
      <c r="B1961" s="7">
        <v>1</v>
      </c>
      <c r="C1961" s="7" t="s">
        <v>10</v>
      </c>
      <c r="D1961" s="7">
        <v>602</v>
      </c>
      <c r="E1961" s="7" t="s">
        <v>17</v>
      </c>
      <c r="F1961" s="8" t="str">
        <f ca="1">IFERROR(__xludf.DUMMYFUNCTION("IF
(
C1962=""фізична особа""
,
VLOOKUP(D1962,IMPORTRANGE(""https://docs.google.com/spreadsheets/d/14Bd19lYaqBhU8_DElYkX7l4wRkHqqCUFNJY4AfY3kHU/edit?usp=sharing  #gid=0"",""фіз особи new!relations_name""),6,FALSE)
,
(IF
(
C1962=""юридична особа""
,
VLOOKUP"&amp;"(D1962,IMPORTRANGE(""https://docs.google.com/spreadsheets/d/14Bd19lYaqBhU8_DElYkX7l4wRkHqqCUFNJY4AfY3kHU/edit?usp=sharing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G1961" s="7" t="s">
        <v>10</v>
      </c>
      <c r="H1961" s="7">
        <v>836</v>
      </c>
      <c r="I1961" s="8" t="str">
        <f ca="1">IFERROR(__xludf.DUMMYFUNCTION("IF
(
G1962=""фізична особа""
,
VLOOKUP(H1962,IMPORTRANGE(""https://docs.google.com/spreadsheets/d/14Bd19lYaqBhU8_DElYkX7l4wRkHqqCUFNJY4AfY3kHU/edit?usp=sharing  #gid=0"",""фіз особи new!relations_name""),6,FALSE)
,
(IF
(
G1962=""юридична особа""
,
VLOOKUP"&amp;"(H1962,IMPORTRANGE(""https://docs.google.com/spreadsheets/d/14Bd19lYaqBhU8_DElYkX7l4wRkHqqCUFNJY4AfY3kHU/edit?usp=sharing  #gid=0"",""фіз особи new!relations_name_uo""),7,FALSE)
,
)
))"),"ПРИГОЖИНА Віолетта Кіровна")</f>
        <v>ПРИГОЖИНА Віолетта Кіровна</v>
      </c>
      <c r="J1961" s="7" t="s">
        <v>21</v>
      </c>
    </row>
    <row r="1962" spans="1:10" ht="13.2">
      <c r="A1962" s="7">
        <v>1961</v>
      </c>
      <c r="B1962" s="7">
        <v>1</v>
      </c>
      <c r="C1962" s="7" t="s">
        <v>10</v>
      </c>
      <c r="D1962" s="7">
        <v>602</v>
      </c>
      <c r="E1962" s="7" t="s">
        <v>14</v>
      </c>
      <c r="F1962" s="8" t="str">
        <f ca="1">IFERROR(__xludf.DUMMYFUNCTION("IF
(
C1963=""фізична особа""
,
VLOOKUP(D1963,IMPORTRANGE(""https://docs.google.com/spreadsheets/d/14Bd19lYaqBhU8_DElYkX7l4wRkHqqCUFNJY4AfY3kHU/edit?usp=sharing  #gid=0"",""фіз особи new!relations_name""),6,FALSE)
,
(IF
(
C1963=""юридична особа""
,
VLOOKUP"&amp;"(D1963,IMPORTRANGE(""https://docs.google.com/spreadsheets/d/14Bd19lYaqBhU8_DElYkX7l4wRkHqqCUFNJY4AfY3kHU/edit?usp=sharing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G1962" s="7" t="s">
        <v>10</v>
      </c>
      <c r="H1962" s="7">
        <v>407</v>
      </c>
      <c r="I1962" s="8" t="str">
        <f ca="1">IFERROR(__xludf.DUMMYFUNCTION("IF
(
G1963=""фізична особа""
,
VLOOKUP(H1963,IMPORTRANGE(""https://docs.google.com/spreadsheets/d/14Bd19lYaqBhU8_DElYkX7l4wRkHqqCUFNJY4AfY3kHU/edit?usp=sharing  #gid=0"",""фіз особи new!relations_name""),6,FALSE)
,
(IF
(
G1963=""юридична особа""
,
VLOOKUP"&amp;"(H1963,IMPORTRANGE(""https://docs.google.com/spreadsheets/d/14Bd19lYaqBhU8_DElYkX7l4wRkHqqCUFNJY4AfY3kHU/edit?usp=sharing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J1962" s="7" t="s">
        <v>15</v>
      </c>
    </row>
    <row r="1963" spans="1:10" ht="13.2">
      <c r="A1963" s="7">
        <v>1962</v>
      </c>
      <c r="B1963" s="7">
        <v>1</v>
      </c>
      <c r="C1963" s="7" t="s">
        <v>10</v>
      </c>
      <c r="D1963" s="7">
        <v>603</v>
      </c>
      <c r="E1963" s="7" t="s">
        <v>13</v>
      </c>
      <c r="F1963" s="8" t="str">
        <f ca="1">IFERROR(__xludf.DUMMYFUNCTION("IF
(
C1964=""фізична особа""
,
VLOOKUP(D1964,IMPORTRANGE(""https://docs.google.com/spreadsheets/d/14Bd19lYaqBhU8_DElYkX7l4wRkHqqCUFNJY4AfY3kHU/edit?usp=sharing  #gid=0"",""фіз особи new!relations_name""),6,FALSE)
,
(IF
(
C1964=""юридична особа""
,
VLOOKUP"&amp;"(D1964,IMPORTRANGE(""https://docs.google.com/spreadsheets/d/14Bd19lYaqBhU8_DElYkX7l4wRkHqqCUFNJY4AfY3kHU/edit?usp=sharing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G1963" s="7" t="s">
        <v>10</v>
      </c>
      <c r="H1963" s="7">
        <v>600</v>
      </c>
      <c r="I1963" s="8" t="str">
        <f ca="1">IFERROR(__xludf.DUMMYFUNCTION("IF
(
G1964=""фізична особа""
,
VLOOKUP(H1964,IMPORTRANGE(""https://docs.google.com/spreadsheets/d/14Bd19lYaqBhU8_DElYkX7l4wRkHqqCUFNJY4AfY3kHU/edit?usp=sharing  #gid=0"",""фіз особи new!relations_name""),6,FALSE)
,
(IF
(
G1964=""юридична особа""
,
VLOOKUP"&amp;"(H1964,IMPORTRANGE(""https://docs.google.com/spreadsheets/d/14Bd19lYaqBhU8_DElYkX7l4wRkHqqCUFNJY4AfY3kHU/edit?usp=sharing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J1963" s="7" t="s">
        <v>12</v>
      </c>
    </row>
    <row r="1964" spans="1:10" ht="13.2">
      <c r="A1964" s="7">
        <v>1963</v>
      </c>
      <c r="B1964" s="7">
        <v>1</v>
      </c>
      <c r="C1964" s="7" t="s">
        <v>10</v>
      </c>
      <c r="D1964" s="7">
        <v>603</v>
      </c>
      <c r="E1964" s="7" t="s">
        <v>18</v>
      </c>
      <c r="F1964" s="8" t="str">
        <f ca="1">IFERROR(__xludf.DUMMYFUNCTION("IF
(
C1965=""фізична особа""
,
VLOOKUP(D1965,IMPORTRANGE(""https://docs.google.com/spreadsheets/d/14Bd19lYaqBhU8_DElYkX7l4wRkHqqCUFNJY4AfY3kHU/edit?usp=sharing  #gid=0"",""фіз особи new!relations_name""),6,FALSE)
,
(IF
(
C1965=""юридична особа""
,
VLOOKUP"&amp;"(D1965,IMPORTRANGE(""https://docs.google.com/spreadsheets/d/14Bd19lYaqBhU8_DElYkX7l4wRkHqqCUFNJY4AfY3kHU/edit?usp=sharing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G1964" s="7" t="s">
        <v>10</v>
      </c>
      <c r="H1964" s="7">
        <v>600</v>
      </c>
      <c r="I1964" s="8" t="str">
        <f ca="1">IFERROR(__xludf.DUMMYFUNCTION("IF
(
G1965=""фізична особа""
,
VLOOKUP(H1965,IMPORTRANGE(""https://docs.google.com/spreadsheets/d/14Bd19lYaqBhU8_DElYkX7l4wRkHqqCUFNJY4AfY3kHU/edit?usp=sharing  #gid=0"",""фіз особи new!relations_name""),6,FALSE)
,
(IF
(
G1965=""юридична особа""
,
VLOOKUP"&amp;"(H1965,IMPORTRANGE(""https://docs.google.com/spreadsheets/d/14Bd19lYaqBhU8_DElYkX7l4wRkHqqCUFNJY4AfY3kHU/edit?usp=sharing  #gid=0"",""фіз особи new!relations_name_uo""),7,FALSE)
,
)
))"),"ПРИГОЖИН Павло Євгенович")</f>
        <v>ПРИГОЖИН Павло Євгенович</v>
      </c>
      <c r="J1964" s="7" t="s">
        <v>18</v>
      </c>
    </row>
    <row r="1965" spans="1:10" ht="13.2">
      <c r="A1965" s="7">
        <v>1964</v>
      </c>
      <c r="B1965" s="7">
        <v>1</v>
      </c>
      <c r="C1965" s="7" t="s">
        <v>10</v>
      </c>
      <c r="D1965" s="7">
        <v>603</v>
      </c>
      <c r="E1965" s="7" t="s">
        <v>13</v>
      </c>
      <c r="F1965" s="8" t="str">
        <f ca="1">IFERROR(__xludf.DUMMYFUNCTION("IF
(
C1966=""фізична особа""
,
VLOOKUP(D1966,IMPORTRANGE(""https://docs.google.com/spreadsheets/d/14Bd19lYaqBhU8_DElYkX7l4wRkHqqCUFNJY4AfY3kHU/edit?usp=sharing  #gid=0"",""фіз особи new!relations_name""),6,FALSE)
,
(IF
(
C1966=""юридична особа""
,
VLOOKUP"&amp;"(D1966,IMPORTRANGE(""https://docs.google.com/spreadsheets/d/14Bd19lYaqBhU8_DElYkX7l4wRkHqqCUFNJY4AfY3kHU/edit?usp=sharing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G1965" s="7" t="s">
        <v>10</v>
      </c>
      <c r="H1965" s="7">
        <v>407</v>
      </c>
      <c r="I1965" s="8" t="str">
        <f ca="1">IFERROR(__xludf.DUMMYFUNCTION("IF
(
G1966=""фізична особа""
,
VLOOKUP(H1966,IMPORTRANGE(""https://docs.google.com/spreadsheets/d/14Bd19lYaqBhU8_DElYkX7l4wRkHqqCUFNJY4AfY3kHU/edit?usp=sharing  #gid=0"",""фіз особи new!relations_name""),6,FALSE)
,
(IF
(
G1966=""юридична особа""
,
VLOOKUP"&amp;"(H1966,IMPORTRANGE(""https://docs.google.com/spreadsheets/d/14Bd19lYaqBhU8_DElYkX7l4wRkHqqCUFNJY4AfY3kHU/edit?usp=sharing  #gid=0"",""фіз особи new!relations_name_uo""),7,FALSE)
,
)
))"),"ПРИГОЖИНА Любов Валентинівна")</f>
        <v>ПРИГОЖИНА Любов Валентинівна</v>
      </c>
      <c r="J1965" s="7" t="s">
        <v>21</v>
      </c>
    </row>
    <row r="1966" spans="1:10" ht="13.2">
      <c r="A1966" s="7">
        <v>1965</v>
      </c>
      <c r="B1966" s="7">
        <v>1</v>
      </c>
      <c r="C1966" s="7" t="s">
        <v>10</v>
      </c>
      <c r="D1966" s="7">
        <v>603</v>
      </c>
      <c r="E1966" s="7" t="s">
        <v>31</v>
      </c>
      <c r="F1966" s="8" t="str">
        <f ca="1">IFERROR(__xludf.DUMMYFUNCTION("IF
(
C1967=""фізична особа""
,
VLOOKUP(D1967,IMPORTRANGE(""https://docs.google.com/spreadsheets/d/14Bd19lYaqBhU8_DElYkX7l4wRkHqqCUFNJY4AfY3kHU/edit?usp=sharing  #gid=0"",""фіз особи new!relations_name""),6,FALSE)
,
(IF
(
C1967=""юридична особа""
,
VLOOKUP"&amp;"(D1967,IMPORTRANGE(""https://docs.google.com/spreadsheets/d/14Bd19lYaqBhU8_DElYkX7l4wRkHqqCUFNJY4AfY3kHU/edit?usp=sharing  #gid=0"",""фіз особи new!relations_name_uo""),7,FALSE)
,
)
))"),"ПРИГОЖИНА Поліна Євгенівна")</f>
        <v>ПРИГОЖИНА Поліна Євгенівна</v>
      </c>
      <c r="G1966" s="7" t="s">
        <v>10</v>
      </c>
      <c r="H1966" s="7">
        <v>23397</v>
      </c>
      <c r="I1966" s="8" t="str">
        <f ca="1">IFERROR(__xludf.DUMMYFUNCTION("IF
(
G1967=""фізична особа""
,
VLOOKUP(H1967,IMPORTRANGE(""https://docs.google.com/spreadsheets/d/14Bd19lYaqBhU8_DElYkX7l4wRkHqqCUFNJY4AfY3kHU/edit?usp=sharing  #gid=0"",""фіз особи new!relations_name""),6,FALSE)
,
(IF
(
G1967=""юридична особа""
,
VLOOKUP"&amp;"(H1967,IMPORTRANGE(""https://docs.google.com/spreadsheets/d/14Bd19lYaqBhU8_DElYkX7l4wRkHqqCUFNJY4AfY3kHU/edit?usp=sharing  #gid=0"",""фіз особи new!relations_name_uo""),7,FALSE)
,
)
))"),"ПРИГОЖИНА Вероніка Євгенівна")</f>
        <v>ПРИГОЖИНА Вероніка Євгенівна</v>
      </c>
      <c r="J1966" s="7" t="s">
        <v>31</v>
      </c>
    </row>
    <row r="1967" spans="1:10" ht="13.2">
      <c r="A1967" s="7">
        <v>1966</v>
      </c>
      <c r="B1967" s="7">
        <v>1</v>
      </c>
      <c r="C1967" s="7" t="s">
        <v>10</v>
      </c>
      <c r="D1967" s="7">
        <v>604</v>
      </c>
      <c r="E1967" s="7" t="s">
        <v>14</v>
      </c>
      <c r="F1967" s="8" t="str">
        <f ca="1">IFERROR(__xludf.DUMMYFUNCTION("IF
(
C1968=""фізична особа""
,
VLOOKUP(D1968,IMPORTRANGE(""https://docs.google.com/spreadsheets/d/14Bd19lYaqBhU8_DElYkX7l4wRkHqqCUFNJY4AfY3kHU/edit?usp=sharing  #gid=0"",""фіз особи new!relations_name""),6,FALSE)
,
(IF
(
C1968=""юридична особа""
,
VLOOKUP"&amp;"(D1968,IMPORTRANGE(""https://docs.google.com/spreadsheets/d/14Bd19lYaqBhU8_DElYkX7l4wRkHqqCUFNJY4AfY3kHU/edit?usp=sharing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G1967" s="7" t="s">
        <v>10</v>
      </c>
      <c r="H1967" s="7">
        <v>0</v>
      </c>
      <c r="I1967" s="8" t="str">
        <f ca="1">IFERROR(__xludf.DUMMYFUNCTION("IF
(
G1968=""фізична особа""
,
VLOOKUP(H1968,IMPORTRANGE(""https://docs.google.com/spreadsheets/d/14Bd19lYaqBhU8_DElYkX7l4wRkHqqCUFNJY4AfY3kHU/edit?usp=sharing  #gid=0"",""фіз особи new!relations_name""),6,FALSE)
,
(IF
(
G1968=""юридична особа""
,
VLOOKUP"&amp;"(H1968,IMPORTRANGE(""https://docs.google.com/spreadsheets/d/14Bd19lYaqBhU8_DElYkX7l4wRkHqqCUFNJY4AfY3kHU/edit?usp=sharing  #gid=0"",""фіз особи new!relations_name_uo""),7,FALSE)
,
)
))"),"#N/A")</f>
        <v>#N/A</v>
      </c>
      <c r="J1967" s="7" t="s">
        <v>15</v>
      </c>
    </row>
    <row r="1968" spans="1:10" ht="13.2">
      <c r="A1968" s="7">
        <v>1967</v>
      </c>
      <c r="B1968" s="7">
        <v>1</v>
      </c>
      <c r="C1968" s="7" t="s">
        <v>10</v>
      </c>
      <c r="D1968" s="7">
        <v>604</v>
      </c>
      <c r="E1968" s="7" t="s">
        <v>12</v>
      </c>
      <c r="F1968" s="8" t="str">
        <f ca="1">IFERROR(__xludf.DUMMYFUNCTION("IF
(
C1969=""фізична особа""
,
VLOOKUP(D1969,IMPORTRANGE(""https://docs.google.com/spreadsheets/d/14Bd19lYaqBhU8_DElYkX7l4wRkHqqCUFNJY4AfY3kHU/edit?usp=sharing  #gid=0"",""фіз особи new!relations_name""),6,FALSE)
,
(IF
(
C1969=""юридична особа""
,
VLOOKUP"&amp;"(D1969,IMPORTRANGE(""https://docs.google.com/spreadsheets/d/14Bd19lYaqBhU8_DElYkX7l4wRkHqqCUFNJY4AfY3kHU/edit?usp=sharing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G1968" s="7" t="s">
        <v>10</v>
      </c>
      <c r="H1968" s="7">
        <v>0</v>
      </c>
      <c r="I1968" s="8" t="str">
        <f ca="1">IFERROR(__xludf.DUMMYFUNCTION("IF
(
G1969=""фізична особа""
,
VLOOKUP(H1969,IMPORTRANGE(""https://docs.google.com/spreadsheets/d/14Bd19lYaqBhU8_DElYkX7l4wRkHqqCUFNJY4AfY3kHU/edit?usp=sharing  #gid=0"",""фіз особи new!relations_name""),6,FALSE)
,
(IF
(
G1969=""юридична особа""
,
VLOOKUP"&amp;"(H1969,IMPORTRANGE(""https://docs.google.com/spreadsheets/d/14Bd19lYaqBhU8_DElYkX7l4wRkHqqCUFNJY4AfY3kHU/edit?usp=sharing  #gid=0"",""фіз особи new!relations_name_uo""),7,FALSE)
,
)
))"),"#N/A")</f>
        <v>#N/A</v>
      </c>
      <c r="J1968" s="7" t="s">
        <v>17</v>
      </c>
    </row>
    <row r="1969" spans="1:10" ht="13.2">
      <c r="A1969" s="7">
        <v>1968</v>
      </c>
      <c r="B1969" s="7">
        <v>1</v>
      </c>
      <c r="C1969" s="7" t="s">
        <v>10</v>
      </c>
      <c r="D1969" s="7">
        <v>604</v>
      </c>
      <c r="E1969" s="7" t="s">
        <v>59</v>
      </c>
      <c r="F1969" s="8" t="str">
        <f ca="1">IFERROR(__xludf.DUMMYFUNCTION("IF
(
C1970=""фізична особа""
,
VLOOKUP(D1970,IMPORTRANGE(""https://docs.google.com/spreadsheets/d/14Bd19lYaqBhU8_DElYkX7l4wRkHqqCUFNJY4AfY3kHU/edit?usp=sharing  #gid=0"",""фіз особи new!relations_name""),6,FALSE)
,
(IF
(
C1970=""юридична особа""
,
VLOOKUP"&amp;"(D1970,IMPORTRANGE(""https://docs.google.com/spreadsheets/d/14Bd19lYaqBhU8_DElYkX7l4wRkHqqCUFNJY4AfY3kHU/edit?usp=sharing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G1969" s="7" t="s">
        <v>10</v>
      </c>
      <c r="H1969" s="7">
        <v>0</v>
      </c>
      <c r="I1969" s="8" t="str">
        <f ca="1">IFERROR(__xludf.DUMMYFUNCTION("IF
(
G1970=""фізична особа""
,
VLOOKUP(H1970,IMPORTRANGE(""https://docs.google.com/spreadsheets/d/14Bd19lYaqBhU8_DElYkX7l4wRkHqqCUFNJY4AfY3kHU/edit?usp=sharing  #gid=0"",""фіз особи new!relations_name""),6,FALSE)
,
(IF
(
G1970=""юридична особа""
,
VLOOKUP"&amp;"(H1970,IMPORTRANGE(""https://docs.google.com/spreadsheets/d/14Bd19lYaqBhU8_DElYkX7l4wRkHqqCUFNJY4AfY3kHU/edit?usp=sharing  #gid=0"",""фіз особи new!relations_name_uo""),7,FALSE)
,
)
))"),"#N/A")</f>
        <v>#N/A</v>
      </c>
      <c r="J1969" s="7" t="s">
        <v>61</v>
      </c>
    </row>
    <row r="1970" spans="1:10" ht="13.2">
      <c r="A1970" s="7">
        <v>1969</v>
      </c>
      <c r="B1970" s="7">
        <v>1</v>
      </c>
      <c r="C1970" s="7" t="s">
        <v>10</v>
      </c>
      <c r="D1970" s="7">
        <v>604</v>
      </c>
      <c r="E1970" s="7" t="s">
        <v>59</v>
      </c>
      <c r="F1970" s="8" t="str">
        <f ca="1">IFERROR(__xludf.DUMMYFUNCTION("IF
(
C1971=""фізична особа""
,
VLOOKUP(D1971,IMPORTRANGE(""https://docs.google.com/spreadsheets/d/14Bd19lYaqBhU8_DElYkX7l4wRkHqqCUFNJY4AfY3kHU/edit?usp=sharing  #gid=0"",""фіз особи new!relations_name""),6,FALSE)
,
(IF
(
C1971=""юридична особа""
,
VLOOKUP"&amp;"(D1971,IMPORTRANGE(""https://docs.google.com/spreadsheets/d/14Bd19lYaqBhU8_DElYkX7l4wRkHqqCUFNJY4AfY3kHU/edit?usp=sharing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G1970" s="7" t="s">
        <v>10</v>
      </c>
      <c r="H1970" s="7">
        <v>0</v>
      </c>
      <c r="I1970" s="8" t="str">
        <f ca="1">IFERROR(__xludf.DUMMYFUNCTION("IF
(
G1971=""фізична особа""
,
VLOOKUP(H1971,IMPORTRANGE(""https://docs.google.com/spreadsheets/d/14Bd19lYaqBhU8_DElYkX7l4wRkHqqCUFNJY4AfY3kHU/edit?usp=sharing  #gid=0"",""фіз особи new!relations_name""),6,FALSE)
,
(IF
(
G1971=""юридична особа""
,
VLOOKUP"&amp;"(H1971,IMPORTRANGE(""https://docs.google.com/spreadsheets/d/14Bd19lYaqBhU8_DElYkX7l4wRkHqqCUFNJY4AfY3kHU/edit?usp=sharing  #gid=0"",""фіз особи new!relations_name_uo""),7,FALSE)
,
)
))"),"#N/A")</f>
        <v>#N/A</v>
      </c>
      <c r="J1970" s="7" t="s">
        <v>61</v>
      </c>
    </row>
    <row r="1971" spans="1:10" ht="13.2">
      <c r="A1971" s="7">
        <v>1970</v>
      </c>
      <c r="B1971" s="7">
        <v>1</v>
      </c>
      <c r="C1971" s="7" t="s">
        <v>10</v>
      </c>
      <c r="D1971" s="7">
        <v>605</v>
      </c>
      <c r="E1971" s="7" t="s">
        <v>24</v>
      </c>
      <c r="F1971" s="8" t="str">
        <f ca="1">IFERROR(__xludf.DUMMYFUNCTION("IF
(
C1972=""фізична особа""
,
VLOOKUP(D1972,IMPORTRANGE(""https://docs.google.com/spreadsheets/d/14Bd19lYaqBhU8_DElYkX7l4wRkHqqCUFNJY4AfY3kHU/edit?usp=sharing  #gid=0"",""фіз особи new!relations_name""),6,FALSE)
,
(IF
(
C1972=""юридична особа""
,
VLOOKUP"&amp;"(D1972,IMPORTRANGE(""https://docs.google.com/spreadsheets/d/14Bd19lYaqBhU8_DElYkX7l4wRkHqqCUFNJY4AfY3kHU/edit?usp=sharing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1" s="7" t="s">
        <v>10</v>
      </c>
      <c r="H1971" s="7">
        <v>0</v>
      </c>
      <c r="I1971" s="8" t="str">
        <f ca="1">IFERROR(__xludf.DUMMYFUNCTION("IF
(
G1972=""фізична особа""
,
VLOOKUP(H1972,IMPORTRANGE(""https://docs.google.com/spreadsheets/d/14Bd19lYaqBhU8_DElYkX7l4wRkHqqCUFNJY4AfY3kHU/edit?usp=sharing  #gid=0"",""фіз особи new!relations_name""),6,FALSE)
,
(IF
(
G1972=""юридична особа""
,
VLOOKUP"&amp;"(H1972,IMPORTRANGE(""https://docs.google.com/spreadsheets/d/14Bd19lYaqBhU8_DElYkX7l4wRkHqqCUFNJY4AfY3kHU/edit?usp=sharing  #gid=0"",""фіз особи new!relations_name_uo""),7,FALSE)
,
)
))"),"#N/A")</f>
        <v>#N/A</v>
      </c>
      <c r="J1971" s="7" t="s">
        <v>26</v>
      </c>
    </row>
    <row r="1972" spans="1:10" ht="13.2">
      <c r="A1972" s="7">
        <v>1971</v>
      </c>
      <c r="B1972" s="7">
        <v>1</v>
      </c>
      <c r="C1972" s="7" t="s">
        <v>10</v>
      </c>
      <c r="D1972" s="7">
        <v>605</v>
      </c>
      <c r="E1972" s="7" t="s">
        <v>12</v>
      </c>
      <c r="F1972" s="8" t="str">
        <f ca="1">IFERROR(__xludf.DUMMYFUNCTION("IF
(
C1973=""фізична особа""
,
VLOOKUP(D1973,IMPORTRANGE(""https://docs.google.com/spreadsheets/d/14Bd19lYaqBhU8_DElYkX7l4wRkHqqCUFNJY4AfY3kHU/edit?usp=sharing  #gid=0"",""фіз особи new!relations_name""),6,FALSE)
,
(IF
(
C1973=""юридична особа""
,
VLOOKUP"&amp;"(D1973,IMPORTRANGE(""https://docs.google.com/spreadsheets/d/14Bd19lYaqBhU8_DElYkX7l4wRkHqqCUFNJY4AfY3kHU/edit?usp=sharing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2" s="7" t="s">
        <v>10</v>
      </c>
      <c r="H1972" s="7">
        <v>5009</v>
      </c>
      <c r="I1972" s="8" t="str">
        <f ca="1">IFERROR(__xludf.DUMMYFUNCTION("IF
(
G1973=""фізична особа""
,
VLOOKUP(H1973,IMPORTRANGE(""https://docs.google.com/spreadsheets/d/14Bd19lYaqBhU8_DElYkX7l4wRkHqqCUFNJY4AfY3kHU/edit?usp=sharing  #gid=0"",""фіз особи new!relations_name""),6,FALSE)
,
(IF
(
G1973=""юридична особа""
,
VLOOKUP"&amp;"(H1973,IMPORTRANGE(""https://docs.google.com/spreadsheets/d/14Bd19lYaqBhU8_DElYkX7l4wRkHqqCUFNJY4AfY3kHU/edit?usp=sharing  #gid=0"",""фіз особи new!relations_name_uo""),7,FALSE)
,
)
))"),"ТОЛСТАЯ Олександра Петрівна")</f>
        <v>ТОЛСТАЯ Олександра Петрівна</v>
      </c>
      <c r="J1972" s="7" t="s">
        <v>13</v>
      </c>
    </row>
    <row r="1973" spans="1:10" ht="13.2">
      <c r="A1973" s="7">
        <v>1972</v>
      </c>
      <c r="B1973" s="7">
        <v>1</v>
      </c>
      <c r="C1973" s="7" t="s">
        <v>10</v>
      </c>
      <c r="D1973" s="7">
        <v>605</v>
      </c>
      <c r="E1973" s="7" t="s">
        <v>42</v>
      </c>
      <c r="F1973" s="8" t="str">
        <f ca="1">IFERROR(__xludf.DUMMYFUNCTION("IF
(
C1974=""фізична особа""
,
VLOOKUP(D1974,IMPORTRANGE(""https://docs.google.com/spreadsheets/d/14Bd19lYaqBhU8_DElYkX7l4wRkHqqCUFNJY4AfY3kHU/edit?usp=sharing  #gid=0"",""фіз особи new!relations_name""),6,FALSE)
,
(IF
(
C1974=""юридична особа""
,
VLOOKUP"&amp;"(D1974,IMPORTRANGE(""https://docs.google.com/spreadsheets/d/14Bd19lYaqBhU8_DElYkX7l4wRkHqqCUFNJY4AfY3kHU/edit?usp=sharing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3" s="7" t="s">
        <v>10</v>
      </c>
      <c r="H1973" s="7">
        <v>0</v>
      </c>
      <c r="I1973" s="8" t="str">
        <f ca="1">IFERROR(__xludf.DUMMYFUNCTION("IF
(
G1974=""фізична особа""
,
VLOOKUP(H1974,IMPORTRANGE(""https://docs.google.com/spreadsheets/d/14Bd19lYaqBhU8_DElYkX7l4wRkHqqCUFNJY4AfY3kHU/edit?usp=sharing  #gid=0"",""фіз особи new!relations_name""),6,FALSE)
,
(IF
(
G1974=""юридична особа""
,
VLOOKUP"&amp;"(H1974,IMPORTRANGE(""https://docs.google.com/spreadsheets/d/14Bd19lYaqBhU8_DElYkX7l4wRkHqqCUFNJY4AfY3kHU/edit?usp=sharing  #gid=0"",""фіз особи new!relations_name_uo""),7,FALSE)
,
)
))"),"#N/A")</f>
        <v>#N/A</v>
      </c>
      <c r="J1973" s="7" t="s">
        <v>43</v>
      </c>
    </row>
    <row r="1974" spans="1:10" ht="13.2">
      <c r="A1974" s="7">
        <v>1973</v>
      </c>
      <c r="B1974" s="7">
        <v>1</v>
      </c>
      <c r="C1974" s="7" t="s">
        <v>10</v>
      </c>
      <c r="D1974" s="7">
        <v>605</v>
      </c>
      <c r="E1974" s="7" t="s">
        <v>17</v>
      </c>
      <c r="F1974" s="8" t="str">
        <f ca="1">IFERROR(__xludf.DUMMYFUNCTION("IF
(
C1975=""фізична особа""
,
VLOOKUP(D1975,IMPORTRANGE(""https://docs.google.com/spreadsheets/d/14Bd19lYaqBhU8_DElYkX7l4wRkHqqCUFNJY4AfY3kHU/edit?usp=sharing  #gid=0"",""фіз особи new!relations_name""),6,FALSE)
,
(IF
(
C1975=""юридична особа""
,
VLOOKUP"&amp;"(D1975,IMPORTRANGE(""https://docs.google.com/spreadsheets/d/14Bd19lYaqBhU8_DElYkX7l4wRkHqqCUFNJY4AfY3kHU/edit?usp=sharing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4" s="7" t="s">
        <v>10</v>
      </c>
      <c r="H1974" s="7">
        <v>5011</v>
      </c>
      <c r="I1974" s="8" t="str">
        <f ca="1">IFERROR(__xludf.DUMMYFUNCTION("IF
(
G1975=""фізична особа""
,
VLOOKUP(H1975,IMPORTRANGE(""https://docs.google.com/spreadsheets/d/14Bd19lYaqBhU8_DElYkX7l4wRkHqqCUFNJY4AfY3kHU/edit?usp=sharing  #gid=0"",""фіз особи new!relations_name""),6,FALSE)
,
(IF
(
G1975=""юридична особа""
,
VLOOKUP"&amp;"(H1975,IMPORTRANGE(""https://docs.google.com/spreadsheets/d/14Bd19lYaqBhU8_DElYkX7l4wRkHqqCUFNJY4AfY3kHU/edit?usp=sharing  #gid=0"",""фіз особи new!relations_name_uo""),7,FALSE)
,
)
))"),"ТОЛСТАЯ Ольга Олексіївна")</f>
        <v>ТОЛСТАЯ Ольга Олексіївна</v>
      </c>
      <c r="J1974" s="7" t="s">
        <v>21</v>
      </c>
    </row>
    <row r="1975" spans="1:10" ht="13.2">
      <c r="A1975" s="7">
        <v>1974</v>
      </c>
      <c r="B1975" s="7">
        <v>1</v>
      </c>
      <c r="C1975" s="7" t="s">
        <v>10</v>
      </c>
      <c r="D1975" s="7">
        <v>605</v>
      </c>
      <c r="E1975" s="7" t="s">
        <v>18</v>
      </c>
      <c r="F1975" s="8" t="str">
        <f ca="1">IFERROR(__xludf.DUMMYFUNCTION("IF
(
C1976=""фізична особа""
,
VLOOKUP(D1976,IMPORTRANGE(""https://docs.google.com/spreadsheets/d/14Bd19lYaqBhU8_DElYkX7l4wRkHqqCUFNJY4AfY3kHU/edit?usp=sharing  #gid=0"",""фіз особи new!relations_name""),6,FALSE)
,
(IF
(
C1976=""юридична особа""
,
VLOOKUP"&amp;"(D1976,IMPORTRANGE(""https://docs.google.com/spreadsheets/d/14Bd19lYaqBhU8_DElYkX7l4wRkHqqCUFNJY4AfY3kHU/edit?usp=sharing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5" s="7" t="s">
        <v>10</v>
      </c>
      <c r="H1975" s="7">
        <v>5010</v>
      </c>
      <c r="I1975" s="8" t="str">
        <f ca="1">IFERROR(__xludf.DUMMYFUNCTION("IF
(
G1976=""фізична особа""
,
VLOOKUP(H1976,IMPORTRANGE(""https://docs.google.com/spreadsheets/d/14Bd19lYaqBhU8_DElYkX7l4wRkHqqCUFNJY4AfY3kHU/edit?usp=sharing  #gid=0"",""фіз особи new!relations_name""),6,FALSE)
,
(IF
(
G1976=""юридична особа""
,
VLOOKUP"&amp;"(H1976,IMPORTRANGE(""https://docs.google.com/spreadsheets/d/14Bd19lYaqBhU8_DElYkX7l4wRkHqqCUFNJY4AfY3kHU/edit?usp=sharing  #gid=0"",""фіз особи new!relations_name_uo""),7,FALSE)
,
)
))"),"ТОЛСТАЯ Наталія Олегівна")</f>
        <v>ТОЛСТАЯ Наталія Олегівна</v>
      </c>
      <c r="J1975" s="7" t="s">
        <v>31</v>
      </c>
    </row>
    <row r="1976" spans="1:10" ht="13.2">
      <c r="A1976" s="7">
        <v>1975</v>
      </c>
      <c r="B1976" s="7">
        <v>1</v>
      </c>
      <c r="C1976" s="7" t="s">
        <v>10</v>
      </c>
      <c r="D1976" s="7">
        <v>605</v>
      </c>
      <c r="E1976" s="7" t="s">
        <v>48</v>
      </c>
      <c r="F1976" s="8" t="str">
        <f ca="1">IFERROR(__xludf.DUMMYFUNCTION("IF
(
C1977=""фізична особа""
,
VLOOKUP(D1977,IMPORTRANGE(""https://docs.google.com/spreadsheets/d/14Bd19lYaqBhU8_DElYkX7l4wRkHqqCUFNJY4AfY3kHU/edit?usp=sharing  #gid=0"",""фіз особи new!relations_name""),6,FALSE)
,
(IF
(
C1977=""юридична особа""
,
VLOOKUP"&amp;"(D1977,IMPORTRANGE(""https://docs.google.com/spreadsheets/d/14Bd19lYaqBhU8_DElYkX7l4wRkHqqCUFNJY4AfY3kHU/edit?usp=sharing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6" s="7" t="s">
        <v>10</v>
      </c>
      <c r="H1976" s="7">
        <v>12895</v>
      </c>
      <c r="I1976" s="8" t="str">
        <f ca="1">IFERROR(__xludf.DUMMYFUNCTION("IF
(
G1977=""фізична особа""
,
VLOOKUP(H1977,IMPORTRANGE(""https://docs.google.com/spreadsheets/d/14Bd19lYaqBhU8_DElYkX7l4wRkHqqCUFNJY4AfY3kHU/edit?usp=sharing  #gid=0"",""фіз особи new!relations_name""),6,FALSE)
,
(IF
(
G1977=""юридична особа""
,
VLOOKUP"&amp;"(H1977,IMPORTRANGE(""https://docs.google.com/spreadsheets/d/14Bd19lYaqBhU8_DElYkX7l4wRkHqqCUFNJY4AfY3kHU/edit?usp=sharing  #gid=0"",""фіз особи new!relations_name_uo""),7,FALSE)
,
)
))"),"ЛЄВІН Леонід Леонідович")</f>
        <v>ЛЄВІН Леонід Леонідович</v>
      </c>
      <c r="J1976" s="7" t="s">
        <v>48</v>
      </c>
    </row>
    <row r="1977" spans="1:10" ht="13.2">
      <c r="A1977" s="7">
        <v>1976</v>
      </c>
      <c r="B1977" s="7">
        <v>1</v>
      </c>
      <c r="C1977" s="7" t="s">
        <v>10</v>
      </c>
      <c r="D1977" s="7">
        <v>605</v>
      </c>
      <c r="E1977" s="7" t="s">
        <v>48</v>
      </c>
      <c r="F1977" s="8" t="str">
        <f ca="1">IFERROR(__xludf.DUMMYFUNCTION("IF
(
C1978=""фізична особа""
,
VLOOKUP(D1978,IMPORTRANGE(""https://docs.google.com/spreadsheets/d/14Bd19lYaqBhU8_DElYkX7l4wRkHqqCUFNJY4AfY3kHU/edit?usp=sharing  #gid=0"",""фіз особи new!relations_name""),6,FALSE)
,
(IF
(
C1978=""юридична особа""
,
VLOOKUP"&amp;"(D1978,IMPORTRANGE(""https://docs.google.com/spreadsheets/d/14Bd19lYaqBhU8_DElYkX7l4wRkHqqCUFNJY4AfY3kHU/edit?usp=sharing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7" s="7" t="s">
        <v>10</v>
      </c>
      <c r="H1977" s="7">
        <v>370</v>
      </c>
      <c r="I1977" s="8" t="str">
        <f ca="1">IFERROR(__xludf.DUMMYFUNCTION("IF
(
G1978=""фізична особа""
,
VLOOKUP(H1978,IMPORTRANGE(""https://docs.google.com/spreadsheets/d/14Bd19lYaqBhU8_DElYkX7l4wRkHqqCUFNJY4AfY3kHU/edit?usp=sharing  #gid=0"",""фіз особи new!relations_name""),6,FALSE)
,
(IF
(
G1978=""юридична особа""
,
VLOOKUP"&amp;"(H1978,IMPORTRANGE(""https://docs.google.com/spreadsheets/d/14Bd19lYaqBhU8_DElYkX7l4wRkHqqCUFNJY4AfY3kHU/edit?usp=sharing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1977" s="7" t="s">
        <v>48</v>
      </c>
    </row>
    <row r="1978" spans="1:10" ht="13.2">
      <c r="A1978" s="7">
        <v>1977</v>
      </c>
      <c r="B1978" s="7">
        <v>1</v>
      </c>
      <c r="C1978" s="7" t="s">
        <v>10</v>
      </c>
      <c r="D1978" s="7">
        <v>605</v>
      </c>
      <c r="E1978" s="7" t="s">
        <v>48</v>
      </c>
      <c r="F1978" s="8" t="str">
        <f ca="1">IFERROR(__xludf.DUMMYFUNCTION("IF
(
C1979=""фізична особа""
,
VLOOKUP(D1979,IMPORTRANGE(""https://docs.google.com/spreadsheets/d/14Bd19lYaqBhU8_DElYkX7l4wRkHqqCUFNJY4AfY3kHU/edit?usp=sharing  #gid=0"",""фіз особи new!relations_name""),6,FALSE)
,
(IF
(
C1979=""юридична особа""
,
VLOOKUP"&amp;"(D1979,IMPORTRANGE(""https://docs.google.com/spreadsheets/d/14Bd19lYaqBhU8_DElYkX7l4wRkHqqCUFNJY4AfY3kHU/edit?usp=sharing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8" s="7" t="s">
        <v>10</v>
      </c>
      <c r="H1978" s="7">
        <v>13046</v>
      </c>
      <c r="I1978" s="8" t="str">
        <f ca="1">IFERROR(__xludf.DUMMYFUNCTION("IF
(
G1979=""фізична особа""
,
VLOOKUP(H1979,IMPORTRANGE(""https://docs.google.com/spreadsheets/d/14Bd19lYaqBhU8_DElYkX7l4wRkHqqCUFNJY4AfY3kHU/edit?usp=sharing  #gid=0"",""фіз особи new!relations_name""),6,FALSE)
,
(IF
(
G1979=""юридична особа""
,
VLOOKUP"&amp;"(H1979,IMPORTRANGE(""https://docs.google.com/spreadsheets/d/14Bd19lYaqBhU8_DElYkX7l4wRkHqqCUFNJY4AfY3kHU/edit?usp=sharing  #gid=0"",""фіз особи new!relations_name_uo""),7,FALSE)
,
)
))"),"БОКОВА Людмила Миколаївна")</f>
        <v>БОКОВА Людмила Миколаївна</v>
      </c>
      <c r="J1978" s="7" t="s">
        <v>48</v>
      </c>
    </row>
    <row r="1979" spans="1:10" ht="13.2">
      <c r="A1979" s="7">
        <v>1978</v>
      </c>
      <c r="B1979" s="7">
        <v>1</v>
      </c>
      <c r="C1979" s="7" t="s">
        <v>10</v>
      </c>
      <c r="D1979" s="7">
        <v>605</v>
      </c>
      <c r="E1979" s="7" t="s">
        <v>48</v>
      </c>
      <c r="F1979" s="8" t="str">
        <f ca="1">IFERROR(__xludf.DUMMYFUNCTION("IF
(
C1980=""фізична особа""
,
VLOOKUP(D1980,IMPORTRANGE(""https://docs.google.com/spreadsheets/d/14Bd19lYaqBhU8_DElYkX7l4wRkHqqCUFNJY4AfY3kHU/edit?usp=sharing  #gid=0"",""фіз особи new!relations_name""),6,FALSE)
,
(IF
(
C1980=""юридична особа""
,
VLOOKUP"&amp;"(D1980,IMPORTRANGE(""https://docs.google.com/spreadsheets/d/14Bd19lYaqBhU8_DElYkX7l4wRkHqqCUFNJY4AfY3kHU/edit?usp=sharing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G1979" s="7" t="s">
        <v>10</v>
      </c>
      <c r="H1979" s="7">
        <v>677</v>
      </c>
      <c r="I1979" s="8" t="str">
        <f ca="1">IFERROR(__xludf.DUMMYFUNCTION("IF
(
G1980=""фізична особа""
,
VLOOKUP(H1980,IMPORTRANGE(""https://docs.google.com/spreadsheets/d/14Bd19lYaqBhU8_DElYkX7l4wRkHqqCUFNJY4AfY3kHU/edit?usp=sharing  #gid=0"",""фіз особи new!relations_name""),6,FALSE)
,
(IF
(
G1980=""юридична особа""
,
VLOOKUP"&amp;"(H1980,IMPORTRANGE(""https://docs.google.com/spreadsheets/d/14Bd19lYaqBhU8_DElYkX7l4wRkHqqCUFNJY4AfY3kHU/edit?usp=sharing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1979" s="7" t="s">
        <v>48</v>
      </c>
    </row>
    <row r="1980" spans="1:10" ht="13.2">
      <c r="A1980" s="7">
        <v>1979</v>
      </c>
      <c r="B1980" s="7">
        <v>1</v>
      </c>
      <c r="C1980" s="7" t="s">
        <v>10</v>
      </c>
      <c r="D1980" s="7">
        <v>606</v>
      </c>
      <c r="E1980" s="7" t="s">
        <v>12</v>
      </c>
      <c r="F1980" s="8" t="str">
        <f ca="1">IFERROR(__xludf.DUMMYFUNCTION("IF
(
C1981=""фізична особа""
,
VLOOKUP(D1981,IMPORTRANGE(""https://docs.google.com/spreadsheets/d/14Bd19lYaqBhU8_DElYkX7l4wRkHqqCUFNJY4AfY3kHU/edit?usp=sharing  #gid=0"",""фіз особи new!relations_name""),6,FALSE)
,
(IF
(
C1981=""юридична особа""
,
VLOOKUP"&amp;"(D1981,IMPORTRANGE(""https://docs.google.com/spreadsheets/d/14Bd19lYaqBhU8_DElYkX7l4wRkHqqCUFNJY4AfY3kHU/edit?usp=sharing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0" s="7" t="s">
        <v>10</v>
      </c>
      <c r="H1980" s="7">
        <v>0</v>
      </c>
      <c r="I1980" s="8" t="str">
        <f ca="1">IFERROR(__xludf.DUMMYFUNCTION("IF
(
G1981=""фізична особа""
,
VLOOKUP(H1981,IMPORTRANGE(""https://docs.google.com/spreadsheets/d/14Bd19lYaqBhU8_DElYkX7l4wRkHqqCUFNJY4AfY3kHU/edit?usp=sharing  #gid=0"",""фіз особи new!relations_name""),6,FALSE)
,
(IF
(
G1981=""юридична особа""
,
VLOOKUP"&amp;"(H1981,IMPORTRANGE(""https://docs.google.com/spreadsheets/d/14Bd19lYaqBhU8_DElYkX7l4wRkHqqCUFNJY4AfY3kHU/edit?usp=sharing  #gid=0"",""фіз особи new!relations_name_uo""),7,FALSE)
,
)
))"),"#N/A")</f>
        <v>#N/A</v>
      </c>
      <c r="J1980" s="7" t="s">
        <v>17</v>
      </c>
    </row>
    <row r="1981" spans="1:10" ht="13.2">
      <c r="A1981" s="7">
        <v>1980</v>
      </c>
      <c r="B1981" s="7">
        <v>1</v>
      </c>
      <c r="C1981" s="7" t="s">
        <v>10</v>
      </c>
      <c r="D1981" s="7">
        <v>606</v>
      </c>
      <c r="E1981" s="7" t="s">
        <v>14</v>
      </c>
      <c r="F1981" s="8" t="str">
        <f ca="1">IFERROR(__xludf.DUMMYFUNCTION("IF
(
C1982=""фізична особа""
,
VLOOKUP(D1982,IMPORTRANGE(""https://docs.google.com/spreadsheets/d/14Bd19lYaqBhU8_DElYkX7l4wRkHqqCUFNJY4AfY3kHU/edit?usp=sharing  #gid=0"",""фіз особи new!relations_name""),6,FALSE)
,
(IF
(
C1982=""юридична особа""
,
VLOOKUP"&amp;"(D1982,IMPORTRANGE(""https://docs.google.com/spreadsheets/d/14Bd19lYaqBhU8_DElYkX7l4wRkHqqCUFNJY4AfY3kHU/edit?usp=sharing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1" s="7" t="s">
        <v>10</v>
      </c>
      <c r="H1981" s="7">
        <v>0</v>
      </c>
      <c r="I1981" s="8" t="str">
        <f ca="1">IFERROR(__xludf.DUMMYFUNCTION("IF
(
G1982=""фізична особа""
,
VLOOKUP(H1982,IMPORTRANGE(""https://docs.google.com/spreadsheets/d/14Bd19lYaqBhU8_DElYkX7l4wRkHqqCUFNJY4AfY3kHU/edit?usp=sharing  #gid=0"",""фіз особи new!relations_name""),6,FALSE)
,
(IF
(
G1982=""юридична особа""
,
VLOOKUP"&amp;"(H1982,IMPORTRANGE(""https://docs.google.com/spreadsheets/d/14Bd19lYaqBhU8_DElYkX7l4wRkHqqCUFNJY4AfY3kHU/edit?usp=sharing  #gid=0"",""фіз особи new!relations_name_uo""),7,FALSE)
,
)
))"),"#N/A")</f>
        <v>#N/A</v>
      </c>
      <c r="J1981" s="7" t="s">
        <v>15</v>
      </c>
    </row>
    <row r="1982" spans="1:10" ht="13.2">
      <c r="A1982" s="7">
        <v>1981</v>
      </c>
      <c r="B1982" s="7">
        <v>1</v>
      </c>
      <c r="C1982" s="7" t="s">
        <v>10</v>
      </c>
      <c r="D1982" s="7">
        <v>606</v>
      </c>
      <c r="E1982" s="7" t="s">
        <v>59</v>
      </c>
      <c r="F1982" s="8" t="str">
        <f ca="1">IFERROR(__xludf.DUMMYFUNCTION("IF
(
C1983=""фізична особа""
,
VLOOKUP(D1983,IMPORTRANGE(""https://docs.google.com/spreadsheets/d/14Bd19lYaqBhU8_DElYkX7l4wRkHqqCUFNJY4AfY3kHU/edit?usp=sharing  #gid=0"",""фіз особи new!relations_name""),6,FALSE)
,
(IF
(
C1983=""юридична особа""
,
VLOOKUP"&amp;"(D1983,IMPORTRANGE(""https://docs.google.com/spreadsheets/d/14Bd19lYaqBhU8_DElYkX7l4wRkHqqCUFNJY4AfY3kHU/edit?usp=sharing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2" s="7" t="s">
        <v>10</v>
      </c>
      <c r="H1982" s="7">
        <v>0</v>
      </c>
      <c r="I1982" s="8" t="str">
        <f ca="1">IFERROR(__xludf.DUMMYFUNCTION("IF
(
G1983=""фізична особа""
,
VLOOKUP(H1983,IMPORTRANGE(""https://docs.google.com/spreadsheets/d/14Bd19lYaqBhU8_DElYkX7l4wRkHqqCUFNJY4AfY3kHU/edit?usp=sharing  #gid=0"",""фіз особи new!relations_name""),6,FALSE)
,
(IF
(
G1983=""юридична особа""
,
VLOOKUP"&amp;"(H1983,IMPORTRANGE(""https://docs.google.com/spreadsheets/d/14Bd19lYaqBhU8_DElYkX7l4wRkHqqCUFNJY4AfY3kHU/edit?usp=sharing  #gid=0"",""фіз особи new!relations_name_uo""),7,FALSE)
,
)
))"),"#N/A")</f>
        <v>#N/A</v>
      </c>
      <c r="J1982" s="7" t="s">
        <v>60</v>
      </c>
    </row>
    <row r="1983" spans="1:10" ht="13.2">
      <c r="A1983" s="7">
        <v>1982</v>
      </c>
      <c r="B1983" s="7">
        <v>1</v>
      </c>
      <c r="C1983" s="7" t="s">
        <v>10</v>
      </c>
      <c r="D1983" s="7">
        <v>606</v>
      </c>
      <c r="E1983" s="7" t="s">
        <v>34</v>
      </c>
      <c r="F1983" s="8" t="str">
        <f ca="1">IFERROR(__xludf.DUMMYFUNCTION("IF
(
C1984=""фізична особа""
,
VLOOKUP(D1984,IMPORTRANGE(""https://docs.google.com/spreadsheets/d/14Bd19lYaqBhU8_DElYkX7l4wRkHqqCUFNJY4AfY3kHU/edit?usp=sharing  #gid=0"",""фіз особи new!relations_name""),6,FALSE)
,
(IF
(
C1984=""юридична особа""
,
VLOOKUP"&amp;"(D1984,IMPORTRANGE(""https://docs.google.com/spreadsheets/d/14Bd19lYaqBhU8_DElYkX7l4wRkHqqCUFNJY4AfY3kHU/edit?usp=sharing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3" s="7" t="s">
        <v>10</v>
      </c>
      <c r="H1983" s="7">
        <v>0</v>
      </c>
      <c r="I1983" s="8" t="str">
        <f ca="1">IFERROR(__xludf.DUMMYFUNCTION("IF
(
G1984=""фізична особа""
,
VLOOKUP(H1984,IMPORTRANGE(""https://docs.google.com/spreadsheets/d/14Bd19lYaqBhU8_DElYkX7l4wRkHqqCUFNJY4AfY3kHU/edit?usp=sharing  #gid=0"",""фіз особи new!relations_name""),6,FALSE)
,
(IF
(
G1984=""юридична особа""
,
VLOOKUP"&amp;"(H1984,IMPORTRANGE(""https://docs.google.com/spreadsheets/d/14Bd19lYaqBhU8_DElYkX7l4wRkHqqCUFNJY4AfY3kHU/edit?usp=sharing  #gid=0"",""фіз особи new!relations_name_uo""),7,FALSE)
,
)
))"),"#N/A")</f>
        <v>#N/A</v>
      </c>
      <c r="J1983" s="7" t="s">
        <v>25</v>
      </c>
    </row>
    <row r="1984" spans="1:10" ht="13.2">
      <c r="A1984" s="7">
        <v>1983</v>
      </c>
      <c r="B1984" s="7">
        <v>1</v>
      </c>
      <c r="C1984" s="7" t="s">
        <v>10</v>
      </c>
      <c r="D1984" s="7">
        <v>606</v>
      </c>
      <c r="E1984" s="7" t="s">
        <v>59</v>
      </c>
      <c r="F1984" s="8" t="str">
        <f ca="1">IFERROR(__xludf.DUMMYFUNCTION("IF
(
C1985=""фізична особа""
,
VLOOKUP(D1985,IMPORTRANGE(""https://docs.google.com/spreadsheets/d/14Bd19lYaqBhU8_DElYkX7l4wRkHqqCUFNJY4AfY3kHU/edit?usp=sharing  #gid=0"",""фіз особи new!relations_name""),6,FALSE)
,
(IF
(
C1985=""юридична особа""
,
VLOOKUP"&amp;"(D1985,IMPORTRANGE(""https://docs.google.com/spreadsheets/d/14Bd19lYaqBhU8_DElYkX7l4wRkHqqCUFNJY4AfY3kHU/edit?usp=sharing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4" s="7" t="s">
        <v>10</v>
      </c>
      <c r="H1984" s="7">
        <v>0</v>
      </c>
      <c r="I1984" s="8" t="str">
        <f ca="1">IFERROR(__xludf.DUMMYFUNCTION("IF
(
G1985=""фізична особа""
,
VLOOKUP(H1985,IMPORTRANGE(""https://docs.google.com/spreadsheets/d/14Bd19lYaqBhU8_DElYkX7l4wRkHqqCUFNJY4AfY3kHU/edit?usp=sharing  #gid=0"",""фіз особи new!relations_name""),6,FALSE)
,
(IF
(
G1985=""юридична особа""
,
VLOOKUP"&amp;"(H1985,IMPORTRANGE(""https://docs.google.com/spreadsheets/d/14Bd19lYaqBhU8_DElYkX7l4wRkHqqCUFNJY4AfY3kHU/edit?usp=sharing  #gid=0"",""фіз особи new!relations_name_uo""),7,FALSE)
,
)
))"),"#N/A")</f>
        <v>#N/A</v>
      </c>
      <c r="J1984" s="7" t="s">
        <v>60</v>
      </c>
    </row>
    <row r="1985" spans="1:10" ht="13.2">
      <c r="A1985" s="7">
        <v>1984</v>
      </c>
      <c r="B1985" s="7">
        <v>1</v>
      </c>
      <c r="C1985" s="7" t="s">
        <v>10</v>
      </c>
      <c r="D1985" s="7">
        <v>606</v>
      </c>
      <c r="E1985" s="7" t="s">
        <v>12</v>
      </c>
      <c r="F1985" s="8" t="str">
        <f ca="1">IFERROR(__xludf.DUMMYFUNCTION("IF
(
C1986=""фізична особа""
,
VLOOKUP(D1986,IMPORTRANGE(""https://docs.google.com/spreadsheets/d/14Bd19lYaqBhU8_DElYkX7l4wRkHqqCUFNJY4AfY3kHU/edit?usp=sharing  #gid=0"",""фіз особи new!relations_name""),6,FALSE)
,
(IF
(
C1986=""юридична особа""
,
VLOOKUP"&amp;"(D1986,IMPORTRANGE(""https://docs.google.com/spreadsheets/d/14Bd19lYaqBhU8_DElYkX7l4wRkHqqCUFNJY4AfY3kHU/edit?usp=sharing  #gid=0"",""фіз особи new!relations_name_uo""),7,FALSE)
,
)
))"),"МАРДАНШИН Рафаель Мірхатимович")</f>
        <v>МАРДАНШИН Рафаель Мірхатимович</v>
      </c>
      <c r="G1985" s="7" t="s">
        <v>10</v>
      </c>
      <c r="H1985" s="7">
        <v>0</v>
      </c>
      <c r="I1985" s="8" t="str">
        <f ca="1">IFERROR(__xludf.DUMMYFUNCTION("IF
(
G1986=""фізична особа""
,
VLOOKUP(H1986,IMPORTRANGE(""https://docs.google.com/spreadsheets/d/14Bd19lYaqBhU8_DElYkX7l4wRkHqqCUFNJY4AfY3kHU/edit?usp=sharing  #gid=0"",""фіз особи new!relations_name""),6,FALSE)
,
(IF
(
G1986=""юридична особа""
,
VLOOKUP"&amp;"(H1986,IMPORTRANGE(""https://docs.google.com/spreadsheets/d/14Bd19lYaqBhU8_DElYkX7l4wRkHqqCUFNJY4AfY3kHU/edit?usp=sharing  #gid=0"",""фіз особи new!relations_name_uo""),7,FALSE)
,
)
))"),"#N/A")</f>
        <v>#N/A</v>
      </c>
      <c r="J1985" s="7" t="s">
        <v>13</v>
      </c>
    </row>
    <row r="1986" spans="1:10" ht="13.2">
      <c r="A1986" s="7">
        <v>1985</v>
      </c>
      <c r="B1986" s="7">
        <v>1</v>
      </c>
      <c r="C1986" s="7" t="s">
        <v>10</v>
      </c>
      <c r="D1986" s="7">
        <v>607</v>
      </c>
      <c r="E1986" s="7" t="s">
        <v>48</v>
      </c>
      <c r="F1986" s="8" t="str">
        <f ca="1">IFERROR(__xludf.DUMMYFUNCTION("IF
(
C1987=""фізична особа""
,
VLOOKUP(D1987,IMPORTRANGE(""https://docs.google.com/spreadsheets/d/14Bd19lYaqBhU8_DElYkX7l4wRkHqqCUFNJY4AfY3kHU/edit?usp=sharing  #gid=0"",""фіз особи new!relations_name""),6,FALSE)
,
(IF
(
C1987=""юридична особа""
,
VLOOKUP"&amp;"(D1987,IMPORTRANGE(""https://docs.google.com/spreadsheets/d/14Bd19lYaqBhU8_DElYkX7l4wRkHqqCUFNJY4AfY3kHU/edit?usp=sharing  #gid=0"",""фіз особи new!relations_name_uo""),7,FALSE)
,
)
))"),"КАРМАЗІНА Раїса Василівна")</f>
        <v>КАРМАЗІНА Раїса Василівна</v>
      </c>
      <c r="G1986" s="7" t="s">
        <v>10</v>
      </c>
      <c r="H1986" s="7">
        <v>64</v>
      </c>
      <c r="I1986" s="8" t="str">
        <f ca="1">IFERROR(__xludf.DUMMYFUNCTION("IF
(
G1987=""фізична особа""
,
VLOOKUP(H1987,IMPORTRANGE(""https://docs.google.com/spreadsheets/d/14Bd19lYaqBhU8_DElYkX7l4wRkHqqCUFNJY4AfY3kHU/edit?usp=sharing  #gid=0"",""фіз особи new!relations_name""),6,FALSE)
,
(IF
(
G1987=""юридична особа""
,
VLOOKUP"&amp;"(H1987,IMPORTRANGE(""https://docs.google.com/spreadsheets/d/14Bd19lYaqBhU8_DElYkX7l4wRkHqqCUFNJY4AfY3kHU/edit?usp=sharing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1986" s="7" t="s">
        <v>48</v>
      </c>
    </row>
    <row r="1987" spans="1:10" ht="13.2">
      <c r="A1987" s="7">
        <v>1986</v>
      </c>
      <c r="B1987" s="7">
        <v>1</v>
      </c>
      <c r="C1987" s="7" t="s">
        <v>10</v>
      </c>
      <c r="D1987" s="7">
        <v>607</v>
      </c>
      <c r="E1987" s="7" t="s">
        <v>48</v>
      </c>
      <c r="F1987" s="8" t="str">
        <f ca="1">IFERROR(__xludf.DUMMYFUNCTION("IF
(
C1988=""фізична особа""
,
VLOOKUP(D1988,IMPORTRANGE(""https://docs.google.com/spreadsheets/d/14Bd19lYaqBhU8_DElYkX7l4wRkHqqCUFNJY4AfY3kHU/edit?usp=sharing  #gid=0"",""фіз особи new!relations_name""),6,FALSE)
,
(IF
(
C1988=""юридична особа""
,
VLOOKUP"&amp;"(D1988,IMPORTRANGE(""https://docs.google.com/spreadsheets/d/14Bd19lYaqBhU8_DElYkX7l4wRkHqqCUFNJY4AfY3kHU/edit?usp=sharing  #gid=0"",""фіз особи new!relations_name_uo""),7,FALSE)
,
)
))"),"КАРМАЗІНА Раїса Василівна")</f>
        <v>КАРМАЗІНА Раїса Василівна</v>
      </c>
      <c r="G1987" s="7" t="s">
        <v>10</v>
      </c>
      <c r="H1987" s="7">
        <v>558</v>
      </c>
      <c r="I1987" s="8" t="str">
        <f ca="1">IFERROR(__xludf.DUMMYFUNCTION("IF
(
G1988=""фізична особа""
,
VLOOKUP(H1988,IMPORTRANGE(""https://docs.google.com/spreadsheets/d/14Bd19lYaqBhU8_DElYkX7l4wRkHqqCUFNJY4AfY3kHU/edit?usp=sharing  #gid=0"",""фіз особи new!relations_name""),6,FALSE)
,
(IF
(
G1988=""юридична особа""
,
VLOOKUP"&amp;"(H1988,IMPORTRANGE(""https://docs.google.com/spreadsheets/d/14Bd19lYaqBhU8_DElYkX7l4wRkHqqCUFNJY4AfY3kHU/edit?usp=sharing  #gid=0"",""фіз особи new!relations_name_uo""),7,FALSE)
,
)
))"),"МОРОЗОВ Олег Вікторович")</f>
        <v>МОРОЗОВ Олег Вікторович</v>
      </c>
      <c r="J1987" s="7" t="s">
        <v>48</v>
      </c>
    </row>
    <row r="1988" spans="1:10" ht="13.2">
      <c r="A1988" s="7">
        <v>1987</v>
      </c>
      <c r="B1988" s="7">
        <v>1</v>
      </c>
      <c r="C1988" s="7" t="s">
        <v>10</v>
      </c>
      <c r="D1988" s="7">
        <v>608</v>
      </c>
      <c r="E1988" s="7" t="s">
        <v>18</v>
      </c>
      <c r="F1988" s="8" t="str">
        <f ca="1">IFERROR(__xludf.DUMMYFUNCTION("IF
(
C1989=""фізична особа""
,
VLOOKUP(D1989,IMPORTRANGE(""https://docs.google.com/spreadsheets/d/14Bd19lYaqBhU8_DElYkX7l4wRkHqqCUFNJY4AfY3kHU/edit?usp=sharing  #gid=0"",""фіз особи new!relations_name""),6,FALSE)
,
(IF
(
C1989=""юридична особа""
,
VLOOKUP"&amp;"(D1989,IMPORTRANGE(""https://docs.google.com/spreadsheets/d/14Bd19lYaqBhU8_DElYkX7l4wRkHqqCUFNJY4AfY3kHU/edit?usp=sharing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88" s="7" t="s">
        <v>10</v>
      </c>
      <c r="H1988" s="7">
        <v>0</v>
      </c>
      <c r="I1988" s="8" t="str">
        <f ca="1">IFERROR(__xludf.DUMMYFUNCTION("IF
(
G1989=""фізична особа""
,
VLOOKUP(H1989,IMPORTRANGE(""https://docs.google.com/spreadsheets/d/14Bd19lYaqBhU8_DElYkX7l4wRkHqqCUFNJY4AfY3kHU/edit?usp=sharing  #gid=0"",""фіз особи new!relations_name""),6,FALSE)
,
(IF
(
G1989=""юридична особа""
,
VLOOKUP"&amp;"(H1989,IMPORTRANGE(""https://docs.google.com/spreadsheets/d/14Bd19lYaqBhU8_DElYkX7l4wRkHqqCUFNJY4AfY3kHU/edit?usp=sharing  #gid=0"",""фіз особи new!relations_name_uo""),7,FALSE)
,
)
))"),"#N/A")</f>
        <v>#N/A</v>
      </c>
      <c r="J1988" s="7" t="s">
        <v>18</v>
      </c>
    </row>
    <row r="1989" spans="1:10" ht="13.2">
      <c r="A1989" s="7">
        <v>1988</v>
      </c>
      <c r="B1989" s="7">
        <v>1</v>
      </c>
      <c r="C1989" s="7" t="s">
        <v>10</v>
      </c>
      <c r="D1989" s="7">
        <v>608</v>
      </c>
      <c r="E1989" s="7" t="s">
        <v>14</v>
      </c>
      <c r="F1989" s="8" t="str">
        <f ca="1">IFERROR(__xludf.DUMMYFUNCTION("IF
(
C1990=""фізична особа""
,
VLOOKUP(D1990,IMPORTRANGE(""https://docs.google.com/spreadsheets/d/14Bd19lYaqBhU8_DElYkX7l4wRkHqqCUFNJY4AfY3kHU/edit?usp=sharing  #gid=0"",""фіз особи new!relations_name""),6,FALSE)
,
(IF
(
C1990=""юридична особа""
,
VLOOKUP"&amp;"(D1990,IMPORTRANGE(""https://docs.google.com/spreadsheets/d/14Bd19lYaqBhU8_DElYkX7l4wRkHqqCUFNJY4AfY3kHU/edit?usp=sharing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89" s="7" t="s">
        <v>10</v>
      </c>
      <c r="H1989" s="7">
        <v>8869</v>
      </c>
      <c r="I1989" s="8" t="str">
        <f ca="1">IFERROR(__xludf.DUMMYFUNCTION("IF
(
G1990=""фізична особа""
,
VLOOKUP(H1990,IMPORTRANGE(""https://docs.google.com/spreadsheets/d/14Bd19lYaqBhU8_DElYkX7l4wRkHqqCUFNJY4AfY3kHU/edit?usp=sharing  #gid=0"",""фіз особи new!relations_name""),6,FALSE)
,
(IF
(
G1990=""юридична особа""
,
VLOOKUP"&amp;"(H1990,IMPORTRANGE(""https://docs.google.com/spreadsheets/d/14Bd19lYaqBhU8_DElYkX7l4wRkHqqCUFNJY4AfY3kHU/edit?usp=sharing  #gid=0"",""фіз особи new!relations_name_uo""),7,FALSE)
,
)
))"),"АЗІМОВА Олена Михайлівна")</f>
        <v>АЗІМОВА Олена Михайлівна</v>
      </c>
      <c r="J1989" s="7" t="s">
        <v>15</v>
      </c>
    </row>
    <row r="1990" spans="1:10" ht="13.2">
      <c r="A1990" s="7">
        <v>1989</v>
      </c>
      <c r="B1990" s="7">
        <v>1</v>
      </c>
      <c r="C1990" s="7" t="s">
        <v>10</v>
      </c>
      <c r="D1990" s="7">
        <v>608</v>
      </c>
      <c r="E1990" s="7" t="s">
        <v>12</v>
      </c>
      <c r="F1990" s="8" t="str">
        <f ca="1">IFERROR(__xludf.DUMMYFUNCTION("IF
(
C1991=""фізична особа""
,
VLOOKUP(D1991,IMPORTRANGE(""https://docs.google.com/spreadsheets/d/14Bd19lYaqBhU8_DElYkX7l4wRkHqqCUFNJY4AfY3kHU/edit?usp=sharing  #gid=0"",""фіз особи new!relations_name""),6,FALSE)
,
(IF
(
C1991=""юридична особа""
,
VLOOKUP"&amp;"(D1991,IMPORTRANGE(""https://docs.google.com/spreadsheets/d/14Bd19lYaqBhU8_DElYkX7l4wRkHqqCUFNJY4AfY3kHU/edit?usp=sharing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90" s="7" t="s">
        <v>10</v>
      </c>
      <c r="H1990" s="7">
        <v>0</v>
      </c>
      <c r="I1990" s="8" t="str">
        <f ca="1">IFERROR(__xludf.DUMMYFUNCTION("IF
(
G1991=""фізична особа""
,
VLOOKUP(H1991,IMPORTRANGE(""https://docs.google.com/spreadsheets/d/14Bd19lYaqBhU8_DElYkX7l4wRkHqqCUFNJY4AfY3kHU/edit?usp=sharing  #gid=0"",""фіз особи new!relations_name""),6,FALSE)
,
(IF
(
G1991=""юридична особа""
,
VLOOKUP"&amp;"(H1991,IMPORTRANGE(""https://docs.google.com/spreadsheets/d/14Bd19lYaqBhU8_DElYkX7l4wRkHqqCUFNJY4AfY3kHU/edit?usp=sharing  #gid=0"",""фіз особи new!relations_name_uo""),7,FALSE)
,
)
))"),"#N/A")</f>
        <v>#N/A</v>
      </c>
      <c r="J1990" s="7" t="s">
        <v>13</v>
      </c>
    </row>
    <row r="1991" spans="1:10" ht="13.2">
      <c r="A1991" s="7">
        <v>1990</v>
      </c>
      <c r="B1991" s="7">
        <v>1</v>
      </c>
      <c r="C1991" s="7" t="s">
        <v>10</v>
      </c>
      <c r="D1991" s="7">
        <v>608</v>
      </c>
      <c r="E1991" s="7" t="s">
        <v>12</v>
      </c>
      <c r="F1991" s="8" t="str">
        <f ca="1">IFERROR(__xludf.DUMMYFUNCTION("IF
(
C1992=""фізична особа""
,
VLOOKUP(D1992,IMPORTRANGE(""https://docs.google.com/spreadsheets/d/14Bd19lYaqBhU8_DElYkX7l4wRkHqqCUFNJY4AfY3kHU/edit?usp=sharing  #gid=0"",""фіз особи new!relations_name""),6,FALSE)
,
(IF
(
C1992=""юридична особа""
,
VLOOKUP"&amp;"(D1992,IMPORTRANGE(""https://docs.google.com/spreadsheets/d/14Bd19lYaqBhU8_DElYkX7l4wRkHqqCUFNJY4AfY3kHU/edit?usp=sharing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91" s="7" t="s">
        <v>10</v>
      </c>
      <c r="H1991" s="7">
        <v>0</v>
      </c>
      <c r="I1991" s="8" t="str">
        <f ca="1">IFERROR(__xludf.DUMMYFUNCTION("IF
(
G1992=""фізична особа""
,
VLOOKUP(H1992,IMPORTRANGE(""https://docs.google.com/spreadsheets/d/14Bd19lYaqBhU8_DElYkX7l4wRkHqqCUFNJY4AfY3kHU/edit?usp=sharing  #gid=0"",""фіз особи new!relations_name""),6,FALSE)
,
(IF
(
G1992=""юридична особа""
,
VLOOKUP"&amp;"(H1992,IMPORTRANGE(""https://docs.google.com/spreadsheets/d/14Bd19lYaqBhU8_DElYkX7l4wRkHqqCUFNJY4AfY3kHU/edit?usp=sharing  #gid=0"",""фіз особи new!relations_name_uo""),7,FALSE)
,
)
))"),"#N/A")</f>
        <v>#N/A</v>
      </c>
      <c r="J1991" s="7" t="s">
        <v>17</v>
      </c>
    </row>
    <row r="1992" spans="1:10" ht="13.2">
      <c r="A1992" s="7">
        <v>1991</v>
      </c>
      <c r="B1992" s="7">
        <v>1</v>
      </c>
      <c r="C1992" s="7" t="s">
        <v>10</v>
      </c>
      <c r="D1992" s="7">
        <v>608</v>
      </c>
      <c r="E1992" s="7" t="s">
        <v>12</v>
      </c>
      <c r="F1992" s="8" t="str">
        <f ca="1">IFERROR(__xludf.DUMMYFUNCTION("IF
(
C1993=""фізична особа""
,
VLOOKUP(D1993,IMPORTRANGE(""https://docs.google.com/spreadsheets/d/14Bd19lYaqBhU8_DElYkX7l4wRkHqqCUFNJY4AfY3kHU/edit?usp=sharing  #gid=0"",""фіз особи new!relations_name""),6,FALSE)
,
(IF
(
C1993=""юридична особа""
,
VLOOKUP"&amp;"(D1993,IMPORTRANGE(""https://docs.google.com/spreadsheets/d/14Bd19lYaqBhU8_DElYkX7l4wRkHqqCUFNJY4AfY3kHU/edit?usp=sharing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92" s="7" t="s">
        <v>10</v>
      </c>
      <c r="H1992" s="7">
        <v>0</v>
      </c>
      <c r="I1992" s="8" t="str">
        <f ca="1">IFERROR(__xludf.DUMMYFUNCTION("IF
(
G1993=""фізична особа""
,
VLOOKUP(H1993,IMPORTRANGE(""https://docs.google.com/spreadsheets/d/14Bd19lYaqBhU8_DElYkX7l4wRkHqqCUFNJY4AfY3kHU/edit?usp=sharing  #gid=0"",""фіз особи new!relations_name""),6,FALSE)
,
(IF
(
G1993=""юридична особа""
,
VLOOKUP"&amp;"(H1993,IMPORTRANGE(""https://docs.google.com/spreadsheets/d/14Bd19lYaqBhU8_DElYkX7l4wRkHqqCUFNJY4AfY3kHU/edit?usp=sharing  #gid=0"",""фіз особи new!relations_name_uo""),7,FALSE)
,
)
))"),"#N/A")</f>
        <v>#N/A</v>
      </c>
      <c r="J1992" s="7" t="s">
        <v>17</v>
      </c>
    </row>
    <row r="1993" spans="1:10" ht="13.2">
      <c r="A1993" s="7">
        <v>1992</v>
      </c>
      <c r="B1993" s="7">
        <v>1</v>
      </c>
      <c r="C1993" s="7" t="s">
        <v>10</v>
      </c>
      <c r="D1993" s="7">
        <v>608</v>
      </c>
      <c r="E1993" s="7" t="s">
        <v>48</v>
      </c>
      <c r="F1993" s="8" t="str">
        <f ca="1">IFERROR(__xludf.DUMMYFUNCTION("IF
(
C1994=""фізична особа""
,
VLOOKUP(D1994,IMPORTRANGE(""https://docs.google.com/spreadsheets/d/14Bd19lYaqBhU8_DElYkX7l4wRkHqqCUFNJY4AfY3kHU/edit?usp=sharing  #gid=0"",""фіз особи new!relations_name""),6,FALSE)
,
(IF
(
C1994=""юридична особа""
,
VLOOKUP"&amp;"(D1994,IMPORTRANGE(""https://docs.google.com/spreadsheets/d/14Bd19lYaqBhU8_DElYkX7l4wRkHqqCUFNJY4AfY3kHU/edit?usp=sharing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93" s="7" t="s">
        <v>10</v>
      </c>
      <c r="H1993" s="7">
        <v>880</v>
      </c>
      <c r="I1993" s="8" t="str">
        <f ca="1">IFERROR(__xludf.DUMMYFUNCTION("IF
(
G1994=""фізична особа""
,
VLOOKUP(H1994,IMPORTRANGE(""https://docs.google.com/spreadsheets/d/14Bd19lYaqBhU8_DElYkX7l4wRkHqqCUFNJY4AfY3kHU/edit?usp=sharing  #gid=0"",""фіз особи new!relations_name""),6,FALSE)
,
(IF
(
G1994=""юридична особа""
,
VLOOKUP"&amp;"(H1994,IMPORTRANGE(""https://docs.google.com/spreadsheets/d/14Bd19lYaqBhU8_DElYkX7l4wRkHqqCUFNJY4AfY3kHU/edit?usp=sharing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993" s="7" t="s">
        <v>48</v>
      </c>
    </row>
    <row r="1994" spans="1:10" ht="13.2">
      <c r="A1994" s="7">
        <v>1993</v>
      </c>
      <c r="B1994" s="7">
        <v>1</v>
      </c>
      <c r="C1994" s="7" t="s">
        <v>10</v>
      </c>
      <c r="D1994" s="7">
        <v>608</v>
      </c>
      <c r="E1994" s="7" t="s">
        <v>48</v>
      </c>
      <c r="F1994" s="8" t="str">
        <f ca="1">IFERROR(__xludf.DUMMYFUNCTION("IF
(
C1995=""фізична особа""
,
VLOOKUP(D1995,IMPORTRANGE(""https://docs.google.com/spreadsheets/d/14Bd19lYaqBhU8_DElYkX7l4wRkHqqCUFNJY4AfY3kHU/edit?usp=sharing  #gid=0"",""фіз особи new!relations_name""),6,FALSE)
,
(IF
(
C1995=""юридична особа""
,
VLOOKUP"&amp;"(D1995,IMPORTRANGE(""https://docs.google.com/spreadsheets/d/14Bd19lYaqBhU8_DElYkX7l4wRkHqqCUFNJY4AfY3kHU/edit?usp=sharing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G1994" s="7" t="s">
        <v>10</v>
      </c>
      <c r="H1994" s="7">
        <v>804</v>
      </c>
      <c r="I1994" s="8" t="str">
        <f ca="1">IFERROR(__xludf.DUMMYFUNCTION("IF
(
G1995=""фізична особа""
,
VLOOKUP(H1995,IMPORTRANGE(""https://docs.google.com/spreadsheets/d/14Bd19lYaqBhU8_DElYkX7l4wRkHqqCUFNJY4AfY3kHU/edit?usp=sharing  #gid=0"",""фіз особи new!relations_name""),6,FALSE)
,
(IF
(
G1995=""юридична особа""
,
VLOOKUP"&amp;"(H1995,IMPORTRANGE(""https://docs.google.com/spreadsheets/d/14Bd19lYaqBhU8_DElYkX7l4wRkHqqCUFNJY4AfY3kHU/edit?usp=sharing  #gid=0"",""фіз особи new!relations_name_uo""),7,FALSE)
,
)
))"),"ПІСКАРЬОВ Василь Іванович")</f>
        <v>ПІСКАРЬОВ Василь Іванович</v>
      </c>
      <c r="J1994" s="7" t="s">
        <v>48</v>
      </c>
    </row>
    <row r="1995" spans="1:10" ht="13.2">
      <c r="A1995" s="7">
        <v>1994</v>
      </c>
      <c r="B1995" s="7">
        <v>1</v>
      </c>
      <c r="C1995" s="7" t="s">
        <v>10</v>
      </c>
      <c r="D1995" s="7">
        <v>609</v>
      </c>
      <c r="E1995" s="7" t="s">
        <v>19</v>
      </c>
      <c r="F1995" s="8" t="str">
        <f ca="1">IFERROR(__xludf.DUMMYFUNCTION("IF
(
C1996=""фізична особа""
,
VLOOKUP(D1996,IMPORTRANGE(""https://docs.google.com/spreadsheets/d/14Bd19lYaqBhU8_DElYkX7l4wRkHqqCUFNJY4AfY3kHU/edit?usp=sharing  #gid=0"",""фіз особи new!relations_name""),6,FALSE)
,
(IF
(
C1996=""юридична особа""
,
VLOOKUP"&amp;"(D1996,IMPORTRANGE(""https://docs.google.com/spreadsheets/d/14Bd19lYaqBhU8_DElYkX7l4wRkHqqCUFNJY4AfY3kHU/edit?usp=sharing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1995" s="7" t="s">
        <v>10</v>
      </c>
      <c r="H1995" s="7">
        <v>4939</v>
      </c>
      <c r="I1995" s="8" t="str">
        <f ca="1">IFERROR(__xludf.DUMMYFUNCTION("IF
(
G1996=""фізична особа""
,
VLOOKUP(H1996,IMPORTRANGE(""https://docs.google.com/spreadsheets/d/14Bd19lYaqBhU8_DElYkX7l4wRkHqqCUFNJY4AfY3kHU/edit?usp=sharing  #gid=0"",""фіз особи new!relations_name""),6,FALSE)
,
(IF
(
G1996=""юридична особа""
,
VLOOKUP"&amp;"(H1996,IMPORTRANGE(""https://docs.google.com/spreadsheets/d/14Bd19lYaqBhU8_DElYkX7l4wRkHqqCUFNJY4AfY3kHU/edit?usp=sharing  #gid=0"",""фіз особи new!relations_name_uo""),7,FALSE)
,
)
))"),"АЙДАМІРОВ Магомед Асламбекович")</f>
        <v>АЙДАМІРОВ Магомед Асламбекович</v>
      </c>
      <c r="J1995" s="7" t="s">
        <v>20</v>
      </c>
    </row>
    <row r="1996" spans="1:10" ht="13.2">
      <c r="A1996" s="7">
        <v>1995</v>
      </c>
      <c r="B1996" s="7">
        <v>1</v>
      </c>
      <c r="C1996" s="7" t="s">
        <v>10</v>
      </c>
      <c r="D1996" s="7">
        <v>609</v>
      </c>
      <c r="E1996" s="7" t="s">
        <v>19</v>
      </c>
      <c r="F1996" s="8" t="str">
        <f ca="1">IFERROR(__xludf.DUMMYFUNCTION("IF
(
C1997=""фізична особа""
,
VLOOKUP(D1997,IMPORTRANGE(""https://docs.google.com/spreadsheets/d/14Bd19lYaqBhU8_DElYkX7l4wRkHqqCUFNJY4AfY3kHU/edit?usp=sharing  #gid=0"",""фіз особи new!relations_name""),6,FALSE)
,
(IF
(
C1997=""юридична особа""
,
VLOOKUP"&amp;"(D1997,IMPORTRANGE(""https://docs.google.com/spreadsheets/d/14Bd19lYaqBhU8_DElYkX7l4wRkHqqCUFNJY4AfY3kHU/edit?usp=sharing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1996" s="7" t="s">
        <v>10</v>
      </c>
      <c r="H1996" s="7">
        <v>1303</v>
      </c>
      <c r="I1996" s="8" t="str">
        <f ca="1">IFERROR(__xludf.DUMMYFUNCTION("IF
(
G1997=""фізична особа""
,
VLOOKUP(H1997,IMPORTRANGE(""https://docs.google.com/spreadsheets/d/14Bd19lYaqBhU8_DElYkX7l4wRkHqqCUFNJY4AfY3kHU/edit?usp=sharing  #gid=0"",""фіз особи new!relations_name""),6,FALSE)
,
(IF
(
G1997=""юридична особа""
,
VLOOKUP"&amp;"(H1997,IMPORTRANGE(""https://docs.google.com/spreadsheets/d/14Bd19lYaqBhU8_DElYkX7l4wRkHqqCUFNJY4AfY3kHU/edit?usp=sharing  #gid=0"",""фіз особи new!relations_name_uo""),7,FALSE)
,
)
))"),"ЧЕРХІГОВ Ідріс Рамзанович")</f>
        <v>ЧЕРХІГОВ Ідріс Рамзанович</v>
      </c>
      <c r="J1996" s="7" t="s">
        <v>20</v>
      </c>
    </row>
    <row r="1997" spans="1:10" ht="13.2">
      <c r="A1997" s="7">
        <v>1996</v>
      </c>
      <c r="B1997" s="7">
        <v>1</v>
      </c>
      <c r="C1997" s="7" t="s">
        <v>10</v>
      </c>
      <c r="D1997" s="7">
        <v>609</v>
      </c>
      <c r="E1997" s="7" t="s">
        <v>12</v>
      </c>
      <c r="F1997" s="8" t="str">
        <f ca="1">IFERROR(__xludf.DUMMYFUNCTION("IF
(
C1998=""фізична особа""
,
VLOOKUP(D1998,IMPORTRANGE(""https://docs.google.com/spreadsheets/d/14Bd19lYaqBhU8_DElYkX7l4wRkHqqCUFNJY4AfY3kHU/edit?usp=sharing  #gid=0"",""фіз особи new!relations_name""),6,FALSE)
,
(IF
(
C1998=""юридична особа""
,
VLOOKUP"&amp;"(D1998,IMPORTRANGE(""https://docs.google.com/spreadsheets/d/14Bd19lYaqBhU8_DElYkX7l4wRkHqqCUFNJY4AfY3kHU/edit?usp=sharing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1997" s="7" t="s">
        <v>10</v>
      </c>
      <c r="H1997" s="7">
        <v>4940</v>
      </c>
      <c r="I1997" s="8" t="str">
        <f ca="1">IFERROR(__xludf.DUMMYFUNCTION("IF
(
G1998=""фізична особа""
,
VLOOKUP(H1998,IMPORTRANGE(""https://docs.google.com/spreadsheets/d/14Bd19lYaqBhU8_DElYkX7l4wRkHqqCUFNJY4AfY3kHU/edit?usp=sharing  #gid=0"",""фіз особи new!relations_name""),6,FALSE)
,
(IF
(
G1998=""юридична особа""
,
VLOOKUP"&amp;"(H1998,IMPORTRANGE(""https://docs.google.com/spreadsheets/d/14Bd19lYaqBhU8_DElYkX7l4wRkHqqCUFNJY4AfY3kHU/edit?usp=sharing  #gid=0"",""фіз особи new!relations_name_uo""),7,FALSE)
,
)
))"),"КАДИРОВ Елі Рамзанович")</f>
        <v>КАДИРОВ Елі Рамзанович</v>
      </c>
      <c r="J1997" s="7" t="s">
        <v>17</v>
      </c>
    </row>
    <row r="1998" spans="1:10" ht="13.2">
      <c r="A1998" s="7">
        <v>1997</v>
      </c>
      <c r="B1998" s="7">
        <v>1</v>
      </c>
      <c r="C1998" s="7" t="s">
        <v>10</v>
      </c>
      <c r="D1998" s="7">
        <v>609</v>
      </c>
      <c r="E1998" s="7" t="s">
        <v>19</v>
      </c>
      <c r="F1998" s="8" t="str">
        <f ca="1">IFERROR(__xludf.DUMMYFUNCTION("IF
(
C1999=""фізична особа""
,
VLOOKUP(D1999,IMPORTRANGE(""https://docs.google.com/spreadsheets/d/14Bd19lYaqBhU8_DElYkX7l4wRkHqqCUFNJY4AfY3kHU/edit?usp=sharing  #gid=0"",""фіз особи new!relations_name""),6,FALSE)
,
(IF
(
C1999=""юридична особа""
,
VLOOKUP"&amp;"(D1999,IMPORTRANGE(""https://docs.google.com/spreadsheets/d/14Bd19lYaqBhU8_DElYkX7l4wRkHqqCUFNJY4AfY3kHU/edit?usp=sharing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1998" s="7" t="s">
        <v>10</v>
      </c>
      <c r="H1998" s="7">
        <v>4941</v>
      </c>
      <c r="I1998" s="8" t="str">
        <f ca="1">IFERROR(__xludf.DUMMYFUNCTION("IF
(
G1999=""фізична особа""
,
VLOOKUP(H1999,IMPORTRANGE(""https://docs.google.com/spreadsheets/d/14Bd19lYaqBhU8_DElYkX7l4wRkHqqCUFNJY4AfY3kHU/edit?usp=sharing  #gid=0"",""фіз особи new!relations_name""),6,FALSE)
,
(IF
(
G1999=""юридична особа""
,
VLOOKUP"&amp;"(H1999,IMPORTRANGE(""https://docs.google.com/spreadsheets/d/14Bd19lYaqBhU8_DElYkX7l4wRkHqqCUFNJY4AfY3kHU/edit?usp=sharing  #gid=0"",""фіз особи new!relations_name_uo""),7,FALSE)
,
)
))"),"КАДИРОВ Аббас")</f>
        <v>КАДИРОВ Аббас</v>
      </c>
      <c r="J1998" s="7" t="s">
        <v>20</v>
      </c>
    </row>
    <row r="1999" spans="1:10" ht="13.2">
      <c r="A1999" s="7">
        <v>1998</v>
      </c>
      <c r="B1999" s="7">
        <v>1</v>
      </c>
      <c r="C1999" s="7" t="s">
        <v>10</v>
      </c>
      <c r="D1999" s="7">
        <v>609</v>
      </c>
      <c r="E1999" s="7" t="s">
        <v>19</v>
      </c>
      <c r="F1999" s="8" t="str">
        <f ca="1">IFERROR(__xludf.DUMMYFUNCTION("IF
(
C2000=""фізична особа""
,
VLOOKUP(D2000,IMPORTRANGE(""https://docs.google.com/spreadsheets/d/14Bd19lYaqBhU8_DElYkX7l4wRkHqqCUFNJY4AfY3kHU/edit?usp=sharing  #gid=0"",""фіз особи new!relations_name""),6,FALSE)
,
(IF
(
C2000=""юридична особа""
,
VLOOKUP"&amp;"(D2000,IMPORTRANGE(""https://docs.google.com/spreadsheets/d/14Bd19lYaqBhU8_DElYkX7l4wRkHqqCUFNJY4AfY3kHU/edit?usp=sharing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1999" s="7" t="s">
        <v>10</v>
      </c>
      <c r="H1999" s="7">
        <v>4942</v>
      </c>
      <c r="I1999" s="8" t="str">
        <f ca="1">IFERROR(__xludf.DUMMYFUNCTION("IF
(
G2000=""фізична особа""
,
VLOOKUP(H2000,IMPORTRANGE(""https://docs.google.com/spreadsheets/d/14Bd19lYaqBhU8_DElYkX7l4wRkHqqCUFNJY4AfY3kHU/edit?usp=sharing  #gid=0"",""фіз особи new!relations_name""),6,FALSE)
,
(IF
(
G2000=""юридична особа""
,
VLOOKUP"&amp;"(H2000,IMPORTRANGE(""https://docs.google.com/spreadsheets/d/14Bd19lYaqBhU8_DElYkX7l4wRkHqqCUFNJY4AfY3kHU/edit?usp=sharing  #gid=0"",""фіз особи new!relations_name_uo""),7,FALSE)
,
)
))"),"КАДИРОВ Халід")</f>
        <v>КАДИРОВ Халід</v>
      </c>
      <c r="J1999" s="7" t="s">
        <v>20</v>
      </c>
    </row>
    <row r="2000" spans="1:10" ht="13.2">
      <c r="A2000" s="7">
        <v>1999</v>
      </c>
      <c r="B2000" s="7">
        <v>1</v>
      </c>
      <c r="C2000" s="7" t="s">
        <v>10</v>
      </c>
      <c r="D2000" s="7">
        <v>609</v>
      </c>
      <c r="E2000" s="7" t="s">
        <v>19</v>
      </c>
      <c r="F2000" s="8" t="str">
        <f ca="1">IFERROR(__xludf.DUMMYFUNCTION("IF
(
C2001=""фізична особа""
,
VLOOKUP(D2001,IMPORTRANGE(""https://docs.google.com/spreadsheets/d/14Bd19lYaqBhU8_DElYkX7l4wRkHqqCUFNJY4AfY3kHU/edit?usp=sharing  #gid=0"",""фіз особи new!relations_name""),6,FALSE)
,
(IF
(
C2001=""юридична особа""
,
VLOOKUP"&amp;"(D2001,IMPORTRANGE(""https://docs.google.com/spreadsheets/d/14Bd19lYaqBhU8_DElYkX7l4wRkHqqCUFNJY4AfY3kHU/edit?usp=sharing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0" s="7" t="s">
        <v>10</v>
      </c>
      <c r="H2000" s="7">
        <v>4292</v>
      </c>
      <c r="I2000" s="8" t="str">
        <f ca="1">IFERROR(__xludf.DUMMYFUNCTION("IF
(
G2001=""фізична особа""
,
VLOOKUP(H2001,IMPORTRANGE(""https://docs.google.com/spreadsheets/d/14Bd19lYaqBhU8_DElYkX7l4wRkHqqCUFNJY4AfY3kHU/edit?usp=sharing  #gid=0"",""фіз особи new!relations_name""),6,FALSE)
,
(IF
(
G2001=""юридична особа""
,
VLOOKUP"&amp;"(H2001,IMPORTRANGE(""https://docs.google.com/spreadsheets/d/14Bd19lYaqBhU8_DElYkX7l4wRkHqqCUFNJY4AfY3kHU/edit?usp=sharing  #gid=0"",""фіз особи new!relations_name_uo""),7,FALSE)
,
)
))"),"КАДИРОВ Хас-Магомед Шахмомедович")</f>
        <v>КАДИРОВ Хас-Магомед Шахмомедович</v>
      </c>
      <c r="J2000" s="7" t="s">
        <v>20</v>
      </c>
    </row>
    <row r="2001" spans="1:10" ht="13.2">
      <c r="A2001" s="7">
        <v>2000</v>
      </c>
      <c r="B2001" s="7">
        <v>1</v>
      </c>
      <c r="C2001" s="7" t="s">
        <v>10</v>
      </c>
      <c r="D2001" s="7">
        <v>609</v>
      </c>
      <c r="E2001" s="7" t="s">
        <v>20</v>
      </c>
      <c r="F2001" s="8" t="str">
        <f ca="1">IFERROR(__xludf.DUMMYFUNCTION("IF
(
C2002=""фізична особа""
,
VLOOKUP(D2002,IMPORTRANGE(""https://docs.google.com/spreadsheets/d/14Bd19lYaqBhU8_DElYkX7l4wRkHqqCUFNJY4AfY3kHU/edit?usp=sharing  #gid=0"",""фіз особи new!relations_name""),6,FALSE)
,
(IF
(
C2002=""юридична особа""
,
VLOOKUP"&amp;"(D2002,IMPORTRANGE(""https://docs.google.com/spreadsheets/d/14Bd19lYaqBhU8_DElYkX7l4wRkHqqCUFNJY4AfY3kHU/edit?usp=sharing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1" s="7" t="s">
        <v>10</v>
      </c>
      <c r="H2001" s="7">
        <v>4943</v>
      </c>
      <c r="I2001" s="8" t="str">
        <f ca="1">IFERROR(__xludf.DUMMYFUNCTION("IF
(
G2002=""фізична особа""
,
VLOOKUP(H2002,IMPORTRANGE(""https://docs.google.com/spreadsheets/d/14Bd19lYaqBhU8_DElYkX7l4wRkHqqCUFNJY4AfY3kHU/edit?usp=sharing  #gid=0"",""фіз особи new!relations_name""),6,FALSE)
,
(IF
(
G2002=""юридична особа""
,
VLOOKUP"&amp;"(H2002,IMPORTRANGE(""https://docs.google.com/spreadsheets/d/14Bd19lYaqBhU8_DElYkX7l4wRkHqqCUFNJY4AfY3kHU/edit?usp=sharing  #gid=0"",""фіз особи new!relations_name_uo""),7,FALSE)
,
)
))"),"КАДИРОВ Хож-Ахмед-Хаджі Жабраілович")</f>
        <v>КАДИРОВ Хож-Ахмед-Хаджі Жабраілович</v>
      </c>
      <c r="J2001" s="7" t="s">
        <v>19</v>
      </c>
    </row>
    <row r="2002" spans="1:10" ht="13.2">
      <c r="A2002" s="7">
        <v>2001</v>
      </c>
      <c r="B2002" s="7">
        <v>1</v>
      </c>
      <c r="C2002" s="7" t="s">
        <v>10</v>
      </c>
      <c r="D2002" s="7">
        <v>609</v>
      </c>
      <c r="E2002" s="7" t="s">
        <v>20</v>
      </c>
      <c r="F2002" s="8" t="str">
        <f ca="1">IFERROR(__xludf.DUMMYFUNCTION("IF
(
C2003=""фізична особа""
,
VLOOKUP(D2003,IMPORTRANGE(""https://docs.google.com/spreadsheets/d/14Bd19lYaqBhU8_DElYkX7l4wRkHqqCUFNJY4AfY3kHU/edit?usp=sharing  #gid=0"",""фіз особи new!relations_name""),6,FALSE)
,
(IF
(
C2003=""юридична особа""
,
VLOOKUP"&amp;"(D2003,IMPORTRANGE(""https://docs.google.com/spreadsheets/d/14Bd19lYaqBhU8_DElYkX7l4wRkHqqCUFNJY4AfY3kHU/edit?usp=sharing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2" s="7" t="s">
        <v>10</v>
      </c>
      <c r="H2002" s="7">
        <v>4944</v>
      </c>
      <c r="I2002" s="8" t="str">
        <f ca="1">IFERROR(__xludf.DUMMYFUNCTION("IF
(
G2003=""фізична особа""
,
VLOOKUP(H2003,IMPORTRANGE(""https://docs.google.com/spreadsheets/d/14Bd19lYaqBhU8_DElYkX7l4wRkHqqCUFNJY4AfY3kHU/edit?usp=sharing  #gid=0"",""фіз особи new!relations_name""),6,FALSE)
,
(IF
(
G2003=""юридична особа""
,
VLOOKUP"&amp;"(H2003,IMPORTRANGE(""https://docs.google.com/spreadsheets/d/14Bd19lYaqBhU8_DElYkX7l4wRkHqqCUFNJY4AfY3kHU/edit?usp=sharing  #gid=0"",""фіз особи new!relations_name_uo""),7,FALSE)
,
)
))"),"КАДИРОВ Магомед Абдулхамідович")</f>
        <v>КАДИРОВ Магомед Абдулхамідович</v>
      </c>
      <c r="J2002" s="7" t="s">
        <v>19</v>
      </c>
    </row>
    <row r="2003" spans="1:10" ht="13.2">
      <c r="A2003" s="7">
        <v>2002</v>
      </c>
      <c r="B2003" s="7">
        <v>1</v>
      </c>
      <c r="C2003" s="7" t="s">
        <v>10</v>
      </c>
      <c r="D2003" s="7">
        <v>609</v>
      </c>
      <c r="E2003" s="7" t="s">
        <v>12</v>
      </c>
      <c r="F2003" s="8" t="str">
        <f ca="1">IFERROR(__xludf.DUMMYFUNCTION("IF
(
C2004=""фізична особа""
,
VLOOKUP(D2004,IMPORTRANGE(""https://docs.google.com/spreadsheets/d/14Bd19lYaqBhU8_DElYkX7l4wRkHqqCUFNJY4AfY3kHU/edit?usp=sharing  #gid=0"",""фіз особи new!relations_name""),6,FALSE)
,
(IF
(
C2004=""юридична особа""
,
VLOOKUP"&amp;"(D2004,IMPORTRANGE(""https://docs.google.com/spreadsheets/d/14Bd19lYaqBhU8_DElYkX7l4wRkHqqCUFNJY4AfY3kHU/edit?usp=sharing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3" s="7" t="s">
        <v>10</v>
      </c>
      <c r="H2003" s="7">
        <v>4945</v>
      </c>
      <c r="I2003" s="8" t="str">
        <f ca="1">IFERROR(__xludf.DUMMYFUNCTION("IF
(
G2004=""фізична особа""
,
VLOOKUP(H2004,IMPORTRANGE(""https://docs.google.com/spreadsheets/d/14Bd19lYaqBhU8_DElYkX7l4wRkHqqCUFNJY4AfY3kHU/edit?usp=sharing  #gid=0"",""фіз особи new!relations_name""),6,FALSE)
,
(IF
(
G2004=""юридична особа""
,
VLOOKUP"&amp;"(H2004,IMPORTRANGE(""https://docs.google.com/spreadsheets/d/14Bd19lYaqBhU8_DElYkX7l4wRkHqqCUFNJY4AfY3kHU/edit?usp=sharing  #gid=0"",""фіз особи new!relations_name_uo""),7,FALSE)
,
)
))"),"КАДИРОВ Ахмат Рамзанович")</f>
        <v>КАДИРОВ Ахмат Рамзанович</v>
      </c>
      <c r="J2003" s="7" t="s">
        <v>17</v>
      </c>
    </row>
    <row r="2004" spans="1:10" ht="13.2">
      <c r="A2004" s="7">
        <v>2003</v>
      </c>
      <c r="B2004" s="7">
        <v>1</v>
      </c>
      <c r="C2004" s="7" t="s">
        <v>10</v>
      </c>
      <c r="D2004" s="7">
        <v>609</v>
      </c>
      <c r="E2004" s="7" t="s">
        <v>12</v>
      </c>
      <c r="F2004" s="8" t="str">
        <f ca="1">IFERROR(__xludf.DUMMYFUNCTION("IF
(
C2005=""фізична особа""
,
VLOOKUP(D2005,IMPORTRANGE(""https://docs.google.com/spreadsheets/d/14Bd19lYaqBhU8_DElYkX7l4wRkHqqCUFNJY4AfY3kHU/edit?usp=sharing  #gid=0"",""фіз особи new!relations_name""),6,FALSE)
,
(IF
(
C2005=""юридична особа""
,
VLOOKUP"&amp;"(D2005,IMPORTRANGE(""https://docs.google.com/spreadsheets/d/14Bd19lYaqBhU8_DElYkX7l4wRkHqqCUFNJY4AfY3kHU/edit?usp=sharing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4" s="7" t="s">
        <v>10</v>
      </c>
      <c r="H2004" s="7">
        <v>4946</v>
      </c>
      <c r="I2004" s="8" t="str">
        <f ca="1">IFERROR(__xludf.DUMMYFUNCTION("IF
(
G2005=""фізична особа""
,
VLOOKUP(H2005,IMPORTRANGE(""https://docs.google.com/spreadsheets/d/14Bd19lYaqBhU8_DElYkX7l4wRkHqqCUFNJY4AfY3kHU/edit?usp=sharing  #gid=0"",""фіз особи new!relations_name""),6,FALSE)
,
(IF
(
G2005=""юридична особа""
,
VLOOKUP"&amp;"(H2005,IMPORTRANGE(""https://docs.google.com/spreadsheets/d/14Bd19lYaqBhU8_DElYkX7l4wRkHqqCUFNJY4AfY3kHU/edit?usp=sharing  #gid=0"",""фіз особи new!relations_name_uo""),7,FALSE)
,
)
))"),"КАДИРОВ Зелімхан Рамзанович")</f>
        <v>КАДИРОВ Зелімхан Рамзанович</v>
      </c>
      <c r="J2004" s="7" t="s">
        <v>17</v>
      </c>
    </row>
    <row r="2005" spans="1:10" ht="13.2">
      <c r="A2005" s="7">
        <v>2004</v>
      </c>
      <c r="B2005" s="7">
        <v>1</v>
      </c>
      <c r="C2005" s="7" t="s">
        <v>10</v>
      </c>
      <c r="D2005" s="7">
        <v>609</v>
      </c>
      <c r="E2005" s="7" t="s">
        <v>12</v>
      </c>
      <c r="F2005" s="8" t="str">
        <f ca="1">IFERROR(__xludf.DUMMYFUNCTION("IF
(
C2006=""фізична особа""
,
VLOOKUP(D2006,IMPORTRANGE(""https://docs.google.com/spreadsheets/d/14Bd19lYaqBhU8_DElYkX7l4wRkHqqCUFNJY4AfY3kHU/edit?usp=sharing  #gid=0"",""фіз особи new!relations_name""),6,FALSE)
,
(IF
(
C2006=""юридична особа""
,
VLOOKUP"&amp;"(D2006,IMPORTRANGE(""https://docs.google.com/spreadsheets/d/14Bd19lYaqBhU8_DElYkX7l4wRkHqqCUFNJY4AfY3kHU/edit?usp=sharing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5" s="7" t="s">
        <v>10</v>
      </c>
      <c r="H2005" s="7">
        <v>4947</v>
      </c>
      <c r="I2005" s="8" t="str">
        <f ca="1">IFERROR(__xludf.DUMMYFUNCTION("IF
(
G2006=""фізична особа""
,
VLOOKUP(H2006,IMPORTRANGE(""https://docs.google.com/spreadsheets/d/14Bd19lYaqBhU8_DElYkX7l4wRkHqqCUFNJY4AfY3kHU/edit?usp=sharing  #gid=0"",""фіз особи new!relations_name""),6,FALSE)
,
(IF
(
G2006=""юридична особа""
,
VLOOKUP"&amp;"(H2006,IMPORTRANGE(""https://docs.google.com/spreadsheets/d/14Bd19lYaqBhU8_DElYkX7l4wRkHqqCUFNJY4AfY3kHU/edit?usp=sharing  #gid=0"",""фіз особи new!relations_name_uo""),7,FALSE)
,
)
))"),"КАДИРОВ Адам Рамзанович")</f>
        <v>КАДИРОВ Адам Рамзанович</v>
      </c>
      <c r="J2005" s="7" t="s">
        <v>17</v>
      </c>
    </row>
    <row r="2006" spans="1:10" ht="13.2">
      <c r="A2006" s="7">
        <v>2005</v>
      </c>
      <c r="B2006" s="7">
        <v>1</v>
      </c>
      <c r="C2006" s="7" t="s">
        <v>10</v>
      </c>
      <c r="D2006" s="7">
        <v>609</v>
      </c>
      <c r="E2006" s="7" t="s">
        <v>12</v>
      </c>
      <c r="F2006" s="8" t="str">
        <f ca="1">IFERROR(__xludf.DUMMYFUNCTION("IF
(
C2007=""фізична особа""
,
VLOOKUP(D2007,IMPORTRANGE(""https://docs.google.com/spreadsheets/d/14Bd19lYaqBhU8_DElYkX7l4wRkHqqCUFNJY4AfY3kHU/edit?usp=sharing  #gid=0"",""фіз особи new!relations_name""),6,FALSE)
,
(IF
(
C2007=""юридична особа""
,
VLOOKUP"&amp;"(D2007,IMPORTRANGE(""https://docs.google.com/spreadsheets/d/14Bd19lYaqBhU8_DElYkX7l4wRkHqqCUFNJY4AfY3kHU/edit?usp=sharing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6" s="7" t="s">
        <v>10</v>
      </c>
      <c r="H2006" s="7">
        <v>4948</v>
      </c>
      <c r="I2006" s="8" t="str">
        <f ca="1">IFERROR(__xludf.DUMMYFUNCTION("IF
(
G2007=""фізична особа""
,
VLOOKUP(H2007,IMPORTRANGE(""https://docs.google.com/spreadsheets/d/14Bd19lYaqBhU8_DElYkX7l4wRkHqqCUFNJY4AfY3kHU/edit?usp=sharing  #gid=0"",""фіз особи new!relations_name""),6,FALSE)
,
(IF
(
G2007=""юридична особа""
,
VLOOKUP"&amp;"(H2007,IMPORTRANGE(""https://docs.google.com/spreadsheets/d/14Bd19lYaqBhU8_DElYkX7l4wRkHqqCUFNJY4AfY3kHU/edit?usp=sharing  #gid=0"",""фіз особи new!relations_name_uo""),7,FALSE)
,
)
))"),"КАДИРОВ Абдуллах Рамзанович")</f>
        <v>КАДИРОВ Абдуллах Рамзанович</v>
      </c>
      <c r="J2006" s="7" t="s">
        <v>17</v>
      </c>
    </row>
    <row r="2007" spans="1:10" ht="13.2">
      <c r="A2007" s="7">
        <v>2006</v>
      </c>
      <c r="B2007" s="7">
        <v>1</v>
      </c>
      <c r="C2007" s="7" t="s">
        <v>10</v>
      </c>
      <c r="D2007" s="7">
        <v>609</v>
      </c>
      <c r="E2007" s="7" t="s">
        <v>19</v>
      </c>
      <c r="F2007" s="8" t="str">
        <f ca="1">IFERROR(__xludf.DUMMYFUNCTION("IF
(
C2008=""фізична особа""
,
VLOOKUP(D2008,IMPORTRANGE(""https://docs.google.com/spreadsheets/d/14Bd19lYaqBhU8_DElYkX7l4wRkHqqCUFNJY4AfY3kHU/edit?usp=sharing  #gid=0"",""фіз особи new!relations_name""),6,FALSE)
,
(IF
(
C2008=""юридична особа""
,
VLOOKUP"&amp;"(D2008,IMPORTRANGE(""https://docs.google.com/spreadsheets/d/14Bd19lYaqBhU8_DElYkX7l4wRkHqqCUFNJY4AfY3kHU/edit?usp=sharing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7" s="7" t="s">
        <v>10</v>
      </c>
      <c r="H2007" s="7">
        <v>4249</v>
      </c>
      <c r="I2007" s="8" t="str">
        <f ca="1">IFERROR(__xludf.DUMMYFUNCTION("IF
(
G2008=""фізична особа""
,
VLOOKUP(H2008,IMPORTRANGE(""https://docs.google.com/spreadsheets/d/14Bd19lYaqBhU8_DElYkX7l4wRkHqqCUFNJY4AfY3kHU/edit?usp=sharing  #gid=0"",""фіз особи new!relations_name""),6,FALSE)
,
(IF
(
G2008=""юридична особа""
,
VLOOKUP"&amp;"(H2008,IMPORTRANGE(""https://docs.google.com/spreadsheets/d/14Bd19lYaqBhU8_DElYkX7l4wRkHqqCUFNJY4AfY3kHU/edit?usp=sharing  #gid=0"",""фіз особи new!relations_name_uo""),7,FALSE)
,
)
))"),"ТРИФОНОВ Ігор Володимирович")</f>
        <v>ТРИФОНОВ Ігор Володимирович</v>
      </c>
      <c r="J2007" s="7" t="s">
        <v>20</v>
      </c>
    </row>
    <row r="2008" spans="1:10" ht="13.2">
      <c r="A2008" s="7">
        <v>2007</v>
      </c>
      <c r="B2008" s="7">
        <v>1</v>
      </c>
      <c r="C2008" s="7" t="s">
        <v>10</v>
      </c>
      <c r="D2008" s="7">
        <v>609</v>
      </c>
      <c r="E2008" s="7" t="s">
        <v>14</v>
      </c>
      <c r="F2008" s="8" t="str">
        <f ca="1">IFERROR(__xludf.DUMMYFUNCTION("IF
(
C2009=""фізична особа""
,
VLOOKUP(D2009,IMPORTRANGE(""https://docs.google.com/spreadsheets/d/14Bd19lYaqBhU8_DElYkX7l4wRkHqqCUFNJY4AfY3kHU/edit?usp=sharing  #gid=0"",""фіз особи new!relations_name""),6,FALSE)
,
(IF
(
C2009=""юридична особа""
,
VLOOKUP"&amp;"(D2009,IMPORTRANGE(""https://docs.google.com/spreadsheets/d/14Bd19lYaqBhU8_DElYkX7l4wRkHqqCUFNJY4AfY3kHU/edit?usp=sharing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8" s="7" t="s">
        <v>10</v>
      </c>
      <c r="H2008" s="7">
        <v>4950</v>
      </c>
      <c r="I2008" s="8" t="str">
        <f ca="1">IFERROR(__xludf.DUMMYFUNCTION("IF
(
G2009=""фізична особа""
,
VLOOKUP(H2009,IMPORTRANGE(""https://docs.google.com/spreadsheets/d/14Bd19lYaqBhU8_DElYkX7l4wRkHqqCUFNJY4AfY3kHU/edit?usp=sharing  #gid=0"",""фіз особи new!relations_name""),6,FALSE)
,
(IF
(
G2009=""юридична особа""
,
VLOOKUP"&amp;"(H2009,IMPORTRANGE(""https://docs.google.com/spreadsheets/d/14Bd19lYaqBhU8_DElYkX7l4wRkHqqCUFNJY4AfY3kHU/edit?usp=sharing  #gid=0"",""фіз особи new!relations_name_uo""),7,FALSE)
,
)
))"),"КАДИРОВА Медні Мусаївна")</f>
        <v>КАДИРОВА Медні Мусаївна</v>
      </c>
      <c r="J2008" s="7" t="s">
        <v>15</v>
      </c>
    </row>
    <row r="2009" spans="1:10" ht="13.2">
      <c r="A2009" s="7">
        <v>2008</v>
      </c>
      <c r="B2009" s="7">
        <v>1</v>
      </c>
      <c r="C2009" s="7" t="s">
        <v>10</v>
      </c>
      <c r="D2009" s="7">
        <v>609</v>
      </c>
      <c r="E2009" s="7" t="s">
        <v>12</v>
      </c>
      <c r="F2009" s="8" t="str">
        <f ca="1">IFERROR(__xludf.DUMMYFUNCTION("IF
(
C2010=""фізична особа""
,
VLOOKUP(D2010,IMPORTRANGE(""https://docs.google.com/spreadsheets/d/14Bd19lYaqBhU8_DElYkX7l4wRkHqqCUFNJY4AfY3kHU/edit?usp=sharing  #gid=0"",""фіз особи new!relations_name""),6,FALSE)
,
(IF
(
C2010=""юридична особа""
,
VLOOKUP"&amp;"(D2010,IMPORTRANGE(""https://docs.google.com/spreadsheets/d/14Bd19lYaqBhU8_DElYkX7l4wRkHqqCUFNJY4AfY3kHU/edit?usp=sharing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09" s="7" t="s">
        <v>10</v>
      </c>
      <c r="H2009" s="7">
        <v>4951</v>
      </c>
      <c r="I2009" s="8" t="str">
        <f ca="1">IFERROR(__xludf.DUMMYFUNCTION("IF
(
G2010=""фізична особа""
,
VLOOKUP(H2010,IMPORTRANGE(""https://docs.google.com/spreadsheets/d/14Bd19lYaqBhU8_DElYkX7l4wRkHqqCUFNJY4AfY3kHU/edit?usp=sharing  #gid=0"",""фіз особи new!relations_name""),6,FALSE)
,
(IF
(
G2010=""юридична особа""
,
VLOOKUP"&amp;"(H2010,IMPORTRANGE(""https://docs.google.com/spreadsheets/d/14Bd19lYaqBhU8_DElYkX7l4wRkHqqCUFNJY4AfY3kHU/edit?usp=sharing  #gid=0"",""фіз особи new!relations_name_uo""),7,FALSE)
,
)
))"),"КАДИРОВА Айшат Рамзановна")</f>
        <v>КАДИРОВА Айшат Рамзановна</v>
      </c>
      <c r="J2009" s="7" t="s">
        <v>13</v>
      </c>
    </row>
    <row r="2010" spans="1:10" ht="13.2">
      <c r="A2010" s="7">
        <v>2009</v>
      </c>
      <c r="B2010" s="7">
        <v>1</v>
      </c>
      <c r="C2010" s="7" t="s">
        <v>10</v>
      </c>
      <c r="D2010" s="7">
        <v>609</v>
      </c>
      <c r="E2010" s="7" t="s">
        <v>12</v>
      </c>
      <c r="F2010" s="8" t="str">
        <f ca="1">IFERROR(__xludf.DUMMYFUNCTION("IF
(
C2011=""фізична особа""
,
VLOOKUP(D2011,IMPORTRANGE(""https://docs.google.com/spreadsheets/d/14Bd19lYaqBhU8_DElYkX7l4wRkHqqCUFNJY4AfY3kHU/edit?usp=sharing  #gid=0"",""фіз особи new!relations_name""),6,FALSE)
,
(IF
(
C2011=""юридична особа""
,
VLOOKUP"&amp;"(D2011,IMPORTRANGE(""https://docs.google.com/spreadsheets/d/14Bd19lYaqBhU8_DElYkX7l4wRkHqqCUFNJY4AfY3kHU/edit?usp=sharing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0" s="7" t="s">
        <v>10</v>
      </c>
      <c r="H2010" s="7">
        <v>4952</v>
      </c>
      <c r="I2010" s="8" t="str">
        <f ca="1">IFERROR(__xludf.DUMMYFUNCTION("IF
(
G2011=""фізична особа""
,
VLOOKUP(H2011,IMPORTRANGE(""https://docs.google.com/spreadsheets/d/14Bd19lYaqBhU8_DElYkX7l4wRkHqqCUFNJY4AfY3kHU/edit?usp=sharing  #gid=0"",""фіз особи new!relations_name""),6,FALSE)
,
(IF
(
G2011=""юридична особа""
,
VLOOKUP"&amp;"(H2011,IMPORTRANGE(""https://docs.google.com/spreadsheets/d/14Bd19lYaqBhU8_DElYkX7l4wRkHqqCUFNJY4AfY3kHU/edit?usp=sharing  #gid=0"",""фіз особи new!relations_name_uo""),7,FALSE)
,
)
))"),"КАДИРОВА Карина Рамзанівна")</f>
        <v>КАДИРОВА Карина Рамзанівна</v>
      </c>
      <c r="J2010" s="7" t="s">
        <v>13</v>
      </c>
    </row>
    <row r="2011" spans="1:10" ht="13.2">
      <c r="A2011" s="7">
        <v>2010</v>
      </c>
      <c r="B2011" s="7">
        <v>1</v>
      </c>
      <c r="C2011" s="7" t="s">
        <v>10</v>
      </c>
      <c r="D2011" s="7">
        <v>609</v>
      </c>
      <c r="E2011" s="7" t="s">
        <v>12</v>
      </c>
      <c r="F2011" s="8" t="str">
        <f ca="1">IFERROR(__xludf.DUMMYFUNCTION("IF
(
C2012=""фізична особа""
,
VLOOKUP(D2012,IMPORTRANGE(""https://docs.google.com/spreadsheets/d/14Bd19lYaqBhU8_DElYkX7l4wRkHqqCUFNJY4AfY3kHU/edit?usp=sharing  #gid=0"",""фіз особи new!relations_name""),6,FALSE)
,
(IF
(
C2012=""юридична особа""
,
VLOOKUP"&amp;"(D2012,IMPORTRANGE(""https://docs.google.com/spreadsheets/d/14Bd19lYaqBhU8_DElYkX7l4wRkHqqCUFNJY4AfY3kHU/edit?usp=sharing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1" s="7" t="s">
        <v>10</v>
      </c>
      <c r="H2011" s="7">
        <v>4953</v>
      </c>
      <c r="I2011" s="8" t="str">
        <f ca="1">IFERROR(__xludf.DUMMYFUNCTION("IF
(
G2012=""фізична особа""
,
VLOOKUP(H2012,IMPORTRANGE(""https://docs.google.com/spreadsheets/d/14Bd19lYaqBhU8_DElYkX7l4wRkHqqCUFNJY4AfY3kHU/edit?usp=sharing  #gid=0"",""фіз особи new!relations_name""),6,FALSE)
,
(IF
(
G2012=""юридична особа""
,
VLOOKUP"&amp;"(H2012,IMPORTRANGE(""https://docs.google.com/spreadsheets/d/14Bd19lYaqBhU8_DElYkX7l4wRkHqqCUFNJY4AfY3kHU/edit?usp=sharing  #gid=0"",""фіз особи new!relations_name_uo""),7,FALSE)
,
)
))"),"КАДИРОВА Хаджихат Рамзанівна")</f>
        <v>КАДИРОВА Хаджихат Рамзанівна</v>
      </c>
      <c r="J2011" s="7" t="s">
        <v>13</v>
      </c>
    </row>
    <row r="2012" spans="1:10" ht="13.2">
      <c r="A2012" s="7">
        <v>2011</v>
      </c>
      <c r="B2012" s="7">
        <v>1</v>
      </c>
      <c r="C2012" s="7" t="s">
        <v>10</v>
      </c>
      <c r="D2012" s="7">
        <v>609</v>
      </c>
      <c r="E2012" s="7" t="s">
        <v>12</v>
      </c>
      <c r="F2012" s="8" t="str">
        <f ca="1">IFERROR(__xludf.DUMMYFUNCTION("IF
(
C2013=""фізична особа""
,
VLOOKUP(D2013,IMPORTRANGE(""https://docs.google.com/spreadsheets/d/14Bd19lYaqBhU8_DElYkX7l4wRkHqqCUFNJY4AfY3kHU/edit?usp=sharing  #gid=0"",""фіз особи new!relations_name""),6,FALSE)
,
(IF
(
C2013=""юридична особа""
,
VLOOKUP"&amp;"(D2013,IMPORTRANGE(""https://docs.google.com/spreadsheets/d/14Bd19lYaqBhU8_DElYkX7l4wRkHqqCUFNJY4AfY3kHU/edit?usp=sharing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2" s="7" t="s">
        <v>10</v>
      </c>
      <c r="H2012" s="7">
        <v>4954</v>
      </c>
      <c r="I2012" s="8" t="str">
        <f ca="1">IFERROR(__xludf.DUMMYFUNCTION("IF
(
G2013=""фізична особа""
,
VLOOKUP(H2013,IMPORTRANGE(""https://docs.google.com/spreadsheets/d/14Bd19lYaqBhU8_DElYkX7l4wRkHqqCUFNJY4AfY3kHU/edit?usp=sharing  #gid=0"",""фіз особи new!relations_name""),6,FALSE)
,
(IF
(
G2013=""юридична особа""
,
VLOOKUP"&amp;"(H2013,IMPORTRANGE(""https://docs.google.com/spreadsheets/d/14Bd19lYaqBhU8_DElYkX7l4wRkHqqCUFNJY4AfY3kHU/edit?usp=sharing  #gid=0"",""фіз особи new!relations_name_uo""),7,FALSE)
,
)
))"),"КАДИРОВА Табарік Рамзанівна")</f>
        <v>КАДИРОВА Табарік Рамзанівна</v>
      </c>
      <c r="J2012" s="7" t="s">
        <v>13</v>
      </c>
    </row>
    <row r="2013" spans="1:10" ht="13.2">
      <c r="A2013" s="7">
        <v>2012</v>
      </c>
      <c r="B2013" s="7">
        <v>1</v>
      </c>
      <c r="C2013" s="7" t="s">
        <v>10</v>
      </c>
      <c r="D2013" s="7">
        <v>609</v>
      </c>
      <c r="E2013" s="7" t="s">
        <v>12</v>
      </c>
      <c r="F2013" s="8" t="str">
        <f ca="1">IFERROR(__xludf.DUMMYFUNCTION("IF
(
C2014=""фізична особа""
,
VLOOKUP(D2014,IMPORTRANGE(""https://docs.google.com/spreadsheets/d/14Bd19lYaqBhU8_DElYkX7l4wRkHqqCUFNJY4AfY3kHU/edit?usp=sharing  #gid=0"",""фіз особи new!relations_name""),6,FALSE)
,
(IF
(
C2014=""юридична особа""
,
VLOOKUP"&amp;"(D2014,IMPORTRANGE(""https://docs.google.com/spreadsheets/d/14Bd19lYaqBhU8_DElYkX7l4wRkHqqCUFNJY4AfY3kHU/edit?usp=sharing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3" s="7" t="s">
        <v>10</v>
      </c>
      <c r="H2013" s="7">
        <v>4955</v>
      </c>
      <c r="I2013" s="8" t="str">
        <f ca="1">IFERROR(__xludf.DUMMYFUNCTION("IF
(
G2014=""фізична особа""
,
VLOOKUP(H2014,IMPORTRANGE(""https://docs.google.com/spreadsheets/d/14Bd19lYaqBhU8_DElYkX7l4wRkHqqCUFNJY4AfY3kHU/edit?usp=sharing  #gid=0"",""фіз особи new!relations_name""),6,FALSE)
,
(IF
(
G2014=""юридична особа""
,
VLOOKUP"&amp;"(H2014,IMPORTRANGE(""https://docs.google.com/spreadsheets/d/14Bd19lYaqBhU8_DElYkX7l4wRkHqqCUFNJY4AfY3kHU/edit?usp=sharing  #gid=0"",""фіз особи new!relations_name_uo""),7,FALSE)
,
)
))"),"КАДИРОВА Ашура Рамзанівна")</f>
        <v>КАДИРОВА Ашура Рамзанівна</v>
      </c>
      <c r="J2013" s="7" t="s">
        <v>13</v>
      </c>
    </row>
    <row r="2014" spans="1:10" ht="13.2">
      <c r="A2014" s="7">
        <v>2013</v>
      </c>
      <c r="B2014" s="7">
        <v>1</v>
      </c>
      <c r="C2014" s="7" t="s">
        <v>10</v>
      </c>
      <c r="D2014" s="7">
        <v>609</v>
      </c>
      <c r="E2014" s="7" t="s">
        <v>12</v>
      </c>
      <c r="F2014" s="8" t="str">
        <f ca="1">IFERROR(__xludf.DUMMYFUNCTION("IF
(
C2015=""фізична особа""
,
VLOOKUP(D2015,IMPORTRANGE(""https://docs.google.com/spreadsheets/d/14Bd19lYaqBhU8_DElYkX7l4wRkHqqCUFNJY4AfY3kHU/edit?usp=sharing  #gid=0"",""фіз особи new!relations_name""),6,FALSE)
,
(IF
(
C2015=""юридична особа""
,
VLOOKUP"&amp;"(D2015,IMPORTRANGE(""https://docs.google.com/spreadsheets/d/14Bd19lYaqBhU8_DElYkX7l4wRkHqqCUFNJY4AfY3kHU/edit?usp=sharing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4" s="7" t="s">
        <v>10</v>
      </c>
      <c r="H2014" s="7">
        <v>4956</v>
      </c>
      <c r="I2014" s="8" t="str">
        <f ca="1">IFERROR(__xludf.DUMMYFUNCTION("IF
(
G2015=""фізична особа""
,
VLOOKUP(H2015,IMPORTRANGE(""https://docs.google.com/spreadsheets/d/14Bd19lYaqBhU8_DElYkX7l4wRkHqqCUFNJY4AfY3kHU/edit?usp=sharing  #gid=0"",""фіз особи new!relations_name""),6,FALSE)
,
(IF
(
G2015=""юридична особа""
,
VLOOKUP"&amp;"(H2015,IMPORTRANGE(""https://docs.google.com/spreadsheets/d/14Bd19lYaqBhU8_DElYkX7l4wRkHqqCUFNJY4AfY3kHU/edit?usp=sharing  #gid=0"",""фіз особи new!relations_name_uo""),7,FALSE)
,
)
))"),"КАДИРОВА Ейшат Рамзанівна")</f>
        <v>КАДИРОВА Ейшат Рамзанівна</v>
      </c>
      <c r="J2014" s="7" t="s">
        <v>13</v>
      </c>
    </row>
    <row r="2015" spans="1:10" ht="13.2">
      <c r="A2015" s="7">
        <v>2014</v>
      </c>
      <c r="B2015" s="7">
        <v>1</v>
      </c>
      <c r="C2015" s="7" t="s">
        <v>10</v>
      </c>
      <c r="D2015" s="7">
        <v>609</v>
      </c>
      <c r="E2015" s="7" t="s">
        <v>17</v>
      </c>
      <c r="F2015" s="8" t="str">
        <f ca="1">IFERROR(__xludf.DUMMYFUNCTION("IF
(
C2016=""фізична особа""
,
VLOOKUP(D2016,IMPORTRANGE(""https://docs.google.com/spreadsheets/d/14Bd19lYaqBhU8_DElYkX7l4wRkHqqCUFNJY4AfY3kHU/edit?usp=sharing  #gid=0"",""фіз особи new!relations_name""),6,FALSE)
,
(IF
(
C2016=""юридична особа""
,
VLOOKUP"&amp;"(D2016,IMPORTRANGE(""https://docs.google.com/spreadsheets/d/14Bd19lYaqBhU8_DElYkX7l4wRkHqqCUFNJY4AfY3kHU/edit?usp=sharing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5" s="7" t="s">
        <v>10</v>
      </c>
      <c r="H2015" s="7">
        <v>4957</v>
      </c>
      <c r="I2015" s="8" t="str">
        <f ca="1">IFERROR(__xludf.DUMMYFUNCTION("IF
(
G2016=""фізична особа""
,
VLOOKUP(H2016,IMPORTRANGE(""https://docs.google.com/spreadsheets/d/14Bd19lYaqBhU8_DElYkX7l4wRkHqqCUFNJY4AfY3kHU/edit?usp=sharing  #gid=0"",""фіз особи new!relations_name""),6,FALSE)
,
(IF
(
G2016=""юридична особа""
,
VLOOKUP"&amp;"(H2016,IMPORTRANGE(""https://docs.google.com/spreadsheets/d/14Bd19lYaqBhU8_DElYkX7l4wRkHqqCUFNJY4AfY3kHU/edit?usp=sharing  #gid=0"",""фіз особи new!relations_name_uo""),7,FALSE)
,
)
))"),"КАДИРОВА Аймані Несієвна")</f>
        <v>КАДИРОВА Аймані Несієвна</v>
      </c>
      <c r="J2015" s="7" t="s">
        <v>21</v>
      </c>
    </row>
    <row r="2016" spans="1:10" ht="13.2">
      <c r="A2016" s="7">
        <v>2015</v>
      </c>
      <c r="B2016" s="7">
        <v>1</v>
      </c>
      <c r="C2016" s="7" t="s">
        <v>10</v>
      </c>
      <c r="D2016" s="7">
        <v>609</v>
      </c>
      <c r="E2016" s="7" t="s">
        <v>18</v>
      </c>
      <c r="F2016" s="8" t="str">
        <f ca="1">IFERROR(__xludf.DUMMYFUNCTION("IF
(
C2017=""фізична особа""
,
VLOOKUP(D2017,IMPORTRANGE(""https://docs.google.com/spreadsheets/d/14Bd19lYaqBhU8_DElYkX7l4wRkHqqCUFNJY4AfY3kHU/edit?usp=sharing  #gid=0"",""фіз особи new!relations_name""),6,FALSE)
,
(IF
(
C2017=""юридична особа""
,
VLOOKUP"&amp;"(D2017,IMPORTRANGE(""https://docs.google.com/spreadsheets/d/14Bd19lYaqBhU8_DElYkX7l4wRkHqqCUFNJY4AfY3kHU/edit?usp=sharing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6" s="7" t="s">
        <v>10</v>
      </c>
      <c r="H2016" s="7">
        <v>1297</v>
      </c>
      <c r="I2016" s="8" t="str">
        <f ca="1">IFERROR(__xludf.DUMMYFUNCTION("IF
(
G2017=""фізична особа""
,
VLOOKUP(H2017,IMPORTRANGE(""https://docs.google.com/spreadsheets/d/14Bd19lYaqBhU8_DElYkX7l4wRkHqqCUFNJY4AfY3kHU/edit?usp=sharing  #gid=0"",""фіз особи new!relations_name""),6,FALSE)
,
(IF
(
G2017=""юридична особа""
,
VLOOKUP"&amp;"(H2017,IMPORTRANGE(""https://docs.google.com/spreadsheets/d/14Bd19lYaqBhU8_DElYkX7l4wRkHqqCUFNJY4AfY3kHU/edit?usp=sharing  #gid=0"",""фіз особи new!relations_name_uo""),7,FALSE)
,
)
))"),"КАДИРОВА Зулай Ахматівна")</f>
        <v>КАДИРОВА Зулай Ахматівна</v>
      </c>
      <c r="J2016" s="7" t="s">
        <v>31</v>
      </c>
    </row>
    <row r="2017" spans="1:10" ht="13.2">
      <c r="A2017" s="7">
        <v>2016</v>
      </c>
      <c r="B2017" s="7">
        <v>1</v>
      </c>
      <c r="C2017" s="7" t="s">
        <v>10</v>
      </c>
      <c r="D2017" s="7">
        <v>609</v>
      </c>
      <c r="E2017" s="7" t="s">
        <v>18</v>
      </c>
      <c r="F2017" s="8" t="str">
        <f ca="1">IFERROR(__xludf.DUMMYFUNCTION("IF
(
C2018=""фізична особа""
,
VLOOKUP(D2018,IMPORTRANGE(""https://docs.google.com/spreadsheets/d/14Bd19lYaqBhU8_DElYkX7l4wRkHqqCUFNJY4AfY3kHU/edit?usp=sharing  #gid=0"",""фіз особи new!relations_name""),6,FALSE)
,
(IF
(
C2018=""юридична особа""
,
VLOOKUP"&amp;"(D2018,IMPORTRANGE(""https://docs.google.com/spreadsheets/d/14Bd19lYaqBhU8_DElYkX7l4wRkHqqCUFNJY4AfY3kHU/edit?usp=sharing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7" s="7" t="s">
        <v>10</v>
      </c>
      <c r="H2017" s="7">
        <v>1301</v>
      </c>
      <c r="I2017" s="8" t="str">
        <f ca="1">IFERROR(__xludf.DUMMYFUNCTION("IF
(
G2018=""фізична особа""
,
VLOOKUP(H2018,IMPORTRANGE(""https://docs.google.com/spreadsheets/d/14Bd19lYaqBhU8_DElYkX7l4wRkHqqCUFNJY4AfY3kHU/edit?usp=sharing  #gid=0"",""фіз особи new!relations_name""),6,FALSE)
,
(IF
(
G2018=""юридична особа""
,
VLOOKUP"&amp;"(H2018,IMPORTRANGE(""https://docs.google.com/spreadsheets/d/14Bd19lYaqBhU8_DElYkX7l4wRkHqqCUFNJY4AfY3kHU/edit?usp=sharing  #gid=0"",""фіз особи new!relations_name_uo""),7,FALSE)
,
)
))"),"КАДИРОВА Зарган Ахматівна")</f>
        <v>КАДИРОВА Зарган Ахматівна</v>
      </c>
      <c r="J2017" s="7" t="s">
        <v>31</v>
      </c>
    </row>
    <row r="2018" spans="1:10" ht="13.2">
      <c r="A2018" s="7">
        <v>2017</v>
      </c>
      <c r="B2018" s="7">
        <v>1</v>
      </c>
      <c r="C2018" s="7" t="s">
        <v>10</v>
      </c>
      <c r="D2018" s="7">
        <v>609</v>
      </c>
      <c r="E2018" s="7" t="s">
        <v>14</v>
      </c>
      <c r="F2018" s="8" t="str">
        <f ca="1">IFERROR(__xludf.DUMMYFUNCTION("IF
(
C2019=""фізична особа""
,
VLOOKUP(D2019,IMPORTRANGE(""https://docs.google.com/spreadsheets/d/14Bd19lYaqBhU8_DElYkX7l4wRkHqqCUFNJY4AfY3kHU/edit?usp=sharing  #gid=0"",""фіз особи new!relations_name""),6,FALSE)
,
(IF
(
C2019=""юридична особа""
,
VLOOKUP"&amp;"(D2019,IMPORTRANGE(""https://docs.google.com/spreadsheets/d/14Bd19lYaqBhU8_DElYkX7l4wRkHqqCUFNJY4AfY3kHU/edit?usp=sharing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8" s="7" t="s">
        <v>10</v>
      </c>
      <c r="H2018" s="7">
        <v>4959</v>
      </c>
      <c r="I2018" s="8" t="str">
        <f ca="1">IFERROR(__xludf.DUMMYFUNCTION("IF
(
G2019=""фізична особа""
,
VLOOKUP(H2019,IMPORTRANGE(""https://docs.google.com/spreadsheets/d/14Bd19lYaqBhU8_DElYkX7l4wRkHqqCUFNJY4AfY3kHU/edit?usp=sharing  #gid=0"",""фіз особи new!relations_name""),6,FALSE)
,
(IF
(
G2019=""юридична особа""
,
VLOOKUP"&amp;"(H2019,IMPORTRANGE(""https://docs.google.com/spreadsheets/d/14Bd19lYaqBhU8_DElYkX7l4wRkHqqCUFNJY4AfY3kHU/edit?usp=sharing  #gid=0"",""фіз особи new!relations_name_uo""),7,FALSE)
,
)
))"),"ХАЗУЄВА Фатіма Шайхіївна")</f>
        <v>ХАЗУЄВА Фатіма Шайхіївна</v>
      </c>
      <c r="J2018" s="7" t="s">
        <v>15</v>
      </c>
    </row>
    <row r="2019" spans="1:10" ht="13.2">
      <c r="A2019" s="7">
        <v>2018</v>
      </c>
      <c r="B2019" s="7">
        <v>1</v>
      </c>
      <c r="C2019" s="7" t="s">
        <v>10</v>
      </c>
      <c r="D2019" s="7">
        <v>609</v>
      </c>
      <c r="E2019" s="7" t="s">
        <v>26</v>
      </c>
      <c r="F2019" s="8" t="str">
        <f ca="1">IFERROR(__xludf.DUMMYFUNCTION("IF
(
C2020=""фізична особа""
,
VLOOKUP(D2020,IMPORTRANGE(""https://docs.google.com/spreadsheets/d/14Bd19lYaqBhU8_DElYkX7l4wRkHqqCUFNJY4AfY3kHU/edit?usp=sharing  #gid=0"",""фіз особи new!relations_name""),6,FALSE)
,
(IF
(
C2020=""юридична особа""
,
VLOOKUP"&amp;"(D2020,IMPORTRANGE(""https://docs.google.com/spreadsheets/d/14Bd19lYaqBhU8_DElYkX7l4wRkHqqCUFNJY4AfY3kHU/edit?usp=sharing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19" s="7" t="s">
        <v>10</v>
      </c>
      <c r="H2019" s="7">
        <v>4960</v>
      </c>
      <c r="I2019" s="8" t="str">
        <f ca="1">IFERROR(__xludf.DUMMYFUNCTION("IF
(
G2020=""фізична особа""
,
VLOOKUP(H2020,IMPORTRANGE(""https://docs.google.com/spreadsheets/d/14Bd19lYaqBhU8_DElYkX7l4wRkHqqCUFNJY4AfY3kHU/edit?usp=sharing  #gid=0"",""фіз особи new!relations_name""),6,FALSE)
,
(IF
(
G2020=""юридична особа""
,
VLOOKUP"&amp;"(H2020,IMPORTRANGE(""https://docs.google.com/spreadsheets/d/14Bd19lYaqBhU8_DElYkX7l4wRkHqqCUFNJY4AfY3kHU/edit?usp=sharing  #gid=0"",""фіз особи new!relations_name_uo""),7,FALSE)
,
)
))"),"ХАЗУЄВА Сацита Султанівна")</f>
        <v>ХАЗУЄВА Сацита Султанівна</v>
      </c>
      <c r="J2019" s="7" t="s">
        <v>27</v>
      </c>
    </row>
    <row r="2020" spans="1:10" ht="13.2">
      <c r="A2020" s="7">
        <v>2019</v>
      </c>
      <c r="B2020" s="7">
        <v>1</v>
      </c>
      <c r="C2020" s="7" t="s">
        <v>10</v>
      </c>
      <c r="D2020" s="7">
        <v>609</v>
      </c>
      <c r="E2020" s="7" t="s">
        <v>34</v>
      </c>
      <c r="F2020" s="8" t="str">
        <f ca="1">IFERROR(__xludf.DUMMYFUNCTION("IF
(
C2021=""фізична особа""
,
VLOOKUP(D2021,IMPORTRANGE(""https://docs.google.com/spreadsheets/d/14Bd19lYaqBhU8_DElYkX7l4wRkHqqCUFNJY4AfY3kHU/edit?usp=sharing  #gid=0"",""фіз особи new!relations_name""),6,FALSE)
,
(IF
(
C2021=""юридична особа""
,
VLOOKUP"&amp;"(D2021,IMPORTRANGE(""https://docs.google.com/spreadsheets/d/14Bd19lYaqBhU8_DElYkX7l4wRkHqqCUFNJY4AfY3kHU/edit?usp=sharing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0" s="7" t="s">
        <v>10</v>
      </c>
      <c r="H2020" s="7">
        <v>4958</v>
      </c>
      <c r="I2020" s="8" t="str">
        <f ca="1">IFERROR(__xludf.DUMMYFUNCTION("IF
(
G2021=""фізична особа""
,
VLOOKUP(H2021,IMPORTRANGE(""https://docs.google.com/spreadsheets/d/14Bd19lYaqBhU8_DElYkX7l4wRkHqqCUFNJY4AfY3kHU/edit?usp=sharing  #gid=0"",""фіз особи new!relations_name""),6,FALSE)
,
(IF
(
G2021=""юридична особа""
,
VLOOKUP"&amp;"(H2021,IMPORTRANGE(""https://docs.google.com/spreadsheets/d/14Bd19lYaqBhU8_DElYkX7l4wRkHqqCUFNJY4AfY3kHU/edit?usp=sharing  #gid=0"",""фіз особи new!relations_name_uo""),7,FALSE)
,
)
))"),"МАЦУЄВ Вісхан Зелімхаєвич")</f>
        <v>МАЦУЄВ Вісхан Зелімхаєвич</v>
      </c>
      <c r="J2020" s="7" t="s">
        <v>26</v>
      </c>
    </row>
    <row r="2021" spans="1:10" ht="13.2">
      <c r="A2021" s="7">
        <v>2020</v>
      </c>
      <c r="B2021" s="7">
        <v>1</v>
      </c>
      <c r="C2021" s="7" t="s">
        <v>10</v>
      </c>
      <c r="D2021" s="7">
        <v>609</v>
      </c>
      <c r="E2021" s="7" t="s">
        <v>19</v>
      </c>
      <c r="F2021" s="8" t="str">
        <f ca="1">IFERROR(__xludf.DUMMYFUNCTION("IF
(
C2022=""фізична особа""
,
VLOOKUP(D2022,IMPORTRANGE(""https://docs.google.com/spreadsheets/d/14Bd19lYaqBhU8_DElYkX7l4wRkHqqCUFNJY4AfY3kHU/edit?usp=sharing  #gid=0"",""фіз особи new!relations_name""),6,FALSE)
,
(IF
(
C2022=""юридична особа""
,
VLOOKUP"&amp;"(D2022,IMPORTRANGE(""https://docs.google.com/spreadsheets/d/14Bd19lYaqBhU8_DElYkX7l4wRkHqqCUFNJY4AfY3kHU/edit?usp=sharing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1" s="7" t="s">
        <v>10</v>
      </c>
      <c r="H2021" s="7">
        <v>1298</v>
      </c>
      <c r="I2021" s="8" t="str">
        <f ca="1">IFERROR(__xludf.DUMMYFUNCTION("IF
(
G2022=""фізична особа""
,
VLOOKUP(H2022,IMPORTRANGE(""https://docs.google.com/spreadsheets/d/14Bd19lYaqBhU8_DElYkX7l4wRkHqqCUFNJY4AfY3kHU/edit?usp=sharing  #gid=0"",""фіз особи new!relations_name""),6,FALSE)
,
(IF
(
G2022=""юридична особа""
,
VLOOKUP"&amp;"(H2022,IMPORTRANGE(""https://docs.google.com/spreadsheets/d/14Bd19lYaqBhU8_DElYkX7l4wRkHqqCUFNJY4AfY3kHU/edit?usp=sharing  #gid=0"",""фіз особи new!relations_name_uo""),7,FALSE)
,
)
))"),"ЗАКРІЄВ Якуб Салманович")</f>
        <v>ЗАКРІЄВ Якуб Салманович</v>
      </c>
      <c r="J2021" s="7" t="s">
        <v>20</v>
      </c>
    </row>
    <row r="2022" spans="1:10" ht="13.2">
      <c r="A2022" s="7">
        <v>2021</v>
      </c>
      <c r="B2022" s="7">
        <v>1</v>
      </c>
      <c r="C2022" s="7" t="s">
        <v>10</v>
      </c>
      <c r="D2022" s="7">
        <v>609</v>
      </c>
      <c r="E2022" s="7" t="s">
        <v>20</v>
      </c>
      <c r="F2022" s="8" t="str">
        <f ca="1">IFERROR(__xludf.DUMMYFUNCTION("IF
(
C2023=""фізична особа""
,
VLOOKUP(D2023,IMPORTRANGE(""https://docs.google.com/spreadsheets/d/14Bd19lYaqBhU8_DElYkX7l4wRkHqqCUFNJY4AfY3kHU/edit?usp=sharing  #gid=0"",""фіз особи new!relations_name""),6,FALSE)
,
(IF
(
C2023=""юридична особа""
,
VLOOKUP"&amp;"(D2023,IMPORTRANGE(""https://docs.google.com/spreadsheets/d/14Bd19lYaqBhU8_DElYkX7l4wRkHqqCUFNJY4AfY3kHU/edit?usp=sharing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2" s="7" t="s">
        <v>10</v>
      </c>
      <c r="H2022" s="7">
        <v>4961</v>
      </c>
      <c r="I2022" s="8" t="str">
        <f ca="1">IFERROR(__xludf.DUMMYFUNCTION("IF
(
G2023=""фізична особа""
,
VLOOKUP(H2023,IMPORTRANGE(""https://docs.google.com/spreadsheets/d/14Bd19lYaqBhU8_DElYkX7l4wRkHqqCUFNJY4AfY3kHU/edit?usp=sharing  #gid=0"",""фіз особи new!relations_name""),6,FALSE)
,
(IF
(
G2023=""юридична особа""
,
VLOOKUP"&amp;"(H2023,IMPORTRANGE(""https://docs.google.com/spreadsheets/d/14Bd19lYaqBhU8_DElYkX7l4wRkHqqCUFNJY4AfY3kHU/edit?usp=sharing  #gid=0"",""фіз особи new!relations_name_uo""),7,FALSE)
,
)
))"),"ДЕЛІМХАНОВА Мар'ям Юсупівна")</f>
        <v>ДЕЛІМХАНОВА Мар'ям Юсупівна</v>
      </c>
      <c r="J2022" s="7" t="s">
        <v>45</v>
      </c>
    </row>
    <row r="2023" spans="1:10" ht="13.2">
      <c r="A2023" s="7">
        <v>2022</v>
      </c>
      <c r="B2023" s="7">
        <v>1</v>
      </c>
      <c r="C2023" s="7" t="s">
        <v>10</v>
      </c>
      <c r="D2023" s="7">
        <v>609</v>
      </c>
      <c r="E2023" s="7" t="s">
        <v>65</v>
      </c>
      <c r="F2023" s="8" t="str">
        <f ca="1">IFERROR(__xludf.DUMMYFUNCTION("IF
(
C2024=""фізична особа""
,
VLOOKUP(D2024,IMPORTRANGE(""https://docs.google.com/spreadsheets/d/14Bd19lYaqBhU8_DElYkX7l4wRkHqqCUFNJY4AfY3kHU/edit?usp=sharing  #gid=0"",""фіз особи new!relations_name""),6,FALSE)
,
(IF
(
C2024=""юридична особа""
,
VLOOKUP"&amp;"(D2024,IMPORTRANGE(""https://docs.google.com/spreadsheets/d/14Bd19lYaqBhU8_DElYkX7l4wRkHqqCUFNJY4AfY3kHU/edit?usp=sharing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3" s="7" t="s">
        <v>10</v>
      </c>
      <c r="H2023" s="7">
        <v>12839</v>
      </c>
      <c r="I2023" s="8" t="str">
        <f ca="1">IFERROR(__xludf.DUMMYFUNCTION("IF
(
G2024=""фізична особа""
,
VLOOKUP(H2024,IMPORTRANGE(""https://docs.google.com/spreadsheets/d/14Bd19lYaqBhU8_DElYkX7l4wRkHqqCUFNJY4AfY3kHU/edit?usp=sharing  #gid=0"",""фіз особи new!relations_name""),6,FALSE)
,
(IF
(
G2024=""юридична особа""
,
VLOOKUP"&amp;"(H2024,IMPORTRANGE(""https://docs.google.com/spreadsheets/d/14Bd19lYaqBhU8_DElYkX7l4wRkHqqCUFNJY4AfY3kHU/edit?usp=sharing  #gid=0"",""фіз особи new!relations_name_uo""),7,FALSE)
,
)
))"),"ДЕЛІМХАНОВ Адам Султанович")</f>
        <v>ДЕЛІМХАНОВ Адам Султанович</v>
      </c>
      <c r="J2023" s="7" t="s">
        <v>65</v>
      </c>
    </row>
    <row r="2024" spans="1:10" ht="13.2">
      <c r="A2024" s="7">
        <v>2023</v>
      </c>
      <c r="B2024" s="7">
        <v>1</v>
      </c>
      <c r="C2024" s="7" t="s">
        <v>10</v>
      </c>
      <c r="D2024" s="7">
        <v>609</v>
      </c>
      <c r="E2024" s="7" t="s">
        <v>48</v>
      </c>
      <c r="F2024" s="8" t="str">
        <f ca="1">IFERROR(__xludf.DUMMYFUNCTION("IF
(
C2025=""фізична особа""
,
VLOOKUP(D2025,IMPORTRANGE(""https://docs.google.com/spreadsheets/d/14Bd19lYaqBhU8_DElYkX7l4wRkHqqCUFNJY4AfY3kHU/edit?usp=sharing  #gid=0"",""фіз особи new!relations_name""),6,FALSE)
,
(IF
(
C2025=""юридична особа""
,
VLOOKUP"&amp;"(D2025,IMPORTRANGE(""https://docs.google.com/spreadsheets/d/14Bd19lYaqBhU8_DElYkX7l4wRkHqqCUFNJY4AfY3kHU/edit?usp=sharing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4" s="7" t="s">
        <v>10</v>
      </c>
      <c r="H2024" s="7">
        <v>12795</v>
      </c>
      <c r="I2024" s="8" t="str">
        <f ca="1">IFERROR(__xludf.DUMMYFUNCTION("IF
(
G2025=""фізична особа""
,
VLOOKUP(H2025,IMPORTRANGE(""https://docs.google.com/spreadsheets/d/14Bd19lYaqBhU8_DElYkX7l4wRkHqqCUFNJY4AfY3kHU/edit?usp=sharing  #gid=0"",""фіз особи new!relations_name""),6,FALSE)
,
(IF
(
G2025=""юридична особа""
,
VLOOKUP"&amp;"(H2025,IMPORTRANGE(""https://docs.google.com/spreadsheets/d/14Bd19lYaqBhU8_DElYkX7l4wRkHqqCUFNJY4AfY3kHU/edit?usp=sharing  #gid=0"",""фіз особи new!relations_name_uo""),7,FALSE)
,
)
))"),"АГАЄВ Ваха Абуєвич")</f>
        <v>АГАЄВ Ваха Абуєвич</v>
      </c>
      <c r="J2024" s="7" t="s">
        <v>48</v>
      </c>
    </row>
    <row r="2025" spans="1:10" ht="13.2">
      <c r="A2025" s="7">
        <v>2024</v>
      </c>
      <c r="B2025" s="7">
        <v>1</v>
      </c>
      <c r="C2025" s="7" t="s">
        <v>10</v>
      </c>
      <c r="D2025" s="7">
        <v>609</v>
      </c>
      <c r="E2025" s="7" t="s">
        <v>65</v>
      </c>
      <c r="F2025" s="8" t="str">
        <f ca="1">IFERROR(__xludf.DUMMYFUNCTION("IF
(
C2026=""фізична особа""
,
VLOOKUP(D2026,IMPORTRANGE(""https://docs.google.com/spreadsheets/d/14Bd19lYaqBhU8_DElYkX7l4wRkHqqCUFNJY4AfY3kHU/edit?usp=sharing  #gid=0"",""фіз особи new!relations_name""),6,FALSE)
,
(IF
(
C2026=""юридична особа""
,
VLOOKUP"&amp;"(D2026,IMPORTRANGE(""https://docs.google.com/spreadsheets/d/14Bd19lYaqBhU8_DElYkX7l4wRkHqqCUFNJY4AfY3kHU/edit?usp=sharing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5" s="7" t="s">
        <v>10</v>
      </c>
      <c r="H2025" s="7">
        <v>1063</v>
      </c>
      <c r="I2025" s="8" t="str">
        <f ca="1">IFERROR(__xludf.DUMMYFUNCTION("IF
(
G2026=""фізична особа""
,
VLOOKUP(H2026,IMPORTRANGE(""https://docs.google.com/spreadsheets/d/14Bd19lYaqBhU8_DElYkX7l4wRkHqqCUFNJY4AfY3kHU/edit?usp=sharing  #gid=0"",""фіз особи new!relations_name""),6,FALSE)
,
(IF
(
G2026=""юридична особа""
,
VLOOKUP"&amp;"(H2026,IMPORTRANGE(""https://docs.google.com/spreadsheets/d/14Bd19lYaqBhU8_DElYkX7l4wRkHqqCUFNJY4AfY3kHU/edit?usp=sharing  #gid=0"",""фіз особи new!relations_name_uo""),7,FALSE)
,
)
))"),"ДЕЛІМХАНОВ Алібек Султанович")</f>
        <v>ДЕЛІМХАНОВ Алібек Султанович</v>
      </c>
      <c r="J2025" s="7" t="s">
        <v>65</v>
      </c>
    </row>
    <row r="2026" spans="1:10" ht="13.2">
      <c r="A2026" s="7">
        <v>2025</v>
      </c>
      <c r="B2026" s="7">
        <v>1</v>
      </c>
      <c r="C2026" s="7" t="s">
        <v>10</v>
      </c>
      <c r="D2026" s="7">
        <v>609</v>
      </c>
      <c r="E2026" s="7" t="s">
        <v>65</v>
      </c>
      <c r="F2026" s="8" t="str">
        <f ca="1">IFERROR(__xludf.DUMMYFUNCTION("IF
(
C2027=""фізична особа""
,
VLOOKUP(D2027,IMPORTRANGE(""https://docs.google.com/spreadsheets/d/14Bd19lYaqBhU8_DElYkX7l4wRkHqqCUFNJY4AfY3kHU/edit?usp=sharing  #gid=0"",""фіз особи new!relations_name""),6,FALSE)
,
(IF
(
C2027=""юридична особа""
,
VLOOKUP"&amp;"(D2027,IMPORTRANGE(""https://docs.google.com/spreadsheets/d/14Bd19lYaqBhU8_DElYkX7l4wRkHqqCUFNJY4AfY3kHU/edit?usp=sharing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6" s="7" t="s">
        <v>10</v>
      </c>
      <c r="H2026" s="7">
        <v>1693</v>
      </c>
      <c r="I2026" s="8" t="str">
        <f ca="1">IFERROR(__xludf.DUMMYFUNCTION("IF
(
G2027=""фізична особа""
,
VLOOKUP(H2027,IMPORTRANGE(""https://docs.google.com/spreadsheets/d/14Bd19lYaqBhU8_DElYkX7l4wRkHqqCUFNJY4AfY3kHU/edit?usp=sharing  #gid=0"",""фіз особи new!relations_name""),6,FALSE)
,
(IF
(
G2027=""юридична особа""
,
VLOOKUP"&amp;"(H2027,IMPORTRANGE(""https://docs.google.com/spreadsheets/d/14Bd19lYaqBhU8_DElYkX7l4wRkHqqCUFNJY4AfY3kHU/edit?usp=sharing  #gid=0"",""фіз особи new!relations_name_uo""),7,FALSE)
,
)
))"),"ДЕЛІМХАНОВ Шаріп Султанович")</f>
        <v>ДЕЛІМХАНОВ Шаріп Султанович</v>
      </c>
      <c r="J2026" s="7" t="s">
        <v>65</v>
      </c>
    </row>
    <row r="2027" spans="1:10" ht="13.2">
      <c r="A2027" s="7">
        <v>2026</v>
      </c>
      <c r="B2027" s="7">
        <v>1</v>
      </c>
      <c r="C2027" s="7" t="s">
        <v>10</v>
      </c>
      <c r="D2027" s="7">
        <v>609</v>
      </c>
      <c r="E2027" s="7" t="s">
        <v>50</v>
      </c>
      <c r="F2027" s="8" t="str">
        <f ca="1">IFERROR(__xludf.DUMMYFUNCTION("IF
(
C2028=""фізична особа""
,
VLOOKUP(D2028,IMPORTRANGE(""https://docs.google.com/spreadsheets/d/14Bd19lYaqBhU8_DElYkX7l4wRkHqqCUFNJY4AfY3kHU/edit?usp=sharing  #gid=0"",""фіз особи new!relations_name""),6,FALSE)
,
(IF
(
C2028=""юридична особа""
,
VLOOKUP"&amp;"(D2028,IMPORTRANGE(""https://docs.google.com/spreadsheets/d/14Bd19lYaqBhU8_DElYkX7l4wRkHqqCUFNJY4AfY3kHU/edit?usp=sharing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7" s="7" t="s">
        <v>10</v>
      </c>
      <c r="H2027" s="7">
        <v>1304</v>
      </c>
      <c r="I2027" s="8" t="str">
        <f ca="1">IFERROR(__xludf.DUMMYFUNCTION("IF
(
G2028=""фізична особа""
,
VLOOKUP(H2028,IMPORTRANGE(""https://docs.google.com/spreadsheets/d/14Bd19lYaqBhU8_DElYkX7l4wRkHqqCUFNJY4AfY3kHU/edit?usp=sharing  #gid=0"",""фіз особи new!relations_name""),6,FALSE)
,
(IF
(
G2028=""юридична особа""
,
VLOOKUP"&amp;"(H2028,IMPORTRANGE(""https://docs.google.com/spreadsheets/d/14Bd19lYaqBhU8_DElYkX7l4wRkHqqCUFNJY4AfY3kHU/edit?usp=sharing  #gid=0"",""фіз особи new!relations_name_uo""),7,FALSE)
,
)
))"),"ЧЕРХІГОВ Рамзан Сайд-Емієвич")</f>
        <v>ЧЕРХІГОВ Рамзан Сайд-Емієвич</v>
      </c>
      <c r="J2027" s="7" t="s">
        <v>26</v>
      </c>
    </row>
    <row r="2028" spans="1:10" ht="13.2">
      <c r="A2028" s="7">
        <v>2027</v>
      </c>
      <c r="B2028" s="7">
        <v>1</v>
      </c>
      <c r="C2028" s="7" t="s">
        <v>10</v>
      </c>
      <c r="D2028" s="7">
        <v>609</v>
      </c>
      <c r="E2028" s="7" t="s">
        <v>50</v>
      </c>
      <c r="F2028" s="8" t="str">
        <f ca="1">IFERROR(__xludf.DUMMYFUNCTION("IF
(
C2029=""фізична особа""
,
VLOOKUP(D2029,IMPORTRANGE(""https://docs.google.com/spreadsheets/d/14Bd19lYaqBhU8_DElYkX7l4wRkHqqCUFNJY4AfY3kHU/edit?usp=sharing  #gid=0"",""фіз особи new!relations_name""),6,FALSE)
,
(IF
(
C2029=""юридична особа""
,
VLOOKUP"&amp;"(D2029,IMPORTRANGE(""https://docs.google.com/spreadsheets/d/14Bd19lYaqBhU8_DElYkX7l4wRkHqqCUFNJY4AfY3kHU/edit?usp=sharing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8" s="7" t="s">
        <v>10</v>
      </c>
      <c r="H2028" s="7">
        <v>1299</v>
      </c>
      <c r="I2028" s="8" t="str">
        <f ca="1">IFERROR(__xludf.DUMMYFUNCTION("IF
(
G2029=""фізична особа""
,
VLOOKUP(H2029,IMPORTRANGE(""https://docs.google.com/spreadsheets/d/14Bd19lYaqBhU8_DElYkX7l4wRkHqqCUFNJY4AfY3kHU/edit?usp=sharing  #gid=0"",""фіз особи new!relations_name""),6,FALSE)
,
(IF
(
G2029=""юридична особа""
,
VLOOKUP"&amp;"(H2029,IMPORTRANGE(""https://docs.google.com/spreadsheets/d/14Bd19lYaqBhU8_DElYkX7l4wRkHqqCUFNJY4AfY3kHU/edit?usp=sharing  #gid=0"",""фіз особи new!relations_name_uo""),7,FALSE)
,
)
))"),"ЗАКРІЄВ Салман Соіпович")</f>
        <v>ЗАКРІЄВ Салман Соіпович</v>
      </c>
      <c r="J2028" s="7" t="s">
        <v>26</v>
      </c>
    </row>
    <row r="2029" spans="1:10" ht="13.2">
      <c r="A2029" s="7">
        <v>2028</v>
      </c>
      <c r="B2029" s="7">
        <v>1</v>
      </c>
      <c r="C2029" s="7" t="s">
        <v>10</v>
      </c>
      <c r="D2029" s="7">
        <v>609</v>
      </c>
      <c r="E2029" s="7" t="s">
        <v>26</v>
      </c>
      <c r="F2029" s="8" t="str">
        <f ca="1">IFERROR(__xludf.DUMMYFUNCTION("IF
(
C2030=""фізична особа""
,
VLOOKUP(D2030,IMPORTRANGE(""https://docs.google.com/spreadsheets/d/14Bd19lYaqBhU8_DElYkX7l4wRkHqqCUFNJY4AfY3kHU/edit?usp=sharing  #gid=0"",""фіз особи new!relations_name""),6,FALSE)
,
(IF
(
C2030=""юридична особа""
,
VLOOKUP"&amp;"(D2030,IMPORTRANGE(""https://docs.google.com/spreadsheets/d/14Bd19lYaqBhU8_DElYkX7l4wRkHqqCUFNJY4AfY3kHU/edit?usp=sharing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29" s="7" t="s">
        <v>10</v>
      </c>
      <c r="H2029" s="7">
        <v>1302</v>
      </c>
      <c r="I2029" s="8" t="str">
        <f ca="1">IFERROR(__xludf.DUMMYFUNCTION("IF
(
G2030=""фізична особа""
,
VLOOKUP(H2030,IMPORTRANGE(""https://docs.google.com/spreadsheets/d/14Bd19lYaqBhU8_DElYkX7l4wRkHqqCUFNJY4AfY3kHU/edit?usp=sharing  #gid=0"",""фіз особи new!relations_name""),6,FALSE)
,
(IF
(
G2030=""юридична особа""
,
VLOOKUP"&amp;"(H2030,IMPORTRANGE(""https://docs.google.com/spreadsheets/d/14Bd19lYaqBhU8_DElYkX7l4wRkHqqCUFNJY4AfY3kHU/edit?usp=sharing  #gid=0"",""фіз особи new!relations_name_uo""),7,FALSE)
,
)
))"),"АЙДАМИРОВ Ахмед Мусаєвич")</f>
        <v>АЙДАМИРОВ Ахмед Мусаєвич</v>
      </c>
      <c r="J2029" s="7" t="s">
        <v>50</v>
      </c>
    </row>
    <row r="2030" spans="1:10" ht="13.2">
      <c r="A2030" s="7">
        <v>2029</v>
      </c>
      <c r="B2030" s="7">
        <v>1</v>
      </c>
      <c r="C2030" s="7" t="s">
        <v>10</v>
      </c>
      <c r="D2030" s="7">
        <v>609</v>
      </c>
      <c r="E2030" s="7" t="s">
        <v>65</v>
      </c>
      <c r="F2030" s="8" t="str">
        <f ca="1">IFERROR(__xludf.DUMMYFUNCTION("IF
(
C2031=""фізична особа""
,
VLOOKUP(D2031,IMPORTRANGE(""https://docs.google.com/spreadsheets/d/14Bd19lYaqBhU8_DElYkX7l4wRkHqqCUFNJY4AfY3kHU/edit?usp=sharing  #gid=0"",""фіз особи new!relations_name""),6,FALSE)
,
(IF
(
C2031=""юридична особа""
,
VLOOKUP"&amp;"(D2031,IMPORTRANGE(""https://docs.google.com/spreadsheets/d/14Bd19lYaqBhU8_DElYkX7l4wRkHqqCUFNJY4AfY3kHU/edit?usp=sharing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0" s="7" t="s">
        <v>10</v>
      </c>
      <c r="H2030" s="7">
        <v>1305</v>
      </c>
      <c r="I2030" s="8" t="str">
        <f ca="1">IFERROR(__xludf.DUMMYFUNCTION("IF
(
G2031=""фізична особа""
,
VLOOKUP(H2031,IMPORTRANGE(""https://docs.google.com/spreadsheets/d/14Bd19lYaqBhU8_DElYkX7l4wRkHqqCUFNJY4AfY3kHU/edit?usp=sharing  #gid=0"",""фіз особи new!relations_name""),6,FALSE)
,
(IF
(
G2031=""юридична особа""
,
VLOOKUP"&amp;"(H2031,IMPORTRANGE(""https://docs.google.com/spreadsheets/d/14Bd19lYaqBhU8_DElYkX7l4wRkHqqCUFNJY4AfY3kHU/edit?usp=sharing  #gid=0"",""фіз особи new!relations_name_uo""),7,FALSE)
,
)
))"),"ЗАКРІЄВ Сахаб Соіпович")</f>
        <v>ЗАКРІЄВ Сахаб Соіпович</v>
      </c>
      <c r="J2030" s="7" t="s">
        <v>65</v>
      </c>
    </row>
    <row r="2031" spans="1:10" ht="13.2">
      <c r="A2031" s="7">
        <v>2030</v>
      </c>
      <c r="B2031" s="7">
        <v>1</v>
      </c>
      <c r="C2031" s="7" t="s">
        <v>10</v>
      </c>
      <c r="D2031" s="7">
        <v>609</v>
      </c>
      <c r="E2031" s="7" t="s">
        <v>26</v>
      </c>
      <c r="F2031" s="8" t="str">
        <f ca="1">IFERROR(__xludf.DUMMYFUNCTION("IF
(
C2032=""фізична особа""
,
VLOOKUP(D2032,IMPORTRANGE(""https://docs.google.com/spreadsheets/d/14Bd19lYaqBhU8_DElYkX7l4wRkHqqCUFNJY4AfY3kHU/edit?usp=sharing  #gid=0"",""фіз особи new!relations_name""),6,FALSE)
,
(IF
(
C2032=""юридична особа""
,
VLOOKUP"&amp;"(D2032,IMPORTRANGE(""https://docs.google.com/spreadsheets/d/14Bd19lYaqBhU8_DElYkX7l4wRkHqqCUFNJY4AfY3kHU/edit?usp=sharing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1" s="7" t="s">
        <v>10</v>
      </c>
      <c r="H2031" s="7">
        <v>0</v>
      </c>
      <c r="I2031" s="8" t="str">
        <f ca="1">IFERROR(__xludf.DUMMYFUNCTION("IF
(
G2032=""фізична особа""
,
VLOOKUP(H2032,IMPORTRANGE(""https://docs.google.com/spreadsheets/d/14Bd19lYaqBhU8_DElYkX7l4wRkHqqCUFNJY4AfY3kHU/edit?usp=sharing  #gid=0"",""фіз особи new!relations_name""),6,FALSE)
,
(IF
(
G2032=""юридична особа""
,
VLOOKUP"&amp;"(H2032,IMPORTRANGE(""https://docs.google.com/spreadsheets/d/14Bd19lYaqBhU8_DElYkX7l4wRkHqqCUFNJY4AfY3kHU/edit?usp=sharing  #gid=0"",""фіз особи new!relations_name_uo""),7,FALSE)
,
)
))"),"#N/A")</f>
        <v>#N/A</v>
      </c>
      <c r="J2031" s="7" t="s">
        <v>50</v>
      </c>
    </row>
    <row r="2032" spans="1:10" ht="13.2">
      <c r="A2032" s="7">
        <v>2031</v>
      </c>
      <c r="B2032" s="7">
        <v>1</v>
      </c>
      <c r="C2032" s="7" t="s">
        <v>10</v>
      </c>
      <c r="D2032" s="7">
        <v>609</v>
      </c>
      <c r="E2032" s="7" t="s">
        <v>19</v>
      </c>
      <c r="F2032" s="8" t="str">
        <f ca="1">IFERROR(__xludf.DUMMYFUNCTION("IF
(
C2033=""фізична особа""
,
VLOOKUP(D2033,IMPORTRANGE(""https://docs.google.com/spreadsheets/d/14Bd19lYaqBhU8_DElYkX7l4wRkHqqCUFNJY4AfY3kHU/edit?usp=sharing  #gid=0"",""фіз особи new!relations_name""),6,FALSE)
,
(IF
(
C2033=""юридична особа""
,
VLOOKUP"&amp;"(D2033,IMPORTRANGE(""https://docs.google.com/spreadsheets/d/14Bd19lYaqBhU8_DElYkX7l4wRkHqqCUFNJY4AfY3kHU/edit?usp=sharing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2" s="7" t="s">
        <v>10</v>
      </c>
      <c r="H2032" s="7">
        <v>1306</v>
      </c>
      <c r="I2032" s="8" t="str">
        <f ca="1">IFERROR(__xludf.DUMMYFUNCTION("IF
(
G2033=""фізична особа""
,
VLOOKUP(H2033,IMPORTRANGE(""https://docs.google.com/spreadsheets/d/14Bd19lYaqBhU8_DElYkX7l4wRkHqqCUFNJY4AfY3kHU/edit?usp=sharing  #gid=0"",""фіз особи new!relations_name""),6,FALSE)
,
(IF
(
G2033=""юридична особа""
,
VLOOKUP"&amp;"(H2033,IMPORTRANGE(""https://docs.google.com/spreadsheets/d/14Bd19lYaqBhU8_DElYkX7l4wRkHqqCUFNJY4AfY3kHU/edit?usp=sharing  #gid=0"",""фіз особи new!relations_name_uo""),7,FALSE)
,
)
))"),"КАДИРОВ Хамзат Зелімханович")</f>
        <v>КАДИРОВ Хамзат Зелімханович</v>
      </c>
      <c r="J2032" s="7" t="s">
        <v>20</v>
      </c>
    </row>
    <row r="2033" spans="1:10" ht="13.2">
      <c r="A2033" s="7">
        <v>2032</v>
      </c>
      <c r="B2033" s="7">
        <v>1</v>
      </c>
      <c r="C2033" s="7" t="s">
        <v>10</v>
      </c>
      <c r="D2033" s="7">
        <v>609</v>
      </c>
      <c r="E2033" s="7" t="s">
        <v>65</v>
      </c>
      <c r="F2033" s="8" t="str">
        <f ca="1">IFERROR(__xludf.DUMMYFUNCTION("IF
(
C2034=""фізична особа""
,
VLOOKUP(D2034,IMPORTRANGE(""https://docs.google.com/spreadsheets/d/14Bd19lYaqBhU8_DElYkX7l4wRkHqqCUFNJY4AfY3kHU/edit?usp=sharing  #gid=0"",""фіз особи new!relations_name""),6,FALSE)
,
(IF
(
C2034=""юридична особа""
,
VLOOKUP"&amp;"(D2034,IMPORTRANGE(""https://docs.google.com/spreadsheets/d/14Bd19lYaqBhU8_DElYkX7l4wRkHqqCUFNJY4AfY3kHU/edit?usp=sharing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3" s="7" t="s">
        <v>10</v>
      </c>
      <c r="H2033" s="7">
        <v>0</v>
      </c>
      <c r="I2033" s="8" t="str">
        <f ca="1">IFERROR(__xludf.DUMMYFUNCTION("IF
(
G2034=""фізична особа""
,
VLOOKUP(H2034,IMPORTRANGE(""https://docs.google.com/spreadsheets/d/14Bd19lYaqBhU8_DElYkX7l4wRkHqqCUFNJY4AfY3kHU/edit?usp=sharing  #gid=0"",""фіз особи new!relations_name""),6,FALSE)
,
(IF
(
G2034=""юридична особа""
,
VLOOKUP"&amp;"(H2034,IMPORTRANGE(""https://docs.google.com/spreadsheets/d/14Bd19lYaqBhU8_DElYkX7l4wRkHqqCUFNJY4AfY3kHU/edit?usp=sharing  #gid=0"",""фіз особи new!relations_name_uo""),7,FALSE)
,
)
))"),"#N/A")</f>
        <v>#N/A</v>
      </c>
      <c r="J2033" s="7" t="s">
        <v>64</v>
      </c>
    </row>
    <row r="2034" spans="1:10" ht="13.2">
      <c r="A2034" s="7">
        <v>2033</v>
      </c>
      <c r="B2034" s="7">
        <v>1</v>
      </c>
      <c r="C2034" s="7" t="s">
        <v>10</v>
      </c>
      <c r="D2034" s="7">
        <v>609</v>
      </c>
      <c r="E2034" s="7" t="s">
        <v>18</v>
      </c>
      <c r="F2034" s="8" t="str">
        <f ca="1">IFERROR(__xludf.DUMMYFUNCTION("IF
(
C2035=""фізична особа""
,
VLOOKUP(D2035,IMPORTRANGE(""https://docs.google.com/spreadsheets/d/14Bd19lYaqBhU8_DElYkX7l4wRkHqqCUFNJY4AfY3kHU/edit?usp=sharing  #gid=0"",""фіз особи new!relations_name""),6,FALSE)
,
(IF
(
C2035=""юридична особа""
,
VLOOKUP"&amp;"(D2035,IMPORTRANGE(""https://docs.google.com/spreadsheets/d/14Bd19lYaqBhU8_DElYkX7l4wRkHqqCUFNJY4AfY3kHU/edit?usp=sharing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4" s="7" t="s">
        <v>10</v>
      </c>
      <c r="H2034" s="7">
        <v>0</v>
      </c>
      <c r="I2034" s="8" t="str">
        <f ca="1">IFERROR(__xludf.DUMMYFUNCTION("IF
(
G2035=""фізична особа""
,
VLOOKUP(H2035,IMPORTRANGE(""https://docs.google.com/spreadsheets/d/14Bd19lYaqBhU8_DElYkX7l4wRkHqqCUFNJY4AfY3kHU/edit?usp=sharing  #gid=0"",""фіз особи new!relations_name""),6,FALSE)
,
(IF
(
G2035=""юридична особа""
,
VLOOKUP"&amp;"(H2035,IMPORTRANGE(""https://docs.google.com/spreadsheets/d/14Bd19lYaqBhU8_DElYkX7l4wRkHqqCUFNJY4AfY3kHU/edit?usp=sharing  #gid=0"",""фіз особи new!relations_name_uo""),7,FALSE)
,
)
))"),"#N/A")</f>
        <v>#N/A</v>
      </c>
      <c r="J2034" s="7" t="s">
        <v>18</v>
      </c>
    </row>
    <row r="2035" spans="1:10" ht="13.2">
      <c r="A2035" s="7">
        <v>2034</v>
      </c>
      <c r="B2035" s="7">
        <v>1</v>
      </c>
      <c r="C2035" s="7" t="s">
        <v>10</v>
      </c>
      <c r="D2035" s="7">
        <v>609</v>
      </c>
      <c r="E2035" s="7" t="s">
        <v>26</v>
      </c>
      <c r="F2035" s="8" t="str">
        <f ca="1">IFERROR(__xludf.DUMMYFUNCTION("IF
(
C2036=""фізична особа""
,
VLOOKUP(D2036,IMPORTRANGE(""https://docs.google.com/spreadsheets/d/14Bd19lYaqBhU8_DElYkX7l4wRkHqqCUFNJY4AfY3kHU/edit?usp=sharing  #gid=0"",""фіз особи new!relations_name""),6,FALSE)
,
(IF
(
C2036=""юридична особа""
,
VLOOKUP"&amp;"(D2036,IMPORTRANGE(""https://docs.google.com/spreadsheets/d/14Bd19lYaqBhU8_DElYkX7l4wRkHqqCUFNJY4AfY3kHU/edit?usp=sharing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5" s="7" t="s">
        <v>10</v>
      </c>
      <c r="H2035" s="7">
        <v>0</v>
      </c>
      <c r="I2035" s="8" t="str">
        <f ca="1">IFERROR(__xludf.DUMMYFUNCTION("IF
(
G2036=""фізична особа""
,
VLOOKUP(H2036,IMPORTRANGE(""https://docs.google.com/spreadsheets/d/14Bd19lYaqBhU8_DElYkX7l4wRkHqqCUFNJY4AfY3kHU/edit?usp=sharing  #gid=0"",""фіз особи new!relations_name""),6,FALSE)
,
(IF
(
G2036=""юридична особа""
,
VLOOKUP"&amp;"(H2036,IMPORTRANGE(""https://docs.google.com/spreadsheets/d/14Bd19lYaqBhU8_DElYkX7l4wRkHqqCUFNJY4AfY3kHU/edit?usp=sharing  #gid=0"",""фіз особи new!relations_name_uo""),7,FALSE)
,
)
))"),"#N/A")</f>
        <v>#N/A</v>
      </c>
      <c r="J2035" s="7" t="s">
        <v>50</v>
      </c>
    </row>
    <row r="2036" spans="1:10" ht="13.2">
      <c r="A2036" s="7">
        <v>2035</v>
      </c>
      <c r="B2036" s="7">
        <v>1</v>
      </c>
      <c r="C2036" s="7" t="s">
        <v>10</v>
      </c>
      <c r="D2036" s="7">
        <v>609</v>
      </c>
      <c r="E2036" s="7" t="s">
        <v>44</v>
      </c>
      <c r="F2036" s="8" t="str">
        <f ca="1">IFERROR(__xludf.DUMMYFUNCTION("IF
(
C2037=""фізична особа""
,
VLOOKUP(D2037,IMPORTRANGE(""https://docs.google.com/spreadsheets/d/14Bd19lYaqBhU8_DElYkX7l4wRkHqqCUFNJY4AfY3kHU/edit?usp=sharing  #gid=0"",""фіз особи new!relations_name""),6,FALSE)
,
(IF
(
C2037=""юридична особа""
,
VLOOKUP"&amp;"(D2037,IMPORTRANGE(""https://docs.google.com/spreadsheets/d/14Bd19lYaqBhU8_DElYkX7l4wRkHqqCUFNJY4AfY3kHU/edit?usp=sharing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6" s="7" t="s">
        <v>10</v>
      </c>
      <c r="H2036" s="7">
        <v>2375</v>
      </c>
      <c r="I2036" s="8" t="str">
        <f ca="1">IFERROR(__xludf.DUMMYFUNCTION("IF
(
G2037=""фізична особа""
,
VLOOKUP(H2037,IMPORTRANGE(""https://docs.google.com/spreadsheets/d/14Bd19lYaqBhU8_DElYkX7l4wRkHqqCUFNJY4AfY3kHU/edit?usp=sharing  #gid=0"",""фіз особи new!relations_name""),6,FALSE)
,
(IF
(
G2037=""юридична особа""
,
VLOOKUP"&amp;"(H2037,IMPORTRANGE(""https://docs.google.com/spreadsheets/d/14Bd19lYaqBhU8_DElYkX7l4wRkHqqCUFNJY4AfY3kHU/edit?usp=sharing  #gid=0"",""фіз особи new!relations_name_uo""),7,FALSE)
,
)
))"),"БАЙСУЛТАНІВ Одеса Хасаєвич")</f>
        <v>БАЙСУЛТАНІВ Одеса Хасаєвич</v>
      </c>
      <c r="J2036" s="7" t="s">
        <v>44</v>
      </c>
    </row>
    <row r="2037" spans="1:10" ht="13.2">
      <c r="A2037" s="7">
        <v>2036</v>
      </c>
      <c r="B2037" s="7">
        <v>1</v>
      </c>
      <c r="C2037" s="7" t="s">
        <v>10</v>
      </c>
      <c r="D2037" s="7">
        <v>609</v>
      </c>
      <c r="E2037" s="7" t="s">
        <v>48</v>
      </c>
      <c r="F2037" s="8" t="str">
        <f ca="1">IFERROR(__xludf.DUMMYFUNCTION("IF
(
C2038=""фізична особа""
,
VLOOKUP(D2038,IMPORTRANGE(""https://docs.google.com/spreadsheets/d/14Bd19lYaqBhU8_DElYkX7l4wRkHqqCUFNJY4AfY3kHU/edit?usp=sharing  #gid=0"",""фіз особи new!relations_name""),6,FALSE)
,
(IF
(
C2038=""юридична особа""
,
VLOOKUP"&amp;"(D2038,IMPORTRANGE(""https://docs.google.com/spreadsheets/d/14Bd19lYaqBhU8_DElYkX7l4wRkHqqCUFNJY4AfY3kHU/edit?usp=sharing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7" s="7" t="s">
        <v>10</v>
      </c>
      <c r="H2037" s="7">
        <v>2489</v>
      </c>
      <c r="I2037" s="8" t="str">
        <f ca="1">IFERROR(__xludf.DUMMYFUNCTION("IF
(
G2038=""фізична особа""
,
VLOOKUP(H2038,IMPORTRANGE(""https://docs.google.com/spreadsheets/d/14Bd19lYaqBhU8_DElYkX7l4wRkHqqCUFNJY4AfY3kHU/edit?usp=sharing  #gid=0"",""фіз особи new!relations_name""),6,FALSE)
,
(IF
(
G2038=""юридична особа""
,
VLOOKUP"&amp;"(H2038,IMPORTRANGE(""https://docs.google.com/spreadsheets/d/14Bd19lYaqBhU8_DElYkX7l4wRkHqqCUFNJY4AfY3kHU/edit?usp=sharing  #gid=0"",""фіз особи new!relations_name_uo""),7,FALSE)
,
)
))"),"ЕДЕЛЬГЕРІЄВ Руслан Сайд-Хусайнович")</f>
        <v>ЕДЕЛЬГЕРІЄВ Руслан Сайд-Хусайнович</v>
      </c>
      <c r="J2037" s="7" t="s">
        <v>48</v>
      </c>
    </row>
    <row r="2038" spans="1:10" ht="13.2">
      <c r="A2038" s="7">
        <v>2037</v>
      </c>
      <c r="B2038" s="7">
        <v>1</v>
      </c>
      <c r="C2038" s="7" t="s">
        <v>10</v>
      </c>
      <c r="D2038" s="7">
        <v>609</v>
      </c>
      <c r="E2038" s="7" t="s">
        <v>29</v>
      </c>
      <c r="F2038" s="8" t="str">
        <f ca="1">IFERROR(__xludf.DUMMYFUNCTION("IF
(
C2039=""фізична особа""
,
VLOOKUP(D2039,IMPORTRANGE(""https://docs.google.com/spreadsheets/d/14Bd19lYaqBhU8_DElYkX7l4wRkHqqCUFNJY4AfY3kHU/edit?usp=sharing  #gid=0"",""фіз особи new!relations_name""),6,FALSE)
,
(IF
(
C2039=""юридична особа""
,
VLOOKUP"&amp;"(D2039,IMPORTRANGE(""https://docs.google.com/spreadsheets/d/14Bd19lYaqBhU8_DElYkX7l4wRkHqqCUFNJY4AfY3kHU/edit?usp=sharing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8" s="7" t="s">
        <v>10</v>
      </c>
      <c r="H2038" s="7">
        <v>0</v>
      </c>
      <c r="I2038" s="8" t="str">
        <f ca="1">IFERROR(__xludf.DUMMYFUNCTION("IF
(
G2039=""фізична особа""
,
VLOOKUP(H2039,IMPORTRANGE(""https://docs.google.com/spreadsheets/d/14Bd19lYaqBhU8_DElYkX7l4wRkHqqCUFNJY4AfY3kHU/edit?usp=sharing  #gid=0"",""фіз особи new!relations_name""),6,FALSE)
,
(IF
(
G2039=""юридична особа""
,
VLOOKUP"&amp;"(H2039,IMPORTRANGE(""https://docs.google.com/spreadsheets/d/14Bd19lYaqBhU8_DElYkX7l4wRkHqqCUFNJY4AfY3kHU/edit?usp=sharing  #gid=0"",""фіз особи new!relations_name_uo""),7,FALSE)
,
)
))"),"#N/A")</f>
        <v>#N/A</v>
      </c>
      <c r="J2038" s="7" t="s">
        <v>28</v>
      </c>
    </row>
    <row r="2039" spans="1:10" ht="13.2">
      <c r="A2039" s="7">
        <v>2038</v>
      </c>
      <c r="B2039" s="7">
        <v>1</v>
      </c>
      <c r="C2039" s="7" t="s">
        <v>10</v>
      </c>
      <c r="D2039" s="7">
        <v>609</v>
      </c>
      <c r="E2039" s="7" t="s">
        <v>44</v>
      </c>
      <c r="F2039" s="8" t="str">
        <f ca="1">IFERROR(__xludf.DUMMYFUNCTION("IF
(
C2040=""фізична особа""
,
VLOOKUP(D2040,IMPORTRANGE(""https://docs.google.com/spreadsheets/d/14Bd19lYaqBhU8_DElYkX7l4wRkHqqCUFNJY4AfY3kHU/edit?usp=sharing  #gid=0"",""фіз особи new!relations_name""),6,FALSE)
,
(IF
(
C2040=""юридична особа""
,
VLOOKUP"&amp;"(D2040,IMPORTRANGE(""https://docs.google.com/spreadsheets/d/14Bd19lYaqBhU8_DElYkX7l4wRkHqqCUFNJY4AfY3kHU/edit?usp=sharing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39" s="7" t="s">
        <v>10</v>
      </c>
      <c r="H2039" s="7">
        <v>0</v>
      </c>
      <c r="I2039" s="8" t="str">
        <f ca="1">IFERROR(__xludf.DUMMYFUNCTION("IF
(
G2040=""фізична особа""
,
VLOOKUP(H2040,IMPORTRANGE(""https://docs.google.com/spreadsheets/d/14Bd19lYaqBhU8_DElYkX7l4wRkHqqCUFNJY4AfY3kHU/edit?usp=sharing  #gid=0"",""фіз особи new!relations_name""),6,FALSE)
,
(IF
(
G2040=""юридична особа""
,
VLOOKUP"&amp;"(H2040,IMPORTRANGE(""https://docs.google.com/spreadsheets/d/14Bd19lYaqBhU8_DElYkX7l4wRkHqqCUFNJY4AfY3kHU/edit?usp=sharing  #gid=0"",""фіз особи new!relations_name_uo""),7,FALSE)
,
)
))"),"#N/A")</f>
        <v>#N/A</v>
      </c>
      <c r="J2039" s="7" t="s">
        <v>44</v>
      </c>
    </row>
    <row r="2040" spans="1:10" ht="13.2">
      <c r="A2040" s="7">
        <v>2039</v>
      </c>
      <c r="B2040" s="7">
        <v>1</v>
      </c>
      <c r="C2040" s="7" t="s">
        <v>10</v>
      </c>
      <c r="D2040" s="7">
        <v>609</v>
      </c>
      <c r="E2040" s="7" t="s">
        <v>44</v>
      </c>
      <c r="F2040" s="8" t="str">
        <f ca="1">IFERROR(__xludf.DUMMYFUNCTION("IF
(
C2041=""фізична особа""
,
VLOOKUP(D2041,IMPORTRANGE(""https://docs.google.com/spreadsheets/d/14Bd19lYaqBhU8_DElYkX7l4wRkHqqCUFNJY4AfY3kHU/edit?usp=sharing  #gid=0"",""фіз особи new!relations_name""),6,FALSE)
,
(IF
(
C2041=""юридична особа""
,
VLOOKUP"&amp;"(D2041,IMPORTRANGE(""https://docs.google.com/spreadsheets/d/14Bd19lYaqBhU8_DElYkX7l4wRkHqqCUFNJY4AfY3kHU/edit?usp=sharing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0" s="7" t="s">
        <v>10</v>
      </c>
      <c r="H2040" s="7">
        <v>0</v>
      </c>
      <c r="I2040" s="8" t="str">
        <f ca="1">IFERROR(__xludf.DUMMYFUNCTION("IF
(
G2041=""фізична особа""
,
VLOOKUP(H2041,IMPORTRANGE(""https://docs.google.com/spreadsheets/d/14Bd19lYaqBhU8_DElYkX7l4wRkHqqCUFNJY4AfY3kHU/edit?usp=sharing  #gid=0"",""фіз особи new!relations_name""),6,FALSE)
,
(IF
(
G2041=""юридична особа""
,
VLOOKUP"&amp;"(H2041,IMPORTRANGE(""https://docs.google.com/spreadsheets/d/14Bd19lYaqBhU8_DElYkX7l4wRkHqqCUFNJY4AfY3kHU/edit?usp=sharing  #gid=0"",""фіз особи new!relations_name_uo""),7,FALSE)
,
)
))"),"#N/A")</f>
        <v>#N/A</v>
      </c>
      <c r="J2040" s="7" t="s">
        <v>44</v>
      </c>
    </row>
    <row r="2041" spans="1:10" ht="13.2">
      <c r="A2041" s="7">
        <v>2040</v>
      </c>
      <c r="B2041" s="7">
        <v>1</v>
      </c>
      <c r="C2041" s="7" t="s">
        <v>10</v>
      </c>
      <c r="D2041" s="7">
        <v>609</v>
      </c>
      <c r="E2041" s="7" t="s">
        <v>30</v>
      </c>
      <c r="F2041" s="8" t="str">
        <f ca="1">IFERROR(__xludf.DUMMYFUNCTION("IF
(
C2042=""фізична особа""
,
VLOOKUP(D2042,IMPORTRANGE(""https://docs.google.com/spreadsheets/d/14Bd19lYaqBhU8_DElYkX7l4wRkHqqCUFNJY4AfY3kHU/edit?usp=sharing  #gid=0"",""фіз особи new!relations_name""),6,FALSE)
,
(IF
(
C2042=""юридична особа""
,
VLOOKUP"&amp;"(D2042,IMPORTRANGE(""https://docs.google.com/spreadsheets/d/14Bd19lYaqBhU8_DElYkX7l4wRkHqqCUFNJY4AfY3kHU/edit?usp=sharing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1" s="7" t="s">
        <v>10</v>
      </c>
      <c r="H2041" s="7">
        <v>0</v>
      </c>
      <c r="I2041" s="8" t="str">
        <f ca="1">IFERROR(__xludf.DUMMYFUNCTION("IF
(
G2042=""фізична особа""
,
VLOOKUP(H2042,IMPORTRANGE(""https://docs.google.com/spreadsheets/d/14Bd19lYaqBhU8_DElYkX7l4wRkHqqCUFNJY4AfY3kHU/edit?usp=sharing  #gid=0"",""фіз особи new!relations_name""),6,FALSE)
,
(IF
(
G2042=""юридична особа""
,
VLOOKUP"&amp;"(H2042,IMPORTRANGE(""https://docs.google.com/spreadsheets/d/14Bd19lYaqBhU8_DElYkX7l4wRkHqqCUFNJY4AfY3kHU/edit?usp=sharing  #gid=0"",""фіз особи new!relations_name_uo""),7,FALSE)
,
)
))"),"#N/A")</f>
        <v>#N/A</v>
      </c>
      <c r="J2041" s="7" t="s">
        <v>30</v>
      </c>
    </row>
    <row r="2042" spans="1:10" ht="13.2">
      <c r="A2042" s="7">
        <v>2041</v>
      </c>
      <c r="B2042" s="7">
        <v>1</v>
      </c>
      <c r="C2042" s="7" t="s">
        <v>10</v>
      </c>
      <c r="D2042" s="7">
        <v>609</v>
      </c>
      <c r="E2042" s="7" t="s">
        <v>30</v>
      </c>
      <c r="F2042" s="8" t="str">
        <f ca="1">IFERROR(__xludf.DUMMYFUNCTION("IF
(
C2043=""фізична особа""
,
VLOOKUP(D2043,IMPORTRANGE(""https://docs.google.com/spreadsheets/d/14Bd19lYaqBhU8_DElYkX7l4wRkHqqCUFNJY4AfY3kHU/edit?usp=sharing  #gid=0"",""фіз особи new!relations_name""),6,FALSE)
,
(IF
(
C2043=""юридична особа""
,
VLOOKUP"&amp;"(D2043,IMPORTRANGE(""https://docs.google.com/spreadsheets/d/14Bd19lYaqBhU8_DElYkX7l4wRkHqqCUFNJY4AfY3kHU/edit?usp=sharing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2" s="7" t="s">
        <v>10</v>
      </c>
      <c r="H2042" s="7">
        <v>23428</v>
      </c>
      <c r="I2042" s="8" t="str">
        <f ca="1">IFERROR(__xludf.DUMMYFUNCTION("IF
(
G2043=""фізична особа""
,
VLOOKUP(H2043,IMPORTRANGE(""https://docs.google.com/spreadsheets/d/14Bd19lYaqBhU8_DElYkX7l4wRkHqqCUFNJY4AfY3kHU/edit?usp=sharing  #gid=0"",""фіз особи new!relations_name""),6,FALSE)
,
(IF
(
G2043=""юридична особа""
,
VLOOKUP"&amp;"(H2043,IMPORTRANGE(""https://docs.google.com/spreadsheets/d/14Bd19lYaqBhU8_DElYkX7l4wRkHqqCUFNJY4AfY3kHU/edit?usp=sharing  #gid=0"",""фіз особи new!relations_name_uo""),7,FALSE)
,
)
))"),"ЕДІЛЬГІРІЄВ Амруді Ахмедович")</f>
        <v>ЕДІЛЬГІРІЄВ Амруді Ахмедович</v>
      </c>
      <c r="J2042" s="7" t="s">
        <v>30</v>
      </c>
    </row>
    <row r="2043" spans="1:10" ht="13.2">
      <c r="A2043" s="7">
        <v>2042</v>
      </c>
      <c r="B2043" s="7">
        <v>1</v>
      </c>
      <c r="C2043" s="7" t="s">
        <v>10</v>
      </c>
      <c r="D2043" s="7">
        <v>609</v>
      </c>
      <c r="E2043" s="7" t="s">
        <v>44</v>
      </c>
      <c r="F2043" s="8" t="str">
        <f ca="1">IFERROR(__xludf.DUMMYFUNCTION("IF
(
C2044=""фізична особа""
,
VLOOKUP(D2044,IMPORTRANGE(""https://docs.google.com/spreadsheets/d/14Bd19lYaqBhU8_DElYkX7l4wRkHqqCUFNJY4AfY3kHU/edit?usp=sharing  #gid=0"",""фіз особи new!relations_name""),6,FALSE)
,
(IF
(
C2044=""юридична особа""
,
VLOOKUP"&amp;"(D2044,IMPORTRANGE(""https://docs.google.com/spreadsheets/d/14Bd19lYaqBhU8_DElYkX7l4wRkHqqCUFNJY4AfY3kHU/edit?usp=sharing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3" s="7" t="s">
        <v>10</v>
      </c>
      <c r="H2043" s="7">
        <v>0</v>
      </c>
      <c r="I2043" s="8" t="str">
        <f ca="1">IFERROR(__xludf.DUMMYFUNCTION("IF
(
G2044=""фізична особа""
,
VLOOKUP(H2044,IMPORTRANGE(""https://docs.google.com/spreadsheets/d/14Bd19lYaqBhU8_DElYkX7l4wRkHqqCUFNJY4AfY3kHU/edit?usp=sharing  #gid=0"",""фіз особи new!relations_name""),6,FALSE)
,
(IF
(
G2044=""юридична особа""
,
VLOOKUP"&amp;"(H2044,IMPORTRANGE(""https://docs.google.com/spreadsheets/d/14Bd19lYaqBhU8_DElYkX7l4wRkHqqCUFNJY4AfY3kHU/edit?usp=sharing  #gid=0"",""фіз особи new!relations_name_uo""),7,FALSE)
,
)
))"),"#N/A")</f>
        <v>#N/A</v>
      </c>
      <c r="J2043" s="7" t="s">
        <v>44</v>
      </c>
    </row>
    <row r="2044" spans="1:10" ht="13.2">
      <c r="A2044" s="7">
        <v>2043</v>
      </c>
      <c r="B2044" s="7">
        <v>1</v>
      </c>
      <c r="C2044" s="7" t="s">
        <v>10</v>
      </c>
      <c r="D2044" s="7">
        <v>609</v>
      </c>
      <c r="E2044" s="7" t="s">
        <v>44</v>
      </c>
      <c r="F2044" s="8" t="str">
        <f ca="1">IFERROR(__xludf.DUMMYFUNCTION("IF
(
C2045=""фізична особа""
,
VLOOKUP(D2045,IMPORTRANGE(""https://docs.google.com/spreadsheets/d/14Bd19lYaqBhU8_DElYkX7l4wRkHqqCUFNJY4AfY3kHU/edit?usp=sharing  #gid=0"",""фіз особи new!relations_name""),6,FALSE)
,
(IF
(
C2045=""юридична особа""
,
VLOOKUP"&amp;"(D2045,IMPORTRANGE(""https://docs.google.com/spreadsheets/d/14Bd19lYaqBhU8_DElYkX7l4wRkHqqCUFNJY4AfY3kHU/edit?usp=sharing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4" s="7" t="s">
        <v>10</v>
      </c>
      <c r="H2044" s="7">
        <v>0</v>
      </c>
      <c r="I2044" s="8" t="str">
        <f ca="1">IFERROR(__xludf.DUMMYFUNCTION("IF
(
G2045=""фізична особа""
,
VLOOKUP(H2045,IMPORTRANGE(""https://docs.google.com/spreadsheets/d/14Bd19lYaqBhU8_DElYkX7l4wRkHqqCUFNJY4AfY3kHU/edit?usp=sharing  #gid=0"",""фіз особи new!relations_name""),6,FALSE)
,
(IF
(
G2045=""юридична особа""
,
VLOOKUP"&amp;"(H2045,IMPORTRANGE(""https://docs.google.com/spreadsheets/d/14Bd19lYaqBhU8_DElYkX7l4wRkHqqCUFNJY4AfY3kHU/edit?usp=sharing  #gid=0"",""фіз особи new!relations_name_uo""),7,FALSE)
,
)
))"),"#N/A")</f>
        <v>#N/A</v>
      </c>
      <c r="J2044" s="7" t="s">
        <v>44</v>
      </c>
    </row>
    <row r="2045" spans="1:10" ht="13.2">
      <c r="A2045" s="7">
        <v>2044</v>
      </c>
      <c r="B2045" s="7">
        <v>1</v>
      </c>
      <c r="C2045" s="7" t="s">
        <v>10</v>
      </c>
      <c r="D2045" s="7">
        <v>609</v>
      </c>
      <c r="E2045" s="7" t="s">
        <v>62</v>
      </c>
      <c r="F2045" s="8" t="str">
        <f ca="1">IFERROR(__xludf.DUMMYFUNCTION("IF
(
C2046=""фізична особа""
,
VLOOKUP(D2046,IMPORTRANGE(""https://docs.google.com/spreadsheets/d/14Bd19lYaqBhU8_DElYkX7l4wRkHqqCUFNJY4AfY3kHU/edit?usp=sharing  #gid=0"",""фіз особи new!relations_name""),6,FALSE)
,
(IF
(
C2046=""юридична особа""
,
VLOOKUP"&amp;"(D2046,IMPORTRANGE(""https://docs.google.com/spreadsheets/d/14Bd19lYaqBhU8_DElYkX7l4wRkHqqCUFNJY4AfY3kHU/edit?usp=sharing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5" s="7" t="s">
        <v>10</v>
      </c>
      <c r="H2045" s="7">
        <v>0</v>
      </c>
      <c r="I2045" s="8" t="str">
        <f ca="1">IFERROR(__xludf.DUMMYFUNCTION("IF
(
G2046=""фізична особа""
,
VLOOKUP(H2046,IMPORTRANGE(""https://docs.google.com/spreadsheets/d/14Bd19lYaqBhU8_DElYkX7l4wRkHqqCUFNJY4AfY3kHU/edit?usp=sharing  #gid=0"",""фіз особи new!relations_name""),6,FALSE)
,
(IF
(
G2046=""юридична особа""
,
VLOOKUP"&amp;"(H2046,IMPORTRANGE(""https://docs.google.com/spreadsheets/d/14Bd19lYaqBhU8_DElYkX7l4wRkHqqCUFNJY4AfY3kHU/edit?usp=sharing  #gid=0"",""фіз особи new!relations_name_uo""),7,FALSE)
,
)
))"),"#N/A")</f>
        <v>#N/A</v>
      </c>
      <c r="J2045" s="7" t="s">
        <v>62</v>
      </c>
    </row>
    <row r="2046" spans="1:10" ht="13.2">
      <c r="A2046" s="7">
        <v>2045</v>
      </c>
      <c r="B2046" s="7">
        <v>1</v>
      </c>
      <c r="C2046" s="7" t="s">
        <v>10</v>
      </c>
      <c r="D2046" s="7">
        <v>609</v>
      </c>
      <c r="E2046" s="7" t="s">
        <v>65</v>
      </c>
      <c r="F2046" s="8" t="str">
        <f ca="1">IFERROR(__xludf.DUMMYFUNCTION("IF
(
C2047=""фізична особа""
,
VLOOKUP(D2047,IMPORTRANGE(""https://docs.google.com/spreadsheets/d/14Bd19lYaqBhU8_DElYkX7l4wRkHqqCUFNJY4AfY3kHU/edit?usp=sharing  #gid=0"",""фіз особи new!relations_name""),6,FALSE)
,
(IF
(
C2047=""юридична особа""
,
VLOOKUP"&amp;"(D2047,IMPORTRANGE(""https://docs.google.com/spreadsheets/d/14Bd19lYaqBhU8_DElYkX7l4wRkHqqCUFNJY4AfY3kHU/edit?usp=sharing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6" s="7" t="s">
        <v>10</v>
      </c>
      <c r="H2046" s="7">
        <v>0</v>
      </c>
      <c r="I2046" s="8" t="str">
        <f ca="1">IFERROR(__xludf.DUMMYFUNCTION("IF
(
G2047=""фізична особа""
,
VLOOKUP(H2047,IMPORTRANGE(""https://docs.google.com/spreadsheets/d/14Bd19lYaqBhU8_DElYkX7l4wRkHqqCUFNJY4AfY3kHU/edit?usp=sharing  #gid=0"",""фіз особи new!relations_name""),6,FALSE)
,
(IF
(
G2047=""юридична особа""
,
VLOOKUP"&amp;"(H2047,IMPORTRANGE(""https://docs.google.com/spreadsheets/d/14Bd19lYaqBhU8_DElYkX7l4wRkHqqCUFNJY4AfY3kHU/edit?usp=sharing  #gid=0"",""фіз особи new!relations_name_uo""),7,FALSE)
,
)
))"),"#N/A")</f>
        <v>#N/A</v>
      </c>
      <c r="J2046" s="7" t="s">
        <v>65</v>
      </c>
    </row>
    <row r="2047" spans="1:10" ht="13.2">
      <c r="A2047" s="7">
        <v>2046</v>
      </c>
      <c r="B2047" s="7">
        <v>1</v>
      </c>
      <c r="C2047" s="7" t="s">
        <v>10</v>
      </c>
      <c r="D2047" s="7">
        <v>609</v>
      </c>
      <c r="E2047" s="7" t="s">
        <v>48</v>
      </c>
      <c r="F2047" s="8" t="str">
        <f ca="1">IFERROR(__xludf.DUMMYFUNCTION("IF
(
C2048=""фізична особа""
,
VLOOKUP(D2048,IMPORTRANGE(""https://docs.google.com/spreadsheets/d/14Bd19lYaqBhU8_DElYkX7l4wRkHqqCUFNJY4AfY3kHU/edit?usp=sharing  #gid=0"",""фіз особи new!relations_name""),6,FALSE)
,
(IF
(
C2048=""юридична особа""
,
VLOOKUP"&amp;"(D2048,IMPORTRANGE(""https://docs.google.com/spreadsheets/d/14Bd19lYaqBhU8_DElYkX7l4wRkHqqCUFNJY4AfY3kHU/edit?usp=sharing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7" s="7" t="s">
        <v>10</v>
      </c>
      <c r="H2047" s="7">
        <v>0</v>
      </c>
      <c r="I2047" s="8" t="str">
        <f ca="1">IFERROR(__xludf.DUMMYFUNCTION("IF
(
G2048=""фізична особа""
,
VLOOKUP(H2048,IMPORTRANGE(""https://docs.google.com/spreadsheets/d/14Bd19lYaqBhU8_DElYkX7l4wRkHqqCUFNJY4AfY3kHU/edit?usp=sharing  #gid=0"",""фіз особи new!relations_name""),6,FALSE)
,
(IF
(
G2048=""юридична особа""
,
VLOOKUP"&amp;"(H2048,IMPORTRANGE(""https://docs.google.com/spreadsheets/d/14Bd19lYaqBhU8_DElYkX7l4wRkHqqCUFNJY4AfY3kHU/edit?usp=sharing  #gid=0"",""фіз особи new!relations_name_uo""),7,FALSE)
,
)
))"),"#N/A")</f>
        <v>#N/A</v>
      </c>
      <c r="J2047" s="7" t="s">
        <v>48</v>
      </c>
    </row>
    <row r="2048" spans="1:10" ht="13.2">
      <c r="A2048" s="7">
        <v>2047</v>
      </c>
      <c r="B2048" s="7">
        <v>1</v>
      </c>
      <c r="C2048" s="7" t="s">
        <v>10</v>
      </c>
      <c r="D2048" s="7">
        <v>609</v>
      </c>
      <c r="E2048" s="7" t="s">
        <v>16</v>
      </c>
      <c r="F2048" s="8" t="str">
        <f ca="1">IFERROR(__xludf.DUMMYFUNCTION("IF
(
C2049=""фізична особа""
,
VLOOKUP(D2049,IMPORTRANGE(""https://docs.google.com/spreadsheets/d/14Bd19lYaqBhU8_DElYkX7l4wRkHqqCUFNJY4AfY3kHU/edit?usp=sharing  #gid=0"",""фіз особи new!relations_name""),6,FALSE)
,
(IF
(
C2049=""юридична особа""
,
VLOOKUP"&amp;"(D2049,IMPORTRANGE(""https://docs.google.com/spreadsheets/d/14Bd19lYaqBhU8_DElYkX7l4wRkHqqCUFNJY4AfY3kHU/edit?usp=sharing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8" s="7" t="s">
        <v>10</v>
      </c>
      <c r="H2048" s="7">
        <v>2095</v>
      </c>
      <c r="I2048" s="8" t="str">
        <f ca="1">IFERROR(__xludf.DUMMYFUNCTION("IF
(
G2049=""фізична особа""
,
VLOOKUP(H2049,IMPORTRANGE(""https://docs.google.com/spreadsheets/d/14Bd19lYaqBhU8_DElYkX7l4wRkHqqCUFNJY4AfY3kHU/edit?usp=sharing  #gid=0"",""фіз особи new!relations_name""),6,FALSE)
,
(IF
(
G2049=""юридична особа""
,
VLOOKUP"&amp;"(H2049,IMPORTRANGE(""https://docs.google.com/spreadsheets/d/14Bd19lYaqBhU8_DElYkX7l4wRkHqqCUFNJY4AfY3kHU/edit?usp=sharing  #gid=0"",""фіз особи new!relations_name_uo""),7,FALSE)
,
)
))"),"ЮНУСОВ Тимур Ільдарович / ТІМАТІ")</f>
        <v>ЮНУСОВ Тимур Ільдарович / ТІМАТІ</v>
      </c>
      <c r="J2048" s="7" t="s">
        <v>16</v>
      </c>
    </row>
    <row r="2049" spans="1:10" ht="13.2">
      <c r="A2049" s="7">
        <v>2048</v>
      </c>
      <c r="B2049" s="7">
        <v>1</v>
      </c>
      <c r="C2049" s="7" t="s">
        <v>10</v>
      </c>
      <c r="D2049" s="7">
        <v>609</v>
      </c>
      <c r="E2049" s="7" t="s">
        <v>82</v>
      </c>
      <c r="F2049" s="8" t="str">
        <f ca="1">IFERROR(__xludf.DUMMYFUNCTION("IF
(
C2050=""фізична особа""
,
VLOOKUP(D2050,IMPORTRANGE(""https://docs.google.com/spreadsheets/d/14Bd19lYaqBhU8_DElYkX7l4wRkHqqCUFNJY4AfY3kHU/edit?usp=sharing  #gid=0"",""фіз особи new!relations_name""),6,FALSE)
,
(IF
(
C2050=""юридична особа""
,
VLOOKUP"&amp;"(D2050,IMPORTRANGE(""https://docs.google.com/spreadsheets/d/14Bd19lYaqBhU8_DElYkX7l4wRkHqqCUFNJY4AfY3kHU/edit?usp=sharing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49" s="7" t="s">
        <v>10</v>
      </c>
      <c r="H2049" s="7">
        <v>23429</v>
      </c>
      <c r="I2049" s="8" t="str">
        <f ca="1">IFERROR(__xludf.DUMMYFUNCTION("IF
(
G2050=""фізична особа""
,
VLOOKUP(H2050,IMPORTRANGE(""https://docs.google.com/spreadsheets/d/14Bd19lYaqBhU8_DElYkX7l4wRkHqqCUFNJY4AfY3kHU/edit?usp=sharing  #gid=0"",""фіз особи new!relations_name""),6,FALSE)
,
(IF
(
G2050=""юридична особа""
,
VLOOKUP"&amp;"(H2050,IMPORTRANGE(""https://docs.google.com/spreadsheets/d/14Bd19lYaqBhU8_DElYkX7l4wRkHqqCUFNJY4AfY3kHU/edit?usp=sharing  #gid=0"",""фіз особи new!relations_name_uo""),7,FALSE)
,
)
))"),"ДЕРЯБІНА Віра Афанасіївна")</f>
        <v>ДЕРЯБІНА Віра Афанасіївна</v>
      </c>
      <c r="J2049" s="7" t="s">
        <v>83</v>
      </c>
    </row>
    <row r="2050" spans="1:10" ht="13.2">
      <c r="A2050" s="7">
        <v>2049</v>
      </c>
      <c r="B2050" s="7">
        <v>1</v>
      </c>
      <c r="C2050" s="7" t="s">
        <v>10</v>
      </c>
      <c r="D2050" s="7">
        <v>609</v>
      </c>
      <c r="E2050" s="7" t="s">
        <v>48</v>
      </c>
      <c r="F2050" s="8" t="str">
        <f ca="1">IFERROR(__xludf.DUMMYFUNCTION("IF
(
C2051=""фізична особа""
,
VLOOKUP(D2051,IMPORTRANGE(""https://docs.google.com/spreadsheets/d/14Bd19lYaqBhU8_DElYkX7l4wRkHqqCUFNJY4AfY3kHU/edit?usp=sharing  #gid=0"",""фіз особи new!relations_name""),6,FALSE)
,
(IF
(
C2051=""юридична особа""
,
VLOOKUP"&amp;"(D2051,IMPORTRANGE(""https://docs.google.com/spreadsheets/d/14Bd19lYaqBhU8_DElYkX7l4wRkHqqCUFNJY4AfY3kHU/edit?usp=sharing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0" s="7" t="s">
        <v>10</v>
      </c>
      <c r="H2050" s="7">
        <v>727</v>
      </c>
      <c r="I2050" s="8" t="str">
        <f ca="1">IFERROR(__xludf.DUMMYFUNCTION("IF
(
G2051=""фізична особа""
,
VLOOKUP(H2051,IMPORTRANGE(""https://docs.google.com/spreadsheets/d/14Bd19lYaqBhU8_DElYkX7l4wRkHqqCUFNJY4AfY3kHU/edit?usp=sharing  #gid=0"",""фіз особи new!relations_name""),6,FALSE)
,
(IF
(
G2051=""юридична особа""
,
VLOOKUP"&amp;"(H2051,IMPORTRANGE(""https://docs.google.com/spreadsheets/d/14Bd19lYaqBhU8_DElYkX7l4wRkHqqCUFNJY4AfY3kHU/edit?usp=sharing  #gid=0"",""фіз особи new!relations_name_uo""),7,FALSE)
,
)
))"),"САРАЛІЄВ Шамсаїл Юнусович")</f>
        <v>САРАЛІЄВ Шамсаїл Юнусович</v>
      </c>
      <c r="J2050" s="7" t="s">
        <v>48</v>
      </c>
    </row>
    <row r="2051" spans="1:10" ht="13.2">
      <c r="A2051" s="7">
        <v>2050</v>
      </c>
      <c r="B2051" s="7">
        <v>1</v>
      </c>
      <c r="C2051" s="7" t="s">
        <v>10</v>
      </c>
      <c r="D2051" s="7">
        <v>609</v>
      </c>
      <c r="E2051" s="7" t="s">
        <v>48</v>
      </c>
      <c r="F2051" s="8" t="str">
        <f ca="1">IFERROR(__xludf.DUMMYFUNCTION("IF
(
C2052=""фізична особа""
,
VLOOKUP(D2052,IMPORTRANGE(""https://docs.google.com/spreadsheets/d/14Bd19lYaqBhU8_DElYkX7l4wRkHqqCUFNJY4AfY3kHU/edit?usp=sharing  #gid=0"",""фіз особи new!relations_name""),6,FALSE)
,
(IF
(
C2052=""юридична особа""
,
VLOOKUP"&amp;"(D2052,IMPORTRANGE(""https://docs.google.com/spreadsheets/d/14Bd19lYaqBhU8_DElYkX7l4wRkHqqCUFNJY4AfY3kHU/edit?usp=sharing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1" s="7" t="s">
        <v>10</v>
      </c>
      <c r="H2051" s="7">
        <v>740</v>
      </c>
      <c r="I2051" s="8" t="str">
        <f ca="1">IFERROR(__xludf.DUMMYFUNCTION("IF
(
G2052=""фізична особа""
,
VLOOKUP(H2052,IMPORTRANGE(""https://docs.google.com/spreadsheets/d/14Bd19lYaqBhU8_DElYkX7l4wRkHqqCUFNJY4AfY3kHU/edit?usp=sharing  #gid=0"",""фіз особи new!relations_name""),6,FALSE)
,
(IF
(
G2052=""юридична особа""
,
VLOOKUP"&amp;"(H2052,IMPORTRANGE(""https://docs.google.com/spreadsheets/d/14Bd19lYaqBhU8_DElYkX7l4wRkHqqCUFNJY4AfY3kHU/edit?usp=sharing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J2051" s="7" t="s">
        <v>48</v>
      </c>
    </row>
    <row r="2052" spans="1:10" ht="13.2">
      <c r="A2052" s="7">
        <v>2051</v>
      </c>
      <c r="B2052" s="7">
        <v>1</v>
      </c>
      <c r="C2052" s="7" t="s">
        <v>10</v>
      </c>
      <c r="D2052" s="7">
        <v>609</v>
      </c>
      <c r="E2052" s="7" t="s">
        <v>48</v>
      </c>
      <c r="F2052" s="8" t="str">
        <f ca="1">IFERROR(__xludf.DUMMYFUNCTION("IF
(
C2053=""фізична особа""
,
VLOOKUP(D2053,IMPORTRANGE(""https://docs.google.com/spreadsheets/d/14Bd19lYaqBhU8_DElYkX7l4wRkHqqCUFNJY4AfY3kHU/edit?usp=sharing  #gid=0"",""фіз особи new!relations_name""),6,FALSE)
,
(IF
(
C2053=""юридична особа""
,
VLOOKUP"&amp;"(D2053,IMPORTRANGE(""https://docs.google.com/spreadsheets/d/14Bd19lYaqBhU8_DElYkX7l4wRkHqqCUFNJY4AfY3kHU/edit?usp=sharing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2" s="7" t="s">
        <v>10</v>
      </c>
      <c r="H2052" s="7">
        <v>13115</v>
      </c>
      <c r="I2052" s="8" t="str">
        <f ca="1">IFERROR(__xludf.DUMMYFUNCTION("IF
(
G2053=""фізична особа""
,
VLOOKUP(H2053,IMPORTRANGE(""https://docs.google.com/spreadsheets/d/14Bd19lYaqBhU8_DElYkX7l4wRkHqqCUFNJY4AfY3kHU/edit?usp=sharing  #gid=0"",""фіз особи new!relations_name""),6,FALSE)
,
(IF
(
G2053=""юридична особа""
,
VLOOKUP"&amp;"(H2053,IMPORTRANGE(""https://docs.google.com/spreadsheets/d/14Bd19lYaqBhU8_DElYkX7l4wRkHqqCUFNJY4AfY3kHU/edit?usp=sharing  #gid=0"",""фіз особи new!relations_name_uo""),7,FALSE)
,
)
))"),"САБСАБІ Зіяд Мухамедович")</f>
        <v>САБСАБІ Зіяд Мухамедович</v>
      </c>
      <c r="J2052" s="7" t="s">
        <v>48</v>
      </c>
    </row>
    <row r="2053" spans="1:10" ht="13.2">
      <c r="A2053" s="7">
        <v>2052</v>
      </c>
      <c r="B2053" s="7">
        <v>1</v>
      </c>
      <c r="C2053" s="7" t="s">
        <v>10</v>
      </c>
      <c r="D2053" s="7">
        <v>609</v>
      </c>
      <c r="E2053" s="7" t="s">
        <v>16</v>
      </c>
      <c r="F2053" s="8" t="str">
        <f ca="1">IFERROR(__xludf.DUMMYFUNCTION("IF
(
C2054=""фізична особа""
,
VLOOKUP(D2054,IMPORTRANGE(""https://docs.google.com/spreadsheets/d/14Bd19lYaqBhU8_DElYkX7l4wRkHqqCUFNJY4AfY3kHU/edit?usp=sharing  #gid=0"",""фіз особи new!relations_name""),6,FALSE)
,
(IF
(
C2054=""юридична особа""
,
VLOOKUP"&amp;"(D2054,IMPORTRANGE(""https://docs.google.com/spreadsheets/d/14Bd19lYaqBhU8_DElYkX7l4wRkHqqCUFNJY4AfY3kHU/edit?usp=sharing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3" s="7" t="s">
        <v>10</v>
      </c>
      <c r="H2053" s="7">
        <v>0</v>
      </c>
      <c r="I2053" s="8" t="str">
        <f ca="1">IFERROR(__xludf.DUMMYFUNCTION("IF
(
G2054=""фізична особа""
,
VLOOKUP(H2054,IMPORTRANGE(""https://docs.google.com/spreadsheets/d/14Bd19lYaqBhU8_DElYkX7l4wRkHqqCUFNJY4AfY3kHU/edit?usp=sharing  #gid=0"",""фіз особи new!relations_name""),6,FALSE)
,
(IF
(
G2054=""юридична особа""
,
VLOOKUP"&amp;"(H2054,IMPORTRANGE(""https://docs.google.com/spreadsheets/d/14Bd19lYaqBhU8_DElYkX7l4wRkHqqCUFNJY4AfY3kHU/edit?usp=sharing  #gid=0"",""фіз особи new!relations_name_uo""),7,FALSE)
,
)
))"),"#N/A")</f>
        <v>#N/A</v>
      </c>
      <c r="J2053" s="7" t="s">
        <v>16</v>
      </c>
    </row>
    <row r="2054" spans="1:10" ht="13.2">
      <c r="A2054" s="7">
        <v>2053</v>
      </c>
      <c r="B2054" s="7">
        <v>1</v>
      </c>
      <c r="C2054" s="7" t="s">
        <v>10</v>
      </c>
      <c r="D2054" s="7">
        <v>609</v>
      </c>
      <c r="E2054" s="7" t="s">
        <v>48</v>
      </c>
      <c r="F2054" s="8" t="str">
        <f ca="1">IFERROR(__xludf.DUMMYFUNCTION("IF
(
C2055=""фізична особа""
,
VLOOKUP(D2055,IMPORTRANGE(""https://docs.google.com/spreadsheets/d/14Bd19lYaqBhU8_DElYkX7l4wRkHqqCUFNJY4AfY3kHU/edit?usp=sharing  #gid=0"",""фіз особи new!relations_name""),6,FALSE)
,
(IF
(
C2055=""юридична особа""
,
VLOOKUP"&amp;"(D2055,IMPORTRANGE(""https://docs.google.com/spreadsheets/d/14Bd19lYaqBhU8_DElYkX7l4wRkHqqCUFNJY4AfY3kHU/edit?usp=sharing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4" s="7" t="s">
        <v>10</v>
      </c>
      <c r="H2054" s="7">
        <v>8638</v>
      </c>
      <c r="I2054" s="8" t="str">
        <f ca="1">IFERROR(__xludf.DUMMYFUNCTION("IF
(
G2055=""фізична особа""
,
VLOOKUP(H2055,IMPORTRANGE(""https://docs.google.com/spreadsheets/d/14Bd19lYaqBhU8_DElYkX7l4wRkHqqCUFNJY4AfY3kHU/edit?usp=sharing  #gid=0"",""фіз особи new!relations_name""),6,FALSE)
,
(IF
(
G2055=""юридична особа""
,
VLOOKUP"&amp;"(H2055,IMPORTRANGE(""https://docs.google.com/spreadsheets/d/14Bd19lYaqBhU8_DElYkX7l4wRkHqqCUFNJY4AfY3kHU/edit?usp=sharing  #gid=0"",""фіз особи new!relations_name_uo""),7,FALSE)
,
)
))"),"ГЕРЕМЄЄВ Ваха Садулайович")</f>
        <v>ГЕРЕМЄЄВ Ваха Садулайович</v>
      </c>
      <c r="J2054" s="7" t="s">
        <v>48</v>
      </c>
    </row>
    <row r="2055" spans="1:10" ht="13.2">
      <c r="A2055" s="7">
        <v>2054</v>
      </c>
      <c r="B2055" s="7">
        <v>1</v>
      </c>
      <c r="C2055" s="7" t="s">
        <v>10</v>
      </c>
      <c r="D2055" s="7">
        <v>609</v>
      </c>
      <c r="E2055" s="7" t="s">
        <v>48</v>
      </c>
      <c r="F2055" s="8" t="str">
        <f ca="1">IFERROR(__xludf.DUMMYFUNCTION("IF
(
C2056=""фізична особа""
,
VLOOKUP(D2056,IMPORTRANGE(""https://docs.google.com/spreadsheets/d/14Bd19lYaqBhU8_DElYkX7l4wRkHqqCUFNJY4AfY3kHU/edit?usp=sharing  #gid=0"",""фіз особи new!relations_name""),6,FALSE)
,
(IF
(
C2056=""юридична особа""
,
VLOOKUP"&amp;"(D2056,IMPORTRANGE(""https://docs.google.com/spreadsheets/d/14Bd19lYaqBhU8_DElYkX7l4wRkHqqCUFNJY4AfY3kHU/edit?usp=sharing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5" s="7" t="s">
        <v>10</v>
      </c>
      <c r="H2055" s="7">
        <v>0</v>
      </c>
      <c r="I2055" s="8" t="str">
        <f ca="1">IFERROR(__xludf.DUMMYFUNCTION("IF
(
G2056=""фізична особа""
,
VLOOKUP(H2056,IMPORTRANGE(""https://docs.google.com/spreadsheets/d/14Bd19lYaqBhU8_DElYkX7l4wRkHqqCUFNJY4AfY3kHU/edit?usp=sharing  #gid=0"",""фіз особи new!relations_name""),6,FALSE)
,
(IF
(
G2056=""юридична особа""
,
VLOOKUP"&amp;"(H2056,IMPORTRANGE(""https://docs.google.com/spreadsheets/d/14Bd19lYaqBhU8_DElYkX7l4wRkHqqCUFNJY4AfY3kHU/edit?usp=sharing  #gid=0"",""фіз особи new!relations_name_uo""),7,FALSE)
,
)
))"),"#N/A")</f>
        <v>#N/A</v>
      </c>
      <c r="J2055" s="7" t="s">
        <v>48</v>
      </c>
    </row>
    <row r="2056" spans="1:10" ht="13.2">
      <c r="A2056" s="7">
        <v>2055</v>
      </c>
      <c r="B2056" s="7">
        <v>1</v>
      </c>
      <c r="C2056" s="7" t="s">
        <v>10</v>
      </c>
      <c r="D2056" s="7">
        <v>609</v>
      </c>
      <c r="E2056" s="7" t="s">
        <v>48</v>
      </c>
      <c r="F2056" s="8" t="str">
        <f ca="1">IFERROR(__xludf.DUMMYFUNCTION("IF
(
C2057=""фізична особа""
,
VLOOKUP(D2057,IMPORTRANGE(""https://docs.google.com/spreadsheets/d/14Bd19lYaqBhU8_DElYkX7l4wRkHqqCUFNJY4AfY3kHU/edit?usp=sharing  #gid=0"",""фіз особи new!relations_name""),6,FALSE)
,
(IF
(
C2057=""юридична особа""
,
VLOOKUP"&amp;"(D2057,IMPORTRANGE(""https://docs.google.com/spreadsheets/d/14Bd19lYaqBhU8_DElYkX7l4wRkHqqCUFNJY4AfY3kHU/edit?usp=sharing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6" s="7" t="s">
        <v>10</v>
      </c>
      <c r="H2056" s="7">
        <v>0</v>
      </c>
      <c r="I2056" s="8" t="str">
        <f ca="1">IFERROR(__xludf.DUMMYFUNCTION("IF
(
G2057=""фізична особа""
,
VLOOKUP(H2057,IMPORTRANGE(""https://docs.google.com/spreadsheets/d/14Bd19lYaqBhU8_DElYkX7l4wRkHqqCUFNJY4AfY3kHU/edit?usp=sharing  #gid=0"",""фіз особи new!relations_name""),6,FALSE)
,
(IF
(
G2057=""юридична особа""
,
VLOOKUP"&amp;"(H2057,IMPORTRANGE(""https://docs.google.com/spreadsheets/d/14Bd19lYaqBhU8_DElYkX7l4wRkHqqCUFNJY4AfY3kHU/edit?usp=sharing  #gid=0"",""фіз особи new!relations_name_uo""),7,FALSE)
,
)
))"),"#N/A")</f>
        <v>#N/A</v>
      </c>
      <c r="J2056" s="7" t="s">
        <v>48</v>
      </c>
    </row>
    <row r="2057" spans="1:10" ht="13.2">
      <c r="A2057" s="7">
        <v>2056</v>
      </c>
      <c r="B2057" s="7">
        <v>1</v>
      </c>
      <c r="C2057" s="7" t="s">
        <v>10</v>
      </c>
      <c r="D2057" s="7">
        <v>609</v>
      </c>
      <c r="E2057" s="7" t="s">
        <v>48</v>
      </c>
      <c r="F2057" s="8" t="str">
        <f ca="1">IFERROR(__xludf.DUMMYFUNCTION("IF
(
C2058=""фізична особа""
,
VLOOKUP(D2058,IMPORTRANGE(""https://docs.google.com/spreadsheets/d/14Bd19lYaqBhU8_DElYkX7l4wRkHqqCUFNJY4AfY3kHU/edit?usp=sharing  #gid=0"",""фіз особи new!relations_name""),6,FALSE)
,
(IF
(
C2058=""юридична особа""
,
VLOOKUP"&amp;"(D2058,IMPORTRANGE(""https://docs.google.com/spreadsheets/d/14Bd19lYaqBhU8_DElYkX7l4wRkHqqCUFNJY4AfY3kHU/edit?usp=sharing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7" s="7" t="s">
        <v>10</v>
      </c>
      <c r="H2057" s="7">
        <v>0</v>
      </c>
      <c r="I2057" s="8" t="str">
        <f ca="1">IFERROR(__xludf.DUMMYFUNCTION("IF
(
G2058=""фізична особа""
,
VLOOKUP(H2058,IMPORTRANGE(""https://docs.google.com/spreadsheets/d/14Bd19lYaqBhU8_DElYkX7l4wRkHqqCUFNJY4AfY3kHU/edit?usp=sharing  #gid=0"",""фіз особи new!relations_name""),6,FALSE)
,
(IF
(
G2058=""юридична особа""
,
VLOOKUP"&amp;"(H2058,IMPORTRANGE(""https://docs.google.com/spreadsheets/d/14Bd19lYaqBhU8_DElYkX7l4wRkHqqCUFNJY4AfY3kHU/edit?usp=sharing  #gid=0"",""фіз особи new!relations_name_uo""),7,FALSE)
,
)
))"),"#N/A")</f>
        <v>#N/A</v>
      </c>
      <c r="J2057" s="7" t="s">
        <v>48</v>
      </c>
    </row>
    <row r="2058" spans="1:10" ht="13.2">
      <c r="A2058" s="7">
        <v>2057</v>
      </c>
      <c r="B2058" s="7">
        <v>1</v>
      </c>
      <c r="C2058" s="7" t="s">
        <v>10</v>
      </c>
      <c r="D2058" s="7">
        <v>609</v>
      </c>
      <c r="E2058" s="7" t="s">
        <v>48</v>
      </c>
      <c r="F2058" s="8" t="str">
        <f ca="1">IFERROR(__xludf.DUMMYFUNCTION("IF
(
C2059=""фізична особа""
,
VLOOKUP(D2059,IMPORTRANGE(""https://docs.google.com/spreadsheets/d/14Bd19lYaqBhU8_DElYkX7l4wRkHqqCUFNJY4AfY3kHU/edit?usp=sharing  #gid=0"",""фіз особи new!relations_name""),6,FALSE)
,
(IF
(
C2059=""юридична особа""
,
VLOOKUP"&amp;"(D2059,IMPORTRANGE(""https://docs.google.com/spreadsheets/d/14Bd19lYaqBhU8_DElYkX7l4wRkHqqCUFNJY4AfY3kHU/edit?usp=sharing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8" s="7" t="s">
        <v>10</v>
      </c>
      <c r="H2058" s="7">
        <v>0</v>
      </c>
      <c r="I2058" s="8" t="str">
        <f ca="1">IFERROR(__xludf.DUMMYFUNCTION("IF
(
G2059=""фізична особа""
,
VLOOKUP(H2059,IMPORTRANGE(""https://docs.google.com/spreadsheets/d/14Bd19lYaqBhU8_DElYkX7l4wRkHqqCUFNJY4AfY3kHU/edit?usp=sharing  #gid=0"",""фіз особи new!relations_name""),6,FALSE)
,
(IF
(
G2059=""юридична особа""
,
VLOOKUP"&amp;"(H2059,IMPORTRANGE(""https://docs.google.com/spreadsheets/d/14Bd19lYaqBhU8_DElYkX7l4wRkHqqCUFNJY4AfY3kHU/edit?usp=sharing  #gid=0"",""фіз особи new!relations_name_uo""),7,FALSE)
,
)
))"),"#N/A")</f>
        <v>#N/A</v>
      </c>
      <c r="J2058" s="7" t="s">
        <v>48</v>
      </c>
    </row>
    <row r="2059" spans="1:10" ht="13.2">
      <c r="A2059" s="7">
        <v>2058</v>
      </c>
      <c r="B2059" s="7">
        <v>1</v>
      </c>
      <c r="C2059" s="7" t="s">
        <v>10</v>
      </c>
      <c r="D2059" s="7">
        <v>609</v>
      </c>
      <c r="E2059" s="7" t="s">
        <v>29</v>
      </c>
      <c r="F2059" s="8" t="str">
        <f ca="1">IFERROR(__xludf.DUMMYFUNCTION("IF
(
C2060=""фізична особа""
,
VLOOKUP(D2060,IMPORTRANGE(""https://docs.google.com/spreadsheets/d/14Bd19lYaqBhU8_DElYkX7l4wRkHqqCUFNJY4AfY3kHU/edit?usp=sharing  #gid=0"",""фіз особи new!relations_name""),6,FALSE)
,
(IF
(
C2060=""юридична особа""
,
VLOOKUP"&amp;"(D2060,IMPORTRANGE(""https://docs.google.com/spreadsheets/d/14Bd19lYaqBhU8_DElYkX7l4wRkHqqCUFNJY4AfY3kHU/edit?usp=sharing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59" s="7" t="s">
        <v>10</v>
      </c>
      <c r="H2059" s="7">
        <v>0</v>
      </c>
      <c r="I2059" s="8" t="str">
        <f ca="1">IFERROR(__xludf.DUMMYFUNCTION("IF
(
G2060=""фізична особа""
,
VLOOKUP(H2060,IMPORTRANGE(""https://docs.google.com/spreadsheets/d/14Bd19lYaqBhU8_DElYkX7l4wRkHqqCUFNJY4AfY3kHU/edit?usp=sharing  #gid=0"",""фіз особи new!relations_name""),6,FALSE)
,
(IF
(
G2060=""юридична особа""
,
VLOOKUP"&amp;"(H2060,IMPORTRANGE(""https://docs.google.com/spreadsheets/d/14Bd19lYaqBhU8_DElYkX7l4wRkHqqCUFNJY4AfY3kHU/edit?usp=sharing  #gid=0"",""фіз особи new!relations_name_uo""),7,FALSE)
,
)
))"),"#N/A")</f>
        <v>#N/A</v>
      </c>
      <c r="J2059" s="7" t="s">
        <v>28</v>
      </c>
    </row>
    <row r="2060" spans="1:10" ht="13.2">
      <c r="A2060" s="7">
        <v>2059</v>
      </c>
      <c r="B2060" s="7">
        <v>1</v>
      </c>
      <c r="C2060" s="7" t="s">
        <v>10</v>
      </c>
      <c r="D2060" s="7">
        <v>609</v>
      </c>
      <c r="E2060" s="7" t="s">
        <v>29</v>
      </c>
      <c r="F2060" s="8" t="str">
        <f ca="1">IFERROR(__xludf.DUMMYFUNCTION("IF
(
C2061=""фізична особа""
,
VLOOKUP(D2061,IMPORTRANGE(""https://docs.google.com/spreadsheets/d/14Bd19lYaqBhU8_DElYkX7l4wRkHqqCUFNJY4AfY3kHU/edit?usp=sharing  #gid=0"",""фіз особи new!relations_name""),6,FALSE)
,
(IF
(
C2061=""юридична особа""
,
VLOOKUP"&amp;"(D2061,IMPORTRANGE(""https://docs.google.com/spreadsheets/d/14Bd19lYaqBhU8_DElYkX7l4wRkHqqCUFNJY4AfY3kHU/edit?usp=sharing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0" s="7" t="s">
        <v>10</v>
      </c>
      <c r="H2060" s="7">
        <v>0</v>
      </c>
      <c r="I2060" s="8" t="str">
        <f ca="1">IFERROR(__xludf.DUMMYFUNCTION("IF
(
G2061=""фізична особа""
,
VLOOKUP(H2061,IMPORTRANGE(""https://docs.google.com/spreadsheets/d/14Bd19lYaqBhU8_DElYkX7l4wRkHqqCUFNJY4AfY3kHU/edit?usp=sharing  #gid=0"",""фіз особи new!relations_name""),6,FALSE)
,
(IF
(
G2061=""юридична особа""
,
VLOOKUP"&amp;"(H2061,IMPORTRANGE(""https://docs.google.com/spreadsheets/d/14Bd19lYaqBhU8_DElYkX7l4wRkHqqCUFNJY4AfY3kHU/edit?usp=sharing  #gid=0"",""фіз особи new!relations_name_uo""),7,FALSE)
,
)
))"),"#N/A")</f>
        <v>#N/A</v>
      </c>
      <c r="J2060" s="7" t="s">
        <v>28</v>
      </c>
    </row>
    <row r="2061" spans="1:10" ht="13.2">
      <c r="A2061" s="7">
        <v>2060</v>
      </c>
      <c r="B2061" s="7">
        <v>1</v>
      </c>
      <c r="C2061" s="7" t="s">
        <v>10</v>
      </c>
      <c r="D2061" s="7">
        <v>609</v>
      </c>
      <c r="E2061" s="7" t="s">
        <v>11</v>
      </c>
      <c r="F2061" s="8" t="str">
        <f ca="1">IFERROR(__xludf.DUMMYFUNCTION("IF
(
C2062=""фізична особа""
,
VLOOKUP(D2062,IMPORTRANGE(""https://docs.google.com/spreadsheets/d/14Bd19lYaqBhU8_DElYkX7l4wRkHqqCUFNJY4AfY3kHU/edit?usp=sharing  #gid=0"",""фіз особи new!relations_name""),6,FALSE)
,
(IF
(
C2062=""юридична особа""
,
VLOOKUP"&amp;"(D2062,IMPORTRANGE(""https://docs.google.com/spreadsheets/d/14Bd19lYaqBhU8_DElYkX7l4wRkHqqCUFNJY4AfY3kHU/edit?usp=sharing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1" s="7" t="s">
        <v>10</v>
      </c>
      <c r="H2061" s="7">
        <v>0</v>
      </c>
      <c r="I2061" s="8" t="str">
        <f ca="1">IFERROR(__xludf.DUMMYFUNCTION("IF
(
G2062=""фізична особа""
,
VLOOKUP(H2062,IMPORTRANGE(""https://docs.google.com/spreadsheets/d/14Bd19lYaqBhU8_DElYkX7l4wRkHqqCUFNJY4AfY3kHU/edit?usp=sharing  #gid=0"",""фіз особи new!relations_name""),6,FALSE)
,
(IF
(
G2062=""юридична особа""
,
VLOOKUP"&amp;"(H2062,IMPORTRANGE(""https://docs.google.com/spreadsheets/d/14Bd19lYaqBhU8_DElYkX7l4wRkHqqCUFNJY4AfY3kHU/edit?usp=sharing  #gid=0"",""фіз особи new!relations_name_uo""),7,FALSE)
,
)
))"),"#N/A")</f>
        <v>#N/A</v>
      </c>
      <c r="J2061" s="7" t="s">
        <v>11</v>
      </c>
    </row>
    <row r="2062" spans="1:10" ht="13.2">
      <c r="A2062" s="7">
        <v>2061</v>
      </c>
      <c r="B2062" s="7">
        <v>1</v>
      </c>
      <c r="C2062" s="7" t="s">
        <v>10</v>
      </c>
      <c r="D2062" s="7">
        <v>609</v>
      </c>
      <c r="E2062" s="7" t="s">
        <v>29</v>
      </c>
      <c r="F2062" s="8" t="str">
        <f ca="1">IFERROR(__xludf.DUMMYFUNCTION("IF
(
C2063=""фізична особа""
,
VLOOKUP(D2063,IMPORTRANGE(""https://docs.google.com/spreadsheets/d/14Bd19lYaqBhU8_DElYkX7l4wRkHqqCUFNJY4AfY3kHU/edit?usp=sharing  #gid=0"",""фіз особи new!relations_name""),6,FALSE)
,
(IF
(
C2063=""юридична особа""
,
VLOOKUP"&amp;"(D2063,IMPORTRANGE(""https://docs.google.com/spreadsheets/d/14Bd19lYaqBhU8_DElYkX7l4wRkHqqCUFNJY4AfY3kHU/edit?usp=sharing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2" s="7" t="s">
        <v>10</v>
      </c>
      <c r="H2062" s="7">
        <v>0</v>
      </c>
      <c r="I2062" s="8" t="str">
        <f ca="1">IFERROR(__xludf.DUMMYFUNCTION("IF
(
G2063=""фізична особа""
,
VLOOKUP(H2063,IMPORTRANGE(""https://docs.google.com/spreadsheets/d/14Bd19lYaqBhU8_DElYkX7l4wRkHqqCUFNJY4AfY3kHU/edit?usp=sharing  #gid=0"",""фіз особи new!relations_name""),6,FALSE)
,
(IF
(
G2063=""юридична особа""
,
VLOOKUP"&amp;"(H2063,IMPORTRANGE(""https://docs.google.com/spreadsheets/d/14Bd19lYaqBhU8_DElYkX7l4wRkHqqCUFNJY4AfY3kHU/edit?usp=sharing  #gid=0"",""фіз особи new!relations_name_uo""),7,FALSE)
,
)
))"),"#N/A")</f>
        <v>#N/A</v>
      </c>
      <c r="J2062" s="7" t="s">
        <v>28</v>
      </c>
    </row>
    <row r="2063" spans="1:10" ht="13.2">
      <c r="A2063" s="7">
        <v>2062</v>
      </c>
      <c r="B2063" s="7">
        <v>1</v>
      </c>
      <c r="C2063" s="7" t="s">
        <v>10</v>
      </c>
      <c r="D2063" s="7">
        <v>609</v>
      </c>
      <c r="E2063" s="7" t="s">
        <v>29</v>
      </c>
      <c r="F2063" s="8" t="str">
        <f ca="1">IFERROR(__xludf.DUMMYFUNCTION("IF
(
C2064=""фізична особа""
,
VLOOKUP(D2064,IMPORTRANGE(""https://docs.google.com/spreadsheets/d/14Bd19lYaqBhU8_DElYkX7l4wRkHqqCUFNJY4AfY3kHU/edit?usp=sharing  #gid=0"",""фіз особи new!relations_name""),6,FALSE)
,
(IF
(
C2064=""юридична особа""
,
VLOOKUP"&amp;"(D2064,IMPORTRANGE(""https://docs.google.com/spreadsheets/d/14Bd19lYaqBhU8_DElYkX7l4wRkHqqCUFNJY4AfY3kHU/edit?usp=sharing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3" s="7" t="s">
        <v>10</v>
      </c>
      <c r="H2063" s="7">
        <v>0</v>
      </c>
      <c r="I2063" s="8" t="str">
        <f ca="1">IFERROR(__xludf.DUMMYFUNCTION("IF
(
G2064=""фізична особа""
,
VLOOKUP(H2064,IMPORTRANGE(""https://docs.google.com/spreadsheets/d/14Bd19lYaqBhU8_DElYkX7l4wRkHqqCUFNJY4AfY3kHU/edit?usp=sharing  #gid=0"",""фіз особи new!relations_name""),6,FALSE)
,
(IF
(
G2064=""юридична особа""
,
VLOOKUP"&amp;"(H2064,IMPORTRANGE(""https://docs.google.com/spreadsheets/d/14Bd19lYaqBhU8_DElYkX7l4wRkHqqCUFNJY4AfY3kHU/edit?usp=sharing  #gid=0"",""фіз особи new!relations_name_uo""),7,FALSE)
,
)
))"),"#N/A")</f>
        <v>#N/A</v>
      </c>
      <c r="J2063" s="7" t="s">
        <v>28</v>
      </c>
    </row>
    <row r="2064" spans="1:10" ht="13.2">
      <c r="A2064" s="7">
        <v>2063</v>
      </c>
      <c r="B2064" s="7">
        <v>1</v>
      </c>
      <c r="C2064" s="7" t="s">
        <v>10</v>
      </c>
      <c r="D2064" s="7">
        <v>609</v>
      </c>
      <c r="E2064" s="7" t="s">
        <v>48</v>
      </c>
      <c r="F2064" s="8" t="str">
        <f ca="1">IFERROR(__xludf.DUMMYFUNCTION("IF
(
C2065=""фізична особа""
,
VLOOKUP(D2065,IMPORTRANGE(""https://docs.google.com/spreadsheets/d/14Bd19lYaqBhU8_DElYkX7l4wRkHqqCUFNJY4AfY3kHU/edit?usp=sharing  #gid=0"",""фіз особи new!relations_name""),6,FALSE)
,
(IF
(
C2065=""юридична особа""
,
VLOOKUP"&amp;"(D2065,IMPORTRANGE(""https://docs.google.com/spreadsheets/d/14Bd19lYaqBhU8_DElYkX7l4wRkHqqCUFNJY4AfY3kHU/edit?usp=sharing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4" s="7" t="s">
        <v>10</v>
      </c>
      <c r="H2064" s="7">
        <v>9580</v>
      </c>
      <c r="I2064" s="8" t="str">
        <f ca="1">IFERROR(__xludf.DUMMYFUNCTION("IF
(
G2065=""фізична особа""
,
VLOOKUP(H2065,IMPORTRANGE(""https://docs.google.com/spreadsheets/d/14Bd19lYaqBhU8_DElYkX7l4wRkHqqCUFNJY4AfY3kHU/edit?usp=sharing  #gid=0"",""фіз особи new!relations_name""),6,FALSE)
,
(IF
(
G2065=""юридична особа""
,
VLOOKUP"&amp;"(H2065,IMPORTRANGE(""https://docs.google.com/spreadsheets/d/14Bd19lYaqBhU8_DElYkX7l4wRkHqqCUFNJY4AfY3kHU/edit?usp=sharing  #gid=0"",""фіз особи new!relations_name_uo""),7,FALSE)
,
)
))"),"ДАДАЄВ Муса Магомедович")</f>
        <v>ДАДАЄВ Муса Магомедович</v>
      </c>
      <c r="J2064" s="7" t="s">
        <v>48</v>
      </c>
    </row>
    <row r="2065" spans="1:10" ht="13.2">
      <c r="A2065" s="7">
        <v>2064</v>
      </c>
      <c r="B2065" s="7">
        <v>1</v>
      </c>
      <c r="C2065" s="7" t="s">
        <v>10</v>
      </c>
      <c r="D2065" s="7">
        <v>609</v>
      </c>
      <c r="E2065" s="7" t="s">
        <v>29</v>
      </c>
      <c r="F2065" s="8" t="str">
        <f ca="1">IFERROR(__xludf.DUMMYFUNCTION("IF
(
C2066=""фізична особа""
,
VLOOKUP(D2066,IMPORTRANGE(""https://docs.google.com/spreadsheets/d/14Bd19lYaqBhU8_DElYkX7l4wRkHqqCUFNJY4AfY3kHU/edit?usp=sharing  #gid=0"",""фіз особи new!relations_name""),6,FALSE)
,
(IF
(
C2066=""юридична особа""
,
VLOOKUP"&amp;"(D2066,IMPORTRANGE(""https://docs.google.com/spreadsheets/d/14Bd19lYaqBhU8_DElYkX7l4wRkHqqCUFNJY4AfY3kHU/edit?usp=sharing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5" s="7" t="s">
        <v>10</v>
      </c>
      <c r="H2065" s="7">
        <v>0</v>
      </c>
      <c r="I2065" s="8" t="str">
        <f ca="1">IFERROR(__xludf.DUMMYFUNCTION("IF
(
G2066=""фізична особа""
,
VLOOKUP(H2066,IMPORTRANGE(""https://docs.google.com/spreadsheets/d/14Bd19lYaqBhU8_DElYkX7l4wRkHqqCUFNJY4AfY3kHU/edit?usp=sharing  #gid=0"",""фіз особи new!relations_name""),6,FALSE)
,
(IF
(
G2066=""юридична особа""
,
VLOOKUP"&amp;"(H2066,IMPORTRANGE(""https://docs.google.com/spreadsheets/d/14Bd19lYaqBhU8_DElYkX7l4wRkHqqCUFNJY4AfY3kHU/edit?usp=sharing  #gid=0"",""фіз особи new!relations_name_uo""),7,FALSE)
,
)
))"),"#N/A")</f>
        <v>#N/A</v>
      </c>
      <c r="J2065" s="7" t="s">
        <v>28</v>
      </c>
    </row>
    <row r="2066" spans="1:10" ht="13.2">
      <c r="A2066" s="7">
        <v>2065</v>
      </c>
      <c r="B2066" s="7">
        <v>1</v>
      </c>
      <c r="C2066" s="7" t="s">
        <v>10</v>
      </c>
      <c r="D2066" s="7">
        <v>609</v>
      </c>
      <c r="E2066" s="7" t="s">
        <v>48</v>
      </c>
      <c r="F2066" s="8" t="str">
        <f ca="1">IFERROR(__xludf.DUMMYFUNCTION("IF
(
C2067=""фізична особа""
,
VLOOKUP(D2067,IMPORTRANGE(""https://docs.google.com/spreadsheets/d/14Bd19lYaqBhU8_DElYkX7l4wRkHqqCUFNJY4AfY3kHU/edit?usp=sharing  #gid=0"",""фіз особи new!relations_name""),6,FALSE)
,
(IF
(
C2067=""юридична особа""
,
VLOOKUP"&amp;"(D2067,IMPORTRANGE(""https://docs.google.com/spreadsheets/d/14Bd19lYaqBhU8_DElYkX7l4wRkHqqCUFNJY4AfY3kHU/edit?usp=sharing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6" s="7" t="s">
        <v>10</v>
      </c>
      <c r="H2066" s="7">
        <v>0</v>
      </c>
      <c r="I2066" s="8" t="str">
        <f ca="1">IFERROR(__xludf.DUMMYFUNCTION("IF
(
G2067=""фізична особа""
,
VLOOKUP(H2067,IMPORTRANGE(""https://docs.google.com/spreadsheets/d/14Bd19lYaqBhU8_DElYkX7l4wRkHqqCUFNJY4AfY3kHU/edit?usp=sharing  #gid=0"",""фіз особи new!relations_name""),6,FALSE)
,
(IF
(
G2067=""юридична особа""
,
VLOOKUP"&amp;"(H2067,IMPORTRANGE(""https://docs.google.com/spreadsheets/d/14Bd19lYaqBhU8_DElYkX7l4wRkHqqCUFNJY4AfY3kHU/edit?usp=sharing  #gid=0"",""фіз особи new!relations_name_uo""),7,FALSE)
,
)
))"),"#N/A")</f>
        <v>#N/A</v>
      </c>
      <c r="J2066" s="7" t="s">
        <v>48</v>
      </c>
    </row>
    <row r="2067" spans="1:10" ht="13.2">
      <c r="A2067" s="7">
        <v>2066</v>
      </c>
      <c r="B2067" s="7">
        <v>1</v>
      </c>
      <c r="C2067" s="7" t="s">
        <v>10</v>
      </c>
      <c r="D2067" s="7">
        <v>609</v>
      </c>
      <c r="E2067" s="7" t="s">
        <v>48</v>
      </c>
      <c r="F2067" s="8" t="str">
        <f ca="1">IFERROR(__xludf.DUMMYFUNCTION("IF
(
C2068=""фізична особа""
,
VLOOKUP(D2068,IMPORTRANGE(""https://docs.google.com/spreadsheets/d/14Bd19lYaqBhU8_DElYkX7l4wRkHqqCUFNJY4AfY3kHU/edit?usp=sharing  #gid=0"",""фіз особи new!relations_name""),6,FALSE)
,
(IF
(
C2068=""юридична особа""
,
VLOOKUP"&amp;"(D2068,IMPORTRANGE(""https://docs.google.com/spreadsheets/d/14Bd19lYaqBhU8_DElYkX7l4wRkHqqCUFNJY4AfY3kHU/edit?usp=sharing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7" s="7" t="s">
        <v>10</v>
      </c>
      <c r="H2067" s="7">
        <v>0</v>
      </c>
      <c r="I2067" s="8" t="str">
        <f ca="1">IFERROR(__xludf.DUMMYFUNCTION("IF
(
G2068=""фізична особа""
,
VLOOKUP(H2068,IMPORTRANGE(""https://docs.google.com/spreadsheets/d/14Bd19lYaqBhU8_DElYkX7l4wRkHqqCUFNJY4AfY3kHU/edit?usp=sharing  #gid=0"",""фіз особи new!relations_name""),6,FALSE)
,
(IF
(
G2068=""юридична особа""
,
VLOOKUP"&amp;"(H2068,IMPORTRANGE(""https://docs.google.com/spreadsheets/d/14Bd19lYaqBhU8_DElYkX7l4wRkHqqCUFNJY4AfY3kHU/edit?usp=sharing  #gid=0"",""фіз особи new!relations_name_uo""),7,FALSE)
,
)
))"),"#N/A")</f>
        <v>#N/A</v>
      </c>
      <c r="J2067" s="7" t="s">
        <v>48</v>
      </c>
    </row>
    <row r="2068" spans="1:10" ht="13.2">
      <c r="A2068" s="7">
        <v>2067</v>
      </c>
      <c r="B2068" s="7">
        <v>1</v>
      </c>
      <c r="C2068" s="7" t="s">
        <v>10</v>
      </c>
      <c r="D2068" s="7">
        <v>609</v>
      </c>
      <c r="E2068" s="7" t="s">
        <v>29</v>
      </c>
      <c r="F2068" s="8" t="str">
        <f ca="1">IFERROR(__xludf.DUMMYFUNCTION("IF
(
C2069=""фізична особа""
,
VLOOKUP(D2069,IMPORTRANGE(""https://docs.google.com/spreadsheets/d/14Bd19lYaqBhU8_DElYkX7l4wRkHqqCUFNJY4AfY3kHU/edit?usp=sharing  #gid=0"",""фіз особи new!relations_name""),6,FALSE)
,
(IF
(
C2069=""юридична особа""
,
VLOOKUP"&amp;"(D2069,IMPORTRANGE(""https://docs.google.com/spreadsheets/d/14Bd19lYaqBhU8_DElYkX7l4wRkHqqCUFNJY4AfY3kHU/edit?usp=sharing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8" s="7" t="s">
        <v>10</v>
      </c>
      <c r="H2068" s="7">
        <v>0</v>
      </c>
      <c r="I2068" s="8" t="str">
        <f ca="1">IFERROR(__xludf.DUMMYFUNCTION("IF
(
G2069=""фізична особа""
,
VLOOKUP(H2069,IMPORTRANGE(""https://docs.google.com/spreadsheets/d/14Bd19lYaqBhU8_DElYkX7l4wRkHqqCUFNJY4AfY3kHU/edit?usp=sharing  #gid=0"",""фіз особи new!relations_name""),6,FALSE)
,
(IF
(
G2069=""юридична особа""
,
VLOOKUP"&amp;"(H2069,IMPORTRANGE(""https://docs.google.com/spreadsheets/d/14Bd19lYaqBhU8_DElYkX7l4wRkHqqCUFNJY4AfY3kHU/edit?usp=sharing  #gid=0"",""фіз особи new!relations_name_uo""),7,FALSE)
,
)
))"),"#N/A")</f>
        <v>#N/A</v>
      </c>
      <c r="J2068" s="7" t="s">
        <v>28</v>
      </c>
    </row>
    <row r="2069" spans="1:10" ht="13.2">
      <c r="A2069" s="7">
        <v>2068</v>
      </c>
      <c r="B2069" s="7">
        <v>1</v>
      </c>
      <c r="C2069" s="7" t="s">
        <v>10</v>
      </c>
      <c r="D2069" s="7">
        <v>609</v>
      </c>
      <c r="E2069" s="7" t="s">
        <v>48</v>
      </c>
      <c r="F2069" s="8" t="str">
        <f ca="1">IFERROR(__xludf.DUMMYFUNCTION("IF
(
C2070=""фізична особа""
,
VLOOKUP(D2070,IMPORTRANGE(""https://docs.google.com/spreadsheets/d/14Bd19lYaqBhU8_DElYkX7l4wRkHqqCUFNJY4AfY3kHU/edit?usp=sharing  #gid=0"",""фіз особи new!relations_name""),6,FALSE)
,
(IF
(
C2070=""юридична особа""
,
VLOOKUP"&amp;"(D2070,IMPORTRANGE(""https://docs.google.com/spreadsheets/d/14Bd19lYaqBhU8_DElYkX7l4wRkHqqCUFNJY4AfY3kHU/edit?usp=sharing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G2069" s="7" t="s">
        <v>10</v>
      </c>
      <c r="H2069" s="7">
        <v>0</v>
      </c>
      <c r="I2069" s="8" t="str">
        <f ca="1">IFERROR(__xludf.DUMMYFUNCTION("IF
(
G2070=""фізична особа""
,
VLOOKUP(H2070,IMPORTRANGE(""https://docs.google.com/spreadsheets/d/14Bd19lYaqBhU8_DElYkX7l4wRkHqqCUFNJY4AfY3kHU/edit?usp=sharing  #gid=0"",""фіз особи new!relations_name""),6,FALSE)
,
(IF
(
G2070=""юридична особа""
,
VLOOKUP"&amp;"(H2070,IMPORTRANGE(""https://docs.google.com/spreadsheets/d/14Bd19lYaqBhU8_DElYkX7l4wRkHqqCUFNJY4AfY3kHU/edit?usp=sharing  #gid=0"",""фіз особи new!relations_name_uo""),7,FALSE)
,
)
))"),"#N/A")</f>
        <v>#N/A</v>
      </c>
      <c r="J2069" s="7" t="s">
        <v>48</v>
      </c>
    </row>
    <row r="2070" spans="1:10" ht="13.2">
      <c r="A2070" s="7">
        <v>2069</v>
      </c>
      <c r="B2070" s="7">
        <v>1</v>
      </c>
      <c r="C2070" s="7" t="s">
        <v>10</v>
      </c>
      <c r="D2070" s="7">
        <v>610</v>
      </c>
      <c r="E2070" s="7" t="s">
        <v>12</v>
      </c>
      <c r="F2070" s="8" t="str">
        <f ca="1">IFERROR(__xludf.DUMMYFUNCTION("IF
(
C2071=""фізична особа""
,
VLOOKUP(D2071,IMPORTRANGE(""https://docs.google.com/spreadsheets/d/14Bd19lYaqBhU8_DElYkX7l4wRkHqqCUFNJY4AfY3kHU/edit?usp=sharing  #gid=0"",""фіз особи new!relations_name""),6,FALSE)
,
(IF
(
C2071=""юридична особа""
,
VLOOKUP"&amp;"(D2071,IMPORTRANGE(""https://docs.google.com/spreadsheets/d/14Bd19lYaqBhU8_DElYkX7l4wRkHqqCUFNJY4AfY3kHU/edit?usp=sharing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0" s="7" t="s">
        <v>10</v>
      </c>
      <c r="H2070" s="7">
        <v>0</v>
      </c>
      <c r="I2070" s="8" t="str">
        <f ca="1">IFERROR(__xludf.DUMMYFUNCTION("IF
(
G2071=""фізична особа""
,
VLOOKUP(H2071,IMPORTRANGE(""https://docs.google.com/spreadsheets/d/14Bd19lYaqBhU8_DElYkX7l4wRkHqqCUFNJY4AfY3kHU/edit?usp=sharing  #gid=0"",""фіз особи new!relations_name""),6,FALSE)
,
(IF
(
G2071=""юридична особа""
,
VLOOKUP"&amp;"(H2071,IMPORTRANGE(""https://docs.google.com/spreadsheets/d/14Bd19lYaqBhU8_DElYkX7l4wRkHqqCUFNJY4AfY3kHU/edit?usp=sharing  #gid=0"",""фіз особи new!relations_name_uo""),7,FALSE)
,
)
))"),"#N/A")</f>
        <v>#N/A</v>
      </c>
      <c r="J2070" s="7" t="s">
        <v>17</v>
      </c>
    </row>
    <row r="2071" spans="1:10" ht="13.2">
      <c r="A2071" s="7">
        <v>2070</v>
      </c>
      <c r="B2071" s="7">
        <v>1</v>
      </c>
      <c r="C2071" s="7" t="s">
        <v>10</v>
      </c>
      <c r="D2071" s="7">
        <v>610</v>
      </c>
      <c r="E2071" s="7" t="s">
        <v>12</v>
      </c>
      <c r="F2071" s="8" t="str">
        <f ca="1">IFERROR(__xludf.DUMMYFUNCTION("IF
(
C2072=""фізична особа""
,
VLOOKUP(D2072,IMPORTRANGE(""https://docs.google.com/spreadsheets/d/14Bd19lYaqBhU8_DElYkX7l4wRkHqqCUFNJY4AfY3kHU/edit?usp=sharing  #gid=0"",""фіз особи new!relations_name""),6,FALSE)
,
(IF
(
C2072=""юридична особа""
,
VLOOKUP"&amp;"(D2072,IMPORTRANGE(""https://docs.google.com/spreadsheets/d/14Bd19lYaqBhU8_DElYkX7l4wRkHqqCUFNJY4AfY3kHU/edit?usp=sharing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1" s="7" t="s">
        <v>10</v>
      </c>
      <c r="H2071" s="7">
        <v>0</v>
      </c>
      <c r="I2071" s="8" t="str">
        <f ca="1">IFERROR(__xludf.DUMMYFUNCTION("IF
(
G2072=""фізична особа""
,
VLOOKUP(H2072,IMPORTRANGE(""https://docs.google.com/spreadsheets/d/14Bd19lYaqBhU8_DElYkX7l4wRkHqqCUFNJY4AfY3kHU/edit?usp=sharing  #gid=0"",""фіз особи new!relations_name""),6,FALSE)
,
(IF
(
G2072=""юридична особа""
,
VLOOKUP"&amp;"(H2072,IMPORTRANGE(""https://docs.google.com/spreadsheets/d/14Bd19lYaqBhU8_DElYkX7l4wRkHqqCUFNJY4AfY3kHU/edit?usp=sharing  #gid=0"",""фіз особи new!relations_name_uo""),7,FALSE)
,
)
))"),"#N/A")</f>
        <v>#N/A</v>
      </c>
      <c r="J2071" s="7" t="s">
        <v>17</v>
      </c>
    </row>
    <row r="2072" spans="1:10" ht="13.2">
      <c r="A2072" s="7">
        <v>2071</v>
      </c>
      <c r="B2072" s="7">
        <v>1</v>
      </c>
      <c r="C2072" s="7" t="s">
        <v>10</v>
      </c>
      <c r="D2072" s="7">
        <v>610</v>
      </c>
      <c r="E2072" s="7" t="s">
        <v>14</v>
      </c>
      <c r="F2072" s="8" t="str">
        <f ca="1">IFERROR(__xludf.DUMMYFUNCTION("IF
(
C2073=""фізична особа""
,
VLOOKUP(D2073,IMPORTRANGE(""https://docs.google.com/spreadsheets/d/14Bd19lYaqBhU8_DElYkX7l4wRkHqqCUFNJY4AfY3kHU/edit?usp=sharing  #gid=0"",""фіз особи new!relations_name""),6,FALSE)
,
(IF
(
C2073=""юридична особа""
,
VLOOKUP"&amp;"(D2073,IMPORTRANGE(""https://docs.google.com/spreadsheets/d/14Bd19lYaqBhU8_DElYkX7l4wRkHqqCUFNJY4AfY3kHU/edit?usp=sharing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2" s="7" t="s">
        <v>10</v>
      </c>
      <c r="H2072" s="7">
        <v>0</v>
      </c>
      <c r="I2072" s="8" t="str">
        <f ca="1">IFERROR(__xludf.DUMMYFUNCTION("IF
(
G2073=""фізична особа""
,
VLOOKUP(H2073,IMPORTRANGE(""https://docs.google.com/spreadsheets/d/14Bd19lYaqBhU8_DElYkX7l4wRkHqqCUFNJY4AfY3kHU/edit?usp=sharing  #gid=0"",""фіз особи new!relations_name""),6,FALSE)
,
(IF
(
G2073=""юридична особа""
,
VLOOKUP"&amp;"(H2073,IMPORTRANGE(""https://docs.google.com/spreadsheets/d/14Bd19lYaqBhU8_DElYkX7l4wRkHqqCUFNJY4AfY3kHU/edit?usp=sharing  #gid=0"",""фіз особи new!relations_name_uo""),7,FALSE)
,
)
))"),"#N/A")</f>
        <v>#N/A</v>
      </c>
      <c r="J2072" s="7" t="s">
        <v>15</v>
      </c>
    </row>
    <row r="2073" spans="1:10" ht="13.2">
      <c r="A2073" s="7">
        <v>2072</v>
      </c>
      <c r="B2073" s="7">
        <v>1</v>
      </c>
      <c r="C2073" s="7" t="s">
        <v>10</v>
      </c>
      <c r="D2073" s="7">
        <v>610</v>
      </c>
      <c r="E2073" s="7" t="s">
        <v>48</v>
      </c>
      <c r="F2073" s="8" t="str">
        <f ca="1">IFERROR(__xludf.DUMMYFUNCTION("IF
(
C2074=""фізична особа""
,
VLOOKUP(D2074,IMPORTRANGE(""https://docs.google.com/spreadsheets/d/14Bd19lYaqBhU8_DElYkX7l4wRkHqqCUFNJY4AfY3kHU/edit?usp=sharing  #gid=0"",""фіз особи new!relations_name""),6,FALSE)
,
(IF
(
C2074=""юридична особа""
,
VLOOKUP"&amp;"(D2074,IMPORTRANGE(""https://docs.google.com/spreadsheets/d/14Bd19lYaqBhU8_DElYkX7l4wRkHqqCUFNJY4AfY3kHU/edit?usp=sharing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3" s="7" t="s">
        <v>10</v>
      </c>
      <c r="H2073" s="7">
        <v>572</v>
      </c>
      <c r="I2073" s="8" t="str">
        <f ca="1">IFERROR(__xludf.DUMMYFUNCTION("IF
(
G2074=""фізична особа""
,
VLOOKUP(H2074,IMPORTRANGE(""https://docs.google.com/spreadsheets/d/14Bd19lYaqBhU8_DElYkX7l4wRkHqqCUFNJY4AfY3kHU/edit?usp=sharing  #gid=0"",""фіз особи new!relations_name""),6,FALSE)
,
(IF
(
G2074=""юридична особа""
,
VLOOKUP"&amp;"(H2074,IMPORTRANGE(""https://docs.google.com/spreadsheets/d/14Bd19lYaqBhU8_DElYkX7l4wRkHqqCUFNJY4AfY3kHU/edit?usp=sharing  #gid=0"",""фіз особи new!relations_name_uo""),7,FALSE)
,
)
))"),"АЛІМОВА Ольга Миколаївна")</f>
        <v>АЛІМОВА Ольга Миколаївна</v>
      </c>
      <c r="J2073" s="7" t="s">
        <v>48</v>
      </c>
    </row>
    <row r="2074" spans="1:10" ht="13.2">
      <c r="A2074" s="7">
        <v>2073</v>
      </c>
      <c r="B2074" s="7">
        <v>1</v>
      </c>
      <c r="C2074" s="7" t="s">
        <v>10</v>
      </c>
      <c r="D2074" s="7">
        <v>610</v>
      </c>
      <c r="E2074" s="7" t="s">
        <v>29</v>
      </c>
      <c r="F2074" s="8" t="str">
        <f ca="1">IFERROR(__xludf.DUMMYFUNCTION("IF
(
C2075=""фізична особа""
,
VLOOKUP(D2075,IMPORTRANGE(""https://docs.google.com/spreadsheets/d/14Bd19lYaqBhU8_DElYkX7l4wRkHqqCUFNJY4AfY3kHU/edit?usp=sharing  #gid=0"",""фіз особи new!relations_name""),6,FALSE)
,
(IF
(
C2075=""юридична особа""
,
VLOOKUP"&amp;"(D2075,IMPORTRANGE(""https://docs.google.com/spreadsheets/d/14Bd19lYaqBhU8_DElYkX7l4wRkHqqCUFNJY4AfY3kHU/edit?usp=sharing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4" s="7" t="s">
        <v>10</v>
      </c>
      <c r="H2074" s="7">
        <v>0</v>
      </c>
      <c r="I2074" s="8" t="str">
        <f ca="1">IFERROR(__xludf.DUMMYFUNCTION("IF
(
G2075=""фізична особа""
,
VLOOKUP(H2075,IMPORTRANGE(""https://docs.google.com/spreadsheets/d/14Bd19lYaqBhU8_DElYkX7l4wRkHqqCUFNJY4AfY3kHU/edit?usp=sharing  #gid=0"",""фіз особи new!relations_name""),6,FALSE)
,
(IF
(
G2075=""юридична особа""
,
VLOOKUP"&amp;"(H2075,IMPORTRANGE(""https://docs.google.com/spreadsheets/d/14Bd19lYaqBhU8_DElYkX7l4wRkHqqCUFNJY4AfY3kHU/edit?usp=sharing  #gid=0"",""фіз особи new!relations_name_uo""),7,FALSE)
,
)
))"),"#N/A")</f>
        <v>#N/A</v>
      </c>
      <c r="J2074" s="7" t="s">
        <v>28</v>
      </c>
    </row>
    <row r="2075" spans="1:10" ht="13.2">
      <c r="A2075" s="7">
        <v>2074</v>
      </c>
      <c r="B2075" s="7">
        <v>1</v>
      </c>
      <c r="C2075" s="7" t="s">
        <v>10</v>
      </c>
      <c r="D2075" s="7">
        <v>610</v>
      </c>
      <c r="E2075" s="7" t="s">
        <v>48</v>
      </c>
      <c r="F2075" s="8" t="str">
        <f ca="1">IFERROR(__xludf.DUMMYFUNCTION("IF
(
C2076=""фізична особа""
,
VLOOKUP(D2076,IMPORTRANGE(""https://docs.google.com/spreadsheets/d/14Bd19lYaqBhU8_DElYkX7l4wRkHqqCUFNJY4AfY3kHU/edit?usp=sharing  #gid=0"",""фіз особи new!relations_name""),6,FALSE)
,
(IF
(
C2076=""юридична особа""
,
VLOOKUP"&amp;"(D2076,IMPORTRANGE(""https://docs.google.com/spreadsheets/d/14Bd19lYaqBhU8_DElYkX7l4wRkHqqCUFNJY4AfY3kHU/edit?usp=sharing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5" s="7" t="s">
        <v>10</v>
      </c>
      <c r="H2075" s="7">
        <v>0</v>
      </c>
      <c r="I2075" s="8" t="str">
        <f ca="1">IFERROR(__xludf.DUMMYFUNCTION("IF
(
G2076=""фізична особа""
,
VLOOKUP(H2076,IMPORTRANGE(""https://docs.google.com/spreadsheets/d/14Bd19lYaqBhU8_DElYkX7l4wRkHqqCUFNJY4AfY3kHU/edit?usp=sharing  #gid=0"",""фіз особи new!relations_name""),6,FALSE)
,
(IF
(
G2076=""юридична особа""
,
VLOOKUP"&amp;"(H2076,IMPORTRANGE(""https://docs.google.com/spreadsheets/d/14Bd19lYaqBhU8_DElYkX7l4wRkHqqCUFNJY4AfY3kHU/edit?usp=sharing  #gid=0"",""фіз особи new!relations_name_uo""),7,FALSE)
,
)
))"),"#N/A")</f>
        <v>#N/A</v>
      </c>
      <c r="J2075" s="7" t="s">
        <v>48</v>
      </c>
    </row>
    <row r="2076" spans="1:10" ht="13.2">
      <c r="A2076" s="7">
        <v>2075</v>
      </c>
      <c r="B2076" s="7">
        <v>1</v>
      </c>
      <c r="C2076" s="7" t="s">
        <v>10</v>
      </c>
      <c r="D2076" s="7">
        <v>610</v>
      </c>
      <c r="E2076" s="7" t="s">
        <v>48</v>
      </c>
      <c r="F2076" s="8" t="str">
        <f ca="1">IFERROR(__xludf.DUMMYFUNCTION("IF
(
C2077=""фізична особа""
,
VLOOKUP(D2077,IMPORTRANGE(""https://docs.google.com/spreadsheets/d/14Bd19lYaqBhU8_DElYkX7l4wRkHqqCUFNJY4AfY3kHU/edit?usp=sharing  #gid=0"",""фіз особи new!relations_name""),6,FALSE)
,
(IF
(
C2077=""юридична особа""
,
VLOOKUP"&amp;"(D2077,IMPORTRANGE(""https://docs.google.com/spreadsheets/d/14Bd19lYaqBhU8_DElYkX7l4wRkHqqCUFNJY4AfY3kHU/edit?usp=sharing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6" s="7" t="s">
        <v>10</v>
      </c>
      <c r="H2076" s="7">
        <v>0</v>
      </c>
      <c r="I2076" s="8" t="str">
        <f ca="1">IFERROR(__xludf.DUMMYFUNCTION("IF
(
G2077=""фізична особа""
,
VLOOKUP(H2077,IMPORTRANGE(""https://docs.google.com/spreadsheets/d/14Bd19lYaqBhU8_DElYkX7l4wRkHqqCUFNJY4AfY3kHU/edit?usp=sharing  #gid=0"",""фіз особи new!relations_name""),6,FALSE)
,
(IF
(
G2077=""юридична особа""
,
VLOOKUP"&amp;"(H2077,IMPORTRANGE(""https://docs.google.com/spreadsheets/d/14Bd19lYaqBhU8_DElYkX7l4wRkHqqCUFNJY4AfY3kHU/edit?usp=sharing  #gid=0"",""фіз особи new!relations_name_uo""),7,FALSE)
,
)
))"),"#N/A")</f>
        <v>#N/A</v>
      </c>
      <c r="J2076" s="7" t="s">
        <v>48</v>
      </c>
    </row>
    <row r="2077" spans="1:10" ht="13.2">
      <c r="A2077" s="7">
        <v>2076</v>
      </c>
      <c r="B2077" s="7">
        <v>1</v>
      </c>
      <c r="C2077" s="7" t="s">
        <v>10</v>
      </c>
      <c r="D2077" s="7">
        <v>610</v>
      </c>
      <c r="E2077" s="7" t="s">
        <v>48</v>
      </c>
      <c r="F2077" s="8" t="str">
        <f ca="1">IFERROR(__xludf.DUMMYFUNCTION("IF
(
C2078=""фізична особа""
,
VLOOKUP(D2078,IMPORTRANGE(""https://docs.google.com/spreadsheets/d/14Bd19lYaqBhU8_DElYkX7l4wRkHqqCUFNJY4AfY3kHU/edit?usp=sharing  #gid=0"",""фіз особи new!relations_name""),6,FALSE)
,
(IF
(
C2078=""юридична особа""
,
VLOOKUP"&amp;"(D2078,IMPORTRANGE(""https://docs.google.com/spreadsheets/d/14Bd19lYaqBhU8_DElYkX7l4wRkHqqCUFNJY4AfY3kHU/edit?usp=sharing  #gid=0"",""фіз особи new!relations_name_uo""),7,FALSE)
,
)
))"),"РАШКІН Валерій Федорович")</f>
        <v>РАШКІН Валерій Федорович</v>
      </c>
      <c r="G2077" s="7" t="s">
        <v>10</v>
      </c>
      <c r="H2077" s="7">
        <v>267</v>
      </c>
      <c r="I2077" s="8" t="str">
        <f ca="1">IFERROR(__xludf.DUMMYFUNCTION("IF
(
G2078=""фізична особа""
,
VLOOKUP(H2078,IMPORTRANGE(""https://docs.google.com/spreadsheets/d/14Bd19lYaqBhU8_DElYkX7l4wRkHqqCUFNJY4AfY3kHU/edit?usp=sharing  #gid=0"",""фіз особи new!relations_name""),6,FALSE)
,
(IF
(
G2078=""юридична особа""
,
VLOOKUP"&amp;"(H2078,IMPORTRANGE(""https://docs.google.com/spreadsheets/d/14Bd19lYaqBhU8_DElYkX7l4wRkHqqCUFNJY4AfY3kHU/edit?usp=sharing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2077" s="7" t="s">
        <v>48</v>
      </c>
    </row>
    <row r="2078" spans="1:10" ht="13.2">
      <c r="A2078" s="7">
        <v>2077</v>
      </c>
      <c r="B2078" s="7">
        <v>1</v>
      </c>
      <c r="C2078" s="7" t="s">
        <v>10</v>
      </c>
      <c r="D2078" s="7">
        <v>611</v>
      </c>
      <c r="E2078" s="7" t="s">
        <v>48</v>
      </c>
      <c r="F2078" s="8" t="str">
        <f ca="1">IFERROR(__xludf.DUMMYFUNCTION("IF
(
C2079=""фізична особа""
,
VLOOKUP(D2079,IMPORTRANGE(""https://docs.google.com/spreadsheets/d/14Bd19lYaqBhU8_DElYkX7l4wRkHqqCUFNJY4AfY3kHU/edit?usp=sharing  #gid=0"",""фіз особи new!relations_name""),6,FALSE)
,
(IF
(
C2079=""юридична особа""
,
VLOOKUP"&amp;"(D2079,IMPORTRANGE(""https://docs.google.com/spreadsheets/d/14Bd19lYaqBhU8_DElYkX7l4wRkHqqCUFNJY4AfY3kHU/edit?usp=sharing  #gid=0"",""фіз особи new!relations_name_uo""),7,FALSE)
,
)
))"),"СУЛЕЙМАНОВ Ренат Ісмаїлович")</f>
        <v>СУЛЕЙМАНОВ Ренат Ісмаїлович</v>
      </c>
      <c r="G2078" s="7" t="s">
        <v>10</v>
      </c>
      <c r="H2078" s="7">
        <v>4214</v>
      </c>
      <c r="I2078" s="8" t="str">
        <f ca="1">IFERROR(__xludf.DUMMYFUNCTION("IF
(
G2079=""фізична особа""
,
VLOOKUP(H2079,IMPORTRANGE(""https://docs.google.com/spreadsheets/d/14Bd19lYaqBhU8_DElYkX7l4wRkHqqCUFNJY4AfY3kHU/edit?usp=sharing  #gid=0"",""фіз особи new!relations_name""),6,FALSE)
,
(IF
(
G2079=""юридична особа""
,
VLOOKUP"&amp;"(H2079,IMPORTRANGE(""https://docs.google.com/spreadsheets/d/14Bd19lYaqBhU8_DElYkX7l4wRkHqqCUFNJY4AfY3kHU/edit?usp=sharing  #gid=0"",""фіз особи new!relations_name_uo""),7,FALSE)
,
)
))"),"ЛОКОТЬ Анатолій Євгенович")</f>
        <v>ЛОКОТЬ Анатолій Євгенович</v>
      </c>
      <c r="J2078" s="7" t="s">
        <v>48</v>
      </c>
    </row>
    <row r="2079" spans="1:10" ht="13.2">
      <c r="A2079" s="7">
        <v>2078</v>
      </c>
      <c r="B2079" s="7">
        <v>1</v>
      </c>
      <c r="C2079" s="7" t="s">
        <v>10</v>
      </c>
      <c r="D2079" s="7">
        <v>612</v>
      </c>
      <c r="E2079" s="7" t="s">
        <v>14</v>
      </c>
      <c r="F2079" s="8" t="str">
        <f ca="1">IFERROR(__xludf.DUMMYFUNCTION("IF
(
C2080=""фізична особа""
,
VLOOKUP(D2080,IMPORTRANGE(""https://docs.google.com/spreadsheets/d/14Bd19lYaqBhU8_DElYkX7l4wRkHqqCUFNJY4AfY3kHU/edit?usp=sharing  #gid=0"",""фіз особи new!relations_name""),6,FALSE)
,
(IF
(
C2080=""юридична особа""
,
VLOOKUP"&amp;"(D2080,IMPORTRANGE(""https://docs.google.com/spreadsheets/d/14Bd19lYaqBhU8_DElYkX7l4wRkHqqCUFNJY4AfY3kHU/edit?usp=sharing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G2079" s="7" t="s">
        <v>10</v>
      </c>
      <c r="H2079" s="7">
        <v>0</v>
      </c>
      <c r="I2079" s="8" t="str">
        <f ca="1">IFERROR(__xludf.DUMMYFUNCTION("IF
(
G2080=""фізична особа""
,
VLOOKUP(H2080,IMPORTRANGE(""https://docs.google.com/spreadsheets/d/14Bd19lYaqBhU8_DElYkX7l4wRkHqqCUFNJY4AfY3kHU/edit?usp=sharing  #gid=0"",""фіз особи new!relations_name""),6,FALSE)
,
(IF
(
G2080=""юридична особа""
,
VLOOKUP"&amp;"(H2080,IMPORTRANGE(""https://docs.google.com/spreadsheets/d/14Bd19lYaqBhU8_DElYkX7l4wRkHqqCUFNJY4AfY3kHU/edit?usp=sharing  #gid=0"",""фіз особи new!relations_name_uo""),7,FALSE)
,
)
))"),"#N/A")</f>
        <v>#N/A</v>
      </c>
      <c r="J2079" s="7" t="s">
        <v>15</v>
      </c>
    </row>
    <row r="2080" spans="1:10" ht="13.2">
      <c r="A2080" s="7">
        <v>2079</v>
      </c>
      <c r="B2080" s="7">
        <v>1</v>
      </c>
      <c r="C2080" s="7" t="s">
        <v>10</v>
      </c>
      <c r="D2080" s="7">
        <v>612</v>
      </c>
      <c r="E2080" s="7" t="s">
        <v>12</v>
      </c>
      <c r="F2080" s="8" t="str">
        <f ca="1">IFERROR(__xludf.DUMMYFUNCTION("IF
(
C2081=""фізична особа""
,
VLOOKUP(D2081,IMPORTRANGE(""https://docs.google.com/spreadsheets/d/14Bd19lYaqBhU8_DElYkX7l4wRkHqqCUFNJY4AfY3kHU/edit?usp=sharing  #gid=0"",""фіз особи new!relations_name""),6,FALSE)
,
(IF
(
C2081=""юридична особа""
,
VLOOKUP"&amp;"(D2081,IMPORTRANGE(""https://docs.google.com/spreadsheets/d/14Bd19lYaqBhU8_DElYkX7l4wRkHqqCUFNJY4AfY3kHU/edit?usp=sharing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G2080" s="7" t="s">
        <v>10</v>
      </c>
      <c r="H2080" s="7">
        <v>0</v>
      </c>
      <c r="I2080" s="8" t="str">
        <f ca="1">IFERROR(__xludf.DUMMYFUNCTION("IF
(
G2081=""фізична особа""
,
VLOOKUP(H2081,IMPORTRANGE(""https://docs.google.com/spreadsheets/d/14Bd19lYaqBhU8_DElYkX7l4wRkHqqCUFNJY4AfY3kHU/edit?usp=sharing  #gid=0"",""фіз особи new!relations_name""),6,FALSE)
,
(IF
(
G2081=""юридична особа""
,
VLOOKUP"&amp;"(H2081,IMPORTRANGE(""https://docs.google.com/spreadsheets/d/14Bd19lYaqBhU8_DElYkX7l4wRkHqqCUFNJY4AfY3kHU/edit?usp=sharing  #gid=0"",""фіз особи new!relations_name_uo""),7,FALSE)
,
)
))"),"#N/A")</f>
        <v>#N/A</v>
      </c>
      <c r="J2080" s="7" t="s">
        <v>17</v>
      </c>
    </row>
    <row r="2081" spans="1:10" ht="13.2">
      <c r="A2081" s="7">
        <v>2080</v>
      </c>
      <c r="B2081" s="7">
        <v>1</v>
      </c>
      <c r="C2081" s="7" t="s">
        <v>10</v>
      </c>
      <c r="D2081" s="7">
        <v>612</v>
      </c>
      <c r="E2081" s="7" t="s">
        <v>12</v>
      </c>
      <c r="F2081" s="8" t="str">
        <f ca="1">IFERROR(__xludf.DUMMYFUNCTION("IF
(
C2082=""фізична особа""
,
VLOOKUP(D2082,IMPORTRANGE(""https://docs.google.com/spreadsheets/d/14Bd19lYaqBhU8_DElYkX7l4wRkHqqCUFNJY4AfY3kHU/edit?usp=sharing  #gid=0"",""фіз особи new!relations_name""),6,FALSE)
,
(IF
(
C2082=""юридична особа""
,
VLOOKUP"&amp;"(D2082,IMPORTRANGE(""https://docs.google.com/spreadsheets/d/14Bd19lYaqBhU8_DElYkX7l4wRkHqqCUFNJY4AfY3kHU/edit?usp=sharing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G2081" s="7" t="s">
        <v>10</v>
      </c>
      <c r="H2081" s="7">
        <v>0</v>
      </c>
      <c r="I2081" s="8" t="str">
        <f ca="1">IFERROR(__xludf.DUMMYFUNCTION("IF
(
G2082=""фізична особа""
,
VLOOKUP(H2082,IMPORTRANGE(""https://docs.google.com/spreadsheets/d/14Bd19lYaqBhU8_DElYkX7l4wRkHqqCUFNJY4AfY3kHU/edit?usp=sharing  #gid=0"",""фіз особи new!relations_name""),6,FALSE)
,
(IF
(
G2082=""юридична особа""
,
VLOOKUP"&amp;"(H2082,IMPORTRANGE(""https://docs.google.com/spreadsheets/d/14Bd19lYaqBhU8_DElYkX7l4wRkHqqCUFNJY4AfY3kHU/edit?usp=sharing  #gid=0"",""фіз особи new!relations_name_uo""),7,FALSE)
,
)
))"),"#N/A")</f>
        <v>#N/A</v>
      </c>
      <c r="J2081" s="7" t="s">
        <v>13</v>
      </c>
    </row>
    <row r="2082" spans="1:10" ht="13.2">
      <c r="A2082" s="7">
        <v>2081</v>
      </c>
      <c r="B2082" s="7">
        <v>1</v>
      </c>
      <c r="C2082" s="7" t="s">
        <v>10</v>
      </c>
      <c r="D2082" s="7">
        <v>612</v>
      </c>
      <c r="E2082" s="7" t="s">
        <v>12</v>
      </c>
      <c r="F2082" s="8" t="str">
        <f ca="1">IFERROR(__xludf.DUMMYFUNCTION("IF
(
C2083=""фізична особа""
,
VLOOKUP(D2083,IMPORTRANGE(""https://docs.google.com/spreadsheets/d/14Bd19lYaqBhU8_DElYkX7l4wRkHqqCUFNJY4AfY3kHU/edit?usp=sharing  #gid=0"",""фіз особи new!relations_name""),6,FALSE)
,
(IF
(
C2083=""юридична особа""
,
VLOOKUP"&amp;"(D2083,IMPORTRANGE(""https://docs.google.com/spreadsheets/d/14Bd19lYaqBhU8_DElYkX7l4wRkHqqCUFNJY4AfY3kHU/edit?usp=sharing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G2082" s="7" t="s">
        <v>10</v>
      </c>
      <c r="H2082" s="7">
        <v>0</v>
      </c>
      <c r="I2082" s="8" t="str">
        <f ca="1">IFERROR(__xludf.DUMMYFUNCTION("IF
(
G2083=""фізична особа""
,
VLOOKUP(H2083,IMPORTRANGE(""https://docs.google.com/spreadsheets/d/14Bd19lYaqBhU8_DElYkX7l4wRkHqqCUFNJY4AfY3kHU/edit?usp=sharing  #gid=0"",""фіз особи new!relations_name""),6,FALSE)
,
(IF
(
G2083=""юридична особа""
,
VLOOKUP"&amp;"(H2083,IMPORTRANGE(""https://docs.google.com/spreadsheets/d/14Bd19lYaqBhU8_DElYkX7l4wRkHqqCUFNJY4AfY3kHU/edit?usp=sharing  #gid=0"",""фіз особи new!relations_name_uo""),7,FALSE)
,
)
))"),"#N/A")</f>
        <v>#N/A</v>
      </c>
      <c r="J2082" s="7" t="s">
        <v>13</v>
      </c>
    </row>
    <row r="2083" spans="1:10" ht="13.2">
      <c r="A2083" s="7">
        <v>2082</v>
      </c>
      <c r="B2083" s="7">
        <v>1</v>
      </c>
      <c r="C2083" s="7" t="s">
        <v>10</v>
      </c>
      <c r="D2083" s="7">
        <v>612</v>
      </c>
      <c r="E2083" s="7" t="s">
        <v>28</v>
      </c>
      <c r="F2083" s="8" t="str">
        <f ca="1">IFERROR(__xludf.DUMMYFUNCTION("IF
(
C2084=""фізична особа""
,
VLOOKUP(D2084,IMPORTRANGE(""https://docs.google.com/spreadsheets/d/14Bd19lYaqBhU8_DElYkX7l4wRkHqqCUFNJY4AfY3kHU/edit?usp=sharing  #gid=0"",""фіз особи new!relations_name""),6,FALSE)
,
(IF
(
C2084=""юридична особа""
,
VLOOKUP"&amp;"(D2084,IMPORTRANGE(""https://docs.google.com/spreadsheets/d/14Bd19lYaqBhU8_DElYkX7l4wRkHqqCUFNJY4AfY3kHU/edit?usp=sharing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G2083" s="7" t="s">
        <v>10</v>
      </c>
      <c r="H2083" s="7">
        <v>150</v>
      </c>
      <c r="I2083" s="8" t="str">
        <f ca="1">IFERROR(__xludf.DUMMYFUNCTION("IF
(
G2084=""фізична особа""
,
VLOOKUP(H2084,IMPORTRANGE(""https://docs.google.com/spreadsheets/d/14Bd19lYaqBhU8_DElYkX7l4wRkHqqCUFNJY4AfY3kHU/edit?usp=sharing  #gid=0"",""фіз особи new!relations_name""),6,FALSE)
,
(IF
(
G2084=""юридична особа""
,
VLOOKUP"&amp;"(H2084,IMPORTRANGE(""https://docs.google.com/spreadsheets/d/14Bd19lYaqBhU8_DElYkX7l4wRkHqqCUFNJY4AfY3kHU/edit?usp=sharing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2083" s="7" t="s">
        <v>29</v>
      </c>
    </row>
    <row r="2084" spans="1:10" ht="13.2">
      <c r="A2084" s="7">
        <v>2083</v>
      </c>
      <c r="B2084" s="7">
        <v>1</v>
      </c>
      <c r="C2084" s="7" t="s">
        <v>10</v>
      </c>
      <c r="D2084" s="7">
        <v>613</v>
      </c>
      <c r="E2084" s="7" t="s">
        <v>12</v>
      </c>
      <c r="F2084" s="8" t="str">
        <f ca="1">IFERROR(__xludf.DUMMYFUNCTION("IF
(
C2085=""фізична особа""
,
VLOOKUP(D2085,IMPORTRANGE(""https://docs.google.com/spreadsheets/d/14Bd19lYaqBhU8_DElYkX7l4wRkHqqCUFNJY4AfY3kHU/edit?usp=sharing  #gid=0"",""фіз особи new!relations_name""),6,FALSE)
,
(IF
(
C2085=""юридична особа""
,
VLOOKUP"&amp;"(D2085,IMPORTRANGE(""https://docs.google.com/spreadsheets/d/14Bd19lYaqBhU8_DElYkX7l4wRkHqqCUFNJY4AfY3kHU/edit?usp=sharing  #gid=0"",""фіз особи new!relations_name_uo""),7,FALSE)
,
)
))"),"ШАЙХУТДІНОВ Ріфат Габдулгакович")</f>
        <v>ШАЙХУТДІНОВ Ріфат Габдулгакович</v>
      </c>
      <c r="G2084" s="7" t="s">
        <v>10</v>
      </c>
      <c r="H2084" s="7">
        <v>8870</v>
      </c>
      <c r="I2084" s="8" t="str">
        <f ca="1">IFERROR(__xludf.DUMMYFUNCTION("IF
(
G2085=""фізична особа""
,
VLOOKUP(H2085,IMPORTRANGE(""https://docs.google.com/spreadsheets/d/14Bd19lYaqBhU8_DElYkX7l4wRkHqqCUFNJY4AfY3kHU/edit?usp=sharing  #gid=0"",""фіз особи new!relations_name""),6,FALSE)
,
(IF
(
G2085=""юридична особа""
,
VLOOKUP"&amp;"(H2085,IMPORTRANGE(""https://docs.google.com/spreadsheets/d/14Bd19lYaqBhU8_DElYkX7l4wRkHqqCUFNJY4AfY3kHU/edit?usp=sharing  #gid=0"",""фіз особи new!relations_name_uo""),7,FALSE)
,
)
))"),"ШАЙХУТДІНОВА Ганна Ріфатівна")</f>
        <v>ШАЙХУТДІНОВА Ганна Ріфатівна</v>
      </c>
      <c r="J2084" s="7" t="s">
        <v>13</v>
      </c>
    </row>
    <row r="2085" spans="1:10" ht="13.2">
      <c r="A2085" s="7">
        <v>2084</v>
      </c>
      <c r="B2085" s="7">
        <v>1</v>
      </c>
      <c r="C2085" s="7" t="s">
        <v>10</v>
      </c>
      <c r="D2085" s="7">
        <v>613</v>
      </c>
      <c r="E2085" s="7" t="s">
        <v>14</v>
      </c>
      <c r="F2085" s="8" t="str">
        <f ca="1">IFERROR(__xludf.DUMMYFUNCTION("IF
(
C2086=""фізична особа""
,
VLOOKUP(D2086,IMPORTRANGE(""https://docs.google.com/spreadsheets/d/14Bd19lYaqBhU8_DElYkX7l4wRkHqqCUFNJY4AfY3kHU/edit?usp=sharing  #gid=0"",""фіз особи new!relations_name""),6,FALSE)
,
(IF
(
C2086=""юридична особа""
,
VLOOKUP"&amp;"(D2086,IMPORTRANGE(""https://docs.google.com/spreadsheets/d/14Bd19lYaqBhU8_DElYkX7l4wRkHqqCUFNJY4AfY3kHU/edit?usp=sharing  #gid=0"",""фіз особи new!relations_name_uo""),7,FALSE)
,
)
))"),"ШАЙХУТДІНОВ Ріфат Габдулгакович")</f>
        <v>ШАЙХУТДІНОВ Ріфат Габдулгакович</v>
      </c>
      <c r="G2085" s="7" t="s">
        <v>10</v>
      </c>
      <c r="H2085" s="7">
        <v>0</v>
      </c>
      <c r="I2085" s="8" t="str">
        <f ca="1">IFERROR(__xludf.DUMMYFUNCTION("IF
(
G2086=""фізична особа""
,
VLOOKUP(H2086,IMPORTRANGE(""https://docs.google.com/spreadsheets/d/14Bd19lYaqBhU8_DElYkX7l4wRkHqqCUFNJY4AfY3kHU/edit?usp=sharing  #gid=0"",""фіз особи new!relations_name""),6,FALSE)
,
(IF
(
G2086=""юридична особа""
,
VLOOKUP"&amp;"(H2086,IMPORTRANGE(""https://docs.google.com/spreadsheets/d/14Bd19lYaqBhU8_DElYkX7l4wRkHqqCUFNJY4AfY3kHU/edit?usp=sharing  #gid=0"",""фіз особи new!relations_name_uo""),7,FALSE)
,
)
))"),"#N/A")</f>
        <v>#N/A</v>
      </c>
      <c r="J2085" s="7" t="s">
        <v>15</v>
      </c>
    </row>
    <row r="2086" spans="1:10" ht="13.2">
      <c r="A2086" s="7">
        <v>2085</v>
      </c>
      <c r="B2086" s="7">
        <v>1</v>
      </c>
      <c r="C2086" s="7" t="s">
        <v>10</v>
      </c>
      <c r="D2086" s="7">
        <v>613</v>
      </c>
      <c r="E2086" s="7" t="s">
        <v>48</v>
      </c>
      <c r="F2086" s="8" t="str">
        <f ca="1">IFERROR(__xludf.DUMMYFUNCTION("IF
(
C2087=""фізична особа""
,
VLOOKUP(D2087,IMPORTRANGE(""https://docs.google.com/spreadsheets/d/14Bd19lYaqBhU8_DElYkX7l4wRkHqqCUFNJY4AfY3kHU/edit?usp=sharing  #gid=0"",""фіз особи new!relations_name""),6,FALSE)
,
(IF
(
C2087=""юридична особа""
,
VLOOKUP"&amp;"(D2087,IMPORTRANGE(""https://docs.google.com/spreadsheets/d/14Bd19lYaqBhU8_DElYkX7l4wRkHqqCUFNJY4AfY3kHU/edit?usp=sharing  #gid=0"",""фіз особи new!relations_name_uo""),7,FALSE)
,
)
))"),"ШАЙХУТДІНОВ Ріфат Габдулгакович")</f>
        <v>ШАЙХУТДІНОВ Ріфат Габдулгакович</v>
      </c>
      <c r="G2086" s="7" t="s">
        <v>10</v>
      </c>
      <c r="H2086" s="7">
        <v>0</v>
      </c>
      <c r="I2086" s="8" t="str">
        <f ca="1">IFERROR(__xludf.DUMMYFUNCTION("IF
(
G2087=""фізична особа""
,
VLOOKUP(H2087,IMPORTRANGE(""https://docs.google.com/spreadsheets/d/14Bd19lYaqBhU8_DElYkX7l4wRkHqqCUFNJY4AfY3kHU/edit?usp=sharing  #gid=0"",""фіз особи new!relations_name""),6,FALSE)
,
(IF
(
G2087=""юридична особа""
,
VLOOKUP"&amp;"(H2087,IMPORTRANGE(""https://docs.google.com/spreadsheets/d/14Bd19lYaqBhU8_DElYkX7l4wRkHqqCUFNJY4AfY3kHU/edit?usp=sharing  #gid=0"",""фіз особи new!relations_name_uo""),7,FALSE)
,
)
))"),"#N/A")</f>
        <v>#N/A</v>
      </c>
      <c r="J2086" s="7" t="s">
        <v>48</v>
      </c>
    </row>
    <row r="2087" spans="1:10" ht="13.2">
      <c r="A2087" s="7">
        <v>2086</v>
      </c>
      <c r="B2087" s="7">
        <v>1</v>
      </c>
      <c r="C2087" s="7" t="s">
        <v>10</v>
      </c>
      <c r="D2087" s="7">
        <v>614</v>
      </c>
      <c r="E2087" s="7" t="s">
        <v>15</v>
      </c>
      <c r="F2087" s="8" t="str">
        <f ca="1">IFERROR(__xludf.DUMMYFUNCTION("IF
(
C2088=""фізична особа""
,
VLOOKUP(D2088,IMPORTRANGE(""https://docs.google.com/spreadsheets/d/14Bd19lYaqBhU8_DElYkX7l4wRkHqqCUFNJY4AfY3kHU/edit?usp=sharing  #gid=0"",""фіз особи new!relations_name""),6,FALSE)
,
(IF
(
C2088=""юридична особа""
,
VLOOKUP"&amp;"(D2088,IMPORTRANGE(""https://docs.google.com/spreadsheets/d/14Bd19lYaqBhU8_DElYkX7l4wRkHqqCUFNJY4AfY3kHU/edit?usp=sharing  #gid=0"",""фіз особи new!relations_name_uo""),7,FALSE)
,
)
))"),"БАТАЛОВА Римма Акбердинівна")</f>
        <v>БАТАЛОВА Римма Акбердинівна</v>
      </c>
      <c r="G2087" s="7" t="s">
        <v>10</v>
      </c>
      <c r="H2087" s="7">
        <v>0</v>
      </c>
      <c r="I2087" s="8" t="str">
        <f ca="1">IFERROR(__xludf.DUMMYFUNCTION("IF
(
G2088=""фізична особа""
,
VLOOKUP(H2088,IMPORTRANGE(""https://docs.google.com/spreadsheets/d/14Bd19lYaqBhU8_DElYkX7l4wRkHqqCUFNJY4AfY3kHU/edit?usp=sharing  #gid=0"",""фіз особи new!relations_name""),6,FALSE)
,
(IF
(
G2088=""юридична особа""
,
VLOOKUP"&amp;"(H2088,IMPORTRANGE(""https://docs.google.com/spreadsheets/d/14Bd19lYaqBhU8_DElYkX7l4wRkHqqCUFNJY4AfY3kHU/edit?usp=sharing  #gid=0"",""фіз особи new!relations_name_uo""),7,FALSE)
,
)
))"),"#N/A")</f>
        <v>#N/A</v>
      </c>
      <c r="J2087" s="7" t="s">
        <v>14</v>
      </c>
    </row>
    <row r="2088" spans="1:10" ht="13.2">
      <c r="A2088" s="7">
        <v>2087</v>
      </c>
      <c r="B2088" s="7">
        <v>1</v>
      </c>
      <c r="C2088" s="7" t="s">
        <v>10</v>
      </c>
      <c r="D2088" s="7">
        <v>614</v>
      </c>
      <c r="E2088" s="7" t="s">
        <v>21</v>
      </c>
      <c r="F2088" s="8" t="str">
        <f ca="1">IFERROR(__xludf.DUMMYFUNCTION("IF
(
C2089=""фізична особа""
,
VLOOKUP(D2089,IMPORTRANGE(""https://docs.google.com/spreadsheets/d/14Bd19lYaqBhU8_DElYkX7l4wRkHqqCUFNJY4AfY3kHU/edit?usp=sharing  #gid=0"",""фіз особи new!relations_name""),6,FALSE)
,
(IF
(
C2089=""юридична особа""
,
VLOOKUP"&amp;"(D2089,IMPORTRANGE(""https://docs.google.com/spreadsheets/d/14Bd19lYaqBhU8_DElYkX7l4wRkHqqCUFNJY4AfY3kHU/edit?usp=sharing  #gid=0"",""фіз особи new!relations_name_uo""),7,FALSE)
,
)
))"),"БАТАЛОВА Римма Акбердинівна")</f>
        <v>БАТАЛОВА Римма Акбердинівна</v>
      </c>
      <c r="G2088" s="7" t="s">
        <v>10</v>
      </c>
      <c r="H2088" s="7">
        <v>0</v>
      </c>
      <c r="I2088" s="8" t="str">
        <f ca="1">IFERROR(__xludf.DUMMYFUNCTION("IF
(
G2089=""фізична особа""
,
VLOOKUP(H2089,IMPORTRANGE(""https://docs.google.com/spreadsheets/d/14Bd19lYaqBhU8_DElYkX7l4wRkHqqCUFNJY4AfY3kHU/edit?usp=sharing  #gid=0"",""фіз особи new!relations_name""),6,FALSE)
,
(IF
(
G2089=""юридична особа""
,
VLOOKUP"&amp;"(H2089,IMPORTRANGE(""https://docs.google.com/spreadsheets/d/14Bd19lYaqBhU8_DElYkX7l4wRkHqqCUFNJY4AfY3kHU/edit?usp=sharing  #gid=0"",""фіз особи new!relations_name_uo""),7,FALSE)
,
)
))"),"#N/A")</f>
        <v>#N/A</v>
      </c>
      <c r="J2088" s="7" t="s">
        <v>13</v>
      </c>
    </row>
    <row r="2089" spans="1:10" ht="13.2">
      <c r="A2089" s="7">
        <v>2088</v>
      </c>
      <c r="B2089" s="7">
        <v>1</v>
      </c>
      <c r="C2089" s="7" t="s">
        <v>10</v>
      </c>
      <c r="D2089" s="7">
        <v>615</v>
      </c>
      <c r="E2089" s="7" t="s">
        <v>15</v>
      </c>
      <c r="F2089" s="8" t="str">
        <f ca="1">IFERROR(__xludf.DUMMYFUNCTION("IF
(
C2090=""фізична особа""
,
VLOOKUP(D2090,IMPORTRANGE(""https://docs.google.com/spreadsheets/d/14Bd19lYaqBhU8_DElYkX7l4wRkHqqCUFNJY4AfY3kHU/edit?usp=sharing  #gid=0"",""фіз особи new!relations_name""),6,FALSE)
,
(IF
(
C2090=""юридична особа""
,
VLOOKUP"&amp;"(D2090,IMPORTRANGE(""https://docs.google.com/spreadsheets/d/14Bd19lYaqBhU8_DElYkX7l4wRkHqqCUFNJY4AfY3kHU/edit?usp=sharing  #gid=0"",""фіз особи new!relations_name_uo""),7,FALSE)
,
)
))"),"УТЯШЕВА Римма Амірівна")</f>
        <v>УТЯШЕВА Римма Амірівна</v>
      </c>
      <c r="G2089" s="7" t="s">
        <v>10</v>
      </c>
      <c r="H2089" s="7">
        <v>0</v>
      </c>
      <c r="I2089" s="8" t="str">
        <f ca="1">IFERROR(__xludf.DUMMYFUNCTION("IF
(
G2090=""фізична особа""
,
VLOOKUP(H2090,IMPORTRANGE(""https://docs.google.com/spreadsheets/d/14Bd19lYaqBhU8_DElYkX7l4wRkHqqCUFNJY4AfY3kHU/edit?usp=sharing  #gid=0"",""фіз особи new!relations_name""),6,FALSE)
,
(IF
(
G2090=""юридична особа""
,
VLOOKUP"&amp;"(H2090,IMPORTRANGE(""https://docs.google.com/spreadsheets/d/14Bd19lYaqBhU8_DElYkX7l4wRkHqqCUFNJY4AfY3kHU/edit?usp=sharing  #gid=0"",""фіз особи new!relations_name_uo""),7,FALSE)
,
)
))"),"#N/A")</f>
        <v>#N/A</v>
      </c>
      <c r="J2089" s="7" t="s">
        <v>14</v>
      </c>
    </row>
    <row r="2090" spans="1:10" ht="13.2">
      <c r="A2090" s="7">
        <v>2089</v>
      </c>
      <c r="B2090" s="7">
        <v>1</v>
      </c>
      <c r="C2090" s="7" t="s">
        <v>10</v>
      </c>
      <c r="D2090" s="7">
        <v>615</v>
      </c>
      <c r="E2090" s="7" t="s">
        <v>21</v>
      </c>
      <c r="F2090" s="8" t="str">
        <f ca="1">IFERROR(__xludf.DUMMYFUNCTION("IF
(
C2091=""фізична особа""
,
VLOOKUP(D2091,IMPORTRANGE(""https://docs.google.com/spreadsheets/d/14Bd19lYaqBhU8_DElYkX7l4wRkHqqCUFNJY4AfY3kHU/edit?usp=sharing  #gid=0"",""фіз особи new!relations_name""),6,FALSE)
,
(IF
(
C2091=""юридична особа""
,
VLOOKUP"&amp;"(D2091,IMPORTRANGE(""https://docs.google.com/spreadsheets/d/14Bd19lYaqBhU8_DElYkX7l4wRkHqqCUFNJY4AfY3kHU/edit?usp=sharing  #gid=0"",""фіз особи new!relations_name_uo""),7,FALSE)
,
)
))"),"УТЯШЕВА Римма Амірівна")</f>
        <v>УТЯШЕВА Римма Амірівна</v>
      </c>
      <c r="G2090" s="7" t="s">
        <v>10</v>
      </c>
      <c r="H2090" s="7">
        <v>0</v>
      </c>
      <c r="I2090" s="8" t="str">
        <f ca="1">IFERROR(__xludf.DUMMYFUNCTION("IF
(
G2091=""фізична особа""
,
VLOOKUP(H2091,IMPORTRANGE(""https://docs.google.com/spreadsheets/d/14Bd19lYaqBhU8_DElYkX7l4wRkHqqCUFNJY4AfY3kHU/edit?usp=sharing  #gid=0"",""фіз особи new!relations_name""),6,FALSE)
,
(IF
(
G2091=""юридична особа""
,
VLOOKUP"&amp;"(H2091,IMPORTRANGE(""https://docs.google.com/spreadsheets/d/14Bd19lYaqBhU8_DElYkX7l4wRkHqqCUFNJY4AfY3kHU/edit?usp=sharing  #gid=0"",""фіз особи new!relations_name_uo""),7,FALSE)
,
)
))"),"#N/A")</f>
        <v>#N/A</v>
      </c>
      <c r="J2090" s="7" t="s">
        <v>17</v>
      </c>
    </row>
    <row r="2091" spans="1:10" ht="13.2">
      <c r="A2091" s="7">
        <v>2090</v>
      </c>
      <c r="B2091" s="7">
        <v>1</v>
      </c>
      <c r="C2091" s="7" t="s">
        <v>10</v>
      </c>
      <c r="D2091" s="7">
        <v>615</v>
      </c>
      <c r="E2091" s="7" t="s">
        <v>21</v>
      </c>
      <c r="F2091" s="8" t="str">
        <f ca="1">IFERROR(__xludf.DUMMYFUNCTION("IF
(
C2092=""фізична особа""
,
VLOOKUP(D2092,IMPORTRANGE(""https://docs.google.com/spreadsheets/d/14Bd19lYaqBhU8_DElYkX7l4wRkHqqCUFNJY4AfY3kHU/edit?usp=sharing  #gid=0"",""фіз особи new!relations_name""),6,FALSE)
,
(IF
(
C2092=""юридична особа""
,
VLOOKUP"&amp;"(D2092,IMPORTRANGE(""https://docs.google.com/spreadsheets/d/14Bd19lYaqBhU8_DElYkX7l4wRkHqqCUFNJY4AfY3kHU/edit?usp=sharing  #gid=0"",""фіз особи new!relations_name_uo""),7,FALSE)
,
)
))"),"УТЯШЕВА Римма Амірівна")</f>
        <v>УТЯШЕВА Римма Амірівна</v>
      </c>
      <c r="G2091" s="7" t="s">
        <v>10</v>
      </c>
      <c r="H2091" s="7">
        <v>0</v>
      </c>
      <c r="I2091" s="8" t="str">
        <f ca="1">IFERROR(__xludf.DUMMYFUNCTION("IF
(
G2092=""фізична особа""
,
VLOOKUP(H2092,IMPORTRANGE(""https://docs.google.com/spreadsheets/d/14Bd19lYaqBhU8_DElYkX7l4wRkHqqCUFNJY4AfY3kHU/edit?usp=sharing  #gid=0"",""фіз особи new!relations_name""),6,FALSE)
,
(IF
(
G2092=""юридична особа""
,
VLOOKUP"&amp;"(H2092,IMPORTRANGE(""https://docs.google.com/spreadsheets/d/14Bd19lYaqBhU8_DElYkX7l4wRkHqqCUFNJY4AfY3kHU/edit?usp=sharing  #gid=0"",""фіз особи new!relations_name_uo""),7,FALSE)
,
)
))"),"#N/A")</f>
        <v>#N/A</v>
      </c>
      <c r="J2091" s="7" t="s">
        <v>17</v>
      </c>
    </row>
    <row r="2092" spans="1:10" ht="13.2">
      <c r="A2092" s="7">
        <v>2091</v>
      </c>
      <c r="B2092" s="7">
        <v>1</v>
      </c>
      <c r="C2092" s="7" t="s">
        <v>10</v>
      </c>
      <c r="D2092" s="7">
        <v>616</v>
      </c>
      <c r="E2092" s="7" t="s">
        <v>48</v>
      </c>
      <c r="F2092" s="8" t="str">
        <f ca="1">IFERROR(__xludf.DUMMYFUNCTION("IF
(
C2093=""фізична особа""
,
VLOOKUP(D2093,IMPORTRANGE(""https://docs.google.com/spreadsheets/d/14Bd19lYaqBhU8_DElYkX7l4wRkHqqCUFNJY4AfY3kHU/edit?usp=sharing  #gid=0"",""фіз особи new!relations_name""),6,FALSE)
,
(IF
(
C2093=""юридична особа""
,
VLOOKUP"&amp;"(D2093,IMPORTRANGE(""https://docs.google.com/spreadsheets/d/14Bd19lYaqBhU8_DElYkX7l4wRkHqqCUFNJY4AfY3kHU/edit?usp=sharing  #gid=0"",""фіз особи new!relations_name_uo""),7,FALSE)
,
)
))"),"ГАЛУШИНА Римма Федорівна")</f>
        <v>ГАЛУШИНА Римма Федорівна</v>
      </c>
      <c r="G2092" s="7" t="s">
        <v>10</v>
      </c>
      <c r="H2092" s="7">
        <v>13044</v>
      </c>
      <c r="I2092" s="8" t="str">
        <f ca="1">IFERROR(__xludf.DUMMYFUNCTION("IF
(
G2093=""фізична особа""
,
VLOOKUP(H2093,IMPORTRANGE(""https://docs.google.com/spreadsheets/d/14Bd19lYaqBhU8_DElYkX7l4wRkHqqCUFNJY4AfY3kHU/edit?usp=sharing  #gid=0"",""фіз особи new!relations_name""),6,FALSE)
,
(IF
(
G2093=""юридична особа""
,
VLOOKUP"&amp;"(H2093,IMPORTRANGE(""https://docs.google.com/spreadsheets/d/14Bd19lYaqBhU8_DElYkX7l4wRkHqqCUFNJY4AfY3kHU/edit?usp=sharing  #gid=0"",""фіз особи new!relations_name_uo""),7,FALSE)
,
)
))"),"БІРЮКОВ Юрій Станіславович")</f>
        <v>БІРЮКОВ Юрій Станіславович</v>
      </c>
      <c r="J2092" s="7" t="s">
        <v>48</v>
      </c>
    </row>
    <row r="2093" spans="1:10" ht="13.2">
      <c r="A2093" s="7">
        <v>2092</v>
      </c>
      <c r="B2093" s="7">
        <v>1</v>
      </c>
      <c r="C2093" s="7" t="s">
        <v>10</v>
      </c>
      <c r="D2093" s="7">
        <v>616</v>
      </c>
      <c r="E2093" s="7" t="s">
        <v>48</v>
      </c>
      <c r="F2093" s="8" t="str">
        <f ca="1">IFERROR(__xludf.DUMMYFUNCTION("IF
(
C2094=""фізична особа""
,
VLOOKUP(D2094,IMPORTRANGE(""https://docs.google.com/spreadsheets/d/14Bd19lYaqBhU8_DElYkX7l4wRkHqqCUFNJY4AfY3kHU/edit?usp=sharing  #gid=0"",""фіз особи new!relations_name""),6,FALSE)
,
(IF
(
C2094=""юридична особа""
,
VLOOKUP"&amp;"(D2094,IMPORTRANGE(""https://docs.google.com/spreadsheets/d/14Bd19lYaqBhU8_DElYkX7l4wRkHqqCUFNJY4AfY3kHU/edit?usp=sharing  #gid=0"",""фіз особи new!relations_name_uo""),7,FALSE)
,
)
))"),"ГАЛУШИНА Римма Федорівна")</f>
        <v>ГАЛУШИНА Римма Федорівна</v>
      </c>
      <c r="G2093" s="7" t="s">
        <v>10</v>
      </c>
      <c r="H2093" s="7">
        <v>23430</v>
      </c>
      <c r="I2093" s="8" t="str">
        <f ca="1">IFERROR(__xludf.DUMMYFUNCTION("IF
(
G2094=""фізична особа""
,
VLOOKUP(H2094,IMPORTRANGE(""https://docs.google.com/spreadsheets/d/14Bd19lYaqBhU8_DElYkX7l4wRkHqqCUFNJY4AfY3kHU/edit?usp=sharing  #gid=0"",""фіз особи new!relations_name""),6,FALSE)
,
(IF
(
G2094=""юридична особа""
,
VLOOKUP"&amp;"(H2094,IMPORTRANGE(""https://docs.google.com/spreadsheets/d/14Bd19lYaqBhU8_DElYkX7l4wRkHqqCUFNJY4AfY3kHU/edit?usp=sharing  #gid=0"",""фіз особи new!relations_name_uo""),7,FALSE)
,
)
))"),"ТЮЛЬПАНОВ Вадим Альбертович")</f>
        <v>ТЮЛЬПАНОВ Вадим Альбертович</v>
      </c>
      <c r="J2093" s="7" t="s">
        <v>48</v>
      </c>
    </row>
    <row r="2094" spans="1:10" ht="13.2">
      <c r="A2094" s="7">
        <v>2093</v>
      </c>
      <c r="B2094" s="7">
        <v>1</v>
      </c>
      <c r="C2094" s="7" t="s">
        <v>10</v>
      </c>
      <c r="D2094" s="7">
        <v>617</v>
      </c>
      <c r="E2094" s="7" t="s">
        <v>17</v>
      </c>
      <c r="F2094" s="8" t="str">
        <f ca="1">IFERROR(__xludf.DUMMYFUNCTION("IF
(
C2095=""фізична особа""
,
VLOOKUP(D2095,IMPORTRANGE(""https://docs.google.com/spreadsheets/d/14Bd19lYaqBhU8_DElYkX7l4wRkHqqCUFNJY4AfY3kHU/edit?usp=sharing  #gid=0"",""фіз особи new!relations_name""),6,FALSE)
,
(IF
(
C2095=""юридична особа""
,
VLOOKUP"&amp;"(D2095,IMPORTRANGE(""https://docs.google.com/spreadsheets/d/14Bd19lYaqBhU8_DElYkX7l4wRkHqqCUFNJY4AfY3kHU/edit?usp=sharing  #gid=0"",""фіз особи new!relations_name_uo""),7,FALSE)
,
)
))"),"АЮПОВ Рінат Зайдулаєвич")</f>
        <v>АЮПОВ Рінат Зайдулаєвич</v>
      </c>
      <c r="G2094" s="7" t="s">
        <v>10</v>
      </c>
      <c r="H2094" s="7">
        <v>8874</v>
      </c>
      <c r="I2094" s="8" t="str">
        <f ca="1">IFERROR(__xludf.DUMMYFUNCTION("IF
(
G2095=""фізична особа""
,
VLOOKUP(H2095,IMPORTRANGE(""https://docs.google.com/spreadsheets/d/14Bd19lYaqBhU8_DElYkX7l4wRkHqqCUFNJY4AfY3kHU/edit?usp=sharing  #gid=0"",""фіз особи new!relations_name""),6,FALSE)
,
(IF
(
G2095=""юридична особа""
,
VLOOKUP"&amp;"(H2095,IMPORTRANGE(""https://docs.google.com/spreadsheets/d/14Bd19lYaqBhU8_DElYkX7l4wRkHqqCUFNJY4AfY3kHU/edit?usp=sharing  #gid=0"",""фіз особи new!relations_name_uo""),7,FALSE)
,
)
))"),"АЮПОВ Зайдула Гаріфович")</f>
        <v>АЮПОВ Зайдула Гаріфович</v>
      </c>
      <c r="J2094" s="7" t="s">
        <v>12</v>
      </c>
    </row>
    <row r="2095" spans="1:10" ht="13.2">
      <c r="A2095" s="7">
        <v>2094</v>
      </c>
      <c r="B2095" s="7">
        <v>1</v>
      </c>
      <c r="C2095" s="7" t="s">
        <v>10</v>
      </c>
      <c r="D2095" s="7">
        <v>617</v>
      </c>
      <c r="E2095" s="7" t="s">
        <v>17</v>
      </c>
      <c r="F2095" s="8" t="str">
        <f ca="1">IFERROR(__xludf.DUMMYFUNCTION("IF
(
C2096=""фізична особа""
,
VLOOKUP(D2096,IMPORTRANGE(""https://docs.google.com/spreadsheets/d/14Bd19lYaqBhU8_DElYkX7l4wRkHqqCUFNJY4AfY3kHU/edit?usp=sharing  #gid=0"",""фіз особи new!relations_name""),6,FALSE)
,
(IF
(
C2096=""юридична особа""
,
VLOOKUP"&amp;"(D2096,IMPORTRANGE(""https://docs.google.com/spreadsheets/d/14Bd19lYaqBhU8_DElYkX7l4wRkHqqCUFNJY4AfY3kHU/edit?usp=sharing  #gid=0"",""фіз особи new!relations_name_uo""),7,FALSE)
,
)
))"),"АЮПОВ Рінат Зайдулаєвич")</f>
        <v>АЮПОВ Рінат Зайдулаєвич</v>
      </c>
      <c r="G2095" s="7" t="s">
        <v>10</v>
      </c>
      <c r="H2095" s="7">
        <v>8873</v>
      </c>
      <c r="I2095" s="8" t="str">
        <f ca="1">IFERROR(__xludf.DUMMYFUNCTION("IF
(
G2096=""фізична особа""
,
VLOOKUP(H2096,IMPORTRANGE(""https://docs.google.com/spreadsheets/d/14Bd19lYaqBhU8_DElYkX7l4wRkHqqCUFNJY4AfY3kHU/edit?usp=sharing  #gid=0"",""фіз особи new!relations_name""),6,FALSE)
,
(IF
(
G2096=""юридична особа""
,
VLOOKUP"&amp;"(H2096,IMPORTRANGE(""https://docs.google.com/spreadsheets/d/14Bd19lYaqBhU8_DElYkX7l4wRkHqqCUFNJY4AfY3kHU/edit?usp=sharing  #gid=0"",""фіз особи new!relations_name_uo""),7,FALSE)
,
)
))"),"АЮПОВА Гульжара Равіліївна")</f>
        <v>АЮПОВА Гульжара Равіліївна</v>
      </c>
      <c r="J2095" s="7" t="s">
        <v>21</v>
      </c>
    </row>
    <row r="2096" spans="1:10" ht="13.2">
      <c r="A2096" s="7">
        <v>2095</v>
      </c>
      <c r="B2096" s="7">
        <v>1</v>
      </c>
      <c r="C2096" s="7" t="s">
        <v>10</v>
      </c>
      <c r="D2096" s="7">
        <v>618</v>
      </c>
      <c r="E2096" s="7" t="s">
        <v>48</v>
      </c>
      <c r="F2096" s="8" t="str">
        <f ca="1">IFERROR(__xludf.DUMMYFUNCTION("IF
(
C2097=""фізична особа""
,
VLOOKUP(D2097,IMPORTRANGE(""https://docs.google.com/spreadsheets/d/14Bd19lYaqBhU8_DElYkX7l4wRkHqqCUFNJY4AfY3kHU/edit?usp=sharing  #gid=0"",""фіз особи new!relations_name""),6,FALSE)
,
(IF
(
C2097=""юридична особа""
,
VLOOKUP"&amp;"(D2097,IMPORTRANGE(""https://docs.google.com/spreadsheets/d/14Bd19lYaqBhU8_DElYkX7l4wRkHqqCUFNJY4AfY3kHU/edit?usp=sharing  #gid=0"",""фіз особи new!relations_name_uo""),7,FALSE)
,
)
))"),"КУРБАНОВ Різван Данилович")</f>
        <v>КУРБАНОВ Різван Данилович</v>
      </c>
      <c r="G2096" s="7" t="s">
        <v>10</v>
      </c>
      <c r="H2096" s="7">
        <v>0</v>
      </c>
      <c r="I2096" s="8" t="str">
        <f ca="1">IFERROR(__xludf.DUMMYFUNCTION("IF
(
G2097=""фізична особа""
,
VLOOKUP(H2097,IMPORTRANGE(""https://docs.google.com/spreadsheets/d/14Bd19lYaqBhU8_DElYkX7l4wRkHqqCUFNJY4AfY3kHU/edit?usp=sharing  #gid=0"",""фіз особи new!relations_name""),6,FALSE)
,
(IF
(
G2097=""юридична особа""
,
VLOOKUP"&amp;"(H2097,IMPORTRANGE(""https://docs.google.com/spreadsheets/d/14Bd19lYaqBhU8_DElYkX7l4wRkHqqCUFNJY4AfY3kHU/edit?usp=sharing  #gid=0"",""фіз особи new!relations_name_uo""),7,FALSE)
,
)
))"),"#N/A")</f>
        <v>#N/A</v>
      </c>
      <c r="J2096" s="7" t="s">
        <v>48</v>
      </c>
    </row>
    <row r="2097" spans="1:10" ht="13.2">
      <c r="A2097" s="7">
        <v>2096</v>
      </c>
      <c r="B2097" s="7">
        <v>1</v>
      </c>
      <c r="C2097" s="7" t="s">
        <v>10</v>
      </c>
      <c r="D2097" s="7">
        <v>619</v>
      </c>
      <c r="E2097" s="7" t="s">
        <v>17</v>
      </c>
      <c r="F2097" s="8" t="str">
        <f ca="1">IFERROR(__xludf.DUMMYFUNCTION("IF
(
C2098=""фізична особа""
,
VLOOKUP(D2098,IMPORTRANGE(""https://docs.google.com/spreadsheets/d/14Bd19lYaqBhU8_DElYkX7l4wRkHqqCUFNJY4AfY3kHU/edit?usp=sharing  #gid=0"",""фіз особи new!relations_name""),6,FALSE)
,
(IF
(
C2098=""юридична особа""
,
VLOOKUP"&amp;"(D2098,IMPORTRANGE(""https://docs.google.com/spreadsheets/d/14Bd19lYaqBhU8_DElYkX7l4wRkHqqCUFNJY4AfY3kHU/edit?usp=sharing  #gid=0"",""фіз особи new!relations_name_uo""),7,FALSE)
,
)
))"),"КОЧІЄВ Роберт Іванович")</f>
        <v>КОЧІЄВ Роберт Іванович</v>
      </c>
      <c r="G2097" s="7" t="s">
        <v>10</v>
      </c>
      <c r="H2097" s="7">
        <v>0</v>
      </c>
      <c r="I2097" s="8" t="str">
        <f ca="1">IFERROR(__xludf.DUMMYFUNCTION("IF
(
G2098=""фізична особа""
,
VLOOKUP(H2098,IMPORTRANGE(""https://docs.google.com/spreadsheets/d/14Bd19lYaqBhU8_DElYkX7l4wRkHqqCUFNJY4AfY3kHU/edit?usp=sharing  #gid=0"",""фіз особи new!relations_name""),6,FALSE)
,
(IF
(
G2098=""юридична особа""
,
VLOOKUP"&amp;"(H2098,IMPORTRANGE(""https://docs.google.com/spreadsheets/d/14Bd19lYaqBhU8_DElYkX7l4wRkHqqCUFNJY4AfY3kHU/edit?usp=sharing  #gid=0"",""фіз особи new!relations_name_uo""),7,FALSE)
,
)
))"),"#N/A")</f>
        <v>#N/A</v>
      </c>
      <c r="J2097" s="7" t="s">
        <v>12</v>
      </c>
    </row>
    <row r="2098" spans="1:10" ht="13.2">
      <c r="A2098" s="7">
        <v>2097</v>
      </c>
      <c r="B2098" s="7">
        <v>1</v>
      </c>
      <c r="C2098" s="7" t="s">
        <v>10</v>
      </c>
      <c r="D2098" s="7">
        <v>619</v>
      </c>
      <c r="E2098" s="7" t="s">
        <v>12</v>
      </c>
      <c r="F2098" s="8" t="str">
        <f ca="1">IFERROR(__xludf.DUMMYFUNCTION("IF
(
C2099=""фізична особа""
,
VLOOKUP(D2099,IMPORTRANGE(""https://docs.google.com/spreadsheets/d/14Bd19lYaqBhU8_DElYkX7l4wRkHqqCUFNJY4AfY3kHU/edit?usp=sharing  #gid=0"",""фіз особи new!relations_name""),6,FALSE)
,
(IF
(
C2099=""юридична особа""
,
VLOOKUP"&amp;"(D2099,IMPORTRANGE(""https://docs.google.com/spreadsheets/d/14Bd19lYaqBhU8_DElYkX7l4wRkHqqCUFNJY4AfY3kHU/edit?usp=sharing  #gid=0"",""фіз особи new!relations_name_uo""),7,FALSE)
,
)
))"),"КОЧІЄВ Роберт Іванович")</f>
        <v>КОЧІЄВ Роберт Іванович</v>
      </c>
      <c r="G2098" s="7" t="s">
        <v>10</v>
      </c>
      <c r="H2098" s="7">
        <v>0</v>
      </c>
      <c r="I2098" s="8" t="str">
        <f ca="1">IFERROR(__xludf.DUMMYFUNCTION("IF
(
G2099=""фізична особа""
,
VLOOKUP(H2099,IMPORTRANGE(""https://docs.google.com/spreadsheets/d/14Bd19lYaqBhU8_DElYkX7l4wRkHqqCUFNJY4AfY3kHU/edit?usp=sharing  #gid=0"",""фіз особи new!relations_name""),6,FALSE)
,
(IF
(
G2099=""юридична особа""
,
VLOOKUP"&amp;"(H2099,IMPORTRANGE(""https://docs.google.com/spreadsheets/d/14Bd19lYaqBhU8_DElYkX7l4wRkHqqCUFNJY4AfY3kHU/edit?usp=sharing  #gid=0"",""фіз особи new!relations_name_uo""),7,FALSE)
,
)
))"),"#N/A")</f>
        <v>#N/A</v>
      </c>
      <c r="J2098" s="7" t="s">
        <v>17</v>
      </c>
    </row>
    <row r="2099" spans="1:10" ht="13.2">
      <c r="A2099" s="7">
        <v>2098</v>
      </c>
      <c r="B2099" s="7">
        <v>1</v>
      </c>
      <c r="C2099" s="7" t="s">
        <v>10</v>
      </c>
      <c r="D2099" s="7">
        <v>619</v>
      </c>
      <c r="E2099" s="7" t="s">
        <v>12</v>
      </c>
      <c r="F2099" s="8" t="str">
        <f ca="1">IFERROR(__xludf.DUMMYFUNCTION("IF
(
C2100=""фізична особа""
,
VLOOKUP(D2100,IMPORTRANGE(""https://docs.google.com/spreadsheets/d/14Bd19lYaqBhU8_DElYkX7l4wRkHqqCUFNJY4AfY3kHU/edit?usp=sharing  #gid=0"",""фіз особи new!relations_name""),6,FALSE)
,
(IF
(
C2100=""юридична особа""
,
VLOOKUP"&amp;"(D2100,IMPORTRANGE(""https://docs.google.com/spreadsheets/d/14Bd19lYaqBhU8_DElYkX7l4wRkHqqCUFNJY4AfY3kHU/edit?usp=sharing  #gid=0"",""фіз особи new!relations_name_uo""),7,FALSE)
,
)
))"),"КОЧІЄВ Роберт Іванович")</f>
        <v>КОЧІЄВ Роберт Іванович</v>
      </c>
      <c r="G2099" s="7" t="s">
        <v>10</v>
      </c>
      <c r="H2099" s="7">
        <v>0</v>
      </c>
      <c r="I2099" s="8" t="str">
        <f ca="1">IFERROR(__xludf.DUMMYFUNCTION("IF
(
G2100=""фізична особа""
,
VLOOKUP(H2100,IMPORTRANGE(""https://docs.google.com/spreadsheets/d/14Bd19lYaqBhU8_DElYkX7l4wRkHqqCUFNJY4AfY3kHU/edit?usp=sharing  #gid=0"",""фіз особи new!relations_name""),6,FALSE)
,
(IF
(
G2100=""юридична особа""
,
VLOOKUP"&amp;"(H2100,IMPORTRANGE(""https://docs.google.com/spreadsheets/d/14Bd19lYaqBhU8_DElYkX7l4wRkHqqCUFNJY4AfY3kHU/edit?usp=sharing  #gid=0"",""фіз особи new!relations_name_uo""),7,FALSE)
,
)
))"),"#N/A")</f>
        <v>#N/A</v>
      </c>
      <c r="J2099" s="7" t="s">
        <v>17</v>
      </c>
    </row>
    <row r="2100" spans="1:10" ht="13.2">
      <c r="A2100" s="7">
        <v>2099</v>
      </c>
      <c r="B2100" s="7">
        <v>1</v>
      </c>
      <c r="C2100" s="7" t="s">
        <v>10</v>
      </c>
      <c r="D2100" s="7">
        <v>619</v>
      </c>
      <c r="E2100" s="7" t="s">
        <v>12</v>
      </c>
      <c r="F2100" s="8" t="str">
        <f ca="1">IFERROR(__xludf.DUMMYFUNCTION("IF
(
C2101=""фізична особа""
,
VLOOKUP(D2101,IMPORTRANGE(""https://docs.google.com/spreadsheets/d/14Bd19lYaqBhU8_DElYkX7l4wRkHqqCUFNJY4AfY3kHU/edit?usp=sharing  #gid=0"",""фіз особи new!relations_name""),6,FALSE)
,
(IF
(
C2101=""юридична особа""
,
VLOOKUP"&amp;"(D2101,IMPORTRANGE(""https://docs.google.com/spreadsheets/d/14Bd19lYaqBhU8_DElYkX7l4wRkHqqCUFNJY4AfY3kHU/edit?usp=sharing  #gid=0"",""фіз особи new!relations_name_uo""),7,FALSE)
,
)
))"),"КОЧІЄВ Роберт Іванович")</f>
        <v>КОЧІЄВ Роберт Іванович</v>
      </c>
      <c r="G2100" s="7" t="s">
        <v>10</v>
      </c>
      <c r="H2100" s="7">
        <v>0</v>
      </c>
      <c r="I2100" s="8" t="str">
        <f ca="1">IFERROR(__xludf.DUMMYFUNCTION("IF
(
G2101=""фізична особа""
,
VLOOKUP(H2101,IMPORTRANGE(""https://docs.google.com/spreadsheets/d/14Bd19lYaqBhU8_DElYkX7l4wRkHqqCUFNJY4AfY3kHU/edit?usp=sharing  #gid=0"",""фіз особи new!relations_name""),6,FALSE)
,
(IF
(
G2101=""юридична особа""
,
VLOOKUP"&amp;"(H2101,IMPORTRANGE(""https://docs.google.com/spreadsheets/d/14Bd19lYaqBhU8_DElYkX7l4wRkHqqCUFNJY4AfY3kHU/edit?usp=sharing  #gid=0"",""фіз особи new!relations_name_uo""),7,FALSE)
,
)
))"),"#N/A")</f>
        <v>#N/A</v>
      </c>
      <c r="J2100" s="7" t="s">
        <v>13</v>
      </c>
    </row>
    <row r="2101" spans="1:10" ht="13.2">
      <c r="A2101" s="7">
        <v>2100</v>
      </c>
      <c r="B2101" s="7">
        <v>1</v>
      </c>
      <c r="C2101" s="7" t="s">
        <v>10</v>
      </c>
      <c r="D2101" s="7">
        <v>620</v>
      </c>
      <c r="E2101" s="7" t="s">
        <v>11</v>
      </c>
      <c r="F2101" s="8" t="str">
        <f ca="1">IFERROR(__xludf.DUMMYFUNCTION("IF
(
C2102=""фізична особа""
,
VLOOKUP(D2102,IMPORTRANGE(""https://docs.google.com/spreadsheets/d/14Bd19lYaqBhU8_DElYkX7l4wRkHqqCUFNJY4AfY3kHU/edit?usp=sharing  #gid=0"",""фіз особи new!relations_name""),6,FALSE)
,
(IF
(
C2102=""юридична особа""
,
VLOOKUP"&amp;"(D2102,IMPORTRANGE(""https://docs.google.com/spreadsheets/d/14Bd19lYaqBhU8_DElYkX7l4wRkHqqCUFNJY4AfY3kHU/edit?usp=sharing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G2101" s="7" t="s">
        <v>10</v>
      </c>
      <c r="H2101" s="7">
        <v>969</v>
      </c>
      <c r="I2101" s="8" t="str">
        <f ca="1">IFERROR(__xludf.DUMMYFUNCTION("IF
(
G2102=""фізична особа""
,
VLOOKUP(H2102,IMPORTRANGE(""https://docs.google.com/spreadsheets/d/14Bd19lYaqBhU8_DElYkX7l4wRkHqqCUFNJY4AfY3kHU/edit?usp=sharing  #gid=0"",""фіз особи new!relations_name""),6,FALSE)
,
(IF
(
G2102=""юридична особа""
,
VLOOKUP"&amp;"(H2102,IMPORTRANGE(""https://docs.google.com/spreadsheets/d/14Bd19lYaqBhU8_DElYkX7l4wRkHqqCUFNJY4AfY3kHU/edit?usp=sharing  #gid=0"",""фіз особи new!relations_name_uo""),7,FALSE)
,
)
))"),"ШВІДЛЕР Євген Маркович")</f>
        <v>ШВІДЛЕР Євген Маркович</v>
      </c>
      <c r="J2101" s="7" t="s">
        <v>11</v>
      </c>
    </row>
    <row r="2102" spans="1:10" ht="13.2">
      <c r="A2102" s="7">
        <v>2101</v>
      </c>
      <c r="B2102" s="7">
        <v>1</v>
      </c>
      <c r="C2102" s="7" t="s">
        <v>10</v>
      </c>
      <c r="D2102" s="7">
        <v>620</v>
      </c>
      <c r="E2102" s="7" t="s">
        <v>11</v>
      </c>
      <c r="F2102" s="8" t="str">
        <f ca="1">IFERROR(__xludf.DUMMYFUNCTION("IF
(
C2103=""фізична особа""
,
VLOOKUP(D2103,IMPORTRANGE(""https://docs.google.com/spreadsheets/d/14Bd19lYaqBhU8_DElYkX7l4wRkHqqCUFNJY4AfY3kHU/edit?usp=sharing  #gid=0"",""фіз особи new!relations_name""),6,FALSE)
,
(IF
(
C2103=""юридична особа""
,
VLOOKUP"&amp;"(D2103,IMPORTRANGE(""https://docs.google.com/spreadsheets/d/14Bd19lYaqBhU8_DElYkX7l4wRkHqqCUFNJY4AfY3kHU/edit?usp=sharing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G2102" s="7" t="s">
        <v>10</v>
      </c>
      <c r="H2102" s="7">
        <v>880</v>
      </c>
      <c r="I2102" s="8" t="str">
        <f ca="1">IFERROR(__xludf.DUMMYFUNCTION("IF
(
G2103=""фізична особа""
,
VLOOKUP(H2103,IMPORTRANGE(""https://docs.google.com/spreadsheets/d/14Bd19lYaqBhU8_DElYkX7l4wRkHqqCUFNJY4AfY3kHU/edit?usp=sharing  #gid=0"",""фіз особи new!relations_name""),6,FALSE)
,
(IF
(
G2103=""юридична особа""
,
VLOOKUP"&amp;"(H2103,IMPORTRANGE(""https://docs.google.com/spreadsheets/d/14Bd19lYaqBhU8_DElYkX7l4wRkHqqCUFNJY4AfY3kHU/edit?usp=sharing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102" s="7" t="s">
        <v>11</v>
      </c>
    </row>
    <row r="2103" spans="1:10" ht="13.2">
      <c r="A2103" s="7">
        <v>2102</v>
      </c>
      <c r="B2103" s="7">
        <v>1</v>
      </c>
      <c r="C2103" s="7" t="s">
        <v>10</v>
      </c>
      <c r="D2103" s="7">
        <v>621</v>
      </c>
      <c r="E2103" s="7" t="s">
        <v>14</v>
      </c>
      <c r="F2103" s="8" t="str">
        <f ca="1">IFERROR(__xludf.DUMMYFUNCTION("IF
(
C2104=""фізична особа""
,
VLOOKUP(D2104,IMPORTRANGE(""https://docs.google.com/spreadsheets/d/14Bd19lYaqBhU8_DElYkX7l4wRkHqqCUFNJY4AfY3kHU/edit?usp=sharing  #gid=0"",""фіз особи new!relations_name""),6,FALSE)
,
(IF
(
C2104=""юридична особа""
,
VLOOKUP"&amp;"(D2104,IMPORTRANGE(""https://docs.google.com/spreadsheets/d/14Bd19lYaqBhU8_DElYkX7l4wRkHqqCUFNJY4AfY3kHU/edit?usp=sharing  #gid=0"",""фіз особи new!relations_name_uo""),7,FALSE)
,
)
))"),"БАБАЯН Роман Георгійович")</f>
        <v>БАБАЯН Роман Георгійович</v>
      </c>
      <c r="G2103" s="7" t="s">
        <v>10</v>
      </c>
      <c r="H2103" s="7">
        <v>0</v>
      </c>
      <c r="I2103" s="8" t="str">
        <f ca="1">IFERROR(__xludf.DUMMYFUNCTION("IF
(
G2104=""фізична особа""
,
VLOOKUP(H2104,IMPORTRANGE(""https://docs.google.com/spreadsheets/d/14Bd19lYaqBhU8_DElYkX7l4wRkHqqCUFNJY4AfY3kHU/edit?usp=sharing  #gid=0"",""фіз особи new!relations_name""),6,FALSE)
,
(IF
(
G2104=""юридична особа""
,
VLOOKUP"&amp;"(H2104,IMPORTRANGE(""https://docs.google.com/spreadsheets/d/14Bd19lYaqBhU8_DElYkX7l4wRkHqqCUFNJY4AfY3kHU/edit?usp=sharing  #gid=0"",""фіз особи new!relations_name_uo""),7,FALSE)
,
)
))"),"#N/A")</f>
        <v>#N/A</v>
      </c>
      <c r="J2103" s="7" t="s">
        <v>15</v>
      </c>
    </row>
    <row r="2104" spans="1:10" ht="13.2">
      <c r="A2104" s="7">
        <v>2103</v>
      </c>
      <c r="B2104" s="7">
        <v>1</v>
      </c>
      <c r="C2104" s="7" t="s">
        <v>10</v>
      </c>
      <c r="D2104" s="7">
        <v>621</v>
      </c>
      <c r="E2104" s="7" t="s">
        <v>30</v>
      </c>
      <c r="F2104" s="8" t="str">
        <f ca="1">IFERROR(__xludf.DUMMYFUNCTION("IF
(
C2105=""фізична особа""
,
VLOOKUP(D2105,IMPORTRANGE(""https://docs.google.com/spreadsheets/d/14Bd19lYaqBhU8_DElYkX7l4wRkHqqCUFNJY4AfY3kHU/edit?usp=sharing  #gid=0"",""фіз особи new!relations_name""),6,FALSE)
,
(IF
(
C2105=""юридична особа""
,
VLOOKUP"&amp;"(D2105,IMPORTRANGE(""https://docs.google.com/spreadsheets/d/14Bd19lYaqBhU8_DElYkX7l4wRkHqqCUFNJY4AfY3kHU/edit?usp=sharing  #gid=0"",""фіз особи new!relations_name_uo""),7,FALSE)
,
)
))"),"БАБАЯН Роман Георгійович")</f>
        <v>БАБАЯН Роман Георгійович</v>
      </c>
      <c r="G2104" s="7" t="s">
        <v>10</v>
      </c>
      <c r="H2104" s="7">
        <v>0</v>
      </c>
      <c r="I2104" s="8" t="str">
        <f ca="1">IFERROR(__xludf.DUMMYFUNCTION("IF
(
G2105=""фізична особа""
,
VLOOKUP(H2105,IMPORTRANGE(""https://docs.google.com/spreadsheets/d/14Bd19lYaqBhU8_DElYkX7l4wRkHqqCUFNJY4AfY3kHU/edit?usp=sharing  #gid=0"",""фіз особи new!relations_name""),6,FALSE)
,
(IF
(
G2105=""юридична особа""
,
VLOOKUP"&amp;"(H2105,IMPORTRANGE(""https://docs.google.com/spreadsheets/d/14Bd19lYaqBhU8_DElYkX7l4wRkHqqCUFNJY4AfY3kHU/edit?usp=sharing  #gid=0"",""фіз особи new!relations_name_uo""),7,FALSE)
,
)
))"),"#N/A")</f>
        <v>#N/A</v>
      </c>
      <c r="J2104" s="7" t="s">
        <v>30</v>
      </c>
    </row>
    <row r="2105" spans="1:10" ht="13.2">
      <c r="A2105" s="7">
        <v>2104</v>
      </c>
      <c r="B2105" s="7">
        <v>1</v>
      </c>
      <c r="C2105" s="7" t="s">
        <v>10</v>
      </c>
      <c r="D2105" s="7">
        <v>621</v>
      </c>
      <c r="E2105" s="7" t="s">
        <v>30</v>
      </c>
      <c r="F2105" s="8" t="str">
        <f ca="1">IFERROR(__xludf.DUMMYFUNCTION("IF
(
C2106=""фізична особа""
,
VLOOKUP(D2106,IMPORTRANGE(""https://docs.google.com/spreadsheets/d/14Bd19lYaqBhU8_DElYkX7l4wRkHqqCUFNJY4AfY3kHU/edit?usp=sharing  #gid=0"",""фіз особи new!relations_name""),6,FALSE)
,
(IF
(
C2106=""юридична особа""
,
VLOOKUP"&amp;"(D2106,IMPORTRANGE(""https://docs.google.com/spreadsheets/d/14Bd19lYaqBhU8_DElYkX7l4wRkHqqCUFNJY4AfY3kHU/edit?usp=sharing  #gid=0"",""фіз особи new!relations_name_uo""),7,FALSE)
,
)
))"),"БАБАЯН Роман Георгійович")</f>
        <v>БАБАЯН Роман Георгійович</v>
      </c>
      <c r="G2105" s="7" t="s">
        <v>10</v>
      </c>
      <c r="H2105" s="7">
        <v>0</v>
      </c>
      <c r="I2105" s="8" t="str">
        <f ca="1">IFERROR(__xludf.DUMMYFUNCTION("IF
(
G2106=""фізична особа""
,
VLOOKUP(H2106,IMPORTRANGE(""https://docs.google.com/spreadsheets/d/14Bd19lYaqBhU8_DElYkX7l4wRkHqqCUFNJY4AfY3kHU/edit?usp=sharing  #gid=0"",""фіз особи new!relations_name""),6,FALSE)
,
(IF
(
G2106=""юридична особа""
,
VLOOKUP"&amp;"(H2106,IMPORTRANGE(""https://docs.google.com/spreadsheets/d/14Bd19lYaqBhU8_DElYkX7l4wRkHqqCUFNJY4AfY3kHU/edit?usp=sharing  #gid=0"",""фіз особи new!relations_name_uo""),7,FALSE)
,
)
))"),"#N/A")</f>
        <v>#N/A</v>
      </c>
      <c r="J2105" s="7" t="s">
        <v>30</v>
      </c>
    </row>
    <row r="2106" spans="1:10" ht="13.2">
      <c r="A2106" s="7">
        <v>2105</v>
      </c>
      <c r="B2106" s="7">
        <v>1</v>
      </c>
      <c r="C2106" s="7" t="s">
        <v>10</v>
      </c>
      <c r="D2106" s="7">
        <v>621</v>
      </c>
      <c r="E2106" s="7" t="s">
        <v>30</v>
      </c>
      <c r="F2106" s="8" t="str">
        <f ca="1">IFERROR(__xludf.DUMMYFUNCTION("IF
(
C2107=""фізична особа""
,
VLOOKUP(D2107,IMPORTRANGE(""https://docs.google.com/spreadsheets/d/14Bd19lYaqBhU8_DElYkX7l4wRkHqqCUFNJY4AfY3kHU/edit?usp=sharing  #gid=0"",""фіз особи new!relations_name""),6,FALSE)
,
(IF
(
C2107=""юридична особа""
,
VLOOKUP"&amp;"(D2107,IMPORTRANGE(""https://docs.google.com/spreadsheets/d/14Bd19lYaqBhU8_DElYkX7l4wRkHqqCUFNJY4AfY3kHU/edit?usp=sharing  #gid=0"",""фіз особи new!relations_name_uo""),7,FALSE)
,
)
))"),"БАБАЯН Роман Георгійович")</f>
        <v>БАБАЯН Роман Георгійович</v>
      </c>
      <c r="G2106" s="7" t="s">
        <v>10</v>
      </c>
      <c r="H2106" s="7">
        <v>0</v>
      </c>
      <c r="I2106" s="8" t="str">
        <f ca="1">IFERROR(__xludf.DUMMYFUNCTION("IF
(
G2107=""фізична особа""
,
VLOOKUP(H2107,IMPORTRANGE(""https://docs.google.com/spreadsheets/d/14Bd19lYaqBhU8_DElYkX7l4wRkHqqCUFNJY4AfY3kHU/edit?usp=sharing  #gid=0"",""фіз особи new!relations_name""),6,FALSE)
,
(IF
(
G2107=""юридична особа""
,
VLOOKUP"&amp;"(H2107,IMPORTRANGE(""https://docs.google.com/spreadsheets/d/14Bd19lYaqBhU8_DElYkX7l4wRkHqqCUFNJY4AfY3kHU/edit?usp=sharing  #gid=0"",""фіз особи new!relations_name_uo""),7,FALSE)
,
)
))"),"#N/A")</f>
        <v>#N/A</v>
      </c>
      <c r="J2106" s="7" t="s">
        <v>30</v>
      </c>
    </row>
    <row r="2107" spans="1:10" ht="13.2">
      <c r="A2107" s="7">
        <v>2106</v>
      </c>
      <c r="B2107" s="7">
        <v>1</v>
      </c>
      <c r="C2107" s="7" t="s">
        <v>10</v>
      </c>
      <c r="D2107" s="7">
        <v>622</v>
      </c>
      <c r="E2107" s="7" t="s">
        <v>48</v>
      </c>
      <c r="F2107" s="8" t="str">
        <f ca="1">IFERROR(__xludf.DUMMYFUNCTION("IF
(
C2108=""фізична особа""
,
VLOOKUP(D2108,IMPORTRANGE(""https://docs.google.com/spreadsheets/d/14Bd19lYaqBhU8_DElYkX7l4wRkHqqCUFNJY4AfY3kHU/edit?usp=sharing  #gid=0"",""фіз особи new!relations_name""),6,FALSE)
,
(IF
(
C2108=""юридична особа""
,
VLOOKUP"&amp;"(D2108,IMPORTRANGE(""https://docs.google.com/spreadsheets/d/14Bd19lYaqBhU8_DElYkX7l4wRkHqqCUFNJY4AfY3kHU/edit?usp=sharing  #gid=0"",""фіз особи new!relations_name_uo""),7,FALSE)
,
)
))"),"ТЕРЮШКОВ Роман Ігорович")</f>
        <v>ТЕРЮШКОВ Роман Ігорович</v>
      </c>
      <c r="G2107" s="7" t="s">
        <v>10</v>
      </c>
      <c r="H2107" s="7">
        <v>2545</v>
      </c>
      <c r="I2107" s="8" t="str">
        <f ca="1">IFERROR(__xludf.DUMMYFUNCTION("IF
(
G2108=""фізична особа""
,
VLOOKUP(H2108,IMPORTRANGE(""https://docs.google.com/spreadsheets/d/14Bd19lYaqBhU8_DElYkX7l4wRkHqqCUFNJY4AfY3kHU/edit?usp=sharing  #gid=0"",""фіз особи new!relations_name""),6,FALSE)
,
(IF
(
G2108=""юридична особа""
,
VLOOKUP"&amp;"(H2108,IMPORTRANGE(""https://docs.google.com/spreadsheets/d/14Bd19lYaqBhU8_DElYkX7l4wRkHqqCUFNJY4AfY3kHU/edit?usp=sharing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2107" s="7" t="s">
        <v>48</v>
      </c>
    </row>
    <row r="2108" spans="1:10" ht="13.2">
      <c r="A2108" s="7">
        <v>2107</v>
      </c>
      <c r="B2108" s="7">
        <v>1</v>
      </c>
      <c r="C2108" s="7" t="s">
        <v>10</v>
      </c>
      <c r="D2108" s="7">
        <v>623</v>
      </c>
      <c r="E2108" s="7" t="s">
        <v>14</v>
      </c>
      <c r="F2108" s="8" t="str">
        <f ca="1">IFERROR(__xludf.DUMMYFUNCTION("IF
(
C2109=""фізична особа""
,
VLOOKUP(D2109,IMPORTRANGE(""https://docs.google.com/spreadsheets/d/14Bd19lYaqBhU8_DElYkX7l4wRkHqqCUFNJY4AfY3kHU/edit?usp=sharing  #gid=0"",""фіз особи new!relations_name""),6,FALSE)
,
(IF
(
C2109=""юридична особа""
,
VLOOKUP"&amp;"(D2109,IMPORTRANGE(""https://docs.google.com/spreadsheets/d/14Bd19lYaqBhU8_DElYkX7l4wRkHqqCUFNJY4AfY3kHU/edit?usp=sharing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08" s="7" t="s">
        <v>10</v>
      </c>
      <c r="H2108" s="7">
        <v>0</v>
      </c>
      <c r="I2108" s="8" t="str">
        <f ca="1">IFERROR(__xludf.DUMMYFUNCTION("IF
(
G2109=""фізична особа""
,
VLOOKUP(H2109,IMPORTRANGE(""https://docs.google.com/spreadsheets/d/14Bd19lYaqBhU8_DElYkX7l4wRkHqqCUFNJY4AfY3kHU/edit?usp=sharing  #gid=0"",""фіз особи new!relations_name""),6,FALSE)
,
(IF
(
G2109=""юридична особа""
,
VLOOKUP"&amp;"(H2109,IMPORTRANGE(""https://docs.google.com/spreadsheets/d/14Bd19lYaqBhU8_DElYkX7l4wRkHqqCUFNJY4AfY3kHU/edit?usp=sharing  #gid=0"",""фіз особи new!relations_name_uo""),7,FALSE)
,
)
))"),"#N/A")</f>
        <v>#N/A</v>
      </c>
      <c r="J2108" s="7" t="s">
        <v>15</v>
      </c>
    </row>
    <row r="2109" spans="1:10" ht="13.2">
      <c r="A2109" s="7">
        <v>2108</v>
      </c>
      <c r="B2109" s="7">
        <v>1</v>
      </c>
      <c r="C2109" s="7" t="s">
        <v>10</v>
      </c>
      <c r="D2109" s="7">
        <v>623</v>
      </c>
      <c r="E2109" s="7" t="s">
        <v>12</v>
      </c>
      <c r="F2109" s="8" t="str">
        <f ca="1">IFERROR(__xludf.DUMMYFUNCTION("IF
(
C2110=""фізична особа""
,
VLOOKUP(D2110,IMPORTRANGE(""https://docs.google.com/spreadsheets/d/14Bd19lYaqBhU8_DElYkX7l4wRkHqqCUFNJY4AfY3kHU/edit?usp=sharing  #gid=0"",""фіз особи new!relations_name""),6,FALSE)
,
(IF
(
C2110=""юридична особа""
,
VLOOKUP"&amp;"(D2110,IMPORTRANGE(""https://docs.google.com/spreadsheets/d/14Bd19lYaqBhU8_DElYkX7l4wRkHqqCUFNJY4AfY3kHU/edit?usp=sharing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09" s="7" t="s">
        <v>10</v>
      </c>
      <c r="H2109" s="7">
        <v>0</v>
      </c>
      <c r="I2109" s="8" t="str">
        <f ca="1">IFERROR(__xludf.DUMMYFUNCTION("IF
(
G2110=""фізична особа""
,
VLOOKUP(H2110,IMPORTRANGE(""https://docs.google.com/spreadsheets/d/14Bd19lYaqBhU8_DElYkX7l4wRkHqqCUFNJY4AfY3kHU/edit?usp=sharing  #gid=0"",""фіз особи new!relations_name""),6,FALSE)
,
(IF
(
G2110=""юридична особа""
,
VLOOKUP"&amp;"(H2110,IMPORTRANGE(""https://docs.google.com/spreadsheets/d/14Bd19lYaqBhU8_DElYkX7l4wRkHqqCUFNJY4AfY3kHU/edit?usp=sharing  #gid=0"",""фіз особи new!relations_name_uo""),7,FALSE)
,
)
))"),"#N/A")</f>
        <v>#N/A</v>
      </c>
      <c r="J2109" s="7" t="s">
        <v>13</v>
      </c>
    </row>
    <row r="2110" spans="1:10" ht="13.2">
      <c r="A2110" s="7">
        <v>2109</v>
      </c>
      <c r="B2110" s="7">
        <v>1</v>
      </c>
      <c r="C2110" s="7" t="s">
        <v>10</v>
      </c>
      <c r="D2110" s="7">
        <v>623</v>
      </c>
      <c r="E2110" s="7" t="s">
        <v>24</v>
      </c>
      <c r="F2110" s="8" t="str">
        <f ca="1">IFERROR(__xludf.DUMMYFUNCTION("IF
(
C2111=""фізична особа""
,
VLOOKUP(D2111,IMPORTRANGE(""https://docs.google.com/spreadsheets/d/14Bd19lYaqBhU8_DElYkX7l4wRkHqqCUFNJY4AfY3kHU/edit?usp=sharing  #gid=0"",""фіз особи new!relations_name""),6,FALSE)
,
(IF
(
C2111=""юридична особа""
,
VLOOKUP"&amp;"(D2111,IMPORTRANGE(""https://docs.google.com/spreadsheets/d/14Bd19lYaqBhU8_DElYkX7l4wRkHqqCUFNJY4AfY3kHU/edit?usp=sharing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0" s="7" t="s">
        <v>10</v>
      </c>
      <c r="H2110" s="7">
        <v>0</v>
      </c>
      <c r="I2110" s="8" t="str">
        <f ca="1">IFERROR(__xludf.DUMMYFUNCTION("IF
(
G2111=""фізична особа""
,
VLOOKUP(H2111,IMPORTRANGE(""https://docs.google.com/spreadsheets/d/14Bd19lYaqBhU8_DElYkX7l4wRkHqqCUFNJY4AfY3kHU/edit?usp=sharing  #gid=0"",""фіз особи new!relations_name""),6,FALSE)
,
(IF
(
G2111=""юридична особа""
,
VLOOKUP"&amp;"(H2111,IMPORTRANGE(""https://docs.google.com/spreadsheets/d/14Bd19lYaqBhU8_DElYkX7l4wRkHqqCUFNJY4AfY3kHU/edit?usp=sharing  #gid=0"",""фіз особи new!relations_name_uo""),7,FALSE)
,
)
))"),"#N/A")</f>
        <v>#N/A</v>
      </c>
      <c r="J2110" s="7" t="s">
        <v>26</v>
      </c>
    </row>
    <row r="2111" spans="1:10" ht="13.2">
      <c r="A2111" s="7">
        <v>2110</v>
      </c>
      <c r="B2111" s="7">
        <v>1</v>
      </c>
      <c r="C2111" s="7" t="s">
        <v>10</v>
      </c>
      <c r="D2111" s="7">
        <v>623</v>
      </c>
      <c r="E2111" s="7" t="s">
        <v>59</v>
      </c>
      <c r="F2111" s="8" t="str">
        <f ca="1">IFERROR(__xludf.DUMMYFUNCTION("IF
(
C2112=""фізична особа""
,
VLOOKUP(D2112,IMPORTRANGE(""https://docs.google.com/spreadsheets/d/14Bd19lYaqBhU8_DElYkX7l4wRkHqqCUFNJY4AfY3kHU/edit?usp=sharing  #gid=0"",""фіз особи new!relations_name""),6,FALSE)
,
(IF
(
C2112=""юридична особа""
,
VLOOKUP"&amp;"(D2112,IMPORTRANGE(""https://docs.google.com/spreadsheets/d/14Bd19lYaqBhU8_DElYkX7l4wRkHqqCUFNJY4AfY3kHU/edit?usp=sharing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1" s="7" t="s">
        <v>10</v>
      </c>
      <c r="H2111" s="7">
        <v>0</v>
      </c>
      <c r="I2111" s="8" t="str">
        <f ca="1">IFERROR(__xludf.DUMMYFUNCTION("IF
(
G2112=""фізична особа""
,
VLOOKUP(H2112,IMPORTRANGE(""https://docs.google.com/spreadsheets/d/14Bd19lYaqBhU8_DElYkX7l4wRkHqqCUFNJY4AfY3kHU/edit?usp=sharing  #gid=0"",""фіз особи new!relations_name""),6,FALSE)
,
(IF
(
G2112=""юридична особа""
,
VLOOKUP"&amp;"(H2112,IMPORTRANGE(""https://docs.google.com/spreadsheets/d/14Bd19lYaqBhU8_DElYkX7l4wRkHqqCUFNJY4AfY3kHU/edit?usp=sharing  #gid=0"",""фіз особи new!relations_name_uo""),7,FALSE)
,
)
))"),"#N/A")</f>
        <v>#N/A</v>
      </c>
      <c r="J2111" s="7" t="s">
        <v>61</v>
      </c>
    </row>
    <row r="2112" spans="1:10" ht="13.2">
      <c r="A2112" s="7">
        <v>2111</v>
      </c>
      <c r="B2112" s="7">
        <v>1</v>
      </c>
      <c r="C2112" s="7" t="s">
        <v>10</v>
      </c>
      <c r="D2112" s="7">
        <v>623</v>
      </c>
      <c r="E2112" s="7" t="s">
        <v>59</v>
      </c>
      <c r="F2112" s="8" t="str">
        <f ca="1">IFERROR(__xludf.DUMMYFUNCTION("IF
(
C2113=""фізична особа""
,
VLOOKUP(D2113,IMPORTRANGE(""https://docs.google.com/spreadsheets/d/14Bd19lYaqBhU8_DElYkX7l4wRkHqqCUFNJY4AfY3kHU/edit?usp=sharing  #gid=0"",""фіз особи new!relations_name""),6,FALSE)
,
(IF
(
C2113=""юридична особа""
,
VLOOKUP"&amp;"(D2113,IMPORTRANGE(""https://docs.google.com/spreadsheets/d/14Bd19lYaqBhU8_DElYkX7l4wRkHqqCUFNJY4AfY3kHU/edit?usp=sharing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2" s="7" t="s">
        <v>10</v>
      </c>
      <c r="H2112" s="7">
        <v>0</v>
      </c>
      <c r="I2112" s="8" t="str">
        <f ca="1">IFERROR(__xludf.DUMMYFUNCTION("IF
(
G2113=""фізична особа""
,
VLOOKUP(H2113,IMPORTRANGE(""https://docs.google.com/spreadsheets/d/14Bd19lYaqBhU8_DElYkX7l4wRkHqqCUFNJY4AfY3kHU/edit?usp=sharing  #gid=0"",""фіз особи new!relations_name""),6,FALSE)
,
(IF
(
G2113=""юридична особа""
,
VLOOKUP"&amp;"(H2113,IMPORTRANGE(""https://docs.google.com/spreadsheets/d/14Bd19lYaqBhU8_DElYkX7l4wRkHqqCUFNJY4AfY3kHU/edit?usp=sharing  #gid=0"",""фіз особи new!relations_name_uo""),7,FALSE)
,
)
))"),"#N/A")</f>
        <v>#N/A</v>
      </c>
      <c r="J2112" s="7" t="s">
        <v>61</v>
      </c>
    </row>
    <row r="2113" spans="1:10" ht="13.2">
      <c r="A2113" s="7">
        <v>2112</v>
      </c>
      <c r="B2113" s="7">
        <v>1</v>
      </c>
      <c r="C2113" s="7" t="s">
        <v>10</v>
      </c>
      <c r="D2113" s="7">
        <v>623</v>
      </c>
      <c r="E2113" s="7" t="s">
        <v>59</v>
      </c>
      <c r="F2113" s="8" t="str">
        <f ca="1">IFERROR(__xludf.DUMMYFUNCTION("IF
(
C2114=""фізична особа""
,
VLOOKUP(D2114,IMPORTRANGE(""https://docs.google.com/spreadsheets/d/14Bd19lYaqBhU8_DElYkX7l4wRkHqqCUFNJY4AfY3kHU/edit?usp=sharing  #gid=0"",""фіз особи new!relations_name""),6,FALSE)
,
(IF
(
C2114=""юридична особа""
,
VLOOKUP"&amp;"(D2114,IMPORTRANGE(""https://docs.google.com/spreadsheets/d/14Bd19lYaqBhU8_DElYkX7l4wRkHqqCUFNJY4AfY3kHU/edit?usp=sharing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3" s="7" t="s">
        <v>10</v>
      </c>
      <c r="H2113" s="7">
        <v>0</v>
      </c>
      <c r="I2113" s="8" t="str">
        <f ca="1">IFERROR(__xludf.DUMMYFUNCTION("IF
(
G2114=""фізична особа""
,
VLOOKUP(H2114,IMPORTRANGE(""https://docs.google.com/spreadsheets/d/14Bd19lYaqBhU8_DElYkX7l4wRkHqqCUFNJY4AfY3kHU/edit?usp=sharing  #gid=0"",""фіз особи new!relations_name""),6,FALSE)
,
(IF
(
G2114=""юридична особа""
,
VLOOKUP"&amp;"(H2114,IMPORTRANGE(""https://docs.google.com/spreadsheets/d/14Bd19lYaqBhU8_DElYkX7l4wRkHqqCUFNJY4AfY3kHU/edit?usp=sharing  #gid=0"",""фіз особи new!relations_name_uo""),7,FALSE)
,
)
))"),"#N/A")</f>
        <v>#N/A</v>
      </c>
      <c r="J2113" s="7" t="s">
        <v>60</v>
      </c>
    </row>
    <row r="2114" spans="1:10" ht="13.2">
      <c r="A2114" s="7">
        <v>2113</v>
      </c>
      <c r="B2114" s="7">
        <v>1</v>
      </c>
      <c r="C2114" s="7" t="s">
        <v>10</v>
      </c>
      <c r="D2114" s="7">
        <v>623</v>
      </c>
      <c r="E2114" s="7" t="s">
        <v>59</v>
      </c>
      <c r="F2114" s="8" t="str">
        <f ca="1">IFERROR(__xludf.DUMMYFUNCTION("IF
(
C2115=""фізична особа""
,
VLOOKUP(D2115,IMPORTRANGE(""https://docs.google.com/spreadsheets/d/14Bd19lYaqBhU8_DElYkX7l4wRkHqqCUFNJY4AfY3kHU/edit?usp=sharing  #gid=0"",""фіз особи new!relations_name""),6,FALSE)
,
(IF
(
C2115=""юридична особа""
,
VLOOKUP"&amp;"(D2115,IMPORTRANGE(""https://docs.google.com/spreadsheets/d/14Bd19lYaqBhU8_DElYkX7l4wRkHqqCUFNJY4AfY3kHU/edit?usp=sharing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4" s="7" t="s">
        <v>10</v>
      </c>
      <c r="H2114" s="7">
        <v>0</v>
      </c>
      <c r="I2114" s="8" t="str">
        <f ca="1">IFERROR(__xludf.DUMMYFUNCTION("IF
(
G2115=""фізична особа""
,
VLOOKUP(H2115,IMPORTRANGE(""https://docs.google.com/spreadsheets/d/14Bd19lYaqBhU8_DElYkX7l4wRkHqqCUFNJY4AfY3kHU/edit?usp=sharing  #gid=0"",""фіз особи new!relations_name""),6,FALSE)
,
(IF
(
G2115=""юридична особа""
,
VLOOKUP"&amp;"(H2115,IMPORTRANGE(""https://docs.google.com/spreadsheets/d/14Bd19lYaqBhU8_DElYkX7l4wRkHqqCUFNJY4AfY3kHU/edit?usp=sharing  #gid=0"",""фіз особи new!relations_name_uo""),7,FALSE)
,
)
))"),"#N/A")</f>
        <v>#N/A</v>
      </c>
      <c r="J2114" s="7" t="s">
        <v>60</v>
      </c>
    </row>
    <row r="2115" spans="1:10" ht="13.2">
      <c r="A2115" s="7">
        <v>2114</v>
      </c>
      <c r="B2115" s="7">
        <v>1</v>
      </c>
      <c r="C2115" s="7" t="s">
        <v>10</v>
      </c>
      <c r="D2115" s="7">
        <v>623</v>
      </c>
      <c r="E2115" s="7" t="s">
        <v>55</v>
      </c>
      <c r="F2115" s="8" t="str">
        <f ca="1">IFERROR(__xludf.DUMMYFUNCTION("IF
(
C2116=""фізична особа""
,
VLOOKUP(D2116,IMPORTRANGE(""https://docs.google.com/spreadsheets/d/14Bd19lYaqBhU8_DElYkX7l4wRkHqqCUFNJY4AfY3kHU/edit?usp=sharing  #gid=0"",""фіз особи new!relations_name""),6,FALSE)
,
(IF
(
C2116=""юридична особа""
,
VLOOKUP"&amp;"(D2116,IMPORTRANGE(""https://docs.google.com/spreadsheets/d/14Bd19lYaqBhU8_DElYkX7l4wRkHqqCUFNJY4AfY3kHU/edit?usp=sharing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5" s="7" t="s">
        <v>10</v>
      </c>
      <c r="H2115" s="7">
        <v>0</v>
      </c>
      <c r="I2115" s="8" t="str">
        <f ca="1">IFERROR(__xludf.DUMMYFUNCTION("IF
(
G2116=""фізична особа""
,
VLOOKUP(H2116,IMPORTRANGE(""https://docs.google.com/spreadsheets/d/14Bd19lYaqBhU8_DElYkX7l4wRkHqqCUFNJY4AfY3kHU/edit?usp=sharing  #gid=0"",""фіз особи new!relations_name""),6,FALSE)
,
(IF
(
G2116=""юридична особа""
,
VLOOKUP"&amp;"(H2116,IMPORTRANGE(""https://docs.google.com/spreadsheets/d/14Bd19lYaqBhU8_DElYkX7l4wRkHqqCUFNJY4AfY3kHU/edit?usp=sharing  #gid=0"",""фіз особи new!relations_name_uo""),7,FALSE)
,
)
))"),"#N/A")</f>
        <v>#N/A</v>
      </c>
      <c r="J2115" s="7" t="s">
        <v>54</v>
      </c>
    </row>
    <row r="2116" spans="1:10" ht="13.2">
      <c r="A2116" s="7">
        <v>2115</v>
      </c>
      <c r="B2116" s="7">
        <v>1</v>
      </c>
      <c r="C2116" s="7" t="s">
        <v>10</v>
      </c>
      <c r="D2116" s="7">
        <v>623</v>
      </c>
      <c r="E2116" s="7" t="s">
        <v>12</v>
      </c>
      <c r="F2116" s="8" t="str">
        <f ca="1">IFERROR(__xludf.DUMMYFUNCTION("IF
(
C2117=""фізична особа""
,
VLOOKUP(D2117,IMPORTRANGE(""https://docs.google.com/spreadsheets/d/14Bd19lYaqBhU8_DElYkX7l4wRkHqqCUFNJY4AfY3kHU/edit?usp=sharing  #gid=0"",""фіз особи new!relations_name""),6,FALSE)
,
(IF
(
C2117=""юридична особа""
,
VLOOKUP"&amp;"(D2117,IMPORTRANGE(""https://docs.google.com/spreadsheets/d/14Bd19lYaqBhU8_DElYkX7l4wRkHqqCUFNJY4AfY3kHU/edit?usp=sharing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6" s="7" t="s">
        <v>10</v>
      </c>
      <c r="H2116" s="7">
        <v>0</v>
      </c>
      <c r="I2116" s="8" t="str">
        <f ca="1">IFERROR(__xludf.DUMMYFUNCTION("IF
(
G2117=""фізична особа""
,
VLOOKUP(H2117,IMPORTRANGE(""https://docs.google.com/spreadsheets/d/14Bd19lYaqBhU8_DElYkX7l4wRkHqqCUFNJY4AfY3kHU/edit?usp=sharing  #gid=0"",""фіз особи new!relations_name""),6,FALSE)
,
(IF
(
G2117=""юридична особа""
,
VLOOKUP"&amp;"(H2117,IMPORTRANGE(""https://docs.google.com/spreadsheets/d/14Bd19lYaqBhU8_DElYkX7l4wRkHqqCUFNJY4AfY3kHU/edit?usp=sharing  #gid=0"",""фіз особи new!relations_name_uo""),7,FALSE)
,
)
))"),"#N/A")</f>
        <v>#N/A</v>
      </c>
      <c r="J2116" s="7" t="s">
        <v>17</v>
      </c>
    </row>
    <row r="2117" spans="1:10" ht="13.2">
      <c r="A2117" s="7">
        <v>2116</v>
      </c>
      <c r="B2117" s="7">
        <v>1</v>
      </c>
      <c r="C2117" s="7" t="s">
        <v>10</v>
      </c>
      <c r="D2117" s="7">
        <v>623</v>
      </c>
      <c r="E2117" s="7" t="s">
        <v>34</v>
      </c>
      <c r="F2117" s="8" t="str">
        <f ca="1">IFERROR(__xludf.DUMMYFUNCTION("IF
(
C2118=""фізична особа""
,
VLOOKUP(D2118,IMPORTRANGE(""https://docs.google.com/spreadsheets/d/14Bd19lYaqBhU8_DElYkX7l4wRkHqqCUFNJY4AfY3kHU/edit?usp=sharing  #gid=0"",""фіз особи new!relations_name""),6,FALSE)
,
(IF
(
C2118=""юридична особа""
,
VLOOKUP"&amp;"(D2118,IMPORTRANGE(""https://docs.google.com/spreadsheets/d/14Bd19lYaqBhU8_DElYkX7l4wRkHqqCUFNJY4AfY3kHU/edit?usp=sharing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7" s="7" t="s">
        <v>10</v>
      </c>
      <c r="H2117" s="7">
        <v>0</v>
      </c>
      <c r="I2117" s="8" t="str">
        <f ca="1">IFERROR(__xludf.DUMMYFUNCTION("IF
(
G2118=""фізична особа""
,
VLOOKUP(H2118,IMPORTRANGE(""https://docs.google.com/spreadsheets/d/14Bd19lYaqBhU8_DElYkX7l4wRkHqqCUFNJY4AfY3kHU/edit?usp=sharing  #gid=0"",""фіз особи new!relations_name""),6,FALSE)
,
(IF
(
G2118=""юридична особа""
,
VLOOKUP"&amp;"(H2118,IMPORTRANGE(""https://docs.google.com/spreadsheets/d/14Bd19lYaqBhU8_DElYkX7l4wRkHqqCUFNJY4AfY3kHU/edit?usp=sharing  #gid=0"",""фіз особи new!relations_name_uo""),7,FALSE)
,
)
))"),"#N/A")</f>
        <v>#N/A</v>
      </c>
      <c r="J2117" s="7" t="s">
        <v>25</v>
      </c>
    </row>
    <row r="2118" spans="1:10" ht="13.2">
      <c r="A2118" s="7">
        <v>2117</v>
      </c>
      <c r="B2118" s="7">
        <v>1</v>
      </c>
      <c r="C2118" s="7" t="s">
        <v>10</v>
      </c>
      <c r="D2118" s="7">
        <v>623</v>
      </c>
      <c r="E2118" s="7" t="s">
        <v>62</v>
      </c>
      <c r="F2118" s="8" t="str">
        <f ca="1">IFERROR(__xludf.DUMMYFUNCTION("IF
(
C2119=""фізична особа""
,
VLOOKUP(D2119,IMPORTRANGE(""https://docs.google.com/spreadsheets/d/14Bd19lYaqBhU8_DElYkX7l4wRkHqqCUFNJY4AfY3kHU/edit?usp=sharing  #gid=0"",""фіз особи new!relations_name""),6,FALSE)
,
(IF
(
C2119=""юридична особа""
,
VLOOKUP"&amp;"(D2119,IMPORTRANGE(""https://docs.google.com/spreadsheets/d/14Bd19lYaqBhU8_DElYkX7l4wRkHqqCUFNJY4AfY3kHU/edit?usp=sharing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G2118" s="7" t="s">
        <v>10</v>
      </c>
      <c r="H2118" s="7">
        <v>0</v>
      </c>
      <c r="I2118" s="8" t="str">
        <f ca="1">IFERROR(__xludf.DUMMYFUNCTION("IF
(
G2119=""фізична особа""
,
VLOOKUP(H2119,IMPORTRANGE(""https://docs.google.com/spreadsheets/d/14Bd19lYaqBhU8_DElYkX7l4wRkHqqCUFNJY4AfY3kHU/edit?usp=sharing  #gid=0"",""фіз особи new!relations_name""),6,FALSE)
,
(IF
(
G2119=""юридична особа""
,
VLOOKUP"&amp;"(H2119,IMPORTRANGE(""https://docs.google.com/spreadsheets/d/14Bd19lYaqBhU8_DElYkX7l4wRkHqqCUFNJY4AfY3kHU/edit?usp=sharing  #gid=0"",""фіз особи new!relations_name_uo""),7,FALSE)
,
)
))"),"#N/A")</f>
        <v>#N/A</v>
      </c>
      <c r="J2118" s="7" t="s">
        <v>62</v>
      </c>
    </row>
    <row r="2119" spans="1:10" ht="13.2">
      <c r="A2119" s="7">
        <v>2118</v>
      </c>
      <c r="B2119" s="7">
        <v>1</v>
      </c>
      <c r="C2119" s="7" t="s">
        <v>10</v>
      </c>
      <c r="D2119" s="7">
        <v>624</v>
      </c>
      <c r="E2119" s="7" t="s">
        <v>12</v>
      </c>
      <c r="F2119" s="8" t="str">
        <f ca="1">IFERROR(__xludf.DUMMYFUNCTION("IF
(
C2120=""фізична особа""
,
VLOOKUP(D2120,IMPORTRANGE(""https://docs.google.com/spreadsheets/d/14Bd19lYaqBhU8_DElYkX7l4wRkHqqCUFNJY4AfY3kHU/edit?usp=sharing  #gid=0"",""фіз особи new!relations_name""),6,FALSE)
,
(IF
(
C2120=""юридична особа""
,
VLOOKUP"&amp;"(D2120,IMPORTRANGE(""https://docs.google.com/spreadsheets/d/14Bd19lYaqBhU8_DElYkX7l4wRkHqqCUFNJY4AfY3kHU/edit?usp=sharing  #gid=0"",""фіз особи new!relations_name_uo""),7,FALSE)
,
)
))"),"ЛЯБІХОВ Роман Михайлович")</f>
        <v>ЛЯБІХОВ Роман Михайлович</v>
      </c>
      <c r="G2119" s="7" t="s">
        <v>10</v>
      </c>
      <c r="H2119" s="7">
        <v>0</v>
      </c>
      <c r="I2119" s="8" t="str">
        <f ca="1">IFERROR(__xludf.DUMMYFUNCTION("IF
(
G2120=""фізична особа""
,
VLOOKUP(H2120,IMPORTRANGE(""https://docs.google.com/spreadsheets/d/14Bd19lYaqBhU8_DElYkX7l4wRkHqqCUFNJY4AfY3kHU/edit?usp=sharing  #gid=0"",""фіз особи new!relations_name""),6,FALSE)
,
(IF
(
G2120=""юридична особа""
,
VLOOKUP"&amp;"(H2120,IMPORTRANGE(""https://docs.google.com/spreadsheets/d/14Bd19lYaqBhU8_DElYkX7l4wRkHqqCUFNJY4AfY3kHU/edit?usp=sharing  #gid=0"",""фіз особи new!relations_name_uo""),7,FALSE)
,
)
))"),"#N/A")</f>
        <v>#N/A</v>
      </c>
      <c r="J2119" s="7" t="s">
        <v>13</v>
      </c>
    </row>
    <row r="2120" spans="1:10" ht="13.2">
      <c r="A2120" s="7">
        <v>2119</v>
      </c>
      <c r="B2120" s="7">
        <v>1</v>
      </c>
      <c r="C2120" s="7" t="s">
        <v>10</v>
      </c>
      <c r="D2120" s="7">
        <v>624</v>
      </c>
      <c r="E2120" s="7" t="s">
        <v>12</v>
      </c>
      <c r="F2120" s="8" t="str">
        <f ca="1">IFERROR(__xludf.DUMMYFUNCTION("IF
(
C2121=""фізична особа""
,
VLOOKUP(D2121,IMPORTRANGE(""https://docs.google.com/spreadsheets/d/14Bd19lYaqBhU8_DElYkX7l4wRkHqqCUFNJY4AfY3kHU/edit?usp=sharing  #gid=0"",""фіз особи new!relations_name""),6,FALSE)
,
(IF
(
C2121=""юридична особа""
,
VLOOKUP"&amp;"(D2121,IMPORTRANGE(""https://docs.google.com/spreadsheets/d/14Bd19lYaqBhU8_DElYkX7l4wRkHqqCUFNJY4AfY3kHU/edit?usp=sharing  #gid=0"",""фіз особи new!relations_name_uo""),7,FALSE)
,
)
))"),"ЛЯБІХОВ Роман Михайлович")</f>
        <v>ЛЯБІХОВ Роман Михайлович</v>
      </c>
      <c r="G2120" s="7" t="s">
        <v>10</v>
      </c>
      <c r="H2120" s="7">
        <v>0</v>
      </c>
      <c r="I2120" s="8" t="str">
        <f ca="1">IFERROR(__xludf.DUMMYFUNCTION("IF
(
G2121=""фізична особа""
,
VLOOKUP(H2121,IMPORTRANGE(""https://docs.google.com/spreadsheets/d/14Bd19lYaqBhU8_DElYkX7l4wRkHqqCUFNJY4AfY3kHU/edit?usp=sharing  #gid=0"",""фіз особи new!relations_name""),6,FALSE)
,
(IF
(
G2121=""юридична особа""
,
VLOOKUP"&amp;"(H2121,IMPORTRANGE(""https://docs.google.com/spreadsheets/d/14Bd19lYaqBhU8_DElYkX7l4wRkHqqCUFNJY4AfY3kHU/edit?usp=sharing  #gid=0"",""фіз особи new!relations_name_uo""),7,FALSE)
,
)
))"),"#N/A")</f>
        <v>#N/A</v>
      </c>
      <c r="J2120" s="7" t="s">
        <v>13</v>
      </c>
    </row>
    <row r="2121" spans="1:10" ht="13.2">
      <c r="A2121" s="7">
        <v>2120</v>
      </c>
      <c r="B2121" s="7">
        <v>1</v>
      </c>
      <c r="C2121" s="7" t="s">
        <v>10</v>
      </c>
      <c r="D2121" s="7">
        <v>624</v>
      </c>
      <c r="E2121" s="7" t="s">
        <v>48</v>
      </c>
      <c r="F2121" s="8" t="str">
        <f ca="1">IFERROR(__xludf.DUMMYFUNCTION("IF
(
C2122=""фізична особа""
,
VLOOKUP(D2122,IMPORTRANGE(""https://docs.google.com/spreadsheets/d/14Bd19lYaqBhU8_DElYkX7l4wRkHqqCUFNJY4AfY3kHU/edit?usp=sharing  #gid=0"",""фіз особи new!relations_name""),6,FALSE)
,
(IF
(
C2122=""юридична особа""
,
VLOOKUP"&amp;"(D2122,IMPORTRANGE(""https://docs.google.com/spreadsheets/d/14Bd19lYaqBhU8_DElYkX7l4wRkHqqCUFNJY4AfY3kHU/edit?usp=sharing  #gid=0"",""фіз особи new!relations_name_uo""),7,FALSE)
,
)
))"),"ЛЯБІХОВ Роман Михайлович")</f>
        <v>ЛЯБІХОВ Роман Михайлович</v>
      </c>
      <c r="G2121" s="7" t="s">
        <v>10</v>
      </c>
      <c r="H2121" s="7">
        <v>1001</v>
      </c>
      <c r="I2121" s="8" t="str">
        <f ca="1">IFERROR(__xludf.DUMMYFUNCTION("IF
(
G2122=""фізична особа""
,
VLOOKUP(H2122,IMPORTRANGE(""https://docs.google.com/spreadsheets/d/14Bd19lYaqBhU8_DElYkX7l4wRkHqqCUFNJY4AfY3kHU/edit?usp=sharing  #gid=0"",""фіз особи new!relations_name""),6,FALSE)
,
(IF
(
G2122=""юридична особа""
,
VLOOKUP"&amp;"(H2122,IMPORTRANGE(""https://docs.google.com/spreadsheets/d/14Bd19lYaqBhU8_DElYkX7l4wRkHqqCUFNJY4AfY3kHU/edit?usp=sharing  #gid=0"",""фіз особи new!relations_name_uo""),7,FALSE)
,
)
))"),"НЕКРАСОВ Олександр Миколайович")</f>
        <v>НЕКРАСОВ Олександр Миколайович</v>
      </c>
      <c r="J2121" s="7" t="s">
        <v>48</v>
      </c>
    </row>
    <row r="2122" spans="1:10" ht="13.2">
      <c r="A2122" s="7">
        <v>2121</v>
      </c>
      <c r="B2122" s="7">
        <v>1</v>
      </c>
      <c r="C2122" s="7" t="s">
        <v>10</v>
      </c>
      <c r="D2122" s="7">
        <v>625</v>
      </c>
      <c r="E2122" s="7" t="s">
        <v>17</v>
      </c>
      <c r="F2122" s="8" t="str">
        <f ca="1">IFERROR(__xludf.DUMMYFUNCTION("IF
(
C2123=""фізична особа""
,
VLOOKUP(D2123,IMPORTRANGE(""https://docs.google.com/spreadsheets/d/14Bd19lYaqBhU8_DElYkX7l4wRkHqqCUFNJY4AfY3kHU/edit?usp=sharing  #gid=0"",""фіз особи new!relations_name""),6,FALSE)
,
(IF
(
C2123=""юридична особа""
,
VLOOKUP"&amp;"(D2123,IMPORTRANGE(""https://docs.google.com/spreadsheets/d/14Bd19lYaqBhU8_DElYkX7l4wRkHqqCUFNJY4AfY3kHU/edit?usp=sharing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2" s="7" t="s">
        <v>10</v>
      </c>
      <c r="H2122" s="7">
        <v>8872</v>
      </c>
      <c r="I2122" s="8" t="str">
        <f ca="1">IFERROR(__xludf.DUMMYFUNCTION("IF
(
G2123=""фізична особа""
,
VLOOKUP(H2123,IMPORTRANGE(""https://docs.google.com/spreadsheets/d/14Bd19lYaqBhU8_DElYkX7l4wRkHqqCUFNJY4AfY3kHU/edit?usp=sharing  #gid=0"",""фіз особи new!relations_name""),6,FALSE)
,
(IF
(
G2123=""юридична особа""
,
VLOOKUP"&amp;"(H2123,IMPORTRANGE(""https://docs.google.com/spreadsheets/d/14Bd19lYaqBhU8_DElYkX7l4wRkHqqCUFNJY4AfY3kHU/edit?usp=sharing  #gid=0"",""фіз особи new!relations_name_uo""),7,FALSE)
,
)
))"),"ВОДЯНОВ Михайло Михайлович")</f>
        <v>ВОДЯНОВ Михайло Михайлович</v>
      </c>
      <c r="J2122" s="7" t="s">
        <v>12</v>
      </c>
    </row>
    <row r="2123" spans="1:10" ht="13.2">
      <c r="A2123" s="7">
        <v>2122</v>
      </c>
      <c r="B2123" s="7">
        <v>1</v>
      </c>
      <c r="C2123" s="7" t="s">
        <v>10</v>
      </c>
      <c r="D2123" s="7">
        <v>625</v>
      </c>
      <c r="E2123" s="7" t="s">
        <v>14</v>
      </c>
      <c r="F2123" s="8" t="str">
        <f ca="1">IFERROR(__xludf.DUMMYFUNCTION("IF
(
C2124=""фізична особа""
,
VLOOKUP(D2124,IMPORTRANGE(""https://docs.google.com/spreadsheets/d/14Bd19lYaqBhU8_DElYkX7l4wRkHqqCUFNJY4AfY3kHU/edit?usp=sharing  #gid=0"",""фіз особи new!relations_name""),6,FALSE)
,
(IF
(
C2124=""юридична особа""
,
VLOOKUP"&amp;"(D2124,IMPORTRANGE(""https://docs.google.com/spreadsheets/d/14Bd19lYaqBhU8_DElYkX7l4wRkHqqCUFNJY4AfY3kHU/edit?usp=sharing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3" s="7" t="s">
        <v>10</v>
      </c>
      <c r="H2123" s="7">
        <v>8871</v>
      </c>
      <c r="I2123" s="8" t="str">
        <f ca="1">IFERROR(__xludf.DUMMYFUNCTION("IF
(
G2124=""фізична особа""
,
VLOOKUP(H2124,IMPORTRANGE(""https://docs.google.com/spreadsheets/d/14Bd19lYaqBhU8_DElYkX7l4wRkHqqCUFNJY4AfY3kHU/edit?usp=sharing  #gid=0"",""фіз особи new!relations_name""),6,FALSE)
,
(IF
(
G2124=""юридична особа""
,
VLOOKUP"&amp;"(H2124,IMPORTRANGE(""https://docs.google.com/spreadsheets/d/14Bd19lYaqBhU8_DElYkX7l4wRkHqqCUFNJY4AfY3kHU/edit?usp=sharing  #gid=0"",""фіз особи new!relations_name_uo""),7,FALSE)
,
)
))"),"ВОДЯНОВА Марина Талгатівна")</f>
        <v>ВОДЯНОВА Марина Талгатівна</v>
      </c>
      <c r="J2123" s="7" t="s">
        <v>15</v>
      </c>
    </row>
    <row r="2124" spans="1:10" ht="13.2">
      <c r="A2124" s="7">
        <v>2123</v>
      </c>
      <c r="B2124" s="7">
        <v>1</v>
      </c>
      <c r="C2124" s="7" t="s">
        <v>10</v>
      </c>
      <c r="D2124" s="7">
        <v>625</v>
      </c>
      <c r="E2124" s="7" t="s">
        <v>12</v>
      </c>
      <c r="F2124" s="8" t="str">
        <f ca="1">IFERROR(__xludf.DUMMYFUNCTION("IF
(
C2125=""фізична особа""
,
VLOOKUP(D2125,IMPORTRANGE(""https://docs.google.com/spreadsheets/d/14Bd19lYaqBhU8_DElYkX7l4wRkHqqCUFNJY4AfY3kHU/edit?usp=sharing  #gid=0"",""фіз особи new!relations_name""),6,FALSE)
,
(IF
(
C2125=""юридична особа""
,
VLOOKUP"&amp;"(D2125,IMPORTRANGE(""https://docs.google.com/spreadsheets/d/14Bd19lYaqBhU8_DElYkX7l4wRkHqqCUFNJY4AfY3kHU/edit?usp=sharing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4" s="7" t="s">
        <v>10</v>
      </c>
      <c r="H2124" s="7">
        <v>0</v>
      </c>
      <c r="I2124" s="8" t="str">
        <f ca="1">IFERROR(__xludf.DUMMYFUNCTION("IF
(
G2125=""фізична особа""
,
VLOOKUP(H2125,IMPORTRANGE(""https://docs.google.com/spreadsheets/d/14Bd19lYaqBhU8_DElYkX7l4wRkHqqCUFNJY4AfY3kHU/edit?usp=sharing  #gid=0"",""фіз особи new!relations_name""),6,FALSE)
,
(IF
(
G2125=""юридична особа""
,
VLOOKUP"&amp;"(H2125,IMPORTRANGE(""https://docs.google.com/spreadsheets/d/14Bd19lYaqBhU8_DElYkX7l4wRkHqqCUFNJY4AfY3kHU/edit?usp=sharing  #gid=0"",""фіз особи new!relations_name_uo""),7,FALSE)
,
)
))"),"#N/A")</f>
        <v>#N/A</v>
      </c>
      <c r="J2124" s="7" t="s">
        <v>13</v>
      </c>
    </row>
    <row r="2125" spans="1:10" ht="13.2">
      <c r="A2125" s="7">
        <v>2124</v>
      </c>
      <c r="B2125" s="7">
        <v>1</v>
      </c>
      <c r="C2125" s="7" t="s">
        <v>10</v>
      </c>
      <c r="D2125" s="7">
        <v>625</v>
      </c>
      <c r="E2125" s="7" t="s">
        <v>12</v>
      </c>
      <c r="F2125" s="8" t="str">
        <f ca="1">IFERROR(__xludf.DUMMYFUNCTION("IF
(
C2126=""фізична особа""
,
VLOOKUP(D2126,IMPORTRANGE(""https://docs.google.com/spreadsheets/d/14Bd19lYaqBhU8_DElYkX7l4wRkHqqCUFNJY4AfY3kHU/edit?usp=sharing  #gid=0"",""фіз особи new!relations_name""),6,FALSE)
,
(IF
(
C2126=""юридична особа""
,
VLOOKUP"&amp;"(D2126,IMPORTRANGE(""https://docs.google.com/spreadsheets/d/14Bd19lYaqBhU8_DElYkX7l4wRkHqqCUFNJY4AfY3kHU/edit?usp=sharing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5" s="7" t="s">
        <v>10</v>
      </c>
      <c r="H2125" s="7">
        <v>0</v>
      </c>
      <c r="I2125" s="8" t="str">
        <f ca="1">IFERROR(__xludf.DUMMYFUNCTION("IF
(
G2126=""фізична особа""
,
VLOOKUP(H2126,IMPORTRANGE(""https://docs.google.com/spreadsheets/d/14Bd19lYaqBhU8_DElYkX7l4wRkHqqCUFNJY4AfY3kHU/edit?usp=sharing  #gid=0"",""фіз особи new!relations_name""),6,FALSE)
,
(IF
(
G2126=""юридична особа""
,
VLOOKUP"&amp;"(H2126,IMPORTRANGE(""https://docs.google.com/spreadsheets/d/14Bd19lYaqBhU8_DElYkX7l4wRkHqqCUFNJY4AfY3kHU/edit?usp=sharing  #gid=0"",""фіз особи new!relations_name_uo""),7,FALSE)
,
)
))"),"#N/A")</f>
        <v>#N/A</v>
      </c>
      <c r="J2125" s="7" t="s">
        <v>17</v>
      </c>
    </row>
    <row r="2126" spans="1:10" ht="13.2">
      <c r="A2126" s="7">
        <v>2125</v>
      </c>
      <c r="B2126" s="7">
        <v>1</v>
      </c>
      <c r="C2126" s="7" t="s">
        <v>10</v>
      </c>
      <c r="D2126" s="7">
        <v>625</v>
      </c>
      <c r="E2126" s="7" t="s">
        <v>12</v>
      </c>
      <c r="F2126" s="8" t="str">
        <f ca="1">IFERROR(__xludf.DUMMYFUNCTION("IF
(
C2127=""фізична особа""
,
VLOOKUP(D2127,IMPORTRANGE(""https://docs.google.com/spreadsheets/d/14Bd19lYaqBhU8_DElYkX7l4wRkHqqCUFNJY4AfY3kHU/edit?usp=sharing  #gid=0"",""фіз особи new!relations_name""),6,FALSE)
,
(IF
(
C2127=""юридична особа""
,
VLOOKUP"&amp;"(D2127,IMPORTRANGE(""https://docs.google.com/spreadsheets/d/14Bd19lYaqBhU8_DElYkX7l4wRkHqqCUFNJY4AfY3kHU/edit?usp=sharing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6" s="7" t="s">
        <v>10</v>
      </c>
      <c r="H2126" s="7">
        <v>0</v>
      </c>
      <c r="I2126" s="8" t="str">
        <f ca="1">IFERROR(__xludf.DUMMYFUNCTION("IF
(
G2127=""фізична особа""
,
VLOOKUP(H2127,IMPORTRANGE(""https://docs.google.com/spreadsheets/d/14Bd19lYaqBhU8_DElYkX7l4wRkHqqCUFNJY4AfY3kHU/edit?usp=sharing  #gid=0"",""фіз особи new!relations_name""),6,FALSE)
,
(IF
(
G2127=""юридична особа""
,
VLOOKUP"&amp;"(H2127,IMPORTRANGE(""https://docs.google.com/spreadsheets/d/14Bd19lYaqBhU8_DElYkX7l4wRkHqqCUFNJY4AfY3kHU/edit?usp=sharing  #gid=0"",""фіз особи new!relations_name_uo""),7,FALSE)
,
)
))"),"#N/A")</f>
        <v>#N/A</v>
      </c>
      <c r="J2126" s="7" t="s">
        <v>13</v>
      </c>
    </row>
    <row r="2127" spans="1:10" ht="13.2">
      <c r="A2127" s="7">
        <v>2126</v>
      </c>
      <c r="B2127" s="7">
        <v>1</v>
      </c>
      <c r="C2127" s="7" t="s">
        <v>10</v>
      </c>
      <c r="D2127" s="7">
        <v>625</v>
      </c>
      <c r="E2127" s="7" t="s">
        <v>12</v>
      </c>
      <c r="F2127" s="8" t="str">
        <f ca="1">IFERROR(__xludf.DUMMYFUNCTION("IF
(
C2128=""фізична особа""
,
VLOOKUP(D2128,IMPORTRANGE(""https://docs.google.com/spreadsheets/d/14Bd19lYaqBhU8_DElYkX7l4wRkHqqCUFNJY4AfY3kHU/edit?usp=sharing  #gid=0"",""фіз особи new!relations_name""),6,FALSE)
,
(IF
(
C2128=""юридична особа""
,
VLOOKUP"&amp;"(D2128,IMPORTRANGE(""https://docs.google.com/spreadsheets/d/14Bd19lYaqBhU8_DElYkX7l4wRkHqqCUFNJY4AfY3kHU/edit?usp=sharing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7" s="7" t="s">
        <v>10</v>
      </c>
      <c r="H2127" s="7">
        <v>0</v>
      </c>
      <c r="I2127" s="8" t="str">
        <f ca="1">IFERROR(__xludf.DUMMYFUNCTION("IF
(
G2128=""фізична особа""
,
VLOOKUP(H2128,IMPORTRANGE(""https://docs.google.com/spreadsheets/d/14Bd19lYaqBhU8_DElYkX7l4wRkHqqCUFNJY4AfY3kHU/edit?usp=sharing  #gid=0"",""фіз особи new!relations_name""),6,FALSE)
,
(IF
(
G2128=""юридична особа""
,
VLOOKUP"&amp;"(H2128,IMPORTRANGE(""https://docs.google.com/spreadsheets/d/14Bd19lYaqBhU8_DElYkX7l4wRkHqqCUFNJY4AfY3kHU/edit?usp=sharing  #gid=0"",""фіз особи new!relations_name_uo""),7,FALSE)
,
)
))"),"#N/A")</f>
        <v>#N/A</v>
      </c>
      <c r="J2127" s="7" t="s">
        <v>17</v>
      </c>
    </row>
    <row r="2128" spans="1:10" ht="13.2">
      <c r="A2128" s="7">
        <v>2127</v>
      </c>
      <c r="B2128" s="7">
        <v>1</v>
      </c>
      <c r="C2128" s="7" t="s">
        <v>10</v>
      </c>
      <c r="D2128" s="7">
        <v>625</v>
      </c>
      <c r="E2128" s="7" t="s">
        <v>12</v>
      </c>
      <c r="F2128" s="8" t="str">
        <f ca="1">IFERROR(__xludf.DUMMYFUNCTION("IF
(
C2129=""фізична особа""
,
VLOOKUP(D2129,IMPORTRANGE(""https://docs.google.com/spreadsheets/d/14Bd19lYaqBhU8_DElYkX7l4wRkHqqCUFNJY4AfY3kHU/edit?usp=sharing  #gid=0"",""фіз особи new!relations_name""),6,FALSE)
,
(IF
(
C2129=""юридична особа""
,
VLOOKUP"&amp;"(D2129,IMPORTRANGE(""https://docs.google.com/spreadsheets/d/14Bd19lYaqBhU8_DElYkX7l4wRkHqqCUFNJY4AfY3kHU/edit?usp=sharing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8" s="7" t="s">
        <v>10</v>
      </c>
      <c r="H2128" s="7">
        <v>0</v>
      </c>
      <c r="I2128" s="8" t="str">
        <f ca="1">IFERROR(__xludf.DUMMYFUNCTION("IF
(
G2129=""фізична особа""
,
VLOOKUP(H2129,IMPORTRANGE(""https://docs.google.com/spreadsheets/d/14Bd19lYaqBhU8_DElYkX7l4wRkHqqCUFNJY4AfY3kHU/edit?usp=sharing  #gid=0"",""фіз особи new!relations_name""),6,FALSE)
,
(IF
(
G2129=""юридична особа""
,
VLOOKUP"&amp;"(H2129,IMPORTRANGE(""https://docs.google.com/spreadsheets/d/14Bd19lYaqBhU8_DElYkX7l4wRkHqqCUFNJY4AfY3kHU/edit?usp=sharing  #gid=0"",""фіз особи new!relations_name_uo""),7,FALSE)
,
)
))"),"#N/A")</f>
        <v>#N/A</v>
      </c>
      <c r="J2128" s="7" t="s">
        <v>17</v>
      </c>
    </row>
    <row r="2129" spans="1:10" ht="13.2">
      <c r="A2129" s="7">
        <v>2128</v>
      </c>
      <c r="B2129" s="7">
        <v>1</v>
      </c>
      <c r="C2129" s="7" t="s">
        <v>10</v>
      </c>
      <c r="D2129" s="7">
        <v>625</v>
      </c>
      <c r="E2129" s="7" t="s">
        <v>18</v>
      </c>
      <c r="F2129" s="8" t="str">
        <f ca="1">IFERROR(__xludf.DUMMYFUNCTION("IF
(
C2130=""фізична особа""
,
VLOOKUP(D2130,IMPORTRANGE(""https://docs.google.com/spreadsheets/d/14Bd19lYaqBhU8_DElYkX7l4wRkHqqCUFNJY4AfY3kHU/edit?usp=sharing  #gid=0"",""фіз особи new!relations_name""),6,FALSE)
,
(IF
(
C2130=""юридична особа""
,
VLOOKUP"&amp;"(D2130,IMPORTRANGE(""https://docs.google.com/spreadsheets/d/14Bd19lYaqBhU8_DElYkX7l4wRkHqqCUFNJY4AfY3kHU/edit?usp=sharing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29" s="7" t="s">
        <v>10</v>
      </c>
      <c r="H2129" s="7">
        <v>0</v>
      </c>
      <c r="I2129" s="8" t="str">
        <f ca="1">IFERROR(__xludf.DUMMYFUNCTION("IF
(
G2130=""фізична особа""
,
VLOOKUP(H2130,IMPORTRANGE(""https://docs.google.com/spreadsheets/d/14Bd19lYaqBhU8_DElYkX7l4wRkHqqCUFNJY4AfY3kHU/edit?usp=sharing  #gid=0"",""фіз особи new!relations_name""),6,FALSE)
,
(IF
(
G2130=""юридична особа""
,
VLOOKUP"&amp;"(H2130,IMPORTRANGE(""https://docs.google.com/spreadsheets/d/14Bd19lYaqBhU8_DElYkX7l4wRkHqqCUFNJY4AfY3kHU/edit?usp=sharing  #gid=0"",""фіз особи new!relations_name_uo""),7,FALSE)
,
)
))"),"#N/A")</f>
        <v>#N/A</v>
      </c>
      <c r="J2129" s="7" t="s">
        <v>31</v>
      </c>
    </row>
    <row r="2130" spans="1:10" ht="13.2">
      <c r="A2130" s="7">
        <v>2129</v>
      </c>
      <c r="B2130" s="7">
        <v>1</v>
      </c>
      <c r="C2130" s="7" t="s">
        <v>10</v>
      </c>
      <c r="D2130" s="7">
        <v>625</v>
      </c>
      <c r="E2130" s="7" t="s">
        <v>26</v>
      </c>
      <c r="F2130" s="8" t="str">
        <f ca="1">IFERROR(__xludf.DUMMYFUNCTION("IF
(
C2131=""фізична особа""
,
VLOOKUP(D2131,IMPORTRANGE(""https://docs.google.com/spreadsheets/d/14Bd19lYaqBhU8_DElYkX7l4wRkHqqCUFNJY4AfY3kHU/edit?usp=sharing  #gid=0"",""фіз особи new!relations_name""),6,FALSE)
,
(IF
(
C2131=""юридична особа""
,
VLOOKUP"&amp;"(D2131,IMPORTRANGE(""https://docs.google.com/spreadsheets/d/14Bd19lYaqBhU8_DElYkX7l4wRkHqqCUFNJY4AfY3kHU/edit?usp=sharing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30" s="7" t="s">
        <v>10</v>
      </c>
      <c r="H2130" s="7">
        <v>0</v>
      </c>
      <c r="I2130" s="8" t="str">
        <f ca="1">IFERROR(__xludf.DUMMYFUNCTION("IF
(
G2131=""фізична особа""
,
VLOOKUP(H2131,IMPORTRANGE(""https://docs.google.com/spreadsheets/d/14Bd19lYaqBhU8_DElYkX7l4wRkHqqCUFNJY4AfY3kHU/edit?usp=sharing  #gid=0"",""фіз особи new!relations_name""),6,FALSE)
,
(IF
(
G2131=""юридична особа""
,
VLOOKUP"&amp;"(H2131,IMPORTRANGE(""https://docs.google.com/spreadsheets/d/14Bd19lYaqBhU8_DElYkX7l4wRkHqqCUFNJY4AfY3kHU/edit?usp=sharing  #gid=0"",""фіз особи new!relations_name_uo""),7,FALSE)
,
)
))"),"#N/A")</f>
        <v>#N/A</v>
      </c>
      <c r="J2130" s="7" t="s">
        <v>50</v>
      </c>
    </row>
    <row r="2131" spans="1:10" ht="13.2">
      <c r="A2131" s="7">
        <v>2130</v>
      </c>
      <c r="B2131" s="7">
        <v>1</v>
      </c>
      <c r="C2131" s="7" t="s">
        <v>10</v>
      </c>
      <c r="D2131" s="7">
        <v>625</v>
      </c>
      <c r="E2131" s="7" t="s">
        <v>48</v>
      </c>
      <c r="F2131" s="8" t="str">
        <f ca="1">IFERROR(__xludf.DUMMYFUNCTION("IF
(
C2132=""фізична особа""
,
VLOOKUP(D2132,IMPORTRANGE(""https://docs.google.com/spreadsheets/d/14Bd19lYaqBhU8_DElYkX7l4wRkHqqCUFNJY4AfY3kHU/edit?usp=sharing  #gid=0"",""фіз особи new!relations_name""),6,FALSE)
,
(IF
(
C2132=""юридична особа""
,
VLOOKUP"&amp;"(D2132,IMPORTRANGE(""https://docs.google.com/spreadsheets/d/14Bd19lYaqBhU8_DElYkX7l4wRkHqqCUFNJY4AfY3kHU/edit?usp=sharing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G2131" s="7" t="s">
        <v>10</v>
      </c>
      <c r="H2131" s="7">
        <v>2522</v>
      </c>
      <c r="I2131" s="8" t="str">
        <f ca="1">IFERROR(__xludf.DUMMYFUNCTION("IF
(
G2132=""фізична особа""
,
VLOOKUP(H2132,IMPORTRANGE(""https://docs.google.com/spreadsheets/d/14Bd19lYaqBhU8_DElYkX7l4wRkHqqCUFNJY4AfY3kHU/edit?usp=sharing  #gid=0"",""фіз особи new!relations_name""),6,FALSE)
,
(IF
(
G2132=""юридична особа""
,
VLOOKUP"&amp;"(H2132,IMPORTRANGE(""https://docs.google.com/spreadsheets/d/14Bd19lYaqBhU8_DElYkX7l4wRkHqqCUFNJY4AfY3kHU/edit?usp=sharing  #gid=0"",""фіз особи new!relations_name_uo""),7,FALSE)
,
)
))"),"МАХОНІН Дмитро Миколайович")</f>
        <v>МАХОНІН Дмитро Миколайович</v>
      </c>
      <c r="J2131" s="7" t="s">
        <v>48</v>
      </c>
    </row>
    <row r="2132" spans="1:10" ht="13.2">
      <c r="A2132" s="7">
        <v>2131</v>
      </c>
      <c r="B2132" s="7">
        <v>1</v>
      </c>
      <c r="C2132" s="7" t="s">
        <v>10</v>
      </c>
      <c r="D2132" s="7">
        <v>626</v>
      </c>
      <c r="E2132" s="7" t="s">
        <v>48</v>
      </c>
      <c r="F2132" s="8" t="str">
        <f ca="1">IFERROR(__xludf.DUMMYFUNCTION("IF
(
C2133=""фізична особа""
,
VLOOKUP(D2133,IMPORTRANGE(""https://docs.google.com/spreadsheets/d/14Bd19lYaqBhU8_DElYkX7l4wRkHqqCUFNJY4AfY3kHU/edit?usp=sharing  #gid=0"",""фіз особи new!relations_name""),6,FALSE)
,
(IF
(
C2133=""юридична особа""
,
VLOOKUP"&amp;"(D2133,IMPORTRANGE(""https://docs.google.com/spreadsheets/d/14Bd19lYaqBhU8_DElYkX7l4wRkHqqCUFNJY4AfY3kHU/edit?usp=sharing  #gid=0"",""фіз особи new!relations_name_uo""),7,FALSE)
,
)
))"),"ЛЮБАРСЬКИЙ Роман Валерійович")</f>
        <v>ЛЮБАРСЬКИЙ Роман Валерійович</v>
      </c>
      <c r="G2132" s="7" t="s">
        <v>10</v>
      </c>
      <c r="H2132" s="7">
        <v>963</v>
      </c>
      <c r="I2132" s="8" t="str">
        <f ca="1">IFERROR(__xludf.DUMMYFUNCTION("IF
(
G2133=""фізична особа""
,
VLOOKUP(H2133,IMPORTRANGE(""https://docs.google.com/spreadsheets/d/14Bd19lYaqBhU8_DElYkX7l4wRkHqqCUFNJY4AfY3kHU/edit?usp=sharing  #gid=0"",""фіз особи new!relations_name""),6,FALSE)
,
(IF
(
G2133=""юридична особа""
,
VLOOKUP"&amp;"(H2133,IMPORTRANGE(""https://docs.google.com/spreadsheets/d/14Bd19lYaqBhU8_DElYkX7l4wRkHqqCUFNJY4AfY3kHU/edit?usp=sharing  #gid=0"",""фіз особи new!relations_name_uo""),7,FALSE)
,
)
))"),"ДІДЕНКО Олексій Миколайович")</f>
        <v>ДІДЕНКО Олексій Миколайович</v>
      </c>
      <c r="J2132" s="7" t="s">
        <v>48</v>
      </c>
    </row>
    <row r="2133" spans="1:10" ht="13.2">
      <c r="A2133" s="7">
        <v>2132</v>
      </c>
      <c r="B2133" s="7">
        <v>1</v>
      </c>
      <c r="C2133" s="7" t="s">
        <v>10</v>
      </c>
      <c r="D2133" s="7">
        <v>627</v>
      </c>
      <c r="E2133" s="7" t="s">
        <v>14</v>
      </c>
      <c r="F2133" s="8" t="str">
        <f ca="1">IFERROR(__xludf.DUMMYFUNCTION("IF
(
C2134=""фізична особа""
,
VLOOKUP(D2134,IMPORTRANGE(""https://docs.google.com/spreadsheets/d/14Bd19lYaqBhU8_DElYkX7l4wRkHqqCUFNJY4AfY3kHU/edit?usp=sharing  #gid=0"",""фіз особи new!relations_name""),6,FALSE)
,
(IF
(
C2134=""юридична особа""
,
VLOOKUP"&amp;"(D2134,IMPORTRANGE(""https://docs.google.com/spreadsheets/d/14Bd19lYaqBhU8_DElYkX7l4wRkHqqCUFNJY4AfY3kHU/edit?usp=sharing  #gid=0"",""фіз особи new!relations_name_uo""),7,FALSE)
,
)
))"),"ПТІЦИН Роман Вікторович")</f>
        <v>ПТІЦИН Роман Вікторович</v>
      </c>
      <c r="G2133" s="7" t="s">
        <v>10</v>
      </c>
      <c r="H2133" s="7">
        <v>0</v>
      </c>
      <c r="I2133" s="8" t="str">
        <f ca="1">IFERROR(__xludf.DUMMYFUNCTION("IF
(
G2134=""фізична особа""
,
VLOOKUP(H2134,IMPORTRANGE(""https://docs.google.com/spreadsheets/d/14Bd19lYaqBhU8_DElYkX7l4wRkHqqCUFNJY4AfY3kHU/edit?usp=sharing  #gid=0"",""фіз особи new!relations_name""),6,FALSE)
,
(IF
(
G2134=""юридична особа""
,
VLOOKUP"&amp;"(H2134,IMPORTRANGE(""https://docs.google.com/spreadsheets/d/14Bd19lYaqBhU8_DElYkX7l4wRkHqqCUFNJY4AfY3kHU/edit?usp=sharing  #gid=0"",""фіз особи new!relations_name_uo""),7,FALSE)
,
)
))"),"#N/A")</f>
        <v>#N/A</v>
      </c>
      <c r="J2133" s="7" t="s">
        <v>15</v>
      </c>
    </row>
    <row r="2134" spans="1:10" ht="13.2">
      <c r="A2134" s="7">
        <v>2133</v>
      </c>
      <c r="B2134" s="7">
        <v>1</v>
      </c>
      <c r="C2134" s="7" t="s">
        <v>10</v>
      </c>
      <c r="D2134" s="7">
        <v>627</v>
      </c>
      <c r="E2134" s="7" t="s">
        <v>12</v>
      </c>
      <c r="F2134" s="8" t="str">
        <f ca="1">IFERROR(__xludf.DUMMYFUNCTION("IF
(
C2135=""фізична особа""
,
VLOOKUP(D2135,IMPORTRANGE(""https://docs.google.com/spreadsheets/d/14Bd19lYaqBhU8_DElYkX7l4wRkHqqCUFNJY4AfY3kHU/edit?usp=sharing  #gid=0"",""фіз особи new!relations_name""),6,FALSE)
,
(IF
(
C2135=""юридична особа""
,
VLOOKUP"&amp;"(D2135,IMPORTRANGE(""https://docs.google.com/spreadsheets/d/14Bd19lYaqBhU8_DElYkX7l4wRkHqqCUFNJY4AfY3kHU/edit?usp=sharing  #gid=0"",""фіз особи new!relations_name_uo""),7,FALSE)
,
)
))"),"ПТІЦИН Роман Вікторович")</f>
        <v>ПТІЦИН Роман Вікторович</v>
      </c>
      <c r="G2134" s="7" t="s">
        <v>10</v>
      </c>
      <c r="H2134" s="7">
        <v>0</v>
      </c>
      <c r="I2134" s="8" t="str">
        <f ca="1">IFERROR(__xludf.DUMMYFUNCTION("IF
(
G2135=""фізична особа""
,
VLOOKUP(H2135,IMPORTRANGE(""https://docs.google.com/spreadsheets/d/14Bd19lYaqBhU8_DElYkX7l4wRkHqqCUFNJY4AfY3kHU/edit?usp=sharing  #gid=0"",""фіз особи new!relations_name""),6,FALSE)
,
(IF
(
G2135=""юридична особа""
,
VLOOKUP"&amp;"(H2135,IMPORTRANGE(""https://docs.google.com/spreadsheets/d/14Bd19lYaqBhU8_DElYkX7l4wRkHqqCUFNJY4AfY3kHU/edit?usp=sharing  #gid=0"",""фіз особи new!relations_name_uo""),7,FALSE)
,
)
))"),"#N/A")</f>
        <v>#N/A</v>
      </c>
      <c r="J2134" s="7" t="s">
        <v>17</v>
      </c>
    </row>
    <row r="2135" spans="1:10" ht="13.2">
      <c r="A2135" s="7">
        <v>2134</v>
      </c>
      <c r="B2135" s="7">
        <v>1</v>
      </c>
      <c r="C2135" s="7" t="s">
        <v>10</v>
      </c>
      <c r="D2135" s="7">
        <v>627</v>
      </c>
      <c r="E2135" s="7" t="s">
        <v>12</v>
      </c>
      <c r="F2135" s="8" t="str">
        <f ca="1">IFERROR(__xludf.DUMMYFUNCTION("IF
(
C2136=""фізична особа""
,
VLOOKUP(D2136,IMPORTRANGE(""https://docs.google.com/spreadsheets/d/14Bd19lYaqBhU8_DElYkX7l4wRkHqqCUFNJY4AfY3kHU/edit?usp=sharing  #gid=0"",""фіз особи new!relations_name""),6,FALSE)
,
(IF
(
C2136=""юридична особа""
,
VLOOKUP"&amp;"(D2136,IMPORTRANGE(""https://docs.google.com/spreadsheets/d/14Bd19lYaqBhU8_DElYkX7l4wRkHqqCUFNJY4AfY3kHU/edit?usp=sharing  #gid=0"",""фіз особи new!relations_name_uo""),7,FALSE)
,
)
))"),"ПТІЦИН Роман Вікторович")</f>
        <v>ПТІЦИН Роман Вікторович</v>
      </c>
      <c r="G2135" s="7" t="s">
        <v>10</v>
      </c>
      <c r="H2135" s="7">
        <v>0</v>
      </c>
      <c r="I2135" s="8" t="str">
        <f ca="1">IFERROR(__xludf.DUMMYFUNCTION("IF
(
G2136=""фізична особа""
,
VLOOKUP(H2136,IMPORTRANGE(""https://docs.google.com/spreadsheets/d/14Bd19lYaqBhU8_DElYkX7l4wRkHqqCUFNJY4AfY3kHU/edit?usp=sharing  #gid=0"",""фіз особи new!relations_name""),6,FALSE)
,
(IF
(
G2136=""юридична особа""
,
VLOOKUP"&amp;"(H2136,IMPORTRANGE(""https://docs.google.com/spreadsheets/d/14Bd19lYaqBhU8_DElYkX7l4wRkHqqCUFNJY4AfY3kHU/edit?usp=sharing  #gid=0"",""фіз особи new!relations_name_uo""),7,FALSE)
,
)
))"),"#N/A")</f>
        <v>#N/A</v>
      </c>
      <c r="J2135" s="7" t="s">
        <v>17</v>
      </c>
    </row>
    <row r="2136" spans="1:10" ht="13.2">
      <c r="A2136" s="7">
        <v>2135</v>
      </c>
      <c r="B2136" s="7">
        <v>1</v>
      </c>
      <c r="C2136" s="7" t="s">
        <v>10</v>
      </c>
      <c r="D2136" s="7">
        <v>628</v>
      </c>
      <c r="E2136" s="7" t="s">
        <v>18</v>
      </c>
      <c r="F2136" s="8" t="str">
        <f ca="1">IFERROR(__xludf.DUMMYFUNCTION("IF
(
C2137=""фізична особа""
,
VLOOKUP(D2137,IMPORTRANGE(""https://docs.google.com/spreadsheets/d/14Bd19lYaqBhU8_DElYkX7l4wRkHqqCUFNJY4AfY3kHU/edit?usp=sharing  #gid=0"",""фіз особи new!relations_name""),6,FALSE)
,
(IF
(
C2137=""юридична особа""
,
VLOOKUP"&amp;"(D2137,IMPORTRANGE(""https://docs.google.com/spreadsheets/d/14Bd19lYaqBhU8_DElYkX7l4wRkHqqCUFNJY4AfY3kHU/edit?usp=sharing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36" s="7" t="s">
        <v>10</v>
      </c>
      <c r="H2136" s="7">
        <v>0</v>
      </c>
      <c r="I2136" s="8" t="str">
        <f ca="1">IFERROR(__xludf.DUMMYFUNCTION("IF
(
G2137=""фізична особа""
,
VLOOKUP(H2137,IMPORTRANGE(""https://docs.google.com/spreadsheets/d/14Bd19lYaqBhU8_DElYkX7l4wRkHqqCUFNJY4AfY3kHU/edit?usp=sharing  #gid=0"",""фіз особи new!relations_name""),6,FALSE)
,
(IF
(
G2137=""юридична особа""
,
VLOOKUP"&amp;"(H2137,IMPORTRANGE(""https://docs.google.com/spreadsheets/d/14Bd19lYaqBhU8_DElYkX7l4wRkHqqCUFNJY4AfY3kHU/edit?usp=sharing  #gid=0"",""фіз особи new!relations_name_uo""),7,FALSE)
,
)
))"),"#N/A")</f>
        <v>#N/A</v>
      </c>
      <c r="J2136" s="7" t="s">
        <v>18</v>
      </c>
    </row>
    <row r="2137" spans="1:10" ht="13.2">
      <c r="A2137" s="7">
        <v>2136</v>
      </c>
      <c r="B2137" s="7">
        <v>1</v>
      </c>
      <c r="C2137" s="7" t="s">
        <v>10</v>
      </c>
      <c r="D2137" s="7">
        <v>628</v>
      </c>
      <c r="E2137" s="7" t="s">
        <v>17</v>
      </c>
      <c r="F2137" s="8" t="str">
        <f ca="1">IFERROR(__xludf.DUMMYFUNCTION("IF
(
C2138=""фізична особа""
,
VLOOKUP(D2138,IMPORTRANGE(""https://docs.google.com/spreadsheets/d/14Bd19lYaqBhU8_DElYkX7l4wRkHqqCUFNJY4AfY3kHU/edit?usp=sharing  #gid=0"",""фіз особи new!relations_name""),6,FALSE)
,
(IF
(
C2138=""юридична особа""
,
VLOOKUP"&amp;"(D2138,IMPORTRANGE(""https://docs.google.com/spreadsheets/d/14Bd19lYaqBhU8_DElYkX7l4wRkHqqCUFNJY4AfY3kHU/edit?usp=sharing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37" s="7" t="s">
        <v>10</v>
      </c>
      <c r="H2137" s="7">
        <v>0</v>
      </c>
      <c r="I2137" s="8" t="str">
        <f ca="1">IFERROR(__xludf.DUMMYFUNCTION("IF
(
G2138=""фізична особа""
,
VLOOKUP(H2138,IMPORTRANGE(""https://docs.google.com/spreadsheets/d/14Bd19lYaqBhU8_DElYkX7l4wRkHqqCUFNJY4AfY3kHU/edit?usp=sharing  #gid=0"",""фіз особи new!relations_name""),6,FALSE)
,
(IF
(
G2138=""юридична особа""
,
VLOOKUP"&amp;"(H2138,IMPORTRANGE(""https://docs.google.com/spreadsheets/d/14Bd19lYaqBhU8_DElYkX7l4wRkHqqCUFNJY4AfY3kHU/edit?usp=sharing  #gid=0"",""фіз особи new!relations_name_uo""),7,FALSE)
,
)
))"),"#N/A")</f>
        <v>#N/A</v>
      </c>
      <c r="J2137" s="7" t="s">
        <v>21</v>
      </c>
    </row>
    <row r="2138" spans="1:10" ht="13.2">
      <c r="A2138" s="7">
        <v>2137</v>
      </c>
      <c r="B2138" s="7">
        <v>1</v>
      </c>
      <c r="C2138" s="7" t="s">
        <v>10</v>
      </c>
      <c r="D2138" s="7">
        <v>628</v>
      </c>
      <c r="E2138" s="7" t="s">
        <v>14</v>
      </c>
      <c r="F2138" s="8" t="str">
        <f ca="1">IFERROR(__xludf.DUMMYFUNCTION("IF
(
C2139=""фізична особа""
,
VLOOKUP(D2139,IMPORTRANGE(""https://docs.google.com/spreadsheets/d/14Bd19lYaqBhU8_DElYkX7l4wRkHqqCUFNJY4AfY3kHU/edit?usp=sharing  #gid=0"",""фіз особи new!relations_name""),6,FALSE)
,
(IF
(
C2139=""юридична особа""
,
VLOOKUP"&amp;"(D2139,IMPORTRANGE(""https://docs.google.com/spreadsheets/d/14Bd19lYaqBhU8_DElYkX7l4wRkHqqCUFNJY4AfY3kHU/edit?usp=sharing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38" s="7" t="s">
        <v>10</v>
      </c>
      <c r="H2138" s="7">
        <v>0</v>
      </c>
      <c r="I2138" s="8" t="str">
        <f ca="1">IFERROR(__xludf.DUMMYFUNCTION("IF
(
G2139=""фізична особа""
,
VLOOKUP(H2139,IMPORTRANGE(""https://docs.google.com/spreadsheets/d/14Bd19lYaqBhU8_DElYkX7l4wRkHqqCUFNJY4AfY3kHU/edit?usp=sharing  #gid=0"",""фіз особи new!relations_name""),6,FALSE)
,
(IF
(
G2139=""юридична особа""
,
VLOOKUP"&amp;"(H2139,IMPORTRANGE(""https://docs.google.com/spreadsheets/d/14Bd19lYaqBhU8_DElYkX7l4wRkHqqCUFNJY4AfY3kHU/edit?usp=sharing  #gid=0"",""фіз особи new!relations_name_uo""),7,FALSE)
,
)
))"),"#N/A")</f>
        <v>#N/A</v>
      </c>
      <c r="J2138" s="7" t="s">
        <v>15</v>
      </c>
    </row>
    <row r="2139" spans="1:10" ht="13.2">
      <c r="A2139" s="7">
        <v>2138</v>
      </c>
      <c r="B2139" s="7">
        <v>1</v>
      </c>
      <c r="C2139" s="7" t="s">
        <v>10</v>
      </c>
      <c r="D2139" s="7">
        <v>628</v>
      </c>
      <c r="E2139" s="7" t="s">
        <v>12</v>
      </c>
      <c r="F2139" s="8" t="str">
        <f ca="1">IFERROR(__xludf.DUMMYFUNCTION("IF
(
C2140=""фізична особа""
,
VLOOKUP(D2140,IMPORTRANGE(""https://docs.google.com/spreadsheets/d/14Bd19lYaqBhU8_DElYkX7l4wRkHqqCUFNJY4AfY3kHU/edit?usp=sharing  #gid=0"",""фіз особи new!relations_name""),6,FALSE)
,
(IF
(
C2140=""юридична особа""
,
VLOOKUP"&amp;"(D2140,IMPORTRANGE(""https://docs.google.com/spreadsheets/d/14Bd19lYaqBhU8_DElYkX7l4wRkHqqCUFNJY4AfY3kHU/edit?usp=sharing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39" s="7" t="s">
        <v>10</v>
      </c>
      <c r="H2139" s="7">
        <v>0</v>
      </c>
      <c r="I2139" s="8" t="str">
        <f ca="1">IFERROR(__xludf.DUMMYFUNCTION("IF
(
G2140=""фізична особа""
,
VLOOKUP(H2140,IMPORTRANGE(""https://docs.google.com/spreadsheets/d/14Bd19lYaqBhU8_DElYkX7l4wRkHqqCUFNJY4AfY3kHU/edit?usp=sharing  #gid=0"",""фіз особи new!relations_name""),6,FALSE)
,
(IF
(
G2140=""юридична особа""
,
VLOOKUP"&amp;"(H2140,IMPORTRANGE(""https://docs.google.com/spreadsheets/d/14Bd19lYaqBhU8_DElYkX7l4wRkHqqCUFNJY4AfY3kHU/edit?usp=sharing  #gid=0"",""фіз особи new!relations_name_uo""),7,FALSE)
,
)
))"),"#N/A")</f>
        <v>#N/A</v>
      </c>
      <c r="J2139" s="7" t="s">
        <v>17</v>
      </c>
    </row>
    <row r="2140" spans="1:10" ht="13.2">
      <c r="A2140" s="7">
        <v>2139</v>
      </c>
      <c r="B2140" s="7">
        <v>1</v>
      </c>
      <c r="C2140" s="7" t="s">
        <v>10</v>
      </c>
      <c r="D2140" s="7">
        <v>628</v>
      </c>
      <c r="E2140" s="7" t="s">
        <v>12</v>
      </c>
      <c r="F2140" s="8" t="str">
        <f ca="1">IFERROR(__xludf.DUMMYFUNCTION("IF
(
C2141=""фізична особа""
,
VLOOKUP(D2141,IMPORTRANGE(""https://docs.google.com/spreadsheets/d/14Bd19lYaqBhU8_DElYkX7l4wRkHqqCUFNJY4AfY3kHU/edit?usp=sharing  #gid=0"",""фіз особи new!relations_name""),6,FALSE)
,
(IF
(
C2141=""юридична особа""
,
VLOOKUP"&amp;"(D2141,IMPORTRANGE(""https://docs.google.com/spreadsheets/d/14Bd19lYaqBhU8_DElYkX7l4wRkHqqCUFNJY4AfY3kHU/edit?usp=sharing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40" s="7" t="s">
        <v>10</v>
      </c>
      <c r="H2140" s="7">
        <v>0</v>
      </c>
      <c r="I2140" s="8" t="str">
        <f ca="1">IFERROR(__xludf.DUMMYFUNCTION("IF
(
G2141=""фізична особа""
,
VLOOKUP(H2141,IMPORTRANGE(""https://docs.google.com/spreadsheets/d/14Bd19lYaqBhU8_DElYkX7l4wRkHqqCUFNJY4AfY3kHU/edit?usp=sharing  #gid=0"",""фіз особи new!relations_name""),6,FALSE)
,
(IF
(
G2141=""юридична особа""
,
VLOOKUP"&amp;"(H2141,IMPORTRANGE(""https://docs.google.com/spreadsheets/d/14Bd19lYaqBhU8_DElYkX7l4wRkHqqCUFNJY4AfY3kHU/edit?usp=sharing  #gid=0"",""фіз особи new!relations_name_uo""),7,FALSE)
,
)
))"),"#N/A")</f>
        <v>#N/A</v>
      </c>
      <c r="J2140" s="7" t="s">
        <v>13</v>
      </c>
    </row>
    <row r="2141" spans="1:10" ht="13.2">
      <c r="A2141" s="7">
        <v>2140</v>
      </c>
      <c r="B2141" s="7">
        <v>1</v>
      </c>
      <c r="C2141" s="7" t="s">
        <v>10</v>
      </c>
      <c r="D2141" s="7">
        <v>628</v>
      </c>
      <c r="E2141" s="7" t="s">
        <v>17</v>
      </c>
      <c r="F2141" s="8" t="str">
        <f ca="1">IFERROR(__xludf.DUMMYFUNCTION("IF
(
C2142=""фізична особа""
,
VLOOKUP(D2142,IMPORTRANGE(""https://docs.google.com/spreadsheets/d/14Bd19lYaqBhU8_DElYkX7l4wRkHqqCUFNJY4AfY3kHU/edit?usp=sharing  #gid=0"",""фіз особи new!relations_name""),6,FALSE)
,
(IF
(
C2142=""юридична особа""
,
VLOOKUP"&amp;"(D2142,IMPORTRANGE(""https://docs.google.com/spreadsheets/d/14Bd19lYaqBhU8_DElYkX7l4wRkHqqCUFNJY4AfY3kHU/edit?usp=sharing  #gid=0"",""фіз особи new!relations_name_uo""),7,FALSE)
,
)
))"),"РОМАНЕНКО Роман Юрійович")</f>
        <v>РОМАНЕНКО Роман Юрійович</v>
      </c>
      <c r="G2141" s="7" t="s">
        <v>10</v>
      </c>
      <c r="H2141" s="7">
        <v>0</v>
      </c>
      <c r="I2141" s="8" t="str">
        <f ca="1">IFERROR(__xludf.DUMMYFUNCTION("IF
(
G2142=""фізична особа""
,
VLOOKUP(H2142,IMPORTRANGE(""https://docs.google.com/spreadsheets/d/14Bd19lYaqBhU8_DElYkX7l4wRkHqqCUFNJY4AfY3kHU/edit?usp=sharing  #gid=0"",""фіз особи new!relations_name""),6,FALSE)
,
(IF
(
G2142=""юридична особа""
,
VLOOKUP"&amp;"(H2142,IMPORTRANGE(""https://docs.google.com/spreadsheets/d/14Bd19lYaqBhU8_DElYkX7l4wRkHqqCUFNJY4AfY3kHU/edit?usp=sharing  #gid=0"",""фіз особи new!relations_name_uo""),7,FALSE)
,
)
))"),"#N/A")</f>
        <v>#N/A</v>
      </c>
      <c r="J2141" s="7" t="s">
        <v>12</v>
      </c>
    </row>
    <row r="2142" spans="1:10" ht="13.2">
      <c r="A2142" s="7">
        <v>2141</v>
      </c>
      <c r="B2142" s="7">
        <v>1</v>
      </c>
      <c r="C2142" s="7" t="s">
        <v>10</v>
      </c>
      <c r="D2142" s="7">
        <v>629</v>
      </c>
      <c r="E2142" s="7" t="s">
        <v>19</v>
      </c>
      <c r="F2142" s="8" t="str">
        <f ca="1">IFERROR(__xludf.DUMMYFUNCTION("IF
(
C2143=""фізична особа""
,
VLOOKUP(D2143,IMPORTRANGE(""https://docs.google.com/spreadsheets/d/14Bd19lYaqBhU8_DElYkX7l4wRkHqqCUFNJY4AfY3kHU/edit?usp=sharing  #gid=0"",""фіз особи new!relations_name""),6,FALSE)
,
(IF
(
C2143=""юридична особа""
,
VLOOKUP"&amp;"(D2143,IMPORTRANGE(""https://docs.google.com/spreadsheets/d/14Bd19lYaqBhU8_DElYkX7l4wRkHqqCUFNJY4AfY3kHU/edit?usp=sharing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G2142" s="7" t="s">
        <v>10</v>
      </c>
      <c r="H2142" s="7">
        <v>630</v>
      </c>
      <c r="I2142" s="8" t="str">
        <f ca="1">IFERROR(__xludf.DUMMYFUNCTION("IF
(
G2143=""фізична особа""
,
VLOOKUP(H2143,IMPORTRANGE(""https://docs.google.com/spreadsheets/d/14Bd19lYaqBhU8_DElYkX7l4wRkHqqCUFNJY4AfY3kHU/edit?usp=sharing  #gid=0"",""фіз особи new!relations_name""),6,FALSE)
,
(IF
(
G2143=""юридична особа""
,
VLOOKUP"&amp;"(H2143,IMPORTRANGE(""https://docs.google.com/spreadsheets/d/14Bd19lYaqBhU8_DElYkX7l4wRkHqqCUFNJY4AfY3kHU/edit?usp=sharing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J2142" s="7" t="s">
        <v>20</v>
      </c>
    </row>
    <row r="2143" spans="1:10" ht="13.2">
      <c r="A2143" s="7">
        <v>2142</v>
      </c>
      <c r="B2143" s="7">
        <v>1</v>
      </c>
      <c r="C2143" s="7" t="s">
        <v>10</v>
      </c>
      <c r="D2143" s="7">
        <v>629</v>
      </c>
      <c r="E2143" s="7" t="s">
        <v>19</v>
      </c>
      <c r="F2143" s="8" t="str">
        <f ca="1">IFERROR(__xludf.DUMMYFUNCTION("IF
(
C2144=""фізична особа""
,
VLOOKUP(D2144,IMPORTRANGE(""https://docs.google.com/spreadsheets/d/14Bd19lYaqBhU8_DElYkX7l4wRkHqqCUFNJY4AfY3kHU/edit?usp=sharing  #gid=0"",""фіз особи new!relations_name""),6,FALSE)
,
(IF
(
C2144=""юридична особа""
,
VLOOKUP"&amp;"(D2144,IMPORTRANGE(""https://docs.google.com/spreadsheets/d/14Bd19lYaqBhU8_DElYkX7l4wRkHqqCUFNJY4AfY3kHU/edit?usp=sharing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G2143" s="7" t="s">
        <v>10</v>
      </c>
      <c r="H2143" s="7">
        <v>635</v>
      </c>
      <c r="I2143" s="8" t="str">
        <f ca="1">IFERROR(__xludf.DUMMYFUNCTION("IF
(
G2144=""фізична особа""
,
VLOOKUP(H2144,IMPORTRANGE(""https://docs.google.com/spreadsheets/d/14Bd19lYaqBhU8_DElYkX7l4wRkHqqCUFNJY4AfY3kHU/edit?usp=sharing  #gid=0"",""фіз особи new!relations_name""),6,FALSE)
,
(IF
(
G2144=""юридична особа""
,
VLOOKUP"&amp;"(H2144,IMPORTRANGE(""https://docs.google.com/spreadsheets/d/14Bd19lYaqBhU8_DElYkX7l4wRkHqqCUFNJY4AfY3kHU/edit?usp=sharing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J2143" s="7" t="s">
        <v>20</v>
      </c>
    </row>
    <row r="2144" spans="1:10" ht="13.2">
      <c r="A2144" s="7">
        <v>2143</v>
      </c>
      <c r="B2144" s="7">
        <v>1</v>
      </c>
      <c r="C2144" s="7" t="s">
        <v>10</v>
      </c>
      <c r="D2144" s="7">
        <v>629</v>
      </c>
      <c r="E2144" s="7" t="s">
        <v>12</v>
      </c>
      <c r="F2144" s="8" t="str">
        <f ca="1">IFERROR(__xludf.DUMMYFUNCTION("IF
(
C2145=""фізична особа""
,
VLOOKUP(D2145,IMPORTRANGE(""https://docs.google.com/spreadsheets/d/14Bd19lYaqBhU8_DElYkX7l4wRkHqqCUFNJY4AfY3kHU/edit?usp=sharing  #gid=0"",""фіз особи new!relations_name""),6,FALSE)
,
(IF
(
C2145=""юридична особа""
,
VLOOKUP"&amp;"(D2145,IMPORTRANGE(""https://docs.google.com/spreadsheets/d/14Bd19lYaqBhU8_DElYkX7l4wRkHqqCUFNJY4AfY3kHU/edit?usp=sharing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G2144" s="7" t="s">
        <v>10</v>
      </c>
      <c r="H2144" s="7">
        <v>633</v>
      </c>
      <c r="I2144" s="8" t="str">
        <f ca="1">IFERROR(__xludf.DUMMYFUNCTION("IF
(
G2145=""фізична особа""
,
VLOOKUP(H2145,IMPORTRANGE(""https://docs.google.com/spreadsheets/d/14Bd19lYaqBhU8_DElYkX7l4wRkHqqCUFNJY4AfY3kHU/edit?usp=sharing  #gid=0"",""фіз особи new!relations_name""),6,FALSE)
,
(IF
(
G2145=""юридична особа""
,
VLOOKUP"&amp;"(H2145,IMPORTRANGE(""https://docs.google.com/spreadsheets/d/14Bd19lYaqBhU8_DElYkX7l4wRkHqqCUFNJY4AfY3kHU/edit?usp=sharing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2144" s="7" t="s">
        <v>17</v>
      </c>
    </row>
    <row r="2145" spans="1:10" ht="13.2">
      <c r="A2145" s="7">
        <v>2144</v>
      </c>
      <c r="B2145" s="7">
        <v>1</v>
      </c>
      <c r="C2145" s="7" t="s">
        <v>10</v>
      </c>
      <c r="D2145" s="7">
        <v>629</v>
      </c>
      <c r="E2145" s="7" t="s">
        <v>12</v>
      </c>
      <c r="F2145" s="8" t="str">
        <f ca="1">IFERROR(__xludf.DUMMYFUNCTION("IF
(
C2146=""фізична особа""
,
VLOOKUP(D2146,IMPORTRANGE(""https://docs.google.com/spreadsheets/d/14Bd19lYaqBhU8_DElYkX7l4wRkHqqCUFNJY4AfY3kHU/edit?usp=sharing  #gid=0"",""фіз особи new!relations_name""),6,FALSE)
,
(IF
(
C2146=""юридична особа""
,
VLOOKUP"&amp;"(D2146,IMPORTRANGE(""https://docs.google.com/spreadsheets/d/14Bd19lYaqBhU8_DElYkX7l4wRkHqqCUFNJY4AfY3kHU/edit?usp=sharing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G2145" s="7" t="s">
        <v>10</v>
      </c>
      <c r="H2145" s="7">
        <v>632</v>
      </c>
      <c r="I2145" s="8" t="str">
        <f ca="1">IFERROR(__xludf.DUMMYFUNCTION("IF
(
G2146=""фізична особа""
,
VLOOKUP(H2146,IMPORTRANGE(""https://docs.google.com/spreadsheets/d/14Bd19lYaqBhU8_DElYkX7l4wRkHqqCUFNJY4AfY3kHU/edit?usp=sharing  #gid=0"",""фіз особи new!relations_name""),6,FALSE)
,
(IF
(
G2146=""юридична особа""
,
VLOOKUP"&amp;"(H2146,IMPORTRANGE(""https://docs.google.com/spreadsheets/d/14Bd19lYaqBhU8_DElYkX7l4wRkHqqCUFNJY4AfY3kHU/edit?usp=sharing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J2145" s="7" t="s">
        <v>13</v>
      </c>
    </row>
    <row r="2146" spans="1:10" ht="13.2">
      <c r="A2146" s="7">
        <v>2145</v>
      </c>
      <c r="B2146" s="7">
        <v>1</v>
      </c>
      <c r="C2146" s="7" t="s">
        <v>10</v>
      </c>
      <c r="D2146" s="7">
        <v>629</v>
      </c>
      <c r="E2146" s="7" t="s">
        <v>12</v>
      </c>
      <c r="F2146" s="8" t="str">
        <f ca="1">IFERROR(__xludf.DUMMYFUNCTION("IF
(
C2147=""фізична особа""
,
VLOOKUP(D2147,IMPORTRANGE(""https://docs.google.com/spreadsheets/d/14Bd19lYaqBhU8_DElYkX7l4wRkHqqCUFNJY4AfY3kHU/edit?usp=sharing  #gid=0"",""фіз особи new!relations_name""),6,FALSE)
,
(IF
(
C2147=""юридична особа""
,
VLOOKUP"&amp;"(D2147,IMPORTRANGE(""https://docs.google.com/spreadsheets/d/14Bd19lYaqBhU8_DElYkX7l4wRkHqqCUFNJY4AfY3kHU/edit?usp=sharing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G2146" s="7" t="s">
        <v>10</v>
      </c>
      <c r="H2146" s="7">
        <v>2053</v>
      </c>
      <c r="I2146" s="8" t="str">
        <f ca="1">IFERROR(__xludf.DUMMYFUNCTION("IF
(
G2147=""фізична особа""
,
VLOOKUP(H2147,IMPORTRANGE(""https://docs.google.com/spreadsheets/d/14Bd19lYaqBhU8_DElYkX7l4wRkHqqCUFNJY4AfY3kHU/edit?usp=sharing  #gid=0"",""фіз особи new!relations_name""),6,FALSE)
,
(IF
(
G2147=""юридична особа""
,
VLOOKUP"&amp;"(H2147,IMPORTRANGE(""https://docs.google.com/spreadsheets/d/14Bd19lYaqBhU8_DElYkX7l4wRkHqqCUFNJY4AfY3kHU/edit?usp=sharing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J2146" s="7" t="s">
        <v>13</v>
      </c>
    </row>
    <row r="2147" spans="1:10" ht="13.2">
      <c r="A2147" s="7">
        <v>2146</v>
      </c>
      <c r="B2147" s="7">
        <v>1</v>
      </c>
      <c r="C2147" s="7" t="s">
        <v>10</v>
      </c>
      <c r="D2147" s="7">
        <v>630</v>
      </c>
      <c r="E2147" s="7" t="s">
        <v>18</v>
      </c>
      <c r="F2147" s="8" t="str">
        <f ca="1">IFERROR(__xludf.DUMMYFUNCTION("IF
(
C2148=""фізична особа""
,
VLOOKUP(D2148,IMPORTRANGE(""https://docs.google.com/spreadsheets/d/14Bd19lYaqBhU8_DElYkX7l4wRkHqqCUFNJY4AfY3kHU/edit?usp=sharing  #gid=0"",""фіз особи new!relations_name""),6,FALSE)
,
(IF
(
C2148=""юридична особа""
,
VLOOKUP"&amp;"(D2148,IMPORTRANGE(""https://docs.google.com/spreadsheets/d/14Bd19lYaqBhU8_DElYkX7l4wRkHqqCUFNJY4AfY3kHU/edit?usp=sharing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47" s="7" t="s">
        <v>10</v>
      </c>
      <c r="H2147" s="7">
        <v>0</v>
      </c>
      <c r="I2147" s="8" t="str">
        <f ca="1">IFERROR(__xludf.DUMMYFUNCTION("IF
(
G2148=""фізична особа""
,
VLOOKUP(H2148,IMPORTRANGE(""https://docs.google.com/spreadsheets/d/14Bd19lYaqBhU8_DElYkX7l4wRkHqqCUFNJY4AfY3kHU/edit?usp=sharing  #gid=0"",""фіз особи new!relations_name""),6,FALSE)
,
(IF
(
G2148=""юридична особа""
,
VLOOKUP"&amp;"(H2148,IMPORTRANGE(""https://docs.google.com/spreadsheets/d/14Bd19lYaqBhU8_DElYkX7l4wRkHqqCUFNJY4AfY3kHU/edit?usp=sharing  #gid=0"",""фіз особи new!relations_name_uo""),7,FALSE)
,
)
))"),"#N/A")</f>
        <v>#N/A</v>
      </c>
      <c r="J2147" s="7" t="s">
        <v>31</v>
      </c>
    </row>
    <row r="2148" spans="1:10" ht="13.2">
      <c r="A2148" s="7">
        <v>2147</v>
      </c>
      <c r="B2148" s="7">
        <v>1</v>
      </c>
      <c r="C2148" s="7" t="s">
        <v>10</v>
      </c>
      <c r="D2148" s="7">
        <v>630</v>
      </c>
      <c r="E2148" s="7" t="s">
        <v>18</v>
      </c>
      <c r="F2148" s="8" t="str">
        <f ca="1">IFERROR(__xludf.DUMMYFUNCTION("IF
(
C2149=""фізична особа""
,
VLOOKUP(D2149,IMPORTRANGE(""https://docs.google.com/spreadsheets/d/14Bd19lYaqBhU8_DElYkX7l4wRkHqqCUFNJY4AfY3kHU/edit?usp=sharing  #gid=0"",""фіз особи new!relations_name""),6,FALSE)
,
(IF
(
C2149=""юридична особа""
,
VLOOKUP"&amp;"(D2149,IMPORTRANGE(""https://docs.google.com/spreadsheets/d/14Bd19lYaqBhU8_DElYkX7l4wRkHqqCUFNJY4AfY3kHU/edit?usp=sharing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48" s="7" t="s">
        <v>10</v>
      </c>
      <c r="H2148" s="7">
        <v>635</v>
      </c>
      <c r="I2148" s="8" t="str">
        <f ca="1">IFERROR(__xludf.DUMMYFUNCTION("IF
(
G2149=""фізична особа""
,
VLOOKUP(H2149,IMPORTRANGE(""https://docs.google.com/spreadsheets/d/14Bd19lYaqBhU8_DElYkX7l4wRkHqqCUFNJY4AfY3kHU/edit?usp=sharing  #gid=0"",""фіз особи new!relations_name""),6,FALSE)
,
(IF
(
G2149=""юридична особа""
,
VLOOKUP"&amp;"(H2149,IMPORTRANGE(""https://docs.google.com/spreadsheets/d/14Bd19lYaqBhU8_DElYkX7l4wRkHqqCUFNJY4AfY3kHU/edit?usp=sharing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J2148" s="7" t="s">
        <v>18</v>
      </c>
    </row>
    <row r="2149" spans="1:10" ht="13.2">
      <c r="A2149" s="7">
        <v>2148</v>
      </c>
      <c r="B2149" s="7">
        <v>1</v>
      </c>
      <c r="C2149" s="7" t="s">
        <v>10</v>
      </c>
      <c r="D2149" s="7">
        <v>630</v>
      </c>
      <c r="E2149" s="7" t="s">
        <v>20</v>
      </c>
      <c r="F2149" s="8" t="str">
        <f ca="1">IFERROR(__xludf.DUMMYFUNCTION("IF
(
C2150=""фізична особа""
,
VLOOKUP(D2150,IMPORTRANGE(""https://docs.google.com/spreadsheets/d/14Bd19lYaqBhU8_DElYkX7l4wRkHqqCUFNJY4AfY3kHU/edit?usp=sharing  #gid=0"",""фіз особи new!relations_name""),6,FALSE)
,
(IF
(
C2150=""юридична особа""
,
VLOOKUP"&amp;"(D2150,IMPORTRANGE(""https://docs.google.com/spreadsheets/d/14Bd19lYaqBhU8_DElYkX7l4wRkHqqCUFNJY4AfY3kHU/edit?usp=sharing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49" s="7" t="s">
        <v>10</v>
      </c>
      <c r="H2149" s="7">
        <v>629</v>
      </c>
      <c r="I2149" s="8" t="str">
        <f ca="1">IFERROR(__xludf.DUMMYFUNCTION("IF
(
G2150=""фізична особа""
,
VLOOKUP(H2150,IMPORTRANGE(""https://docs.google.com/spreadsheets/d/14Bd19lYaqBhU8_DElYkX7l4wRkHqqCUFNJY4AfY3kHU/edit?usp=sharing  #gid=0"",""фіз особи new!relations_name""),6,FALSE)
,
(IF
(
G2150=""юридична особа""
,
VLOOKUP"&amp;"(H2150,IMPORTRANGE(""https://docs.google.com/spreadsheets/d/14Bd19lYaqBhU8_DElYkX7l4wRkHqqCUFNJY4AfY3kHU/edit?usp=sharing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149" s="7" t="s">
        <v>19</v>
      </c>
    </row>
    <row r="2150" spans="1:10" ht="13.2">
      <c r="A2150" s="7">
        <v>2149</v>
      </c>
      <c r="B2150" s="7">
        <v>1</v>
      </c>
      <c r="C2150" s="7" t="s">
        <v>10</v>
      </c>
      <c r="D2150" s="7">
        <v>630</v>
      </c>
      <c r="E2150" s="7" t="s">
        <v>17</v>
      </c>
      <c r="F2150" s="8" t="str">
        <f ca="1">IFERROR(__xludf.DUMMYFUNCTION("IF
(
C2151=""фізична особа""
,
VLOOKUP(D2151,IMPORTRANGE(""https://docs.google.com/spreadsheets/d/14Bd19lYaqBhU8_DElYkX7l4wRkHqqCUFNJY4AfY3kHU/edit?usp=sharing  #gid=0"",""фіз особи new!relations_name""),6,FALSE)
,
(IF
(
C2151=""юридична особа""
,
VLOOKUP"&amp;"(D2151,IMPORTRANGE(""https://docs.google.com/spreadsheets/d/14Bd19lYaqBhU8_DElYkX7l4wRkHqqCUFNJY4AfY3kHU/edit?usp=sharing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50" s="7" t="s">
        <v>10</v>
      </c>
      <c r="H2150" s="7">
        <v>144</v>
      </c>
      <c r="I2150" s="8" t="str">
        <f ca="1">IFERROR(__xludf.DUMMYFUNCTION("IF
(
G2151=""фізична особа""
,
VLOOKUP(H2151,IMPORTRANGE(""https://docs.google.com/spreadsheets/d/14Bd19lYaqBhU8_DElYkX7l4wRkHqqCUFNJY4AfY3kHU/edit?usp=sharing  #gid=0"",""фіз особи new!relations_name""),6,FALSE)
,
(IF
(
G2151=""юридична особа""
,
VLOOKUP"&amp;"(H2151,IMPORTRANGE(""https://docs.google.com/spreadsheets/d/14Bd19lYaqBhU8_DElYkX7l4wRkHqqCUFNJY4AfY3kHU/edit?usp=sharing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2150" s="7" t="s">
        <v>12</v>
      </c>
    </row>
    <row r="2151" spans="1:10" ht="13.2">
      <c r="A2151" s="7">
        <v>2150</v>
      </c>
      <c r="B2151" s="7">
        <v>1</v>
      </c>
      <c r="C2151" s="7" t="s">
        <v>10</v>
      </c>
      <c r="D2151" s="7">
        <v>630</v>
      </c>
      <c r="E2151" s="7" t="s">
        <v>44</v>
      </c>
      <c r="F2151" s="8" t="str">
        <f ca="1">IFERROR(__xludf.DUMMYFUNCTION("IF
(
C2152=""фізична особа""
,
VLOOKUP(D2152,IMPORTRANGE(""https://docs.google.com/spreadsheets/d/14Bd19lYaqBhU8_DElYkX7l4wRkHqqCUFNJY4AfY3kHU/edit?usp=sharing  #gid=0"",""фіз особи new!relations_name""),6,FALSE)
,
(IF
(
C2152=""юридична особа""
,
VLOOKUP"&amp;"(D2152,IMPORTRANGE(""https://docs.google.com/spreadsheets/d/14Bd19lYaqBhU8_DElYkX7l4wRkHqqCUFNJY4AfY3kHU/edit?usp=sharing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51" s="7" t="s">
        <v>10</v>
      </c>
      <c r="H2151" s="7">
        <v>294</v>
      </c>
      <c r="I2151" s="8" t="str">
        <f ca="1">IFERROR(__xludf.DUMMYFUNCTION("IF
(
G2152=""фізична особа""
,
VLOOKUP(H2152,IMPORTRANGE(""https://docs.google.com/spreadsheets/d/14Bd19lYaqBhU8_DElYkX7l4wRkHqqCUFNJY4AfY3kHU/edit?usp=sharing  #gid=0"",""фіз особи new!relations_name""),6,FALSE)
,
(IF
(
G2152=""юридична особа""
,
VLOOKUP"&amp;"(H2152,IMPORTRANGE(""https://docs.google.com/spreadsheets/d/14Bd19lYaqBhU8_DElYkX7l4wRkHqqCUFNJY4AfY3kHU/edit?usp=sharing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J2151" s="7" t="s">
        <v>44</v>
      </c>
    </row>
    <row r="2152" spans="1:10" ht="13.2">
      <c r="A2152" s="7">
        <v>2151</v>
      </c>
      <c r="B2152" s="7">
        <v>1</v>
      </c>
      <c r="C2152" s="7" t="s">
        <v>10</v>
      </c>
      <c r="D2152" s="7">
        <v>630</v>
      </c>
      <c r="E2152" s="7" t="s">
        <v>44</v>
      </c>
      <c r="F2152" s="8" t="str">
        <f ca="1">IFERROR(__xludf.DUMMYFUNCTION("IF
(
C2153=""фізична особа""
,
VLOOKUP(D2153,IMPORTRANGE(""https://docs.google.com/spreadsheets/d/14Bd19lYaqBhU8_DElYkX7l4wRkHqqCUFNJY4AfY3kHU/edit?usp=sharing  #gid=0"",""фіз особи new!relations_name""),6,FALSE)
,
(IF
(
C2153=""юридична особа""
,
VLOOKUP"&amp;"(D2153,IMPORTRANGE(""https://docs.google.com/spreadsheets/d/14Bd19lYaqBhU8_DElYkX7l4wRkHqqCUFNJY4AfY3kHU/edit?usp=sharing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52" s="7" t="s">
        <v>10</v>
      </c>
      <c r="H2152" s="7">
        <v>633</v>
      </c>
      <c r="I2152" s="8" t="str">
        <f ca="1">IFERROR(__xludf.DUMMYFUNCTION("IF
(
G2153=""фізична особа""
,
VLOOKUP(H2153,IMPORTRANGE(""https://docs.google.com/spreadsheets/d/14Bd19lYaqBhU8_DElYkX7l4wRkHqqCUFNJY4AfY3kHU/edit?usp=sharing  #gid=0"",""фіз особи new!relations_name""),6,FALSE)
,
(IF
(
G2153=""юридична особа""
,
VLOOKUP"&amp;"(H2153,IMPORTRANGE(""https://docs.google.com/spreadsheets/d/14Bd19lYaqBhU8_DElYkX7l4wRkHqqCUFNJY4AfY3kHU/edit?usp=sharing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2152" s="7" t="s">
        <v>44</v>
      </c>
    </row>
    <row r="2153" spans="1:10" ht="13.2">
      <c r="A2153" s="7">
        <v>2152</v>
      </c>
      <c r="B2153" s="7">
        <v>1</v>
      </c>
      <c r="C2153" s="7" t="s">
        <v>10</v>
      </c>
      <c r="D2153" s="7">
        <v>630</v>
      </c>
      <c r="E2153" s="7" t="s">
        <v>17</v>
      </c>
      <c r="F2153" s="8" t="str">
        <f ca="1">IFERROR(__xludf.DUMMYFUNCTION("IF
(
C2154=""фізична особа""
,
VLOOKUP(D2154,IMPORTRANGE(""https://docs.google.com/spreadsheets/d/14Bd19lYaqBhU8_DElYkX7l4wRkHqqCUFNJY4AfY3kHU/edit?usp=sharing  #gid=0"",""фіз особи new!relations_name""),6,FALSE)
,
(IF
(
C2154=""юридична особа""
,
VLOOKUP"&amp;"(D2154,IMPORTRANGE(""https://docs.google.com/spreadsheets/d/14Bd19lYaqBhU8_DElYkX7l4wRkHqqCUFNJY4AfY3kHU/edit?usp=sharing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53" s="7" t="s">
        <v>10</v>
      </c>
      <c r="H2153" s="7">
        <v>23431</v>
      </c>
      <c r="I2153" s="8" t="str">
        <f ca="1">IFERROR(__xludf.DUMMYFUNCTION("IF
(
G2154=""фізична особа""
,
VLOOKUP(H2154,IMPORTRANGE(""https://docs.google.com/spreadsheets/d/14Bd19lYaqBhU8_DElYkX7l4wRkHqqCUFNJY4AfY3kHU/edit?usp=sharing  #gid=0"",""фіз особи new!relations_name""),6,FALSE)
,
(IF
(
G2154=""юридична особа""
,
VLOOKUP"&amp;"(H2154,IMPORTRANGE(""https://docs.google.com/spreadsheets/d/14Bd19lYaqBhU8_DElYkX7l4wRkHqqCUFNJY4AfY3kHU/edit?usp=sharing  #gid=0"",""фіз особи new!relations_name_uo""),7,FALSE)
,
)
))"),"ХАРАНЕН Ірина")</f>
        <v>ХАРАНЕН Ірина</v>
      </c>
      <c r="J2153" s="7" t="s">
        <v>21</v>
      </c>
    </row>
    <row r="2154" spans="1:10" ht="13.2">
      <c r="A2154" s="7">
        <v>2153</v>
      </c>
      <c r="B2154" s="7">
        <v>1</v>
      </c>
      <c r="C2154" s="7" t="s">
        <v>10</v>
      </c>
      <c r="D2154" s="7">
        <v>630</v>
      </c>
      <c r="E2154" s="7" t="s">
        <v>33</v>
      </c>
      <c r="F2154" s="8" t="str">
        <f ca="1">IFERROR(__xludf.DUMMYFUNCTION("IF
(
C2155=""фізична особа""
,
VLOOKUP(D2155,IMPORTRANGE(""https://docs.google.com/spreadsheets/d/14Bd19lYaqBhU8_DElYkX7l4wRkHqqCUFNJY4AfY3kHU/edit?usp=sharing  #gid=0"",""фіз особи new!relations_name""),6,FALSE)
,
(IF
(
C2155=""юридична особа""
,
VLOOKUP"&amp;"(D2155,IMPORTRANGE(""https://docs.google.com/spreadsheets/d/14Bd19lYaqBhU8_DElYkX7l4wRkHqqCUFNJY4AfY3kHU/edit?usp=sharing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G2154" s="7" t="s">
        <v>10</v>
      </c>
      <c r="H2154" s="7">
        <v>631</v>
      </c>
      <c r="I2154" s="8" t="str">
        <f ca="1">IFERROR(__xludf.DUMMYFUNCTION("IF
(
G2155=""фізична особа""
,
VLOOKUP(H2155,IMPORTRANGE(""https://docs.google.com/spreadsheets/d/14Bd19lYaqBhU8_DElYkX7l4wRkHqqCUFNJY4AfY3kHU/edit?usp=sharing  #gid=0"",""фіз особи new!relations_name""),6,FALSE)
,
(IF
(
G2155=""юридична особа""
,
VLOOKUP"&amp;"(H2155,IMPORTRANGE(""https://docs.google.com/spreadsheets/d/14Bd19lYaqBhU8_DElYkX7l4wRkHqqCUFNJY4AfY3kHU/edit?usp=sharing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J2154" s="7" t="s">
        <v>84</v>
      </c>
    </row>
    <row r="2155" spans="1:10" ht="13.2">
      <c r="A2155" s="7">
        <v>2154</v>
      </c>
      <c r="B2155" s="7">
        <v>1</v>
      </c>
      <c r="C2155" s="7" t="s">
        <v>10</v>
      </c>
      <c r="D2155" s="7">
        <v>631</v>
      </c>
      <c r="E2155" s="7" t="s">
        <v>15</v>
      </c>
      <c r="F2155" s="8" t="str">
        <f ca="1">IFERROR(__xludf.DUMMYFUNCTION("IF
(
C2156=""фізична особа""
,
VLOOKUP(D2156,IMPORTRANGE(""https://docs.google.com/spreadsheets/d/14Bd19lYaqBhU8_DElYkX7l4wRkHqqCUFNJY4AfY3kHU/edit?usp=sharing  #gid=0"",""фіз особи new!relations_name""),6,FALSE)
,
(IF
(
C2156=""юридична особа""
,
VLOOKUP"&amp;"(D2156,IMPORTRANGE(""https://docs.google.com/spreadsheets/d/14Bd19lYaqBhU8_DElYkX7l4wRkHqqCUFNJY4AfY3kHU/edit?usp=sharing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55" s="7" t="s">
        <v>10</v>
      </c>
      <c r="H2155" s="7">
        <v>144</v>
      </c>
      <c r="I2155" s="8" t="str">
        <f ca="1">IFERROR(__xludf.DUMMYFUNCTION("IF
(
G2156=""фізична особа""
,
VLOOKUP(H2156,IMPORTRANGE(""https://docs.google.com/spreadsheets/d/14Bd19lYaqBhU8_DElYkX7l4wRkHqqCUFNJY4AfY3kHU/edit?usp=sharing  #gid=0"",""фіз особи new!relations_name""),6,FALSE)
,
(IF
(
G2156=""юридична особа""
,
VLOOKUP"&amp;"(H2156,IMPORTRANGE(""https://docs.google.com/spreadsheets/d/14Bd19lYaqBhU8_DElYkX7l4wRkHqqCUFNJY4AfY3kHU/edit?usp=sharing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2155" s="7" t="s">
        <v>14</v>
      </c>
    </row>
    <row r="2156" spans="1:10" ht="13.2">
      <c r="A2156" s="7">
        <v>2155</v>
      </c>
      <c r="B2156" s="7">
        <v>1</v>
      </c>
      <c r="C2156" s="7" t="s">
        <v>10</v>
      </c>
      <c r="D2156" s="7">
        <v>631</v>
      </c>
      <c r="E2156" s="7" t="s">
        <v>84</v>
      </c>
      <c r="F2156" s="8" t="str">
        <f ca="1">IFERROR(__xludf.DUMMYFUNCTION("IF
(
C2157=""фізична особа""
,
VLOOKUP(D2157,IMPORTRANGE(""https://docs.google.com/spreadsheets/d/14Bd19lYaqBhU8_DElYkX7l4wRkHqqCUFNJY4AfY3kHU/edit?usp=sharing  #gid=0"",""фіз особи new!relations_name""),6,FALSE)
,
(IF
(
C2157=""юридична особа""
,
VLOOKUP"&amp;"(D2157,IMPORTRANGE(""https://docs.google.com/spreadsheets/d/14Bd19lYaqBhU8_DElYkX7l4wRkHqqCUFNJY4AfY3kHU/edit?usp=sharing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56" s="7" t="s">
        <v>10</v>
      </c>
      <c r="H2156" s="7">
        <v>630</v>
      </c>
      <c r="I2156" s="8" t="str">
        <f ca="1">IFERROR(__xludf.DUMMYFUNCTION("IF
(
G2157=""фізична особа""
,
VLOOKUP(H2157,IMPORTRANGE(""https://docs.google.com/spreadsheets/d/14Bd19lYaqBhU8_DElYkX7l4wRkHqqCUFNJY4AfY3kHU/edit?usp=sharing  #gid=0"",""фіз особи new!relations_name""),6,FALSE)
,
(IF
(
G2157=""юридична особа""
,
VLOOKUP"&amp;"(H2157,IMPORTRANGE(""https://docs.google.com/spreadsheets/d/14Bd19lYaqBhU8_DElYkX7l4wRkHqqCUFNJY4AfY3kHU/edit?usp=sharing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J2156" s="7" t="s">
        <v>33</v>
      </c>
    </row>
    <row r="2157" spans="1:10" ht="13.2">
      <c r="A2157" s="7">
        <v>2156</v>
      </c>
      <c r="B2157" s="7">
        <v>1</v>
      </c>
      <c r="C2157" s="7" t="s">
        <v>10</v>
      </c>
      <c r="D2157" s="7">
        <v>631</v>
      </c>
      <c r="E2157" s="7" t="s">
        <v>25</v>
      </c>
      <c r="F2157" s="8" t="str">
        <f ca="1">IFERROR(__xludf.DUMMYFUNCTION("IF
(
C2158=""фізична особа""
,
VLOOKUP(D2158,IMPORTRANGE(""https://docs.google.com/spreadsheets/d/14Bd19lYaqBhU8_DElYkX7l4wRkHqqCUFNJY4AfY3kHU/edit?usp=sharing  #gid=0"",""фіз особи new!relations_name""),6,FALSE)
,
(IF
(
C2158=""юридична особа""
,
VLOOKUP"&amp;"(D2158,IMPORTRANGE(""https://docs.google.com/spreadsheets/d/14Bd19lYaqBhU8_DElYkX7l4wRkHqqCUFNJY4AfY3kHU/edit?usp=sharing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57" s="7" t="s">
        <v>10</v>
      </c>
      <c r="H2157" s="7">
        <v>629</v>
      </c>
      <c r="I2157" s="8" t="str">
        <f ca="1">IFERROR(__xludf.DUMMYFUNCTION("IF
(
G2158=""фізична особа""
,
VLOOKUP(H2158,IMPORTRANGE(""https://docs.google.com/spreadsheets/d/14Bd19lYaqBhU8_DElYkX7l4wRkHqqCUFNJY4AfY3kHU/edit?usp=sharing  #gid=0"",""фіз особи new!relations_name""),6,FALSE)
,
(IF
(
G2158=""юридична особа""
,
VLOOKUP"&amp;"(H2158,IMPORTRANGE(""https://docs.google.com/spreadsheets/d/14Bd19lYaqBhU8_DElYkX7l4wRkHqqCUFNJY4AfY3kHU/edit?usp=sharing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157" s="7" t="s">
        <v>73</v>
      </c>
    </row>
    <row r="2158" spans="1:10" ht="13.2">
      <c r="A2158" s="7">
        <v>2157</v>
      </c>
      <c r="B2158" s="7">
        <v>1</v>
      </c>
      <c r="C2158" s="7" t="s">
        <v>10</v>
      </c>
      <c r="D2158" s="7">
        <v>631</v>
      </c>
      <c r="E2158" s="7" t="s">
        <v>45</v>
      </c>
      <c r="F2158" s="8" t="str">
        <f ca="1">IFERROR(__xludf.DUMMYFUNCTION("IF
(
C2159=""фізична особа""
,
VLOOKUP(D2159,IMPORTRANGE(""https://docs.google.com/spreadsheets/d/14Bd19lYaqBhU8_DElYkX7l4wRkHqqCUFNJY4AfY3kHU/edit?usp=sharing  #gid=0"",""фіз особи new!relations_name""),6,FALSE)
,
(IF
(
C2159=""юридична особа""
,
VLOOKUP"&amp;"(D2159,IMPORTRANGE(""https://docs.google.com/spreadsheets/d/14Bd19lYaqBhU8_DElYkX7l4wRkHqqCUFNJY4AfY3kHU/edit?usp=sharing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58" s="7" t="s">
        <v>10</v>
      </c>
      <c r="H2158" s="7">
        <v>632</v>
      </c>
      <c r="I2158" s="8" t="str">
        <f ca="1">IFERROR(__xludf.DUMMYFUNCTION("IF
(
G2159=""фізична особа""
,
VLOOKUP(H2159,IMPORTRANGE(""https://docs.google.com/spreadsheets/d/14Bd19lYaqBhU8_DElYkX7l4wRkHqqCUFNJY4AfY3kHU/edit?usp=sharing  #gid=0"",""фіз особи new!relations_name""),6,FALSE)
,
(IF
(
G2159=""юридична особа""
,
VLOOKUP"&amp;"(H2159,IMPORTRANGE(""https://docs.google.com/spreadsheets/d/14Bd19lYaqBhU8_DElYkX7l4wRkHqqCUFNJY4AfY3kHU/edit?usp=sharing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J2158" s="7" t="s">
        <v>22</v>
      </c>
    </row>
    <row r="2159" spans="1:10" ht="13.2">
      <c r="A2159" s="7">
        <v>2158</v>
      </c>
      <c r="B2159" s="7">
        <v>1</v>
      </c>
      <c r="C2159" s="7" t="s">
        <v>10</v>
      </c>
      <c r="D2159" s="7">
        <v>631</v>
      </c>
      <c r="E2159" s="7" t="s">
        <v>45</v>
      </c>
      <c r="F2159" s="8" t="str">
        <f ca="1">IFERROR(__xludf.DUMMYFUNCTION("IF
(
C2160=""фізична особа""
,
VLOOKUP(D2160,IMPORTRANGE(""https://docs.google.com/spreadsheets/d/14Bd19lYaqBhU8_DElYkX7l4wRkHqqCUFNJY4AfY3kHU/edit?usp=sharing  #gid=0"",""фіз особи new!relations_name""),6,FALSE)
,
(IF
(
C2160=""юридична особа""
,
VLOOKUP"&amp;"(D2160,IMPORTRANGE(""https://docs.google.com/spreadsheets/d/14Bd19lYaqBhU8_DElYkX7l4wRkHqqCUFNJY4AfY3kHU/edit?usp=sharing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59" s="7" t="s">
        <v>10</v>
      </c>
      <c r="H2159" s="7">
        <v>294</v>
      </c>
      <c r="I2159" s="8" t="str">
        <f ca="1">IFERROR(__xludf.DUMMYFUNCTION("IF
(
G2160=""фізична особа""
,
VLOOKUP(H2160,IMPORTRANGE(""https://docs.google.com/spreadsheets/d/14Bd19lYaqBhU8_DElYkX7l4wRkHqqCUFNJY4AfY3kHU/edit?usp=sharing  #gid=0"",""фіз особи new!relations_name""),6,FALSE)
,
(IF
(
G2160=""юридична особа""
,
VLOOKUP"&amp;"(H2160,IMPORTRANGE(""https://docs.google.com/spreadsheets/d/14Bd19lYaqBhU8_DElYkX7l4wRkHqqCUFNJY4AfY3kHU/edit?usp=sharing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J2159" s="7" t="s">
        <v>20</v>
      </c>
    </row>
    <row r="2160" spans="1:10" ht="13.2">
      <c r="A2160" s="7">
        <v>2159</v>
      </c>
      <c r="B2160" s="7">
        <v>1</v>
      </c>
      <c r="C2160" s="7" t="s">
        <v>10</v>
      </c>
      <c r="D2160" s="7">
        <v>631</v>
      </c>
      <c r="E2160" s="7" t="s">
        <v>45</v>
      </c>
      <c r="F2160" s="8" t="str">
        <f ca="1">IFERROR(__xludf.DUMMYFUNCTION("IF
(
C2161=""фізична особа""
,
VLOOKUP(D2161,IMPORTRANGE(""https://docs.google.com/spreadsheets/d/14Bd19lYaqBhU8_DElYkX7l4wRkHqqCUFNJY4AfY3kHU/edit?usp=sharing  #gid=0"",""фіз особи new!relations_name""),6,FALSE)
,
(IF
(
C2161=""юридична особа""
,
VLOOKUP"&amp;"(D2161,IMPORTRANGE(""https://docs.google.com/spreadsheets/d/14Bd19lYaqBhU8_DElYkX7l4wRkHqqCUFNJY4AfY3kHU/edit?usp=sharing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60" s="7" t="s">
        <v>10</v>
      </c>
      <c r="H2160" s="7">
        <v>633</v>
      </c>
      <c r="I2160" s="8" t="str">
        <f ca="1">IFERROR(__xludf.DUMMYFUNCTION("IF
(
G2161=""фізична особа""
,
VLOOKUP(H2161,IMPORTRANGE(""https://docs.google.com/spreadsheets/d/14Bd19lYaqBhU8_DElYkX7l4wRkHqqCUFNJY4AfY3kHU/edit?usp=sharing  #gid=0"",""фіз особи new!relations_name""),6,FALSE)
,
(IF
(
G2161=""юридична особа""
,
VLOOKUP"&amp;"(H2161,IMPORTRANGE(""https://docs.google.com/spreadsheets/d/14Bd19lYaqBhU8_DElYkX7l4wRkHqqCUFNJY4AfY3kHU/edit?usp=sharing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2160" s="7" t="s">
        <v>20</v>
      </c>
    </row>
    <row r="2161" spans="1:10" ht="13.2">
      <c r="A2161" s="7">
        <v>2160</v>
      </c>
      <c r="B2161" s="7">
        <v>1</v>
      </c>
      <c r="C2161" s="7" t="s">
        <v>10</v>
      </c>
      <c r="D2161" s="7">
        <v>631</v>
      </c>
      <c r="E2161" s="7" t="s">
        <v>11</v>
      </c>
      <c r="F2161" s="8" t="str">
        <f ca="1">IFERROR(__xludf.DUMMYFUNCTION("IF
(
C2162=""фізична особа""
,
VLOOKUP(D2162,IMPORTRANGE(""https://docs.google.com/spreadsheets/d/14Bd19lYaqBhU8_DElYkX7l4wRkHqqCUFNJY4AfY3kHU/edit?usp=sharing  #gid=0"",""фіз особи new!relations_name""),6,FALSE)
,
(IF
(
C2162=""юридична особа""
,
VLOOKUP"&amp;"(D2162,IMPORTRANGE(""https://docs.google.com/spreadsheets/d/14Bd19lYaqBhU8_DElYkX7l4wRkHqqCUFNJY4AfY3kHU/edit?usp=sharing  #gid=0"",""фіз особи new!relations_name_uo""),7,FALSE)
,
)
))"),"РОТЕНБЕРГ Каріна Юріївна")</f>
        <v>РОТЕНБЕРГ Каріна Юріївна</v>
      </c>
      <c r="G2161" s="7" t="s">
        <v>10</v>
      </c>
      <c r="H2161" s="7">
        <v>0</v>
      </c>
      <c r="I2161" s="8" t="str">
        <f ca="1">IFERROR(__xludf.DUMMYFUNCTION("IF
(
G2162=""фізична особа""
,
VLOOKUP(H2162,IMPORTRANGE(""https://docs.google.com/spreadsheets/d/14Bd19lYaqBhU8_DElYkX7l4wRkHqqCUFNJY4AfY3kHU/edit?usp=sharing  #gid=0"",""фіз особи new!relations_name""),6,FALSE)
,
(IF
(
G2162=""юридична особа""
,
VLOOKUP"&amp;"(H2162,IMPORTRANGE(""https://docs.google.com/spreadsheets/d/14Bd19lYaqBhU8_DElYkX7l4wRkHqqCUFNJY4AfY3kHU/edit?usp=sharing  #gid=0"",""фіз особи new!relations_name_uo""),7,FALSE)
,
)
))"),"#N/A")</f>
        <v>#N/A</v>
      </c>
      <c r="J2161" s="7" t="s">
        <v>11</v>
      </c>
    </row>
    <row r="2162" spans="1:10" ht="13.2">
      <c r="A2162" s="7">
        <v>2161</v>
      </c>
      <c r="B2162" s="7">
        <v>1</v>
      </c>
      <c r="C2162" s="7" t="s">
        <v>10</v>
      </c>
      <c r="D2162" s="7">
        <v>632</v>
      </c>
      <c r="E2162" s="7" t="s">
        <v>31</v>
      </c>
      <c r="F2162" s="8" t="str">
        <f ca="1">IFERROR(__xludf.DUMMYFUNCTION("IF
(
C2163=""фізична особа""
,
VLOOKUP(D2163,IMPORTRANGE(""https://docs.google.com/spreadsheets/d/14Bd19lYaqBhU8_DElYkX7l4wRkHqqCUFNJY4AfY3kHU/edit?usp=sharing  #gid=0"",""фіз особи new!relations_name""),6,FALSE)
,
(IF
(
C2163=""юридична особа""
,
VLOOKUP"&amp;"(D2163,IMPORTRANGE(""https://docs.google.com/spreadsheets/d/14Bd19lYaqBhU8_DElYkX7l4wRkHqqCUFNJY4AfY3kHU/edit?usp=sharing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G2162" s="7" t="s">
        <v>10</v>
      </c>
      <c r="H2162" s="7">
        <v>633</v>
      </c>
      <c r="I2162" s="8" t="str">
        <f ca="1">IFERROR(__xludf.DUMMYFUNCTION("IF
(
G2163=""фізична особа""
,
VLOOKUP(H2163,IMPORTRANGE(""https://docs.google.com/spreadsheets/d/14Bd19lYaqBhU8_DElYkX7l4wRkHqqCUFNJY4AfY3kHU/edit?usp=sharing  #gid=0"",""фіз особи new!relations_name""),6,FALSE)
,
(IF
(
G2163=""юридична особа""
,
VLOOKUP"&amp;"(H2163,IMPORTRANGE(""https://docs.google.com/spreadsheets/d/14Bd19lYaqBhU8_DElYkX7l4wRkHqqCUFNJY4AfY3kHU/edit?usp=sharing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J2162" s="7" t="s">
        <v>18</v>
      </c>
    </row>
    <row r="2163" spans="1:10" ht="13.2">
      <c r="A2163" s="7">
        <v>2162</v>
      </c>
      <c r="B2163" s="7">
        <v>1</v>
      </c>
      <c r="C2163" s="7" t="s">
        <v>10</v>
      </c>
      <c r="D2163" s="7">
        <v>632</v>
      </c>
      <c r="E2163" s="7" t="s">
        <v>31</v>
      </c>
      <c r="F2163" s="8" t="str">
        <f ca="1">IFERROR(__xludf.DUMMYFUNCTION("IF
(
C2164=""фізична особа""
,
VLOOKUP(D2164,IMPORTRANGE(""https://docs.google.com/spreadsheets/d/14Bd19lYaqBhU8_DElYkX7l4wRkHqqCUFNJY4AfY3kHU/edit?usp=sharing  #gid=0"",""фіз особи new!relations_name""),6,FALSE)
,
(IF
(
C2164=""юридична особа""
,
VLOOKUP"&amp;"(D2164,IMPORTRANGE(""https://docs.google.com/spreadsheets/d/14Bd19lYaqBhU8_DElYkX7l4wRkHqqCUFNJY4AfY3kHU/edit?usp=sharing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G2163" s="7" t="s">
        <v>10</v>
      </c>
      <c r="H2163" s="7">
        <v>2053</v>
      </c>
      <c r="I2163" s="8" t="str">
        <f ca="1">IFERROR(__xludf.DUMMYFUNCTION("IF
(
G2164=""фізична особа""
,
VLOOKUP(H2164,IMPORTRANGE(""https://docs.google.com/spreadsheets/d/14Bd19lYaqBhU8_DElYkX7l4wRkHqqCUFNJY4AfY3kHU/edit?usp=sharing  #gid=0"",""фіз особи new!relations_name""),6,FALSE)
,
(IF
(
G2164=""юридична особа""
,
VLOOKUP"&amp;"(H2164,IMPORTRANGE(""https://docs.google.com/spreadsheets/d/14Bd19lYaqBhU8_DElYkX7l4wRkHqqCUFNJY4AfY3kHU/edit?usp=sharing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J2163" s="7" t="s">
        <v>31</v>
      </c>
    </row>
    <row r="2164" spans="1:10" ht="13.2">
      <c r="A2164" s="7">
        <v>2163</v>
      </c>
      <c r="B2164" s="7">
        <v>1</v>
      </c>
      <c r="C2164" s="7" t="s">
        <v>10</v>
      </c>
      <c r="D2164" s="7">
        <v>632</v>
      </c>
      <c r="E2164" s="7" t="s">
        <v>31</v>
      </c>
      <c r="F2164" s="8" t="str">
        <f ca="1">IFERROR(__xludf.DUMMYFUNCTION("IF
(
C2165=""фізична особа""
,
VLOOKUP(D2165,IMPORTRANGE(""https://docs.google.com/spreadsheets/d/14Bd19lYaqBhU8_DElYkX7l4wRkHqqCUFNJY4AfY3kHU/edit?usp=sharing  #gid=0"",""фіз особи new!relations_name""),6,FALSE)
,
(IF
(
C2165=""юридична особа""
,
VLOOKUP"&amp;"(D2165,IMPORTRANGE(""https://docs.google.com/spreadsheets/d/14Bd19lYaqBhU8_DElYkX7l4wRkHqqCUFNJY4AfY3kHU/edit?usp=sharing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G2164" s="7" t="s">
        <v>10</v>
      </c>
      <c r="H2164" s="7">
        <v>294</v>
      </c>
      <c r="I2164" s="8" t="str">
        <f ca="1">IFERROR(__xludf.DUMMYFUNCTION("IF
(
G2165=""фізична особа""
,
VLOOKUP(H2165,IMPORTRANGE(""https://docs.google.com/spreadsheets/d/14Bd19lYaqBhU8_DElYkX7l4wRkHqqCUFNJY4AfY3kHU/edit?usp=sharing  #gid=0"",""фіз особи new!relations_name""),6,FALSE)
,
(IF
(
G2165=""юридична особа""
,
VLOOKUP"&amp;"(H2165,IMPORTRANGE(""https://docs.google.com/spreadsheets/d/14Bd19lYaqBhU8_DElYkX7l4wRkHqqCUFNJY4AfY3kHU/edit?usp=sharing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J2164" s="7" t="s">
        <v>18</v>
      </c>
    </row>
    <row r="2165" spans="1:10" ht="13.2">
      <c r="A2165" s="7">
        <v>2164</v>
      </c>
      <c r="B2165" s="7">
        <v>1</v>
      </c>
      <c r="C2165" s="7" t="s">
        <v>10</v>
      </c>
      <c r="D2165" s="7">
        <v>632</v>
      </c>
      <c r="E2165" s="7" t="s">
        <v>13</v>
      </c>
      <c r="F2165" s="8" t="str">
        <f ca="1">IFERROR(__xludf.DUMMYFUNCTION("IF
(
C2166=""фізична особа""
,
VLOOKUP(D2166,IMPORTRANGE(""https://docs.google.com/spreadsheets/d/14Bd19lYaqBhU8_DElYkX7l4wRkHqqCUFNJY4AfY3kHU/edit?usp=sharing  #gid=0"",""фіз особи new!relations_name""),6,FALSE)
,
(IF
(
C2166=""юридична особа""
,
VLOOKUP"&amp;"(D2166,IMPORTRANGE(""https://docs.google.com/spreadsheets/d/14Bd19lYaqBhU8_DElYkX7l4wRkHqqCUFNJY4AfY3kHU/edit?usp=sharing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G2165" s="7" t="s">
        <v>10</v>
      </c>
      <c r="H2165" s="7">
        <v>629</v>
      </c>
      <c r="I2165" s="8" t="str">
        <f ca="1">IFERROR(__xludf.DUMMYFUNCTION("IF
(
G2166=""фізична особа""
,
VLOOKUP(H2166,IMPORTRANGE(""https://docs.google.com/spreadsheets/d/14Bd19lYaqBhU8_DElYkX7l4wRkHqqCUFNJY4AfY3kHU/edit?usp=sharing  #gid=0"",""фіз особи new!relations_name""),6,FALSE)
,
(IF
(
G2166=""юридична особа""
,
VLOOKUP"&amp;"(H2166,IMPORTRANGE(""https://docs.google.com/spreadsheets/d/14Bd19lYaqBhU8_DElYkX7l4wRkHqqCUFNJY4AfY3kHU/edit?usp=sharing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165" s="7" t="s">
        <v>12</v>
      </c>
    </row>
    <row r="2166" spans="1:10" ht="13.2">
      <c r="A2166" s="7">
        <v>2165</v>
      </c>
      <c r="B2166" s="7">
        <v>1</v>
      </c>
      <c r="C2166" s="7" t="s">
        <v>10</v>
      </c>
      <c r="D2166" s="7">
        <v>632</v>
      </c>
      <c r="E2166" s="7" t="s">
        <v>11</v>
      </c>
      <c r="F2166" s="8" t="str">
        <f ca="1">IFERROR(__xludf.DUMMYFUNCTION("IF
(
C2167=""фізична особа""
,
VLOOKUP(D2167,IMPORTRANGE(""https://docs.google.com/spreadsheets/d/14Bd19lYaqBhU8_DElYkX7l4wRkHqqCUFNJY4AfY3kHU/edit?usp=sharing  #gid=0"",""фіз особи new!relations_name""),6,FALSE)
,
(IF
(
C2167=""юридична особа""
,
VLOOKUP"&amp;"(D2167,IMPORTRANGE(""https://docs.google.com/spreadsheets/d/14Bd19lYaqBhU8_DElYkX7l4wRkHqqCUFNJY4AfY3kHU/edit?usp=sharing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G2166" s="7" t="s">
        <v>10</v>
      </c>
      <c r="H2166" s="7">
        <v>2068</v>
      </c>
      <c r="I2166" s="8" t="str">
        <f ca="1">IFERROR(__xludf.DUMMYFUNCTION("IF
(
G2167=""фізична особа""
,
VLOOKUP(H2167,IMPORTRANGE(""https://docs.google.com/spreadsheets/d/14Bd19lYaqBhU8_DElYkX7l4wRkHqqCUFNJY4AfY3kHU/edit?usp=sharing  #gid=0"",""фіз особи new!relations_name""),6,FALSE)
,
(IF
(
G2167=""юридична особа""
,
VLOOKUP"&amp;"(H2167,IMPORTRANGE(""https://docs.google.com/spreadsheets/d/14Bd19lYaqBhU8_DElYkX7l4wRkHqqCUFNJY4AfY3kHU/edit?usp=sharing  #gid=0"",""фіз особи new!relations_name_uo""),7,FALSE)
,
)
))"),"СКОРОБОГАТЬКО Олександр Іванович")</f>
        <v>СКОРОБОГАТЬКО Олександр Іванович</v>
      </c>
      <c r="J2166" s="7" t="s">
        <v>11</v>
      </c>
    </row>
    <row r="2167" spans="1:10" ht="13.2">
      <c r="A2167" s="7">
        <v>2166</v>
      </c>
      <c r="B2167" s="7">
        <v>1</v>
      </c>
      <c r="C2167" s="7" t="s">
        <v>10</v>
      </c>
      <c r="D2167" s="7">
        <v>633</v>
      </c>
      <c r="E2167" s="7" t="s">
        <v>18</v>
      </c>
      <c r="F2167" s="8" t="str">
        <f ca="1">IFERROR(__xludf.DUMMYFUNCTION("IF
(
C2168=""фізична особа""
,
VLOOKUP(D2168,IMPORTRANGE(""https://docs.google.com/spreadsheets/d/14Bd19lYaqBhU8_DElYkX7l4wRkHqqCUFNJY4AfY3kHU/edit?usp=sharing  #gid=0"",""фіз особи new!relations_name""),6,FALSE)
,
(IF
(
C2168=""юридична особа""
,
VLOOKUP"&amp;"(D2168,IMPORTRANGE(""https://docs.google.com/spreadsheets/d/14Bd19lYaqBhU8_DElYkX7l4wRkHqqCUFNJY4AfY3kHU/edit?usp=sharing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G2167" s="7" t="s">
        <v>10</v>
      </c>
      <c r="H2167" s="7">
        <v>2053</v>
      </c>
      <c r="I2167" s="8" t="str">
        <f ca="1">IFERROR(__xludf.DUMMYFUNCTION("IF
(
G2168=""фізична особа""
,
VLOOKUP(H2168,IMPORTRANGE(""https://docs.google.com/spreadsheets/d/14Bd19lYaqBhU8_DElYkX7l4wRkHqqCUFNJY4AfY3kHU/edit?usp=sharing  #gid=0"",""фіз особи new!relations_name""),6,FALSE)
,
(IF
(
G2168=""юридична особа""
,
VLOOKUP"&amp;"(H2168,IMPORTRANGE(""https://docs.google.com/spreadsheets/d/14Bd19lYaqBhU8_DElYkX7l4wRkHqqCUFNJY4AfY3kHU/edit?usp=sharing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J2167" s="7" t="s">
        <v>31</v>
      </c>
    </row>
    <row r="2168" spans="1:10" ht="13.2">
      <c r="A2168" s="7">
        <v>2167</v>
      </c>
      <c r="B2168" s="7">
        <v>1</v>
      </c>
      <c r="C2168" s="7" t="s">
        <v>10</v>
      </c>
      <c r="D2168" s="7">
        <v>633</v>
      </c>
      <c r="E2168" s="7" t="s">
        <v>18</v>
      </c>
      <c r="F2168" s="8" t="str">
        <f ca="1">IFERROR(__xludf.DUMMYFUNCTION("IF
(
C2169=""фізична особа""
,
VLOOKUP(D2169,IMPORTRANGE(""https://docs.google.com/spreadsheets/d/14Bd19lYaqBhU8_DElYkX7l4wRkHqqCUFNJY4AfY3kHU/edit?usp=sharing  #gid=0"",""фіз особи new!relations_name""),6,FALSE)
,
(IF
(
C2169=""юридична особа""
,
VLOOKUP"&amp;"(D2169,IMPORTRANGE(""https://docs.google.com/spreadsheets/d/14Bd19lYaqBhU8_DElYkX7l4wRkHqqCUFNJY4AfY3kHU/edit?usp=sharing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G2168" s="7" t="s">
        <v>10</v>
      </c>
      <c r="H2168" s="7">
        <v>632</v>
      </c>
      <c r="I2168" s="8" t="str">
        <f ca="1">IFERROR(__xludf.DUMMYFUNCTION("IF
(
G2169=""фізична особа""
,
VLOOKUP(H2169,IMPORTRANGE(""https://docs.google.com/spreadsheets/d/14Bd19lYaqBhU8_DElYkX7l4wRkHqqCUFNJY4AfY3kHU/edit?usp=sharing  #gid=0"",""фіз особи new!relations_name""),6,FALSE)
,
(IF
(
G2169=""юридична особа""
,
VLOOKUP"&amp;"(H2169,IMPORTRANGE(""https://docs.google.com/spreadsheets/d/14Bd19lYaqBhU8_DElYkX7l4wRkHqqCUFNJY4AfY3kHU/edit?usp=sharing  #gid=0"",""фіз особи new!relations_name_uo""),7,FALSE)
,
)
))"),"РОТЕНБЕРГ Лілія Аркадіївна")</f>
        <v>РОТЕНБЕРГ Лілія Аркадіївна</v>
      </c>
      <c r="J2168" s="7" t="s">
        <v>31</v>
      </c>
    </row>
    <row r="2169" spans="1:10" ht="13.2">
      <c r="A2169" s="7">
        <v>2168</v>
      </c>
      <c r="B2169" s="7">
        <v>1</v>
      </c>
      <c r="C2169" s="7" t="s">
        <v>10</v>
      </c>
      <c r="D2169" s="7">
        <v>633</v>
      </c>
      <c r="E2169" s="7" t="s">
        <v>18</v>
      </c>
      <c r="F2169" s="8" t="str">
        <f ca="1">IFERROR(__xludf.DUMMYFUNCTION("IF
(
C2170=""фізична особа""
,
VLOOKUP(D2170,IMPORTRANGE(""https://docs.google.com/spreadsheets/d/14Bd19lYaqBhU8_DElYkX7l4wRkHqqCUFNJY4AfY3kHU/edit?usp=sharing  #gid=0"",""фіз особи new!relations_name""),6,FALSE)
,
(IF
(
C2170=""юридична особа""
,
VLOOKUP"&amp;"(D2170,IMPORTRANGE(""https://docs.google.com/spreadsheets/d/14Bd19lYaqBhU8_DElYkX7l4wRkHqqCUFNJY4AfY3kHU/edit?usp=sharing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G2169" s="7" t="s">
        <v>10</v>
      </c>
      <c r="H2169" s="7">
        <v>294</v>
      </c>
      <c r="I2169" s="8" t="str">
        <f ca="1">IFERROR(__xludf.DUMMYFUNCTION("IF
(
G2170=""фізична особа""
,
VLOOKUP(H2170,IMPORTRANGE(""https://docs.google.com/spreadsheets/d/14Bd19lYaqBhU8_DElYkX7l4wRkHqqCUFNJY4AfY3kHU/edit?usp=sharing  #gid=0"",""фіз особи new!relations_name""),6,FALSE)
,
(IF
(
G2170=""юридична особа""
,
VLOOKUP"&amp;"(H2170,IMPORTRANGE(""https://docs.google.com/spreadsheets/d/14Bd19lYaqBhU8_DElYkX7l4wRkHqqCUFNJY4AfY3kHU/edit?usp=sharing  #gid=0"",""фіз особи new!relations_name_uo""),7,FALSE)
,
)
))"),"РОТЕНБЕРГ Ігор Аркадійович")</f>
        <v>РОТЕНБЕРГ Ігор Аркадійович</v>
      </c>
      <c r="J2169" s="7" t="s">
        <v>18</v>
      </c>
    </row>
    <row r="2170" spans="1:10" ht="13.2">
      <c r="A2170" s="7">
        <v>2169</v>
      </c>
      <c r="B2170" s="7">
        <v>1</v>
      </c>
      <c r="C2170" s="7" t="s">
        <v>10</v>
      </c>
      <c r="D2170" s="7">
        <v>633</v>
      </c>
      <c r="E2170" s="7" t="s">
        <v>17</v>
      </c>
      <c r="F2170" s="8" t="str">
        <f ca="1">IFERROR(__xludf.DUMMYFUNCTION("IF
(
C2171=""фізична особа""
,
VLOOKUP(D2171,IMPORTRANGE(""https://docs.google.com/spreadsheets/d/14Bd19lYaqBhU8_DElYkX7l4wRkHqqCUFNJY4AfY3kHU/edit?usp=sharing  #gid=0"",""фіз особи new!relations_name""),6,FALSE)
,
(IF
(
C2171=""юридична особа""
,
VLOOKUP"&amp;"(D2171,IMPORTRANGE(""https://docs.google.com/spreadsheets/d/14Bd19lYaqBhU8_DElYkX7l4wRkHqqCUFNJY4AfY3kHU/edit?usp=sharing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G2170" s="7" t="s">
        <v>10</v>
      </c>
      <c r="H2170" s="7">
        <v>629</v>
      </c>
      <c r="I2170" s="8" t="str">
        <f ca="1">IFERROR(__xludf.DUMMYFUNCTION("IF
(
G2171=""фізична особа""
,
VLOOKUP(H2171,IMPORTRANGE(""https://docs.google.com/spreadsheets/d/14Bd19lYaqBhU8_DElYkX7l4wRkHqqCUFNJY4AfY3kHU/edit?usp=sharing  #gid=0"",""фіз особи new!relations_name""),6,FALSE)
,
(IF
(
G2171=""юридична особа""
,
VLOOKUP"&amp;"(H2171,IMPORTRANGE(""https://docs.google.com/spreadsheets/d/14Bd19lYaqBhU8_DElYkX7l4wRkHqqCUFNJY4AfY3kHU/edit?usp=sharing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170" s="7" t="s">
        <v>12</v>
      </c>
    </row>
    <row r="2171" spans="1:10" ht="13.2">
      <c r="A2171" s="7">
        <v>2170</v>
      </c>
      <c r="B2171" s="7">
        <v>1</v>
      </c>
      <c r="C2171" s="7" t="s">
        <v>10</v>
      </c>
      <c r="D2171" s="7">
        <v>633</v>
      </c>
      <c r="E2171" s="7" t="s">
        <v>17</v>
      </c>
      <c r="F2171" s="8" t="str">
        <f ca="1">IFERROR(__xludf.DUMMYFUNCTION("IF
(
C2172=""фізична особа""
,
VLOOKUP(D2172,IMPORTRANGE(""https://docs.google.com/spreadsheets/d/14Bd19lYaqBhU8_DElYkX7l4wRkHqqCUFNJY4AfY3kHU/edit?usp=sharing  #gid=0"",""фіз особи new!relations_name""),6,FALSE)
,
(IF
(
C2172=""юридична особа""
,
VLOOKUP"&amp;"(D2172,IMPORTRANGE(""https://docs.google.com/spreadsheets/d/14Bd19lYaqBhU8_DElYkX7l4wRkHqqCUFNJY4AfY3kHU/edit?usp=sharing  #gid=0"",""фіз особи new!relations_name_uo""),7,FALSE)
,
)
))"),"РОТЕНБЕРГ Павло Аркадійович")</f>
        <v>РОТЕНБЕРГ Павло Аркадійович</v>
      </c>
      <c r="G2171" s="7" t="s">
        <v>10</v>
      </c>
      <c r="H2171" s="7">
        <v>0</v>
      </c>
      <c r="I2171" s="8" t="str">
        <f ca="1">IFERROR(__xludf.DUMMYFUNCTION("IF
(
G2172=""фізична особа""
,
VLOOKUP(H2172,IMPORTRANGE(""https://docs.google.com/spreadsheets/d/14Bd19lYaqBhU8_DElYkX7l4wRkHqqCUFNJY4AfY3kHU/edit?usp=sharing  #gid=0"",""фіз особи new!relations_name""),6,FALSE)
,
(IF
(
G2172=""юридична особа""
,
VLOOKUP"&amp;"(H2172,IMPORTRANGE(""https://docs.google.com/spreadsheets/d/14Bd19lYaqBhU8_DElYkX7l4wRkHqqCUFNJY4AfY3kHU/edit?usp=sharing  #gid=0"",""фіз особи new!relations_name_uo""),7,FALSE)
,
)
))"),"#N/A")</f>
        <v>#N/A</v>
      </c>
      <c r="J2171" s="7" t="s">
        <v>21</v>
      </c>
    </row>
    <row r="2172" spans="1:10" ht="13.2">
      <c r="A2172" s="7">
        <v>2171</v>
      </c>
      <c r="B2172" s="7">
        <v>1</v>
      </c>
      <c r="C2172" s="7" t="s">
        <v>10</v>
      </c>
      <c r="D2172" s="7">
        <v>634</v>
      </c>
      <c r="E2172" s="7" t="s">
        <v>12</v>
      </c>
      <c r="F2172" s="8" t="str">
        <f ca="1">IFERROR(__xludf.DUMMYFUNCTION("IF
(
C2173=""фізична особа""
,
VLOOKUP(D2173,IMPORTRANGE(""https://docs.google.com/spreadsheets/d/14Bd19lYaqBhU8_DElYkX7l4wRkHqqCUFNJY4AfY3kHU/edit?usp=sharing  #gid=0"",""фіз особи new!relations_name""),6,FALSE)
,
(IF
(
C2173=""юридична особа""
,
VLOOKUP"&amp;"(D2173,IMPORTRANGE(""https://docs.google.com/spreadsheets/d/14Bd19lYaqBhU8_DElYkX7l4wRkHqqCUFNJY4AfY3kHU/edit?usp=sharing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G2172" s="7" t="s">
        <v>10</v>
      </c>
      <c r="H2172" s="7">
        <v>8853</v>
      </c>
      <c r="I2172" s="8" t="str">
        <f ca="1">IFERROR(__xludf.DUMMYFUNCTION("IF
(
G2173=""фізична особа""
,
VLOOKUP(H2173,IMPORTRANGE(""https://docs.google.com/spreadsheets/d/14Bd19lYaqBhU8_DElYkX7l4wRkHqqCUFNJY4AfY3kHU/edit?usp=sharing  #gid=0"",""фіз особи new!relations_name""),6,FALSE)
,
(IF
(
G2173=""юридична особа""
,
VLOOKUP"&amp;"(H2173,IMPORTRANGE(""https://docs.google.com/spreadsheets/d/14Bd19lYaqBhU8_DElYkX7l4wRkHqqCUFNJY4AfY3kHU/edit?usp=sharing  #gid=0"",""фіз особи new!relations_name_uo""),7,FALSE)
,
)
))"),"ПЕТРОВ Олександр Олександрович")</f>
        <v>ПЕТРОВ Олександр Олександрович</v>
      </c>
      <c r="J2172" s="7" t="s">
        <v>17</v>
      </c>
    </row>
    <row r="2173" spans="1:10" ht="13.2">
      <c r="A2173" s="7">
        <v>2172</v>
      </c>
      <c r="B2173" s="7">
        <v>1</v>
      </c>
      <c r="C2173" s="7" t="s">
        <v>10</v>
      </c>
      <c r="D2173" s="7">
        <v>634</v>
      </c>
      <c r="E2173" s="7" t="s">
        <v>12</v>
      </c>
      <c r="F2173" s="8" t="str">
        <f ca="1">IFERROR(__xludf.DUMMYFUNCTION("IF
(
C2174=""фізична особа""
,
VLOOKUP(D2174,IMPORTRANGE(""https://docs.google.com/spreadsheets/d/14Bd19lYaqBhU8_DElYkX7l4wRkHqqCUFNJY4AfY3kHU/edit?usp=sharing  #gid=0"",""фіз особи new!relations_name""),6,FALSE)
,
(IF
(
C2174=""юридична особа""
,
VLOOKUP"&amp;"(D2174,IMPORTRANGE(""https://docs.google.com/spreadsheets/d/14Bd19lYaqBhU8_DElYkX7l4wRkHqqCUFNJY4AfY3kHU/edit?usp=sharing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G2173" s="7" t="s">
        <v>10</v>
      </c>
      <c r="H2173" s="7">
        <v>8854</v>
      </c>
      <c r="I2173" s="8" t="str">
        <f ca="1">IFERROR(__xludf.DUMMYFUNCTION("IF
(
G2174=""фізична особа""
,
VLOOKUP(H2174,IMPORTRANGE(""https://docs.google.com/spreadsheets/d/14Bd19lYaqBhU8_DElYkX7l4wRkHqqCUFNJY4AfY3kHU/edit?usp=sharing  #gid=0"",""фіз особи new!relations_name""),6,FALSE)
,
(IF
(
G2174=""юридична особа""
,
VLOOKUP"&amp;"(H2174,IMPORTRANGE(""https://docs.google.com/spreadsheets/d/14Bd19lYaqBhU8_DElYkX7l4wRkHqqCUFNJY4AfY3kHU/edit?usp=sharing  #gid=0"",""фіз особи new!relations_name_uo""),7,FALSE)
,
)
))"),"ПЕТРОВ Денис Олександрович")</f>
        <v>ПЕТРОВ Денис Олександрович</v>
      </c>
      <c r="J2173" s="7" t="s">
        <v>17</v>
      </c>
    </row>
    <row r="2174" spans="1:10" ht="13.2">
      <c r="A2174" s="7">
        <v>2173</v>
      </c>
      <c r="B2174" s="7">
        <v>1</v>
      </c>
      <c r="C2174" s="7" t="s">
        <v>10</v>
      </c>
      <c r="D2174" s="7">
        <v>634</v>
      </c>
      <c r="E2174" s="7" t="s">
        <v>14</v>
      </c>
      <c r="F2174" s="8" t="str">
        <f ca="1">IFERROR(__xludf.DUMMYFUNCTION("IF
(
C2175=""фізична особа""
,
VLOOKUP(D2175,IMPORTRANGE(""https://docs.google.com/spreadsheets/d/14Bd19lYaqBhU8_DElYkX7l4wRkHqqCUFNJY4AfY3kHU/edit?usp=sharing  #gid=0"",""фіз особи new!relations_name""),6,FALSE)
,
(IF
(
C2175=""юридична особа""
,
VLOOKUP"&amp;"(D2175,IMPORTRANGE(""https://docs.google.com/spreadsheets/d/14Bd19lYaqBhU8_DElYkX7l4wRkHqqCUFNJY4AfY3kHU/edit?usp=sharing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G2174" s="7" t="s">
        <v>10</v>
      </c>
      <c r="H2174" s="7">
        <v>8852</v>
      </c>
      <c r="I2174" s="8" t="str">
        <f ca="1">IFERROR(__xludf.DUMMYFUNCTION("IF
(
G2175=""фізична особа""
,
VLOOKUP(H2175,IMPORTRANGE(""https://docs.google.com/spreadsheets/d/14Bd19lYaqBhU8_DElYkX7l4wRkHqqCUFNJY4AfY3kHU/edit?usp=sharing  #gid=0"",""фіз особи new!relations_name""),6,FALSE)
,
(IF
(
G2175=""юридична особа""
,
VLOOKUP"&amp;"(H2175,IMPORTRANGE(""https://docs.google.com/spreadsheets/d/14Bd19lYaqBhU8_DElYkX7l4wRkHqqCUFNJY4AfY3kHU/edit?usp=sharing  #gid=0"",""фіз особи new!relations_name_uo""),7,FALSE)
,
)
))"),"ПЕТРОВА Маргарита Василівна")</f>
        <v>ПЕТРОВА Маргарита Василівна</v>
      </c>
      <c r="J2174" s="7" t="s">
        <v>15</v>
      </c>
    </row>
    <row r="2175" spans="1:10" ht="13.2">
      <c r="A2175" s="7">
        <v>2174</v>
      </c>
      <c r="B2175" s="7">
        <v>1</v>
      </c>
      <c r="C2175" s="7" t="s">
        <v>10</v>
      </c>
      <c r="D2175" s="7">
        <v>635</v>
      </c>
      <c r="E2175" s="7" t="s">
        <v>14</v>
      </c>
      <c r="F2175" s="8" t="str">
        <f ca="1">IFERROR(__xludf.DUMMYFUNCTION("IF
(
C2176=""фізична особа""
,
VLOOKUP(D2176,IMPORTRANGE(""https://docs.google.com/spreadsheets/d/14Bd19lYaqBhU8_DElYkX7l4wRkHqqCUFNJY4AfY3kHU/edit?usp=sharing  #gid=0"",""фіз особи new!relations_name""),6,FALSE)
,
(IF
(
C2176=""юридична особа""
,
VLOOKUP"&amp;"(D2176,IMPORTRANGE(""https://docs.google.com/spreadsheets/d/14Bd19lYaqBhU8_DElYkX7l4wRkHqqCUFNJY4AfY3kHU/edit?usp=sharing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75" s="7" t="s">
        <v>10</v>
      </c>
      <c r="H2175" s="7">
        <v>0</v>
      </c>
      <c r="I2175" s="8" t="str">
        <f ca="1">IFERROR(__xludf.DUMMYFUNCTION("IF
(
G2176=""фізична особа""
,
VLOOKUP(H2176,IMPORTRANGE(""https://docs.google.com/spreadsheets/d/14Bd19lYaqBhU8_DElYkX7l4wRkHqqCUFNJY4AfY3kHU/edit?usp=sharing  #gid=0"",""фіз особи new!relations_name""),6,FALSE)
,
(IF
(
G2176=""юридична особа""
,
VLOOKUP"&amp;"(H2176,IMPORTRANGE(""https://docs.google.com/spreadsheets/d/14Bd19lYaqBhU8_DElYkX7l4wRkHqqCUFNJY4AfY3kHU/edit?usp=sharing  #gid=0"",""фіз особи new!relations_name_uo""),7,FALSE)
,
)
))"),"#N/A")</f>
        <v>#N/A</v>
      </c>
      <c r="J2175" s="7" t="s">
        <v>15</v>
      </c>
    </row>
    <row r="2176" spans="1:10" ht="13.2">
      <c r="A2176" s="7">
        <v>2175</v>
      </c>
      <c r="B2176" s="7">
        <v>1</v>
      </c>
      <c r="C2176" s="7" t="s">
        <v>10</v>
      </c>
      <c r="D2176" s="7">
        <v>635</v>
      </c>
      <c r="E2176" s="7" t="s">
        <v>12</v>
      </c>
      <c r="F2176" s="8" t="str">
        <f ca="1">IFERROR(__xludf.DUMMYFUNCTION("IF
(
C2177=""фізична особа""
,
VLOOKUP(D2177,IMPORTRANGE(""https://docs.google.com/spreadsheets/d/14Bd19lYaqBhU8_DElYkX7l4wRkHqqCUFNJY4AfY3kHU/edit?usp=sharing  #gid=0"",""фіз особи new!relations_name""),6,FALSE)
,
(IF
(
C2177=""юридична особа""
,
VLOOKUP"&amp;"(D2177,IMPORTRANGE(""https://docs.google.com/spreadsheets/d/14Bd19lYaqBhU8_DElYkX7l4wRkHqqCUFNJY4AfY3kHU/edit?usp=sharing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76" s="7" t="s">
        <v>10</v>
      </c>
      <c r="H2176" s="7">
        <v>0</v>
      </c>
      <c r="I2176" s="8" t="str">
        <f ca="1">IFERROR(__xludf.DUMMYFUNCTION("IF
(
G2177=""фізична особа""
,
VLOOKUP(H2177,IMPORTRANGE(""https://docs.google.com/spreadsheets/d/14Bd19lYaqBhU8_DElYkX7l4wRkHqqCUFNJY4AfY3kHU/edit?usp=sharing  #gid=0"",""фіз особи new!relations_name""),6,FALSE)
,
(IF
(
G2177=""юридична особа""
,
VLOOKUP"&amp;"(H2177,IMPORTRANGE(""https://docs.google.com/spreadsheets/d/14Bd19lYaqBhU8_DElYkX7l4wRkHqqCUFNJY4AfY3kHU/edit?usp=sharing  #gid=0"",""фіз особи new!relations_name_uo""),7,FALSE)
,
)
))"),"#N/A")</f>
        <v>#N/A</v>
      </c>
      <c r="J2176" s="7" t="s">
        <v>17</v>
      </c>
    </row>
    <row r="2177" spans="1:10" ht="13.2">
      <c r="A2177" s="7">
        <v>2176</v>
      </c>
      <c r="B2177" s="7">
        <v>1</v>
      </c>
      <c r="C2177" s="7" t="s">
        <v>10</v>
      </c>
      <c r="D2177" s="7">
        <v>635</v>
      </c>
      <c r="E2177" s="7" t="s">
        <v>12</v>
      </c>
      <c r="F2177" s="8" t="str">
        <f ca="1">IFERROR(__xludf.DUMMYFUNCTION("IF
(
C2178=""фізична особа""
,
VLOOKUP(D2178,IMPORTRANGE(""https://docs.google.com/spreadsheets/d/14Bd19lYaqBhU8_DElYkX7l4wRkHqqCUFNJY4AfY3kHU/edit?usp=sharing  #gid=0"",""фіз особи new!relations_name""),6,FALSE)
,
(IF
(
C2178=""юридична особа""
,
VLOOKUP"&amp;"(D2178,IMPORTRANGE(""https://docs.google.com/spreadsheets/d/14Bd19lYaqBhU8_DElYkX7l4wRkHqqCUFNJY4AfY3kHU/edit?usp=sharing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77" s="7" t="s">
        <v>10</v>
      </c>
      <c r="H2177" s="7">
        <v>0</v>
      </c>
      <c r="I2177" s="8" t="str">
        <f ca="1">IFERROR(__xludf.DUMMYFUNCTION("IF
(
G2178=""фізична особа""
,
VLOOKUP(H2178,IMPORTRANGE(""https://docs.google.com/spreadsheets/d/14Bd19lYaqBhU8_DElYkX7l4wRkHqqCUFNJY4AfY3kHU/edit?usp=sharing  #gid=0"",""фіз особи new!relations_name""),6,FALSE)
,
(IF
(
G2178=""юридична особа""
,
VLOOKUP"&amp;"(H2178,IMPORTRANGE(""https://docs.google.com/spreadsheets/d/14Bd19lYaqBhU8_DElYkX7l4wRkHqqCUFNJY4AfY3kHU/edit?usp=sharing  #gid=0"",""фіз особи new!relations_name_uo""),7,FALSE)
,
)
))"),"#N/A")</f>
        <v>#N/A</v>
      </c>
      <c r="J2177" s="7" t="s">
        <v>13</v>
      </c>
    </row>
    <row r="2178" spans="1:10" ht="13.2">
      <c r="A2178" s="7">
        <v>2177</v>
      </c>
      <c r="B2178" s="7">
        <v>1</v>
      </c>
      <c r="C2178" s="7" t="s">
        <v>10</v>
      </c>
      <c r="D2178" s="7">
        <v>635</v>
      </c>
      <c r="E2178" s="7" t="s">
        <v>20</v>
      </c>
      <c r="F2178" s="8" t="str">
        <f ca="1">IFERROR(__xludf.DUMMYFUNCTION("IF
(
C2179=""фізична особа""
,
VLOOKUP(D2179,IMPORTRANGE(""https://docs.google.com/spreadsheets/d/14Bd19lYaqBhU8_DElYkX7l4wRkHqqCUFNJY4AfY3kHU/edit?usp=sharing  #gid=0"",""фіз особи new!relations_name""),6,FALSE)
,
(IF
(
C2179=""юридична особа""
,
VLOOKUP"&amp;"(D2179,IMPORTRANGE(""https://docs.google.com/spreadsheets/d/14Bd19lYaqBhU8_DElYkX7l4wRkHqqCUFNJY4AfY3kHU/edit?usp=sharing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78" s="7" t="s">
        <v>10</v>
      </c>
      <c r="H2178" s="7">
        <v>629</v>
      </c>
      <c r="I2178" s="8" t="str">
        <f ca="1">IFERROR(__xludf.DUMMYFUNCTION("IF
(
G2179=""фізична особа""
,
VLOOKUP(H2179,IMPORTRANGE(""https://docs.google.com/spreadsheets/d/14Bd19lYaqBhU8_DElYkX7l4wRkHqqCUFNJY4AfY3kHU/edit?usp=sharing  #gid=0"",""фіз особи new!relations_name""),6,FALSE)
,
(IF
(
G2179=""юридична особа""
,
VLOOKUP"&amp;"(H2179,IMPORTRANGE(""https://docs.google.com/spreadsheets/d/14Bd19lYaqBhU8_DElYkX7l4wRkHqqCUFNJY4AfY3kHU/edit?usp=sharing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178" s="7" t="s">
        <v>19</v>
      </c>
    </row>
    <row r="2179" spans="1:10" ht="13.2">
      <c r="A2179" s="7">
        <v>2178</v>
      </c>
      <c r="B2179" s="7">
        <v>1</v>
      </c>
      <c r="C2179" s="7" t="s">
        <v>10</v>
      </c>
      <c r="D2179" s="7">
        <v>635</v>
      </c>
      <c r="E2179" s="7" t="s">
        <v>17</v>
      </c>
      <c r="F2179" s="8" t="str">
        <f ca="1">IFERROR(__xludf.DUMMYFUNCTION("IF
(
C2180=""фізична особа""
,
VLOOKUP(D2180,IMPORTRANGE(""https://docs.google.com/spreadsheets/d/14Bd19lYaqBhU8_DElYkX7l4wRkHqqCUFNJY4AfY3kHU/edit?usp=sharing  #gid=0"",""фіз особи new!relations_name""),6,FALSE)
,
(IF
(
C2180=""юридична особа""
,
VLOOKUP"&amp;"(D2180,IMPORTRANGE(""https://docs.google.com/spreadsheets/d/14Bd19lYaqBhU8_DElYkX7l4wRkHqqCUFNJY4AfY3kHU/edit?usp=sharing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79" s="7" t="s">
        <v>10</v>
      </c>
      <c r="H2179" s="7">
        <v>144</v>
      </c>
      <c r="I2179" s="8" t="str">
        <f ca="1">IFERROR(__xludf.DUMMYFUNCTION("IF
(
G2180=""фізична особа""
,
VLOOKUP(H2180,IMPORTRANGE(""https://docs.google.com/spreadsheets/d/14Bd19lYaqBhU8_DElYkX7l4wRkHqqCUFNJY4AfY3kHU/edit?usp=sharing  #gid=0"",""фіз особи new!relations_name""),6,FALSE)
,
(IF
(
G2180=""юридична особа""
,
VLOOKUP"&amp;"(H2180,IMPORTRANGE(""https://docs.google.com/spreadsheets/d/14Bd19lYaqBhU8_DElYkX7l4wRkHqqCUFNJY4AfY3kHU/edit?usp=sharing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2179" s="7" t="s">
        <v>12</v>
      </c>
    </row>
    <row r="2180" spans="1:10" ht="13.2">
      <c r="A2180" s="7">
        <v>2179</v>
      </c>
      <c r="B2180" s="7">
        <v>1</v>
      </c>
      <c r="C2180" s="7" t="s">
        <v>10</v>
      </c>
      <c r="D2180" s="7">
        <v>635</v>
      </c>
      <c r="E2180" s="7" t="s">
        <v>18</v>
      </c>
      <c r="F2180" s="8" t="str">
        <f ca="1">IFERROR(__xludf.DUMMYFUNCTION("IF
(
C2181=""фізична особа""
,
VLOOKUP(D2181,IMPORTRANGE(""https://docs.google.com/spreadsheets/d/14Bd19lYaqBhU8_DElYkX7l4wRkHqqCUFNJY4AfY3kHU/edit?usp=sharing  #gid=0"",""фіз особи new!relations_name""),6,FALSE)
,
(IF
(
C2181=""юридична особа""
,
VLOOKUP"&amp;"(D2181,IMPORTRANGE(""https://docs.google.com/spreadsheets/d/14Bd19lYaqBhU8_DElYkX7l4wRkHqqCUFNJY4AfY3kHU/edit?usp=sharing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80" s="7" t="s">
        <v>10</v>
      </c>
      <c r="H2180" s="7">
        <v>630</v>
      </c>
      <c r="I2180" s="8" t="str">
        <f ca="1">IFERROR(__xludf.DUMMYFUNCTION("IF
(
G2181=""фізична особа""
,
VLOOKUP(H2181,IMPORTRANGE(""https://docs.google.com/spreadsheets/d/14Bd19lYaqBhU8_DElYkX7l4wRkHqqCUFNJY4AfY3kHU/edit?usp=sharing  #gid=0"",""фіз особи new!relations_name""),6,FALSE)
,
(IF
(
G2181=""юридична особа""
,
VLOOKUP"&amp;"(H2181,IMPORTRANGE(""https://docs.google.com/spreadsheets/d/14Bd19lYaqBhU8_DElYkX7l4wRkHqqCUFNJY4AfY3kHU/edit?usp=sharing  #gid=0"",""фіз особи new!relations_name_uo""),7,FALSE)
,
)
))"),"РОТЕНБЕРГ Борис Борисович")</f>
        <v>РОТЕНБЕРГ Борис Борисович</v>
      </c>
      <c r="J2180" s="7" t="s">
        <v>18</v>
      </c>
    </row>
    <row r="2181" spans="1:10" ht="13.2">
      <c r="A2181" s="7">
        <v>2180</v>
      </c>
      <c r="B2181" s="7">
        <v>1</v>
      </c>
      <c r="C2181" s="7" t="s">
        <v>10</v>
      </c>
      <c r="D2181" s="7">
        <v>635</v>
      </c>
      <c r="E2181" s="7" t="s">
        <v>17</v>
      </c>
      <c r="F2181" s="8" t="str">
        <f ca="1">IFERROR(__xludf.DUMMYFUNCTION("IF
(
C2182=""фізична особа""
,
VLOOKUP(D2182,IMPORTRANGE(""https://docs.google.com/spreadsheets/d/14Bd19lYaqBhU8_DElYkX7l4wRkHqqCUFNJY4AfY3kHU/edit?usp=sharing  #gid=0"",""фіз особи new!relations_name""),6,FALSE)
,
(IF
(
C2182=""юридична особа""
,
VLOOKUP"&amp;"(D2182,IMPORTRANGE(""https://docs.google.com/spreadsheets/d/14Bd19lYaqBhU8_DElYkX7l4wRkHqqCUFNJY4AfY3kHU/edit?usp=sharing  #gid=0"",""фіз особи new!relations_name_uo""),7,FALSE)
,
)
))"),"РОТЕНБЕРГ Роман Борисович")</f>
        <v>РОТЕНБЕРГ Роман Борисович</v>
      </c>
      <c r="G2181" s="7" t="s">
        <v>10</v>
      </c>
      <c r="H2181" s="7">
        <v>23431</v>
      </c>
      <c r="I2181" s="8" t="str">
        <f ca="1">IFERROR(__xludf.DUMMYFUNCTION("IF
(
G2182=""фізична особа""
,
VLOOKUP(H2182,IMPORTRANGE(""https://docs.google.com/spreadsheets/d/14Bd19lYaqBhU8_DElYkX7l4wRkHqqCUFNJY4AfY3kHU/edit?usp=sharing  #gid=0"",""фіз особи new!relations_name""),6,FALSE)
,
(IF
(
G2182=""юридична особа""
,
VLOOKUP"&amp;"(H2182,IMPORTRANGE(""https://docs.google.com/spreadsheets/d/14Bd19lYaqBhU8_DElYkX7l4wRkHqqCUFNJY4AfY3kHU/edit?usp=sharing  #gid=0"",""фіз особи new!relations_name_uo""),7,FALSE)
,
)
))"),"ХАРАНЕН Ірина")</f>
        <v>ХАРАНЕН Ірина</v>
      </c>
      <c r="J2181" s="7" t="s">
        <v>21</v>
      </c>
    </row>
    <row r="2182" spans="1:10" ht="13.2">
      <c r="A2182" s="7">
        <v>2181</v>
      </c>
      <c r="B2182" s="7">
        <v>1</v>
      </c>
      <c r="C2182" s="7" t="s">
        <v>10</v>
      </c>
      <c r="D2182" s="7">
        <v>636</v>
      </c>
      <c r="E2182" s="7" t="s">
        <v>13</v>
      </c>
      <c r="F2182" s="8" t="str">
        <f ca="1">IFERROR(__xludf.DUMMYFUNCTION("IF
(
C2183=""фізична особа""
,
VLOOKUP(D2183,IMPORTRANGE(""https://docs.google.com/spreadsheets/d/14Bd19lYaqBhU8_DElYkX7l4wRkHqqCUFNJY4AfY3kHU/edit?usp=sharing  #gid=0"",""фіз особи new!relations_name""),6,FALSE)
,
(IF
(
C2183=""юридична особа""
,
VLOOKUP"&amp;"(D2183,IMPORTRANGE(""https://docs.google.com/spreadsheets/d/14Bd19lYaqBhU8_DElYkX7l4wRkHqqCUFNJY4AfY3kHU/edit?usp=sharing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2" s="7" t="s">
        <v>10</v>
      </c>
      <c r="H2182" s="7">
        <v>12830</v>
      </c>
      <c r="I2182" s="8" t="str">
        <f ca="1">IFERROR(__xludf.DUMMYFUNCTION("IF
(
G2183=""фізична особа""
,
VLOOKUP(H2183,IMPORTRANGE(""https://docs.google.com/spreadsheets/d/14Bd19lYaqBhU8_DElYkX7l4wRkHqqCUFNJY4AfY3kHU/edit?usp=sharing  #gid=0"",""фіз особи new!relations_name""),6,FALSE)
,
(IF
(
G2183=""юридична особа""
,
VLOOKUP"&amp;"(H2183,IMPORTRANGE(""https://docs.google.com/spreadsheets/d/14Bd19lYaqBhU8_DElYkX7l4wRkHqqCUFNJY4AfY3kHU/edit?usp=sharing  #gid=0"",""фіз особи new!relations_name_uo""),7,FALSE)
,
)
))"),"ГЛУБОКОВСЬКА Ельміра Гусейнівна")</f>
        <v>ГЛУБОКОВСЬКА Ельміра Гусейнівна</v>
      </c>
      <c r="J2182" s="7" t="s">
        <v>21</v>
      </c>
    </row>
    <row r="2183" spans="1:10" ht="13.2">
      <c r="A2183" s="7">
        <v>2182</v>
      </c>
      <c r="B2183" s="7">
        <v>1</v>
      </c>
      <c r="C2183" s="7" t="s">
        <v>10</v>
      </c>
      <c r="D2183" s="7">
        <v>636</v>
      </c>
      <c r="E2183" s="7" t="s">
        <v>49</v>
      </c>
      <c r="F2183" s="8" t="str">
        <f ca="1">IFERROR(__xludf.DUMMYFUNCTION("IF
(
C2184=""фізична особа""
,
VLOOKUP(D2184,IMPORTRANGE(""https://docs.google.com/spreadsheets/d/14Bd19lYaqBhU8_DElYkX7l4wRkHqqCUFNJY4AfY3kHU/edit?usp=sharing  #gid=0"",""фіз особи new!relations_name""),6,FALSE)
,
(IF
(
C2184=""юридична особа""
,
VLOOKUP"&amp;"(D2184,IMPORTRANGE(""https://docs.google.com/spreadsheets/d/14Bd19lYaqBhU8_DElYkX7l4wRkHqqCUFNJY4AfY3kHU/edit?usp=sharing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3" s="7" t="s">
        <v>10</v>
      </c>
      <c r="H2183" s="7">
        <v>0</v>
      </c>
      <c r="I2183" s="8" t="str">
        <f ca="1">IFERROR(__xludf.DUMMYFUNCTION("IF
(
G2184=""фізична особа""
,
VLOOKUP(H2184,IMPORTRANGE(""https://docs.google.com/spreadsheets/d/14Bd19lYaqBhU8_DElYkX7l4wRkHqqCUFNJY4AfY3kHU/edit?usp=sharing  #gid=0"",""фіз особи new!relations_name""),6,FALSE)
,
(IF
(
G2184=""юридична особа""
,
VLOOKUP"&amp;"(H2184,IMPORTRANGE(""https://docs.google.com/spreadsheets/d/14Bd19lYaqBhU8_DElYkX7l4wRkHqqCUFNJY4AfY3kHU/edit?usp=sharing  #gid=0"",""фіз особи new!relations_name_uo""),7,FALSE)
,
)
))"),"#N/A")</f>
        <v>#N/A</v>
      </c>
      <c r="J2183" s="7" t="s">
        <v>32</v>
      </c>
    </row>
    <row r="2184" spans="1:10" ht="13.2">
      <c r="A2184" s="7">
        <v>2183</v>
      </c>
      <c r="B2184" s="7">
        <v>1</v>
      </c>
      <c r="C2184" s="7" t="s">
        <v>10</v>
      </c>
      <c r="D2184" s="7">
        <v>636</v>
      </c>
      <c r="E2184" s="7" t="s">
        <v>15</v>
      </c>
      <c r="F2184" s="8" t="str">
        <f ca="1">IFERROR(__xludf.DUMMYFUNCTION("IF
(
C2185=""фізична особа""
,
VLOOKUP(D2185,IMPORTRANGE(""https://docs.google.com/spreadsheets/d/14Bd19lYaqBhU8_DElYkX7l4wRkHqqCUFNJY4AfY3kHU/edit?usp=sharing  #gid=0"",""фіз особи new!relations_name""),6,FALSE)
,
(IF
(
C2185=""юридична особа""
,
VLOOKUP"&amp;"(D2185,IMPORTRANGE(""https://docs.google.com/spreadsheets/d/14Bd19lYaqBhU8_DElYkX7l4wRkHqqCUFNJY4AfY3kHU/edit?usp=sharing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4" s="7" t="s">
        <v>10</v>
      </c>
      <c r="H2184" s="7">
        <v>0</v>
      </c>
      <c r="I2184" s="8" t="str">
        <f ca="1">IFERROR(__xludf.DUMMYFUNCTION("IF
(
G2185=""фізична особа""
,
VLOOKUP(H2185,IMPORTRANGE(""https://docs.google.com/spreadsheets/d/14Bd19lYaqBhU8_DElYkX7l4wRkHqqCUFNJY4AfY3kHU/edit?usp=sharing  #gid=0"",""фіз особи new!relations_name""),6,FALSE)
,
(IF
(
G2185=""юридична особа""
,
VLOOKUP"&amp;"(H2185,IMPORTRANGE(""https://docs.google.com/spreadsheets/d/14Bd19lYaqBhU8_DElYkX7l4wRkHqqCUFNJY4AfY3kHU/edit?usp=sharing  #gid=0"",""фіз особи new!relations_name_uo""),7,FALSE)
,
)
))"),"#N/A")</f>
        <v>#N/A</v>
      </c>
      <c r="J2184" s="7" t="s">
        <v>14</v>
      </c>
    </row>
    <row r="2185" spans="1:10" ht="13.2">
      <c r="A2185" s="7">
        <v>2184</v>
      </c>
      <c r="B2185" s="7">
        <v>1</v>
      </c>
      <c r="C2185" s="7" t="s">
        <v>10</v>
      </c>
      <c r="D2185" s="7">
        <v>636</v>
      </c>
      <c r="E2185" s="7" t="s">
        <v>43</v>
      </c>
      <c r="F2185" s="8" t="str">
        <f ca="1">IFERROR(__xludf.DUMMYFUNCTION("IF
(
C2186=""фізична особа""
,
VLOOKUP(D2186,IMPORTRANGE(""https://docs.google.com/spreadsheets/d/14Bd19lYaqBhU8_DElYkX7l4wRkHqqCUFNJY4AfY3kHU/edit?usp=sharing  #gid=0"",""фіз особи new!relations_name""),6,FALSE)
,
(IF
(
C2186=""юридична особа""
,
VLOOKUP"&amp;"(D2186,IMPORTRANGE(""https://docs.google.com/spreadsheets/d/14Bd19lYaqBhU8_DElYkX7l4wRkHqqCUFNJY4AfY3kHU/edit?usp=sharing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5" s="7" t="s">
        <v>10</v>
      </c>
      <c r="H2185" s="7">
        <v>0</v>
      </c>
      <c r="I2185" s="8" t="str">
        <f ca="1">IFERROR(__xludf.DUMMYFUNCTION("IF
(
G2186=""фізична особа""
,
VLOOKUP(H2186,IMPORTRANGE(""https://docs.google.com/spreadsheets/d/14Bd19lYaqBhU8_DElYkX7l4wRkHqqCUFNJY4AfY3kHU/edit?usp=sharing  #gid=0"",""фіз особи new!relations_name""),6,FALSE)
,
(IF
(
G2186=""юридична особа""
,
VLOOKUP"&amp;"(H2186,IMPORTRANGE(""https://docs.google.com/spreadsheets/d/14Bd19lYaqBhU8_DElYkX7l4wRkHqqCUFNJY4AfY3kHU/edit?usp=sharing  #gid=0"",""фіз особи new!relations_name_uo""),7,FALSE)
,
)
))"),"#N/A")</f>
        <v>#N/A</v>
      </c>
      <c r="J2185" s="7" t="s">
        <v>42</v>
      </c>
    </row>
    <row r="2186" spans="1:10" ht="13.2">
      <c r="A2186" s="7">
        <v>2185</v>
      </c>
      <c r="B2186" s="7">
        <v>1</v>
      </c>
      <c r="C2186" s="7" t="s">
        <v>10</v>
      </c>
      <c r="D2186" s="7">
        <v>636</v>
      </c>
      <c r="E2186" s="7" t="s">
        <v>21</v>
      </c>
      <c r="F2186" s="8" t="str">
        <f ca="1">IFERROR(__xludf.DUMMYFUNCTION("IF
(
C2187=""фізична особа""
,
VLOOKUP(D2187,IMPORTRANGE(""https://docs.google.com/spreadsheets/d/14Bd19lYaqBhU8_DElYkX7l4wRkHqqCUFNJY4AfY3kHU/edit?usp=sharing  #gid=0"",""фіз особи new!relations_name""),6,FALSE)
,
(IF
(
C2187=""юридична особа""
,
VLOOKUP"&amp;"(D2187,IMPORTRANGE(""https://docs.google.com/spreadsheets/d/14Bd19lYaqBhU8_DElYkX7l4wRkHqqCUFNJY4AfY3kHU/edit?usp=sharing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6" s="7" t="s">
        <v>10</v>
      </c>
      <c r="H2186" s="7">
        <v>0</v>
      </c>
      <c r="I2186" s="8" t="str">
        <f ca="1">IFERROR(__xludf.DUMMYFUNCTION("IF
(
G2187=""фізична особа""
,
VLOOKUP(H2187,IMPORTRANGE(""https://docs.google.com/spreadsheets/d/14Bd19lYaqBhU8_DElYkX7l4wRkHqqCUFNJY4AfY3kHU/edit?usp=sharing  #gid=0"",""фіз особи new!relations_name""),6,FALSE)
,
(IF
(
G2187=""юридична особа""
,
VLOOKUP"&amp;"(H2187,IMPORTRANGE(""https://docs.google.com/spreadsheets/d/14Bd19lYaqBhU8_DElYkX7l4wRkHqqCUFNJY4AfY3kHU/edit?usp=sharing  #gid=0"",""фіз особи new!relations_name_uo""),7,FALSE)
,
)
))"),"#N/A")</f>
        <v>#N/A</v>
      </c>
      <c r="J2186" s="7" t="s">
        <v>17</v>
      </c>
    </row>
    <row r="2187" spans="1:10" ht="13.2">
      <c r="A2187" s="7">
        <v>2186</v>
      </c>
      <c r="B2187" s="7">
        <v>1</v>
      </c>
      <c r="C2187" s="7" t="s">
        <v>10</v>
      </c>
      <c r="D2187" s="7">
        <v>636</v>
      </c>
      <c r="E2187" s="7" t="s">
        <v>21</v>
      </c>
      <c r="F2187" s="8" t="str">
        <f ca="1">IFERROR(__xludf.DUMMYFUNCTION("IF
(
C2188=""фізична особа""
,
VLOOKUP(D2188,IMPORTRANGE(""https://docs.google.com/spreadsheets/d/14Bd19lYaqBhU8_DElYkX7l4wRkHqqCUFNJY4AfY3kHU/edit?usp=sharing  #gid=0"",""фіз особи new!relations_name""),6,FALSE)
,
(IF
(
C2188=""юридична особа""
,
VLOOKUP"&amp;"(D2188,IMPORTRANGE(""https://docs.google.com/spreadsheets/d/14Bd19lYaqBhU8_DElYkX7l4wRkHqqCUFNJY4AfY3kHU/edit?usp=sharing  #gid=0"",""фіз особи new!relations_name_uo""),7,FALSE)
,
)
))"),"ЧЕМЕРІС Роза Басировна")</f>
        <v>ЧЕМЕРІС Роза Басировна</v>
      </c>
      <c r="G2187" s="7" t="s">
        <v>10</v>
      </c>
      <c r="H2187" s="7">
        <v>0</v>
      </c>
      <c r="I2187" s="8" t="str">
        <f ca="1">IFERROR(__xludf.DUMMYFUNCTION("IF
(
G2188=""фізична особа""
,
VLOOKUP(H2188,IMPORTRANGE(""https://docs.google.com/spreadsheets/d/14Bd19lYaqBhU8_DElYkX7l4wRkHqqCUFNJY4AfY3kHU/edit?usp=sharing  #gid=0"",""фіз особи new!relations_name""),6,FALSE)
,
(IF
(
G2188=""юридична особа""
,
VLOOKUP"&amp;"(H2188,IMPORTRANGE(""https://docs.google.com/spreadsheets/d/14Bd19lYaqBhU8_DElYkX7l4wRkHqqCUFNJY4AfY3kHU/edit?usp=sharing  #gid=0"",""фіз особи new!relations_name_uo""),7,FALSE)
,
)
))"),"#N/A")</f>
        <v>#N/A</v>
      </c>
      <c r="J2187" s="7" t="s">
        <v>17</v>
      </c>
    </row>
    <row r="2188" spans="1:10" ht="13.2">
      <c r="A2188" s="7">
        <v>2187</v>
      </c>
      <c r="B2188" s="7">
        <v>1</v>
      </c>
      <c r="C2188" s="7" t="s">
        <v>10</v>
      </c>
      <c r="D2188" s="7">
        <v>637</v>
      </c>
      <c r="E2188" s="7" t="s">
        <v>48</v>
      </c>
      <c r="F2188" s="8" t="str">
        <f ca="1">IFERROR(__xludf.DUMMYFUNCTION("IF
(
C2189=""фізична особа""
,
VLOOKUP(D2189,IMPORTRANGE(""https://docs.google.com/spreadsheets/d/14Bd19lYaqBhU8_DElYkX7l4wRkHqqCUFNJY4AfY3kHU/edit?usp=sharing  #gid=0"",""фіз особи new!relations_name""),6,FALSE)
,
(IF
(
C2189=""юридична особа""
,
VLOOKUP"&amp;"(D2189,IMPORTRANGE(""https://docs.google.com/spreadsheets/d/14Bd19lYaqBhU8_DElYkX7l4wRkHqqCUFNJY4AfY3kHU/edit?usp=sharing  #gid=0"",""фіз особи new!relations_name_uo""),7,FALSE)
,
)
))"),"РУМЯНЦЕВ Микита Геннадійович")</f>
        <v>РУМЯНЦЕВ Микита Геннадійович</v>
      </c>
      <c r="G2188" s="7" t="s">
        <v>10</v>
      </c>
      <c r="H2188" s="7">
        <v>56</v>
      </c>
      <c r="I2188" s="8" t="str">
        <f ca="1">IFERROR(__xludf.DUMMYFUNCTION("IF
(
G2189=""фізична особа""
,
VLOOKUP(H2189,IMPORTRANGE(""https://docs.google.com/spreadsheets/d/14Bd19lYaqBhU8_DElYkX7l4wRkHqqCUFNJY4AfY3kHU/edit?usp=sharing  #gid=0"",""фіз особи new!relations_name""),6,FALSE)
,
(IF
(
G2189=""юридична особа""
,
VLOOKUP"&amp;"(H2189,IMPORTRANGE(""https://docs.google.com/spreadsheets/d/14Bd19lYaqBhU8_DElYkX7l4wRkHqqCUFNJY4AfY3kHU/edit?usp=sharing  #gid=0"",""фіз особи new!relations_name_uo""),7,FALSE)
,
)
))"),"СКОЧ Андрій Володимирович")</f>
        <v>СКОЧ Андрій Володимирович</v>
      </c>
      <c r="J2188" s="7" t="s">
        <v>48</v>
      </c>
    </row>
    <row r="2189" spans="1:10" ht="13.2">
      <c r="A2189" s="7">
        <v>2188</v>
      </c>
      <c r="B2189" s="7">
        <v>1</v>
      </c>
      <c r="C2189" s="7" t="s">
        <v>10</v>
      </c>
      <c r="D2189" s="7">
        <v>638</v>
      </c>
      <c r="E2189" s="7" t="s">
        <v>48</v>
      </c>
      <c r="F2189" s="8" t="str">
        <f ca="1">IFERROR(__xludf.DUMMYFUNCTION("IF
(
C2190=""фізична особа""
,
VLOOKUP(D2190,IMPORTRANGE(""https://docs.google.com/spreadsheets/d/14Bd19lYaqBhU8_DElYkX7l4wRkHqqCUFNJY4AfY3kHU/edit?usp=sharing  #gid=0"",""фіз особи new!relations_name""),6,FALSE)
,
(IF
(
C2190=""юридична особа""
,
VLOOKUP"&amp;"(D2190,IMPORTRANGE(""https://docs.google.com/spreadsheets/d/14Bd19lYaqBhU8_DElYkX7l4wRkHqqCUFNJY4AfY3kHU/edit?usp=sharing  #gid=0"",""фіз особи new!relations_name_uo""),7,FALSE)
,
)
))"),"ЛЕЧХАДЖІЄВ Руслан Абдулвахійович")</f>
        <v>ЛЕЧХАДЖІЄВ Руслан Абдулвахійович</v>
      </c>
      <c r="G2189" s="7" t="s">
        <v>10</v>
      </c>
      <c r="H2189" s="7">
        <v>609</v>
      </c>
      <c r="I2189" s="8" t="str">
        <f ca="1">IFERROR(__xludf.DUMMYFUNCTION("IF
(
G2190=""фізична особа""
,
VLOOKUP(H2190,IMPORTRANGE(""https://docs.google.com/spreadsheets/d/14Bd19lYaqBhU8_DElYkX7l4wRkHqqCUFNJY4AfY3kHU/edit?usp=sharing  #gid=0"",""фіз особи new!relations_name""),6,FALSE)
,
(IF
(
G2190=""юридична особа""
,
VLOOKUP"&amp;"(H2190,IMPORTRANGE(""https://docs.google.com/spreadsheets/d/14Bd19lYaqBhU8_DElYkX7l4wRkHqqCUFNJY4AfY3kHU/edit?usp=sharing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2189" s="7" t="s">
        <v>48</v>
      </c>
    </row>
    <row r="2190" spans="1:10" ht="13.2">
      <c r="A2190" s="7">
        <v>2189</v>
      </c>
      <c r="B2190" s="7">
        <v>1</v>
      </c>
      <c r="C2190" s="7" t="s">
        <v>10</v>
      </c>
      <c r="D2190" s="7">
        <v>639</v>
      </c>
      <c r="E2190" s="7" t="s">
        <v>20</v>
      </c>
      <c r="F2190" s="8" t="str">
        <f ca="1">IFERROR(__xludf.DUMMYFUNCTION("IF
(
C2191=""фізична особа""
,
VLOOKUP(D2191,IMPORTRANGE(""https://docs.google.com/spreadsheets/d/14Bd19lYaqBhU8_DElYkX7l4wRkHqqCUFNJY4AfY3kHU/edit?usp=sharing  #gid=0"",""фіз особи new!relations_name""),6,FALSE)
,
(IF
(
C2191=""юридична особа""
,
VLOOKUP"&amp;"(D2191,IMPORTRANGE(""https://docs.google.com/spreadsheets/d/14Bd19lYaqBhU8_DElYkX7l4wRkHqqCUFNJY4AfY3kHU/edit?usp=sharing  #gid=0"",""фіз особи new!relations_name_uo""),7,FALSE)
,
)
))"),"ГАДЖІЄВ Руслан Гаджійович")</f>
        <v>ГАДЖІЄВ Руслан Гаджійович</v>
      </c>
      <c r="G2190" s="7" t="s">
        <v>10</v>
      </c>
      <c r="H2190" s="7">
        <v>741</v>
      </c>
      <c r="I2190" s="8" t="str">
        <f ca="1">IFERROR(__xludf.DUMMYFUNCTION("IF
(
G2191=""фізична особа""
,
VLOOKUP(H2191,IMPORTRANGE(""https://docs.google.com/spreadsheets/d/14Bd19lYaqBhU8_DElYkX7l4wRkHqqCUFNJY4AfY3kHU/edit?usp=sharing  #gid=0"",""фіз особи new!relations_name""),6,FALSE)
,
(IF
(
G2191=""юридична особа""
,
VLOOKUP"&amp;"(H2191,IMPORTRANGE(""https://docs.google.com/spreadsheets/d/14Bd19lYaqBhU8_DElYkX7l4wRkHqqCUFNJY4AfY3kHU/edit?usp=sharing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J2190" s="7" t="s">
        <v>19</v>
      </c>
    </row>
    <row r="2191" spans="1:10" ht="13.2">
      <c r="A2191" s="7">
        <v>2190</v>
      </c>
      <c r="B2191" s="7">
        <v>1</v>
      </c>
      <c r="C2191" s="7" t="s">
        <v>10</v>
      </c>
      <c r="D2191" s="7">
        <v>640</v>
      </c>
      <c r="E2191" s="7" t="s">
        <v>48</v>
      </c>
      <c r="F2191" s="8" t="str">
        <f ca="1">IFERROR(__xludf.DUMMYFUNCTION("IF
(
C2192=""фізична особа""
,
VLOOKUP(D2192,IMPORTRANGE(""https://docs.google.com/spreadsheets/d/14Bd19lYaqBhU8_DElYkX7l4wRkHqqCUFNJY4AfY3kHU/edit?usp=sharing  #gid=0"",""фіз особи new!relations_name""),6,FALSE)
,
(IF
(
C2192=""юридична особа""
,
VLOOKUP"&amp;"(D2192,IMPORTRANGE(""https://docs.google.com/spreadsheets/d/14Bd19lYaqBhU8_DElYkX7l4wRkHqqCUFNJY4AfY3kHU/edit?usp=sharing  #gid=0"",""фіз особи new!relations_name_uo""),7,FALSE)
,
)
))"),"БАЛБЕК Руслан Ісмаїлович")</f>
        <v>БАЛБЕК Руслан Ісмаїлович</v>
      </c>
      <c r="G2191" s="7" t="s">
        <v>10</v>
      </c>
      <c r="H2191" s="7">
        <v>4558</v>
      </c>
      <c r="I2191" s="8" t="str">
        <f ca="1">IFERROR(__xludf.DUMMYFUNCTION("IF
(
G2192=""фізична особа""
,
VLOOKUP(H2192,IMPORTRANGE(""https://docs.google.com/spreadsheets/d/14Bd19lYaqBhU8_DElYkX7l4wRkHqqCUFNJY4AfY3kHU/edit?usp=sharing  #gid=0"",""фіз особи new!relations_name""),6,FALSE)
,
(IF
(
G2192=""юридична особа""
,
VLOOKUP"&amp;"(H2192,IMPORTRANGE(""https://docs.google.com/spreadsheets/d/14Bd19lYaqBhU8_DElYkX7l4wRkHqqCUFNJY4AfY3kHU/edit?usp=sharing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2191" s="7" t="s">
        <v>48</v>
      </c>
    </row>
    <row r="2192" spans="1:10" ht="13.2">
      <c r="A2192" s="7">
        <v>2191</v>
      </c>
      <c r="B2192" s="7">
        <v>1</v>
      </c>
      <c r="C2192" s="7" t="s">
        <v>10</v>
      </c>
      <c r="D2192" s="7">
        <v>641</v>
      </c>
      <c r="E2192" s="7" t="s">
        <v>12</v>
      </c>
      <c r="F2192" s="8" t="str">
        <f ca="1">IFERROR(__xludf.DUMMYFUNCTION("IF
(
C2193=""фізична особа""
,
VLOOKUP(D2193,IMPORTRANGE(""https://docs.google.com/spreadsheets/d/14Bd19lYaqBhU8_DElYkX7l4wRkHqqCUFNJY4AfY3kHU/edit?usp=sharing  #gid=0"",""фіз особи new!relations_name""),6,FALSE)
,
(IF
(
C2193=""юридична особа""
,
VLOOKUP"&amp;"(D2193,IMPORTRANGE(""https://docs.google.com/spreadsheets/d/14Bd19lYaqBhU8_DElYkX7l4wRkHqqCUFNJY4AfY3kHU/edit?usp=sharing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2" s="7" t="s">
        <v>10</v>
      </c>
      <c r="H2192" s="7">
        <v>0</v>
      </c>
      <c r="I2192" s="8" t="str">
        <f ca="1">IFERROR(__xludf.DUMMYFUNCTION("IF
(
G2193=""фізична особа""
,
VLOOKUP(H2193,IMPORTRANGE(""https://docs.google.com/spreadsheets/d/14Bd19lYaqBhU8_DElYkX7l4wRkHqqCUFNJY4AfY3kHU/edit?usp=sharing  #gid=0"",""фіз особи new!relations_name""),6,FALSE)
,
(IF
(
G2193=""юридична особа""
,
VLOOKUP"&amp;"(H2193,IMPORTRANGE(""https://docs.google.com/spreadsheets/d/14Bd19lYaqBhU8_DElYkX7l4wRkHqqCUFNJY4AfY3kHU/edit?usp=sharing  #gid=0"",""фіз особи new!relations_name_uo""),7,FALSE)
,
)
))"),"#N/A")</f>
        <v>#N/A</v>
      </c>
      <c r="J2192" s="7" t="s">
        <v>17</v>
      </c>
    </row>
    <row r="2193" spans="1:10" ht="13.2">
      <c r="A2193" s="7">
        <v>2192</v>
      </c>
      <c r="B2193" s="7">
        <v>1</v>
      </c>
      <c r="C2193" s="7" t="s">
        <v>10</v>
      </c>
      <c r="D2193" s="7">
        <v>641</v>
      </c>
      <c r="E2193" s="7" t="s">
        <v>12</v>
      </c>
      <c r="F2193" s="8" t="str">
        <f ca="1">IFERROR(__xludf.DUMMYFUNCTION("IF
(
C2194=""фізична особа""
,
VLOOKUP(D2194,IMPORTRANGE(""https://docs.google.com/spreadsheets/d/14Bd19lYaqBhU8_DElYkX7l4wRkHqqCUFNJY4AfY3kHU/edit?usp=sharing  #gid=0"",""фіз особи new!relations_name""),6,FALSE)
,
(IF
(
C2194=""юридична особа""
,
VLOOKUP"&amp;"(D2194,IMPORTRANGE(""https://docs.google.com/spreadsheets/d/14Bd19lYaqBhU8_DElYkX7l4wRkHqqCUFNJY4AfY3kHU/edit?usp=sharing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3" s="7" t="s">
        <v>10</v>
      </c>
      <c r="H2193" s="7">
        <v>0</v>
      </c>
      <c r="I2193" s="8" t="str">
        <f ca="1">IFERROR(__xludf.DUMMYFUNCTION("IF
(
G2194=""фізична особа""
,
VLOOKUP(H2194,IMPORTRANGE(""https://docs.google.com/spreadsheets/d/14Bd19lYaqBhU8_DElYkX7l4wRkHqqCUFNJY4AfY3kHU/edit?usp=sharing  #gid=0"",""фіз особи new!relations_name""),6,FALSE)
,
(IF
(
G2194=""юридична особа""
,
VLOOKUP"&amp;"(H2194,IMPORTRANGE(""https://docs.google.com/spreadsheets/d/14Bd19lYaqBhU8_DElYkX7l4wRkHqqCUFNJY4AfY3kHU/edit?usp=sharing  #gid=0"",""фіз особи new!relations_name_uo""),7,FALSE)
,
)
))"),"#N/A")</f>
        <v>#N/A</v>
      </c>
      <c r="J2193" s="7" t="s">
        <v>17</v>
      </c>
    </row>
    <row r="2194" spans="1:10" ht="13.2">
      <c r="A2194" s="7">
        <v>2193</v>
      </c>
      <c r="B2194" s="7">
        <v>1</v>
      </c>
      <c r="C2194" s="7" t="s">
        <v>10</v>
      </c>
      <c r="D2194" s="7">
        <v>641</v>
      </c>
      <c r="E2194" s="7" t="s">
        <v>14</v>
      </c>
      <c r="F2194" s="8" t="str">
        <f ca="1">IFERROR(__xludf.DUMMYFUNCTION("IF
(
C2195=""фізична особа""
,
VLOOKUP(D2195,IMPORTRANGE(""https://docs.google.com/spreadsheets/d/14Bd19lYaqBhU8_DElYkX7l4wRkHqqCUFNJY4AfY3kHU/edit?usp=sharing  #gid=0"",""фіз особи new!relations_name""),6,FALSE)
,
(IF
(
C2195=""юридична особа""
,
VLOOKUP"&amp;"(D2195,IMPORTRANGE(""https://docs.google.com/spreadsheets/d/14Bd19lYaqBhU8_DElYkX7l4wRkHqqCUFNJY4AfY3kHU/edit?usp=sharing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4" s="7" t="s">
        <v>10</v>
      </c>
      <c r="H2194" s="7">
        <v>0</v>
      </c>
      <c r="I2194" s="8" t="str">
        <f ca="1">IFERROR(__xludf.DUMMYFUNCTION("IF
(
G2195=""фізична особа""
,
VLOOKUP(H2195,IMPORTRANGE(""https://docs.google.com/spreadsheets/d/14Bd19lYaqBhU8_DElYkX7l4wRkHqqCUFNJY4AfY3kHU/edit?usp=sharing  #gid=0"",""фіз особи new!relations_name""),6,FALSE)
,
(IF
(
G2195=""юридична особа""
,
VLOOKUP"&amp;"(H2195,IMPORTRANGE(""https://docs.google.com/spreadsheets/d/14Bd19lYaqBhU8_DElYkX7l4wRkHqqCUFNJY4AfY3kHU/edit?usp=sharing  #gid=0"",""фіз особи new!relations_name_uo""),7,FALSE)
,
)
))"),"#N/A")</f>
        <v>#N/A</v>
      </c>
      <c r="J2194" s="7" t="s">
        <v>15</v>
      </c>
    </row>
    <row r="2195" spans="1:10" ht="13.2">
      <c r="A2195" s="7">
        <v>2194</v>
      </c>
      <c r="B2195" s="7">
        <v>1</v>
      </c>
      <c r="C2195" s="7" t="s">
        <v>10</v>
      </c>
      <c r="D2195" s="7">
        <v>641</v>
      </c>
      <c r="E2195" s="7" t="s">
        <v>12</v>
      </c>
      <c r="F2195" s="8" t="str">
        <f ca="1">IFERROR(__xludf.DUMMYFUNCTION("IF
(
C2196=""фізична особа""
,
VLOOKUP(D2196,IMPORTRANGE(""https://docs.google.com/spreadsheets/d/14Bd19lYaqBhU8_DElYkX7l4wRkHqqCUFNJY4AfY3kHU/edit?usp=sharing  #gid=0"",""фіз особи new!relations_name""),6,FALSE)
,
(IF
(
C2196=""юридична особа""
,
VLOOKUP"&amp;"(D2196,IMPORTRANGE(""https://docs.google.com/spreadsheets/d/14Bd19lYaqBhU8_DElYkX7l4wRkHqqCUFNJY4AfY3kHU/edit?usp=sharing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5" s="7" t="s">
        <v>10</v>
      </c>
      <c r="H2195" s="7">
        <v>0</v>
      </c>
      <c r="I2195" s="8" t="str">
        <f ca="1">IFERROR(__xludf.DUMMYFUNCTION("IF
(
G2196=""фізична особа""
,
VLOOKUP(H2196,IMPORTRANGE(""https://docs.google.com/spreadsheets/d/14Bd19lYaqBhU8_DElYkX7l4wRkHqqCUFNJY4AfY3kHU/edit?usp=sharing  #gid=0"",""фіз особи new!relations_name""),6,FALSE)
,
(IF
(
G2196=""юридична особа""
,
VLOOKUP"&amp;"(H2196,IMPORTRANGE(""https://docs.google.com/spreadsheets/d/14Bd19lYaqBhU8_DElYkX7l4wRkHqqCUFNJY4AfY3kHU/edit?usp=sharing  #gid=0"",""фіз особи new!relations_name_uo""),7,FALSE)
,
)
))"),"#N/A")</f>
        <v>#N/A</v>
      </c>
      <c r="J2195" s="7" t="s">
        <v>13</v>
      </c>
    </row>
    <row r="2196" spans="1:10" ht="13.2">
      <c r="A2196" s="7">
        <v>2195</v>
      </c>
      <c r="B2196" s="7">
        <v>1</v>
      </c>
      <c r="C2196" s="7" t="s">
        <v>10</v>
      </c>
      <c r="D2196" s="7">
        <v>641</v>
      </c>
      <c r="E2196" s="7" t="s">
        <v>12</v>
      </c>
      <c r="F2196" s="8" t="str">
        <f ca="1">IFERROR(__xludf.DUMMYFUNCTION("IF
(
C2197=""фізична особа""
,
VLOOKUP(D2197,IMPORTRANGE(""https://docs.google.com/spreadsheets/d/14Bd19lYaqBhU8_DElYkX7l4wRkHqqCUFNJY4AfY3kHU/edit?usp=sharing  #gid=0"",""фіз особи new!relations_name""),6,FALSE)
,
(IF
(
C2197=""юридична особа""
,
VLOOKUP"&amp;"(D2197,IMPORTRANGE(""https://docs.google.com/spreadsheets/d/14Bd19lYaqBhU8_DElYkX7l4wRkHqqCUFNJY4AfY3kHU/edit?usp=sharing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6" s="7" t="s">
        <v>10</v>
      </c>
      <c r="H2196" s="7">
        <v>0</v>
      </c>
      <c r="I2196" s="8" t="str">
        <f ca="1">IFERROR(__xludf.DUMMYFUNCTION("IF
(
G2197=""фізична особа""
,
VLOOKUP(H2197,IMPORTRANGE(""https://docs.google.com/spreadsheets/d/14Bd19lYaqBhU8_DElYkX7l4wRkHqqCUFNJY4AfY3kHU/edit?usp=sharing  #gid=0"",""фіз особи new!relations_name""),6,FALSE)
,
(IF
(
G2197=""юридична особа""
,
VLOOKUP"&amp;"(H2197,IMPORTRANGE(""https://docs.google.com/spreadsheets/d/14Bd19lYaqBhU8_DElYkX7l4wRkHqqCUFNJY4AfY3kHU/edit?usp=sharing  #gid=0"",""фіз особи new!relations_name_uo""),7,FALSE)
,
)
))"),"#N/A")</f>
        <v>#N/A</v>
      </c>
      <c r="J2196" s="7" t="s">
        <v>13</v>
      </c>
    </row>
    <row r="2197" spans="1:10" ht="13.2">
      <c r="A2197" s="7">
        <v>2196</v>
      </c>
      <c r="B2197" s="7">
        <v>1</v>
      </c>
      <c r="C2197" s="7" t="s">
        <v>10</v>
      </c>
      <c r="D2197" s="7">
        <v>641</v>
      </c>
      <c r="E2197" s="7" t="s">
        <v>28</v>
      </c>
      <c r="F2197" s="8" t="str">
        <f ca="1">IFERROR(__xludf.DUMMYFUNCTION("IF
(
C2198=""фізична особа""
,
VLOOKUP(D2198,IMPORTRANGE(""https://docs.google.com/spreadsheets/d/14Bd19lYaqBhU8_DElYkX7l4wRkHqqCUFNJY4AfY3kHU/edit?usp=sharing  #gid=0"",""фіз особи new!relations_name""),6,FALSE)
,
(IF
(
C2198=""юридична особа""
,
VLOOKUP"&amp;"(D2198,IMPORTRANGE(""https://docs.google.com/spreadsheets/d/14Bd19lYaqBhU8_DElYkX7l4wRkHqqCUFNJY4AfY3kHU/edit?usp=sharing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7" s="7" t="s">
        <v>10</v>
      </c>
      <c r="H2197" s="7">
        <v>670</v>
      </c>
      <c r="I2197" s="8" t="str">
        <f ca="1">IFERROR(__xludf.DUMMYFUNCTION("IF
(
G2198=""фізична особа""
,
VLOOKUP(H2198,IMPORTRANGE(""https://docs.google.com/spreadsheets/d/14Bd19lYaqBhU8_DElYkX7l4wRkHqqCUFNJY4AfY3kHU/edit?usp=sharing  #gid=0"",""фіз особи new!relations_name""),6,FALSE)
,
(IF
(
G2198=""юридична особа""
,
VLOOKUP"&amp;"(H2198,IMPORTRANGE(""https://docs.google.com/spreadsheets/d/14Bd19lYaqBhU8_DElYkX7l4wRkHqqCUFNJY4AfY3kHU/edit?usp=sharing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197" s="7" t="s">
        <v>29</v>
      </c>
    </row>
    <row r="2198" spans="1:10" ht="13.2">
      <c r="A2198" s="7">
        <v>2197</v>
      </c>
      <c r="B2198" s="7">
        <v>1</v>
      </c>
      <c r="C2198" s="7" t="s">
        <v>10</v>
      </c>
      <c r="D2198" s="7">
        <v>641</v>
      </c>
      <c r="E2198" s="7" t="s">
        <v>35</v>
      </c>
      <c r="F2198" s="8" t="str">
        <f ca="1">IFERROR(__xludf.DUMMYFUNCTION("IF
(
C2199=""фізична особа""
,
VLOOKUP(D2199,IMPORTRANGE(""https://docs.google.com/spreadsheets/d/14Bd19lYaqBhU8_DElYkX7l4wRkHqqCUFNJY4AfY3kHU/edit?usp=sharing  #gid=0"",""фіз особи new!relations_name""),6,FALSE)
,
(IF
(
C2199=""юридична особа""
,
VLOOKUP"&amp;"(D2199,IMPORTRANGE(""https://docs.google.com/spreadsheets/d/14Bd19lYaqBhU8_DElYkX7l4wRkHqqCUFNJY4AfY3kHU/edit?usp=sharing  #gid=0"",""фіз особи new!relations_name_uo""),7,FALSE)
,
)
))"),"ЦАЛІКОВ Руслан Хаджісмеловіч")</f>
        <v>ЦАЛІКОВ Руслан Хаджісмеловіч</v>
      </c>
      <c r="G2198" s="7" t="s">
        <v>10</v>
      </c>
      <c r="H2198" s="7">
        <v>113</v>
      </c>
      <c r="I2198" s="8" t="str">
        <f ca="1">IFERROR(__xludf.DUMMYFUNCTION("IF
(
G2199=""фізична особа""
,
VLOOKUP(H2199,IMPORTRANGE(""https://docs.google.com/spreadsheets/d/14Bd19lYaqBhU8_DElYkX7l4wRkHqqCUFNJY4AfY3kHU/edit?usp=sharing  #gid=0"",""фіз особи new!relations_name""),6,FALSE)
,
(IF
(
G2199=""юридична особа""
,
VLOOKUP"&amp;"(H2199,IMPORTRANGE(""https://docs.google.com/spreadsheets/d/14Bd19lYaqBhU8_DElYkX7l4wRkHqqCUFNJY4AfY3kHU/edit?usp=sharing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2198" s="7" t="s">
        <v>35</v>
      </c>
    </row>
    <row r="2199" spans="1:10" ht="13.2">
      <c r="A2199" s="7">
        <v>2198</v>
      </c>
      <c r="B2199" s="7">
        <v>1</v>
      </c>
      <c r="C2199" s="7" t="s">
        <v>10</v>
      </c>
      <c r="D2199" s="7">
        <v>642</v>
      </c>
      <c r="E2199" s="7" t="s">
        <v>48</v>
      </c>
      <c r="F2199" s="8" t="str">
        <f ca="1">IFERROR(__xludf.DUMMYFUNCTION("IF
(
C2200=""фізична особа""
,
VLOOKUP(D2200,IMPORTRANGE(""https://docs.google.com/spreadsheets/d/14Bd19lYaqBhU8_DElYkX7l4wRkHqqCUFNJY4AfY3kHU/edit?usp=sharing  #gid=0"",""фіз особи new!relations_name""),6,FALSE)
,
(IF
(
C2200=""юридична особа""
,
VLOOKUP"&amp;"(D2200,IMPORTRANGE(""https://docs.google.com/spreadsheets/d/14Bd19lYaqBhU8_DElYkX7l4wRkHqqCUFNJY4AfY3kHU/edit?usp=sharing  #gid=0"",""фіз особи new!relations_name_uo""),7,FALSE)
,
)
))"),"КАЛІМУЛЛІН Рустам Галіуллович")</f>
        <v>КАЛІМУЛЛІН Рустам Галіуллович</v>
      </c>
      <c r="G2199" s="7" t="s">
        <v>10</v>
      </c>
      <c r="H2199" s="7">
        <v>0</v>
      </c>
      <c r="I2199" s="8" t="str">
        <f ca="1">IFERROR(__xludf.DUMMYFUNCTION("IF
(
G2200=""фізична особа""
,
VLOOKUP(H2200,IMPORTRANGE(""https://docs.google.com/spreadsheets/d/14Bd19lYaqBhU8_DElYkX7l4wRkHqqCUFNJY4AfY3kHU/edit?usp=sharing  #gid=0"",""фіз особи new!relations_name""),6,FALSE)
,
(IF
(
G2200=""юридична особа""
,
VLOOKUP"&amp;"(H2200,IMPORTRANGE(""https://docs.google.com/spreadsheets/d/14Bd19lYaqBhU8_DElYkX7l4wRkHqqCUFNJY4AfY3kHU/edit?usp=sharing  #gid=0"",""фіз особи new!relations_name_uo""),7,FALSE)
,
)
))"),"#N/A")</f>
        <v>#N/A</v>
      </c>
      <c r="J2199" s="7" t="s">
        <v>48</v>
      </c>
    </row>
    <row r="2200" spans="1:10" ht="13.2">
      <c r="A2200" s="7">
        <v>2199</v>
      </c>
      <c r="B2200" s="7">
        <v>1</v>
      </c>
      <c r="C2200" s="7" t="s">
        <v>10</v>
      </c>
      <c r="D2200" s="7">
        <v>643</v>
      </c>
      <c r="E2200" s="7" t="s">
        <v>17</v>
      </c>
      <c r="F2200" s="8" t="str">
        <f ca="1">IFERROR(__xludf.DUMMYFUNCTION("IF
(
C2201=""фізична особа""
,
VLOOKUP(D2201,IMPORTRANGE(""https://docs.google.com/spreadsheets/d/14Bd19lYaqBhU8_DElYkX7l4wRkHqqCUFNJY4AfY3kHU/edit?usp=sharing  #gid=0"",""фіз особи new!relations_name""),6,FALSE)
,
(IF
(
C2201=""юридична особа""
,
VLOOKUP"&amp;"(D2201,IMPORTRANGE(""https://docs.google.com/spreadsheets/d/14Bd19lYaqBhU8_DElYkX7l4wRkHqqCUFNJY4AfY3kHU/edit?usp=sharing  #gid=0"",""фіз особи new!relations_name_uo""),7,FALSE)
,
)
))"),"МУРАДОВ Рустам Усманович")</f>
        <v>МУРАДОВ Рустам Усманович</v>
      </c>
      <c r="G2200" s="7" t="s">
        <v>10</v>
      </c>
      <c r="H2200" s="7">
        <v>0</v>
      </c>
      <c r="I2200" s="8" t="str">
        <f ca="1">IFERROR(__xludf.DUMMYFUNCTION("IF
(
G2201=""фізична особа""
,
VLOOKUP(H2201,IMPORTRANGE(""https://docs.google.com/spreadsheets/d/14Bd19lYaqBhU8_DElYkX7l4wRkHqqCUFNJY4AfY3kHU/edit?usp=sharing  #gid=0"",""фіз особи new!relations_name""),6,FALSE)
,
(IF
(
G2201=""юридична особа""
,
VLOOKUP"&amp;"(H2201,IMPORTRANGE(""https://docs.google.com/spreadsheets/d/14Bd19lYaqBhU8_DElYkX7l4wRkHqqCUFNJY4AfY3kHU/edit?usp=sharing  #gid=0"",""фіз особи new!relations_name_uo""),7,FALSE)
,
)
))"),"#N/A")</f>
        <v>#N/A</v>
      </c>
      <c r="J2200" s="7" t="s">
        <v>21</v>
      </c>
    </row>
    <row r="2201" spans="1:10" ht="13.2">
      <c r="A2201" s="7">
        <v>2200</v>
      </c>
      <c r="B2201" s="7">
        <v>1</v>
      </c>
      <c r="C2201" s="7" t="s">
        <v>10</v>
      </c>
      <c r="D2201" s="7">
        <v>643</v>
      </c>
      <c r="E2201" s="7" t="s">
        <v>14</v>
      </c>
      <c r="F2201" s="8" t="str">
        <f ca="1">IFERROR(__xludf.DUMMYFUNCTION("IF
(
C2202=""фізична особа""
,
VLOOKUP(D2202,IMPORTRANGE(""https://docs.google.com/spreadsheets/d/14Bd19lYaqBhU8_DElYkX7l4wRkHqqCUFNJY4AfY3kHU/edit?usp=sharing  #gid=0"",""фіз особи new!relations_name""),6,FALSE)
,
(IF
(
C2202=""юридична особа""
,
VLOOKUP"&amp;"(D2202,IMPORTRANGE(""https://docs.google.com/spreadsheets/d/14Bd19lYaqBhU8_DElYkX7l4wRkHqqCUFNJY4AfY3kHU/edit?usp=sharing  #gid=0"",""фіз особи new!relations_name_uo""),7,FALSE)
,
)
))"),"МУРАДОВ Рустам Усманович")</f>
        <v>МУРАДОВ Рустам Усманович</v>
      </c>
      <c r="G2201" s="7" t="s">
        <v>10</v>
      </c>
      <c r="H2201" s="7">
        <v>0</v>
      </c>
      <c r="I2201" s="8" t="str">
        <f ca="1">IFERROR(__xludf.DUMMYFUNCTION("IF
(
G2202=""фізична особа""
,
VLOOKUP(H2202,IMPORTRANGE(""https://docs.google.com/spreadsheets/d/14Bd19lYaqBhU8_DElYkX7l4wRkHqqCUFNJY4AfY3kHU/edit?usp=sharing  #gid=0"",""фіз особи new!relations_name""),6,FALSE)
,
(IF
(
G2202=""юридична особа""
,
VLOOKUP"&amp;"(H2202,IMPORTRANGE(""https://docs.google.com/spreadsheets/d/14Bd19lYaqBhU8_DElYkX7l4wRkHqqCUFNJY4AfY3kHU/edit?usp=sharing  #gid=0"",""фіз особи new!relations_name_uo""),7,FALSE)
,
)
))"),"#N/A")</f>
        <v>#N/A</v>
      </c>
      <c r="J2201" s="7" t="s">
        <v>15</v>
      </c>
    </row>
    <row r="2202" spans="1:10" ht="13.2">
      <c r="A2202" s="7">
        <v>2201</v>
      </c>
      <c r="B2202" s="7">
        <v>1</v>
      </c>
      <c r="C2202" s="7" t="s">
        <v>10</v>
      </c>
      <c r="D2202" s="7">
        <v>643</v>
      </c>
      <c r="E2202" s="7" t="s">
        <v>28</v>
      </c>
      <c r="F2202" s="8" t="str">
        <f ca="1">IFERROR(__xludf.DUMMYFUNCTION("IF
(
C2203=""фізична особа""
,
VLOOKUP(D2203,IMPORTRANGE(""https://docs.google.com/spreadsheets/d/14Bd19lYaqBhU8_DElYkX7l4wRkHqqCUFNJY4AfY3kHU/edit?usp=sharing  #gid=0"",""фіз особи new!relations_name""),6,FALSE)
,
(IF
(
C2203=""юридична особа""
,
VLOOKUP"&amp;"(D2203,IMPORTRANGE(""https://docs.google.com/spreadsheets/d/14Bd19lYaqBhU8_DElYkX7l4wRkHqqCUFNJY4AfY3kHU/edit?usp=sharing  #gid=0"",""фіз особи new!relations_name_uo""),7,FALSE)
,
)
))"),"МУРАДОВ Рустам Усманович")</f>
        <v>МУРАДОВ Рустам Усманович</v>
      </c>
      <c r="G2202" s="7" t="s">
        <v>10</v>
      </c>
      <c r="H2202" s="7">
        <v>168</v>
      </c>
      <c r="I2202" s="8" t="str">
        <f ca="1">IFERROR(__xludf.DUMMYFUNCTION("IF
(
G2203=""фізична особа""
,
VLOOKUP(H2203,IMPORTRANGE(""https://docs.google.com/spreadsheets/d/14Bd19lYaqBhU8_DElYkX7l4wRkHqqCUFNJY4AfY3kHU/edit?usp=sharing  #gid=0"",""фіз особи new!relations_name""),6,FALSE)
,
(IF
(
G2203=""юридична особа""
,
VLOOKUP"&amp;"(H2203,IMPORTRANGE(""https://docs.google.com/spreadsheets/d/14Bd19lYaqBhU8_DElYkX7l4wRkHqqCUFNJY4AfY3kHU/edit?usp=sharing  #gid=0"",""фіз особи new!relations_name_uo""),7,FALSE)
,
)
))"),"ДВОРНІКОВ Олександр Володимирович")</f>
        <v>ДВОРНІКОВ Олександр Володимирович</v>
      </c>
      <c r="J2202" s="7" t="s">
        <v>29</v>
      </c>
    </row>
    <row r="2203" spans="1:10" ht="13.2">
      <c r="A2203" s="7">
        <v>2202</v>
      </c>
      <c r="B2203" s="7">
        <v>1</v>
      </c>
      <c r="C2203" s="7" t="s">
        <v>10</v>
      </c>
      <c r="D2203" s="7">
        <v>644</v>
      </c>
      <c r="E2203" s="7" t="s">
        <v>24</v>
      </c>
      <c r="F2203" s="8" t="str">
        <f ca="1">IFERROR(__xludf.DUMMYFUNCTION("IF
(
C2204=""фізична особа""
,
VLOOKUP(D2204,IMPORTRANGE(""https://docs.google.com/spreadsheets/d/14Bd19lYaqBhU8_DElYkX7l4wRkHqqCUFNJY4AfY3kHU/edit?usp=sharing  #gid=0"",""фіз особи new!relations_name""),6,FALSE)
,
(IF
(
C2204=""юридична особа""
,
VLOOKUP"&amp;"(D2204,IMPORTRANGE(""https://docs.google.com/spreadsheets/d/14Bd19lYaqBhU8_DElYkX7l4wRkHqqCUFNJY4AfY3kHU/edit?usp=sharing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3" s="7" t="s">
        <v>10</v>
      </c>
      <c r="H2203" s="7">
        <v>0</v>
      </c>
      <c r="I2203" s="8" t="str">
        <f ca="1">IFERROR(__xludf.DUMMYFUNCTION("IF
(
G2204=""фізична особа""
,
VLOOKUP(H2204,IMPORTRANGE(""https://docs.google.com/spreadsheets/d/14Bd19lYaqBhU8_DElYkX7l4wRkHqqCUFNJY4AfY3kHU/edit?usp=sharing  #gid=0"",""фіз особи new!relations_name""),6,FALSE)
,
(IF
(
G2204=""юридична особа""
,
VLOOKUP"&amp;"(H2204,IMPORTRANGE(""https://docs.google.com/spreadsheets/d/14Bd19lYaqBhU8_DElYkX7l4wRkHqqCUFNJY4AfY3kHU/edit?usp=sharing  #gid=0"",""фіз особи new!relations_name_uo""),7,FALSE)
,
)
))"),"#N/A")</f>
        <v>#N/A</v>
      </c>
      <c r="J2203" s="7" t="s">
        <v>26</v>
      </c>
    </row>
    <row r="2204" spans="1:10" ht="13.2">
      <c r="A2204" s="7">
        <v>2203</v>
      </c>
      <c r="B2204" s="7">
        <v>1</v>
      </c>
      <c r="C2204" s="7" t="s">
        <v>10</v>
      </c>
      <c r="D2204" s="7">
        <v>644</v>
      </c>
      <c r="E2204" s="7" t="s">
        <v>59</v>
      </c>
      <c r="F2204" s="8" t="str">
        <f ca="1">IFERROR(__xludf.DUMMYFUNCTION("IF
(
C2205=""фізична особа""
,
VLOOKUP(D2205,IMPORTRANGE(""https://docs.google.com/spreadsheets/d/14Bd19lYaqBhU8_DElYkX7l4wRkHqqCUFNJY4AfY3kHU/edit?usp=sharing  #gid=0"",""фіз особи new!relations_name""),6,FALSE)
,
(IF
(
C2205=""юридична особа""
,
VLOOKUP"&amp;"(D2205,IMPORTRANGE(""https://docs.google.com/spreadsheets/d/14Bd19lYaqBhU8_DElYkX7l4wRkHqqCUFNJY4AfY3kHU/edit?usp=sharing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4" s="7" t="s">
        <v>10</v>
      </c>
      <c r="H2204" s="7">
        <v>0</v>
      </c>
      <c r="I2204" s="8" t="str">
        <f ca="1">IFERROR(__xludf.DUMMYFUNCTION("IF
(
G2205=""фізична особа""
,
VLOOKUP(H2205,IMPORTRANGE(""https://docs.google.com/spreadsheets/d/14Bd19lYaqBhU8_DElYkX7l4wRkHqqCUFNJY4AfY3kHU/edit?usp=sharing  #gid=0"",""фіз особи new!relations_name""),6,FALSE)
,
(IF
(
G2205=""юридична особа""
,
VLOOKUP"&amp;"(H2205,IMPORTRANGE(""https://docs.google.com/spreadsheets/d/14Bd19lYaqBhU8_DElYkX7l4wRkHqqCUFNJY4AfY3kHU/edit?usp=sharing  #gid=0"",""фіз особи new!relations_name_uo""),7,FALSE)
,
)
))"),"#N/A")</f>
        <v>#N/A</v>
      </c>
      <c r="J2204" s="7" t="s">
        <v>61</v>
      </c>
    </row>
    <row r="2205" spans="1:10" ht="13.2">
      <c r="A2205" s="7">
        <v>2204</v>
      </c>
      <c r="B2205" s="7">
        <v>1</v>
      </c>
      <c r="C2205" s="7" t="s">
        <v>10</v>
      </c>
      <c r="D2205" s="7">
        <v>644</v>
      </c>
      <c r="E2205" s="7" t="s">
        <v>59</v>
      </c>
      <c r="F2205" s="8" t="str">
        <f ca="1">IFERROR(__xludf.DUMMYFUNCTION("IF
(
C2206=""фізична особа""
,
VLOOKUP(D2206,IMPORTRANGE(""https://docs.google.com/spreadsheets/d/14Bd19lYaqBhU8_DElYkX7l4wRkHqqCUFNJY4AfY3kHU/edit?usp=sharing  #gid=0"",""фіз особи new!relations_name""),6,FALSE)
,
(IF
(
C2206=""юридична особа""
,
VLOOKUP"&amp;"(D2206,IMPORTRANGE(""https://docs.google.com/spreadsheets/d/14Bd19lYaqBhU8_DElYkX7l4wRkHqqCUFNJY4AfY3kHU/edit?usp=sharing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5" s="7" t="s">
        <v>10</v>
      </c>
      <c r="H2205" s="7">
        <v>0</v>
      </c>
      <c r="I2205" s="8" t="str">
        <f ca="1">IFERROR(__xludf.DUMMYFUNCTION("IF
(
G2206=""фізична особа""
,
VLOOKUP(H2206,IMPORTRANGE(""https://docs.google.com/spreadsheets/d/14Bd19lYaqBhU8_DElYkX7l4wRkHqqCUFNJY4AfY3kHU/edit?usp=sharing  #gid=0"",""фіз особи new!relations_name""),6,FALSE)
,
(IF
(
G2206=""юридична особа""
,
VLOOKUP"&amp;"(H2206,IMPORTRANGE(""https://docs.google.com/spreadsheets/d/14Bd19lYaqBhU8_DElYkX7l4wRkHqqCUFNJY4AfY3kHU/edit?usp=sharing  #gid=0"",""фіз особи new!relations_name_uo""),7,FALSE)
,
)
))"),"#N/A")</f>
        <v>#N/A</v>
      </c>
      <c r="J2205" s="7" t="s">
        <v>60</v>
      </c>
    </row>
    <row r="2206" spans="1:10" ht="13.2">
      <c r="A2206" s="7">
        <v>2205</v>
      </c>
      <c r="B2206" s="7">
        <v>1</v>
      </c>
      <c r="C2206" s="7" t="s">
        <v>10</v>
      </c>
      <c r="D2206" s="7">
        <v>644</v>
      </c>
      <c r="E2206" s="7" t="s">
        <v>65</v>
      </c>
      <c r="F2206" s="8" t="str">
        <f ca="1">IFERROR(__xludf.DUMMYFUNCTION("IF
(
C2207=""фізична особа""
,
VLOOKUP(D2207,IMPORTRANGE(""https://docs.google.com/spreadsheets/d/14Bd19lYaqBhU8_DElYkX7l4wRkHqqCUFNJY4AfY3kHU/edit?usp=sharing  #gid=0"",""фіз особи new!relations_name""),6,FALSE)
,
(IF
(
C2207=""юридична особа""
,
VLOOKUP"&amp;"(D2207,IMPORTRANGE(""https://docs.google.com/spreadsheets/d/14Bd19lYaqBhU8_DElYkX7l4wRkHqqCUFNJY4AfY3kHU/edit?usp=sharing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6" s="7" t="s">
        <v>10</v>
      </c>
      <c r="H2206" s="7">
        <v>0</v>
      </c>
      <c r="I2206" s="8" t="str">
        <f ca="1">IFERROR(__xludf.DUMMYFUNCTION("IF
(
G2207=""фізична особа""
,
VLOOKUP(H2207,IMPORTRANGE(""https://docs.google.com/spreadsheets/d/14Bd19lYaqBhU8_DElYkX7l4wRkHqqCUFNJY4AfY3kHU/edit?usp=sharing  #gid=0"",""фіз особи new!relations_name""),6,FALSE)
,
(IF
(
G2207=""юридична особа""
,
VLOOKUP"&amp;"(H2207,IMPORTRANGE(""https://docs.google.com/spreadsheets/d/14Bd19lYaqBhU8_DElYkX7l4wRkHqqCUFNJY4AfY3kHU/edit?usp=sharing  #gid=0"",""фіз особи new!relations_name_uo""),7,FALSE)
,
)
))"),"#N/A")</f>
        <v>#N/A</v>
      </c>
      <c r="J2206" s="7" t="s">
        <v>65</v>
      </c>
    </row>
    <row r="2207" spans="1:10" ht="13.2">
      <c r="A2207" s="7">
        <v>2206</v>
      </c>
      <c r="B2207" s="7">
        <v>1</v>
      </c>
      <c r="C2207" s="7" t="s">
        <v>10</v>
      </c>
      <c r="D2207" s="7">
        <v>644</v>
      </c>
      <c r="E2207" s="7" t="s">
        <v>12</v>
      </c>
      <c r="F2207" s="8" t="str">
        <f ca="1">IFERROR(__xludf.DUMMYFUNCTION("IF
(
C2208=""фізична особа""
,
VLOOKUP(D2208,IMPORTRANGE(""https://docs.google.com/spreadsheets/d/14Bd19lYaqBhU8_DElYkX7l4wRkHqqCUFNJY4AfY3kHU/edit?usp=sharing  #gid=0"",""фіз особи new!relations_name""),6,FALSE)
,
(IF
(
C2208=""юридична особа""
,
VLOOKUP"&amp;"(D2208,IMPORTRANGE(""https://docs.google.com/spreadsheets/d/14Bd19lYaqBhU8_DElYkX7l4wRkHqqCUFNJY4AfY3kHU/edit?usp=sharing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7" s="7" t="s">
        <v>10</v>
      </c>
      <c r="H2207" s="7">
        <v>23432</v>
      </c>
      <c r="I2207" s="8" t="str">
        <f ca="1">IFERROR(__xludf.DUMMYFUNCTION("IF
(
G2208=""фізична особа""
,
VLOOKUP(H2208,IMPORTRANGE(""https://docs.google.com/spreadsheets/d/14Bd19lYaqBhU8_DElYkX7l4wRkHqqCUFNJY4AfY3kHU/edit?usp=sharing  #gid=0"",""фіз особи new!relations_name""),6,FALSE)
,
(IF
(
G2208=""юридична особа""
,
VLOOKUP"&amp;"(H2208,IMPORTRANGE(""https://docs.google.com/spreadsheets/d/14Bd19lYaqBhU8_DElYkX7l4wRkHqqCUFNJY4AfY3kHU/edit?usp=sharing  #gid=0"",""фіз особи new!relations_name_uo""),7,FALSE)
,
)
))"),"РИЖКОВА Марина Миколаївна")</f>
        <v>РИЖКОВА Марина Миколаївна</v>
      </c>
      <c r="J2207" s="7" t="s">
        <v>13</v>
      </c>
    </row>
    <row r="2208" spans="1:10" ht="13.2">
      <c r="A2208" s="7">
        <v>2207</v>
      </c>
      <c r="B2208" s="7">
        <v>1</v>
      </c>
      <c r="C2208" s="7" t="s">
        <v>10</v>
      </c>
      <c r="D2208" s="7">
        <v>644</v>
      </c>
      <c r="E2208" s="7" t="s">
        <v>14</v>
      </c>
      <c r="F2208" s="8" t="str">
        <f ca="1">IFERROR(__xludf.DUMMYFUNCTION("IF
(
C2209=""фізична особа""
,
VLOOKUP(D2209,IMPORTRANGE(""https://docs.google.com/spreadsheets/d/14Bd19lYaqBhU8_DElYkX7l4wRkHqqCUFNJY4AfY3kHU/edit?usp=sharing  #gid=0"",""фіз особи new!relations_name""),6,FALSE)
,
(IF
(
C2209=""юридична особа""
,
VLOOKUP"&amp;"(D2209,IMPORTRANGE(""https://docs.google.com/spreadsheets/d/14Bd19lYaqBhU8_DElYkX7l4wRkHqqCUFNJY4AfY3kHU/edit?usp=sharing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G2208" s="7" t="s">
        <v>10</v>
      </c>
      <c r="H2208" s="7">
        <v>8633</v>
      </c>
      <c r="I2208" s="8" t="str">
        <f ca="1">IFERROR(__xludf.DUMMYFUNCTION("IF
(
G2209=""фізична особа""
,
VLOOKUP(H2209,IMPORTRANGE(""https://docs.google.com/spreadsheets/d/14Bd19lYaqBhU8_DElYkX7l4wRkHqqCUFNJY4AfY3kHU/edit?usp=sharing  #gid=0"",""фіз особи new!relations_name""),6,FALSE)
,
(IF
(
G2209=""юридична особа""
,
VLOOKUP"&amp;"(H2209,IMPORTRANGE(""https://docs.google.com/spreadsheets/d/14Bd19lYaqBhU8_DElYkX7l4wRkHqqCUFNJY4AfY3kHU/edit?usp=sharing  #gid=0"",""фіз особи new!relations_name_uo""),7,FALSE)
,
)
))"),"РИЖКОВА Людмила Сергіївна")</f>
        <v>РИЖКОВА Людмила Сергіївна</v>
      </c>
      <c r="J2208" s="7" t="s">
        <v>15</v>
      </c>
    </row>
    <row r="2209" spans="1:10" ht="13.2">
      <c r="A2209" s="7">
        <v>2208</v>
      </c>
      <c r="B2209" s="7">
        <v>1</v>
      </c>
      <c r="C2209" s="7" t="s">
        <v>10</v>
      </c>
      <c r="D2209" s="7">
        <v>645</v>
      </c>
      <c r="E2209" s="7" t="s">
        <v>14</v>
      </c>
      <c r="F2209" s="8" t="str">
        <f ca="1">IFERROR(__xludf.DUMMYFUNCTION("IF
(
C2210=""фізична особа""
,
VLOOKUP(D2210,IMPORTRANGE(""https://docs.google.com/spreadsheets/d/14Bd19lYaqBhU8_DElYkX7l4wRkHqqCUFNJY4AfY3kHU/edit?usp=sharing  #gid=0"",""фіз особи new!relations_name""),6,FALSE)
,
(IF
(
C2210=""юридична особа""
,
VLOOKUP"&amp;"(D2210,IMPORTRANGE(""https://docs.google.com/spreadsheets/d/14Bd19lYaqBhU8_DElYkX7l4wRkHqqCUFNJY4AfY3kHU/edit?usp=sharing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09" s="7" t="s">
        <v>10</v>
      </c>
      <c r="H2209" s="7">
        <v>0</v>
      </c>
      <c r="I2209" s="8" t="str">
        <f ca="1">IFERROR(__xludf.DUMMYFUNCTION("IF
(
G2210=""фізична особа""
,
VLOOKUP(H2210,IMPORTRANGE(""https://docs.google.com/spreadsheets/d/14Bd19lYaqBhU8_DElYkX7l4wRkHqqCUFNJY4AfY3kHU/edit?usp=sharing  #gid=0"",""фіз особи new!relations_name""),6,FALSE)
,
(IF
(
G2210=""юридична особа""
,
VLOOKUP"&amp;"(H2210,IMPORTRANGE(""https://docs.google.com/spreadsheets/d/14Bd19lYaqBhU8_DElYkX7l4wRkHqqCUFNJY4AfY3kHU/edit?usp=sharing  #gid=0"",""фіз особи new!relations_name_uo""),7,FALSE)
,
)
))"),"#N/A")</f>
        <v>#N/A</v>
      </c>
      <c r="J2209" s="7" t="s">
        <v>15</v>
      </c>
    </row>
    <row r="2210" spans="1:10" ht="13.2">
      <c r="A2210" s="7">
        <v>2209</v>
      </c>
      <c r="B2210" s="7">
        <v>1</v>
      </c>
      <c r="C2210" s="7" t="s">
        <v>10</v>
      </c>
      <c r="D2210" s="7">
        <v>645</v>
      </c>
      <c r="E2210" s="7" t="s">
        <v>12</v>
      </c>
      <c r="F2210" s="8" t="str">
        <f ca="1">IFERROR(__xludf.DUMMYFUNCTION("IF
(
C2211=""фізична особа""
,
VLOOKUP(D2211,IMPORTRANGE(""https://docs.google.com/spreadsheets/d/14Bd19lYaqBhU8_DElYkX7l4wRkHqqCUFNJY4AfY3kHU/edit?usp=sharing  #gid=0"",""фіз особи new!relations_name""),6,FALSE)
,
(IF
(
C2211=""юридична особа""
,
VLOOKUP"&amp;"(D2211,IMPORTRANGE(""https://docs.google.com/spreadsheets/d/14Bd19lYaqBhU8_DElYkX7l4wRkHqqCUFNJY4AfY3kHU/edit?usp=sharing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10" s="7" t="s">
        <v>10</v>
      </c>
      <c r="H2210" s="7">
        <v>0</v>
      </c>
      <c r="I2210" s="8" t="str">
        <f ca="1">IFERROR(__xludf.DUMMYFUNCTION("IF
(
G2211=""фізична особа""
,
VLOOKUP(H2211,IMPORTRANGE(""https://docs.google.com/spreadsheets/d/14Bd19lYaqBhU8_DElYkX7l4wRkHqqCUFNJY4AfY3kHU/edit?usp=sharing  #gid=0"",""фіз особи new!relations_name""),6,FALSE)
,
(IF
(
G2211=""юридична особа""
,
VLOOKUP"&amp;"(H2211,IMPORTRANGE(""https://docs.google.com/spreadsheets/d/14Bd19lYaqBhU8_DElYkX7l4wRkHqqCUFNJY4AfY3kHU/edit?usp=sharing  #gid=0"",""фіз особи new!relations_name_uo""),7,FALSE)
,
)
))"),"#N/A")</f>
        <v>#N/A</v>
      </c>
      <c r="J2210" s="7" t="s">
        <v>13</v>
      </c>
    </row>
    <row r="2211" spans="1:10" ht="13.2">
      <c r="A2211" s="7">
        <v>2210</v>
      </c>
      <c r="B2211" s="7">
        <v>1</v>
      </c>
      <c r="C2211" s="7" t="s">
        <v>10</v>
      </c>
      <c r="D2211" s="7">
        <v>645</v>
      </c>
      <c r="E2211" s="7" t="s">
        <v>12</v>
      </c>
      <c r="F2211" s="8" t="str">
        <f ca="1">IFERROR(__xludf.DUMMYFUNCTION("IF
(
C2212=""фізична особа""
,
VLOOKUP(D2212,IMPORTRANGE(""https://docs.google.com/spreadsheets/d/14Bd19lYaqBhU8_DElYkX7l4wRkHqqCUFNJY4AfY3kHU/edit?usp=sharing  #gid=0"",""фіз особи new!relations_name""),6,FALSE)
,
(IF
(
C2212=""юридична особа""
,
VLOOKUP"&amp;"(D2212,IMPORTRANGE(""https://docs.google.com/spreadsheets/d/14Bd19lYaqBhU8_DElYkX7l4wRkHqqCUFNJY4AfY3kHU/edit?usp=sharing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11" s="7" t="s">
        <v>10</v>
      </c>
      <c r="H2211" s="7">
        <v>2043</v>
      </c>
      <c r="I2211" s="8" t="str">
        <f ca="1">IFERROR(__xludf.DUMMYFUNCTION("IF
(
G2212=""фізична особа""
,
VLOOKUP(H2212,IMPORTRANGE(""https://docs.google.com/spreadsheets/d/14Bd19lYaqBhU8_DElYkX7l4wRkHqqCUFNJY4AfY3kHU/edit?usp=sharing  #gid=0"",""фіз особи new!relations_name""),6,FALSE)
,
(IF
(
G2212=""юридична особа""
,
VLOOKUP"&amp;"(H2212,IMPORTRANGE(""https://docs.google.com/spreadsheets/d/14Bd19lYaqBhU8_DElYkX7l4wRkHqqCUFNJY4AfY3kHU/edit?usp=sharing  #gid=0"",""фіз особи new!relations_name_uo""),7,FALSE)
,
)
))"),"ПОНОМАРЕНКО Микита Олександрович")</f>
        <v>ПОНОМАРЕНКО Микита Олександрович</v>
      </c>
      <c r="J2211" s="7" t="s">
        <v>17</v>
      </c>
    </row>
    <row r="2212" spans="1:10" ht="13.2">
      <c r="A2212" s="7">
        <v>2211</v>
      </c>
      <c r="B2212" s="7">
        <v>1</v>
      </c>
      <c r="C2212" s="7" t="s">
        <v>10</v>
      </c>
      <c r="D2212" s="7">
        <v>645</v>
      </c>
      <c r="E2212" s="7" t="s">
        <v>11</v>
      </c>
      <c r="F2212" s="8" t="str">
        <f ca="1">IFERROR(__xludf.DUMMYFUNCTION("IF
(
C2213=""фізична особа""
,
VLOOKUP(D2213,IMPORTRANGE(""https://docs.google.com/spreadsheets/d/14Bd19lYaqBhU8_DElYkX7l4wRkHqqCUFNJY4AfY3kHU/edit?usp=sharing  #gid=0"",""фіз особи new!relations_name""),6,FALSE)
,
(IF
(
C2213=""юридична особа""
,
VLOOKUP"&amp;"(D2213,IMPORTRANGE(""https://docs.google.com/spreadsheets/d/14Bd19lYaqBhU8_DElYkX7l4wRkHqqCUFNJY4AfY3kHU/edit?usp=sharing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12" s="7" t="s">
        <v>10</v>
      </c>
      <c r="H2212" s="7">
        <v>2068</v>
      </c>
      <c r="I2212" s="8" t="str">
        <f ca="1">IFERROR(__xludf.DUMMYFUNCTION("IF
(
G2213=""фізична особа""
,
VLOOKUP(H2213,IMPORTRANGE(""https://docs.google.com/spreadsheets/d/14Bd19lYaqBhU8_DElYkX7l4wRkHqqCUFNJY4AfY3kHU/edit?usp=sharing  #gid=0"",""фіз особи new!relations_name""),6,FALSE)
,
(IF
(
G2213=""юридична особа""
,
VLOOKUP"&amp;"(H2213,IMPORTRANGE(""https://docs.google.com/spreadsheets/d/14Bd19lYaqBhU8_DElYkX7l4wRkHqqCUFNJY4AfY3kHU/edit?usp=sharing  #gid=0"",""фіз особи new!relations_name_uo""),7,FALSE)
,
)
))"),"СКОРОБОГАТЬКО Олександр Іванович")</f>
        <v>СКОРОБОГАТЬКО Олександр Іванович</v>
      </c>
      <c r="J2212" s="7" t="s">
        <v>11</v>
      </c>
    </row>
    <row r="2213" spans="1:10" ht="13.2">
      <c r="A2213" s="7">
        <v>2212</v>
      </c>
      <c r="B2213" s="7">
        <v>1</v>
      </c>
      <c r="C2213" s="7" t="s">
        <v>10</v>
      </c>
      <c r="D2213" s="7">
        <v>645</v>
      </c>
      <c r="E2213" s="7" t="s">
        <v>11</v>
      </c>
      <c r="F2213" s="8" t="str">
        <f ca="1">IFERROR(__xludf.DUMMYFUNCTION("IF
(
C2214=""фізична особа""
,
VLOOKUP(D2214,IMPORTRANGE(""https://docs.google.com/spreadsheets/d/14Bd19lYaqBhU8_DElYkX7l4wRkHqqCUFNJY4AfY3kHU/edit?usp=sharing  #gid=0"",""фіз особи new!relations_name""),6,FALSE)
,
(IF
(
C2214=""юридична особа""
,
VLOOKUP"&amp;"(D2214,IMPORTRANGE(""https://docs.google.com/spreadsheets/d/14Bd19lYaqBhU8_DElYkX7l4wRkHqqCUFNJY4AfY3kHU/edit?usp=sharing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13" s="7" t="s">
        <v>10</v>
      </c>
      <c r="H2213" s="7">
        <v>629</v>
      </c>
      <c r="I2213" s="8" t="str">
        <f ca="1">IFERROR(__xludf.DUMMYFUNCTION("IF
(
G2214=""фізична особа""
,
VLOOKUP(H2214,IMPORTRANGE(""https://docs.google.com/spreadsheets/d/14Bd19lYaqBhU8_DElYkX7l4wRkHqqCUFNJY4AfY3kHU/edit?usp=sharing  #gid=0"",""фіз особи new!relations_name""),6,FALSE)
,
(IF
(
G2214=""юридична особа""
,
VLOOKUP"&amp;"(H2214,IMPORTRANGE(""https://docs.google.com/spreadsheets/d/14Bd19lYaqBhU8_DElYkX7l4wRkHqqCUFNJY4AfY3kHU/edit?usp=sharing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2213" s="7" t="s">
        <v>11</v>
      </c>
    </row>
    <row r="2214" spans="1:10" ht="13.2">
      <c r="A2214" s="7">
        <v>2213</v>
      </c>
      <c r="B2214" s="7">
        <v>1</v>
      </c>
      <c r="C2214" s="7" t="s">
        <v>10</v>
      </c>
      <c r="D2214" s="7">
        <v>645</v>
      </c>
      <c r="E2214" s="7" t="s">
        <v>11</v>
      </c>
      <c r="F2214" s="8" t="str">
        <f ca="1">IFERROR(__xludf.DUMMYFUNCTION("IF
(
C2215=""фізична особа""
,
VLOOKUP(D2215,IMPORTRANGE(""https://docs.google.com/spreadsheets/d/14Bd19lYaqBhU8_DElYkX7l4wRkHqqCUFNJY4AfY3kHU/edit?usp=sharing  #gid=0"",""фіз особи new!relations_name""),6,FALSE)
,
(IF
(
C2215=""юридична особа""
,
VLOOKUP"&amp;"(D2215,IMPORTRANGE(""https://docs.google.com/spreadsheets/d/14Bd19lYaqBhU8_DElYkX7l4wRkHqqCUFNJY4AfY3kHU/edit?usp=sharing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G2214" s="7" t="s">
        <v>10</v>
      </c>
      <c r="H2214" s="7">
        <v>4558</v>
      </c>
      <c r="I2214" s="8" t="str">
        <f ca="1">IFERROR(__xludf.DUMMYFUNCTION("IF
(
G2215=""фізична особа""
,
VLOOKUP(H2215,IMPORTRANGE(""https://docs.google.com/spreadsheets/d/14Bd19lYaqBhU8_DElYkX7l4wRkHqqCUFNJY4AfY3kHU/edit?usp=sharing  #gid=0"",""фіз особи new!relations_name""),6,FALSE)
,
(IF
(
G2215=""юридична особа""
,
VLOOKUP"&amp;"(H2215,IMPORTRANGE(""https://docs.google.com/spreadsheets/d/14Bd19lYaqBhU8_DElYkX7l4wRkHqqCUFNJY4AfY3kHU/edit?usp=sharing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2214" s="7" t="s">
        <v>11</v>
      </c>
    </row>
    <row r="2215" spans="1:10" ht="13.2">
      <c r="A2215" s="7">
        <v>2214</v>
      </c>
      <c r="B2215" s="7">
        <v>1</v>
      </c>
      <c r="C2215" s="7" t="s">
        <v>10</v>
      </c>
      <c r="D2215" s="7">
        <v>646</v>
      </c>
      <c r="E2215" s="7" t="s">
        <v>28</v>
      </c>
      <c r="F2215" s="8" t="str">
        <f ca="1">IFERROR(__xludf.DUMMYFUNCTION("IF
(
C2216=""фізична особа""
,
VLOOKUP(D2216,IMPORTRANGE(""https://docs.google.com/spreadsheets/d/14Bd19lYaqBhU8_DElYkX7l4wRkHqqCUFNJY4AfY3kHU/edit?usp=sharing  #gid=0"",""фіз особи new!relations_name""),6,FALSE)
,
(IF
(
C2216=""юридична особа""
,
VLOOKUP"&amp;"(D2216,IMPORTRANGE(""https://docs.google.com/spreadsheets/d/14Bd19lYaqBhU8_DElYkX7l4wRkHqqCUFNJY4AfY3kHU/edit?usp=sharing  #gid=0"",""фіз особи new!relations_name_uo""),7,FALSE)
,
)
))"),"САЄНКО Сергій Іванович")</f>
        <v>САЄНКО Сергій Іванович</v>
      </c>
      <c r="G2215" s="7" t="s">
        <v>10</v>
      </c>
      <c r="H2215" s="7">
        <v>415</v>
      </c>
      <c r="I2215" s="8" t="str">
        <f ca="1">IFERROR(__xludf.DUMMYFUNCTION("IF
(
G2216=""фізична особа""
,
VLOOKUP(H2216,IMPORTRANGE(""https://docs.google.com/spreadsheets/d/14Bd19lYaqBhU8_DElYkX7l4wRkHqqCUFNJY4AfY3kHU/edit?usp=sharing  #gid=0"",""фіз особи new!relations_name""),6,FALSE)
,
(IF
(
G2216=""юридична особа""
,
VLOOKUP"&amp;"(H2216,IMPORTRANGE(""https://docs.google.com/spreadsheets/d/14Bd19lYaqBhU8_DElYkX7l4wRkHqqCUFNJY4AfY3kHU/edit?usp=sharing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J2215" s="7" t="s">
        <v>29</v>
      </c>
    </row>
    <row r="2216" spans="1:10" ht="13.2">
      <c r="A2216" s="7">
        <v>2215</v>
      </c>
      <c r="B2216" s="7">
        <v>1</v>
      </c>
      <c r="C2216" s="7" t="s">
        <v>10</v>
      </c>
      <c r="D2216" s="7">
        <v>647</v>
      </c>
      <c r="E2216" s="7" t="s">
        <v>17</v>
      </c>
      <c r="F2216" s="8" t="str">
        <f ca="1">IFERROR(__xludf.DUMMYFUNCTION("IF
(
C2217=""фізична особа""
,
VLOOKUP(D2217,IMPORTRANGE(""https://docs.google.com/spreadsheets/d/14Bd19lYaqBhU8_DElYkX7l4wRkHqqCUFNJY4AfY3kHU/edit?usp=sharing  #gid=0"",""фіз особи new!relations_name""),6,FALSE)
,
(IF
(
C2217=""юридична особа""
,
VLOOKUP"&amp;"(D2217,IMPORTRANGE(""https://docs.google.com/spreadsheets/d/14Bd19lYaqBhU8_DElYkX7l4wRkHqqCUFNJY4AfY3kHU/edit?usp=sharing  #gid=0"",""фіз особи new!relations_name_uo""),7,FALSE)
,
)
))"),"ТАРБАЄВ Сангаджі Андрійович")</f>
        <v>ТАРБАЄВ Сангаджі Андрійович</v>
      </c>
      <c r="G2216" s="7" t="s">
        <v>10</v>
      </c>
      <c r="H2216" s="7">
        <v>0</v>
      </c>
      <c r="I2216" s="8" t="str">
        <f ca="1">IFERROR(__xludf.DUMMYFUNCTION("IF
(
G2217=""фізична особа""
,
VLOOKUP(H2217,IMPORTRANGE(""https://docs.google.com/spreadsheets/d/14Bd19lYaqBhU8_DElYkX7l4wRkHqqCUFNJY4AfY3kHU/edit?usp=sharing  #gid=0"",""фіз особи new!relations_name""),6,FALSE)
,
(IF
(
G2217=""юридична особа""
,
VLOOKUP"&amp;"(H2217,IMPORTRANGE(""https://docs.google.com/spreadsheets/d/14Bd19lYaqBhU8_DElYkX7l4wRkHqqCUFNJY4AfY3kHU/edit?usp=sharing  #gid=0"",""фіз особи new!relations_name_uo""),7,FALSE)
,
)
))"),"#N/A")</f>
        <v>#N/A</v>
      </c>
      <c r="J2216" s="7" t="s">
        <v>12</v>
      </c>
    </row>
    <row r="2217" spans="1:10" ht="13.2">
      <c r="A2217" s="7">
        <v>2216</v>
      </c>
      <c r="B2217" s="7">
        <v>1</v>
      </c>
      <c r="C2217" s="7" t="s">
        <v>10</v>
      </c>
      <c r="D2217" s="7">
        <v>647</v>
      </c>
      <c r="E2217" s="7" t="s">
        <v>17</v>
      </c>
      <c r="F2217" s="8" t="str">
        <f ca="1">IFERROR(__xludf.DUMMYFUNCTION("IF
(
C2218=""фізична особа""
,
VLOOKUP(D2218,IMPORTRANGE(""https://docs.google.com/spreadsheets/d/14Bd19lYaqBhU8_DElYkX7l4wRkHqqCUFNJY4AfY3kHU/edit?usp=sharing  #gid=0"",""фіз особи new!relations_name""),6,FALSE)
,
(IF
(
C2218=""юридична особа""
,
VLOOKUP"&amp;"(D2218,IMPORTRANGE(""https://docs.google.com/spreadsheets/d/14Bd19lYaqBhU8_DElYkX7l4wRkHqqCUFNJY4AfY3kHU/edit?usp=sharing  #gid=0"",""фіз особи new!relations_name_uo""),7,FALSE)
,
)
))"),"ТАРБАЄВ Сангаджі Андрійович")</f>
        <v>ТАРБАЄВ Сангаджі Андрійович</v>
      </c>
      <c r="G2217" s="7" t="s">
        <v>10</v>
      </c>
      <c r="H2217" s="7">
        <v>0</v>
      </c>
      <c r="I2217" s="8" t="str">
        <f ca="1">IFERROR(__xludf.DUMMYFUNCTION("IF
(
G2218=""фізична особа""
,
VLOOKUP(H2218,IMPORTRANGE(""https://docs.google.com/spreadsheets/d/14Bd19lYaqBhU8_DElYkX7l4wRkHqqCUFNJY4AfY3kHU/edit?usp=sharing  #gid=0"",""фіз особи new!relations_name""),6,FALSE)
,
(IF
(
G2218=""юридична особа""
,
VLOOKUP"&amp;"(H2218,IMPORTRANGE(""https://docs.google.com/spreadsheets/d/14Bd19lYaqBhU8_DElYkX7l4wRkHqqCUFNJY4AfY3kHU/edit?usp=sharing  #gid=0"",""фіз особи new!relations_name_uo""),7,FALSE)
,
)
))"),"#N/A")</f>
        <v>#N/A</v>
      </c>
      <c r="J2217" s="7" t="s">
        <v>21</v>
      </c>
    </row>
    <row r="2218" spans="1:10" ht="13.2">
      <c r="A2218" s="7">
        <v>2217</v>
      </c>
      <c r="B2218" s="7">
        <v>1</v>
      </c>
      <c r="C2218" s="7" t="s">
        <v>10</v>
      </c>
      <c r="D2218" s="7">
        <v>647</v>
      </c>
      <c r="E2218" s="7" t="s">
        <v>14</v>
      </c>
      <c r="F2218" s="8" t="str">
        <f ca="1">IFERROR(__xludf.DUMMYFUNCTION("IF
(
C2219=""фізична особа""
,
VLOOKUP(D2219,IMPORTRANGE(""https://docs.google.com/spreadsheets/d/14Bd19lYaqBhU8_DElYkX7l4wRkHqqCUFNJY4AfY3kHU/edit?usp=sharing  #gid=0"",""фіз особи new!relations_name""),6,FALSE)
,
(IF
(
C2219=""юридична особа""
,
VLOOKUP"&amp;"(D2219,IMPORTRANGE(""https://docs.google.com/spreadsheets/d/14Bd19lYaqBhU8_DElYkX7l4wRkHqqCUFNJY4AfY3kHU/edit?usp=sharing  #gid=0"",""фіз особи new!relations_name_uo""),7,FALSE)
,
)
))"),"ТАРБАЄВ Сангаджі Андрійович")</f>
        <v>ТАРБАЄВ Сангаджі Андрійович</v>
      </c>
      <c r="G2218" s="7" t="s">
        <v>10</v>
      </c>
      <c r="H2218" s="7">
        <v>0</v>
      </c>
      <c r="I2218" s="8" t="str">
        <f ca="1">IFERROR(__xludf.DUMMYFUNCTION("IF
(
G2219=""фізична особа""
,
VLOOKUP(H2219,IMPORTRANGE(""https://docs.google.com/spreadsheets/d/14Bd19lYaqBhU8_DElYkX7l4wRkHqqCUFNJY4AfY3kHU/edit?usp=sharing  #gid=0"",""фіз особи new!relations_name""),6,FALSE)
,
(IF
(
G2219=""юридична особа""
,
VLOOKUP"&amp;"(H2219,IMPORTRANGE(""https://docs.google.com/spreadsheets/d/14Bd19lYaqBhU8_DElYkX7l4wRkHqqCUFNJY4AfY3kHU/edit?usp=sharing  #gid=0"",""фіз особи new!relations_name_uo""),7,FALSE)
,
)
))"),"#N/A")</f>
        <v>#N/A</v>
      </c>
      <c r="J2218" s="7" t="s">
        <v>15</v>
      </c>
    </row>
    <row r="2219" spans="1:10" ht="13.2">
      <c r="A2219" s="7">
        <v>2218</v>
      </c>
      <c r="B2219" s="7">
        <v>1</v>
      </c>
      <c r="C2219" s="7" t="s">
        <v>10</v>
      </c>
      <c r="D2219" s="7">
        <v>647</v>
      </c>
      <c r="E2219" s="7" t="s">
        <v>12</v>
      </c>
      <c r="F2219" s="8" t="str">
        <f ca="1">IFERROR(__xludf.DUMMYFUNCTION("IF
(
C2220=""фізична особа""
,
VLOOKUP(D2220,IMPORTRANGE(""https://docs.google.com/spreadsheets/d/14Bd19lYaqBhU8_DElYkX7l4wRkHqqCUFNJY4AfY3kHU/edit?usp=sharing  #gid=0"",""фіз особи new!relations_name""),6,FALSE)
,
(IF
(
C2220=""юридична особа""
,
VLOOKUP"&amp;"(D2220,IMPORTRANGE(""https://docs.google.com/spreadsheets/d/14Bd19lYaqBhU8_DElYkX7l4wRkHqqCUFNJY4AfY3kHU/edit?usp=sharing  #gid=0"",""фіз особи new!relations_name_uo""),7,FALSE)
,
)
))"),"ТАРБАЄВ Сангаджі Андрійович")</f>
        <v>ТАРБАЄВ Сангаджі Андрійович</v>
      </c>
      <c r="G2219" s="7" t="s">
        <v>10</v>
      </c>
      <c r="H2219" s="7">
        <v>0</v>
      </c>
      <c r="I2219" s="8" t="str">
        <f ca="1">IFERROR(__xludf.DUMMYFUNCTION("IF
(
G2220=""фізична особа""
,
VLOOKUP(H2220,IMPORTRANGE(""https://docs.google.com/spreadsheets/d/14Bd19lYaqBhU8_DElYkX7l4wRkHqqCUFNJY4AfY3kHU/edit?usp=sharing  #gid=0"",""фіз особи new!relations_name""),6,FALSE)
,
(IF
(
G2220=""юридична особа""
,
VLOOKUP"&amp;"(H2220,IMPORTRANGE(""https://docs.google.com/spreadsheets/d/14Bd19lYaqBhU8_DElYkX7l4wRkHqqCUFNJY4AfY3kHU/edit?usp=sharing  #gid=0"",""фіз особи new!relations_name_uo""),7,FALSE)
,
)
))"),"#N/A")</f>
        <v>#N/A</v>
      </c>
      <c r="J2219" s="7" t="s">
        <v>17</v>
      </c>
    </row>
    <row r="2220" spans="1:10" ht="13.2">
      <c r="A2220" s="7">
        <v>2219</v>
      </c>
      <c r="B2220" s="7">
        <v>1</v>
      </c>
      <c r="C2220" s="7" t="s">
        <v>10</v>
      </c>
      <c r="D2220" s="7">
        <v>647</v>
      </c>
      <c r="E2220" s="7" t="s">
        <v>12</v>
      </c>
      <c r="F2220" s="8" t="str">
        <f ca="1">IFERROR(__xludf.DUMMYFUNCTION("IF
(
C2221=""фізична особа""
,
VLOOKUP(D2221,IMPORTRANGE(""https://docs.google.com/spreadsheets/d/14Bd19lYaqBhU8_DElYkX7l4wRkHqqCUFNJY4AfY3kHU/edit?usp=sharing  #gid=0"",""фіз особи new!relations_name""),6,FALSE)
,
(IF
(
C2221=""юридична особа""
,
VLOOKUP"&amp;"(D2221,IMPORTRANGE(""https://docs.google.com/spreadsheets/d/14Bd19lYaqBhU8_DElYkX7l4wRkHqqCUFNJY4AfY3kHU/edit?usp=sharing  #gid=0"",""фіз особи new!relations_name_uo""),7,FALSE)
,
)
))"),"ТАРБАЄВ Сангаджі Андрійович")</f>
        <v>ТАРБАЄВ Сангаджі Андрійович</v>
      </c>
      <c r="G2220" s="7" t="s">
        <v>10</v>
      </c>
      <c r="H2220" s="7">
        <v>0</v>
      </c>
      <c r="I2220" s="8" t="str">
        <f ca="1">IFERROR(__xludf.DUMMYFUNCTION("IF
(
G2221=""фізична особа""
,
VLOOKUP(H2221,IMPORTRANGE(""https://docs.google.com/spreadsheets/d/14Bd19lYaqBhU8_DElYkX7l4wRkHqqCUFNJY4AfY3kHU/edit?usp=sharing  #gid=0"",""фіз особи new!relations_name""),6,FALSE)
,
(IF
(
G2221=""юридична особа""
,
VLOOKUP"&amp;"(H2221,IMPORTRANGE(""https://docs.google.com/spreadsheets/d/14Bd19lYaqBhU8_DElYkX7l4wRkHqqCUFNJY4AfY3kHU/edit?usp=sharing  #gid=0"",""фіз особи new!relations_name_uo""),7,FALSE)
,
)
))"),"#N/A")</f>
        <v>#N/A</v>
      </c>
      <c r="J2220" s="7" t="s">
        <v>17</v>
      </c>
    </row>
    <row r="2221" spans="1:10" ht="13.2">
      <c r="A2221" s="7">
        <v>2220</v>
      </c>
      <c r="B2221" s="7">
        <v>1</v>
      </c>
      <c r="C2221" s="7" t="s">
        <v>10</v>
      </c>
      <c r="D2221" s="7">
        <v>648</v>
      </c>
      <c r="E2221" s="7" t="s">
        <v>12</v>
      </c>
      <c r="F2221" s="8" t="str">
        <f ca="1">IFERROR(__xludf.DUMMYFUNCTION("IF
(
C2222=""фізична особа""
,
VLOOKUP(D2222,IMPORTRANGE(""https://docs.google.com/spreadsheets/d/14Bd19lYaqBhU8_DElYkX7l4wRkHqqCUFNJY4AfY3kHU/edit?usp=sharing  #gid=0"",""фіз особи new!relations_name""),6,FALSE)
,
(IF
(
C2222=""юридична особа""
,
VLOOKUP"&amp;"(D2222,IMPORTRANGE(""https://docs.google.com/spreadsheets/d/14Bd19lYaqBhU8_DElYkX7l4wRkHqqCUFNJY4AfY3kHU/edit?usp=sharing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G2221" s="7" t="s">
        <v>10</v>
      </c>
      <c r="H2221" s="7">
        <v>0</v>
      </c>
      <c r="I2221" s="8" t="str">
        <f ca="1">IFERROR(__xludf.DUMMYFUNCTION("IF
(
G2222=""фізична особа""
,
VLOOKUP(H2222,IMPORTRANGE(""https://docs.google.com/spreadsheets/d/14Bd19lYaqBhU8_DElYkX7l4wRkHqqCUFNJY4AfY3kHU/edit?usp=sharing  #gid=0"",""фіз особи new!relations_name""),6,FALSE)
,
(IF
(
G2222=""юридична особа""
,
VLOOKUP"&amp;"(H2222,IMPORTRANGE(""https://docs.google.com/spreadsheets/d/14Bd19lYaqBhU8_DElYkX7l4wRkHqqCUFNJY4AfY3kHU/edit?usp=sharing  #gid=0"",""фіз особи new!relations_name_uo""),7,FALSE)
,
)
))"),"#N/A")</f>
        <v>#N/A</v>
      </c>
      <c r="J2221" s="7" t="s">
        <v>17</v>
      </c>
    </row>
    <row r="2222" spans="1:10" ht="13.2">
      <c r="A2222" s="7">
        <v>2221</v>
      </c>
      <c r="B2222" s="7">
        <v>1</v>
      </c>
      <c r="C2222" s="7" t="s">
        <v>10</v>
      </c>
      <c r="D2222" s="7">
        <v>648</v>
      </c>
      <c r="E2222" s="7" t="s">
        <v>14</v>
      </c>
      <c r="F2222" s="8" t="str">
        <f ca="1">IFERROR(__xludf.DUMMYFUNCTION("IF
(
C2223=""фізична особа""
,
VLOOKUP(D2223,IMPORTRANGE(""https://docs.google.com/spreadsheets/d/14Bd19lYaqBhU8_DElYkX7l4wRkHqqCUFNJY4AfY3kHU/edit?usp=sharing  #gid=0"",""фіз особи new!relations_name""),6,FALSE)
,
(IF
(
C2223=""юридична особа""
,
VLOOKUP"&amp;"(D2223,IMPORTRANGE(""https://docs.google.com/spreadsheets/d/14Bd19lYaqBhU8_DElYkX7l4wRkHqqCUFNJY4AfY3kHU/edit?usp=sharing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G2222" s="7" t="s">
        <v>10</v>
      </c>
      <c r="H2222" s="7">
        <v>0</v>
      </c>
      <c r="I2222" s="8" t="str">
        <f ca="1">IFERROR(__xludf.DUMMYFUNCTION("IF
(
G2223=""фізична особа""
,
VLOOKUP(H2223,IMPORTRANGE(""https://docs.google.com/spreadsheets/d/14Bd19lYaqBhU8_DElYkX7l4wRkHqqCUFNJY4AfY3kHU/edit?usp=sharing  #gid=0"",""фіз особи new!relations_name""),6,FALSE)
,
(IF
(
G2223=""юридична особа""
,
VLOOKUP"&amp;"(H2223,IMPORTRANGE(""https://docs.google.com/spreadsheets/d/14Bd19lYaqBhU8_DElYkX7l4wRkHqqCUFNJY4AfY3kHU/edit?usp=sharing  #gid=0"",""фіз особи new!relations_name_uo""),7,FALSE)
,
)
))"),"#N/A")</f>
        <v>#N/A</v>
      </c>
      <c r="J2222" s="7" t="s">
        <v>15</v>
      </c>
    </row>
    <row r="2223" spans="1:10" ht="13.2">
      <c r="A2223" s="7">
        <v>2222</v>
      </c>
      <c r="B2223" s="7">
        <v>1</v>
      </c>
      <c r="C2223" s="7" t="s">
        <v>10</v>
      </c>
      <c r="D2223" s="7">
        <v>648</v>
      </c>
      <c r="E2223" s="7" t="s">
        <v>12</v>
      </c>
      <c r="F2223" s="8" t="str">
        <f ca="1">IFERROR(__xludf.DUMMYFUNCTION("IF
(
C2224=""фізична особа""
,
VLOOKUP(D2224,IMPORTRANGE(""https://docs.google.com/spreadsheets/d/14Bd19lYaqBhU8_DElYkX7l4wRkHqqCUFNJY4AfY3kHU/edit?usp=sharing  #gid=0"",""фіз особи new!relations_name""),6,FALSE)
,
(IF
(
C2224=""юридична особа""
,
VLOOKUP"&amp;"(D2224,IMPORTRANGE(""https://docs.google.com/spreadsheets/d/14Bd19lYaqBhU8_DElYkX7l4wRkHqqCUFNJY4AfY3kHU/edit?usp=sharing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G2223" s="7" t="s">
        <v>10</v>
      </c>
      <c r="H2223" s="7">
        <v>0</v>
      </c>
      <c r="I2223" s="8" t="str">
        <f ca="1">IFERROR(__xludf.DUMMYFUNCTION("IF
(
G2224=""фізична особа""
,
VLOOKUP(H2224,IMPORTRANGE(""https://docs.google.com/spreadsheets/d/14Bd19lYaqBhU8_DElYkX7l4wRkHqqCUFNJY4AfY3kHU/edit?usp=sharing  #gid=0"",""фіз особи new!relations_name""),6,FALSE)
,
(IF
(
G2224=""юридична особа""
,
VLOOKUP"&amp;"(H2224,IMPORTRANGE(""https://docs.google.com/spreadsheets/d/14Bd19lYaqBhU8_DElYkX7l4wRkHqqCUFNJY4AfY3kHU/edit?usp=sharing  #gid=0"",""фіз особи new!relations_name_uo""),7,FALSE)
,
)
))"),"#N/A")</f>
        <v>#N/A</v>
      </c>
      <c r="J2223" s="7" t="s">
        <v>13</v>
      </c>
    </row>
    <row r="2224" spans="1:10" ht="13.2">
      <c r="A2224" s="7">
        <v>2223</v>
      </c>
      <c r="B2224" s="7">
        <v>1</v>
      </c>
      <c r="C2224" s="7" t="s">
        <v>10</v>
      </c>
      <c r="D2224" s="7">
        <v>648</v>
      </c>
      <c r="E2224" s="7" t="s">
        <v>40</v>
      </c>
      <c r="F2224" s="8" t="str">
        <f ca="1">IFERROR(__xludf.DUMMYFUNCTION("IF
(
C2225=""фізична особа""
,
VLOOKUP(D2225,IMPORTRANGE(""https://docs.google.com/spreadsheets/d/14Bd19lYaqBhU8_DElYkX7l4wRkHqqCUFNJY4AfY3kHU/edit?usp=sharing  #gid=0"",""фіз особи new!relations_name""),6,FALSE)
,
(IF
(
C2225=""юридична особа""
,
VLOOKUP"&amp;"(D2225,IMPORTRANGE(""https://docs.google.com/spreadsheets/d/14Bd19lYaqBhU8_DElYkX7l4wRkHqqCUFNJY4AfY3kHU/edit?usp=sharing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G2224" s="7" t="s">
        <v>10</v>
      </c>
      <c r="H2224" s="7">
        <v>1182</v>
      </c>
      <c r="I2224" s="8" t="str">
        <f ca="1">IFERROR(__xludf.DUMMYFUNCTION("IF
(
G2225=""фізична особа""
,
VLOOKUP(H2225,IMPORTRANGE(""https://docs.google.com/spreadsheets/d/14Bd19lYaqBhU8_DElYkX7l4wRkHqqCUFNJY4AfY3kHU/edit?usp=sharing  #gid=0"",""фіз особи new!relations_name""),6,FALSE)
,
(IF
(
G2225=""юридична особа""
,
VLOOKUP"&amp;"(H2225,IMPORTRANGE(""https://docs.google.com/spreadsheets/d/14Bd19lYaqBhU8_DElYkX7l4wRkHqqCUFNJY4AfY3kHU/edit?usp=sharing  #gid=0"",""фіз особи new!relations_name_uo""),7,FALSE)
,
)
))"),"АЛЬОШИН Олексій Владиславович")</f>
        <v>АЛЬОШИН Олексій Владиславович</v>
      </c>
      <c r="J2224" s="7" t="s">
        <v>41</v>
      </c>
    </row>
    <row r="2225" spans="1:10" ht="13.2">
      <c r="A2225" s="7">
        <v>2224</v>
      </c>
      <c r="B2225" s="7">
        <v>1</v>
      </c>
      <c r="C2225" s="7" t="s">
        <v>10</v>
      </c>
      <c r="D2225" s="7">
        <v>649</v>
      </c>
      <c r="E2225" s="7" t="s">
        <v>15</v>
      </c>
      <c r="F2225" s="8" t="str">
        <f ca="1">IFERROR(__xludf.DUMMYFUNCTION("IF
(
C2226=""фізична особа""
,
VLOOKUP(D2226,IMPORTRANGE(""https://docs.google.com/spreadsheets/d/14Bd19lYaqBhU8_DElYkX7l4wRkHqqCUFNJY4AfY3kHU/edit?usp=sharing  #gid=0"",""фіз особи new!relations_name""),6,FALSE)
,
(IF
(
C2226=""юридична особа""
,
VLOOKUP"&amp;"(D2226,IMPORTRANGE(""https://docs.google.com/spreadsheets/d/14Bd19lYaqBhU8_DElYkX7l4wRkHqqCUFNJY4AfY3kHU/edit?usp=sharing  #gid=0"",""фіз особи new!relations_name_uo""),7,FALSE)
,
)
))"),"АВКСЕНТЬЄВА Сардана Володимирівна")</f>
        <v>АВКСЕНТЬЄВА Сардана Володимирівна</v>
      </c>
      <c r="G2225" s="7" t="s">
        <v>10</v>
      </c>
      <c r="H2225" s="7">
        <v>0</v>
      </c>
      <c r="I2225" s="8" t="str">
        <f ca="1">IFERROR(__xludf.DUMMYFUNCTION("IF
(
G2226=""фізична особа""
,
VLOOKUP(H2226,IMPORTRANGE(""https://docs.google.com/spreadsheets/d/14Bd19lYaqBhU8_DElYkX7l4wRkHqqCUFNJY4AfY3kHU/edit?usp=sharing  #gid=0"",""фіз особи new!relations_name""),6,FALSE)
,
(IF
(
G2226=""юридична особа""
,
VLOOKUP"&amp;"(H2226,IMPORTRANGE(""https://docs.google.com/spreadsheets/d/14Bd19lYaqBhU8_DElYkX7l4wRkHqqCUFNJY4AfY3kHU/edit?usp=sharing  #gid=0"",""фіз особи new!relations_name_uo""),7,FALSE)
,
)
))"),"#N/A")</f>
        <v>#N/A</v>
      </c>
      <c r="J2225" s="7" t="s">
        <v>14</v>
      </c>
    </row>
    <row r="2226" spans="1:10" ht="13.2">
      <c r="A2226" s="7">
        <v>2225</v>
      </c>
      <c r="B2226" s="7">
        <v>1</v>
      </c>
      <c r="C2226" s="7" t="s">
        <v>10</v>
      </c>
      <c r="D2226" s="7">
        <v>649</v>
      </c>
      <c r="E2226" s="7" t="s">
        <v>48</v>
      </c>
      <c r="F2226" s="8" t="str">
        <f ca="1">IFERROR(__xludf.DUMMYFUNCTION("IF
(
C2227=""фізична особа""
,
VLOOKUP(D2227,IMPORTRANGE(""https://docs.google.com/spreadsheets/d/14Bd19lYaqBhU8_DElYkX7l4wRkHqqCUFNJY4AfY3kHU/edit?usp=sharing  #gid=0"",""фіз особи new!relations_name""),6,FALSE)
,
(IF
(
C2227=""юридична особа""
,
VLOOKUP"&amp;"(D2227,IMPORTRANGE(""https://docs.google.com/spreadsheets/d/14Bd19lYaqBhU8_DElYkX7l4wRkHqqCUFNJY4AfY3kHU/edit?usp=sharing  #gid=0"",""фіз особи new!relations_name_uo""),7,FALSE)
,
)
))"),"АВКСЕНТЬЄВА Сардана Володимирівна")</f>
        <v>АВКСЕНТЬЄВА Сардана Володимирівна</v>
      </c>
      <c r="G2226" s="7" t="s">
        <v>10</v>
      </c>
      <c r="H2226" s="7">
        <v>7</v>
      </c>
      <c r="I2226" s="8" t="str">
        <f ca="1">IFERROR(__xludf.DUMMYFUNCTION("IF
(
G2227=""фізична особа""
,
VLOOKUP(H2227,IMPORTRANGE(""https://docs.google.com/spreadsheets/d/14Bd19lYaqBhU8_DElYkX7l4wRkHqqCUFNJY4AfY3kHU/edit?usp=sharing  #gid=0"",""фіз особи new!relations_name""),6,FALSE)
,
(IF
(
G2227=""юридична особа""
,
VLOOKUP"&amp;"(H2227,IMPORTRANGE(""https://docs.google.com/spreadsheets/d/14Bd19lYaqBhU8_DElYkX7l4wRkHqqCUFNJY4AfY3kHU/edit?usp=sharing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2226" s="7" t="s">
        <v>48</v>
      </c>
    </row>
    <row r="2227" spans="1:10" ht="13.2">
      <c r="A2227" s="7">
        <v>2226</v>
      </c>
      <c r="B2227" s="7">
        <v>1</v>
      </c>
      <c r="C2227" s="7" t="s">
        <v>10</v>
      </c>
      <c r="D2227" s="7">
        <v>650</v>
      </c>
      <c r="E2227" s="7" t="s">
        <v>14</v>
      </c>
      <c r="F2227" s="8" t="str">
        <f ca="1">IFERROR(__xludf.DUMMYFUNCTION("IF
(
C2228=""фізична особа""
,
VLOOKUP(D2228,IMPORTRANGE(""https://docs.google.com/spreadsheets/d/14Bd19lYaqBhU8_DElYkX7l4wRkHqqCUFNJY4AfY3kHU/edit?usp=sharing  #gid=0"",""фіз особи new!relations_name""),6,FALSE)
,
(IF
(
C2228=""юридична особа""
,
VLOOKUP"&amp;"(D2228,IMPORTRANGE(""https://docs.google.com/spreadsheets/d/14Bd19lYaqBhU8_DElYkX7l4wRkHqqCUFNJY4AfY3kHU/edit?usp=sharing  #gid=0"",""фіз особи new!relations_name_uo""),7,FALSE)
,
)
))"),"САВЕЛЬЄВ Дмитро Володимирович")</f>
        <v>САВЕЛЬЄВ Дмитро Володимирович</v>
      </c>
      <c r="G2227" s="7" t="s">
        <v>10</v>
      </c>
      <c r="H2227" s="7">
        <v>8634</v>
      </c>
      <c r="I2227" s="8" t="str">
        <f ca="1">IFERROR(__xludf.DUMMYFUNCTION("IF
(
G2228=""фізична особа""
,
VLOOKUP(H2228,IMPORTRANGE(""https://docs.google.com/spreadsheets/d/14Bd19lYaqBhU8_DElYkX7l4wRkHqqCUFNJY4AfY3kHU/edit?usp=sharing  #gid=0"",""фіз особи new!relations_name""),6,FALSE)
,
(IF
(
G2228=""юридична особа""
,
VLOOKUP"&amp;"(H2228,IMPORTRANGE(""https://docs.google.com/spreadsheets/d/14Bd19lYaqBhU8_DElYkX7l4wRkHqqCUFNJY4AfY3kHU/edit?usp=sharing  #gid=0"",""фіз особи new!relations_name_uo""),7,FALSE)
,
)
))"),"САВЕЛЬЄВА Ольга Володимирівна")</f>
        <v>САВЕЛЬЄВА Ольга Володимирівна</v>
      </c>
      <c r="J2227" s="7" t="s">
        <v>15</v>
      </c>
    </row>
    <row r="2228" spans="1:10" ht="13.2">
      <c r="A2228" s="7">
        <v>2227</v>
      </c>
      <c r="B2228" s="7">
        <v>1</v>
      </c>
      <c r="C2228" s="7" t="s">
        <v>10</v>
      </c>
      <c r="D2228" s="7">
        <v>650</v>
      </c>
      <c r="E2228" s="7" t="s">
        <v>17</v>
      </c>
      <c r="F2228" s="8" t="str">
        <f ca="1">IFERROR(__xludf.DUMMYFUNCTION("IF
(
C2229=""фізична особа""
,
VLOOKUP(D2229,IMPORTRANGE(""https://docs.google.com/spreadsheets/d/14Bd19lYaqBhU8_DElYkX7l4wRkHqqCUFNJY4AfY3kHU/edit?usp=sharing  #gid=0"",""фіз особи new!relations_name""),6,FALSE)
,
(IF
(
C2229=""юридична особа""
,
VLOOKUP"&amp;"(D2229,IMPORTRANGE(""https://docs.google.com/spreadsheets/d/14Bd19lYaqBhU8_DElYkX7l4wRkHqqCUFNJY4AfY3kHU/edit?usp=sharing  #gid=0"",""фіз особи new!relations_name_uo""),7,FALSE)
,
)
))"),"САВЕЛЬЄВ Дмитро Володимирович")</f>
        <v>САВЕЛЬЄВ Дмитро Володимирович</v>
      </c>
      <c r="G2228" s="7" t="s">
        <v>10</v>
      </c>
      <c r="H2228" s="7">
        <v>0</v>
      </c>
      <c r="I2228" s="8" t="str">
        <f ca="1">IFERROR(__xludf.DUMMYFUNCTION("IF
(
G2229=""фізична особа""
,
VLOOKUP(H2229,IMPORTRANGE(""https://docs.google.com/spreadsheets/d/14Bd19lYaqBhU8_DElYkX7l4wRkHqqCUFNJY4AfY3kHU/edit?usp=sharing  #gid=0"",""фіз особи new!relations_name""),6,FALSE)
,
(IF
(
G2229=""юридична особа""
,
VLOOKUP"&amp;"(H2229,IMPORTRANGE(""https://docs.google.com/spreadsheets/d/14Bd19lYaqBhU8_DElYkX7l4wRkHqqCUFNJY4AfY3kHU/edit?usp=sharing  #gid=0"",""фіз особи new!relations_name_uo""),7,FALSE)
,
)
))"),"#N/A")</f>
        <v>#N/A</v>
      </c>
      <c r="J2228" s="7" t="s">
        <v>21</v>
      </c>
    </row>
    <row r="2229" spans="1:10" ht="13.2">
      <c r="A2229" s="7">
        <v>2228</v>
      </c>
      <c r="B2229" s="7">
        <v>1</v>
      </c>
      <c r="C2229" s="7" t="s">
        <v>10</v>
      </c>
      <c r="D2229" s="7">
        <v>650</v>
      </c>
      <c r="E2229" s="7" t="s">
        <v>12</v>
      </c>
      <c r="F2229" s="8" t="str">
        <f ca="1">IFERROR(__xludf.DUMMYFUNCTION("IF
(
C2230=""фізична особа""
,
VLOOKUP(D2230,IMPORTRANGE(""https://docs.google.com/spreadsheets/d/14Bd19lYaqBhU8_DElYkX7l4wRkHqqCUFNJY4AfY3kHU/edit?usp=sharing  #gid=0"",""фіз особи new!relations_name""),6,FALSE)
,
(IF
(
C2230=""юридична особа""
,
VLOOKUP"&amp;"(D2230,IMPORTRANGE(""https://docs.google.com/spreadsheets/d/14Bd19lYaqBhU8_DElYkX7l4wRkHqqCUFNJY4AfY3kHU/edit?usp=sharing  #gid=0"",""фіз особи new!relations_name_uo""),7,FALSE)
,
)
))"),"САВЕЛЬЄВ Дмитро Володимирович")</f>
        <v>САВЕЛЬЄВ Дмитро Володимирович</v>
      </c>
      <c r="G2229" s="7" t="s">
        <v>10</v>
      </c>
      <c r="H2229" s="7">
        <v>0</v>
      </c>
      <c r="I2229" s="8" t="str">
        <f ca="1">IFERROR(__xludf.DUMMYFUNCTION("IF
(
G2230=""фізична особа""
,
VLOOKUP(H2230,IMPORTRANGE(""https://docs.google.com/spreadsheets/d/14Bd19lYaqBhU8_DElYkX7l4wRkHqqCUFNJY4AfY3kHU/edit?usp=sharing  #gid=0"",""фіз особи new!relations_name""),6,FALSE)
,
(IF
(
G2230=""юридична особа""
,
VLOOKUP"&amp;"(H2230,IMPORTRANGE(""https://docs.google.com/spreadsheets/d/14Bd19lYaqBhU8_DElYkX7l4wRkHqqCUFNJY4AfY3kHU/edit?usp=sharing  #gid=0"",""фіз особи new!relations_name_uo""),7,FALSE)
,
)
))"),"#N/A")</f>
        <v>#N/A</v>
      </c>
      <c r="J2229" s="7" t="s">
        <v>17</v>
      </c>
    </row>
    <row r="2230" spans="1:10" ht="13.2">
      <c r="A2230" s="7">
        <v>2229</v>
      </c>
      <c r="B2230" s="7">
        <v>1</v>
      </c>
      <c r="C2230" s="7" t="s">
        <v>10</v>
      </c>
      <c r="D2230" s="7">
        <v>650</v>
      </c>
      <c r="E2230" s="7" t="s">
        <v>11</v>
      </c>
      <c r="F2230" s="8" t="str">
        <f ca="1">IFERROR(__xludf.DUMMYFUNCTION("IF
(
C2231=""фізична особа""
,
VLOOKUP(D2231,IMPORTRANGE(""https://docs.google.com/spreadsheets/d/14Bd19lYaqBhU8_DElYkX7l4wRkHqqCUFNJY4AfY3kHU/edit?usp=sharing  #gid=0"",""фіз особи new!relations_name""),6,FALSE)
,
(IF
(
C2231=""юридична особа""
,
VLOOKUP"&amp;"(D2231,IMPORTRANGE(""https://docs.google.com/spreadsheets/d/14Bd19lYaqBhU8_DElYkX7l4wRkHqqCUFNJY4AfY3kHU/edit?usp=sharing  #gid=0"",""фіз особи new!relations_name_uo""),7,FALSE)
,
)
))"),"САВЕЛЬЄВ Дмитро Володимирович")</f>
        <v>САВЕЛЬЄВ Дмитро Володимирович</v>
      </c>
      <c r="G2230" s="7" t="s">
        <v>10</v>
      </c>
      <c r="H2230" s="7">
        <v>23433</v>
      </c>
      <c r="I2230" s="8" t="str">
        <f ca="1">IFERROR(__xludf.DUMMYFUNCTION("IF
(
G2231=""фізична особа""
,
VLOOKUP(H2231,IMPORTRANGE(""https://docs.google.com/spreadsheets/d/14Bd19lYaqBhU8_DElYkX7l4wRkHqqCUFNJY4AfY3kHU/edit?usp=sharing  #gid=0"",""фіз особи new!relations_name""),6,FALSE)
,
(IF
(
G2231=""юридична особа""
,
VLOOKUP"&amp;"(H2231,IMPORTRANGE(""https://docs.google.com/spreadsheets/d/14Bd19lYaqBhU8_DElYkX7l4wRkHqqCUFNJY4AfY3kHU/edit?usp=sharing  #gid=0"",""фіз особи new!relations_name_uo""),7,FALSE)
,
)
))"),"ТЕРЕШКОВА Олена Андріянівна")</f>
        <v>ТЕРЕШКОВА Олена Андріянівна</v>
      </c>
      <c r="J2230" s="7" t="s">
        <v>11</v>
      </c>
    </row>
    <row r="2231" spans="1:10" ht="13.2">
      <c r="A2231" s="7">
        <v>2230</v>
      </c>
      <c r="B2231" s="7">
        <v>1</v>
      </c>
      <c r="C2231" s="7" t="s">
        <v>10</v>
      </c>
      <c r="D2231" s="7">
        <v>651</v>
      </c>
      <c r="E2231" s="7" t="s">
        <v>14</v>
      </c>
      <c r="F2231" s="8" t="str">
        <f ca="1">IFERROR(__xludf.DUMMYFUNCTION("IF
(
C2232=""фізична особа""
,
VLOOKUP(D2232,IMPORTRANGE(""https://docs.google.com/spreadsheets/d/14Bd19lYaqBhU8_DElYkX7l4wRkHqqCUFNJY4AfY3kHU/edit?usp=sharing  #gid=0"",""фіз особи new!relations_name""),6,FALSE)
,
(IF
(
C2232=""юридична особа""
,
VLOOKUP"&amp;"(D2232,IMPORTRANGE(""https://docs.google.com/spreadsheets/d/14Bd19lYaqBhU8_DElYkX7l4wRkHqqCUFNJY4AfY3kHU/edit?usp=sharing  #gid=0"",""фіз особи new!relations_name_uo""),7,FALSE)
,
)
))"),"БУРЛАКОВ Сергій Володимирович")</f>
        <v>БУРЛАКОВ Сергій Володимирович</v>
      </c>
      <c r="G2231" s="7" t="s">
        <v>10</v>
      </c>
      <c r="H2231" s="7">
        <v>0</v>
      </c>
      <c r="I2231" s="8" t="str">
        <f ca="1">IFERROR(__xludf.DUMMYFUNCTION("IF
(
G2232=""фізична особа""
,
VLOOKUP(H2232,IMPORTRANGE(""https://docs.google.com/spreadsheets/d/14Bd19lYaqBhU8_DElYkX7l4wRkHqqCUFNJY4AfY3kHU/edit?usp=sharing  #gid=0"",""фіз особи new!relations_name""),6,FALSE)
,
(IF
(
G2232=""юридична особа""
,
VLOOKUP"&amp;"(H2232,IMPORTRANGE(""https://docs.google.com/spreadsheets/d/14Bd19lYaqBhU8_DElYkX7l4wRkHqqCUFNJY4AfY3kHU/edit?usp=sharing  #gid=0"",""фіз особи new!relations_name_uo""),7,FALSE)
,
)
))"),"#N/A")</f>
        <v>#N/A</v>
      </c>
      <c r="J2231" s="7" t="s">
        <v>15</v>
      </c>
    </row>
    <row r="2232" spans="1:10" ht="13.2">
      <c r="A2232" s="7">
        <v>2231</v>
      </c>
      <c r="B2232" s="7">
        <v>1</v>
      </c>
      <c r="C2232" s="7" t="s">
        <v>10</v>
      </c>
      <c r="D2232" s="7">
        <v>651</v>
      </c>
      <c r="E2232" s="7" t="s">
        <v>12</v>
      </c>
      <c r="F2232" s="8" t="str">
        <f ca="1">IFERROR(__xludf.DUMMYFUNCTION("IF
(
C2233=""фізична особа""
,
VLOOKUP(D2233,IMPORTRANGE(""https://docs.google.com/spreadsheets/d/14Bd19lYaqBhU8_DElYkX7l4wRkHqqCUFNJY4AfY3kHU/edit?usp=sharing  #gid=0"",""фіз особи new!relations_name""),6,FALSE)
,
(IF
(
C2233=""юридична особа""
,
VLOOKUP"&amp;"(D2233,IMPORTRANGE(""https://docs.google.com/spreadsheets/d/14Bd19lYaqBhU8_DElYkX7l4wRkHqqCUFNJY4AfY3kHU/edit?usp=sharing  #gid=0"",""фіз особи new!relations_name_uo""),7,FALSE)
,
)
))"),"БУРЛАКОВ Сергій Володимирович")</f>
        <v>БУРЛАКОВ Сергій Володимирович</v>
      </c>
      <c r="G2232" s="7" t="s">
        <v>10</v>
      </c>
      <c r="H2232" s="7">
        <v>0</v>
      </c>
      <c r="I2232" s="8" t="str">
        <f ca="1">IFERROR(__xludf.DUMMYFUNCTION("IF
(
G2233=""фізична особа""
,
VLOOKUP(H2233,IMPORTRANGE(""https://docs.google.com/spreadsheets/d/14Bd19lYaqBhU8_DElYkX7l4wRkHqqCUFNJY4AfY3kHU/edit?usp=sharing  #gid=0"",""фіз особи new!relations_name""),6,FALSE)
,
(IF
(
G2233=""юридична особа""
,
VLOOKUP"&amp;"(H2233,IMPORTRANGE(""https://docs.google.com/spreadsheets/d/14Bd19lYaqBhU8_DElYkX7l4wRkHqqCUFNJY4AfY3kHU/edit?usp=sharing  #gid=0"",""фіз особи new!relations_name_uo""),7,FALSE)
,
)
))"),"#N/A")</f>
        <v>#N/A</v>
      </c>
      <c r="J2232" s="7" t="s">
        <v>17</v>
      </c>
    </row>
    <row r="2233" spans="1:10" ht="13.2">
      <c r="A2233" s="7">
        <v>2232</v>
      </c>
      <c r="B2233" s="7">
        <v>1</v>
      </c>
      <c r="C2233" s="7" t="s">
        <v>10</v>
      </c>
      <c r="D2233" s="7">
        <v>651</v>
      </c>
      <c r="E2233" s="7" t="s">
        <v>48</v>
      </c>
      <c r="F2233" s="8" t="str">
        <f ca="1">IFERROR(__xludf.DUMMYFUNCTION("IF
(
C2234=""фізична особа""
,
VLOOKUP(D2234,IMPORTRANGE(""https://docs.google.com/spreadsheets/d/14Bd19lYaqBhU8_DElYkX7l4wRkHqqCUFNJY4AfY3kHU/edit?usp=sharing  #gid=0"",""фіз особи new!relations_name""),6,FALSE)
,
(IF
(
C2234=""юридична особа""
,
VLOOKUP"&amp;"(D2234,IMPORTRANGE(""https://docs.google.com/spreadsheets/d/14Bd19lYaqBhU8_DElYkX7l4wRkHqqCUFNJY4AfY3kHU/edit?usp=sharing  #gid=0"",""фіз особи new!relations_name_uo""),7,FALSE)
,
)
))"),"БУРЛАКОВ Сергій Володимирович")</f>
        <v>БУРЛАКОВ Сергій Володимирович</v>
      </c>
      <c r="G2233" s="7" t="s">
        <v>10</v>
      </c>
      <c r="H2233" s="7">
        <v>0</v>
      </c>
      <c r="I2233" s="8" t="str">
        <f ca="1">IFERROR(__xludf.DUMMYFUNCTION("IF
(
G2234=""фізична особа""
,
VLOOKUP(H2234,IMPORTRANGE(""https://docs.google.com/spreadsheets/d/14Bd19lYaqBhU8_DElYkX7l4wRkHqqCUFNJY4AfY3kHU/edit?usp=sharing  #gid=0"",""фіз особи new!relations_name""),6,FALSE)
,
(IF
(
G2234=""юридична особа""
,
VLOOKUP"&amp;"(H2234,IMPORTRANGE(""https://docs.google.com/spreadsheets/d/14Bd19lYaqBhU8_DElYkX7l4wRkHqqCUFNJY4AfY3kHU/edit?usp=sharing  #gid=0"",""фіз особи new!relations_name_uo""),7,FALSE)
,
)
))"),"#N/A")</f>
        <v>#N/A</v>
      </c>
      <c r="J2233" s="7" t="s">
        <v>48</v>
      </c>
    </row>
    <row r="2234" spans="1:10" ht="13.2">
      <c r="A2234" s="7">
        <v>2233</v>
      </c>
      <c r="B2234" s="7">
        <v>1</v>
      </c>
      <c r="C2234" s="7" t="s">
        <v>10</v>
      </c>
      <c r="D2234" s="7">
        <v>228</v>
      </c>
      <c r="E2234" s="7" t="s">
        <v>40</v>
      </c>
      <c r="F2234" s="8" t="str">
        <f ca="1">IFERROR(__xludf.DUMMYFUNCTION("IF
(
C2235=""фізична особа""
,
VLOOKUP(D2235,IMPORTRANGE(""https://docs.google.com/spreadsheets/d/14Bd19lYaqBhU8_DElYkX7l4wRkHqqCUFNJY4AfY3kHU/edit?usp=sharing  #gid=0"",""фіз особи new!relations_name""),6,FALSE)
,
(IF
(
C2235=""юридична особа""
,
VLOOKUP"&amp;"(D2235,IMPORTRANGE(""https://docs.google.com/spreadsheets/d/14Bd19lYaqBhU8_DElYkX7l4wRkHqqCUFNJY4AfY3kHU/edit?usp=sharing  #gid=0"",""фіз особи new!relations_name_uo""),7,FALSE)
,
)
))"),"КОСТЕНКО Олена Миколаївна")</f>
        <v>КОСТЕНКО Олена Миколаївна</v>
      </c>
      <c r="G2234" s="7" t="s">
        <v>10</v>
      </c>
      <c r="H2234" s="7">
        <v>23375</v>
      </c>
      <c r="I2234" s="8" t="str">
        <f ca="1">IFERROR(__xludf.DUMMYFUNCTION("IF
(
G2235=""фізична особа""
,
VLOOKUP(H2235,IMPORTRANGE(""https://docs.google.com/spreadsheets/d/14Bd19lYaqBhU8_DElYkX7l4wRkHqqCUFNJY4AfY3kHU/edit?usp=sharing  #gid=0"",""фіз особи new!relations_name""),6,FALSE)
,
(IF
(
G2235=""юридична особа""
,
VLOOKUP"&amp;"(H2235,IMPORTRANGE(""https://docs.google.com/spreadsheets/d/14Bd19lYaqBhU8_DElYkX7l4wRkHqqCUFNJY4AfY3kHU/edit?usp=sharing  #gid=0"",""фіз особи new!relations_name_uo""),7,FALSE)
,
)
))"),"ЦИПКАЛОВ Геннадій Миколайович")</f>
        <v>ЦИПКАЛОВ Геннадій Миколайович</v>
      </c>
      <c r="J2234" s="7" t="s">
        <v>41</v>
      </c>
    </row>
    <row r="2235" spans="1:10" ht="13.2">
      <c r="A2235" s="7">
        <v>2234</v>
      </c>
      <c r="B2235" s="7">
        <v>1</v>
      </c>
      <c r="C2235" s="7" t="s">
        <v>10</v>
      </c>
      <c r="D2235" s="7">
        <v>653</v>
      </c>
      <c r="E2235" s="7" t="s">
        <v>40</v>
      </c>
      <c r="F2235" s="8" t="str">
        <f ca="1">IFERROR(__xludf.DUMMYFUNCTION("IF
(
C2236=""фізична особа""
,
VLOOKUP(D2236,IMPORTRANGE(""https://docs.google.com/spreadsheets/d/14Bd19lYaqBhU8_DElYkX7l4wRkHqqCUFNJY4AfY3kHU/edit?usp=sharing  #gid=0"",""фіз особи new!relations_name""),6,FALSE)
,
(IF
(
C2236=""юридична особа""
,
VLOOKUP"&amp;"(D2236,IMPORTRANGE(""https://docs.google.com/spreadsheets/d/14Bd19lYaqBhU8_DElYkX7l4wRkHqqCUFNJY4AfY3kHU/edit?usp=sharing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G2235" s="7" t="s">
        <v>10</v>
      </c>
      <c r="H2235" s="7">
        <v>4552</v>
      </c>
      <c r="I2235" s="8" t="str">
        <f ca="1">IFERROR(__xludf.DUMMYFUNCTION("IF
(
G2236=""фізична особа""
,
VLOOKUP(H2236,IMPORTRANGE(""https://docs.google.com/spreadsheets/d/14Bd19lYaqBhU8_DElYkX7l4wRkHqqCUFNJY4AfY3kHU/edit?usp=sharing  #gid=0"",""фіз особи new!relations_name""),6,FALSE)
,
(IF
(
G2236=""юридична особа""
,
VLOOKUP"&amp;"(H2236,IMPORTRANGE(""https://docs.google.com/spreadsheets/d/14Bd19lYaqBhU8_DElYkX7l4wRkHqqCUFNJY4AfY3kHU/edit?usp=sharing  #gid=0"",""фіз особи new!relations_name_uo""),7,FALSE)
,
)
))"),"ПЛОТНИЦЬКИЙ Ігор Венедиктович")</f>
        <v>ПЛОТНИЦЬКИЙ Ігор Венедиктович</v>
      </c>
      <c r="J2235" s="7" t="s">
        <v>41</v>
      </c>
    </row>
    <row r="2236" spans="1:10" ht="13.2">
      <c r="A2236" s="7">
        <v>2235</v>
      </c>
      <c r="B2236" s="7">
        <v>1</v>
      </c>
      <c r="C2236" s="7" t="s">
        <v>10</v>
      </c>
      <c r="D2236" s="7">
        <v>654</v>
      </c>
      <c r="E2236" s="7" t="s">
        <v>12</v>
      </c>
      <c r="F2236" s="8" t="str">
        <f ca="1">IFERROR(__xludf.DUMMYFUNCTION("IF
(
C2237=""фізична особа""
,
VLOOKUP(D2237,IMPORTRANGE(""https://docs.google.com/spreadsheets/d/14Bd19lYaqBhU8_DElYkX7l4wRkHqqCUFNJY4AfY3kHU/edit?usp=sharing  #gid=0"",""фіз особи new!relations_name""),6,FALSE)
,
(IF
(
C2237=""юридична особа""
,
VLOOKUP"&amp;"(D2237,IMPORTRANGE(""https://docs.google.com/spreadsheets/d/14Bd19lYaqBhU8_DElYkX7l4wRkHqqCUFNJY4AfY3kHU/edit?usp=sharing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36" s="7" t="s">
        <v>10</v>
      </c>
      <c r="H2236" s="7">
        <v>5039</v>
      </c>
      <c r="I2236" s="8" t="str">
        <f ca="1">IFERROR(__xludf.DUMMYFUNCTION("IF
(
G2237=""фізична особа""
,
VLOOKUP(H2237,IMPORTRANGE(""https://docs.google.com/spreadsheets/d/14Bd19lYaqBhU8_DElYkX7l4wRkHqqCUFNJY4AfY3kHU/edit?usp=sharing  #gid=0"",""фіз особи new!relations_name""),6,FALSE)
,
(IF
(
G2237=""юридична особа""
,
VLOOKUP"&amp;"(H2237,IMPORTRANGE(""https://docs.google.com/spreadsheets/d/14Bd19lYaqBhU8_DElYkX7l4wRkHqqCUFNJY4AfY3kHU/edit?usp=sharing  #gid=0"",""фіз особи new!relations_name_uo""),7,FALSE)
,
)
))"),"НАРИШКІН Андрій Сергійович")</f>
        <v>НАРИШКІН Андрій Сергійович</v>
      </c>
      <c r="J2236" s="7" t="s">
        <v>17</v>
      </c>
    </row>
    <row r="2237" spans="1:10" ht="13.2">
      <c r="A2237" s="7">
        <v>2236</v>
      </c>
      <c r="B2237" s="7">
        <v>1</v>
      </c>
      <c r="C2237" s="7" t="s">
        <v>10</v>
      </c>
      <c r="D2237" s="7">
        <v>654</v>
      </c>
      <c r="E2237" s="7" t="s">
        <v>59</v>
      </c>
      <c r="F2237" s="8" t="str">
        <f ca="1">IFERROR(__xludf.DUMMYFUNCTION("IF
(
C2238=""фізична особа""
,
VLOOKUP(D2238,IMPORTRANGE(""https://docs.google.com/spreadsheets/d/14Bd19lYaqBhU8_DElYkX7l4wRkHqqCUFNJY4AfY3kHU/edit?usp=sharing  #gid=0"",""фіз особи new!relations_name""),6,FALSE)
,
(IF
(
C2238=""юридична особа""
,
VLOOKUP"&amp;"(D2238,IMPORTRANGE(""https://docs.google.com/spreadsheets/d/14Bd19lYaqBhU8_DElYkX7l4wRkHqqCUFNJY4AfY3kHU/edit?usp=sharing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37" s="7" t="s">
        <v>10</v>
      </c>
      <c r="H2237" s="7">
        <v>0</v>
      </c>
      <c r="I2237" s="8" t="str">
        <f ca="1">IFERROR(__xludf.DUMMYFUNCTION("IF
(
G2238=""фізична особа""
,
VLOOKUP(H2238,IMPORTRANGE(""https://docs.google.com/spreadsheets/d/14Bd19lYaqBhU8_DElYkX7l4wRkHqqCUFNJY4AfY3kHU/edit?usp=sharing  #gid=0"",""фіз особи new!relations_name""),6,FALSE)
,
(IF
(
G2238=""юридична особа""
,
VLOOKUP"&amp;"(H2238,IMPORTRANGE(""https://docs.google.com/spreadsheets/d/14Bd19lYaqBhU8_DElYkX7l4wRkHqqCUFNJY4AfY3kHU/edit?usp=sharing  #gid=0"",""фіз особи new!relations_name_uo""),7,FALSE)
,
)
))"),"#N/A")</f>
        <v>#N/A</v>
      </c>
      <c r="J2237" s="7" t="s">
        <v>60</v>
      </c>
    </row>
    <row r="2238" spans="1:10" ht="13.2">
      <c r="A2238" s="7">
        <v>2237</v>
      </c>
      <c r="B2238" s="7">
        <v>1</v>
      </c>
      <c r="C2238" s="7" t="s">
        <v>10</v>
      </c>
      <c r="D2238" s="7">
        <v>654</v>
      </c>
      <c r="E2238" s="7" t="s">
        <v>59</v>
      </c>
      <c r="F2238" s="8" t="str">
        <f ca="1">IFERROR(__xludf.DUMMYFUNCTION("IF
(
C2239=""фізична особа""
,
VLOOKUP(D2239,IMPORTRANGE(""https://docs.google.com/spreadsheets/d/14Bd19lYaqBhU8_DElYkX7l4wRkHqqCUFNJY4AfY3kHU/edit?usp=sharing  #gid=0"",""фіз особи new!relations_name""),6,FALSE)
,
(IF
(
C2239=""юридична особа""
,
VLOOKUP"&amp;"(D2239,IMPORTRANGE(""https://docs.google.com/spreadsheets/d/14Bd19lYaqBhU8_DElYkX7l4wRkHqqCUFNJY4AfY3kHU/edit?usp=sharing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38" s="7" t="s">
        <v>10</v>
      </c>
      <c r="H2238" s="7">
        <v>0</v>
      </c>
      <c r="I2238" s="8" t="str">
        <f ca="1">IFERROR(__xludf.DUMMYFUNCTION("IF
(
G2239=""фізична особа""
,
VLOOKUP(H2239,IMPORTRANGE(""https://docs.google.com/spreadsheets/d/14Bd19lYaqBhU8_DElYkX7l4wRkHqqCUFNJY4AfY3kHU/edit?usp=sharing  #gid=0"",""фіз особи new!relations_name""),6,FALSE)
,
(IF
(
G2239=""юридична особа""
,
VLOOKUP"&amp;"(H2239,IMPORTRANGE(""https://docs.google.com/spreadsheets/d/14Bd19lYaqBhU8_DElYkX7l4wRkHqqCUFNJY4AfY3kHU/edit?usp=sharing  #gid=0"",""фіз особи new!relations_name_uo""),7,FALSE)
,
)
))"),"#N/A")</f>
        <v>#N/A</v>
      </c>
      <c r="J2238" s="7" t="s">
        <v>60</v>
      </c>
    </row>
    <row r="2239" spans="1:10" ht="13.2">
      <c r="A2239" s="7">
        <v>2238</v>
      </c>
      <c r="B2239" s="7">
        <v>1</v>
      </c>
      <c r="C2239" s="7" t="s">
        <v>10</v>
      </c>
      <c r="D2239" s="7">
        <v>654</v>
      </c>
      <c r="E2239" s="7" t="s">
        <v>12</v>
      </c>
      <c r="F2239" s="8" t="str">
        <f ca="1">IFERROR(__xludf.DUMMYFUNCTION("IF
(
C2240=""фізична особа""
,
VLOOKUP(D2240,IMPORTRANGE(""https://docs.google.com/spreadsheets/d/14Bd19lYaqBhU8_DElYkX7l4wRkHqqCUFNJY4AfY3kHU/edit?usp=sharing  #gid=0"",""фіз особи new!relations_name""),6,FALSE)
,
(IF
(
C2240=""юридична особа""
,
VLOOKUP"&amp;"(D2240,IMPORTRANGE(""https://docs.google.com/spreadsheets/d/14Bd19lYaqBhU8_DElYkX7l4wRkHqqCUFNJY4AfY3kHU/edit?usp=sharing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39" s="7" t="s">
        <v>10</v>
      </c>
      <c r="H2239" s="7">
        <v>5040</v>
      </c>
      <c r="I2239" s="8" t="str">
        <f ca="1">IFERROR(__xludf.DUMMYFUNCTION("IF
(
G2240=""фізична особа""
,
VLOOKUP(H2240,IMPORTRANGE(""https://docs.google.com/spreadsheets/d/14Bd19lYaqBhU8_DElYkX7l4wRkHqqCUFNJY4AfY3kHU/edit?usp=sharing  #gid=0"",""фіз особи new!relations_name""),6,FALSE)
,
(IF
(
G2240=""юридична особа""
,
VLOOKUP"&amp;"(H2240,IMPORTRANGE(""https://docs.google.com/spreadsheets/d/14Bd19lYaqBhU8_DElYkX7l4wRkHqqCUFNJY4AfY3kHU/edit?usp=sharing  #gid=0"",""фіз особи new!relations_name_uo""),7,FALSE)
,
)
))"),"НАРИШКІНА Вероніка Сергіївна")</f>
        <v>НАРИШКІНА Вероніка Сергіївна</v>
      </c>
      <c r="J2239" s="7" t="s">
        <v>13</v>
      </c>
    </row>
    <row r="2240" spans="1:10" ht="13.2">
      <c r="A2240" s="7">
        <v>2239</v>
      </c>
      <c r="B2240" s="7">
        <v>1</v>
      </c>
      <c r="C2240" s="7" t="s">
        <v>10</v>
      </c>
      <c r="D2240" s="7">
        <v>654</v>
      </c>
      <c r="E2240" s="7" t="s">
        <v>14</v>
      </c>
      <c r="F2240" s="8" t="str">
        <f ca="1">IFERROR(__xludf.DUMMYFUNCTION("IF
(
C2241=""фізична особа""
,
VLOOKUP(D2241,IMPORTRANGE(""https://docs.google.com/spreadsheets/d/14Bd19lYaqBhU8_DElYkX7l4wRkHqqCUFNJY4AfY3kHU/edit?usp=sharing  #gid=0"",""фіз особи new!relations_name""),6,FALSE)
,
(IF
(
C2241=""юридична особа""
,
VLOOKUP"&amp;"(D2241,IMPORTRANGE(""https://docs.google.com/spreadsheets/d/14Bd19lYaqBhU8_DElYkX7l4wRkHqqCUFNJY4AfY3kHU/edit?usp=sharing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0" s="7" t="s">
        <v>10</v>
      </c>
      <c r="H2240" s="7">
        <v>0</v>
      </c>
      <c r="I2240" s="8" t="str">
        <f ca="1">IFERROR(__xludf.DUMMYFUNCTION("IF
(
G2241=""фізична особа""
,
VLOOKUP(H2241,IMPORTRANGE(""https://docs.google.com/spreadsheets/d/14Bd19lYaqBhU8_DElYkX7l4wRkHqqCUFNJY4AfY3kHU/edit?usp=sharing  #gid=0"",""фіз особи new!relations_name""),6,FALSE)
,
(IF
(
G2241=""юридична особа""
,
VLOOKUP"&amp;"(H2241,IMPORTRANGE(""https://docs.google.com/spreadsheets/d/14Bd19lYaqBhU8_DElYkX7l4wRkHqqCUFNJY4AfY3kHU/edit?usp=sharing  #gid=0"",""фіз особи new!relations_name_uo""),7,FALSE)
,
)
))"),"#N/A")</f>
        <v>#N/A</v>
      </c>
      <c r="J2240" s="7" t="s">
        <v>15</v>
      </c>
    </row>
    <row r="2241" spans="1:10" ht="13.2">
      <c r="A2241" s="7">
        <v>2240</v>
      </c>
      <c r="B2241" s="7">
        <v>1</v>
      </c>
      <c r="C2241" s="7" t="s">
        <v>10</v>
      </c>
      <c r="D2241" s="7">
        <v>654</v>
      </c>
      <c r="E2241" s="7" t="s">
        <v>16</v>
      </c>
      <c r="F2241" s="8" t="str">
        <f ca="1">IFERROR(__xludf.DUMMYFUNCTION("IF
(
C2242=""фізична особа""
,
VLOOKUP(D2242,IMPORTRANGE(""https://docs.google.com/spreadsheets/d/14Bd19lYaqBhU8_DElYkX7l4wRkHqqCUFNJY4AfY3kHU/edit?usp=sharing  #gid=0"",""фіз особи new!relations_name""),6,FALSE)
,
(IF
(
C2242=""юридична особа""
,
VLOOKUP"&amp;"(D2242,IMPORTRANGE(""https://docs.google.com/spreadsheets/d/14Bd19lYaqBhU8_DElYkX7l4wRkHqqCUFNJY4AfY3kHU/edit?usp=sharing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1" s="7" t="s">
        <v>10</v>
      </c>
      <c r="H2241" s="7">
        <v>8763</v>
      </c>
      <c r="I2241" s="8" t="str">
        <f ca="1">IFERROR(__xludf.DUMMYFUNCTION("IF
(
G2242=""фізична особа""
,
VLOOKUP(H2242,IMPORTRANGE(""https://docs.google.com/spreadsheets/d/14Bd19lYaqBhU8_DElYkX7l4wRkHqqCUFNJY4AfY3kHU/edit?usp=sharing  #gid=0"",""фіз особи new!relations_name""),6,FALSE)
,
(IF
(
G2242=""юридична особа""
,
VLOOKUP"&amp;"(H2242,IMPORTRANGE(""https://docs.google.com/spreadsheets/d/14Bd19lYaqBhU8_DElYkX7l4wRkHqqCUFNJY4AfY3kHU/edit?usp=sharing  #gid=0"",""фіз особи new!relations_name_uo""),7,FALSE)
,
)
))"),"НІСАНОВ Год Семенович")</f>
        <v>НІСАНОВ Год Семенович</v>
      </c>
      <c r="J2241" s="7" t="s">
        <v>16</v>
      </c>
    </row>
    <row r="2242" spans="1:10" ht="13.2">
      <c r="A2242" s="7">
        <v>2241</v>
      </c>
      <c r="B2242" s="7">
        <v>1</v>
      </c>
      <c r="C2242" s="7" t="s">
        <v>10</v>
      </c>
      <c r="D2242" s="7">
        <v>654</v>
      </c>
      <c r="E2242" s="7" t="s">
        <v>41</v>
      </c>
      <c r="F2242" s="8" t="str">
        <f ca="1">IFERROR(__xludf.DUMMYFUNCTION("IF
(
C2243=""фізична особа""
,
VLOOKUP(D2243,IMPORTRANGE(""https://docs.google.com/spreadsheets/d/14Bd19lYaqBhU8_DElYkX7l4wRkHqqCUFNJY4AfY3kHU/edit?usp=sharing  #gid=0"",""фіз особи new!relations_name""),6,FALSE)
,
(IF
(
C2243=""юридична особа""
,
VLOOKUP"&amp;"(D2243,IMPORTRANGE(""https://docs.google.com/spreadsheets/d/14Bd19lYaqBhU8_DElYkX7l4wRkHqqCUFNJY4AfY3kHU/edit?usp=sharing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2" s="7" t="s">
        <v>10</v>
      </c>
      <c r="H2242" s="7">
        <v>129</v>
      </c>
      <c r="I2242" s="8" t="str">
        <f ca="1">IFERROR(__xludf.DUMMYFUNCTION("IF
(
G2243=""фізична особа""
,
VLOOKUP(H2243,IMPORTRANGE(""https://docs.google.com/spreadsheets/d/14Bd19lYaqBhU8_DElYkX7l4wRkHqqCUFNJY4AfY3kHU/edit?usp=sharing  #gid=0"",""фіз особи new!relations_name""),6,FALSE)
,
(IF
(
G2243=""юридична особа""
,
VLOOKUP"&amp;"(H2243,IMPORTRANGE(""https://docs.google.com/spreadsheets/d/14Bd19lYaqBhU8_DElYkX7l4wRkHqqCUFNJY4AfY3kHU/edit?usp=sharing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J2242" s="7" t="s">
        <v>40</v>
      </c>
    </row>
    <row r="2243" spans="1:10" ht="13.2">
      <c r="A2243" s="7">
        <v>2242</v>
      </c>
      <c r="B2243" s="7">
        <v>1</v>
      </c>
      <c r="C2243" s="7" t="s">
        <v>10</v>
      </c>
      <c r="D2243" s="7">
        <v>654</v>
      </c>
      <c r="E2243" s="7" t="s">
        <v>29</v>
      </c>
      <c r="F2243" s="8" t="str">
        <f ca="1">IFERROR(__xludf.DUMMYFUNCTION("IF
(
C2244=""фізична особа""
,
VLOOKUP(D2244,IMPORTRANGE(""https://docs.google.com/spreadsheets/d/14Bd19lYaqBhU8_DElYkX7l4wRkHqqCUFNJY4AfY3kHU/edit?usp=sharing  #gid=0"",""фіз особи new!relations_name""),6,FALSE)
,
(IF
(
C2244=""юридична особа""
,
VLOOKUP"&amp;"(D2244,IMPORTRANGE(""https://docs.google.com/spreadsheets/d/14Bd19lYaqBhU8_DElYkX7l4wRkHqqCUFNJY4AfY3kHU/edit?usp=sharing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3" s="7" t="s">
        <v>10</v>
      </c>
      <c r="H2243" s="7">
        <v>1187</v>
      </c>
      <c r="I2243" s="8" t="str">
        <f ca="1">IFERROR(__xludf.DUMMYFUNCTION("IF
(
G2244=""фізична особа""
,
VLOOKUP(H2244,IMPORTRANGE(""https://docs.google.com/spreadsheets/d/14Bd19lYaqBhU8_DElYkX7l4wRkHqqCUFNJY4AfY3kHU/edit?usp=sharing  #gid=0"",""фіз особи new!relations_name""),6,FALSE)
,
(IF
(
G2244=""юридична особа""
,
VLOOKUP"&amp;"(H2244,IMPORTRANGE(""https://docs.google.com/spreadsheets/d/14Bd19lYaqBhU8_DElYkX7l4wRkHqqCUFNJY4AfY3kHU/edit?usp=sharing  #gid=0"",""фіз особи new!relations_name_uo""),7,FALSE)
,
)
))"),"БАЛАКІН Олександр Миколайович")</f>
        <v>БАЛАКІН Олександр Миколайович</v>
      </c>
      <c r="J2243" s="7" t="s">
        <v>28</v>
      </c>
    </row>
    <row r="2244" spans="1:10" ht="13.2">
      <c r="A2244" s="7">
        <v>2243</v>
      </c>
      <c r="B2244" s="7">
        <v>1</v>
      </c>
      <c r="C2244" s="7" t="s">
        <v>10</v>
      </c>
      <c r="D2244" s="7">
        <v>654</v>
      </c>
      <c r="E2244" s="7" t="s">
        <v>29</v>
      </c>
      <c r="F2244" s="8" t="str">
        <f ca="1">IFERROR(__xludf.DUMMYFUNCTION("IF
(
C2245=""фізична особа""
,
VLOOKUP(D2245,IMPORTRANGE(""https://docs.google.com/spreadsheets/d/14Bd19lYaqBhU8_DElYkX7l4wRkHqqCUFNJY4AfY3kHU/edit?usp=sharing  #gid=0"",""фіз особи new!relations_name""),6,FALSE)
,
(IF
(
C2245=""юридична особа""
,
VLOOKUP"&amp;"(D2245,IMPORTRANGE(""https://docs.google.com/spreadsheets/d/14Bd19lYaqBhU8_DElYkX7l4wRkHqqCUFNJY4AfY3kHU/edit?usp=sharing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4" s="7" t="s">
        <v>10</v>
      </c>
      <c r="H2244" s="7">
        <v>1186</v>
      </c>
      <c r="I2244" s="8" t="str">
        <f ca="1">IFERROR(__xludf.DUMMYFUNCTION("IF
(
G2245=""фізична особа""
,
VLOOKUP(H2245,IMPORTRANGE(""https://docs.google.com/spreadsheets/d/14Bd19lYaqBhU8_DElYkX7l4wRkHqqCUFNJY4AfY3kHU/edit?usp=sharing  #gid=0"",""фіз особи new!relations_name""),6,FALSE)
,
(IF
(
G2245=""юридична особа""
,
VLOOKUP"&amp;"(H2245,IMPORTRANGE(""https://docs.google.com/spreadsheets/d/14Bd19lYaqBhU8_DElYkX7l4wRkHqqCUFNJY4AfY3kHU/edit?usp=sharing  #gid=0"",""фіз особи new!relations_name_uo""),7,FALSE)
,
)
))"),"ЛАВРЕНЦОВ Віктор Федорович")</f>
        <v>ЛАВРЕНЦОВ Віктор Федорович</v>
      </c>
      <c r="J2244" s="7" t="s">
        <v>28</v>
      </c>
    </row>
    <row r="2245" spans="1:10" ht="13.2">
      <c r="A2245" s="7">
        <v>2244</v>
      </c>
      <c r="B2245" s="7">
        <v>1</v>
      </c>
      <c r="C2245" s="7" t="s">
        <v>10</v>
      </c>
      <c r="D2245" s="7">
        <v>654</v>
      </c>
      <c r="E2245" s="7" t="s">
        <v>29</v>
      </c>
      <c r="F2245" s="8" t="str">
        <f ca="1">IFERROR(__xludf.DUMMYFUNCTION("IF
(
C2246=""фізична особа""
,
VLOOKUP(D2246,IMPORTRANGE(""https://docs.google.com/spreadsheets/d/14Bd19lYaqBhU8_DElYkX7l4wRkHqqCUFNJY4AfY3kHU/edit?usp=sharing  #gid=0"",""фіз особи new!relations_name""),6,FALSE)
,
(IF
(
C2246=""юридична особа""
,
VLOOKUP"&amp;"(D2246,IMPORTRANGE(""https://docs.google.com/spreadsheets/d/14Bd19lYaqBhU8_DElYkX7l4wRkHqqCUFNJY4AfY3kHU/edit?usp=sharing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5" s="7" t="s">
        <v>10</v>
      </c>
      <c r="H2245" s="7">
        <v>1188</v>
      </c>
      <c r="I2245" s="8" t="str">
        <f ca="1">IFERROR(__xludf.DUMMYFUNCTION("IF
(
G2246=""фізична особа""
,
VLOOKUP(H2246,IMPORTRANGE(""https://docs.google.com/spreadsheets/d/14Bd19lYaqBhU8_DElYkX7l4wRkHqqCUFNJY4AfY3kHU/edit?usp=sharing  #gid=0"",""фіз особи new!relations_name""),6,FALSE)
,
(IF
(
G2246=""юридична особа""
,
VLOOKUP"&amp;"(H2246,IMPORTRANGE(""https://docs.google.com/spreadsheets/d/14Bd19lYaqBhU8_DElYkX7l4wRkHqqCUFNJY4AfY3kHU/edit?usp=sharing  #gid=0"",""фіз особи new!relations_name_uo""),7,FALSE)
,
)
))"),"МАКСИМОВИЧ Михайло Олександрович")</f>
        <v>МАКСИМОВИЧ Михайло Олександрович</v>
      </c>
      <c r="J2245" s="7" t="s">
        <v>28</v>
      </c>
    </row>
    <row r="2246" spans="1:10" ht="13.2">
      <c r="A2246" s="7">
        <v>2245</v>
      </c>
      <c r="B2246" s="7">
        <v>1</v>
      </c>
      <c r="C2246" s="7" t="s">
        <v>10</v>
      </c>
      <c r="D2246" s="7">
        <v>654</v>
      </c>
      <c r="E2246" s="7" t="s">
        <v>29</v>
      </c>
      <c r="F2246" s="8" t="str">
        <f ca="1">IFERROR(__xludf.DUMMYFUNCTION("IF
(
C2247=""фізична особа""
,
VLOOKUP(D2247,IMPORTRANGE(""https://docs.google.com/spreadsheets/d/14Bd19lYaqBhU8_DElYkX7l4wRkHqqCUFNJY4AfY3kHU/edit?usp=sharing  #gid=0"",""фіз особи new!relations_name""),6,FALSE)
,
(IF
(
C2247=""юридична особа""
,
VLOOKUP"&amp;"(D2247,IMPORTRANGE(""https://docs.google.com/spreadsheets/d/14Bd19lYaqBhU8_DElYkX7l4wRkHqqCUFNJY4AfY3kHU/edit?usp=sharing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6" s="7" t="s">
        <v>10</v>
      </c>
      <c r="H2246" s="7">
        <v>1191</v>
      </c>
      <c r="I2246" s="8" t="str">
        <f ca="1">IFERROR(__xludf.DUMMYFUNCTION("IF
(
G2247=""фізична особа""
,
VLOOKUP(H2247,IMPORTRANGE(""https://docs.google.com/spreadsheets/d/14Bd19lYaqBhU8_DElYkX7l4wRkHqqCUFNJY4AfY3kHU/edit?usp=sharing  #gid=0"",""фіз особи new!relations_name""),6,FALSE)
,
(IF
(
G2247=""юридична особа""
,
VLOOKUP"&amp;"(H2247,IMPORTRANGE(""https://docs.google.com/spreadsheets/d/14Bd19lYaqBhU8_DElYkX7l4wRkHqqCUFNJY4AfY3kHU/edit?usp=sharing  #gid=0"",""фіз особи new!relations_name_uo""),7,FALSE)
,
)
))"),"МОРЯКОВ Андрій Михайлович")</f>
        <v>МОРЯКОВ Андрій Михайлович</v>
      </c>
      <c r="J2246" s="7" t="s">
        <v>28</v>
      </c>
    </row>
    <row r="2247" spans="1:10" ht="13.2">
      <c r="A2247" s="7">
        <v>2246</v>
      </c>
      <c r="B2247" s="7">
        <v>1</v>
      </c>
      <c r="C2247" s="7" t="s">
        <v>10</v>
      </c>
      <c r="D2247" s="7">
        <v>654</v>
      </c>
      <c r="E2247" s="7" t="s">
        <v>29</v>
      </c>
      <c r="F2247" s="8" t="str">
        <f ca="1">IFERROR(__xludf.DUMMYFUNCTION("IF
(
C2248=""фізична особа""
,
VLOOKUP(D2248,IMPORTRANGE(""https://docs.google.com/spreadsheets/d/14Bd19lYaqBhU8_DElYkX7l4wRkHqqCUFNJY4AfY3kHU/edit?usp=sharing  #gid=0"",""фіз особи new!relations_name""),6,FALSE)
,
(IF
(
C2248=""юридична особа""
,
VLOOKUP"&amp;"(D2248,IMPORTRANGE(""https://docs.google.com/spreadsheets/d/14Bd19lYaqBhU8_DElYkX7l4wRkHqqCUFNJY4AfY3kHU/edit?usp=sharing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7" s="7" t="s">
        <v>10</v>
      </c>
      <c r="H2247" s="7">
        <v>1189</v>
      </c>
      <c r="I2247" s="8" t="str">
        <f ca="1">IFERROR(__xludf.DUMMYFUNCTION("IF
(
G2248=""фізична особа""
,
VLOOKUP(H2248,IMPORTRANGE(""https://docs.google.com/spreadsheets/d/14Bd19lYaqBhU8_DElYkX7l4wRkHqqCUFNJY4AfY3kHU/edit?usp=sharing  #gid=0"",""фіз особи new!relations_name""),6,FALSE)
,
(IF
(
G2248=""юридична особа""
,
VLOOKUP"&amp;"(H2248,IMPORTRANGE(""https://docs.google.com/spreadsheets/d/14Bd19lYaqBhU8_DElYkX7l4wRkHqqCUFNJY4AfY3kHU/edit?usp=sharing  #gid=0"",""фіз особи new!relations_name_uo""),7,FALSE)
,
)
))"),"ГЕРАСИМОВ Сергій Олександрович")</f>
        <v>ГЕРАСИМОВ Сергій Олександрович</v>
      </c>
      <c r="J2247" s="7" t="s">
        <v>28</v>
      </c>
    </row>
    <row r="2248" spans="1:10" ht="13.2">
      <c r="A2248" s="7">
        <v>2247</v>
      </c>
      <c r="B2248" s="7">
        <v>1</v>
      </c>
      <c r="C2248" s="7" t="s">
        <v>10</v>
      </c>
      <c r="D2248" s="7">
        <v>654</v>
      </c>
      <c r="E2248" s="7" t="s">
        <v>29</v>
      </c>
      <c r="F2248" s="8" t="str">
        <f ca="1">IFERROR(__xludf.DUMMYFUNCTION("IF
(
C2249=""фізична особа""
,
VLOOKUP(D2249,IMPORTRANGE(""https://docs.google.com/spreadsheets/d/14Bd19lYaqBhU8_DElYkX7l4wRkHqqCUFNJY4AfY3kHU/edit?usp=sharing  #gid=0"",""фіз особи new!relations_name""),6,FALSE)
,
(IF
(
C2249=""юридична особа""
,
VLOOKUP"&amp;"(D2249,IMPORTRANGE(""https://docs.google.com/spreadsheets/d/14Bd19lYaqBhU8_DElYkX7l4wRkHqqCUFNJY4AfY3kHU/edit?usp=sharing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G2248" s="7" t="s">
        <v>10</v>
      </c>
      <c r="H2248" s="7">
        <v>1192</v>
      </c>
      <c r="I2248" s="8" t="str">
        <f ca="1">IFERROR(__xludf.DUMMYFUNCTION("IF
(
G2249=""фізична особа""
,
VLOOKUP(H2249,IMPORTRANGE(""https://docs.google.com/spreadsheets/d/14Bd19lYaqBhU8_DElYkX7l4wRkHqqCUFNJY4AfY3kHU/edit?usp=sharing  #gid=0"",""фіз особи new!relations_name""),6,FALSE)
,
(IF
(
G2249=""юридична особа""
,
VLOOKUP"&amp;"(H2249,IMPORTRANGE(""https://docs.google.com/spreadsheets/d/14Bd19lYaqBhU8_DElYkX7l4wRkHqqCUFNJY4AfY3kHU/edit?usp=sharing  #gid=0"",""фіз особи new!relations_name_uo""),7,FALSE)
,
)
))"),"СМОЛЬКОВ Олександр Миколайович")</f>
        <v>СМОЛЬКОВ Олександр Миколайович</v>
      </c>
      <c r="J2248" s="7" t="s">
        <v>28</v>
      </c>
    </row>
    <row r="2249" spans="1:10" ht="13.2">
      <c r="A2249" s="7">
        <v>2248</v>
      </c>
      <c r="B2249" s="7">
        <v>1</v>
      </c>
      <c r="C2249" s="7" t="s">
        <v>10</v>
      </c>
      <c r="D2249" s="7">
        <v>655</v>
      </c>
      <c r="E2249" s="7" t="s">
        <v>28</v>
      </c>
      <c r="F2249" s="8" t="str">
        <f ca="1">IFERROR(__xludf.DUMMYFUNCTION("IF
(
C2250=""фізична особа""
,
VLOOKUP(D2250,IMPORTRANGE(""https://docs.google.com/spreadsheets/d/14Bd19lYaqBhU8_DElYkX7l4wRkHqqCUFNJY4AfY3kHU/edit?usp=sharing  #gid=0"",""фіз особи new!relations_name""),6,FALSE)
,
(IF
(
C2250=""юридична особа""
,
VLOOKUP"&amp;"(D2250,IMPORTRANGE(""https://docs.google.com/spreadsheets/d/14Bd19lYaqBhU8_DElYkX7l4wRkHqqCUFNJY4AfY3kHU/edit?usp=sharing  #gid=0"",""фіз особи new!relations_name_uo""),7,FALSE)
,
)
))"),"НАУМЕЦЬ Сергій Сергійович")</f>
        <v>НАУМЕЦЬ Сергій Сергійович</v>
      </c>
      <c r="G2249" s="7" t="s">
        <v>10</v>
      </c>
      <c r="H2249" s="7">
        <v>4567</v>
      </c>
      <c r="I2249" s="8" t="str">
        <f ca="1">IFERROR(__xludf.DUMMYFUNCTION("IF
(
G2250=""фізична особа""
,
VLOOKUP(H2250,IMPORTRANGE(""https://docs.google.com/spreadsheets/d/14Bd19lYaqBhU8_DElYkX7l4wRkHqqCUFNJY4AfY3kHU/edit?usp=sharing  #gid=0"",""фіз особи new!relations_name""),6,FALSE)
,
(IF
(
G2250=""юридична особа""
,
VLOOKUP"&amp;"(H2250,IMPORTRANGE(""https://docs.google.com/spreadsheets/d/14Bd19lYaqBhU8_DElYkX7l4wRkHqqCUFNJY4AfY3kHU/edit?usp=sharing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2249" s="7" t="s">
        <v>29</v>
      </c>
    </row>
    <row r="2250" spans="1:10" ht="13.2">
      <c r="A2250" s="7">
        <v>2249</v>
      </c>
      <c r="B2250" s="7">
        <v>1</v>
      </c>
      <c r="C2250" s="7" t="s">
        <v>10</v>
      </c>
      <c r="D2250" s="7">
        <v>656</v>
      </c>
      <c r="E2250" s="7" t="s">
        <v>26</v>
      </c>
      <c r="F2250" s="8" t="str">
        <f ca="1">IFERROR(__xludf.DUMMYFUNCTION("IF
(
C2251=""фізична особа""
,
VLOOKUP(D2251,IMPORTRANGE(""https://docs.google.com/spreadsheets/d/14Bd19lYaqBhU8_DElYkX7l4wRkHqqCUFNJY4AfY3kHU/edit?usp=sharing  #gid=0"",""фіз особи new!relations_name""),6,FALSE)
,
(IF
(
C2251=""юридична особа""
,
VLOOKUP"&amp;"(D2251,IMPORTRANGE(""https://docs.google.com/spreadsheets/d/14Bd19lYaqBhU8_DElYkX7l4wRkHqqCUFNJY4AfY3kHU/edit?usp=sharing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0" s="7" t="s">
        <v>10</v>
      </c>
      <c r="H2250" s="7">
        <v>718</v>
      </c>
      <c r="I2250" s="8" t="str">
        <f ca="1">IFERROR(__xludf.DUMMYFUNCTION("IF
(
G2251=""фізична особа""
,
VLOOKUP(H2251,IMPORTRANGE(""https://docs.google.com/spreadsheets/d/14Bd19lYaqBhU8_DElYkX7l4wRkHqqCUFNJY4AfY3kHU/edit?usp=sharing  #gid=0"",""фіз особи new!relations_name""),6,FALSE)
,
(IF
(
G2251=""юридична особа""
,
VLOOKUP"&amp;"(H2251,IMPORTRANGE(""https://docs.google.com/spreadsheets/d/14Bd19lYaqBhU8_DElYkX7l4wRkHqqCUFNJY4AfY3kHU/edit?usp=sharing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2250" s="7" t="s">
        <v>24</v>
      </c>
    </row>
    <row r="2251" spans="1:10" ht="13.2">
      <c r="A2251" s="7">
        <v>2250</v>
      </c>
      <c r="B2251" s="7">
        <v>1</v>
      </c>
      <c r="C2251" s="7" t="s">
        <v>10</v>
      </c>
      <c r="D2251" s="7">
        <v>656</v>
      </c>
      <c r="E2251" s="7" t="s">
        <v>26</v>
      </c>
      <c r="F2251" s="8" t="str">
        <f ca="1">IFERROR(__xludf.DUMMYFUNCTION("IF
(
C2252=""фізична особа""
,
VLOOKUP(D2252,IMPORTRANGE(""https://docs.google.com/spreadsheets/d/14Bd19lYaqBhU8_DElYkX7l4wRkHqqCUFNJY4AfY3kHU/edit?usp=sharing  #gid=0"",""фіз особи new!relations_name""),6,FALSE)
,
(IF
(
C2252=""юридична особа""
,
VLOOKUP"&amp;"(D2252,IMPORTRANGE(""https://docs.google.com/spreadsheets/d/14Bd19lYaqBhU8_DElYkX7l4wRkHqqCUFNJY4AfY3kHU/edit?usp=sharing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1" s="7" t="s">
        <v>10</v>
      </c>
      <c r="H2251" s="7">
        <v>1036</v>
      </c>
      <c r="I2251" s="8" t="str">
        <f ca="1">IFERROR(__xludf.DUMMYFUNCTION("IF
(
G2252=""фізична особа""
,
VLOOKUP(H2252,IMPORTRANGE(""https://docs.google.com/spreadsheets/d/14Bd19lYaqBhU8_DElYkX7l4wRkHqqCUFNJY4AfY3kHU/edit?usp=sharing  #gid=0"",""фіз особи new!relations_name""),6,FALSE)
,
(IF
(
G2252=""юридична особа""
,
VLOOKUP"&amp;"(H2252,IMPORTRANGE(""https://docs.google.com/spreadsheets/d/14Bd19lYaqBhU8_DElYkX7l4wRkHqqCUFNJY4AfY3kHU/edit?usp=sharing  #gid=0"",""фіз особи new!relations_name_uo""),7,FALSE)
,
)
))"),"ЛАВРОВА Марія Олександрівна")</f>
        <v>ЛАВРОВА Марія Олександрівна</v>
      </c>
      <c r="J2251" s="7" t="s">
        <v>27</v>
      </c>
    </row>
    <row r="2252" spans="1:10" ht="13.2">
      <c r="A2252" s="7">
        <v>2251</v>
      </c>
      <c r="B2252" s="7">
        <v>1</v>
      </c>
      <c r="C2252" s="7" t="s">
        <v>10</v>
      </c>
      <c r="D2252" s="7">
        <v>656</v>
      </c>
      <c r="E2252" s="7" t="s">
        <v>17</v>
      </c>
      <c r="F2252" s="8" t="str">
        <f ca="1">IFERROR(__xludf.DUMMYFUNCTION("IF
(
C2253=""фізична особа""
,
VLOOKUP(D2253,IMPORTRANGE(""https://docs.google.com/spreadsheets/d/14Bd19lYaqBhU8_DElYkX7l4wRkHqqCUFNJY4AfY3kHU/edit?usp=sharing  #gid=0"",""фіз особи new!relations_name""),6,FALSE)
,
(IF
(
C2253=""юридична особа""
,
VLOOKUP"&amp;"(D2253,IMPORTRANGE(""https://docs.google.com/spreadsheets/d/14Bd19lYaqBhU8_DElYkX7l4wRkHqqCUFNJY4AfY3kHU/edit?usp=sharing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2" s="7" t="s">
        <v>10</v>
      </c>
      <c r="H2252" s="7">
        <v>0</v>
      </c>
      <c r="I2252" s="8" t="str">
        <f ca="1">IFERROR(__xludf.DUMMYFUNCTION("IF
(
G2253=""фізична особа""
,
VLOOKUP(H2253,IMPORTRANGE(""https://docs.google.com/spreadsheets/d/14Bd19lYaqBhU8_DElYkX7l4wRkHqqCUFNJY4AfY3kHU/edit?usp=sharing  #gid=0"",""фіз особи new!relations_name""),6,FALSE)
,
(IF
(
G2253=""юридична особа""
,
VLOOKUP"&amp;"(H2253,IMPORTRANGE(""https://docs.google.com/spreadsheets/d/14Bd19lYaqBhU8_DElYkX7l4wRkHqqCUFNJY4AfY3kHU/edit?usp=sharing  #gid=0"",""фіз особи new!relations_name_uo""),7,FALSE)
,
)
))"),"#N/A")</f>
        <v>#N/A</v>
      </c>
      <c r="J2252" s="7" t="s">
        <v>12</v>
      </c>
    </row>
    <row r="2253" spans="1:10" ht="13.2">
      <c r="A2253" s="7">
        <v>2252</v>
      </c>
      <c r="B2253" s="7">
        <v>1</v>
      </c>
      <c r="C2253" s="7" t="s">
        <v>10</v>
      </c>
      <c r="D2253" s="7">
        <v>656</v>
      </c>
      <c r="E2253" s="7" t="s">
        <v>12</v>
      </c>
      <c r="F2253" s="8" t="str">
        <f ca="1">IFERROR(__xludf.DUMMYFUNCTION("IF
(
C2254=""фізична особа""
,
VLOOKUP(D2254,IMPORTRANGE(""https://docs.google.com/spreadsheets/d/14Bd19lYaqBhU8_DElYkX7l4wRkHqqCUFNJY4AfY3kHU/edit?usp=sharing  #gid=0"",""фіз особи new!relations_name""),6,FALSE)
,
(IF
(
C2254=""юридична особа""
,
VLOOKUP"&amp;"(D2254,IMPORTRANGE(""https://docs.google.com/spreadsheets/d/14Bd19lYaqBhU8_DElYkX7l4wRkHqqCUFNJY4AfY3kHU/edit?usp=sharing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3" s="7" t="s">
        <v>10</v>
      </c>
      <c r="H2253" s="7">
        <v>0</v>
      </c>
      <c r="I2253" s="8" t="str">
        <f ca="1">IFERROR(__xludf.DUMMYFUNCTION("IF
(
G2254=""фізична особа""
,
VLOOKUP(H2254,IMPORTRANGE(""https://docs.google.com/spreadsheets/d/14Bd19lYaqBhU8_DElYkX7l4wRkHqqCUFNJY4AfY3kHU/edit?usp=sharing  #gid=0"",""фіз особи new!relations_name""),6,FALSE)
,
(IF
(
G2254=""юридична особа""
,
VLOOKUP"&amp;"(H2254,IMPORTRANGE(""https://docs.google.com/spreadsheets/d/14Bd19lYaqBhU8_DElYkX7l4wRkHqqCUFNJY4AfY3kHU/edit?usp=sharing  #gid=0"",""фіз особи new!relations_name_uo""),7,FALSE)
,
)
))"),"#N/A")</f>
        <v>#N/A</v>
      </c>
      <c r="J2253" s="7" t="s">
        <v>17</v>
      </c>
    </row>
    <row r="2254" spans="1:10" ht="13.2">
      <c r="A2254" s="7">
        <v>2253</v>
      </c>
      <c r="B2254" s="7">
        <v>1</v>
      </c>
      <c r="C2254" s="7" t="s">
        <v>10</v>
      </c>
      <c r="D2254" s="7">
        <v>656</v>
      </c>
      <c r="E2254" s="7" t="s">
        <v>14</v>
      </c>
      <c r="F2254" s="8" t="str">
        <f ca="1">IFERROR(__xludf.DUMMYFUNCTION("IF
(
C2255=""фізична особа""
,
VLOOKUP(D2255,IMPORTRANGE(""https://docs.google.com/spreadsheets/d/14Bd19lYaqBhU8_DElYkX7l4wRkHqqCUFNJY4AfY3kHU/edit?usp=sharing  #gid=0"",""фіз особи new!relations_name""),6,FALSE)
,
(IF
(
C2255=""юридична особа""
,
VLOOKUP"&amp;"(D2255,IMPORTRANGE(""https://docs.google.com/spreadsheets/d/14Bd19lYaqBhU8_DElYkX7l4wRkHqqCUFNJY4AfY3kHU/edit?usp=sharing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4" s="7" t="s">
        <v>10</v>
      </c>
      <c r="H2254" s="7">
        <v>1037</v>
      </c>
      <c r="I2254" s="8" t="str">
        <f ca="1">IFERROR(__xludf.DUMMYFUNCTION("IF
(
G2255=""фізична особа""
,
VLOOKUP(H2255,IMPORTRANGE(""https://docs.google.com/spreadsheets/d/14Bd19lYaqBhU8_DElYkX7l4wRkHqqCUFNJY4AfY3kHU/edit?usp=sharing  #gid=0"",""фіз особи new!relations_name""),6,FALSE)
,
(IF
(
G2255=""юридична особа""
,
VLOOKUP"&amp;"(H2255,IMPORTRANGE(""https://docs.google.com/spreadsheets/d/14Bd19lYaqBhU8_DElYkX7l4wRkHqqCUFNJY4AfY3kHU/edit?usp=sharing  #gid=0"",""фіз особи new!relations_name_uo""),7,FALSE)
,
)
))"),"ЛАВРОВА / ВІНОКУРОВА Катерина Сергіївна")</f>
        <v>ЛАВРОВА / ВІНОКУРОВА Катерина Сергіївна</v>
      </c>
      <c r="J2254" s="7" t="s">
        <v>15</v>
      </c>
    </row>
    <row r="2255" spans="1:10" ht="13.2">
      <c r="A2255" s="7">
        <v>2254</v>
      </c>
      <c r="B2255" s="7">
        <v>1</v>
      </c>
      <c r="C2255" s="7" t="s">
        <v>10</v>
      </c>
      <c r="D2255" s="7">
        <v>656</v>
      </c>
      <c r="E2255" s="7" t="s">
        <v>11</v>
      </c>
      <c r="F2255" s="8" t="str">
        <f ca="1">IFERROR(__xludf.DUMMYFUNCTION("IF
(
C2256=""фізична особа""
,
VLOOKUP(D2256,IMPORTRANGE(""https://docs.google.com/spreadsheets/d/14Bd19lYaqBhU8_DElYkX7l4wRkHqqCUFNJY4AfY3kHU/edit?usp=sharing  #gid=0"",""фіз особи new!relations_name""),6,FALSE)
,
(IF
(
C2256=""юридична особа""
,
VLOOKUP"&amp;"(D2256,IMPORTRANGE(""https://docs.google.com/spreadsheets/d/14Bd19lYaqBhU8_DElYkX7l4wRkHqqCUFNJY4AfY3kHU/edit?usp=sharing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5" s="7" t="s">
        <v>10</v>
      </c>
      <c r="H2255" s="7">
        <v>4901</v>
      </c>
      <c r="I2255" s="8" t="str">
        <f ca="1">IFERROR(__xludf.DUMMYFUNCTION("IF
(
G2256=""фізична особа""
,
VLOOKUP(H2256,IMPORTRANGE(""https://docs.google.com/spreadsheets/d/14Bd19lYaqBhU8_DElYkX7l4wRkHqqCUFNJY4AfY3kHU/edit?usp=sharing  #gid=0"",""фіз особи new!relations_name""),6,FALSE)
,
(IF
(
G2256=""юридична особа""
,
VLOOKUP"&amp;"(H2256,IMPORTRANGE(""https://docs.google.com/spreadsheets/d/14Bd19lYaqBhU8_DElYkX7l4wRkHqqCUFNJY4AfY3kHU/edit?usp=sharing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J2255" s="7" t="s">
        <v>11</v>
      </c>
    </row>
    <row r="2256" spans="1:10" ht="13.2">
      <c r="A2256" s="7">
        <v>2255</v>
      </c>
      <c r="B2256" s="7">
        <v>1</v>
      </c>
      <c r="C2256" s="7" t="s">
        <v>10</v>
      </c>
      <c r="D2256" s="7">
        <v>656</v>
      </c>
      <c r="E2256" s="7" t="s">
        <v>11</v>
      </c>
      <c r="F2256" s="8" t="str">
        <f ca="1">IFERROR(__xludf.DUMMYFUNCTION("IF
(
C2257=""фізична особа""
,
VLOOKUP(D2257,IMPORTRANGE(""https://docs.google.com/spreadsheets/d/14Bd19lYaqBhU8_DElYkX7l4wRkHqqCUFNJY4AfY3kHU/edit?usp=sharing  #gid=0"",""фіз особи new!relations_name""),6,FALSE)
,
(IF
(
C2257=""юридична особа""
,
VLOOKUP"&amp;"(D2257,IMPORTRANGE(""https://docs.google.com/spreadsheets/d/14Bd19lYaqBhU8_DElYkX7l4wRkHqqCUFNJY4AfY3kHU/edit?usp=sharing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G2256" s="7" t="s">
        <v>10</v>
      </c>
      <c r="H2256" s="7">
        <v>0</v>
      </c>
      <c r="I2256" s="8" t="str">
        <f ca="1">IFERROR(__xludf.DUMMYFUNCTION("IF
(
G2257=""фізична особа""
,
VLOOKUP(H2257,IMPORTRANGE(""https://docs.google.com/spreadsheets/d/14Bd19lYaqBhU8_DElYkX7l4wRkHqqCUFNJY4AfY3kHU/edit?usp=sharing  #gid=0"",""фіз особи new!relations_name""),6,FALSE)
,
(IF
(
G2257=""юридична особа""
,
VLOOKUP"&amp;"(H2257,IMPORTRANGE(""https://docs.google.com/spreadsheets/d/14Bd19lYaqBhU8_DElYkX7l4wRkHqqCUFNJY4AfY3kHU/edit?usp=sharing  #gid=0"",""фіз особи new!relations_name_uo""),7,FALSE)
,
)
))"),"#N/A")</f>
        <v>#N/A</v>
      </c>
      <c r="J2256" s="7" t="s">
        <v>11</v>
      </c>
    </row>
    <row r="2257" spans="1:10" ht="13.2">
      <c r="A2257" s="7">
        <v>2256</v>
      </c>
      <c r="B2257" s="7">
        <v>1</v>
      </c>
      <c r="C2257" s="7" t="s">
        <v>10</v>
      </c>
      <c r="D2257" s="7">
        <v>657</v>
      </c>
      <c r="E2257" s="7" t="s">
        <v>17</v>
      </c>
      <c r="F2257" s="8" t="str">
        <f ca="1">IFERROR(__xludf.DUMMYFUNCTION("IF
(
C2258=""фізична особа""
,
VLOOKUP(D2258,IMPORTRANGE(""https://docs.google.com/spreadsheets/d/14Bd19lYaqBhU8_DElYkX7l4wRkHqqCUFNJY4AfY3kHU/edit?usp=sharing  #gid=0"",""фіз особи new!relations_name""),6,FALSE)
,
(IF
(
C2258=""юридична особа""
,
VLOOKUP"&amp;"(D2258,IMPORTRANGE(""https://docs.google.com/spreadsheets/d/14Bd19lYaqBhU8_DElYkX7l4wRkHqqCUFNJY4AfY3kHU/edit?usp=sharing  #gid=0"",""фіз особи new!relations_name_uo""),7,FALSE)
,
)
))"),"ІВАНОВ Сергій Сергійович")</f>
        <v>ІВАНОВ Сергій Сергійович</v>
      </c>
      <c r="G2257" s="7" t="s">
        <v>10</v>
      </c>
      <c r="H2257" s="7">
        <v>660</v>
      </c>
      <c r="I2257" s="8" t="str">
        <f ca="1">IFERROR(__xludf.DUMMYFUNCTION("IF
(
G2258=""фізична особа""
,
VLOOKUP(H2258,IMPORTRANGE(""https://docs.google.com/spreadsheets/d/14Bd19lYaqBhU8_DElYkX7l4wRkHqqCUFNJY4AfY3kHU/edit?usp=sharing  #gid=0"",""фіз особи new!relations_name""),6,FALSE)
,
(IF
(
G2258=""юридична особа""
,
VLOOKUP"&amp;"(H2258,IMPORTRANGE(""https://docs.google.com/spreadsheets/d/14Bd19lYaqBhU8_DElYkX7l4wRkHqqCUFNJY4AfY3kHU/edit?usp=sharing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J2257" s="7" t="s">
        <v>12</v>
      </c>
    </row>
    <row r="2258" spans="1:10" ht="13.2">
      <c r="A2258" s="7">
        <v>2257</v>
      </c>
      <c r="B2258" s="7">
        <v>1</v>
      </c>
      <c r="C2258" s="7" t="s">
        <v>10</v>
      </c>
      <c r="D2258" s="7">
        <v>657</v>
      </c>
      <c r="E2258" s="7" t="s">
        <v>17</v>
      </c>
      <c r="F2258" s="8" t="str">
        <f ca="1">IFERROR(__xludf.DUMMYFUNCTION("IF
(
C2259=""фізична особа""
,
VLOOKUP(D2259,IMPORTRANGE(""https://docs.google.com/spreadsheets/d/14Bd19lYaqBhU8_DElYkX7l4wRkHqqCUFNJY4AfY3kHU/edit?usp=sharing  #gid=0"",""фіз особи new!relations_name""),6,FALSE)
,
(IF
(
C2259=""юридична особа""
,
VLOOKUP"&amp;"(D2259,IMPORTRANGE(""https://docs.google.com/spreadsheets/d/14Bd19lYaqBhU8_DElYkX7l4wRkHqqCUFNJY4AfY3kHU/edit?usp=sharing  #gid=0"",""фіз особи new!relations_name_uo""),7,FALSE)
,
)
))"),"ІВАНОВ Сергій Сергійович")</f>
        <v>ІВАНОВ Сергій Сергійович</v>
      </c>
      <c r="G2258" s="7" t="s">
        <v>10</v>
      </c>
      <c r="H2258" s="7">
        <v>23434</v>
      </c>
      <c r="I2258" s="8" t="str">
        <f ca="1">IFERROR(__xludf.DUMMYFUNCTION("IF
(
G2259=""фізична особа""
,
VLOOKUP(H2259,IMPORTRANGE(""https://docs.google.com/spreadsheets/d/14Bd19lYaqBhU8_DElYkX7l4wRkHqqCUFNJY4AfY3kHU/edit?usp=sharing  #gid=0"",""фіз особи new!relations_name""),6,FALSE)
,
(IF
(
G2259=""юридична особа""
,
VLOOKUP"&amp;"(H2259,IMPORTRANGE(""https://docs.google.com/spreadsheets/d/14Bd19lYaqBhU8_DElYkX7l4wRkHqqCUFNJY4AfY3kHU/edit?usp=sharing  #gid=0"",""фіз особи new!relations_name_uo""),7,FALSE)
,
)
))"),"ІВАНОВА Ірина Сергіївна")</f>
        <v>ІВАНОВА Ірина Сергіївна</v>
      </c>
      <c r="J2258" s="7" t="s">
        <v>21</v>
      </c>
    </row>
    <row r="2259" spans="1:10" ht="13.2">
      <c r="A2259" s="7">
        <v>2258</v>
      </c>
      <c r="B2259" s="7">
        <v>1</v>
      </c>
      <c r="C2259" s="7" t="s">
        <v>10</v>
      </c>
      <c r="D2259" s="7">
        <v>658</v>
      </c>
      <c r="E2259" s="7" t="s">
        <v>28</v>
      </c>
      <c r="F2259" s="8" t="str">
        <f ca="1">IFERROR(__xludf.DUMMYFUNCTION("IF
(
C2260=""фізична особа""
,
VLOOKUP(D2260,IMPORTRANGE(""https://docs.google.com/spreadsheets/d/14Bd19lYaqBhU8_DElYkX7l4wRkHqqCUFNJY4AfY3kHU/edit?usp=sharing  #gid=0"",""фіз особи new!relations_name""),6,FALSE)
,
(IF
(
C2260=""юридична особа""
,
VLOOKUP"&amp;"(D2260,IMPORTRANGE(""https://docs.google.com/spreadsheets/d/14Bd19lYaqBhU8_DElYkX7l4wRkHqqCUFNJY4AfY3kHU/edit?usp=sharing  #gid=0"",""фіз особи new!relations_name_uo""),7,FALSE)
,
)
))"),"САУТА Сергій Анатолійович")</f>
        <v>САУТА Сергій Анатолійович</v>
      </c>
      <c r="G2259" s="7" t="s">
        <v>10</v>
      </c>
      <c r="H2259" s="7">
        <v>821</v>
      </c>
      <c r="I2259" s="8" t="str">
        <f ca="1">IFERROR(__xludf.DUMMYFUNCTION("IF
(
G2260=""фізична особа""
,
VLOOKUP(H2260,IMPORTRANGE(""https://docs.google.com/spreadsheets/d/14Bd19lYaqBhU8_DElYkX7l4wRkHqqCUFNJY4AfY3kHU/edit?usp=sharing  #gid=0"",""фіз особи new!relations_name""),6,FALSE)
,
(IF
(
G2260=""юридична особа""
,
VLOOKUP"&amp;"(H2260,IMPORTRANGE(""https://docs.google.com/spreadsheets/d/14Bd19lYaqBhU8_DElYkX7l4wRkHqqCUFNJY4AfY3kHU/edit?usp=sharing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2259" s="7" t="s">
        <v>29</v>
      </c>
    </row>
    <row r="2260" spans="1:10" ht="13.2">
      <c r="A2260" s="7">
        <v>2259</v>
      </c>
      <c r="B2260" s="7">
        <v>1</v>
      </c>
      <c r="C2260" s="7" t="s">
        <v>10</v>
      </c>
      <c r="D2260" s="7">
        <v>659</v>
      </c>
      <c r="E2260" s="7" t="s">
        <v>28</v>
      </c>
      <c r="F2260" s="8" t="str">
        <f ca="1">IFERROR(__xludf.DUMMYFUNCTION("IF
(
C2261=""фізична особа""
,
VLOOKUP(D2261,IMPORTRANGE(""https://docs.google.com/spreadsheets/d/14Bd19lYaqBhU8_DElYkX7l4wRkHqqCUFNJY4AfY3kHU/edit?usp=sharing  #gid=0"",""фіз особи new!relations_name""),6,FALSE)
,
(IF
(
C2261=""юридична особа""
,
VLOOKUP"&amp;"(D2261,IMPORTRANGE(""https://docs.google.com/spreadsheets/d/14Bd19lYaqBhU8_DElYkX7l4wRkHqqCUFNJY4AfY3kHU/edit?usp=sharing  #gid=0"",""фіз особи new!relations_name_uo""),7,FALSE)
,
)
))"),"ДАНИЛЕНКО Сергій Андрійович")</f>
        <v>ДАНИЛЕНКО Сергій Андрійович</v>
      </c>
      <c r="G2260" s="7" t="s">
        <v>10</v>
      </c>
      <c r="H2260" s="7">
        <v>3173</v>
      </c>
      <c r="I2260" s="8" t="str">
        <f ca="1">IFERROR(__xludf.DUMMYFUNCTION("IF
(
G2261=""фізична особа""
,
VLOOKUP(H2261,IMPORTRANGE(""https://docs.google.com/spreadsheets/d/14Bd19lYaqBhU8_DElYkX7l4wRkHqqCUFNJY4AfY3kHU/edit?usp=sharing  #gid=0"",""фіз особи new!relations_name""),6,FALSE)
,
(IF
(
G2261=""юридична особа""
,
VLOOKUP"&amp;"(H2261,IMPORTRANGE(""https://docs.google.com/spreadsheets/d/14Bd19lYaqBhU8_DElYkX7l4wRkHqqCUFNJY4AfY3kHU/edit?usp=sharing  #gid=0"",""фіз особи new!relations_name_uo""),7,FALSE)
,
)
))"),"БУЛАЄВ Микола Іванович")</f>
        <v>БУЛАЄВ Микола Іванович</v>
      </c>
      <c r="J2260" s="7" t="s">
        <v>29</v>
      </c>
    </row>
    <row r="2261" spans="1:10" ht="13.2">
      <c r="A2261" s="7">
        <v>2260</v>
      </c>
      <c r="B2261" s="7">
        <v>1</v>
      </c>
      <c r="C2261" s="7" t="s">
        <v>10</v>
      </c>
      <c r="D2261" s="7">
        <v>660</v>
      </c>
      <c r="E2261" s="7" t="s">
        <v>12</v>
      </c>
      <c r="F2261" s="8" t="str">
        <f ca="1">IFERROR(__xludf.DUMMYFUNCTION("IF
(
C2262=""фізична особа""
,
VLOOKUP(D2262,IMPORTRANGE(""https://docs.google.com/spreadsheets/d/14Bd19lYaqBhU8_DElYkX7l4wRkHqqCUFNJY4AfY3kHU/edit?usp=sharing  #gid=0"",""фіз особи new!relations_name""),6,FALSE)
,
(IF
(
C2262=""юридична особа""
,
VLOOKUP"&amp;"(D2262,IMPORTRANGE(""https://docs.google.com/spreadsheets/d/14Bd19lYaqBhU8_DElYkX7l4wRkHqqCUFNJY4AfY3kHU/edit?usp=sharing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G2261" s="7" t="s">
        <v>10</v>
      </c>
      <c r="H2261" s="7">
        <v>657</v>
      </c>
      <c r="I2261" s="8" t="str">
        <f ca="1">IFERROR(__xludf.DUMMYFUNCTION("IF
(
G2262=""фізична особа""
,
VLOOKUP(H2262,IMPORTRANGE(""https://docs.google.com/spreadsheets/d/14Bd19lYaqBhU8_DElYkX7l4wRkHqqCUFNJY4AfY3kHU/edit?usp=sharing  #gid=0"",""фіз особи new!relations_name""),6,FALSE)
,
(IF
(
G2262=""юридична особа""
,
VLOOKUP"&amp;"(H2262,IMPORTRANGE(""https://docs.google.com/spreadsheets/d/14Bd19lYaqBhU8_DElYkX7l4wRkHqqCUFNJY4AfY3kHU/edit?usp=sharing  #gid=0"",""фіз особи new!relations_name_uo""),7,FALSE)
,
)
))"),"ІВАНОВ Сергій Сергійович")</f>
        <v>ІВАНОВ Сергій Сергійович</v>
      </c>
      <c r="J2261" s="7" t="s">
        <v>17</v>
      </c>
    </row>
    <row r="2262" spans="1:10" ht="13.2">
      <c r="A2262" s="7">
        <v>2261</v>
      </c>
      <c r="B2262" s="7">
        <v>1</v>
      </c>
      <c r="C2262" s="7" t="s">
        <v>10</v>
      </c>
      <c r="D2262" s="7">
        <v>660</v>
      </c>
      <c r="E2262" s="7" t="s">
        <v>21</v>
      </c>
      <c r="F2262" s="8" t="str">
        <f ca="1">IFERROR(__xludf.DUMMYFUNCTION("IF
(
C2263=""фізична особа""
,
VLOOKUP(D2263,IMPORTRANGE(""https://docs.google.com/spreadsheets/d/14Bd19lYaqBhU8_DElYkX7l4wRkHqqCUFNJY4AfY3kHU/edit?usp=sharing  #gid=0"",""фіз особи new!relations_name""),6,FALSE)
,
(IF
(
C2263=""юридична особа""
,
VLOOKUP"&amp;"(D2263,IMPORTRANGE(""https://docs.google.com/spreadsheets/d/14Bd19lYaqBhU8_DElYkX7l4wRkHqqCUFNJY4AfY3kHU/edit?usp=sharing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G2262" s="7" t="s">
        <v>10</v>
      </c>
      <c r="H2262" s="7">
        <v>23434</v>
      </c>
      <c r="I2262" s="8" t="str">
        <f ca="1">IFERROR(__xludf.DUMMYFUNCTION("IF
(
G2263=""фізична особа""
,
VLOOKUP(H2263,IMPORTRANGE(""https://docs.google.com/spreadsheets/d/14Bd19lYaqBhU8_DElYkX7l4wRkHqqCUFNJY4AfY3kHU/edit?usp=sharing  #gid=0"",""фіз особи new!relations_name""),6,FALSE)
,
(IF
(
G2263=""юридична особа""
,
VLOOKUP"&amp;"(H2263,IMPORTRANGE(""https://docs.google.com/spreadsheets/d/14Bd19lYaqBhU8_DElYkX7l4wRkHqqCUFNJY4AfY3kHU/edit?usp=sharing  #gid=0"",""фіз особи new!relations_name_uo""),7,FALSE)
,
)
))"),"ІВАНОВА Ірина Сергіївна")</f>
        <v>ІВАНОВА Ірина Сергіївна</v>
      </c>
      <c r="J2262" s="7" t="s">
        <v>17</v>
      </c>
    </row>
    <row r="2263" spans="1:10" ht="13.2">
      <c r="A2263" s="7">
        <v>2262</v>
      </c>
      <c r="B2263" s="7">
        <v>1</v>
      </c>
      <c r="C2263" s="7" t="s">
        <v>10</v>
      </c>
      <c r="D2263" s="7">
        <v>660</v>
      </c>
      <c r="E2263" s="7" t="s">
        <v>28</v>
      </c>
      <c r="F2263" s="8" t="str">
        <f ca="1">IFERROR(__xludf.DUMMYFUNCTION("IF
(
C2264=""фізична особа""
,
VLOOKUP(D2264,IMPORTRANGE(""https://docs.google.com/spreadsheets/d/14Bd19lYaqBhU8_DElYkX7l4wRkHqqCUFNJY4AfY3kHU/edit?usp=sharing  #gid=0"",""фіз особи new!relations_name""),6,FALSE)
,
(IF
(
C2264=""юридична особа""
,
VLOOKUP"&amp;"(D2264,IMPORTRANGE(""https://docs.google.com/spreadsheets/d/14Bd19lYaqBhU8_DElYkX7l4wRkHqqCUFNJY4AfY3kHU/edit?usp=sharing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G2263" s="7" t="s">
        <v>10</v>
      </c>
      <c r="H2263" s="7">
        <v>880</v>
      </c>
      <c r="I2263" s="8" t="str">
        <f ca="1">IFERROR(__xludf.DUMMYFUNCTION("IF
(
G2264=""фізична особа""
,
VLOOKUP(H2264,IMPORTRANGE(""https://docs.google.com/spreadsheets/d/14Bd19lYaqBhU8_DElYkX7l4wRkHqqCUFNJY4AfY3kHU/edit?usp=sharing  #gid=0"",""фіз особи new!relations_name""),6,FALSE)
,
(IF
(
G2264=""юридична особа""
,
VLOOKUP"&amp;"(H2264,IMPORTRANGE(""https://docs.google.com/spreadsheets/d/14Bd19lYaqBhU8_DElYkX7l4wRkHqqCUFNJY4AfY3kHU/edit?usp=sharing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263" s="7" t="s">
        <v>29</v>
      </c>
    </row>
    <row r="2264" spans="1:10" ht="13.2">
      <c r="A2264" s="7">
        <v>2263</v>
      </c>
      <c r="B2264" s="7">
        <v>1</v>
      </c>
      <c r="C2264" s="7" t="s">
        <v>10</v>
      </c>
      <c r="D2264" s="7">
        <v>661</v>
      </c>
      <c r="E2264" s="7" t="s">
        <v>28</v>
      </c>
      <c r="F2264" s="8" t="str">
        <f ca="1">IFERROR(__xludf.DUMMYFUNCTION("IF
(
C2265=""фізична особа""
,
VLOOKUP(D2265,IMPORTRANGE(""https://docs.google.com/spreadsheets/d/14Bd19lYaqBhU8_DElYkX7l4wRkHqqCUFNJY4AfY3kHU/edit?usp=sharing  #gid=0"",""фіз особи new!relations_name""),6,FALSE)
,
(IF
(
C2265=""юридична особа""
,
VLOOKUP"&amp;"(D2265,IMPORTRANGE(""https://docs.google.com/spreadsheets/d/14Bd19lYaqBhU8_DElYkX7l4wRkHqqCUFNJY4AfY3kHU/edit?usp=sharing  #gid=0"",""фіз особи new!relations_name_uo""),7,FALSE)
,
)
))"),"СІМОНЕНКО Сергій Дмитрович")</f>
        <v>СІМОНЕНКО Сергій Дмитрович</v>
      </c>
      <c r="G2264" s="7" t="s">
        <v>10</v>
      </c>
      <c r="H2264" s="7">
        <v>821</v>
      </c>
      <c r="I2264" s="8" t="str">
        <f ca="1">IFERROR(__xludf.DUMMYFUNCTION("IF
(
G2265=""фізична особа""
,
VLOOKUP(H2265,IMPORTRANGE(""https://docs.google.com/spreadsheets/d/14Bd19lYaqBhU8_DElYkX7l4wRkHqqCUFNJY4AfY3kHU/edit?usp=sharing  #gid=0"",""фіз особи new!relations_name""),6,FALSE)
,
(IF
(
G2265=""юридична особа""
,
VLOOKUP"&amp;"(H2265,IMPORTRANGE(""https://docs.google.com/spreadsheets/d/14Bd19lYaqBhU8_DElYkX7l4wRkHqqCUFNJY4AfY3kHU/edit?usp=sharing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2264" s="7" t="s">
        <v>29</v>
      </c>
    </row>
    <row r="2265" spans="1:10" ht="13.2">
      <c r="A2265" s="7">
        <v>2264</v>
      </c>
      <c r="B2265" s="7">
        <v>1</v>
      </c>
      <c r="C2265" s="7" t="s">
        <v>10</v>
      </c>
      <c r="D2265" s="7">
        <v>662</v>
      </c>
      <c r="E2265" s="7" t="s">
        <v>14</v>
      </c>
      <c r="F2265" s="8" t="str">
        <f ca="1">IFERROR(__xludf.DUMMYFUNCTION("IF
(
C2266=""фізична особа""
,
VLOOKUP(D2266,IMPORTRANGE(""https://docs.google.com/spreadsheets/d/14Bd19lYaqBhU8_DElYkX7l4wRkHqqCUFNJY4AfY3kHU/edit?usp=sharing  #gid=0"",""фіз особи new!relations_name""),6,FALSE)
,
(IF
(
C2266=""юридична особа""
,
VLOOKUP"&amp;"(D2266,IMPORTRANGE(""https://docs.google.com/spreadsheets/d/14Bd19lYaqBhU8_DElYkX7l4wRkHqqCUFNJY4AfY3kHU/edit?usp=sharing  #gid=0"",""фіз особи new!relations_name_uo""),7,FALSE)
,
)
))"),"КАРГІНОВ Сергій Генріхович")</f>
        <v>КАРГІНОВ Сергій Генріхович</v>
      </c>
      <c r="G2265" s="7" t="s">
        <v>10</v>
      </c>
      <c r="H2265" s="7">
        <v>0</v>
      </c>
      <c r="I2265" s="8" t="str">
        <f ca="1">IFERROR(__xludf.DUMMYFUNCTION("IF
(
G2266=""фізична особа""
,
VLOOKUP(H2266,IMPORTRANGE(""https://docs.google.com/spreadsheets/d/14Bd19lYaqBhU8_DElYkX7l4wRkHqqCUFNJY4AfY3kHU/edit?usp=sharing  #gid=0"",""фіз особи new!relations_name""),6,FALSE)
,
(IF
(
G2266=""юридична особа""
,
VLOOKUP"&amp;"(H2266,IMPORTRANGE(""https://docs.google.com/spreadsheets/d/14Bd19lYaqBhU8_DElYkX7l4wRkHqqCUFNJY4AfY3kHU/edit?usp=sharing  #gid=0"",""фіз особи new!relations_name_uo""),7,FALSE)
,
)
))"),"#N/A")</f>
        <v>#N/A</v>
      </c>
      <c r="J2265" s="7" t="s">
        <v>15</v>
      </c>
    </row>
    <row r="2266" spans="1:10" ht="13.2">
      <c r="A2266" s="7">
        <v>2265</v>
      </c>
      <c r="B2266" s="7">
        <v>1</v>
      </c>
      <c r="C2266" s="7" t="s">
        <v>10</v>
      </c>
      <c r="D2266" s="7">
        <v>662</v>
      </c>
      <c r="E2266" s="7" t="s">
        <v>29</v>
      </c>
      <c r="F2266" s="8" t="str">
        <f ca="1">IFERROR(__xludf.DUMMYFUNCTION("IF
(
C2267=""фізична особа""
,
VLOOKUP(D2267,IMPORTRANGE(""https://docs.google.com/spreadsheets/d/14Bd19lYaqBhU8_DElYkX7l4wRkHqqCUFNJY4AfY3kHU/edit?usp=sharing  #gid=0"",""фіз особи new!relations_name""),6,FALSE)
,
(IF
(
C2267=""юридична особа""
,
VLOOKUP"&amp;"(D2267,IMPORTRANGE(""https://docs.google.com/spreadsheets/d/14Bd19lYaqBhU8_DElYkX7l4wRkHqqCUFNJY4AfY3kHU/edit?usp=sharing  #gid=0"",""фіз особи new!relations_name_uo""),7,FALSE)
,
)
))"),"КАРГІНОВ Сергій Генріхович")</f>
        <v>КАРГІНОВ Сергій Генріхович</v>
      </c>
      <c r="G2266" s="7" t="s">
        <v>10</v>
      </c>
      <c r="H2266" s="7">
        <v>0</v>
      </c>
      <c r="I2266" s="8" t="str">
        <f ca="1">IFERROR(__xludf.DUMMYFUNCTION("IF
(
G2267=""фізична особа""
,
VLOOKUP(H2267,IMPORTRANGE(""https://docs.google.com/spreadsheets/d/14Bd19lYaqBhU8_DElYkX7l4wRkHqqCUFNJY4AfY3kHU/edit?usp=sharing  #gid=0"",""фіз особи new!relations_name""),6,FALSE)
,
(IF
(
G2267=""юридична особа""
,
VLOOKUP"&amp;"(H2267,IMPORTRANGE(""https://docs.google.com/spreadsheets/d/14Bd19lYaqBhU8_DElYkX7l4wRkHqqCUFNJY4AfY3kHU/edit?usp=sharing  #gid=0"",""фіз особи new!relations_name_uo""),7,FALSE)
,
)
))"),"#N/A")</f>
        <v>#N/A</v>
      </c>
      <c r="J2266" s="7" t="s">
        <v>28</v>
      </c>
    </row>
    <row r="2267" spans="1:10" ht="13.2">
      <c r="A2267" s="7">
        <v>2266</v>
      </c>
      <c r="B2267" s="7">
        <v>1</v>
      </c>
      <c r="C2267" s="7" t="s">
        <v>10</v>
      </c>
      <c r="D2267" s="7">
        <v>662</v>
      </c>
      <c r="E2267" s="7" t="s">
        <v>30</v>
      </c>
      <c r="F2267" s="8" t="str">
        <f ca="1">IFERROR(__xludf.DUMMYFUNCTION("IF
(
C2268=""фізична особа""
,
VLOOKUP(D2268,IMPORTRANGE(""https://docs.google.com/spreadsheets/d/14Bd19lYaqBhU8_DElYkX7l4wRkHqqCUFNJY4AfY3kHU/edit?usp=sharing  #gid=0"",""фіз особи new!relations_name""),6,FALSE)
,
(IF
(
C2268=""юридична особа""
,
VLOOKUP"&amp;"(D2268,IMPORTRANGE(""https://docs.google.com/spreadsheets/d/14Bd19lYaqBhU8_DElYkX7l4wRkHqqCUFNJY4AfY3kHU/edit?usp=sharing  #gid=0"",""фіз особи new!relations_name_uo""),7,FALSE)
,
)
))"),"КАРГІНОВ Сергій Генріхович")</f>
        <v>КАРГІНОВ Сергій Генріхович</v>
      </c>
      <c r="G2267" s="7" t="s">
        <v>10</v>
      </c>
      <c r="H2267" s="7">
        <v>0</v>
      </c>
      <c r="I2267" s="8" t="str">
        <f ca="1">IFERROR(__xludf.DUMMYFUNCTION("IF
(
G2268=""фізична особа""
,
VLOOKUP(H2268,IMPORTRANGE(""https://docs.google.com/spreadsheets/d/14Bd19lYaqBhU8_DElYkX7l4wRkHqqCUFNJY4AfY3kHU/edit?usp=sharing  #gid=0"",""фіз особи new!relations_name""),6,FALSE)
,
(IF
(
G2268=""юридична особа""
,
VLOOKUP"&amp;"(H2268,IMPORTRANGE(""https://docs.google.com/spreadsheets/d/14Bd19lYaqBhU8_DElYkX7l4wRkHqqCUFNJY4AfY3kHU/edit?usp=sharing  #gid=0"",""фіз особи new!relations_name_uo""),7,FALSE)
,
)
))"),"#N/A")</f>
        <v>#N/A</v>
      </c>
      <c r="J2267" s="7" t="s">
        <v>30</v>
      </c>
    </row>
    <row r="2268" spans="1:10" ht="13.2">
      <c r="A2268" s="7">
        <v>2267</v>
      </c>
      <c r="B2268" s="7">
        <v>1</v>
      </c>
      <c r="C2268" s="7" t="s">
        <v>10</v>
      </c>
      <c r="D2268" s="7">
        <v>663</v>
      </c>
      <c r="E2268" s="7" t="s">
        <v>12</v>
      </c>
      <c r="F2268" s="8" t="str">
        <f ca="1">IFERROR(__xludf.DUMMYFUNCTION("IF
(
C2269=""фізична особа""
,
VLOOKUP(D2269,IMPORTRANGE(""https://docs.google.com/spreadsheets/d/14Bd19lYaqBhU8_DElYkX7l4wRkHqqCUFNJY4AfY3kHU/edit?usp=sharing  #gid=0"",""фіз особи new!relations_name""),6,FALSE)
,
(IF
(
C2269=""юридична особа""
,
VLOOKUP"&amp;"(D2269,IMPORTRANGE(""https://docs.google.com/spreadsheets/d/14Bd19lYaqBhU8_DElYkX7l4wRkHqqCUFNJY4AfY3kHU/edit?usp=sharing  #gid=0"",""фіз особи new!relations_name_uo""),7,FALSE)
,
)
))"),"МІТІН Сергій Герасимович")</f>
        <v>МІТІН Сергій Герасимович</v>
      </c>
      <c r="G2268" s="7" t="s">
        <v>10</v>
      </c>
      <c r="H2268" s="7">
        <v>23435</v>
      </c>
      <c r="I2268" s="8" t="str">
        <f ca="1">IFERROR(__xludf.DUMMYFUNCTION("IF
(
G2269=""фізична особа""
,
VLOOKUP(H2269,IMPORTRANGE(""https://docs.google.com/spreadsheets/d/14Bd19lYaqBhU8_DElYkX7l4wRkHqqCUFNJY4AfY3kHU/edit?usp=sharing  #gid=0"",""фіз особи new!relations_name""),6,FALSE)
,
(IF
(
G2269=""юридична особа""
,
VLOOKUP"&amp;"(H2269,IMPORTRANGE(""https://docs.google.com/spreadsheets/d/14Bd19lYaqBhU8_DElYkX7l4wRkHqqCUFNJY4AfY3kHU/edit?usp=sharing  #gid=0"",""фіз особи new!relations_name_uo""),7,FALSE)
,
)
))"),"МІТІНА Наталія Сергіївна")</f>
        <v>МІТІНА Наталія Сергіївна</v>
      </c>
      <c r="J2268" s="7" t="s">
        <v>13</v>
      </c>
    </row>
    <row r="2269" spans="1:10" ht="13.2">
      <c r="A2269" s="7">
        <v>2268</v>
      </c>
      <c r="B2269" s="7">
        <v>1</v>
      </c>
      <c r="C2269" s="7" t="s">
        <v>10</v>
      </c>
      <c r="D2269" s="7">
        <v>663</v>
      </c>
      <c r="E2269" s="7" t="s">
        <v>14</v>
      </c>
      <c r="F2269" s="8" t="str">
        <f ca="1">IFERROR(__xludf.DUMMYFUNCTION("IF
(
C2270=""фізична особа""
,
VLOOKUP(D2270,IMPORTRANGE(""https://docs.google.com/spreadsheets/d/14Bd19lYaqBhU8_DElYkX7l4wRkHqqCUFNJY4AfY3kHU/edit?usp=sharing  #gid=0"",""фіз особи new!relations_name""),6,FALSE)
,
(IF
(
C2270=""юридична особа""
,
VLOOKUP"&amp;"(D2270,IMPORTRANGE(""https://docs.google.com/spreadsheets/d/14Bd19lYaqBhU8_DElYkX7l4wRkHqqCUFNJY4AfY3kHU/edit?usp=sharing  #gid=0"",""фіз особи new!relations_name_uo""),7,FALSE)
,
)
))"),"МІТІН Сергій Герасимович")</f>
        <v>МІТІН Сергій Герасимович</v>
      </c>
      <c r="G2269" s="7" t="s">
        <v>10</v>
      </c>
      <c r="H2269" s="7">
        <v>8635</v>
      </c>
      <c r="I2269" s="8" t="str">
        <f ca="1">IFERROR(__xludf.DUMMYFUNCTION("IF
(
G2270=""фізична особа""
,
VLOOKUP(H2270,IMPORTRANGE(""https://docs.google.com/spreadsheets/d/14Bd19lYaqBhU8_DElYkX7l4wRkHqqCUFNJY4AfY3kHU/edit?usp=sharing  #gid=0"",""фіз особи new!relations_name""),6,FALSE)
,
(IF
(
G2270=""юридична особа""
,
VLOOKUP"&amp;"(H2270,IMPORTRANGE(""https://docs.google.com/spreadsheets/d/14Bd19lYaqBhU8_DElYkX7l4wRkHqqCUFNJY4AfY3kHU/edit?usp=sharing  #gid=0"",""фіз особи new!relations_name_uo""),7,FALSE)
,
)
))"),"МІТІНА Віра Іванівна")</f>
        <v>МІТІНА Віра Іванівна</v>
      </c>
      <c r="J2269" s="7" t="s">
        <v>15</v>
      </c>
    </row>
    <row r="2270" spans="1:10" ht="13.2">
      <c r="A2270" s="7">
        <v>2269</v>
      </c>
      <c r="B2270" s="7">
        <v>1</v>
      </c>
      <c r="C2270" s="7" t="s">
        <v>10</v>
      </c>
      <c r="D2270" s="7">
        <v>664</v>
      </c>
      <c r="E2270" s="7" t="s">
        <v>17</v>
      </c>
      <c r="F2270" s="8" t="str">
        <f ca="1">IFERROR(__xludf.DUMMYFUNCTION("IF
(
C2271=""фізична особа""
,
VLOOKUP(D2271,IMPORTRANGE(""https://docs.google.com/spreadsheets/d/14Bd19lYaqBhU8_DElYkX7l4wRkHqqCUFNJY4AfY3kHU/edit?usp=sharing  #gid=0"",""фіз особи new!relations_name""),6,FALSE)
,
(IF
(
C2271=""юридична особа""
,
VLOOKUP"&amp;"(D2271,IMPORTRANGE(""https://docs.google.com/spreadsheets/d/14Bd19lYaqBhU8_DElYkX7l4wRkHqqCUFNJY4AfY3kHU/edit?usp=sharing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G2270" s="7" t="s">
        <v>10</v>
      </c>
      <c r="H2270" s="7">
        <v>0</v>
      </c>
      <c r="I2270" s="8" t="str">
        <f ca="1">IFERROR(__xludf.DUMMYFUNCTION("IF
(
G2271=""фізична особа""
,
VLOOKUP(H2271,IMPORTRANGE(""https://docs.google.com/spreadsheets/d/14Bd19lYaqBhU8_DElYkX7l4wRkHqqCUFNJY4AfY3kHU/edit?usp=sharing  #gid=0"",""фіз особи new!relations_name""),6,FALSE)
,
(IF
(
G2271=""юридична особа""
,
VLOOKUP"&amp;"(H2271,IMPORTRANGE(""https://docs.google.com/spreadsheets/d/14Bd19lYaqBhU8_DElYkX7l4wRkHqqCUFNJY4AfY3kHU/edit?usp=sharing  #gid=0"",""фіз особи new!relations_name_uo""),7,FALSE)
,
)
))"),"#N/A")</f>
        <v>#N/A</v>
      </c>
      <c r="J2270" s="7" t="s">
        <v>12</v>
      </c>
    </row>
    <row r="2271" spans="1:10" ht="13.2">
      <c r="A2271" s="7">
        <v>2270</v>
      </c>
      <c r="B2271" s="7">
        <v>1</v>
      </c>
      <c r="C2271" s="7" t="s">
        <v>10</v>
      </c>
      <c r="D2271" s="7">
        <v>664</v>
      </c>
      <c r="E2271" s="7" t="s">
        <v>17</v>
      </c>
      <c r="F2271" s="8" t="str">
        <f ca="1">IFERROR(__xludf.DUMMYFUNCTION("IF
(
C2272=""фізична особа""
,
VLOOKUP(D2272,IMPORTRANGE(""https://docs.google.com/spreadsheets/d/14Bd19lYaqBhU8_DElYkX7l4wRkHqqCUFNJY4AfY3kHU/edit?usp=sharing  #gid=0"",""фіз особи new!relations_name""),6,FALSE)
,
(IF
(
C2272=""юридична особа""
,
VLOOKUP"&amp;"(D2272,IMPORTRANGE(""https://docs.google.com/spreadsheets/d/14Bd19lYaqBhU8_DElYkX7l4wRkHqqCUFNJY4AfY3kHU/edit?usp=sharing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G2271" s="7" t="s">
        <v>10</v>
      </c>
      <c r="H2271" s="7">
        <v>15497</v>
      </c>
      <c r="I2271" s="8" t="str">
        <f ca="1">IFERROR(__xludf.DUMMYFUNCTION("IF
(
G2272=""фізична особа""
,
VLOOKUP(H2272,IMPORTRANGE(""https://docs.google.com/spreadsheets/d/14Bd19lYaqBhU8_DElYkX7l4wRkHqqCUFNJY4AfY3kHU/edit?usp=sharing  #gid=0"",""фіз особи new!relations_name""),6,FALSE)
,
(IF
(
G2272=""юридична особа""
,
VLOOKUP"&amp;"(H2272,IMPORTRANGE(""https://docs.google.com/spreadsheets/d/14Bd19lYaqBhU8_DElYkX7l4wRkHqqCUFNJY4AfY3kHU/edit?usp=sharing  #gid=0"",""фіз особи new!relations_name_uo""),7,FALSE)
,
)
))"),"КАЗАНКОВА Людмила Григорівна")</f>
        <v>КАЗАНКОВА Людмила Григорівна</v>
      </c>
      <c r="J2271" s="7" t="s">
        <v>21</v>
      </c>
    </row>
    <row r="2272" spans="1:10" ht="13.2">
      <c r="A2272" s="7">
        <v>2271</v>
      </c>
      <c r="B2272" s="7">
        <v>1</v>
      </c>
      <c r="C2272" s="7" t="s">
        <v>10</v>
      </c>
      <c r="D2272" s="7">
        <v>664</v>
      </c>
      <c r="E2272" s="7" t="s">
        <v>14</v>
      </c>
      <c r="F2272" s="8" t="str">
        <f ca="1">IFERROR(__xludf.DUMMYFUNCTION("IF
(
C2273=""фізична особа""
,
VLOOKUP(D2273,IMPORTRANGE(""https://docs.google.com/spreadsheets/d/14Bd19lYaqBhU8_DElYkX7l4wRkHqqCUFNJY4AfY3kHU/edit?usp=sharing  #gid=0"",""фіз особи new!relations_name""),6,FALSE)
,
(IF
(
C2273=""юридична особа""
,
VLOOKUP"&amp;"(D2273,IMPORTRANGE(""https://docs.google.com/spreadsheets/d/14Bd19lYaqBhU8_DElYkX7l4wRkHqqCUFNJY4AfY3kHU/edit?usp=sharing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G2272" s="7" t="s">
        <v>10</v>
      </c>
      <c r="H2272" s="7">
        <v>0</v>
      </c>
      <c r="I2272" s="8" t="str">
        <f ca="1">IFERROR(__xludf.DUMMYFUNCTION("IF
(
G2273=""фізична особа""
,
VLOOKUP(H2273,IMPORTRANGE(""https://docs.google.com/spreadsheets/d/14Bd19lYaqBhU8_DElYkX7l4wRkHqqCUFNJY4AfY3kHU/edit?usp=sharing  #gid=0"",""фіз особи new!relations_name""),6,FALSE)
,
(IF
(
G2273=""юридична особа""
,
VLOOKUP"&amp;"(H2273,IMPORTRANGE(""https://docs.google.com/spreadsheets/d/14Bd19lYaqBhU8_DElYkX7l4wRkHqqCUFNJY4AfY3kHU/edit?usp=sharing  #gid=0"",""фіз особи new!relations_name_uo""),7,FALSE)
,
)
))"),"#N/A")</f>
        <v>#N/A</v>
      </c>
      <c r="J2272" s="7" t="s">
        <v>15</v>
      </c>
    </row>
    <row r="2273" spans="1:10" ht="13.2">
      <c r="A2273" s="7">
        <v>2272</v>
      </c>
      <c r="B2273" s="7">
        <v>1</v>
      </c>
      <c r="C2273" s="7" t="s">
        <v>10</v>
      </c>
      <c r="D2273" s="7">
        <v>664</v>
      </c>
      <c r="E2273" s="7" t="s">
        <v>18</v>
      </c>
      <c r="F2273" s="8" t="str">
        <f ca="1">IFERROR(__xludf.DUMMYFUNCTION("IF
(
C2274=""фізична особа""
,
VLOOKUP(D2274,IMPORTRANGE(""https://docs.google.com/spreadsheets/d/14Bd19lYaqBhU8_DElYkX7l4wRkHqqCUFNJY4AfY3kHU/edit?usp=sharing  #gid=0"",""фіз особи new!relations_name""),6,FALSE)
,
(IF
(
C2274=""юридична особа""
,
VLOOKUP"&amp;"(D2274,IMPORTRANGE(""https://docs.google.com/spreadsheets/d/14Bd19lYaqBhU8_DElYkX7l4wRkHqqCUFNJY4AfY3kHU/edit?usp=sharing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G2273" s="7" t="s">
        <v>10</v>
      </c>
      <c r="H2273" s="7">
        <v>15498</v>
      </c>
      <c r="I2273" s="8" t="str">
        <f ca="1">IFERROR(__xludf.DUMMYFUNCTION("IF
(
G2274=""фізична особа""
,
VLOOKUP(H2274,IMPORTRANGE(""https://docs.google.com/spreadsheets/d/14Bd19lYaqBhU8_DElYkX7l4wRkHqqCUFNJY4AfY3kHU/edit?usp=sharing  #gid=0"",""фіз особи new!relations_name""),6,FALSE)
,
(IF
(
G2274=""юридична особа""
,
VLOOKUP"&amp;"(H2274,IMPORTRANGE(""https://docs.google.com/spreadsheets/d/14Bd19lYaqBhU8_DElYkX7l4wRkHqqCUFNJY4AfY3kHU/edit?usp=sharing  #gid=0"",""фіз особи new!relations_name_uo""),7,FALSE)
,
)
))"),"КАЗАНКОВА Наталія Іванівна")</f>
        <v>КАЗАНКОВА Наталія Іванівна</v>
      </c>
      <c r="J2273" s="7" t="s">
        <v>31</v>
      </c>
    </row>
    <row r="2274" spans="1:10" ht="13.2">
      <c r="A2274" s="7">
        <v>2273</v>
      </c>
      <c r="B2274" s="7">
        <v>1</v>
      </c>
      <c r="C2274" s="7" t="s">
        <v>10</v>
      </c>
      <c r="D2274" s="7">
        <v>665</v>
      </c>
      <c r="E2274" s="7" t="s">
        <v>35</v>
      </c>
      <c r="F2274" s="8" t="str">
        <f ca="1">IFERROR(__xludf.DUMMYFUNCTION("IF
(
C2275=""фізична особа""
,
VLOOKUP(D2275,IMPORTRANGE(""https://docs.google.com/spreadsheets/d/14Bd19lYaqBhU8_DElYkX7l4wRkHqqCUFNJY4AfY3kHU/edit?usp=sharing  #gid=0"",""фіз особи new!relations_name""),6,FALSE)
,
(IF
(
C2275=""юридична особа""
,
VLOOKUP"&amp;"(D2275,IMPORTRANGE(""https://docs.google.com/spreadsheets/d/14Bd19lYaqBhU8_DElYkX7l4wRkHqqCUFNJY4AfY3kHU/edit?usp=sharing  #gid=0"",""фіз особи new!relations_name_uo""),7,FALSE)
,
)
))"),"КІСЛЯК Сергій Іванович")</f>
        <v>КІСЛЯК Сергій Іванович</v>
      </c>
      <c r="G2274" s="7" t="s">
        <v>10</v>
      </c>
      <c r="H2274" s="7">
        <v>0</v>
      </c>
      <c r="I2274" s="8" t="str">
        <f ca="1">IFERROR(__xludf.DUMMYFUNCTION("IF
(
G2275=""фізична особа""
,
VLOOKUP(H2275,IMPORTRANGE(""https://docs.google.com/spreadsheets/d/14Bd19lYaqBhU8_DElYkX7l4wRkHqqCUFNJY4AfY3kHU/edit?usp=sharing  #gid=0"",""фіз особи new!relations_name""),6,FALSE)
,
(IF
(
G2275=""юридична особа""
,
VLOOKUP"&amp;"(H2275,IMPORTRANGE(""https://docs.google.com/spreadsheets/d/14Bd19lYaqBhU8_DElYkX7l4wRkHqqCUFNJY4AfY3kHU/edit?usp=sharing  #gid=0"",""фіз особи new!relations_name_uo""),7,FALSE)
,
)
))"),"#N/A")</f>
        <v>#N/A</v>
      </c>
      <c r="J2274" s="7" t="s">
        <v>35</v>
      </c>
    </row>
    <row r="2275" spans="1:10" ht="13.2">
      <c r="A2275" s="7">
        <v>2274</v>
      </c>
      <c r="B2275" s="7">
        <v>1</v>
      </c>
      <c r="C2275" s="7" t="s">
        <v>10</v>
      </c>
      <c r="D2275" s="7">
        <v>665</v>
      </c>
      <c r="E2275" s="7" t="s">
        <v>35</v>
      </c>
      <c r="F2275" s="8" t="str">
        <f ca="1">IFERROR(__xludf.DUMMYFUNCTION("IF
(
C2276=""фізична особа""
,
VLOOKUP(D2276,IMPORTRANGE(""https://docs.google.com/spreadsheets/d/14Bd19lYaqBhU8_DElYkX7l4wRkHqqCUFNJY4AfY3kHU/edit?usp=sharing  #gid=0"",""фіз особи new!relations_name""),6,FALSE)
,
(IF
(
C2276=""юридична особа""
,
VLOOKUP"&amp;"(D2276,IMPORTRANGE(""https://docs.google.com/spreadsheets/d/14Bd19lYaqBhU8_DElYkX7l4wRkHqqCUFNJY4AfY3kHU/edit?usp=sharing  #gid=0"",""фіз особи new!relations_name_uo""),7,FALSE)
,
)
))"),"КІСЛЯК Сергій Іванович")</f>
        <v>КІСЛЯК Сергій Іванович</v>
      </c>
      <c r="G2275" s="7" t="s">
        <v>10</v>
      </c>
      <c r="H2275" s="7">
        <v>23348</v>
      </c>
      <c r="I2275" s="8" t="str">
        <f ca="1">IFERROR(__xludf.DUMMYFUNCTION("IF
(
G2276=""фізична особа""
,
VLOOKUP(H2276,IMPORTRANGE(""https://docs.google.com/spreadsheets/d/14Bd19lYaqBhU8_DElYkX7l4wRkHqqCUFNJY4AfY3kHU/edit?usp=sharing  #gid=0"",""фіз особи new!relations_name""),6,FALSE)
,
(IF
(
G2276=""юридична особа""
,
VLOOKUP"&amp;"(H2276,IMPORTRANGE(""https://docs.google.com/spreadsheets/d/14Bd19lYaqBhU8_DElYkX7l4wRkHqqCUFNJY4AfY3kHU/edit?usp=sharing  #gid=0"",""фіз особи new!relations_name_uo""),7,FALSE)
,
)
))"),"ФЛІНН Майкл")</f>
        <v>ФЛІНН Майкл</v>
      </c>
      <c r="J2275" s="7" t="s">
        <v>35</v>
      </c>
    </row>
    <row r="2276" spans="1:10" ht="13.2">
      <c r="A2276" s="7">
        <v>2275</v>
      </c>
      <c r="B2276" s="7">
        <v>1</v>
      </c>
      <c r="C2276" s="7" t="s">
        <v>10</v>
      </c>
      <c r="D2276" s="7">
        <v>666</v>
      </c>
      <c r="E2276" s="7" t="s">
        <v>14</v>
      </c>
      <c r="F2276" s="8" t="str">
        <f ca="1">IFERROR(__xludf.DUMMYFUNCTION("IF
(
C2277=""фізична особа""
,
VLOOKUP(D2277,IMPORTRANGE(""https://docs.google.com/spreadsheets/d/14Bd19lYaqBhU8_DElYkX7l4wRkHqqCUFNJY4AfY3kHU/edit?usp=sharing  #gid=0"",""фіз особи new!relations_name""),6,FALSE)
,
(IF
(
C2277=""юридична особа""
,
VLOOKUP"&amp;"(D2277,IMPORTRANGE(""https://docs.google.com/spreadsheets/d/14Bd19lYaqBhU8_DElYkX7l4wRkHqqCUFNJY4AfY3kHU/edit?usp=sharing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76" s="7" t="s">
        <v>10</v>
      </c>
      <c r="H2276" s="7">
        <v>5003</v>
      </c>
      <c r="I2276" s="8" t="str">
        <f ca="1">IFERROR(__xludf.DUMMYFUNCTION("IF
(
G2277=""фізична особа""
,
VLOOKUP(H2277,IMPORTRANGE(""https://docs.google.com/spreadsheets/d/14Bd19lYaqBhU8_DElYkX7l4wRkHqqCUFNJY4AfY3kHU/edit?usp=sharing  #gid=0"",""фіз особи new!relations_name""),6,FALSE)
,
(IF
(
G2277=""юридична особа""
,
VLOOKUP"&amp;"(H2277,IMPORTRANGE(""https://docs.google.com/spreadsheets/d/14Bd19lYaqBhU8_DElYkX7l4wRkHqqCUFNJY4AfY3kHU/edit?usp=sharing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J2276" s="7" t="s">
        <v>15</v>
      </c>
    </row>
    <row r="2277" spans="1:10" ht="13.2">
      <c r="A2277" s="7">
        <v>2276</v>
      </c>
      <c r="B2277" s="7">
        <v>1</v>
      </c>
      <c r="C2277" s="7" t="s">
        <v>10</v>
      </c>
      <c r="D2277" s="7">
        <v>666</v>
      </c>
      <c r="E2277" s="7" t="s">
        <v>12</v>
      </c>
      <c r="F2277" s="8" t="str">
        <f ca="1">IFERROR(__xludf.DUMMYFUNCTION("IF
(
C2278=""фізична особа""
,
VLOOKUP(D2278,IMPORTRANGE(""https://docs.google.com/spreadsheets/d/14Bd19lYaqBhU8_DElYkX7l4wRkHqqCUFNJY4AfY3kHU/edit?usp=sharing  #gid=0"",""фіз особи new!relations_name""),6,FALSE)
,
(IF
(
C2278=""юридична особа""
,
VLOOKUP"&amp;"(D2278,IMPORTRANGE(""https://docs.google.com/spreadsheets/d/14Bd19lYaqBhU8_DElYkX7l4wRkHqqCUFNJY4AfY3kHU/edit?usp=sharing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77" s="7" t="s">
        <v>10</v>
      </c>
      <c r="H2277" s="7">
        <v>5004</v>
      </c>
      <c r="I2277" s="8" t="str">
        <f ca="1">IFERROR(__xludf.DUMMYFUNCTION("IF
(
G2278=""фізична особа""
,
VLOOKUP(H2278,IMPORTRANGE(""https://docs.google.com/spreadsheets/d/14Bd19lYaqBhU8_DElYkX7l4wRkHqqCUFNJY4AfY3kHU/edit?usp=sharing  #gid=0"",""фіз особи new!relations_name""),6,FALSE)
,
(IF
(
G2278=""юридична особа""
,
VLOOKUP"&amp;"(H2278,IMPORTRANGE(""https://docs.google.com/spreadsheets/d/14Bd19lYaqBhU8_DElYkX7l4wRkHqqCUFNJY4AfY3kHU/edit?usp=sharing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J2277" s="7" t="s">
        <v>17</v>
      </c>
    </row>
    <row r="2278" spans="1:10" ht="13.2">
      <c r="A2278" s="7">
        <v>2277</v>
      </c>
      <c r="B2278" s="7">
        <v>1</v>
      </c>
      <c r="C2278" s="7" t="s">
        <v>10</v>
      </c>
      <c r="D2278" s="7">
        <v>666</v>
      </c>
      <c r="E2278" s="7" t="s">
        <v>12</v>
      </c>
      <c r="F2278" s="8" t="str">
        <f ca="1">IFERROR(__xludf.DUMMYFUNCTION("IF
(
C2279=""фізична особа""
,
VLOOKUP(D2279,IMPORTRANGE(""https://docs.google.com/spreadsheets/d/14Bd19lYaqBhU8_DElYkX7l4wRkHqqCUFNJY4AfY3kHU/edit?usp=sharing  #gid=0"",""фіз особи new!relations_name""),6,FALSE)
,
(IF
(
C2279=""юридична особа""
,
VLOOKUP"&amp;"(D2279,IMPORTRANGE(""https://docs.google.com/spreadsheets/d/14Bd19lYaqBhU8_DElYkX7l4wRkHqqCUFNJY4AfY3kHU/edit?usp=sharing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78" s="7" t="s">
        <v>10</v>
      </c>
      <c r="H2278" s="7">
        <v>5005</v>
      </c>
      <c r="I2278" s="8" t="str">
        <f ca="1">IFERROR(__xludf.DUMMYFUNCTION("IF
(
G2279=""фізична особа""
,
VLOOKUP(H2279,IMPORTRANGE(""https://docs.google.com/spreadsheets/d/14Bd19lYaqBhU8_DElYkX7l4wRkHqqCUFNJY4AfY3kHU/edit?usp=sharing  #gid=0"",""фіз особи new!relations_name""),6,FALSE)
,
(IF
(
G2279=""юридична особа""
,
VLOOKUP"&amp;"(H2279,IMPORTRANGE(""https://docs.google.com/spreadsheets/d/14Bd19lYaqBhU8_DElYkX7l4wRkHqqCUFNJY4AfY3kHU/edit?usp=sharing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J2278" s="7" t="s">
        <v>17</v>
      </c>
    </row>
    <row r="2279" spans="1:10" ht="13.2">
      <c r="A2279" s="7">
        <v>2278</v>
      </c>
      <c r="B2279" s="7">
        <v>1</v>
      </c>
      <c r="C2279" s="7" t="s">
        <v>10</v>
      </c>
      <c r="D2279" s="7">
        <v>666</v>
      </c>
      <c r="E2279" s="7" t="s">
        <v>34</v>
      </c>
      <c r="F2279" s="8" t="str">
        <f ca="1">IFERROR(__xludf.DUMMYFUNCTION("IF
(
C2280=""фізична особа""
,
VLOOKUP(D2280,IMPORTRANGE(""https://docs.google.com/spreadsheets/d/14Bd19lYaqBhU8_DElYkX7l4wRkHqqCUFNJY4AfY3kHU/edit?usp=sharing  #gid=0"",""фіз особи new!relations_name""),6,FALSE)
,
(IF
(
C2280=""юридична особа""
,
VLOOKUP"&amp;"(D2280,IMPORTRANGE(""https://docs.google.com/spreadsheets/d/14Bd19lYaqBhU8_DElYkX7l4wRkHqqCUFNJY4AfY3kHU/edit?usp=sharing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79" s="7" t="s">
        <v>10</v>
      </c>
      <c r="H2279" s="7">
        <v>5006</v>
      </c>
      <c r="I2279" s="8" t="str">
        <f ca="1">IFERROR(__xludf.DUMMYFUNCTION("IF
(
G2280=""фізична особа""
,
VLOOKUP(H2280,IMPORTRANGE(""https://docs.google.com/spreadsheets/d/14Bd19lYaqBhU8_DElYkX7l4wRkHqqCUFNJY4AfY3kHU/edit?usp=sharing  #gid=0"",""фіз особи new!relations_name""),6,FALSE)
,
(IF
(
G2280=""юридична особа""
,
VLOOKUP"&amp;"(H2280,IMPORTRANGE(""https://docs.google.com/spreadsheets/d/14Bd19lYaqBhU8_DElYkX7l4wRkHqqCUFNJY4AfY3kHU/edit?usp=sharing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J2279" s="7" t="s">
        <v>25</v>
      </c>
    </row>
    <row r="2280" spans="1:10" ht="13.2">
      <c r="A2280" s="7">
        <v>2279</v>
      </c>
      <c r="B2280" s="7">
        <v>1</v>
      </c>
      <c r="C2280" s="7" t="s">
        <v>10</v>
      </c>
      <c r="D2280" s="7">
        <v>666</v>
      </c>
      <c r="E2280" s="7" t="s">
        <v>65</v>
      </c>
      <c r="F2280" s="8" t="str">
        <f ca="1">IFERROR(__xludf.DUMMYFUNCTION("IF
(
C2281=""фізична особа""
,
VLOOKUP(D2281,IMPORTRANGE(""https://docs.google.com/spreadsheets/d/14Bd19lYaqBhU8_DElYkX7l4wRkHqqCUFNJY4AfY3kHU/edit?usp=sharing  #gid=0"",""фіз особи new!relations_name""),6,FALSE)
,
(IF
(
C2281=""юридична особа""
,
VLOOKUP"&amp;"(D2281,IMPORTRANGE(""https://docs.google.com/spreadsheets/d/14Bd19lYaqBhU8_DElYkX7l4wRkHqqCUFNJY4AfY3kHU/edit?usp=sharing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80" s="7" t="s">
        <v>10</v>
      </c>
      <c r="H2280" s="7">
        <v>0</v>
      </c>
      <c r="I2280" s="8" t="str">
        <f ca="1">IFERROR(__xludf.DUMMYFUNCTION("IF
(
G2281=""фізична особа""
,
VLOOKUP(H2281,IMPORTRANGE(""https://docs.google.com/spreadsheets/d/14Bd19lYaqBhU8_DElYkX7l4wRkHqqCUFNJY4AfY3kHU/edit?usp=sharing  #gid=0"",""фіз особи new!relations_name""),6,FALSE)
,
(IF
(
G2281=""юридична особа""
,
VLOOKUP"&amp;"(H2281,IMPORTRANGE(""https://docs.google.com/spreadsheets/d/14Bd19lYaqBhU8_DElYkX7l4wRkHqqCUFNJY4AfY3kHU/edit?usp=sharing  #gid=0"",""фіз особи new!relations_name_uo""),7,FALSE)
,
)
))"),"#N/A")</f>
        <v>#N/A</v>
      </c>
      <c r="J2280" s="7" t="s">
        <v>64</v>
      </c>
    </row>
    <row r="2281" spans="1:10" ht="13.2">
      <c r="A2281" s="7">
        <v>2280</v>
      </c>
      <c r="B2281" s="7">
        <v>1</v>
      </c>
      <c r="C2281" s="7" t="s">
        <v>10</v>
      </c>
      <c r="D2281" s="7">
        <v>666</v>
      </c>
      <c r="E2281" s="7" t="s">
        <v>48</v>
      </c>
      <c r="F2281" s="8" t="str">
        <f ca="1">IFERROR(__xludf.DUMMYFUNCTION("IF
(
C2282=""фізична особа""
,
VLOOKUP(D2282,IMPORTRANGE(""https://docs.google.com/spreadsheets/d/14Bd19lYaqBhU8_DElYkX7l4wRkHqqCUFNJY4AfY3kHU/edit?usp=sharing  #gid=0"",""фіз особи new!relations_name""),6,FALSE)
,
(IF
(
C2282=""юридична особа""
,
VLOOKUP"&amp;"(D2282,IMPORTRANGE(""https://docs.google.com/spreadsheets/d/14Bd19lYaqBhU8_DElYkX7l4wRkHqqCUFNJY4AfY3kHU/edit?usp=sharing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G2281" s="7" t="s">
        <v>10</v>
      </c>
      <c r="H2281" s="7">
        <v>0</v>
      </c>
      <c r="I2281" s="8" t="str">
        <f ca="1">IFERROR(__xludf.DUMMYFUNCTION("IF
(
G2282=""фізична особа""
,
VLOOKUP(H2282,IMPORTRANGE(""https://docs.google.com/spreadsheets/d/14Bd19lYaqBhU8_DElYkX7l4wRkHqqCUFNJY4AfY3kHU/edit?usp=sharing  #gid=0"",""фіз особи new!relations_name""),6,FALSE)
,
(IF
(
G2282=""юридична особа""
,
VLOOKUP"&amp;"(H2282,IMPORTRANGE(""https://docs.google.com/spreadsheets/d/14Bd19lYaqBhU8_DElYkX7l4wRkHqqCUFNJY4AfY3kHU/edit?usp=sharing  #gid=0"",""фіз особи new!relations_name_uo""),7,FALSE)
,
)
))"),"#N/A")</f>
        <v>#N/A</v>
      </c>
      <c r="J2281" s="7" t="s">
        <v>48</v>
      </c>
    </row>
    <row r="2282" spans="1:10" ht="13.2">
      <c r="A2282" s="7">
        <v>2281</v>
      </c>
      <c r="B2282" s="7">
        <v>1</v>
      </c>
      <c r="C2282" s="7" t="s">
        <v>10</v>
      </c>
      <c r="D2282" s="7">
        <v>667</v>
      </c>
      <c r="E2282" s="7" t="s">
        <v>18</v>
      </c>
      <c r="F2282" s="8" t="str">
        <f ca="1">IFERROR(__xludf.DUMMYFUNCTION("IF
(
C2283=""фізична особа""
,
VLOOKUP(D2283,IMPORTRANGE(""https://docs.google.com/spreadsheets/d/14Bd19lYaqBhU8_DElYkX7l4wRkHqqCUFNJY4AfY3kHU/edit?usp=sharing  #gid=0"",""фіз особи new!relations_name""),6,FALSE)
,
(IF
(
C2283=""юридична особа""
,
VLOOKUP"&amp;"(D2283,IMPORTRANGE(""https://docs.google.com/spreadsheets/d/14Bd19lYaqBhU8_DElYkX7l4wRkHqqCUFNJY4AfY3kHU/edit?usp=sharing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2" s="7" t="s">
        <v>10</v>
      </c>
      <c r="H2282" s="7">
        <v>0</v>
      </c>
      <c r="I2282" s="8" t="str">
        <f ca="1">IFERROR(__xludf.DUMMYFUNCTION("IF
(
G2283=""фізична особа""
,
VLOOKUP(H2283,IMPORTRANGE(""https://docs.google.com/spreadsheets/d/14Bd19lYaqBhU8_DElYkX7l4wRkHqqCUFNJY4AfY3kHU/edit?usp=sharing  #gid=0"",""фіз особи new!relations_name""),6,FALSE)
,
(IF
(
G2283=""юридична особа""
,
VLOOKUP"&amp;"(H2283,IMPORTRANGE(""https://docs.google.com/spreadsheets/d/14Bd19lYaqBhU8_DElYkX7l4wRkHqqCUFNJY4AfY3kHU/edit?usp=sharing  #gid=0"",""фіз особи new!relations_name_uo""),7,FALSE)
,
)
))"),"#N/A")</f>
        <v>#N/A</v>
      </c>
      <c r="J2282" s="7" t="s">
        <v>18</v>
      </c>
    </row>
    <row r="2283" spans="1:10" ht="13.2">
      <c r="A2283" s="7">
        <v>2282</v>
      </c>
      <c r="B2283" s="7">
        <v>1</v>
      </c>
      <c r="C2283" s="7" t="s">
        <v>10</v>
      </c>
      <c r="D2283" s="7">
        <v>667</v>
      </c>
      <c r="E2283" s="7" t="s">
        <v>18</v>
      </c>
      <c r="F2283" s="8" t="str">
        <f ca="1">IFERROR(__xludf.DUMMYFUNCTION("IF
(
C2284=""фізична особа""
,
VLOOKUP(D2284,IMPORTRANGE(""https://docs.google.com/spreadsheets/d/14Bd19lYaqBhU8_DElYkX7l4wRkHqqCUFNJY4AfY3kHU/edit?usp=sharing  #gid=0"",""фіз особи new!relations_name""),6,FALSE)
,
(IF
(
C2284=""юридична особа""
,
VLOOKUP"&amp;"(D2284,IMPORTRANGE(""https://docs.google.com/spreadsheets/d/14Bd19lYaqBhU8_DElYkX7l4wRkHqqCUFNJY4AfY3kHU/edit?usp=sharing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3" s="7" t="s">
        <v>10</v>
      </c>
      <c r="H2283" s="7">
        <v>0</v>
      </c>
      <c r="I2283" s="8" t="str">
        <f ca="1">IFERROR(__xludf.DUMMYFUNCTION("IF
(
G2284=""фізична особа""
,
VLOOKUP(H2284,IMPORTRANGE(""https://docs.google.com/spreadsheets/d/14Bd19lYaqBhU8_DElYkX7l4wRkHqqCUFNJY4AfY3kHU/edit?usp=sharing  #gid=0"",""фіз особи new!relations_name""),6,FALSE)
,
(IF
(
G2284=""юридична особа""
,
VLOOKUP"&amp;"(H2284,IMPORTRANGE(""https://docs.google.com/spreadsheets/d/14Bd19lYaqBhU8_DElYkX7l4wRkHqqCUFNJY4AfY3kHU/edit?usp=sharing  #gid=0"",""фіз особи new!relations_name_uo""),7,FALSE)
,
)
))"),"#N/A")</f>
        <v>#N/A</v>
      </c>
      <c r="J2283" s="7" t="s">
        <v>18</v>
      </c>
    </row>
    <row r="2284" spans="1:10" ht="13.2">
      <c r="A2284" s="7">
        <v>2283</v>
      </c>
      <c r="B2284" s="7">
        <v>1</v>
      </c>
      <c r="C2284" s="7" t="s">
        <v>10</v>
      </c>
      <c r="D2284" s="7">
        <v>667</v>
      </c>
      <c r="E2284" s="7" t="s">
        <v>44</v>
      </c>
      <c r="F2284" s="8" t="str">
        <f ca="1">IFERROR(__xludf.DUMMYFUNCTION("IF
(
C2285=""фізична особа""
,
VLOOKUP(D2285,IMPORTRANGE(""https://docs.google.com/spreadsheets/d/14Bd19lYaqBhU8_DElYkX7l4wRkHqqCUFNJY4AfY3kHU/edit?usp=sharing  #gid=0"",""фіз особи new!relations_name""),6,FALSE)
,
(IF
(
C2285=""юридична особа""
,
VLOOKUP"&amp;"(D2285,IMPORTRANGE(""https://docs.google.com/spreadsheets/d/14Bd19lYaqBhU8_DElYkX7l4wRkHqqCUFNJY4AfY3kHU/edit?usp=sharing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4" s="7" t="s">
        <v>10</v>
      </c>
      <c r="H2284" s="7">
        <v>0</v>
      </c>
      <c r="I2284" s="8" t="str">
        <f ca="1">IFERROR(__xludf.DUMMYFUNCTION("IF
(
G2285=""фізична особа""
,
VLOOKUP(H2285,IMPORTRANGE(""https://docs.google.com/spreadsheets/d/14Bd19lYaqBhU8_DElYkX7l4wRkHqqCUFNJY4AfY3kHU/edit?usp=sharing  #gid=0"",""фіз особи new!relations_name""),6,FALSE)
,
(IF
(
G2285=""юридична особа""
,
VLOOKUP"&amp;"(H2285,IMPORTRANGE(""https://docs.google.com/spreadsheets/d/14Bd19lYaqBhU8_DElYkX7l4wRkHqqCUFNJY4AfY3kHU/edit?usp=sharing  #gid=0"",""фіз особи new!relations_name_uo""),7,FALSE)
,
)
))"),"#N/A")</f>
        <v>#N/A</v>
      </c>
      <c r="J2284" s="7" t="s">
        <v>44</v>
      </c>
    </row>
    <row r="2285" spans="1:10" ht="13.2">
      <c r="A2285" s="7">
        <v>2284</v>
      </c>
      <c r="B2285" s="7">
        <v>1</v>
      </c>
      <c r="C2285" s="7" t="s">
        <v>10</v>
      </c>
      <c r="D2285" s="7">
        <v>667</v>
      </c>
      <c r="E2285" s="7" t="s">
        <v>44</v>
      </c>
      <c r="F2285" s="8" t="str">
        <f ca="1">IFERROR(__xludf.DUMMYFUNCTION("IF
(
C2286=""фізична особа""
,
VLOOKUP(D2286,IMPORTRANGE(""https://docs.google.com/spreadsheets/d/14Bd19lYaqBhU8_DElYkX7l4wRkHqqCUFNJY4AfY3kHU/edit?usp=sharing  #gid=0"",""фіз особи new!relations_name""),6,FALSE)
,
(IF
(
C2286=""юридична особа""
,
VLOOKUP"&amp;"(D2286,IMPORTRANGE(""https://docs.google.com/spreadsheets/d/14Bd19lYaqBhU8_DElYkX7l4wRkHqqCUFNJY4AfY3kHU/edit?usp=sharing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5" s="7" t="s">
        <v>10</v>
      </c>
      <c r="H2285" s="7">
        <v>0</v>
      </c>
      <c r="I2285" s="8" t="str">
        <f ca="1">IFERROR(__xludf.DUMMYFUNCTION("IF
(
G2286=""фізична особа""
,
VLOOKUP(H2286,IMPORTRANGE(""https://docs.google.com/spreadsheets/d/14Bd19lYaqBhU8_DElYkX7l4wRkHqqCUFNJY4AfY3kHU/edit?usp=sharing  #gid=0"",""фіз особи new!relations_name""),6,FALSE)
,
(IF
(
G2286=""юридична особа""
,
VLOOKUP"&amp;"(H2286,IMPORTRANGE(""https://docs.google.com/spreadsheets/d/14Bd19lYaqBhU8_DElYkX7l4wRkHqqCUFNJY4AfY3kHU/edit?usp=sharing  #gid=0"",""фіз особи new!relations_name_uo""),7,FALSE)
,
)
))"),"#N/A")</f>
        <v>#N/A</v>
      </c>
      <c r="J2285" s="7" t="s">
        <v>44</v>
      </c>
    </row>
    <row r="2286" spans="1:10" ht="13.2">
      <c r="A2286" s="7">
        <v>2285</v>
      </c>
      <c r="B2286" s="7">
        <v>1</v>
      </c>
      <c r="C2286" s="7" t="s">
        <v>10</v>
      </c>
      <c r="D2286" s="7">
        <v>667</v>
      </c>
      <c r="E2286" s="7" t="s">
        <v>44</v>
      </c>
      <c r="F2286" s="8" t="str">
        <f ca="1">IFERROR(__xludf.DUMMYFUNCTION("IF
(
C2287=""фізична особа""
,
VLOOKUP(D2287,IMPORTRANGE(""https://docs.google.com/spreadsheets/d/14Bd19lYaqBhU8_DElYkX7l4wRkHqqCUFNJY4AfY3kHU/edit?usp=sharing  #gid=0"",""фіз особи new!relations_name""),6,FALSE)
,
(IF
(
C2287=""юридична особа""
,
VLOOKUP"&amp;"(D2287,IMPORTRANGE(""https://docs.google.com/spreadsheets/d/14Bd19lYaqBhU8_DElYkX7l4wRkHqqCUFNJY4AfY3kHU/edit?usp=sharing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6" s="7" t="s">
        <v>10</v>
      </c>
      <c r="H2286" s="7">
        <v>0</v>
      </c>
      <c r="I2286" s="8" t="str">
        <f ca="1">IFERROR(__xludf.DUMMYFUNCTION("IF
(
G2287=""фізична особа""
,
VLOOKUP(H2287,IMPORTRANGE(""https://docs.google.com/spreadsheets/d/14Bd19lYaqBhU8_DElYkX7l4wRkHqqCUFNJY4AfY3kHU/edit?usp=sharing  #gid=0"",""фіз особи new!relations_name""),6,FALSE)
,
(IF
(
G2287=""юридична особа""
,
VLOOKUP"&amp;"(H2287,IMPORTRANGE(""https://docs.google.com/spreadsheets/d/14Bd19lYaqBhU8_DElYkX7l4wRkHqqCUFNJY4AfY3kHU/edit?usp=sharing  #gid=0"",""фіз особи new!relations_name_uo""),7,FALSE)
,
)
))"),"#N/A")</f>
        <v>#N/A</v>
      </c>
      <c r="J2286" s="7" t="s">
        <v>44</v>
      </c>
    </row>
    <row r="2287" spans="1:10" ht="13.2">
      <c r="A2287" s="7">
        <v>2286</v>
      </c>
      <c r="B2287" s="7">
        <v>1</v>
      </c>
      <c r="C2287" s="7" t="s">
        <v>10</v>
      </c>
      <c r="D2287" s="7">
        <v>667</v>
      </c>
      <c r="E2287" s="7" t="s">
        <v>44</v>
      </c>
      <c r="F2287" s="8" t="str">
        <f ca="1">IFERROR(__xludf.DUMMYFUNCTION("IF
(
C2288=""фізична особа""
,
VLOOKUP(D2288,IMPORTRANGE(""https://docs.google.com/spreadsheets/d/14Bd19lYaqBhU8_DElYkX7l4wRkHqqCUFNJY4AfY3kHU/edit?usp=sharing  #gid=0"",""фіз особи new!relations_name""),6,FALSE)
,
(IF
(
C2288=""юридична особа""
,
VLOOKUP"&amp;"(D2288,IMPORTRANGE(""https://docs.google.com/spreadsheets/d/14Bd19lYaqBhU8_DElYkX7l4wRkHqqCUFNJY4AfY3kHU/edit?usp=sharing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7" s="7" t="s">
        <v>10</v>
      </c>
      <c r="H2287" s="7">
        <v>0</v>
      </c>
      <c r="I2287" s="8" t="str">
        <f ca="1">IFERROR(__xludf.DUMMYFUNCTION("IF
(
G2288=""фізична особа""
,
VLOOKUP(H2288,IMPORTRANGE(""https://docs.google.com/spreadsheets/d/14Bd19lYaqBhU8_DElYkX7l4wRkHqqCUFNJY4AfY3kHU/edit?usp=sharing  #gid=0"",""фіз особи new!relations_name""),6,FALSE)
,
(IF
(
G2288=""юридична особа""
,
VLOOKUP"&amp;"(H2288,IMPORTRANGE(""https://docs.google.com/spreadsheets/d/14Bd19lYaqBhU8_DElYkX7l4wRkHqqCUFNJY4AfY3kHU/edit?usp=sharing  #gid=0"",""фіз особи new!relations_name_uo""),7,FALSE)
,
)
))"),"#N/A")</f>
        <v>#N/A</v>
      </c>
      <c r="J2287" s="7" t="s">
        <v>44</v>
      </c>
    </row>
    <row r="2288" spans="1:10" ht="13.2">
      <c r="A2288" s="7">
        <v>2287</v>
      </c>
      <c r="B2288" s="7">
        <v>1</v>
      </c>
      <c r="C2288" s="7" t="s">
        <v>10</v>
      </c>
      <c r="D2288" s="7">
        <v>667</v>
      </c>
      <c r="E2288" s="7" t="s">
        <v>44</v>
      </c>
      <c r="F2288" s="8" t="str">
        <f ca="1">IFERROR(__xludf.DUMMYFUNCTION("IF
(
C2289=""фізична особа""
,
VLOOKUP(D2289,IMPORTRANGE(""https://docs.google.com/spreadsheets/d/14Bd19lYaqBhU8_DElYkX7l4wRkHqqCUFNJY4AfY3kHU/edit?usp=sharing  #gid=0"",""фіз особи new!relations_name""),6,FALSE)
,
(IF
(
C2289=""юридична особа""
,
VLOOKUP"&amp;"(D2289,IMPORTRANGE(""https://docs.google.com/spreadsheets/d/14Bd19lYaqBhU8_DElYkX7l4wRkHqqCUFNJY4AfY3kHU/edit?usp=sharing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8" s="7" t="s">
        <v>10</v>
      </c>
      <c r="H2288" s="7">
        <v>0</v>
      </c>
      <c r="I2288" s="8" t="str">
        <f ca="1">IFERROR(__xludf.DUMMYFUNCTION("IF
(
G2289=""фізична особа""
,
VLOOKUP(H2289,IMPORTRANGE(""https://docs.google.com/spreadsheets/d/14Bd19lYaqBhU8_DElYkX7l4wRkHqqCUFNJY4AfY3kHU/edit?usp=sharing  #gid=0"",""фіз особи new!relations_name""),6,FALSE)
,
(IF
(
G2289=""юридична особа""
,
VLOOKUP"&amp;"(H2289,IMPORTRANGE(""https://docs.google.com/spreadsheets/d/14Bd19lYaqBhU8_DElYkX7l4wRkHqqCUFNJY4AfY3kHU/edit?usp=sharing  #gid=0"",""фіз особи new!relations_name_uo""),7,FALSE)
,
)
))"),"#N/A")</f>
        <v>#N/A</v>
      </c>
      <c r="J2288" s="7" t="s">
        <v>44</v>
      </c>
    </row>
    <row r="2289" spans="1:10" ht="13.2">
      <c r="A2289" s="7">
        <v>2288</v>
      </c>
      <c r="B2289" s="7">
        <v>1</v>
      </c>
      <c r="C2289" s="7" t="s">
        <v>10</v>
      </c>
      <c r="D2289" s="7">
        <v>667</v>
      </c>
      <c r="E2289" s="7" t="s">
        <v>44</v>
      </c>
      <c r="F2289" s="8" t="str">
        <f ca="1">IFERROR(__xludf.DUMMYFUNCTION("IF
(
C2290=""фізична особа""
,
VLOOKUP(D2290,IMPORTRANGE(""https://docs.google.com/spreadsheets/d/14Bd19lYaqBhU8_DElYkX7l4wRkHqqCUFNJY4AfY3kHU/edit?usp=sharing  #gid=0"",""фіз особи new!relations_name""),6,FALSE)
,
(IF
(
C2290=""юридична особа""
,
VLOOKUP"&amp;"(D2290,IMPORTRANGE(""https://docs.google.com/spreadsheets/d/14Bd19lYaqBhU8_DElYkX7l4wRkHqqCUFNJY4AfY3kHU/edit?usp=sharing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89" s="7" t="s">
        <v>10</v>
      </c>
      <c r="H2289" s="7">
        <v>0</v>
      </c>
      <c r="I2289" s="8" t="str">
        <f ca="1">IFERROR(__xludf.DUMMYFUNCTION("IF
(
G2290=""фізична особа""
,
VLOOKUP(H2290,IMPORTRANGE(""https://docs.google.com/spreadsheets/d/14Bd19lYaqBhU8_DElYkX7l4wRkHqqCUFNJY4AfY3kHU/edit?usp=sharing  #gid=0"",""фіз особи new!relations_name""),6,FALSE)
,
(IF
(
G2290=""юридична особа""
,
VLOOKUP"&amp;"(H2290,IMPORTRANGE(""https://docs.google.com/spreadsheets/d/14Bd19lYaqBhU8_DElYkX7l4wRkHqqCUFNJY4AfY3kHU/edit?usp=sharing  #gid=0"",""фіз особи new!relations_name_uo""),7,FALSE)
,
)
))"),"#N/A")</f>
        <v>#N/A</v>
      </c>
      <c r="J2289" s="7" t="s">
        <v>44</v>
      </c>
    </row>
    <row r="2290" spans="1:10" ht="13.2">
      <c r="A2290" s="7">
        <v>2289</v>
      </c>
      <c r="B2290" s="7">
        <v>1</v>
      </c>
      <c r="C2290" s="7" t="s">
        <v>10</v>
      </c>
      <c r="D2290" s="7">
        <v>667</v>
      </c>
      <c r="E2290" s="7" t="s">
        <v>44</v>
      </c>
      <c r="F2290" s="8" t="str">
        <f ca="1">IFERROR(__xludf.DUMMYFUNCTION("IF
(
C2291=""фізична особа""
,
VLOOKUP(D2291,IMPORTRANGE(""https://docs.google.com/spreadsheets/d/14Bd19lYaqBhU8_DElYkX7l4wRkHqqCUFNJY4AfY3kHU/edit?usp=sharing  #gid=0"",""фіз особи new!relations_name""),6,FALSE)
,
(IF
(
C2291=""юридична особа""
,
VLOOKUP"&amp;"(D2291,IMPORTRANGE(""https://docs.google.com/spreadsheets/d/14Bd19lYaqBhU8_DElYkX7l4wRkHqqCUFNJY4AfY3kHU/edit?usp=sharing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0" s="7" t="s">
        <v>10</v>
      </c>
      <c r="H2290" s="7">
        <v>0</v>
      </c>
      <c r="I2290" s="8" t="str">
        <f ca="1">IFERROR(__xludf.DUMMYFUNCTION("IF
(
G2291=""фізична особа""
,
VLOOKUP(H2291,IMPORTRANGE(""https://docs.google.com/spreadsheets/d/14Bd19lYaqBhU8_DElYkX7l4wRkHqqCUFNJY4AfY3kHU/edit?usp=sharing  #gid=0"",""фіз особи new!relations_name""),6,FALSE)
,
(IF
(
G2291=""юридична особа""
,
VLOOKUP"&amp;"(H2291,IMPORTRANGE(""https://docs.google.com/spreadsheets/d/14Bd19lYaqBhU8_DElYkX7l4wRkHqqCUFNJY4AfY3kHU/edit?usp=sharing  #gid=0"",""фіз особи new!relations_name_uo""),7,FALSE)
,
)
))"),"#N/A")</f>
        <v>#N/A</v>
      </c>
      <c r="J2290" s="7" t="s">
        <v>44</v>
      </c>
    </row>
    <row r="2291" spans="1:10" ht="13.2">
      <c r="A2291" s="7">
        <v>2290</v>
      </c>
      <c r="B2291" s="7">
        <v>1</v>
      </c>
      <c r="C2291" s="7" t="s">
        <v>10</v>
      </c>
      <c r="D2291" s="7">
        <v>667</v>
      </c>
      <c r="E2291" s="7" t="s">
        <v>65</v>
      </c>
      <c r="F2291" s="8" t="str">
        <f ca="1">IFERROR(__xludf.DUMMYFUNCTION("IF
(
C2292=""фізична особа""
,
VLOOKUP(D2292,IMPORTRANGE(""https://docs.google.com/spreadsheets/d/14Bd19lYaqBhU8_DElYkX7l4wRkHqqCUFNJY4AfY3kHU/edit?usp=sharing  #gid=0"",""фіз особи new!relations_name""),6,FALSE)
,
(IF
(
C2292=""юридична особа""
,
VLOOKUP"&amp;"(D2292,IMPORTRANGE(""https://docs.google.com/spreadsheets/d/14Bd19lYaqBhU8_DElYkX7l4wRkHqqCUFNJY4AfY3kHU/edit?usp=sharing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1" s="7" t="s">
        <v>10</v>
      </c>
      <c r="H2291" s="7">
        <v>0</v>
      </c>
      <c r="I2291" s="8" t="str">
        <f ca="1">IFERROR(__xludf.DUMMYFUNCTION("IF
(
G2292=""фізична особа""
,
VLOOKUP(H2292,IMPORTRANGE(""https://docs.google.com/spreadsheets/d/14Bd19lYaqBhU8_DElYkX7l4wRkHqqCUFNJY4AfY3kHU/edit?usp=sharing  #gid=0"",""фіз особи new!relations_name""),6,FALSE)
,
(IF
(
G2292=""юридична особа""
,
VLOOKUP"&amp;"(H2292,IMPORTRANGE(""https://docs.google.com/spreadsheets/d/14Bd19lYaqBhU8_DElYkX7l4wRkHqqCUFNJY4AfY3kHU/edit?usp=sharing  #gid=0"",""фіз особи new!relations_name_uo""),7,FALSE)
,
)
))"),"#N/A")</f>
        <v>#N/A</v>
      </c>
      <c r="J2291" s="7" t="s">
        <v>65</v>
      </c>
    </row>
    <row r="2292" spans="1:10" ht="13.2">
      <c r="A2292" s="7">
        <v>2291</v>
      </c>
      <c r="B2292" s="7">
        <v>1</v>
      </c>
      <c r="C2292" s="7" t="s">
        <v>10</v>
      </c>
      <c r="D2292" s="7">
        <v>667</v>
      </c>
      <c r="E2292" s="7" t="s">
        <v>65</v>
      </c>
      <c r="F2292" s="8" t="str">
        <f ca="1">IFERROR(__xludf.DUMMYFUNCTION("IF
(
C2293=""фізична особа""
,
VLOOKUP(D2293,IMPORTRANGE(""https://docs.google.com/spreadsheets/d/14Bd19lYaqBhU8_DElYkX7l4wRkHqqCUFNJY4AfY3kHU/edit?usp=sharing  #gid=0"",""фіз особи new!relations_name""),6,FALSE)
,
(IF
(
C2293=""юридична особа""
,
VLOOKUP"&amp;"(D2293,IMPORTRANGE(""https://docs.google.com/spreadsheets/d/14Bd19lYaqBhU8_DElYkX7l4wRkHqqCUFNJY4AfY3kHU/edit?usp=sharing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2" s="7" t="s">
        <v>10</v>
      </c>
      <c r="H2292" s="7">
        <v>0</v>
      </c>
      <c r="I2292" s="8" t="str">
        <f ca="1">IFERROR(__xludf.DUMMYFUNCTION("IF
(
G2293=""фізична особа""
,
VLOOKUP(H2293,IMPORTRANGE(""https://docs.google.com/spreadsheets/d/14Bd19lYaqBhU8_DElYkX7l4wRkHqqCUFNJY4AfY3kHU/edit?usp=sharing  #gid=0"",""фіз особи new!relations_name""),6,FALSE)
,
(IF
(
G2293=""юридична особа""
,
VLOOKUP"&amp;"(H2293,IMPORTRANGE(""https://docs.google.com/spreadsheets/d/14Bd19lYaqBhU8_DElYkX7l4wRkHqqCUFNJY4AfY3kHU/edit?usp=sharing  #gid=0"",""фіз особи new!relations_name_uo""),7,FALSE)
,
)
))"),"#N/A")</f>
        <v>#N/A</v>
      </c>
      <c r="J2292" s="7" t="s">
        <v>65</v>
      </c>
    </row>
    <row r="2293" spans="1:10" ht="13.2">
      <c r="A2293" s="7">
        <v>2292</v>
      </c>
      <c r="B2293" s="7">
        <v>1</v>
      </c>
      <c r="C2293" s="7" t="s">
        <v>10</v>
      </c>
      <c r="D2293" s="7">
        <v>667</v>
      </c>
      <c r="E2293" s="7" t="s">
        <v>65</v>
      </c>
      <c r="F2293" s="8" t="str">
        <f ca="1">IFERROR(__xludf.DUMMYFUNCTION("IF
(
C2294=""фізична особа""
,
VLOOKUP(D2294,IMPORTRANGE(""https://docs.google.com/spreadsheets/d/14Bd19lYaqBhU8_DElYkX7l4wRkHqqCUFNJY4AfY3kHU/edit?usp=sharing  #gid=0"",""фіз особи new!relations_name""),6,FALSE)
,
(IF
(
C2294=""юридична особа""
,
VLOOKUP"&amp;"(D2294,IMPORTRANGE(""https://docs.google.com/spreadsheets/d/14Bd19lYaqBhU8_DElYkX7l4wRkHqqCUFNJY4AfY3kHU/edit?usp=sharing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3" s="7" t="s">
        <v>10</v>
      </c>
      <c r="H2293" s="7">
        <v>0</v>
      </c>
      <c r="I2293" s="8" t="str">
        <f ca="1">IFERROR(__xludf.DUMMYFUNCTION("IF
(
G2294=""фізична особа""
,
VLOOKUP(H2294,IMPORTRANGE(""https://docs.google.com/spreadsheets/d/14Bd19lYaqBhU8_DElYkX7l4wRkHqqCUFNJY4AfY3kHU/edit?usp=sharing  #gid=0"",""фіз особи new!relations_name""),6,FALSE)
,
(IF
(
G2294=""юридична особа""
,
VLOOKUP"&amp;"(H2294,IMPORTRANGE(""https://docs.google.com/spreadsheets/d/14Bd19lYaqBhU8_DElYkX7l4wRkHqqCUFNJY4AfY3kHU/edit?usp=sharing  #gid=0"",""фіз особи new!relations_name_uo""),7,FALSE)
,
)
))"),"#N/A")</f>
        <v>#N/A</v>
      </c>
      <c r="J2293" s="7" t="s">
        <v>65</v>
      </c>
    </row>
    <row r="2294" spans="1:10" ht="13.2">
      <c r="A2294" s="7">
        <v>2293</v>
      </c>
      <c r="B2294" s="7">
        <v>1</v>
      </c>
      <c r="C2294" s="7" t="s">
        <v>10</v>
      </c>
      <c r="D2294" s="7">
        <v>667</v>
      </c>
      <c r="E2294" s="7" t="s">
        <v>65</v>
      </c>
      <c r="F2294" s="8" t="str">
        <f ca="1">IFERROR(__xludf.DUMMYFUNCTION("IF
(
C2295=""фізична особа""
,
VLOOKUP(D2295,IMPORTRANGE(""https://docs.google.com/spreadsheets/d/14Bd19lYaqBhU8_DElYkX7l4wRkHqqCUFNJY4AfY3kHU/edit?usp=sharing  #gid=0"",""фіз особи new!relations_name""),6,FALSE)
,
(IF
(
C2295=""юридична особа""
,
VLOOKUP"&amp;"(D2295,IMPORTRANGE(""https://docs.google.com/spreadsheets/d/14Bd19lYaqBhU8_DElYkX7l4wRkHqqCUFNJY4AfY3kHU/edit?usp=sharing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4" s="7" t="s">
        <v>10</v>
      </c>
      <c r="H2294" s="7">
        <v>0</v>
      </c>
      <c r="I2294" s="8" t="str">
        <f ca="1">IFERROR(__xludf.DUMMYFUNCTION("IF
(
G2295=""фізична особа""
,
VLOOKUP(H2295,IMPORTRANGE(""https://docs.google.com/spreadsheets/d/14Bd19lYaqBhU8_DElYkX7l4wRkHqqCUFNJY4AfY3kHU/edit?usp=sharing  #gid=0"",""фіз особи new!relations_name""),6,FALSE)
,
(IF
(
G2295=""юридична особа""
,
VLOOKUP"&amp;"(H2295,IMPORTRANGE(""https://docs.google.com/spreadsheets/d/14Bd19lYaqBhU8_DElYkX7l4wRkHqqCUFNJY4AfY3kHU/edit?usp=sharing  #gid=0"",""фіз особи new!relations_name_uo""),7,FALSE)
,
)
))"),"#N/A")</f>
        <v>#N/A</v>
      </c>
      <c r="J2294" s="7" t="s">
        <v>65</v>
      </c>
    </row>
    <row r="2295" spans="1:10" ht="13.2">
      <c r="A2295" s="7">
        <v>2294</v>
      </c>
      <c r="B2295" s="7">
        <v>1</v>
      </c>
      <c r="C2295" s="7" t="s">
        <v>10</v>
      </c>
      <c r="D2295" s="7">
        <v>667</v>
      </c>
      <c r="E2295" s="7" t="s">
        <v>65</v>
      </c>
      <c r="F2295" s="8" t="str">
        <f ca="1">IFERROR(__xludf.DUMMYFUNCTION("IF
(
C2296=""фізична особа""
,
VLOOKUP(D2296,IMPORTRANGE(""https://docs.google.com/spreadsheets/d/14Bd19lYaqBhU8_DElYkX7l4wRkHqqCUFNJY4AfY3kHU/edit?usp=sharing  #gid=0"",""фіз особи new!relations_name""),6,FALSE)
,
(IF
(
C2296=""юридична особа""
,
VLOOKUP"&amp;"(D2296,IMPORTRANGE(""https://docs.google.com/spreadsheets/d/14Bd19lYaqBhU8_DElYkX7l4wRkHqqCUFNJY4AfY3kHU/edit?usp=sharing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5" s="7" t="s">
        <v>10</v>
      </c>
      <c r="H2295" s="7">
        <v>0</v>
      </c>
      <c r="I2295" s="8" t="str">
        <f ca="1">IFERROR(__xludf.DUMMYFUNCTION("IF
(
G2296=""фізична особа""
,
VLOOKUP(H2296,IMPORTRANGE(""https://docs.google.com/spreadsheets/d/14Bd19lYaqBhU8_DElYkX7l4wRkHqqCUFNJY4AfY3kHU/edit?usp=sharing  #gid=0"",""фіз особи new!relations_name""),6,FALSE)
,
(IF
(
G2296=""юридична особа""
,
VLOOKUP"&amp;"(H2296,IMPORTRANGE(""https://docs.google.com/spreadsheets/d/14Bd19lYaqBhU8_DElYkX7l4wRkHqqCUFNJY4AfY3kHU/edit?usp=sharing  #gid=0"",""фіз особи new!relations_name_uo""),7,FALSE)
,
)
))"),"#N/A")</f>
        <v>#N/A</v>
      </c>
      <c r="J2295" s="7" t="s">
        <v>65</v>
      </c>
    </row>
    <row r="2296" spans="1:10" ht="13.2">
      <c r="A2296" s="7">
        <v>2295</v>
      </c>
      <c r="B2296" s="7">
        <v>1</v>
      </c>
      <c r="C2296" s="7" t="s">
        <v>10</v>
      </c>
      <c r="D2296" s="7">
        <v>667</v>
      </c>
      <c r="E2296" s="7" t="s">
        <v>48</v>
      </c>
      <c r="F2296" s="8" t="str">
        <f ca="1">IFERROR(__xludf.DUMMYFUNCTION("IF
(
C2297=""фізична особа""
,
VLOOKUP(D2297,IMPORTRANGE(""https://docs.google.com/spreadsheets/d/14Bd19lYaqBhU8_DElYkX7l4wRkHqqCUFNJY4AfY3kHU/edit?usp=sharing  #gid=0"",""фіз особи new!relations_name""),6,FALSE)
,
(IF
(
C2297=""юридична особа""
,
VLOOKUP"&amp;"(D2297,IMPORTRANGE(""https://docs.google.com/spreadsheets/d/14Bd19lYaqBhU8_DElYkX7l4wRkHqqCUFNJY4AfY3kHU/edit?usp=sharing  #gid=0"",""фіз особи new!relations_name_uo""),7,FALSE)
,
)
))"),"САЛПАГАРОВ Ахмат Анзорович")</f>
        <v>САЛПАГАРОВ Ахмат Анзорович</v>
      </c>
      <c r="G2296" s="7" t="s">
        <v>10</v>
      </c>
      <c r="H2296" s="7">
        <v>0</v>
      </c>
      <c r="I2296" s="8" t="str">
        <f ca="1">IFERROR(__xludf.DUMMYFUNCTION("IF
(
G2297=""фізична особа""
,
VLOOKUP(H2297,IMPORTRANGE(""https://docs.google.com/spreadsheets/d/14Bd19lYaqBhU8_DElYkX7l4wRkHqqCUFNJY4AfY3kHU/edit?usp=sharing  #gid=0"",""фіз особи new!relations_name""),6,FALSE)
,
(IF
(
G2297=""юридична особа""
,
VLOOKUP"&amp;"(H2297,IMPORTRANGE(""https://docs.google.com/spreadsheets/d/14Bd19lYaqBhU8_DElYkX7l4wRkHqqCUFNJY4AfY3kHU/edit?usp=sharing  #gid=0"",""фіз особи new!relations_name_uo""),7,FALSE)
,
)
))"),"#N/A")</f>
        <v>#N/A</v>
      </c>
      <c r="J2296" s="7" t="s">
        <v>48</v>
      </c>
    </row>
    <row r="2297" spans="1:10" ht="13.2">
      <c r="A2297" s="7">
        <v>2296</v>
      </c>
      <c r="B2297" s="7">
        <v>1</v>
      </c>
      <c r="C2297" s="7" t="s">
        <v>10</v>
      </c>
      <c r="D2297" s="7">
        <v>668</v>
      </c>
      <c r="E2297" s="7" t="s">
        <v>35</v>
      </c>
      <c r="F2297" s="8" t="str">
        <f ca="1">IFERROR(__xludf.DUMMYFUNCTION("IF
(
C2298=""фізична особа""
,
VLOOKUP(D2298,IMPORTRANGE(""https://docs.google.com/spreadsheets/d/14Bd19lYaqBhU8_DElYkX7l4wRkHqqCUFNJY4AfY3kHU/edit?usp=sharing  #gid=0"",""фіз особи new!relations_name""),6,FALSE)
,
(IF
(
C2298=""юридична особа""
,
VLOOKUP"&amp;"(D2298,IMPORTRANGE(""https://docs.google.com/spreadsheets/d/14Bd19lYaqBhU8_DElYkX7l4wRkHqqCUFNJY4AfY3kHU/edit?usp=sharing  #gid=0"",""фіз особи new!relations_name_uo""),7,FALSE)
,
)
))"),"ДРОЗДОВ Олександр Сергійович")</f>
        <v>ДРОЗДОВ Олександр Сергійович</v>
      </c>
      <c r="G2297" s="7" t="s">
        <v>10</v>
      </c>
      <c r="H2297" s="7">
        <v>4051</v>
      </c>
      <c r="I2297" s="8" t="str">
        <f ca="1">IFERROR(__xludf.DUMMYFUNCTION("IF
(
G2298=""фізична особа""
,
VLOOKUP(H2298,IMPORTRANGE(""https://docs.google.com/spreadsheets/d/14Bd19lYaqBhU8_DElYkX7l4wRkHqqCUFNJY4AfY3kHU/edit?usp=sharing  #gid=0"",""фіз особи new!relations_name""),6,FALSE)
,
(IF
(
G2298=""юридична особа""
,
VLOOKUP"&amp;"(H2298,IMPORTRANGE(""https://docs.google.com/spreadsheets/d/14Bd19lYaqBhU8_DElYkX7l4wRkHqqCUFNJY4AfY3kHU/edit?usp=sharing  #gid=0"",""фіз особи new!relations_name_uo""),7,FALSE)
,
)
))"),"ГУТЕНЬОВ Володимир Володимирович")</f>
        <v>ГУТЕНЬОВ Володимир Володимирович</v>
      </c>
      <c r="J2297" s="7" t="s">
        <v>35</v>
      </c>
    </row>
    <row r="2298" spans="1:10" ht="13.2">
      <c r="A2298" s="7">
        <v>2297</v>
      </c>
      <c r="B2298" s="7">
        <v>1</v>
      </c>
      <c r="C2298" s="7" t="s">
        <v>10</v>
      </c>
      <c r="D2298" s="7">
        <v>669</v>
      </c>
      <c r="E2298" s="7" t="s">
        <v>14</v>
      </c>
      <c r="F2298" s="8" t="str">
        <f ca="1">IFERROR(__xludf.DUMMYFUNCTION("IF
(
C2299=""фізична особа""
,
VLOOKUP(D2299,IMPORTRANGE(""https://docs.google.com/spreadsheets/d/14Bd19lYaqBhU8_DElYkX7l4wRkHqqCUFNJY4AfY3kHU/edit?usp=sharing  #gid=0"",""фіз особи new!relations_name""),6,FALSE)
,
(IF
(
C2299=""юридична особа""
,
VLOOKUP"&amp;"(D2299,IMPORTRANGE(""https://docs.google.com/spreadsheets/d/14Bd19lYaqBhU8_DElYkX7l4wRkHqqCUFNJY4AfY3kHU/edit?usp=sharing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298" s="7" t="s">
        <v>10</v>
      </c>
      <c r="H2298" s="7">
        <v>23436</v>
      </c>
      <c r="I2298" s="8" t="str">
        <f ca="1">IFERROR(__xludf.DUMMYFUNCTION("IF
(
G2299=""фізична особа""
,
VLOOKUP(H2299,IMPORTRANGE(""https://docs.google.com/spreadsheets/d/14Bd19lYaqBhU8_DElYkX7l4wRkHqqCUFNJY4AfY3kHU/edit?usp=sharing  #gid=0"",""фіз особи new!relations_name""),6,FALSE)
,
(IF
(
G2299=""юридична особа""
,
VLOOKUP"&amp;"(H2299,IMPORTRANGE(""https://docs.google.com/spreadsheets/d/14Bd19lYaqBhU8_DElYkX7l4wRkHqqCUFNJY4AfY3kHU/edit?usp=sharing  #gid=0"",""фіз особи new!relations_name_uo""),7,FALSE)
,
)
))"),"КІРІЄНКО Марія Володимирівна")</f>
        <v>КІРІЄНКО Марія Володимирівна</v>
      </c>
      <c r="J2298" s="7" t="s">
        <v>15</v>
      </c>
    </row>
    <row r="2299" spans="1:10" ht="13.2">
      <c r="A2299" s="7">
        <v>2298</v>
      </c>
      <c r="B2299" s="7">
        <v>1</v>
      </c>
      <c r="C2299" s="7" t="s">
        <v>10</v>
      </c>
      <c r="D2299" s="7">
        <v>669</v>
      </c>
      <c r="E2299" s="7" t="s">
        <v>12</v>
      </c>
      <c r="F2299" s="8" t="str">
        <f ca="1">IFERROR(__xludf.DUMMYFUNCTION("IF
(
C2300=""фізична особа""
,
VLOOKUP(D2300,IMPORTRANGE(""https://docs.google.com/spreadsheets/d/14Bd19lYaqBhU8_DElYkX7l4wRkHqqCUFNJY4AfY3kHU/edit?usp=sharing  #gid=0"",""фіз особи new!relations_name""),6,FALSE)
,
(IF
(
C2300=""юридична особа""
,
VLOOKUP"&amp;"(D2300,IMPORTRANGE(""https://docs.google.com/spreadsheets/d/14Bd19lYaqBhU8_DElYkX7l4wRkHqqCUFNJY4AfY3kHU/edit?usp=sharing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299" s="7" t="s">
        <v>10</v>
      </c>
      <c r="H2299" s="7">
        <v>23437</v>
      </c>
      <c r="I2299" s="8" t="str">
        <f ca="1">IFERROR(__xludf.DUMMYFUNCTION("IF
(
G2300=""фізична особа""
,
VLOOKUP(H2300,IMPORTRANGE(""https://docs.google.com/spreadsheets/d/14Bd19lYaqBhU8_DElYkX7l4wRkHqqCUFNJY4AfY3kHU/edit?usp=sharing  #gid=0"",""фіз особи new!relations_name""),6,FALSE)
,
(IF
(
G2300=""юридична особа""
,
VLOOKUP"&amp;"(H2300,IMPORTRANGE(""https://docs.google.com/spreadsheets/d/14Bd19lYaqBhU8_DElYkX7l4wRkHqqCUFNJY4AfY3kHU/edit?usp=sharing  #gid=0"",""фіз особи new!relations_name_uo""),7,FALSE)
,
)
))"),"КІРІЄНКО Любов Сергіївна")</f>
        <v>КІРІЄНКО Любов Сергіївна</v>
      </c>
      <c r="J2299" s="7" t="s">
        <v>13</v>
      </c>
    </row>
    <row r="2300" spans="1:10" ht="13.2">
      <c r="A2300" s="7">
        <v>2299</v>
      </c>
      <c r="B2300" s="7">
        <v>1</v>
      </c>
      <c r="C2300" s="7" t="s">
        <v>10</v>
      </c>
      <c r="D2300" s="7">
        <v>669</v>
      </c>
      <c r="E2300" s="7" t="s">
        <v>12</v>
      </c>
      <c r="F2300" s="8" t="str">
        <f ca="1">IFERROR(__xludf.DUMMYFUNCTION("IF
(
C2301=""фізична особа""
,
VLOOKUP(D2301,IMPORTRANGE(""https://docs.google.com/spreadsheets/d/14Bd19lYaqBhU8_DElYkX7l4wRkHqqCUFNJY4AfY3kHU/edit?usp=sharing  #gid=0"",""фіз особи new!relations_name""),6,FALSE)
,
(IF
(
C2301=""юридична особа""
,
VLOOKUP"&amp;"(D2301,IMPORTRANGE(""https://docs.google.com/spreadsheets/d/14Bd19lYaqBhU8_DElYkX7l4wRkHqqCUFNJY4AfY3kHU/edit?usp=sharing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0" s="7" t="s">
        <v>10</v>
      </c>
      <c r="H2300" s="7">
        <v>863</v>
      </c>
      <c r="I2300" s="8" t="str">
        <f ca="1">IFERROR(__xludf.DUMMYFUNCTION("IF
(
G2301=""фізична особа""
,
VLOOKUP(H2301,IMPORTRANGE(""https://docs.google.com/spreadsheets/d/14Bd19lYaqBhU8_DElYkX7l4wRkHqqCUFNJY4AfY3kHU/edit?usp=sharing  #gid=0"",""фіз особи new!relations_name""),6,FALSE)
,
(IF
(
G2301=""юридична особа""
,
VLOOKUP"&amp;"(H2301,IMPORTRANGE(""https://docs.google.com/spreadsheets/d/14Bd19lYaqBhU8_DElYkX7l4wRkHqqCUFNJY4AfY3kHU/edit?usp=sharing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J2300" s="7" t="s">
        <v>17</v>
      </c>
    </row>
    <row r="2301" spans="1:10" ht="13.2">
      <c r="A2301" s="7">
        <v>2300</v>
      </c>
      <c r="B2301" s="7">
        <v>1</v>
      </c>
      <c r="C2301" s="7" t="s">
        <v>10</v>
      </c>
      <c r="D2301" s="7">
        <v>669</v>
      </c>
      <c r="E2301" s="7" t="s">
        <v>12</v>
      </c>
      <c r="F2301" s="8" t="str">
        <f ca="1">IFERROR(__xludf.DUMMYFUNCTION("IF
(
C2302=""фізична особа""
,
VLOOKUP(D2302,IMPORTRANGE(""https://docs.google.com/spreadsheets/d/14Bd19lYaqBhU8_DElYkX7l4wRkHqqCUFNJY4AfY3kHU/edit?usp=sharing  #gid=0"",""фіз особи new!relations_name""),6,FALSE)
,
(IF
(
C2302=""юридична особа""
,
VLOOKUP"&amp;"(D2302,IMPORTRANGE(""https://docs.google.com/spreadsheets/d/14Bd19lYaqBhU8_DElYkX7l4wRkHqqCUFNJY4AfY3kHU/edit?usp=sharing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1" s="7" t="s">
        <v>10</v>
      </c>
      <c r="H2301" s="7">
        <v>0</v>
      </c>
      <c r="I2301" s="8" t="str">
        <f ca="1">IFERROR(__xludf.DUMMYFUNCTION("IF
(
G2302=""фізична особа""
,
VLOOKUP(H2302,IMPORTRANGE(""https://docs.google.com/spreadsheets/d/14Bd19lYaqBhU8_DElYkX7l4wRkHqqCUFNJY4AfY3kHU/edit?usp=sharing  #gid=0"",""фіз особи new!relations_name""),6,FALSE)
,
(IF
(
G2302=""юридична особа""
,
VLOOKUP"&amp;"(H2302,IMPORTRANGE(""https://docs.google.com/spreadsheets/d/14Bd19lYaqBhU8_DElYkX7l4wRkHqqCUFNJY4AfY3kHU/edit?usp=sharing  #gid=0"",""фіз особи new!relations_name_uo""),7,FALSE)
,
)
))"),"#N/A")</f>
        <v>#N/A</v>
      </c>
      <c r="J2301" s="7" t="s">
        <v>13</v>
      </c>
    </row>
    <row r="2302" spans="1:10" ht="13.2">
      <c r="A2302" s="7">
        <v>2301</v>
      </c>
      <c r="B2302" s="7">
        <v>1</v>
      </c>
      <c r="C2302" s="7" t="s">
        <v>10</v>
      </c>
      <c r="D2302" s="7">
        <v>669</v>
      </c>
      <c r="E2302" s="7" t="s">
        <v>34</v>
      </c>
      <c r="F2302" s="8" t="str">
        <f ca="1">IFERROR(__xludf.DUMMYFUNCTION("IF
(
C2303=""фізична особа""
,
VLOOKUP(D2303,IMPORTRANGE(""https://docs.google.com/spreadsheets/d/14Bd19lYaqBhU8_DElYkX7l4wRkHqqCUFNJY4AfY3kHU/edit?usp=sharing  #gid=0"",""фіз особи new!relations_name""),6,FALSE)
,
(IF
(
C2303=""юридична особа""
,
VLOOKUP"&amp;"(D2303,IMPORTRANGE(""https://docs.google.com/spreadsheets/d/14Bd19lYaqBhU8_DElYkX7l4wRkHqqCUFNJY4AfY3kHU/edit?usp=sharing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2" s="7" t="s">
        <v>10</v>
      </c>
      <c r="H2302" s="7">
        <v>0</v>
      </c>
      <c r="I2302" s="8" t="str">
        <f ca="1">IFERROR(__xludf.DUMMYFUNCTION("IF
(
G2303=""фізична особа""
,
VLOOKUP(H2303,IMPORTRANGE(""https://docs.google.com/spreadsheets/d/14Bd19lYaqBhU8_DElYkX7l4wRkHqqCUFNJY4AfY3kHU/edit?usp=sharing  #gid=0"",""фіз особи new!relations_name""),6,FALSE)
,
(IF
(
G2303=""юридична особа""
,
VLOOKUP"&amp;"(H2303,IMPORTRANGE(""https://docs.google.com/spreadsheets/d/14Bd19lYaqBhU8_DElYkX7l4wRkHqqCUFNJY4AfY3kHU/edit?usp=sharing  #gid=0"",""фіз особи new!relations_name_uo""),7,FALSE)
,
)
))"),"#N/A")</f>
        <v>#N/A</v>
      </c>
      <c r="J2302" s="7" t="s">
        <v>25</v>
      </c>
    </row>
    <row r="2303" spans="1:10" ht="13.2">
      <c r="A2303" s="7">
        <v>2302</v>
      </c>
      <c r="B2303" s="7">
        <v>1</v>
      </c>
      <c r="C2303" s="7" t="s">
        <v>10</v>
      </c>
      <c r="D2303" s="7">
        <v>669</v>
      </c>
      <c r="E2303" s="7" t="s">
        <v>18</v>
      </c>
      <c r="F2303" s="8" t="str">
        <f ca="1">IFERROR(__xludf.DUMMYFUNCTION("IF
(
C2304=""фізична особа""
,
VLOOKUP(D2304,IMPORTRANGE(""https://docs.google.com/spreadsheets/d/14Bd19lYaqBhU8_DElYkX7l4wRkHqqCUFNJY4AfY3kHU/edit?usp=sharing  #gid=0"",""фіз особи new!relations_name""),6,FALSE)
,
(IF
(
C2304=""юридична особа""
,
VLOOKUP"&amp;"(D2304,IMPORTRANGE(""https://docs.google.com/spreadsheets/d/14Bd19lYaqBhU8_DElYkX7l4wRkHqqCUFNJY4AfY3kHU/edit?usp=sharing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3" s="7" t="s">
        <v>10</v>
      </c>
      <c r="H2303" s="7">
        <v>23438</v>
      </c>
      <c r="I2303" s="8" t="str">
        <f ca="1">IFERROR(__xludf.DUMMYFUNCTION("IF
(
G2304=""фізична особа""
,
VLOOKUP(H2304,IMPORTRANGE(""https://docs.google.com/spreadsheets/d/14Bd19lYaqBhU8_DElYkX7l4wRkHqqCUFNJY4AfY3kHU/edit?usp=sharing  #gid=0"",""фіз особи new!relations_name""),6,FALSE)
,
(IF
(
G2304=""юридична особа""
,
VLOOKUP"&amp;"(H2304,IMPORTRANGE(""https://docs.google.com/spreadsheets/d/14Bd19lYaqBhU8_DElYkX7l4wRkHqqCUFNJY4AfY3kHU/edit?usp=sharing  #gid=0"",""фіз особи new!relations_name_uo""),7,FALSE)
,
)
))"),"КОТЕЛЬНІКОВА Ганна Владиленівна")</f>
        <v>КОТЕЛЬНІКОВА Ганна Владиленівна</v>
      </c>
      <c r="J2303" s="7" t="s">
        <v>31</v>
      </c>
    </row>
    <row r="2304" spans="1:10" ht="13.2">
      <c r="A2304" s="7">
        <v>2303</v>
      </c>
      <c r="B2304" s="7">
        <v>1</v>
      </c>
      <c r="C2304" s="7" t="s">
        <v>10</v>
      </c>
      <c r="D2304" s="7">
        <v>669</v>
      </c>
      <c r="E2304" s="7" t="s">
        <v>24</v>
      </c>
      <c r="F2304" s="8" t="str">
        <f ca="1">IFERROR(__xludf.DUMMYFUNCTION("IF
(
C2305=""фізична особа""
,
VLOOKUP(D2305,IMPORTRANGE(""https://docs.google.com/spreadsheets/d/14Bd19lYaqBhU8_DElYkX7l4wRkHqqCUFNJY4AfY3kHU/edit?usp=sharing  #gid=0"",""фіз особи new!relations_name""),6,FALSE)
,
(IF
(
C2305=""юридична особа""
,
VLOOKUP"&amp;"(D2305,IMPORTRANGE(""https://docs.google.com/spreadsheets/d/14Bd19lYaqBhU8_DElYkX7l4wRkHqqCUFNJY4AfY3kHU/edit?usp=sharing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4" s="7" t="s">
        <v>10</v>
      </c>
      <c r="H2304" s="7">
        <v>0</v>
      </c>
      <c r="I2304" s="8" t="str">
        <f ca="1">IFERROR(__xludf.DUMMYFUNCTION("IF
(
G2305=""фізична особа""
,
VLOOKUP(H2305,IMPORTRANGE(""https://docs.google.com/spreadsheets/d/14Bd19lYaqBhU8_DElYkX7l4wRkHqqCUFNJY4AfY3kHU/edit?usp=sharing  #gid=0"",""фіз особи new!relations_name""),6,FALSE)
,
(IF
(
G2305=""юридична особа""
,
VLOOKUP"&amp;"(H2305,IMPORTRANGE(""https://docs.google.com/spreadsheets/d/14Bd19lYaqBhU8_DElYkX7l4wRkHqqCUFNJY4AfY3kHU/edit?usp=sharing  #gid=0"",""фіз особи new!relations_name_uo""),7,FALSE)
,
)
))"),"#N/A")</f>
        <v>#N/A</v>
      </c>
      <c r="J2304" s="7" t="s">
        <v>26</v>
      </c>
    </row>
    <row r="2305" spans="1:10" ht="13.2">
      <c r="A2305" s="7">
        <v>2304</v>
      </c>
      <c r="B2305" s="7">
        <v>1</v>
      </c>
      <c r="C2305" s="7" t="s">
        <v>10</v>
      </c>
      <c r="D2305" s="7">
        <v>669</v>
      </c>
      <c r="E2305" s="7" t="s">
        <v>16</v>
      </c>
      <c r="F2305" s="8" t="str">
        <f ca="1">IFERROR(__xludf.DUMMYFUNCTION("IF
(
C2306=""фізична особа""
,
VLOOKUP(D2306,IMPORTRANGE(""https://docs.google.com/spreadsheets/d/14Bd19lYaqBhU8_DElYkX7l4wRkHqqCUFNJY4AfY3kHU/edit?usp=sharing  #gid=0"",""фіз особи new!relations_name""),6,FALSE)
,
(IF
(
C2306=""юридична особа""
,
VLOOKUP"&amp;"(D2306,IMPORTRANGE(""https://docs.google.com/spreadsheets/d/14Bd19lYaqBhU8_DElYkX7l4wRkHqqCUFNJY4AfY3kHU/edit?usp=sharing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5" s="7" t="s">
        <v>10</v>
      </c>
      <c r="H2305" s="7">
        <v>846</v>
      </c>
      <c r="I2305" s="8" t="str">
        <f ca="1">IFERROR(__xludf.DUMMYFUNCTION("IF
(
G2306=""фізична особа""
,
VLOOKUP(H2306,IMPORTRANGE(""https://docs.google.com/spreadsheets/d/14Bd19lYaqBhU8_DElYkX7l4wRkHqqCUFNJY4AfY3kHU/edit?usp=sharing  #gid=0"",""фіз особи new!relations_name""),6,FALSE)
,
(IF
(
G2306=""юридична особа""
,
VLOOKUP"&amp;"(H2306,IMPORTRANGE(""https://docs.google.com/spreadsheets/d/14Bd19lYaqBhU8_DElYkX7l4wRkHqqCUFNJY4AfY3kHU/edit?usp=sharing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J2305" s="7" t="s">
        <v>16</v>
      </c>
    </row>
    <row r="2306" spans="1:10" ht="13.2">
      <c r="A2306" s="7">
        <v>2305</v>
      </c>
      <c r="B2306" s="7">
        <v>1</v>
      </c>
      <c r="C2306" s="7" t="s">
        <v>10</v>
      </c>
      <c r="D2306" s="7">
        <v>669</v>
      </c>
      <c r="E2306" s="7" t="s">
        <v>29</v>
      </c>
      <c r="F2306" s="8" t="str">
        <f ca="1">IFERROR(__xludf.DUMMYFUNCTION("IF
(
C2307=""фізична особа""
,
VLOOKUP(D2307,IMPORTRANGE(""https://docs.google.com/spreadsheets/d/14Bd19lYaqBhU8_DElYkX7l4wRkHqqCUFNJY4AfY3kHU/edit?usp=sharing  #gid=0"",""фіз особи new!relations_name""),6,FALSE)
,
(IF
(
C2307=""юридична особа""
,
VLOOKUP"&amp;"(D2307,IMPORTRANGE(""https://docs.google.com/spreadsheets/d/14Bd19lYaqBhU8_DElYkX7l4wRkHqqCUFNJY4AfY3kHU/edit?usp=sharing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6" s="7" t="s">
        <v>10</v>
      </c>
      <c r="H2306" s="7">
        <v>0</v>
      </c>
      <c r="I2306" s="8" t="str">
        <f ca="1">IFERROR(__xludf.DUMMYFUNCTION("IF
(
G2307=""фізична особа""
,
VLOOKUP(H2307,IMPORTRANGE(""https://docs.google.com/spreadsheets/d/14Bd19lYaqBhU8_DElYkX7l4wRkHqqCUFNJY4AfY3kHU/edit?usp=sharing  #gid=0"",""фіз особи new!relations_name""),6,FALSE)
,
(IF
(
G2307=""юридична особа""
,
VLOOKUP"&amp;"(H2307,IMPORTRANGE(""https://docs.google.com/spreadsheets/d/14Bd19lYaqBhU8_DElYkX7l4wRkHqqCUFNJY4AfY3kHU/edit?usp=sharing  #gid=0"",""фіз особи new!relations_name_uo""),7,FALSE)
,
)
))"),"#N/A")</f>
        <v>#N/A</v>
      </c>
      <c r="J2306" s="7" t="s">
        <v>28</v>
      </c>
    </row>
    <row r="2307" spans="1:10" ht="13.2">
      <c r="A2307" s="7">
        <v>2306</v>
      </c>
      <c r="B2307" s="7">
        <v>1</v>
      </c>
      <c r="C2307" s="7" t="s">
        <v>10</v>
      </c>
      <c r="D2307" s="7">
        <v>669</v>
      </c>
      <c r="E2307" s="7" t="s">
        <v>41</v>
      </c>
      <c r="F2307" s="8" t="str">
        <f ca="1">IFERROR(__xludf.DUMMYFUNCTION("IF
(
C2308=""фізична особа""
,
VLOOKUP(D2308,IMPORTRANGE(""https://docs.google.com/spreadsheets/d/14Bd19lYaqBhU8_DElYkX7l4wRkHqqCUFNJY4AfY3kHU/edit?usp=sharing  #gid=0"",""фіз особи new!relations_name""),6,FALSE)
,
(IF
(
C2308=""юридична особа""
,
VLOOKUP"&amp;"(D2308,IMPORTRANGE(""https://docs.google.com/spreadsheets/d/14Bd19lYaqBhU8_DElYkX7l4wRkHqqCUFNJY4AfY3kHU/edit?usp=sharing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7" s="7" t="s">
        <v>10</v>
      </c>
      <c r="H2307" s="7">
        <v>5746</v>
      </c>
      <c r="I2307" s="8" t="str">
        <f ca="1">IFERROR(__xludf.DUMMYFUNCTION("IF
(
G2308=""фізична особа""
,
VLOOKUP(H2308,IMPORTRANGE(""https://docs.google.com/spreadsheets/d/14Bd19lYaqBhU8_DElYkX7l4wRkHqqCUFNJY4AfY3kHU/edit?usp=sharing  #gid=0"",""фіз особи new!relations_name""),6,FALSE)
,
(IF
(
G2308=""юридична особа""
,
VLOOKUP"&amp;"(H2308,IMPORTRANGE(""https://docs.google.com/spreadsheets/d/14Bd19lYaqBhU8_DElYkX7l4wRkHqqCUFNJY4AfY3kHU/edit?usp=sharing  #gid=0"",""фіз особи new!relations_name_uo""),7,FALSE)
,
)
))"),"ПОЛЛИЄВА Джахан Реджепівна")</f>
        <v>ПОЛЛИЄВА Джахан Реджепівна</v>
      </c>
      <c r="J2307" s="7" t="s">
        <v>40</v>
      </c>
    </row>
    <row r="2308" spans="1:10" ht="13.2">
      <c r="A2308" s="7">
        <v>2307</v>
      </c>
      <c r="B2308" s="7">
        <v>1</v>
      </c>
      <c r="C2308" s="7" t="s">
        <v>10</v>
      </c>
      <c r="D2308" s="7">
        <v>669</v>
      </c>
      <c r="E2308" s="7" t="s">
        <v>29</v>
      </c>
      <c r="F2308" s="8" t="str">
        <f ca="1">IFERROR(__xludf.DUMMYFUNCTION("IF
(
C2309=""фізична особа""
,
VLOOKUP(D2309,IMPORTRANGE(""https://docs.google.com/spreadsheets/d/14Bd19lYaqBhU8_DElYkX7l4wRkHqqCUFNJY4AfY3kHU/edit?usp=sharing  #gid=0"",""фіз особи new!relations_name""),6,FALSE)
,
(IF
(
C2309=""юридична особа""
,
VLOOKUP"&amp;"(D2309,IMPORTRANGE(""https://docs.google.com/spreadsheets/d/14Bd19lYaqBhU8_DElYkX7l4wRkHqqCUFNJY4AfY3kHU/edit?usp=sharing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8" s="7" t="s">
        <v>10</v>
      </c>
      <c r="H2308" s="7">
        <v>2473</v>
      </c>
      <c r="I2308" s="8" t="str">
        <f ca="1">IFERROR(__xludf.DUMMYFUNCTION("IF
(
G2309=""фізична особа""
,
VLOOKUP(H2309,IMPORTRANGE(""https://docs.google.com/spreadsheets/d/14Bd19lYaqBhU8_DElYkX7l4wRkHqqCUFNJY4AfY3kHU/edit?usp=sharing  #gid=0"",""фіз особи new!relations_name""),6,FALSE)
,
(IF
(
G2309=""юридична особа""
,
VLOOKUP"&amp;"(H2309,IMPORTRANGE(""https://docs.google.com/spreadsheets/d/14Bd19lYaqBhU8_DElYkX7l4wRkHqqCUFNJY4AfY3kHU/edit?usp=sharing  #gid=0"",""фіз особи new!relations_name_uo""),7,FALSE)
,
)
))"),"ФЕДОРОВ Антон Юрійович")</f>
        <v>ФЕДОРОВ Антон Юрійович</v>
      </c>
      <c r="J2308" s="7" t="s">
        <v>28</v>
      </c>
    </row>
    <row r="2309" spans="1:10" ht="13.2">
      <c r="A2309" s="7">
        <v>2308</v>
      </c>
      <c r="B2309" s="7">
        <v>1</v>
      </c>
      <c r="C2309" s="7" t="s">
        <v>10</v>
      </c>
      <c r="D2309" s="7">
        <v>669</v>
      </c>
      <c r="E2309" s="7" t="s">
        <v>48</v>
      </c>
      <c r="F2309" s="8" t="str">
        <f ca="1">IFERROR(__xludf.DUMMYFUNCTION("IF
(
C2310=""фізична особа""
,
VLOOKUP(D2310,IMPORTRANGE(""https://docs.google.com/spreadsheets/d/14Bd19lYaqBhU8_DElYkX7l4wRkHqqCUFNJY4AfY3kHU/edit?usp=sharing  #gid=0"",""фіз особи new!relations_name""),6,FALSE)
,
(IF
(
C2310=""юридична особа""
,
VLOOKUP"&amp;"(D2310,IMPORTRANGE(""https://docs.google.com/spreadsheets/d/14Bd19lYaqBhU8_DElYkX7l4wRkHqqCUFNJY4AfY3kHU/edit?usp=sharing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09" s="7" t="s">
        <v>10</v>
      </c>
      <c r="H2309" s="7">
        <v>406</v>
      </c>
      <c r="I2309" s="8" t="str">
        <f ca="1">IFERROR(__xludf.DUMMYFUNCTION("IF
(
G2310=""фізична особа""
,
VLOOKUP(H2310,IMPORTRANGE(""https://docs.google.com/spreadsheets/d/14Bd19lYaqBhU8_DElYkX7l4wRkHqqCUFNJY4AfY3kHU/edit?usp=sharing  #gid=0"",""фіз особи new!relations_name""),6,FALSE)
,
(IF
(
G2310=""юридична особа""
,
VLOOKUP"&amp;"(H2310,IMPORTRANGE(""https://docs.google.com/spreadsheets/d/14Bd19lYaqBhU8_DElYkX7l4wRkHqqCUFNJY4AfY3kHU/edit?usp=sharing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J2309" s="7" t="s">
        <v>48</v>
      </c>
    </row>
    <row r="2310" spans="1:10" ht="13.2">
      <c r="A2310" s="7">
        <v>2309</v>
      </c>
      <c r="B2310" s="7">
        <v>1</v>
      </c>
      <c r="C2310" s="7" t="s">
        <v>10</v>
      </c>
      <c r="D2310" s="7">
        <v>669</v>
      </c>
      <c r="E2310" s="7" t="s">
        <v>29</v>
      </c>
      <c r="F2310" s="8" t="str">
        <f ca="1">IFERROR(__xludf.DUMMYFUNCTION("IF
(
C2311=""фізична особа""
,
VLOOKUP(D2311,IMPORTRANGE(""https://docs.google.com/spreadsheets/d/14Bd19lYaqBhU8_DElYkX7l4wRkHqqCUFNJY4AfY3kHU/edit?usp=sharing  #gid=0"",""фіз особи new!relations_name""),6,FALSE)
,
(IF
(
C2311=""юридична особа""
,
VLOOKUP"&amp;"(D2311,IMPORTRANGE(""https://docs.google.com/spreadsheets/d/14Bd19lYaqBhU8_DElYkX7l4wRkHqqCUFNJY4AfY3kHU/edit?usp=sharing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10" s="7" t="s">
        <v>10</v>
      </c>
      <c r="H2310" s="7">
        <v>2483</v>
      </c>
      <c r="I2310" s="8" t="str">
        <f ca="1">IFERROR(__xludf.DUMMYFUNCTION("IF
(
G2311=""фізична особа""
,
VLOOKUP(H2311,IMPORTRANGE(""https://docs.google.com/spreadsheets/d/14Bd19lYaqBhU8_DElYkX7l4wRkHqqCUFNJY4AfY3kHU/edit?usp=sharing  #gid=0"",""фіз особи new!relations_name""),6,FALSE)
,
(IF
(
G2311=""юридична особа""
,
VLOOKUP"&amp;"(H2311,IMPORTRANGE(""https://docs.google.com/spreadsheets/d/14Bd19lYaqBhU8_DElYkX7l4wRkHqqCUFNJY4AfY3kHU/edit?usp=sharing  #gid=0"",""фіз особи new!relations_name_uo""),7,FALSE)
,
)
))"),"НОВІКОВ Сергій Геннадійович")</f>
        <v>НОВІКОВ Сергій Геннадійович</v>
      </c>
      <c r="J2310" s="7" t="s">
        <v>28</v>
      </c>
    </row>
    <row r="2311" spans="1:10" ht="13.2">
      <c r="A2311" s="7">
        <v>2310</v>
      </c>
      <c r="B2311" s="7">
        <v>1</v>
      </c>
      <c r="C2311" s="7" t="s">
        <v>10</v>
      </c>
      <c r="D2311" s="7">
        <v>669</v>
      </c>
      <c r="E2311" s="7" t="s">
        <v>48</v>
      </c>
      <c r="F2311" s="8" t="str">
        <f ca="1">IFERROR(__xludf.DUMMYFUNCTION("IF
(
C2312=""фізична особа""
,
VLOOKUP(D2312,IMPORTRANGE(""https://docs.google.com/spreadsheets/d/14Bd19lYaqBhU8_DElYkX7l4wRkHqqCUFNJY4AfY3kHU/edit?usp=sharing  #gid=0"",""фіз особи new!relations_name""),6,FALSE)
,
(IF
(
C2312=""юридична особа""
,
VLOOKUP"&amp;"(D2312,IMPORTRANGE(""https://docs.google.com/spreadsheets/d/14Bd19lYaqBhU8_DElYkX7l4wRkHqqCUFNJY4AfY3kHU/edit?usp=sharing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11" s="7" t="s">
        <v>10</v>
      </c>
      <c r="H2311" s="7">
        <v>2559</v>
      </c>
      <c r="I2311" s="8" t="str">
        <f ca="1">IFERROR(__xludf.DUMMYFUNCTION("IF
(
G2312=""фізична особа""
,
VLOOKUP(H2312,IMPORTRANGE(""https://docs.google.com/spreadsheets/d/14Bd19lYaqBhU8_DElYkX7l4wRkHqqCUFNJY4AfY3kHU/edit?usp=sharing  #gid=0"",""фіз особи new!relations_name""),6,FALSE)
,
(IF
(
G2312=""юридична особа""
,
VLOOKUP"&amp;"(H2312,IMPORTRANGE(""https://docs.google.com/spreadsheets/d/14Bd19lYaqBhU8_DElYkX7l4wRkHqqCUFNJY4AfY3kHU/edit?usp=sharing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J2311" s="7" t="s">
        <v>48</v>
      </c>
    </row>
    <row r="2312" spans="1:10" ht="13.2">
      <c r="A2312" s="7">
        <v>2311</v>
      </c>
      <c r="B2312" s="7">
        <v>1</v>
      </c>
      <c r="C2312" s="7" t="s">
        <v>10</v>
      </c>
      <c r="D2312" s="7">
        <v>669</v>
      </c>
      <c r="E2312" s="7" t="s">
        <v>48</v>
      </c>
      <c r="F2312" s="8" t="str">
        <f ca="1">IFERROR(__xludf.DUMMYFUNCTION("IF
(
C2313=""фізична особа""
,
VLOOKUP(D2313,IMPORTRANGE(""https://docs.google.com/spreadsheets/d/14Bd19lYaqBhU8_DElYkX7l4wRkHqqCUFNJY4AfY3kHU/edit?usp=sharing  #gid=0"",""фіз особи new!relations_name""),6,FALSE)
,
(IF
(
C2313=""юридична особа""
,
VLOOKUP"&amp;"(D2313,IMPORTRANGE(""https://docs.google.com/spreadsheets/d/14Bd19lYaqBhU8_DElYkX7l4wRkHqqCUFNJY4AfY3kHU/edit?usp=sharing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12" s="7" t="s">
        <v>10</v>
      </c>
      <c r="H2312" s="7">
        <v>2346</v>
      </c>
      <c r="I2312" s="8" t="str">
        <f ca="1">IFERROR(__xludf.DUMMYFUNCTION("IF
(
G2313=""фізична особа""
,
VLOOKUP(H2313,IMPORTRANGE(""https://docs.google.com/spreadsheets/d/14Bd19lYaqBhU8_DElYkX7l4wRkHqqCUFNJY4AfY3kHU/edit?usp=sharing  #gid=0"",""фіз особи new!relations_name""),6,FALSE)
,
(IF
(
G2313=""юридична особа""
,
VLOOKUP"&amp;"(H2313,IMPORTRANGE(""https://docs.google.com/spreadsheets/d/14Bd19lYaqBhU8_DElYkX7l4wRkHqqCUFNJY4AfY3kHU/edit?usp=sharing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2312" s="7" t="s">
        <v>48</v>
      </c>
    </row>
    <row r="2313" spans="1:10" ht="13.2">
      <c r="A2313" s="7">
        <v>2312</v>
      </c>
      <c r="B2313" s="7">
        <v>1</v>
      </c>
      <c r="C2313" s="7" t="s">
        <v>10</v>
      </c>
      <c r="D2313" s="7">
        <v>669</v>
      </c>
      <c r="E2313" s="7" t="s">
        <v>48</v>
      </c>
      <c r="F2313" s="8" t="str">
        <f ca="1">IFERROR(__xludf.DUMMYFUNCTION("IF
(
C2314=""фізична особа""
,
VLOOKUP(D2314,IMPORTRANGE(""https://docs.google.com/spreadsheets/d/14Bd19lYaqBhU8_DElYkX7l4wRkHqqCUFNJY4AfY3kHU/edit?usp=sharing  #gid=0"",""фіз особи new!relations_name""),6,FALSE)
,
(IF
(
C2314=""юридична особа""
,
VLOOKUP"&amp;"(D2314,IMPORTRANGE(""https://docs.google.com/spreadsheets/d/14Bd19lYaqBhU8_DElYkX7l4wRkHqqCUFNJY4AfY3kHU/edit?usp=sharing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13" s="7" t="s">
        <v>10</v>
      </c>
      <c r="H2313" s="7">
        <v>1172</v>
      </c>
      <c r="I2313" s="8" t="str">
        <f ca="1">IFERROR(__xludf.DUMMYFUNCTION("IF
(
G2314=""фізична особа""
,
VLOOKUP(H2314,IMPORTRANGE(""https://docs.google.com/spreadsheets/d/14Bd19lYaqBhU8_DElYkX7l4wRkHqqCUFNJY4AfY3kHU/edit?usp=sharing  #gid=0"",""фіз особи new!relations_name""),6,FALSE)
,
(IF
(
G2314=""юридична особа""
,
VLOOKUP"&amp;"(H2314,IMPORTRANGE(""https://docs.google.com/spreadsheets/d/14Bd19lYaqBhU8_DElYkX7l4wRkHqqCUFNJY4AfY3kHU/edit?usp=sharing  #gid=0"",""фіз особи new!relations_name_uo""),7,FALSE)
,
)
))"),"ЛИХАЧОВ Олексій Євгенович")</f>
        <v>ЛИХАЧОВ Олексій Євгенович</v>
      </c>
      <c r="J2313" s="7" t="s">
        <v>48</v>
      </c>
    </row>
    <row r="2314" spans="1:10" ht="13.2">
      <c r="A2314" s="7">
        <v>2313</v>
      </c>
      <c r="B2314" s="7">
        <v>1</v>
      </c>
      <c r="C2314" s="7" t="s">
        <v>10</v>
      </c>
      <c r="D2314" s="7">
        <v>669</v>
      </c>
      <c r="E2314" s="7" t="s">
        <v>29</v>
      </c>
      <c r="F2314" s="8" t="str">
        <f ca="1">IFERROR(__xludf.DUMMYFUNCTION("IF
(
C2315=""фізична особа""
,
VLOOKUP(D2315,IMPORTRANGE(""https://docs.google.com/spreadsheets/d/14Bd19lYaqBhU8_DElYkX7l4wRkHqqCUFNJY4AfY3kHU/edit?usp=sharing  #gid=0"",""фіз особи new!relations_name""),6,FALSE)
,
(IF
(
C2315=""юридична особа""
,
VLOOKUP"&amp;"(D2315,IMPORTRANGE(""https://docs.google.com/spreadsheets/d/14Bd19lYaqBhU8_DElYkX7l4wRkHqqCUFNJY4AfY3kHU/edit?usp=sharing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G2314" s="7" t="s">
        <v>10</v>
      </c>
      <c r="H2314" s="7">
        <v>0</v>
      </c>
      <c r="I2314" s="8" t="str">
        <f ca="1">IFERROR(__xludf.DUMMYFUNCTION("IF
(
G2315=""фізична особа""
,
VLOOKUP(H2315,IMPORTRANGE(""https://docs.google.com/spreadsheets/d/14Bd19lYaqBhU8_DElYkX7l4wRkHqqCUFNJY4AfY3kHU/edit?usp=sharing  #gid=0"",""фіз особи new!relations_name""),6,FALSE)
,
(IF
(
G2315=""юридична особа""
,
VLOOKUP"&amp;"(H2315,IMPORTRANGE(""https://docs.google.com/spreadsheets/d/14Bd19lYaqBhU8_DElYkX7l4wRkHqqCUFNJY4AfY3kHU/edit?usp=sharing  #gid=0"",""фіз особи new!relations_name_uo""),7,FALSE)
,
)
))"),"#N/A")</f>
        <v>#N/A</v>
      </c>
      <c r="J2314" s="7" t="s">
        <v>28</v>
      </c>
    </row>
    <row r="2315" spans="1:10" ht="13.2">
      <c r="A2315" s="7">
        <v>2314</v>
      </c>
      <c r="B2315" s="7">
        <v>1</v>
      </c>
      <c r="C2315" s="7" t="s">
        <v>10</v>
      </c>
      <c r="D2315" s="7">
        <v>670</v>
      </c>
      <c r="E2315" s="7" t="s">
        <v>12</v>
      </c>
      <c r="F2315" s="8" t="str">
        <f ca="1">IFERROR(__xludf.DUMMYFUNCTION("IF
(
C2316=""фізична особа""
,
VLOOKUP(D2316,IMPORTRANGE(""https://docs.google.com/spreadsheets/d/14Bd19lYaqBhU8_DElYkX7l4wRkHqqCUFNJY4AfY3kHU/edit?usp=sharing  #gid=0"",""фіз особи new!relations_name""),6,FALSE)
,
(IF
(
C2316=""юридична особа""
,
VLOOKUP"&amp;"(D2316,IMPORTRANGE(""https://docs.google.com/spreadsheets/d/14Bd19lYaqBhU8_DElYkX7l4wRkHqqCUFNJY4AfY3kHU/edit?usp=sharing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G2315" s="7" t="s">
        <v>10</v>
      </c>
      <c r="H2315" s="7">
        <v>4760</v>
      </c>
      <c r="I2315" s="8" t="str">
        <f ca="1">IFERROR(__xludf.DUMMYFUNCTION("IF
(
G2316=""фізична особа""
,
VLOOKUP(H2316,IMPORTRANGE(""https://docs.google.com/spreadsheets/d/14Bd19lYaqBhU8_DElYkX7l4wRkHqqCUFNJY4AfY3kHU/edit?usp=sharing  #gid=0"",""фіз особи new!relations_name""),6,FALSE)
,
(IF
(
G2316=""юридична особа""
,
VLOOKUP"&amp;"(H2316,IMPORTRANGE(""https://docs.google.com/spreadsheets/d/14Bd19lYaqBhU8_DElYkX7l4wRkHqqCUFNJY4AfY3kHU/edit?usp=sharing  #gid=0"",""фіз особи new!relations_name_uo""),7,FALSE)
,
)
))"),"ШОЙГУ Ксенія Сергіївна")</f>
        <v>ШОЙГУ Ксенія Сергіївна</v>
      </c>
      <c r="J2315" s="7" t="s">
        <v>13</v>
      </c>
    </row>
    <row r="2316" spans="1:10" ht="13.2">
      <c r="A2316" s="7">
        <v>2315</v>
      </c>
      <c r="B2316" s="7">
        <v>1</v>
      </c>
      <c r="C2316" s="7" t="s">
        <v>10</v>
      </c>
      <c r="D2316" s="7">
        <v>670</v>
      </c>
      <c r="E2316" s="7" t="s">
        <v>12</v>
      </c>
      <c r="F2316" s="8" t="str">
        <f ca="1">IFERROR(__xludf.DUMMYFUNCTION("IF
(
C2317=""фізична особа""
,
VLOOKUP(D2317,IMPORTRANGE(""https://docs.google.com/spreadsheets/d/14Bd19lYaqBhU8_DElYkX7l4wRkHqqCUFNJY4AfY3kHU/edit?usp=sharing  #gid=0"",""фіз особи new!relations_name""),6,FALSE)
,
(IF
(
C2317=""юридична особа""
,
VLOOKUP"&amp;"(D2317,IMPORTRANGE(""https://docs.google.com/spreadsheets/d/14Bd19lYaqBhU8_DElYkX7l4wRkHqqCUFNJY4AfY3kHU/edit?usp=sharing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G2316" s="7" t="s">
        <v>10</v>
      </c>
      <c r="H2316" s="7">
        <v>4759</v>
      </c>
      <c r="I2316" s="8" t="str">
        <f ca="1">IFERROR(__xludf.DUMMYFUNCTION("IF
(
G2317=""фізична особа""
,
VLOOKUP(H2317,IMPORTRANGE(""https://docs.google.com/spreadsheets/d/14Bd19lYaqBhU8_DElYkX7l4wRkHqqCUFNJY4AfY3kHU/edit?usp=sharing  #gid=0"",""фіз особи new!relations_name""),6,FALSE)
,
(IF
(
G2317=""юридична особа""
,
VLOOKUP"&amp;"(H2317,IMPORTRANGE(""https://docs.google.com/spreadsheets/d/14Bd19lYaqBhU8_DElYkX7l4wRkHqqCUFNJY4AfY3kHU/edit?usp=sharing  #gid=0"",""фіз особи new!relations_name_uo""),7,FALSE)
,
)
))"),"ШОЙГУ Юлія Сергіївна")</f>
        <v>ШОЙГУ Юлія Сергіївна</v>
      </c>
      <c r="J2316" s="7" t="s">
        <v>13</v>
      </c>
    </row>
    <row r="2317" spans="1:10" ht="13.2">
      <c r="A2317" s="7">
        <v>2316</v>
      </c>
      <c r="B2317" s="7">
        <v>1</v>
      </c>
      <c r="C2317" s="7" t="s">
        <v>10</v>
      </c>
      <c r="D2317" s="7">
        <v>670</v>
      </c>
      <c r="E2317" s="7" t="s">
        <v>14</v>
      </c>
      <c r="F2317" s="8" t="str">
        <f ca="1">IFERROR(__xludf.DUMMYFUNCTION("IF
(
C2318=""фізична особа""
,
VLOOKUP(D2318,IMPORTRANGE(""https://docs.google.com/spreadsheets/d/14Bd19lYaqBhU8_DElYkX7l4wRkHqqCUFNJY4AfY3kHU/edit?usp=sharing  #gid=0"",""фіз особи new!relations_name""),6,FALSE)
,
(IF
(
C2318=""юридична особа""
,
VLOOKUP"&amp;"(D2318,IMPORTRANGE(""https://docs.google.com/spreadsheets/d/14Bd19lYaqBhU8_DElYkX7l4wRkHqqCUFNJY4AfY3kHU/edit?usp=sharing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G2317" s="7" t="s">
        <v>10</v>
      </c>
      <c r="H2317" s="7">
        <v>4758</v>
      </c>
      <c r="I2317" s="8" t="str">
        <f ca="1">IFERROR(__xludf.DUMMYFUNCTION("IF
(
G2318=""фізична особа""
,
VLOOKUP(H2318,IMPORTRANGE(""https://docs.google.com/spreadsheets/d/14Bd19lYaqBhU8_DElYkX7l4wRkHqqCUFNJY4AfY3kHU/edit?usp=sharing  #gid=0"",""фіз особи new!relations_name""),6,FALSE)
,
(IF
(
G2318=""юридична особа""
,
VLOOKUP"&amp;"(H2318,IMPORTRANGE(""https://docs.google.com/spreadsheets/d/14Bd19lYaqBhU8_DElYkX7l4wRkHqqCUFNJY4AfY3kHU/edit?usp=sharing  #gid=0"",""фіз особи new!relations_name_uo""),7,FALSE)
,
)
))"),"ШОЙГУ Ірина Олександрівна")</f>
        <v>ШОЙГУ Ірина Олександрівна</v>
      </c>
      <c r="J2317" s="7" t="s">
        <v>15</v>
      </c>
    </row>
    <row r="2318" spans="1:10" ht="13.2">
      <c r="A2318" s="7">
        <v>2317</v>
      </c>
      <c r="B2318" s="7">
        <v>1</v>
      </c>
      <c r="C2318" s="7" t="s">
        <v>10</v>
      </c>
      <c r="D2318" s="7">
        <v>671</v>
      </c>
      <c r="E2318" s="7" t="s">
        <v>28</v>
      </c>
      <c r="F2318" s="8" t="str">
        <f ca="1">IFERROR(__xludf.DUMMYFUNCTION("IF
(
C2319=""фізична особа""
,
VLOOKUP(D2319,IMPORTRANGE(""https://docs.google.com/spreadsheets/d/14Bd19lYaqBhU8_DElYkX7l4wRkHqqCUFNJY4AfY3kHU/edit?usp=sharing  #gid=0"",""фіз особи new!relations_name""),6,FALSE)
,
(IF
(
C2319=""юридична особа""
,
VLOOKUP"&amp;"(D2319,IMPORTRANGE(""https://docs.google.com/spreadsheets/d/14Bd19lYaqBhU8_DElYkX7l4wRkHqqCUFNJY4AfY3kHU/edit?usp=sharing  #gid=0"",""фіз особи new!relations_name_uo""),7,FALSE)
,
)
))"),"ПІНЧУК Сергій Михайлович")</f>
        <v>ПІНЧУК Сергій Михайлович</v>
      </c>
      <c r="G2318" s="7" t="s">
        <v>10</v>
      </c>
      <c r="H2318" s="7">
        <v>313</v>
      </c>
      <c r="I2318" s="8" t="str">
        <f ca="1">IFERROR(__xludf.DUMMYFUNCTION("IF
(
G2319=""фізична особа""
,
VLOOKUP(H2319,IMPORTRANGE(""https://docs.google.com/spreadsheets/d/14Bd19lYaqBhU8_DElYkX7l4wRkHqqCUFNJY4AfY3kHU/edit?usp=sharing  #gid=0"",""фіз особи new!relations_name""),6,FALSE)
,
(IF
(
G2319=""юридична особа""
,
VLOOKUP"&amp;"(H2319,IMPORTRANGE(""https://docs.google.com/spreadsheets/d/14Bd19lYaqBhU8_DElYkX7l4wRkHqqCUFNJY4AfY3kHU/edit?usp=sharing  #gid=0"",""фіз особи new!relations_name_uo""),7,FALSE)
,
)
))"),"ОСІПОВ Ігор Володимирович")</f>
        <v>ОСІПОВ Ігор Володимирович</v>
      </c>
      <c r="J2318" s="7" t="s">
        <v>29</v>
      </c>
    </row>
    <row r="2319" spans="1:10" ht="13.2">
      <c r="A2319" s="7">
        <v>2318</v>
      </c>
      <c r="B2319" s="7">
        <v>1</v>
      </c>
      <c r="C2319" s="7" t="s">
        <v>10</v>
      </c>
      <c r="D2319" s="7">
        <v>672</v>
      </c>
      <c r="E2319" s="7" t="s">
        <v>14</v>
      </c>
      <c r="F2319" s="8" t="str">
        <f ca="1">IFERROR(__xludf.DUMMYFUNCTION("IF
(
C2320=""фізична особа""
,
VLOOKUP(D2320,IMPORTRANGE(""https://docs.google.com/spreadsheets/d/14Bd19lYaqBhU8_DElYkX7l4wRkHqqCUFNJY4AfY3kHU/edit?usp=sharing  #gid=0"",""фіз особи new!relations_name""),6,FALSE)
,
(IF
(
C2320=""юридична особа""
,
VLOOKUP"&amp;"(D2320,IMPORTRANGE(""https://docs.google.com/spreadsheets/d/14Bd19lYaqBhU8_DElYkX7l4wRkHqqCUFNJY4AfY3kHU/edit?usp=sharing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19" s="7" t="s">
        <v>10</v>
      </c>
      <c r="H2319" s="7">
        <v>5041</v>
      </c>
      <c r="I2319" s="8" t="str">
        <f ca="1">IFERROR(__xludf.DUMMYFUNCTION("IF
(
G2320=""фізична особа""
,
VLOOKUP(H2320,IMPORTRANGE(""https://docs.google.com/spreadsheets/d/14Bd19lYaqBhU8_DElYkX7l4wRkHqqCUFNJY4AfY3kHU/edit?usp=sharing  #gid=0"",""фіз особи new!relations_name""),6,FALSE)
,
(IF
(
G2320=""юридична особа""
,
VLOOKUP"&amp;"(H2320,IMPORTRANGE(""https://docs.google.com/spreadsheets/d/14Bd19lYaqBhU8_DElYkX7l4wRkHqqCUFNJY4AfY3kHU/edit?usp=sharing  #gid=0"",""фіз особи new!relations_name_uo""),7,FALSE)
,
)
))"),"НЄВЄРОВА Ольга Вікторівна")</f>
        <v>НЄВЄРОВА Ольга Вікторівна</v>
      </c>
      <c r="J2319" s="7" t="s">
        <v>15</v>
      </c>
    </row>
    <row r="2320" spans="1:10" ht="13.2">
      <c r="A2320" s="7">
        <v>2319</v>
      </c>
      <c r="B2320" s="7">
        <v>1</v>
      </c>
      <c r="C2320" s="7" t="s">
        <v>10</v>
      </c>
      <c r="D2320" s="7">
        <v>672</v>
      </c>
      <c r="E2320" s="7" t="s">
        <v>12</v>
      </c>
      <c r="F2320" s="8" t="str">
        <f ca="1">IFERROR(__xludf.DUMMYFUNCTION("IF
(
C2321=""фізична особа""
,
VLOOKUP(D2321,IMPORTRANGE(""https://docs.google.com/spreadsheets/d/14Bd19lYaqBhU8_DElYkX7l4wRkHqqCUFNJY4AfY3kHU/edit?usp=sharing  #gid=0"",""фіз особи new!relations_name""),6,FALSE)
,
(IF
(
C2321=""юридична особа""
,
VLOOKUP"&amp;"(D2321,IMPORTRANGE(""https://docs.google.com/spreadsheets/d/14Bd19lYaqBhU8_DElYkX7l4wRkHqqCUFNJY4AfY3kHU/edit?usp=sharing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0" s="7" t="s">
        <v>10</v>
      </c>
      <c r="H2320" s="7">
        <v>5042</v>
      </c>
      <c r="I2320" s="8" t="str">
        <f ca="1">IFERROR(__xludf.DUMMYFUNCTION("IF
(
G2321=""фізична особа""
,
VLOOKUP(H2321,IMPORTRANGE(""https://docs.google.com/spreadsheets/d/14Bd19lYaqBhU8_DElYkX7l4wRkHqqCUFNJY4AfY3kHU/edit?usp=sharing  #gid=0"",""фіз особи new!relations_name""),6,FALSE)
,
(IF
(
G2321=""юридична особа""
,
VLOOKUP"&amp;"(H2321,IMPORTRANGE(""https://docs.google.com/spreadsheets/d/14Bd19lYaqBhU8_DElYkX7l4wRkHqqCUFNJY4AfY3kHU/edit?usp=sharing  #gid=0"",""фіз особи new!relations_name_uo""),7,FALSE)
,
)
))"),"НЄВЄРОВА Ангеліна Сергіївна")</f>
        <v>НЄВЄРОВА Ангеліна Сергіївна</v>
      </c>
      <c r="J2320" s="7" t="s">
        <v>13</v>
      </c>
    </row>
    <row r="2321" spans="1:10" ht="13.2">
      <c r="A2321" s="7">
        <v>2320</v>
      </c>
      <c r="B2321" s="7">
        <v>1</v>
      </c>
      <c r="C2321" s="7" t="s">
        <v>10</v>
      </c>
      <c r="D2321" s="7">
        <v>672</v>
      </c>
      <c r="E2321" s="7" t="s">
        <v>12</v>
      </c>
      <c r="F2321" s="8" t="str">
        <f ca="1">IFERROR(__xludf.DUMMYFUNCTION("IF
(
C2322=""фізична особа""
,
VLOOKUP(D2322,IMPORTRANGE(""https://docs.google.com/spreadsheets/d/14Bd19lYaqBhU8_DElYkX7l4wRkHqqCUFNJY4AfY3kHU/edit?usp=sharing  #gid=0"",""фіз особи new!relations_name""),6,FALSE)
,
(IF
(
C2322=""юридична особа""
,
VLOOKUP"&amp;"(D2322,IMPORTRANGE(""https://docs.google.com/spreadsheets/d/14Bd19lYaqBhU8_DElYkX7l4wRkHqqCUFNJY4AfY3kHU/edit?usp=sharing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1" s="7" t="s">
        <v>10</v>
      </c>
      <c r="H2321" s="7">
        <v>5043</v>
      </c>
      <c r="I2321" s="8" t="str">
        <f ca="1">IFERROR(__xludf.DUMMYFUNCTION("IF
(
G2322=""фізична особа""
,
VLOOKUP(H2322,IMPORTRANGE(""https://docs.google.com/spreadsheets/d/14Bd19lYaqBhU8_DElYkX7l4wRkHqqCUFNJY4AfY3kHU/edit?usp=sharing  #gid=0"",""фіз особи new!relations_name""),6,FALSE)
,
(IF
(
G2322=""юридична особа""
,
VLOOKUP"&amp;"(H2322,IMPORTRANGE(""https://docs.google.com/spreadsheets/d/14Bd19lYaqBhU8_DElYkX7l4wRkHqqCUFNJY4AfY3kHU/edit?usp=sharing  #gid=0"",""фіз особи new!relations_name_uo""),7,FALSE)
,
)
))"),"НЄВЄРОВ Гліб Сергійович")</f>
        <v>НЄВЄРОВ Гліб Сергійович</v>
      </c>
      <c r="J2321" s="7" t="s">
        <v>17</v>
      </c>
    </row>
    <row r="2322" spans="1:10" ht="13.2">
      <c r="A2322" s="7">
        <v>2321</v>
      </c>
      <c r="B2322" s="7">
        <v>1</v>
      </c>
      <c r="C2322" s="7" t="s">
        <v>10</v>
      </c>
      <c r="D2322" s="7">
        <v>672</v>
      </c>
      <c r="E2322" s="7" t="s">
        <v>26</v>
      </c>
      <c r="F2322" s="8" t="str">
        <f ca="1">IFERROR(__xludf.DUMMYFUNCTION("IF
(
C2323=""фізична особа""
,
VLOOKUP(D2323,IMPORTRANGE(""https://docs.google.com/spreadsheets/d/14Bd19lYaqBhU8_DElYkX7l4wRkHqqCUFNJY4AfY3kHU/edit?usp=sharing  #gid=0"",""фіз особи new!relations_name""),6,FALSE)
,
(IF
(
C2323=""юридична особа""
,
VLOOKUP"&amp;"(D2323,IMPORTRANGE(""https://docs.google.com/spreadsheets/d/14Bd19lYaqBhU8_DElYkX7l4wRkHqqCUFNJY4AfY3kHU/edit?usp=sharing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2" s="7" t="s">
        <v>10</v>
      </c>
      <c r="H2322" s="7">
        <v>0</v>
      </c>
      <c r="I2322" s="8" t="str">
        <f ca="1">IFERROR(__xludf.DUMMYFUNCTION("IF
(
G2323=""фізична особа""
,
VLOOKUP(H2323,IMPORTRANGE(""https://docs.google.com/spreadsheets/d/14Bd19lYaqBhU8_DElYkX7l4wRkHqqCUFNJY4AfY3kHU/edit?usp=sharing  #gid=0"",""фіз особи new!relations_name""),6,FALSE)
,
(IF
(
G2323=""юридична особа""
,
VLOOKUP"&amp;"(H2323,IMPORTRANGE(""https://docs.google.com/spreadsheets/d/14Bd19lYaqBhU8_DElYkX7l4wRkHqqCUFNJY4AfY3kHU/edit?usp=sharing  #gid=0"",""фіз особи new!relations_name_uo""),7,FALSE)
,
)
))"),"#N/A")</f>
        <v>#N/A</v>
      </c>
      <c r="J2322" s="7" t="s">
        <v>27</v>
      </c>
    </row>
    <row r="2323" spans="1:10" ht="13.2">
      <c r="A2323" s="7">
        <v>2322</v>
      </c>
      <c r="B2323" s="7">
        <v>1</v>
      </c>
      <c r="C2323" s="7" t="s">
        <v>10</v>
      </c>
      <c r="D2323" s="7">
        <v>672</v>
      </c>
      <c r="E2323" s="7" t="s">
        <v>48</v>
      </c>
      <c r="F2323" s="8" t="str">
        <f ca="1">IFERROR(__xludf.DUMMYFUNCTION("IF
(
C2324=""фізична особа""
,
VLOOKUP(D2324,IMPORTRANGE(""https://docs.google.com/spreadsheets/d/14Bd19lYaqBhU8_DElYkX7l4wRkHqqCUFNJY4AfY3kHU/edit?usp=sharing  #gid=0"",""фіз особи new!relations_name""),6,FALSE)
,
(IF
(
C2324=""юридична особа""
,
VLOOKUP"&amp;"(D2324,IMPORTRANGE(""https://docs.google.com/spreadsheets/d/14Bd19lYaqBhU8_DElYkX7l4wRkHqqCUFNJY4AfY3kHU/edit?usp=sharing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3" s="7" t="s">
        <v>10</v>
      </c>
      <c r="H2323" s="7">
        <v>373</v>
      </c>
      <c r="I2323" s="8" t="str">
        <f ca="1">IFERROR(__xludf.DUMMYFUNCTION("IF
(
G2324=""фізична особа""
,
VLOOKUP(H2324,IMPORTRANGE(""https://docs.google.com/spreadsheets/d/14Bd19lYaqBhU8_DElYkX7l4wRkHqqCUFNJY4AfY3kHU/edit?usp=sharing  #gid=0"",""фіз особи new!relations_name""),6,FALSE)
,
(IF
(
G2324=""юридична особа""
,
VLOOKUP"&amp;"(H2324,IMPORTRANGE(""https://docs.google.com/spreadsheets/d/14Bd19lYaqBhU8_DElYkX7l4wRkHqqCUFNJY4AfY3kHU/edit?usp=sharing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2323" s="7" t="s">
        <v>48</v>
      </c>
    </row>
    <row r="2324" spans="1:10" ht="13.2">
      <c r="A2324" s="7">
        <v>2323</v>
      </c>
      <c r="B2324" s="7">
        <v>1</v>
      </c>
      <c r="C2324" s="7" t="s">
        <v>10</v>
      </c>
      <c r="D2324" s="7">
        <v>672</v>
      </c>
      <c r="E2324" s="7" t="s">
        <v>48</v>
      </c>
      <c r="F2324" s="8" t="str">
        <f ca="1">IFERROR(__xludf.DUMMYFUNCTION("IF
(
C2325=""фізична особа""
,
VLOOKUP(D2325,IMPORTRANGE(""https://docs.google.com/spreadsheets/d/14Bd19lYaqBhU8_DElYkX7l4wRkHqqCUFNJY4AfY3kHU/edit?usp=sharing  #gid=0"",""фіз особи new!relations_name""),6,FALSE)
,
(IF
(
C2325=""юридична особа""
,
VLOOKUP"&amp;"(D2325,IMPORTRANGE(""https://docs.google.com/spreadsheets/d/14Bd19lYaqBhU8_DElYkX7l4wRkHqqCUFNJY4AfY3kHU/edit?usp=sharing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4" s="7" t="s">
        <v>10</v>
      </c>
      <c r="H2324" s="7">
        <v>304</v>
      </c>
      <c r="I2324" s="8" t="str">
        <f ca="1">IFERROR(__xludf.DUMMYFUNCTION("IF
(
G2325=""фізична особа""
,
VLOOKUP(H2325,IMPORTRANGE(""https://docs.google.com/spreadsheets/d/14Bd19lYaqBhU8_DElYkX7l4wRkHqqCUFNJY4AfY3kHU/edit?usp=sharing  #gid=0"",""фіз особи new!relations_name""),6,FALSE)
,
(IF
(
G2325=""юридична особа""
,
VLOOKUP"&amp;"(H2325,IMPORTRANGE(""https://docs.google.com/spreadsheets/d/14Bd19lYaqBhU8_DElYkX7l4wRkHqqCUFNJY4AfY3kHU/edit?usp=sharing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J2324" s="7" t="s">
        <v>48</v>
      </c>
    </row>
    <row r="2325" spans="1:10" ht="13.2">
      <c r="A2325" s="7">
        <v>2324</v>
      </c>
      <c r="B2325" s="7">
        <v>1</v>
      </c>
      <c r="C2325" s="7" t="s">
        <v>10</v>
      </c>
      <c r="D2325" s="7">
        <v>672</v>
      </c>
      <c r="E2325" s="7" t="s">
        <v>48</v>
      </c>
      <c r="F2325" s="8" t="str">
        <f ca="1">IFERROR(__xludf.DUMMYFUNCTION("IF
(
C2326=""фізична особа""
,
VLOOKUP(D2326,IMPORTRANGE(""https://docs.google.com/spreadsheets/d/14Bd19lYaqBhU8_DElYkX7l4wRkHqqCUFNJY4AfY3kHU/edit?usp=sharing  #gid=0"",""фіз особи new!relations_name""),6,FALSE)
,
(IF
(
C2326=""юридична особа""
,
VLOOKUP"&amp;"(D2326,IMPORTRANGE(""https://docs.google.com/spreadsheets/d/14Bd19lYaqBhU8_DElYkX7l4wRkHqqCUFNJY4AfY3kHU/edit?usp=sharing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5" s="7" t="s">
        <v>10</v>
      </c>
      <c r="H2325" s="7">
        <v>899</v>
      </c>
      <c r="I2325" s="8" t="str">
        <f ca="1">IFERROR(__xludf.DUMMYFUNCTION("IF
(
G2326=""фізична особа""
,
VLOOKUP(H2326,IMPORTRANGE(""https://docs.google.com/spreadsheets/d/14Bd19lYaqBhU8_DElYkX7l4wRkHqqCUFNJY4AfY3kHU/edit?usp=sharing  #gid=0"",""фіз особи new!relations_name""),6,FALSE)
,
(IF
(
G2326=""юридична особа""
,
VLOOKUP"&amp;"(H2326,IMPORTRANGE(""https://docs.google.com/spreadsheets/d/14Bd19lYaqBhU8_DElYkX7l4wRkHqqCUFNJY4AfY3kHU/edit?usp=sharing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2325" s="7" t="s">
        <v>48</v>
      </c>
    </row>
    <row r="2326" spans="1:10" ht="13.2">
      <c r="A2326" s="7">
        <v>2325</v>
      </c>
      <c r="B2326" s="7">
        <v>1</v>
      </c>
      <c r="C2326" s="7" t="s">
        <v>10</v>
      </c>
      <c r="D2326" s="7">
        <v>672</v>
      </c>
      <c r="E2326" s="7" t="s">
        <v>48</v>
      </c>
      <c r="F2326" s="8" t="str">
        <f ca="1">IFERROR(__xludf.DUMMYFUNCTION("IF
(
C2327=""фізична особа""
,
VLOOKUP(D2327,IMPORTRANGE(""https://docs.google.com/spreadsheets/d/14Bd19lYaqBhU8_DElYkX7l4wRkHqqCUFNJY4AfY3kHU/edit?usp=sharing  #gid=0"",""фіз особи new!relations_name""),6,FALSE)
,
(IF
(
C2327=""юридична особа""
,
VLOOKUP"&amp;"(D2327,IMPORTRANGE(""https://docs.google.com/spreadsheets/d/14Bd19lYaqBhU8_DElYkX7l4wRkHqqCUFNJY4AfY3kHU/edit?usp=sharing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6" s="7" t="s">
        <v>10</v>
      </c>
      <c r="H2326" s="7">
        <v>13008</v>
      </c>
      <c r="I2326" s="8" t="str">
        <f ca="1">IFERROR(__xludf.DUMMYFUNCTION("IF
(
G2327=""фізична особа""
,
VLOOKUP(H2327,IMPORTRANGE(""https://docs.google.com/spreadsheets/d/14Bd19lYaqBhU8_DElYkX7l4wRkHqqCUFNJY4AfY3kHU/edit?usp=sharing  #gid=0"",""фіз особи new!relations_name""),6,FALSE)
,
(IF
(
G2327=""юридична особа""
,
VLOOKUP"&amp;"(H2327,IMPORTRANGE(""https://docs.google.com/spreadsheets/d/14Bd19lYaqBhU8_DElYkX7l4wRkHqqCUFNJY4AfY3kHU/edit?usp=sharing  #gid=0"",""фіз особи new!relations_name_uo""),7,FALSE)
,
)
))"),"ЧАЙКА Валентин Васильович")</f>
        <v>ЧАЙКА Валентин Васильович</v>
      </c>
      <c r="J2326" s="7" t="s">
        <v>48</v>
      </c>
    </row>
    <row r="2327" spans="1:10" ht="13.2">
      <c r="A2327" s="7">
        <v>2326</v>
      </c>
      <c r="B2327" s="7">
        <v>1</v>
      </c>
      <c r="C2327" s="7" t="s">
        <v>10</v>
      </c>
      <c r="D2327" s="7">
        <v>672</v>
      </c>
      <c r="E2327" s="7" t="s">
        <v>48</v>
      </c>
      <c r="F2327" s="8" t="str">
        <f ca="1">IFERROR(__xludf.DUMMYFUNCTION("IF
(
C2328=""фізична особа""
,
VLOOKUP(D2328,IMPORTRANGE(""https://docs.google.com/spreadsheets/d/14Bd19lYaqBhU8_DElYkX7l4wRkHqqCUFNJY4AfY3kHU/edit?usp=sharing  #gid=0"",""фіз особи new!relations_name""),6,FALSE)
,
(IF
(
C2328=""юридична особа""
,
VLOOKUP"&amp;"(D2328,IMPORTRANGE(""https://docs.google.com/spreadsheets/d/14Bd19lYaqBhU8_DElYkX7l4wRkHqqCUFNJY4AfY3kHU/edit?usp=sharing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G2327" s="7" t="s">
        <v>10</v>
      </c>
      <c r="H2327" s="7">
        <v>12877</v>
      </c>
      <c r="I2327" s="8" t="str">
        <f ca="1">IFERROR(__xludf.DUMMYFUNCTION("IF
(
G2328=""фізична особа""
,
VLOOKUP(H2328,IMPORTRANGE(""https://docs.google.com/spreadsheets/d/14Bd19lYaqBhU8_DElYkX7l4wRkHqqCUFNJY4AfY3kHU/edit?usp=sharing  #gid=0"",""фіз особи new!relations_name""),6,FALSE)
,
(IF
(
G2328=""юридична особа""
,
VLOOKUP"&amp;"(H2328,IMPORTRANGE(""https://docs.google.com/spreadsheets/d/14Bd19lYaqBhU8_DElYkX7l4wRkHqqCUFNJY4AfY3kHU/edit?usp=sharing  #gid=0"",""фіз особи new!relations_name_uo""),7,FALSE)
,
)
))"),"КОСТУНОВ Ілля Євгенович")</f>
        <v>КОСТУНОВ Ілля Євгенович</v>
      </c>
      <c r="J2327" s="7" t="s">
        <v>48</v>
      </c>
    </row>
    <row r="2328" spans="1:10" ht="13.2">
      <c r="A2328" s="7">
        <v>2327</v>
      </c>
      <c r="B2328" s="7">
        <v>1</v>
      </c>
      <c r="C2328" s="7" t="s">
        <v>10</v>
      </c>
      <c r="D2328" s="7">
        <v>673</v>
      </c>
      <c r="E2328" s="7" t="s">
        <v>12</v>
      </c>
      <c r="F2328" s="8" t="str">
        <f ca="1">IFERROR(__xludf.DUMMYFUNCTION("IF
(
C2329=""фізична особа""
,
VLOOKUP(D2329,IMPORTRANGE(""https://docs.google.com/spreadsheets/d/14Bd19lYaqBhU8_DElYkX7l4wRkHqqCUFNJY4AfY3kHU/edit?usp=sharing  #gid=0"",""фіз особи new!relations_name""),6,FALSE)
,
(IF
(
C2329=""юридична особа""
,
VLOOKUP"&amp;"(D2329,IMPORTRANGE(""https://docs.google.com/spreadsheets/d/14Bd19lYaqBhU8_DElYkX7l4wRkHqqCUFNJY4AfY3kHU/edit?usp=sharing  #gid=0"",""фіз особи new!relations_name_uo""),7,FALSE)
,
)
))"),"МИХАЙЛОВ Сергій Петрович")</f>
        <v>МИХАЙЛОВ Сергій Петрович</v>
      </c>
      <c r="G2328" s="7" t="s">
        <v>10</v>
      </c>
      <c r="H2328" s="7">
        <v>0</v>
      </c>
      <c r="I2328" s="8" t="str">
        <f ca="1">IFERROR(__xludf.DUMMYFUNCTION("IF
(
G2329=""фізична особа""
,
VLOOKUP(H2329,IMPORTRANGE(""https://docs.google.com/spreadsheets/d/14Bd19lYaqBhU8_DElYkX7l4wRkHqqCUFNJY4AfY3kHU/edit?usp=sharing  #gid=0"",""фіз особи new!relations_name""),6,FALSE)
,
(IF
(
G2329=""юридична особа""
,
VLOOKUP"&amp;"(H2329,IMPORTRANGE(""https://docs.google.com/spreadsheets/d/14Bd19lYaqBhU8_DElYkX7l4wRkHqqCUFNJY4AfY3kHU/edit?usp=sharing  #gid=0"",""фіз особи new!relations_name_uo""),7,FALSE)
,
)
))"),"#N/A")</f>
        <v>#N/A</v>
      </c>
      <c r="J2328" s="7" t="s">
        <v>17</v>
      </c>
    </row>
    <row r="2329" spans="1:10" ht="13.2">
      <c r="A2329" s="7">
        <v>2328</v>
      </c>
      <c r="B2329" s="7">
        <v>1</v>
      </c>
      <c r="C2329" s="7" t="s">
        <v>10</v>
      </c>
      <c r="D2329" s="7">
        <v>673</v>
      </c>
      <c r="E2329" s="7" t="s">
        <v>12</v>
      </c>
      <c r="F2329" s="8" t="str">
        <f ca="1">IFERROR(__xludf.DUMMYFUNCTION("IF
(
C2330=""фізична особа""
,
VLOOKUP(D2330,IMPORTRANGE(""https://docs.google.com/spreadsheets/d/14Bd19lYaqBhU8_DElYkX7l4wRkHqqCUFNJY4AfY3kHU/edit?usp=sharing  #gid=0"",""фіз особи new!relations_name""),6,FALSE)
,
(IF
(
C2330=""юридична особа""
,
VLOOKUP"&amp;"(D2330,IMPORTRANGE(""https://docs.google.com/spreadsheets/d/14Bd19lYaqBhU8_DElYkX7l4wRkHqqCUFNJY4AfY3kHU/edit?usp=sharing  #gid=0"",""фіз особи new!relations_name_uo""),7,FALSE)
,
)
))"),"МИХАЙЛОВ Сергій Петрович")</f>
        <v>МИХАЙЛОВ Сергій Петрович</v>
      </c>
      <c r="G2329" s="7" t="s">
        <v>10</v>
      </c>
      <c r="H2329" s="7">
        <v>0</v>
      </c>
      <c r="I2329" s="8" t="str">
        <f ca="1">IFERROR(__xludf.DUMMYFUNCTION("IF
(
G2330=""фізична особа""
,
VLOOKUP(H2330,IMPORTRANGE(""https://docs.google.com/spreadsheets/d/14Bd19lYaqBhU8_DElYkX7l4wRkHqqCUFNJY4AfY3kHU/edit?usp=sharing  #gid=0"",""фіз особи new!relations_name""),6,FALSE)
,
(IF
(
G2330=""юридична особа""
,
VLOOKUP"&amp;"(H2330,IMPORTRANGE(""https://docs.google.com/spreadsheets/d/14Bd19lYaqBhU8_DElYkX7l4wRkHqqCUFNJY4AfY3kHU/edit?usp=sharing  #gid=0"",""фіз особи new!relations_name_uo""),7,FALSE)
,
)
))"),"#N/A")</f>
        <v>#N/A</v>
      </c>
      <c r="J2329" s="7" t="s">
        <v>17</v>
      </c>
    </row>
    <row r="2330" spans="1:10" ht="13.2">
      <c r="A2330" s="7">
        <v>2329</v>
      </c>
      <c r="B2330" s="7">
        <v>1</v>
      </c>
      <c r="C2330" s="7" t="s">
        <v>10</v>
      </c>
      <c r="D2330" s="7">
        <v>673</v>
      </c>
      <c r="E2330" s="7" t="s">
        <v>12</v>
      </c>
      <c r="F2330" s="8" t="str">
        <f ca="1">IFERROR(__xludf.DUMMYFUNCTION("IF
(
C2331=""фізична особа""
,
VLOOKUP(D2331,IMPORTRANGE(""https://docs.google.com/spreadsheets/d/14Bd19lYaqBhU8_DElYkX7l4wRkHqqCUFNJY4AfY3kHU/edit?usp=sharing  #gid=0"",""фіз особи new!relations_name""),6,FALSE)
,
(IF
(
C2331=""юридична особа""
,
VLOOKUP"&amp;"(D2331,IMPORTRANGE(""https://docs.google.com/spreadsheets/d/14Bd19lYaqBhU8_DElYkX7l4wRkHqqCUFNJY4AfY3kHU/edit?usp=sharing  #gid=0"",""фіз особи new!relations_name_uo""),7,FALSE)
,
)
))"),"МИХАЙЛОВ Сергій Петрович")</f>
        <v>МИХАЙЛОВ Сергій Петрович</v>
      </c>
      <c r="G2330" s="7" t="s">
        <v>10</v>
      </c>
      <c r="H2330" s="7">
        <v>0</v>
      </c>
      <c r="I2330" s="8" t="str">
        <f ca="1">IFERROR(__xludf.DUMMYFUNCTION("IF
(
G2331=""фізична особа""
,
VLOOKUP(H2331,IMPORTRANGE(""https://docs.google.com/spreadsheets/d/14Bd19lYaqBhU8_DElYkX7l4wRkHqqCUFNJY4AfY3kHU/edit?usp=sharing  #gid=0"",""фіз особи new!relations_name""),6,FALSE)
,
(IF
(
G2331=""юридична особа""
,
VLOOKUP"&amp;"(H2331,IMPORTRANGE(""https://docs.google.com/spreadsheets/d/14Bd19lYaqBhU8_DElYkX7l4wRkHqqCUFNJY4AfY3kHU/edit?usp=sharing  #gid=0"",""фіз особи new!relations_name_uo""),7,FALSE)
,
)
))"),"#N/A")</f>
        <v>#N/A</v>
      </c>
      <c r="J2330" s="7" t="s">
        <v>13</v>
      </c>
    </row>
    <row r="2331" spans="1:10" ht="13.2">
      <c r="A2331" s="7">
        <v>2330</v>
      </c>
      <c r="B2331" s="7">
        <v>1</v>
      </c>
      <c r="C2331" s="7" t="s">
        <v>10</v>
      </c>
      <c r="D2331" s="7">
        <v>675</v>
      </c>
      <c r="E2331" s="7" t="s">
        <v>18</v>
      </c>
      <c r="F2331" s="8" t="str">
        <f ca="1">IFERROR(__xludf.DUMMYFUNCTION("IF
(
C2332=""фізична особа""
,
VLOOKUP(D2332,IMPORTRANGE(""https://docs.google.com/spreadsheets/d/14Bd19lYaqBhU8_DElYkX7l4wRkHqqCUFNJY4AfY3kHU/edit?usp=sharing  #gid=0"",""фіз особи new!relations_name""),6,FALSE)
,
(IF
(
C2332=""юридична особа""
,
VLOOKUP"&amp;"(D2332,IMPORTRANGE(""https://docs.google.com/spreadsheets/d/14Bd19lYaqBhU8_DElYkX7l4wRkHqqCUFNJY4AfY3kHU/edit?usp=sharing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1" s="7" t="s">
        <v>10</v>
      </c>
      <c r="H2331" s="7">
        <v>0</v>
      </c>
      <c r="I2331" s="8" t="str">
        <f ca="1">IFERROR(__xludf.DUMMYFUNCTION("IF
(
G2332=""фізична особа""
,
VLOOKUP(H2332,IMPORTRANGE(""https://docs.google.com/spreadsheets/d/14Bd19lYaqBhU8_DElYkX7l4wRkHqqCUFNJY4AfY3kHU/edit?usp=sharing  #gid=0"",""фіз особи new!relations_name""),6,FALSE)
,
(IF
(
G2332=""юридична особа""
,
VLOOKUP"&amp;"(H2332,IMPORTRANGE(""https://docs.google.com/spreadsheets/d/14Bd19lYaqBhU8_DElYkX7l4wRkHqqCUFNJY4AfY3kHU/edit?usp=sharing  #gid=0"",""фіз особи new!relations_name_uo""),7,FALSE)
,
)
))"),"#N/A")</f>
        <v>#N/A</v>
      </c>
      <c r="J2331" s="7" t="s">
        <v>18</v>
      </c>
    </row>
    <row r="2332" spans="1:10" ht="13.2">
      <c r="A2332" s="7">
        <v>2331</v>
      </c>
      <c r="B2332" s="7">
        <v>1</v>
      </c>
      <c r="C2332" s="7" t="s">
        <v>10</v>
      </c>
      <c r="D2332" s="7">
        <v>675</v>
      </c>
      <c r="E2332" s="7" t="s">
        <v>14</v>
      </c>
      <c r="F2332" s="8" t="str">
        <f ca="1">IFERROR(__xludf.DUMMYFUNCTION("IF
(
C2333=""фізична особа""
,
VLOOKUP(D2333,IMPORTRANGE(""https://docs.google.com/spreadsheets/d/14Bd19lYaqBhU8_DElYkX7l4wRkHqqCUFNJY4AfY3kHU/edit?usp=sharing  #gid=0"",""фіз особи new!relations_name""),6,FALSE)
,
(IF
(
C2333=""юридична особа""
,
VLOOKUP"&amp;"(D2333,IMPORTRANGE(""https://docs.google.com/spreadsheets/d/14Bd19lYaqBhU8_DElYkX7l4wRkHqqCUFNJY4AfY3kHU/edit?usp=sharing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2" s="7" t="s">
        <v>10</v>
      </c>
      <c r="H2332" s="7">
        <v>0</v>
      </c>
      <c r="I2332" s="8" t="str">
        <f ca="1">IFERROR(__xludf.DUMMYFUNCTION("IF
(
G2333=""фізична особа""
,
VLOOKUP(H2333,IMPORTRANGE(""https://docs.google.com/spreadsheets/d/14Bd19lYaqBhU8_DElYkX7l4wRkHqqCUFNJY4AfY3kHU/edit?usp=sharing  #gid=0"",""фіз особи new!relations_name""),6,FALSE)
,
(IF
(
G2333=""юридична особа""
,
VLOOKUP"&amp;"(H2333,IMPORTRANGE(""https://docs.google.com/spreadsheets/d/14Bd19lYaqBhU8_DElYkX7l4wRkHqqCUFNJY4AfY3kHU/edit?usp=sharing  #gid=0"",""фіз особи new!relations_name_uo""),7,FALSE)
,
)
))"),"#N/A")</f>
        <v>#N/A</v>
      </c>
      <c r="J2332" s="7" t="s">
        <v>15</v>
      </c>
    </row>
    <row r="2333" spans="1:10" ht="13.2">
      <c r="A2333" s="7">
        <v>2332</v>
      </c>
      <c r="B2333" s="7">
        <v>1</v>
      </c>
      <c r="C2333" s="7" t="s">
        <v>10</v>
      </c>
      <c r="D2333" s="7">
        <v>675</v>
      </c>
      <c r="E2333" s="7" t="s">
        <v>42</v>
      </c>
      <c r="F2333" s="8" t="str">
        <f ca="1">IFERROR(__xludf.DUMMYFUNCTION("IF
(
C2334=""фізична особа""
,
VLOOKUP(D2334,IMPORTRANGE(""https://docs.google.com/spreadsheets/d/14Bd19lYaqBhU8_DElYkX7l4wRkHqqCUFNJY4AfY3kHU/edit?usp=sharing  #gid=0"",""фіз особи new!relations_name""),6,FALSE)
,
(IF
(
C2334=""юридична особа""
,
VLOOKUP"&amp;"(D2334,IMPORTRANGE(""https://docs.google.com/spreadsheets/d/14Bd19lYaqBhU8_DElYkX7l4wRkHqqCUFNJY4AfY3kHU/edit?usp=sharing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3" s="7" t="s">
        <v>10</v>
      </c>
      <c r="H2333" s="7">
        <v>0</v>
      </c>
      <c r="I2333" s="8" t="str">
        <f ca="1">IFERROR(__xludf.DUMMYFUNCTION("IF
(
G2334=""фізична особа""
,
VLOOKUP(H2334,IMPORTRANGE(""https://docs.google.com/spreadsheets/d/14Bd19lYaqBhU8_DElYkX7l4wRkHqqCUFNJY4AfY3kHU/edit?usp=sharing  #gid=0"",""фіз особи new!relations_name""),6,FALSE)
,
(IF
(
G2334=""юридична особа""
,
VLOOKUP"&amp;"(H2334,IMPORTRANGE(""https://docs.google.com/spreadsheets/d/14Bd19lYaqBhU8_DElYkX7l4wRkHqqCUFNJY4AfY3kHU/edit?usp=sharing  #gid=0"",""фіз особи new!relations_name_uo""),7,FALSE)
,
)
))"),"#N/A")</f>
        <v>#N/A</v>
      </c>
      <c r="J2333" s="7" t="s">
        <v>43</v>
      </c>
    </row>
    <row r="2334" spans="1:10" ht="13.2">
      <c r="A2334" s="7">
        <v>2333</v>
      </c>
      <c r="B2334" s="7">
        <v>1</v>
      </c>
      <c r="C2334" s="7" t="s">
        <v>10</v>
      </c>
      <c r="D2334" s="7">
        <v>675</v>
      </c>
      <c r="E2334" s="7" t="s">
        <v>56</v>
      </c>
      <c r="F2334" s="8" t="str">
        <f ca="1">IFERROR(__xludf.DUMMYFUNCTION("IF
(
C2335=""фізична особа""
,
VLOOKUP(D2335,IMPORTRANGE(""https://docs.google.com/spreadsheets/d/14Bd19lYaqBhU8_DElYkX7l4wRkHqqCUFNJY4AfY3kHU/edit?usp=sharing  #gid=0"",""фіз особи new!relations_name""),6,FALSE)
,
(IF
(
C2335=""юридична особа""
,
VLOOKUP"&amp;"(D2335,IMPORTRANGE(""https://docs.google.com/spreadsheets/d/14Bd19lYaqBhU8_DElYkX7l4wRkHqqCUFNJY4AfY3kHU/edit?usp=sharing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4" s="7" t="s">
        <v>10</v>
      </c>
      <c r="H2334" s="7">
        <v>880</v>
      </c>
      <c r="I2334" s="8" t="str">
        <f ca="1">IFERROR(__xludf.DUMMYFUNCTION("IF
(
G2335=""фізична особа""
,
VLOOKUP(H2335,IMPORTRANGE(""https://docs.google.com/spreadsheets/d/14Bd19lYaqBhU8_DElYkX7l4wRkHqqCUFNJY4AfY3kHU/edit?usp=sharing  #gid=0"",""фіз особи new!relations_name""),6,FALSE)
,
(IF
(
G2335=""юридична особа""
,
VLOOKUP"&amp;"(H2335,IMPORTRANGE(""https://docs.google.com/spreadsheets/d/14Bd19lYaqBhU8_DElYkX7l4wRkHqqCUFNJY4AfY3kHU/edit?usp=sharing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334" s="7" t="s">
        <v>56</v>
      </c>
    </row>
    <row r="2335" spans="1:10" ht="13.2">
      <c r="A2335" s="7">
        <v>2334</v>
      </c>
      <c r="B2335" s="7">
        <v>1</v>
      </c>
      <c r="C2335" s="7" t="s">
        <v>10</v>
      </c>
      <c r="D2335" s="7">
        <v>675</v>
      </c>
      <c r="E2335" s="7" t="s">
        <v>85</v>
      </c>
      <c r="F2335" s="8" t="str">
        <f ca="1">IFERROR(__xludf.DUMMYFUNCTION("IF
(
C2336=""фізична особа""
,
VLOOKUP(D2336,IMPORTRANGE(""https://docs.google.com/spreadsheets/d/14Bd19lYaqBhU8_DElYkX7l4wRkHqqCUFNJY4AfY3kHU/edit?usp=sharing  #gid=0"",""фіз особи new!relations_name""),6,FALSE)
,
(IF
(
C2336=""юридична особа""
,
VLOOKUP"&amp;"(D2336,IMPORTRANGE(""https://docs.google.com/spreadsheets/d/14Bd19lYaqBhU8_DElYkX7l4wRkHqqCUFNJY4AfY3kHU/edit?usp=sharing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5" s="7" t="s">
        <v>10</v>
      </c>
      <c r="H2335" s="7">
        <v>2038</v>
      </c>
      <c r="I2335" s="8" t="str">
        <f ca="1">IFERROR(__xludf.DUMMYFUNCTION("IF
(
G2336=""фізична особа""
,
VLOOKUP(H2336,IMPORTRANGE(""https://docs.google.com/spreadsheets/d/14Bd19lYaqBhU8_DElYkX7l4wRkHqqCUFNJY4AfY3kHU/edit?usp=sharing  #gid=0"",""фіз особи new!relations_name""),6,FALSE)
,
(IF
(
G2336=""юридична особа""
,
VLOOKUP"&amp;"(H2336,IMPORTRANGE(""https://docs.google.com/spreadsheets/d/14Bd19lYaqBhU8_DElYkX7l4wRkHqqCUFNJY4AfY3kHU/edit?usp=sharing  #gid=0"",""фіз особи new!relations_name_uo""),7,FALSE)
,
)
))"),"ПУТІНА / ВОРОНЦОВА / ФААССЕН Марія Володимирівна")</f>
        <v>ПУТІНА / ВОРОНЦОВА / ФААССЕН Марія Володимирівна</v>
      </c>
      <c r="J2335" s="7" t="s">
        <v>86</v>
      </c>
    </row>
    <row r="2336" spans="1:10" ht="13.2">
      <c r="A2336" s="7">
        <v>2335</v>
      </c>
      <c r="B2336" s="7">
        <v>1</v>
      </c>
      <c r="C2336" s="7" t="s">
        <v>10</v>
      </c>
      <c r="D2336" s="7">
        <v>675</v>
      </c>
      <c r="E2336" s="7" t="s">
        <v>73</v>
      </c>
      <c r="F2336" s="8" t="str">
        <f ca="1">IFERROR(__xludf.DUMMYFUNCTION("IF
(
C2337=""фізична особа""
,
VLOOKUP(D2337,IMPORTRANGE(""https://docs.google.com/spreadsheets/d/14Bd19lYaqBhU8_DElYkX7l4wRkHqqCUFNJY4AfY3kHU/edit?usp=sharing  #gid=0"",""фіз особи new!relations_name""),6,FALSE)
,
(IF
(
C2337=""юридична особа""
,
VLOOKUP"&amp;"(D2337,IMPORTRANGE(""https://docs.google.com/spreadsheets/d/14Bd19lYaqBhU8_DElYkX7l4wRkHqqCUFNJY4AfY3kHU/edit?usp=sharing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6" s="7" t="s">
        <v>10</v>
      </c>
      <c r="H2336" s="7">
        <v>0</v>
      </c>
      <c r="I2336" s="8" t="str">
        <f ca="1">IFERROR(__xludf.DUMMYFUNCTION("IF
(
G2337=""фізична особа""
,
VLOOKUP(H2337,IMPORTRANGE(""https://docs.google.com/spreadsheets/d/14Bd19lYaqBhU8_DElYkX7l4wRkHqqCUFNJY4AfY3kHU/edit?usp=sharing  #gid=0"",""фіз особи new!relations_name""),6,FALSE)
,
(IF
(
G2337=""юридична особа""
,
VLOOKUP"&amp;"(H2337,IMPORTRANGE(""https://docs.google.com/spreadsheets/d/14Bd19lYaqBhU8_DElYkX7l4wRkHqqCUFNJY4AfY3kHU/edit?usp=sharing  #gid=0"",""фіз особи new!relations_name_uo""),7,FALSE)
,
)
))"),"#N/A")</f>
        <v>#N/A</v>
      </c>
      <c r="J2336" s="7" t="s">
        <v>25</v>
      </c>
    </row>
    <row r="2337" spans="1:10" ht="13.2">
      <c r="A2337" s="7">
        <v>2336</v>
      </c>
      <c r="B2337" s="7">
        <v>1</v>
      </c>
      <c r="C2337" s="7" t="s">
        <v>10</v>
      </c>
      <c r="D2337" s="7">
        <v>675</v>
      </c>
      <c r="E2337" s="7" t="s">
        <v>35</v>
      </c>
      <c r="F2337" s="8" t="str">
        <f ca="1">IFERROR(__xludf.DUMMYFUNCTION("IF
(
C2338=""фізична особа""
,
VLOOKUP(D2338,IMPORTRANGE(""https://docs.google.com/spreadsheets/d/14Bd19lYaqBhU8_DElYkX7l4wRkHqqCUFNJY4AfY3kHU/edit?usp=sharing  #gid=0"",""фіз особи new!relations_name""),6,FALSE)
,
(IF
(
C2338=""юридична особа""
,
VLOOKUP"&amp;"(D2338,IMPORTRANGE(""https://docs.google.com/spreadsheets/d/14Bd19lYaqBhU8_DElYkX7l4wRkHqqCUFNJY4AfY3kHU/edit?usp=sharing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G2337" s="7" t="s">
        <v>10</v>
      </c>
      <c r="H2337" s="7">
        <v>0</v>
      </c>
      <c r="I2337" s="8" t="str">
        <f ca="1">IFERROR(__xludf.DUMMYFUNCTION("IF
(
G2338=""фізична особа""
,
VLOOKUP(H2338,IMPORTRANGE(""https://docs.google.com/spreadsheets/d/14Bd19lYaqBhU8_DElYkX7l4wRkHqqCUFNJY4AfY3kHU/edit?usp=sharing  #gid=0"",""фіз особи new!relations_name""),6,FALSE)
,
(IF
(
G2338=""юридична особа""
,
VLOOKUP"&amp;"(H2338,IMPORTRANGE(""https://docs.google.com/spreadsheets/d/14Bd19lYaqBhU8_DElYkX7l4wRkHqqCUFNJY4AfY3kHU/edit?usp=sharing  #gid=0"",""фіз особи new!relations_name_uo""),7,FALSE)
,
)
))"),"#N/A")</f>
        <v>#N/A</v>
      </c>
      <c r="J2337" s="7" t="s">
        <v>35</v>
      </c>
    </row>
    <row r="2338" spans="1:10" ht="13.2">
      <c r="A2338" s="7">
        <v>2337</v>
      </c>
      <c r="B2338" s="7">
        <v>1</v>
      </c>
      <c r="C2338" s="7" t="s">
        <v>10</v>
      </c>
      <c r="D2338" s="7">
        <v>676</v>
      </c>
      <c r="E2338" s="7" t="s">
        <v>48</v>
      </c>
      <c r="F2338" s="8" t="str">
        <f ca="1">IFERROR(__xludf.DUMMYFUNCTION("IF
(
C2339=""фізична особа""
,
VLOOKUP(D2339,IMPORTRANGE(""https://docs.google.com/spreadsheets/d/14Bd19lYaqBhU8_DElYkX7l4wRkHqqCUFNJY4AfY3kHU/edit?usp=sharing  #gid=0"",""фіз особи new!relations_name""),6,FALSE)
,
(IF
(
C2339=""юридична особа""
,
VLOOKUP"&amp;"(D2339,IMPORTRANGE(""https://docs.google.com/spreadsheets/d/14Bd19lYaqBhU8_DElYkX7l4wRkHqqCUFNJY4AfY3kHU/edit?usp=sharing  #gid=0"",""фіз особи new!relations_name_uo""),7,FALSE)
,
)
))"),"АРЕНІН Сергій Петрович")</f>
        <v>АРЕНІН Сергій Петрович</v>
      </c>
      <c r="G2338" s="7" t="s">
        <v>10</v>
      </c>
      <c r="H2338" s="7">
        <v>825</v>
      </c>
      <c r="I2338" s="8" t="str">
        <f ca="1">IFERROR(__xludf.DUMMYFUNCTION("IF
(
G2339=""фізична особа""
,
VLOOKUP(H2339,IMPORTRANGE(""https://docs.google.com/spreadsheets/d/14Bd19lYaqBhU8_DElYkX7l4wRkHqqCUFNJY4AfY3kHU/edit?usp=sharing  #gid=0"",""фіз особи new!relations_name""),6,FALSE)
,
(IF
(
G2339=""юридична особа""
,
VLOOKUP"&amp;"(H2339,IMPORTRANGE(""https://docs.google.com/spreadsheets/d/14Bd19lYaqBhU8_DElYkX7l4wRkHqqCUFNJY4AfY3kHU/edit?usp=sharing  #gid=0"",""фіз особи new!relations_name_uo""),7,FALSE)
,
)
))"),"БОНДАРЄВ Віктор Миколайович")</f>
        <v>БОНДАРЄВ Віктор Миколайович</v>
      </c>
      <c r="J2338" s="7" t="s">
        <v>48</v>
      </c>
    </row>
    <row r="2339" spans="1:10" ht="13.2">
      <c r="A2339" s="7">
        <v>2338</v>
      </c>
      <c r="B2339" s="7">
        <v>1</v>
      </c>
      <c r="C2339" s="7" t="s">
        <v>10</v>
      </c>
      <c r="D2339" s="7">
        <v>677</v>
      </c>
      <c r="E2339" s="7" t="s">
        <v>19</v>
      </c>
      <c r="F2339" s="8" t="str">
        <f ca="1">IFERROR(__xludf.DUMMYFUNCTION("IF
(
C2340=""фізична особа""
,
VLOOKUP(D2340,IMPORTRANGE(""https://docs.google.com/spreadsheets/d/14Bd19lYaqBhU8_DElYkX7l4wRkHqqCUFNJY4AfY3kHU/edit?usp=sharing  #gid=0"",""фіз особи new!relations_name""),6,FALSE)
,
(IF
(
C2340=""юридична особа""
,
VLOOKUP"&amp;"(D2340,IMPORTRANGE(""https://docs.google.com/spreadsheets/d/14Bd19lYaqBhU8_DElYkX7l4wRkHqqCUFNJY4AfY3kHU/edit?usp=sharing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39" s="7" t="s">
        <v>10</v>
      </c>
      <c r="H2339" s="7">
        <v>0</v>
      </c>
      <c r="I2339" s="8" t="str">
        <f ca="1">IFERROR(__xludf.DUMMYFUNCTION("IF
(
G2340=""фізична особа""
,
VLOOKUP(H2340,IMPORTRANGE(""https://docs.google.com/spreadsheets/d/14Bd19lYaqBhU8_DElYkX7l4wRkHqqCUFNJY4AfY3kHU/edit?usp=sharing  #gid=0"",""фіз особи new!relations_name""),6,FALSE)
,
(IF
(
G2340=""юридична особа""
,
VLOOKUP"&amp;"(H2340,IMPORTRANGE(""https://docs.google.com/spreadsheets/d/14Bd19lYaqBhU8_DElYkX7l4wRkHqqCUFNJY4AfY3kHU/edit?usp=sharing  #gid=0"",""фіз особи new!relations_name_uo""),7,FALSE)
,
)
))"),"#N/A")</f>
        <v>#N/A</v>
      </c>
      <c r="J2339" s="7" t="s">
        <v>22</v>
      </c>
    </row>
    <row r="2340" spans="1:10" ht="13.2">
      <c r="A2340" s="7">
        <v>2339</v>
      </c>
      <c r="B2340" s="7">
        <v>1</v>
      </c>
      <c r="C2340" s="7" t="s">
        <v>10</v>
      </c>
      <c r="D2340" s="7">
        <v>677</v>
      </c>
      <c r="E2340" s="7" t="s">
        <v>18</v>
      </c>
      <c r="F2340" s="8" t="str">
        <f ca="1">IFERROR(__xludf.DUMMYFUNCTION("IF
(
C2341=""фізична особа""
,
VLOOKUP(D2341,IMPORTRANGE(""https://docs.google.com/spreadsheets/d/14Bd19lYaqBhU8_DElYkX7l4wRkHqqCUFNJY4AfY3kHU/edit?usp=sharing  #gid=0"",""фіз особи new!relations_name""),6,FALSE)
,
(IF
(
C2341=""юридична особа""
,
VLOOKUP"&amp;"(D2341,IMPORTRANGE(""https://docs.google.com/spreadsheets/d/14Bd19lYaqBhU8_DElYkX7l4wRkHqqCUFNJY4AfY3kHU/edit?usp=sharing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0" s="7" t="s">
        <v>10</v>
      </c>
      <c r="H2340" s="7">
        <v>0</v>
      </c>
      <c r="I2340" s="8" t="str">
        <f ca="1">IFERROR(__xludf.DUMMYFUNCTION("IF
(
G2341=""фізична особа""
,
VLOOKUP(H2341,IMPORTRANGE(""https://docs.google.com/spreadsheets/d/14Bd19lYaqBhU8_DElYkX7l4wRkHqqCUFNJY4AfY3kHU/edit?usp=sharing  #gid=0"",""фіз особи new!relations_name""),6,FALSE)
,
(IF
(
G2341=""юридична особа""
,
VLOOKUP"&amp;"(H2341,IMPORTRANGE(""https://docs.google.com/spreadsheets/d/14Bd19lYaqBhU8_DElYkX7l4wRkHqqCUFNJY4AfY3kHU/edit?usp=sharing  #gid=0"",""фіз особи new!relations_name_uo""),7,FALSE)
,
)
))"),"#N/A")</f>
        <v>#N/A</v>
      </c>
      <c r="J2340" s="7" t="s">
        <v>31</v>
      </c>
    </row>
    <row r="2341" spans="1:10" ht="13.2">
      <c r="A2341" s="7">
        <v>2340</v>
      </c>
      <c r="B2341" s="7">
        <v>1</v>
      </c>
      <c r="C2341" s="7" t="s">
        <v>10</v>
      </c>
      <c r="D2341" s="7">
        <v>677</v>
      </c>
      <c r="E2341" s="7" t="s">
        <v>24</v>
      </c>
      <c r="F2341" s="8" t="str">
        <f ca="1">IFERROR(__xludf.DUMMYFUNCTION("IF
(
C2342=""фізична особа""
,
VLOOKUP(D2342,IMPORTRANGE(""https://docs.google.com/spreadsheets/d/14Bd19lYaqBhU8_DElYkX7l4wRkHqqCUFNJY4AfY3kHU/edit?usp=sharing  #gid=0"",""фіз особи new!relations_name""),6,FALSE)
,
(IF
(
C2342=""юридична особа""
,
VLOOKUP"&amp;"(D2342,IMPORTRANGE(""https://docs.google.com/spreadsheets/d/14Bd19lYaqBhU8_DElYkX7l4wRkHqqCUFNJY4AfY3kHU/edit?usp=sharing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1" s="7" t="s">
        <v>10</v>
      </c>
      <c r="H2341" s="7">
        <v>0</v>
      </c>
      <c r="I2341" s="8" t="str">
        <f ca="1">IFERROR(__xludf.DUMMYFUNCTION("IF
(
G2342=""фізична особа""
,
VLOOKUP(H2342,IMPORTRANGE(""https://docs.google.com/spreadsheets/d/14Bd19lYaqBhU8_DElYkX7l4wRkHqqCUFNJY4AfY3kHU/edit?usp=sharing  #gid=0"",""фіз особи new!relations_name""),6,FALSE)
,
(IF
(
G2342=""юридична особа""
,
VLOOKUP"&amp;"(H2342,IMPORTRANGE(""https://docs.google.com/spreadsheets/d/14Bd19lYaqBhU8_DElYkX7l4wRkHqqCUFNJY4AfY3kHU/edit?usp=sharing  #gid=0"",""фіз особи new!relations_name_uo""),7,FALSE)
,
)
))"),"#N/A")</f>
        <v>#N/A</v>
      </c>
      <c r="J2341" s="7" t="s">
        <v>26</v>
      </c>
    </row>
    <row r="2342" spans="1:10" ht="13.2">
      <c r="A2342" s="7">
        <v>2341</v>
      </c>
      <c r="B2342" s="7">
        <v>1</v>
      </c>
      <c r="C2342" s="7" t="s">
        <v>10</v>
      </c>
      <c r="D2342" s="7">
        <v>677</v>
      </c>
      <c r="E2342" s="7" t="s">
        <v>19</v>
      </c>
      <c r="F2342" s="8" t="str">
        <f ca="1">IFERROR(__xludf.DUMMYFUNCTION("IF
(
C2343=""фізична особа""
,
VLOOKUP(D2343,IMPORTRANGE(""https://docs.google.com/spreadsheets/d/14Bd19lYaqBhU8_DElYkX7l4wRkHqqCUFNJY4AfY3kHU/edit?usp=sharing  #gid=0"",""фіз особи new!relations_name""),6,FALSE)
,
(IF
(
C2343=""юридична особа""
,
VLOOKUP"&amp;"(D2343,IMPORTRANGE(""https://docs.google.com/spreadsheets/d/14Bd19lYaqBhU8_DElYkX7l4wRkHqqCUFNJY4AfY3kHU/edit?usp=sharing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2" s="7" t="s">
        <v>10</v>
      </c>
      <c r="H2342" s="7">
        <v>0</v>
      </c>
      <c r="I2342" s="8" t="str">
        <f ca="1">IFERROR(__xludf.DUMMYFUNCTION("IF
(
G2343=""фізична особа""
,
VLOOKUP(H2343,IMPORTRANGE(""https://docs.google.com/spreadsheets/d/14Bd19lYaqBhU8_DElYkX7l4wRkHqqCUFNJY4AfY3kHU/edit?usp=sharing  #gid=0"",""фіз особи new!relations_name""),6,FALSE)
,
(IF
(
G2343=""юридична особа""
,
VLOOKUP"&amp;"(H2343,IMPORTRANGE(""https://docs.google.com/spreadsheets/d/14Bd19lYaqBhU8_DElYkX7l4wRkHqqCUFNJY4AfY3kHU/edit?usp=sharing  #gid=0"",""фіз особи new!relations_name_uo""),7,FALSE)
,
)
))"),"#N/A")</f>
        <v>#N/A</v>
      </c>
      <c r="J2342" s="7" t="s">
        <v>20</v>
      </c>
    </row>
    <row r="2343" spans="1:10" ht="13.2">
      <c r="A2343" s="7">
        <v>2342</v>
      </c>
      <c r="B2343" s="7">
        <v>1</v>
      </c>
      <c r="C2343" s="7" t="s">
        <v>10</v>
      </c>
      <c r="D2343" s="7">
        <v>677</v>
      </c>
      <c r="E2343" s="7" t="s">
        <v>19</v>
      </c>
      <c r="F2343" s="8" t="str">
        <f ca="1">IFERROR(__xludf.DUMMYFUNCTION("IF
(
C2344=""фізична особа""
,
VLOOKUP(D2344,IMPORTRANGE(""https://docs.google.com/spreadsheets/d/14Bd19lYaqBhU8_DElYkX7l4wRkHqqCUFNJY4AfY3kHU/edit?usp=sharing  #gid=0"",""фіз особи new!relations_name""),6,FALSE)
,
(IF
(
C2344=""юридична особа""
,
VLOOKUP"&amp;"(D2344,IMPORTRANGE(""https://docs.google.com/spreadsheets/d/14Bd19lYaqBhU8_DElYkX7l4wRkHqqCUFNJY4AfY3kHU/edit?usp=sharing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3" s="7" t="s">
        <v>10</v>
      </c>
      <c r="H2343" s="7">
        <v>0</v>
      </c>
      <c r="I2343" s="8" t="str">
        <f ca="1">IFERROR(__xludf.DUMMYFUNCTION("IF
(
G2344=""фізична особа""
,
VLOOKUP(H2344,IMPORTRANGE(""https://docs.google.com/spreadsheets/d/14Bd19lYaqBhU8_DElYkX7l4wRkHqqCUFNJY4AfY3kHU/edit?usp=sharing  #gid=0"",""фіз особи new!relations_name""),6,FALSE)
,
(IF
(
G2344=""юридична особа""
,
VLOOKUP"&amp;"(H2344,IMPORTRANGE(""https://docs.google.com/spreadsheets/d/14Bd19lYaqBhU8_DElYkX7l4wRkHqqCUFNJY4AfY3kHU/edit?usp=sharing  #gid=0"",""фіз особи new!relations_name_uo""),7,FALSE)
,
)
))"),"#N/A")</f>
        <v>#N/A</v>
      </c>
      <c r="J2343" s="7" t="s">
        <v>20</v>
      </c>
    </row>
    <row r="2344" spans="1:10" ht="13.2">
      <c r="A2344" s="7">
        <v>2343</v>
      </c>
      <c r="B2344" s="7">
        <v>1</v>
      </c>
      <c r="C2344" s="7" t="s">
        <v>10</v>
      </c>
      <c r="D2344" s="7">
        <v>677</v>
      </c>
      <c r="E2344" s="7" t="s">
        <v>12</v>
      </c>
      <c r="F2344" s="8" t="str">
        <f ca="1">IFERROR(__xludf.DUMMYFUNCTION("IF
(
C2345=""фізична особа""
,
VLOOKUP(D2345,IMPORTRANGE(""https://docs.google.com/spreadsheets/d/14Bd19lYaqBhU8_DElYkX7l4wRkHqqCUFNJY4AfY3kHU/edit?usp=sharing  #gid=0"",""фіз особи new!relations_name""),6,FALSE)
,
(IF
(
C2345=""юридична особа""
,
VLOOKUP"&amp;"(D2345,IMPORTRANGE(""https://docs.google.com/spreadsheets/d/14Bd19lYaqBhU8_DElYkX7l4wRkHqqCUFNJY4AfY3kHU/edit?usp=sharing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4" s="7" t="s">
        <v>10</v>
      </c>
      <c r="H2344" s="7">
        <v>5065</v>
      </c>
      <c r="I2344" s="8" t="str">
        <f ca="1">IFERROR(__xludf.DUMMYFUNCTION("IF
(
G2345=""фізична особа""
,
VLOOKUP(H2345,IMPORTRANGE(""https://docs.google.com/spreadsheets/d/14Bd19lYaqBhU8_DElYkX7l4wRkHqqCUFNJY4AfY3kHU/edit?usp=sharing  #gid=0"",""фіз особи new!relations_name""),6,FALSE)
,
(IF
(
G2345=""юридична особа""
,
VLOOKUP"&amp;"(H2345,IMPORTRANGE(""https://docs.google.com/spreadsheets/d/14Bd19lYaqBhU8_DElYkX7l4wRkHqqCUFNJY4AfY3kHU/edit?usp=sharing  #gid=0"",""фіз особи new!relations_name_uo""),7,FALSE)
,
)
))"),"СОБЯНІНА Ганна Сергіївна")</f>
        <v>СОБЯНІНА Ганна Сергіївна</v>
      </c>
      <c r="J2344" s="7" t="s">
        <v>13</v>
      </c>
    </row>
    <row r="2345" spans="1:10" ht="13.2">
      <c r="A2345" s="7">
        <v>2344</v>
      </c>
      <c r="B2345" s="7">
        <v>1</v>
      </c>
      <c r="C2345" s="7" t="s">
        <v>10</v>
      </c>
      <c r="D2345" s="7">
        <v>677</v>
      </c>
      <c r="E2345" s="7" t="s">
        <v>12</v>
      </c>
      <c r="F2345" s="8" t="str">
        <f ca="1">IFERROR(__xludf.DUMMYFUNCTION("IF
(
C2346=""фізична особа""
,
VLOOKUP(D2346,IMPORTRANGE(""https://docs.google.com/spreadsheets/d/14Bd19lYaqBhU8_DElYkX7l4wRkHqqCUFNJY4AfY3kHU/edit?usp=sharing  #gid=0"",""фіз особи new!relations_name""),6,FALSE)
,
(IF
(
C2346=""юридична особа""
,
VLOOKUP"&amp;"(D2346,IMPORTRANGE(""https://docs.google.com/spreadsheets/d/14Bd19lYaqBhU8_DElYkX7l4wRkHqqCUFNJY4AfY3kHU/edit?usp=sharing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5" s="7" t="s">
        <v>10</v>
      </c>
      <c r="H2345" s="7">
        <v>5066</v>
      </c>
      <c r="I2345" s="8" t="str">
        <f ca="1">IFERROR(__xludf.DUMMYFUNCTION("IF
(
G2346=""фізична особа""
,
VLOOKUP(H2346,IMPORTRANGE(""https://docs.google.com/spreadsheets/d/14Bd19lYaqBhU8_DElYkX7l4wRkHqqCUFNJY4AfY3kHU/edit?usp=sharing  #gid=0"",""фіз особи new!relations_name""),6,FALSE)
,
(IF
(
G2346=""юридична особа""
,
VLOOKUP"&amp;"(H2346,IMPORTRANGE(""https://docs.google.com/spreadsheets/d/14Bd19lYaqBhU8_DElYkX7l4wRkHqqCUFNJY4AfY3kHU/edit?usp=sharing  #gid=0"",""фіз особи new!relations_name_uo""),7,FALSE)
,
)
))"),"СОБЯНІНА Ольга Сергіївна")</f>
        <v>СОБЯНІНА Ольга Сергіївна</v>
      </c>
      <c r="J2345" s="7" t="s">
        <v>13</v>
      </c>
    </row>
    <row r="2346" spans="1:10" ht="13.2">
      <c r="A2346" s="7">
        <v>2345</v>
      </c>
      <c r="B2346" s="7">
        <v>1</v>
      </c>
      <c r="C2346" s="7" t="s">
        <v>10</v>
      </c>
      <c r="D2346" s="7">
        <v>677</v>
      </c>
      <c r="E2346" s="7" t="s">
        <v>42</v>
      </c>
      <c r="F2346" s="8" t="str">
        <f ca="1">IFERROR(__xludf.DUMMYFUNCTION("IF
(
C2347=""фізична особа""
,
VLOOKUP(D2347,IMPORTRANGE(""https://docs.google.com/spreadsheets/d/14Bd19lYaqBhU8_DElYkX7l4wRkHqqCUFNJY4AfY3kHU/edit?usp=sharing  #gid=0"",""фіз особи new!relations_name""),6,FALSE)
,
(IF
(
C2347=""юридична особа""
,
VLOOKUP"&amp;"(D2347,IMPORTRANGE(""https://docs.google.com/spreadsheets/d/14Bd19lYaqBhU8_DElYkX7l4wRkHqqCUFNJY4AfY3kHU/edit?usp=sharing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6" s="7" t="s">
        <v>10</v>
      </c>
      <c r="H2346" s="7">
        <v>5067</v>
      </c>
      <c r="I2346" s="8" t="str">
        <f ca="1">IFERROR(__xludf.DUMMYFUNCTION("IF
(
G2347=""фізична особа""
,
VLOOKUP(H2347,IMPORTRANGE(""https://docs.google.com/spreadsheets/d/14Bd19lYaqBhU8_DElYkX7l4wRkHqqCUFNJY4AfY3kHU/edit?usp=sharing  #gid=0"",""фіз особи new!relations_name""),6,FALSE)
,
(IF
(
G2347=""юридична особа""
,
VLOOKUP"&amp;"(H2347,IMPORTRANGE(""https://docs.google.com/spreadsheets/d/14Bd19lYaqBhU8_DElYkX7l4wRkHqqCUFNJY4AfY3kHU/edit?usp=sharing  #gid=0"",""фіз особи new!relations_name_uo""),7,FALSE)
,
)
))"),"СОБЯНІНА Ірина Йосипівна")</f>
        <v>СОБЯНІНА Ірина Йосипівна</v>
      </c>
      <c r="J2346" s="7" t="s">
        <v>43</v>
      </c>
    </row>
    <row r="2347" spans="1:10" ht="13.2">
      <c r="A2347" s="7">
        <v>2346</v>
      </c>
      <c r="B2347" s="7">
        <v>1</v>
      </c>
      <c r="C2347" s="7" t="s">
        <v>10</v>
      </c>
      <c r="D2347" s="7">
        <v>677</v>
      </c>
      <c r="E2347" s="7" t="s">
        <v>55</v>
      </c>
      <c r="F2347" s="8" t="str">
        <f ca="1">IFERROR(__xludf.DUMMYFUNCTION("IF
(
C2348=""фізична особа""
,
VLOOKUP(D2348,IMPORTRANGE(""https://docs.google.com/spreadsheets/d/14Bd19lYaqBhU8_DElYkX7l4wRkHqqCUFNJY4AfY3kHU/edit?usp=sharing  #gid=0"",""фіз особи new!relations_name""),6,FALSE)
,
(IF
(
C2348=""юридична особа""
,
VLOOKUP"&amp;"(D2348,IMPORTRANGE(""https://docs.google.com/spreadsheets/d/14Bd19lYaqBhU8_DElYkX7l4wRkHqqCUFNJY4AfY3kHU/edit?usp=sharing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7" s="7" t="s">
        <v>10</v>
      </c>
      <c r="H2347" s="7">
        <v>0</v>
      </c>
      <c r="I2347" s="8" t="str">
        <f ca="1">IFERROR(__xludf.DUMMYFUNCTION("IF
(
G2348=""фізична особа""
,
VLOOKUP(H2348,IMPORTRANGE(""https://docs.google.com/spreadsheets/d/14Bd19lYaqBhU8_DElYkX7l4wRkHqqCUFNJY4AfY3kHU/edit?usp=sharing  #gid=0"",""фіз особи new!relations_name""),6,FALSE)
,
(IF
(
G2348=""юридична особа""
,
VLOOKUP"&amp;"(H2348,IMPORTRANGE(""https://docs.google.com/spreadsheets/d/14Bd19lYaqBhU8_DElYkX7l4wRkHqqCUFNJY4AfY3kHU/edit?usp=sharing  #gid=0"",""фіз особи new!relations_name_uo""),7,FALSE)
,
)
))"),"#N/A")</f>
        <v>#N/A</v>
      </c>
      <c r="J2347" s="7" t="s">
        <v>54</v>
      </c>
    </row>
    <row r="2348" spans="1:10" ht="13.2">
      <c r="A2348" s="7">
        <v>2347</v>
      </c>
      <c r="B2348" s="7">
        <v>1</v>
      </c>
      <c r="C2348" s="7" t="s">
        <v>10</v>
      </c>
      <c r="D2348" s="7">
        <v>677</v>
      </c>
      <c r="E2348" s="7" t="s">
        <v>77</v>
      </c>
      <c r="F2348" s="8" t="str">
        <f ca="1">IFERROR(__xludf.DUMMYFUNCTION("IF
(
C2349=""фізична особа""
,
VLOOKUP(D2349,IMPORTRANGE(""https://docs.google.com/spreadsheets/d/14Bd19lYaqBhU8_DElYkX7l4wRkHqqCUFNJY4AfY3kHU/edit?usp=sharing  #gid=0"",""фіз особи new!relations_name""),6,FALSE)
,
(IF
(
C2349=""юридична особа""
,
VLOOKUP"&amp;"(D2349,IMPORTRANGE(""https://docs.google.com/spreadsheets/d/14Bd19lYaqBhU8_DElYkX7l4wRkHqqCUFNJY4AfY3kHU/edit?usp=sharing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8" s="7" t="s">
        <v>10</v>
      </c>
      <c r="H2348" s="7">
        <v>0</v>
      </c>
      <c r="I2348" s="8" t="str">
        <f ca="1">IFERROR(__xludf.DUMMYFUNCTION("IF
(
G2349=""фізична особа""
,
VLOOKUP(H2349,IMPORTRANGE(""https://docs.google.com/spreadsheets/d/14Bd19lYaqBhU8_DElYkX7l4wRkHqqCUFNJY4AfY3kHU/edit?usp=sharing  #gid=0"",""фіз особи new!relations_name""),6,FALSE)
,
(IF
(
G2349=""юридична особа""
,
VLOOKUP"&amp;"(H2349,IMPORTRANGE(""https://docs.google.com/spreadsheets/d/14Bd19lYaqBhU8_DElYkX7l4wRkHqqCUFNJY4AfY3kHU/edit?usp=sharing  #gid=0"",""фіз особи new!relations_name_uo""),7,FALSE)
,
)
))"),"#N/A")</f>
        <v>#N/A</v>
      </c>
      <c r="J2348" s="7" t="s">
        <v>54</v>
      </c>
    </row>
    <row r="2349" spans="1:10" ht="13.2">
      <c r="A2349" s="7">
        <v>2348</v>
      </c>
      <c r="B2349" s="7">
        <v>1</v>
      </c>
      <c r="C2349" s="7" t="s">
        <v>10</v>
      </c>
      <c r="D2349" s="7">
        <v>677</v>
      </c>
      <c r="E2349" s="7" t="s">
        <v>65</v>
      </c>
      <c r="F2349" s="8" t="str">
        <f ca="1">IFERROR(__xludf.DUMMYFUNCTION("IF
(
C2350=""фізична особа""
,
VLOOKUP(D2350,IMPORTRANGE(""https://docs.google.com/spreadsheets/d/14Bd19lYaqBhU8_DElYkX7l4wRkHqqCUFNJY4AfY3kHU/edit?usp=sharing  #gid=0"",""фіз особи new!relations_name""),6,FALSE)
,
(IF
(
C2350=""юридична особа""
,
VLOOKUP"&amp;"(D2350,IMPORTRANGE(""https://docs.google.com/spreadsheets/d/14Bd19lYaqBhU8_DElYkX7l4wRkHqqCUFNJY4AfY3kHU/edit?usp=sharing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49" s="7" t="s">
        <v>10</v>
      </c>
      <c r="H2349" s="7">
        <v>0</v>
      </c>
      <c r="I2349" s="8" t="str">
        <f ca="1">IFERROR(__xludf.DUMMYFUNCTION("IF
(
G2350=""фізична особа""
,
VLOOKUP(H2350,IMPORTRANGE(""https://docs.google.com/spreadsheets/d/14Bd19lYaqBhU8_DElYkX7l4wRkHqqCUFNJY4AfY3kHU/edit?usp=sharing  #gid=0"",""фіз особи new!relations_name""),6,FALSE)
,
(IF
(
G2350=""юридична особа""
,
VLOOKUP"&amp;"(H2350,IMPORTRANGE(""https://docs.google.com/spreadsheets/d/14Bd19lYaqBhU8_DElYkX7l4wRkHqqCUFNJY4AfY3kHU/edit?usp=sharing  #gid=0"",""фіз особи new!relations_name_uo""),7,FALSE)
,
)
))"),"#N/A")</f>
        <v>#N/A</v>
      </c>
      <c r="J2349" s="7" t="s">
        <v>65</v>
      </c>
    </row>
    <row r="2350" spans="1:10" ht="13.2">
      <c r="A2350" s="7">
        <v>2349</v>
      </c>
      <c r="B2350" s="7">
        <v>1</v>
      </c>
      <c r="C2350" s="7" t="s">
        <v>10</v>
      </c>
      <c r="D2350" s="7">
        <v>677</v>
      </c>
      <c r="E2350" s="7" t="s">
        <v>48</v>
      </c>
      <c r="F2350" s="8" t="str">
        <f ca="1">IFERROR(__xludf.DUMMYFUNCTION("IF
(
C2351=""фізична особа""
,
VLOOKUP(D2351,IMPORTRANGE(""https://docs.google.com/spreadsheets/d/14Bd19lYaqBhU8_DElYkX7l4wRkHqqCUFNJY4AfY3kHU/edit?usp=sharing  #gid=0"",""фіз особи new!relations_name""),6,FALSE)
,
(IF
(
C2351=""юридична особа""
,
VLOOKUP"&amp;"(D2351,IMPORTRANGE(""https://docs.google.com/spreadsheets/d/14Bd19lYaqBhU8_DElYkX7l4wRkHqqCUFNJY4AfY3kHU/edit?usp=sharing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0" s="7" t="s">
        <v>10</v>
      </c>
      <c r="H2350" s="7">
        <v>882</v>
      </c>
      <c r="I2350" s="8" t="str">
        <f ca="1">IFERROR(__xludf.DUMMYFUNCTION("IF
(
G2351=""фізична особа""
,
VLOOKUP(H2351,IMPORTRANGE(""https://docs.google.com/spreadsheets/d/14Bd19lYaqBhU8_DElYkX7l4wRkHqqCUFNJY4AfY3kHU/edit?usp=sharing  #gid=0"",""фіз особи new!relations_name""),6,FALSE)
,
(IF
(
G2351=""юридична особа""
,
VLOOKUP"&amp;"(H2351,IMPORTRANGE(""https://docs.google.com/spreadsheets/d/14Bd19lYaqBhU8_DElYkX7l4wRkHqqCUFNJY4AfY3kHU/edit?usp=sharing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J2350" s="7" t="s">
        <v>48</v>
      </c>
    </row>
    <row r="2351" spans="1:10" ht="13.2">
      <c r="A2351" s="7">
        <v>2350</v>
      </c>
      <c r="B2351" s="7">
        <v>1</v>
      </c>
      <c r="C2351" s="7" t="s">
        <v>10</v>
      </c>
      <c r="D2351" s="7">
        <v>677</v>
      </c>
      <c r="E2351" s="7" t="s">
        <v>52</v>
      </c>
      <c r="F2351" s="8" t="str">
        <f ca="1">IFERROR(__xludf.DUMMYFUNCTION("IF
(
C2352=""фізична особа""
,
VLOOKUP(D2352,IMPORTRANGE(""https://docs.google.com/spreadsheets/d/14Bd19lYaqBhU8_DElYkX7l4wRkHqqCUFNJY4AfY3kHU/edit?usp=sharing  #gid=0"",""фіз особи new!relations_name""),6,FALSE)
,
(IF
(
C2352=""юридична особа""
,
VLOOKUP"&amp;"(D2352,IMPORTRANGE(""https://docs.google.com/spreadsheets/d/14Bd19lYaqBhU8_DElYkX7l4wRkHqqCUFNJY4AfY3kHU/edit?usp=sharing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1" s="7" t="s">
        <v>10</v>
      </c>
      <c r="H2351" s="7">
        <v>23439</v>
      </c>
      <c r="I2351" s="8" t="str">
        <f ca="1">IFERROR(__xludf.DUMMYFUNCTION("IF
(
G2352=""фізична особа""
,
VLOOKUP(H2352,IMPORTRANGE(""https://docs.google.com/spreadsheets/d/14Bd19lYaqBhU8_DElYkX7l4wRkHqqCUFNJY4AfY3kHU/edit?usp=sharing  #gid=0"",""фіз особи new!relations_name""),6,FALSE)
,
(IF
(
G2352=""юридична особа""
,
VLOOKUP"&amp;"(H2352,IMPORTRANGE(""https://docs.google.com/spreadsheets/d/14Bd19lYaqBhU8_DElYkX7l4wRkHqqCUFNJY4AfY3kHU/edit?usp=sharing  #gid=0"",""фіз особи new!relations_name_uo""),7,FALSE)
,
)
))"),"СМОЛА Володимир Йосипович")</f>
        <v>СМОЛА Володимир Йосипович</v>
      </c>
      <c r="J2351" s="7" t="s">
        <v>53</v>
      </c>
    </row>
    <row r="2352" spans="1:10" ht="13.2">
      <c r="A2352" s="7">
        <v>2351</v>
      </c>
      <c r="B2352" s="7">
        <v>1</v>
      </c>
      <c r="C2352" s="7" t="s">
        <v>10</v>
      </c>
      <c r="D2352" s="7">
        <v>677</v>
      </c>
      <c r="E2352" s="7" t="s">
        <v>29</v>
      </c>
      <c r="F2352" s="8" t="str">
        <f ca="1">IFERROR(__xludf.DUMMYFUNCTION("IF
(
C2353=""фізична особа""
,
VLOOKUP(D2353,IMPORTRANGE(""https://docs.google.com/spreadsheets/d/14Bd19lYaqBhU8_DElYkX7l4wRkHqqCUFNJY4AfY3kHU/edit?usp=sharing  #gid=0"",""фіз особи new!relations_name""),6,FALSE)
,
(IF
(
C2353=""юридична особа""
,
VLOOKUP"&amp;"(D2353,IMPORTRANGE(""https://docs.google.com/spreadsheets/d/14Bd19lYaqBhU8_DElYkX7l4wRkHqqCUFNJY4AfY3kHU/edit?usp=sharing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2" s="7" t="s">
        <v>10</v>
      </c>
      <c r="H2352" s="7">
        <v>13057</v>
      </c>
      <c r="I2352" s="8" t="str">
        <f ca="1">IFERROR(__xludf.DUMMYFUNCTION("IF
(
G2353=""фізична особа""
,
VLOOKUP(H2353,IMPORTRANGE(""https://docs.google.com/spreadsheets/d/14Bd19lYaqBhU8_DElYkX7l4wRkHqqCUFNJY4AfY3kHU/edit?usp=sharing  #gid=0"",""фіз особи new!relations_name""),6,FALSE)
,
(IF
(
G2353=""юридична особа""
,
VLOOKUP"&amp;"(H2353,IMPORTRANGE(""https://docs.google.com/spreadsheets/d/14Bd19lYaqBhU8_DElYkX7l4wRkHqqCUFNJY4AfY3kHU/edit?usp=sharing  #gid=0"",""фіз особи new!relations_name_uo""),7,FALSE)
,
)
))"),"ДРАГУНКІНА Зінаїда Федорівна")</f>
        <v>ДРАГУНКІНА Зінаїда Федорівна</v>
      </c>
      <c r="J2352" s="7" t="s">
        <v>28</v>
      </c>
    </row>
    <row r="2353" spans="1:10" ht="13.2">
      <c r="A2353" s="7">
        <v>2352</v>
      </c>
      <c r="B2353" s="7">
        <v>1</v>
      </c>
      <c r="C2353" s="7" t="s">
        <v>10</v>
      </c>
      <c r="D2353" s="7">
        <v>677</v>
      </c>
      <c r="E2353" s="7" t="s">
        <v>48</v>
      </c>
      <c r="F2353" s="8" t="str">
        <f ca="1">IFERROR(__xludf.DUMMYFUNCTION("IF
(
C2354=""фізична особа""
,
VLOOKUP(D2354,IMPORTRANGE(""https://docs.google.com/spreadsheets/d/14Bd19lYaqBhU8_DElYkX7l4wRkHqqCUFNJY4AfY3kHU/edit?usp=sharing  #gid=0"",""фіз особи new!relations_name""),6,FALSE)
,
(IF
(
C2354=""юридична особа""
,
VLOOKUP"&amp;"(D2354,IMPORTRANGE(""https://docs.google.com/spreadsheets/d/14Bd19lYaqBhU8_DElYkX7l4wRkHqqCUFNJY4AfY3kHU/edit?usp=sharing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3" s="7" t="s">
        <v>10</v>
      </c>
      <c r="H2353" s="7">
        <v>185</v>
      </c>
      <c r="I2353" s="8" t="str">
        <f ca="1">IFERROR(__xludf.DUMMYFUNCTION("IF
(
G2354=""фізична особа""
,
VLOOKUP(H2354,IMPORTRANGE(""https://docs.google.com/spreadsheets/d/14Bd19lYaqBhU8_DElYkX7l4wRkHqqCUFNJY4AfY3kHU/edit?usp=sharing  #gid=0"",""фіз особи new!relations_name""),6,FALSE)
,
(IF
(
G2354=""юридична особа""
,
VLOOKUP"&amp;"(H2354,IMPORTRANGE(""https://docs.google.com/spreadsheets/d/14Bd19lYaqBhU8_DElYkX7l4wRkHqqCUFNJY4AfY3kHU/edit?usp=sharing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353" s="7" t="s">
        <v>48</v>
      </c>
    </row>
    <row r="2354" spans="1:10" ht="13.2">
      <c r="A2354" s="7">
        <v>2353</v>
      </c>
      <c r="B2354" s="7">
        <v>1</v>
      </c>
      <c r="C2354" s="7" t="s">
        <v>10</v>
      </c>
      <c r="D2354" s="7">
        <v>677</v>
      </c>
      <c r="E2354" s="7" t="s">
        <v>29</v>
      </c>
      <c r="F2354" s="8" t="str">
        <f ca="1">IFERROR(__xludf.DUMMYFUNCTION("IF
(
C2355=""фізична особа""
,
VLOOKUP(D2355,IMPORTRANGE(""https://docs.google.com/spreadsheets/d/14Bd19lYaqBhU8_DElYkX7l4wRkHqqCUFNJY4AfY3kHU/edit?usp=sharing  #gid=0"",""фіз особи new!relations_name""),6,FALSE)
,
(IF
(
C2355=""юридична особа""
,
VLOOKUP"&amp;"(D2355,IMPORTRANGE(""https://docs.google.com/spreadsheets/d/14Bd19lYaqBhU8_DElYkX7l4wRkHqqCUFNJY4AfY3kHU/edit?usp=sharing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4" s="7" t="s">
        <v>10</v>
      </c>
      <c r="H2354" s="7">
        <v>23440</v>
      </c>
      <c r="I2354" s="8" t="str">
        <f ca="1">IFERROR(__xludf.DUMMYFUNCTION("IF
(
G2355=""фізична особа""
,
VLOOKUP(H2355,IMPORTRANGE(""https://docs.google.com/spreadsheets/d/14Bd19lYaqBhU8_DElYkX7l4wRkHqqCUFNJY4AfY3kHU/edit?usp=sharing  #gid=0"",""фіз особи new!relations_name""),6,FALSE)
,
(IF
(
G2355=""юридична особа""
,
VLOOKUP"&amp;"(H2355,IMPORTRANGE(""https://docs.google.com/spreadsheets/d/14Bd19lYaqBhU8_DElYkX7l4wRkHqqCUFNJY4AfY3kHU/edit?usp=sharing  #gid=0"",""фіз особи new!relations_name_uo""),7,FALSE)
,
)
))"),"КРОТОВ Андрій Владиславович")</f>
        <v>КРОТОВ Андрій Владиславович</v>
      </c>
      <c r="J2354" s="7" t="s">
        <v>28</v>
      </c>
    </row>
    <row r="2355" spans="1:10" ht="13.2">
      <c r="A2355" s="7">
        <v>2354</v>
      </c>
      <c r="B2355" s="7">
        <v>1</v>
      </c>
      <c r="C2355" s="7" t="s">
        <v>10</v>
      </c>
      <c r="D2355" s="7">
        <v>677</v>
      </c>
      <c r="E2355" s="7" t="s">
        <v>48</v>
      </c>
      <c r="F2355" s="8" t="str">
        <f ca="1">IFERROR(__xludf.DUMMYFUNCTION("IF
(
C2356=""фізична особа""
,
VLOOKUP(D2356,IMPORTRANGE(""https://docs.google.com/spreadsheets/d/14Bd19lYaqBhU8_DElYkX7l4wRkHqqCUFNJY4AfY3kHU/edit?usp=sharing  #gid=0"",""фіз особи new!relations_name""),6,FALSE)
,
(IF
(
C2356=""юридична особа""
,
VLOOKUP"&amp;"(D2356,IMPORTRANGE(""https://docs.google.com/spreadsheets/d/14Bd19lYaqBhU8_DElYkX7l4wRkHqqCUFNJY4AfY3kHU/edit?usp=sharing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5" s="7" t="s">
        <v>10</v>
      </c>
      <c r="H2355" s="7">
        <v>129</v>
      </c>
      <c r="I2355" s="8" t="str">
        <f ca="1">IFERROR(__xludf.DUMMYFUNCTION("IF
(
G2356=""фізична особа""
,
VLOOKUP(H2356,IMPORTRANGE(""https://docs.google.com/spreadsheets/d/14Bd19lYaqBhU8_DElYkX7l4wRkHqqCUFNJY4AfY3kHU/edit?usp=sharing  #gid=0"",""фіз особи new!relations_name""),6,FALSE)
,
(IF
(
G2356=""юридична особа""
,
VLOOKUP"&amp;"(H2356,IMPORTRANGE(""https://docs.google.com/spreadsheets/d/14Bd19lYaqBhU8_DElYkX7l4wRkHqqCUFNJY4AfY3kHU/edit?usp=sharing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J2355" s="7" t="s">
        <v>48</v>
      </c>
    </row>
    <row r="2356" spans="1:10" ht="13.2">
      <c r="A2356" s="7">
        <v>2355</v>
      </c>
      <c r="B2356" s="7">
        <v>1</v>
      </c>
      <c r="C2356" s="7" t="s">
        <v>10</v>
      </c>
      <c r="D2356" s="7">
        <v>677</v>
      </c>
      <c r="E2356" s="7" t="s">
        <v>29</v>
      </c>
      <c r="F2356" s="8" t="str">
        <f ca="1">IFERROR(__xludf.DUMMYFUNCTION("IF
(
C2357=""фізична особа""
,
VLOOKUP(D2357,IMPORTRANGE(""https://docs.google.com/spreadsheets/d/14Bd19lYaqBhU8_DElYkX7l4wRkHqqCUFNJY4AfY3kHU/edit?usp=sharing  #gid=0"",""фіз особи new!relations_name""),6,FALSE)
,
(IF
(
C2357=""юридична особа""
,
VLOOKUP"&amp;"(D2357,IMPORTRANGE(""https://docs.google.com/spreadsheets/d/14Bd19lYaqBhU8_DElYkX7l4wRkHqqCUFNJY4AfY3kHU/edit?usp=sharing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6" s="7" t="s">
        <v>10</v>
      </c>
      <c r="H2356" s="7">
        <v>0</v>
      </c>
      <c r="I2356" s="8" t="str">
        <f ca="1">IFERROR(__xludf.DUMMYFUNCTION("IF
(
G2357=""фізична особа""
,
VLOOKUP(H2357,IMPORTRANGE(""https://docs.google.com/spreadsheets/d/14Bd19lYaqBhU8_DElYkX7l4wRkHqqCUFNJY4AfY3kHU/edit?usp=sharing  #gid=0"",""фіз особи new!relations_name""),6,FALSE)
,
(IF
(
G2357=""юридична особа""
,
VLOOKUP"&amp;"(H2357,IMPORTRANGE(""https://docs.google.com/spreadsheets/d/14Bd19lYaqBhU8_DElYkX7l4wRkHqqCUFNJY4AfY3kHU/edit?usp=sharing  #gid=0"",""фіз особи new!relations_name_uo""),7,FALSE)
,
)
))"),"#N/A")</f>
        <v>#N/A</v>
      </c>
      <c r="J2356" s="7" t="s">
        <v>28</v>
      </c>
    </row>
    <row r="2357" spans="1:10" ht="13.2">
      <c r="A2357" s="7">
        <v>2356</v>
      </c>
      <c r="B2357" s="7">
        <v>1</v>
      </c>
      <c r="C2357" s="7" t="s">
        <v>10</v>
      </c>
      <c r="D2357" s="7">
        <v>677</v>
      </c>
      <c r="E2357" s="7" t="s">
        <v>48</v>
      </c>
      <c r="F2357" s="8" t="str">
        <f ca="1">IFERROR(__xludf.DUMMYFUNCTION("IF
(
C2358=""фізична особа""
,
VLOOKUP(D2358,IMPORTRANGE(""https://docs.google.com/spreadsheets/d/14Bd19lYaqBhU8_DElYkX7l4wRkHqqCUFNJY4AfY3kHU/edit?usp=sharing  #gid=0"",""фіз особи new!relations_name""),6,FALSE)
,
(IF
(
C2358=""юридична особа""
,
VLOOKUP"&amp;"(D2358,IMPORTRANGE(""https://docs.google.com/spreadsheets/d/14Bd19lYaqBhU8_DElYkX7l4wRkHqqCUFNJY4AfY3kHU/edit?usp=sharing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7" s="7" t="s">
        <v>10</v>
      </c>
      <c r="H2357" s="7">
        <v>23349</v>
      </c>
      <c r="I2357" s="8" t="str">
        <f ca="1">IFERROR(__xludf.DUMMYFUNCTION("IF
(
G2358=""фізична особа""
,
VLOOKUP(H2358,IMPORTRANGE(""https://docs.google.com/spreadsheets/d/14Bd19lYaqBhU8_DElYkX7l4wRkHqqCUFNJY4AfY3kHU/edit?usp=sharing  #gid=0"",""фіз особи new!relations_name""),6,FALSE)
,
(IF
(
G2358=""юридична особа""
,
VLOOKUP"&amp;"(H2358,IMPORTRANGE(""https://docs.google.com/spreadsheets/d/14Bd19lYaqBhU8_DElYkX7l4wRkHqqCUFNJY4AfY3kHU/edit?usp=sharing  #gid=0"",""фіз особи new!relations_name_uo""),7,FALSE)
,
)
))"),"БОГОМОЛОВ Костянтин Юрійович")</f>
        <v>БОГОМОЛОВ Костянтин Юрійович</v>
      </c>
      <c r="J2357" s="7" t="s">
        <v>48</v>
      </c>
    </row>
    <row r="2358" spans="1:10" ht="13.2">
      <c r="A2358" s="7">
        <v>2357</v>
      </c>
      <c r="B2358" s="7">
        <v>1</v>
      </c>
      <c r="C2358" s="7" t="s">
        <v>10</v>
      </c>
      <c r="D2358" s="7">
        <v>677</v>
      </c>
      <c r="E2358" s="7" t="s">
        <v>51</v>
      </c>
      <c r="F2358" s="8" t="str">
        <f ca="1">IFERROR(__xludf.DUMMYFUNCTION("IF
(
C2359=""фізична особа""
,
VLOOKUP(D2359,IMPORTRANGE(""https://docs.google.com/spreadsheets/d/14Bd19lYaqBhU8_DElYkX7l4wRkHqqCUFNJY4AfY3kHU/edit?usp=sharing  #gid=0"",""фіз особи new!relations_name""),6,FALSE)
,
(IF
(
C2359=""юридична особа""
,
VLOOKUP"&amp;"(D2359,IMPORTRANGE(""https://docs.google.com/spreadsheets/d/14Bd19lYaqBhU8_DElYkX7l4wRkHqqCUFNJY4AfY3kHU/edit?usp=sharing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8" s="7" t="s">
        <v>10</v>
      </c>
      <c r="H2358" s="7">
        <v>23350</v>
      </c>
      <c r="I2358" s="8" t="str">
        <f ca="1">IFERROR(__xludf.DUMMYFUNCTION("IF
(
G2359=""фізична особа""
,
VLOOKUP(H2359,IMPORTRANGE(""https://docs.google.com/spreadsheets/d/14Bd19lYaqBhU8_DElYkX7l4wRkHqqCUFNJY4AfY3kHU/edit?usp=sharing  #gid=0"",""фіз особи new!relations_name""),6,FALSE)
,
(IF
(
G2359=""юридична особа""
,
VLOOKUP"&amp;"(H2359,IMPORTRANGE(""https://docs.google.com/spreadsheets/d/14Bd19lYaqBhU8_DElYkX7l4wRkHqqCUFNJY4AfY3kHU/edit?usp=sharing  #gid=0"",""фіз особи new!relations_name_uo""),7,FALSE)
,
)
))"),"СОБЧАК Ксенія Анатоліївна")</f>
        <v>СОБЧАК Ксенія Анатоліївна</v>
      </c>
      <c r="J2358" s="7" t="s">
        <v>87</v>
      </c>
    </row>
    <row r="2359" spans="1:10" ht="13.2">
      <c r="A2359" s="7">
        <v>2358</v>
      </c>
      <c r="B2359" s="7">
        <v>1</v>
      </c>
      <c r="C2359" s="7" t="s">
        <v>10</v>
      </c>
      <c r="D2359" s="7">
        <v>677</v>
      </c>
      <c r="E2359" s="7" t="s">
        <v>48</v>
      </c>
      <c r="F2359" s="8" t="str">
        <f ca="1">IFERROR(__xludf.DUMMYFUNCTION("IF
(
C2360=""фізична особа""
,
VLOOKUP(D2360,IMPORTRANGE(""https://docs.google.com/spreadsheets/d/14Bd19lYaqBhU8_DElYkX7l4wRkHqqCUFNJY4AfY3kHU/edit?usp=sharing  #gid=0"",""фіз особи new!relations_name""),6,FALSE)
,
(IF
(
C2360=""юридична особа""
,
VLOOKUP"&amp;"(D2360,IMPORTRANGE(""https://docs.google.com/spreadsheets/d/14Bd19lYaqBhU8_DElYkX7l4wRkHqqCUFNJY4AfY3kHU/edit?usp=sharing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59" s="7" t="s">
        <v>10</v>
      </c>
      <c r="H2359" s="7">
        <v>419</v>
      </c>
      <c r="I2359" s="8" t="str">
        <f ca="1">IFERROR(__xludf.DUMMYFUNCTION("IF
(
G2360=""фізична особа""
,
VLOOKUP(H2360,IMPORTRANGE(""https://docs.google.com/spreadsheets/d/14Bd19lYaqBhU8_DElYkX7l4wRkHqqCUFNJY4AfY3kHU/edit?usp=sharing  #gid=0"",""фіз особи new!relations_name""),6,FALSE)
,
(IF
(
G2360=""юридична особа""
,
VLOOKUP"&amp;"(H2360,IMPORTRANGE(""https://docs.google.com/spreadsheets/d/14Bd19lYaqBhU8_DElYkX7l4wRkHqqCUFNJY4AfY3kHU/edit?usp=sharing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2359" s="7" t="s">
        <v>48</v>
      </c>
    </row>
    <row r="2360" spans="1:10" ht="13.2">
      <c r="A2360" s="7">
        <v>2359</v>
      </c>
      <c r="B2360" s="7">
        <v>1</v>
      </c>
      <c r="C2360" s="7" t="s">
        <v>10</v>
      </c>
      <c r="D2360" s="7">
        <v>677</v>
      </c>
      <c r="E2360" s="7" t="s">
        <v>88</v>
      </c>
      <c r="F2360" s="8" t="str">
        <f ca="1">IFERROR(__xludf.DUMMYFUNCTION("IF
(
C2361=""фізична особа""
,
VLOOKUP(D2361,IMPORTRANGE(""https://docs.google.com/spreadsheets/d/14Bd19lYaqBhU8_DElYkX7l4wRkHqqCUFNJY4AfY3kHU/edit?usp=sharing  #gid=0"",""фіз особи new!relations_name""),6,FALSE)
,
(IF
(
C2361=""юридична особа""
,
VLOOKUP"&amp;"(D2361,IMPORTRANGE(""https://docs.google.com/spreadsheets/d/14Bd19lYaqBhU8_DElYkX7l4wRkHqqCUFNJY4AfY3kHU/edit?usp=sharing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0" s="7" t="s">
        <v>10</v>
      </c>
      <c r="H2360" s="7">
        <v>22407</v>
      </c>
      <c r="I2360" s="8" t="str">
        <f ca="1">IFERROR(__xludf.DUMMYFUNCTION("IF
(
G2361=""фізична особа""
,
VLOOKUP(H2361,IMPORTRANGE(""https://docs.google.com/spreadsheets/d/14Bd19lYaqBhU8_DElYkX7l4wRkHqqCUFNJY4AfY3kHU/edit?usp=sharing  #gid=0"",""фіз особи new!relations_name""),6,FALSE)
,
(IF
(
G2361=""юридична особа""
,
VLOOKUP"&amp;"(H2361,IMPORTRANGE(""https://docs.google.com/spreadsheets/d/14Bd19lYaqBhU8_DElYkX7l4wRkHqqCUFNJY4AfY3kHU/edit?usp=sharing  #gid=0"",""фіз особи new!relations_name_uo""),7,FALSE)
,
)
))"),"ГУРЦЬКА Діана Гудаєвна")</f>
        <v>ГУРЦЬКА Діана Гудаєвна</v>
      </c>
      <c r="J2360" s="7" t="s">
        <v>88</v>
      </c>
    </row>
    <row r="2361" spans="1:10" ht="13.2">
      <c r="A2361" s="7">
        <v>2360</v>
      </c>
      <c r="B2361" s="7">
        <v>1</v>
      </c>
      <c r="C2361" s="7" t="s">
        <v>10</v>
      </c>
      <c r="D2361" s="7">
        <v>880</v>
      </c>
      <c r="E2361" s="7" t="s">
        <v>88</v>
      </c>
      <c r="F2361" s="8" t="str">
        <f ca="1">IFERROR(__xludf.DUMMYFUNCTION("IF
(
C2362=""фізична особа""
,
VLOOKUP(D2362,IMPORTRANGE(""https://docs.google.com/spreadsheets/d/14Bd19lYaqBhU8_DElYkX7l4wRkHqqCUFNJY4AfY3kHU/edit?usp=sharing  #gid=0"",""фіз особи new!relations_name""),6,FALSE)
,
(IF
(
C2362=""юридична особа""
,
VLOOKUP"&amp;"(D2362,IMPORTRANGE(""https://docs.google.com/spreadsheets/d/14Bd19lYaqBhU8_DElYkX7l4wRkHqqCUFNJY4AfY3kHU/edit?usp=sharing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2361" s="7" t="s">
        <v>10</v>
      </c>
      <c r="H2361" s="7">
        <v>22407</v>
      </c>
      <c r="I2361" s="8" t="str">
        <f ca="1">IFERROR(__xludf.DUMMYFUNCTION("IF
(
G2362=""фізична особа""
,
VLOOKUP(H2362,IMPORTRANGE(""https://docs.google.com/spreadsheets/d/14Bd19lYaqBhU8_DElYkX7l4wRkHqqCUFNJY4AfY3kHU/edit?usp=sharing  #gid=0"",""фіз особи new!relations_name""),6,FALSE)
,
(IF
(
G2362=""юридична особа""
,
VLOOKUP"&amp;"(H2362,IMPORTRANGE(""https://docs.google.com/spreadsheets/d/14Bd19lYaqBhU8_DElYkX7l4wRkHqqCUFNJY4AfY3kHU/edit?usp=sharing  #gid=0"",""фіз особи new!relations_name_uo""),7,FALSE)
,
)
))"),"ГУРЦЬКА Діана Гудаєвна")</f>
        <v>ГУРЦЬКА Діана Гудаєвна</v>
      </c>
      <c r="J2361" s="7" t="s">
        <v>88</v>
      </c>
    </row>
    <row r="2362" spans="1:10" ht="13.2">
      <c r="A2362" s="7">
        <v>2361</v>
      </c>
      <c r="B2362" s="7">
        <v>1</v>
      </c>
      <c r="C2362" s="7" t="s">
        <v>10</v>
      </c>
      <c r="D2362" s="7">
        <v>677</v>
      </c>
      <c r="E2362" s="7" t="s">
        <v>48</v>
      </c>
      <c r="F2362" s="8" t="str">
        <f ca="1">IFERROR(__xludf.DUMMYFUNCTION("IF
(
C2363=""фізична особа""
,
VLOOKUP(D2363,IMPORTRANGE(""https://docs.google.com/spreadsheets/d/14Bd19lYaqBhU8_DElYkX7l4wRkHqqCUFNJY4AfY3kHU/edit?usp=sharing  #gid=0"",""фіз особи new!relations_name""),6,FALSE)
,
(IF
(
C2363=""юридична особа""
,
VLOOKUP"&amp;"(D2363,IMPORTRANGE(""https://docs.google.com/spreadsheets/d/14Bd19lYaqBhU8_DElYkX7l4wRkHqqCUFNJY4AfY3kHU/edit?usp=sharing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2" s="7" t="s">
        <v>10</v>
      </c>
      <c r="H2362" s="7">
        <v>0</v>
      </c>
      <c r="I2362" s="8" t="str">
        <f ca="1">IFERROR(__xludf.DUMMYFUNCTION("IF
(
G2363=""фізична особа""
,
VLOOKUP(H2363,IMPORTRANGE(""https://docs.google.com/spreadsheets/d/14Bd19lYaqBhU8_DElYkX7l4wRkHqqCUFNJY4AfY3kHU/edit?usp=sharing  #gid=0"",""фіз особи new!relations_name""),6,FALSE)
,
(IF
(
G2363=""юридична особа""
,
VLOOKUP"&amp;"(H2363,IMPORTRANGE(""https://docs.google.com/spreadsheets/d/14Bd19lYaqBhU8_DElYkX7l4wRkHqqCUFNJY4AfY3kHU/edit?usp=sharing  #gid=0"",""фіз особи new!relations_name_uo""),7,FALSE)
,
)
))"),"#N/A")</f>
        <v>#N/A</v>
      </c>
      <c r="J2362" s="7" t="s">
        <v>48</v>
      </c>
    </row>
    <row r="2363" spans="1:10" ht="13.2">
      <c r="A2363" s="7">
        <v>2362</v>
      </c>
      <c r="B2363" s="7">
        <v>1</v>
      </c>
      <c r="C2363" s="7" t="s">
        <v>10</v>
      </c>
      <c r="D2363" s="7">
        <v>677</v>
      </c>
      <c r="E2363" s="7" t="s">
        <v>48</v>
      </c>
      <c r="F2363" s="8" t="str">
        <f ca="1">IFERROR(__xludf.DUMMYFUNCTION("IF
(
C2364=""фізична особа""
,
VLOOKUP(D2364,IMPORTRANGE(""https://docs.google.com/spreadsheets/d/14Bd19lYaqBhU8_DElYkX7l4wRkHqqCUFNJY4AfY3kHU/edit?usp=sharing  #gid=0"",""фіз особи new!relations_name""),6,FALSE)
,
(IF
(
C2364=""юридична особа""
,
VLOOKUP"&amp;"(D2364,IMPORTRANGE(""https://docs.google.com/spreadsheets/d/14Bd19lYaqBhU8_DElYkX7l4wRkHqqCUFNJY4AfY3kHU/edit?usp=sharing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3" s="7" t="s">
        <v>10</v>
      </c>
      <c r="H2363" s="7">
        <v>0</v>
      </c>
      <c r="I2363" s="8" t="str">
        <f ca="1">IFERROR(__xludf.DUMMYFUNCTION("IF
(
G2364=""фізична особа""
,
VLOOKUP(H2364,IMPORTRANGE(""https://docs.google.com/spreadsheets/d/14Bd19lYaqBhU8_DElYkX7l4wRkHqqCUFNJY4AfY3kHU/edit?usp=sharing  #gid=0"",""фіз особи new!relations_name""),6,FALSE)
,
(IF
(
G2364=""юридична особа""
,
VLOOKUP"&amp;"(H2364,IMPORTRANGE(""https://docs.google.com/spreadsheets/d/14Bd19lYaqBhU8_DElYkX7l4wRkHqqCUFNJY4AfY3kHU/edit?usp=sharing  #gid=0"",""фіз особи new!relations_name_uo""),7,FALSE)
,
)
))"),"#N/A")</f>
        <v>#N/A</v>
      </c>
      <c r="J2363" s="7" t="s">
        <v>48</v>
      </c>
    </row>
    <row r="2364" spans="1:10" ht="13.2">
      <c r="A2364" s="7">
        <v>2363</v>
      </c>
      <c r="B2364" s="7">
        <v>1</v>
      </c>
      <c r="C2364" s="7" t="s">
        <v>10</v>
      </c>
      <c r="D2364" s="7">
        <v>677</v>
      </c>
      <c r="E2364" s="7" t="s">
        <v>29</v>
      </c>
      <c r="F2364" s="8" t="str">
        <f ca="1">IFERROR(__xludf.DUMMYFUNCTION("IF
(
C2365=""фізична особа""
,
VLOOKUP(D2365,IMPORTRANGE(""https://docs.google.com/spreadsheets/d/14Bd19lYaqBhU8_DElYkX7l4wRkHqqCUFNJY4AfY3kHU/edit?usp=sharing  #gid=0"",""фіз особи new!relations_name""),6,FALSE)
,
(IF
(
C2365=""юридична особа""
,
VLOOKUP"&amp;"(D2365,IMPORTRANGE(""https://docs.google.com/spreadsheets/d/14Bd19lYaqBhU8_DElYkX7l4wRkHqqCUFNJY4AfY3kHU/edit?usp=sharing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4" s="7" t="s">
        <v>10</v>
      </c>
      <c r="H2364" s="7">
        <v>0</v>
      </c>
      <c r="I2364" s="8" t="str">
        <f ca="1">IFERROR(__xludf.DUMMYFUNCTION("IF
(
G2365=""фізична особа""
,
VLOOKUP(H2365,IMPORTRANGE(""https://docs.google.com/spreadsheets/d/14Bd19lYaqBhU8_DElYkX7l4wRkHqqCUFNJY4AfY3kHU/edit?usp=sharing  #gid=0"",""фіз особи new!relations_name""),6,FALSE)
,
(IF
(
G2365=""юридична особа""
,
VLOOKUP"&amp;"(H2365,IMPORTRANGE(""https://docs.google.com/spreadsheets/d/14Bd19lYaqBhU8_DElYkX7l4wRkHqqCUFNJY4AfY3kHU/edit?usp=sharing  #gid=0"",""фіз особи new!relations_name_uo""),7,FALSE)
,
)
))"),"#N/A")</f>
        <v>#N/A</v>
      </c>
      <c r="J2364" s="7" t="s">
        <v>28</v>
      </c>
    </row>
    <row r="2365" spans="1:10" ht="13.2">
      <c r="A2365" s="7">
        <v>2364</v>
      </c>
      <c r="B2365" s="7">
        <v>1</v>
      </c>
      <c r="C2365" s="7" t="s">
        <v>10</v>
      </c>
      <c r="D2365" s="7">
        <v>677</v>
      </c>
      <c r="E2365" s="7" t="s">
        <v>29</v>
      </c>
      <c r="F2365" s="8" t="str">
        <f ca="1">IFERROR(__xludf.DUMMYFUNCTION("IF
(
C2366=""фізична особа""
,
VLOOKUP(D2366,IMPORTRANGE(""https://docs.google.com/spreadsheets/d/14Bd19lYaqBhU8_DElYkX7l4wRkHqqCUFNJY4AfY3kHU/edit?usp=sharing  #gid=0"",""фіз особи new!relations_name""),6,FALSE)
,
(IF
(
C2366=""юридична особа""
,
VLOOKUP"&amp;"(D2366,IMPORTRANGE(""https://docs.google.com/spreadsheets/d/14Bd19lYaqBhU8_DElYkX7l4wRkHqqCUFNJY4AfY3kHU/edit?usp=sharing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5" s="7" t="s">
        <v>10</v>
      </c>
      <c r="H2365" s="7">
        <v>10033</v>
      </c>
      <c r="I2365" s="8" t="str">
        <f ca="1">IFERROR(__xludf.DUMMYFUNCTION("IF
(
G2366=""фізична особа""
,
VLOOKUP(H2366,IMPORTRANGE(""https://docs.google.com/spreadsheets/d/14Bd19lYaqBhU8_DElYkX7l4wRkHqqCUFNJY4AfY3kHU/edit?usp=sharing  #gid=0"",""фіз особи new!relations_name""),6,FALSE)
,
(IF
(
G2366=""юридична особа""
,
VLOOKUP"&amp;"(H2366,IMPORTRANGE(""https://docs.google.com/spreadsheets/d/14Bd19lYaqBhU8_DElYkX7l4wRkHqqCUFNJY4AfY3kHU/edit?usp=sharing  #gid=0"",""фіз особи new!relations_name_uo""),7,FALSE)
,
)
))"),"ЗЯББАРОВА Олена Юріївна")</f>
        <v>ЗЯББАРОВА Олена Юріївна</v>
      </c>
      <c r="J2365" s="7" t="s">
        <v>28</v>
      </c>
    </row>
    <row r="2366" spans="1:10" ht="13.2">
      <c r="A2366" s="7">
        <v>2365</v>
      </c>
      <c r="B2366" s="7">
        <v>1</v>
      </c>
      <c r="C2366" s="7" t="s">
        <v>10</v>
      </c>
      <c r="D2366" s="7">
        <v>677</v>
      </c>
      <c r="E2366" s="7" t="s">
        <v>48</v>
      </c>
      <c r="F2366" s="8" t="str">
        <f ca="1">IFERROR(__xludf.DUMMYFUNCTION("IF
(
C2367=""фізична особа""
,
VLOOKUP(D2367,IMPORTRANGE(""https://docs.google.com/spreadsheets/d/14Bd19lYaqBhU8_DElYkX7l4wRkHqqCUFNJY4AfY3kHU/edit?usp=sharing  #gid=0"",""фіз особи new!relations_name""),6,FALSE)
,
(IF
(
C2367=""юридична особа""
,
VLOOKUP"&amp;"(D2367,IMPORTRANGE(""https://docs.google.com/spreadsheets/d/14Bd19lYaqBhU8_DElYkX7l4wRkHqqCUFNJY4AfY3kHU/edit?usp=sharing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6" s="7" t="s">
        <v>10</v>
      </c>
      <c r="H2366" s="7">
        <v>0</v>
      </c>
      <c r="I2366" s="8" t="str">
        <f ca="1">IFERROR(__xludf.DUMMYFUNCTION("IF
(
G2367=""фізична особа""
,
VLOOKUP(H2367,IMPORTRANGE(""https://docs.google.com/spreadsheets/d/14Bd19lYaqBhU8_DElYkX7l4wRkHqqCUFNJY4AfY3kHU/edit?usp=sharing  #gid=0"",""фіз особи new!relations_name""),6,FALSE)
,
(IF
(
G2367=""юридична особа""
,
VLOOKUP"&amp;"(H2367,IMPORTRANGE(""https://docs.google.com/spreadsheets/d/14Bd19lYaqBhU8_DElYkX7l4wRkHqqCUFNJY4AfY3kHU/edit?usp=sharing  #gid=0"",""фіз особи new!relations_name_uo""),7,FALSE)
,
)
))"),"#N/A")</f>
        <v>#N/A</v>
      </c>
      <c r="J2366" s="7" t="s">
        <v>48</v>
      </c>
    </row>
    <row r="2367" spans="1:10" ht="13.2">
      <c r="A2367" s="7">
        <v>2366</v>
      </c>
      <c r="B2367" s="7">
        <v>1</v>
      </c>
      <c r="C2367" s="7" t="s">
        <v>10</v>
      </c>
      <c r="D2367" s="7">
        <v>677</v>
      </c>
      <c r="E2367" s="7" t="s">
        <v>48</v>
      </c>
      <c r="F2367" s="8" t="str">
        <f ca="1">IFERROR(__xludf.DUMMYFUNCTION("IF
(
C2368=""фізична особа""
,
VLOOKUP(D2368,IMPORTRANGE(""https://docs.google.com/spreadsheets/d/14Bd19lYaqBhU8_DElYkX7l4wRkHqqCUFNJY4AfY3kHU/edit?usp=sharing  #gid=0"",""фіз особи new!relations_name""),6,FALSE)
,
(IF
(
C2368=""юридична особа""
,
VLOOKUP"&amp;"(D2368,IMPORTRANGE(""https://docs.google.com/spreadsheets/d/14Bd19lYaqBhU8_DElYkX7l4wRkHqqCUFNJY4AfY3kHU/edit?usp=sharing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7" s="7" t="s">
        <v>10</v>
      </c>
      <c r="H2367" s="7">
        <v>0</v>
      </c>
      <c r="I2367" s="8" t="str">
        <f ca="1">IFERROR(__xludf.DUMMYFUNCTION("IF
(
G2368=""фізична особа""
,
VLOOKUP(H2368,IMPORTRANGE(""https://docs.google.com/spreadsheets/d/14Bd19lYaqBhU8_DElYkX7l4wRkHqqCUFNJY4AfY3kHU/edit?usp=sharing  #gid=0"",""фіз особи new!relations_name""),6,FALSE)
,
(IF
(
G2368=""юридична особа""
,
VLOOKUP"&amp;"(H2368,IMPORTRANGE(""https://docs.google.com/spreadsheets/d/14Bd19lYaqBhU8_DElYkX7l4wRkHqqCUFNJY4AfY3kHU/edit?usp=sharing  #gid=0"",""фіз особи new!relations_name_uo""),7,FALSE)
,
)
))"),"#N/A")</f>
        <v>#N/A</v>
      </c>
      <c r="J2367" s="7" t="s">
        <v>48</v>
      </c>
    </row>
    <row r="2368" spans="1:10" ht="13.2">
      <c r="A2368" s="7">
        <v>2367</v>
      </c>
      <c r="B2368" s="7">
        <v>1</v>
      </c>
      <c r="C2368" s="7" t="s">
        <v>10</v>
      </c>
      <c r="D2368" s="7">
        <v>677</v>
      </c>
      <c r="E2368" s="7" t="s">
        <v>29</v>
      </c>
      <c r="F2368" s="8" t="str">
        <f ca="1">IFERROR(__xludf.DUMMYFUNCTION("IF
(
C2369=""фізична особа""
,
VLOOKUP(D2369,IMPORTRANGE(""https://docs.google.com/spreadsheets/d/14Bd19lYaqBhU8_DElYkX7l4wRkHqqCUFNJY4AfY3kHU/edit?usp=sharing  #gid=0"",""фіз особи new!relations_name""),6,FALSE)
,
(IF
(
C2369=""юридична особа""
,
VLOOKUP"&amp;"(D2369,IMPORTRANGE(""https://docs.google.com/spreadsheets/d/14Bd19lYaqBhU8_DElYkX7l4wRkHqqCUFNJY4AfY3kHU/edit?usp=sharing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8" s="7" t="s">
        <v>10</v>
      </c>
      <c r="H2368" s="7">
        <v>0</v>
      </c>
      <c r="I2368" s="8" t="str">
        <f ca="1">IFERROR(__xludf.DUMMYFUNCTION("IF
(
G2369=""фізична особа""
,
VLOOKUP(H2369,IMPORTRANGE(""https://docs.google.com/spreadsheets/d/14Bd19lYaqBhU8_DElYkX7l4wRkHqqCUFNJY4AfY3kHU/edit?usp=sharing  #gid=0"",""фіз особи new!relations_name""),6,FALSE)
,
(IF
(
G2369=""юридична особа""
,
VLOOKUP"&amp;"(H2369,IMPORTRANGE(""https://docs.google.com/spreadsheets/d/14Bd19lYaqBhU8_DElYkX7l4wRkHqqCUFNJY4AfY3kHU/edit?usp=sharing  #gid=0"",""фіз особи new!relations_name_uo""),7,FALSE)
,
)
))"),"#N/A")</f>
        <v>#N/A</v>
      </c>
      <c r="J2368" s="7" t="s">
        <v>28</v>
      </c>
    </row>
    <row r="2369" spans="1:10" ht="13.2">
      <c r="A2369" s="7">
        <v>2368</v>
      </c>
      <c r="B2369" s="7">
        <v>1</v>
      </c>
      <c r="C2369" s="7" t="s">
        <v>10</v>
      </c>
      <c r="D2369" s="7">
        <v>677</v>
      </c>
      <c r="E2369" s="7" t="s">
        <v>29</v>
      </c>
      <c r="F2369" s="8" t="str">
        <f ca="1">IFERROR(__xludf.DUMMYFUNCTION("IF
(
C2370=""фізична особа""
,
VLOOKUP(D2370,IMPORTRANGE(""https://docs.google.com/spreadsheets/d/14Bd19lYaqBhU8_DElYkX7l4wRkHqqCUFNJY4AfY3kHU/edit?usp=sharing  #gid=0"",""фіз особи new!relations_name""),6,FALSE)
,
(IF
(
C2370=""юридична особа""
,
VLOOKUP"&amp;"(D2370,IMPORTRANGE(""https://docs.google.com/spreadsheets/d/14Bd19lYaqBhU8_DElYkX7l4wRkHqqCUFNJY4AfY3kHU/edit?usp=sharing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69" s="7" t="s">
        <v>10</v>
      </c>
      <c r="H2369" s="7">
        <v>0</v>
      </c>
      <c r="I2369" s="8" t="str">
        <f ca="1">IFERROR(__xludf.DUMMYFUNCTION("IF
(
G2370=""фізична особа""
,
VLOOKUP(H2370,IMPORTRANGE(""https://docs.google.com/spreadsheets/d/14Bd19lYaqBhU8_DElYkX7l4wRkHqqCUFNJY4AfY3kHU/edit?usp=sharing  #gid=0"",""фіз особи new!relations_name""),6,FALSE)
,
(IF
(
G2370=""юридична особа""
,
VLOOKUP"&amp;"(H2370,IMPORTRANGE(""https://docs.google.com/spreadsheets/d/14Bd19lYaqBhU8_DElYkX7l4wRkHqqCUFNJY4AfY3kHU/edit?usp=sharing  #gid=0"",""фіз особи new!relations_name_uo""),7,FALSE)
,
)
))"),"#N/A")</f>
        <v>#N/A</v>
      </c>
      <c r="J2369" s="7" t="s">
        <v>28</v>
      </c>
    </row>
    <row r="2370" spans="1:10" ht="13.2">
      <c r="A2370" s="7">
        <v>2369</v>
      </c>
      <c r="B2370" s="7">
        <v>1</v>
      </c>
      <c r="C2370" s="7" t="s">
        <v>10</v>
      </c>
      <c r="D2370" s="7">
        <v>677</v>
      </c>
      <c r="E2370" s="7" t="s">
        <v>29</v>
      </c>
      <c r="F2370" s="8" t="str">
        <f ca="1">IFERROR(__xludf.DUMMYFUNCTION("IF
(
C2371=""фізична особа""
,
VLOOKUP(D2371,IMPORTRANGE(""https://docs.google.com/spreadsheets/d/14Bd19lYaqBhU8_DElYkX7l4wRkHqqCUFNJY4AfY3kHU/edit?usp=sharing  #gid=0"",""фіз особи new!relations_name""),6,FALSE)
,
(IF
(
C2371=""юридична особа""
,
VLOOKUP"&amp;"(D2371,IMPORTRANGE(""https://docs.google.com/spreadsheets/d/14Bd19lYaqBhU8_DElYkX7l4wRkHqqCUFNJY4AfY3kHU/edit?usp=sharing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0" s="7" t="s">
        <v>10</v>
      </c>
      <c r="H2370" s="7">
        <v>0</v>
      </c>
      <c r="I2370" s="8" t="str">
        <f ca="1">IFERROR(__xludf.DUMMYFUNCTION("IF
(
G2371=""фізична особа""
,
VLOOKUP(H2371,IMPORTRANGE(""https://docs.google.com/spreadsheets/d/14Bd19lYaqBhU8_DElYkX7l4wRkHqqCUFNJY4AfY3kHU/edit?usp=sharing  #gid=0"",""фіз особи new!relations_name""),6,FALSE)
,
(IF
(
G2371=""юридична особа""
,
VLOOKUP"&amp;"(H2371,IMPORTRANGE(""https://docs.google.com/spreadsheets/d/14Bd19lYaqBhU8_DElYkX7l4wRkHqqCUFNJY4AfY3kHU/edit?usp=sharing  #gid=0"",""фіз особи new!relations_name_uo""),7,FALSE)
,
)
))"),"#N/A")</f>
        <v>#N/A</v>
      </c>
      <c r="J2370" s="7" t="s">
        <v>28</v>
      </c>
    </row>
    <row r="2371" spans="1:10" ht="13.2">
      <c r="A2371" s="7">
        <v>2370</v>
      </c>
      <c r="B2371" s="7">
        <v>1</v>
      </c>
      <c r="C2371" s="7" t="s">
        <v>10</v>
      </c>
      <c r="D2371" s="7">
        <v>677</v>
      </c>
      <c r="E2371" s="7" t="s">
        <v>29</v>
      </c>
      <c r="F2371" s="8" t="str">
        <f ca="1">IFERROR(__xludf.DUMMYFUNCTION("IF
(
C2372=""фізична особа""
,
VLOOKUP(D2372,IMPORTRANGE(""https://docs.google.com/spreadsheets/d/14Bd19lYaqBhU8_DElYkX7l4wRkHqqCUFNJY4AfY3kHU/edit?usp=sharing  #gid=0"",""фіз особи new!relations_name""),6,FALSE)
,
(IF
(
C2372=""юридична особа""
,
VLOOKUP"&amp;"(D2372,IMPORTRANGE(""https://docs.google.com/spreadsheets/d/14Bd19lYaqBhU8_DElYkX7l4wRkHqqCUFNJY4AfY3kHU/edit?usp=sharing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1" s="7" t="s">
        <v>10</v>
      </c>
      <c r="H2371" s="7">
        <v>0</v>
      </c>
      <c r="I2371" s="8" t="str">
        <f ca="1">IFERROR(__xludf.DUMMYFUNCTION("IF
(
G2372=""фізична особа""
,
VLOOKUP(H2372,IMPORTRANGE(""https://docs.google.com/spreadsheets/d/14Bd19lYaqBhU8_DElYkX7l4wRkHqqCUFNJY4AfY3kHU/edit?usp=sharing  #gid=0"",""фіз особи new!relations_name""),6,FALSE)
,
(IF
(
G2372=""юридична особа""
,
VLOOKUP"&amp;"(H2372,IMPORTRANGE(""https://docs.google.com/spreadsheets/d/14Bd19lYaqBhU8_DElYkX7l4wRkHqqCUFNJY4AfY3kHU/edit?usp=sharing  #gid=0"",""фіз особи new!relations_name_uo""),7,FALSE)
,
)
))"),"#N/A")</f>
        <v>#N/A</v>
      </c>
      <c r="J2371" s="7" t="s">
        <v>28</v>
      </c>
    </row>
    <row r="2372" spans="1:10" ht="13.2">
      <c r="A2372" s="7">
        <v>2371</v>
      </c>
      <c r="B2372" s="7">
        <v>1</v>
      </c>
      <c r="C2372" s="7" t="s">
        <v>10</v>
      </c>
      <c r="D2372" s="7">
        <v>677</v>
      </c>
      <c r="E2372" s="7" t="s">
        <v>29</v>
      </c>
      <c r="F2372" s="8" t="str">
        <f ca="1">IFERROR(__xludf.DUMMYFUNCTION("IF
(
C2373=""фізична особа""
,
VLOOKUP(D2373,IMPORTRANGE(""https://docs.google.com/spreadsheets/d/14Bd19lYaqBhU8_DElYkX7l4wRkHqqCUFNJY4AfY3kHU/edit?usp=sharing  #gid=0"",""фіз особи new!relations_name""),6,FALSE)
,
(IF
(
C2373=""юридична особа""
,
VLOOKUP"&amp;"(D2373,IMPORTRANGE(""https://docs.google.com/spreadsheets/d/14Bd19lYaqBhU8_DElYkX7l4wRkHqqCUFNJY4AfY3kHU/edit?usp=sharing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2" s="7" t="s">
        <v>10</v>
      </c>
      <c r="H2372" s="7">
        <v>0</v>
      </c>
      <c r="I2372" s="8" t="str">
        <f ca="1">IFERROR(__xludf.DUMMYFUNCTION("IF
(
G2373=""фізична особа""
,
VLOOKUP(H2373,IMPORTRANGE(""https://docs.google.com/spreadsheets/d/14Bd19lYaqBhU8_DElYkX7l4wRkHqqCUFNJY4AfY3kHU/edit?usp=sharing  #gid=0"",""фіз особи new!relations_name""),6,FALSE)
,
(IF
(
G2373=""юридична особа""
,
VLOOKUP"&amp;"(H2373,IMPORTRANGE(""https://docs.google.com/spreadsheets/d/14Bd19lYaqBhU8_DElYkX7l4wRkHqqCUFNJY4AfY3kHU/edit?usp=sharing  #gid=0"",""фіз особи new!relations_name_uo""),7,FALSE)
,
)
))"),"#N/A")</f>
        <v>#N/A</v>
      </c>
      <c r="J2372" s="7" t="s">
        <v>28</v>
      </c>
    </row>
    <row r="2373" spans="1:10" ht="13.2">
      <c r="A2373" s="7">
        <v>2372</v>
      </c>
      <c r="B2373" s="7">
        <v>1</v>
      </c>
      <c r="C2373" s="7" t="s">
        <v>10</v>
      </c>
      <c r="D2373" s="7">
        <v>677</v>
      </c>
      <c r="E2373" s="7" t="s">
        <v>29</v>
      </c>
      <c r="F2373" s="8" t="str">
        <f ca="1">IFERROR(__xludf.DUMMYFUNCTION("IF
(
C2374=""фізична особа""
,
VLOOKUP(D2374,IMPORTRANGE(""https://docs.google.com/spreadsheets/d/14Bd19lYaqBhU8_DElYkX7l4wRkHqqCUFNJY4AfY3kHU/edit?usp=sharing  #gid=0"",""фіз особи new!relations_name""),6,FALSE)
,
(IF
(
C2374=""юридична особа""
,
VLOOKUP"&amp;"(D2374,IMPORTRANGE(""https://docs.google.com/spreadsheets/d/14Bd19lYaqBhU8_DElYkX7l4wRkHqqCUFNJY4AfY3kHU/edit?usp=sharing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3" s="7" t="s">
        <v>10</v>
      </c>
      <c r="H2373" s="7">
        <v>0</v>
      </c>
      <c r="I2373" s="8" t="str">
        <f ca="1">IFERROR(__xludf.DUMMYFUNCTION("IF
(
G2374=""фізична особа""
,
VLOOKUP(H2374,IMPORTRANGE(""https://docs.google.com/spreadsheets/d/14Bd19lYaqBhU8_DElYkX7l4wRkHqqCUFNJY4AfY3kHU/edit?usp=sharing  #gid=0"",""фіз особи new!relations_name""),6,FALSE)
,
(IF
(
G2374=""юридична особа""
,
VLOOKUP"&amp;"(H2374,IMPORTRANGE(""https://docs.google.com/spreadsheets/d/14Bd19lYaqBhU8_DElYkX7l4wRkHqqCUFNJY4AfY3kHU/edit?usp=sharing  #gid=0"",""фіз особи new!relations_name_uo""),7,FALSE)
,
)
))"),"#N/A")</f>
        <v>#N/A</v>
      </c>
      <c r="J2373" s="7" t="s">
        <v>28</v>
      </c>
    </row>
    <row r="2374" spans="1:10" ht="13.2">
      <c r="A2374" s="7">
        <v>2373</v>
      </c>
      <c r="B2374" s="7">
        <v>1</v>
      </c>
      <c r="C2374" s="7" t="s">
        <v>10</v>
      </c>
      <c r="D2374" s="7">
        <v>677</v>
      </c>
      <c r="E2374" s="7" t="s">
        <v>29</v>
      </c>
      <c r="F2374" s="8" t="str">
        <f ca="1">IFERROR(__xludf.DUMMYFUNCTION("IF
(
C2375=""фізична особа""
,
VLOOKUP(D2375,IMPORTRANGE(""https://docs.google.com/spreadsheets/d/14Bd19lYaqBhU8_DElYkX7l4wRkHqqCUFNJY4AfY3kHU/edit?usp=sharing  #gid=0"",""фіз особи new!relations_name""),6,FALSE)
,
(IF
(
C2375=""юридична особа""
,
VLOOKUP"&amp;"(D2375,IMPORTRANGE(""https://docs.google.com/spreadsheets/d/14Bd19lYaqBhU8_DElYkX7l4wRkHqqCUFNJY4AfY3kHU/edit?usp=sharing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4" s="7" t="s">
        <v>10</v>
      </c>
      <c r="H2374" s="7">
        <v>20415</v>
      </c>
      <c r="I2374" s="8" t="str">
        <f ca="1">IFERROR(__xludf.DUMMYFUNCTION("IF
(
G2375=""фізична особа""
,
VLOOKUP(H2375,IMPORTRANGE(""https://docs.google.com/spreadsheets/d/14Bd19lYaqBhU8_DElYkX7l4wRkHqqCUFNJY4AfY3kHU/edit?usp=sharing  #gid=0"",""фіз особи new!relations_name""),6,FALSE)
,
(IF
(
G2375=""юридична особа""
,
VLOOKUP"&amp;"(H2375,IMPORTRANGE(""https://docs.google.com/spreadsheets/d/14Bd19lYaqBhU8_DElYkX7l4wRkHqqCUFNJY4AfY3kHU/edit?usp=sharing  #gid=0"",""фіз особи new!relations_name_uo""),7,FALSE)
,
)
))"),"ЧЕМЕЗОВ Олег Леонідович")</f>
        <v>ЧЕМЕЗОВ Олег Леонідович</v>
      </c>
      <c r="J2374" s="7" t="s">
        <v>28</v>
      </c>
    </row>
    <row r="2375" spans="1:10" ht="13.2">
      <c r="A2375" s="7">
        <v>2374</v>
      </c>
      <c r="B2375" s="7">
        <v>1</v>
      </c>
      <c r="C2375" s="7" t="s">
        <v>10</v>
      </c>
      <c r="D2375" s="7">
        <v>677</v>
      </c>
      <c r="E2375" s="7" t="s">
        <v>41</v>
      </c>
      <c r="F2375" s="8" t="str">
        <f ca="1">IFERROR(__xludf.DUMMYFUNCTION("IF
(
C2376=""фізична особа""
,
VLOOKUP(D2376,IMPORTRANGE(""https://docs.google.com/spreadsheets/d/14Bd19lYaqBhU8_DElYkX7l4wRkHqqCUFNJY4AfY3kHU/edit?usp=sharing  #gid=0"",""фіз особи new!relations_name""),6,FALSE)
,
(IF
(
C2376=""юридична особа""
,
VLOOKUP"&amp;"(D2376,IMPORTRANGE(""https://docs.google.com/spreadsheets/d/14Bd19lYaqBhU8_DElYkX7l4wRkHqqCUFNJY4AfY3kHU/edit?usp=sharing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G2375" s="7" t="s">
        <v>10</v>
      </c>
      <c r="H2375" s="7">
        <v>0</v>
      </c>
      <c r="I2375" s="8" t="str">
        <f ca="1">IFERROR(__xludf.DUMMYFUNCTION("IF
(
G2376=""фізична особа""
,
VLOOKUP(H2376,IMPORTRANGE(""https://docs.google.com/spreadsheets/d/14Bd19lYaqBhU8_DElYkX7l4wRkHqqCUFNJY4AfY3kHU/edit?usp=sharing  #gid=0"",""фіз особи new!relations_name""),6,FALSE)
,
(IF
(
G2376=""юридична особа""
,
VLOOKUP"&amp;"(H2376,IMPORTRANGE(""https://docs.google.com/spreadsheets/d/14Bd19lYaqBhU8_DElYkX7l4wRkHqqCUFNJY4AfY3kHU/edit?usp=sharing  #gid=0"",""фіз особи new!relations_name_uo""),7,FALSE)
,
)
))"),"#N/A")</f>
        <v>#N/A</v>
      </c>
      <c r="J2375" s="7" t="s">
        <v>40</v>
      </c>
    </row>
    <row r="2376" spans="1:10" ht="13.2">
      <c r="A2376" s="7">
        <v>2375</v>
      </c>
      <c r="B2376" s="7">
        <v>1</v>
      </c>
      <c r="C2376" s="7" t="s">
        <v>10</v>
      </c>
      <c r="D2376" s="7">
        <v>678</v>
      </c>
      <c r="E2376" s="7" t="s">
        <v>12</v>
      </c>
      <c r="F2376" s="8" t="str">
        <f ca="1">IFERROR(__xludf.DUMMYFUNCTION("IF
(
C2377=""фізична особа""
,
VLOOKUP(D2377,IMPORTRANGE(""https://docs.google.com/spreadsheets/d/14Bd19lYaqBhU8_DElYkX7l4wRkHqqCUFNJY4AfY3kHU/edit?usp=sharing  #gid=0"",""фіз особи new!relations_name""),6,FALSE)
,
(IF
(
C2377=""юридична особа""
,
VLOOKUP"&amp;"(D2377,IMPORTRANGE(""https://docs.google.com/spreadsheets/d/14Bd19lYaqBhU8_DElYkX7l4wRkHqqCUFNJY4AfY3kHU/edit?usp=sharing  #gid=0"",""фіз особи new!relations_name_uo""),7,FALSE)
,
)
))"),"ГОРНЯКОВ Сергій Васильович")</f>
        <v>ГОРНЯКОВ Сергій Васильович</v>
      </c>
      <c r="G2376" s="7" t="s">
        <v>10</v>
      </c>
      <c r="H2376" s="7">
        <v>0</v>
      </c>
      <c r="I2376" s="8" t="str">
        <f ca="1">IFERROR(__xludf.DUMMYFUNCTION("IF
(
G2377=""фізична особа""
,
VLOOKUP(H2377,IMPORTRANGE(""https://docs.google.com/spreadsheets/d/14Bd19lYaqBhU8_DElYkX7l4wRkHqqCUFNJY4AfY3kHU/edit?usp=sharing  #gid=0"",""фіз особи new!relations_name""),6,FALSE)
,
(IF
(
G2377=""юридична особа""
,
VLOOKUP"&amp;"(H2377,IMPORTRANGE(""https://docs.google.com/spreadsheets/d/14Bd19lYaqBhU8_DElYkX7l4wRkHqqCUFNJY4AfY3kHU/edit?usp=sharing  #gid=0"",""фіз особи new!relations_name_uo""),7,FALSE)
,
)
))"),"#N/A")</f>
        <v>#N/A</v>
      </c>
      <c r="J2376" s="7" t="s">
        <v>13</v>
      </c>
    </row>
    <row r="2377" spans="1:10" ht="13.2">
      <c r="A2377" s="7">
        <v>2376</v>
      </c>
      <c r="B2377" s="7">
        <v>1</v>
      </c>
      <c r="C2377" s="7" t="s">
        <v>10</v>
      </c>
      <c r="D2377" s="7">
        <v>679</v>
      </c>
      <c r="E2377" s="7" t="s">
        <v>18</v>
      </c>
      <c r="F2377" s="8" t="str">
        <f ca="1">IFERROR(__xludf.DUMMYFUNCTION("IF
(
C2378=""фізична особа""
,
VLOOKUP(D2378,IMPORTRANGE(""https://docs.google.com/spreadsheets/d/14Bd19lYaqBhU8_DElYkX7l4wRkHqqCUFNJY4AfY3kHU/edit?usp=sharing  #gid=0"",""фіз особи new!relations_name""),6,FALSE)
,
(IF
(
C2378=""юридична особа""
,
VLOOKUP"&amp;"(D2378,IMPORTRANGE(""https://docs.google.com/spreadsheets/d/14Bd19lYaqBhU8_DElYkX7l4wRkHqqCUFNJY4AfY3kHU/edit?usp=sharing  #gid=0"",""фіз особи new!relations_name_uo""),7,FALSE)
,
)
))"),"ПРОКОП'ЄВ Олександр Сергійович")</f>
        <v>ПРОКОП'ЄВ Олександр Сергійович</v>
      </c>
      <c r="G2377" s="7" t="s">
        <v>10</v>
      </c>
      <c r="H2377" s="7">
        <v>15499</v>
      </c>
      <c r="I2377" s="8" t="str">
        <f ca="1">IFERROR(__xludf.DUMMYFUNCTION("IF
(
G2378=""фізична особа""
,
VLOOKUP(H2378,IMPORTRANGE(""https://docs.google.com/spreadsheets/d/14Bd19lYaqBhU8_DElYkX7l4wRkHqqCUFNJY4AfY3kHU/edit?usp=sharing  #gid=0"",""фіз особи new!relations_name""),6,FALSE)
,
(IF
(
G2378=""юридична особа""
,
VLOOKUP"&amp;"(H2378,IMPORTRANGE(""https://docs.google.com/spreadsheets/d/14Bd19lYaqBhU8_DElYkX7l4wRkHqqCUFNJY4AfY3kHU/edit?usp=sharing  #gid=0"",""фіз особи new!relations_name_uo""),7,FALSE)
,
)
))"),"ПРОКОПЬЄВА Наталія Сергіївна")</f>
        <v>ПРОКОПЬЄВА Наталія Сергіївна</v>
      </c>
      <c r="J2377" s="7" t="s">
        <v>31</v>
      </c>
    </row>
    <row r="2378" spans="1:10" ht="13.2">
      <c r="A2378" s="7">
        <v>2377</v>
      </c>
      <c r="B2378" s="7">
        <v>1</v>
      </c>
      <c r="C2378" s="7" t="s">
        <v>10</v>
      </c>
      <c r="D2378" s="7">
        <v>679</v>
      </c>
      <c r="E2378" s="7" t="s">
        <v>17</v>
      </c>
      <c r="F2378" s="8" t="str">
        <f ca="1">IFERROR(__xludf.DUMMYFUNCTION("IF
(
C2379=""фізична особа""
,
VLOOKUP(D2379,IMPORTRANGE(""https://docs.google.com/spreadsheets/d/14Bd19lYaqBhU8_DElYkX7l4wRkHqqCUFNJY4AfY3kHU/edit?usp=sharing  #gid=0"",""фіз особи new!relations_name""),6,FALSE)
,
(IF
(
C2379=""юридична особа""
,
VLOOKUP"&amp;"(D2379,IMPORTRANGE(""https://docs.google.com/spreadsheets/d/14Bd19lYaqBhU8_DElYkX7l4wRkHqqCUFNJY4AfY3kHU/edit?usp=sharing  #gid=0"",""фіз особи new!relations_name_uo""),7,FALSE)
,
)
))"),"ПРОКОП'ЄВ Олександр Сергійович")</f>
        <v>ПРОКОП'ЄВ Олександр Сергійович</v>
      </c>
      <c r="G2378" s="7" t="s">
        <v>10</v>
      </c>
      <c r="H2378" s="7">
        <v>15500</v>
      </c>
      <c r="I2378" s="8" t="str">
        <f ca="1">IFERROR(__xludf.DUMMYFUNCTION("IF
(
G2379=""фізична особа""
,
VLOOKUP(H2379,IMPORTRANGE(""https://docs.google.com/spreadsheets/d/14Bd19lYaqBhU8_DElYkX7l4wRkHqqCUFNJY4AfY3kHU/edit?usp=sharing  #gid=0"",""фіз особи new!relations_name""),6,FALSE)
,
(IF
(
G2379=""юридична особа""
,
VLOOKUP"&amp;"(H2379,IMPORTRANGE(""https://docs.google.com/spreadsheets/d/14Bd19lYaqBhU8_DElYkX7l4wRkHqqCUFNJY4AfY3kHU/edit?usp=sharing  #gid=0"",""фіз особи new!relations_name_uo""),7,FALSE)
,
)
))"),"ПРОКОП'ЄВА Лариса Олександрівна")</f>
        <v>ПРОКОП'ЄВА Лариса Олександрівна</v>
      </c>
      <c r="J2378" s="7" t="s">
        <v>21</v>
      </c>
    </row>
    <row r="2379" spans="1:10" ht="13.2">
      <c r="A2379" s="7">
        <v>2378</v>
      </c>
      <c r="B2379" s="7">
        <v>1</v>
      </c>
      <c r="C2379" s="7" t="s">
        <v>10</v>
      </c>
      <c r="D2379" s="7">
        <v>679</v>
      </c>
      <c r="E2379" s="7" t="s">
        <v>29</v>
      </c>
      <c r="F2379" s="8" t="str">
        <f ca="1">IFERROR(__xludf.DUMMYFUNCTION("IF
(
C2380=""фізична особа""
,
VLOOKUP(D2380,IMPORTRANGE(""https://docs.google.com/spreadsheets/d/14Bd19lYaqBhU8_DElYkX7l4wRkHqqCUFNJY4AfY3kHU/edit?usp=sharing  #gid=0"",""фіз особи new!relations_name""),6,FALSE)
,
(IF
(
C2380=""юридична особа""
,
VLOOKUP"&amp;"(D2380,IMPORTRANGE(""https://docs.google.com/spreadsheets/d/14Bd19lYaqBhU8_DElYkX7l4wRkHqqCUFNJY4AfY3kHU/edit?usp=sharing  #gid=0"",""фіз особи new!relations_name_uo""),7,FALSE)
,
)
))"),"ПРОКОП'ЄВ Олександр Сергійович")</f>
        <v>ПРОКОП'ЄВ Олександр Сергійович</v>
      </c>
      <c r="G2379" s="7" t="s">
        <v>10</v>
      </c>
      <c r="H2379" s="7">
        <v>0</v>
      </c>
      <c r="I2379" s="8" t="str">
        <f ca="1">IFERROR(__xludf.DUMMYFUNCTION("IF
(
G2380=""фізична особа""
,
VLOOKUP(H2380,IMPORTRANGE(""https://docs.google.com/spreadsheets/d/14Bd19lYaqBhU8_DElYkX7l4wRkHqqCUFNJY4AfY3kHU/edit?usp=sharing  #gid=0"",""фіз особи new!relations_name""),6,FALSE)
,
(IF
(
G2380=""юридична особа""
,
VLOOKUP"&amp;"(H2380,IMPORTRANGE(""https://docs.google.com/spreadsheets/d/14Bd19lYaqBhU8_DElYkX7l4wRkHqqCUFNJY4AfY3kHU/edit?usp=sharing  #gid=0"",""фіз особи new!relations_name_uo""),7,FALSE)
,
)
))"),"#N/A")</f>
        <v>#N/A</v>
      </c>
      <c r="J2379" s="7" t="s">
        <v>28</v>
      </c>
    </row>
    <row r="2380" spans="1:10" ht="13.2">
      <c r="A2380" s="7">
        <v>2379</v>
      </c>
      <c r="B2380" s="7">
        <v>1</v>
      </c>
      <c r="C2380" s="7" t="s">
        <v>10</v>
      </c>
      <c r="D2380" s="7">
        <v>680</v>
      </c>
      <c r="E2380" s="7" t="s">
        <v>48</v>
      </c>
      <c r="F2380" s="8" t="str">
        <f ca="1">IFERROR(__xludf.DUMMYFUNCTION("IF
(
C2381=""фізична особа""
,
VLOOKUP(D2381,IMPORTRANGE(""https://docs.google.com/spreadsheets/d/14Bd19lYaqBhU8_DElYkX7l4wRkHqqCUFNJY4AfY3kHU/edit?usp=sharing  #gid=0"",""фіз особи new!relations_name""),6,FALSE)
,
(IF
(
C2381=""юридична особа""
,
VLOOKUP"&amp;"(D2381,IMPORTRANGE(""https://docs.google.com/spreadsheets/d/14Bd19lYaqBhU8_DElYkX7l4wRkHqqCUFNJY4AfY3kHU/edit?usp=sharing  #gid=0"",""фіз особи new!relations_name_uo""),7,FALSE)
,
)
))"),"БЕРЬОЗКІН Сергій Володимирович")</f>
        <v>БЕРЬОЗКІН Сергій Володимирович</v>
      </c>
      <c r="G2380" s="7" t="s">
        <v>10</v>
      </c>
      <c r="H2380" s="7">
        <v>2461</v>
      </c>
      <c r="I2380" s="8" t="str">
        <f ca="1">IFERROR(__xludf.DUMMYFUNCTION("IF
(
G2381=""фізична особа""
,
VLOOKUP(H2381,IMPORTRANGE(""https://docs.google.com/spreadsheets/d/14Bd19lYaqBhU8_DElYkX7l4wRkHqqCUFNJY4AfY3kHU/edit?usp=sharing  #gid=0"",""фіз особи new!relations_name""),6,FALSE)
,
(IF
(
G2381=""юридична особа""
,
VLOOKUP"&amp;"(H2381,IMPORTRANGE(""https://docs.google.com/spreadsheets/d/14Bd19lYaqBhU8_DElYkX7l4wRkHqqCUFNJY4AfY3kHU/edit?usp=sharing  #gid=0"",""фіз особи new!relations_name_uo""),7,FALSE)
,
)
))"),"МИРОНОВ Дмитро Юрійович")</f>
        <v>МИРОНОВ Дмитро Юрійович</v>
      </c>
      <c r="J2380" s="7" t="s">
        <v>48</v>
      </c>
    </row>
    <row r="2381" spans="1:10" ht="13.2">
      <c r="A2381" s="7">
        <v>2380</v>
      </c>
      <c r="B2381" s="7">
        <v>1</v>
      </c>
      <c r="C2381" s="7" t="s">
        <v>10</v>
      </c>
      <c r="D2381" s="7">
        <v>681</v>
      </c>
      <c r="E2381" s="7" t="s">
        <v>17</v>
      </c>
      <c r="F2381" s="8" t="str">
        <f ca="1">IFERROR(__xludf.DUMMYFUNCTION("IF
(
C2382=""фізична особа""
,
VLOOKUP(D2382,IMPORTRANGE(""https://docs.google.com/spreadsheets/d/14Bd19lYaqBhU8_DElYkX7l4wRkHqqCUFNJY4AfY3kHU/edit?usp=sharing  #gid=0"",""фіз особи new!relations_name""),6,FALSE)
,
(IF
(
C2382=""юридична особа""
,
VLOOKUP"&amp;"(D2382,IMPORTRANGE(""https://docs.google.com/spreadsheets/d/14Bd19lYaqBhU8_DElYkX7l4wRkHqqCUFNJY4AfY3kHU/edit?usp=sharing  #gid=0"",""фіз особи new!relations_name_uo""),7,FALSE)
,
)
))"),"КАБИШЕВ Сергій Володимирович")</f>
        <v>КАБИШЕВ Сергій Володимирович</v>
      </c>
      <c r="G2381" s="7" t="s">
        <v>10</v>
      </c>
      <c r="H2381" s="7">
        <v>0</v>
      </c>
      <c r="I2381" s="8" t="str">
        <f ca="1">IFERROR(__xludf.DUMMYFUNCTION("IF
(
G2382=""фізична особа""
,
VLOOKUP(H2382,IMPORTRANGE(""https://docs.google.com/spreadsheets/d/14Bd19lYaqBhU8_DElYkX7l4wRkHqqCUFNJY4AfY3kHU/edit?usp=sharing  #gid=0"",""фіз особи new!relations_name""),6,FALSE)
,
(IF
(
G2382=""юридична особа""
,
VLOOKUP"&amp;"(H2382,IMPORTRANGE(""https://docs.google.com/spreadsheets/d/14Bd19lYaqBhU8_DElYkX7l4wRkHqqCUFNJY4AfY3kHU/edit?usp=sharing  #gid=0"",""фіз особи new!relations_name_uo""),7,FALSE)
,
)
))"),"#N/A")</f>
        <v>#N/A</v>
      </c>
      <c r="J2381" s="7" t="s">
        <v>12</v>
      </c>
    </row>
    <row r="2382" spans="1:10" ht="13.2">
      <c r="A2382" s="7">
        <v>2381</v>
      </c>
      <c r="B2382" s="7">
        <v>1</v>
      </c>
      <c r="C2382" s="7" t="s">
        <v>10</v>
      </c>
      <c r="D2382" s="7">
        <v>681</v>
      </c>
      <c r="E2382" s="7" t="s">
        <v>17</v>
      </c>
      <c r="F2382" s="8" t="str">
        <f ca="1">IFERROR(__xludf.DUMMYFUNCTION("IF
(
C2383=""фізична особа""
,
VLOOKUP(D2383,IMPORTRANGE(""https://docs.google.com/spreadsheets/d/14Bd19lYaqBhU8_DElYkX7l4wRkHqqCUFNJY4AfY3kHU/edit?usp=sharing  #gid=0"",""фіз особи new!relations_name""),6,FALSE)
,
(IF
(
C2383=""юридична особа""
,
VLOOKUP"&amp;"(D2383,IMPORTRANGE(""https://docs.google.com/spreadsheets/d/14Bd19lYaqBhU8_DElYkX7l4wRkHqqCUFNJY4AfY3kHU/edit?usp=sharing  #gid=0"",""фіз особи new!relations_name_uo""),7,FALSE)
,
)
))"),"КАБИШЕВ Сергій Володимирович")</f>
        <v>КАБИШЕВ Сергій Володимирович</v>
      </c>
      <c r="G2382" s="7" t="s">
        <v>10</v>
      </c>
      <c r="H2382" s="7">
        <v>0</v>
      </c>
      <c r="I2382" s="8" t="str">
        <f ca="1">IFERROR(__xludf.DUMMYFUNCTION("IF
(
G2383=""фізична особа""
,
VLOOKUP(H2383,IMPORTRANGE(""https://docs.google.com/spreadsheets/d/14Bd19lYaqBhU8_DElYkX7l4wRkHqqCUFNJY4AfY3kHU/edit?usp=sharing  #gid=0"",""фіз особи new!relations_name""),6,FALSE)
,
(IF
(
G2383=""юридична особа""
,
VLOOKUP"&amp;"(H2383,IMPORTRANGE(""https://docs.google.com/spreadsheets/d/14Bd19lYaqBhU8_DElYkX7l4wRkHqqCUFNJY4AfY3kHU/edit?usp=sharing  #gid=0"",""фіз особи new!relations_name_uo""),7,FALSE)
,
)
))"),"#N/A")</f>
        <v>#N/A</v>
      </c>
      <c r="J2382" s="7" t="s">
        <v>21</v>
      </c>
    </row>
    <row r="2383" spans="1:10" ht="13.2">
      <c r="A2383" s="7">
        <v>2382</v>
      </c>
      <c r="B2383" s="7">
        <v>1</v>
      </c>
      <c r="C2383" s="7" t="s">
        <v>10</v>
      </c>
      <c r="D2383" s="7">
        <v>681</v>
      </c>
      <c r="E2383" s="7" t="s">
        <v>18</v>
      </c>
      <c r="F2383" s="8" t="str">
        <f ca="1">IFERROR(__xludf.DUMMYFUNCTION("IF
(
C2384=""фізична особа""
,
VLOOKUP(D2384,IMPORTRANGE(""https://docs.google.com/spreadsheets/d/14Bd19lYaqBhU8_DElYkX7l4wRkHqqCUFNJY4AfY3kHU/edit?usp=sharing  #gid=0"",""фіз особи new!relations_name""),6,FALSE)
,
(IF
(
C2384=""юридична особа""
,
VLOOKUP"&amp;"(D2384,IMPORTRANGE(""https://docs.google.com/spreadsheets/d/14Bd19lYaqBhU8_DElYkX7l4wRkHqqCUFNJY4AfY3kHU/edit?usp=sharing  #gid=0"",""фіз особи new!relations_name_uo""),7,FALSE)
,
)
))"),"КАБИШЕВ Сергій Володимирович")</f>
        <v>КАБИШЕВ Сергій Володимирович</v>
      </c>
      <c r="G2383" s="7" t="s">
        <v>10</v>
      </c>
      <c r="H2383" s="7">
        <v>0</v>
      </c>
      <c r="I2383" s="8" t="str">
        <f ca="1">IFERROR(__xludf.DUMMYFUNCTION("IF
(
G2384=""фізична особа""
,
VLOOKUP(H2384,IMPORTRANGE(""https://docs.google.com/spreadsheets/d/14Bd19lYaqBhU8_DElYkX7l4wRkHqqCUFNJY4AfY3kHU/edit?usp=sharing  #gid=0"",""фіз особи new!relations_name""),6,FALSE)
,
(IF
(
G2384=""юридична особа""
,
VLOOKUP"&amp;"(H2384,IMPORTRANGE(""https://docs.google.com/spreadsheets/d/14Bd19lYaqBhU8_DElYkX7l4wRkHqqCUFNJY4AfY3kHU/edit?usp=sharing  #gid=0"",""фіз особи new!relations_name_uo""),7,FALSE)
,
)
))"),"#N/A")</f>
        <v>#N/A</v>
      </c>
      <c r="J2383" s="7" t="s">
        <v>31</v>
      </c>
    </row>
    <row r="2384" spans="1:10" ht="13.2">
      <c r="A2384" s="7">
        <v>2383</v>
      </c>
      <c r="B2384" s="7">
        <v>1</v>
      </c>
      <c r="C2384" s="7" t="s">
        <v>10</v>
      </c>
      <c r="D2384" s="7">
        <v>682</v>
      </c>
      <c r="E2384" s="7" t="s">
        <v>14</v>
      </c>
      <c r="F2384" s="8" t="str">
        <f ca="1">IFERROR(__xludf.DUMMYFUNCTION("IF
(
C2385=""фізична особа""
,
VLOOKUP(D2385,IMPORTRANGE(""https://docs.google.com/spreadsheets/d/14Bd19lYaqBhU8_DElYkX7l4wRkHqqCUFNJY4AfY3kHU/edit?usp=sharing  #gid=0"",""фіз особи new!relations_name""),6,FALSE)
,
(IF
(
C2385=""юридична особа""
,
VLOOKUP"&amp;"(D2385,IMPORTRANGE(""https://docs.google.com/spreadsheets/d/14Bd19lYaqBhU8_DElYkX7l4wRkHqqCUFNJY4AfY3kHU/edit?usp=sharing  #gid=0"",""фіз особи new!relations_name_uo""),7,FALSE)
,
)
))"),"ЖЕЛЄЗНЯК Сергій Володимирович")</f>
        <v>ЖЕЛЄЗНЯК Сергій Володимирович</v>
      </c>
      <c r="G2384" s="7" t="s">
        <v>10</v>
      </c>
      <c r="H2384" s="7">
        <v>0</v>
      </c>
      <c r="I2384" s="8" t="str">
        <f ca="1">IFERROR(__xludf.DUMMYFUNCTION("IF
(
G2385=""фізична особа""
,
VLOOKUP(H2385,IMPORTRANGE(""https://docs.google.com/spreadsheets/d/14Bd19lYaqBhU8_DElYkX7l4wRkHqqCUFNJY4AfY3kHU/edit?usp=sharing  #gid=0"",""фіз особи new!relations_name""),6,FALSE)
,
(IF
(
G2385=""юридична особа""
,
VLOOKUP"&amp;"(H2385,IMPORTRANGE(""https://docs.google.com/spreadsheets/d/14Bd19lYaqBhU8_DElYkX7l4wRkHqqCUFNJY4AfY3kHU/edit?usp=sharing  #gid=0"",""фіз особи new!relations_name_uo""),7,FALSE)
,
)
))"),"#N/A")</f>
        <v>#N/A</v>
      </c>
      <c r="J2384" s="7" t="s">
        <v>15</v>
      </c>
    </row>
    <row r="2385" spans="1:10" ht="13.2">
      <c r="A2385" s="7">
        <v>2384</v>
      </c>
      <c r="B2385" s="7">
        <v>1</v>
      </c>
      <c r="C2385" s="7" t="s">
        <v>10</v>
      </c>
      <c r="D2385" s="7">
        <v>682</v>
      </c>
      <c r="E2385" s="7" t="s">
        <v>24</v>
      </c>
      <c r="F2385" s="8" t="str">
        <f ca="1">IFERROR(__xludf.DUMMYFUNCTION("IF
(
C2386=""фізична особа""
,
VLOOKUP(D2386,IMPORTRANGE(""https://docs.google.com/spreadsheets/d/14Bd19lYaqBhU8_DElYkX7l4wRkHqqCUFNJY4AfY3kHU/edit?usp=sharing  #gid=0"",""фіз особи new!relations_name""),6,FALSE)
,
(IF
(
C2386=""юридична особа""
,
VLOOKUP"&amp;"(D2386,IMPORTRANGE(""https://docs.google.com/spreadsheets/d/14Bd19lYaqBhU8_DElYkX7l4wRkHqqCUFNJY4AfY3kHU/edit?usp=sharing  #gid=0"",""фіз особи new!relations_name_uo""),7,FALSE)
,
)
))"),"ЖЕЛЄЗНЯК Сергій Володимирович")</f>
        <v>ЖЕЛЄЗНЯК Сергій Володимирович</v>
      </c>
      <c r="G2385" s="7" t="s">
        <v>10</v>
      </c>
      <c r="H2385" s="7">
        <v>0</v>
      </c>
      <c r="I2385" s="8" t="str">
        <f ca="1">IFERROR(__xludf.DUMMYFUNCTION("IF
(
G2386=""фізична особа""
,
VLOOKUP(H2386,IMPORTRANGE(""https://docs.google.com/spreadsheets/d/14Bd19lYaqBhU8_DElYkX7l4wRkHqqCUFNJY4AfY3kHU/edit?usp=sharing  #gid=0"",""фіз особи new!relations_name""),6,FALSE)
,
(IF
(
G2386=""юридична особа""
,
VLOOKUP"&amp;"(H2386,IMPORTRANGE(""https://docs.google.com/spreadsheets/d/14Bd19lYaqBhU8_DElYkX7l4wRkHqqCUFNJY4AfY3kHU/edit?usp=sharing  #gid=0"",""фіз особи new!relations_name_uo""),7,FALSE)
,
)
))"),"#N/A")</f>
        <v>#N/A</v>
      </c>
      <c r="J2385" s="7" t="s">
        <v>26</v>
      </c>
    </row>
    <row r="2386" spans="1:10" ht="13.2">
      <c r="A2386" s="7">
        <v>2385</v>
      </c>
      <c r="B2386" s="7">
        <v>1</v>
      </c>
      <c r="C2386" s="7" t="s">
        <v>10</v>
      </c>
      <c r="D2386" s="7">
        <v>682</v>
      </c>
      <c r="E2386" s="7" t="s">
        <v>12</v>
      </c>
      <c r="F2386" s="8" t="str">
        <f ca="1">IFERROR(__xludf.DUMMYFUNCTION("IF
(
C2387=""фізична особа""
,
VLOOKUP(D2387,IMPORTRANGE(""https://docs.google.com/spreadsheets/d/14Bd19lYaqBhU8_DElYkX7l4wRkHqqCUFNJY4AfY3kHU/edit?usp=sharing  #gid=0"",""фіз особи new!relations_name""),6,FALSE)
,
(IF
(
C2387=""юридична особа""
,
VLOOKUP"&amp;"(D2387,IMPORTRANGE(""https://docs.google.com/spreadsheets/d/14Bd19lYaqBhU8_DElYkX7l4wRkHqqCUFNJY4AfY3kHU/edit?usp=sharing  #gid=0"",""фіз особи new!relations_name_uo""),7,FALSE)
,
)
))"),"ЖЕЛЄЗНЯК Сергій Володимирович")</f>
        <v>ЖЕЛЄЗНЯК Сергій Володимирович</v>
      </c>
      <c r="G2386" s="7" t="s">
        <v>10</v>
      </c>
      <c r="H2386" s="7">
        <v>0</v>
      </c>
      <c r="I2386" s="8" t="str">
        <f ca="1">IFERROR(__xludf.DUMMYFUNCTION("IF
(
G2387=""фізична особа""
,
VLOOKUP(H2387,IMPORTRANGE(""https://docs.google.com/spreadsheets/d/14Bd19lYaqBhU8_DElYkX7l4wRkHqqCUFNJY4AfY3kHU/edit?usp=sharing  #gid=0"",""фіз особи new!relations_name""),6,FALSE)
,
(IF
(
G2387=""юридична особа""
,
VLOOKUP"&amp;"(H2387,IMPORTRANGE(""https://docs.google.com/spreadsheets/d/14Bd19lYaqBhU8_DElYkX7l4wRkHqqCUFNJY4AfY3kHU/edit?usp=sharing  #gid=0"",""фіз особи new!relations_name_uo""),7,FALSE)
,
)
))"),"#N/A")</f>
        <v>#N/A</v>
      </c>
      <c r="J2386" s="7" t="s">
        <v>13</v>
      </c>
    </row>
    <row r="2387" spans="1:10" ht="13.2">
      <c r="A2387" s="7">
        <v>2386</v>
      </c>
      <c r="B2387" s="7">
        <v>1</v>
      </c>
      <c r="C2387" s="7" t="s">
        <v>10</v>
      </c>
      <c r="D2387" s="7">
        <v>682</v>
      </c>
      <c r="E2387" s="7" t="s">
        <v>12</v>
      </c>
      <c r="F2387" s="8" t="str">
        <f ca="1">IFERROR(__xludf.DUMMYFUNCTION("IF
(
C2388=""фізична особа""
,
VLOOKUP(D2388,IMPORTRANGE(""https://docs.google.com/spreadsheets/d/14Bd19lYaqBhU8_DElYkX7l4wRkHqqCUFNJY4AfY3kHU/edit?usp=sharing  #gid=0"",""фіз особи new!relations_name""),6,FALSE)
,
(IF
(
C2388=""юридична особа""
,
VLOOKUP"&amp;"(D2388,IMPORTRANGE(""https://docs.google.com/spreadsheets/d/14Bd19lYaqBhU8_DElYkX7l4wRkHqqCUFNJY4AfY3kHU/edit?usp=sharing  #gid=0"",""фіз особи new!relations_name_uo""),7,FALSE)
,
)
))"),"ЖЕЛЄЗНЯК Сергій Володимирович")</f>
        <v>ЖЕЛЄЗНЯК Сергій Володимирович</v>
      </c>
      <c r="G2387" s="7" t="s">
        <v>10</v>
      </c>
      <c r="H2387" s="7">
        <v>0</v>
      </c>
      <c r="I2387" s="8" t="str">
        <f ca="1">IFERROR(__xludf.DUMMYFUNCTION("IF
(
G2388=""фізична особа""
,
VLOOKUP(H2388,IMPORTRANGE(""https://docs.google.com/spreadsheets/d/14Bd19lYaqBhU8_DElYkX7l4wRkHqqCUFNJY4AfY3kHU/edit?usp=sharing  #gid=0"",""фіз особи new!relations_name""),6,FALSE)
,
(IF
(
G2388=""юридична особа""
,
VLOOKUP"&amp;"(H2388,IMPORTRANGE(""https://docs.google.com/spreadsheets/d/14Bd19lYaqBhU8_DElYkX7l4wRkHqqCUFNJY4AfY3kHU/edit?usp=sharing  #gid=0"",""фіз особи new!relations_name_uo""),7,FALSE)
,
)
))"),"#N/A")</f>
        <v>#N/A</v>
      </c>
      <c r="J2387" s="7" t="s">
        <v>13</v>
      </c>
    </row>
    <row r="2388" spans="1:10" ht="13.2">
      <c r="A2388" s="7">
        <v>2387</v>
      </c>
      <c r="B2388" s="7">
        <v>1</v>
      </c>
      <c r="C2388" s="7" t="s">
        <v>10</v>
      </c>
      <c r="D2388" s="7">
        <v>682</v>
      </c>
      <c r="E2388" s="7" t="s">
        <v>12</v>
      </c>
      <c r="F2388" s="8" t="str">
        <f ca="1">IFERROR(__xludf.DUMMYFUNCTION("IF
(
C2389=""фізична особа""
,
VLOOKUP(D2389,IMPORTRANGE(""https://docs.google.com/spreadsheets/d/14Bd19lYaqBhU8_DElYkX7l4wRkHqqCUFNJY4AfY3kHU/edit?usp=sharing  #gid=0"",""фіз особи new!relations_name""),6,FALSE)
,
(IF
(
C2389=""юридична особа""
,
VLOOKUP"&amp;"(D2389,IMPORTRANGE(""https://docs.google.com/spreadsheets/d/14Bd19lYaqBhU8_DElYkX7l4wRkHqqCUFNJY4AfY3kHU/edit?usp=sharing  #gid=0"",""фіз особи new!relations_name_uo""),7,FALSE)
,
)
))"),"ЖЕЛЄЗНЯК Сергій Володимирович")</f>
        <v>ЖЕЛЄЗНЯК Сергій Володимирович</v>
      </c>
      <c r="G2388" s="7" t="s">
        <v>10</v>
      </c>
      <c r="H2388" s="7">
        <v>0</v>
      </c>
      <c r="I2388" s="8" t="str">
        <f ca="1">IFERROR(__xludf.DUMMYFUNCTION("IF
(
G2389=""фізична особа""
,
VLOOKUP(H2389,IMPORTRANGE(""https://docs.google.com/spreadsheets/d/14Bd19lYaqBhU8_DElYkX7l4wRkHqqCUFNJY4AfY3kHU/edit?usp=sharing  #gid=0"",""фіз особи new!relations_name""),6,FALSE)
,
(IF
(
G2389=""юридична особа""
,
VLOOKUP"&amp;"(H2389,IMPORTRANGE(""https://docs.google.com/spreadsheets/d/14Bd19lYaqBhU8_DElYkX7l4wRkHqqCUFNJY4AfY3kHU/edit?usp=sharing  #gid=0"",""фіз особи new!relations_name_uo""),7,FALSE)
,
)
))"),"#N/A")</f>
        <v>#N/A</v>
      </c>
      <c r="J2388" s="7" t="s">
        <v>13</v>
      </c>
    </row>
    <row r="2389" spans="1:10" ht="13.2">
      <c r="A2389" s="7">
        <v>2388</v>
      </c>
      <c r="B2389" s="7">
        <v>1</v>
      </c>
      <c r="C2389" s="7" t="s">
        <v>10</v>
      </c>
      <c r="D2389" s="7">
        <v>683</v>
      </c>
      <c r="E2389" s="7" t="s">
        <v>48</v>
      </c>
      <c r="F2389" s="8" t="str">
        <f ca="1">IFERROR(__xludf.DUMMYFUNCTION("IF
(
C2390=""фізична особа""
,
VLOOKUP(D2390,IMPORTRANGE(""https://docs.google.com/spreadsheets/d/14Bd19lYaqBhU8_DElYkX7l4wRkHqqCUFNJY4AfY3kHU/edit?usp=sharing  #gid=0"",""фіз особи new!relations_name""),6,FALSE)
,
(IF
(
C2390=""юридична особа""
,
VLOOKUP"&amp;"(D2390,IMPORTRANGE(""https://docs.google.com/spreadsheets/d/14Bd19lYaqBhU8_DElYkX7l4wRkHqqCUFNJY4AfY3kHU/edit?usp=sharing  #gid=0"",""фіз особи new!relations_name_uo""),7,FALSE)
,
)
))"),"БЕЗДЄНЄЖНИХ Сергій В'ячеславович")</f>
        <v>БЕЗДЄНЄЖНИХ Сергій В'ячеславович</v>
      </c>
      <c r="G2389" s="7" t="s">
        <v>10</v>
      </c>
      <c r="H2389" s="7">
        <v>13001</v>
      </c>
      <c r="I2389" s="8" t="str">
        <f ca="1">IFERROR(__xludf.DUMMYFUNCTION("IF
(
G2390=""фізична особа""
,
VLOOKUP(H2390,IMPORTRANGE(""https://docs.google.com/spreadsheets/d/14Bd19lYaqBhU8_DElYkX7l4wRkHqqCUFNJY4AfY3kHU/edit?usp=sharing  #gid=0"",""фіз особи new!relations_name""),6,FALSE)
,
(IF
(
G2390=""юридична особа""
,
VLOOKUP"&amp;"(H2390,IMPORTRANGE(""https://docs.google.com/spreadsheets/d/14Bd19lYaqBhU8_DElYkX7l4wRkHqqCUFNJY4AfY3kHU/edit?usp=sharing  #gid=0"",""фіз особи new!relations_name_uo""),7,FALSE)
,
)
))"),"ФУРГАЛ Сергій Іванович")</f>
        <v>ФУРГАЛ Сергій Іванович</v>
      </c>
      <c r="J2389" s="7" t="s">
        <v>48</v>
      </c>
    </row>
    <row r="2390" spans="1:10" ht="13.2">
      <c r="A2390" s="7">
        <v>2389</v>
      </c>
      <c r="B2390" s="7">
        <v>1</v>
      </c>
      <c r="C2390" s="7" t="s">
        <v>10</v>
      </c>
      <c r="D2390" s="7">
        <v>683</v>
      </c>
      <c r="E2390" s="7" t="s">
        <v>48</v>
      </c>
      <c r="F2390" s="8" t="str">
        <f ca="1">IFERROR(__xludf.DUMMYFUNCTION("IF
(
C2391=""фізична особа""
,
VLOOKUP(D2391,IMPORTRANGE(""https://docs.google.com/spreadsheets/d/14Bd19lYaqBhU8_DElYkX7l4wRkHqqCUFNJY4AfY3kHU/edit?usp=sharing  #gid=0"",""фіз особи new!relations_name""),6,FALSE)
,
(IF
(
C2391=""юридична особа""
,
VLOOKUP"&amp;"(D2391,IMPORTRANGE(""https://docs.google.com/spreadsheets/d/14Bd19lYaqBhU8_DElYkX7l4wRkHqqCUFNJY4AfY3kHU/edit?usp=sharing  #gid=0"",""фіз особи new!relations_name_uo""),7,FALSE)
,
)
))"),"БЕЗДЄНЄЖНИХ Сергій В'ячеславович")</f>
        <v>БЕЗДЄНЄЖНИХ Сергій В'ячеславович</v>
      </c>
      <c r="G2390" s="7" t="s">
        <v>10</v>
      </c>
      <c r="H2390" s="7">
        <v>0</v>
      </c>
      <c r="I2390" s="8" t="str">
        <f ca="1">IFERROR(__xludf.DUMMYFUNCTION("IF
(
G2391=""фізична особа""
,
VLOOKUP(H2391,IMPORTRANGE(""https://docs.google.com/spreadsheets/d/14Bd19lYaqBhU8_DElYkX7l4wRkHqqCUFNJY4AfY3kHU/edit?usp=sharing  #gid=0"",""фіз особи new!relations_name""),6,FALSE)
,
(IF
(
G2391=""юридична особа""
,
VLOOKUP"&amp;"(H2391,IMPORTRANGE(""https://docs.google.com/spreadsheets/d/14Bd19lYaqBhU8_DElYkX7l4wRkHqqCUFNJY4AfY3kHU/edit?usp=sharing  #gid=0"",""фіз особи new!relations_name_uo""),7,FALSE)
,
)
))"),"#N/A")</f>
        <v>#N/A</v>
      </c>
      <c r="J2390" s="7" t="s">
        <v>48</v>
      </c>
    </row>
    <row r="2391" spans="1:10" ht="13.2">
      <c r="A2391" s="7">
        <v>2390</v>
      </c>
      <c r="B2391" s="7">
        <v>1</v>
      </c>
      <c r="C2391" s="7" t="s">
        <v>10</v>
      </c>
      <c r="D2391" s="7">
        <v>684</v>
      </c>
      <c r="E2391" s="7" t="s">
        <v>28</v>
      </c>
      <c r="F2391" s="8" t="str">
        <f ca="1">IFERROR(__xludf.DUMMYFUNCTION("IF
(
C2392=""фізична особа""
,
VLOOKUP(D2392,IMPORTRANGE(""https://docs.google.com/spreadsheets/d/14Bd19lYaqBhU8_DElYkX7l4wRkHqqCUFNJY4AfY3kHU/edit?usp=sharing  #gid=0"",""фіз особи new!relations_name""),6,FALSE)
,
(IF
(
C2392=""юридична особа""
,
VLOOKUP"&amp;"(D2392,IMPORTRANGE(""https://docs.google.com/spreadsheets/d/14Bd19lYaqBhU8_DElYkX7l4wRkHqqCUFNJY4AfY3kHU/edit?usp=sharing  #gid=0"",""фіз особи new!relations_name_uo""),7,FALSE)
,
)
))"),"ДРОНОВ Сергій Володимирович")</f>
        <v>ДРОНОВ Сергій Володимирович</v>
      </c>
      <c r="G2391" s="7" t="s">
        <v>10</v>
      </c>
      <c r="H2391" s="7">
        <v>685</v>
      </c>
      <c r="I2391" s="8" t="str">
        <f ca="1">IFERROR(__xludf.DUMMYFUNCTION("IF
(
G2392=""фізична особа""
,
VLOOKUP(H2392,IMPORTRANGE(""https://docs.google.com/spreadsheets/d/14Bd19lYaqBhU8_DElYkX7l4wRkHqqCUFNJY4AfY3kHU/edit?usp=sharing  #gid=0"",""фіз особи new!relations_name""),6,FALSE)
,
(IF
(
G2392=""юридична особа""
,
VLOOKUP"&amp;"(H2392,IMPORTRANGE(""https://docs.google.com/spreadsheets/d/14Bd19lYaqBhU8_DElYkX7l4wRkHqqCUFNJY4AfY3kHU/edit?usp=sharing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J2391" s="7" t="s">
        <v>29</v>
      </c>
    </row>
    <row r="2392" spans="1:10" ht="13.2">
      <c r="A2392" s="7">
        <v>2391</v>
      </c>
      <c r="B2392" s="7">
        <v>1</v>
      </c>
      <c r="C2392" s="7" t="s">
        <v>10</v>
      </c>
      <c r="D2392" s="7">
        <v>685</v>
      </c>
      <c r="E2392" s="7" t="s">
        <v>14</v>
      </c>
      <c r="F2392" s="8" t="str">
        <f ca="1">IFERROR(__xludf.DUMMYFUNCTION("IF
(
C2393=""фізична особа""
,
VLOOKUP(D2393,IMPORTRANGE(""https://docs.google.com/spreadsheets/d/14Bd19lYaqBhU8_DElYkX7l4wRkHqqCUFNJY4AfY3kHU/edit?usp=sharing  #gid=0"",""фіз особи new!relations_name""),6,FALSE)
,
(IF
(
C2393=""юридична особа""
,
VLOOKUP"&amp;"(D2393,IMPORTRANGE(""https://docs.google.com/spreadsheets/d/14Bd19lYaqBhU8_DElYkX7l4wRkHqqCUFNJY4AfY3kHU/edit?usp=sharing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2" s="7" t="s">
        <v>10</v>
      </c>
      <c r="H2392" s="7">
        <v>0</v>
      </c>
      <c r="I2392" s="8" t="str">
        <f ca="1">IFERROR(__xludf.DUMMYFUNCTION("IF
(
G2393=""фізична особа""
,
VLOOKUP(H2393,IMPORTRANGE(""https://docs.google.com/spreadsheets/d/14Bd19lYaqBhU8_DElYkX7l4wRkHqqCUFNJY4AfY3kHU/edit?usp=sharing  #gid=0"",""фіз особи new!relations_name""),6,FALSE)
,
(IF
(
G2393=""юридична особа""
,
VLOOKUP"&amp;"(H2393,IMPORTRANGE(""https://docs.google.com/spreadsheets/d/14Bd19lYaqBhU8_DElYkX7l4wRkHqqCUFNJY4AfY3kHU/edit?usp=sharing  #gid=0"",""фіз особи new!relations_name_uo""),7,FALSE)
,
)
))"),"#N/A")</f>
        <v>#N/A</v>
      </c>
      <c r="J2392" s="7" t="s">
        <v>15</v>
      </c>
    </row>
    <row r="2393" spans="1:10" ht="13.2">
      <c r="A2393" s="7">
        <v>2392</v>
      </c>
      <c r="B2393" s="7">
        <v>1</v>
      </c>
      <c r="C2393" s="7" t="s">
        <v>10</v>
      </c>
      <c r="D2393" s="7">
        <v>685</v>
      </c>
      <c r="E2393" s="7" t="s">
        <v>29</v>
      </c>
      <c r="F2393" s="8" t="str">
        <f ca="1">IFERROR(__xludf.DUMMYFUNCTION("IF
(
C2394=""фізична особа""
,
VLOOKUP(D2394,IMPORTRANGE(""https://docs.google.com/spreadsheets/d/14Bd19lYaqBhU8_DElYkX7l4wRkHqqCUFNJY4AfY3kHU/edit?usp=sharing  #gid=0"",""фіз особи new!relations_name""),6,FALSE)
,
(IF
(
C2394=""юридична особа""
,
VLOOKUP"&amp;"(D2394,IMPORTRANGE(""https://docs.google.com/spreadsheets/d/14Bd19lYaqBhU8_DElYkX7l4wRkHqqCUFNJY4AfY3kHU/edit?usp=sharing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3" s="7" t="s">
        <v>10</v>
      </c>
      <c r="H2393" s="7">
        <v>1159</v>
      </c>
      <c r="I2393" s="8" t="str">
        <f ca="1">IFERROR(__xludf.DUMMYFUNCTION("IF
(
G2394=""фізична особа""
,
VLOOKUP(H2394,IMPORTRANGE(""https://docs.google.com/spreadsheets/d/14Bd19lYaqBhU8_DElYkX7l4wRkHqqCUFNJY4AfY3kHU/edit?usp=sharing  #gid=0"",""фіз особи new!relations_name""),6,FALSE)
,
(IF
(
G2394=""юридична особа""
,
VLOOKUP"&amp;"(H2394,IMPORTRANGE(""https://docs.google.com/spreadsheets/d/14Bd19lYaqBhU8_DElYkX7l4wRkHqqCUFNJY4AfY3kHU/edit?usp=sharing  #gid=0"",""фіз особи new!relations_name_uo""),7,FALSE)
,
)
))"),"АФЗАЛОВ Віктор Мусавірович")</f>
        <v>АФЗАЛОВ Віктор Мусавірович</v>
      </c>
      <c r="J2393" s="7" t="s">
        <v>28</v>
      </c>
    </row>
    <row r="2394" spans="1:10" ht="13.2">
      <c r="A2394" s="7">
        <v>2393</v>
      </c>
      <c r="B2394" s="7">
        <v>1</v>
      </c>
      <c r="C2394" s="7" t="s">
        <v>10</v>
      </c>
      <c r="D2394" s="7">
        <v>685</v>
      </c>
      <c r="E2394" s="7" t="s">
        <v>29</v>
      </c>
      <c r="F2394" s="8" t="str">
        <f ca="1">IFERROR(__xludf.DUMMYFUNCTION("IF
(
C2395=""фізична особа""
,
VLOOKUP(D2395,IMPORTRANGE(""https://docs.google.com/spreadsheets/d/14Bd19lYaqBhU8_DElYkX7l4wRkHqqCUFNJY4AfY3kHU/edit?usp=sharing  #gid=0"",""фіз особи new!relations_name""),6,FALSE)
,
(IF
(
C2395=""юридична особа""
,
VLOOKUP"&amp;"(D2395,IMPORTRANGE(""https://docs.google.com/spreadsheets/d/14Bd19lYaqBhU8_DElYkX7l4wRkHqqCUFNJY4AfY3kHU/edit?usp=sharing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4" s="7" t="s">
        <v>10</v>
      </c>
      <c r="H2394" s="7">
        <v>1060</v>
      </c>
      <c r="I2394" s="8" t="str">
        <f ca="1">IFERROR(__xludf.DUMMYFUNCTION("IF
(
G2395=""фізична особа""
,
VLOOKUP(H2395,IMPORTRANGE(""https://docs.google.com/spreadsheets/d/14Bd19lYaqBhU8_DElYkX7l4wRkHqqCUFNJY4AfY3kHU/edit?usp=sharing  #gid=0"",""фіз особи new!relations_name""),6,FALSE)
,
(IF
(
G2395=""юридична особа""
,
VLOOKUP"&amp;"(H2395,IMPORTRANGE(""https://docs.google.com/spreadsheets/d/14Bd19lYaqBhU8_DElYkX7l4wRkHqqCUFNJY4AfY3kHU/edit?usp=sharing  #gid=0"",""фіз особи new!relations_name_uo""),7,FALSE)
,
)
))"),"ЮДІН Андрій В'ячеславович")</f>
        <v>ЮДІН Андрій В'ячеславович</v>
      </c>
      <c r="J2394" s="7" t="s">
        <v>28</v>
      </c>
    </row>
    <row r="2395" spans="1:10" ht="13.2">
      <c r="A2395" s="7">
        <v>2394</v>
      </c>
      <c r="B2395" s="7">
        <v>1</v>
      </c>
      <c r="C2395" s="7" t="s">
        <v>10</v>
      </c>
      <c r="D2395" s="7">
        <v>685</v>
      </c>
      <c r="E2395" s="7" t="s">
        <v>29</v>
      </c>
      <c r="F2395" s="8" t="str">
        <f ca="1">IFERROR(__xludf.DUMMYFUNCTION("IF
(
C2396=""фізична особа""
,
VLOOKUP(D2396,IMPORTRANGE(""https://docs.google.com/spreadsheets/d/14Bd19lYaqBhU8_DElYkX7l4wRkHqqCUFNJY4AfY3kHU/edit?usp=sharing  #gid=0"",""фіз особи new!relations_name""),6,FALSE)
,
(IF
(
C2396=""юридична особа""
,
VLOOKUP"&amp;"(D2396,IMPORTRANGE(""https://docs.google.com/spreadsheets/d/14Bd19lYaqBhU8_DElYkX7l4wRkHqqCUFNJY4AfY3kHU/edit?usp=sharing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5" s="7" t="s">
        <v>10</v>
      </c>
      <c r="H2395" s="7">
        <v>684</v>
      </c>
      <c r="I2395" s="8" t="str">
        <f ca="1">IFERROR(__xludf.DUMMYFUNCTION("IF
(
G2396=""фізична особа""
,
VLOOKUP(H2396,IMPORTRANGE(""https://docs.google.com/spreadsheets/d/14Bd19lYaqBhU8_DElYkX7l4wRkHqqCUFNJY4AfY3kHU/edit?usp=sharing  #gid=0"",""фіз особи new!relations_name""),6,FALSE)
,
(IF
(
G2396=""юридична особа""
,
VLOOKUP"&amp;"(H2396,IMPORTRANGE(""https://docs.google.com/spreadsheets/d/14Bd19lYaqBhU8_DElYkX7l4wRkHqqCUFNJY4AfY3kHU/edit?usp=sharing  #gid=0"",""фіз особи new!relations_name_uo""),7,FALSE)
,
)
))"),"ДРОНОВ Сергій Володимирович")</f>
        <v>ДРОНОВ Сергій Володимирович</v>
      </c>
      <c r="J2395" s="7" t="s">
        <v>28</v>
      </c>
    </row>
    <row r="2396" spans="1:10" ht="13.2">
      <c r="A2396" s="7">
        <v>2395</v>
      </c>
      <c r="B2396" s="7">
        <v>1</v>
      </c>
      <c r="C2396" s="7" t="s">
        <v>10</v>
      </c>
      <c r="D2396" s="7">
        <v>685</v>
      </c>
      <c r="E2396" s="7" t="s">
        <v>29</v>
      </c>
      <c r="F2396" s="8" t="str">
        <f ca="1">IFERROR(__xludf.DUMMYFUNCTION("IF
(
C2397=""фізична особа""
,
VLOOKUP(D2397,IMPORTRANGE(""https://docs.google.com/spreadsheets/d/14Bd19lYaqBhU8_DElYkX7l4wRkHqqCUFNJY4AfY3kHU/edit?usp=sharing  #gid=0"",""фіз особи new!relations_name""),6,FALSE)
,
(IF
(
C2397=""юридична особа""
,
VLOOKUP"&amp;"(D2397,IMPORTRANGE(""https://docs.google.com/spreadsheets/d/14Bd19lYaqBhU8_DElYkX7l4wRkHqqCUFNJY4AfY3kHU/edit?usp=sharing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6" s="7" t="s">
        <v>10</v>
      </c>
      <c r="H2396" s="7">
        <v>1277</v>
      </c>
      <c r="I2396" s="8" t="str">
        <f ca="1">IFERROR(__xludf.DUMMYFUNCTION("IF
(
G2397=""фізична особа""
,
VLOOKUP(H2397,IMPORTRANGE(""https://docs.google.com/spreadsheets/d/14Bd19lYaqBhU8_DElYkX7l4wRkHqqCUFNJY4AfY3kHU/edit?usp=sharing  #gid=0"",""фіз особи new!relations_name""),6,FALSE)
,
(IF
(
G2397=""юридична особа""
,
VLOOKUP"&amp;"(H2397,IMPORTRANGE(""https://docs.google.com/spreadsheets/d/14Bd19lYaqBhU8_DElYkX7l4wRkHqqCUFNJY4AfY3kHU/edit?usp=sharing  #gid=0"",""фіз особи new!relations_name_uo""),7,FALSE)
,
)
))"),"ДЬОМІН Андрій Геннадійович")</f>
        <v>ДЬОМІН Андрій Геннадійович</v>
      </c>
      <c r="J2396" s="7" t="s">
        <v>28</v>
      </c>
    </row>
    <row r="2397" spans="1:10" ht="13.2">
      <c r="A2397" s="7">
        <v>2396</v>
      </c>
      <c r="B2397" s="7">
        <v>1</v>
      </c>
      <c r="C2397" s="7" t="s">
        <v>10</v>
      </c>
      <c r="D2397" s="7">
        <v>685</v>
      </c>
      <c r="E2397" s="7" t="s">
        <v>29</v>
      </c>
      <c r="F2397" s="8" t="str">
        <f ca="1">IFERROR(__xludf.DUMMYFUNCTION("IF
(
C2398=""фізична особа""
,
VLOOKUP(D2398,IMPORTRANGE(""https://docs.google.com/spreadsheets/d/14Bd19lYaqBhU8_DElYkX7l4wRkHqqCUFNJY4AfY3kHU/edit?usp=sharing  #gid=0"",""фіз особи new!relations_name""),6,FALSE)
,
(IF
(
C2398=""юридична особа""
,
VLOOKUP"&amp;"(D2398,IMPORTRANGE(""https://docs.google.com/spreadsheets/d/14Bd19lYaqBhU8_DElYkX7l4wRkHqqCUFNJY4AfY3kHU/edit?usp=sharing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7" s="7" t="s">
        <v>10</v>
      </c>
      <c r="H2397" s="7">
        <v>1157</v>
      </c>
      <c r="I2397" s="8" t="str">
        <f ca="1">IFERROR(__xludf.DUMMYFUNCTION("IF
(
G2398=""фізична особа""
,
VLOOKUP(H2398,IMPORTRANGE(""https://docs.google.com/spreadsheets/d/14Bd19lYaqBhU8_DElYkX7l4wRkHqqCUFNJY4AfY3kHU/edit?usp=sharing  #gid=0"",""фіз особи new!relations_name""),6,FALSE)
,
(IF
(
G2398=""юридична особа""
,
VLOOKUP"&amp;"(H2398,IMPORTRANGE(""https://docs.google.com/spreadsheets/d/14Bd19lYaqBhU8_DElYkX7l4wRkHqqCUFNJY4AfY3kHU/edit?usp=sharing  #gid=0"",""фіз особи new!relations_name_uo""),7,FALSE)
,
)
))"),"ГОЛОВКО Олександр Валентинович")</f>
        <v>ГОЛОВКО Олександр Валентинович</v>
      </c>
      <c r="J2397" s="7" t="s">
        <v>28</v>
      </c>
    </row>
    <row r="2398" spans="1:10" ht="13.2">
      <c r="A2398" s="7">
        <v>2397</v>
      </c>
      <c r="B2398" s="7">
        <v>1</v>
      </c>
      <c r="C2398" s="7" t="s">
        <v>10</v>
      </c>
      <c r="D2398" s="7">
        <v>685</v>
      </c>
      <c r="E2398" s="7" t="s">
        <v>29</v>
      </c>
      <c r="F2398" s="8" t="str">
        <f ca="1">IFERROR(__xludf.DUMMYFUNCTION("IF
(
C2399=""фізична особа""
,
VLOOKUP(D2399,IMPORTRANGE(""https://docs.google.com/spreadsheets/d/14Bd19lYaqBhU8_DElYkX7l4wRkHqqCUFNJY4AfY3kHU/edit?usp=sharing  #gid=0"",""фіз особи new!relations_name""),6,FALSE)
,
(IF
(
C2399=""юридична особа""
,
VLOOKUP"&amp;"(D2399,IMPORTRANGE(""https://docs.google.com/spreadsheets/d/14Bd19lYaqBhU8_DElYkX7l4wRkHqqCUFNJY4AfY3kHU/edit?usp=sharing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8" s="7" t="s">
        <v>10</v>
      </c>
      <c r="H2398" s="7">
        <v>1062</v>
      </c>
      <c r="I2398" s="8" t="str">
        <f ca="1">IFERROR(__xludf.DUMMYFUNCTION("IF
(
G2399=""фізична особа""
,
VLOOKUP(H2399,IMPORTRANGE(""https://docs.google.com/spreadsheets/d/14Bd19lYaqBhU8_DElYkX7l4wRkHqqCUFNJY4AfY3kHU/edit?usp=sharing  #gid=0"",""фіз особи new!relations_name""),6,FALSE)
,
(IF
(
G2399=""юридична особа""
,
VLOOKUP"&amp;"(H2399,IMPORTRANGE(""https://docs.google.com/spreadsheets/d/14Bd19lYaqBhU8_DElYkX7l4wRkHqqCUFNJY4AfY3kHU/edit?usp=sharing  #gid=0"",""фіз особи new!relations_name_uo""),7,FALSE)
,
)
))"),"МАКСИМЦЕВ Олександр Анатолійович")</f>
        <v>МАКСИМЦЕВ Олександр Анатолійович</v>
      </c>
      <c r="J2398" s="7" t="s">
        <v>28</v>
      </c>
    </row>
    <row r="2399" spans="1:10" ht="13.2">
      <c r="A2399" s="7">
        <v>2398</v>
      </c>
      <c r="B2399" s="7">
        <v>1</v>
      </c>
      <c r="C2399" s="7" t="s">
        <v>10</v>
      </c>
      <c r="D2399" s="7">
        <v>685</v>
      </c>
      <c r="E2399" s="7" t="s">
        <v>29</v>
      </c>
      <c r="F2399" s="8" t="str">
        <f ca="1">IFERROR(__xludf.DUMMYFUNCTION("IF
(
C2400=""фізична особа""
,
VLOOKUP(D2400,IMPORTRANGE(""https://docs.google.com/spreadsheets/d/14Bd19lYaqBhU8_DElYkX7l4wRkHqqCUFNJY4AfY3kHU/edit?usp=sharing  #gid=0"",""фіз особи new!relations_name""),6,FALSE)
,
(IF
(
C2400=""юридична особа""
,
VLOOKUP"&amp;"(D2400,IMPORTRANGE(""https://docs.google.com/spreadsheets/d/14Bd19lYaqBhU8_DElYkX7l4wRkHqqCUFNJY4AfY3kHU/edit?usp=sharing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399" s="7" t="s">
        <v>10</v>
      </c>
      <c r="H2399" s="7">
        <v>1064</v>
      </c>
      <c r="I2399" s="8" t="str">
        <f ca="1">IFERROR(__xludf.DUMMYFUNCTION("IF
(
G2400=""фізична особа""
,
VLOOKUP(H2400,IMPORTRANGE(""https://docs.google.com/spreadsheets/d/14Bd19lYaqBhU8_DElYkX7l4wRkHqqCUFNJY4AfY3kHU/edit?usp=sharing  #gid=0"",""фіз особи new!relations_name""),6,FALSE)
,
(IF
(
G2400=""юридична особа""
,
VLOOKUP"&amp;"(H2400,IMPORTRANGE(""https://docs.google.com/spreadsheets/d/14Bd19lYaqBhU8_DElYkX7l4wRkHqqCUFNJY4AfY3kHU/edit?usp=sharing  #gid=0"",""фіз особи new!relations_name_uo""),7,FALSE)
,
)
))"),"ХЕІРБЕКОВ Забіт Сабірович")</f>
        <v>ХЕІРБЕКОВ Забіт Сабірович</v>
      </c>
      <c r="J2399" s="7" t="s">
        <v>28</v>
      </c>
    </row>
    <row r="2400" spans="1:10" ht="13.2">
      <c r="A2400" s="7">
        <v>2399</v>
      </c>
      <c r="B2400" s="7">
        <v>1</v>
      </c>
      <c r="C2400" s="7" t="s">
        <v>10</v>
      </c>
      <c r="D2400" s="7">
        <v>685</v>
      </c>
      <c r="E2400" s="7" t="s">
        <v>29</v>
      </c>
      <c r="F2400" s="8" t="str">
        <f ca="1">IFERROR(__xludf.DUMMYFUNCTION("IF
(
C2401=""фізична особа""
,
VLOOKUP(D2401,IMPORTRANGE(""https://docs.google.com/spreadsheets/d/14Bd19lYaqBhU8_DElYkX7l4wRkHqqCUFNJY4AfY3kHU/edit?usp=sharing  #gid=0"",""фіз особи new!relations_name""),6,FALSE)
,
(IF
(
C2401=""юридична особа""
,
VLOOKUP"&amp;"(D2401,IMPORTRANGE(""https://docs.google.com/spreadsheets/d/14Bd19lYaqBhU8_DElYkX7l4wRkHqqCUFNJY4AfY3kHU/edit?usp=sharing  #gid=0"",""фіз особи new!relations_name_uo""),7,FALSE)
,
)
))"),"СУРОВІКІН Сергій Володимирович")</f>
        <v>СУРОВІКІН Сергій Володимирович</v>
      </c>
      <c r="G2400" s="7" t="s">
        <v>10</v>
      </c>
      <c r="H2400" s="7">
        <v>1061</v>
      </c>
      <c r="I2400" s="8" t="str">
        <f ca="1">IFERROR(__xludf.DUMMYFUNCTION("IF
(
G2401=""фізична особа""
,
VLOOKUP(H2401,IMPORTRANGE(""https://docs.google.com/spreadsheets/d/14Bd19lYaqBhU8_DElYkX7l4wRkHqqCUFNJY4AfY3kHU/edit?usp=sharing  #gid=0"",""фіз особи new!relations_name""),6,FALSE)
,
(IF
(
G2401=""юридична особа""
,
VLOOKUP"&amp;"(H2401,IMPORTRANGE(""https://docs.google.com/spreadsheets/d/14Bd19lYaqBhU8_DElYkX7l4wRkHqqCUFNJY4AfY3kHU/edit?usp=sharing  #gid=0"",""фіз особи new!relations_name_uo""),7,FALSE)
,
)
))"),"ГРЄХОВ Юрій Миколайович")</f>
        <v>ГРЄХОВ Юрій Миколайович</v>
      </c>
      <c r="J2400" s="7" t="s">
        <v>28</v>
      </c>
    </row>
    <row r="2401" spans="1:10" ht="13.2">
      <c r="A2401" s="7">
        <v>2400</v>
      </c>
      <c r="B2401" s="7">
        <v>1</v>
      </c>
      <c r="C2401" s="7" t="s">
        <v>10</v>
      </c>
      <c r="D2401" s="7">
        <v>687</v>
      </c>
      <c r="E2401" s="7" t="s">
        <v>17</v>
      </c>
      <c r="F2401" s="8" t="str">
        <f ca="1">IFERROR(__xludf.DUMMYFUNCTION("IF
(
C2402=""фізична особа""
,
VLOOKUP(D2402,IMPORTRANGE(""https://docs.google.com/spreadsheets/d/14Bd19lYaqBhU8_DElYkX7l4wRkHqqCUFNJY4AfY3kHU/edit?usp=sharing  #gid=0"",""фіз особи new!relations_name""),6,FALSE)
,
(IF
(
C2402=""юридична особа""
,
VLOOKUP"&amp;"(D2402,IMPORTRANGE(""https://docs.google.com/spreadsheets/d/14Bd19lYaqBhU8_DElYkX7l4wRkHqqCUFNJY4AfY3kHU/edit?usp=sharing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G2401" s="7" t="s">
        <v>10</v>
      </c>
      <c r="H2401" s="7">
        <v>8942</v>
      </c>
      <c r="I2401" s="8" t="str">
        <f ca="1">IFERROR(__xludf.DUMMYFUNCTION("IF
(
G2402=""фізична особа""
,
VLOOKUP(H2402,IMPORTRANGE(""https://docs.google.com/spreadsheets/d/14Bd19lYaqBhU8_DElYkX7l4wRkHqqCUFNJY4AfY3kHU/edit?usp=sharing  #gid=0"",""фіз особи new!relations_name""),6,FALSE)
,
(IF
(
G2402=""юридична особа""
,
VLOOKUP"&amp;"(H2402,IMPORTRANGE(""https://docs.google.com/spreadsheets/d/14Bd19lYaqBhU8_DElYkX7l4wRkHqqCUFNJY4AfY3kHU/edit?usp=sharing  #gid=0"",""фіз особи new!relations_name_uo""),7,FALSE)
,
)
))"),"ШАРГУНОВ Олександр Іванович")</f>
        <v>ШАРГУНОВ Олександр Іванович</v>
      </c>
      <c r="J2401" s="7" t="s">
        <v>12</v>
      </c>
    </row>
    <row r="2402" spans="1:10" ht="13.2">
      <c r="A2402" s="7">
        <v>2401</v>
      </c>
      <c r="B2402" s="7">
        <v>1</v>
      </c>
      <c r="C2402" s="7" t="s">
        <v>10</v>
      </c>
      <c r="D2402" s="7">
        <v>687</v>
      </c>
      <c r="E2402" s="7" t="s">
        <v>12</v>
      </c>
      <c r="F2402" s="8" t="str">
        <f ca="1">IFERROR(__xludf.DUMMYFUNCTION("IF
(
C2403=""фізична особа""
,
VLOOKUP(D2403,IMPORTRANGE(""https://docs.google.com/spreadsheets/d/14Bd19lYaqBhU8_DElYkX7l4wRkHqqCUFNJY4AfY3kHU/edit?usp=sharing  #gid=0"",""фіз особи new!relations_name""),6,FALSE)
,
(IF
(
C2403=""юридична особа""
,
VLOOKUP"&amp;"(D2403,IMPORTRANGE(""https://docs.google.com/spreadsheets/d/14Bd19lYaqBhU8_DElYkX7l4wRkHqqCUFNJY4AfY3kHU/edit?usp=sharing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G2402" s="7" t="s">
        <v>10</v>
      </c>
      <c r="H2402" s="7">
        <v>0</v>
      </c>
      <c r="I2402" s="8" t="str">
        <f ca="1">IFERROR(__xludf.DUMMYFUNCTION("IF
(
G2403=""фізична особа""
,
VLOOKUP(H2403,IMPORTRANGE(""https://docs.google.com/spreadsheets/d/14Bd19lYaqBhU8_DElYkX7l4wRkHqqCUFNJY4AfY3kHU/edit?usp=sharing  #gid=0"",""фіз особи new!relations_name""),6,FALSE)
,
(IF
(
G2403=""юридична особа""
,
VLOOKUP"&amp;"(H2403,IMPORTRANGE(""https://docs.google.com/spreadsheets/d/14Bd19lYaqBhU8_DElYkX7l4wRkHqqCUFNJY4AfY3kHU/edit?usp=sharing  #gid=0"",""фіз особи new!relations_name_uo""),7,FALSE)
,
)
))"),"#N/A")</f>
        <v>#N/A</v>
      </c>
      <c r="J2402" s="7" t="s">
        <v>17</v>
      </c>
    </row>
    <row r="2403" spans="1:10" ht="13.2">
      <c r="A2403" s="7">
        <v>2402</v>
      </c>
      <c r="B2403" s="7">
        <v>1</v>
      </c>
      <c r="C2403" s="7" t="s">
        <v>10</v>
      </c>
      <c r="D2403" s="7">
        <v>687</v>
      </c>
      <c r="E2403" s="7" t="s">
        <v>12</v>
      </c>
      <c r="F2403" s="8" t="str">
        <f ca="1">IFERROR(__xludf.DUMMYFUNCTION("IF
(
C2404=""фізична особа""
,
VLOOKUP(D2404,IMPORTRANGE(""https://docs.google.com/spreadsheets/d/14Bd19lYaqBhU8_DElYkX7l4wRkHqqCUFNJY4AfY3kHU/edit?usp=sharing  #gid=0"",""фіз особи new!relations_name""),6,FALSE)
,
(IF
(
C2404=""юридична особа""
,
VLOOKUP"&amp;"(D2404,IMPORTRANGE(""https://docs.google.com/spreadsheets/d/14Bd19lYaqBhU8_DElYkX7l4wRkHqqCUFNJY4AfY3kHU/edit?usp=sharing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G2403" s="7" t="s">
        <v>10</v>
      </c>
      <c r="H2403" s="7">
        <v>23441</v>
      </c>
      <c r="I2403" s="8" t="str">
        <f ca="1">IFERROR(__xludf.DUMMYFUNCTION("IF
(
G2404=""фізична особа""
,
VLOOKUP(H2404,IMPORTRANGE(""https://docs.google.com/spreadsheets/d/14Bd19lYaqBhU8_DElYkX7l4wRkHqqCUFNJY4AfY3kHU/edit?usp=sharing  #gid=0"",""фіз особи new!relations_name""),6,FALSE)
,
(IF
(
G2404=""юридична особа""
,
VLOOKUP"&amp;"(H2404,IMPORTRANGE(""https://docs.google.com/spreadsheets/d/14Bd19lYaqBhU8_DElYkX7l4wRkHqqCUFNJY4AfY3kHU/edit?usp=sharing  #gid=0"",""фіз особи new!relations_name_uo""),7,FALSE)
,
)
))"),"ШАРГУНОВА Катерина Сергіївна")</f>
        <v>ШАРГУНОВА Катерина Сергіївна</v>
      </c>
      <c r="J2403" s="7" t="s">
        <v>13</v>
      </c>
    </row>
    <row r="2404" spans="1:10" ht="13.2">
      <c r="A2404" s="7">
        <v>2403</v>
      </c>
      <c r="B2404" s="7">
        <v>1</v>
      </c>
      <c r="C2404" s="7" t="s">
        <v>10</v>
      </c>
      <c r="D2404" s="7">
        <v>687</v>
      </c>
      <c r="E2404" s="7" t="s">
        <v>14</v>
      </c>
      <c r="F2404" s="8" t="str">
        <f ca="1">IFERROR(__xludf.DUMMYFUNCTION("IF
(
C2405=""фізична особа""
,
VLOOKUP(D2405,IMPORTRANGE(""https://docs.google.com/spreadsheets/d/14Bd19lYaqBhU8_DElYkX7l4wRkHqqCUFNJY4AfY3kHU/edit?usp=sharing  #gid=0"",""фіз особи new!relations_name""),6,FALSE)
,
(IF
(
C2405=""юридична особа""
,
VLOOKUP"&amp;"(D2405,IMPORTRANGE(""https://docs.google.com/spreadsheets/d/14Bd19lYaqBhU8_DElYkX7l4wRkHqqCUFNJY4AfY3kHU/edit?usp=sharing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G2404" s="7" t="s">
        <v>10</v>
      </c>
      <c r="H2404" s="7">
        <v>15502</v>
      </c>
      <c r="I2404" s="8" t="str">
        <f ca="1">IFERROR(__xludf.DUMMYFUNCTION("IF
(
G2405=""фізична особа""
,
VLOOKUP(H2405,IMPORTRANGE(""https://docs.google.com/spreadsheets/d/14Bd19lYaqBhU8_DElYkX7l4wRkHqqCUFNJY4AfY3kHU/edit?usp=sharing  #gid=0"",""фіз особи new!relations_name""),6,FALSE)
,
(IF
(
G2405=""юридична особа""
,
VLOOKUP"&amp;"(H2405,IMPORTRANGE(""https://docs.google.com/spreadsheets/d/14Bd19lYaqBhU8_DElYkX7l4wRkHqqCUFNJY4AfY3kHU/edit?usp=sharing  #gid=0"",""фіз особи new!relations_name_uo""),7,FALSE)
,
)
))"),"ТОЛСТАЯ Анастасія Володимирівна")</f>
        <v>ТОЛСТАЯ Анастасія Володимирівна</v>
      </c>
      <c r="J2404" s="7" t="s">
        <v>15</v>
      </c>
    </row>
    <row r="2405" spans="1:10" ht="13.2">
      <c r="A2405" s="7">
        <v>2404</v>
      </c>
      <c r="B2405" s="7">
        <v>1</v>
      </c>
      <c r="C2405" s="7" t="s">
        <v>10</v>
      </c>
      <c r="D2405" s="7">
        <v>687</v>
      </c>
      <c r="E2405" s="7" t="s">
        <v>26</v>
      </c>
      <c r="F2405" s="8" t="str">
        <f ca="1">IFERROR(__xludf.DUMMYFUNCTION("IF
(
C2406=""фізична особа""
,
VLOOKUP(D2406,IMPORTRANGE(""https://docs.google.com/spreadsheets/d/14Bd19lYaqBhU8_DElYkX7l4wRkHqqCUFNJY4AfY3kHU/edit?usp=sharing  #gid=0"",""фіз особи new!relations_name""),6,FALSE)
,
(IF
(
C2406=""юридична особа""
,
VLOOKUP"&amp;"(D2406,IMPORTRANGE(""https://docs.google.com/spreadsheets/d/14Bd19lYaqBhU8_DElYkX7l4wRkHqqCUFNJY4AfY3kHU/edit?usp=sharing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G2405" s="7" t="s">
        <v>10</v>
      </c>
      <c r="H2405" s="7">
        <v>2466</v>
      </c>
      <c r="I2405" s="8" t="str">
        <f ca="1">IFERROR(__xludf.DUMMYFUNCTION("IF
(
G2406=""фізична особа""
,
VLOOKUP(H2406,IMPORTRANGE(""https://docs.google.com/spreadsheets/d/14Bd19lYaqBhU8_DElYkX7l4wRkHqqCUFNJY4AfY3kHU/edit?usp=sharing  #gid=0"",""фіз особи new!relations_name""),6,FALSE)
,
(IF
(
G2406=""юридична особа""
,
VLOOKUP"&amp;"(H2406,IMPORTRANGE(""https://docs.google.com/spreadsheets/d/14Bd19lYaqBhU8_DElYkX7l4wRkHqqCUFNJY4AfY3kHU/edit?usp=sharing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J2405" s="7" t="s">
        <v>24</v>
      </c>
    </row>
    <row r="2406" spans="1:10" ht="13.2">
      <c r="A2406" s="7">
        <v>2405</v>
      </c>
      <c r="B2406" s="7">
        <v>1</v>
      </c>
      <c r="C2406" s="7" t="s">
        <v>10</v>
      </c>
      <c r="D2406" s="7">
        <v>688</v>
      </c>
      <c r="E2406" s="7" t="s">
        <v>14</v>
      </c>
      <c r="F2406" s="8" t="str">
        <f ca="1">IFERROR(__xludf.DUMMYFUNCTION("IF
(
C2407=""фізична особа""
,
VLOOKUP(D2407,IMPORTRANGE(""https://docs.google.com/spreadsheets/d/14Bd19lYaqBhU8_DElYkX7l4wRkHqqCUFNJY4AfY3kHU/edit?usp=sharing  #gid=0"",""фіз особи new!relations_name""),6,FALSE)
,
(IF
(
C2407=""юридична особа""
,
VLOOKUP"&amp;"(D2407,IMPORTRANGE(""https://docs.google.com/spreadsheets/d/14Bd19lYaqBhU8_DElYkX7l4wRkHqqCUFNJY4AfY3kHU/edit?usp=sharing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06" s="7" t="s">
        <v>10</v>
      </c>
      <c r="H2406" s="7">
        <v>15503</v>
      </c>
      <c r="I2406" s="8" t="str">
        <f ca="1">IFERROR(__xludf.DUMMYFUNCTION("IF
(
G2407=""фізична особа""
,
VLOOKUP(H2407,IMPORTRANGE(""https://docs.google.com/spreadsheets/d/14Bd19lYaqBhU8_DElYkX7l4wRkHqqCUFNJY4AfY3kHU/edit?usp=sharing  #gid=0"",""фіз особи new!relations_name""),6,FALSE)
,
(IF
(
G2407=""юридична особа""
,
VLOOKUP"&amp;"(H2407,IMPORTRANGE(""https://docs.google.com/spreadsheets/d/14Bd19lYaqBhU8_DElYkX7l4wRkHqqCUFNJY4AfY3kHU/edit?usp=sharing  #gid=0"",""фіз особи new!relations_name_uo""),7,FALSE)
,
)
))"),"АРЖАКОВСЬКА Софія Андріївна")</f>
        <v>АРЖАКОВСЬКА Софія Андріївна</v>
      </c>
      <c r="J2406" s="7" t="s">
        <v>15</v>
      </c>
    </row>
    <row r="2407" spans="1:10" ht="13.2">
      <c r="A2407" s="7">
        <v>2406</v>
      </c>
      <c r="B2407" s="7">
        <v>1</v>
      </c>
      <c r="C2407" s="7" t="s">
        <v>10</v>
      </c>
      <c r="D2407" s="7">
        <v>688</v>
      </c>
      <c r="E2407" s="7" t="s">
        <v>12</v>
      </c>
      <c r="F2407" s="8" t="str">
        <f ca="1">IFERROR(__xludf.DUMMYFUNCTION("IF
(
C2408=""фізична особа""
,
VLOOKUP(D2408,IMPORTRANGE(""https://docs.google.com/spreadsheets/d/14Bd19lYaqBhU8_DElYkX7l4wRkHqqCUFNJY4AfY3kHU/edit?usp=sharing  #gid=0"",""фіз особи new!relations_name""),6,FALSE)
,
(IF
(
C2408=""юридична особа""
,
VLOOKUP"&amp;"(D2408,IMPORTRANGE(""https://docs.google.com/spreadsheets/d/14Bd19lYaqBhU8_DElYkX7l4wRkHqqCUFNJY4AfY3kHU/edit?usp=sharing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07" s="7" t="s">
        <v>10</v>
      </c>
      <c r="H2407" s="7">
        <v>15505</v>
      </c>
      <c r="I2407" s="8" t="str">
        <f ca="1">IFERROR(__xludf.DUMMYFUNCTION("IF
(
G2408=""фізична особа""
,
VLOOKUP(H2408,IMPORTRANGE(""https://docs.google.com/spreadsheets/d/14Bd19lYaqBhU8_DElYkX7l4wRkHqqCUFNJY4AfY3kHU/edit?usp=sharing  #gid=0"",""фіз особи new!relations_name""),6,FALSE)
,
(IF
(
G2408=""юридична особа""
,
VLOOKUP"&amp;"(H2408,IMPORTRANGE(""https://docs.google.com/spreadsheets/d/14Bd19lYaqBhU8_DElYkX7l4wRkHqqCUFNJY4AfY3kHU/edit?usp=sharing  #gid=0"",""фіз особи new!relations_name_uo""),7,FALSE)
,
)
))"),"ЧЕРНОВА Маргарита Сергіївна")</f>
        <v>ЧЕРНОВА Маргарита Сергіївна</v>
      </c>
      <c r="J2407" s="7" t="s">
        <v>13</v>
      </c>
    </row>
    <row r="2408" spans="1:10" ht="13.2">
      <c r="A2408" s="7">
        <v>2407</v>
      </c>
      <c r="B2408" s="7">
        <v>1</v>
      </c>
      <c r="C2408" s="7" t="s">
        <v>10</v>
      </c>
      <c r="D2408" s="7">
        <v>688</v>
      </c>
      <c r="E2408" s="7" t="s">
        <v>19</v>
      </c>
      <c r="F2408" s="8" t="str">
        <f ca="1">IFERROR(__xludf.DUMMYFUNCTION("IF
(
C2409=""фізична особа""
,
VLOOKUP(D2409,IMPORTRANGE(""https://docs.google.com/spreadsheets/d/14Bd19lYaqBhU8_DElYkX7l4wRkHqqCUFNJY4AfY3kHU/edit?usp=sharing  #gid=0"",""фіз особи new!relations_name""),6,FALSE)
,
(IF
(
C2409=""юридична особа""
,
VLOOKUP"&amp;"(D2409,IMPORTRANGE(""https://docs.google.com/spreadsheets/d/14Bd19lYaqBhU8_DElYkX7l4wRkHqqCUFNJY4AfY3kHU/edit?usp=sharing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08" s="7" t="s">
        <v>10</v>
      </c>
      <c r="H2408" s="7">
        <v>15507</v>
      </c>
      <c r="I2408" s="8" t="str">
        <f ca="1">IFERROR(__xludf.DUMMYFUNCTION("IF
(
G2409=""фізична особа""
,
VLOOKUP(H2409,IMPORTRANGE(""https://docs.google.com/spreadsheets/d/14Bd19lYaqBhU8_DElYkX7l4wRkHqqCUFNJY4AfY3kHU/edit?usp=sharing  #gid=0"",""фіз особи new!relations_name""),6,FALSE)
,
(IF
(
G2409=""юридична особа""
,
VLOOKUP"&amp;"(H2409,IMPORTRANGE(""https://docs.google.com/spreadsheets/d/14Bd19lYaqBhU8_DElYkX7l4wRkHqqCUFNJY4AfY3kHU/edit?usp=sharing  #gid=0"",""фіз особи new!relations_name_uo""),7,FALSE)
,
)
))"),"ВЕРЕМЄЄНКО Ірина Олександрівна")</f>
        <v>ВЕРЕМЄЄНКО Ірина Олександрівна</v>
      </c>
      <c r="J2408" s="7" t="s">
        <v>22</v>
      </c>
    </row>
    <row r="2409" spans="1:10" ht="13.2">
      <c r="A2409" s="7">
        <v>2408</v>
      </c>
      <c r="B2409" s="7">
        <v>1</v>
      </c>
      <c r="C2409" s="7" t="s">
        <v>10</v>
      </c>
      <c r="D2409" s="7">
        <v>688</v>
      </c>
      <c r="E2409" s="7" t="s">
        <v>12</v>
      </c>
      <c r="F2409" s="8" t="str">
        <f ca="1">IFERROR(__xludf.DUMMYFUNCTION("IF
(
C2410=""фізична особа""
,
VLOOKUP(D2410,IMPORTRANGE(""https://docs.google.com/spreadsheets/d/14Bd19lYaqBhU8_DElYkX7l4wRkHqqCUFNJY4AfY3kHU/edit?usp=sharing  #gid=0"",""фіз особи new!relations_name""),6,FALSE)
,
(IF
(
C2410=""юридична особа""
,
VLOOKUP"&amp;"(D2410,IMPORTRANGE(""https://docs.google.com/spreadsheets/d/14Bd19lYaqBhU8_DElYkX7l4wRkHqqCUFNJY4AfY3kHU/edit?usp=sharing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09" s="7" t="s">
        <v>10</v>
      </c>
      <c r="H2409" s="7">
        <v>0</v>
      </c>
      <c r="I2409" s="8" t="str">
        <f ca="1">IFERROR(__xludf.DUMMYFUNCTION("IF
(
G2410=""фізична особа""
,
VLOOKUP(H2410,IMPORTRANGE(""https://docs.google.com/spreadsheets/d/14Bd19lYaqBhU8_DElYkX7l4wRkHqqCUFNJY4AfY3kHU/edit?usp=sharing  #gid=0"",""фіз особи new!relations_name""),6,FALSE)
,
(IF
(
G2410=""юридична особа""
,
VLOOKUP"&amp;"(H2410,IMPORTRANGE(""https://docs.google.com/spreadsheets/d/14Bd19lYaqBhU8_DElYkX7l4wRkHqqCUFNJY4AfY3kHU/edit?usp=sharing  #gid=0"",""фіз особи new!relations_name_uo""),7,FALSE)
,
)
))"),"#N/A")</f>
        <v>#N/A</v>
      </c>
      <c r="J2409" s="7" t="s">
        <v>17</v>
      </c>
    </row>
    <row r="2410" spans="1:10" ht="13.2">
      <c r="A2410" s="7">
        <v>2409</v>
      </c>
      <c r="B2410" s="7">
        <v>1</v>
      </c>
      <c r="C2410" s="7" t="s">
        <v>10</v>
      </c>
      <c r="D2410" s="7">
        <v>688</v>
      </c>
      <c r="E2410" s="7" t="s">
        <v>12</v>
      </c>
      <c r="F2410" s="8" t="str">
        <f ca="1">IFERROR(__xludf.DUMMYFUNCTION("IF
(
C2411=""фізична особа""
,
VLOOKUP(D2411,IMPORTRANGE(""https://docs.google.com/spreadsheets/d/14Bd19lYaqBhU8_DElYkX7l4wRkHqqCUFNJY4AfY3kHU/edit?usp=sharing  #gid=0"",""фіз особи new!relations_name""),6,FALSE)
,
(IF
(
C2411=""юридична особа""
,
VLOOKUP"&amp;"(D2411,IMPORTRANGE(""https://docs.google.com/spreadsheets/d/14Bd19lYaqBhU8_DElYkX7l4wRkHqqCUFNJY4AfY3kHU/edit?usp=sharing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0" s="7" t="s">
        <v>10</v>
      </c>
      <c r="H2410" s="7">
        <v>0</v>
      </c>
      <c r="I2410" s="8" t="str">
        <f ca="1">IFERROR(__xludf.DUMMYFUNCTION("IF
(
G2411=""фізична особа""
,
VLOOKUP(H2411,IMPORTRANGE(""https://docs.google.com/spreadsheets/d/14Bd19lYaqBhU8_DElYkX7l4wRkHqqCUFNJY4AfY3kHU/edit?usp=sharing  #gid=0"",""фіз особи new!relations_name""),6,FALSE)
,
(IF
(
G2411=""юридична особа""
,
VLOOKUP"&amp;"(H2411,IMPORTRANGE(""https://docs.google.com/spreadsheets/d/14Bd19lYaqBhU8_DElYkX7l4wRkHqqCUFNJY4AfY3kHU/edit?usp=sharing  #gid=0"",""фіз особи new!relations_name_uo""),7,FALSE)
,
)
))"),"#N/A")</f>
        <v>#N/A</v>
      </c>
      <c r="J2410" s="7" t="s">
        <v>17</v>
      </c>
    </row>
    <row r="2411" spans="1:10" ht="13.2">
      <c r="A2411" s="7">
        <v>2410</v>
      </c>
      <c r="B2411" s="7">
        <v>1</v>
      </c>
      <c r="C2411" s="7" t="s">
        <v>10</v>
      </c>
      <c r="D2411" s="7">
        <v>688</v>
      </c>
      <c r="E2411" s="7" t="s">
        <v>18</v>
      </c>
      <c r="F2411" s="8" t="str">
        <f ca="1">IFERROR(__xludf.DUMMYFUNCTION("IF
(
C2412=""фізична особа""
,
VLOOKUP(D2412,IMPORTRANGE(""https://docs.google.com/spreadsheets/d/14Bd19lYaqBhU8_DElYkX7l4wRkHqqCUFNJY4AfY3kHU/edit?usp=sharing  #gid=0"",""фіз особи new!relations_name""),6,FALSE)
,
(IF
(
C2412=""юридична особа""
,
VLOOKUP"&amp;"(D2412,IMPORTRANGE(""https://docs.google.com/spreadsheets/d/14Bd19lYaqBhU8_DElYkX7l4wRkHqqCUFNJY4AfY3kHU/edit?usp=sharing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1" s="7" t="s">
        <v>10</v>
      </c>
      <c r="H2411" s="7">
        <v>15504</v>
      </c>
      <c r="I2411" s="8" t="str">
        <f ca="1">IFERROR(__xludf.DUMMYFUNCTION("IF
(
G2412=""фізична особа""
,
VLOOKUP(H2412,IMPORTRANGE(""https://docs.google.com/spreadsheets/d/14Bd19lYaqBhU8_DElYkX7l4wRkHqqCUFNJY4AfY3kHU/edit?usp=sharing  #gid=0"",""фіз особи new!relations_name""),6,FALSE)
,
(IF
(
G2412=""юридична особа""
,
VLOOKUP"&amp;"(H2412,IMPORTRANGE(""https://docs.google.com/spreadsheets/d/14Bd19lYaqBhU8_DElYkX7l4wRkHqqCUFNJY4AfY3kHU/edit?usp=sharing  #gid=0"",""фіз особи new!relations_name_uo""),7,FALSE)
,
)
))"),"ВЕРЕМЄЄНКО Олександр Олексійович")</f>
        <v>ВЕРЕМЄЄНКО Олександр Олексійович</v>
      </c>
      <c r="J2411" s="7" t="s">
        <v>18</v>
      </c>
    </row>
    <row r="2412" spans="1:10" ht="13.2">
      <c r="A2412" s="7">
        <v>2411</v>
      </c>
      <c r="B2412" s="7">
        <v>1</v>
      </c>
      <c r="C2412" s="7" t="s">
        <v>10</v>
      </c>
      <c r="D2412" s="7">
        <v>688</v>
      </c>
      <c r="E2412" s="7" t="s">
        <v>12</v>
      </c>
      <c r="F2412" s="8" t="str">
        <f ca="1">IFERROR(__xludf.DUMMYFUNCTION("IF
(
C2413=""фізична особа""
,
VLOOKUP(D2413,IMPORTRANGE(""https://docs.google.com/spreadsheets/d/14Bd19lYaqBhU8_DElYkX7l4wRkHqqCUFNJY4AfY3kHU/edit?usp=sharing  #gid=0"",""фіз особи new!relations_name""),6,FALSE)
,
(IF
(
C2413=""юридична особа""
,
VLOOKUP"&amp;"(D2413,IMPORTRANGE(""https://docs.google.com/spreadsheets/d/14Bd19lYaqBhU8_DElYkX7l4wRkHqqCUFNJY4AfY3kHU/edit?usp=sharing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2" s="7" t="s">
        <v>10</v>
      </c>
      <c r="H2412" s="7">
        <v>15506</v>
      </c>
      <c r="I2412" s="8" t="str">
        <f ca="1">IFERROR(__xludf.DUMMYFUNCTION("IF
(
G2413=""фізична особа""
,
VLOOKUP(H2413,IMPORTRANGE(""https://docs.google.com/spreadsheets/d/14Bd19lYaqBhU8_DElYkX7l4wRkHqqCUFNJY4AfY3kHU/edit?usp=sharing  #gid=0"",""фіз особи new!relations_name""),6,FALSE)
,
(IF
(
G2413=""юридична особа""
,
VLOOKUP"&amp;"(H2413,IMPORTRANGE(""https://docs.google.com/spreadsheets/d/14Bd19lYaqBhU8_DElYkX7l4wRkHqqCUFNJY4AfY3kHU/edit?usp=sharing  #gid=0"",""фіз особи new!relations_name_uo""),7,FALSE)
,
)
))"),"ВЕРЕМЄЄНКО Серафима Сергіївна")</f>
        <v>ВЕРЕМЄЄНКО Серафима Сергіївна</v>
      </c>
      <c r="J2412" s="7" t="s">
        <v>13</v>
      </c>
    </row>
    <row r="2413" spans="1:10" ht="13.2">
      <c r="A2413" s="7">
        <v>2412</v>
      </c>
      <c r="B2413" s="7">
        <v>1</v>
      </c>
      <c r="C2413" s="7" t="s">
        <v>10</v>
      </c>
      <c r="D2413" s="7">
        <v>688</v>
      </c>
      <c r="E2413" s="7" t="s">
        <v>42</v>
      </c>
      <c r="F2413" s="8" t="str">
        <f ca="1">IFERROR(__xludf.DUMMYFUNCTION("IF
(
C2414=""фізична особа""
,
VLOOKUP(D2414,IMPORTRANGE(""https://docs.google.com/spreadsheets/d/14Bd19lYaqBhU8_DElYkX7l4wRkHqqCUFNJY4AfY3kHU/edit?usp=sharing  #gid=0"",""фіз особи new!relations_name""),6,FALSE)
,
(IF
(
C2414=""юридична особа""
,
VLOOKUP"&amp;"(D2414,IMPORTRANGE(""https://docs.google.com/spreadsheets/d/14Bd19lYaqBhU8_DElYkX7l4wRkHqqCUFNJY4AfY3kHU/edit?usp=sharing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3" s="7" t="s">
        <v>10</v>
      </c>
      <c r="H2413" s="7">
        <v>0</v>
      </c>
      <c r="I2413" s="8" t="str">
        <f ca="1">IFERROR(__xludf.DUMMYFUNCTION("IF
(
G2414=""фізична особа""
,
VLOOKUP(H2414,IMPORTRANGE(""https://docs.google.com/spreadsheets/d/14Bd19lYaqBhU8_DElYkX7l4wRkHqqCUFNJY4AfY3kHU/edit?usp=sharing  #gid=0"",""фіз особи new!relations_name""),6,FALSE)
,
(IF
(
G2414=""юридична особа""
,
VLOOKUP"&amp;"(H2414,IMPORTRANGE(""https://docs.google.com/spreadsheets/d/14Bd19lYaqBhU8_DElYkX7l4wRkHqqCUFNJY4AfY3kHU/edit?usp=sharing  #gid=0"",""фіз особи new!relations_name_uo""),7,FALSE)
,
)
))"),"#N/A")</f>
        <v>#N/A</v>
      </c>
      <c r="J2413" s="7" t="s">
        <v>43</v>
      </c>
    </row>
    <row r="2414" spans="1:10" ht="13.2">
      <c r="A2414" s="7">
        <v>2413</v>
      </c>
      <c r="B2414" s="7">
        <v>1</v>
      </c>
      <c r="C2414" s="7" t="s">
        <v>10</v>
      </c>
      <c r="D2414" s="7">
        <v>688</v>
      </c>
      <c r="E2414" s="7" t="s">
        <v>42</v>
      </c>
      <c r="F2414" s="8" t="str">
        <f ca="1">IFERROR(__xludf.DUMMYFUNCTION("IF
(
C2415=""фізична особа""
,
VLOOKUP(D2415,IMPORTRANGE(""https://docs.google.com/spreadsheets/d/14Bd19lYaqBhU8_DElYkX7l4wRkHqqCUFNJY4AfY3kHU/edit?usp=sharing  #gid=0"",""фіз особи new!relations_name""),6,FALSE)
,
(IF
(
C2415=""юридична особа""
,
VLOOKUP"&amp;"(D2415,IMPORTRANGE(""https://docs.google.com/spreadsheets/d/14Bd19lYaqBhU8_DElYkX7l4wRkHqqCUFNJY4AfY3kHU/edit?usp=sharing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4" s="7" t="s">
        <v>10</v>
      </c>
      <c r="H2414" s="7">
        <v>0</v>
      </c>
      <c r="I2414" s="8" t="str">
        <f ca="1">IFERROR(__xludf.DUMMYFUNCTION("IF
(
G2415=""фізична особа""
,
VLOOKUP(H2415,IMPORTRANGE(""https://docs.google.com/spreadsheets/d/14Bd19lYaqBhU8_DElYkX7l4wRkHqqCUFNJY4AfY3kHU/edit?usp=sharing  #gid=0"",""фіз особи new!relations_name""),6,FALSE)
,
(IF
(
G2415=""юридична особа""
,
VLOOKUP"&amp;"(H2415,IMPORTRANGE(""https://docs.google.com/spreadsheets/d/14Bd19lYaqBhU8_DElYkX7l4wRkHqqCUFNJY4AfY3kHU/edit?usp=sharing  #gid=0"",""фіз особи new!relations_name_uo""),7,FALSE)
,
)
))"),"#N/A")</f>
        <v>#N/A</v>
      </c>
      <c r="J2414" s="7" t="s">
        <v>43</v>
      </c>
    </row>
    <row r="2415" spans="1:10" ht="13.2">
      <c r="A2415" s="7">
        <v>2414</v>
      </c>
      <c r="B2415" s="7">
        <v>1</v>
      </c>
      <c r="C2415" s="7" t="s">
        <v>10</v>
      </c>
      <c r="D2415" s="7">
        <v>688</v>
      </c>
      <c r="E2415" s="7" t="s">
        <v>11</v>
      </c>
      <c r="F2415" s="8" t="str">
        <f ca="1">IFERROR(__xludf.DUMMYFUNCTION("IF
(
C2416=""фізична особа""
,
VLOOKUP(D2416,IMPORTRANGE(""https://docs.google.com/spreadsheets/d/14Bd19lYaqBhU8_DElYkX7l4wRkHqqCUFNJY4AfY3kHU/edit?usp=sharing  #gid=0"",""фіз особи new!relations_name""),6,FALSE)
,
(IF
(
C2416=""юридична особа""
,
VLOOKUP"&amp;"(D2416,IMPORTRANGE(""https://docs.google.com/spreadsheets/d/14Bd19lYaqBhU8_DElYkX7l4wRkHqqCUFNJY4AfY3kHU/edit?usp=sharing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5" s="7" t="s">
        <v>10</v>
      </c>
      <c r="H2415" s="7">
        <v>0</v>
      </c>
      <c r="I2415" s="8" t="str">
        <f ca="1">IFERROR(__xludf.DUMMYFUNCTION("IF
(
G2416=""фізична особа""
,
VLOOKUP(H2416,IMPORTRANGE(""https://docs.google.com/spreadsheets/d/14Bd19lYaqBhU8_DElYkX7l4wRkHqqCUFNJY4AfY3kHU/edit?usp=sharing  #gid=0"",""фіз особи new!relations_name""),6,FALSE)
,
(IF
(
G2416=""юридична особа""
,
VLOOKUP"&amp;"(H2416,IMPORTRANGE(""https://docs.google.com/spreadsheets/d/14Bd19lYaqBhU8_DElYkX7l4wRkHqqCUFNJY4AfY3kHU/edit?usp=sharing  #gid=0"",""фіз особи new!relations_name_uo""),7,FALSE)
,
)
))"),"#N/A")</f>
        <v>#N/A</v>
      </c>
      <c r="J2415" s="7" t="s">
        <v>11</v>
      </c>
    </row>
    <row r="2416" spans="1:10" ht="13.2">
      <c r="A2416" s="7">
        <v>2415</v>
      </c>
      <c r="B2416" s="7">
        <v>1</v>
      </c>
      <c r="C2416" s="7" t="s">
        <v>10</v>
      </c>
      <c r="D2416" s="7">
        <v>688</v>
      </c>
      <c r="E2416" s="7" t="s">
        <v>11</v>
      </c>
      <c r="F2416" s="8" t="str">
        <f ca="1">IFERROR(__xludf.DUMMYFUNCTION("IF
(
C2417=""фізична особа""
,
VLOOKUP(D2417,IMPORTRANGE(""https://docs.google.com/spreadsheets/d/14Bd19lYaqBhU8_DElYkX7l4wRkHqqCUFNJY4AfY3kHU/edit?usp=sharing  #gid=0"",""фіз особи new!relations_name""),6,FALSE)
,
(IF
(
C2417=""юридична особа""
,
VLOOKUP"&amp;"(D2417,IMPORTRANGE(""https://docs.google.com/spreadsheets/d/14Bd19lYaqBhU8_DElYkX7l4wRkHqqCUFNJY4AfY3kHU/edit?usp=sharing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6" s="7" t="s">
        <v>10</v>
      </c>
      <c r="H2416" s="7">
        <v>0</v>
      </c>
      <c r="I2416" s="8" t="str">
        <f ca="1">IFERROR(__xludf.DUMMYFUNCTION("IF
(
G2417=""фізична особа""
,
VLOOKUP(H2417,IMPORTRANGE(""https://docs.google.com/spreadsheets/d/14Bd19lYaqBhU8_DElYkX7l4wRkHqqCUFNJY4AfY3kHU/edit?usp=sharing  #gid=0"",""фіз особи new!relations_name""),6,FALSE)
,
(IF
(
G2417=""юридична особа""
,
VLOOKUP"&amp;"(H2417,IMPORTRANGE(""https://docs.google.com/spreadsheets/d/14Bd19lYaqBhU8_DElYkX7l4wRkHqqCUFNJY4AfY3kHU/edit?usp=sharing  #gid=0"",""фіз особи new!relations_name_uo""),7,FALSE)
,
)
))"),"#N/A")</f>
        <v>#N/A</v>
      </c>
      <c r="J2416" s="7" t="s">
        <v>11</v>
      </c>
    </row>
    <row r="2417" spans="1:10" ht="13.2">
      <c r="A2417" s="7">
        <v>2416</v>
      </c>
      <c r="B2417" s="7">
        <v>1</v>
      </c>
      <c r="C2417" s="7" t="s">
        <v>10</v>
      </c>
      <c r="D2417" s="7">
        <v>688</v>
      </c>
      <c r="E2417" s="7" t="s">
        <v>11</v>
      </c>
      <c r="F2417" s="8" t="str">
        <f ca="1">IFERROR(__xludf.DUMMYFUNCTION("IF
(
C2418=""фізична особа""
,
VLOOKUP(D2418,IMPORTRANGE(""https://docs.google.com/spreadsheets/d/14Bd19lYaqBhU8_DElYkX7l4wRkHqqCUFNJY4AfY3kHU/edit?usp=sharing  #gid=0"",""фіз особи new!relations_name""),6,FALSE)
,
(IF
(
C2418=""юридична особа""
,
VLOOKUP"&amp;"(D2418,IMPORTRANGE(""https://docs.google.com/spreadsheets/d/14Bd19lYaqBhU8_DElYkX7l4wRkHqqCUFNJY4AfY3kHU/edit?usp=sharing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G2417" s="7" t="s">
        <v>10</v>
      </c>
      <c r="H2417" s="7">
        <v>0</v>
      </c>
      <c r="I2417" s="8" t="str">
        <f ca="1">IFERROR(__xludf.DUMMYFUNCTION("IF
(
G2418=""фізична особа""
,
VLOOKUP(H2418,IMPORTRANGE(""https://docs.google.com/spreadsheets/d/14Bd19lYaqBhU8_DElYkX7l4wRkHqqCUFNJY4AfY3kHU/edit?usp=sharing  #gid=0"",""фіз особи new!relations_name""),6,FALSE)
,
(IF
(
G2418=""юридична особа""
,
VLOOKUP"&amp;"(H2418,IMPORTRANGE(""https://docs.google.com/spreadsheets/d/14Bd19lYaqBhU8_DElYkX7l4wRkHqqCUFNJY4AfY3kHU/edit?usp=sharing  #gid=0"",""фіз особи new!relations_name_uo""),7,FALSE)
,
)
))"),"#N/A")</f>
        <v>#N/A</v>
      </c>
      <c r="J2417" s="7" t="s">
        <v>11</v>
      </c>
    </row>
    <row r="2418" spans="1:10" ht="13.2">
      <c r="A2418" s="7">
        <v>2417</v>
      </c>
      <c r="B2418" s="7">
        <v>1</v>
      </c>
      <c r="C2418" s="7" t="s">
        <v>10</v>
      </c>
      <c r="D2418" s="7">
        <v>690</v>
      </c>
      <c r="E2418" s="7" t="s">
        <v>14</v>
      </c>
      <c r="F2418" s="8" t="str">
        <f ca="1">IFERROR(__xludf.DUMMYFUNCTION("IF
(
C2419=""фізична особа""
,
VLOOKUP(D2419,IMPORTRANGE(""https://docs.google.com/spreadsheets/d/14Bd19lYaqBhU8_DElYkX7l4wRkHqqCUFNJY4AfY3kHU/edit?usp=sharing  #gid=0"",""фіз особи new!relations_name""),6,FALSE)
,
(IF
(
C2419=""юридична особа""
,
VLOOKUP"&amp;"(D2419,IMPORTRANGE(""https://docs.google.com/spreadsheets/d/14Bd19lYaqBhU8_DElYkX7l4wRkHqqCUFNJY4AfY3kHU/edit?usp=sharing  #gid=0"",""фіз особи new!relations_name_uo""),7,FALSE)
,
)
))"),"НІКІТІН Олександр Валерійович")</f>
        <v>НІКІТІН Олександр Валерійович</v>
      </c>
      <c r="G2418" s="7" t="s">
        <v>10</v>
      </c>
      <c r="H2418" s="7">
        <v>8636</v>
      </c>
      <c r="I2418" s="8" t="str">
        <f ca="1">IFERROR(__xludf.DUMMYFUNCTION("IF
(
G2419=""фізична особа""
,
VLOOKUP(H2419,IMPORTRANGE(""https://docs.google.com/spreadsheets/d/14Bd19lYaqBhU8_DElYkX7l4wRkHqqCUFNJY4AfY3kHU/edit?usp=sharing  #gid=0"",""фіз особи new!relations_name""),6,FALSE)
,
(IF
(
G2419=""юридична особа""
,
VLOOKUP"&amp;"(H2419,IMPORTRANGE(""https://docs.google.com/spreadsheets/d/14Bd19lYaqBhU8_DElYkX7l4wRkHqqCUFNJY4AfY3kHU/edit?usp=sharing  #gid=0"",""фіз особи new!relations_name_uo""),7,FALSE)
,
)
))"),"НІКІТІНА Тетяна")</f>
        <v>НІКІТІНА Тетяна</v>
      </c>
      <c r="J2418" s="7" t="s">
        <v>15</v>
      </c>
    </row>
    <row r="2419" spans="1:10" ht="13.2">
      <c r="A2419" s="7">
        <v>2418</v>
      </c>
      <c r="B2419" s="7">
        <v>1</v>
      </c>
      <c r="C2419" s="7" t="s">
        <v>10</v>
      </c>
      <c r="D2419" s="7">
        <v>690</v>
      </c>
      <c r="E2419" s="7" t="s">
        <v>12</v>
      </c>
      <c r="F2419" s="8" t="str">
        <f ca="1">IFERROR(__xludf.DUMMYFUNCTION("IF
(
C2420=""фізична особа""
,
VLOOKUP(D2420,IMPORTRANGE(""https://docs.google.com/spreadsheets/d/14Bd19lYaqBhU8_DElYkX7l4wRkHqqCUFNJY4AfY3kHU/edit?usp=sharing  #gid=0"",""фіз особи new!relations_name""),6,FALSE)
,
(IF
(
C2420=""юридична особа""
,
VLOOKUP"&amp;"(D2420,IMPORTRANGE(""https://docs.google.com/spreadsheets/d/14Bd19lYaqBhU8_DElYkX7l4wRkHqqCUFNJY4AfY3kHU/edit?usp=sharing  #gid=0"",""фіз особи new!relations_name_uo""),7,FALSE)
,
)
))"),"НІКІТІН Олександр Валерійович")</f>
        <v>НІКІТІН Олександр Валерійович</v>
      </c>
      <c r="G2419" s="7" t="s">
        <v>10</v>
      </c>
      <c r="H2419" s="7">
        <v>23442</v>
      </c>
      <c r="I2419" s="8" t="str">
        <f ca="1">IFERROR(__xludf.DUMMYFUNCTION("IF
(
G2420=""фізична особа""
,
VLOOKUP(H2420,IMPORTRANGE(""https://docs.google.com/spreadsheets/d/14Bd19lYaqBhU8_DElYkX7l4wRkHqqCUFNJY4AfY3kHU/edit?usp=sharing  #gid=0"",""фіз особи new!relations_name""),6,FALSE)
,
(IF
(
G2420=""юридична особа""
,
VLOOKUP"&amp;"(H2420,IMPORTRANGE(""https://docs.google.com/spreadsheets/d/14Bd19lYaqBhU8_DElYkX7l4wRkHqqCUFNJY4AfY3kHU/edit?usp=sharing  #gid=0"",""фіз особи new!relations_name_uo""),7,FALSE)
,
)
))"),"НІКІТІНА Вікторія Олександрівна")</f>
        <v>НІКІТІНА Вікторія Олександрівна</v>
      </c>
      <c r="J2419" s="7" t="s">
        <v>13</v>
      </c>
    </row>
    <row r="2420" spans="1:10" ht="13.2">
      <c r="A2420" s="7">
        <v>2419</v>
      </c>
      <c r="B2420" s="7">
        <v>1</v>
      </c>
      <c r="C2420" s="7" t="s">
        <v>10</v>
      </c>
      <c r="D2420" s="7">
        <v>691</v>
      </c>
      <c r="E2420" s="7" t="s">
        <v>28</v>
      </c>
      <c r="F2420" s="8" t="str">
        <f ca="1">IFERROR(__xludf.DUMMYFUNCTION("IF
(
C2421=""фізична особа""
,
VLOOKUP(D2421,IMPORTRANGE(""https://docs.google.com/spreadsheets/d/14Bd19lYaqBhU8_DElYkX7l4wRkHqqCUFNJY4AfY3kHU/edit?usp=sharing  #gid=0"",""фіз особи new!relations_name""),6,FALSE)
,
(IF
(
C2421=""юридична особа""
,
VLOOKUP"&amp;"(D2421,IMPORTRANGE(""https://docs.google.com/spreadsheets/d/14Bd19lYaqBhU8_DElYkX7l4wRkHqqCUFNJY4AfY3kHU/edit?usp=sharing  #gid=0"",""фіз особи new!relations_name_uo""),7,FALSE)
,
)
))"),"МАРТИНОВ Сергій Олександрович")</f>
        <v>МАРТИНОВ Сергій Олександрович</v>
      </c>
      <c r="G2420" s="7" t="s">
        <v>10</v>
      </c>
      <c r="H2420" s="7">
        <v>430</v>
      </c>
      <c r="I2420" s="8" t="str">
        <f ca="1">IFERROR(__xludf.DUMMYFUNCTION("IF
(
G2421=""фізична особа""
,
VLOOKUP(H2421,IMPORTRANGE(""https://docs.google.com/spreadsheets/d/14Bd19lYaqBhU8_DElYkX7l4wRkHqqCUFNJY4AfY3kHU/edit?usp=sharing  #gid=0"",""фіз особи new!relations_name""),6,FALSE)
,
(IF
(
G2421=""юридична особа""
,
VLOOKUP"&amp;"(H2421,IMPORTRANGE(""https://docs.google.com/spreadsheets/d/14Bd19lYaqBhU8_DElYkX7l4wRkHqqCUFNJY4AfY3kHU/edit?usp=sharing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2420" s="7" t="s">
        <v>29</v>
      </c>
    </row>
    <row r="2421" spans="1:10" ht="13.2">
      <c r="A2421" s="7">
        <v>2420</v>
      </c>
      <c r="B2421" s="7">
        <v>1</v>
      </c>
      <c r="C2421" s="7" t="s">
        <v>10</v>
      </c>
      <c r="D2421" s="7">
        <v>692</v>
      </c>
      <c r="E2421" s="7" t="s">
        <v>48</v>
      </c>
      <c r="F2421" s="8" t="str">
        <f ca="1">IFERROR(__xludf.DUMMYFUNCTION("IF
(
C2422=""фізична особа""
,
VLOOKUP(D2422,IMPORTRANGE(""https://docs.google.com/spreadsheets/d/14Bd19lYaqBhU8_DElYkX7l4wRkHqqCUFNJY4AfY3kHU/edit?usp=sharing  #gid=0"",""фіз особи new!relations_name""),6,FALSE)
,
(IF
(
C2422=""юридична особа""
,
VLOOKUP"&amp;"(D2422,IMPORTRANGE(""https://docs.google.com/spreadsheets/d/14Bd19lYaqBhU8_DElYkX7l4wRkHqqCUFNJY4AfY3kHU/edit?usp=sharing  #gid=0"",""фіз особи new!relations_name_uo""),7,FALSE)
,
)
))"),"ПАХОМОВ Сергій Олександрович")</f>
        <v>ПАХОМОВ Сергій Олександрович</v>
      </c>
      <c r="G2421" s="7" t="s">
        <v>10</v>
      </c>
      <c r="H2421" s="7">
        <v>23443</v>
      </c>
      <c r="I2421" s="8" t="str">
        <f ca="1">IFERROR(__xludf.DUMMYFUNCTION("IF
(
G2422=""фізична особа""
,
VLOOKUP(H2422,IMPORTRANGE(""https://docs.google.com/spreadsheets/d/14Bd19lYaqBhU8_DElYkX7l4wRkHqqCUFNJY4AfY3kHU/edit?usp=sharing  #gid=0"",""фіз особи new!relations_name""),6,FALSE)
,
(IF
(
G2422=""юридична особа""
,
VLOOKUP"&amp;"(H2422,IMPORTRANGE(""https://docs.google.com/spreadsheets/d/14Bd19lYaqBhU8_DElYkX7l4wRkHqqCUFNJY4AfY3kHU/edit?usp=sharing  #gid=0"",""фіз особи new!relations_name_uo""),7,FALSE)
,
)
))"),"МЕНЬ Михайло Олександрович")</f>
        <v>МЕНЬ Михайло Олександрович</v>
      </c>
      <c r="J2421" s="7" t="s">
        <v>48</v>
      </c>
    </row>
    <row r="2422" spans="1:10" ht="13.2">
      <c r="A2422" s="7">
        <v>2421</v>
      </c>
      <c r="B2422" s="7">
        <v>1</v>
      </c>
      <c r="C2422" s="7" t="s">
        <v>10</v>
      </c>
      <c r="D2422" s="7">
        <v>692</v>
      </c>
      <c r="E2422" s="7" t="s">
        <v>48</v>
      </c>
      <c r="F2422" s="8" t="str">
        <f ca="1">IFERROR(__xludf.DUMMYFUNCTION("IF
(
C2423=""фізична особа""
,
VLOOKUP(D2423,IMPORTRANGE(""https://docs.google.com/spreadsheets/d/14Bd19lYaqBhU8_DElYkX7l4wRkHqqCUFNJY4AfY3kHU/edit?usp=sharing  #gid=0"",""фіз особи new!relations_name""),6,FALSE)
,
(IF
(
C2423=""юридична особа""
,
VLOOKUP"&amp;"(D2423,IMPORTRANGE(""https://docs.google.com/spreadsheets/d/14Bd19lYaqBhU8_DElYkX7l4wRkHqqCUFNJY4AfY3kHU/edit?usp=sharing  #gid=0"",""фіз особи new!relations_name_uo""),7,FALSE)
,
)
))"),"ПАХОМОВ Сергій Олександрович")</f>
        <v>ПАХОМОВ Сергій Олександрович</v>
      </c>
      <c r="G2422" s="7" t="s">
        <v>10</v>
      </c>
      <c r="H2422" s="7">
        <v>899</v>
      </c>
      <c r="I2422" s="8" t="str">
        <f ca="1">IFERROR(__xludf.DUMMYFUNCTION("IF
(
G2423=""фізична особа""
,
VLOOKUP(H2423,IMPORTRANGE(""https://docs.google.com/spreadsheets/d/14Bd19lYaqBhU8_DElYkX7l4wRkHqqCUFNJY4AfY3kHU/edit?usp=sharing  #gid=0"",""фіз особи new!relations_name""),6,FALSE)
,
(IF
(
G2423=""юридична особа""
,
VLOOKUP"&amp;"(H2423,IMPORTRANGE(""https://docs.google.com/spreadsheets/d/14Bd19lYaqBhU8_DElYkX7l4wRkHqqCUFNJY4AfY3kHU/edit?usp=sharing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2422" s="7" t="s">
        <v>48</v>
      </c>
    </row>
    <row r="2423" spans="1:10" ht="13.2">
      <c r="A2423" s="7">
        <v>2422</v>
      </c>
      <c r="B2423" s="7">
        <v>1</v>
      </c>
      <c r="C2423" s="7" t="s">
        <v>10</v>
      </c>
      <c r="D2423" s="7">
        <v>692</v>
      </c>
      <c r="E2423" s="7" t="s">
        <v>48</v>
      </c>
      <c r="F2423" s="8" t="str">
        <f ca="1">IFERROR(__xludf.DUMMYFUNCTION("IF
(
C2424=""фізична особа""
,
VLOOKUP(D2424,IMPORTRANGE(""https://docs.google.com/spreadsheets/d/14Bd19lYaqBhU8_DElYkX7l4wRkHqqCUFNJY4AfY3kHU/edit?usp=sharing  #gid=0"",""фіз особи new!relations_name""),6,FALSE)
,
(IF
(
C2424=""юридична особа""
,
VLOOKUP"&amp;"(D2424,IMPORTRANGE(""https://docs.google.com/spreadsheets/d/14Bd19lYaqBhU8_DElYkX7l4wRkHqqCUFNJY4AfY3kHU/edit?usp=sharing  #gid=0"",""фіз особи new!relations_name_uo""),7,FALSE)
,
)
))"),"ПАХОМОВ Сергій Олександрович")</f>
        <v>ПАХОМОВ Сергій Олександрович</v>
      </c>
      <c r="G2423" s="7" t="s">
        <v>10</v>
      </c>
      <c r="H2423" s="7">
        <v>654</v>
      </c>
      <c r="I2423" s="8" t="str">
        <f ca="1">IFERROR(__xludf.DUMMYFUNCTION("IF
(
G2424=""фізична особа""
,
VLOOKUP(H2424,IMPORTRANGE(""https://docs.google.com/spreadsheets/d/14Bd19lYaqBhU8_DElYkX7l4wRkHqqCUFNJY4AfY3kHU/edit?usp=sharing  #gid=0"",""фіз особи new!relations_name""),6,FALSE)
,
(IF
(
G2424=""юридична особа""
,
VLOOKUP"&amp;"(H2424,IMPORTRANGE(""https://docs.google.com/spreadsheets/d/14Bd19lYaqBhU8_DElYkX7l4wRkHqqCUFNJY4AfY3kHU/edit?usp=sharing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2423" s="7" t="s">
        <v>48</v>
      </c>
    </row>
    <row r="2424" spans="1:10" ht="13.2">
      <c r="A2424" s="7">
        <v>2423</v>
      </c>
      <c r="B2424" s="7">
        <v>1</v>
      </c>
      <c r="C2424" s="7" t="s">
        <v>10</v>
      </c>
      <c r="D2424" s="7">
        <v>692</v>
      </c>
      <c r="E2424" s="7" t="s">
        <v>48</v>
      </c>
      <c r="F2424" s="8" t="str">
        <f ca="1">IFERROR(__xludf.DUMMYFUNCTION("IF
(
C2425=""фізична особа""
,
VLOOKUP(D2425,IMPORTRANGE(""https://docs.google.com/spreadsheets/d/14Bd19lYaqBhU8_DElYkX7l4wRkHqqCUFNJY4AfY3kHU/edit?usp=sharing  #gid=0"",""фіз особи new!relations_name""),6,FALSE)
,
(IF
(
C2425=""юридична особа""
,
VLOOKUP"&amp;"(D2425,IMPORTRANGE(""https://docs.google.com/spreadsheets/d/14Bd19lYaqBhU8_DElYkX7l4wRkHqqCUFNJY4AfY3kHU/edit?usp=sharing  #gid=0"",""фіз особи new!relations_name_uo""),7,FALSE)
,
)
))"),"ПАХОМОВ Сергій Олександрович")</f>
        <v>ПАХОМОВ Сергій Олександрович</v>
      </c>
      <c r="G2424" s="7" t="s">
        <v>10</v>
      </c>
      <c r="H2424" s="7">
        <v>0</v>
      </c>
      <c r="I2424" s="8" t="str">
        <f ca="1">IFERROR(__xludf.DUMMYFUNCTION("IF
(
G2425=""фізична особа""
,
VLOOKUP(H2425,IMPORTRANGE(""https://docs.google.com/spreadsheets/d/14Bd19lYaqBhU8_DElYkX7l4wRkHqqCUFNJY4AfY3kHU/edit?usp=sharing  #gid=0"",""фіз особи new!relations_name""),6,FALSE)
,
(IF
(
G2425=""юридична особа""
,
VLOOKUP"&amp;"(H2425,IMPORTRANGE(""https://docs.google.com/spreadsheets/d/14Bd19lYaqBhU8_DElYkX7l4wRkHqqCUFNJY4AfY3kHU/edit?usp=sharing  #gid=0"",""фіз особи new!relations_name_uo""),7,FALSE)
,
)
))"),"#N/A")</f>
        <v>#N/A</v>
      </c>
      <c r="J2424" s="7" t="s">
        <v>48</v>
      </c>
    </row>
    <row r="2425" spans="1:10" ht="13.2">
      <c r="A2425" s="7">
        <v>2424</v>
      </c>
      <c r="B2425" s="7">
        <v>1</v>
      </c>
      <c r="C2425" s="7" t="s">
        <v>10</v>
      </c>
      <c r="D2425" s="7">
        <v>693</v>
      </c>
      <c r="E2425" s="7" t="s">
        <v>48</v>
      </c>
      <c r="F2425" s="8" t="str">
        <f ca="1">IFERROR(__xludf.DUMMYFUNCTION("IF
(
C2426=""фізична особа""
,
VLOOKUP(D2426,IMPORTRANGE(""https://docs.google.com/spreadsheets/d/14Bd19lYaqBhU8_DElYkX7l4wRkHqqCUFNJY4AfY3kHU/edit?usp=sharing  #gid=0"",""фіз особи new!relations_name""),6,FALSE)
,
(IF
(
C2426=""юридична особа""
,
VLOOKUP"&amp;"(D2426,IMPORTRANGE(""https://docs.google.com/spreadsheets/d/14Bd19lYaqBhU8_DElYkX7l4wRkHqqCUFNJY4AfY3kHU/edit?usp=sharing  #gid=0"",""фіз особи new!relations_name_uo""),7,FALSE)
,
)
))"),"ГАВРІЛОВ Сергій Анатолійович")</f>
        <v>ГАВРІЛОВ Сергій Анатолійович</v>
      </c>
      <c r="G2425" s="7" t="s">
        <v>10</v>
      </c>
      <c r="H2425" s="7">
        <v>0</v>
      </c>
      <c r="I2425" s="8" t="str">
        <f ca="1">IFERROR(__xludf.DUMMYFUNCTION("IF
(
G2426=""фізична особа""
,
VLOOKUP(H2426,IMPORTRANGE(""https://docs.google.com/spreadsheets/d/14Bd19lYaqBhU8_DElYkX7l4wRkHqqCUFNJY4AfY3kHU/edit?usp=sharing  #gid=0"",""фіз особи new!relations_name""),6,FALSE)
,
(IF
(
G2426=""юридична особа""
,
VLOOKUP"&amp;"(H2426,IMPORTRANGE(""https://docs.google.com/spreadsheets/d/14Bd19lYaqBhU8_DElYkX7l4wRkHqqCUFNJY4AfY3kHU/edit?usp=sharing  #gid=0"",""фіз особи new!relations_name_uo""),7,FALSE)
,
)
))"),"#N/A")</f>
        <v>#N/A</v>
      </c>
      <c r="J2425" s="7" t="s">
        <v>48</v>
      </c>
    </row>
    <row r="2426" spans="1:10" ht="13.2">
      <c r="A2426" s="7">
        <v>2425</v>
      </c>
      <c r="B2426" s="7">
        <v>1</v>
      </c>
      <c r="C2426" s="7" t="s">
        <v>10</v>
      </c>
      <c r="D2426" s="7">
        <v>694</v>
      </c>
      <c r="E2426" s="7" t="s">
        <v>14</v>
      </c>
      <c r="F2426" s="8" t="str">
        <f ca="1">IFERROR(__xludf.DUMMYFUNCTION("IF
(
C2427=""фізична особа""
,
VLOOKUP(D2427,IMPORTRANGE(""https://docs.google.com/spreadsheets/d/14Bd19lYaqBhU8_DElYkX7l4wRkHqqCUFNJY4AfY3kHU/edit?usp=sharing  #gid=0"",""фіз особи new!relations_name""),6,FALSE)
,
(IF
(
C2427=""юридична особа""
,
VLOOKUP"&amp;"(D2427,IMPORTRANGE(""https://docs.google.com/spreadsheets/d/14Bd19lYaqBhU8_DElYkX7l4wRkHqqCUFNJY4AfY3kHU/edit?usp=sharing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26" s="7" t="s">
        <v>10</v>
      </c>
      <c r="H2426" s="7">
        <v>0</v>
      </c>
      <c r="I2426" s="8" t="str">
        <f ca="1">IFERROR(__xludf.DUMMYFUNCTION("IF
(
G2427=""фізична особа""
,
VLOOKUP(H2427,IMPORTRANGE(""https://docs.google.com/spreadsheets/d/14Bd19lYaqBhU8_DElYkX7l4wRkHqqCUFNJY4AfY3kHU/edit?usp=sharing  #gid=0"",""фіз особи new!relations_name""),6,FALSE)
,
(IF
(
G2427=""юридична особа""
,
VLOOKUP"&amp;"(H2427,IMPORTRANGE(""https://docs.google.com/spreadsheets/d/14Bd19lYaqBhU8_DElYkX7l4wRkHqqCUFNJY4AfY3kHU/edit?usp=sharing  #gid=0"",""фіз особи new!relations_name_uo""),7,FALSE)
,
)
))"),"#N/A")</f>
        <v>#N/A</v>
      </c>
      <c r="J2426" s="7" t="s">
        <v>15</v>
      </c>
    </row>
    <row r="2427" spans="1:10" ht="13.2">
      <c r="A2427" s="7">
        <v>2426</v>
      </c>
      <c r="B2427" s="7">
        <v>1</v>
      </c>
      <c r="C2427" s="7" t="s">
        <v>10</v>
      </c>
      <c r="D2427" s="7">
        <v>694</v>
      </c>
      <c r="E2427" s="7" t="s">
        <v>12</v>
      </c>
      <c r="F2427" s="8" t="str">
        <f ca="1">IFERROR(__xludf.DUMMYFUNCTION("IF
(
C2428=""фізична особа""
,
VLOOKUP(D2428,IMPORTRANGE(""https://docs.google.com/spreadsheets/d/14Bd19lYaqBhU8_DElYkX7l4wRkHqqCUFNJY4AfY3kHU/edit?usp=sharing  #gid=0"",""фіз особи new!relations_name""),6,FALSE)
,
(IF
(
C2428=""юридична особа""
,
VLOOKUP"&amp;"(D2428,IMPORTRANGE(""https://docs.google.com/spreadsheets/d/14Bd19lYaqBhU8_DElYkX7l4wRkHqqCUFNJY4AfY3kHU/edit?usp=sharing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27" s="7" t="s">
        <v>10</v>
      </c>
      <c r="H2427" s="7">
        <v>0</v>
      </c>
      <c r="I2427" s="8" t="str">
        <f ca="1">IFERROR(__xludf.DUMMYFUNCTION("IF
(
G2428=""фізична особа""
,
VLOOKUP(H2428,IMPORTRANGE(""https://docs.google.com/spreadsheets/d/14Bd19lYaqBhU8_DElYkX7l4wRkHqqCUFNJY4AfY3kHU/edit?usp=sharing  #gid=0"",""фіз особи new!relations_name""),6,FALSE)
,
(IF
(
G2428=""юридична особа""
,
VLOOKUP"&amp;"(H2428,IMPORTRANGE(""https://docs.google.com/spreadsheets/d/14Bd19lYaqBhU8_DElYkX7l4wRkHqqCUFNJY4AfY3kHU/edit?usp=sharing  #gid=0"",""фіз особи new!relations_name_uo""),7,FALSE)
,
)
))"),"#N/A")</f>
        <v>#N/A</v>
      </c>
      <c r="J2427" s="7" t="s">
        <v>13</v>
      </c>
    </row>
    <row r="2428" spans="1:10" ht="13.2">
      <c r="A2428" s="7">
        <v>2427</v>
      </c>
      <c r="B2428" s="7">
        <v>1</v>
      </c>
      <c r="C2428" s="7" t="s">
        <v>10</v>
      </c>
      <c r="D2428" s="7">
        <v>694</v>
      </c>
      <c r="E2428" s="7" t="s">
        <v>17</v>
      </c>
      <c r="F2428" s="8" t="str">
        <f ca="1">IFERROR(__xludf.DUMMYFUNCTION("IF
(
C2429=""фізична особа""
,
VLOOKUP(D2429,IMPORTRANGE(""https://docs.google.com/spreadsheets/d/14Bd19lYaqBhU8_DElYkX7l4wRkHqqCUFNJY4AfY3kHU/edit?usp=sharing  #gid=0"",""фіз особи new!relations_name""),6,FALSE)
,
(IF
(
C2429=""юридична особа""
,
VLOOKUP"&amp;"(D2429,IMPORTRANGE(""https://docs.google.com/spreadsheets/d/14Bd19lYaqBhU8_DElYkX7l4wRkHqqCUFNJY4AfY3kHU/edit?usp=sharing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28" s="7" t="s">
        <v>10</v>
      </c>
      <c r="H2428" s="7">
        <v>0</v>
      </c>
      <c r="I2428" s="8" t="str">
        <f ca="1">IFERROR(__xludf.DUMMYFUNCTION("IF
(
G2429=""фізична особа""
,
VLOOKUP(H2429,IMPORTRANGE(""https://docs.google.com/spreadsheets/d/14Bd19lYaqBhU8_DElYkX7l4wRkHqqCUFNJY4AfY3kHU/edit?usp=sharing  #gid=0"",""фіз особи new!relations_name""),6,FALSE)
,
(IF
(
G2429=""юридична особа""
,
VLOOKUP"&amp;"(H2429,IMPORTRANGE(""https://docs.google.com/spreadsheets/d/14Bd19lYaqBhU8_DElYkX7l4wRkHqqCUFNJY4AfY3kHU/edit?usp=sharing  #gid=0"",""фіз особи new!relations_name_uo""),7,FALSE)
,
)
))"),"#N/A")</f>
        <v>#N/A</v>
      </c>
      <c r="J2428" s="7" t="s">
        <v>21</v>
      </c>
    </row>
    <row r="2429" spans="1:10" ht="13.2">
      <c r="A2429" s="7">
        <v>2428</v>
      </c>
      <c r="B2429" s="7">
        <v>1</v>
      </c>
      <c r="C2429" s="7" t="s">
        <v>10</v>
      </c>
      <c r="D2429" s="7">
        <v>694</v>
      </c>
      <c r="E2429" s="7" t="s">
        <v>89</v>
      </c>
      <c r="F2429" s="8" t="str">
        <f ca="1">IFERROR(__xludf.DUMMYFUNCTION("IF
(
C2430=""фізична особа""
,
VLOOKUP(D2430,IMPORTRANGE(""https://docs.google.com/spreadsheets/d/14Bd19lYaqBhU8_DElYkX7l4wRkHqqCUFNJY4AfY3kHU/edit?usp=sharing  #gid=0"",""фіз особи new!relations_name""),6,FALSE)
,
(IF
(
C2430=""юридична особа""
,
VLOOKUP"&amp;"(D2430,IMPORTRANGE(""https://docs.google.com/spreadsheets/d/14Bd19lYaqBhU8_DElYkX7l4wRkHqqCUFNJY4AfY3kHU/edit?usp=sharing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29" s="7" t="s">
        <v>10</v>
      </c>
      <c r="H2429" s="7">
        <v>0</v>
      </c>
      <c r="I2429" s="8" t="str">
        <f ca="1">IFERROR(__xludf.DUMMYFUNCTION("IF
(
G2430=""фізична особа""
,
VLOOKUP(H2430,IMPORTRANGE(""https://docs.google.com/spreadsheets/d/14Bd19lYaqBhU8_DElYkX7l4wRkHqqCUFNJY4AfY3kHU/edit?usp=sharing  #gid=0"",""фіз особи new!relations_name""),6,FALSE)
,
(IF
(
G2430=""юридична особа""
,
VLOOKUP"&amp;"(H2430,IMPORTRANGE(""https://docs.google.com/spreadsheets/d/14Bd19lYaqBhU8_DElYkX7l4wRkHqqCUFNJY4AfY3kHU/edit?usp=sharing  #gid=0"",""фіз особи new!relations_name_uo""),7,FALSE)
,
)
))"),"#N/A")</f>
        <v>#N/A</v>
      </c>
      <c r="J2429" s="7" t="s">
        <v>89</v>
      </c>
    </row>
    <row r="2430" spans="1:10" ht="13.2">
      <c r="A2430" s="7">
        <v>2429</v>
      </c>
      <c r="B2430" s="7">
        <v>1</v>
      </c>
      <c r="C2430" s="7" t="s">
        <v>10</v>
      </c>
      <c r="D2430" s="7">
        <v>694</v>
      </c>
      <c r="E2430" s="7" t="s">
        <v>65</v>
      </c>
      <c r="F2430" s="8" t="str">
        <f ca="1">IFERROR(__xludf.DUMMYFUNCTION("IF
(
C2431=""фізична особа""
,
VLOOKUP(D2431,IMPORTRANGE(""https://docs.google.com/spreadsheets/d/14Bd19lYaqBhU8_DElYkX7l4wRkHqqCUFNJY4AfY3kHU/edit?usp=sharing  #gid=0"",""фіз особи new!relations_name""),6,FALSE)
,
(IF
(
C2431=""юридична особа""
,
VLOOKUP"&amp;"(D2431,IMPORTRANGE(""https://docs.google.com/spreadsheets/d/14Bd19lYaqBhU8_DElYkX7l4wRkHqqCUFNJY4AfY3kHU/edit?usp=sharing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0" s="7" t="s">
        <v>10</v>
      </c>
      <c r="H2430" s="7">
        <v>0</v>
      </c>
      <c r="I2430" s="8" t="str">
        <f ca="1">IFERROR(__xludf.DUMMYFUNCTION("IF
(
G2431=""фізична особа""
,
VLOOKUP(H2431,IMPORTRANGE(""https://docs.google.com/spreadsheets/d/14Bd19lYaqBhU8_DElYkX7l4wRkHqqCUFNJY4AfY3kHU/edit?usp=sharing  #gid=0"",""фіз особи new!relations_name""),6,FALSE)
,
(IF
(
G2431=""юридична особа""
,
VLOOKUP"&amp;"(H2431,IMPORTRANGE(""https://docs.google.com/spreadsheets/d/14Bd19lYaqBhU8_DElYkX7l4wRkHqqCUFNJY4AfY3kHU/edit?usp=sharing  #gid=0"",""фіз особи new!relations_name_uo""),7,FALSE)
,
)
))"),"#N/A")</f>
        <v>#N/A</v>
      </c>
      <c r="J2430" s="7" t="s">
        <v>65</v>
      </c>
    </row>
    <row r="2431" spans="1:10" ht="13.2">
      <c r="A2431" s="7">
        <v>2430</v>
      </c>
      <c r="B2431" s="7">
        <v>1</v>
      </c>
      <c r="C2431" s="7" t="s">
        <v>10</v>
      </c>
      <c r="D2431" s="7">
        <v>694</v>
      </c>
      <c r="E2431" s="7" t="s">
        <v>26</v>
      </c>
      <c r="F2431" s="8" t="str">
        <f ca="1">IFERROR(__xludf.DUMMYFUNCTION("IF
(
C2432=""фізична особа""
,
VLOOKUP(D2432,IMPORTRANGE(""https://docs.google.com/spreadsheets/d/14Bd19lYaqBhU8_DElYkX7l4wRkHqqCUFNJY4AfY3kHU/edit?usp=sharing  #gid=0"",""фіз особи new!relations_name""),6,FALSE)
,
(IF
(
C2432=""юридична особа""
,
VLOOKUP"&amp;"(D2432,IMPORTRANGE(""https://docs.google.com/spreadsheets/d/14Bd19lYaqBhU8_DElYkX7l4wRkHqqCUFNJY4AfY3kHU/edit?usp=sharing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1" s="7" t="s">
        <v>10</v>
      </c>
      <c r="H2431" s="7">
        <v>0</v>
      </c>
      <c r="I2431" s="8" t="str">
        <f ca="1">IFERROR(__xludf.DUMMYFUNCTION("IF
(
G2432=""фізична особа""
,
VLOOKUP(H2432,IMPORTRANGE(""https://docs.google.com/spreadsheets/d/14Bd19lYaqBhU8_DElYkX7l4wRkHqqCUFNJY4AfY3kHU/edit?usp=sharing  #gid=0"",""фіз особи new!relations_name""),6,FALSE)
,
(IF
(
G2432=""юридична особа""
,
VLOOKUP"&amp;"(H2432,IMPORTRANGE(""https://docs.google.com/spreadsheets/d/14Bd19lYaqBhU8_DElYkX7l4wRkHqqCUFNJY4AfY3kHU/edit?usp=sharing  #gid=0"",""фіз особи new!relations_name_uo""),7,FALSE)
,
)
))"),"#N/A")</f>
        <v>#N/A</v>
      </c>
      <c r="J2431" s="7" t="s">
        <v>67</v>
      </c>
    </row>
    <row r="2432" spans="1:10" ht="13.2">
      <c r="A2432" s="7">
        <v>2431</v>
      </c>
      <c r="B2432" s="7">
        <v>1</v>
      </c>
      <c r="C2432" s="7" t="s">
        <v>10</v>
      </c>
      <c r="D2432" s="7">
        <v>694</v>
      </c>
      <c r="E2432" s="7" t="s">
        <v>24</v>
      </c>
      <c r="F2432" s="8" t="str">
        <f ca="1">IFERROR(__xludf.DUMMYFUNCTION("IF
(
C2433=""фізична особа""
,
VLOOKUP(D2433,IMPORTRANGE(""https://docs.google.com/spreadsheets/d/14Bd19lYaqBhU8_DElYkX7l4wRkHqqCUFNJY4AfY3kHU/edit?usp=sharing  #gid=0"",""фіз особи new!relations_name""),6,FALSE)
,
(IF
(
C2433=""юридична особа""
,
VLOOKUP"&amp;"(D2433,IMPORTRANGE(""https://docs.google.com/spreadsheets/d/14Bd19lYaqBhU8_DElYkX7l4wRkHqqCUFNJY4AfY3kHU/edit?usp=sharing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2" s="7" t="s">
        <v>10</v>
      </c>
      <c r="H2432" s="7">
        <v>0</v>
      </c>
      <c r="I2432" s="8" t="str">
        <f ca="1">IFERROR(__xludf.DUMMYFUNCTION("IF
(
G2433=""фізична особа""
,
VLOOKUP(H2433,IMPORTRANGE(""https://docs.google.com/spreadsheets/d/14Bd19lYaqBhU8_DElYkX7l4wRkHqqCUFNJY4AfY3kHU/edit?usp=sharing  #gid=0"",""фіз особи new!relations_name""),6,FALSE)
,
(IF
(
G2433=""юридична особа""
,
VLOOKUP"&amp;"(H2433,IMPORTRANGE(""https://docs.google.com/spreadsheets/d/14Bd19lYaqBhU8_DElYkX7l4wRkHqqCUFNJY4AfY3kHU/edit?usp=sharing  #gid=0"",""фіз особи new!relations_name_uo""),7,FALSE)
,
)
))"),"#N/A")</f>
        <v>#N/A</v>
      </c>
      <c r="J2432" s="7" t="s">
        <v>26</v>
      </c>
    </row>
    <row r="2433" spans="1:10" ht="13.2">
      <c r="A2433" s="7">
        <v>2432</v>
      </c>
      <c r="B2433" s="7">
        <v>1</v>
      </c>
      <c r="C2433" s="7" t="s">
        <v>10</v>
      </c>
      <c r="D2433" s="7">
        <v>694</v>
      </c>
      <c r="E2433" s="7" t="s">
        <v>48</v>
      </c>
      <c r="F2433" s="8" t="str">
        <f ca="1">IFERROR(__xludf.DUMMYFUNCTION("IF
(
C2434=""фізична особа""
,
VLOOKUP(D2434,IMPORTRANGE(""https://docs.google.com/spreadsheets/d/14Bd19lYaqBhU8_DElYkX7l4wRkHqqCUFNJY4AfY3kHU/edit?usp=sharing  #gid=0"",""фіз особи new!relations_name""),6,FALSE)
,
(IF
(
C2434=""юридична особа""
,
VLOOKUP"&amp;"(D2434,IMPORTRANGE(""https://docs.google.com/spreadsheets/d/14Bd19lYaqBhU8_DElYkX7l4wRkHqqCUFNJY4AfY3kHU/edit?usp=sharing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3" s="7" t="s">
        <v>10</v>
      </c>
      <c r="H2433" s="7">
        <v>0</v>
      </c>
      <c r="I2433" s="8" t="str">
        <f ca="1">IFERROR(__xludf.DUMMYFUNCTION("IF
(
G2434=""фізична особа""
,
VLOOKUP(H2434,IMPORTRANGE(""https://docs.google.com/spreadsheets/d/14Bd19lYaqBhU8_DElYkX7l4wRkHqqCUFNJY4AfY3kHU/edit?usp=sharing  #gid=0"",""фіз особи new!relations_name""),6,FALSE)
,
(IF
(
G2434=""юридична особа""
,
VLOOKUP"&amp;"(H2434,IMPORTRANGE(""https://docs.google.com/spreadsheets/d/14Bd19lYaqBhU8_DElYkX7l4wRkHqqCUFNJY4AfY3kHU/edit?usp=sharing  #gid=0"",""фіз особи new!relations_name_uo""),7,FALSE)
,
)
))"),"#N/A")</f>
        <v>#N/A</v>
      </c>
      <c r="J2433" s="7" t="s">
        <v>48</v>
      </c>
    </row>
    <row r="2434" spans="1:10" ht="13.2">
      <c r="A2434" s="7">
        <v>2433</v>
      </c>
      <c r="B2434" s="7">
        <v>1</v>
      </c>
      <c r="C2434" s="7" t="s">
        <v>10</v>
      </c>
      <c r="D2434" s="7">
        <v>694</v>
      </c>
      <c r="E2434" s="7" t="s">
        <v>48</v>
      </c>
      <c r="F2434" s="8" t="str">
        <f ca="1">IFERROR(__xludf.DUMMYFUNCTION("IF
(
C2435=""фізична особа""
,
VLOOKUP(D2435,IMPORTRANGE(""https://docs.google.com/spreadsheets/d/14Bd19lYaqBhU8_DElYkX7l4wRkHqqCUFNJY4AfY3kHU/edit?usp=sharing  #gid=0"",""фіз особи new!relations_name""),6,FALSE)
,
(IF
(
C2435=""юридична особа""
,
VLOOKUP"&amp;"(D2435,IMPORTRANGE(""https://docs.google.com/spreadsheets/d/14Bd19lYaqBhU8_DElYkX7l4wRkHqqCUFNJY4AfY3kHU/edit?usp=sharing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4" s="7" t="s">
        <v>10</v>
      </c>
      <c r="H2434" s="7">
        <v>0</v>
      </c>
      <c r="I2434" s="8" t="str">
        <f ca="1">IFERROR(__xludf.DUMMYFUNCTION("IF
(
G2435=""фізична особа""
,
VLOOKUP(H2435,IMPORTRANGE(""https://docs.google.com/spreadsheets/d/14Bd19lYaqBhU8_DElYkX7l4wRkHqqCUFNJY4AfY3kHU/edit?usp=sharing  #gid=0"",""фіз особи new!relations_name""),6,FALSE)
,
(IF
(
G2435=""юридична особа""
,
VLOOKUP"&amp;"(H2435,IMPORTRANGE(""https://docs.google.com/spreadsheets/d/14Bd19lYaqBhU8_DElYkX7l4wRkHqqCUFNJY4AfY3kHU/edit?usp=sharing  #gid=0"",""фіз особи new!relations_name_uo""),7,FALSE)
,
)
))"),"#N/A")</f>
        <v>#N/A</v>
      </c>
      <c r="J2434" s="7" t="s">
        <v>48</v>
      </c>
    </row>
    <row r="2435" spans="1:10" ht="13.2">
      <c r="A2435" s="7">
        <v>2434</v>
      </c>
      <c r="B2435" s="7">
        <v>1</v>
      </c>
      <c r="C2435" s="7" t="s">
        <v>10</v>
      </c>
      <c r="D2435" s="7">
        <v>694</v>
      </c>
      <c r="E2435" s="7" t="s">
        <v>48</v>
      </c>
      <c r="F2435" s="8" t="str">
        <f ca="1">IFERROR(__xludf.DUMMYFUNCTION("IF
(
C2436=""фізична особа""
,
VLOOKUP(D2436,IMPORTRANGE(""https://docs.google.com/spreadsheets/d/14Bd19lYaqBhU8_DElYkX7l4wRkHqqCUFNJY4AfY3kHU/edit?usp=sharing  #gid=0"",""фіз особи new!relations_name""),6,FALSE)
,
(IF
(
C2436=""юридична особа""
,
VLOOKUP"&amp;"(D2436,IMPORTRANGE(""https://docs.google.com/spreadsheets/d/14Bd19lYaqBhU8_DElYkX7l4wRkHqqCUFNJY4AfY3kHU/edit?usp=sharing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5" s="7" t="s">
        <v>10</v>
      </c>
      <c r="H2435" s="7">
        <v>895</v>
      </c>
      <c r="I2435" s="8" t="str">
        <f ca="1">IFERROR(__xludf.DUMMYFUNCTION("IF
(
G2436=""фізична особа""
,
VLOOKUP(H2436,IMPORTRANGE(""https://docs.google.com/spreadsheets/d/14Bd19lYaqBhU8_DElYkX7l4wRkHqqCUFNJY4AfY3kHU/edit?usp=sharing  #gid=0"",""фіз особи new!relations_name""),6,FALSE)
,
(IF
(
G2436=""юридична особа""
,
VLOOKUP"&amp;"(H2436,IMPORTRANGE(""https://docs.google.com/spreadsheets/d/14Bd19lYaqBhU8_DElYkX7l4wRkHqqCUFNJY4AfY3kHU/edit?usp=sharing  #gid=0"",""фіз особи new!relations_name_uo""),7,FALSE)
,
)
))"),"МАКАРОВ В'ячеслав Серафимович")</f>
        <v>МАКАРОВ В'ячеслав Серафимович</v>
      </c>
      <c r="J2435" s="7" t="s">
        <v>48</v>
      </c>
    </row>
    <row r="2436" spans="1:10" ht="13.2">
      <c r="A2436" s="7">
        <v>2435</v>
      </c>
      <c r="B2436" s="7">
        <v>1</v>
      </c>
      <c r="C2436" s="7" t="s">
        <v>10</v>
      </c>
      <c r="D2436" s="7">
        <v>694</v>
      </c>
      <c r="E2436" s="7" t="s">
        <v>48</v>
      </c>
      <c r="F2436" s="8" t="str">
        <f ca="1">IFERROR(__xludf.DUMMYFUNCTION("IF
(
C2437=""фізична особа""
,
VLOOKUP(D2437,IMPORTRANGE(""https://docs.google.com/spreadsheets/d/14Bd19lYaqBhU8_DElYkX7l4wRkHqqCUFNJY4AfY3kHU/edit?usp=sharing  #gid=0"",""фіз особи new!relations_name""),6,FALSE)
,
(IF
(
C2437=""юридична особа""
,
VLOOKUP"&amp;"(D2437,IMPORTRANGE(""https://docs.google.com/spreadsheets/d/14Bd19lYaqBhU8_DElYkX7l4wRkHqqCUFNJY4AfY3kHU/edit?usp=sharing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6" s="7" t="s">
        <v>10</v>
      </c>
      <c r="H2436" s="7">
        <v>0</v>
      </c>
      <c r="I2436" s="8" t="str">
        <f ca="1">IFERROR(__xludf.DUMMYFUNCTION("IF
(
G2437=""фізична особа""
,
VLOOKUP(H2437,IMPORTRANGE(""https://docs.google.com/spreadsheets/d/14Bd19lYaqBhU8_DElYkX7l4wRkHqqCUFNJY4AfY3kHU/edit?usp=sharing  #gid=0"",""фіз особи new!relations_name""),6,FALSE)
,
(IF
(
G2437=""юридична особа""
,
VLOOKUP"&amp;"(H2437,IMPORTRANGE(""https://docs.google.com/spreadsheets/d/14Bd19lYaqBhU8_DElYkX7l4wRkHqqCUFNJY4AfY3kHU/edit?usp=sharing  #gid=0"",""фіз особи new!relations_name_uo""),7,FALSE)
,
)
))"),"#N/A")</f>
        <v>#N/A</v>
      </c>
      <c r="J2436" s="7" t="s">
        <v>48</v>
      </c>
    </row>
    <row r="2437" spans="1:10" ht="13.2">
      <c r="A2437" s="7">
        <v>2436</v>
      </c>
      <c r="B2437" s="7">
        <v>1</v>
      </c>
      <c r="C2437" s="7" t="s">
        <v>10</v>
      </c>
      <c r="D2437" s="7">
        <v>694</v>
      </c>
      <c r="E2437" s="7" t="s">
        <v>48</v>
      </c>
      <c r="F2437" s="8" t="str">
        <f ca="1">IFERROR(__xludf.DUMMYFUNCTION("IF
(
C2438=""фізична особа""
,
VLOOKUP(D2438,IMPORTRANGE(""https://docs.google.com/spreadsheets/d/14Bd19lYaqBhU8_DElYkX7l4wRkHqqCUFNJY4AfY3kHU/edit?usp=sharing  #gid=0"",""фіз особи new!relations_name""),6,FALSE)
,
(IF
(
C2438=""юридична особа""
,
VLOOKUP"&amp;"(D2438,IMPORTRANGE(""https://docs.google.com/spreadsheets/d/14Bd19lYaqBhU8_DElYkX7l4wRkHqqCUFNJY4AfY3kHU/edit?usp=sharing  #gid=0"",""фіз особи new!relations_name_uo""),7,FALSE)
,
)
))"),"СОЛОВЙОВ Сергій Анатолійович")</f>
        <v>СОЛОВЙОВ Сергій Анатолійович</v>
      </c>
      <c r="G2437" s="7" t="s">
        <v>10</v>
      </c>
      <c r="H2437" s="7">
        <v>0</v>
      </c>
      <c r="I2437" s="8" t="str">
        <f ca="1">IFERROR(__xludf.DUMMYFUNCTION("IF
(
G2438=""фізична особа""
,
VLOOKUP(H2438,IMPORTRANGE(""https://docs.google.com/spreadsheets/d/14Bd19lYaqBhU8_DElYkX7l4wRkHqqCUFNJY4AfY3kHU/edit?usp=sharing  #gid=0"",""фіз особи new!relations_name""),6,FALSE)
,
(IF
(
G2438=""юридична особа""
,
VLOOKUP"&amp;"(H2438,IMPORTRANGE(""https://docs.google.com/spreadsheets/d/14Bd19lYaqBhU8_DElYkX7l4wRkHqqCUFNJY4AfY3kHU/edit?usp=sharing  #gid=0"",""фіз особи new!relations_name_uo""),7,FALSE)
,
)
))"),"#N/A")</f>
        <v>#N/A</v>
      </c>
      <c r="J2437" s="7" t="s">
        <v>48</v>
      </c>
    </row>
    <row r="2438" spans="1:10" ht="13.2">
      <c r="A2438" s="7">
        <v>2437</v>
      </c>
      <c r="B2438" s="7">
        <v>1</v>
      </c>
      <c r="C2438" s="7" t="s">
        <v>10</v>
      </c>
      <c r="D2438" s="7">
        <v>696</v>
      </c>
      <c r="E2438" s="7" t="s">
        <v>17</v>
      </c>
      <c r="F2438" s="8" t="str">
        <f ca="1">IFERROR(__xludf.DUMMYFUNCTION("IF
(
C2439=""фізична особа""
,
VLOOKUP(D2439,IMPORTRANGE(""https://docs.google.com/spreadsheets/d/14Bd19lYaqBhU8_DElYkX7l4wRkHqqCUFNJY4AfY3kHU/edit?usp=sharing  #gid=0"",""фіз особи new!relations_name""),6,FALSE)
,
(IF
(
C2439=""юридична особа""
,
VLOOKUP"&amp;"(D2439,IMPORTRANGE(""https://docs.google.com/spreadsheets/d/14Bd19lYaqBhU8_DElYkX7l4wRkHqqCUFNJY4AfY3kHU/edit?usp=sharing  #gid=0"",""фіз особи new!relations_name_uo""),7,FALSE)
,
)
))"),"ЛЕОНОВ Сергій Дмитрович")</f>
        <v>ЛЕОНОВ Сергій Дмитрович</v>
      </c>
      <c r="G2438" s="7" t="s">
        <v>10</v>
      </c>
      <c r="H2438" s="7">
        <v>0</v>
      </c>
      <c r="I2438" s="8" t="str">
        <f ca="1">IFERROR(__xludf.DUMMYFUNCTION("IF
(
G2439=""фізична особа""
,
VLOOKUP(H2439,IMPORTRANGE(""https://docs.google.com/spreadsheets/d/14Bd19lYaqBhU8_DElYkX7l4wRkHqqCUFNJY4AfY3kHU/edit?usp=sharing  #gid=0"",""фіз особи new!relations_name""),6,FALSE)
,
(IF
(
G2439=""юридична особа""
,
VLOOKUP"&amp;"(H2439,IMPORTRANGE(""https://docs.google.com/spreadsheets/d/14Bd19lYaqBhU8_DElYkX7l4wRkHqqCUFNJY4AfY3kHU/edit?usp=sharing  #gid=0"",""фіз особи new!relations_name_uo""),7,FALSE)
,
)
))"),"#N/A")</f>
        <v>#N/A</v>
      </c>
      <c r="J2438" s="7" t="s">
        <v>21</v>
      </c>
    </row>
    <row r="2439" spans="1:10" ht="13.2">
      <c r="A2439" s="7">
        <v>2438</v>
      </c>
      <c r="B2439" s="7">
        <v>1</v>
      </c>
      <c r="C2439" s="7" t="s">
        <v>10</v>
      </c>
      <c r="D2439" s="7">
        <v>696</v>
      </c>
      <c r="E2439" s="7" t="s">
        <v>14</v>
      </c>
      <c r="F2439" s="8" t="str">
        <f ca="1">IFERROR(__xludf.DUMMYFUNCTION("IF
(
C2440=""фізична особа""
,
VLOOKUP(D2440,IMPORTRANGE(""https://docs.google.com/spreadsheets/d/14Bd19lYaqBhU8_DElYkX7l4wRkHqqCUFNJY4AfY3kHU/edit?usp=sharing  #gid=0"",""фіз особи new!relations_name""),6,FALSE)
,
(IF
(
C2440=""юридична особа""
,
VLOOKUP"&amp;"(D2440,IMPORTRANGE(""https://docs.google.com/spreadsheets/d/14Bd19lYaqBhU8_DElYkX7l4wRkHqqCUFNJY4AfY3kHU/edit?usp=sharing  #gid=0"",""фіз особи new!relations_name_uo""),7,FALSE)
,
)
))"),"ЛЕОНОВ Сергій Дмитрович")</f>
        <v>ЛЕОНОВ Сергій Дмитрович</v>
      </c>
      <c r="G2439" s="7" t="s">
        <v>10</v>
      </c>
      <c r="H2439" s="7">
        <v>0</v>
      </c>
      <c r="I2439" s="8" t="str">
        <f ca="1">IFERROR(__xludf.DUMMYFUNCTION("IF
(
G2440=""фізична особа""
,
VLOOKUP(H2440,IMPORTRANGE(""https://docs.google.com/spreadsheets/d/14Bd19lYaqBhU8_DElYkX7l4wRkHqqCUFNJY4AfY3kHU/edit?usp=sharing  #gid=0"",""фіз особи new!relations_name""),6,FALSE)
,
(IF
(
G2440=""юридична особа""
,
VLOOKUP"&amp;"(H2440,IMPORTRANGE(""https://docs.google.com/spreadsheets/d/14Bd19lYaqBhU8_DElYkX7l4wRkHqqCUFNJY4AfY3kHU/edit?usp=sharing  #gid=0"",""фіз особи new!relations_name_uo""),7,FALSE)
,
)
))"),"#N/A")</f>
        <v>#N/A</v>
      </c>
      <c r="J2439" s="7" t="s">
        <v>15</v>
      </c>
    </row>
    <row r="2440" spans="1:10" ht="13.2">
      <c r="A2440" s="7">
        <v>2439</v>
      </c>
      <c r="B2440" s="7">
        <v>1</v>
      </c>
      <c r="C2440" s="7" t="s">
        <v>10</v>
      </c>
      <c r="D2440" s="7">
        <v>696</v>
      </c>
      <c r="E2440" s="7" t="s">
        <v>48</v>
      </c>
      <c r="F2440" s="8" t="str">
        <f ca="1">IFERROR(__xludf.DUMMYFUNCTION("IF
(
C2441=""фізична особа""
,
VLOOKUP(D2441,IMPORTRANGE(""https://docs.google.com/spreadsheets/d/14Bd19lYaqBhU8_DElYkX7l4wRkHqqCUFNJY4AfY3kHU/edit?usp=sharing  #gid=0"",""фіз особи new!relations_name""),6,FALSE)
,
(IF
(
C2441=""юридична особа""
,
VLOOKUP"&amp;"(D2441,IMPORTRANGE(""https://docs.google.com/spreadsheets/d/14Bd19lYaqBhU8_DElYkX7l4wRkHqqCUFNJY4AfY3kHU/edit?usp=sharing  #gid=0"",""фіз особи new!relations_name_uo""),7,FALSE)
,
)
))"),"ЛЕОНОВ Сергій Дмитрович")</f>
        <v>ЛЕОНОВ Сергій Дмитрович</v>
      </c>
      <c r="G2440" s="7" t="s">
        <v>10</v>
      </c>
      <c r="H2440" s="7">
        <v>2561</v>
      </c>
      <c r="I2440" s="8" t="str">
        <f ca="1">IFERROR(__xludf.DUMMYFUNCTION("IF
(
G2441=""фізична особа""
,
VLOOKUP(H2441,IMPORTRANGE(""https://docs.google.com/spreadsheets/d/14Bd19lYaqBhU8_DElYkX7l4wRkHqqCUFNJY4AfY3kHU/edit?usp=sharing  #gid=0"",""фіз особи new!relations_name""),6,FALSE)
,
(IF
(
G2441=""юридична особа""
,
VLOOKUP"&amp;"(H2441,IMPORTRANGE(""https://docs.google.com/spreadsheets/d/14Bd19lYaqBhU8_DElYkX7l4wRkHqqCUFNJY4AfY3kHU/edit?usp=sharing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J2440" s="7" t="s">
        <v>48</v>
      </c>
    </row>
    <row r="2441" spans="1:10" ht="13.2">
      <c r="A2441" s="7">
        <v>2440</v>
      </c>
      <c r="B2441" s="7">
        <v>1</v>
      </c>
      <c r="C2441" s="7" t="s">
        <v>10</v>
      </c>
      <c r="D2441" s="7">
        <v>697</v>
      </c>
      <c r="E2441" s="7" t="s">
        <v>12</v>
      </c>
      <c r="F2441" s="8" t="str">
        <f ca="1">IFERROR(__xludf.DUMMYFUNCTION("IF
(
C2442=""фізична особа""
,
VLOOKUP(D2442,IMPORTRANGE(""https://docs.google.com/spreadsheets/d/14Bd19lYaqBhU8_DElYkX7l4wRkHqqCUFNJY4AfY3kHU/edit?usp=sharing  #gid=0"",""фіз особи new!relations_name""),6,FALSE)
,
(IF
(
C2442=""юридична особа""
,
VLOOKUP"&amp;"(D2442,IMPORTRANGE(""https://docs.google.com/spreadsheets/d/14Bd19lYaqBhU8_DElYkX7l4wRkHqqCUFNJY4AfY3kHU/edit?usp=sharing  #gid=0"",""фіз особи new!relations_name_uo""),7,FALSE)
,
)
))"),"ЛІСОВСЬКИЙ Сергій Федорович")</f>
        <v>ЛІСОВСЬКИЙ Сергій Федорович</v>
      </c>
      <c r="G2441" s="7" t="s">
        <v>10</v>
      </c>
      <c r="H2441" s="7">
        <v>0</v>
      </c>
      <c r="I2441" s="8" t="str">
        <f ca="1">IFERROR(__xludf.DUMMYFUNCTION("IF
(
G2442=""фізична особа""
,
VLOOKUP(H2442,IMPORTRANGE(""https://docs.google.com/spreadsheets/d/14Bd19lYaqBhU8_DElYkX7l4wRkHqqCUFNJY4AfY3kHU/edit?usp=sharing  #gid=0"",""фіз особи new!relations_name""),6,FALSE)
,
(IF
(
G2442=""юридична особа""
,
VLOOKUP"&amp;"(H2442,IMPORTRANGE(""https://docs.google.com/spreadsheets/d/14Bd19lYaqBhU8_DElYkX7l4wRkHqqCUFNJY4AfY3kHU/edit?usp=sharing  #gid=0"",""фіз особи new!relations_name_uo""),7,FALSE)
,
)
))"),"#N/A")</f>
        <v>#N/A</v>
      </c>
      <c r="J2441" s="7" t="s">
        <v>17</v>
      </c>
    </row>
    <row r="2442" spans="1:10" ht="13.2">
      <c r="A2442" s="7">
        <v>2441</v>
      </c>
      <c r="B2442" s="7">
        <v>1</v>
      </c>
      <c r="C2442" s="7" t="s">
        <v>10</v>
      </c>
      <c r="D2442" s="7">
        <v>697</v>
      </c>
      <c r="E2442" s="7" t="s">
        <v>14</v>
      </c>
      <c r="F2442" s="8" t="str">
        <f ca="1">IFERROR(__xludf.DUMMYFUNCTION("IF
(
C2443=""фізична особа""
,
VLOOKUP(D2443,IMPORTRANGE(""https://docs.google.com/spreadsheets/d/14Bd19lYaqBhU8_DElYkX7l4wRkHqqCUFNJY4AfY3kHU/edit?usp=sharing  #gid=0"",""фіз особи new!relations_name""),6,FALSE)
,
(IF
(
C2443=""юридична особа""
,
VLOOKUP"&amp;"(D2443,IMPORTRANGE(""https://docs.google.com/spreadsheets/d/14Bd19lYaqBhU8_DElYkX7l4wRkHqqCUFNJY4AfY3kHU/edit?usp=sharing  #gid=0"",""фіз особи new!relations_name_uo""),7,FALSE)
,
)
))"),"ЛІСОВСЬКИЙ Сергій Федорович")</f>
        <v>ЛІСОВСЬКИЙ Сергій Федорович</v>
      </c>
      <c r="G2442" s="7" t="s">
        <v>10</v>
      </c>
      <c r="H2442" s="7">
        <v>15508</v>
      </c>
      <c r="I2442" s="8" t="str">
        <f ca="1">IFERROR(__xludf.DUMMYFUNCTION("IF
(
G2443=""фізична особа""
,
VLOOKUP(H2443,IMPORTRANGE(""https://docs.google.com/spreadsheets/d/14Bd19lYaqBhU8_DElYkX7l4wRkHqqCUFNJY4AfY3kHU/edit?usp=sharing  #gid=0"",""фіз особи new!relations_name""),6,FALSE)
,
(IF
(
G2443=""юридична особа""
,
VLOOKUP"&amp;"(H2443,IMPORTRANGE(""https://docs.google.com/spreadsheets/d/14Bd19lYaqBhU8_DElYkX7l4wRkHqqCUFNJY4AfY3kHU/edit?usp=sharing  #gid=0"",""фіз особи new!relations_name_uo""),7,FALSE)
,
)
))"),"МІНАЄВА Ганна Юріївна")</f>
        <v>МІНАЄВА Ганна Юріївна</v>
      </c>
      <c r="J2442" s="7" t="s">
        <v>15</v>
      </c>
    </row>
    <row r="2443" spans="1:10" ht="13.2">
      <c r="A2443" s="7">
        <v>2442</v>
      </c>
      <c r="B2443" s="7">
        <v>1</v>
      </c>
      <c r="C2443" s="7" t="s">
        <v>10</v>
      </c>
      <c r="D2443" s="7">
        <v>697</v>
      </c>
      <c r="E2443" s="7" t="s">
        <v>11</v>
      </c>
      <c r="F2443" s="8" t="str">
        <f ca="1">IFERROR(__xludf.DUMMYFUNCTION("IF
(
C2444=""фізична особа""
,
VLOOKUP(D2444,IMPORTRANGE(""https://docs.google.com/spreadsheets/d/14Bd19lYaqBhU8_DElYkX7l4wRkHqqCUFNJY4AfY3kHU/edit?usp=sharing  #gid=0"",""фіз особи new!relations_name""),6,FALSE)
,
(IF
(
C2444=""юридична особа""
,
VLOOKUP"&amp;"(D2444,IMPORTRANGE(""https://docs.google.com/spreadsheets/d/14Bd19lYaqBhU8_DElYkX7l4wRkHqqCUFNJY4AfY3kHU/edit?usp=sharing  #gid=0"",""фіз особи new!relations_name_uo""),7,FALSE)
,
)
))"),"ЛІСОВСЬКИЙ Сергій Федорович")</f>
        <v>ЛІСОВСЬКИЙ Сергій Федорович</v>
      </c>
      <c r="G2443" s="7" t="s">
        <v>10</v>
      </c>
      <c r="H2443" s="7">
        <v>0</v>
      </c>
      <c r="I2443" s="8" t="str">
        <f ca="1">IFERROR(__xludf.DUMMYFUNCTION("IF
(
G2444=""фізична особа""
,
VLOOKUP(H2444,IMPORTRANGE(""https://docs.google.com/spreadsheets/d/14Bd19lYaqBhU8_DElYkX7l4wRkHqqCUFNJY4AfY3kHU/edit?usp=sharing  #gid=0"",""фіз особи new!relations_name""),6,FALSE)
,
(IF
(
G2444=""юридична особа""
,
VLOOKUP"&amp;"(H2444,IMPORTRANGE(""https://docs.google.com/spreadsheets/d/14Bd19lYaqBhU8_DElYkX7l4wRkHqqCUFNJY4AfY3kHU/edit?usp=sharing  #gid=0"",""фіз особи new!relations_name_uo""),7,FALSE)
,
)
))"),"#N/A")</f>
        <v>#N/A</v>
      </c>
      <c r="J2443" s="7" t="s">
        <v>11</v>
      </c>
    </row>
    <row r="2444" spans="1:10" ht="13.2">
      <c r="A2444" s="7">
        <v>2443</v>
      </c>
      <c r="B2444" s="7">
        <v>1</v>
      </c>
      <c r="C2444" s="7" t="s">
        <v>10</v>
      </c>
      <c r="D2444" s="7">
        <v>697</v>
      </c>
      <c r="E2444" s="7" t="s">
        <v>11</v>
      </c>
      <c r="F2444" s="8" t="str">
        <f ca="1">IFERROR(__xludf.DUMMYFUNCTION("IF
(
C2445=""фізична особа""
,
VLOOKUP(D2445,IMPORTRANGE(""https://docs.google.com/spreadsheets/d/14Bd19lYaqBhU8_DElYkX7l4wRkHqqCUFNJY4AfY3kHU/edit?usp=sharing  #gid=0"",""фіз особи new!relations_name""),6,FALSE)
,
(IF
(
C2445=""юридична особа""
,
VLOOKUP"&amp;"(D2445,IMPORTRANGE(""https://docs.google.com/spreadsheets/d/14Bd19lYaqBhU8_DElYkX7l4wRkHqqCUFNJY4AfY3kHU/edit?usp=sharing  #gid=0"",""фіз особи new!relations_name_uo""),7,FALSE)
,
)
))"),"ЛІСОВСЬКИЙ Сергій Федорович")</f>
        <v>ЛІСОВСЬКИЙ Сергій Федорович</v>
      </c>
      <c r="G2444" s="7" t="s">
        <v>10</v>
      </c>
      <c r="H2444" s="7">
        <v>0</v>
      </c>
      <c r="I2444" s="8" t="str">
        <f ca="1">IFERROR(__xludf.DUMMYFUNCTION("IF
(
G2445=""фізична особа""
,
VLOOKUP(H2445,IMPORTRANGE(""https://docs.google.com/spreadsheets/d/14Bd19lYaqBhU8_DElYkX7l4wRkHqqCUFNJY4AfY3kHU/edit?usp=sharing  #gid=0"",""фіз особи new!relations_name""),6,FALSE)
,
(IF
(
G2445=""юридична особа""
,
VLOOKUP"&amp;"(H2445,IMPORTRANGE(""https://docs.google.com/spreadsheets/d/14Bd19lYaqBhU8_DElYkX7l4wRkHqqCUFNJY4AfY3kHU/edit?usp=sharing  #gid=0"",""фіз особи new!relations_name_uo""),7,FALSE)
,
)
))"),"#N/A")</f>
        <v>#N/A</v>
      </c>
      <c r="J2444" s="7" t="s">
        <v>11</v>
      </c>
    </row>
    <row r="2445" spans="1:10" ht="13.2">
      <c r="A2445" s="7">
        <v>2444</v>
      </c>
      <c r="B2445" s="7">
        <v>1</v>
      </c>
      <c r="C2445" s="7" t="s">
        <v>10</v>
      </c>
      <c r="D2445" s="7">
        <v>698</v>
      </c>
      <c r="E2445" s="7" t="s">
        <v>14</v>
      </c>
      <c r="F2445" s="8" t="str">
        <f ca="1">IFERROR(__xludf.DUMMYFUNCTION("IF
(
C2446=""фізична особа""
,
VLOOKUP(D2446,IMPORTRANGE(""https://docs.google.com/spreadsheets/d/14Bd19lYaqBhU8_DElYkX7l4wRkHqqCUFNJY4AfY3kHU/edit?usp=sharing  #gid=0"",""фіз особи new!relations_name""),6,FALSE)
,
(IF
(
C2446=""юридична особа""
,
VLOOKUP"&amp;"(D2446,IMPORTRANGE(""https://docs.google.com/spreadsheets/d/14Bd19lYaqBhU8_DElYkX7l4wRkHqqCUFNJY4AfY3kHU/edit?usp=sharing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45" s="7" t="s">
        <v>10</v>
      </c>
      <c r="H2445" s="7">
        <v>15509</v>
      </c>
      <c r="I2445" s="8" t="str">
        <f ca="1">IFERROR(__xludf.DUMMYFUNCTION("IF
(
G2446=""фізична особа""
,
VLOOKUP(H2446,IMPORTRANGE(""https://docs.google.com/spreadsheets/d/14Bd19lYaqBhU8_DElYkX7l4wRkHqqCUFNJY4AfY3kHU/edit?usp=sharing  #gid=0"",""фіз особи new!relations_name""),6,FALSE)
,
(IF
(
G2446=""юридична особа""
,
VLOOKUP"&amp;"(H2446,IMPORTRANGE(""https://docs.google.com/spreadsheets/d/14Bd19lYaqBhU8_DElYkX7l4wRkHqqCUFNJY4AfY3kHU/edit?usp=sharing  #gid=0"",""фіз особи new!relations_name_uo""),7,FALSE)
,
)
))"),"ЛЕВЧЕНКО Наталія Яківна")</f>
        <v>ЛЕВЧЕНКО Наталія Яківна</v>
      </c>
      <c r="J2445" s="7" t="s">
        <v>15</v>
      </c>
    </row>
    <row r="2446" spans="1:10" ht="13.2">
      <c r="A2446" s="7">
        <v>2445</v>
      </c>
      <c r="B2446" s="7">
        <v>1</v>
      </c>
      <c r="C2446" s="7" t="s">
        <v>10</v>
      </c>
      <c r="D2446" s="7">
        <v>698</v>
      </c>
      <c r="E2446" s="7" t="s">
        <v>12</v>
      </c>
      <c r="F2446" s="8" t="str">
        <f ca="1">IFERROR(__xludf.DUMMYFUNCTION("IF
(
C2447=""фізична особа""
,
VLOOKUP(D2447,IMPORTRANGE(""https://docs.google.com/spreadsheets/d/14Bd19lYaqBhU8_DElYkX7l4wRkHqqCUFNJY4AfY3kHU/edit?usp=sharing  #gid=0"",""фіз особи new!relations_name""),6,FALSE)
,
(IF
(
C2447=""юридична особа""
,
VLOOKUP"&amp;"(D2447,IMPORTRANGE(""https://docs.google.com/spreadsheets/d/14Bd19lYaqBhU8_DElYkX7l4wRkHqqCUFNJY4AfY3kHU/edit?usp=sharing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46" s="7" t="s">
        <v>10</v>
      </c>
      <c r="H2446" s="7">
        <v>15511</v>
      </c>
      <c r="I2446" s="8" t="str">
        <f ca="1">IFERROR(__xludf.DUMMYFUNCTION("IF
(
G2447=""фізична особа""
,
VLOOKUP(H2447,IMPORTRANGE(""https://docs.google.com/spreadsheets/d/14Bd19lYaqBhU8_DElYkX7l4wRkHqqCUFNJY4AfY3kHU/edit?usp=sharing  #gid=0"",""фіз особи new!relations_name""),6,FALSE)
,
(IF
(
G2447=""юридична особа""
,
VLOOKUP"&amp;"(H2447,IMPORTRANGE(""https://docs.google.com/spreadsheets/d/14Bd19lYaqBhU8_DElYkX7l4wRkHqqCUFNJY4AfY3kHU/edit?usp=sharing  #gid=0"",""фіз особи new!relations_name_uo""),7,FALSE)
,
)
))"),"ЛЕВЧЕНКО Андрій Сергійович")</f>
        <v>ЛЕВЧЕНКО Андрій Сергійович</v>
      </c>
      <c r="J2446" s="7" t="s">
        <v>17</v>
      </c>
    </row>
    <row r="2447" spans="1:10" ht="13.2">
      <c r="A2447" s="7">
        <v>2446</v>
      </c>
      <c r="B2447" s="7">
        <v>1</v>
      </c>
      <c r="C2447" s="7" t="s">
        <v>10</v>
      </c>
      <c r="D2447" s="7">
        <v>698</v>
      </c>
      <c r="E2447" s="7" t="s">
        <v>12</v>
      </c>
      <c r="F2447" s="8" t="str">
        <f ca="1">IFERROR(__xludf.DUMMYFUNCTION("IF
(
C2448=""фізична особа""
,
VLOOKUP(D2448,IMPORTRANGE(""https://docs.google.com/spreadsheets/d/14Bd19lYaqBhU8_DElYkX7l4wRkHqqCUFNJY4AfY3kHU/edit?usp=sharing  #gid=0"",""фіз особи new!relations_name""),6,FALSE)
,
(IF
(
C2448=""юридична особа""
,
VLOOKUP"&amp;"(D2448,IMPORTRANGE(""https://docs.google.com/spreadsheets/d/14Bd19lYaqBhU8_DElYkX7l4wRkHqqCUFNJY4AfY3kHU/edit?usp=sharing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47" s="7" t="s">
        <v>10</v>
      </c>
      <c r="H2447" s="7">
        <v>15510</v>
      </c>
      <c r="I2447" s="8" t="str">
        <f ca="1">IFERROR(__xludf.DUMMYFUNCTION("IF
(
G2448=""фізична особа""
,
VLOOKUP(H2448,IMPORTRANGE(""https://docs.google.com/spreadsheets/d/14Bd19lYaqBhU8_DElYkX7l4wRkHqqCUFNJY4AfY3kHU/edit?usp=sharing  #gid=0"",""фіз особи new!relations_name""),6,FALSE)
,
(IF
(
G2448=""юридична особа""
,
VLOOKUP"&amp;"(H2448,IMPORTRANGE(""https://docs.google.com/spreadsheets/d/14Bd19lYaqBhU8_DElYkX7l4wRkHqqCUFNJY4AfY3kHU/edit?usp=sharing  #gid=0"",""фіз особи new!relations_name_uo""),7,FALSE)
,
)
))"),"МОРДУЄВА Тетяна Сергіївна")</f>
        <v>МОРДУЄВА Тетяна Сергіївна</v>
      </c>
      <c r="J2447" s="7" t="s">
        <v>13</v>
      </c>
    </row>
    <row r="2448" spans="1:10" ht="13.2">
      <c r="A2448" s="7">
        <v>2447</v>
      </c>
      <c r="B2448" s="7">
        <v>1</v>
      </c>
      <c r="C2448" s="7" t="s">
        <v>10</v>
      </c>
      <c r="D2448" s="7">
        <v>698</v>
      </c>
      <c r="E2448" s="7" t="s">
        <v>32</v>
      </c>
      <c r="F2448" s="8" t="str">
        <f ca="1">IFERROR(__xludf.DUMMYFUNCTION("IF
(
C2449=""фізична особа""
,
VLOOKUP(D2449,IMPORTRANGE(""https://docs.google.com/spreadsheets/d/14Bd19lYaqBhU8_DElYkX7l4wRkHqqCUFNJY4AfY3kHU/edit?usp=sharing  #gid=0"",""фіз особи new!relations_name""),6,FALSE)
,
(IF
(
C2449=""юридична особа""
,
VLOOKUP"&amp;"(D2449,IMPORTRANGE(""https://docs.google.com/spreadsheets/d/14Bd19lYaqBhU8_DElYkX7l4wRkHqqCUFNJY4AfY3kHU/edit?usp=sharing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48" s="7" t="s">
        <v>10</v>
      </c>
      <c r="H2448" s="7">
        <v>0</v>
      </c>
      <c r="I2448" s="8" t="str">
        <f ca="1">IFERROR(__xludf.DUMMYFUNCTION("IF
(
G2449=""фізична особа""
,
VLOOKUP(H2449,IMPORTRANGE(""https://docs.google.com/spreadsheets/d/14Bd19lYaqBhU8_DElYkX7l4wRkHqqCUFNJY4AfY3kHU/edit?usp=sharing  #gid=0"",""фіз особи new!relations_name""),6,FALSE)
,
(IF
(
G2449=""юридична особа""
,
VLOOKUP"&amp;"(H2449,IMPORTRANGE(""https://docs.google.com/spreadsheets/d/14Bd19lYaqBhU8_DElYkX7l4wRkHqqCUFNJY4AfY3kHU/edit?usp=sharing  #gid=0"",""фіз особи new!relations_name_uo""),7,FALSE)
,
)
))"),"#N/A")</f>
        <v>#N/A</v>
      </c>
      <c r="J2448" s="7" t="s">
        <v>49</v>
      </c>
    </row>
    <row r="2449" spans="1:10" ht="13.2">
      <c r="A2449" s="7">
        <v>2448</v>
      </c>
      <c r="B2449" s="7">
        <v>1</v>
      </c>
      <c r="C2449" s="7" t="s">
        <v>10</v>
      </c>
      <c r="D2449" s="7">
        <v>698</v>
      </c>
      <c r="E2449" s="7" t="s">
        <v>42</v>
      </c>
      <c r="F2449" s="8" t="str">
        <f ca="1">IFERROR(__xludf.DUMMYFUNCTION("IF
(
C2450=""фізична особа""
,
VLOOKUP(D2450,IMPORTRANGE(""https://docs.google.com/spreadsheets/d/14Bd19lYaqBhU8_DElYkX7l4wRkHqqCUFNJY4AfY3kHU/edit?usp=sharing  #gid=0"",""фіз особи new!relations_name""),6,FALSE)
,
(IF
(
C2450=""юридична особа""
,
VLOOKUP"&amp;"(D2450,IMPORTRANGE(""https://docs.google.com/spreadsheets/d/14Bd19lYaqBhU8_DElYkX7l4wRkHqqCUFNJY4AfY3kHU/edit?usp=sharing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49" s="7" t="s">
        <v>10</v>
      </c>
      <c r="H2449" s="7">
        <v>0</v>
      </c>
      <c r="I2449" s="8" t="str">
        <f ca="1">IFERROR(__xludf.DUMMYFUNCTION("IF
(
G2450=""фізична особа""
,
VLOOKUP(H2450,IMPORTRANGE(""https://docs.google.com/spreadsheets/d/14Bd19lYaqBhU8_DElYkX7l4wRkHqqCUFNJY4AfY3kHU/edit?usp=sharing  #gid=0"",""фіз особи new!relations_name""),6,FALSE)
,
(IF
(
G2450=""юридична особа""
,
VLOOKUP"&amp;"(H2450,IMPORTRANGE(""https://docs.google.com/spreadsheets/d/14Bd19lYaqBhU8_DElYkX7l4wRkHqqCUFNJY4AfY3kHU/edit?usp=sharing  #gid=0"",""фіз особи new!relations_name_uo""),7,FALSE)
,
)
))"),"#N/A")</f>
        <v>#N/A</v>
      </c>
      <c r="J2449" s="7" t="s">
        <v>43</v>
      </c>
    </row>
    <row r="2450" spans="1:10" ht="13.2">
      <c r="A2450" s="7">
        <v>2449</v>
      </c>
      <c r="B2450" s="7">
        <v>1</v>
      </c>
      <c r="C2450" s="7" t="s">
        <v>10</v>
      </c>
      <c r="D2450" s="7">
        <v>698</v>
      </c>
      <c r="E2450" s="7" t="s">
        <v>48</v>
      </c>
      <c r="F2450" s="8" t="str">
        <f ca="1">IFERROR(__xludf.DUMMYFUNCTION("IF
(
C2451=""фізична особа""
,
VLOOKUP(D2451,IMPORTRANGE(""https://docs.google.com/spreadsheets/d/14Bd19lYaqBhU8_DElYkX7l4wRkHqqCUFNJY4AfY3kHU/edit?usp=sharing  #gid=0"",""фіз особи new!relations_name""),6,FALSE)
,
(IF
(
C2451=""юридична особа""
,
VLOOKUP"&amp;"(D2451,IMPORTRANGE(""https://docs.google.com/spreadsheets/d/14Bd19lYaqBhU8_DElYkX7l4wRkHqqCUFNJY4AfY3kHU/edit?usp=sharing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50" s="7" t="s">
        <v>10</v>
      </c>
      <c r="H2450" s="7">
        <v>158</v>
      </c>
      <c r="I2450" s="8" t="str">
        <f ca="1">IFERROR(__xludf.DUMMYFUNCTION("IF
(
G2451=""фізична особа""
,
VLOOKUP(H2451,IMPORTRANGE(""https://docs.google.com/spreadsheets/d/14Bd19lYaqBhU8_DElYkX7l4wRkHqqCUFNJY4AfY3kHU/edit?usp=sharing  #gid=0"",""фіз особи new!relations_name""),6,FALSE)
,
(IF
(
G2451=""юридична особа""
,
VLOOKUP"&amp;"(H2451,IMPORTRANGE(""https://docs.google.com/spreadsheets/d/14Bd19lYaqBhU8_DElYkX7l4wRkHqqCUFNJY4AfY3kHU/edit?usp=sharing  #gid=0"",""фіз особи new!relations_name_uo""),7,FALSE)
,
)
))"),"ПАРФЬОНОВ Денис Андрійович")</f>
        <v>ПАРФЬОНОВ Денис Андрійович</v>
      </c>
      <c r="J2450" s="7" t="s">
        <v>48</v>
      </c>
    </row>
    <row r="2451" spans="1:10" ht="13.2">
      <c r="A2451" s="7">
        <v>2450</v>
      </c>
      <c r="B2451" s="7">
        <v>1</v>
      </c>
      <c r="C2451" s="7" t="s">
        <v>10</v>
      </c>
      <c r="D2451" s="7">
        <v>698</v>
      </c>
      <c r="E2451" s="7" t="s">
        <v>48</v>
      </c>
      <c r="F2451" s="8" t="str">
        <f ca="1">IFERROR(__xludf.DUMMYFUNCTION("IF
(
C2452=""фізична особа""
,
VLOOKUP(D2452,IMPORTRANGE(""https://docs.google.com/spreadsheets/d/14Bd19lYaqBhU8_DElYkX7l4wRkHqqCUFNJY4AfY3kHU/edit?usp=sharing  #gid=0"",""фіз особи new!relations_name""),6,FALSE)
,
(IF
(
C2452=""юридична особа""
,
VLOOKUP"&amp;"(D2452,IMPORTRANGE(""https://docs.google.com/spreadsheets/d/14Bd19lYaqBhU8_DElYkX7l4wRkHqqCUFNJY4AfY3kHU/edit?usp=sharing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51" s="7" t="s">
        <v>10</v>
      </c>
      <c r="H2451" s="7">
        <v>0</v>
      </c>
      <c r="I2451" s="8" t="str">
        <f ca="1">IFERROR(__xludf.DUMMYFUNCTION("IF
(
G2452=""фізична особа""
,
VLOOKUP(H2452,IMPORTRANGE(""https://docs.google.com/spreadsheets/d/14Bd19lYaqBhU8_DElYkX7l4wRkHqqCUFNJY4AfY3kHU/edit?usp=sharing  #gid=0"",""фіз особи new!relations_name""),6,FALSE)
,
(IF
(
G2452=""юридична особа""
,
VLOOKUP"&amp;"(H2452,IMPORTRANGE(""https://docs.google.com/spreadsheets/d/14Bd19lYaqBhU8_DElYkX7l4wRkHqqCUFNJY4AfY3kHU/edit?usp=sharing  #gid=0"",""фіз особи new!relations_name_uo""),7,FALSE)
,
)
))"),"#N/A")</f>
        <v>#N/A</v>
      </c>
      <c r="J2451" s="7" t="s">
        <v>48</v>
      </c>
    </row>
    <row r="2452" spans="1:10" ht="13.2">
      <c r="A2452" s="7">
        <v>2451</v>
      </c>
      <c r="B2452" s="7">
        <v>1</v>
      </c>
      <c r="C2452" s="7" t="s">
        <v>10</v>
      </c>
      <c r="D2452" s="7">
        <v>698</v>
      </c>
      <c r="E2452" s="7" t="s">
        <v>48</v>
      </c>
      <c r="F2452" s="8" t="str">
        <f ca="1">IFERROR(__xludf.DUMMYFUNCTION("IF
(
C2453=""фізична особа""
,
VLOOKUP(D2453,IMPORTRANGE(""https://docs.google.com/spreadsheets/d/14Bd19lYaqBhU8_DElYkX7l4wRkHqqCUFNJY4AfY3kHU/edit?usp=sharing  #gid=0"",""фіз особи new!relations_name""),6,FALSE)
,
(IF
(
C2453=""юридична особа""
,
VLOOKUP"&amp;"(D2453,IMPORTRANGE(""https://docs.google.com/spreadsheets/d/14Bd19lYaqBhU8_DElYkX7l4wRkHqqCUFNJY4AfY3kHU/edit?usp=sharing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G2452" s="7" t="s">
        <v>10</v>
      </c>
      <c r="H2452" s="7">
        <v>0</v>
      </c>
      <c r="I2452" s="8" t="str">
        <f ca="1">IFERROR(__xludf.DUMMYFUNCTION("IF
(
G2453=""фізична особа""
,
VLOOKUP(H2453,IMPORTRANGE(""https://docs.google.com/spreadsheets/d/14Bd19lYaqBhU8_DElYkX7l4wRkHqqCUFNJY4AfY3kHU/edit?usp=sharing  #gid=0"",""фіз особи new!relations_name""),6,FALSE)
,
(IF
(
G2453=""юридична особа""
,
VLOOKUP"&amp;"(H2453,IMPORTRANGE(""https://docs.google.com/spreadsheets/d/14Bd19lYaqBhU8_DElYkX7l4wRkHqqCUFNJY4AfY3kHU/edit?usp=sharing  #gid=0"",""фіз особи new!relations_name_uo""),7,FALSE)
,
)
))"),"#N/A")</f>
        <v>#N/A</v>
      </c>
      <c r="J2452" s="7" t="s">
        <v>48</v>
      </c>
    </row>
    <row r="2453" spans="1:10" ht="13.2">
      <c r="A2453" s="7">
        <v>2452</v>
      </c>
      <c r="B2453" s="7">
        <v>1</v>
      </c>
      <c r="C2453" s="7" t="s">
        <v>10</v>
      </c>
      <c r="D2453" s="7">
        <v>699</v>
      </c>
      <c r="E2453" s="7" t="s">
        <v>12</v>
      </c>
      <c r="F2453" s="8" t="str">
        <f ca="1">IFERROR(__xludf.DUMMYFUNCTION("IF
(
C2454=""фізична особа""
,
VLOOKUP(D2454,IMPORTRANGE(""https://docs.google.com/spreadsheets/d/14Bd19lYaqBhU8_DElYkX7l4wRkHqqCUFNJY4AfY3kHU/edit?usp=sharing  #gid=0"",""фіз особи new!relations_name""),6,FALSE)
,
(IF
(
C2454=""юридична особа""
,
VLOOKUP"&amp;"(D2454,IMPORTRANGE(""https://docs.google.com/spreadsheets/d/14Bd19lYaqBhU8_DElYkX7l4wRkHqqCUFNJY4AfY3kHU/edit?usp=sharing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3" s="7" t="s">
        <v>10</v>
      </c>
      <c r="H2453" s="7">
        <v>4885</v>
      </c>
      <c r="I2453" s="8" t="str">
        <f ca="1">IFERROR(__xludf.DUMMYFUNCTION("IF
(
G2454=""фізична особа""
,
VLOOKUP(H2454,IMPORTRANGE(""https://docs.google.com/spreadsheets/d/14Bd19lYaqBhU8_DElYkX7l4wRkHqqCUFNJY4AfY3kHU/edit?usp=sharing  #gid=0"",""фіз особи new!relations_name""),6,FALSE)
,
(IF
(
G2454=""юридична особа""
,
VLOOKUP"&amp;"(H2454,IMPORTRANGE(""https://docs.google.com/spreadsheets/d/14Bd19lYaqBhU8_DElYkX7l4wRkHqqCUFNJY4AfY3kHU/edit?usp=sharing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J2453" s="7" t="s">
        <v>17</v>
      </c>
    </row>
    <row r="2454" spans="1:10" ht="13.2">
      <c r="A2454" s="7">
        <v>2453</v>
      </c>
      <c r="B2454" s="7">
        <v>1</v>
      </c>
      <c r="C2454" s="7" t="s">
        <v>10</v>
      </c>
      <c r="D2454" s="7">
        <v>699</v>
      </c>
      <c r="E2454" s="7" t="s">
        <v>12</v>
      </c>
      <c r="F2454" s="8" t="str">
        <f ca="1">IFERROR(__xludf.DUMMYFUNCTION("IF
(
C2455=""фізична особа""
,
VLOOKUP(D2455,IMPORTRANGE(""https://docs.google.com/spreadsheets/d/14Bd19lYaqBhU8_DElYkX7l4wRkHqqCUFNJY4AfY3kHU/edit?usp=sharing  #gid=0"",""фіз особи new!relations_name""),6,FALSE)
,
(IF
(
C2455=""юридична особа""
,
VLOOKUP"&amp;"(D2455,IMPORTRANGE(""https://docs.google.com/spreadsheets/d/14Bd19lYaqBhU8_DElYkX7l4wRkHqqCUFNJY4AfY3kHU/edit?usp=sharing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4" s="7" t="s">
        <v>10</v>
      </c>
      <c r="H2454" s="7">
        <v>4886</v>
      </c>
      <c r="I2454" s="8" t="str">
        <f ca="1">IFERROR(__xludf.DUMMYFUNCTION("IF
(
G2455=""фізична особа""
,
VLOOKUP(H2455,IMPORTRANGE(""https://docs.google.com/spreadsheets/d/14Bd19lYaqBhU8_DElYkX7l4wRkHqqCUFNJY4AfY3kHU/edit?usp=sharing  #gid=0"",""фіз особи new!relations_name""),6,FALSE)
,
(IF
(
G2455=""юридична особа""
,
VLOOKUP"&amp;"(H2455,IMPORTRANGE(""https://docs.google.com/spreadsheets/d/14Bd19lYaqBhU8_DElYkX7l4wRkHqqCUFNJY4AfY3kHU/edit?usp=sharing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J2454" s="7" t="s">
        <v>17</v>
      </c>
    </row>
    <row r="2455" spans="1:10" ht="13.2">
      <c r="A2455" s="7">
        <v>2454</v>
      </c>
      <c r="B2455" s="7">
        <v>1</v>
      </c>
      <c r="C2455" s="7" t="s">
        <v>10</v>
      </c>
      <c r="D2455" s="7">
        <v>699</v>
      </c>
      <c r="E2455" s="7" t="s">
        <v>12</v>
      </c>
      <c r="F2455" s="8" t="str">
        <f ca="1">IFERROR(__xludf.DUMMYFUNCTION("IF
(
C2456=""фізична особа""
,
VLOOKUP(D2456,IMPORTRANGE(""https://docs.google.com/spreadsheets/d/14Bd19lYaqBhU8_DElYkX7l4wRkHqqCUFNJY4AfY3kHU/edit?usp=sharing  #gid=0"",""фіз особи new!relations_name""),6,FALSE)
,
(IF
(
C2456=""юридична особа""
,
VLOOKUP"&amp;"(D2456,IMPORTRANGE(""https://docs.google.com/spreadsheets/d/14Bd19lYaqBhU8_DElYkX7l4wRkHqqCUFNJY4AfY3kHU/edit?usp=sharing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5" s="7" t="s">
        <v>10</v>
      </c>
      <c r="H2455" s="7">
        <v>23444</v>
      </c>
      <c r="I2455" s="8" t="str">
        <f ca="1">IFERROR(__xludf.DUMMYFUNCTION("IF
(
G2456=""фізична особа""
,
VLOOKUP(H2456,IMPORTRANGE(""https://docs.google.com/spreadsheets/d/14Bd19lYaqBhU8_DElYkX7l4wRkHqqCUFNJY4AfY3kHU/edit?usp=sharing  #gid=0"",""фіз особи new!relations_name""),6,FALSE)
,
(IF
(
G2456=""юридична особа""
,
VLOOKUP"&amp;"(H2456,IMPORTRANGE(""https://docs.google.com/spreadsheets/d/14Bd19lYaqBhU8_DElYkX7l4wRkHqqCUFNJY4AfY3kHU/edit?usp=sharing  #gid=0"",""фіз особи new!relations_name_uo""),7,FALSE)
,
)
))"),"МОРОЗОВА Анфіса Сергіївна")</f>
        <v>МОРОЗОВА Анфіса Сергіївна</v>
      </c>
      <c r="J2455" s="7" t="s">
        <v>13</v>
      </c>
    </row>
    <row r="2456" spans="1:10" ht="13.2">
      <c r="A2456" s="7">
        <v>2455</v>
      </c>
      <c r="B2456" s="7">
        <v>1</v>
      </c>
      <c r="C2456" s="7" t="s">
        <v>10</v>
      </c>
      <c r="D2456" s="7">
        <v>699</v>
      </c>
      <c r="E2456" s="7" t="s">
        <v>12</v>
      </c>
      <c r="F2456" s="8" t="str">
        <f ca="1">IFERROR(__xludf.DUMMYFUNCTION("IF
(
C2457=""фізична особа""
,
VLOOKUP(D2457,IMPORTRANGE(""https://docs.google.com/spreadsheets/d/14Bd19lYaqBhU8_DElYkX7l4wRkHqqCUFNJY4AfY3kHU/edit?usp=sharing  #gid=0"",""фіз особи new!relations_name""),6,FALSE)
,
(IF
(
C2457=""юридична особа""
,
VLOOKUP"&amp;"(D2457,IMPORTRANGE(""https://docs.google.com/spreadsheets/d/14Bd19lYaqBhU8_DElYkX7l4wRkHqqCUFNJY4AfY3kHU/edit?usp=sharing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6" s="7" t="s">
        <v>10</v>
      </c>
      <c r="H2456" s="7">
        <v>23445</v>
      </c>
      <c r="I2456" s="8" t="str">
        <f ca="1">IFERROR(__xludf.DUMMYFUNCTION("IF
(
G2457=""фізична особа""
,
VLOOKUP(H2457,IMPORTRANGE(""https://docs.google.com/spreadsheets/d/14Bd19lYaqBhU8_DElYkX7l4wRkHqqCUFNJY4AfY3kHU/edit?usp=sharing  #gid=0"",""фіз особи new!relations_name""),6,FALSE)
,
(IF
(
G2457=""юридична особа""
,
VLOOKUP"&amp;"(H2457,IMPORTRANGE(""https://docs.google.com/spreadsheets/d/14Bd19lYaqBhU8_DElYkX7l4wRkHqqCUFNJY4AfY3kHU/edit?usp=sharing  #gid=0"",""фіз особи new!relations_name_uo""),7,FALSE)
,
)
))"),"МОРОЗОВА Дар'я Сергіївна")</f>
        <v>МОРОЗОВА Дар'я Сергіївна</v>
      </c>
      <c r="J2456" s="7" t="s">
        <v>13</v>
      </c>
    </row>
    <row r="2457" spans="1:10" ht="13.2">
      <c r="A2457" s="7">
        <v>2456</v>
      </c>
      <c r="B2457" s="7">
        <v>1</v>
      </c>
      <c r="C2457" s="7" t="s">
        <v>10</v>
      </c>
      <c r="D2457" s="7">
        <v>699</v>
      </c>
      <c r="E2457" s="7" t="s">
        <v>12</v>
      </c>
      <c r="F2457" s="8" t="str">
        <f ca="1">IFERROR(__xludf.DUMMYFUNCTION("IF
(
C2458=""фізична особа""
,
VLOOKUP(D2458,IMPORTRANGE(""https://docs.google.com/spreadsheets/d/14Bd19lYaqBhU8_DElYkX7l4wRkHqqCUFNJY4AfY3kHU/edit?usp=sharing  #gid=0"",""фіз особи new!relations_name""),6,FALSE)
,
(IF
(
C2458=""юридична особа""
,
VLOOKUP"&amp;"(D2458,IMPORTRANGE(""https://docs.google.com/spreadsheets/d/14Bd19lYaqBhU8_DElYkX7l4wRkHqqCUFNJY4AfY3kHU/edit?usp=sharing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7" s="7" t="s">
        <v>10</v>
      </c>
      <c r="H2457" s="7">
        <v>23446</v>
      </c>
      <c r="I2457" s="8" t="str">
        <f ca="1">IFERROR(__xludf.DUMMYFUNCTION("IF
(
G2458=""фізична особа""
,
VLOOKUP(H2458,IMPORTRANGE(""https://docs.google.com/spreadsheets/d/14Bd19lYaqBhU8_DElYkX7l4wRkHqqCUFNJY4AfY3kHU/edit?usp=sharing  #gid=0"",""фіз особи new!relations_name""),6,FALSE)
,
(IF
(
G2458=""юридична особа""
,
VLOOKUP"&amp;"(H2458,IMPORTRANGE(""https://docs.google.com/spreadsheets/d/14Bd19lYaqBhU8_DElYkX7l4wRkHqqCUFNJY4AfY3kHU/edit?usp=sharing  #gid=0"",""фіз особи new!relations_name_uo""),7,FALSE)
,
)
))"),"МОРОЗОВА Еліна Сергіївна")</f>
        <v>МОРОЗОВА Еліна Сергіївна</v>
      </c>
      <c r="J2457" s="7" t="s">
        <v>13</v>
      </c>
    </row>
    <row r="2458" spans="1:10" ht="13.2">
      <c r="A2458" s="7">
        <v>2457</v>
      </c>
      <c r="B2458" s="7">
        <v>1</v>
      </c>
      <c r="C2458" s="7" t="s">
        <v>10</v>
      </c>
      <c r="D2458" s="7">
        <v>699</v>
      </c>
      <c r="E2458" s="7" t="s">
        <v>14</v>
      </c>
      <c r="F2458" s="8" t="str">
        <f ca="1">IFERROR(__xludf.DUMMYFUNCTION("IF
(
C2459=""фізична особа""
,
VLOOKUP(D2459,IMPORTRANGE(""https://docs.google.com/spreadsheets/d/14Bd19lYaqBhU8_DElYkX7l4wRkHqqCUFNJY4AfY3kHU/edit?usp=sharing  #gid=0"",""фіз особи new!relations_name""),6,FALSE)
,
(IF
(
C2459=""юридична особа""
,
VLOOKUP"&amp;"(D2459,IMPORTRANGE(""https://docs.google.com/spreadsheets/d/14Bd19lYaqBhU8_DElYkX7l4wRkHqqCUFNJY4AfY3kHU/edit?usp=sharing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8" s="7" t="s">
        <v>10</v>
      </c>
      <c r="H2458" s="7">
        <v>4884</v>
      </c>
      <c r="I2458" s="8" t="str">
        <f ca="1">IFERROR(__xludf.DUMMYFUNCTION("IF
(
G2459=""фізична особа""
,
VLOOKUP(H2459,IMPORTRANGE(""https://docs.google.com/spreadsheets/d/14Bd19lYaqBhU8_DElYkX7l4wRkHqqCUFNJY4AfY3kHU/edit?usp=sharing  #gid=0"",""фіз особи new!relations_name""),6,FALSE)
,
(IF
(
G2459=""юридична особа""
,
VLOOKUP"&amp;"(H2459,IMPORTRANGE(""https://docs.google.com/spreadsheets/d/14Bd19lYaqBhU8_DElYkX7l4wRkHqqCUFNJY4AfY3kHU/edit?usp=sharing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J2458" s="7" t="s">
        <v>15</v>
      </c>
    </row>
    <row r="2459" spans="1:10" ht="13.2">
      <c r="A2459" s="7">
        <v>2458</v>
      </c>
      <c r="B2459" s="7">
        <v>1</v>
      </c>
      <c r="C2459" s="7" t="s">
        <v>10</v>
      </c>
      <c r="D2459" s="7">
        <v>699</v>
      </c>
      <c r="E2459" s="7" t="s">
        <v>42</v>
      </c>
      <c r="F2459" s="8" t="str">
        <f ca="1">IFERROR(__xludf.DUMMYFUNCTION("IF
(
C2460=""фізична особа""
,
VLOOKUP(D2460,IMPORTRANGE(""https://docs.google.com/spreadsheets/d/14Bd19lYaqBhU8_DElYkX7l4wRkHqqCUFNJY4AfY3kHU/edit?usp=sharing  #gid=0"",""фіз особи new!relations_name""),6,FALSE)
,
(IF
(
C2460=""юридична особа""
,
VLOOKUP"&amp;"(D2460,IMPORTRANGE(""https://docs.google.com/spreadsheets/d/14Bd19lYaqBhU8_DElYkX7l4wRkHqqCUFNJY4AfY3kHU/edit?usp=sharing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59" s="7" t="s">
        <v>10</v>
      </c>
      <c r="H2459" s="7">
        <v>23447</v>
      </c>
      <c r="I2459" s="8" t="str">
        <f ca="1">IFERROR(__xludf.DUMMYFUNCTION("IF
(
G2460=""фізична особа""
,
VLOOKUP(H2460,IMPORTRANGE(""https://docs.google.com/spreadsheets/d/14Bd19lYaqBhU8_DElYkX7l4wRkHqqCUFNJY4AfY3kHU/edit?usp=sharing  #gid=0"",""фіз особи new!relations_name""),6,FALSE)
,
(IF
(
G2460=""юридична особа""
,
VLOOKUP"&amp;"(H2460,IMPORTRANGE(""https://docs.google.com/spreadsheets/d/14Bd19lYaqBhU8_DElYkX7l4wRkHqqCUFNJY4AfY3kHU/edit?usp=sharing  #gid=0"",""фіз особи new!relations_name_uo""),7,FALSE)
,
)
))"),"МОРОЗОВА Людмила")</f>
        <v>МОРОЗОВА Людмила</v>
      </c>
      <c r="J2459" s="7" t="s">
        <v>43</v>
      </c>
    </row>
    <row r="2460" spans="1:10" ht="13.2">
      <c r="A2460" s="7">
        <v>2459</v>
      </c>
      <c r="B2460" s="7">
        <v>1</v>
      </c>
      <c r="C2460" s="7" t="s">
        <v>10</v>
      </c>
      <c r="D2460" s="7">
        <v>699</v>
      </c>
      <c r="E2460" s="7" t="s">
        <v>26</v>
      </c>
      <c r="F2460" s="8" t="str">
        <f ca="1">IFERROR(__xludf.DUMMYFUNCTION("IF
(
C2461=""фізична особа""
,
VLOOKUP(D2461,IMPORTRANGE(""https://docs.google.com/spreadsheets/d/14Bd19lYaqBhU8_DElYkX7l4wRkHqqCUFNJY4AfY3kHU/edit?usp=sharing  #gid=0"",""фіз особи new!relations_name""),6,FALSE)
,
(IF
(
C2461=""юридична особа""
,
VLOOKUP"&amp;"(D2461,IMPORTRANGE(""https://docs.google.com/spreadsheets/d/14Bd19lYaqBhU8_DElYkX7l4wRkHqqCUFNJY4AfY3kHU/edit?usp=sharing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60" s="7" t="s">
        <v>10</v>
      </c>
      <c r="H2460" s="7">
        <v>15513</v>
      </c>
      <c r="I2460" s="8" t="str">
        <f ca="1">IFERROR(__xludf.DUMMYFUNCTION("IF
(
G2461=""фізична особа""
,
VLOOKUP(H2461,IMPORTRANGE(""https://docs.google.com/spreadsheets/d/14Bd19lYaqBhU8_DElYkX7l4wRkHqqCUFNJY4AfY3kHU/edit?usp=sharing  #gid=0"",""фіз особи new!relations_name""),6,FALSE)
,
(IF
(
G2461=""юридична особа""
,
VLOOKUP"&amp;"(H2461,IMPORTRANGE(""https://docs.google.com/spreadsheets/d/14Bd19lYaqBhU8_DElYkX7l4wRkHqqCUFNJY4AfY3kHU/edit?usp=sharing  #gid=0"",""фіз особи new!relations_name_uo""),7,FALSE)
,
)
))"),"ГІЛЬДІНА Валентина Олексіївна")</f>
        <v>ГІЛЬДІНА Валентина Олексіївна</v>
      </c>
      <c r="J2460" s="7" t="s">
        <v>27</v>
      </c>
    </row>
    <row r="2461" spans="1:10" ht="13.2">
      <c r="A2461" s="7">
        <v>2460</v>
      </c>
      <c r="B2461" s="7">
        <v>1</v>
      </c>
      <c r="C2461" s="7" t="s">
        <v>10</v>
      </c>
      <c r="D2461" s="7">
        <v>699</v>
      </c>
      <c r="E2461" s="7" t="s">
        <v>48</v>
      </c>
      <c r="F2461" s="8" t="str">
        <f ca="1">IFERROR(__xludf.DUMMYFUNCTION("IF
(
C2462=""фізична особа""
,
VLOOKUP(D2462,IMPORTRANGE(""https://docs.google.com/spreadsheets/d/14Bd19lYaqBhU8_DElYkX7l4wRkHqqCUFNJY4AfY3kHU/edit?usp=sharing  #gid=0"",""фіз особи new!relations_name""),6,FALSE)
,
(IF
(
C2462=""юридична особа""
,
VLOOKUP"&amp;"(D2462,IMPORTRANGE(""https://docs.google.com/spreadsheets/d/14Bd19lYaqBhU8_DElYkX7l4wRkHqqCUFNJY4AfY3kHU/edit?usp=sharing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G2461" s="7" t="s">
        <v>10</v>
      </c>
      <c r="H2461" s="7">
        <v>0</v>
      </c>
      <c r="I2461" s="8" t="str">
        <f ca="1">IFERROR(__xludf.DUMMYFUNCTION("IF
(
G2462=""фізична особа""
,
VLOOKUP(H2462,IMPORTRANGE(""https://docs.google.com/spreadsheets/d/14Bd19lYaqBhU8_DElYkX7l4wRkHqqCUFNJY4AfY3kHU/edit?usp=sharing  #gid=0"",""фіз особи new!relations_name""),6,FALSE)
,
(IF
(
G2462=""юридична особа""
,
VLOOKUP"&amp;"(H2462,IMPORTRANGE(""https://docs.google.com/spreadsheets/d/14Bd19lYaqBhU8_DElYkX7l4wRkHqqCUFNJY4AfY3kHU/edit?usp=sharing  #gid=0"",""фіз особи new!relations_name_uo""),7,FALSE)
,
)
))"),"#N/A")</f>
        <v>#N/A</v>
      </c>
      <c r="J2461" s="7" t="s">
        <v>48</v>
      </c>
    </row>
    <row r="2462" spans="1:10" ht="13.2">
      <c r="A2462" s="7">
        <v>2461</v>
      </c>
      <c r="B2462" s="7">
        <v>1</v>
      </c>
      <c r="C2462" s="7" t="s">
        <v>10</v>
      </c>
      <c r="D2462" s="7">
        <v>700</v>
      </c>
      <c r="E2462" s="7" t="s">
        <v>14</v>
      </c>
      <c r="F2462" s="8" t="str">
        <f ca="1">IFERROR(__xludf.DUMMYFUNCTION("IF
(
C2463=""фізична особа""
,
VLOOKUP(D2463,IMPORTRANGE(""https://docs.google.com/spreadsheets/d/14Bd19lYaqBhU8_DElYkX7l4wRkHqqCUFNJY4AfY3kHU/edit?usp=sharing  #gid=0"",""фіз особи new!relations_name""),6,FALSE)
,
(IF
(
C2463=""юридична особа""
,
VLOOKUP"&amp;"(D2463,IMPORTRANGE(""https://docs.google.com/spreadsheets/d/14Bd19lYaqBhU8_DElYkX7l4wRkHqqCUFNJY4AfY3kHU/edit?usp=sharing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2" s="7" t="s">
        <v>10</v>
      </c>
      <c r="H2462" s="7">
        <v>4818</v>
      </c>
      <c r="I2462" s="8" t="str">
        <f ca="1">IFERROR(__xludf.DUMMYFUNCTION("IF
(
G2463=""фізична особа""
,
VLOOKUP(H2463,IMPORTRANGE(""https://docs.google.com/spreadsheets/d/14Bd19lYaqBhU8_DElYkX7l4wRkHqqCUFNJY4AfY3kHU/edit?usp=sharing  #gid=0"",""фіз особи new!relations_name""),6,FALSE)
,
(IF
(
G2463=""юридична особа""
,
VLOOKUP"&amp;"(H2463,IMPORTRANGE(""https://docs.google.com/spreadsheets/d/14Bd19lYaqBhU8_DElYkX7l4wRkHqqCUFNJY4AfY3kHU/edit?usp=sharing  #gid=0"",""фіз особи new!relations_name_uo""),7,FALSE)
,
)
))"),"БОЯРСЬКА Катерина")</f>
        <v>БОЯРСЬКА Катерина</v>
      </c>
      <c r="J2462" s="7" t="s">
        <v>15</v>
      </c>
    </row>
    <row r="2463" spans="1:10" ht="13.2">
      <c r="A2463" s="7">
        <v>2462</v>
      </c>
      <c r="B2463" s="7">
        <v>1</v>
      </c>
      <c r="C2463" s="7" t="s">
        <v>10</v>
      </c>
      <c r="D2463" s="7">
        <v>700</v>
      </c>
      <c r="E2463" s="7" t="s">
        <v>12</v>
      </c>
      <c r="F2463" s="8" t="str">
        <f ca="1">IFERROR(__xludf.DUMMYFUNCTION("IF
(
C2464=""фізична особа""
,
VLOOKUP(D2464,IMPORTRANGE(""https://docs.google.com/spreadsheets/d/14Bd19lYaqBhU8_DElYkX7l4wRkHqqCUFNJY4AfY3kHU/edit?usp=sharing  #gid=0"",""фіз особи new!relations_name""),6,FALSE)
,
(IF
(
C2464=""юридична особа""
,
VLOOKUP"&amp;"(D2464,IMPORTRANGE(""https://docs.google.com/spreadsheets/d/14Bd19lYaqBhU8_DElYkX7l4wRkHqqCUFNJY4AfY3kHU/edit?usp=sharing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3" s="7" t="s">
        <v>10</v>
      </c>
      <c r="H2463" s="7">
        <v>0</v>
      </c>
      <c r="I2463" s="8" t="str">
        <f ca="1">IFERROR(__xludf.DUMMYFUNCTION("IF
(
G2464=""фізична особа""
,
VLOOKUP(H2464,IMPORTRANGE(""https://docs.google.com/spreadsheets/d/14Bd19lYaqBhU8_DElYkX7l4wRkHqqCUFNJY4AfY3kHU/edit?usp=sharing  #gid=0"",""фіз особи new!relations_name""),6,FALSE)
,
(IF
(
G2464=""юридична особа""
,
VLOOKUP"&amp;"(H2464,IMPORTRANGE(""https://docs.google.com/spreadsheets/d/14Bd19lYaqBhU8_DElYkX7l4wRkHqqCUFNJY4AfY3kHU/edit?usp=sharing  #gid=0"",""фіз особи new!relations_name_uo""),7,FALSE)
,
)
))"),"#N/A")</f>
        <v>#N/A</v>
      </c>
      <c r="J2463" s="7" t="s">
        <v>13</v>
      </c>
    </row>
    <row r="2464" spans="1:10" ht="13.2">
      <c r="A2464" s="7">
        <v>2463</v>
      </c>
      <c r="B2464" s="7">
        <v>1</v>
      </c>
      <c r="C2464" s="7" t="s">
        <v>10</v>
      </c>
      <c r="D2464" s="7">
        <v>700</v>
      </c>
      <c r="E2464" s="7" t="s">
        <v>12</v>
      </c>
      <c r="F2464" s="8" t="str">
        <f ca="1">IFERROR(__xludf.DUMMYFUNCTION("IF
(
C2465=""фізична особа""
,
VLOOKUP(D2465,IMPORTRANGE(""https://docs.google.com/spreadsheets/d/14Bd19lYaqBhU8_DElYkX7l4wRkHqqCUFNJY4AfY3kHU/edit?usp=sharing  #gid=0"",""фіз особи new!relations_name""),6,FALSE)
,
(IF
(
C2465=""юридична особа""
,
VLOOKUP"&amp;"(D2465,IMPORTRANGE(""https://docs.google.com/spreadsheets/d/14Bd19lYaqBhU8_DElYkX7l4wRkHqqCUFNJY4AfY3kHU/edit?usp=sharing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4" s="7" t="s">
        <v>10</v>
      </c>
      <c r="H2464" s="7">
        <v>0</v>
      </c>
      <c r="I2464" s="8" t="str">
        <f ca="1">IFERROR(__xludf.DUMMYFUNCTION("IF
(
G2465=""фізична особа""
,
VLOOKUP(H2465,IMPORTRANGE(""https://docs.google.com/spreadsheets/d/14Bd19lYaqBhU8_DElYkX7l4wRkHqqCUFNJY4AfY3kHU/edit?usp=sharing  #gid=0"",""фіз особи new!relations_name""),6,FALSE)
,
(IF
(
G2465=""юридична особа""
,
VLOOKUP"&amp;"(H2465,IMPORTRANGE(""https://docs.google.com/spreadsheets/d/14Bd19lYaqBhU8_DElYkX7l4wRkHqqCUFNJY4AfY3kHU/edit?usp=sharing  #gid=0"",""фіз особи new!relations_name_uo""),7,FALSE)
,
)
))"),"#N/A")</f>
        <v>#N/A</v>
      </c>
      <c r="J2464" s="7" t="s">
        <v>13</v>
      </c>
    </row>
    <row r="2465" spans="1:10" ht="13.2">
      <c r="A2465" s="7">
        <v>2464</v>
      </c>
      <c r="B2465" s="7">
        <v>1</v>
      </c>
      <c r="C2465" s="7" t="s">
        <v>10</v>
      </c>
      <c r="D2465" s="7">
        <v>700</v>
      </c>
      <c r="E2465" s="7" t="s">
        <v>18</v>
      </c>
      <c r="F2465" s="8" t="str">
        <f ca="1">IFERROR(__xludf.DUMMYFUNCTION("IF
(
C2466=""фізична особа""
,
VLOOKUP(D2466,IMPORTRANGE(""https://docs.google.com/spreadsheets/d/14Bd19lYaqBhU8_DElYkX7l4wRkHqqCUFNJY4AfY3kHU/edit?usp=sharing  #gid=0"",""фіз особи new!relations_name""),6,FALSE)
,
(IF
(
C2466=""юридична особа""
,
VLOOKUP"&amp;"(D2466,IMPORTRANGE(""https://docs.google.com/spreadsheets/d/14Bd19lYaqBhU8_DElYkX7l4wRkHqqCUFNJY4AfY3kHU/edit?usp=sharing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5" s="7" t="s">
        <v>10</v>
      </c>
      <c r="H2465" s="7">
        <v>23448</v>
      </c>
      <c r="I2465" s="8" t="str">
        <f ca="1">IFERROR(__xludf.DUMMYFUNCTION("IF
(
G2466=""фізична особа""
,
VLOOKUP(H2466,IMPORTRANGE(""https://docs.google.com/spreadsheets/d/14Bd19lYaqBhU8_DElYkX7l4wRkHqqCUFNJY4AfY3kHU/edit?usp=sharing  #gid=0"",""фіз особи new!relations_name""),6,FALSE)
,
(IF
(
G2466=""юридична особа""
,
VLOOKUP"&amp;"(H2466,IMPORTRANGE(""https://docs.google.com/spreadsheets/d/14Bd19lYaqBhU8_DElYkX7l4wRkHqqCUFNJY4AfY3kHU/edit?usp=sharing  #gid=0"",""фіз особи new!relations_name_uo""),7,FALSE)
,
)
))"),"БОЯРСЬКА Єлизавета Михайлівна")</f>
        <v>БОЯРСЬКА Єлизавета Михайлівна</v>
      </c>
      <c r="J2465" s="7" t="s">
        <v>31</v>
      </c>
    </row>
    <row r="2466" spans="1:10" ht="13.2">
      <c r="A2466" s="7">
        <v>2465</v>
      </c>
      <c r="B2466" s="7">
        <v>1</v>
      </c>
      <c r="C2466" s="7" t="s">
        <v>10</v>
      </c>
      <c r="D2466" s="7">
        <v>700</v>
      </c>
      <c r="E2466" s="7" t="s">
        <v>17</v>
      </c>
      <c r="F2466" s="8" t="str">
        <f ca="1">IFERROR(__xludf.DUMMYFUNCTION("IF
(
C2467=""фізична особа""
,
VLOOKUP(D2467,IMPORTRANGE(""https://docs.google.com/spreadsheets/d/14Bd19lYaqBhU8_DElYkX7l4wRkHqqCUFNJY4AfY3kHU/edit?usp=sharing  #gid=0"",""фіз особи new!relations_name""),6,FALSE)
,
(IF
(
C2467=""юридична особа""
,
VLOOKUP"&amp;"(D2467,IMPORTRANGE(""https://docs.google.com/spreadsheets/d/14Bd19lYaqBhU8_DElYkX7l4wRkHqqCUFNJY4AfY3kHU/edit?usp=sharing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6" s="7" t="s">
        <v>10</v>
      </c>
      <c r="H2466" s="7">
        <v>2099</v>
      </c>
      <c r="I2466" s="8" t="str">
        <f ca="1">IFERROR(__xludf.DUMMYFUNCTION("IF
(
G2467=""фізична особа""
,
VLOOKUP(H2467,IMPORTRANGE(""https://docs.google.com/spreadsheets/d/14Bd19lYaqBhU8_DElYkX7l4wRkHqqCUFNJY4AfY3kHU/edit?usp=sharing  #gid=0"",""фіз особи new!relations_name""),6,FALSE)
,
(IF
(
G2467=""юридична особа""
,
VLOOKUP"&amp;"(H2467,IMPORTRANGE(""https://docs.google.com/spreadsheets/d/14Bd19lYaqBhU8_DElYkX7l4wRkHqqCUFNJY4AfY3kHU/edit?usp=sharing  #gid=0"",""фіз особи new!relations_name_uo""),7,FALSE)
,
)
))"),"БОЯРСЬКИЙ Михайло Сергійович")</f>
        <v>БОЯРСЬКИЙ Михайло Сергійович</v>
      </c>
      <c r="J2466" s="7" t="s">
        <v>12</v>
      </c>
    </row>
    <row r="2467" spans="1:10" ht="13.2">
      <c r="A2467" s="7">
        <v>2466</v>
      </c>
      <c r="B2467" s="7">
        <v>1</v>
      </c>
      <c r="C2467" s="7" t="s">
        <v>10</v>
      </c>
      <c r="D2467" s="7">
        <v>700</v>
      </c>
      <c r="E2467" s="7" t="s">
        <v>17</v>
      </c>
      <c r="F2467" s="8" t="str">
        <f ca="1">IFERROR(__xludf.DUMMYFUNCTION("IF
(
C2468=""фізична особа""
,
VLOOKUP(D2468,IMPORTRANGE(""https://docs.google.com/spreadsheets/d/14Bd19lYaqBhU8_DElYkX7l4wRkHqqCUFNJY4AfY3kHU/edit?usp=sharing  #gid=0"",""фіз особи new!relations_name""),6,FALSE)
,
(IF
(
C2468=""юридична особа""
,
VLOOKUP"&amp;"(D2468,IMPORTRANGE(""https://docs.google.com/spreadsheets/d/14Bd19lYaqBhU8_DElYkX7l4wRkHqqCUFNJY4AfY3kHU/edit?usp=sharing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G2467" s="7" t="s">
        <v>10</v>
      </c>
      <c r="H2467" s="7">
        <v>0</v>
      </c>
      <c r="I2467" s="8" t="str">
        <f ca="1">IFERROR(__xludf.DUMMYFUNCTION("IF
(
G2468=""фізична особа""
,
VLOOKUP(H2468,IMPORTRANGE(""https://docs.google.com/spreadsheets/d/14Bd19lYaqBhU8_DElYkX7l4wRkHqqCUFNJY4AfY3kHU/edit?usp=sharing  #gid=0"",""фіз особи new!relations_name""),6,FALSE)
,
(IF
(
G2468=""юридична особа""
,
VLOOKUP"&amp;"(H2468,IMPORTRANGE(""https://docs.google.com/spreadsheets/d/14Bd19lYaqBhU8_DElYkX7l4wRkHqqCUFNJY4AfY3kHU/edit?usp=sharing  #gid=0"",""фіз особи new!relations_name_uo""),7,FALSE)
,
)
))"),"#N/A")</f>
        <v>#N/A</v>
      </c>
      <c r="J2467" s="7" t="s">
        <v>21</v>
      </c>
    </row>
    <row r="2468" spans="1:10" ht="13.2">
      <c r="A2468" s="7">
        <v>2467</v>
      </c>
      <c r="B2468" s="7">
        <v>1</v>
      </c>
      <c r="C2468" s="7" t="s">
        <v>10</v>
      </c>
      <c r="D2468" s="7">
        <v>701</v>
      </c>
      <c r="E2468" s="7" t="s">
        <v>12</v>
      </c>
      <c r="F2468" s="8" t="str">
        <f ca="1">IFERROR(__xludf.DUMMYFUNCTION("IF
(
C2469=""фізична особа""
,
VLOOKUP(D2469,IMPORTRANGE(""https://docs.google.com/spreadsheets/d/14Bd19lYaqBhU8_DElYkX7l4wRkHqqCUFNJY4AfY3kHU/edit?usp=sharing  #gid=0"",""фіз особи new!relations_name""),6,FALSE)
,
(IF
(
C2469=""юридична особа""
,
VLOOKUP"&amp;"(D2469,IMPORTRANGE(""https://docs.google.com/spreadsheets/d/14Bd19lYaqBhU8_DElYkX7l4wRkHqqCUFNJY4AfY3kHU/edit?usp=sharing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G2468" s="7" t="s">
        <v>10</v>
      </c>
      <c r="H2468" s="7">
        <v>15514</v>
      </c>
      <c r="I2468" s="8" t="str">
        <f ca="1">IFERROR(__xludf.DUMMYFUNCTION("IF
(
G2469=""фізична особа""
,
VLOOKUP(H2469,IMPORTRANGE(""https://docs.google.com/spreadsheets/d/14Bd19lYaqBhU8_DElYkX7l4wRkHqqCUFNJY4AfY3kHU/edit?usp=sharing  #gid=0"",""фіз особи new!relations_name""),6,FALSE)
,
(IF
(
G2469=""юридична особа""
,
VLOOKUP"&amp;"(H2469,IMPORTRANGE(""https://docs.google.com/spreadsheets/d/14Bd19lYaqBhU8_DElYkX7l4wRkHqqCUFNJY4AfY3kHU/edit?usp=sharing  #gid=0"",""фіз особи new!relations_name_uo""),7,FALSE)
,
)
))"),"ТЕРЕНТЬЄВ Антон Олександрович")</f>
        <v>ТЕРЕНТЬЄВ Антон Олександрович</v>
      </c>
      <c r="J2468" s="7" t="s">
        <v>17</v>
      </c>
    </row>
    <row r="2469" spans="1:10" ht="13.2">
      <c r="A2469" s="7">
        <v>2468</v>
      </c>
      <c r="B2469" s="7">
        <v>1</v>
      </c>
      <c r="C2469" s="7" t="s">
        <v>10</v>
      </c>
      <c r="D2469" s="7">
        <v>701</v>
      </c>
      <c r="E2469" s="7" t="s">
        <v>12</v>
      </c>
      <c r="F2469" s="8" t="str">
        <f ca="1">IFERROR(__xludf.DUMMYFUNCTION("IF
(
C2470=""фізична особа""
,
VLOOKUP(D2470,IMPORTRANGE(""https://docs.google.com/spreadsheets/d/14Bd19lYaqBhU8_DElYkX7l4wRkHqqCUFNJY4AfY3kHU/edit?usp=sharing  #gid=0"",""фіз особи new!relations_name""),6,FALSE)
,
(IF
(
C2470=""юридична особа""
,
VLOOKUP"&amp;"(D2470,IMPORTRANGE(""https://docs.google.com/spreadsheets/d/14Bd19lYaqBhU8_DElYkX7l4wRkHqqCUFNJY4AfY3kHU/edit?usp=sharing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G2469" s="7" t="s">
        <v>10</v>
      </c>
      <c r="H2469" s="7">
        <v>0</v>
      </c>
      <c r="I2469" s="8" t="str">
        <f ca="1">IFERROR(__xludf.DUMMYFUNCTION("IF
(
G2470=""фізична особа""
,
VLOOKUP(H2470,IMPORTRANGE(""https://docs.google.com/spreadsheets/d/14Bd19lYaqBhU8_DElYkX7l4wRkHqqCUFNJY4AfY3kHU/edit?usp=sharing  #gid=0"",""фіз особи new!relations_name""),6,FALSE)
,
(IF
(
G2470=""юридична особа""
,
VLOOKUP"&amp;"(H2470,IMPORTRANGE(""https://docs.google.com/spreadsheets/d/14Bd19lYaqBhU8_DElYkX7l4wRkHqqCUFNJY4AfY3kHU/edit?usp=sharing  #gid=0"",""фіз особи new!relations_name_uo""),7,FALSE)
,
)
))"),"#N/A")</f>
        <v>#N/A</v>
      </c>
      <c r="J2469" s="7" t="s">
        <v>17</v>
      </c>
    </row>
    <row r="2470" spans="1:10" ht="13.2">
      <c r="A2470" s="7">
        <v>2469</v>
      </c>
      <c r="B2470" s="7">
        <v>1</v>
      </c>
      <c r="C2470" s="7" t="s">
        <v>10</v>
      </c>
      <c r="D2470" s="7">
        <v>701</v>
      </c>
      <c r="E2470" s="7" t="s">
        <v>14</v>
      </c>
      <c r="F2470" s="8" t="str">
        <f ca="1">IFERROR(__xludf.DUMMYFUNCTION("IF
(
C2471=""фізична особа""
,
VLOOKUP(D2471,IMPORTRANGE(""https://docs.google.com/spreadsheets/d/14Bd19lYaqBhU8_DElYkX7l4wRkHqqCUFNJY4AfY3kHU/edit?usp=sharing  #gid=0"",""фіз особи new!relations_name""),6,FALSE)
,
(IF
(
C2471=""юридична особа""
,
VLOOKUP"&amp;"(D2471,IMPORTRANGE(""https://docs.google.com/spreadsheets/d/14Bd19lYaqBhU8_DElYkX7l4wRkHqqCUFNJY4AfY3kHU/edit?usp=sharing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G2470" s="7" t="s">
        <v>10</v>
      </c>
      <c r="H2470" s="7">
        <v>15515</v>
      </c>
      <c r="I2470" s="8" t="str">
        <f ca="1">IFERROR(__xludf.DUMMYFUNCTION("IF
(
G2471=""фізична особа""
,
VLOOKUP(H2471,IMPORTRANGE(""https://docs.google.com/spreadsheets/d/14Bd19lYaqBhU8_DElYkX7l4wRkHqqCUFNJY4AfY3kHU/edit?usp=sharing  #gid=0"",""фіз особи new!relations_name""),6,FALSE)
,
(IF
(
G2471=""юридична особа""
,
VLOOKUP"&amp;"(H2471,IMPORTRANGE(""https://docs.google.com/spreadsheets/d/14Bd19lYaqBhU8_DElYkX7l4wRkHqqCUFNJY4AfY3kHU/edit?usp=sharing  #gid=0"",""фіз особи new!relations_name_uo""),7,FALSE)
,
)
))"),"ТЕРЕНТЬЄВА Ольга Анатоліївна")</f>
        <v>ТЕРЕНТЬЄВА Ольга Анатоліївна</v>
      </c>
      <c r="J2470" s="7" t="s">
        <v>15</v>
      </c>
    </row>
    <row r="2471" spans="1:10" ht="13.2">
      <c r="A2471" s="7">
        <v>2470</v>
      </c>
      <c r="B2471" s="7">
        <v>1</v>
      </c>
      <c r="C2471" s="7" t="s">
        <v>10</v>
      </c>
      <c r="D2471" s="7">
        <v>702</v>
      </c>
      <c r="E2471" s="7" t="s">
        <v>48</v>
      </c>
      <c r="F2471" s="8" t="str">
        <f ca="1">IFERROR(__xludf.DUMMYFUNCTION("IF
(
C2472=""фізична особа""
,
VLOOKUP(D2472,IMPORTRANGE(""https://docs.google.com/spreadsheets/d/14Bd19lYaqBhU8_DElYkX7l4wRkHqqCUFNJY4AfY3kHU/edit?usp=sharing  #gid=0"",""фіз особи new!relations_name""),6,FALSE)
,
(IF
(
C2472=""юридична особа""
,
VLOOKUP"&amp;"(D2472,IMPORTRANGE(""https://docs.google.com/spreadsheets/d/14Bd19lYaqBhU8_DElYkX7l4wRkHqqCUFNJY4AfY3kHU/edit?usp=sharing  #gid=0"",""фіз особи new!relations_name_uo""),7,FALSE)
,
)
))"),"ПАНТЕЛЄЄВ Сергій Михайлович")</f>
        <v>ПАНТЕЛЄЄВ Сергій Михайлович</v>
      </c>
      <c r="G2471" s="7" t="s">
        <v>10</v>
      </c>
      <c r="H2471" s="7">
        <v>21031</v>
      </c>
      <c r="I2471" s="8" t="str">
        <f ca="1">IFERROR(__xludf.DUMMYFUNCTION("IF
(
G2472=""фізична особа""
,
VLOOKUP(H2472,IMPORTRANGE(""https://docs.google.com/spreadsheets/d/14Bd19lYaqBhU8_DElYkX7l4wRkHqqCUFNJY4AfY3kHU/edit?usp=sharing  #gid=0"",""фіз особи new!relations_name""),6,FALSE)
,
(IF
(
G2472=""юридична особа""
,
VLOOKUP"&amp;"(H2472,IMPORTRANGE(""https://docs.google.com/spreadsheets/d/14Bd19lYaqBhU8_DElYkX7l4wRkHqqCUFNJY4AfY3kHU/edit?usp=sharing  #gid=0"",""фіз особи new!relations_name_uo""),7,FALSE)
,
)
))"),"БЄЛЯКОВ Андрій Вікторович")</f>
        <v>БЄЛЯКОВ Андрій Вікторович</v>
      </c>
      <c r="J2471" s="7" t="s">
        <v>48</v>
      </c>
    </row>
    <row r="2472" spans="1:10" ht="13.2">
      <c r="A2472" s="7">
        <v>2471</v>
      </c>
      <c r="B2472" s="7">
        <v>1</v>
      </c>
      <c r="C2472" s="7" t="s">
        <v>10</v>
      </c>
      <c r="D2472" s="7">
        <v>703</v>
      </c>
      <c r="E2472" s="7" t="s">
        <v>12</v>
      </c>
      <c r="F2472" s="8" t="str">
        <f ca="1">IFERROR(__xludf.DUMMYFUNCTION("IF
(
C2473=""фізична особа""
,
VLOOKUP(D2473,IMPORTRANGE(""https://docs.google.com/spreadsheets/d/14Bd19lYaqBhU8_DElYkX7l4wRkHqqCUFNJY4AfY3kHU/edit?usp=sharing  #gid=0"",""фіз особи new!relations_name""),6,FALSE)
,
(IF
(
C2473=""юридична особа""
,
VLOOKUP"&amp;"(D2473,IMPORTRANGE(""https://docs.google.com/spreadsheets/d/14Bd19lYaqBhU8_DElYkX7l4wRkHqqCUFNJY4AfY3kHU/edit?usp=sharing  #gid=0"",""фіз особи new!relations_name_uo""),7,FALSE)
,
)
))"),"СОКОЛ Сергій Михайлович")</f>
        <v>СОКОЛ Сергій Михайлович</v>
      </c>
      <c r="G2472" s="7" t="s">
        <v>10</v>
      </c>
      <c r="H2472" s="7">
        <v>0</v>
      </c>
      <c r="I2472" s="8" t="str">
        <f ca="1">IFERROR(__xludf.DUMMYFUNCTION("IF
(
G2473=""фізична особа""
,
VLOOKUP(H2473,IMPORTRANGE(""https://docs.google.com/spreadsheets/d/14Bd19lYaqBhU8_DElYkX7l4wRkHqqCUFNJY4AfY3kHU/edit?usp=sharing  #gid=0"",""фіз особи new!relations_name""),6,FALSE)
,
(IF
(
G2473=""юридична особа""
,
VLOOKUP"&amp;"(H2473,IMPORTRANGE(""https://docs.google.com/spreadsheets/d/14Bd19lYaqBhU8_DElYkX7l4wRkHqqCUFNJY4AfY3kHU/edit?usp=sharing  #gid=0"",""фіз особи new!relations_name_uo""),7,FALSE)
,
)
))"),"#N/A")</f>
        <v>#N/A</v>
      </c>
      <c r="J2472" s="7" t="s">
        <v>17</v>
      </c>
    </row>
    <row r="2473" spans="1:10" ht="13.2">
      <c r="A2473" s="7">
        <v>2472</v>
      </c>
      <c r="B2473" s="7">
        <v>1</v>
      </c>
      <c r="C2473" s="7" t="s">
        <v>10</v>
      </c>
      <c r="D2473" s="7">
        <v>703</v>
      </c>
      <c r="E2473" s="7" t="s">
        <v>12</v>
      </c>
      <c r="F2473" s="8" t="str">
        <f ca="1">IFERROR(__xludf.DUMMYFUNCTION("IF
(
C2474=""фізична особа""
,
VLOOKUP(D2474,IMPORTRANGE(""https://docs.google.com/spreadsheets/d/14Bd19lYaqBhU8_DElYkX7l4wRkHqqCUFNJY4AfY3kHU/edit?usp=sharing  #gid=0"",""фіз особи new!relations_name""),6,FALSE)
,
(IF
(
C2474=""юридична особа""
,
VLOOKUP"&amp;"(D2474,IMPORTRANGE(""https://docs.google.com/spreadsheets/d/14Bd19lYaqBhU8_DElYkX7l4wRkHqqCUFNJY4AfY3kHU/edit?usp=sharing  #gid=0"",""фіз особи new!relations_name_uo""),7,FALSE)
,
)
))"),"СОКОЛ Сергій Михайлович")</f>
        <v>СОКОЛ Сергій Михайлович</v>
      </c>
      <c r="G2473" s="7" t="s">
        <v>10</v>
      </c>
      <c r="H2473" s="7">
        <v>0</v>
      </c>
      <c r="I2473" s="8" t="str">
        <f ca="1">IFERROR(__xludf.DUMMYFUNCTION("IF
(
G2474=""фізична особа""
,
VLOOKUP(H2474,IMPORTRANGE(""https://docs.google.com/spreadsheets/d/14Bd19lYaqBhU8_DElYkX7l4wRkHqqCUFNJY4AfY3kHU/edit?usp=sharing  #gid=0"",""фіз особи new!relations_name""),6,FALSE)
,
(IF
(
G2474=""юридична особа""
,
VLOOKUP"&amp;"(H2474,IMPORTRANGE(""https://docs.google.com/spreadsheets/d/14Bd19lYaqBhU8_DElYkX7l4wRkHqqCUFNJY4AfY3kHU/edit?usp=sharing  #gid=0"",""фіз особи new!relations_name_uo""),7,FALSE)
,
)
))"),"#N/A")</f>
        <v>#N/A</v>
      </c>
      <c r="J2473" s="7" t="s">
        <v>17</v>
      </c>
    </row>
    <row r="2474" spans="1:10" ht="13.2">
      <c r="A2474" s="7">
        <v>2473</v>
      </c>
      <c r="B2474" s="7">
        <v>1</v>
      </c>
      <c r="C2474" s="7" t="s">
        <v>10</v>
      </c>
      <c r="D2474" s="7">
        <v>703</v>
      </c>
      <c r="E2474" s="7" t="s">
        <v>48</v>
      </c>
      <c r="F2474" s="8" t="str">
        <f ca="1">IFERROR(__xludf.DUMMYFUNCTION("IF
(
C2475=""фізична особа""
,
VLOOKUP(D2475,IMPORTRANGE(""https://docs.google.com/spreadsheets/d/14Bd19lYaqBhU8_DElYkX7l4wRkHqqCUFNJY4AfY3kHU/edit?usp=sharing  #gid=0"",""фіз особи new!relations_name""),6,FALSE)
,
(IF
(
C2475=""юридична особа""
,
VLOOKUP"&amp;"(D2475,IMPORTRANGE(""https://docs.google.com/spreadsheets/d/14Bd19lYaqBhU8_DElYkX7l4wRkHqqCUFNJY4AfY3kHU/edit?usp=sharing  #gid=0"",""фіз особи new!relations_name_uo""),7,FALSE)
,
)
))"),"СОКОЛ Сергій Михайлович")</f>
        <v>СОКОЛ Сергій Михайлович</v>
      </c>
      <c r="G2474" s="7" t="s">
        <v>10</v>
      </c>
      <c r="H2474" s="7">
        <v>0</v>
      </c>
      <c r="I2474" s="8" t="str">
        <f ca="1">IFERROR(__xludf.DUMMYFUNCTION("IF
(
G2475=""фізична особа""
,
VLOOKUP(H2475,IMPORTRANGE(""https://docs.google.com/spreadsheets/d/14Bd19lYaqBhU8_DElYkX7l4wRkHqqCUFNJY4AfY3kHU/edit?usp=sharing  #gid=0"",""фіз особи new!relations_name""),6,FALSE)
,
(IF
(
G2475=""юридична особа""
,
VLOOKUP"&amp;"(H2475,IMPORTRANGE(""https://docs.google.com/spreadsheets/d/14Bd19lYaqBhU8_DElYkX7l4wRkHqqCUFNJY4AfY3kHU/edit?usp=sharing  #gid=0"",""фіз особи new!relations_name_uo""),7,FALSE)
,
)
))"),"#N/A")</f>
        <v>#N/A</v>
      </c>
      <c r="J2474" s="7" t="s">
        <v>48</v>
      </c>
    </row>
    <row r="2475" spans="1:10" ht="13.2">
      <c r="A2475" s="7">
        <v>2474</v>
      </c>
      <c r="B2475" s="7">
        <v>1</v>
      </c>
      <c r="C2475" s="7" t="s">
        <v>10</v>
      </c>
      <c r="D2475" s="7">
        <v>703</v>
      </c>
      <c r="E2475" s="7" t="s">
        <v>48</v>
      </c>
      <c r="F2475" s="8" t="str">
        <f ca="1">IFERROR(__xludf.DUMMYFUNCTION("IF
(
C2476=""фізична особа""
,
VLOOKUP(D2476,IMPORTRANGE(""https://docs.google.com/spreadsheets/d/14Bd19lYaqBhU8_DElYkX7l4wRkHqqCUFNJY4AfY3kHU/edit?usp=sharing  #gid=0"",""фіз особи new!relations_name""),6,FALSE)
,
(IF
(
C2476=""юридична особа""
,
VLOOKUP"&amp;"(D2476,IMPORTRANGE(""https://docs.google.com/spreadsheets/d/14Bd19lYaqBhU8_DElYkX7l4wRkHqqCUFNJY4AfY3kHU/edit?usp=sharing  #gid=0"",""фіз особи new!relations_name_uo""),7,FALSE)
,
)
))"),"СОКОЛ Сергій Михайлович")</f>
        <v>СОКОЛ Сергій Михайлович</v>
      </c>
      <c r="G2475" s="7" t="s">
        <v>10</v>
      </c>
      <c r="H2475" s="7">
        <v>150</v>
      </c>
      <c r="I2475" s="8" t="str">
        <f ca="1">IFERROR(__xludf.DUMMYFUNCTION("IF
(
G2476=""фізична особа""
,
VLOOKUP(H2476,IMPORTRANGE(""https://docs.google.com/spreadsheets/d/14Bd19lYaqBhU8_DElYkX7l4wRkHqqCUFNJY4AfY3kHU/edit?usp=sharing  #gid=0"",""фіз особи new!relations_name""),6,FALSE)
,
(IF
(
G2476=""юридична особа""
,
VLOOKUP"&amp;"(H2476,IMPORTRANGE(""https://docs.google.com/spreadsheets/d/14Bd19lYaqBhU8_DElYkX7l4wRkHqqCUFNJY4AfY3kHU/edit?usp=sharing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2475" s="7" t="s">
        <v>48</v>
      </c>
    </row>
    <row r="2476" spans="1:10" ht="13.2">
      <c r="A2476" s="7">
        <v>2475</v>
      </c>
      <c r="B2476" s="7">
        <v>1</v>
      </c>
      <c r="C2476" s="7" t="s">
        <v>10</v>
      </c>
      <c r="D2476" s="7">
        <v>704</v>
      </c>
      <c r="E2476" s="7" t="s">
        <v>29</v>
      </c>
      <c r="F2476" s="8" t="str">
        <f ca="1">IFERROR(__xludf.DUMMYFUNCTION("IF
(
C2477=""фізична особа""
,
VLOOKUP(D2477,IMPORTRANGE(""https://docs.google.com/spreadsheets/d/14Bd19lYaqBhU8_DElYkX7l4wRkHqqCUFNJY4AfY3kHU/edit?usp=sharing  #gid=0"",""фіз особи new!relations_name""),6,FALSE)
,
(IF
(
C2477=""юридична особа""
,
VLOOKUP"&amp;"(D2477,IMPORTRANGE(""https://docs.google.com/spreadsheets/d/14Bd19lYaqBhU8_DElYkX7l4wRkHqqCUFNJY4AfY3kHU/edit?usp=sharing  #gid=0"",""фіз особи new!relations_name_uo""),7,FALSE)
,
)
))"),"КОТКІН Сергій Миколайович")</f>
        <v>КОТКІН Сергій Миколайович</v>
      </c>
      <c r="G2476" s="7" t="s">
        <v>10</v>
      </c>
      <c r="H2476" s="7">
        <v>0</v>
      </c>
      <c r="I2476" s="8" t="str">
        <f ca="1">IFERROR(__xludf.DUMMYFUNCTION("IF
(
G2477=""фізична особа""
,
VLOOKUP(H2477,IMPORTRANGE(""https://docs.google.com/spreadsheets/d/14Bd19lYaqBhU8_DElYkX7l4wRkHqqCUFNJY4AfY3kHU/edit?usp=sharing  #gid=0"",""фіз особи new!relations_name""),6,FALSE)
,
(IF
(
G2477=""юридична особа""
,
VLOOKUP"&amp;"(H2477,IMPORTRANGE(""https://docs.google.com/spreadsheets/d/14Bd19lYaqBhU8_DElYkX7l4wRkHqqCUFNJY4AfY3kHU/edit?usp=sharing  #gid=0"",""фіз особи new!relations_name_uo""),7,FALSE)
,
)
))"),"#N/A")</f>
        <v>#N/A</v>
      </c>
      <c r="J2476" s="7" t="s">
        <v>28</v>
      </c>
    </row>
    <row r="2477" spans="1:10" ht="13.2">
      <c r="A2477" s="7">
        <v>2476</v>
      </c>
      <c r="B2477" s="7">
        <v>1</v>
      </c>
      <c r="C2477" s="7" t="s">
        <v>10</v>
      </c>
      <c r="D2477" s="7">
        <v>706</v>
      </c>
      <c r="E2477" s="7" t="s">
        <v>48</v>
      </c>
      <c r="F2477" s="8" t="str">
        <f ca="1">IFERROR(__xludf.DUMMYFUNCTION("IF
(
C2478=""фізична особа""
,
VLOOKUP(D2478,IMPORTRANGE(""https://docs.google.com/spreadsheets/d/14Bd19lYaqBhU8_DElYkX7l4wRkHqqCUFNJY4AfY3kHU/edit?usp=sharing  #gid=0"",""фіз особи new!relations_name""),6,FALSE)
,
(IF
(
C2478=""юридична особа""
,
VLOOKUP"&amp;"(D2478,IMPORTRANGE(""https://docs.google.com/spreadsheets/d/14Bd19lYaqBhU8_DElYkX7l4wRkHqqCUFNJY4AfY3kHU/edit?usp=sharing  #gid=0"",""фіз особи new!relations_name_uo""),7,FALSE)
,
)
))"),"КОЛБІН Сергій Миколайович")</f>
        <v>КОЛБІН Сергій Миколайович</v>
      </c>
      <c r="G2477" s="7" t="s">
        <v>10</v>
      </c>
      <c r="H2477" s="7">
        <v>833</v>
      </c>
      <c r="I2477" s="8" t="str">
        <f ca="1">IFERROR(__xludf.DUMMYFUNCTION("IF
(
G2478=""фізична особа""
,
VLOOKUP(H2478,IMPORTRANGE(""https://docs.google.com/spreadsheets/d/14Bd19lYaqBhU8_DElYkX7l4wRkHqqCUFNJY4AfY3kHU/edit?usp=sharing  #gid=0"",""фіз особи new!relations_name""),6,FALSE)
,
(IF
(
G2478=""юридична особа""
,
VLOOKUP"&amp;"(H2478,IMPORTRANGE(""https://docs.google.com/spreadsheets/d/14Bd19lYaqBhU8_DElYkX7l4wRkHqqCUFNJY4AfY3kHU/edit?usp=sharing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J2477" s="7" t="s">
        <v>48</v>
      </c>
    </row>
    <row r="2478" spans="1:10" ht="13.2">
      <c r="A2478" s="7">
        <v>2477</v>
      </c>
      <c r="B2478" s="7">
        <v>1</v>
      </c>
      <c r="C2478" s="7" t="s">
        <v>10</v>
      </c>
      <c r="D2478" s="7">
        <v>706</v>
      </c>
      <c r="E2478" s="7" t="s">
        <v>48</v>
      </c>
      <c r="F2478" s="8" t="str">
        <f ca="1">IFERROR(__xludf.DUMMYFUNCTION("IF
(
C2479=""фізична особа""
,
VLOOKUP(D2479,IMPORTRANGE(""https://docs.google.com/spreadsheets/d/14Bd19lYaqBhU8_DElYkX7l4wRkHqqCUFNJY4AfY3kHU/edit?usp=sharing  #gid=0"",""фіз особи new!relations_name""),6,FALSE)
,
(IF
(
C2479=""юридична особа""
,
VLOOKUP"&amp;"(D2479,IMPORTRANGE(""https://docs.google.com/spreadsheets/d/14Bd19lYaqBhU8_DElYkX7l4wRkHqqCUFNJY4AfY3kHU/edit?usp=sharing  #gid=0"",""фіз особи new!relations_name_uo""),7,FALSE)
,
)
))"),"КОЛБІН Сергій Миколайович")</f>
        <v>КОЛБІН Сергій Миколайович</v>
      </c>
      <c r="G2478" s="7" t="s">
        <v>10</v>
      </c>
      <c r="H2478" s="7">
        <v>8673</v>
      </c>
      <c r="I2478" s="8" t="str">
        <f ca="1">IFERROR(__xludf.DUMMYFUNCTION("IF
(
G2479=""фізична особа""
,
VLOOKUP(H2479,IMPORTRANGE(""https://docs.google.com/spreadsheets/d/14Bd19lYaqBhU8_DElYkX7l4wRkHqqCUFNJY4AfY3kHU/edit?usp=sharing  #gid=0"",""фіз особи new!relations_name""),6,FALSE)
,
(IF
(
G2479=""юридична особа""
,
VLOOKUP"&amp;"(H2479,IMPORTRANGE(""https://docs.google.com/spreadsheets/d/14Bd19lYaqBhU8_DElYkX7l4wRkHqqCUFNJY4AfY3kHU/edit?usp=sharing  #gid=0"",""фіз особи new!relations_name_uo""),7,FALSE)
,
)
))"),"ЗУБАРЄВ Євген Олександрович")</f>
        <v>ЗУБАРЄВ Євген Олександрович</v>
      </c>
      <c r="J2478" s="7" t="s">
        <v>48</v>
      </c>
    </row>
    <row r="2479" spans="1:10" ht="13.2">
      <c r="A2479" s="7">
        <v>2478</v>
      </c>
      <c r="B2479" s="7">
        <v>1</v>
      </c>
      <c r="C2479" s="7" t="s">
        <v>10</v>
      </c>
      <c r="D2479" s="7">
        <v>708</v>
      </c>
      <c r="E2479" s="7" t="s">
        <v>48</v>
      </c>
      <c r="F2479" s="8" t="str">
        <f ca="1">IFERROR(__xludf.DUMMYFUNCTION("IF
(
C2480=""фізична особа""
,
VLOOKUP(D2480,IMPORTRANGE(""https://docs.google.com/spreadsheets/d/14Bd19lYaqBhU8_DElYkX7l4wRkHqqCUFNJY4AfY3kHU/edit?usp=sharing  #gid=0"",""фіз особи new!relations_name""),6,FALSE)
,
(IF
(
C2480=""юридична особа""
,
VLOOKUP"&amp;"(D2480,IMPORTRANGE(""https://docs.google.com/spreadsheets/d/14Bd19lYaqBhU8_DElYkX7l4wRkHqqCUFNJY4AfY3kHU/edit?usp=sharing  #gid=0"",""фіз особи new!relations_name_uo""),7,FALSE)
,
)
))"),"ПЕРМІНОВ Сергій Миколайович")</f>
        <v>ПЕРМІНОВ Сергій Миколайович</v>
      </c>
      <c r="G2479" s="7" t="s">
        <v>10</v>
      </c>
      <c r="H2479" s="7">
        <v>64</v>
      </c>
      <c r="I2479" s="8" t="str">
        <f ca="1">IFERROR(__xludf.DUMMYFUNCTION("IF
(
G2480=""фізична особа""
,
VLOOKUP(H2480,IMPORTRANGE(""https://docs.google.com/spreadsheets/d/14Bd19lYaqBhU8_DElYkX7l4wRkHqqCUFNJY4AfY3kHU/edit?usp=sharing  #gid=0"",""фіз особи new!relations_name""),6,FALSE)
,
(IF
(
G2480=""юридична особа""
,
VLOOKUP"&amp;"(H2480,IMPORTRANGE(""https://docs.google.com/spreadsheets/d/14Bd19lYaqBhU8_DElYkX7l4wRkHqqCUFNJY4AfY3kHU/edit?usp=sharing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479" s="7" t="s">
        <v>48</v>
      </c>
    </row>
    <row r="2480" spans="1:10" ht="13.2">
      <c r="A2480" s="7">
        <v>2479</v>
      </c>
      <c r="B2480" s="7">
        <v>1</v>
      </c>
      <c r="C2480" s="7" t="s">
        <v>10</v>
      </c>
      <c r="D2480" s="7">
        <v>708</v>
      </c>
      <c r="E2480" s="7" t="s">
        <v>48</v>
      </c>
      <c r="F2480" s="8" t="str">
        <f ca="1">IFERROR(__xludf.DUMMYFUNCTION("IF
(
C2481=""фізична особа""
,
VLOOKUP(D2481,IMPORTRANGE(""https://docs.google.com/spreadsheets/d/14Bd19lYaqBhU8_DElYkX7l4wRkHqqCUFNJY4AfY3kHU/edit?usp=sharing  #gid=0"",""фіз особи new!relations_name""),6,FALSE)
,
(IF
(
C2481=""юридична особа""
,
VLOOKUP"&amp;"(D2481,IMPORTRANGE(""https://docs.google.com/spreadsheets/d/14Bd19lYaqBhU8_DElYkX7l4wRkHqqCUFNJY4AfY3kHU/edit?usp=sharing  #gid=0"",""фіз особи new!relations_name_uo""),7,FALSE)
,
)
))"),"ПЕРМІНОВ Сергій Миколайович")</f>
        <v>ПЕРМІНОВ Сергій Миколайович</v>
      </c>
      <c r="G2480" s="7" t="s">
        <v>10</v>
      </c>
      <c r="H2480" s="7">
        <v>2545</v>
      </c>
      <c r="I2480" s="8" t="str">
        <f ca="1">IFERROR(__xludf.DUMMYFUNCTION("IF
(
G2481=""фізична особа""
,
VLOOKUP(H2481,IMPORTRANGE(""https://docs.google.com/spreadsheets/d/14Bd19lYaqBhU8_DElYkX7l4wRkHqqCUFNJY4AfY3kHU/edit?usp=sharing  #gid=0"",""фіз особи new!relations_name""),6,FALSE)
,
(IF
(
G2481=""юридична особа""
,
VLOOKUP"&amp;"(H2481,IMPORTRANGE(""https://docs.google.com/spreadsheets/d/14Bd19lYaqBhU8_DElYkX7l4wRkHqqCUFNJY4AfY3kHU/edit?usp=sharing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2480" s="7" t="s">
        <v>48</v>
      </c>
    </row>
    <row r="2481" spans="1:10" ht="13.2">
      <c r="A2481" s="7">
        <v>2480</v>
      </c>
      <c r="B2481" s="7">
        <v>1</v>
      </c>
      <c r="C2481" s="7" t="s">
        <v>10</v>
      </c>
      <c r="D2481" s="7">
        <v>709</v>
      </c>
      <c r="E2481" s="7" t="s">
        <v>28</v>
      </c>
      <c r="F2481" s="8" t="str">
        <f ca="1">IFERROR(__xludf.DUMMYFUNCTION("IF
(
C2482=""фізична особа""
,
VLOOKUP(D2482,IMPORTRANGE(""https://docs.google.com/spreadsheets/d/14Bd19lYaqBhU8_DElYkX7l4wRkHqqCUFNJY4AfY3kHU/edit?usp=sharing  #gid=0"",""фіз особи new!relations_name""),6,FALSE)
,
(IF
(
C2482=""юридична особа""
,
VLOOKUP"&amp;"(D2482,IMPORTRANGE(""https://docs.google.com/spreadsheets/d/14Bd19lYaqBhU8_DElYkX7l4wRkHqqCUFNJY4AfY3kHU/edit?usp=sharing  #gid=0"",""фіз особи new!relations_name_uo""),7,FALSE)
,
)
))"),"РЯБУХІН Сергій Миколайович")</f>
        <v>РЯБУХІН Сергій Миколайович</v>
      </c>
      <c r="G2481" s="7" t="s">
        <v>10</v>
      </c>
      <c r="H2481" s="7">
        <v>430</v>
      </c>
      <c r="I2481" s="8" t="str">
        <f ca="1">IFERROR(__xludf.DUMMYFUNCTION("IF
(
G2482=""фізична особа""
,
VLOOKUP(H2482,IMPORTRANGE(""https://docs.google.com/spreadsheets/d/14Bd19lYaqBhU8_DElYkX7l4wRkHqqCUFNJY4AfY3kHU/edit?usp=sharing  #gid=0"",""фіз особи new!relations_name""),6,FALSE)
,
(IF
(
G2482=""юридична особа""
,
VLOOKUP"&amp;"(H2482,IMPORTRANGE(""https://docs.google.com/spreadsheets/d/14Bd19lYaqBhU8_DElYkX7l4wRkHqqCUFNJY4AfY3kHU/edit?usp=sharing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2481" s="7" t="s">
        <v>29</v>
      </c>
    </row>
    <row r="2482" spans="1:10" ht="13.2">
      <c r="A2482" s="7">
        <v>2481</v>
      </c>
      <c r="B2482" s="7">
        <v>1</v>
      </c>
      <c r="C2482" s="7" t="s">
        <v>10</v>
      </c>
      <c r="D2482" s="7">
        <v>709</v>
      </c>
      <c r="E2482" s="7" t="s">
        <v>48</v>
      </c>
      <c r="F2482" s="8" t="str">
        <f ca="1">IFERROR(__xludf.DUMMYFUNCTION("IF
(
C2483=""фізична особа""
,
VLOOKUP(D2483,IMPORTRANGE(""https://docs.google.com/spreadsheets/d/14Bd19lYaqBhU8_DElYkX7l4wRkHqqCUFNJY4AfY3kHU/edit?usp=sharing  #gid=0"",""фіз особи new!relations_name""),6,FALSE)
,
(IF
(
C2483=""юридична особа""
,
VLOOKUP"&amp;"(D2483,IMPORTRANGE(""https://docs.google.com/spreadsheets/d/14Bd19lYaqBhU8_DElYkX7l4wRkHqqCUFNJY4AfY3kHU/edit?usp=sharing  #gid=0"",""фіз особи new!relations_name_uo""),7,FALSE)
,
)
))"),"РЯБУХІН Сергій Миколайович")</f>
        <v>РЯБУХІН Сергій Миколайович</v>
      </c>
      <c r="G2482" s="7" t="s">
        <v>10</v>
      </c>
      <c r="H2482" s="7">
        <v>699</v>
      </c>
      <c r="I2482" s="8" t="str">
        <f ca="1">IFERROR(__xludf.DUMMYFUNCTION("IF
(
G2483=""фізична особа""
,
VLOOKUP(H2483,IMPORTRANGE(""https://docs.google.com/spreadsheets/d/14Bd19lYaqBhU8_DElYkX7l4wRkHqqCUFNJY4AfY3kHU/edit?usp=sharing  #gid=0"",""фіз особи new!relations_name""),6,FALSE)
,
(IF
(
G2483=""юридична особа""
,
VLOOKUP"&amp;"(H2483,IMPORTRANGE(""https://docs.google.com/spreadsheets/d/14Bd19lYaqBhU8_DElYkX7l4wRkHqqCUFNJY4AfY3kHU/edit?usp=sharing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2482" s="7" t="s">
        <v>48</v>
      </c>
    </row>
    <row r="2483" spans="1:10" ht="13.2">
      <c r="A2483" s="7">
        <v>2482</v>
      </c>
      <c r="B2483" s="7">
        <v>1</v>
      </c>
      <c r="C2483" s="7" t="s">
        <v>10</v>
      </c>
      <c r="D2483" s="7">
        <v>710</v>
      </c>
      <c r="E2483" s="7" t="s">
        <v>28</v>
      </c>
      <c r="F2483" s="8" t="str">
        <f ca="1">IFERROR(__xludf.DUMMYFUNCTION("IF
(
C2484=""фізична особа""
,
VLOOKUP(D2484,IMPORTRANGE(""https://docs.google.com/spreadsheets/d/14Bd19lYaqBhU8_DElYkX7l4wRkHqqCUFNJY4AfY3kHU/edit?usp=sharing  #gid=0"",""фіз особи new!relations_name""),6,FALSE)
,
(IF
(
C2484=""юридична особа""
,
VLOOKUP"&amp;"(D2484,IMPORTRANGE(""https://docs.google.com/spreadsheets/d/14Bd19lYaqBhU8_DElYkX7l4wRkHqqCUFNJY4AfY3kHU/edit?usp=sharing  #gid=0"",""фіз особи new!relations_name_uo""),7,FALSE)
,
)
))"),"ЦЕКОВ Сергій Павлович")</f>
        <v>ЦЕКОВ Сергій Павлович</v>
      </c>
      <c r="G2483" s="7" t="s">
        <v>10</v>
      </c>
      <c r="H2483" s="7">
        <v>430</v>
      </c>
      <c r="I2483" s="8" t="str">
        <f ca="1">IFERROR(__xludf.DUMMYFUNCTION("IF
(
G2484=""фізична особа""
,
VLOOKUP(H2484,IMPORTRANGE(""https://docs.google.com/spreadsheets/d/14Bd19lYaqBhU8_DElYkX7l4wRkHqqCUFNJY4AfY3kHU/edit?usp=sharing  #gid=0"",""фіз особи new!relations_name""),6,FALSE)
,
(IF
(
G2484=""юридична особа""
,
VLOOKUP"&amp;"(H2484,IMPORTRANGE(""https://docs.google.com/spreadsheets/d/14Bd19lYaqBhU8_DElYkX7l4wRkHqqCUFNJY4AfY3kHU/edit?usp=sharing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2483" s="7" t="s">
        <v>29</v>
      </c>
    </row>
    <row r="2484" spans="1:10" ht="13.2">
      <c r="A2484" s="7">
        <v>2483</v>
      </c>
      <c r="B2484" s="7">
        <v>1</v>
      </c>
      <c r="C2484" s="7" t="s">
        <v>10</v>
      </c>
      <c r="D2484" s="7">
        <v>710</v>
      </c>
      <c r="E2484" s="7" t="s">
        <v>48</v>
      </c>
      <c r="F2484" s="8" t="str">
        <f ca="1">IFERROR(__xludf.DUMMYFUNCTION("IF
(
C2485=""фізична особа""
,
VLOOKUP(D2485,IMPORTRANGE(""https://docs.google.com/spreadsheets/d/14Bd19lYaqBhU8_DElYkX7l4wRkHqqCUFNJY4AfY3kHU/edit?usp=sharing  #gid=0"",""фіз особи new!relations_name""),6,FALSE)
,
(IF
(
C2485=""юридична особа""
,
VLOOKUP"&amp;"(D2485,IMPORTRANGE(""https://docs.google.com/spreadsheets/d/14Bd19lYaqBhU8_DElYkX7l4wRkHqqCUFNJY4AfY3kHU/edit?usp=sharing  #gid=0"",""фіз особи new!relations_name_uo""),7,FALSE)
,
)
))"),"ЦЕКОВ Сергій Павлович")</f>
        <v>ЦЕКОВ Сергій Павлович</v>
      </c>
      <c r="G2484" s="7" t="s">
        <v>10</v>
      </c>
      <c r="H2484" s="7">
        <v>4558</v>
      </c>
      <c r="I2484" s="8" t="str">
        <f ca="1">IFERROR(__xludf.DUMMYFUNCTION("IF
(
G2485=""фізична особа""
,
VLOOKUP(H2485,IMPORTRANGE(""https://docs.google.com/spreadsheets/d/14Bd19lYaqBhU8_DElYkX7l4wRkHqqCUFNJY4AfY3kHU/edit?usp=sharing  #gid=0"",""фіз особи new!relations_name""),6,FALSE)
,
(IF
(
G2485=""юридична особа""
,
VLOOKUP"&amp;"(H2485,IMPORTRANGE(""https://docs.google.com/spreadsheets/d/14Bd19lYaqBhU8_DElYkX7l4wRkHqqCUFNJY4AfY3kHU/edit?usp=sharing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2484" s="7" t="s">
        <v>48</v>
      </c>
    </row>
    <row r="2485" spans="1:10" ht="13.2">
      <c r="A2485" s="7">
        <v>2484</v>
      </c>
      <c r="B2485" s="7">
        <v>1</v>
      </c>
      <c r="C2485" s="7" t="s">
        <v>10</v>
      </c>
      <c r="D2485" s="7">
        <v>711</v>
      </c>
      <c r="E2485" s="7" t="s">
        <v>17</v>
      </c>
      <c r="F2485" s="8" t="str">
        <f ca="1">IFERROR(__xludf.DUMMYFUNCTION("IF
(
C2486=""фізична особа""
,
VLOOKUP(D2486,IMPORTRANGE(""https://docs.google.com/spreadsheets/d/14Bd19lYaqBhU8_DElYkX7l4wRkHqqCUFNJY4AfY3kHU/edit?usp=sharing  #gid=0"",""фіз особи new!relations_name""),6,FALSE)
,
(IF
(
C2486=""юридична особа""
,
VLOOKUP"&amp;"(D2486,IMPORTRANGE(""https://docs.google.com/spreadsheets/d/14Bd19lYaqBhU8_DElYkX7l4wRkHqqCUFNJY4AfY3kHU/edit?usp=sharing  #gid=0"",""фіз особи new!relations_name_uo""),7,FALSE)
,
)
))"),"ЧЕМЕЗОВ Сергій Сергійович")</f>
        <v>ЧЕМЕЗОВ Сергій Сергійович</v>
      </c>
      <c r="G2485" s="7" t="s">
        <v>10</v>
      </c>
      <c r="H2485" s="7">
        <v>150</v>
      </c>
      <c r="I2485" s="8" t="str">
        <f ca="1">IFERROR(__xludf.DUMMYFUNCTION("IF
(
G2486=""фізична особа""
,
VLOOKUP(H2486,IMPORTRANGE(""https://docs.google.com/spreadsheets/d/14Bd19lYaqBhU8_DElYkX7l4wRkHqqCUFNJY4AfY3kHU/edit?usp=sharing  #gid=0"",""фіз особи new!relations_name""),6,FALSE)
,
(IF
(
G2486=""юридична особа""
,
VLOOKUP"&amp;"(H2486,IMPORTRANGE(""https://docs.google.com/spreadsheets/d/14Bd19lYaqBhU8_DElYkX7l4wRkHqqCUFNJY4AfY3kHU/edit?usp=sharing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2485" s="7" t="s">
        <v>12</v>
      </c>
    </row>
    <row r="2486" spans="1:10" ht="13.2">
      <c r="A2486" s="7">
        <v>2485</v>
      </c>
      <c r="B2486" s="7">
        <v>1</v>
      </c>
      <c r="C2486" s="7" t="s">
        <v>10</v>
      </c>
      <c r="D2486" s="7">
        <v>711</v>
      </c>
      <c r="E2486" s="7" t="s">
        <v>18</v>
      </c>
      <c r="F2486" s="8" t="str">
        <f ca="1">IFERROR(__xludf.DUMMYFUNCTION("IF
(
C2487=""фізична особа""
,
VLOOKUP(D2487,IMPORTRANGE(""https://docs.google.com/spreadsheets/d/14Bd19lYaqBhU8_DElYkX7l4wRkHqqCUFNJY4AfY3kHU/edit?usp=sharing  #gid=0"",""фіз особи new!relations_name""),6,FALSE)
,
(IF
(
C2487=""юридична особа""
,
VLOOKUP"&amp;"(D2487,IMPORTRANGE(""https://docs.google.com/spreadsheets/d/14Bd19lYaqBhU8_DElYkX7l4wRkHqqCUFNJY4AfY3kHU/edit?usp=sharing  #gid=0"",""фіз особи new!relations_name_uo""),7,FALSE)
,
)
))"),"ЧЕМЕЗОВ Сергій Сергійович")</f>
        <v>ЧЕМЕЗОВ Сергій Сергійович</v>
      </c>
      <c r="G2486" s="7" t="s">
        <v>10</v>
      </c>
      <c r="H2486" s="7">
        <v>151</v>
      </c>
      <c r="I2486" s="8" t="str">
        <f ca="1">IFERROR(__xludf.DUMMYFUNCTION("IF
(
G2487=""фізична особа""
,
VLOOKUP(H2487,IMPORTRANGE(""https://docs.google.com/spreadsheets/d/14Bd19lYaqBhU8_DElYkX7l4wRkHqqCUFNJY4AfY3kHU/edit?usp=sharing  #gid=0"",""фіз особи new!relations_name""),6,FALSE)
,
(IF
(
G2487=""юридична особа""
,
VLOOKUP"&amp;"(H2487,IMPORTRANGE(""https://docs.google.com/spreadsheets/d/14Bd19lYaqBhU8_DElYkX7l4wRkHqqCUFNJY4AfY3kHU/edit?usp=sharing  #gid=0"",""фіз особи new!relations_name_uo""),7,FALSE)
,
)
))"),"ЧЕМЕЗОВ Станіслав Сергійович")</f>
        <v>ЧЕМЕЗОВ Станіслав Сергійович</v>
      </c>
      <c r="J2486" s="7" t="s">
        <v>18</v>
      </c>
    </row>
    <row r="2487" spans="1:10" ht="13.2">
      <c r="A2487" s="7">
        <v>2486</v>
      </c>
      <c r="B2487" s="7">
        <v>1</v>
      </c>
      <c r="C2487" s="7" t="s">
        <v>10</v>
      </c>
      <c r="D2487" s="7">
        <v>711</v>
      </c>
      <c r="E2487" s="7" t="s">
        <v>18</v>
      </c>
      <c r="F2487" s="8" t="str">
        <f ca="1">IFERROR(__xludf.DUMMYFUNCTION("IF
(
C2488=""фізична особа""
,
VLOOKUP(D2488,IMPORTRANGE(""https://docs.google.com/spreadsheets/d/14Bd19lYaqBhU8_DElYkX7l4wRkHqqCUFNJY4AfY3kHU/edit?usp=sharing  #gid=0"",""фіз особи new!relations_name""),6,FALSE)
,
(IF
(
C2488=""юридична особа""
,
VLOOKUP"&amp;"(D2488,IMPORTRANGE(""https://docs.google.com/spreadsheets/d/14Bd19lYaqBhU8_DElYkX7l4wRkHqqCUFNJY4AfY3kHU/edit?usp=sharing  #gid=0"",""фіз особи new!relations_name_uo""),7,FALSE)
,
)
))"),"ЧЕМЕЗОВ Сергій Сергійович")</f>
        <v>ЧЕМЕЗОВ Сергій Сергійович</v>
      </c>
      <c r="G2487" s="7" t="s">
        <v>10</v>
      </c>
      <c r="H2487" s="7">
        <v>149</v>
      </c>
      <c r="I2487" s="8" t="str">
        <f ca="1">IFERROR(__xludf.DUMMYFUNCTION("IF
(
G2488=""фізична особа""
,
VLOOKUP(H2488,IMPORTRANGE(""https://docs.google.com/spreadsheets/d/14Bd19lYaqBhU8_DElYkX7l4wRkHqqCUFNJY4AfY3kHU/edit?usp=sharing  #gid=0"",""фіз особи new!relations_name""),6,FALSE)
,
(IF
(
G2488=""юридична особа""
,
VLOOKUP"&amp;"(H2488,IMPORTRANGE(""https://docs.google.com/spreadsheets/d/14Bd19lYaqBhU8_DElYkX7l4wRkHqqCUFNJY4AfY3kHU/edit?usp=sharing  #gid=0"",""фіз особи new!relations_name_uo""),7,FALSE)
,
)
))"),"ЧЕМЕЗОВ Олександр Сергійович")</f>
        <v>ЧЕМЕЗОВ Олександр Сергійович</v>
      </c>
      <c r="J2487" s="7" t="s">
        <v>31</v>
      </c>
    </row>
    <row r="2488" spans="1:10" ht="13.2">
      <c r="A2488" s="7">
        <v>2487</v>
      </c>
      <c r="B2488" s="7">
        <v>1</v>
      </c>
      <c r="C2488" s="7" t="s">
        <v>10</v>
      </c>
      <c r="D2488" s="7">
        <v>712</v>
      </c>
      <c r="E2488" s="7" t="s">
        <v>28</v>
      </c>
      <c r="F2488" s="8" t="str">
        <f ca="1">IFERROR(__xludf.DUMMYFUNCTION("IF
(
C2489=""фізична особа""
,
VLOOKUP(D2489,IMPORTRANGE(""https://docs.google.com/spreadsheets/d/14Bd19lYaqBhU8_DElYkX7l4wRkHqqCUFNJY4AfY3kHU/edit?usp=sharing  #gid=0"",""фіз особи new!relations_name""),6,FALSE)
,
(IF
(
C2489=""юридична особа""
,
VLOOKUP"&amp;"(D2489,IMPORTRANGE(""https://docs.google.com/spreadsheets/d/14Bd19lYaqBhU8_DElYkX7l4wRkHqqCUFNJY4AfY3kHU/edit?usp=sharing  #gid=0"",""фіз особи new!relations_name_uo""),7,FALSE)
,
)
))"),"ФОМІН Олександр Васильович")</f>
        <v>ФОМІН Олександр Васильович</v>
      </c>
      <c r="G2488" s="7" t="s">
        <v>10</v>
      </c>
      <c r="H2488" s="7">
        <v>670</v>
      </c>
      <c r="I2488" s="8" t="str">
        <f ca="1">IFERROR(__xludf.DUMMYFUNCTION("IF
(
G2489=""фізична особа""
,
VLOOKUP(H2489,IMPORTRANGE(""https://docs.google.com/spreadsheets/d/14Bd19lYaqBhU8_DElYkX7l4wRkHqqCUFNJY4AfY3kHU/edit?usp=sharing  #gid=0"",""фіз особи new!relations_name""),6,FALSE)
,
(IF
(
G2489=""юридична особа""
,
VLOOKUP"&amp;"(H2489,IMPORTRANGE(""https://docs.google.com/spreadsheets/d/14Bd19lYaqBhU8_DElYkX7l4wRkHqqCUFNJY4AfY3kHU/edit?usp=sharing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488" s="7" t="s">
        <v>29</v>
      </c>
    </row>
    <row r="2489" spans="1:10" ht="13.2">
      <c r="A2489" s="7">
        <v>2488</v>
      </c>
      <c r="B2489" s="7">
        <v>1</v>
      </c>
      <c r="C2489" s="7" t="s">
        <v>10</v>
      </c>
      <c r="D2489" s="7">
        <v>712</v>
      </c>
      <c r="E2489" s="7" t="s">
        <v>48</v>
      </c>
      <c r="F2489" s="8" t="str">
        <f ca="1">IFERROR(__xludf.DUMMYFUNCTION("IF
(
C2490=""фізична особа""
,
VLOOKUP(D2490,IMPORTRANGE(""https://docs.google.com/spreadsheets/d/14Bd19lYaqBhU8_DElYkX7l4wRkHqqCUFNJY4AfY3kHU/edit?usp=sharing  #gid=0"",""фіз особи new!relations_name""),6,FALSE)
,
(IF
(
C2490=""юридична особа""
,
VLOOKUP"&amp;"(D2490,IMPORTRANGE(""https://docs.google.com/spreadsheets/d/14Bd19lYaqBhU8_DElYkX7l4wRkHqqCUFNJY4AfY3kHU/edit?usp=sharing  #gid=0"",""фіз особи new!relations_name_uo""),7,FALSE)
,
)
))"),"ФОМІН Олександр Васильович")</f>
        <v>ФОМІН Олександр Васильович</v>
      </c>
      <c r="G2489" s="7" t="s">
        <v>10</v>
      </c>
      <c r="H2489" s="7">
        <v>2158</v>
      </c>
      <c r="I2489" s="8" t="str">
        <f ca="1">IFERROR(__xludf.DUMMYFUNCTION("IF
(
G2490=""фізична особа""
,
VLOOKUP(H2490,IMPORTRANGE(""https://docs.google.com/spreadsheets/d/14Bd19lYaqBhU8_DElYkX7l4wRkHqqCUFNJY4AfY3kHU/edit?usp=sharing  #gid=0"",""фіз особи new!relations_name""),6,FALSE)
,
(IF
(
G2490=""юридична особа""
,
VLOOKUP"&amp;"(H2490,IMPORTRANGE(""https://docs.google.com/spreadsheets/d/14Bd19lYaqBhU8_DElYkX7l4wRkHqqCUFNJY4AfY3kHU/edit?usp=sharing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2489" s="7" t="s">
        <v>48</v>
      </c>
    </row>
    <row r="2490" spans="1:10" ht="13.2">
      <c r="A2490" s="7">
        <v>2489</v>
      </c>
      <c r="B2490" s="7">
        <v>1</v>
      </c>
      <c r="C2490" s="7" t="s">
        <v>10</v>
      </c>
      <c r="D2490" s="7">
        <v>712</v>
      </c>
      <c r="E2490" s="7" t="s">
        <v>48</v>
      </c>
      <c r="F2490" s="8" t="str">
        <f ca="1">IFERROR(__xludf.DUMMYFUNCTION("IF
(
C2491=""фізична особа""
,
VLOOKUP(D2491,IMPORTRANGE(""https://docs.google.com/spreadsheets/d/14Bd19lYaqBhU8_DElYkX7l4wRkHqqCUFNJY4AfY3kHU/edit?usp=sharing  #gid=0"",""фіз особи new!relations_name""),6,FALSE)
,
(IF
(
C2491=""юридична особа""
,
VLOOKUP"&amp;"(D2491,IMPORTRANGE(""https://docs.google.com/spreadsheets/d/14Bd19lYaqBhU8_DElYkX7l4wRkHqqCUFNJY4AfY3kHU/edit?usp=sharing  #gid=0"",""фіз особи new!relations_name_uo""),7,FALSE)
,
)
))"),"ФОМІН Олександр Васильович")</f>
        <v>ФОМІН Олександр Васильович</v>
      </c>
      <c r="G2490" s="7" t="s">
        <v>10</v>
      </c>
      <c r="H2490" s="7">
        <v>150</v>
      </c>
      <c r="I2490" s="8" t="str">
        <f ca="1">IFERROR(__xludf.DUMMYFUNCTION("IF
(
G2491=""фізична особа""
,
VLOOKUP(H2491,IMPORTRANGE(""https://docs.google.com/spreadsheets/d/14Bd19lYaqBhU8_DElYkX7l4wRkHqqCUFNJY4AfY3kHU/edit?usp=sharing  #gid=0"",""фіз особи new!relations_name""),6,FALSE)
,
(IF
(
G2491=""юридична особа""
,
VLOOKUP"&amp;"(H2491,IMPORTRANGE(""https://docs.google.com/spreadsheets/d/14Bd19lYaqBhU8_DElYkX7l4wRkHqqCUFNJY4AfY3kHU/edit?usp=sharing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2490" s="7" t="s">
        <v>48</v>
      </c>
    </row>
    <row r="2491" spans="1:10" ht="13.2">
      <c r="A2491" s="7">
        <v>2490</v>
      </c>
      <c r="B2491" s="7">
        <v>1</v>
      </c>
      <c r="C2491" s="7" t="s">
        <v>10</v>
      </c>
      <c r="D2491" s="7">
        <v>714</v>
      </c>
      <c r="E2491" s="7" t="s">
        <v>14</v>
      </c>
      <c r="F2491" s="8" t="str">
        <f ca="1">IFERROR(__xludf.DUMMYFUNCTION("IF
(
C2492=""фізична особа""
,
VLOOKUP(D2492,IMPORTRANGE(""https://docs.google.com/spreadsheets/d/14Bd19lYaqBhU8_DElYkX7l4wRkHqqCUFNJY4AfY3kHU/edit?usp=sharing  #gid=0"",""фіз особи new!relations_name""),6,FALSE)
,
(IF
(
C2492=""юридична особа""
,
VLOOKUP"&amp;"(D2492,IMPORTRANGE(""https://docs.google.com/spreadsheets/d/14Bd19lYaqBhU8_DElYkX7l4wRkHqqCUFNJY4AfY3kHU/edit?usp=sharing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G2491" s="7" t="s">
        <v>10</v>
      </c>
      <c r="H2491" s="7">
        <v>15516</v>
      </c>
      <c r="I2491" s="8" t="str">
        <f ca="1">IFERROR(__xludf.DUMMYFUNCTION("IF
(
G2492=""фізична особа""
,
VLOOKUP(H2492,IMPORTRANGE(""https://docs.google.com/spreadsheets/d/14Bd19lYaqBhU8_DElYkX7l4wRkHqqCUFNJY4AfY3kHU/edit?usp=sharing  #gid=0"",""фіз особи new!relations_name""),6,FALSE)
,
(IF
(
G2492=""юридична особа""
,
VLOOKUP"&amp;"(H2492,IMPORTRANGE(""https://docs.google.com/spreadsheets/d/14Bd19lYaqBhU8_DElYkX7l4wRkHqqCUFNJY4AfY3kHU/edit?usp=sharing  #gid=0"",""фіз особи new!relations_name_uo""),7,FALSE)
,
)
))"),"ЯХНЮК Тетяна Валентинівна")</f>
        <v>ЯХНЮК Тетяна Валентинівна</v>
      </c>
      <c r="J2491" s="7" t="s">
        <v>15</v>
      </c>
    </row>
    <row r="2492" spans="1:10" ht="13.2">
      <c r="A2492" s="7">
        <v>2491</v>
      </c>
      <c r="B2492" s="7">
        <v>1</v>
      </c>
      <c r="C2492" s="7" t="s">
        <v>10</v>
      </c>
      <c r="D2492" s="7">
        <v>714</v>
      </c>
      <c r="E2492" s="7" t="s">
        <v>12</v>
      </c>
      <c r="F2492" s="8" t="str">
        <f ca="1">IFERROR(__xludf.DUMMYFUNCTION("IF
(
C2493=""фізична особа""
,
VLOOKUP(D2493,IMPORTRANGE(""https://docs.google.com/spreadsheets/d/14Bd19lYaqBhU8_DElYkX7l4wRkHqqCUFNJY4AfY3kHU/edit?usp=sharing  #gid=0"",""фіз особи new!relations_name""),6,FALSE)
,
(IF
(
C2493=""юридична особа""
,
VLOOKUP"&amp;"(D2493,IMPORTRANGE(""https://docs.google.com/spreadsheets/d/14Bd19lYaqBhU8_DElYkX7l4wRkHqqCUFNJY4AfY3kHU/edit?usp=sharing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G2492" s="7" t="s">
        <v>10</v>
      </c>
      <c r="H2492" s="7">
        <v>15517</v>
      </c>
      <c r="I2492" s="8" t="str">
        <f ca="1">IFERROR(__xludf.DUMMYFUNCTION("IF
(
G2493=""фізична особа""
,
VLOOKUP(H2493,IMPORTRANGE(""https://docs.google.com/spreadsheets/d/14Bd19lYaqBhU8_DElYkX7l4wRkHqqCUFNJY4AfY3kHU/edit?usp=sharing  #gid=0"",""фіз особи new!relations_name""),6,FALSE)
,
(IF
(
G2493=""юридична особа""
,
VLOOKUP"&amp;"(H2493,IMPORTRANGE(""https://docs.google.com/spreadsheets/d/14Bd19lYaqBhU8_DElYkX7l4wRkHqqCUFNJY4AfY3kHU/edit?usp=sharing  #gid=0"",""фіз особи new!relations_name_uo""),7,FALSE)
,
)
))"),"ЯХНЮК Олександр Сергійович")</f>
        <v>ЯХНЮК Олександр Сергійович</v>
      </c>
      <c r="J2492" s="7" t="s">
        <v>17</v>
      </c>
    </row>
    <row r="2493" spans="1:10" ht="13.2">
      <c r="A2493" s="7">
        <v>2492</v>
      </c>
      <c r="B2493" s="7">
        <v>1</v>
      </c>
      <c r="C2493" s="7" t="s">
        <v>10</v>
      </c>
      <c r="D2493" s="7">
        <v>714</v>
      </c>
      <c r="E2493" s="7" t="s">
        <v>48</v>
      </c>
      <c r="F2493" s="8" t="str">
        <f ca="1">IFERROR(__xludf.DUMMYFUNCTION("IF
(
C2494=""фізична особа""
,
VLOOKUP(D2494,IMPORTRANGE(""https://docs.google.com/spreadsheets/d/14Bd19lYaqBhU8_DElYkX7l4wRkHqqCUFNJY4AfY3kHU/edit?usp=sharing  #gid=0"",""фіз особи new!relations_name""),6,FALSE)
,
(IF
(
C2494=""юридична особа""
,
VLOOKUP"&amp;"(D2494,IMPORTRANGE(""https://docs.google.com/spreadsheets/d/14Bd19lYaqBhU8_DElYkX7l4wRkHqqCUFNJY4AfY3kHU/edit?usp=sharing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G2493" s="7" t="s">
        <v>10</v>
      </c>
      <c r="H2493" s="7">
        <v>23422</v>
      </c>
      <c r="I2493" s="8" t="str">
        <f ca="1">IFERROR(__xludf.DUMMYFUNCTION("IF
(
G2494=""фізична особа""
,
VLOOKUP(H2494,IMPORTRANGE(""https://docs.google.com/spreadsheets/d/14Bd19lYaqBhU8_DElYkX7l4wRkHqqCUFNJY4AfY3kHU/edit?usp=sharing  #gid=0"",""фіз особи new!relations_name""),6,FALSE)
,
(IF
(
G2494=""юридична особа""
,
VLOOKUP"&amp;"(H2494,IMPORTRANGE(""https://docs.google.com/spreadsheets/d/14Bd19lYaqBhU8_DElYkX7l4wRkHqqCUFNJY4AfY3kHU/edit?usp=sharing  #gid=0"",""фіз особи new!relations_name_uo""),7,FALSE)
,
)
))"),"ЗУБКОВ Віктор Олексійович")</f>
        <v>ЗУБКОВ Віктор Олексійович</v>
      </c>
      <c r="J2493" s="7" t="s">
        <v>48</v>
      </c>
    </row>
    <row r="2494" spans="1:10" ht="13.2">
      <c r="A2494" s="7">
        <v>2493</v>
      </c>
      <c r="B2494" s="7">
        <v>1</v>
      </c>
      <c r="C2494" s="7" t="s">
        <v>10</v>
      </c>
      <c r="D2494" s="7">
        <v>714</v>
      </c>
      <c r="E2494" s="7" t="s">
        <v>48</v>
      </c>
      <c r="F2494" s="8" t="str">
        <f ca="1">IFERROR(__xludf.DUMMYFUNCTION("IF
(
C2495=""фізична особа""
,
VLOOKUP(D2495,IMPORTRANGE(""https://docs.google.com/spreadsheets/d/14Bd19lYaqBhU8_DElYkX7l4wRkHqqCUFNJY4AfY3kHU/edit?usp=sharing  #gid=0"",""фіз особи new!relations_name""),6,FALSE)
,
(IF
(
C2495=""юридична особа""
,
VLOOKUP"&amp;"(D2495,IMPORTRANGE(""https://docs.google.com/spreadsheets/d/14Bd19lYaqBhU8_DElYkX7l4wRkHqqCUFNJY4AfY3kHU/edit?usp=sharing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G2494" s="7" t="s">
        <v>10</v>
      </c>
      <c r="H2494" s="7">
        <v>2542</v>
      </c>
      <c r="I2494" s="8" t="str">
        <f ca="1">IFERROR(__xludf.DUMMYFUNCTION("IF
(
G2495=""фізична особа""
,
VLOOKUP(H2495,IMPORTRANGE(""https://docs.google.com/spreadsheets/d/14Bd19lYaqBhU8_DElYkX7l4wRkHqqCUFNJY4AfY3kHU/edit?usp=sharing  #gid=0"",""фіз особи new!relations_name""),6,FALSE)
,
(IF
(
G2495=""юридична особа""
,
VLOOKUP"&amp;"(H2495,IMPORTRANGE(""https://docs.google.com/spreadsheets/d/14Bd19lYaqBhU8_DElYkX7l4wRkHqqCUFNJY4AfY3kHU/edit?usp=sharing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J2494" s="7" t="s">
        <v>48</v>
      </c>
    </row>
    <row r="2495" spans="1:10" ht="13.2">
      <c r="A2495" s="7">
        <v>2494</v>
      </c>
      <c r="B2495" s="7">
        <v>1</v>
      </c>
      <c r="C2495" s="7" t="s">
        <v>10</v>
      </c>
      <c r="D2495" s="7">
        <v>716</v>
      </c>
      <c r="E2495" s="7" t="s">
        <v>48</v>
      </c>
      <c r="F2495" s="8" t="str">
        <f ca="1">IFERROR(__xludf.DUMMYFUNCTION("IF
(
C2496=""фізична особа""
,
VLOOKUP(D2496,IMPORTRANGE(""https://docs.google.com/spreadsheets/d/14Bd19lYaqBhU8_DElYkX7l4wRkHqqCUFNJY4AfY3kHU/edit?usp=sharing  #gid=0"",""фіз особи new!relations_name""),6,FALSE)
,
(IF
(
C2496=""юридична особа""
,
VLOOKUP"&amp;"(D2496,IMPORTRANGE(""https://docs.google.com/spreadsheets/d/14Bd19lYaqBhU8_DElYkX7l4wRkHqqCUFNJY4AfY3kHU/edit?usp=sharing  #gid=0"",""фіз особи new!relations_name_uo""),7,FALSE)
,
)
))"),"ЧІЖОВ Сергій Вікторович")</f>
        <v>ЧІЖОВ Сергій Вікторович</v>
      </c>
      <c r="G2495" s="7" t="s">
        <v>10</v>
      </c>
      <c r="H2495" s="7">
        <v>0</v>
      </c>
      <c r="I2495" s="8" t="str">
        <f ca="1">IFERROR(__xludf.DUMMYFUNCTION("IF
(
G2496=""фізична особа""
,
VLOOKUP(H2496,IMPORTRANGE(""https://docs.google.com/spreadsheets/d/14Bd19lYaqBhU8_DElYkX7l4wRkHqqCUFNJY4AfY3kHU/edit?usp=sharing  #gid=0"",""фіз особи new!relations_name""),6,FALSE)
,
(IF
(
G2496=""юридична особа""
,
VLOOKUP"&amp;"(H2496,IMPORTRANGE(""https://docs.google.com/spreadsheets/d/14Bd19lYaqBhU8_DElYkX7l4wRkHqqCUFNJY4AfY3kHU/edit?usp=sharing  #gid=0"",""фіз особи new!relations_name_uo""),7,FALSE)
,
)
))"),"#N/A")</f>
        <v>#N/A</v>
      </c>
      <c r="J2495" s="7" t="s">
        <v>48</v>
      </c>
    </row>
    <row r="2496" spans="1:10" ht="13.2">
      <c r="A2496" s="7">
        <v>2495</v>
      </c>
      <c r="B2496" s="7">
        <v>1</v>
      </c>
      <c r="C2496" s="7" t="s">
        <v>10</v>
      </c>
      <c r="D2496" s="7">
        <v>716</v>
      </c>
      <c r="E2496" s="7" t="s">
        <v>18</v>
      </c>
      <c r="F2496" s="8" t="str">
        <f ca="1">IFERROR(__xludf.DUMMYFUNCTION("IF
(
C2497=""фізична особа""
,
VLOOKUP(D2497,IMPORTRANGE(""https://docs.google.com/spreadsheets/d/14Bd19lYaqBhU8_DElYkX7l4wRkHqqCUFNJY4AfY3kHU/edit?usp=sharing  #gid=0"",""фіз особи new!relations_name""),6,FALSE)
,
(IF
(
C2497=""юридична особа""
,
VLOOKUP"&amp;"(D2497,IMPORTRANGE(""https://docs.google.com/spreadsheets/d/14Bd19lYaqBhU8_DElYkX7l4wRkHqqCUFNJY4AfY3kHU/edit?usp=sharing  #gid=0"",""фіз особи new!relations_name_uo""),7,FALSE)
,
)
))"),"ЧІЖОВ Сергій Вікторович")</f>
        <v>ЧІЖОВ Сергій Вікторович</v>
      </c>
      <c r="G2496" s="7" t="s">
        <v>10</v>
      </c>
      <c r="H2496" s="7">
        <v>0</v>
      </c>
      <c r="I2496" s="8" t="str">
        <f ca="1">IFERROR(__xludf.DUMMYFUNCTION("IF
(
G2497=""фізична особа""
,
VLOOKUP(H2497,IMPORTRANGE(""https://docs.google.com/spreadsheets/d/14Bd19lYaqBhU8_DElYkX7l4wRkHqqCUFNJY4AfY3kHU/edit?usp=sharing  #gid=0"",""фіз особи new!relations_name""),6,FALSE)
,
(IF
(
G2497=""юридична особа""
,
VLOOKUP"&amp;"(H2497,IMPORTRANGE(""https://docs.google.com/spreadsheets/d/14Bd19lYaqBhU8_DElYkX7l4wRkHqqCUFNJY4AfY3kHU/edit?usp=sharing  #gid=0"",""фіз особи new!relations_name_uo""),7,FALSE)
,
)
))"),"#N/A")</f>
        <v>#N/A</v>
      </c>
      <c r="J2496" s="7" t="s">
        <v>18</v>
      </c>
    </row>
    <row r="2497" spans="1:10" ht="13.2">
      <c r="A2497" s="7">
        <v>2496</v>
      </c>
      <c r="B2497" s="7">
        <v>1</v>
      </c>
      <c r="C2497" s="7" t="s">
        <v>10</v>
      </c>
      <c r="D2497" s="7">
        <v>718</v>
      </c>
      <c r="E2497" s="7" t="s">
        <v>12</v>
      </c>
      <c r="F2497" s="8" t="str">
        <f ca="1">IFERROR(__xludf.DUMMYFUNCTION("IF
(
C2498=""фізична особа""
,
VLOOKUP(D2498,IMPORTRANGE(""https://docs.google.com/spreadsheets/d/14Bd19lYaqBhU8_DElYkX7l4wRkHqqCUFNJY4AfY3kHU/edit?usp=sharing  #gid=0"",""фіз особи new!relations_name""),6,FALSE)
,
(IF
(
C2498=""юридична особа""
,
VLOOKUP"&amp;"(D2498,IMPORTRANGE(""https://docs.google.com/spreadsheets/d/14Bd19lYaqBhU8_DElYkX7l4wRkHqqCUFNJY4AfY3kHU/edit?usp=sharing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G2497" s="7" t="s">
        <v>10</v>
      </c>
      <c r="H2497" s="7">
        <v>1037</v>
      </c>
      <c r="I2497" s="8" t="str">
        <f ca="1">IFERROR(__xludf.DUMMYFUNCTION("IF
(
G2498=""фізична особа""
,
VLOOKUP(H2498,IMPORTRANGE(""https://docs.google.com/spreadsheets/d/14Bd19lYaqBhU8_DElYkX7l4wRkHqqCUFNJY4AfY3kHU/edit?usp=sharing  #gid=0"",""фіз особи new!relations_name""),6,FALSE)
,
(IF
(
G2498=""юридична особа""
,
VLOOKUP"&amp;"(H2498,IMPORTRANGE(""https://docs.google.com/spreadsheets/d/14Bd19lYaqBhU8_DElYkX7l4wRkHqqCUFNJY4AfY3kHU/edit?usp=sharing  #gid=0"",""фіз особи new!relations_name_uo""),7,FALSE)
,
)
))"),"ЛАВРОВА / ВІНОКУРОВА Катерина Сергіївна")</f>
        <v>ЛАВРОВА / ВІНОКУРОВА Катерина Сергіївна</v>
      </c>
      <c r="J2497" s="7" t="s">
        <v>13</v>
      </c>
    </row>
    <row r="2498" spans="1:10" ht="13.2">
      <c r="A2498" s="7">
        <v>2497</v>
      </c>
      <c r="B2498" s="7">
        <v>1</v>
      </c>
      <c r="C2498" s="7" t="s">
        <v>10</v>
      </c>
      <c r="D2498" s="7">
        <v>718</v>
      </c>
      <c r="E2498" s="7" t="s">
        <v>36</v>
      </c>
      <c r="F2498" s="8" t="str">
        <f ca="1">IFERROR(__xludf.DUMMYFUNCTION("IF
(
C2499=""фізична особа""
,
VLOOKUP(D2499,IMPORTRANGE(""https://docs.google.com/spreadsheets/d/14Bd19lYaqBhU8_DElYkX7l4wRkHqqCUFNJY4AfY3kHU/edit?usp=sharing  #gid=0"",""фіз особи new!relations_name""),6,FALSE)
,
(IF
(
C2499=""юридична особа""
,
VLOOKUP"&amp;"(D2499,IMPORTRANGE(""https://docs.google.com/spreadsheets/d/14Bd19lYaqBhU8_DElYkX7l4wRkHqqCUFNJY4AfY3kHU/edit?usp=sharing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G2498" s="7" t="s">
        <v>10</v>
      </c>
      <c r="H2498" s="7">
        <v>1038</v>
      </c>
      <c r="I2498" s="8" t="str">
        <f ca="1">IFERROR(__xludf.DUMMYFUNCTION("IF
(
G2499=""фізична особа""
,
VLOOKUP(H2499,IMPORTRANGE(""https://docs.google.com/spreadsheets/d/14Bd19lYaqBhU8_DElYkX7l4wRkHqqCUFNJY4AfY3kHU/edit?usp=sharing  #gid=0"",""фіз особи new!relations_name""),6,FALSE)
,
(IF
(
G2499=""юридична особа""
,
VLOOKUP"&amp;"(H2499,IMPORTRANGE(""https://docs.google.com/spreadsheets/d/14Bd19lYaqBhU8_DElYkX7l4wRkHqqCUFNJY4AfY3kHU/edit?usp=sharing  #gid=0"",""фіз особи new!relations_name_uo""),7,FALSE)
,
)
))"),"ПОЛЯКОВА Світлана Олександрівна")</f>
        <v>ПОЛЯКОВА Світлана Олександрівна</v>
      </c>
      <c r="J2498" s="7" t="s">
        <v>37</v>
      </c>
    </row>
    <row r="2499" spans="1:10" ht="13.2">
      <c r="A2499" s="7">
        <v>2498</v>
      </c>
      <c r="B2499" s="7">
        <v>1</v>
      </c>
      <c r="C2499" s="7" t="s">
        <v>10</v>
      </c>
      <c r="D2499" s="7">
        <v>718</v>
      </c>
      <c r="E2499" s="7" t="s">
        <v>62</v>
      </c>
      <c r="F2499" s="8" t="str">
        <f ca="1">IFERROR(__xludf.DUMMYFUNCTION("IF
(
C2500=""фізична особа""
,
VLOOKUP(D2500,IMPORTRANGE(""https://docs.google.com/spreadsheets/d/14Bd19lYaqBhU8_DElYkX7l4wRkHqqCUFNJY4AfY3kHU/edit?usp=sharing  #gid=0"",""фіз особи new!relations_name""),6,FALSE)
,
(IF
(
C2500=""юридична особа""
,
VLOOKUP"&amp;"(D2500,IMPORTRANGE(""https://docs.google.com/spreadsheets/d/14Bd19lYaqBhU8_DElYkX7l4wRkHqqCUFNJY4AfY3kHU/edit?usp=sharing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G2499" s="7" t="s">
        <v>10</v>
      </c>
      <c r="H2499" s="7">
        <v>1039</v>
      </c>
      <c r="I2499" s="8" t="str">
        <f ca="1">IFERROR(__xludf.DUMMYFUNCTION("IF
(
G2500=""фізична особа""
,
VLOOKUP(H2500,IMPORTRANGE(""https://docs.google.com/spreadsheets/d/14Bd19lYaqBhU8_DElYkX7l4wRkHqqCUFNJY4AfY3kHU/edit?usp=sharing  #gid=0"",""фіз особи new!relations_name""),6,FALSE)
,
(IF
(
G2500=""юридична особа""
,
VLOOKUP"&amp;"(H2500,IMPORTRANGE(""https://docs.google.com/spreadsheets/d/14Bd19lYaqBhU8_DElYkX7l4wRkHqqCUFNJY4AfY3kHU/edit?usp=sharing  #gid=0"",""фіз особи new!relations_name_uo""),7,FALSE)
,
)
))"),"ВИНОКУРОВ Семен Леонідович")</f>
        <v>ВИНОКУРОВ Семен Леонідович</v>
      </c>
      <c r="J2499" s="7" t="s">
        <v>62</v>
      </c>
    </row>
    <row r="2500" spans="1:10" ht="13.2">
      <c r="A2500" s="7">
        <v>2499</v>
      </c>
      <c r="B2500" s="7">
        <v>1</v>
      </c>
      <c r="C2500" s="7" t="s">
        <v>10</v>
      </c>
      <c r="D2500" s="7">
        <v>718</v>
      </c>
      <c r="E2500" s="7" t="s">
        <v>14</v>
      </c>
      <c r="F2500" s="8" t="str">
        <f ca="1">IFERROR(__xludf.DUMMYFUNCTION("IF
(
C2501=""фізична особа""
,
VLOOKUP(D2501,IMPORTRANGE(""https://docs.google.com/spreadsheets/d/14Bd19lYaqBhU8_DElYkX7l4wRkHqqCUFNJY4AfY3kHU/edit?usp=sharing  #gid=0"",""фіз особи new!relations_name""),6,FALSE)
,
(IF
(
C2501=""юридична особа""
,
VLOOKUP"&amp;"(D2501,IMPORTRANGE(""https://docs.google.com/spreadsheets/d/14Bd19lYaqBhU8_DElYkX7l4wRkHqqCUFNJY4AfY3kHU/edit?usp=sharing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G2500" s="7" t="s">
        <v>10</v>
      </c>
      <c r="H2500" s="7">
        <v>1036</v>
      </c>
      <c r="I2500" s="8" t="str">
        <f ca="1">IFERROR(__xludf.DUMMYFUNCTION("IF
(
G2501=""фізична особа""
,
VLOOKUP(H2501,IMPORTRANGE(""https://docs.google.com/spreadsheets/d/14Bd19lYaqBhU8_DElYkX7l4wRkHqqCUFNJY4AfY3kHU/edit?usp=sharing  #gid=0"",""фіз особи new!relations_name""),6,FALSE)
,
(IF
(
G2501=""юридична особа""
,
VLOOKUP"&amp;"(H2501,IMPORTRANGE(""https://docs.google.com/spreadsheets/d/14Bd19lYaqBhU8_DElYkX7l4wRkHqqCUFNJY4AfY3kHU/edit?usp=sharing  #gid=0"",""фіз особи new!relations_name_uo""),7,FALSE)
,
)
))"),"ЛАВРОВА Марія Олександрівна")</f>
        <v>ЛАВРОВА Марія Олександрівна</v>
      </c>
      <c r="J2500" s="7" t="s">
        <v>15</v>
      </c>
    </row>
    <row r="2501" spans="1:10" ht="13.2">
      <c r="A2501" s="7">
        <v>2500</v>
      </c>
      <c r="B2501" s="7">
        <v>1</v>
      </c>
      <c r="C2501" s="7" t="s">
        <v>10</v>
      </c>
      <c r="D2501" s="7">
        <v>720</v>
      </c>
      <c r="E2501" s="7" t="s">
        <v>17</v>
      </c>
      <c r="F2501" s="8" t="str">
        <f ca="1">IFERROR(__xludf.DUMMYFUNCTION("IF
(
C2502=""фізична особа""
,
VLOOKUP(D2502,IMPORTRANGE(""https://docs.google.com/spreadsheets/d/14Bd19lYaqBhU8_DElYkX7l4wRkHqqCUFNJY4AfY3kHU/edit?usp=sharing  #gid=0"",""фіз особи new!relations_name""),6,FALSE)
,
(IF
(
C2502=""юридична особа""
,
VLOOKUP"&amp;"(D2502,IMPORTRANGE(""https://docs.google.com/spreadsheets/d/14Bd19lYaqBhU8_DElYkX7l4wRkHqqCUFNJY4AfY3kHU/edit?usp=sharing  #gid=0"",""фіз особи new!relations_name_uo""),7,FALSE)
,
)
))"),"КРІВОНОСОВ Сергій Володимирович")</f>
        <v>КРІВОНОСОВ Сергій Володимирович</v>
      </c>
      <c r="G2501" s="7" t="s">
        <v>10</v>
      </c>
      <c r="H2501" s="7">
        <v>0</v>
      </c>
      <c r="I2501" s="8" t="str">
        <f ca="1">IFERROR(__xludf.DUMMYFUNCTION("IF
(
G2502=""фізична особа""
,
VLOOKUP(H2502,IMPORTRANGE(""https://docs.google.com/spreadsheets/d/14Bd19lYaqBhU8_DElYkX7l4wRkHqqCUFNJY4AfY3kHU/edit?usp=sharing  #gid=0"",""фіз особи new!relations_name""),6,FALSE)
,
(IF
(
G2502=""юридична особа""
,
VLOOKUP"&amp;"(H2502,IMPORTRANGE(""https://docs.google.com/spreadsheets/d/14Bd19lYaqBhU8_DElYkX7l4wRkHqqCUFNJY4AfY3kHU/edit?usp=sharing  #gid=0"",""фіз особи new!relations_name_uo""),7,FALSE)
,
)
))"),"#N/A")</f>
        <v>#N/A</v>
      </c>
      <c r="J2501" s="7" t="s">
        <v>12</v>
      </c>
    </row>
    <row r="2502" spans="1:10" ht="13.2">
      <c r="A2502" s="7">
        <v>2501</v>
      </c>
      <c r="B2502" s="7">
        <v>1</v>
      </c>
      <c r="C2502" s="7" t="s">
        <v>10</v>
      </c>
      <c r="D2502" s="7">
        <v>720</v>
      </c>
      <c r="E2502" s="7" t="s">
        <v>12</v>
      </c>
      <c r="F2502" s="8" t="str">
        <f ca="1">IFERROR(__xludf.DUMMYFUNCTION("IF
(
C2503=""фізична особа""
,
VLOOKUP(D2503,IMPORTRANGE(""https://docs.google.com/spreadsheets/d/14Bd19lYaqBhU8_DElYkX7l4wRkHqqCUFNJY4AfY3kHU/edit?usp=sharing  #gid=0"",""фіз особи new!relations_name""),6,FALSE)
,
(IF
(
C2503=""юридична особа""
,
VLOOKUP"&amp;"(D2503,IMPORTRANGE(""https://docs.google.com/spreadsheets/d/14Bd19lYaqBhU8_DElYkX7l4wRkHqqCUFNJY4AfY3kHU/edit?usp=sharing  #gid=0"",""фіз особи new!relations_name_uo""),7,FALSE)
,
)
))"),"КРІВОНОСОВ Сергій Володимирович")</f>
        <v>КРІВОНОСОВ Сергій Володимирович</v>
      </c>
      <c r="G2502" s="7" t="s">
        <v>10</v>
      </c>
      <c r="H2502" s="7">
        <v>0</v>
      </c>
      <c r="I2502" s="8" t="str">
        <f ca="1">IFERROR(__xludf.DUMMYFUNCTION("IF
(
G2503=""фізична особа""
,
VLOOKUP(H2503,IMPORTRANGE(""https://docs.google.com/spreadsheets/d/14Bd19lYaqBhU8_DElYkX7l4wRkHqqCUFNJY4AfY3kHU/edit?usp=sharing  #gid=0"",""фіз особи new!relations_name""),6,FALSE)
,
(IF
(
G2503=""юридична особа""
,
VLOOKUP"&amp;"(H2503,IMPORTRANGE(""https://docs.google.com/spreadsheets/d/14Bd19lYaqBhU8_DElYkX7l4wRkHqqCUFNJY4AfY3kHU/edit?usp=sharing  #gid=0"",""фіз особи new!relations_name_uo""),7,FALSE)
,
)
))"),"#N/A")</f>
        <v>#N/A</v>
      </c>
      <c r="J2502" s="7" t="s">
        <v>13</v>
      </c>
    </row>
    <row r="2503" spans="1:10" ht="13.2">
      <c r="A2503" s="7">
        <v>2502</v>
      </c>
      <c r="B2503" s="7">
        <v>1</v>
      </c>
      <c r="C2503" s="7" t="s">
        <v>10</v>
      </c>
      <c r="D2503" s="7">
        <v>720</v>
      </c>
      <c r="E2503" s="7" t="s">
        <v>17</v>
      </c>
      <c r="F2503" s="8" t="str">
        <f ca="1">IFERROR(__xludf.DUMMYFUNCTION("IF
(
C2504=""фізична особа""
,
VLOOKUP(D2504,IMPORTRANGE(""https://docs.google.com/spreadsheets/d/14Bd19lYaqBhU8_DElYkX7l4wRkHqqCUFNJY4AfY3kHU/edit?usp=sharing  #gid=0"",""фіз особи new!relations_name""),6,FALSE)
,
(IF
(
C2504=""юридична особа""
,
VLOOKUP"&amp;"(D2504,IMPORTRANGE(""https://docs.google.com/spreadsheets/d/14Bd19lYaqBhU8_DElYkX7l4wRkHqqCUFNJY4AfY3kHU/edit?usp=sharing  #gid=0"",""фіз особи new!relations_name_uo""),7,FALSE)
,
)
))"),"КРІВОНОСОВ Сергій Володимирович")</f>
        <v>КРІВОНОСОВ Сергій Володимирович</v>
      </c>
      <c r="G2503" s="7" t="s">
        <v>10</v>
      </c>
      <c r="H2503" s="7">
        <v>0</v>
      </c>
      <c r="I2503" s="8" t="str">
        <f ca="1">IFERROR(__xludf.DUMMYFUNCTION("IF
(
G2504=""фізична особа""
,
VLOOKUP(H2504,IMPORTRANGE(""https://docs.google.com/spreadsheets/d/14Bd19lYaqBhU8_DElYkX7l4wRkHqqCUFNJY4AfY3kHU/edit?usp=sharing  #gid=0"",""фіз особи new!relations_name""),6,FALSE)
,
(IF
(
G2504=""юридична особа""
,
VLOOKUP"&amp;"(H2504,IMPORTRANGE(""https://docs.google.com/spreadsheets/d/14Bd19lYaqBhU8_DElYkX7l4wRkHqqCUFNJY4AfY3kHU/edit?usp=sharing  #gid=0"",""фіз особи new!relations_name_uo""),7,FALSE)
,
)
))"),"#N/A")</f>
        <v>#N/A</v>
      </c>
      <c r="J2503" s="7" t="s">
        <v>21</v>
      </c>
    </row>
    <row r="2504" spans="1:10" ht="13.2">
      <c r="A2504" s="7">
        <v>2503</v>
      </c>
      <c r="B2504" s="7">
        <v>1</v>
      </c>
      <c r="C2504" s="7" t="s">
        <v>10</v>
      </c>
      <c r="D2504" s="7">
        <v>721</v>
      </c>
      <c r="E2504" s="7" t="s">
        <v>12</v>
      </c>
      <c r="F2504" s="8" t="str">
        <f ca="1">IFERROR(__xludf.DUMMYFUNCTION("IF
(
C2505=""фізична особа""
,
VLOOKUP(D2505,IMPORTRANGE(""https://docs.google.com/spreadsheets/d/14Bd19lYaqBhU8_DElYkX7l4wRkHqqCUFNJY4AfY3kHU/edit?usp=sharing  #gid=0"",""фіз особи new!relations_name""),6,FALSE)
,
(IF
(
C2505=""юридична особа""
,
VLOOKUP"&amp;"(D2505,IMPORTRANGE(""https://docs.google.com/spreadsheets/d/14Bd19lYaqBhU8_DElYkX7l4wRkHqqCUFNJY4AfY3kHU/edit?usp=sharing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4" s="7" t="s">
        <v>10</v>
      </c>
      <c r="H2504" s="7">
        <v>0</v>
      </c>
      <c r="I2504" s="8" t="str">
        <f ca="1">IFERROR(__xludf.DUMMYFUNCTION("IF
(
G2505=""фізична особа""
,
VLOOKUP(H2505,IMPORTRANGE(""https://docs.google.com/spreadsheets/d/14Bd19lYaqBhU8_DElYkX7l4wRkHqqCUFNJY4AfY3kHU/edit?usp=sharing  #gid=0"",""фіз особи new!relations_name""),6,FALSE)
,
(IF
(
G2505=""юридична особа""
,
VLOOKUP"&amp;"(H2505,IMPORTRANGE(""https://docs.google.com/spreadsheets/d/14Bd19lYaqBhU8_DElYkX7l4wRkHqqCUFNJY4AfY3kHU/edit?usp=sharing  #gid=0"",""фіз особи new!relations_name_uo""),7,FALSE)
,
)
))"),"#N/A")</f>
        <v>#N/A</v>
      </c>
      <c r="J2504" s="7" t="s">
        <v>17</v>
      </c>
    </row>
    <row r="2505" spans="1:10" ht="13.2">
      <c r="A2505" s="7">
        <v>2504</v>
      </c>
      <c r="B2505" s="7">
        <v>1</v>
      </c>
      <c r="C2505" s="7" t="s">
        <v>10</v>
      </c>
      <c r="D2505" s="7">
        <v>721</v>
      </c>
      <c r="E2505" s="7" t="s">
        <v>14</v>
      </c>
      <c r="F2505" s="8" t="str">
        <f ca="1">IFERROR(__xludf.DUMMYFUNCTION("IF
(
C2506=""фізична особа""
,
VLOOKUP(D2506,IMPORTRANGE(""https://docs.google.com/spreadsheets/d/14Bd19lYaqBhU8_DElYkX7l4wRkHqqCUFNJY4AfY3kHU/edit?usp=sharing  #gid=0"",""фіз особи new!relations_name""),6,FALSE)
,
(IF
(
C2506=""юридична особа""
,
VLOOKUP"&amp;"(D2506,IMPORTRANGE(""https://docs.google.com/spreadsheets/d/14Bd19lYaqBhU8_DElYkX7l4wRkHqqCUFNJY4AfY3kHU/edit?usp=sharing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5" s="7" t="s">
        <v>10</v>
      </c>
      <c r="H2505" s="7">
        <v>0</v>
      </c>
      <c r="I2505" s="8" t="str">
        <f ca="1">IFERROR(__xludf.DUMMYFUNCTION("IF
(
G2506=""фізична особа""
,
VLOOKUP(H2506,IMPORTRANGE(""https://docs.google.com/spreadsheets/d/14Bd19lYaqBhU8_DElYkX7l4wRkHqqCUFNJY4AfY3kHU/edit?usp=sharing  #gid=0"",""фіз особи new!relations_name""),6,FALSE)
,
(IF
(
G2506=""юридична особа""
,
VLOOKUP"&amp;"(H2506,IMPORTRANGE(""https://docs.google.com/spreadsheets/d/14Bd19lYaqBhU8_DElYkX7l4wRkHqqCUFNJY4AfY3kHU/edit?usp=sharing  #gid=0"",""фіз особи new!relations_name_uo""),7,FALSE)
,
)
))"),"#N/A")</f>
        <v>#N/A</v>
      </c>
      <c r="J2505" s="7" t="s">
        <v>15</v>
      </c>
    </row>
    <row r="2506" spans="1:10" ht="13.2">
      <c r="A2506" s="7">
        <v>2505</v>
      </c>
      <c r="B2506" s="7">
        <v>1</v>
      </c>
      <c r="C2506" s="7" t="s">
        <v>10</v>
      </c>
      <c r="D2506" s="7">
        <v>721</v>
      </c>
      <c r="E2506" s="7" t="s">
        <v>12</v>
      </c>
      <c r="F2506" s="8" t="str">
        <f ca="1">IFERROR(__xludf.DUMMYFUNCTION("IF
(
C2507=""фізична особа""
,
VLOOKUP(D2507,IMPORTRANGE(""https://docs.google.com/spreadsheets/d/14Bd19lYaqBhU8_DElYkX7l4wRkHqqCUFNJY4AfY3kHU/edit?usp=sharing  #gid=0"",""фіз особи new!relations_name""),6,FALSE)
,
(IF
(
C2507=""юридична особа""
,
VLOOKUP"&amp;"(D2507,IMPORTRANGE(""https://docs.google.com/spreadsheets/d/14Bd19lYaqBhU8_DElYkX7l4wRkHqqCUFNJY4AfY3kHU/edit?usp=sharing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6" s="7" t="s">
        <v>10</v>
      </c>
      <c r="H2506" s="7">
        <v>0</v>
      </c>
      <c r="I2506" s="8" t="str">
        <f ca="1">IFERROR(__xludf.DUMMYFUNCTION("IF
(
G2507=""фізична особа""
,
VLOOKUP(H2507,IMPORTRANGE(""https://docs.google.com/spreadsheets/d/14Bd19lYaqBhU8_DElYkX7l4wRkHqqCUFNJY4AfY3kHU/edit?usp=sharing  #gid=0"",""фіз особи new!relations_name""),6,FALSE)
,
(IF
(
G2507=""юридична особа""
,
VLOOKUP"&amp;"(H2507,IMPORTRANGE(""https://docs.google.com/spreadsheets/d/14Bd19lYaqBhU8_DElYkX7l4wRkHqqCUFNJY4AfY3kHU/edit?usp=sharing  #gid=0"",""фіз особи new!relations_name_uo""),7,FALSE)
,
)
))"),"#N/A")</f>
        <v>#N/A</v>
      </c>
      <c r="J2506" s="7" t="s">
        <v>13</v>
      </c>
    </row>
    <row r="2507" spans="1:10" ht="13.2">
      <c r="A2507" s="7">
        <v>2506</v>
      </c>
      <c r="B2507" s="7">
        <v>1</v>
      </c>
      <c r="C2507" s="7" t="s">
        <v>10</v>
      </c>
      <c r="D2507" s="7">
        <v>721</v>
      </c>
      <c r="E2507" s="7" t="s">
        <v>12</v>
      </c>
      <c r="F2507" s="8" t="str">
        <f ca="1">IFERROR(__xludf.DUMMYFUNCTION("IF
(
C2508=""фізична особа""
,
VLOOKUP(D2508,IMPORTRANGE(""https://docs.google.com/spreadsheets/d/14Bd19lYaqBhU8_DElYkX7l4wRkHqqCUFNJY4AfY3kHU/edit?usp=sharing  #gid=0"",""фіз особи new!relations_name""),6,FALSE)
,
(IF
(
C2508=""юридична особа""
,
VLOOKUP"&amp;"(D2508,IMPORTRANGE(""https://docs.google.com/spreadsheets/d/14Bd19lYaqBhU8_DElYkX7l4wRkHqqCUFNJY4AfY3kHU/edit?usp=sharing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7" s="7" t="s">
        <v>10</v>
      </c>
      <c r="H2507" s="7">
        <v>0</v>
      </c>
      <c r="I2507" s="8" t="str">
        <f ca="1">IFERROR(__xludf.DUMMYFUNCTION("IF
(
G2508=""фізична особа""
,
VLOOKUP(H2508,IMPORTRANGE(""https://docs.google.com/spreadsheets/d/14Bd19lYaqBhU8_DElYkX7l4wRkHqqCUFNJY4AfY3kHU/edit?usp=sharing  #gid=0"",""фіз особи new!relations_name""),6,FALSE)
,
(IF
(
G2508=""юридична особа""
,
VLOOKUP"&amp;"(H2508,IMPORTRANGE(""https://docs.google.com/spreadsheets/d/14Bd19lYaqBhU8_DElYkX7l4wRkHqqCUFNJY4AfY3kHU/edit?usp=sharing  #gid=0"",""фіз особи new!relations_name_uo""),7,FALSE)
,
)
))"),"#N/A")</f>
        <v>#N/A</v>
      </c>
      <c r="J2507" s="7" t="s">
        <v>17</v>
      </c>
    </row>
    <row r="2508" spans="1:10" ht="13.2">
      <c r="A2508" s="7">
        <v>2507</v>
      </c>
      <c r="B2508" s="7">
        <v>1</v>
      </c>
      <c r="C2508" s="7" t="s">
        <v>10</v>
      </c>
      <c r="D2508" s="7">
        <v>721</v>
      </c>
      <c r="E2508" s="7" t="s">
        <v>12</v>
      </c>
      <c r="F2508" s="8" t="str">
        <f ca="1">IFERROR(__xludf.DUMMYFUNCTION("IF
(
C2509=""фізична особа""
,
VLOOKUP(D2509,IMPORTRANGE(""https://docs.google.com/spreadsheets/d/14Bd19lYaqBhU8_DElYkX7l4wRkHqqCUFNJY4AfY3kHU/edit?usp=sharing  #gid=0"",""фіз особи new!relations_name""),6,FALSE)
,
(IF
(
C2509=""юридична особа""
,
VLOOKUP"&amp;"(D2509,IMPORTRANGE(""https://docs.google.com/spreadsheets/d/14Bd19lYaqBhU8_DElYkX7l4wRkHqqCUFNJY4AfY3kHU/edit?usp=sharing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8" s="7" t="s">
        <v>10</v>
      </c>
      <c r="H2508" s="7">
        <v>0</v>
      </c>
      <c r="I2508" s="8" t="str">
        <f ca="1">IFERROR(__xludf.DUMMYFUNCTION("IF
(
G2509=""фізична особа""
,
VLOOKUP(H2509,IMPORTRANGE(""https://docs.google.com/spreadsheets/d/14Bd19lYaqBhU8_DElYkX7l4wRkHqqCUFNJY4AfY3kHU/edit?usp=sharing  #gid=0"",""фіз особи new!relations_name""),6,FALSE)
,
(IF
(
G2509=""юридична особа""
,
VLOOKUP"&amp;"(H2509,IMPORTRANGE(""https://docs.google.com/spreadsheets/d/14Bd19lYaqBhU8_DElYkX7l4wRkHqqCUFNJY4AfY3kHU/edit?usp=sharing  #gid=0"",""фіз особи new!relations_name_uo""),7,FALSE)
,
)
))"),"#N/A")</f>
        <v>#N/A</v>
      </c>
      <c r="J2508" s="7" t="s">
        <v>17</v>
      </c>
    </row>
    <row r="2509" spans="1:10" ht="13.2">
      <c r="A2509" s="7">
        <v>2508</v>
      </c>
      <c r="B2509" s="7">
        <v>1</v>
      </c>
      <c r="C2509" s="7" t="s">
        <v>10</v>
      </c>
      <c r="D2509" s="7">
        <v>721</v>
      </c>
      <c r="E2509" s="7" t="s">
        <v>12</v>
      </c>
      <c r="F2509" s="8" t="str">
        <f ca="1">IFERROR(__xludf.DUMMYFUNCTION("IF
(
C2510=""фізична особа""
,
VLOOKUP(D2510,IMPORTRANGE(""https://docs.google.com/spreadsheets/d/14Bd19lYaqBhU8_DElYkX7l4wRkHqqCUFNJY4AfY3kHU/edit?usp=sharing  #gid=0"",""фіз особи new!relations_name""),6,FALSE)
,
(IF
(
C2510=""юридична особа""
,
VLOOKUP"&amp;"(D2510,IMPORTRANGE(""https://docs.google.com/spreadsheets/d/14Bd19lYaqBhU8_DElYkX7l4wRkHqqCUFNJY4AfY3kHU/edit?usp=sharing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09" s="7" t="s">
        <v>10</v>
      </c>
      <c r="H2509" s="7">
        <v>0</v>
      </c>
      <c r="I2509" s="8" t="str">
        <f ca="1">IFERROR(__xludf.DUMMYFUNCTION("IF
(
G2510=""фізична особа""
,
VLOOKUP(H2510,IMPORTRANGE(""https://docs.google.com/spreadsheets/d/14Bd19lYaqBhU8_DElYkX7l4wRkHqqCUFNJY4AfY3kHU/edit?usp=sharing  #gid=0"",""фіз особи new!relations_name""),6,FALSE)
,
(IF
(
G2510=""юридична особа""
,
VLOOKUP"&amp;"(H2510,IMPORTRANGE(""https://docs.google.com/spreadsheets/d/14Bd19lYaqBhU8_DElYkX7l4wRkHqqCUFNJY4AfY3kHU/edit?usp=sharing  #gid=0"",""фіз особи new!relations_name_uo""),7,FALSE)
,
)
))"),"#N/A")</f>
        <v>#N/A</v>
      </c>
      <c r="J2509" s="7" t="s">
        <v>13</v>
      </c>
    </row>
    <row r="2510" spans="1:10" ht="13.2">
      <c r="A2510" s="7">
        <v>2509</v>
      </c>
      <c r="B2510" s="7">
        <v>1</v>
      </c>
      <c r="C2510" s="7" t="s">
        <v>10</v>
      </c>
      <c r="D2510" s="7">
        <v>721</v>
      </c>
      <c r="E2510" s="7" t="s">
        <v>12</v>
      </c>
      <c r="F2510" s="8" t="str">
        <f ca="1">IFERROR(__xludf.DUMMYFUNCTION("IF
(
C2511=""фізична особа""
,
VLOOKUP(D2511,IMPORTRANGE(""https://docs.google.com/spreadsheets/d/14Bd19lYaqBhU8_DElYkX7l4wRkHqqCUFNJY4AfY3kHU/edit?usp=sharing  #gid=0"",""фіз особи new!relations_name""),6,FALSE)
,
(IF
(
C2511=""юридична особа""
,
VLOOKUP"&amp;"(D2511,IMPORTRANGE(""https://docs.google.com/spreadsheets/d/14Bd19lYaqBhU8_DElYkX7l4wRkHqqCUFNJY4AfY3kHU/edit?usp=sharing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10" s="7" t="s">
        <v>10</v>
      </c>
      <c r="H2510" s="7">
        <v>0</v>
      </c>
      <c r="I2510" s="8" t="str">
        <f ca="1">IFERROR(__xludf.DUMMYFUNCTION("IF
(
G2511=""фізична особа""
,
VLOOKUP(H2511,IMPORTRANGE(""https://docs.google.com/spreadsheets/d/14Bd19lYaqBhU8_DElYkX7l4wRkHqqCUFNJY4AfY3kHU/edit?usp=sharing  #gid=0"",""фіз особи new!relations_name""),6,FALSE)
,
(IF
(
G2511=""юридична особа""
,
VLOOKUP"&amp;"(H2511,IMPORTRANGE(""https://docs.google.com/spreadsheets/d/14Bd19lYaqBhU8_DElYkX7l4wRkHqqCUFNJY4AfY3kHU/edit?usp=sharing  #gid=0"",""фіз особи new!relations_name_uo""),7,FALSE)
,
)
))"),"#N/A")</f>
        <v>#N/A</v>
      </c>
      <c r="J2510" s="7" t="s">
        <v>13</v>
      </c>
    </row>
    <row r="2511" spans="1:10" ht="13.2">
      <c r="A2511" s="7">
        <v>2510</v>
      </c>
      <c r="B2511" s="7">
        <v>1</v>
      </c>
      <c r="C2511" s="7" t="s">
        <v>10</v>
      </c>
      <c r="D2511" s="7">
        <v>721</v>
      </c>
      <c r="E2511" s="7" t="s">
        <v>48</v>
      </c>
      <c r="F2511" s="8" t="str">
        <f ca="1">IFERROR(__xludf.DUMMYFUNCTION("IF
(
C2512=""фізична особа""
,
VLOOKUP(D2512,IMPORTRANGE(""https://docs.google.com/spreadsheets/d/14Bd19lYaqBhU8_DElYkX7l4wRkHqqCUFNJY4AfY3kHU/edit?usp=sharing  #gid=0"",""фіз особи new!relations_name""),6,FALSE)
,
(IF
(
C2512=""юридична особа""
,
VLOOKUP"&amp;"(D2512,IMPORTRANGE(""https://docs.google.com/spreadsheets/d/14Bd19lYaqBhU8_DElYkX7l4wRkHqqCUFNJY4AfY3kHU/edit?usp=sharing  #gid=0"",""фіз особи new!relations_name_uo""),7,FALSE)
,
)
))"),"ЧЕПІКОВ Сергій Володимирович")</f>
        <v>ЧЕПІКОВ Сергій Володимирович</v>
      </c>
      <c r="G2511" s="7" t="s">
        <v>10</v>
      </c>
      <c r="H2511" s="7">
        <v>844</v>
      </c>
      <c r="I2511" s="8" t="str">
        <f ca="1">IFERROR(__xludf.DUMMYFUNCTION("IF
(
G2512=""фізична особа""
,
VLOOKUP(H2512,IMPORTRANGE(""https://docs.google.com/spreadsheets/d/14Bd19lYaqBhU8_DElYkX7l4wRkHqqCUFNJY4AfY3kHU/edit?usp=sharing  #gid=0"",""фіз особи new!relations_name""),6,FALSE)
,
(IF
(
G2512=""юридична особа""
,
VLOOKUP"&amp;"(H2512,IMPORTRANGE(""https://docs.google.com/spreadsheets/d/14Bd19lYaqBhU8_DElYkX7l4wRkHqqCUFNJY4AfY3kHU/edit?usp=sharing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511" s="7" t="s">
        <v>48</v>
      </c>
    </row>
    <row r="2512" spans="1:10" ht="13.2">
      <c r="A2512" s="7">
        <v>2511</v>
      </c>
      <c r="B2512" s="7">
        <v>1</v>
      </c>
      <c r="C2512" s="7" t="s">
        <v>10</v>
      </c>
      <c r="D2512" s="7">
        <v>724</v>
      </c>
      <c r="E2512" s="7" t="s">
        <v>48</v>
      </c>
      <c r="F2512" s="8" t="str">
        <f ca="1">IFERROR(__xludf.DUMMYFUNCTION("IF
(
C2513=""фізична особа""
,
VLOOKUP(D2513,IMPORTRANGE(""https://docs.google.com/spreadsheets/d/14Bd19lYaqBhU8_DElYkX7l4wRkHqqCUFNJY4AfY3kHU/edit?usp=sharing  #gid=0"",""фіз особи new!relations_name""),6,FALSE)
,
(IF
(
C2513=""юридична особа""
,
VLOOKUP"&amp;"(D2513,IMPORTRANGE(""https://docs.google.com/spreadsheets/d/14Bd19lYaqBhU8_DElYkX7l4wRkHqqCUFNJY4AfY3kHU/edit?usp=sharing  #gid=0"",""фіз особи new!relations_name_uo""),7,FALSE)
,
)
))"),"БІДОНЬКО Сергій Юрійович")</f>
        <v>БІДОНЬКО Сергій Юрійович</v>
      </c>
      <c r="G2512" s="7" t="s">
        <v>10</v>
      </c>
      <c r="H2512" s="7">
        <v>844</v>
      </c>
      <c r="I2512" s="8" t="str">
        <f ca="1">IFERROR(__xludf.DUMMYFUNCTION("IF
(
G2513=""фізична особа""
,
VLOOKUP(H2513,IMPORTRANGE(""https://docs.google.com/spreadsheets/d/14Bd19lYaqBhU8_DElYkX7l4wRkHqqCUFNJY4AfY3kHU/edit?usp=sharing  #gid=0"",""фіз особи new!relations_name""),6,FALSE)
,
(IF
(
G2513=""юридична особа""
,
VLOOKUP"&amp;"(H2513,IMPORTRANGE(""https://docs.google.com/spreadsheets/d/14Bd19lYaqBhU8_DElYkX7l4wRkHqqCUFNJY4AfY3kHU/edit?usp=sharing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512" s="7" t="s">
        <v>48</v>
      </c>
    </row>
    <row r="2513" spans="1:10" ht="13.2">
      <c r="A2513" s="7">
        <v>2512</v>
      </c>
      <c r="B2513" s="7">
        <v>1</v>
      </c>
      <c r="C2513" s="7" t="s">
        <v>10</v>
      </c>
      <c r="D2513" s="7">
        <v>725</v>
      </c>
      <c r="E2513" s="7" t="s">
        <v>14</v>
      </c>
      <c r="F2513" s="8" t="str">
        <f ca="1">IFERROR(__xludf.DUMMYFUNCTION("IF
(
C2514=""фізична особа""
,
VLOOKUP(D2514,IMPORTRANGE(""https://docs.google.com/spreadsheets/d/14Bd19lYaqBhU8_DElYkX7l4wRkHqqCUFNJY4AfY3kHU/edit?usp=sharing  #gid=0"",""фіз особи new!relations_name""),6,FALSE)
,
(IF
(
C2514=""юридична особа""
,
VLOOKUP"&amp;"(D2514,IMPORTRANGE(""https://docs.google.com/spreadsheets/d/14Bd19lYaqBhU8_DElYkX7l4wRkHqqCUFNJY4AfY3kHU/edit?usp=sharing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3" s="7" t="s">
        <v>10</v>
      </c>
      <c r="H2513" s="7">
        <v>0</v>
      </c>
      <c r="I2513" s="8" t="str">
        <f ca="1">IFERROR(__xludf.DUMMYFUNCTION("IF
(
G2514=""фізична особа""
,
VLOOKUP(H2514,IMPORTRANGE(""https://docs.google.com/spreadsheets/d/14Bd19lYaqBhU8_DElYkX7l4wRkHqqCUFNJY4AfY3kHU/edit?usp=sharing  #gid=0"",""фіз особи new!relations_name""),6,FALSE)
,
(IF
(
G2514=""юридична особа""
,
VLOOKUP"&amp;"(H2514,IMPORTRANGE(""https://docs.google.com/spreadsheets/d/14Bd19lYaqBhU8_DElYkX7l4wRkHqqCUFNJY4AfY3kHU/edit?usp=sharing  #gid=0"",""фіз особи new!relations_name_uo""),7,FALSE)
,
)
))"),"#N/A")</f>
        <v>#N/A</v>
      </c>
      <c r="J2513" s="7" t="s">
        <v>15</v>
      </c>
    </row>
    <row r="2514" spans="1:10" ht="13.2">
      <c r="A2514" s="7">
        <v>2513</v>
      </c>
      <c r="B2514" s="7">
        <v>1</v>
      </c>
      <c r="C2514" s="7" t="s">
        <v>10</v>
      </c>
      <c r="D2514" s="7">
        <v>725</v>
      </c>
      <c r="E2514" s="7" t="s">
        <v>12</v>
      </c>
      <c r="F2514" s="8" t="str">
        <f ca="1">IFERROR(__xludf.DUMMYFUNCTION("IF
(
C2515=""фізична особа""
,
VLOOKUP(D2515,IMPORTRANGE(""https://docs.google.com/spreadsheets/d/14Bd19lYaqBhU8_DElYkX7l4wRkHqqCUFNJY4AfY3kHU/edit?usp=sharing  #gid=0"",""фіз особи new!relations_name""),6,FALSE)
,
(IF
(
C2515=""юридична особа""
,
VLOOKUP"&amp;"(D2515,IMPORTRANGE(""https://docs.google.com/spreadsheets/d/14Bd19lYaqBhU8_DElYkX7l4wRkHqqCUFNJY4AfY3kHU/edit?usp=sharing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4" s="7" t="s">
        <v>10</v>
      </c>
      <c r="H2514" s="7">
        <v>0</v>
      </c>
      <c r="I2514" s="8" t="str">
        <f ca="1">IFERROR(__xludf.DUMMYFUNCTION("IF
(
G2515=""фізична особа""
,
VLOOKUP(H2515,IMPORTRANGE(""https://docs.google.com/spreadsheets/d/14Bd19lYaqBhU8_DElYkX7l4wRkHqqCUFNJY4AfY3kHU/edit?usp=sharing  #gid=0"",""фіз особи new!relations_name""),6,FALSE)
,
(IF
(
G2515=""юридична особа""
,
VLOOKUP"&amp;"(H2515,IMPORTRANGE(""https://docs.google.com/spreadsheets/d/14Bd19lYaqBhU8_DElYkX7l4wRkHqqCUFNJY4AfY3kHU/edit?usp=sharing  #gid=0"",""фіз особи new!relations_name_uo""),7,FALSE)
,
)
))"),"#N/A")</f>
        <v>#N/A</v>
      </c>
      <c r="J2514" s="7" t="s">
        <v>13</v>
      </c>
    </row>
    <row r="2515" spans="1:10" ht="13.2">
      <c r="A2515" s="7">
        <v>2514</v>
      </c>
      <c r="B2515" s="7">
        <v>1</v>
      </c>
      <c r="C2515" s="7" t="s">
        <v>10</v>
      </c>
      <c r="D2515" s="7">
        <v>725</v>
      </c>
      <c r="E2515" s="7" t="s">
        <v>12</v>
      </c>
      <c r="F2515" s="8" t="str">
        <f ca="1">IFERROR(__xludf.DUMMYFUNCTION("IF
(
C2516=""фізична особа""
,
VLOOKUP(D2516,IMPORTRANGE(""https://docs.google.com/spreadsheets/d/14Bd19lYaqBhU8_DElYkX7l4wRkHqqCUFNJY4AfY3kHU/edit?usp=sharing  #gid=0"",""фіз особи new!relations_name""),6,FALSE)
,
(IF
(
C2516=""юридична особа""
,
VLOOKUP"&amp;"(D2516,IMPORTRANGE(""https://docs.google.com/spreadsheets/d/14Bd19lYaqBhU8_DElYkX7l4wRkHqqCUFNJY4AfY3kHU/edit?usp=sharing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5" s="7" t="s">
        <v>10</v>
      </c>
      <c r="H2515" s="7">
        <v>0</v>
      </c>
      <c r="I2515" s="8" t="str">
        <f ca="1">IFERROR(__xludf.DUMMYFUNCTION("IF
(
G2516=""фізична особа""
,
VLOOKUP(H2516,IMPORTRANGE(""https://docs.google.com/spreadsheets/d/14Bd19lYaqBhU8_DElYkX7l4wRkHqqCUFNJY4AfY3kHU/edit?usp=sharing  #gid=0"",""фіз особи new!relations_name""),6,FALSE)
,
(IF
(
G2516=""юридична особа""
,
VLOOKUP"&amp;"(H2516,IMPORTRANGE(""https://docs.google.com/spreadsheets/d/14Bd19lYaqBhU8_DElYkX7l4wRkHqqCUFNJY4AfY3kHU/edit?usp=sharing  #gid=0"",""фіз особи new!relations_name_uo""),7,FALSE)
,
)
))"),"#N/A")</f>
        <v>#N/A</v>
      </c>
      <c r="J2515" s="7" t="s">
        <v>17</v>
      </c>
    </row>
    <row r="2516" spans="1:10" ht="13.2">
      <c r="A2516" s="7">
        <v>2515</v>
      </c>
      <c r="B2516" s="7">
        <v>1</v>
      </c>
      <c r="C2516" s="7" t="s">
        <v>10</v>
      </c>
      <c r="D2516" s="7">
        <v>725</v>
      </c>
      <c r="E2516" s="7" t="s">
        <v>17</v>
      </c>
      <c r="F2516" s="8" t="str">
        <f ca="1">IFERROR(__xludf.DUMMYFUNCTION("IF
(
C2517=""фізична особа""
,
VLOOKUP(D2517,IMPORTRANGE(""https://docs.google.com/spreadsheets/d/14Bd19lYaqBhU8_DElYkX7l4wRkHqqCUFNJY4AfY3kHU/edit?usp=sharing  #gid=0"",""фіз особи new!relations_name""),6,FALSE)
,
(IF
(
C2517=""юридична особа""
,
VLOOKUP"&amp;"(D2517,IMPORTRANGE(""https://docs.google.com/spreadsheets/d/14Bd19lYaqBhU8_DElYkX7l4wRkHqqCUFNJY4AfY3kHU/edit?usp=sharing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6" s="7" t="s">
        <v>10</v>
      </c>
      <c r="H2516" s="7">
        <v>0</v>
      </c>
      <c r="I2516" s="8" t="str">
        <f ca="1">IFERROR(__xludf.DUMMYFUNCTION("IF
(
G2517=""фізична особа""
,
VLOOKUP(H2517,IMPORTRANGE(""https://docs.google.com/spreadsheets/d/14Bd19lYaqBhU8_DElYkX7l4wRkHqqCUFNJY4AfY3kHU/edit?usp=sharing  #gid=0"",""фіз особи new!relations_name""),6,FALSE)
,
(IF
(
G2517=""юридична особа""
,
VLOOKUP"&amp;"(H2517,IMPORTRANGE(""https://docs.google.com/spreadsheets/d/14Bd19lYaqBhU8_DElYkX7l4wRkHqqCUFNJY4AfY3kHU/edit?usp=sharing  #gid=0"",""фіз особи new!relations_name_uo""),7,FALSE)
,
)
))"),"#N/A")</f>
        <v>#N/A</v>
      </c>
      <c r="J2516" s="7" t="s">
        <v>12</v>
      </c>
    </row>
    <row r="2517" spans="1:10" ht="13.2">
      <c r="A2517" s="7">
        <v>2516</v>
      </c>
      <c r="B2517" s="7">
        <v>1</v>
      </c>
      <c r="C2517" s="7" t="s">
        <v>10</v>
      </c>
      <c r="D2517" s="7">
        <v>725</v>
      </c>
      <c r="E2517" s="7" t="s">
        <v>17</v>
      </c>
      <c r="F2517" s="8" t="str">
        <f ca="1">IFERROR(__xludf.DUMMYFUNCTION("IF
(
C2518=""фізична особа""
,
VLOOKUP(D2518,IMPORTRANGE(""https://docs.google.com/spreadsheets/d/14Bd19lYaqBhU8_DElYkX7l4wRkHqqCUFNJY4AfY3kHU/edit?usp=sharing  #gid=0"",""фіз особи new!relations_name""),6,FALSE)
,
(IF
(
C2518=""юридична особа""
,
VLOOKUP"&amp;"(D2518,IMPORTRANGE(""https://docs.google.com/spreadsheets/d/14Bd19lYaqBhU8_DElYkX7l4wRkHqqCUFNJY4AfY3kHU/edit?usp=sharing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7" s="7" t="s">
        <v>10</v>
      </c>
      <c r="H2517" s="7">
        <v>15521</v>
      </c>
      <c r="I2517" s="8" t="str">
        <f ca="1">IFERROR(__xludf.DUMMYFUNCTION("IF
(
G2518=""фізична особа""
,
VLOOKUP(H2518,IMPORTRANGE(""https://docs.google.com/spreadsheets/d/14Bd19lYaqBhU8_DElYkX7l4wRkHqqCUFNJY4AfY3kHU/edit?usp=sharing  #gid=0"",""фіз особи new!relations_name""),6,FALSE)
,
(IF
(
G2518=""юридична особа""
,
VLOOKUP"&amp;"(H2518,IMPORTRANGE(""https://docs.google.com/spreadsheets/d/14Bd19lYaqBhU8_DElYkX7l4wRkHqqCUFNJY4AfY3kHU/edit?usp=sharing  #gid=0"",""фіз особи new!relations_name_uo""),7,FALSE)
,
)
))"),"ТЕН Людмила Борисівна")</f>
        <v>ТЕН Людмила Борисівна</v>
      </c>
      <c r="J2517" s="7" t="s">
        <v>21</v>
      </c>
    </row>
    <row r="2518" spans="1:10" ht="13.2">
      <c r="A2518" s="7">
        <v>2517</v>
      </c>
      <c r="B2518" s="7">
        <v>1</v>
      </c>
      <c r="C2518" s="7" t="s">
        <v>10</v>
      </c>
      <c r="D2518" s="7">
        <v>725</v>
      </c>
      <c r="E2518" s="7" t="s">
        <v>18</v>
      </c>
      <c r="F2518" s="8" t="str">
        <f ca="1">IFERROR(__xludf.DUMMYFUNCTION("IF
(
C2519=""фізична особа""
,
VLOOKUP(D2519,IMPORTRANGE(""https://docs.google.com/spreadsheets/d/14Bd19lYaqBhU8_DElYkX7l4wRkHqqCUFNJY4AfY3kHU/edit?usp=sharing  #gid=0"",""фіз особи new!relations_name""),6,FALSE)
,
(IF
(
C2519=""юридична особа""
,
VLOOKUP"&amp;"(D2519,IMPORTRANGE(""https://docs.google.com/spreadsheets/d/14Bd19lYaqBhU8_DElYkX7l4wRkHqqCUFNJY4AfY3kHU/edit?usp=sharing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8" s="7" t="s">
        <v>10</v>
      </c>
      <c r="H2518" s="7">
        <v>15520</v>
      </c>
      <c r="I2518" s="8" t="str">
        <f ca="1">IFERROR(__xludf.DUMMYFUNCTION("IF
(
G2519=""фізична особа""
,
VLOOKUP(H2519,IMPORTRANGE(""https://docs.google.com/spreadsheets/d/14Bd19lYaqBhU8_DElYkX7l4wRkHqqCUFNJY4AfY3kHU/edit?usp=sharing  #gid=0"",""фіз особи new!relations_name""),6,FALSE)
,
(IF
(
G2519=""юридична особа""
,
VLOOKUP"&amp;"(H2519,IMPORTRANGE(""https://docs.google.com/spreadsheets/d/14Bd19lYaqBhU8_DElYkX7l4wRkHqqCUFNJY4AfY3kHU/edit?usp=sharing  #gid=0"",""фіз особи new!relations_name_uo""),7,FALSE)
,
)
))"),"ТРАЧУК Іва Юріївна")</f>
        <v>ТРАЧУК Іва Юріївна</v>
      </c>
      <c r="J2518" s="7" t="s">
        <v>31</v>
      </c>
    </row>
    <row r="2519" spans="1:10" ht="13.2">
      <c r="A2519" s="7">
        <v>2518</v>
      </c>
      <c r="B2519" s="7">
        <v>1</v>
      </c>
      <c r="C2519" s="7" t="s">
        <v>10</v>
      </c>
      <c r="D2519" s="7">
        <v>725</v>
      </c>
      <c r="E2519" s="7" t="s">
        <v>18</v>
      </c>
      <c r="F2519" s="8" t="str">
        <f ca="1">IFERROR(__xludf.DUMMYFUNCTION("IF
(
C2520=""фізична особа""
,
VLOOKUP(D2520,IMPORTRANGE(""https://docs.google.com/spreadsheets/d/14Bd19lYaqBhU8_DElYkX7l4wRkHqqCUFNJY4AfY3kHU/edit?usp=sharing  #gid=0"",""фіз особи new!relations_name""),6,FALSE)
,
(IF
(
C2520=""юридична особа""
,
VLOOKUP"&amp;"(D2520,IMPORTRANGE(""https://docs.google.com/spreadsheets/d/14Bd19lYaqBhU8_DElYkX7l4wRkHqqCUFNJY4AfY3kHU/edit?usp=sharing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G2519" s="7" t="s">
        <v>10</v>
      </c>
      <c r="H2519" s="7">
        <v>15519</v>
      </c>
      <c r="I2519" s="8" t="str">
        <f ca="1">IFERROR(__xludf.DUMMYFUNCTION("IF
(
G2520=""фізична особа""
,
VLOOKUP(H2520,IMPORTRANGE(""https://docs.google.com/spreadsheets/d/14Bd19lYaqBhU8_DElYkX7l4wRkHqqCUFNJY4AfY3kHU/edit?usp=sharing  #gid=0"",""фіз особи new!relations_name""),6,FALSE)
,
(IF
(
G2520=""юридична особа""
,
VLOOKUP"&amp;"(H2520,IMPORTRANGE(""https://docs.google.com/spreadsheets/d/14Bd19lYaqBhU8_DElYkX7l4wRkHqqCUFNJY4AfY3kHU/edit?usp=sharing  #gid=0"",""фіз особи new!relations_name_uo""),7,FALSE)
,
)
))"),"ТЕН Олена Юріївна")</f>
        <v>ТЕН Олена Юріївна</v>
      </c>
      <c r="J2519" s="7" t="s">
        <v>31</v>
      </c>
    </row>
    <row r="2520" spans="1:10" ht="13.2">
      <c r="A2520" s="7">
        <v>2519</v>
      </c>
      <c r="B2520" s="7">
        <v>1</v>
      </c>
      <c r="C2520" s="7" t="s">
        <v>10</v>
      </c>
      <c r="D2520" s="7">
        <v>726</v>
      </c>
      <c r="E2520" s="7" t="s">
        <v>24</v>
      </c>
      <c r="F2520" s="8" t="str">
        <f ca="1">IFERROR(__xludf.DUMMYFUNCTION("IF
(
C2521=""фізична особа""
,
VLOOKUP(D2521,IMPORTRANGE(""https://docs.google.com/spreadsheets/d/14Bd19lYaqBhU8_DElYkX7l4wRkHqqCUFNJY4AfY3kHU/edit?usp=sharing  #gid=0"",""фіз особи new!relations_name""),6,FALSE)
,
(IF
(
C2521=""юридична особа""
,
VLOOKUP"&amp;"(D2521,IMPORTRANGE(""https://docs.google.com/spreadsheets/d/14Bd19lYaqBhU8_DElYkX7l4wRkHqqCUFNJY4AfY3kHU/edit?usp=sharing  #gid=0"",""фіз особи new!relations_name_uo""),7,FALSE)
,
)
))"),"ШАМАНОВ Володимир Анатолійович")</f>
        <v>ШАМАНОВ Володимир Анатолійович</v>
      </c>
      <c r="G2520" s="7" t="s">
        <v>10</v>
      </c>
      <c r="H2520" s="7">
        <v>0</v>
      </c>
      <c r="I2520" s="8" t="str">
        <f ca="1">IFERROR(__xludf.DUMMYFUNCTION("IF
(
G2521=""фізична особа""
,
VLOOKUP(H2521,IMPORTRANGE(""https://docs.google.com/spreadsheets/d/14Bd19lYaqBhU8_DElYkX7l4wRkHqqCUFNJY4AfY3kHU/edit?usp=sharing  #gid=0"",""фіз особи new!relations_name""),6,FALSE)
,
(IF
(
G2521=""юридична особа""
,
VLOOKUP"&amp;"(H2521,IMPORTRANGE(""https://docs.google.com/spreadsheets/d/14Bd19lYaqBhU8_DElYkX7l4wRkHqqCUFNJY4AfY3kHU/edit?usp=sharing  #gid=0"",""фіз особи new!relations_name_uo""),7,FALSE)
,
)
))"),"#N/A")</f>
        <v>#N/A</v>
      </c>
      <c r="J2520" s="7" t="s">
        <v>26</v>
      </c>
    </row>
    <row r="2521" spans="1:10" ht="13.2">
      <c r="A2521" s="7">
        <v>2520</v>
      </c>
      <c r="B2521" s="7">
        <v>1</v>
      </c>
      <c r="C2521" s="7" t="s">
        <v>10</v>
      </c>
      <c r="D2521" s="7">
        <v>726</v>
      </c>
      <c r="E2521" s="7" t="s">
        <v>12</v>
      </c>
      <c r="F2521" s="8" t="str">
        <f ca="1">IFERROR(__xludf.DUMMYFUNCTION("IF
(
C2522=""фізична особа""
,
VLOOKUP(D2522,IMPORTRANGE(""https://docs.google.com/spreadsheets/d/14Bd19lYaqBhU8_DElYkX7l4wRkHqqCUFNJY4AfY3kHU/edit?usp=sharing  #gid=0"",""фіз особи new!relations_name""),6,FALSE)
,
(IF
(
C2522=""юридична особа""
,
VLOOKUP"&amp;"(D2522,IMPORTRANGE(""https://docs.google.com/spreadsheets/d/14Bd19lYaqBhU8_DElYkX7l4wRkHqqCUFNJY4AfY3kHU/edit?usp=sharing  #gid=0"",""фіз особи new!relations_name_uo""),7,FALSE)
,
)
))"),"ШАМАНОВ Володимир Анатолійович")</f>
        <v>ШАМАНОВ Володимир Анатолійович</v>
      </c>
      <c r="G2521" s="7" t="s">
        <v>10</v>
      </c>
      <c r="H2521" s="7">
        <v>0</v>
      </c>
      <c r="I2521" s="8" t="str">
        <f ca="1">IFERROR(__xludf.DUMMYFUNCTION("IF
(
G2522=""фізична особа""
,
VLOOKUP(H2522,IMPORTRANGE(""https://docs.google.com/spreadsheets/d/14Bd19lYaqBhU8_DElYkX7l4wRkHqqCUFNJY4AfY3kHU/edit?usp=sharing  #gid=0"",""фіз особи new!relations_name""),6,FALSE)
,
(IF
(
G2522=""юридична особа""
,
VLOOKUP"&amp;"(H2522,IMPORTRANGE(""https://docs.google.com/spreadsheets/d/14Bd19lYaqBhU8_DElYkX7l4wRkHqqCUFNJY4AfY3kHU/edit?usp=sharing  #gid=0"",""фіз особи new!relations_name_uo""),7,FALSE)
,
)
))"),"#N/A")</f>
        <v>#N/A</v>
      </c>
      <c r="J2521" s="7" t="s">
        <v>17</v>
      </c>
    </row>
    <row r="2522" spans="1:10" ht="13.2">
      <c r="A2522" s="7">
        <v>2521</v>
      </c>
      <c r="B2522" s="7">
        <v>1</v>
      </c>
      <c r="C2522" s="7" t="s">
        <v>10</v>
      </c>
      <c r="D2522" s="7">
        <v>726</v>
      </c>
      <c r="E2522" s="7" t="s">
        <v>12</v>
      </c>
      <c r="F2522" s="8" t="str">
        <f ca="1">IFERROR(__xludf.DUMMYFUNCTION("IF
(
C2523=""фізична особа""
,
VLOOKUP(D2523,IMPORTRANGE(""https://docs.google.com/spreadsheets/d/14Bd19lYaqBhU8_DElYkX7l4wRkHqqCUFNJY4AfY3kHU/edit?usp=sharing  #gid=0"",""фіз особи new!relations_name""),6,FALSE)
,
(IF
(
C2523=""юридична особа""
,
VLOOKUP"&amp;"(D2523,IMPORTRANGE(""https://docs.google.com/spreadsheets/d/14Bd19lYaqBhU8_DElYkX7l4wRkHqqCUFNJY4AfY3kHU/edit?usp=sharing  #gid=0"",""фіз особи new!relations_name_uo""),7,FALSE)
,
)
))"),"ШАМАНОВ Володимир Анатолійович")</f>
        <v>ШАМАНОВ Володимир Анатолійович</v>
      </c>
      <c r="G2522" s="7" t="s">
        <v>10</v>
      </c>
      <c r="H2522" s="7">
        <v>0</v>
      </c>
      <c r="I2522" s="8" t="str">
        <f ca="1">IFERROR(__xludf.DUMMYFUNCTION("IF
(
G2523=""фізична особа""
,
VLOOKUP(H2523,IMPORTRANGE(""https://docs.google.com/spreadsheets/d/14Bd19lYaqBhU8_DElYkX7l4wRkHqqCUFNJY4AfY3kHU/edit?usp=sharing  #gid=0"",""фіз особи new!relations_name""),6,FALSE)
,
(IF
(
G2523=""юридична особа""
,
VLOOKUP"&amp;"(H2523,IMPORTRANGE(""https://docs.google.com/spreadsheets/d/14Bd19lYaqBhU8_DElYkX7l4wRkHqqCUFNJY4AfY3kHU/edit?usp=sharing  #gid=0"",""фіз особи new!relations_name_uo""),7,FALSE)
,
)
))"),"#N/A")</f>
        <v>#N/A</v>
      </c>
      <c r="J2522" s="7" t="s">
        <v>13</v>
      </c>
    </row>
    <row r="2523" spans="1:10" ht="13.2">
      <c r="A2523" s="7">
        <v>2522</v>
      </c>
      <c r="B2523" s="7">
        <v>1</v>
      </c>
      <c r="C2523" s="7" t="s">
        <v>10</v>
      </c>
      <c r="D2523" s="7">
        <v>727</v>
      </c>
      <c r="E2523" s="7" t="s">
        <v>48</v>
      </c>
      <c r="F2523" s="8" t="str">
        <f ca="1">IFERROR(__xludf.DUMMYFUNCTION("IF
(
C2524=""фізична особа""
,
VLOOKUP(D2524,IMPORTRANGE(""https://docs.google.com/spreadsheets/d/14Bd19lYaqBhU8_DElYkX7l4wRkHqqCUFNJY4AfY3kHU/edit?usp=sharing  #gid=0"",""фіз особи new!relations_name""),6,FALSE)
,
(IF
(
C2524=""юридична особа""
,
VLOOKUP"&amp;"(D2524,IMPORTRANGE(""https://docs.google.com/spreadsheets/d/14Bd19lYaqBhU8_DElYkX7l4wRkHqqCUFNJY4AfY3kHU/edit?usp=sharing  #gid=0"",""фіз особи new!relations_name_uo""),7,FALSE)
,
)
))"),"САРАЛІЄВ Шамсаїл Юнусович")</f>
        <v>САРАЛІЄВ Шамсаїл Юнусович</v>
      </c>
      <c r="G2523" s="7" t="s">
        <v>10</v>
      </c>
      <c r="H2523" s="7">
        <v>609</v>
      </c>
      <c r="I2523" s="8" t="str">
        <f ca="1">IFERROR(__xludf.DUMMYFUNCTION("IF
(
G2524=""фізична особа""
,
VLOOKUP(H2524,IMPORTRANGE(""https://docs.google.com/spreadsheets/d/14Bd19lYaqBhU8_DElYkX7l4wRkHqqCUFNJY4AfY3kHU/edit?usp=sharing  #gid=0"",""фіз особи new!relations_name""),6,FALSE)
,
(IF
(
G2524=""юридична особа""
,
VLOOKUP"&amp;"(H2524,IMPORTRANGE(""https://docs.google.com/spreadsheets/d/14Bd19lYaqBhU8_DElYkX7l4wRkHqqCUFNJY4AfY3kHU/edit?usp=sharing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2523" s="7" t="s">
        <v>48</v>
      </c>
    </row>
    <row r="2524" spans="1:10" ht="13.2">
      <c r="A2524" s="7">
        <v>2523</v>
      </c>
      <c r="B2524" s="7">
        <v>1</v>
      </c>
      <c r="C2524" s="7" t="s">
        <v>10</v>
      </c>
      <c r="D2524" s="7">
        <v>727</v>
      </c>
      <c r="E2524" s="7" t="s">
        <v>48</v>
      </c>
      <c r="F2524" s="8" t="str">
        <f ca="1">IFERROR(__xludf.DUMMYFUNCTION("IF
(
C2525=""фізична особа""
,
VLOOKUP(D2525,IMPORTRANGE(""https://docs.google.com/spreadsheets/d/14Bd19lYaqBhU8_DElYkX7l4wRkHqqCUFNJY4AfY3kHU/edit?usp=sharing  #gid=0"",""фіз особи new!relations_name""),6,FALSE)
,
(IF
(
C2525=""юридична особа""
,
VLOOKUP"&amp;"(D2525,IMPORTRANGE(""https://docs.google.com/spreadsheets/d/14Bd19lYaqBhU8_DElYkX7l4wRkHqqCUFNJY4AfY3kHU/edit?usp=sharing  #gid=0"",""фіз особи new!relations_name_uo""),7,FALSE)
,
)
))"),"САРАЛІЄВ Шамсаїл Юнусович")</f>
        <v>САРАЛІЄВ Шамсаїл Юнусович</v>
      </c>
      <c r="G2524" s="7" t="s">
        <v>10</v>
      </c>
      <c r="H2524" s="7">
        <v>0</v>
      </c>
      <c r="I2524" s="8" t="str">
        <f ca="1">IFERROR(__xludf.DUMMYFUNCTION("IF
(
G2525=""фізична особа""
,
VLOOKUP(H2525,IMPORTRANGE(""https://docs.google.com/spreadsheets/d/14Bd19lYaqBhU8_DElYkX7l4wRkHqqCUFNJY4AfY3kHU/edit?usp=sharing  #gid=0"",""фіз особи new!relations_name""),6,FALSE)
,
(IF
(
G2525=""юридична особа""
,
VLOOKUP"&amp;"(H2525,IMPORTRANGE(""https://docs.google.com/spreadsheets/d/14Bd19lYaqBhU8_DElYkX7l4wRkHqqCUFNJY4AfY3kHU/edit?usp=sharing  #gid=0"",""фіз особи new!relations_name_uo""),7,FALSE)
,
)
))"),"#N/A")</f>
        <v>#N/A</v>
      </c>
      <c r="J2524" s="7" t="s">
        <v>48</v>
      </c>
    </row>
    <row r="2525" spans="1:10" ht="13.2">
      <c r="A2525" s="7">
        <v>2524</v>
      </c>
      <c r="B2525" s="7">
        <v>1</v>
      </c>
      <c r="C2525" s="7" t="s">
        <v>10</v>
      </c>
      <c r="D2525" s="7">
        <v>728</v>
      </c>
      <c r="E2525" s="7" t="s">
        <v>30</v>
      </c>
      <c r="F2525" s="8" t="str">
        <f ca="1">IFERROR(__xludf.DUMMYFUNCTION("IF
(
C2526=""фізична особа""
,
VLOOKUP(D2526,IMPORTRANGE(""https://docs.google.com/spreadsheets/d/14Bd19lYaqBhU8_DElYkX7l4wRkHqqCUFNJY4AfY3kHU/edit?usp=sharing  #gid=0"",""фіз особи new!relations_name""),6,FALSE)
,
(IF
(
C2526=""юридична особа""
,
VLOOKUP"&amp;"(D2526,IMPORTRANGE(""https://docs.google.com/spreadsheets/d/14Bd19lYaqBhU8_DElYkX7l4wRkHqqCUFNJY4AfY3kHU/edit?usp=sharing  #gid=0"",""фіз особи new!relations_name_uo""),7,FALSE)
,
)
))"),"ЩЕРБАКОВ Сергій Володимирович")</f>
        <v>ЩЕРБАКОВ Сергій Володимирович</v>
      </c>
      <c r="G2525" s="7" t="s">
        <v>10</v>
      </c>
      <c r="H2525" s="7">
        <v>0</v>
      </c>
      <c r="I2525" s="8" t="str">
        <f ca="1">IFERROR(__xludf.DUMMYFUNCTION("IF
(
G2526=""фізична особа""
,
VLOOKUP(H2526,IMPORTRANGE(""https://docs.google.com/spreadsheets/d/14Bd19lYaqBhU8_DElYkX7l4wRkHqqCUFNJY4AfY3kHU/edit?usp=sharing  #gid=0"",""фіз особи new!relations_name""),6,FALSE)
,
(IF
(
G2526=""юридична особа""
,
VLOOKUP"&amp;"(H2526,IMPORTRANGE(""https://docs.google.com/spreadsheets/d/14Bd19lYaqBhU8_DElYkX7l4wRkHqqCUFNJY4AfY3kHU/edit?usp=sharing  #gid=0"",""фіз особи new!relations_name_uo""),7,FALSE)
,
)
))"),"#N/A")</f>
        <v>#N/A</v>
      </c>
      <c r="J2525" s="7" t="s">
        <v>30</v>
      </c>
    </row>
    <row r="2526" spans="1:10" ht="13.2">
      <c r="A2526" s="7">
        <v>2525</v>
      </c>
      <c r="B2526" s="7">
        <v>1</v>
      </c>
      <c r="C2526" s="7" t="s">
        <v>10</v>
      </c>
      <c r="D2526" s="7">
        <v>730</v>
      </c>
      <c r="E2526" s="7" t="s">
        <v>48</v>
      </c>
      <c r="F2526" s="8" t="str">
        <f ca="1">IFERROR(__xludf.DUMMYFUNCTION("IF
(
C2527=""фізична особа""
,
VLOOKUP(D2527,IMPORTRANGE(""https://docs.google.com/spreadsheets/d/14Bd19lYaqBhU8_DElYkX7l4wRkHqqCUFNJY4AfY3kHU/edit?usp=sharing  #gid=0"",""фіз особи new!relations_name""),6,FALSE)
,
(IF
(
C2527=""юридична особа""
,
VLOOKUP"&amp;"(D2527,IMPORTRANGE(""https://docs.google.com/spreadsheets/d/14Bd19lYaqBhU8_DElYkX7l4wRkHqqCUFNJY4AfY3kHU/edit?usp=sharing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26" s="7" t="s">
        <v>10</v>
      </c>
      <c r="H2526" s="7">
        <v>0</v>
      </c>
      <c r="I2526" s="8" t="str">
        <f ca="1">IFERROR(__xludf.DUMMYFUNCTION("IF
(
G2527=""фізична особа""
,
VLOOKUP(H2527,IMPORTRANGE(""https://docs.google.com/spreadsheets/d/14Bd19lYaqBhU8_DElYkX7l4wRkHqqCUFNJY4AfY3kHU/edit?usp=sharing  #gid=0"",""фіз особи new!relations_name""),6,FALSE)
,
(IF
(
G2527=""юридична особа""
,
VLOOKUP"&amp;"(H2527,IMPORTRANGE(""https://docs.google.com/spreadsheets/d/14Bd19lYaqBhU8_DElYkX7l4wRkHqqCUFNJY4AfY3kHU/edit?usp=sharing  #gid=0"",""фіз особи new!relations_name_uo""),7,FALSE)
,
)
))"),"#N/A")</f>
        <v>#N/A</v>
      </c>
      <c r="J2526" s="7" t="s">
        <v>48</v>
      </c>
    </row>
    <row r="2527" spans="1:10" ht="13.2">
      <c r="A2527" s="7">
        <v>2526</v>
      </c>
      <c r="B2527" s="7">
        <v>1</v>
      </c>
      <c r="C2527" s="7" t="s">
        <v>10</v>
      </c>
      <c r="D2527" s="7">
        <v>730</v>
      </c>
      <c r="E2527" s="7" t="s">
        <v>48</v>
      </c>
      <c r="F2527" s="8" t="str">
        <f ca="1">IFERROR(__xludf.DUMMYFUNCTION("IF
(
C2528=""фізична особа""
,
VLOOKUP(D2528,IMPORTRANGE(""https://docs.google.com/spreadsheets/d/14Bd19lYaqBhU8_DElYkX7l4wRkHqqCUFNJY4AfY3kHU/edit?usp=sharing  #gid=0"",""фіз особи new!relations_name""),6,FALSE)
,
(IF
(
C2528=""юридична особа""
,
VLOOKUP"&amp;"(D2528,IMPORTRANGE(""https://docs.google.com/spreadsheets/d/14Bd19lYaqBhU8_DElYkX7l4wRkHqqCUFNJY4AfY3kHU/edit?usp=sharing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27" s="7" t="s">
        <v>10</v>
      </c>
      <c r="H2527" s="7">
        <v>0</v>
      </c>
      <c r="I2527" s="8" t="str">
        <f ca="1">IFERROR(__xludf.DUMMYFUNCTION("IF
(
G2528=""фізична особа""
,
VLOOKUP(H2528,IMPORTRANGE(""https://docs.google.com/spreadsheets/d/14Bd19lYaqBhU8_DElYkX7l4wRkHqqCUFNJY4AfY3kHU/edit?usp=sharing  #gid=0"",""фіз особи new!relations_name""),6,FALSE)
,
(IF
(
G2528=""юридична особа""
,
VLOOKUP"&amp;"(H2528,IMPORTRANGE(""https://docs.google.com/spreadsheets/d/14Bd19lYaqBhU8_DElYkX7l4wRkHqqCUFNJY4AfY3kHU/edit?usp=sharing  #gid=0"",""фіз особи new!relations_name_uo""),7,FALSE)
,
)
))"),"#N/A")</f>
        <v>#N/A</v>
      </c>
      <c r="J2527" s="7" t="s">
        <v>48</v>
      </c>
    </row>
    <row r="2528" spans="1:10" ht="13.2">
      <c r="A2528" s="7">
        <v>2527</v>
      </c>
      <c r="B2528" s="7">
        <v>1</v>
      </c>
      <c r="C2528" s="7" t="s">
        <v>10</v>
      </c>
      <c r="D2528" s="7">
        <v>730</v>
      </c>
      <c r="E2528" s="7" t="s">
        <v>48</v>
      </c>
      <c r="F2528" s="8" t="str">
        <f ca="1">IFERROR(__xludf.DUMMYFUNCTION("IF
(
C2529=""фізична особа""
,
VLOOKUP(D2529,IMPORTRANGE(""https://docs.google.com/spreadsheets/d/14Bd19lYaqBhU8_DElYkX7l4wRkHqqCUFNJY4AfY3kHU/edit?usp=sharing  #gid=0"",""фіз особи new!relations_name""),6,FALSE)
,
(IF
(
C2529=""юридична особа""
,
VLOOKUP"&amp;"(D2529,IMPORTRANGE(""https://docs.google.com/spreadsheets/d/14Bd19lYaqBhU8_DElYkX7l4wRkHqqCUFNJY4AfY3kHU/edit?usp=sharing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28" s="7" t="s">
        <v>10</v>
      </c>
      <c r="H2528" s="7">
        <v>0</v>
      </c>
      <c r="I2528" s="8" t="str">
        <f ca="1">IFERROR(__xludf.DUMMYFUNCTION("IF
(
G2529=""фізична особа""
,
VLOOKUP(H2529,IMPORTRANGE(""https://docs.google.com/spreadsheets/d/14Bd19lYaqBhU8_DElYkX7l4wRkHqqCUFNJY4AfY3kHU/edit?usp=sharing  #gid=0"",""фіз особи new!relations_name""),6,FALSE)
,
(IF
(
G2529=""юридична особа""
,
VLOOKUP"&amp;"(H2529,IMPORTRANGE(""https://docs.google.com/spreadsheets/d/14Bd19lYaqBhU8_DElYkX7l4wRkHqqCUFNJY4AfY3kHU/edit?usp=sharing  #gid=0"",""фіз особи new!relations_name_uo""),7,FALSE)
,
)
))"),"#N/A")</f>
        <v>#N/A</v>
      </c>
      <c r="J2528" s="7" t="s">
        <v>48</v>
      </c>
    </row>
    <row r="2529" spans="1:10" ht="13.2">
      <c r="A2529" s="7">
        <v>2528</v>
      </c>
      <c r="B2529" s="7">
        <v>1</v>
      </c>
      <c r="C2529" s="7" t="s">
        <v>10</v>
      </c>
      <c r="D2529" s="7">
        <v>730</v>
      </c>
      <c r="E2529" s="7" t="s">
        <v>17</v>
      </c>
      <c r="F2529" s="8" t="str">
        <f ca="1">IFERROR(__xludf.DUMMYFUNCTION("IF
(
C2530=""фізична особа""
,
VLOOKUP(D2530,IMPORTRANGE(""https://docs.google.com/spreadsheets/d/14Bd19lYaqBhU8_DElYkX7l4wRkHqqCUFNJY4AfY3kHU/edit?usp=sharing  #gid=0"",""фіз особи new!relations_name""),6,FALSE)
,
(IF
(
C2530=""юридична особа""
,
VLOOKUP"&amp;"(D2530,IMPORTRANGE(""https://docs.google.com/spreadsheets/d/14Bd19lYaqBhU8_DElYkX7l4wRkHqqCUFNJY4AfY3kHU/edit?usp=sharing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29" s="7" t="s">
        <v>10</v>
      </c>
      <c r="H2529" s="7">
        <v>4851</v>
      </c>
      <c r="I2529" s="8" t="str">
        <f ca="1">IFERROR(__xludf.DUMMYFUNCTION("IF
(
G2530=""фізична особа""
,
VLOOKUP(H2530,IMPORTRANGE(""https://docs.google.com/spreadsheets/d/14Bd19lYaqBhU8_DElYkX7l4wRkHqqCUFNJY4AfY3kHU/edit?usp=sharing  #gid=0"",""фіз особи new!relations_name""),6,FALSE)
,
(IF
(
G2530=""юридична особа""
,
VLOOKUP"&amp;"(H2530,IMPORTRANGE(""https://docs.google.com/spreadsheets/d/14Bd19lYaqBhU8_DElYkX7l4wRkHqqCUFNJY4AfY3kHU/edit?usp=sharing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2529" s="7" t="s">
        <v>12</v>
      </c>
    </row>
    <row r="2530" spans="1:10" ht="13.2">
      <c r="A2530" s="7">
        <v>2529</v>
      </c>
      <c r="B2530" s="7">
        <v>1</v>
      </c>
      <c r="C2530" s="7" t="s">
        <v>10</v>
      </c>
      <c r="D2530" s="7">
        <v>730</v>
      </c>
      <c r="E2530" s="7" t="s">
        <v>17</v>
      </c>
      <c r="F2530" s="8" t="str">
        <f ca="1">IFERROR(__xludf.DUMMYFUNCTION("IF
(
C2531=""фізична особа""
,
VLOOKUP(D2531,IMPORTRANGE(""https://docs.google.com/spreadsheets/d/14Bd19lYaqBhU8_DElYkX7l4wRkHqqCUFNJY4AfY3kHU/edit?usp=sharing  #gid=0"",""фіз особи new!relations_name""),6,FALSE)
,
(IF
(
C2531=""юридична особа""
,
VLOOKUP"&amp;"(D2531,IMPORTRANGE(""https://docs.google.com/spreadsheets/d/14Bd19lYaqBhU8_DElYkX7l4wRkHqqCUFNJY4AfY3kHU/edit?usp=sharing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0" s="7" t="s">
        <v>10</v>
      </c>
      <c r="H2530" s="7">
        <v>4852</v>
      </c>
      <c r="I2530" s="8" t="str">
        <f ca="1">IFERROR(__xludf.DUMMYFUNCTION("IF
(
G2531=""фізична особа""
,
VLOOKUP(H2531,IMPORTRANGE(""https://docs.google.com/spreadsheets/d/14Bd19lYaqBhU8_DElYkX7l4wRkHqqCUFNJY4AfY3kHU/edit?usp=sharing  #gid=0"",""фіз особи new!relations_name""),6,FALSE)
,
(IF
(
G2531=""юридична особа""
,
VLOOKUP"&amp;"(H2531,IMPORTRANGE(""https://docs.google.com/spreadsheets/d/14Bd19lYaqBhU8_DElYkX7l4wRkHqqCUFNJY4AfY3kHU/edit?usp=sharing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2530" s="7" t="s">
        <v>21</v>
      </c>
    </row>
    <row r="2531" spans="1:10" ht="13.2">
      <c r="A2531" s="7">
        <v>2530</v>
      </c>
      <c r="B2531" s="7">
        <v>1</v>
      </c>
      <c r="C2531" s="7" t="s">
        <v>10</v>
      </c>
      <c r="D2531" s="7">
        <v>730</v>
      </c>
      <c r="E2531" s="7" t="s">
        <v>18</v>
      </c>
      <c r="F2531" s="8" t="str">
        <f ca="1">IFERROR(__xludf.DUMMYFUNCTION("IF
(
C2532=""фізична особа""
,
VLOOKUP(D2532,IMPORTRANGE(""https://docs.google.com/spreadsheets/d/14Bd19lYaqBhU8_DElYkX7l4wRkHqqCUFNJY4AfY3kHU/edit?usp=sharing  #gid=0"",""фіз особи new!relations_name""),6,FALSE)
,
(IF
(
C2532=""юридична особа""
,
VLOOKUP"&amp;"(D2532,IMPORTRANGE(""https://docs.google.com/spreadsheets/d/14Bd19lYaqBhU8_DElYkX7l4wRkHqqCUFNJY4AfY3kHU/edit?usp=sharing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1" s="7" t="s">
        <v>10</v>
      </c>
      <c r="H2531" s="7">
        <v>4853</v>
      </c>
      <c r="I2531" s="8" t="str">
        <f ca="1">IFERROR(__xludf.DUMMYFUNCTION("IF
(
G2532=""фізична особа""
,
VLOOKUP(H2532,IMPORTRANGE(""https://docs.google.com/spreadsheets/d/14Bd19lYaqBhU8_DElYkX7l4wRkHqqCUFNJY4AfY3kHU/edit?usp=sharing  #gid=0"",""фіз особи new!relations_name""),6,FALSE)
,
(IF
(
G2532=""юридична особа""
,
VLOOKUP"&amp;"(H2532,IMPORTRANGE(""https://docs.google.com/spreadsheets/d/14Bd19lYaqBhU8_DElYkX7l4wRkHqqCUFNJY4AfY3kHU/edit?usp=sharing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2531" s="7" t="s">
        <v>18</v>
      </c>
    </row>
    <row r="2532" spans="1:10" ht="13.2">
      <c r="A2532" s="7">
        <v>2531</v>
      </c>
      <c r="B2532" s="7">
        <v>1</v>
      </c>
      <c r="C2532" s="7" t="s">
        <v>10</v>
      </c>
      <c r="D2532" s="7">
        <v>730</v>
      </c>
      <c r="E2532" s="7" t="s">
        <v>18</v>
      </c>
      <c r="F2532" s="8" t="str">
        <f ca="1">IFERROR(__xludf.DUMMYFUNCTION("IF
(
C2533=""фізична особа""
,
VLOOKUP(D2533,IMPORTRANGE(""https://docs.google.com/spreadsheets/d/14Bd19lYaqBhU8_DElYkX7l4wRkHqqCUFNJY4AfY3kHU/edit?usp=sharing  #gid=0"",""фіз особи new!relations_name""),6,FALSE)
,
(IF
(
C2533=""юридична особа""
,
VLOOKUP"&amp;"(D2533,IMPORTRANGE(""https://docs.google.com/spreadsheets/d/14Bd19lYaqBhU8_DElYkX7l4wRkHqqCUFNJY4AfY3kHU/edit?usp=sharing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2" s="7" t="s">
        <v>10</v>
      </c>
      <c r="H2532" s="7">
        <v>4854</v>
      </c>
      <c r="I2532" s="8" t="str">
        <f ca="1">IFERROR(__xludf.DUMMYFUNCTION("IF
(
G2533=""фізична особа""
,
VLOOKUP(H2533,IMPORTRANGE(""https://docs.google.com/spreadsheets/d/14Bd19lYaqBhU8_DElYkX7l4wRkHqqCUFNJY4AfY3kHU/edit?usp=sharing  #gid=0"",""фіз особи new!relations_name""),6,FALSE)
,
(IF
(
G2533=""юридична особа""
,
VLOOKUP"&amp;"(H2533,IMPORTRANGE(""https://docs.google.com/spreadsheets/d/14Bd19lYaqBhU8_DElYkX7l4wRkHqqCUFNJY4AfY3kHU/edit?usp=sharing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2532" s="7" t="s">
        <v>18</v>
      </c>
    </row>
    <row r="2533" spans="1:10" ht="13.2">
      <c r="A2533" s="7">
        <v>2532</v>
      </c>
      <c r="B2533" s="7">
        <v>1</v>
      </c>
      <c r="C2533" s="7" t="s">
        <v>10</v>
      </c>
      <c r="D2533" s="7">
        <v>730</v>
      </c>
      <c r="E2533" s="7" t="s">
        <v>14</v>
      </c>
      <c r="F2533" s="8" t="str">
        <f ca="1">IFERROR(__xludf.DUMMYFUNCTION("IF
(
C2534=""фізична особа""
,
VLOOKUP(D2534,IMPORTRANGE(""https://docs.google.com/spreadsheets/d/14Bd19lYaqBhU8_DElYkX7l4wRkHqqCUFNJY4AfY3kHU/edit?usp=sharing  #gid=0"",""фіз особи new!relations_name""),6,FALSE)
,
(IF
(
C2534=""юридична особа""
,
VLOOKUP"&amp;"(D2534,IMPORTRANGE(""https://docs.google.com/spreadsheets/d/14Bd19lYaqBhU8_DElYkX7l4wRkHqqCUFNJY4AfY3kHU/edit?usp=sharing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3" s="7" t="s">
        <v>10</v>
      </c>
      <c r="H2533" s="7">
        <v>4855</v>
      </c>
      <c r="I2533" s="8" t="str">
        <f ca="1">IFERROR(__xludf.DUMMYFUNCTION("IF
(
G2534=""фізична особа""
,
VLOOKUP(H2534,IMPORTRANGE(""https://docs.google.com/spreadsheets/d/14Bd19lYaqBhU8_DElYkX7l4wRkHqqCUFNJY4AfY3kHU/edit?usp=sharing  #gid=0"",""фіз особи new!relations_name""),6,FALSE)
,
(IF
(
G2534=""юридична особа""
,
VLOOKUP"&amp;"(H2534,IMPORTRANGE(""https://docs.google.com/spreadsheets/d/14Bd19lYaqBhU8_DElYkX7l4wRkHqqCUFNJY4AfY3kHU/edit?usp=sharing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2533" s="7" t="s">
        <v>15</v>
      </c>
    </row>
    <row r="2534" spans="1:10" ht="13.2">
      <c r="A2534" s="7">
        <v>2533</v>
      </c>
      <c r="B2534" s="7">
        <v>1</v>
      </c>
      <c r="C2534" s="7" t="s">
        <v>10</v>
      </c>
      <c r="D2534" s="7">
        <v>730</v>
      </c>
      <c r="E2534" s="7" t="s">
        <v>12</v>
      </c>
      <c r="F2534" s="8" t="str">
        <f ca="1">IFERROR(__xludf.DUMMYFUNCTION("IF
(
C2535=""фізична особа""
,
VLOOKUP(D2535,IMPORTRANGE(""https://docs.google.com/spreadsheets/d/14Bd19lYaqBhU8_DElYkX7l4wRkHqqCUFNJY4AfY3kHU/edit?usp=sharing  #gid=0"",""фіз особи new!relations_name""),6,FALSE)
,
(IF
(
C2535=""юридична особа""
,
VLOOKUP"&amp;"(D2535,IMPORTRANGE(""https://docs.google.com/spreadsheets/d/14Bd19lYaqBhU8_DElYkX7l4wRkHqqCUFNJY4AfY3kHU/edit?usp=sharing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4" s="7" t="s">
        <v>10</v>
      </c>
      <c r="H2534" s="7">
        <v>4856</v>
      </c>
      <c r="I2534" s="8" t="str">
        <f ca="1">IFERROR(__xludf.DUMMYFUNCTION("IF
(
G2535=""фізична особа""
,
VLOOKUP(H2535,IMPORTRANGE(""https://docs.google.com/spreadsheets/d/14Bd19lYaqBhU8_DElYkX7l4wRkHqqCUFNJY4AfY3kHU/edit?usp=sharing  #gid=0"",""фіз особи new!relations_name""),6,FALSE)
,
(IF
(
G2535=""юридична особа""
,
VLOOKUP"&amp;"(H2535,IMPORTRANGE(""https://docs.google.com/spreadsheets/d/14Bd19lYaqBhU8_DElYkX7l4wRkHqqCUFNJY4AfY3kHU/edit?usp=sharing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2534" s="7" t="s">
        <v>13</v>
      </c>
    </row>
    <row r="2535" spans="1:10" ht="13.2">
      <c r="A2535" s="7">
        <v>2534</v>
      </c>
      <c r="B2535" s="7">
        <v>1</v>
      </c>
      <c r="C2535" s="7" t="s">
        <v>10</v>
      </c>
      <c r="D2535" s="7">
        <v>730</v>
      </c>
      <c r="E2535" s="7" t="s">
        <v>12</v>
      </c>
      <c r="F2535" s="8" t="str">
        <f ca="1">IFERROR(__xludf.DUMMYFUNCTION("IF
(
C2536=""фізична особа""
,
VLOOKUP(D2536,IMPORTRANGE(""https://docs.google.com/spreadsheets/d/14Bd19lYaqBhU8_DElYkX7l4wRkHqqCUFNJY4AfY3kHU/edit?usp=sharing  #gid=0"",""фіз особи new!relations_name""),6,FALSE)
,
(IF
(
C2536=""юридична особа""
,
VLOOKUP"&amp;"(D2536,IMPORTRANGE(""https://docs.google.com/spreadsheets/d/14Bd19lYaqBhU8_DElYkX7l4wRkHqqCUFNJY4AfY3kHU/edit?usp=sharing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5" s="7" t="s">
        <v>10</v>
      </c>
      <c r="H2535" s="7">
        <v>4857</v>
      </c>
      <c r="I2535" s="8" t="str">
        <f ca="1">IFERROR(__xludf.DUMMYFUNCTION("IF
(
G2536=""фізична особа""
,
VLOOKUP(H2536,IMPORTRANGE(""https://docs.google.com/spreadsheets/d/14Bd19lYaqBhU8_DElYkX7l4wRkHqqCUFNJY4AfY3kHU/edit?usp=sharing  #gid=0"",""фіз особи new!relations_name""),6,FALSE)
,
(IF
(
G2536=""юридична особа""
,
VLOOKUP"&amp;"(H2536,IMPORTRANGE(""https://docs.google.com/spreadsheets/d/14Bd19lYaqBhU8_DElYkX7l4wRkHqqCUFNJY4AfY3kHU/edit?usp=sharing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2535" s="7" t="s">
        <v>13</v>
      </c>
    </row>
    <row r="2536" spans="1:10" ht="13.2">
      <c r="A2536" s="7">
        <v>2535</v>
      </c>
      <c r="B2536" s="7">
        <v>1</v>
      </c>
      <c r="C2536" s="7" t="s">
        <v>10</v>
      </c>
      <c r="D2536" s="7">
        <v>730</v>
      </c>
      <c r="E2536" s="7" t="s">
        <v>12</v>
      </c>
      <c r="F2536" s="8" t="str">
        <f ca="1">IFERROR(__xludf.DUMMYFUNCTION("IF
(
C2537=""фізична особа""
,
VLOOKUP(D2537,IMPORTRANGE(""https://docs.google.com/spreadsheets/d/14Bd19lYaqBhU8_DElYkX7l4wRkHqqCUFNJY4AfY3kHU/edit?usp=sharing  #gid=0"",""фіз особи new!relations_name""),6,FALSE)
,
(IF
(
C2537=""юридична особа""
,
VLOOKUP"&amp;"(D2537,IMPORTRANGE(""https://docs.google.com/spreadsheets/d/14Bd19lYaqBhU8_DElYkX7l4wRkHqqCUFNJY4AfY3kHU/edit?usp=sharing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G2536" s="7" t="s">
        <v>10</v>
      </c>
      <c r="H2536" s="7">
        <v>4858</v>
      </c>
      <c r="I2536" s="8" t="str">
        <f ca="1">IFERROR(__xludf.DUMMYFUNCTION("IF
(
G2537=""фізична особа""
,
VLOOKUP(H2537,IMPORTRANGE(""https://docs.google.com/spreadsheets/d/14Bd19lYaqBhU8_DElYkX7l4wRkHqqCUFNJY4AfY3kHU/edit?usp=sharing  #gid=0"",""фіз особи new!relations_name""),6,FALSE)
,
(IF
(
G2537=""юридична особа""
,
VLOOKUP"&amp;"(H2537,IMPORTRANGE(""https://docs.google.com/spreadsheets/d/14Bd19lYaqBhU8_DElYkX7l4wRkHqqCUFNJY4AfY3kHU/edit?usp=sharing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2536" s="7" t="s">
        <v>17</v>
      </c>
    </row>
    <row r="2537" spans="1:10" ht="13.2">
      <c r="A2537" s="7">
        <v>2536</v>
      </c>
      <c r="B2537" s="7">
        <v>1</v>
      </c>
      <c r="C2537" s="7" t="s">
        <v>10</v>
      </c>
      <c r="D2537" s="7">
        <v>731</v>
      </c>
      <c r="E2537" s="7" t="s">
        <v>17</v>
      </c>
      <c r="F2537" s="8" t="str">
        <f ca="1">IFERROR(__xludf.DUMMYFUNCTION("IF
(
C2538=""фізична особа""
,
VLOOKUP(D2538,IMPORTRANGE(""https://docs.google.com/spreadsheets/d/14Bd19lYaqBhU8_DElYkX7l4wRkHqqCUFNJY4AfY3kHU/edit?usp=sharing  #gid=0"",""фіз особи new!relations_name""),6,FALSE)
,
(IF
(
C2538=""юридична особа""
,
VLOOKUP"&amp;"(D2538,IMPORTRANGE(""https://docs.google.com/spreadsheets/d/14Bd19lYaqBhU8_DElYkX7l4wRkHqqCUFNJY4AfY3kHU/edit?usp=sharing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G2537" s="7" t="s">
        <v>10</v>
      </c>
      <c r="H2537" s="7">
        <v>297</v>
      </c>
      <c r="I2537" s="8" t="str">
        <f ca="1">IFERROR(__xludf.DUMMYFUNCTION("IF
(
G2538=""фізична особа""
,
VLOOKUP(H2538,IMPORTRANGE(""https://docs.google.com/spreadsheets/d/14Bd19lYaqBhU8_DElYkX7l4wRkHqqCUFNJY4AfY3kHU/edit?usp=sharing  #gid=0"",""фіз особи new!relations_name""),6,FALSE)
,
(IF
(
G2538=""юридична особа""
,
VLOOKUP"&amp;"(H2538,IMPORTRANGE(""https://docs.google.com/spreadsheets/d/14Bd19lYaqBhU8_DElYkX7l4wRkHqqCUFNJY4AfY3kHU/edit?usp=sharing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J2537" s="7" t="s">
        <v>12</v>
      </c>
    </row>
    <row r="2538" spans="1:10" ht="13.2">
      <c r="A2538" s="7">
        <v>2537</v>
      </c>
      <c r="B2538" s="7">
        <v>1</v>
      </c>
      <c r="C2538" s="7" t="s">
        <v>10</v>
      </c>
      <c r="D2538" s="7">
        <v>731</v>
      </c>
      <c r="E2538" s="7" t="s">
        <v>18</v>
      </c>
      <c r="F2538" s="8" t="str">
        <f ca="1">IFERROR(__xludf.DUMMYFUNCTION("IF
(
C2539=""фізична особа""
,
VLOOKUP(D2539,IMPORTRANGE(""https://docs.google.com/spreadsheets/d/14Bd19lYaqBhU8_DElYkX7l4wRkHqqCUFNJY4AfY3kHU/edit?usp=sharing  #gid=0"",""фіз особи new!relations_name""),6,FALSE)
,
(IF
(
C2539=""юридична особа""
,
VLOOKUP"&amp;"(D2539,IMPORTRANGE(""https://docs.google.com/spreadsheets/d/14Bd19lYaqBhU8_DElYkX7l4wRkHqqCUFNJY4AfY3kHU/edit?usp=sharing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G2538" s="7" t="s">
        <v>10</v>
      </c>
      <c r="H2538" s="7">
        <v>732</v>
      </c>
      <c r="I2538" s="8" t="str">
        <f ca="1">IFERROR(__xludf.DUMMYFUNCTION("IF
(
G2539=""фізична особа""
,
VLOOKUP(H2539,IMPORTRANGE(""https://docs.google.com/spreadsheets/d/14Bd19lYaqBhU8_DElYkX7l4wRkHqqCUFNJY4AfY3kHU/edit?usp=sharing  #gid=0"",""фіз особи new!relations_name""),6,FALSE)
,
(IF
(
G2539=""юридична особа""
,
VLOOKUP"&amp;"(H2539,IMPORTRANGE(""https://docs.google.com/spreadsheets/d/14Bd19lYaqBhU8_DElYkX7l4wRkHqqCUFNJY4AfY3kHU/edit?usp=sharing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J2538" s="7" t="s">
        <v>31</v>
      </c>
    </row>
    <row r="2539" spans="1:10" ht="13.2">
      <c r="A2539" s="7">
        <v>2538</v>
      </c>
      <c r="B2539" s="7">
        <v>1</v>
      </c>
      <c r="C2539" s="7" t="s">
        <v>10</v>
      </c>
      <c r="D2539" s="7">
        <v>731</v>
      </c>
      <c r="E2539" s="7" t="s">
        <v>18</v>
      </c>
      <c r="F2539" s="8" t="str">
        <f ca="1">IFERROR(__xludf.DUMMYFUNCTION("IF
(
C2540=""фізична особа""
,
VLOOKUP(D2540,IMPORTRANGE(""https://docs.google.com/spreadsheets/d/14Bd19lYaqBhU8_DElYkX7l4wRkHqqCUFNJY4AfY3kHU/edit?usp=sharing  #gid=0"",""фіз особи new!relations_name""),6,FALSE)
,
(IF
(
C2540=""юридична особа""
,
VLOOKUP"&amp;"(D2540,IMPORTRANGE(""https://docs.google.com/spreadsheets/d/14Bd19lYaqBhU8_DElYkX7l4wRkHqqCUFNJY4AfY3kHU/edit?usp=sharing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G2539" s="7" t="s">
        <v>10</v>
      </c>
      <c r="H2539" s="7">
        <v>2063</v>
      </c>
      <c r="I2539" s="8" t="str">
        <f ca="1">IFERROR(__xludf.DUMMYFUNCTION("IF
(
G2540=""фізична особа""
,
VLOOKUP(H2540,IMPORTRANGE(""https://docs.google.com/spreadsheets/d/14Bd19lYaqBhU8_DElYkX7l4wRkHqqCUFNJY4AfY3kHU/edit?usp=sharing  #gid=0"",""фіз особи new!relations_name""),6,FALSE)
,
(IF
(
G2540=""юридична особа""
,
VLOOKUP"&amp;"(H2540,IMPORTRANGE(""https://docs.google.com/spreadsheets/d/14Bd19lYaqBhU8_DElYkX7l4wRkHqqCUFNJY4AfY3kHU/edit?usp=sharing  #gid=0"",""фіз особи new!relations_name_uo""),7,FALSE)
,
)
))"),"ШУВАЛОВА Анастасія")</f>
        <v>ШУВАЛОВА Анастасія</v>
      </c>
      <c r="J2539" s="7" t="s">
        <v>31</v>
      </c>
    </row>
    <row r="2540" spans="1:10" ht="13.2">
      <c r="A2540" s="7">
        <v>2539</v>
      </c>
      <c r="B2540" s="7">
        <v>1</v>
      </c>
      <c r="C2540" s="7" t="s">
        <v>10</v>
      </c>
      <c r="D2540" s="7">
        <v>731</v>
      </c>
      <c r="E2540" s="7" t="s">
        <v>17</v>
      </c>
      <c r="F2540" s="8" t="str">
        <f ca="1">IFERROR(__xludf.DUMMYFUNCTION("IF
(
C2541=""фізична особа""
,
VLOOKUP(D2541,IMPORTRANGE(""https://docs.google.com/spreadsheets/d/14Bd19lYaqBhU8_DElYkX7l4wRkHqqCUFNJY4AfY3kHU/edit?usp=sharing  #gid=0"",""фіз особи new!relations_name""),6,FALSE)
,
(IF
(
C2541=""юридична особа""
,
VLOOKUP"&amp;"(D2541,IMPORTRANGE(""https://docs.google.com/spreadsheets/d/14Bd19lYaqBhU8_DElYkX7l4wRkHqqCUFNJY4AfY3kHU/edit?usp=sharing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G2540" s="7" t="s">
        <v>10</v>
      </c>
      <c r="H2540" s="7">
        <v>733</v>
      </c>
      <c r="I2540" s="8" t="str">
        <f ca="1">IFERROR(__xludf.DUMMYFUNCTION("IF
(
G2541=""фізична особа""
,
VLOOKUP(H2541,IMPORTRANGE(""https://docs.google.com/spreadsheets/d/14Bd19lYaqBhU8_DElYkX7l4wRkHqqCUFNJY4AfY3kHU/edit?usp=sharing  #gid=0"",""фіз особи new!relations_name""),6,FALSE)
,
(IF
(
G2541=""юридична особа""
,
VLOOKUP"&amp;"(H2541,IMPORTRANGE(""https://docs.google.com/spreadsheets/d/14Bd19lYaqBhU8_DElYkX7l4wRkHqqCUFNJY4AfY3kHU/edit?usp=sharing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J2540" s="7" t="s">
        <v>21</v>
      </c>
    </row>
    <row r="2541" spans="1:10" ht="13.2">
      <c r="A2541" s="7">
        <v>2540</v>
      </c>
      <c r="B2541" s="7">
        <v>1</v>
      </c>
      <c r="C2541" s="7" t="s">
        <v>10</v>
      </c>
      <c r="D2541" s="7">
        <v>732</v>
      </c>
      <c r="E2541" s="7" t="s">
        <v>24</v>
      </c>
      <c r="F2541" s="8" t="str">
        <f ca="1">IFERROR(__xludf.DUMMYFUNCTION("IF
(
C2542=""фізична особа""
,
VLOOKUP(D2542,IMPORTRANGE(""https://docs.google.com/spreadsheets/d/14Bd19lYaqBhU8_DElYkX7l4wRkHqqCUFNJY4AfY3kHU/edit?usp=sharing  #gid=0"",""фіз особи new!relations_name""),6,FALSE)
,
(IF
(
C2542=""юридична особа""
,
VLOOKUP"&amp;"(D2542,IMPORTRANGE(""https://docs.google.com/spreadsheets/d/14Bd19lYaqBhU8_DElYkX7l4wRkHqqCUFNJY4AfY3kHU/edit?usp=sharing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G2541" s="7" t="s">
        <v>10</v>
      </c>
      <c r="H2541" s="7">
        <v>23385</v>
      </c>
      <c r="I2541" s="8" t="str">
        <f ca="1">IFERROR(__xludf.DUMMYFUNCTION("IF
(
G2542=""фізична особа""
,
VLOOKUP(H2542,IMPORTRANGE(""https://docs.google.com/spreadsheets/d/14Bd19lYaqBhU8_DElYkX7l4wRkHqqCUFNJY4AfY3kHU/edit?usp=sharing  #gid=0"",""фіз особи new!relations_name""),6,FALSE)
,
(IF
(
G2542=""юридична особа""
,
VLOOKUP"&amp;"(H2542,IMPORTRANGE(""https://docs.google.com/spreadsheets/d/14Bd19lYaqBhU8_DElYkX7l4wRkHqqCUFNJY4AfY3kHU/edit?usp=sharing  #gid=0"",""фіз особи new!relations_name_uo""),7,FALSE)
,
)
))"),"МАТАНЦЕВ Арсеній Володимирович")</f>
        <v>МАТАНЦЕВ Арсеній Володимирович</v>
      </c>
      <c r="J2541" s="7" t="s">
        <v>26</v>
      </c>
    </row>
    <row r="2542" spans="1:10" ht="13.2">
      <c r="A2542" s="7">
        <v>2541</v>
      </c>
      <c r="B2542" s="7">
        <v>1</v>
      </c>
      <c r="C2542" s="7" t="s">
        <v>10</v>
      </c>
      <c r="D2542" s="7">
        <v>732</v>
      </c>
      <c r="E2542" s="7" t="s">
        <v>31</v>
      </c>
      <c r="F2542" s="8" t="str">
        <f ca="1">IFERROR(__xludf.DUMMYFUNCTION("IF
(
C2543=""фізична особа""
,
VLOOKUP(D2543,IMPORTRANGE(""https://docs.google.com/spreadsheets/d/14Bd19lYaqBhU8_DElYkX7l4wRkHqqCUFNJY4AfY3kHU/edit?usp=sharing  #gid=0"",""фіз особи new!relations_name""),6,FALSE)
,
(IF
(
C2543=""юридична особа""
,
VLOOKUP"&amp;"(D2543,IMPORTRANGE(""https://docs.google.com/spreadsheets/d/14Bd19lYaqBhU8_DElYkX7l4wRkHqqCUFNJY4AfY3kHU/edit?usp=sharing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G2542" s="7" t="s">
        <v>10</v>
      </c>
      <c r="H2542" s="7">
        <v>731</v>
      </c>
      <c r="I2542" s="8" t="str">
        <f ca="1">IFERROR(__xludf.DUMMYFUNCTION("IF
(
G2543=""фізична особа""
,
VLOOKUP(H2543,IMPORTRANGE(""https://docs.google.com/spreadsheets/d/14Bd19lYaqBhU8_DElYkX7l4wRkHqqCUFNJY4AfY3kHU/edit?usp=sharing  #gid=0"",""фіз особи new!relations_name""),6,FALSE)
,
(IF
(
G2543=""юридична особа""
,
VLOOKUP"&amp;"(H2543,IMPORTRANGE(""https://docs.google.com/spreadsheets/d/14Bd19lYaqBhU8_DElYkX7l4wRkHqqCUFNJY4AfY3kHU/edit?usp=sharing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J2542" s="7" t="s">
        <v>18</v>
      </c>
    </row>
    <row r="2543" spans="1:10" ht="13.2">
      <c r="A2543" s="7">
        <v>2542</v>
      </c>
      <c r="B2543" s="7">
        <v>1</v>
      </c>
      <c r="C2543" s="7" t="s">
        <v>10</v>
      </c>
      <c r="D2543" s="7">
        <v>732</v>
      </c>
      <c r="E2543" s="7" t="s">
        <v>13</v>
      </c>
      <c r="F2543" s="8" t="str">
        <f ca="1">IFERROR(__xludf.DUMMYFUNCTION("IF
(
C2544=""фізична особа""
,
VLOOKUP(D2544,IMPORTRANGE(""https://docs.google.com/spreadsheets/d/14Bd19lYaqBhU8_DElYkX7l4wRkHqqCUFNJY4AfY3kHU/edit?usp=sharing  #gid=0"",""фіз особи new!relations_name""),6,FALSE)
,
(IF
(
C2544=""юридична особа""
,
VLOOKUP"&amp;"(D2544,IMPORTRANGE(""https://docs.google.com/spreadsheets/d/14Bd19lYaqBhU8_DElYkX7l4wRkHqqCUFNJY4AfY3kHU/edit?usp=sharing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G2543" s="7" t="s">
        <v>10</v>
      </c>
      <c r="H2543" s="7">
        <v>297</v>
      </c>
      <c r="I2543" s="8" t="str">
        <f ca="1">IFERROR(__xludf.DUMMYFUNCTION("IF
(
G2544=""фізична особа""
,
VLOOKUP(H2544,IMPORTRANGE(""https://docs.google.com/spreadsheets/d/14Bd19lYaqBhU8_DElYkX7l4wRkHqqCUFNJY4AfY3kHU/edit?usp=sharing  #gid=0"",""фіз особи new!relations_name""),6,FALSE)
,
(IF
(
G2544=""юридична особа""
,
VLOOKUP"&amp;"(H2544,IMPORTRANGE(""https://docs.google.com/spreadsheets/d/14Bd19lYaqBhU8_DElYkX7l4wRkHqqCUFNJY4AfY3kHU/edit?usp=sharing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J2543" s="7" t="s">
        <v>12</v>
      </c>
    </row>
    <row r="2544" spans="1:10" ht="13.2">
      <c r="A2544" s="7">
        <v>2543</v>
      </c>
      <c r="B2544" s="7">
        <v>1</v>
      </c>
      <c r="C2544" s="7" t="s">
        <v>10</v>
      </c>
      <c r="D2544" s="7">
        <v>732</v>
      </c>
      <c r="E2544" s="7" t="s">
        <v>13</v>
      </c>
      <c r="F2544" s="8" t="str">
        <f ca="1">IFERROR(__xludf.DUMMYFUNCTION("IF
(
C2545=""фізична особа""
,
VLOOKUP(D2545,IMPORTRANGE(""https://docs.google.com/spreadsheets/d/14Bd19lYaqBhU8_DElYkX7l4wRkHqqCUFNJY4AfY3kHU/edit?usp=sharing  #gid=0"",""фіз особи new!relations_name""),6,FALSE)
,
(IF
(
C2545=""юридична особа""
,
VLOOKUP"&amp;"(D2545,IMPORTRANGE(""https://docs.google.com/spreadsheets/d/14Bd19lYaqBhU8_DElYkX7l4wRkHqqCUFNJY4AfY3kHU/edit?usp=sharing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G2544" s="7" t="s">
        <v>10</v>
      </c>
      <c r="H2544" s="7">
        <v>733</v>
      </c>
      <c r="I2544" s="8" t="str">
        <f ca="1">IFERROR(__xludf.DUMMYFUNCTION("IF
(
G2545=""фізична особа""
,
VLOOKUP(H2545,IMPORTRANGE(""https://docs.google.com/spreadsheets/d/14Bd19lYaqBhU8_DElYkX7l4wRkHqqCUFNJY4AfY3kHU/edit?usp=sharing  #gid=0"",""фіз особи new!relations_name""),6,FALSE)
,
(IF
(
G2545=""юридична особа""
,
VLOOKUP"&amp;"(H2545,IMPORTRANGE(""https://docs.google.com/spreadsheets/d/14Bd19lYaqBhU8_DElYkX7l4wRkHqqCUFNJY4AfY3kHU/edit?usp=sharing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J2544" s="7" t="s">
        <v>21</v>
      </c>
    </row>
    <row r="2545" spans="1:10" ht="13.2">
      <c r="A2545" s="7">
        <v>2544</v>
      </c>
      <c r="B2545" s="7">
        <v>1</v>
      </c>
      <c r="C2545" s="7" t="s">
        <v>10</v>
      </c>
      <c r="D2545" s="7">
        <v>732</v>
      </c>
      <c r="E2545" s="7" t="s">
        <v>31</v>
      </c>
      <c r="F2545" s="8" t="str">
        <f ca="1">IFERROR(__xludf.DUMMYFUNCTION("IF
(
C2546=""фізична особа""
,
VLOOKUP(D2546,IMPORTRANGE(""https://docs.google.com/spreadsheets/d/14Bd19lYaqBhU8_DElYkX7l4wRkHqqCUFNJY4AfY3kHU/edit?usp=sharing  #gid=0"",""фіз особи new!relations_name""),6,FALSE)
,
(IF
(
C2546=""юридична особа""
,
VLOOKUP"&amp;"(D2546,IMPORTRANGE(""https://docs.google.com/spreadsheets/d/14Bd19lYaqBhU8_DElYkX7l4wRkHqqCUFNJY4AfY3kHU/edit?usp=sharing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G2545" s="7" t="s">
        <v>10</v>
      </c>
      <c r="H2545" s="7">
        <v>2063</v>
      </c>
      <c r="I2545" s="8" t="str">
        <f ca="1">IFERROR(__xludf.DUMMYFUNCTION("IF
(
G2546=""фізична особа""
,
VLOOKUP(H2546,IMPORTRANGE(""https://docs.google.com/spreadsheets/d/14Bd19lYaqBhU8_DElYkX7l4wRkHqqCUFNJY4AfY3kHU/edit?usp=sharing  #gid=0"",""фіз особи new!relations_name""),6,FALSE)
,
(IF
(
G2546=""юридична особа""
,
VLOOKUP"&amp;"(H2546,IMPORTRANGE(""https://docs.google.com/spreadsheets/d/14Bd19lYaqBhU8_DElYkX7l4wRkHqqCUFNJY4AfY3kHU/edit?usp=sharing  #gid=0"",""фіз особи new!relations_name_uo""),7,FALSE)
,
)
))"),"ШУВАЛОВА Анастасія")</f>
        <v>ШУВАЛОВА Анастасія</v>
      </c>
      <c r="J2545" s="7" t="s">
        <v>31</v>
      </c>
    </row>
    <row r="2546" spans="1:10" ht="13.2">
      <c r="A2546" s="7">
        <v>2545</v>
      </c>
      <c r="B2546" s="7">
        <v>1</v>
      </c>
      <c r="C2546" s="7" t="s">
        <v>10</v>
      </c>
      <c r="D2546" s="7">
        <v>733</v>
      </c>
      <c r="E2546" s="7" t="s">
        <v>15</v>
      </c>
      <c r="F2546" s="8" t="str">
        <f ca="1">IFERROR(__xludf.DUMMYFUNCTION("IF
(
C2547=""фізична особа""
,
VLOOKUP(D2547,IMPORTRANGE(""https://docs.google.com/spreadsheets/d/14Bd19lYaqBhU8_DElYkX7l4wRkHqqCUFNJY4AfY3kHU/edit?usp=sharing  #gid=0"",""фіз особи new!relations_name""),6,FALSE)
,
(IF
(
C2547=""юридична особа""
,
VLOOKUP"&amp;"(D2547,IMPORTRANGE(""https://docs.google.com/spreadsheets/d/14Bd19lYaqBhU8_DElYkX7l4wRkHqqCUFNJY4AfY3kHU/edit?usp=sharing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46" s="7" t="s">
        <v>10</v>
      </c>
      <c r="H2546" s="7">
        <v>297</v>
      </c>
      <c r="I2546" s="8" t="str">
        <f ca="1">IFERROR(__xludf.DUMMYFUNCTION("IF
(
G2547=""фізична особа""
,
VLOOKUP(H2547,IMPORTRANGE(""https://docs.google.com/spreadsheets/d/14Bd19lYaqBhU8_DElYkX7l4wRkHqqCUFNJY4AfY3kHU/edit?usp=sharing  #gid=0"",""фіз особи new!relations_name""),6,FALSE)
,
(IF
(
G2547=""юридична особа""
,
VLOOKUP"&amp;"(H2547,IMPORTRANGE(""https://docs.google.com/spreadsheets/d/14Bd19lYaqBhU8_DElYkX7l4wRkHqqCUFNJY4AfY3kHU/edit?usp=sharing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J2546" s="7" t="s">
        <v>14</v>
      </c>
    </row>
    <row r="2547" spans="1:10" ht="13.2">
      <c r="A2547" s="7">
        <v>2546</v>
      </c>
      <c r="B2547" s="7">
        <v>1</v>
      </c>
      <c r="C2547" s="7" t="s">
        <v>10</v>
      </c>
      <c r="D2547" s="7">
        <v>733</v>
      </c>
      <c r="E2547" s="7" t="s">
        <v>21</v>
      </c>
      <c r="F2547" s="8" t="str">
        <f ca="1">IFERROR(__xludf.DUMMYFUNCTION("IF
(
C2548=""фізична особа""
,
VLOOKUP(D2548,IMPORTRANGE(""https://docs.google.com/spreadsheets/d/14Bd19lYaqBhU8_DElYkX7l4wRkHqqCUFNJY4AfY3kHU/edit?usp=sharing  #gid=0"",""фіз особи new!relations_name""),6,FALSE)
,
(IF
(
C2548=""юридична особа""
,
VLOOKUP"&amp;"(D2548,IMPORTRANGE(""https://docs.google.com/spreadsheets/d/14Bd19lYaqBhU8_DElYkX7l4wRkHqqCUFNJY4AfY3kHU/edit?usp=sharing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47" s="7" t="s">
        <v>10</v>
      </c>
      <c r="H2547" s="7">
        <v>732</v>
      </c>
      <c r="I2547" s="8" t="str">
        <f ca="1">IFERROR(__xludf.DUMMYFUNCTION("IF
(
G2548=""фізична особа""
,
VLOOKUP(H2548,IMPORTRANGE(""https://docs.google.com/spreadsheets/d/14Bd19lYaqBhU8_DElYkX7l4wRkHqqCUFNJY4AfY3kHU/edit?usp=sharing  #gid=0"",""фіз особи new!relations_name""),6,FALSE)
,
(IF
(
G2548=""юридична особа""
,
VLOOKUP"&amp;"(H2548,IMPORTRANGE(""https://docs.google.com/spreadsheets/d/14Bd19lYaqBhU8_DElYkX7l4wRkHqqCUFNJY4AfY3kHU/edit?usp=sharing  #gid=0"",""фіз особи new!relations_name_uo""),7,FALSE)
,
)
))"),"ШУВАЛОВА Марія Ігорівна")</f>
        <v>ШУВАЛОВА Марія Ігорівна</v>
      </c>
      <c r="J2547" s="7" t="s">
        <v>13</v>
      </c>
    </row>
    <row r="2548" spans="1:10" ht="13.2">
      <c r="A2548" s="7">
        <v>2547</v>
      </c>
      <c r="B2548" s="7">
        <v>1</v>
      </c>
      <c r="C2548" s="7" t="s">
        <v>10</v>
      </c>
      <c r="D2548" s="7">
        <v>733</v>
      </c>
      <c r="E2548" s="7" t="s">
        <v>21</v>
      </c>
      <c r="F2548" s="8" t="str">
        <f ca="1">IFERROR(__xludf.DUMMYFUNCTION("IF
(
C2549=""фізична особа""
,
VLOOKUP(D2549,IMPORTRANGE(""https://docs.google.com/spreadsheets/d/14Bd19lYaqBhU8_DElYkX7l4wRkHqqCUFNJY4AfY3kHU/edit?usp=sharing  #gid=0"",""фіз особи new!relations_name""),6,FALSE)
,
(IF
(
C2549=""юридична особа""
,
VLOOKUP"&amp;"(D2549,IMPORTRANGE(""https://docs.google.com/spreadsheets/d/14Bd19lYaqBhU8_DElYkX7l4wRkHqqCUFNJY4AfY3kHU/edit?usp=sharing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48" s="7" t="s">
        <v>10</v>
      </c>
      <c r="H2548" s="7">
        <v>731</v>
      </c>
      <c r="I2548" s="8" t="str">
        <f ca="1">IFERROR(__xludf.DUMMYFUNCTION("IF
(
G2549=""фізична особа""
,
VLOOKUP(H2549,IMPORTRANGE(""https://docs.google.com/spreadsheets/d/14Bd19lYaqBhU8_DElYkX7l4wRkHqqCUFNJY4AfY3kHU/edit?usp=sharing  #gid=0"",""фіз особи new!relations_name""),6,FALSE)
,
(IF
(
G2549=""юридична особа""
,
VLOOKUP"&amp;"(H2549,IMPORTRANGE(""https://docs.google.com/spreadsheets/d/14Bd19lYaqBhU8_DElYkX7l4wRkHqqCUFNJY4AfY3kHU/edit?usp=sharing  #gid=0"",""фіз особи new!relations_name_uo""),7,FALSE)
,
)
))"),"ШУВАЛОВ Євген Ігорович")</f>
        <v>ШУВАЛОВ Євген Ігорович</v>
      </c>
      <c r="J2548" s="7" t="s">
        <v>17</v>
      </c>
    </row>
    <row r="2549" spans="1:10" ht="13.2">
      <c r="A2549" s="7">
        <v>2548</v>
      </c>
      <c r="B2549" s="7">
        <v>1</v>
      </c>
      <c r="C2549" s="7" t="s">
        <v>10</v>
      </c>
      <c r="D2549" s="7">
        <v>733</v>
      </c>
      <c r="E2549" s="7" t="s">
        <v>21</v>
      </c>
      <c r="F2549" s="8" t="str">
        <f ca="1">IFERROR(__xludf.DUMMYFUNCTION("IF
(
C2550=""фізична особа""
,
VLOOKUP(D2550,IMPORTRANGE(""https://docs.google.com/spreadsheets/d/14Bd19lYaqBhU8_DElYkX7l4wRkHqqCUFNJY4AfY3kHU/edit?usp=sharing  #gid=0"",""фіз особи new!relations_name""),6,FALSE)
,
(IF
(
C2550=""юридична особа""
,
VLOOKUP"&amp;"(D2550,IMPORTRANGE(""https://docs.google.com/spreadsheets/d/14Bd19lYaqBhU8_DElYkX7l4wRkHqqCUFNJY4AfY3kHU/edit?usp=sharing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49" s="7" t="s">
        <v>10</v>
      </c>
      <c r="H2549" s="7">
        <v>2063</v>
      </c>
      <c r="I2549" s="8" t="str">
        <f ca="1">IFERROR(__xludf.DUMMYFUNCTION("IF
(
G2550=""фізична особа""
,
VLOOKUP(H2550,IMPORTRANGE(""https://docs.google.com/spreadsheets/d/14Bd19lYaqBhU8_DElYkX7l4wRkHqqCUFNJY4AfY3kHU/edit?usp=sharing  #gid=0"",""фіз особи new!relations_name""),6,FALSE)
,
(IF
(
G2550=""юридична особа""
,
VLOOKUP"&amp;"(H2550,IMPORTRANGE(""https://docs.google.com/spreadsheets/d/14Bd19lYaqBhU8_DElYkX7l4wRkHqqCUFNJY4AfY3kHU/edit?usp=sharing  #gid=0"",""фіз особи new!relations_name_uo""),7,FALSE)
,
)
))"),"ШУВАЛОВА Анастасія")</f>
        <v>ШУВАЛОВА Анастасія</v>
      </c>
      <c r="J2549" s="7" t="s">
        <v>13</v>
      </c>
    </row>
    <row r="2550" spans="1:10" ht="13.2">
      <c r="A2550" s="7">
        <v>2549</v>
      </c>
      <c r="B2550" s="7">
        <v>1</v>
      </c>
      <c r="C2550" s="7" t="s">
        <v>10</v>
      </c>
      <c r="D2550" s="7">
        <v>733</v>
      </c>
      <c r="E2550" s="7" t="s">
        <v>11</v>
      </c>
      <c r="F2550" s="8" t="str">
        <f ca="1">IFERROR(__xludf.DUMMYFUNCTION("IF
(
C2551=""фізична особа""
,
VLOOKUP(D2551,IMPORTRANGE(""https://docs.google.com/spreadsheets/d/14Bd19lYaqBhU8_DElYkX7l4wRkHqqCUFNJY4AfY3kHU/edit?usp=sharing  #gid=0"",""фіз особи new!relations_name""),6,FALSE)
,
(IF
(
C2551=""юридична особа""
,
VLOOKUP"&amp;"(D2551,IMPORTRANGE(""https://docs.google.com/spreadsheets/d/14Bd19lYaqBhU8_DElYkX7l4wRkHqqCUFNJY4AfY3kHU/edit?usp=sharing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50" s="7" t="s">
        <v>10</v>
      </c>
      <c r="H2550" s="7">
        <v>19</v>
      </c>
      <c r="I2550" s="8" t="str">
        <f ca="1">IFERROR(__xludf.DUMMYFUNCTION("IF
(
G2551=""фізична особа""
,
VLOOKUP(H2551,IMPORTRANGE(""https://docs.google.com/spreadsheets/d/14Bd19lYaqBhU8_DElYkX7l4wRkHqqCUFNJY4AfY3kHU/edit?usp=sharing  #gid=0"",""фіз особи new!relations_name""),6,FALSE)
,
(IF
(
G2551=""юридична особа""
,
VLOOKUP"&amp;"(H2551,IMPORTRANGE(""https://docs.google.com/spreadsheets/d/14Bd19lYaqBhU8_DElYkX7l4wRkHqqCUFNJY4AfY3kHU/edit?usp=sharing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J2550" s="7" t="s">
        <v>11</v>
      </c>
    </row>
    <row r="2551" spans="1:10" ht="13.2">
      <c r="A2551" s="7">
        <v>2550</v>
      </c>
      <c r="B2551" s="7">
        <v>1</v>
      </c>
      <c r="C2551" s="7" t="s">
        <v>10</v>
      </c>
      <c r="D2551" s="7">
        <v>733</v>
      </c>
      <c r="E2551" s="7" t="s">
        <v>11</v>
      </c>
      <c r="F2551" s="8" t="str">
        <f ca="1">IFERROR(__xludf.DUMMYFUNCTION("IF
(
C2552=""фізична особа""
,
VLOOKUP(D2552,IMPORTRANGE(""https://docs.google.com/spreadsheets/d/14Bd19lYaqBhU8_DElYkX7l4wRkHqqCUFNJY4AfY3kHU/edit?usp=sharing  #gid=0"",""фіз особи new!relations_name""),6,FALSE)
,
(IF
(
C2552=""юридична особа""
,
VLOOKUP"&amp;"(D2552,IMPORTRANGE(""https://docs.google.com/spreadsheets/d/14Bd19lYaqBhU8_DElYkX7l4wRkHqqCUFNJY4AfY3kHU/edit?usp=sharing  #gid=0"",""фіз особи new!relations_name_uo""),7,FALSE)
,
)
))"),"ШУВАЛОВА Ольга Вікторівна")</f>
        <v>ШУВАЛОВА Ольга Вікторівна</v>
      </c>
      <c r="G2551" s="7" t="s">
        <v>10</v>
      </c>
      <c r="H2551" s="7">
        <v>620</v>
      </c>
      <c r="I2551" s="8" t="str">
        <f ca="1">IFERROR(__xludf.DUMMYFUNCTION("IF
(
G2552=""фізична особа""
,
VLOOKUP(H2552,IMPORTRANGE(""https://docs.google.com/spreadsheets/d/14Bd19lYaqBhU8_DElYkX7l4wRkHqqCUFNJY4AfY3kHU/edit?usp=sharing  #gid=0"",""фіз особи new!relations_name""),6,FALSE)
,
(IF
(
G2552=""юридична особа""
,
VLOOKUP"&amp;"(H2552,IMPORTRANGE(""https://docs.google.com/spreadsheets/d/14Bd19lYaqBhU8_DElYkX7l4wRkHqqCUFNJY4AfY3kHU/edit?usp=sharing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2551" s="7" t="s">
        <v>11</v>
      </c>
    </row>
    <row r="2552" spans="1:10" ht="13.2">
      <c r="A2552" s="7">
        <v>2551</v>
      </c>
      <c r="B2552" s="7">
        <v>1</v>
      </c>
      <c r="C2552" s="7" t="s">
        <v>10</v>
      </c>
      <c r="D2552" s="7">
        <v>734</v>
      </c>
      <c r="E2552" s="7" t="s">
        <v>14</v>
      </c>
      <c r="F2552" s="8" t="str">
        <f ca="1">IFERROR(__xludf.DUMMYFUNCTION("IF
(
C2553=""фізична особа""
,
VLOOKUP(D2553,IMPORTRANGE(""https://docs.google.com/spreadsheets/d/14Bd19lYaqBhU8_DElYkX7l4wRkHqqCUFNJY4AfY3kHU/edit?usp=sharing  #gid=0"",""фіз особи new!relations_name""),6,FALSE)
,
(IF
(
C2553=""юридична особа""
,
VLOOKUP"&amp;"(D2553,IMPORTRANGE(""https://docs.google.com/spreadsheets/d/14Bd19lYaqBhU8_DElYkX7l4wRkHqqCUFNJY4AfY3kHU/edit?usp=sharing  #gid=0"",""фіз особи new!relations_name_uo""),7,FALSE)
,
)
))"),"ВАЙНБЕРГ Олександр Владеленович")</f>
        <v>ВАЙНБЕРГ Олександр Владеленович</v>
      </c>
      <c r="G2552" s="7" t="s">
        <v>10</v>
      </c>
      <c r="H2552" s="7">
        <v>0</v>
      </c>
      <c r="I2552" s="8" t="str">
        <f ca="1">IFERROR(__xludf.DUMMYFUNCTION("IF
(
G2553=""фізична особа""
,
VLOOKUP(H2553,IMPORTRANGE(""https://docs.google.com/spreadsheets/d/14Bd19lYaqBhU8_DElYkX7l4wRkHqqCUFNJY4AfY3kHU/edit?usp=sharing  #gid=0"",""фіз особи new!relations_name""),6,FALSE)
,
(IF
(
G2553=""юридична особа""
,
VLOOKUP"&amp;"(H2553,IMPORTRANGE(""https://docs.google.com/spreadsheets/d/14Bd19lYaqBhU8_DElYkX7l4wRkHqqCUFNJY4AfY3kHU/edit?usp=sharing  #gid=0"",""фіз особи new!relations_name_uo""),7,FALSE)
,
)
))"),"#N/A")</f>
        <v>#N/A</v>
      </c>
      <c r="J2552" s="7" t="s">
        <v>15</v>
      </c>
    </row>
    <row r="2553" spans="1:10" ht="13.2">
      <c r="A2553" s="7">
        <v>2552</v>
      </c>
      <c r="B2553" s="7">
        <v>1</v>
      </c>
      <c r="C2553" s="7" t="s">
        <v>10</v>
      </c>
      <c r="D2553" s="7">
        <v>734</v>
      </c>
      <c r="E2553" s="7" t="s">
        <v>12</v>
      </c>
      <c r="F2553" s="8" t="str">
        <f ca="1">IFERROR(__xludf.DUMMYFUNCTION("IF
(
C2554=""фізична особа""
,
VLOOKUP(D2554,IMPORTRANGE(""https://docs.google.com/spreadsheets/d/14Bd19lYaqBhU8_DElYkX7l4wRkHqqCUFNJY4AfY3kHU/edit?usp=sharing  #gid=0"",""фіз особи new!relations_name""),6,FALSE)
,
(IF
(
C2554=""юридична особа""
,
VLOOKUP"&amp;"(D2554,IMPORTRANGE(""https://docs.google.com/spreadsheets/d/14Bd19lYaqBhU8_DElYkX7l4wRkHqqCUFNJY4AfY3kHU/edit?usp=sharing  #gid=0"",""фіз особи new!relations_name_uo""),7,FALSE)
,
)
))"),"ВАЙНБЕРГ Олександр Владеленович")</f>
        <v>ВАЙНБЕРГ Олександр Владеленович</v>
      </c>
      <c r="G2553" s="7" t="s">
        <v>10</v>
      </c>
      <c r="H2553" s="7">
        <v>23449</v>
      </c>
      <c r="I2553" s="8" t="str">
        <f ca="1">IFERROR(__xludf.DUMMYFUNCTION("IF
(
G2554=""фізична особа""
,
VLOOKUP(H2554,IMPORTRANGE(""https://docs.google.com/spreadsheets/d/14Bd19lYaqBhU8_DElYkX7l4wRkHqqCUFNJY4AfY3kHU/edit?usp=sharing  #gid=0"",""фіз особи new!relations_name""),6,FALSE)
,
(IF
(
G2554=""юридична особа""
,
VLOOKUP"&amp;"(H2554,IMPORTRANGE(""https://docs.google.com/spreadsheets/d/14Bd19lYaqBhU8_DElYkX7l4wRkHqqCUFNJY4AfY3kHU/edit?usp=sharing  #gid=0"",""фіз особи new!relations_name_uo""),7,FALSE)
,
)
))"),"ВАЙНБЕРГ Дар'я Олександрівна")</f>
        <v>ВАЙНБЕРГ Дар'я Олександрівна</v>
      </c>
      <c r="J2553" s="7" t="s">
        <v>13</v>
      </c>
    </row>
    <row r="2554" spans="1:10" ht="13.2">
      <c r="A2554" s="7">
        <v>2553</v>
      </c>
      <c r="B2554" s="7">
        <v>1</v>
      </c>
      <c r="C2554" s="7" t="s">
        <v>10</v>
      </c>
      <c r="D2554" s="7">
        <v>734</v>
      </c>
      <c r="E2554" s="7" t="s">
        <v>12</v>
      </c>
      <c r="F2554" s="8" t="str">
        <f ca="1">IFERROR(__xludf.DUMMYFUNCTION("IF
(
C2555=""фізична особа""
,
VLOOKUP(D2555,IMPORTRANGE(""https://docs.google.com/spreadsheets/d/14Bd19lYaqBhU8_DElYkX7l4wRkHqqCUFNJY4AfY3kHU/edit?usp=sharing  #gid=0"",""фіз особи new!relations_name""),6,FALSE)
,
(IF
(
C2555=""юридична особа""
,
VLOOKUP"&amp;"(D2555,IMPORTRANGE(""https://docs.google.com/spreadsheets/d/14Bd19lYaqBhU8_DElYkX7l4wRkHqqCUFNJY4AfY3kHU/edit?usp=sharing  #gid=0"",""фіз особи new!relations_name_uo""),7,FALSE)
,
)
))"),"ВАЙНБЕРГ Олександр Владеленович")</f>
        <v>ВАЙНБЕРГ Олександр Владеленович</v>
      </c>
      <c r="G2554" s="7" t="s">
        <v>10</v>
      </c>
      <c r="H2554" s="7">
        <v>23450</v>
      </c>
      <c r="I2554" s="8" t="str">
        <f ca="1">IFERROR(__xludf.DUMMYFUNCTION("IF
(
G2555=""фізична особа""
,
VLOOKUP(H2555,IMPORTRANGE(""https://docs.google.com/spreadsheets/d/14Bd19lYaqBhU8_DElYkX7l4wRkHqqCUFNJY4AfY3kHU/edit?usp=sharing  #gid=0"",""фіз особи new!relations_name""),6,FALSE)
,
(IF
(
G2555=""юридична особа""
,
VLOOKUP"&amp;"(H2555,IMPORTRANGE(""https://docs.google.com/spreadsheets/d/14Bd19lYaqBhU8_DElYkX7l4wRkHqqCUFNJY4AfY3kHU/edit?usp=sharing  #gid=0"",""фіз особи new!relations_name_uo""),7,FALSE)
,
)
))"),"ВАЙНБЕРГ Єва Олександрівна")</f>
        <v>ВАЙНБЕРГ Єва Олександрівна</v>
      </c>
      <c r="J2554" s="7" t="s">
        <v>13</v>
      </c>
    </row>
    <row r="2555" spans="1:10" ht="13.2">
      <c r="A2555" s="7">
        <v>2554</v>
      </c>
      <c r="B2555" s="7">
        <v>1</v>
      </c>
      <c r="C2555" s="7" t="s">
        <v>10</v>
      </c>
      <c r="D2555" s="7">
        <v>735</v>
      </c>
      <c r="E2555" s="7" t="s">
        <v>11</v>
      </c>
      <c r="F2555" s="8" t="str">
        <f ca="1">IFERROR(__xludf.DUMMYFUNCTION("IF
(
C2556=""фізична особа""
,
VLOOKUP(D2556,IMPORTRANGE(""https://docs.google.com/spreadsheets/d/14Bd19lYaqBhU8_DElYkX7l4wRkHqqCUFNJY4AfY3kHU/edit?usp=sharing  #gid=0"",""фіз особи new!relations_name""),6,FALSE)
,
(IF
(
C2556=""юридична особа""
,
VLOOKUP"&amp;"(D2556,IMPORTRANGE(""https://docs.google.com/spreadsheets/d/14Bd19lYaqBhU8_DElYkX7l4wRkHqqCUFNJY4AfY3kHU/edit?usp=sharing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55" s="7" t="s">
        <v>10</v>
      </c>
      <c r="H2555" s="7">
        <v>377</v>
      </c>
      <c r="I2555" s="8" t="str">
        <f ca="1">IFERROR(__xludf.DUMMYFUNCTION("IF
(
G2556=""фізична особа""
,
VLOOKUP(H2556,IMPORTRANGE(""https://docs.google.com/spreadsheets/d/14Bd19lYaqBhU8_DElYkX7l4wRkHqqCUFNJY4AfY3kHU/edit?usp=sharing  #gid=0"",""фіз особи new!relations_name""),6,FALSE)
,
(IF
(
G2556=""юридична особа""
,
VLOOKUP"&amp;"(H2556,IMPORTRANGE(""https://docs.google.com/spreadsheets/d/14Bd19lYaqBhU8_DElYkX7l4wRkHqqCUFNJY4AfY3kHU/edit?usp=sharing  #gid=0"",""фіз особи new!relations_name_uo""),7,FALSE)
,
)
))"),"КНИРИК Костянтин Сергійович")</f>
        <v>КНИРИК Костянтин Сергійович</v>
      </c>
      <c r="J2555" s="7" t="s">
        <v>11</v>
      </c>
    </row>
    <row r="2556" spans="1:10" ht="13.2">
      <c r="A2556" s="7">
        <v>2555</v>
      </c>
      <c r="B2556" s="7">
        <v>1</v>
      </c>
      <c r="C2556" s="7" t="s">
        <v>10</v>
      </c>
      <c r="D2556" s="7">
        <v>735</v>
      </c>
      <c r="E2556" s="7" t="s">
        <v>11</v>
      </c>
      <c r="F2556" s="8" t="str">
        <f ca="1">IFERROR(__xludf.DUMMYFUNCTION("IF
(
C2557=""фізична особа""
,
VLOOKUP(D2557,IMPORTRANGE(""https://docs.google.com/spreadsheets/d/14Bd19lYaqBhU8_DElYkX7l4wRkHqqCUFNJY4AfY3kHU/edit?usp=sharing  #gid=0"",""фіз особи new!relations_name""),6,FALSE)
,
(IF
(
C2557=""юридична особа""
,
VLOOKUP"&amp;"(D2557,IMPORTRANGE(""https://docs.google.com/spreadsheets/d/14Bd19lYaqBhU8_DElYkX7l4wRkHqqCUFNJY4AfY3kHU/edit?usp=sharing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56" s="7" t="s">
        <v>10</v>
      </c>
      <c r="H2556" s="7">
        <v>280</v>
      </c>
      <c r="I2556" s="8" t="str">
        <f ca="1">IFERROR(__xludf.DUMMYFUNCTION("IF
(
G2557=""фізична особа""
,
VLOOKUP(H2557,IMPORTRANGE(""https://docs.google.com/spreadsheets/d/14Bd19lYaqBhU8_DElYkX7l4wRkHqqCUFNJY4AfY3kHU/edit?usp=sharing  #gid=0"",""фіз особи new!relations_name""),6,FALSE)
,
(IF
(
G2557=""юридична особа""
,
VLOOKUP"&amp;"(H2557,IMPORTRANGE(""https://docs.google.com/spreadsheets/d/14Bd19lYaqBhU8_DElYkX7l4wRkHqqCUFNJY4AfY3kHU/edit?usp=sharing  #gid=0"",""фіз особи new!relations_name_uo""),7,FALSE)
,
)
))"),"ГЛОТОВ Євген Едуардович")</f>
        <v>ГЛОТОВ Євген Едуардович</v>
      </c>
      <c r="J2556" s="7" t="s">
        <v>11</v>
      </c>
    </row>
    <row r="2557" spans="1:10" ht="13.2">
      <c r="A2557" s="7">
        <v>2556</v>
      </c>
      <c r="B2557" s="7">
        <v>1</v>
      </c>
      <c r="C2557" s="7" t="s">
        <v>10</v>
      </c>
      <c r="D2557" s="7">
        <v>735</v>
      </c>
      <c r="E2557" s="7" t="s">
        <v>26</v>
      </c>
      <c r="F2557" s="8" t="str">
        <f ca="1">IFERROR(__xludf.DUMMYFUNCTION("IF
(
C2558=""фізична особа""
,
VLOOKUP(D2558,IMPORTRANGE(""https://docs.google.com/spreadsheets/d/14Bd19lYaqBhU8_DElYkX7l4wRkHqqCUFNJY4AfY3kHU/edit?usp=sharing  #gid=0"",""фіз особи new!relations_name""),6,FALSE)
,
(IF
(
C2558=""юридична особа""
,
VLOOKUP"&amp;"(D2558,IMPORTRANGE(""https://docs.google.com/spreadsheets/d/14Bd19lYaqBhU8_DElYkX7l4wRkHqqCUFNJY4AfY3kHU/edit?usp=sharing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57" s="7" t="s">
        <v>10</v>
      </c>
      <c r="H2557" s="7">
        <v>4564</v>
      </c>
      <c r="I2557" s="8" t="str">
        <f ca="1">IFERROR(__xludf.DUMMYFUNCTION("IF
(
G2558=""фізична особа""
,
VLOOKUP(H2558,IMPORTRANGE(""https://docs.google.com/spreadsheets/d/14Bd19lYaqBhU8_DElYkX7l4wRkHqqCUFNJY4AfY3kHU/edit?usp=sharing  #gid=0"",""фіз особи new!relations_name""),6,FALSE)
,
(IF
(
G2558=""юридична особа""
,
VLOOKUP"&amp;"(H2558,IMPORTRANGE(""https://docs.google.com/spreadsheets/d/14Bd19lYaqBhU8_DElYkX7l4wRkHqqCUFNJY4AfY3kHU/edit?usp=sharing  #gid=0"",""фіз особи new!relations_name_uo""),7,FALSE)
,
)
))"),"ГЛАЗЬЄВ Сергій Юрійович")</f>
        <v>ГЛАЗЬЄВ Сергій Юрійович</v>
      </c>
      <c r="J2557" s="7" t="s">
        <v>50</v>
      </c>
    </row>
    <row r="2558" spans="1:10" ht="13.2">
      <c r="A2558" s="7">
        <v>2557</v>
      </c>
      <c r="B2558" s="7">
        <v>1</v>
      </c>
      <c r="C2558" s="7" t="s">
        <v>10</v>
      </c>
      <c r="D2558" s="7">
        <v>735</v>
      </c>
      <c r="E2558" s="7" t="s">
        <v>12</v>
      </c>
      <c r="F2558" s="8" t="str">
        <f ca="1">IFERROR(__xludf.DUMMYFUNCTION("IF
(
C2559=""фізична особа""
,
VLOOKUP(D2559,IMPORTRANGE(""https://docs.google.com/spreadsheets/d/14Bd19lYaqBhU8_DElYkX7l4wRkHqqCUFNJY4AfY3kHU/edit?usp=sharing  #gid=0"",""фіз особи new!relations_name""),6,FALSE)
,
(IF
(
C2559=""юридична особа""
,
VLOOKUP"&amp;"(D2559,IMPORTRANGE(""https://docs.google.com/spreadsheets/d/14Bd19lYaqBhU8_DElYkX7l4wRkHqqCUFNJY4AfY3kHU/edit?usp=sharing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58" s="7" t="s">
        <v>10</v>
      </c>
      <c r="H2558" s="7">
        <v>0</v>
      </c>
      <c r="I2558" s="8" t="str">
        <f ca="1">IFERROR(__xludf.DUMMYFUNCTION("IF
(
G2559=""фізична особа""
,
VLOOKUP(H2559,IMPORTRANGE(""https://docs.google.com/spreadsheets/d/14Bd19lYaqBhU8_DElYkX7l4wRkHqqCUFNJY4AfY3kHU/edit?usp=sharing  #gid=0"",""фіз особи new!relations_name""),6,FALSE)
,
(IF
(
G2559=""юридична особа""
,
VLOOKUP"&amp;"(H2559,IMPORTRANGE(""https://docs.google.com/spreadsheets/d/14Bd19lYaqBhU8_DElYkX7l4wRkHqqCUFNJY4AfY3kHU/edit?usp=sharing  #gid=0"",""фіз особи new!relations_name_uo""),7,FALSE)
,
)
))"),"#N/A")</f>
        <v>#N/A</v>
      </c>
      <c r="J2558" s="7" t="s">
        <v>17</v>
      </c>
    </row>
    <row r="2559" spans="1:10" ht="13.2">
      <c r="A2559" s="7">
        <v>2558</v>
      </c>
      <c r="B2559" s="7">
        <v>1</v>
      </c>
      <c r="C2559" s="7" t="s">
        <v>10</v>
      </c>
      <c r="D2559" s="7">
        <v>735</v>
      </c>
      <c r="E2559" s="7" t="s">
        <v>17</v>
      </c>
      <c r="F2559" s="8" t="str">
        <f ca="1">IFERROR(__xludf.DUMMYFUNCTION("IF
(
C2560=""фізична особа""
,
VLOOKUP(D2560,IMPORTRANGE(""https://docs.google.com/spreadsheets/d/14Bd19lYaqBhU8_DElYkX7l4wRkHqqCUFNJY4AfY3kHU/edit?usp=sharing  #gid=0"",""фіз особи new!relations_name""),6,FALSE)
,
(IF
(
C2560=""юридична особа""
,
VLOOKUP"&amp;"(D2560,IMPORTRANGE(""https://docs.google.com/spreadsheets/d/14Bd19lYaqBhU8_DElYkX7l4wRkHqqCUFNJY4AfY3kHU/edit?usp=sharing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59" s="7" t="s">
        <v>10</v>
      </c>
      <c r="H2559" s="7">
        <v>0</v>
      </c>
      <c r="I2559" s="8" t="str">
        <f ca="1">IFERROR(__xludf.DUMMYFUNCTION("IF
(
G2560=""фізична особа""
,
VLOOKUP(H2560,IMPORTRANGE(""https://docs.google.com/spreadsheets/d/14Bd19lYaqBhU8_DElYkX7l4wRkHqqCUFNJY4AfY3kHU/edit?usp=sharing  #gid=0"",""фіз особи new!relations_name""),6,FALSE)
,
(IF
(
G2560=""юридична особа""
,
VLOOKUP"&amp;"(H2560,IMPORTRANGE(""https://docs.google.com/spreadsheets/d/14Bd19lYaqBhU8_DElYkX7l4wRkHqqCUFNJY4AfY3kHU/edit?usp=sharing  #gid=0"",""фіз особи new!relations_name_uo""),7,FALSE)
,
)
))"),"#N/A")</f>
        <v>#N/A</v>
      </c>
      <c r="J2559" s="7" t="s">
        <v>12</v>
      </c>
    </row>
    <row r="2560" spans="1:10" ht="13.2">
      <c r="A2560" s="7">
        <v>2559</v>
      </c>
      <c r="B2560" s="7">
        <v>1</v>
      </c>
      <c r="C2560" s="7" t="s">
        <v>10</v>
      </c>
      <c r="D2560" s="7">
        <v>735</v>
      </c>
      <c r="E2560" s="7" t="s">
        <v>12</v>
      </c>
      <c r="F2560" s="8" t="str">
        <f ca="1">IFERROR(__xludf.DUMMYFUNCTION("IF
(
C2561=""фізична особа""
,
VLOOKUP(D2561,IMPORTRANGE(""https://docs.google.com/spreadsheets/d/14Bd19lYaqBhU8_DElYkX7l4wRkHqqCUFNJY4AfY3kHU/edit?usp=sharing  #gid=0"",""фіз особи new!relations_name""),6,FALSE)
,
(IF
(
C2561=""юридична особа""
,
VLOOKUP"&amp;"(D2561,IMPORTRANGE(""https://docs.google.com/spreadsheets/d/14Bd19lYaqBhU8_DElYkX7l4wRkHqqCUFNJY4AfY3kHU/edit?usp=sharing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60" s="7" t="s">
        <v>10</v>
      </c>
      <c r="H2560" s="7">
        <v>0</v>
      </c>
      <c r="I2560" s="8" t="str">
        <f ca="1">IFERROR(__xludf.DUMMYFUNCTION("IF
(
G2561=""фізична особа""
,
VLOOKUP(H2561,IMPORTRANGE(""https://docs.google.com/spreadsheets/d/14Bd19lYaqBhU8_DElYkX7l4wRkHqqCUFNJY4AfY3kHU/edit?usp=sharing  #gid=0"",""фіз особи new!relations_name""),6,FALSE)
,
(IF
(
G2561=""юридична особа""
,
VLOOKUP"&amp;"(H2561,IMPORTRANGE(""https://docs.google.com/spreadsheets/d/14Bd19lYaqBhU8_DElYkX7l4wRkHqqCUFNJY4AfY3kHU/edit?usp=sharing  #gid=0"",""фіз особи new!relations_name_uo""),7,FALSE)
,
)
))"),"#N/A")</f>
        <v>#N/A</v>
      </c>
      <c r="J2560" s="7" t="s">
        <v>13</v>
      </c>
    </row>
    <row r="2561" spans="1:10" ht="13.2">
      <c r="A2561" s="7">
        <v>2560</v>
      </c>
      <c r="B2561" s="7">
        <v>1</v>
      </c>
      <c r="C2561" s="7" t="s">
        <v>10</v>
      </c>
      <c r="D2561" s="7">
        <v>735</v>
      </c>
      <c r="E2561" s="7" t="s">
        <v>12</v>
      </c>
      <c r="F2561" s="8" t="str">
        <f ca="1">IFERROR(__xludf.DUMMYFUNCTION("IF
(
C2562=""фізична особа""
,
VLOOKUP(D2562,IMPORTRANGE(""https://docs.google.com/spreadsheets/d/14Bd19lYaqBhU8_DElYkX7l4wRkHqqCUFNJY4AfY3kHU/edit?usp=sharing  #gid=0"",""фіз особи new!relations_name""),6,FALSE)
,
(IF
(
C2562=""юридична особа""
,
VLOOKUP"&amp;"(D2562,IMPORTRANGE(""https://docs.google.com/spreadsheets/d/14Bd19lYaqBhU8_DElYkX7l4wRkHqqCUFNJY4AfY3kHU/edit?usp=sharing  #gid=0"",""фіз особи new!relations_name_uo""),7,FALSE)
,
)
))"),"СИНЕЛІН Михайло Анатолійович")</f>
        <v>СИНЕЛІН Михайло Анатолійович</v>
      </c>
      <c r="G2561" s="7" t="s">
        <v>10</v>
      </c>
      <c r="H2561" s="7">
        <v>0</v>
      </c>
      <c r="I2561" s="8" t="str">
        <f ca="1">IFERROR(__xludf.DUMMYFUNCTION("IF
(
G2562=""фізична особа""
,
VLOOKUP(H2562,IMPORTRANGE(""https://docs.google.com/spreadsheets/d/14Bd19lYaqBhU8_DElYkX7l4wRkHqqCUFNJY4AfY3kHU/edit?usp=sharing  #gid=0"",""фіз особи new!relations_name""),6,FALSE)
,
(IF
(
G2562=""юридична особа""
,
VLOOKUP"&amp;"(H2562,IMPORTRANGE(""https://docs.google.com/spreadsheets/d/14Bd19lYaqBhU8_DElYkX7l4wRkHqqCUFNJY4AfY3kHU/edit?usp=sharing  #gid=0"",""фіз особи new!relations_name_uo""),7,FALSE)
,
)
))"),"#N/A")</f>
        <v>#N/A</v>
      </c>
      <c r="J2561" s="7" t="s">
        <v>13</v>
      </c>
    </row>
    <row r="2562" spans="1:10" ht="13.2">
      <c r="A2562" s="7">
        <v>2561</v>
      </c>
      <c r="B2562" s="7">
        <v>1</v>
      </c>
      <c r="C2562" s="7" t="s">
        <v>10</v>
      </c>
      <c r="D2562" s="7">
        <v>736</v>
      </c>
      <c r="E2562" s="7" t="s">
        <v>28</v>
      </c>
      <c r="F2562" s="8" t="str">
        <f ca="1">IFERROR(__xludf.DUMMYFUNCTION("IF
(
C2563=""фізична особа""
,
VLOOKUP(D2563,IMPORTRANGE(""https://docs.google.com/spreadsheets/d/14Bd19lYaqBhU8_DElYkX7l4wRkHqqCUFNJY4AfY3kHU/edit?usp=sharing  #gid=0"",""фіз особи new!relations_name""),6,FALSE)
,
(IF
(
C2563=""юридична особа""
,
VLOOKUP"&amp;"(D2563,IMPORTRANGE(""https://docs.google.com/spreadsheets/d/14Bd19lYaqBhU8_DElYkX7l4wRkHqqCUFNJY4AfY3kHU/edit?usp=sharing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2" s="7" t="s">
        <v>10</v>
      </c>
      <c r="H2562" s="7">
        <v>69</v>
      </c>
      <c r="I2562" s="8" t="str">
        <f ca="1">IFERROR(__xludf.DUMMYFUNCTION("IF
(
G2563=""фізична особа""
,
VLOOKUP(H2563,IMPORTRANGE(""https://docs.google.com/spreadsheets/d/14Bd19lYaqBhU8_DElYkX7l4wRkHqqCUFNJY4AfY3kHU/edit?usp=sharing  #gid=0"",""фіз особи new!relations_name""),6,FALSE)
,
(IF
(
G2563=""юридична особа""
,
VLOOKUP"&amp;"(H2563,IMPORTRANGE(""https://docs.google.com/spreadsheets/d/14Bd19lYaqBhU8_DElYkX7l4wRkHqqCUFNJY4AfY3kHU/edit?usp=sharing  #gid=0"",""фіз особи new!relations_name_uo""),7,FALSE)
,
)
))"),"АРЄШЕВ Андрій Григорович")</f>
        <v>АРЄШЕВ Андрій Григорович</v>
      </c>
      <c r="J2562" s="7" t="s">
        <v>29</v>
      </c>
    </row>
    <row r="2563" spans="1:10" ht="13.2">
      <c r="A2563" s="7">
        <v>2562</v>
      </c>
      <c r="B2563" s="7">
        <v>1</v>
      </c>
      <c r="C2563" s="7" t="s">
        <v>10</v>
      </c>
      <c r="D2563" s="7">
        <v>736</v>
      </c>
      <c r="E2563" s="7" t="s">
        <v>35</v>
      </c>
      <c r="F2563" s="8" t="str">
        <f ca="1">IFERROR(__xludf.DUMMYFUNCTION("IF
(
C2564=""фізична особа""
,
VLOOKUP(D2564,IMPORTRANGE(""https://docs.google.com/spreadsheets/d/14Bd19lYaqBhU8_DElYkX7l4wRkHqqCUFNJY4AfY3kHU/edit?usp=sharing  #gid=0"",""фіз особи new!relations_name""),6,FALSE)
,
(IF
(
C2564=""юридична особа""
,
VLOOKUP"&amp;"(D2564,IMPORTRANGE(""https://docs.google.com/spreadsheets/d/14Bd19lYaqBhU8_DElYkX7l4wRkHqqCUFNJY4AfY3kHU/edit?usp=sharing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3" s="7" t="s">
        <v>10</v>
      </c>
      <c r="H2563" s="7">
        <v>148</v>
      </c>
      <c r="I2563" s="8" t="str">
        <f ca="1">IFERROR(__xludf.DUMMYFUNCTION("IF
(
G2564=""фізична особа""
,
VLOOKUP(H2564,IMPORTRANGE(""https://docs.google.com/spreadsheets/d/14Bd19lYaqBhU8_DElYkX7l4wRkHqqCUFNJY4AfY3kHU/edit?usp=sharing  #gid=0"",""фіз особи new!relations_name""),6,FALSE)
,
(IF
(
G2564=""юридична особа""
,
VLOOKUP"&amp;"(H2564,IMPORTRANGE(""https://docs.google.com/spreadsheets/d/14Bd19lYaqBhU8_DElYkX7l4wRkHqqCUFNJY4AfY3kHU/edit?usp=sharing  #gid=0"",""фіз особи new!relations_name_uo""),7,FALSE)
,
)
))"),"БУБНОВА Ірина Сергіївна")</f>
        <v>БУБНОВА Ірина Сергіївна</v>
      </c>
      <c r="J2563" s="7" t="s">
        <v>35</v>
      </c>
    </row>
    <row r="2564" spans="1:10" ht="13.2">
      <c r="A2564" s="7">
        <v>2563</v>
      </c>
      <c r="B2564" s="7">
        <v>1</v>
      </c>
      <c r="C2564" s="7" t="s">
        <v>10</v>
      </c>
      <c r="D2564" s="7">
        <v>736</v>
      </c>
      <c r="E2564" s="7" t="s">
        <v>28</v>
      </c>
      <c r="F2564" s="8" t="str">
        <f ca="1">IFERROR(__xludf.DUMMYFUNCTION("IF
(
C2565=""фізична особа""
,
VLOOKUP(D2565,IMPORTRANGE(""https://docs.google.com/spreadsheets/d/14Bd19lYaqBhU8_DElYkX7l4wRkHqqCUFNJY4AfY3kHU/edit?usp=sharing  #gid=0"",""фіз особи new!relations_name""),6,FALSE)
,
(IF
(
C2565=""юридична особа""
,
VLOOKUP"&amp;"(D2565,IMPORTRANGE(""https://docs.google.com/spreadsheets/d/14Bd19lYaqBhU8_DElYkX7l4wRkHqqCUFNJY4AfY3kHU/edit?usp=sharing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4" s="7" t="s">
        <v>10</v>
      </c>
      <c r="H2564" s="7">
        <v>415</v>
      </c>
      <c r="I2564" s="8" t="str">
        <f ca="1">IFERROR(__xludf.DUMMYFUNCTION("IF
(
G2565=""фізична особа""
,
VLOOKUP(H2565,IMPORTRANGE(""https://docs.google.com/spreadsheets/d/14Bd19lYaqBhU8_DElYkX7l4wRkHqqCUFNJY4AfY3kHU/edit?usp=sharing  #gid=0"",""фіз особи new!relations_name""),6,FALSE)
,
(IF
(
G2565=""юридична особа""
,
VLOOKUP"&amp;"(H2565,IMPORTRANGE(""https://docs.google.com/spreadsheets/d/14Bd19lYaqBhU8_DElYkX7l4wRkHqqCUFNJY4AfY3kHU/edit?usp=sharing  #gid=0"",""фіз особи new!relations_name_uo""),7,FALSE)
,
)
))"),"МАКСИМЕНКО Володимир Ілліч")</f>
        <v>МАКСИМЕНКО Володимир Ілліч</v>
      </c>
      <c r="J2564" s="7" t="s">
        <v>29</v>
      </c>
    </row>
    <row r="2565" spans="1:10" ht="13.2">
      <c r="A2565" s="7">
        <v>2564</v>
      </c>
      <c r="B2565" s="7">
        <v>1</v>
      </c>
      <c r="C2565" s="7" t="s">
        <v>10</v>
      </c>
      <c r="D2565" s="7">
        <v>736</v>
      </c>
      <c r="E2565" s="7" t="s">
        <v>35</v>
      </c>
      <c r="F2565" s="8" t="str">
        <f ca="1">IFERROR(__xludf.DUMMYFUNCTION("IF
(
C2566=""фізична особа""
,
VLOOKUP(D2566,IMPORTRANGE(""https://docs.google.com/spreadsheets/d/14Bd19lYaqBhU8_DElYkX7l4wRkHqqCUFNJY4AfY3kHU/edit?usp=sharing  #gid=0"",""фіз особи new!relations_name""),6,FALSE)
,
(IF
(
C2566=""юридична особа""
,
VLOOKUP"&amp;"(D2566,IMPORTRANGE(""https://docs.google.com/spreadsheets/d/14Bd19lYaqBhU8_DElYkX7l4wRkHqqCUFNJY4AfY3kHU/edit?usp=sharing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5" s="7" t="s">
        <v>10</v>
      </c>
      <c r="H2565" s="7">
        <v>102</v>
      </c>
      <c r="I2565" s="8" t="str">
        <f ca="1">IFERROR(__xludf.DUMMYFUNCTION("IF
(
G2566=""фізична особа""
,
VLOOKUP(H2566,IMPORTRANGE(""https://docs.google.com/spreadsheets/d/14Bd19lYaqBhU8_DElYkX7l4wRkHqqCUFNJY4AfY3kHU/edit?usp=sharing  #gid=0"",""фіз особи new!relations_name""),6,FALSE)
,
(IF
(
G2566=""юридична особа""
,
VLOOKUP"&amp;"(H2566,IMPORTRANGE(""https://docs.google.com/spreadsheets/d/14Bd19lYaqBhU8_DElYkX7l4wRkHqqCUFNJY4AfY3kHU/edit?usp=sharing  #gid=0"",""фіз особи new!relations_name_uo""),7,FALSE)
,
)
))"),"БЕСПАЛОВ Антон Сергійович")</f>
        <v>БЕСПАЛОВ Антон Сергійович</v>
      </c>
      <c r="J2565" s="7" t="s">
        <v>35</v>
      </c>
    </row>
    <row r="2566" spans="1:10" ht="13.2">
      <c r="A2566" s="7">
        <v>2565</v>
      </c>
      <c r="B2566" s="7">
        <v>1</v>
      </c>
      <c r="C2566" s="7" t="s">
        <v>10</v>
      </c>
      <c r="D2566" s="7">
        <v>736</v>
      </c>
      <c r="E2566" s="7" t="s">
        <v>28</v>
      </c>
      <c r="F2566" s="8" t="str">
        <f ca="1">IFERROR(__xludf.DUMMYFUNCTION("IF
(
C2567=""фізична особа""
,
VLOOKUP(D2567,IMPORTRANGE(""https://docs.google.com/spreadsheets/d/14Bd19lYaqBhU8_DElYkX7l4wRkHqqCUFNJY4AfY3kHU/edit?usp=sharing  #gid=0"",""фіз особи new!relations_name""),6,FALSE)
,
(IF
(
C2567=""юридична особа""
,
VLOOKUP"&amp;"(D2567,IMPORTRANGE(""https://docs.google.com/spreadsheets/d/14Bd19lYaqBhU8_DElYkX7l4wRkHqqCUFNJY4AfY3kHU/edit?usp=sharing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6" s="7" t="s">
        <v>10</v>
      </c>
      <c r="H2566" s="7">
        <v>604</v>
      </c>
      <c r="I2566" s="8" t="str">
        <f ca="1">IFERROR(__xludf.DUMMYFUNCTION("IF
(
G2567=""фізична особа""
,
VLOOKUP(H2567,IMPORTRANGE(""https://docs.google.com/spreadsheets/d/14Bd19lYaqBhU8_DElYkX7l4wRkHqqCUFNJY4AfY3kHU/edit?usp=sharing  #gid=0"",""фіз особи new!relations_name""),6,FALSE)
,
(IF
(
G2567=""юридична особа""
,
VLOOKUP"&amp;"(H2567,IMPORTRANGE(""https://docs.google.com/spreadsheets/d/14Bd19lYaqBhU8_DElYkX7l4wRkHqqCUFNJY4AfY3kHU/edit?usp=sharing  #gid=0"",""фіз особи new!relations_name_uo""),7,FALSE)
,
)
))"),"ПРОКОФ'ЄВ Юрій Анатолійович")</f>
        <v>ПРОКОФ'ЄВ Юрій Анатолійович</v>
      </c>
      <c r="J2566" s="7" t="s">
        <v>29</v>
      </c>
    </row>
    <row r="2567" spans="1:10" ht="13.2">
      <c r="A2567" s="7">
        <v>2566</v>
      </c>
      <c r="B2567" s="7">
        <v>1</v>
      </c>
      <c r="C2567" s="7" t="s">
        <v>10</v>
      </c>
      <c r="D2567" s="7">
        <v>736</v>
      </c>
      <c r="E2567" s="7" t="s">
        <v>35</v>
      </c>
      <c r="F2567" s="8" t="str">
        <f ca="1">IFERROR(__xludf.DUMMYFUNCTION("IF
(
C2568=""фізична особа""
,
VLOOKUP(D2568,IMPORTRANGE(""https://docs.google.com/spreadsheets/d/14Bd19lYaqBhU8_DElYkX7l4wRkHqqCUFNJY4AfY3kHU/edit?usp=sharing  #gid=0"",""фіз особи new!relations_name""),6,FALSE)
,
(IF
(
C2568=""юридична особа""
,
VLOOKUP"&amp;"(D2568,IMPORTRANGE(""https://docs.google.com/spreadsheets/d/14Bd19lYaqBhU8_DElYkX7l4wRkHqqCUFNJY4AfY3kHU/edit?usp=sharing  #gid=0"",""фіз особи new!relations_name_uo""),7,FALSE)
,
)
))"),"СКОРОХОДОВА Наталія Петрівна")</f>
        <v>СКОРОХОДОВА Наталія Петрівна</v>
      </c>
      <c r="G2567" s="7" t="s">
        <v>10</v>
      </c>
      <c r="H2567" s="7">
        <v>646</v>
      </c>
      <c r="I2567" s="8" t="str">
        <f ca="1">IFERROR(__xludf.DUMMYFUNCTION("IF
(
G2568=""фізична особа""
,
VLOOKUP(H2568,IMPORTRANGE(""https://docs.google.com/spreadsheets/d/14Bd19lYaqBhU8_DElYkX7l4wRkHqqCUFNJY4AfY3kHU/edit?usp=sharing  #gid=0"",""фіз особи new!relations_name""),6,FALSE)
,
(IF
(
G2568=""юридична особа""
,
VLOOKUP"&amp;"(H2568,IMPORTRANGE(""https://docs.google.com/spreadsheets/d/14Bd19lYaqBhU8_DElYkX7l4wRkHqqCUFNJY4AfY3kHU/edit?usp=sharing  #gid=0"",""фіз особи new!relations_name_uo""),7,FALSE)
,
)
))"),"САЄНКО Сергій Іванович")</f>
        <v>САЄНКО Сергій Іванович</v>
      </c>
      <c r="J2567" s="7" t="s">
        <v>35</v>
      </c>
    </row>
    <row r="2568" spans="1:10" ht="13.2">
      <c r="A2568" s="7">
        <v>2567</v>
      </c>
      <c r="B2568" s="7">
        <v>1</v>
      </c>
      <c r="C2568" s="7" t="s">
        <v>10</v>
      </c>
      <c r="D2568" s="7">
        <v>737</v>
      </c>
      <c r="E2568" s="7" t="s">
        <v>12</v>
      </c>
      <c r="F2568" s="8" t="str">
        <f ca="1">IFERROR(__xludf.DUMMYFUNCTION("IF
(
C2569=""фізична особа""
,
VLOOKUP(D2569,IMPORTRANGE(""https://docs.google.com/spreadsheets/d/14Bd19lYaqBhU8_DElYkX7l4wRkHqqCUFNJY4AfY3kHU/edit?usp=sharing  #gid=0"",""фіз особи new!relations_name""),6,FALSE)
,
(IF
(
C2569=""юридична особа""
,
VLOOKUP"&amp;"(D2569,IMPORTRANGE(""https://docs.google.com/spreadsheets/d/14Bd19lYaqBhU8_DElYkX7l4wRkHqqCUFNJY4AfY3kHU/edit?usp=sharing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68" s="7" t="s">
        <v>10</v>
      </c>
      <c r="H2568" s="7">
        <v>0</v>
      </c>
      <c r="I2568" s="8" t="str">
        <f ca="1">IFERROR(__xludf.DUMMYFUNCTION("IF
(
G2569=""фізична особа""
,
VLOOKUP(H2569,IMPORTRANGE(""https://docs.google.com/spreadsheets/d/14Bd19lYaqBhU8_DElYkX7l4wRkHqqCUFNJY4AfY3kHU/edit?usp=sharing  #gid=0"",""фіз особи new!relations_name""),6,FALSE)
,
(IF
(
G2569=""юридична особа""
,
VLOOKUP"&amp;"(H2569,IMPORTRANGE(""https://docs.google.com/spreadsheets/d/14Bd19lYaqBhU8_DElYkX7l4wRkHqqCUFNJY4AfY3kHU/edit?usp=sharing  #gid=0"",""фіз особи new!relations_name_uo""),7,FALSE)
,
)
))"),"#N/A")</f>
        <v>#N/A</v>
      </c>
      <c r="J2568" s="7" t="s">
        <v>13</v>
      </c>
    </row>
    <row r="2569" spans="1:10" ht="13.2">
      <c r="A2569" s="7">
        <v>2568</v>
      </c>
      <c r="B2569" s="7">
        <v>1</v>
      </c>
      <c r="C2569" s="7" t="s">
        <v>10</v>
      </c>
      <c r="D2569" s="7">
        <v>737</v>
      </c>
      <c r="E2569" s="7" t="s">
        <v>14</v>
      </c>
      <c r="F2569" s="8" t="str">
        <f ca="1">IFERROR(__xludf.DUMMYFUNCTION("IF
(
C2570=""фізична особа""
,
VLOOKUP(D2570,IMPORTRANGE(""https://docs.google.com/spreadsheets/d/14Bd19lYaqBhU8_DElYkX7l4wRkHqqCUFNJY4AfY3kHU/edit?usp=sharing  #gid=0"",""фіз особи new!relations_name""),6,FALSE)
,
(IF
(
C2570=""юридична особа""
,
VLOOKUP"&amp;"(D2570,IMPORTRANGE(""https://docs.google.com/spreadsheets/d/14Bd19lYaqBhU8_DElYkX7l4wRkHqqCUFNJY4AfY3kHU/edit?usp=sharing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69" s="7" t="s">
        <v>10</v>
      </c>
      <c r="H2569" s="7">
        <v>0</v>
      </c>
      <c r="I2569" s="8" t="str">
        <f ca="1">IFERROR(__xludf.DUMMYFUNCTION("IF
(
G2570=""фізична особа""
,
VLOOKUP(H2570,IMPORTRANGE(""https://docs.google.com/spreadsheets/d/14Bd19lYaqBhU8_DElYkX7l4wRkHqqCUFNJY4AfY3kHU/edit?usp=sharing  #gid=0"",""фіз особи new!relations_name""),6,FALSE)
,
(IF
(
G2570=""юридична особа""
,
VLOOKUP"&amp;"(H2570,IMPORTRANGE(""https://docs.google.com/spreadsheets/d/14Bd19lYaqBhU8_DElYkX7l4wRkHqqCUFNJY4AfY3kHU/edit?usp=sharing  #gid=0"",""фіз особи new!relations_name_uo""),7,FALSE)
,
)
))"),"#N/A")</f>
        <v>#N/A</v>
      </c>
      <c r="J2569" s="7" t="s">
        <v>15</v>
      </c>
    </row>
    <row r="2570" spans="1:10" ht="13.2">
      <c r="A2570" s="7">
        <v>2569</v>
      </c>
      <c r="B2570" s="7">
        <v>1</v>
      </c>
      <c r="C2570" s="7" t="s">
        <v>10</v>
      </c>
      <c r="D2570" s="7">
        <v>737</v>
      </c>
      <c r="E2570" s="7" t="s">
        <v>12</v>
      </c>
      <c r="F2570" s="8" t="str">
        <f ca="1">IFERROR(__xludf.DUMMYFUNCTION("IF
(
C2571=""фізична особа""
,
VLOOKUP(D2571,IMPORTRANGE(""https://docs.google.com/spreadsheets/d/14Bd19lYaqBhU8_DElYkX7l4wRkHqqCUFNJY4AfY3kHU/edit?usp=sharing  #gid=0"",""фіз особи new!relations_name""),6,FALSE)
,
(IF
(
C2571=""юридична особа""
,
VLOOKUP"&amp;"(D2571,IMPORTRANGE(""https://docs.google.com/spreadsheets/d/14Bd19lYaqBhU8_DElYkX7l4wRkHqqCUFNJY4AfY3kHU/edit?usp=sharing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0" s="7" t="s">
        <v>10</v>
      </c>
      <c r="H2570" s="7">
        <v>0</v>
      </c>
      <c r="I2570" s="8" t="str">
        <f ca="1">IFERROR(__xludf.DUMMYFUNCTION("IF
(
G2571=""фізична особа""
,
VLOOKUP(H2571,IMPORTRANGE(""https://docs.google.com/spreadsheets/d/14Bd19lYaqBhU8_DElYkX7l4wRkHqqCUFNJY4AfY3kHU/edit?usp=sharing  #gid=0"",""фіз особи new!relations_name""),6,FALSE)
,
(IF
(
G2571=""юридична особа""
,
VLOOKUP"&amp;"(H2571,IMPORTRANGE(""https://docs.google.com/spreadsheets/d/14Bd19lYaqBhU8_DElYkX7l4wRkHqqCUFNJY4AfY3kHU/edit?usp=sharing  #gid=0"",""фіз особи new!relations_name_uo""),7,FALSE)
,
)
))"),"#N/A")</f>
        <v>#N/A</v>
      </c>
      <c r="J2570" s="7" t="s">
        <v>13</v>
      </c>
    </row>
    <row r="2571" spans="1:10" ht="13.2">
      <c r="A2571" s="7">
        <v>2570</v>
      </c>
      <c r="B2571" s="7">
        <v>1</v>
      </c>
      <c r="C2571" s="7" t="s">
        <v>10</v>
      </c>
      <c r="D2571" s="7">
        <v>737</v>
      </c>
      <c r="E2571" s="7" t="s">
        <v>48</v>
      </c>
      <c r="F2571" s="8" t="str">
        <f ca="1">IFERROR(__xludf.DUMMYFUNCTION("IF
(
C2572=""фізична особа""
,
VLOOKUP(D2572,IMPORTRANGE(""https://docs.google.com/spreadsheets/d/14Bd19lYaqBhU8_DElYkX7l4wRkHqqCUFNJY4AfY3kHU/edit?usp=sharing  #gid=0"",""фіз особи new!relations_name""),6,FALSE)
,
(IF
(
C2572=""юридична особа""
,
VLOOKUP"&amp;"(D2572,IMPORTRANGE(""https://docs.google.com/spreadsheets/d/14Bd19lYaqBhU8_DElYkX7l4wRkHqqCUFNJY4AfY3kHU/edit?usp=sharing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1" s="7" t="s">
        <v>10</v>
      </c>
      <c r="H2571" s="7">
        <v>468</v>
      </c>
      <c r="I2571" s="8" t="str">
        <f ca="1">IFERROR(__xludf.DUMMYFUNCTION("IF
(
G2572=""фізична особа""
,
VLOOKUP(H2572,IMPORTRANGE(""https://docs.google.com/spreadsheets/d/14Bd19lYaqBhU8_DElYkX7l4wRkHqqCUFNJY4AfY3kHU/edit?usp=sharing  #gid=0"",""фіз особи new!relations_name""),6,FALSE)
,
(IF
(
G2572=""юридична особа""
,
VLOOKUP"&amp;"(H2572,IMPORTRANGE(""https://docs.google.com/spreadsheets/d/14Bd19lYaqBhU8_DElYkX7l4wRkHqqCUFNJY4AfY3kHU/edit?usp=sharing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2571" s="7" t="s">
        <v>48</v>
      </c>
    </row>
    <row r="2572" spans="1:10" ht="13.2">
      <c r="A2572" s="7">
        <v>2571</v>
      </c>
      <c r="B2572" s="7">
        <v>1</v>
      </c>
      <c r="C2572" s="7" t="s">
        <v>10</v>
      </c>
      <c r="D2572" s="7">
        <v>737</v>
      </c>
      <c r="E2572" s="7" t="s">
        <v>48</v>
      </c>
      <c r="F2572" s="8" t="str">
        <f ca="1">IFERROR(__xludf.DUMMYFUNCTION("IF
(
C2573=""фізична особа""
,
VLOOKUP(D2573,IMPORTRANGE(""https://docs.google.com/spreadsheets/d/14Bd19lYaqBhU8_DElYkX7l4wRkHqqCUFNJY4AfY3kHU/edit?usp=sharing  #gid=0"",""фіз особи new!relations_name""),6,FALSE)
,
(IF
(
C2573=""юридична особа""
,
VLOOKUP"&amp;"(D2573,IMPORTRANGE(""https://docs.google.com/spreadsheets/d/14Bd19lYaqBhU8_DElYkX7l4wRkHqqCUFNJY4AfY3kHU/edit?usp=sharing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2" s="7" t="s">
        <v>10</v>
      </c>
      <c r="H2572" s="7">
        <v>23439</v>
      </c>
      <c r="I2572" s="8" t="str">
        <f ca="1">IFERROR(__xludf.DUMMYFUNCTION("IF
(
G2573=""фізична особа""
,
VLOOKUP(H2573,IMPORTRANGE(""https://docs.google.com/spreadsheets/d/14Bd19lYaqBhU8_DElYkX7l4wRkHqqCUFNJY4AfY3kHU/edit?usp=sharing  #gid=0"",""фіз особи new!relations_name""),6,FALSE)
,
(IF
(
G2573=""юридична особа""
,
VLOOKUP"&amp;"(H2573,IMPORTRANGE(""https://docs.google.com/spreadsheets/d/14Bd19lYaqBhU8_DElYkX7l4wRkHqqCUFNJY4AfY3kHU/edit?usp=sharing  #gid=0"",""фіз особи new!relations_name_uo""),7,FALSE)
,
)
))"),"СМОЛА Володимир Йосипович")</f>
        <v>СМОЛА Володимир Йосипович</v>
      </c>
      <c r="J2572" s="7" t="s">
        <v>48</v>
      </c>
    </row>
    <row r="2573" spans="1:10" ht="13.2">
      <c r="A2573" s="7">
        <v>2572</v>
      </c>
      <c r="B2573" s="7">
        <v>1</v>
      </c>
      <c r="C2573" s="7" t="s">
        <v>10</v>
      </c>
      <c r="D2573" s="7">
        <v>737</v>
      </c>
      <c r="E2573" s="7" t="s">
        <v>48</v>
      </c>
      <c r="F2573" s="8" t="str">
        <f ca="1">IFERROR(__xludf.DUMMYFUNCTION("IF
(
C2574=""фізична особа""
,
VLOOKUP(D2574,IMPORTRANGE(""https://docs.google.com/spreadsheets/d/14Bd19lYaqBhU8_DElYkX7l4wRkHqqCUFNJY4AfY3kHU/edit?usp=sharing  #gid=0"",""фіз особи new!relations_name""),6,FALSE)
,
(IF
(
C2574=""юридична особа""
,
VLOOKUP"&amp;"(D2574,IMPORTRANGE(""https://docs.google.com/spreadsheets/d/14Bd19lYaqBhU8_DElYkX7l4wRkHqqCUFNJY4AfY3kHU/edit?usp=sharing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3" s="7" t="s">
        <v>10</v>
      </c>
      <c r="H2573" s="7">
        <v>12963</v>
      </c>
      <c r="I2573" s="8" t="str">
        <f ca="1">IFERROR(__xludf.DUMMYFUNCTION("IF
(
G2574=""фізична особа""
,
VLOOKUP(H2574,IMPORTRANGE(""https://docs.google.com/spreadsheets/d/14Bd19lYaqBhU8_DElYkX7l4wRkHqqCUFNJY4AfY3kHU/edit?usp=sharing  #gid=0"",""фіз особи new!relations_name""),6,FALSE)
,
(IF
(
G2574=""юридична особа""
,
VLOOKUP"&amp;"(H2574,IMPORTRANGE(""https://docs.google.com/spreadsheets/d/14Bd19lYaqBhU8_DElYkX7l4wRkHqqCUFNJY4AfY3kHU/edit?usp=sharing  #gid=0"",""фіз особи new!relations_name_uo""),7,FALSE)
,
)
))"),"СВЕРГУНОВА Маргарита Миколаївна")</f>
        <v>СВЕРГУНОВА Маргарита Миколаївна</v>
      </c>
      <c r="J2573" s="7" t="s">
        <v>48</v>
      </c>
    </row>
    <row r="2574" spans="1:10" ht="13.2">
      <c r="A2574" s="7">
        <v>2573</v>
      </c>
      <c r="B2574" s="7">
        <v>1</v>
      </c>
      <c r="C2574" s="7" t="s">
        <v>10</v>
      </c>
      <c r="D2574" s="7">
        <v>737</v>
      </c>
      <c r="E2574" s="7" t="s">
        <v>48</v>
      </c>
      <c r="F2574" s="8" t="str">
        <f ca="1">IFERROR(__xludf.DUMMYFUNCTION("IF
(
C2575=""фізична особа""
,
VLOOKUP(D2575,IMPORTRANGE(""https://docs.google.com/spreadsheets/d/14Bd19lYaqBhU8_DElYkX7l4wRkHqqCUFNJY4AfY3kHU/edit?usp=sharing  #gid=0"",""фіз особи new!relations_name""),6,FALSE)
,
(IF
(
C2575=""юридична особа""
,
VLOOKUP"&amp;"(D2575,IMPORTRANGE(""https://docs.google.com/spreadsheets/d/14Bd19lYaqBhU8_DElYkX7l4wRkHqqCUFNJY4AfY3kHU/edit?usp=sharing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4" s="7" t="s">
        <v>10</v>
      </c>
      <c r="H2574" s="7">
        <v>23451</v>
      </c>
      <c r="I2574" s="8" t="str">
        <f ca="1">IFERROR(__xludf.DUMMYFUNCTION("IF
(
G2575=""фізична особа""
,
VLOOKUP(H2575,IMPORTRANGE(""https://docs.google.com/spreadsheets/d/14Bd19lYaqBhU8_DElYkX7l4wRkHqqCUFNJY4AfY3kHU/edit?usp=sharing  #gid=0"",""фіз особи new!relations_name""),6,FALSE)
,
(IF
(
G2575=""юридична особа""
,
VLOOKUP"&amp;"(H2575,IMPORTRANGE(""https://docs.google.com/spreadsheets/d/14Bd19lYaqBhU8_DElYkX7l4wRkHqqCUFNJY4AfY3kHU/edit?usp=sharing  #gid=0"",""фіз особи new!relations_name_uo""),7,FALSE)
,
)
))"),"ЛУЖКОВ Юрій Михайлович")</f>
        <v>ЛУЖКОВ Юрій Михайлович</v>
      </c>
      <c r="J2574" s="7" t="s">
        <v>48</v>
      </c>
    </row>
    <row r="2575" spans="1:10" ht="13.2">
      <c r="A2575" s="7">
        <v>2574</v>
      </c>
      <c r="B2575" s="7">
        <v>1</v>
      </c>
      <c r="C2575" s="7" t="s">
        <v>10</v>
      </c>
      <c r="D2575" s="7">
        <v>737</v>
      </c>
      <c r="E2575" s="7" t="s">
        <v>48</v>
      </c>
      <c r="F2575" s="8" t="str">
        <f ca="1">IFERROR(__xludf.DUMMYFUNCTION("IF
(
C2576=""фізична особа""
,
VLOOKUP(D2576,IMPORTRANGE(""https://docs.google.com/spreadsheets/d/14Bd19lYaqBhU8_DElYkX7l4wRkHqqCUFNJY4AfY3kHU/edit?usp=sharing  #gid=0"",""фіз особи new!relations_name""),6,FALSE)
,
(IF
(
C2576=""юридична особа""
,
VLOOKUP"&amp;"(D2576,IMPORTRANGE(""https://docs.google.com/spreadsheets/d/14Bd19lYaqBhU8_DElYkX7l4wRkHqqCUFNJY4AfY3kHU/edit?usp=sharing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2575" s="7" t="s">
        <v>10</v>
      </c>
      <c r="H2575" s="7">
        <v>23352</v>
      </c>
      <c r="I2575" s="8" t="str">
        <f ca="1">IFERROR(__xludf.DUMMYFUNCTION("IF
(
G2576=""фізична особа""
,
VLOOKUP(H2576,IMPORTRANGE(""https://docs.google.com/spreadsheets/d/14Bd19lYaqBhU8_DElYkX7l4wRkHqqCUFNJY4AfY3kHU/edit?usp=sharing  #gid=0"",""фіз особи new!relations_name""),6,FALSE)
,
(IF
(
G2576=""юридична особа""
,
VLOOKUP"&amp;"(H2576,IMPORTRANGE(""https://docs.google.com/spreadsheets/d/14Bd19lYaqBhU8_DElYkX7l4wRkHqqCUFNJY4AfY3kHU/edit?usp=sharing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2575" s="7" t="s">
        <v>48</v>
      </c>
    </row>
    <row r="2576" spans="1:10" ht="13.2">
      <c r="A2576" s="7">
        <v>2575</v>
      </c>
      <c r="B2576" s="7">
        <v>1</v>
      </c>
      <c r="C2576" s="7" t="s">
        <v>10</v>
      </c>
      <c r="D2576" s="7">
        <v>738</v>
      </c>
      <c r="E2576" s="7" t="s">
        <v>11</v>
      </c>
      <c r="F2576" s="8" t="str">
        <f ca="1">IFERROR(__xludf.DUMMYFUNCTION("IF
(
C2577=""фізична особа""
,
VLOOKUP(D2577,IMPORTRANGE(""https://docs.google.com/spreadsheets/d/14Bd19lYaqBhU8_DElYkX7l4wRkHqqCUFNJY4AfY3kHU/edit?usp=sharing  #gid=0"",""фіз особи new!relations_name""),6,FALSE)
,
(IF
(
C2577=""юридична особа""
,
VLOOKUP"&amp;"(D2577,IMPORTRANGE(""https://docs.google.com/spreadsheets/d/14Bd19lYaqBhU8_DElYkX7l4wRkHqqCUFNJY4AfY3kHU/edit?usp=sharing  #gid=0"",""фіз особи new!relations_name_uo""),7,FALSE)
,
)
))"),"НАУМОВ Станіслав Олександрович")</f>
        <v>НАУМОВ Станіслав Олександрович</v>
      </c>
      <c r="G2576" s="7" t="s">
        <v>10</v>
      </c>
      <c r="H2576" s="7">
        <v>820</v>
      </c>
      <c r="I2576" s="8" t="str">
        <f ca="1">IFERROR(__xludf.DUMMYFUNCTION("IF
(
G2577=""фізична особа""
,
VLOOKUP(H2577,IMPORTRANGE(""https://docs.google.com/spreadsheets/d/14Bd19lYaqBhU8_DElYkX7l4wRkHqqCUFNJY4AfY3kHU/edit?usp=sharing  #gid=0"",""фіз особи new!relations_name""),6,FALSE)
,
(IF
(
G2577=""юридична особа""
,
VLOOKUP"&amp;"(H2577,IMPORTRANGE(""https://docs.google.com/spreadsheets/d/14Bd19lYaqBhU8_DElYkX7l4wRkHqqCUFNJY4AfY3kHU/edit?usp=sharing  #gid=0"",""фіз особи new!relations_name_uo""),7,FALSE)
,
)
))"),"РАШНІКОВ Віктор Пилипович")</f>
        <v>РАШНІКОВ Віктор Пилипович</v>
      </c>
      <c r="J2576" s="7" t="s">
        <v>11</v>
      </c>
    </row>
    <row r="2577" spans="1:10" ht="13.2">
      <c r="A2577" s="7">
        <v>2576</v>
      </c>
      <c r="B2577" s="7">
        <v>1</v>
      </c>
      <c r="C2577" s="7" t="s">
        <v>10</v>
      </c>
      <c r="D2577" s="7">
        <v>738</v>
      </c>
      <c r="E2577" s="7" t="s">
        <v>48</v>
      </c>
      <c r="F2577" s="8" t="str">
        <f ca="1">IFERROR(__xludf.DUMMYFUNCTION("IF
(
C2578=""фізична особа""
,
VLOOKUP(D2578,IMPORTRANGE(""https://docs.google.com/spreadsheets/d/14Bd19lYaqBhU8_DElYkX7l4wRkHqqCUFNJY4AfY3kHU/edit?usp=sharing  #gid=0"",""фіз особи new!relations_name""),6,FALSE)
,
(IF
(
C2578=""юридична особа""
,
VLOOKUP"&amp;"(D2578,IMPORTRANGE(""https://docs.google.com/spreadsheets/d/14Bd19lYaqBhU8_DElYkX7l4wRkHqqCUFNJY4AfY3kHU/edit?usp=sharing  #gid=0"",""фіз особи new!relations_name_uo""),7,FALSE)
,
)
))"),"НАУМОВ Станіслав Олександрович")</f>
        <v>НАУМОВ Станіслав Олександрович</v>
      </c>
      <c r="G2577" s="7" t="s">
        <v>10</v>
      </c>
      <c r="H2577" s="7">
        <v>1749</v>
      </c>
      <c r="I2577" s="8" t="str">
        <f ca="1">IFERROR(__xludf.DUMMYFUNCTION("IF
(
G2578=""фізична особа""
,
VLOOKUP(H2578,IMPORTRANGE(""https://docs.google.com/spreadsheets/d/14Bd19lYaqBhU8_DElYkX7l4wRkHqqCUFNJY4AfY3kHU/edit?usp=sharing  #gid=0"",""фіз особи new!relations_name""),6,FALSE)
,
(IF
(
G2578=""юридична особа""
,
VLOOKUP"&amp;"(H2578,IMPORTRANGE(""https://docs.google.com/spreadsheets/d/14Bd19lYaqBhU8_DElYkX7l4wRkHqqCUFNJY4AfY3kHU/edit?usp=sharing  #gid=0"",""фіз особи new!relations_name_uo""),7,FALSE)
,
)
))"),"ВИННИЧЕНКО Микола Олександрович")</f>
        <v>ВИННИЧЕНКО Микола Олександрович</v>
      </c>
      <c r="J2577" s="7" t="s">
        <v>48</v>
      </c>
    </row>
    <row r="2578" spans="1:10" ht="13.2">
      <c r="A2578" s="7">
        <v>2577</v>
      </c>
      <c r="B2578" s="7">
        <v>1</v>
      </c>
      <c r="C2578" s="7" t="s">
        <v>10</v>
      </c>
      <c r="D2578" s="7">
        <v>739</v>
      </c>
      <c r="E2578" s="7" t="s">
        <v>65</v>
      </c>
      <c r="F2578" s="8" t="str">
        <f ca="1">IFERROR(__xludf.DUMMYFUNCTION("IF
(
C2579=""фізична особа""
,
VLOOKUP(D2579,IMPORTRANGE(""https://docs.google.com/spreadsheets/d/14Bd19lYaqBhU8_DElYkX7l4wRkHqqCUFNJY4AfY3kHU/edit?usp=sharing  #gid=0"",""фіз особи new!relations_name""),6,FALSE)
,
(IF
(
C2579=""юридична особа""
,
VLOOKUP"&amp;"(D2579,IMPORTRANGE(""https://docs.google.com/spreadsheets/d/14Bd19lYaqBhU8_DElYkX7l4wRkHqqCUFNJY4AfY3kHU/edit?usp=sharing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G2578" s="7" t="s">
        <v>10</v>
      </c>
      <c r="H2578" s="7">
        <v>926</v>
      </c>
      <c r="I2578" s="8" t="str">
        <f ca="1">IFERROR(__xludf.DUMMYFUNCTION("IF
(
G2579=""фізична особа""
,
VLOOKUP(H2579,IMPORTRANGE(""https://docs.google.com/spreadsheets/d/14Bd19lYaqBhU8_DElYkX7l4wRkHqqCUFNJY4AfY3kHU/edit?usp=sharing  #gid=0"",""фіз особи new!relations_name""),6,FALSE)
,
(IF
(
G2579=""юридична особа""
,
VLOOKUP"&amp;"(H2579,IMPORTRANGE(""https://docs.google.com/spreadsheets/d/14Bd19lYaqBhU8_DElYkX7l4wRkHqqCUFNJY4AfY3kHU/edit?usp=sharing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2578" s="7" t="s">
        <v>65</v>
      </c>
    </row>
    <row r="2579" spans="1:10" ht="13.2">
      <c r="A2579" s="7">
        <v>2578</v>
      </c>
      <c r="B2579" s="7">
        <v>1</v>
      </c>
      <c r="C2579" s="7" t="s">
        <v>10</v>
      </c>
      <c r="D2579" s="7">
        <v>739</v>
      </c>
      <c r="E2579" s="7" t="s">
        <v>61</v>
      </c>
      <c r="F2579" s="8" t="str">
        <f ca="1">IFERROR(__xludf.DUMMYFUNCTION("IF
(
C2580=""фізична особа""
,
VLOOKUP(D2580,IMPORTRANGE(""https://docs.google.com/spreadsheets/d/14Bd19lYaqBhU8_DElYkX7l4wRkHqqCUFNJY4AfY3kHU/edit?usp=sharing  #gid=0"",""фіз особи new!relations_name""),6,FALSE)
,
(IF
(
C2580=""юридична особа""
,
VLOOKUP"&amp;"(D2580,IMPORTRANGE(""https://docs.google.com/spreadsheets/d/14Bd19lYaqBhU8_DElYkX7l4wRkHqqCUFNJY4AfY3kHU/edit?usp=sharing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G2579" s="7" t="s">
        <v>10</v>
      </c>
      <c r="H2579" s="7">
        <v>0</v>
      </c>
      <c r="I2579" s="8" t="str">
        <f ca="1">IFERROR(__xludf.DUMMYFUNCTION("IF
(
G2580=""фізична особа""
,
VLOOKUP(H2580,IMPORTRANGE(""https://docs.google.com/spreadsheets/d/14Bd19lYaqBhU8_DElYkX7l4wRkHqqCUFNJY4AfY3kHU/edit?usp=sharing  #gid=0"",""фіз особи new!relations_name""),6,FALSE)
,
(IF
(
G2580=""юридична особа""
,
VLOOKUP"&amp;"(H2580,IMPORTRANGE(""https://docs.google.com/spreadsheets/d/14Bd19lYaqBhU8_DElYkX7l4wRkHqqCUFNJY4AfY3kHU/edit?usp=sharing  #gid=0"",""фіз особи new!relations_name_uo""),7,FALSE)
,
)
))"),"#N/A")</f>
        <v>#N/A</v>
      </c>
      <c r="J2579" s="7" t="s">
        <v>59</v>
      </c>
    </row>
    <row r="2580" spans="1:10" ht="13.2">
      <c r="A2580" s="7">
        <v>2579</v>
      </c>
      <c r="B2580" s="7">
        <v>1</v>
      </c>
      <c r="C2580" s="7" t="s">
        <v>10</v>
      </c>
      <c r="D2580" s="7">
        <v>739</v>
      </c>
      <c r="E2580" s="7" t="s">
        <v>17</v>
      </c>
      <c r="F2580" s="8" t="str">
        <f ca="1">IFERROR(__xludf.DUMMYFUNCTION("IF
(
C2581=""фізична особа""
,
VLOOKUP(D2581,IMPORTRANGE(""https://docs.google.com/spreadsheets/d/14Bd19lYaqBhU8_DElYkX7l4wRkHqqCUFNJY4AfY3kHU/edit?usp=sharing  #gid=0"",""фіз особи new!relations_name""),6,FALSE)
,
(IF
(
C2581=""юридична особа""
,
VLOOKUP"&amp;"(D2581,IMPORTRANGE(""https://docs.google.com/spreadsheets/d/14Bd19lYaqBhU8_DElYkX7l4wRkHqqCUFNJY4AfY3kHU/edit?usp=sharing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G2580" s="7" t="s">
        <v>10</v>
      </c>
      <c r="H2580" s="7">
        <v>363</v>
      </c>
      <c r="I2580" s="8" t="str">
        <f ca="1">IFERROR(__xludf.DUMMYFUNCTION("IF
(
G2581=""фізична особа""
,
VLOOKUP(H2581,IMPORTRANGE(""https://docs.google.com/spreadsheets/d/14Bd19lYaqBhU8_DElYkX7l4wRkHqqCUFNJY4AfY3kHU/edit?usp=sharing  #gid=0"",""фіз особи new!relations_name""),6,FALSE)
,
(IF
(
G2581=""юридична особа""
,
VLOOKUP"&amp;"(H2581,IMPORTRANGE(""https://docs.google.com/spreadsheets/d/14Bd19lYaqBhU8_DElYkX7l4wRkHqqCUFNJY4AfY3kHU/edit?usp=sharing  #gid=0"",""фіз особи new!relations_name_uo""),7,FALSE)
,
)
))"),"КОВАЛЬЧУК Кіра Валентинівна")</f>
        <v>КОВАЛЬЧУК Кіра Валентинівна</v>
      </c>
      <c r="J2580" s="7" t="s">
        <v>21</v>
      </c>
    </row>
    <row r="2581" spans="1:10" ht="13.2">
      <c r="A2581" s="7">
        <v>2580</v>
      </c>
      <c r="B2581" s="7">
        <v>1</v>
      </c>
      <c r="C2581" s="7" t="s">
        <v>10</v>
      </c>
      <c r="D2581" s="7">
        <v>739</v>
      </c>
      <c r="E2581" s="7" t="s">
        <v>17</v>
      </c>
      <c r="F2581" s="8" t="str">
        <f ca="1">IFERROR(__xludf.DUMMYFUNCTION("IF
(
C2582=""фізична особа""
,
VLOOKUP(D2582,IMPORTRANGE(""https://docs.google.com/spreadsheets/d/14Bd19lYaqBhU8_DElYkX7l4wRkHqqCUFNJY4AfY3kHU/edit?usp=sharing  #gid=0"",""фіз особи new!relations_name""),6,FALSE)
,
(IF
(
C2582=""юридична особа""
,
VLOOKUP"&amp;"(D2582,IMPORTRANGE(""https://docs.google.com/spreadsheets/d/14Bd19lYaqBhU8_DElYkX7l4wRkHqqCUFNJY4AfY3kHU/edit?usp=sharing  #gid=0"",""фіз особи new!relations_name_uo""),7,FALSE)
,
)
))"),"КОВАЛЬЧУК Степан Кирилович")</f>
        <v>КОВАЛЬЧУК Степан Кирилович</v>
      </c>
      <c r="G2581" s="7" t="s">
        <v>10</v>
      </c>
      <c r="H2581" s="7">
        <v>364</v>
      </c>
      <c r="I2581" s="8" t="str">
        <f ca="1">IFERROR(__xludf.DUMMYFUNCTION("IF
(
G2582=""фізична особа""
,
VLOOKUP(H2582,IMPORTRANGE(""https://docs.google.com/spreadsheets/d/14Bd19lYaqBhU8_DElYkX7l4wRkHqqCUFNJY4AfY3kHU/edit?usp=sharing  #gid=0"",""фіз особи new!relations_name""),6,FALSE)
,
(IF
(
G2582=""юридична особа""
,
VLOOKUP"&amp;"(H2582,IMPORTRANGE(""https://docs.google.com/spreadsheets/d/14Bd19lYaqBhU8_DElYkX7l4wRkHqqCUFNJY4AfY3kHU/edit?usp=sharing  #gid=0"",""фіз особи new!relations_name_uo""),7,FALSE)
,
)
))"),"КОВАЛЬЧУК Кирило Михайлович")</f>
        <v>КОВАЛЬЧУК Кирило Михайлович</v>
      </c>
      <c r="J2581" s="7" t="s">
        <v>12</v>
      </c>
    </row>
    <row r="2582" spans="1:10" ht="13.2">
      <c r="A2582" s="7">
        <v>2581</v>
      </c>
      <c r="B2582" s="7">
        <v>1</v>
      </c>
      <c r="C2582" s="7" t="s">
        <v>10</v>
      </c>
      <c r="D2582" s="7">
        <v>740</v>
      </c>
      <c r="E2582" s="7" t="s">
        <v>48</v>
      </c>
      <c r="F2582" s="8" t="str">
        <f ca="1">IFERROR(__xludf.DUMMYFUNCTION("IF
(
C2583=""фізична особа""
,
VLOOKUP(D2583,IMPORTRANGE(""https://docs.google.com/spreadsheets/d/14Bd19lYaqBhU8_DElYkX7l4wRkHqqCUFNJY4AfY3kHU/edit?usp=sharing  #gid=0"",""фіз особи new!relations_name""),6,FALSE)
,
(IF
(
C2583=""юридична особа""
,
VLOOKUP"&amp;"(D2583,IMPORTRANGE(""https://docs.google.com/spreadsheets/d/14Bd19lYaqBhU8_DElYkX7l4wRkHqqCUFNJY4AfY3kHU/edit?usp=sharing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2" s="7" t="s">
        <v>10</v>
      </c>
      <c r="H2582" s="7">
        <v>609</v>
      </c>
      <c r="I2582" s="8" t="str">
        <f ca="1">IFERROR(__xludf.DUMMYFUNCTION("IF
(
G2583=""фізична особа""
,
VLOOKUP(H2583,IMPORTRANGE(""https://docs.google.com/spreadsheets/d/14Bd19lYaqBhU8_DElYkX7l4wRkHqqCUFNJY4AfY3kHU/edit?usp=sharing  #gid=0"",""фіз особи new!relations_name""),6,FALSE)
,
(IF
(
G2583=""юридична особа""
,
VLOOKUP"&amp;"(H2583,IMPORTRANGE(""https://docs.google.com/spreadsheets/d/14Bd19lYaqBhU8_DElYkX7l4wRkHqqCUFNJY4AfY3kHU/edit?usp=sharing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2582" s="7" t="s">
        <v>48</v>
      </c>
    </row>
    <row r="2583" spans="1:10" ht="13.2">
      <c r="A2583" s="7">
        <v>2582</v>
      </c>
      <c r="B2583" s="7">
        <v>1</v>
      </c>
      <c r="C2583" s="7" t="s">
        <v>10</v>
      </c>
      <c r="D2583" s="7">
        <v>740</v>
      </c>
      <c r="E2583" s="7" t="s">
        <v>48</v>
      </c>
      <c r="F2583" s="8" t="str">
        <f ca="1">IFERROR(__xludf.DUMMYFUNCTION("IF
(
C2584=""фізична особа""
,
VLOOKUP(D2584,IMPORTRANGE(""https://docs.google.com/spreadsheets/d/14Bd19lYaqBhU8_DElYkX7l4wRkHqqCUFNJY4AfY3kHU/edit?usp=sharing  #gid=0"",""фіз особи new!relations_name""),6,FALSE)
,
(IF
(
C2584=""юридична особа""
,
VLOOKUP"&amp;"(D2584,IMPORTRANGE(""https://docs.google.com/spreadsheets/d/14Bd19lYaqBhU8_DElYkX7l4wRkHqqCUFNJY4AfY3kHU/edit?usp=sharing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3" s="7" t="s">
        <v>10</v>
      </c>
      <c r="H2583" s="7">
        <v>0</v>
      </c>
      <c r="I2583" s="8" t="str">
        <f ca="1">IFERROR(__xludf.DUMMYFUNCTION("IF
(
G2584=""фізична особа""
,
VLOOKUP(H2584,IMPORTRANGE(""https://docs.google.com/spreadsheets/d/14Bd19lYaqBhU8_DElYkX7l4wRkHqqCUFNJY4AfY3kHU/edit?usp=sharing  #gid=0"",""фіз особи new!relations_name""),6,FALSE)
,
(IF
(
G2584=""юридична особа""
,
VLOOKUP"&amp;"(H2584,IMPORTRANGE(""https://docs.google.com/spreadsheets/d/14Bd19lYaqBhU8_DElYkX7l4wRkHqqCUFNJY4AfY3kHU/edit?usp=sharing  #gid=0"",""фіз особи new!relations_name_uo""),7,FALSE)
,
)
))"),"#N/A")</f>
        <v>#N/A</v>
      </c>
      <c r="J2583" s="7" t="s">
        <v>48</v>
      </c>
    </row>
    <row r="2584" spans="1:10" ht="13.2">
      <c r="A2584" s="7">
        <v>2583</v>
      </c>
      <c r="B2584" s="7">
        <v>1</v>
      </c>
      <c r="C2584" s="7" t="s">
        <v>10</v>
      </c>
      <c r="D2584" s="7">
        <v>740</v>
      </c>
      <c r="E2584" s="7" t="s">
        <v>48</v>
      </c>
      <c r="F2584" s="8" t="str">
        <f ca="1">IFERROR(__xludf.DUMMYFUNCTION("IF
(
C2585=""фізична особа""
,
VLOOKUP(D2585,IMPORTRANGE(""https://docs.google.com/spreadsheets/d/14Bd19lYaqBhU8_DElYkX7l4wRkHqqCUFNJY4AfY3kHU/edit?usp=sharing  #gid=0"",""фіз особи new!relations_name""),6,FALSE)
,
(IF
(
C2585=""юридична особа""
,
VLOOKUP"&amp;"(D2585,IMPORTRANGE(""https://docs.google.com/spreadsheets/d/14Bd19lYaqBhU8_DElYkX7l4wRkHqqCUFNJY4AfY3kHU/edit?usp=sharing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4" s="7" t="s">
        <v>10</v>
      </c>
      <c r="H2584" s="7">
        <v>12839</v>
      </c>
      <c r="I2584" s="8" t="str">
        <f ca="1">IFERROR(__xludf.DUMMYFUNCTION("IF
(
G2585=""фізична особа""
,
VLOOKUP(H2585,IMPORTRANGE(""https://docs.google.com/spreadsheets/d/14Bd19lYaqBhU8_DElYkX7l4wRkHqqCUFNJY4AfY3kHU/edit?usp=sharing  #gid=0"",""фіз особи new!relations_name""),6,FALSE)
,
(IF
(
G2585=""юридична особа""
,
VLOOKUP"&amp;"(H2585,IMPORTRANGE(""https://docs.google.com/spreadsheets/d/14Bd19lYaqBhU8_DElYkX7l4wRkHqqCUFNJY4AfY3kHU/edit?usp=sharing  #gid=0"",""фіз особи new!relations_name_uo""),7,FALSE)
,
)
))"),"ДЕЛІМХАНОВ Адам Султанович")</f>
        <v>ДЕЛІМХАНОВ Адам Султанович</v>
      </c>
      <c r="J2584" s="7" t="s">
        <v>48</v>
      </c>
    </row>
    <row r="2585" spans="1:10" ht="13.2">
      <c r="A2585" s="7">
        <v>2584</v>
      </c>
      <c r="B2585" s="7">
        <v>1</v>
      </c>
      <c r="C2585" s="7" t="s">
        <v>10</v>
      </c>
      <c r="D2585" s="7">
        <v>740</v>
      </c>
      <c r="E2585" s="7" t="s">
        <v>12</v>
      </c>
      <c r="F2585" s="8" t="str">
        <f ca="1">IFERROR(__xludf.DUMMYFUNCTION("IF
(
C2586=""фізична особа""
,
VLOOKUP(D2586,IMPORTRANGE(""https://docs.google.com/spreadsheets/d/14Bd19lYaqBhU8_DElYkX7l4wRkHqqCUFNJY4AfY3kHU/edit?usp=sharing  #gid=0"",""фіз особи new!relations_name""),6,FALSE)
,
(IF
(
C2586=""юридична особа""
,
VLOOKUP"&amp;"(D2586,IMPORTRANGE(""https://docs.google.com/spreadsheets/d/14Bd19lYaqBhU8_DElYkX7l4wRkHqqCUFNJY4AfY3kHU/edit?usp=sharing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5" s="7" t="s">
        <v>10</v>
      </c>
      <c r="H2585" s="7">
        <v>0</v>
      </c>
      <c r="I2585" s="8" t="str">
        <f ca="1">IFERROR(__xludf.DUMMYFUNCTION("IF
(
G2586=""фізична особа""
,
VLOOKUP(H2586,IMPORTRANGE(""https://docs.google.com/spreadsheets/d/14Bd19lYaqBhU8_DElYkX7l4wRkHqqCUFNJY4AfY3kHU/edit?usp=sharing  #gid=0"",""фіз особи new!relations_name""),6,FALSE)
,
(IF
(
G2586=""юридична особа""
,
VLOOKUP"&amp;"(H2586,IMPORTRANGE(""https://docs.google.com/spreadsheets/d/14Bd19lYaqBhU8_DElYkX7l4wRkHqqCUFNJY4AfY3kHU/edit?usp=sharing  #gid=0"",""фіз особи new!relations_name_uo""),7,FALSE)
,
)
))"),"#N/A")</f>
        <v>#N/A</v>
      </c>
      <c r="J2585" s="7" t="s">
        <v>17</v>
      </c>
    </row>
    <row r="2586" spans="1:10" ht="13.2">
      <c r="A2586" s="7">
        <v>2585</v>
      </c>
      <c r="B2586" s="7">
        <v>1</v>
      </c>
      <c r="C2586" s="7" t="s">
        <v>10</v>
      </c>
      <c r="D2586" s="7">
        <v>740</v>
      </c>
      <c r="E2586" s="7" t="s">
        <v>12</v>
      </c>
      <c r="F2586" s="8" t="str">
        <f ca="1">IFERROR(__xludf.DUMMYFUNCTION("IF
(
C2587=""фізична особа""
,
VLOOKUP(D2587,IMPORTRANGE(""https://docs.google.com/spreadsheets/d/14Bd19lYaqBhU8_DElYkX7l4wRkHqqCUFNJY4AfY3kHU/edit?usp=sharing  #gid=0"",""фіз особи new!relations_name""),6,FALSE)
,
(IF
(
C2587=""юридична особа""
,
VLOOKUP"&amp;"(D2587,IMPORTRANGE(""https://docs.google.com/spreadsheets/d/14Bd19lYaqBhU8_DElYkX7l4wRkHqqCUFNJY4AfY3kHU/edit?usp=sharing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6" s="7" t="s">
        <v>10</v>
      </c>
      <c r="H2586" s="7">
        <v>0</v>
      </c>
      <c r="I2586" s="8" t="str">
        <f ca="1">IFERROR(__xludf.DUMMYFUNCTION("IF
(
G2587=""фізична особа""
,
VLOOKUP(H2587,IMPORTRANGE(""https://docs.google.com/spreadsheets/d/14Bd19lYaqBhU8_DElYkX7l4wRkHqqCUFNJY4AfY3kHU/edit?usp=sharing  #gid=0"",""фіз особи new!relations_name""),6,FALSE)
,
(IF
(
G2587=""юридична особа""
,
VLOOKUP"&amp;"(H2587,IMPORTRANGE(""https://docs.google.com/spreadsheets/d/14Bd19lYaqBhU8_DElYkX7l4wRkHqqCUFNJY4AfY3kHU/edit?usp=sharing  #gid=0"",""фіз особи new!relations_name_uo""),7,FALSE)
,
)
))"),"#N/A")</f>
        <v>#N/A</v>
      </c>
      <c r="J2586" s="7" t="s">
        <v>13</v>
      </c>
    </row>
    <row r="2587" spans="1:10" ht="13.2">
      <c r="A2587" s="7">
        <v>2586</v>
      </c>
      <c r="B2587" s="7">
        <v>1</v>
      </c>
      <c r="C2587" s="7" t="s">
        <v>10</v>
      </c>
      <c r="D2587" s="7">
        <v>740</v>
      </c>
      <c r="E2587" s="7" t="s">
        <v>12</v>
      </c>
      <c r="F2587" s="8" t="str">
        <f ca="1">IFERROR(__xludf.DUMMYFUNCTION("IF
(
C2588=""фізична особа""
,
VLOOKUP(D2588,IMPORTRANGE(""https://docs.google.com/spreadsheets/d/14Bd19lYaqBhU8_DElYkX7l4wRkHqqCUFNJY4AfY3kHU/edit?usp=sharing  #gid=0"",""фіз особи new!relations_name""),6,FALSE)
,
(IF
(
C2588=""юридична особа""
,
VLOOKUP"&amp;"(D2588,IMPORTRANGE(""https://docs.google.com/spreadsheets/d/14Bd19lYaqBhU8_DElYkX7l4wRkHqqCUFNJY4AfY3kHU/edit?usp=sharing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7" s="7" t="s">
        <v>10</v>
      </c>
      <c r="H2587" s="7">
        <v>0</v>
      </c>
      <c r="I2587" s="8" t="str">
        <f ca="1">IFERROR(__xludf.DUMMYFUNCTION("IF
(
G2588=""фізична особа""
,
VLOOKUP(H2588,IMPORTRANGE(""https://docs.google.com/spreadsheets/d/14Bd19lYaqBhU8_DElYkX7l4wRkHqqCUFNJY4AfY3kHU/edit?usp=sharing  #gid=0"",""фіз особи new!relations_name""),6,FALSE)
,
(IF
(
G2588=""юридична особа""
,
VLOOKUP"&amp;"(H2588,IMPORTRANGE(""https://docs.google.com/spreadsheets/d/14Bd19lYaqBhU8_DElYkX7l4wRkHqqCUFNJY4AfY3kHU/edit?usp=sharing  #gid=0"",""фіз особи new!relations_name_uo""),7,FALSE)
,
)
))"),"#N/A")</f>
        <v>#N/A</v>
      </c>
      <c r="J2587" s="7" t="s">
        <v>13</v>
      </c>
    </row>
    <row r="2588" spans="1:10" ht="13.2">
      <c r="A2588" s="7">
        <v>2587</v>
      </c>
      <c r="B2588" s="7">
        <v>1</v>
      </c>
      <c r="C2588" s="7" t="s">
        <v>10</v>
      </c>
      <c r="D2588" s="7">
        <v>740</v>
      </c>
      <c r="E2588" s="7" t="s">
        <v>12</v>
      </c>
      <c r="F2588" s="8" t="str">
        <f ca="1">IFERROR(__xludf.DUMMYFUNCTION("IF
(
C2589=""фізична особа""
,
VLOOKUP(D2589,IMPORTRANGE(""https://docs.google.com/spreadsheets/d/14Bd19lYaqBhU8_DElYkX7l4wRkHqqCUFNJY4AfY3kHU/edit?usp=sharing  #gid=0"",""фіз особи new!relations_name""),6,FALSE)
,
(IF
(
C2589=""юридична особа""
,
VLOOKUP"&amp;"(D2589,IMPORTRANGE(""https://docs.google.com/spreadsheets/d/14Bd19lYaqBhU8_DElYkX7l4wRkHqqCUFNJY4AfY3kHU/edit?usp=sharing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8" s="7" t="s">
        <v>10</v>
      </c>
      <c r="H2588" s="7">
        <v>0</v>
      </c>
      <c r="I2588" s="8" t="str">
        <f ca="1">IFERROR(__xludf.DUMMYFUNCTION("IF
(
G2589=""фізична особа""
,
VLOOKUP(H2589,IMPORTRANGE(""https://docs.google.com/spreadsheets/d/14Bd19lYaqBhU8_DElYkX7l4wRkHqqCUFNJY4AfY3kHU/edit?usp=sharing  #gid=0"",""фіз особи new!relations_name""),6,FALSE)
,
(IF
(
G2589=""юридична особа""
,
VLOOKUP"&amp;"(H2589,IMPORTRANGE(""https://docs.google.com/spreadsheets/d/14Bd19lYaqBhU8_DElYkX7l4wRkHqqCUFNJY4AfY3kHU/edit?usp=sharing  #gid=0"",""фіз особи new!relations_name_uo""),7,FALSE)
,
)
))"),"#N/A")</f>
        <v>#N/A</v>
      </c>
      <c r="J2588" s="7" t="s">
        <v>13</v>
      </c>
    </row>
    <row r="2589" spans="1:10" ht="13.2">
      <c r="A2589" s="7">
        <v>2588</v>
      </c>
      <c r="B2589" s="7">
        <v>1</v>
      </c>
      <c r="C2589" s="7" t="s">
        <v>10</v>
      </c>
      <c r="D2589" s="7">
        <v>740</v>
      </c>
      <c r="E2589" s="7" t="s">
        <v>28</v>
      </c>
      <c r="F2589" s="8" t="str">
        <f ca="1">IFERROR(__xludf.DUMMYFUNCTION("IF
(
C2590=""фізична особа""
,
VLOOKUP(D2590,IMPORTRANGE(""https://docs.google.com/spreadsheets/d/14Bd19lYaqBhU8_DElYkX7l4wRkHqqCUFNJY4AfY3kHU/edit?usp=sharing  #gid=0"",""фіз особи new!relations_name""),6,FALSE)
,
(IF
(
C2590=""юридична особа""
,
VLOOKUP"&amp;"(D2590,IMPORTRANGE(""https://docs.google.com/spreadsheets/d/14Bd19lYaqBhU8_DElYkX7l4wRkHqqCUFNJY4AfY3kHU/edit?usp=sharing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G2589" s="7" t="s">
        <v>10</v>
      </c>
      <c r="H2589" s="7">
        <v>430</v>
      </c>
      <c r="I2589" s="8" t="str">
        <f ca="1">IFERROR(__xludf.DUMMYFUNCTION("IF
(
G2590=""фізична особа""
,
VLOOKUP(H2590,IMPORTRANGE(""https://docs.google.com/spreadsheets/d/14Bd19lYaqBhU8_DElYkX7l4wRkHqqCUFNJY4AfY3kHU/edit?usp=sharing  #gid=0"",""фіз особи new!relations_name""),6,FALSE)
,
(IF
(
G2590=""юридична особа""
,
VLOOKUP"&amp;"(H2590,IMPORTRANGE(""https://docs.google.com/spreadsheets/d/14Bd19lYaqBhU8_DElYkX7l4wRkHqqCUFNJY4AfY3kHU/edit?usp=sharing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2589" s="7" t="s">
        <v>29</v>
      </c>
    </row>
    <row r="2590" spans="1:10" ht="13.2">
      <c r="A2590" s="7">
        <v>2589</v>
      </c>
      <c r="B2590" s="7">
        <v>1</v>
      </c>
      <c r="C2590" s="7" t="s">
        <v>10</v>
      </c>
      <c r="D2590" s="7">
        <v>741</v>
      </c>
      <c r="E2590" s="7" t="s">
        <v>16</v>
      </c>
      <c r="F2590" s="8" t="str">
        <f ca="1">IFERROR(__xludf.DUMMYFUNCTION("IF
(
C2591=""фізична особа""
,
VLOOKUP(D2591,IMPORTRANGE(""https://docs.google.com/spreadsheets/d/14Bd19lYaqBhU8_DElYkX7l4wRkHqqCUFNJY4AfY3kHU/edit?usp=sharing  #gid=0"",""фіз особи new!relations_name""),6,FALSE)
,
(IF
(
C2591=""юридична особа""
,
VLOOKUP"&amp;"(D2591,IMPORTRANGE(""https://docs.google.com/spreadsheets/d/14Bd19lYaqBhU8_DElYkX7l4wRkHqqCUFNJY4AfY3kHU/edit?usp=sharing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0" s="7" t="s">
        <v>10</v>
      </c>
      <c r="H2590" s="7">
        <v>0</v>
      </c>
      <c r="I2590" s="8" t="str">
        <f ca="1">IFERROR(__xludf.DUMMYFUNCTION("IF
(
G2591=""фізична особа""
,
VLOOKUP(H2591,IMPORTRANGE(""https://docs.google.com/spreadsheets/d/14Bd19lYaqBhU8_DElYkX7l4wRkHqqCUFNJY4AfY3kHU/edit?usp=sharing  #gid=0"",""фіз особи new!relations_name""),6,FALSE)
,
(IF
(
G2591=""юридична особа""
,
VLOOKUP"&amp;"(H2591,IMPORTRANGE(""https://docs.google.com/spreadsheets/d/14Bd19lYaqBhU8_DElYkX7l4wRkHqqCUFNJY4AfY3kHU/edit?usp=sharing  #gid=0"",""фіз особи new!relations_name_uo""),7,FALSE)
,
)
))"),"#N/A")</f>
        <v>#N/A</v>
      </c>
      <c r="J2590" s="7" t="s">
        <v>16</v>
      </c>
    </row>
    <row r="2591" spans="1:10" ht="13.2">
      <c r="A2591" s="7">
        <v>2590</v>
      </c>
      <c r="B2591" s="7">
        <v>1</v>
      </c>
      <c r="C2591" s="7" t="s">
        <v>10</v>
      </c>
      <c r="D2591" s="7">
        <v>741</v>
      </c>
      <c r="E2591" s="7" t="s">
        <v>30</v>
      </c>
      <c r="F2591" s="8" t="str">
        <f ca="1">IFERROR(__xludf.DUMMYFUNCTION("IF
(
C2592=""фізична особа""
,
VLOOKUP(D2592,IMPORTRANGE(""https://docs.google.com/spreadsheets/d/14Bd19lYaqBhU8_DElYkX7l4wRkHqqCUFNJY4AfY3kHU/edit?usp=sharing  #gid=0"",""фіз особи new!relations_name""),6,FALSE)
,
(IF
(
C2592=""юридична особа""
,
VLOOKUP"&amp;"(D2592,IMPORTRANGE(""https://docs.google.com/spreadsheets/d/14Bd19lYaqBhU8_DElYkX7l4wRkHqqCUFNJY4AfY3kHU/edit?usp=sharing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1" s="7" t="s">
        <v>10</v>
      </c>
      <c r="H2591" s="7">
        <v>0</v>
      </c>
      <c r="I2591" s="8" t="str">
        <f ca="1">IFERROR(__xludf.DUMMYFUNCTION("IF
(
G2592=""фізична особа""
,
VLOOKUP(H2592,IMPORTRANGE(""https://docs.google.com/spreadsheets/d/14Bd19lYaqBhU8_DElYkX7l4wRkHqqCUFNJY4AfY3kHU/edit?usp=sharing  #gid=0"",""фіз особи new!relations_name""),6,FALSE)
,
(IF
(
G2592=""юридична особа""
,
VLOOKUP"&amp;"(H2592,IMPORTRANGE(""https://docs.google.com/spreadsheets/d/14Bd19lYaqBhU8_DElYkX7l4wRkHqqCUFNJY4AfY3kHU/edit?usp=sharing  #gid=0"",""фіз особи new!relations_name_uo""),7,FALSE)
,
)
))"),"#N/A")</f>
        <v>#N/A</v>
      </c>
      <c r="J2591" s="7" t="s">
        <v>30</v>
      </c>
    </row>
    <row r="2592" spans="1:10" ht="13.2">
      <c r="A2592" s="7">
        <v>2591</v>
      </c>
      <c r="B2592" s="7">
        <v>1</v>
      </c>
      <c r="C2592" s="7" t="s">
        <v>10</v>
      </c>
      <c r="D2592" s="7">
        <v>741</v>
      </c>
      <c r="E2592" s="7" t="s">
        <v>12</v>
      </c>
      <c r="F2592" s="8" t="str">
        <f ca="1">IFERROR(__xludf.DUMMYFUNCTION("IF
(
C2593=""фізична особа""
,
VLOOKUP(D2593,IMPORTRANGE(""https://docs.google.com/spreadsheets/d/14Bd19lYaqBhU8_DElYkX7l4wRkHqqCUFNJY4AfY3kHU/edit?usp=sharing  #gid=0"",""фіз особи new!relations_name""),6,FALSE)
,
(IF
(
C2593=""юридична особа""
,
VLOOKUP"&amp;"(D2593,IMPORTRANGE(""https://docs.google.com/spreadsheets/d/14Bd19lYaqBhU8_DElYkX7l4wRkHqqCUFNJY4AfY3kHU/edit?usp=sharing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2" s="7" t="s">
        <v>10</v>
      </c>
      <c r="H2592" s="7">
        <v>4369</v>
      </c>
      <c r="I2592" s="8" t="str">
        <f ca="1">IFERROR(__xludf.DUMMYFUNCTION("IF
(
G2593=""фізична особа""
,
VLOOKUP(H2593,IMPORTRANGE(""https://docs.google.com/spreadsheets/d/14Bd19lYaqBhU8_DElYkX7l4wRkHqqCUFNJY4AfY3kHU/edit?usp=sharing  #gid=0"",""фіз особи new!relations_name""),6,FALSE)
,
(IF
(
G2593=""юридична особа""
,
VLOOKUP"&amp;"(H2593,IMPORTRANGE(""https://docs.google.com/spreadsheets/d/14Bd19lYaqBhU8_DElYkX7l4wRkHqqCUFNJY4AfY3kHU/edit?usp=sharing  #gid=0"",""фіз особи new!relations_name_uo""),7,FALSE)
,
)
))"),"КЕРІМОВ Саїд Сулейманович")</f>
        <v>КЕРІМОВ Саїд Сулейманович</v>
      </c>
      <c r="J2592" s="7" t="s">
        <v>17</v>
      </c>
    </row>
    <row r="2593" spans="1:10" ht="13.2">
      <c r="A2593" s="7">
        <v>2592</v>
      </c>
      <c r="B2593" s="7">
        <v>1</v>
      </c>
      <c r="C2593" s="7" t="s">
        <v>10</v>
      </c>
      <c r="D2593" s="7">
        <v>741</v>
      </c>
      <c r="E2593" s="7" t="s">
        <v>12</v>
      </c>
      <c r="F2593" s="8" t="str">
        <f ca="1">IFERROR(__xludf.DUMMYFUNCTION("IF
(
C2594=""фізична особа""
,
VLOOKUP(D2594,IMPORTRANGE(""https://docs.google.com/spreadsheets/d/14Bd19lYaqBhU8_DElYkX7l4wRkHqqCUFNJY4AfY3kHU/edit?usp=sharing  #gid=0"",""фіз особи new!relations_name""),6,FALSE)
,
(IF
(
C2594=""юридична особа""
,
VLOOKUP"&amp;"(D2594,IMPORTRANGE(""https://docs.google.com/spreadsheets/d/14Bd19lYaqBhU8_DElYkX7l4wRkHqqCUFNJY4AfY3kHU/edit?usp=sharing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3" s="7" t="s">
        <v>10</v>
      </c>
      <c r="H2593" s="7">
        <v>0</v>
      </c>
      <c r="I2593" s="8" t="str">
        <f ca="1">IFERROR(__xludf.DUMMYFUNCTION("IF
(
G2594=""фізична особа""
,
VLOOKUP(H2594,IMPORTRANGE(""https://docs.google.com/spreadsheets/d/14Bd19lYaqBhU8_DElYkX7l4wRkHqqCUFNJY4AfY3kHU/edit?usp=sharing  #gid=0"",""фіз особи new!relations_name""),6,FALSE)
,
(IF
(
G2594=""юридична особа""
,
VLOOKUP"&amp;"(H2594,IMPORTRANGE(""https://docs.google.com/spreadsheets/d/14Bd19lYaqBhU8_DElYkX7l4wRkHqqCUFNJY4AfY3kHU/edit?usp=sharing  #gid=0"",""фіз особи new!relations_name_uo""),7,FALSE)
,
)
))"),"#N/A")</f>
        <v>#N/A</v>
      </c>
      <c r="J2593" s="7" t="s">
        <v>13</v>
      </c>
    </row>
    <row r="2594" spans="1:10" ht="13.2">
      <c r="A2594" s="7">
        <v>2593</v>
      </c>
      <c r="B2594" s="7">
        <v>1</v>
      </c>
      <c r="C2594" s="7" t="s">
        <v>10</v>
      </c>
      <c r="D2594" s="7">
        <v>741</v>
      </c>
      <c r="E2594" s="7" t="s">
        <v>12</v>
      </c>
      <c r="F2594" s="8" t="str">
        <f ca="1">IFERROR(__xludf.DUMMYFUNCTION("IF
(
C2595=""фізична особа""
,
VLOOKUP(D2595,IMPORTRANGE(""https://docs.google.com/spreadsheets/d/14Bd19lYaqBhU8_DElYkX7l4wRkHqqCUFNJY4AfY3kHU/edit?usp=sharing  #gid=0"",""фіз особи new!relations_name""),6,FALSE)
,
(IF
(
C2595=""юридична особа""
,
VLOOKUP"&amp;"(D2595,IMPORTRANGE(""https://docs.google.com/spreadsheets/d/14Bd19lYaqBhU8_DElYkX7l4wRkHqqCUFNJY4AfY3kHU/edit?usp=sharing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4" s="7" t="s">
        <v>10</v>
      </c>
      <c r="H2594" s="7">
        <v>0</v>
      </c>
      <c r="I2594" s="8" t="str">
        <f ca="1">IFERROR(__xludf.DUMMYFUNCTION("IF
(
G2595=""фізична особа""
,
VLOOKUP(H2595,IMPORTRANGE(""https://docs.google.com/spreadsheets/d/14Bd19lYaqBhU8_DElYkX7l4wRkHqqCUFNJY4AfY3kHU/edit?usp=sharing  #gid=0"",""фіз особи new!relations_name""),6,FALSE)
,
(IF
(
G2595=""юридична особа""
,
VLOOKUP"&amp;"(H2595,IMPORTRANGE(""https://docs.google.com/spreadsheets/d/14Bd19lYaqBhU8_DElYkX7l4wRkHqqCUFNJY4AfY3kHU/edit?usp=sharing  #gid=0"",""фіз особи new!relations_name_uo""),7,FALSE)
,
)
))"),"#N/A")</f>
        <v>#N/A</v>
      </c>
      <c r="J2594" s="7" t="s">
        <v>13</v>
      </c>
    </row>
    <row r="2595" spans="1:10" ht="13.2">
      <c r="A2595" s="7">
        <v>2594</v>
      </c>
      <c r="B2595" s="7">
        <v>1</v>
      </c>
      <c r="C2595" s="7" t="s">
        <v>10</v>
      </c>
      <c r="D2595" s="7">
        <v>741</v>
      </c>
      <c r="E2595" s="7" t="s">
        <v>14</v>
      </c>
      <c r="F2595" s="8" t="str">
        <f ca="1">IFERROR(__xludf.DUMMYFUNCTION("IF
(
C2596=""фізична особа""
,
VLOOKUP(D2596,IMPORTRANGE(""https://docs.google.com/spreadsheets/d/14Bd19lYaqBhU8_DElYkX7l4wRkHqqCUFNJY4AfY3kHU/edit?usp=sharing  #gid=0"",""фіз особи new!relations_name""),6,FALSE)
,
(IF
(
C2596=""юридична особа""
,
VLOOKUP"&amp;"(D2596,IMPORTRANGE(""https://docs.google.com/spreadsheets/d/14Bd19lYaqBhU8_DElYkX7l4wRkHqqCUFNJY4AfY3kHU/edit?usp=sharing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5" s="7" t="s">
        <v>10</v>
      </c>
      <c r="H2595" s="7">
        <v>0</v>
      </c>
      <c r="I2595" s="8" t="str">
        <f ca="1">IFERROR(__xludf.DUMMYFUNCTION("IF
(
G2596=""фізична особа""
,
VLOOKUP(H2596,IMPORTRANGE(""https://docs.google.com/spreadsheets/d/14Bd19lYaqBhU8_DElYkX7l4wRkHqqCUFNJY4AfY3kHU/edit?usp=sharing  #gid=0"",""фіз особи new!relations_name""),6,FALSE)
,
(IF
(
G2596=""юридична особа""
,
VLOOKUP"&amp;"(H2596,IMPORTRANGE(""https://docs.google.com/spreadsheets/d/14Bd19lYaqBhU8_DElYkX7l4wRkHqqCUFNJY4AfY3kHU/edit?usp=sharing  #gid=0"",""фіз особи new!relations_name_uo""),7,FALSE)
,
)
))"),"#N/A")</f>
        <v>#N/A</v>
      </c>
      <c r="J2595" s="7" t="s">
        <v>15</v>
      </c>
    </row>
    <row r="2596" spans="1:10" ht="13.2">
      <c r="A2596" s="7">
        <v>2595</v>
      </c>
      <c r="B2596" s="7">
        <v>1</v>
      </c>
      <c r="C2596" s="7" t="s">
        <v>10</v>
      </c>
      <c r="D2596" s="7">
        <v>741</v>
      </c>
      <c r="E2596" s="7" t="s">
        <v>19</v>
      </c>
      <c r="F2596" s="8" t="str">
        <f ca="1">IFERROR(__xludf.DUMMYFUNCTION("IF
(
C2597=""фізична особа""
,
VLOOKUP(D2597,IMPORTRANGE(""https://docs.google.com/spreadsheets/d/14Bd19lYaqBhU8_DElYkX7l4wRkHqqCUFNJY4AfY3kHU/edit?usp=sharing  #gid=0"",""фіз особи new!relations_name""),6,FALSE)
,
(IF
(
C2597=""юридична особа""
,
VLOOKUP"&amp;"(D2597,IMPORTRANGE(""https://docs.google.com/spreadsheets/d/14Bd19lYaqBhU8_DElYkX7l4wRkHqqCUFNJY4AfY3kHU/edit?usp=sharing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6" s="7" t="s">
        <v>10</v>
      </c>
      <c r="H2596" s="7">
        <v>639</v>
      </c>
      <c r="I2596" s="8" t="str">
        <f ca="1">IFERROR(__xludf.DUMMYFUNCTION("IF
(
G2597=""фізична особа""
,
VLOOKUP(H2597,IMPORTRANGE(""https://docs.google.com/spreadsheets/d/14Bd19lYaqBhU8_DElYkX7l4wRkHqqCUFNJY4AfY3kHU/edit?usp=sharing  #gid=0"",""фіз особи new!relations_name""),6,FALSE)
,
(IF
(
G2597=""юридична особа""
,
VLOOKUP"&amp;"(H2597,IMPORTRANGE(""https://docs.google.com/spreadsheets/d/14Bd19lYaqBhU8_DElYkX7l4wRkHqqCUFNJY4AfY3kHU/edit?usp=sharing  #gid=0"",""фіз особи new!relations_name_uo""),7,FALSE)
,
)
))"),"ГАДЖІЄВ Руслан Гаджійович")</f>
        <v>ГАДЖІЄВ Руслан Гаджійович</v>
      </c>
      <c r="J2596" s="7" t="s">
        <v>20</v>
      </c>
    </row>
    <row r="2597" spans="1:10" ht="13.2">
      <c r="A2597" s="7">
        <v>2596</v>
      </c>
      <c r="B2597" s="7">
        <v>1</v>
      </c>
      <c r="C2597" s="7" t="s">
        <v>10</v>
      </c>
      <c r="D2597" s="7">
        <v>741</v>
      </c>
      <c r="E2597" s="7" t="s">
        <v>20</v>
      </c>
      <c r="F2597" s="8" t="str">
        <f ca="1">IFERROR(__xludf.DUMMYFUNCTION("IF
(
C2598=""фізична особа""
,
VLOOKUP(D2598,IMPORTRANGE(""https://docs.google.com/spreadsheets/d/14Bd19lYaqBhU8_DElYkX7l4wRkHqqCUFNJY4AfY3kHU/edit?usp=sharing  #gid=0"",""фіз особи new!relations_name""),6,FALSE)
,
(IF
(
C2598=""юридична особа""
,
VLOOKUP"&amp;"(D2598,IMPORTRANGE(""https://docs.google.com/spreadsheets/d/14Bd19lYaqBhU8_DElYkX7l4wRkHqqCUFNJY4AfY3kHU/edit?usp=sharing  #gid=0"",""фіз особи new!relations_name_uo""),7,FALSE)
,
)
))"),"КЕРІМОВ Сулейман Абусаїдович")</f>
        <v>КЕРІМОВ Сулейман Абусаїдович</v>
      </c>
      <c r="G2597" s="7" t="s">
        <v>10</v>
      </c>
      <c r="H2597" s="7">
        <v>0</v>
      </c>
      <c r="I2597" s="8" t="str">
        <f ca="1">IFERROR(__xludf.DUMMYFUNCTION("IF
(
G2598=""фізична особа""
,
VLOOKUP(H2598,IMPORTRANGE(""https://docs.google.com/spreadsheets/d/14Bd19lYaqBhU8_DElYkX7l4wRkHqqCUFNJY4AfY3kHU/edit?usp=sharing  #gid=0"",""фіз особи new!relations_name""),6,FALSE)
,
(IF
(
G2598=""юридична особа""
,
VLOOKUP"&amp;"(H2598,IMPORTRANGE(""https://docs.google.com/spreadsheets/d/14Bd19lYaqBhU8_DElYkX7l4wRkHqqCUFNJY4AfY3kHU/edit?usp=sharing  #gid=0"",""фіз особи new!relations_name_uo""),7,FALSE)
,
)
))"),"#N/A")</f>
        <v>#N/A</v>
      </c>
      <c r="J2597" s="7" t="s">
        <v>19</v>
      </c>
    </row>
    <row r="2598" spans="1:10" ht="13.2">
      <c r="A2598" s="7">
        <v>2597</v>
      </c>
      <c r="B2598" s="7">
        <v>1</v>
      </c>
      <c r="C2598" s="7" t="s">
        <v>10</v>
      </c>
      <c r="D2598" s="7">
        <v>742</v>
      </c>
      <c r="E2598" s="7" t="s">
        <v>48</v>
      </c>
      <c r="F2598" s="8" t="str">
        <f ca="1">IFERROR(__xludf.DUMMYFUNCTION("IF
(
C2599=""фізична особа""
,
VLOOKUP(D2599,IMPORTRANGE(""https://docs.google.com/spreadsheets/d/14Bd19lYaqBhU8_DElYkX7l4wRkHqqCUFNJY4AfY3kHU/edit?usp=sharing  #gid=0"",""фіз особи new!relations_name""),6,FALSE)
,
(IF
(
C2599=""юридична особа""
,
VLOOKUP"&amp;"(D2599,IMPORTRANGE(""https://docs.google.com/spreadsheets/d/14Bd19lYaqBhU8_DElYkX7l4wRkHqqCUFNJY4AfY3kHU/edit?usp=sharing  #gid=0"",""фіз особи new!relations_name_uo""),7,FALSE)
,
)
))"),"САВЧЕНКО Світлана Борисівна")</f>
        <v>САВЧЕНКО Світлана Борисівна</v>
      </c>
      <c r="G2598" s="7" t="s">
        <v>10</v>
      </c>
      <c r="H2598" s="7">
        <v>844</v>
      </c>
      <c r="I2598" s="8" t="str">
        <f ca="1">IFERROR(__xludf.DUMMYFUNCTION("IF
(
G2599=""фізична особа""
,
VLOOKUP(H2599,IMPORTRANGE(""https://docs.google.com/spreadsheets/d/14Bd19lYaqBhU8_DElYkX7l4wRkHqqCUFNJY4AfY3kHU/edit?usp=sharing  #gid=0"",""фіз особи new!relations_name""),6,FALSE)
,
(IF
(
G2599=""юридична особа""
,
VLOOKUP"&amp;"(H2599,IMPORTRANGE(""https://docs.google.com/spreadsheets/d/14Bd19lYaqBhU8_DElYkX7l4wRkHqqCUFNJY4AfY3kHU/edit?usp=sharing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598" s="7" t="s">
        <v>48</v>
      </c>
    </row>
    <row r="2599" spans="1:10" ht="13.2">
      <c r="A2599" s="7">
        <v>2598</v>
      </c>
      <c r="B2599" s="7">
        <v>1</v>
      </c>
      <c r="C2599" s="7" t="s">
        <v>10</v>
      </c>
      <c r="D2599" s="7">
        <v>228</v>
      </c>
      <c r="E2599" s="7" t="s">
        <v>40</v>
      </c>
      <c r="F2599" s="8" t="str">
        <f ca="1">IFERROR(__xludf.DUMMYFUNCTION("IF
(
C2600=""фізична особа""
,
VLOOKUP(D2600,IMPORTRANGE(""https://docs.google.com/spreadsheets/d/14Bd19lYaqBhU8_DElYkX7l4wRkHqqCUFNJY4AfY3kHU/edit?usp=sharing  #gid=0"",""фіз особи new!relations_name""),6,FALSE)
,
(IF
(
C2600=""юридична особа""
,
VLOOKUP"&amp;"(D2600,IMPORTRANGE(""https://docs.google.com/spreadsheets/d/14Bd19lYaqBhU8_DElYkX7l4wRkHqqCUFNJY4AfY3kHU/edit?usp=sharing  #gid=0"",""фіз особи new!relations_name_uo""),7,FALSE)
,
)
))"),"КОСТЕНКО Олена Миколаївна")</f>
        <v>КОСТЕНКО Олена Миколаївна</v>
      </c>
      <c r="G2599" s="7" t="s">
        <v>10</v>
      </c>
      <c r="H2599" s="7">
        <v>23375</v>
      </c>
      <c r="I2599" s="8" t="str">
        <f ca="1">IFERROR(__xludf.DUMMYFUNCTION("IF
(
G2600=""фізична особа""
,
VLOOKUP(H2600,IMPORTRANGE(""https://docs.google.com/spreadsheets/d/14Bd19lYaqBhU8_DElYkX7l4wRkHqqCUFNJY4AfY3kHU/edit?usp=sharing  #gid=0"",""фіз особи new!relations_name""),6,FALSE)
,
(IF
(
G2600=""юридична особа""
,
VLOOKUP"&amp;"(H2600,IMPORTRANGE(""https://docs.google.com/spreadsheets/d/14Bd19lYaqBhU8_DElYkX7l4wRkHqqCUFNJY4AfY3kHU/edit?usp=sharing  #gid=0"",""фіз особи new!relations_name_uo""),7,FALSE)
,
)
))"),"ЦИПКАЛОВ Геннадій Миколайович")</f>
        <v>ЦИПКАЛОВ Геннадій Миколайович</v>
      </c>
      <c r="J2599" s="7" t="s">
        <v>41</v>
      </c>
    </row>
    <row r="2600" spans="1:10" ht="13.2">
      <c r="A2600" s="7">
        <v>2599</v>
      </c>
      <c r="B2600" s="7">
        <v>1</v>
      </c>
      <c r="C2600" s="7" t="s">
        <v>10</v>
      </c>
      <c r="D2600" s="7">
        <v>745</v>
      </c>
      <c r="E2600" s="7" t="s">
        <v>18</v>
      </c>
      <c r="F2600" s="8" t="str">
        <f ca="1">IFERROR(__xludf.DUMMYFUNCTION("IF
(
C2601=""фізична особа""
,
VLOOKUP(D2601,IMPORTRANGE(""https://docs.google.com/spreadsheets/d/14Bd19lYaqBhU8_DElYkX7l4wRkHqqCUFNJY4AfY3kHU/edit?usp=sharing  #gid=0"",""фіз особи new!relations_name""),6,FALSE)
,
(IF
(
C2601=""юридична особа""
,
VLOOKUP"&amp;"(D2601,IMPORTRANGE(""https://docs.google.com/spreadsheets/d/14Bd19lYaqBhU8_DElYkX7l4wRkHqqCUFNJY4AfY3kHU/edit?usp=sharing  #gid=0"",""фіз особи new!relations_name_uo""),7,FALSE)
,
)
))"),"ДВОЙНИХ Олександр Володимирович")</f>
        <v>ДВОЙНИХ Олександр Володимирович</v>
      </c>
      <c r="G2600" s="7" t="s">
        <v>10</v>
      </c>
      <c r="H2600" s="7">
        <v>0</v>
      </c>
      <c r="I2600" s="8" t="str">
        <f ca="1">IFERROR(__xludf.DUMMYFUNCTION("IF
(
G2601=""фізична особа""
,
VLOOKUP(H2601,IMPORTRANGE(""https://docs.google.com/spreadsheets/d/14Bd19lYaqBhU8_DElYkX7l4wRkHqqCUFNJY4AfY3kHU/edit?usp=sharing  #gid=0"",""фіз особи new!relations_name""),6,FALSE)
,
(IF
(
G2601=""юридична особа""
,
VLOOKUP"&amp;"(H2601,IMPORTRANGE(""https://docs.google.com/spreadsheets/d/14Bd19lYaqBhU8_DElYkX7l4wRkHqqCUFNJY4AfY3kHU/edit?usp=sharing  #gid=0"",""фіз особи new!relations_name_uo""),7,FALSE)
,
)
))"),"#N/A")</f>
        <v>#N/A</v>
      </c>
      <c r="J2600" s="7" t="s">
        <v>18</v>
      </c>
    </row>
    <row r="2601" spans="1:10" ht="13.2">
      <c r="A2601" s="7">
        <v>2600</v>
      </c>
      <c r="B2601" s="7">
        <v>1</v>
      </c>
      <c r="C2601" s="7" t="s">
        <v>10</v>
      </c>
      <c r="D2601" s="7">
        <v>745</v>
      </c>
      <c r="E2601" s="7" t="s">
        <v>48</v>
      </c>
      <c r="F2601" s="8" t="str">
        <f ca="1">IFERROR(__xludf.DUMMYFUNCTION("IF
(
C2602=""фізична особа""
,
VLOOKUP(D2602,IMPORTRANGE(""https://docs.google.com/spreadsheets/d/14Bd19lYaqBhU8_DElYkX7l4wRkHqqCUFNJY4AfY3kHU/edit?usp=sharing  #gid=0"",""фіз особи new!relations_name""),6,FALSE)
,
(IF
(
C2602=""юридична особа""
,
VLOOKUP"&amp;"(D2602,IMPORTRANGE(""https://docs.google.com/spreadsheets/d/14Bd19lYaqBhU8_DElYkX7l4wRkHqqCUFNJY4AfY3kHU/edit?usp=sharing  #gid=0"",""фіз особи new!relations_name_uo""),7,FALSE)
,
)
))"),"ДВОЙНИХ Олександр Володимирович")</f>
        <v>ДВОЙНИХ Олександр Володимирович</v>
      </c>
      <c r="G2601" s="7" t="s">
        <v>10</v>
      </c>
      <c r="H2601" s="7">
        <v>86</v>
      </c>
      <c r="I2601" s="8" t="str">
        <f ca="1">IFERROR(__xludf.DUMMYFUNCTION("IF
(
G2602=""фізична особа""
,
VLOOKUP(H2602,IMPORTRANGE(""https://docs.google.com/spreadsheets/d/14Bd19lYaqBhU8_DElYkX7l4wRkHqqCUFNJY4AfY3kHU/edit?usp=sharing  #gid=0"",""фіз особи new!relations_name""),6,FALSE)
,
(IF
(
G2602=""юридична особа""
,
VLOOKUP"&amp;"(H2602,IMPORTRANGE(""https://docs.google.com/spreadsheets/d/14Bd19lYaqBhU8_DElYkX7l4wRkHqqCUFNJY4AfY3kHU/edit?usp=sharing  #gid=0"",""фіз особи new!relations_name_uo""),7,FALSE)
,
)
))"),"ВОРОБЙОВ Андрій Вікторович")</f>
        <v>ВОРОБЙОВ Андрій Вікторович</v>
      </c>
      <c r="J2601" s="7" t="s">
        <v>48</v>
      </c>
    </row>
    <row r="2602" spans="1:10" ht="13.2">
      <c r="A2602" s="7">
        <v>2601</v>
      </c>
      <c r="B2602" s="7">
        <v>1</v>
      </c>
      <c r="C2602" s="7" t="s">
        <v>10</v>
      </c>
      <c r="D2602" s="7">
        <v>745</v>
      </c>
      <c r="E2602" s="7" t="s">
        <v>48</v>
      </c>
      <c r="F2602" s="8" t="str">
        <f ca="1">IFERROR(__xludf.DUMMYFUNCTION("IF
(
C2603=""фізична особа""
,
VLOOKUP(D2603,IMPORTRANGE(""https://docs.google.com/spreadsheets/d/14Bd19lYaqBhU8_DElYkX7l4wRkHqqCUFNJY4AfY3kHU/edit?usp=sharing  #gid=0"",""фіз особи new!relations_name""),6,FALSE)
,
(IF
(
C2603=""юридична особа""
,
VLOOKUP"&amp;"(D2603,IMPORTRANGE(""https://docs.google.com/spreadsheets/d/14Bd19lYaqBhU8_DElYkX7l4wRkHqqCUFNJY4AfY3kHU/edit?usp=sharing  #gid=0"",""фіз особи new!relations_name_uo""),7,FALSE)
,
)
))"),"ДВОЙНИХ Олександр Володимирович")</f>
        <v>ДВОЙНИХ Олександр Володимирович</v>
      </c>
      <c r="G2602" s="7" t="s">
        <v>10</v>
      </c>
      <c r="H2602" s="7">
        <v>8671</v>
      </c>
      <c r="I2602" s="8" t="str">
        <f ca="1">IFERROR(__xludf.DUMMYFUNCTION("IF
(
G2603=""фізична особа""
,
VLOOKUP(H2603,IMPORTRANGE(""https://docs.google.com/spreadsheets/d/14Bd19lYaqBhU8_DElYkX7l4wRkHqqCUFNJY4AfY3kHU/edit?usp=sharing  #gid=0"",""фіз особи new!relations_name""),6,FALSE)
,
(IF
(
G2603=""юридична особа""
,
VLOOKUP"&amp;"(H2603,IMPORTRANGE(""https://docs.google.com/spreadsheets/d/14Bd19lYaqBhU8_DElYkX7l4wRkHqqCUFNJY4AfY3kHU/edit?usp=sharing  #gid=0"",""фіз особи new!relations_name_uo""),7,FALSE)
,
)
))"),"ГРОМОВ Борис Всеволодович")</f>
        <v>ГРОМОВ Борис Всеволодович</v>
      </c>
      <c r="J2602" s="7" t="s">
        <v>48</v>
      </c>
    </row>
    <row r="2603" spans="1:10" ht="13.2">
      <c r="A2603" s="7">
        <v>2602</v>
      </c>
      <c r="B2603" s="7">
        <v>1</v>
      </c>
      <c r="C2603" s="7" t="s">
        <v>10</v>
      </c>
      <c r="D2603" s="7">
        <v>745</v>
      </c>
      <c r="E2603" s="7" t="s">
        <v>48</v>
      </c>
      <c r="F2603" s="8" t="str">
        <f ca="1">IFERROR(__xludf.DUMMYFUNCTION("IF
(
C2604=""фізична особа""
,
VLOOKUP(D2604,IMPORTRANGE(""https://docs.google.com/spreadsheets/d/14Bd19lYaqBhU8_DElYkX7l4wRkHqqCUFNJY4AfY3kHU/edit?usp=sharing  #gid=0"",""фіз особи new!relations_name""),6,FALSE)
,
(IF
(
C2604=""юридична особа""
,
VLOOKUP"&amp;"(D2604,IMPORTRANGE(""https://docs.google.com/spreadsheets/d/14Bd19lYaqBhU8_DElYkX7l4wRkHqqCUFNJY4AfY3kHU/edit?usp=sharing  #gid=0"",""фіз особи new!relations_name_uo""),7,FALSE)
,
)
))"),"ДВОЙНИХ Олександр Володимирович")</f>
        <v>ДВОЙНИХ Олександр Володимирович</v>
      </c>
      <c r="G2603" s="7" t="s">
        <v>10</v>
      </c>
      <c r="H2603" s="7">
        <v>670</v>
      </c>
      <c r="I2603" s="8" t="str">
        <f ca="1">IFERROR(__xludf.DUMMYFUNCTION("IF
(
G2604=""фізична особа""
,
VLOOKUP(H2604,IMPORTRANGE(""https://docs.google.com/spreadsheets/d/14Bd19lYaqBhU8_DElYkX7l4wRkHqqCUFNJY4AfY3kHU/edit?usp=sharing  #gid=0"",""фіз особи new!relations_name""),6,FALSE)
,
(IF
(
G2604=""юридична особа""
,
VLOOKUP"&amp;"(H2604,IMPORTRANGE(""https://docs.google.com/spreadsheets/d/14Bd19lYaqBhU8_DElYkX7l4wRkHqqCUFNJY4AfY3kHU/edit?usp=sharing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603" s="7" t="s">
        <v>48</v>
      </c>
    </row>
    <row r="2604" spans="1:10" ht="13.2">
      <c r="A2604" s="7">
        <v>2603</v>
      </c>
      <c r="B2604" s="7">
        <v>1</v>
      </c>
      <c r="C2604" s="7" t="s">
        <v>10</v>
      </c>
      <c r="D2604" s="7">
        <v>746</v>
      </c>
      <c r="E2604" s="7" t="s">
        <v>15</v>
      </c>
      <c r="F2604" s="8" t="str">
        <f ca="1">IFERROR(__xludf.DUMMYFUNCTION("IF
(
C2605=""фізична особа""
,
VLOOKUP(D2605,IMPORTRANGE(""https://docs.google.com/spreadsheets/d/14Bd19lYaqBhU8_DElYkX7l4wRkHqqCUFNJY4AfY3kHU/edit?usp=sharing  #gid=0"",""фіз особи new!relations_name""),6,FALSE)
,
(IF
(
C2605=""юридична особа""
,
VLOOKUP"&amp;"(D2605,IMPORTRANGE(""https://docs.google.com/spreadsheets/d/14Bd19lYaqBhU8_DElYkX7l4wRkHqqCUFNJY4AfY3kHU/edit?usp=sharing  #gid=0"",""фіз особи new!relations_name_uo""),7,FALSE)
,
)
))"),"ГОРЯЧЄВА Світлана Петрівна")</f>
        <v>ГОРЯЧЄВА Світлана Петрівна</v>
      </c>
      <c r="G2604" s="7" t="s">
        <v>10</v>
      </c>
      <c r="H2604" s="7">
        <v>8639</v>
      </c>
      <c r="I2604" s="8" t="str">
        <f ca="1">IFERROR(__xludf.DUMMYFUNCTION("IF
(
G2605=""фізична особа""
,
VLOOKUP(H2605,IMPORTRANGE(""https://docs.google.com/spreadsheets/d/14Bd19lYaqBhU8_DElYkX7l4wRkHqqCUFNJY4AfY3kHU/edit?usp=sharing  #gid=0"",""фіз особи new!relations_name""),6,FALSE)
,
(IF
(
G2605=""юридична особа""
,
VLOOKUP"&amp;"(H2605,IMPORTRANGE(""https://docs.google.com/spreadsheets/d/14Bd19lYaqBhU8_DElYkX7l4wRkHqqCUFNJY4AfY3kHU/edit?usp=sharing  #gid=0"",""фіз особи new!relations_name_uo""),7,FALSE)
,
)
))"),"ГОРЯЧЕВ Леонід Васильович")</f>
        <v>ГОРЯЧЕВ Леонід Васильович</v>
      </c>
      <c r="J2604" s="7" t="s">
        <v>14</v>
      </c>
    </row>
    <row r="2605" spans="1:10" ht="13.2">
      <c r="A2605" s="7">
        <v>2604</v>
      </c>
      <c r="B2605" s="7">
        <v>1</v>
      </c>
      <c r="C2605" s="7" t="s">
        <v>10</v>
      </c>
      <c r="D2605" s="7">
        <v>746</v>
      </c>
      <c r="E2605" s="7" t="s">
        <v>21</v>
      </c>
      <c r="F2605" s="8" t="str">
        <f ca="1">IFERROR(__xludf.DUMMYFUNCTION("IF
(
C2606=""фізична особа""
,
VLOOKUP(D2606,IMPORTRANGE(""https://docs.google.com/spreadsheets/d/14Bd19lYaqBhU8_DElYkX7l4wRkHqqCUFNJY4AfY3kHU/edit?usp=sharing  #gid=0"",""фіз особи new!relations_name""),6,FALSE)
,
(IF
(
C2606=""юридична особа""
,
VLOOKUP"&amp;"(D2606,IMPORTRANGE(""https://docs.google.com/spreadsheets/d/14Bd19lYaqBhU8_DElYkX7l4wRkHqqCUFNJY4AfY3kHU/edit?usp=sharing  #gid=0"",""фіз особи new!relations_name_uo""),7,FALSE)
,
)
))"),"ГОРЯЧЄВА Світлана Петрівна")</f>
        <v>ГОРЯЧЄВА Світлана Петрівна</v>
      </c>
      <c r="G2605" s="7" t="s">
        <v>10</v>
      </c>
      <c r="H2605" s="7">
        <v>0</v>
      </c>
      <c r="I2605" s="8" t="str">
        <f ca="1">IFERROR(__xludf.DUMMYFUNCTION("IF
(
G2606=""фізична особа""
,
VLOOKUP(H2606,IMPORTRANGE(""https://docs.google.com/spreadsheets/d/14Bd19lYaqBhU8_DElYkX7l4wRkHqqCUFNJY4AfY3kHU/edit?usp=sharing  #gid=0"",""фіз особи new!relations_name""),6,FALSE)
,
(IF
(
G2606=""юридична особа""
,
VLOOKUP"&amp;"(H2606,IMPORTRANGE(""https://docs.google.com/spreadsheets/d/14Bd19lYaqBhU8_DElYkX7l4wRkHqqCUFNJY4AfY3kHU/edit?usp=sharing  #gid=0"",""фіз особи new!relations_name_uo""),7,FALSE)
,
)
))"),"#N/A")</f>
        <v>#N/A</v>
      </c>
      <c r="J2605" s="7" t="s">
        <v>17</v>
      </c>
    </row>
    <row r="2606" spans="1:10" ht="13.2">
      <c r="A2606" s="7">
        <v>2605</v>
      </c>
      <c r="B2606" s="7">
        <v>1</v>
      </c>
      <c r="C2606" s="7" t="s">
        <v>10</v>
      </c>
      <c r="D2606" s="7">
        <v>746</v>
      </c>
      <c r="E2606" s="7" t="s">
        <v>48</v>
      </c>
      <c r="F2606" s="8" t="str">
        <f ca="1">IFERROR(__xludf.DUMMYFUNCTION("IF
(
C2607=""фізична особа""
,
VLOOKUP(D2607,IMPORTRANGE(""https://docs.google.com/spreadsheets/d/14Bd19lYaqBhU8_DElYkX7l4wRkHqqCUFNJY4AfY3kHU/edit?usp=sharing  #gid=0"",""фіз особи new!relations_name""),6,FALSE)
,
(IF
(
C2607=""юридична особа""
,
VLOOKUP"&amp;"(D2607,IMPORTRANGE(""https://docs.google.com/spreadsheets/d/14Bd19lYaqBhU8_DElYkX7l4wRkHqqCUFNJY4AfY3kHU/edit?usp=sharing  #gid=0"",""фіз особи new!relations_name_uo""),7,FALSE)
,
)
))"),"ГОРЯЧЄВА Світлана Петрівна")</f>
        <v>ГОРЯЧЄВА Світлана Петрівна</v>
      </c>
      <c r="G2606" s="7" t="s">
        <v>10</v>
      </c>
      <c r="H2606" s="7">
        <v>0</v>
      </c>
      <c r="I2606" s="8" t="str">
        <f ca="1">IFERROR(__xludf.DUMMYFUNCTION("IF
(
G2607=""фізична особа""
,
VLOOKUP(H2607,IMPORTRANGE(""https://docs.google.com/spreadsheets/d/14Bd19lYaqBhU8_DElYkX7l4wRkHqqCUFNJY4AfY3kHU/edit?usp=sharing  #gid=0"",""фіз особи new!relations_name""),6,FALSE)
,
(IF
(
G2607=""юридична особа""
,
VLOOKUP"&amp;"(H2607,IMPORTRANGE(""https://docs.google.com/spreadsheets/d/14Bd19lYaqBhU8_DElYkX7l4wRkHqqCUFNJY4AfY3kHU/edit?usp=sharing  #gid=0"",""фіз особи new!relations_name_uo""),7,FALSE)
,
)
))"),"#N/A")</f>
        <v>#N/A</v>
      </c>
      <c r="J2606" s="7" t="s">
        <v>48</v>
      </c>
    </row>
    <row r="2607" spans="1:10" ht="13.2">
      <c r="A2607" s="7">
        <v>2606</v>
      </c>
      <c r="B2607" s="7">
        <v>1</v>
      </c>
      <c r="C2607" s="7" t="s">
        <v>10</v>
      </c>
      <c r="D2607" s="7">
        <v>747</v>
      </c>
      <c r="E2607" s="7" t="s">
        <v>28</v>
      </c>
      <c r="F2607" s="8" t="str">
        <f ca="1">IFERROR(__xludf.DUMMYFUNCTION("IF
(
C2608=""фізична особа""
,
VLOOKUP(D2608,IMPORTRANGE(""https://docs.google.com/spreadsheets/d/14Bd19lYaqBhU8_DElYkX7l4wRkHqqCUFNJY4AfY3kHU/edit?usp=sharing  #gid=0"",""фіз особи new!relations_name""),6,FALSE)
,
(IF
(
C2608=""юридична особа""
,
VLOOKUP"&amp;"(D2608,IMPORTRANGE(""https://docs.google.com/spreadsheets/d/14Bd19lYaqBhU8_DElYkX7l4wRkHqqCUFNJY4AfY3kHU/edit?usp=sharing  #gid=0"",""фіз особи new!relations_name_uo""),7,FALSE)
,
)
))"),"ПОДЛІПАЄВА Світлана Миколаївна")</f>
        <v>ПОДЛІПАЄВА Світлана Миколаївна</v>
      </c>
      <c r="G2607" s="7" t="s">
        <v>10</v>
      </c>
      <c r="H2607" s="7">
        <v>653</v>
      </c>
      <c r="I2607" s="8" t="str">
        <f ca="1">IFERROR(__xludf.DUMMYFUNCTION("IF
(
G2608=""фізична особа""
,
VLOOKUP(H2608,IMPORTRANGE(""https://docs.google.com/spreadsheets/d/14Bd19lYaqBhU8_DElYkX7l4wRkHqqCUFNJY4AfY3kHU/edit?usp=sharing  #gid=0"",""фіз особи new!relations_name""),6,FALSE)
,
(IF
(
G2608=""юридична особа""
,
VLOOKUP"&amp;"(H2608,IMPORTRANGE(""https://docs.google.com/spreadsheets/d/14Bd19lYaqBhU8_DElYkX7l4wRkHqqCUFNJY4AfY3kHU/edit?usp=sharing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J2607" s="7" t="s">
        <v>29</v>
      </c>
    </row>
    <row r="2608" spans="1:10" ht="13.2">
      <c r="A2608" s="7">
        <v>2607</v>
      </c>
      <c r="B2608" s="7">
        <v>1</v>
      </c>
      <c r="C2608" s="7" t="s">
        <v>10</v>
      </c>
      <c r="D2608" s="7">
        <v>749</v>
      </c>
      <c r="E2608" s="7" t="s">
        <v>48</v>
      </c>
      <c r="F2608" s="8" t="str">
        <f ca="1">IFERROR(__xludf.DUMMYFUNCTION("IF
(
C2609=""фізична особа""
,
VLOOKUP(D2609,IMPORTRANGE(""https://docs.google.com/spreadsheets/d/14Bd19lYaqBhU8_DElYkX7l4wRkHqqCUFNJY4AfY3kHU/edit?usp=sharing  #gid=0"",""фіз особи new!relations_name""),6,FALSE)
,
(IF
(
C2609=""юридична особа""
,
VLOOKUP"&amp;"(D2609,IMPORTRANGE(""https://docs.google.com/spreadsheets/d/14Bd19lYaqBhU8_DElYkX7l4wRkHqqCUFNJY4AfY3kHU/edit?usp=sharing  #gid=0"",""фіз особи new!relations_name_uo""),7,FALSE)
,
)
))"),"РАЗВОРОТНЕВА Світлана Вікторівна")</f>
        <v>РАЗВОРОТНЕВА Світлана Вікторівна</v>
      </c>
      <c r="G2608" s="7" t="s">
        <v>10</v>
      </c>
      <c r="H2608" s="7">
        <v>2467</v>
      </c>
      <c r="I2608" s="8" t="str">
        <f ca="1">IFERROR(__xludf.DUMMYFUNCTION("IF
(
G2609=""фізична особа""
,
VLOOKUP(H2609,IMPORTRANGE(""https://docs.google.com/spreadsheets/d/14Bd19lYaqBhU8_DElYkX7l4wRkHqqCUFNJY4AfY3kHU/edit?usp=sharing  #gid=0"",""фіз особи new!relations_name""),6,FALSE)
,
(IF
(
G2609=""юридична особа""
,
VLOOKUP"&amp;"(H2609,IMPORTRANGE(""https://docs.google.com/spreadsheets/d/14Bd19lYaqBhU8_DElYkX7l4wRkHqqCUFNJY4AfY3kHU/edit?usp=sharing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J2608" s="7" t="s">
        <v>48</v>
      </c>
    </row>
    <row r="2609" spans="1:10" ht="13.2">
      <c r="A2609" s="7">
        <v>2608</v>
      </c>
      <c r="B2609" s="7">
        <v>1</v>
      </c>
      <c r="C2609" s="7" t="s">
        <v>10</v>
      </c>
      <c r="D2609" s="7">
        <v>750</v>
      </c>
      <c r="E2609" s="7" t="s">
        <v>21</v>
      </c>
      <c r="F2609" s="8" t="str">
        <f ca="1">IFERROR(__xludf.DUMMYFUNCTION("IF
(
C2610=""фізична особа""
,
VLOOKUP(D2610,IMPORTRANGE(""https://docs.google.com/spreadsheets/d/14Bd19lYaqBhU8_DElYkX7l4wRkHqqCUFNJY4AfY3kHU/edit?usp=sharing  #gid=0"",""фіз особи new!relations_name""),6,FALSE)
,
(IF
(
C2610=""юридична особа""
,
VLOOKUP"&amp;"(D2610,IMPORTRANGE(""https://docs.google.com/spreadsheets/d/14Bd19lYaqBhU8_DElYkX7l4wRkHqqCUFNJY4AfY3kHU/edit?usp=sharing  #gid=0"",""фіз особи new!relations_name_uo""),7,FALSE)
,
)
))"),"САВИЦЬКА Світлана Євгенівна")</f>
        <v>САВИЦЬКА Світлана Євгенівна</v>
      </c>
      <c r="G2609" s="7" t="s">
        <v>10</v>
      </c>
      <c r="H2609" s="7">
        <v>0</v>
      </c>
      <c r="I2609" s="8" t="str">
        <f ca="1">IFERROR(__xludf.DUMMYFUNCTION("IF
(
G2610=""фізична особа""
,
VLOOKUP(H2610,IMPORTRANGE(""https://docs.google.com/spreadsheets/d/14Bd19lYaqBhU8_DElYkX7l4wRkHqqCUFNJY4AfY3kHU/edit?usp=sharing  #gid=0"",""фіз особи new!relations_name""),6,FALSE)
,
(IF
(
G2610=""юридична особа""
,
VLOOKUP"&amp;"(H2610,IMPORTRANGE(""https://docs.google.com/spreadsheets/d/14Bd19lYaqBhU8_DElYkX7l4wRkHqqCUFNJY4AfY3kHU/edit?usp=sharing  #gid=0"",""фіз особи new!relations_name_uo""),7,FALSE)
,
)
))"),"#N/A")</f>
        <v>#N/A</v>
      </c>
      <c r="J2609" s="7" t="s">
        <v>17</v>
      </c>
    </row>
    <row r="2610" spans="1:10" ht="13.2">
      <c r="A2610" s="7">
        <v>2609</v>
      </c>
      <c r="B2610" s="7">
        <v>1</v>
      </c>
      <c r="C2610" s="7" t="s">
        <v>10</v>
      </c>
      <c r="D2610" s="7">
        <v>750</v>
      </c>
      <c r="E2610" s="7" t="s">
        <v>15</v>
      </c>
      <c r="F2610" s="8" t="str">
        <f ca="1">IFERROR(__xludf.DUMMYFUNCTION("IF
(
C2611=""фізична особа""
,
VLOOKUP(D2611,IMPORTRANGE(""https://docs.google.com/spreadsheets/d/14Bd19lYaqBhU8_DElYkX7l4wRkHqqCUFNJY4AfY3kHU/edit?usp=sharing  #gid=0"",""фіз особи new!relations_name""),6,FALSE)
,
(IF
(
C2611=""юридична особа""
,
VLOOKUP"&amp;"(D2611,IMPORTRANGE(""https://docs.google.com/spreadsheets/d/14Bd19lYaqBhU8_DElYkX7l4wRkHqqCUFNJY4AfY3kHU/edit?usp=sharing  #gid=0"",""фіз особи new!relations_name_uo""),7,FALSE)
,
)
))"),"САВИЦЬКА Світлана Євгенівна")</f>
        <v>САВИЦЬКА Світлана Євгенівна</v>
      </c>
      <c r="G2610" s="7" t="s">
        <v>10</v>
      </c>
      <c r="H2610" s="7">
        <v>0</v>
      </c>
      <c r="I2610" s="8" t="str">
        <f ca="1">IFERROR(__xludf.DUMMYFUNCTION("IF
(
G2611=""фізична особа""
,
VLOOKUP(H2611,IMPORTRANGE(""https://docs.google.com/spreadsheets/d/14Bd19lYaqBhU8_DElYkX7l4wRkHqqCUFNJY4AfY3kHU/edit?usp=sharing  #gid=0"",""фіз особи new!relations_name""),6,FALSE)
,
(IF
(
G2611=""юридична особа""
,
VLOOKUP"&amp;"(H2611,IMPORTRANGE(""https://docs.google.com/spreadsheets/d/14Bd19lYaqBhU8_DElYkX7l4wRkHqqCUFNJY4AfY3kHU/edit?usp=sharing  #gid=0"",""фіз особи new!relations_name_uo""),7,FALSE)
,
)
))"),"#N/A")</f>
        <v>#N/A</v>
      </c>
      <c r="J2610" s="7" t="s">
        <v>14</v>
      </c>
    </row>
    <row r="2611" spans="1:10" ht="13.2">
      <c r="A2611" s="7">
        <v>2610</v>
      </c>
      <c r="B2611" s="7">
        <v>1</v>
      </c>
      <c r="C2611" s="7" t="s">
        <v>10</v>
      </c>
      <c r="D2611" s="7">
        <v>750</v>
      </c>
      <c r="E2611" s="7" t="s">
        <v>31</v>
      </c>
      <c r="F2611" s="8" t="str">
        <f ca="1">IFERROR(__xludf.DUMMYFUNCTION("IF
(
C2612=""фізична особа""
,
VLOOKUP(D2612,IMPORTRANGE(""https://docs.google.com/spreadsheets/d/14Bd19lYaqBhU8_DElYkX7l4wRkHqqCUFNJY4AfY3kHU/edit?usp=sharing  #gid=0"",""фіз особи new!relations_name""),6,FALSE)
,
(IF
(
C2612=""юридична особа""
,
VLOOKUP"&amp;"(D2612,IMPORTRANGE(""https://docs.google.com/spreadsheets/d/14Bd19lYaqBhU8_DElYkX7l4wRkHqqCUFNJY4AfY3kHU/edit?usp=sharing  #gid=0"",""фіз особи new!relations_name_uo""),7,FALSE)
,
)
))"),"САВИЦЬКА Світлана Євгенівна")</f>
        <v>САВИЦЬКА Світлана Євгенівна</v>
      </c>
      <c r="G2611" s="7" t="s">
        <v>10</v>
      </c>
      <c r="H2611" s="7">
        <v>0</v>
      </c>
      <c r="I2611" s="8" t="str">
        <f ca="1">IFERROR(__xludf.DUMMYFUNCTION("IF
(
G2612=""фізична особа""
,
VLOOKUP(H2612,IMPORTRANGE(""https://docs.google.com/spreadsheets/d/14Bd19lYaqBhU8_DElYkX7l4wRkHqqCUFNJY4AfY3kHU/edit?usp=sharing  #gid=0"",""фіз особи new!relations_name""),6,FALSE)
,
(IF
(
G2612=""юридична особа""
,
VLOOKUP"&amp;"(H2612,IMPORTRANGE(""https://docs.google.com/spreadsheets/d/14Bd19lYaqBhU8_DElYkX7l4wRkHqqCUFNJY4AfY3kHU/edit?usp=sharing  #gid=0"",""фіз особи new!relations_name_uo""),7,FALSE)
,
)
))"),"#N/A")</f>
        <v>#N/A</v>
      </c>
      <c r="J2611" s="7" t="s">
        <v>18</v>
      </c>
    </row>
    <row r="2612" spans="1:10" ht="13.2">
      <c r="A2612" s="7">
        <v>2611</v>
      </c>
      <c r="B2612" s="7">
        <v>1</v>
      </c>
      <c r="C2612" s="7" t="s">
        <v>10</v>
      </c>
      <c r="D2612" s="7">
        <v>750</v>
      </c>
      <c r="E2612" s="7" t="s">
        <v>48</v>
      </c>
      <c r="F2612" s="8" t="str">
        <f ca="1">IFERROR(__xludf.DUMMYFUNCTION("IF
(
C2613=""фізична особа""
,
VLOOKUP(D2613,IMPORTRANGE(""https://docs.google.com/spreadsheets/d/14Bd19lYaqBhU8_DElYkX7l4wRkHqqCUFNJY4AfY3kHU/edit?usp=sharing  #gid=0"",""фіз особи new!relations_name""),6,FALSE)
,
(IF
(
C2613=""юридична особа""
,
VLOOKUP"&amp;"(D2613,IMPORTRANGE(""https://docs.google.com/spreadsheets/d/14Bd19lYaqBhU8_DElYkX7l4wRkHqqCUFNJY4AfY3kHU/edit?usp=sharing  #gid=0"",""фіз особи new!relations_name_uo""),7,FALSE)
,
)
))"),"САВИЦЬКА Світлана Євгенівна")</f>
        <v>САВИЦЬКА Світлана Євгенівна</v>
      </c>
      <c r="G2612" s="7" t="s">
        <v>10</v>
      </c>
      <c r="H2612" s="7">
        <v>21031</v>
      </c>
      <c r="I2612" s="8" t="str">
        <f ca="1">IFERROR(__xludf.DUMMYFUNCTION("IF
(
G2613=""фізична особа""
,
VLOOKUP(H2613,IMPORTRANGE(""https://docs.google.com/spreadsheets/d/14Bd19lYaqBhU8_DElYkX7l4wRkHqqCUFNJY4AfY3kHU/edit?usp=sharing  #gid=0"",""фіз особи new!relations_name""),6,FALSE)
,
(IF
(
G2613=""юридична особа""
,
VLOOKUP"&amp;"(H2613,IMPORTRANGE(""https://docs.google.com/spreadsheets/d/14Bd19lYaqBhU8_DElYkX7l4wRkHqqCUFNJY4AfY3kHU/edit?usp=sharing  #gid=0"",""фіз особи new!relations_name_uo""),7,FALSE)
,
)
))"),"БЄЛЯКОВ Андрій Вікторович")</f>
        <v>БЄЛЯКОВ Андрій Вікторович</v>
      </c>
      <c r="J2612" s="7" t="s">
        <v>48</v>
      </c>
    </row>
    <row r="2613" spans="1:10" ht="13.2">
      <c r="A2613" s="7">
        <v>2612</v>
      </c>
      <c r="B2613" s="7">
        <v>1</v>
      </c>
      <c r="C2613" s="7" t="s">
        <v>10</v>
      </c>
      <c r="D2613" s="7">
        <v>751</v>
      </c>
      <c r="E2613" s="7" t="s">
        <v>28</v>
      </c>
      <c r="F2613" s="8" t="str">
        <f ca="1">IFERROR(__xludf.DUMMYFUNCTION("IF
(
C2614=""фізична особа""
,
VLOOKUP(D2614,IMPORTRANGE(""https://docs.google.com/spreadsheets/d/14Bd19lYaqBhU8_DElYkX7l4wRkHqqCUFNJY4AfY3kHU/edit?usp=sharing  #gid=0"",""фіз особи new!relations_name""),6,FALSE)
,
(IF
(
C2614=""юридична особа""
,
VLOOKUP"&amp;"(D2614,IMPORTRANGE(""https://docs.google.com/spreadsheets/d/14Bd19lYaqBhU8_DElYkX7l4wRkHqqCUFNJY4AfY3kHU/edit?usp=sharing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3" s="7" t="s">
        <v>10</v>
      </c>
      <c r="H2613" s="7">
        <v>566</v>
      </c>
      <c r="I2613" s="8" t="str">
        <f ca="1">IFERROR(__xludf.DUMMYFUNCTION("IF
(
G2614=""фізична особа""
,
VLOOKUP(H2614,IMPORTRANGE(""https://docs.google.com/spreadsheets/d/14Bd19lYaqBhU8_DElYkX7l4wRkHqqCUFNJY4AfY3kHU/edit?usp=sharing  #gid=0"",""фіз особи new!relations_name""),6,FALSE)
,
(IF
(
G2614=""юридична особа""
,
VLOOKUP"&amp;"(H2614,IMPORTRANGE(""https://docs.google.com/spreadsheets/d/14Bd19lYaqBhU8_DElYkX7l4wRkHqqCUFNJY4AfY3kHU/edit?usp=sharing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J2613" s="7" t="s">
        <v>29</v>
      </c>
    </row>
    <row r="2614" spans="1:10" ht="13.2">
      <c r="A2614" s="7">
        <v>2613</v>
      </c>
      <c r="B2614" s="7">
        <v>1</v>
      </c>
      <c r="C2614" s="7" t="s">
        <v>10</v>
      </c>
      <c r="D2614" s="7">
        <v>751</v>
      </c>
      <c r="E2614" s="7" t="s">
        <v>28</v>
      </c>
      <c r="F2614" s="8" t="str">
        <f ca="1">IFERROR(__xludf.DUMMYFUNCTION("IF
(
C2615=""фізична особа""
,
VLOOKUP(D2615,IMPORTRANGE(""https://docs.google.com/spreadsheets/d/14Bd19lYaqBhU8_DElYkX7l4wRkHqqCUFNJY4AfY3kHU/edit?usp=sharing  #gid=0"",""фіз особи new!relations_name""),6,FALSE)
,
(IF
(
C2615=""юридична особа""
,
VLOOKUP"&amp;"(D2615,IMPORTRANGE(""https://docs.google.com/spreadsheets/d/14Bd19lYaqBhU8_DElYkX7l4wRkHqqCUFNJY4AfY3kHU/edit?usp=sharing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4" s="7" t="s">
        <v>10</v>
      </c>
      <c r="H2614" s="7">
        <v>785</v>
      </c>
      <c r="I2614" s="8" t="str">
        <f ca="1">IFERROR(__xludf.DUMMYFUNCTION("IF
(
G2615=""фізична особа""
,
VLOOKUP(H2615,IMPORTRANGE(""https://docs.google.com/spreadsheets/d/14Bd19lYaqBhU8_DElYkX7l4wRkHqqCUFNJY4AfY3kHU/edit?usp=sharing  #gid=0"",""фіз особи new!relations_name""),6,FALSE)
,
(IF
(
G2615=""юридична особа""
,
VLOOKUP"&amp;"(H2615,IMPORTRANGE(""https://docs.google.com/spreadsheets/d/14Bd19lYaqBhU8_DElYkX7l4wRkHqqCUFNJY4AfY3kHU/edit?usp=sharing  #gid=0"",""фіз особи new!relations_name_uo""),7,FALSE)
,
)
))"),"КУЛІК Вадим Валерійович")</f>
        <v>КУЛІК Вадим Валерійович</v>
      </c>
      <c r="J2614" s="7" t="s">
        <v>29</v>
      </c>
    </row>
    <row r="2615" spans="1:10" ht="13.2">
      <c r="A2615" s="7">
        <v>2614</v>
      </c>
      <c r="B2615" s="7">
        <v>1</v>
      </c>
      <c r="C2615" s="7" t="s">
        <v>10</v>
      </c>
      <c r="D2615" s="7">
        <v>751</v>
      </c>
      <c r="E2615" s="7" t="s">
        <v>28</v>
      </c>
      <c r="F2615" s="8" t="str">
        <f ca="1">IFERROR(__xludf.DUMMYFUNCTION("IF
(
C2616=""фізична особа""
,
VLOOKUP(D2616,IMPORTRANGE(""https://docs.google.com/spreadsheets/d/14Bd19lYaqBhU8_DElYkX7l4wRkHqqCUFNJY4AfY3kHU/edit?usp=sharing  #gid=0"",""фіз особи new!relations_name""),6,FALSE)
,
(IF
(
C2616=""юридична особа""
,
VLOOKUP"&amp;"(D2616,IMPORTRANGE(""https://docs.google.com/spreadsheets/d/14Bd19lYaqBhU8_DElYkX7l4wRkHqqCUFNJY4AfY3kHU/edit?usp=sharing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5" s="7" t="s">
        <v>10</v>
      </c>
      <c r="H2615" s="7">
        <v>793</v>
      </c>
      <c r="I2615" s="8" t="str">
        <f ca="1">IFERROR(__xludf.DUMMYFUNCTION("IF
(
G2616=""фізична особа""
,
VLOOKUP(H2616,IMPORTRANGE(""https://docs.google.com/spreadsheets/d/14Bd19lYaqBhU8_DElYkX7l4wRkHqqCUFNJY4AfY3kHU/edit?usp=sharing  #gid=0"",""фіз особи new!relations_name""),6,FALSE)
,
(IF
(
G2616=""юридична особа""
,
VLOOKUP"&amp;"(H2616,IMPORTRANGE(""https://docs.google.com/spreadsheets/d/14Bd19lYaqBhU8_DElYkX7l4wRkHqqCUFNJY4AfY3kHU/edit?usp=sharing  #gid=0"",""фіз особи new!relations_name_uo""),7,FALSE)
,
)
))"),"ЛУК'ЯНЕНКО Валерій Васильович")</f>
        <v>ЛУК'ЯНЕНКО Валерій Васильович</v>
      </c>
      <c r="J2615" s="7" t="s">
        <v>29</v>
      </c>
    </row>
    <row r="2616" spans="1:10" ht="13.2">
      <c r="A2616" s="7">
        <v>2615</v>
      </c>
      <c r="B2616" s="7">
        <v>1</v>
      </c>
      <c r="C2616" s="7" t="s">
        <v>10</v>
      </c>
      <c r="D2616" s="7">
        <v>751</v>
      </c>
      <c r="E2616" s="7" t="s">
        <v>28</v>
      </c>
      <c r="F2616" s="8" t="str">
        <f ca="1">IFERROR(__xludf.DUMMYFUNCTION("IF
(
C2617=""фізична особа""
,
VLOOKUP(D2617,IMPORTRANGE(""https://docs.google.com/spreadsheets/d/14Bd19lYaqBhU8_DElYkX7l4wRkHqqCUFNJY4AfY3kHU/edit?usp=sharing  #gid=0"",""фіз особи new!relations_name""),6,FALSE)
,
(IF
(
C2617=""юридична особа""
,
VLOOKUP"&amp;"(D2617,IMPORTRANGE(""https://docs.google.com/spreadsheets/d/14Bd19lYaqBhU8_DElYkX7l4wRkHqqCUFNJY4AfY3kHU/edit?usp=sharing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6" s="7" t="s">
        <v>10</v>
      </c>
      <c r="H2616" s="7">
        <v>27</v>
      </c>
      <c r="I2616" s="8" t="str">
        <f ca="1">IFERROR(__xludf.DUMMYFUNCTION("IF
(
G2617=""фізична особа""
,
VLOOKUP(H2617,IMPORTRANGE(""https://docs.google.com/spreadsheets/d/14Bd19lYaqBhU8_DElYkX7l4wRkHqqCUFNJY4AfY3kHU/edit?usp=sharing  #gid=0"",""фіз особи new!relations_name""),6,FALSE)
,
(IF
(
G2617=""юридична особа""
,
VLOOKUP"&amp;"(H2617,IMPORTRANGE(""https://docs.google.com/spreadsheets/d/14Bd19lYaqBhU8_DElYkX7l4wRkHqqCUFNJY4AfY3kHU/edit?usp=sharing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2616" s="7" t="s">
        <v>29</v>
      </c>
    </row>
    <row r="2617" spans="1:10" ht="13.2">
      <c r="A2617" s="7">
        <v>2616</v>
      </c>
      <c r="B2617" s="7">
        <v>1</v>
      </c>
      <c r="C2617" s="7" t="s">
        <v>10</v>
      </c>
      <c r="D2617" s="7">
        <v>751</v>
      </c>
      <c r="E2617" s="7" t="s">
        <v>35</v>
      </c>
      <c r="F2617" s="8" t="str">
        <f ca="1">IFERROR(__xludf.DUMMYFUNCTION("IF
(
C2618=""фізична особа""
,
VLOOKUP(D2618,IMPORTRANGE(""https://docs.google.com/spreadsheets/d/14Bd19lYaqBhU8_DElYkX7l4wRkHqqCUFNJY4AfY3kHU/edit?usp=sharing  #gid=0"",""фіз особи new!relations_name""),6,FALSE)
,
(IF
(
C2618=""юридична особа""
,
VLOOKUP"&amp;"(D2618,IMPORTRANGE(""https://docs.google.com/spreadsheets/d/14Bd19lYaqBhU8_DElYkX7l4wRkHqqCUFNJY4AfY3kHU/edit?usp=sharing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7" s="7" t="s">
        <v>10</v>
      </c>
      <c r="H2617" s="7">
        <v>477</v>
      </c>
      <c r="I2617" s="8" t="str">
        <f ca="1">IFERROR(__xludf.DUMMYFUNCTION("IF
(
G2618=""фізична особа""
,
VLOOKUP(H2618,IMPORTRANGE(""https://docs.google.com/spreadsheets/d/14Bd19lYaqBhU8_DElYkX7l4wRkHqqCUFNJY4AfY3kHU/edit?usp=sharing  #gid=0"",""фіз особи new!relations_name""),6,FALSE)
,
(IF
(
G2618=""юридична особа""
,
VLOOKUP"&amp;"(H2618,IMPORTRANGE(""https://docs.google.com/spreadsheets/d/14Bd19lYaqBhU8_DElYkX7l4wRkHqqCUFNJY4AfY3kHU/edit?usp=sharing  #gid=0"",""фіз особи new!relations_name_uo""),7,FALSE)
,
)
))"),"ДІРКС Наталія Германівна")</f>
        <v>ДІРКС Наталія Германівна</v>
      </c>
      <c r="J2617" s="7" t="s">
        <v>35</v>
      </c>
    </row>
    <row r="2618" spans="1:10" ht="13.2">
      <c r="A2618" s="7">
        <v>2617</v>
      </c>
      <c r="B2618" s="7">
        <v>1</v>
      </c>
      <c r="C2618" s="7" t="s">
        <v>10</v>
      </c>
      <c r="D2618" s="7">
        <v>751</v>
      </c>
      <c r="E2618" s="7" t="s">
        <v>35</v>
      </c>
      <c r="F2618" s="8" t="str">
        <f ca="1">IFERROR(__xludf.DUMMYFUNCTION("IF
(
C2619=""фізична особа""
,
VLOOKUP(D2619,IMPORTRANGE(""https://docs.google.com/spreadsheets/d/14Bd19lYaqBhU8_DElYkX7l4wRkHqqCUFNJY4AfY3kHU/edit?usp=sharing  #gid=0"",""фіз особи new!relations_name""),6,FALSE)
,
(IF
(
C2619=""юридична особа""
,
VLOOKUP"&amp;"(D2619,IMPORTRANGE(""https://docs.google.com/spreadsheets/d/14Bd19lYaqBhU8_DElYkX7l4wRkHqqCUFNJY4AfY3kHU/edit?usp=sharing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8" s="7" t="s">
        <v>10</v>
      </c>
      <c r="H2618" s="7">
        <v>433</v>
      </c>
      <c r="I2618" s="8" t="str">
        <f ca="1">IFERROR(__xludf.DUMMYFUNCTION("IF
(
G2619=""фізична особа""
,
VLOOKUP(H2619,IMPORTRANGE(""https://docs.google.com/spreadsheets/d/14Bd19lYaqBhU8_DElYkX7l4wRkHqqCUFNJY4AfY3kHU/edit?usp=sharing  #gid=0"",""фіз особи new!relations_name""),6,FALSE)
,
(IF
(
G2619=""юридична особа""
,
VLOOKUP"&amp;"(H2619,IMPORTRANGE(""https://docs.google.com/spreadsheets/d/14Bd19lYaqBhU8_DElYkX7l4wRkHqqCUFNJY4AfY3kHU/edit?usp=sharing  #gid=0"",""фіз особи new!relations_name_uo""),7,FALSE)
,
)
))"),"КОНДРАТЕНКО Максим Дмитрович")</f>
        <v>КОНДРАТЕНКО Максим Дмитрович</v>
      </c>
      <c r="J2618" s="7" t="s">
        <v>35</v>
      </c>
    </row>
    <row r="2619" spans="1:10" ht="13.2">
      <c r="A2619" s="7">
        <v>2618</v>
      </c>
      <c r="B2619" s="7">
        <v>1</v>
      </c>
      <c r="C2619" s="7" t="s">
        <v>10</v>
      </c>
      <c r="D2619" s="7">
        <v>751</v>
      </c>
      <c r="E2619" s="7" t="s">
        <v>35</v>
      </c>
      <c r="F2619" s="8" t="str">
        <f ca="1">IFERROR(__xludf.DUMMYFUNCTION("IF
(
C2620=""фізична особа""
,
VLOOKUP(D2620,IMPORTRANGE(""https://docs.google.com/spreadsheets/d/14Bd19lYaqBhU8_DElYkX7l4wRkHqqCUFNJY4AfY3kHU/edit?usp=sharing  #gid=0"",""фіз особи new!relations_name""),6,FALSE)
,
(IF
(
C2620=""юридична особа""
,
VLOOKUP"&amp;"(D2620,IMPORTRANGE(""https://docs.google.com/spreadsheets/d/14Bd19lYaqBhU8_DElYkX7l4wRkHqqCUFNJY4AfY3kHU/edit?usp=sharing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19" s="7" t="s">
        <v>10</v>
      </c>
      <c r="H2619" s="7">
        <v>237</v>
      </c>
      <c r="I2619" s="8" t="str">
        <f ca="1">IFERROR(__xludf.DUMMYFUNCTION("IF
(
G2620=""фізична особа""
,
VLOOKUP(H2620,IMPORTRANGE(""https://docs.google.com/spreadsheets/d/14Bd19lYaqBhU8_DElYkX7l4wRkHqqCUFNJY4AfY3kHU/edit?usp=sharing  #gid=0"",""фіз особи new!relations_name""),6,FALSE)
,
(IF
(
G2620=""юридична особа""
,
VLOOKUP"&amp;"(H2620,IMPORTRANGE(""https://docs.google.com/spreadsheets/d/14Bd19lYaqBhU8_DElYkX7l4wRkHqqCUFNJY4AfY3kHU/edit?usp=sharing  #gid=0"",""фіз особи new!relations_name_uo""),7,FALSE)
,
)
))"),"НОРОВ Еркін Рахматович")</f>
        <v>НОРОВ Еркін Рахматович</v>
      </c>
      <c r="J2619" s="7" t="s">
        <v>35</v>
      </c>
    </row>
    <row r="2620" spans="1:10" ht="13.2">
      <c r="A2620" s="7">
        <v>2619</v>
      </c>
      <c r="B2620" s="7">
        <v>1</v>
      </c>
      <c r="C2620" s="7" t="s">
        <v>10</v>
      </c>
      <c r="D2620" s="7">
        <v>751</v>
      </c>
      <c r="E2620" s="7" t="s">
        <v>35</v>
      </c>
      <c r="F2620" s="8" t="str">
        <f ca="1">IFERROR(__xludf.DUMMYFUNCTION("IF
(
C2621=""фізична особа""
,
VLOOKUP(D2621,IMPORTRANGE(""https://docs.google.com/spreadsheets/d/14Bd19lYaqBhU8_DElYkX7l4wRkHqqCUFNJY4AfY3kHU/edit?usp=sharing  #gid=0"",""фіз особи new!relations_name""),6,FALSE)
,
(IF
(
C2621=""юридична особа""
,
VLOOKUP"&amp;"(D2621,IMPORTRANGE(""https://docs.google.com/spreadsheets/d/14Bd19lYaqBhU8_DElYkX7l4wRkHqqCUFNJY4AfY3kHU/edit?usp=sharing  #gid=0"",""фіз особи new!relations_name_uo""),7,FALSE)
,
)
))"),"ОСТРОВСЬКИЙ Святослав Євгенович")</f>
        <v>ОСТРОВСЬКИЙ Святослав Євгенович</v>
      </c>
      <c r="G2620" s="7" t="s">
        <v>10</v>
      </c>
      <c r="H2620" s="7">
        <v>171</v>
      </c>
      <c r="I2620" s="8" t="str">
        <f ca="1">IFERROR(__xludf.DUMMYFUNCTION("IF
(
G2621=""фізична особа""
,
VLOOKUP(H2621,IMPORTRANGE(""https://docs.google.com/spreadsheets/d/14Bd19lYaqBhU8_DElYkX7l4wRkHqqCUFNJY4AfY3kHU/edit?usp=sharing  #gid=0"",""фіз особи new!relations_name""),6,FALSE)
,
(IF
(
G2621=""юридична особа""
,
VLOOKUP"&amp;"(H2621,IMPORTRANGE(""https://docs.google.com/spreadsheets/d/14Bd19lYaqBhU8_DElYkX7l4wRkHqqCUFNJY4AfY3kHU/edit?usp=sharing  #gid=0"",""фіз особи new!relations_name_uo""),7,FALSE)
,
)
))"),"П'ЯНОВ Дмитро Васильович")</f>
        <v>П'ЯНОВ Дмитро Васильович</v>
      </c>
      <c r="J2620" s="7" t="s">
        <v>35</v>
      </c>
    </row>
    <row r="2621" spans="1:10" ht="13.2">
      <c r="A2621" s="7">
        <v>2620</v>
      </c>
      <c r="B2621" s="7">
        <v>1</v>
      </c>
      <c r="C2621" s="7" t="s">
        <v>10</v>
      </c>
      <c r="D2621" s="7">
        <v>752</v>
      </c>
      <c r="E2621" s="7" t="s">
        <v>12</v>
      </c>
      <c r="F2621" s="8" t="str">
        <f ca="1">IFERROR(__xludf.DUMMYFUNCTION("IF
(
C2622=""фізична особа""
,
VLOOKUP(D2622,IMPORTRANGE(""https://docs.google.com/spreadsheets/d/14Bd19lYaqBhU8_DElYkX7l4wRkHqqCUFNJY4AfY3kHU/edit?usp=sharing  #gid=0"",""фіз особи new!relations_name""),6,FALSE)
,
(IF
(
C2622=""юридична особа""
,
VLOOKUP"&amp;"(D2622,IMPORTRANGE(""https://docs.google.com/spreadsheets/d/14Bd19lYaqBhU8_DElYkX7l4wRkHqqCUFNJY4AfY3kHU/edit?usp=sharing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1" s="7" t="s">
        <v>10</v>
      </c>
      <c r="H2621" s="7">
        <v>0</v>
      </c>
      <c r="I2621" s="8" t="str">
        <f ca="1">IFERROR(__xludf.DUMMYFUNCTION("IF
(
G2622=""фізична особа""
,
VLOOKUP(H2622,IMPORTRANGE(""https://docs.google.com/spreadsheets/d/14Bd19lYaqBhU8_DElYkX7l4wRkHqqCUFNJY4AfY3kHU/edit?usp=sharing  #gid=0"",""фіз особи new!relations_name""),6,FALSE)
,
(IF
(
G2622=""юридична особа""
,
VLOOKUP"&amp;"(H2622,IMPORTRANGE(""https://docs.google.com/spreadsheets/d/14Bd19lYaqBhU8_DElYkX7l4wRkHqqCUFNJY4AfY3kHU/edit?usp=sharing  #gid=0"",""фіз особи new!relations_name_uo""),7,FALSE)
,
)
))"),"#N/A")</f>
        <v>#N/A</v>
      </c>
      <c r="J2621" s="7" t="s">
        <v>17</v>
      </c>
    </row>
    <row r="2622" spans="1:10" ht="13.2">
      <c r="A2622" s="7">
        <v>2621</v>
      </c>
      <c r="B2622" s="7">
        <v>1</v>
      </c>
      <c r="C2622" s="7" t="s">
        <v>10</v>
      </c>
      <c r="D2622" s="7">
        <v>752</v>
      </c>
      <c r="E2622" s="7" t="s">
        <v>14</v>
      </c>
      <c r="F2622" s="8" t="str">
        <f ca="1">IFERROR(__xludf.DUMMYFUNCTION("IF
(
C2623=""фізична особа""
,
VLOOKUP(D2623,IMPORTRANGE(""https://docs.google.com/spreadsheets/d/14Bd19lYaqBhU8_DElYkX7l4wRkHqqCUFNJY4AfY3kHU/edit?usp=sharing  #gid=0"",""фіз особи new!relations_name""),6,FALSE)
,
(IF
(
C2623=""юридична особа""
,
VLOOKUP"&amp;"(D2623,IMPORTRANGE(""https://docs.google.com/spreadsheets/d/14Bd19lYaqBhU8_DElYkX7l4wRkHqqCUFNJY4AfY3kHU/edit?usp=sharing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2" s="7" t="s">
        <v>10</v>
      </c>
      <c r="H2622" s="7">
        <v>8640</v>
      </c>
      <c r="I2622" s="8" t="str">
        <f ca="1">IFERROR(__xludf.DUMMYFUNCTION("IF
(
G2623=""фізична особа""
,
VLOOKUP(H2623,IMPORTRANGE(""https://docs.google.com/spreadsheets/d/14Bd19lYaqBhU8_DElYkX7l4wRkHqqCUFNJY4AfY3kHU/edit?usp=sharing  #gid=0"",""фіз особи new!relations_name""),6,FALSE)
,
(IF
(
G2623=""юридична особа""
,
VLOOKUP"&amp;"(H2623,IMPORTRANGE(""https://docs.google.com/spreadsheets/d/14Bd19lYaqBhU8_DElYkX7l4wRkHqqCUFNJY4AfY3kHU/edit?usp=sharing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J2622" s="7" t="s">
        <v>15</v>
      </c>
    </row>
    <row r="2623" spans="1:10" ht="13.2">
      <c r="A2623" s="7">
        <v>2622</v>
      </c>
      <c r="B2623" s="7">
        <v>1</v>
      </c>
      <c r="C2623" s="7" t="s">
        <v>10</v>
      </c>
      <c r="D2623" s="7">
        <v>752</v>
      </c>
      <c r="E2623" s="7" t="s">
        <v>12</v>
      </c>
      <c r="F2623" s="8" t="str">
        <f ca="1">IFERROR(__xludf.DUMMYFUNCTION("IF
(
C2624=""фізична особа""
,
VLOOKUP(D2624,IMPORTRANGE(""https://docs.google.com/spreadsheets/d/14Bd19lYaqBhU8_DElYkX7l4wRkHqqCUFNJY4AfY3kHU/edit?usp=sharing  #gid=0"",""фіз особи new!relations_name""),6,FALSE)
,
(IF
(
C2624=""юридична особа""
,
VLOOKUP"&amp;"(D2624,IMPORTRANGE(""https://docs.google.com/spreadsheets/d/14Bd19lYaqBhU8_DElYkX7l4wRkHqqCUFNJY4AfY3kHU/edit?usp=sharing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3" s="7" t="s">
        <v>10</v>
      </c>
      <c r="H2623" s="7">
        <v>0</v>
      </c>
      <c r="I2623" s="8" t="str">
        <f ca="1">IFERROR(__xludf.DUMMYFUNCTION("IF
(
G2624=""фізична особа""
,
VLOOKUP(H2624,IMPORTRANGE(""https://docs.google.com/spreadsheets/d/14Bd19lYaqBhU8_DElYkX7l4wRkHqqCUFNJY4AfY3kHU/edit?usp=sharing  #gid=0"",""фіз особи new!relations_name""),6,FALSE)
,
(IF
(
G2624=""юридична особа""
,
VLOOKUP"&amp;"(H2624,IMPORTRANGE(""https://docs.google.com/spreadsheets/d/14Bd19lYaqBhU8_DElYkX7l4wRkHqqCUFNJY4AfY3kHU/edit?usp=sharing  #gid=0"",""фіз особи new!relations_name_uo""),7,FALSE)
,
)
))"),"#N/A")</f>
        <v>#N/A</v>
      </c>
      <c r="J2623" s="7" t="s">
        <v>13</v>
      </c>
    </row>
    <row r="2624" spans="1:10" ht="13.2">
      <c r="A2624" s="7">
        <v>2623</v>
      </c>
      <c r="B2624" s="7">
        <v>1</v>
      </c>
      <c r="C2624" s="7" t="s">
        <v>10</v>
      </c>
      <c r="D2624" s="7">
        <v>752</v>
      </c>
      <c r="E2624" s="7" t="s">
        <v>12</v>
      </c>
      <c r="F2624" s="8" t="str">
        <f ca="1">IFERROR(__xludf.DUMMYFUNCTION("IF
(
C2625=""фізична особа""
,
VLOOKUP(D2625,IMPORTRANGE(""https://docs.google.com/spreadsheets/d/14Bd19lYaqBhU8_DElYkX7l4wRkHqqCUFNJY4AfY3kHU/edit?usp=sharing  #gid=0"",""фіз особи new!relations_name""),6,FALSE)
,
(IF
(
C2625=""юридична особа""
,
VLOOKUP"&amp;"(D2625,IMPORTRANGE(""https://docs.google.com/spreadsheets/d/14Bd19lYaqBhU8_DElYkX7l4wRkHqqCUFNJY4AfY3kHU/edit?usp=sharing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4" s="7" t="s">
        <v>10</v>
      </c>
      <c r="H2624" s="7">
        <v>0</v>
      </c>
      <c r="I2624" s="8" t="str">
        <f ca="1">IFERROR(__xludf.DUMMYFUNCTION("IF
(
G2625=""фізична особа""
,
VLOOKUP(H2625,IMPORTRANGE(""https://docs.google.com/spreadsheets/d/14Bd19lYaqBhU8_DElYkX7l4wRkHqqCUFNJY4AfY3kHU/edit?usp=sharing  #gid=0"",""фіз особи new!relations_name""),6,FALSE)
,
(IF
(
G2625=""юридична особа""
,
VLOOKUP"&amp;"(H2625,IMPORTRANGE(""https://docs.google.com/spreadsheets/d/14Bd19lYaqBhU8_DElYkX7l4wRkHqqCUFNJY4AfY3kHU/edit?usp=sharing  #gid=0"",""фіз особи new!relations_name_uo""),7,FALSE)
,
)
))"),"#N/A")</f>
        <v>#N/A</v>
      </c>
      <c r="J2624" s="7" t="s">
        <v>13</v>
      </c>
    </row>
    <row r="2625" spans="1:10" ht="13.2">
      <c r="A2625" s="7">
        <v>2624</v>
      </c>
      <c r="B2625" s="7">
        <v>1</v>
      </c>
      <c r="C2625" s="7" t="s">
        <v>10</v>
      </c>
      <c r="D2625" s="7">
        <v>752</v>
      </c>
      <c r="E2625" s="7" t="s">
        <v>12</v>
      </c>
      <c r="F2625" s="8" t="str">
        <f ca="1">IFERROR(__xludf.DUMMYFUNCTION("IF
(
C2626=""фізична особа""
,
VLOOKUP(D2626,IMPORTRANGE(""https://docs.google.com/spreadsheets/d/14Bd19lYaqBhU8_DElYkX7l4wRkHqqCUFNJY4AfY3kHU/edit?usp=sharing  #gid=0"",""фіз особи new!relations_name""),6,FALSE)
,
(IF
(
C2626=""юридична особа""
,
VLOOKUP"&amp;"(D2626,IMPORTRANGE(""https://docs.google.com/spreadsheets/d/14Bd19lYaqBhU8_DElYkX7l4wRkHqqCUFNJY4AfY3kHU/edit?usp=sharing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5" s="7" t="s">
        <v>10</v>
      </c>
      <c r="H2625" s="7">
        <v>0</v>
      </c>
      <c r="I2625" s="8" t="str">
        <f ca="1">IFERROR(__xludf.DUMMYFUNCTION("IF
(
G2626=""фізична особа""
,
VLOOKUP(H2626,IMPORTRANGE(""https://docs.google.com/spreadsheets/d/14Bd19lYaqBhU8_DElYkX7l4wRkHqqCUFNJY4AfY3kHU/edit?usp=sharing  #gid=0"",""фіз особи new!relations_name""),6,FALSE)
,
(IF
(
G2626=""юридична особа""
,
VLOOKUP"&amp;"(H2626,IMPORTRANGE(""https://docs.google.com/spreadsheets/d/14Bd19lYaqBhU8_DElYkX7l4wRkHqqCUFNJY4AfY3kHU/edit?usp=sharing  #gid=0"",""фіз особи new!relations_name_uo""),7,FALSE)
,
)
))"),"#N/A")</f>
        <v>#N/A</v>
      </c>
      <c r="J2625" s="7" t="s">
        <v>13</v>
      </c>
    </row>
    <row r="2626" spans="1:10" ht="13.2">
      <c r="A2626" s="7">
        <v>2625</v>
      </c>
      <c r="B2626" s="7">
        <v>1</v>
      </c>
      <c r="C2626" s="7" t="s">
        <v>10</v>
      </c>
      <c r="D2626" s="7">
        <v>752</v>
      </c>
      <c r="E2626" s="7" t="s">
        <v>28</v>
      </c>
      <c r="F2626" s="8" t="str">
        <f ca="1">IFERROR(__xludf.DUMMYFUNCTION("IF
(
C2627=""фізична особа""
,
VLOOKUP(D2627,IMPORTRANGE(""https://docs.google.com/spreadsheets/d/14Bd19lYaqBhU8_DElYkX7l4wRkHqqCUFNJY4AfY3kHU/edit?usp=sharing  #gid=0"",""фіз особи new!relations_name""),6,FALSE)
,
(IF
(
C2627=""юридична особа""
,
VLOOKUP"&amp;"(D2627,IMPORTRANGE(""https://docs.google.com/spreadsheets/d/14Bd19lYaqBhU8_DElYkX7l4wRkHqqCUFNJY4AfY3kHU/edit?usp=sharing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6" s="7" t="s">
        <v>10</v>
      </c>
      <c r="H2626" s="7">
        <v>430</v>
      </c>
      <c r="I2626" s="8" t="str">
        <f ca="1">IFERROR(__xludf.DUMMYFUNCTION("IF
(
G2627=""фізична особа""
,
VLOOKUP(H2627,IMPORTRANGE(""https://docs.google.com/spreadsheets/d/14Bd19lYaqBhU8_DElYkX7l4wRkHqqCUFNJY4AfY3kHU/edit?usp=sharing  #gid=0"",""фіз особи new!relations_name""),6,FALSE)
,
(IF
(
G2627=""юридична особа""
,
VLOOKUP"&amp;"(H2627,IMPORTRANGE(""https://docs.google.com/spreadsheets/d/14Bd19lYaqBhU8_DElYkX7l4wRkHqqCUFNJY4AfY3kHU/edit?usp=sharing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2626" s="7" t="s">
        <v>29</v>
      </c>
    </row>
    <row r="2627" spans="1:10" ht="13.2">
      <c r="A2627" s="7">
        <v>2626</v>
      </c>
      <c r="B2627" s="7">
        <v>1</v>
      </c>
      <c r="C2627" s="7" t="s">
        <v>10</v>
      </c>
      <c r="D2627" s="7">
        <v>752</v>
      </c>
      <c r="E2627" s="7" t="s">
        <v>48</v>
      </c>
      <c r="F2627" s="8" t="str">
        <f ca="1">IFERROR(__xludf.DUMMYFUNCTION("IF
(
C2628=""фізична особа""
,
VLOOKUP(D2628,IMPORTRANGE(""https://docs.google.com/spreadsheets/d/14Bd19lYaqBhU8_DElYkX7l4wRkHqqCUFNJY4AfY3kHU/edit?usp=sharing  #gid=0"",""фіз особи new!relations_name""),6,FALSE)
,
(IF
(
C2628=""юридична особа""
,
VLOOKUP"&amp;"(D2628,IMPORTRANGE(""https://docs.google.com/spreadsheets/d/14Bd19lYaqBhU8_DElYkX7l4wRkHqqCUFNJY4AfY3kHU/edit?usp=sharing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G2627" s="7" t="s">
        <v>10</v>
      </c>
      <c r="H2627" s="7">
        <v>0</v>
      </c>
      <c r="I2627" s="8" t="str">
        <f ca="1">IFERROR(__xludf.DUMMYFUNCTION("IF
(
G2628=""фізична особа""
,
VLOOKUP(H2628,IMPORTRANGE(""https://docs.google.com/spreadsheets/d/14Bd19lYaqBhU8_DElYkX7l4wRkHqqCUFNJY4AfY3kHU/edit?usp=sharing  #gid=0"",""фіз особи new!relations_name""),6,FALSE)
,
(IF
(
G2628=""юридична особа""
,
VLOOKUP"&amp;"(H2628,IMPORTRANGE(""https://docs.google.com/spreadsheets/d/14Bd19lYaqBhU8_DElYkX7l4wRkHqqCUFNJY4AfY3kHU/edit?usp=sharing  #gid=0"",""фіз особи new!relations_name_uo""),7,FALSE)
,
)
))"),"#N/A")</f>
        <v>#N/A</v>
      </c>
      <c r="J2627" s="7" t="s">
        <v>48</v>
      </c>
    </row>
    <row r="2628" spans="1:10" ht="13.2">
      <c r="A2628" s="7">
        <v>2627</v>
      </c>
      <c r="B2628" s="7">
        <v>1</v>
      </c>
      <c r="C2628" s="7" t="s">
        <v>10</v>
      </c>
      <c r="D2628" s="7">
        <v>754</v>
      </c>
      <c r="E2628" s="7" t="s">
        <v>28</v>
      </c>
      <c r="F2628" s="8" t="str">
        <f ca="1">IFERROR(__xludf.DUMMYFUNCTION("IF
(
C2629=""фізична особа""
,
VLOOKUP(D2629,IMPORTRANGE(""https://docs.google.com/spreadsheets/d/14Bd19lYaqBhU8_DElYkX7l4wRkHqqCUFNJY4AfY3kHU/edit?usp=sharing  #gid=0"",""фіз особи new!relations_name""),6,FALSE)
,
(IF
(
C2629=""юридична особа""
,
VLOOKUP"&amp;"(D2629,IMPORTRANGE(""https://docs.google.com/spreadsheets/d/14Bd19lYaqBhU8_DElYkX7l4wRkHqqCUFNJY4AfY3kHU/edit?usp=sharing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28" s="7" t="s">
        <v>10</v>
      </c>
      <c r="H2628" s="7">
        <v>320</v>
      </c>
      <c r="I2628" s="8" t="str">
        <f ca="1">IFERROR(__xludf.DUMMYFUNCTION("IF
(
G2629=""фізична особа""
,
VLOOKUP(H2629,IMPORTRANGE(""https://docs.google.com/spreadsheets/d/14Bd19lYaqBhU8_DElYkX7l4wRkHqqCUFNJY4AfY3kHU/edit?usp=sharing  #gid=0"",""фіз особи new!relations_name""),6,FALSE)
,
(IF
(
G2629=""юридична особа""
,
VLOOKUP"&amp;"(H2629,IMPORTRANGE(""https://docs.google.com/spreadsheets/d/14Bd19lYaqBhU8_DElYkX7l4wRkHqqCUFNJY4AfY3kHU/edit?usp=sharing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2628" s="7" t="s">
        <v>29</v>
      </c>
    </row>
    <row r="2629" spans="1:10" ht="13.2">
      <c r="A2629" s="7">
        <v>2628</v>
      </c>
      <c r="B2629" s="7">
        <v>1</v>
      </c>
      <c r="C2629" s="7" t="s">
        <v>10</v>
      </c>
      <c r="D2629" s="7">
        <v>754</v>
      </c>
      <c r="E2629" s="7" t="s">
        <v>28</v>
      </c>
      <c r="F2629" s="8" t="str">
        <f ca="1">IFERROR(__xludf.DUMMYFUNCTION("IF
(
C2630=""фізична особа""
,
VLOOKUP(D2630,IMPORTRANGE(""https://docs.google.com/spreadsheets/d/14Bd19lYaqBhU8_DElYkX7l4wRkHqqCUFNJY4AfY3kHU/edit?usp=sharing  #gid=0"",""фіз особи new!relations_name""),6,FALSE)
,
(IF
(
C2630=""юридична особа""
,
VLOOKUP"&amp;"(D2630,IMPORTRANGE(""https://docs.google.com/spreadsheets/d/14Bd19lYaqBhU8_DElYkX7l4wRkHqqCUFNJY4AfY3kHU/edit?usp=sharing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29" s="7" t="s">
        <v>10</v>
      </c>
      <c r="H2629" s="7">
        <v>367</v>
      </c>
      <c r="I2629" s="8" t="str">
        <f ca="1">IFERROR(__xludf.DUMMYFUNCTION("IF
(
G2630=""фізична особа""
,
VLOOKUP(H2630,IMPORTRANGE(""https://docs.google.com/spreadsheets/d/14Bd19lYaqBhU8_DElYkX7l4wRkHqqCUFNJY4AfY3kHU/edit?usp=sharing  #gid=0"",""фіз особи new!relations_name""),6,FALSE)
,
(IF
(
G2630=""юридична особа""
,
VLOOKUP"&amp;"(H2630,IMPORTRANGE(""https://docs.google.com/spreadsheets/d/14Bd19lYaqBhU8_DElYkX7l4wRkHqqCUFNJY4AfY3kHU/edit?usp=sharing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2629" s="7" t="s">
        <v>29</v>
      </c>
    </row>
    <row r="2630" spans="1:10" ht="13.2">
      <c r="A2630" s="7">
        <v>2629</v>
      </c>
      <c r="B2630" s="7">
        <v>1</v>
      </c>
      <c r="C2630" s="7" t="s">
        <v>10</v>
      </c>
      <c r="D2630" s="7">
        <v>754</v>
      </c>
      <c r="E2630" s="7" t="s">
        <v>28</v>
      </c>
      <c r="F2630" s="8" t="str">
        <f ca="1">IFERROR(__xludf.DUMMYFUNCTION("IF
(
C2631=""фізична особа""
,
VLOOKUP(D2631,IMPORTRANGE(""https://docs.google.com/spreadsheets/d/14Bd19lYaqBhU8_DElYkX7l4wRkHqqCUFNJY4AfY3kHU/edit?usp=sharing  #gid=0"",""фіз особи new!relations_name""),6,FALSE)
,
(IF
(
C2631=""юридична особа""
,
VLOOKUP"&amp;"(D2631,IMPORTRANGE(""https://docs.google.com/spreadsheets/d/14Bd19lYaqBhU8_DElYkX7l4wRkHqqCUFNJY4AfY3kHU/edit?usp=sharing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0" s="7" t="s">
        <v>10</v>
      </c>
      <c r="H2630" s="7">
        <v>386</v>
      </c>
      <c r="I2630" s="8" t="str">
        <f ca="1">IFERROR(__xludf.DUMMYFUNCTION("IF
(
G2631=""фізична особа""
,
VLOOKUP(H2631,IMPORTRANGE(""https://docs.google.com/spreadsheets/d/14Bd19lYaqBhU8_DElYkX7l4wRkHqqCUFNJY4AfY3kHU/edit?usp=sharing  #gid=0"",""фіз особи new!relations_name""),6,FALSE)
,
(IF
(
G2631=""юридична особа""
,
VLOOKUP"&amp;"(H2631,IMPORTRANGE(""https://docs.google.com/spreadsheets/d/14Bd19lYaqBhU8_DElYkX7l4wRkHqqCUFNJY4AfY3kHU/edit?usp=sharing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2630" s="7" t="s">
        <v>29</v>
      </c>
    </row>
    <row r="2631" spans="1:10" ht="13.2">
      <c r="A2631" s="7">
        <v>2630</v>
      </c>
      <c r="B2631" s="7">
        <v>1</v>
      </c>
      <c r="C2631" s="7" t="s">
        <v>10</v>
      </c>
      <c r="D2631" s="7">
        <v>754</v>
      </c>
      <c r="E2631" s="7" t="s">
        <v>28</v>
      </c>
      <c r="F2631" s="8" t="str">
        <f ca="1">IFERROR(__xludf.DUMMYFUNCTION("IF
(
C2632=""фізична особа""
,
VLOOKUP(D2632,IMPORTRANGE(""https://docs.google.com/spreadsheets/d/14Bd19lYaqBhU8_DElYkX7l4wRkHqqCUFNJY4AfY3kHU/edit?usp=sharing  #gid=0"",""фіз особи new!relations_name""),6,FALSE)
,
(IF
(
C2632=""юридична особа""
,
VLOOKUP"&amp;"(D2632,IMPORTRANGE(""https://docs.google.com/spreadsheets/d/14Bd19lYaqBhU8_DElYkX7l4wRkHqqCUFNJY4AfY3kHU/edit?usp=sharing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1" s="7" t="s">
        <v>10</v>
      </c>
      <c r="H2631" s="7">
        <v>531</v>
      </c>
      <c r="I2631" s="8" t="str">
        <f ca="1">IFERROR(__xludf.DUMMYFUNCTION("IF
(
G2632=""фізична особа""
,
VLOOKUP(H2632,IMPORTRANGE(""https://docs.google.com/spreadsheets/d/14Bd19lYaqBhU8_DElYkX7l4wRkHqqCUFNJY4AfY3kHU/edit?usp=sharing  #gid=0"",""фіз особи new!relations_name""),6,FALSE)
,
(IF
(
G2632=""юридична особа""
,
VLOOKUP"&amp;"(H2632,IMPORTRANGE(""https://docs.google.com/spreadsheets/d/14Bd19lYaqBhU8_DElYkX7l4wRkHqqCUFNJY4AfY3kHU/edit?usp=sharing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2631" s="7" t="s">
        <v>29</v>
      </c>
    </row>
    <row r="2632" spans="1:10" ht="13.2">
      <c r="A2632" s="7">
        <v>2631</v>
      </c>
      <c r="B2632" s="7">
        <v>1</v>
      </c>
      <c r="C2632" s="7" t="s">
        <v>10</v>
      </c>
      <c r="D2632" s="7">
        <v>754</v>
      </c>
      <c r="E2632" s="7" t="s">
        <v>35</v>
      </c>
      <c r="F2632" s="8" t="str">
        <f ca="1">IFERROR(__xludf.DUMMYFUNCTION("IF
(
C2633=""фізична особа""
,
VLOOKUP(D2633,IMPORTRANGE(""https://docs.google.com/spreadsheets/d/14Bd19lYaqBhU8_DElYkX7l4wRkHqqCUFNJY4AfY3kHU/edit?usp=sharing  #gid=0"",""фіз особи new!relations_name""),6,FALSE)
,
(IF
(
C2633=""юридична особа""
,
VLOOKUP"&amp;"(D2633,IMPORTRANGE(""https://docs.google.com/spreadsheets/d/14Bd19lYaqBhU8_DElYkX7l4wRkHqqCUFNJY4AfY3kHU/edit?usp=sharing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2" s="7" t="s">
        <v>10</v>
      </c>
      <c r="H2632" s="7">
        <v>489</v>
      </c>
      <c r="I2632" s="8" t="str">
        <f ca="1">IFERROR(__xludf.DUMMYFUNCTION("IF
(
G2633=""фізична особа""
,
VLOOKUP(H2633,IMPORTRANGE(""https://docs.google.com/spreadsheets/d/14Bd19lYaqBhU8_DElYkX7l4wRkHqqCUFNJY4AfY3kHU/edit?usp=sharing  #gid=0"",""фіз особи new!relations_name""),6,FALSE)
,
(IF
(
G2633=""юридична особа""
,
VLOOKUP"&amp;"(H2633,IMPORTRANGE(""https://docs.google.com/spreadsheets/d/14Bd19lYaqBhU8_DElYkX7l4wRkHqqCUFNJY4AfY3kHU/edit?usp=sharing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2632" s="7" t="s">
        <v>35</v>
      </c>
    </row>
    <row r="2633" spans="1:10" ht="13.2">
      <c r="A2633" s="7">
        <v>2632</v>
      </c>
      <c r="B2633" s="7">
        <v>1</v>
      </c>
      <c r="C2633" s="7" t="s">
        <v>10</v>
      </c>
      <c r="D2633" s="7">
        <v>754</v>
      </c>
      <c r="E2633" s="7" t="s">
        <v>35</v>
      </c>
      <c r="F2633" s="8" t="str">
        <f ca="1">IFERROR(__xludf.DUMMYFUNCTION("IF
(
C2634=""фізична особа""
,
VLOOKUP(D2634,IMPORTRANGE(""https://docs.google.com/spreadsheets/d/14Bd19lYaqBhU8_DElYkX7l4wRkHqqCUFNJY4AfY3kHU/edit?usp=sharing  #gid=0"",""фіз особи new!relations_name""),6,FALSE)
,
(IF
(
C2634=""юридична особа""
,
VLOOKUP"&amp;"(D2634,IMPORTRANGE(""https://docs.google.com/spreadsheets/d/14Bd19lYaqBhU8_DElYkX7l4wRkHqqCUFNJY4AfY3kHU/edit?usp=sharing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3" s="7" t="s">
        <v>10</v>
      </c>
      <c r="H2633" s="7">
        <v>355</v>
      </c>
      <c r="I2633" s="8" t="str">
        <f ca="1">IFERROR(__xludf.DUMMYFUNCTION("IF
(
G2634=""фізична особа""
,
VLOOKUP(H2634,IMPORTRANGE(""https://docs.google.com/spreadsheets/d/14Bd19lYaqBhU8_DElYkX7l4wRkHqqCUFNJY4AfY3kHU/edit?usp=sharing  #gid=0"",""фіз особи new!relations_name""),6,FALSE)
,
(IF
(
G2634=""юридична особа""
,
VLOOKUP"&amp;"(H2634,IMPORTRANGE(""https://docs.google.com/spreadsheets/d/14Bd19lYaqBhU8_DElYkX7l4wRkHqqCUFNJY4AfY3kHU/edit?usp=sharing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2633" s="7" t="s">
        <v>35</v>
      </c>
    </row>
    <row r="2634" spans="1:10" ht="13.2">
      <c r="A2634" s="7">
        <v>2633</v>
      </c>
      <c r="B2634" s="7">
        <v>1</v>
      </c>
      <c r="C2634" s="7" t="s">
        <v>10</v>
      </c>
      <c r="D2634" s="7">
        <v>754</v>
      </c>
      <c r="E2634" s="7" t="s">
        <v>35</v>
      </c>
      <c r="F2634" s="8" t="str">
        <f ca="1">IFERROR(__xludf.DUMMYFUNCTION("IF
(
C2635=""фізична особа""
,
VLOOKUP(D2635,IMPORTRANGE(""https://docs.google.com/spreadsheets/d/14Bd19lYaqBhU8_DElYkX7l4wRkHqqCUFNJY4AfY3kHU/edit?usp=sharing  #gid=0"",""фіз особи new!relations_name""),6,FALSE)
,
(IF
(
C2635=""юридична особа""
,
VLOOKUP"&amp;"(D2635,IMPORTRANGE(""https://docs.google.com/spreadsheets/d/14Bd19lYaqBhU8_DElYkX7l4wRkHqqCUFNJY4AfY3kHU/edit?usp=sharing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4" s="7" t="s">
        <v>10</v>
      </c>
      <c r="H2634" s="7">
        <v>385</v>
      </c>
      <c r="I2634" s="8" t="str">
        <f ca="1">IFERROR(__xludf.DUMMYFUNCTION("IF
(
G2635=""фізична особа""
,
VLOOKUP(H2635,IMPORTRANGE(""https://docs.google.com/spreadsheets/d/14Bd19lYaqBhU8_DElYkX7l4wRkHqqCUFNJY4AfY3kHU/edit?usp=sharing  #gid=0"",""фіз особи new!relations_name""),6,FALSE)
,
(IF
(
G2635=""юридична особа""
,
VLOOKUP"&amp;"(H2635,IMPORTRANGE(""https://docs.google.com/spreadsheets/d/14Bd19lYaqBhU8_DElYkX7l4wRkHqqCUFNJY4AfY3kHU/edit?usp=sharing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2634" s="7" t="s">
        <v>35</v>
      </c>
    </row>
    <row r="2635" spans="1:10" ht="13.2">
      <c r="A2635" s="7">
        <v>2634</v>
      </c>
      <c r="B2635" s="7">
        <v>1</v>
      </c>
      <c r="C2635" s="7" t="s">
        <v>10</v>
      </c>
      <c r="D2635" s="7">
        <v>754</v>
      </c>
      <c r="E2635" s="7" t="s">
        <v>35</v>
      </c>
      <c r="F2635" s="8" t="str">
        <f ca="1">IFERROR(__xludf.DUMMYFUNCTION("IF
(
C2636=""фізична особа""
,
VLOOKUP(D2636,IMPORTRANGE(""https://docs.google.com/spreadsheets/d/14Bd19lYaqBhU8_DElYkX7l4wRkHqqCUFNJY4AfY3kHU/edit?usp=sharing  #gid=0"",""фіз особи new!relations_name""),6,FALSE)
,
(IF
(
C2636=""юридична особа""
,
VLOOKUP"&amp;"(D2636,IMPORTRANGE(""https://docs.google.com/spreadsheets/d/14Bd19lYaqBhU8_DElYkX7l4wRkHqqCUFNJY4AfY3kHU/edit?usp=sharing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G2635" s="7" t="s">
        <v>10</v>
      </c>
      <c r="H2635" s="7">
        <v>794</v>
      </c>
      <c r="I2635" s="8" t="str">
        <f ca="1">IFERROR(__xludf.DUMMYFUNCTION("IF
(
G2636=""фізична особа""
,
VLOOKUP(H2636,IMPORTRANGE(""https://docs.google.com/spreadsheets/d/14Bd19lYaqBhU8_DElYkX7l4wRkHqqCUFNJY4AfY3kHU/edit?usp=sharing  #gid=0"",""фіз особи new!relations_name""),6,FALSE)
,
(IF
(
G2636=""юридична особа""
,
VLOOKUP"&amp;"(H2636,IMPORTRANGE(""https://docs.google.com/spreadsheets/d/14Bd19lYaqBhU8_DElYkX7l4wRkHqqCUFNJY4AfY3kHU/edit?usp=sharing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J2635" s="7" t="s">
        <v>35</v>
      </c>
    </row>
    <row r="2636" spans="1:10" ht="13.2">
      <c r="A2636" s="7">
        <v>2635</v>
      </c>
      <c r="B2636" s="7">
        <v>1</v>
      </c>
      <c r="C2636" s="7" t="s">
        <v>10</v>
      </c>
      <c r="D2636" s="7">
        <v>755</v>
      </c>
      <c r="E2636" s="7" t="s">
        <v>15</v>
      </c>
      <c r="F2636" s="8" t="str">
        <f ca="1">IFERROR(__xludf.DUMMYFUNCTION("IF
(
C2637=""фізична особа""
,
VLOOKUP(D2637,IMPORTRANGE(""https://docs.google.com/spreadsheets/d/14Bd19lYaqBhU8_DElYkX7l4wRkHqqCUFNJY4AfY3kHU/edit?usp=sharing  #gid=0"",""фіз особи new!relations_name""),6,FALSE)
,
(IF
(
C2637=""юридична особа""
,
VLOOKUP"&amp;"(D2637,IMPORTRANGE(""https://docs.google.com/spreadsheets/d/14Bd19lYaqBhU8_DElYkX7l4wRkHqqCUFNJY4AfY3kHU/edit?usp=sharing  #gid=0"",""фіз особи new!relations_name_uo""),7,FALSE)
,
)
))"),"КОВАЛЬЧУК Тетяна Олександрівна")</f>
        <v>КОВАЛЬЧУК Тетяна Олександрівна</v>
      </c>
      <c r="G2636" s="7" t="s">
        <v>10</v>
      </c>
      <c r="H2636" s="7">
        <v>926</v>
      </c>
      <c r="I2636" s="8" t="str">
        <f ca="1">IFERROR(__xludf.DUMMYFUNCTION("IF
(
G2637=""фізична особа""
,
VLOOKUP(H2637,IMPORTRANGE(""https://docs.google.com/spreadsheets/d/14Bd19lYaqBhU8_DElYkX7l4wRkHqqCUFNJY4AfY3kHU/edit?usp=sharing  #gid=0"",""фіз особи new!relations_name""),6,FALSE)
,
(IF
(
G2637=""юридична особа""
,
VLOOKUP"&amp;"(H2637,IMPORTRANGE(""https://docs.google.com/spreadsheets/d/14Bd19lYaqBhU8_DElYkX7l4wRkHqqCUFNJY4AfY3kHU/edit?usp=sharing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2636" s="7" t="s">
        <v>14</v>
      </c>
    </row>
    <row r="2637" spans="1:10" ht="13.2">
      <c r="A2637" s="7">
        <v>2636</v>
      </c>
      <c r="B2637" s="7">
        <v>1</v>
      </c>
      <c r="C2637" s="7" t="s">
        <v>10</v>
      </c>
      <c r="D2637" s="7">
        <v>755</v>
      </c>
      <c r="E2637" s="7" t="s">
        <v>21</v>
      </c>
      <c r="F2637" s="8" t="str">
        <f ca="1">IFERROR(__xludf.DUMMYFUNCTION("IF
(
C2638=""фізична особа""
,
VLOOKUP(D2638,IMPORTRANGE(""https://docs.google.com/spreadsheets/d/14Bd19lYaqBhU8_DElYkX7l4wRkHqqCUFNJY4AfY3kHU/edit?usp=sharing  #gid=0"",""фіз особи new!relations_name""),6,FALSE)
,
(IF
(
C2638=""юридична особа""
,
VLOOKUP"&amp;"(D2638,IMPORTRANGE(""https://docs.google.com/spreadsheets/d/14Bd19lYaqBhU8_DElYkX7l4wRkHqqCUFNJY4AfY3kHU/edit?usp=sharing  #gid=0"",""фіз особи new!relations_name_uo""),7,FALSE)
,
)
))"),"КОВАЛЬЧУК Тетяна Олександрівна")</f>
        <v>КОВАЛЬЧУК Тетяна Олександрівна</v>
      </c>
      <c r="G2637" s="7" t="s">
        <v>10</v>
      </c>
      <c r="H2637" s="7">
        <v>140</v>
      </c>
      <c r="I2637" s="8" t="str">
        <f ca="1">IFERROR(__xludf.DUMMYFUNCTION("IF
(
G2638=""фізична особа""
,
VLOOKUP(H2638,IMPORTRANGE(""https://docs.google.com/spreadsheets/d/14Bd19lYaqBhU8_DElYkX7l4wRkHqqCUFNJY4AfY3kHU/edit?usp=sharing  #gid=0"",""фіз особи new!relations_name""),6,FALSE)
,
(IF
(
G2638=""юридична особа""
,
VLOOKUP"&amp;"(H2638,IMPORTRANGE(""https://docs.google.com/spreadsheets/d/14Bd19lYaqBhU8_DElYkX7l4wRkHqqCUFNJY4AfY3kHU/edit?usp=sharing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J2637" s="7" t="s">
        <v>17</v>
      </c>
    </row>
    <row r="2638" spans="1:10" ht="13.2">
      <c r="A2638" s="7">
        <v>2637</v>
      </c>
      <c r="B2638" s="7">
        <v>1</v>
      </c>
      <c r="C2638" s="7" t="s">
        <v>10</v>
      </c>
      <c r="D2638" s="7">
        <v>756</v>
      </c>
      <c r="E2638" s="7" t="s">
        <v>14</v>
      </c>
      <c r="F2638" s="8" t="str">
        <f ca="1">IFERROR(__xludf.DUMMYFUNCTION("IF
(
C2639=""фізична особа""
,
VLOOKUP(D2639,IMPORTRANGE(""https://docs.google.com/spreadsheets/d/14Bd19lYaqBhU8_DElYkX7l4wRkHqqCUFNJY4AfY3kHU/edit?usp=sharing  #gid=0"",""фіз особи new!relations_name""),6,FALSE)
,
(IF
(
C2639=""юридична особа""
,
VLOOKUP"&amp;"(D2639,IMPORTRANGE(""https://docs.google.com/spreadsheets/d/14Bd19lYaqBhU8_DElYkX7l4wRkHqqCUFNJY4AfY3kHU/edit?usp=sharing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38" s="7" t="s">
        <v>10</v>
      </c>
      <c r="H2638" s="7">
        <v>0</v>
      </c>
      <c r="I2638" s="8" t="str">
        <f ca="1">IFERROR(__xludf.DUMMYFUNCTION("IF
(
G2639=""фізична особа""
,
VLOOKUP(H2639,IMPORTRANGE(""https://docs.google.com/spreadsheets/d/14Bd19lYaqBhU8_DElYkX7l4wRkHqqCUFNJY4AfY3kHU/edit?usp=sharing  #gid=0"",""фіз особи new!relations_name""),6,FALSE)
,
(IF
(
G2639=""юридична особа""
,
VLOOKUP"&amp;"(H2639,IMPORTRANGE(""https://docs.google.com/spreadsheets/d/14Bd19lYaqBhU8_DElYkX7l4wRkHqqCUFNJY4AfY3kHU/edit?usp=sharing  #gid=0"",""фіз особи new!relations_name_uo""),7,FALSE)
,
)
))"),"#N/A")</f>
        <v>#N/A</v>
      </c>
      <c r="J2638" s="7" t="s">
        <v>15</v>
      </c>
    </row>
    <row r="2639" spans="1:10" ht="13.2">
      <c r="A2639" s="7">
        <v>2638</v>
      </c>
      <c r="B2639" s="7">
        <v>1</v>
      </c>
      <c r="C2639" s="7" t="s">
        <v>10</v>
      </c>
      <c r="D2639" s="7">
        <v>756</v>
      </c>
      <c r="E2639" s="7" t="s">
        <v>16</v>
      </c>
      <c r="F2639" s="8" t="str">
        <f ca="1">IFERROR(__xludf.DUMMYFUNCTION("IF
(
C2640=""фізична особа""
,
VLOOKUP(D2640,IMPORTRANGE(""https://docs.google.com/spreadsheets/d/14Bd19lYaqBhU8_DElYkX7l4wRkHqqCUFNJY4AfY3kHU/edit?usp=sharing  #gid=0"",""фіз особи new!relations_name""),6,FALSE)
,
(IF
(
C2640=""юридична особа""
,
VLOOKUP"&amp;"(D2640,IMPORTRANGE(""https://docs.google.com/spreadsheets/d/14Bd19lYaqBhU8_DElYkX7l4wRkHqqCUFNJY4AfY3kHU/edit?usp=sharing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39" s="7" t="s">
        <v>10</v>
      </c>
      <c r="H2639" s="7">
        <v>185</v>
      </c>
      <c r="I2639" s="8" t="str">
        <f ca="1">IFERROR(__xludf.DUMMYFUNCTION("IF
(
G2640=""фізична особа""
,
VLOOKUP(H2640,IMPORTRANGE(""https://docs.google.com/spreadsheets/d/14Bd19lYaqBhU8_DElYkX7l4wRkHqqCUFNJY4AfY3kHU/edit?usp=sharing  #gid=0"",""фіз особи new!relations_name""),6,FALSE)
,
(IF
(
G2640=""юридична особа""
,
VLOOKUP"&amp;"(H2640,IMPORTRANGE(""https://docs.google.com/spreadsheets/d/14Bd19lYaqBhU8_DElYkX7l4wRkHqqCUFNJY4AfY3kHU/edit?usp=sharing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639" s="7" t="s">
        <v>16</v>
      </c>
    </row>
    <row r="2640" spans="1:10" ht="13.2">
      <c r="A2640" s="7">
        <v>2639</v>
      </c>
      <c r="B2640" s="7">
        <v>1</v>
      </c>
      <c r="C2640" s="7" t="s">
        <v>10</v>
      </c>
      <c r="D2640" s="7">
        <v>756</v>
      </c>
      <c r="E2640" s="7" t="s">
        <v>16</v>
      </c>
      <c r="F2640" s="8" t="str">
        <f ca="1">IFERROR(__xludf.DUMMYFUNCTION("IF
(
C2641=""фізична особа""
,
VLOOKUP(D2641,IMPORTRANGE(""https://docs.google.com/spreadsheets/d/14Bd19lYaqBhU8_DElYkX7l4wRkHqqCUFNJY4AfY3kHU/edit?usp=sharing  #gid=0"",""фіз особи new!relations_name""),6,FALSE)
,
(IF
(
C2641=""юридична особа""
,
VLOOKUP"&amp;"(D2641,IMPORTRANGE(""https://docs.google.com/spreadsheets/d/14Bd19lYaqBhU8_DElYkX7l4wRkHqqCUFNJY4AfY3kHU/edit?usp=sharing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0" s="7" t="s">
        <v>10</v>
      </c>
      <c r="H2640" s="7">
        <v>372</v>
      </c>
      <c r="I2640" s="8" t="str">
        <f ca="1">IFERROR(__xludf.DUMMYFUNCTION("IF
(
G2641=""фізична особа""
,
VLOOKUP(H2641,IMPORTRANGE(""https://docs.google.com/spreadsheets/d/14Bd19lYaqBhU8_DElYkX7l4wRkHqqCUFNJY4AfY3kHU/edit?usp=sharing  #gid=0"",""фіз особи new!relations_name""),6,FALSE)
,
(IF
(
G2641=""юридична особа""
,
VLOOKUP"&amp;"(H2641,IMPORTRANGE(""https://docs.google.com/spreadsheets/d/14Bd19lYaqBhU8_DElYkX7l4wRkHqqCUFNJY4AfY3kHU/edit?usp=sharing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J2640" s="7" t="s">
        <v>16</v>
      </c>
    </row>
    <row r="2641" spans="1:10" ht="13.2">
      <c r="A2641" s="7">
        <v>2640</v>
      </c>
      <c r="B2641" s="7">
        <v>1</v>
      </c>
      <c r="C2641" s="7" t="s">
        <v>10</v>
      </c>
      <c r="D2641" s="7">
        <v>756</v>
      </c>
      <c r="E2641" s="7" t="s">
        <v>16</v>
      </c>
      <c r="F2641" s="8" t="str">
        <f ca="1">IFERROR(__xludf.DUMMYFUNCTION("IF
(
C2642=""фізична особа""
,
VLOOKUP(D2642,IMPORTRANGE(""https://docs.google.com/spreadsheets/d/14Bd19lYaqBhU8_DElYkX7l4wRkHqqCUFNJY4AfY3kHU/edit?usp=sharing  #gid=0"",""фіз особи new!relations_name""),6,FALSE)
,
(IF
(
C2642=""юридична особа""
,
VLOOKUP"&amp;"(D2642,IMPORTRANGE(""https://docs.google.com/spreadsheets/d/14Bd19lYaqBhU8_DElYkX7l4wRkHqqCUFNJY4AfY3kHU/edit?usp=sharing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1" s="7" t="s">
        <v>10</v>
      </c>
      <c r="H2641" s="7">
        <v>1749</v>
      </c>
      <c r="I2641" s="8" t="str">
        <f ca="1">IFERROR(__xludf.DUMMYFUNCTION("IF
(
G2642=""фізична особа""
,
VLOOKUP(H2642,IMPORTRANGE(""https://docs.google.com/spreadsheets/d/14Bd19lYaqBhU8_DElYkX7l4wRkHqqCUFNJY4AfY3kHU/edit?usp=sharing  #gid=0"",""фіз особи new!relations_name""),6,FALSE)
,
(IF
(
G2642=""юридична особа""
,
VLOOKUP"&amp;"(H2642,IMPORTRANGE(""https://docs.google.com/spreadsheets/d/14Bd19lYaqBhU8_DElYkX7l4wRkHqqCUFNJY4AfY3kHU/edit?usp=sharing  #gid=0"",""фіз особи new!relations_name_uo""),7,FALSE)
,
)
))"),"ВИННИЧЕНКО Микола Олександрович")</f>
        <v>ВИННИЧЕНКО Микола Олександрович</v>
      </c>
      <c r="J2641" s="7" t="s">
        <v>16</v>
      </c>
    </row>
    <row r="2642" spans="1:10" ht="13.2">
      <c r="A2642" s="7">
        <v>2641</v>
      </c>
      <c r="B2642" s="7">
        <v>1</v>
      </c>
      <c r="C2642" s="7" t="s">
        <v>10</v>
      </c>
      <c r="D2642" s="7">
        <v>756</v>
      </c>
      <c r="E2642" s="7" t="s">
        <v>16</v>
      </c>
      <c r="F2642" s="8" t="str">
        <f ca="1">IFERROR(__xludf.DUMMYFUNCTION("IF
(
C2643=""фізична особа""
,
VLOOKUP(D2643,IMPORTRANGE(""https://docs.google.com/spreadsheets/d/14Bd19lYaqBhU8_DElYkX7l4wRkHqqCUFNJY4AfY3kHU/edit?usp=sharing  #gid=0"",""фіз особи new!relations_name""),6,FALSE)
,
(IF
(
C2643=""юридична особа""
,
VLOOKUP"&amp;"(D2643,IMPORTRANGE(""https://docs.google.com/spreadsheets/d/14Bd19lYaqBhU8_DElYkX7l4wRkHqqCUFNJY4AfY3kHU/edit?usp=sharing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2" s="7" t="s">
        <v>10</v>
      </c>
      <c r="H2642" s="7">
        <v>1756</v>
      </c>
      <c r="I2642" s="8" t="str">
        <f ca="1">IFERROR(__xludf.DUMMYFUNCTION("IF
(
G2643=""фізична особа""
,
VLOOKUP(H2643,IMPORTRANGE(""https://docs.google.com/spreadsheets/d/14Bd19lYaqBhU8_DElYkX7l4wRkHqqCUFNJY4AfY3kHU/edit?usp=sharing  #gid=0"",""фіз особи new!relations_name""),6,FALSE)
,
(IF
(
G2643=""юридична особа""
,
VLOOKUP"&amp;"(H2643,IMPORTRANGE(""https://docs.google.com/spreadsheets/d/14Bd19lYaqBhU8_DElYkX7l4wRkHqqCUFNJY4AfY3kHU/edit?usp=sharing  #gid=0"",""фіз особи new!relations_name_uo""),7,FALSE)
,
)
))"),"ЛЕОНЕНКО Олена Євгенівна")</f>
        <v>ЛЕОНЕНКО Олена Євгенівна</v>
      </c>
      <c r="J2642" s="7" t="s">
        <v>16</v>
      </c>
    </row>
    <row r="2643" spans="1:10" ht="13.2">
      <c r="A2643" s="7">
        <v>2642</v>
      </c>
      <c r="B2643" s="7">
        <v>1</v>
      </c>
      <c r="C2643" s="7" t="s">
        <v>10</v>
      </c>
      <c r="D2643" s="7">
        <v>756</v>
      </c>
      <c r="E2643" s="7" t="s">
        <v>16</v>
      </c>
      <c r="F2643" s="8" t="str">
        <f ca="1">IFERROR(__xludf.DUMMYFUNCTION("IF
(
C2644=""фізична особа""
,
VLOOKUP(D2644,IMPORTRANGE(""https://docs.google.com/spreadsheets/d/14Bd19lYaqBhU8_DElYkX7l4wRkHqqCUFNJY4AfY3kHU/edit?usp=sharing  #gid=0"",""фіз особи new!relations_name""),6,FALSE)
,
(IF
(
C2644=""юридична особа""
,
VLOOKUP"&amp;"(D2644,IMPORTRANGE(""https://docs.google.com/spreadsheets/d/14Bd19lYaqBhU8_DElYkX7l4wRkHqqCUFNJY4AfY3kHU/edit?usp=sharing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3" s="7" t="s">
        <v>10</v>
      </c>
      <c r="H2643" s="7">
        <v>4265</v>
      </c>
      <c r="I2643" s="8" t="str">
        <f ca="1">IFERROR(__xludf.DUMMYFUNCTION("IF
(
G2644=""фізична особа""
,
VLOOKUP(H2644,IMPORTRANGE(""https://docs.google.com/spreadsheets/d/14Bd19lYaqBhU8_DElYkX7l4wRkHqqCUFNJY4AfY3kHU/edit?usp=sharing  #gid=0"",""фіз особи new!relations_name""),6,FALSE)
,
(IF
(
G2644=""юридична особа""
,
VLOOKUP"&amp;"(H2644,IMPORTRANGE(""https://docs.google.com/spreadsheets/d/14Bd19lYaqBhU8_DElYkX7l4wRkHqqCUFNJY4AfY3kHU/edit?usp=sharing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J2643" s="7" t="s">
        <v>16</v>
      </c>
    </row>
    <row r="2644" spans="1:10" ht="13.2">
      <c r="A2644" s="7">
        <v>2643</v>
      </c>
      <c r="B2644" s="7">
        <v>1</v>
      </c>
      <c r="C2644" s="7" t="s">
        <v>10</v>
      </c>
      <c r="D2644" s="7">
        <v>756</v>
      </c>
      <c r="E2644" s="7" t="s">
        <v>16</v>
      </c>
      <c r="F2644" s="8" t="str">
        <f ca="1">IFERROR(__xludf.DUMMYFUNCTION("IF
(
C2645=""фізична особа""
,
VLOOKUP(D2645,IMPORTRANGE(""https://docs.google.com/spreadsheets/d/14Bd19lYaqBhU8_DElYkX7l4wRkHqqCUFNJY4AfY3kHU/edit?usp=sharing  #gid=0"",""фіз особи new!relations_name""),6,FALSE)
,
(IF
(
C2645=""юридична особа""
,
VLOOKUP"&amp;"(D2645,IMPORTRANGE(""https://docs.google.com/spreadsheets/d/14Bd19lYaqBhU8_DElYkX7l4wRkHqqCUFNJY4AfY3kHU/edit?usp=sharing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4" s="7" t="s">
        <v>10</v>
      </c>
      <c r="H2644" s="7">
        <v>1428</v>
      </c>
      <c r="I2644" s="8" t="str">
        <f ca="1">IFERROR(__xludf.DUMMYFUNCTION("IF
(
G2645=""фізична особа""
,
VLOOKUP(H2645,IMPORTRANGE(""https://docs.google.com/spreadsheets/d/14Bd19lYaqBhU8_DElYkX7l4wRkHqqCUFNJY4AfY3kHU/edit?usp=sharing  #gid=0"",""фіз особи new!relations_name""),6,FALSE)
,
(IF
(
G2645=""юридична особа""
,
VLOOKUP"&amp;"(H2645,IMPORTRANGE(""https://docs.google.com/spreadsheets/d/14Bd19lYaqBhU8_DElYkX7l4wRkHqqCUFNJY4AfY3kHU/edit?usp=sharing  #gid=0"",""фіз особи new!relations_name_uo""),7,FALSE)
,
)
))"),"ЄЛІСЄЄВ Ілля Володимирович")</f>
        <v>ЄЛІСЄЄВ Ілля Володимирович</v>
      </c>
      <c r="J2644" s="7" t="s">
        <v>16</v>
      </c>
    </row>
    <row r="2645" spans="1:10" ht="13.2">
      <c r="A2645" s="7">
        <v>2644</v>
      </c>
      <c r="B2645" s="7">
        <v>1</v>
      </c>
      <c r="C2645" s="7" t="s">
        <v>10</v>
      </c>
      <c r="D2645" s="7">
        <v>756</v>
      </c>
      <c r="E2645" s="7" t="s">
        <v>28</v>
      </c>
      <c r="F2645" s="8" t="str">
        <f ca="1">IFERROR(__xludf.DUMMYFUNCTION("IF
(
C2646=""фізична особа""
,
VLOOKUP(D2646,IMPORTRANGE(""https://docs.google.com/spreadsheets/d/14Bd19lYaqBhU8_DElYkX7l4wRkHqqCUFNJY4AfY3kHU/edit?usp=sharing  #gid=0"",""фіз особи new!relations_name""),6,FALSE)
,
(IF
(
C2646=""юридична особа""
,
VLOOKUP"&amp;"(D2646,IMPORTRANGE(""https://docs.google.com/spreadsheets/d/14Bd19lYaqBhU8_DElYkX7l4wRkHqqCUFNJY4AfY3kHU/edit?usp=sharing  #gid=0"",""фіз особи new!relations_name_uo""),7,FALSE)
,
)
))"),"ГУЦАН Олександр Володимирович")</f>
        <v>ГУЦАН Олександр Володимирович</v>
      </c>
      <c r="G2645" s="7" t="s">
        <v>10</v>
      </c>
      <c r="H2645" s="7">
        <v>880</v>
      </c>
      <c r="I2645" s="8" t="str">
        <f ca="1">IFERROR(__xludf.DUMMYFUNCTION("IF
(
G2646=""фізична особа""
,
VLOOKUP(H2646,IMPORTRANGE(""https://docs.google.com/spreadsheets/d/14Bd19lYaqBhU8_DElYkX7l4wRkHqqCUFNJY4AfY3kHU/edit?usp=sharing  #gid=0"",""фіз особи new!relations_name""),6,FALSE)
,
(IF
(
G2646=""юридична особа""
,
VLOOKUP"&amp;"(H2646,IMPORTRANGE(""https://docs.google.com/spreadsheets/d/14Bd19lYaqBhU8_DElYkX7l4wRkHqqCUFNJY4AfY3kHU/edit?usp=sharing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645" s="7" t="s">
        <v>29</v>
      </c>
    </row>
    <row r="2646" spans="1:10" ht="13.2">
      <c r="A2646" s="7">
        <v>2645</v>
      </c>
      <c r="B2646" s="7">
        <v>1</v>
      </c>
      <c r="C2646" s="7" t="s">
        <v>10</v>
      </c>
      <c r="D2646" s="7">
        <v>757</v>
      </c>
      <c r="E2646" s="7" t="s">
        <v>28</v>
      </c>
      <c r="F2646" s="8" t="str">
        <f ca="1">IFERROR(__xludf.DUMMYFUNCTION("IF
(
C2647=""фізична особа""
,
VLOOKUP(D2647,IMPORTRANGE(""https://docs.google.com/spreadsheets/d/14Bd19lYaqBhU8_DElYkX7l4wRkHqqCUFNJY4AfY3kHU/edit?usp=sharing  #gid=0"",""фіз особи new!relations_name""),6,FALSE)
,
(IF
(
C2647=""юридична особа""
,
VLOOKUP"&amp;"(D2647,IMPORTRANGE(""https://docs.google.com/spreadsheets/d/14Bd19lYaqBhU8_DElYkX7l4wRkHqqCUFNJY4AfY3kHU/edit?usp=sharing  #gid=0"",""фіз особи new!relations_name_uo""),7,FALSE)
,
)
))"),"ПЕРЕВЕРЗЕВА Тетяна Вікторівна")</f>
        <v>ПЕРЕВЕРЗЕВА Тетяна Вікторівна</v>
      </c>
      <c r="G2646" s="7" t="s">
        <v>10</v>
      </c>
      <c r="H2646" s="7">
        <v>856</v>
      </c>
      <c r="I2646" s="8" t="str">
        <f ca="1">IFERROR(__xludf.DUMMYFUNCTION("IF
(
G2647=""фізична особа""
,
VLOOKUP(H2647,IMPORTRANGE(""https://docs.google.com/spreadsheets/d/14Bd19lYaqBhU8_DElYkX7l4wRkHqqCUFNJY4AfY3kHU/edit?usp=sharing  #gid=0"",""фіз особи new!relations_name""),6,FALSE)
,
(IF
(
G2647=""юридична особа""
,
VLOOKUP"&amp;"(H2647,IMPORTRANGE(""https://docs.google.com/spreadsheets/d/14Bd19lYaqBhU8_DElYkX7l4wRkHqqCUFNJY4AfY3kHU/edit?usp=sharing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2646" s="7" t="s">
        <v>29</v>
      </c>
    </row>
    <row r="2647" spans="1:10" ht="13.2">
      <c r="A2647" s="7">
        <v>2646</v>
      </c>
      <c r="B2647" s="7">
        <v>1</v>
      </c>
      <c r="C2647" s="7" t="s">
        <v>10</v>
      </c>
      <c r="D2647" s="7">
        <v>759</v>
      </c>
      <c r="E2647" s="7" t="s">
        <v>15</v>
      </c>
      <c r="F2647" s="8" t="str">
        <f ca="1">IFERROR(__xludf.DUMMYFUNCTION("IF
(
C2648=""фізична особа""
,
VLOOKUP(D2648,IMPORTRANGE(""https://docs.google.com/spreadsheets/d/14Bd19lYaqBhU8_DElYkX7l4wRkHqqCUFNJY4AfY3kHU/edit?usp=sharing  #gid=0"",""фіз особи new!relations_name""),6,FALSE)
,
(IF
(
C2648=""юридична особа""
,
VLOOKUP"&amp;"(D2648,IMPORTRANGE(""https://docs.google.com/spreadsheets/d/14Bd19lYaqBhU8_DElYkX7l4wRkHqqCUFNJY4AfY3kHU/edit?usp=sharing  #gid=0"",""фіз особи new!relations_name_uo""),7,FALSE)
,
)
))"),"САХАРОВА Тетяна Анатоліївна")</f>
        <v>САХАРОВА Тетяна Анатоліївна</v>
      </c>
      <c r="G2647" s="7" t="s">
        <v>10</v>
      </c>
      <c r="H2647" s="7">
        <v>0</v>
      </c>
      <c r="I2647" s="8" t="str">
        <f ca="1">IFERROR(__xludf.DUMMYFUNCTION("IF
(
G2648=""фізична особа""
,
VLOOKUP(H2648,IMPORTRANGE(""https://docs.google.com/spreadsheets/d/14Bd19lYaqBhU8_DElYkX7l4wRkHqqCUFNJY4AfY3kHU/edit?usp=sharing  #gid=0"",""фіз особи new!relations_name""),6,FALSE)
,
(IF
(
G2648=""юридична особа""
,
VLOOKUP"&amp;"(H2648,IMPORTRANGE(""https://docs.google.com/spreadsheets/d/14Bd19lYaqBhU8_DElYkX7l4wRkHqqCUFNJY4AfY3kHU/edit?usp=sharing  #gid=0"",""фіз особи new!relations_name_uo""),7,FALSE)
,
)
))"),"#N/A")</f>
        <v>#N/A</v>
      </c>
      <c r="J2647" s="7" t="s">
        <v>14</v>
      </c>
    </row>
    <row r="2648" spans="1:10" ht="13.2">
      <c r="A2648" s="7">
        <v>2647</v>
      </c>
      <c r="B2648" s="7">
        <v>1</v>
      </c>
      <c r="C2648" s="7" t="s">
        <v>10</v>
      </c>
      <c r="D2648" s="7">
        <v>760</v>
      </c>
      <c r="E2648" s="7" t="s">
        <v>15</v>
      </c>
      <c r="F2648" s="8" t="str">
        <f ca="1">IFERROR(__xludf.DUMMYFUNCTION("IF
(
C2649=""фізична особа""
,
VLOOKUP(D2649,IMPORTRANGE(""https://docs.google.com/spreadsheets/d/14Bd19lYaqBhU8_DElYkX7l4wRkHqqCUFNJY4AfY3kHU/edit?usp=sharing  #gid=0"",""фіз особи new!relations_name""),6,FALSE)
,
(IF
(
C2649=""юридична особа""
,
VLOOKUP"&amp;"(D2649,IMPORTRANGE(""https://docs.google.com/spreadsheets/d/14Bd19lYaqBhU8_DElYkX7l4wRkHqqCUFNJY4AfY3kHU/edit?usp=sharing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G2648" s="7" t="s">
        <v>10</v>
      </c>
      <c r="H2648" s="7">
        <v>203</v>
      </c>
      <c r="I2648" s="8" t="str">
        <f ca="1">IFERROR(__xludf.DUMMYFUNCTION("IF
(
G2649=""фізична особа""
,
VLOOKUP(H2649,IMPORTRANGE(""https://docs.google.com/spreadsheets/d/14Bd19lYaqBhU8_DElYkX7l4wRkHqqCUFNJY4AfY3kHU/edit?usp=sharing  #gid=0"",""фіз особи new!relations_name""),6,FALSE)
,
(IF
(
G2649=""юридична особа""
,
VLOOKUP"&amp;"(H2649,IMPORTRANGE(""https://docs.google.com/spreadsheets/d/14Bd19lYaqBhU8_DElYkX7l4wRkHqqCUFNJY4AfY3kHU/edit?usp=sharing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J2648" s="7" t="s">
        <v>14</v>
      </c>
    </row>
    <row r="2649" spans="1:10" ht="13.2">
      <c r="A2649" s="7">
        <v>2648</v>
      </c>
      <c r="B2649" s="7">
        <v>1</v>
      </c>
      <c r="C2649" s="7" t="s">
        <v>10</v>
      </c>
      <c r="D2649" s="7">
        <v>760</v>
      </c>
      <c r="E2649" s="7" t="s">
        <v>13</v>
      </c>
      <c r="F2649" s="8" t="str">
        <f ca="1">IFERROR(__xludf.DUMMYFUNCTION("IF
(
C2650=""фізична особа""
,
VLOOKUP(D2650,IMPORTRANGE(""https://docs.google.com/spreadsheets/d/14Bd19lYaqBhU8_DElYkX7l4wRkHqqCUFNJY4AfY3kHU/edit?usp=sharing  #gid=0"",""фіз особи new!relations_name""),6,FALSE)
,
(IF
(
C2650=""юридична особа""
,
VLOOKUP"&amp;"(D2650,IMPORTRANGE(""https://docs.google.com/spreadsheets/d/14Bd19lYaqBhU8_DElYkX7l4wRkHqqCUFNJY4AfY3kHU/edit?usp=sharing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G2649" s="7" t="s">
        <v>10</v>
      </c>
      <c r="H2649" s="7">
        <v>1045</v>
      </c>
      <c r="I2649" s="8" t="str">
        <f ca="1">IFERROR(__xludf.DUMMYFUNCTION("IF
(
G2650=""фізична особа""
,
VLOOKUP(H2650,IMPORTRANGE(""https://docs.google.com/spreadsheets/d/14Bd19lYaqBhU8_DElYkX7l4wRkHqqCUFNJY4AfY3kHU/edit?usp=sharing  #gid=0"",""фіз особи new!relations_name""),6,FALSE)
,
(IF
(
G2650=""юридична особа""
,
VLOOKUP"&amp;"(H2650,IMPORTRANGE(""https://docs.google.com/spreadsheets/d/14Bd19lYaqBhU8_DElYkX7l4wRkHqqCUFNJY4AfY3kHU/edit?usp=sharing  #gid=0"",""фіз особи new!relations_name_uo""),7,FALSE)
,
)
))"),"НАВКА Раїса Анатоліївна")</f>
        <v>НАВКА Раїса Анатоліївна</v>
      </c>
      <c r="J2649" s="7" t="s">
        <v>21</v>
      </c>
    </row>
    <row r="2650" spans="1:10" ht="13.2">
      <c r="A2650" s="7">
        <v>2649</v>
      </c>
      <c r="B2650" s="7">
        <v>1</v>
      </c>
      <c r="C2650" s="7" t="s">
        <v>10</v>
      </c>
      <c r="D2650" s="7">
        <v>760</v>
      </c>
      <c r="E2650" s="7" t="s">
        <v>13</v>
      </c>
      <c r="F2650" s="8" t="str">
        <f ca="1">IFERROR(__xludf.DUMMYFUNCTION("IF
(
C2651=""фізична особа""
,
VLOOKUP(D2651,IMPORTRANGE(""https://docs.google.com/spreadsheets/d/14Bd19lYaqBhU8_DElYkX7l4wRkHqqCUFNJY4AfY3kHU/edit?usp=sharing  #gid=0"",""фіз особи new!relations_name""),6,FALSE)
,
(IF
(
C2651=""юридична особа""
,
VLOOKUP"&amp;"(D2651,IMPORTRANGE(""https://docs.google.com/spreadsheets/d/14Bd19lYaqBhU8_DElYkX7l4wRkHqqCUFNJY4AfY3kHU/edit?usp=sharing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G2650" s="7" t="s">
        <v>10</v>
      </c>
      <c r="H2650" s="7">
        <v>1044</v>
      </c>
      <c r="I2650" s="8" t="str">
        <f ca="1">IFERROR(__xludf.DUMMYFUNCTION("IF
(
G2651=""фізична особа""
,
VLOOKUP(H2651,IMPORTRANGE(""https://docs.google.com/spreadsheets/d/14Bd19lYaqBhU8_DElYkX7l4wRkHqqCUFNJY4AfY3kHU/edit?usp=sharing  #gid=0"",""фіз особи new!relations_name""),6,FALSE)
,
(IF
(
G2651=""юридична особа""
,
VLOOKUP"&amp;"(H2651,IMPORTRANGE(""https://docs.google.com/spreadsheets/d/14Bd19lYaqBhU8_DElYkX7l4wRkHqqCUFNJY4AfY3kHU/edit?usp=sharing  #gid=0"",""фіз особи new!relations_name_uo""),7,FALSE)
,
)
))"),"НАВКА Олександр Петрович")</f>
        <v>НАВКА Олександр Петрович</v>
      </c>
      <c r="J2650" s="7" t="s">
        <v>12</v>
      </c>
    </row>
    <row r="2651" spans="1:10" ht="13.2">
      <c r="A2651" s="7">
        <v>2650</v>
      </c>
      <c r="B2651" s="7">
        <v>1</v>
      </c>
      <c r="C2651" s="7" t="s">
        <v>10</v>
      </c>
      <c r="D2651" s="7">
        <v>760</v>
      </c>
      <c r="E2651" s="7" t="s">
        <v>21</v>
      </c>
      <c r="F2651" s="8" t="str">
        <f ca="1">IFERROR(__xludf.DUMMYFUNCTION("IF
(
C2652=""фізична особа""
,
VLOOKUP(D2652,IMPORTRANGE(""https://docs.google.com/spreadsheets/d/14Bd19lYaqBhU8_DElYkX7l4wRkHqqCUFNJY4AfY3kHU/edit?usp=sharing  #gid=0"",""фіз особи new!relations_name""),6,FALSE)
,
(IF
(
C2652=""юридична особа""
,
VLOOKUP"&amp;"(D2652,IMPORTRANGE(""https://docs.google.com/spreadsheets/d/14Bd19lYaqBhU8_DElYkX7l4wRkHqqCUFNJY4AfY3kHU/edit?usp=sharing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G2651" s="7" t="s">
        <v>10</v>
      </c>
      <c r="H2651" s="7">
        <v>1040</v>
      </c>
      <c r="I2651" s="8" t="str">
        <f ca="1">IFERROR(__xludf.DUMMYFUNCTION("IF
(
G2652=""фізична особа""
,
VLOOKUP(H2652,IMPORTRANGE(""https://docs.google.com/spreadsheets/d/14Bd19lYaqBhU8_DElYkX7l4wRkHqqCUFNJY4AfY3kHU/edit?usp=sharing  #gid=0"",""фіз особи new!relations_name""),6,FALSE)
,
(IF
(
G2652=""юридична особа""
,
VLOOKUP"&amp;"(H2652,IMPORTRANGE(""https://docs.google.com/spreadsheets/d/14Bd19lYaqBhU8_DElYkX7l4wRkHqqCUFNJY4AfY3kHU/edit?usp=sharing  #gid=0"",""фіз особи new!relations_name_uo""),7,FALSE)
,
)
))"),"ЖУЛІНА Олександра Олександрівна")</f>
        <v>ЖУЛІНА Олександра Олександрівна</v>
      </c>
      <c r="J2651" s="7" t="s">
        <v>13</v>
      </c>
    </row>
    <row r="2652" spans="1:10" ht="13.2">
      <c r="A2652" s="7">
        <v>2651</v>
      </c>
      <c r="B2652" s="7">
        <v>1</v>
      </c>
      <c r="C2652" s="7" t="s">
        <v>10</v>
      </c>
      <c r="D2652" s="7">
        <v>761</v>
      </c>
      <c r="E2652" s="7" t="s">
        <v>45</v>
      </c>
      <c r="F2652" s="8" t="str">
        <f ca="1">IFERROR(__xludf.DUMMYFUNCTION("IF
(
C2653=""фізична особа""
,
VLOOKUP(D2653,IMPORTRANGE(""https://docs.google.com/spreadsheets/d/14Bd19lYaqBhU8_DElYkX7l4wRkHqqCUFNJY4AfY3kHU/edit?usp=sharing  #gid=0"",""фіз особи new!relations_name""),6,FALSE)
,
(IF
(
C2653=""юридична особа""
,
VLOOKUP"&amp;"(D2653,IMPORTRANGE(""https://docs.google.com/spreadsheets/d/14Bd19lYaqBhU8_DElYkX7l4wRkHqqCUFNJY4AfY3kHU/edit?usp=sharing  #gid=0"",""фіз особи new!relations_name_uo""),7,FALSE)
,
)
))"),"ШЕВЦОВА Тетяна Вікторівна")</f>
        <v>ШЕВЦОВА Тетяна Вікторівна</v>
      </c>
      <c r="G2652" s="7" t="s">
        <v>10</v>
      </c>
      <c r="H2652" s="7">
        <v>0</v>
      </c>
      <c r="I2652" s="8" t="str">
        <f ca="1">IFERROR(__xludf.DUMMYFUNCTION("IF
(
G2653=""фізична особа""
,
VLOOKUP(H2653,IMPORTRANGE(""https://docs.google.com/spreadsheets/d/14Bd19lYaqBhU8_DElYkX7l4wRkHqqCUFNJY4AfY3kHU/edit?usp=sharing  #gid=0"",""фіз особи new!relations_name""),6,FALSE)
,
(IF
(
G2653=""юридична особа""
,
VLOOKUP"&amp;"(H2653,IMPORTRANGE(""https://docs.google.com/spreadsheets/d/14Bd19lYaqBhU8_DElYkX7l4wRkHqqCUFNJY4AfY3kHU/edit?usp=sharing  #gid=0"",""фіз особи new!relations_name_uo""),7,FALSE)
,
)
))"),"#N/A")</f>
        <v>#N/A</v>
      </c>
      <c r="J2652" s="7" t="s">
        <v>20</v>
      </c>
    </row>
    <row r="2653" spans="1:10" ht="13.2">
      <c r="A2653" s="7">
        <v>2652</v>
      </c>
      <c r="B2653" s="7">
        <v>1</v>
      </c>
      <c r="C2653" s="7" t="s">
        <v>10</v>
      </c>
      <c r="D2653" s="7">
        <v>761</v>
      </c>
      <c r="E2653" s="7" t="s">
        <v>15</v>
      </c>
      <c r="F2653" s="8" t="str">
        <f ca="1">IFERROR(__xludf.DUMMYFUNCTION("IF
(
C2654=""фізична особа""
,
VLOOKUP(D2654,IMPORTRANGE(""https://docs.google.com/spreadsheets/d/14Bd19lYaqBhU8_DElYkX7l4wRkHqqCUFNJY4AfY3kHU/edit?usp=sharing  #gid=0"",""фіз особи new!relations_name""),6,FALSE)
,
(IF
(
C2654=""юридична особа""
,
VLOOKUP"&amp;"(D2654,IMPORTRANGE(""https://docs.google.com/spreadsheets/d/14Bd19lYaqBhU8_DElYkX7l4wRkHqqCUFNJY4AfY3kHU/edit?usp=sharing  #gid=0"",""фіз особи new!relations_name_uo""),7,FALSE)
,
)
))"),"ШЕВЦОВА Тетяна Вікторівна")</f>
        <v>ШЕВЦОВА Тетяна Вікторівна</v>
      </c>
      <c r="G2653" s="7" t="s">
        <v>10</v>
      </c>
      <c r="H2653" s="7">
        <v>0</v>
      </c>
      <c r="I2653" s="8" t="str">
        <f ca="1">IFERROR(__xludf.DUMMYFUNCTION("IF
(
G2654=""фізична особа""
,
VLOOKUP(H2654,IMPORTRANGE(""https://docs.google.com/spreadsheets/d/14Bd19lYaqBhU8_DElYkX7l4wRkHqqCUFNJY4AfY3kHU/edit?usp=sharing  #gid=0"",""фіз особи new!relations_name""),6,FALSE)
,
(IF
(
G2654=""юридична особа""
,
VLOOKUP"&amp;"(H2654,IMPORTRANGE(""https://docs.google.com/spreadsheets/d/14Bd19lYaqBhU8_DElYkX7l4wRkHqqCUFNJY4AfY3kHU/edit?usp=sharing  #gid=0"",""фіз особи new!relations_name_uo""),7,FALSE)
,
)
))"),"#N/A")</f>
        <v>#N/A</v>
      </c>
      <c r="J2653" s="7" t="s">
        <v>14</v>
      </c>
    </row>
    <row r="2654" spans="1:10" ht="13.2">
      <c r="A2654" s="7">
        <v>2653</v>
      </c>
      <c r="B2654" s="7">
        <v>1</v>
      </c>
      <c r="C2654" s="7" t="s">
        <v>10</v>
      </c>
      <c r="D2654" s="7">
        <v>761</v>
      </c>
      <c r="E2654" s="7" t="s">
        <v>21</v>
      </c>
      <c r="F2654" s="8" t="str">
        <f ca="1">IFERROR(__xludf.DUMMYFUNCTION("IF
(
C2655=""фізична особа""
,
VLOOKUP(D2655,IMPORTRANGE(""https://docs.google.com/spreadsheets/d/14Bd19lYaqBhU8_DElYkX7l4wRkHqqCUFNJY4AfY3kHU/edit?usp=sharing  #gid=0"",""фіз особи new!relations_name""),6,FALSE)
,
(IF
(
C2655=""юридична особа""
,
VLOOKUP"&amp;"(D2655,IMPORTRANGE(""https://docs.google.com/spreadsheets/d/14Bd19lYaqBhU8_DElYkX7l4wRkHqqCUFNJY4AfY3kHU/edit?usp=sharing  #gid=0"",""фіз особи new!relations_name_uo""),7,FALSE)
,
)
))"),"ШЕВЦОВА Тетяна Вікторівна")</f>
        <v>ШЕВЦОВА Тетяна Вікторівна</v>
      </c>
      <c r="G2654" s="7" t="s">
        <v>10</v>
      </c>
      <c r="H2654" s="7">
        <v>0</v>
      </c>
      <c r="I2654" s="8" t="str">
        <f ca="1">IFERROR(__xludf.DUMMYFUNCTION("IF
(
G2655=""фізична особа""
,
VLOOKUP(H2655,IMPORTRANGE(""https://docs.google.com/spreadsheets/d/14Bd19lYaqBhU8_DElYkX7l4wRkHqqCUFNJY4AfY3kHU/edit?usp=sharing  #gid=0"",""фіз особи new!relations_name""),6,FALSE)
,
(IF
(
G2655=""юридична особа""
,
VLOOKUP"&amp;"(H2655,IMPORTRANGE(""https://docs.google.com/spreadsheets/d/14Bd19lYaqBhU8_DElYkX7l4wRkHqqCUFNJY4AfY3kHU/edit?usp=sharing  #gid=0"",""фіз особи new!relations_name_uo""),7,FALSE)
,
)
))"),"#N/A")</f>
        <v>#N/A</v>
      </c>
      <c r="J2654" s="7" t="s">
        <v>17</v>
      </c>
    </row>
    <row r="2655" spans="1:10" ht="13.2">
      <c r="A2655" s="7">
        <v>2654</v>
      </c>
      <c r="B2655" s="7">
        <v>1</v>
      </c>
      <c r="C2655" s="7" t="s">
        <v>10</v>
      </c>
      <c r="D2655" s="7">
        <v>761</v>
      </c>
      <c r="E2655" s="7" t="s">
        <v>28</v>
      </c>
      <c r="F2655" s="8" t="str">
        <f ca="1">IFERROR(__xludf.DUMMYFUNCTION("IF
(
C2656=""фізична особа""
,
VLOOKUP(D2656,IMPORTRANGE(""https://docs.google.com/spreadsheets/d/14Bd19lYaqBhU8_DElYkX7l4wRkHqqCUFNJY4AfY3kHU/edit?usp=sharing  #gid=0"",""фіз особи new!relations_name""),6,FALSE)
,
(IF
(
C2656=""юридична особа""
,
VLOOKUP"&amp;"(D2656,IMPORTRANGE(""https://docs.google.com/spreadsheets/d/14Bd19lYaqBhU8_DElYkX7l4wRkHqqCUFNJY4AfY3kHU/edit?usp=sharing  #gid=0"",""фіз особи new!relations_name_uo""),7,FALSE)
,
)
))"),"ШЕВЦОВА Тетяна Вікторівна")</f>
        <v>ШЕВЦОВА Тетяна Вікторівна</v>
      </c>
      <c r="G2655" s="7" t="s">
        <v>10</v>
      </c>
      <c r="H2655" s="7">
        <v>670</v>
      </c>
      <c r="I2655" s="8" t="str">
        <f ca="1">IFERROR(__xludf.DUMMYFUNCTION("IF
(
G2656=""фізична особа""
,
VLOOKUP(H2656,IMPORTRANGE(""https://docs.google.com/spreadsheets/d/14Bd19lYaqBhU8_DElYkX7l4wRkHqqCUFNJY4AfY3kHU/edit?usp=sharing  #gid=0"",""фіз особи new!relations_name""),6,FALSE)
,
(IF
(
G2656=""юридична особа""
,
VLOOKUP"&amp;"(H2656,IMPORTRANGE(""https://docs.google.com/spreadsheets/d/14Bd19lYaqBhU8_DElYkX7l4wRkHqqCUFNJY4AfY3kHU/edit?usp=sharing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655" s="7" t="s">
        <v>29</v>
      </c>
    </row>
    <row r="2656" spans="1:10" ht="13.2">
      <c r="A2656" s="7">
        <v>2655</v>
      </c>
      <c r="B2656" s="7">
        <v>1</v>
      </c>
      <c r="C2656" s="7" t="s">
        <v>10</v>
      </c>
      <c r="D2656" s="7">
        <v>761</v>
      </c>
      <c r="E2656" s="7" t="s">
        <v>40</v>
      </c>
      <c r="F2656" s="8" t="str">
        <f ca="1">IFERROR(__xludf.DUMMYFUNCTION("IF
(
C2657=""фізична особа""
,
VLOOKUP(D2657,IMPORTRANGE(""https://docs.google.com/spreadsheets/d/14Bd19lYaqBhU8_DElYkX7l4wRkHqqCUFNJY4AfY3kHU/edit?usp=sharing  #gid=0"",""фіз особи new!relations_name""),6,FALSE)
,
(IF
(
C2657=""юридична особа""
,
VLOOKUP"&amp;"(D2657,IMPORTRANGE(""https://docs.google.com/spreadsheets/d/14Bd19lYaqBhU8_DElYkX7l4wRkHqqCUFNJY4AfY3kHU/edit?usp=sharing  #gid=0"",""фіз особи new!relations_name_uo""),7,FALSE)
,
)
))"),"ШЕВЦОВА Тетяна Вікторівна")</f>
        <v>ШЕВЦОВА Тетяна Вікторівна</v>
      </c>
      <c r="G2656" s="7" t="s">
        <v>10</v>
      </c>
      <c r="H2656" s="7">
        <v>2158</v>
      </c>
      <c r="I2656" s="8" t="str">
        <f ca="1">IFERROR(__xludf.DUMMYFUNCTION("IF
(
G2657=""фізична особа""
,
VLOOKUP(H2657,IMPORTRANGE(""https://docs.google.com/spreadsheets/d/14Bd19lYaqBhU8_DElYkX7l4wRkHqqCUFNJY4AfY3kHU/edit?usp=sharing  #gid=0"",""фіз особи new!relations_name""),6,FALSE)
,
(IF
(
G2657=""юридична особа""
,
VLOOKUP"&amp;"(H2657,IMPORTRANGE(""https://docs.google.com/spreadsheets/d/14Bd19lYaqBhU8_DElYkX7l4wRkHqqCUFNJY4AfY3kHU/edit?usp=sharing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2656" s="7" t="s">
        <v>41</v>
      </c>
    </row>
    <row r="2657" spans="1:10" ht="13.2">
      <c r="A2657" s="7">
        <v>2656</v>
      </c>
      <c r="B2657" s="7">
        <v>1</v>
      </c>
      <c r="C2657" s="7" t="s">
        <v>10</v>
      </c>
      <c r="D2657" s="7">
        <v>762</v>
      </c>
      <c r="E2657" s="7" t="s">
        <v>13</v>
      </c>
      <c r="F2657" s="8" t="str">
        <f ca="1">IFERROR(__xludf.DUMMYFUNCTION("IF
(
C2658=""фізична особа""
,
VLOOKUP(D2658,IMPORTRANGE(""https://docs.google.com/spreadsheets/d/14Bd19lYaqBhU8_DElYkX7l4wRkHqqCUFNJY4AfY3kHU/edit?usp=sharing  #gid=0"",""фіз особи new!relations_name""),6,FALSE)
,
(IF
(
C2658=""юридична особа""
,
VLOOKUP"&amp;"(D2658,IMPORTRANGE(""https://docs.google.com/spreadsheets/d/14Bd19lYaqBhU8_DElYkX7l4wRkHqqCUFNJY4AfY3kHU/edit?usp=sharing  #gid=0"",""фіз особи new!relations_name_uo""),7,FALSE)
,
)
))"),"КУСАЙКО Тетяна Олексіївна")</f>
        <v>КУСАЙКО Тетяна Олексіївна</v>
      </c>
      <c r="G2657" s="7" t="s">
        <v>10</v>
      </c>
      <c r="H2657" s="7">
        <v>0</v>
      </c>
      <c r="I2657" s="8" t="str">
        <f ca="1">IFERROR(__xludf.DUMMYFUNCTION("IF
(
G2658=""фізична особа""
,
VLOOKUP(H2658,IMPORTRANGE(""https://docs.google.com/spreadsheets/d/14Bd19lYaqBhU8_DElYkX7l4wRkHqqCUFNJY4AfY3kHU/edit?usp=sharing  #gid=0"",""фіз особи new!relations_name""),6,FALSE)
,
(IF
(
G2658=""юридична особа""
,
VLOOKUP"&amp;"(H2658,IMPORTRANGE(""https://docs.google.com/spreadsheets/d/14Bd19lYaqBhU8_DElYkX7l4wRkHqqCUFNJY4AfY3kHU/edit?usp=sharing  #gid=0"",""фіз особи new!relations_name_uo""),7,FALSE)
,
)
))"),"#N/A")</f>
        <v>#N/A</v>
      </c>
      <c r="J2657" s="7" t="s">
        <v>12</v>
      </c>
    </row>
    <row r="2658" spans="1:10" ht="13.2">
      <c r="A2658" s="7">
        <v>2657</v>
      </c>
      <c r="B2658" s="7">
        <v>1</v>
      </c>
      <c r="C2658" s="7" t="s">
        <v>10</v>
      </c>
      <c r="D2658" s="7">
        <v>762</v>
      </c>
      <c r="E2658" s="7" t="s">
        <v>13</v>
      </c>
      <c r="F2658" s="8" t="str">
        <f ca="1">IFERROR(__xludf.DUMMYFUNCTION("IF
(
C2659=""фізична особа""
,
VLOOKUP(D2659,IMPORTRANGE(""https://docs.google.com/spreadsheets/d/14Bd19lYaqBhU8_DElYkX7l4wRkHqqCUFNJY4AfY3kHU/edit?usp=sharing  #gid=0"",""фіз особи new!relations_name""),6,FALSE)
,
(IF
(
C2659=""юридична особа""
,
VLOOKUP"&amp;"(D2659,IMPORTRANGE(""https://docs.google.com/spreadsheets/d/14Bd19lYaqBhU8_DElYkX7l4wRkHqqCUFNJY4AfY3kHU/edit?usp=sharing  #gid=0"",""фіз особи new!relations_name_uo""),7,FALSE)
,
)
))"),"КУСАЙКО Тетяна Олексіївна")</f>
        <v>КУСАЙКО Тетяна Олексіївна</v>
      </c>
      <c r="G2658" s="7" t="s">
        <v>10</v>
      </c>
      <c r="H2658" s="7">
        <v>0</v>
      </c>
      <c r="I2658" s="8" t="str">
        <f ca="1">IFERROR(__xludf.DUMMYFUNCTION("IF
(
G2659=""фізична особа""
,
VLOOKUP(H2659,IMPORTRANGE(""https://docs.google.com/spreadsheets/d/14Bd19lYaqBhU8_DElYkX7l4wRkHqqCUFNJY4AfY3kHU/edit?usp=sharing  #gid=0"",""фіз особи new!relations_name""),6,FALSE)
,
(IF
(
G2659=""юридична особа""
,
VLOOKUP"&amp;"(H2659,IMPORTRANGE(""https://docs.google.com/spreadsheets/d/14Bd19lYaqBhU8_DElYkX7l4wRkHqqCUFNJY4AfY3kHU/edit?usp=sharing  #gid=0"",""фіз особи new!relations_name_uo""),7,FALSE)
,
)
))"),"#N/A")</f>
        <v>#N/A</v>
      </c>
      <c r="J2658" s="7" t="s">
        <v>21</v>
      </c>
    </row>
    <row r="2659" spans="1:10" ht="13.2">
      <c r="A2659" s="7">
        <v>2658</v>
      </c>
      <c r="B2659" s="7">
        <v>1</v>
      </c>
      <c r="C2659" s="7" t="s">
        <v>10</v>
      </c>
      <c r="D2659" s="7">
        <v>763</v>
      </c>
      <c r="E2659" s="7" t="s">
        <v>15</v>
      </c>
      <c r="F2659" s="8" t="str">
        <f ca="1">IFERROR(__xludf.DUMMYFUNCTION("IF
(
C2660=""фізична особа""
,
VLOOKUP(D2660,IMPORTRANGE(""https://docs.google.com/spreadsheets/d/14Bd19lYaqBhU8_DElYkX7l4wRkHqqCUFNJY4AfY3kHU/edit?usp=sharing  #gid=0"",""фіз особи new!relations_name""),6,FALSE)
,
(IF
(
C2660=""юридична особа""
,
VLOOKUP"&amp;"(D2660,IMPORTRANGE(""https://docs.google.com/spreadsheets/d/14Bd19lYaqBhU8_DElYkX7l4wRkHqqCUFNJY4AfY3kHU/edit?usp=sharing  #gid=0"",""фіз особи new!relations_name_uo""),7,FALSE)
,
)
))"),"ГІГЕЛЬ Тетяна Анатоліївна")</f>
        <v>ГІГЕЛЬ Тетяна Анатоліївна</v>
      </c>
      <c r="G2659" s="7" t="s">
        <v>10</v>
      </c>
      <c r="H2659" s="7">
        <v>0</v>
      </c>
      <c r="I2659" s="8" t="str">
        <f ca="1">IFERROR(__xludf.DUMMYFUNCTION("IF
(
G2660=""фізична особа""
,
VLOOKUP(H2660,IMPORTRANGE(""https://docs.google.com/spreadsheets/d/14Bd19lYaqBhU8_DElYkX7l4wRkHqqCUFNJY4AfY3kHU/edit?usp=sharing  #gid=0"",""фіз особи new!relations_name""),6,FALSE)
,
(IF
(
G2660=""юридична особа""
,
VLOOKUP"&amp;"(H2660,IMPORTRANGE(""https://docs.google.com/spreadsheets/d/14Bd19lYaqBhU8_DElYkX7l4wRkHqqCUFNJY4AfY3kHU/edit?usp=sharing  #gid=0"",""фіз особи new!relations_name_uo""),7,FALSE)
,
)
))"),"#N/A")</f>
        <v>#N/A</v>
      </c>
      <c r="J2659" s="7" t="s">
        <v>14</v>
      </c>
    </row>
    <row r="2660" spans="1:10" ht="13.2">
      <c r="A2660" s="7">
        <v>2659</v>
      </c>
      <c r="B2660" s="7">
        <v>1</v>
      </c>
      <c r="C2660" s="7" t="s">
        <v>10</v>
      </c>
      <c r="D2660" s="7">
        <v>764</v>
      </c>
      <c r="E2660" s="7" t="s">
        <v>48</v>
      </c>
      <c r="F2660" s="8" t="str">
        <f ca="1">IFERROR(__xludf.DUMMYFUNCTION("IF
(
C2661=""фізична особа""
,
VLOOKUP(D2661,IMPORTRANGE(""https://docs.google.com/spreadsheets/d/14Bd19lYaqBhU8_DElYkX7l4wRkHqqCUFNJY4AfY3kHU/edit?usp=sharing  #gid=0"",""фіз особи new!relations_name""),6,FALSE)
,
(IF
(
C2661=""юридична особа""
,
VLOOKUP"&amp;"(D2661,IMPORTRANGE(""https://docs.google.com/spreadsheets/d/14Bd19lYaqBhU8_DElYkX7l4wRkHqqCUFNJY4AfY3kHU/edit?usp=sharing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60" s="7" t="s">
        <v>10</v>
      </c>
      <c r="H2660" s="7">
        <v>185</v>
      </c>
      <c r="I2660" s="8" t="str">
        <f ca="1">IFERROR(__xludf.DUMMYFUNCTION("IF
(
G2661=""фізична особа""
,
VLOOKUP(H2661,IMPORTRANGE(""https://docs.google.com/spreadsheets/d/14Bd19lYaqBhU8_DElYkX7l4wRkHqqCUFNJY4AfY3kHU/edit?usp=sharing  #gid=0"",""фіз особи new!relations_name""),6,FALSE)
,
(IF
(
G2661=""юридична особа""
,
VLOOKUP"&amp;"(H2661,IMPORTRANGE(""https://docs.google.com/spreadsheets/d/14Bd19lYaqBhU8_DElYkX7l4wRkHqqCUFNJY4AfY3kHU/edit?usp=sharing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660" s="7" t="s">
        <v>48</v>
      </c>
    </row>
    <row r="2661" spans="1:10" ht="13.2">
      <c r="A2661" s="7">
        <v>2660</v>
      </c>
      <c r="B2661" s="7">
        <v>1</v>
      </c>
      <c r="C2661" s="7" t="s">
        <v>10</v>
      </c>
      <c r="D2661" s="7">
        <v>764</v>
      </c>
      <c r="E2661" s="7" t="s">
        <v>48</v>
      </c>
      <c r="F2661" s="8" t="str">
        <f ca="1">IFERROR(__xludf.DUMMYFUNCTION("IF
(
C2662=""фізична особа""
,
VLOOKUP(D2662,IMPORTRANGE(""https://docs.google.com/spreadsheets/d/14Bd19lYaqBhU8_DElYkX7l4wRkHqqCUFNJY4AfY3kHU/edit?usp=sharing  #gid=0"",""фіз особи new!relations_name""),6,FALSE)
,
(IF
(
C2662=""юридична особа""
,
VLOOKUP"&amp;"(D2662,IMPORTRANGE(""https://docs.google.com/spreadsheets/d/14Bd19lYaqBhU8_DElYkX7l4wRkHqqCUFNJY4AfY3kHU/edit?usp=sharing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61" s="7" t="s">
        <v>10</v>
      </c>
      <c r="H2661" s="7">
        <v>64</v>
      </c>
      <c r="I2661" s="8" t="str">
        <f ca="1">IFERROR(__xludf.DUMMYFUNCTION("IF
(
G2662=""фізична особа""
,
VLOOKUP(H2662,IMPORTRANGE(""https://docs.google.com/spreadsheets/d/14Bd19lYaqBhU8_DElYkX7l4wRkHqqCUFNJY4AfY3kHU/edit?usp=sharing  #gid=0"",""фіз особи new!relations_name""),6,FALSE)
,
(IF
(
G2662=""юридична особа""
,
VLOOKUP"&amp;"(H2662,IMPORTRANGE(""https://docs.google.com/spreadsheets/d/14Bd19lYaqBhU8_DElYkX7l4wRkHqqCUFNJY4AfY3kHU/edit?usp=sharing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661" s="7" t="s">
        <v>48</v>
      </c>
    </row>
    <row r="2662" spans="1:10" ht="13.2">
      <c r="A2662" s="7">
        <v>2661</v>
      </c>
      <c r="B2662" s="7">
        <v>1</v>
      </c>
      <c r="C2662" s="7" t="s">
        <v>10</v>
      </c>
      <c r="D2662" s="7">
        <v>764</v>
      </c>
      <c r="E2662" s="7" t="s">
        <v>48</v>
      </c>
      <c r="F2662" s="8" t="str">
        <f ca="1">IFERROR(__xludf.DUMMYFUNCTION("IF
(
C2663=""фізична особа""
,
VLOOKUP(D2663,IMPORTRANGE(""https://docs.google.com/spreadsheets/d/14Bd19lYaqBhU8_DElYkX7l4wRkHqqCUFNJY4AfY3kHU/edit?usp=sharing  #gid=0"",""фіз особи new!relations_name""),6,FALSE)
,
(IF
(
C2663=""юридична особа""
,
VLOOKUP"&amp;"(D2663,IMPORTRANGE(""https://docs.google.com/spreadsheets/d/14Bd19lYaqBhU8_DElYkX7l4wRkHqqCUFNJY4AfY3kHU/edit?usp=sharing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62" s="7" t="s">
        <v>10</v>
      </c>
      <c r="H2662" s="7">
        <v>844</v>
      </c>
      <c r="I2662" s="8" t="str">
        <f ca="1">IFERROR(__xludf.DUMMYFUNCTION("IF
(
G2663=""фізична особа""
,
VLOOKUP(H2663,IMPORTRANGE(""https://docs.google.com/spreadsheets/d/14Bd19lYaqBhU8_DElYkX7l4wRkHqqCUFNJY4AfY3kHU/edit?usp=sharing  #gid=0"",""фіз особи new!relations_name""),6,FALSE)
,
(IF
(
G2663=""юридична особа""
,
VLOOKUP"&amp;"(H2663,IMPORTRANGE(""https://docs.google.com/spreadsheets/d/14Bd19lYaqBhU8_DElYkX7l4wRkHqqCUFNJY4AfY3kHU/edit?usp=sharing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662" s="7" t="s">
        <v>48</v>
      </c>
    </row>
    <row r="2663" spans="1:10" ht="13.2">
      <c r="A2663" s="7">
        <v>2662</v>
      </c>
      <c r="B2663" s="7">
        <v>1</v>
      </c>
      <c r="C2663" s="7" t="s">
        <v>10</v>
      </c>
      <c r="D2663" s="7">
        <v>764</v>
      </c>
      <c r="E2663" s="7" t="s">
        <v>48</v>
      </c>
      <c r="F2663" s="8" t="str">
        <f ca="1">IFERROR(__xludf.DUMMYFUNCTION("IF
(
C2664=""фізична особа""
,
VLOOKUP(D2664,IMPORTRANGE(""https://docs.google.com/spreadsheets/d/14Bd19lYaqBhU8_DElYkX7l4wRkHqqCUFNJY4AfY3kHU/edit?usp=sharing  #gid=0"",""фіз особи new!relations_name""),6,FALSE)
,
(IF
(
C2664=""юридична особа""
,
VLOOKUP"&amp;"(D2664,IMPORTRANGE(""https://docs.google.com/spreadsheets/d/14Bd19lYaqBhU8_DElYkX7l4wRkHqqCUFNJY4AfY3kHU/edit?usp=sharing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63" s="7" t="s">
        <v>10</v>
      </c>
      <c r="H2663" s="7">
        <v>4789</v>
      </c>
      <c r="I2663" s="8" t="str">
        <f ca="1">IFERROR(__xludf.DUMMYFUNCTION("IF
(
G2664=""фізична особа""
,
VLOOKUP(H2664,IMPORTRANGE(""https://docs.google.com/spreadsheets/d/14Bd19lYaqBhU8_DElYkX7l4wRkHqqCUFNJY4AfY3kHU/edit?usp=sharing  #gid=0"",""фіз особи new!relations_name""),6,FALSE)
,
(IF
(
G2664=""юридична особа""
,
VLOOKUP"&amp;"(H2664,IMPORTRANGE(""https://docs.google.com/spreadsheets/d/14Bd19lYaqBhU8_DElYkX7l4wRkHqqCUFNJY4AfY3kHU/edit?usp=sharing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663" s="7" t="s">
        <v>48</v>
      </c>
    </row>
    <row r="2664" spans="1:10" ht="13.2">
      <c r="A2664" s="7">
        <v>2663</v>
      </c>
      <c r="B2664" s="7">
        <v>1</v>
      </c>
      <c r="C2664" s="7" t="s">
        <v>10</v>
      </c>
      <c r="D2664" s="7">
        <v>764</v>
      </c>
      <c r="E2664" s="7" t="s">
        <v>48</v>
      </c>
      <c r="F2664" s="8" t="str">
        <f ca="1">IFERROR(__xludf.DUMMYFUNCTION("IF
(
C2665=""фізична особа""
,
VLOOKUP(D2665,IMPORTRANGE(""https://docs.google.com/spreadsheets/d/14Bd19lYaqBhU8_DElYkX7l4wRkHqqCUFNJY4AfY3kHU/edit?usp=sharing  #gid=0"",""фіз особи new!relations_name""),6,FALSE)
,
(IF
(
C2665=""юридична особа""
,
VLOOKUP"&amp;"(D2665,IMPORTRANGE(""https://docs.google.com/spreadsheets/d/14Bd19lYaqBhU8_DElYkX7l4wRkHqqCUFNJY4AfY3kHU/edit?usp=sharing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64" s="7" t="s">
        <v>10</v>
      </c>
      <c r="H2664" s="7">
        <v>4870</v>
      </c>
      <c r="I2664" s="8" t="str">
        <f ca="1">IFERROR(__xludf.DUMMYFUNCTION("IF
(
G2665=""фізична особа""
,
VLOOKUP(H2665,IMPORTRANGE(""https://docs.google.com/spreadsheets/d/14Bd19lYaqBhU8_DElYkX7l4wRkHqqCUFNJY4AfY3kHU/edit?usp=sharing  #gid=0"",""фіз особи new!relations_name""),6,FALSE)
,
(IF
(
G2665=""юридична особа""
,
VLOOKUP"&amp;"(H2665,IMPORTRANGE(""https://docs.google.com/spreadsheets/d/14Bd19lYaqBhU8_DElYkX7l4wRkHqqCUFNJY4AfY3kHU/edit?usp=sharing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664" s="7" t="s">
        <v>48</v>
      </c>
    </row>
    <row r="2665" spans="1:10" ht="13.2">
      <c r="A2665" s="7">
        <v>2664</v>
      </c>
      <c r="B2665" s="7">
        <v>1</v>
      </c>
      <c r="C2665" s="7" t="s">
        <v>10</v>
      </c>
      <c r="D2665" s="7">
        <v>765</v>
      </c>
      <c r="E2665" s="7" t="s">
        <v>15</v>
      </c>
      <c r="F2665" s="8" t="str">
        <f ca="1">IFERROR(__xludf.DUMMYFUNCTION("IF
(
C2666=""фізична особа""
,
VLOOKUP(D2666,IMPORTRANGE(""https://docs.google.com/spreadsheets/d/14Bd19lYaqBhU8_DElYkX7l4wRkHqqCUFNJY4AfY3kHU/edit?usp=sharing  #gid=0"",""фіз особи new!relations_name""),6,FALSE)
,
(IF
(
C2666=""юридична особа""
,
VLOOKUP"&amp;"(D2666,IMPORTRANGE(""https://docs.google.com/spreadsheets/d/14Bd19lYaqBhU8_DElYkX7l4wRkHqqCUFNJY4AfY3kHU/edit?usp=sharing  #gid=0"",""фіз особи new!relations_name_uo""),7,FALSE)
,
)
))"),"БУЦЬКА Тетяна Вікторівна")</f>
        <v>БУЦЬКА Тетяна Вікторівна</v>
      </c>
      <c r="G2665" s="7" t="s">
        <v>10</v>
      </c>
      <c r="H2665" s="7">
        <v>0</v>
      </c>
      <c r="I2665" s="8" t="str">
        <f ca="1">IFERROR(__xludf.DUMMYFUNCTION("IF
(
G2666=""фізична особа""
,
VLOOKUP(H2666,IMPORTRANGE(""https://docs.google.com/spreadsheets/d/14Bd19lYaqBhU8_DElYkX7l4wRkHqqCUFNJY4AfY3kHU/edit?usp=sharing  #gid=0"",""фіз особи new!relations_name""),6,FALSE)
,
(IF
(
G2666=""юридична особа""
,
VLOOKUP"&amp;"(H2666,IMPORTRANGE(""https://docs.google.com/spreadsheets/d/14Bd19lYaqBhU8_DElYkX7l4wRkHqqCUFNJY4AfY3kHU/edit?usp=sharing  #gid=0"",""фіз особи new!relations_name_uo""),7,FALSE)
,
)
))"),"#N/A")</f>
        <v>#N/A</v>
      </c>
      <c r="J2665" s="7" t="s">
        <v>14</v>
      </c>
    </row>
    <row r="2666" spans="1:10" ht="13.2">
      <c r="A2666" s="7">
        <v>2665</v>
      </c>
      <c r="B2666" s="7">
        <v>1</v>
      </c>
      <c r="C2666" s="7" t="s">
        <v>10</v>
      </c>
      <c r="D2666" s="7">
        <v>765</v>
      </c>
      <c r="E2666" s="7" t="s">
        <v>21</v>
      </c>
      <c r="F2666" s="8" t="str">
        <f ca="1">IFERROR(__xludf.DUMMYFUNCTION("IF
(
C2667=""фізична особа""
,
VLOOKUP(D2667,IMPORTRANGE(""https://docs.google.com/spreadsheets/d/14Bd19lYaqBhU8_DElYkX7l4wRkHqqCUFNJY4AfY3kHU/edit?usp=sharing  #gid=0"",""фіз особи new!relations_name""),6,FALSE)
,
(IF
(
C2667=""юридична особа""
,
VLOOKUP"&amp;"(D2667,IMPORTRANGE(""https://docs.google.com/spreadsheets/d/14Bd19lYaqBhU8_DElYkX7l4wRkHqqCUFNJY4AfY3kHU/edit?usp=sharing  #gid=0"",""фіз особи new!relations_name_uo""),7,FALSE)
,
)
))"),"БУЦЬКА Тетяна Вікторівна")</f>
        <v>БУЦЬКА Тетяна Вікторівна</v>
      </c>
      <c r="G2666" s="7" t="s">
        <v>10</v>
      </c>
      <c r="H2666" s="7">
        <v>0</v>
      </c>
      <c r="I2666" s="8" t="str">
        <f ca="1">IFERROR(__xludf.DUMMYFUNCTION("IF
(
G2667=""фізична особа""
,
VLOOKUP(H2667,IMPORTRANGE(""https://docs.google.com/spreadsheets/d/14Bd19lYaqBhU8_DElYkX7l4wRkHqqCUFNJY4AfY3kHU/edit?usp=sharing  #gid=0"",""фіз особи new!relations_name""),6,FALSE)
,
(IF
(
G2667=""юридична особа""
,
VLOOKUP"&amp;"(H2667,IMPORTRANGE(""https://docs.google.com/spreadsheets/d/14Bd19lYaqBhU8_DElYkX7l4wRkHqqCUFNJY4AfY3kHU/edit?usp=sharing  #gid=0"",""фіз особи new!relations_name_uo""),7,FALSE)
,
)
))"),"#N/A")</f>
        <v>#N/A</v>
      </c>
      <c r="J2666" s="7" t="s">
        <v>17</v>
      </c>
    </row>
    <row r="2667" spans="1:10" ht="13.2">
      <c r="A2667" s="7">
        <v>2666</v>
      </c>
      <c r="B2667" s="7">
        <v>1</v>
      </c>
      <c r="C2667" s="7" t="s">
        <v>10</v>
      </c>
      <c r="D2667" s="7">
        <v>765</v>
      </c>
      <c r="E2667" s="7" t="s">
        <v>21</v>
      </c>
      <c r="F2667" s="8" t="str">
        <f ca="1">IFERROR(__xludf.DUMMYFUNCTION("IF
(
C2668=""фізична особа""
,
VLOOKUP(D2668,IMPORTRANGE(""https://docs.google.com/spreadsheets/d/14Bd19lYaqBhU8_DElYkX7l4wRkHqqCUFNJY4AfY3kHU/edit?usp=sharing  #gid=0"",""фіз особи new!relations_name""),6,FALSE)
,
(IF
(
C2668=""юридична особа""
,
VLOOKUP"&amp;"(D2668,IMPORTRANGE(""https://docs.google.com/spreadsheets/d/14Bd19lYaqBhU8_DElYkX7l4wRkHqqCUFNJY4AfY3kHU/edit?usp=sharing  #gid=0"",""фіз особи new!relations_name_uo""),7,FALSE)
,
)
))"),"БУЦЬКА Тетяна Вікторівна")</f>
        <v>БУЦЬКА Тетяна Вікторівна</v>
      </c>
      <c r="G2667" s="7" t="s">
        <v>10</v>
      </c>
      <c r="H2667" s="7">
        <v>0</v>
      </c>
      <c r="I2667" s="8" t="str">
        <f ca="1">IFERROR(__xludf.DUMMYFUNCTION("IF
(
G2668=""фізична особа""
,
VLOOKUP(H2668,IMPORTRANGE(""https://docs.google.com/spreadsheets/d/14Bd19lYaqBhU8_DElYkX7l4wRkHqqCUFNJY4AfY3kHU/edit?usp=sharing  #gid=0"",""фіз особи new!relations_name""),6,FALSE)
,
(IF
(
G2668=""юридична особа""
,
VLOOKUP"&amp;"(H2668,IMPORTRANGE(""https://docs.google.com/spreadsheets/d/14Bd19lYaqBhU8_DElYkX7l4wRkHqqCUFNJY4AfY3kHU/edit?usp=sharing  #gid=0"",""фіз особи new!relations_name_uo""),7,FALSE)
,
)
))"),"#N/A")</f>
        <v>#N/A</v>
      </c>
      <c r="J2667" s="7" t="s">
        <v>17</v>
      </c>
    </row>
    <row r="2668" spans="1:10" ht="13.2">
      <c r="A2668" s="7">
        <v>2667</v>
      </c>
      <c r="B2668" s="7">
        <v>1</v>
      </c>
      <c r="C2668" s="7" t="s">
        <v>10</v>
      </c>
      <c r="D2668" s="7">
        <v>766</v>
      </c>
      <c r="E2668" s="7" t="s">
        <v>12</v>
      </c>
      <c r="F2668" s="8" t="str">
        <f ca="1">IFERROR(__xludf.DUMMYFUNCTION("IF
(
C2669=""фізична особа""
,
VLOOKUP(D2669,IMPORTRANGE(""https://docs.google.com/spreadsheets/d/14Bd19lYaqBhU8_DElYkX7l4wRkHqqCUFNJY4AfY3kHU/edit?usp=sharing  #gid=0"",""фіз особи new!relations_name""),6,FALSE)
,
(IF
(
C2669=""юридична особа""
,
VLOOKUP"&amp;"(D2669,IMPORTRANGE(""https://docs.google.com/spreadsheets/d/14Bd19lYaqBhU8_DElYkX7l4wRkHqqCUFNJY4AfY3kHU/edit?usp=sharing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68" s="7" t="s">
        <v>10</v>
      </c>
      <c r="H2668" s="7">
        <v>0</v>
      </c>
      <c r="I2668" s="8" t="str">
        <f ca="1">IFERROR(__xludf.DUMMYFUNCTION("IF
(
G2669=""фізична особа""
,
VLOOKUP(H2669,IMPORTRANGE(""https://docs.google.com/spreadsheets/d/14Bd19lYaqBhU8_DElYkX7l4wRkHqqCUFNJY4AfY3kHU/edit?usp=sharing  #gid=0"",""фіз особи new!relations_name""),6,FALSE)
,
(IF
(
G2669=""юридична особа""
,
VLOOKUP"&amp;"(H2669,IMPORTRANGE(""https://docs.google.com/spreadsheets/d/14Bd19lYaqBhU8_DElYkX7l4wRkHqqCUFNJY4AfY3kHU/edit?usp=sharing  #gid=0"",""фіз особи new!relations_name_uo""),7,FALSE)
,
)
))"),"#N/A")</f>
        <v>#N/A</v>
      </c>
      <c r="J2668" s="7" t="s">
        <v>13</v>
      </c>
    </row>
    <row r="2669" spans="1:10" ht="13.2">
      <c r="A2669" s="7">
        <v>2668</v>
      </c>
      <c r="B2669" s="7">
        <v>1</v>
      </c>
      <c r="C2669" s="7" t="s">
        <v>10</v>
      </c>
      <c r="D2669" s="7">
        <v>766</v>
      </c>
      <c r="E2669" s="7" t="s">
        <v>12</v>
      </c>
      <c r="F2669" s="8" t="str">
        <f ca="1">IFERROR(__xludf.DUMMYFUNCTION("IF
(
C2670=""фізична особа""
,
VLOOKUP(D2670,IMPORTRANGE(""https://docs.google.com/spreadsheets/d/14Bd19lYaqBhU8_DElYkX7l4wRkHqqCUFNJY4AfY3kHU/edit?usp=sharing  #gid=0"",""фіз особи new!relations_name""),6,FALSE)
,
(IF
(
C2670=""юридична особа""
,
VLOOKUP"&amp;"(D2670,IMPORTRANGE(""https://docs.google.com/spreadsheets/d/14Bd19lYaqBhU8_DElYkX7l4wRkHqqCUFNJY4AfY3kHU/edit?usp=sharing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69" s="7" t="s">
        <v>10</v>
      </c>
      <c r="H2669" s="7">
        <v>0</v>
      </c>
      <c r="I2669" s="8" t="str">
        <f ca="1">IFERROR(__xludf.DUMMYFUNCTION("IF
(
G2670=""фізична особа""
,
VLOOKUP(H2670,IMPORTRANGE(""https://docs.google.com/spreadsheets/d/14Bd19lYaqBhU8_DElYkX7l4wRkHqqCUFNJY4AfY3kHU/edit?usp=sharing  #gid=0"",""фіз особи new!relations_name""),6,FALSE)
,
(IF
(
G2670=""юридична особа""
,
VLOOKUP"&amp;"(H2670,IMPORTRANGE(""https://docs.google.com/spreadsheets/d/14Bd19lYaqBhU8_DElYkX7l4wRkHqqCUFNJY4AfY3kHU/edit?usp=sharing  #gid=0"",""фіз особи new!relations_name_uo""),7,FALSE)
,
)
))"),"#N/A")</f>
        <v>#N/A</v>
      </c>
      <c r="J2669" s="7" t="s">
        <v>13</v>
      </c>
    </row>
    <row r="2670" spans="1:10" ht="13.2">
      <c r="A2670" s="7">
        <v>2669</v>
      </c>
      <c r="B2670" s="7">
        <v>1</v>
      </c>
      <c r="C2670" s="7" t="s">
        <v>10</v>
      </c>
      <c r="D2670" s="7">
        <v>766</v>
      </c>
      <c r="E2670" s="7" t="s">
        <v>12</v>
      </c>
      <c r="F2670" s="8" t="str">
        <f ca="1">IFERROR(__xludf.DUMMYFUNCTION("IF
(
C2671=""фізична особа""
,
VLOOKUP(D2671,IMPORTRANGE(""https://docs.google.com/spreadsheets/d/14Bd19lYaqBhU8_DElYkX7l4wRkHqqCUFNJY4AfY3kHU/edit?usp=sharing  #gid=0"",""фіз особи new!relations_name""),6,FALSE)
,
(IF
(
C2671=""юридична особа""
,
VLOOKUP"&amp;"(D2671,IMPORTRANGE(""https://docs.google.com/spreadsheets/d/14Bd19lYaqBhU8_DElYkX7l4wRkHqqCUFNJY4AfY3kHU/edit?usp=sharing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70" s="7" t="s">
        <v>10</v>
      </c>
      <c r="H2670" s="7">
        <v>23401</v>
      </c>
      <c r="I2670" s="8" t="str">
        <f ca="1">IFERROR(__xludf.DUMMYFUNCTION("IF
(
G2671=""фізична особа""
,
VLOOKUP(H2671,IMPORTRANGE(""https://docs.google.com/spreadsheets/d/14Bd19lYaqBhU8_DElYkX7l4wRkHqqCUFNJY4AfY3kHU/edit?usp=sharing  #gid=0"",""фіз особи new!relations_name""),6,FALSE)
,
(IF
(
G2671=""юридична особа""
,
VLOOKUP"&amp;"(H2671,IMPORTRANGE(""https://docs.google.com/spreadsheets/d/14Bd19lYaqBhU8_DElYkX7l4wRkHqqCUFNJY4AfY3kHU/edit?usp=sharing  #gid=0"",""фіз особи new!relations_name_uo""),7,FALSE)
,
)
))"),"КЕОСАЯН Баграт Тигранович")</f>
        <v>КЕОСАЯН Баграт Тигранович</v>
      </c>
      <c r="J2670" s="7" t="s">
        <v>17</v>
      </c>
    </row>
    <row r="2671" spans="1:10" ht="13.2">
      <c r="A2671" s="7">
        <v>2670</v>
      </c>
      <c r="B2671" s="7">
        <v>1</v>
      </c>
      <c r="C2671" s="7" t="s">
        <v>10</v>
      </c>
      <c r="D2671" s="7">
        <v>766</v>
      </c>
      <c r="E2671" s="7" t="s">
        <v>12</v>
      </c>
      <c r="F2671" s="8" t="str">
        <f ca="1">IFERROR(__xludf.DUMMYFUNCTION("IF
(
C2672=""фізична особа""
,
VLOOKUP(D2672,IMPORTRANGE(""https://docs.google.com/spreadsheets/d/14Bd19lYaqBhU8_DElYkX7l4wRkHqqCUFNJY4AfY3kHU/edit?usp=sharing  #gid=0"",""фіз особи new!relations_name""),6,FALSE)
,
(IF
(
C2672=""юридична особа""
,
VLOOKUP"&amp;"(D2672,IMPORTRANGE(""https://docs.google.com/spreadsheets/d/14Bd19lYaqBhU8_DElYkX7l4wRkHqqCUFNJY4AfY3kHU/edit?usp=sharing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71" s="7" t="s">
        <v>10</v>
      </c>
      <c r="H2671" s="7">
        <v>23400</v>
      </c>
      <c r="I2671" s="8" t="str">
        <f ca="1">IFERROR(__xludf.DUMMYFUNCTION("IF
(
G2672=""фізична особа""
,
VLOOKUP(H2672,IMPORTRANGE(""https://docs.google.com/spreadsheets/d/14Bd19lYaqBhU8_DElYkX7l4wRkHqqCUFNJY4AfY3kHU/edit?usp=sharing  #gid=0"",""фіз особи new!relations_name""),6,FALSE)
,
(IF
(
G2672=""юридична особа""
,
VLOOKUP"&amp;"(H2672,IMPORTRANGE(""https://docs.google.com/spreadsheets/d/14Bd19lYaqBhU8_DElYkX7l4wRkHqqCUFNJY4AfY3kHU/edit?usp=sharing  #gid=0"",""фіз особи new!relations_name_uo""),7,FALSE)
,
)
))"),"КЕОСАЯН Маро Тигранівна")</f>
        <v>КЕОСАЯН Маро Тигранівна</v>
      </c>
      <c r="J2671" s="7" t="s">
        <v>13</v>
      </c>
    </row>
    <row r="2672" spans="1:10" ht="13.2">
      <c r="A2672" s="7">
        <v>2671</v>
      </c>
      <c r="B2672" s="7">
        <v>1</v>
      </c>
      <c r="C2672" s="7" t="s">
        <v>10</v>
      </c>
      <c r="D2672" s="7">
        <v>766</v>
      </c>
      <c r="E2672" s="7" t="s">
        <v>18</v>
      </c>
      <c r="F2672" s="8" t="str">
        <f ca="1">IFERROR(__xludf.DUMMYFUNCTION("IF
(
C2673=""фізична особа""
,
VLOOKUP(D2673,IMPORTRANGE(""https://docs.google.com/spreadsheets/d/14Bd19lYaqBhU8_DElYkX7l4wRkHqqCUFNJY4AfY3kHU/edit?usp=sharing  #gid=0"",""фіз особи new!relations_name""),6,FALSE)
,
(IF
(
C2673=""юридична особа""
,
VLOOKUP"&amp;"(D2673,IMPORTRANGE(""https://docs.google.com/spreadsheets/d/14Bd19lYaqBhU8_DElYkX7l4wRkHqqCUFNJY4AfY3kHU/edit?usp=sharing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72" s="7" t="s">
        <v>10</v>
      </c>
      <c r="H2672" s="7">
        <v>0</v>
      </c>
      <c r="I2672" s="8" t="str">
        <f ca="1">IFERROR(__xludf.DUMMYFUNCTION("IF
(
G2673=""фізична особа""
,
VLOOKUP(H2673,IMPORTRANGE(""https://docs.google.com/spreadsheets/d/14Bd19lYaqBhU8_DElYkX7l4wRkHqqCUFNJY4AfY3kHU/edit?usp=sharing  #gid=0"",""фіз особи new!relations_name""),6,FALSE)
,
(IF
(
G2673=""юридична особа""
,
VLOOKUP"&amp;"(H2673,IMPORTRANGE(""https://docs.google.com/spreadsheets/d/14Bd19lYaqBhU8_DElYkX7l4wRkHqqCUFNJY4AfY3kHU/edit?usp=sharing  #gid=0"",""фіз особи new!relations_name_uo""),7,FALSE)
,
)
))"),"#N/A")</f>
        <v>#N/A</v>
      </c>
      <c r="J2672" s="7" t="s">
        <v>18</v>
      </c>
    </row>
    <row r="2673" spans="1:10" ht="13.2">
      <c r="A2673" s="7">
        <v>2672</v>
      </c>
      <c r="B2673" s="7">
        <v>1</v>
      </c>
      <c r="C2673" s="7" t="s">
        <v>10</v>
      </c>
      <c r="D2673" s="7">
        <v>764</v>
      </c>
      <c r="E2673" s="7" t="s">
        <v>14</v>
      </c>
      <c r="F2673" s="8" t="str">
        <f ca="1">IFERROR(__xludf.DUMMYFUNCTION("IF
(
C2674=""фізична особа""
,
VLOOKUP(D2674,IMPORTRANGE(""https://docs.google.com/spreadsheets/d/14Bd19lYaqBhU8_DElYkX7l4wRkHqqCUFNJY4AfY3kHU/edit?usp=sharing  #gid=0"",""фіз особи new!relations_name""),6,FALSE)
,
(IF
(
C2674=""юридична особа""
,
VLOOKUP"&amp;"(D2674,IMPORTRANGE(""https://docs.google.com/spreadsheets/d/14Bd19lYaqBhU8_DElYkX7l4wRkHqqCUFNJY4AfY3kHU/edit?usp=sharing  #gid=0"",""фіз особи new!relations_name_uo""),7,FALSE)
,
)
))"),"ДЬЯКОНОВА Тетяна Іванівна")</f>
        <v>ДЬЯКОНОВА Тетяна Іванівна</v>
      </c>
      <c r="G2673" s="7" t="s">
        <v>10</v>
      </c>
      <c r="H2673" s="7">
        <v>421</v>
      </c>
      <c r="I2673" s="8" t="str">
        <f ca="1">IFERROR(__xludf.DUMMYFUNCTION("IF
(
G2674=""фізична особа""
,
VLOOKUP(H2674,IMPORTRANGE(""https://docs.google.com/spreadsheets/d/14Bd19lYaqBhU8_DElYkX7l4wRkHqqCUFNJY4AfY3kHU/edit?usp=sharing  #gid=0"",""фіз особи new!relations_name""),6,FALSE)
,
(IF
(
G2674=""юридична особа""
,
VLOOKUP"&amp;"(H2674,IMPORTRANGE(""https://docs.google.com/spreadsheets/d/14Bd19lYaqBhU8_DElYkX7l4wRkHqqCUFNJY4AfY3kHU/edit?usp=sharing  #gid=0"",""фіз особи new!relations_name_uo""),7,FALSE)
,
)
))"),"СИМОНЬЯН Маргарита Сімоновна")</f>
        <v>СИМОНЬЯН Маргарита Сімоновна</v>
      </c>
      <c r="J2673" s="7" t="s">
        <v>15</v>
      </c>
    </row>
    <row r="2674" spans="1:10" ht="13.2">
      <c r="A2674" s="7">
        <v>2673</v>
      </c>
      <c r="B2674" s="7">
        <v>1</v>
      </c>
      <c r="C2674" s="7" t="s">
        <v>10</v>
      </c>
      <c r="D2674" s="7">
        <v>766</v>
      </c>
      <c r="E2674" s="7" t="s">
        <v>17</v>
      </c>
      <c r="F2674" s="8" t="str">
        <f ca="1">IFERROR(__xludf.DUMMYFUNCTION("IF
(
C2675=""фізична особа""
,
VLOOKUP(D2675,IMPORTRANGE(""https://docs.google.com/spreadsheets/d/14Bd19lYaqBhU8_DElYkX7l4wRkHqqCUFNJY4AfY3kHU/edit?usp=sharing  #gid=0"",""фіз особи new!relations_name""),6,FALSE)
,
(IF
(
C2675=""юридична особа""
,
VLOOKUP"&amp;"(D2675,IMPORTRANGE(""https://docs.google.com/spreadsheets/d/14Bd19lYaqBhU8_DElYkX7l4wRkHqqCUFNJY4AfY3kHU/edit?usp=sharing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74" s="7" t="s">
        <v>10</v>
      </c>
      <c r="H2674" s="7">
        <v>0</v>
      </c>
      <c r="I2674" s="8" t="str">
        <f ca="1">IFERROR(__xludf.DUMMYFUNCTION("IF
(
G2675=""фізична особа""
,
VLOOKUP(H2675,IMPORTRANGE(""https://docs.google.com/spreadsheets/d/14Bd19lYaqBhU8_DElYkX7l4wRkHqqCUFNJY4AfY3kHU/edit?usp=sharing  #gid=0"",""фіз особи new!relations_name""),6,FALSE)
,
(IF
(
G2675=""юридична особа""
,
VLOOKUP"&amp;"(H2675,IMPORTRANGE(""https://docs.google.com/spreadsheets/d/14Bd19lYaqBhU8_DElYkX7l4wRkHqqCUFNJY4AfY3kHU/edit?usp=sharing  #gid=0"",""фіз особи new!relations_name_uo""),7,FALSE)
,
)
))"),"#N/A")</f>
        <v>#N/A</v>
      </c>
      <c r="J2674" s="7" t="s">
        <v>21</v>
      </c>
    </row>
    <row r="2675" spans="1:10" ht="13.2">
      <c r="A2675" s="7">
        <v>2674</v>
      </c>
      <c r="B2675" s="7">
        <v>1</v>
      </c>
      <c r="C2675" s="7" t="s">
        <v>10</v>
      </c>
      <c r="D2675" s="7">
        <v>766</v>
      </c>
      <c r="E2675" s="7" t="s">
        <v>42</v>
      </c>
      <c r="F2675" s="8" t="str">
        <f ca="1">IFERROR(__xludf.DUMMYFUNCTION("IF
(
C2676=""фізична особа""
,
VLOOKUP(D2676,IMPORTRANGE(""https://docs.google.com/spreadsheets/d/14Bd19lYaqBhU8_DElYkX7l4wRkHqqCUFNJY4AfY3kHU/edit?usp=sharing  #gid=0"",""фіз особи new!relations_name""),6,FALSE)
,
(IF
(
C2676=""юридична особа""
,
VLOOKUP"&amp;"(D2676,IMPORTRANGE(""https://docs.google.com/spreadsheets/d/14Bd19lYaqBhU8_DElYkX7l4wRkHqqCUFNJY4AfY3kHU/edit?usp=sharing  #gid=0"",""фіз особи new!relations_name_uo""),7,FALSE)
,
)
))"),"КЕОСАЯН Тигран Едмондович")</f>
        <v>КЕОСАЯН Тигран Едмондович</v>
      </c>
      <c r="G2675" s="7" t="s">
        <v>10</v>
      </c>
      <c r="H2675" s="7">
        <v>0</v>
      </c>
      <c r="I2675" s="8" t="str">
        <f ca="1">IFERROR(__xludf.DUMMYFUNCTION("IF
(
G2676=""фізична особа""
,
VLOOKUP(H2676,IMPORTRANGE(""https://docs.google.com/spreadsheets/d/14Bd19lYaqBhU8_DElYkX7l4wRkHqqCUFNJY4AfY3kHU/edit?usp=sharing  #gid=0"",""фіз особи new!relations_name""),6,FALSE)
,
(IF
(
G2676=""юридична особа""
,
VLOOKUP"&amp;"(H2676,IMPORTRANGE(""https://docs.google.com/spreadsheets/d/14Bd19lYaqBhU8_DElYkX7l4wRkHqqCUFNJY4AfY3kHU/edit?usp=sharing  #gid=0"",""фіз особи new!relations_name_uo""),7,FALSE)
,
)
))"),"#N/A")</f>
        <v>#N/A</v>
      </c>
      <c r="J2675" s="7" t="s">
        <v>43</v>
      </c>
    </row>
    <row r="2676" spans="1:10" ht="13.2">
      <c r="A2676" s="7">
        <v>2675</v>
      </c>
      <c r="B2676" s="7">
        <v>1</v>
      </c>
      <c r="C2676" s="7" t="s">
        <v>10</v>
      </c>
      <c r="D2676" s="7">
        <v>767</v>
      </c>
      <c r="E2676" s="7" t="s">
        <v>48</v>
      </c>
      <c r="F2676" s="8" t="str">
        <f ca="1">IFERROR(__xludf.DUMMYFUNCTION("IF
(
C2677=""фізична особа""
,
VLOOKUP(D2677,IMPORTRANGE(""https://docs.google.com/spreadsheets/d/14Bd19lYaqBhU8_DElYkX7l4wRkHqqCUFNJY4AfY3kHU/edit?usp=sharing  #gid=0"",""фіз особи new!relations_name""),6,FALSE)
,
(IF
(
C2677=""юридична особа""
,
VLOOKUP"&amp;"(D2677,IMPORTRANGE(""https://docs.google.com/spreadsheets/d/14Bd19lYaqBhU8_DElYkX7l4wRkHqqCUFNJY4AfY3kHU/edit?usp=sharing  #gid=0"",""фіз особи new!relations_name_uo""),7,FALSE)
,
)
))"),"НАРОЛІН Олександр Володимирович")</f>
        <v>НАРОЛІН Олександр Володимирович</v>
      </c>
      <c r="G2676" s="7" t="s">
        <v>10</v>
      </c>
      <c r="H2676" s="7">
        <v>0</v>
      </c>
      <c r="I2676" s="8" t="str">
        <f ca="1">IFERROR(__xludf.DUMMYFUNCTION("IF
(
G2677=""фізична особа""
,
VLOOKUP(H2677,IMPORTRANGE(""https://docs.google.com/spreadsheets/d/14Bd19lYaqBhU8_DElYkX7l4wRkHqqCUFNJY4AfY3kHU/edit?usp=sharing  #gid=0"",""фіз особи new!relations_name""),6,FALSE)
,
(IF
(
G2677=""юридична особа""
,
VLOOKUP"&amp;"(H2677,IMPORTRANGE(""https://docs.google.com/spreadsheets/d/14Bd19lYaqBhU8_DElYkX7l4wRkHqqCUFNJY4AfY3kHU/edit?usp=sharing  #gid=0"",""фіз особи new!relations_name_uo""),7,FALSE)
,
)
))"),"#N/A")</f>
        <v>#N/A</v>
      </c>
      <c r="J2676" s="7" t="s">
        <v>48</v>
      </c>
    </row>
    <row r="2677" spans="1:10" ht="13.2">
      <c r="A2677" s="7">
        <v>2676</v>
      </c>
      <c r="B2677" s="7">
        <v>1</v>
      </c>
      <c r="C2677" s="7" t="s">
        <v>10</v>
      </c>
      <c r="D2677" s="7">
        <v>768</v>
      </c>
      <c r="E2677" s="7" t="s">
        <v>14</v>
      </c>
      <c r="F2677" s="8" t="str">
        <f ca="1">IFERROR(__xludf.DUMMYFUNCTION("IF
(
C2678=""фізична особа""
,
VLOOKUP(D2678,IMPORTRANGE(""https://docs.google.com/spreadsheets/d/14Bd19lYaqBhU8_DElYkX7l4wRkHqqCUFNJY4AfY3kHU/edit?usp=sharing  #gid=0"",""фіз особи new!relations_name""),6,FALSE)
,
(IF
(
C2678=""юридична особа""
,
VLOOKUP"&amp;"(D2678,IMPORTRANGE(""https://docs.google.com/spreadsheets/d/14Bd19lYaqBhU8_DElYkX7l4wRkHqqCUFNJY4AfY3kHU/edit?usp=sharing  #gid=0"",""фіз особи new!relations_name_uo""),7,FALSE)
,
)
))"),"ХУДАВЕРДЯН Тигран Оганесович")</f>
        <v>ХУДАВЕРДЯН Тигран Оганесович</v>
      </c>
      <c r="G2677" s="7" t="s">
        <v>10</v>
      </c>
      <c r="H2677" s="7">
        <v>0</v>
      </c>
      <c r="I2677" s="8" t="str">
        <f ca="1">IFERROR(__xludf.DUMMYFUNCTION("IF
(
G2678=""фізична особа""
,
VLOOKUP(H2678,IMPORTRANGE(""https://docs.google.com/spreadsheets/d/14Bd19lYaqBhU8_DElYkX7l4wRkHqqCUFNJY4AfY3kHU/edit?usp=sharing  #gid=0"",""фіз особи new!relations_name""),6,FALSE)
,
(IF
(
G2678=""юридична особа""
,
VLOOKUP"&amp;"(H2678,IMPORTRANGE(""https://docs.google.com/spreadsheets/d/14Bd19lYaqBhU8_DElYkX7l4wRkHqqCUFNJY4AfY3kHU/edit?usp=sharing  #gid=0"",""фіз особи new!relations_name_uo""),7,FALSE)
,
)
))"),"#N/A")</f>
        <v>#N/A</v>
      </c>
      <c r="J2677" s="7" t="s">
        <v>15</v>
      </c>
    </row>
    <row r="2678" spans="1:10" ht="13.2">
      <c r="A2678" s="7">
        <v>2677</v>
      </c>
      <c r="B2678" s="7">
        <v>1</v>
      </c>
      <c r="C2678" s="7" t="s">
        <v>10</v>
      </c>
      <c r="D2678" s="7">
        <v>769</v>
      </c>
      <c r="E2678" s="7" t="s">
        <v>48</v>
      </c>
      <c r="F2678" s="8" t="str">
        <f ca="1">IFERROR(__xludf.DUMMYFUNCTION("IF
(
C2679=""фізична особа""
,
VLOOKUP(D2679,IMPORTRANGE(""https://docs.google.com/spreadsheets/d/14Bd19lYaqBhU8_DElYkX7l4wRkHqqCUFNJY4AfY3kHU/edit?usp=sharing  #gid=0"",""фіз особи new!relations_name""),6,FALSE)
,
(IF
(
C2679=""юридична особа""
,
VLOOKUP"&amp;"(D2679,IMPORTRANGE(""https://docs.google.com/spreadsheets/d/14Bd19lYaqBhU8_DElYkX7l4wRkHqqCUFNJY4AfY3kHU/edit?usp=sharing  #gid=0"",""фіз особи new!relations_name_uo""),7,FALSE)
,
)
))"),"БАЖЕНОВ Тимофій Тимофійович")</f>
        <v>БАЖЕНОВ Тимофій Тимофійович</v>
      </c>
      <c r="G2678" s="7" t="s">
        <v>10</v>
      </c>
      <c r="H2678" s="7">
        <v>185</v>
      </c>
      <c r="I2678" s="8" t="str">
        <f ca="1">IFERROR(__xludf.DUMMYFUNCTION("IF
(
G2679=""фізична особа""
,
VLOOKUP(H2679,IMPORTRANGE(""https://docs.google.com/spreadsheets/d/14Bd19lYaqBhU8_DElYkX7l4wRkHqqCUFNJY4AfY3kHU/edit?usp=sharing  #gid=0"",""фіз особи new!relations_name""),6,FALSE)
,
(IF
(
G2679=""юридична особа""
,
VLOOKUP"&amp;"(H2679,IMPORTRANGE(""https://docs.google.com/spreadsheets/d/14Bd19lYaqBhU8_DElYkX7l4wRkHqqCUFNJY4AfY3kHU/edit?usp=sharing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678" s="7" t="s">
        <v>48</v>
      </c>
    </row>
    <row r="2679" spans="1:10" ht="13.2">
      <c r="A2679" s="7">
        <v>2678</v>
      </c>
      <c r="B2679" s="7">
        <v>1</v>
      </c>
      <c r="C2679" s="7" t="s">
        <v>10</v>
      </c>
      <c r="D2679" s="7">
        <v>769</v>
      </c>
      <c r="E2679" s="7" t="s">
        <v>48</v>
      </c>
      <c r="F2679" s="8" t="str">
        <f ca="1">IFERROR(__xludf.DUMMYFUNCTION("IF
(
C2680=""фізична особа""
,
VLOOKUP(D2680,IMPORTRANGE(""https://docs.google.com/spreadsheets/d/14Bd19lYaqBhU8_DElYkX7l4wRkHqqCUFNJY4AfY3kHU/edit?usp=sharing  #gid=0"",""фіз особи new!relations_name""),6,FALSE)
,
(IF
(
C2680=""юридична особа""
,
VLOOKUP"&amp;"(D2680,IMPORTRANGE(""https://docs.google.com/spreadsheets/d/14Bd19lYaqBhU8_DElYkX7l4wRkHqqCUFNJY4AfY3kHU/edit?usp=sharing  #gid=0"",""фіз особи new!relations_name_uo""),7,FALSE)
,
)
))"),"БАЖЕНОВ Тимофій Тимофійович")</f>
        <v>БАЖЕНОВ Тимофій Тимофійович</v>
      </c>
      <c r="G2679" s="7" t="s">
        <v>10</v>
      </c>
      <c r="H2679" s="7">
        <v>64</v>
      </c>
      <c r="I2679" s="8" t="str">
        <f ca="1">IFERROR(__xludf.DUMMYFUNCTION("IF
(
G2680=""фізична особа""
,
VLOOKUP(H2680,IMPORTRANGE(""https://docs.google.com/spreadsheets/d/14Bd19lYaqBhU8_DElYkX7l4wRkHqqCUFNJY4AfY3kHU/edit?usp=sharing  #gid=0"",""фіз особи new!relations_name""),6,FALSE)
,
(IF
(
G2680=""юридична особа""
,
VLOOKUP"&amp;"(H2680,IMPORTRANGE(""https://docs.google.com/spreadsheets/d/14Bd19lYaqBhU8_DElYkX7l4wRkHqqCUFNJY4AfY3kHU/edit?usp=sharing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679" s="7" t="s">
        <v>48</v>
      </c>
    </row>
    <row r="2680" spans="1:10" ht="13.2">
      <c r="A2680" s="7">
        <v>2679</v>
      </c>
      <c r="B2680" s="7">
        <v>1</v>
      </c>
      <c r="C2680" s="7" t="s">
        <v>10</v>
      </c>
      <c r="D2680" s="7">
        <v>769</v>
      </c>
      <c r="E2680" s="7" t="s">
        <v>48</v>
      </c>
      <c r="F2680" s="8" t="str">
        <f ca="1">IFERROR(__xludf.DUMMYFUNCTION("IF
(
C2681=""фізична особа""
,
VLOOKUP(D2681,IMPORTRANGE(""https://docs.google.com/spreadsheets/d/14Bd19lYaqBhU8_DElYkX7l4wRkHqqCUFNJY4AfY3kHU/edit?usp=sharing  #gid=0"",""фіз особи new!relations_name""),6,FALSE)
,
(IF
(
C2681=""юридична особа""
,
VLOOKUP"&amp;"(D2681,IMPORTRANGE(""https://docs.google.com/spreadsheets/d/14Bd19lYaqBhU8_DElYkX7l4wRkHqqCUFNJY4AfY3kHU/edit?usp=sharing  #gid=0"",""фіз особи new!relations_name_uo""),7,FALSE)
,
)
))"),"БАЖЕНОВ Тимофій Тимофійович")</f>
        <v>БАЖЕНОВ Тимофій Тимофійович</v>
      </c>
      <c r="G2680" s="7" t="s">
        <v>10</v>
      </c>
      <c r="H2680" s="7">
        <v>844</v>
      </c>
      <c r="I2680" s="8" t="str">
        <f ca="1">IFERROR(__xludf.DUMMYFUNCTION("IF
(
G2681=""фізична особа""
,
VLOOKUP(H2681,IMPORTRANGE(""https://docs.google.com/spreadsheets/d/14Bd19lYaqBhU8_DElYkX7l4wRkHqqCUFNJY4AfY3kHU/edit?usp=sharing  #gid=0"",""фіз особи new!relations_name""),6,FALSE)
,
(IF
(
G2681=""юридична особа""
,
VLOOKUP"&amp;"(H2681,IMPORTRANGE(""https://docs.google.com/spreadsheets/d/14Bd19lYaqBhU8_DElYkX7l4wRkHqqCUFNJY4AfY3kHU/edit?usp=sharing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680" s="7" t="s">
        <v>48</v>
      </c>
    </row>
    <row r="2681" spans="1:10" ht="13.2">
      <c r="A2681" s="7">
        <v>2680</v>
      </c>
      <c r="B2681" s="7">
        <v>1</v>
      </c>
      <c r="C2681" s="7" t="s">
        <v>10</v>
      </c>
      <c r="D2681" s="7">
        <v>769</v>
      </c>
      <c r="E2681" s="7" t="s">
        <v>48</v>
      </c>
      <c r="F2681" s="8" t="str">
        <f ca="1">IFERROR(__xludf.DUMMYFUNCTION("IF
(
C2682=""фізична особа""
,
VLOOKUP(D2682,IMPORTRANGE(""https://docs.google.com/spreadsheets/d/14Bd19lYaqBhU8_DElYkX7l4wRkHqqCUFNJY4AfY3kHU/edit?usp=sharing  #gid=0"",""фіз особи new!relations_name""),6,FALSE)
,
(IF
(
C2682=""юридична особа""
,
VLOOKUP"&amp;"(D2682,IMPORTRANGE(""https://docs.google.com/spreadsheets/d/14Bd19lYaqBhU8_DElYkX7l4wRkHqqCUFNJY4AfY3kHU/edit?usp=sharing  #gid=0"",""фіз особи new!relations_name_uo""),7,FALSE)
,
)
))"),"БАЖЕНОВ Тимофій Тимофійович")</f>
        <v>БАЖЕНОВ Тимофій Тимофійович</v>
      </c>
      <c r="G2681" s="7" t="s">
        <v>10</v>
      </c>
      <c r="H2681" s="7">
        <v>4789</v>
      </c>
      <c r="I2681" s="8" t="str">
        <f ca="1">IFERROR(__xludf.DUMMYFUNCTION("IF
(
G2682=""фізична особа""
,
VLOOKUP(H2682,IMPORTRANGE(""https://docs.google.com/spreadsheets/d/14Bd19lYaqBhU8_DElYkX7l4wRkHqqCUFNJY4AfY3kHU/edit?usp=sharing  #gid=0"",""фіз особи new!relations_name""),6,FALSE)
,
(IF
(
G2682=""юридична особа""
,
VLOOKUP"&amp;"(H2682,IMPORTRANGE(""https://docs.google.com/spreadsheets/d/14Bd19lYaqBhU8_DElYkX7l4wRkHqqCUFNJY4AfY3kHU/edit?usp=sharing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681" s="7" t="s">
        <v>48</v>
      </c>
    </row>
    <row r="2682" spans="1:10" ht="13.2">
      <c r="A2682" s="7">
        <v>2681</v>
      </c>
      <c r="B2682" s="7">
        <v>1</v>
      </c>
      <c r="C2682" s="7" t="s">
        <v>10</v>
      </c>
      <c r="D2682" s="7">
        <v>769</v>
      </c>
      <c r="E2682" s="7" t="s">
        <v>48</v>
      </c>
      <c r="F2682" s="8" t="str">
        <f ca="1">IFERROR(__xludf.DUMMYFUNCTION("IF
(
C2683=""фізична особа""
,
VLOOKUP(D2683,IMPORTRANGE(""https://docs.google.com/spreadsheets/d/14Bd19lYaqBhU8_DElYkX7l4wRkHqqCUFNJY4AfY3kHU/edit?usp=sharing  #gid=0"",""фіз особи new!relations_name""),6,FALSE)
,
(IF
(
C2683=""юридична особа""
,
VLOOKUP"&amp;"(D2683,IMPORTRANGE(""https://docs.google.com/spreadsheets/d/14Bd19lYaqBhU8_DElYkX7l4wRkHqqCUFNJY4AfY3kHU/edit?usp=sharing  #gid=0"",""фіз особи new!relations_name_uo""),7,FALSE)
,
)
))"),"БАЖЕНОВ Тимофій Тимофійович")</f>
        <v>БАЖЕНОВ Тимофій Тимофійович</v>
      </c>
      <c r="G2682" s="7" t="s">
        <v>10</v>
      </c>
      <c r="H2682" s="7">
        <v>4870</v>
      </c>
      <c r="I2682" s="8" t="str">
        <f ca="1">IFERROR(__xludf.DUMMYFUNCTION("IF
(
G2683=""фізична особа""
,
VLOOKUP(H2683,IMPORTRANGE(""https://docs.google.com/spreadsheets/d/14Bd19lYaqBhU8_DElYkX7l4wRkHqqCUFNJY4AfY3kHU/edit?usp=sharing  #gid=0"",""фіз особи new!relations_name""),6,FALSE)
,
(IF
(
G2683=""юридична особа""
,
VLOOKUP"&amp;"(H2683,IMPORTRANGE(""https://docs.google.com/spreadsheets/d/14Bd19lYaqBhU8_DElYkX7l4wRkHqqCUFNJY4AfY3kHU/edit?usp=sharing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682" s="7" t="s">
        <v>48</v>
      </c>
    </row>
    <row r="2683" spans="1:10" ht="13.2">
      <c r="A2683" s="7">
        <v>2682</v>
      </c>
      <c r="B2683" s="7">
        <v>1</v>
      </c>
      <c r="C2683" s="7" t="s">
        <v>10</v>
      </c>
      <c r="D2683" s="7">
        <v>770</v>
      </c>
      <c r="E2683" s="7" t="s">
        <v>48</v>
      </c>
      <c r="F2683" s="8" t="str">
        <f ca="1">IFERROR(__xludf.DUMMYFUNCTION("IF
(
C2684=""фізична особа""
,
VLOOKUP(D2684,IMPORTRANGE(""https://docs.google.com/spreadsheets/d/14Bd19lYaqBhU8_DElYkX7l4wRkHqqCUFNJY4AfY3kHU/edit?usp=sharing  #gid=0"",""фіз особи new!relations_name""),6,FALSE)
,
(IF
(
C2684=""юридична особа""
,
VLOOKUP"&amp;"(D2684,IMPORTRANGE(""https://docs.google.com/spreadsheets/d/14Bd19lYaqBhU8_DElYkX7l4wRkHqqCUFNJY4AfY3kHU/edit?usp=sharing  #gid=0"",""фіз особи new!relations_name_uo""),7,FALSE)
,
)
))"),"КАНОКОВ Тимур Борисович")</f>
        <v>КАНОКОВ Тимур Борисович</v>
      </c>
      <c r="G2683" s="7" t="s">
        <v>10</v>
      </c>
      <c r="H2683" s="7">
        <v>270</v>
      </c>
      <c r="I2683" s="8" t="str">
        <f ca="1">IFERROR(__xludf.DUMMYFUNCTION("IF
(
G2684=""фізична особа""
,
VLOOKUP(H2684,IMPORTRANGE(""https://docs.google.com/spreadsheets/d/14Bd19lYaqBhU8_DElYkX7l4wRkHqqCUFNJY4AfY3kHU/edit?usp=sharing  #gid=0"",""фіз особи new!relations_name""),6,FALSE)
,
(IF
(
G2684=""юридична особа""
,
VLOOKUP"&amp;"(H2684,IMPORTRANGE(""https://docs.google.com/spreadsheets/d/14Bd19lYaqBhU8_DElYkX7l4wRkHqqCUFNJY4AfY3kHU/edit?usp=sharing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J2683" s="7" t="s">
        <v>48</v>
      </c>
    </row>
    <row r="2684" spans="1:10" ht="13.2">
      <c r="A2684" s="7">
        <v>2683</v>
      </c>
      <c r="B2684" s="7">
        <v>1</v>
      </c>
      <c r="C2684" s="7" t="s">
        <v>10</v>
      </c>
      <c r="D2684" s="7">
        <v>770</v>
      </c>
      <c r="E2684" s="7" t="s">
        <v>48</v>
      </c>
      <c r="F2684" s="8" t="str">
        <f ca="1">IFERROR(__xludf.DUMMYFUNCTION("IF
(
C2685=""фізична особа""
,
VLOOKUP(D2685,IMPORTRANGE(""https://docs.google.com/spreadsheets/d/14Bd19lYaqBhU8_DElYkX7l4wRkHqqCUFNJY4AfY3kHU/edit?usp=sharing  #gid=0"",""фіз особи new!relations_name""),6,FALSE)
,
(IF
(
C2685=""юридична особа""
,
VLOOKUP"&amp;"(D2685,IMPORTRANGE(""https://docs.google.com/spreadsheets/d/14Bd19lYaqBhU8_DElYkX7l4wRkHqqCUFNJY4AfY3kHU/edit?usp=sharing  #gid=0"",""фіз особи new!relations_name_uo""),7,FALSE)
,
)
))"),"КАНОКОВ Тимур Борисович")</f>
        <v>КАНОКОВ Тимур Борисович</v>
      </c>
      <c r="G2684" s="7" t="s">
        <v>10</v>
      </c>
      <c r="H2684" s="7">
        <v>0</v>
      </c>
      <c r="I2684" s="8" t="str">
        <f ca="1">IFERROR(__xludf.DUMMYFUNCTION("IF
(
G2685=""фізична особа""
,
VLOOKUP(H2685,IMPORTRANGE(""https://docs.google.com/spreadsheets/d/14Bd19lYaqBhU8_DElYkX7l4wRkHqqCUFNJY4AfY3kHU/edit?usp=sharing  #gid=0"",""фіз особи new!relations_name""),6,FALSE)
,
(IF
(
G2685=""юридична особа""
,
VLOOKUP"&amp;"(H2685,IMPORTRANGE(""https://docs.google.com/spreadsheets/d/14Bd19lYaqBhU8_DElYkX7l4wRkHqqCUFNJY4AfY3kHU/edit?usp=sharing  #gid=0"",""фіз особи new!relations_name_uo""),7,FALSE)
,
)
))"),"#N/A")</f>
        <v>#N/A</v>
      </c>
      <c r="J2684" s="7" t="s">
        <v>48</v>
      </c>
    </row>
    <row r="2685" spans="1:10" ht="13.2">
      <c r="A2685" s="7">
        <v>2684</v>
      </c>
      <c r="B2685" s="7">
        <v>1</v>
      </c>
      <c r="C2685" s="7" t="s">
        <v>10</v>
      </c>
      <c r="D2685" s="7">
        <v>771</v>
      </c>
      <c r="E2685" s="7" t="s">
        <v>40</v>
      </c>
      <c r="F2685" s="8" t="str">
        <f ca="1">IFERROR(__xludf.DUMMYFUNCTION("IF
(
C2686=""фізична особа""
,
VLOOKUP(D2686,IMPORTRANGE(""https://docs.google.com/spreadsheets/d/14Bd19lYaqBhU8_DElYkX7l4wRkHqqCUFNJY4AfY3kHU/edit?usp=sharing  #gid=0"",""фіз особи new!relations_name""),6,FALSE)
,
(IF
(
C2686=""юридична особа""
,
VLOOKUP"&amp;"(D2686,IMPORTRANGE(""https://docs.google.com/spreadsheets/d/14Bd19lYaqBhU8_DElYkX7l4wRkHqqCUFNJY4AfY3kHU/edit?usp=sharing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85" s="7" t="s">
        <v>10</v>
      </c>
      <c r="H2685" s="7">
        <v>140</v>
      </c>
      <c r="I2685" s="8" t="str">
        <f ca="1">IFERROR(__xludf.DUMMYFUNCTION("IF
(
G2686=""фізична особа""
,
VLOOKUP(H2686,IMPORTRANGE(""https://docs.google.com/spreadsheets/d/14Bd19lYaqBhU8_DElYkX7l4wRkHqqCUFNJY4AfY3kHU/edit?usp=sharing  #gid=0"",""фіз особи new!relations_name""),6,FALSE)
,
(IF
(
G2686=""юридична особа""
,
VLOOKUP"&amp;"(H2686,IMPORTRANGE(""https://docs.google.com/spreadsheets/d/14Bd19lYaqBhU8_DElYkX7l4wRkHqqCUFNJY4AfY3kHU/edit?usp=sharing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J2685" s="7" t="s">
        <v>41</v>
      </c>
    </row>
    <row r="2686" spans="1:10" ht="13.2">
      <c r="A2686" s="7">
        <v>2685</v>
      </c>
      <c r="B2686" s="7">
        <v>1</v>
      </c>
      <c r="C2686" s="7" t="s">
        <v>10</v>
      </c>
      <c r="D2686" s="7">
        <v>771</v>
      </c>
      <c r="E2686" s="7" t="s">
        <v>48</v>
      </c>
      <c r="F2686" s="8" t="str">
        <f ca="1">IFERROR(__xludf.DUMMYFUNCTION("IF
(
C2687=""фізична особа""
,
VLOOKUP(D2687,IMPORTRANGE(""https://docs.google.com/spreadsheets/d/14Bd19lYaqBhU8_DElYkX7l4wRkHqqCUFNJY4AfY3kHU/edit?usp=sharing  #gid=0"",""фіз особи new!relations_name""),6,FALSE)
,
(IF
(
C2687=""юридична особа""
,
VLOOKUP"&amp;"(D2687,IMPORTRANGE(""https://docs.google.com/spreadsheets/d/14Bd19lYaqBhU8_DElYkX7l4wRkHqqCUFNJY4AfY3kHU/edit?usp=sharing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86" s="7" t="s">
        <v>10</v>
      </c>
      <c r="H2686" s="7">
        <v>296</v>
      </c>
      <c r="I2686" s="8" t="str">
        <f ca="1">IFERROR(__xludf.DUMMYFUNCTION("IF
(
G2687=""фізична особа""
,
VLOOKUP(H2687,IMPORTRANGE(""https://docs.google.com/spreadsheets/d/14Bd19lYaqBhU8_DElYkX7l4wRkHqqCUFNJY4AfY3kHU/edit?usp=sharing  #gid=0"",""фіз особи new!relations_name""),6,FALSE)
,
(IF
(
G2687=""юридична особа""
,
VLOOKUP"&amp;"(H2687,IMPORTRANGE(""https://docs.google.com/spreadsheets/d/14Bd19lYaqBhU8_DElYkX7l4wRkHqqCUFNJY4AfY3kHU/edit?usp=sharing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2686" s="7" t="s">
        <v>48</v>
      </c>
    </row>
    <row r="2687" spans="1:10" ht="13.2">
      <c r="A2687" s="7">
        <v>2686</v>
      </c>
      <c r="B2687" s="7">
        <v>1</v>
      </c>
      <c r="C2687" s="7" t="s">
        <v>10</v>
      </c>
      <c r="D2687" s="7">
        <v>771</v>
      </c>
      <c r="E2687" s="7" t="s">
        <v>28</v>
      </c>
      <c r="F2687" s="8" t="str">
        <f ca="1">IFERROR(__xludf.DUMMYFUNCTION("IF
(
C2688=""фізична особа""
,
VLOOKUP(D2688,IMPORTRANGE(""https://docs.google.com/spreadsheets/d/14Bd19lYaqBhU8_DElYkX7l4wRkHqqCUFNJY4AfY3kHU/edit?usp=sharing  #gid=0"",""фіз особи new!relations_name""),6,FALSE)
,
(IF
(
C2688=""юридична особа""
,
VLOOKUP"&amp;"(D2688,IMPORTRANGE(""https://docs.google.com/spreadsheets/d/14Bd19lYaqBhU8_DElYkX7l4wRkHqqCUFNJY4AfY3kHU/edit?usp=sharing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87" s="7" t="s">
        <v>10</v>
      </c>
      <c r="H2687" s="7">
        <v>670</v>
      </c>
      <c r="I2687" s="8" t="str">
        <f ca="1">IFERROR(__xludf.DUMMYFUNCTION("IF
(
G2688=""фізична особа""
,
VLOOKUP(H2688,IMPORTRANGE(""https://docs.google.com/spreadsheets/d/14Bd19lYaqBhU8_DElYkX7l4wRkHqqCUFNJY4AfY3kHU/edit?usp=sharing  #gid=0"",""фіз особи new!relations_name""),6,FALSE)
,
(IF
(
G2688=""юридична особа""
,
VLOOKUP"&amp;"(H2688,IMPORTRANGE(""https://docs.google.com/spreadsheets/d/14Bd19lYaqBhU8_DElYkX7l4wRkHqqCUFNJY4AfY3kHU/edit?usp=sharing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687" s="7" t="s">
        <v>29</v>
      </c>
    </row>
    <row r="2688" spans="1:10" ht="13.2">
      <c r="A2688" s="7">
        <v>2687</v>
      </c>
      <c r="B2688" s="7">
        <v>1</v>
      </c>
      <c r="C2688" s="7" t="s">
        <v>10</v>
      </c>
      <c r="D2688" s="7">
        <v>771</v>
      </c>
      <c r="E2688" s="7" t="s">
        <v>14</v>
      </c>
      <c r="F2688" s="8" t="str">
        <f ca="1">IFERROR(__xludf.DUMMYFUNCTION("IF
(
C2689=""фізична особа""
,
VLOOKUP(D2689,IMPORTRANGE(""https://docs.google.com/spreadsheets/d/14Bd19lYaqBhU8_DElYkX7l4wRkHqqCUFNJY4AfY3kHU/edit?usp=sharing  #gid=0"",""фіз особи new!relations_name""),6,FALSE)
,
(IF
(
C2689=""юридична особа""
,
VLOOKUP"&amp;"(D2689,IMPORTRANGE(""https://docs.google.com/spreadsheets/d/14Bd19lYaqBhU8_DElYkX7l4wRkHqqCUFNJY4AfY3kHU/edit?usp=sharing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88" s="7" t="s">
        <v>10</v>
      </c>
      <c r="H2688" s="7">
        <v>23452</v>
      </c>
      <c r="I2688" s="8" t="str">
        <f ca="1">IFERROR(__xludf.DUMMYFUNCTION("IF
(
G2689=""фізична особа""
,
VLOOKUP(H2689,IMPORTRANGE(""https://docs.google.com/spreadsheets/d/14Bd19lYaqBhU8_DElYkX7l4wRkHqqCUFNJY4AfY3kHU/edit?usp=sharing  #gid=0"",""фіз особи new!relations_name""),6,FALSE)
,
(IF
(
G2689=""юридична особа""
,
VLOOKUP"&amp;"(H2689,IMPORTRANGE(""https://docs.google.com/spreadsheets/d/14Bd19lYaqBhU8_DElYkX7l4wRkHqqCUFNJY4AfY3kHU/edit?usp=sharing  #gid=0"",""фіз особи new!relations_name_uo""),7,FALSE)
,
)
))"),"ЗАХАРОВА Світлана Олександрівна")</f>
        <v>ЗАХАРОВА Світлана Олександрівна</v>
      </c>
      <c r="J2688" s="7" t="s">
        <v>15</v>
      </c>
    </row>
    <row r="2689" spans="1:10" ht="13.2">
      <c r="A2689" s="7">
        <v>2688</v>
      </c>
      <c r="B2689" s="7">
        <v>1</v>
      </c>
      <c r="C2689" s="7" t="s">
        <v>10</v>
      </c>
      <c r="D2689" s="7">
        <v>771</v>
      </c>
      <c r="E2689" s="7" t="s">
        <v>12</v>
      </c>
      <c r="F2689" s="8" t="str">
        <f ca="1">IFERROR(__xludf.DUMMYFUNCTION("IF
(
C2690=""фізична особа""
,
VLOOKUP(D2690,IMPORTRANGE(""https://docs.google.com/spreadsheets/d/14Bd19lYaqBhU8_DElYkX7l4wRkHqqCUFNJY4AfY3kHU/edit?usp=sharing  #gid=0"",""фіз особи new!relations_name""),6,FALSE)
,
(IF
(
C2690=""юридична особа""
,
VLOOKUP"&amp;"(D2690,IMPORTRANGE(""https://docs.google.com/spreadsheets/d/14Bd19lYaqBhU8_DElYkX7l4wRkHqqCUFNJY4AfY3kHU/edit?usp=sharing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89" s="7" t="s">
        <v>10</v>
      </c>
      <c r="H2689" s="7">
        <v>0</v>
      </c>
      <c r="I2689" s="8" t="str">
        <f ca="1">IFERROR(__xludf.DUMMYFUNCTION("IF
(
G2690=""фізична особа""
,
VLOOKUP(H2690,IMPORTRANGE(""https://docs.google.com/spreadsheets/d/14Bd19lYaqBhU8_DElYkX7l4wRkHqqCUFNJY4AfY3kHU/edit?usp=sharing  #gid=0"",""фіз особи new!relations_name""),6,FALSE)
,
(IF
(
G2690=""юридична особа""
,
VLOOKUP"&amp;"(H2690,IMPORTRANGE(""https://docs.google.com/spreadsheets/d/14Bd19lYaqBhU8_DElYkX7l4wRkHqqCUFNJY4AfY3kHU/edit?usp=sharing  #gid=0"",""фіз особи new!relations_name_uo""),7,FALSE)
,
)
))"),"#N/A")</f>
        <v>#N/A</v>
      </c>
      <c r="J2689" s="7" t="s">
        <v>13</v>
      </c>
    </row>
    <row r="2690" spans="1:10" ht="13.2">
      <c r="A2690" s="7">
        <v>2689</v>
      </c>
      <c r="B2690" s="7">
        <v>1</v>
      </c>
      <c r="C2690" s="7" t="s">
        <v>10</v>
      </c>
      <c r="D2690" s="7">
        <v>771</v>
      </c>
      <c r="E2690" s="7" t="s">
        <v>32</v>
      </c>
      <c r="F2690" s="8" t="str">
        <f ca="1">IFERROR(__xludf.DUMMYFUNCTION("IF
(
C2691=""фізична особа""
,
VLOOKUP(D2691,IMPORTRANGE(""https://docs.google.com/spreadsheets/d/14Bd19lYaqBhU8_DElYkX7l4wRkHqqCUFNJY4AfY3kHU/edit?usp=sharing  #gid=0"",""фіз особи new!relations_name""),6,FALSE)
,
(IF
(
C2691=""юридична особа""
,
VLOOKUP"&amp;"(D2691,IMPORTRANGE(""https://docs.google.com/spreadsheets/d/14Bd19lYaqBhU8_DElYkX7l4wRkHqqCUFNJY4AfY3kHU/edit?usp=sharing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90" s="7" t="s">
        <v>10</v>
      </c>
      <c r="H2690" s="7">
        <v>0</v>
      </c>
      <c r="I2690" s="8" t="str">
        <f ca="1">IFERROR(__xludf.DUMMYFUNCTION("IF
(
G2691=""фізична особа""
,
VLOOKUP(H2691,IMPORTRANGE(""https://docs.google.com/spreadsheets/d/14Bd19lYaqBhU8_DElYkX7l4wRkHqqCUFNJY4AfY3kHU/edit?usp=sharing  #gid=0"",""фіз особи new!relations_name""),6,FALSE)
,
(IF
(
G2691=""юридична особа""
,
VLOOKUP"&amp;"(H2691,IMPORTRANGE(""https://docs.google.com/spreadsheets/d/14Bd19lYaqBhU8_DElYkX7l4wRkHqqCUFNJY4AfY3kHU/edit?usp=sharing  #gid=0"",""фіз особи new!relations_name_uo""),7,FALSE)
,
)
))"),"#N/A")</f>
        <v>#N/A</v>
      </c>
      <c r="J2690" s="7" t="s">
        <v>33</v>
      </c>
    </row>
    <row r="2691" spans="1:10" ht="13.2">
      <c r="A2691" s="7">
        <v>2690</v>
      </c>
      <c r="B2691" s="7">
        <v>1</v>
      </c>
      <c r="C2691" s="7" t="s">
        <v>10</v>
      </c>
      <c r="D2691" s="7">
        <v>771</v>
      </c>
      <c r="E2691" s="7" t="s">
        <v>32</v>
      </c>
      <c r="F2691" s="8" t="str">
        <f ca="1">IFERROR(__xludf.DUMMYFUNCTION("IF
(
C2692=""фізична особа""
,
VLOOKUP(D2692,IMPORTRANGE(""https://docs.google.com/spreadsheets/d/14Bd19lYaqBhU8_DElYkX7l4wRkHqqCUFNJY4AfY3kHU/edit?usp=sharing  #gid=0"",""фіз особи new!relations_name""),6,FALSE)
,
(IF
(
C2692=""юридична особа""
,
VLOOKUP"&amp;"(D2692,IMPORTRANGE(""https://docs.google.com/spreadsheets/d/14Bd19lYaqBhU8_DElYkX7l4wRkHqqCUFNJY4AfY3kHU/edit?usp=sharing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91" s="7" t="s">
        <v>10</v>
      </c>
      <c r="H2691" s="7">
        <v>0</v>
      </c>
      <c r="I2691" s="8" t="str">
        <f ca="1">IFERROR(__xludf.DUMMYFUNCTION("IF
(
G2692=""фізична особа""
,
VLOOKUP(H2692,IMPORTRANGE(""https://docs.google.com/spreadsheets/d/14Bd19lYaqBhU8_DElYkX7l4wRkHqqCUFNJY4AfY3kHU/edit?usp=sharing  #gid=0"",""фіз особи new!relations_name""),6,FALSE)
,
(IF
(
G2692=""юридична особа""
,
VLOOKUP"&amp;"(H2692,IMPORTRANGE(""https://docs.google.com/spreadsheets/d/14Bd19lYaqBhU8_DElYkX7l4wRkHqqCUFNJY4AfY3kHU/edit?usp=sharing  #gid=0"",""фіз особи new!relations_name_uo""),7,FALSE)
,
)
))"),"#N/A")</f>
        <v>#N/A</v>
      </c>
      <c r="J2691" s="7" t="s">
        <v>49</v>
      </c>
    </row>
    <row r="2692" spans="1:10" ht="13.2">
      <c r="A2692" s="7">
        <v>2691</v>
      </c>
      <c r="B2692" s="7">
        <v>1</v>
      </c>
      <c r="C2692" s="7" t="s">
        <v>10</v>
      </c>
      <c r="D2692" s="7">
        <v>771</v>
      </c>
      <c r="E2692" s="7" t="s">
        <v>17</v>
      </c>
      <c r="F2692" s="8" t="str">
        <f ca="1">IFERROR(__xludf.DUMMYFUNCTION("IF
(
C2693=""фізична особа""
,
VLOOKUP(D2693,IMPORTRANGE(""https://docs.google.com/spreadsheets/d/14Bd19lYaqBhU8_DElYkX7l4wRkHqqCUFNJY4AfY3kHU/edit?usp=sharing  #gid=0"",""фіз особи new!relations_name""),6,FALSE)
,
(IF
(
C2693=""юридична особа""
,
VLOOKUP"&amp;"(D2693,IMPORTRANGE(""https://docs.google.com/spreadsheets/d/14Bd19lYaqBhU8_DElYkX7l4wRkHqqCUFNJY4AfY3kHU/edit?usp=sharing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92" s="7" t="s">
        <v>10</v>
      </c>
      <c r="H2692" s="7">
        <v>23452</v>
      </c>
      <c r="I2692" s="8" t="str">
        <f ca="1">IFERROR(__xludf.DUMMYFUNCTION("IF
(
G2693=""фізична особа""
,
VLOOKUP(H2693,IMPORTRANGE(""https://docs.google.com/spreadsheets/d/14Bd19lYaqBhU8_DElYkX7l4wRkHqqCUFNJY4AfY3kHU/edit?usp=sharing  #gid=0"",""фіз особи new!relations_name""),6,FALSE)
,
(IF
(
G2693=""юридична особа""
,
VLOOKUP"&amp;"(H2693,IMPORTRANGE(""https://docs.google.com/spreadsheets/d/14Bd19lYaqBhU8_DElYkX7l4wRkHqqCUFNJY4AfY3kHU/edit?usp=sharing  #gid=0"",""фіз особи new!relations_name_uo""),7,FALSE)
,
)
))"),"ЗАХАРОВА Світлана Олександрівна")</f>
        <v>ЗАХАРОВА Світлана Олександрівна</v>
      </c>
      <c r="J2692" s="7" t="s">
        <v>21</v>
      </c>
    </row>
    <row r="2693" spans="1:10" ht="13.2">
      <c r="A2693" s="7">
        <v>2692</v>
      </c>
      <c r="B2693" s="7">
        <v>1</v>
      </c>
      <c r="C2693" s="7" t="s">
        <v>10</v>
      </c>
      <c r="D2693" s="7">
        <v>771</v>
      </c>
      <c r="E2693" s="7" t="s">
        <v>17</v>
      </c>
      <c r="F2693" s="8" t="str">
        <f ca="1">IFERROR(__xludf.DUMMYFUNCTION("IF
(
C2694=""фізична особа""
,
VLOOKUP(D2694,IMPORTRANGE(""https://docs.google.com/spreadsheets/d/14Bd19lYaqBhU8_DElYkX7l4wRkHqqCUFNJY4AfY3kHU/edit?usp=sharing  #gid=0"",""фіз особи new!relations_name""),6,FALSE)
,
(IF
(
C2694=""юридична особа""
,
VLOOKUP"&amp;"(D2694,IMPORTRANGE(""https://docs.google.com/spreadsheets/d/14Bd19lYaqBhU8_DElYkX7l4wRkHqqCUFNJY4AfY3kHU/edit?usp=sharing  #gid=0"",""фіз особи new!relations_name_uo""),7,FALSE)
,
)
))"),"ІВАНОВ Тимур Вадимович")</f>
        <v>ІВАНОВ Тимур Вадимович</v>
      </c>
      <c r="G2693" s="7" t="s">
        <v>10</v>
      </c>
      <c r="H2693" s="7">
        <v>0</v>
      </c>
      <c r="I2693" s="8" t="str">
        <f ca="1">IFERROR(__xludf.DUMMYFUNCTION("IF
(
G2694=""фізична особа""
,
VLOOKUP(H2694,IMPORTRANGE(""https://docs.google.com/spreadsheets/d/14Bd19lYaqBhU8_DElYkX7l4wRkHqqCUFNJY4AfY3kHU/edit?usp=sharing  #gid=0"",""фіз особи new!relations_name""),6,FALSE)
,
(IF
(
G2694=""юридична особа""
,
VLOOKUP"&amp;"(H2694,IMPORTRANGE(""https://docs.google.com/spreadsheets/d/14Bd19lYaqBhU8_DElYkX7l4wRkHqqCUFNJY4AfY3kHU/edit?usp=sharing  #gid=0"",""фіз особи new!relations_name_uo""),7,FALSE)
,
)
))"),"#N/A")</f>
        <v>#N/A</v>
      </c>
      <c r="J2693" s="7" t="s">
        <v>12</v>
      </c>
    </row>
    <row r="2694" spans="1:10" ht="13.2">
      <c r="A2694" s="7">
        <v>2693</v>
      </c>
      <c r="B2694" s="7">
        <v>1</v>
      </c>
      <c r="C2694" s="7" t="s">
        <v>10</v>
      </c>
      <c r="D2694" s="7">
        <v>772</v>
      </c>
      <c r="E2694" s="7" t="s">
        <v>48</v>
      </c>
      <c r="F2694" s="8" t="str">
        <f ca="1">IFERROR(__xludf.DUMMYFUNCTION("IF
(
C2695=""фізична особа""
,
VLOOKUP(D2695,IMPORTRANGE(""https://docs.google.com/spreadsheets/d/14Bd19lYaqBhU8_DElYkX7l4wRkHqqCUFNJY4AfY3kHU/edit?usp=sharing  #gid=0"",""фіз особи new!relations_name""),6,FALSE)
,
(IF
(
C2695=""юридична особа""
,
VLOOKUP"&amp;"(D2695,IMPORTRANGE(""https://docs.google.com/spreadsheets/d/14Bd19lYaqBhU8_DElYkX7l4wRkHqqCUFNJY4AfY3kHU/edit?usp=sharing  #gid=0"",""фіз особи new!relations_name_uo""),7,FALSE)
,
)
))"),"ТКАЧОВ Антон Олегович")</f>
        <v>ТКАЧОВ Антон Олегович</v>
      </c>
      <c r="G2694" s="7" t="s">
        <v>10</v>
      </c>
      <c r="H2694" s="7">
        <v>185</v>
      </c>
      <c r="I2694" s="8" t="str">
        <f ca="1">IFERROR(__xludf.DUMMYFUNCTION("IF
(
G2695=""фізична особа""
,
VLOOKUP(H2695,IMPORTRANGE(""https://docs.google.com/spreadsheets/d/14Bd19lYaqBhU8_DElYkX7l4wRkHqqCUFNJY4AfY3kHU/edit?usp=sharing  #gid=0"",""фіз особи new!relations_name""),6,FALSE)
,
(IF
(
G2695=""юридична особа""
,
VLOOKUP"&amp;"(H2695,IMPORTRANGE(""https://docs.google.com/spreadsheets/d/14Bd19lYaqBhU8_DElYkX7l4wRkHqqCUFNJY4AfY3kHU/edit?usp=sharing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694" s="7" t="s">
        <v>48</v>
      </c>
    </row>
    <row r="2695" spans="1:10" ht="13.2">
      <c r="A2695" s="7">
        <v>2694</v>
      </c>
      <c r="B2695" s="7">
        <v>1</v>
      </c>
      <c r="C2695" s="7" t="s">
        <v>10</v>
      </c>
      <c r="D2695" s="7">
        <v>772</v>
      </c>
      <c r="E2695" s="7" t="s">
        <v>48</v>
      </c>
      <c r="F2695" s="8" t="str">
        <f ca="1">IFERROR(__xludf.DUMMYFUNCTION("IF
(
C2696=""фізична особа""
,
VLOOKUP(D2696,IMPORTRANGE(""https://docs.google.com/spreadsheets/d/14Bd19lYaqBhU8_DElYkX7l4wRkHqqCUFNJY4AfY3kHU/edit?usp=sharing  #gid=0"",""фіз особи new!relations_name""),6,FALSE)
,
(IF
(
C2696=""юридична особа""
,
VLOOKUP"&amp;"(D2696,IMPORTRANGE(""https://docs.google.com/spreadsheets/d/14Bd19lYaqBhU8_DElYkX7l4wRkHqqCUFNJY4AfY3kHU/edit?usp=sharing  #gid=0"",""фіз особи new!relations_name_uo""),7,FALSE)
,
)
))"),"ТКАЧОВ Антон Олегович")</f>
        <v>ТКАЧОВ Антон Олегович</v>
      </c>
      <c r="G2695" s="7" t="s">
        <v>10</v>
      </c>
      <c r="H2695" s="7">
        <v>64</v>
      </c>
      <c r="I2695" s="8" t="str">
        <f ca="1">IFERROR(__xludf.DUMMYFUNCTION("IF
(
G2696=""фізична особа""
,
VLOOKUP(H2696,IMPORTRANGE(""https://docs.google.com/spreadsheets/d/14Bd19lYaqBhU8_DElYkX7l4wRkHqqCUFNJY4AfY3kHU/edit?usp=sharing  #gid=0"",""фіз особи new!relations_name""),6,FALSE)
,
(IF
(
G2696=""юридична особа""
,
VLOOKUP"&amp;"(H2696,IMPORTRANGE(""https://docs.google.com/spreadsheets/d/14Bd19lYaqBhU8_DElYkX7l4wRkHqqCUFNJY4AfY3kHU/edit?usp=sharing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695" s="7" t="s">
        <v>48</v>
      </c>
    </row>
    <row r="2696" spans="1:10" ht="13.2">
      <c r="A2696" s="7">
        <v>2695</v>
      </c>
      <c r="B2696" s="7">
        <v>1</v>
      </c>
      <c r="C2696" s="7" t="s">
        <v>10</v>
      </c>
      <c r="D2696" s="7">
        <v>772</v>
      </c>
      <c r="E2696" s="7" t="s">
        <v>48</v>
      </c>
      <c r="F2696" s="8" t="str">
        <f ca="1">IFERROR(__xludf.DUMMYFUNCTION("IF
(
C2697=""фізична особа""
,
VLOOKUP(D2697,IMPORTRANGE(""https://docs.google.com/spreadsheets/d/14Bd19lYaqBhU8_DElYkX7l4wRkHqqCUFNJY4AfY3kHU/edit?usp=sharing  #gid=0"",""фіз особи new!relations_name""),6,FALSE)
,
(IF
(
C2697=""юридична особа""
,
VLOOKUP"&amp;"(D2697,IMPORTRANGE(""https://docs.google.com/spreadsheets/d/14Bd19lYaqBhU8_DElYkX7l4wRkHqqCUFNJY4AfY3kHU/edit?usp=sharing  #gid=0"",""фіз особи new!relations_name_uo""),7,FALSE)
,
)
))"),"ТКАЧОВ Антон Олегович")</f>
        <v>ТКАЧОВ Антон Олегович</v>
      </c>
      <c r="G2696" s="7" t="s">
        <v>10</v>
      </c>
      <c r="H2696" s="7">
        <v>844</v>
      </c>
      <c r="I2696" s="8" t="str">
        <f ca="1">IFERROR(__xludf.DUMMYFUNCTION("IF
(
G2697=""фізична особа""
,
VLOOKUP(H2697,IMPORTRANGE(""https://docs.google.com/spreadsheets/d/14Bd19lYaqBhU8_DElYkX7l4wRkHqqCUFNJY4AfY3kHU/edit?usp=sharing  #gid=0"",""фіз особи new!relations_name""),6,FALSE)
,
(IF
(
G2697=""юридична особа""
,
VLOOKUP"&amp;"(H2697,IMPORTRANGE(""https://docs.google.com/spreadsheets/d/14Bd19lYaqBhU8_DElYkX7l4wRkHqqCUFNJY4AfY3kHU/edit?usp=sharing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696" s="7" t="s">
        <v>48</v>
      </c>
    </row>
    <row r="2697" spans="1:10" ht="13.2">
      <c r="A2697" s="7">
        <v>2696</v>
      </c>
      <c r="B2697" s="7">
        <v>1</v>
      </c>
      <c r="C2697" s="7" t="s">
        <v>10</v>
      </c>
      <c r="D2697" s="7">
        <v>772</v>
      </c>
      <c r="E2697" s="7" t="s">
        <v>48</v>
      </c>
      <c r="F2697" s="8" t="str">
        <f ca="1">IFERROR(__xludf.DUMMYFUNCTION("IF
(
C2698=""фізична особа""
,
VLOOKUP(D2698,IMPORTRANGE(""https://docs.google.com/spreadsheets/d/14Bd19lYaqBhU8_DElYkX7l4wRkHqqCUFNJY4AfY3kHU/edit?usp=sharing  #gid=0"",""фіз особи new!relations_name""),6,FALSE)
,
(IF
(
C2698=""юридична особа""
,
VLOOKUP"&amp;"(D2698,IMPORTRANGE(""https://docs.google.com/spreadsheets/d/14Bd19lYaqBhU8_DElYkX7l4wRkHqqCUFNJY4AfY3kHU/edit?usp=sharing  #gid=0"",""фіз особи new!relations_name_uo""),7,FALSE)
,
)
))"),"ТКАЧОВ Антон Олегович")</f>
        <v>ТКАЧОВ Антон Олегович</v>
      </c>
      <c r="G2697" s="7" t="s">
        <v>10</v>
      </c>
      <c r="H2697" s="7">
        <v>4789</v>
      </c>
      <c r="I2697" s="8" t="str">
        <f ca="1">IFERROR(__xludf.DUMMYFUNCTION("IF
(
G2698=""фізична особа""
,
VLOOKUP(H2698,IMPORTRANGE(""https://docs.google.com/spreadsheets/d/14Bd19lYaqBhU8_DElYkX7l4wRkHqqCUFNJY4AfY3kHU/edit?usp=sharing  #gid=0"",""фіз особи new!relations_name""),6,FALSE)
,
(IF
(
G2698=""юридична особа""
,
VLOOKUP"&amp;"(H2698,IMPORTRANGE(""https://docs.google.com/spreadsheets/d/14Bd19lYaqBhU8_DElYkX7l4wRkHqqCUFNJY4AfY3kHU/edit?usp=sharing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697" s="7" t="s">
        <v>48</v>
      </c>
    </row>
    <row r="2698" spans="1:10" ht="13.2">
      <c r="A2698" s="7">
        <v>2697</v>
      </c>
      <c r="B2698" s="7">
        <v>1</v>
      </c>
      <c r="C2698" s="7" t="s">
        <v>10</v>
      </c>
      <c r="D2698" s="7">
        <v>772</v>
      </c>
      <c r="E2698" s="7" t="s">
        <v>48</v>
      </c>
      <c r="F2698" s="8" t="str">
        <f ca="1">IFERROR(__xludf.DUMMYFUNCTION("IF
(
C2699=""фізична особа""
,
VLOOKUP(D2699,IMPORTRANGE(""https://docs.google.com/spreadsheets/d/14Bd19lYaqBhU8_DElYkX7l4wRkHqqCUFNJY4AfY3kHU/edit?usp=sharing  #gid=0"",""фіз особи new!relations_name""),6,FALSE)
,
(IF
(
C2699=""юридична особа""
,
VLOOKUP"&amp;"(D2699,IMPORTRANGE(""https://docs.google.com/spreadsheets/d/14Bd19lYaqBhU8_DElYkX7l4wRkHqqCUFNJY4AfY3kHU/edit?usp=sharing  #gid=0"",""фіз особи new!relations_name_uo""),7,FALSE)
,
)
))"),"ТКАЧОВ Антон Олегович")</f>
        <v>ТКАЧОВ Антон Олегович</v>
      </c>
      <c r="G2698" s="7" t="s">
        <v>10</v>
      </c>
      <c r="H2698" s="7">
        <v>4870</v>
      </c>
      <c r="I2698" s="8" t="str">
        <f ca="1">IFERROR(__xludf.DUMMYFUNCTION("IF
(
G2699=""фізична особа""
,
VLOOKUP(H2699,IMPORTRANGE(""https://docs.google.com/spreadsheets/d/14Bd19lYaqBhU8_DElYkX7l4wRkHqqCUFNJY4AfY3kHU/edit?usp=sharing  #gid=0"",""фіз особи new!relations_name""),6,FALSE)
,
(IF
(
G2699=""юридична особа""
,
VLOOKUP"&amp;"(H2699,IMPORTRANGE(""https://docs.google.com/spreadsheets/d/14Bd19lYaqBhU8_DElYkX7l4wRkHqqCUFNJY4AfY3kHU/edit?usp=sharing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698" s="7" t="s">
        <v>48</v>
      </c>
    </row>
    <row r="2699" spans="1:10" ht="13.2">
      <c r="A2699" s="7">
        <v>2698</v>
      </c>
      <c r="B2699" s="7">
        <v>1</v>
      </c>
      <c r="C2699" s="7" t="s">
        <v>10</v>
      </c>
      <c r="D2699" s="7">
        <v>773</v>
      </c>
      <c r="E2699" s="7" t="s">
        <v>15</v>
      </c>
      <c r="F2699" s="8" t="str">
        <f ca="1">IFERROR(__xludf.DUMMYFUNCTION("IF
(
C2700=""фізична особа""
,
VLOOKUP(D2700,IMPORTRANGE(""https://docs.google.com/spreadsheets/d/14Bd19lYaqBhU8_DElYkX7l4wRkHqqCUFNJY4AfY3kHU/edit?usp=sharing  #gid=0"",""фіз особи new!relations_name""),6,FALSE)
,
(IF
(
C2700=""юридична особа""
,
VLOOKUP"&amp;"(D2700,IMPORTRANGE(""https://docs.google.com/spreadsheets/d/14Bd19lYaqBhU8_DElYkX7l4wRkHqqCUFNJY4AfY3kHU/edit?usp=sharing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G2699" s="7" t="s">
        <v>10</v>
      </c>
      <c r="H2699" s="7">
        <v>521</v>
      </c>
      <c r="I2699" s="8" t="str">
        <f ca="1">IFERROR(__xludf.DUMMYFUNCTION("IF
(
G2700=""фізична особа""
,
VLOOKUP(H2700,IMPORTRANGE(""https://docs.google.com/spreadsheets/d/14Bd19lYaqBhU8_DElYkX7l4wRkHqqCUFNJY4AfY3kHU/edit?usp=sharing  #gid=0"",""фіз особи new!relations_name""),6,FALSE)
,
(IF
(
G2700=""юридична особа""
,
VLOOKUP"&amp;"(H2700,IMPORTRANGE(""https://docs.google.com/spreadsheets/d/14Bd19lYaqBhU8_DElYkX7l4wRkHqqCUFNJY4AfY3kHU/edit?usp=sharing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J2699" s="7" t="s">
        <v>14</v>
      </c>
    </row>
    <row r="2700" spans="1:10" ht="13.2">
      <c r="A2700" s="7">
        <v>2699</v>
      </c>
      <c r="B2700" s="7">
        <v>1</v>
      </c>
      <c r="C2700" s="7" t="s">
        <v>10</v>
      </c>
      <c r="D2700" s="7">
        <v>773</v>
      </c>
      <c r="E2700" s="7" t="s">
        <v>21</v>
      </c>
      <c r="F2700" s="8" t="str">
        <f ca="1">IFERROR(__xludf.DUMMYFUNCTION("IF
(
C2701=""фізична особа""
,
VLOOKUP(D2701,IMPORTRANGE(""https://docs.google.com/spreadsheets/d/14Bd19lYaqBhU8_DElYkX7l4wRkHqqCUFNJY4AfY3kHU/edit?usp=sharing  #gid=0"",""фіз особи new!relations_name""),6,FALSE)
,
(IF
(
C2701=""юридична особа""
,
VLOOKUP"&amp;"(D2701,IMPORTRANGE(""https://docs.google.com/spreadsheets/d/14Bd19lYaqBhU8_DElYkX7l4wRkHqqCUFNJY4AfY3kHU/edit?usp=sharing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G2700" s="7" t="s">
        <v>10</v>
      </c>
      <c r="H2700" s="7">
        <v>774</v>
      </c>
      <c r="I2700" s="8" t="str">
        <f ca="1">IFERROR(__xludf.DUMMYFUNCTION("IF
(
G2701=""фізична особа""
,
VLOOKUP(H2701,IMPORTRANGE(""https://docs.google.com/spreadsheets/d/14Bd19lYaqBhU8_DElYkX7l4wRkHqqCUFNJY4AfY3kHU/edit?usp=sharing  #gid=0"",""фіз особи new!relations_name""),6,FALSE)
,
(IF
(
G2701=""юридична особа""
,
VLOOKUP"&amp;"(H2701,IMPORTRANGE(""https://docs.google.com/spreadsheets/d/14Bd19lYaqBhU8_DElYkX7l4wRkHqqCUFNJY4AfY3kHU/edit?usp=sharing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J2700" s="7" t="s">
        <v>13</v>
      </c>
    </row>
    <row r="2701" spans="1:10" ht="13.2">
      <c r="A2701" s="7">
        <v>2700</v>
      </c>
      <c r="B2701" s="7">
        <v>1</v>
      </c>
      <c r="C2701" s="7" t="s">
        <v>10</v>
      </c>
      <c r="D2701" s="7">
        <v>773</v>
      </c>
      <c r="E2701" s="7" t="s">
        <v>90</v>
      </c>
      <c r="F2701" s="8" t="str">
        <f ca="1">IFERROR(__xludf.DUMMYFUNCTION("IF
(
C2702=""фізична особа""
,
VLOOKUP(D2702,IMPORTRANGE(""https://docs.google.com/spreadsheets/d/14Bd19lYaqBhU8_DElYkX7l4wRkHqqCUFNJY4AfY3kHU/edit?usp=sharing  #gid=0"",""фіз особи new!relations_name""),6,FALSE)
,
(IF
(
C2702=""юридична особа""
,
VLOOKUP"&amp;"(D2702,IMPORTRANGE(""https://docs.google.com/spreadsheets/d/14Bd19lYaqBhU8_DElYkX7l4wRkHqqCUFNJY4AfY3kHU/edit?usp=sharing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G2701" s="7" t="s">
        <v>10</v>
      </c>
      <c r="H2701" s="7">
        <v>23416</v>
      </c>
      <c r="I2701" s="8" t="str">
        <f ca="1">IFERROR(__xludf.DUMMYFUNCTION("IF
(
G2702=""фізична особа""
,
VLOOKUP(H2702,IMPORTRANGE(""https://docs.google.com/spreadsheets/d/14Bd19lYaqBhU8_DElYkX7l4wRkHqqCUFNJY4AfY3kHU/edit?usp=sharing  #gid=0"",""фіз особи new!relations_name""),6,FALSE)
,
(IF
(
G2702=""юридична особа""
,
VLOOKUP"&amp;"(H2702,IMPORTRANGE(""https://docs.google.com/spreadsheets/d/14Bd19lYaqBhU8_DElYkX7l4wRkHqqCUFNJY4AfY3kHU/edit?usp=sharing  #gid=0"",""фіз особи new!relations_name_uo""),7,FALSE)
,
)
))"),"БОЛОТОВ Андрій Юрійович")</f>
        <v>БОЛОТОВ Андрій Юрійович</v>
      </c>
      <c r="J2701" s="7" t="s">
        <v>54</v>
      </c>
    </row>
    <row r="2702" spans="1:10" ht="13.2">
      <c r="A2702" s="7">
        <v>2701</v>
      </c>
      <c r="B2702" s="7">
        <v>1</v>
      </c>
      <c r="C2702" s="7" t="s">
        <v>10</v>
      </c>
      <c r="D2702" s="7">
        <v>773</v>
      </c>
      <c r="E2702" s="7" t="s">
        <v>11</v>
      </c>
      <c r="F2702" s="8" t="str">
        <f ca="1">IFERROR(__xludf.DUMMYFUNCTION("IF
(
C2703=""фізична особа""
,
VLOOKUP(D2703,IMPORTRANGE(""https://docs.google.com/spreadsheets/d/14Bd19lYaqBhU8_DElYkX7l4wRkHqqCUFNJY4AfY3kHU/edit?usp=sharing  #gid=0"",""фіз особи new!relations_name""),6,FALSE)
,
(IF
(
C2703=""юридична особа""
,
VLOOKUP"&amp;"(D2703,IMPORTRANGE(""https://docs.google.com/spreadsheets/d/14Bd19lYaqBhU8_DElYkX7l4wRkHqqCUFNJY4AfY3kHU/edit?usp=sharing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G2702" s="7" t="s">
        <v>10</v>
      </c>
      <c r="H2702" s="7">
        <v>23417</v>
      </c>
      <c r="I2702" s="8" t="str">
        <f ca="1">IFERROR(__xludf.DUMMYFUNCTION("IF
(
G2703=""фізична особа""
,
VLOOKUP(H2703,IMPORTRANGE(""https://docs.google.com/spreadsheets/d/14Bd19lYaqBhU8_DElYkX7l4wRkHqqCUFNJY4AfY3kHU/edit?usp=sharing  #gid=0"",""фіз особи new!relations_name""),6,FALSE)
,
(IF
(
G2703=""юридична особа""
,
VLOOKUP"&amp;"(H2703,IMPORTRANGE(""https://docs.google.com/spreadsheets/d/14Bd19lYaqBhU8_DElYkX7l4wRkHqqCUFNJY4AfY3kHU/edit?usp=sharing  #gid=0"",""фіз особи new!relations_name_uo""),7,FALSE)
,
)
))"),"АРУСТАМОВ Михайло Михайлович")</f>
        <v>АРУСТАМОВ Михайло Михайлович</v>
      </c>
      <c r="J2702" s="7" t="s">
        <v>11</v>
      </c>
    </row>
    <row r="2703" spans="1:10" ht="13.2">
      <c r="A2703" s="7">
        <v>2702</v>
      </c>
      <c r="B2703" s="7">
        <v>1</v>
      </c>
      <c r="C2703" s="7" t="s">
        <v>10</v>
      </c>
      <c r="D2703" s="7">
        <v>774</v>
      </c>
      <c r="E2703" s="7" t="s">
        <v>13</v>
      </c>
      <c r="F2703" s="8" t="str">
        <f ca="1">IFERROR(__xludf.DUMMYFUNCTION("IF
(
C2704=""фізична особа""
,
VLOOKUP(D2704,IMPORTRANGE(""https://docs.google.com/spreadsheets/d/14Bd19lYaqBhU8_DElYkX7l4wRkHqqCUFNJY4AfY3kHU/edit?usp=sharing  #gid=0"",""фіз особи new!relations_name""),6,FALSE)
,
(IF
(
C2704=""юридична особа""
,
VLOOKUP"&amp;"(D2704,IMPORTRANGE(""https://docs.google.com/spreadsheets/d/14Bd19lYaqBhU8_DElYkX7l4wRkHqqCUFNJY4AfY3kHU/edit?usp=sharing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G2703" s="7" t="s">
        <v>10</v>
      </c>
      <c r="H2703" s="7">
        <v>521</v>
      </c>
      <c r="I2703" s="8" t="str">
        <f ca="1">IFERROR(__xludf.DUMMYFUNCTION("IF
(
G2704=""фізична особа""
,
VLOOKUP(H2704,IMPORTRANGE(""https://docs.google.com/spreadsheets/d/14Bd19lYaqBhU8_DElYkX7l4wRkHqqCUFNJY4AfY3kHU/edit?usp=sharing  #gid=0"",""фіз особи new!relations_name""),6,FALSE)
,
(IF
(
G2704=""юридична особа""
,
VLOOKUP"&amp;"(H2704,IMPORTRANGE(""https://docs.google.com/spreadsheets/d/14Bd19lYaqBhU8_DElYkX7l4wRkHqqCUFNJY4AfY3kHU/edit?usp=sharing  #gid=0"",""фіз особи new!relations_name_uo""),7,FALSE)
,
)
))"),"ТОКАРЄВ Микола Петрович")</f>
        <v>ТОКАРЄВ Микола Петрович</v>
      </c>
      <c r="J2703" s="7" t="s">
        <v>12</v>
      </c>
    </row>
    <row r="2704" spans="1:10" ht="13.2">
      <c r="A2704" s="7">
        <v>2703</v>
      </c>
      <c r="B2704" s="7">
        <v>1</v>
      </c>
      <c r="C2704" s="7" t="s">
        <v>10</v>
      </c>
      <c r="D2704" s="7">
        <v>774</v>
      </c>
      <c r="E2704" s="7" t="s">
        <v>13</v>
      </c>
      <c r="F2704" s="8" t="str">
        <f ca="1">IFERROR(__xludf.DUMMYFUNCTION("IF
(
C2705=""фізична особа""
,
VLOOKUP(D2705,IMPORTRANGE(""https://docs.google.com/spreadsheets/d/14Bd19lYaqBhU8_DElYkX7l4wRkHqqCUFNJY4AfY3kHU/edit?usp=sharing  #gid=0"",""фіз особи new!relations_name""),6,FALSE)
,
(IF
(
C2705=""юридична особа""
,
VLOOKUP"&amp;"(D2705,IMPORTRANGE(""https://docs.google.com/spreadsheets/d/14Bd19lYaqBhU8_DElYkX7l4wRkHqqCUFNJY4AfY3kHU/edit?usp=sharing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G2704" s="7" t="s">
        <v>10</v>
      </c>
      <c r="H2704" s="7">
        <v>773</v>
      </c>
      <c r="I2704" s="8" t="str">
        <f ca="1">IFERROR(__xludf.DUMMYFUNCTION("IF
(
G2705=""фізична особа""
,
VLOOKUP(H2705,IMPORTRANGE(""https://docs.google.com/spreadsheets/d/14Bd19lYaqBhU8_DElYkX7l4wRkHqqCUFNJY4AfY3kHU/edit?usp=sharing  #gid=0"",""фіз особи new!relations_name""),6,FALSE)
,
(IF
(
G2705=""юридична особа""
,
VLOOKUP"&amp;"(H2705,IMPORTRANGE(""https://docs.google.com/spreadsheets/d/14Bd19lYaqBhU8_DElYkX7l4wRkHqqCUFNJY4AfY3kHU/edit?usp=sharing  #gid=0"",""фіз особи new!relations_name_uo""),7,FALSE)
,
)
))"),"ТОКАРЄВА Галина Олексіївна")</f>
        <v>ТОКАРЄВА Галина Олексіївна</v>
      </c>
      <c r="J2704" s="7" t="s">
        <v>21</v>
      </c>
    </row>
    <row r="2705" spans="1:10" ht="13.2">
      <c r="A2705" s="7">
        <v>2704</v>
      </c>
      <c r="B2705" s="7">
        <v>1</v>
      </c>
      <c r="C2705" s="7" t="s">
        <v>10</v>
      </c>
      <c r="D2705" s="7">
        <v>774</v>
      </c>
      <c r="E2705" s="7" t="s">
        <v>43</v>
      </c>
      <c r="F2705" s="8" t="str">
        <f ca="1">IFERROR(__xludf.DUMMYFUNCTION("IF
(
C2706=""фізична особа""
,
VLOOKUP(D2706,IMPORTRANGE(""https://docs.google.com/spreadsheets/d/14Bd19lYaqBhU8_DElYkX7l4wRkHqqCUFNJY4AfY3kHU/edit?usp=sharing  #gid=0"",""фіз особи new!relations_name""),6,FALSE)
,
(IF
(
C2706=""юридична особа""
,
VLOOKUP"&amp;"(D2706,IMPORTRANGE(""https://docs.google.com/spreadsheets/d/14Bd19lYaqBhU8_DElYkX7l4wRkHqqCUFNJY4AfY3kHU/edit?usp=sharing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G2705" s="7" t="s">
        <v>10</v>
      </c>
      <c r="H2705" s="7">
        <v>23416</v>
      </c>
      <c r="I2705" s="8" t="str">
        <f ca="1">IFERROR(__xludf.DUMMYFUNCTION("IF
(
G2706=""фізична особа""
,
VLOOKUP(H2706,IMPORTRANGE(""https://docs.google.com/spreadsheets/d/14Bd19lYaqBhU8_DElYkX7l4wRkHqqCUFNJY4AfY3kHU/edit?usp=sharing  #gid=0"",""фіз особи new!relations_name""),6,FALSE)
,
(IF
(
G2706=""юридична особа""
,
VLOOKUP"&amp;"(H2706,IMPORTRANGE(""https://docs.google.com/spreadsheets/d/14Bd19lYaqBhU8_DElYkX7l4wRkHqqCUFNJY4AfY3kHU/edit?usp=sharing  #gid=0"",""фіз особи new!relations_name_uo""),7,FALSE)
,
)
))"),"БОЛОТОВ Андрій Юрійович")</f>
        <v>БОЛОТОВ Андрій Юрійович</v>
      </c>
      <c r="J2705" s="7" t="s">
        <v>42</v>
      </c>
    </row>
    <row r="2706" spans="1:10" ht="13.2">
      <c r="A2706" s="7">
        <v>2705</v>
      </c>
      <c r="B2706" s="7">
        <v>1</v>
      </c>
      <c r="C2706" s="7" t="s">
        <v>10</v>
      </c>
      <c r="D2706" s="7">
        <v>774</v>
      </c>
      <c r="E2706" s="7" t="s">
        <v>11</v>
      </c>
      <c r="F2706" s="8" t="str">
        <f ca="1">IFERROR(__xludf.DUMMYFUNCTION("IF
(
C2707=""фізична особа""
,
VLOOKUP(D2707,IMPORTRANGE(""https://docs.google.com/spreadsheets/d/14Bd19lYaqBhU8_DElYkX7l4wRkHqqCUFNJY4AfY3kHU/edit?usp=sharing  #gid=0"",""фіз особи new!relations_name""),6,FALSE)
,
(IF
(
C2707=""юридична особа""
,
VLOOKUP"&amp;"(D2707,IMPORTRANGE(""https://docs.google.com/spreadsheets/d/14Bd19lYaqBhU8_DElYkX7l4wRkHqqCUFNJY4AfY3kHU/edit?usp=sharing  #gid=0"",""фіз особи new!relations_name_uo""),7,FALSE)
,
)
))"),"ТОКАРЄВА (БОЛОТОВА) Майя Миколаївна")</f>
        <v>ТОКАРЄВА (БОЛОТОВА) Майя Миколаївна</v>
      </c>
      <c r="G2706" s="7" t="s">
        <v>10</v>
      </c>
      <c r="H2706" s="7">
        <v>23417</v>
      </c>
      <c r="I2706" s="8" t="str">
        <f ca="1">IFERROR(__xludf.DUMMYFUNCTION("IF
(
G2707=""фізична особа""
,
VLOOKUP(H2707,IMPORTRANGE(""https://docs.google.com/spreadsheets/d/14Bd19lYaqBhU8_DElYkX7l4wRkHqqCUFNJY4AfY3kHU/edit?usp=sharing  #gid=0"",""фіз особи new!relations_name""),6,FALSE)
,
(IF
(
G2707=""юридична особа""
,
VLOOKUP"&amp;"(H2707,IMPORTRANGE(""https://docs.google.com/spreadsheets/d/14Bd19lYaqBhU8_DElYkX7l4wRkHqqCUFNJY4AfY3kHU/edit?usp=sharing  #gid=0"",""фіз особи new!relations_name_uo""),7,FALSE)
,
)
))"),"АРУСТАМОВ Михайло Михайлович")</f>
        <v>АРУСТАМОВ Михайло Михайлович</v>
      </c>
      <c r="J2706" s="7" t="s">
        <v>11</v>
      </c>
    </row>
    <row r="2707" spans="1:10" ht="13.2">
      <c r="A2707" s="7">
        <v>2706</v>
      </c>
      <c r="B2707" s="7">
        <v>1</v>
      </c>
      <c r="C2707" s="7" t="s">
        <v>10</v>
      </c>
      <c r="D2707" s="7">
        <v>775</v>
      </c>
      <c r="E2707" s="7" t="s">
        <v>34</v>
      </c>
      <c r="F2707" s="8" t="str">
        <f ca="1">IFERROR(__xludf.DUMMYFUNCTION("IF
(
C2708=""фізична особа""
,
VLOOKUP(D2708,IMPORTRANGE(""https://docs.google.com/spreadsheets/d/14Bd19lYaqBhU8_DElYkX7l4wRkHqqCUFNJY4AfY3kHU/edit?usp=sharing  #gid=0"",""фіз особи new!relations_name""),6,FALSE)
,
(IF
(
C2708=""юридична особа""
,
VLOOKUP"&amp;"(D2708,IMPORTRANGE(""https://docs.google.com/spreadsheets/d/14Bd19lYaqBhU8_DElYkX7l4wRkHqqCUFNJY4AfY3kHU/edit?usp=sharing  #gid=0"",""фіз особи new!relations_name_uo""),7,FALSE)
,
)
))"),"УСТИНОВ Володимир Васильович")</f>
        <v>УСТИНОВ Володимир Васильович</v>
      </c>
      <c r="G2707" s="7" t="s">
        <v>10</v>
      </c>
      <c r="H2707" s="7">
        <v>23384</v>
      </c>
      <c r="I2707" s="8" t="str">
        <f ca="1">IFERROR(__xludf.DUMMYFUNCTION("IF
(
G2708=""фізична особа""
,
VLOOKUP(H2708,IMPORTRANGE(""https://docs.google.com/spreadsheets/d/14Bd19lYaqBhU8_DElYkX7l4wRkHqqCUFNJY4AfY3kHU/edit?usp=sharing  #gid=0"",""фіз особи new!relations_name""),6,FALSE)
,
(IF
(
G2708=""юридична особа""
,
VLOOKUP"&amp;"(H2708,IMPORTRANGE(""https://docs.google.com/spreadsheets/d/14Bd19lYaqBhU8_DElYkX7l4wRkHqqCUFNJY4AfY3kHU/edit?usp=sharing  #gid=0"",""фіз особи new!relations_name_uo""),7,FALSE)
,
)
))"),"КАРІМОВА Інга Ігорівна")</f>
        <v>КАРІМОВА Інга Ігорівна</v>
      </c>
      <c r="J2707" s="7" t="s">
        <v>25</v>
      </c>
    </row>
    <row r="2708" spans="1:10" ht="13.2">
      <c r="A2708" s="7">
        <v>2707</v>
      </c>
      <c r="B2708" s="7">
        <v>1</v>
      </c>
      <c r="C2708" s="7" t="s">
        <v>10</v>
      </c>
      <c r="D2708" s="7">
        <v>775</v>
      </c>
      <c r="E2708" s="7" t="s">
        <v>62</v>
      </c>
      <c r="F2708" s="8" t="str">
        <f ca="1">IFERROR(__xludf.DUMMYFUNCTION("IF
(
C2709=""фізична особа""
,
VLOOKUP(D2709,IMPORTRANGE(""https://docs.google.com/spreadsheets/d/14Bd19lYaqBhU8_DElYkX7l4wRkHqqCUFNJY4AfY3kHU/edit?usp=sharing  #gid=0"",""фіз особи new!relations_name""),6,FALSE)
,
(IF
(
C2709=""юридична особа""
,
VLOOKUP"&amp;"(D2709,IMPORTRANGE(""https://docs.google.com/spreadsheets/d/14Bd19lYaqBhU8_DElYkX7l4wRkHqqCUFNJY4AfY3kHU/edit?usp=sharing  #gid=0"",""фіз особи new!relations_name_uo""),7,FALSE)
,
)
))"),"УСТИНОВ Володимир Васильович")</f>
        <v>УСТИНОВ Володимир Васильович</v>
      </c>
      <c r="G2708" s="7" t="s">
        <v>10</v>
      </c>
      <c r="H2708" s="7">
        <v>296</v>
      </c>
      <c r="I2708" s="8" t="str">
        <f ca="1">IFERROR(__xludf.DUMMYFUNCTION("IF
(
G2709=""фізична особа""
,
VLOOKUP(H2709,IMPORTRANGE(""https://docs.google.com/spreadsheets/d/14Bd19lYaqBhU8_DElYkX7l4wRkHqqCUFNJY4AfY3kHU/edit?usp=sharing  #gid=0"",""фіз особи new!relations_name""),6,FALSE)
,
(IF
(
G2709=""юридична особа""
,
VLOOKUP"&amp;"(H2709,IMPORTRANGE(""https://docs.google.com/spreadsheets/d/14Bd19lYaqBhU8_DElYkX7l4wRkHqqCUFNJY4AfY3kHU/edit?usp=sharing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2708" s="7" t="s">
        <v>62</v>
      </c>
    </row>
    <row r="2709" spans="1:10" ht="13.2">
      <c r="A2709" s="7">
        <v>2708</v>
      </c>
      <c r="B2709" s="7">
        <v>1</v>
      </c>
      <c r="C2709" s="7" t="s">
        <v>10</v>
      </c>
      <c r="D2709" s="7">
        <v>775</v>
      </c>
      <c r="E2709" s="7" t="s">
        <v>14</v>
      </c>
      <c r="F2709" s="8" t="str">
        <f ca="1">IFERROR(__xludf.DUMMYFUNCTION("IF
(
C2710=""фізична особа""
,
VLOOKUP(D2710,IMPORTRANGE(""https://docs.google.com/spreadsheets/d/14Bd19lYaqBhU8_DElYkX7l4wRkHqqCUFNJY4AfY3kHU/edit?usp=sharing  #gid=0"",""фіз особи new!relations_name""),6,FALSE)
,
(IF
(
C2710=""юридична особа""
,
VLOOKUP"&amp;"(D2710,IMPORTRANGE(""https://docs.google.com/spreadsheets/d/14Bd19lYaqBhU8_DElYkX7l4wRkHqqCUFNJY4AfY3kHU/edit?usp=sharing  #gid=0"",""фіз особи new!relations_name_uo""),7,FALSE)
,
)
))"),"УСТИНОВ Володимир Васильович")</f>
        <v>УСТИНОВ Володимир Васильович</v>
      </c>
      <c r="G2709" s="7" t="s">
        <v>10</v>
      </c>
      <c r="H2709" s="7">
        <v>0</v>
      </c>
      <c r="I2709" s="8" t="str">
        <f ca="1">IFERROR(__xludf.DUMMYFUNCTION("IF
(
G2710=""фізична особа""
,
VLOOKUP(H2710,IMPORTRANGE(""https://docs.google.com/spreadsheets/d/14Bd19lYaqBhU8_DElYkX7l4wRkHqqCUFNJY4AfY3kHU/edit?usp=sharing  #gid=0"",""фіз особи new!relations_name""),6,FALSE)
,
(IF
(
G2710=""юридична особа""
,
VLOOKUP"&amp;"(H2710,IMPORTRANGE(""https://docs.google.com/spreadsheets/d/14Bd19lYaqBhU8_DElYkX7l4wRkHqqCUFNJY4AfY3kHU/edit?usp=sharing  #gid=0"",""фіз особи new!relations_name_uo""),7,FALSE)
,
)
))"),"#N/A")</f>
        <v>#N/A</v>
      </c>
      <c r="J2709" s="7" t="s">
        <v>15</v>
      </c>
    </row>
    <row r="2710" spans="1:10" ht="13.2">
      <c r="A2710" s="7">
        <v>2709</v>
      </c>
      <c r="B2710" s="7">
        <v>1</v>
      </c>
      <c r="C2710" s="7" t="s">
        <v>10</v>
      </c>
      <c r="D2710" s="7">
        <v>775</v>
      </c>
      <c r="E2710" s="7" t="s">
        <v>12</v>
      </c>
      <c r="F2710" s="8" t="str">
        <f ca="1">IFERROR(__xludf.DUMMYFUNCTION("IF
(
C2711=""фізична особа""
,
VLOOKUP(D2711,IMPORTRANGE(""https://docs.google.com/spreadsheets/d/14Bd19lYaqBhU8_DElYkX7l4wRkHqqCUFNJY4AfY3kHU/edit?usp=sharing  #gid=0"",""фіз особи new!relations_name""),6,FALSE)
,
(IF
(
C2711=""юридична особа""
,
VLOOKUP"&amp;"(D2711,IMPORTRANGE(""https://docs.google.com/spreadsheets/d/14Bd19lYaqBhU8_DElYkX7l4wRkHqqCUFNJY4AfY3kHU/edit?usp=sharing  #gid=0"",""фіз особи new!relations_name_uo""),7,FALSE)
,
)
))"),"УСТИНОВ Володимир Васильович")</f>
        <v>УСТИНОВ Володимир Васильович</v>
      </c>
      <c r="G2710" s="7" t="s">
        <v>10</v>
      </c>
      <c r="H2710" s="7">
        <v>0</v>
      </c>
      <c r="I2710" s="8" t="str">
        <f ca="1">IFERROR(__xludf.DUMMYFUNCTION("IF
(
G2711=""фізична особа""
,
VLOOKUP(H2711,IMPORTRANGE(""https://docs.google.com/spreadsheets/d/14Bd19lYaqBhU8_DElYkX7l4wRkHqqCUFNJY4AfY3kHU/edit?usp=sharing  #gid=0"",""фіз особи new!relations_name""),6,FALSE)
,
(IF
(
G2711=""юридична особа""
,
VLOOKUP"&amp;"(H2711,IMPORTRANGE(""https://docs.google.com/spreadsheets/d/14Bd19lYaqBhU8_DElYkX7l4wRkHqqCUFNJY4AfY3kHU/edit?usp=sharing  #gid=0"",""фіз особи new!relations_name_uo""),7,FALSE)
,
)
))"),"#N/A")</f>
        <v>#N/A</v>
      </c>
      <c r="J2710" s="7" t="s">
        <v>17</v>
      </c>
    </row>
    <row r="2711" spans="1:10" ht="13.2">
      <c r="A2711" s="7">
        <v>2710</v>
      </c>
      <c r="B2711" s="7">
        <v>1</v>
      </c>
      <c r="C2711" s="7" t="s">
        <v>10</v>
      </c>
      <c r="D2711" s="7">
        <v>776</v>
      </c>
      <c r="E2711" s="7" t="s">
        <v>28</v>
      </c>
      <c r="F2711" s="8" t="str">
        <f ca="1">IFERROR(__xludf.DUMMYFUNCTION("IF
(
C2712=""фізична особа""
,
VLOOKUP(D2712,IMPORTRANGE(""https://docs.google.com/spreadsheets/d/14Bd19lYaqBhU8_DElYkX7l4wRkHqqCUFNJY4AfY3kHU/edit?usp=sharing  #gid=0"",""фіз особи new!relations_name""),6,FALSE)
,
(IF
(
C2712=""юридична особа""
,
VLOOKUP"&amp;"(D2712,IMPORTRANGE(""https://docs.google.com/spreadsheets/d/14Bd19lYaqBhU8_DElYkX7l4wRkHqqCUFNJY4AfY3kHU/edit?usp=sharing  #gid=0"",""фіз особи new!relations_name_uo""),7,FALSE)
,
)
))"),"ЛУКАШЕВИЧ Вадим Анатолійович")</f>
        <v>ЛУКАШЕВИЧ Вадим Анатолійович</v>
      </c>
      <c r="G2711" s="7" t="s">
        <v>10</v>
      </c>
      <c r="H2711" s="7">
        <v>400</v>
      </c>
      <c r="I2711" s="8" t="str">
        <f ca="1">IFERROR(__xludf.DUMMYFUNCTION("IF
(
G2712=""фізична особа""
,
VLOOKUP(H2712,IMPORTRANGE(""https://docs.google.com/spreadsheets/d/14Bd19lYaqBhU8_DElYkX7l4wRkHqqCUFNJY4AfY3kHU/edit?usp=sharing  #gid=0"",""фіз особи new!relations_name""),6,FALSE)
,
(IF
(
G2712=""юридична особа""
,
VLOOKUP"&amp;"(H2712,IMPORTRANGE(""https://docs.google.com/spreadsheets/d/14Bd19lYaqBhU8_DElYkX7l4wRkHqqCUFNJY4AfY3kHU/edit?usp=sharing  #gid=0"",""фіз особи new!relations_name_uo""),7,FALSE)
,
)
))"),"КАСИНСЬКИЙ Леонід Вікторович")</f>
        <v>КАСИНСЬКИЙ Леонід Вікторович</v>
      </c>
      <c r="J2711" s="7" t="s">
        <v>29</v>
      </c>
    </row>
    <row r="2712" spans="1:10" ht="13.2">
      <c r="A2712" s="7">
        <v>2711</v>
      </c>
      <c r="B2712" s="7">
        <v>1</v>
      </c>
      <c r="C2712" s="7" t="s">
        <v>10</v>
      </c>
      <c r="D2712" s="7">
        <v>777</v>
      </c>
      <c r="E2712" s="7" t="s">
        <v>12</v>
      </c>
      <c r="F2712" s="8" t="str">
        <f ca="1">IFERROR(__xludf.DUMMYFUNCTION("IF
(
C2713=""фізична особа""
,
VLOOKUP(D2713,IMPORTRANGE(""https://docs.google.com/spreadsheets/d/14Bd19lYaqBhU8_DElYkX7l4wRkHqqCUFNJY4AfY3kHU/edit?usp=sharing  #gid=0"",""фіз особи new!relations_name""),6,FALSE)
,
(IF
(
C2713=""юридична особа""
,
VLOOKUP"&amp;"(D2713,IMPORTRANGE(""https://docs.google.com/spreadsheets/d/14Bd19lYaqBhU8_DElYkX7l4wRkHqqCUFNJY4AfY3kHU/edit?usp=sharing  #gid=0"",""фіз особи new!relations_name_uo""),7,FALSE)
,
)
))"),"БУЛАВІНОВ Вадим Євгенович")</f>
        <v>БУЛАВІНОВ Вадим Євгенович</v>
      </c>
      <c r="G2712" s="7" t="s">
        <v>10</v>
      </c>
      <c r="H2712" s="7">
        <v>0</v>
      </c>
      <c r="I2712" s="8" t="str">
        <f ca="1">IFERROR(__xludf.DUMMYFUNCTION("IF
(
G2713=""фізична особа""
,
VLOOKUP(H2713,IMPORTRANGE(""https://docs.google.com/spreadsheets/d/14Bd19lYaqBhU8_DElYkX7l4wRkHqqCUFNJY4AfY3kHU/edit?usp=sharing  #gid=0"",""фіз особи new!relations_name""),6,FALSE)
,
(IF
(
G2713=""юридична особа""
,
VLOOKUP"&amp;"(H2713,IMPORTRANGE(""https://docs.google.com/spreadsheets/d/14Bd19lYaqBhU8_DElYkX7l4wRkHqqCUFNJY4AfY3kHU/edit?usp=sharing  #gid=0"",""фіз особи new!relations_name_uo""),7,FALSE)
,
)
))"),"#N/A")</f>
        <v>#N/A</v>
      </c>
      <c r="J2712" s="7" t="s">
        <v>17</v>
      </c>
    </row>
    <row r="2713" spans="1:10" ht="13.2">
      <c r="A2713" s="7">
        <v>2712</v>
      </c>
      <c r="B2713" s="7">
        <v>1</v>
      </c>
      <c r="C2713" s="7" t="s">
        <v>10</v>
      </c>
      <c r="D2713" s="7">
        <v>777</v>
      </c>
      <c r="E2713" s="7" t="s">
        <v>12</v>
      </c>
      <c r="F2713" s="8" t="str">
        <f ca="1">IFERROR(__xludf.DUMMYFUNCTION("IF
(
C2714=""фізична особа""
,
VLOOKUP(D2714,IMPORTRANGE(""https://docs.google.com/spreadsheets/d/14Bd19lYaqBhU8_DElYkX7l4wRkHqqCUFNJY4AfY3kHU/edit?usp=sharing  #gid=0"",""фіз особи new!relations_name""),6,FALSE)
,
(IF
(
C2714=""юридична особа""
,
VLOOKUP"&amp;"(D2714,IMPORTRANGE(""https://docs.google.com/spreadsheets/d/14Bd19lYaqBhU8_DElYkX7l4wRkHqqCUFNJY4AfY3kHU/edit?usp=sharing  #gid=0"",""фіз особи new!relations_name_uo""),7,FALSE)
,
)
))"),"БУЛАВІНОВ Вадим Євгенович")</f>
        <v>БУЛАВІНОВ Вадим Євгенович</v>
      </c>
      <c r="G2713" s="7" t="s">
        <v>10</v>
      </c>
      <c r="H2713" s="7">
        <v>0</v>
      </c>
      <c r="I2713" s="8" t="str">
        <f ca="1">IFERROR(__xludf.DUMMYFUNCTION("IF
(
G2714=""фізична особа""
,
VLOOKUP(H2714,IMPORTRANGE(""https://docs.google.com/spreadsheets/d/14Bd19lYaqBhU8_DElYkX7l4wRkHqqCUFNJY4AfY3kHU/edit?usp=sharing  #gid=0"",""фіз особи new!relations_name""),6,FALSE)
,
(IF
(
G2714=""юридична особа""
,
VLOOKUP"&amp;"(H2714,IMPORTRANGE(""https://docs.google.com/spreadsheets/d/14Bd19lYaqBhU8_DElYkX7l4wRkHqqCUFNJY4AfY3kHU/edit?usp=sharing  #gid=0"",""фіз особи new!relations_name_uo""),7,FALSE)
,
)
))"),"#N/A")</f>
        <v>#N/A</v>
      </c>
      <c r="J2713" s="7" t="s">
        <v>17</v>
      </c>
    </row>
    <row r="2714" spans="1:10" ht="13.2">
      <c r="A2714" s="7">
        <v>2713</v>
      </c>
      <c r="B2714" s="7">
        <v>1</v>
      </c>
      <c r="C2714" s="7" t="s">
        <v>10</v>
      </c>
      <c r="D2714" s="7">
        <v>777</v>
      </c>
      <c r="E2714" s="7" t="s">
        <v>12</v>
      </c>
      <c r="F2714" s="8" t="str">
        <f ca="1">IFERROR(__xludf.DUMMYFUNCTION("IF
(
C2715=""фізична особа""
,
VLOOKUP(D2715,IMPORTRANGE(""https://docs.google.com/spreadsheets/d/14Bd19lYaqBhU8_DElYkX7l4wRkHqqCUFNJY4AfY3kHU/edit?usp=sharing  #gid=0"",""фіз особи new!relations_name""),6,FALSE)
,
(IF
(
C2715=""юридична особа""
,
VLOOKUP"&amp;"(D2715,IMPORTRANGE(""https://docs.google.com/spreadsheets/d/14Bd19lYaqBhU8_DElYkX7l4wRkHqqCUFNJY4AfY3kHU/edit?usp=sharing  #gid=0"",""фіз особи new!relations_name_uo""),7,FALSE)
,
)
))"),"БУЛАВІНОВ Вадим Євгенович")</f>
        <v>БУЛАВІНОВ Вадим Євгенович</v>
      </c>
      <c r="G2714" s="7" t="s">
        <v>10</v>
      </c>
      <c r="H2714" s="7">
        <v>0</v>
      </c>
      <c r="I2714" s="8" t="str">
        <f ca="1">IFERROR(__xludf.DUMMYFUNCTION("IF
(
G2715=""фізична особа""
,
VLOOKUP(H2715,IMPORTRANGE(""https://docs.google.com/spreadsheets/d/14Bd19lYaqBhU8_DElYkX7l4wRkHqqCUFNJY4AfY3kHU/edit?usp=sharing  #gid=0"",""фіз особи new!relations_name""),6,FALSE)
,
(IF
(
G2715=""юридична особа""
,
VLOOKUP"&amp;"(H2715,IMPORTRANGE(""https://docs.google.com/spreadsheets/d/14Bd19lYaqBhU8_DElYkX7l4wRkHqqCUFNJY4AfY3kHU/edit?usp=sharing  #gid=0"",""фіз особи new!relations_name_uo""),7,FALSE)
,
)
))"),"#N/A")</f>
        <v>#N/A</v>
      </c>
      <c r="J2714" s="7" t="s">
        <v>13</v>
      </c>
    </row>
    <row r="2715" spans="1:10" ht="13.2">
      <c r="A2715" s="7">
        <v>2714</v>
      </c>
      <c r="B2715" s="7">
        <v>1</v>
      </c>
      <c r="C2715" s="7" t="s">
        <v>10</v>
      </c>
      <c r="D2715" s="7">
        <v>777</v>
      </c>
      <c r="E2715" s="7" t="s">
        <v>12</v>
      </c>
      <c r="F2715" s="8" t="str">
        <f ca="1">IFERROR(__xludf.DUMMYFUNCTION("IF
(
C2716=""фізична особа""
,
VLOOKUP(D2716,IMPORTRANGE(""https://docs.google.com/spreadsheets/d/14Bd19lYaqBhU8_DElYkX7l4wRkHqqCUFNJY4AfY3kHU/edit?usp=sharing  #gid=0"",""фіз особи new!relations_name""),6,FALSE)
,
(IF
(
C2716=""юридична особа""
,
VLOOKUP"&amp;"(D2716,IMPORTRANGE(""https://docs.google.com/spreadsheets/d/14Bd19lYaqBhU8_DElYkX7l4wRkHqqCUFNJY4AfY3kHU/edit?usp=sharing  #gid=0"",""фіз особи new!relations_name_uo""),7,FALSE)
,
)
))"),"БУЛАВІНОВ Вадим Євгенович")</f>
        <v>БУЛАВІНОВ Вадим Євгенович</v>
      </c>
      <c r="G2715" s="7" t="s">
        <v>10</v>
      </c>
      <c r="H2715" s="7">
        <v>0</v>
      </c>
      <c r="I2715" s="8" t="str">
        <f ca="1">IFERROR(__xludf.DUMMYFUNCTION("IF
(
G2716=""фізична особа""
,
VLOOKUP(H2716,IMPORTRANGE(""https://docs.google.com/spreadsheets/d/14Bd19lYaqBhU8_DElYkX7l4wRkHqqCUFNJY4AfY3kHU/edit?usp=sharing  #gid=0"",""фіз особи new!relations_name""),6,FALSE)
,
(IF
(
G2716=""юридична особа""
,
VLOOKUP"&amp;"(H2716,IMPORTRANGE(""https://docs.google.com/spreadsheets/d/14Bd19lYaqBhU8_DElYkX7l4wRkHqqCUFNJY4AfY3kHU/edit?usp=sharing  #gid=0"",""фіз особи new!relations_name_uo""),7,FALSE)
,
)
))"),"#N/A")</f>
        <v>#N/A</v>
      </c>
      <c r="J2715" s="7" t="s">
        <v>17</v>
      </c>
    </row>
    <row r="2716" spans="1:10" ht="13.2">
      <c r="A2716" s="7">
        <v>2715</v>
      </c>
      <c r="B2716" s="7">
        <v>1</v>
      </c>
      <c r="C2716" s="7" t="s">
        <v>10</v>
      </c>
      <c r="D2716" s="7">
        <v>777</v>
      </c>
      <c r="E2716" s="7" t="s">
        <v>14</v>
      </c>
      <c r="F2716" s="8" t="str">
        <f ca="1">IFERROR(__xludf.DUMMYFUNCTION("IF
(
C2717=""фізична особа""
,
VLOOKUP(D2717,IMPORTRANGE(""https://docs.google.com/spreadsheets/d/14Bd19lYaqBhU8_DElYkX7l4wRkHqqCUFNJY4AfY3kHU/edit?usp=sharing  #gid=0"",""фіз особи new!relations_name""),6,FALSE)
,
(IF
(
C2717=""юридична особа""
,
VLOOKUP"&amp;"(D2717,IMPORTRANGE(""https://docs.google.com/spreadsheets/d/14Bd19lYaqBhU8_DElYkX7l4wRkHqqCUFNJY4AfY3kHU/edit?usp=sharing  #gid=0"",""фіз особи new!relations_name_uo""),7,FALSE)
,
)
))"),"БУЛАВІНОВ Вадим Євгенович")</f>
        <v>БУЛАВІНОВ Вадим Євгенович</v>
      </c>
      <c r="G2716" s="7" t="s">
        <v>10</v>
      </c>
      <c r="H2716" s="7">
        <v>0</v>
      </c>
      <c r="I2716" s="8" t="str">
        <f ca="1">IFERROR(__xludf.DUMMYFUNCTION("IF
(
G2717=""фізична особа""
,
VLOOKUP(H2717,IMPORTRANGE(""https://docs.google.com/spreadsheets/d/14Bd19lYaqBhU8_DElYkX7l4wRkHqqCUFNJY4AfY3kHU/edit?usp=sharing  #gid=0"",""фіз особи new!relations_name""),6,FALSE)
,
(IF
(
G2717=""юридична особа""
,
VLOOKUP"&amp;"(H2717,IMPORTRANGE(""https://docs.google.com/spreadsheets/d/14Bd19lYaqBhU8_DElYkX7l4wRkHqqCUFNJY4AfY3kHU/edit?usp=sharing  #gid=0"",""фіз особи new!relations_name_uo""),7,FALSE)
,
)
))"),"#N/A")</f>
        <v>#N/A</v>
      </c>
      <c r="J2716" s="7" t="s">
        <v>15</v>
      </c>
    </row>
    <row r="2717" spans="1:10" ht="13.2">
      <c r="A2717" s="7">
        <v>2716</v>
      </c>
      <c r="B2717" s="7">
        <v>1</v>
      </c>
      <c r="C2717" s="7" t="s">
        <v>10</v>
      </c>
      <c r="D2717" s="7">
        <v>778</v>
      </c>
      <c r="E2717" s="7" t="s">
        <v>28</v>
      </c>
      <c r="F2717" s="8" t="str">
        <f ca="1">IFERROR(__xludf.DUMMYFUNCTION("IF
(
C2718=""фізична особа""
,
VLOOKUP(D2718,IMPORTRANGE(""https://docs.google.com/spreadsheets/d/14Bd19lYaqBhU8_DElYkX7l4wRkHqqCUFNJY4AfY3kHU/edit?usp=sharing  #gid=0"",""фіз особи new!relations_name""),6,FALSE)
,
(IF
(
C2718=""юридична особа""
,
VLOOKUP"&amp;"(D2718,IMPORTRANGE(""https://docs.google.com/spreadsheets/d/14Bd19lYaqBhU8_DElYkX7l4wRkHqqCUFNJY4AfY3kHU/edit?usp=sharing  #gid=0"",""фіз особи new!relations_name_uo""),7,FALSE)
,
)
))"),"ЛАПІН Олександр Павлович")</f>
        <v>ЛАПІН Олександр Павлович</v>
      </c>
      <c r="G2717" s="7" t="s">
        <v>10</v>
      </c>
      <c r="H2717" s="7">
        <v>795</v>
      </c>
      <c r="I2717" s="8" t="str">
        <f ca="1">IFERROR(__xludf.DUMMYFUNCTION("IF
(
G2718=""фізична особа""
,
VLOOKUP(H2718,IMPORTRANGE(""https://docs.google.com/spreadsheets/d/14Bd19lYaqBhU8_DElYkX7l4wRkHqqCUFNJY4AfY3kHU/edit?usp=sharing  #gid=0"",""фіз особи new!relations_name""),6,FALSE)
,
(IF
(
G2718=""юридична особа""
,
VLOOKUP"&amp;"(H2718,IMPORTRANGE(""https://docs.google.com/spreadsheets/d/14Bd19lYaqBhU8_DElYkX7l4wRkHqqCUFNJY4AfY3kHU/edit?usp=sharing  #gid=0"",""фіз особи new!relations_name_uo""),7,FALSE)
,
)
))"),"ГЕРАСІМОВ Валерій Васильович")</f>
        <v>ГЕРАСІМОВ Валерій Васильович</v>
      </c>
      <c r="J2717" s="7" t="s">
        <v>29</v>
      </c>
    </row>
    <row r="2718" spans="1:10" ht="13.2">
      <c r="A2718" s="7">
        <v>2717</v>
      </c>
      <c r="B2718" s="7">
        <v>1</v>
      </c>
      <c r="C2718" s="7" t="s">
        <v>10</v>
      </c>
      <c r="D2718" s="7">
        <v>778</v>
      </c>
      <c r="E2718" s="7" t="s">
        <v>28</v>
      </c>
      <c r="F2718" s="8" t="str">
        <f ca="1">IFERROR(__xludf.DUMMYFUNCTION("IF
(
C2719=""фізична особа""
,
VLOOKUP(D2719,IMPORTRANGE(""https://docs.google.com/spreadsheets/d/14Bd19lYaqBhU8_DElYkX7l4wRkHqqCUFNJY4AfY3kHU/edit?usp=sharing  #gid=0"",""фіз особи new!relations_name""),6,FALSE)
,
(IF
(
C2719=""юридична особа""
,
VLOOKUP"&amp;"(D2719,IMPORTRANGE(""https://docs.google.com/spreadsheets/d/14Bd19lYaqBhU8_DElYkX7l4wRkHqqCUFNJY4AfY3kHU/edit?usp=sharing  #gid=0"",""фіз особи new!relations_name_uo""),7,FALSE)
,
)
))"),"ЛАПІН Олександр Павлович")</f>
        <v>ЛАПІН Олександр Павлович</v>
      </c>
      <c r="G2718" s="7" t="s">
        <v>10</v>
      </c>
      <c r="H2718" s="7">
        <v>1167</v>
      </c>
      <c r="I2718" s="8" t="str">
        <f ca="1">IFERROR(__xludf.DUMMYFUNCTION("IF
(
G2719=""фізична особа""
,
VLOOKUP(H2719,IMPORTRANGE(""https://docs.google.com/spreadsheets/d/14Bd19lYaqBhU8_DElYkX7l4wRkHqqCUFNJY4AfY3kHU/edit?usp=sharing  #gid=0"",""фіз особи new!relations_name""),6,FALSE)
,
(IF
(
G2719=""юридична особа""
,
VLOOKUP"&amp;"(H2719,IMPORTRANGE(""https://docs.google.com/spreadsheets/d/14Bd19lYaqBhU8_DElYkX7l4wRkHqqCUFNJY4AfY3kHU/edit?usp=sharing  #gid=0"",""фіз особи new!relations_name_uo""),7,FALSE)
,
)
))"),"БОГДАНОВСЬКИЙ Микола Васильович")</f>
        <v>БОГДАНОВСЬКИЙ Микола Васильович</v>
      </c>
      <c r="J2718" s="7" t="s">
        <v>29</v>
      </c>
    </row>
    <row r="2719" spans="1:10" ht="13.2">
      <c r="A2719" s="7">
        <v>2718</v>
      </c>
      <c r="B2719" s="7">
        <v>1</v>
      </c>
      <c r="C2719" s="7" t="s">
        <v>10</v>
      </c>
      <c r="D2719" s="7">
        <v>779</v>
      </c>
      <c r="E2719" s="7" t="s">
        <v>14</v>
      </c>
      <c r="F2719" s="8" t="str">
        <f ca="1">IFERROR(__xludf.DUMMYFUNCTION("IF
(
C2720=""фізична особа""
,
VLOOKUP(D2720,IMPORTRANGE(""https://docs.google.com/spreadsheets/d/14Bd19lYaqBhU8_DElYkX7l4wRkHqqCUFNJY4AfY3kHU/edit?usp=sharing  #gid=0"",""фіз особи new!relations_name""),6,FALSE)
,
(IF
(
C2720=""юридична особа""
,
VLOOKUP"&amp;"(D2720,IMPORTRANGE(""https://docs.google.com/spreadsheets/d/14Bd19lYaqBhU8_DElYkX7l4wRkHqqCUFNJY4AfY3kHU/edit?usp=sharing  #gid=0"",""фіз особи new!relations_name_uo""),7,FALSE)
,
)
))"),"ЯКУБОВСЬКИЙ Олександр Володимирович")</f>
        <v>ЯКУБОВСЬКИЙ Олександр Володимирович</v>
      </c>
      <c r="G2719" s="7" t="s">
        <v>10</v>
      </c>
      <c r="H2719" s="7">
        <v>0</v>
      </c>
      <c r="I2719" s="8" t="str">
        <f ca="1">IFERROR(__xludf.DUMMYFUNCTION("IF
(
G2720=""фізична особа""
,
VLOOKUP(H2720,IMPORTRANGE(""https://docs.google.com/spreadsheets/d/14Bd19lYaqBhU8_DElYkX7l4wRkHqqCUFNJY4AfY3kHU/edit?usp=sharing  #gid=0"",""фіз особи new!relations_name""),6,FALSE)
,
(IF
(
G2720=""юридична особа""
,
VLOOKUP"&amp;"(H2720,IMPORTRANGE(""https://docs.google.com/spreadsheets/d/14Bd19lYaqBhU8_DElYkX7l4wRkHqqCUFNJY4AfY3kHU/edit?usp=sharing  #gid=0"",""фіз особи new!relations_name_uo""),7,FALSE)
,
)
))"),"#N/A")</f>
        <v>#N/A</v>
      </c>
      <c r="J2719" s="7" t="s">
        <v>15</v>
      </c>
    </row>
    <row r="2720" spans="1:10" ht="13.2">
      <c r="A2720" s="7">
        <v>2719</v>
      </c>
      <c r="B2720" s="7">
        <v>1</v>
      </c>
      <c r="C2720" s="7" t="s">
        <v>10</v>
      </c>
      <c r="D2720" s="7">
        <v>779</v>
      </c>
      <c r="E2720" s="7" t="s">
        <v>17</v>
      </c>
      <c r="F2720" s="8" t="str">
        <f ca="1">IFERROR(__xludf.DUMMYFUNCTION("IF
(
C2721=""фізична особа""
,
VLOOKUP(D2721,IMPORTRANGE(""https://docs.google.com/spreadsheets/d/14Bd19lYaqBhU8_DElYkX7l4wRkHqqCUFNJY4AfY3kHU/edit?usp=sharing  #gid=0"",""фіз особи new!relations_name""),6,FALSE)
,
(IF
(
C2721=""юридична особа""
,
VLOOKUP"&amp;"(D2721,IMPORTRANGE(""https://docs.google.com/spreadsheets/d/14Bd19lYaqBhU8_DElYkX7l4wRkHqqCUFNJY4AfY3kHU/edit?usp=sharing  #gid=0"",""фіз особи new!relations_name_uo""),7,FALSE)
,
)
))"),"ЯКУБОВСЬКИЙ Олександр Володимирович")</f>
        <v>ЯКУБОВСЬКИЙ Олександр Володимирович</v>
      </c>
      <c r="G2720" s="7" t="s">
        <v>10</v>
      </c>
      <c r="H2720" s="7">
        <v>0</v>
      </c>
      <c r="I2720" s="8" t="str">
        <f ca="1">IFERROR(__xludf.DUMMYFUNCTION("IF
(
G2721=""фізична особа""
,
VLOOKUP(H2721,IMPORTRANGE(""https://docs.google.com/spreadsheets/d/14Bd19lYaqBhU8_DElYkX7l4wRkHqqCUFNJY4AfY3kHU/edit?usp=sharing  #gid=0"",""фіз особи new!relations_name""),6,FALSE)
,
(IF
(
G2721=""юридична особа""
,
VLOOKUP"&amp;"(H2721,IMPORTRANGE(""https://docs.google.com/spreadsheets/d/14Bd19lYaqBhU8_DElYkX7l4wRkHqqCUFNJY4AfY3kHU/edit?usp=sharing  #gid=0"",""фіз особи new!relations_name_uo""),7,FALSE)
,
)
))"),"#N/A")</f>
        <v>#N/A</v>
      </c>
      <c r="J2720" s="7" t="s">
        <v>12</v>
      </c>
    </row>
    <row r="2721" spans="1:10" ht="13.2">
      <c r="A2721" s="7">
        <v>2720</v>
      </c>
      <c r="B2721" s="7">
        <v>1</v>
      </c>
      <c r="C2721" s="7" t="s">
        <v>10</v>
      </c>
      <c r="D2721" s="7">
        <v>779</v>
      </c>
      <c r="E2721" s="7" t="s">
        <v>12</v>
      </c>
      <c r="F2721" s="8" t="str">
        <f ca="1">IFERROR(__xludf.DUMMYFUNCTION("IF
(
C2722=""фізична особа""
,
VLOOKUP(D2722,IMPORTRANGE(""https://docs.google.com/spreadsheets/d/14Bd19lYaqBhU8_DElYkX7l4wRkHqqCUFNJY4AfY3kHU/edit?usp=sharing  #gid=0"",""фіз особи new!relations_name""),6,FALSE)
,
(IF
(
C2722=""юридична особа""
,
VLOOKUP"&amp;"(D2722,IMPORTRANGE(""https://docs.google.com/spreadsheets/d/14Bd19lYaqBhU8_DElYkX7l4wRkHqqCUFNJY4AfY3kHU/edit?usp=sharing  #gid=0"",""фіз особи new!relations_name_uo""),7,FALSE)
,
)
))"),"ЯКУБОВСЬКИЙ Олександр Володимирович")</f>
        <v>ЯКУБОВСЬКИЙ Олександр Володимирович</v>
      </c>
      <c r="G2721" s="7" t="s">
        <v>10</v>
      </c>
      <c r="H2721" s="7">
        <v>0</v>
      </c>
      <c r="I2721" s="8" t="str">
        <f ca="1">IFERROR(__xludf.DUMMYFUNCTION("IF
(
G2722=""фізична особа""
,
VLOOKUP(H2722,IMPORTRANGE(""https://docs.google.com/spreadsheets/d/14Bd19lYaqBhU8_DElYkX7l4wRkHqqCUFNJY4AfY3kHU/edit?usp=sharing  #gid=0"",""фіз особи new!relations_name""),6,FALSE)
,
(IF
(
G2722=""юридична особа""
,
VLOOKUP"&amp;"(H2722,IMPORTRANGE(""https://docs.google.com/spreadsheets/d/14Bd19lYaqBhU8_DElYkX7l4wRkHqqCUFNJY4AfY3kHU/edit?usp=sharing  #gid=0"",""фіз особи new!relations_name_uo""),7,FALSE)
,
)
))"),"#N/A")</f>
        <v>#N/A</v>
      </c>
      <c r="J2721" s="7" t="s">
        <v>17</v>
      </c>
    </row>
    <row r="2722" spans="1:10" ht="13.2">
      <c r="A2722" s="7">
        <v>2721</v>
      </c>
      <c r="B2722" s="7">
        <v>1</v>
      </c>
      <c r="C2722" s="7" t="s">
        <v>10</v>
      </c>
      <c r="D2722" s="7">
        <v>780</v>
      </c>
      <c r="E2722" s="7" t="s">
        <v>28</v>
      </c>
      <c r="F2722" s="8" t="str">
        <f ca="1">IFERROR(__xludf.DUMMYFUNCTION("IF
(
C2723=""фізична особа""
,
VLOOKUP(D2723,IMPORTRANGE(""https://docs.google.com/spreadsheets/d/14Bd19lYaqBhU8_DElYkX7l4wRkHqqCUFNJY4AfY3kHU/edit?usp=sharing  #gid=0"",""фіз особи new!relations_name""),6,FALSE)
,
(IF
(
C2723=""юридична особа""
,
VLOOKUP"&amp;"(D2723,IMPORTRANGE(""https://docs.google.com/spreadsheets/d/14Bd19lYaqBhU8_DElYkX7l4wRkHqqCUFNJY4AfY3kHU/edit?usp=sharing  #gid=0"",""фіз особи new!relations_name_uo""),7,FALSE)
,
)
))"),"ШАДУРА Вадим Євгенович")</f>
        <v>ШАДУРА Вадим Євгенович</v>
      </c>
      <c r="G2722" s="7" t="s">
        <v>10</v>
      </c>
      <c r="H2722" s="7">
        <v>309</v>
      </c>
      <c r="I2722" s="8" t="str">
        <f ca="1">IFERROR(__xludf.DUMMYFUNCTION("IF
(
G2723=""фізична особа""
,
VLOOKUP(H2723,IMPORTRANGE(""https://docs.google.com/spreadsheets/d/14Bd19lYaqBhU8_DElYkX7l4wRkHqqCUFNJY4AfY3kHU/edit?usp=sharing  #gid=0"",""фіз особи new!relations_name""),6,FALSE)
,
(IF
(
G2723=""юридична особа""
,
VLOOKUP"&amp;"(H2723,IMPORTRANGE(""https://docs.google.com/spreadsheets/d/14Bd19lYaqBhU8_DElYkX7l4wRkHqqCUFNJY4AfY3kHU/edit?usp=sharing  #gid=0"",""фіз особи new!relations_name_uo""),7,FALSE)
,
)
))"),"ДЕМІДЕНКО Ігор Вікторович")</f>
        <v>ДЕМІДЕНКО Ігор Вікторович</v>
      </c>
      <c r="J2722" s="7" t="s">
        <v>29</v>
      </c>
    </row>
    <row r="2723" spans="1:10" ht="13.2">
      <c r="A2723" s="7">
        <v>2722</v>
      </c>
      <c r="B2723" s="7">
        <v>1</v>
      </c>
      <c r="C2723" s="7" t="s">
        <v>10</v>
      </c>
      <c r="D2723" s="7">
        <v>780</v>
      </c>
      <c r="E2723" s="7" t="s">
        <v>28</v>
      </c>
      <c r="F2723" s="8" t="str">
        <f ca="1">IFERROR(__xludf.DUMMYFUNCTION("IF
(
C2724=""фізична особа""
,
VLOOKUP(D2724,IMPORTRANGE(""https://docs.google.com/spreadsheets/d/14Bd19lYaqBhU8_DElYkX7l4wRkHqqCUFNJY4AfY3kHU/edit?usp=sharing  #gid=0"",""фіз особи new!relations_name""),6,FALSE)
,
(IF
(
C2724=""юридична особа""
,
VLOOKUP"&amp;"(D2724,IMPORTRANGE(""https://docs.google.com/spreadsheets/d/14Bd19lYaqBhU8_DElYkX7l4wRkHqqCUFNJY4AfY3kHU/edit?usp=sharing  #gid=0"",""фіз особи new!relations_name_uo""),7,FALSE)
,
)
))"),"ШАДУРА Вадим Євгенович")</f>
        <v>ШАДУРА Вадим Євгенович</v>
      </c>
      <c r="G2723" s="7" t="s">
        <v>10</v>
      </c>
      <c r="H2723" s="7">
        <v>821</v>
      </c>
      <c r="I2723" s="8" t="str">
        <f ca="1">IFERROR(__xludf.DUMMYFUNCTION("IF
(
G2724=""фізична особа""
,
VLOOKUP(H2724,IMPORTRANGE(""https://docs.google.com/spreadsheets/d/14Bd19lYaqBhU8_DElYkX7l4wRkHqqCUFNJY4AfY3kHU/edit?usp=sharing  #gid=0"",""фіз особи new!relations_name""),6,FALSE)
,
(IF
(
G2724=""юридична особа""
,
VLOOKUP"&amp;"(H2724,IMPORTRANGE(""https://docs.google.com/spreadsheets/d/14Bd19lYaqBhU8_DElYkX7l4wRkHqqCUFNJY4AfY3kHU/edit?usp=sharing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J2723" s="7" t="s">
        <v>29</v>
      </c>
    </row>
    <row r="2724" spans="1:10" ht="13.2">
      <c r="A2724" s="7">
        <v>2723</v>
      </c>
      <c r="B2724" s="7">
        <v>1</v>
      </c>
      <c r="C2724" s="7" t="s">
        <v>10</v>
      </c>
      <c r="D2724" s="7">
        <v>781</v>
      </c>
      <c r="E2724" s="7" t="s">
        <v>12</v>
      </c>
      <c r="F2724" s="8" t="str">
        <f ca="1">IFERROR(__xludf.DUMMYFUNCTION("IF
(
C2725=""фізична особа""
,
VLOOKUP(D2725,IMPORTRANGE(""https://docs.google.com/spreadsheets/d/14Bd19lYaqBhU8_DElYkX7l4wRkHqqCUFNJY4AfY3kHU/edit?usp=sharing  #gid=0"",""фіз особи new!relations_name""),6,FALSE)
,
(IF
(
C2725=""юридична особа""
,
VLOOKUP"&amp;"(D2725,IMPORTRANGE(""https://docs.google.com/spreadsheets/d/14Bd19lYaqBhU8_DElYkX7l4wRkHqqCUFNJY4AfY3kHU/edit?usp=sharing  #gid=0"",""фіз особи new!relations_name_uo""),7,FALSE)
,
)
))"),"ДЕНИСЕНКО Вадим Іванович")</f>
        <v>ДЕНИСЕНКО Вадим Іванович</v>
      </c>
      <c r="G2724" s="7" t="s">
        <v>10</v>
      </c>
      <c r="H2724" s="7">
        <v>0</v>
      </c>
      <c r="I2724" s="8" t="str">
        <f ca="1">IFERROR(__xludf.DUMMYFUNCTION("IF
(
G2725=""фізична особа""
,
VLOOKUP(H2725,IMPORTRANGE(""https://docs.google.com/spreadsheets/d/14Bd19lYaqBhU8_DElYkX7l4wRkHqqCUFNJY4AfY3kHU/edit?usp=sharing  #gid=0"",""фіз особи new!relations_name""),6,FALSE)
,
(IF
(
G2725=""юридична особа""
,
VLOOKUP"&amp;"(H2725,IMPORTRANGE(""https://docs.google.com/spreadsheets/d/14Bd19lYaqBhU8_DElYkX7l4wRkHqqCUFNJY4AfY3kHU/edit?usp=sharing  #gid=0"",""фіз особи new!relations_name_uo""),7,FALSE)
,
)
))"),"#N/A")</f>
        <v>#N/A</v>
      </c>
      <c r="J2724" s="7" t="s">
        <v>17</v>
      </c>
    </row>
    <row r="2725" spans="1:10" ht="13.2">
      <c r="A2725" s="7">
        <v>2724</v>
      </c>
      <c r="B2725" s="7">
        <v>1</v>
      </c>
      <c r="C2725" s="7" t="s">
        <v>10</v>
      </c>
      <c r="D2725" s="7">
        <v>782</v>
      </c>
      <c r="E2725" s="7" t="s">
        <v>48</v>
      </c>
      <c r="F2725" s="8" t="str">
        <f ca="1">IFERROR(__xludf.DUMMYFUNCTION("IF
(
C2726=""фізична особа""
,
VLOOKUP(D2726,IMPORTRANGE(""https://docs.google.com/spreadsheets/d/14Bd19lYaqBhU8_DElYkX7l4wRkHqqCUFNJY4AfY3kHU/edit?usp=sharing  #gid=0"",""фіз особи new!relations_name""),6,FALSE)
,
(IF
(
C2726=""юридична особа""
,
VLOOKUP"&amp;"(D2726,IMPORTRANGE(""https://docs.google.com/spreadsheets/d/14Bd19lYaqBhU8_DElYkX7l4wRkHqqCUFNJY4AfY3kHU/edit?usp=sharing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25" s="7" t="s">
        <v>10</v>
      </c>
      <c r="H2725" s="7">
        <v>4356</v>
      </c>
      <c r="I2725" s="8" t="str">
        <f ca="1">IFERROR(__xludf.DUMMYFUNCTION("IF
(
G2726=""фізична особа""
,
VLOOKUP(H2726,IMPORTRANGE(""https://docs.google.com/spreadsheets/d/14Bd19lYaqBhU8_DElYkX7l4wRkHqqCUFNJY4AfY3kHU/edit?usp=sharing  #gid=0"",""фіз особи new!relations_name""),6,FALSE)
,
(IF
(
G2726=""юридична особа""
,
VLOOKUP"&amp;"(H2726,IMPORTRANGE(""https://docs.google.com/spreadsheets/d/14Bd19lYaqBhU8_DElYkX7l4wRkHqqCUFNJY4AfY3kHU/edit?usp=sharing  #gid=0"",""фіз особи new!relations_name_uo""),7,FALSE)
,
)
))"),"САВЧЕНКО Михайло Олександрович")</f>
        <v>САВЧЕНКО Михайло Олександрович</v>
      </c>
      <c r="J2725" s="7" t="s">
        <v>48</v>
      </c>
    </row>
    <row r="2726" spans="1:10" ht="13.2">
      <c r="A2726" s="7">
        <v>2725</v>
      </c>
      <c r="B2726" s="7">
        <v>1</v>
      </c>
      <c r="C2726" s="7" t="s">
        <v>10</v>
      </c>
      <c r="D2726" s="7">
        <v>782</v>
      </c>
      <c r="E2726" s="7" t="s">
        <v>11</v>
      </c>
      <c r="F2726" s="8" t="str">
        <f ca="1">IFERROR(__xludf.DUMMYFUNCTION("IF
(
C2727=""фізична особа""
,
VLOOKUP(D2727,IMPORTRANGE(""https://docs.google.com/spreadsheets/d/14Bd19lYaqBhU8_DElYkX7l4wRkHqqCUFNJY4AfY3kHU/edit?usp=sharing  #gid=0"",""фіз особи new!relations_name""),6,FALSE)
,
(IF
(
C2727=""юридична особа""
,
VLOOKUP"&amp;"(D2727,IMPORTRANGE(""https://docs.google.com/spreadsheets/d/14Bd19lYaqBhU8_DElYkX7l4wRkHqqCUFNJY4AfY3kHU/edit?usp=sharing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26" s="7" t="s">
        <v>10</v>
      </c>
      <c r="H2726" s="7">
        <v>4354</v>
      </c>
      <c r="I2726" s="8" t="str">
        <f ca="1">IFERROR(__xludf.DUMMYFUNCTION("IF
(
G2727=""фізична особа""
,
VLOOKUP(H2727,IMPORTRANGE(""https://docs.google.com/spreadsheets/d/14Bd19lYaqBhU8_DElYkX7l4wRkHqqCUFNJY4AfY3kHU/edit?usp=sharing  #gid=0"",""фіз особи new!relations_name""),6,FALSE)
,
(IF
(
G2727=""юридична особа""
,
VLOOKUP"&amp;"(H2727,IMPORTRANGE(""https://docs.google.com/spreadsheets/d/14Bd19lYaqBhU8_DElYkX7l4wRkHqqCUFNJY4AfY3kHU/edit?usp=sharing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J2726" s="7" t="s">
        <v>11</v>
      </c>
    </row>
    <row r="2727" spans="1:10" ht="13.2">
      <c r="A2727" s="7">
        <v>2726</v>
      </c>
      <c r="B2727" s="7">
        <v>1</v>
      </c>
      <c r="C2727" s="7" t="s">
        <v>10</v>
      </c>
      <c r="D2727" s="7">
        <v>782</v>
      </c>
      <c r="E2727" s="7" t="s">
        <v>14</v>
      </c>
      <c r="F2727" s="8" t="str">
        <f ca="1">IFERROR(__xludf.DUMMYFUNCTION("IF
(
C2728=""фізична особа""
,
VLOOKUP(D2728,IMPORTRANGE(""https://docs.google.com/spreadsheets/d/14Bd19lYaqBhU8_DElYkX7l4wRkHqqCUFNJY4AfY3kHU/edit?usp=sharing  #gid=0"",""фіз особи new!relations_name""),6,FALSE)
,
(IF
(
C2728=""юридична особа""
,
VLOOKUP"&amp;"(D2728,IMPORTRANGE(""https://docs.google.com/spreadsheets/d/14Bd19lYaqBhU8_DElYkX7l4wRkHqqCUFNJY4AfY3kHU/edit?usp=sharing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27" s="7" t="s">
        <v>10</v>
      </c>
      <c r="H2727" s="7">
        <v>15430</v>
      </c>
      <c r="I2727" s="8" t="str">
        <f ca="1">IFERROR(__xludf.DUMMYFUNCTION("IF
(
G2728=""фізична особа""
,
VLOOKUP(H2728,IMPORTRANGE(""https://docs.google.com/spreadsheets/d/14Bd19lYaqBhU8_DElYkX7l4wRkHqqCUFNJY4AfY3kHU/edit?usp=sharing  #gid=0"",""фіз особи new!relations_name""),6,FALSE)
,
(IF
(
G2728=""юридична особа""
,
VLOOKUP"&amp;"(H2728,IMPORTRANGE(""https://docs.google.com/spreadsheets/d/14Bd19lYaqBhU8_DElYkX7l4wRkHqqCUFNJY4AfY3kHU/edit?usp=sharing  #gid=0"",""фіз особи new!relations_name_uo""),7,FALSE)
,
)
))"),"БИКОВСЬКА Наталія")</f>
        <v>БИКОВСЬКА Наталія</v>
      </c>
      <c r="J2727" s="7" t="s">
        <v>15</v>
      </c>
    </row>
    <row r="2728" spans="1:10" ht="13.2">
      <c r="A2728" s="7">
        <v>2727</v>
      </c>
      <c r="B2728" s="7">
        <v>1</v>
      </c>
      <c r="C2728" s="7" t="s">
        <v>10</v>
      </c>
      <c r="D2728" s="7">
        <v>782</v>
      </c>
      <c r="E2728" s="7" t="s">
        <v>12</v>
      </c>
      <c r="F2728" s="8" t="str">
        <f ca="1">IFERROR(__xludf.DUMMYFUNCTION("IF
(
C2729=""фізична особа""
,
VLOOKUP(D2729,IMPORTRANGE(""https://docs.google.com/spreadsheets/d/14Bd19lYaqBhU8_DElYkX7l4wRkHqqCUFNJY4AfY3kHU/edit?usp=sharing  #gid=0"",""фіз особи new!relations_name""),6,FALSE)
,
(IF
(
C2729=""юридична особа""
,
VLOOKUP"&amp;"(D2729,IMPORTRANGE(""https://docs.google.com/spreadsheets/d/14Bd19lYaqBhU8_DElYkX7l4wRkHqqCUFNJY4AfY3kHU/edit?usp=sharing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28" s="7" t="s">
        <v>10</v>
      </c>
      <c r="H2728" s="7">
        <v>0</v>
      </c>
      <c r="I2728" s="8" t="str">
        <f ca="1">IFERROR(__xludf.DUMMYFUNCTION("IF
(
G2729=""фізична особа""
,
VLOOKUP(H2729,IMPORTRANGE(""https://docs.google.com/spreadsheets/d/14Bd19lYaqBhU8_DElYkX7l4wRkHqqCUFNJY4AfY3kHU/edit?usp=sharing  #gid=0"",""фіз особи new!relations_name""),6,FALSE)
,
(IF
(
G2729=""юридична особа""
,
VLOOKUP"&amp;"(H2729,IMPORTRANGE(""https://docs.google.com/spreadsheets/d/14Bd19lYaqBhU8_DElYkX7l4wRkHqqCUFNJY4AfY3kHU/edit?usp=sharing  #gid=0"",""фіз особи new!relations_name_uo""),7,FALSE)
,
)
))"),"#N/A")</f>
        <v>#N/A</v>
      </c>
      <c r="J2728" s="7" t="s">
        <v>17</v>
      </c>
    </row>
    <row r="2729" spans="1:10" ht="13.2">
      <c r="A2729" s="7">
        <v>2728</v>
      </c>
      <c r="B2729" s="7">
        <v>1</v>
      </c>
      <c r="C2729" s="7" t="s">
        <v>10</v>
      </c>
      <c r="D2729" s="7">
        <v>782</v>
      </c>
      <c r="E2729" s="7" t="s">
        <v>12</v>
      </c>
      <c r="F2729" s="8" t="str">
        <f ca="1">IFERROR(__xludf.DUMMYFUNCTION("IF
(
C2730=""фізична особа""
,
VLOOKUP(D2730,IMPORTRANGE(""https://docs.google.com/spreadsheets/d/14Bd19lYaqBhU8_DElYkX7l4wRkHqqCUFNJY4AfY3kHU/edit?usp=sharing  #gid=0"",""фіз особи new!relations_name""),6,FALSE)
,
(IF
(
C2730=""юридична особа""
,
VLOOKUP"&amp;"(D2730,IMPORTRANGE(""https://docs.google.com/spreadsheets/d/14Bd19lYaqBhU8_DElYkX7l4wRkHqqCUFNJY4AfY3kHU/edit?usp=sharing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29" s="7" t="s">
        <v>10</v>
      </c>
      <c r="H2729" s="7">
        <v>0</v>
      </c>
      <c r="I2729" s="8" t="str">
        <f ca="1">IFERROR(__xludf.DUMMYFUNCTION("IF
(
G2730=""фізична особа""
,
VLOOKUP(H2730,IMPORTRANGE(""https://docs.google.com/spreadsheets/d/14Bd19lYaqBhU8_DElYkX7l4wRkHqqCUFNJY4AfY3kHU/edit?usp=sharing  #gid=0"",""фіз особи new!relations_name""),6,FALSE)
,
(IF
(
G2730=""юридична особа""
,
VLOOKUP"&amp;"(H2730,IMPORTRANGE(""https://docs.google.com/spreadsheets/d/14Bd19lYaqBhU8_DElYkX7l4wRkHqqCUFNJY4AfY3kHU/edit?usp=sharing  #gid=0"",""фіз особи new!relations_name_uo""),7,FALSE)
,
)
))"),"#N/A")</f>
        <v>#N/A</v>
      </c>
      <c r="J2729" s="7" t="s">
        <v>17</v>
      </c>
    </row>
    <row r="2730" spans="1:10" ht="13.2">
      <c r="A2730" s="7">
        <v>2729</v>
      </c>
      <c r="B2730" s="7">
        <v>1</v>
      </c>
      <c r="C2730" s="7" t="s">
        <v>10</v>
      </c>
      <c r="D2730" s="7">
        <v>782</v>
      </c>
      <c r="E2730" s="7" t="s">
        <v>12</v>
      </c>
      <c r="F2730" s="8" t="str">
        <f ca="1">IFERROR(__xludf.DUMMYFUNCTION("IF
(
C2731=""фізична особа""
,
VLOOKUP(D2731,IMPORTRANGE(""https://docs.google.com/spreadsheets/d/14Bd19lYaqBhU8_DElYkX7l4wRkHqqCUFNJY4AfY3kHU/edit?usp=sharing  #gid=0"",""фіз особи new!relations_name""),6,FALSE)
,
(IF
(
C2731=""юридична особа""
,
VLOOKUP"&amp;"(D2731,IMPORTRANGE(""https://docs.google.com/spreadsheets/d/14Bd19lYaqBhU8_DElYkX7l4wRkHqqCUFNJY4AfY3kHU/edit?usp=sharing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G2730" s="7" t="s">
        <v>10</v>
      </c>
      <c r="H2730" s="7">
        <v>0</v>
      </c>
      <c r="I2730" s="8" t="str">
        <f ca="1">IFERROR(__xludf.DUMMYFUNCTION("IF
(
G2731=""фізична особа""
,
VLOOKUP(H2731,IMPORTRANGE(""https://docs.google.com/spreadsheets/d/14Bd19lYaqBhU8_DElYkX7l4wRkHqqCUFNJY4AfY3kHU/edit?usp=sharing  #gid=0"",""фіз особи new!relations_name""),6,FALSE)
,
(IF
(
G2731=""юридична особа""
,
VLOOKUP"&amp;"(H2731,IMPORTRANGE(""https://docs.google.com/spreadsheets/d/14Bd19lYaqBhU8_DElYkX7l4wRkHqqCUFNJY4AfY3kHU/edit?usp=sharing  #gid=0"",""фіз особи new!relations_name_uo""),7,FALSE)
,
)
))"),"#N/A")</f>
        <v>#N/A</v>
      </c>
      <c r="J2730" s="7" t="s">
        <v>13</v>
      </c>
    </row>
    <row r="2731" spans="1:10" ht="13.2">
      <c r="A2731" s="7">
        <v>2730</v>
      </c>
      <c r="B2731" s="7">
        <v>1</v>
      </c>
      <c r="C2731" s="7" t="s">
        <v>10</v>
      </c>
      <c r="D2731" s="7">
        <v>783</v>
      </c>
      <c r="E2731" s="7" t="s">
        <v>12</v>
      </c>
      <c r="F2731" s="8" t="str">
        <f ca="1">IFERROR(__xludf.DUMMYFUNCTION("IF
(
C2732=""фізична особа""
,
VLOOKUP(D2732,IMPORTRANGE(""https://docs.google.com/spreadsheets/d/14Bd19lYaqBhU8_DElYkX7l4wRkHqqCUFNJY4AfY3kHU/edit?usp=sharing  #gid=0"",""фіз особи new!relations_name""),6,FALSE)
,
(IF
(
C2732=""юридична особа""
,
VLOOKUP"&amp;"(D2732,IMPORTRANGE(""https://docs.google.com/spreadsheets/d/14Bd19lYaqBhU8_DElYkX7l4wRkHqqCUFNJY4AfY3kHU/edit?usp=sharing  #gid=0"",""фіз особи new!relations_name_uo""),7,FALSE)
,
)
))"),"ШУВАЛОВ Вадим Миколайович")</f>
        <v>ШУВАЛОВ Вадим Миколайович</v>
      </c>
      <c r="G2731" s="7" t="s">
        <v>10</v>
      </c>
      <c r="H2731" s="7">
        <v>15522</v>
      </c>
      <c r="I2731" s="8" t="str">
        <f ca="1">IFERROR(__xludf.DUMMYFUNCTION("IF
(
G2732=""фізична особа""
,
VLOOKUP(H2732,IMPORTRANGE(""https://docs.google.com/spreadsheets/d/14Bd19lYaqBhU8_DElYkX7l4wRkHqqCUFNJY4AfY3kHU/edit?usp=sharing  #gid=0"",""фіз особи new!relations_name""),6,FALSE)
,
(IF
(
G2732=""юридична особа""
,
VLOOKUP"&amp;"(H2732,IMPORTRANGE(""https://docs.google.com/spreadsheets/d/14Bd19lYaqBhU8_DElYkX7l4wRkHqqCUFNJY4AfY3kHU/edit?usp=sharing  #gid=0"",""фіз особи new!relations_name_uo""),7,FALSE)
,
)
))"),"ШУВАЛОВ Ілля Вадимович")</f>
        <v>ШУВАЛОВ Ілля Вадимович</v>
      </c>
      <c r="J2731" s="7" t="s">
        <v>17</v>
      </c>
    </row>
    <row r="2732" spans="1:10" ht="13.2">
      <c r="A2732" s="7">
        <v>2731</v>
      </c>
      <c r="B2732" s="7">
        <v>1</v>
      </c>
      <c r="C2732" s="7" t="s">
        <v>10</v>
      </c>
      <c r="D2732" s="7">
        <v>783</v>
      </c>
      <c r="E2732" s="7" t="s">
        <v>14</v>
      </c>
      <c r="F2732" s="8" t="str">
        <f ca="1">IFERROR(__xludf.DUMMYFUNCTION("IF
(
C2733=""фізична особа""
,
VLOOKUP(D2733,IMPORTRANGE(""https://docs.google.com/spreadsheets/d/14Bd19lYaqBhU8_DElYkX7l4wRkHqqCUFNJY4AfY3kHU/edit?usp=sharing  #gid=0"",""фіз особи new!relations_name""),6,FALSE)
,
(IF
(
C2733=""юридична особа""
,
VLOOKUP"&amp;"(D2733,IMPORTRANGE(""https://docs.google.com/spreadsheets/d/14Bd19lYaqBhU8_DElYkX7l4wRkHqqCUFNJY4AfY3kHU/edit?usp=sharing  #gid=0"",""фіз особи new!relations_name_uo""),7,FALSE)
,
)
))"),"ШУВАЛОВ Вадим Миколайович")</f>
        <v>ШУВАЛОВ Вадим Миколайович</v>
      </c>
      <c r="G2732" s="7" t="s">
        <v>10</v>
      </c>
      <c r="H2732" s="7">
        <v>15523</v>
      </c>
      <c r="I2732" s="8" t="str">
        <f ca="1">IFERROR(__xludf.DUMMYFUNCTION("IF
(
G2733=""фізична особа""
,
VLOOKUP(H2733,IMPORTRANGE(""https://docs.google.com/spreadsheets/d/14Bd19lYaqBhU8_DElYkX7l4wRkHqqCUFNJY4AfY3kHU/edit?usp=sharing  #gid=0"",""фіз особи new!relations_name""),6,FALSE)
,
(IF
(
G2733=""юридична особа""
,
VLOOKUP"&amp;"(H2733,IMPORTRANGE(""https://docs.google.com/spreadsheets/d/14Bd19lYaqBhU8_DElYkX7l4wRkHqqCUFNJY4AfY3kHU/edit?usp=sharing  #gid=0"",""фіз особи new!relations_name_uo""),7,FALSE)
,
)
))"),"ШУВАЛОВА Людмила Іванівна")</f>
        <v>ШУВАЛОВА Людмила Іванівна</v>
      </c>
      <c r="J2732" s="7" t="s">
        <v>15</v>
      </c>
    </row>
    <row r="2733" spans="1:10" ht="13.2">
      <c r="A2733" s="7">
        <v>2732</v>
      </c>
      <c r="B2733" s="7">
        <v>1</v>
      </c>
      <c r="C2733" s="7" t="s">
        <v>10</v>
      </c>
      <c r="D2733" s="7">
        <v>784</v>
      </c>
      <c r="E2733" s="7" t="s">
        <v>14</v>
      </c>
      <c r="F2733" s="8" t="str">
        <f ca="1">IFERROR(__xludf.DUMMYFUNCTION("IF
(
C2734=""фізична особа""
,
VLOOKUP(D2734,IMPORTRANGE(""https://docs.google.com/spreadsheets/d/14Bd19lYaqBhU8_DElYkX7l4wRkHqqCUFNJY4AfY3kHU/edit?usp=sharing  #gid=0"",""фіз особи new!relations_name""),6,FALSE)
,
(IF
(
C2734=""юридична особа""
,
VLOOKUP"&amp;"(D2734,IMPORTRANGE(""https://docs.google.com/spreadsheets/d/14Bd19lYaqBhU8_DElYkX7l4wRkHqqCUFNJY4AfY3kHU/edit?usp=sharing  #gid=0"",""фіз особи new!relations_name_uo""),7,FALSE)
,
)
))"),"КУМІН Вадим Валентинович")</f>
        <v>КУМІН Вадим Валентинович</v>
      </c>
      <c r="G2733" s="7" t="s">
        <v>10</v>
      </c>
      <c r="H2733" s="7">
        <v>0</v>
      </c>
      <c r="I2733" s="8" t="str">
        <f ca="1">IFERROR(__xludf.DUMMYFUNCTION("IF
(
G2734=""фізична особа""
,
VLOOKUP(H2734,IMPORTRANGE(""https://docs.google.com/spreadsheets/d/14Bd19lYaqBhU8_DElYkX7l4wRkHqqCUFNJY4AfY3kHU/edit?usp=sharing  #gid=0"",""фіз особи new!relations_name""),6,FALSE)
,
(IF
(
G2734=""юридична особа""
,
VLOOKUP"&amp;"(H2734,IMPORTRANGE(""https://docs.google.com/spreadsheets/d/14Bd19lYaqBhU8_DElYkX7l4wRkHqqCUFNJY4AfY3kHU/edit?usp=sharing  #gid=0"",""фіз особи new!relations_name_uo""),7,FALSE)
,
)
))"),"#N/A")</f>
        <v>#N/A</v>
      </c>
      <c r="J2733" s="7" t="s">
        <v>15</v>
      </c>
    </row>
    <row r="2734" spans="1:10" ht="13.2">
      <c r="A2734" s="7">
        <v>2733</v>
      </c>
      <c r="B2734" s="7">
        <v>1</v>
      </c>
      <c r="C2734" s="7" t="s">
        <v>10</v>
      </c>
      <c r="D2734" s="7">
        <v>785</v>
      </c>
      <c r="E2734" s="7" t="s">
        <v>11</v>
      </c>
      <c r="F2734" s="8" t="str">
        <f ca="1">IFERROR(__xludf.DUMMYFUNCTION("IF
(
C2735=""фізична особа""
,
VLOOKUP(D2735,IMPORTRANGE(""https://docs.google.com/spreadsheets/d/14Bd19lYaqBhU8_DElYkX7l4wRkHqqCUFNJY4AfY3kHU/edit?usp=sharing  #gid=0"",""фіз особи new!relations_name""),6,FALSE)
,
(IF
(
C2735=""юридична особа""
,
VLOOKUP"&amp;"(D2735,IMPORTRANGE(""https://docs.google.com/spreadsheets/d/14Bd19lYaqBhU8_DElYkX7l4wRkHqqCUFNJY4AfY3kHU/edit?usp=sharing  #gid=0"",""фіз особи new!relations_name_uo""),7,FALSE)
,
)
))"),"КУЛІК Вадим Валерійович")</f>
        <v>КУЛІК Вадим Валерійович</v>
      </c>
      <c r="G2734" s="7" t="s">
        <v>10</v>
      </c>
      <c r="H2734" s="7">
        <v>1010</v>
      </c>
      <c r="I2734" s="8" t="str">
        <f ca="1">IFERROR(__xludf.DUMMYFUNCTION("IF
(
G2735=""фізична особа""
,
VLOOKUP(H2735,IMPORTRANGE(""https://docs.google.com/spreadsheets/d/14Bd19lYaqBhU8_DElYkX7l4wRkHqqCUFNJY4AfY3kHU/edit?usp=sharing  #gid=0"",""фіз особи new!relations_name""),6,FALSE)
,
(IF
(
G2735=""юридична особа""
,
VLOOKUP"&amp;"(H2735,IMPORTRANGE(""https://docs.google.com/spreadsheets/d/14Bd19lYaqBhU8_DElYkX7l4wRkHqqCUFNJY4AfY3kHU/edit?usp=sharing  #gid=0"",""фіз особи new!relations_name_uo""),7,FALSE)
,
)
))"),"АКІМОВ Андрій Ігорович")</f>
        <v>АКІМОВ Андрій Ігорович</v>
      </c>
      <c r="J2734" s="7" t="s">
        <v>11</v>
      </c>
    </row>
    <row r="2735" spans="1:10" ht="13.2">
      <c r="A2735" s="7">
        <v>2734</v>
      </c>
      <c r="B2735" s="7">
        <v>1</v>
      </c>
      <c r="C2735" s="7" t="s">
        <v>10</v>
      </c>
      <c r="D2735" s="7">
        <v>786</v>
      </c>
      <c r="E2735" s="7" t="s">
        <v>48</v>
      </c>
      <c r="F2735" s="8" t="str">
        <f ca="1">IFERROR(__xludf.DUMMYFUNCTION("IF
(
C2736=""фізична особа""
,
VLOOKUP(D2736,IMPORTRANGE(""https://docs.google.com/spreadsheets/d/14Bd19lYaqBhU8_DElYkX7l4wRkHqqCUFNJY4AfY3kHU/edit?usp=sharing  #gid=0"",""фіз особи new!relations_name""),6,FALSE)
,
(IF
(
C2736=""юридична особа""
,
VLOOKUP"&amp;"(D2736,IMPORTRANGE(""https://docs.google.com/spreadsheets/d/14Bd19lYaqBhU8_DElYkX7l4wRkHqqCUFNJY4AfY3kHU/edit?usp=sharing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35" s="7" t="s">
        <v>10</v>
      </c>
      <c r="H2735" s="7">
        <v>0</v>
      </c>
      <c r="I2735" s="8" t="str">
        <f ca="1">IFERROR(__xludf.DUMMYFUNCTION("IF
(
G2736=""фізична особа""
,
VLOOKUP(H2736,IMPORTRANGE(""https://docs.google.com/spreadsheets/d/14Bd19lYaqBhU8_DElYkX7l4wRkHqqCUFNJY4AfY3kHU/edit?usp=sharing  #gid=0"",""фіз особи new!relations_name""),6,FALSE)
,
(IF
(
G2736=""юридична особа""
,
VLOOKUP"&amp;"(H2736,IMPORTRANGE(""https://docs.google.com/spreadsheets/d/14Bd19lYaqBhU8_DElYkX7l4wRkHqqCUFNJY4AfY3kHU/edit?usp=sharing  #gid=0"",""фіз особи new!relations_name_uo""),7,FALSE)
,
)
))"),"#N/A")</f>
        <v>#N/A</v>
      </c>
      <c r="J2735" s="7" t="s">
        <v>48</v>
      </c>
    </row>
    <row r="2736" spans="1:10" ht="13.2">
      <c r="A2736" s="7">
        <v>2735</v>
      </c>
      <c r="B2736" s="7">
        <v>1</v>
      </c>
      <c r="C2736" s="7" t="s">
        <v>10</v>
      </c>
      <c r="D2736" s="7">
        <v>786</v>
      </c>
      <c r="E2736" s="7" t="s">
        <v>11</v>
      </c>
      <c r="F2736" s="8" t="str">
        <f ca="1">IFERROR(__xludf.DUMMYFUNCTION("IF
(
C2737=""фізична особа""
,
VLOOKUP(D2737,IMPORTRANGE(""https://docs.google.com/spreadsheets/d/14Bd19lYaqBhU8_DElYkX7l4wRkHqqCUFNJY4AfY3kHU/edit?usp=sharing  #gid=0"",""фіз особи new!relations_name""),6,FALSE)
,
(IF
(
C2737=""юридична особа""
,
VLOOKUP"&amp;"(D2737,IMPORTRANGE(""https://docs.google.com/spreadsheets/d/14Bd19lYaqBhU8_DElYkX7l4wRkHqqCUFNJY4AfY3kHU/edit?usp=sharing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36" s="7" t="s">
        <v>10</v>
      </c>
      <c r="H2736" s="7">
        <v>0</v>
      </c>
      <c r="I2736" s="8" t="str">
        <f ca="1">IFERROR(__xludf.DUMMYFUNCTION("IF
(
G2737=""фізична особа""
,
VLOOKUP(H2737,IMPORTRANGE(""https://docs.google.com/spreadsheets/d/14Bd19lYaqBhU8_DElYkX7l4wRkHqqCUFNJY4AfY3kHU/edit?usp=sharing  #gid=0"",""фіз особи new!relations_name""),6,FALSE)
,
(IF
(
G2737=""юридична особа""
,
VLOOKUP"&amp;"(H2737,IMPORTRANGE(""https://docs.google.com/spreadsheets/d/14Bd19lYaqBhU8_DElYkX7l4wRkHqqCUFNJY4AfY3kHU/edit?usp=sharing  #gid=0"",""фіз особи new!relations_name_uo""),7,FALSE)
,
)
))"),"#N/A")</f>
        <v>#N/A</v>
      </c>
      <c r="J2736" s="7" t="s">
        <v>11</v>
      </c>
    </row>
    <row r="2737" spans="1:10" ht="13.2">
      <c r="A2737" s="7">
        <v>2736</v>
      </c>
      <c r="B2737" s="7">
        <v>1</v>
      </c>
      <c r="C2737" s="7" t="s">
        <v>10</v>
      </c>
      <c r="D2737" s="7">
        <v>786</v>
      </c>
      <c r="E2737" s="7" t="s">
        <v>11</v>
      </c>
      <c r="F2737" s="8" t="str">
        <f ca="1">IFERROR(__xludf.DUMMYFUNCTION("IF
(
C2738=""фізична особа""
,
VLOOKUP(D2738,IMPORTRANGE(""https://docs.google.com/spreadsheets/d/14Bd19lYaqBhU8_DElYkX7l4wRkHqqCUFNJY4AfY3kHU/edit?usp=sharing  #gid=0"",""фіз особи new!relations_name""),6,FALSE)
,
(IF
(
C2738=""юридична особа""
,
VLOOKUP"&amp;"(D2738,IMPORTRANGE(""https://docs.google.com/spreadsheets/d/14Bd19lYaqBhU8_DElYkX7l4wRkHqqCUFNJY4AfY3kHU/edit?usp=sharing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37" s="7" t="s">
        <v>10</v>
      </c>
      <c r="H2737" s="7">
        <v>23399</v>
      </c>
      <c r="I2737" s="8" t="str">
        <f ca="1">IFERROR(__xludf.DUMMYFUNCTION("IF
(
G2738=""фізична особа""
,
VLOOKUP(H2738,IMPORTRANGE(""https://docs.google.com/spreadsheets/d/14Bd19lYaqBhU8_DElYkX7l4wRkHqqCUFNJY4AfY3kHU/edit?usp=sharing  #gid=0"",""фіз особи new!relations_name""),6,FALSE)
,
(IF
(
G2738=""юридична особа""
,
VLOOKUP"&amp;"(H2738,IMPORTRANGE(""https://docs.google.com/spreadsheets/d/14Bd19lYaqBhU8_DElYkX7l4wRkHqqCUFNJY4AfY3kHU/edit?usp=sharing  #gid=0"",""фіз особи new!relations_name_uo""),7,FALSE)
,
)
))"),"ЮРЕВИЧ Михайло Валерійович")</f>
        <v>ЮРЕВИЧ Михайло Валерійович</v>
      </c>
      <c r="J2737" s="7" t="s">
        <v>11</v>
      </c>
    </row>
    <row r="2738" spans="1:10" ht="13.2">
      <c r="A2738" s="7">
        <v>2737</v>
      </c>
      <c r="B2738" s="7">
        <v>1</v>
      </c>
      <c r="C2738" s="7" t="s">
        <v>10</v>
      </c>
      <c r="D2738" s="7">
        <v>786</v>
      </c>
      <c r="E2738" s="7" t="s">
        <v>14</v>
      </c>
      <c r="F2738" s="8" t="str">
        <f ca="1">IFERROR(__xludf.DUMMYFUNCTION("IF
(
C2739=""фізична особа""
,
VLOOKUP(D2739,IMPORTRANGE(""https://docs.google.com/spreadsheets/d/14Bd19lYaqBhU8_DElYkX7l4wRkHqqCUFNJY4AfY3kHU/edit?usp=sharing  #gid=0"",""фіз особи new!relations_name""),6,FALSE)
,
(IF
(
C2739=""юридична особа""
,
VLOOKUP"&amp;"(D2739,IMPORTRANGE(""https://docs.google.com/spreadsheets/d/14Bd19lYaqBhU8_DElYkX7l4wRkHqqCUFNJY4AfY3kHU/edit?usp=sharing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38" s="7" t="s">
        <v>10</v>
      </c>
      <c r="H2738" s="7">
        <v>15525</v>
      </c>
      <c r="I2738" s="8" t="str">
        <f ca="1">IFERROR(__xludf.DUMMYFUNCTION("IF
(
G2739=""фізична особа""
,
VLOOKUP(H2739,IMPORTRANGE(""https://docs.google.com/spreadsheets/d/14Bd19lYaqBhU8_DElYkX7l4wRkHqqCUFNJY4AfY3kHU/edit?usp=sharing  #gid=0"",""фіз особи new!relations_name""),6,FALSE)
,
(IF
(
G2739=""юридична особа""
,
VLOOKUP"&amp;"(H2739,IMPORTRANGE(""https://docs.google.com/spreadsheets/d/14Bd19lYaqBhU8_DElYkX7l4wRkHqqCUFNJY4AfY3kHU/edit?usp=sharing  #gid=0"",""фіз особи new!relations_name_uo""),7,FALSE)
,
)
))"),"БЄЛОУСОВА Ірина Борисівна")</f>
        <v>БЄЛОУСОВА Ірина Борисівна</v>
      </c>
      <c r="J2738" s="7" t="s">
        <v>15</v>
      </c>
    </row>
    <row r="2739" spans="1:10" ht="13.2">
      <c r="A2739" s="7">
        <v>2738</v>
      </c>
      <c r="B2739" s="7">
        <v>1</v>
      </c>
      <c r="C2739" s="7" t="s">
        <v>10</v>
      </c>
      <c r="D2739" s="7">
        <v>786</v>
      </c>
      <c r="E2739" s="7" t="s">
        <v>26</v>
      </c>
      <c r="F2739" s="8" t="str">
        <f ca="1">IFERROR(__xludf.DUMMYFUNCTION("IF
(
C2740=""фізична особа""
,
VLOOKUP(D2740,IMPORTRANGE(""https://docs.google.com/spreadsheets/d/14Bd19lYaqBhU8_DElYkX7l4wRkHqqCUFNJY4AfY3kHU/edit?usp=sharing  #gid=0"",""фіз особи new!relations_name""),6,FALSE)
,
(IF
(
C2740=""юридична особа""
,
VLOOKUP"&amp;"(D2740,IMPORTRANGE(""https://docs.google.com/spreadsheets/d/14Bd19lYaqBhU8_DElYkX7l4wRkHqqCUFNJY4AfY3kHU/edit?usp=sharing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39" s="7" t="s">
        <v>10</v>
      </c>
      <c r="H2739" s="7">
        <v>0</v>
      </c>
      <c r="I2739" s="8" t="str">
        <f ca="1">IFERROR(__xludf.DUMMYFUNCTION("IF
(
G2740=""фізична особа""
,
VLOOKUP(H2740,IMPORTRANGE(""https://docs.google.com/spreadsheets/d/14Bd19lYaqBhU8_DElYkX7l4wRkHqqCUFNJY4AfY3kHU/edit?usp=sharing  #gid=0"",""фіз особи new!relations_name""),6,FALSE)
,
(IF
(
G2740=""юридична особа""
,
VLOOKUP"&amp;"(H2740,IMPORTRANGE(""https://docs.google.com/spreadsheets/d/14Bd19lYaqBhU8_DElYkX7l4wRkHqqCUFNJY4AfY3kHU/edit?usp=sharing  #gid=0"",""фіз особи new!relations_name_uo""),7,FALSE)
,
)
))"),"#N/A")</f>
        <v>#N/A</v>
      </c>
      <c r="J2739" s="7" t="s">
        <v>27</v>
      </c>
    </row>
    <row r="2740" spans="1:10" ht="13.2">
      <c r="A2740" s="7">
        <v>2739</v>
      </c>
      <c r="B2740" s="7">
        <v>1</v>
      </c>
      <c r="C2740" s="7" t="s">
        <v>10</v>
      </c>
      <c r="D2740" s="7">
        <v>786</v>
      </c>
      <c r="E2740" s="7" t="s">
        <v>12</v>
      </c>
      <c r="F2740" s="8" t="str">
        <f ca="1">IFERROR(__xludf.DUMMYFUNCTION("IF
(
C2741=""фізична особа""
,
VLOOKUP(D2741,IMPORTRANGE(""https://docs.google.com/spreadsheets/d/14Bd19lYaqBhU8_DElYkX7l4wRkHqqCUFNJY4AfY3kHU/edit?usp=sharing  #gid=0"",""фіз особи new!relations_name""),6,FALSE)
,
(IF
(
C2741=""юридична особа""
,
VLOOKUP"&amp;"(D2741,IMPORTRANGE(""https://docs.google.com/spreadsheets/d/14Bd19lYaqBhU8_DElYkX7l4wRkHqqCUFNJY4AfY3kHU/edit?usp=sharing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40" s="7" t="s">
        <v>10</v>
      </c>
      <c r="H2740" s="7">
        <v>15527</v>
      </c>
      <c r="I2740" s="8" t="str">
        <f ca="1">IFERROR(__xludf.DUMMYFUNCTION("IF
(
G2741=""фізична особа""
,
VLOOKUP(H2741,IMPORTRANGE(""https://docs.google.com/spreadsheets/d/14Bd19lYaqBhU8_DElYkX7l4wRkHqqCUFNJY4AfY3kHU/edit?usp=sharing  #gid=0"",""фіз особи new!relations_name""),6,FALSE)
,
(IF
(
G2741=""юридична особа""
,
VLOOKUP"&amp;"(H2741,IMPORTRANGE(""https://docs.google.com/spreadsheets/d/14Bd19lYaqBhU8_DElYkX7l4wRkHqqCUFNJY4AfY3kHU/edit?usp=sharing  #gid=0"",""фіз особи new!relations_name_uo""),7,FALSE)
,
)
))"),"БЄЛОУСОВ Антон Вадимович")</f>
        <v>БЄЛОУСОВ Антон Вадимович</v>
      </c>
      <c r="J2740" s="7" t="s">
        <v>17</v>
      </c>
    </row>
    <row r="2741" spans="1:10" ht="13.2">
      <c r="A2741" s="7">
        <v>2740</v>
      </c>
      <c r="B2741" s="7">
        <v>1</v>
      </c>
      <c r="C2741" s="7" t="s">
        <v>10</v>
      </c>
      <c r="D2741" s="7">
        <v>786</v>
      </c>
      <c r="E2741" s="7" t="s">
        <v>12</v>
      </c>
      <c r="F2741" s="8" t="str">
        <f ca="1">IFERROR(__xludf.DUMMYFUNCTION("IF
(
C2742=""фізична особа""
,
VLOOKUP(D2742,IMPORTRANGE(""https://docs.google.com/spreadsheets/d/14Bd19lYaqBhU8_DElYkX7l4wRkHqqCUFNJY4AfY3kHU/edit?usp=sharing  #gid=0"",""фіз особи new!relations_name""),6,FALSE)
,
(IF
(
C2742=""юридична особа""
,
VLOOKUP"&amp;"(D2742,IMPORTRANGE(""https://docs.google.com/spreadsheets/d/14Bd19lYaqBhU8_DElYkX7l4wRkHqqCUFNJY4AfY3kHU/edit?usp=sharing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G2741" s="7" t="s">
        <v>10</v>
      </c>
      <c r="H2741" s="7">
        <v>15526</v>
      </c>
      <c r="I2741" s="8" t="str">
        <f ca="1">IFERROR(__xludf.DUMMYFUNCTION("IF
(
G2742=""фізична особа""
,
VLOOKUP(H2742,IMPORTRANGE(""https://docs.google.com/spreadsheets/d/14Bd19lYaqBhU8_DElYkX7l4wRkHqqCUFNJY4AfY3kHU/edit?usp=sharing  #gid=0"",""фіз особи new!relations_name""),6,FALSE)
,
(IF
(
G2742=""юридична особа""
,
VLOOKUP"&amp;"(H2742,IMPORTRANGE(""https://docs.google.com/spreadsheets/d/14Bd19lYaqBhU8_DElYkX7l4wRkHqqCUFNJY4AfY3kHU/edit?usp=sharing  #gid=0"",""фіз особи new!relations_name_uo""),7,FALSE)
,
)
))"),"ЧІГІНЦЕВА Валерія Вадимівна")</f>
        <v>ЧІГІНЦЕВА Валерія Вадимівна</v>
      </c>
      <c r="J2741" s="7" t="s">
        <v>13</v>
      </c>
    </row>
    <row r="2742" spans="1:10" ht="13.2">
      <c r="A2742" s="7">
        <v>2741</v>
      </c>
      <c r="B2742" s="7">
        <v>1</v>
      </c>
      <c r="C2742" s="7" t="s">
        <v>10</v>
      </c>
      <c r="D2742" s="7">
        <v>787</v>
      </c>
      <c r="E2742" s="7" t="s">
        <v>48</v>
      </c>
      <c r="F2742" s="8" t="str">
        <f ca="1">IFERROR(__xludf.DUMMYFUNCTION("IF
(
C2743=""фізична особа""
,
VLOOKUP(D2743,IMPORTRANGE(""https://docs.google.com/spreadsheets/d/14Bd19lYaqBhU8_DElYkX7l4wRkHqqCUFNJY4AfY3kHU/edit?usp=sharing  #gid=0"",""фіз особи new!relations_name""),6,FALSE)
,
(IF
(
C2743=""юридична особа""
,
VLOOKUP"&amp;"(D2743,IMPORTRANGE(""https://docs.google.com/spreadsheets/d/14Bd19lYaqBhU8_DElYkX7l4wRkHqqCUFNJY4AfY3kHU/edit?usp=sharing  #gid=0"",""фіз особи new!relations_name_uo""),7,FALSE)
,
)
))"),"ДЄНЬГІН Вадим Євгенович")</f>
        <v>ДЄНЬГІН Вадим Євгенович</v>
      </c>
      <c r="G2742" s="7" t="s">
        <v>10</v>
      </c>
      <c r="H2742" s="7">
        <v>310</v>
      </c>
      <c r="I2742" s="8" t="str">
        <f ca="1">IFERROR(__xludf.DUMMYFUNCTION("IF
(
G2743=""фізична особа""
,
VLOOKUP(H2743,IMPORTRANGE(""https://docs.google.com/spreadsheets/d/14Bd19lYaqBhU8_DElYkX7l4wRkHqqCUFNJY4AfY3kHU/edit?usp=sharing  #gid=0"",""фіз особи new!relations_name""),6,FALSE)
,
(IF
(
G2743=""юридична особа""
,
VLOOKUP"&amp;"(H2743,IMPORTRANGE(""https://docs.google.com/spreadsheets/d/14Bd19lYaqBhU8_DElYkX7l4wRkHqqCUFNJY4AfY3kHU/edit?usp=sharing  #gid=0"",""фіз особи new!relations_name_uo""),7,FALSE)
,
)
))"),"ЛЕБЕДЄВ Ігор Володимирович")</f>
        <v>ЛЕБЕДЄВ Ігор Володимирович</v>
      </c>
      <c r="J2742" s="7" t="s">
        <v>48</v>
      </c>
    </row>
    <row r="2743" spans="1:10" ht="13.2">
      <c r="A2743" s="7">
        <v>2742</v>
      </c>
      <c r="B2743" s="7">
        <v>1</v>
      </c>
      <c r="C2743" s="7" t="s">
        <v>10</v>
      </c>
      <c r="D2743" s="7">
        <v>787</v>
      </c>
      <c r="E2743" s="7" t="s">
        <v>14</v>
      </c>
      <c r="F2743" s="8" t="str">
        <f ca="1">IFERROR(__xludf.DUMMYFUNCTION("IF
(
C2744=""фізична особа""
,
VLOOKUP(D2744,IMPORTRANGE(""https://docs.google.com/spreadsheets/d/14Bd19lYaqBhU8_DElYkX7l4wRkHqqCUFNJY4AfY3kHU/edit?usp=sharing  #gid=0"",""фіз особи new!relations_name""),6,FALSE)
,
(IF
(
C2744=""юридична особа""
,
VLOOKUP"&amp;"(D2744,IMPORTRANGE(""https://docs.google.com/spreadsheets/d/14Bd19lYaqBhU8_DElYkX7l4wRkHqqCUFNJY4AfY3kHU/edit?usp=sharing  #gid=0"",""фіз особи new!relations_name_uo""),7,FALSE)
,
)
))"),"ДЄНЬГІН Вадим Євгенович")</f>
        <v>ДЄНЬГІН Вадим Євгенович</v>
      </c>
      <c r="G2743" s="7" t="s">
        <v>10</v>
      </c>
      <c r="H2743" s="7">
        <v>0</v>
      </c>
      <c r="I2743" s="8" t="str">
        <f ca="1">IFERROR(__xludf.DUMMYFUNCTION("IF
(
G2744=""фізична особа""
,
VLOOKUP(H2744,IMPORTRANGE(""https://docs.google.com/spreadsheets/d/14Bd19lYaqBhU8_DElYkX7l4wRkHqqCUFNJY4AfY3kHU/edit?usp=sharing  #gid=0"",""фіз особи new!relations_name""),6,FALSE)
,
(IF
(
G2744=""юридична особа""
,
VLOOKUP"&amp;"(H2744,IMPORTRANGE(""https://docs.google.com/spreadsheets/d/14Bd19lYaqBhU8_DElYkX7l4wRkHqqCUFNJY4AfY3kHU/edit?usp=sharing  #gid=0"",""фіз особи new!relations_name_uo""),7,FALSE)
,
)
))"),"#N/A")</f>
        <v>#N/A</v>
      </c>
      <c r="J2743" s="7" t="s">
        <v>15</v>
      </c>
    </row>
    <row r="2744" spans="1:10" ht="13.2">
      <c r="A2744" s="7">
        <v>2743</v>
      </c>
      <c r="B2744" s="7">
        <v>1</v>
      </c>
      <c r="C2744" s="7" t="s">
        <v>10</v>
      </c>
      <c r="D2744" s="7">
        <v>788</v>
      </c>
      <c r="E2744" s="7" t="s">
        <v>18</v>
      </c>
      <c r="F2744" s="8" t="str">
        <f ca="1">IFERROR(__xludf.DUMMYFUNCTION("IF
(
C2745=""фізична особа""
,
VLOOKUP(D2745,IMPORTRANGE(""https://docs.google.com/spreadsheets/d/14Bd19lYaqBhU8_DElYkX7l4wRkHqqCUFNJY4AfY3kHU/edit?usp=sharing  #gid=0"",""фіз особи new!relations_name""),6,FALSE)
,
(IF
(
C2745=""юридична особа""
,
VLOOKUP"&amp;"(D2745,IMPORTRANGE(""https://docs.google.com/spreadsheets/d/14Bd19lYaqBhU8_DElYkX7l4wRkHqqCUFNJY4AfY3kHU/edit?usp=sharing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4" s="7" t="s">
        <v>10</v>
      </c>
      <c r="H2744" s="7">
        <v>0</v>
      </c>
      <c r="I2744" s="8" t="str">
        <f ca="1">IFERROR(__xludf.DUMMYFUNCTION("IF
(
G2745=""фізична особа""
,
VLOOKUP(H2745,IMPORTRANGE(""https://docs.google.com/spreadsheets/d/14Bd19lYaqBhU8_DElYkX7l4wRkHqqCUFNJY4AfY3kHU/edit?usp=sharing  #gid=0"",""фіз особи new!relations_name""),6,FALSE)
,
(IF
(
G2745=""юридична особа""
,
VLOOKUP"&amp;"(H2745,IMPORTRANGE(""https://docs.google.com/spreadsheets/d/14Bd19lYaqBhU8_DElYkX7l4wRkHqqCUFNJY4AfY3kHU/edit?usp=sharing  #gid=0"",""фіз особи new!relations_name_uo""),7,FALSE)
,
)
))"),"#N/A")</f>
        <v>#N/A</v>
      </c>
      <c r="J2744" s="7" t="s">
        <v>18</v>
      </c>
    </row>
    <row r="2745" spans="1:10" ht="13.2">
      <c r="A2745" s="7">
        <v>2744</v>
      </c>
      <c r="B2745" s="7">
        <v>1</v>
      </c>
      <c r="C2745" s="7" t="s">
        <v>10</v>
      </c>
      <c r="D2745" s="7">
        <v>788</v>
      </c>
      <c r="E2745" s="7" t="s">
        <v>14</v>
      </c>
      <c r="F2745" s="8" t="str">
        <f ca="1">IFERROR(__xludf.DUMMYFUNCTION("IF
(
C2746=""фізична особа""
,
VLOOKUP(D2746,IMPORTRANGE(""https://docs.google.com/spreadsheets/d/14Bd19lYaqBhU8_DElYkX7l4wRkHqqCUFNJY4AfY3kHU/edit?usp=sharing  #gid=0"",""фіз особи new!relations_name""),6,FALSE)
,
(IF
(
C2746=""юридична особа""
,
VLOOKUP"&amp;"(D2746,IMPORTRANGE(""https://docs.google.com/spreadsheets/d/14Bd19lYaqBhU8_DElYkX7l4wRkHqqCUFNJY4AfY3kHU/edit?usp=sharing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5" s="7" t="s">
        <v>10</v>
      </c>
      <c r="H2745" s="7">
        <v>0</v>
      </c>
      <c r="I2745" s="8" t="str">
        <f ca="1">IFERROR(__xludf.DUMMYFUNCTION("IF
(
G2746=""фізична особа""
,
VLOOKUP(H2746,IMPORTRANGE(""https://docs.google.com/spreadsheets/d/14Bd19lYaqBhU8_DElYkX7l4wRkHqqCUFNJY4AfY3kHU/edit?usp=sharing  #gid=0"",""фіз особи new!relations_name""),6,FALSE)
,
(IF
(
G2746=""юридична особа""
,
VLOOKUP"&amp;"(H2746,IMPORTRANGE(""https://docs.google.com/spreadsheets/d/14Bd19lYaqBhU8_DElYkX7l4wRkHqqCUFNJY4AfY3kHU/edit?usp=sharing  #gid=0"",""фіз особи new!relations_name_uo""),7,FALSE)
,
)
))"),"#N/A")</f>
        <v>#N/A</v>
      </c>
      <c r="J2745" s="7" t="s">
        <v>15</v>
      </c>
    </row>
    <row r="2746" spans="1:10" ht="13.2">
      <c r="A2746" s="7">
        <v>2745</v>
      </c>
      <c r="B2746" s="7">
        <v>1</v>
      </c>
      <c r="C2746" s="7" t="s">
        <v>10</v>
      </c>
      <c r="D2746" s="7">
        <v>788</v>
      </c>
      <c r="E2746" s="7" t="s">
        <v>12</v>
      </c>
      <c r="F2746" s="8" t="str">
        <f ca="1">IFERROR(__xludf.DUMMYFUNCTION("IF
(
C2747=""фізична особа""
,
VLOOKUP(D2747,IMPORTRANGE(""https://docs.google.com/spreadsheets/d/14Bd19lYaqBhU8_DElYkX7l4wRkHqqCUFNJY4AfY3kHU/edit?usp=sharing  #gid=0"",""фіз особи new!relations_name""),6,FALSE)
,
(IF
(
C2747=""юридична особа""
,
VLOOKUP"&amp;"(D2747,IMPORTRANGE(""https://docs.google.com/spreadsheets/d/14Bd19lYaqBhU8_DElYkX7l4wRkHqqCUFNJY4AfY3kHU/edit?usp=sharing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6" s="7" t="s">
        <v>10</v>
      </c>
      <c r="H2746" s="7">
        <v>0</v>
      </c>
      <c r="I2746" s="8" t="str">
        <f ca="1">IFERROR(__xludf.DUMMYFUNCTION("IF
(
G2747=""фізична особа""
,
VLOOKUP(H2747,IMPORTRANGE(""https://docs.google.com/spreadsheets/d/14Bd19lYaqBhU8_DElYkX7l4wRkHqqCUFNJY4AfY3kHU/edit?usp=sharing  #gid=0"",""фіз особи new!relations_name""),6,FALSE)
,
(IF
(
G2747=""юридична особа""
,
VLOOKUP"&amp;"(H2747,IMPORTRANGE(""https://docs.google.com/spreadsheets/d/14Bd19lYaqBhU8_DElYkX7l4wRkHqqCUFNJY4AfY3kHU/edit?usp=sharing  #gid=0"",""фіз особи new!relations_name_uo""),7,FALSE)
,
)
))"),"#N/A")</f>
        <v>#N/A</v>
      </c>
      <c r="J2746" s="7" t="s">
        <v>13</v>
      </c>
    </row>
    <row r="2747" spans="1:10" ht="13.2">
      <c r="A2747" s="7">
        <v>2746</v>
      </c>
      <c r="B2747" s="7">
        <v>1</v>
      </c>
      <c r="C2747" s="7" t="s">
        <v>10</v>
      </c>
      <c r="D2747" s="7">
        <v>788</v>
      </c>
      <c r="E2747" s="7" t="s">
        <v>12</v>
      </c>
      <c r="F2747" s="8" t="str">
        <f ca="1">IFERROR(__xludf.DUMMYFUNCTION("IF
(
C2748=""фізична особа""
,
VLOOKUP(D2748,IMPORTRANGE(""https://docs.google.com/spreadsheets/d/14Bd19lYaqBhU8_DElYkX7l4wRkHqqCUFNJY4AfY3kHU/edit?usp=sharing  #gid=0"",""фіз особи new!relations_name""),6,FALSE)
,
(IF
(
C2748=""юридична особа""
,
VLOOKUP"&amp;"(D2748,IMPORTRANGE(""https://docs.google.com/spreadsheets/d/14Bd19lYaqBhU8_DElYkX7l4wRkHqqCUFNJY4AfY3kHU/edit?usp=sharing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7" s="7" t="s">
        <v>10</v>
      </c>
      <c r="H2747" s="7">
        <v>0</v>
      </c>
      <c r="I2747" s="8" t="str">
        <f ca="1">IFERROR(__xludf.DUMMYFUNCTION("IF
(
G2748=""фізична особа""
,
VLOOKUP(H2748,IMPORTRANGE(""https://docs.google.com/spreadsheets/d/14Bd19lYaqBhU8_DElYkX7l4wRkHqqCUFNJY4AfY3kHU/edit?usp=sharing  #gid=0"",""фіз особи new!relations_name""),6,FALSE)
,
(IF
(
G2748=""юридична особа""
,
VLOOKUP"&amp;"(H2748,IMPORTRANGE(""https://docs.google.com/spreadsheets/d/14Bd19lYaqBhU8_DElYkX7l4wRkHqqCUFNJY4AfY3kHU/edit?usp=sharing  #gid=0"",""фіз особи new!relations_name_uo""),7,FALSE)
,
)
))"),"#N/A")</f>
        <v>#N/A</v>
      </c>
      <c r="J2747" s="7" t="s">
        <v>17</v>
      </c>
    </row>
    <row r="2748" spans="1:10" ht="13.2">
      <c r="A2748" s="7">
        <v>2747</v>
      </c>
      <c r="B2748" s="7">
        <v>1</v>
      </c>
      <c r="C2748" s="7" t="s">
        <v>10</v>
      </c>
      <c r="D2748" s="7">
        <v>788</v>
      </c>
      <c r="E2748" s="7" t="s">
        <v>17</v>
      </c>
      <c r="F2748" s="8" t="str">
        <f ca="1">IFERROR(__xludf.DUMMYFUNCTION("IF
(
C2749=""фізична особа""
,
VLOOKUP(D2749,IMPORTRANGE(""https://docs.google.com/spreadsheets/d/14Bd19lYaqBhU8_DElYkX7l4wRkHqqCUFNJY4AfY3kHU/edit?usp=sharing  #gid=0"",""фіз особи new!relations_name""),6,FALSE)
,
(IF
(
C2749=""юридична особа""
,
VLOOKUP"&amp;"(D2749,IMPORTRANGE(""https://docs.google.com/spreadsheets/d/14Bd19lYaqBhU8_DElYkX7l4wRkHqqCUFNJY4AfY3kHU/edit?usp=sharing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8" s="7" t="s">
        <v>10</v>
      </c>
      <c r="H2748" s="7">
        <v>0</v>
      </c>
      <c r="I2748" s="8" t="str">
        <f ca="1">IFERROR(__xludf.DUMMYFUNCTION("IF
(
G2749=""фізична особа""
,
VLOOKUP(H2749,IMPORTRANGE(""https://docs.google.com/spreadsheets/d/14Bd19lYaqBhU8_DElYkX7l4wRkHqqCUFNJY4AfY3kHU/edit?usp=sharing  #gid=0"",""фіз особи new!relations_name""),6,FALSE)
,
(IF
(
G2749=""юридична особа""
,
VLOOKUP"&amp;"(H2749,IMPORTRANGE(""https://docs.google.com/spreadsheets/d/14Bd19lYaqBhU8_DElYkX7l4wRkHqqCUFNJY4AfY3kHU/edit?usp=sharing  #gid=0"",""фіз особи new!relations_name_uo""),7,FALSE)
,
)
))"),"#N/A")</f>
        <v>#N/A</v>
      </c>
      <c r="J2748" s="7" t="s">
        <v>12</v>
      </c>
    </row>
    <row r="2749" spans="1:10" ht="13.2">
      <c r="A2749" s="7">
        <v>2748</v>
      </c>
      <c r="B2749" s="7">
        <v>1</v>
      </c>
      <c r="C2749" s="7" t="s">
        <v>10</v>
      </c>
      <c r="D2749" s="7">
        <v>788</v>
      </c>
      <c r="E2749" s="7" t="s">
        <v>17</v>
      </c>
      <c r="F2749" s="8" t="str">
        <f ca="1">IFERROR(__xludf.DUMMYFUNCTION("IF
(
C2750=""фізична особа""
,
VLOOKUP(D2750,IMPORTRANGE(""https://docs.google.com/spreadsheets/d/14Bd19lYaqBhU8_DElYkX7l4wRkHqqCUFNJY4AfY3kHU/edit?usp=sharing  #gid=0"",""фіз особи new!relations_name""),6,FALSE)
,
(IF
(
C2750=""юридична особа""
,
VLOOKUP"&amp;"(D2750,IMPORTRANGE(""https://docs.google.com/spreadsheets/d/14Bd19lYaqBhU8_DElYkX7l4wRkHqqCUFNJY4AfY3kHU/edit?usp=sharing  #gid=0"",""фіз особи new!relations_name_uo""),7,FALSE)
,
)
))"),"БУРМАТОВ Володимир Володимирович")</f>
        <v>БУРМАТОВ Володимир Володимирович</v>
      </c>
      <c r="G2749" s="7" t="s">
        <v>10</v>
      </c>
      <c r="H2749" s="7">
        <v>0</v>
      </c>
      <c r="I2749" s="8" t="str">
        <f ca="1">IFERROR(__xludf.DUMMYFUNCTION("IF
(
G2750=""фізична особа""
,
VLOOKUP(H2750,IMPORTRANGE(""https://docs.google.com/spreadsheets/d/14Bd19lYaqBhU8_DElYkX7l4wRkHqqCUFNJY4AfY3kHU/edit?usp=sharing  #gid=0"",""фіз особи new!relations_name""),6,FALSE)
,
(IF
(
G2750=""юридична особа""
,
VLOOKUP"&amp;"(H2750,IMPORTRANGE(""https://docs.google.com/spreadsheets/d/14Bd19lYaqBhU8_DElYkX7l4wRkHqqCUFNJY4AfY3kHU/edit?usp=sharing  #gid=0"",""фіз особи new!relations_name_uo""),7,FALSE)
,
)
))"),"#N/A")</f>
        <v>#N/A</v>
      </c>
      <c r="J2749" s="7" t="s">
        <v>21</v>
      </c>
    </row>
    <row r="2750" spans="1:10" ht="13.2">
      <c r="A2750" s="7">
        <v>2749</v>
      </c>
      <c r="B2750" s="7">
        <v>1</v>
      </c>
      <c r="C2750" s="7" t="s">
        <v>10</v>
      </c>
      <c r="D2750" s="7">
        <v>789</v>
      </c>
      <c r="E2750" s="7" t="s">
        <v>11</v>
      </c>
      <c r="F2750" s="8" t="str">
        <f ca="1">IFERROR(__xludf.DUMMYFUNCTION("IF
(
C2751=""фізична особа""
,
VLOOKUP(D2751,IMPORTRANGE(""https://docs.google.com/spreadsheets/d/14Bd19lYaqBhU8_DElYkX7l4wRkHqqCUFNJY4AfY3kHU/edit?usp=sharing  #gid=0"",""фіз особи new!relations_name""),6,FALSE)
,
(IF
(
C2751=""юридична особа""
,
VLOOKUP"&amp;"(D2751,IMPORTRANGE(""https://docs.google.com/spreadsheets/d/14Bd19lYaqBhU8_DElYkX7l4wRkHqqCUFNJY4AfY3kHU/edit?usp=sharing  #gid=0"",""фіз особи new!relations_name_uo""),7,FALSE)
,
)
))"),"МАМАЄВ Валентин Геннадійович")</f>
        <v>МАМАЄВ Валентин Геннадійович</v>
      </c>
      <c r="G2750" s="7" t="s">
        <v>10</v>
      </c>
      <c r="H2750" s="7">
        <v>360</v>
      </c>
      <c r="I2750" s="8" t="str">
        <f ca="1">IFERROR(__xludf.DUMMYFUNCTION("IF
(
G2751=""фізична особа""
,
VLOOKUP(H2751,IMPORTRANGE(""https://docs.google.com/spreadsheets/d/14Bd19lYaqBhU8_DElYkX7l4wRkHqqCUFNJY4AfY3kHU/edit?usp=sharing  #gid=0"",""фіз особи new!relations_name""),6,FALSE)
,
(IF
(
G2751=""юридична особа""
,
VLOOKUP"&amp;"(H2751,IMPORTRANGE(""https://docs.google.com/spreadsheets/d/14Bd19lYaqBhU8_DElYkX7l4wRkHqqCUFNJY4AfY3kHU/edit?usp=sharing  #gid=0"",""фіз особи new!relations_name_uo""),7,FALSE)
,
)
))"),"ТАТРІЄВ Хасан Курейшович")</f>
        <v>ТАТРІЄВ Хасан Курейшович</v>
      </c>
      <c r="J2750" s="7" t="s">
        <v>11</v>
      </c>
    </row>
    <row r="2751" spans="1:10" ht="13.2">
      <c r="A2751" s="7">
        <v>2750</v>
      </c>
      <c r="B2751" s="7">
        <v>1</v>
      </c>
      <c r="C2751" s="7" t="s">
        <v>10</v>
      </c>
      <c r="D2751" s="7">
        <v>790</v>
      </c>
      <c r="E2751" s="7" t="s">
        <v>14</v>
      </c>
      <c r="F2751" s="8" t="str">
        <f ca="1">IFERROR(__xludf.DUMMYFUNCTION("IF
(
C2752=""фізична особа""
,
VLOOKUP(D2752,IMPORTRANGE(""https://docs.google.com/spreadsheets/d/14Bd19lYaqBhU8_DElYkX7l4wRkHqqCUFNJY4AfY3kHU/edit?usp=sharing  #gid=0"",""фіз особи new!relations_name""),6,FALSE)
,
(IF
(
C2752=""юридична особа""
,
VLOOKUP"&amp;"(D2752,IMPORTRANGE(""https://docs.google.com/spreadsheets/d/14Bd19lYaqBhU8_DElYkX7l4wRkHqqCUFNJY4AfY3kHU/edit?usp=sharing  #gid=0"",""фіз особи new!relations_name_uo""),7,FALSE)
,
)
))"),"ГУСАКОВСЬКИЙ Олександр Владиславович")</f>
        <v>ГУСАКОВСЬКИЙ Олександр Владиславович</v>
      </c>
      <c r="G2751" s="7" t="s">
        <v>10</v>
      </c>
      <c r="H2751" s="7">
        <v>0</v>
      </c>
      <c r="I2751" s="8" t="str">
        <f ca="1">IFERROR(__xludf.DUMMYFUNCTION("IF
(
G2752=""фізична особа""
,
VLOOKUP(H2752,IMPORTRANGE(""https://docs.google.com/spreadsheets/d/14Bd19lYaqBhU8_DElYkX7l4wRkHqqCUFNJY4AfY3kHU/edit?usp=sharing  #gid=0"",""фіз особи new!relations_name""),6,FALSE)
,
(IF
(
G2752=""юридична особа""
,
VLOOKUP"&amp;"(H2752,IMPORTRANGE(""https://docs.google.com/spreadsheets/d/14Bd19lYaqBhU8_DElYkX7l4wRkHqqCUFNJY4AfY3kHU/edit?usp=sharing  #gid=0"",""фіз особи new!relations_name_uo""),7,FALSE)
,
)
))"),"#N/A")</f>
        <v>#N/A</v>
      </c>
      <c r="J2751" s="7" t="s">
        <v>15</v>
      </c>
    </row>
    <row r="2752" spans="1:10" ht="13.2">
      <c r="A2752" s="7">
        <v>2751</v>
      </c>
      <c r="B2752" s="7">
        <v>1</v>
      </c>
      <c r="C2752" s="7" t="s">
        <v>10</v>
      </c>
      <c r="D2752" s="7">
        <v>790</v>
      </c>
      <c r="E2752" s="7" t="s">
        <v>12</v>
      </c>
      <c r="F2752" s="8" t="str">
        <f ca="1">IFERROR(__xludf.DUMMYFUNCTION("IF
(
C2753=""фізична особа""
,
VLOOKUP(D2753,IMPORTRANGE(""https://docs.google.com/spreadsheets/d/14Bd19lYaqBhU8_DElYkX7l4wRkHqqCUFNJY4AfY3kHU/edit?usp=sharing  #gid=0"",""фіз особи new!relations_name""),6,FALSE)
,
(IF
(
C2753=""юридична особа""
,
VLOOKUP"&amp;"(D2753,IMPORTRANGE(""https://docs.google.com/spreadsheets/d/14Bd19lYaqBhU8_DElYkX7l4wRkHqqCUFNJY4AfY3kHU/edit?usp=sharing  #gid=0"",""фіз особи new!relations_name_uo""),7,FALSE)
,
)
))"),"ГУСАКОВСЬКИЙ Олександр Владиславович")</f>
        <v>ГУСАКОВСЬКИЙ Олександр Владиславович</v>
      </c>
      <c r="G2752" s="7" t="s">
        <v>10</v>
      </c>
      <c r="H2752" s="7">
        <v>0</v>
      </c>
      <c r="I2752" s="8" t="str">
        <f ca="1">IFERROR(__xludf.DUMMYFUNCTION("IF
(
G2753=""фізична особа""
,
VLOOKUP(H2753,IMPORTRANGE(""https://docs.google.com/spreadsheets/d/14Bd19lYaqBhU8_DElYkX7l4wRkHqqCUFNJY4AfY3kHU/edit?usp=sharing  #gid=0"",""фіз особи new!relations_name""),6,FALSE)
,
(IF
(
G2753=""юридична особа""
,
VLOOKUP"&amp;"(H2753,IMPORTRANGE(""https://docs.google.com/spreadsheets/d/14Bd19lYaqBhU8_DElYkX7l4wRkHqqCUFNJY4AfY3kHU/edit?usp=sharing  #gid=0"",""фіз особи new!relations_name_uo""),7,FALSE)
,
)
))"),"#N/A")</f>
        <v>#N/A</v>
      </c>
      <c r="J2752" s="7" t="s">
        <v>13</v>
      </c>
    </row>
    <row r="2753" spans="1:10" ht="13.2">
      <c r="A2753" s="7">
        <v>2752</v>
      </c>
      <c r="B2753" s="7">
        <v>1</v>
      </c>
      <c r="C2753" s="7" t="s">
        <v>10</v>
      </c>
      <c r="D2753" s="7">
        <v>791</v>
      </c>
      <c r="E2753" s="7" t="s">
        <v>48</v>
      </c>
      <c r="F2753" s="8" t="str">
        <f ca="1">IFERROR(__xludf.DUMMYFUNCTION("IF
(
C2754=""фізична особа""
,
VLOOKUP(D2754,IMPORTRANGE(""https://docs.google.com/spreadsheets/d/14Bd19lYaqBhU8_DElYkX7l4wRkHqqCUFNJY4AfY3kHU/edit?usp=sharing  #gid=0"",""фіз особи new!relations_name""),6,FALSE)
,
(IF
(
C2754=""юридична особа""
,
VLOOKUP"&amp;"(D2754,IMPORTRANGE(""https://docs.google.com/spreadsheets/d/14Bd19lYaqBhU8_DElYkX7l4wRkHqqCUFNJY4AfY3kHU/edit?usp=sharing  #gid=0"",""фіз особи new!relations_name_uo""),7,FALSE)
,
)
))"),"АРТАМОНОВА Валентина Миколаївна")</f>
        <v>АРТАМОНОВА Валентина Миколаївна</v>
      </c>
      <c r="G2753" s="7" t="s">
        <v>10</v>
      </c>
      <c r="H2753" s="7">
        <v>185</v>
      </c>
      <c r="I2753" s="8" t="str">
        <f ca="1">IFERROR(__xludf.DUMMYFUNCTION("IF
(
G2754=""фізична особа""
,
VLOOKUP(H2754,IMPORTRANGE(""https://docs.google.com/spreadsheets/d/14Bd19lYaqBhU8_DElYkX7l4wRkHqqCUFNJY4AfY3kHU/edit?usp=sharing  #gid=0"",""фіз особи new!relations_name""),6,FALSE)
,
(IF
(
G2754=""юридична особа""
,
VLOOKUP"&amp;"(H2754,IMPORTRANGE(""https://docs.google.com/spreadsheets/d/14Bd19lYaqBhU8_DElYkX7l4wRkHqqCUFNJY4AfY3kHU/edit?usp=sharing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753" s="7" t="s">
        <v>48</v>
      </c>
    </row>
    <row r="2754" spans="1:10" ht="13.2">
      <c r="A2754" s="7">
        <v>2753</v>
      </c>
      <c r="B2754" s="7">
        <v>1</v>
      </c>
      <c r="C2754" s="7" t="s">
        <v>10</v>
      </c>
      <c r="D2754" s="7">
        <v>791</v>
      </c>
      <c r="E2754" s="7" t="s">
        <v>48</v>
      </c>
      <c r="F2754" s="8" t="str">
        <f ca="1">IFERROR(__xludf.DUMMYFUNCTION("IF
(
C2755=""фізична особа""
,
VLOOKUP(D2755,IMPORTRANGE(""https://docs.google.com/spreadsheets/d/14Bd19lYaqBhU8_DElYkX7l4wRkHqqCUFNJY4AfY3kHU/edit?usp=sharing  #gid=0"",""фіз особи new!relations_name""),6,FALSE)
,
(IF
(
C2755=""юридична особа""
,
VLOOKUP"&amp;"(D2755,IMPORTRANGE(""https://docs.google.com/spreadsheets/d/14Bd19lYaqBhU8_DElYkX7l4wRkHqqCUFNJY4AfY3kHU/edit?usp=sharing  #gid=0"",""фіз особи new!relations_name_uo""),7,FALSE)
,
)
))"),"АРТАМОНОВА Валентина Миколаївна")</f>
        <v>АРТАМОНОВА Валентина Миколаївна</v>
      </c>
      <c r="G2754" s="7" t="s">
        <v>10</v>
      </c>
      <c r="H2754" s="7">
        <v>64</v>
      </c>
      <c r="I2754" s="8" t="str">
        <f ca="1">IFERROR(__xludf.DUMMYFUNCTION("IF
(
G2755=""фізична особа""
,
VLOOKUP(H2755,IMPORTRANGE(""https://docs.google.com/spreadsheets/d/14Bd19lYaqBhU8_DElYkX7l4wRkHqqCUFNJY4AfY3kHU/edit?usp=sharing  #gid=0"",""фіз особи new!relations_name""),6,FALSE)
,
(IF
(
G2755=""юридична особа""
,
VLOOKUP"&amp;"(H2755,IMPORTRANGE(""https://docs.google.com/spreadsheets/d/14Bd19lYaqBhU8_DElYkX7l4wRkHqqCUFNJY4AfY3kHU/edit?usp=sharing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754" s="7" t="s">
        <v>48</v>
      </c>
    </row>
    <row r="2755" spans="1:10" ht="13.2">
      <c r="A2755" s="7">
        <v>2754</v>
      </c>
      <c r="B2755" s="7">
        <v>1</v>
      </c>
      <c r="C2755" s="7" t="s">
        <v>10</v>
      </c>
      <c r="D2755" s="7">
        <v>791</v>
      </c>
      <c r="E2755" s="7" t="s">
        <v>48</v>
      </c>
      <c r="F2755" s="8" t="str">
        <f ca="1">IFERROR(__xludf.DUMMYFUNCTION("IF
(
C2756=""фізична особа""
,
VLOOKUP(D2756,IMPORTRANGE(""https://docs.google.com/spreadsheets/d/14Bd19lYaqBhU8_DElYkX7l4wRkHqqCUFNJY4AfY3kHU/edit?usp=sharing  #gid=0"",""фіз особи new!relations_name""),6,FALSE)
,
(IF
(
C2756=""юридична особа""
,
VLOOKUP"&amp;"(D2756,IMPORTRANGE(""https://docs.google.com/spreadsheets/d/14Bd19lYaqBhU8_DElYkX7l4wRkHqqCUFNJY4AfY3kHU/edit?usp=sharing  #gid=0"",""фіз особи new!relations_name_uo""),7,FALSE)
,
)
))"),"АРТАМОНОВА Валентина Миколаївна")</f>
        <v>АРТАМОНОВА Валентина Миколаївна</v>
      </c>
      <c r="G2755" s="7" t="s">
        <v>10</v>
      </c>
      <c r="H2755" s="7">
        <v>844</v>
      </c>
      <c r="I2755" s="8" t="str">
        <f ca="1">IFERROR(__xludf.DUMMYFUNCTION("IF
(
G2756=""фізична особа""
,
VLOOKUP(H2756,IMPORTRANGE(""https://docs.google.com/spreadsheets/d/14Bd19lYaqBhU8_DElYkX7l4wRkHqqCUFNJY4AfY3kHU/edit?usp=sharing  #gid=0"",""фіз особи new!relations_name""),6,FALSE)
,
(IF
(
G2756=""юридична особа""
,
VLOOKUP"&amp;"(H2756,IMPORTRANGE(""https://docs.google.com/spreadsheets/d/14Bd19lYaqBhU8_DElYkX7l4wRkHqqCUFNJY4AfY3kHU/edit?usp=sharing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755" s="7" t="s">
        <v>48</v>
      </c>
    </row>
    <row r="2756" spans="1:10" ht="13.2">
      <c r="A2756" s="7">
        <v>2755</v>
      </c>
      <c r="B2756" s="7">
        <v>1</v>
      </c>
      <c r="C2756" s="7" t="s">
        <v>10</v>
      </c>
      <c r="D2756" s="7">
        <v>791</v>
      </c>
      <c r="E2756" s="7" t="s">
        <v>48</v>
      </c>
      <c r="F2756" s="8" t="str">
        <f ca="1">IFERROR(__xludf.DUMMYFUNCTION("IF
(
C2757=""фізична особа""
,
VLOOKUP(D2757,IMPORTRANGE(""https://docs.google.com/spreadsheets/d/14Bd19lYaqBhU8_DElYkX7l4wRkHqqCUFNJY4AfY3kHU/edit?usp=sharing  #gid=0"",""фіз особи new!relations_name""),6,FALSE)
,
(IF
(
C2757=""юридична особа""
,
VLOOKUP"&amp;"(D2757,IMPORTRANGE(""https://docs.google.com/spreadsheets/d/14Bd19lYaqBhU8_DElYkX7l4wRkHqqCUFNJY4AfY3kHU/edit?usp=sharing  #gid=0"",""фіз особи new!relations_name_uo""),7,FALSE)
,
)
))"),"АРТАМОНОВА Валентина Миколаївна")</f>
        <v>АРТАМОНОВА Валентина Миколаївна</v>
      </c>
      <c r="G2756" s="7" t="s">
        <v>10</v>
      </c>
      <c r="H2756" s="7">
        <v>4789</v>
      </c>
      <c r="I2756" s="8" t="str">
        <f ca="1">IFERROR(__xludf.DUMMYFUNCTION("IF
(
G2757=""фізична особа""
,
VLOOKUP(H2757,IMPORTRANGE(""https://docs.google.com/spreadsheets/d/14Bd19lYaqBhU8_DElYkX7l4wRkHqqCUFNJY4AfY3kHU/edit?usp=sharing  #gid=0"",""фіз особи new!relations_name""),6,FALSE)
,
(IF
(
G2757=""юридична особа""
,
VLOOKUP"&amp;"(H2757,IMPORTRANGE(""https://docs.google.com/spreadsheets/d/14Bd19lYaqBhU8_DElYkX7l4wRkHqqCUFNJY4AfY3kHU/edit?usp=sharing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756" s="7" t="s">
        <v>48</v>
      </c>
    </row>
    <row r="2757" spans="1:10" ht="13.2">
      <c r="A2757" s="7">
        <v>2756</v>
      </c>
      <c r="B2757" s="7">
        <v>1</v>
      </c>
      <c r="C2757" s="7" t="s">
        <v>10</v>
      </c>
      <c r="D2757" s="7">
        <v>791</v>
      </c>
      <c r="E2757" s="7" t="s">
        <v>48</v>
      </c>
      <c r="F2757" s="8" t="str">
        <f ca="1">IFERROR(__xludf.DUMMYFUNCTION("IF
(
C2758=""фізична особа""
,
VLOOKUP(D2758,IMPORTRANGE(""https://docs.google.com/spreadsheets/d/14Bd19lYaqBhU8_DElYkX7l4wRkHqqCUFNJY4AfY3kHU/edit?usp=sharing  #gid=0"",""фіз особи new!relations_name""),6,FALSE)
,
(IF
(
C2758=""юридична особа""
,
VLOOKUP"&amp;"(D2758,IMPORTRANGE(""https://docs.google.com/spreadsheets/d/14Bd19lYaqBhU8_DElYkX7l4wRkHqqCUFNJY4AfY3kHU/edit?usp=sharing  #gid=0"",""фіз особи new!relations_name_uo""),7,FALSE)
,
)
))"),"АРТАМОНОВА Валентина Миколаївна")</f>
        <v>АРТАМОНОВА Валентина Миколаївна</v>
      </c>
      <c r="G2757" s="7" t="s">
        <v>10</v>
      </c>
      <c r="H2757" s="7">
        <v>4870</v>
      </c>
      <c r="I2757" s="8" t="str">
        <f ca="1">IFERROR(__xludf.DUMMYFUNCTION("IF
(
G2758=""фізична особа""
,
VLOOKUP(H2758,IMPORTRANGE(""https://docs.google.com/spreadsheets/d/14Bd19lYaqBhU8_DElYkX7l4wRkHqqCUFNJY4AfY3kHU/edit?usp=sharing  #gid=0"",""фіз особи new!relations_name""),6,FALSE)
,
(IF
(
G2758=""юридична особа""
,
VLOOKUP"&amp;"(H2758,IMPORTRANGE(""https://docs.google.com/spreadsheets/d/14Bd19lYaqBhU8_DElYkX7l4wRkHqqCUFNJY4AfY3kHU/edit?usp=sharing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757" s="7" t="s">
        <v>48</v>
      </c>
    </row>
    <row r="2758" spans="1:10" ht="13.2">
      <c r="A2758" s="7">
        <v>2757</v>
      </c>
      <c r="B2758" s="7">
        <v>1</v>
      </c>
      <c r="C2758" s="7" t="s">
        <v>10</v>
      </c>
      <c r="D2758" s="7">
        <v>792</v>
      </c>
      <c r="E2758" s="7" t="s">
        <v>15</v>
      </c>
      <c r="F2758" s="8" t="str">
        <f ca="1">IFERROR(__xludf.DUMMYFUNCTION("IF
(
C2759=""фізична особа""
,
VLOOKUP(D2759,IMPORTRANGE(""https://docs.google.com/spreadsheets/d/14Bd19lYaqBhU8_DElYkX7l4wRkHqqCUFNJY4AfY3kHU/edit?usp=sharing  #gid=0"",""фіз особи new!relations_name""),6,FALSE)
,
(IF
(
C2759=""юридична особа""
,
VLOOKUP"&amp;"(D2759,IMPORTRANGE(""https://docs.google.com/spreadsheets/d/14Bd19lYaqBhU8_DElYkX7l4wRkHqqCUFNJY4AfY3kHU/edit?usp=sharing  #gid=0"",""фіз особи new!relations_name_uo""),7,FALSE)
,
)
))"),"ПІВНЕНКО Валентина Миколаївна")</f>
        <v>ПІВНЕНКО Валентина Миколаївна</v>
      </c>
      <c r="G2758" s="7" t="s">
        <v>10</v>
      </c>
      <c r="H2758" s="7">
        <v>0</v>
      </c>
      <c r="I2758" s="8" t="str">
        <f ca="1">IFERROR(__xludf.DUMMYFUNCTION("IF
(
G2759=""фізична особа""
,
VLOOKUP(H2759,IMPORTRANGE(""https://docs.google.com/spreadsheets/d/14Bd19lYaqBhU8_DElYkX7l4wRkHqqCUFNJY4AfY3kHU/edit?usp=sharing  #gid=0"",""фіз особи new!relations_name""),6,FALSE)
,
(IF
(
G2759=""юридична особа""
,
VLOOKUP"&amp;"(H2759,IMPORTRANGE(""https://docs.google.com/spreadsheets/d/14Bd19lYaqBhU8_DElYkX7l4wRkHqqCUFNJY4AfY3kHU/edit?usp=sharing  #gid=0"",""фіз особи new!relations_name_uo""),7,FALSE)
,
)
))"),"#N/A")</f>
        <v>#N/A</v>
      </c>
      <c r="J2758" s="7" t="s">
        <v>14</v>
      </c>
    </row>
    <row r="2759" spans="1:10" ht="13.2">
      <c r="A2759" s="7">
        <v>2758</v>
      </c>
      <c r="B2759" s="7">
        <v>1</v>
      </c>
      <c r="C2759" s="7" t="s">
        <v>10</v>
      </c>
      <c r="D2759" s="7">
        <v>792</v>
      </c>
      <c r="E2759" s="7" t="s">
        <v>21</v>
      </c>
      <c r="F2759" s="8" t="str">
        <f ca="1">IFERROR(__xludf.DUMMYFUNCTION("IF
(
C2760=""фізична особа""
,
VLOOKUP(D2760,IMPORTRANGE(""https://docs.google.com/spreadsheets/d/14Bd19lYaqBhU8_DElYkX7l4wRkHqqCUFNJY4AfY3kHU/edit?usp=sharing  #gid=0"",""фіз особи new!relations_name""),6,FALSE)
,
(IF
(
C2760=""юридична особа""
,
VLOOKUP"&amp;"(D2760,IMPORTRANGE(""https://docs.google.com/spreadsheets/d/14Bd19lYaqBhU8_DElYkX7l4wRkHqqCUFNJY4AfY3kHU/edit?usp=sharing  #gid=0"",""фіз особи new!relations_name_uo""),7,FALSE)
,
)
))"),"ПІВНЕНКО Валентина Миколаївна")</f>
        <v>ПІВНЕНКО Валентина Миколаївна</v>
      </c>
      <c r="G2759" s="7" t="s">
        <v>10</v>
      </c>
      <c r="H2759" s="7">
        <v>0</v>
      </c>
      <c r="I2759" s="8" t="str">
        <f ca="1">IFERROR(__xludf.DUMMYFUNCTION("IF
(
G2760=""фізична особа""
,
VLOOKUP(H2760,IMPORTRANGE(""https://docs.google.com/spreadsheets/d/14Bd19lYaqBhU8_DElYkX7l4wRkHqqCUFNJY4AfY3kHU/edit?usp=sharing  #gid=0"",""фіз особи new!relations_name""),6,FALSE)
,
(IF
(
G2760=""юридична особа""
,
VLOOKUP"&amp;"(H2760,IMPORTRANGE(""https://docs.google.com/spreadsheets/d/14Bd19lYaqBhU8_DElYkX7l4wRkHqqCUFNJY4AfY3kHU/edit?usp=sharing  #gid=0"",""фіз особи new!relations_name_uo""),7,FALSE)
,
)
))"),"#N/A")</f>
        <v>#N/A</v>
      </c>
      <c r="J2759" s="7" t="s">
        <v>17</v>
      </c>
    </row>
    <row r="2760" spans="1:10" ht="13.2">
      <c r="A2760" s="7">
        <v>2759</v>
      </c>
      <c r="B2760" s="7">
        <v>1</v>
      </c>
      <c r="C2760" s="7" t="s">
        <v>10</v>
      </c>
      <c r="D2760" s="7">
        <v>792</v>
      </c>
      <c r="E2760" s="7" t="s">
        <v>21</v>
      </c>
      <c r="F2760" s="8" t="str">
        <f ca="1">IFERROR(__xludf.DUMMYFUNCTION("IF
(
C2761=""фізична особа""
,
VLOOKUP(D2761,IMPORTRANGE(""https://docs.google.com/spreadsheets/d/14Bd19lYaqBhU8_DElYkX7l4wRkHqqCUFNJY4AfY3kHU/edit?usp=sharing  #gid=0"",""фіз особи new!relations_name""),6,FALSE)
,
(IF
(
C2761=""юридична особа""
,
VLOOKUP"&amp;"(D2761,IMPORTRANGE(""https://docs.google.com/spreadsheets/d/14Bd19lYaqBhU8_DElYkX7l4wRkHqqCUFNJY4AfY3kHU/edit?usp=sharing  #gid=0"",""фіз особи new!relations_name_uo""),7,FALSE)
,
)
))"),"ПІВНЕНКО Валентина Миколаївна")</f>
        <v>ПІВНЕНКО Валентина Миколаївна</v>
      </c>
      <c r="G2760" s="7" t="s">
        <v>10</v>
      </c>
      <c r="H2760" s="7">
        <v>0</v>
      </c>
      <c r="I2760" s="8" t="str">
        <f ca="1">IFERROR(__xludf.DUMMYFUNCTION("IF
(
G2761=""фізична особа""
,
VLOOKUP(H2761,IMPORTRANGE(""https://docs.google.com/spreadsheets/d/14Bd19lYaqBhU8_DElYkX7l4wRkHqqCUFNJY4AfY3kHU/edit?usp=sharing  #gid=0"",""фіз особи new!relations_name""),6,FALSE)
,
(IF
(
G2761=""юридична особа""
,
VLOOKUP"&amp;"(H2761,IMPORTRANGE(""https://docs.google.com/spreadsheets/d/14Bd19lYaqBhU8_DElYkX7l4wRkHqqCUFNJY4AfY3kHU/edit?usp=sharing  #gid=0"",""фіз особи new!relations_name_uo""),7,FALSE)
,
)
))"),"#N/A")</f>
        <v>#N/A</v>
      </c>
      <c r="J2760" s="7" t="s">
        <v>13</v>
      </c>
    </row>
    <row r="2761" spans="1:10" ht="13.2">
      <c r="A2761" s="7">
        <v>2760</v>
      </c>
      <c r="B2761" s="7">
        <v>1</v>
      </c>
      <c r="C2761" s="7" t="s">
        <v>10</v>
      </c>
      <c r="D2761" s="7">
        <v>792</v>
      </c>
      <c r="E2761" s="7" t="s">
        <v>79</v>
      </c>
      <c r="F2761" s="8" t="str">
        <f ca="1">IFERROR(__xludf.DUMMYFUNCTION("IF
(
C2762=""фізична особа""
,
VLOOKUP(D2762,IMPORTRANGE(""https://docs.google.com/spreadsheets/d/14Bd19lYaqBhU8_DElYkX7l4wRkHqqCUFNJY4AfY3kHU/edit?usp=sharing  #gid=0"",""фіз особи new!relations_name""),6,FALSE)
,
(IF
(
C2762=""юридична особа""
,
VLOOKUP"&amp;"(D2762,IMPORTRANGE(""https://docs.google.com/spreadsheets/d/14Bd19lYaqBhU8_DElYkX7l4wRkHqqCUFNJY4AfY3kHU/edit?usp=sharing  #gid=0"",""фіз особи new!relations_name_uo""),7,FALSE)
,
)
))"),"ПІВНЕНКО Валентина Миколаївна")</f>
        <v>ПІВНЕНКО Валентина Миколаївна</v>
      </c>
      <c r="G2761" s="7" t="s">
        <v>10</v>
      </c>
      <c r="H2761" s="7">
        <v>0</v>
      </c>
      <c r="I2761" s="8" t="str">
        <f ca="1">IFERROR(__xludf.DUMMYFUNCTION("IF
(
G2762=""фізична особа""
,
VLOOKUP(H2762,IMPORTRANGE(""https://docs.google.com/spreadsheets/d/14Bd19lYaqBhU8_DElYkX7l4wRkHqqCUFNJY4AfY3kHU/edit?usp=sharing  #gid=0"",""фіз особи new!relations_name""),6,FALSE)
,
(IF
(
G2762=""юридична особа""
,
VLOOKUP"&amp;"(H2762,IMPORTRANGE(""https://docs.google.com/spreadsheets/d/14Bd19lYaqBhU8_DElYkX7l4wRkHqqCUFNJY4AfY3kHU/edit?usp=sharing  #gid=0"",""фіз особи new!relations_name_uo""),7,FALSE)
,
)
))"),"#N/A")</f>
        <v>#N/A</v>
      </c>
      <c r="J2761" s="7" t="s">
        <v>60</v>
      </c>
    </row>
    <row r="2762" spans="1:10" ht="13.2">
      <c r="A2762" s="7">
        <v>2761</v>
      </c>
      <c r="B2762" s="7">
        <v>1</v>
      </c>
      <c r="C2762" s="7" t="s">
        <v>10</v>
      </c>
      <c r="D2762" s="7">
        <v>793</v>
      </c>
      <c r="E2762" s="7" t="s">
        <v>14</v>
      </c>
      <c r="F2762" s="8" t="str">
        <f ca="1">IFERROR(__xludf.DUMMYFUNCTION("IF
(
C2763=""фізична особа""
,
VLOOKUP(D2763,IMPORTRANGE(""https://docs.google.com/spreadsheets/d/14Bd19lYaqBhU8_DElYkX7l4wRkHqqCUFNJY4AfY3kHU/edit?usp=sharing  #gid=0"",""фіз особи new!relations_name""),6,FALSE)
,
(IF
(
C2763=""юридична особа""
,
VLOOKUP"&amp;"(D2763,IMPORTRANGE(""https://docs.google.com/spreadsheets/d/14Bd19lYaqBhU8_DElYkX7l4wRkHqqCUFNJY4AfY3kHU/edit?usp=sharing  #gid=0"",""фіз особи new!relations_name_uo""),7,FALSE)
,
)
))"),"ЛУК'ЯНЕНКО Валерій Васильович")</f>
        <v>ЛУК'ЯНЕНКО Валерій Васильович</v>
      </c>
      <c r="G2762" s="7" t="s">
        <v>10</v>
      </c>
      <c r="H2762" s="7">
        <v>0</v>
      </c>
      <c r="I2762" s="8" t="str">
        <f ca="1">IFERROR(__xludf.DUMMYFUNCTION("IF
(
G2763=""фізична особа""
,
VLOOKUP(H2763,IMPORTRANGE(""https://docs.google.com/spreadsheets/d/14Bd19lYaqBhU8_DElYkX7l4wRkHqqCUFNJY4AfY3kHU/edit?usp=sharing  #gid=0"",""фіз особи new!relations_name""),6,FALSE)
,
(IF
(
G2763=""юридична особа""
,
VLOOKUP"&amp;"(H2763,IMPORTRANGE(""https://docs.google.com/spreadsheets/d/14Bd19lYaqBhU8_DElYkX7l4wRkHqqCUFNJY4AfY3kHU/edit?usp=sharing  #gid=0"",""фіз особи new!relations_name_uo""),7,FALSE)
,
)
))"),"#N/A")</f>
        <v>#N/A</v>
      </c>
      <c r="J2762" s="7" t="s">
        <v>15</v>
      </c>
    </row>
    <row r="2763" spans="1:10" ht="13.2">
      <c r="A2763" s="7">
        <v>2762</v>
      </c>
      <c r="B2763" s="7">
        <v>1</v>
      </c>
      <c r="C2763" s="7" t="s">
        <v>10</v>
      </c>
      <c r="D2763" s="7">
        <v>794</v>
      </c>
      <c r="E2763" s="7" t="s">
        <v>28</v>
      </c>
      <c r="F2763" s="8" t="str">
        <f ca="1">IFERROR(__xludf.DUMMYFUNCTION("IF
(
C2764=""фізична особа""
,
VLOOKUP(D2764,IMPORTRANGE(""https://docs.google.com/spreadsheets/d/14Bd19lYaqBhU8_DElYkX7l4wRkHqqCUFNJY4AfY3kHU/edit?usp=sharing  #gid=0"",""фіз особи new!relations_name""),6,FALSE)
,
(IF
(
C2764=""юридична особа""
,
VLOOKUP"&amp;"(D2764,IMPORTRANGE(""https://docs.google.com/spreadsheets/d/14Bd19lYaqBhU8_DElYkX7l4wRkHqqCUFNJY4AfY3kHU/edit?usp=sharing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3" s="7" t="s">
        <v>10</v>
      </c>
      <c r="H2763" s="7">
        <v>320</v>
      </c>
      <c r="I2763" s="8" t="str">
        <f ca="1">IFERROR(__xludf.DUMMYFUNCTION("IF
(
G2764=""фізична особа""
,
VLOOKUP(H2764,IMPORTRANGE(""https://docs.google.com/spreadsheets/d/14Bd19lYaqBhU8_DElYkX7l4wRkHqqCUFNJY4AfY3kHU/edit?usp=sharing  #gid=0"",""фіз особи new!relations_name""),6,FALSE)
,
(IF
(
G2764=""юридична особа""
,
VLOOKUP"&amp;"(H2764,IMPORTRANGE(""https://docs.google.com/spreadsheets/d/14Bd19lYaqBhU8_DElYkX7l4wRkHqqCUFNJY4AfY3kHU/edit?usp=sharing  #gid=0"",""фіз особи new!relations_name_uo""),7,FALSE)
,
)
))"),"ІЛЬЯШЕНКО Андрій Віталійович")</f>
        <v>ІЛЬЯШЕНКО Андрій Віталійович</v>
      </c>
      <c r="J2763" s="7" t="s">
        <v>29</v>
      </c>
    </row>
    <row r="2764" spans="1:10" ht="13.2">
      <c r="A2764" s="7">
        <v>2763</v>
      </c>
      <c r="B2764" s="7">
        <v>1</v>
      </c>
      <c r="C2764" s="7" t="s">
        <v>10</v>
      </c>
      <c r="D2764" s="7">
        <v>794</v>
      </c>
      <c r="E2764" s="7" t="s">
        <v>28</v>
      </c>
      <c r="F2764" s="8" t="str">
        <f ca="1">IFERROR(__xludf.DUMMYFUNCTION("IF
(
C2765=""фізична особа""
,
VLOOKUP(D2765,IMPORTRANGE(""https://docs.google.com/spreadsheets/d/14Bd19lYaqBhU8_DElYkX7l4wRkHqqCUFNJY4AfY3kHU/edit?usp=sharing  #gid=0"",""фіз особи new!relations_name""),6,FALSE)
,
(IF
(
C2765=""юридична особа""
,
VLOOKUP"&amp;"(D2765,IMPORTRANGE(""https://docs.google.com/spreadsheets/d/14Bd19lYaqBhU8_DElYkX7l4wRkHqqCUFNJY4AfY3kHU/edit?usp=sharing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4" s="7" t="s">
        <v>10</v>
      </c>
      <c r="H2764" s="7">
        <v>367</v>
      </c>
      <c r="I2764" s="8" t="str">
        <f ca="1">IFERROR(__xludf.DUMMYFUNCTION("IF
(
G2765=""фізична особа""
,
VLOOKUP(H2765,IMPORTRANGE(""https://docs.google.com/spreadsheets/d/14Bd19lYaqBhU8_DElYkX7l4wRkHqqCUFNJY4AfY3kHU/edit?usp=sharing  #gid=0"",""фіз особи new!relations_name""),6,FALSE)
,
(IF
(
G2765=""юридична особа""
,
VLOOKUP"&amp;"(H2765,IMPORTRANGE(""https://docs.google.com/spreadsheets/d/14Bd19lYaqBhU8_DElYkX7l4wRkHqqCUFNJY4AfY3kHU/edit?usp=sharing  #gid=0"",""фіз особи new!relations_name_uo""),7,FALSE)
,
)
))"),"КІРІЛОВА Анастасія Сергіївна")</f>
        <v>КІРІЛОВА Анастасія Сергіївна</v>
      </c>
      <c r="J2764" s="7" t="s">
        <v>29</v>
      </c>
    </row>
    <row r="2765" spans="1:10" ht="13.2">
      <c r="A2765" s="7">
        <v>2764</v>
      </c>
      <c r="B2765" s="7">
        <v>1</v>
      </c>
      <c r="C2765" s="7" t="s">
        <v>10</v>
      </c>
      <c r="D2765" s="7">
        <v>794</v>
      </c>
      <c r="E2765" s="7" t="s">
        <v>28</v>
      </c>
      <c r="F2765" s="8" t="str">
        <f ca="1">IFERROR(__xludf.DUMMYFUNCTION("IF
(
C2766=""фізична особа""
,
VLOOKUP(D2766,IMPORTRANGE(""https://docs.google.com/spreadsheets/d/14Bd19lYaqBhU8_DElYkX7l4wRkHqqCUFNJY4AfY3kHU/edit?usp=sharing  #gid=0"",""фіз особи new!relations_name""),6,FALSE)
,
(IF
(
C2766=""юридична особа""
,
VLOOKUP"&amp;"(D2766,IMPORTRANGE(""https://docs.google.com/spreadsheets/d/14Bd19lYaqBhU8_DElYkX7l4wRkHqqCUFNJY4AfY3kHU/edit?usp=sharing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5" s="7" t="s">
        <v>10</v>
      </c>
      <c r="H2765" s="7">
        <v>386</v>
      </c>
      <c r="I2765" s="8" t="str">
        <f ca="1">IFERROR(__xludf.DUMMYFUNCTION("IF
(
G2766=""фізична особа""
,
VLOOKUP(H2766,IMPORTRANGE(""https://docs.google.com/spreadsheets/d/14Bd19lYaqBhU8_DElYkX7l4wRkHqqCUFNJY4AfY3kHU/edit?usp=sharing  #gid=0"",""фіз особи new!relations_name""),6,FALSE)
,
(IF
(
G2766=""юридична особа""
,
VLOOKUP"&amp;"(H2766,IMPORTRANGE(""https://docs.google.com/spreadsheets/d/14Bd19lYaqBhU8_DElYkX7l4wRkHqqCUFNJY4AfY3kHU/edit?usp=sharing  #gid=0"",""фіз особи new!relations_name_uo""),7,FALSE)
,
)
))"),"КРАСОВСЬКИЙ Максим Борисович")</f>
        <v>КРАСОВСЬКИЙ Максим Борисович</v>
      </c>
      <c r="J2765" s="7" t="s">
        <v>29</v>
      </c>
    </row>
    <row r="2766" spans="1:10" ht="13.2">
      <c r="A2766" s="7">
        <v>2765</v>
      </c>
      <c r="B2766" s="7">
        <v>1</v>
      </c>
      <c r="C2766" s="7" t="s">
        <v>10</v>
      </c>
      <c r="D2766" s="7">
        <v>794</v>
      </c>
      <c r="E2766" s="7" t="s">
        <v>28</v>
      </c>
      <c r="F2766" s="8" t="str">
        <f ca="1">IFERROR(__xludf.DUMMYFUNCTION("IF
(
C2767=""фізична особа""
,
VLOOKUP(D2767,IMPORTRANGE(""https://docs.google.com/spreadsheets/d/14Bd19lYaqBhU8_DElYkX7l4wRkHqqCUFNJY4AfY3kHU/edit?usp=sharing  #gid=0"",""фіз особи new!relations_name""),6,FALSE)
,
(IF
(
C2767=""юридична особа""
,
VLOOKUP"&amp;"(D2767,IMPORTRANGE(""https://docs.google.com/spreadsheets/d/14Bd19lYaqBhU8_DElYkX7l4wRkHqqCUFNJY4AfY3kHU/edit?usp=sharing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6" s="7" t="s">
        <v>10</v>
      </c>
      <c r="H2766" s="7">
        <v>531</v>
      </c>
      <c r="I2766" s="8" t="str">
        <f ca="1">IFERROR(__xludf.DUMMYFUNCTION("IF
(
G2767=""фізична особа""
,
VLOOKUP(H2767,IMPORTRANGE(""https://docs.google.com/spreadsheets/d/14Bd19lYaqBhU8_DElYkX7l4wRkHqqCUFNJY4AfY3kHU/edit?usp=sharing  #gid=0"",""фіз особи new!relations_name""),6,FALSE)
,
(IF
(
G2767=""юридична особа""
,
VLOOKUP"&amp;"(H2767,IMPORTRANGE(""https://docs.google.com/spreadsheets/d/14Bd19lYaqBhU8_DElYkX7l4wRkHqqCUFNJY4AfY3kHU/edit?usp=sharing  #gid=0"",""фіз особи new!relations_name_uo""),7,FALSE)
,
)
))"),"ДОРОХОВА Ніна Вікторівна")</f>
        <v>ДОРОХОВА Ніна Вікторівна</v>
      </c>
      <c r="J2766" s="7" t="s">
        <v>29</v>
      </c>
    </row>
    <row r="2767" spans="1:10" ht="13.2">
      <c r="A2767" s="7">
        <v>2766</v>
      </c>
      <c r="B2767" s="7">
        <v>1</v>
      </c>
      <c r="C2767" s="7" t="s">
        <v>10</v>
      </c>
      <c r="D2767" s="7">
        <v>794</v>
      </c>
      <c r="E2767" s="7" t="s">
        <v>35</v>
      </c>
      <c r="F2767" s="8" t="str">
        <f ca="1">IFERROR(__xludf.DUMMYFUNCTION("IF
(
C2768=""фізична особа""
,
VLOOKUP(D2768,IMPORTRANGE(""https://docs.google.com/spreadsheets/d/14Bd19lYaqBhU8_DElYkX7l4wRkHqqCUFNJY4AfY3kHU/edit?usp=sharing  #gid=0"",""фіз особи new!relations_name""),6,FALSE)
,
(IF
(
C2768=""юридична особа""
,
VLOOKUP"&amp;"(D2768,IMPORTRANGE(""https://docs.google.com/spreadsheets/d/14Bd19lYaqBhU8_DElYkX7l4wRkHqqCUFNJY4AfY3kHU/edit?usp=sharing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7" s="7" t="s">
        <v>10</v>
      </c>
      <c r="H2767" s="7">
        <v>489</v>
      </c>
      <c r="I2767" s="8" t="str">
        <f ca="1">IFERROR(__xludf.DUMMYFUNCTION("IF
(
G2768=""фізична особа""
,
VLOOKUP(H2768,IMPORTRANGE(""https://docs.google.com/spreadsheets/d/14Bd19lYaqBhU8_DElYkX7l4wRkHqqCUFNJY4AfY3kHU/edit?usp=sharing  #gid=0"",""фіз особи new!relations_name""),6,FALSE)
,
(IF
(
G2768=""юридична особа""
,
VLOOKUP"&amp;"(H2768,IMPORTRANGE(""https://docs.google.com/spreadsheets/d/14Bd19lYaqBhU8_DElYkX7l4wRkHqqCUFNJY4AfY3kHU/edit?usp=sharing  #gid=0"",""фіз особи new!relations_name_uo""),7,FALSE)
,
)
))"),"НЕЖДАНОВА Євгенія Віталіївна")</f>
        <v>НЕЖДАНОВА Євгенія Віталіївна</v>
      </c>
      <c r="J2767" s="7" t="s">
        <v>35</v>
      </c>
    </row>
    <row r="2768" spans="1:10" ht="13.2">
      <c r="A2768" s="7">
        <v>2767</v>
      </c>
      <c r="B2768" s="7">
        <v>1</v>
      </c>
      <c r="C2768" s="7" t="s">
        <v>10</v>
      </c>
      <c r="D2768" s="7">
        <v>794</v>
      </c>
      <c r="E2768" s="7" t="s">
        <v>35</v>
      </c>
      <c r="F2768" s="8" t="str">
        <f ca="1">IFERROR(__xludf.DUMMYFUNCTION("IF
(
C2769=""фізична особа""
,
VLOOKUP(D2769,IMPORTRANGE(""https://docs.google.com/spreadsheets/d/14Bd19lYaqBhU8_DElYkX7l4wRkHqqCUFNJY4AfY3kHU/edit?usp=sharing  #gid=0"",""фіз особи new!relations_name""),6,FALSE)
,
(IF
(
C2769=""юридична особа""
,
VLOOKUP"&amp;"(D2769,IMPORTRANGE(""https://docs.google.com/spreadsheets/d/14Bd19lYaqBhU8_DElYkX7l4wRkHqqCUFNJY4AfY3kHU/edit?usp=sharing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8" s="7" t="s">
        <v>10</v>
      </c>
      <c r="H2768" s="7">
        <v>355</v>
      </c>
      <c r="I2768" s="8" t="str">
        <f ca="1">IFERROR(__xludf.DUMMYFUNCTION("IF
(
G2769=""фізична особа""
,
VLOOKUP(H2769,IMPORTRANGE(""https://docs.google.com/spreadsheets/d/14Bd19lYaqBhU8_DElYkX7l4wRkHqqCUFNJY4AfY3kHU/edit?usp=sharing  #gid=0"",""фіз особи new!relations_name""),6,FALSE)
,
(IF
(
G2769=""юридична особа""
,
VLOOKUP"&amp;"(H2769,IMPORTRANGE(""https://docs.google.com/spreadsheets/d/14Bd19lYaqBhU8_DElYkX7l4wRkHqqCUFNJY4AfY3kHU/edit?usp=sharing  #gid=0"",""фіз особи new!relations_name_uo""),7,FALSE)
,
)
))"),"КАМИШАНОВА Олександра Олександрівна")</f>
        <v>КАМИШАНОВА Олександра Олександрівна</v>
      </c>
      <c r="J2768" s="7" t="s">
        <v>35</v>
      </c>
    </row>
    <row r="2769" spans="1:10" ht="13.2">
      <c r="A2769" s="7">
        <v>2768</v>
      </c>
      <c r="B2769" s="7">
        <v>1</v>
      </c>
      <c r="C2769" s="7" t="s">
        <v>10</v>
      </c>
      <c r="D2769" s="7">
        <v>794</v>
      </c>
      <c r="E2769" s="7" t="s">
        <v>35</v>
      </c>
      <c r="F2769" s="8" t="str">
        <f ca="1">IFERROR(__xludf.DUMMYFUNCTION("IF
(
C2770=""фізична особа""
,
VLOOKUP(D2770,IMPORTRANGE(""https://docs.google.com/spreadsheets/d/14Bd19lYaqBhU8_DElYkX7l4wRkHqqCUFNJY4AfY3kHU/edit?usp=sharing  #gid=0"",""фіз особи new!relations_name""),6,FALSE)
,
(IF
(
C2770=""юридична особа""
,
VLOOKUP"&amp;"(D2770,IMPORTRANGE(""https://docs.google.com/spreadsheets/d/14Bd19lYaqBhU8_DElYkX7l4wRkHqqCUFNJY4AfY3kHU/edit?usp=sharing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69" s="7" t="s">
        <v>10</v>
      </c>
      <c r="H2769" s="7">
        <v>385</v>
      </c>
      <c r="I2769" s="8" t="str">
        <f ca="1">IFERROR(__xludf.DUMMYFUNCTION("IF
(
G2770=""фізична особа""
,
VLOOKUP(H2770,IMPORTRANGE(""https://docs.google.com/spreadsheets/d/14Bd19lYaqBhU8_DElYkX7l4wRkHqqCUFNJY4AfY3kHU/edit?usp=sharing  #gid=0"",""фіз особи new!relations_name""),6,FALSE)
,
(IF
(
G2770=""юридична особа""
,
VLOOKUP"&amp;"(H2770,IMPORTRANGE(""https://docs.google.com/spreadsheets/d/14Bd19lYaqBhU8_DElYkX7l4wRkHqqCUFNJY4AfY3kHU/edit?usp=sharing  #gid=0"",""фіз особи new!relations_name_uo""),7,FALSE)
,
)
))"),"КРАНС Максим Йосипович")</f>
        <v>КРАНС Максим Йосипович</v>
      </c>
      <c r="J2769" s="7" t="s">
        <v>35</v>
      </c>
    </row>
    <row r="2770" spans="1:10" ht="13.2">
      <c r="A2770" s="7">
        <v>2769</v>
      </c>
      <c r="B2770" s="7">
        <v>1</v>
      </c>
      <c r="C2770" s="7" t="s">
        <v>10</v>
      </c>
      <c r="D2770" s="7">
        <v>794</v>
      </c>
      <c r="E2770" s="7" t="s">
        <v>35</v>
      </c>
      <c r="F2770" s="8" t="str">
        <f ca="1">IFERROR(__xludf.DUMMYFUNCTION("IF
(
C2771=""фізична особа""
,
VLOOKUP(D2771,IMPORTRANGE(""https://docs.google.com/spreadsheets/d/14Bd19lYaqBhU8_DElYkX7l4wRkHqqCUFNJY4AfY3kHU/edit?usp=sharing  #gid=0"",""фіз особи new!relations_name""),6,FALSE)
,
(IF
(
C2771=""юридична особа""
,
VLOOKUP"&amp;"(D2771,IMPORTRANGE(""https://docs.google.com/spreadsheets/d/14Bd19lYaqBhU8_DElYkX7l4wRkHqqCUFNJY4AfY3kHU/edit?usp=sharing  #gid=0"",""фіз особи new!relations_name_uo""),7,FALSE)
,
)
))"),"ПОГРЕБЕНКОВ Валерій Іванович")</f>
        <v>ПОГРЕБЕНКОВ Валерій Іванович</v>
      </c>
      <c r="G2770" s="7" t="s">
        <v>10</v>
      </c>
      <c r="H2770" s="7">
        <v>754</v>
      </c>
      <c r="I2770" s="8" t="str">
        <f ca="1">IFERROR(__xludf.DUMMYFUNCTION("IF
(
G2771=""фізична особа""
,
VLOOKUP(H2771,IMPORTRANGE(""https://docs.google.com/spreadsheets/d/14Bd19lYaqBhU8_DElYkX7l4wRkHqqCUFNJY4AfY3kHU/edit?usp=sharing  #gid=0"",""фіз особи new!relations_name""),6,FALSE)
,
(IF
(
G2771=""юридична особа""
,
VLOOKUP"&amp;"(H2771,IMPORTRANGE(""https://docs.google.com/spreadsheets/d/14Bd19lYaqBhU8_DElYkX7l4wRkHqqCUFNJY4AfY3kHU/edit?usp=sharing  #gid=0"",""фіз особи new!relations_name_uo""),7,FALSE)
,
)
))"),"ТАТАРЧЕНКО Денис Сергійович")</f>
        <v>ТАТАРЧЕНКО Денис Сергійович</v>
      </c>
      <c r="J2770" s="7" t="s">
        <v>35</v>
      </c>
    </row>
    <row r="2771" spans="1:10" ht="13.2">
      <c r="A2771" s="7">
        <v>2770</v>
      </c>
      <c r="B2771" s="7">
        <v>1</v>
      </c>
      <c r="C2771" s="7" t="s">
        <v>10</v>
      </c>
      <c r="D2771" s="7">
        <v>795</v>
      </c>
      <c r="E2771" s="7" t="s">
        <v>29</v>
      </c>
      <c r="F2771" s="8" t="str">
        <f ca="1">IFERROR(__xludf.DUMMYFUNCTION("IF
(
C2772=""фізична особа""
,
VLOOKUP(D2772,IMPORTRANGE(""https://docs.google.com/spreadsheets/d/14Bd19lYaqBhU8_DElYkX7l4wRkHqqCUFNJY4AfY3kHU/edit?usp=sharing  #gid=0"",""фіз особи new!relations_name""),6,FALSE)
,
(IF
(
C2772=""юридична особа""
,
VLOOKUP"&amp;"(D2772,IMPORTRANGE(""https://docs.google.com/spreadsheets/d/14Bd19lYaqBhU8_DElYkX7l4wRkHqqCUFNJY4AfY3kHU/edit?usp=sharing  #gid=0"",""фіз особи new!relations_name_uo""),7,FALSE)
,
)
))"),"ГЕРАСІМОВ Валерій Васильович")</f>
        <v>ГЕРАСІМОВ Валерій Васильович</v>
      </c>
      <c r="G2771" s="7" t="s">
        <v>10</v>
      </c>
      <c r="H2771" s="7">
        <v>307</v>
      </c>
      <c r="I2771" s="8" t="str">
        <f ca="1">IFERROR(__xludf.DUMMYFUNCTION("IF
(
G2772=""фізична особа""
,
VLOOKUP(H2772,IMPORTRANGE(""https://docs.google.com/spreadsheets/d/14Bd19lYaqBhU8_DElYkX7l4wRkHqqCUFNJY4AfY3kHU/edit?usp=sharing  #gid=0"",""фіз особи new!relations_name""),6,FALSE)
,
(IF
(
G2772=""юридична особа""
,
VLOOKUP"&amp;"(H2772,IMPORTRANGE(""https://docs.google.com/spreadsheets/d/14Bd19lYaqBhU8_DElYkX7l4wRkHqqCUFNJY4AfY3kHU/edit?usp=sharing  #gid=0"",""фіз особи new!relations_name_uo""),7,FALSE)
,
)
))"),"КОСТЮКОВ Ігор Олегович")</f>
        <v>КОСТЮКОВ Ігор Олегович</v>
      </c>
      <c r="J2771" s="7" t="s">
        <v>28</v>
      </c>
    </row>
    <row r="2772" spans="1:10" ht="13.2">
      <c r="A2772" s="7">
        <v>2771</v>
      </c>
      <c r="B2772" s="7">
        <v>1</v>
      </c>
      <c r="C2772" s="7" t="s">
        <v>10</v>
      </c>
      <c r="D2772" s="7">
        <v>795</v>
      </c>
      <c r="E2772" s="7" t="s">
        <v>28</v>
      </c>
      <c r="F2772" s="8" t="str">
        <f ca="1">IFERROR(__xludf.DUMMYFUNCTION("IF
(
C2773=""фізична особа""
,
VLOOKUP(D2773,IMPORTRANGE(""https://docs.google.com/spreadsheets/d/14Bd19lYaqBhU8_DElYkX7l4wRkHqqCUFNJY4AfY3kHU/edit?usp=sharing  #gid=0"",""фіз особи new!relations_name""),6,FALSE)
,
(IF
(
C2773=""юридична особа""
,
VLOOKUP"&amp;"(D2773,IMPORTRANGE(""https://docs.google.com/spreadsheets/d/14Bd19lYaqBhU8_DElYkX7l4wRkHqqCUFNJY4AfY3kHU/edit?usp=sharing  #gid=0"",""фіз особи new!relations_name_uo""),7,FALSE)
,
)
))"),"ГЕРАСІМОВ Валерій Васильович")</f>
        <v>ГЕРАСІМОВ Валерій Васильович</v>
      </c>
      <c r="G2772" s="7" t="s">
        <v>10</v>
      </c>
      <c r="H2772" s="7">
        <v>670</v>
      </c>
      <c r="I2772" s="8" t="str">
        <f ca="1">IFERROR(__xludf.DUMMYFUNCTION("IF
(
G2773=""фізична особа""
,
VLOOKUP(H2773,IMPORTRANGE(""https://docs.google.com/spreadsheets/d/14Bd19lYaqBhU8_DElYkX7l4wRkHqqCUFNJY4AfY3kHU/edit?usp=sharing  #gid=0"",""фіз особи new!relations_name""),6,FALSE)
,
(IF
(
G2773=""юридична особа""
,
VLOOKUP"&amp;"(H2773,IMPORTRANGE(""https://docs.google.com/spreadsheets/d/14Bd19lYaqBhU8_DElYkX7l4wRkHqqCUFNJY4AfY3kHU/edit?usp=sharing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2772" s="7" t="s">
        <v>29</v>
      </c>
    </row>
    <row r="2773" spans="1:10" ht="13.2">
      <c r="A2773" s="7">
        <v>2772</v>
      </c>
      <c r="B2773" s="7">
        <v>1</v>
      </c>
      <c r="C2773" s="7" t="s">
        <v>10</v>
      </c>
      <c r="D2773" s="7">
        <v>795</v>
      </c>
      <c r="E2773" s="7" t="s">
        <v>12</v>
      </c>
      <c r="F2773" s="8" t="str">
        <f ca="1">IFERROR(__xludf.DUMMYFUNCTION("IF
(
C2774=""фізична особа""
,
VLOOKUP(D2774,IMPORTRANGE(""https://docs.google.com/spreadsheets/d/14Bd19lYaqBhU8_DElYkX7l4wRkHqqCUFNJY4AfY3kHU/edit?usp=sharing  #gid=0"",""фіз особи new!relations_name""),6,FALSE)
,
(IF
(
C2774=""юридична особа""
,
VLOOKUP"&amp;"(D2774,IMPORTRANGE(""https://docs.google.com/spreadsheets/d/14Bd19lYaqBhU8_DElYkX7l4wRkHqqCUFNJY4AfY3kHU/edit?usp=sharing  #gid=0"",""фіз особи new!relations_name_uo""),7,FALSE)
,
)
))"),"ГЕРАСІМОВ Валерій Васильович")</f>
        <v>ГЕРАСІМОВ Валерій Васильович</v>
      </c>
      <c r="G2773" s="7" t="s">
        <v>10</v>
      </c>
      <c r="H2773" s="7">
        <v>0</v>
      </c>
      <c r="I2773" s="8" t="str">
        <f ca="1">IFERROR(__xludf.DUMMYFUNCTION("IF
(
G2774=""фізична особа""
,
VLOOKUP(H2774,IMPORTRANGE(""https://docs.google.com/spreadsheets/d/14Bd19lYaqBhU8_DElYkX7l4wRkHqqCUFNJY4AfY3kHU/edit?usp=sharing  #gid=0"",""фіз особи new!relations_name""),6,FALSE)
,
(IF
(
G2774=""юридична особа""
,
VLOOKUP"&amp;"(H2774,IMPORTRANGE(""https://docs.google.com/spreadsheets/d/14Bd19lYaqBhU8_DElYkX7l4wRkHqqCUFNJY4AfY3kHU/edit?usp=sharing  #gid=0"",""фіз особи new!relations_name_uo""),7,FALSE)
,
)
))"),"#N/A")</f>
        <v>#N/A</v>
      </c>
      <c r="J2773" s="7" t="s">
        <v>17</v>
      </c>
    </row>
    <row r="2774" spans="1:10" ht="13.2">
      <c r="A2774" s="7">
        <v>2773</v>
      </c>
      <c r="B2774" s="7">
        <v>1</v>
      </c>
      <c r="C2774" s="7" t="s">
        <v>10</v>
      </c>
      <c r="D2774" s="7">
        <v>796</v>
      </c>
      <c r="E2774" s="7" t="s">
        <v>29</v>
      </c>
      <c r="F2774" s="8" t="str">
        <f ca="1">IFERROR(__xludf.DUMMYFUNCTION("IF
(
C2775=""фізична особа""
,
VLOOKUP(D2775,IMPORTRANGE(""https://docs.google.com/spreadsheets/d/14Bd19lYaqBhU8_DElYkX7l4wRkHqqCUFNJY4AfY3kHU/edit?usp=sharing  #gid=0"",""фіз особи new!relations_name""),6,FALSE)
,
(IF
(
C2775=""юридична особа""
,
VLOOKUP"&amp;"(D2775,IMPORTRANGE(""https://docs.google.com/spreadsheets/d/14Bd19lYaqBhU8_DElYkX7l4wRkHqqCUFNJY4AfY3kHU/edit?usp=sharing  #gid=0"",""фіз особи new!relations_name_uo""),7,FALSE)
,
)
))"),"ЯНУШКЕВИЧ Валерій Іванович")</f>
        <v>ЯНУШКЕВИЧ Валерій Іванович</v>
      </c>
      <c r="G2774" s="7" t="s">
        <v>10</v>
      </c>
      <c r="H2774" s="7">
        <v>776</v>
      </c>
      <c r="I2774" s="8" t="str">
        <f ca="1">IFERROR(__xludf.DUMMYFUNCTION("IF
(
G2775=""фізична особа""
,
VLOOKUP(H2775,IMPORTRANGE(""https://docs.google.com/spreadsheets/d/14Bd19lYaqBhU8_DElYkX7l4wRkHqqCUFNJY4AfY3kHU/edit?usp=sharing  #gid=0"",""фіз особи new!relations_name""),6,FALSE)
,
(IF
(
G2775=""юридична особа""
,
VLOOKUP"&amp;"(H2775,IMPORTRANGE(""https://docs.google.com/spreadsheets/d/14Bd19lYaqBhU8_DElYkX7l4wRkHqqCUFNJY4AfY3kHU/edit?usp=sharing  #gid=0"",""фіз особи new!relations_name_uo""),7,FALSE)
,
)
))"),"ЛУКАШЕВИЧ Вадим Анатолійович")</f>
        <v>ЛУКАШЕВИЧ Вадим Анатолійович</v>
      </c>
      <c r="J2774" s="7" t="s">
        <v>28</v>
      </c>
    </row>
    <row r="2775" spans="1:10" ht="13.2">
      <c r="A2775" s="7">
        <v>2774</v>
      </c>
      <c r="B2775" s="7">
        <v>1</v>
      </c>
      <c r="C2775" s="7" t="s">
        <v>10</v>
      </c>
      <c r="D2775" s="7">
        <v>796</v>
      </c>
      <c r="E2775" s="7" t="s">
        <v>28</v>
      </c>
      <c r="F2775" s="8" t="str">
        <f ca="1">IFERROR(__xludf.DUMMYFUNCTION("IF
(
C2776=""фізична особа""
,
VLOOKUP(D2776,IMPORTRANGE(""https://docs.google.com/spreadsheets/d/14Bd19lYaqBhU8_DElYkX7l4wRkHqqCUFNJY4AfY3kHU/edit?usp=sharing  #gid=0"",""фіз особи new!relations_name""),6,FALSE)
,
(IF
(
C2776=""юридична особа""
,
VLOOKUP"&amp;"(D2776,IMPORTRANGE(""https://docs.google.com/spreadsheets/d/14Bd19lYaqBhU8_DElYkX7l4wRkHqqCUFNJY4AfY3kHU/edit?usp=sharing  #gid=0"",""фіз особи new!relations_name_uo""),7,FALSE)
,
)
))"),"ЯНУШКЕВИЧ Валерій Іванович")</f>
        <v>ЯНУШКЕВИЧ Валерій Іванович</v>
      </c>
      <c r="G2775" s="7" t="s">
        <v>10</v>
      </c>
      <c r="H2775" s="7">
        <v>400</v>
      </c>
      <c r="I2775" s="8" t="str">
        <f ca="1">IFERROR(__xludf.DUMMYFUNCTION("IF
(
G2776=""фізична особа""
,
VLOOKUP(H2776,IMPORTRANGE(""https://docs.google.com/spreadsheets/d/14Bd19lYaqBhU8_DElYkX7l4wRkHqqCUFNJY4AfY3kHU/edit?usp=sharing  #gid=0"",""фіз особи new!relations_name""),6,FALSE)
,
(IF
(
G2776=""юридична особа""
,
VLOOKUP"&amp;"(H2776,IMPORTRANGE(""https://docs.google.com/spreadsheets/d/14Bd19lYaqBhU8_DElYkX7l4wRkHqqCUFNJY4AfY3kHU/edit?usp=sharing  #gid=0"",""фіз особи new!relations_name_uo""),7,FALSE)
,
)
))"),"КАСИНСЬКИЙ Леонід Вікторович")</f>
        <v>КАСИНСЬКИЙ Леонід Вікторович</v>
      </c>
      <c r="J2775" s="7" t="s">
        <v>29</v>
      </c>
    </row>
    <row r="2776" spans="1:10" ht="13.2">
      <c r="A2776" s="7">
        <v>2775</v>
      </c>
      <c r="B2776" s="7">
        <v>1</v>
      </c>
      <c r="C2776" s="7" t="s">
        <v>10</v>
      </c>
      <c r="D2776" s="7">
        <v>797</v>
      </c>
      <c r="E2776" s="7" t="s">
        <v>29</v>
      </c>
      <c r="F2776" s="8" t="str">
        <f ca="1">IFERROR(__xludf.DUMMYFUNCTION("IF
(
C2777=""фізична особа""
,
VLOOKUP(D2777,IMPORTRANGE(""https://docs.google.com/spreadsheets/d/14Bd19lYaqBhU8_DElYkX7l4wRkHqqCUFNJY4AfY3kHU/edit?usp=sharing  #gid=0"",""фіз особи new!relations_name""),6,FALSE)
,
(IF
(
C2777=""юридична особа""
,
VLOOKUP"&amp;"(D2777,IMPORTRANGE(""https://docs.google.com/spreadsheets/d/14Bd19lYaqBhU8_DElYkX7l4wRkHqqCUFNJY4AfY3kHU/edit?usp=sharing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G2776" s="7" t="s">
        <v>10</v>
      </c>
      <c r="H2776" s="7">
        <v>0</v>
      </c>
      <c r="I2776" s="8" t="str">
        <f ca="1">IFERROR(__xludf.DUMMYFUNCTION("IF
(
G2777=""фізична особа""
,
VLOOKUP(H2777,IMPORTRANGE(""https://docs.google.com/spreadsheets/d/14Bd19lYaqBhU8_DElYkX7l4wRkHqqCUFNJY4AfY3kHU/edit?usp=sharing  #gid=0"",""фіз особи new!relations_name""),6,FALSE)
,
(IF
(
G2777=""юридична особа""
,
VLOOKUP"&amp;"(H2777,IMPORTRANGE(""https://docs.google.com/spreadsheets/d/14Bd19lYaqBhU8_DElYkX7l4wRkHqqCUFNJY4AfY3kHU/edit?usp=sharing  #gid=0"",""фіз особи new!relations_name_uo""),7,FALSE)
,
)
))"),"#N/A")</f>
        <v>#N/A</v>
      </c>
      <c r="J2776" s="7" t="s">
        <v>28</v>
      </c>
    </row>
    <row r="2777" spans="1:10" ht="13.2">
      <c r="A2777" s="7">
        <v>2776</v>
      </c>
      <c r="B2777" s="7">
        <v>1</v>
      </c>
      <c r="C2777" s="7" t="s">
        <v>10</v>
      </c>
      <c r="D2777" s="7">
        <v>797</v>
      </c>
      <c r="E2777" s="7" t="s">
        <v>14</v>
      </c>
      <c r="F2777" s="8" t="str">
        <f ca="1">IFERROR(__xludf.DUMMYFUNCTION("IF
(
C2778=""фізична особа""
,
VLOOKUP(D2778,IMPORTRANGE(""https://docs.google.com/spreadsheets/d/14Bd19lYaqBhU8_DElYkX7l4wRkHqqCUFNJY4AfY3kHU/edit?usp=sharing  #gid=0"",""фіз особи new!relations_name""),6,FALSE)
,
(IF
(
C2778=""юридична особа""
,
VLOOKUP"&amp;"(D2778,IMPORTRANGE(""https://docs.google.com/spreadsheets/d/14Bd19lYaqBhU8_DElYkX7l4wRkHqqCUFNJY4AfY3kHU/edit?usp=sharing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G2777" s="7" t="s">
        <v>10</v>
      </c>
      <c r="H2777" s="7">
        <v>15528</v>
      </c>
      <c r="I2777" s="8" t="str">
        <f ca="1">IFERROR(__xludf.DUMMYFUNCTION("IF
(
G2778=""фізична особа""
,
VLOOKUP(H2778,IMPORTRANGE(""https://docs.google.com/spreadsheets/d/14Bd19lYaqBhU8_DElYkX7l4wRkHqqCUFNJY4AfY3kHU/edit?usp=sharing  #gid=0"",""фіз особи new!relations_name""),6,FALSE)
,
(IF
(
G2778=""юридична особа""
,
VLOOKUP"&amp;"(H2778,IMPORTRANGE(""https://docs.google.com/spreadsheets/d/14Bd19lYaqBhU8_DElYkX7l4wRkHqqCUFNJY4AfY3kHU/edit?usp=sharing  #gid=0"",""фіз особи new!relations_name_uo""),7,FALSE)
,
)
))"),"ГАРТУНГ Марина Веніамінівна")</f>
        <v>ГАРТУНГ Марина Веніамінівна</v>
      </c>
      <c r="J2777" s="7" t="s">
        <v>15</v>
      </c>
    </row>
    <row r="2778" spans="1:10" ht="13.2">
      <c r="A2778" s="7">
        <v>2777</v>
      </c>
      <c r="B2778" s="7">
        <v>1</v>
      </c>
      <c r="C2778" s="7" t="s">
        <v>10</v>
      </c>
      <c r="D2778" s="7">
        <v>797</v>
      </c>
      <c r="E2778" s="7" t="s">
        <v>12</v>
      </c>
      <c r="F2778" s="8" t="str">
        <f ca="1">IFERROR(__xludf.DUMMYFUNCTION("IF
(
C2779=""фізична особа""
,
VLOOKUP(D2779,IMPORTRANGE(""https://docs.google.com/spreadsheets/d/14Bd19lYaqBhU8_DElYkX7l4wRkHqqCUFNJY4AfY3kHU/edit?usp=sharing  #gid=0"",""фіз особи new!relations_name""),6,FALSE)
,
(IF
(
C2779=""юридична особа""
,
VLOOKUP"&amp;"(D2779,IMPORTRANGE(""https://docs.google.com/spreadsheets/d/14Bd19lYaqBhU8_DElYkX7l4wRkHqqCUFNJY4AfY3kHU/edit?usp=sharing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G2778" s="7" t="s">
        <v>10</v>
      </c>
      <c r="H2778" s="7">
        <v>15530</v>
      </c>
      <c r="I2778" s="8" t="str">
        <f ca="1">IFERROR(__xludf.DUMMYFUNCTION("IF
(
G2779=""фізична особа""
,
VLOOKUP(H2779,IMPORTRANGE(""https://docs.google.com/spreadsheets/d/14Bd19lYaqBhU8_DElYkX7l4wRkHqqCUFNJY4AfY3kHU/edit?usp=sharing  #gid=0"",""фіз особи new!relations_name""),6,FALSE)
,
(IF
(
G2779=""юридична особа""
,
VLOOKUP"&amp;"(H2779,IMPORTRANGE(""https://docs.google.com/spreadsheets/d/14Bd19lYaqBhU8_DElYkX7l4wRkHqqCUFNJY4AfY3kHU/edit?usp=sharing  #gid=0"",""фіз особи new!relations_name_uo""),7,FALSE)
,
)
))"),"ГАРТУНГ Андрій Валерійович")</f>
        <v>ГАРТУНГ Андрій Валерійович</v>
      </c>
      <c r="J2778" s="7" t="s">
        <v>17</v>
      </c>
    </row>
    <row r="2779" spans="1:10" ht="13.2">
      <c r="A2779" s="7">
        <v>2778</v>
      </c>
      <c r="B2779" s="7">
        <v>1</v>
      </c>
      <c r="C2779" s="7" t="s">
        <v>10</v>
      </c>
      <c r="D2779" s="7">
        <v>797</v>
      </c>
      <c r="E2779" s="7" t="s">
        <v>12</v>
      </c>
      <c r="F2779" s="8" t="str">
        <f ca="1">IFERROR(__xludf.DUMMYFUNCTION("IF
(
C2780=""фізична особа""
,
VLOOKUP(D2780,IMPORTRANGE(""https://docs.google.com/spreadsheets/d/14Bd19lYaqBhU8_DElYkX7l4wRkHqqCUFNJY4AfY3kHU/edit?usp=sharing  #gid=0"",""фіз особи new!relations_name""),6,FALSE)
,
(IF
(
C2780=""юридична особа""
,
VLOOKUP"&amp;"(D2780,IMPORTRANGE(""https://docs.google.com/spreadsheets/d/14Bd19lYaqBhU8_DElYkX7l4wRkHqqCUFNJY4AfY3kHU/edit?usp=sharing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G2779" s="7" t="s">
        <v>10</v>
      </c>
      <c r="H2779" s="7">
        <v>15529</v>
      </c>
      <c r="I2779" s="8" t="str">
        <f ca="1">IFERROR(__xludf.DUMMYFUNCTION("IF
(
G2780=""фізична особа""
,
VLOOKUP(H2780,IMPORTRANGE(""https://docs.google.com/spreadsheets/d/14Bd19lYaqBhU8_DElYkX7l4wRkHqqCUFNJY4AfY3kHU/edit?usp=sharing  #gid=0"",""фіз особи new!relations_name""),6,FALSE)
,
(IF
(
G2780=""юридична особа""
,
VLOOKUP"&amp;"(H2780,IMPORTRANGE(""https://docs.google.com/spreadsheets/d/14Bd19lYaqBhU8_DElYkX7l4wRkHqqCUFNJY4AfY3kHU/edit?usp=sharing  #gid=0"",""фіз особи new!relations_name_uo""),7,FALSE)
,
)
))"),"ГАРТУНГ Дмитро Валерійович")</f>
        <v>ГАРТУНГ Дмитро Валерійович</v>
      </c>
      <c r="J2779" s="7" t="s">
        <v>17</v>
      </c>
    </row>
    <row r="2780" spans="1:10" ht="13.2">
      <c r="A2780" s="7">
        <v>2779</v>
      </c>
      <c r="B2780" s="7">
        <v>1</v>
      </c>
      <c r="C2780" s="7" t="s">
        <v>10</v>
      </c>
      <c r="D2780" s="7">
        <v>797</v>
      </c>
      <c r="E2780" s="7" t="s">
        <v>19</v>
      </c>
      <c r="F2780" s="8" t="str">
        <f ca="1">IFERROR(__xludf.DUMMYFUNCTION("IF
(
C2781=""фізична особа""
,
VLOOKUP(D2781,IMPORTRANGE(""https://docs.google.com/spreadsheets/d/14Bd19lYaqBhU8_DElYkX7l4wRkHqqCUFNJY4AfY3kHU/edit?usp=sharing  #gid=0"",""фіз особи new!relations_name""),6,FALSE)
,
(IF
(
C2781=""юридична особа""
,
VLOOKUP"&amp;"(D2781,IMPORTRANGE(""https://docs.google.com/spreadsheets/d/14Bd19lYaqBhU8_DElYkX7l4wRkHqqCUFNJY4AfY3kHU/edit?usp=sharing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G2780" s="7" t="s">
        <v>10</v>
      </c>
      <c r="H2780" s="7">
        <v>0</v>
      </c>
      <c r="I2780" s="8" t="str">
        <f ca="1">IFERROR(__xludf.DUMMYFUNCTION("IF
(
G2781=""фізична особа""
,
VLOOKUP(H2781,IMPORTRANGE(""https://docs.google.com/spreadsheets/d/14Bd19lYaqBhU8_DElYkX7l4wRkHqqCUFNJY4AfY3kHU/edit?usp=sharing  #gid=0"",""фіз особи new!relations_name""),6,FALSE)
,
(IF
(
G2781=""юридична особа""
,
VLOOKUP"&amp;"(H2781,IMPORTRANGE(""https://docs.google.com/spreadsheets/d/14Bd19lYaqBhU8_DElYkX7l4wRkHqqCUFNJY4AfY3kHU/edit?usp=sharing  #gid=0"",""фіз особи new!relations_name_uo""),7,FALSE)
,
)
))"),"#N/A")</f>
        <v>#N/A</v>
      </c>
      <c r="J2780" s="7" t="s">
        <v>20</v>
      </c>
    </row>
    <row r="2781" spans="1:10" ht="13.2">
      <c r="A2781" s="7">
        <v>2780</v>
      </c>
      <c r="B2781" s="7">
        <v>1</v>
      </c>
      <c r="C2781" s="7" t="s">
        <v>10</v>
      </c>
      <c r="D2781" s="7">
        <v>798</v>
      </c>
      <c r="E2781" s="7" t="s">
        <v>14</v>
      </c>
      <c r="F2781" s="8" t="str">
        <f ca="1">IFERROR(__xludf.DUMMYFUNCTION("IF
(
C2782=""фізична особа""
,
VLOOKUP(D2782,IMPORTRANGE(""https://docs.google.com/spreadsheets/d/14Bd19lYaqBhU8_DElYkX7l4wRkHqqCUFNJY4AfY3kHU/edit?usp=sharing  #gid=0"",""фіз особи new!relations_name""),6,FALSE)
,
(IF
(
C2782=""юридична особа""
,
VLOOKUP"&amp;"(D2782,IMPORTRANGE(""https://docs.google.com/spreadsheets/d/14Bd19lYaqBhU8_DElYkX7l4wRkHqqCUFNJY4AfY3kHU/edit?usp=sharing  #gid=0"",""фіз особи new!relations_name_uo""),7,FALSE)
,
)
))"),"ВАСИЛЬЄВ Валерій Миколайович")</f>
        <v>ВАСИЛЬЄВ Валерій Миколайович</v>
      </c>
      <c r="G2781" s="7" t="s">
        <v>10</v>
      </c>
      <c r="H2781" s="7">
        <v>8642</v>
      </c>
      <c r="I2781" s="8" t="str">
        <f ca="1">IFERROR(__xludf.DUMMYFUNCTION("IF
(
G2782=""фізична особа""
,
VLOOKUP(H2782,IMPORTRANGE(""https://docs.google.com/spreadsheets/d/14Bd19lYaqBhU8_DElYkX7l4wRkHqqCUFNJY4AfY3kHU/edit?usp=sharing  #gid=0"",""фіз особи new!relations_name""),6,FALSE)
,
(IF
(
G2782=""юридична особа""
,
VLOOKUP"&amp;"(H2782,IMPORTRANGE(""https://docs.google.com/spreadsheets/d/14Bd19lYaqBhU8_DElYkX7l4wRkHqqCUFNJY4AfY3kHU/edit?usp=sharing  #gid=0"",""фіз особи new!relations_name_uo""),7,FALSE)
,
)
))"),"ПОРТНОВА Юлія Володимирівна")</f>
        <v>ПОРТНОВА Юлія Володимирівна</v>
      </c>
      <c r="J2781" s="7" t="s">
        <v>15</v>
      </c>
    </row>
    <row r="2782" spans="1:10" ht="13.2">
      <c r="A2782" s="7">
        <v>2781</v>
      </c>
      <c r="B2782" s="7">
        <v>1</v>
      </c>
      <c r="C2782" s="7" t="s">
        <v>10</v>
      </c>
      <c r="D2782" s="7">
        <v>798</v>
      </c>
      <c r="E2782" s="7" t="s">
        <v>18</v>
      </c>
      <c r="F2782" s="8" t="str">
        <f ca="1">IFERROR(__xludf.DUMMYFUNCTION("IF
(
C2783=""фізична особа""
,
VLOOKUP(D2783,IMPORTRANGE(""https://docs.google.com/spreadsheets/d/14Bd19lYaqBhU8_DElYkX7l4wRkHqqCUFNJY4AfY3kHU/edit?usp=sharing  #gid=0"",""фіз особи new!relations_name""),6,FALSE)
,
(IF
(
C2783=""юридична особа""
,
VLOOKUP"&amp;"(D2783,IMPORTRANGE(""https://docs.google.com/spreadsheets/d/14Bd19lYaqBhU8_DElYkX7l4wRkHqqCUFNJY4AfY3kHU/edit?usp=sharing  #gid=0"",""фіз особи new!relations_name_uo""),7,FALSE)
,
)
))"),"ВАСИЛЬЄВ Валерій Миколайович")</f>
        <v>ВАСИЛЬЄВ Валерій Миколайович</v>
      </c>
      <c r="G2782" s="7" t="s">
        <v>10</v>
      </c>
      <c r="H2782" s="7">
        <v>0</v>
      </c>
      <c r="I2782" s="8" t="str">
        <f ca="1">IFERROR(__xludf.DUMMYFUNCTION("IF
(
G2783=""фізична особа""
,
VLOOKUP(H2783,IMPORTRANGE(""https://docs.google.com/spreadsheets/d/14Bd19lYaqBhU8_DElYkX7l4wRkHqqCUFNJY4AfY3kHU/edit?usp=sharing  #gid=0"",""фіз особи new!relations_name""),6,FALSE)
,
(IF
(
G2783=""юридична особа""
,
VLOOKUP"&amp;"(H2783,IMPORTRANGE(""https://docs.google.com/spreadsheets/d/14Bd19lYaqBhU8_DElYkX7l4wRkHqqCUFNJY4AfY3kHU/edit?usp=sharing  #gid=0"",""фіз особи new!relations_name_uo""),7,FALSE)
,
)
))"),"#N/A")</f>
        <v>#N/A</v>
      </c>
      <c r="J2782" s="7" t="s">
        <v>18</v>
      </c>
    </row>
    <row r="2783" spans="1:10" ht="13.2">
      <c r="A2783" s="7">
        <v>2782</v>
      </c>
      <c r="B2783" s="7">
        <v>1</v>
      </c>
      <c r="C2783" s="7" t="s">
        <v>10</v>
      </c>
      <c r="D2783" s="7">
        <v>799</v>
      </c>
      <c r="E2783" s="7" t="s">
        <v>48</v>
      </c>
      <c r="F2783" s="8" t="str">
        <f ca="1">IFERROR(__xludf.DUMMYFUNCTION("IF
(
C2784=""фізична особа""
,
VLOOKUP(D2784,IMPORTRANGE(""https://docs.google.com/spreadsheets/d/14Bd19lYaqBhU8_DElYkX7l4wRkHqqCUFNJY4AfY3kHU/edit?usp=sharing  #gid=0"",""фіз особи new!relations_name""),6,FALSE)
,
(IF
(
C2784=""юридична особа""
,
VLOOKUP"&amp;"(D2784,IMPORTRANGE(""https://docs.google.com/spreadsheets/d/14Bd19lYaqBhU8_DElYkX7l4wRkHqqCUFNJY4AfY3kHU/edit?usp=sharing  #gid=0"",""фіз особи new!relations_name_uo""),7,FALSE)
,
)
))"),"УСАТЮК Валерій Петрович")</f>
        <v>УСАТЮК Валерій Петрович</v>
      </c>
      <c r="G2783" s="7" t="s">
        <v>10</v>
      </c>
      <c r="H2783" s="7">
        <v>2515</v>
      </c>
      <c r="I2783" s="8" t="str">
        <f ca="1">IFERROR(__xludf.DUMMYFUNCTION("IF
(
G2784=""фізична особа""
,
VLOOKUP(H2784,IMPORTRANGE(""https://docs.google.com/spreadsheets/d/14Bd19lYaqBhU8_DElYkX7l4wRkHqqCUFNJY4AfY3kHU/edit?usp=sharing  #gid=0"",""фіз особи new!relations_name""),6,FALSE)
,
(IF
(
G2784=""юридична особа""
,
VLOOKUP"&amp;"(H2784,IMPORTRANGE(""https://docs.google.com/spreadsheets/d/14Bd19lYaqBhU8_DElYkX7l4wRkHqqCUFNJY4AfY3kHU/edit?usp=sharing  #gid=0"",""фіз особи new!relations_name_uo""),7,FALSE)
,
)
))"),"КОНОВАЛОВ Валентин Олегович")</f>
        <v>КОНОВАЛОВ Валентин Олегович</v>
      </c>
      <c r="J2783" s="7" t="s">
        <v>48</v>
      </c>
    </row>
    <row r="2784" spans="1:10" ht="13.2">
      <c r="A2784" s="7">
        <v>2783</v>
      </c>
      <c r="B2784" s="7">
        <v>1</v>
      </c>
      <c r="C2784" s="7" t="s">
        <v>10</v>
      </c>
      <c r="D2784" s="7">
        <v>800</v>
      </c>
      <c r="E2784" s="7" t="s">
        <v>48</v>
      </c>
      <c r="F2784" s="8" t="str">
        <f ca="1">IFERROR(__xludf.DUMMYFUNCTION("IF
(
C2785=""фізична особа""
,
VLOOKUP(D2785,IMPORTRANGE(""https://docs.google.com/spreadsheets/d/14Bd19lYaqBhU8_DElYkX7l4wRkHqqCUFNJY4AfY3kHU/edit?usp=sharing  #gid=0"",""фіз особи new!relations_name""),6,FALSE)
,
(IF
(
C2785=""юридична особа""
,
VLOOKUP"&amp;"(D2785,IMPORTRANGE(""https://docs.google.com/spreadsheets/d/14Bd19lYaqBhU8_DElYkX7l4wRkHqqCUFNJY4AfY3kHU/edit?usp=sharing  #gid=0"",""фіз особи new!relations_name_uo""),7,FALSE)
,
)
))"),"СЕЛЕЗНЬОВ Валерій Сергійович")</f>
        <v>СЕЛЕЗНЬОВ Валерій Сергійович</v>
      </c>
      <c r="G2784" s="7" t="s">
        <v>10</v>
      </c>
      <c r="H2784" s="7">
        <v>0</v>
      </c>
      <c r="I2784" s="8" t="str">
        <f ca="1">IFERROR(__xludf.DUMMYFUNCTION("IF
(
G2785=""фізична особа""
,
VLOOKUP(H2785,IMPORTRANGE(""https://docs.google.com/spreadsheets/d/14Bd19lYaqBhU8_DElYkX7l4wRkHqqCUFNJY4AfY3kHU/edit?usp=sharing  #gid=0"",""фіз особи new!relations_name""),6,FALSE)
,
(IF
(
G2785=""юридична особа""
,
VLOOKUP"&amp;"(H2785,IMPORTRANGE(""https://docs.google.com/spreadsheets/d/14Bd19lYaqBhU8_DElYkX7l4wRkHqqCUFNJY4AfY3kHU/edit?usp=sharing  #gid=0"",""фіз особи new!relations_name_uo""),7,FALSE)
,
)
))"),"#N/A")</f>
        <v>#N/A</v>
      </c>
      <c r="J2784" s="7" t="s">
        <v>48</v>
      </c>
    </row>
    <row r="2785" spans="1:10" ht="13.2">
      <c r="A2785" s="7">
        <v>2784</v>
      </c>
      <c r="B2785" s="7">
        <v>1</v>
      </c>
      <c r="C2785" s="7" t="s">
        <v>10</v>
      </c>
      <c r="D2785" s="7">
        <v>800</v>
      </c>
      <c r="E2785" s="7" t="s">
        <v>18</v>
      </c>
      <c r="F2785" s="8" t="str">
        <f ca="1">IFERROR(__xludf.DUMMYFUNCTION("IF
(
C2786=""фізична особа""
,
VLOOKUP(D2786,IMPORTRANGE(""https://docs.google.com/spreadsheets/d/14Bd19lYaqBhU8_DElYkX7l4wRkHqqCUFNJY4AfY3kHU/edit?usp=sharing  #gid=0"",""фіз особи new!relations_name""),6,FALSE)
,
(IF
(
C2786=""юридична особа""
,
VLOOKUP"&amp;"(D2786,IMPORTRANGE(""https://docs.google.com/spreadsheets/d/14Bd19lYaqBhU8_DElYkX7l4wRkHqqCUFNJY4AfY3kHU/edit?usp=sharing  #gid=0"",""фіз особи new!relations_name_uo""),7,FALSE)
,
)
))"),"СЕЛЕЗНЬОВ Валерій Сергійович")</f>
        <v>СЕЛЕЗНЬОВ Валерій Сергійович</v>
      </c>
      <c r="G2785" s="7" t="s">
        <v>10</v>
      </c>
      <c r="H2785" s="7">
        <v>0</v>
      </c>
      <c r="I2785" s="8" t="str">
        <f ca="1">IFERROR(__xludf.DUMMYFUNCTION("IF
(
G2786=""фізична особа""
,
VLOOKUP(H2786,IMPORTRANGE(""https://docs.google.com/spreadsheets/d/14Bd19lYaqBhU8_DElYkX7l4wRkHqqCUFNJY4AfY3kHU/edit?usp=sharing  #gid=0"",""фіз особи new!relations_name""),6,FALSE)
,
(IF
(
G2786=""юридична особа""
,
VLOOKUP"&amp;"(H2786,IMPORTRANGE(""https://docs.google.com/spreadsheets/d/14Bd19lYaqBhU8_DElYkX7l4wRkHqqCUFNJY4AfY3kHU/edit?usp=sharing  #gid=0"",""фіз особи new!relations_name_uo""),7,FALSE)
,
)
))"),"#N/A")</f>
        <v>#N/A</v>
      </c>
      <c r="J2785" s="7" t="s">
        <v>18</v>
      </c>
    </row>
    <row r="2786" spans="1:10" ht="13.2">
      <c r="A2786" s="7">
        <v>2785</v>
      </c>
      <c r="B2786" s="7">
        <v>1</v>
      </c>
      <c r="C2786" s="7" t="s">
        <v>10</v>
      </c>
      <c r="D2786" s="7">
        <v>801</v>
      </c>
      <c r="E2786" s="7" t="s">
        <v>14</v>
      </c>
      <c r="F2786" s="8" t="str">
        <f ca="1">IFERROR(__xludf.DUMMYFUNCTION("IF
(
C2787=""фізична особа""
,
VLOOKUP(D2787,IMPORTRANGE(""https://docs.google.com/spreadsheets/d/14Bd19lYaqBhU8_DElYkX7l4wRkHqqCUFNJY4AfY3kHU/edit?usp=sharing  #gid=0"",""фіз особи new!relations_name""),6,FALSE)
,
(IF
(
C2787=""юридична особа""
,
VLOOKUP"&amp;"(D2787,IMPORTRANGE(""https://docs.google.com/spreadsheets/d/14Bd19lYaqBhU8_DElYkX7l4wRkHqqCUFNJY4AfY3kHU/edit?usp=sharing  #gid=0"",""фіз особи new!relations_name_uo""),7,FALSE)
,
)
))"),"ДЬОМІН Олександр В'ячеславович")</f>
        <v>ДЬОМІН Олександр В'ячеславович</v>
      </c>
      <c r="G2786" s="7" t="s">
        <v>10</v>
      </c>
      <c r="H2786" s="7">
        <v>0</v>
      </c>
      <c r="I2786" s="8" t="str">
        <f ca="1">IFERROR(__xludf.DUMMYFUNCTION("IF
(
G2787=""фізична особа""
,
VLOOKUP(H2787,IMPORTRANGE(""https://docs.google.com/spreadsheets/d/14Bd19lYaqBhU8_DElYkX7l4wRkHqqCUFNJY4AfY3kHU/edit?usp=sharing  #gid=0"",""фіз особи new!relations_name""),6,FALSE)
,
(IF
(
G2787=""юридична особа""
,
VLOOKUP"&amp;"(H2787,IMPORTRANGE(""https://docs.google.com/spreadsheets/d/14Bd19lYaqBhU8_DElYkX7l4wRkHqqCUFNJY4AfY3kHU/edit?usp=sharing  #gid=0"",""фіз особи new!relations_name_uo""),7,FALSE)
,
)
))"),"#N/A")</f>
        <v>#N/A</v>
      </c>
      <c r="J2786" s="7" t="s">
        <v>15</v>
      </c>
    </row>
    <row r="2787" spans="1:10" ht="13.2">
      <c r="A2787" s="7">
        <v>2786</v>
      </c>
      <c r="B2787" s="7">
        <v>1</v>
      </c>
      <c r="C2787" s="7" t="s">
        <v>10</v>
      </c>
      <c r="D2787" s="7">
        <v>802</v>
      </c>
      <c r="E2787" s="7" t="s">
        <v>12</v>
      </c>
      <c r="F2787" s="8" t="str">
        <f ca="1">IFERROR(__xludf.DUMMYFUNCTION("IF
(
C2788=""фізична особа""
,
VLOOKUP(D2788,IMPORTRANGE(""https://docs.google.com/spreadsheets/d/14Bd19lYaqBhU8_DElYkX7l4wRkHqqCUFNJY4AfY3kHU/edit?usp=sharing  #gid=0"",""фіз особи new!relations_name""),6,FALSE)
,
(IF
(
C2788=""юридична особа""
,
VLOOKUP"&amp;"(D2788,IMPORTRANGE(""https://docs.google.com/spreadsheets/d/14Bd19lYaqBhU8_DElYkX7l4wRkHqqCUFNJY4AfY3kHU/edit?usp=sharing  #gid=0"",""фіз особи new!relations_name_uo""),7,FALSE)
,
)
))"),"СКРУГ Валерій Степанович")</f>
        <v>СКРУГ Валерій Степанович</v>
      </c>
      <c r="G2787" s="7" t="s">
        <v>10</v>
      </c>
      <c r="H2787" s="7">
        <v>15531</v>
      </c>
      <c r="I2787" s="8" t="str">
        <f ca="1">IFERROR(__xludf.DUMMYFUNCTION("IF
(
G2788=""фізична особа""
,
VLOOKUP(H2788,IMPORTRANGE(""https://docs.google.com/spreadsheets/d/14Bd19lYaqBhU8_DElYkX7l4wRkHqqCUFNJY4AfY3kHU/edit?usp=sharing  #gid=0"",""фіз особи new!relations_name""),6,FALSE)
,
(IF
(
G2788=""юридична особа""
,
VLOOKUP"&amp;"(H2788,IMPORTRANGE(""https://docs.google.com/spreadsheets/d/14Bd19lYaqBhU8_DElYkX7l4wRkHqqCUFNJY4AfY3kHU/edit?usp=sharing  #gid=0"",""фіз особи new!relations_name_uo""),7,FALSE)
,
)
))"),"ТІШКІНА Олександра Валеріївна")</f>
        <v>ТІШКІНА Олександра Валеріївна</v>
      </c>
      <c r="J2787" s="7" t="s">
        <v>13</v>
      </c>
    </row>
    <row r="2788" spans="1:10" ht="13.2">
      <c r="A2788" s="7">
        <v>2787</v>
      </c>
      <c r="B2788" s="7">
        <v>1</v>
      </c>
      <c r="C2788" s="7" t="s">
        <v>10</v>
      </c>
      <c r="D2788" s="7">
        <v>803</v>
      </c>
      <c r="E2788" s="7" t="s">
        <v>48</v>
      </c>
      <c r="F2788" s="8" t="str">
        <f ca="1">IFERROR(__xludf.DUMMYFUNCTION("IF
(
C2789=""фізична особа""
,
VLOOKUP(D2789,IMPORTRANGE(""https://docs.google.com/spreadsheets/d/14Bd19lYaqBhU8_DElYkX7l4wRkHqqCUFNJY4AfY3kHU/edit?usp=sharing  #gid=0"",""фіз особи new!relations_name""),6,FALSE)
,
(IF
(
C2789=""юридична особа""
,
VLOOKUP"&amp;"(D2789,IMPORTRANGE(""https://docs.google.com/spreadsheets/d/14Bd19lYaqBhU8_DElYkX7l4wRkHqqCUFNJY4AfY3kHU/edit?usp=sharing  #gid=0"",""фіз особи new!relations_name_uo""),7,FALSE)
,
)
))"),"СЕМЬОНОВ Валерій Володимирович")</f>
        <v>СЕМЬОНОВ Валерій Володимирович</v>
      </c>
      <c r="G2788" s="7" t="s">
        <v>10</v>
      </c>
      <c r="H2788" s="7">
        <v>0</v>
      </c>
      <c r="I2788" s="8" t="str">
        <f ca="1">IFERROR(__xludf.DUMMYFUNCTION("IF
(
G2789=""фізична особа""
,
VLOOKUP(H2789,IMPORTRANGE(""https://docs.google.com/spreadsheets/d/14Bd19lYaqBhU8_DElYkX7l4wRkHqqCUFNJY4AfY3kHU/edit?usp=sharing  #gid=0"",""фіз особи new!relations_name""),6,FALSE)
,
(IF
(
G2789=""юридична особа""
,
VLOOKUP"&amp;"(H2789,IMPORTRANGE(""https://docs.google.com/spreadsheets/d/14Bd19lYaqBhU8_DElYkX7l4wRkHqqCUFNJY4AfY3kHU/edit?usp=sharing  #gid=0"",""фіз особи new!relations_name_uo""),7,FALSE)
,
)
))"),"#N/A")</f>
        <v>#N/A</v>
      </c>
      <c r="J2788" s="7" t="s">
        <v>48</v>
      </c>
    </row>
    <row r="2789" spans="1:10" ht="13.2">
      <c r="A2789" s="7">
        <v>2788</v>
      </c>
      <c r="B2789" s="7">
        <v>1</v>
      </c>
      <c r="C2789" s="7" t="s">
        <v>10</v>
      </c>
      <c r="D2789" s="7">
        <v>804</v>
      </c>
      <c r="E2789" s="7" t="s">
        <v>12</v>
      </c>
      <c r="F2789" s="8" t="str">
        <f ca="1">IFERROR(__xludf.DUMMYFUNCTION("IF
(
C2790=""фізична особа""
,
VLOOKUP(D2790,IMPORTRANGE(""https://docs.google.com/spreadsheets/d/14Bd19lYaqBhU8_DElYkX7l4wRkHqqCUFNJY4AfY3kHU/edit?usp=sharing  #gid=0"",""фіз особи new!relations_name""),6,FALSE)
,
(IF
(
C2790=""юридична особа""
,
VLOOKUP"&amp;"(D2790,IMPORTRANGE(""https://docs.google.com/spreadsheets/d/14Bd19lYaqBhU8_DElYkX7l4wRkHqqCUFNJY4AfY3kHU/edit?usp=sharing  #gid=0"",""фіз особи new!relations_name_uo""),7,FALSE)
,
)
))"),"ПІСКАРЬОВ Василь Іванович")</f>
        <v>ПІСКАРЬОВ Василь Іванович</v>
      </c>
      <c r="G2789" s="7" t="s">
        <v>10</v>
      </c>
      <c r="H2789" s="7">
        <v>0</v>
      </c>
      <c r="I2789" s="8" t="str">
        <f ca="1">IFERROR(__xludf.DUMMYFUNCTION("IF
(
G2790=""фізична особа""
,
VLOOKUP(H2790,IMPORTRANGE(""https://docs.google.com/spreadsheets/d/14Bd19lYaqBhU8_DElYkX7l4wRkHqqCUFNJY4AfY3kHU/edit?usp=sharing  #gid=0"",""фіз особи new!relations_name""),6,FALSE)
,
(IF
(
G2790=""юридична особа""
,
VLOOKUP"&amp;"(H2790,IMPORTRANGE(""https://docs.google.com/spreadsheets/d/14Bd19lYaqBhU8_DElYkX7l4wRkHqqCUFNJY4AfY3kHU/edit?usp=sharing  #gid=0"",""фіз особи new!relations_name_uo""),7,FALSE)
,
)
))"),"#N/A")</f>
        <v>#N/A</v>
      </c>
      <c r="J2789" s="7" t="s">
        <v>17</v>
      </c>
    </row>
    <row r="2790" spans="1:10" ht="13.2">
      <c r="A2790" s="7">
        <v>2789</v>
      </c>
      <c r="B2790" s="7">
        <v>1</v>
      </c>
      <c r="C2790" s="7" t="s">
        <v>10</v>
      </c>
      <c r="D2790" s="7">
        <v>804</v>
      </c>
      <c r="E2790" s="7" t="s">
        <v>12</v>
      </c>
      <c r="F2790" s="8" t="str">
        <f ca="1">IFERROR(__xludf.DUMMYFUNCTION("IF
(
C2791=""фізична особа""
,
VLOOKUP(D2791,IMPORTRANGE(""https://docs.google.com/spreadsheets/d/14Bd19lYaqBhU8_DElYkX7l4wRkHqqCUFNJY4AfY3kHU/edit?usp=sharing  #gid=0"",""фіз особи new!relations_name""),6,FALSE)
,
(IF
(
C2791=""юридична особа""
,
VLOOKUP"&amp;"(D2791,IMPORTRANGE(""https://docs.google.com/spreadsheets/d/14Bd19lYaqBhU8_DElYkX7l4wRkHqqCUFNJY4AfY3kHU/edit?usp=sharing  #gid=0"",""фіз особи new!relations_name_uo""),7,FALSE)
,
)
))"),"ПІСКАРЬОВ Василь Іванович")</f>
        <v>ПІСКАРЬОВ Василь Іванович</v>
      </c>
      <c r="G2790" s="7" t="s">
        <v>10</v>
      </c>
      <c r="H2790" s="7">
        <v>0</v>
      </c>
      <c r="I2790" s="8" t="str">
        <f ca="1">IFERROR(__xludf.DUMMYFUNCTION("IF
(
G2791=""фізична особа""
,
VLOOKUP(H2791,IMPORTRANGE(""https://docs.google.com/spreadsheets/d/14Bd19lYaqBhU8_DElYkX7l4wRkHqqCUFNJY4AfY3kHU/edit?usp=sharing  #gid=0"",""фіз особи new!relations_name""),6,FALSE)
,
(IF
(
G2791=""юридична особа""
,
VLOOKUP"&amp;"(H2791,IMPORTRANGE(""https://docs.google.com/spreadsheets/d/14Bd19lYaqBhU8_DElYkX7l4wRkHqqCUFNJY4AfY3kHU/edit?usp=sharing  #gid=0"",""фіз особи new!relations_name_uo""),7,FALSE)
,
)
))"),"#N/A")</f>
        <v>#N/A</v>
      </c>
      <c r="J2790" s="7" t="s">
        <v>13</v>
      </c>
    </row>
    <row r="2791" spans="1:10" ht="13.2">
      <c r="A2791" s="7">
        <v>2790</v>
      </c>
      <c r="B2791" s="7">
        <v>1</v>
      </c>
      <c r="C2791" s="7" t="s">
        <v>10</v>
      </c>
      <c r="D2791" s="7">
        <v>805</v>
      </c>
      <c r="E2791" s="7" t="s">
        <v>29</v>
      </c>
      <c r="F2791" s="8" t="str">
        <f ca="1">IFERROR(__xludf.DUMMYFUNCTION("IF
(
C2792=""фізична особа""
,
VLOOKUP(D2792,IMPORTRANGE(""https://docs.google.com/spreadsheets/d/14Bd19lYaqBhU8_DElYkX7l4wRkHqqCUFNJY4AfY3kHU/edit?usp=sharing  #gid=0"",""фіз особи new!relations_name""),6,FALSE)
,
(IF
(
C2792=""юридична особа""
,
VLOOKUP"&amp;"(D2792,IMPORTRANGE(""https://docs.google.com/spreadsheets/d/14Bd19lYaqBhU8_DElYkX7l4wRkHqqCUFNJY4AfY3kHU/edit?usp=sharing  #gid=0"",""фіз особи new!relations_name_uo""),7,FALSE)
,
)
))"),"ВЛАСОВ Василь Максимович")</f>
        <v>ВЛАСОВ Василь Максимович</v>
      </c>
      <c r="G2791" s="7" t="s">
        <v>10</v>
      </c>
      <c r="H2791" s="7">
        <v>0</v>
      </c>
      <c r="I2791" s="8" t="str">
        <f ca="1">IFERROR(__xludf.DUMMYFUNCTION("IF
(
G2792=""фізична особа""
,
VLOOKUP(H2792,IMPORTRANGE(""https://docs.google.com/spreadsheets/d/14Bd19lYaqBhU8_DElYkX7l4wRkHqqCUFNJY4AfY3kHU/edit?usp=sharing  #gid=0"",""фіз особи new!relations_name""),6,FALSE)
,
(IF
(
G2792=""юридична особа""
,
VLOOKUP"&amp;"(H2792,IMPORTRANGE(""https://docs.google.com/spreadsheets/d/14Bd19lYaqBhU8_DElYkX7l4wRkHqqCUFNJY4AfY3kHU/edit?usp=sharing  #gid=0"",""фіз особи new!relations_name_uo""),7,FALSE)
,
)
))"),"#N/A")</f>
        <v>#N/A</v>
      </c>
      <c r="J2791" s="7" t="s">
        <v>28</v>
      </c>
    </row>
    <row r="2792" spans="1:10" ht="13.2">
      <c r="A2792" s="7">
        <v>2791</v>
      </c>
      <c r="B2792" s="7">
        <v>1</v>
      </c>
      <c r="C2792" s="7" t="s">
        <v>10</v>
      </c>
      <c r="D2792" s="7">
        <v>805</v>
      </c>
      <c r="E2792" s="7" t="s">
        <v>40</v>
      </c>
      <c r="F2792" s="8" t="str">
        <f ca="1">IFERROR(__xludf.DUMMYFUNCTION("IF
(
C2793=""фізична особа""
,
VLOOKUP(D2793,IMPORTRANGE(""https://docs.google.com/spreadsheets/d/14Bd19lYaqBhU8_DElYkX7l4wRkHqqCUFNJY4AfY3kHU/edit?usp=sharing  #gid=0"",""фіз особи new!relations_name""),6,FALSE)
,
(IF
(
C2793=""юридична особа""
,
VLOOKUP"&amp;"(D2793,IMPORTRANGE(""https://docs.google.com/spreadsheets/d/14Bd19lYaqBhU8_DElYkX7l4wRkHqqCUFNJY4AfY3kHU/edit?usp=sharing  #gid=0"",""фіз особи new!relations_name_uo""),7,FALSE)
,
)
))"),"ВЛАСОВ Василь Максимович")</f>
        <v>ВЛАСОВ Василь Максимович</v>
      </c>
      <c r="G2792" s="7" t="s">
        <v>10</v>
      </c>
      <c r="H2792" s="7">
        <v>11964</v>
      </c>
      <c r="I2792" s="8" t="str">
        <f ca="1">IFERROR(__xludf.DUMMYFUNCTION("IF
(
G2793=""фізична особа""
,
VLOOKUP(H2793,IMPORTRANGE(""https://docs.google.com/spreadsheets/d/14Bd19lYaqBhU8_DElYkX7l4wRkHqqCUFNJY4AfY3kHU/edit?usp=sharing  #gid=0"",""фіз особи new!relations_name""),6,FALSE)
,
(IF
(
G2793=""юридична особа""
,
VLOOKUP"&amp;"(H2793,IMPORTRANGE(""https://docs.google.com/spreadsheets/d/14Bd19lYaqBhU8_DElYkX7l4wRkHqqCUFNJY4AfY3kHU/edit?usp=sharing  #gid=0"",""фіз особи new!relations_name_uo""),7,FALSE)
,
)
))"),"ЖИРИНОВСЬКИЙ Володимир Вольфович")</f>
        <v>ЖИРИНОВСЬКИЙ Володимир Вольфович</v>
      </c>
      <c r="J2792" s="7" t="s">
        <v>41</v>
      </c>
    </row>
    <row r="2793" spans="1:10" ht="13.2">
      <c r="A2793" s="7">
        <v>2792</v>
      </c>
      <c r="B2793" s="7">
        <v>1</v>
      </c>
      <c r="C2793" s="7" t="s">
        <v>10</v>
      </c>
      <c r="D2793" s="7">
        <v>806</v>
      </c>
      <c r="E2793" s="7" t="s">
        <v>48</v>
      </c>
      <c r="F2793" s="8" t="str">
        <f ca="1">IFERROR(__xludf.DUMMYFUNCTION("IF
(
C2794=""фізична особа""
,
VLOOKUP(D2794,IMPORTRANGE(""https://docs.google.com/spreadsheets/d/14Bd19lYaqBhU8_DElYkX7l4wRkHqqCUFNJY4AfY3kHU/edit?usp=sharing  #gid=0"",""фіз особи new!relations_name""),6,FALSE)
,
(IF
(
C2794=""юридична особа""
,
VLOOKUP"&amp;"(D2794,IMPORTRANGE(""https://docs.google.com/spreadsheets/d/14Bd19lYaqBhU8_DElYkX7l4wRkHqqCUFNJY4AfY3kHU/edit?usp=sharing  #gid=0"",""фіз особи new!relations_name_uo""),7,FALSE)
,
)
))"),"ІКОННІКОВ Василь Миколайович")</f>
        <v>ІКОННІКОВ Василь Миколайович</v>
      </c>
      <c r="G2793" s="7" t="s">
        <v>10</v>
      </c>
      <c r="H2793" s="7">
        <v>0</v>
      </c>
      <c r="I2793" s="8" t="str">
        <f ca="1">IFERROR(__xludf.DUMMYFUNCTION("IF
(
G2794=""фізична особа""
,
VLOOKUP(H2794,IMPORTRANGE(""https://docs.google.com/spreadsheets/d/14Bd19lYaqBhU8_DElYkX7l4wRkHqqCUFNJY4AfY3kHU/edit?usp=sharing  #gid=0"",""фіз особи new!relations_name""),6,FALSE)
,
(IF
(
G2794=""юридична особа""
,
VLOOKUP"&amp;"(H2794,IMPORTRANGE(""https://docs.google.com/spreadsheets/d/14Bd19lYaqBhU8_DElYkX7l4wRkHqqCUFNJY4AfY3kHU/edit?usp=sharing  #gid=0"",""фіз особи new!relations_name_uo""),7,FALSE)
,
)
))"),"#N/A")</f>
        <v>#N/A</v>
      </c>
      <c r="J2793" s="7" t="s">
        <v>48</v>
      </c>
    </row>
    <row r="2794" spans="1:10" ht="13.2">
      <c r="A2794" s="7">
        <v>2793</v>
      </c>
      <c r="B2794" s="7">
        <v>1</v>
      </c>
      <c r="C2794" s="7" t="s">
        <v>10</v>
      </c>
      <c r="D2794" s="7">
        <v>806</v>
      </c>
      <c r="E2794" s="7" t="s">
        <v>14</v>
      </c>
      <c r="F2794" s="8" t="str">
        <f ca="1">IFERROR(__xludf.DUMMYFUNCTION("IF
(
C2795=""фізична особа""
,
VLOOKUP(D2795,IMPORTRANGE(""https://docs.google.com/spreadsheets/d/14Bd19lYaqBhU8_DElYkX7l4wRkHqqCUFNJY4AfY3kHU/edit?usp=sharing  #gid=0"",""фіз особи new!relations_name""),6,FALSE)
,
(IF
(
C2795=""юридична особа""
,
VLOOKUP"&amp;"(D2795,IMPORTRANGE(""https://docs.google.com/spreadsheets/d/14Bd19lYaqBhU8_DElYkX7l4wRkHqqCUFNJY4AfY3kHU/edit?usp=sharing  #gid=0"",""фіз особи new!relations_name_uo""),7,FALSE)
,
)
))"),"ІКОННІКОВ Василь Миколайович")</f>
        <v>ІКОННІКОВ Василь Миколайович</v>
      </c>
      <c r="G2794" s="7" t="s">
        <v>10</v>
      </c>
      <c r="H2794" s="7">
        <v>4318</v>
      </c>
      <c r="I2794" s="8" t="str">
        <f ca="1">IFERROR(__xludf.DUMMYFUNCTION("IF
(
G2795=""фізична особа""
,
VLOOKUP(H2795,IMPORTRANGE(""https://docs.google.com/spreadsheets/d/14Bd19lYaqBhU8_DElYkX7l4wRkHqqCUFNJY4AfY3kHU/edit?usp=sharing  #gid=0"",""фіз особи new!relations_name""),6,FALSE)
,
(IF
(
G2795=""юридична особа""
,
VLOOKUP"&amp;"(H2795,IMPORTRANGE(""https://docs.google.com/spreadsheets/d/14Bd19lYaqBhU8_DElYkX7l4wRkHqqCUFNJY4AfY3kHU/edit?usp=sharing  #gid=0"",""фіз особи new!relations_name_uo""),7,FALSE)
,
)
))"),"ІКОННІКОВА Тетяна Павлівна")</f>
        <v>ІКОННІКОВА Тетяна Павлівна</v>
      </c>
      <c r="J2794" s="7" t="s">
        <v>15</v>
      </c>
    </row>
    <row r="2795" spans="1:10" ht="13.2">
      <c r="A2795" s="7">
        <v>2794</v>
      </c>
      <c r="B2795" s="7">
        <v>1</v>
      </c>
      <c r="C2795" s="7" t="s">
        <v>10</v>
      </c>
      <c r="D2795" s="7">
        <v>807</v>
      </c>
      <c r="E2795" s="7" t="s">
        <v>11</v>
      </c>
      <c r="F2795" s="8" t="str">
        <f ca="1">IFERROR(__xludf.DUMMYFUNCTION("IF
(
C2796=""фізична особа""
,
VLOOKUP(D2796,IMPORTRANGE(""https://docs.google.com/spreadsheets/d/14Bd19lYaqBhU8_DElYkX7l4wRkHqqCUFNJY4AfY3kHU/edit?usp=sharing  #gid=0"",""фіз особи new!relations_name""),6,FALSE)
,
(IF
(
C2796=""юридична особа""
,
VLOOKUP"&amp;"(D2796,IMPORTRANGE(""https://docs.google.com/spreadsheets/d/14Bd19lYaqBhU8_DElYkX7l4wRkHqqCUFNJY4AfY3kHU/edit?usp=sharing  #gid=0"",""фіз особи new!relations_name_uo""),7,FALSE)
,
)
))"),"ВАВУЛІН Дмитро Миколайович")</f>
        <v>ВАВУЛІН Дмитро Миколайович</v>
      </c>
      <c r="G2795" s="7" t="s">
        <v>10</v>
      </c>
      <c r="H2795" s="7">
        <v>225</v>
      </c>
      <c r="I2795" s="8" t="str">
        <f ca="1">IFERROR(__xludf.DUMMYFUNCTION("IF
(
G2796=""фізична особа""
,
VLOOKUP(H2796,IMPORTRANGE(""https://docs.google.com/spreadsheets/d/14Bd19lYaqBhU8_DElYkX7l4wRkHqqCUFNJY4AfY3kHU/edit?usp=sharing  #gid=0"",""фіз особи new!relations_name""),6,FALSE)
,
(IF
(
G2796=""юридична особа""
,
VLOOKUP"&amp;"(H2796,IMPORTRANGE(""https://docs.google.com/spreadsheets/d/14Bd19lYaqBhU8_DElYkX7l4wRkHqqCUFNJY4AfY3kHU/edit?usp=sharing  #gid=0"",""фіз особи new!relations_name_uo""),7,FALSE)
,
)
))"),"ГЕОРГІЄВА Олена Олександрівна")</f>
        <v>ГЕОРГІЄВА Олена Олександрівна</v>
      </c>
      <c r="J2795" s="7" t="s">
        <v>11</v>
      </c>
    </row>
    <row r="2796" spans="1:10" ht="13.2">
      <c r="A2796" s="7">
        <v>2795</v>
      </c>
      <c r="B2796" s="7">
        <v>1</v>
      </c>
      <c r="C2796" s="7" t="s">
        <v>10</v>
      </c>
      <c r="D2796" s="7">
        <v>807</v>
      </c>
      <c r="E2796" s="7" t="s">
        <v>11</v>
      </c>
      <c r="F2796" s="8" t="str">
        <f ca="1">IFERROR(__xludf.DUMMYFUNCTION("IF
(
C2797=""фізична особа""
,
VLOOKUP(D2797,IMPORTRANGE(""https://docs.google.com/spreadsheets/d/14Bd19lYaqBhU8_DElYkX7l4wRkHqqCUFNJY4AfY3kHU/edit?usp=sharing  #gid=0"",""фіз особи new!relations_name""),6,FALSE)
,
(IF
(
C2797=""юридична особа""
,
VLOOKUP"&amp;"(D2797,IMPORTRANGE(""https://docs.google.com/spreadsheets/d/14Bd19lYaqBhU8_DElYkX7l4wRkHqqCUFNJY4AfY3kHU/edit?usp=sharing  #gid=0"",""фіз особи new!relations_name_uo""),7,FALSE)
,
)
))"),"ВАВУЛІН Дмитро Миколайович")</f>
        <v>ВАВУЛІН Дмитро Миколайович</v>
      </c>
      <c r="G2796" s="7" t="s">
        <v>10</v>
      </c>
      <c r="H2796" s="7">
        <v>136</v>
      </c>
      <c r="I2796" s="8" t="str">
        <f ca="1">IFERROR(__xludf.DUMMYFUNCTION("IF
(
G2797=""фізична особа""
,
VLOOKUP(H2797,IMPORTRANGE(""https://docs.google.com/spreadsheets/d/14Bd19lYaqBhU8_DElYkX7l4wRkHqqCUFNJY4AfY3kHU/edit?usp=sharing  #gid=0"",""фіз особи new!relations_name""),6,FALSE)
,
(IF
(
G2797=""юридична особа""
,
VLOOKUP"&amp;"(H2797,IMPORTRANGE(""https://docs.google.com/spreadsheets/d/14Bd19lYaqBhU8_DElYkX7l4wRkHqqCUFNJY4AfY3kHU/edit?usp=sharing  #gid=0"",""фіз особи new!relations_name_uo""),7,FALSE)
,
)
))"),"БЄЛОУС Герман Валентинович")</f>
        <v>БЄЛОУС Герман Валентинович</v>
      </c>
      <c r="J2796" s="7" t="s">
        <v>11</v>
      </c>
    </row>
    <row r="2797" spans="1:10" ht="13.2">
      <c r="A2797" s="7">
        <v>2796</v>
      </c>
      <c r="B2797" s="7">
        <v>1</v>
      </c>
      <c r="C2797" s="7" t="s">
        <v>10</v>
      </c>
      <c r="D2797" s="7">
        <v>807</v>
      </c>
      <c r="E2797" s="7" t="s">
        <v>11</v>
      </c>
      <c r="F2797" s="8" t="str">
        <f ca="1">IFERROR(__xludf.DUMMYFUNCTION("IF
(
C2798=""фізична особа""
,
VLOOKUP(D2798,IMPORTRANGE(""https://docs.google.com/spreadsheets/d/14Bd19lYaqBhU8_DElYkX7l4wRkHqqCUFNJY4AfY3kHU/edit?usp=sharing  #gid=0"",""фіз особи new!relations_name""),6,FALSE)
,
(IF
(
C2798=""юридична особа""
,
VLOOKUP"&amp;"(D2798,IMPORTRANGE(""https://docs.google.com/spreadsheets/d/14Bd19lYaqBhU8_DElYkX7l4wRkHqqCUFNJY4AfY3kHU/edit?usp=sharing  #gid=0"",""фіз особи new!relations_name_uo""),7,FALSE)
,
)
))"),"ВАВУЛІН Дмитро Миколайович")</f>
        <v>ВАВУЛІН Дмитро Миколайович</v>
      </c>
      <c r="G2797" s="7" t="s">
        <v>10</v>
      </c>
      <c r="H2797" s="7">
        <v>648</v>
      </c>
      <c r="I2797" s="8" t="str">
        <f ca="1">IFERROR(__xludf.DUMMYFUNCTION("IF
(
G2798=""фізична особа""
,
VLOOKUP(H2798,IMPORTRANGE(""https://docs.google.com/spreadsheets/d/14Bd19lYaqBhU8_DElYkX7l4wRkHqqCUFNJY4AfY3kHU/edit?usp=sharing  #gid=0"",""фіз особи new!relations_name""),6,FALSE)
,
(IF
(
G2798=""юридична особа""
,
VLOOKUP"&amp;"(H2798,IMPORTRANGE(""https://docs.google.com/spreadsheets/d/14Bd19lYaqBhU8_DElYkX7l4wRkHqqCUFNJY4AfY3kHU/edit?usp=sharing  #gid=0"",""фіз особи new!relations_name_uo""),7,FALSE)
,
)
))"),"САПЄЛІН Андрій Юрійович")</f>
        <v>САПЄЛІН Андрій Юрійович</v>
      </c>
      <c r="J2797" s="7" t="s">
        <v>11</v>
      </c>
    </row>
    <row r="2798" spans="1:10" ht="13.2">
      <c r="A2798" s="7">
        <v>2797</v>
      </c>
      <c r="B2798" s="7">
        <v>1</v>
      </c>
      <c r="C2798" s="7" t="s">
        <v>10</v>
      </c>
      <c r="D2798" s="7">
        <v>808</v>
      </c>
      <c r="E2798" s="7" t="s">
        <v>13</v>
      </c>
      <c r="F2798" s="8" t="str">
        <f ca="1">IFERROR(__xludf.DUMMYFUNCTION("IF
(
C2799=""фізична особа""
,
VLOOKUP(D2799,IMPORTRANGE(""https://docs.google.com/spreadsheets/d/14Bd19lYaqBhU8_DElYkX7l4wRkHqqCUFNJY4AfY3kHU/edit?usp=sharing  #gid=0"",""фіз особи new!relations_name""),6,FALSE)
,
(IF
(
C2799=""юридична особа""
,
VLOOKUP"&amp;"(D2799,IMPORTRANGE(""https://docs.google.com/spreadsheets/d/14Bd19lYaqBhU8_DElYkX7l4wRkHqqCUFNJY4AfY3kHU/edit?usp=sharing  #gid=0"",""фіз особи new!relations_name_uo""),7,FALSE)
,
)
))"),"ВЛАСОВА Вероніка Валеріївна")</f>
        <v>ВЛАСОВА Вероніка Валеріївна</v>
      </c>
      <c r="G2798" s="7" t="s">
        <v>10</v>
      </c>
      <c r="H2798" s="7">
        <v>0</v>
      </c>
      <c r="I2798" s="8" t="str">
        <f ca="1">IFERROR(__xludf.DUMMYFUNCTION("IF
(
G2799=""фізична особа""
,
VLOOKUP(H2799,IMPORTRANGE(""https://docs.google.com/spreadsheets/d/14Bd19lYaqBhU8_DElYkX7l4wRkHqqCUFNJY4AfY3kHU/edit?usp=sharing  #gid=0"",""фіз особи new!relations_name""),6,FALSE)
,
(IF
(
G2799=""юридична особа""
,
VLOOKUP"&amp;"(H2799,IMPORTRANGE(""https://docs.google.com/spreadsheets/d/14Bd19lYaqBhU8_DElYkX7l4wRkHqqCUFNJY4AfY3kHU/edit?usp=sharing  #gid=0"",""фіз особи new!relations_name_uo""),7,FALSE)
,
)
))"),"#N/A")</f>
        <v>#N/A</v>
      </c>
      <c r="J2798" s="7" t="s">
        <v>12</v>
      </c>
    </row>
    <row r="2799" spans="1:10" ht="13.2">
      <c r="A2799" s="7">
        <v>2798</v>
      </c>
      <c r="B2799" s="7">
        <v>1</v>
      </c>
      <c r="C2799" s="7" t="s">
        <v>10</v>
      </c>
      <c r="D2799" s="7">
        <v>809</v>
      </c>
      <c r="E2799" s="7" t="s">
        <v>28</v>
      </c>
      <c r="F2799" s="8" t="str">
        <f ca="1">IFERROR(__xludf.DUMMYFUNCTION("IF
(
C2800=""фізична особа""
,
VLOOKUP(D2800,IMPORTRANGE(""https://docs.google.com/spreadsheets/d/14Bd19lYaqBhU8_DElYkX7l4wRkHqqCUFNJY4AfY3kHU/edit?usp=sharing  #gid=0"",""фіз особи new!relations_name""),6,FALSE)
,
(IF
(
C2800=""юридична особа""
,
VLOOKUP"&amp;"(D2800,IMPORTRANGE(""https://docs.google.com/spreadsheets/d/14Bd19lYaqBhU8_DElYkX7l4wRkHqqCUFNJY4AfY3kHU/edit?usp=sharing  #gid=0"",""фіз особи new!relations_name_uo""),7,FALSE)
,
)
))"),"РОССОЛАЙ В'ячеслав Євгенович")</f>
        <v>РОССОЛАЙ В'ячеслав Євгенович</v>
      </c>
      <c r="G2799" s="7" t="s">
        <v>10</v>
      </c>
      <c r="H2799" s="7">
        <v>0</v>
      </c>
      <c r="I2799" s="8" t="str">
        <f ca="1">IFERROR(__xludf.DUMMYFUNCTION("IF
(
G2800=""фізична особа""
,
VLOOKUP(H2800,IMPORTRANGE(""https://docs.google.com/spreadsheets/d/14Bd19lYaqBhU8_DElYkX7l4wRkHqqCUFNJY4AfY3kHU/edit?usp=sharing  #gid=0"",""фіз особи new!relations_name""),6,FALSE)
,
(IF
(
G2800=""юридична особа""
,
VLOOKUP"&amp;"(H2800,IMPORTRANGE(""https://docs.google.com/spreadsheets/d/14Bd19lYaqBhU8_DElYkX7l4wRkHqqCUFNJY4AfY3kHU/edit?usp=sharing  #gid=0"",""фіз особи new!relations_name_uo""),7,FALSE)
,
)
))"),"#N/A")</f>
        <v>#N/A</v>
      </c>
      <c r="J2799" s="7" t="s">
        <v>29</v>
      </c>
    </row>
    <row r="2800" spans="1:10" ht="13.2">
      <c r="A2800" s="7">
        <v>2799</v>
      </c>
      <c r="B2800" s="7">
        <v>1</v>
      </c>
      <c r="C2800" s="7" t="s">
        <v>10</v>
      </c>
      <c r="D2800" s="7">
        <v>810</v>
      </c>
      <c r="E2800" s="7" t="s">
        <v>12</v>
      </c>
      <c r="F2800" s="8" t="str">
        <f ca="1">IFERROR(__xludf.DUMMYFUNCTION("IF
(
C2801=""фізична особа""
,
VLOOKUP(D2801,IMPORTRANGE(""https://docs.google.com/spreadsheets/d/14Bd19lYaqBhU8_DElYkX7l4wRkHqqCUFNJY4AfY3kHU/edit?usp=sharing  #gid=0"",""фіз особи new!relations_name""),6,FALSE)
,
(IF
(
C2801=""юридична особа""
,
VLOOKUP"&amp;"(D2801,IMPORTRANGE(""https://docs.google.com/spreadsheets/d/14Bd19lYaqBhU8_DElYkX7l4wRkHqqCUFNJY4AfY3kHU/edit?usp=sharing  #gid=0"",""фіз особи new!relations_name_uo""),7,FALSE)
,
)
))"),"ДЕРЯБКІН Віктор Юхимович")</f>
        <v>ДЕРЯБКІН Віктор Юхимович</v>
      </c>
      <c r="G2800" s="7" t="s">
        <v>10</v>
      </c>
      <c r="H2800" s="7">
        <v>15532</v>
      </c>
      <c r="I2800" s="8" t="str">
        <f ca="1">IFERROR(__xludf.DUMMYFUNCTION("IF
(
G2801=""фізична особа""
,
VLOOKUP(H2801,IMPORTRANGE(""https://docs.google.com/spreadsheets/d/14Bd19lYaqBhU8_DElYkX7l4wRkHqqCUFNJY4AfY3kHU/edit?usp=sharing  #gid=0"",""фіз особи new!relations_name""),6,FALSE)
,
(IF
(
G2801=""юридична особа""
,
VLOOKUP"&amp;"(H2801,IMPORTRANGE(""https://docs.google.com/spreadsheets/d/14Bd19lYaqBhU8_DElYkX7l4wRkHqqCUFNJY4AfY3kHU/edit?usp=sharing  #gid=0"",""фіз особи new!relations_name_uo""),7,FALSE)
,
)
))"),"ДЕРЯБКІНА Юлія Вікторівна")</f>
        <v>ДЕРЯБКІНА Юлія Вікторівна</v>
      </c>
      <c r="J2800" s="7" t="s">
        <v>13</v>
      </c>
    </row>
    <row r="2801" spans="1:10" ht="13.2">
      <c r="A2801" s="7">
        <v>2800</v>
      </c>
      <c r="B2801" s="7">
        <v>1</v>
      </c>
      <c r="C2801" s="7" t="s">
        <v>10</v>
      </c>
      <c r="D2801" s="7">
        <v>810</v>
      </c>
      <c r="E2801" s="7" t="s">
        <v>24</v>
      </c>
      <c r="F2801" s="8" t="str">
        <f ca="1">IFERROR(__xludf.DUMMYFUNCTION("IF
(
C2802=""фізична особа""
,
VLOOKUP(D2802,IMPORTRANGE(""https://docs.google.com/spreadsheets/d/14Bd19lYaqBhU8_DElYkX7l4wRkHqqCUFNJY4AfY3kHU/edit?usp=sharing  #gid=0"",""фіз особи new!relations_name""),6,FALSE)
,
(IF
(
C2802=""юридична особа""
,
VLOOKUP"&amp;"(D2802,IMPORTRANGE(""https://docs.google.com/spreadsheets/d/14Bd19lYaqBhU8_DElYkX7l4wRkHqqCUFNJY4AfY3kHU/edit?usp=sharing  #gid=0"",""фіз особи new!relations_name_uo""),7,FALSE)
,
)
))"),"ДЕРЯБКІН Віктор Юхимович")</f>
        <v>ДЕРЯБКІН Віктор Юхимович</v>
      </c>
      <c r="G2801" s="7" t="s">
        <v>10</v>
      </c>
      <c r="H2801" s="7">
        <v>15644</v>
      </c>
      <c r="I2801" s="8" t="str">
        <f ca="1">IFERROR(__xludf.DUMMYFUNCTION("IF
(
G2802=""фізична особа""
,
VLOOKUP(H2802,IMPORTRANGE(""https://docs.google.com/spreadsheets/d/14Bd19lYaqBhU8_DElYkX7l4wRkHqqCUFNJY4AfY3kHU/edit?usp=sharing  #gid=0"",""фіз особи new!relations_name""),6,FALSE)
,
(IF
(
G2802=""юридична особа""
,
VLOOKUP"&amp;"(H2802,IMPORTRANGE(""https://docs.google.com/spreadsheets/d/14Bd19lYaqBhU8_DElYkX7l4wRkHqqCUFNJY4AfY3kHU/edit?usp=sharing  #gid=0"",""фіз особи new!relations_name_uo""),7,FALSE)
,
)
))"),"КОВАЛЕВСЬКИЙ Олексій Олександрович")</f>
        <v>КОВАЛЕВСЬКИЙ Олексій Олександрович</v>
      </c>
      <c r="J2801" s="7" t="s">
        <v>26</v>
      </c>
    </row>
    <row r="2802" spans="1:10" ht="13.2">
      <c r="A2802" s="7">
        <v>2801</v>
      </c>
      <c r="B2802" s="7">
        <v>1</v>
      </c>
      <c r="C2802" s="7" t="s">
        <v>10</v>
      </c>
      <c r="D2802" s="7">
        <v>811</v>
      </c>
      <c r="E2802" s="7" t="s">
        <v>28</v>
      </c>
      <c r="F2802" s="8" t="str">
        <f ca="1">IFERROR(__xludf.DUMMYFUNCTION("IF
(
C2803=""фізична особа""
,
VLOOKUP(D2803,IMPORTRANGE(""https://docs.google.com/spreadsheets/d/14Bd19lYaqBhU8_DElYkX7l4wRkHqqCUFNJY4AfY3kHU/edit?usp=sharing  #gid=0"",""фіз особи new!relations_name""),6,FALSE)
,
(IF
(
C2803=""юридична особа""
,
VLOOKUP"&amp;"(D2803,IMPORTRANGE(""https://docs.google.com/spreadsheets/d/14Bd19lYaqBhU8_DElYkX7l4wRkHqqCUFNJY4AfY3kHU/edit?usp=sharing  #gid=0"",""фіз особи new!relations_name_uo""),7,FALSE)
,
)
))"),"ГАВРІЛОВ Віктор Євдокимович")</f>
        <v>ГАВРІЛОВ Віктор Євдокимович</v>
      </c>
      <c r="G2802" s="7" t="s">
        <v>10</v>
      </c>
      <c r="H2802" s="7">
        <v>13</v>
      </c>
      <c r="I2802" s="8" t="str">
        <f ca="1">IFERROR(__xludf.DUMMYFUNCTION("IF
(
G2803=""фізична особа""
,
VLOOKUP(H2803,IMPORTRANGE(""https://docs.google.com/spreadsheets/d/14Bd19lYaqBhU8_DElYkX7l4wRkHqqCUFNJY4AfY3kHU/edit?usp=sharing  #gid=0"",""фіз особи new!relations_name""),6,FALSE)
,
(IF
(
G2803=""юридична особа""
,
VLOOKUP"&amp;"(H2803,IMPORTRANGE(""https://docs.google.com/spreadsheets/d/14Bd19lYaqBhU8_DElYkX7l4wRkHqqCUFNJY4AfY3kHU/edit?usp=sharing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2802" s="7" t="s">
        <v>29</v>
      </c>
    </row>
    <row r="2803" spans="1:10" ht="13.2">
      <c r="A2803" s="7">
        <v>2802</v>
      </c>
      <c r="B2803" s="7">
        <v>1</v>
      </c>
      <c r="C2803" s="7" t="s">
        <v>10</v>
      </c>
      <c r="D2803" s="7">
        <v>812</v>
      </c>
      <c r="E2803" s="7" t="s">
        <v>48</v>
      </c>
      <c r="F2803" s="8" t="str">
        <f ca="1">IFERROR(__xludf.DUMMYFUNCTION("IF
(
C2804=""фізична особа""
,
VLOOKUP(D2804,IMPORTRANGE(""https://docs.google.com/spreadsheets/d/14Bd19lYaqBhU8_DElYkX7l4wRkHqqCUFNJY4AfY3kHU/edit?usp=sharing  #gid=0"",""фіз особи new!relations_name""),6,FALSE)
,
(IF
(
C2804=""юридична особа""
,
VLOOKUP"&amp;"(D2804,IMPORTRANGE(""https://docs.google.com/spreadsheets/d/14Bd19lYaqBhU8_DElYkX7l4wRkHqqCUFNJY4AfY3kHU/edit?usp=sharing  #gid=0"",""фіз особи new!relations_name_uo""),7,FALSE)
,
)
))"),"НОВЮХОВ Олександр В'ячеславович")</f>
        <v>НОВЮХОВ Олександр В'ячеславович</v>
      </c>
      <c r="G2803" s="7" t="s">
        <v>10</v>
      </c>
      <c r="H2803" s="7">
        <v>0</v>
      </c>
      <c r="I2803" s="8" t="str">
        <f ca="1">IFERROR(__xludf.DUMMYFUNCTION("IF
(
G2804=""фізична особа""
,
VLOOKUP(H2804,IMPORTRANGE(""https://docs.google.com/spreadsheets/d/14Bd19lYaqBhU8_DElYkX7l4wRkHqqCUFNJY4AfY3kHU/edit?usp=sharing  #gid=0"",""фіз особи new!relations_name""),6,FALSE)
,
(IF
(
G2804=""юридична особа""
,
VLOOKUP"&amp;"(H2804,IMPORTRANGE(""https://docs.google.com/spreadsheets/d/14Bd19lYaqBhU8_DElYkX7l4wRkHqqCUFNJY4AfY3kHU/edit?usp=sharing  #gid=0"",""фіз особи new!relations_name_uo""),7,FALSE)
,
)
))"),"#N/A")</f>
        <v>#N/A</v>
      </c>
      <c r="J2803" s="7" t="s">
        <v>48</v>
      </c>
    </row>
    <row r="2804" spans="1:10" ht="13.2">
      <c r="A2804" s="7">
        <v>2803</v>
      </c>
      <c r="B2804" s="7">
        <v>1</v>
      </c>
      <c r="C2804" s="7" t="s">
        <v>10</v>
      </c>
      <c r="D2804" s="7">
        <v>813</v>
      </c>
      <c r="E2804" s="7" t="s">
        <v>35</v>
      </c>
      <c r="F2804" s="8" t="str">
        <f ca="1">IFERROR(__xludf.DUMMYFUNCTION("IF
(
C2805=""фізична особа""
,
VLOOKUP(D2805,IMPORTRANGE(""https://docs.google.com/spreadsheets/d/14Bd19lYaqBhU8_DElYkX7l4wRkHqqCUFNJY4AfY3kHU/edit?usp=sharing  #gid=0"",""фіз особи new!relations_name""),6,FALSE)
,
(IF
(
C2805=""юридична особа""
,
VLOOKUP"&amp;"(D2805,IMPORTRANGE(""https://docs.google.com/spreadsheets/d/14Bd19lYaqBhU8_DElYkX7l4wRkHqqCUFNJY4AfY3kHU/edit?usp=sharing  #gid=0"",""фіз особи new!relations_name_uo""),7,FALSE)
,
)
))"),"СОЙКО Віктор Володимирович")</f>
        <v>СОЙКО Віктор Володимирович</v>
      </c>
      <c r="G2804" s="7" t="s">
        <v>10</v>
      </c>
      <c r="H2804" s="7">
        <v>927</v>
      </c>
      <c r="I2804" s="8" t="str">
        <f ca="1">IFERROR(__xludf.DUMMYFUNCTION("IF
(
G2805=""фізична особа""
,
VLOOKUP(H2805,IMPORTRANGE(""https://docs.google.com/spreadsheets/d/14Bd19lYaqBhU8_DElYkX7l4wRkHqqCUFNJY4AfY3kHU/edit?usp=sharing  #gid=0"",""фіз особи new!relations_name""),6,FALSE)
,
(IF
(
G2805=""юридична особа""
,
VLOOKUP"&amp;"(H2805,IMPORTRANGE(""https://docs.google.com/spreadsheets/d/14Bd19lYaqBhU8_DElYkX7l4wRkHqqCUFNJY4AfY3kHU/edit?usp=sharing  #gid=0"",""фіз особи new!relations_name_uo""),7,FALSE)
,
)
))"),"ПЕЙГАНОВИЧ Юрій Михайлович")</f>
        <v>ПЕЙГАНОВИЧ Юрій Михайлович</v>
      </c>
      <c r="J2804" s="7" t="s">
        <v>35</v>
      </c>
    </row>
    <row r="2805" spans="1:10" ht="13.2">
      <c r="A2805" s="7">
        <v>2804</v>
      </c>
      <c r="B2805" s="7">
        <v>1</v>
      </c>
      <c r="C2805" s="7" t="s">
        <v>10</v>
      </c>
      <c r="D2805" s="7">
        <v>813</v>
      </c>
      <c r="E2805" s="7" t="s">
        <v>35</v>
      </c>
      <c r="F2805" s="8" t="str">
        <f ca="1">IFERROR(__xludf.DUMMYFUNCTION("IF
(
C2806=""фізична особа""
,
VLOOKUP(D2806,IMPORTRANGE(""https://docs.google.com/spreadsheets/d/14Bd19lYaqBhU8_DElYkX7l4wRkHqqCUFNJY4AfY3kHU/edit?usp=sharing  #gid=0"",""фіз особи new!relations_name""),6,FALSE)
,
(IF
(
C2806=""юридична особа""
,
VLOOKUP"&amp;"(D2806,IMPORTRANGE(""https://docs.google.com/spreadsheets/d/14Bd19lYaqBhU8_DElYkX7l4wRkHqqCUFNJY4AfY3kHU/edit?usp=sharing  #gid=0"",""фіз особи new!relations_name_uo""),7,FALSE)
,
)
))"),"СОЙКО Віктор Володимирович")</f>
        <v>СОЙКО Віктор Володимирович</v>
      </c>
      <c r="G2805" s="7" t="s">
        <v>10</v>
      </c>
      <c r="H2805" s="7">
        <v>28</v>
      </c>
      <c r="I2805" s="8" t="str">
        <f ca="1">IFERROR(__xludf.DUMMYFUNCTION("IF
(
G2806=""фізична особа""
,
VLOOKUP(H2806,IMPORTRANGE(""https://docs.google.com/spreadsheets/d/14Bd19lYaqBhU8_DElYkX7l4wRkHqqCUFNJY4AfY3kHU/edit?usp=sharing  #gid=0"",""фіз особи new!relations_name""),6,FALSE)
,
(IF
(
G2806=""юридична особа""
,
VLOOKUP"&amp;"(H2806,IMPORTRANGE(""https://docs.google.com/spreadsheets/d/14Bd19lYaqBhU8_DElYkX7l4wRkHqqCUFNJY4AfY3kHU/edit?usp=sharing  #gid=0"",""фіз особи new!relations_name_uo""),7,FALSE)
,
)
))"),"БУЛАВКО Анатолій Анатолійович")</f>
        <v>БУЛАВКО Анатолій Анатолійович</v>
      </c>
      <c r="J2805" s="7" t="s">
        <v>35</v>
      </c>
    </row>
    <row r="2806" spans="1:10" ht="13.2">
      <c r="A2806" s="7">
        <v>2805</v>
      </c>
      <c r="B2806" s="7">
        <v>1</v>
      </c>
      <c r="C2806" s="7" t="s">
        <v>10</v>
      </c>
      <c r="D2806" s="7">
        <v>813</v>
      </c>
      <c r="E2806" s="7" t="s">
        <v>35</v>
      </c>
      <c r="F2806" s="8" t="str">
        <f ca="1">IFERROR(__xludf.DUMMYFUNCTION("IF
(
C2807=""фізична особа""
,
VLOOKUP(D2807,IMPORTRANGE(""https://docs.google.com/spreadsheets/d/14Bd19lYaqBhU8_DElYkX7l4wRkHqqCUFNJY4AfY3kHU/edit?usp=sharing  #gid=0"",""фіз особи new!relations_name""),6,FALSE)
,
(IF
(
C2807=""юридична особа""
,
VLOOKUP"&amp;"(D2807,IMPORTRANGE(""https://docs.google.com/spreadsheets/d/14Bd19lYaqBhU8_DElYkX7l4wRkHqqCUFNJY4AfY3kHU/edit?usp=sharing  #gid=0"",""фіз особи new!relations_name_uo""),7,FALSE)
,
)
))"),"СОЙКО Віктор Володимирович")</f>
        <v>СОЙКО Віктор Володимирович</v>
      </c>
      <c r="G2806" s="7" t="s">
        <v>10</v>
      </c>
      <c r="H2806" s="7">
        <v>0</v>
      </c>
      <c r="I2806" s="8" t="str">
        <f ca="1">IFERROR(__xludf.DUMMYFUNCTION("IF
(
G2807=""фізична особа""
,
VLOOKUP(H2807,IMPORTRANGE(""https://docs.google.com/spreadsheets/d/14Bd19lYaqBhU8_DElYkX7l4wRkHqqCUFNJY4AfY3kHU/edit?usp=sharing  #gid=0"",""фіз особи new!relations_name""),6,FALSE)
,
(IF
(
G2807=""юридична особа""
,
VLOOKUP"&amp;"(H2807,IMPORTRANGE(""https://docs.google.com/spreadsheets/d/14Bd19lYaqBhU8_DElYkX7l4wRkHqqCUFNJY4AfY3kHU/edit?usp=sharing  #gid=0"",""фіз особи new!relations_name_uo""),7,FALSE)
,
)
))"),"#N/A")</f>
        <v>#N/A</v>
      </c>
      <c r="J2806" s="7" t="s">
        <v>35</v>
      </c>
    </row>
    <row r="2807" spans="1:10" ht="13.2">
      <c r="A2807" s="7">
        <v>2806</v>
      </c>
      <c r="B2807" s="7">
        <v>1</v>
      </c>
      <c r="C2807" s="7" t="s">
        <v>10</v>
      </c>
      <c r="D2807" s="7">
        <v>813</v>
      </c>
      <c r="E2807" s="7" t="s">
        <v>35</v>
      </c>
      <c r="F2807" s="8" t="str">
        <f ca="1">IFERROR(__xludf.DUMMYFUNCTION("IF
(
C2808=""фізична особа""
,
VLOOKUP(D2808,IMPORTRANGE(""https://docs.google.com/spreadsheets/d/14Bd19lYaqBhU8_DElYkX7l4wRkHqqCUFNJY4AfY3kHU/edit?usp=sharing  #gid=0"",""фіз особи new!relations_name""),6,FALSE)
,
(IF
(
C2808=""юридична особа""
,
VLOOKUP"&amp;"(D2808,IMPORTRANGE(""https://docs.google.com/spreadsheets/d/14Bd19lYaqBhU8_DElYkX7l4wRkHqqCUFNJY4AfY3kHU/edit?usp=sharing  #gid=0"",""фіз особи new!relations_name_uo""),7,FALSE)
,
)
))"),"СОЙКО Віктор Володимирович")</f>
        <v>СОЙКО Віктор Володимирович</v>
      </c>
      <c r="G2807" s="7" t="s">
        <v>10</v>
      </c>
      <c r="H2807" s="7">
        <v>0</v>
      </c>
      <c r="I2807" s="8" t="str">
        <f ca="1">IFERROR(__xludf.DUMMYFUNCTION("IF
(
G2808=""фізична особа""
,
VLOOKUP(H2808,IMPORTRANGE(""https://docs.google.com/spreadsheets/d/14Bd19lYaqBhU8_DElYkX7l4wRkHqqCUFNJY4AfY3kHU/edit?usp=sharing  #gid=0"",""фіз особи new!relations_name""),6,FALSE)
,
(IF
(
G2808=""юридична особа""
,
VLOOKUP"&amp;"(H2808,IMPORTRANGE(""https://docs.google.com/spreadsheets/d/14Bd19lYaqBhU8_DElYkX7l4wRkHqqCUFNJY4AfY3kHU/edit?usp=sharing  #gid=0"",""фіз особи new!relations_name_uo""),7,FALSE)
,
)
))"),"#N/A")</f>
        <v>#N/A</v>
      </c>
      <c r="J2807" s="7" t="s">
        <v>35</v>
      </c>
    </row>
    <row r="2808" spans="1:10" ht="13.2">
      <c r="A2808" s="7">
        <v>2807</v>
      </c>
      <c r="B2808" s="7">
        <v>1</v>
      </c>
      <c r="C2808" s="7" t="s">
        <v>10</v>
      </c>
      <c r="D2808" s="7">
        <v>815</v>
      </c>
      <c r="E2808" s="7" t="s">
        <v>12</v>
      </c>
      <c r="F2808" s="8" t="str">
        <f ca="1">IFERROR(__xludf.DUMMYFUNCTION("IF
(
C2809=""фізична особа""
,
VLOOKUP(D2809,IMPORTRANGE(""https://docs.google.com/spreadsheets/d/14Bd19lYaqBhU8_DElYkX7l4wRkHqqCUFNJY4AfY3kHU/edit?usp=sharing  #gid=0"",""фіз особи new!relations_name""),6,FALSE)
,
(IF
(
C2809=""юридична особа""
,
VLOOKUP"&amp;"(D2809,IMPORTRANGE(""https://docs.google.com/spreadsheets/d/14Bd19lYaqBhU8_DElYkX7l4wRkHqqCUFNJY4AfY3kHU/edit?usp=sharing  #gid=0"",""фіз особи new!relations_name_uo""),7,FALSE)
,
)
))"),"КАЗАКОВ Віктор Олексійович")</f>
        <v>КАЗАКОВ Віктор Олексійович</v>
      </c>
      <c r="G2808" s="7" t="s">
        <v>10</v>
      </c>
      <c r="H2808" s="7">
        <v>0</v>
      </c>
      <c r="I2808" s="8" t="str">
        <f ca="1">IFERROR(__xludf.DUMMYFUNCTION("IF
(
G2809=""фізична особа""
,
VLOOKUP(H2809,IMPORTRANGE(""https://docs.google.com/spreadsheets/d/14Bd19lYaqBhU8_DElYkX7l4wRkHqqCUFNJY4AfY3kHU/edit?usp=sharing  #gid=0"",""фіз особи new!relations_name""),6,FALSE)
,
(IF
(
G2809=""юридична особа""
,
VLOOKUP"&amp;"(H2809,IMPORTRANGE(""https://docs.google.com/spreadsheets/d/14Bd19lYaqBhU8_DElYkX7l4wRkHqqCUFNJY4AfY3kHU/edit?usp=sharing  #gid=0"",""фіз особи new!relations_name_uo""),7,FALSE)
,
)
))"),"#N/A")</f>
        <v>#N/A</v>
      </c>
      <c r="J2808" s="7" t="s">
        <v>13</v>
      </c>
    </row>
    <row r="2809" spans="1:10" ht="13.2">
      <c r="A2809" s="7">
        <v>2808</v>
      </c>
      <c r="B2809" s="7">
        <v>1</v>
      </c>
      <c r="C2809" s="7" t="s">
        <v>10</v>
      </c>
      <c r="D2809" s="7">
        <v>815</v>
      </c>
      <c r="E2809" s="7" t="s">
        <v>12</v>
      </c>
      <c r="F2809" s="8" t="str">
        <f ca="1">IFERROR(__xludf.DUMMYFUNCTION("IF
(
C2810=""фізична особа""
,
VLOOKUP(D2810,IMPORTRANGE(""https://docs.google.com/spreadsheets/d/14Bd19lYaqBhU8_DElYkX7l4wRkHqqCUFNJY4AfY3kHU/edit?usp=sharing  #gid=0"",""фіз особи new!relations_name""),6,FALSE)
,
(IF
(
C2810=""юридична особа""
,
VLOOKUP"&amp;"(D2810,IMPORTRANGE(""https://docs.google.com/spreadsheets/d/14Bd19lYaqBhU8_DElYkX7l4wRkHqqCUFNJY4AfY3kHU/edit?usp=sharing  #gid=0"",""фіз особи new!relations_name_uo""),7,FALSE)
,
)
))"),"КАЗАКОВ Віктор Олексійович")</f>
        <v>КАЗАКОВ Віктор Олексійович</v>
      </c>
      <c r="G2809" s="7" t="s">
        <v>10</v>
      </c>
      <c r="H2809" s="7">
        <v>0</v>
      </c>
      <c r="I2809" s="8" t="str">
        <f ca="1">IFERROR(__xludf.DUMMYFUNCTION("IF
(
G2810=""фізична особа""
,
VLOOKUP(H2810,IMPORTRANGE(""https://docs.google.com/spreadsheets/d/14Bd19lYaqBhU8_DElYkX7l4wRkHqqCUFNJY4AfY3kHU/edit?usp=sharing  #gid=0"",""фіз особи new!relations_name""),6,FALSE)
,
(IF
(
G2810=""юридична особа""
,
VLOOKUP"&amp;"(H2810,IMPORTRANGE(""https://docs.google.com/spreadsheets/d/14Bd19lYaqBhU8_DElYkX7l4wRkHqqCUFNJY4AfY3kHU/edit?usp=sharing  #gid=0"",""фіз особи new!relations_name_uo""),7,FALSE)
,
)
))"),"#N/A")</f>
        <v>#N/A</v>
      </c>
      <c r="J2809" s="7" t="s">
        <v>17</v>
      </c>
    </row>
    <row r="2810" spans="1:10" ht="13.2">
      <c r="A2810" s="7">
        <v>2809</v>
      </c>
      <c r="B2810" s="7">
        <v>1</v>
      </c>
      <c r="C2810" s="7" t="s">
        <v>10</v>
      </c>
      <c r="D2810" s="7">
        <v>815</v>
      </c>
      <c r="E2810" s="7" t="s">
        <v>14</v>
      </c>
      <c r="F2810" s="8" t="str">
        <f ca="1">IFERROR(__xludf.DUMMYFUNCTION("IF
(
C2811=""фізична особа""
,
VLOOKUP(D2811,IMPORTRANGE(""https://docs.google.com/spreadsheets/d/14Bd19lYaqBhU8_DElYkX7l4wRkHqqCUFNJY4AfY3kHU/edit?usp=sharing  #gid=0"",""фіз особи new!relations_name""),6,FALSE)
,
(IF
(
C2811=""юридична особа""
,
VLOOKUP"&amp;"(D2811,IMPORTRANGE(""https://docs.google.com/spreadsheets/d/14Bd19lYaqBhU8_DElYkX7l4wRkHqqCUFNJY4AfY3kHU/edit?usp=sharing  #gid=0"",""фіз особи new!relations_name_uo""),7,FALSE)
,
)
))"),"КАЗАКОВ Віктор Олексійович")</f>
        <v>КАЗАКОВ Віктор Олексійович</v>
      </c>
      <c r="G2810" s="7" t="s">
        <v>10</v>
      </c>
      <c r="H2810" s="7">
        <v>0</v>
      </c>
      <c r="I2810" s="8" t="str">
        <f ca="1">IFERROR(__xludf.DUMMYFUNCTION("IF
(
G2811=""фізична особа""
,
VLOOKUP(H2811,IMPORTRANGE(""https://docs.google.com/spreadsheets/d/14Bd19lYaqBhU8_DElYkX7l4wRkHqqCUFNJY4AfY3kHU/edit?usp=sharing  #gid=0"",""фіз особи new!relations_name""),6,FALSE)
,
(IF
(
G2811=""юридична особа""
,
VLOOKUP"&amp;"(H2811,IMPORTRANGE(""https://docs.google.com/spreadsheets/d/14Bd19lYaqBhU8_DElYkX7l4wRkHqqCUFNJY4AfY3kHU/edit?usp=sharing  #gid=0"",""фіз особи new!relations_name_uo""),7,FALSE)
,
)
))"),"#N/A")</f>
        <v>#N/A</v>
      </c>
      <c r="J2810" s="7" t="s">
        <v>15</v>
      </c>
    </row>
    <row r="2811" spans="1:10" ht="13.2">
      <c r="A2811" s="7">
        <v>2810</v>
      </c>
      <c r="B2811" s="7">
        <v>1</v>
      </c>
      <c r="C2811" s="7" t="s">
        <v>10</v>
      </c>
      <c r="D2811" s="7">
        <v>816</v>
      </c>
      <c r="E2811" s="7" t="s">
        <v>40</v>
      </c>
      <c r="F2811" s="8" t="str">
        <f ca="1">IFERROR(__xludf.DUMMYFUNCTION("IF
(
C2812=""фізична особа""
,
VLOOKUP(D2812,IMPORTRANGE(""https://docs.google.com/spreadsheets/d/14Bd19lYaqBhU8_DElYkX7l4wRkHqqCUFNJY4AfY3kHU/edit?usp=sharing  #gid=0"",""фіз особи new!relations_name""),6,FALSE)
,
(IF
(
C2812=""юридична особа""
,
VLOOKUP"&amp;"(D2812,IMPORTRANGE(""https://docs.google.com/spreadsheets/d/14Bd19lYaqBhU8_DElYkX7l4wRkHqqCUFNJY4AfY3kHU/edit?usp=sharing  #gid=0"",""фіз особи new!relations_name_uo""),7,FALSE)
,
)
))"),"ІГНАТОВ Віктор Олександрович")</f>
        <v>ІГНАТОВ Віктор Олександрович</v>
      </c>
      <c r="G2811" s="7" t="s">
        <v>10</v>
      </c>
      <c r="H2811" s="7">
        <v>4214</v>
      </c>
      <c r="I2811" s="8" t="str">
        <f ca="1">IFERROR(__xludf.DUMMYFUNCTION("IF
(
G2812=""фізична особа""
,
VLOOKUP(H2812,IMPORTRANGE(""https://docs.google.com/spreadsheets/d/14Bd19lYaqBhU8_DElYkX7l4wRkHqqCUFNJY4AfY3kHU/edit?usp=sharing  #gid=0"",""фіз особи new!relations_name""),6,FALSE)
,
(IF
(
G2812=""юридична особа""
,
VLOOKUP"&amp;"(H2812,IMPORTRANGE(""https://docs.google.com/spreadsheets/d/14Bd19lYaqBhU8_DElYkX7l4wRkHqqCUFNJY4AfY3kHU/edit?usp=sharing  #gid=0"",""фіз особи new!relations_name_uo""),7,FALSE)
,
)
))"),"ЛОКОТЬ Анатолій Євгенович")</f>
        <v>ЛОКОТЬ Анатолій Євгенович</v>
      </c>
      <c r="J2811" s="7" t="s">
        <v>41</v>
      </c>
    </row>
    <row r="2812" spans="1:10" ht="13.2">
      <c r="A2812" s="7">
        <v>2811</v>
      </c>
      <c r="B2812" s="7">
        <v>1</v>
      </c>
      <c r="C2812" s="7" t="s">
        <v>10</v>
      </c>
      <c r="D2812" s="7">
        <v>816</v>
      </c>
      <c r="E2812" s="7" t="s">
        <v>40</v>
      </c>
      <c r="F2812" s="8" t="str">
        <f ca="1">IFERROR(__xludf.DUMMYFUNCTION("IF
(
C2813=""фізична особа""
,
VLOOKUP(D2813,IMPORTRANGE(""https://docs.google.com/spreadsheets/d/14Bd19lYaqBhU8_DElYkX7l4wRkHqqCUFNJY4AfY3kHU/edit?usp=sharing  #gid=0"",""фіз особи new!relations_name""),6,FALSE)
,
(IF
(
C2813=""юридична особа""
,
VLOOKUP"&amp;"(D2813,IMPORTRANGE(""https://docs.google.com/spreadsheets/d/14Bd19lYaqBhU8_DElYkX7l4wRkHqqCUFNJY4AfY3kHU/edit?usp=sharing  #gid=0"",""фіз особи new!relations_name_uo""),7,FALSE)
,
)
))"),"ІГНАТОВ Віктор Олександрович")</f>
        <v>ІГНАТОВ Віктор Олександрович</v>
      </c>
      <c r="G2812" s="7" t="s">
        <v>10</v>
      </c>
      <c r="H2812" s="7">
        <v>0</v>
      </c>
      <c r="I2812" s="8" t="str">
        <f ca="1">IFERROR(__xludf.DUMMYFUNCTION("IF
(
G2813=""фізична особа""
,
VLOOKUP(H2813,IMPORTRANGE(""https://docs.google.com/spreadsheets/d/14Bd19lYaqBhU8_DElYkX7l4wRkHqqCUFNJY4AfY3kHU/edit?usp=sharing  #gid=0"",""фіз особи new!relations_name""),6,FALSE)
,
(IF
(
G2813=""юридична особа""
,
VLOOKUP"&amp;"(H2813,IMPORTRANGE(""https://docs.google.com/spreadsheets/d/14Bd19lYaqBhU8_DElYkX7l4wRkHqqCUFNJY4AfY3kHU/edit?usp=sharing  #gid=0"",""фіз особи new!relations_name_uo""),7,FALSE)
,
)
))"),"#N/A")</f>
        <v>#N/A</v>
      </c>
      <c r="J2812" s="7" t="s">
        <v>41</v>
      </c>
    </row>
    <row r="2813" spans="1:10" ht="13.2">
      <c r="A2813" s="7">
        <v>2812</v>
      </c>
      <c r="B2813" s="7">
        <v>1</v>
      </c>
      <c r="C2813" s="7" t="s">
        <v>10</v>
      </c>
      <c r="D2813" s="7">
        <v>816</v>
      </c>
      <c r="E2813" s="7" t="s">
        <v>48</v>
      </c>
      <c r="F2813" s="8" t="str">
        <f ca="1">IFERROR(__xludf.DUMMYFUNCTION("IF
(
C2814=""фізична особа""
,
VLOOKUP(D2814,IMPORTRANGE(""https://docs.google.com/spreadsheets/d/14Bd19lYaqBhU8_DElYkX7l4wRkHqqCUFNJY4AfY3kHU/edit?usp=sharing  #gid=0"",""фіз особи new!relations_name""),6,FALSE)
,
(IF
(
C2814=""юридична особа""
,
VLOOKUP"&amp;"(D2814,IMPORTRANGE(""https://docs.google.com/spreadsheets/d/14Bd19lYaqBhU8_DElYkX7l4wRkHqqCUFNJY4AfY3kHU/edit?usp=sharing  #gid=0"",""фіз особи new!relations_name_uo""),7,FALSE)
,
)
))"),"ІГНАТОВ Віктор Олександрович")</f>
        <v>ІГНАТОВ Віктор Олександрович</v>
      </c>
      <c r="G2813" s="7" t="s">
        <v>10</v>
      </c>
      <c r="H2813" s="7">
        <v>0</v>
      </c>
      <c r="I2813" s="8" t="str">
        <f ca="1">IFERROR(__xludf.DUMMYFUNCTION("IF
(
G2814=""фізична особа""
,
VLOOKUP(H2814,IMPORTRANGE(""https://docs.google.com/spreadsheets/d/14Bd19lYaqBhU8_DElYkX7l4wRkHqqCUFNJY4AfY3kHU/edit?usp=sharing  #gid=0"",""фіз особи new!relations_name""),6,FALSE)
,
(IF
(
G2814=""юридична особа""
,
VLOOKUP"&amp;"(H2814,IMPORTRANGE(""https://docs.google.com/spreadsheets/d/14Bd19lYaqBhU8_DElYkX7l4wRkHqqCUFNJY4AfY3kHU/edit?usp=sharing  #gid=0"",""фіз особи new!relations_name_uo""),7,FALSE)
,
)
))"),"#N/A")</f>
        <v>#N/A</v>
      </c>
      <c r="J2813" s="7" t="s">
        <v>48</v>
      </c>
    </row>
    <row r="2814" spans="1:10" ht="13.2">
      <c r="A2814" s="7">
        <v>2813</v>
      </c>
      <c r="B2814" s="7">
        <v>1</v>
      </c>
      <c r="C2814" s="7" t="s">
        <v>10</v>
      </c>
      <c r="D2814" s="7">
        <v>817</v>
      </c>
      <c r="E2814" s="7" t="s">
        <v>12</v>
      </c>
      <c r="F2814" s="8" t="str">
        <f ca="1">IFERROR(__xludf.DUMMYFUNCTION("IF
(
C2815=""фізична особа""
,
VLOOKUP(D2815,IMPORTRANGE(""https://docs.google.com/spreadsheets/d/14Bd19lYaqBhU8_DElYkX7l4wRkHqqCUFNJY4AfY3kHU/edit?usp=sharing  #gid=0"",""фіз особи new!relations_name""),6,FALSE)
,
(IF
(
C2815=""юридична особа""
,
VLOOKUP"&amp;"(D2815,IMPORTRANGE(""https://docs.google.com/spreadsheets/d/14Bd19lYaqBhU8_DElYkX7l4wRkHqqCUFNJY4AfY3kHU/edit?usp=sharing  #gid=0"",""фіз особи new!relations_name_uo""),7,FALSE)
,
)
))"),"КІДЯЄВ Віктор Борисович")</f>
        <v>КІДЯЄВ Віктор Борисович</v>
      </c>
      <c r="G2814" s="7" t="s">
        <v>10</v>
      </c>
      <c r="H2814" s="7">
        <v>11278</v>
      </c>
      <c r="I2814" s="8" t="str">
        <f ca="1">IFERROR(__xludf.DUMMYFUNCTION("IF
(
G2815=""фізична особа""
,
VLOOKUP(H2815,IMPORTRANGE(""https://docs.google.com/spreadsheets/d/14Bd19lYaqBhU8_DElYkX7l4wRkHqqCUFNJY4AfY3kHU/edit?usp=sharing  #gid=0"",""фіз особи new!relations_name""),6,FALSE)
,
(IF
(
G2815=""юридична особа""
,
VLOOKUP"&amp;"(H2815,IMPORTRANGE(""https://docs.google.com/spreadsheets/d/14Bd19lYaqBhU8_DElYkX7l4wRkHqqCUFNJY4AfY3kHU/edit?usp=sharing  #gid=0"",""фіз особи new!relations_name_uo""),7,FALSE)
,
)
))"),"КІДЯЄВ Віктор Вікторович")</f>
        <v>КІДЯЄВ Віктор Вікторович</v>
      </c>
      <c r="J2814" s="7" t="s">
        <v>17</v>
      </c>
    </row>
    <row r="2815" spans="1:10" ht="13.2">
      <c r="A2815" s="7">
        <v>2814</v>
      </c>
      <c r="B2815" s="7">
        <v>1</v>
      </c>
      <c r="C2815" s="7" t="s">
        <v>10</v>
      </c>
      <c r="D2815" s="7">
        <v>817</v>
      </c>
      <c r="E2815" s="7" t="s">
        <v>12</v>
      </c>
      <c r="F2815" s="8" t="str">
        <f ca="1">IFERROR(__xludf.DUMMYFUNCTION("IF
(
C2816=""фізична особа""
,
VLOOKUP(D2816,IMPORTRANGE(""https://docs.google.com/spreadsheets/d/14Bd19lYaqBhU8_DElYkX7l4wRkHqqCUFNJY4AfY3kHU/edit?usp=sharing  #gid=0"",""фіз особи new!relations_name""),6,FALSE)
,
(IF
(
C2816=""юридична особа""
,
VLOOKUP"&amp;"(D2816,IMPORTRANGE(""https://docs.google.com/spreadsheets/d/14Bd19lYaqBhU8_DElYkX7l4wRkHqqCUFNJY4AfY3kHU/edit?usp=sharing  #gid=0"",""фіз особи new!relations_name_uo""),7,FALSE)
,
)
))"),"КІДЯЄВ Віктор Борисович")</f>
        <v>КІДЯЄВ Віктор Борисович</v>
      </c>
      <c r="G2815" s="7" t="s">
        <v>10</v>
      </c>
      <c r="H2815" s="7">
        <v>23453</v>
      </c>
      <c r="I2815" s="8" t="str">
        <f ca="1">IFERROR(__xludf.DUMMYFUNCTION("IF
(
G2816=""фізична особа""
,
VLOOKUP(H2816,IMPORTRANGE(""https://docs.google.com/spreadsheets/d/14Bd19lYaqBhU8_DElYkX7l4wRkHqqCUFNJY4AfY3kHU/edit?usp=sharing  #gid=0"",""фіз особи new!relations_name""),6,FALSE)
,
(IF
(
G2816=""юридична особа""
,
VLOOKUP"&amp;"(H2816,IMPORTRANGE(""https://docs.google.com/spreadsheets/d/14Bd19lYaqBhU8_DElYkX7l4wRkHqqCUFNJY4AfY3kHU/edit?usp=sharing  #gid=0"",""фіз особи new!relations_name_uo""),7,FALSE)
,
)
))"),"БАЙКІНА Марина Вікторівна")</f>
        <v>БАЙКІНА Марина Вікторівна</v>
      </c>
      <c r="J2815" s="7" t="s">
        <v>13</v>
      </c>
    </row>
    <row r="2816" spans="1:10" ht="13.2">
      <c r="A2816" s="7">
        <v>2815</v>
      </c>
      <c r="B2816" s="7">
        <v>1</v>
      </c>
      <c r="C2816" s="7" t="s">
        <v>10</v>
      </c>
      <c r="D2816" s="7">
        <v>818</v>
      </c>
      <c r="E2816" s="7" t="s">
        <v>11</v>
      </c>
      <c r="F2816" s="8" t="str">
        <f ca="1">IFERROR(__xludf.DUMMYFUNCTION("IF
(
C2817=""фізична особа""
,
VLOOKUP(D2817,IMPORTRANGE(""https://docs.google.com/spreadsheets/d/14Bd19lYaqBhU8_DElYkX7l4wRkHqqCUFNJY4AfY3kHU/edit?usp=sharing  #gid=0"",""фіз особи new!relations_name""),6,FALSE)
,
(IF
(
C2817=""юридична особа""
,
VLOOKUP"&amp;"(D2817,IMPORTRANGE(""https://docs.google.com/spreadsheets/d/14Bd19lYaqBhU8_DElYkX7l4wRkHqqCUFNJY4AfY3kHU/edit?usp=sharing  #gid=0"",""фіз особи new!relations_name_uo""),7,FALSE)
,
)
))"),"ВЕКСЕЛЬБЕРГ Віктор Феліксович")</f>
        <v>ВЕКСЕЛЬБЕРГ Віктор Феліксович</v>
      </c>
      <c r="G2816" s="7" t="s">
        <v>10</v>
      </c>
      <c r="H2816" s="7">
        <v>2551</v>
      </c>
      <c r="I2816" s="8" t="str">
        <f ca="1">IFERROR(__xludf.DUMMYFUNCTION("IF
(
G2817=""фізична особа""
,
VLOOKUP(H2817,IMPORTRANGE(""https://docs.google.com/spreadsheets/d/14Bd19lYaqBhU8_DElYkX7l4wRkHqqCUFNJY4AfY3kHU/edit?usp=sharing  #gid=0"",""фіз особи new!relations_name""),6,FALSE)
,
(IF
(
G2817=""юридична особа""
,
VLOOKUP"&amp;"(H2817,IMPORTRANGE(""https://docs.google.com/spreadsheets/d/14Bd19lYaqBhU8_DElYkX7l4wRkHqqCUFNJY4AfY3kHU/edit?usp=sharing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J2816" s="7" t="s">
        <v>11</v>
      </c>
    </row>
    <row r="2817" spans="1:10" ht="13.2">
      <c r="A2817" s="7">
        <v>2816</v>
      </c>
      <c r="B2817" s="7">
        <v>1</v>
      </c>
      <c r="C2817" s="7" t="s">
        <v>10</v>
      </c>
      <c r="D2817" s="7">
        <v>819</v>
      </c>
      <c r="E2817" s="7" t="s">
        <v>14</v>
      </c>
      <c r="F2817" s="8" t="str">
        <f ca="1">IFERROR(__xludf.DUMMYFUNCTION("IF
(
C2818=""фізична особа""
,
VLOOKUP(D2818,IMPORTRANGE(""https://docs.google.com/spreadsheets/d/14Bd19lYaqBhU8_DElYkX7l4wRkHqqCUFNJY4AfY3kHU/edit?usp=sharing  #gid=0"",""фіз особи new!relations_name""),6,FALSE)
,
(IF
(
C2818=""юридична особа""
,
VLOOKUP"&amp;"(D2818,IMPORTRANGE(""https://docs.google.com/spreadsheets/d/14Bd19lYaqBhU8_DElYkX7l4wRkHqqCUFNJY4AfY3kHU/edit?usp=sharing  #gid=0"",""фіз особи new!relations_name_uo""),7,FALSE)
,
)
))"),"НОВОЖИЛОВ Віктор Феодосійович")</f>
        <v>НОВОЖИЛОВ Віктор Феодосійович</v>
      </c>
      <c r="G2817" s="7" t="s">
        <v>10</v>
      </c>
      <c r="H2817" s="7">
        <v>8643</v>
      </c>
      <c r="I2817" s="8" t="str">
        <f ca="1">IFERROR(__xludf.DUMMYFUNCTION("IF
(
G2818=""фізична особа""
,
VLOOKUP(H2818,IMPORTRANGE(""https://docs.google.com/spreadsheets/d/14Bd19lYaqBhU8_DElYkX7l4wRkHqqCUFNJY4AfY3kHU/edit?usp=sharing  #gid=0"",""фіз особи new!relations_name""),6,FALSE)
,
(IF
(
G2818=""юридична особа""
,
VLOOKUP"&amp;"(H2818,IMPORTRANGE(""https://docs.google.com/spreadsheets/d/14Bd19lYaqBhU8_DElYkX7l4wRkHqqCUFNJY4AfY3kHU/edit?usp=sharing  #gid=0"",""фіз особи new!relations_name_uo""),7,FALSE)
,
)
))"),"НОВОЖИЛОВА Тетяна Миколаївна")</f>
        <v>НОВОЖИЛОВА Тетяна Миколаївна</v>
      </c>
      <c r="J2817" s="7" t="s">
        <v>15</v>
      </c>
    </row>
    <row r="2818" spans="1:10" ht="13.2">
      <c r="A2818" s="7">
        <v>2817</v>
      </c>
      <c r="B2818" s="7">
        <v>1</v>
      </c>
      <c r="C2818" s="7" t="s">
        <v>10</v>
      </c>
      <c r="D2818" s="7">
        <v>819</v>
      </c>
      <c r="E2818" s="7" t="s">
        <v>12</v>
      </c>
      <c r="F2818" s="8" t="str">
        <f ca="1">IFERROR(__xludf.DUMMYFUNCTION("IF
(
C2819=""фізична особа""
,
VLOOKUP(D2819,IMPORTRANGE(""https://docs.google.com/spreadsheets/d/14Bd19lYaqBhU8_DElYkX7l4wRkHqqCUFNJY4AfY3kHU/edit?usp=sharing  #gid=0"",""фіз особи new!relations_name""),6,FALSE)
,
(IF
(
C2819=""юридична особа""
,
VLOOKUP"&amp;"(D2819,IMPORTRANGE(""https://docs.google.com/spreadsheets/d/14Bd19lYaqBhU8_DElYkX7l4wRkHqqCUFNJY4AfY3kHU/edit?usp=sharing  #gid=0"",""фіз особи new!relations_name_uo""),7,FALSE)
,
)
))"),"НОВОЖИЛОВ Віктор Феодосійович")</f>
        <v>НОВОЖИЛОВ Віктор Феодосійович</v>
      </c>
      <c r="G2818" s="7" t="s">
        <v>10</v>
      </c>
      <c r="H2818" s="7">
        <v>23454</v>
      </c>
      <c r="I2818" s="8" t="str">
        <f ca="1">IFERROR(__xludf.DUMMYFUNCTION("IF
(
G2819=""фізична особа""
,
VLOOKUP(H2819,IMPORTRANGE(""https://docs.google.com/spreadsheets/d/14Bd19lYaqBhU8_DElYkX7l4wRkHqqCUFNJY4AfY3kHU/edit?usp=sharing  #gid=0"",""фіз особи new!relations_name""),6,FALSE)
,
(IF
(
G2819=""юридична особа""
,
VLOOKUP"&amp;"(H2819,IMPORTRANGE(""https://docs.google.com/spreadsheets/d/14Bd19lYaqBhU8_DElYkX7l4wRkHqqCUFNJY4AfY3kHU/edit?usp=sharing  #gid=0"",""фіз особи new!relations_name_uo""),7,FALSE)
,
)
))"),"НОВОЖИЛОВ Владислав Вікторович")</f>
        <v>НОВОЖИЛОВ Владислав Вікторович</v>
      </c>
      <c r="J2818" s="7" t="s">
        <v>17</v>
      </c>
    </row>
    <row r="2819" spans="1:10" ht="13.2">
      <c r="A2819" s="7">
        <v>2818</v>
      </c>
      <c r="B2819" s="7">
        <v>1</v>
      </c>
      <c r="C2819" s="7" t="s">
        <v>10</v>
      </c>
      <c r="D2819" s="7">
        <v>819</v>
      </c>
      <c r="E2819" s="7" t="s">
        <v>12</v>
      </c>
      <c r="F2819" s="8" t="str">
        <f ca="1">IFERROR(__xludf.DUMMYFUNCTION("IF
(
C2820=""фізична особа""
,
VLOOKUP(D2820,IMPORTRANGE(""https://docs.google.com/spreadsheets/d/14Bd19lYaqBhU8_DElYkX7l4wRkHqqCUFNJY4AfY3kHU/edit?usp=sharing  #gid=0"",""фіз особи new!relations_name""),6,FALSE)
,
(IF
(
C2820=""юридична особа""
,
VLOOKUP"&amp;"(D2820,IMPORTRANGE(""https://docs.google.com/spreadsheets/d/14Bd19lYaqBhU8_DElYkX7l4wRkHqqCUFNJY4AfY3kHU/edit?usp=sharing  #gid=0"",""фіз особи new!relations_name_uo""),7,FALSE)
,
)
))"),"НОВОЖИЛОВ Віктор Феодосійович")</f>
        <v>НОВОЖИЛОВ Віктор Феодосійович</v>
      </c>
      <c r="G2819" s="7" t="s">
        <v>10</v>
      </c>
      <c r="H2819" s="7">
        <v>0</v>
      </c>
      <c r="I2819" s="8" t="str">
        <f ca="1">IFERROR(__xludf.DUMMYFUNCTION("IF
(
G2820=""фізична особа""
,
VLOOKUP(H2820,IMPORTRANGE(""https://docs.google.com/spreadsheets/d/14Bd19lYaqBhU8_DElYkX7l4wRkHqqCUFNJY4AfY3kHU/edit?usp=sharing  #gid=0"",""фіз особи new!relations_name""),6,FALSE)
,
(IF
(
G2820=""юридична особа""
,
VLOOKUP"&amp;"(H2820,IMPORTRANGE(""https://docs.google.com/spreadsheets/d/14Bd19lYaqBhU8_DElYkX7l4wRkHqqCUFNJY4AfY3kHU/edit?usp=sharing  #gid=0"",""фіз особи new!relations_name_uo""),7,FALSE)
,
)
))"),"#N/A")</f>
        <v>#N/A</v>
      </c>
      <c r="J2819" s="7" t="s">
        <v>13</v>
      </c>
    </row>
    <row r="2820" spans="1:10" ht="13.2">
      <c r="A2820" s="7">
        <v>2819</v>
      </c>
      <c r="B2820" s="7">
        <v>1</v>
      </c>
      <c r="C2820" s="7" t="s">
        <v>10</v>
      </c>
      <c r="D2820" s="7">
        <v>820</v>
      </c>
      <c r="E2820" s="7" t="s">
        <v>12</v>
      </c>
      <c r="F2820" s="8" t="str">
        <f ca="1">IFERROR(__xludf.DUMMYFUNCTION("IF
(
C2821=""фізична особа""
,
VLOOKUP(D2821,IMPORTRANGE(""https://docs.google.com/spreadsheets/d/14Bd19lYaqBhU8_DElYkX7l4wRkHqqCUFNJY4AfY3kHU/edit?usp=sharing  #gid=0"",""фіз особи new!relations_name""),6,FALSE)
,
(IF
(
C2821=""юридична особа""
,
VLOOKUP"&amp;"(D2821,IMPORTRANGE(""https://docs.google.com/spreadsheets/d/14Bd19lYaqBhU8_DElYkX7l4wRkHqqCUFNJY4AfY3kHU/edit?usp=sharing  #gid=0"",""фіз особи new!relations_name_uo""),7,FALSE)
,
)
))"),"РАШНІКОВ Віктор Пилипович")</f>
        <v>РАШНІКОВ Віктор Пилипович</v>
      </c>
      <c r="G2820" s="7" t="s">
        <v>10</v>
      </c>
      <c r="H2820" s="7">
        <v>0</v>
      </c>
      <c r="I2820" s="8" t="str">
        <f ca="1">IFERROR(__xludf.DUMMYFUNCTION("IF
(
G2821=""фізична особа""
,
VLOOKUP(H2821,IMPORTRANGE(""https://docs.google.com/spreadsheets/d/14Bd19lYaqBhU8_DElYkX7l4wRkHqqCUFNJY4AfY3kHU/edit?usp=sharing  #gid=0"",""фіз особи new!relations_name""),6,FALSE)
,
(IF
(
G2821=""юридична особа""
,
VLOOKUP"&amp;"(H2821,IMPORTRANGE(""https://docs.google.com/spreadsheets/d/14Bd19lYaqBhU8_DElYkX7l4wRkHqqCUFNJY4AfY3kHU/edit?usp=sharing  #gid=0"",""фіз особи new!relations_name_uo""),7,FALSE)
,
)
))"),"#N/A")</f>
        <v>#N/A</v>
      </c>
      <c r="J2820" s="7" t="s">
        <v>13</v>
      </c>
    </row>
    <row r="2821" spans="1:10" ht="13.2">
      <c r="A2821" s="7">
        <v>2820</v>
      </c>
      <c r="B2821" s="7">
        <v>1</v>
      </c>
      <c r="C2821" s="7" t="s">
        <v>10</v>
      </c>
      <c r="D2821" s="7">
        <v>820</v>
      </c>
      <c r="E2821" s="7" t="s">
        <v>12</v>
      </c>
      <c r="F2821" s="8" t="str">
        <f ca="1">IFERROR(__xludf.DUMMYFUNCTION("IF
(
C2822=""фізична особа""
,
VLOOKUP(D2822,IMPORTRANGE(""https://docs.google.com/spreadsheets/d/14Bd19lYaqBhU8_DElYkX7l4wRkHqqCUFNJY4AfY3kHU/edit?usp=sharing  #gid=0"",""фіз особи new!relations_name""),6,FALSE)
,
(IF
(
C2822=""юридична особа""
,
VLOOKUP"&amp;"(D2822,IMPORTRANGE(""https://docs.google.com/spreadsheets/d/14Bd19lYaqBhU8_DElYkX7l4wRkHqqCUFNJY4AfY3kHU/edit?usp=sharing  #gid=0"",""фіз особи new!relations_name_uo""),7,FALSE)
,
)
))"),"РАШНІКОВ Віктор Пилипович")</f>
        <v>РАШНІКОВ Віктор Пилипович</v>
      </c>
      <c r="G2821" s="7" t="s">
        <v>10</v>
      </c>
      <c r="H2821" s="7">
        <v>8833</v>
      </c>
      <c r="I2821" s="8" t="str">
        <f ca="1">IFERROR(__xludf.DUMMYFUNCTION("IF
(
G2822=""фізична особа""
,
VLOOKUP(H2822,IMPORTRANGE(""https://docs.google.com/spreadsheets/d/14Bd19lYaqBhU8_DElYkX7l4wRkHqqCUFNJY4AfY3kHU/edit?usp=sharing  #gid=0"",""фіз особи new!relations_name""),6,FALSE)
,
(IF
(
G2822=""юридична особа""
,
VLOOKUP"&amp;"(H2822,IMPORTRANGE(""https://docs.google.com/spreadsheets/d/14Bd19lYaqBhU8_DElYkX7l4wRkHqqCUFNJY4AfY3kHU/edit?usp=sharing  #gid=0"",""фіз особи new!relations_name_uo""),7,FALSE)
,
)
))"),"РАХНО / РАШНІКОВА Тетяна Вікторівна")</f>
        <v>РАХНО / РАШНІКОВА Тетяна Вікторівна</v>
      </c>
      <c r="J2821" s="7" t="s">
        <v>13</v>
      </c>
    </row>
    <row r="2822" spans="1:10" ht="13.2">
      <c r="A2822" s="7">
        <v>2821</v>
      </c>
      <c r="B2822" s="7">
        <v>1</v>
      </c>
      <c r="C2822" s="7" t="s">
        <v>10</v>
      </c>
      <c r="D2822" s="7">
        <v>821</v>
      </c>
      <c r="E2822" s="7" t="s">
        <v>14</v>
      </c>
      <c r="F2822" s="8" t="str">
        <f ca="1">IFERROR(__xludf.DUMMYFUNCTION("IF
(
C2823=""фізична особа""
,
VLOOKUP(D2823,IMPORTRANGE(""https://docs.google.com/spreadsheets/d/14Bd19lYaqBhU8_DElYkX7l4wRkHqqCUFNJY4AfY3kHU/edit?usp=sharing  #gid=0"",""фіз особи new!relations_name""),6,FALSE)
,
(IF
(
C2823=""юридична особа""
,
VLOOKUP"&amp;"(D2823,IMPORTRANGE(""https://docs.google.com/spreadsheets/d/14Bd19lYaqBhU8_DElYkX7l4wRkHqqCUFNJY4AfY3kHU/edit?usp=sharing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G2822" s="7" t="s">
        <v>10</v>
      </c>
      <c r="H2822" s="7">
        <v>0</v>
      </c>
      <c r="I2822" s="8" t="str">
        <f ca="1">IFERROR(__xludf.DUMMYFUNCTION("IF
(
G2823=""фізична особа""
,
VLOOKUP(H2823,IMPORTRANGE(""https://docs.google.com/spreadsheets/d/14Bd19lYaqBhU8_DElYkX7l4wRkHqqCUFNJY4AfY3kHU/edit?usp=sharing  #gid=0"",""фіз особи new!relations_name""),6,FALSE)
,
(IF
(
G2823=""юридична особа""
,
VLOOKUP"&amp;"(H2823,IMPORTRANGE(""https://docs.google.com/spreadsheets/d/14Bd19lYaqBhU8_DElYkX7l4wRkHqqCUFNJY4AfY3kHU/edit?usp=sharing  #gid=0"",""фіз особи new!relations_name_uo""),7,FALSE)
,
)
))"),"#N/A")</f>
        <v>#N/A</v>
      </c>
      <c r="J2822" s="7" t="s">
        <v>15</v>
      </c>
    </row>
    <row r="2823" spans="1:10" ht="13.2">
      <c r="A2823" s="7">
        <v>2822</v>
      </c>
      <c r="B2823" s="7">
        <v>1</v>
      </c>
      <c r="C2823" s="7" t="s">
        <v>10</v>
      </c>
      <c r="D2823" s="7">
        <v>821</v>
      </c>
      <c r="E2823" s="7" t="s">
        <v>12</v>
      </c>
      <c r="F2823" s="8" t="str">
        <f ca="1">IFERROR(__xludf.DUMMYFUNCTION("IF
(
C2824=""фізична особа""
,
VLOOKUP(D2824,IMPORTRANGE(""https://docs.google.com/spreadsheets/d/14Bd19lYaqBhU8_DElYkX7l4wRkHqqCUFNJY4AfY3kHU/edit?usp=sharing  #gid=0"",""фіз особи new!relations_name""),6,FALSE)
,
(IF
(
C2824=""юридична особа""
,
VLOOKUP"&amp;"(D2824,IMPORTRANGE(""https://docs.google.com/spreadsheets/d/14Bd19lYaqBhU8_DElYkX7l4wRkHqqCUFNJY4AfY3kHU/edit?usp=sharing  #gid=0"",""фіз особи new!relations_name_uo""),7,FALSE)
,
)
))"),"ХРЄНІН Віктор Геннадійович")</f>
        <v>ХРЄНІН Віктор Геннадійович</v>
      </c>
      <c r="G2823" s="7" t="s">
        <v>10</v>
      </c>
      <c r="H2823" s="7">
        <v>0</v>
      </c>
      <c r="I2823" s="8" t="str">
        <f ca="1">IFERROR(__xludf.DUMMYFUNCTION("IF
(
G2824=""фізична особа""
,
VLOOKUP(H2824,IMPORTRANGE(""https://docs.google.com/spreadsheets/d/14Bd19lYaqBhU8_DElYkX7l4wRkHqqCUFNJY4AfY3kHU/edit?usp=sharing  #gid=0"",""фіз особи new!relations_name""),6,FALSE)
,
(IF
(
G2824=""юридична особа""
,
VLOOKUP"&amp;"(H2824,IMPORTRANGE(""https://docs.google.com/spreadsheets/d/14Bd19lYaqBhU8_DElYkX7l4wRkHqqCUFNJY4AfY3kHU/edit?usp=sharing  #gid=0"",""фіз особи new!relations_name_uo""),7,FALSE)
,
)
))"),"#N/A")</f>
        <v>#N/A</v>
      </c>
      <c r="J2823" s="7" t="s">
        <v>13</v>
      </c>
    </row>
    <row r="2824" spans="1:10" ht="13.2">
      <c r="A2824" s="7">
        <v>2823</v>
      </c>
      <c r="B2824" s="7">
        <v>1</v>
      </c>
      <c r="C2824" s="7" t="s">
        <v>10</v>
      </c>
      <c r="D2824" s="7">
        <v>822</v>
      </c>
      <c r="E2824" s="7" t="s">
        <v>12</v>
      </c>
      <c r="F2824" s="8" t="str">
        <f ca="1">IFERROR(__xludf.DUMMYFUNCTION("IF
(
C2825=""фізична особа""
,
VLOOKUP(D2825,IMPORTRANGE(""https://docs.google.com/spreadsheets/d/14Bd19lYaqBhU8_DElYkX7l4wRkHqqCUFNJY4AfY3kHU/edit?usp=sharing  #gid=0"",""фіз особи new!relations_name""),6,FALSE)
,
(IF
(
C2825=""юридична особа""
,
VLOOKUP"&amp;"(D2825,IMPORTRANGE(""https://docs.google.com/spreadsheets/d/14Bd19lYaqBhU8_DElYkX7l4wRkHqqCUFNJY4AfY3kHU/edit?usp=sharing  #gid=0"",""фіз особи new!relations_name_uo""),7,FALSE)
,
)
))"),"СОБОЛЄВ Віктор Іванович")</f>
        <v>СОБОЛЄВ Віктор Іванович</v>
      </c>
      <c r="G2824" s="7" t="s">
        <v>10</v>
      </c>
      <c r="H2824" s="7">
        <v>0</v>
      </c>
      <c r="I2824" s="8" t="str">
        <f ca="1">IFERROR(__xludf.DUMMYFUNCTION("IF
(
G2825=""фізична особа""
,
VLOOKUP(H2825,IMPORTRANGE(""https://docs.google.com/spreadsheets/d/14Bd19lYaqBhU8_DElYkX7l4wRkHqqCUFNJY4AfY3kHU/edit?usp=sharing  #gid=0"",""фіз особи new!relations_name""),6,FALSE)
,
(IF
(
G2825=""юридична особа""
,
VLOOKUP"&amp;"(H2825,IMPORTRANGE(""https://docs.google.com/spreadsheets/d/14Bd19lYaqBhU8_DElYkX7l4wRkHqqCUFNJY4AfY3kHU/edit?usp=sharing  #gid=0"",""фіз особи new!relations_name_uo""),7,FALSE)
,
)
))"),"#N/A")</f>
        <v>#N/A</v>
      </c>
      <c r="J2824" s="7" t="s">
        <v>13</v>
      </c>
    </row>
    <row r="2825" spans="1:10" ht="13.2">
      <c r="A2825" s="7">
        <v>2824</v>
      </c>
      <c r="B2825" s="7">
        <v>1</v>
      </c>
      <c r="C2825" s="7" t="s">
        <v>10</v>
      </c>
      <c r="D2825" s="7">
        <v>822</v>
      </c>
      <c r="E2825" s="7" t="s">
        <v>12</v>
      </c>
      <c r="F2825" s="8" t="str">
        <f ca="1">IFERROR(__xludf.DUMMYFUNCTION("IF
(
C2826=""фізична особа""
,
VLOOKUP(D2826,IMPORTRANGE(""https://docs.google.com/spreadsheets/d/14Bd19lYaqBhU8_DElYkX7l4wRkHqqCUFNJY4AfY3kHU/edit?usp=sharing  #gid=0"",""фіз особи new!relations_name""),6,FALSE)
,
(IF
(
C2826=""юридична особа""
,
VLOOKUP"&amp;"(D2826,IMPORTRANGE(""https://docs.google.com/spreadsheets/d/14Bd19lYaqBhU8_DElYkX7l4wRkHqqCUFNJY4AfY3kHU/edit?usp=sharing  #gid=0"",""фіз особи new!relations_name_uo""),7,FALSE)
,
)
))"),"СОБОЛЄВ Віктор Іванович")</f>
        <v>СОБОЛЄВ Віктор Іванович</v>
      </c>
      <c r="G2825" s="7" t="s">
        <v>10</v>
      </c>
      <c r="H2825" s="7">
        <v>0</v>
      </c>
      <c r="I2825" s="8" t="str">
        <f ca="1">IFERROR(__xludf.DUMMYFUNCTION("IF
(
G2826=""фізична особа""
,
VLOOKUP(H2826,IMPORTRANGE(""https://docs.google.com/spreadsheets/d/14Bd19lYaqBhU8_DElYkX7l4wRkHqqCUFNJY4AfY3kHU/edit?usp=sharing  #gid=0"",""фіз особи new!relations_name""),6,FALSE)
,
(IF
(
G2826=""юридична особа""
,
VLOOKUP"&amp;"(H2826,IMPORTRANGE(""https://docs.google.com/spreadsheets/d/14Bd19lYaqBhU8_DElYkX7l4wRkHqqCUFNJY4AfY3kHU/edit?usp=sharing  #gid=0"",""фіз особи new!relations_name_uo""),7,FALSE)
,
)
))"),"#N/A")</f>
        <v>#N/A</v>
      </c>
      <c r="J2825" s="7" t="s">
        <v>17</v>
      </c>
    </row>
    <row r="2826" spans="1:10" ht="13.2">
      <c r="A2826" s="7">
        <v>2825</v>
      </c>
      <c r="B2826" s="7">
        <v>1</v>
      </c>
      <c r="C2826" s="7" t="s">
        <v>10</v>
      </c>
      <c r="D2826" s="7">
        <v>823</v>
      </c>
      <c r="E2826" s="7" t="s">
        <v>17</v>
      </c>
      <c r="F2826" s="8" t="str">
        <f ca="1">IFERROR(__xludf.DUMMYFUNCTION("IF
(
C2827=""фізична особа""
,
VLOOKUP(D2827,IMPORTRANGE(""https://docs.google.com/spreadsheets/d/14Bd19lYaqBhU8_DElYkX7l4wRkHqqCUFNJY4AfY3kHU/edit?usp=sharing  #gid=0"",""фіз особи new!relations_name""),6,FALSE)
,
(IF
(
C2827=""юридична особа""
,
VLOOKUP"&amp;"(D2827,IMPORTRANGE(""https://docs.google.com/spreadsheets/d/14Bd19lYaqBhU8_DElYkX7l4wRkHqqCUFNJY4AfY3kHU/edit?usp=sharing  #gid=0"",""фіз особи new!relations_name_uo""),7,FALSE)
,
)
))"),"БОРОДАЙ Олександр Юрійович")</f>
        <v>БОРОДАЙ Олександр Юрійович</v>
      </c>
      <c r="G2826" s="7" t="s">
        <v>10</v>
      </c>
      <c r="H2826" s="7">
        <v>0</v>
      </c>
      <c r="I2826" s="8" t="str">
        <f ca="1">IFERROR(__xludf.DUMMYFUNCTION("IF
(
G2827=""фізична особа""
,
VLOOKUP(H2827,IMPORTRANGE(""https://docs.google.com/spreadsheets/d/14Bd19lYaqBhU8_DElYkX7l4wRkHqqCUFNJY4AfY3kHU/edit?usp=sharing  #gid=0"",""фіз особи new!relations_name""),6,FALSE)
,
(IF
(
G2827=""юридична особа""
,
VLOOKUP"&amp;"(H2827,IMPORTRANGE(""https://docs.google.com/spreadsheets/d/14Bd19lYaqBhU8_DElYkX7l4wRkHqqCUFNJY4AfY3kHU/edit?usp=sharing  #gid=0"",""фіз особи new!relations_name_uo""),7,FALSE)
,
)
))"),"#N/A")</f>
        <v>#N/A</v>
      </c>
      <c r="J2826" s="7" t="s">
        <v>12</v>
      </c>
    </row>
    <row r="2827" spans="1:10" ht="13.2">
      <c r="A2827" s="7">
        <v>2826</v>
      </c>
      <c r="B2827" s="7">
        <v>1</v>
      </c>
      <c r="C2827" s="7" t="s">
        <v>10</v>
      </c>
      <c r="D2827" s="7">
        <v>823</v>
      </c>
      <c r="E2827" s="7" t="s">
        <v>16</v>
      </c>
      <c r="F2827" s="8" t="str">
        <f ca="1">IFERROR(__xludf.DUMMYFUNCTION("IF
(
C2828=""фізична особа""
,
VLOOKUP(D2828,IMPORTRANGE(""https://docs.google.com/spreadsheets/d/14Bd19lYaqBhU8_DElYkX7l4wRkHqqCUFNJY4AfY3kHU/edit?usp=sharing  #gid=0"",""фіз особи new!relations_name""),6,FALSE)
,
(IF
(
C2828=""юридична особа""
,
VLOOKUP"&amp;"(D2828,IMPORTRANGE(""https://docs.google.com/spreadsheets/d/14Bd19lYaqBhU8_DElYkX7l4wRkHqqCUFNJY4AfY3kHU/edit?usp=sharing  #gid=0"",""фіз особи new!relations_name_uo""),7,FALSE)
,
)
))"),"БОРОДАЙ Олександр Юрійович")</f>
        <v>БОРОДАЙ Олександр Юрійович</v>
      </c>
      <c r="G2827" s="7" t="s">
        <v>10</v>
      </c>
      <c r="H2827" s="7">
        <v>4555</v>
      </c>
      <c r="I2827" s="8" t="str">
        <f ca="1">IFERROR(__xludf.DUMMYFUNCTION("IF
(
G2828=""фізична особа""
,
VLOOKUP(H2828,IMPORTRANGE(""https://docs.google.com/spreadsheets/d/14Bd19lYaqBhU8_DElYkX7l4wRkHqqCUFNJY4AfY3kHU/edit?usp=sharing  #gid=0"",""фіз особи new!relations_name""),6,FALSE)
,
(IF
(
G2828=""юридична особа""
,
VLOOKUP"&amp;"(H2828,IMPORTRANGE(""https://docs.google.com/spreadsheets/d/14Bd19lYaqBhU8_DElYkX7l4wRkHqqCUFNJY4AfY3kHU/edit?usp=sharing  #gid=0"",""фіз особи new!relations_name_uo""),7,FALSE)
,
)
))"),"ГІРКІН / СТРЕЛКОВ Ігор Всеволодович")</f>
        <v>ГІРКІН / СТРЕЛКОВ Ігор Всеволодович</v>
      </c>
      <c r="J2827" s="7" t="s">
        <v>16</v>
      </c>
    </row>
    <row r="2828" spans="1:10" ht="13.2">
      <c r="A2828" s="7">
        <v>2827</v>
      </c>
      <c r="B2828" s="7">
        <v>1</v>
      </c>
      <c r="C2828" s="7" t="s">
        <v>10</v>
      </c>
      <c r="D2828" s="7">
        <v>823</v>
      </c>
      <c r="E2828" s="7" t="s">
        <v>11</v>
      </c>
      <c r="F2828" s="8" t="str">
        <f ca="1">IFERROR(__xludf.DUMMYFUNCTION("IF
(
C2829=""фізична особа""
,
VLOOKUP(D2829,IMPORTRANGE(""https://docs.google.com/spreadsheets/d/14Bd19lYaqBhU8_DElYkX7l4wRkHqqCUFNJY4AfY3kHU/edit?usp=sharing  #gid=0"",""фіз особи new!relations_name""),6,FALSE)
,
(IF
(
C2829=""юридична особа""
,
VLOOKUP"&amp;"(D2829,IMPORTRANGE(""https://docs.google.com/spreadsheets/d/14Bd19lYaqBhU8_DElYkX7l4wRkHqqCUFNJY4AfY3kHU/edit?usp=sharing  #gid=0"",""фіз особи new!relations_name_uo""),7,FALSE)
,
)
))"),"БОРОДАЙ Олександр Юрійович")</f>
        <v>БОРОДАЙ Олександр Юрійович</v>
      </c>
      <c r="G2828" s="7" t="s">
        <v>10</v>
      </c>
      <c r="H2828" s="7">
        <v>23344</v>
      </c>
      <c r="I2828" s="8" t="str">
        <f ca="1">IFERROR(__xludf.DUMMYFUNCTION("IF
(
G2829=""фізична особа""
,
VLOOKUP(H2829,IMPORTRANGE(""https://docs.google.com/spreadsheets/d/14Bd19lYaqBhU8_DElYkX7l4wRkHqqCUFNJY4AfY3kHU/edit?usp=sharing  #gid=0"",""фіз особи new!relations_name""),6,FALSE)
,
(IF
(
G2829=""юридична особа""
,
VLOOKUP"&amp;"(H2829,IMPORTRANGE(""https://docs.google.com/spreadsheets/d/14Bd19lYaqBhU8_DElYkX7l4wRkHqqCUFNJY4AfY3kHU/edit?usp=sharing  #gid=0"",""фіз особи new!relations_name_uo""),7,FALSE)
,
)
))"),"БОЧКАРЄВ Дмитро Германович")</f>
        <v>БОЧКАРЄВ Дмитро Германович</v>
      </c>
      <c r="J2828" s="7" t="s">
        <v>11</v>
      </c>
    </row>
    <row r="2829" spans="1:10" ht="13.2">
      <c r="A2829" s="7">
        <v>2828</v>
      </c>
      <c r="B2829" s="7">
        <v>1</v>
      </c>
      <c r="C2829" s="7" t="s">
        <v>10</v>
      </c>
      <c r="D2829" s="7">
        <v>823</v>
      </c>
      <c r="E2829" s="7" t="s">
        <v>11</v>
      </c>
      <c r="F2829" s="8" t="str">
        <f ca="1">IFERROR(__xludf.DUMMYFUNCTION("IF
(
C2830=""фізична особа""
,
VLOOKUP(D2830,IMPORTRANGE(""https://docs.google.com/spreadsheets/d/14Bd19lYaqBhU8_DElYkX7l4wRkHqqCUFNJY4AfY3kHU/edit?usp=sharing  #gid=0"",""фіз особи new!relations_name""),6,FALSE)
,
(IF
(
C2830=""юридична особа""
,
VLOOKUP"&amp;"(D2830,IMPORTRANGE(""https://docs.google.com/spreadsheets/d/14Bd19lYaqBhU8_DElYkX7l4wRkHqqCUFNJY4AfY3kHU/edit?usp=sharing  #gid=0"",""фіз особи new!relations_name_uo""),7,FALSE)
,
)
))"),"БОРОДАЙ Олександр Юрійович")</f>
        <v>БОРОДАЙ Олександр Юрійович</v>
      </c>
      <c r="G2829" s="7" t="s">
        <v>10</v>
      </c>
      <c r="H2829" s="7">
        <v>23345</v>
      </c>
      <c r="I2829" s="8" t="str">
        <f ca="1">IFERROR(__xludf.DUMMYFUNCTION("IF
(
G2830=""фізична особа""
,
VLOOKUP(H2830,IMPORTRANGE(""https://docs.google.com/spreadsheets/d/14Bd19lYaqBhU8_DElYkX7l4wRkHqqCUFNJY4AfY3kHU/edit?usp=sharing  #gid=0"",""фіз особи new!relations_name""),6,FALSE)
,
(IF
(
G2830=""юридична особа""
,
VLOOKUP"&amp;"(H2830,IMPORTRANGE(""https://docs.google.com/spreadsheets/d/14Bd19lYaqBhU8_DElYkX7l4wRkHqqCUFNJY4AfY3kHU/edit?usp=sharing  #gid=0"",""фіз особи new!relations_name_uo""),7,FALSE)
,
)
))"),"ЧЕХІМОВ Володимир Борисович")</f>
        <v>ЧЕХІМОВ Володимир Борисович</v>
      </c>
      <c r="J2829" s="7" t="s">
        <v>11</v>
      </c>
    </row>
    <row r="2830" spans="1:10" ht="13.2">
      <c r="A2830" s="7">
        <v>2829</v>
      </c>
      <c r="B2830" s="7">
        <v>1</v>
      </c>
      <c r="C2830" s="7" t="s">
        <v>10</v>
      </c>
      <c r="D2830" s="7">
        <v>824</v>
      </c>
      <c r="E2830" s="7" t="s">
        <v>18</v>
      </c>
      <c r="F2830" s="8" t="str">
        <f ca="1">IFERROR(__xludf.DUMMYFUNCTION("IF
(
C2831=""фізична особа""
,
VLOOKUP(D2831,IMPORTRANGE(""https://docs.google.com/spreadsheets/d/14Bd19lYaqBhU8_DElYkX7l4wRkHqqCUFNJY4AfY3kHU/edit?usp=sharing  #gid=0"",""фіз особи new!relations_name""),6,FALSE)
,
(IF
(
C2831=""юридична особа""
,
VLOOKUP"&amp;"(D2831,IMPORTRANGE(""https://docs.google.com/spreadsheets/d/14Bd19lYaqBhU8_DElYkX7l4wRkHqqCUFNJY4AfY3kHU/edit?usp=sharing  #gid=0"",""фіз особи new!relations_name_uo""),7,FALSE)
,
)
))"),"ЛУКАШЕНКО Віктор Олександрович")</f>
        <v>ЛУКАШЕНКО Віктор Олександрович</v>
      </c>
      <c r="G2830" s="7" t="s">
        <v>10</v>
      </c>
      <c r="H2830" s="7">
        <v>177</v>
      </c>
      <c r="I2830" s="8" t="str">
        <f ca="1">IFERROR(__xludf.DUMMYFUNCTION("IF
(
G2831=""фізична особа""
,
VLOOKUP(H2831,IMPORTRANGE(""https://docs.google.com/spreadsheets/d/14Bd19lYaqBhU8_DElYkX7l4wRkHqqCUFNJY4AfY3kHU/edit?usp=sharing  #gid=0"",""фіз особи new!relations_name""),6,FALSE)
,
(IF
(
G2831=""юридична особа""
,
VLOOKUP"&amp;"(H2831,IMPORTRANGE(""https://docs.google.com/spreadsheets/d/14Bd19lYaqBhU8_DElYkX7l4wRkHqqCUFNJY4AfY3kHU/edit?usp=sharing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J2830" s="7" t="s">
        <v>18</v>
      </c>
    </row>
    <row r="2831" spans="1:10" ht="13.2">
      <c r="A2831" s="7">
        <v>2830</v>
      </c>
      <c r="B2831" s="7">
        <v>1</v>
      </c>
      <c r="C2831" s="7" t="s">
        <v>10</v>
      </c>
      <c r="D2831" s="7">
        <v>825</v>
      </c>
      <c r="E2831" s="7" t="s">
        <v>53</v>
      </c>
      <c r="F2831" s="8" t="str">
        <f ca="1">IFERROR(__xludf.DUMMYFUNCTION("IF
(
C2832=""фізична особа""
,
VLOOKUP(D2832,IMPORTRANGE(""https://docs.google.com/spreadsheets/d/14Bd19lYaqBhU8_DElYkX7l4wRkHqqCUFNJY4AfY3kHU/edit?usp=sharing  #gid=0"",""фіз особи new!relations_name""),6,FALSE)
,
(IF
(
C2832=""юридична особа""
,
VLOOKUP"&amp;"(D2832,IMPORTRANGE(""https://docs.google.com/spreadsheets/d/14Bd19lYaqBhU8_DElYkX7l4wRkHqqCUFNJY4AfY3kHU/edit?usp=sharing  #gid=0"",""фіз особи new!relations_name_uo""),7,FALSE)
,
)
))"),"БОНДАРЄВ Віктор Миколайович")</f>
        <v>БОНДАРЄВ Віктор Миколайович</v>
      </c>
      <c r="G2831" s="7" t="s">
        <v>10</v>
      </c>
      <c r="H2831" s="7">
        <v>1060</v>
      </c>
      <c r="I2831" s="8" t="str">
        <f ca="1">IFERROR(__xludf.DUMMYFUNCTION("IF
(
G2832=""фізична особа""
,
VLOOKUP(H2832,IMPORTRANGE(""https://docs.google.com/spreadsheets/d/14Bd19lYaqBhU8_DElYkX7l4wRkHqqCUFNJY4AfY3kHU/edit?usp=sharing  #gid=0"",""фіз особи new!relations_name""),6,FALSE)
,
(IF
(
G2832=""юридична особа""
,
VLOOKUP"&amp;"(H2832,IMPORTRANGE(""https://docs.google.com/spreadsheets/d/14Bd19lYaqBhU8_DElYkX7l4wRkHqqCUFNJY4AfY3kHU/edit?usp=sharing  #gid=0"",""фіз особи new!relations_name_uo""),7,FALSE)
,
)
))"),"ЮДІН Андрій В'ячеславович")</f>
        <v>ЮДІН Андрій В'ячеславович</v>
      </c>
      <c r="J2831" s="7" t="s">
        <v>52</v>
      </c>
    </row>
    <row r="2832" spans="1:10" ht="13.2">
      <c r="A2832" s="7">
        <v>2831</v>
      </c>
      <c r="B2832" s="7">
        <v>1</v>
      </c>
      <c r="C2832" s="7" t="s">
        <v>10</v>
      </c>
      <c r="D2832" s="7">
        <v>825</v>
      </c>
      <c r="E2832" s="7" t="s">
        <v>41</v>
      </c>
      <c r="F2832" s="8" t="str">
        <f ca="1">IFERROR(__xludf.DUMMYFUNCTION("IF
(
C2833=""фізична особа""
,
VLOOKUP(D2833,IMPORTRANGE(""https://docs.google.com/spreadsheets/d/14Bd19lYaqBhU8_DElYkX7l4wRkHqqCUFNJY4AfY3kHU/edit?usp=sharing  #gid=0"",""фіз особи new!relations_name""),6,FALSE)
,
(IF
(
C2833=""юридична особа""
,
VLOOKUP"&amp;"(D2833,IMPORTRANGE(""https://docs.google.com/spreadsheets/d/14Bd19lYaqBhU8_DElYkX7l4wRkHqqCUFNJY4AfY3kHU/edit?usp=sharing  #gid=0"",""фіз особи new!relations_name_uo""),7,FALSE)
,
)
))"),"БОНДАРЄВ Віктор Миколайович")</f>
        <v>БОНДАРЄВ Віктор Миколайович</v>
      </c>
      <c r="G2832" s="7" t="s">
        <v>10</v>
      </c>
      <c r="H2832" s="7">
        <v>880</v>
      </c>
      <c r="I2832" s="8" t="str">
        <f ca="1">IFERROR(__xludf.DUMMYFUNCTION("IF
(
G2833=""фізична особа""
,
VLOOKUP(H2833,IMPORTRANGE(""https://docs.google.com/spreadsheets/d/14Bd19lYaqBhU8_DElYkX7l4wRkHqqCUFNJY4AfY3kHU/edit?usp=sharing  #gid=0"",""фіз особи new!relations_name""),6,FALSE)
,
(IF
(
G2833=""юридична особа""
,
VLOOKUP"&amp;"(H2833,IMPORTRANGE(""https://docs.google.com/spreadsheets/d/14Bd19lYaqBhU8_DElYkX7l4wRkHqqCUFNJY4AfY3kHU/edit?usp=sharing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832" s="7" t="s">
        <v>40</v>
      </c>
    </row>
    <row r="2833" spans="1:10" ht="13.2">
      <c r="A2833" s="7">
        <v>2832</v>
      </c>
      <c r="B2833" s="7">
        <v>1</v>
      </c>
      <c r="C2833" s="7" t="s">
        <v>10</v>
      </c>
      <c r="D2833" s="7">
        <v>825</v>
      </c>
      <c r="E2833" s="7" t="s">
        <v>52</v>
      </c>
      <c r="F2833" s="8" t="str">
        <f ca="1">IFERROR(__xludf.DUMMYFUNCTION("IF
(
C2834=""фізична особа""
,
VLOOKUP(D2834,IMPORTRANGE(""https://docs.google.com/spreadsheets/d/14Bd19lYaqBhU8_DElYkX7l4wRkHqqCUFNJY4AfY3kHU/edit?usp=sharing  #gid=0"",""фіз особи new!relations_name""),6,FALSE)
,
(IF
(
C2834=""юридична особа""
,
VLOOKUP"&amp;"(D2834,IMPORTRANGE(""https://docs.google.com/spreadsheets/d/14Bd19lYaqBhU8_DElYkX7l4wRkHqqCUFNJY4AfY3kHU/edit?usp=sharing  #gid=0"",""фіз особи new!relations_name_uo""),7,FALSE)
,
)
))"),"БОНДАРЄВ Віктор Миколайович")</f>
        <v>БОНДАРЄВ Віктор Миколайович</v>
      </c>
      <c r="G2833" s="7" t="s">
        <v>10</v>
      </c>
      <c r="H2833" s="7">
        <v>4550</v>
      </c>
      <c r="I2833" s="8" t="str">
        <f ca="1">IFERROR(__xludf.DUMMYFUNCTION("IF
(
G2834=""фізична особа""
,
VLOOKUP(H2834,IMPORTRANGE(""https://docs.google.com/spreadsheets/d/14Bd19lYaqBhU8_DElYkX7l4wRkHqqCUFNJY4AfY3kHU/edit?usp=sharing  #gid=0"",""фіз особи new!relations_name""),6,FALSE)
,
(IF
(
G2834=""юридична особа""
,
VLOOKUP"&amp;"(H2834,IMPORTRANGE(""https://docs.google.com/spreadsheets/d/14Bd19lYaqBhU8_DElYkX7l4wRkHqqCUFNJY4AfY3kHU/edit?usp=sharing  #gid=0"",""фіз особи new!relations_name_uo""),7,FALSE)
,
)
))"),"ОЗЕРОВ Віктор Олексійович")</f>
        <v>ОЗЕРОВ Віктор Олексійович</v>
      </c>
      <c r="J2833" s="7" t="s">
        <v>53</v>
      </c>
    </row>
    <row r="2834" spans="1:10" ht="13.2">
      <c r="A2834" s="7">
        <v>2833</v>
      </c>
      <c r="B2834" s="7">
        <v>1</v>
      </c>
      <c r="C2834" s="7" t="s">
        <v>10</v>
      </c>
      <c r="D2834" s="7">
        <v>826</v>
      </c>
      <c r="E2834" s="7" t="s">
        <v>48</v>
      </c>
      <c r="F2834" s="8" t="str">
        <f ca="1">IFERROR(__xludf.DUMMYFUNCTION("IF
(
C2835=""фізична особа""
,
VLOOKUP(D2835,IMPORTRANGE(""https://docs.google.com/spreadsheets/d/14Bd19lYaqBhU8_DElYkX7l4wRkHqqCUFNJY4AfY3kHU/edit?usp=sharing  #gid=0"",""фіз особи new!relations_name""),6,FALSE)
,
(IF
(
C2835=""юридична особа""
,
VLOOKUP"&amp;"(D2835,IMPORTRANGE(""https://docs.google.com/spreadsheets/d/14Bd19lYaqBhU8_DElYkX7l4wRkHqqCUFNJY4AfY3kHU/edit?usp=sharing  #gid=0"",""фіз особи new!relations_name_uo""),7,FALSE)
,
)
))"),"СЕЛІВЕРСТОВ Віктор Валентинович")</f>
        <v>СЕЛІВЕРСТОВ Віктор Валентинович</v>
      </c>
      <c r="G2834" s="7" t="s">
        <v>10</v>
      </c>
      <c r="H2834" s="7">
        <v>185</v>
      </c>
      <c r="I2834" s="8" t="str">
        <f ca="1">IFERROR(__xludf.DUMMYFUNCTION("IF
(
G2835=""фізична особа""
,
VLOOKUP(H2835,IMPORTRANGE(""https://docs.google.com/spreadsheets/d/14Bd19lYaqBhU8_DElYkX7l4wRkHqqCUFNJY4AfY3kHU/edit?usp=sharing  #gid=0"",""фіз особи new!relations_name""),6,FALSE)
,
(IF
(
G2835=""юридична особа""
,
VLOOKUP"&amp;"(H2835,IMPORTRANGE(""https://docs.google.com/spreadsheets/d/14Bd19lYaqBhU8_DElYkX7l4wRkHqqCUFNJY4AfY3kHU/edit?usp=sharing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834" s="7" t="s">
        <v>48</v>
      </c>
    </row>
    <row r="2835" spans="1:10" ht="13.2">
      <c r="A2835" s="7">
        <v>2834</v>
      </c>
      <c r="B2835" s="7">
        <v>1</v>
      </c>
      <c r="C2835" s="7" t="s">
        <v>10</v>
      </c>
      <c r="D2835" s="7">
        <v>826</v>
      </c>
      <c r="E2835" s="7" t="s">
        <v>48</v>
      </c>
      <c r="F2835" s="8" t="str">
        <f ca="1">IFERROR(__xludf.DUMMYFUNCTION("IF
(
C2836=""фізична особа""
,
VLOOKUP(D2836,IMPORTRANGE(""https://docs.google.com/spreadsheets/d/14Bd19lYaqBhU8_DElYkX7l4wRkHqqCUFNJY4AfY3kHU/edit?usp=sharing  #gid=0"",""фіз особи new!relations_name""),6,FALSE)
,
(IF
(
C2836=""юридична особа""
,
VLOOKUP"&amp;"(D2836,IMPORTRANGE(""https://docs.google.com/spreadsheets/d/14Bd19lYaqBhU8_DElYkX7l4wRkHqqCUFNJY4AfY3kHU/edit?usp=sharing  #gid=0"",""фіз особи new!relations_name_uo""),7,FALSE)
,
)
))"),"СЕЛІВЕРСТОВ Віктор Валентинович")</f>
        <v>СЕЛІВЕРСТОВ Віктор Валентинович</v>
      </c>
      <c r="G2835" s="7" t="s">
        <v>10</v>
      </c>
      <c r="H2835" s="7">
        <v>64</v>
      </c>
      <c r="I2835" s="8" t="str">
        <f ca="1">IFERROR(__xludf.DUMMYFUNCTION("IF
(
G2836=""фізична особа""
,
VLOOKUP(H2836,IMPORTRANGE(""https://docs.google.com/spreadsheets/d/14Bd19lYaqBhU8_DElYkX7l4wRkHqqCUFNJY4AfY3kHU/edit?usp=sharing  #gid=0"",""фіз особи new!relations_name""),6,FALSE)
,
(IF
(
G2836=""юридична особа""
,
VLOOKUP"&amp;"(H2836,IMPORTRANGE(""https://docs.google.com/spreadsheets/d/14Bd19lYaqBhU8_DElYkX7l4wRkHqqCUFNJY4AfY3kHU/edit?usp=sharing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835" s="7" t="s">
        <v>48</v>
      </c>
    </row>
    <row r="2836" spans="1:10" ht="13.2">
      <c r="A2836" s="7">
        <v>2835</v>
      </c>
      <c r="B2836" s="7">
        <v>1</v>
      </c>
      <c r="C2836" s="7" t="s">
        <v>10</v>
      </c>
      <c r="D2836" s="7">
        <v>826</v>
      </c>
      <c r="E2836" s="7" t="s">
        <v>48</v>
      </c>
      <c r="F2836" s="8" t="str">
        <f ca="1">IFERROR(__xludf.DUMMYFUNCTION("IF
(
C2837=""фізична особа""
,
VLOOKUP(D2837,IMPORTRANGE(""https://docs.google.com/spreadsheets/d/14Bd19lYaqBhU8_DElYkX7l4wRkHqqCUFNJY4AfY3kHU/edit?usp=sharing  #gid=0"",""фіз особи new!relations_name""),6,FALSE)
,
(IF
(
C2837=""юридична особа""
,
VLOOKUP"&amp;"(D2837,IMPORTRANGE(""https://docs.google.com/spreadsheets/d/14Bd19lYaqBhU8_DElYkX7l4wRkHqqCUFNJY4AfY3kHU/edit?usp=sharing  #gid=0"",""фіз особи new!relations_name_uo""),7,FALSE)
,
)
))"),"СЕЛІВЕРСТОВ Віктор Валентинович")</f>
        <v>СЕЛІВЕРСТОВ Віктор Валентинович</v>
      </c>
      <c r="G2836" s="7" t="s">
        <v>10</v>
      </c>
      <c r="H2836" s="7">
        <v>844</v>
      </c>
      <c r="I2836" s="8" t="str">
        <f ca="1">IFERROR(__xludf.DUMMYFUNCTION("IF
(
G2837=""фізична особа""
,
VLOOKUP(H2837,IMPORTRANGE(""https://docs.google.com/spreadsheets/d/14Bd19lYaqBhU8_DElYkX7l4wRkHqqCUFNJY4AfY3kHU/edit?usp=sharing  #gid=0"",""фіз особи new!relations_name""),6,FALSE)
,
(IF
(
G2837=""юридична особа""
,
VLOOKUP"&amp;"(H2837,IMPORTRANGE(""https://docs.google.com/spreadsheets/d/14Bd19lYaqBhU8_DElYkX7l4wRkHqqCUFNJY4AfY3kHU/edit?usp=sharing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836" s="7" t="s">
        <v>48</v>
      </c>
    </row>
    <row r="2837" spans="1:10" ht="13.2">
      <c r="A2837" s="7">
        <v>2836</v>
      </c>
      <c r="B2837" s="7">
        <v>1</v>
      </c>
      <c r="C2837" s="7" t="s">
        <v>10</v>
      </c>
      <c r="D2837" s="7">
        <v>826</v>
      </c>
      <c r="E2837" s="7" t="s">
        <v>48</v>
      </c>
      <c r="F2837" s="8" t="str">
        <f ca="1">IFERROR(__xludf.DUMMYFUNCTION("IF
(
C2838=""фізична особа""
,
VLOOKUP(D2838,IMPORTRANGE(""https://docs.google.com/spreadsheets/d/14Bd19lYaqBhU8_DElYkX7l4wRkHqqCUFNJY4AfY3kHU/edit?usp=sharing  #gid=0"",""фіз особи new!relations_name""),6,FALSE)
,
(IF
(
C2838=""юридична особа""
,
VLOOKUP"&amp;"(D2838,IMPORTRANGE(""https://docs.google.com/spreadsheets/d/14Bd19lYaqBhU8_DElYkX7l4wRkHqqCUFNJY4AfY3kHU/edit?usp=sharing  #gid=0"",""фіз особи new!relations_name_uo""),7,FALSE)
,
)
))"),"СЕЛІВЕРСТОВ Віктор Валентинович")</f>
        <v>СЕЛІВЕРСТОВ Віктор Валентинович</v>
      </c>
      <c r="G2837" s="7" t="s">
        <v>10</v>
      </c>
      <c r="H2837" s="7">
        <v>4789</v>
      </c>
      <c r="I2837" s="8" t="str">
        <f ca="1">IFERROR(__xludf.DUMMYFUNCTION("IF
(
G2838=""фізична особа""
,
VLOOKUP(H2838,IMPORTRANGE(""https://docs.google.com/spreadsheets/d/14Bd19lYaqBhU8_DElYkX7l4wRkHqqCUFNJY4AfY3kHU/edit?usp=sharing  #gid=0"",""фіз особи new!relations_name""),6,FALSE)
,
(IF
(
G2838=""юридична особа""
,
VLOOKUP"&amp;"(H2838,IMPORTRANGE(""https://docs.google.com/spreadsheets/d/14Bd19lYaqBhU8_DElYkX7l4wRkHqqCUFNJY4AfY3kHU/edit?usp=sharing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837" s="7" t="s">
        <v>48</v>
      </c>
    </row>
    <row r="2838" spans="1:10" ht="13.2">
      <c r="A2838" s="7">
        <v>2837</v>
      </c>
      <c r="B2838" s="7">
        <v>1</v>
      </c>
      <c r="C2838" s="7" t="s">
        <v>10</v>
      </c>
      <c r="D2838" s="7">
        <v>826</v>
      </c>
      <c r="E2838" s="7" t="s">
        <v>48</v>
      </c>
      <c r="F2838" s="8" t="str">
        <f ca="1">IFERROR(__xludf.DUMMYFUNCTION("IF
(
C2839=""фізична особа""
,
VLOOKUP(D2839,IMPORTRANGE(""https://docs.google.com/spreadsheets/d/14Bd19lYaqBhU8_DElYkX7l4wRkHqqCUFNJY4AfY3kHU/edit?usp=sharing  #gid=0"",""фіз особи new!relations_name""),6,FALSE)
,
(IF
(
C2839=""юридична особа""
,
VLOOKUP"&amp;"(D2839,IMPORTRANGE(""https://docs.google.com/spreadsheets/d/14Bd19lYaqBhU8_DElYkX7l4wRkHqqCUFNJY4AfY3kHU/edit?usp=sharing  #gid=0"",""фіз особи new!relations_name_uo""),7,FALSE)
,
)
))"),"СЕЛІВЕРСТОВ Віктор Валентинович")</f>
        <v>СЕЛІВЕРСТОВ Віктор Валентинович</v>
      </c>
      <c r="G2838" s="7" t="s">
        <v>10</v>
      </c>
      <c r="H2838" s="7">
        <v>4870</v>
      </c>
      <c r="I2838" s="8" t="str">
        <f ca="1">IFERROR(__xludf.DUMMYFUNCTION("IF
(
G2839=""фізична особа""
,
VLOOKUP(H2839,IMPORTRANGE(""https://docs.google.com/spreadsheets/d/14Bd19lYaqBhU8_DElYkX7l4wRkHqqCUFNJY4AfY3kHU/edit?usp=sharing  #gid=0"",""фіз особи new!relations_name""),6,FALSE)
,
(IF
(
G2839=""юридична особа""
,
VLOOKUP"&amp;"(H2839,IMPORTRANGE(""https://docs.google.com/spreadsheets/d/14Bd19lYaqBhU8_DElYkX7l4wRkHqqCUFNJY4AfY3kHU/edit?usp=sharing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838" s="7" t="s">
        <v>48</v>
      </c>
    </row>
    <row r="2839" spans="1:10" ht="13.2">
      <c r="A2839" s="7">
        <v>2838</v>
      </c>
      <c r="B2839" s="7">
        <v>1</v>
      </c>
      <c r="C2839" s="7" t="s">
        <v>10</v>
      </c>
      <c r="D2839" s="7">
        <v>827</v>
      </c>
      <c r="E2839" s="7" t="s">
        <v>18</v>
      </c>
      <c r="F2839" s="8" t="str">
        <f ca="1">IFERROR(__xludf.DUMMYFUNCTION("IF
(
C2840=""фізична особа""
,
VLOOKUP(D2840,IMPORTRANGE(""https://docs.google.com/spreadsheets/d/14Bd19lYaqBhU8_DElYkX7l4wRkHqqCUFNJY4AfY3kHU/edit?usp=sharing  #gid=0"",""фіз особи new!relations_name""),6,FALSE)
,
(IF
(
C2840=""юридична особа""
,
VLOOKUP"&amp;"(D2840,IMPORTRANGE(""https://docs.google.com/spreadsheets/d/14Bd19lYaqBhU8_DElYkX7l4wRkHqqCUFNJY4AfY3kHU/edit?usp=sharing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G2839" s="7" t="s">
        <v>10</v>
      </c>
      <c r="H2839" s="7">
        <v>0</v>
      </c>
      <c r="I2839" s="8" t="str">
        <f ca="1">IFERROR(__xludf.DUMMYFUNCTION("IF
(
G2840=""фізична особа""
,
VLOOKUP(H2840,IMPORTRANGE(""https://docs.google.com/spreadsheets/d/14Bd19lYaqBhU8_DElYkX7l4wRkHqqCUFNJY4AfY3kHU/edit?usp=sharing  #gid=0"",""фіз особи new!relations_name""),6,FALSE)
,
(IF
(
G2840=""юридична особа""
,
VLOOKUP"&amp;"(H2840,IMPORTRANGE(""https://docs.google.com/spreadsheets/d/14Bd19lYaqBhU8_DElYkX7l4wRkHqqCUFNJY4AfY3kHU/edit?usp=sharing  #gid=0"",""фіз особи new!relations_name_uo""),7,FALSE)
,
)
))"),"#N/A")</f>
        <v>#N/A</v>
      </c>
      <c r="J2839" s="7" t="s">
        <v>18</v>
      </c>
    </row>
    <row r="2840" spans="1:10" ht="13.2">
      <c r="A2840" s="7">
        <v>2839</v>
      </c>
      <c r="B2840" s="7">
        <v>1</v>
      </c>
      <c r="C2840" s="7" t="s">
        <v>10</v>
      </c>
      <c r="D2840" s="7">
        <v>827</v>
      </c>
      <c r="E2840" s="7" t="s">
        <v>12</v>
      </c>
      <c r="F2840" s="8" t="str">
        <f ca="1">IFERROR(__xludf.DUMMYFUNCTION("IF
(
C2841=""фізична особа""
,
VLOOKUP(D2841,IMPORTRANGE(""https://docs.google.com/spreadsheets/d/14Bd19lYaqBhU8_DElYkX7l4wRkHqqCUFNJY4AfY3kHU/edit?usp=sharing  #gid=0"",""фіз особи new!relations_name""),6,FALSE)
,
(IF
(
C2841=""юридична особа""
,
VLOOKUP"&amp;"(D2841,IMPORTRANGE(""https://docs.google.com/spreadsheets/d/14Bd19lYaqBhU8_DElYkX7l4wRkHqqCUFNJY4AfY3kHU/edit?usp=sharing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G2840" s="7" t="s">
        <v>10</v>
      </c>
      <c r="H2840" s="7">
        <v>0</v>
      </c>
      <c r="I2840" s="8" t="str">
        <f ca="1">IFERROR(__xludf.DUMMYFUNCTION("IF
(
G2841=""фізична особа""
,
VLOOKUP(H2841,IMPORTRANGE(""https://docs.google.com/spreadsheets/d/14Bd19lYaqBhU8_DElYkX7l4wRkHqqCUFNJY4AfY3kHU/edit?usp=sharing  #gid=0"",""фіз особи new!relations_name""),6,FALSE)
,
(IF
(
G2841=""юридична особа""
,
VLOOKUP"&amp;"(H2841,IMPORTRANGE(""https://docs.google.com/spreadsheets/d/14Bd19lYaqBhU8_DElYkX7l4wRkHqqCUFNJY4AfY3kHU/edit?usp=sharing  #gid=0"",""фіз особи new!relations_name_uo""),7,FALSE)
,
)
))"),"#N/A")</f>
        <v>#N/A</v>
      </c>
      <c r="J2840" s="7" t="s">
        <v>13</v>
      </c>
    </row>
    <row r="2841" spans="1:10" ht="13.2">
      <c r="A2841" s="7">
        <v>2840</v>
      </c>
      <c r="B2841" s="7">
        <v>1</v>
      </c>
      <c r="C2841" s="7" t="s">
        <v>10</v>
      </c>
      <c r="D2841" s="7">
        <v>827</v>
      </c>
      <c r="E2841" s="7" t="s">
        <v>12</v>
      </c>
      <c r="F2841" s="8" t="str">
        <f ca="1">IFERROR(__xludf.DUMMYFUNCTION("IF
(
C2842=""фізична особа""
,
VLOOKUP(D2842,IMPORTRANGE(""https://docs.google.com/spreadsheets/d/14Bd19lYaqBhU8_DElYkX7l4wRkHqqCUFNJY4AfY3kHU/edit?usp=sharing  #gid=0"",""фіз особи new!relations_name""),6,FALSE)
,
(IF
(
C2842=""юридична особа""
,
VLOOKUP"&amp;"(D2842,IMPORTRANGE(""https://docs.google.com/spreadsheets/d/14Bd19lYaqBhU8_DElYkX7l4wRkHqqCUFNJY4AfY3kHU/edit?usp=sharing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G2841" s="7" t="s">
        <v>10</v>
      </c>
      <c r="H2841" s="7">
        <v>23455</v>
      </c>
      <c r="I2841" s="8" t="str">
        <f ca="1">IFERROR(__xludf.DUMMYFUNCTION("IF
(
G2842=""фізична особа""
,
VLOOKUP(H2842,IMPORTRANGE(""https://docs.google.com/spreadsheets/d/14Bd19lYaqBhU8_DElYkX7l4wRkHqqCUFNJY4AfY3kHU/edit?usp=sharing  #gid=0"",""фіз особи new!relations_name""),6,FALSE)
,
(IF
(
G2842=""юридична особа""
,
VLOOKUP"&amp;"(H2842,IMPORTRANGE(""https://docs.google.com/spreadsheets/d/14Bd19lYaqBhU8_DElYkX7l4wRkHqqCUFNJY4AfY3kHU/edit?usp=sharing  #gid=0"",""фіз особи new!relations_name_uo""),7,FALSE)
,
)
))"),"ЗОБНЄВ Олексій Вікторович")</f>
        <v>ЗОБНЄВ Олексій Вікторович</v>
      </c>
      <c r="J2841" s="7" t="s">
        <v>17</v>
      </c>
    </row>
    <row r="2842" spans="1:10" ht="13.2">
      <c r="A2842" s="7">
        <v>2841</v>
      </c>
      <c r="B2842" s="7">
        <v>1</v>
      </c>
      <c r="C2842" s="7" t="s">
        <v>10</v>
      </c>
      <c r="D2842" s="7">
        <v>827</v>
      </c>
      <c r="E2842" s="7" t="s">
        <v>14</v>
      </c>
      <c r="F2842" s="8" t="str">
        <f ca="1">IFERROR(__xludf.DUMMYFUNCTION("IF
(
C2843=""фізична особа""
,
VLOOKUP(D2843,IMPORTRANGE(""https://docs.google.com/spreadsheets/d/14Bd19lYaqBhU8_DElYkX7l4wRkHqqCUFNJY4AfY3kHU/edit?usp=sharing  #gid=0"",""фіз особи new!relations_name""),6,FALSE)
,
(IF
(
C2843=""юридична особа""
,
VLOOKUP"&amp;"(D2843,IMPORTRANGE(""https://docs.google.com/spreadsheets/d/14Bd19lYaqBhU8_DElYkX7l4wRkHqqCUFNJY4AfY3kHU/edit?usp=sharing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G2842" s="7" t="s">
        <v>10</v>
      </c>
      <c r="H2842" s="7">
        <v>8644</v>
      </c>
      <c r="I2842" s="8" t="str">
        <f ca="1">IFERROR(__xludf.DUMMYFUNCTION("IF
(
G2843=""фізична особа""
,
VLOOKUP(H2843,IMPORTRANGE(""https://docs.google.com/spreadsheets/d/14Bd19lYaqBhU8_DElYkX7l4wRkHqqCUFNJY4AfY3kHU/edit?usp=sharing  #gid=0"",""фіз особи new!relations_name""),6,FALSE)
,
(IF
(
G2843=""юридична особа""
,
VLOOKUP"&amp;"(H2843,IMPORTRANGE(""https://docs.google.com/spreadsheets/d/14Bd19lYaqBhU8_DElYkX7l4wRkHqqCUFNJY4AfY3kHU/edit?usp=sharing  #gid=0"",""фіз особи new!relations_name_uo""),7,FALSE)
,
)
))"),"ЗОБНЄВА Олена Олексіївна")</f>
        <v>ЗОБНЄВА Олена Олексіївна</v>
      </c>
      <c r="J2842" s="7" t="s">
        <v>15</v>
      </c>
    </row>
    <row r="2843" spans="1:10" ht="13.2">
      <c r="A2843" s="7">
        <v>2842</v>
      </c>
      <c r="B2843" s="7">
        <v>1</v>
      </c>
      <c r="C2843" s="7" t="s">
        <v>10</v>
      </c>
      <c r="D2843" s="7">
        <v>827</v>
      </c>
      <c r="E2843" s="7" t="s">
        <v>24</v>
      </c>
      <c r="F2843" s="8" t="str">
        <f ca="1">IFERROR(__xludf.DUMMYFUNCTION("IF
(
C2844=""фізична особа""
,
VLOOKUP(D2844,IMPORTRANGE(""https://docs.google.com/spreadsheets/d/14Bd19lYaqBhU8_DElYkX7l4wRkHqqCUFNJY4AfY3kHU/edit?usp=sharing  #gid=0"",""фіз особи new!relations_name""),6,FALSE)
,
(IF
(
C2844=""юридична особа""
,
VLOOKUP"&amp;"(D2844,IMPORTRANGE(""https://docs.google.com/spreadsheets/d/14Bd19lYaqBhU8_DElYkX7l4wRkHqqCUFNJY4AfY3kHU/edit?usp=sharing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G2843" s="7" t="s">
        <v>10</v>
      </c>
      <c r="H2843" s="7">
        <v>0</v>
      </c>
      <c r="I2843" s="8" t="str">
        <f ca="1">IFERROR(__xludf.DUMMYFUNCTION("IF
(
G2844=""фізична особа""
,
VLOOKUP(H2844,IMPORTRANGE(""https://docs.google.com/spreadsheets/d/14Bd19lYaqBhU8_DElYkX7l4wRkHqqCUFNJY4AfY3kHU/edit?usp=sharing  #gid=0"",""фіз особи new!relations_name""),6,FALSE)
,
(IF
(
G2844=""юридична особа""
,
VLOOKUP"&amp;"(H2844,IMPORTRANGE(""https://docs.google.com/spreadsheets/d/14Bd19lYaqBhU8_DElYkX7l4wRkHqqCUFNJY4AfY3kHU/edit?usp=sharing  #gid=0"",""фіз особи new!relations_name_uo""),7,FALSE)
,
)
))"),"#N/A")</f>
        <v>#N/A</v>
      </c>
      <c r="J2843" s="7" t="s">
        <v>26</v>
      </c>
    </row>
    <row r="2844" spans="1:10" ht="13.2">
      <c r="A2844" s="7">
        <v>2843</v>
      </c>
      <c r="B2844" s="7">
        <v>1</v>
      </c>
      <c r="C2844" s="7" t="s">
        <v>10</v>
      </c>
      <c r="D2844" s="7">
        <v>828</v>
      </c>
      <c r="E2844" s="7" t="s">
        <v>14</v>
      </c>
      <c r="F2844" s="8" t="str">
        <f ca="1">IFERROR(__xludf.DUMMYFUNCTION("IF
(
C2845=""фізична особа""
,
VLOOKUP(D2845,IMPORTRANGE(""https://docs.google.com/spreadsheets/d/14Bd19lYaqBhU8_DElYkX7l4wRkHqqCUFNJY4AfY3kHU/edit?usp=sharing  #gid=0"",""фіз особи new!relations_name""),6,FALSE)
,
(IF
(
C2845=""юридична особа""
,
VLOOKUP"&amp;"(D2845,IMPORTRANGE(""https://docs.google.com/spreadsheets/d/14Bd19lYaqBhU8_DElYkX7l4wRkHqqCUFNJY4AfY3kHU/edit?usp=sharing  #gid=0"",""фіз особи new!relations_name_uo""),7,FALSE)
,
)
))"),"ДЗЮБА Віктор Вікторович")</f>
        <v>ДЗЮБА Віктор Вікторович</v>
      </c>
      <c r="G2844" s="7" t="s">
        <v>10</v>
      </c>
      <c r="H2844" s="7">
        <v>15533</v>
      </c>
      <c r="I2844" s="8" t="str">
        <f ca="1">IFERROR(__xludf.DUMMYFUNCTION("IF
(
G2845=""фізична особа""
,
VLOOKUP(H2845,IMPORTRANGE(""https://docs.google.com/spreadsheets/d/14Bd19lYaqBhU8_DElYkX7l4wRkHqqCUFNJY4AfY3kHU/edit?usp=sharing  #gid=0"",""фіз особи new!relations_name""),6,FALSE)
,
(IF
(
G2845=""юридична особа""
,
VLOOKUP"&amp;"(H2845,IMPORTRANGE(""https://docs.google.com/spreadsheets/d/14Bd19lYaqBhU8_DElYkX7l4wRkHqqCUFNJY4AfY3kHU/edit?usp=sharing  #gid=0"",""фіз особи new!relations_name_uo""),7,FALSE)
,
)
))"),"ДЗЮБА Світлана Михайлівна")</f>
        <v>ДЗЮБА Світлана Михайлівна</v>
      </c>
      <c r="J2844" s="7" t="s">
        <v>15</v>
      </c>
    </row>
    <row r="2845" spans="1:10" ht="13.2">
      <c r="A2845" s="7">
        <v>2844</v>
      </c>
      <c r="B2845" s="7">
        <v>1</v>
      </c>
      <c r="C2845" s="7" t="s">
        <v>10</v>
      </c>
      <c r="D2845" s="7">
        <v>828</v>
      </c>
      <c r="E2845" s="7" t="s">
        <v>12</v>
      </c>
      <c r="F2845" s="8" t="str">
        <f ca="1">IFERROR(__xludf.DUMMYFUNCTION("IF
(
C2846=""фізична особа""
,
VLOOKUP(D2846,IMPORTRANGE(""https://docs.google.com/spreadsheets/d/14Bd19lYaqBhU8_DElYkX7l4wRkHqqCUFNJY4AfY3kHU/edit?usp=sharing  #gid=0"",""фіз особи new!relations_name""),6,FALSE)
,
(IF
(
C2846=""юридична особа""
,
VLOOKUP"&amp;"(D2846,IMPORTRANGE(""https://docs.google.com/spreadsheets/d/14Bd19lYaqBhU8_DElYkX7l4wRkHqqCUFNJY4AfY3kHU/edit?usp=sharing  #gid=0"",""фіз особи new!relations_name_uo""),7,FALSE)
,
)
))"),"ДЗЮБА Віктор Вікторович")</f>
        <v>ДЗЮБА Віктор Вікторович</v>
      </c>
      <c r="G2845" s="7" t="s">
        <v>10</v>
      </c>
      <c r="H2845" s="7">
        <v>0</v>
      </c>
      <c r="I2845" s="8" t="str">
        <f ca="1">IFERROR(__xludf.DUMMYFUNCTION("IF
(
G2846=""фізична особа""
,
VLOOKUP(H2846,IMPORTRANGE(""https://docs.google.com/spreadsheets/d/14Bd19lYaqBhU8_DElYkX7l4wRkHqqCUFNJY4AfY3kHU/edit?usp=sharing  #gid=0"",""фіз особи new!relations_name""),6,FALSE)
,
(IF
(
G2846=""юридична особа""
,
VLOOKUP"&amp;"(H2846,IMPORTRANGE(""https://docs.google.com/spreadsheets/d/14Bd19lYaqBhU8_DElYkX7l4wRkHqqCUFNJY4AfY3kHU/edit?usp=sharing  #gid=0"",""фіз особи new!relations_name_uo""),7,FALSE)
,
)
))"),"#N/A")</f>
        <v>#N/A</v>
      </c>
      <c r="J2845" s="7" t="s">
        <v>17</v>
      </c>
    </row>
    <row r="2846" spans="1:10" ht="13.2">
      <c r="A2846" s="7">
        <v>2845</v>
      </c>
      <c r="B2846" s="7">
        <v>1</v>
      </c>
      <c r="C2846" s="7" t="s">
        <v>10</v>
      </c>
      <c r="D2846" s="7">
        <v>829</v>
      </c>
      <c r="E2846" s="7" t="s">
        <v>29</v>
      </c>
      <c r="F2846" s="8" t="str">
        <f ca="1">IFERROR(__xludf.DUMMYFUNCTION("IF
(
C2847=""фізична особа""
,
VLOOKUP(D2847,IMPORTRANGE(""https://docs.google.com/spreadsheets/d/14Bd19lYaqBhU8_DElYkX7l4wRkHqqCUFNJY4AfY3kHU/edit?usp=sharing  #gid=0"",""фіз особи new!relations_name""),6,FALSE)
,
(IF
(
C2847=""юридична особа""
,
VLOOKUP"&amp;"(D2847,IMPORTRANGE(""https://docs.google.com/spreadsheets/d/14Bd19lYaqBhU8_DElYkX7l4wRkHqqCUFNJY4AfY3kHU/edit?usp=sharing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G2846" s="7" t="s">
        <v>10</v>
      </c>
      <c r="H2846" s="7">
        <v>0</v>
      </c>
      <c r="I2846" s="8" t="str">
        <f ca="1">IFERROR(__xludf.DUMMYFUNCTION("IF
(
G2847=""фізична особа""
,
VLOOKUP(H2847,IMPORTRANGE(""https://docs.google.com/spreadsheets/d/14Bd19lYaqBhU8_DElYkX7l4wRkHqqCUFNJY4AfY3kHU/edit?usp=sharing  #gid=0"",""фіз особи new!relations_name""),6,FALSE)
,
(IF
(
G2847=""юридична особа""
,
VLOOKUP"&amp;"(H2847,IMPORTRANGE(""https://docs.google.com/spreadsheets/d/14Bd19lYaqBhU8_DElYkX7l4wRkHqqCUFNJY4AfY3kHU/edit?usp=sharing  #gid=0"",""фіз особи new!relations_name_uo""),7,FALSE)
,
)
))"),"#N/A")</f>
        <v>#N/A</v>
      </c>
      <c r="J2846" s="7" t="s">
        <v>28</v>
      </c>
    </row>
    <row r="2847" spans="1:10" ht="13.2">
      <c r="A2847" s="7">
        <v>2846</v>
      </c>
      <c r="B2847" s="7">
        <v>1</v>
      </c>
      <c r="C2847" s="7" t="s">
        <v>10</v>
      </c>
      <c r="D2847" s="7">
        <v>829</v>
      </c>
      <c r="E2847" s="7" t="s">
        <v>18</v>
      </c>
      <c r="F2847" s="8" t="str">
        <f ca="1">IFERROR(__xludf.DUMMYFUNCTION("IF
(
C2848=""фізична особа""
,
VLOOKUP(D2848,IMPORTRANGE(""https://docs.google.com/spreadsheets/d/14Bd19lYaqBhU8_DElYkX7l4wRkHqqCUFNJY4AfY3kHU/edit?usp=sharing  #gid=0"",""фіз особи new!relations_name""),6,FALSE)
,
(IF
(
C2848=""юридична особа""
,
VLOOKUP"&amp;"(D2848,IMPORTRANGE(""https://docs.google.com/spreadsheets/d/14Bd19lYaqBhU8_DElYkX7l4wRkHqqCUFNJY4AfY3kHU/edit?usp=sharing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G2847" s="7" t="s">
        <v>10</v>
      </c>
      <c r="H2847" s="7">
        <v>4918</v>
      </c>
      <c r="I2847" s="8" t="str">
        <f ca="1">IFERROR(__xludf.DUMMYFUNCTION("IF
(
G2848=""фізична особа""
,
VLOOKUP(H2848,IMPORTRANGE(""https://docs.google.com/spreadsheets/d/14Bd19lYaqBhU8_DElYkX7l4wRkHqqCUFNJY4AfY3kHU/edit?usp=sharing  #gid=0"",""фіз особи new!relations_name""),6,FALSE)
,
(IF
(
G2848=""юридична особа""
,
VLOOKUP"&amp;"(H2848,IMPORTRANGE(""https://docs.google.com/spreadsheets/d/14Bd19lYaqBhU8_DElYkX7l4wRkHqqCUFNJY4AfY3kHU/edit?usp=sharing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J2847" s="7" t="s">
        <v>18</v>
      </c>
    </row>
    <row r="2848" spans="1:10" ht="13.2">
      <c r="A2848" s="7">
        <v>2847</v>
      </c>
      <c r="B2848" s="7">
        <v>1</v>
      </c>
      <c r="C2848" s="7" t="s">
        <v>10</v>
      </c>
      <c r="D2848" s="7">
        <v>829</v>
      </c>
      <c r="E2848" s="7" t="s">
        <v>12</v>
      </c>
      <c r="F2848" s="8" t="str">
        <f ca="1">IFERROR(__xludf.DUMMYFUNCTION("IF
(
C2849=""фізична особа""
,
VLOOKUP(D2849,IMPORTRANGE(""https://docs.google.com/spreadsheets/d/14Bd19lYaqBhU8_DElYkX7l4wRkHqqCUFNJY4AfY3kHU/edit?usp=sharing  #gid=0"",""фіз особи new!relations_name""),6,FALSE)
,
(IF
(
C2849=""юридична особа""
,
VLOOKUP"&amp;"(D2849,IMPORTRANGE(""https://docs.google.com/spreadsheets/d/14Bd19lYaqBhU8_DElYkX7l4wRkHqqCUFNJY4AfY3kHU/edit?usp=sharing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G2848" s="7" t="s">
        <v>10</v>
      </c>
      <c r="H2848" s="7">
        <v>4910</v>
      </c>
      <c r="I2848" s="8" t="str">
        <f ca="1">IFERROR(__xludf.DUMMYFUNCTION("IF
(
G2849=""фізична особа""
,
VLOOKUP(H2849,IMPORTRANGE(""https://docs.google.com/spreadsheets/d/14Bd19lYaqBhU8_DElYkX7l4wRkHqqCUFNJY4AfY3kHU/edit?usp=sharing  #gid=0"",""фіз особи new!relations_name""),6,FALSE)
,
(IF
(
G2849=""юридична особа""
,
VLOOKUP"&amp;"(H2849,IMPORTRANGE(""https://docs.google.com/spreadsheets/d/14Bd19lYaqBhU8_DElYkX7l4wRkHqqCUFNJY4AfY3kHU/edit?usp=sharing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J2848" s="7" t="s">
        <v>13</v>
      </c>
    </row>
    <row r="2849" spans="1:10" ht="13.2">
      <c r="A2849" s="7">
        <v>2848</v>
      </c>
      <c r="B2849" s="7">
        <v>1</v>
      </c>
      <c r="C2849" s="7" t="s">
        <v>10</v>
      </c>
      <c r="D2849" s="7">
        <v>829</v>
      </c>
      <c r="E2849" s="7" t="s">
        <v>24</v>
      </c>
      <c r="F2849" s="8" t="str">
        <f ca="1">IFERROR(__xludf.DUMMYFUNCTION("IF
(
C2850=""фізична особа""
,
VLOOKUP(D2850,IMPORTRANGE(""https://docs.google.com/spreadsheets/d/14Bd19lYaqBhU8_DElYkX7l4wRkHqqCUFNJY4AfY3kHU/edit?usp=sharing  #gid=0"",""фіз особи new!relations_name""),6,FALSE)
,
(IF
(
C2850=""юридична особа""
,
VLOOKUP"&amp;"(D2850,IMPORTRANGE(""https://docs.google.com/spreadsheets/d/14Bd19lYaqBhU8_DElYkX7l4wRkHqqCUFNJY4AfY3kHU/edit?usp=sharing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G2849" s="7" t="s">
        <v>10</v>
      </c>
      <c r="H2849" s="7">
        <v>4917</v>
      </c>
      <c r="I2849" s="8" t="str">
        <f ca="1">IFERROR(__xludf.DUMMYFUNCTION("IF
(
G2850=""фізична особа""
,
VLOOKUP(H2850,IMPORTRANGE(""https://docs.google.com/spreadsheets/d/14Bd19lYaqBhU8_DElYkX7l4wRkHqqCUFNJY4AfY3kHU/edit?usp=sharing  #gid=0"",""фіз особи new!relations_name""),6,FALSE)
,
(IF
(
G2850=""юридична особа""
,
VLOOKUP"&amp;"(H2850,IMPORTRANGE(""https://docs.google.com/spreadsheets/d/14Bd19lYaqBhU8_DElYkX7l4wRkHqqCUFNJY4AfY3kHU/edit?usp=sharing  #gid=0"",""фіз особи new!relations_name_uo""),7,FALSE)
,
)
))"),"ОЗЕРАНСЬКИЙ Дмитро Андрійович")</f>
        <v>ОЗЕРАНСЬКИЙ Дмитро Андрійович</v>
      </c>
      <c r="J2849" s="7" t="s">
        <v>26</v>
      </c>
    </row>
    <row r="2850" spans="1:10" ht="13.2">
      <c r="A2850" s="7">
        <v>2849</v>
      </c>
      <c r="B2850" s="7">
        <v>1</v>
      </c>
      <c r="C2850" s="7" t="s">
        <v>10</v>
      </c>
      <c r="D2850" s="7">
        <v>829</v>
      </c>
      <c r="E2850" s="7" t="s">
        <v>14</v>
      </c>
      <c r="F2850" s="8" t="str">
        <f ca="1">IFERROR(__xludf.DUMMYFUNCTION("IF
(
C2851=""фізична особа""
,
VLOOKUP(D2851,IMPORTRANGE(""https://docs.google.com/spreadsheets/d/14Bd19lYaqBhU8_DElYkX7l4wRkHqqCUFNJY4AfY3kHU/edit?usp=sharing  #gid=0"",""фіз особи new!relations_name""),6,FALSE)
,
(IF
(
C2851=""юридична особа""
,
VLOOKUP"&amp;"(D2851,IMPORTRANGE(""https://docs.google.com/spreadsheets/d/14Bd19lYaqBhU8_DElYkX7l4wRkHqqCUFNJY4AfY3kHU/edit?usp=sharing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G2850" s="7" t="s">
        <v>10</v>
      </c>
      <c r="H2850" s="7">
        <v>4909</v>
      </c>
      <c r="I2850" s="8" t="str">
        <f ca="1">IFERROR(__xludf.DUMMYFUNCTION("IF
(
G2851=""фізична особа""
,
VLOOKUP(H2851,IMPORTRANGE(""https://docs.google.com/spreadsheets/d/14Bd19lYaqBhU8_DElYkX7l4wRkHqqCUFNJY4AfY3kHU/edit?usp=sharing  #gid=0"",""фіз особи new!relations_name""),6,FALSE)
,
(IF
(
G2851=""юридична особа""
,
VLOOKUP"&amp;"(H2851,IMPORTRANGE(""https://docs.google.com/spreadsheets/d/14Bd19lYaqBhU8_DElYkX7l4wRkHqqCUFNJY4AfY3kHU/edit?usp=sharing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J2850" s="7" t="s">
        <v>15</v>
      </c>
    </row>
    <row r="2851" spans="1:10" ht="13.2">
      <c r="A2851" s="7">
        <v>2850</v>
      </c>
      <c r="B2851" s="7">
        <v>1</v>
      </c>
      <c r="C2851" s="7" t="s">
        <v>10</v>
      </c>
      <c r="D2851" s="7">
        <v>830</v>
      </c>
      <c r="E2851" s="7" t="s">
        <v>28</v>
      </c>
      <c r="F2851" s="8" t="str">
        <f ca="1">IFERROR(__xludf.DUMMYFUNCTION("IF
(
C2852=""фізична особа""
,
VLOOKUP(D2852,IMPORTRANGE(""https://docs.google.com/spreadsheets/d/14Bd19lYaqBhU8_DElYkX7l4wRkHqqCUFNJY4AfY3kHU/edit?usp=sharing  #gid=0"",""фіз особи new!relations_name""),6,FALSE)
,
(IF
(
C2852=""юридична особа""
,
VLOOKUP"&amp;"(D2852,IMPORTRANGE(""https://docs.google.com/spreadsheets/d/14Bd19lYaqBhU8_DElYkX7l4wRkHqqCUFNJY4AfY3kHU/edit?usp=sharing  #gid=0"",""фіз особи new!relations_name_uo""),7,FALSE)
,
)
))"),"ГУЛЕВИЧ Віктор Володимирович")</f>
        <v>ГУЛЕВИЧ Віктор Володимирович</v>
      </c>
      <c r="G2851" s="7" t="s">
        <v>10</v>
      </c>
      <c r="H2851" s="7">
        <v>23364</v>
      </c>
      <c r="I2851" s="8" t="str">
        <f ca="1">IFERROR(__xludf.DUMMYFUNCTION("IF
(
G2852=""фізична особа""
,
VLOOKUP(H2852,IMPORTRANGE(""https://docs.google.com/spreadsheets/d/14Bd19lYaqBhU8_DElYkX7l4wRkHqqCUFNJY4AfY3kHU/edit?usp=sharing  #gid=0"",""фіз особи new!relations_name""),6,FALSE)
,
(IF
(
G2852=""юридична особа""
,
VLOOKUP"&amp;"(H2852,IMPORTRANGE(""https://docs.google.com/spreadsheets/d/14Bd19lYaqBhU8_DElYkX7l4wRkHqqCUFNJY4AfY3kHU/edit?usp=sharing  #gid=0"",""фіз особи new!relations_name_uo""),7,FALSE)
,
)
))"),"ГОЛОВЧЕНКО Роман Олександрович")</f>
        <v>ГОЛОВЧЕНКО Роман Олександрович</v>
      </c>
      <c r="J2851" s="7" t="s">
        <v>29</v>
      </c>
    </row>
    <row r="2852" spans="1:10" ht="13.2">
      <c r="A2852" s="7">
        <v>2851</v>
      </c>
      <c r="B2852" s="7">
        <v>1</v>
      </c>
      <c r="C2852" s="7" t="s">
        <v>10</v>
      </c>
      <c r="D2852" s="7">
        <v>830</v>
      </c>
      <c r="E2852" s="7" t="s">
        <v>52</v>
      </c>
      <c r="F2852" s="8" t="str">
        <f ca="1">IFERROR(__xludf.DUMMYFUNCTION("IF
(
C2853=""фізична особа""
,
VLOOKUP(D2853,IMPORTRANGE(""https://docs.google.com/spreadsheets/d/14Bd19lYaqBhU8_DElYkX7l4wRkHqqCUFNJY4AfY3kHU/edit?usp=sharing  #gid=0"",""фіз особи new!relations_name""),6,FALSE)
,
(IF
(
C2853=""юридична особа""
,
VLOOKUP"&amp;"(D2853,IMPORTRANGE(""https://docs.google.com/spreadsheets/d/14Bd19lYaqBhU8_DElYkX7l4wRkHqqCUFNJY4AfY3kHU/edit?usp=sharing  #gid=0"",""фіз особи new!relations_name_uo""),7,FALSE)
,
)
))"),"ГУЛЕВИЧ Віктор Володимирович")</f>
        <v>ГУЛЕВИЧ Віктор Володимирович</v>
      </c>
      <c r="G2852" s="7" t="s">
        <v>10</v>
      </c>
      <c r="H2852" s="7">
        <v>35</v>
      </c>
      <c r="I2852" s="8" t="str">
        <f ca="1">IFERROR(__xludf.DUMMYFUNCTION("IF
(
G2853=""фізична особа""
,
VLOOKUP(H2853,IMPORTRANGE(""https://docs.google.com/spreadsheets/d/14Bd19lYaqBhU8_DElYkX7l4wRkHqqCUFNJY4AfY3kHU/edit?usp=sharing  #gid=0"",""фіз особи new!relations_name""),6,FALSE)
,
(IF
(
G2853=""юридична особа""
,
VLOOKUP"&amp;"(H2853,IMPORTRANGE(""https://docs.google.com/spreadsheets/d/14Bd19lYaqBhU8_DElYkX7l4wRkHqqCUFNJY4AfY3kHU/edit?usp=sharing  #gid=0"",""фіз особи new!relations_name_uo""),7,FALSE)
,
)
))"),"ВОЛЬФОВИЧ Олександр Григорович")</f>
        <v>ВОЛЬФОВИЧ Олександр Григорович</v>
      </c>
      <c r="J2852" s="7" t="s">
        <v>53</v>
      </c>
    </row>
    <row r="2853" spans="1:10" ht="13.2">
      <c r="A2853" s="7">
        <v>2852</v>
      </c>
      <c r="B2853" s="7">
        <v>1</v>
      </c>
      <c r="C2853" s="7" t="s">
        <v>10</v>
      </c>
      <c r="D2853" s="7">
        <v>831</v>
      </c>
      <c r="E2853" s="7" t="s">
        <v>48</v>
      </c>
      <c r="F2853" s="8" t="str">
        <f ca="1">IFERROR(__xludf.DUMMYFUNCTION("IF
(
C2854=""фізична особа""
,
VLOOKUP(D2854,IMPORTRANGE(""https://docs.google.com/spreadsheets/d/14Bd19lYaqBhU8_DElYkX7l4wRkHqqCUFNJY4AfY3kHU/edit?usp=sharing  #gid=0"",""фіз особи new!relations_name""),6,FALSE)
,
(IF
(
C2854=""юридична особа""
,
VLOOKUP"&amp;"(D2854,IMPORTRANGE(""https://docs.google.com/spreadsheets/d/14Bd19lYaqBhU8_DElYkX7l4wRkHqqCUFNJY4AfY3kHU/edit?usp=sharing  #gid=0"",""фіз особи new!relations_name_uo""),7,FALSE)
,
)
))"),"СМІРНОВ Віктор Володимирович")</f>
        <v>СМІРНОВ Віктор Володимирович</v>
      </c>
      <c r="G2853" s="7" t="s">
        <v>10</v>
      </c>
      <c r="H2853" s="7">
        <v>23443</v>
      </c>
      <c r="I2853" s="8" t="str">
        <f ca="1">IFERROR(__xludf.DUMMYFUNCTION("IF
(
G2854=""фізична особа""
,
VLOOKUP(H2854,IMPORTRANGE(""https://docs.google.com/spreadsheets/d/14Bd19lYaqBhU8_DElYkX7l4wRkHqqCUFNJY4AfY3kHU/edit?usp=sharing  #gid=0"",""фіз особи new!relations_name""),6,FALSE)
,
(IF
(
G2854=""юридична особа""
,
VLOOKUP"&amp;"(H2854,IMPORTRANGE(""https://docs.google.com/spreadsheets/d/14Bd19lYaqBhU8_DElYkX7l4wRkHqqCUFNJY4AfY3kHU/edit?usp=sharing  #gid=0"",""фіз особи new!relations_name_uo""),7,FALSE)
,
)
))"),"МЕНЬ Михайло Олександрович")</f>
        <v>МЕНЬ Михайло Олександрович</v>
      </c>
      <c r="J2853" s="7" t="s">
        <v>48</v>
      </c>
    </row>
    <row r="2854" spans="1:10" ht="13.2">
      <c r="A2854" s="7">
        <v>2853</v>
      </c>
      <c r="B2854" s="7">
        <v>1</v>
      </c>
      <c r="C2854" s="7" t="s">
        <v>10</v>
      </c>
      <c r="D2854" s="7">
        <v>832</v>
      </c>
      <c r="E2854" s="7" t="s">
        <v>48</v>
      </c>
      <c r="F2854" s="8" t="str">
        <f ca="1">IFERROR(__xludf.DUMMYFUNCTION("IF
(
C2855=""фізична особа""
,
VLOOKUP(D2855,IMPORTRANGE(""https://docs.google.com/spreadsheets/d/14Bd19lYaqBhU8_DElYkX7l4wRkHqqCUFNJY4AfY3kHU/edit?usp=sharing  #gid=0"",""фіз особи new!relations_name""),6,FALSE)
,
(IF
(
C2855=""юридична особа""
,
VLOOKUP"&amp;"(D2855,IMPORTRANGE(""https://docs.google.com/spreadsheets/d/14Bd19lYaqBhU8_DElYkX7l4wRkHqqCUFNJY4AfY3kHU/edit?usp=sharing  #gid=0"",""фіз особи new!relations_name_uo""),7,FALSE)
,
)
))"),"ЗУБАРЄВ Віктор Владиславович")</f>
        <v>ЗУБАРЄВ Віктор Владиславович</v>
      </c>
      <c r="G2854" s="7" t="s">
        <v>10</v>
      </c>
      <c r="H2854" s="7">
        <v>453</v>
      </c>
      <c r="I2854" s="8" t="str">
        <f ca="1">IFERROR(__xludf.DUMMYFUNCTION("IF
(
G2855=""фізична особа""
,
VLOOKUP(H2855,IMPORTRANGE(""https://docs.google.com/spreadsheets/d/14Bd19lYaqBhU8_DElYkX7l4wRkHqqCUFNJY4AfY3kHU/edit?usp=sharing  #gid=0"",""фіз особи new!relations_name""),6,FALSE)
,
(IF
(
G2855=""юридична особа""
,
VLOOKUP"&amp;"(H2855,IMPORTRANGE(""https://docs.google.com/spreadsheets/d/14Bd19lYaqBhU8_DElYkX7l4wRkHqqCUFNJY4AfY3kHU/edit?usp=sharing  #gid=0"",""фіз особи new!relations_name_uo""),7,FALSE)
,
)
))"),"РОМАНОВ Михайло Валентинович")</f>
        <v>РОМАНОВ Михайло Валентинович</v>
      </c>
      <c r="J2854" s="7" t="s">
        <v>48</v>
      </c>
    </row>
    <row r="2855" spans="1:10" ht="13.2">
      <c r="A2855" s="7">
        <v>2854</v>
      </c>
      <c r="B2855" s="7">
        <v>1</v>
      </c>
      <c r="C2855" s="7" t="s">
        <v>10</v>
      </c>
      <c r="D2855" s="7">
        <v>832</v>
      </c>
      <c r="E2855" s="7" t="s">
        <v>48</v>
      </c>
      <c r="F2855" s="8" t="str">
        <f ca="1">IFERROR(__xludf.DUMMYFUNCTION("IF
(
C2856=""фізична особа""
,
VLOOKUP(D2856,IMPORTRANGE(""https://docs.google.com/spreadsheets/d/14Bd19lYaqBhU8_DElYkX7l4wRkHqqCUFNJY4AfY3kHU/edit?usp=sharing  #gid=0"",""фіз особи new!relations_name""),6,FALSE)
,
(IF
(
C2856=""юридична особа""
,
VLOOKUP"&amp;"(D2856,IMPORTRANGE(""https://docs.google.com/spreadsheets/d/14Bd19lYaqBhU8_DElYkX7l4wRkHqqCUFNJY4AfY3kHU/edit?usp=sharing  #gid=0"",""фіз особи new!relations_name_uo""),7,FALSE)
,
)
))"),"ЗУБАРЄВ Віктор Владиславович")</f>
        <v>ЗУБАРЄВ Віктор Владиславович</v>
      </c>
      <c r="G2855" s="7" t="s">
        <v>10</v>
      </c>
      <c r="H2855" s="7">
        <v>2517</v>
      </c>
      <c r="I2855" s="8" t="str">
        <f ca="1">IFERROR(__xludf.DUMMYFUNCTION("IF
(
G2856=""фізична особа""
,
VLOOKUP(H2856,IMPORTRANGE(""https://docs.google.com/spreadsheets/d/14Bd19lYaqBhU8_DElYkX7l4wRkHqqCUFNJY4AfY3kHU/edit?usp=sharing  #gid=0"",""фіз особи new!relations_name""),6,FALSE)
,
(IF
(
G2856=""юридична особа""
,
VLOOKUP"&amp;"(H2856,IMPORTRANGE(""https://docs.google.com/spreadsheets/d/14Bd19lYaqBhU8_DElYkX7l4wRkHqqCUFNJY4AfY3kHU/edit?usp=sharing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J2855" s="7" t="s">
        <v>48</v>
      </c>
    </row>
    <row r="2856" spans="1:10" ht="13.2">
      <c r="A2856" s="7">
        <v>2855</v>
      </c>
      <c r="B2856" s="7">
        <v>1</v>
      </c>
      <c r="C2856" s="7" t="s">
        <v>10</v>
      </c>
      <c r="D2856" s="7">
        <v>832</v>
      </c>
      <c r="E2856" s="7" t="s">
        <v>14</v>
      </c>
      <c r="F2856" s="8" t="str">
        <f ca="1">IFERROR(__xludf.DUMMYFUNCTION("IF
(
C2857=""фізична особа""
,
VLOOKUP(D2857,IMPORTRANGE(""https://docs.google.com/spreadsheets/d/14Bd19lYaqBhU8_DElYkX7l4wRkHqqCUFNJY4AfY3kHU/edit?usp=sharing  #gid=0"",""фіз особи new!relations_name""),6,FALSE)
,
(IF
(
C2857=""юридична особа""
,
VLOOKUP"&amp;"(D2857,IMPORTRANGE(""https://docs.google.com/spreadsheets/d/14Bd19lYaqBhU8_DElYkX7l4wRkHqqCUFNJY4AfY3kHU/edit?usp=sharing  #gid=0"",""фіз особи new!relations_name_uo""),7,FALSE)
,
)
))"),"ЗУБАРЄВ Віктор Владиславович")</f>
        <v>ЗУБАРЄВ Віктор Владиславович</v>
      </c>
      <c r="G2856" s="7" t="s">
        <v>10</v>
      </c>
      <c r="H2856" s="7">
        <v>0</v>
      </c>
      <c r="I2856" s="8" t="str">
        <f ca="1">IFERROR(__xludf.DUMMYFUNCTION("IF
(
G2857=""фізична особа""
,
VLOOKUP(H2857,IMPORTRANGE(""https://docs.google.com/spreadsheets/d/14Bd19lYaqBhU8_DElYkX7l4wRkHqqCUFNJY4AfY3kHU/edit?usp=sharing  #gid=0"",""фіз особи new!relations_name""),6,FALSE)
,
(IF
(
G2857=""юридична особа""
,
VLOOKUP"&amp;"(H2857,IMPORTRANGE(""https://docs.google.com/spreadsheets/d/14Bd19lYaqBhU8_DElYkX7l4wRkHqqCUFNJY4AfY3kHU/edit?usp=sharing  #gid=0"",""фіз особи new!relations_name_uo""),7,FALSE)
,
)
))"),"#N/A")</f>
        <v>#N/A</v>
      </c>
      <c r="J2856" s="7" t="s">
        <v>15</v>
      </c>
    </row>
    <row r="2857" spans="1:10" ht="13.2">
      <c r="A2857" s="7">
        <v>2856</v>
      </c>
      <c r="B2857" s="7">
        <v>1</v>
      </c>
      <c r="C2857" s="7" t="s">
        <v>10</v>
      </c>
      <c r="D2857" s="7">
        <v>832</v>
      </c>
      <c r="E2857" s="7" t="s">
        <v>12</v>
      </c>
      <c r="F2857" s="8" t="str">
        <f ca="1">IFERROR(__xludf.DUMMYFUNCTION("IF
(
C2858=""фізична особа""
,
VLOOKUP(D2858,IMPORTRANGE(""https://docs.google.com/spreadsheets/d/14Bd19lYaqBhU8_DElYkX7l4wRkHqqCUFNJY4AfY3kHU/edit?usp=sharing  #gid=0"",""фіз особи new!relations_name""),6,FALSE)
,
(IF
(
C2858=""юридична особа""
,
VLOOKUP"&amp;"(D2858,IMPORTRANGE(""https://docs.google.com/spreadsheets/d/14Bd19lYaqBhU8_DElYkX7l4wRkHqqCUFNJY4AfY3kHU/edit?usp=sharing  #gid=0"",""фіз особи new!relations_name_uo""),7,FALSE)
,
)
))"),"ЗУБАРЄВ Віктор Владиславович")</f>
        <v>ЗУБАРЄВ Віктор Владиславович</v>
      </c>
      <c r="G2857" s="7" t="s">
        <v>10</v>
      </c>
      <c r="H2857" s="7">
        <v>15534</v>
      </c>
      <c r="I2857" s="8" t="str">
        <f ca="1">IFERROR(__xludf.DUMMYFUNCTION("IF
(
G2858=""фізична особа""
,
VLOOKUP(H2858,IMPORTRANGE(""https://docs.google.com/spreadsheets/d/14Bd19lYaqBhU8_DElYkX7l4wRkHqqCUFNJY4AfY3kHU/edit?usp=sharing  #gid=0"",""фіз особи new!relations_name""),6,FALSE)
,
(IF
(
G2858=""юридична особа""
,
VLOOKUP"&amp;"(H2858,IMPORTRANGE(""https://docs.google.com/spreadsheets/d/14Bd19lYaqBhU8_DElYkX7l4wRkHqqCUFNJY4AfY3kHU/edit?usp=sharing  #gid=0"",""фіз особи new!relations_name_uo""),7,FALSE)
,
)
))"),"ЗУБАРЄВ Олексій Вікторович")</f>
        <v>ЗУБАРЄВ Олексій Вікторович</v>
      </c>
      <c r="J2857" s="7" t="s">
        <v>17</v>
      </c>
    </row>
    <row r="2858" spans="1:10" ht="13.2">
      <c r="A2858" s="7">
        <v>2857</v>
      </c>
      <c r="B2858" s="7">
        <v>1</v>
      </c>
      <c r="C2858" s="7" t="s">
        <v>10</v>
      </c>
      <c r="D2858" s="7">
        <v>833</v>
      </c>
      <c r="E2858" s="7" t="s">
        <v>29</v>
      </c>
      <c r="F2858" s="8" t="str">
        <f ca="1">IFERROR(__xludf.DUMMYFUNCTION("IF
(
C2859=""фізична особа""
,
VLOOKUP(D2859,IMPORTRANGE(""https://docs.google.com/spreadsheets/d/14Bd19lYaqBhU8_DElYkX7l4wRkHqqCUFNJY4AfY3kHU/edit?usp=sharing  #gid=0"",""фіз особи new!relations_name""),6,FALSE)
,
(IF
(
C2859=""юридична особа""
,
VLOOKUP"&amp;"(D2859,IMPORTRANGE(""https://docs.google.com/spreadsheets/d/14Bd19lYaqBhU8_DElYkX7l4wRkHqqCUFNJY4AfY3kHU/edit?usp=sharing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58" s="7" t="s">
        <v>10</v>
      </c>
      <c r="H2858" s="7">
        <v>1197</v>
      </c>
      <c r="I2858" s="8" t="str">
        <f ca="1">IFERROR(__xludf.DUMMYFUNCTION("IF
(
G2859=""фізична особа""
,
VLOOKUP(H2859,IMPORTRANGE(""https://docs.google.com/spreadsheets/d/14Bd19lYaqBhU8_DElYkX7l4wRkHqqCUFNJY4AfY3kHU/edit?usp=sharing  #gid=0"",""фіз особи new!relations_name""),6,FALSE)
,
(IF
(
G2859=""юридична особа""
,
VLOOKUP"&amp;"(H2859,IMPORTRANGE(""https://docs.google.com/spreadsheets/d/14Bd19lYaqBhU8_DElYkX7l4wRkHqqCUFNJY4AfY3kHU/edit?usp=sharing  #gid=0"",""фіз особи new!relations_name_uo""),7,FALSE)
,
)
))"),"ПЛОХОЙ Олег Анатолійович")</f>
        <v>ПЛОХОЙ Олег Анатолійович</v>
      </c>
      <c r="J2858" s="7" t="s">
        <v>28</v>
      </c>
    </row>
    <row r="2859" spans="1:10" ht="13.2">
      <c r="A2859" s="7">
        <v>2858</v>
      </c>
      <c r="B2859" s="7">
        <v>1</v>
      </c>
      <c r="C2859" s="7" t="s">
        <v>10</v>
      </c>
      <c r="D2859" s="7">
        <v>833</v>
      </c>
      <c r="E2859" s="7" t="s">
        <v>29</v>
      </c>
      <c r="F2859" s="8" t="str">
        <f ca="1">IFERROR(__xludf.DUMMYFUNCTION("IF
(
C2860=""фізична особа""
,
VLOOKUP(D2860,IMPORTRANGE(""https://docs.google.com/spreadsheets/d/14Bd19lYaqBhU8_DElYkX7l4wRkHqqCUFNJY4AfY3kHU/edit?usp=sharing  #gid=0"",""фіз особи new!relations_name""),6,FALSE)
,
(IF
(
C2860=""юридична особа""
,
VLOOKUP"&amp;"(D2860,IMPORTRANGE(""https://docs.google.com/spreadsheets/d/14Bd19lYaqBhU8_DElYkX7l4wRkHqqCUFNJY4AfY3kHU/edit?usp=sharing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59" s="7" t="s">
        <v>10</v>
      </c>
      <c r="H2859" s="7">
        <v>1195</v>
      </c>
      <c r="I2859" s="8" t="str">
        <f ca="1">IFERROR(__xludf.DUMMYFUNCTION("IF
(
G2860=""фізична особа""
,
VLOOKUP(H2860,IMPORTRANGE(""https://docs.google.com/spreadsheets/d/14Bd19lYaqBhU8_DElYkX7l4wRkHqqCUFNJY4AfY3kHU/edit?usp=sharing  #gid=0"",""фіз особи new!relations_name""),6,FALSE)
,
(IF
(
G2860=""юридична особа""
,
VLOOKUP"&amp;"(H2860,IMPORTRANGE(""https://docs.google.com/spreadsheets/d/14Bd19lYaqBhU8_DElYkX7l4wRkHqqCUFNJY4AfY3kHU/edit?usp=sharing  #gid=0"",""фіз особи new!relations_name_uo""),7,FALSE)
,
)
))"),"СТРИГУНОВ Віктор Миколайович")</f>
        <v>СТРИГУНОВ Віктор Миколайович</v>
      </c>
      <c r="J2859" s="7" t="s">
        <v>28</v>
      </c>
    </row>
    <row r="2860" spans="1:10" ht="13.2">
      <c r="A2860" s="7">
        <v>2859</v>
      </c>
      <c r="B2860" s="7">
        <v>1</v>
      </c>
      <c r="C2860" s="7" t="s">
        <v>10</v>
      </c>
      <c r="D2860" s="7">
        <v>833</v>
      </c>
      <c r="E2860" s="7" t="s">
        <v>29</v>
      </c>
      <c r="F2860" s="8" t="str">
        <f ca="1">IFERROR(__xludf.DUMMYFUNCTION("IF
(
C2861=""фізична особа""
,
VLOOKUP(D2861,IMPORTRANGE(""https://docs.google.com/spreadsheets/d/14Bd19lYaqBhU8_DElYkX7l4wRkHqqCUFNJY4AfY3kHU/edit?usp=sharing  #gid=0"",""фіз особи new!relations_name""),6,FALSE)
,
(IF
(
C2861=""юридична особа""
,
VLOOKUP"&amp;"(D2861,IMPORTRANGE(""https://docs.google.com/spreadsheets/d/14Bd19lYaqBhU8_DElYkX7l4wRkHqqCUFNJY4AfY3kHU/edit?usp=sharing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0" s="7" t="s">
        <v>10</v>
      </c>
      <c r="H2860" s="7">
        <v>1198</v>
      </c>
      <c r="I2860" s="8" t="str">
        <f ca="1">IFERROR(__xludf.DUMMYFUNCTION("IF
(
G2861=""фізична особа""
,
VLOOKUP(H2861,IMPORTRANGE(""https://docs.google.com/spreadsheets/d/14Bd19lYaqBhU8_DElYkX7l4wRkHqqCUFNJY4AfY3kHU/edit?usp=sharing  #gid=0"",""фіз особи new!relations_name""),6,FALSE)
,
(IF
(
G2861=""юридична особа""
,
VLOOKUP"&amp;"(H2861,IMPORTRANGE(""https://docs.google.com/spreadsheets/d/14Bd19lYaqBhU8_DElYkX7l4wRkHqqCUFNJY4AfY3kHU/edit?usp=sharing  #gid=0"",""фіз особи new!relations_name_uo""),7,FALSE)
,
)
))"),"БОРУКАЄВ Олег Борисович")</f>
        <v>БОРУКАЄВ Олег Борисович</v>
      </c>
      <c r="J2860" s="7" t="s">
        <v>28</v>
      </c>
    </row>
    <row r="2861" spans="1:10" ht="13.2">
      <c r="A2861" s="7">
        <v>2860</v>
      </c>
      <c r="B2861" s="7">
        <v>1</v>
      </c>
      <c r="C2861" s="7" t="s">
        <v>10</v>
      </c>
      <c r="D2861" s="7">
        <v>833</v>
      </c>
      <c r="E2861" s="7" t="s">
        <v>29</v>
      </c>
      <c r="F2861" s="8" t="str">
        <f ca="1">IFERROR(__xludf.DUMMYFUNCTION("IF
(
C2862=""фізична особа""
,
VLOOKUP(D2862,IMPORTRANGE(""https://docs.google.com/spreadsheets/d/14Bd19lYaqBhU8_DElYkX7l4wRkHqqCUFNJY4AfY3kHU/edit?usp=sharing  #gid=0"",""фіз особи new!relations_name""),6,FALSE)
,
(IF
(
C2862=""юридична особа""
,
VLOOKUP"&amp;"(D2862,IMPORTRANGE(""https://docs.google.com/spreadsheets/d/14Bd19lYaqBhU8_DElYkX7l4wRkHqqCUFNJY4AfY3kHU/edit?usp=sharing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1" s="7" t="s">
        <v>10</v>
      </c>
      <c r="H2861" s="7">
        <v>1198</v>
      </c>
      <c r="I2861" s="8" t="str">
        <f ca="1">IFERROR(__xludf.DUMMYFUNCTION("IF
(
G2862=""фізична особа""
,
VLOOKUP(H2862,IMPORTRANGE(""https://docs.google.com/spreadsheets/d/14Bd19lYaqBhU8_DElYkX7l4wRkHqqCUFNJY4AfY3kHU/edit?usp=sharing  #gid=0"",""фіз особи new!relations_name""),6,FALSE)
,
(IF
(
G2862=""юридична особа""
,
VLOOKUP"&amp;"(H2862,IMPORTRANGE(""https://docs.google.com/spreadsheets/d/14Bd19lYaqBhU8_DElYkX7l4wRkHqqCUFNJY4AfY3kHU/edit?usp=sharing  #gid=0"",""фіз особи new!relations_name_uo""),7,FALSE)
,
)
))"),"БОРУКАЄВ Олег Борисович")</f>
        <v>БОРУКАЄВ Олег Борисович</v>
      </c>
      <c r="J2861" s="7" t="s">
        <v>28</v>
      </c>
    </row>
    <row r="2862" spans="1:10" ht="13.2">
      <c r="A2862" s="7">
        <v>2861</v>
      </c>
      <c r="B2862" s="7">
        <v>1</v>
      </c>
      <c r="C2862" s="7" t="s">
        <v>10</v>
      </c>
      <c r="D2862" s="7">
        <v>833</v>
      </c>
      <c r="E2862" s="7" t="s">
        <v>29</v>
      </c>
      <c r="F2862" s="8" t="str">
        <f ca="1">IFERROR(__xludf.DUMMYFUNCTION("IF
(
C2863=""фізична особа""
,
VLOOKUP(D2863,IMPORTRANGE(""https://docs.google.com/spreadsheets/d/14Bd19lYaqBhU8_DElYkX7l4wRkHqqCUFNJY4AfY3kHU/edit?usp=sharing  #gid=0"",""фіз особи new!relations_name""),6,FALSE)
,
(IF
(
C2863=""юридична особа""
,
VLOOKUP"&amp;"(D2863,IMPORTRANGE(""https://docs.google.com/spreadsheets/d/14Bd19lYaqBhU8_DElYkX7l4wRkHqqCUFNJY4AfY3kHU/edit?usp=sharing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2" s="7" t="s">
        <v>10</v>
      </c>
      <c r="H2862" s="7">
        <v>1199</v>
      </c>
      <c r="I2862" s="8" t="str">
        <f ca="1">IFERROR(__xludf.DUMMYFUNCTION("IF
(
G2863=""фізична особа""
,
VLOOKUP(H2863,IMPORTRANGE(""https://docs.google.com/spreadsheets/d/14Bd19lYaqBhU8_DElYkX7l4wRkHqqCUFNJY4AfY3kHU/edit?usp=sharing  #gid=0"",""фіз особи new!relations_name""),6,FALSE)
,
(IF
(
G2863=""юридична особа""
,
VLOOKUP"&amp;"(H2863,IMPORTRANGE(""https://docs.google.com/spreadsheets/d/14Bd19lYaqBhU8_DElYkX7l4wRkHqqCUFNJY4AfY3kHU/edit?usp=sharing  #gid=0"",""фіз особи new!relations_name_uo""),7,FALSE)
,
)
))"),"БАБКІН Юрій Олександрович")</f>
        <v>БАБКІН Юрій Олександрович</v>
      </c>
      <c r="J2862" s="7" t="s">
        <v>28</v>
      </c>
    </row>
    <row r="2863" spans="1:10" ht="13.2">
      <c r="A2863" s="7">
        <v>2862</v>
      </c>
      <c r="B2863" s="7">
        <v>1</v>
      </c>
      <c r="C2863" s="7" t="s">
        <v>10</v>
      </c>
      <c r="D2863" s="7">
        <v>833</v>
      </c>
      <c r="E2863" s="7" t="s">
        <v>29</v>
      </c>
      <c r="F2863" s="8" t="str">
        <f ca="1">IFERROR(__xludf.DUMMYFUNCTION("IF
(
C2864=""фізична особа""
,
VLOOKUP(D2864,IMPORTRANGE(""https://docs.google.com/spreadsheets/d/14Bd19lYaqBhU8_DElYkX7l4wRkHqqCUFNJY4AfY3kHU/edit?usp=sharing  #gid=0"",""фіз особи new!relations_name""),6,FALSE)
,
(IF
(
C2864=""юридична особа""
,
VLOOKUP"&amp;"(D2864,IMPORTRANGE(""https://docs.google.com/spreadsheets/d/14Bd19lYaqBhU8_DElYkX7l4wRkHqqCUFNJY4AfY3kHU/edit?usp=sharing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3" s="7" t="s">
        <v>10</v>
      </c>
      <c r="H2863" s="7">
        <v>1201</v>
      </c>
      <c r="I2863" s="8" t="str">
        <f ca="1">IFERROR(__xludf.DUMMYFUNCTION("IF
(
G2864=""фізична особа""
,
VLOOKUP(H2864,IMPORTRANGE(""https://docs.google.com/spreadsheets/d/14Bd19lYaqBhU8_DElYkX7l4wRkHqqCUFNJY4AfY3kHU/edit?usp=sharing  #gid=0"",""фіз особи new!relations_name""),6,FALSE)
,
(IF
(
G2864=""юридична особа""
,
VLOOKUP"&amp;"(H2864,IMPORTRANGE(""https://docs.google.com/spreadsheets/d/14Bd19lYaqBhU8_DElYkX7l4wRkHqqCUFNJY4AfY3kHU/edit?usp=sharing  #gid=0"",""фіз особи new!relations_name_uo""),7,FALSE)
,
)
))"),"КУЗЬМЕНКОВ Олексій Михайлович")</f>
        <v>КУЗЬМЕНКОВ Олексій Михайлович</v>
      </c>
      <c r="J2863" s="7" t="s">
        <v>28</v>
      </c>
    </row>
    <row r="2864" spans="1:10" ht="13.2">
      <c r="A2864" s="7">
        <v>2863</v>
      </c>
      <c r="B2864" s="7">
        <v>1</v>
      </c>
      <c r="C2864" s="7" t="s">
        <v>10</v>
      </c>
      <c r="D2864" s="7">
        <v>833</v>
      </c>
      <c r="E2864" s="7" t="s">
        <v>29</v>
      </c>
      <c r="F2864" s="8" t="str">
        <f ca="1">IFERROR(__xludf.DUMMYFUNCTION("IF
(
C2865=""фізична особа""
,
VLOOKUP(D2865,IMPORTRANGE(""https://docs.google.com/spreadsheets/d/14Bd19lYaqBhU8_DElYkX7l4wRkHqqCUFNJY4AfY3kHU/edit?usp=sharing  #gid=0"",""фіз особи new!relations_name""),6,FALSE)
,
(IF
(
C2865=""юридична особа""
,
VLOOKUP"&amp;"(D2865,IMPORTRANGE(""https://docs.google.com/spreadsheets/d/14Bd19lYaqBhU8_DElYkX7l4wRkHqqCUFNJY4AfY3kHU/edit?usp=sharing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4" s="7" t="s">
        <v>10</v>
      </c>
      <c r="H2864" s="7">
        <v>1205</v>
      </c>
      <c r="I2864" s="8" t="str">
        <f ca="1">IFERROR(__xludf.DUMMYFUNCTION("IF
(
G2865=""фізична особа""
,
VLOOKUP(H2865,IMPORTRANGE(""https://docs.google.com/spreadsheets/d/14Bd19lYaqBhU8_DElYkX7l4wRkHqqCUFNJY4AfY3kHU/edit?usp=sharing  #gid=0"",""фіз особи new!relations_name""),6,FALSE)
,
(IF
(
G2865=""юридична особа""
,
VLOOKUP"&amp;"(H2865,IMPORTRANGE(""https://docs.google.com/spreadsheets/d/14Bd19lYaqBhU8_DElYkX7l4wRkHqqCUFNJY4AfY3kHU/edit?usp=sharing  #gid=0"",""фіз особи new!relations_name_uo""),7,FALSE)
,
)
))"),"ГАВРИЛОВ Роман Володимирович")</f>
        <v>ГАВРИЛОВ Роман Володимирович</v>
      </c>
      <c r="J2864" s="7" t="s">
        <v>28</v>
      </c>
    </row>
    <row r="2865" spans="1:10" ht="13.2">
      <c r="A2865" s="7">
        <v>2864</v>
      </c>
      <c r="B2865" s="7">
        <v>1</v>
      </c>
      <c r="C2865" s="7" t="s">
        <v>10</v>
      </c>
      <c r="D2865" s="7">
        <v>833</v>
      </c>
      <c r="E2865" s="7" t="s">
        <v>29</v>
      </c>
      <c r="F2865" s="8" t="str">
        <f ca="1">IFERROR(__xludf.DUMMYFUNCTION("IF
(
C2866=""фізична особа""
,
VLOOKUP(D2866,IMPORTRANGE(""https://docs.google.com/spreadsheets/d/14Bd19lYaqBhU8_DElYkX7l4wRkHqqCUFNJY4AfY3kHU/edit?usp=sharing  #gid=0"",""фіз особи new!relations_name""),6,FALSE)
,
(IF
(
C2866=""юридична особа""
,
VLOOKUP"&amp;"(D2866,IMPORTRANGE(""https://docs.google.com/spreadsheets/d/14Bd19lYaqBhU8_DElYkX7l4wRkHqqCUFNJY4AfY3kHU/edit?usp=sharing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5" s="7" t="s">
        <v>10</v>
      </c>
      <c r="H2865" s="7">
        <v>1206</v>
      </c>
      <c r="I2865" s="8" t="str">
        <f ca="1">IFERROR(__xludf.DUMMYFUNCTION("IF
(
G2866=""фізична особа""
,
VLOOKUP(H2866,IMPORTRANGE(""https://docs.google.com/spreadsheets/d/14Bd19lYaqBhU8_DElYkX7l4wRkHqqCUFNJY4AfY3kHU/edit?usp=sharing  #gid=0"",""фіз особи new!relations_name""),6,FALSE)
,
(IF
(
G2866=""юридична особа""
,
VLOOKUP"&amp;"(H2866,IMPORTRANGE(""https://docs.google.com/spreadsheets/d/14Bd19lYaqBhU8_DElYkX7l4wRkHqqCUFNJY4AfY3kHU/edit?usp=sharing  #gid=0"",""фіз особи new!relations_name_uo""),7,FALSE)
,
)
))"),"ГРАБІЛІН Дмитро Леонідович")</f>
        <v>ГРАБІЛІН Дмитро Леонідович</v>
      </c>
      <c r="J2865" s="7" t="s">
        <v>28</v>
      </c>
    </row>
    <row r="2866" spans="1:10" ht="13.2">
      <c r="A2866" s="7">
        <v>2865</v>
      </c>
      <c r="B2866" s="7">
        <v>1</v>
      </c>
      <c r="C2866" s="7" t="s">
        <v>10</v>
      </c>
      <c r="D2866" s="7">
        <v>833</v>
      </c>
      <c r="E2866" s="7" t="s">
        <v>29</v>
      </c>
      <c r="F2866" s="8" t="str">
        <f ca="1">IFERROR(__xludf.DUMMYFUNCTION("IF
(
C2867=""фізична особа""
,
VLOOKUP(D2867,IMPORTRANGE(""https://docs.google.com/spreadsheets/d/14Bd19lYaqBhU8_DElYkX7l4wRkHqqCUFNJY4AfY3kHU/edit?usp=sharing  #gid=0"",""фіз особи new!relations_name""),6,FALSE)
,
(IF
(
C2867=""юридична особа""
,
VLOOKUP"&amp;"(D2867,IMPORTRANGE(""https://docs.google.com/spreadsheets/d/14Bd19lYaqBhU8_DElYkX7l4wRkHqqCUFNJY4AfY3kHU/edit?usp=sharing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6" s="7" t="s">
        <v>10</v>
      </c>
      <c r="H2866" s="7">
        <v>0</v>
      </c>
      <c r="I2866" s="8" t="str">
        <f ca="1">IFERROR(__xludf.DUMMYFUNCTION("IF
(
G2867=""фізична особа""
,
VLOOKUP(H2867,IMPORTRANGE(""https://docs.google.com/spreadsheets/d/14Bd19lYaqBhU8_DElYkX7l4wRkHqqCUFNJY4AfY3kHU/edit?usp=sharing  #gid=0"",""фіз особи new!relations_name""),6,FALSE)
,
(IF
(
G2867=""юридична особа""
,
VLOOKUP"&amp;"(H2867,IMPORTRANGE(""https://docs.google.com/spreadsheets/d/14Bd19lYaqBhU8_DElYkX7l4wRkHqqCUFNJY4AfY3kHU/edit?usp=sharing  #gid=0"",""фіз особи new!relations_name_uo""),7,FALSE)
,
)
))"),"#N/A")</f>
        <v>#N/A</v>
      </c>
      <c r="J2866" s="7" t="s">
        <v>28</v>
      </c>
    </row>
    <row r="2867" spans="1:10" ht="13.2">
      <c r="A2867" s="7">
        <v>2866</v>
      </c>
      <c r="B2867" s="7">
        <v>1</v>
      </c>
      <c r="C2867" s="7" t="s">
        <v>10</v>
      </c>
      <c r="D2867" s="7">
        <v>833</v>
      </c>
      <c r="E2867" s="7" t="s">
        <v>29</v>
      </c>
      <c r="F2867" s="8" t="str">
        <f ca="1">IFERROR(__xludf.DUMMYFUNCTION("IF
(
C2868=""фізична особа""
,
VLOOKUP(D2868,IMPORTRANGE(""https://docs.google.com/spreadsheets/d/14Bd19lYaqBhU8_DElYkX7l4wRkHqqCUFNJY4AfY3kHU/edit?usp=sharing  #gid=0"",""фіз особи new!relations_name""),6,FALSE)
,
(IF
(
C2868=""юридична особа""
,
VLOOKUP"&amp;"(D2868,IMPORTRANGE(""https://docs.google.com/spreadsheets/d/14Bd19lYaqBhU8_DElYkX7l4wRkHqqCUFNJY4AfY3kHU/edit?usp=sharing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7" s="7" t="s">
        <v>10</v>
      </c>
      <c r="H2867" s="7">
        <v>1207</v>
      </c>
      <c r="I2867" s="8" t="str">
        <f ca="1">IFERROR(__xludf.DUMMYFUNCTION("IF
(
G2868=""фізична особа""
,
VLOOKUP(H2868,IMPORTRANGE(""https://docs.google.com/spreadsheets/d/14Bd19lYaqBhU8_DElYkX7l4wRkHqqCUFNJY4AfY3kHU/edit?usp=sharing  #gid=0"",""фіз особи new!relations_name""),6,FALSE)
,
(IF
(
G2868=""юридична особа""
,
VLOOKUP"&amp;"(H2868,IMPORTRANGE(""https://docs.google.com/spreadsheets/d/14Bd19lYaqBhU8_DElYkX7l4wRkHqqCUFNJY4AfY3kHU/edit?usp=sharing  #gid=0"",""фіз особи new!relations_name_uo""),7,FALSE)
,
)
))"),"ПАНФІЛОВА Тетяна Валеріївна")</f>
        <v>ПАНФІЛОВА Тетяна Валеріївна</v>
      </c>
      <c r="J2867" s="7" t="s">
        <v>28</v>
      </c>
    </row>
    <row r="2868" spans="1:10" ht="13.2">
      <c r="A2868" s="7">
        <v>2867</v>
      </c>
      <c r="B2868" s="7">
        <v>1</v>
      </c>
      <c r="C2868" s="7" t="s">
        <v>10</v>
      </c>
      <c r="D2868" s="7">
        <v>833</v>
      </c>
      <c r="E2868" s="7" t="s">
        <v>29</v>
      </c>
      <c r="F2868" s="8" t="str">
        <f ca="1">IFERROR(__xludf.DUMMYFUNCTION("IF
(
C2869=""фізична особа""
,
VLOOKUP(D2869,IMPORTRANGE(""https://docs.google.com/spreadsheets/d/14Bd19lYaqBhU8_DElYkX7l4wRkHqqCUFNJY4AfY3kHU/edit?usp=sharing  #gid=0"",""фіз особи new!relations_name""),6,FALSE)
,
(IF
(
C2869=""юридична особа""
,
VLOOKUP"&amp;"(D2869,IMPORTRANGE(""https://docs.google.com/spreadsheets/d/14Bd19lYaqBhU8_DElYkX7l4wRkHqqCUFNJY4AfY3kHU/edit?usp=sharing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8" s="7" t="s">
        <v>10</v>
      </c>
      <c r="H2868" s="7">
        <v>1202</v>
      </c>
      <c r="I2868" s="8" t="str">
        <f ca="1">IFERROR(__xludf.DUMMYFUNCTION("IF
(
G2869=""фізична особа""
,
VLOOKUP(H2869,IMPORTRANGE(""https://docs.google.com/spreadsheets/d/14Bd19lYaqBhU8_DElYkX7l4wRkHqqCUFNJY4AfY3kHU/edit?usp=sharing  #gid=0"",""фіз особи new!relations_name""),6,FALSE)
,
(IF
(
G2869=""юридична особа""
,
VLOOKUP"&amp;"(H2869,IMPORTRANGE(""https://docs.google.com/spreadsheets/d/14Bd19lYaqBhU8_DElYkX7l4wRkHqqCUFNJY4AfY3kHU/edit?usp=sharing  #gid=0"",""фіз особи new!relations_name_uo""),7,FALSE)
,
)
))"),"БЕЗЗУБІКОВ Олексій Степанович")</f>
        <v>БЕЗЗУБІКОВ Олексій Степанович</v>
      </c>
      <c r="J2868" s="7" t="s">
        <v>28</v>
      </c>
    </row>
    <row r="2869" spans="1:10" ht="13.2">
      <c r="A2869" s="7">
        <v>2868</v>
      </c>
      <c r="B2869" s="7">
        <v>1</v>
      </c>
      <c r="C2869" s="7" t="s">
        <v>10</v>
      </c>
      <c r="D2869" s="7">
        <v>833</v>
      </c>
      <c r="E2869" s="7" t="s">
        <v>41</v>
      </c>
      <c r="F2869" s="8" t="str">
        <f ca="1">IFERROR(__xludf.DUMMYFUNCTION("IF
(
C2870=""фізична особа""
,
VLOOKUP(D2870,IMPORTRANGE(""https://docs.google.com/spreadsheets/d/14Bd19lYaqBhU8_DElYkX7l4wRkHqqCUFNJY4AfY3kHU/edit?usp=sharing  #gid=0"",""фіз особи new!relations_name""),6,FALSE)
,
(IF
(
C2870=""юридична особа""
,
VLOOKUP"&amp;"(D2870,IMPORTRANGE(""https://docs.google.com/spreadsheets/d/14Bd19lYaqBhU8_DElYkX7l4wRkHqqCUFNJY4AfY3kHU/edit?usp=sharing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69" s="7" t="s">
        <v>10</v>
      </c>
      <c r="H2869" s="7">
        <v>479</v>
      </c>
      <c r="I2869" s="8" t="str">
        <f ca="1">IFERROR(__xludf.DUMMYFUNCTION("IF
(
G2870=""фізична особа""
,
VLOOKUP(H2870,IMPORTRANGE(""https://docs.google.com/spreadsheets/d/14Bd19lYaqBhU8_DElYkX7l4wRkHqqCUFNJY4AfY3kHU/edit?usp=sharing  #gid=0"",""фіз особи new!relations_name""),6,FALSE)
,
(IF
(
G2870=""юридична особа""
,
VLOOKUP"&amp;"(H2870,IMPORTRANGE(""https://docs.google.com/spreadsheets/d/14Bd19lYaqBhU8_DElYkX7l4wRkHqqCUFNJY4AfY3kHU/edit?usp=sharing  #gid=0"",""фіз особи new!relations_name_uo""),7,FALSE)
,
)
))"),"ХІНШТЕЙН Олександр Євсійович")</f>
        <v>ХІНШТЕЙН Олександр Євсійович</v>
      </c>
      <c r="J2869" s="7" t="s">
        <v>40</v>
      </c>
    </row>
    <row r="2870" spans="1:10" ht="13.2">
      <c r="A2870" s="7">
        <v>2869</v>
      </c>
      <c r="B2870" s="7">
        <v>1</v>
      </c>
      <c r="C2870" s="7" t="s">
        <v>10</v>
      </c>
      <c r="D2870" s="7">
        <v>833</v>
      </c>
      <c r="E2870" s="7" t="s">
        <v>28</v>
      </c>
      <c r="F2870" s="8" t="str">
        <f ca="1">IFERROR(__xludf.DUMMYFUNCTION("IF
(
C2871=""фізична особа""
,
VLOOKUP(D2871,IMPORTRANGE(""https://docs.google.com/spreadsheets/d/14Bd19lYaqBhU8_DElYkX7l4wRkHqqCUFNJY4AfY3kHU/edit?usp=sharing  #gid=0"",""фіз особи new!relations_name""),6,FALSE)
,
(IF
(
C2871=""юридична особа""
,
VLOOKUP"&amp;"(D2871,IMPORTRANGE(""https://docs.google.com/spreadsheets/d/14Bd19lYaqBhU8_DElYkX7l4wRkHqqCUFNJY4AfY3kHU/edit?usp=sharing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0" s="7" t="s">
        <v>10</v>
      </c>
      <c r="H2870" s="7">
        <v>880</v>
      </c>
      <c r="I2870" s="8" t="str">
        <f ca="1">IFERROR(__xludf.DUMMYFUNCTION("IF
(
G2871=""фізична особа""
,
VLOOKUP(H2871,IMPORTRANGE(""https://docs.google.com/spreadsheets/d/14Bd19lYaqBhU8_DElYkX7l4wRkHqqCUFNJY4AfY3kHU/edit?usp=sharing  #gid=0"",""фіз особи new!relations_name""),6,FALSE)
,
(IF
(
G2871=""юридична особа""
,
VLOOKUP"&amp;"(H2871,IMPORTRANGE(""https://docs.google.com/spreadsheets/d/14Bd19lYaqBhU8_DElYkX7l4wRkHqqCUFNJY4AfY3kHU/edit?usp=sharing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870" s="7" t="s">
        <v>29</v>
      </c>
    </row>
    <row r="2871" spans="1:10" ht="13.2">
      <c r="A2871" s="7">
        <v>2870</v>
      </c>
      <c r="B2871" s="7">
        <v>1</v>
      </c>
      <c r="C2871" s="7" t="s">
        <v>10</v>
      </c>
      <c r="D2871" s="7">
        <v>833</v>
      </c>
      <c r="E2871" s="7" t="s">
        <v>41</v>
      </c>
      <c r="F2871" s="8" t="str">
        <f ca="1">IFERROR(__xludf.DUMMYFUNCTION("IF
(
C2872=""фізична особа""
,
VLOOKUP(D2872,IMPORTRANGE(""https://docs.google.com/spreadsheets/d/14Bd19lYaqBhU8_DElYkX7l4wRkHqqCUFNJY4AfY3kHU/edit?usp=sharing  #gid=0"",""фіз особи new!relations_name""),6,FALSE)
,
(IF
(
C2872=""юридична особа""
,
VLOOKUP"&amp;"(D2872,IMPORTRANGE(""https://docs.google.com/spreadsheets/d/14Bd19lYaqBhU8_DElYkX7l4wRkHqqCUFNJY4AfY3kHU/edit?usp=sharing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1" s="7" t="s">
        <v>10</v>
      </c>
      <c r="H2871" s="7">
        <v>0</v>
      </c>
      <c r="I2871" s="8" t="str">
        <f ca="1">IFERROR(__xludf.DUMMYFUNCTION("IF
(
G2872=""фізична особа""
,
VLOOKUP(H2872,IMPORTRANGE(""https://docs.google.com/spreadsheets/d/14Bd19lYaqBhU8_DElYkX7l4wRkHqqCUFNJY4AfY3kHU/edit?usp=sharing  #gid=0"",""фіз особи new!relations_name""),6,FALSE)
,
(IF
(
G2872=""юридична особа""
,
VLOOKUP"&amp;"(H2872,IMPORTRANGE(""https://docs.google.com/spreadsheets/d/14Bd19lYaqBhU8_DElYkX7l4wRkHqqCUFNJY4AfY3kHU/edit?usp=sharing  #gid=0"",""фіз особи new!relations_name_uo""),7,FALSE)
,
)
))"),"#N/A")</f>
        <v>#N/A</v>
      </c>
      <c r="J2871" s="7" t="s">
        <v>40</v>
      </c>
    </row>
    <row r="2872" spans="1:10" ht="13.2">
      <c r="A2872" s="7">
        <v>2871</v>
      </c>
      <c r="B2872" s="7">
        <v>1</v>
      </c>
      <c r="C2872" s="7" t="s">
        <v>10</v>
      </c>
      <c r="D2872" s="7">
        <v>833</v>
      </c>
      <c r="E2872" s="7" t="s">
        <v>29</v>
      </c>
      <c r="F2872" s="8" t="str">
        <f ca="1">IFERROR(__xludf.DUMMYFUNCTION("IF
(
C2873=""фізична особа""
,
VLOOKUP(D2873,IMPORTRANGE(""https://docs.google.com/spreadsheets/d/14Bd19lYaqBhU8_DElYkX7l4wRkHqqCUFNJY4AfY3kHU/edit?usp=sharing  #gid=0"",""фіз особи new!relations_name""),6,FALSE)
,
(IF
(
C2873=""юридична особа""
,
VLOOKUP"&amp;"(D2873,IMPORTRANGE(""https://docs.google.com/spreadsheets/d/14Bd19lYaqBhU8_DElYkX7l4wRkHqqCUFNJY4AfY3kHU/edit?usp=sharing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2" s="7" t="s">
        <v>10</v>
      </c>
      <c r="H2872" s="7">
        <v>1200</v>
      </c>
      <c r="I2872" s="8" t="str">
        <f ca="1">IFERROR(__xludf.DUMMYFUNCTION("IF
(
G2873=""фізична особа""
,
VLOOKUP(H2873,IMPORTRANGE(""https://docs.google.com/spreadsheets/d/14Bd19lYaqBhU8_DElYkX7l4wRkHqqCUFNJY4AfY3kHU/edit?usp=sharing  #gid=0"",""фіз особи new!relations_name""),6,FALSE)
,
(IF
(
G2873=""юридична особа""
,
VLOOKUP"&amp;"(H2873,IMPORTRANGE(""https://docs.google.com/spreadsheets/d/14Bd19lYaqBhU8_DElYkX7l4wRkHqqCUFNJY4AfY3kHU/edit?usp=sharing  #gid=0"",""фіз особи new!relations_name_uo""),7,FALSE)
,
)
))"),"ЛЕБЕДЄВ Сергій Анатолійович")</f>
        <v>ЛЕБЕДЄВ Сергій Анатолійович</v>
      </c>
      <c r="J2872" s="7" t="s">
        <v>28</v>
      </c>
    </row>
    <row r="2873" spans="1:10" ht="13.2">
      <c r="A2873" s="7">
        <v>2872</v>
      </c>
      <c r="B2873" s="7">
        <v>1</v>
      </c>
      <c r="C2873" s="7" t="s">
        <v>10</v>
      </c>
      <c r="D2873" s="7">
        <v>833</v>
      </c>
      <c r="E2873" s="7" t="s">
        <v>41</v>
      </c>
      <c r="F2873" s="8" t="str">
        <f ca="1">IFERROR(__xludf.DUMMYFUNCTION("IF
(
C2874=""фізична особа""
,
VLOOKUP(D2874,IMPORTRANGE(""https://docs.google.com/spreadsheets/d/14Bd19lYaqBhU8_DElYkX7l4wRkHqqCUFNJY4AfY3kHU/edit?usp=sharing  #gid=0"",""фіз особи new!relations_name""),6,FALSE)
,
(IF
(
C2874=""юридична особа""
,
VLOOKUP"&amp;"(D2874,IMPORTRANGE(""https://docs.google.com/spreadsheets/d/14Bd19lYaqBhU8_DElYkX7l4wRkHqqCUFNJY4AfY3kHU/edit?usp=sharing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3" s="7" t="s">
        <v>10</v>
      </c>
      <c r="H2873" s="7">
        <v>2503</v>
      </c>
      <c r="I2873" s="8" t="str">
        <f ca="1">IFERROR(__xludf.DUMMYFUNCTION("IF
(
G2874=""фізична особа""
,
VLOOKUP(H2874,IMPORTRANGE(""https://docs.google.com/spreadsheets/d/14Bd19lYaqBhU8_DElYkX7l4wRkHqqCUFNJY4AfY3kHU/edit?usp=sharing  #gid=0"",""фіз особи new!relations_name""),6,FALSE)
,
(IF
(
G2874=""юридична особа""
,
VLOOKUP"&amp;"(H2874,IMPORTRANGE(""https://docs.google.com/spreadsheets/d/14Bd19lYaqBhU8_DElYkX7l4wRkHqqCUFNJY4AfY3kHU/edit?usp=sharing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J2873" s="7" t="s">
        <v>40</v>
      </c>
    </row>
    <row r="2874" spans="1:10" ht="13.2">
      <c r="A2874" s="7">
        <v>2873</v>
      </c>
      <c r="B2874" s="7">
        <v>1</v>
      </c>
      <c r="C2874" s="7" t="s">
        <v>10</v>
      </c>
      <c r="D2874" s="7">
        <v>833</v>
      </c>
      <c r="E2874" s="7" t="s">
        <v>12</v>
      </c>
      <c r="F2874" s="8" t="str">
        <f ca="1">IFERROR(__xludf.DUMMYFUNCTION("IF
(
C2875=""фізична особа""
,
VLOOKUP(D2875,IMPORTRANGE(""https://docs.google.com/spreadsheets/d/14Bd19lYaqBhU8_DElYkX7l4wRkHqqCUFNJY4AfY3kHU/edit?usp=sharing  #gid=0"",""фіз особи new!relations_name""),6,FALSE)
,
(IF
(
C2875=""юридична особа""
,
VLOOKUP"&amp;"(D2875,IMPORTRANGE(""https://docs.google.com/spreadsheets/d/14Bd19lYaqBhU8_DElYkX7l4wRkHqqCUFNJY4AfY3kHU/edit?usp=sharing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4" s="7" t="s">
        <v>10</v>
      </c>
      <c r="H2874" s="7">
        <v>0</v>
      </c>
      <c r="I2874" s="8" t="str">
        <f ca="1">IFERROR(__xludf.DUMMYFUNCTION("IF
(
G2875=""фізична особа""
,
VLOOKUP(H2875,IMPORTRANGE(""https://docs.google.com/spreadsheets/d/14Bd19lYaqBhU8_DElYkX7l4wRkHqqCUFNJY4AfY3kHU/edit?usp=sharing  #gid=0"",""фіз особи new!relations_name""),6,FALSE)
,
(IF
(
G2875=""юридична особа""
,
VLOOKUP"&amp;"(H2875,IMPORTRANGE(""https://docs.google.com/spreadsheets/d/14Bd19lYaqBhU8_DElYkX7l4wRkHqqCUFNJY4AfY3kHU/edit?usp=sharing  #gid=0"",""фіз особи new!relations_name_uo""),7,FALSE)
,
)
))"),"#N/A")</f>
        <v>#N/A</v>
      </c>
      <c r="J2874" s="7" t="s">
        <v>17</v>
      </c>
    </row>
    <row r="2875" spans="1:10" ht="13.2">
      <c r="A2875" s="7">
        <v>2874</v>
      </c>
      <c r="B2875" s="7">
        <v>1</v>
      </c>
      <c r="C2875" s="7" t="s">
        <v>10</v>
      </c>
      <c r="D2875" s="7">
        <v>833</v>
      </c>
      <c r="E2875" s="7" t="s">
        <v>14</v>
      </c>
      <c r="F2875" s="8" t="str">
        <f ca="1">IFERROR(__xludf.DUMMYFUNCTION("IF
(
C2876=""фізична особа""
,
VLOOKUP(D2876,IMPORTRANGE(""https://docs.google.com/spreadsheets/d/14Bd19lYaqBhU8_DElYkX7l4wRkHqqCUFNJY4AfY3kHU/edit?usp=sharing  #gid=0"",""фіз особи new!relations_name""),6,FALSE)
,
(IF
(
C2876=""юридична особа""
,
VLOOKUP"&amp;"(D2876,IMPORTRANGE(""https://docs.google.com/spreadsheets/d/14Bd19lYaqBhU8_DElYkX7l4wRkHqqCUFNJY4AfY3kHU/edit?usp=sharing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5" s="7" t="s">
        <v>10</v>
      </c>
      <c r="H2875" s="7">
        <v>0</v>
      </c>
      <c r="I2875" s="8" t="str">
        <f ca="1">IFERROR(__xludf.DUMMYFUNCTION("IF
(
G2876=""фізична особа""
,
VLOOKUP(H2876,IMPORTRANGE(""https://docs.google.com/spreadsheets/d/14Bd19lYaqBhU8_DElYkX7l4wRkHqqCUFNJY4AfY3kHU/edit?usp=sharing  #gid=0"",""фіз особи new!relations_name""),6,FALSE)
,
(IF
(
G2876=""юридична особа""
,
VLOOKUP"&amp;"(H2876,IMPORTRANGE(""https://docs.google.com/spreadsheets/d/14Bd19lYaqBhU8_DElYkX7l4wRkHqqCUFNJY4AfY3kHU/edit?usp=sharing  #gid=0"",""фіз особи new!relations_name_uo""),7,FALSE)
,
)
))"),"#N/A")</f>
        <v>#N/A</v>
      </c>
      <c r="J2875" s="7" t="s">
        <v>15</v>
      </c>
    </row>
    <row r="2876" spans="1:10" ht="13.2">
      <c r="A2876" s="7">
        <v>2875</v>
      </c>
      <c r="B2876" s="7">
        <v>1</v>
      </c>
      <c r="C2876" s="7" t="s">
        <v>10</v>
      </c>
      <c r="D2876" s="7">
        <v>833</v>
      </c>
      <c r="E2876" s="7" t="s">
        <v>12</v>
      </c>
      <c r="F2876" s="8" t="str">
        <f ca="1">IFERROR(__xludf.DUMMYFUNCTION("IF
(
C2877=""фізична особа""
,
VLOOKUP(D2877,IMPORTRANGE(""https://docs.google.com/spreadsheets/d/14Bd19lYaqBhU8_DElYkX7l4wRkHqqCUFNJY4AfY3kHU/edit?usp=sharing  #gid=0"",""фіз особи new!relations_name""),6,FALSE)
,
(IF
(
C2877=""юридична особа""
,
VLOOKUP"&amp;"(D2877,IMPORTRANGE(""https://docs.google.com/spreadsheets/d/14Bd19lYaqBhU8_DElYkX7l4wRkHqqCUFNJY4AfY3kHU/edit?usp=sharing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6" s="7" t="s">
        <v>10</v>
      </c>
      <c r="H2876" s="7">
        <v>0</v>
      </c>
      <c r="I2876" s="8" t="str">
        <f ca="1">IFERROR(__xludf.DUMMYFUNCTION("IF
(
G2877=""фізична особа""
,
VLOOKUP(H2877,IMPORTRANGE(""https://docs.google.com/spreadsheets/d/14Bd19lYaqBhU8_DElYkX7l4wRkHqqCUFNJY4AfY3kHU/edit?usp=sharing  #gid=0"",""фіз особи new!relations_name""),6,FALSE)
,
(IF
(
G2877=""юридична особа""
,
VLOOKUP"&amp;"(H2877,IMPORTRANGE(""https://docs.google.com/spreadsheets/d/14Bd19lYaqBhU8_DElYkX7l4wRkHqqCUFNJY4AfY3kHU/edit?usp=sharing  #gid=0"",""фіз особи new!relations_name_uo""),7,FALSE)
,
)
))"),"#N/A")</f>
        <v>#N/A</v>
      </c>
      <c r="J2876" s="7" t="s">
        <v>13</v>
      </c>
    </row>
    <row r="2877" spans="1:10" ht="13.2">
      <c r="A2877" s="7">
        <v>2876</v>
      </c>
      <c r="B2877" s="7">
        <v>1</v>
      </c>
      <c r="C2877" s="7" t="s">
        <v>10</v>
      </c>
      <c r="D2877" s="7">
        <v>833</v>
      </c>
      <c r="E2877" s="7" t="s">
        <v>59</v>
      </c>
      <c r="F2877" s="8" t="str">
        <f ca="1">IFERROR(__xludf.DUMMYFUNCTION("IF
(
C2878=""фізична особа""
,
VLOOKUP(D2878,IMPORTRANGE(""https://docs.google.com/spreadsheets/d/14Bd19lYaqBhU8_DElYkX7l4wRkHqqCUFNJY4AfY3kHU/edit?usp=sharing  #gid=0"",""фіз особи new!relations_name""),6,FALSE)
,
(IF
(
C2878=""юридична особа""
,
VLOOKUP"&amp;"(D2878,IMPORTRANGE(""https://docs.google.com/spreadsheets/d/14Bd19lYaqBhU8_DElYkX7l4wRkHqqCUFNJY4AfY3kHU/edit?usp=sharing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7" s="7" t="s">
        <v>10</v>
      </c>
      <c r="H2877" s="7">
        <v>0</v>
      </c>
      <c r="I2877" s="8" t="str">
        <f ca="1">IFERROR(__xludf.DUMMYFUNCTION("IF
(
G2878=""фізична особа""
,
VLOOKUP(H2878,IMPORTRANGE(""https://docs.google.com/spreadsheets/d/14Bd19lYaqBhU8_DElYkX7l4wRkHqqCUFNJY4AfY3kHU/edit?usp=sharing  #gid=0"",""фіз особи new!relations_name""),6,FALSE)
,
(IF
(
G2878=""юридична особа""
,
VLOOKUP"&amp;"(H2878,IMPORTRANGE(""https://docs.google.com/spreadsheets/d/14Bd19lYaqBhU8_DElYkX7l4wRkHqqCUFNJY4AfY3kHU/edit?usp=sharing  #gid=0"",""фіз особи new!relations_name_uo""),7,FALSE)
,
)
))"),"#N/A")</f>
        <v>#N/A</v>
      </c>
      <c r="J2877" s="7" t="s">
        <v>61</v>
      </c>
    </row>
    <row r="2878" spans="1:10" ht="13.2">
      <c r="A2878" s="7">
        <v>2877</v>
      </c>
      <c r="B2878" s="7">
        <v>1</v>
      </c>
      <c r="C2878" s="7" t="s">
        <v>10</v>
      </c>
      <c r="D2878" s="7">
        <v>833</v>
      </c>
      <c r="E2878" s="7" t="s">
        <v>24</v>
      </c>
      <c r="F2878" s="8" t="str">
        <f ca="1">IFERROR(__xludf.DUMMYFUNCTION("IF
(
C2879=""фізична особа""
,
VLOOKUP(D2879,IMPORTRANGE(""https://docs.google.com/spreadsheets/d/14Bd19lYaqBhU8_DElYkX7l4wRkHqqCUFNJY4AfY3kHU/edit?usp=sharing  #gid=0"",""фіз особи new!relations_name""),6,FALSE)
,
(IF
(
C2879=""юридична особа""
,
VLOOKUP"&amp;"(D2879,IMPORTRANGE(""https://docs.google.com/spreadsheets/d/14Bd19lYaqBhU8_DElYkX7l4wRkHqqCUFNJY4AfY3kHU/edit?usp=sharing  #gid=0"",""фіз особи new!relations_name_uo""),7,FALSE)
,
)
))"),"ЗОЛОТОВ Віктор Васильович")</f>
        <v>ЗОЛОТОВ Віктор Васильович</v>
      </c>
      <c r="G2878" s="7" t="s">
        <v>10</v>
      </c>
      <c r="H2878" s="7">
        <v>0</v>
      </c>
      <c r="I2878" s="8" t="str">
        <f ca="1">IFERROR(__xludf.DUMMYFUNCTION("IF
(
G2879=""фізична особа""
,
VLOOKUP(H2879,IMPORTRANGE(""https://docs.google.com/spreadsheets/d/14Bd19lYaqBhU8_DElYkX7l4wRkHqqCUFNJY4AfY3kHU/edit?usp=sharing  #gid=0"",""фіз особи new!relations_name""),6,FALSE)
,
(IF
(
G2879=""юридична особа""
,
VLOOKUP"&amp;"(H2879,IMPORTRANGE(""https://docs.google.com/spreadsheets/d/14Bd19lYaqBhU8_DElYkX7l4wRkHqqCUFNJY4AfY3kHU/edit?usp=sharing  #gid=0"",""фіз особи new!relations_name_uo""),7,FALSE)
,
)
))"),"#N/A")</f>
        <v>#N/A</v>
      </c>
      <c r="J2878" s="7" t="s">
        <v>26</v>
      </c>
    </row>
    <row r="2879" spans="1:10" ht="13.2">
      <c r="A2879" s="7">
        <v>2878</v>
      </c>
      <c r="B2879" s="7">
        <v>1</v>
      </c>
      <c r="C2879" s="7" t="s">
        <v>10</v>
      </c>
      <c r="D2879" s="7">
        <v>834</v>
      </c>
      <c r="E2879" s="7" t="s">
        <v>18</v>
      </c>
      <c r="F2879" s="8" t="str">
        <f ca="1">IFERROR(__xludf.DUMMYFUNCTION("IF
(
C2880=""фізична особа""
,
VLOOKUP(D2880,IMPORTRANGE(""https://docs.google.com/spreadsheets/d/14Bd19lYaqBhU8_DElYkX7l4wRkHqqCUFNJY4AfY3kHU/edit?usp=sharing  #gid=0"",""фіз особи new!relations_name""),6,FALSE)
,
(IF
(
C2880=""юридична особа""
,
VLOOKUP"&amp;"(D2880,IMPORTRANGE(""https://docs.google.com/spreadsheets/d/14Bd19lYaqBhU8_DElYkX7l4wRkHqqCUFNJY4AfY3kHU/edit?usp=sharing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79" s="7" t="s">
        <v>10</v>
      </c>
      <c r="H2879" s="7">
        <v>0</v>
      </c>
      <c r="I2879" s="8" t="str">
        <f ca="1">IFERROR(__xludf.DUMMYFUNCTION("IF
(
G2880=""фізична особа""
,
VLOOKUP(H2880,IMPORTRANGE(""https://docs.google.com/spreadsheets/d/14Bd19lYaqBhU8_DElYkX7l4wRkHqqCUFNJY4AfY3kHU/edit?usp=sharing  #gid=0"",""фіз особи new!relations_name""),6,FALSE)
,
(IF
(
G2880=""юридична особа""
,
VLOOKUP"&amp;"(H2880,IMPORTRANGE(""https://docs.google.com/spreadsheets/d/14Bd19lYaqBhU8_DElYkX7l4wRkHqqCUFNJY4AfY3kHU/edit?usp=sharing  #gid=0"",""фіз особи new!relations_name_uo""),7,FALSE)
,
)
))"),"#N/A")</f>
        <v>#N/A</v>
      </c>
      <c r="J2879" s="7" t="s">
        <v>31</v>
      </c>
    </row>
    <row r="2880" spans="1:10" ht="13.2">
      <c r="A2880" s="7">
        <v>2879</v>
      </c>
      <c r="B2880" s="7">
        <v>1</v>
      </c>
      <c r="C2880" s="7" t="s">
        <v>10</v>
      </c>
      <c r="D2880" s="7">
        <v>834</v>
      </c>
      <c r="E2880" s="7" t="s">
        <v>12</v>
      </c>
      <c r="F2880" s="8" t="str">
        <f ca="1">IFERROR(__xludf.DUMMYFUNCTION("IF
(
C2881=""фізична особа""
,
VLOOKUP(D2881,IMPORTRANGE(""https://docs.google.com/spreadsheets/d/14Bd19lYaqBhU8_DElYkX7l4wRkHqqCUFNJY4AfY3kHU/edit?usp=sharing  #gid=0"",""фіз особи new!relations_name""),6,FALSE)
,
(IF
(
C2881=""юридична особа""
,
VLOOKUP"&amp;"(D2881,IMPORTRANGE(""https://docs.google.com/spreadsheets/d/14Bd19lYaqBhU8_DElYkX7l4wRkHqqCUFNJY4AfY3kHU/edit?usp=sharing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80" s="7" t="s">
        <v>10</v>
      </c>
      <c r="H2880" s="7">
        <v>0</v>
      </c>
      <c r="I2880" s="8" t="str">
        <f ca="1">IFERROR(__xludf.DUMMYFUNCTION("IF
(
G2881=""фізична особа""
,
VLOOKUP(H2881,IMPORTRANGE(""https://docs.google.com/spreadsheets/d/14Bd19lYaqBhU8_DElYkX7l4wRkHqqCUFNJY4AfY3kHU/edit?usp=sharing  #gid=0"",""фіз особи new!relations_name""),6,FALSE)
,
(IF
(
G2881=""юридична особа""
,
VLOOKUP"&amp;"(H2881,IMPORTRANGE(""https://docs.google.com/spreadsheets/d/14Bd19lYaqBhU8_DElYkX7l4wRkHqqCUFNJY4AfY3kHU/edit?usp=sharing  #gid=0"",""фіз особи new!relations_name_uo""),7,FALSE)
,
)
))"),"#N/A")</f>
        <v>#N/A</v>
      </c>
      <c r="J2880" s="7" t="s">
        <v>13</v>
      </c>
    </row>
    <row r="2881" spans="1:10" ht="13.2">
      <c r="A2881" s="7">
        <v>2880</v>
      </c>
      <c r="B2881" s="7">
        <v>1</v>
      </c>
      <c r="C2881" s="7" t="s">
        <v>10</v>
      </c>
      <c r="D2881" s="7">
        <v>834</v>
      </c>
      <c r="E2881" s="7" t="s">
        <v>12</v>
      </c>
      <c r="F2881" s="8" t="str">
        <f ca="1">IFERROR(__xludf.DUMMYFUNCTION("IF
(
C2882=""фізична особа""
,
VLOOKUP(D2882,IMPORTRANGE(""https://docs.google.com/spreadsheets/d/14Bd19lYaqBhU8_DElYkX7l4wRkHqqCUFNJY4AfY3kHU/edit?usp=sharing  #gid=0"",""фіз особи new!relations_name""),6,FALSE)
,
(IF
(
C2882=""юридична особа""
,
VLOOKUP"&amp;"(D2882,IMPORTRANGE(""https://docs.google.com/spreadsheets/d/14Bd19lYaqBhU8_DElYkX7l4wRkHqqCUFNJY4AfY3kHU/edit?usp=sharing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81" s="7" t="s">
        <v>10</v>
      </c>
      <c r="H2881" s="7">
        <v>0</v>
      </c>
      <c r="I2881" s="8" t="str">
        <f ca="1">IFERROR(__xludf.DUMMYFUNCTION("IF
(
G2882=""фізична особа""
,
VLOOKUP(H2882,IMPORTRANGE(""https://docs.google.com/spreadsheets/d/14Bd19lYaqBhU8_DElYkX7l4wRkHqqCUFNJY4AfY3kHU/edit?usp=sharing  #gid=0"",""фіз особи new!relations_name""),6,FALSE)
,
(IF
(
G2882=""юридична особа""
,
VLOOKUP"&amp;"(H2882,IMPORTRANGE(""https://docs.google.com/spreadsheets/d/14Bd19lYaqBhU8_DElYkX7l4wRkHqqCUFNJY4AfY3kHU/edit?usp=sharing  #gid=0"",""фіз особи new!relations_name_uo""),7,FALSE)
,
)
))"),"#N/A")</f>
        <v>#N/A</v>
      </c>
      <c r="J2881" s="7" t="s">
        <v>17</v>
      </c>
    </row>
    <row r="2882" spans="1:10" ht="13.2">
      <c r="A2882" s="7">
        <v>2881</v>
      </c>
      <c r="B2882" s="7">
        <v>1</v>
      </c>
      <c r="C2882" s="7" t="s">
        <v>10</v>
      </c>
      <c r="D2882" s="7">
        <v>834</v>
      </c>
      <c r="E2882" s="7" t="s">
        <v>14</v>
      </c>
      <c r="F2882" s="8" t="str">
        <f ca="1">IFERROR(__xludf.DUMMYFUNCTION("IF
(
C2883=""фізична особа""
,
VLOOKUP(D2883,IMPORTRANGE(""https://docs.google.com/spreadsheets/d/14Bd19lYaqBhU8_DElYkX7l4wRkHqqCUFNJY4AfY3kHU/edit?usp=sharing  #gid=0"",""фіз особи new!relations_name""),6,FALSE)
,
(IF
(
C2883=""юридична особа""
,
VLOOKUP"&amp;"(D2883,IMPORTRANGE(""https://docs.google.com/spreadsheets/d/14Bd19lYaqBhU8_DElYkX7l4wRkHqqCUFNJY4AfY3kHU/edit?usp=sharing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82" s="7" t="s">
        <v>10</v>
      </c>
      <c r="H2882" s="7">
        <v>8645</v>
      </c>
      <c r="I2882" s="8" t="str">
        <f ca="1">IFERROR(__xludf.DUMMYFUNCTION("IF
(
G2883=""фізична особа""
,
VLOOKUP(H2883,IMPORTRANGE(""https://docs.google.com/spreadsheets/d/14Bd19lYaqBhU8_DElYkX7l4wRkHqqCUFNJY4AfY3kHU/edit?usp=sharing  #gid=0"",""фіз особи new!relations_name""),6,FALSE)
,
(IF
(
G2883=""юридична особа""
,
VLOOKUP"&amp;"(H2883,IMPORTRANGE(""https://docs.google.com/spreadsheets/d/14Bd19lYaqBhU8_DElYkX7l4wRkHqqCUFNJY4AfY3kHU/edit?usp=sharing  #gid=0"",""фіз особи new!relations_name_uo""),7,FALSE)
,
)
))"),"БРИКСІНА Світлана Юріївна")</f>
        <v>БРИКСІНА Світлана Юріївна</v>
      </c>
      <c r="J2882" s="7" t="s">
        <v>15</v>
      </c>
    </row>
    <row r="2883" spans="1:10" ht="13.2">
      <c r="A2883" s="7">
        <v>2882</v>
      </c>
      <c r="B2883" s="7">
        <v>1</v>
      </c>
      <c r="C2883" s="7" t="s">
        <v>10</v>
      </c>
      <c r="D2883" s="7">
        <v>834</v>
      </c>
      <c r="E2883" s="7" t="s">
        <v>12</v>
      </c>
      <c r="F2883" s="8" t="str">
        <f ca="1">IFERROR(__xludf.DUMMYFUNCTION("IF
(
C2884=""фізична особа""
,
VLOOKUP(D2884,IMPORTRANGE(""https://docs.google.com/spreadsheets/d/14Bd19lYaqBhU8_DElYkX7l4wRkHqqCUFNJY4AfY3kHU/edit?usp=sharing  #gid=0"",""фіз особи new!relations_name""),6,FALSE)
,
(IF
(
C2884=""юридична особа""
,
VLOOKUP"&amp;"(D2884,IMPORTRANGE(""https://docs.google.com/spreadsheets/d/14Bd19lYaqBhU8_DElYkX7l4wRkHqqCUFNJY4AfY3kHU/edit?usp=sharing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83" s="7" t="s">
        <v>10</v>
      </c>
      <c r="H2883" s="7">
        <v>23456</v>
      </c>
      <c r="I2883" s="8" t="str">
        <f ca="1">IFERROR(__xludf.DUMMYFUNCTION("IF
(
G2884=""фізична особа""
,
VLOOKUP(H2884,IMPORTRANGE(""https://docs.google.com/spreadsheets/d/14Bd19lYaqBhU8_DElYkX7l4wRkHqqCUFNJY4AfY3kHU/edit?usp=sharing  #gid=0"",""фіз особи new!relations_name""),6,FALSE)
,
(IF
(
G2884=""юридична особа""
,
VLOOKUP"&amp;"(H2884,IMPORTRANGE(""https://docs.google.com/spreadsheets/d/14Bd19lYaqBhU8_DElYkX7l4wRkHqqCUFNJY4AfY3kHU/edit?usp=sharing  #gid=0"",""фіз особи new!relations_name_uo""),7,FALSE)
,
)
))"),"БРИКСІН Максим Олександрович")</f>
        <v>БРИКСІН Максим Олександрович</v>
      </c>
      <c r="J2883" s="7" t="s">
        <v>17</v>
      </c>
    </row>
    <row r="2884" spans="1:10" ht="13.2">
      <c r="A2884" s="7">
        <v>2883</v>
      </c>
      <c r="B2884" s="7">
        <v>1</v>
      </c>
      <c r="C2884" s="7" t="s">
        <v>10</v>
      </c>
      <c r="D2884" s="7">
        <v>834</v>
      </c>
      <c r="E2884" s="7" t="s">
        <v>12</v>
      </c>
      <c r="F2884" s="8" t="str">
        <f ca="1">IFERROR(__xludf.DUMMYFUNCTION("IF
(
C2885=""фізична особа""
,
VLOOKUP(D2885,IMPORTRANGE(""https://docs.google.com/spreadsheets/d/14Bd19lYaqBhU8_DElYkX7l4wRkHqqCUFNJY4AfY3kHU/edit?usp=sharing  #gid=0"",""фіз особи new!relations_name""),6,FALSE)
,
(IF
(
C2885=""юридична особа""
,
VLOOKUP"&amp;"(D2885,IMPORTRANGE(""https://docs.google.com/spreadsheets/d/14Bd19lYaqBhU8_DElYkX7l4wRkHqqCUFNJY4AfY3kHU/edit?usp=sharing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G2884" s="7" t="s">
        <v>10</v>
      </c>
      <c r="H2884" s="7">
        <v>0</v>
      </c>
      <c r="I2884" s="8" t="str">
        <f ca="1">IFERROR(__xludf.DUMMYFUNCTION("IF
(
G2885=""фізична особа""
,
VLOOKUP(H2885,IMPORTRANGE(""https://docs.google.com/spreadsheets/d/14Bd19lYaqBhU8_DElYkX7l4wRkHqqCUFNJY4AfY3kHU/edit?usp=sharing  #gid=0"",""фіз особи new!relations_name""),6,FALSE)
,
(IF
(
G2885=""юридична особа""
,
VLOOKUP"&amp;"(H2885,IMPORTRANGE(""https://docs.google.com/spreadsheets/d/14Bd19lYaqBhU8_DElYkX7l4wRkHqqCUFNJY4AfY3kHU/edit?usp=sharing  #gid=0"",""фіз особи new!relations_name_uo""),7,FALSE)
,
)
))"),"#N/A")</f>
        <v>#N/A</v>
      </c>
      <c r="J2884" s="7" t="s">
        <v>13</v>
      </c>
    </row>
    <row r="2885" spans="1:10" ht="13.2">
      <c r="A2885" s="7">
        <v>2884</v>
      </c>
      <c r="B2885" s="7">
        <v>1</v>
      </c>
      <c r="C2885" s="7" t="s">
        <v>10</v>
      </c>
      <c r="D2885" s="7">
        <v>835</v>
      </c>
      <c r="E2885" s="7" t="s">
        <v>21</v>
      </c>
      <c r="F2885" s="8" t="str">
        <f ca="1">IFERROR(__xludf.DUMMYFUNCTION("IF
(
C2886=""фізична особа""
,
VLOOKUP(D2886,IMPORTRANGE(""https://docs.google.com/spreadsheets/d/14Bd19lYaqBhU8_DElYkX7l4wRkHqqCUFNJY4AfY3kHU/edit?usp=sharing  #gid=0"",""фіз особи new!relations_name""),6,FALSE)
,
(IF
(
C2886=""юридична особа""
,
VLOOKUP"&amp;"(D2886,IMPORTRANGE(""https://docs.google.com/spreadsheets/d/14Bd19lYaqBhU8_DElYkX7l4wRkHqqCUFNJY4AfY3kHU/edit?usp=sharing  #gid=0"",""фіз особи new!relations_name_uo""),7,FALSE)
,
)
))"),"НІКОЛАЄВА Вікторія Вікторівна")</f>
        <v>НІКОЛАЄВА Вікторія Вікторівна</v>
      </c>
      <c r="G2885" s="7" t="s">
        <v>10</v>
      </c>
      <c r="H2885" s="7">
        <v>0</v>
      </c>
      <c r="I2885" s="8" t="str">
        <f ca="1">IFERROR(__xludf.DUMMYFUNCTION("IF
(
G2886=""фізична особа""
,
VLOOKUP(H2886,IMPORTRANGE(""https://docs.google.com/spreadsheets/d/14Bd19lYaqBhU8_DElYkX7l4wRkHqqCUFNJY4AfY3kHU/edit?usp=sharing  #gid=0"",""фіз особи new!relations_name""),6,FALSE)
,
(IF
(
G2886=""юридична особа""
,
VLOOKUP"&amp;"(H2886,IMPORTRANGE(""https://docs.google.com/spreadsheets/d/14Bd19lYaqBhU8_DElYkX7l4wRkHqqCUFNJY4AfY3kHU/edit?usp=sharing  #gid=0"",""фіз особи new!relations_name_uo""),7,FALSE)
,
)
))"),"#N/A")</f>
        <v>#N/A</v>
      </c>
      <c r="J2885" s="7" t="s">
        <v>13</v>
      </c>
    </row>
    <row r="2886" spans="1:10" ht="13.2">
      <c r="A2886" s="7">
        <v>2885</v>
      </c>
      <c r="B2886" s="7">
        <v>1</v>
      </c>
      <c r="C2886" s="7" t="s">
        <v>10</v>
      </c>
      <c r="D2886" s="7">
        <v>835</v>
      </c>
      <c r="E2886" s="7" t="s">
        <v>13</v>
      </c>
      <c r="F2886" s="8" t="str">
        <f ca="1">IFERROR(__xludf.DUMMYFUNCTION("IF
(
C2887=""фізична особа""
,
VLOOKUP(D2887,IMPORTRANGE(""https://docs.google.com/spreadsheets/d/14Bd19lYaqBhU8_DElYkX7l4wRkHqqCUFNJY4AfY3kHU/edit?usp=sharing  #gid=0"",""фіз особи new!relations_name""),6,FALSE)
,
(IF
(
C2887=""юридична особа""
,
VLOOKUP"&amp;"(D2887,IMPORTRANGE(""https://docs.google.com/spreadsheets/d/14Bd19lYaqBhU8_DElYkX7l4wRkHqqCUFNJY4AfY3kHU/edit?usp=sharing  #gid=0"",""фіз особи new!relations_name_uo""),7,FALSE)
,
)
))"),"НІКОЛАЄВА Вікторія Вікторівна")</f>
        <v>НІКОЛАЄВА Вікторія Вікторівна</v>
      </c>
      <c r="G2886" s="7" t="s">
        <v>10</v>
      </c>
      <c r="H2886" s="7">
        <v>15535</v>
      </c>
      <c r="I2886" s="8" t="str">
        <f ca="1">IFERROR(__xludf.DUMMYFUNCTION("IF
(
G2887=""фізична особа""
,
VLOOKUP(H2887,IMPORTRANGE(""https://docs.google.com/spreadsheets/d/14Bd19lYaqBhU8_DElYkX7l4wRkHqqCUFNJY4AfY3kHU/edit?usp=sharing  #gid=0"",""фіз особи new!relations_name""),6,FALSE)
,
(IF
(
G2887=""юридична особа""
,
VLOOKUP"&amp;"(H2887,IMPORTRANGE(""https://docs.google.com/spreadsheets/d/14Bd19lYaqBhU8_DElYkX7l4wRkHqqCUFNJY4AfY3kHU/edit?usp=sharing  #gid=0"",""фіз особи new!relations_name_uo""),7,FALSE)
,
)
))"),"НІКОЛАЄВА Раїса Семенівна")</f>
        <v>НІКОЛАЄВА Раїса Семенівна</v>
      </c>
      <c r="J2886" s="7" t="s">
        <v>21</v>
      </c>
    </row>
    <row r="2887" spans="1:10" ht="13.2">
      <c r="A2887" s="7">
        <v>2886</v>
      </c>
      <c r="B2887" s="7">
        <v>1</v>
      </c>
      <c r="C2887" s="7" t="s">
        <v>10</v>
      </c>
      <c r="D2887" s="7">
        <v>835</v>
      </c>
      <c r="E2887" s="7" t="s">
        <v>31</v>
      </c>
      <c r="F2887" s="8" t="str">
        <f ca="1">IFERROR(__xludf.DUMMYFUNCTION("IF
(
C2888=""фізична особа""
,
VLOOKUP(D2888,IMPORTRANGE(""https://docs.google.com/spreadsheets/d/14Bd19lYaqBhU8_DElYkX7l4wRkHqqCUFNJY4AfY3kHU/edit?usp=sharing  #gid=0"",""фіз особи new!relations_name""),6,FALSE)
,
(IF
(
C2888=""юридична особа""
,
VLOOKUP"&amp;"(D2888,IMPORTRANGE(""https://docs.google.com/spreadsheets/d/14Bd19lYaqBhU8_DElYkX7l4wRkHqqCUFNJY4AfY3kHU/edit?usp=sharing  #gid=0"",""фіз особи new!relations_name_uo""),7,FALSE)
,
)
))"),"НІКОЛАЄВА Вікторія Вікторівна")</f>
        <v>НІКОЛАЄВА Вікторія Вікторівна</v>
      </c>
      <c r="G2887" s="7" t="s">
        <v>10</v>
      </c>
      <c r="H2887" s="7">
        <v>15536</v>
      </c>
      <c r="I2887" s="8" t="str">
        <f ca="1">IFERROR(__xludf.DUMMYFUNCTION("IF
(
G2888=""фізична особа""
,
VLOOKUP(H2888,IMPORTRANGE(""https://docs.google.com/spreadsheets/d/14Bd19lYaqBhU8_DElYkX7l4wRkHqqCUFNJY4AfY3kHU/edit?usp=sharing  #gid=0"",""фіз особи new!relations_name""),6,FALSE)
,
(IF
(
G2888=""юридична особа""
,
VLOOKUP"&amp;"(H2888,IMPORTRANGE(""https://docs.google.com/spreadsheets/d/14Bd19lYaqBhU8_DElYkX7l4wRkHqqCUFNJY4AfY3kHU/edit?usp=sharing  #gid=0"",""фіз особи new!relations_name_uo""),7,FALSE)
,
)
))"),"НІКОЛАЄВ Володимир Вікторович")</f>
        <v>НІКОЛАЄВ Володимир Вікторович</v>
      </c>
      <c r="J2887" s="7" t="s">
        <v>18</v>
      </c>
    </row>
    <row r="2888" spans="1:10" ht="13.2">
      <c r="A2888" s="7">
        <v>2887</v>
      </c>
      <c r="B2888" s="7">
        <v>1</v>
      </c>
      <c r="C2888" s="7" t="s">
        <v>10</v>
      </c>
      <c r="D2888" s="7">
        <v>836</v>
      </c>
      <c r="E2888" s="7" t="s">
        <v>21</v>
      </c>
      <c r="F2888" s="8" t="str">
        <f ca="1">IFERROR(__xludf.DUMMYFUNCTION("IF
(
C2889=""фізична особа""
,
VLOOKUP(D2889,IMPORTRANGE(""https://docs.google.com/spreadsheets/d/14Bd19lYaqBhU8_DElYkX7l4wRkHqqCUFNJY4AfY3kHU/edit?usp=sharing  #gid=0"",""фіз особи new!relations_name""),6,FALSE)
,
(IF
(
C2889=""юридична особа""
,
VLOOKUP"&amp;"(D2889,IMPORTRANGE(""https://docs.google.com/spreadsheets/d/14Bd19lYaqBhU8_DElYkX7l4wRkHqqCUFNJY4AfY3kHU/edit?usp=sharing  #gid=0"",""фіз особи new!relations_name_uo""),7,FALSE)
,
)
))"),"ПРИГОЖИНА Віолетта Кіровна")</f>
        <v>ПРИГОЖИНА Віолетта Кіровна</v>
      </c>
      <c r="G2888" s="7" t="s">
        <v>10</v>
      </c>
      <c r="H2888" s="7">
        <v>602</v>
      </c>
      <c r="I2888" s="8" t="str">
        <f ca="1">IFERROR(__xludf.DUMMYFUNCTION("IF
(
G2889=""фізична особа""
,
VLOOKUP(H2889,IMPORTRANGE(""https://docs.google.com/spreadsheets/d/14Bd19lYaqBhU8_DElYkX7l4wRkHqqCUFNJY4AfY3kHU/edit?usp=sharing  #gid=0"",""фіз особи new!relations_name""),6,FALSE)
,
(IF
(
G2889=""юридична особа""
,
VLOOKUP"&amp;"(H2889,IMPORTRANGE(""https://docs.google.com/spreadsheets/d/14Bd19lYaqBhU8_DElYkX7l4wRkHqqCUFNJY4AfY3kHU/edit?usp=sharing  #gid=0"",""фіз особи new!relations_name_uo""),7,FALSE)
,
)
))"),"ПРИГОЖИН Євген Вікторович")</f>
        <v>ПРИГОЖИН Євген Вікторович</v>
      </c>
      <c r="J2888" s="7" t="s">
        <v>17</v>
      </c>
    </row>
    <row r="2889" spans="1:10" ht="13.2">
      <c r="A2889" s="7">
        <v>2888</v>
      </c>
      <c r="B2889" s="7">
        <v>1</v>
      </c>
      <c r="C2889" s="7" t="s">
        <v>10</v>
      </c>
      <c r="D2889" s="7">
        <v>837</v>
      </c>
      <c r="E2889" s="7" t="s">
        <v>40</v>
      </c>
      <c r="F2889" s="8" t="str">
        <f ca="1">IFERROR(__xludf.DUMMYFUNCTION("IF
(
C2890=""фізична особа""
,
VLOOKUP(D2890,IMPORTRANGE(""https://docs.google.com/spreadsheets/d/14Bd19lYaqBhU8_DElYkX7l4wRkHqqCUFNJY4AfY3kHU/edit?usp=sharing  #gid=0"",""фіз особи new!relations_name""),6,FALSE)
,
(IF
(
C2890=""юридична особа""
,
VLOOKUP"&amp;"(D2890,IMPORTRANGE(""https://docs.google.com/spreadsheets/d/14Bd19lYaqBhU8_DElYkX7l4wRkHqqCUFNJY4AfY3kHU/edit?usp=sharing  #gid=0"",""фіз особи new!relations_name_uo""),7,FALSE)
,
)
))"),"ЄФІМОВ Віталій Борисович")</f>
        <v>ЄФІМОВ Віталій Борисович</v>
      </c>
      <c r="G2889" s="7" t="s">
        <v>10</v>
      </c>
      <c r="H2889" s="7">
        <v>0</v>
      </c>
      <c r="I2889" s="8" t="str">
        <f ca="1">IFERROR(__xludf.DUMMYFUNCTION("IF
(
G2890=""фізична особа""
,
VLOOKUP(H2890,IMPORTRANGE(""https://docs.google.com/spreadsheets/d/14Bd19lYaqBhU8_DElYkX7l4wRkHqqCUFNJY4AfY3kHU/edit?usp=sharing  #gid=0"",""фіз особи new!relations_name""),6,FALSE)
,
(IF
(
G2890=""юридична особа""
,
VLOOKUP"&amp;"(H2890,IMPORTRANGE(""https://docs.google.com/spreadsheets/d/14Bd19lYaqBhU8_DElYkX7l4wRkHqqCUFNJY4AfY3kHU/edit?usp=sharing  #gid=0"",""фіз особи new!relations_name_uo""),7,FALSE)
,
)
))"),"#N/A")</f>
        <v>#N/A</v>
      </c>
      <c r="J2889" s="7" t="s">
        <v>41</v>
      </c>
    </row>
    <row r="2890" spans="1:10" ht="13.2">
      <c r="A2890" s="7">
        <v>2889</v>
      </c>
      <c r="B2890" s="7">
        <v>1</v>
      </c>
      <c r="C2890" s="7" t="s">
        <v>10</v>
      </c>
      <c r="D2890" s="7">
        <v>837</v>
      </c>
      <c r="E2890" s="7" t="s">
        <v>40</v>
      </c>
      <c r="F2890" s="8" t="str">
        <f ca="1">IFERROR(__xludf.DUMMYFUNCTION("IF
(
C2891=""фізична особа""
,
VLOOKUP(D2891,IMPORTRANGE(""https://docs.google.com/spreadsheets/d/14Bd19lYaqBhU8_DElYkX7l4wRkHqqCUFNJY4AfY3kHU/edit?usp=sharing  #gid=0"",""фіз особи new!relations_name""),6,FALSE)
,
(IF
(
C2891=""юридична особа""
,
VLOOKUP"&amp;"(D2891,IMPORTRANGE(""https://docs.google.com/spreadsheets/d/14Bd19lYaqBhU8_DElYkX7l4wRkHqqCUFNJY4AfY3kHU/edit?usp=sharing  #gid=0"",""фіз особи new!relations_name_uo""),7,FALSE)
,
)
))"),"ЄФІМОВ Віталій Борисович")</f>
        <v>ЄФІМОВ Віталій Борисович</v>
      </c>
      <c r="G2890" s="7" t="s">
        <v>10</v>
      </c>
      <c r="H2890" s="7">
        <v>0</v>
      </c>
      <c r="I2890" s="8" t="str">
        <f ca="1">IFERROR(__xludf.DUMMYFUNCTION("IF
(
G2891=""фізична особа""
,
VLOOKUP(H2891,IMPORTRANGE(""https://docs.google.com/spreadsheets/d/14Bd19lYaqBhU8_DElYkX7l4wRkHqqCUFNJY4AfY3kHU/edit?usp=sharing  #gid=0"",""фіз особи new!relations_name""),6,FALSE)
,
(IF
(
G2891=""юридична особа""
,
VLOOKUP"&amp;"(H2891,IMPORTRANGE(""https://docs.google.com/spreadsheets/d/14Bd19lYaqBhU8_DElYkX7l4wRkHqqCUFNJY4AfY3kHU/edit?usp=sharing  #gid=0"",""фіз особи new!relations_name_uo""),7,FALSE)
,
)
))"),"#N/A")</f>
        <v>#N/A</v>
      </c>
      <c r="J2890" s="7" t="s">
        <v>41</v>
      </c>
    </row>
    <row r="2891" spans="1:10" ht="13.2">
      <c r="A2891" s="7">
        <v>2890</v>
      </c>
      <c r="B2891" s="7">
        <v>1</v>
      </c>
      <c r="C2891" s="7" t="s">
        <v>10</v>
      </c>
      <c r="D2891" s="7">
        <v>837</v>
      </c>
      <c r="E2891" s="7" t="s">
        <v>40</v>
      </c>
      <c r="F2891" s="8" t="str">
        <f ca="1">IFERROR(__xludf.DUMMYFUNCTION("IF
(
C2892=""фізична особа""
,
VLOOKUP(D2892,IMPORTRANGE(""https://docs.google.com/spreadsheets/d/14Bd19lYaqBhU8_DElYkX7l4wRkHqqCUFNJY4AfY3kHU/edit?usp=sharing  #gid=0"",""фіз особи new!relations_name""),6,FALSE)
,
(IF
(
C2892=""юридична особа""
,
VLOOKUP"&amp;"(D2892,IMPORTRANGE(""https://docs.google.com/spreadsheets/d/14Bd19lYaqBhU8_DElYkX7l4wRkHqqCUFNJY4AfY3kHU/edit?usp=sharing  #gid=0"",""фіз особи new!relations_name_uo""),7,FALSE)
,
)
))"),"ЄФІМОВ Віталій Борисович")</f>
        <v>ЄФІМОВ Віталій Борисович</v>
      </c>
      <c r="G2891" s="7" t="s">
        <v>10</v>
      </c>
      <c r="H2891" s="7">
        <v>0</v>
      </c>
      <c r="I2891" s="8" t="str">
        <f ca="1">IFERROR(__xludf.DUMMYFUNCTION("IF
(
G2892=""фізична особа""
,
VLOOKUP(H2892,IMPORTRANGE(""https://docs.google.com/spreadsheets/d/14Bd19lYaqBhU8_DElYkX7l4wRkHqqCUFNJY4AfY3kHU/edit?usp=sharing  #gid=0"",""фіз особи new!relations_name""),6,FALSE)
,
(IF
(
G2892=""юридична особа""
,
VLOOKUP"&amp;"(H2892,IMPORTRANGE(""https://docs.google.com/spreadsheets/d/14Bd19lYaqBhU8_DElYkX7l4wRkHqqCUFNJY4AfY3kHU/edit?usp=sharing  #gid=0"",""фіз особи new!relations_name_uo""),7,FALSE)
,
)
))"),"#N/A")</f>
        <v>#N/A</v>
      </c>
      <c r="J2891" s="7" t="s">
        <v>41</v>
      </c>
    </row>
    <row r="2892" spans="1:10" ht="13.2">
      <c r="A2892" s="7">
        <v>2891</v>
      </c>
      <c r="B2892" s="7">
        <v>1</v>
      </c>
      <c r="C2892" s="7" t="s">
        <v>10</v>
      </c>
      <c r="D2892" s="7">
        <v>838</v>
      </c>
      <c r="E2892" s="7" t="s">
        <v>12</v>
      </c>
      <c r="F2892" s="8" t="str">
        <f ca="1">IFERROR(__xludf.DUMMYFUNCTION("IF
(
C2893=""фізична особа""
,
VLOOKUP(D2893,IMPORTRANGE(""https://docs.google.com/spreadsheets/d/14Bd19lYaqBhU8_DElYkX7l4wRkHqqCUFNJY4AfY3kHU/edit?usp=sharing  #gid=0"",""фіз особи new!relations_name""),6,FALSE)
,
(IF
(
C2893=""юридична особа""
,
VLOOKUP"&amp;"(D2893,IMPORTRANGE(""https://docs.google.com/spreadsheets/d/14Bd19lYaqBhU8_DElYkX7l4wRkHqqCUFNJY4AfY3kHU/edit?usp=sharing  #gid=0"",""фіз особи new!relations_name_uo""),7,FALSE)
,
)
))"),"ЛІХАЧЬОВ Віталій Вікторович")</f>
        <v>ЛІХАЧЬОВ Віталій Вікторович</v>
      </c>
      <c r="G2892" s="7" t="s">
        <v>10</v>
      </c>
      <c r="H2892" s="7">
        <v>0</v>
      </c>
      <c r="I2892" s="8" t="str">
        <f ca="1">IFERROR(__xludf.DUMMYFUNCTION("IF
(
G2893=""фізична особа""
,
VLOOKUP(H2893,IMPORTRANGE(""https://docs.google.com/spreadsheets/d/14Bd19lYaqBhU8_DElYkX7l4wRkHqqCUFNJY4AfY3kHU/edit?usp=sharing  #gid=0"",""фіз особи new!relations_name""),6,FALSE)
,
(IF
(
G2893=""юридична особа""
,
VLOOKUP"&amp;"(H2893,IMPORTRANGE(""https://docs.google.com/spreadsheets/d/14Bd19lYaqBhU8_DElYkX7l4wRkHqqCUFNJY4AfY3kHU/edit?usp=sharing  #gid=0"",""фіз особи new!relations_name_uo""),7,FALSE)
,
)
))"),"#N/A")</f>
        <v>#N/A</v>
      </c>
      <c r="J2892" s="7" t="s">
        <v>17</v>
      </c>
    </row>
    <row r="2893" spans="1:10" ht="13.2">
      <c r="A2893" s="7">
        <v>2892</v>
      </c>
      <c r="B2893" s="7">
        <v>1</v>
      </c>
      <c r="C2893" s="7" t="s">
        <v>10</v>
      </c>
      <c r="D2893" s="7">
        <v>838</v>
      </c>
      <c r="E2893" s="7" t="s">
        <v>12</v>
      </c>
      <c r="F2893" s="8" t="str">
        <f ca="1">IFERROR(__xludf.DUMMYFUNCTION("IF
(
C2894=""фізична особа""
,
VLOOKUP(D2894,IMPORTRANGE(""https://docs.google.com/spreadsheets/d/14Bd19lYaqBhU8_DElYkX7l4wRkHqqCUFNJY4AfY3kHU/edit?usp=sharing  #gid=0"",""фіз особи new!relations_name""),6,FALSE)
,
(IF
(
C2894=""юридична особа""
,
VLOOKUP"&amp;"(D2894,IMPORTRANGE(""https://docs.google.com/spreadsheets/d/14Bd19lYaqBhU8_DElYkX7l4wRkHqqCUFNJY4AfY3kHU/edit?usp=sharing  #gid=0"",""фіз особи new!relations_name_uo""),7,FALSE)
,
)
))"),"ЛІХАЧЬОВ Віталій Вікторович")</f>
        <v>ЛІХАЧЬОВ Віталій Вікторович</v>
      </c>
      <c r="G2893" s="7" t="s">
        <v>10</v>
      </c>
      <c r="H2893" s="7">
        <v>0</v>
      </c>
      <c r="I2893" s="8" t="str">
        <f ca="1">IFERROR(__xludf.DUMMYFUNCTION("IF
(
G2894=""фізична особа""
,
VLOOKUP(H2894,IMPORTRANGE(""https://docs.google.com/spreadsheets/d/14Bd19lYaqBhU8_DElYkX7l4wRkHqqCUFNJY4AfY3kHU/edit?usp=sharing  #gid=0"",""фіз особи new!relations_name""),6,FALSE)
,
(IF
(
G2894=""юридична особа""
,
VLOOKUP"&amp;"(H2894,IMPORTRANGE(""https://docs.google.com/spreadsheets/d/14Bd19lYaqBhU8_DElYkX7l4wRkHqqCUFNJY4AfY3kHU/edit?usp=sharing  #gid=0"",""фіз особи new!relations_name_uo""),7,FALSE)
,
)
))"),"#N/A")</f>
        <v>#N/A</v>
      </c>
      <c r="J2893" s="7" t="s">
        <v>13</v>
      </c>
    </row>
    <row r="2894" spans="1:10" ht="13.2">
      <c r="A2894" s="7">
        <v>2893</v>
      </c>
      <c r="B2894" s="7">
        <v>1</v>
      </c>
      <c r="C2894" s="7" t="s">
        <v>10</v>
      </c>
      <c r="D2894" s="7">
        <v>839</v>
      </c>
      <c r="E2894" s="7" t="s">
        <v>48</v>
      </c>
      <c r="F2894" s="8" t="str">
        <f ca="1">IFERROR(__xludf.DUMMYFUNCTION("IF
(
C2895=""фізична особа""
,
VLOOKUP(D2895,IMPORTRANGE(""https://docs.google.com/spreadsheets/d/14Bd19lYaqBhU8_DElYkX7l4wRkHqqCUFNJY4AfY3kHU/edit?usp=sharing  #gid=0"",""фіз особи new!relations_name""),6,FALSE)
,
(IF
(
C2895=""юридична особа""
,
VLOOKUP"&amp;"(D2895,IMPORTRANGE(""https://docs.google.com/spreadsheets/d/14Bd19lYaqBhU8_DElYkX7l4wRkHqqCUFNJY4AfY3kHU/edit?usp=sharing  #gid=0"",""фіз особи new!relations_name_uo""),7,FALSE)
,
)
))"),"КУШНАРЬОВ Віталій Васильович")</f>
        <v>КУШНАРЬОВ Віталій Васильович</v>
      </c>
      <c r="G2894" s="7" t="s">
        <v>10</v>
      </c>
      <c r="H2894" s="7">
        <v>2555</v>
      </c>
      <c r="I2894" s="8" t="str">
        <f ca="1">IFERROR(__xludf.DUMMYFUNCTION("IF
(
G2895=""фізична особа""
,
VLOOKUP(H2895,IMPORTRANGE(""https://docs.google.com/spreadsheets/d/14Bd19lYaqBhU8_DElYkX7l4wRkHqqCUFNJY4AfY3kHU/edit?usp=sharing  #gid=0"",""фіз особи new!relations_name""),6,FALSE)
,
(IF
(
G2895=""юридична особа""
,
VLOOKUP"&amp;"(H2895,IMPORTRANGE(""https://docs.google.com/spreadsheets/d/14Bd19lYaqBhU8_DElYkX7l4wRkHqqCUFNJY4AfY3kHU/edit?usp=sharing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2894" s="7" t="s">
        <v>48</v>
      </c>
    </row>
    <row r="2895" spans="1:10" ht="13.2">
      <c r="A2895" s="7">
        <v>2894</v>
      </c>
      <c r="B2895" s="7">
        <v>1</v>
      </c>
      <c r="C2895" s="7" t="s">
        <v>10</v>
      </c>
      <c r="D2895" s="7">
        <v>840</v>
      </c>
      <c r="E2895" s="7" t="s">
        <v>28</v>
      </c>
      <c r="F2895" s="8" t="str">
        <f ca="1">IFERROR(__xludf.DUMMYFUNCTION("IF
(
C2896=""фізична особа""
,
VLOOKUP(D2896,IMPORTRANGE(""https://docs.google.com/spreadsheets/d/14Bd19lYaqBhU8_DElYkX7l4wRkHqqCUFNJY4AfY3kHU/edit?usp=sharing  #gid=0"",""фіз особи new!relations_name""),6,FALSE)
,
(IF
(
C2896=""юридична особа""
,
VLOOKUP"&amp;"(D2896,IMPORTRANGE(""https://docs.google.com/spreadsheets/d/14Bd19lYaqBhU8_DElYkX7l4wRkHqqCUFNJY4AfY3kHU/edit?usp=sharing  #gid=0"",""фіз особи new!relations_name_uo""),7,FALSE)
,
)
))"),"КІЛЬЧЕВСЬКИЙ Віталій Фрідріхович")</f>
        <v>КІЛЬЧЕВСЬКИЙ Віталій Фрідріхович</v>
      </c>
      <c r="G2895" s="7" t="s">
        <v>10</v>
      </c>
      <c r="H2895" s="7">
        <v>55</v>
      </c>
      <c r="I2895" s="8" t="str">
        <f ca="1">IFERROR(__xludf.DUMMYFUNCTION("IF
(
G2896=""фізична особа""
,
VLOOKUP(H2896,IMPORTRANGE(""https://docs.google.com/spreadsheets/d/14Bd19lYaqBhU8_DElYkX7l4wRkHqqCUFNJY4AfY3kHU/edit?usp=sharing  #gid=0"",""фіз особи new!relations_name""),6,FALSE)
,
(IF
(
G2896=""юридична особа""
,
VLOOKUP"&amp;"(H2896,IMPORTRANGE(""https://docs.google.com/spreadsheets/d/14Bd19lYaqBhU8_DElYkX7l4wRkHqqCUFNJY4AfY3kHU/edit?usp=sharing  #gid=0"",""фіз особи new!relations_name_uo""),7,FALSE)
,
)
))"),"БУРДИКО Андрій Валер'янович")</f>
        <v>БУРДИКО Андрій Валер'янович</v>
      </c>
      <c r="J2895" s="7" t="s">
        <v>29</v>
      </c>
    </row>
    <row r="2896" spans="1:10" ht="13.2">
      <c r="A2896" s="7">
        <v>2895</v>
      </c>
      <c r="B2896" s="7">
        <v>1</v>
      </c>
      <c r="C2896" s="7" t="s">
        <v>10</v>
      </c>
      <c r="D2896" s="7">
        <v>841</v>
      </c>
      <c r="E2896" s="7" t="s">
        <v>29</v>
      </c>
      <c r="F2896" s="8" t="str">
        <f ca="1">IFERROR(__xludf.DUMMYFUNCTION("IF
(
C2897=""фізична особа""
,
VLOOKUP(D2897,IMPORTRANGE(""https://docs.google.com/spreadsheets/d/14Bd19lYaqBhU8_DElYkX7l4wRkHqqCUFNJY4AfY3kHU/edit?usp=sharing  #gid=0"",""фіз особи new!relations_name""),6,FALSE)
,
(IF
(
C2897=""юридична особа""
,
VLOOKUP"&amp;"(D2897,IMPORTRANGE(""https://docs.google.com/spreadsheets/d/14Bd19lYaqBhU8_DElYkX7l4wRkHqqCUFNJY4AfY3kHU/edit?usp=sharing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896" s="7" t="s">
        <v>10</v>
      </c>
      <c r="H2896" s="7">
        <v>2340</v>
      </c>
      <c r="I2896" s="8" t="str">
        <f ca="1">IFERROR(__xludf.DUMMYFUNCTION("IF
(
G2897=""фізична особа""
,
VLOOKUP(H2897,IMPORTRANGE(""https://docs.google.com/spreadsheets/d/14Bd19lYaqBhU8_DElYkX7l4wRkHqqCUFNJY4AfY3kHU/edit?usp=sharing  #gid=0"",""фіз особи new!relations_name""),6,FALSE)
,
(IF
(
G2897=""юридична особа""
,
VLOOKUP"&amp;"(H2897,IMPORTRANGE(""https://docs.google.com/spreadsheets/d/14Bd19lYaqBhU8_DElYkX7l4wRkHqqCUFNJY4AfY3kHU/edit?usp=sharing  #gid=0"",""фіз особи new!relations_name_uo""),7,FALSE)
,
)
))"),"ЧАЛИК Ігор Петрович")</f>
        <v>ЧАЛИК Ігор Петрович</v>
      </c>
      <c r="J2896" s="7" t="s">
        <v>28</v>
      </c>
    </row>
    <row r="2897" spans="1:10" ht="13.2">
      <c r="A2897" s="7">
        <v>2896</v>
      </c>
      <c r="B2897" s="7">
        <v>1</v>
      </c>
      <c r="C2897" s="7" t="s">
        <v>10</v>
      </c>
      <c r="D2897" s="7">
        <v>841</v>
      </c>
      <c r="E2897" s="7" t="s">
        <v>40</v>
      </c>
      <c r="F2897" s="8" t="str">
        <f ca="1">IFERROR(__xludf.DUMMYFUNCTION("IF
(
C2898=""фізична особа""
,
VLOOKUP(D2898,IMPORTRANGE(""https://docs.google.com/spreadsheets/d/14Bd19lYaqBhU8_DElYkX7l4wRkHqqCUFNJY4AfY3kHU/edit?usp=sharing  #gid=0"",""фіз особи new!relations_name""),6,FALSE)
,
(IF
(
C2898=""юридична особа""
,
VLOOKUP"&amp;"(D2898,IMPORTRANGE(""https://docs.google.com/spreadsheets/d/14Bd19lYaqBhU8_DElYkX7l4wRkHqqCUFNJY4AfY3kHU/edit?usp=sharing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897" s="7" t="s">
        <v>10</v>
      </c>
      <c r="H2897" s="7">
        <v>286</v>
      </c>
      <c r="I2897" s="8" t="str">
        <f ca="1">IFERROR(__xludf.DUMMYFUNCTION("IF
(
G2898=""фізична особа""
,
VLOOKUP(H2898,IMPORTRANGE(""https://docs.google.com/spreadsheets/d/14Bd19lYaqBhU8_DElYkX7l4wRkHqqCUFNJY4AfY3kHU/edit?usp=sharing  #gid=0"",""фіз особи new!relations_name""),6,FALSE)
,
(IF
(
G2898=""юридична особа""
,
VLOOKUP"&amp;"(H2898,IMPORTRANGE(""https://docs.google.com/spreadsheets/d/14Bd19lYaqBhU8_DElYkX7l4wRkHqqCUFNJY4AfY3kHU/edit?usp=sharing  #gid=0"",""фіз особи new!relations_name_uo""),7,FALSE)
,
)
))"),"ГРЕФ Герман Оскарович")</f>
        <v>ГРЕФ Герман Оскарович</v>
      </c>
      <c r="J2897" s="7" t="s">
        <v>41</v>
      </c>
    </row>
    <row r="2898" spans="1:10" ht="13.2">
      <c r="A2898" s="7">
        <v>2897</v>
      </c>
      <c r="B2898" s="7">
        <v>1</v>
      </c>
      <c r="C2898" s="7" t="s">
        <v>10</v>
      </c>
      <c r="D2898" s="7">
        <v>841</v>
      </c>
      <c r="E2898" s="7" t="s">
        <v>29</v>
      </c>
      <c r="F2898" s="8" t="str">
        <f ca="1">IFERROR(__xludf.DUMMYFUNCTION("IF
(
C2899=""фізична особа""
,
VLOOKUP(D2899,IMPORTRANGE(""https://docs.google.com/spreadsheets/d/14Bd19lYaqBhU8_DElYkX7l4wRkHqqCUFNJY4AfY3kHU/edit?usp=sharing  #gid=0"",""фіз особи new!relations_name""),6,FALSE)
,
(IF
(
C2899=""юридична особа""
,
VLOOKUP"&amp;"(D2899,IMPORTRANGE(""https://docs.google.com/spreadsheets/d/14Bd19lYaqBhU8_DElYkX7l4wRkHqqCUFNJY4AfY3kHU/edit?usp=sharing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898" s="7" t="s">
        <v>10</v>
      </c>
      <c r="H2898" s="7">
        <v>2332</v>
      </c>
      <c r="I2898" s="8" t="str">
        <f ca="1">IFERROR(__xludf.DUMMYFUNCTION("IF
(
G2899=""фізична особа""
,
VLOOKUP(H2899,IMPORTRANGE(""https://docs.google.com/spreadsheets/d/14Bd19lYaqBhU8_DElYkX7l4wRkHqqCUFNJY4AfY3kHU/edit?usp=sharing  #gid=0"",""фіз особи new!relations_name""),6,FALSE)
,
(IF
(
G2899=""юридична особа""
,
VLOOKUP"&amp;"(H2899,IMPORTRANGE(""https://docs.google.com/spreadsheets/d/14Bd19lYaqBhU8_DElYkX7l4wRkHqqCUFNJY4AfY3kHU/edit?usp=sharing  #gid=0"",""фіз особи new!relations_name_uo""),7,FALSE)
,
)
))"),"КОСТЮК Андрій Олександрович")</f>
        <v>КОСТЮК Андрій Олександрович</v>
      </c>
      <c r="J2898" s="7" t="s">
        <v>28</v>
      </c>
    </row>
    <row r="2899" spans="1:10" ht="13.2">
      <c r="A2899" s="7">
        <v>2898</v>
      </c>
      <c r="B2899" s="7">
        <v>1</v>
      </c>
      <c r="C2899" s="7" t="s">
        <v>10</v>
      </c>
      <c r="D2899" s="7">
        <v>841</v>
      </c>
      <c r="E2899" s="7" t="s">
        <v>29</v>
      </c>
      <c r="F2899" s="8" t="str">
        <f ca="1">IFERROR(__xludf.DUMMYFUNCTION("IF
(
C2900=""фізична особа""
,
VLOOKUP(D2900,IMPORTRANGE(""https://docs.google.com/spreadsheets/d/14Bd19lYaqBhU8_DElYkX7l4wRkHqqCUFNJY4AfY3kHU/edit?usp=sharing  #gid=0"",""фіз особи new!relations_name""),6,FALSE)
,
(IF
(
C2900=""юридична особа""
,
VLOOKUP"&amp;"(D2900,IMPORTRANGE(""https://docs.google.com/spreadsheets/d/14Bd19lYaqBhU8_DElYkX7l4wRkHqqCUFNJY4AfY3kHU/edit?usp=sharing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899" s="7" t="s">
        <v>10</v>
      </c>
      <c r="H2899" s="7">
        <v>2338</v>
      </c>
      <c r="I2899" s="8" t="str">
        <f ca="1">IFERROR(__xludf.DUMMYFUNCTION("IF
(
G2900=""фізична особа""
,
VLOOKUP(H2900,IMPORTRANGE(""https://docs.google.com/spreadsheets/d/14Bd19lYaqBhU8_DElYkX7l4wRkHqqCUFNJY4AfY3kHU/edit?usp=sharing  #gid=0"",""фіз особи new!relations_name""),6,FALSE)
,
(IF
(
G2900=""юридична особа""
,
VLOOKUP"&amp;"(H2900,IMPORTRANGE(""https://docs.google.com/spreadsheets/d/14Bd19lYaqBhU8_DElYkX7l4wRkHqqCUFNJY4AfY3kHU/edit?usp=sharing  #gid=0"",""фіз особи new!relations_name_uo""),7,FALSE)
,
)
))"),"ПОШИВАЙ Олександр Іванович")</f>
        <v>ПОШИВАЙ Олександр Іванович</v>
      </c>
      <c r="J2899" s="7" t="s">
        <v>28</v>
      </c>
    </row>
    <row r="2900" spans="1:10" ht="13.2">
      <c r="A2900" s="7">
        <v>2899</v>
      </c>
      <c r="B2900" s="7">
        <v>1</v>
      </c>
      <c r="C2900" s="7" t="s">
        <v>10</v>
      </c>
      <c r="D2900" s="7">
        <v>841</v>
      </c>
      <c r="E2900" s="7" t="s">
        <v>41</v>
      </c>
      <c r="F2900" s="8" t="str">
        <f ca="1">IFERROR(__xludf.DUMMYFUNCTION("IF
(
C2901=""фізична особа""
,
VLOOKUP(D2901,IMPORTRANGE(""https://docs.google.com/spreadsheets/d/14Bd19lYaqBhU8_DElYkX7l4wRkHqqCUFNJY4AfY3kHU/edit?usp=sharing  #gid=0"",""фіз особи new!relations_name""),6,FALSE)
,
(IF
(
C2901=""юридична особа""
,
VLOOKUP"&amp;"(D2901,IMPORTRANGE(""https://docs.google.com/spreadsheets/d/14Bd19lYaqBhU8_DElYkX7l4wRkHqqCUFNJY4AfY3kHU/edit?usp=sharing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900" s="7" t="s">
        <v>10</v>
      </c>
      <c r="H2900" s="7">
        <v>3900</v>
      </c>
      <c r="I2900" s="8" t="str">
        <f ca="1">IFERROR(__xludf.DUMMYFUNCTION("IF
(
G2901=""фізична особа""
,
VLOOKUP(H2901,IMPORTRANGE(""https://docs.google.com/spreadsheets/d/14Bd19lYaqBhU8_DElYkX7l4wRkHqqCUFNJY4AfY3kHU/edit?usp=sharing  #gid=0"",""фіз особи new!relations_name""),6,FALSE)
,
(IF
(
G2901=""юридична особа""
,
VLOOKUP"&amp;"(H2901,IMPORTRANGE(""https://docs.google.com/spreadsheets/d/14Bd19lYaqBhU8_DElYkX7l4wRkHqqCUFNJY4AfY3kHU/edit?usp=sharing  #gid=0"",""фіз особи new!relations_name_uo""),7,FALSE)
,
)
))"),"ЧИХАНЧИН Андрій Юрійович")</f>
        <v>ЧИХАНЧИН Андрій Юрійович</v>
      </c>
      <c r="J2900" s="7" t="s">
        <v>40</v>
      </c>
    </row>
    <row r="2901" spans="1:10" ht="13.2">
      <c r="A2901" s="7">
        <v>2900</v>
      </c>
      <c r="B2901" s="7">
        <v>1</v>
      </c>
      <c r="C2901" s="7" t="s">
        <v>10</v>
      </c>
      <c r="D2901" s="7">
        <v>841</v>
      </c>
      <c r="E2901" s="7" t="s">
        <v>40</v>
      </c>
      <c r="F2901" s="8" t="str">
        <f ca="1">IFERROR(__xludf.DUMMYFUNCTION("IF
(
C2902=""фізична особа""
,
VLOOKUP(D2902,IMPORTRANGE(""https://docs.google.com/spreadsheets/d/14Bd19lYaqBhU8_DElYkX7l4wRkHqqCUFNJY4AfY3kHU/edit?usp=sharing  #gid=0"",""фіз особи new!relations_name""),6,FALSE)
,
(IF
(
C2902=""юридична особа""
,
VLOOKUP"&amp;"(D2902,IMPORTRANGE(""https://docs.google.com/spreadsheets/d/14Bd19lYaqBhU8_DElYkX7l4wRkHqqCUFNJY4AfY3kHU/edit?usp=sharing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G2901" s="7" t="s">
        <v>10</v>
      </c>
      <c r="H2901" s="7">
        <v>4</v>
      </c>
      <c r="I2901" s="8" t="str">
        <f ca="1">IFERROR(__xludf.DUMMYFUNCTION("IF
(
G2902=""фізична особа""
,
VLOOKUP(H2902,IMPORTRANGE(""https://docs.google.com/spreadsheets/d/14Bd19lYaqBhU8_DElYkX7l4wRkHqqCUFNJY4AfY3kHU/edit?usp=sharing  #gid=0"",""фіз особи new!relations_name""),6,FALSE)
,
(IF
(
G2902=""юридична особа""
,
VLOOKUP"&amp;"(H2902,IMPORTRANGE(""https://docs.google.com/spreadsheets/d/14Bd19lYaqBhU8_DElYkX7l4wRkHqqCUFNJY4AfY3kHU/edit?usp=sharing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J2901" s="7" t="s">
        <v>41</v>
      </c>
    </row>
    <row r="2902" spans="1:10" ht="13.2">
      <c r="A2902" s="7">
        <v>2901</v>
      </c>
      <c r="B2902" s="7">
        <v>1</v>
      </c>
      <c r="C2902" s="7" t="s">
        <v>10</v>
      </c>
      <c r="D2902" s="7">
        <v>842</v>
      </c>
      <c r="E2902" s="7" t="s">
        <v>48</v>
      </c>
      <c r="F2902" s="8" t="str">
        <f ca="1">IFERROR(__xludf.DUMMYFUNCTION("IF
(
C2903=""фізична особа""
,
VLOOKUP(D2903,IMPORTRANGE(""https://docs.google.com/spreadsheets/d/14Bd19lYaqBhU8_DElYkX7l4wRkHqqCUFNJY4AfY3kHU/edit?usp=sharing  #gid=0"",""фіз особи new!relations_name""),6,FALSE)
,
(IF
(
C2903=""юридична особа""
,
VLOOKUP"&amp;"(D2903,IMPORTRANGE(""https://docs.google.com/spreadsheets/d/14Bd19lYaqBhU8_DElYkX7l4wRkHqqCUFNJY4AfY3kHU/edit?usp=sharing  #gid=0"",""фіз особи new!relations_name_uo""),7,FALSE)
,
)
))"),"МІЛОНОВ Віталій Валентинович")</f>
        <v>МІЛОНОВ Віталій Валентинович</v>
      </c>
      <c r="G2902" s="7" t="s">
        <v>10</v>
      </c>
      <c r="H2902" s="7">
        <v>23430</v>
      </c>
      <c r="I2902" s="8" t="str">
        <f ca="1">IFERROR(__xludf.DUMMYFUNCTION("IF
(
G2903=""фізична особа""
,
VLOOKUP(H2903,IMPORTRANGE(""https://docs.google.com/spreadsheets/d/14Bd19lYaqBhU8_DElYkX7l4wRkHqqCUFNJY4AfY3kHU/edit?usp=sharing  #gid=0"",""фіз особи new!relations_name""),6,FALSE)
,
(IF
(
G2903=""юридична особа""
,
VLOOKUP"&amp;"(H2903,IMPORTRANGE(""https://docs.google.com/spreadsheets/d/14Bd19lYaqBhU8_DElYkX7l4wRkHqqCUFNJY4AfY3kHU/edit?usp=sharing  #gid=0"",""фіз особи new!relations_name_uo""),7,FALSE)
,
)
))"),"ТЮЛЬПАНОВ Вадим Альбертович")</f>
        <v>ТЮЛЬПАНОВ Вадим Альбертович</v>
      </c>
      <c r="J2902" s="7" t="s">
        <v>48</v>
      </c>
    </row>
    <row r="2903" spans="1:10" ht="13.2">
      <c r="A2903" s="7">
        <v>2902</v>
      </c>
      <c r="B2903" s="7">
        <v>1</v>
      </c>
      <c r="C2903" s="7" t="s">
        <v>10</v>
      </c>
      <c r="D2903" s="7">
        <v>842</v>
      </c>
      <c r="E2903" s="7" t="s">
        <v>14</v>
      </c>
      <c r="F2903" s="8" t="str">
        <f ca="1">IFERROR(__xludf.DUMMYFUNCTION("IF
(
C2904=""фізична особа""
,
VLOOKUP(D2904,IMPORTRANGE(""https://docs.google.com/spreadsheets/d/14Bd19lYaqBhU8_DElYkX7l4wRkHqqCUFNJY4AfY3kHU/edit?usp=sharing  #gid=0"",""фіз особи new!relations_name""),6,FALSE)
,
(IF
(
C2904=""юридична особа""
,
VLOOKUP"&amp;"(D2904,IMPORTRANGE(""https://docs.google.com/spreadsheets/d/14Bd19lYaqBhU8_DElYkX7l4wRkHqqCUFNJY4AfY3kHU/edit?usp=sharing  #gid=0"",""фіз особи new!relations_name_uo""),7,FALSE)
,
)
))"),"МІЛОНОВ Віталій Валентинович")</f>
        <v>МІЛОНОВ Віталій Валентинович</v>
      </c>
      <c r="G2903" s="7" t="s">
        <v>10</v>
      </c>
      <c r="H2903" s="7">
        <v>0</v>
      </c>
      <c r="I2903" s="8" t="str">
        <f ca="1">IFERROR(__xludf.DUMMYFUNCTION("IF
(
G2904=""фізична особа""
,
VLOOKUP(H2904,IMPORTRANGE(""https://docs.google.com/spreadsheets/d/14Bd19lYaqBhU8_DElYkX7l4wRkHqqCUFNJY4AfY3kHU/edit?usp=sharing  #gid=0"",""фіз особи new!relations_name""),6,FALSE)
,
(IF
(
G2904=""юридична особа""
,
VLOOKUP"&amp;"(H2904,IMPORTRANGE(""https://docs.google.com/spreadsheets/d/14Bd19lYaqBhU8_DElYkX7l4wRkHqqCUFNJY4AfY3kHU/edit?usp=sharing  #gid=0"",""фіз особи new!relations_name_uo""),7,FALSE)
,
)
))"),"#N/A")</f>
        <v>#N/A</v>
      </c>
      <c r="J2903" s="7" t="s">
        <v>15</v>
      </c>
    </row>
    <row r="2904" spans="1:10" ht="13.2">
      <c r="A2904" s="7">
        <v>2903</v>
      </c>
      <c r="B2904" s="7">
        <v>1</v>
      </c>
      <c r="C2904" s="7" t="s">
        <v>10</v>
      </c>
      <c r="D2904" s="7">
        <v>842</v>
      </c>
      <c r="E2904" s="7" t="s">
        <v>26</v>
      </c>
      <c r="F2904" s="8" t="str">
        <f ca="1">IFERROR(__xludf.DUMMYFUNCTION("IF
(
C2905=""фізична особа""
,
VLOOKUP(D2905,IMPORTRANGE(""https://docs.google.com/spreadsheets/d/14Bd19lYaqBhU8_DElYkX7l4wRkHqqCUFNJY4AfY3kHU/edit?usp=sharing  #gid=0"",""фіз особи new!relations_name""),6,FALSE)
,
(IF
(
C2905=""юридична особа""
,
VLOOKUP"&amp;"(D2905,IMPORTRANGE(""https://docs.google.com/spreadsheets/d/14Bd19lYaqBhU8_DElYkX7l4wRkHqqCUFNJY4AfY3kHU/edit?usp=sharing  #gid=0"",""фіз особи new!relations_name_uo""),7,FALSE)
,
)
))"),"МІЛОНОВ Віталій Валентинович")</f>
        <v>МІЛОНОВ Віталій Валентинович</v>
      </c>
      <c r="G2904" s="7" t="s">
        <v>10</v>
      </c>
      <c r="H2904" s="7">
        <v>0</v>
      </c>
      <c r="I2904" s="8" t="str">
        <f ca="1">IFERROR(__xludf.DUMMYFUNCTION("IF
(
G2905=""фізична особа""
,
VLOOKUP(H2905,IMPORTRANGE(""https://docs.google.com/spreadsheets/d/14Bd19lYaqBhU8_DElYkX7l4wRkHqqCUFNJY4AfY3kHU/edit?usp=sharing  #gid=0"",""фіз особи new!relations_name""),6,FALSE)
,
(IF
(
G2905=""юридична особа""
,
VLOOKUP"&amp;"(H2905,IMPORTRANGE(""https://docs.google.com/spreadsheets/d/14Bd19lYaqBhU8_DElYkX7l4wRkHqqCUFNJY4AfY3kHU/edit?usp=sharing  #gid=0"",""фіз особи new!relations_name_uo""),7,FALSE)
,
)
))"),"#N/A")</f>
        <v>#N/A</v>
      </c>
      <c r="J2904" s="7" t="s">
        <v>24</v>
      </c>
    </row>
    <row r="2905" spans="1:10" ht="13.2">
      <c r="A2905" s="7">
        <v>2904</v>
      </c>
      <c r="B2905" s="7">
        <v>1</v>
      </c>
      <c r="C2905" s="7" t="s">
        <v>10</v>
      </c>
      <c r="D2905" s="7">
        <v>843</v>
      </c>
      <c r="E2905" s="7" t="s">
        <v>48</v>
      </c>
      <c r="F2905" s="8" t="str">
        <f ca="1">IFERROR(__xludf.DUMMYFUNCTION("IF
(
C2906=""фізична особа""
,
VLOOKUP(D2906,IMPORTRANGE(""https://docs.google.com/spreadsheets/d/14Bd19lYaqBhU8_DElYkX7l4wRkHqqCUFNJY4AfY3kHU/edit?usp=sharing  #gid=0"",""фіз особи new!relations_name""),6,FALSE)
,
(IF
(
C2906=""юридична особа""
,
VLOOKUP"&amp;"(D2906,IMPORTRANGE(""https://docs.google.com/spreadsheets/d/14Bd19lYaqBhU8_DElYkX7l4wRkHqqCUFNJY4AfY3kHU/edit?usp=sharing  #gid=0"",""фіз особи new!relations_name_uo""),7,FALSE)
,
)
))"),"БАХМЕТЬЄВ Віталій Вікторович")</f>
        <v>БАХМЕТЬЄВ Віталій Вікторович</v>
      </c>
      <c r="G2905" s="7" t="s">
        <v>10</v>
      </c>
      <c r="H2905" s="7">
        <v>880</v>
      </c>
      <c r="I2905" s="8" t="str">
        <f ca="1">IFERROR(__xludf.DUMMYFUNCTION("IF
(
G2906=""фізична особа""
,
VLOOKUP(H2906,IMPORTRANGE(""https://docs.google.com/spreadsheets/d/14Bd19lYaqBhU8_DElYkX7l4wRkHqqCUFNJY4AfY3kHU/edit?usp=sharing  #gid=0"",""фіз особи new!relations_name""),6,FALSE)
,
(IF
(
G2906=""юридична особа""
,
VLOOKUP"&amp;"(H2906,IMPORTRANGE(""https://docs.google.com/spreadsheets/d/14Bd19lYaqBhU8_DElYkX7l4wRkHqqCUFNJY4AfY3kHU/edit?usp=sharing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2905" s="7" t="s">
        <v>48</v>
      </c>
    </row>
    <row r="2906" spans="1:10" ht="13.2">
      <c r="A2906" s="7">
        <v>2905</v>
      </c>
      <c r="B2906" s="7">
        <v>1</v>
      </c>
      <c r="C2906" s="7" t="s">
        <v>10</v>
      </c>
      <c r="D2906" s="7">
        <v>843</v>
      </c>
      <c r="E2906" s="7" t="s">
        <v>14</v>
      </c>
      <c r="F2906" s="8" t="str">
        <f ca="1">IFERROR(__xludf.DUMMYFUNCTION("IF
(
C2907=""фізична особа""
,
VLOOKUP(D2907,IMPORTRANGE(""https://docs.google.com/spreadsheets/d/14Bd19lYaqBhU8_DElYkX7l4wRkHqqCUFNJY4AfY3kHU/edit?usp=sharing  #gid=0"",""фіз особи new!relations_name""),6,FALSE)
,
(IF
(
C2907=""юридична особа""
,
VLOOKUP"&amp;"(D2907,IMPORTRANGE(""https://docs.google.com/spreadsheets/d/14Bd19lYaqBhU8_DElYkX7l4wRkHqqCUFNJY4AfY3kHU/edit?usp=sharing  #gid=0"",""фіз особи new!relations_name_uo""),7,FALSE)
,
)
))"),"БАХМЕТЬЄВ Віталій Вікторович")</f>
        <v>БАХМЕТЬЄВ Віталій Вікторович</v>
      </c>
      <c r="G2906" s="7" t="s">
        <v>10</v>
      </c>
      <c r="H2906" s="7">
        <v>0</v>
      </c>
      <c r="I2906" s="8" t="str">
        <f ca="1">IFERROR(__xludf.DUMMYFUNCTION("IF
(
G2907=""фізична особа""
,
VLOOKUP(H2907,IMPORTRANGE(""https://docs.google.com/spreadsheets/d/14Bd19lYaqBhU8_DElYkX7l4wRkHqqCUFNJY4AfY3kHU/edit?usp=sharing  #gid=0"",""фіз особи new!relations_name""),6,FALSE)
,
(IF
(
G2907=""юридична особа""
,
VLOOKUP"&amp;"(H2907,IMPORTRANGE(""https://docs.google.com/spreadsheets/d/14Bd19lYaqBhU8_DElYkX7l4wRkHqqCUFNJY4AfY3kHU/edit?usp=sharing  #gid=0"",""фіз особи new!relations_name_uo""),7,FALSE)
,
)
))"),"#N/A")</f>
        <v>#N/A</v>
      </c>
      <c r="J2906" s="7" t="s">
        <v>15</v>
      </c>
    </row>
    <row r="2907" spans="1:10" ht="13.2">
      <c r="A2907" s="7">
        <v>2906</v>
      </c>
      <c r="B2907" s="7">
        <v>1</v>
      </c>
      <c r="C2907" s="7" t="s">
        <v>10</v>
      </c>
      <c r="D2907" s="7">
        <v>844</v>
      </c>
      <c r="E2907" s="7" t="s">
        <v>17</v>
      </c>
      <c r="F2907" s="8" t="str">
        <f ca="1">IFERROR(__xludf.DUMMYFUNCTION("IF
(
C2908=""фізична особа""
,
VLOOKUP(D2908,IMPORTRANGE(""https://docs.google.com/spreadsheets/d/14Bd19lYaqBhU8_DElYkX7l4wRkHqqCUFNJY4AfY3kHU/edit?usp=sharing  #gid=0"",""фіз особи new!relations_name""),6,FALSE)
,
(IF
(
C2908=""юридична особа""
,
VLOOKUP"&amp;"(D2908,IMPORTRANGE(""https://docs.google.com/spreadsheets/d/14Bd19lYaqBhU8_DElYkX7l4wRkHqqCUFNJY4AfY3kHU/edit?usp=sharing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G2907" s="7" t="s">
        <v>10</v>
      </c>
      <c r="H2907" s="7">
        <v>0</v>
      </c>
      <c r="I2907" s="8" t="str">
        <f ca="1">IFERROR(__xludf.DUMMYFUNCTION("IF
(
G2908=""фізична особа""
,
VLOOKUP(H2908,IMPORTRANGE(""https://docs.google.com/spreadsheets/d/14Bd19lYaqBhU8_DElYkX7l4wRkHqqCUFNJY4AfY3kHU/edit?usp=sharing  #gid=0"",""фіз особи new!relations_name""),6,FALSE)
,
(IF
(
G2908=""юридична особа""
,
VLOOKUP"&amp;"(H2908,IMPORTRANGE(""https://docs.google.com/spreadsheets/d/14Bd19lYaqBhU8_DElYkX7l4wRkHqqCUFNJY4AfY3kHU/edit?usp=sharing  #gid=0"",""фіз особи new!relations_name_uo""),7,FALSE)
,
)
))"),"#N/A")</f>
        <v>#N/A</v>
      </c>
      <c r="J2907" s="7" t="s">
        <v>12</v>
      </c>
    </row>
    <row r="2908" spans="1:10" ht="13.2">
      <c r="A2908" s="7">
        <v>2907</v>
      </c>
      <c r="B2908" s="7">
        <v>1</v>
      </c>
      <c r="C2908" s="7" t="s">
        <v>10</v>
      </c>
      <c r="D2908" s="7">
        <v>844</v>
      </c>
      <c r="E2908" s="7" t="s">
        <v>17</v>
      </c>
      <c r="F2908" s="8" t="str">
        <f ca="1">IFERROR(__xludf.DUMMYFUNCTION("IF
(
C2909=""фізична особа""
,
VLOOKUP(D2909,IMPORTRANGE(""https://docs.google.com/spreadsheets/d/14Bd19lYaqBhU8_DElYkX7l4wRkHqqCUFNJY4AfY3kHU/edit?usp=sharing  #gid=0"",""фіз особи new!relations_name""),6,FALSE)
,
(IF
(
C2909=""юридична особа""
,
VLOOKUP"&amp;"(D2909,IMPORTRANGE(""https://docs.google.com/spreadsheets/d/14Bd19lYaqBhU8_DElYkX7l4wRkHqqCUFNJY4AfY3kHU/edit?usp=sharing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G2908" s="7" t="s">
        <v>10</v>
      </c>
      <c r="H2908" s="7">
        <v>0</v>
      </c>
      <c r="I2908" s="8" t="str">
        <f ca="1">IFERROR(__xludf.DUMMYFUNCTION("IF
(
G2909=""фізична особа""
,
VLOOKUP(H2909,IMPORTRANGE(""https://docs.google.com/spreadsheets/d/14Bd19lYaqBhU8_DElYkX7l4wRkHqqCUFNJY4AfY3kHU/edit?usp=sharing  #gid=0"",""фіз особи new!relations_name""),6,FALSE)
,
(IF
(
G2909=""юридична особа""
,
VLOOKUP"&amp;"(H2909,IMPORTRANGE(""https://docs.google.com/spreadsheets/d/14Bd19lYaqBhU8_DElYkX7l4wRkHqqCUFNJY4AfY3kHU/edit?usp=sharing  #gid=0"",""фіз особи new!relations_name_uo""),7,FALSE)
,
)
))"),"#N/A")</f>
        <v>#N/A</v>
      </c>
      <c r="J2908" s="7" t="s">
        <v>21</v>
      </c>
    </row>
    <row r="2909" spans="1:10" ht="13.2">
      <c r="A2909" s="7">
        <v>2908</v>
      </c>
      <c r="B2909" s="7">
        <v>1</v>
      </c>
      <c r="C2909" s="7" t="s">
        <v>10</v>
      </c>
      <c r="D2909" s="7">
        <v>844</v>
      </c>
      <c r="E2909" s="7" t="s">
        <v>14</v>
      </c>
      <c r="F2909" s="8" t="str">
        <f ca="1">IFERROR(__xludf.DUMMYFUNCTION("IF
(
C2910=""фізична особа""
,
VLOOKUP(D2910,IMPORTRANGE(""https://docs.google.com/spreadsheets/d/14Bd19lYaqBhU8_DElYkX7l4wRkHqqCUFNJY4AfY3kHU/edit?usp=sharing  #gid=0"",""фіз особи new!relations_name""),6,FALSE)
,
(IF
(
C2910=""юридична особа""
,
VLOOKUP"&amp;"(D2910,IMPORTRANGE(""https://docs.google.com/spreadsheets/d/14Bd19lYaqBhU8_DElYkX7l4wRkHqqCUFNJY4AfY3kHU/edit?usp=sharing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G2909" s="7" t="s">
        <v>10</v>
      </c>
      <c r="H2909" s="7">
        <v>4832</v>
      </c>
      <c r="I2909" s="8" t="str">
        <f ca="1">IFERROR(__xludf.DUMMYFUNCTION("IF
(
G2910=""фізична особа""
,
VLOOKUP(H2910,IMPORTRANGE(""https://docs.google.com/spreadsheets/d/14Bd19lYaqBhU8_DElYkX7l4wRkHqqCUFNJY4AfY3kHU/edit?usp=sharing  #gid=0"",""фіз особи new!relations_name""),6,FALSE)
,
(IF
(
G2910=""юридична особа""
,
VLOOKUP"&amp;"(H2910,IMPORTRANGE(""https://docs.google.com/spreadsheets/d/14Bd19lYaqBhU8_DElYkX7l4wRkHqqCUFNJY4AfY3kHU/edit?usp=sharing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J2909" s="7" t="s">
        <v>15</v>
      </c>
    </row>
    <row r="2910" spans="1:10" ht="13.2">
      <c r="A2910" s="7">
        <v>2909</v>
      </c>
      <c r="B2910" s="7">
        <v>1</v>
      </c>
      <c r="C2910" s="7" t="s">
        <v>10</v>
      </c>
      <c r="D2910" s="7">
        <v>44</v>
      </c>
      <c r="E2910" s="7" t="s">
        <v>12</v>
      </c>
      <c r="F2910" s="8" t="str">
        <f ca="1">IFERROR(__xludf.DUMMYFUNCTION("IF
(
C2911=""фізична особа""
,
VLOOKUP(D2911,IMPORTRANGE(""https://docs.google.com/spreadsheets/d/14Bd19lYaqBhU8_DElYkX7l4wRkHqqCUFNJY4AfY3kHU/edit?usp=sharing  #gid=0"",""фіз особи new!relations_name""),6,FALSE)
,
(IF
(
C2911=""юридична особа""
,
VLOOKUP"&amp;"(D2911,IMPORTRANGE(""https://docs.google.com/spreadsheets/d/14Bd19lYaqBhU8_DElYkX7l4wRkHqqCUFNJY4AfY3kHU/edit?usp=sharing  #gid=0"",""фіз особи new!relations_name_uo""),7,FALSE)
,
)
))"),"ШЕВЧЕНКО Андрій Анатолійович")</f>
        <v>ШЕВЧЕНКО Андрій Анатолійович</v>
      </c>
      <c r="G2910" s="7" t="s">
        <v>10</v>
      </c>
      <c r="H2910" s="7">
        <v>4833</v>
      </c>
      <c r="I2910" s="8" t="str">
        <f ca="1">IFERROR(__xludf.DUMMYFUNCTION("IF
(
G2911=""фізична особа""
,
VLOOKUP(H2911,IMPORTRANGE(""https://docs.google.com/spreadsheets/d/14Bd19lYaqBhU8_DElYkX7l4wRkHqqCUFNJY4AfY3kHU/edit?usp=sharing  #gid=0"",""фіз особи new!relations_name""),6,FALSE)
,
(IF
(
G2911=""юридична особа""
,
VLOOKUP"&amp;"(H2911,IMPORTRANGE(""https://docs.google.com/spreadsheets/d/14Bd19lYaqBhU8_DElYkX7l4wRkHqqCUFNJY4AfY3kHU/edit?usp=sharing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J2910" s="7" t="s">
        <v>13</v>
      </c>
    </row>
    <row r="2911" spans="1:10" ht="13.2">
      <c r="A2911" s="7">
        <v>2910</v>
      </c>
      <c r="B2911" s="7">
        <v>1</v>
      </c>
      <c r="C2911" s="7" t="s">
        <v>10</v>
      </c>
      <c r="D2911" s="7">
        <v>845</v>
      </c>
      <c r="E2911" s="7" t="s">
        <v>14</v>
      </c>
      <c r="F2911" s="8" t="str">
        <f ca="1">IFERROR(__xludf.DUMMYFUNCTION("IF
(
C2912=""фізична особа""
,
VLOOKUP(D2912,IMPORTRANGE(""https://docs.google.com/spreadsheets/d/14Bd19lYaqBhU8_DElYkX7l4wRkHqqCUFNJY4AfY3kHU/edit?usp=sharing  #gid=0"",""фіз особи new!relations_name""),6,FALSE)
,
(IF
(
C2912=""юридична особа""
,
VLOOKUP"&amp;"(D2912,IMPORTRANGE(""https://docs.google.com/spreadsheets/d/14Bd19lYaqBhU8_DElYkX7l4wRkHqqCUFNJY4AfY3kHU/edit?usp=sharing  #gid=0"",""фіз особи new!relations_name_uo""),7,FALSE)
,
)
))"),"ПРОНЮШКІН Олександр Юрійович")</f>
        <v>ПРОНЮШКІН Олександр Юрійович</v>
      </c>
      <c r="G2911" s="7" t="s">
        <v>10</v>
      </c>
      <c r="H2911" s="7">
        <v>0</v>
      </c>
      <c r="I2911" s="8" t="str">
        <f ca="1">IFERROR(__xludf.DUMMYFUNCTION("IF
(
G2912=""фізична особа""
,
VLOOKUP(H2912,IMPORTRANGE(""https://docs.google.com/spreadsheets/d/14Bd19lYaqBhU8_DElYkX7l4wRkHqqCUFNJY4AfY3kHU/edit?usp=sharing  #gid=0"",""фіз особи new!relations_name""),6,FALSE)
,
(IF
(
G2912=""юридична особа""
,
VLOOKUP"&amp;"(H2912,IMPORTRANGE(""https://docs.google.com/spreadsheets/d/14Bd19lYaqBhU8_DElYkX7l4wRkHqqCUFNJY4AfY3kHU/edit?usp=sharing  #gid=0"",""фіз особи new!relations_name_uo""),7,FALSE)
,
)
))"),"#N/A")</f>
        <v>#N/A</v>
      </c>
      <c r="J2911" s="7" t="s">
        <v>15</v>
      </c>
    </row>
    <row r="2912" spans="1:10" ht="13.2">
      <c r="A2912" s="7">
        <v>2911</v>
      </c>
      <c r="B2912" s="7">
        <v>1</v>
      </c>
      <c r="C2912" s="7" t="s">
        <v>10</v>
      </c>
      <c r="D2912" s="7">
        <v>846</v>
      </c>
      <c r="E2912" s="7" t="s">
        <v>16</v>
      </c>
      <c r="F2912" s="8" t="str">
        <f ca="1">IFERROR(__xludf.DUMMYFUNCTION("IF
(
C2913=""фізична особа""
,
VLOOKUP(D2913,IMPORTRANGE(""https://docs.google.com/spreadsheets/d/14Bd19lYaqBhU8_DElYkX7l4wRkHqqCUFNJY4AfY3kHU/edit?usp=sharing  #gid=0"",""фіз особи new!relations_name""),6,FALSE)
,
(IF
(
C2913=""юридична особа""
,
VLOOKUP"&amp;"(D2913,IMPORTRANGE(""https://docs.google.com/spreadsheets/d/14Bd19lYaqBhU8_DElYkX7l4wRkHqqCUFNJY4AfY3kHU/edit?usp=sharing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G2912" s="7" t="s">
        <v>10</v>
      </c>
      <c r="H2912" s="7">
        <v>669</v>
      </c>
      <c r="I2912" s="8" t="str">
        <f ca="1">IFERROR(__xludf.DUMMYFUNCTION("IF
(
G2913=""фізична особа""
,
VLOOKUP(H2913,IMPORTRANGE(""https://docs.google.com/spreadsheets/d/14Bd19lYaqBhU8_DElYkX7l4wRkHqqCUFNJY4AfY3kHU/edit?usp=sharing  #gid=0"",""фіз особи new!relations_name""),6,FALSE)
,
(IF
(
G2913=""юридична особа""
,
VLOOKUP"&amp;"(H2913,IMPORTRANGE(""https://docs.google.com/spreadsheets/d/14Bd19lYaqBhU8_DElYkX7l4wRkHqqCUFNJY4AfY3kHU/edit?usp=sharing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J2912" s="7" t="s">
        <v>16</v>
      </c>
    </row>
    <row r="2913" spans="1:10" ht="13.2">
      <c r="A2913" s="7">
        <v>2912</v>
      </c>
      <c r="B2913" s="7">
        <v>1</v>
      </c>
      <c r="C2913" s="7" t="s">
        <v>10</v>
      </c>
      <c r="D2913" s="7">
        <v>846</v>
      </c>
      <c r="E2913" s="7" t="s">
        <v>48</v>
      </c>
      <c r="F2913" s="8" t="str">
        <f ca="1">IFERROR(__xludf.DUMMYFUNCTION("IF
(
C2914=""фізична особа""
,
VLOOKUP(D2914,IMPORTRANGE(""https://docs.google.com/spreadsheets/d/14Bd19lYaqBhU8_DElYkX7l4wRkHqqCUFNJY4AfY3kHU/edit?usp=sharing  #gid=0"",""фіз особи new!relations_name""),6,FALSE)
,
(IF
(
C2914=""юридична особа""
,
VLOOKUP"&amp;"(D2914,IMPORTRANGE(""https://docs.google.com/spreadsheets/d/14Bd19lYaqBhU8_DElYkX7l4wRkHqqCUFNJY4AfY3kHU/edit?usp=sharing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G2913" s="7" t="s">
        <v>10</v>
      </c>
      <c r="H2913" s="7">
        <v>0</v>
      </c>
      <c r="I2913" s="8" t="str">
        <f ca="1">IFERROR(__xludf.DUMMYFUNCTION("IF
(
G2914=""фізична особа""
,
VLOOKUP(H2914,IMPORTRANGE(""https://docs.google.com/spreadsheets/d/14Bd19lYaqBhU8_DElYkX7l4wRkHqqCUFNJY4AfY3kHU/edit?usp=sharing  #gid=0"",""фіз особи new!relations_name""),6,FALSE)
,
(IF
(
G2914=""юридична особа""
,
VLOOKUP"&amp;"(H2914,IMPORTRANGE(""https://docs.google.com/spreadsheets/d/14Bd19lYaqBhU8_DElYkX7l4wRkHqqCUFNJY4AfY3kHU/edit?usp=sharing  #gid=0"",""фіз особи new!relations_name_uo""),7,FALSE)
,
)
))"),"#N/A")</f>
        <v>#N/A</v>
      </c>
      <c r="J2913" s="7" t="s">
        <v>48</v>
      </c>
    </row>
    <row r="2914" spans="1:10" ht="13.2">
      <c r="A2914" s="7">
        <v>2913</v>
      </c>
      <c r="B2914" s="7">
        <v>1</v>
      </c>
      <c r="C2914" s="7" t="s">
        <v>10</v>
      </c>
      <c r="D2914" s="7">
        <v>846</v>
      </c>
      <c r="E2914" s="7" t="s">
        <v>14</v>
      </c>
      <c r="F2914" s="8" t="str">
        <f ca="1">IFERROR(__xludf.DUMMYFUNCTION("IF
(
C2915=""фізична особа""
,
VLOOKUP(D2915,IMPORTRANGE(""https://docs.google.com/spreadsheets/d/14Bd19lYaqBhU8_DElYkX7l4wRkHqqCUFNJY4AfY3kHU/edit?usp=sharing  #gid=0"",""фіз особи new!relations_name""),6,FALSE)
,
(IF
(
C2915=""юридична особа""
,
VLOOKUP"&amp;"(D2915,IMPORTRANGE(""https://docs.google.com/spreadsheets/d/14Bd19lYaqBhU8_DElYkX7l4wRkHqqCUFNJY4AfY3kHU/edit?usp=sharing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G2914" s="7" t="s">
        <v>10</v>
      </c>
      <c r="H2914" s="7">
        <v>4304</v>
      </c>
      <c r="I2914" s="8" t="str">
        <f ca="1">IFERROR(__xludf.DUMMYFUNCTION("IF
(
G2915=""фізична особа""
,
VLOOKUP(H2915,IMPORTRANGE(""https://docs.google.com/spreadsheets/d/14Bd19lYaqBhU8_DElYkX7l4wRkHqqCUFNJY4AfY3kHU/edit?usp=sharing  #gid=0"",""фіз особи new!relations_name""),6,FALSE)
,
(IF
(
G2915=""юридична особа""
,
VLOOKUP"&amp;"(H2915,IMPORTRANGE(""https://docs.google.com/spreadsheets/d/14Bd19lYaqBhU8_DElYkX7l4wRkHqqCUFNJY4AfY3kHU/edit?usp=sharing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J2914" s="7" t="s">
        <v>15</v>
      </c>
    </row>
    <row r="2915" spans="1:10" ht="13.2">
      <c r="A2915" s="7">
        <v>2914</v>
      </c>
      <c r="B2915" s="7">
        <v>1</v>
      </c>
      <c r="C2915" s="7" t="s">
        <v>10</v>
      </c>
      <c r="D2915" s="7">
        <v>846</v>
      </c>
      <c r="E2915" s="7" t="s">
        <v>12</v>
      </c>
      <c r="F2915" s="8" t="str">
        <f ca="1">IFERROR(__xludf.DUMMYFUNCTION("IF
(
C2916=""фізична особа""
,
VLOOKUP(D2916,IMPORTRANGE(""https://docs.google.com/spreadsheets/d/14Bd19lYaqBhU8_DElYkX7l4wRkHqqCUFNJY4AfY3kHU/edit?usp=sharing  #gid=0"",""фіз особи new!relations_name""),6,FALSE)
,
(IF
(
C2916=""юридична особа""
,
VLOOKUP"&amp;"(D2916,IMPORTRANGE(""https://docs.google.com/spreadsheets/d/14Bd19lYaqBhU8_DElYkX7l4wRkHqqCUFNJY4AfY3kHU/edit?usp=sharing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G2915" s="7" t="s">
        <v>10</v>
      </c>
      <c r="H2915" s="7">
        <v>4305</v>
      </c>
      <c r="I2915" s="8" t="str">
        <f ca="1">IFERROR(__xludf.DUMMYFUNCTION("IF
(
G2916=""фізична особа""
,
VLOOKUP(H2916,IMPORTRANGE(""https://docs.google.com/spreadsheets/d/14Bd19lYaqBhU8_DElYkX7l4wRkHqqCUFNJY4AfY3kHU/edit?usp=sharing  #gid=0"",""фіз особи new!relations_name""),6,FALSE)
,
(IF
(
G2916=""юридична особа""
,
VLOOKUP"&amp;"(H2916,IMPORTRANGE(""https://docs.google.com/spreadsheets/d/14Bd19lYaqBhU8_DElYkX7l4wRkHqqCUFNJY4AfY3kHU/edit?usp=sharing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J2915" s="7" t="s">
        <v>17</v>
      </c>
    </row>
    <row r="2916" spans="1:10" ht="13.2">
      <c r="A2916" s="7">
        <v>2915</v>
      </c>
      <c r="B2916" s="7">
        <v>1</v>
      </c>
      <c r="C2916" s="7" t="s">
        <v>10</v>
      </c>
      <c r="D2916" s="7">
        <v>846</v>
      </c>
      <c r="E2916" s="7" t="s">
        <v>12</v>
      </c>
      <c r="F2916" s="8" t="str">
        <f ca="1">IFERROR(__xludf.DUMMYFUNCTION("IF
(
C2917=""фізична особа""
,
VLOOKUP(D2917,IMPORTRANGE(""https://docs.google.com/spreadsheets/d/14Bd19lYaqBhU8_DElYkX7l4wRkHqqCUFNJY4AfY3kHU/edit?usp=sharing  #gid=0"",""фіз особи new!relations_name""),6,FALSE)
,
(IF
(
C2917=""юридична особа""
,
VLOOKUP"&amp;"(D2917,IMPORTRANGE(""https://docs.google.com/spreadsheets/d/14Bd19lYaqBhU8_DElYkX7l4wRkHqqCUFNJY4AfY3kHU/edit?usp=sharing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G2916" s="7" t="s">
        <v>10</v>
      </c>
      <c r="H2916" s="7">
        <v>4303</v>
      </c>
      <c r="I2916" s="8" t="str">
        <f ca="1">IFERROR(__xludf.DUMMYFUNCTION("IF
(
G2917=""фізична особа""
,
VLOOKUP(H2917,IMPORTRANGE(""https://docs.google.com/spreadsheets/d/14Bd19lYaqBhU8_DElYkX7l4wRkHqqCUFNJY4AfY3kHU/edit?usp=sharing  #gid=0"",""фіз особи new!relations_name""),6,FALSE)
,
(IF
(
G2917=""юридична особа""
,
VLOOKUP"&amp;"(H2917,IMPORTRANGE(""https://docs.google.com/spreadsheets/d/14Bd19lYaqBhU8_DElYkX7l4wRkHqqCUFNJY4AfY3kHU/edit?usp=sharing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J2916" s="7" t="s">
        <v>17</v>
      </c>
    </row>
    <row r="2917" spans="1:10" ht="13.2">
      <c r="A2917" s="7">
        <v>2916</v>
      </c>
      <c r="B2917" s="7">
        <v>1</v>
      </c>
      <c r="C2917" s="7" t="s">
        <v>10</v>
      </c>
      <c r="D2917" s="7">
        <v>847</v>
      </c>
      <c r="E2917" s="7" t="s">
        <v>29</v>
      </c>
      <c r="F2917" s="8" t="str">
        <f ca="1">IFERROR(__xludf.DUMMYFUNCTION("IF
(
C2918=""фізична особа""
,
VLOOKUP(D2918,IMPORTRANGE(""https://docs.google.com/spreadsheets/d/14Bd19lYaqBhU8_DElYkX7l4wRkHqqCUFNJY4AfY3kHU/edit?usp=sharing  #gid=0"",""фіз особи new!relations_name""),6,FALSE)
,
(IF
(
C2918=""юридична особа""
,
VLOOKUP"&amp;"(D2918,IMPORTRANGE(""https://docs.google.com/spreadsheets/d/14Bd19lYaqBhU8_DElYkX7l4wRkHqqCUFNJY4AfY3kHU/edit?usp=sharing  #gid=0"",""фіз особи new!relations_name_uo""),7,FALSE)
,
)
))"),"ІЛЬЇНИХ Володимир Олексійович")</f>
        <v>ІЛЬЇНИХ Володимир Олексійович</v>
      </c>
      <c r="G2917" s="7" t="s">
        <v>10</v>
      </c>
      <c r="H2917" s="7">
        <v>0</v>
      </c>
      <c r="I2917" s="8" t="str">
        <f ca="1">IFERROR(__xludf.DUMMYFUNCTION("IF
(
G2918=""фізична особа""
,
VLOOKUP(H2918,IMPORTRANGE(""https://docs.google.com/spreadsheets/d/14Bd19lYaqBhU8_DElYkX7l4wRkHqqCUFNJY4AfY3kHU/edit?usp=sharing  #gid=0"",""фіз особи new!relations_name""),6,FALSE)
,
(IF
(
G2918=""юридична особа""
,
VLOOKUP"&amp;"(H2918,IMPORTRANGE(""https://docs.google.com/spreadsheets/d/14Bd19lYaqBhU8_DElYkX7l4wRkHqqCUFNJY4AfY3kHU/edit?usp=sharing  #gid=0"",""фіз особи new!relations_name_uo""),7,FALSE)
,
)
))"),"#N/A")</f>
        <v>#N/A</v>
      </c>
      <c r="J2917" s="7" t="s">
        <v>28</v>
      </c>
    </row>
    <row r="2918" spans="1:10" ht="13.2">
      <c r="A2918" s="7">
        <v>2917</v>
      </c>
      <c r="B2918" s="7">
        <v>1</v>
      </c>
      <c r="C2918" s="7" t="s">
        <v>10</v>
      </c>
      <c r="D2918" s="7">
        <v>848</v>
      </c>
      <c r="E2918" s="7" t="s">
        <v>14</v>
      </c>
      <c r="F2918" s="8" t="str">
        <f ca="1">IFERROR(__xludf.DUMMYFUNCTION("IF
(
C2919=""фізична особа""
,
VLOOKUP(D2919,IMPORTRANGE(""https://docs.google.com/spreadsheets/d/14Bd19lYaqBhU8_DElYkX7l4wRkHqqCUFNJY4AfY3kHU/edit?usp=sharing  #gid=0"",""фіз особи new!relations_name""),6,FALSE)
,
(IF
(
C2919=""юридична особа""
,
VLOOKUP"&amp;"(D2919,IMPORTRANGE(""https://docs.google.com/spreadsheets/d/14Bd19lYaqBhU8_DElYkX7l4wRkHqqCUFNJY4AfY3kHU/edit?usp=sharing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G2918" s="7" t="s">
        <v>10</v>
      </c>
      <c r="H2918" s="7">
        <v>15627</v>
      </c>
      <c r="I2918" s="8" t="str">
        <f ca="1">IFERROR(__xludf.DUMMYFUNCTION("IF
(
G2919=""фізична особа""
,
VLOOKUP(H2919,IMPORTRANGE(""https://docs.google.com/spreadsheets/d/14Bd19lYaqBhU8_DElYkX7l4wRkHqqCUFNJY4AfY3kHU/edit?usp=sharing  #gid=0"",""фіз особи new!relations_name""),6,FALSE)
,
(IF
(
G2919=""юридична особа""
,
VLOOKUP"&amp;"(H2919,IMPORTRANGE(""https://docs.google.com/spreadsheets/d/14Bd19lYaqBhU8_DElYkX7l4wRkHqqCUFNJY4AfY3kHU/edit?usp=sharing  #gid=0"",""фіз особи new!relations_name_uo""),7,FALSE)
,
)
))"),"КАРПЯК Марина Олександрівна")</f>
        <v>КАРПЯК Марина Олександрівна</v>
      </c>
      <c r="J2918" s="7" t="s">
        <v>15</v>
      </c>
    </row>
    <row r="2919" spans="1:10" ht="13.2">
      <c r="A2919" s="7">
        <v>2918</v>
      </c>
      <c r="B2919" s="7">
        <v>1</v>
      </c>
      <c r="C2919" s="7" t="s">
        <v>10</v>
      </c>
      <c r="D2919" s="7">
        <v>848</v>
      </c>
      <c r="E2919" s="7" t="s">
        <v>17</v>
      </c>
      <c r="F2919" s="8" t="str">
        <f ca="1">IFERROR(__xludf.DUMMYFUNCTION("IF
(
C2920=""фізична особа""
,
VLOOKUP(D2920,IMPORTRANGE(""https://docs.google.com/spreadsheets/d/14Bd19lYaqBhU8_DElYkX7l4wRkHqqCUFNJY4AfY3kHU/edit?usp=sharing  #gid=0"",""фіз особи new!relations_name""),6,FALSE)
,
(IF
(
C2920=""юридична особа""
,
VLOOKUP"&amp;"(D2920,IMPORTRANGE(""https://docs.google.com/spreadsheets/d/14Bd19lYaqBhU8_DElYkX7l4wRkHqqCUFNJY4AfY3kHU/edit?usp=sharing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G2919" s="7" t="s">
        <v>10</v>
      </c>
      <c r="H2919" s="7">
        <v>15628</v>
      </c>
      <c r="I2919" s="8" t="str">
        <f ca="1">IFERROR(__xludf.DUMMYFUNCTION("IF
(
G2920=""фізична особа""
,
VLOOKUP(H2920,IMPORTRANGE(""https://docs.google.com/spreadsheets/d/14Bd19lYaqBhU8_DElYkX7l4wRkHqqCUFNJY4AfY3kHU/edit?usp=sharing  #gid=0"",""фіз особи new!relations_name""),6,FALSE)
,
(IF
(
G2920=""юридична особа""
,
VLOOKUP"&amp;"(H2920,IMPORTRANGE(""https://docs.google.com/spreadsheets/d/14Bd19lYaqBhU8_DElYkX7l4wRkHqqCUFNJY4AfY3kHU/edit?usp=sharing  #gid=0"",""фіз особи new!relations_name_uo""),7,FALSE)
,
)
))"),"ДЄДОВА Тетяна Веніамінівна")</f>
        <v>ДЄДОВА Тетяна Веніамінівна</v>
      </c>
      <c r="J2919" s="7" t="s">
        <v>21</v>
      </c>
    </row>
    <row r="2920" spans="1:10" ht="13.2">
      <c r="A2920" s="7">
        <v>2919</v>
      </c>
      <c r="B2920" s="7">
        <v>1</v>
      </c>
      <c r="C2920" s="7" t="s">
        <v>10</v>
      </c>
      <c r="D2920" s="7">
        <v>849</v>
      </c>
      <c r="E2920" s="7" t="s">
        <v>62</v>
      </c>
      <c r="F2920" s="8" t="str">
        <f ca="1">IFERROR(__xludf.DUMMYFUNCTION("IF
(
C2921=""фізична особа""
,
VLOOKUP(D2921,IMPORTRANGE(""https://docs.google.com/spreadsheets/d/14Bd19lYaqBhU8_DElYkX7l4wRkHqqCUFNJY4AfY3kHU/edit?usp=sharing  #gid=0"",""фіз особи new!relations_name""),6,FALSE)
,
(IF
(
C2921=""юридична особа""
,
VLOOKUP"&amp;"(D2921,IMPORTRANGE(""https://docs.google.com/spreadsheets/d/14Bd19lYaqBhU8_DElYkX7l4wRkHqqCUFNJY4AfY3kHU/edit?usp=sharing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0" s="7" t="s">
        <v>10</v>
      </c>
      <c r="H2920" s="7">
        <v>0</v>
      </c>
      <c r="I2920" s="8" t="str">
        <f ca="1">IFERROR(__xludf.DUMMYFUNCTION("IF
(
G2921=""фізична особа""
,
VLOOKUP(H2921,IMPORTRANGE(""https://docs.google.com/spreadsheets/d/14Bd19lYaqBhU8_DElYkX7l4wRkHqqCUFNJY4AfY3kHU/edit?usp=sharing  #gid=0"",""фіз особи new!relations_name""),6,FALSE)
,
(IF
(
G2921=""юридична особа""
,
VLOOKUP"&amp;"(H2921,IMPORTRANGE(""https://docs.google.com/spreadsheets/d/14Bd19lYaqBhU8_DElYkX7l4wRkHqqCUFNJY4AfY3kHU/edit?usp=sharing  #gid=0"",""фіз особи new!relations_name_uo""),7,FALSE)
,
)
))"),"#N/A")</f>
        <v>#N/A</v>
      </c>
      <c r="J2920" s="7" t="s">
        <v>62</v>
      </c>
    </row>
    <row r="2921" spans="1:10" ht="13.2">
      <c r="A2921" s="7">
        <v>2920</v>
      </c>
      <c r="B2921" s="7">
        <v>1</v>
      </c>
      <c r="C2921" s="7" t="s">
        <v>10</v>
      </c>
      <c r="D2921" s="7">
        <v>849</v>
      </c>
      <c r="E2921" s="7" t="s">
        <v>62</v>
      </c>
      <c r="F2921" s="8" t="str">
        <f ca="1">IFERROR(__xludf.DUMMYFUNCTION("IF
(
C2922=""фізична особа""
,
VLOOKUP(D2922,IMPORTRANGE(""https://docs.google.com/spreadsheets/d/14Bd19lYaqBhU8_DElYkX7l4wRkHqqCUFNJY4AfY3kHU/edit?usp=sharing  #gid=0"",""фіз особи new!relations_name""),6,FALSE)
,
(IF
(
C2922=""юридична особа""
,
VLOOKUP"&amp;"(D2922,IMPORTRANGE(""https://docs.google.com/spreadsheets/d/14Bd19lYaqBhU8_DElYkX7l4wRkHqqCUFNJY4AfY3kHU/edit?usp=sharing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1" s="7" t="s">
        <v>10</v>
      </c>
      <c r="H2921" s="7">
        <v>0</v>
      </c>
      <c r="I2921" s="8" t="str">
        <f ca="1">IFERROR(__xludf.DUMMYFUNCTION("IF
(
G2922=""фізична особа""
,
VLOOKUP(H2922,IMPORTRANGE(""https://docs.google.com/spreadsheets/d/14Bd19lYaqBhU8_DElYkX7l4wRkHqqCUFNJY4AfY3kHU/edit?usp=sharing  #gid=0"",""фіз особи new!relations_name""),6,FALSE)
,
(IF
(
G2922=""юридична особа""
,
VLOOKUP"&amp;"(H2922,IMPORTRANGE(""https://docs.google.com/spreadsheets/d/14Bd19lYaqBhU8_DElYkX7l4wRkHqqCUFNJY4AfY3kHU/edit?usp=sharing  #gid=0"",""фіз особи new!relations_name_uo""),7,FALSE)
,
)
))"),"#N/A")</f>
        <v>#N/A</v>
      </c>
      <c r="J2921" s="7" t="s">
        <v>63</v>
      </c>
    </row>
    <row r="2922" spans="1:10" ht="13.2">
      <c r="A2922" s="7">
        <v>2921</v>
      </c>
      <c r="B2922" s="7">
        <v>1</v>
      </c>
      <c r="C2922" s="7" t="s">
        <v>10</v>
      </c>
      <c r="D2922" s="7">
        <v>849</v>
      </c>
      <c r="E2922" s="7" t="s">
        <v>26</v>
      </c>
      <c r="F2922" s="8" t="str">
        <f ca="1">IFERROR(__xludf.DUMMYFUNCTION("IF
(
C2923=""фізична особа""
,
VLOOKUP(D2923,IMPORTRANGE(""https://docs.google.com/spreadsheets/d/14Bd19lYaqBhU8_DElYkX7l4wRkHqqCUFNJY4AfY3kHU/edit?usp=sharing  #gid=0"",""фіз особи new!relations_name""),6,FALSE)
,
(IF
(
C2923=""юридична особа""
,
VLOOKUP"&amp;"(D2923,IMPORTRANGE(""https://docs.google.com/spreadsheets/d/14Bd19lYaqBhU8_DElYkX7l4wRkHqqCUFNJY4AfY3kHU/edit?usp=sharing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2" s="7" t="s">
        <v>10</v>
      </c>
      <c r="H2922" s="7">
        <v>0</v>
      </c>
      <c r="I2922" s="8" t="str">
        <f ca="1">IFERROR(__xludf.DUMMYFUNCTION("IF
(
G2923=""фізична особа""
,
VLOOKUP(H2923,IMPORTRANGE(""https://docs.google.com/spreadsheets/d/14Bd19lYaqBhU8_DElYkX7l4wRkHqqCUFNJY4AfY3kHU/edit?usp=sharing  #gid=0"",""фіз особи new!relations_name""),6,FALSE)
,
(IF
(
G2923=""юридична особа""
,
VLOOKUP"&amp;"(H2923,IMPORTRANGE(""https://docs.google.com/spreadsheets/d/14Bd19lYaqBhU8_DElYkX7l4wRkHqqCUFNJY4AfY3kHU/edit?usp=sharing  #gid=0"",""фіз особи new!relations_name_uo""),7,FALSE)
,
)
))"),"#N/A")</f>
        <v>#N/A</v>
      </c>
      <c r="J2922" s="7" t="s">
        <v>67</v>
      </c>
    </row>
    <row r="2923" spans="1:10" ht="13.2">
      <c r="A2923" s="7">
        <v>2922</v>
      </c>
      <c r="B2923" s="7">
        <v>1</v>
      </c>
      <c r="C2923" s="7" t="s">
        <v>10</v>
      </c>
      <c r="D2923" s="7">
        <v>849</v>
      </c>
      <c r="E2923" s="7" t="s">
        <v>65</v>
      </c>
      <c r="F2923" s="8" t="str">
        <f ca="1">IFERROR(__xludf.DUMMYFUNCTION("IF
(
C2924=""фізична особа""
,
VLOOKUP(D2924,IMPORTRANGE(""https://docs.google.com/spreadsheets/d/14Bd19lYaqBhU8_DElYkX7l4wRkHqqCUFNJY4AfY3kHU/edit?usp=sharing  #gid=0"",""фіз особи new!relations_name""),6,FALSE)
,
(IF
(
C2924=""юридична особа""
,
VLOOKUP"&amp;"(D2924,IMPORTRANGE(""https://docs.google.com/spreadsheets/d/14Bd19lYaqBhU8_DElYkX7l4wRkHqqCUFNJY4AfY3kHU/edit?usp=sharing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3" s="7" t="s">
        <v>10</v>
      </c>
      <c r="H2923" s="7">
        <v>0</v>
      </c>
      <c r="I2923" s="8" t="str">
        <f ca="1">IFERROR(__xludf.DUMMYFUNCTION("IF
(
G2924=""фізична особа""
,
VLOOKUP(H2924,IMPORTRANGE(""https://docs.google.com/spreadsheets/d/14Bd19lYaqBhU8_DElYkX7l4wRkHqqCUFNJY4AfY3kHU/edit?usp=sharing  #gid=0"",""фіз особи new!relations_name""),6,FALSE)
,
(IF
(
G2924=""юридична особа""
,
VLOOKUP"&amp;"(H2924,IMPORTRANGE(""https://docs.google.com/spreadsheets/d/14Bd19lYaqBhU8_DElYkX7l4wRkHqqCUFNJY4AfY3kHU/edit?usp=sharing  #gid=0"",""фіз особи new!relations_name_uo""),7,FALSE)
,
)
))"),"#N/A")</f>
        <v>#N/A</v>
      </c>
      <c r="J2923" s="7" t="s">
        <v>65</v>
      </c>
    </row>
    <row r="2924" spans="1:10" ht="13.2">
      <c r="A2924" s="7">
        <v>2923</v>
      </c>
      <c r="B2924" s="7">
        <v>1</v>
      </c>
      <c r="C2924" s="7" t="s">
        <v>10</v>
      </c>
      <c r="D2924" s="7">
        <v>849</v>
      </c>
      <c r="E2924" s="7" t="s">
        <v>65</v>
      </c>
      <c r="F2924" s="8" t="str">
        <f ca="1">IFERROR(__xludf.DUMMYFUNCTION("IF
(
C2925=""фізична особа""
,
VLOOKUP(D2925,IMPORTRANGE(""https://docs.google.com/spreadsheets/d/14Bd19lYaqBhU8_DElYkX7l4wRkHqqCUFNJY4AfY3kHU/edit?usp=sharing  #gid=0"",""фіз особи new!relations_name""),6,FALSE)
,
(IF
(
C2925=""юридична особа""
,
VLOOKUP"&amp;"(D2925,IMPORTRANGE(""https://docs.google.com/spreadsheets/d/14Bd19lYaqBhU8_DElYkX7l4wRkHqqCUFNJY4AfY3kHU/edit?usp=sharing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4" s="7" t="s">
        <v>10</v>
      </c>
      <c r="H2924" s="7">
        <v>0</v>
      </c>
      <c r="I2924" s="8" t="str">
        <f ca="1">IFERROR(__xludf.DUMMYFUNCTION("IF
(
G2925=""фізична особа""
,
VLOOKUP(H2925,IMPORTRANGE(""https://docs.google.com/spreadsheets/d/14Bd19lYaqBhU8_DElYkX7l4wRkHqqCUFNJY4AfY3kHU/edit?usp=sharing  #gid=0"",""фіз особи new!relations_name""),6,FALSE)
,
(IF
(
G2925=""юридична особа""
,
VLOOKUP"&amp;"(H2925,IMPORTRANGE(""https://docs.google.com/spreadsheets/d/14Bd19lYaqBhU8_DElYkX7l4wRkHqqCUFNJY4AfY3kHU/edit?usp=sharing  #gid=0"",""фіз особи new!relations_name_uo""),7,FALSE)
,
)
))"),"#N/A")</f>
        <v>#N/A</v>
      </c>
      <c r="J2924" s="7" t="s">
        <v>65</v>
      </c>
    </row>
    <row r="2925" spans="1:10" ht="13.2">
      <c r="A2925" s="7">
        <v>2924</v>
      </c>
      <c r="B2925" s="7">
        <v>1</v>
      </c>
      <c r="C2925" s="7" t="s">
        <v>10</v>
      </c>
      <c r="D2925" s="7">
        <v>849</v>
      </c>
      <c r="E2925" s="7" t="s">
        <v>29</v>
      </c>
      <c r="F2925" s="8" t="str">
        <f ca="1">IFERROR(__xludf.DUMMYFUNCTION("IF
(
C2926=""фізична особа""
,
VLOOKUP(D2926,IMPORTRANGE(""https://docs.google.com/spreadsheets/d/14Bd19lYaqBhU8_DElYkX7l4wRkHqqCUFNJY4AfY3kHU/edit?usp=sharing  #gid=0"",""фіз особи new!relations_name""),6,FALSE)
,
(IF
(
C2926=""юридична особа""
,
VLOOKUP"&amp;"(D2926,IMPORTRANGE(""https://docs.google.com/spreadsheets/d/14Bd19lYaqBhU8_DElYkX7l4wRkHqqCUFNJY4AfY3kHU/edit?usp=sharing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5" s="7" t="s">
        <v>10</v>
      </c>
      <c r="H2925" s="7">
        <v>2325</v>
      </c>
      <c r="I2925" s="8" t="str">
        <f ca="1">IFERROR(__xludf.DUMMYFUNCTION("IF
(
G2926=""фізична особа""
,
VLOOKUP(H2926,IMPORTRANGE(""https://docs.google.com/spreadsheets/d/14Bd19lYaqBhU8_DElYkX7l4wRkHqqCUFNJY4AfY3kHU/edit?usp=sharing  #gid=0"",""фіз особи new!relations_name""),6,FALSE)
,
(IF
(
G2926=""юридична особа""
,
VLOOKUP"&amp;"(H2926,IMPORTRANGE(""https://docs.google.com/spreadsheets/d/14Bd19lYaqBhU8_DElYkX7l4wRkHqqCUFNJY4AfY3kHU/edit?usp=sharing  #gid=0"",""фіз особи new!relations_name_uo""),7,FALSE)
,
)
))"),"ШУЛІКА Віталій Дмитрович")</f>
        <v>ШУЛІКА Віталій Дмитрович</v>
      </c>
      <c r="J2925" s="7" t="s">
        <v>28</v>
      </c>
    </row>
    <row r="2926" spans="1:10" ht="13.2">
      <c r="A2926" s="7">
        <v>2925</v>
      </c>
      <c r="B2926" s="7">
        <v>1</v>
      </c>
      <c r="C2926" s="7" t="s">
        <v>10</v>
      </c>
      <c r="D2926" s="7">
        <v>849</v>
      </c>
      <c r="E2926" s="7" t="s">
        <v>41</v>
      </c>
      <c r="F2926" s="8" t="str">
        <f ca="1">IFERROR(__xludf.DUMMYFUNCTION("IF
(
C2927=""фізична особа""
,
VLOOKUP(D2927,IMPORTRANGE(""https://docs.google.com/spreadsheets/d/14Bd19lYaqBhU8_DElYkX7l4wRkHqqCUFNJY4AfY3kHU/edit?usp=sharing  #gid=0"",""фіз особи new!relations_name""),6,FALSE)
,
(IF
(
C2927=""юридична особа""
,
VLOOKUP"&amp;"(D2927,IMPORTRANGE(""https://docs.google.com/spreadsheets/d/14Bd19lYaqBhU8_DElYkX7l4wRkHqqCUFNJY4AfY3kHU/edit?usp=sharing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6" s="7" t="s">
        <v>10</v>
      </c>
      <c r="H2926" s="7">
        <v>0</v>
      </c>
      <c r="I2926" s="8" t="str">
        <f ca="1">IFERROR(__xludf.DUMMYFUNCTION("IF
(
G2927=""фізична особа""
,
VLOOKUP(H2927,IMPORTRANGE(""https://docs.google.com/spreadsheets/d/14Bd19lYaqBhU8_DElYkX7l4wRkHqqCUFNJY4AfY3kHU/edit?usp=sharing  #gid=0"",""фіз особи new!relations_name""),6,FALSE)
,
(IF
(
G2927=""юридична особа""
,
VLOOKUP"&amp;"(H2927,IMPORTRANGE(""https://docs.google.com/spreadsheets/d/14Bd19lYaqBhU8_DElYkX7l4wRkHqqCUFNJY4AfY3kHU/edit?usp=sharing  #gid=0"",""фіз особи new!relations_name_uo""),7,FALSE)
,
)
))"),"#N/A")</f>
        <v>#N/A</v>
      </c>
      <c r="J2926" s="7" t="s">
        <v>40</v>
      </c>
    </row>
    <row r="2927" spans="1:10" ht="13.2">
      <c r="A2927" s="7">
        <v>2926</v>
      </c>
      <c r="B2927" s="7">
        <v>1</v>
      </c>
      <c r="C2927" s="7" t="s">
        <v>10</v>
      </c>
      <c r="D2927" s="7">
        <v>849</v>
      </c>
      <c r="E2927" s="7" t="s">
        <v>29</v>
      </c>
      <c r="F2927" s="8" t="str">
        <f ca="1">IFERROR(__xludf.DUMMYFUNCTION("IF
(
C2928=""фізична особа""
,
VLOOKUP(D2928,IMPORTRANGE(""https://docs.google.com/spreadsheets/d/14Bd19lYaqBhU8_DElYkX7l4wRkHqqCUFNJY4AfY3kHU/edit?usp=sharing  #gid=0"",""фіз особи new!relations_name""),6,FALSE)
,
(IF
(
C2928=""юридична особа""
,
VLOOKUP"&amp;"(D2928,IMPORTRANGE(""https://docs.google.com/spreadsheets/d/14Bd19lYaqBhU8_DElYkX7l4wRkHqqCUFNJY4AfY3kHU/edit?usp=sharing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7" s="7" t="s">
        <v>10</v>
      </c>
      <c r="H2927" s="7">
        <v>0</v>
      </c>
      <c r="I2927" s="8" t="str">
        <f ca="1">IFERROR(__xludf.DUMMYFUNCTION("IF
(
G2928=""фізична особа""
,
VLOOKUP(H2928,IMPORTRANGE(""https://docs.google.com/spreadsheets/d/14Bd19lYaqBhU8_DElYkX7l4wRkHqqCUFNJY4AfY3kHU/edit?usp=sharing  #gid=0"",""фіз особи new!relations_name""),6,FALSE)
,
(IF
(
G2928=""юридична особа""
,
VLOOKUP"&amp;"(H2928,IMPORTRANGE(""https://docs.google.com/spreadsheets/d/14Bd19lYaqBhU8_DElYkX7l4wRkHqqCUFNJY4AfY3kHU/edit?usp=sharing  #gid=0"",""фіз особи new!relations_name_uo""),7,FALSE)
,
)
))"),"#N/A")</f>
        <v>#N/A</v>
      </c>
      <c r="J2927" s="7" t="s">
        <v>28</v>
      </c>
    </row>
    <row r="2928" spans="1:10" ht="13.2">
      <c r="A2928" s="7">
        <v>2927</v>
      </c>
      <c r="B2928" s="7">
        <v>1</v>
      </c>
      <c r="C2928" s="7" t="s">
        <v>10</v>
      </c>
      <c r="D2928" s="7">
        <v>849</v>
      </c>
      <c r="E2928" s="7" t="s">
        <v>29</v>
      </c>
      <c r="F2928" s="8" t="str">
        <f ca="1">IFERROR(__xludf.DUMMYFUNCTION("IF
(
C2929=""фізична особа""
,
VLOOKUP(D2929,IMPORTRANGE(""https://docs.google.com/spreadsheets/d/14Bd19lYaqBhU8_DElYkX7l4wRkHqqCUFNJY4AfY3kHU/edit?usp=sharing  #gid=0"",""фіз особи new!relations_name""),6,FALSE)
,
(IF
(
C2929=""юридична особа""
,
VLOOKUP"&amp;"(D2929,IMPORTRANGE(""https://docs.google.com/spreadsheets/d/14Bd19lYaqBhU8_DElYkX7l4wRkHqqCUFNJY4AfY3kHU/edit?usp=sharing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8" s="7" t="s">
        <v>10</v>
      </c>
      <c r="H2928" s="7">
        <v>0</v>
      </c>
      <c r="I2928" s="8" t="str">
        <f ca="1">IFERROR(__xludf.DUMMYFUNCTION("IF
(
G2929=""фізична особа""
,
VLOOKUP(H2929,IMPORTRANGE(""https://docs.google.com/spreadsheets/d/14Bd19lYaqBhU8_DElYkX7l4wRkHqqCUFNJY4AfY3kHU/edit?usp=sharing  #gid=0"",""фіз особи new!relations_name""),6,FALSE)
,
(IF
(
G2929=""юридична особа""
,
VLOOKUP"&amp;"(H2929,IMPORTRANGE(""https://docs.google.com/spreadsheets/d/14Bd19lYaqBhU8_DElYkX7l4wRkHqqCUFNJY4AfY3kHU/edit?usp=sharing  #gid=0"",""фіз особи new!relations_name_uo""),7,FALSE)
,
)
))"),"#N/A")</f>
        <v>#N/A</v>
      </c>
      <c r="J2928" s="7" t="s">
        <v>28</v>
      </c>
    </row>
    <row r="2929" spans="1:10" ht="13.2">
      <c r="A2929" s="7">
        <v>2928</v>
      </c>
      <c r="B2929" s="7">
        <v>1</v>
      </c>
      <c r="C2929" s="7" t="s">
        <v>10</v>
      </c>
      <c r="D2929" s="7">
        <v>849</v>
      </c>
      <c r="E2929" s="7" t="s">
        <v>29</v>
      </c>
      <c r="F2929" s="8" t="str">
        <f ca="1">IFERROR(__xludf.DUMMYFUNCTION("IF
(
C2930=""фізична особа""
,
VLOOKUP(D2930,IMPORTRANGE(""https://docs.google.com/spreadsheets/d/14Bd19lYaqBhU8_DElYkX7l4wRkHqqCUFNJY4AfY3kHU/edit?usp=sharing  #gid=0"",""фіз особи new!relations_name""),6,FALSE)
,
(IF
(
C2930=""юридична особа""
,
VLOOKUP"&amp;"(D2930,IMPORTRANGE(""https://docs.google.com/spreadsheets/d/14Bd19lYaqBhU8_DElYkX7l4wRkHqqCUFNJY4AfY3kHU/edit?usp=sharing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29" s="7" t="s">
        <v>10</v>
      </c>
      <c r="H2929" s="7">
        <v>1339</v>
      </c>
      <c r="I2929" s="8" t="str">
        <f ca="1">IFERROR(__xludf.DUMMYFUNCTION("IF
(
G2930=""фізична особа""
,
VLOOKUP(H2930,IMPORTRANGE(""https://docs.google.com/spreadsheets/d/14Bd19lYaqBhU8_DElYkX7l4wRkHqqCUFNJY4AfY3kHU/edit?usp=sharing  #gid=0"",""фіз особи new!relations_name""),6,FALSE)
,
(IF
(
G2930=""юридична особа""
,
VLOOKUP"&amp;"(H2930,IMPORTRANGE(""https://docs.google.com/spreadsheets/d/14Bd19lYaqBhU8_DElYkX7l4wRkHqqCUFNJY4AfY3kHU/edit?usp=sharing  #gid=0"",""фіз особи new!relations_name_uo""),7,FALSE)
,
)
))"),"ІЛЬЇНИХ Олег Володимирович")</f>
        <v>ІЛЬЇНИХ Олег Володимирович</v>
      </c>
      <c r="J2929" s="7" t="s">
        <v>28</v>
      </c>
    </row>
    <row r="2930" spans="1:10" ht="13.2">
      <c r="A2930" s="7">
        <v>2929</v>
      </c>
      <c r="B2930" s="7">
        <v>1</v>
      </c>
      <c r="C2930" s="7" t="s">
        <v>10</v>
      </c>
      <c r="D2930" s="7">
        <v>849</v>
      </c>
      <c r="E2930" s="7" t="s">
        <v>29</v>
      </c>
      <c r="F2930" s="8" t="str">
        <f ca="1">IFERROR(__xludf.DUMMYFUNCTION("IF
(
C2931=""фізична особа""
,
VLOOKUP(D2931,IMPORTRANGE(""https://docs.google.com/spreadsheets/d/14Bd19lYaqBhU8_DElYkX7l4wRkHqqCUFNJY4AfY3kHU/edit?usp=sharing  #gid=0"",""фіз особи new!relations_name""),6,FALSE)
,
(IF
(
C2931=""юридична особа""
,
VLOOKUP"&amp;"(D2931,IMPORTRANGE(""https://docs.google.com/spreadsheets/d/14Bd19lYaqBhU8_DElYkX7l4wRkHqqCUFNJY4AfY3kHU/edit?usp=sharing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0" s="7" t="s">
        <v>10</v>
      </c>
      <c r="H2930" s="7">
        <v>2335</v>
      </c>
      <c r="I2930" s="8" t="str">
        <f ca="1">IFERROR(__xludf.DUMMYFUNCTION("IF
(
G2931=""фізична особа""
,
VLOOKUP(H2931,IMPORTRANGE(""https://docs.google.com/spreadsheets/d/14Bd19lYaqBhU8_DElYkX7l4wRkHqqCUFNJY4AfY3kHU/edit?usp=sharing  #gid=0"",""фіз особи new!relations_name""),6,FALSE)
,
(IF
(
G2931=""юридична особа""
,
VLOOKUP"&amp;"(H2931,IMPORTRANGE(""https://docs.google.com/spreadsheets/d/14Bd19lYaqBhU8_DElYkX7l4wRkHqqCUFNJY4AfY3kHU/edit?usp=sharing  #gid=0"",""фіз особи new!relations_name_uo""),7,FALSE)
,
)
))"),"ЛЕБЕДЄВ Сергій Миколайович")</f>
        <v>ЛЕБЕДЄВ Сергій Миколайович</v>
      </c>
      <c r="J2930" s="7" t="s">
        <v>28</v>
      </c>
    </row>
    <row r="2931" spans="1:10" ht="13.2">
      <c r="A2931" s="7">
        <v>2930</v>
      </c>
      <c r="B2931" s="7">
        <v>1</v>
      </c>
      <c r="C2931" s="7" t="s">
        <v>10</v>
      </c>
      <c r="D2931" s="7">
        <v>849</v>
      </c>
      <c r="E2931" s="7" t="s">
        <v>41</v>
      </c>
      <c r="F2931" s="8" t="str">
        <f ca="1">IFERROR(__xludf.DUMMYFUNCTION("IF
(
C2932=""фізична особа""
,
VLOOKUP(D2932,IMPORTRANGE(""https://docs.google.com/spreadsheets/d/14Bd19lYaqBhU8_DElYkX7l4wRkHqqCUFNJY4AfY3kHU/edit?usp=sharing  #gid=0"",""фіз особи new!relations_name""),6,FALSE)
,
(IF
(
C2932=""юридична особа""
,
VLOOKUP"&amp;"(D2932,IMPORTRANGE(""https://docs.google.com/spreadsheets/d/14Bd19lYaqBhU8_DElYkX7l4wRkHqqCUFNJY4AfY3kHU/edit?usp=sharing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1" s="7" t="s">
        <v>10</v>
      </c>
      <c r="H2931" s="7">
        <v>0</v>
      </c>
      <c r="I2931" s="8" t="str">
        <f ca="1">IFERROR(__xludf.DUMMYFUNCTION("IF
(
G2932=""фізична особа""
,
VLOOKUP(H2932,IMPORTRANGE(""https://docs.google.com/spreadsheets/d/14Bd19lYaqBhU8_DElYkX7l4wRkHqqCUFNJY4AfY3kHU/edit?usp=sharing  #gid=0"",""фіз особи new!relations_name""),6,FALSE)
,
(IF
(
G2932=""юридична особа""
,
VLOOKUP"&amp;"(H2932,IMPORTRANGE(""https://docs.google.com/spreadsheets/d/14Bd19lYaqBhU8_DElYkX7l4wRkHqqCUFNJY4AfY3kHU/edit?usp=sharing  #gid=0"",""фіз особи new!relations_name_uo""),7,FALSE)
,
)
))"),"#N/A")</f>
        <v>#N/A</v>
      </c>
      <c r="J2931" s="7" t="s">
        <v>40</v>
      </c>
    </row>
    <row r="2932" spans="1:10" ht="13.2">
      <c r="A2932" s="7">
        <v>2931</v>
      </c>
      <c r="B2932" s="7">
        <v>1</v>
      </c>
      <c r="C2932" s="7" t="s">
        <v>10</v>
      </c>
      <c r="D2932" s="7">
        <v>849</v>
      </c>
      <c r="E2932" s="7" t="s">
        <v>29</v>
      </c>
      <c r="F2932" s="8" t="str">
        <f ca="1">IFERROR(__xludf.DUMMYFUNCTION("IF
(
C2933=""фізична особа""
,
VLOOKUP(D2933,IMPORTRANGE(""https://docs.google.com/spreadsheets/d/14Bd19lYaqBhU8_DElYkX7l4wRkHqqCUFNJY4AfY3kHU/edit?usp=sharing  #gid=0"",""фіз особи new!relations_name""),6,FALSE)
,
(IF
(
C2933=""юридична особа""
,
VLOOKUP"&amp;"(D2933,IMPORTRANGE(""https://docs.google.com/spreadsheets/d/14Bd19lYaqBhU8_DElYkX7l4wRkHqqCUFNJY4AfY3kHU/edit?usp=sharing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2" s="7" t="s">
        <v>10</v>
      </c>
      <c r="H2932" s="7">
        <v>2363</v>
      </c>
      <c r="I2932" s="8" t="str">
        <f ca="1">IFERROR(__xludf.DUMMYFUNCTION("IF
(
G2933=""фізична особа""
,
VLOOKUP(H2933,IMPORTRANGE(""https://docs.google.com/spreadsheets/d/14Bd19lYaqBhU8_DElYkX7l4wRkHqqCUFNJY4AfY3kHU/edit?usp=sharing  #gid=0"",""фіз особи new!relations_name""),6,FALSE)
,
(IF
(
G2933=""юридична особа""
,
VLOOKUP"&amp;"(H2933,IMPORTRANGE(""https://docs.google.com/spreadsheets/d/14Bd19lYaqBhU8_DElYkX7l4wRkHqqCUFNJY4AfY3kHU/edit?usp=sharing  #gid=0"",""фіз особи new!relations_name_uo""),7,FALSE)
,
)
))"),"ГОРОВИЙ Олександр Володимирович")</f>
        <v>ГОРОВИЙ Олександр Володимирович</v>
      </c>
      <c r="J2932" s="7" t="s">
        <v>28</v>
      </c>
    </row>
    <row r="2933" spans="1:10" ht="13.2">
      <c r="A2933" s="7">
        <v>2932</v>
      </c>
      <c r="B2933" s="7">
        <v>1</v>
      </c>
      <c r="C2933" s="7" t="s">
        <v>10</v>
      </c>
      <c r="D2933" s="7">
        <v>849</v>
      </c>
      <c r="E2933" s="7" t="s">
        <v>41</v>
      </c>
      <c r="F2933" s="8" t="str">
        <f ca="1">IFERROR(__xludf.DUMMYFUNCTION("IF
(
C2934=""фізична особа""
,
VLOOKUP(D2934,IMPORTRANGE(""https://docs.google.com/spreadsheets/d/14Bd19lYaqBhU8_DElYkX7l4wRkHqqCUFNJY4AfY3kHU/edit?usp=sharing  #gid=0"",""фіз особи new!relations_name""),6,FALSE)
,
(IF
(
C2934=""юридична особа""
,
VLOOKUP"&amp;"(D2934,IMPORTRANGE(""https://docs.google.com/spreadsheets/d/14Bd19lYaqBhU8_DElYkX7l4wRkHqqCUFNJY4AfY3kHU/edit?usp=sharing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3" s="7" t="s">
        <v>10</v>
      </c>
      <c r="H2933" s="7">
        <v>2969</v>
      </c>
      <c r="I2933" s="8" t="str">
        <f ca="1">IFERROR(__xludf.DUMMYFUNCTION("IF
(
G2934=""фізична особа""
,
VLOOKUP(H2934,IMPORTRANGE(""https://docs.google.com/spreadsheets/d/14Bd19lYaqBhU8_DElYkX7l4wRkHqqCUFNJY4AfY3kHU/edit?usp=sharing  #gid=0"",""фіз особи new!relations_name""),6,FALSE)
,
(IF
(
G2934=""юридична особа""
,
VLOOKUP"&amp;"(H2934,IMPORTRANGE(""https://docs.google.com/spreadsheets/d/14Bd19lYaqBhU8_DElYkX7l4wRkHqqCUFNJY4AfY3kHU/edit?usp=sharing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2933" s="7" t="s">
        <v>40</v>
      </c>
    </row>
    <row r="2934" spans="1:10" ht="13.2">
      <c r="A2934" s="7">
        <v>2933</v>
      </c>
      <c r="B2934" s="7">
        <v>1</v>
      </c>
      <c r="C2934" s="7" t="s">
        <v>10</v>
      </c>
      <c r="D2934" s="7">
        <v>849</v>
      </c>
      <c r="E2934" s="7" t="s">
        <v>41</v>
      </c>
      <c r="F2934" s="8" t="str">
        <f ca="1">IFERROR(__xludf.DUMMYFUNCTION("IF
(
C2935=""фізична особа""
,
VLOOKUP(D2935,IMPORTRANGE(""https://docs.google.com/spreadsheets/d/14Bd19lYaqBhU8_DElYkX7l4wRkHqqCUFNJY4AfY3kHU/edit?usp=sharing  #gid=0"",""фіз особи new!relations_name""),6,FALSE)
,
(IF
(
C2935=""юридична особа""
,
VLOOKUP"&amp;"(D2935,IMPORTRANGE(""https://docs.google.com/spreadsheets/d/14Bd19lYaqBhU8_DElYkX7l4wRkHqqCUFNJY4AfY3kHU/edit?usp=sharing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4" s="7" t="s">
        <v>10</v>
      </c>
      <c r="H2934" s="7">
        <v>3723</v>
      </c>
      <c r="I2934" s="8" t="str">
        <f ca="1">IFERROR(__xludf.DUMMYFUNCTION("IF
(
G2935=""фізична особа""
,
VLOOKUP(H2935,IMPORTRANGE(""https://docs.google.com/spreadsheets/d/14Bd19lYaqBhU8_DElYkX7l4wRkHqqCUFNJY4AfY3kHU/edit?usp=sharing  #gid=0"",""фіз особи new!relations_name""),6,FALSE)
,
(IF
(
G2935=""юридична особа""
,
VLOOKUP"&amp;"(H2935,IMPORTRANGE(""https://docs.google.com/spreadsheets/d/14Bd19lYaqBhU8_DElYkX7l4wRkHqqCUFNJY4AfY3kHU/edit?usp=sharing  #gid=0"",""фіз особи new!relations_name_uo""),7,FALSE)
,
)
))"),"КІР'ЯНОВ Віктор Миколайович")</f>
        <v>КІР'ЯНОВ Віктор Миколайович</v>
      </c>
      <c r="J2934" s="7" t="s">
        <v>40</v>
      </c>
    </row>
    <row r="2935" spans="1:10" ht="13.2">
      <c r="A2935" s="7">
        <v>2934</v>
      </c>
      <c r="B2935" s="7">
        <v>1</v>
      </c>
      <c r="C2935" s="7" t="s">
        <v>10</v>
      </c>
      <c r="D2935" s="7">
        <v>849</v>
      </c>
      <c r="E2935" s="7" t="s">
        <v>41</v>
      </c>
      <c r="F2935" s="8" t="str">
        <f ca="1">IFERROR(__xludf.DUMMYFUNCTION("IF
(
C2936=""фізична особа""
,
VLOOKUP(D2936,IMPORTRANGE(""https://docs.google.com/spreadsheets/d/14Bd19lYaqBhU8_DElYkX7l4wRkHqqCUFNJY4AfY3kHU/edit?usp=sharing  #gid=0"",""фіз особи new!relations_name""),6,FALSE)
,
(IF
(
C2936=""юридична особа""
,
VLOOKUP"&amp;"(D2936,IMPORTRANGE(""https://docs.google.com/spreadsheets/d/14Bd19lYaqBhU8_DElYkX7l4wRkHqqCUFNJY4AfY3kHU/edit?usp=sharing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5" s="7" t="s">
        <v>10</v>
      </c>
      <c r="H2935" s="7">
        <v>0</v>
      </c>
      <c r="I2935" s="8" t="str">
        <f ca="1">IFERROR(__xludf.DUMMYFUNCTION("IF
(
G2936=""фізична особа""
,
VLOOKUP(H2936,IMPORTRANGE(""https://docs.google.com/spreadsheets/d/14Bd19lYaqBhU8_DElYkX7l4wRkHqqCUFNJY4AfY3kHU/edit?usp=sharing  #gid=0"",""фіз особи new!relations_name""),6,FALSE)
,
(IF
(
G2936=""юридична особа""
,
VLOOKUP"&amp;"(H2936,IMPORTRANGE(""https://docs.google.com/spreadsheets/d/14Bd19lYaqBhU8_DElYkX7l4wRkHqqCUFNJY4AfY3kHU/edit?usp=sharing  #gid=0"",""фіз особи new!relations_name_uo""),7,FALSE)
,
)
))"),"#N/A")</f>
        <v>#N/A</v>
      </c>
      <c r="J2935" s="7" t="s">
        <v>40</v>
      </c>
    </row>
    <row r="2936" spans="1:10" ht="13.2">
      <c r="A2936" s="7">
        <v>2935</v>
      </c>
      <c r="B2936" s="7">
        <v>1</v>
      </c>
      <c r="C2936" s="7" t="s">
        <v>10</v>
      </c>
      <c r="D2936" s="7">
        <v>849</v>
      </c>
      <c r="E2936" s="7" t="s">
        <v>29</v>
      </c>
      <c r="F2936" s="8" t="str">
        <f ca="1">IFERROR(__xludf.DUMMYFUNCTION("IF
(
C2937=""фізична особа""
,
VLOOKUP(D2937,IMPORTRANGE(""https://docs.google.com/spreadsheets/d/14Bd19lYaqBhU8_DElYkX7l4wRkHqqCUFNJY4AfY3kHU/edit?usp=sharing  #gid=0"",""фіз особи new!relations_name""),6,FALSE)
,
(IF
(
C2937=""юридична особа""
,
VLOOKUP"&amp;"(D2937,IMPORTRANGE(""https://docs.google.com/spreadsheets/d/14Bd19lYaqBhU8_DElYkX7l4wRkHqqCUFNJY4AfY3kHU/edit?usp=sharing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6" s="7" t="s">
        <v>10</v>
      </c>
      <c r="H2936" s="7">
        <v>2318</v>
      </c>
      <c r="I2936" s="8" t="str">
        <f ca="1">IFERROR(__xludf.DUMMYFUNCTION("IF
(
G2937=""фізична особа""
,
VLOOKUP(H2937,IMPORTRANGE(""https://docs.google.com/spreadsheets/d/14Bd19lYaqBhU8_DElYkX7l4wRkHqqCUFNJY4AfY3kHU/edit?usp=sharing  #gid=0"",""фіз особи new!relations_name""),6,FALSE)
,
(IF
(
G2937=""юридична особа""
,
VLOOKUP"&amp;"(H2937,IMPORTRANGE(""https://docs.google.com/spreadsheets/d/14Bd19lYaqBhU8_DElYkX7l4wRkHqqCUFNJY4AfY3kHU/edit?usp=sharing  #gid=0"",""фіз особи new!relations_name_uo""),7,FALSE)
,
)
))"),"ЗУБОВ Ігор Миколайович")</f>
        <v>ЗУБОВ Ігор Миколайович</v>
      </c>
      <c r="J2936" s="7" t="s">
        <v>28</v>
      </c>
    </row>
    <row r="2937" spans="1:10" ht="13.2">
      <c r="A2937" s="7">
        <v>2936</v>
      </c>
      <c r="B2937" s="7">
        <v>1</v>
      </c>
      <c r="C2937" s="7" t="s">
        <v>10</v>
      </c>
      <c r="D2937" s="7">
        <v>849</v>
      </c>
      <c r="E2937" s="7" t="s">
        <v>14</v>
      </c>
      <c r="F2937" s="8" t="str">
        <f ca="1">IFERROR(__xludf.DUMMYFUNCTION("IF
(
C2938=""фізична особа""
,
VLOOKUP(D2938,IMPORTRANGE(""https://docs.google.com/spreadsheets/d/14Bd19lYaqBhU8_DElYkX7l4wRkHqqCUFNJY4AfY3kHU/edit?usp=sharing  #gid=0"",""фіз особи new!relations_name""),6,FALSE)
,
(IF
(
C2938=""юридична особа""
,
VLOOKUP"&amp;"(D2938,IMPORTRANGE(""https://docs.google.com/spreadsheets/d/14Bd19lYaqBhU8_DElYkX7l4wRkHqqCUFNJY4AfY3kHU/edit?usp=sharing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7" s="7" t="s">
        <v>10</v>
      </c>
      <c r="H2937" s="7">
        <v>0</v>
      </c>
      <c r="I2937" s="8" t="str">
        <f ca="1">IFERROR(__xludf.DUMMYFUNCTION("IF
(
G2938=""фізична особа""
,
VLOOKUP(H2938,IMPORTRANGE(""https://docs.google.com/spreadsheets/d/14Bd19lYaqBhU8_DElYkX7l4wRkHqqCUFNJY4AfY3kHU/edit?usp=sharing  #gid=0"",""фіз особи new!relations_name""),6,FALSE)
,
(IF
(
G2938=""юридична особа""
,
VLOOKUP"&amp;"(H2938,IMPORTRANGE(""https://docs.google.com/spreadsheets/d/14Bd19lYaqBhU8_DElYkX7l4wRkHqqCUFNJY4AfY3kHU/edit?usp=sharing  #gid=0"",""фіз особи new!relations_name_uo""),7,FALSE)
,
)
))"),"#N/A")</f>
        <v>#N/A</v>
      </c>
      <c r="J2937" s="7" t="s">
        <v>15</v>
      </c>
    </row>
    <row r="2938" spans="1:10" ht="13.2">
      <c r="A2938" s="7">
        <v>2937</v>
      </c>
      <c r="B2938" s="7">
        <v>1</v>
      </c>
      <c r="C2938" s="7" t="s">
        <v>10</v>
      </c>
      <c r="D2938" s="7">
        <v>849</v>
      </c>
      <c r="E2938" s="7" t="s">
        <v>12</v>
      </c>
      <c r="F2938" s="8" t="str">
        <f ca="1">IFERROR(__xludf.DUMMYFUNCTION("IF
(
C2939=""фізична особа""
,
VLOOKUP(D2939,IMPORTRANGE(""https://docs.google.com/spreadsheets/d/14Bd19lYaqBhU8_DElYkX7l4wRkHqqCUFNJY4AfY3kHU/edit?usp=sharing  #gid=0"",""фіз особи new!relations_name""),6,FALSE)
,
(IF
(
C2939=""юридична особа""
,
VLOOKUP"&amp;"(D2939,IMPORTRANGE(""https://docs.google.com/spreadsheets/d/14Bd19lYaqBhU8_DElYkX7l4wRkHqqCUFNJY4AfY3kHU/edit?usp=sharing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8" s="7" t="s">
        <v>10</v>
      </c>
      <c r="H2938" s="7">
        <v>0</v>
      </c>
      <c r="I2938" s="8" t="str">
        <f ca="1">IFERROR(__xludf.DUMMYFUNCTION("IF
(
G2939=""фізична особа""
,
VLOOKUP(H2939,IMPORTRANGE(""https://docs.google.com/spreadsheets/d/14Bd19lYaqBhU8_DElYkX7l4wRkHqqCUFNJY4AfY3kHU/edit?usp=sharing  #gid=0"",""фіз особи new!relations_name""),6,FALSE)
,
(IF
(
G2939=""юридична особа""
,
VLOOKUP"&amp;"(H2939,IMPORTRANGE(""https://docs.google.com/spreadsheets/d/14Bd19lYaqBhU8_DElYkX7l4wRkHqqCUFNJY4AfY3kHU/edit?usp=sharing  #gid=0"",""фіз особи new!relations_name_uo""),7,FALSE)
,
)
))"),"#N/A")</f>
        <v>#N/A</v>
      </c>
      <c r="J2938" s="7" t="s">
        <v>13</v>
      </c>
    </row>
    <row r="2939" spans="1:10" ht="13.2">
      <c r="A2939" s="7">
        <v>2938</v>
      </c>
      <c r="B2939" s="7">
        <v>1</v>
      </c>
      <c r="C2939" s="7" t="s">
        <v>10</v>
      </c>
      <c r="D2939" s="7">
        <v>849</v>
      </c>
      <c r="E2939" s="7" t="s">
        <v>12</v>
      </c>
      <c r="F2939" s="8" t="str">
        <f ca="1">IFERROR(__xludf.DUMMYFUNCTION("IF
(
C2940=""фізична особа""
,
VLOOKUP(D2940,IMPORTRANGE(""https://docs.google.com/spreadsheets/d/14Bd19lYaqBhU8_DElYkX7l4wRkHqqCUFNJY4AfY3kHU/edit?usp=sharing  #gid=0"",""фіз особи new!relations_name""),6,FALSE)
,
(IF
(
C2940=""юридична особа""
,
VLOOKUP"&amp;"(D2940,IMPORTRANGE(""https://docs.google.com/spreadsheets/d/14Bd19lYaqBhU8_DElYkX7l4wRkHqqCUFNJY4AfY3kHU/edit?usp=sharing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39" s="7" t="s">
        <v>10</v>
      </c>
      <c r="H2939" s="7">
        <v>0</v>
      </c>
      <c r="I2939" s="8" t="str">
        <f ca="1">IFERROR(__xludf.DUMMYFUNCTION("IF
(
G2940=""фізична особа""
,
VLOOKUP(H2940,IMPORTRANGE(""https://docs.google.com/spreadsheets/d/14Bd19lYaqBhU8_DElYkX7l4wRkHqqCUFNJY4AfY3kHU/edit?usp=sharing  #gid=0"",""фіз особи new!relations_name""),6,FALSE)
,
(IF
(
G2940=""юридична особа""
,
VLOOKUP"&amp;"(H2940,IMPORTRANGE(""https://docs.google.com/spreadsheets/d/14Bd19lYaqBhU8_DElYkX7l4wRkHqqCUFNJY4AfY3kHU/edit?usp=sharing  #gid=0"",""фіз особи new!relations_name_uo""),7,FALSE)
,
)
))"),"#N/A")</f>
        <v>#N/A</v>
      </c>
      <c r="J2939" s="7" t="s">
        <v>17</v>
      </c>
    </row>
    <row r="2940" spans="1:10" ht="13.2">
      <c r="A2940" s="7">
        <v>2939</v>
      </c>
      <c r="B2940" s="7">
        <v>1</v>
      </c>
      <c r="C2940" s="7" t="s">
        <v>10</v>
      </c>
      <c r="D2940" s="7">
        <v>849</v>
      </c>
      <c r="E2940" s="7" t="s">
        <v>34</v>
      </c>
      <c r="F2940" s="8" t="str">
        <f ca="1">IFERROR(__xludf.DUMMYFUNCTION("IF
(
C2941=""фізична особа""
,
VLOOKUP(D2941,IMPORTRANGE(""https://docs.google.com/spreadsheets/d/14Bd19lYaqBhU8_DElYkX7l4wRkHqqCUFNJY4AfY3kHU/edit?usp=sharing  #gid=0"",""фіз особи new!relations_name""),6,FALSE)
,
(IF
(
C2941=""юридична особа""
,
VLOOKUP"&amp;"(D2941,IMPORTRANGE(""https://docs.google.com/spreadsheets/d/14Bd19lYaqBhU8_DElYkX7l4wRkHqqCUFNJY4AfY3kHU/edit?usp=sharing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G2940" s="7" t="s">
        <v>10</v>
      </c>
      <c r="H2940" s="7">
        <v>0</v>
      </c>
      <c r="I2940" s="8" t="str">
        <f ca="1">IFERROR(__xludf.DUMMYFUNCTION("IF
(
G2941=""фізична особа""
,
VLOOKUP(H2941,IMPORTRANGE(""https://docs.google.com/spreadsheets/d/14Bd19lYaqBhU8_DElYkX7l4wRkHqqCUFNJY4AfY3kHU/edit?usp=sharing  #gid=0"",""фіз особи new!relations_name""),6,FALSE)
,
(IF
(
G2941=""юридична особа""
,
VLOOKUP"&amp;"(H2941,IMPORTRANGE(""https://docs.google.com/spreadsheets/d/14Bd19lYaqBhU8_DElYkX7l4wRkHqqCUFNJY4AfY3kHU/edit?usp=sharing  #gid=0"",""фіз особи new!relations_name_uo""),7,FALSE)
,
)
))"),"#N/A")</f>
        <v>#N/A</v>
      </c>
      <c r="J2940" s="7" t="s">
        <v>25</v>
      </c>
    </row>
    <row r="2941" spans="1:10" ht="13.2">
      <c r="A2941" s="7">
        <v>2940</v>
      </c>
      <c r="B2941" s="7">
        <v>1</v>
      </c>
      <c r="C2941" s="7" t="s">
        <v>10</v>
      </c>
      <c r="D2941" s="7">
        <v>850</v>
      </c>
      <c r="E2941" s="7" t="s">
        <v>14</v>
      </c>
      <c r="F2941" s="8" t="str">
        <f ca="1">IFERROR(__xludf.DUMMYFUNCTION("IF
(
C2942=""фізична особа""
,
VLOOKUP(D2942,IMPORTRANGE(""https://docs.google.com/spreadsheets/d/14Bd19lYaqBhU8_DElYkX7l4wRkHqqCUFNJY4AfY3kHU/edit?usp=sharing  #gid=0"",""фіз особи new!relations_name""),6,FALSE)
,
(IF
(
C2942=""юридична особа""
,
VLOOKUP"&amp;"(D2942,IMPORTRANGE(""https://docs.google.com/spreadsheets/d/14Bd19lYaqBhU8_DElYkX7l4wRkHqqCUFNJY4AfY3kHU/edit?usp=sharing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G2941" s="7" t="s">
        <v>10</v>
      </c>
      <c r="H2941" s="7">
        <v>4306</v>
      </c>
      <c r="I2941" s="8" t="str">
        <f ca="1">IFERROR(__xludf.DUMMYFUNCTION("IF
(
G2942=""фізична особа""
,
VLOOKUP(H2942,IMPORTRANGE(""https://docs.google.com/spreadsheets/d/14Bd19lYaqBhU8_DElYkX7l4wRkHqqCUFNJY4AfY3kHU/edit?usp=sharing  #gid=0"",""фіз особи new!relations_name""),6,FALSE)
,
(IF
(
G2942=""юридична особа""
,
VLOOKUP"&amp;"(H2942,IMPORTRANGE(""https://docs.google.com/spreadsheets/d/14Bd19lYaqBhU8_DElYkX7l4wRkHqqCUFNJY4AfY3kHU/edit?usp=sharing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J2941" s="7" t="s">
        <v>15</v>
      </c>
    </row>
    <row r="2942" spans="1:10" ht="13.2">
      <c r="A2942" s="7">
        <v>2941</v>
      </c>
      <c r="B2942" s="7">
        <v>1</v>
      </c>
      <c r="C2942" s="7" t="s">
        <v>10</v>
      </c>
      <c r="D2942" s="7">
        <v>850</v>
      </c>
      <c r="E2942" s="7" t="s">
        <v>12</v>
      </c>
      <c r="F2942" s="8" t="str">
        <f ca="1">IFERROR(__xludf.DUMMYFUNCTION("IF
(
C2943=""фізична особа""
,
VLOOKUP(D2943,IMPORTRANGE(""https://docs.google.com/spreadsheets/d/14Bd19lYaqBhU8_DElYkX7l4wRkHqqCUFNJY4AfY3kHU/edit?usp=sharing  #gid=0"",""фіз особи new!relations_name""),6,FALSE)
,
(IF
(
C2943=""юридична особа""
,
VLOOKUP"&amp;"(D2943,IMPORTRANGE(""https://docs.google.com/spreadsheets/d/14Bd19lYaqBhU8_DElYkX7l4wRkHqqCUFNJY4AfY3kHU/edit?usp=sharing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G2942" s="7" t="s">
        <v>10</v>
      </c>
      <c r="H2942" s="7">
        <v>4307</v>
      </c>
      <c r="I2942" s="8" t="str">
        <f ca="1">IFERROR(__xludf.DUMMYFUNCTION("IF
(
G2943=""фізична особа""
,
VLOOKUP(H2943,IMPORTRANGE(""https://docs.google.com/spreadsheets/d/14Bd19lYaqBhU8_DElYkX7l4wRkHqqCUFNJY4AfY3kHU/edit?usp=sharing  #gid=0"",""фіз особи new!relations_name""),6,FALSE)
,
(IF
(
G2943=""юридична особа""
,
VLOOKUP"&amp;"(H2943,IMPORTRANGE(""https://docs.google.com/spreadsheets/d/14Bd19lYaqBhU8_DElYkX7l4wRkHqqCUFNJY4AfY3kHU/edit?usp=sharing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J2942" s="7" t="s">
        <v>13</v>
      </c>
    </row>
    <row r="2943" spans="1:10" ht="13.2">
      <c r="A2943" s="7">
        <v>2942</v>
      </c>
      <c r="B2943" s="7">
        <v>1</v>
      </c>
      <c r="C2943" s="7" t="s">
        <v>10</v>
      </c>
      <c r="D2943" s="7">
        <v>850</v>
      </c>
      <c r="E2943" s="7" t="s">
        <v>12</v>
      </c>
      <c r="F2943" s="8" t="str">
        <f ca="1">IFERROR(__xludf.DUMMYFUNCTION("IF
(
C2944=""фізична особа""
,
VLOOKUP(D2944,IMPORTRANGE(""https://docs.google.com/spreadsheets/d/14Bd19lYaqBhU8_DElYkX7l4wRkHqqCUFNJY4AfY3kHU/edit?usp=sharing  #gid=0"",""фіз особи new!relations_name""),6,FALSE)
,
(IF
(
C2944=""юридична особа""
,
VLOOKUP"&amp;"(D2944,IMPORTRANGE(""https://docs.google.com/spreadsheets/d/14Bd19lYaqBhU8_DElYkX7l4wRkHqqCUFNJY4AfY3kHU/edit?usp=sharing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G2943" s="7" t="s">
        <v>10</v>
      </c>
      <c r="H2943" s="7">
        <v>4308</v>
      </c>
      <c r="I2943" s="8" t="str">
        <f ca="1">IFERROR(__xludf.DUMMYFUNCTION("IF
(
G2944=""фізична особа""
,
VLOOKUP(H2944,IMPORTRANGE(""https://docs.google.com/spreadsheets/d/14Bd19lYaqBhU8_DElYkX7l4wRkHqqCUFNJY4AfY3kHU/edit?usp=sharing  #gid=0"",""фіз особи new!relations_name""),6,FALSE)
,
(IF
(
G2944=""юридична особа""
,
VLOOKUP"&amp;"(H2944,IMPORTRANGE(""https://docs.google.com/spreadsheets/d/14Bd19lYaqBhU8_DElYkX7l4wRkHqqCUFNJY4AfY3kHU/edit?usp=sharing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J2943" s="7" t="s">
        <v>13</v>
      </c>
    </row>
    <row r="2944" spans="1:10" ht="13.2">
      <c r="A2944" s="7">
        <v>2943</v>
      </c>
      <c r="B2944" s="7">
        <v>1</v>
      </c>
      <c r="C2944" s="7" t="s">
        <v>10</v>
      </c>
      <c r="D2944" s="7">
        <v>851</v>
      </c>
      <c r="E2944" s="7" t="s">
        <v>28</v>
      </c>
      <c r="F2944" s="8" t="str">
        <f ca="1">IFERROR(__xludf.DUMMYFUNCTION("IF
(
C2945=""фізична особа""
,
VLOOKUP(D2945,IMPORTRANGE(""https://docs.google.com/spreadsheets/d/14Bd19lYaqBhU8_DElYkX7l4wRkHqqCUFNJY4AfY3kHU/edit?usp=sharing  #gid=0"",""фіз особи new!relations_name""),6,FALSE)
,
(IF
(
C2945=""юридична особа""
,
VLOOKUP"&amp;"(D2945,IMPORTRANGE(""https://docs.google.com/spreadsheets/d/14Bd19lYaqBhU8_DElYkX7l4wRkHqqCUFNJY4AfY3kHU/edit?usp=sharing  #gid=0"",""фіз особи new!relations_name_uo""),7,FALSE)
,
)
))"),"АНТОНОВ Володимир Миколайович")</f>
        <v>АНТОНОВ Володимир Миколайович</v>
      </c>
      <c r="G2944" s="7" t="s">
        <v>10</v>
      </c>
      <c r="H2944" s="7">
        <v>4567</v>
      </c>
      <c r="I2944" s="8" t="str">
        <f ca="1">IFERROR(__xludf.DUMMYFUNCTION("IF
(
G2945=""фізична особа""
,
VLOOKUP(H2945,IMPORTRANGE(""https://docs.google.com/spreadsheets/d/14Bd19lYaqBhU8_DElYkX7l4wRkHqqCUFNJY4AfY3kHU/edit?usp=sharing  #gid=0"",""фіз особи new!relations_name""),6,FALSE)
,
(IF
(
G2945=""юридична особа""
,
VLOOKUP"&amp;"(H2945,IMPORTRANGE(""https://docs.google.com/spreadsheets/d/14Bd19lYaqBhU8_DElYkX7l4wRkHqqCUFNJY4AfY3kHU/edit?usp=sharing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2944" s="7" t="s">
        <v>29</v>
      </c>
    </row>
    <row r="2945" spans="1:10" ht="13.2">
      <c r="A2945" s="7">
        <v>2944</v>
      </c>
      <c r="B2945" s="7">
        <v>1</v>
      </c>
      <c r="C2945" s="7" t="s">
        <v>10</v>
      </c>
      <c r="D2945" s="7">
        <v>851</v>
      </c>
      <c r="E2945" s="7" t="s">
        <v>28</v>
      </c>
      <c r="F2945" s="8" t="str">
        <f ca="1">IFERROR(__xludf.DUMMYFUNCTION("IF
(
C2946=""фізична особа""
,
VLOOKUP(D2946,IMPORTRANGE(""https://docs.google.com/spreadsheets/d/14Bd19lYaqBhU8_DElYkX7l4wRkHqqCUFNJY4AfY3kHU/edit?usp=sharing  #gid=0"",""фіз особи new!relations_name""),6,FALSE)
,
(IF
(
C2946=""юридична особа""
,
VLOOKUP"&amp;"(D2946,IMPORTRANGE(""https://docs.google.com/spreadsheets/d/14Bd19lYaqBhU8_DElYkX7l4wRkHqqCUFNJY4AfY3kHU/edit?usp=sharing  #gid=0"",""фіз особи new!relations_name_uo""),7,FALSE)
,
)
))"),"АНТОНОВ Володимир Миколайович")</f>
        <v>АНТОНОВ Володимир Миколайович</v>
      </c>
      <c r="G2945" s="7" t="s">
        <v>10</v>
      </c>
      <c r="H2945" s="7">
        <v>856</v>
      </c>
      <c r="I2945" s="8" t="str">
        <f ca="1">IFERROR(__xludf.DUMMYFUNCTION("IF
(
G2946=""фізична особа""
,
VLOOKUP(H2946,IMPORTRANGE(""https://docs.google.com/spreadsheets/d/14Bd19lYaqBhU8_DElYkX7l4wRkHqqCUFNJY4AfY3kHU/edit?usp=sharing  #gid=0"",""фіз особи new!relations_name""),6,FALSE)
,
(IF
(
G2946=""юридична особа""
,
VLOOKUP"&amp;"(H2946,IMPORTRANGE(""https://docs.google.com/spreadsheets/d/14Bd19lYaqBhU8_DElYkX7l4wRkHqqCUFNJY4AfY3kHU/edit?usp=sharing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2945" s="7" t="s">
        <v>29</v>
      </c>
    </row>
    <row r="2946" spans="1:10" ht="13.2">
      <c r="A2946" s="7">
        <v>2945</v>
      </c>
      <c r="B2946" s="7">
        <v>1</v>
      </c>
      <c r="C2946" s="7" t="s">
        <v>10</v>
      </c>
      <c r="D2946" s="7">
        <v>852</v>
      </c>
      <c r="E2946" s="7" t="s">
        <v>17</v>
      </c>
      <c r="F2946" s="8" t="str">
        <f ca="1">IFERROR(__xludf.DUMMYFUNCTION("IF
(
C2947=""фізична особа""
,
VLOOKUP(D2947,IMPORTRANGE(""https://docs.google.com/spreadsheets/d/14Bd19lYaqBhU8_DElYkX7l4wRkHqqCUFNJY4AfY3kHU/edit?usp=sharing  #gid=0"",""фіз особи new!relations_name""),6,FALSE)
,
(IF
(
C2947=""юридична особа""
,
VLOOKUP"&amp;"(D2947,IMPORTRANGE(""https://docs.google.com/spreadsheets/d/14Bd19lYaqBhU8_DElYkX7l4wRkHqqCUFNJY4AfY3kHU/edit?usp=sharing  #gid=0"",""фіз особи new!relations_name_uo""),7,FALSE)
,
)
))"),"БІДЬОВКА Володимир Анатолійович")</f>
        <v>БІДЬОВКА Володимир Анатолійович</v>
      </c>
      <c r="G2946" s="7" t="s">
        <v>10</v>
      </c>
      <c r="H2946" s="7">
        <v>0</v>
      </c>
      <c r="I2946" s="8" t="str">
        <f ca="1">IFERROR(__xludf.DUMMYFUNCTION("IF
(
G2947=""фізична особа""
,
VLOOKUP(H2947,IMPORTRANGE(""https://docs.google.com/spreadsheets/d/14Bd19lYaqBhU8_DElYkX7l4wRkHqqCUFNJY4AfY3kHU/edit?usp=sharing  #gid=0"",""фіз особи new!relations_name""),6,FALSE)
,
(IF
(
G2947=""юридична особа""
,
VLOOKUP"&amp;"(H2947,IMPORTRANGE(""https://docs.google.com/spreadsheets/d/14Bd19lYaqBhU8_DElYkX7l4wRkHqqCUFNJY4AfY3kHU/edit?usp=sharing  #gid=0"",""фіз особи new!relations_name_uo""),7,FALSE)
,
)
))"),"#N/A")</f>
        <v>#N/A</v>
      </c>
      <c r="J2946" s="7" t="s">
        <v>12</v>
      </c>
    </row>
    <row r="2947" spans="1:10" ht="13.2">
      <c r="A2947" s="7">
        <v>2946</v>
      </c>
      <c r="B2947" s="7">
        <v>1</v>
      </c>
      <c r="C2947" s="7" t="s">
        <v>10</v>
      </c>
      <c r="D2947" s="7">
        <v>853</v>
      </c>
      <c r="E2947" s="7" t="s">
        <v>48</v>
      </c>
      <c r="F2947" s="8" t="str">
        <f ca="1">IFERROR(__xludf.DUMMYFUNCTION("IF
(
C2948=""фізична особа""
,
VLOOKUP(D2948,IMPORTRANGE(""https://docs.google.com/spreadsheets/d/14Bd19lYaqBhU8_DElYkX7l4wRkHqqCUFNJY4AfY3kHU/edit?usp=sharing  #gid=0"",""фіз особи new!relations_name""),6,FALSE)
,
(IF
(
C2948=""юридична особа""
,
VLOOKUP"&amp;"(D2948,IMPORTRANGE(""https://docs.google.com/spreadsheets/d/14Bd19lYaqBhU8_DElYkX7l4wRkHqqCUFNJY4AfY3kHU/edit?usp=sharing  #gid=0"",""фіз особи new!relations_name_uo""),7,FALSE)
,
)
))"),"СЄНІН Володимир Борисович")</f>
        <v>СЄНІН Володимир Борисович</v>
      </c>
      <c r="G2947" s="7" t="s">
        <v>10</v>
      </c>
      <c r="H2947" s="7">
        <v>185</v>
      </c>
      <c r="I2947" s="8" t="str">
        <f ca="1">IFERROR(__xludf.DUMMYFUNCTION("IF
(
G2948=""фізична особа""
,
VLOOKUP(H2948,IMPORTRANGE(""https://docs.google.com/spreadsheets/d/14Bd19lYaqBhU8_DElYkX7l4wRkHqqCUFNJY4AfY3kHU/edit?usp=sharing  #gid=0"",""фіз особи new!relations_name""),6,FALSE)
,
(IF
(
G2948=""юридична особа""
,
VLOOKUP"&amp;"(H2948,IMPORTRANGE(""https://docs.google.com/spreadsheets/d/14Bd19lYaqBhU8_DElYkX7l4wRkHqqCUFNJY4AfY3kHU/edit?usp=sharing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947" s="7" t="s">
        <v>48</v>
      </c>
    </row>
    <row r="2948" spans="1:10" ht="13.2">
      <c r="A2948" s="7">
        <v>2947</v>
      </c>
      <c r="B2948" s="7">
        <v>1</v>
      </c>
      <c r="C2948" s="7" t="s">
        <v>10</v>
      </c>
      <c r="D2948" s="7">
        <v>853</v>
      </c>
      <c r="E2948" s="7" t="s">
        <v>48</v>
      </c>
      <c r="F2948" s="8" t="str">
        <f ca="1">IFERROR(__xludf.DUMMYFUNCTION("IF
(
C2949=""фізична особа""
,
VLOOKUP(D2949,IMPORTRANGE(""https://docs.google.com/spreadsheets/d/14Bd19lYaqBhU8_DElYkX7l4wRkHqqCUFNJY4AfY3kHU/edit?usp=sharing  #gid=0"",""фіз особи new!relations_name""),6,FALSE)
,
(IF
(
C2949=""юридична особа""
,
VLOOKUP"&amp;"(D2949,IMPORTRANGE(""https://docs.google.com/spreadsheets/d/14Bd19lYaqBhU8_DElYkX7l4wRkHqqCUFNJY4AfY3kHU/edit?usp=sharing  #gid=0"",""фіз особи new!relations_name_uo""),7,FALSE)
,
)
))"),"СЄНІН Володимир Борисович")</f>
        <v>СЄНІН Володимир Борисович</v>
      </c>
      <c r="G2948" s="7" t="s">
        <v>10</v>
      </c>
      <c r="H2948" s="7">
        <v>64</v>
      </c>
      <c r="I2948" s="8" t="str">
        <f ca="1">IFERROR(__xludf.DUMMYFUNCTION("IF
(
G2949=""фізична особа""
,
VLOOKUP(H2949,IMPORTRANGE(""https://docs.google.com/spreadsheets/d/14Bd19lYaqBhU8_DElYkX7l4wRkHqqCUFNJY4AfY3kHU/edit?usp=sharing  #gid=0"",""фіз особи new!relations_name""),6,FALSE)
,
(IF
(
G2949=""юридична особа""
,
VLOOKUP"&amp;"(H2949,IMPORTRANGE(""https://docs.google.com/spreadsheets/d/14Bd19lYaqBhU8_DElYkX7l4wRkHqqCUFNJY4AfY3kHU/edit?usp=sharing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948" s="7" t="s">
        <v>48</v>
      </c>
    </row>
    <row r="2949" spans="1:10" ht="13.2">
      <c r="A2949" s="7">
        <v>2948</v>
      </c>
      <c r="B2949" s="7">
        <v>1</v>
      </c>
      <c r="C2949" s="7" t="s">
        <v>10</v>
      </c>
      <c r="D2949" s="7">
        <v>853</v>
      </c>
      <c r="E2949" s="7" t="s">
        <v>48</v>
      </c>
      <c r="F2949" s="8" t="str">
        <f ca="1">IFERROR(__xludf.DUMMYFUNCTION("IF
(
C2950=""фізична особа""
,
VLOOKUP(D2950,IMPORTRANGE(""https://docs.google.com/spreadsheets/d/14Bd19lYaqBhU8_DElYkX7l4wRkHqqCUFNJY4AfY3kHU/edit?usp=sharing  #gid=0"",""фіз особи new!relations_name""),6,FALSE)
,
(IF
(
C2950=""юридична особа""
,
VLOOKUP"&amp;"(D2950,IMPORTRANGE(""https://docs.google.com/spreadsheets/d/14Bd19lYaqBhU8_DElYkX7l4wRkHqqCUFNJY4AfY3kHU/edit?usp=sharing  #gid=0"",""фіз особи new!relations_name_uo""),7,FALSE)
,
)
))"),"СЄНІН Володимир Борисович")</f>
        <v>СЄНІН Володимир Борисович</v>
      </c>
      <c r="G2949" s="7" t="s">
        <v>10</v>
      </c>
      <c r="H2949" s="7">
        <v>844</v>
      </c>
      <c r="I2949" s="8" t="str">
        <f ca="1">IFERROR(__xludf.DUMMYFUNCTION("IF
(
G2950=""фізична особа""
,
VLOOKUP(H2950,IMPORTRANGE(""https://docs.google.com/spreadsheets/d/14Bd19lYaqBhU8_DElYkX7l4wRkHqqCUFNJY4AfY3kHU/edit?usp=sharing  #gid=0"",""фіз особи new!relations_name""),6,FALSE)
,
(IF
(
G2950=""юридична особа""
,
VLOOKUP"&amp;"(H2950,IMPORTRANGE(""https://docs.google.com/spreadsheets/d/14Bd19lYaqBhU8_DElYkX7l4wRkHqqCUFNJY4AfY3kHU/edit?usp=sharing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949" s="7" t="s">
        <v>48</v>
      </c>
    </row>
    <row r="2950" spans="1:10" ht="13.2">
      <c r="A2950" s="7">
        <v>2949</v>
      </c>
      <c r="B2950" s="7">
        <v>1</v>
      </c>
      <c r="C2950" s="7" t="s">
        <v>10</v>
      </c>
      <c r="D2950" s="7">
        <v>853</v>
      </c>
      <c r="E2950" s="7" t="s">
        <v>48</v>
      </c>
      <c r="F2950" s="8" t="str">
        <f ca="1">IFERROR(__xludf.DUMMYFUNCTION("IF
(
C2951=""фізична особа""
,
VLOOKUP(D2951,IMPORTRANGE(""https://docs.google.com/spreadsheets/d/14Bd19lYaqBhU8_DElYkX7l4wRkHqqCUFNJY4AfY3kHU/edit?usp=sharing  #gid=0"",""фіз особи new!relations_name""),6,FALSE)
,
(IF
(
C2951=""юридична особа""
,
VLOOKUP"&amp;"(D2951,IMPORTRANGE(""https://docs.google.com/spreadsheets/d/14Bd19lYaqBhU8_DElYkX7l4wRkHqqCUFNJY4AfY3kHU/edit?usp=sharing  #gid=0"",""фіз особи new!relations_name_uo""),7,FALSE)
,
)
))"),"СЄНІН Володимир Борисович")</f>
        <v>СЄНІН Володимир Борисович</v>
      </c>
      <c r="G2950" s="7" t="s">
        <v>10</v>
      </c>
      <c r="H2950" s="7">
        <v>4789</v>
      </c>
      <c r="I2950" s="8" t="str">
        <f ca="1">IFERROR(__xludf.DUMMYFUNCTION("IF
(
G2951=""фізична особа""
,
VLOOKUP(H2951,IMPORTRANGE(""https://docs.google.com/spreadsheets/d/14Bd19lYaqBhU8_DElYkX7l4wRkHqqCUFNJY4AfY3kHU/edit?usp=sharing  #gid=0"",""фіз особи new!relations_name""),6,FALSE)
,
(IF
(
G2951=""юридична особа""
,
VLOOKUP"&amp;"(H2951,IMPORTRANGE(""https://docs.google.com/spreadsheets/d/14Bd19lYaqBhU8_DElYkX7l4wRkHqqCUFNJY4AfY3kHU/edit?usp=sharing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950" s="7" t="s">
        <v>48</v>
      </c>
    </row>
    <row r="2951" spans="1:10" ht="13.2">
      <c r="A2951" s="7">
        <v>2950</v>
      </c>
      <c r="B2951" s="7">
        <v>1</v>
      </c>
      <c r="C2951" s="7" t="s">
        <v>10</v>
      </c>
      <c r="D2951" s="7">
        <v>853</v>
      </c>
      <c r="E2951" s="7" t="s">
        <v>48</v>
      </c>
      <c r="F2951" s="8" t="str">
        <f ca="1">IFERROR(__xludf.DUMMYFUNCTION("IF
(
C2952=""фізична особа""
,
VLOOKUP(D2952,IMPORTRANGE(""https://docs.google.com/spreadsheets/d/14Bd19lYaqBhU8_DElYkX7l4wRkHqqCUFNJY4AfY3kHU/edit?usp=sharing  #gid=0"",""фіз особи new!relations_name""),6,FALSE)
,
(IF
(
C2952=""юридична особа""
,
VLOOKUP"&amp;"(D2952,IMPORTRANGE(""https://docs.google.com/spreadsheets/d/14Bd19lYaqBhU8_DElYkX7l4wRkHqqCUFNJY4AfY3kHU/edit?usp=sharing  #gid=0"",""фіз особи new!relations_name_uo""),7,FALSE)
,
)
))"),"СЄНІН Володимир Борисович")</f>
        <v>СЄНІН Володимир Борисович</v>
      </c>
      <c r="G2951" s="7" t="s">
        <v>10</v>
      </c>
      <c r="H2951" s="7">
        <v>4870</v>
      </c>
      <c r="I2951" s="8" t="str">
        <f ca="1">IFERROR(__xludf.DUMMYFUNCTION("IF
(
G2952=""фізична особа""
,
VLOOKUP(H2952,IMPORTRANGE(""https://docs.google.com/spreadsheets/d/14Bd19lYaqBhU8_DElYkX7l4wRkHqqCUFNJY4AfY3kHU/edit?usp=sharing  #gid=0"",""фіз особи new!relations_name""),6,FALSE)
,
(IF
(
G2952=""юридична особа""
,
VLOOKUP"&amp;"(H2952,IMPORTRANGE(""https://docs.google.com/spreadsheets/d/14Bd19lYaqBhU8_DElYkX7l4wRkHqqCUFNJY4AfY3kHU/edit?usp=sharing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951" s="7" t="s">
        <v>48</v>
      </c>
    </row>
    <row r="2952" spans="1:10" ht="13.2">
      <c r="A2952" s="7">
        <v>2951</v>
      </c>
      <c r="B2952" s="7">
        <v>1</v>
      </c>
      <c r="C2952" s="7" t="s">
        <v>10</v>
      </c>
      <c r="D2952" s="7">
        <v>854</v>
      </c>
      <c r="E2952" s="7" t="s">
        <v>14</v>
      </c>
      <c r="F2952" s="8" t="str">
        <f ca="1">IFERROR(__xludf.DUMMYFUNCTION("IF
(
C2953=""фізична особа""
,
VLOOKUP(D2953,IMPORTRANGE(""https://docs.google.com/spreadsheets/d/14Bd19lYaqBhU8_DElYkX7l4wRkHqqCUFNJY4AfY3kHU/edit?usp=sharing  #gid=0"",""фіз особи new!relations_name""),6,FALSE)
,
(IF
(
C2953=""юридична особа""
,
VLOOKUP"&amp;"(D2953,IMPORTRANGE(""https://docs.google.com/spreadsheets/d/14Bd19lYaqBhU8_DElYkX7l4wRkHqqCUFNJY4AfY3kHU/edit?usp=sharing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G2952" s="7" t="s">
        <v>10</v>
      </c>
      <c r="H2952" s="7">
        <v>4310</v>
      </c>
      <c r="I2952" s="8" t="str">
        <f ca="1">IFERROR(__xludf.DUMMYFUNCTION("IF
(
G2953=""фізична особа""
,
VLOOKUP(H2953,IMPORTRANGE(""https://docs.google.com/spreadsheets/d/14Bd19lYaqBhU8_DElYkX7l4wRkHqqCUFNJY4AfY3kHU/edit?usp=sharing  #gid=0"",""фіз особи new!relations_name""),6,FALSE)
,
(IF
(
G2953=""юридична особа""
,
VLOOKUP"&amp;"(H2953,IMPORTRANGE(""https://docs.google.com/spreadsheets/d/14Bd19lYaqBhU8_DElYkX7l4wRkHqqCUFNJY4AfY3kHU/edit?usp=sharing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J2952" s="7" t="s">
        <v>15</v>
      </c>
    </row>
    <row r="2953" spans="1:10" ht="13.2">
      <c r="A2953" s="7">
        <v>2952</v>
      </c>
      <c r="B2953" s="7">
        <v>1</v>
      </c>
      <c r="C2953" s="7" t="s">
        <v>10</v>
      </c>
      <c r="D2953" s="7">
        <v>854</v>
      </c>
      <c r="E2953" s="7" t="s">
        <v>12</v>
      </c>
      <c r="F2953" s="8" t="str">
        <f ca="1">IFERROR(__xludf.DUMMYFUNCTION("IF
(
C2954=""фізична особа""
,
VLOOKUP(D2954,IMPORTRANGE(""https://docs.google.com/spreadsheets/d/14Bd19lYaqBhU8_DElYkX7l4wRkHqqCUFNJY4AfY3kHU/edit?usp=sharing  #gid=0"",""фіз особи new!relations_name""),6,FALSE)
,
(IF
(
C2954=""юридична особа""
,
VLOOKUP"&amp;"(D2954,IMPORTRANGE(""https://docs.google.com/spreadsheets/d/14Bd19lYaqBhU8_DElYkX7l4wRkHqqCUFNJY4AfY3kHU/edit?usp=sharing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G2953" s="7" t="s">
        <v>10</v>
      </c>
      <c r="H2953" s="7">
        <v>4309</v>
      </c>
      <c r="I2953" s="8" t="str">
        <f ca="1">IFERROR(__xludf.DUMMYFUNCTION("IF
(
G2954=""фізична особа""
,
VLOOKUP(H2954,IMPORTRANGE(""https://docs.google.com/spreadsheets/d/14Bd19lYaqBhU8_DElYkX7l4wRkHqqCUFNJY4AfY3kHU/edit?usp=sharing  #gid=0"",""фіз особи new!relations_name""),6,FALSE)
,
(IF
(
G2954=""юридична особа""
,
VLOOKUP"&amp;"(H2954,IMPORTRANGE(""https://docs.google.com/spreadsheets/d/14Bd19lYaqBhU8_DElYkX7l4wRkHqqCUFNJY4AfY3kHU/edit?usp=sharing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J2953" s="7" t="s">
        <v>17</v>
      </c>
    </row>
    <row r="2954" spans="1:10" ht="13.2">
      <c r="A2954" s="7">
        <v>2953</v>
      </c>
      <c r="B2954" s="7">
        <v>1</v>
      </c>
      <c r="C2954" s="7" t="s">
        <v>10</v>
      </c>
      <c r="D2954" s="7">
        <v>854</v>
      </c>
      <c r="E2954" s="7" t="s">
        <v>12</v>
      </c>
      <c r="F2954" s="8" t="str">
        <f ca="1">IFERROR(__xludf.DUMMYFUNCTION("IF
(
C2955=""фізична особа""
,
VLOOKUP(D2955,IMPORTRANGE(""https://docs.google.com/spreadsheets/d/14Bd19lYaqBhU8_DElYkX7l4wRkHqqCUFNJY4AfY3kHU/edit?usp=sharing  #gid=0"",""фіз особи new!relations_name""),6,FALSE)
,
(IF
(
C2955=""юридична особа""
,
VLOOKUP"&amp;"(D2955,IMPORTRANGE(""https://docs.google.com/spreadsheets/d/14Bd19lYaqBhU8_DElYkX7l4wRkHqqCUFNJY4AfY3kHU/edit?usp=sharing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G2954" s="7" t="s">
        <v>10</v>
      </c>
      <c r="H2954" s="7">
        <v>4311</v>
      </c>
      <c r="I2954" s="8" t="str">
        <f ca="1">IFERROR(__xludf.DUMMYFUNCTION("IF
(
G2955=""фізична особа""
,
VLOOKUP(H2955,IMPORTRANGE(""https://docs.google.com/spreadsheets/d/14Bd19lYaqBhU8_DElYkX7l4wRkHqqCUFNJY4AfY3kHU/edit?usp=sharing  #gid=0"",""фіз особи new!relations_name""),6,FALSE)
,
(IF
(
G2955=""юридична особа""
,
VLOOKUP"&amp;"(H2955,IMPORTRANGE(""https://docs.google.com/spreadsheets/d/14Bd19lYaqBhU8_DElYkX7l4wRkHqqCUFNJY4AfY3kHU/edit?usp=sharing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J2954" s="7" t="s">
        <v>13</v>
      </c>
    </row>
    <row r="2955" spans="1:10" ht="13.2">
      <c r="A2955" s="7">
        <v>2954</v>
      </c>
      <c r="B2955" s="7">
        <v>1</v>
      </c>
      <c r="C2955" s="7" t="s">
        <v>10</v>
      </c>
      <c r="D2955" s="7">
        <v>855</v>
      </c>
      <c r="E2955" s="7" t="s">
        <v>42</v>
      </c>
      <c r="F2955" s="8" t="str">
        <f ca="1">IFERROR(__xludf.DUMMYFUNCTION("IF
(
C2956=""фізична особа""
,
VLOOKUP(D2956,IMPORTRANGE(""https://docs.google.com/spreadsheets/d/14Bd19lYaqBhU8_DElYkX7l4wRkHqqCUFNJY4AfY3kHU/edit?usp=sharing  #gid=0"",""фіз особи new!relations_name""),6,FALSE)
,
(IF
(
C2956=""юридична особа""
,
VLOOKUP"&amp;"(D2956,IMPORTRANGE(""https://docs.google.com/spreadsheets/d/14Bd19lYaqBhU8_DElYkX7l4wRkHqqCUFNJY4AfY3kHU/edit?usp=sharing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55" s="7" t="s">
        <v>10</v>
      </c>
      <c r="H2955" s="7">
        <v>0</v>
      </c>
      <c r="I2955" s="8" t="str">
        <f ca="1">IFERROR(__xludf.DUMMYFUNCTION("IF
(
G2956=""фізична особа""
,
VLOOKUP(H2956,IMPORTRANGE(""https://docs.google.com/spreadsheets/d/14Bd19lYaqBhU8_DElYkX7l4wRkHqqCUFNJY4AfY3kHU/edit?usp=sharing  #gid=0"",""фіз особи new!relations_name""),6,FALSE)
,
(IF
(
G2956=""юридична особа""
,
VLOOKUP"&amp;"(H2956,IMPORTRANGE(""https://docs.google.com/spreadsheets/d/14Bd19lYaqBhU8_DElYkX7l4wRkHqqCUFNJY4AfY3kHU/edit?usp=sharing  #gid=0"",""фіз особи new!relations_name_uo""),7,FALSE)
,
)
))"),"#N/A")</f>
        <v>#N/A</v>
      </c>
      <c r="J2955" s="7" t="s">
        <v>43</v>
      </c>
    </row>
    <row r="2956" spans="1:10" ht="13.2">
      <c r="A2956" s="7">
        <v>2955</v>
      </c>
      <c r="B2956" s="7">
        <v>1</v>
      </c>
      <c r="C2956" s="7" t="s">
        <v>10</v>
      </c>
      <c r="D2956" s="7">
        <v>855</v>
      </c>
      <c r="E2956" s="7" t="s">
        <v>62</v>
      </c>
      <c r="F2956" s="8" t="str">
        <f ca="1">IFERROR(__xludf.DUMMYFUNCTION("IF
(
C2957=""фізична особа""
,
VLOOKUP(D2957,IMPORTRANGE(""https://docs.google.com/spreadsheets/d/14Bd19lYaqBhU8_DElYkX7l4wRkHqqCUFNJY4AfY3kHU/edit?usp=sharing  #gid=0"",""фіз особи new!relations_name""),6,FALSE)
,
(IF
(
C2957=""юридична особа""
,
VLOOKUP"&amp;"(D2957,IMPORTRANGE(""https://docs.google.com/spreadsheets/d/14Bd19lYaqBhU8_DElYkX7l4wRkHqqCUFNJY4AfY3kHU/edit?usp=sharing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56" s="7" t="s">
        <v>10</v>
      </c>
      <c r="H2956" s="7">
        <v>23388</v>
      </c>
      <c r="I2956" s="8" t="str">
        <f ca="1">IFERROR(__xludf.DUMMYFUNCTION("IF
(
G2957=""фізична особа""
,
VLOOKUP(H2957,IMPORTRANGE(""https://docs.google.com/spreadsheets/d/14Bd19lYaqBhU8_DElYkX7l4wRkHqqCUFNJY4AfY3kHU/edit?usp=sharing  #gid=0"",""фіз особи new!relations_name""),6,FALSE)
,
(IF
(
G2957=""юридична особа""
,
VLOOKUP"&amp;"(H2957,IMPORTRANGE(""https://docs.google.com/spreadsheets/d/14Bd19lYaqBhU8_DElYkX7l4wRkHqqCUFNJY4AfY3kHU/edit?usp=sharing  #gid=0"",""фіз особи new!relations_name_uo""),7,FALSE)
,
)
))"),"МОРОЗОВА Тамара Василівна")</f>
        <v>МОРОЗОВА Тамара Василівна</v>
      </c>
      <c r="J2956" s="7" t="s">
        <v>63</v>
      </c>
    </row>
    <row r="2957" spans="1:10" ht="13.2">
      <c r="A2957" s="7">
        <v>2956</v>
      </c>
      <c r="B2957" s="7">
        <v>1</v>
      </c>
      <c r="C2957" s="7" t="s">
        <v>10</v>
      </c>
      <c r="D2957" s="7">
        <v>855</v>
      </c>
      <c r="E2957" s="7" t="s">
        <v>62</v>
      </c>
      <c r="F2957" s="8" t="str">
        <f ca="1">IFERROR(__xludf.DUMMYFUNCTION("IF
(
C2958=""фізична особа""
,
VLOOKUP(D2958,IMPORTRANGE(""https://docs.google.com/spreadsheets/d/14Bd19lYaqBhU8_DElYkX7l4wRkHqqCUFNJY4AfY3kHU/edit?usp=sharing  #gid=0"",""фіз особи new!relations_name""),6,FALSE)
,
(IF
(
C2958=""юридична особа""
,
VLOOKUP"&amp;"(D2958,IMPORTRANGE(""https://docs.google.com/spreadsheets/d/14Bd19lYaqBhU8_DElYkX7l4wRkHqqCUFNJY4AfY3kHU/edit?usp=sharing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57" s="7" t="s">
        <v>10</v>
      </c>
      <c r="H2957" s="7">
        <v>306</v>
      </c>
      <c r="I2957" s="8" t="str">
        <f ca="1">IFERROR(__xludf.DUMMYFUNCTION("IF
(
G2958=""фізична особа""
,
VLOOKUP(H2958,IMPORTRANGE(""https://docs.google.com/spreadsheets/d/14Bd19lYaqBhU8_DElYkX7l4wRkHqqCUFNJY4AfY3kHU/edit?usp=sharing  #gid=0"",""фіз особи new!relations_name""),6,FALSE)
,
(IF
(
G2958=""юридична особа""
,
VLOOKUP"&amp;"(H2958,IMPORTRANGE(""https://docs.google.com/spreadsheets/d/14Bd19lYaqBhU8_DElYkX7l4wRkHqqCUFNJY4AfY3kHU/edit?usp=sharing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J2957" s="7" t="s">
        <v>62</v>
      </c>
    </row>
    <row r="2958" spans="1:10" ht="13.2">
      <c r="A2958" s="7">
        <v>2957</v>
      </c>
      <c r="B2958" s="7">
        <v>1</v>
      </c>
      <c r="C2958" s="7" t="s">
        <v>10</v>
      </c>
      <c r="D2958" s="7">
        <v>855</v>
      </c>
      <c r="E2958" s="7" t="s">
        <v>12</v>
      </c>
      <c r="F2958" s="8" t="str">
        <f ca="1">IFERROR(__xludf.DUMMYFUNCTION("IF
(
C2959=""фізична особа""
,
VLOOKUP(D2959,IMPORTRANGE(""https://docs.google.com/spreadsheets/d/14Bd19lYaqBhU8_DElYkX7l4wRkHqqCUFNJY4AfY3kHU/edit?usp=sharing  #gid=0"",""фіз особи new!relations_name""),6,FALSE)
,
(IF
(
C2959=""юридична особа""
,
VLOOKUP"&amp;"(D2959,IMPORTRANGE(""https://docs.google.com/spreadsheets/d/14Bd19lYaqBhU8_DElYkX7l4wRkHqqCUFNJY4AfY3kHU/edit?usp=sharing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58" s="7" t="s">
        <v>10</v>
      </c>
      <c r="H2958" s="7">
        <v>4312</v>
      </c>
      <c r="I2958" s="8" t="str">
        <f ca="1">IFERROR(__xludf.DUMMYFUNCTION("IF
(
G2959=""фізична особа""
,
VLOOKUP(H2959,IMPORTRANGE(""https://docs.google.com/spreadsheets/d/14Bd19lYaqBhU8_DElYkX7l4wRkHqqCUFNJY4AfY3kHU/edit?usp=sharing  #gid=0"",""фіз особи new!relations_name""),6,FALSE)
,
(IF
(
G2959=""юридична особа""
,
VLOOKUP"&amp;"(H2959,IMPORTRANGE(""https://docs.google.com/spreadsheets/d/14Bd19lYaqBhU8_DElYkX7l4wRkHqqCUFNJY4AfY3kHU/edit?usp=sharing  #gid=0"",""фіз особи new!relations_name_uo""),7,FALSE)
,
)
))"),"КОЖИН Ігор Володимирович")</f>
        <v>КОЖИН Ігор Володимирович</v>
      </c>
      <c r="J2958" s="7" t="s">
        <v>17</v>
      </c>
    </row>
    <row r="2959" spans="1:10" ht="13.2">
      <c r="A2959" s="7">
        <v>2958</v>
      </c>
      <c r="B2959" s="7">
        <v>1</v>
      </c>
      <c r="C2959" s="7" t="s">
        <v>10</v>
      </c>
      <c r="D2959" s="7">
        <v>855</v>
      </c>
      <c r="E2959" s="7" t="s">
        <v>34</v>
      </c>
      <c r="F2959" s="8" t="str">
        <f ca="1">IFERROR(__xludf.DUMMYFUNCTION("IF
(
C2960=""фізична особа""
,
VLOOKUP(D2960,IMPORTRANGE(""https://docs.google.com/spreadsheets/d/14Bd19lYaqBhU8_DElYkX7l4wRkHqqCUFNJY4AfY3kHU/edit?usp=sharing  #gid=0"",""фіз особи new!relations_name""),6,FALSE)
,
(IF
(
C2960=""юридична особа""
,
VLOOKUP"&amp;"(D2960,IMPORTRANGE(""https://docs.google.com/spreadsheets/d/14Bd19lYaqBhU8_DElYkX7l4wRkHqqCUFNJY4AfY3kHU/edit?usp=sharing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59" s="7" t="s">
        <v>10</v>
      </c>
      <c r="H2959" s="7">
        <v>23387</v>
      </c>
      <c r="I2959" s="8" t="str">
        <f ca="1">IFERROR(__xludf.DUMMYFUNCTION("IF
(
G2960=""фізична особа""
,
VLOOKUP(H2960,IMPORTRANGE(""https://docs.google.com/spreadsheets/d/14Bd19lYaqBhU8_DElYkX7l4wRkHqqCUFNJY4AfY3kHU/edit?usp=sharing  #gid=0"",""фіз особи new!relations_name""),6,FALSE)
,
(IF
(
G2960=""юридична особа""
,
VLOOKUP"&amp;"(H2960,IMPORTRANGE(""https://docs.google.com/spreadsheets/d/14Bd19lYaqBhU8_DElYkX7l4wRkHqqCUFNJY4AfY3kHU/edit?usp=sharing  #gid=0"",""фіз особи new!relations_name_uo""),7,FALSE)
,
)
))"),"КОЖИНА Катерина Ігорівна")</f>
        <v>КОЖИНА Катерина Ігорівна</v>
      </c>
      <c r="J2959" s="7" t="s">
        <v>25</v>
      </c>
    </row>
    <row r="2960" spans="1:10" ht="13.2">
      <c r="A2960" s="7">
        <v>2959</v>
      </c>
      <c r="B2960" s="7">
        <v>1</v>
      </c>
      <c r="C2960" s="7" t="s">
        <v>10</v>
      </c>
      <c r="D2960" s="7">
        <v>855</v>
      </c>
      <c r="E2960" s="7" t="s">
        <v>14</v>
      </c>
      <c r="F2960" s="8" t="str">
        <f ca="1">IFERROR(__xludf.DUMMYFUNCTION("IF
(
C2961=""фізична особа""
,
VLOOKUP(D2961,IMPORTRANGE(""https://docs.google.com/spreadsheets/d/14Bd19lYaqBhU8_DElYkX7l4wRkHqqCUFNJY4AfY3kHU/edit?usp=sharing  #gid=0"",""фіз особи new!relations_name""),6,FALSE)
,
(IF
(
C2961=""юридична особа""
,
VLOOKUP"&amp;"(D2961,IMPORTRANGE(""https://docs.google.com/spreadsheets/d/14Bd19lYaqBhU8_DElYkX7l4wRkHqqCUFNJY4AfY3kHU/edit?usp=sharing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G2960" s="7" t="s">
        <v>10</v>
      </c>
      <c r="H2960" s="7">
        <v>0</v>
      </c>
      <c r="I2960" s="8" t="str">
        <f ca="1">IFERROR(__xludf.DUMMYFUNCTION("IF
(
G2961=""фізична особа""
,
VLOOKUP(H2961,IMPORTRANGE(""https://docs.google.com/spreadsheets/d/14Bd19lYaqBhU8_DElYkX7l4wRkHqqCUFNJY4AfY3kHU/edit?usp=sharing  #gid=0"",""фіз особи new!relations_name""),6,FALSE)
,
(IF
(
G2961=""юридична особа""
,
VLOOKUP"&amp;"(H2961,IMPORTRANGE(""https://docs.google.com/spreadsheets/d/14Bd19lYaqBhU8_DElYkX7l4wRkHqqCUFNJY4AfY3kHU/edit?usp=sharing  #gid=0"",""фіз особи new!relations_name_uo""),7,FALSE)
,
)
))"),"#N/A")</f>
        <v>#N/A</v>
      </c>
      <c r="J2960" s="7" t="s">
        <v>15</v>
      </c>
    </row>
    <row r="2961" spans="1:10" ht="13.2">
      <c r="A2961" s="7">
        <v>2960</v>
      </c>
      <c r="B2961" s="7">
        <v>1</v>
      </c>
      <c r="C2961" s="7" t="s">
        <v>10</v>
      </c>
      <c r="D2961" s="7">
        <v>856</v>
      </c>
      <c r="E2961" s="7" t="s">
        <v>29</v>
      </c>
      <c r="F2961" s="8" t="str">
        <f ca="1">IFERROR(__xludf.DUMMYFUNCTION("IF
(
C2962=""фізична особа""
,
VLOOKUP(D2962,IMPORTRANGE(""https://docs.google.com/spreadsheets/d/14Bd19lYaqBhU8_DElYkX7l4wRkHqqCUFNJY4AfY3kHU/edit?usp=sharing  #gid=0"",""фіз особи new!relations_name""),6,FALSE)
,
(IF
(
C2962=""юридична особа""
,
VLOOKUP"&amp;"(D2962,IMPORTRANGE(""https://docs.google.com/spreadsheets/d/14Bd19lYaqBhU8_DElYkX7l4wRkHqqCUFNJY4AfY3kHU/edit?usp=sharing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G2961" s="7" t="s">
        <v>10</v>
      </c>
      <c r="H2961" s="7">
        <v>851</v>
      </c>
      <c r="I2961" s="8" t="str">
        <f ca="1">IFERROR(__xludf.DUMMYFUNCTION("IF
(
G2962=""фізична особа""
,
VLOOKUP(H2962,IMPORTRANGE(""https://docs.google.com/spreadsheets/d/14Bd19lYaqBhU8_DElYkX7l4wRkHqqCUFNJY4AfY3kHU/edit?usp=sharing  #gid=0"",""фіз особи new!relations_name""),6,FALSE)
,
(IF
(
G2962=""юридична особа""
,
VLOOKUP"&amp;"(H2962,IMPORTRANGE(""https://docs.google.com/spreadsheets/d/14Bd19lYaqBhU8_DElYkX7l4wRkHqqCUFNJY4AfY3kHU/edit?usp=sharing  #gid=0"",""фіз особи new!relations_name_uo""),7,FALSE)
,
)
))"),"АНТОНОВ Володимир Миколайович")</f>
        <v>АНТОНОВ Володимир Миколайович</v>
      </c>
      <c r="J2961" s="7" t="s">
        <v>28</v>
      </c>
    </row>
    <row r="2962" spans="1:10" ht="13.2">
      <c r="A2962" s="7">
        <v>2961</v>
      </c>
      <c r="B2962" s="7">
        <v>1</v>
      </c>
      <c r="C2962" s="7" t="s">
        <v>10</v>
      </c>
      <c r="D2962" s="7">
        <v>856</v>
      </c>
      <c r="E2962" s="7" t="s">
        <v>28</v>
      </c>
      <c r="F2962" s="8" t="str">
        <f ca="1">IFERROR(__xludf.DUMMYFUNCTION("IF
(
C2963=""фізична особа""
,
VLOOKUP(D2963,IMPORTRANGE(""https://docs.google.com/spreadsheets/d/14Bd19lYaqBhU8_DElYkX7l4wRkHqqCUFNJY4AfY3kHU/edit?usp=sharing  #gid=0"",""фіз особи new!relations_name""),6,FALSE)
,
(IF
(
C2963=""юридична особа""
,
VLOOKUP"&amp;"(D2963,IMPORTRANGE(""https://docs.google.com/spreadsheets/d/14Bd19lYaqBhU8_DElYkX7l4wRkHqqCUFNJY4AfY3kHU/edit?usp=sharing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G2962" s="7" t="s">
        <v>10</v>
      </c>
      <c r="H2962" s="7">
        <v>4567</v>
      </c>
      <c r="I2962" s="8" t="str">
        <f ca="1">IFERROR(__xludf.DUMMYFUNCTION("IF
(
G2963=""фізична особа""
,
VLOOKUP(H2963,IMPORTRANGE(""https://docs.google.com/spreadsheets/d/14Bd19lYaqBhU8_DElYkX7l4wRkHqqCUFNJY4AfY3kHU/edit?usp=sharing  #gid=0"",""фіз особи new!relations_name""),6,FALSE)
,
(IF
(
G2963=""юридична особа""
,
VLOOKUP"&amp;"(H2963,IMPORTRANGE(""https://docs.google.com/spreadsheets/d/14Bd19lYaqBhU8_DElYkX7l4wRkHqqCUFNJY4AfY3kHU/edit?usp=sharing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2962" s="7" t="s">
        <v>29</v>
      </c>
    </row>
    <row r="2963" spans="1:10" ht="13.2">
      <c r="A2963" s="7">
        <v>2962</v>
      </c>
      <c r="B2963" s="7">
        <v>1</v>
      </c>
      <c r="C2963" s="7" t="s">
        <v>10</v>
      </c>
      <c r="D2963" s="7">
        <v>856</v>
      </c>
      <c r="E2963" s="7" t="s">
        <v>14</v>
      </c>
      <c r="F2963" s="8" t="str">
        <f ca="1">IFERROR(__xludf.DUMMYFUNCTION("IF
(
C2964=""фізична особа""
,
VLOOKUP(D2964,IMPORTRANGE(""https://docs.google.com/spreadsheets/d/14Bd19lYaqBhU8_DElYkX7l4wRkHqqCUFNJY4AfY3kHU/edit?usp=sharing  #gid=0"",""фіз особи new!relations_name""),6,FALSE)
,
(IF
(
C2964=""юридична особа""
,
VLOOKUP"&amp;"(D2964,IMPORTRANGE(""https://docs.google.com/spreadsheets/d/14Bd19lYaqBhU8_DElYkX7l4wRkHqqCUFNJY4AfY3kHU/edit?usp=sharing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G2963" s="7" t="s">
        <v>10</v>
      </c>
      <c r="H2963" s="7">
        <v>0</v>
      </c>
      <c r="I2963" s="8" t="str">
        <f ca="1">IFERROR(__xludf.DUMMYFUNCTION("IF
(
G2964=""фізична особа""
,
VLOOKUP(H2964,IMPORTRANGE(""https://docs.google.com/spreadsheets/d/14Bd19lYaqBhU8_DElYkX7l4wRkHqqCUFNJY4AfY3kHU/edit?usp=sharing  #gid=0"",""фіз особи new!relations_name""),6,FALSE)
,
(IF
(
G2964=""юридична особа""
,
VLOOKUP"&amp;"(H2964,IMPORTRANGE(""https://docs.google.com/spreadsheets/d/14Bd19lYaqBhU8_DElYkX7l4wRkHqqCUFNJY4AfY3kHU/edit?usp=sharing  #gid=0"",""фіз особи new!relations_name_uo""),7,FALSE)
,
)
))"),"#N/A")</f>
        <v>#N/A</v>
      </c>
      <c r="J2963" s="7" t="s">
        <v>15</v>
      </c>
    </row>
    <row r="2964" spans="1:10" ht="13.2">
      <c r="A2964" s="7">
        <v>2963</v>
      </c>
      <c r="B2964" s="7">
        <v>1</v>
      </c>
      <c r="C2964" s="7" t="s">
        <v>10</v>
      </c>
      <c r="D2964" s="7">
        <v>856</v>
      </c>
      <c r="E2964" s="7" t="s">
        <v>12</v>
      </c>
      <c r="F2964" s="8" t="str">
        <f ca="1">IFERROR(__xludf.DUMMYFUNCTION("IF
(
C2965=""фізична особа""
,
VLOOKUP(D2965,IMPORTRANGE(""https://docs.google.com/spreadsheets/d/14Bd19lYaqBhU8_DElYkX7l4wRkHqqCUFNJY4AfY3kHU/edit?usp=sharing  #gid=0"",""фіз особи new!relations_name""),6,FALSE)
,
(IF
(
C2965=""юридична особа""
,
VLOOKUP"&amp;"(D2965,IMPORTRANGE(""https://docs.google.com/spreadsheets/d/14Bd19lYaqBhU8_DElYkX7l4wRkHqqCUFNJY4AfY3kHU/edit?usp=sharing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G2964" s="7" t="s">
        <v>10</v>
      </c>
      <c r="H2964" s="7">
        <v>0</v>
      </c>
      <c r="I2964" s="8" t="str">
        <f ca="1">IFERROR(__xludf.DUMMYFUNCTION("IF
(
G2965=""фізична особа""
,
VLOOKUP(H2965,IMPORTRANGE(""https://docs.google.com/spreadsheets/d/14Bd19lYaqBhU8_DElYkX7l4wRkHqqCUFNJY4AfY3kHU/edit?usp=sharing  #gid=0"",""фіз особи new!relations_name""),6,FALSE)
,
(IF
(
G2965=""юридична особа""
,
VLOOKUP"&amp;"(H2965,IMPORTRANGE(""https://docs.google.com/spreadsheets/d/14Bd19lYaqBhU8_DElYkX7l4wRkHqqCUFNJY4AfY3kHU/edit?usp=sharing  #gid=0"",""фіз особи new!relations_name_uo""),7,FALSE)
,
)
))"),"#N/A")</f>
        <v>#N/A</v>
      </c>
      <c r="J2964" s="7" t="s">
        <v>17</v>
      </c>
    </row>
    <row r="2965" spans="1:10" ht="13.2">
      <c r="A2965" s="7">
        <v>2964</v>
      </c>
      <c r="B2965" s="7">
        <v>1</v>
      </c>
      <c r="C2965" s="7" t="s">
        <v>10</v>
      </c>
      <c r="D2965" s="7">
        <v>857</v>
      </c>
      <c r="E2965" s="7" t="s">
        <v>18</v>
      </c>
      <c r="F2965" s="8" t="str">
        <f ca="1">IFERROR(__xludf.DUMMYFUNCTION("IF
(
C2966=""фізична особа""
,
VLOOKUP(D2966,IMPORTRANGE(""https://docs.google.com/spreadsheets/d/14Bd19lYaqBhU8_DElYkX7l4wRkHqqCUFNJY4AfY3kHU/edit?usp=sharing  #gid=0"",""фіз особи new!relations_name""),6,FALSE)
,
(IF
(
C2966=""юридична особа""
,
VLOOKUP"&amp;"(D2966,IMPORTRANGE(""https://docs.google.com/spreadsheets/d/14Bd19lYaqBhU8_DElYkX7l4wRkHqqCUFNJY4AfY3kHU/edit?usp=sharing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G2965" s="7" t="s">
        <v>10</v>
      </c>
      <c r="H2965" s="7">
        <v>4320</v>
      </c>
      <c r="I2965" s="8" t="str">
        <f ca="1">IFERROR(__xludf.DUMMYFUNCTION("IF
(
G2966=""фізична особа""
,
VLOOKUP(H2966,IMPORTRANGE(""https://docs.google.com/spreadsheets/d/14Bd19lYaqBhU8_DElYkX7l4wRkHqqCUFNJY4AfY3kHU/edit?usp=sharing  #gid=0"",""фіз особи new!relations_name""),6,FALSE)
,
(IF
(
G2966=""юридична особа""
,
VLOOKUP"&amp;"(H2966,IMPORTRANGE(""https://docs.google.com/spreadsheets/d/14Bd19lYaqBhU8_DElYkX7l4wRkHqqCUFNJY4AfY3kHU/edit?usp=sharing  #gid=0"",""фіз особи new!relations_name_uo""),7,FALSE)
,
)
))"),"КРУГЛИЙ Борис Ігорович")</f>
        <v>КРУГЛИЙ Борис Ігорович</v>
      </c>
      <c r="J2965" s="7" t="s">
        <v>18</v>
      </c>
    </row>
    <row r="2966" spans="1:10" ht="13.2">
      <c r="A2966" s="7">
        <v>2965</v>
      </c>
      <c r="B2966" s="7">
        <v>1</v>
      </c>
      <c r="C2966" s="7" t="s">
        <v>10</v>
      </c>
      <c r="D2966" s="7">
        <v>857</v>
      </c>
      <c r="E2966" s="7" t="s">
        <v>18</v>
      </c>
      <c r="F2966" s="8" t="str">
        <f ca="1">IFERROR(__xludf.DUMMYFUNCTION("IF
(
C2967=""фізична особа""
,
VLOOKUP(D2967,IMPORTRANGE(""https://docs.google.com/spreadsheets/d/14Bd19lYaqBhU8_DElYkX7l4wRkHqqCUFNJY4AfY3kHU/edit?usp=sharing  #gid=0"",""фіз особи new!relations_name""),6,FALSE)
,
(IF
(
C2967=""юридична особа""
,
VLOOKUP"&amp;"(D2967,IMPORTRANGE(""https://docs.google.com/spreadsheets/d/14Bd19lYaqBhU8_DElYkX7l4wRkHqqCUFNJY4AfY3kHU/edit?usp=sharing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G2966" s="7" t="s">
        <v>10</v>
      </c>
      <c r="H2966" s="7">
        <v>4319</v>
      </c>
      <c r="I2966" s="8" t="str">
        <f ca="1">IFERROR(__xludf.DUMMYFUNCTION("IF
(
G2967=""фізична особа""
,
VLOOKUP(H2967,IMPORTRANGE(""https://docs.google.com/spreadsheets/d/14Bd19lYaqBhU8_DElYkX7l4wRkHqqCUFNJY4AfY3kHU/edit?usp=sharing  #gid=0"",""фіз особи new!relations_name""),6,FALSE)
,
(IF
(
G2967=""юридична особа""
,
VLOOKUP"&amp;"(H2967,IMPORTRANGE(""https://docs.google.com/spreadsheets/d/14Bd19lYaqBhU8_DElYkX7l4wRkHqqCUFNJY4AfY3kHU/edit?usp=sharing  #gid=0"",""фіз особи new!relations_name_uo""),7,FALSE)
,
)
))"),"КРУГЛА Софія Ігорівна")</f>
        <v>КРУГЛА Софія Ігорівна</v>
      </c>
      <c r="J2966" s="7" t="s">
        <v>31</v>
      </c>
    </row>
    <row r="2967" spans="1:10" ht="13.2">
      <c r="A2967" s="7">
        <v>2966</v>
      </c>
      <c r="B2967" s="7">
        <v>1</v>
      </c>
      <c r="C2967" s="7" t="s">
        <v>10</v>
      </c>
      <c r="D2967" s="7">
        <v>857</v>
      </c>
      <c r="E2967" s="7" t="s">
        <v>12</v>
      </c>
      <c r="F2967" s="8" t="str">
        <f ca="1">IFERROR(__xludf.DUMMYFUNCTION("IF
(
C2968=""фізична особа""
,
VLOOKUP(D2968,IMPORTRANGE(""https://docs.google.com/spreadsheets/d/14Bd19lYaqBhU8_DElYkX7l4wRkHqqCUFNJY4AfY3kHU/edit?usp=sharing  #gid=0"",""фіз особи new!relations_name""),6,FALSE)
,
(IF
(
C2968=""юридична особа""
,
VLOOKUP"&amp;"(D2968,IMPORTRANGE(""https://docs.google.com/spreadsheets/d/14Bd19lYaqBhU8_DElYkX7l4wRkHqqCUFNJY4AfY3kHU/edit?usp=sharing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G2967" s="7" t="s">
        <v>10</v>
      </c>
      <c r="H2967" s="7">
        <v>4313</v>
      </c>
      <c r="I2967" s="8" t="str">
        <f ca="1">IFERROR(__xludf.DUMMYFUNCTION("IF
(
G2968=""фізична особа""
,
VLOOKUP(H2968,IMPORTRANGE(""https://docs.google.com/spreadsheets/d/14Bd19lYaqBhU8_DElYkX7l4wRkHqqCUFNJY4AfY3kHU/edit?usp=sharing  #gid=0"",""фіз особи new!relations_name""),6,FALSE)
,
(IF
(
G2968=""юридична особа""
,
VLOOKUP"&amp;"(H2968,IMPORTRANGE(""https://docs.google.com/spreadsheets/d/14Bd19lYaqBhU8_DElYkX7l4wRkHqqCUFNJY4AfY3kHU/edit?usp=sharing  #gid=0"",""фіз особи new!relations_name_uo""),7,FALSE)
,
)
))"),"КРУГЛА Ріна Володимирівна")</f>
        <v>КРУГЛА Ріна Володимирівна</v>
      </c>
      <c r="J2967" s="7" t="s">
        <v>13</v>
      </c>
    </row>
    <row r="2968" spans="1:10" ht="13.2">
      <c r="A2968" s="7">
        <v>2967</v>
      </c>
      <c r="B2968" s="7">
        <v>1</v>
      </c>
      <c r="C2968" s="7" t="s">
        <v>10</v>
      </c>
      <c r="D2968" s="7">
        <v>857</v>
      </c>
      <c r="E2968" s="7" t="s">
        <v>12</v>
      </c>
      <c r="F2968" s="8" t="str">
        <f ca="1">IFERROR(__xludf.DUMMYFUNCTION("IF
(
C2969=""фізична особа""
,
VLOOKUP(D2969,IMPORTRANGE(""https://docs.google.com/spreadsheets/d/14Bd19lYaqBhU8_DElYkX7l4wRkHqqCUFNJY4AfY3kHU/edit?usp=sharing  #gid=0"",""фіз особи new!relations_name""),6,FALSE)
,
(IF
(
C2969=""юридична особа""
,
VLOOKUP"&amp;"(D2969,IMPORTRANGE(""https://docs.google.com/spreadsheets/d/14Bd19lYaqBhU8_DElYkX7l4wRkHqqCUFNJY4AfY3kHU/edit?usp=sharing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G2968" s="7" t="s">
        <v>10</v>
      </c>
      <c r="H2968" s="7">
        <v>4313</v>
      </c>
      <c r="I2968" s="8" t="str">
        <f ca="1">IFERROR(__xludf.DUMMYFUNCTION("IF
(
G2969=""фізична особа""
,
VLOOKUP(H2969,IMPORTRANGE(""https://docs.google.com/spreadsheets/d/14Bd19lYaqBhU8_DElYkX7l4wRkHqqCUFNJY4AfY3kHU/edit?usp=sharing  #gid=0"",""фіз особи new!relations_name""),6,FALSE)
,
(IF
(
G2969=""юридична особа""
,
VLOOKUP"&amp;"(H2969,IMPORTRANGE(""https://docs.google.com/spreadsheets/d/14Bd19lYaqBhU8_DElYkX7l4wRkHqqCUFNJY4AfY3kHU/edit?usp=sharing  #gid=0"",""фіз особи new!relations_name_uo""),7,FALSE)
,
)
))"),"КРУГЛА Ріна Володимирівна")</f>
        <v>КРУГЛА Ріна Володимирівна</v>
      </c>
      <c r="J2968" s="7" t="s">
        <v>13</v>
      </c>
    </row>
    <row r="2969" spans="1:10" ht="13.2">
      <c r="A2969" s="7">
        <v>2968</v>
      </c>
      <c r="B2969" s="7">
        <v>1</v>
      </c>
      <c r="C2969" s="7" t="s">
        <v>10</v>
      </c>
      <c r="D2969" s="7">
        <v>857</v>
      </c>
      <c r="E2969" s="7" t="s">
        <v>14</v>
      </c>
      <c r="F2969" s="8" t="str">
        <f ca="1">IFERROR(__xludf.DUMMYFUNCTION("IF
(
C2970=""фізична особа""
,
VLOOKUP(D2970,IMPORTRANGE(""https://docs.google.com/spreadsheets/d/14Bd19lYaqBhU8_DElYkX7l4wRkHqqCUFNJY4AfY3kHU/edit?usp=sharing  #gid=0"",""фіз особи new!relations_name""),6,FALSE)
,
(IF
(
C2970=""юридична особа""
,
VLOOKUP"&amp;"(D2970,IMPORTRANGE(""https://docs.google.com/spreadsheets/d/14Bd19lYaqBhU8_DElYkX7l4wRkHqqCUFNJY4AfY3kHU/edit?usp=sharing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G2969" s="7" t="s">
        <v>10</v>
      </c>
      <c r="H2969" s="7">
        <v>0</v>
      </c>
      <c r="I2969" s="8" t="str">
        <f ca="1">IFERROR(__xludf.DUMMYFUNCTION("IF
(
G2970=""фізична особа""
,
VLOOKUP(H2970,IMPORTRANGE(""https://docs.google.com/spreadsheets/d/14Bd19lYaqBhU8_DElYkX7l4wRkHqqCUFNJY4AfY3kHU/edit?usp=sharing  #gid=0"",""фіз особи new!relations_name""),6,FALSE)
,
(IF
(
G2970=""юридична особа""
,
VLOOKUP"&amp;"(H2970,IMPORTRANGE(""https://docs.google.com/spreadsheets/d/14Bd19lYaqBhU8_DElYkX7l4wRkHqqCUFNJY4AfY3kHU/edit?usp=sharing  #gid=0"",""фіз особи new!relations_name_uo""),7,FALSE)
,
)
))"),"#N/A")</f>
        <v>#N/A</v>
      </c>
      <c r="J2969" s="7" t="s">
        <v>15</v>
      </c>
    </row>
    <row r="2970" spans="1:10" ht="13.2">
      <c r="A2970" s="7">
        <v>2969</v>
      </c>
      <c r="B2970" s="7">
        <v>1</v>
      </c>
      <c r="C2970" s="7" t="s">
        <v>10</v>
      </c>
      <c r="D2970" s="7">
        <v>858</v>
      </c>
      <c r="E2970" s="7" t="s">
        <v>12</v>
      </c>
      <c r="F2970" s="8" t="str">
        <f ca="1">IFERROR(__xludf.DUMMYFUNCTION("IF
(
C2971=""фізична особа""
,
VLOOKUP(D2971,IMPORTRANGE(""https://docs.google.com/spreadsheets/d/14Bd19lYaqBhU8_DElYkX7l4wRkHqqCUFNJY4AfY3kHU/edit?usp=sharing  #gid=0"",""фіз особи new!relations_name""),6,FALSE)
,
(IF
(
C2971=""юридична особа""
,
VLOOKUP"&amp;"(D2971,IMPORTRANGE(""https://docs.google.com/spreadsheets/d/14Bd19lYaqBhU8_DElYkX7l4wRkHqqCUFNJY4AfY3kHU/edit?usp=sharing  #gid=0"",""фіз особи new!relations_name_uo""),7,FALSE)
,
)
))"),"САМОКІШ Володимир Ігорович")</f>
        <v>САМОКІШ Володимир Ігорович</v>
      </c>
      <c r="G2970" s="7" t="s">
        <v>10</v>
      </c>
      <c r="H2970" s="7">
        <v>0</v>
      </c>
      <c r="I2970" s="8" t="str">
        <f ca="1">IFERROR(__xludf.DUMMYFUNCTION("IF
(
G2971=""фізична особа""
,
VLOOKUP(H2971,IMPORTRANGE(""https://docs.google.com/spreadsheets/d/14Bd19lYaqBhU8_DElYkX7l4wRkHqqCUFNJY4AfY3kHU/edit?usp=sharing  #gid=0"",""фіз особи new!relations_name""),6,FALSE)
,
(IF
(
G2971=""юридична особа""
,
VLOOKUP"&amp;"(H2971,IMPORTRANGE(""https://docs.google.com/spreadsheets/d/14Bd19lYaqBhU8_DElYkX7l4wRkHqqCUFNJY4AfY3kHU/edit?usp=sharing  #gid=0"",""фіз особи new!relations_name_uo""),7,FALSE)
,
)
))"),"#N/A")</f>
        <v>#N/A</v>
      </c>
      <c r="J2970" s="7" t="s">
        <v>17</v>
      </c>
    </row>
    <row r="2971" spans="1:10" ht="13.2">
      <c r="A2971" s="7">
        <v>2970</v>
      </c>
      <c r="B2971" s="7">
        <v>1</v>
      </c>
      <c r="C2971" s="7" t="s">
        <v>10</v>
      </c>
      <c r="D2971" s="7">
        <v>859</v>
      </c>
      <c r="E2971" s="7" t="s">
        <v>29</v>
      </c>
      <c r="F2971" s="8" t="str">
        <f ca="1">IFERROR(__xludf.DUMMYFUNCTION("IF
(
C2972=""фізична особа""
,
VLOOKUP(D2972,IMPORTRANGE(""https://docs.google.com/spreadsheets/d/14Bd19lYaqBhU8_DElYkX7l4wRkHqqCUFNJY4AfY3kHU/edit?usp=sharing  #gid=0"",""фіз особи new!relations_name""),6,FALSE)
,
(IF
(
C2972=""юридична особа""
,
VLOOKUP"&amp;"(D2972,IMPORTRANGE(""https://docs.google.com/spreadsheets/d/14Bd19lYaqBhU8_DElYkX7l4wRkHqqCUFNJY4AfY3kHU/edit?usp=sharing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1" s="7" t="s">
        <v>10</v>
      </c>
      <c r="H2971" s="7">
        <v>23457</v>
      </c>
      <c r="I2971" s="8" t="str">
        <f ca="1">IFERROR(__xludf.DUMMYFUNCTION("IF
(
G2972=""фізична особа""
,
VLOOKUP(H2972,IMPORTRANGE(""https://docs.google.com/spreadsheets/d/14Bd19lYaqBhU8_DElYkX7l4wRkHqqCUFNJY4AfY3kHU/edit?usp=sharing  #gid=0"",""фіз особи new!relations_name""),6,FALSE)
,
(IF
(
G2972=""юридична особа""
,
VLOOKUP"&amp;"(H2972,IMPORTRANGE(""https://docs.google.com/spreadsheets/d/14Bd19lYaqBhU8_DElYkX7l4wRkHqqCUFNJY4AfY3kHU/edit?usp=sharing  #gid=0"",""фіз особи new!relations_name_uo""),7,FALSE)
,
)
))"),"КІТАЄВА Ніна Миколаївна")</f>
        <v>КІТАЄВА Ніна Миколаївна</v>
      </c>
      <c r="J2971" s="7" t="s">
        <v>28</v>
      </c>
    </row>
    <row r="2972" spans="1:10" ht="13.2">
      <c r="A2972" s="7">
        <v>2971</v>
      </c>
      <c r="B2972" s="7">
        <v>1</v>
      </c>
      <c r="C2972" s="7" t="s">
        <v>10</v>
      </c>
      <c r="D2972" s="7">
        <v>859</v>
      </c>
      <c r="E2972" s="7" t="s">
        <v>48</v>
      </c>
      <c r="F2972" s="8" t="str">
        <f ca="1">IFERROR(__xludf.DUMMYFUNCTION("IF
(
C2973=""фізична особа""
,
VLOOKUP(D2973,IMPORTRANGE(""https://docs.google.com/spreadsheets/d/14Bd19lYaqBhU8_DElYkX7l4wRkHqqCUFNJY4AfY3kHU/edit?usp=sharing  #gid=0"",""фіз особи new!relations_name""),6,FALSE)
,
(IF
(
C2973=""юридична особа""
,
VLOOKUP"&amp;"(D2973,IMPORTRANGE(""https://docs.google.com/spreadsheets/d/14Bd19lYaqBhU8_DElYkX7l4wRkHqqCUFNJY4AfY3kHU/edit?usp=sharing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2" s="7" t="s">
        <v>10</v>
      </c>
      <c r="H2972" s="7">
        <v>0</v>
      </c>
      <c r="I2972" s="8" t="str">
        <f ca="1">IFERROR(__xludf.DUMMYFUNCTION("IF
(
G2973=""фізична особа""
,
VLOOKUP(H2973,IMPORTRANGE(""https://docs.google.com/spreadsheets/d/14Bd19lYaqBhU8_DElYkX7l4wRkHqqCUFNJY4AfY3kHU/edit?usp=sharing  #gid=0"",""фіз особи new!relations_name""),6,FALSE)
,
(IF
(
G2973=""юридична особа""
,
VLOOKUP"&amp;"(H2973,IMPORTRANGE(""https://docs.google.com/spreadsheets/d/14Bd19lYaqBhU8_DElYkX7l4wRkHqqCUFNJY4AfY3kHU/edit?usp=sharing  #gid=0"",""фіз особи new!relations_name_uo""),7,FALSE)
,
)
))"),"#N/A")</f>
        <v>#N/A</v>
      </c>
      <c r="J2972" s="7" t="s">
        <v>48</v>
      </c>
    </row>
    <row r="2973" spans="1:10" ht="13.2">
      <c r="A2973" s="7">
        <v>2972</v>
      </c>
      <c r="B2973" s="7">
        <v>1</v>
      </c>
      <c r="C2973" s="7" t="s">
        <v>10</v>
      </c>
      <c r="D2973" s="7">
        <v>859</v>
      </c>
      <c r="E2973" s="7" t="s">
        <v>40</v>
      </c>
      <c r="F2973" s="8" t="str">
        <f ca="1">IFERROR(__xludf.DUMMYFUNCTION("IF
(
C2974=""фізична особа""
,
VLOOKUP(D2974,IMPORTRANGE(""https://docs.google.com/spreadsheets/d/14Bd19lYaqBhU8_DElYkX7l4wRkHqqCUFNJY4AfY3kHU/edit?usp=sharing  #gid=0"",""фіз особи new!relations_name""),6,FALSE)
,
(IF
(
C2974=""юридична особа""
,
VLOOKUP"&amp;"(D2974,IMPORTRANGE(""https://docs.google.com/spreadsheets/d/14Bd19lYaqBhU8_DElYkX7l4wRkHqqCUFNJY4AfY3kHU/edit?usp=sharing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3" s="7" t="s">
        <v>10</v>
      </c>
      <c r="H2973" s="7">
        <v>23451</v>
      </c>
      <c r="I2973" s="8" t="str">
        <f ca="1">IFERROR(__xludf.DUMMYFUNCTION("IF
(
G2974=""фізична особа""
,
VLOOKUP(H2974,IMPORTRANGE(""https://docs.google.com/spreadsheets/d/14Bd19lYaqBhU8_DElYkX7l4wRkHqqCUFNJY4AfY3kHU/edit?usp=sharing  #gid=0"",""фіз особи new!relations_name""),6,FALSE)
,
(IF
(
G2974=""юридична особа""
,
VLOOKUP"&amp;"(H2974,IMPORTRANGE(""https://docs.google.com/spreadsheets/d/14Bd19lYaqBhU8_DElYkX7l4wRkHqqCUFNJY4AfY3kHU/edit?usp=sharing  #gid=0"",""фіз особи new!relations_name_uo""),7,FALSE)
,
)
))"),"ЛУЖКОВ Юрій Михайлович")</f>
        <v>ЛУЖКОВ Юрій Михайлович</v>
      </c>
      <c r="J2973" s="7" t="s">
        <v>41</v>
      </c>
    </row>
    <row r="2974" spans="1:10" ht="13.2">
      <c r="A2974" s="7">
        <v>2973</v>
      </c>
      <c r="B2974" s="7">
        <v>1</v>
      </c>
      <c r="C2974" s="7" t="s">
        <v>10</v>
      </c>
      <c r="D2974" s="7">
        <v>859</v>
      </c>
      <c r="E2974" s="7" t="s">
        <v>48</v>
      </c>
      <c r="F2974" s="8" t="str">
        <f ca="1">IFERROR(__xludf.DUMMYFUNCTION("IF
(
C2975=""фізична особа""
,
VLOOKUP(D2975,IMPORTRANGE(""https://docs.google.com/spreadsheets/d/14Bd19lYaqBhU8_DElYkX7l4wRkHqqCUFNJY4AfY3kHU/edit?usp=sharing  #gid=0"",""фіз особи new!relations_name""),6,FALSE)
,
(IF
(
C2975=""юридична особа""
,
VLOOKUP"&amp;"(D2975,IMPORTRANGE(""https://docs.google.com/spreadsheets/d/14Bd19lYaqBhU8_DElYkX7l4wRkHqqCUFNJY4AfY3kHU/edit?usp=sharing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4" s="7" t="s">
        <v>10</v>
      </c>
      <c r="H2974" s="7">
        <v>737</v>
      </c>
      <c r="I2974" s="8" t="str">
        <f ca="1">IFERROR(__xludf.DUMMYFUNCTION("IF
(
G2975=""фізична особа""
,
VLOOKUP(H2975,IMPORTRANGE(""https://docs.google.com/spreadsheets/d/14Bd19lYaqBhU8_DElYkX7l4wRkHqqCUFNJY4AfY3kHU/edit?usp=sharing  #gid=0"",""фіз особи new!relations_name""),6,FALSE)
,
(IF
(
G2975=""юридична особа""
,
VLOOKUP"&amp;"(H2975,IMPORTRANGE(""https://docs.google.com/spreadsheets/d/14Bd19lYaqBhU8_DElYkX7l4wRkHqqCUFNJY4AfY3kHU/edit?usp=sharing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2974" s="7" t="s">
        <v>48</v>
      </c>
    </row>
    <row r="2975" spans="1:10" ht="13.2">
      <c r="A2975" s="7">
        <v>2974</v>
      </c>
      <c r="B2975" s="7">
        <v>1</v>
      </c>
      <c r="C2975" s="7" t="s">
        <v>10</v>
      </c>
      <c r="D2975" s="7">
        <v>859</v>
      </c>
      <c r="E2975" s="7" t="s">
        <v>48</v>
      </c>
      <c r="F2975" s="8" t="str">
        <f ca="1">IFERROR(__xludf.DUMMYFUNCTION("IF
(
C2976=""фізична особа""
,
VLOOKUP(D2976,IMPORTRANGE(""https://docs.google.com/spreadsheets/d/14Bd19lYaqBhU8_DElYkX7l4wRkHqqCUFNJY4AfY3kHU/edit?usp=sharing  #gid=0"",""фіз особи new!relations_name""),6,FALSE)
,
(IF
(
C2976=""юридична особа""
,
VLOOKUP"&amp;"(D2976,IMPORTRANGE(""https://docs.google.com/spreadsheets/d/14Bd19lYaqBhU8_DElYkX7l4wRkHqqCUFNJY4AfY3kHU/edit?usp=sharing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5" s="7" t="s">
        <v>10</v>
      </c>
      <c r="H2975" s="7">
        <v>677</v>
      </c>
      <c r="I2975" s="8" t="str">
        <f ca="1">IFERROR(__xludf.DUMMYFUNCTION("IF
(
G2976=""фізична особа""
,
VLOOKUP(H2976,IMPORTRANGE(""https://docs.google.com/spreadsheets/d/14Bd19lYaqBhU8_DElYkX7l4wRkHqqCUFNJY4AfY3kHU/edit?usp=sharing  #gid=0"",""фіз особи new!relations_name""),6,FALSE)
,
(IF
(
G2976=""юридична особа""
,
VLOOKUP"&amp;"(H2976,IMPORTRANGE(""https://docs.google.com/spreadsheets/d/14Bd19lYaqBhU8_DElYkX7l4wRkHqqCUFNJY4AfY3kHU/edit?usp=sharing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2975" s="7" t="s">
        <v>48</v>
      </c>
    </row>
    <row r="2976" spans="1:10" ht="13.2">
      <c r="A2976" s="7">
        <v>2975</v>
      </c>
      <c r="B2976" s="7">
        <v>1</v>
      </c>
      <c r="C2976" s="7" t="s">
        <v>10</v>
      </c>
      <c r="D2976" s="7">
        <v>859</v>
      </c>
      <c r="E2976" s="7" t="s">
        <v>48</v>
      </c>
      <c r="F2976" s="8" t="str">
        <f ca="1">IFERROR(__xludf.DUMMYFUNCTION("IF
(
C2977=""фізична особа""
,
VLOOKUP(D2977,IMPORTRANGE(""https://docs.google.com/spreadsheets/d/14Bd19lYaqBhU8_DElYkX7l4wRkHqqCUFNJY4AfY3kHU/edit?usp=sharing  #gid=0"",""фіз особи new!relations_name""),6,FALSE)
,
(IF
(
C2977=""юридична особа""
,
VLOOKUP"&amp;"(D2977,IMPORTRANGE(""https://docs.google.com/spreadsheets/d/14Bd19lYaqBhU8_DElYkX7l4wRkHqqCUFNJY4AfY3kHU/edit?usp=sharing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6" s="7" t="s">
        <v>10</v>
      </c>
      <c r="H2976" s="7">
        <v>8913</v>
      </c>
      <c r="I2976" s="8" t="str">
        <f ca="1">IFERROR(__xludf.DUMMYFUNCTION("IF
(
G2977=""фізична особа""
,
VLOOKUP(H2977,IMPORTRANGE(""https://docs.google.com/spreadsheets/d/14Bd19lYaqBhU8_DElYkX7l4wRkHqqCUFNJY4AfY3kHU/edit?usp=sharing  #gid=0"",""фіз особи new!relations_name""),6,FALSE)
,
(IF
(
G2977=""юридична особа""
,
VLOOKUP"&amp;"(H2977,IMPORTRANGE(""https://docs.google.com/spreadsheets/d/14Bd19lYaqBhU8_DElYkX7l4wRkHqqCUFNJY4AfY3kHU/edit?usp=sharing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2976" s="7" t="s">
        <v>48</v>
      </c>
    </row>
    <row r="2977" spans="1:10" ht="13.2">
      <c r="A2977" s="7">
        <v>2976</v>
      </c>
      <c r="B2977" s="7">
        <v>1</v>
      </c>
      <c r="C2977" s="7" t="s">
        <v>10</v>
      </c>
      <c r="D2977" s="7">
        <v>859</v>
      </c>
      <c r="E2977" s="7" t="s">
        <v>12</v>
      </c>
      <c r="F2977" s="8" t="str">
        <f ca="1">IFERROR(__xludf.DUMMYFUNCTION("IF
(
C2978=""фізична особа""
,
VLOOKUP(D2978,IMPORTRANGE(""https://docs.google.com/spreadsheets/d/14Bd19lYaqBhU8_DElYkX7l4wRkHqqCUFNJY4AfY3kHU/edit?usp=sharing  #gid=0"",""фіз особи new!relations_name""),6,FALSE)
,
(IF
(
C2978=""юридична особа""
,
VLOOKUP"&amp;"(D2978,IMPORTRANGE(""https://docs.google.com/spreadsheets/d/14Bd19lYaqBhU8_DElYkX7l4wRkHqqCUFNJY4AfY3kHU/edit?usp=sharing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7" s="7" t="s">
        <v>10</v>
      </c>
      <c r="H2977" s="7">
        <v>15629</v>
      </c>
      <c r="I2977" s="8" t="str">
        <f ca="1">IFERROR(__xludf.DUMMYFUNCTION("IF
(
G2978=""фізична особа""
,
VLOOKUP(H2978,IMPORTRANGE(""https://docs.google.com/spreadsheets/d/14Bd19lYaqBhU8_DElYkX7l4wRkHqqCUFNJY4AfY3kHU/edit?usp=sharing  #gid=0"",""фіз особи new!relations_name""),6,FALSE)
,
(IF
(
G2978=""юридична особа""
,
VLOOKUP"&amp;"(H2978,IMPORTRANGE(""https://docs.google.com/spreadsheets/d/14Bd19lYaqBhU8_DElYkX7l4wRkHqqCUFNJY4AfY3kHU/edit?usp=sharing  #gid=0"",""фіз особи new!relations_name_uo""),7,FALSE)
,
)
))"),"ДЕМІДОВА Катерина Володимирівна")</f>
        <v>ДЕМІДОВА Катерина Володимирівна</v>
      </c>
      <c r="J2977" s="7" t="s">
        <v>13</v>
      </c>
    </row>
    <row r="2978" spans="1:10" ht="13.2">
      <c r="A2978" s="7">
        <v>2977</v>
      </c>
      <c r="B2978" s="7">
        <v>1</v>
      </c>
      <c r="C2978" s="7" t="s">
        <v>10</v>
      </c>
      <c r="D2978" s="7">
        <v>859</v>
      </c>
      <c r="E2978" s="7" t="s">
        <v>24</v>
      </c>
      <c r="F2978" s="8" t="str">
        <f ca="1">IFERROR(__xludf.DUMMYFUNCTION("IF
(
C2979=""фізична особа""
,
VLOOKUP(D2979,IMPORTRANGE(""https://docs.google.com/spreadsheets/d/14Bd19lYaqBhU8_DElYkX7l4wRkHqqCUFNJY4AfY3kHU/edit?usp=sharing  #gid=0"",""фіз особи new!relations_name""),6,FALSE)
,
(IF
(
C2979=""юридична особа""
,
VLOOKUP"&amp;"(D2979,IMPORTRANGE(""https://docs.google.com/spreadsheets/d/14Bd19lYaqBhU8_DElYkX7l4wRkHqqCUFNJY4AfY3kHU/edit?usp=sharing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8" s="7" t="s">
        <v>10</v>
      </c>
      <c r="H2978" s="7">
        <v>15630</v>
      </c>
      <c r="I2978" s="8" t="str">
        <f ca="1">IFERROR(__xludf.DUMMYFUNCTION("IF
(
G2979=""фізична особа""
,
VLOOKUP(H2979,IMPORTRANGE(""https://docs.google.com/spreadsheets/d/14Bd19lYaqBhU8_DElYkX7l4wRkHqqCUFNJY4AfY3kHU/edit?usp=sharing  #gid=0"",""фіз особи new!relations_name""),6,FALSE)
,
(IF
(
G2979=""юридична особа""
,
VLOOKUP"&amp;"(H2979,IMPORTRANGE(""https://docs.google.com/spreadsheets/d/14Bd19lYaqBhU8_DElYkX7l4wRkHqqCUFNJY4AfY3kHU/edit?usp=sharing  #gid=0"",""фіз особи new!relations_name_uo""),7,FALSE)
,
)
))"),"ДЕМІДОВ Віталій Володимирович")</f>
        <v>ДЕМІДОВ Віталій Володимирович</v>
      </c>
      <c r="J2978" s="7" t="s">
        <v>26</v>
      </c>
    </row>
    <row r="2979" spans="1:10" ht="13.2">
      <c r="A2979" s="7">
        <v>2978</v>
      </c>
      <c r="B2979" s="7">
        <v>1</v>
      </c>
      <c r="C2979" s="7" t="s">
        <v>10</v>
      </c>
      <c r="D2979" s="7">
        <v>859</v>
      </c>
      <c r="E2979" s="7" t="s">
        <v>59</v>
      </c>
      <c r="F2979" s="8" t="str">
        <f ca="1">IFERROR(__xludf.DUMMYFUNCTION("IF
(
C2980=""фізична особа""
,
VLOOKUP(D2980,IMPORTRANGE(""https://docs.google.com/spreadsheets/d/14Bd19lYaqBhU8_DElYkX7l4wRkHqqCUFNJY4AfY3kHU/edit?usp=sharing  #gid=0"",""фіз особи new!relations_name""),6,FALSE)
,
(IF
(
C2980=""юридична особа""
,
VLOOKUP"&amp;"(D2980,IMPORTRANGE(""https://docs.google.com/spreadsheets/d/14Bd19lYaqBhU8_DElYkX7l4wRkHqqCUFNJY4AfY3kHU/edit?usp=sharing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79" s="7" t="s">
        <v>10</v>
      </c>
      <c r="H2979" s="7">
        <v>15631</v>
      </c>
      <c r="I2979" s="8" t="str">
        <f ca="1">IFERROR(__xludf.DUMMYFUNCTION("IF
(
G2980=""фізична особа""
,
VLOOKUP(H2980,IMPORTRANGE(""https://docs.google.com/spreadsheets/d/14Bd19lYaqBhU8_DElYkX7l4wRkHqqCUFNJY4AfY3kHU/edit?usp=sharing  #gid=0"",""фіз особи new!relations_name""),6,FALSE)
,
(IF
(
G2980=""юридична особа""
,
VLOOKUP"&amp;"(H2980,IMPORTRANGE(""https://docs.google.com/spreadsheets/d/14Bd19lYaqBhU8_DElYkX7l4wRkHqqCUFNJY4AfY3kHU/edit?usp=sharing  #gid=0"",""фіз особи new!relations_name_uo""),7,FALSE)
,
)
))"),"ДЕМІДОВ Володимир Віталійович")</f>
        <v>ДЕМІДОВ Володимир Віталійович</v>
      </c>
      <c r="J2979" s="7" t="s">
        <v>61</v>
      </c>
    </row>
    <row r="2980" spans="1:10" ht="13.2">
      <c r="A2980" s="7">
        <v>2979</v>
      </c>
      <c r="B2980" s="7">
        <v>1</v>
      </c>
      <c r="C2980" s="7" t="s">
        <v>10</v>
      </c>
      <c r="D2980" s="7">
        <v>859</v>
      </c>
      <c r="E2980" s="7" t="s">
        <v>14</v>
      </c>
      <c r="F2980" s="8" t="str">
        <f ca="1">IFERROR(__xludf.DUMMYFUNCTION("IF
(
C2981=""фізична особа""
,
VLOOKUP(D2981,IMPORTRANGE(""https://docs.google.com/spreadsheets/d/14Bd19lYaqBhU8_DElYkX7l4wRkHqqCUFNJY4AfY3kHU/edit?usp=sharing  #gid=0"",""фіз особи new!relations_name""),6,FALSE)
,
(IF
(
C2981=""юридична особа""
,
VLOOKUP"&amp;"(D2981,IMPORTRANGE(""https://docs.google.com/spreadsheets/d/14Bd19lYaqBhU8_DElYkX7l4wRkHqqCUFNJY4AfY3kHU/edit?usp=sharing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2980" s="7" t="s">
        <v>10</v>
      </c>
      <c r="H2980" s="7">
        <v>0</v>
      </c>
      <c r="I2980" s="8" t="str">
        <f ca="1">IFERROR(__xludf.DUMMYFUNCTION("IF
(
G2981=""фізична особа""
,
VLOOKUP(H2981,IMPORTRANGE(""https://docs.google.com/spreadsheets/d/14Bd19lYaqBhU8_DElYkX7l4wRkHqqCUFNJY4AfY3kHU/edit?usp=sharing  #gid=0"",""фіз особи new!relations_name""),6,FALSE)
,
(IF
(
G2981=""юридична особа""
,
VLOOKUP"&amp;"(H2981,IMPORTRANGE(""https://docs.google.com/spreadsheets/d/14Bd19lYaqBhU8_DElYkX7l4wRkHqqCUFNJY4AfY3kHU/edit?usp=sharing  #gid=0"",""фіз особи new!relations_name_uo""),7,FALSE)
,
)
))"),"#N/A")</f>
        <v>#N/A</v>
      </c>
      <c r="J2980" s="7" t="s">
        <v>15</v>
      </c>
    </row>
    <row r="2981" spans="1:10" ht="13.2">
      <c r="A2981" s="7">
        <v>2980</v>
      </c>
      <c r="B2981" s="7">
        <v>1</v>
      </c>
      <c r="C2981" s="7" t="s">
        <v>10</v>
      </c>
      <c r="D2981" s="7">
        <v>860</v>
      </c>
      <c r="E2981" s="7" t="s">
        <v>29</v>
      </c>
      <c r="F2981" s="8" t="str">
        <f ca="1">IFERROR(__xludf.DUMMYFUNCTION("IF
(
C2982=""фізична особа""
,
VLOOKUP(D2982,IMPORTRANGE(""https://docs.google.com/spreadsheets/d/14Bd19lYaqBhU8_DElYkX7l4wRkHqqCUFNJY4AfY3kHU/edit?usp=sharing  #gid=0"",""фіз особи new!relations_name""),6,FALSE)
,
(IF
(
C2982=""юридична особа""
,
VLOOKUP"&amp;"(D2982,IMPORTRANGE(""https://docs.google.com/spreadsheets/d/14Bd19lYaqBhU8_DElYkX7l4wRkHqqCUFNJY4AfY3kHU/edit?usp=sharing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1" s="7" t="s">
        <v>10</v>
      </c>
      <c r="H2981" s="7">
        <v>3149</v>
      </c>
      <c r="I2981" s="8" t="str">
        <f ca="1">IFERROR(__xludf.DUMMYFUNCTION("IF
(
G2982=""фізична особа""
,
VLOOKUP(H2982,IMPORTRANGE(""https://docs.google.com/spreadsheets/d/14Bd19lYaqBhU8_DElYkX7l4wRkHqqCUFNJY4AfY3kHU/edit?usp=sharing  #gid=0"",""фіз особи new!relations_name""),6,FALSE)
,
(IF
(
G2982=""юридична особа""
,
VLOOKUP"&amp;"(H2982,IMPORTRANGE(""https://docs.google.com/spreadsheets/d/14Bd19lYaqBhU8_DElYkX7l4wRkHqqCUFNJY4AfY3kHU/edit?usp=sharing  #gid=0"",""фіз особи new!relations_name_uo""),7,FALSE)
,
)
))"),"ДАВИДОВ Руслан Валентинович")</f>
        <v>ДАВИДОВ Руслан Валентинович</v>
      </c>
      <c r="J2981" s="7" t="s">
        <v>28</v>
      </c>
    </row>
    <row r="2982" spans="1:10" ht="13.2">
      <c r="A2982" s="7">
        <v>2981</v>
      </c>
      <c r="B2982" s="7">
        <v>1</v>
      </c>
      <c r="C2982" s="7" t="s">
        <v>10</v>
      </c>
      <c r="D2982" s="7">
        <v>860</v>
      </c>
      <c r="E2982" s="7" t="s">
        <v>29</v>
      </c>
      <c r="F2982" s="8" t="str">
        <f ca="1">IFERROR(__xludf.DUMMYFUNCTION("IF
(
C2983=""фізична особа""
,
VLOOKUP(D2983,IMPORTRANGE(""https://docs.google.com/spreadsheets/d/14Bd19lYaqBhU8_DElYkX7l4wRkHqqCUFNJY4AfY3kHU/edit?usp=sharing  #gid=0"",""фіз особи new!relations_name""),6,FALSE)
,
(IF
(
C2983=""юридична особа""
,
VLOOKUP"&amp;"(D2983,IMPORTRANGE(""https://docs.google.com/spreadsheets/d/14Bd19lYaqBhU8_DElYkX7l4wRkHqqCUFNJY4AfY3kHU/edit?usp=sharing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2" s="7" t="s">
        <v>10</v>
      </c>
      <c r="H2982" s="7">
        <v>3149</v>
      </c>
      <c r="I2982" s="8" t="str">
        <f ca="1">IFERROR(__xludf.DUMMYFUNCTION("IF
(
G2983=""фізична особа""
,
VLOOKUP(H2983,IMPORTRANGE(""https://docs.google.com/spreadsheets/d/14Bd19lYaqBhU8_DElYkX7l4wRkHqqCUFNJY4AfY3kHU/edit?usp=sharing  #gid=0"",""фіз особи new!relations_name""),6,FALSE)
,
(IF
(
G2983=""юридична особа""
,
VLOOKUP"&amp;"(H2983,IMPORTRANGE(""https://docs.google.com/spreadsheets/d/14Bd19lYaqBhU8_DElYkX7l4wRkHqqCUFNJY4AfY3kHU/edit?usp=sharing  #gid=0"",""фіз особи new!relations_name_uo""),7,FALSE)
,
)
))"),"ДАВИДОВ Руслан Валентинович")</f>
        <v>ДАВИДОВ Руслан Валентинович</v>
      </c>
      <c r="J2982" s="7" t="s">
        <v>28</v>
      </c>
    </row>
    <row r="2983" spans="1:10" ht="13.2">
      <c r="A2983" s="7">
        <v>2982</v>
      </c>
      <c r="B2983" s="7">
        <v>1</v>
      </c>
      <c r="C2983" s="7" t="s">
        <v>10</v>
      </c>
      <c r="D2983" s="7">
        <v>860</v>
      </c>
      <c r="E2983" s="7" t="s">
        <v>29</v>
      </c>
      <c r="F2983" s="8" t="str">
        <f ca="1">IFERROR(__xludf.DUMMYFUNCTION("IF
(
C2984=""фізична особа""
,
VLOOKUP(D2984,IMPORTRANGE(""https://docs.google.com/spreadsheets/d/14Bd19lYaqBhU8_DElYkX7l4wRkHqqCUFNJY4AfY3kHU/edit?usp=sharing  #gid=0"",""фіз особи new!relations_name""),6,FALSE)
,
(IF
(
C2984=""юридична особа""
,
VLOOKUP"&amp;"(D2984,IMPORTRANGE(""https://docs.google.com/spreadsheets/d/14Bd19lYaqBhU8_DElYkX7l4wRkHqqCUFNJY4AfY3kHU/edit?usp=sharing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3" s="7" t="s">
        <v>10</v>
      </c>
      <c r="H2983" s="7">
        <v>3150</v>
      </c>
      <c r="I2983" s="8" t="str">
        <f ca="1">IFERROR(__xludf.DUMMYFUNCTION("IF
(
G2984=""фізична особа""
,
VLOOKUP(H2984,IMPORTRANGE(""https://docs.google.com/spreadsheets/d/14Bd19lYaqBhU8_DElYkX7l4wRkHqqCUFNJY4AfY3kHU/edit?usp=sharing  #gid=0"",""фіз особи new!relations_name""),6,FALSE)
,
(IF
(
G2984=""юридична особа""
,
VLOOKUP"&amp;"(H2984,IMPORTRANGE(""https://docs.google.com/spreadsheets/d/14Bd19lYaqBhU8_DElYkX7l4wRkHqqCUFNJY4AfY3kHU/edit?usp=sharing  #gid=0"",""фіз особи new!relations_name_uo""),7,FALSE)
,
)
))"),"ІВІН Володимир Володимирович")</f>
        <v>ІВІН Володимир Володимирович</v>
      </c>
      <c r="J2983" s="7" t="s">
        <v>28</v>
      </c>
    </row>
    <row r="2984" spans="1:10" ht="13.2">
      <c r="A2984" s="7">
        <v>2983</v>
      </c>
      <c r="B2984" s="7">
        <v>1</v>
      </c>
      <c r="C2984" s="7" t="s">
        <v>10</v>
      </c>
      <c r="D2984" s="7">
        <v>860</v>
      </c>
      <c r="E2984" s="7" t="s">
        <v>29</v>
      </c>
      <c r="F2984" s="8" t="str">
        <f ca="1">IFERROR(__xludf.DUMMYFUNCTION("IF
(
C2985=""фізична особа""
,
VLOOKUP(D2985,IMPORTRANGE(""https://docs.google.com/spreadsheets/d/14Bd19lYaqBhU8_DElYkX7l4wRkHqqCUFNJY4AfY3kHU/edit?usp=sharing  #gid=0"",""фіз особи new!relations_name""),6,FALSE)
,
(IF
(
C2985=""юридична особа""
,
VLOOKUP"&amp;"(D2985,IMPORTRANGE(""https://docs.google.com/spreadsheets/d/14Bd19lYaqBhU8_DElYkX7l4wRkHqqCUFNJY4AfY3kHU/edit?usp=sharing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4" s="7" t="s">
        <v>10</v>
      </c>
      <c r="H2984" s="7">
        <v>3151</v>
      </c>
      <c r="I2984" s="8" t="str">
        <f ca="1">IFERROR(__xludf.DUMMYFUNCTION("IF
(
G2985=""фізична особа""
,
VLOOKUP(H2985,IMPORTRANGE(""https://docs.google.com/spreadsheets/d/14Bd19lYaqBhU8_DElYkX7l4wRkHqqCUFNJY4AfY3kHU/edit?usp=sharing  #gid=0"",""фіз особи new!relations_name""),6,FALSE)
,
(IF
(
G2985=""юридична особа""
,
VLOOKUP"&amp;"(H2985,IMPORTRANGE(""https://docs.google.com/spreadsheets/d/14Bd19lYaqBhU8_DElYkX7l4wRkHqqCUFNJY4AfY3kHU/edit?usp=sharing  #gid=0"",""фіз особи new!relations_name_uo""),7,FALSE)
,
)
))"),"МОСКАЛЕЦЬ Андрій Олександрович")</f>
        <v>МОСКАЛЕЦЬ Андрій Олександрович</v>
      </c>
      <c r="J2984" s="7" t="s">
        <v>28</v>
      </c>
    </row>
    <row r="2985" spans="1:10" ht="13.2">
      <c r="A2985" s="7">
        <v>2984</v>
      </c>
      <c r="B2985" s="7">
        <v>1</v>
      </c>
      <c r="C2985" s="7" t="s">
        <v>10</v>
      </c>
      <c r="D2985" s="7">
        <v>860</v>
      </c>
      <c r="E2985" s="7" t="s">
        <v>29</v>
      </c>
      <c r="F2985" s="8" t="str">
        <f ca="1">IFERROR(__xludf.DUMMYFUNCTION("IF
(
C2986=""фізична особа""
,
VLOOKUP(D2986,IMPORTRANGE(""https://docs.google.com/spreadsheets/d/14Bd19lYaqBhU8_DElYkX7l4wRkHqqCUFNJY4AfY3kHU/edit?usp=sharing  #gid=0"",""фіз особи new!relations_name""),6,FALSE)
,
(IF
(
C2986=""юридична особа""
,
VLOOKUP"&amp;"(D2986,IMPORTRANGE(""https://docs.google.com/spreadsheets/d/14Bd19lYaqBhU8_DElYkX7l4wRkHqqCUFNJY4AfY3kHU/edit?usp=sharing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5" s="7" t="s">
        <v>10</v>
      </c>
      <c r="H2985" s="7">
        <v>3152</v>
      </c>
      <c r="I2985" s="8" t="str">
        <f ca="1">IFERROR(__xludf.DUMMYFUNCTION("IF
(
G2986=""фізична особа""
,
VLOOKUP(H2986,IMPORTRANGE(""https://docs.google.com/spreadsheets/d/14Bd19lYaqBhU8_DElYkX7l4wRkHqqCUFNJY4AfY3kHU/edit?usp=sharing  #gid=0"",""фіз особи new!relations_name""),6,FALSE)
,
(IF
(
G2986=""юридична особа""
,
VLOOKUP"&amp;"(H2986,IMPORTRANGE(""https://docs.google.com/spreadsheets/d/14Bd19lYaqBhU8_DElYkX7l4wRkHqqCUFNJY4AfY3kHU/edit?usp=sharing  #gid=0"",""фіз особи new!relations_name_uo""),7,FALSE)
,
)
))"),"СТРУКОВ Андрій Борисович")</f>
        <v>СТРУКОВ Андрій Борисович</v>
      </c>
      <c r="J2985" s="7" t="s">
        <v>28</v>
      </c>
    </row>
    <row r="2986" spans="1:10" ht="13.2">
      <c r="A2986" s="7">
        <v>2985</v>
      </c>
      <c r="B2986" s="7">
        <v>1</v>
      </c>
      <c r="C2986" s="7" t="s">
        <v>10</v>
      </c>
      <c r="D2986" s="7">
        <v>860</v>
      </c>
      <c r="E2986" s="7" t="s">
        <v>29</v>
      </c>
      <c r="F2986" s="8" t="str">
        <f ca="1">IFERROR(__xludf.DUMMYFUNCTION("IF
(
C2987=""фізична особа""
,
VLOOKUP(D2987,IMPORTRANGE(""https://docs.google.com/spreadsheets/d/14Bd19lYaqBhU8_DElYkX7l4wRkHqqCUFNJY4AfY3kHU/edit?usp=sharing  #gid=0"",""фіз особи new!relations_name""),6,FALSE)
,
(IF
(
C2987=""юридична особа""
,
VLOOKUP"&amp;"(D2987,IMPORTRANGE(""https://docs.google.com/spreadsheets/d/14Bd19lYaqBhU8_DElYkX7l4wRkHqqCUFNJY4AfY3kHU/edit?usp=sharing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6" s="7" t="s">
        <v>10</v>
      </c>
      <c r="H2986" s="7">
        <v>3153</v>
      </c>
      <c r="I2986" s="8" t="str">
        <f ca="1">IFERROR(__xludf.DUMMYFUNCTION("IF
(
G2987=""фізична особа""
,
VLOOKUP(H2987,IMPORTRANGE(""https://docs.google.com/spreadsheets/d/14Bd19lYaqBhU8_DElYkX7l4wRkHqqCUFNJY4AfY3kHU/edit?usp=sharing  #gid=0"",""фіз особи new!relations_name""),6,FALSE)
,
(IF
(
G2987=""юридична особа""
,
VLOOKUP"&amp;"(H2987,IMPORTRANGE(""https://docs.google.com/spreadsheets/d/14Bd19lYaqBhU8_DElYkX7l4wRkHqqCUFNJY4AfY3kHU/edit?usp=sharing  #gid=0"",""фіз особи new!relations_name_uo""),7,FALSE)
,
)
))"),"ТЕРЕЩЕНКО Денис Вікторович")</f>
        <v>ТЕРЕЩЕНКО Денис Вікторович</v>
      </c>
      <c r="J2986" s="7" t="s">
        <v>28</v>
      </c>
    </row>
    <row r="2987" spans="1:10" ht="13.2">
      <c r="A2987" s="7">
        <v>2986</v>
      </c>
      <c r="B2987" s="7">
        <v>1</v>
      </c>
      <c r="C2987" s="7" t="s">
        <v>10</v>
      </c>
      <c r="D2987" s="7">
        <v>860</v>
      </c>
      <c r="E2987" s="7" t="s">
        <v>29</v>
      </c>
      <c r="F2987" s="8" t="str">
        <f ca="1">IFERROR(__xludf.DUMMYFUNCTION("IF
(
C2988=""фізична особа""
,
VLOOKUP(D2988,IMPORTRANGE(""https://docs.google.com/spreadsheets/d/14Bd19lYaqBhU8_DElYkX7l4wRkHqqCUFNJY4AfY3kHU/edit?usp=sharing  #gid=0"",""фіз особи new!relations_name""),6,FALSE)
,
(IF
(
C2988=""юридична особа""
,
VLOOKUP"&amp;"(D2988,IMPORTRANGE(""https://docs.google.com/spreadsheets/d/14Bd19lYaqBhU8_DElYkX7l4wRkHqqCUFNJY4AfY3kHU/edit?usp=sharing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7" s="7" t="s">
        <v>10</v>
      </c>
      <c r="H2987" s="7">
        <v>3154</v>
      </c>
      <c r="I2987" s="8" t="str">
        <f ca="1">IFERROR(__xludf.DUMMYFUNCTION("IF
(
G2988=""фізична особа""
,
VLOOKUP(H2988,IMPORTRANGE(""https://docs.google.com/spreadsheets/d/14Bd19lYaqBhU8_DElYkX7l4wRkHqqCUFNJY4AfY3kHU/edit?usp=sharing  #gid=0"",""фіз особи new!relations_name""),6,FALSE)
,
(IF
(
G2988=""юридична особа""
,
VLOOKUP"&amp;"(H2988,IMPORTRANGE(""https://docs.google.com/spreadsheets/d/14Bd19lYaqBhU8_DElYkX7l4wRkHqqCUFNJY4AfY3kHU/edit?usp=sharing  #gid=0"",""фіз особи new!relations_name_uo""),7,FALSE)
,
)
))"),"ЯГОДКІНА Олена Володимирівна")</f>
        <v>ЯГОДКІНА Олена Володимирівна</v>
      </c>
      <c r="J2987" s="7" t="s">
        <v>28</v>
      </c>
    </row>
    <row r="2988" spans="1:10" ht="13.2">
      <c r="A2988" s="7">
        <v>2987</v>
      </c>
      <c r="B2988" s="7">
        <v>1</v>
      </c>
      <c r="C2988" s="7" t="s">
        <v>10</v>
      </c>
      <c r="D2988" s="7">
        <v>860</v>
      </c>
      <c r="E2988" s="7" t="s">
        <v>28</v>
      </c>
      <c r="F2988" s="8" t="str">
        <f ca="1">IFERROR(__xludf.DUMMYFUNCTION("IF
(
C2989=""фізична особа""
,
VLOOKUP(D2989,IMPORTRANGE(""https://docs.google.com/spreadsheets/d/14Bd19lYaqBhU8_DElYkX7l4wRkHqqCUFNJY4AfY3kHU/edit?usp=sharing  #gid=0"",""фіз особи new!relations_name""),6,FALSE)
,
(IF
(
C2989=""юридична особа""
,
VLOOKUP"&amp;"(D2989,IMPORTRANGE(""https://docs.google.com/spreadsheets/d/14Bd19lYaqBhU8_DElYkX7l4wRkHqqCUFNJY4AfY3kHU/edit?usp=sharing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8" s="7" t="s">
        <v>10</v>
      </c>
      <c r="H2988" s="7">
        <v>504</v>
      </c>
      <c r="I2988" s="8" t="str">
        <f ca="1">IFERROR(__xludf.DUMMYFUNCTION("IF
(
G2989=""фізична особа""
,
VLOOKUP(H2989,IMPORTRANGE(""https://docs.google.com/spreadsheets/d/14Bd19lYaqBhU8_DElYkX7l4wRkHqqCUFNJY4AfY3kHU/edit?usp=sharing  #gid=0"",""фіз особи new!relations_name""),6,FALSE)
,
(IF
(
G2989=""юридична особа""
,
VLOOKUP"&amp;"(H2989,IMPORTRANGE(""https://docs.google.com/spreadsheets/d/14Bd19lYaqBhU8_DElYkX7l4wRkHqqCUFNJY4AfY3kHU/edit?usp=sharing  #gid=0"",""фіз особи new!relations_name_uo""),7,FALSE)
,
)
))"),"ПАТРУШЕВ Микола Платонович")</f>
        <v>ПАТРУШЕВ Микола Платонович</v>
      </c>
      <c r="J2988" s="7" t="s">
        <v>29</v>
      </c>
    </row>
    <row r="2989" spans="1:10" ht="13.2">
      <c r="A2989" s="7">
        <v>2988</v>
      </c>
      <c r="B2989" s="7">
        <v>1</v>
      </c>
      <c r="C2989" s="7" t="s">
        <v>10</v>
      </c>
      <c r="D2989" s="7">
        <v>860</v>
      </c>
      <c r="E2989" s="7" t="s">
        <v>14</v>
      </c>
      <c r="F2989" s="8" t="str">
        <f ca="1">IFERROR(__xludf.DUMMYFUNCTION("IF
(
C2990=""фізична особа""
,
VLOOKUP(D2990,IMPORTRANGE(""https://docs.google.com/spreadsheets/d/14Bd19lYaqBhU8_DElYkX7l4wRkHqqCUFNJY4AfY3kHU/edit?usp=sharing  #gid=0"",""фіз особи new!relations_name""),6,FALSE)
,
(IF
(
C2990=""юридична особа""
,
VLOOKUP"&amp;"(D2990,IMPORTRANGE(""https://docs.google.com/spreadsheets/d/14Bd19lYaqBhU8_DElYkX7l4wRkHqqCUFNJY4AfY3kHU/edit?usp=sharing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89" s="7" t="s">
        <v>10</v>
      </c>
      <c r="H2989" s="7">
        <v>0</v>
      </c>
      <c r="I2989" s="8" t="str">
        <f ca="1">IFERROR(__xludf.DUMMYFUNCTION("IF
(
G2990=""фізична особа""
,
VLOOKUP(H2990,IMPORTRANGE(""https://docs.google.com/spreadsheets/d/14Bd19lYaqBhU8_DElYkX7l4wRkHqqCUFNJY4AfY3kHU/edit?usp=sharing  #gid=0"",""фіз особи new!relations_name""),6,FALSE)
,
(IF
(
G2990=""юридична особа""
,
VLOOKUP"&amp;"(H2990,IMPORTRANGE(""https://docs.google.com/spreadsheets/d/14Bd19lYaqBhU8_DElYkX7l4wRkHqqCUFNJY4AfY3kHU/edit?usp=sharing  #gid=0"",""фіз особи new!relations_name_uo""),7,FALSE)
,
)
))"),"#N/A")</f>
        <v>#N/A</v>
      </c>
      <c r="J2989" s="7" t="s">
        <v>15</v>
      </c>
    </row>
    <row r="2990" spans="1:10" ht="13.2">
      <c r="A2990" s="7">
        <v>2989</v>
      </c>
      <c r="B2990" s="7">
        <v>1</v>
      </c>
      <c r="C2990" s="7" t="s">
        <v>10</v>
      </c>
      <c r="D2990" s="7">
        <v>860</v>
      </c>
      <c r="E2990" s="7" t="s">
        <v>12</v>
      </c>
      <c r="F2990" s="8" t="str">
        <f ca="1">IFERROR(__xludf.DUMMYFUNCTION("IF
(
C2991=""фізична особа""
,
VLOOKUP(D2991,IMPORTRANGE(""https://docs.google.com/spreadsheets/d/14Bd19lYaqBhU8_DElYkX7l4wRkHqqCUFNJY4AfY3kHU/edit?usp=sharing  #gid=0"",""фіз особи new!relations_name""),6,FALSE)
,
(IF
(
C2991=""юридична особа""
,
VLOOKUP"&amp;"(D2991,IMPORTRANGE(""https://docs.google.com/spreadsheets/d/14Bd19lYaqBhU8_DElYkX7l4wRkHqqCUFNJY4AfY3kHU/edit?usp=sharing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90" s="7" t="s">
        <v>10</v>
      </c>
      <c r="H2990" s="7">
        <v>0</v>
      </c>
      <c r="I2990" s="8" t="str">
        <f ca="1">IFERROR(__xludf.DUMMYFUNCTION("IF
(
G2991=""фізична особа""
,
VLOOKUP(H2991,IMPORTRANGE(""https://docs.google.com/spreadsheets/d/14Bd19lYaqBhU8_DElYkX7l4wRkHqqCUFNJY4AfY3kHU/edit?usp=sharing  #gid=0"",""фіз особи new!relations_name""),6,FALSE)
,
(IF
(
G2991=""юридична особа""
,
VLOOKUP"&amp;"(H2991,IMPORTRANGE(""https://docs.google.com/spreadsheets/d/14Bd19lYaqBhU8_DElYkX7l4wRkHqqCUFNJY4AfY3kHU/edit?usp=sharing  #gid=0"",""фіз особи new!relations_name_uo""),7,FALSE)
,
)
))"),"#N/A")</f>
        <v>#N/A</v>
      </c>
      <c r="J2990" s="7" t="s">
        <v>13</v>
      </c>
    </row>
    <row r="2991" spans="1:10" ht="13.2">
      <c r="A2991" s="7">
        <v>2990</v>
      </c>
      <c r="B2991" s="7">
        <v>1</v>
      </c>
      <c r="C2991" s="7" t="s">
        <v>10</v>
      </c>
      <c r="D2991" s="7">
        <v>860</v>
      </c>
      <c r="E2991" s="7" t="s">
        <v>12</v>
      </c>
      <c r="F2991" s="8" t="str">
        <f ca="1">IFERROR(__xludf.DUMMYFUNCTION("IF
(
C2992=""фізична особа""
,
VLOOKUP(D2992,IMPORTRANGE(""https://docs.google.com/spreadsheets/d/14Bd19lYaqBhU8_DElYkX7l4wRkHqqCUFNJY4AfY3kHU/edit?usp=sharing  #gid=0"",""фіз особи new!relations_name""),6,FALSE)
,
(IF
(
C2992=""юридична особа""
,
VLOOKUP"&amp;"(D2992,IMPORTRANGE(""https://docs.google.com/spreadsheets/d/14Bd19lYaqBhU8_DElYkX7l4wRkHqqCUFNJY4AfY3kHU/edit?usp=sharing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G2991" s="7" t="s">
        <v>10</v>
      </c>
      <c r="H2991" s="7">
        <v>0</v>
      </c>
      <c r="I2991" s="8" t="str">
        <f ca="1">IFERROR(__xludf.DUMMYFUNCTION("IF
(
G2992=""фізична особа""
,
VLOOKUP(H2992,IMPORTRANGE(""https://docs.google.com/spreadsheets/d/14Bd19lYaqBhU8_DElYkX7l4wRkHqqCUFNJY4AfY3kHU/edit?usp=sharing  #gid=0"",""фіз особи new!relations_name""),6,FALSE)
,
(IF
(
G2992=""юридична особа""
,
VLOOKUP"&amp;"(H2992,IMPORTRANGE(""https://docs.google.com/spreadsheets/d/14Bd19lYaqBhU8_DElYkX7l4wRkHqqCUFNJY4AfY3kHU/edit?usp=sharing  #gid=0"",""фіз особи new!relations_name_uo""),7,FALSE)
,
)
))"),"#N/A")</f>
        <v>#N/A</v>
      </c>
      <c r="J2991" s="7" t="s">
        <v>17</v>
      </c>
    </row>
    <row r="2992" spans="1:10" ht="13.2">
      <c r="A2992" s="7">
        <v>2991</v>
      </c>
      <c r="B2992" s="7">
        <v>1</v>
      </c>
      <c r="C2992" s="7" t="s">
        <v>10</v>
      </c>
      <c r="D2992" s="7">
        <v>861</v>
      </c>
      <c r="E2992" s="7" t="s">
        <v>48</v>
      </c>
      <c r="F2992" s="8" t="str">
        <f ca="1">IFERROR(__xludf.DUMMYFUNCTION("IF
(
C2993=""фізична особа""
,
VLOOKUP(D2993,IMPORTRANGE(""https://docs.google.com/spreadsheets/d/14Bd19lYaqBhU8_DElYkX7l4wRkHqqCUFNJY4AfY3kHU/edit?usp=sharing  #gid=0"",""фіз особи new!relations_name""),6,FALSE)
,
(IF
(
C2993=""юридична особа""
,
VLOOKUP"&amp;"(D2993,IMPORTRANGE(""https://docs.google.com/spreadsheets/d/14Bd19lYaqBhU8_DElYkX7l4wRkHqqCUFNJY4AfY3kHU/edit?usp=sharing  #gid=0"",""фіз особи new!relations_name_uo""),7,FALSE)
,
)
))"),"КАШИН Володимир Іванович")</f>
        <v>КАШИН Володимир Іванович</v>
      </c>
      <c r="G2992" s="7" t="s">
        <v>10</v>
      </c>
      <c r="H2992" s="7">
        <v>185</v>
      </c>
      <c r="I2992" s="8" t="str">
        <f ca="1">IFERROR(__xludf.DUMMYFUNCTION("IF
(
G2993=""фізична особа""
,
VLOOKUP(H2993,IMPORTRANGE(""https://docs.google.com/spreadsheets/d/14Bd19lYaqBhU8_DElYkX7l4wRkHqqCUFNJY4AfY3kHU/edit?usp=sharing  #gid=0"",""фіз особи new!relations_name""),6,FALSE)
,
(IF
(
G2993=""юридична особа""
,
VLOOKUP"&amp;"(H2993,IMPORTRANGE(""https://docs.google.com/spreadsheets/d/14Bd19lYaqBhU8_DElYkX7l4wRkHqqCUFNJY4AfY3kHU/edit?usp=sharing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2992" s="7" t="s">
        <v>48</v>
      </c>
    </row>
    <row r="2993" spans="1:10" ht="13.2">
      <c r="A2993" s="7">
        <v>2992</v>
      </c>
      <c r="B2993" s="7">
        <v>1</v>
      </c>
      <c r="C2993" s="7" t="s">
        <v>10</v>
      </c>
      <c r="D2993" s="7">
        <v>861</v>
      </c>
      <c r="E2993" s="7" t="s">
        <v>48</v>
      </c>
      <c r="F2993" s="8" t="str">
        <f ca="1">IFERROR(__xludf.DUMMYFUNCTION("IF
(
C2994=""фізична особа""
,
VLOOKUP(D2994,IMPORTRANGE(""https://docs.google.com/spreadsheets/d/14Bd19lYaqBhU8_DElYkX7l4wRkHqqCUFNJY4AfY3kHU/edit?usp=sharing  #gid=0"",""фіз особи new!relations_name""),6,FALSE)
,
(IF
(
C2994=""юридична особа""
,
VLOOKUP"&amp;"(D2994,IMPORTRANGE(""https://docs.google.com/spreadsheets/d/14Bd19lYaqBhU8_DElYkX7l4wRkHqqCUFNJY4AfY3kHU/edit?usp=sharing  #gid=0"",""фіз особи new!relations_name_uo""),7,FALSE)
,
)
))"),"КАШИН Володимир Іванович")</f>
        <v>КАШИН Володимир Іванович</v>
      </c>
      <c r="G2993" s="7" t="s">
        <v>10</v>
      </c>
      <c r="H2993" s="7">
        <v>64</v>
      </c>
      <c r="I2993" s="8" t="str">
        <f ca="1">IFERROR(__xludf.DUMMYFUNCTION("IF
(
G2994=""фізична особа""
,
VLOOKUP(H2994,IMPORTRANGE(""https://docs.google.com/spreadsheets/d/14Bd19lYaqBhU8_DElYkX7l4wRkHqqCUFNJY4AfY3kHU/edit?usp=sharing  #gid=0"",""фіз особи new!relations_name""),6,FALSE)
,
(IF
(
G2994=""юридична особа""
,
VLOOKUP"&amp;"(H2994,IMPORTRANGE(""https://docs.google.com/spreadsheets/d/14Bd19lYaqBhU8_DElYkX7l4wRkHqqCUFNJY4AfY3kHU/edit?usp=sharing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2993" s="7" t="s">
        <v>48</v>
      </c>
    </row>
    <row r="2994" spans="1:10" ht="13.2">
      <c r="A2994" s="7">
        <v>2993</v>
      </c>
      <c r="B2994" s="7">
        <v>1</v>
      </c>
      <c r="C2994" s="7" t="s">
        <v>10</v>
      </c>
      <c r="D2994" s="7">
        <v>861</v>
      </c>
      <c r="E2994" s="7" t="s">
        <v>48</v>
      </c>
      <c r="F2994" s="8" t="str">
        <f ca="1">IFERROR(__xludf.DUMMYFUNCTION("IF
(
C2995=""фізична особа""
,
VLOOKUP(D2995,IMPORTRANGE(""https://docs.google.com/spreadsheets/d/14Bd19lYaqBhU8_DElYkX7l4wRkHqqCUFNJY4AfY3kHU/edit?usp=sharing  #gid=0"",""фіз особи new!relations_name""),6,FALSE)
,
(IF
(
C2995=""юридична особа""
,
VLOOKUP"&amp;"(D2995,IMPORTRANGE(""https://docs.google.com/spreadsheets/d/14Bd19lYaqBhU8_DElYkX7l4wRkHqqCUFNJY4AfY3kHU/edit?usp=sharing  #gid=0"",""фіз особи new!relations_name_uo""),7,FALSE)
,
)
))"),"КАШИН Володимир Іванович")</f>
        <v>КАШИН Володимир Іванович</v>
      </c>
      <c r="G2994" s="7" t="s">
        <v>10</v>
      </c>
      <c r="H2994" s="7">
        <v>844</v>
      </c>
      <c r="I2994" s="8" t="str">
        <f ca="1">IFERROR(__xludf.DUMMYFUNCTION("IF
(
G2995=""фізична особа""
,
VLOOKUP(H2995,IMPORTRANGE(""https://docs.google.com/spreadsheets/d/14Bd19lYaqBhU8_DElYkX7l4wRkHqqCUFNJY4AfY3kHU/edit?usp=sharing  #gid=0"",""фіз особи new!relations_name""),6,FALSE)
,
(IF
(
G2995=""юридична особа""
,
VLOOKUP"&amp;"(H2995,IMPORTRANGE(""https://docs.google.com/spreadsheets/d/14Bd19lYaqBhU8_DElYkX7l4wRkHqqCUFNJY4AfY3kHU/edit?usp=sharing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2994" s="7" t="s">
        <v>48</v>
      </c>
    </row>
    <row r="2995" spans="1:10" ht="13.2">
      <c r="A2995" s="7">
        <v>2994</v>
      </c>
      <c r="B2995" s="7">
        <v>1</v>
      </c>
      <c r="C2995" s="7" t="s">
        <v>10</v>
      </c>
      <c r="D2995" s="7">
        <v>861</v>
      </c>
      <c r="E2995" s="7" t="s">
        <v>48</v>
      </c>
      <c r="F2995" s="8" t="str">
        <f ca="1">IFERROR(__xludf.DUMMYFUNCTION("IF
(
C2996=""фізична особа""
,
VLOOKUP(D2996,IMPORTRANGE(""https://docs.google.com/spreadsheets/d/14Bd19lYaqBhU8_DElYkX7l4wRkHqqCUFNJY4AfY3kHU/edit?usp=sharing  #gid=0"",""фіз особи new!relations_name""),6,FALSE)
,
(IF
(
C2996=""юридична особа""
,
VLOOKUP"&amp;"(D2996,IMPORTRANGE(""https://docs.google.com/spreadsheets/d/14Bd19lYaqBhU8_DElYkX7l4wRkHqqCUFNJY4AfY3kHU/edit?usp=sharing  #gid=0"",""фіз особи new!relations_name_uo""),7,FALSE)
,
)
))"),"КАШИН Володимир Іванович")</f>
        <v>КАШИН Володимир Іванович</v>
      </c>
      <c r="G2995" s="7" t="s">
        <v>10</v>
      </c>
      <c r="H2995" s="7">
        <v>4789</v>
      </c>
      <c r="I2995" s="8" t="str">
        <f ca="1">IFERROR(__xludf.DUMMYFUNCTION("IF
(
G2996=""фізична особа""
,
VLOOKUP(H2996,IMPORTRANGE(""https://docs.google.com/spreadsheets/d/14Bd19lYaqBhU8_DElYkX7l4wRkHqqCUFNJY4AfY3kHU/edit?usp=sharing  #gid=0"",""фіз особи new!relations_name""),6,FALSE)
,
(IF
(
G2996=""юридична особа""
,
VLOOKUP"&amp;"(H2996,IMPORTRANGE(""https://docs.google.com/spreadsheets/d/14Bd19lYaqBhU8_DElYkX7l4wRkHqqCUFNJY4AfY3kHU/edit?usp=sharing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2995" s="7" t="s">
        <v>48</v>
      </c>
    </row>
    <row r="2996" spans="1:10" ht="13.2">
      <c r="A2996" s="7">
        <v>2995</v>
      </c>
      <c r="B2996" s="7">
        <v>1</v>
      </c>
      <c r="C2996" s="7" t="s">
        <v>10</v>
      </c>
      <c r="D2996" s="7">
        <v>861</v>
      </c>
      <c r="E2996" s="7" t="s">
        <v>48</v>
      </c>
      <c r="F2996" s="8" t="str">
        <f ca="1">IFERROR(__xludf.DUMMYFUNCTION("IF
(
C2997=""фізична особа""
,
VLOOKUP(D2997,IMPORTRANGE(""https://docs.google.com/spreadsheets/d/14Bd19lYaqBhU8_DElYkX7l4wRkHqqCUFNJY4AfY3kHU/edit?usp=sharing  #gid=0"",""фіз особи new!relations_name""),6,FALSE)
,
(IF
(
C2997=""юридична особа""
,
VLOOKUP"&amp;"(D2997,IMPORTRANGE(""https://docs.google.com/spreadsheets/d/14Bd19lYaqBhU8_DElYkX7l4wRkHqqCUFNJY4AfY3kHU/edit?usp=sharing  #gid=0"",""фіз особи new!relations_name_uo""),7,FALSE)
,
)
))"),"КАШИН Володимир Іванович")</f>
        <v>КАШИН Володимир Іванович</v>
      </c>
      <c r="G2996" s="7" t="s">
        <v>10</v>
      </c>
      <c r="H2996" s="7">
        <v>4870</v>
      </c>
      <c r="I2996" s="8" t="str">
        <f ca="1">IFERROR(__xludf.DUMMYFUNCTION("IF
(
G2997=""фізична особа""
,
VLOOKUP(H2997,IMPORTRANGE(""https://docs.google.com/spreadsheets/d/14Bd19lYaqBhU8_DElYkX7l4wRkHqqCUFNJY4AfY3kHU/edit?usp=sharing  #gid=0"",""фіз особи new!relations_name""),6,FALSE)
,
(IF
(
G2997=""юридична особа""
,
VLOOKUP"&amp;"(H2997,IMPORTRANGE(""https://docs.google.com/spreadsheets/d/14Bd19lYaqBhU8_DElYkX7l4wRkHqqCUFNJY4AfY3kHU/edit?usp=sharing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2996" s="7" t="s">
        <v>48</v>
      </c>
    </row>
    <row r="2997" spans="1:10" ht="13.2">
      <c r="A2997" s="7">
        <v>2996</v>
      </c>
      <c r="B2997" s="7">
        <v>1</v>
      </c>
      <c r="C2997" s="7" t="s">
        <v>10</v>
      </c>
      <c r="D2997" s="7">
        <v>862</v>
      </c>
      <c r="E2997" s="7" t="s">
        <v>14</v>
      </c>
      <c r="F2997" s="8" t="str">
        <f ca="1">IFERROR(__xludf.DUMMYFUNCTION("IF
(
C2998=""фізична особа""
,
VLOOKUP(D2998,IMPORTRANGE(""https://docs.google.com/spreadsheets/d/14Bd19lYaqBhU8_DElYkX7l4wRkHqqCUFNJY4AfY3kHU/edit?usp=sharing  #gid=0"",""фіз особи new!relations_name""),6,FALSE)
,
(IF
(
C2998=""юридична особа""
,
VLOOKUP"&amp;"(D2998,IMPORTRANGE(""https://docs.google.com/spreadsheets/d/14Bd19lYaqBhU8_DElYkX7l4wRkHqqCUFNJY4AfY3kHU/edit?usp=sharing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G2997" s="7" t="s">
        <v>10</v>
      </c>
      <c r="H2997" s="7">
        <v>4315</v>
      </c>
      <c r="I2997" s="8" t="str">
        <f ca="1">IFERROR(__xludf.DUMMYFUNCTION("IF
(
G2998=""фізична особа""
,
VLOOKUP(H2998,IMPORTRANGE(""https://docs.google.com/spreadsheets/d/14Bd19lYaqBhU8_DElYkX7l4wRkHqqCUFNJY4AfY3kHU/edit?usp=sharing  #gid=0"",""фіз особи new!relations_name""),6,FALSE)
,
(IF
(
G2998=""юридична особа""
,
VLOOKUP"&amp;"(H2998,IMPORTRANGE(""https://docs.google.com/spreadsheets/d/14Bd19lYaqBhU8_DElYkX7l4wRkHqqCUFNJY4AfY3kHU/edit?usp=sharing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J2997" s="7" t="s">
        <v>15</v>
      </c>
    </row>
    <row r="2998" spans="1:10" ht="13.2">
      <c r="A2998" s="7">
        <v>2997</v>
      </c>
      <c r="B2998" s="7">
        <v>1</v>
      </c>
      <c r="C2998" s="7" t="s">
        <v>10</v>
      </c>
      <c r="D2998" s="7">
        <v>862</v>
      </c>
      <c r="E2998" s="7" t="s">
        <v>12</v>
      </c>
      <c r="F2998" s="8" t="str">
        <f ca="1">IFERROR(__xludf.DUMMYFUNCTION("IF
(
C2999=""фізична особа""
,
VLOOKUP(D2999,IMPORTRANGE(""https://docs.google.com/spreadsheets/d/14Bd19lYaqBhU8_DElYkX7l4wRkHqqCUFNJY4AfY3kHU/edit?usp=sharing  #gid=0"",""фіз особи new!relations_name""),6,FALSE)
,
(IF
(
C2999=""юридична особа""
,
VLOOKUP"&amp;"(D2999,IMPORTRANGE(""https://docs.google.com/spreadsheets/d/14Bd19lYaqBhU8_DElYkX7l4wRkHqqCUFNJY4AfY3kHU/edit?usp=sharing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G2998" s="7" t="s">
        <v>10</v>
      </c>
      <c r="H2998" s="7">
        <v>4316</v>
      </c>
      <c r="I2998" s="8" t="str">
        <f ca="1">IFERROR(__xludf.DUMMYFUNCTION("IF
(
G2999=""фізична особа""
,
VLOOKUP(H2999,IMPORTRANGE(""https://docs.google.com/spreadsheets/d/14Bd19lYaqBhU8_DElYkX7l4wRkHqqCUFNJY4AfY3kHU/edit?usp=sharing  #gid=0"",""фіз особи new!relations_name""),6,FALSE)
,
(IF
(
G2999=""юридична особа""
,
VLOOKUP"&amp;"(H2999,IMPORTRANGE(""https://docs.google.com/spreadsheets/d/14Bd19lYaqBhU8_DElYkX7l4wRkHqqCUFNJY4AfY3kHU/edit?usp=sharing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J2998" s="7" t="s">
        <v>13</v>
      </c>
    </row>
    <row r="2999" spans="1:10" ht="13.2">
      <c r="A2999" s="7">
        <v>2998</v>
      </c>
      <c r="B2999" s="7">
        <v>1</v>
      </c>
      <c r="C2999" s="7" t="s">
        <v>10</v>
      </c>
      <c r="D2999" s="7">
        <v>862</v>
      </c>
      <c r="E2999" s="7" t="s">
        <v>24</v>
      </c>
      <c r="F2999" s="8" t="str">
        <f ca="1">IFERROR(__xludf.DUMMYFUNCTION("IF
(
C3000=""фізична особа""
,
VLOOKUP(D3000,IMPORTRANGE(""https://docs.google.com/spreadsheets/d/14Bd19lYaqBhU8_DElYkX7l4wRkHqqCUFNJY4AfY3kHU/edit?usp=sharing  #gid=0"",""фіз особи new!relations_name""),6,FALSE)
,
(IF
(
C3000=""юридична особа""
,
VLOOKUP"&amp;"(D3000,IMPORTRANGE(""https://docs.google.com/spreadsheets/d/14Bd19lYaqBhU8_DElYkX7l4wRkHqqCUFNJY4AfY3kHU/edit?usp=sharing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G2999" s="7" t="s">
        <v>10</v>
      </c>
      <c r="H2999" s="7">
        <v>0</v>
      </c>
      <c r="I2999" s="8" t="str">
        <f ca="1">IFERROR(__xludf.DUMMYFUNCTION("IF
(
G3000=""фізична особа""
,
VLOOKUP(H3000,IMPORTRANGE(""https://docs.google.com/spreadsheets/d/14Bd19lYaqBhU8_DElYkX7l4wRkHqqCUFNJY4AfY3kHU/edit?usp=sharing  #gid=0"",""фіз особи new!relations_name""),6,FALSE)
,
(IF
(
G3000=""юридична особа""
,
VLOOKUP"&amp;"(H3000,IMPORTRANGE(""https://docs.google.com/spreadsheets/d/14Bd19lYaqBhU8_DElYkX7l4wRkHqqCUFNJY4AfY3kHU/edit?usp=sharing  #gid=0"",""фіз особи new!relations_name_uo""),7,FALSE)
,
)
))"),"#N/A")</f>
        <v>#N/A</v>
      </c>
      <c r="J2999" s="7" t="s">
        <v>26</v>
      </c>
    </row>
    <row r="3000" spans="1:10" ht="13.2">
      <c r="A3000" s="7">
        <v>2999</v>
      </c>
      <c r="B3000" s="7">
        <v>1</v>
      </c>
      <c r="C3000" s="7" t="s">
        <v>10</v>
      </c>
      <c r="D3000" s="7">
        <v>862</v>
      </c>
      <c r="E3000" s="7" t="s">
        <v>12</v>
      </c>
      <c r="F3000" s="8" t="str">
        <f ca="1">IFERROR(__xludf.DUMMYFUNCTION("IF
(
C3001=""фізична особа""
,
VLOOKUP(D3001,IMPORTRANGE(""https://docs.google.com/spreadsheets/d/14Bd19lYaqBhU8_DElYkX7l4wRkHqqCUFNJY4AfY3kHU/edit?usp=sharing  #gid=0"",""фіз особи new!relations_name""),6,FALSE)
,
(IF
(
C3001=""юридична особа""
,
VLOOKUP"&amp;"(D3001,IMPORTRANGE(""https://docs.google.com/spreadsheets/d/14Bd19lYaqBhU8_DElYkX7l4wRkHqqCUFNJY4AfY3kHU/edit?usp=sharing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G3000" s="7" t="s">
        <v>10</v>
      </c>
      <c r="H3000" s="7">
        <v>4317</v>
      </c>
      <c r="I3000" s="8" t="str">
        <f ca="1">IFERROR(__xludf.DUMMYFUNCTION("IF
(
G3001=""фізична особа""
,
VLOOKUP(H3001,IMPORTRANGE(""https://docs.google.com/spreadsheets/d/14Bd19lYaqBhU8_DElYkX7l4wRkHqqCUFNJY4AfY3kHU/edit?usp=sharing  #gid=0"",""фіз особи new!relations_name""),6,FALSE)
,
(IF
(
G3001=""юридична особа""
,
VLOOKUP"&amp;"(H3001,IMPORTRANGE(""https://docs.google.com/spreadsheets/d/14Bd19lYaqBhU8_DElYkX7l4wRkHqqCUFNJY4AfY3kHU/edit?usp=sharing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J3000" s="7" t="s">
        <v>13</v>
      </c>
    </row>
    <row r="3001" spans="1:10" ht="13.2">
      <c r="A3001" s="7">
        <v>3000</v>
      </c>
      <c r="B3001" s="7">
        <v>1</v>
      </c>
      <c r="C3001" s="7" t="s">
        <v>10</v>
      </c>
      <c r="D3001" s="7">
        <v>863</v>
      </c>
      <c r="E3001" s="7" t="s">
        <v>11</v>
      </c>
      <c r="F3001" s="8" t="str">
        <f ca="1">IFERROR(__xludf.DUMMYFUNCTION("IF
(
C3002=""фізична особа""
,
VLOOKUP(D3002,IMPORTRANGE(""https://docs.google.com/spreadsheets/d/14Bd19lYaqBhU8_DElYkX7l4wRkHqqCUFNJY4AfY3kHU/edit?usp=sharing  #gid=0"",""фіз особи new!relations_name""),6,FALSE)
,
(IF
(
C3002=""юридична особа""
,
VLOOKUP"&amp;"(D3002,IMPORTRANGE(""https://docs.google.com/spreadsheets/d/14Bd19lYaqBhU8_DElYkX7l4wRkHqqCUFNJY4AfY3kHU/edit?usp=sharing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1" s="7" t="s">
        <v>10</v>
      </c>
      <c r="H3001" s="7">
        <v>0</v>
      </c>
      <c r="I3001" s="8" t="str">
        <f ca="1">IFERROR(__xludf.DUMMYFUNCTION("IF
(
G3002=""фізична особа""
,
VLOOKUP(H3002,IMPORTRANGE(""https://docs.google.com/spreadsheets/d/14Bd19lYaqBhU8_DElYkX7l4wRkHqqCUFNJY4AfY3kHU/edit?usp=sharing  #gid=0"",""фіз особи new!relations_name""),6,FALSE)
,
(IF
(
G3002=""юридична особа""
,
VLOOKUP"&amp;"(H3002,IMPORTRANGE(""https://docs.google.com/spreadsheets/d/14Bd19lYaqBhU8_DElYkX7l4wRkHqqCUFNJY4AfY3kHU/edit?usp=sharing  #gid=0"",""фіз особи new!relations_name_uo""),7,FALSE)
,
)
))"),"#N/A")</f>
        <v>#N/A</v>
      </c>
      <c r="J3001" s="7" t="s">
        <v>11</v>
      </c>
    </row>
    <row r="3002" spans="1:10" ht="13.2">
      <c r="A3002" s="7">
        <v>3001</v>
      </c>
      <c r="B3002" s="7">
        <v>1</v>
      </c>
      <c r="C3002" s="7" t="s">
        <v>10</v>
      </c>
      <c r="D3002" s="7">
        <v>863</v>
      </c>
      <c r="E3002" s="7" t="s">
        <v>17</v>
      </c>
      <c r="F3002" s="8" t="str">
        <f ca="1">IFERROR(__xludf.DUMMYFUNCTION("IF
(
C3003=""фізична особа""
,
VLOOKUP(D3003,IMPORTRANGE(""https://docs.google.com/spreadsheets/d/14Bd19lYaqBhU8_DElYkX7l4wRkHqqCUFNJY4AfY3kHU/edit?usp=sharing  #gid=0"",""фіз особи new!relations_name""),6,FALSE)
,
(IF
(
C3003=""юридична особа""
,
VLOOKUP"&amp;"(D3003,IMPORTRANGE(""https://docs.google.com/spreadsheets/d/14Bd19lYaqBhU8_DElYkX7l4wRkHqqCUFNJY4AfY3kHU/edit?usp=sharing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2" s="7" t="s">
        <v>10</v>
      </c>
      <c r="H3002" s="7">
        <v>669</v>
      </c>
      <c r="I3002" s="8" t="str">
        <f ca="1">IFERROR(__xludf.DUMMYFUNCTION("IF
(
G3003=""фізична особа""
,
VLOOKUP(H3003,IMPORTRANGE(""https://docs.google.com/spreadsheets/d/14Bd19lYaqBhU8_DElYkX7l4wRkHqqCUFNJY4AfY3kHU/edit?usp=sharing  #gid=0"",""фіз особи new!relations_name""),6,FALSE)
,
(IF
(
G3003=""юридична особа""
,
VLOOKUP"&amp;"(H3003,IMPORTRANGE(""https://docs.google.com/spreadsheets/d/14Bd19lYaqBhU8_DElYkX7l4wRkHqqCUFNJY4AfY3kHU/edit?usp=sharing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J3002" s="7" t="s">
        <v>12</v>
      </c>
    </row>
    <row r="3003" spans="1:10" ht="13.2">
      <c r="A3003" s="7">
        <v>3002</v>
      </c>
      <c r="B3003" s="7">
        <v>1</v>
      </c>
      <c r="C3003" s="7" t="s">
        <v>10</v>
      </c>
      <c r="D3003" s="7">
        <v>863</v>
      </c>
      <c r="E3003" s="7" t="s">
        <v>17</v>
      </c>
      <c r="F3003" s="8" t="str">
        <f ca="1">IFERROR(__xludf.DUMMYFUNCTION("IF
(
C3004=""фізична особа""
,
VLOOKUP(D3004,IMPORTRANGE(""https://docs.google.com/spreadsheets/d/14Bd19lYaqBhU8_DElYkX7l4wRkHqqCUFNJY4AfY3kHU/edit?usp=sharing  #gid=0"",""фіз особи new!relations_name""),6,FALSE)
,
(IF
(
C3004=""юридична особа""
,
VLOOKUP"&amp;"(D3004,IMPORTRANGE(""https://docs.google.com/spreadsheets/d/14Bd19lYaqBhU8_DElYkX7l4wRkHqqCUFNJY4AfY3kHU/edit?usp=sharing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3" s="7" t="s">
        <v>10</v>
      </c>
      <c r="H3003" s="7">
        <v>23436</v>
      </c>
      <c r="I3003" s="8" t="str">
        <f ca="1">IFERROR(__xludf.DUMMYFUNCTION("IF
(
G3004=""фізична особа""
,
VLOOKUP(H3004,IMPORTRANGE(""https://docs.google.com/spreadsheets/d/14Bd19lYaqBhU8_DElYkX7l4wRkHqqCUFNJY4AfY3kHU/edit?usp=sharing  #gid=0"",""фіз особи new!relations_name""),6,FALSE)
,
(IF
(
G3004=""юридична особа""
,
VLOOKUP"&amp;"(H3004,IMPORTRANGE(""https://docs.google.com/spreadsheets/d/14Bd19lYaqBhU8_DElYkX7l4wRkHqqCUFNJY4AfY3kHU/edit?usp=sharing  #gid=0"",""фіз особи new!relations_name_uo""),7,FALSE)
,
)
))"),"КІРІЄНКО Марія Володимирівна")</f>
        <v>КІРІЄНКО Марія Володимирівна</v>
      </c>
      <c r="J3003" s="7" t="s">
        <v>21</v>
      </c>
    </row>
    <row r="3004" spans="1:10" ht="13.2">
      <c r="A3004" s="7">
        <v>3003</v>
      </c>
      <c r="B3004" s="7">
        <v>1</v>
      </c>
      <c r="C3004" s="7" t="s">
        <v>10</v>
      </c>
      <c r="D3004" s="7">
        <v>863</v>
      </c>
      <c r="E3004" s="7" t="s">
        <v>18</v>
      </c>
      <c r="F3004" s="8" t="str">
        <f ca="1">IFERROR(__xludf.DUMMYFUNCTION("IF
(
C3005=""фізична особа""
,
VLOOKUP(D3005,IMPORTRANGE(""https://docs.google.com/spreadsheets/d/14Bd19lYaqBhU8_DElYkX7l4wRkHqqCUFNJY4AfY3kHU/edit?usp=sharing  #gid=0"",""фіз особи new!relations_name""),6,FALSE)
,
(IF
(
C3005=""юридична особа""
,
VLOOKUP"&amp;"(D3005,IMPORTRANGE(""https://docs.google.com/spreadsheets/d/14Bd19lYaqBhU8_DElYkX7l4wRkHqqCUFNJY4AfY3kHU/edit?usp=sharing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4" s="7" t="s">
        <v>10</v>
      </c>
      <c r="H3004" s="7">
        <v>23437</v>
      </c>
      <c r="I3004" s="8" t="str">
        <f ca="1">IFERROR(__xludf.DUMMYFUNCTION("IF
(
G3005=""фізична особа""
,
VLOOKUP(H3005,IMPORTRANGE(""https://docs.google.com/spreadsheets/d/14Bd19lYaqBhU8_DElYkX7l4wRkHqqCUFNJY4AfY3kHU/edit?usp=sharing  #gid=0"",""фіз особи new!relations_name""),6,FALSE)
,
(IF
(
G3005=""юридична особа""
,
VLOOKUP"&amp;"(H3005,IMPORTRANGE(""https://docs.google.com/spreadsheets/d/14Bd19lYaqBhU8_DElYkX7l4wRkHqqCUFNJY4AfY3kHU/edit?usp=sharing  #gid=0"",""фіз особи new!relations_name_uo""),7,FALSE)
,
)
))"),"КІРІЄНКО Любов Сергіївна")</f>
        <v>КІРІЄНКО Любов Сергіївна</v>
      </c>
      <c r="J3004" s="7" t="s">
        <v>31</v>
      </c>
    </row>
    <row r="3005" spans="1:10" ht="13.2">
      <c r="A3005" s="7">
        <v>3004</v>
      </c>
      <c r="B3005" s="7">
        <v>1</v>
      </c>
      <c r="C3005" s="7" t="s">
        <v>10</v>
      </c>
      <c r="D3005" s="7">
        <v>863</v>
      </c>
      <c r="E3005" s="7" t="s">
        <v>18</v>
      </c>
      <c r="F3005" s="8" t="str">
        <f ca="1">IFERROR(__xludf.DUMMYFUNCTION("IF
(
C3006=""фізична особа""
,
VLOOKUP(D3006,IMPORTRANGE(""https://docs.google.com/spreadsheets/d/14Bd19lYaqBhU8_DElYkX7l4wRkHqqCUFNJY4AfY3kHU/edit?usp=sharing  #gid=0"",""фіз особи new!relations_name""),6,FALSE)
,
(IF
(
C3006=""юридична особа""
,
VLOOKUP"&amp;"(D3006,IMPORTRANGE(""https://docs.google.com/spreadsheets/d/14Bd19lYaqBhU8_DElYkX7l4wRkHqqCUFNJY4AfY3kHU/edit?usp=sharing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5" s="7" t="s">
        <v>10</v>
      </c>
      <c r="H3005" s="7">
        <v>0</v>
      </c>
      <c r="I3005" s="8" t="str">
        <f ca="1">IFERROR(__xludf.DUMMYFUNCTION("IF
(
G3006=""фізична особа""
,
VLOOKUP(H3006,IMPORTRANGE(""https://docs.google.com/spreadsheets/d/14Bd19lYaqBhU8_DElYkX7l4wRkHqqCUFNJY4AfY3kHU/edit?usp=sharing  #gid=0"",""фіз особи new!relations_name""),6,FALSE)
,
(IF
(
G3006=""юридична особа""
,
VLOOKUP"&amp;"(H3006,IMPORTRANGE(""https://docs.google.com/spreadsheets/d/14Bd19lYaqBhU8_DElYkX7l4wRkHqqCUFNJY4AfY3kHU/edit?usp=sharing  #gid=0"",""фіз особи new!relations_name_uo""),7,FALSE)
,
)
))"),"#N/A")</f>
        <v>#N/A</v>
      </c>
      <c r="J3005" s="7" t="s">
        <v>31</v>
      </c>
    </row>
    <row r="3006" spans="1:10" ht="13.2">
      <c r="A3006" s="7">
        <v>3005</v>
      </c>
      <c r="B3006" s="7">
        <v>1</v>
      </c>
      <c r="C3006" s="7" t="s">
        <v>10</v>
      </c>
      <c r="D3006" s="7">
        <v>863</v>
      </c>
      <c r="E3006" s="7" t="s">
        <v>20</v>
      </c>
      <c r="F3006" s="8" t="str">
        <f ca="1">IFERROR(__xludf.DUMMYFUNCTION("IF
(
C3007=""фізична особа""
,
VLOOKUP(D3007,IMPORTRANGE(""https://docs.google.com/spreadsheets/d/14Bd19lYaqBhU8_DElYkX7l4wRkHqqCUFNJY4AfY3kHU/edit?usp=sharing  #gid=0"",""фіз особи new!relations_name""),6,FALSE)
,
(IF
(
C3007=""юридична особа""
,
VLOOKUP"&amp;"(D3007,IMPORTRANGE(""https://docs.google.com/spreadsheets/d/14Bd19lYaqBhU8_DElYkX7l4wRkHqqCUFNJY4AfY3kHU/edit?usp=sharing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6" s="7" t="s">
        <v>10</v>
      </c>
      <c r="H3006" s="7">
        <v>23438</v>
      </c>
      <c r="I3006" s="8" t="str">
        <f ca="1">IFERROR(__xludf.DUMMYFUNCTION("IF
(
G3007=""фізична особа""
,
VLOOKUP(H3007,IMPORTRANGE(""https://docs.google.com/spreadsheets/d/14Bd19lYaqBhU8_DElYkX7l4wRkHqqCUFNJY4AfY3kHU/edit?usp=sharing  #gid=0"",""фіз особи new!relations_name""),6,FALSE)
,
(IF
(
G3007=""юридична особа""
,
VLOOKUP"&amp;"(H3007,IMPORTRANGE(""https://docs.google.com/spreadsheets/d/14Bd19lYaqBhU8_DElYkX7l4wRkHqqCUFNJY4AfY3kHU/edit?usp=sharing  #gid=0"",""фіз особи new!relations_name_uo""),7,FALSE)
,
)
))"),"КОТЕЛЬНІКОВА Ганна Владиленівна")</f>
        <v>КОТЕЛЬНІКОВА Ганна Владиленівна</v>
      </c>
      <c r="J3006" s="7" t="s">
        <v>45</v>
      </c>
    </row>
    <row r="3007" spans="1:10" ht="13.2">
      <c r="A3007" s="7">
        <v>3006</v>
      </c>
      <c r="B3007" s="7">
        <v>1</v>
      </c>
      <c r="C3007" s="7" t="s">
        <v>10</v>
      </c>
      <c r="D3007" s="7">
        <v>863</v>
      </c>
      <c r="E3007" s="7" t="s">
        <v>14</v>
      </c>
      <c r="F3007" s="8" t="str">
        <f ca="1">IFERROR(__xludf.DUMMYFUNCTION("IF
(
C3008=""фізична особа""
,
VLOOKUP(D3008,IMPORTRANGE(""https://docs.google.com/spreadsheets/d/14Bd19lYaqBhU8_DElYkX7l4wRkHqqCUFNJY4AfY3kHU/edit?usp=sharing  #gid=0"",""фіз особи new!relations_name""),6,FALSE)
,
(IF
(
C3008=""юридична особа""
,
VLOOKUP"&amp;"(D3008,IMPORTRANGE(""https://docs.google.com/spreadsheets/d/14Bd19lYaqBhU8_DElYkX7l4wRkHqqCUFNJY4AfY3kHU/edit?usp=sharing  #gid=0"",""фіз особи new!relations_name_uo""),7,FALSE)
,
)
))"),"КІРІЄНКО Володимир Сергійович")</f>
        <v>КІРІЄНКО Володимир Сергійович</v>
      </c>
      <c r="G3007" s="7" t="s">
        <v>10</v>
      </c>
      <c r="H3007" s="7">
        <v>0</v>
      </c>
      <c r="I3007" s="8" t="str">
        <f ca="1">IFERROR(__xludf.DUMMYFUNCTION("IF
(
G3008=""фізична особа""
,
VLOOKUP(H3008,IMPORTRANGE(""https://docs.google.com/spreadsheets/d/14Bd19lYaqBhU8_DElYkX7l4wRkHqqCUFNJY4AfY3kHU/edit?usp=sharing  #gid=0"",""фіз особи new!relations_name""),6,FALSE)
,
(IF
(
G3008=""юридична особа""
,
VLOOKUP"&amp;"(H3008,IMPORTRANGE(""https://docs.google.com/spreadsheets/d/14Bd19lYaqBhU8_DElYkX7l4wRkHqqCUFNJY4AfY3kHU/edit?usp=sharing  #gid=0"",""фіз особи new!relations_name_uo""),7,FALSE)
,
)
))"),"#N/A")</f>
        <v>#N/A</v>
      </c>
      <c r="J3007" s="7" t="s">
        <v>15</v>
      </c>
    </row>
    <row r="3008" spans="1:10" ht="13.2">
      <c r="A3008" s="7">
        <v>3007</v>
      </c>
      <c r="B3008" s="7">
        <v>1</v>
      </c>
      <c r="C3008" s="7" t="s">
        <v>10</v>
      </c>
      <c r="D3008" s="7">
        <v>864</v>
      </c>
      <c r="E3008" s="7" t="s">
        <v>20</v>
      </c>
      <c r="F3008" s="8" t="str">
        <f ca="1">IFERROR(__xludf.DUMMYFUNCTION("IF
(
C3009=""фізична особа""
,
VLOOKUP(D3009,IMPORTRANGE(""https://docs.google.com/spreadsheets/d/14Bd19lYaqBhU8_DElYkX7l4wRkHqqCUFNJY4AfY3kHU/edit?usp=sharing  #gid=0"",""фіз особи new!relations_name""),6,FALSE)
,
(IF
(
C3009=""юридична особа""
,
VLOOKUP"&amp;"(D3009,IMPORTRANGE(""https://docs.google.com/spreadsheets/d/14Bd19lYaqBhU8_DElYkX7l4wRkHqqCUFNJY4AfY3kHU/edit?usp=sharing  #gid=0"",""фіз особи new!relations_name_uo""),7,FALSE)
,
)
))"),"КАСАТОНОВ Володимир Львович")</f>
        <v>КАСАТОНОВ Володимир Львович</v>
      </c>
      <c r="G3008" s="7" t="s">
        <v>10</v>
      </c>
      <c r="H3008" s="7">
        <v>0</v>
      </c>
      <c r="I3008" s="8" t="str">
        <f ca="1">IFERROR(__xludf.DUMMYFUNCTION("IF
(
G3009=""фізична особа""
,
VLOOKUP(H3009,IMPORTRANGE(""https://docs.google.com/spreadsheets/d/14Bd19lYaqBhU8_DElYkX7l4wRkHqqCUFNJY4AfY3kHU/edit?usp=sharing  #gid=0"",""фіз особи new!relations_name""),6,FALSE)
,
(IF
(
G3009=""юридична особа""
,
VLOOKUP"&amp;"(H3009,IMPORTRANGE(""https://docs.google.com/spreadsheets/d/14Bd19lYaqBhU8_DElYkX7l4wRkHqqCUFNJY4AfY3kHU/edit?usp=sharing  #gid=0"",""фіз особи new!relations_name_uo""),7,FALSE)
,
)
))"),"#N/A")</f>
        <v>#N/A</v>
      </c>
      <c r="J3008" s="7" t="s">
        <v>19</v>
      </c>
    </row>
    <row r="3009" spans="1:10" ht="13.2">
      <c r="A3009" s="7">
        <v>3008</v>
      </c>
      <c r="B3009" s="7">
        <v>1</v>
      </c>
      <c r="C3009" s="7" t="s">
        <v>10</v>
      </c>
      <c r="D3009" s="7">
        <v>865</v>
      </c>
      <c r="E3009" s="7" t="s">
        <v>11</v>
      </c>
      <c r="F3009" s="8" t="str">
        <f ca="1">IFERROR(__xludf.DUMMYFUNCTION("IF
(
C3010=""фізична особа""
,
VLOOKUP(D3010,IMPORTRANGE(""https://docs.google.com/spreadsheets/d/14Bd19lYaqBhU8_DElYkX7l4wRkHqqCUFNJY4AfY3kHU/edit?usp=sharing  #gid=0"",""фіз особи new!relations_name""),6,FALSE)
,
(IF
(
C3010=""юридична особа""
,
VLOOKUP"&amp;"(D3010,IMPORTRANGE(""https://docs.google.com/spreadsheets/d/14Bd19lYaqBhU8_DElYkX7l4wRkHqqCUFNJY4AfY3kHU/edit?usp=sharing  #gid=0"",""фіз особи new!relations_name_uo""),7,FALSE)
,
)
))"),"КОНОНОВ Володимир Михайлович")</f>
        <v>КОНОНОВ Володимир Михайлович</v>
      </c>
      <c r="G3009" s="7" t="s">
        <v>10</v>
      </c>
      <c r="H3009" s="7">
        <v>0</v>
      </c>
      <c r="I3009" s="8" t="str">
        <f ca="1">IFERROR(__xludf.DUMMYFUNCTION("IF
(
G3010=""фізична особа""
,
VLOOKUP(H3010,IMPORTRANGE(""https://docs.google.com/spreadsheets/d/14Bd19lYaqBhU8_DElYkX7l4wRkHqqCUFNJY4AfY3kHU/edit?usp=sharing  #gid=0"",""фіз особи new!relations_name""),6,FALSE)
,
(IF
(
G3010=""юридична особа""
,
VLOOKUP"&amp;"(H3010,IMPORTRANGE(""https://docs.google.com/spreadsheets/d/14Bd19lYaqBhU8_DElYkX7l4wRkHqqCUFNJY4AfY3kHU/edit?usp=sharing  #gid=0"",""фіз особи new!relations_name_uo""),7,FALSE)
,
)
))"),"#N/A")</f>
        <v>#N/A</v>
      </c>
      <c r="J3009" s="7" t="s">
        <v>11</v>
      </c>
    </row>
    <row r="3010" spans="1:10" ht="13.2">
      <c r="A3010" s="7">
        <v>3009</v>
      </c>
      <c r="B3010" s="7">
        <v>1</v>
      </c>
      <c r="C3010" s="7" t="s">
        <v>10</v>
      </c>
      <c r="D3010" s="7">
        <v>865</v>
      </c>
      <c r="E3010" s="7" t="s">
        <v>14</v>
      </c>
      <c r="F3010" s="8" t="str">
        <f ca="1">IFERROR(__xludf.DUMMYFUNCTION("IF
(
C3011=""фізична особа""
,
VLOOKUP(D3011,IMPORTRANGE(""https://docs.google.com/spreadsheets/d/14Bd19lYaqBhU8_DElYkX7l4wRkHqqCUFNJY4AfY3kHU/edit?usp=sharing  #gid=0"",""фіз особи new!relations_name""),6,FALSE)
,
(IF
(
C3011=""юридична особа""
,
VLOOKUP"&amp;"(D3011,IMPORTRANGE(""https://docs.google.com/spreadsheets/d/14Bd19lYaqBhU8_DElYkX7l4wRkHqqCUFNJY4AfY3kHU/edit?usp=sharing  #gid=0"",""фіз особи new!relations_name_uo""),7,FALSE)
,
)
))"),"КОНОНОВ Володимир Михайлович")</f>
        <v>КОНОНОВ Володимир Михайлович</v>
      </c>
      <c r="G3010" s="7" t="s">
        <v>10</v>
      </c>
      <c r="H3010" s="7">
        <v>0</v>
      </c>
      <c r="I3010" s="8" t="str">
        <f ca="1">IFERROR(__xludf.DUMMYFUNCTION("IF
(
G3011=""фізична особа""
,
VLOOKUP(H3011,IMPORTRANGE(""https://docs.google.com/spreadsheets/d/14Bd19lYaqBhU8_DElYkX7l4wRkHqqCUFNJY4AfY3kHU/edit?usp=sharing  #gid=0"",""фіз особи new!relations_name""),6,FALSE)
,
(IF
(
G3011=""юридична особа""
,
VLOOKUP"&amp;"(H3011,IMPORTRANGE(""https://docs.google.com/spreadsheets/d/14Bd19lYaqBhU8_DElYkX7l4wRkHqqCUFNJY4AfY3kHU/edit?usp=sharing  #gid=0"",""фіз особи new!relations_name_uo""),7,FALSE)
,
)
))"),"#N/A")</f>
        <v>#N/A</v>
      </c>
      <c r="J3010" s="7" t="s">
        <v>15</v>
      </c>
    </row>
    <row r="3011" spans="1:10" ht="13.2">
      <c r="A3011" s="7">
        <v>3010</v>
      </c>
      <c r="B3011" s="7">
        <v>1</v>
      </c>
      <c r="C3011" s="7" t="s">
        <v>10</v>
      </c>
      <c r="D3011" s="7">
        <v>865</v>
      </c>
      <c r="E3011" s="7" t="s">
        <v>12</v>
      </c>
      <c r="F3011" s="8" t="str">
        <f ca="1">IFERROR(__xludf.DUMMYFUNCTION("IF
(
C3012=""фізична особа""
,
VLOOKUP(D3012,IMPORTRANGE(""https://docs.google.com/spreadsheets/d/14Bd19lYaqBhU8_DElYkX7l4wRkHqqCUFNJY4AfY3kHU/edit?usp=sharing  #gid=0"",""фіз особи new!relations_name""),6,FALSE)
,
(IF
(
C3012=""юридична особа""
,
VLOOKUP"&amp;"(D3012,IMPORTRANGE(""https://docs.google.com/spreadsheets/d/14Bd19lYaqBhU8_DElYkX7l4wRkHqqCUFNJY4AfY3kHU/edit?usp=sharing  #gid=0"",""фіз особи new!relations_name_uo""),7,FALSE)
,
)
))"),"КОНОНОВ Володимир Михайлович")</f>
        <v>КОНОНОВ Володимир Михайлович</v>
      </c>
      <c r="G3011" s="7" t="s">
        <v>10</v>
      </c>
      <c r="H3011" s="7">
        <v>0</v>
      </c>
      <c r="I3011" s="8" t="str">
        <f ca="1">IFERROR(__xludf.DUMMYFUNCTION("IF
(
G3012=""фізична особа""
,
VLOOKUP(H3012,IMPORTRANGE(""https://docs.google.com/spreadsheets/d/14Bd19lYaqBhU8_DElYkX7l4wRkHqqCUFNJY4AfY3kHU/edit?usp=sharing  #gid=0"",""фіз особи new!relations_name""),6,FALSE)
,
(IF
(
G3012=""юридична особа""
,
VLOOKUP"&amp;"(H3012,IMPORTRANGE(""https://docs.google.com/spreadsheets/d/14Bd19lYaqBhU8_DElYkX7l4wRkHqqCUFNJY4AfY3kHU/edit?usp=sharing  #gid=0"",""фіз особи new!relations_name_uo""),7,FALSE)
,
)
))"),"#N/A")</f>
        <v>#N/A</v>
      </c>
      <c r="J3011" s="7" t="s">
        <v>13</v>
      </c>
    </row>
    <row r="3012" spans="1:10" ht="13.2">
      <c r="A3012" s="7">
        <v>3011</v>
      </c>
      <c r="B3012" s="7">
        <v>1</v>
      </c>
      <c r="C3012" s="7" t="s">
        <v>10</v>
      </c>
      <c r="D3012" s="7">
        <v>865</v>
      </c>
      <c r="E3012" s="7" t="s">
        <v>12</v>
      </c>
      <c r="F3012" s="8" t="str">
        <f ca="1">IFERROR(__xludf.DUMMYFUNCTION("IF
(
C3013=""фізична особа""
,
VLOOKUP(D3013,IMPORTRANGE(""https://docs.google.com/spreadsheets/d/14Bd19lYaqBhU8_DElYkX7l4wRkHqqCUFNJY4AfY3kHU/edit?usp=sharing  #gid=0"",""фіз особи new!relations_name""),6,FALSE)
,
(IF
(
C3013=""юридична особа""
,
VLOOKUP"&amp;"(D3013,IMPORTRANGE(""https://docs.google.com/spreadsheets/d/14Bd19lYaqBhU8_DElYkX7l4wRkHqqCUFNJY4AfY3kHU/edit?usp=sharing  #gid=0"",""фіз особи new!relations_name_uo""),7,FALSE)
,
)
))"),"КОНОНОВ Володимир Михайлович")</f>
        <v>КОНОНОВ Володимир Михайлович</v>
      </c>
      <c r="G3012" s="7" t="s">
        <v>10</v>
      </c>
      <c r="H3012" s="7">
        <v>0</v>
      </c>
      <c r="I3012" s="8" t="str">
        <f ca="1">IFERROR(__xludf.DUMMYFUNCTION("IF
(
G3013=""фізична особа""
,
VLOOKUP(H3013,IMPORTRANGE(""https://docs.google.com/spreadsheets/d/14Bd19lYaqBhU8_DElYkX7l4wRkHqqCUFNJY4AfY3kHU/edit?usp=sharing  #gid=0"",""фіз особи new!relations_name""),6,FALSE)
,
(IF
(
G3013=""юридична особа""
,
VLOOKUP"&amp;"(H3013,IMPORTRANGE(""https://docs.google.com/spreadsheets/d/14Bd19lYaqBhU8_DElYkX7l4wRkHqqCUFNJY4AfY3kHU/edit?usp=sharing  #gid=0"",""фіз особи new!relations_name_uo""),7,FALSE)
,
)
))"),"#N/A")</f>
        <v>#N/A</v>
      </c>
      <c r="J3012" s="7" t="s">
        <v>13</v>
      </c>
    </row>
    <row r="3013" spans="1:10" ht="13.2">
      <c r="A3013" s="7">
        <v>3012</v>
      </c>
      <c r="B3013" s="7">
        <v>1</v>
      </c>
      <c r="C3013" s="7" t="s">
        <v>10</v>
      </c>
      <c r="D3013" s="7">
        <v>866</v>
      </c>
      <c r="E3013" s="7" t="s">
        <v>48</v>
      </c>
      <c r="F3013" s="8" t="str">
        <f ca="1">IFERROR(__xludf.DUMMYFUNCTION("IF
(
C3014=""фізична особа""
,
VLOOKUP(D3014,IMPORTRANGE(""https://docs.google.com/spreadsheets/d/14Bd19lYaqBhU8_DElYkX7l4wRkHqqCUFNJY4AfY3kHU/edit?usp=sharing  #gid=0"",""фіз особи new!relations_name""),6,FALSE)
,
(IF
(
C3014=""юридична особа""
,
VLOOKUP"&amp;"(D3014,IMPORTRANGE(""https://docs.google.com/spreadsheets/d/14Bd19lYaqBhU8_DElYkX7l4wRkHqqCUFNJY4AfY3kHU/edit?usp=sharing  #gid=0"",""фіз особи new!relations_name_uo""),7,FALSE)
,
)
))"),"БЛОЦЬКИЙ Володимир Миколайович")</f>
        <v>БЛОЦЬКИЙ Володимир Миколайович</v>
      </c>
      <c r="G3013" s="7" t="s">
        <v>10</v>
      </c>
      <c r="H3013" s="7">
        <v>267</v>
      </c>
      <c r="I3013" s="8" t="str">
        <f ca="1">IFERROR(__xludf.DUMMYFUNCTION("IF
(
G3014=""фізична особа""
,
VLOOKUP(H3014,IMPORTRANGE(""https://docs.google.com/spreadsheets/d/14Bd19lYaqBhU8_DElYkX7l4wRkHqqCUFNJY4AfY3kHU/edit?usp=sharing  #gid=0"",""фіз особи new!relations_name""),6,FALSE)
,
(IF
(
G3014=""юридична особа""
,
VLOOKUP"&amp;"(H3014,IMPORTRANGE(""https://docs.google.com/spreadsheets/d/14Bd19lYaqBhU8_DElYkX7l4wRkHqqCUFNJY4AfY3kHU/edit?usp=sharing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3013" s="7" t="s">
        <v>48</v>
      </c>
    </row>
    <row r="3014" spans="1:10" ht="13.2">
      <c r="A3014" s="7">
        <v>3013</v>
      </c>
      <c r="B3014" s="7">
        <v>1</v>
      </c>
      <c r="C3014" s="7" t="s">
        <v>10</v>
      </c>
      <c r="D3014" s="7">
        <v>867</v>
      </c>
      <c r="E3014" s="7" t="s">
        <v>48</v>
      </c>
      <c r="F3014" s="8" t="str">
        <f ca="1">IFERROR(__xludf.DUMMYFUNCTION("IF
(
C3015=""фізична особа""
,
VLOOKUP(D3015,IMPORTRANGE(""https://docs.google.com/spreadsheets/d/14Bd19lYaqBhU8_DElYkX7l4wRkHqqCUFNJY4AfY3kHU/edit?usp=sharing  #gid=0"",""фіз особи new!relations_name""),6,FALSE)
,
(IF
(
C3015=""юридична особа""
,
VLOOKUP"&amp;"(D3015,IMPORTRANGE(""https://docs.google.com/spreadsheets/d/14Bd19lYaqBhU8_DElYkX7l4wRkHqqCUFNJY4AfY3kHU/edit?usp=sharing  #gid=0"",""фіз особи new!relations_name_uo""),7,FALSE)
,
)
))"),"КОГАН Олександр Борисович")</f>
        <v>КОГАН Олександр Борисович</v>
      </c>
      <c r="G3014" s="7" t="s">
        <v>10</v>
      </c>
      <c r="H3014" s="7">
        <v>2545</v>
      </c>
      <c r="I3014" s="8" t="str">
        <f ca="1">IFERROR(__xludf.DUMMYFUNCTION("IF
(
G3015=""фізична особа""
,
VLOOKUP(H3015,IMPORTRANGE(""https://docs.google.com/spreadsheets/d/14Bd19lYaqBhU8_DElYkX7l4wRkHqqCUFNJY4AfY3kHU/edit?usp=sharing  #gid=0"",""фіз особи new!relations_name""),6,FALSE)
,
(IF
(
G3015=""юридична особа""
,
VLOOKUP"&amp;"(H3015,IMPORTRANGE(""https://docs.google.com/spreadsheets/d/14Bd19lYaqBhU8_DElYkX7l4wRkHqqCUFNJY4AfY3kHU/edit?usp=sharing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3014" s="7" t="s">
        <v>48</v>
      </c>
    </row>
    <row r="3015" spans="1:10" ht="13.2">
      <c r="A3015" s="7">
        <v>3014</v>
      </c>
      <c r="B3015" s="7">
        <v>1</v>
      </c>
      <c r="C3015" s="7" t="s">
        <v>10</v>
      </c>
      <c r="D3015" s="7">
        <v>867</v>
      </c>
      <c r="E3015" s="7" t="s">
        <v>14</v>
      </c>
      <c r="F3015" s="8" t="str">
        <f ca="1">IFERROR(__xludf.DUMMYFUNCTION("IF
(
C3016=""фізична особа""
,
VLOOKUP(D3016,IMPORTRANGE(""https://docs.google.com/spreadsheets/d/14Bd19lYaqBhU8_DElYkX7l4wRkHqqCUFNJY4AfY3kHU/edit?usp=sharing  #gid=0"",""фіз особи new!relations_name""),6,FALSE)
,
(IF
(
C3016=""юридична особа""
,
VLOOKUP"&amp;"(D3016,IMPORTRANGE(""https://docs.google.com/spreadsheets/d/14Bd19lYaqBhU8_DElYkX7l4wRkHqqCUFNJY4AfY3kHU/edit?usp=sharing  #gid=0"",""фіз особи new!relations_name_uo""),7,FALSE)
,
)
))"),"КОГАН Олександр Борисович")</f>
        <v>КОГАН Олександр Борисович</v>
      </c>
      <c r="G3015" s="7" t="s">
        <v>10</v>
      </c>
      <c r="H3015" s="7">
        <v>0</v>
      </c>
      <c r="I3015" s="8" t="str">
        <f ca="1">IFERROR(__xludf.DUMMYFUNCTION("IF
(
G3016=""фізична особа""
,
VLOOKUP(H3016,IMPORTRANGE(""https://docs.google.com/spreadsheets/d/14Bd19lYaqBhU8_DElYkX7l4wRkHqqCUFNJY4AfY3kHU/edit?usp=sharing  #gid=0"",""фіз особи new!relations_name""),6,FALSE)
,
(IF
(
G3016=""юридична особа""
,
VLOOKUP"&amp;"(H3016,IMPORTRANGE(""https://docs.google.com/spreadsheets/d/14Bd19lYaqBhU8_DElYkX7l4wRkHqqCUFNJY4AfY3kHU/edit?usp=sharing  #gid=0"",""фіз особи new!relations_name_uo""),7,FALSE)
,
)
))"),"#N/A")</f>
        <v>#N/A</v>
      </c>
      <c r="J3015" s="7" t="s">
        <v>15</v>
      </c>
    </row>
    <row r="3016" spans="1:10" ht="13.2">
      <c r="A3016" s="7">
        <v>3015</v>
      </c>
      <c r="B3016" s="7">
        <v>1</v>
      </c>
      <c r="C3016" s="7" t="s">
        <v>10</v>
      </c>
      <c r="D3016" s="7">
        <v>867</v>
      </c>
      <c r="E3016" s="7" t="s">
        <v>12</v>
      </c>
      <c r="F3016" s="8" t="str">
        <f ca="1">IFERROR(__xludf.DUMMYFUNCTION("IF
(
C3017=""фізична особа""
,
VLOOKUP(D3017,IMPORTRANGE(""https://docs.google.com/spreadsheets/d/14Bd19lYaqBhU8_DElYkX7l4wRkHqqCUFNJY4AfY3kHU/edit?usp=sharing  #gid=0"",""фіз особи new!relations_name""),6,FALSE)
,
(IF
(
C3017=""юридична особа""
,
VLOOKUP"&amp;"(D3017,IMPORTRANGE(""https://docs.google.com/spreadsheets/d/14Bd19lYaqBhU8_DElYkX7l4wRkHqqCUFNJY4AfY3kHU/edit?usp=sharing  #gid=0"",""фіз особи new!relations_name_uo""),7,FALSE)
,
)
))"),"КОГАН Олександр Борисович")</f>
        <v>КОГАН Олександр Борисович</v>
      </c>
      <c r="G3016" s="7" t="s">
        <v>10</v>
      </c>
      <c r="H3016" s="7">
        <v>0</v>
      </c>
      <c r="I3016" s="8" t="str">
        <f ca="1">IFERROR(__xludf.DUMMYFUNCTION("IF
(
G3017=""фізична особа""
,
VLOOKUP(H3017,IMPORTRANGE(""https://docs.google.com/spreadsheets/d/14Bd19lYaqBhU8_DElYkX7l4wRkHqqCUFNJY4AfY3kHU/edit?usp=sharing  #gid=0"",""фіз особи new!relations_name""),6,FALSE)
,
(IF
(
G3017=""юридична особа""
,
VLOOKUP"&amp;"(H3017,IMPORTRANGE(""https://docs.google.com/spreadsheets/d/14Bd19lYaqBhU8_DElYkX7l4wRkHqqCUFNJY4AfY3kHU/edit?usp=sharing  #gid=0"",""фіз особи new!relations_name_uo""),7,FALSE)
,
)
))"),"#N/A")</f>
        <v>#N/A</v>
      </c>
      <c r="J3016" s="7" t="s">
        <v>13</v>
      </c>
    </row>
    <row r="3017" spans="1:10" ht="13.2">
      <c r="A3017" s="7">
        <v>3016</v>
      </c>
      <c r="B3017" s="7">
        <v>1</v>
      </c>
      <c r="C3017" s="7" t="s">
        <v>10</v>
      </c>
      <c r="D3017" s="7">
        <v>867</v>
      </c>
      <c r="E3017" s="7" t="s">
        <v>24</v>
      </c>
      <c r="F3017" s="8" t="str">
        <f ca="1">IFERROR(__xludf.DUMMYFUNCTION("IF
(
C3018=""фізична особа""
,
VLOOKUP(D3018,IMPORTRANGE(""https://docs.google.com/spreadsheets/d/14Bd19lYaqBhU8_DElYkX7l4wRkHqqCUFNJY4AfY3kHU/edit?usp=sharing  #gid=0"",""фіз особи new!relations_name""),6,FALSE)
,
(IF
(
C3018=""юридична особа""
,
VLOOKUP"&amp;"(D3018,IMPORTRANGE(""https://docs.google.com/spreadsheets/d/14Bd19lYaqBhU8_DElYkX7l4wRkHqqCUFNJY4AfY3kHU/edit?usp=sharing  #gid=0"",""фіз особи new!relations_name_uo""),7,FALSE)
,
)
))"),"КОГАН Олександр Борисович")</f>
        <v>КОГАН Олександр Борисович</v>
      </c>
      <c r="G3017" s="7" t="s">
        <v>10</v>
      </c>
      <c r="H3017" s="7">
        <v>0</v>
      </c>
      <c r="I3017" s="8" t="str">
        <f ca="1">IFERROR(__xludf.DUMMYFUNCTION("IF
(
G3018=""фізична особа""
,
VLOOKUP(H3018,IMPORTRANGE(""https://docs.google.com/spreadsheets/d/14Bd19lYaqBhU8_DElYkX7l4wRkHqqCUFNJY4AfY3kHU/edit?usp=sharing  #gid=0"",""фіз особи new!relations_name""),6,FALSE)
,
(IF
(
G3018=""юридична особа""
,
VLOOKUP"&amp;"(H3018,IMPORTRANGE(""https://docs.google.com/spreadsheets/d/14Bd19lYaqBhU8_DElYkX7l4wRkHqqCUFNJY4AfY3kHU/edit?usp=sharing  #gid=0"",""фіз особи new!relations_name_uo""),7,FALSE)
,
)
))"),"#N/A")</f>
        <v>#N/A</v>
      </c>
      <c r="J3017" s="7" t="s">
        <v>26</v>
      </c>
    </row>
    <row r="3018" spans="1:10" ht="13.2">
      <c r="A3018" s="7">
        <v>3017</v>
      </c>
      <c r="B3018" s="7">
        <v>1</v>
      </c>
      <c r="C3018" s="7" t="s">
        <v>10</v>
      </c>
      <c r="D3018" s="7">
        <v>868</v>
      </c>
      <c r="E3018" s="7" t="s">
        <v>28</v>
      </c>
      <c r="F3018" s="8" t="str">
        <f ca="1">IFERROR(__xludf.DUMMYFUNCTION("IF
(
C3019=""фізична особа""
,
VLOOKUP(D3019,IMPORTRANGE(""https://docs.google.com/spreadsheets/d/14Bd19lYaqBhU8_DElYkX7l4wRkHqqCUFNJY4AfY3kHU/edit?usp=sharing  #gid=0"",""фіз особи new!relations_name""),6,FALSE)
,
(IF
(
C3019=""юридична особа""
,
VLOOKUP"&amp;"(D3019,IMPORTRANGE(""https://docs.google.com/spreadsheets/d/14Bd19lYaqBhU8_DElYkX7l4wRkHqqCUFNJY4AfY3kHU/edit?usp=sharing  #gid=0"",""фіз особи new!relations_name_uo""),7,FALSE)
,
)
))"),"КУПРІЯНЮК Володимир Миколайович")</f>
        <v>КУПРІЯНЮК Володимир Миколайович</v>
      </c>
      <c r="G3018" s="7" t="s">
        <v>10</v>
      </c>
      <c r="H3018" s="7">
        <v>830</v>
      </c>
      <c r="I3018" s="8" t="str">
        <f ca="1">IFERROR(__xludf.DUMMYFUNCTION("IF
(
G3019=""фізична особа""
,
VLOOKUP(H3019,IMPORTRANGE(""https://docs.google.com/spreadsheets/d/14Bd19lYaqBhU8_DElYkX7l4wRkHqqCUFNJY4AfY3kHU/edit?usp=sharing  #gid=0"",""фіз особи new!relations_name""),6,FALSE)
,
(IF
(
G3019=""юридична особа""
,
VLOOKUP"&amp;"(H3019,IMPORTRANGE(""https://docs.google.com/spreadsheets/d/14Bd19lYaqBhU8_DElYkX7l4wRkHqqCUFNJY4AfY3kHU/edit?usp=sharing  #gid=0"",""фіз особи new!relations_name_uo""),7,FALSE)
,
)
))"),"ГУЛЕВИЧ Віктор Володимирович")</f>
        <v>ГУЛЕВИЧ Віктор Володимирович</v>
      </c>
      <c r="J3018" s="7" t="s">
        <v>29</v>
      </c>
    </row>
    <row r="3019" spans="1:10" ht="13.2">
      <c r="A3019" s="7">
        <v>3018</v>
      </c>
      <c r="B3019" s="7">
        <v>1</v>
      </c>
      <c r="C3019" s="7" t="s">
        <v>10</v>
      </c>
      <c r="D3019" s="7">
        <v>869</v>
      </c>
      <c r="E3019" s="7" t="s">
        <v>48</v>
      </c>
      <c r="F3019" s="8" t="str">
        <f ca="1">IFERROR(__xludf.DUMMYFUNCTION("IF
(
C3020=""фізична особа""
,
VLOOKUP(D3020,IMPORTRANGE(""https://docs.google.com/spreadsheets/d/14Bd19lYaqBhU8_DElYkX7l4wRkHqqCUFNJY4AfY3kHU/edit?usp=sharing  #gid=0"",""фіз особи new!relations_name""),6,FALSE)
,
(IF
(
C3020=""юридична особа""
,
VLOOKUP"&amp;"(D3020,IMPORTRANGE(""https://docs.google.com/spreadsheets/d/14Bd19lYaqBhU8_DElYkX7l4wRkHqqCUFNJY4AfY3kHU/edit?usp=sharing  #gid=0"",""фіз особи new!relations_name_uo""),7,FALSE)
,
)
))"),"ПЛОТНІКОВ Володимир Миколайович")</f>
        <v>ПЛОТНІКОВ Володимир Миколайович</v>
      </c>
      <c r="G3019" s="7" t="s">
        <v>10</v>
      </c>
      <c r="H3019" s="7">
        <v>185</v>
      </c>
      <c r="I3019" s="8" t="str">
        <f ca="1">IFERROR(__xludf.DUMMYFUNCTION("IF
(
G3020=""фізична особа""
,
VLOOKUP(H3020,IMPORTRANGE(""https://docs.google.com/spreadsheets/d/14Bd19lYaqBhU8_DElYkX7l4wRkHqqCUFNJY4AfY3kHU/edit?usp=sharing  #gid=0"",""фіз особи new!relations_name""),6,FALSE)
,
(IF
(
G3020=""юридична особа""
,
VLOOKUP"&amp;"(H3020,IMPORTRANGE(""https://docs.google.com/spreadsheets/d/14Bd19lYaqBhU8_DElYkX7l4wRkHqqCUFNJY4AfY3kHU/edit?usp=sharing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019" s="7" t="s">
        <v>48</v>
      </c>
    </row>
    <row r="3020" spans="1:10" ht="13.2">
      <c r="A3020" s="7">
        <v>3019</v>
      </c>
      <c r="B3020" s="7">
        <v>1</v>
      </c>
      <c r="C3020" s="7" t="s">
        <v>10</v>
      </c>
      <c r="D3020" s="7">
        <v>869</v>
      </c>
      <c r="E3020" s="7" t="s">
        <v>48</v>
      </c>
      <c r="F3020" s="8" t="str">
        <f ca="1">IFERROR(__xludf.DUMMYFUNCTION("IF
(
C3021=""фізична особа""
,
VLOOKUP(D3021,IMPORTRANGE(""https://docs.google.com/spreadsheets/d/14Bd19lYaqBhU8_DElYkX7l4wRkHqqCUFNJY4AfY3kHU/edit?usp=sharing  #gid=0"",""фіз особи new!relations_name""),6,FALSE)
,
(IF
(
C3021=""юридична особа""
,
VLOOKUP"&amp;"(D3021,IMPORTRANGE(""https://docs.google.com/spreadsheets/d/14Bd19lYaqBhU8_DElYkX7l4wRkHqqCUFNJY4AfY3kHU/edit?usp=sharing  #gid=0"",""фіз особи new!relations_name_uo""),7,FALSE)
,
)
))"),"ПЛОТНІКОВ Володимир Миколайович")</f>
        <v>ПЛОТНІКОВ Володимир Миколайович</v>
      </c>
      <c r="G3020" s="7" t="s">
        <v>10</v>
      </c>
      <c r="H3020" s="7">
        <v>64</v>
      </c>
      <c r="I3020" s="8" t="str">
        <f ca="1">IFERROR(__xludf.DUMMYFUNCTION("IF
(
G3021=""фізична особа""
,
VLOOKUP(H3021,IMPORTRANGE(""https://docs.google.com/spreadsheets/d/14Bd19lYaqBhU8_DElYkX7l4wRkHqqCUFNJY4AfY3kHU/edit?usp=sharing  #gid=0"",""фіз особи new!relations_name""),6,FALSE)
,
(IF
(
G3021=""юридична особа""
,
VLOOKUP"&amp;"(H3021,IMPORTRANGE(""https://docs.google.com/spreadsheets/d/14Bd19lYaqBhU8_DElYkX7l4wRkHqqCUFNJY4AfY3kHU/edit?usp=sharing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020" s="7" t="s">
        <v>48</v>
      </c>
    </row>
    <row r="3021" spans="1:10" ht="13.2">
      <c r="A3021" s="7">
        <v>3020</v>
      </c>
      <c r="B3021" s="7">
        <v>1</v>
      </c>
      <c r="C3021" s="7" t="s">
        <v>10</v>
      </c>
      <c r="D3021" s="7">
        <v>869</v>
      </c>
      <c r="E3021" s="7" t="s">
        <v>48</v>
      </c>
      <c r="F3021" s="8" t="str">
        <f ca="1">IFERROR(__xludf.DUMMYFUNCTION("IF
(
C3022=""фізична особа""
,
VLOOKUP(D3022,IMPORTRANGE(""https://docs.google.com/spreadsheets/d/14Bd19lYaqBhU8_DElYkX7l4wRkHqqCUFNJY4AfY3kHU/edit?usp=sharing  #gid=0"",""фіз особи new!relations_name""),6,FALSE)
,
(IF
(
C3022=""юридична особа""
,
VLOOKUP"&amp;"(D3022,IMPORTRANGE(""https://docs.google.com/spreadsheets/d/14Bd19lYaqBhU8_DElYkX7l4wRkHqqCUFNJY4AfY3kHU/edit?usp=sharing  #gid=0"",""фіз особи new!relations_name_uo""),7,FALSE)
,
)
))"),"ПЛОТНІКОВ Володимир Миколайович")</f>
        <v>ПЛОТНІКОВ Володимир Миколайович</v>
      </c>
      <c r="G3021" s="7" t="s">
        <v>10</v>
      </c>
      <c r="H3021" s="7">
        <v>844</v>
      </c>
      <c r="I3021" s="8" t="str">
        <f ca="1">IFERROR(__xludf.DUMMYFUNCTION("IF
(
G3022=""фізична особа""
,
VLOOKUP(H3022,IMPORTRANGE(""https://docs.google.com/spreadsheets/d/14Bd19lYaqBhU8_DElYkX7l4wRkHqqCUFNJY4AfY3kHU/edit?usp=sharing  #gid=0"",""фіз особи new!relations_name""),6,FALSE)
,
(IF
(
G3022=""юридична особа""
,
VLOOKUP"&amp;"(H3022,IMPORTRANGE(""https://docs.google.com/spreadsheets/d/14Bd19lYaqBhU8_DElYkX7l4wRkHqqCUFNJY4AfY3kHU/edit?usp=sharing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021" s="7" t="s">
        <v>48</v>
      </c>
    </row>
    <row r="3022" spans="1:10" ht="13.2">
      <c r="A3022" s="7">
        <v>3021</v>
      </c>
      <c r="B3022" s="7">
        <v>1</v>
      </c>
      <c r="C3022" s="7" t="s">
        <v>10</v>
      </c>
      <c r="D3022" s="7">
        <v>869</v>
      </c>
      <c r="E3022" s="7" t="s">
        <v>48</v>
      </c>
      <c r="F3022" s="8" t="str">
        <f ca="1">IFERROR(__xludf.DUMMYFUNCTION("IF
(
C3023=""фізична особа""
,
VLOOKUP(D3023,IMPORTRANGE(""https://docs.google.com/spreadsheets/d/14Bd19lYaqBhU8_DElYkX7l4wRkHqqCUFNJY4AfY3kHU/edit?usp=sharing  #gid=0"",""фіз особи new!relations_name""),6,FALSE)
,
(IF
(
C3023=""юридична особа""
,
VLOOKUP"&amp;"(D3023,IMPORTRANGE(""https://docs.google.com/spreadsheets/d/14Bd19lYaqBhU8_DElYkX7l4wRkHqqCUFNJY4AfY3kHU/edit?usp=sharing  #gid=0"",""фіз особи new!relations_name_uo""),7,FALSE)
,
)
))"),"ПЛОТНІКОВ Володимир Миколайович")</f>
        <v>ПЛОТНІКОВ Володимир Миколайович</v>
      </c>
      <c r="G3022" s="7" t="s">
        <v>10</v>
      </c>
      <c r="H3022" s="7">
        <v>4789</v>
      </c>
      <c r="I3022" s="8" t="str">
        <f ca="1">IFERROR(__xludf.DUMMYFUNCTION("IF
(
G3023=""фізична особа""
,
VLOOKUP(H3023,IMPORTRANGE(""https://docs.google.com/spreadsheets/d/14Bd19lYaqBhU8_DElYkX7l4wRkHqqCUFNJY4AfY3kHU/edit?usp=sharing  #gid=0"",""фіз особи new!relations_name""),6,FALSE)
,
(IF
(
G3023=""юридична особа""
,
VLOOKUP"&amp;"(H3023,IMPORTRANGE(""https://docs.google.com/spreadsheets/d/14Bd19lYaqBhU8_DElYkX7l4wRkHqqCUFNJY4AfY3kHU/edit?usp=sharing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022" s="7" t="s">
        <v>48</v>
      </c>
    </row>
    <row r="3023" spans="1:10" ht="13.2">
      <c r="A3023" s="7">
        <v>3022</v>
      </c>
      <c r="B3023" s="7">
        <v>1</v>
      </c>
      <c r="C3023" s="7" t="s">
        <v>10</v>
      </c>
      <c r="D3023" s="7">
        <v>869</v>
      </c>
      <c r="E3023" s="7" t="s">
        <v>48</v>
      </c>
      <c r="F3023" s="8" t="str">
        <f ca="1">IFERROR(__xludf.DUMMYFUNCTION("IF
(
C3024=""фізична особа""
,
VLOOKUP(D3024,IMPORTRANGE(""https://docs.google.com/spreadsheets/d/14Bd19lYaqBhU8_DElYkX7l4wRkHqqCUFNJY4AfY3kHU/edit?usp=sharing  #gid=0"",""фіз особи new!relations_name""),6,FALSE)
,
(IF
(
C3024=""юридична особа""
,
VLOOKUP"&amp;"(D3024,IMPORTRANGE(""https://docs.google.com/spreadsheets/d/14Bd19lYaqBhU8_DElYkX7l4wRkHqqCUFNJY4AfY3kHU/edit?usp=sharing  #gid=0"",""фіз особи new!relations_name_uo""),7,FALSE)
,
)
))"),"ПЛОТНІКОВ Володимир Миколайович")</f>
        <v>ПЛОТНІКОВ Володимир Миколайович</v>
      </c>
      <c r="G3023" s="7" t="s">
        <v>10</v>
      </c>
      <c r="H3023" s="7">
        <v>4870</v>
      </c>
      <c r="I3023" s="8" t="str">
        <f ca="1">IFERROR(__xludf.DUMMYFUNCTION("IF
(
G3024=""фізична особа""
,
VLOOKUP(H3024,IMPORTRANGE(""https://docs.google.com/spreadsheets/d/14Bd19lYaqBhU8_DElYkX7l4wRkHqqCUFNJY4AfY3kHU/edit?usp=sharing  #gid=0"",""фіз особи new!relations_name""),6,FALSE)
,
(IF
(
G3024=""юридична особа""
,
VLOOKUP"&amp;"(H3024,IMPORTRANGE(""https://docs.google.com/spreadsheets/d/14Bd19lYaqBhU8_DElYkX7l4wRkHqqCUFNJY4AfY3kHU/edit?usp=sharing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023" s="7" t="s">
        <v>48</v>
      </c>
    </row>
    <row r="3024" spans="1:10" ht="13.2">
      <c r="A3024" s="7">
        <v>3023</v>
      </c>
      <c r="B3024" s="7">
        <v>1</v>
      </c>
      <c r="C3024" s="7" t="s">
        <v>10</v>
      </c>
      <c r="D3024" s="7">
        <v>870</v>
      </c>
      <c r="E3024" s="7" t="s">
        <v>28</v>
      </c>
      <c r="F3024" s="8" t="str">
        <f ca="1">IFERROR(__xludf.DUMMYFUNCTION("IF
(
C3025=""фізична особа""
,
VLOOKUP(D3025,IMPORTRANGE(""https://docs.google.com/spreadsheets/d/14Bd19lYaqBhU8_DElYkX7l4wRkHqqCUFNJY4AfY3kHU/edit?usp=sharing  #gid=0"",""фіз особи new!relations_name""),6,FALSE)
,
(IF
(
C3025=""юридична особа""
,
VLOOKUP"&amp;"(D3025,IMPORTRANGE(""https://docs.google.com/spreadsheets/d/14Bd19lYaqBhU8_DElYkX7l4wRkHqqCUFNJY4AfY3kHU/edit?usp=sharing  #gid=0"",""фіз особи new!relations_name_uo""),7,FALSE)
,
)
))"),"ПАВЛЕНКО Володимир Вікторович")</f>
        <v>ПАВЛЕНКО Володимир Вікторович</v>
      </c>
      <c r="G3024" s="7" t="s">
        <v>10</v>
      </c>
      <c r="H3024" s="7">
        <v>4567</v>
      </c>
      <c r="I3024" s="8" t="str">
        <f ca="1">IFERROR(__xludf.DUMMYFUNCTION("IF
(
G3025=""фізична особа""
,
VLOOKUP(H3025,IMPORTRANGE(""https://docs.google.com/spreadsheets/d/14Bd19lYaqBhU8_DElYkX7l4wRkHqqCUFNJY4AfY3kHU/edit?usp=sharing  #gid=0"",""фіз особи new!relations_name""),6,FALSE)
,
(IF
(
G3025=""юридична особа""
,
VLOOKUP"&amp;"(H3025,IMPORTRANGE(""https://docs.google.com/spreadsheets/d/14Bd19lYaqBhU8_DElYkX7l4wRkHqqCUFNJY4AfY3kHU/edit?usp=sharing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3024" s="7" t="s">
        <v>29</v>
      </c>
    </row>
    <row r="3025" spans="1:10" ht="13.2">
      <c r="A3025" s="7">
        <v>3024</v>
      </c>
      <c r="B3025" s="7">
        <v>1</v>
      </c>
      <c r="C3025" s="7" t="s">
        <v>10</v>
      </c>
      <c r="D3025" s="7">
        <v>870</v>
      </c>
      <c r="E3025" s="7" t="s">
        <v>28</v>
      </c>
      <c r="F3025" s="8" t="str">
        <f ca="1">IFERROR(__xludf.DUMMYFUNCTION("IF
(
C3026=""фізична особа""
,
VLOOKUP(D3026,IMPORTRANGE(""https://docs.google.com/spreadsheets/d/14Bd19lYaqBhU8_DElYkX7l4wRkHqqCUFNJY4AfY3kHU/edit?usp=sharing  #gid=0"",""фіз особи new!relations_name""),6,FALSE)
,
(IF
(
C3026=""юридична особа""
,
VLOOKUP"&amp;"(D3026,IMPORTRANGE(""https://docs.google.com/spreadsheets/d/14Bd19lYaqBhU8_DElYkX7l4wRkHqqCUFNJY4AfY3kHU/edit?usp=sharing  #gid=0"",""фіз особи new!relations_name_uo""),7,FALSE)
,
)
))"),"ПАВЛЕНКО Володимир Вікторович")</f>
        <v>ПАВЛЕНКО Володимир Вікторович</v>
      </c>
      <c r="G3025" s="7" t="s">
        <v>10</v>
      </c>
      <c r="H3025" s="7">
        <v>856</v>
      </c>
      <c r="I3025" s="8" t="str">
        <f ca="1">IFERROR(__xludf.DUMMYFUNCTION("IF
(
G3026=""фізична особа""
,
VLOOKUP(H3026,IMPORTRANGE(""https://docs.google.com/spreadsheets/d/14Bd19lYaqBhU8_DElYkX7l4wRkHqqCUFNJY4AfY3kHU/edit?usp=sharing  #gid=0"",""фіз особи new!relations_name""),6,FALSE)
,
(IF
(
G3026=""юридична особа""
,
VLOOKUP"&amp;"(H3026,IMPORTRANGE(""https://docs.google.com/spreadsheets/d/14Bd19lYaqBhU8_DElYkX7l4wRkHqqCUFNJY4AfY3kHU/edit?usp=sharing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025" s="7" t="s">
        <v>29</v>
      </c>
    </row>
    <row r="3026" spans="1:10" ht="13.2">
      <c r="A3026" s="7">
        <v>3025</v>
      </c>
      <c r="B3026" s="7">
        <v>1</v>
      </c>
      <c r="C3026" s="7" t="s">
        <v>10</v>
      </c>
      <c r="D3026" s="7">
        <v>871</v>
      </c>
      <c r="E3026" s="7" t="s">
        <v>48</v>
      </c>
      <c r="F3026" s="8" t="str">
        <f ca="1">IFERROR(__xludf.DUMMYFUNCTION("IF
(
C3027=""фізична особа""
,
VLOOKUP(D3027,IMPORTRANGE(""https://docs.google.com/spreadsheets/d/14Bd19lYaqBhU8_DElYkX7l4wRkHqqCUFNJY4AfY3kHU/edit?usp=sharing  #gid=0"",""фіз особи new!relations_name""),6,FALSE)
,
(IF
(
C3027=""юридична особа""
,
VLOOKUP"&amp;"(D3027,IMPORTRANGE(""https://docs.google.com/spreadsheets/d/14Bd19lYaqBhU8_DElYkX7l4wRkHqqCUFNJY4AfY3kHU/edit?usp=sharing  #gid=0"",""фіз особи new!relations_name_uo""),7,FALSE)
,
)
))"),"ІСАКОВ Володимир Павлович")</f>
        <v>ІСАКОВ Володимир Павлович</v>
      </c>
      <c r="G3026" s="7" t="s">
        <v>10</v>
      </c>
      <c r="H3026" s="7">
        <v>267</v>
      </c>
      <c r="I3026" s="8" t="str">
        <f ca="1">IFERROR(__xludf.DUMMYFUNCTION("IF
(
G3027=""фізична особа""
,
VLOOKUP(H3027,IMPORTRANGE(""https://docs.google.com/spreadsheets/d/14Bd19lYaqBhU8_DElYkX7l4wRkHqqCUFNJY4AfY3kHU/edit?usp=sharing  #gid=0"",""фіз особи new!relations_name""),6,FALSE)
,
(IF
(
G3027=""юридична особа""
,
VLOOKUP"&amp;"(H3027,IMPORTRANGE(""https://docs.google.com/spreadsheets/d/14Bd19lYaqBhU8_DElYkX7l4wRkHqqCUFNJY4AfY3kHU/edit?usp=sharing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3026" s="7" t="s">
        <v>48</v>
      </c>
    </row>
    <row r="3027" spans="1:10" ht="13.2">
      <c r="A3027" s="7">
        <v>3026</v>
      </c>
      <c r="B3027" s="7">
        <v>1</v>
      </c>
      <c r="C3027" s="7" t="s">
        <v>10</v>
      </c>
      <c r="D3027" s="7">
        <v>872</v>
      </c>
      <c r="E3027" s="7" t="s">
        <v>35</v>
      </c>
      <c r="F3027" s="8" t="str">
        <f ca="1">IFERROR(__xludf.DUMMYFUNCTION("IF
(
C3028=""фізична особа""
,
VLOOKUP(D3028,IMPORTRANGE(""https://docs.google.com/spreadsheets/d/14Bd19lYaqBhU8_DElYkX7l4wRkHqqCUFNJY4AfY3kHU/edit?usp=sharing  #gid=0"",""фіз особи new!relations_name""),6,FALSE)
,
(IF
(
C3028=""юридична особа""
,
VLOOKUP"&amp;"(D3028,IMPORTRANGE(""https://docs.google.com/spreadsheets/d/14Bd19lYaqBhU8_DElYkX7l4wRkHqqCUFNJY4AfY3kHU/edit?usp=sharing  #gid=0"",""фіз особи new!relations_name_uo""),7,FALSE)
,
)
))"),"СОЛОВЙОВ Володимир Рудольфович")</f>
        <v>СОЛОВЙОВ Володимир Рудольфович</v>
      </c>
      <c r="G3027" s="7" t="s">
        <v>10</v>
      </c>
      <c r="H3027" s="7">
        <v>2197</v>
      </c>
      <c r="I3027" s="8" t="str">
        <f ca="1">IFERROR(__xludf.DUMMYFUNCTION("IF
(
G3028=""фізична особа""
,
VLOOKUP(H3028,IMPORTRANGE(""https://docs.google.com/spreadsheets/d/14Bd19lYaqBhU8_DElYkX7l4wRkHqqCUFNJY4AfY3kHU/edit?usp=sharing  #gid=0"",""фіз особи new!relations_name""),6,FALSE)
,
(IF
(
G3028=""юридична особа""
,
VLOOKUP"&amp;"(H3028,IMPORTRANGE(""https://docs.google.com/spreadsheets/d/14Bd19lYaqBhU8_DElYkX7l4wRkHqqCUFNJY4AfY3kHU/edit?usp=sharing  #gid=0"",""фіз особи new!relations_name_uo""),7,FALSE)
,
)
))"),"БАГДАСАРОВ Семен Аркадійович")</f>
        <v>БАГДАСАРОВ Семен Аркадійович</v>
      </c>
      <c r="J3027" s="7" t="s">
        <v>35</v>
      </c>
    </row>
    <row r="3028" spans="1:10" ht="13.2">
      <c r="A3028" s="7">
        <v>3027</v>
      </c>
      <c r="B3028" s="7">
        <v>1</v>
      </c>
      <c r="C3028" s="7" t="s">
        <v>10</v>
      </c>
      <c r="D3028" s="7">
        <v>872</v>
      </c>
      <c r="E3028" s="7" t="s">
        <v>17</v>
      </c>
      <c r="F3028" s="8" t="str">
        <f ca="1">IFERROR(__xludf.DUMMYFUNCTION("IF
(
C3029=""фізична особа""
,
VLOOKUP(D3029,IMPORTRANGE(""https://docs.google.com/spreadsheets/d/14Bd19lYaqBhU8_DElYkX7l4wRkHqqCUFNJY4AfY3kHU/edit?usp=sharing  #gid=0"",""фіз особи new!relations_name""),6,FALSE)
,
(IF
(
C3029=""юридична особа""
,
VLOOKUP"&amp;"(D3029,IMPORTRANGE(""https://docs.google.com/spreadsheets/d/14Bd19lYaqBhU8_DElYkX7l4wRkHqqCUFNJY4AfY3kHU/edit?usp=sharing  #gid=0"",""фіз особи new!relations_name_uo""),7,FALSE)
,
)
))"),"СОЛОВЙОВ Володимир Рудольфович")</f>
        <v>СОЛОВЙОВ Володимир Рудольфович</v>
      </c>
      <c r="G3028" s="7" t="s">
        <v>10</v>
      </c>
      <c r="H3028" s="7">
        <v>0</v>
      </c>
      <c r="I3028" s="8" t="str">
        <f ca="1">IFERROR(__xludf.DUMMYFUNCTION("IF
(
G3029=""фізична особа""
,
VLOOKUP(H3029,IMPORTRANGE(""https://docs.google.com/spreadsheets/d/14Bd19lYaqBhU8_DElYkX7l4wRkHqqCUFNJY4AfY3kHU/edit?usp=sharing  #gid=0"",""фіз особи new!relations_name""),6,FALSE)
,
(IF
(
G3029=""юридична особа""
,
VLOOKUP"&amp;"(H3029,IMPORTRANGE(""https://docs.google.com/spreadsheets/d/14Bd19lYaqBhU8_DElYkX7l4wRkHqqCUFNJY4AfY3kHU/edit?usp=sharing  #gid=0"",""фіз особи new!relations_name_uo""),7,FALSE)
,
)
))"),"#N/A")</f>
        <v>#N/A</v>
      </c>
      <c r="J3028" s="7" t="s">
        <v>21</v>
      </c>
    </row>
    <row r="3029" spans="1:10" ht="13.2">
      <c r="A3029" s="7">
        <v>3028</v>
      </c>
      <c r="B3029" s="7">
        <v>1</v>
      </c>
      <c r="C3029" s="7" t="s">
        <v>10</v>
      </c>
      <c r="D3029" s="7">
        <v>873</v>
      </c>
      <c r="E3029" s="7" t="s">
        <v>28</v>
      </c>
      <c r="F3029" s="8" t="str">
        <f ca="1">IFERROR(__xludf.DUMMYFUNCTION("IF
(
C3030=""фізична особа""
,
VLOOKUP(D3030,IMPORTRANGE(""https://docs.google.com/spreadsheets/d/14Bd19lYaqBhU8_DElYkX7l4wRkHqqCUFNJY4AfY3kHU/edit?usp=sharing  #gid=0"",""фіз особи new!relations_name""),6,FALSE)
,
(IF
(
C3030=""юридична особа""
,
VLOOKUP"&amp;"(D3030,IMPORTRANGE(""https://docs.google.com/spreadsheets/d/14Bd19lYaqBhU8_DElYkX7l4wRkHqqCUFNJY4AfY3kHU/edit?usp=sharing  #gid=0"",""фіз особи new!relations_name_uo""),7,FALSE)
,
)
))"),"РУЩАК Володимир Михайлович")</f>
        <v>РУЩАК Володимир Михайлович</v>
      </c>
      <c r="G3029" s="7" t="s">
        <v>10</v>
      </c>
      <c r="H3029" s="7">
        <v>4567</v>
      </c>
      <c r="I3029" s="8" t="str">
        <f ca="1">IFERROR(__xludf.DUMMYFUNCTION("IF
(
G3030=""фізична особа""
,
VLOOKUP(H3030,IMPORTRANGE(""https://docs.google.com/spreadsheets/d/14Bd19lYaqBhU8_DElYkX7l4wRkHqqCUFNJY4AfY3kHU/edit?usp=sharing  #gid=0"",""фіз особи new!relations_name""),6,FALSE)
,
(IF
(
G3030=""юридична особа""
,
VLOOKUP"&amp;"(H3030,IMPORTRANGE(""https://docs.google.com/spreadsheets/d/14Bd19lYaqBhU8_DElYkX7l4wRkHqqCUFNJY4AfY3kHU/edit?usp=sharing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3029" s="7" t="s">
        <v>29</v>
      </c>
    </row>
    <row r="3030" spans="1:10" ht="13.2">
      <c r="A3030" s="7">
        <v>3029</v>
      </c>
      <c r="B3030" s="7">
        <v>1</v>
      </c>
      <c r="C3030" s="7" t="s">
        <v>10</v>
      </c>
      <c r="D3030" s="7">
        <v>873</v>
      </c>
      <c r="E3030" s="7" t="s">
        <v>28</v>
      </c>
      <c r="F3030" s="8" t="str">
        <f ca="1">IFERROR(__xludf.DUMMYFUNCTION("IF
(
C3031=""фізична особа""
,
VLOOKUP(D3031,IMPORTRANGE(""https://docs.google.com/spreadsheets/d/14Bd19lYaqBhU8_DElYkX7l4wRkHqqCUFNJY4AfY3kHU/edit?usp=sharing  #gid=0"",""фіз особи new!relations_name""),6,FALSE)
,
(IF
(
C3031=""юридична особа""
,
VLOOKUP"&amp;"(D3031,IMPORTRANGE(""https://docs.google.com/spreadsheets/d/14Bd19lYaqBhU8_DElYkX7l4wRkHqqCUFNJY4AfY3kHU/edit?usp=sharing  #gid=0"",""фіз особи new!relations_name_uo""),7,FALSE)
,
)
))"),"РУЩАК Володимир Михайлович")</f>
        <v>РУЩАК Володимир Михайлович</v>
      </c>
      <c r="G3030" s="7" t="s">
        <v>10</v>
      </c>
      <c r="H3030" s="7">
        <v>856</v>
      </c>
      <c r="I3030" s="8" t="str">
        <f ca="1">IFERROR(__xludf.DUMMYFUNCTION("IF
(
G3031=""фізична особа""
,
VLOOKUP(H3031,IMPORTRANGE(""https://docs.google.com/spreadsheets/d/14Bd19lYaqBhU8_DElYkX7l4wRkHqqCUFNJY4AfY3kHU/edit?usp=sharing  #gid=0"",""фіз особи new!relations_name""),6,FALSE)
,
(IF
(
G3031=""юридична особа""
,
VLOOKUP"&amp;"(H3031,IMPORTRANGE(""https://docs.google.com/spreadsheets/d/14Bd19lYaqBhU8_DElYkX7l4wRkHqqCUFNJY4AfY3kHU/edit?usp=sharing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030" s="7" t="s">
        <v>29</v>
      </c>
    </row>
    <row r="3031" spans="1:10" ht="13.2">
      <c r="A3031" s="7">
        <v>3030</v>
      </c>
      <c r="B3031" s="7">
        <v>1</v>
      </c>
      <c r="C3031" s="7" t="s">
        <v>10</v>
      </c>
      <c r="D3031" s="7">
        <v>874</v>
      </c>
      <c r="E3031" s="7" t="s">
        <v>48</v>
      </c>
      <c r="F3031" s="8" t="str">
        <f ca="1">IFERROR(__xludf.DUMMYFUNCTION("IF
(
C3032=""фізична особа""
,
VLOOKUP(D3032,IMPORTRANGE(""https://docs.google.com/spreadsheets/d/14Bd19lYaqBhU8_DElYkX7l4wRkHqqCUFNJY4AfY3kHU/edit?usp=sharing  #gid=0"",""фіз особи new!relations_name""),6,FALSE)
,
(IF
(
C3032=""юридична особа""
,
VLOOKUP"&amp;"(D3032,IMPORTRANGE(""https://docs.google.com/spreadsheets/d/14Bd19lYaqBhU8_DElYkX7l4wRkHqqCUFNJY4AfY3kHU/edit?usp=sharing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G3031" s="7" t="s">
        <v>10</v>
      </c>
      <c r="H3031" s="7">
        <v>185</v>
      </c>
      <c r="I3031" s="8" t="str">
        <f ca="1">IFERROR(__xludf.DUMMYFUNCTION("IF
(
G3032=""фізична особа""
,
VLOOKUP(H3032,IMPORTRANGE(""https://docs.google.com/spreadsheets/d/14Bd19lYaqBhU8_DElYkX7l4wRkHqqCUFNJY4AfY3kHU/edit?usp=sharing  #gid=0"",""фіз особи new!relations_name""),6,FALSE)
,
(IF
(
G3032=""юридична особа""
,
VLOOKUP"&amp;"(H3032,IMPORTRANGE(""https://docs.google.com/spreadsheets/d/14Bd19lYaqBhU8_DElYkX7l4wRkHqqCUFNJY4AfY3kHU/edit?usp=sharing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031" s="7" t="s">
        <v>48</v>
      </c>
    </row>
    <row r="3032" spans="1:10" ht="13.2">
      <c r="A3032" s="7">
        <v>3031</v>
      </c>
      <c r="B3032" s="7">
        <v>1</v>
      </c>
      <c r="C3032" s="7" t="s">
        <v>10</v>
      </c>
      <c r="D3032" s="7">
        <v>874</v>
      </c>
      <c r="E3032" s="7" t="s">
        <v>48</v>
      </c>
      <c r="F3032" s="8" t="str">
        <f ca="1">IFERROR(__xludf.DUMMYFUNCTION("IF
(
C3033=""фізична особа""
,
VLOOKUP(D3033,IMPORTRANGE(""https://docs.google.com/spreadsheets/d/14Bd19lYaqBhU8_DElYkX7l4wRkHqqCUFNJY4AfY3kHU/edit?usp=sharing  #gid=0"",""фіз особи new!relations_name""),6,FALSE)
,
(IF
(
C3033=""юридична особа""
,
VLOOKUP"&amp;"(D3033,IMPORTRANGE(""https://docs.google.com/spreadsheets/d/14Bd19lYaqBhU8_DElYkX7l4wRkHqqCUFNJY4AfY3kHU/edit?usp=sharing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G3032" s="7" t="s">
        <v>10</v>
      </c>
      <c r="H3032" s="7">
        <v>64</v>
      </c>
      <c r="I3032" s="8" t="str">
        <f ca="1">IFERROR(__xludf.DUMMYFUNCTION("IF
(
G3033=""фізична особа""
,
VLOOKUP(H3033,IMPORTRANGE(""https://docs.google.com/spreadsheets/d/14Bd19lYaqBhU8_DElYkX7l4wRkHqqCUFNJY4AfY3kHU/edit?usp=sharing  #gid=0"",""фіз особи new!relations_name""),6,FALSE)
,
(IF
(
G3033=""юридична особа""
,
VLOOKUP"&amp;"(H3033,IMPORTRANGE(""https://docs.google.com/spreadsheets/d/14Bd19lYaqBhU8_DElYkX7l4wRkHqqCUFNJY4AfY3kHU/edit?usp=sharing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032" s="7" t="s">
        <v>48</v>
      </c>
    </row>
    <row r="3033" spans="1:10" ht="13.2">
      <c r="A3033" s="7">
        <v>3032</v>
      </c>
      <c r="B3033" s="7">
        <v>1</v>
      </c>
      <c r="C3033" s="7" t="s">
        <v>10</v>
      </c>
      <c r="D3033" s="7">
        <v>874</v>
      </c>
      <c r="E3033" s="7" t="s">
        <v>48</v>
      </c>
      <c r="F3033" s="8" t="str">
        <f ca="1">IFERROR(__xludf.DUMMYFUNCTION("IF
(
C3034=""фізична особа""
,
VLOOKUP(D3034,IMPORTRANGE(""https://docs.google.com/spreadsheets/d/14Bd19lYaqBhU8_DElYkX7l4wRkHqqCUFNJY4AfY3kHU/edit?usp=sharing  #gid=0"",""фіз особи new!relations_name""),6,FALSE)
,
(IF
(
C3034=""юридична особа""
,
VLOOKUP"&amp;"(D3034,IMPORTRANGE(""https://docs.google.com/spreadsheets/d/14Bd19lYaqBhU8_DElYkX7l4wRkHqqCUFNJY4AfY3kHU/edit?usp=sharing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G3033" s="7" t="s">
        <v>10</v>
      </c>
      <c r="H3033" s="7">
        <v>844</v>
      </c>
      <c r="I3033" s="8" t="str">
        <f ca="1">IFERROR(__xludf.DUMMYFUNCTION("IF
(
G3034=""фізична особа""
,
VLOOKUP(H3034,IMPORTRANGE(""https://docs.google.com/spreadsheets/d/14Bd19lYaqBhU8_DElYkX7l4wRkHqqCUFNJY4AfY3kHU/edit?usp=sharing  #gid=0"",""фіз особи new!relations_name""),6,FALSE)
,
(IF
(
G3034=""юридична особа""
,
VLOOKUP"&amp;"(H3034,IMPORTRANGE(""https://docs.google.com/spreadsheets/d/14Bd19lYaqBhU8_DElYkX7l4wRkHqqCUFNJY4AfY3kHU/edit?usp=sharing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033" s="7" t="s">
        <v>48</v>
      </c>
    </row>
    <row r="3034" spans="1:10" ht="13.2">
      <c r="A3034" s="7">
        <v>3033</v>
      </c>
      <c r="B3034" s="7">
        <v>1</v>
      </c>
      <c r="C3034" s="7" t="s">
        <v>10</v>
      </c>
      <c r="D3034" s="7">
        <v>874</v>
      </c>
      <c r="E3034" s="7" t="s">
        <v>48</v>
      </c>
      <c r="F3034" s="8" t="str">
        <f ca="1">IFERROR(__xludf.DUMMYFUNCTION("IF
(
C3035=""фізична особа""
,
VLOOKUP(D3035,IMPORTRANGE(""https://docs.google.com/spreadsheets/d/14Bd19lYaqBhU8_DElYkX7l4wRkHqqCUFNJY4AfY3kHU/edit?usp=sharing  #gid=0"",""фіз особи new!relations_name""),6,FALSE)
,
(IF
(
C3035=""юридична особа""
,
VLOOKUP"&amp;"(D3035,IMPORTRANGE(""https://docs.google.com/spreadsheets/d/14Bd19lYaqBhU8_DElYkX7l4wRkHqqCUFNJY4AfY3kHU/edit?usp=sharing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G3034" s="7" t="s">
        <v>10</v>
      </c>
      <c r="H3034" s="7">
        <v>4789</v>
      </c>
      <c r="I3034" s="8" t="str">
        <f ca="1">IFERROR(__xludf.DUMMYFUNCTION("IF
(
G3035=""фізична особа""
,
VLOOKUP(H3035,IMPORTRANGE(""https://docs.google.com/spreadsheets/d/14Bd19lYaqBhU8_DElYkX7l4wRkHqqCUFNJY4AfY3kHU/edit?usp=sharing  #gid=0"",""фіз особи new!relations_name""),6,FALSE)
,
(IF
(
G3035=""юридична особа""
,
VLOOKUP"&amp;"(H3035,IMPORTRANGE(""https://docs.google.com/spreadsheets/d/14Bd19lYaqBhU8_DElYkX7l4wRkHqqCUFNJY4AfY3kHU/edit?usp=sharing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034" s="7" t="s">
        <v>48</v>
      </c>
    </row>
    <row r="3035" spans="1:10" ht="13.2">
      <c r="A3035" s="7">
        <v>3034</v>
      </c>
      <c r="B3035" s="7">
        <v>1</v>
      </c>
      <c r="C3035" s="7" t="s">
        <v>10</v>
      </c>
      <c r="D3035" s="7">
        <v>874</v>
      </c>
      <c r="E3035" s="7" t="s">
        <v>48</v>
      </c>
      <c r="F3035" s="8" t="str">
        <f ca="1">IFERROR(__xludf.DUMMYFUNCTION("IF
(
C3036=""фізична особа""
,
VLOOKUP(D3036,IMPORTRANGE(""https://docs.google.com/spreadsheets/d/14Bd19lYaqBhU8_DElYkX7l4wRkHqqCUFNJY4AfY3kHU/edit?usp=sharing  #gid=0"",""фіз особи new!relations_name""),6,FALSE)
,
(IF
(
C3036=""юридична особа""
,
VLOOKUP"&amp;"(D3036,IMPORTRANGE(""https://docs.google.com/spreadsheets/d/14Bd19lYaqBhU8_DElYkX7l4wRkHqqCUFNJY4AfY3kHU/edit?usp=sharing  #gid=0"",""фіз особи new!relations_name_uo""),7,FALSE)
,
)
))"),"ІВАНОВ Володимир Валерійович")</f>
        <v>ІВАНОВ Володимир Валерійович</v>
      </c>
      <c r="G3035" s="7" t="s">
        <v>10</v>
      </c>
      <c r="H3035" s="7">
        <v>4870</v>
      </c>
      <c r="I3035" s="8" t="str">
        <f ca="1">IFERROR(__xludf.DUMMYFUNCTION("IF
(
G3036=""фізична особа""
,
VLOOKUP(H3036,IMPORTRANGE(""https://docs.google.com/spreadsheets/d/14Bd19lYaqBhU8_DElYkX7l4wRkHqqCUFNJY4AfY3kHU/edit?usp=sharing  #gid=0"",""фіз особи new!relations_name""),6,FALSE)
,
(IF
(
G3036=""юридична особа""
,
VLOOKUP"&amp;"(H3036,IMPORTRANGE(""https://docs.google.com/spreadsheets/d/14Bd19lYaqBhU8_DElYkX7l4wRkHqqCUFNJY4AfY3kHU/edit?usp=sharing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035" s="7" t="s">
        <v>48</v>
      </c>
    </row>
    <row r="3036" spans="1:10" ht="13.2">
      <c r="A3036" s="7">
        <v>3035</v>
      </c>
      <c r="B3036" s="7">
        <v>1</v>
      </c>
      <c r="C3036" s="7" t="s">
        <v>10</v>
      </c>
      <c r="D3036" s="7">
        <v>875</v>
      </c>
      <c r="E3036" s="7" t="s">
        <v>11</v>
      </c>
      <c r="F3036" s="8" t="str">
        <f ca="1">IFERROR(__xludf.DUMMYFUNCTION("IF
(
C3037=""фізична особа""
,
VLOOKUP(D3037,IMPORTRANGE(""https://docs.google.com/spreadsheets/d/14Bd19lYaqBhU8_DElYkX7l4wRkHqqCUFNJY4AfY3kHU/edit?usp=sharing  #gid=0"",""фіз особи new!relations_name""),6,FALSE)
,
(IF
(
C3037=""юридична особа""
,
VLOOKUP"&amp;"(D3037,IMPORTRANGE(""https://docs.google.com/spreadsheets/d/14Bd19lYaqBhU8_DElYkX7l4wRkHqqCUFNJY4AfY3kHU/edit?usp=sharing  #gid=0"",""фіз особи new!relations_name_uo""),7,FALSE)
,
)
))"),"РАШЕВСЬКИЙ Володимир Валерійович")</f>
        <v>РАШЕВСЬКИЙ Володимир Валерійович</v>
      </c>
      <c r="G3036" s="7" t="s">
        <v>10</v>
      </c>
      <c r="H3036" s="7">
        <v>70</v>
      </c>
      <c r="I3036" s="8" t="str">
        <f ca="1">IFERROR(__xludf.DUMMYFUNCTION("IF
(
G3037=""фізична особа""
,
VLOOKUP(H3037,IMPORTRANGE(""https://docs.google.com/spreadsheets/d/14Bd19lYaqBhU8_DElYkX7l4wRkHqqCUFNJY4AfY3kHU/edit?usp=sharing  #gid=0"",""фіз особи new!relations_name""),6,FALSE)
,
(IF
(
G3037=""юридична особа""
,
VLOOKUP"&amp;"(H3037,IMPORTRANGE(""https://docs.google.com/spreadsheets/d/14Bd19lYaqBhU8_DElYkX7l4wRkHqqCUFNJY4AfY3kHU/edit?usp=sharing  #gid=0"",""фіз особи new!relations_name_uo""),7,FALSE)
,
)
))"),"МЕЛЬНІЧЕНКО Андрій Ігорович")</f>
        <v>МЕЛЬНІЧЕНКО Андрій Ігорович</v>
      </c>
      <c r="J3036" s="7" t="s">
        <v>11</v>
      </c>
    </row>
    <row r="3037" spans="1:10" ht="13.2">
      <c r="A3037" s="7">
        <v>3036</v>
      </c>
      <c r="B3037" s="7">
        <v>1</v>
      </c>
      <c r="C3037" s="7" t="s">
        <v>10</v>
      </c>
      <c r="D3037" s="7">
        <v>875</v>
      </c>
      <c r="E3037" s="7" t="s">
        <v>11</v>
      </c>
      <c r="F3037" s="8" t="str">
        <f ca="1">IFERROR(__xludf.DUMMYFUNCTION("IF
(
C3038=""фізична особа""
,
VLOOKUP(D3038,IMPORTRANGE(""https://docs.google.com/spreadsheets/d/14Bd19lYaqBhU8_DElYkX7l4wRkHqqCUFNJY4AfY3kHU/edit?usp=sharing  #gid=0"",""фіз особи new!relations_name""),6,FALSE)
,
(IF
(
C3038=""юридична особа""
,
VLOOKUP"&amp;"(D3038,IMPORTRANGE(""https://docs.google.com/spreadsheets/d/14Bd19lYaqBhU8_DElYkX7l4wRkHqqCUFNJY4AfY3kHU/edit?usp=sharing  #gid=0"",""фіз особи new!relations_name_uo""),7,FALSE)
,
)
))"),"РАШЕВСЬКИЙ Володимир Валерійович")</f>
        <v>РАШЕВСЬКИЙ Володимир Валерійович</v>
      </c>
      <c r="G3037" s="7" t="s">
        <v>10</v>
      </c>
      <c r="H3037" s="7">
        <v>2044</v>
      </c>
      <c r="I3037" s="8" t="str">
        <f ca="1">IFERROR(__xludf.DUMMYFUNCTION("IF
(
G3038=""фізична особа""
,
VLOOKUP(H3038,IMPORTRANGE(""https://docs.google.com/spreadsheets/d/14Bd19lYaqBhU8_DElYkX7l4wRkHqqCUFNJY4AfY3kHU/edit?usp=sharing  #gid=0"",""фіз особи new!relations_name""),6,FALSE)
,
(IF
(
G3038=""юридична особа""
,
VLOOKUP"&amp;"(H3038,IMPORTRANGE(""https://docs.google.com/spreadsheets/d/14Bd19lYaqBhU8_DElYkX7l4wRkHqqCUFNJY4AfY3kHU/edit?usp=sharing  #gid=0"",""фіз особи new!relations_name_uo""),7,FALSE)
,
)
))"),"ПОПОВ Сергій Вікторович")</f>
        <v>ПОПОВ Сергій Вікторович</v>
      </c>
      <c r="J3037" s="7" t="s">
        <v>11</v>
      </c>
    </row>
    <row r="3038" spans="1:10" ht="13.2">
      <c r="A3038" s="7">
        <v>3037</v>
      </c>
      <c r="B3038" s="7">
        <v>1</v>
      </c>
      <c r="C3038" s="7" t="s">
        <v>10</v>
      </c>
      <c r="D3038" s="7">
        <v>875</v>
      </c>
      <c r="E3038" s="7" t="s">
        <v>11</v>
      </c>
      <c r="F3038" s="8" t="str">
        <f ca="1">IFERROR(__xludf.DUMMYFUNCTION("IF
(
C3039=""фізична особа""
,
VLOOKUP(D3039,IMPORTRANGE(""https://docs.google.com/spreadsheets/d/14Bd19lYaqBhU8_DElYkX7l4wRkHqqCUFNJY4AfY3kHU/edit?usp=sharing  #gid=0"",""фіз особи new!relations_name""),6,FALSE)
,
(IF
(
C3039=""юридична особа""
,
VLOOKUP"&amp;"(D3039,IMPORTRANGE(""https://docs.google.com/spreadsheets/d/14Bd19lYaqBhU8_DElYkX7l4wRkHqqCUFNJY4AfY3kHU/edit?usp=sharing  #gid=0"",""фіз особи new!relations_name_uo""),7,FALSE)
,
)
))"),"РАШЕВСЬКИЙ Володимир Валерійович")</f>
        <v>РАШЕВСЬКИЙ Володимир Валерійович</v>
      </c>
      <c r="G3038" s="7" t="s">
        <v>10</v>
      </c>
      <c r="H3038" s="7">
        <v>0</v>
      </c>
      <c r="I3038" s="8" t="str">
        <f ca="1">IFERROR(__xludf.DUMMYFUNCTION("IF
(
G3039=""фізична особа""
,
VLOOKUP(H3039,IMPORTRANGE(""https://docs.google.com/spreadsheets/d/14Bd19lYaqBhU8_DElYkX7l4wRkHqqCUFNJY4AfY3kHU/edit?usp=sharing  #gid=0"",""фіз особи new!relations_name""),6,FALSE)
,
(IF
(
G3039=""юридична особа""
,
VLOOKUP"&amp;"(H3039,IMPORTRANGE(""https://docs.google.com/spreadsheets/d/14Bd19lYaqBhU8_DElYkX7l4wRkHqqCUFNJY4AfY3kHU/edit?usp=sharing  #gid=0"",""фіз особи new!relations_name_uo""),7,FALSE)
,
)
))"),"#N/A")</f>
        <v>#N/A</v>
      </c>
      <c r="J3038" s="7" t="s">
        <v>11</v>
      </c>
    </row>
    <row r="3039" spans="1:10" ht="13.2">
      <c r="A3039" s="7">
        <v>3038</v>
      </c>
      <c r="B3039" s="7">
        <v>1</v>
      </c>
      <c r="C3039" s="7" t="s">
        <v>10</v>
      </c>
      <c r="D3039" s="7">
        <v>876</v>
      </c>
      <c r="E3039" s="7" t="s">
        <v>28</v>
      </c>
      <c r="F3039" s="8" t="str">
        <f ca="1">IFERROR(__xludf.DUMMYFUNCTION("IF
(
C3040=""фізична особа""
,
VLOOKUP(D3040,IMPORTRANGE(""https://docs.google.com/spreadsheets/d/14Bd19lYaqBhU8_DElYkX7l4wRkHqqCUFNJY4AfY3kHU/edit?usp=sharing  #gid=0"",""фіз особи new!relations_name""),6,FALSE)
,
(IF
(
C3040=""юридична особа""
,
VLOOKUP"&amp;"(D3040,IMPORTRANGE(""https://docs.google.com/spreadsheets/d/14Bd19lYaqBhU8_DElYkX7l4wRkHqqCUFNJY4AfY3kHU/edit?usp=sharing  #gid=0"",""фіз особи new!relations_name_uo""),7,FALSE)
,
)
))"),"КУЛАЖИН Володимир Володимирович")</f>
        <v>КУЛАЖИН Володимир Володимирович</v>
      </c>
      <c r="G3039" s="7" t="s">
        <v>10</v>
      </c>
      <c r="H3039" s="7">
        <v>309</v>
      </c>
      <c r="I3039" s="8" t="str">
        <f ca="1">IFERROR(__xludf.DUMMYFUNCTION("IF
(
G3040=""фізична особа""
,
VLOOKUP(H3040,IMPORTRANGE(""https://docs.google.com/spreadsheets/d/14Bd19lYaqBhU8_DElYkX7l4wRkHqqCUFNJY4AfY3kHU/edit?usp=sharing  #gid=0"",""фіз особи new!relations_name""),6,FALSE)
,
(IF
(
G3040=""юридична особа""
,
VLOOKUP"&amp;"(H3040,IMPORTRANGE(""https://docs.google.com/spreadsheets/d/14Bd19lYaqBhU8_DElYkX7l4wRkHqqCUFNJY4AfY3kHU/edit?usp=sharing  #gid=0"",""фіз особи new!relations_name_uo""),7,FALSE)
,
)
))"),"ДЕМІДЕНКО Ігор Вікторович")</f>
        <v>ДЕМІДЕНКО Ігор Вікторович</v>
      </c>
      <c r="J3039" s="7" t="s">
        <v>29</v>
      </c>
    </row>
    <row r="3040" spans="1:10" ht="13.2">
      <c r="A3040" s="7">
        <v>3039</v>
      </c>
      <c r="B3040" s="7">
        <v>1</v>
      </c>
      <c r="C3040" s="7" t="s">
        <v>10</v>
      </c>
      <c r="D3040" s="7">
        <v>877</v>
      </c>
      <c r="E3040" s="7" t="s">
        <v>48</v>
      </c>
      <c r="F3040" s="8" t="str">
        <f ca="1">IFERROR(__xludf.DUMMYFUNCTION("IF
(
C3041=""фізична особа""
,
VLOOKUP(D3041,IMPORTRANGE(""https://docs.google.com/spreadsheets/d/14Bd19lYaqBhU8_DElYkX7l4wRkHqqCUFNJY4AfY3kHU/edit?usp=sharing  #gid=0"",""фіз особи new!relations_name""),6,FALSE)
,
(IF
(
C3041=""юридична особа""
,
VLOOKUP"&amp;"(D3041,IMPORTRANGE(""https://docs.google.com/spreadsheets/d/14Bd19lYaqBhU8_DElYkX7l4wRkHqqCUFNJY4AfY3kHU/edit?usp=sharing  #gid=0"",""фіз особи new!relations_name_uo""),7,FALSE)
,
)
))"),"ПЛЯКІН Володимир Володимирович")</f>
        <v>ПЛЯКІН Володимир Володимирович</v>
      </c>
      <c r="G3040" s="7" t="s">
        <v>10</v>
      </c>
      <c r="H3040" s="7">
        <v>7</v>
      </c>
      <c r="I3040" s="8" t="str">
        <f ca="1">IFERROR(__xludf.DUMMYFUNCTION("IF
(
G3041=""фізична особа""
,
VLOOKUP(H3041,IMPORTRANGE(""https://docs.google.com/spreadsheets/d/14Bd19lYaqBhU8_DElYkX7l4wRkHqqCUFNJY4AfY3kHU/edit?usp=sharing  #gid=0"",""фіз особи new!relations_name""),6,FALSE)
,
(IF
(
G3041=""юридична особа""
,
VLOOKUP"&amp;"(H3041,IMPORTRANGE(""https://docs.google.com/spreadsheets/d/14Bd19lYaqBhU8_DElYkX7l4wRkHqqCUFNJY4AfY3kHU/edit?usp=sharing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3040" s="7" t="s">
        <v>48</v>
      </c>
    </row>
    <row r="3041" spans="1:10" ht="13.2">
      <c r="A3041" s="7">
        <v>3040</v>
      </c>
      <c r="B3041" s="7">
        <v>1</v>
      </c>
      <c r="C3041" s="7" t="s">
        <v>10</v>
      </c>
      <c r="D3041" s="7">
        <v>878</v>
      </c>
      <c r="E3041" s="7" t="s">
        <v>28</v>
      </c>
      <c r="F3041" s="8" t="str">
        <f ca="1">IFERROR(__xludf.DUMMYFUNCTION("IF
(
C3042=""фізична особа""
,
VLOOKUP(D3042,IMPORTRANGE(""https://docs.google.com/spreadsheets/d/14Bd19lYaqBhU8_DElYkX7l4wRkHqqCUFNJY4AfY3kHU/edit?usp=sharing  #gid=0"",""фіз особи new!relations_name""),6,FALSE)
,
(IF
(
C3042=""юридична особа""
,
VLOOKUP"&amp;"(D3042,IMPORTRANGE(""https://docs.google.com/spreadsheets/d/14Bd19lYaqBhU8_DElYkX7l4wRkHqqCUFNJY4AfY3kHU/edit?usp=sharing  #gid=0"",""фіз особи new!relations_name_uo""),7,FALSE)
,
)
))"),"ГРОМАКОВ Олександр Юрійович")</f>
        <v>ГРОМАКОВ Олександр Юрійович</v>
      </c>
      <c r="G3041" s="7" t="s">
        <v>10</v>
      </c>
      <c r="H3041" s="7">
        <v>4567</v>
      </c>
      <c r="I3041" s="8" t="str">
        <f ca="1">IFERROR(__xludf.DUMMYFUNCTION("IF
(
G3042=""фізична особа""
,
VLOOKUP(H3042,IMPORTRANGE(""https://docs.google.com/spreadsheets/d/14Bd19lYaqBhU8_DElYkX7l4wRkHqqCUFNJY4AfY3kHU/edit?usp=sharing  #gid=0"",""фіз особи new!relations_name""),6,FALSE)
,
(IF
(
G3042=""юридична особа""
,
VLOOKUP"&amp;"(H3042,IMPORTRANGE(""https://docs.google.com/spreadsheets/d/14Bd19lYaqBhU8_DElYkX7l4wRkHqqCUFNJY4AfY3kHU/edit?usp=sharing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3041" s="7" t="s">
        <v>29</v>
      </c>
    </row>
    <row r="3042" spans="1:10" ht="13.2">
      <c r="A3042" s="7">
        <v>3041</v>
      </c>
      <c r="B3042" s="7">
        <v>1</v>
      </c>
      <c r="C3042" s="7" t="s">
        <v>10</v>
      </c>
      <c r="D3042" s="7">
        <v>878</v>
      </c>
      <c r="E3042" s="7" t="s">
        <v>28</v>
      </c>
      <c r="F3042" s="8" t="str">
        <f ca="1">IFERROR(__xludf.DUMMYFUNCTION("IF
(
C3043=""фізична особа""
,
VLOOKUP(D3043,IMPORTRANGE(""https://docs.google.com/spreadsheets/d/14Bd19lYaqBhU8_DElYkX7l4wRkHqqCUFNJY4AfY3kHU/edit?usp=sharing  #gid=0"",""фіз особи new!relations_name""),6,FALSE)
,
(IF
(
C3043=""юридична особа""
,
VLOOKUP"&amp;"(D3043,IMPORTRANGE(""https://docs.google.com/spreadsheets/d/14Bd19lYaqBhU8_DElYkX7l4wRkHqqCUFNJY4AfY3kHU/edit?usp=sharing  #gid=0"",""фіз особи new!relations_name_uo""),7,FALSE)
,
)
))"),"ГРОМАКОВ Олександр Юрійович")</f>
        <v>ГРОМАКОВ Олександр Юрійович</v>
      </c>
      <c r="G3042" s="7" t="s">
        <v>10</v>
      </c>
      <c r="H3042" s="7">
        <v>856</v>
      </c>
      <c r="I3042" s="8" t="str">
        <f ca="1">IFERROR(__xludf.DUMMYFUNCTION("IF
(
G3043=""фізична особа""
,
VLOOKUP(H3043,IMPORTRANGE(""https://docs.google.com/spreadsheets/d/14Bd19lYaqBhU8_DElYkX7l4wRkHqqCUFNJY4AfY3kHU/edit?usp=sharing  #gid=0"",""фіз особи new!relations_name""),6,FALSE)
,
(IF
(
G3043=""юридична особа""
,
VLOOKUP"&amp;"(H3043,IMPORTRANGE(""https://docs.google.com/spreadsheets/d/14Bd19lYaqBhU8_DElYkX7l4wRkHqqCUFNJY4AfY3kHU/edit?usp=sharing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042" s="7" t="s">
        <v>29</v>
      </c>
    </row>
    <row r="3043" spans="1:10" ht="13.2">
      <c r="A3043" s="7">
        <v>3042</v>
      </c>
      <c r="B3043" s="7">
        <v>1</v>
      </c>
      <c r="C3043" s="7" t="s">
        <v>10</v>
      </c>
      <c r="D3043" s="7">
        <v>879</v>
      </c>
      <c r="E3043" s="7" t="s">
        <v>12</v>
      </c>
      <c r="F3043" s="8" t="str">
        <f ca="1">IFERROR(__xludf.DUMMYFUNCTION("IF
(
C3044=""фізична особа""
,
VLOOKUP(D3044,IMPORTRANGE(""https://docs.google.com/spreadsheets/d/14Bd19lYaqBhU8_DElYkX7l4wRkHqqCUFNJY4AfY3kHU/edit?usp=sharing  #gid=0"",""фіз особи new!relations_name""),6,FALSE)
,
(IF
(
C3044=""юридична особа""
,
VLOOKUP"&amp;"(D3044,IMPORTRANGE(""https://docs.google.com/spreadsheets/d/14Bd19lYaqBhU8_DElYkX7l4wRkHqqCUFNJY4AfY3kHU/edit?usp=sharing  #gid=0"",""фіз особи new!relations_name_uo""),7,FALSE)
,
)
))"),"ПОЛЄТАЄВ Володимир Володимирович")</f>
        <v>ПОЛЄТАЄВ Володимир Володимирович</v>
      </c>
      <c r="G3043" s="7" t="s">
        <v>10</v>
      </c>
      <c r="H3043" s="7">
        <v>0</v>
      </c>
      <c r="I3043" s="8" t="str">
        <f ca="1">IFERROR(__xludf.DUMMYFUNCTION("IF
(
G3044=""фізична особа""
,
VLOOKUP(H3044,IMPORTRANGE(""https://docs.google.com/spreadsheets/d/14Bd19lYaqBhU8_DElYkX7l4wRkHqqCUFNJY4AfY3kHU/edit?usp=sharing  #gid=0"",""фіз особи new!relations_name""),6,FALSE)
,
(IF
(
G3044=""юридична особа""
,
VLOOKUP"&amp;"(H3044,IMPORTRANGE(""https://docs.google.com/spreadsheets/d/14Bd19lYaqBhU8_DElYkX7l4wRkHqqCUFNJY4AfY3kHU/edit?usp=sharing  #gid=0"",""фіз особи new!relations_name_uo""),7,FALSE)
,
)
))"),"#N/A")</f>
        <v>#N/A</v>
      </c>
      <c r="J3043" s="7" t="s">
        <v>13</v>
      </c>
    </row>
    <row r="3044" spans="1:10" ht="13.2">
      <c r="A3044" s="7">
        <v>3043</v>
      </c>
      <c r="B3044" s="7">
        <v>1</v>
      </c>
      <c r="C3044" s="7" t="s">
        <v>10</v>
      </c>
      <c r="D3044" s="7">
        <v>879</v>
      </c>
      <c r="E3044" s="7" t="s">
        <v>14</v>
      </c>
      <c r="F3044" s="8" t="str">
        <f ca="1">IFERROR(__xludf.DUMMYFUNCTION("IF
(
C3045=""фізична особа""
,
VLOOKUP(D3045,IMPORTRANGE(""https://docs.google.com/spreadsheets/d/14Bd19lYaqBhU8_DElYkX7l4wRkHqqCUFNJY4AfY3kHU/edit?usp=sharing  #gid=0"",""фіз особи new!relations_name""),6,FALSE)
,
(IF
(
C3045=""юридична особа""
,
VLOOKUP"&amp;"(D3045,IMPORTRANGE(""https://docs.google.com/spreadsheets/d/14Bd19lYaqBhU8_DElYkX7l4wRkHqqCUFNJY4AfY3kHU/edit?usp=sharing  #gid=0"",""фіз особи new!relations_name_uo""),7,FALSE)
,
)
))"),"ПОЛЄТАЄВ Володимир Володимирович")</f>
        <v>ПОЛЄТАЄВ Володимир Володимирович</v>
      </c>
      <c r="G3044" s="7" t="s">
        <v>10</v>
      </c>
      <c r="H3044" s="7">
        <v>8646</v>
      </c>
      <c r="I3044" s="8" t="str">
        <f ca="1">IFERROR(__xludf.DUMMYFUNCTION("IF
(
G3045=""фізична особа""
,
VLOOKUP(H3045,IMPORTRANGE(""https://docs.google.com/spreadsheets/d/14Bd19lYaqBhU8_DElYkX7l4wRkHqqCUFNJY4AfY3kHU/edit?usp=sharing  #gid=0"",""фіз особи new!relations_name""),6,FALSE)
,
(IF
(
G3045=""юридична особа""
,
VLOOKUP"&amp;"(H3045,IMPORTRANGE(""https://docs.google.com/spreadsheets/d/14Bd19lYaqBhU8_DElYkX7l4wRkHqqCUFNJY4AfY3kHU/edit?usp=sharing  #gid=0"",""фіз особи new!relations_name_uo""),7,FALSE)
,
)
))"),"ПОЛЄТАЄВА Наталія")</f>
        <v>ПОЛЄТАЄВА Наталія</v>
      </c>
      <c r="J3044" s="7" t="s">
        <v>15</v>
      </c>
    </row>
    <row r="3045" spans="1:10" ht="13.2">
      <c r="A3045" s="7">
        <v>3044</v>
      </c>
      <c r="B3045" s="7">
        <v>1</v>
      </c>
      <c r="C3045" s="7" t="s">
        <v>10</v>
      </c>
      <c r="D3045" s="7">
        <v>879</v>
      </c>
      <c r="E3045" s="7" t="s">
        <v>12</v>
      </c>
      <c r="F3045" s="8" t="str">
        <f ca="1">IFERROR(__xludf.DUMMYFUNCTION("IF
(
C3046=""фізична особа""
,
VLOOKUP(D3046,IMPORTRANGE(""https://docs.google.com/spreadsheets/d/14Bd19lYaqBhU8_DElYkX7l4wRkHqqCUFNJY4AfY3kHU/edit?usp=sharing  #gid=0"",""фіз особи new!relations_name""),6,FALSE)
,
(IF
(
C3046=""юридична особа""
,
VLOOKUP"&amp;"(D3046,IMPORTRANGE(""https://docs.google.com/spreadsheets/d/14Bd19lYaqBhU8_DElYkX7l4wRkHqqCUFNJY4AfY3kHU/edit?usp=sharing  #gid=0"",""фіз особи new!relations_name_uo""),7,FALSE)
,
)
))"),"ПОЛЄТАЄВ Володимир Володимирович")</f>
        <v>ПОЛЄТАЄВ Володимир Володимирович</v>
      </c>
      <c r="G3045" s="7" t="s">
        <v>10</v>
      </c>
      <c r="H3045" s="7">
        <v>0</v>
      </c>
      <c r="I3045" s="8" t="str">
        <f ca="1">IFERROR(__xludf.DUMMYFUNCTION("IF
(
G3046=""фізична особа""
,
VLOOKUP(H3046,IMPORTRANGE(""https://docs.google.com/spreadsheets/d/14Bd19lYaqBhU8_DElYkX7l4wRkHqqCUFNJY4AfY3kHU/edit?usp=sharing  #gid=0"",""фіз особи new!relations_name""),6,FALSE)
,
(IF
(
G3046=""юридична особа""
,
VLOOKUP"&amp;"(H3046,IMPORTRANGE(""https://docs.google.com/spreadsheets/d/14Bd19lYaqBhU8_DElYkX7l4wRkHqqCUFNJY4AfY3kHU/edit?usp=sharing  #gid=0"",""фіз особи new!relations_name_uo""),7,FALSE)
,
)
))"),"#N/A")</f>
        <v>#N/A</v>
      </c>
      <c r="J3045" s="7" t="s">
        <v>17</v>
      </c>
    </row>
    <row r="3046" spans="1:10" ht="13.2">
      <c r="A3046" s="7">
        <v>3045</v>
      </c>
      <c r="B3046" s="7">
        <v>1</v>
      </c>
      <c r="C3046" s="7" t="s">
        <v>10</v>
      </c>
      <c r="D3046" s="7">
        <v>880</v>
      </c>
      <c r="E3046" s="7" t="s">
        <v>56</v>
      </c>
      <c r="F3046" s="8" t="str">
        <f ca="1">IFERROR(__xludf.DUMMYFUNCTION("IF
(
C3047=""фізична особа""
,
VLOOKUP(D3047,IMPORTRANGE(""https://docs.google.com/spreadsheets/d/14Bd19lYaqBhU8_DElYkX7l4wRkHqqCUFNJY4AfY3kHU/edit?usp=sharing  #gid=0"",""фіз особи new!relations_name""),6,FALSE)
,
(IF
(
C3047=""юридична особа""
,
VLOOKUP"&amp;"(D3047,IMPORTRANGE(""https://docs.google.com/spreadsheets/d/14Bd19lYaqBhU8_DElYkX7l4wRkHqqCUFNJY4AfY3kHU/edit?usp=sharing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3046" s="7" t="s">
        <v>10</v>
      </c>
      <c r="H3046" s="7">
        <v>4514</v>
      </c>
      <c r="I3046" s="8" t="str">
        <f ca="1">IFERROR(__xludf.DUMMYFUNCTION("IF
(
G3047=""фізична особа""
,
VLOOKUP(H3047,IMPORTRANGE(""https://docs.google.com/spreadsheets/d/14Bd19lYaqBhU8_DElYkX7l4wRkHqqCUFNJY4AfY3kHU/edit?usp=sharing  #gid=0"",""фіз особи new!relations_name""),6,FALSE)
,
(IF
(
G3047=""юридична особа""
,
VLOOKUP"&amp;"(H3047,IMPORTRANGE(""https://docs.google.com/spreadsheets/d/14Bd19lYaqBhU8_DElYkX7l4wRkHqqCUFNJY4AfY3kHU/edit?usp=sharing  #gid=0"",""фіз особи new!relations_name_uo""),7,FALSE)
,
)
))"),"МЕДВЕДЧУК Віктор Володимирович")</f>
        <v>МЕДВЕДЧУК Віктор Володимирович</v>
      </c>
      <c r="J3046" s="7" t="s">
        <v>56</v>
      </c>
    </row>
    <row r="3047" spans="1:10" ht="13.2">
      <c r="A3047" s="7">
        <v>3046</v>
      </c>
      <c r="B3047" s="7">
        <v>1</v>
      </c>
      <c r="C3047" s="7" t="s">
        <v>10</v>
      </c>
      <c r="D3047" s="7">
        <v>880</v>
      </c>
      <c r="E3047" s="7" t="s">
        <v>36</v>
      </c>
      <c r="F3047" s="8" t="str">
        <f ca="1">IFERROR(__xludf.DUMMYFUNCTION("IF
(
C3048=""фізична особа""
,
VLOOKUP(D3048,IMPORTRANGE(""https://docs.google.com/spreadsheets/d/14Bd19lYaqBhU8_DElYkX7l4wRkHqqCUFNJY4AfY3kHU/edit?usp=sharing  #gid=0"",""фіз особи new!relations_name""),6,FALSE)
,
(IF
(
C3048=""юридична особа""
,
VLOOKUP"&amp;"(D3048,IMPORTRANGE(""https://docs.google.com/spreadsheets/d/14Bd19lYaqBhU8_DElYkX7l4wRkHqqCUFNJY4AfY3kHU/edit?usp=sharing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3047" s="7" t="s">
        <v>10</v>
      </c>
      <c r="H3047" s="7">
        <v>2496</v>
      </c>
      <c r="I3047" s="8" t="str">
        <f ca="1">IFERROR(__xludf.DUMMYFUNCTION("IF
(
G3048=""фізична особа""
,
VLOOKUP(H3048,IMPORTRANGE(""https://docs.google.com/spreadsheets/d/14Bd19lYaqBhU8_DElYkX7l4wRkHqqCUFNJY4AfY3kHU/edit?usp=sharing  #gid=0"",""фіз особи new!relations_name""),6,FALSE)
,
(IF
(
G3048=""юридична особа""
,
VLOOKUP"&amp;"(H3048,IMPORTRANGE(""https://docs.google.com/spreadsheets/d/14Bd19lYaqBhU8_DElYkX7l4wRkHqqCUFNJY4AfY3kHU/edit?usp=sharing  #gid=0"",""фіз особи new!relations_name_uo""),7,FALSE)
,
)
))"),"КАБАЄВА Аліна Маратівна")</f>
        <v>КАБАЄВА Аліна Маратівна</v>
      </c>
      <c r="J3047" s="7" t="s">
        <v>37</v>
      </c>
    </row>
    <row r="3048" spans="1:10" ht="13.2">
      <c r="A3048" s="7">
        <v>3047</v>
      </c>
      <c r="B3048" s="7">
        <v>1</v>
      </c>
      <c r="C3048" s="7" t="s">
        <v>10</v>
      </c>
      <c r="D3048" s="7">
        <v>880</v>
      </c>
      <c r="E3048" s="7" t="s">
        <v>12</v>
      </c>
      <c r="F3048" s="8" t="str">
        <f ca="1">IFERROR(__xludf.DUMMYFUNCTION("IF
(
C3049=""фізична особа""
,
VLOOKUP(D3049,IMPORTRANGE(""https://docs.google.com/spreadsheets/d/14Bd19lYaqBhU8_DElYkX7l4wRkHqqCUFNJY4AfY3kHU/edit?usp=sharing  #gid=0"",""фіз особи new!relations_name""),6,FALSE)
,
(IF
(
C3049=""юридична особа""
,
VLOOKUP"&amp;"(D3049,IMPORTRANGE(""https://docs.google.com/spreadsheets/d/14Bd19lYaqBhU8_DElYkX7l4wRkHqqCUFNJY4AfY3kHU/edit?usp=sharing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3048" s="7" t="s">
        <v>10</v>
      </c>
      <c r="H3048" s="7">
        <v>2495</v>
      </c>
      <c r="I3048" s="8" t="str">
        <f ca="1">IFERROR(__xludf.DUMMYFUNCTION("IF
(
G3049=""фізична особа""
,
VLOOKUP(H3049,IMPORTRANGE(""https://docs.google.com/spreadsheets/d/14Bd19lYaqBhU8_DElYkX7l4wRkHqqCUFNJY4AfY3kHU/edit?usp=sharing  #gid=0"",""фіз особи new!relations_name""),6,FALSE)
,
(IF
(
G3049=""юридична особа""
,
VLOOKUP"&amp;"(H3049,IMPORTRANGE(""https://docs.google.com/spreadsheets/d/14Bd19lYaqBhU8_DElYkX7l4wRkHqqCUFNJY4AfY3kHU/edit?usp=sharing  #gid=0"",""фіз особи new!relations_name_uo""),7,FALSE)
,
)
))"),"ПУТІНА / ТИХОНОВА Катерина Володимирівна")</f>
        <v>ПУТІНА / ТИХОНОВА Катерина Володимирівна</v>
      </c>
      <c r="J3048" s="7" t="s">
        <v>13</v>
      </c>
    </row>
    <row r="3049" spans="1:10" ht="13.2">
      <c r="A3049" s="7">
        <v>3048</v>
      </c>
      <c r="B3049" s="7">
        <v>1</v>
      </c>
      <c r="C3049" s="7" t="s">
        <v>10</v>
      </c>
      <c r="D3049" s="7">
        <v>880</v>
      </c>
      <c r="E3049" s="7" t="s">
        <v>12</v>
      </c>
      <c r="F3049" s="8" t="str">
        <f ca="1">IFERROR(__xludf.DUMMYFUNCTION("IF
(
C3050=""фізична особа""
,
VLOOKUP(D3050,IMPORTRANGE(""https://docs.google.com/spreadsheets/d/14Bd19lYaqBhU8_DElYkX7l4wRkHqqCUFNJY4AfY3kHU/edit?usp=sharing  #gid=0"",""фіз особи new!relations_name""),6,FALSE)
,
(IF
(
C3050=""юридична особа""
,
VLOOKUP"&amp;"(D3050,IMPORTRANGE(""https://docs.google.com/spreadsheets/d/14Bd19lYaqBhU8_DElYkX7l4wRkHqqCUFNJY4AfY3kHU/edit?usp=sharing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3049" s="7" t="s">
        <v>10</v>
      </c>
      <c r="H3049" s="7">
        <v>2038</v>
      </c>
      <c r="I3049" s="8" t="str">
        <f ca="1">IFERROR(__xludf.DUMMYFUNCTION("IF
(
G3050=""фізична особа""
,
VLOOKUP(H3050,IMPORTRANGE(""https://docs.google.com/spreadsheets/d/14Bd19lYaqBhU8_DElYkX7l4wRkHqqCUFNJY4AfY3kHU/edit?usp=sharing  #gid=0"",""фіз особи new!relations_name""),6,FALSE)
,
(IF
(
G3050=""юридична особа""
,
VLOOKUP"&amp;"(H3050,IMPORTRANGE(""https://docs.google.com/spreadsheets/d/14Bd19lYaqBhU8_DElYkX7l4wRkHqqCUFNJY4AfY3kHU/edit?usp=sharing  #gid=0"",""фіз особи new!relations_name_uo""),7,FALSE)
,
)
))"),"ПУТІНА / ВОРОНЦОВА / ФААССЕН Марія Володимирівна")</f>
        <v>ПУТІНА / ВОРОНЦОВА / ФААССЕН Марія Володимирівна</v>
      </c>
      <c r="J3049" s="7" t="s">
        <v>13</v>
      </c>
    </row>
    <row r="3050" spans="1:10" ht="13.2">
      <c r="A3050" s="7">
        <v>3049</v>
      </c>
      <c r="B3050" s="7">
        <v>1</v>
      </c>
      <c r="C3050" s="7" t="s">
        <v>10</v>
      </c>
      <c r="D3050" s="7">
        <v>880</v>
      </c>
      <c r="E3050" s="7" t="s">
        <v>42</v>
      </c>
      <c r="F3050" s="8" t="str">
        <f ca="1">IFERROR(__xludf.DUMMYFUNCTION("IF
(
C3051=""фізична особа""
,
VLOOKUP(D3051,IMPORTRANGE(""https://docs.google.com/spreadsheets/d/14Bd19lYaqBhU8_DElYkX7l4wRkHqqCUFNJY4AfY3kHU/edit?usp=sharing  #gid=0"",""фіз особи new!relations_name""),6,FALSE)
,
(IF
(
C3051=""юридична особа""
,
VLOOKUP"&amp;"(D3051,IMPORTRANGE(""https://docs.google.com/spreadsheets/d/14Bd19lYaqBhU8_DElYkX7l4wRkHqqCUFNJY4AfY3kHU/edit?usp=sharing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G3050" s="7" t="s">
        <v>10</v>
      </c>
      <c r="H3050" s="7">
        <v>2037</v>
      </c>
      <c r="I3050" s="8" t="str">
        <f ca="1">IFERROR(__xludf.DUMMYFUNCTION("IF
(
G3051=""фізична особа""
,
VLOOKUP(H3051,IMPORTRANGE(""https://docs.google.com/spreadsheets/d/14Bd19lYaqBhU8_DElYkX7l4wRkHqqCUFNJY4AfY3kHU/edit?usp=sharing  #gid=0"",""фіз особи new!relations_name""),6,FALSE)
,
(IF
(
G3051=""юридична особа""
,
VLOOKUP"&amp;"(H3051,IMPORTRANGE(""https://docs.google.com/spreadsheets/d/14Bd19lYaqBhU8_DElYkX7l4wRkHqqCUFNJY4AfY3kHU/edit?usp=sharing  #gid=0"",""фіз особи new!relations_name_uo""),7,FALSE)
,
)
))"),"ОЧЕРЕТНА Людмила Олександрівна")</f>
        <v>ОЧЕРЕТНА Людмила Олександрівна</v>
      </c>
      <c r="J3050" s="7" t="s">
        <v>43</v>
      </c>
    </row>
    <row r="3051" spans="1:10" ht="13.2">
      <c r="A3051" s="7">
        <v>3050</v>
      </c>
      <c r="B3051" s="7">
        <v>1</v>
      </c>
      <c r="C3051" s="7" t="s">
        <v>10</v>
      </c>
      <c r="D3051" s="7">
        <v>881</v>
      </c>
      <c r="E3051" s="7" t="s">
        <v>42</v>
      </c>
      <c r="F3051" s="8" t="str">
        <f ca="1">IFERROR(__xludf.DUMMYFUNCTION("IF
(
C3052=""фізична особа""
,
VLOOKUP(D3052,IMPORTRANGE(""https://docs.google.com/spreadsheets/d/14Bd19lYaqBhU8_DElYkX7l4wRkHqqCUFNJY4AfY3kHU/edit?usp=sharing  #gid=0"",""фіз особи new!relations_name""),6,FALSE)
,
(IF
(
C3052=""юридична особа""
,
VLOOKUP"&amp;"(D3052,IMPORTRANGE(""https://docs.google.com/spreadsheets/d/14Bd19lYaqBhU8_DElYkX7l4wRkHqqCUFNJY4AfY3kHU/edit?usp=sharing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1" s="7" t="s">
        <v>10</v>
      </c>
      <c r="H3051" s="7">
        <v>0</v>
      </c>
      <c r="I3051" s="8" t="str">
        <f ca="1">IFERROR(__xludf.DUMMYFUNCTION("IF
(
G3052=""фізична особа""
,
VLOOKUP(H3052,IMPORTRANGE(""https://docs.google.com/spreadsheets/d/14Bd19lYaqBhU8_DElYkX7l4wRkHqqCUFNJY4AfY3kHU/edit?usp=sharing  #gid=0"",""фіз особи new!relations_name""),6,FALSE)
,
(IF
(
G3052=""юридична особа""
,
VLOOKUP"&amp;"(H3052,IMPORTRANGE(""https://docs.google.com/spreadsheets/d/14Bd19lYaqBhU8_DElYkX7l4wRkHqqCUFNJY4AfY3kHU/edit?usp=sharing  #gid=0"",""фіз особи new!relations_name_uo""),7,FALSE)
,
)
))"),"#N/A")</f>
        <v>#N/A</v>
      </c>
      <c r="J3051" s="7" t="s">
        <v>43</v>
      </c>
    </row>
    <row r="3052" spans="1:10" ht="13.2">
      <c r="A3052" s="7">
        <v>3051</v>
      </c>
      <c r="B3052" s="7">
        <v>1</v>
      </c>
      <c r="C3052" s="7" t="s">
        <v>10</v>
      </c>
      <c r="D3052" s="7">
        <v>881</v>
      </c>
      <c r="E3052" s="7" t="s">
        <v>46</v>
      </c>
      <c r="F3052" s="8" t="str">
        <f ca="1">IFERROR(__xludf.DUMMYFUNCTION("IF
(
C3053=""фізична особа""
,
VLOOKUP(D3053,IMPORTRANGE(""https://docs.google.com/spreadsheets/d/14Bd19lYaqBhU8_DElYkX7l4wRkHqqCUFNJY4AfY3kHU/edit?usp=sharing  #gid=0"",""фіз особи new!relations_name""),6,FALSE)
,
(IF
(
C3053=""юридична особа""
,
VLOOKUP"&amp;"(D3053,IMPORTRANGE(""https://docs.google.com/spreadsheets/d/14Bd19lYaqBhU8_DElYkX7l4wRkHqqCUFNJY4AfY3kHU/edit?usp=sharing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2" s="7" t="s">
        <v>10</v>
      </c>
      <c r="H3052" s="7">
        <v>0</v>
      </c>
      <c r="I3052" s="8" t="str">
        <f ca="1">IFERROR(__xludf.DUMMYFUNCTION("IF
(
G3053=""фізична особа""
,
VLOOKUP(H3053,IMPORTRANGE(""https://docs.google.com/spreadsheets/d/14Bd19lYaqBhU8_DElYkX7l4wRkHqqCUFNJY4AfY3kHU/edit?usp=sharing  #gid=0"",""фіз особи new!relations_name""),6,FALSE)
,
(IF
(
G3053=""юридична особа""
,
VLOOKUP"&amp;"(H3053,IMPORTRANGE(""https://docs.google.com/spreadsheets/d/14Bd19lYaqBhU8_DElYkX7l4wRkHqqCUFNJY4AfY3kHU/edit?usp=sharing  #gid=0"",""фіз особи new!relations_name_uo""),7,FALSE)
,
)
))"),"#N/A")</f>
        <v>#N/A</v>
      </c>
      <c r="J3052" s="7" t="s">
        <v>47</v>
      </c>
    </row>
    <row r="3053" spans="1:10" ht="13.2">
      <c r="A3053" s="7">
        <v>3052</v>
      </c>
      <c r="B3053" s="7">
        <v>1</v>
      </c>
      <c r="C3053" s="7" t="s">
        <v>10</v>
      </c>
      <c r="D3053" s="7">
        <v>881</v>
      </c>
      <c r="E3053" s="7" t="s">
        <v>26</v>
      </c>
      <c r="F3053" s="8" t="str">
        <f ca="1">IFERROR(__xludf.DUMMYFUNCTION("IF
(
C3054=""фізична особа""
,
VLOOKUP(D3054,IMPORTRANGE(""https://docs.google.com/spreadsheets/d/14Bd19lYaqBhU8_DElYkX7l4wRkHqqCUFNJY4AfY3kHU/edit?usp=sharing  #gid=0"",""фіз особи new!relations_name""),6,FALSE)
,
(IF
(
C3054=""юридична особа""
,
VLOOKUP"&amp;"(D3054,IMPORTRANGE(""https://docs.google.com/spreadsheets/d/14Bd19lYaqBhU8_DElYkX7l4wRkHqqCUFNJY4AfY3kHU/edit?usp=sharing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3" s="7" t="s">
        <v>10</v>
      </c>
      <c r="H3053" s="7">
        <v>0</v>
      </c>
      <c r="I3053" s="8" t="str">
        <f ca="1">IFERROR(__xludf.DUMMYFUNCTION("IF
(
G3054=""фізична особа""
,
VLOOKUP(H3054,IMPORTRANGE(""https://docs.google.com/spreadsheets/d/14Bd19lYaqBhU8_DElYkX7l4wRkHqqCUFNJY4AfY3kHU/edit?usp=sharing  #gid=0"",""фіз особи new!relations_name""),6,FALSE)
,
(IF
(
G3054=""юридична особа""
,
VLOOKUP"&amp;"(H3054,IMPORTRANGE(""https://docs.google.com/spreadsheets/d/14Bd19lYaqBhU8_DElYkX7l4wRkHqqCUFNJY4AfY3kHU/edit?usp=sharing  #gid=0"",""фіз особи new!relations_name_uo""),7,FALSE)
,
)
))"),"#N/A")</f>
        <v>#N/A</v>
      </c>
      <c r="J3053" s="7" t="s">
        <v>67</v>
      </c>
    </row>
    <row r="3054" spans="1:10" ht="13.2">
      <c r="A3054" s="7">
        <v>3053</v>
      </c>
      <c r="B3054" s="7">
        <v>1</v>
      </c>
      <c r="C3054" s="7" t="s">
        <v>10</v>
      </c>
      <c r="D3054" s="7">
        <v>881</v>
      </c>
      <c r="E3054" s="7" t="s">
        <v>40</v>
      </c>
      <c r="F3054" s="8" t="str">
        <f ca="1">IFERROR(__xludf.DUMMYFUNCTION("IF
(
C3055=""фізична особа""
,
VLOOKUP(D3055,IMPORTRANGE(""https://docs.google.com/spreadsheets/d/14Bd19lYaqBhU8_DElYkX7l4wRkHqqCUFNJY4AfY3kHU/edit?usp=sharing  #gid=0"",""фіз особи new!relations_name""),6,FALSE)
,
(IF
(
C3055=""юридична особа""
,
VLOOKUP"&amp;"(D3055,IMPORTRANGE(""https://docs.google.com/spreadsheets/d/14Bd19lYaqBhU8_DElYkX7l4wRkHqqCUFNJY4AfY3kHU/edit?usp=sharing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4" s="7" t="s">
        <v>10</v>
      </c>
      <c r="H3054" s="7">
        <v>0</v>
      </c>
      <c r="I3054" s="8" t="str">
        <f ca="1">IFERROR(__xludf.DUMMYFUNCTION("IF
(
G3055=""фізична особа""
,
VLOOKUP(H3055,IMPORTRANGE(""https://docs.google.com/spreadsheets/d/14Bd19lYaqBhU8_DElYkX7l4wRkHqqCUFNJY4AfY3kHU/edit?usp=sharing  #gid=0"",""фіз особи new!relations_name""),6,FALSE)
,
(IF
(
G3055=""юридична особа""
,
VLOOKUP"&amp;"(H3055,IMPORTRANGE(""https://docs.google.com/spreadsheets/d/14Bd19lYaqBhU8_DElYkX7l4wRkHqqCUFNJY4AfY3kHU/edit?usp=sharing  #gid=0"",""фіз особи new!relations_name_uo""),7,FALSE)
,
)
))"),"#N/A")</f>
        <v>#N/A</v>
      </c>
      <c r="J3054" s="7" t="s">
        <v>41</v>
      </c>
    </row>
    <row r="3055" spans="1:10" ht="13.2">
      <c r="A3055" s="7">
        <v>3054</v>
      </c>
      <c r="B3055" s="7">
        <v>1</v>
      </c>
      <c r="C3055" s="7" t="s">
        <v>10</v>
      </c>
      <c r="D3055" s="7">
        <v>881</v>
      </c>
      <c r="E3055" s="7" t="s">
        <v>12</v>
      </c>
      <c r="F3055" s="8" t="str">
        <f ca="1">IFERROR(__xludf.DUMMYFUNCTION("IF
(
C3056=""фізична особа""
,
VLOOKUP(D3056,IMPORTRANGE(""https://docs.google.com/spreadsheets/d/14Bd19lYaqBhU8_DElYkX7l4wRkHqqCUFNJY4AfY3kHU/edit?usp=sharing  #gid=0"",""фіз особи new!relations_name""),6,FALSE)
,
(IF
(
C3056=""юридична особа""
,
VLOOKUP"&amp;"(D3056,IMPORTRANGE(""https://docs.google.com/spreadsheets/d/14Bd19lYaqBhU8_DElYkX7l4wRkHqqCUFNJY4AfY3kHU/edit?usp=sharing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5" s="7" t="s">
        <v>10</v>
      </c>
      <c r="H3055" s="7">
        <v>15632</v>
      </c>
      <c r="I3055" s="8" t="str">
        <f ca="1">IFERROR(__xludf.DUMMYFUNCTION("IF
(
G3056=""фізична особа""
,
VLOOKUP(H3056,IMPORTRANGE(""https://docs.google.com/spreadsheets/d/14Bd19lYaqBhU8_DElYkX7l4wRkHqqCUFNJY4AfY3kHU/edit?usp=sharing  #gid=0"",""фіз особи new!relations_name""),6,FALSE)
,
(IF
(
G3056=""юридична особа""
,
VLOOKUP"&amp;"(H3056,IMPORTRANGE(""https://docs.google.com/spreadsheets/d/14Bd19lYaqBhU8_DElYkX7l4wRkHqqCUFNJY4AfY3kHU/edit?usp=sharing  #gid=0"",""фіз особи new!relations_name_uo""),7,FALSE)
,
)
))"),"СІПЯГІН Олексій Володимирович")</f>
        <v>СІПЯГІН Олексій Володимирович</v>
      </c>
      <c r="J3055" s="7" t="s">
        <v>17</v>
      </c>
    </row>
    <row r="3056" spans="1:10" ht="13.2">
      <c r="A3056" s="7">
        <v>3055</v>
      </c>
      <c r="B3056" s="7">
        <v>1</v>
      </c>
      <c r="C3056" s="7" t="s">
        <v>10</v>
      </c>
      <c r="D3056" s="7">
        <v>881</v>
      </c>
      <c r="E3056" s="7" t="s">
        <v>18</v>
      </c>
      <c r="F3056" s="8" t="str">
        <f ca="1">IFERROR(__xludf.DUMMYFUNCTION("IF
(
C3057=""фізична особа""
,
VLOOKUP(D3057,IMPORTRANGE(""https://docs.google.com/spreadsheets/d/14Bd19lYaqBhU8_DElYkX7l4wRkHqqCUFNJY4AfY3kHU/edit?usp=sharing  #gid=0"",""фіз особи new!relations_name""),6,FALSE)
,
(IF
(
C3057=""юридична особа""
,
VLOOKUP"&amp;"(D3057,IMPORTRANGE(""https://docs.google.com/spreadsheets/d/14Bd19lYaqBhU8_DElYkX7l4wRkHqqCUFNJY4AfY3kHU/edit?usp=sharing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6" s="7" t="s">
        <v>10</v>
      </c>
      <c r="H3056" s="7">
        <v>0</v>
      </c>
      <c r="I3056" s="8" t="str">
        <f ca="1">IFERROR(__xludf.DUMMYFUNCTION("IF
(
G3057=""фізична особа""
,
VLOOKUP(H3057,IMPORTRANGE(""https://docs.google.com/spreadsheets/d/14Bd19lYaqBhU8_DElYkX7l4wRkHqqCUFNJY4AfY3kHU/edit?usp=sharing  #gid=0"",""фіз особи new!relations_name""),6,FALSE)
,
(IF
(
G3057=""юридична особа""
,
VLOOKUP"&amp;"(H3057,IMPORTRANGE(""https://docs.google.com/spreadsheets/d/14Bd19lYaqBhU8_DElYkX7l4wRkHqqCUFNJY4AfY3kHU/edit?usp=sharing  #gid=0"",""фіз особи new!relations_name_uo""),7,FALSE)
,
)
))"),"#N/A")</f>
        <v>#N/A</v>
      </c>
      <c r="J3056" s="7" t="s">
        <v>18</v>
      </c>
    </row>
    <row r="3057" spans="1:10" ht="13.2">
      <c r="A3057" s="7">
        <v>3056</v>
      </c>
      <c r="B3057" s="7">
        <v>1</v>
      </c>
      <c r="C3057" s="7" t="s">
        <v>10</v>
      </c>
      <c r="D3057" s="7">
        <v>881</v>
      </c>
      <c r="E3057" s="7" t="s">
        <v>12</v>
      </c>
      <c r="F3057" s="8" t="str">
        <f ca="1">IFERROR(__xludf.DUMMYFUNCTION("IF
(
C3058=""фізична особа""
,
VLOOKUP(D3058,IMPORTRANGE(""https://docs.google.com/spreadsheets/d/14Bd19lYaqBhU8_DElYkX7l4wRkHqqCUFNJY4AfY3kHU/edit?usp=sharing  #gid=0"",""фіз особи new!relations_name""),6,FALSE)
,
(IF
(
C3058=""юридична особа""
,
VLOOKUP"&amp;"(D3058,IMPORTRANGE(""https://docs.google.com/spreadsheets/d/14Bd19lYaqBhU8_DElYkX7l4wRkHqqCUFNJY4AfY3kHU/edit?usp=sharing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7" s="7" t="s">
        <v>10</v>
      </c>
      <c r="H3057" s="7">
        <v>0</v>
      </c>
      <c r="I3057" s="8" t="str">
        <f ca="1">IFERROR(__xludf.DUMMYFUNCTION("IF
(
G3058=""фізична особа""
,
VLOOKUP(H3058,IMPORTRANGE(""https://docs.google.com/spreadsheets/d/14Bd19lYaqBhU8_DElYkX7l4wRkHqqCUFNJY4AfY3kHU/edit?usp=sharing  #gid=0"",""фіз особи new!relations_name""),6,FALSE)
,
(IF
(
G3058=""юридична особа""
,
VLOOKUP"&amp;"(H3058,IMPORTRANGE(""https://docs.google.com/spreadsheets/d/14Bd19lYaqBhU8_DElYkX7l4wRkHqqCUFNJY4AfY3kHU/edit?usp=sharing  #gid=0"",""фіз особи new!relations_name_uo""),7,FALSE)
,
)
))"),"#N/A")</f>
        <v>#N/A</v>
      </c>
      <c r="J3057" s="7" t="s">
        <v>13</v>
      </c>
    </row>
    <row r="3058" spans="1:10" ht="13.2">
      <c r="A3058" s="7">
        <v>3057</v>
      </c>
      <c r="B3058" s="7">
        <v>1</v>
      </c>
      <c r="C3058" s="7" t="s">
        <v>10</v>
      </c>
      <c r="D3058" s="7">
        <v>881</v>
      </c>
      <c r="E3058" s="7" t="s">
        <v>12</v>
      </c>
      <c r="F3058" s="8" t="str">
        <f ca="1">IFERROR(__xludf.DUMMYFUNCTION("IF
(
C3059=""фізична особа""
,
VLOOKUP(D3059,IMPORTRANGE(""https://docs.google.com/spreadsheets/d/14Bd19lYaqBhU8_DElYkX7l4wRkHqqCUFNJY4AfY3kHU/edit?usp=sharing  #gid=0"",""фіз особи new!relations_name""),6,FALSE)
,
(IF
(
C3059=""юридична особа""
,
VLOOKUP"&amp;"(D3059,IMPORTRANGE(""https://docs.google.com/spreadsheets/d/14Bd19lYaqBhU8_DElYkX7l4wRkHqqCUFNJY4AfY3kHU/edit?usp=sharing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8" s="7" t="s">
        <v>10</v>
      </c>
      <c r="H3058" s="7">
        <v>0</v>
      </c>
      <c r="I3058" s="8" t="str">
        <f ca="1">IFERROR(__xludf.DUMMYFUNCTION("IF
(
G3059=""фізична особа""
,
VLOOKUP(H3059,IMPORTRANGE(""https://docs.google.com/spreadsheets/d/14Bd19lYaqBhU8_DElYkX7l4wRkHqqCUFNJY4AfY3kHU/edit?usp=sharing  #gid=0"",""фіз особи new!relations_name""),6,FALSE)
,
(IF
(
G3059=""юридична особа""
,
VLOOKUP"&amp;"(H3059,IMPORTRANGE(""https://docs.google.com/spreadsheets/d/14Bd19lYaqBhU8_DElYkX7l4wRkHqqCUFNJY4AfY3kHU/edit?usp=sharing  #gid=0"",""фіз особи new!relations_name_uo""),7,FALSE)
,
)
))"),"#N/A")</f>
        <v>#N/A</v>
      </c>
      <c r="J3058" s="7" t="s">
        <v>13</v>
      </c>
    </row>
    <row r="3059" spans="1:10" ht="13.2">
      <c r="A3059" s="7">
        <v>3058</v>
      </c>
      <c r="B3059" s="7">
        <v>1</v>
      </c>
      <c r="C3059" s="7" t="s">
        <v>10</v>
      </c>
      <c r="D3059" s="7">
        <v>881</v>
      </c>
      <c r="E3059" s="7" t="s">
        <v>12</v>
      </c>
      <c r="F3059" s="8" t="str">
        <f ca="1">IFERROR(__xludf.DUMMYFUNCTION("IF
(
C3060=""фізична особа""
,
VLOOKUP(D3060,IMPORTRANGE(""https://docs.google.com/spreadsheets/d/14Bd19lYaqBhU8_DElYkX7l4wRkHqqCUFNJY4AfY3kHU/edit?usp=sharing  #gid=0"",""фіз особи new!relations_name""),6,FALSE)
,
(IF
(
C3060=""юридична особа""
,
VLOOKUP"&amp;"(D3060,IMPORTRANGE(""https://docs.google.com/spreadsheets/d/14Bd19lYaqBhU8_DElYkX7l4wRkHqqCUFNJY4AfY3kHU/edit?usp=sharing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59" s="7" t="s">
        <v>10</v>
      </c>
      <c r="H3059" s="7">
        <v>0</v>
      </c>
      <c r="I3059" s="8" t="str">
        <f ca="1">IFERROR(__xludf.DUMMYFUNCTION("IF
(
G3060=""фізична особа""
,
VLOOKUP(H3060,IMPORTRANGE(""https://docs.google.com/spreadsheets/d/14Bd19lYaqBhU8_DElYkX7l4wRkHqqCUFNJY4AfY3kHU/edit?usp=sharing  #gid=0"",""фіз особи new!relations_name""),6,FALSE)
,
(IF
(
G3060=""юридична особа""
,
VLOOKUP"&amp;"(H3060,IMPORTRANGE(""https://docs.google.com/spreadsheets/d/14Bd19lYaqBhU8_DElYkX7l4wRkHqqCUFNJY4AfY3kHU/edit?usp=sharing  #gid=0"",""фіз особи new!relations_name_uo""),7,FALSE)
,
)
))"),"#N/A")</f>
        <v>#N/A</v>
      </c>
      <c r="J3059" s="7" t="s">
        <v>17</v>
      </c>
    </row>
    <row r="3060" spans="1:10" ht="13.2">
      <c r="A3060" s="7">
        <v>3059</v>
      </c>
      <c r="B3060" s="7">
        <v>1</v>
      </c>
      <c r="C3060" s="7" t="s">
        <v>10</v>
      </c>
      <c r="D3060" s="7">
        <v>881</v>
      </c>
      <c r="E3060" s="7" t="s">
        <v>17</v>
      </c>
      <c r="F3060" s="8" t="str">
        <f ca="1">IFERROR(__xludf.DUMMYFUNCTION("IF
(
C3061=""фізична особа""
,
VLOOKUP(D3061,IMPORTRANGE(""https://docs.google.com/spreadsheets/d/14Bd19lYaqBhU8_DElYkX7l4wRkHqqCUFNJY4AfY3kHU/edit?usp=sharing  #gid=0"",""фіз особи new!relations_name""),6,FALSE)
,
(IF
(
C3061=""юридична особа""
,
VLOOKUP"&amp;"(D3061,IMPORTRANGE(""https://docs.google.com/spreadsheets/d/14Bd19lYaqBhU8_DElYkX7l4wRkHqqCUFNJY4AfY3kHU/edit?usp=sharing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G3060" s="7" t="s">
        <v>10</v>
      </c>
      <c r="H3060" s="7">
        <v>0</v>
      </c>
      <c r="I3060" s="8" t="str">
        <f ca="1">IFERROR(__xludf.DUMMYFUNCTION("IF
(
G3061=""фізична особа""
,
VLOOKUP(H3061,IMPORTRANGE(""https://docs.google.com/spreadsheets/d/14Bd19lYaqBhU8_DElYkX7l4wRkHqqCUFNJY4AfY3kHU/edit?usp=sharing  #gid=0"",""фіз особи new!relations_name""),6,FALSE)
,
(IF
(
G3061=""юридична особа""
,
VLOOKUP"&amp;"(H3061,IMPORTRANGE(""https://docs.google.com/spreadsheets/d/14Bd19lYaqBhU8_DElYkX7l4wRkHqqCUFNJY4AfY3kHU/edit?usp=sharing  #gid=0"",""фіз особи new!relations_name_uo""),7,FALSE)
,
)
))"),"#N/A")</f>
        <v>#N/A</v>
      </c>
      <c r="J3060" s="7" t="s">
        <v>12</v>
      </c>
    </row>
    <row r="3061" spans="1:10" ht="13.2">
      <c r="A3061" s="7">
        <v>3060</v>
      </c>
      <c r="B3061" s="7">
        <v>1</v>
      </c>
      <c r="C3061" s="7" t="s">
        <v>10</v>
      </c>
      <c r="D3061" s="7">
        <v>882</v>
      </c>
      <c r="E3061" s="7" t="s">
        <v>48</v>
      </c>
      <c r="F3061" s="8" t="str">
        <f ca="1">IFERROR(__xludf.DUMMYFUNCTION("IF
(
C3062=""фізична особа""
,
VLOOKUP(D3062,IMPORTRANGE(""https://docs.google.com/spreadsheets/d/14Bd19lYaqBhU8_DElYkX7l4wRkHqqCUFNJY4AfY3kHU/edit?usp=sharing  #gid=0"",""фіз особи new!relations_name""),6,FALSE)
,
(IF
(
C3062=""юридична особа""
,
VLOOKUP"&amp;"(D3062,IMPORTRANGE(""https://docs.google.com/spreadsheets/d/14Bd19lYaqBhU8_DElYkX7l4wRkHqqCUFNJY4AfY3kHU/edit?usp=sharing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1" s="7" t="s">
        <v>10</v>
      </c>
      <c r="H3061" s="7">
        <v>0</v>
      </c>
      <c r="I3061" s="8" t="str">
        <f ca="1">IFERROR(__xludf.DUMMYFUNCTION("IF
(
G3062=""фізична особа""
,
VLOOKUP(H3062,IMPORTRANGE(""https://docs.google.com/spreadsheets/d/14Bd19lYaqBhU8_DElYkX7l4wRkHqqCUFNJY4AfY3kHU/edit?usp=sharing  #gid=0"",""фіз особи new!relations_name""),6,FALSE)
,
(IF
(
G3062=""юридична особа""
,
VLOOKUP"&amp;"(H3062,IMPORTRANGE(""https://docs.google.com/spreadsheets/d/14Bd19lYaqBhU8_DElYkX7l4wRkHqqCUFNJY4AfY3kHU/edit?usp=sharing  #gid=0"",""фіз особи new!relations_name_uo""),7,FALSE)
,
)
))"),"#N/A")</f>
        <v>#N/A</v>
      </c>
      <c r="J3061" s="7" t="s">
        <v>48</v>
      </c>
    </row>
    <row r="3062" spans="1:10" ht="13.2">
      <c r="A3062" s="7">
        <v>3061</v>
      </c>
      <c r="B3062" s="7">
        <v>1</v>
      </c>
      <c r="C3062" s="7" t="s">
        <v>10</v>
      </c>
      <c r="D3062" s="7">
        <v>882</v>
      </c>
      <c r="E3062" s="7" t="s">
        <v>48</v>
      </c>
      <c r="F3062" s="8" t="str">
        <f ca="1">IFERROR(__xludf.DUMMYFUNCTION("IF
(
C3063=""фізична особа""
,
VLOOKUP(D3063,IMPORTRANGE(""https://docs.google.com/spreadsheets/d/14Bd19lYaqBhU8_DElYkX7l4wRkHqqCUFNJY4AfY3kHU/edit?usp=sharing  #gid=0"",""фіз особи new!relations_name""),6,FALSE)
,
(IF
(
C3063=""юридична особа""
,
VLOOKUP"&amp;"(D3063,IMPORTRANGE(""https://docs.google.com/spreadsheets/d/14Bd19lYaqBhU8_DElYkX7l4wRkHqqCUFNJY4AfY3kHU/edit?usp=sharing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2" s="7" t="s">
        <v>10</v>
      </c>
      <c r="H3062" s="7">
        <v>0</v>
      </c>
      <c r="I3062" s="8" t="str">
        <f ca="1">IFERROR(__xludf.DUMMYFUNCTION("IF
(
G3063=""фізична особа""
,
VLOOKUP(H3063,IMPORTRANGE(""https://docs.google.com/spreadsheets/d/14Bd19lYaqBhU8_DElYkX7l4wRkHqqCUFNJY4AfY3kHU/edit?usp=sharing  #gid=0"",""фіз особи new!relations_name""),6,FALSE)
,
(IF
(
G3063=""юридична особа""
,
VLOOKUP"&amp;"(H3063,IMPORTRANGE(""https://docs.google.com/spreadsheets/d/14Bd19lYaqBhU8_DElYkX7l4wRkHqqCUFNJY4AfY3kHU/edit?usp=sharing  #gid=0"",""фіз особи new!relations_name_uo""),7,FALSE)
,
)
))"),"#N/A")</f>
        <v>#N/A</v>
      </c>
      <c r="J3062" s="7" t="s">
        <v>48</v>
      </c>
    </row>
    <row r="3063" spans="1:10" ht="13.2">
      <c r="A3063" s="7">
        <v>3062</v>
      </c>
      <c r="B3063" s="7">
        <v>1</v>
      </c>
      <c r="C3063" s="7" t="s">
        <v>10</v>
      </c>
      <c r="D3063" s="7">
        <v>882</v>
      </c>
      <c r="E3063" s="7" t="s">
        <v>41</v>
      </c>
      <c r="F3063" s="8" t="str">
        <f ca="1">IFERROR(__xludf.DUMMYFUNCTION("IF
(
C3064=""фізична особа""
,
VLOOKUP(D3064,IMPORTRANGE(""https://docs.google.com/spreadsheets/d/14Bd19lYaqBhU8_DElYkX7l4wRkHqqCUFNJY4AfY3kHU/edit?usp=sharing  #gid=0"",""фіз особи new!relations_name""),6,FALSE)
,
(IF
(
C3064=""юридична особа""
,
VLOOKUP"&amp;"(D3064,IMPORTRANGE(""https://docs.google.com/spreadsheets/d/14Bd19lYaqBhU8_DElYkX7l4wRkHqqCUFNJY4AfY3kHU/edit?usp=sharing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3" s="7" t="s">
        <v>10</v>
      </c>
      <c r="H3063" s="7">
        <v>0</v>
      </c>
      <c r="I3063" s="8" t="str">
        <f ca="1">IFERROR(__xludf.DUMMYFUNCTION("IF
(
G3064=""фізична особа""
,
VLOOKUP(H3064,IMPORTRANGE(""https://docs.google.com/spreadsheets/d/14Bd19lYaqBhU8_DElYkX7l4wRkHqqCUFNJY4AfY3kHU/edit?usp=sharing  #gid=0"",""фіз особи new!relations_name""),6,FALSE)
,
(IF
(
G3064=""юридична особа""
,
VLOOKUP"&amp;"(H3064,IMPORTRANGE(""https://docs.google.com/spreadsheets/d/14Bd19lYaqBhU8_DElYkX7l4wRkHqqCUFNJY4AfY3kHU/edit?usp=sharing  #gid=0"",""фіз особи new!relations_name_uo""),7,FALSE)
,
)
))"),"#N/A")</f>
        <v>#N/A</v>
      </c>
      <c r="J3063" s="7" t="s">
        <v>40</v>
      </c>
    </row>
    <row r="3064" spans="1:10" ht="13.2">
      <c r="A3064" s="7">
        <v>3063</v>
      </c>
      <c r="B3064" s="7">
        <v>1</v>
      </c>
      <c r="C3064" s="7" t="s">
        <v>10</v>
      </c>
      <c r="D3064" s="7">
        <v>882</v>
      </c>
      <c r="E3064" s="7" t="s">
        <v>50</v>
      </c>
      <c r="F3064" s="8" t="str">
        <f ca="1">IFERROR(__xludf.DUMMYFUNCTION("IF
(
C3065=""фізична особа""
,
VLOOKUP(D3065,IMPORTRANGE(""https://docs.google.com/spreadsheets/d/14Bd19lYaqBhU8_DElYkX7l4wRkHqqCUFNJY4AfY3kHU/edit?usp=sharing  #gid=0"",""фіз особи new!relations_name""),6,FALSE)
,
(IF
(
C3065=""юридична особа""
,
VLOOKUP"&amp;"(D3065,IMPORTRANGE(""https://docs.google.com/spreadsheets/d/14Bd19lYaqBhU8_DElYkX7l4wRkHqqCUFNJY4AfY3kHU/edit?usp=sharing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4" s="7" t="s">
        <v>10</v>
      </c>
      <c r="H3064" s="7">
        <v>0</v>
      </c>
      <c r="I3064" s="8" t="str">
        <f ca="1">IFERROR(__xludf.DUMMYFUNCTION("IF
(
G3065=""фізична особа""
,
VLOOKUP(H3065,IMPORTRANGE(""https://docs.google.com/spreadsheets/d/14Bd19lYaqBhU8_DElYkX7l4wRkHqqCUFNJY4AfY3kHU/edit?usp=sharing  #gid=0"",""фіз особи new!relations_name""),6,FALSE)
,
(IF
(
G3065=""юридична особа""
,
VLOOKUP"&amp;"(H3065,IMPORTRANGE(""https://docs.google.com/spreadsheets/d/14Bd19lYaqBhU8_DElYkX7l4wRkHqqCUFNJY4AfY3kHU/edit?usp=sharing  #gid=0"",""фіз особи new!relations_name_uo""),7,FALSE)
,
)
))"),"#N/A")</f>
        <v>#N/A</v>
      </c>
      <c r="J3064" s="7" t="s">
        <v>26</v>
      </c>
    </row>
    <row r="3065" spans="1:10" ht="13.2">
      <c r="A3065" s="7">
        <v>3064</v>
      </c>
      <c r="B3065" s="7">
        <v>1</v>
      </c>
      <c r="C3065" s="7" t="s">
        <v>10</v>
      </c>
      <c r="D3065" s="7">
        <v>882</v>
      </c>
      <c r="E3065" s="7" t="s">
        <v>65</v>
      </c>
      <c r="F3065" s="8" t="str">
        <f ca="1">IFERROR(__xludf.DUMMYFUNCTION("IF
(
C3066=""фізична особа""
,
VLOOKUP(D3066,IMPORTRANGE(""https://docs.google.com/spreadsheets/d/14Bd19lYaqBhU8_DElYkX7l4wRkHqqCUFNJY4AfY3kHU/edit?usp=sharing  #gid=0"",""фіз особи new!relations_name""),6,FALSE)
,
(IF
(
C3066=""юридична особа""
,
VLOOKUP"&amp;"(D3066,IMPORTRANGE(""https://docs.google.com/spreadsheets/d/14Bd19lYaqBhU8_DElYkX7l4wRkHqqCUFNJY4AfY3kHU/edit?usp=sharing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5" s="7" t="s">
        <v>10</v>
      </c>
      <c r="H3065" s="7">
        <v>0</v>
      </c>
      <c r="I3065" s="8" t="str">
        <f ca="1">IFERROR(__xludf.DUMMYFUNCTION("IF
(
G3066=""фізична особа""
,
VLOOKUP(H3066,IMPORTRANGE(""https://docs.google.com/spreadsheets/d/14Bd19lYaqBhU8_DElYkX7l4wRkHqqCUFNJY4AfY3kHU/edit?usp=sharing  #gid=0"",""фіз особи new!relations_name""),6,FALSE)
,
(IF
(
G3066=""юридична особа""
,
VLOOKUP"&amp;"(H3066,IMPORTRANGE(""https://docs.google.com/spreadsheets/d/14Bd19lYaqBhU8_DElYkX7l4wRkHqqCUFNJY4AfY3kHU/edit?usp=sharing  #gid=0"",""фіз особи new!relations_name_uo""),7,FALSE)
,
)
))"),"#N/A")</f>
        <v>#N/A</v>
      </c>
      <c r="J3065" s="7" t="s">
        <v>65</v>
      </c>
    </row>
    <row r="3066" spans="1:10" ht="13.2">
      <c r="A3066" s="7">
        <v>3065</v>
      </c>
      <c r="B3066" s="7">
        <v>1</v>
      </c>
      <c r="C3066" s="7" t="s">
        <v>10</v>
      </c>
      <c r="D3066" s="7">
        <v>882</v>
      </c>
      <c r="E3066" s="7" t="s">
        <v>41</v>
      </c>
      <c r="F3066" s="8" t="str">
        <f ca="1">IFERROR(__xludf.DUMMYFUNCTION("IF
(
C3067=""фізична особа""
,
VLOOKUP(D3067,IMPORTRANGE(""https://docs.google.com/spreadsheets/d/14Bd19lYaqBhU8_DElYkX7l4wRkHqqCUFNJY4AfY3kHU/edit?usp=sharing  #gid=0"",""фіз особи new!relations_name""),6,FALSE)
,
(IF
(
C3067=""юридична особа""
,
VLOOKUP"&amp;"(D3067,IMPORTRANGE(""https://docs.google.com/spreadsheets/d/14Bd19lYaqBhU8_DElYkX7l4wRkHqqCUFNJY4AfY3kHU/edit?usp=sharing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6" s="7" t="s">
        <v>10</v>
      </c>
      <c r="H3066" s="7">
        <v>2359</v>
      </c>
      <c r="I3066" s="8" t="str">
        <f ca="1">IFERROR(__xludf.DUMMYFUNCTION("IF
(
G3067=""фізична особа""
,
VLOOKUP(H3067,IMPORTRANGE(""https://docs.google.com/spreadsheets/d/14Bd19lYaqBhU8_DElYkX7l4wRkHqqCUFNJY4AfY3kHU/edit?usp=sharing  #gid=0"",""фіз особи new!relations_name""),6,FALSE)
,
(IF
(
G3067=""юридична особа""
,
VLOOKUP"&amp;"(H3067,IMPORTRANGE(""https://docs.google.com/spreadsheets/d/14Bd19lYaqBhU8_DElYkX7l4wRkHqqCUFNJY4AfY3kHU/edit?usp=sharing  #gid=0"",""фіз особи new!relations_name_uo""),7,FALSE)
,
)
))"),"ГОРДЄЄВ Юрій Сергійович")</f>
        <v>ГОРДЄЄВ Юрій Сергійович</v>
      </c>
      <c r="J3066" s="7" t="s">
        <v>40</v>
      </c>
    </row>
    <row r="3067" spans="1:10" ht="13.2">
      <c r="A3067" s="7">
        <v>3066</v>
      </c>
      <c r="B3067" s="7">
        <v>1</v>
      </c>
      <c r="C3067" s="7" t="s">
        <v>10</v>
      </c>
      <c r="D3067" s="7">
        <v>882</v>
      </c>
      <c r="E3067" s="7" t="s">
        <v>41</v>
      </c>
      <c r="F3067" s="8" t="str">
        <f ca="1">IFERROR(__xludf.DUMMYFUNCTION("IF
(
C3068=""фізична особа""
,
VLOOKUP(D3068,IMPORTRANGE(""https://docs.google.com/spreadsheets/d/14Bd19lYaqBhU8_DElYkX7l4wRkHqqCUFNJY4AfY3kHU/edit?usp=sharing  #gid=0"",""фіз особи new!relations_name""),6,FALSE)
,
(IF
(
C3068=""юридична особа""
,
VLOOKUP"&amp;"(D3068,IMPORTRANGE(""https://docs.google.com/spreadsheets/d/14Bd19lYaqBhU8_DElYkX7l4wRkHqqCUFNJY4AfY3kHU/edit?usp=sharing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7" s="7" t="s">
        <v>10</v>
      </c>
      <c r="H3067" s="7">
        <v>2358</v>
      </c>
      <c r="I3067" s="8" t="str">
        <f ca="1">IFERROR(__xludf.DUMMYFUNCTION("IF
(
G3068=""фізична особа""
,
VLOOKUP(H3068,IMPORTRANGE(""https://docs.google.com/spreadsheets/d/14Bd19lYaqBhU8_DElYkX7l4wRkHqqCUFNJY4AfY3kHU/edit?usp=sharing  #gid=0"",""фіз особи new!relations_name""),6,FALSE)
,
(IF
(
G3068=""юридична особа""
,
VLOOKUP"&amp;"(H3068,IMPORTRANGE(""https://docs.google.com/spreadsheets/d/14Bd19lYaqBhU8_DElYkX7l4wRkHqqCUFNJY4AfY3kHU/edit?usp=sharing  #gid=0"",""фіз особи new!relations_name_uo""),7,FALSE)
,
)
))"),"СТАСИШИН Микита Євгенович")</f>
        <v>СТАСИШИН Микита Євгенович</v>
      </c>
      <c r="J3067" s="7" t="s">
        <v>40</v>
      </c>
    </row>
    <row r="3068" spans="1:10" ht="13.2">
      <c r="A3068" s="7">
        <v>3067</v>
      </c>
      <c r="B3068" s="7">
        <v>1</v>
      </c>
      <c r="C3068" s="7" t="s">
        <v>10</v>
      </c>
      <c r="D3068" s="7">
        <v>882</v>
      </c>
      <c r="E3068" s="7" t="s">
        <v>41</v>
      </c>
      <c r="F3068" s="8" t="str">
        <f ca="1">IFERROR(__xludf.DUMMYFUNCTION("IF
(
C3069=""фізична особа""
,
VLOOKUP(D3069,IMPORTRANGE(""https://docs.google.com/spreadsheets/d/14Bd19lYaqBhU8_DElYkX7l4wRkHqqCUFNJY4AfY3kHU/edit?usp=sharing  #gid=0"",""фіз особи new!relations_name""),6,FALSE)
,
(IF
(
C3069=""юридична особа""
,
VLOOKUP"&amp;"(D3069,IMPORTRANGE(""https://docs.google.com/spreadsheets/d/14Bd19lYaqBhU8_DElYkX7l4wRkHqqCUFNJY4AfY3kHU/edit?usp=sharing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8" s="7" t="s">
        <v>10</v>
      </c>
      <c r="H3068" s="7">
        <v>2576</v>
      </c>
      <c r="I3068" s="8" t="str">
        <f ca="1">IFERROR(__xludf.DUMMYFUNCTION("IF
(
G3069=""фізична особа""
,
VLOOKUP(H3069,IMPORTRANGE(""https://docs.google.com/spreadsheets/d/14Bd19lYaqBhU8_DElYkX7l4wRkHqqCUFNJY4AfY3kHU/edit?usp=sharing  #gid=0"",""фіз особи new!relations_name""),6,FALSE)
,
(IF
(
G3069=""юридична особа""
,
VLOOKUP"&amp;"(H3069,IMPORTRANGE(""https://docs.google.com/spreadsheets/d/14Bd19lYaqBhU8_DElYkX7l4wRkHqqCUFNJY4AfY3kHU/edit?usp=sharing  #gid=0"",""фіз особи new!relations_name_uo""),7,FALSE)
,
)
))"),"ЄГОРОВ Максим Борисович")</f>
        <v>ЄГОРОВ Максим Борисович</v>
      </c>
      <c r="J3068" s="7" t="s">
        <v>40</v>
      </c>
    </row>
    <row r="3069" spans="1:10" ht="13.2">
      <c r="A3069" s="7">
        <v>3068</v>
      </c>
      <c r="B3069" s="7">
        <v>1</v>
      </c>
      <c r="C3069" s="7" t="s">
        <v>10</v>
      </c>
      <c r="D3069" s="7">
        <v>882</v>
      </c>
      <c r="E3069" s="7" t="s">
        <v>41</v>
      </c>
      <c r="F3069" s="8" t="str">
        <f ca="1">IFERROR(__xludf.DUMMYFUNCTION("IF
(
C3070=""фізична особа""
,
VLOOKUP(D3070,IMPORTRANGE(""https://docs.google.com/spreadsheets/d/14Bd19lYaqBhU8_DElYkX7l4wRkHqqCUFNJY4AfY3kHU/edit?usp=sharing  #gid=0"",""фіз особи new!relations_name""),6,FALSE)
,
(IF
(
C3070=""юридична особа""
,
VLOOKUP"&amp;"(D3070,IMPORTRANGE(""https://docs.google.com/spreadsheets/d/14Bd19lYaqBhU8_DElYkX7l4wRkHqqCUFNJY4AfY3kHU/edit?usp=sharing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69" s="7" t="s">
        <v>10</v>
      </c>
      <c r="H3069" s="7">
        <v>0</v>
      </c>
      <c r="I3069" s="8" t="str">
        <f ca="1">IFERROR(__xludf.DUMMYFUNCTION("IF
(
G3070=""фізична особа""
,
VLOOKUP(H3070,IMPORTRANGE(""https://docs.google.com/spreadsheets/d/14Bd19lYaqBhU8_DElYkX7l4wRkHqqCUFNJY4AfY3kHU/edit?usp=sharing  #gid=0"",""фіз особи new!relations_name""),6,FALSE)
,
(IF
(
G3070=""юридична особа""
,
VLOOKUP"&amp;"(H3070,IMPORTRANGE(""https://docs.google.com/spreadsheets/d/14Bd19lYaqBhU8_DElYkX7l4wRkHqqCUFNJY4AfY3kHU/edit?usp=sharing  #gid=0"",""фіз особи new!relations_name_uo""),7,FALSE)
,
)
))"),"#N/A")</f>
        <v>#N/A</v>
      </c>
      <c r="J3069" s="7" t="s">
        <v>40</v>
      </c>
    </row>
    <row r="3070" spans="1:10" ht="13.2">
      <c r="A3070" s="7">
        <v>3069</v>
      </c>
      <c r="B3070" s="7">
        <v>1</v>
      </c>
      <c r="C3070" s="7" t="s">
        <v>10</v>
      </c>
      <c r="D3070" s="7">
        <v>882</v>
      </c>
      <c r="E3070" s="7" t="s">
        <v>41</v>
      </c>
      <c r="F3070" s="8" t="str">
        <f ca="1">IFERROR(__xludf.DUMMYFUNCTION("IF
(
C3071=""фізична особа""
,
VLOOKUP(D3071,IMPORTRANGE(""https://docs.google.com/spreadsheets/d/14Bd19lYaqBhU8_DElYkX7l4wRkHqqCUFNJY4AfY3kHU/edit?usp=sharing  #gid=0"",""фіз особи new!relations_name""),6,FALSE)
,
(IF
(
C3071=""юридична особа""
,
VLOOKUP"&amp;"(D3071,IMPORTRANGE(""https://docs.google.com/spreadsheets/d/14Bd19lYaqBhU8_DElYkX7l4wRkHqqCUFNJY4AfY3kHU/edit?usp=sharing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0" s="7" t="s">
        <v>10</v>
      </c>
      <c r="H3070" s="7">
        <v>4260</v>
      </c>
      <c r="I3070" s="8" t="str">
        <f ca="1">IFERROR(__xludf.DUMMYFUNCTION("IF
(
G3071=""фізична особа""
,
VLOOKUP(H3071,IMPORTRANGE(""https://docs.google.com/spreadsheets/d/14Bd19lYaqBhU8_DElYkX7l4wRkHqqCUFNJY4AfY3kHU/edit?usp=sharing  #gid=0"",""фіз особи new!relations_name""),6,FALSE)
,
(IF
(
G3071=""юридична особа""
,
VLOOKUP"&amp;"(H3071,IMPORTRANGE(""https://docs.google.com/spreadsheets/d/14Bd19lYaqBhU8_DElYkX7l4wRkHqqCUFNJY4AfY3kHU/edit?usp=sharing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J3070" s="7" t="s">
        <v>40</v>
      </c>
    </row>
    <row r="3071" spans="1:10" ht="13.2">
      <c r="A3071" s="7">
        <v>3070</v>
      </c>
      <c r="B3071" s="7">
        <v>1</v>
      </c>
      <c r="C3071" s="7" t="s">
        <v>10</v>
      </c>
      <c r="D3071" s="7">
        <v>882</v>
      </c>
      <c r="E3071" s="7" t="s">
        <v>41</v>
      </c>
      <c r="F3071" s="8" t="str">
        <f ca="1">IFERROR(__xludf.DUMMYFUNCTION("IF
(
C3072=""фізична особа""
,
VLOOKUP(D3072,IMPORTRANGE(""https://docs.google.com/spreadsheets/d/14Bd19lYaqBhU8_DElYkX7l4wRkHqqCUFNJY4AfY3kHU/edit?usp=sharing  #gid=0"",""фіз особи new!relations_name""),6,FALSE)
,
(IF
(
C3072=""юридична особа""
,
VLOOKUP"&amp;"(D3072,IMPORTRANGE(""https://docs.google.com/spreadsheets/d/14Bd19lYaqBhU8_DElYkX7l4wRkHqqCUFNJY4AfY3kHU/edit?usp=sharing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1" s="7" t="s">
        <v>10</v>
      </c>
      <c r="H3071" s="7">
        <v>325</v>
      </c>
      <c r="I3071" s="8" t="str">
        <f ca="1">IFERROR(__xludf.DUMMYFUNCTION("IF
(
G3072=""фізична особа""
,
VLOOKUP(H3072,IMPORTRANGE(""https://docs.google.com/spreadsheets/d/14Bd19lYaqBhU8_DElYkX7l4wRkHqqCUFNJY4AfY3kHU/edit?usp=sharing  #gid=0"",""фіз особи new!relations_name""),6,FALSE)
,
(IF
(
G3072=""юридична особа""
,
VLOOKUP"&amp;"(H3072,IMPORTRANGE(""https://docs.google.com/spreadsheets/d/14Bd19lYaqBhU8_DElYkX7l4wRkHqqCUFNJY4AfY3kHU/edit?usp=sharing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3071" s="7" t="s">
        <v>40</v>
      </c>
    </row>
    <row r="3072" spans="1:10" ht="13.2">
      <c r="A3072" s="7">
        <v>3071</v>
      </c>
      <c r="B3072" s="7">
        <v>1</v>
      </c>
      <c r="C3072" s="7" t="s">
        <v>10</v>
      </c>
      <c r="D3072" s="7">
        <v>882</v>
      </c>
      <c r="E3072" s="7" t="s">
        <v>40</v>
      </c>
      <c r="F3072" s="8" t="str">
        <f ca="1">IFERROR(__xludf.DUMMYFUNCTION("IF
(
C3073=""фізична особа""
,
VLOOKUP(D3073,IMPORTRANGE(""https://docs.google.com/spreadsheets/d/14Bd19lYaqBhU8_DElYkX7l4wRkHqqCUFNJY4AfY3kHU/edit?usp=sharing  #gid=0"",""фіз особи new!relations_name""),6,FALSE)
,
(IF
(
C3073=""юридична особа""
,
VLOOKUP"&amp;"(D3073,IMPORTRANGE(""https://docs.google.com/spreadsheets/d/14Bd19lYaqBhU8_DElYkX7l4wRkHqqCUFNJY4AfY3kHU/edit?usp=sharing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2" s="7" t="s">
        <v>10</v>
      </c>
      <c r="H3072" s="7">
        <v>677</v>
      </c>
      <c r="I3072" s="8" t="str">
        <f ca="1">IFERROR(__xludf.DUMMYFUNCTION("IF
(
G3073=""фізична особа""
,
VLOOKUP(H3073,IMPORTRANGE(""https://docs.google.com/spreadsheets/d/14Bd19lYaqBhU8_DElYkX7l4wRkHqqCUFNJY4AfY3kHU/edit?usp=sharing  #gid=0"",""фіз особи new!relations_name""),6,FALSE)
,
(IF
(
G3073=""юридична особа""
,
VLOOKUP"&amp;"(H3073,IMPORTRANGE(""https://docs.google.com/spreadsheets/d/14Bd19lYaqBhU8_DElYkX7l4wRkHqqCUFNJY4AfY3kHU/edit?usp=sharing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3072" s="7" t="s">
        <v>41</v>
      </c>
    </row>
    <row r="3073" spans="1:10" ht="13.2">
      <c r="A3073" s="7">
        <v>3072</v>
      </c>
      <c r="B3073" s="7">
        <v>1</v>
      </c>
      <c r="C3073" s="7" t="s">
        <v>10</v>
      </c>
      <c r="D3073" s="7">
        <v>882</v>
      </c>
      <c r="E3073" s="7" t="s">
        <v>14</v>
      </c>
      <c r="F3073" s="8" t="str">
        <f ca="1">IFERROR(__xludf.DUMMYFUNCTION("IF
(
C3074=""фізична особа""
,
VLOOKUP(D3074,IMPORTRANGE(""https://docs.google.com/spreadsheets/d/14Bd19lYaqBhU8_DElYkX7l4wRkHqqCUFNJY4AfY3kHU/edit?usp=sharing  #gid=0"",""фіз особи new!relations_name""),6,FALSE)
,
(IF
(
C3074=""юридична особа""
,
VLOOKUP"&amp;"(D3074,IMPORTRANGE(""https://docs.google.com/spreadsheets/d/14Bd19lYaqBhU8_DElYkX7l4wRkHqqCUFNJY4AfY3kHU/edit?usp=sharing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3" s="7" t="s">
        <v>10</v>
      </c>
      <c r="H3073" s="7">
        <v>0</v>
      </c>
      <c r="I3073" s="8" t="str">
        <f ca="1">IFERROR(__xludf.DUMMYFUNCTION("IF
(
G3074=""фізична особа""
,
VLOOKUP(H3074,IMPORTRANGE(""https://docs.google.com/spreadsheets/d/14Bd19lYaqBhU8_DElYkX7l4wRkHqqCUFNJY4AfY3kHU/edit?usp=sharing  #gid=0"",""фіз особи new!relations_name""),6,FALSE)
,
(IF
(
G3074=""юридична особа""
,
VLOOKUP"&amp;"(H3074,IMPORTRANGE(""https://docs.google.com/spreadsheets/d/14Bd19lYaqBhU8_DElYkX7l4wRkHqqCUFNJY4AfY3kHU/edit?usp=sharing  #gid=0"",""фіз особи new!relations_name_uo""),7,FALSE)
,
)
))"),"#N/A")</f>
        <v>#N/A</v>
      </c>
      <c r="J3073" s="7" t="s">
        <v>15</v>
      </c>
    </row>
    <row r="3074" spans="1:10" ht="13.2">
      <c r="A3074" s="7">
        <v>3073</v>
      </c>
      <c r="B3074" s="7">
        <v>1</v>
      </c>
      <c r="C3074" s="7" t="s">
        <v>10</v>
      </c>
      <c r="D3074" s="7">
        <v>882</v>
      </c>
      <c r="E3074" s="7" t="s">
        <v>12</v>
      </c>
      <c r="F3074" s="8" t="str">
        <f ca="1">IFERROR(__xludf.DUMMYFUNCTION("IF
(
C3075=""фізична особа""
,
VLOOKUP(D3075,IMPORTRANGE(""https://docs.google.com/spreadsheets/d/14Bd19lYaqBhU8_DElYkX7l4wRkHqqCUFNJY4AfY3kHU/edit?usp=sharing  #gid=0"",""фіз особи new!relations_name""),6,FALSE)
,
(IF
(
C3075=""юридична особа""
,
VLOOKUP"&amp;"(D3075,IMPORTRANGE(""https://docs.google.com/spreadsheets/d/14Bd19lYaqBhU8_DElYkX7l4wRkHqqCUFNJY4AfY3kHU/edit?usp=sharing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4" s="7" t="s">
        <v>10</v>
      </c>
      <c r="H3074" s="7">
        <v>23371</v>
      </c>
      <c r="I3074" s="8" t="str">
        <f ca="1">IFERROR(__xludf.DUMMYFUNCTION("IF
(
G3075=""фізична особа""
,
VLOOKUP(H3075,IMPORTRANGE(""https://docs.google.com/spreadsheets/d/14Bd19lYaqBhU8_DElYkX7l4wRkHqqCUFNJY4AfY3kHU/edit?usp=sharing  #gid=0"",""фіз особи new!relations_name""),6,FALSE)
,
(IF
(
G3075=""юридична особа""
,
VLOOKUP"&amp;"(H3075,IMPORTRANGE(""https://docs.google.com/spreadsheets/d/14Bd19lYaqBhU8_DElYkX7l4wRkHqqCUFNJY4AfY3kHU/edit?usp=sharing  #gid=0"",""фіз особи new!relations_name_uo""),7,FALSE)
,
)
))"),"ЯКУШЕВ Павло Володимирович")</f>
        <v>ЯКУШЕВ Павло Володимирович</v>
      </c>
      <c r="J3074" s="7" t="s">
        <v>17</v>
      </c>
    </row>
    <row r="3075" spans="1:10" ht="13.2">
      <c r="A3075" s="7">
        <v>3074</v>
      </c>
      <c r="B3075" s="7">
        <v>1</v>
      </c>
      <c r="C3075" s="7" t="s">
        <v>10</v>
      </c>
      <c r="D3075" s="7">
        <v>882</v>
      </c>
      <c r="E3075" s="7" t="s">
        <v>12</v>
      </c>
      <c r="F3075" s="8" t="str">
        <f ca="1">IFERROR(__xludf.DUMMYFUNCTION("IF
(
C3076=""фізична особа""
,
VLOOKUP(D3076,IMPORTRANGE(""https://docs.google.com/spreadsheets/d/14Bd19lYaqBhU8_DElYkX7l4wRkHqqCUFNJY4AfY3kHU/edit?usp=sharing  #gid=0"",""фіз особи new!relations_name""),6,FALSE)
,
(IF
(
C3076=""юридична особа""
,
VLOOKUP"&amp;"(D3076,IMPORTRANGE(""https://docs.google.com/spreadsheets/d/14Bd19lYaqBhU8_DElYkX7l4wRkHqqCUFNJY4AfY3kHU/edit?usp=sharing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5" s="7" t="s">
        <v>10</v>
      </c>
      <c r="H3075" s="7">
        <v>0</v>
      </c>
      <c r="I3075" s="8" t="str">
        <f ca="1">IFERROR(__xludf.DUMMYFUNCTION("IF
(
G3076=""фізична особа""
,
VLOOKUP(H3076,IMPORTRANGE(""https://docs.google.com/spreadsheets/d/14Bd19lYaqBhU8_DElYkX7l4wRkHqqCUFNJY4AfY3kHU/edit?usp=sharing  #gid=0"",""фіз особи new!relations_name""),6,FALSE)
,
(IF
(
G3076=""юридична особа""
,
VLOOKUP"&amp;"(H3076,IMPORTRANGE(""https://docs.google.com/spreadsheets/d/14Bd19lYaqBhU8_DElYkX7l4wRkHqqCUFNJY4AfY3kHU/edit?usp=sharing  #gid=0"",""фіз особи new!relations_name_uo""),7,FALSE)
,
)
))"),"#N/A")</f>
        <v>#N/A</v>
      </c>
      <c r="J3075" s="7" t="s">
        <v>13</v>
      </c>
    </row>
    <row r="3076" spans="1:10" ht="13.2">
      <c r="A3076" s="7">
        <v>3075</v>
      </c>
      <c r="B3076" s="7">
        <v>1</v>
      </c>
      <c r="C3076" s="7" t="s">
        <v>10</v>
      </c>
      <c r="D3076" s="7">
        <v>882</v>
      </c>
      <c r="E3076" s="7" t="s">
        <v>18</v>
      </c>
      <c r="F3076" s="8" t="str">
        <f ca="1">IFERROR(__xludf.DUMMYFUNCTION("IF
(
C3077=""фізична особа""
,
VLOOKUP(D3077,IMPORTRANGE(""https://docs.google.com/spreadsheets/d/14Bd19lYaqBhU8_DElYkX7l4wRkHqqCUFNJY4AfY3kHU/edit?usp=sharing  #gid=0"",""фіз особи new!relations_name""),6,FALSE)
,
(IF
(
C3077=""юридична особа""
,
VLOOKUP"&amp;"(D3077,IMPORTRANGE(""https://docs.google.com/spreadsheets/d/14Bd19lYaqBhU8_DElYkX7l4wRkHqqCUFNJY4AfY3kHU/edit?usp=sharing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6" s="7" t="s">
        <v>10</v>
      </c>
      <c r="H3076" s="7">
        <v>0</v>
      </c>
      <c r="I3076" s="8" t="str">
        <f ca="1">IFERROR(__xludf.DUMMYFUNCTION("IF
(
G3077=""фізична особа""
,
VLOOKUP(H3077,IMPORTRANGE(""https://docs.google.com/spreadsheets/d/14Bd19lYaqBhU8_DElYkX7l4wRkHqqCUFNJY4AfY3kHU/edit?usp=sharing  #gid=0"",""фіз особи new!relations_name""),6,FALSE)
,
(IF
(
G3077=""юридична особа""
,
VLOOKUP"&amp;"(H3077,IMPORTRANGE(""https://docs.google.com/spreadsheets/d/14Bd19lYaqBhU8_DElYkX7l4wRkHqqCUFNJY4AfY3kHU/edit?usp=sharing  #gid=0"",""фіз особи new!relations_name_uo""),7,FALSE)
,
)
))"),"#N/A")</f>
        <v>#N/A</v>
      </c>
      <c r="J3076" s="7" t="s">
        <v>31</v>
      </c>
    </row>
    <row r="3077" spans="1:10" ht="13.2">
      <c r="A3077" s="7">
        <v>3076</v>
      </c>
      <c r="B3077" s="7">
        <v>1</v>
      </c>
      <c r="C3077" s="7" t="s">
        <v>10</v>
      </c>
      <c r="D3077" s="7">
        <v>882</v>
      </c>
      <c r="E3077" s="7" t="s">
        <v>19</v>
      </c>
      <c r="F3077" s="8" t="str">
        <f ca="1">IFERROR(__xludf.DUMMYFUNCTION("IF
(
C3078=""фізична особа""
,
VLOOKUP(D3078,IMPORTRANGE(""https://docs.google.com/spreadsheets/d/14Bd19lYaqBhU8_DElYkX7l4wRkHqqCUFNJY4AfY3kHU/edit?usp=sharing  #gid=0"",""фіз особи new!relations_name""),6,FALSE)
,
(IF
(
C3078=""юридична особа""
,
VLOOKUP"&amp;"(D3078,IMPORTRANGE(""https://docs.google.com/spreadsheets/d/14Bd19lYaqBhU8_DElYkX7l4wRkHqqCUFNJY4AfY3kHU/edit?usp=sharing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7" s="7" t="s">
        <v>10</v>
      </c>
      <c r="H3077" s="7">
        <v>0</v>
      </c>
      <c r="I3077" s="8" t="str">
        <f ca="1">IFERROR(__xludf.DUMMYFUNCTION("IF
(
G3078=""фізична особа""
,
VLOOKUP(H3078,IMPORTRANGE(""https://docs.google.com/spreadsheets/d/14Bd19lYaqBhU8_DElYkX7l4wRkHqqCUFNJY4AfY3kHU/edit?usp=sharing  #gid=0"",""фіз особи new!relations_name""),6,FALSE)
,
(IF
(
G3078=""юридична особа""
,
VLOOKUP"&amp;"(H3078,IMPORTRANGE(""https://docs.google.com/spreadsheets/d/14Bd19lYaqBhU8_DElYkX7l4wRkHqqCUFNJY4AfY3kHU/edit?usp=sharing  #gid=0"",""фіз особи new!relations_name_uo""),7,FALSE)
,
)
))"),"#N/A")</f>
        <v>#N/A</v>
      </c>
      <c r="J3077" s="7" t="s">
        <v>20</v>
      </c>
    </row>
    <row r="3078" spans="1:10" ht="13.2">
      <c r="A3078" s="7">
        <v>3077</v>
      </c>
      <c r="B3078" s="7">
        <v>1</v>
      </c>
      <c r="C3078" s="7" t="s">
        <v>10</v>
      </c>
      <c r="D3078" s="7">
        <v>882</v>
      </c>
      <c r="E3078" s="7" t="s">
        <v>19</v>
      </c>
      <c r="F3078" s="8" t="str">
        <f ca="1">IFERROR(__xludf.DUMMYFUNCTION("IF
(
C3079=""фізична особа""
,
VLOOKUP(D3079,IMPORTRANGE(""https://docs.google.com/spreadsheets/d/14Bd19lYaqBhU8_DElYkX7l4wRkHqqCUFNJY4AfY3kHU/edit?usp=sharing  #gid=0"",""фіз особи new!relations_name""),6,FALSE)
,
(IF
(
C3079=""юридична особа""
,
VLOOKUP"&amp;"(D3079,IMPORTRANGE(""https://docs.google.com/spreadsheets/d/14Bd19lYaqBhU8_DElYkX7l4wRkHqqCUFNJY4AfY3kHU/edit?usp=sharing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G3078" s="7" t="s">
        <v>10</v>
      </c>
      <c r="H3078" s="7">
        <v>0</v>
      </c>
      <c r="I3078" s="8" t="str">
        <f ca="1">IFERROR(__xludf.DUMMYFUNCTION("IF
(
G3079=""фізична особа""
,
VLOOKUP(H3079,IMPORTRANGE(""https://docs.google.com/spreadsheets/d/14Bd19lYaqBhU8_DElYkX7l4wRkHqqCUFNJY4AfY3kHU/edit?usp=sharing  #gid=0"",""фіз особи new!relations_name""),6,FALSE)
,
(IF
(
G3079=""юридична особа""
,
VLOOKUP"&amp;"(H3079,IMPORTRANGE(""https://docs.google.com/spreadsheets/d/14Bd19lYaqBhU8_DElYkX7l4wRkHqqCUFNJY4AfY3kHU/edit?usp=sharing  #gid=0"",""фіз особи new!relations_name_uo""),7,FALSE)
,
)
))"),"#N/A")</f>
        <v>#N/A</v>
      </c>
      <c r="J3078" s="7" t="s">
        <v>22</v>
      </c>
    </row>
    <row r="3079" spans="1:10" ht="13.2">
      <c r="A3079" s="7">
        <v>3078</v>
      </c>
      <c r="B3079" s="7">
        <v>1</v>
      </c>
      <c r="C3079" s="7" t="s">
        <v>10</v>
      </c>
      <c r="D3079" s="7">
        <v>883</v>
      </c>
      <c r="E3079" s="7" t="s">
        <v>12</v>
      </c>
      <c r="F3079" s="8" t="str">
        <f ca="1">IFERROR(__xludf.DUMMYFUNCTION("IF
(
C3080=""фізична особа""
,
VLOOKUP(D3080,IMPORTRANGE(""https://docs.google.com/spreadsheets/d/14Bd19lYaqBhU8_DElYkX7l4wRkHqqCUFNJY4AfY3kHU/edit?usp=sharing  #gid=0"",""фіз особи new!relations_name""),6,FALSE)
,
(IF
(
C3080=""юридична особа""
,
VLOOKUP"&amp;"(D3080,IMPORTRANGE(""https://docs.google.com/spreadsheets/d/14Bd19lYaqBhU8_DElYkX7l4wRkHqqCUFNJY4AfY3kHU/edit?usp=sharing  #gid=0"",""фіз особи new!relations_name_uo""),7,FALSE)
,
)
))"),"ТРЕТЯК Владислав Олександрович")</f>
        <v>ТРЕТЯК Владислав Олександрович</v>
      </c>
      <c r="G3079" s="7" t="s">
        <v>10</v>
      </c>
      <c r="H3079" s="7">
        <v>0</v>
      </c>
      <c r="I3079" s="8" t="str">
        <f ca="1">IFERROR(__xludf.DUMMYFUNCTION("IF
(
G3080=""фізична особа""
,
VLOOKUP(H3080,IMPORTRANGE(""https://docs.google.com/spreadsheets/d/14Bd19lYaqBhU8_DElYkX7l4wRkHqqCUFNJY4AfY3kHU/edit?usp=sharing  #gid=0"",""фіз особи new!relations_name""),6,FALSE)
,
(IF
(
G3080=""юридична особа""
,
VLOOKUP"&amp;"(H3080,IMPORTRANGE(""https://docs.google.com/spreadsheets/d/14Bd19lYaqBhU8_DElYkX7l4wRkHqqCUFNJY4AfY3kHU/edit?usp=sharing  #gid=0"",""фіз особи new!relations_name_uo""),7,FALSE)
,
)
))"),"#N/A")</f>
        <v>#N/A</v>
      </c>
      <c r="J3079" s="7" t="s">
        <v>17</v>
      </c>
    </row>
    <row r="3080" spans="1:10" ht="13.2">
      <c r="A3080" s="7">
        <v>3079</v>
      </c>
      <c r="B3080" s="7">
        <v>1</v>
      </c>
      <c r="C3080" s="7" t="s">
        <v>10</v>
      </c>
      <c r="D3080" s="7">
        <v>883</v>
      </c>
      <c r="E3080" s="7" t="s">
        <v>12</v>
      </c>
      <c r="F3080" s="8" t="str">
        <f ca="1">IFERROR(__xludf.DUMMYFUNCTION("IF
(
C3081=""фізична особа""
,
VLOOKUP(D3081,IMPORTRANGE(""https://docs.google.com/spreadsheets/d/14Bd19lYaqBhU8_DElYkX7l4wRkHqqCUFNJY4AfY3kHU/edit?usp=sharing  #gid=0"",""фіз особи new!relations_name""),6,FALSE)
,
(IF
(
C3081=""юридична особа""
,
VLOOKUP"&amp;"(D3081,IMPORTRANGE(""https://docs.google.com/spreadsheets/d/14Bd19lYaqBhU8_DElYkX7l4wRkHqqCUFNJY4AfY3kHU/edit?usp=sharing  #gid=0"",""фіз особи new!relations_name_uo""),7,FALSE)
,
)
))"),"ТРЕТЯК Владислав Олександрович")</f>
        <v>ТРЕТЯК Владислав Олександрович</v>
      </c>
      <c r="G3080" s="7" t="s">
        <v>10</v>
      </c>
      <c r="H3080" s="7">
        <v>0</v>
      </c>
      <c r="I3080" s="8" t="str">
        <f ca="1">IFERROR(__xludf.DUMMYFUNCTION("IF
(
G3081=""фізична особа""
,
VLOOKUP(H3081,IMPORTRANGE(""https://docs.google.com/spreadsheets/d/14Bd19lYaqBhU8_DElYkX7l4wRkHqqCUFNJY4AfY3kHU/edit?usp=sharing  #gid=0"",""фіз особи new!relations_name""),6,FALSE)
,
(IF
(
G3081=""юридична особа""
,
VLOOKUP"&amp;"(H3081,IMPORTRANGE(""https://docs.google.com/spreadsheets/d/14Bd19lYaqBhU8_DElYkX7l4wRkHqqCUFNJY4AfY3kHU/edit?usp=sharing  #gid=0"",""фіз особи new!relations_name_uo""),7,FALSE)
,
)
))"),"#N/A")</f>
        <v>#N/A</v>
      </c>
      <c r="J3080" s="7" t="s">
        <v>13</v>
      </c>
    </row>
    <row r="3081" spans="1:10" ht="13.2">
      <c r="A3081" s="7">
        <v>3080</v>
      </c>
      <c r="B3081" s="7">
        <v>1</v>
      </c>
      <c r="C3081" s="7" t="s">
        <v>10</v>
      </c>
      <c r="D3081" s="7">
        <v>883</v>
      </c>
      <c r="E3081" s="7" t="s">
        <v>14</v>
      </c>
      <c r="F3081" s="8" t="str">
        <f ca="1">IFERROR(__xludf.DUMMYFUNCTION("IF
(
C3082=""фізична особа""
,
VLOOKUP(D3082,IMPORTRANGE(""https://docs.google.com/spreadsheets/d/14Bd19lYaqBhU8_DElYkX7l4wRkHqqCUFNJY4AfY3kHU/edit?usp=sharing  #gid=0"",""фіз особи new!relations_name""),6,FALSE)
,
(IF
(
C3082=""юридична особа""
,
VLOOKUP"&amp;"(D3082,IMPORTRANGE(""https://docs.google.com/spreadsheets/d/14Bd19lYaqBhU8_DElYkX7l4wRkHqqCUFNJY4AfY3kHU/edit?usp=sharing  #gid=0"",""фіз особи new!relations_name_uo""),7,FALSE)
,
)
))"),"ТРЕТЯК Владислав Олександрович")</f>
        <v>ТРЕТЯК Владислав Олександрович</v>
      </c>
      <c r="G3081" s="7" t="s">
        <v>10</v>
      </c>
      <c r="H3081" s="7">
        <v>0</v>
      </c>
      <c r="I3081" s="8" t="str">
        <f ca="1">IFERROR(__xludf.DUMMYFUNCTION("IF
(
G3082=""фізична особа""
,
VLOOKUP(H3082,IMPORTRANGE(""https://docs.google.com/spreadsheets/d/14Bd19lYaqBhU8_DElYkX7l4wRkHqqCUFNJY4AfY3kHU/edit?usp=sharing  #gid=0"",""фіз особи new!relations_name""),6,FALSE)
,
(IF
(
G3082=""юридична особа""
,
VLOOKUP"&amp;"(H3082,IMPORTRANGE(""https://docs.google.com/spreadsheets/d/14Bd19lYaqBhU8_DElYkX7l4wRkHqqCUFNJY4AfY3kHU/edit?usp=sharing  #gid=0"",""фіз особи new!relations_name_uo""),7,FALSE)
,
)
))"),"#N/A")</f>
        <v>#N/A</v>
      </c>
      <c r="J3081" s="7" t="s">
        <v>15</v>
      </c>
    </row>
    <row r="3082" spans="1:10" ht="13.2">
      <c r="A3082" s="7">
        <v>3081</v>
      </c>
      <c r="B3082" s="7">
        <v>1</v>
      </c>
      <c r="C3082" s="7" t="s">
        <v>10</v>
      </c>
      <c r="D3082" s="7">
        <v>883</v>
      </c>
      <c r="E3082" s="7" t="s">
        <v>59</v>
      </c>
      <c r="F3082" s="8" t="str">
        <f ca="1">IFERROR(__xludf.DUMMYFUNCTION("IF
(
C3083=""фізична особа""
,
VLOOKUP(D3083,IMPORTRANGE(""https://docs.google.com/spreadsheets/d/14Bd19lYaqBhU8_DElYkX7l4wRkHqqCUFNJY4AfY3kHU/edit?usp=sharing  #gid=0"",""фіз особи new!relations_name""),6,FALSE)
,
(IF
(
C3083=""юридична особа""
,
VLOOKUP"&amp;"(D3083,IMPORTRANGE(""https://docs.google.com/spreadsheets/d/14Bd19lYaqBhU8_DElYkX7l4wRkHqqCUFNJY4AfY3kHU/edit?usp=sharing  #gid=0"",""фіз особи new!relations_name_uo""),7,FALSE)
,
)
))"),"ТРЕТЯК Владислав Олександрович")</f>
        <v>ТРЕТЯК Владислав Олександрович</v>
      </c>
      <c r="G3082" s="7" t="s">
        <v>10</v>
      </c>
      <c r="H3082" s="7">
        <v>0</v>
      </c>
      <c r="I3082" s="8" t="str">
        <f ca="1">IFERROR(__xludf.DUMMYFUNCTION("IF
(
G3083=""фізична особа""
,
VLOOKUP(H3083,IMPORTRANGE(""https://docs.google.com/spreadsheets/d/14Bd19lYaqBhU8_DElYkX7l4wRkHqqCUFNJY4AfY3kHU/edit?usp=sharing  #gid=0"",""фіз особи new!relations_name""),6,FALSE)
,
(IF
(
G3083=""юридична особа""
,
VLOOKUP"&amp;"(H3083,IMPORTRANGE(""https://docs.google.com/spreadsheets/d/14Bd19lYaqBhU8_DElYkX7l4wRkHqqCUFNJY4AfY3kHU/edit?usp=sharing  #gid=0"",""фіз особи new!relations_name_uo""),7,FALSE)
,
)
))"),"#N/A")</f>
        <v>#N/A</v>
      </c>
      <c r="J3082" s="7" t="s">
        <v>61</v>
      </c>
    </row>
    <row r="3083" spans="1:10" ht="13.2">
      <c r="A3083" s="7">
        <v>3082</v>
      </c>
      <c r="B3083" s="7">
        <v>1</v>
      </c>
      <c r="C3083" s="7" t="s">
        <v>10</v>
      </c>
      <c r="D3083" s="7">
        <v>883</v>
      </c>
      <c r="E3083" s="7" t="s">
        <v>59</v>
      </c>
      <c r="F3083" s="8" t="str">
        <f ca="1">IFERROR(__xludf.DUMMYFUNCTION("IF
(
C3084=""фізична особа""
,
VLOOKUP(D3084,IMPORTRANGE(""https://docs.google.com/spreadsheets/d/14Bd19lYaqBhU8_DElYkX7l4wRkHqqCUFNJY4AfY3kHU/edit?usp=sharing  #gid=0"",""фіз особи new!relations_name""),6,FALSE)
,
(IF
(
C3084=""юридична особа""
,
VLOOKUP"&amp;"(D3084,IMPORTRANGE(""https://docs.google.com/spreadsheets/d/14Bd19lYaqBhU8_DElYkX7l4wRkHqqCUFNJY4AfY3kHU/edit?usp=sharing  #gid=0"",""фіз особи new!relations_name_uo""),7,FALSE)
,
)
))"),"ТРЕТЯК Владислав Олександрович")</f>
        <v>ТРЕТЯК Владислав Олександрович</v>
      </c>
      <c r="G3083" s="7" t="s">
        <v>10</v>
      </c>
      <c r="H3083" s="7">
        <v>0</v>
      </c>
      <c r="I3083" s="8" t="str">
        <f ca="1">IFERROR(__xludf.DUMMYFUNCTION("IF
(
G3084=""фізична особа""
,
VLOOKUP(H3084,IMPORTRANGE(""https://docs.google.com/spreadsheets/d/14Bd19lYaqBhU8_DElYkX7l4wRkHqqCUFNJY4AfY3kHU/edit?usp=sharing  #gid=0"",""фіз особи new!relations_name""),6,FALSE)
,
(IF
(
G3084=""юридична особа""
,
VLOOKUP"&amp;"(H3084,IMPORTRANGE(""https://docs.google.com/spreadsheets/d/14Bd19lYaqBhU8_DElYkX7l4wRkHqqCUFNJY4AfY3kHU/edit?usp=sharing  #gid=0"",""фіз особи new!relations_name_uo""),7,FALSE)
,
)
))"),"#N/A")</f>
        <v>#N/A</v>
      </c>
      <c r="J3083" s="7" t="s">
        <v>60</v>
      </c>
    </row>
    <row r="3084" spans="1:10" ht="13.2">
      <c r="A3084" s="7">
        <v>3083</v>
      </c>
      <c r="B3084" s="7">
        <v>1</v>
      </c>
      <c r="C3084" s="7" t="s">
        <v>10</v>
      </c>
      <c r="D3084" s="7">
        <v>884</v>
      </c>
      <c r="E3084" s="7" t="s">
        <v>48</v>
      </c>
      <c r="F3084" s="8" t="str">
        <f ca="1">IFERROR(__xludf.DUMMYFUNCTION("IF
(
C3085=""фізична особа""
,
VLOOKUP(D3085,IMPORTRANGE(""https://docs.google.com/spreadsheets/d/14Bd19lYaqBhU8_DElYkX7l4wRkHqqCUFNJY4AfY3kHU/edit?usp=sharing  #gid=0"",""фіз особи new!relations_name""),6,FALSE)
,
(IF
(
C3085=""юридична особа""
,
VLOOKUP"&amp;"(D3085,IMPORTRANGE(""https://docs.google.com/spreadsheets/d/14Bd19lYaqBhU8_DElYkX7l4wRkHqqCUFNJY4AfY3kHU/edit?usp=sharing  #gid=0"",""фіз особи new!relations_name_uo""),7,FALSE)
,
)
))"),"ДАВАНКОВ Владислав Андрійович")</f>
        <v>ДАВАНКОВ Владислав Андрійович</v>
      </c>
      <c r="G3084" s="7" t="s">
        <v>10</v>
      </c>
      <c r="H3084" s="7">
        <v>460</v>
      </c>
      <c r="I3084" s="8" t="str">
        <f ca="1">IFERROR(__xludf.DUMMYFUNCTION("IF
(
G3085=""фізична особа""
,
VLOOKUP(H3085,IMPORTRANGE(""https://docs.google.com/spreadsheets/d/14Bd19lYaqBhU8_DElYkX7l4wRkHqqCUFNJY4AfY3kHU/edit?usp=sharing  #gid=0"",""фіз особи new!relations_name""),6,FALSE)
,
(IF
(
G3085=""юридична особа""
,
VLOOKUP"&amp;"(H3085,IMPORTRANGE(""https://docs.google.com/spreadsheets/d/14Bd19lYaqBhU8_DElYkX7l4wRkHqqCUFNJY4AfY3kHU/edit?usp=sharing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3084" s="7" t="s">
        <v>48</v>
      </c>
    </row>
    <row r="3085" spans="1:10" ht="13.2">
      <c r="A3085" s="7">
        <v>3084</v>
      </c>
      <c r="B3085" s="7">
        <v>1</v>
      </c>
      <c r="C3085" s="7" t="s">
        <v>10</v>
      </c>
      <c r="D3085" s="7">
        <v>884</v>
      </c>
      <c r="E3085" s="7" t="s">
        <v>61</v>
      </c>
      <c r="F3085" s="8" t="str">
        <f ca="1">IFERROR(__xludf.DUMMYFUNCTION("IF
(
C3086=""фізична особа""
,
VLOOKUP(D3086,IMPORTRANGE(""https://docs.google.com/spreadsheets/d/14Bd19lYaqBhU8_DElYkX7l4wRkHqqCUFNJY4AfY3kHU/edit?usp=sharing  #gid=0"",""фіз особи new!relations_name""),6,FALSE)
,
(IF
(
C3086=""юридична особа""
,
VLOOKUP"&amp;"(D3086,IMPORTRANGE(""https://docs.google.com/spreadsheets/d/14Bd19lYaqBhU8_DElYkX7l4wRkHqqCUFNJY4AfY3kHU/edit?usp=sharing  #gid=0"",""фіз особи new!relations_name_uo""),7,FALSE)
,
)
))"),"ДАВАНКОВ Владислав Андрійович")</f>
        <v>ДАВАНКОВ Владислав Андрійович</v>
      </c>
      <c r="G3085" s="7" t="s">
        <v>10</v>
      </c>
      <c r="H3085" s="7">
        <v>0</v>
      </c>
      <c r="I3085" s="8" t="str">
        <f ca="1">IFERROR(__xludf.DUMMYFUNCTION("IF
(
G3086=""фізична особа""
,
VLOOKUP(H3086,IMPORTRANGE(""https://docs.google.com/spreadsheets/d/14Bd19lYaqBhU8_DElYkX7l4wRkHqqCUFNJY4AfY3kHU/edit?usp=sharing  #gid=0"",""фіз особи new!relations_name""),6,FALSE)
,
(IF
(
G3086=""юридична особа""
,
VLOOKUP"&amp;"(H3086,IMPORTRANGE(""https://docs.google.com/spreadsheets/d/14Bd19lYaqBhU8_DElYkX7l4wRkHqqCUFNJY4AfY3kHU/edit?usp=sharing  #gid=0"",""фіз особи new!relations_name_uo""),7,FALSE)
,
)
))"),"#N/A")</f>
        <v>#N/A</v>
      </c>
      <c r="J3085" s="7" t="s">
        <v>59</v>
      </c>
    </row>
    <row r="3086" spans="1:10" ht="13.2">
      <c r="A3086" s="7">
        <v>3085</v>
      </c>
      <c r="B3086" s="7">
        <v>1</v>
      </c>
      <c r="C3086" s="7" t="s">
        <v>10</v>
      </c>
      <c r="D3086" s="7">
        <v>885</v>
      </c>
      <c r="E3086" s="7" t="s">
        <v>28</v>
      </c>
      <c r="F3086" s="8" t="str">
        <f ca="1">IFERROR(__xludf.DUMMYFUNCTION("IF
(
C3087=""фізична особа""
,
VLOOKUP(D3087,IMPORTRANGE(""https://docs.google.com/spreadsheets/d/14Bd19lYaqBhU8_DElYkX7l4wRkHqqCUFNJY4AfY3kHU/edit?usp=sharing  #gid=0"",""фіз особи new!relations_name""),6,FALSE)
,
(IF
(
C3087=""юридична особа""
,
VLOOKUP"&amp;"(D3087,IMPORTRANGE(""https://docs.google.com/spreadsheets/d/14Bd19lYaqBhU8_DElYkX7l4wRkHqqCUFNJY4AfY3kHU/edit?usp=sharing  #gid=0"",""фіз особи new!relations_name_uo""),7,FALSE)
,
)
))"),"БРУЄВ Владислав Леонідович")</f>
        <v>БРУЄВ Владислав Леонідович</v>
      </c>
      <c r="G3086" s="7" t="s">
        <v>10</v>
      </c>
      <c r="H3086" s="7">
        <v>38</v>
      </c>
      <c r="I3086" s="8" t="str">
        <f ca="1">IFERROR(__xludf.DUMMYFUNCTION("IF
(
G3087=""фізична особа""
,
VLOOKUP(H3087,IMPORTRANGE(""https://docs.google.com/spreadsheets/d/14Bd19lYaqBhU8_DElYkX7l4wRkHqqCUFNJY4AfY3kHU/edit?usp=sharing  #gid=0"",""фіз особи new!relations_name""),6,FALSE)
,
(IF
(
G3087=""юридична особа""
,
VLOOKUP"&amp;"(H3087,IMPORTRANGE(""https://docs.google.com/spreadsheets/d/14Bd19lYaqBhU8_DElYkX7l4wRkHqqCUFNJY4AfY3kHU/edit?usp=sharing  #gid=0"",""фіз особи new!relations_name_uo""),7,FALSE)
,
)
))"),"ЛАППО Анатолій Петрович")</f>
        <v>ЛАППО Анатолій Петрович</v>
      </c>
      <c r="J3086" s="7" t="s">
        <v>29</v>
      </c>
    </row>
    <row r="3087" spans="1:10" ht="13.2">
      <c r="A3087" s="7">
        <v>3086</v>
      </c>
      <c r="B3087" s="7">
        <v>1</v>
      </c>
      <c r="C3087" s="7" t="s">
        <v>10</v>
      </c>
      <c r="D3087" s="7">
        <v>886</v>
      </c>
      <c r="E3087" s="7" t="s">
        <v>11</v>
      </c>
      <c r="F3087" s="8" t="str">
        <f ca="1">IFERROR(__xludf.DUMMYFUNCTION("IF
(
C3088=""фізична особа""
,
VLOOKUP(D3088,IMPORTRANGE(""https://docs.google.com/spreadsheets/d/14Bd19lYaqBhU8_DElYkX7l4wRkHqqCUFNJY4AfY3kHU/edit?usp=sharing  #gid=0"",""фіз особи new!relations_name""),6,FALSE)
,
(IF
(
C3088=""юридична особа""
,
VLOOKUP"&amp;"(D3088,IMPORTRANGE(""https://docs.google.com/spreadsheets/d/14Bd19lYaqBhU8_DElYkX7l4wRkHqqCUFNJY4AfY3kHU/edit?usp=sharing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G3087" s="7" t="s">
        <v>10</v>
      </c>
      <c r="H3087" s="7">
        <v>0</v>
      </c>
      <c r="I3087" s="8" t="str">
        <f ca="1">IFERROR(__xludf.DUMMYFUNCTION("IF
(
G3088=""фізична особа""
,
VLOOKUP(H3088,IMPORTRANGE(""https://docs.google.com/spreadsheets/d/14Bd19lYaqBhU8_DElYkX7l4wRkHqqCUFNJY4AfY3kHU/edit?usp=sharing  #gid=0"",""фіз особи new!relations_name""),6,FALSE)
,
(IF
(
G3088=""юридична особа""
,
VLOOKUP"&amp;"(H3088,IMPORTRANGE(""https://docs.google.com/spreadsheets/d/14Bd19lYaqBhU8_DElYkX7l4wRkHqqCUFNJY4AfY3kHU/edit?usp=sharing  #gid=0"",""фіз особи new!relations_name_uo""),7,FALSE)
,
)
))"),"#N/A")</f>
        <v>#N/A</v>
      </c>
      <c r="J3087" s="7" t="s">
        <v>11</v>
      </c>
    </row>
    <row r="3088" spans="1:10" ht="13.2">
      <c r="A3088" s="7">
        <v>3087</v>
      </c>
      <c r="B3088" s="7">
        <v>1</v>
      </c>
      <c r="C3088" s="7" t="s">
        <v>10</v>
      </c>
      <c r="D3088" s="7">
        <v>886</v>
      </c>
      <c r="E3088" s="7" t="s">
        <v>11</v>
      </c>
      <c r="F3088" s="8" t="str">
        <f ca="1">IFERROR(__xludf.DUMMYFUNCTION("IF
(
C3089=""фізична особа""
,
VLOOKUP(D3089,IMPORTRANGE(""https://docs.google.com/spreadsheets/d/14Bd19lYaqBhU8_DElYkX7l4wRkHqqCUFNJY4AfY3kHU/edit?usp=sharing  #gid=0"",""фіз особи new!relations_name""),6,FALSE)
,
(IF
(
C3089=""юридична особа""
,
VLOOKUP"&amp;"(D3089,IMPORTRANGE(""https://docs.google.com/spreadsheets/d/14Bd19lYaqBhU8_DElYkX7l4wRkHqqCUFNJY4AfY3kHU/edit?usp=sharing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G3088" s="7" t="s">
        <v>10</v>
      </c>
      <c r="H3088" s="7">
        <v>0</v>
      </c>
      <c r="I3088" s="8" t="str">
        <f ca="1">IFERROR(__xludf.DUMMYFUNCTION("IF
(
G3089=""фізична особа""
,
VLOOKUP(H3089,IMPORTRANGE(""https://docs.google.com/spreadsheets/d/14Bd19lYaqBhU8_DElYkX7l4wRkHqqCUFNJY4AfY3kHU/edit?usp=sharing  #gid=0"",""фіз особи new!relations_name""),6,FALSE)
,
(IF
(
G3089=""юридична особа""
,
VLOOKUP"&amp;"(H3089,IMPORTRANGE(""https://docs.google.com/spreadsheets/d/14Bd19lYaqBhU8_DElYkX7l4wRkHqqCUFNJY4AfY3kHU/edit?usp=sharing  #gid=0"",""фіз особи new!relations_name_uo""),7,FALSE)
,
)
))"),"#N/A")</f>
        <v>#N/A</v>
      </c>
      <c r="J3088" s="7" t="s">
        <v>11</v>
      </c>
    </row>
    <row r="3089" spans="1:10" ht="13.2">
      <c r="A3089" s="7">
        <v>3088</v>
      </c>
      <c r="B3089" s="7">
        <v>1</v>
      </c>
      <c r="C3089" s="7" t="s">
        <v>10</v>
      </c>
      <c r="D3089" s="7">
        <v>886</v>
      </c>
      <c r="E3089" s="7" t="s">
        <v>12</v>
      </c>
      <c r="F3089" s="8" t="str">
        <f ca="1">IFERROR(__xludf.DUMMYFUNCTION("IF
(
C3090=""фізична особа""
,
VLOOKUP(D3090,IMPORTRANGE(""https://docs.google.com/spreadsheets/d/14Bd19lYaqBhU8_DElYkX7l4wRkHqqCUFNJY4AfY3kHU/edit?usp=sharing  #gid=0"",""фіз особи new!relations_name""),6,FALSE)
,
(IF
(
C3090=""юридична особа""
,
VLOOKUP"&amp;"(D3090,IMPORTRANGE(""https://docs.google.com/spreadsheets/d/14Bd19lYaqBhU8_DElYkX7l4wRkHqqCUFNJY4AfY3kHU/edit?usp=sharing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G3089" s="7" t="s">
        <v>10</v>
      </c>
      <c r="H3089" s="7">
        <v>0</v>
      </c>
      <c r="I3089" s="8" t="str">
        <f ca="1">IFERROR(__xludf.DUMMYFUNCTION("IF
(
G3090=""фізична особа""
,
VLOOKUP(H3090,IMPORTRANGE(""https://docs.google.com/spreadsheets/d/14Bd19lYaqBhU8_DElYkX7l4wRkHqqCUFNJY4AfY3kHU/edit?usp=sharing  #gid=0"",""фіз особи new!relations_name""),6,FALSE)
,
(IF
(
G3090=""юридична особа""
,
VLOOKUP"&amp;"(H3090,IMPORTRANGE(""https://docs.google.com/spreadsheets/d/14Bd19lYaqBhU8_DElYkX7l4wRkHqqCUFNJY4AfY3kHU/edit?usp=sharing  #gid=0"",""фіз особи new!relations_name_uo""),7,FALSE)
,
)
))"),"#N/A")</f>
        <v>#N/A</v>
      </c>
      <c r="J3089" s="7" t="s">
        <v>13</v>
      </c>
    </row>
    <row r="3090" spans="1:10" ht="13.2">
      <c r="A3090" s="7">
        <v>3089</v>
      </c>
      <c r="B3090" s="7">
        <v>1</v>
      </c>
      <c r="C3090" s="7" t="s">
        <v>10</v>
      </c>
      <c r="D3090" s="7">
        <v>886</v>
      </c>
      <c r="E3090" s="7" t="s">
        <v>14</v>
      </c>
      <c r="F3090" s="8" t="str">
        <f ca="1">IFERROR(__xludf.DUMMYFUNCTION("IF
(
C3091=""фізична особа""
,
VLOOKUP(D3091,IMPORTRANGE(""https://docs.google.com/spreadsheets/d/14Bd19lYaqBhU8_DElYkX7l4wRkHqqCUFNJY4AfY3kHU/edit?usp=sharing  #gid=0"",""фіз особи new!relations_name""),6,FALSE)
,
(IF
(
C3091=""юридична особа""
,
VLOOKUP"&amp;"(D3091,IMPORTRANGE(""https://docs.google.com/spreadsheets/d/14Bd19lYaqBhU8_DElYkX7l4wRkHqqCUFNJY4AfY3kHU/edit?usp=sharing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G3090" s="7" t="s">
        <v>10</v>
      </c>
      <c r="H3090" s="7">
        <v>15633</v>
      </c>
      <c r="I3090" s="8" t="str">
        <f ca="1">IFERROR(__xludf.DUMMYFUNCTION("IF
(
G3091=""фізична особа""
,
VLOOKUP(H3091,IMPORTRANGE(""https://docs.google.com/spreadsheets/d/14Bd19lYaqBhU8_DElYkX7l4wRkHqqCUFNJY4AfY3kHU/edit?usp=sharing  #gid=0"",""фіз особи new!relations_name""),6,FALSE)
,
(IF
(
G3091=""юридична особа""
,
VLOOKUP"&amp;"(H3091,IMPORTRANGE(""https://docs.google.com/spreadsheets/d/14Bd19lYaqBhU8_DElYkX7l4wRkHqqCUFNJY4AfY3kHU/edit?usp=sharing  #gid=0"",""фіз особи new!relations_name_uo""),7,FALSE)
,
)
))"),"ГІНДІН Діана Львівна")</f>
        <v>ГІНДІН Діана Львівна</v>
      </c>
      <c r="J3090" s="7" t="s">
        <v>15</v>
      </c>
    </row>
    <row r="3091" spans="1:10" ht="13.2">
      <c r="A3091" s="7">
        <v>3090</v>
      </c>
      <c r="B3091" s="7">
        <v>1</v>
      </c>
      <c r="C3091" s="7" t="s">
        <v>10</v>
      </c>
      <c r="D3091" s="7">
        <v>886</v>
      </c>
      <c r="E3091" s="7" t="s">
        <v>12</v>
      </c>
      <c r="F3091" s="8" t="str">
        <f ca="1">IFERROR(__xludf.DUMMYFUNCTION("IF
(
C3092=""фізична особа""
,
VLOOKUP(D3092,IMPORTRANGE(""https://docs.google.com/spreadsheets/d/14Bd19lYaqBhU8_DElYkX7l4wRkHqqCUFNJY4AfY3kHU/edit?usp=sharing  #gid=0"",""фіз особи new!relations_name""),6,FALSE)
,
(IF
(
C3092=""юридична особа""
,
VLOOKUP"&amp;"(D3092,IMPORTRANGE(""https://docs.google.com/spreadsheets/d/14Bd19lYaqBhU8_DElYkX7l4wRkHqqCUFNJY4AfY3kHU/edit?usp=sharing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G3091" s="7" t="s">
        <v>10</v>
      </c>
      <c r="H3091" s="7">
        <v>15634</v>
      </c>
      <c r="I3091" s="8" t="str">
        <f ca="1">IFERROR(__xludf.DUMMYFUNCTION("IF
(
G3092=""фізична особа""
,
VLOOKUP(H3092,IMPORTRANGE(""https://docs.google.com/spreadsheets/d/14Bd19lYaqBhU8_DElYkX7l4wRkHqqCUFNJY4AfY3kHU/edit?usp=sharing  #gid=0"",""фіз особи new!relations_name""),6,FALSE)
,
(IF
(
G3092=""юридична особа""
,
VLOOKUP"&amp;"(H3092,IMPORTRANGE(""https://docs.google.com/spreadsheets/d/14Bd19lYaqBhU8_DElYkX7l4wRkHqqCUFNJY4AfY3kHU/edit?usp=sharing  #gid=0"",""фіз особи new!relations_name_uo""),7,FALSE)
,
)
))"),"РЄЗНІК Олександр Владиславович")</f>
        <v>РЄЗНІК Олександр Владиславович</v>
      </c>
      <c r="J3091" s="7" t="s">
        <v>17</v>
      </c>
    </row>
    <row r="3092" spans="1:10" ht="13.2">
      <c r="A3092" s="7">
        <v>3091</v>
      </c>
      <c r="B3092" s="7">
        <v>1</v>
      </c>
      <c r="C3092" s="7" t="s">
        <v>10</v>
      </c>
      <c r="D3092" s="7">
        <v>887</v>
      </c>
      <c r="E3092" s="7" t="s">
        <v>48</v>
      </c>
      <c r="F3092" s="8" t="str">
        <f ca="1">IFERROR(__xludf.DUMMYFUNCTION("IF
(
C3093=""фізична особа""
,
VLOOKUP(D3093,IMPORTRANGE(""https://docs.google.com/spreadsheets/d/14Bd19lYaqBhU8_DElYkX7l4wRkHqqCUFNJY4AfY3kHU/edit?usp=sharing  #gid=0"",""фіз особи new!relations_name""),6,FALSE)
,
(IF
(
C3093=""юридична особа""
,
VLOOKUP"&amp;"(D3093,IMPORTRANGE(""https://docs.google.com/spreadsheets/d/14Bd19lYaqBhU8_DElYkX7l4wRkHqqCUFNJY4AfY3kHU/edit?usp=sharing  #gid=0"",""фіз особи new!relations_name_uo""),7,FALSE)
,
)
))"),"ВОДОЛАЦЬКИЙ Віктор Петрович")</f>
        <v>ВОДОЛАЦЬКИЙ Віктор Петрович</v>
      </c>
      <c r="G3092" s="7" t="s">
        <v>10</v>
      </c>
      <c r="H3092" s="7">
        <v>185</v>
      </c>
      <c r="I3092" s="8" t="str">
        <f ca="1">IFERROR(__xludf.DUMMYFUNCTION("IF
(
G3093=""фізична особа""
,
VLOOKUP(H3093,IMPORTRANGE(""https://docs.google.com/spreadsheets/d/14Bd19lYaqBhU8_DElYkX7l4wRkHqqCUFNJY4AfY3kHU/edit?usp=sharing  #gid=0"",""фіз особи new!relations_name""),6,FALSE)
,
(IF
(
G3093=""юридична особа""
,
VLOOKUP"&amp;"(H3093,IMPORTRANGE(""https://docs.google.com/spreadsheets/d/14Bd19lYaqBhU8_DElYkX7l4wRkHqqCUFNJY4AfY3kHU/edit?usp=sharing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092" s="7" t="s">
        <v>48</v>
      </c>
    </row>
    <row r="3093" spans="1:10" ht="13.2">
      <c r="A3093" s="7">
        <v>3092</v>
      </c>
      <c r="B3093" s="7">
        <v>1</v>
      </c>
      <c r="C3093" s="7" t="s">
        <v>10</v>
      </c>
      <c r="D3093" s="7">
        <v>887</v>
      </c>
      <c r="E3093" s="7" t="s">
        <v>48</v>
      </c>
      <c r="F3093" s="8" t="str">
        <f ca="1">IFERROR(__xludf.DUMMYFUNCTION("IF
(
C3094=""фізична особа""
,
VLOOKUP(D3094,IMPORTRANGE(""https://docs.google.com/spreadsheets/d/14Bd19lYaqBhU8_DElYkX7l4wRkHqqCUFNJY4AfY3kHU/edit?usp=sharing  #gid=0"",""фіз особи new!relations_name""),6,FALSE)
,
(IF
(
C3094=""юридична особа""
,
VLOOKUP"&amp;"(D3094,IMPORTRANGE(""https://docs.google.com/spreadsheets/d/14Bd19lYaqBhU8_DElYkX7l4wRkHqqCUFNJY4AfY3kHU/edit?usp=sharing  #gid=0"",""фіз особи new!relations_name_uo""),7,FALSE)
,
)
))"),"ВОДОЛАЦЬКИЙ Віктор Петрович")</f>
        <v>ВОДОЛАЦЬКИЙ Віктор Петрович</v>
      </c>
      <c r="G3093" s="7" t="s">
        <v>10</v>
      </c>
      <c r="H3093" s="7">
        <v>64</v>
      </c>
      <c r="I3093" s="8" t="str">
        <f ca="1">IFERROR(__xludf.DUMMYFUNCTION("IF
(
G3094=""фізична особа""
,
VLOOKUP(H3094,IMPORTRANGE(""https://docs.google.com/spreadsheets/d/14Bd19lYaqBhU8_DElYkX7l4wRkHqqCUFNJY4AfY3kHU/edit?usp=sharing  #gid=0"",""фіз особи new!relations_name""),6,FALSE)
,
(IF
(
G3094=""юридична особа""
,
VLOOKUP"&amp;"(H3094,IMPORTRANGE(""https://docs.google.com/spreadsheets/d/14Bd19lYaqBhU8_DElYkX7l4wRkHqqCUFNJY4AfY3kHU/edit?usp=sharing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093" s="7" t="s">
        <v>48</v>
      </c>
    </row>
    <row r="3094" spans="1:10" ht="13.2">
      <c r="A3094" s="7">
        <v>3093</v>
      </c>
      <c r="B3094" s="7">
        <v>1</v>
      </c>
      <c r="C3094" s="7" t="s">
        <v>10</v>
      </c>
      <c r="D3094" s="7">
        <v>887</v>
      </c>
      <c r="E3094" s="7" t="s">
        <v>48</v>
      </c>
      <c r="F3094" s="8" t="str">
        <f ca="1">IFERROR(__xludf.DUMMYFUNCTION("IF
(
C3095=""фізична особа""
,
VLOOKUP(D3095,IMPORTRANGE(""https://docs.google.com/spreadsheets/d/14Bd19lYaqBhU8_DElYkX7l4wRkHqqCUFNJY4AfY3kHU/edit?usp=sharing  #gid=0"",""фіз особи new!relations_name""),6,FALSE)
,
(IF
(
C3095=""юридична особа""
,
VLOOKUP"&amp;"(D3095,IMPORTRANGE(""https://docs.google.com/spreadsheets/d/14Bd19lYaqBhU8_DElYkX7l4wRkHqqCUFNJY4AfY3kHU/edit?usp=sharing  #gid=0"",""фіз особи new!relations_name_uo""),7,FALSE)
,
)
))"),"ВОДОЛАЦЬКИЙ Віктор Петрович")</f>
        <v>ВОДОЛАЦЬКИЙ Віктор Петрович</v>
      </c>
      <c r="G3094" s="7" t="s">
        <v>10</v>
      </c>
      <c r="H3094" s="7">
        <v>844</v>
      </c>
      <c r="I3094" s="8" t="str">
        <f ca="1">IFERROR(__xludf.DUMMYFUNCTION("IF
(
G3095=""фізична особа""
,
VLOOKUP(H3095,IMPORTRANGE(""https://docs.google.com/spreadsheets/d/14Bd19lYaqBhU8_DElYkX7l4wRkHqqCUFNJY4AfY3kHU/edit?usp=sharing  #gid=0"",""фіз особи new!relations_name""),6,FALSE)
,
(IF
(
G3095=""юридична особа""
,
VLOOKUP"&amp;"(H3095,IMPORTRANGE(""https://docs.google.com/spreadsheets/d/14Bd19lYaqBhU8_DElYkX7l4wRkHqqCUFNJY4AfY3kHU/edit?usp=sharing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094" s="7" t="s">
        <v>48</v>
      </c>
    </row>
    <row r="3095" spans="1:10" ht="13.2">
      <c r="A3095" s="7">
        <v>3094</v>
      </c>
      <c r="B3095" s="7">
        <v>1</v>
      </c>
      <c r="C3095" s="7" t="s">
        <v>10</v>
      </c>
      <c r="D3095" s="7">
        <v>887</v>
      </c>
      <c r="E3095" s="7" t="s">
        <v>48</v>
      </c>
      <c r="F3095" s="8" t="str">
        <f ca="1">IFERROR(__xludf.DUMMYFUNCTION("IF
(
C3096=""фізична особа""
,
VLOOKUP(D3096,IMPORTRANGE(""https://docs.google.com/spreadsheets/d/14Bd19lYaqBhU8_DElYkX7l4wRkHqqCUFNJY4AfY3kHU/edit?usp=sharing  #gid=0"",""фіз особи new!relations_name""),6,FALSE)
,
(IF
(
C3096=""юридична особа""
,
VLOOKUP"&amp;"(D3096,IMPORTRANGE(""https://docs.google.com/spreadsheets/d/14Bd19lYaqBhU8_DElYkX7l4wRkHqqCUFNJY4AfY3kHU/edit?usp=sharing  #gid=0"",""фіз особи new!relations_name_uo""),7,FALSE)
,
)
))"),"ВОДОЛАЦЬКИЙ Віктор Петрович")</f>
        <v>ВОДОЛАЦЬКИЙ Віктор Петрович</v>
      </c>
      <c r="G3095" s="7" t="s">
        <v>10</v>
      </c>
      <c r="H3095" s="7">
        <v>4789</v>
      </c>
      <c r="I3095" s="8" t="str">
        <f ca="1">IFERROR(__xludf.DUMMYFUNCTION("IF
(
G3096=""фізична особа""
,
VLOOKUP(H3096,IMPORTRANGE(""https://docs.google.com/spreadsheets/d/14Bd19lYaqBhU8_DElYkX7l4wRkHqqCUFNJY4AfY3kHU/edit?usp=sharing  #gid=0"",""фіз особи new!relations_name""),6,FALSE)
,
(IF
(
G3096=""юридична особа""
,
VLOOKUP"&amp;"(H3096,IMPORTRANGE(""https://docs.google.com/spreadsheets/d/14Bd19lYaqBhU8_DElYkX7l4wRkHqqCUFNJY4AfY3kHU/edit?usp=sharing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095" s="7" t="s">
        <v>48</v>
      </c>
    </row>
    <row r="3096" spans="1:10" ht="13.2">
      <c r="A3096" s="7">
        <v>3095</v>
      </c>
      <c r="B3096" s="7">
        <v>1</v>
      </c>
      <c r="C3096" s="7" t="s">
        <v>10</v>
      </c>
      <c r="D3096" s="7">
        <v>887</v>
      </c>
      <c r="E3096" s="7" t="s">
        <v>48</v>
      </c>
      <c r="F3096" s="8" t="str">
        <f ca="1">IFERROR(__xludf.DUMMYFUNCTION("IF
(
C3097=""фізична особа""
,
VLOOKUP(D3097,IMPORTRANGE(""https://docs.google.com/spreadsheets/d/14Bd19lYaqBhU8_DElYkX7l4wRkHqqCUFNJY4AfY3kHU/edit?usp=sharing  #gid=0"",""фіз особи new!relations_name""),6,FALSE)
,
(IF
(
C3097=""юридична особа""
,
VLOOKUP"&amp;"(D3097,IMPORTRANGE(""https://docs.google.com/spreadsheets/d/14Bd19lYaqBhU8_DElYkX7l4wRkHqqCUFNJY4AfY3kHU/edit?usp=sharing  #gid=0"",""фіз особи new!relations_name_uo""),7,FALSE)
,
)
))"),"ВОДОЛАЦЬКИЙ Віктор Петрович")</f>
        <v>ВОДОЛАЦЬКИЙ Віктор Петрович</v>
      </c>
      <c r="G3096" s="7" t="s">
        <v>10</v>
      </c>
      <c r="H3096" s="7">
        <v>4870</v>
      </c>
      <c r="I3096" s="8" t="str">
        <f ca="1">IFERROR(__xludf.DUMMYFUNCTION("IF
(
G3097=""фізична особа""
,
VLOOKUP(H3097,IMPORTRANGE(""https://docs.google.com/spreadsheets/d/14Bd19lYaqBhU8_DElYkX7l4wRkHqqCUFNJY4AfY3kHU/edit?usp=sharing  #gid=0"",""фіз особи new!relations_name""),6,FALSE)
,
(IF
(
G3097=""юридична особа""
,
VLOOKUP"&amp;"(H3097,IMPORTRANGE(""https://docs.google.com/spreadsheets/d/14Bd19lYaqBhU8_DElYkX7l4wRkHqqCUFNJY4AfY3kHU/edit?usp=sharing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096" s="7" t="s">
        <v>48</v>
      </c>
    </row>
    <row r="3097" spans="1:10" ht="13.2">
      <c r="A3097" s="7">
        <v>3096</v>
      </c>
      <c r="B3097" s="7">
        <v>1</v>
      </c>
      <c r="C3097" s="7" t="s">
        <v>10</v>
      </c>
      <c r="D3097" s="7">
        <v>888</v>
      </c>
      <c r="E3097" s="7" t="s">
        <v>35</v>
      </c>
      <c r="F3097" s="8" t="str">
        <f ca="1">IFERROR(__xludf.DUMMYFUNCTION("IF
(
C3098=""фізична особа""
,
VLOOKUP(D3098,IMPORTRANGE(""https://docs.google.com/spreadsheets/d/14Bd19lYaqBhU8_DElYkX7l4wRkHqqCUFNJY4AfY3kHU/edit?usp=sharing  #gid=0"",""фіз особи new!relations_name""),6,FALSE)
,
(IF
(
C3098=""юридична особа""
,
VLOOKUP"&amp;"(D3098,IMPORTRANGE(""https://docs.google.com/spreadsheets/d/14Bd19lYaqBhU8_DElYkX7l4wRkHqqCUFNJY4AfY3kHU/edit?usp=sharing  #gid=0"",""фіз особи new!relations_name_uo""),7,FALSE)
,
)
))"),"ЛЕНКЕВИЧ В'ячеслав Олександрович")</f>
        <v>ЛЕНКЕВИЧ В'ячеслав Олександрович</v>
      </c>
      <c r="G3097" s="7" t="s">
        <v>10</v>
      </c>
      <c r="H3097" s="7">
        <v>0</v>
      </c>
      <c r="I3097" s="8" t="str">
        <f ca="1">IFERROR(__xludf.DUMMYFUNCTION("IF
(
G3098=""фізична особа""
,
VLOOKUP(H3098,IMPORTRANGE(""https://docs.google.com/spreadsheets/d/14Bd19lYaqBhU8_DElYkX7l4wRkHqqCUFNJY4AfY3kHU/edit?usp=sharing  #gid=0"",""фіз особи new!relations_name""),6,FALSE)
,
(IF
(
G3098=""юридична особа""
,
VLOOKUP"&amp;"(H3098,IMPORTRANGE(""https://docs.google.com/spreadsheets/d/14Bd19lYaqBhU8_DElYkX7l4wRkHqqCUFNJY4AfY3kHU/edit?usp=sharing  #gid=0"",""фіз особи new!relations_name_uo""),7,FALSE)
,
)
))"),"#N/A")</f>
        <v>#N/A</v>
      </c>
      <c r="J3097" s="7" t="s">
        <v>35</v>
      </c>
    </row>
    <row r="3098" spans="1:10" ht="13.2">
      <c r="A3098" s="7">
        <v>3097</v>
      </c>
      <c r="B3098" s="7">
        <v>1</v>
      </c>
      <c r="C3098" s="7" t="s">
        <v>10</v>
      </c>
      <c r="D3098" s="7">
        <v>888</v>
      </c>
      <c r="E3098" s="7" t="s">
        <v>35</v>
      </c>
      <c r="F3098" s="8" t="str">
        <f ca="1">IFERROR(__xludf.DUMMYFUNCTION("IF
(
C3099=""фізична особа""
,
VLOOKUP(D3099,IMPORTRANGE(""https://docs.google.com/spreadsheets/d/14Bd19lYaqBhU8_DElYkX7l4wRkHqqCUFNJY4AfY3kHU/edit?usp=sharing  #gid=0"",""фіз особи new!relations_name""),6,FALSE)
,
(IF
(
C3099=""юридична особа""
,
VLOOKUP"&amp;"(D3099,IMPORTRANGE(""https://docs.google.com/spreadsheets/d/14Bd19lYaqBhU8_DElYkX7l4wRkHqqCUFNJY4AfY3kHU/edit?usp=sharing  #gid=0"",""фіз особи new!relations_name_uo""),7,FALSE)
,
)
))"),"ЛЕНКЕВИЧ В'ячеслав Олександрович")</f>
        <v>ЛЕНКЕВИЧ В'ячеслав Олександрович</v>
      </c>
      <c r="G3098" s="7" t="s">
        <v>10</v>
      </c>
      <c r="H3098" s="7">
        <v>0</v>
      </c>
      <c r="I3098" s="8" t="str">
        <f ca="1">IFERROR(__xludf.DUMMYFUNCTION("IF
(
G3099=""фізична особа""
,
VLOOKUP(H3099,IMPORTRANGE(""https://docs.google.com/spreadsheets/d/14Bd19lYaqBhU8_DElYkX7l4wRkHqqCUFNJY4AfY3kHU/edit?usp=sharing  #gid=0"",""фіз особи new!relations_name""),6,FALSE)
,
(IF
(
G3099=""юридична особа""
,
VLOOKUP"&amp;"(H3099,IMPORTRANGE(""https://docs.google.com/spreadsheets/d/14Bd19lYaqBhU8_DElYkX7l4wRkHqqCUFNJY4AfY3kHU/edit?usp=sharing  #gid=0"",""фіз особи new!relations_name_uo""),7,FALSE)
,
)
))"),"#N/A")</f>
        <v>#N/A</v>
      </c>
      <c r="J3098" s="7" t="s">
        <v>35</v>
      </c>
    </row>
    <row r="3099" spans="1:10" ht="13.2">
      <c r="A3099" s="7">
        <v>3098</v>
      </c>
      <c r="B3099" s="7">
        <v>1</v>
      </c>
      <c r="C3099" s="7" t="s">
        <v>10</v>
      </c>
      <c r="D3099" s="7">
        <v>889</v>
      </c>
      <c r="E3099" s="7" t="s">
        <v>14</v>
      </c>
      <c r="F3099" s="8" t="str">
        <f ca="1">IFERROR(__xludf.DUMMYFUNCTION("IF
(
C3100=""фізична особа""
,
VLOOKUP(D3100,IMPORTRANGE(""https://docs.google.com/spreadsheets/d/14Bd19lYaqBhU8_DElYkX7l4wRkHqqCUFNJY4AfY3kHU/edit?usp=sharing  #gid=0"",""фіз особи new!relations_name""),6,FALSE)
,
(IF
(
C3100=""юридична особа""
,
VLOOKUP"&amp;"(D3100,IMPORTRANGE(""https://docs.google.com/spreadsheets/d/14Bd19lYaqBhU8_DElYkX7l4wRkHqqCUFNJY4AfY3kHU/edit?usp=sharing  #gid=0"",""фіз особи new!relations_name_uo""),7,FALSE)
,
)
))"),"ПОЛЯКОВ Олександр Олексійович")</f>
        <v>ПОЛЯКОВ Олександр Олексійович</v>
      </c>
      <c r="G3099" s="7" t="s">
        <v>10</v>
      </c>
      <c r="H3099" s="7">
        <v>15635</v>
      </c>
      <c r="I3099" s="8" t="str">
        <f ca="1">IFERROR(__xludf.DUMMYFUNCTION("IF
(
G3100=""фізична особа""
,
VLOOKUP(H3100,IMPORTRANGE(""https://docs.google.com/spreadsheets/d/14Bd19lYaqBhU8_DElYkX7l4wRkHqqCUFNJY4AfY3kHU/edit?usp=sharing  #gid=0"",""фіз особи new!relations_name""),6,FALSE)
,
(IF
(
G3100=""юридична особа""
,
VLOOKUP"&amp;"(H3100,IMPORTRANGE(""https://docs.google.com/spreadsheets/d/14Bd19lYaqBhU8_DElYkX7l4wRkHqqCUFNJY4AfY3kHU/edit?usp=sharing  #gid=0"",""фіз особи new!relations_name_uo""),7,FALSE)
,
)
))"),"ПОЛЯКОВА Наталія Валеріївна")</f>
        <v>ПОЛЯКОВА Наталія Валеріївна</v>
      </c>
      <c r="J3099" s="7" t="s">
        <v>15</v>
      </c>
    </row>
    <row r="3100" spans="1:10" ht="13.2">
      <c r="A3100" s="7">
        <v>3099</v>
      </c>
      <c r="B3100" s="7">
        <v>1</v>
      </c>
      <c r="C3100" s="7" t="s">
        <v>10</v>
      </c>
      <c r="D3100" s="7">
        <v>889</v>
      </c>
      <c r="E3100" s="7" t="s">
        <v>12</v>
      </c>
      <c r="F3100" s="8" t="str">
        <f ca="1">IFERROR(__xludf.DUMMYFUNCTION("IF
(
C3101=""фізична особа""
,
VLOOKUP(D3101,IMPORTRANGE(""https://docs.google.com/spreadsheets/d/14Bd19lYaqBhU8_DElYkX7l4wRkHqqCUFNJY4AfY3kHU/edit?usp=sharing  #gid=0"",""фіз особи new!relations_name""),6,FALSE)
,
(IF
(
C3101=""юридична особа""
,
VLOOKUP"&amp;"(D3101,IMPORTRANGE(""https://docs.google.com/spreadsheets/d/14Bd19lYaqBhU8_DElYkX7l4wRkHqqCUFNJY4AfY3kHU/edit?usp=sharing  #gid=0"",""фіз особи new!relations_name_uo""),7,FALSE)
,
)
))"),"ПОЛЯКОВ Олександр Олексійович")</f>
        <v>ПОЛЯКОВ Олександр Олексійович</v>
      </c>
      <c r="G3100" s="7" t="s">
        <v>10</v>
      </c>
      <c r="H3100" s="7">
        <v>15636</v>
      </c>
      <c r="I3100" s="8" t="str">
        <f ca="1">IFERROR(__xludf.DUMMYFUNCTION("IF
(
G3101=""фізична особа""
,
VLOOKUP(H3101,IMPORTRANGE(""https://docs.google.com/spreadsheets/d/14Bd19lYaqBhU8_DElYkX7l4wRkHqqCUFNJY4AfY3kHU/edit?usp=sharing  #gid=0"",""фіз особи new!relations_name""),6,FALSE)
,
(IF
(
G3101=""юридична особа""
,
VLOOKUP"&amp;"(H3101,IMPORTRANGE(""https://docs.google.com/spreadsheets/d/14Bd19lYaqBhU8_DElYkX7l4wRkHqqCUFNJY4AfY3kHU/edit?usp=sharing  #gid=0"",""фіз особи new!relations_name_uo""),7,FALSE)
,
)
))"),"ПОЛЯКОВА Аліна Олександрівна")</f>
        <v>ПОЛЯКОВА Аліна Олександрівна</v>
      </c>
      <c r="J3100" s="7" t="s">
        <v>13</v>
      </c>
    </row>
    <row r="3101" spans="1:10" ht="13.2">
      <c r="A3101" s="7">
        <v>3100</v>
      </c>
      <c r="B3101" s="7">
        <v>1</v>
      </c>
      <c r="C3101" s="7" t="s">
        <v>10</v>
      </c>
      <c r="D3101" s="7">
        <v>890</v>
      </c>
      <c r="E3101" s="7" t="s">
        <v>29</v>
      </c>
      <c r="F3101" s="8" t="str">
        <f ca="1">IFERROR(__xludf.DUMMYFUNCTION("IF
(
C3102=""фізична особа""
,
VLOOKUP(D3102,IMPORTRANGE(""https://docs.google.com/spreadsheets/d/14Bd19lYaqBhU8_DElYkX7l4wRkHqqCUFNJY4AfY3kHU/edit?usp=sharing  #gid=0"",""фіз особи new!relations_name""),6,FALSE)
,
(IF
(
C3102=""юридична особа""
,
VLOOKUP"&amp;"(D3102,IMPORTRANGE(""https://docs.google.com/spreadsheets/d/14Bd19lYaqBhU8_DElYkX7l4wRkHqqCUFNJY4AfY3kHU/edit?usp=sharing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1" s="7" t="s">
        <v>10</v>
      </c>
      <c r="H3101" s="7">
        <v>0</v>
      </c>
      <c r="I3101" s="8" t="str">
        <f ca="1">IFERROR(__xludf.DUMMYFUNCTION("IF
(
G3102=""фізична особа""
,
VLOOKUP(H3102,IMPORTRANGE(""https://docs.google.com/spreadsheets/d/14Bd19lYaqBhU8_DElYkX7l4wRkHqqCUFNJY4AfY3kHU/edit?usp=sharing  #gid=0"",""фіз особи new!relations_name""),6,FALSE)
,
(IF
(
G3102=""юридична особа""
,
VLOOKUP"&amp;"(H3102,IMPORTRANGE(""https://docs.google.com/spreadsheets/d/14Bd19lYaqBhU8_DElYkX7l4wRkHqqCUFNJY4AfY3kHU/edit?usp=sharing  #gid=0"",""фіз особи new!relations_name_uo""),7,FALSE)
,
)
))"),"#N/A")</f>
        <v>#N/A</v>
      </c>
      <c r="J3101" s="7" t="s">
        <v>28</v>
      </c>
    </row>
    <row r="3102" spans="1:10" ht="13.2">
      <c r="A3102" s="7">
        <v>3101</v>
      </c>
      <c r="B3102" s="7">
        <v>1</v>
      </c>
      <c r="C3102" s="7" t="s">
        <v>10</v>
      </c>
      <c r="D3102" s="7">
        <v>890</v>
      </c>
      <c r="E3102" s="7" t="s">
        <v>29</v>
      </c>
      <c r="F3102" s="8" t="str">
        <f ca="1">IFERROR(__xludf.DUMMYFUNCTION("IF
(
C3103=""фізична особа""
,
VLOOKUP(D3103,IMPORTRANGE(""https://docs.google.com/spreadsheets/d/14Bd19lYaqBhU8_DElYkX7l4wRkHqqCUFNJY4AfY3kHU/edit?usp=sharing  #gid=0"",""фіз особи new!relations_name""),6,FALSE)
,
(IF
(
C3103=""юридична особа""
,
VLOOKUP"&amp;"(D3103,IMPORTRANGE(""https://docs.google.com/spreadsheets/d/14Bd19lYaqBhU8_DElYkX7l4wRkHqqCUFNJY4AfY3kHU/edit?usp=sharing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2" s="7" t="s">
        <v>10</v>
      </c>
      <c r="H3102" s="7">
        <v>0</v>
      </c>
      <c r="I3102" s="8" t="str">
        <f ca="1">IFERROR(__xludf.DUMMYFUNCTION("IF
(
G3103=""фізична особа""
,
VLOOKUP(H3103,IMPORTRANGE(""https://docs.google.com/spreadsheets/d/14Bd19lYaqBhU8_DElYkX7l4wRkHqqCUFNJY4AfY3kHU/edit?usp=sharing  #gid=0"",""фіз особи new!relations_name""),6,FALSE)
,
(IF
(
G3103=""юридична особа""
,
VLOOKUP"&amp;"(H3103,IMPORTRANGE(""https://docs.google.com/spreadsheets/d/14Bd19lYaqBhU8_DElYkX7l4wRkHqqCUFNJY4AfY3kHU/edit?usp=sharing  #gid=0"",""фіз особи new!relations_name_uo""),7,FALSE)
,
)
))"),"#N/A")</f>
        <v>#N/A</v>
      </c>
      <c r="J3102" s="7" t="s">
        <v>28</v>
      </c>
    </row>
    <row r="3103" spans="1:10" ht="13.2">
      <c r="A3103" s="7">
        <v>3102</v>
      </c>
      <c r="B3103" s="7">
        <v>1</v>
      </c>
      <c r="C3103" s="7" t="s">
        <v>10</v>
      </c>
      <c r="D3103" s="7">
        <v>890</v>
      </c>
      <c r="E3103" s="7" t="s">
        <v>29</v>
      </c>
      <c r="F3103" s="8" t="str">
        <f ca="1">IFERROR(__xludf.DUMMYFUNCTION("IF
(
C3104=""фізична особа""
,
VLOOKUP(D3104,IMPORTRANGE(""https://docs.google.com/spreadsheets/d/14Bd19lYaqBhU8_DElYkX7l4wRkHqqCUFNJY4AfY3kHU/edit?usp=sharing  #gid=0"",""фіз особи new!relations_name""),6,FALSE)
,
(IF
(
C3104=""юридична особа""
,
VLOOKUP"&amp;"(D3104,IMPORTRANGE(""https://docs.google.com/spreadsheets/d/14Bd19lYaqBhU8_DElYkX7l4wRkHqqCUFNJY4AfY3kHU/edit?usp=sharing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3" s="7" t="s">
        <v>10</v>
      </c>
      <c r="H3103" s="7">
        <v>0</v>
      </c>
      <c r="I3103" s="8" t="str">
        <f ca="1">IFERROR(__xludf.DUMMYFUNCTION("IF
(
G3104=""фізична особа""
,
VLOOKUP(H3104,IMPORTRANGE(""https://docs.google.com/spreadsheets/d/14Bd19lYaqBhU8_DElYkX7l4wRkHqqCUFNJY4AfY3kHU/edit?usp=sharing  #gid=0"",""фіз особи new!relations_name""),6,FALSE)
,
(IF
(
G3104=""юридична особа""
,
VLOOKUP"&amp;"(H3104,IMPORTRANGE(""https://docs.google.com/spreadsheets/d/14Bd19lYaqBhU8_DElYkX7l4wRkHqqCUFNJY4AfY3kHU/edit?usp=sharing  #gid=0"",""фіз особи new!relations_name_uo""),7,FALSE)
,
)
))"),"#N/A")</f>
        <v>#N/A</v>
      </c>
      <c r="J3103" s="7" t="s">
        <v>28</v>
      </c>
    </row>
    <row r="3104" spans="1:10" ht="13.2">
      <c r="A3104" s="7">
        <v>3103</v>
      </c>
      <c r="B3104" s="7">
        <v>1</v>
      </c>
      <c r="C3104" s="7" t="s">
        <v>10</v>
      </c>
      <c r="D3104" s="7">
        <v>890</v>
      </c>
      <c r="E3104" s="7" t="s">
        <v>29</v>
      </c>
      <c r="F3104" s="8" t="str">
        <f ca="1">IFERROR(__xludf.DUMMYFUNCTION("IF
(
C3105=""фізична особа""
,
VLOOKUP(D3105,IMPORTRANGE(""https://docs.google.com/spreadsheets/d/14Bd19lYaqBhU8_DElYkX7l4wRkHqqCUFNJY4AfY3kHU/edit?usp=sharing  #gid=0"",""фіз особи new!relations_name""),6,FALSE)
,
(IF
(
C3105=""юридична особа""
,
VLOOKUP"&amp;"(D3105,IMPORTRANGE(""https://docs.google.com/spreadsheets/d/14Bd19lYaqBhU8_DElYkX7l4wRkHqqCUFNJY4AfY3kHU/edit?usp=sharing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4" s="7" t="s">
        <v>10</v>
      </c>
      <c r="H3104" s="7">
        <v>0</v>
      </c>
      <c r="I3104" s="8" t="str">
        <f ca="1">IFERROR(__xludf.DUMMYFUNCTION("IF
(
G3105=""фізична особа""
,
VLOOKUP(H3105,IMPORTRANGE(""https://docs.google.com/spreadsheets/d/14Bd19lYaqBhU8_DElYkX7l4wRkHqqCUFNJY4AfY3kHU/edit?usp=sharing  #gid=0"",""фіз особи new!relations_name""),6,FALSE)
,
(IF
(
G3105=""юридична особа""
,
VLOOKUP"&amp;"(H3105,IMPORTRANGE(""https://docs.google.com/spreadsheets/d/14Bd19lYaqBhU8_DElYkX7l4wRkHqqCUFNJY4AfY3kHU/edit?usp=sharing  #gid=0"",""фіз особи new!relations_name_uo""),7,FALSE)
,
)
))"),"#N/A")</f>
        <v>#N/A</v>
      </c>
      <c r="J3104" s="7" t="s">
        <v>28</v>
      </c>
    </row>
    <row r="3105" spans="1:10" ht="13.2">
      <c r="A3105" s="7">
        <v>3104</v>
      </c>
      <c r="B3105" s="7">
        <v>1</v>
      </c>
      <c r="C3105" s="7" t="s">
        <v>10</v>
      </c>
      <c r="D3105" s="7">
        <v>890</v>
      </c>
      <c r="E3105" s="7" t="s">
        <v>29</v>
      </c>
      <c r="F3105" s="8" t="str">
        <f ca="1">IFERROR(__xludf.DUMMYFUNCTION("IF
(
C3106=""фізична особа""
,
VLOOKUP(D3106,IMPORTRANGE(""https://docs.google.com/spreadsheets/d/14Bd19lYaqBhU8_DElYkX7l4wRkHqqCUFNJY4AfY3kHU/edit?usp=sharing  #gid=0"",""фіз особи new!relations_name""),6,FALSE)
,
(IF
(
C3106=""юридична особа""
,
VLOOKUP"&amp;"(D3106,IMPORTRANGE(""https://docs.google.com/spreadsheets/d/14Bd19lYaqBhU8_DElYkX7l4wRkHqqCUFNJY4AfY3kHU/edit?usp=sharing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5" s="7" t="s">
        <v>10</v>
      </c>
      <c r="H3105" s="7">
        <v>0</v>
      </c>
      <c r="I3105" s="8" t="str">
        <f ca="1">IFERROR(__xludf.DUMMYFUNCTION("IF
(
G3106=""фізична особа""
,
VLOOKUP(H3106,IMPORTRANGE(""https://docs.google.com/spreadsheets/d/14Bd19lYaqBhU8_DElYkX7l4wRkHqqCUFNJY4AfY3kHU/edit?usp=sharing  #gid=0"",""фіз особи new!relations_name""),6,FALSE)
,
(IF
(
G3106=""юридична особа""
,
VLOOKUP"&amp;"(H3106,IMPORTRANGE(""https://docs.google.com/spreadsheets/d/14Bd19lYaqBhU8_DElYkX7l4wRkHqqCUFNJY4AfY3kHU/edit?usp=sharing  #gid=0"",""фіз особи new!relations_name_uo""),7,FALSE)
,
)
))"),"#N/A")</f>
        <v>#N/A</v>
      </c>
      <c r="J3105" s="7" t="s">
        <v>28</v>
      </c>
    </row>
    <row r="3106" spans="1:10" ht="13.2">
      <c r="A3106" s="7">
        <v>3105</v>
      </c>
      <c r="B3106" s="7">
        <v>1</v>
      </c>
      <c r="C3106" s="7" t="s">
        <v>10</v>
      </c>
      <c r="D3106" s="7">
        <v>890</v>
      </c>
      <c r="E3106" s="7" t="s">
        <v>29</v>
      </c>
      <c r="F3106" s="8" t="str">
        <f ca="1">IFERROR(__xludf.DUMMYFUNCTION("IF
(
C3107=""фізична особа""
,
VLOOKUP(D3107,IMPORTRANGE(""https://docs.google.com/spreadsheets/d/14Bd19lYaqBhU8_DElYkX7l4wRkHqqCUFNJY4AfY3kHU/edit?usp=sharing  #gid=0"",""фіз особи new!relations_name""),6,FALSE)
,
(IF
(
C3107=""юридична особа""
,
VLOOKUP"&amp;"(D3107,IMPORTRANGE(""https://docs.google.com/spreadsheets/d/14Bd19lYaqBhU8_DElYkX7l4wRkHqqCUFNJY4AfY3kHU/edit?usp=sharing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6" s="7" t="s">
        <v>10</v>
      </c>
      <c r="H3106" s="7">
        <v>0</v>
      </c>
      <c r="I3106" s="8" t="str">
        <f ca="1">IFERROR(__xludf.DUMMYFUNCTION("IF
(
G3107=""фізична особа""
,
VLOOKUP(H3107,IMPORTRANGE(""https://docs.google.com/spreadsheets/d/14Bd19lYaqBhU8_DElYkX7l4wRkHqqCUFNJY4AfY3kHU/edit?usp=sharing  #gid=0"",""фіз особи new!relations_name""),6,FALSE)
,
(IF
(
G3107=""юридична особа""
,
VLOOKUP"&amp;"(H3107,IMPORTRANGE(""https://docs.google.com/spreadsheets/d/14Bd19lYaqBhU8_DElYkX7l4wRkHqqCUFNJY4AfY3kHU/edit?usp=sharing  #gid=0"",""фіз особи new!relations_name_uo""),7,FALSE)
,
)
))"),"#N/A")</f>
        <v>#N/A</v>
      </c>
      <c r="J3106" s="7" t="s">
        <v>28</v>
      </c>
    </row>
    <row r="3107" spans="1:10" ht="13.2">
      <c r="A3107" s="7">
        <v>3106</v>
      </c>
      <c r="B3107" s="7">
        <v>1</v>
      </c>
      <c r="C3107" s="7" t="s">
        <v>10</v>
      </c>
      <c r="D3107" s="7">
        <v>890</v>
      </c>
      <c r="E3107" s="7" t="s">
        <v>29</v>
      </c>
      <c r="F3107" s="8" t="str">
        <f ca="1">IFERROR(__xludf.DUMMYFUNCTION("IF
(
C3108=""фізична особа""
,
VLOOKUP(D3108,IMPORTRANGE(""https://docs.google.com/spreadsheets/d/14Bd19lYaqBhU8_DElYkX7l4wRkHqqCUFNJY4AfY3kHU/edit?usp=sharing  #gid=0"",""фіз особи new!relations_name""),6,FALSE)
,
(IF
(
C3108=""юридична особа""
,
VLOOKUP"&amp;"(D3108,IMPORTRANGE(""https://docs.google.com/spreadsheets/d/14Bd19lYaqBhU8_DElYkX7l4wRkHqqCUFNJY4AfY3kHU/edit?usp=sharing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7" s="7" t="s">
        <v>10</v>
      </c>
      <c r="H3107" s="7">
        <v>0</v>
      </c>
      <c r="I3107" s="8" t="str">
        <f ca="1">IFERROR(__xludf.DUMMYFUNCTION("IF
(
G3108=""фізична особа""
,
VLOOKUP(H3108,IMPORTRANGE(""https://docs.google.com/spreadsheets/d/14Bd19lYaqBhU8_DElYkX7l4wRkHqqCUFNJY4AfY3kHU/edit?usp=sharing  #gid=0"",""фіз особи new!relations_name""),6,FALSE)
,
(IF
(
G3108=""юридична особа""
,
VLOOKUP"&amp;"(H3108,IMPORTRANGE(""https://docs.google.com/spreadsheets/d/14Bd19lYaqBhU8_DElYkX7l4wRkHqqCUFNJY4AfY3kHU/edit?usp=sharing  #gid=0"",""фіз особи new!relations_name_uo""),7,FALSE)
,
)
))"),"#N/A")</f>
        <v>#N/A</v>
      </c>
      <c r="J3107" s="7" t="s">
        <v>28</v>
      </c>
    </row>
    <row r="3108" spans="1:10" ht="13.2">
      <c r="A3108" s="7">
        <v>3107</v>
      </c>
      <c r="B3108" s="7">
        <v>1</v>
      </c>
      <c r="C3108" s="7" t="s">
        <v>10</v>
      </c>
      <c r="D3108" s="7">
        <v>890</v>
      </c>
      <c r="E3108" s="7" t="s">
        <v>29</v>
      </c>
      <c r="F3108" s="8" t="str">
        <f ca="1">IFERROR(__xludf.DUMMYFUNCTION("IF
(
C3109=""фізична особа""
,
VLOOKUP(D3109,IMPORTRANGE(""https://docs.google.com/spreadsheets/d/14Bd19lYaqBhU8_DElYkX7l4wRkHqqCUFNJY4AfY3kHU/edit?usp=sharing  #gid=0"",""фіз особи new!relations_name""),6,FALSE)
,
(IF
(
C3109=""юридична особа""
,
VLOOKUP"&amp;"(D3109,IMPORTRANGE(""https://docs.google.com/spreadsheets/d/14Bd19lYaqBhU8_DElYkX7l4wRkHqqCUFNJY4AfY3kHU/edit?usp=sharing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8" s="7" t="s">
        <v>10</v>
      </c>
      <c r="H3108" s="7">
        <v>0</v>
      </c>
      <c r="I3108" s="8" t="str">
        <f ca="1">IFERROR(__xludf.DUMMYFUNCTION("IF
(
G3109=""фізична особа""
,
VLOOKUP(H3109,IMPORTRANGE(""https://docs.google.com/spreadsheets/d/14Bd19lYaqBhU8_DElYkX7l4wRkHqqCUFNJY4AfY3kHU/edit?usp=sharing  #gid=0"",""фіз особи new!relations_name""),6,FALSE)
,
(IF
(
G3109=""юридична особа""
,
VLOOKUP"&amp;"(H3109,IMPORTRANGE(""https://docs.google.com/spreadsheets/d/14Bd19lYaqBhU8_DElYkX7l4wRkHqqCUFNJY4AfY3kHU/edit?usp=sharing  #gid=0"",""фіз особи new!relations_name_uo""),7,FALSE)
,
)
))"),"#N/A")</f>
        <v>#N/A</v>
      </c>
      <c r="J3108" s="7" t="s">
        <v>28</v>
      </c>
    </row>
    <row r="3109" spans="1:10" ht="13.2">
      <c r="A3109" s="7">
        <v>3108</v>
      </c>
      <c r="B3109" s="7">
        <v>1</v>
      </c>
      <c r="C3109" s="7" t="s">
        <v>10</v>
      </c>
      <c r="D3109" s="7">
        <v>890</v>
      </c>
      <c r="E3109" s="7" t="s">
        <v>29</v>
      </c>
      <c r="F3109" s="8" t="str">
        <f ca="1">IFERROR(__xludf.DUMMYFUNCTION("IF
(
C3110=""фізична особа""
,
VLOOKUP(D3110,IMPORTRANGE(""https://docs.google.com/spreadsheets/d/14Bd19lYaqBhU8_DElYkX7l4wRkHqqCUFNJY4AfY3kHU/edit?usp=sharing  #gid=0"",""фіз особи new!relations_name""),6,FALSE)
,
(IF
(
C3110=""юридична особа""
,
VLOOKUP"&amp;"(D3110,IMPORTRANGE(""https://docs.google.com/spreadsheets/d/14Bd19lYaqBhU8_DElYkX7l4wRkHqqCUFNJY4AfY3kHU/edit?usp=sharing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09" s="7" t="s">
        <v>10</v>
      </c>
      <c r="H3109" s="7">
        <v>0</v>
      </c>
      <c r="I3109" s="8" t="str">
        <f ca="1">IFERROR(__xludf.DUMMYFUNCTION("IF
(
G3110=""фізична особа""
,
VLOOKUP(H3110,IMPORTRANGE(""https://docs.google.com/spreadsheets/d/14Bd19lYaqBhU8_DElYkX7l4wRkHqqCUFNJY4AfY3kHU/edit?usp=sharing  #gid=0"",""фіз особи new!relations_name""),6,FALSE)
,
(IF
(
G3110=""юридична особа""
,
VLOOKUP"&amp;"(H3110,IMPORTRANGE(""https://docs.google.com/spreadsheets/d/14Bd19lYaqBhU8_DElYkX7l4wRkHqqCUFNJY4AfY3kHU/edit?usp=sharing  #gid=0"",""фіз особи new!relations_name_uo""),7,FALSE)
,
)
))"),"#N/A")</f>
        <v>#N/A</v>
      </c>
      <c r="J3109" s="7" t="s">
        <v>28</v>
      </c>
    </row>
    <row r="3110" spans="1:10" ht="13.2">
      <c r="A3110" s="7">
        <v>3109</v>
      </c>
      <c r="B3110" s="7">
        <v>1</v>
      </c>
      <c r="C3110" s="7" t="s">
        <v>10</v>
      </c>
      <c r="D3110" s="7">
        <v>890</v>
      </c>
      <c r="E3110" s="7" t="s">
        <v>29</v>
      </c>
      <c r="F3110" s="8" t="str">
        <f ca="1">IFERROR(__xludf.DUMMYFUNCTION("IF
(
C3111=""фізична особа""
,
VLOOKUP(D3111,IMPORTRANGE(""https://docs.google.com/spreadsheets/d/14Bd19lYaqBhU8_DElYkX7l4wRkHqqCUFNJY4AfY3kHU/edit?usp=sharing  #gid=0"",""фіз особи new!relations_name""),6,FALSE)
,
(IF
(
C3111=""юридична особа""
,
VLOOKUP"&amp;"(D3111,IMPORTRANGE(""https://docs.google.com/spreadsheets/d/14Bd19lYaqBhU8_DElYkX7l4wRkHqqCUFNJY4AfY3kHU/edit?usp=sharing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0" s="7" t="s">
        <v>10</v>
      </c>
      <c r="H3110" s="7">
        <v>0</v>
      </c>
      <c r="I3110" s="8" t="str">
        <f ca="1">IFERROR(__xludf.DUMMYFUNCTION("IF
(
G3111=""фізична особа""
,
VLOOKUP(H3111,IMPORTRANGE(""https://docs.google.com/spreadsheets/d/14Bd19lYaqBhU8_DElYkX7l4wRkHqqCUFNJY4AfY3kHU/edit?usp=sharing  #gid=0"",""фіз особи new!relations_name""),6,FALSE)
,
(IF
(
G3111=""юридична особа""
,
VLOOKUP"&amp;"(H3111,IMPORTRANGE(""https://docs.google.com/spreadsheets/d/14Bd19lYaqBhU8_DElYkX7l4wRkHqqCUFNJY4AfY3kHU/edit?usp=sharing  #gid=0"",""фіз особи new!relations_name_uo""),7,FALSE)
,
)
))"),"#N/A")</f>
        <v>#N/A</v>
      </c>
      <c r="J3110" s="7" t="s">
        <v>28</v>
      </c>
    </row>
    <row r="3111" spans="1:10" ht="13.2">
      <c r="A3111" s="7">
        <v>3110</v>
      </c>
      <c r="B3111" s="7">
        <v>1</v>
      </c>
      <c r="C3111" s="7" t="s">
        <v>10</v>
      </c>
      <c r="D3111" s="7">
        <v>890</v>
      </c>
      <c r="E3111" s="7" t="s">
        <v>29</v>
      </c>
      <c r="F3111" s="8" t="str">
        <f ca="1">IFERROR(__xludf.DUMMYFUNCTION("IF
(
C3112=""фізична особа""
,
VLOOKUP(D3112,IMPORTRANGE(""https://docs.google.com/spreadsheets/d/14Bd19lYaqBhU8_DElYkX7l4wRkHqqCUFNJY4AfY3kHU/edit?usp=sharing  #gid=0"",""фіз особи new!relations_name""),6,FALSE)
,
(IF
(
C3112=""юридична особа""
,
VLOOKUP"&amp;"(D3112,IMPORTRANGE(""https://docs.google.com/spreadsheets/d/14Bd19lYaqBhU8_DElYkX7l4wRkHqqCUFNJY4AfY3kHU/edit?usp=sharing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1" s="7" t="s">
        <v>10</v>
      </c>
      <c r="H3111" s="7">
        <v>0</v>
      </c>
      <c r="I3111" s="8" t="str">
        <f ca="1">IFERROR(__xludf.DUMMYFUNCTION("IF
(
G3112=""фізична особа""
,
VLOOKUP(H3112,IMPORTRANGE(""https://docs.google.com/spreadsheets/d/14Bd19lYaqBhU8_DElYkX7l4wRkHqqCUFNJY4AfY3kHU/edit?usp=sharing  #gid=0"",""фіз особи new!relations_name""),6,FALSE)
,
(IF
(
G3112=""юридична особа""
,
VLOOKUP"&amp;"(H3112,IMPORTRANGE(""https://docs.google.com/spreadsheets/d/14Bd19lYaqBhU8_DElYkX7l4wRkHqqCUFNJY4AfY3kHU/edit?usp=sharing  #gid=0"",""фіз особи new!relations_name_uo""),7,FALSE)
,
)
))"),"#N/A")</f>
        <v>#N/A</v>
      </c>
      <c r="J3111" s="7" t="s">
        <v>28</v>
      </c>
    </row>
    <row r="3112" spans="1:10" ht="13.2">
      <c r="A3112" s="7">
        <v>3111</v>
      </c>
      <c r="B3112" s="7">
        <v>1</v>
      </c>
      <c r="C3112" s="7" t="s">
        <v>10</v>
      </c>
      <c r="D3112" s="7">
        <v>890</v>
      </c>
      <c r="E3112" s="7" t="s">
        <v>14</v>
      </c>
      <c r="F3112" s="8" t="str">
        <f ca="1">IFERROR(__xludf.DUMMYFUNCTION("IF
(
C3113=""фізична особа""
,
VLOOKUP(D3113,IMPORTRANGE(""https://docs.google.com/spreadsheets/d/14Bd19lYaqBhU8_DElYkX7l4wRkHqqCUFNJY4AfY3kHU/edit?usp=sharing  #gid=0"",""фіз особи new!relations_name""),6,FALSE)
,
(IF
(
C3113=""юридична особа""
,
VLOOKUP"&amp;"(D3113,IMPORTRANGE(""https://docs.google.com/spreadsheets/d/14Bd19lYaqBhU8_DElYkX7l4wRkHqqCUFNJY4AfY3kHU/edit?usp=sharing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2" s="7" t="s">
        <v>10</v>
      </c>
      <c r="H3112" s="7">
        <v>4711</v>
      </c>
      <c r="I3112" s="8" t="str">
        <f ca="1">IFERROR(__xludf.DUMMYFUNCTION("IF
(
G3113=""фізична особа""
,
VLOOKUP(H3113,IMPORTRANGE(""https://docs.google.com/spreadsheets/d/14Bd19lYaqBhU8_DElYkX7l4wRkHqqCUFNJY4AfY3kHU/edit?usp=sharing  #gid=0"",""фіз особи new!relations_name""),6,FALSE)
,
(IF
(
G3113=""юридична особа""
,
VLOOKUP"&amp;"(H3113,IMPORTRANGE(""https://docs.google.com/spreadsheets/d/14Bd19lYaqBhU8_DElYkX7l4wRkHqqCUFNJY4AfY3kHU/edit?usp=sharing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J3112" s="7" t="s">
        <v>15</v>
      </c>
    </row>
    <row r="3113" spans="1:10" ht="13.2">
      <c r="A3113" s="7">
        <v>3112</v>
      </c>
      <c r="B3113" s="7">
        <v>1</v>
      </c>
      <c r="C3113" s="7" t="s">
        <v>10</v>
      </c>
      <c r="D3113" s="7">
        <v>890</v>
      </c>
      <c r="E3113" s="7" t="s">
        <v>17</v>
      </c>
      <c r="F3113" s="8" t="str">
        <f ca="1">IFERROR(__xludf.DUMMYFUNCTION("IF
(
C3114=""фізична особа""
,
VLOOKUP(D3114,IMPORTRANGE(""https://docs.google.com/spreadsheets/d/14Bd19lYaqBhU8_DElYkX7l4wRkHqqCUFNJY4AfY3kHU/edit?usp=sharing  #gid=0"",""фіз особи new!relations_name""),6,FALSE)
,
(IF
(
C3114=""юридична особа""
,
VLOOKUP"&amp;"(D3114,IMPORTRANGE(""https://docs.google.com/spreadsheets/d/14Bd19lYaqBhU8_DElYkX7l4wRkHqqCUFNJY4AfY3kHU/edit?usp=sharing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3" s="7" t="s">
        <v>10</v>
      </c>
      <c r="H3113" s="7">
        <v>4712</v>
      </c>
      <c r="I3113" s="8" t="str">
        <f ca="1">IFERROR(__xludf.DUMMYFUNCTION("IF
(
G3114=""фізична особа""
,
VLOOKUP(H3114,IMPORTRANGE(""https://docs.google.com/spreadsheets/d/14Bd19lYaqBhU8_DElYkX7l4wRkHqqCUFNJY4AfY3kHU/edit?usp=sharing  #gid=0"",""фіз особи new!relations_name""),6,FALSE)
,
(IF
(
G3114=""юридична особа""
,
VLOOKUP"&amp;"(H3114,IMPORTRANGE(""https://docs.google.com/spreadsheets/d/14Bd19lYaqBhU8_DElYkX7l4wRkHqqCUFNJY4AfY3kHU/edit?usp=sharing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J3113" s="7" t="s">
        <v>21</v>
      </c>
    </row>
    <row r="3114" spans="1:10" ht="13.2">
      <c r="A3114" s="7">
        <v>3113</v>
      </c>
      <c r="B3114" s="7">
        <v>1</v>
      </c>
      <c r="C3114" s="7" t="s">
        <v>10</v>
      </c>
      <c r="D3114" s="7">
        <v>890</v>
      </c>
      <c r="E3114" s="7" t="s">
        <v>18</v>
      </c>
      <c r="F3114" s="8" t="str">
        <f ca="1">IFERROR(__xludf.DUMMYFUNCTION("IF
(
C3115=""фізична особа""
,
VLOOKUP(D3115,IMPORTRANGE(""https://docs.google.com/spreadsheets/d/14Bd19lYaqBhU8_DElYkX7l4wRkHqqCUFNJY4AfY3kHU/edit?usp=sharing  #gid=0"",""фіз особи new!relations_name""),6,FALSE)
,
(IF
(
C3115=""юридична особа""
,
VLOOKUP"&amp;"(D3115,IMPORTRANGE(""https://docs.google.com/spreadsheets/d/14Bd19lYaqBhU8_DElYkX7l4wRkHqqCUFNJY4AfY3kHU/edit?usp=sharing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4" s="7" t="s">
        <v>10</v>
      </c>
      <c r="H3114" s="7">
        <v>4798</v>
      </c>
      <c r="I3114" s="8" t="str">
        <f ca="1">IFERROR(__xludf.DUMMYFUNCTION("IF
(
G3115=""фізична особа""
,
VLOOKUP(H3115,IMPORTRANGE(""https://docs.google.com/spreadsheets/d/14Bd19lYaqBhU8_DElYkX7l4wRkHqqCUFNJY4AfY3kHU/edit?usp=sharing  #gid=0"",""фіз особи new!relations_name""),6,FALSE)
,
(IF
(
G3115=""юридична особа""
,
VLOOKUP"&amp;"(H3115,IMPORTRANGE(""https://docs.google.com/spreadsheets/d/14Bd19lYaqBhU8_DElYkX7l4wRkHqqCUFNJY4AfY3kHU/edit?usp=sharing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J3114" s="7" t="s">
        <v>31</v>
      </c>
    </row>
    <row r="3115" spans="1:10" ht="13.2">
      <c r="A3115" s="7">
        <v>3114</v>
      </c>
      <c r="B3115" s="7">
        <v>1</v>
      </c>
      <c r="C3115" s="7" t="s">
        <v>10</v>
      </c>
      <c r="D3115" s="7">
        <v>890</v>
      </c>
      <c r="E3115" s="7" t="s">
        <v>17</v>
      </c>
      <c r="F3115" s="8" t="str">
        <f ca="1">IFERROR(__xludf.DUMMYFUNCTION("IF
(
C3116=""фізична особа""
,
VLOOKUP(D3116,IMPORTRANGE(""https://docs.google.com/spreadsheets/d/14Bd19lYaqBhU8_DElYkX7l4wRkHqqCUFNJY4AfY3kHU/edit?usp=sharing  #gid=0"",""фіз особи new!relations_name""),6,FALSE)
,
(IF
(
C3116=""юридична особа""
,
VLOOKUP"&amp;"(D3116,IMPORTRANGE(""https://docs.google.com/spreadsheets/d/14Bd19lYaqBhU8_DElYkX7l4wRkHqqCUFNJY4AfY3kHU/edit?usp=sharing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G3115" s="7" t="s">
        <v>10</v>
      </c>
      <c r="H3115" s="7">
        <v>4797</v>
      </c>
      <c r="I3115" s="8" t="str">
        <f ca="1">IFERROR(__xludf.DUMMYFUNCTION("IF
(
G3116=""фізична особа""
,
VLOOKUP(H3116,IMPORTRANGE(""https://docs.google.com/spreadsheets/d/14Bd19lYaqBhU8_DElYkX7l4wRkHqqCUFNJY4AfY3kHU/edit?usp=sharing  #gid=0"",""фіз особи new!relations_name""),6,FALSE)
,
(IF
(
G3116=""юридична особа""
,
VLOOKUP"&amp;"(H3116,IMPORTRANGE(""https://docs.google.com/spreadsheets/d/14Bd19lYaqBhU8_DElYkX7l4wRkHqqCUFNJY4AfY3kHU/edit?usp=sharing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J3115" s="7" t="s">
        <v>12</v>
      </c>
    </row>
    <row r="3116" spans="1:10" ht="13.2">
      <c r="A3116" s="7">
        <v>3115</v>
      </c>
      <c r="B3116" s="7">
        <v>1</v>
      </c>
      <c r="C3116" s="7" t="s">
        <v>10</v>
      </c>
      <c r="D3116" s="7">
        <v>891</v>
      </c>
      <c r="E3116" s="7" t="s">
        <v>12</v>
      </c>
      <c r="F3116" s="8" t="str">
        <f ca="1">IFERROR(__xludf.DUMMYFUNCTION("IF
(
C3117=""фізична особа""
,
VLOOKUP(D3117,IMPORTRANGE(""https://docs.google.com/spreadsheets/d/14Bd19lYaqBhU8_DElYkX7l4wRkHqqCUFNJY4AfY3kHU/edit?usp=sharing  #gid=0"",""фіз особи new!relations_name""),6,FALSE)
,
(IF
(
C3117=""юридична особа""
,
VLOOKUP"&amp;"(D3117,IMPORTRANGE(""https://docs.google.com/spreadsheets/d/14Bd19lYaqBhU8_DElYkX7l4wRkHqqCUFNJY4AfY3kHU/edit?usp=sharing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G3116" s="7" t="s">
        <v>10</v>
      </c>
      <c r="H3116" s="7">
        <v>0</v>
      </c>
      <c r="I3116" s="8" t="str">
        <f ca="1">IFERROR(__xludf.DUMMYFUNCTION("IF
(
G3117=""фізична особа""
,
VLOOKUP(H3117,IMPORTRANGE(""https://docs.google.com/spreadsheets/d/14Bd19lYaqBhU8_DElYkX7l4wRkHqqCUFNJY4AfY3kHU/edit?usp=sharing  #gid=0"",""фіз особи new!relations_name""),6,FALSE)
,
(IF
(
G3117=""юридична особа""
,
VLOOKUP"&amp;"(H3117,IMPORTRANGE(""https://docs.google.com/spreadsheets/d/14Bd19lYaqBhU8_DElYkX7l4wRkHqqCUFNJY4AfY3kHU/edit?usp=sharing  #gid=0"",""фіз особи new!relations_name_uo""),7,FALSE)
,
)
))"),"#N/A")</f>
        <v>#N/A</v>
      </c>
      <c r="J3116" s="7" t="s">
        <v>17</v>
      </c>
    </row>
    <row r="3117" spans="1:10" ht="13.2">
      <c r="A3117" s="7">
        <v>3116</v>
      </c>
      <c r="B3117" s="7">
        <v>1</v>
      </c>
      <c r="C3117" s="7" t="s">
        <v>10</v>
      </c>
      <c r="D3117" s="7">
        <v>891</v>
      </c>
      <c r="E3117" s="7" t="s">
        <v>12</v>
      </c>
      <c r="F3117" s="8" t="str">
        <f ca="1">IFERROR(__xludf.DUMMYFUNCTION("IF
(
C3118=""фізична особа""
,
VLOOKUP(D3118,IMPORTRANGE(""https://docs.google.com/spreadsheets/d/14Bd19lYaqBhU8_DElYkX7l4wRkHqqCUFNJY4AfY3kHU/edit?usp=sharing  #gid=0"",""фіз особи new!relations_name""),6,FALSE)
,
(IF
(
C3118=""юридична особа""
,
VLOOKUP"&amp;"(D3118,IMPORTRANGE(""https://docs.google.com/spreadsheets/d/14Bd19lYaqBhU8_DElYkX7l4wRkHqqCUFNJY4AfY3kHU/edit?usp=sharing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G3117" s="7" t="s">
        <v>10</v>
      </c>
      <c r="H3117" s="7">
        <v>0</v>
      </c>
      <c r="I3117" s="8" t="str">
        <f ca="1">IFERROR(__xludf.DUMMYFUNCTION("IF
(
G3118=""фізична особа""
,
VLOOKUP(H3118,IMPORTRANGE(""https://docs.google.com/spreadsheets/d/14Bd19lYaqBhU8_DElYkX7l4wRkHqqCUFNJY4AfY3kHU/edit?usp=sharing  #gid=0"",""фіз особи new!relations_name""),6,FALSE)
,
(IF
(
G3118=""юридична особа""
,
VLOOKUP"&amp;"(H3118,IMPORTRANGE(""https://docs.google.com/spreadsheets/d/14Bd19lYaqBhU8_DElYkX7l4wRkHqqCUFNJY4AfY3kHU/edit?usp=sharing  #gid=0"",""фіз особи new!relations_name_uo""),7,FALSE)
,
)
))"),"#N/A")</f>
        <v>#N/A</v>
      </c>
      <c r="J3117" s="7" t="s">
        <v>17</v>
      </c>
    </row>
    <row r="3118" spans="1:10" ht="13.2">
      <c r="A3118" s="7">
        <v>3117</v>
      </c>
      <c r="B3118" s="7">
        <v>1</v>
      </c>
      <c r="C3118" s="7" t="s">
        <v>10</v>
      </c>
      <c r="D3118" s="7">
        <v>891</v>
      </c>
      <c r="E3118" s="7" t="s">
        <v>14</v>
      </c>
      <c r="F3118" s="8" t="str">
        <f ca="1">IFERROR(__xludf.DUMMYFUNCTION("IF
(
C3119=""фізична особа""
,
VLOOKUP(D3119,IMPORTRANGE(""https://docs.google.com/spreadsheets/d/14Bd19lYaqBhU8_DElYkX7l4wRkHqqCUFNJY4AfY3kHU/edit?usp=sharing  #gid=0"",""фіз особи new!relations_name""),6,FALSE)
,
(IF
(
C3119=""юридична особа""
,
VLOOKUP"&amp;"(D3119,IMPORTRANGE(""https://docs.google.com/spreadsheets/d/14Bd19lYaqBhU8_DElYkX7l4wRkHqqCUFNJY4AfY3kHU/edit?usp=sharing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G3118" s="7" t="s">
        <v>10</v>
      </c>
      <c r="H3118" s="7">
        <v>0</v>
      </c>
      <c r="I3118" s="8" t="str">
        <f ca="1">IFERROR(__xludf.DUMMYFUNCTION("IF
(
G3119=""фізична особа""
,
VLOOKUP(H3119,IMPORTRANGE(""https://docs.google.com/spreadsheets/d/14Bd19lYaqBhU8_DElYkX7l4wRkHqqCUFNJY4AfY3kHU/edit?usp=sharing  #gid=0"",""фіз особи new!relations_name""),6,FALSE)
,
(IF
(
G3119=""юридична особа""
,
VLOOKUP"&amp;"(H3119,IMPORTRANGE(""https://docs.google.com/spreadsheets/d/14Bd19lYaqBhU8_DElYkX7l4wRkHqqCUFNJY4AfY3kHU/edit?usp=sharing  #gid=0"",""фіз особи new!relations_name_uo""),7,FALSE)
,
)
))"),"#N/A")</f>
        <v>#N/A</v>
      </c>
      <c r="J3118" s="7" t="s">
        <v>15</v>
      </c>
    </row>
    <row r="3119" spans="1:10" ht="13.2">
      <c r="A3119" s="7">
        <v>3118</v>
      </c>
      <c r="B3119" s="7">
        <v>1</v>
      </c>
      <c r="C3119" s="7" t="s">
        <v>10</v>
      </c>
      <c r="D3119" s="7">
        <v>891</v>
      </c>
      <c r="E3119" s="7" t="s">
        <v>12</v>
      </c>
      <c r="F3119" s="8" t="str">
        <f ca="1">IFERROR(__xludf.DUMMYFUNCTION("IF
(
C3120=""фізична особа""
,
VLOOKUP(D3120,IMPORTRANGE(""https://docs.google.com/spreadsheets/d/14Bd19lYaqBhU8_DElYkX7l4wRkHqqCUFNJY4AfY3kHU/edit?usp=sharing  #gid=0"",""фіз особи new!relations_name""),6,FALSE)
,
(IF
(
C3120=""юридична особа""
,
VLOOKUP"&amp;"(D3120,IMPORTRANGE(""https://docs.google.com/spreadsheets/d/14Bd19lYaqBhU8_DElYkX7l4wRkHqqCUFNJY4AfY3kHU/edit?usp=sharing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G3119" s="7" t="s">
        <v>10</v>
      </c>
      <c r="H3119" s="7">
        <v>0</v>
      </c>
      <c r="I3119" s="8" t="str">
        <f ca="1">IFERROR(__xludf.DUMMYFUNCTION("IF
(
G3120=""фізична особа""
,
VLOOKUP(H3120,IMPORTRANGE(""https://docs.google.com/spreadsheets/d/14Bd19lYaqBhU8_DElYkX7l4wRkHqqCUFNJY4AfY3kHU/edit?usp=sharing  #gid=0"",""фіз особи new!relations_name""),6,FALSE)
,
(IF
(
G3120=""юридична особа""
,
VLOOKUP"&amp;"(H3120,IMPORTRANGE(""https://docs.google.com/spreadsheets/d/14Bd19lYaqBhU8_DElYkX7l4wRkHqqCUFNJY4AfY3kHU/edit?usp=sharing  #gid=0"",""фіз особи new!relations_name_uo""),7,FALSE)
,
)
))"),"#N/A")</f>
        <v>#N/A</v>
      </c>
      <c r="J3119" s="7" t="s">
        <v>17</v>
      </c>
    </row>
    <row r="3120" spans="1:10" ht="13.2">
      <c r="A3120" s="7">
        <v>3119</v>
      </c>
      <c r="B3120" s="7">
        <v>1</v>
      </c>
      <c r="C3120" s="7" t="s">
        <v>10</v>
      </c>
      <c r="D3120" s="7">
        <v>892</v>
      </c>
      <c r="E3120" s="7" t="s">
        <v>48</v>
      </c>
      <c r="F3120" s="8" t="str">
        <f ca="1">IFERROR(__xludf.DUMMYFUNCTION("IF
(
C3121=""фізична особа""
,
VLOOKUP(D3121,IMPORTRANGE(""https://docs.google.com/spreadsheets/d/14Bd19lYaqBhU8_DElYkX7l4wRkHqqCUFNJY4AfY3kHU/edit?usp=sharing  #gid=0"",""фіз особи new!relations_name""),6,FALSE)
,
(IF
(
C3121=""юридична особа""
,
VLOOKUP"&amp;"(D3121,IMPORTRANGE(""https://docs.google.com/spreadsheets/d/14Bd19lYaqBhU8_DElYkX7l4wRkHqqCUFNJY4AfY3kHU/edit?usp=sharing  #gid=0"",""фіз особи new!relations_name_uo""),7,FALSE)
,
)
))"),"ПЕТРОВ В'ячеслав Анатолійович")</f>
        <v>ПЕТРОВ В'ячеслав Анатолійович</v>
      </c>
      <c r="G3120" s="7" t="s">
        <v>10</v>
      </c>
      <c r="H3120" s="7">
        <v>185</v>
      </c>
      <c r="I3120" s="8" t="str">
        <f ca="1">IFERROR(__xludf.DUMMYFUNCTION("IF
(
G3121=""фізична особа""
,
VLOOKUP(H3121,IMPORTRANGE(""https://docs.google.com/spreadsheets/d/14Bd19lYaqBhU8_DElYkX7l4wRkHqqCUFNJY4AfY3kHU/edit?usp=sharing  #gid=0"",""фіз особи new!relations_name""),6,FALSE)
,
(IF
(
G3121=""юридична особа""
,
VLOOKUP"&amp;"(H3121,IMPORTRANGE(""https://docs.google.com/spreadsheets/d/14Bd19lYaqBhU8_DElYkX7l4wRkHqqCUFNJY4AfY3kHU/edit?usp=sharing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120" s="7" t="s">
        <v>48</v>
      </c>
    </row>
    <row r="3121" spans="1:10" ht="13.2">
      <c r="A3121" s="7">
        <v>3120</v>
      </c>
      <c r="B3121" s="7">
        <v>1</v>
      </c>
      <c r="C3121" s="7" t="s">
        <v>10</v>
      </c>
      <c r="D3121" s="7">
        <v>892</v>
      </c>
      <c r="E3121" s="7" t="s">
        <v>48</v>
      </c>
      <c r="F3121" s="8" t="str">
        <f ca="1">IFERROR(__xludf.DUMMYFUNCTION("IF
(
C3122=""фізична особа""
,
VLOOKUP(D3122,IMPORTRANGE(""https://docs.google.com/spreadsheets/d/14Bd19lYaqBhU8_DElYkX7l4wRkHqqCUFNJY4AfY3kHU/edit?usp=sharing  #gid=0"",""фіз особи new!relations_name""),6,FALSE)
,
(IF
(
C3122=""юридична особа""
,
VLOOKUP"&amp;"(D3122,IMPORTRANGE(""https://docs.google.com/spreadsheets/d/14Bd19lYaqBhU8_DElYkX7l4wRkHqqCUFNJY4AfY3kHU/edit?usp=sharing  #gid=0"",""фіз особи new!relations_name_uo""),7,FALSE)
,
)
))"),"ПЕТРОВ В'ячеслав Анатолійович")</f>
        <v>ПЕТРОВ В'ячеслав Анатолійович</v>
      </c>
      <c r="G3121" s="7" t="s">
        <v>10</v>
      </c>
      <c r="H3121" s="7">
        <v>64</v>
      </c>
      <c r="I3121" s="8" t="str">
        <f ca="1">IFERROR(__xludf.DUMMYFUNCTION("IF
(
G3122=""фізична особа""
,
VLOOKUP(H3122,IMPORTRANGE(""https://docs.google.com/spreadsheets/d/14Bd19lYaqBhU8_DElYkX7l4wRkHqqCUFNJY4AfY3kHU/edit?usp=sharing  #gid=0"",""фіз особи new!relations_name""),6,FALSE)
,
(IF
(
G3122=""юридична особа""
,
VLOOKUP"&amp;"(H3122,IMPORTRANGE(""https://docs.google.com/spreadsheets/d/14Bd19lYaqBhU8_DElYkX7l4wRkHqqCUFNJY4AfY3kHU/edit?usp=sharing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121" s="7" t="s">
        <v>48</v>
      </c>
    </row>
    <row r="3122" spans="1:10" ht="13.2">
      <c r="A3122" s="7">
        <v>3121</v>
      </c>
      <c r="B3122" s="7">
        <v>1</v>
      </c>
      <c r="C3122" s="7" t="s">
        <v>10</v>
      </c>
      <c r="D3122" s="7">
        <v>892</v>
      </c>
      <c r="E3122" s="7" t="s">
        <v>48</v>
      </c>
      <c r="F3122" s="8" t="str">
        <f ca="1">IFERROR(__xludf.DUMMYFUNCTION("IF
(
C3123=""фізична особа""
,
VLOOKUP(D3123,IMPORTRANGE(""https://docs.google.com/spreadsheets/d/14Bd19lYaqBhU8_DElYkX7l4wRkHqqCUFNJY4AfY3kHU/edit?usp=sharing  #gid=0"",""фіз особи new!relations_name""),6,FALSE)
,
(IF
(
C3123=""юридична особа""
,
VLOOKUP"&amp;"(D3123,IMPORTRANGE(""https://docs.google.com/spreadsheets/d/14Bd19lYaqBhU8_DElYkX7l4wRkHqqCUFNJY4AfY3kHU/edit?usp=sharing  #gid=0"",""фіз особи new!relations_name_uo""),7,FALSE)
,
)
))"),"ПЕТРОВ В'ячеслав Анатолійович")</f>
        <v>ПЕТРОВ В'ячеслав Анатолійович</v>
      </c>
      <c r="G3122" s="7" t="s">
        <v>10</v>
      </c>
      <c r="H3122" s="7">
        <v>844</v>
      </c>
      <c r="I3122" s="8" t="str">
        <f ca="1">IFERROR(__xludf.DUMMYFUNCTION("IF
(
G3123=""фізична особа""
,
VLOOKUP(H3123,IMPORTRANGE(""https://docs.google.com/spreadsheets/d/14Bd19lYaqBhU8_DElYkX7l4wRkHqqCUFNJY4AfY3kHU/edit?usp=sharing  #gid=0"",""фіз особи new!relations_name""),6,FALSE)
,
(IF
(
G3123=""юридична особа""
,
VLOOKUP"&amp;"(H3123,IMPORTRANGE(""https://docs.google.com/spreadsheets/d/14Bd19lYaqBhU8_DElYkX7l4wRkHqqCUFNJY4AfY3kHU/edit?usp=sharing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122" s="7" t="s">
        <v>48</v>
      </c>
    </row>
    <row r="3123" spans="1:10" ht="13.2">
      <c r="A3123" s="7">
        <v>3122</v>
      </c>
      <c r="B3123" s="7">
        <v>1</v>
      </c>
      <c r="C3123" s="7" t="s">
        <v>10</v>
      </c>
      <c r="D3123" s="7">
        <v>892</v>
      </c>
      <c r="E3123" s="7" t="s">
        <v>48</v>
      </c>
      <c r="F3123" s="8" t="str">
        <f ca="1">IFERROR(__xludf.DUMMYFUNCTION("IF
(
C3124=""фізична особа""
,
VLOOKUP(D3124,IMPORTRANGE(""https://docs.google.com/spreadsheets/d/14Bd19lYaqBhU8_DElYkX7l4wRkHqqCUFNJY4AfY3kHU/edit?usp=sharing  #gid=0"",""фіз особи new!relations_name""),6,FALSE)
,
(IF
(
C3124=""юридична особа""
,
VLOOKUP"&amp;"(D3124,IMPORTRANGE(""https://docs.google.com/spreadsheets/d/14Bd19lYaqBhU8_DElYkX7l4wRkHqqCUFNJY4AfY3kHU/edit?usp=sharing  #gid=0"",""фіз особи new!relations_name_uo""),7,FALSE)
,
)
))"),"ПЕТРОВ В'ячеслав Анатолійович")</f>
        <v>ПЕТРОВ В'ячеслав Анатолійович</v>
      </c>
      <c r="G3123" s="7" t="s">
        <v>10</v>
      </c>
      <c r="H3123" s="7">
        <v>4789</v>
      </c>
      <c r="I3123" s="8" t="str">
        <f ca="1">IFERROR(__xludf.DUMMYFUNCTION("IF
(
G3124=""фізична особа""
,
VLOOKUP(H3124,IMPORTRANGE(""https://docs.google.com/spreadsheets/d/14Bd19lYaqBhU8_DElYkX7l4wRkHqqCUFNJY4AfY3kHU/edit?usp=sharing  #gid=0"",""фіз особи new!relations_name""),6,FALSE)
,
(IF
(
G3124=""юридична особа""
,
VLOOKUP"&amp;"(H3124,IMPORTRANGE(""https://docs.google.com/spreadsheets/d/14Bd19lYaqBhU8_DElYkX7l4wRkHqqCUFNJY4AfY3kHU/edit?usp=sharing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123" s="7" t="s">
        <v>48</v>
      </c>
    </row>
    <row r="3124" spans="1:10" ht="13.2">
      <c r="A3124" s="7">
        <v>3123</v>
      </c>
      <c r="B3124" s="7">
        <v>1</v>
      </c>
      <c r="C3124" s="7" t="s">
        <v>10</v>
      </c>
      <c r="D3124" s="7">
        <v>892</v>
      </c>
      <c r="E3124" s="7" t="s">
        <v>48</v>
      </c>
      <c r="F3124" s="8" t="str">
        <f ca="1">IFERROR(__xludf.DUMMYFUNCTION("IF
(
C3125=""фізична особа""
,
VLOOKUP(D3125,IMPORTRANGE(""https://docs.google.com/spreadsheets/d/14Bd19lYaqBhU8_DElYkX7l4wRkHqqCUFNJY4AfY3kHU/edit?usp=sharing  #gid=0"",""фіз особи new!relations_name""),6,FALSE)
,
(IF
(
C3125=""юридична особа""
,
VLOOKUP"&amp;"(D3125,IMPORTRANGE(""https://docs.google.com/spreadsheets/d/14Bd19lYaqBhU8_DElYkX7l4wRkHqqCUFNJY4AfY3kHU/edit?usp=sharing  #gid=0"",""фіз особи new!relations_name_uo""),7,FALSE)
,
)
))"),"ПЕТРОВ В'ячеслав Анатолійович")</f>
        <v>ПЕТРОВ В'ячеслав Анатолійович</v>
      </c>
      <c r="G3124" s="7" t="s">
        <v>10</v>
      </c>
      <c r="H3124" s="7">
        <v>4870</v>
      </c>
      <c r="I3124" s="8" t="str">
        <f ca="1">IFERROR(__xludf.DUMMYFUNCTION("IF
(
G3125=""фізична особа""
,
VLOOKUP(H3125,IMPORTRANGE(""https://docs.google.com/spreadsheets/d/14Bd19lYaqBhU8_DElYkX7l4wRkHqqCUFNJY4AfY3kHU/edit?usp=sharing  #gid=0"",""фіз особи new!relations_name""),6,FALSE)
,
(IF
(
G3125=""юридична особа""
,
VLOOKUP"&amp;"(H3125,IMPORTRANGE(""https://docs.google.com/spreadsheets/d/14Bd19lYaqBhU8_DElYkX7l4wRkHqqCUFNJY4AfY3kHU/edit?usp=sharing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124" s="7" t="s">
        <v>48</v>
      </c>
    </row>
    <row r="3125" spans="1:10" ht="13.2">
      <c r="A3125" s="7">
        <v>3124</v>
      </c>
      <c r="B3125" s="7">
        <v>1</v>
      </c>
      <c r="C3125" s="7" t="s">
        <v>10</v>
      </c>
      <c r="D3125" s="7">
        <v>893</v>
      </c>
      <c r="E3125" s="7" t="s">
        <v>14</v>
      </c>
      <c r="F3125" s="8" t="str">
        <f ca="1">IFERROR(__xludf.DUMMYFUNCTION("IF
(
C3126=""фізична особа""
,
VLOOKUP(D3126,IMPORTRANGE(""https://docs.google.com/spreadsheets/d/14Bd19lYaqBhU8_DElYkX7l4wRkHqqCUFNJY4AfY3kHU/edit?usp=sharing  #gid=0"",""фіз особи new!relations_name""),6,FALSE)
,
(IF
(
C3126=""юридична особа""
,
VLOOKUP"&amp;"(D3126,IMPORTRANGE(""https://docs.google.com/spreadsheets/d/14Bd19lYaqBhU8_DElYkX7l4wRkHqqCUFNJY4AfY3kHU/edit?usp=sharing  #gid=0"",""фіз особи new!relations_name_uo""),7,FALSE)
,
)
))"),"ДАМДІНЦУРУНОВ В'ячеслав Анатолійович")</f>
        <v>ДАМДІНЦУРУНОВ В'ячеслав Анатолійович</v>
      </c>
      <c r="G3125" s="7" t="s">
        <v>10</v>
      </c>
      <c r="H3125" s="7">
        <v>0</v>
      </c>
      <c r="I3125" s="8" t="str">
        <f ca="1">IFERROR(__xludf.DUMMYFUNCTION("IF
(
G3126=""фізична особа""
,
VLOOKUP(H3126,IMPORTRANGE(""https://docs.google.com/spreadsheets/d/14Bd19lYaqBhU8_DElYkX7l4wRkHqqCUFNJY4AfY3kHU/edit?usp=sharing  #gid=0"",""фіз особи new!relations_name""),6,FALSE)
,
(IF
(
G3126=""юридична особа""
,
VLOOKUP"&amp;"(H3126,IMPORTRANGE(""https://docs.google.com/spreadsheets/d/14Bd19lYaqBhU8_DElYkX7l4wRkHqqCUFNJY4AfY3kHU/edit?usp=sharing  #gid=0"",""фіз особи new!relations_name_uo""),7,FALSE)
,
)
))"),"#N/A")</f>
        <v>#N/A</v>
      </c>
      <c r="J3125" s="7" t="s">
        <v>15</v>
      </c>
    </row>
    <row r="3126" spans="1:10" ht="13.2">
      <c r="A3126" s="7">
        <v>3125</v>
      </c>
      <c r="B3126" s="7">
        <v>1</v>
      </c>
      <c r="C3126" s="7" t="s">
        <v>10</v>
      </c>
      <c r="D3126" s="7">
        <v>893</v>
      </c>
      <c r="E3126" s="7" t="s">
        <v>12</v>
      </c>
      <c r="F3126" s="8" t="str">
        <f ca="1">IFERROR(__xludf.DUMMYFUNCTION("IF
(
C3127=""фізична особа""
,
VLOOKUP(D3127,IMPORTRANGE(""https://docs.google.com/spreadsheets/d/14Bd19lYaqBhU8_DElYkX7l4wRkHqqCUFNJY4AfY3kHU/edit?usp=sharing  #gid=0"",""фіз особи new!relations_name""),6,FALSE)
,
(IF
(
C3127=""юридична особа""
,
VLOOKUP"&amp;"(D3127,IMPORTRANGE(""https://docs.google.com/spreadsheets/d/14Bd19lYaqBhU8_DElYkX7l4wRkHqqCUFNJY4AfY3kHU/edit?usp=sharing  #gid=0"",""фіз особи new!relations_name_uo""),7,FALSE)
,
)
))"),"ДАМДІНЦУРУНОВ В'ячеслав Анатолійович")</f>
        <v>ДАМДІНЦУРУНОВ В'ячеслав Анатолійович</v>
      </c>
      <c r="G3126" s="7" t="s">
        <v>10</v>
      </c>
      <c r="H3126" s="7">
        <v>0</v>
      </c>
      <c r="I3126" s="8" t="str">
        <f ca="1">IFERROR(__xludf.DUMMYFUNCTION("IF
(
G3127=""фізична особа""
,
VLOOKUP(H3127,IMPORTRANGE(""https://docs.google.com/spreadsheets/d/14Bd19lYaqBhU8_DElYkX7l4wRkHqqCUFNJY4AfY3kHU/edit?usp=sharing  #gid=0"",""фіз особи new!relations_name""),6,FALSE)
,
(IF
(
G3127=""юридична особа""
,
VLOOKUP"&amp;"(H3127,IMPORTRANGE(""https://docs.google.com/spreadsheets/d/14Bd19lYaqBhU8_DElYkX7l4wRkHqqCUFNJY4AfY3kHU/edit?usp=sharing  #gid=0"",""фіз особи new!relations_name_uo""),7,FALSE)
,
)
))"),"#N/A")</f>
        <v>#N/A</v>
      </c>
      <c r="J3126" s="7" t="s">
        <v>13</v>
      </c>
    </row>
    <row r="3127" spans="1:10" ht="13.2">
      <c r="A3127" s="7">
        <v>3126</v>
      </c>
      <c r="B3127" s="7">
        <v>1</v>
      </c>
      <c r="C3127" s="7" t="s">
        <v>10</v>
      </c>
      <c r="D3127" s="7">
        <v>893</v>
      </c>
      <c r="E3127" s="7" t="s">
        <v>12</v>
      </c>
      <c r="F3127" s="8" t="str">
        <f ca="1">IFERROR(__xludf.DUMMYFUNCTION("IF
(
C3128=""фізична особа""
,
VLOOKUP(D3128,IMPORTRANGE(""https://docs.google.com/spreadsheets/d/14Bd19lYaqBhU8_DElYkX7l4wRkHqqCUFNJY4AfY3kHU/edit?usp=sharing  #gid=0"",""фіз особи new!relations_name""),6,FALSE)
,
(IF
(
C3128=""юридична особа""
,
VLOOKUP"&amp;"(D3128,IMPORTRANGE(""https://docs.google.com/spreadsheets/d/14Bd19lYaqBhU8_DElYkX7l4wRkHqqCUFNJY4AfY3kHU/edit?usp=sharing  #gid=0"",""фіз особи new!relations_name_uo""),7,FALSE)
,
)
))"),"ДАМДІНЦУРУНОВ В'ячеслав Анатолійович")</f>
        <v>ДАМДІНЦУРУНОВ В'ячеслав Анатолійович</v>
      </c>
      <c r="G3127" s="7" t="s">
        <v>10</v>
      </c>
      <c r="H3127" s="7">
        <v>0</v>
      </c>
      <c r="I3127" s="8" t="str">
        <f ca="1">IFERROR(__xludf.DUMMYFUNCTION("IF
(
G3128=""фізична особа""
,
VLOOKUP(H3128,IMPORTRANGE(""https://docs.google.com/spreadsheets/d/14Bd19lYaqBhU8_DElYkX7l4wRkHqqCUFNJY4AfY3kHU/edit?usp=sharing  #gid=0"",""фіз особи new!relations_name""),6,FALSE)
,
(IF
(
G3128=""юридична особа""
,
VLOOKUP"&amp;"(H3128,IMPORTRANGE(""https://docs.google.com/spreadsheets/d/14Bd19lYaqBhU8_DElYkX7l4wRkHqqCUFNJY4AfY3kHU/edit?usp=sharing  #gid=0"",""фіз особи new!relations_name_uo""),7,FALSE)
,
)
))"),"#N/A")</f>
        <v>#N/A</v>
      </c>
      <c r="J3127" s="7" t="s">
        <v>17</v>
      </c>
    </row>
    <row r="3128" spans="1:10" ht="13.2">
      <c r="A3128" s="7">
        <v>3127</v>
      </c>
      <c r="B3128" s="7">
        <v>1</v>
      </c>
      <c r="C3128" s="7" t="s">
        <v>10</v>
      </c>
      <c r="D3128" s="7">
        <v>893</v>
      </c>
      <c r="E3128" s="7" t="s">
        <v>12</v>
      </c>
      <c r="F3128" s="8" t="str">
        <f ca="1">IFERROR(__xludf.DUMMYFUNCTION("IF
(
C3129=""фізична особа""
,
VLOOKUP(D3129,IMPORTRANGE(""https://docs.google.com/spreadsheets/d/14Bd19lYaqBhU8_DElYkX7l4wRkHqqCUFNJY4AfY3kHU/edit?usp=sharing  #gid=0"",""фіз особи new!relations_name""),6,FALSE)
,
(IF
(
C3129=""юридична особа""
,
VLOOKUP"&amp;"(D3129,IMPORTRANGE(""https://docs.google.com/spreadsheets/d/14Bd19lYaqBhU8_DElYkX7l4wRkHqqCUFNJY4AfY3kHU/edit?usp=sharing  #gid=0"",""фіз особи new!relations_name_uo""),7,FALSE)
,
)
))"),"ДАМДІНЦУРУНОВ В'ячеслав Анатолійович")</f>
        <v>ДАМДІНЦУРУНОВ В'ячеслав Анатолійович</v>
      </c>
      <c r="G3128" s="7" t="s">
        <v>10</v>
      </c>
      <c r="H3128" s="7">
        <v>0</v>
      </c>
      <c r="I3128" s="8" t="str">
        <f ca="1">IFERROR(__xludf.DUMMYFUNCTION("IF
(
G3129=""фізична особа""
,
VLOOKUP(H3129,IMPORTRANGE(""https://docs.google.com/spreadsheets/d/14Bd19lYaqBhU8_DElYkX7l4wRkHqqCUFNJY4AfY3kHU/edit?usp=sharing  #gid=0"",""фіз особи new!relations_name""),6,FALSE)
,
(IF
(
G3129=""юридична особа""
,
VLOOKUP"&amp;"(H3129,IMPORTRANGE(""https://docs.google.com/spreadsheets/d/14Bd19lYaqBhU8_DElYkX7l4wRkHqqCUFNJY4AfY3kHU/edit?usp=sharing  #gid=0"",""фіз особи new!relations_name_uo""),7,FALSE)
,
)
))"),"#N/A")</f>
        <v>#N/A</v>
      </c>
      <c r="J3128" s="7" t="s">
        <v>17</v>
      </c>
    </row>
    <row r="3129" spans="1:10" ht="13.2">
      <c r="A3129" s="7">
        <v>3128</v>
      </c>
      <c r="B3129" s="7">
        <v>1</v>
      </c>
      <c r="C3129" s="7" t="s">
        <v>10</v>
      </c>
      <c r="D3129" s="7">
        <v>894</v>
      </c>
      <c r="E3129" s="7" t="s">
        <v>62</v>
      </c>
      <c r="F3129" s="8" t="str">
        <f ca="1">IFERROR(__xludf.DUMMYFUNCTION("IF
(
C3130=""фізична особа""
,
VLOOKUP(D3130,IMPORTRANGE(""https://docs.google.com/spreadsheets/d/14Bd19lYaqBhU8_DElYkX7l4wRkHqqCUFNJY4AfY3kHU/edit?usp=sharing  #gid=0"",""фіз особи new!relations_name""),6,FALSE)
,
(IF
(
C3130=""юридична особа""
,
VLOOKUP"&amp;"(D3130,IMPORTRANGE(""https://docs.google.com/spreadsheets/d/14Bd19lYaqBhU8_DElYkX7l4wRkHqqCUFNJY4AfY3kHU/edit?usp=sharing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29" s="7" t="s">
        <v>10</v>
      </c>
      <c r="H3129" s="7">
        <v>0</v>
      </c>
      <c r="I3129" s="8" t="str">
        <f ca="1">IFERROR(__xludf.DUMMYFUNCTION("IF
(
G3130=""фізична особа""
,
VLOOKUP(H3130,IMPORTRANGE(""https://docs.google.com/spreadsheets/d/14Bd19lYaqBhU8_DElYkX7l4wRkHqqCUFNJY4AfY3kHU/edit?usp=sharing  #gid=0"",""фіз особи new!relations_name""),6,FALSE)
,
(IF
(
G3130=""юридична особа""
,
VLOOKUP"&amp;"(H3130,IMPORTRANGE(""https://docs.google.com/spreadsheets/d/14Bd19lYaqBhU8_DElYkX7l4wRkHqqCUFNJY4AfY3kHU/edit?usp=sharing  #gid=0"",""фіз особи new!relations_name_uo""),7,FALSE)
,
)
))"),"#N/A")</f>
        <v>#N/A</v>
      </c>
      <c r="J3129" s="7" t="s">
        <v>62</v>
      </c>
    </row>
    <row r="3130" spans="1:10" ht="13.2">
      <c r="A3130" s="7">
        <v>3129</v>
      </c>
      <c r="B3130" s="7">
        <v>1</v>
      </c>
      <c r="C3130" s="7" t="s">
        <v>10</v>
      </c>
      <c r="D3130" s="7">
        <v>894</v>
      </c>
      <c r="E3130" s="7" t="s">
        <v>12</v>
      </c>
      <c r="F3130" s="8" t="str">
        <f ca="1">IFERROR(__xludf.DUMMYFUNCTION("IF
(
C3131=""фізична особа""
,
VLOOKUP(D3131,IMPORTRANGE(""https://docs.google.com/spreadsheets/d/14Bd19lYaqBhU8_DElYkX7l4wRkHqqCUFNJY4AfY3kHU/edit?usp=sharing  #gid=0"",""фіз особи new!relations_name""),6,FALSE)
,
(IF
(
C3131=""юридична особа""
,
VLOOKUP"&amp;"(D3131,IMPORTRANGE(""https://docs.google.com/spreadsheets/d/14Bd19lYaqBhU8_DElYkX7l4wRkHqqCUFNJY4AfY3kHU/edit?usp=sharing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0" s="7" t="s">
        <v>10</v>
      </c>
      <c r="H3130" s="7">
        <v>15639</v>
      </c>
      <c r="I3130" s="8" t="str">
        <f ca="1">IFERROR(__xludf.DUMMYFUNCTION("IF
(
G3131=""фізична особа""
,
VLOOKUP(H3131,IMPORTRANGE(""https://docs.google.com/spreadsheets/d/14Bd19lYaqBhU8_DElYkX7l4wRkHqqCUFNJY4AfY3kHU/edit?usp=sharing  #gid=0"",""фіз особи new!relations_name""),6,FALSE)
,
(IF
(
G3131=""юридична особа""
,
VLOOKUP"&amp;"(H3131,IMPORTRANGE(""https://docs.google.com/spreadsheets/d/14Bd19lYaqBhU8_DElYkX7l4wRkHqqCUFNJY4AfY3kHU/edit?usp=sharing  #gid=0"",""фіз особи new!relations_name_uo""),7,FALSE)
,
)
))"),"МАРХАЄВ Батор В'ячеславович")</f>
        <v>МАРХАЄВ Батор В'ячеславович</v>
      </c>
      <c r="J3130" s="7" t="s">
        <v>17</v>
      </c>
    </row>
    <row r="3131" spans="1:10" ht="13.2">
      <c r="A3131" s="7">
        <v>3130</v>
      </c>
      <c r="B3131" s="7">
        <v>1</v>
      </c>
      <c r="C3131" s="7" t="s">
        <v>10</v>
      </c>
      <c r="D3131" s="7">
        <v>894</v>
      </c>
      <c r="E3131" s="7" t="s">
        <v>14</v>
      </c>
      <c r="F3131" s="8" t="str">
        <f ca="1">IFERROR(__xludf.DUMMYFUNCTION("IF
(
C3132=""фізична особа""
,
VLOOKUP(D3132,IMPORTRANGE(""https://docs.google.com/spreadsheets/d/14Bd19lYaqBhU8_DElYkX7l4wRkHqqCUFNJY4AfY3kHU/edit?usp=sharing  #gid=0"",""фіз особи new!relations_name""),6,FALSE)
,
(IF
(
C3132=""юридична особа""
,
VLOOKUP"&amp;"(D3132,IMPORTRANGE(""https://docs.google.com/spreadsheets/d/14Bd19lYaqBhU8_DElYkX7l4wRkHqqCUFNJY4AfY3kHU/edit?usp=sharing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1" s="7" t="s">
        <v>10</v>
      </c>
      <c r="H3131" s="7">
        <v>15638</v>
      </c>
      <c r="I3131" s="8" t="str">
        <f ca="1">IFERROR(__xludf.DUMMYFUNCTION("IF
(
G3132=""фізична особа""
,
VLOOKUP(H3132,IMPORTRANGE(""https://docs.google.com/spreadsheets/d/14Bd19lYaqBhU8_DElYkX7l4wRkHqqCUFNJY4AfY3kHU/edit?usp=sharing  #gid=0"",""фіз особи new!relations_name""),6,FALSE)
,
(IF
(
G3132=""юридична особа""
,
VLOOKUP"&amp;"(H3132,IMPORTRANGE(""https://docs.google.com/spreadsheets/d/14Bd19lYaqBhU8_DElYkX7l4wRkHqqCUFNJY4AfY3kHU/edit?usp=sharing  #gid=0"",""фіз особи new!relations_name_uo""),7,FALSE)
,
)
))"),"МАРХАЄВА Лариса Едуардівна")</f>
        <v>МАРХАЄВА Лариса Едуардівна</v>
      </c>
      <c r="J3131" s="7" t="s">
        <v>15</v>
      </c>
    </row>
    <row r="3132" spans="1:10" ht="13.2">
      <c r="A3132" s="7">
        <v>3131</v>
      </c>
      <c r="B3132" s="7">
        <v>1</v>
      </c>
      <c r="C3132" s="7" t="s">
        <v>10</v>
      </c>
      <c r="D3132" s="7">
        <v>894</v>
      </c>
      <c r="E3132" s="7" t="s">
        <v>12</v>
      </c>
      <c r="F3132" s="8" t="str">
        <f ca="1">IFERROR(__xludf.DUMMYFUNCTION("IF
(
C3133=""фізична особа""
,
VLOOKUP(D3133,IMPORTRANGE(""https://docs.google.com/spreadsheets/d/14Bd19lYaqBhU8_DElYkX7l4wRkHqqCUFNJY4AfY3kHU/edit?usp=sharing  #gid=0"",""фіз особи new!relations_name""),6,FALSE)
,
(IF
(
C3133=""юридична особа""
,
VLOOKUP"&amp;"(D3133,IMPORTRANGE(""https://docs.google.com/spreadsheets/d/14Bd19lYaqBhU8_DElYkX7l4wRkHqqCUFNJY4AfY3kHU/edit?usp=sharing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2" s="7" t="s">
        <v>10</v>
      </c>
      <c r="H3132" s="7">
        <v>15640</v>
      </c>
      <c r="I3132" s="8" t="str">
        <f ca="1">IFERROR(__xludf.DUMMYFUNCTION("IF
(
G3133=""фізична особа""
,
VLOOKUP(H3133,IMPORTRANGE(""https://docs.google.com/spreadsheets/d/14Bd19lYaqBhU8_DElYkX7l4wRkHqqCUFNJY4AfY3kHU/edit?usp=sharing  #gid=0"",""фіз особи new!relations_name""),6,FALSE)
,
(IF
(
G3133=""юридична особа""
,
VLOOKUP"&amp;"(H3133,IMPORTRANGE(""https://docs.google.com/spreadsheets/d/14Bd19lYaqBhU8_DElYkX7l4wRkHqqCUFNJY4AfY3kHU/edit?usp=sharing  #gid=0"",""фіз особи new!relations_name_uo""),7,FALSE)
,
)
))"),"ФЕДОТОВА Саяна В'ячеславівна")</f>
        <v>ФЕДОТОВА Саяна В'ячеславівна</v>
      </c>
      <c r="J3132" s="7" t="s">
        <v>13</v>
      </c>
    </row>
    <row r="3133" spans="1:10" ht="13.2">
      <c r="A3133" s="7">
        <v>3132</v>
      </c>
      <c r="B3133" s="7">
        <v>1</v>
      </c>
      <c r="C3133" s="7" t="s">
        <v>10</v>
      </c>
      <c r="D3133" s="7">
        <v>894</v>
      </c>
      <c r="E3133" s="7" t="s">
        <v>91</v>
      </c>
      <c r="F3133" s="8" t="str">
        <f ca="1">IFERROR(__xludf.DUMMYFUNCTION("IF
(
C3134=""фізична особа""
,
VLOOKUP(D3134,IMPORTRANGE(""https://docs.google.com/spreadsheets/d/14Bd19lYaqBhU8_DElYkX7l4wRkHqqCUFNJY4AfY3kHU/edit?usp=sharing  #gid=0"",""фіз особи new!relations_name""),6,FALSE)
,
(IF
(
C3134=""юридична особа""
,
VLOOKUP"&amp;"(D3134,IMPORTRANGE(""https://docs.google.com/spreadsheets/d/14Bd19lYaqBhU8_DElYkX7l4wRkHqqCUFNJY4AfY3kHU/edit?usp=sharing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3" s="7" t="s">
        <v>10</v>
      </c>
      <c r="H3133" s="7">
        <v>0</v>
      </c>
      <c r="I3133" s="8" t="str">
        <f ca="1">IFERROR(__xludf.DUMMYFUNCTION("IF
(
G3134=""фізична особа""
,
VLOOKUP(H3134,IMPORTRANGE(""https://docs.google.com/spreadsheets/d/14Bd19lYaqBhU8_DElYkX7l4wRkHqqCUFNJY4AfY3kHU/edit?usp=sharing  #gid=0"",""фіз особи new!relations_name""),6,FALSE)
,
(IF
(
G3134=""юридична особа""
,
VLOOKUP"&amp;"(H3134,IMPORTRANGE(""https://docs.google.com/spreadsheets/d/14Bd19lYaqBhU8_DElYkX7l4wRkHqqCUFNJY4AfY3kHU/edit?usp=sharing  #gid=0"",""фіз особи new!relations_name_uo""),7,FALSE)
,
)
))"),"#N/A")</f>
        <v>#N/A</v>
      </c>
      <c r="J3133" s="7" t="s">
        <v>92</v>
      </c>
    </row>
    <row r="3134" spans="1:10" ht="13.2">
      <c r="A3134" s="7">
        <v>3133</v>
      </c>
      <c r="B3134" s="7">
        <v>1</v>
      </c>
      <c r="C3134" s="7" t="s">
        <v>10</v>
      </c>
      <c r="D3134" s="7">
        <v>894</v>
      </c>
      <c r="E3134" s="7" t="s">
        <v>34</v>
      </c>
      <c r="F3134" s="8" t="str">
        <f ca="1">IFERROR(__xludf.DUMMYFUNCTION("IF
(
C3135=""фізична особа""
,
VLOOKUP(D3135,IMPORTRANGE(""https://docs.google.com/spreadsheets/d/14Bd19lYaqBhU8_DElYkX7l4wRkHqqCUFNJY4AfY3kHU/edit?usp=sharing  #gid=0"",""фіз особи new!relations_name""),6,FALSE)
,
(IF
(
C3135=""юридична особа""
,
VLOOKUP"&amp;"(D3135,IMPORTRANGE(""https://docs.google.com/spreadsheets/d/14Bd19lYaqBhU8_DElYkX7l4wRkHqqCUFNJY4AfY3kHU/edit?usp=sharing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4" s="7" t="s">
        <v>10</v>
      </c>
      <c r="H3134" s="7">
        <v>0</v>
      </c>
      <c r="I3134" s="8" t="str">
        <f ca="1">IFERROR(__xludf.DUMMYFUNCTION("IF
(
G3135=""фізична особа""
,
VLOOKUP(H3135,IMPORTRANGE(""https://docs.google.com/spreadsheets/d/14Bd19lYaqBhU8_DElYkX7l4wRkHqqCUFNJY4AfY3kHU/edit?usp=sharing  #gid=0"",""фіз особи new!relations_name""),6,FALSE)
,
(IF
(
G3135=""юридична особа""
,
VLOOKUP"&amp;"(H3135,IMPORTRANGE(""https://docs.google.com/spreadsheets/d/14Bd19lYaqBhU8_DElYkX7l4wRkHqqCUFNJY4AfY3kHU/edit?usp=sharing  #gid=0"",""фіз особи new!relations_name_uo""),7,FALSE)
,
)
))"),"#N/A")</f>
        <v>#N/A</v>
      </c>
      <c r="J3134" s="7" t="s">
        <v>25</v>
      </c>
    </row>
    <row r="3135" spans="1:10" ht="13.2">
      <c r="A3135" s="7">
        <v>3134</v>
      </c>
      <c r="B3135" s="7">
        <v>1</v>
      </c>
      <c r="C3135" s="7" t="s">
        <v>10</v>
      </c>
      <c r="D3135" s="7">
        <v>894</v>
      </c>
      <c r="E3135" s="7" t="s">
        <v>24</v>
      </c>
      <c r="F3135" s="8" t="str">
        <f ca="1">IFERROR(__xludf.DUMMYFUNCTION("IF
(
C3136=""фізична особа""
,
VLOOKUP(D3136,IMPORTRANGE(""https://docs.google.com/spreadsheets/d/14Bd19lYaqBhU8_DElYkX7l4wRkHqqCUFNJY4AfY3kHU/edit?usp=sharing  #gid=0"",""фіз особи new!relations_name""),6,FALSE)
,
(IF
(
C3136=""юридична особа""
,
VLOOKUP"&amp;"(D3136,IMPORTRANGE(""https://docs.google.com/spreadsheets/d/14Bd19lYaqBhU8_DElYkX7l4wRkHqqCUFNJY4AfY3kHU/edit?usp=sharing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5" s="7" t="s">
        <v>10</v>
      </c>
      <c r="H3135" s="7">
        <v>15641</v>
      </c>
      <c r="I3135" s="8" t="str">
        <f ca="1">IFERROR(__xludf.DUMMYFUNCTION("IF
(
G3136=""фізична особа""
,
VLOOKUP(H3136,IMPORTRANGE(""https://docs.google.com/spreadsheets/d/14Bd19lYaqBhU8_DElYkX7l4wRkHqqCUFNJY4AfY3kHU/edit?usp=sharing  #gid=0"",""фіз особи new!relations_name""),6,FALSE)
,
(IF
(
G3136=""юридична особа""
,
VLOOKUP"&amp;"(H3136,IMPORTRANGE(""https://docs.google.com/spreadsheets/d/14Bd19lYaqBhU8_DElYkX7l4wRkHqqCUFNJY4AfY3kHU/edit?usp=sharing  #gid=0"",""фіз особи new!relations_name_uo""),7,FALSE)
,
)
))"),"ФЕДОТОВ Владислав Георгійович")</f>
        <v>ФЕДОТОВ Владислав Георгійович</v>
      </c>
      <c r="J3135" s="7" t="s">
        <v>26</v>
      </c>
    </row>
    <row r="3136" spans="1:10" ht="13.2">
      <c r="A3136" s="7">
        <v>3135</v>
      </c>
      <c r="B3136" s="7">
        <v>1</v>
      </c>
      <c r="C3136" s="7" t="s">
        <v>10</v>
      </c>
      <c r="D3136" s="7">
        <v>894</v>
      </c>
      <c r="E3136" s="7" t="s">
        <v>12</v>
      </c>
      <c r="F3136" s="8" t="str">
        <f ca="1">IFERROR(__xludf.DUMMYFUNCTION("IF
(
C3137=""фізична особа""
,
VLOOKUP(D3137,IMPORTRANGE(""https://docs.google.com/spreadsheets/d/14Bd19lYaqBhU8_DElYkX7l4wRkHqqCUFNJY4AfY3kHU/edit?usp=sharing  #gid=0"",""фіз особи new!relations_name""),6,FALSE)
,
(IF
(
C3137=""юридична особа""
,
VLOOKUP"&amp;"(D3137,IMPORTRANGE(""https://docs.google.com/spreadsheets/d/14Bd19lYaqBhU8_DElYkX7l4wRkHqqCUFNJY4AfY3kHU/edit?usp=sharing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6" s="7" t="s">
        <v>10</v>
      </c>
      <c r="H3136" s="7">
        <v>0</v>
      </c>
      <c r="I3136" s="8" t="str">
        <f ca="1">IFERROR(__xludf.DUMMYFUNCTION("IF
(
G3137=""фізична особа""
,
VLOOKUP(H3137,IMPORTRANGE(""https://docs.google.com/spreadsheets/d/14Bd19lYaqBhU8_DElYkX7l4wRkHqqCUFNJY4AfY3kHU/edit?usp=sharing  #gid=0"",""фіз особи new!relations_name""),6,FALSE)
,
(IF
(
G3137=""юридична особа""
,
VLOOKUP"&amp;"(H3137,IMPORTRANGE(""https://docs.google.com/spreadsheets/d/14Bd19lYaqBhU8_DElYkX7l4wRkHqqCUFNJY4AfY3kHU/edit?usp=sharing  #gid=0"",""фіз особи new!relations_name_uo""),7,FALSE)
,
)
))"),"#N/A")</f>
        <v>#N/A</v>
      </c>
      <c r="J3136" s="7" t="s">
        <v>13</v>
      </c>
    </row>
    <row r="3137" spans="1:10" ht="13.2">
      <c r="A3137" s="7">
        <v>3136</v>
      </c>
      <c r="B3137" s="7">
        <v>1</v>
      </c>
      <c r="C3137" s="7" t="s">
        <v>10</v>
      </c>
      <c r="D3137" s="7">
        <v>894</v>
      </c>
      <c r="E3137" s="7" t="s">
        <v>24</v>
      </c>
      <c r="F3137" s="8" t="str">
        <f ca="1">IFERROR(__xludf.DUMMYFUNCTION("IF
(
C3138=""фізична особа""
,
VLOOKUP(D3138,IMPORTRANGE(""https://docs.google.com/spreadsheets/d/14Bd19lYaqBhU8_DElYkX7l4wRkHqqCUFNJY4AfY3kHU/edit?usp=sharing  #gid=0"",""фіз особи new!relations_name""),6,FALSE)
,
(IF
(
C3138=""юридична особа""
,
VLOOKUP"&amp;"(D3138,IMPORTRANGE(""https://docs.google.com/spreadsheets/d/14Bd19lYaqBhU8_DElYkX7l4wRkHqqCUFNJY4AfY3kHU/edit?usp=sharing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G3137" s="7" t="s">
        <v>10</v>
      </c>
      <c r="H3137" s="7">
        <v>0</v>
      </c>
      <c r="I3137" s="8" t="str">
        <f ca="1">IFERROR(__xludf.DUMMYFUNCTION("IF
(
G3138=""фізична особа""
,
VLOOKUP(H3138,IMPORTRANGE(""https://docs.google.com/spreadsheets/d/14Bd19lYaqBhU8_DElYkX7l4wRkHqqCUFNJY4AfY3kHU/edit?usp=sharing  #gid=0"",""фіз особи new!relations_name""),6,FALSE)
,
(IF
(
G3138=""юридична особа""
,
VLOOKUP"&amp;"(H3138,IMPORTRANGE(""https://docs.google.com/spreadsheets/d/14Bd19lYaqBhU8_DElYkX7l4wRkHqqCUFNJY4AfY3kHU/edit?usp=sharing  #gid=0"",""фіз особи new!relations_name_uo""),7,FALSE)
,
)
))"),"#N/A")</f>
        <v>#N/A</v>
      </c>
      <c r="J3137" s="7" t="s">
        <v>26</v>
      </c>
    </row>
    <row r="3138" spans="1:10" ht="13.2">
      <c r="A3138" s="7">
        <v>3137</v>
      </c>
      <c r="B3138" s="7">
        <v>1</v>
      </c>
      <c r="C3138" s="7" t="s">
        <v>10</v>
      </c>
      <c r="D3138" s="7">
        <v>896</v>
      </c>
      <c r="E3138" s="7" t="s">
        <v>12</v>
      </c>
      <c r="F3138" s="8" t="str">
        <f ca="1">IFERROR(__xludf.DUMMYFUNCTION("IF
(
C3139=""фізична особа""
,
VLOOKUP(D3139,IMPORTRANGE(""https://docs.google.com/spreadsheets/d/14Bd19lYaqBhU8_DElYkX7l4wRkHqqCUFNJY4AfY3kHU/edit?usp=sharing  #gid=0"",""фіз особи new!relations_name""),6,FALSE)
,
(IF
(
C3139=""юридична особа""
,
VLOOKUP"&amp;"(D3139,IMPORTRANGE(""https://docs.google.com/spreadsheets/d/14Bd19lYaqBhU8_DElYkX7l4wRkHqqCUFNJY4AfY3kHU/edit?usp=sharing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G3138" s="7" t="s">
        <v>10</v>
      </c>
      <c r="H3138" s="7">
        <v>4733</v>
      </c>
      <c r="I3138" s="8" t="str">
        <f ca="1">IFERROR(__xludf.DUMMYFUNCTION("IF
(
G3139=""фізична особа""
,
VLOOKUP(H3139,IMPORTRANGE(""https://docs.google.com/spreadsheets/d/14Bd19lYaqBhU8_DElYkX7l4wRkHqqCUFNJY4AfY3kHU/edit?usp=sharing  #gid=0"",""фіз особи new!relations_name""),6,FALSE)
,
(IF
(
G3139=""юридична особа""
,
VLOOKUP"&amp;"(H3139,IMPORTRANGE(""https://docs.google.com/spreadsheets/d/14Bd19lYaqBhU8_DElYkX7l4wRkHqqCUFNJY4AfY3kHU/edit?usp=sharing  #gid=0"",""фіз особи new!relations_name_uo""),7,FALSE)
,
)
))"),"ТИМЧЕНКО / ЛОГІНОВА Катерина В'ячеславівна")</f>
        <v>ТИМЧЕНКО / ЛОГІНОВА Катерина В'ячеславівна</v>
      </c>
      <c r="J3138" s="7" t="s">
        <v>13</v>
      </c>
    </row>
    <row r="3139" spans="1:10" ht="13.2">
      <c r="A3139" s="7">
        <v>3138</v>
      </c>
      <c r="B3139" s="7">
        <v>1</v>
      </c>
      <c r="C3139" s="7" t="s">
        <v>10</v>
      </c>
      <c r="D3139" s="7">
        <v>896</v>
      </c>
      <c r="E3139" s="7" t="s">
        <v>12</v>
      </c>
      <c r="F3139" s="8" t="str">
        <f ca="1">IFERROR(__xludf.DUMMYFUNCTION("IF
(
C3140=""фізична особа""
,
VLOOKUP(D3140,IMPORTRANGE(""https://docs.google.com/spreadsheets/d/14Bd19lYaqBhU8_DElYkX7l4wRkHqqCUFNJY4AfY3kHU/edit?usp=sharing  #gid=0"",""фіз особи new!relations_name""),6,FALSE)
,
(IF
(
C3140=""юридична особа""
,
VLOOKUP"&amp;"(D3140,IMPORTRANGE(""https://docs.google.com/spreadsheets/d/14Bd19lYaqBhU8_DElYkX7l4wRkHqqCUFNJY4AfY3kHU/edit?usp=sharing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G3139" s="7" t="s">
        <v>10</v>
      </c>
      <c r="H3139" s="7">
        <v>4734</v>
      </c>
      <c r="I3139" s="8" t="str">
        <f ca="1">IFERROR(__xludf.DUMMYFUNCTION("IF
(
G3140=""фізична особа""
,
VLOOKUP(H3140,IMPORTRANGE(""https://docs.google.com/spreadsheets/d/14Bd19lYaqBhU8_DElYkX7l4wRkHqqCUFNJY4AfY3kHU/edit?usp=sharing  #gid=0"",""фіз особи new!relations_name""),6,FALSE)
,
(IF
(
G3140=""юридична особа""
,
VLOOKUP"&amp;"(H3140,IMPORTRANGE(""https://docs.google.com/spreadsheets/d/14Bd19lYaqBhU8_DElYkX7l4wRkHqqCUFNJY4AfY3kHU/edit?usp=sharing  #gid=0"",""фіз особи new!relations_name_uo""),7,FALSE)
,
)
))"),"ТИМЧЕНКО / МАКАРОВА Віра В'ячеславівна")</f>
        <v>ТИМЧЕНКО / МАКАРОВА Віра В'ячеславівна</v>
      </c>
      <c r="J3139" s="7" t="s">
        <v>13</v>
      </c>
    </row>
    <row r="3140" spans="1:10" ht="13.2">
      <c r="A3140" s="7">
        <v>3139</v>
      </c>
      <c r="B3140" s="7">
        <v>1</v>
      </c>
      <c r="C3140" s="7" t="s">
        <v>10</v>
      </c>
      <c r="D3140" s="7">
        <v>896</v>
      </c>
      <c r="E3140" s="7" t="s">
        <v>14</v>
      </c>
      <c r="F3140" s="8" t="str">
        <f ca="1">IFERROR(__xludf.DUMMYFUNCTION("IF
(
C3141=""фізична особа""
,
VLOOKUP(D3141,IMPORTRANGE(""https://docs.google.com/spreadsheets/d/14Bd19lYaqBhU8_DElYkX7l4wRkHqqCUFNJY4AfY3kHU/edit?usp=sharing  #gid=0"",""фіз особи new!relations_name""),6,FALSE)
,
(IF
(
C3141=""юридична особа""
,
VLOOKUP"&amp;"(D3141,IMPORTRANGE(""https://docs.google.com/spreadsheets/d/14Bd19lYaqBhU8_DElYkX7l4wRkHqqCUFNJY4AfY3kHU/edit?usp=sharing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G3140" s="7" t="s">
        <v>10</v>
      </c>
      <c r="H3140" s="7">
        <v>4732</v>
      </c>
      <c r="I3140" s="8" t="str">
        <f ca="1">IFERROR(__xludf.DUMMYFUNCTION("IF
(
G3141=""фізична особа""
,
VLOOKUP(H3141,IMPORTRANGE(""https://docs.google.com/spreadsheets/d/14Bd19lYaqBhU8_DElYkX7l4wRkHqqCUFNJY4AfY3kHU/edit?usp=sharing  #gid=0"",""фіз особи new!relations_name""),6,FALSE)
,
(IF
(
G3141=""юридична особа""
,
VLOOKUP"&amp;"(H3141,IMPORTRANGE(""https://docs.google.com/spreadsheets/d/14Bd19lYaqBhU8_DElYkX7l4wRkHqqCUFNJY4AfY3kHU/edit?usp=sharing  #gid=0"",""фіз особи new!relations_name_uo""),7,FALSE)
,
)
))"),"ТІМЧЕНКО Марина Вячеславівна")</f>
        <v>ТІМЧЕНКО Марина Вячеславівна</v>
      </c>
      <c r="J3140" s="7" t="s">
        <v>15</v>
      </c>
    </row>
    <row r="3141" spans="1:10" ht="13.2">
      <c r="A3141" s="7">
        <v>3140</v>
      </c>
      <c r="B3141" s="7">
        <v>1</v>
      </c>
      <c r="C3141" s="7" t="s">
        <v>10</v>
      </c>
      <c r="D3141" s="7">
        <v>897</v>
      </c>
      <c r="E3141" s="7" t="s">
        <v>65</v>
      </c>
      <c r="F3141" s="8" t="str">
        <f ca="1">IFERROR(__xludf.DUMMYFUNCTION("IF
(
C3142=""фізична особа""
,
VLOOKUP(D3142,IMPORTRANGE(""https://docs.google.com/spreadsheets/d/14Bd19lYaqBhU8_DElYkX7l4wRkHqqCUFNJY4AfY3kHU/edit?usp=sharing  #gid=0"",""фіз особи new!relations_name""),6,FALSE)
,
(IF
(
C3142=""юридична особа""
,
VLOOKUP"&amp;"(D3142,IMPORTRANGE(""https://docs.google.com/spreadsheets/d/14Bd19lYaqBhU8_DElYkX7l4wRkHqqCUFNJY4AfY3kHU/edit?usp=sharing  #gid=0"",""фіз особи new!relations_name_uo""),7,FALSE)
,
)
))"),"ФОМІЧОВ В'ячеслав Васильович")</f>
        <v>ФОМІЧОВ В'ячеслав Васильович</v>
      </c>
      <c r="G3141" s="7" t="s">
        <v>10</v>
      </c>
      <c r="H3141" s="7">
        <v>0</v>
      </c>
      <c r="I3141" s="8" t="str">
        <f ca="1">IFERROR(__xludf.DUMMYFUNCTION("IF
(
G3142=""фізична особа""
,
VLOOKUP(H3142,IMPORTRANGE(""https://docs.google.com/spreadsheets/d/14Bd19lYaqBhU8_DElYkX7l4wRkHqqCUFNJY4AfY3kHU/edit?usp=sharing  #gid=0"",""фіз особи new!relations_name""),6,FALSE)
,
(IF
(
G3142=""юридична особа""
,
VLOOKUP"&amp;"(H3142,IMPORTRANGE(""https://docs.google.com/spreadsheets/d/14Bd19lYaqBhU8_DElYkX7l4wRkHqqCUFNJY4AfY3kHU/edit?usp=sharing  #gid=0"",""фіз особи new!relations_name_uo""),7,FALSE)
,
)
))"),"#N/A")</f>
        <v>#N/A</v>
      </c>
      <c r="J3141" s="7" t="s">
        <v>65</v>
      </c>
    </row>
    <row r="3142" spans="1:10" ht="13.2">
      <c r="A3142" s="7">
        <v>3141</v>
      </c>
      <c r="B3142" s="7">
        <v>1</v>
      </c>
      <c r="C3142" s="7" t="s">
        <v>10</v>
      </c>
      <c r="D3142" s="7">
        <v>897</v>
      </c>
      <c r="E3142" s="7" t="s">
        <v>65</v>
      </c>
      <c r="F3142" s="8" t="str">
        <f ca="1">IFERROR(__xludf.DUMMYFUNCTION("IF
(
C3143=""фізична особа""
,
VLOOKUP(D3143,IMPORTRANGE(""https://docs.google.com/spreadsheets/d/14Bd19lYaqBhU8_DElYkX7l4wRkHqqCUFNJY4AfY3kHU/edit?usp=sharing  #gid=0"",""фіз особи new!relations_name""),6,FALSE)
,
(IF
(
C3143=""юридична особа""
,
VLOOKUP"&amp;"(D3143,IMPORTRANGE(""https://docs.google.com/spreadsheets/d/14Bd19lYaqBhU8_DElYkX7l4wRkHqqCUFNJY4AfY3kHU/edit?usp=sharing  #gid=0"",""фіз особи new!relations_name_uo""),7,FALSE)
,
)
))"),"ФОМІЧОВ В'ячеслав Васильович")</f>
        <v>ФОМІЧОВ В'ячеслав Васильович</v>
      </c>
      <c r="G3142" s="7" t="s">
        <v>10</v>
      </c>
      <c r="H3142" s="7">
        <v>0</v>
      </c>
      <c r="I3142" s="8" t="str">
        <f ca="1">IFERROR(__xludf.DUMMYFUNCTION("IF
(
G3143=""фізична особа""
,
VLOOKUP(H3143,IMPORTRANGE(""https://docs.google.com/spreadsheets/d/14Bd19lYaqBhU8_DElYkX7l4wRkHqqCUFNJY4AfY3kHU/edit?usp=sharing  #gid=0"",""фіз особи new!relations_name""),6,FALSE)
,
(IF
(
G3143=""юридична особа""
,
VLOOKUP"&amp;"(H3143,IMPORTRANGE(""https://docs.google.com/spreadsheets/d/14Bd19lYaqBhU8_DElYkX7l4wRkHqqCUFNJY4AfY3kHU/edit?usp=sharing  #gid=0"",""фіз особи new!relations_name_uo""),7,FALSE)
,
)
))"),"#N/A")</f>
        <v>#N/A</v>
      </c>
      <c r="J3142" s="7" t="s">
        <v>65</v>
      </c>
    </row>
    <row r="3143" spans="1:10" ht="13.2">
      <c r="A3143" s="7">
        <v>3142</v>
      </c>
      <c r="B3143" s="7">
        <v>1</v>
      </c>
      <c r="C3143" s="7" t="s">
        <v>10</v>
      </c>
      <c r="D3143" s="7">
        <v>897</v>
      </c>
      <c r="E3143" s="7" t="s">
        <v>11</v>
      </c>
      <c r="F3143" s="8" t="str">
        <f ca="1">IFERROR(__xludf.DUMMYFUNCTION("IF
(
C3144=""фізична особа""
,
VLOOKUP(D3144,IMPORTRANGE(""https://docs.google.com/spreadsheets/d/14Bd19lYaqBhU8_DElYkX7l4wRkHqqCUFNJY4AfY3kHU/edit?usp=sharing  #gid=0"",""фіз особи new!relations_name""),6,FALSE)
,
(IF
(
C3144=""юридична особа""
,
VLOOKUP"&amp;"(D3144,IMPORTRANGE(""https://docs.google.com/spreadsheets/d/14Bd19lYaqBhU8_DElYkX7l4wRkHqqCUFNJY4AfY3kHU/edit?usp=sharing  #gid=0"",""фіз особи new!relations_name_uo""),7,FALSE)
,
)
))"),"ФОМІЧОВ В'ячеслав Васильович")</f>
        <v>ФОМІЧОВ В'ячеслав Васильович</v>
      </c>
      <c r="G3143" s="7" t="s">
        <v>10</v>
      </c>
      <c r="H3143" s="7">
        <v>13114</v>
      </c>
      <c r="I3143" s="8" t="str">
        <f ca="1">IFERROR(__xludf.DUMMYFUNCTION("IF
(
G3144=""фізична особа""
,
VLOOKUP(H3144,IMPORTRANGE(""https://docs.google.com/spreadsheets/d/14Bd19lYaqBhU8_DElYkX7l4wRkHqqCUFNJY4AfY3kHU/edit?usp=sharing  #gid=0"",""фіз особи new!relations_name""),6,FALSE)
,
(IF
(
G3144=""юридична особа""
,
VLOOKUP"&amp;"(H3144,IMPORTRANGE(""https://docs.google.com/spreadsheets/d/14Bd19lYaqBhU8_DElYkX7l4wRkHqqCUFNJY4AfY3kHU/edit?usp=sharing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3143" s="7" t="s">
        <v>11</v>
      </c>
    </row>
    <row r="3144" spans="1:10" ht="13.2">
      <c r="A3144" s="7">
        <v>3143</v>
      </c>
      <c r="B3144" s="7">
        <v>1</v>
      </c>
      <c r="C3144" s="7" t="s">
        <v>10</v>
      </c>
      <c r="D3144" s="7">
        <v>898</v>
      </c>
      <c r="E3144" s="7" t="s">
        <v>59</v>
      </c>
      <c r="F3144" s="8" t="str">
        <f ca="1">IFERROR(__xludf.DUMMYFUNCTION("IF
(
C3145=""фізична особа""
,
VLOOKUP(D3145,IMPORTRANGE(""https://docs.google.com/spreadsheets/d/14Bd19lYaqBhU8_DElYkX7l4wRkHqqCUFNJY4AfY3kHU/edit?usp=sharing  #gid=0"",""фіз особи new!relations_name""),6,FALSE)
,
(IF
(
C3145=""юридична особа""
,
VLOOKUP"&amp;"(D3145,IMPORTRANGE(""https://docs.google.com/spreadsheets/d/14Bd19lYaqBhU8_DElYkX7l4wRkHqqCUFNJY4AfY3kHU/edit?usp=sharing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4" s="7" t="s">
        <v>10</v>
      </c>
      <c r="H3144" s="7">
        <v>0</v>
      </c>
      <c r="I3144" s="8" t="str">
        <f ca="1">IFERROR(__xludf.DUMMYFUNCTION("IF
(
G3145=""фізична особа""
,
VLOOKUP(H3145,IMPORTRANGE(""https://docs.google.com/spreadsheets/d/14Bd19lYaqBhU8_DElYkX7l4wRkHqqCUFNJY4AfY3kHU/edit?usp=sharing  #gid=0"",""фіз особи new!relations_name""),6,FALSE)
,
(IF
(
G3145=""юридична особа""
,
VLOOKUP"&amp;"(H3145,IMPORTRANGE(""https://docs.google.com/spreadsheets/d/14Bd19lYaqBhU8_DElYkX7l4wRkHqqCUFNJY4AfY3kHU/edit?usp=sharing  #gid=0"",""фіз особи new!relations_name_uo""),7,FALSE)
,
)
))"),"#N/A")</f>
        <v>#N/A</v>
      </c>
      <c r="J3144" s="7" t="s">
        <v>61</v>
      </c>
    </row>
    <row r="3145" spans="1:10" ht="13.2">
      <c r="A3145" s="7">
        <v>3144</v>
      </c>
      <c r="B3145" s="7">
        <v>1</v>
      </c>
      <c r="C3145" s="7" t="s">
        <v>10</v>
      </c>
      <c r="D3145" s="7">
        <v>898</v>
      </c>
      <c r="E3145" s="7" t="s">
        <v>24</v>
      </c>
      <c r="F3145" s="8" t="str">
        <f ca="1">IFERROR(__xludf.DUMMYFUNCTION("IF
(
C3146=""фізична особа""
,
VLOOKUP(D3146,IMPORTRANGE(""https://docs.google.com/spreadsheets/d/14Bd19lYaqBhU8_DElYkX7l4wRkHqqCUFNJY4AfY3kHU/edit?usp=sharing  #gid=0"",""фіз особи new!relations_name""),6,FALSE)
,
(IF
(
C3146=""юридична особа""
,
VLOOKUP"&amp;"(D3146,IMPORTRANGE(""https://docs.google.com/spreadsheets/d/14Bd19lYaqBhU8_DElYkX7l4wRkHqqCUFNJY4AfY3kHU/edit?usp=sharing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5" s="7" t="s">
        <v>10</v>
      </c>
      <c r="H3145" s="7">
        <v>0</v>
      </c>
      <c r="I3145" s="8" t="str">
        <f ca="1">IFERROR(__xludf.DUMMYFUNCTION("IF
(
G3146=""фізична особа""
,
VLOOKUP(H3146,IMPORTRANGE(""https://docs.google.com/spreadsheets/d/14Bd19lYaqBhU8_DElYkX7l4wRkHqqCUFNJY4AfY3kHU/edit?usp=sharing  #gid=0"",""фіз особи new!relations_name""),6,FALSE)
,
(IF
(
G3146=""юридична особа""
,
VLOOKUP"&amp;"(H3146,IMPORTRANGE(""https://docs.google.com/spreadsheets/d/14Bd19lYaqBhU8_DElYkX7l4wRkHqqCUFNJY4AfY3kHU/edit?usp=sharing  #gid=0"",""фіз особи new!relations_name_uo""),7,FALSE)
,
)
))"),"#N/A")</f>
        <v>#N/A</v>
      </c>
      <c r="J3145" s="7" t="s">
        <v>26</v>
      </c>
    </row>
    <row r="3146" spans="1:10" ht="13.2">
      <c r="A3146" s="7">
        <v>3145</v>
      </c>
      <c r="B3146" s="7">
        <v>1</v>
      </c>
      <c r="C3146" s="7" t="s">
        <v>10</v>
      </c>
      <c r="D3146" s="7">
        <v>898</v>
      </c>
      <c r="E3146" s="7" t="s">
        <v>14</v>
      </c>
      <c r="F3146" s="8" t="str">
        <f ca="1">IFERROR(__xludf.DUMMYFUNCTION("IF
(
C3147=""фізична особа""
,
VLOOKUP(D3147,IMPORTRANGE(""https://docs.google.com/spreadsheets/d/14Bd19lYaqBhU8_DElYkX7l4wRkHqqCUFNJY4AfY3kHU/edit?usp=sharing  #gid=0"",""фіз особи new!relations_name""),6,FALSE)
,
(IF
(
C3147=""юридична особа""
,
VLOOKUP"&amp;"(D3147,IMPORTRANGE(""https://docs.google.com/spreadsheets/d/14Bd19lYaqBhU8_DElYkX7l4wRkHqqCUFNJY4AfY3kHU/edit?usp=sharing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6" s="7" t="s">
        <v>10</v>
      </c>
      <c r="H3146" s="7">
        <v>8647</v>
      </c>
      <c r="I3146" s="8" t="str">
        <f ca="1">IFERROR(__xludf.DUMMYFUNCTION("IF
(
G3147=""фізична особа""
,
VLOOKUP(H3147,IMPORTRANGE(""https://docs.google.com/spreadsheets/d/14Bd19lYaqBhU8_DElYkX7l4wRkHqqCUFNJY4AfY3kHU/edit?usp=sharing  #gid=0"",""фіз особи new!relations_name""),6,FALSE)
,
(IF
(
G3147=""юридична особа""
,
VLOOKUP"&amp;"(H3147,IMPORTRANGE(""https://docs.google.com/spreadsheets/d/14Bd19lYaqBhU8_DElYkX7l4wRkHqqCUFNJY4AfY3kHU/edit?usp=sharing  #gid=0"",""фіз особи new!relations_name_uo""),7,FALSE)
,
)
))"),"НАГОВІЦИНА Ніна Володимирівна")</f>
        <v>НАГОВІЦИНА Ніна Володимирівна</v>
      </c>
      <c r="J3146" s="7" t="s">
        <v>15</v>
      </c>
    </row>
    <row r="3147" spans="1:10" ht="13.2">
      <c r="A3147" s="7">
        <v>3146</v>
      </c>
      <c r="B3147" s="7">
        <v>1</v>
      </c>
      <c r="C3147" s="7" t="s">
        <v>10</v>
      </c>
      <c r="D3147" s="7">
        <v>898</v>
      </c>
      <c r="E3147" s="7" t="s">
        <v>12</v>
      </c>
      <c r="F3147" s="8" t="str">
        <f ca="1">IFERROR(__xludf.DUMMYFUNCTION("IF
(
C3148=""фізична особа""
,
VLOOKUP(D3148,IMPORTRANGE(""https://docs.google.com/spreadsheets/d/14Bd19lYaqBhU8_DElYkX7l4wRkHqqCUFNJY4AfY3kHU/edit?usp=sharing  #gid=0"",""фіз особи new!relations_name""),6,FALSE)
,
(IF
(
C3148=""юридична особа""
,
VLOOKUP"&amp;"(D3148,IMPORTRANGE(""https://docs.google.com/spreadsheets/d/14Bd19lYaqBhU8_DElYkX7l4wRkHqqCUFNJY4AfY3kHU/edit?usp=sharing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7" s="7" t="s">
        <v>10</v>
      </c>
      <c r="H3147" s="7">
        <v>23458</v>
      </c>
      <c r="I3147" s="8" t="str">
        <f ca="1">IFERROR(__xludf.DUMMYFUNCTION("IF
(
G3148=""фізична особа""
,
VLOOKUP(H3148,IMPORTRANGE(""https://docs.google.com/spreadsheets/d/14Bd19lYaqBhU8_DElYkX7l4wRkHqqCUFNJY4AfY3kHU/edit?usp=sharing  #gid=0"",""фіз особи new!relations_name""),6,FALSE)
,
(IF
(
G3148=""юридична особа""
,
VLOOKUP"&amp;"(H3148,IMPORTRANGE(""https://docs.google.com/spreadsheets/d/14Bd19lYaqBhU8_DElYkX7l4wRkHqqCUFNJY4AfY3kHU/edit?usp=sharing  #gid=0"",""фіз особи new!relations_name_uo""),7,FALSE)
,
)
))"),"НАГОВІЦИН Костянтин В'ячеславович")</f>
        <v>НАГОВІЦИН Костянтин В'ячеславович</v>
      </c>
      <c r="J3147" s="7" t="s">
        <v>17</v>
      </c>
    </row>
    <row r="3148" spans="1:10" ht="13.2">
      <c r="A3148" s="7">
        <v>3147</v>
      </c>
      <c r="B3148" s="7">
        <v>1</v>
      </c>
      <c r="C3148" s="7" t="s">
        <v>10</v>
      </c>
      <c r="D3148" s="7">
        <v>898</v>
      </c>
      <c r="E3148" s="7" t="s">
        <v>12</v>
      </c>
      <c r="F3148" s="8" t="str">
        <f ca="1">IFERROR(__xludf.DUMMYFUNCTION("IF
(
C3149=""фізична особа""
,
VLOOKUP(D3149,IMPORTRANGE(""https://docs.google.com/spreadsheets/d/14Bd19lYaqBhU8_DElYkX7l4wRkHqqCUFNJY4AfY3kHU/edit?usp=sharing  #gid=0"",""фіз особи new!relations_name""),6,FALSE)
,
(IF
(
C3149=""юридична особа""
,
VLOOKUP"&amp;"(D3149,IMPORTRANGE(""https://docs.google.com/spreadsheets/d/14Bd19lYaqBhU8_DElYkX7l4wRkHqqCUFNJY4AfY3kHU/edit?usp=sharing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8" s="7" t="s">
        <v>10</v>
      </c>
      <c r="H3148" s="7">
        <v>0</v>
      </c>
      <c r="I3148" s="8" t="str">
        <f ca="1">IFERROR(__xludf.DUMMYFUNCTION("IF
(
G3149=""фізична особа""
,
VLOOKUP(H3149,IMPORTRANGE(""https://docs.google.com/spreadsheets/d/14Bd19lYaqBhU8_DElYkX7l4wRkHqqCUFNJY4AfY3kHU/edit?usp=sharing  #gid=0"",""фіз особи new!relations_name""),6,FALSE)
,
(IF
(
G3149=""юридична особа""
,
VLOOKUP"&amp;"(H3149,IMPORTRANGE(""https://docs.google.com/spreadsheets/d/14Bd19lYaqBhU8_DElYkX7l4wRkHqqCUFNJY4AfY3kHU/edit?usp=sharing  #gid=0"",""фіз особи new!relations_name_uo""),7,FALSE)
,
)
))"),"#N/A")</f>
        <v>#N/A</v>
      </c>
      <c r="J3148" s="7" t="s">
        <v>17</v>
      </c>
    </row>
    <row r="3149" spans="1:10" ht="13.2">
      <c r="A3149" s="7">
        <v>3148</v>
      </c>
      <c r="B3149" s="7">
        <v>1</v>
      </c>
      <c r="C3149" s="7" t="s">
        <v>10</v>
      </c>
      <c r="D3149" s="7">
        <v>898</v>
      </c>
      <c r="E3149" s="7" t="s">
        <v>12</v>
      </c>
      <c r="F3149" s="8" t="str">
        <f ca="1">IFERROR(__xludf.DUMMYFUNCTION("IF
(
C3150=""фізична особа""
,
VLOOKUP(D3150,IMPORTRANGE(""https://docs.google.com/spreadsheets/d/14Bd19lYaqBhU8_DElYkX7l4wRkHqqCUFNJY4AfY3kHU/edit?usp=sharing  #gid=0"",""фіз особи new!relations_name""),6,FALSE)
,
(IF
(
C3150=""юридична особа""
,
VLOOKUP"&amp;"(D3150,IMPORTRANGE(""https://docs.google.com/spreadsheets/d/14Bd19lYaqBhU8_DElYkX7l4wRkHqqCUFNJY4AfY3kHU/edit?usp=sharing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49" s="7" t="s">
        <v>10</v>
      </c>
      <c r="H3149" s="7">
        <v>0</v>
      </c>
      <c r="I3149" s="8" t="str">
        <f ca="1">IFERROR(__xludf.DUMMYFUNCTION("IF
(
G3150=""фізична особа""
,
VLOOKUP(H3150,IMPORTRANGE(""https://docs.google.com/spreadsheets/d/14Bd19lYaqBhU8_DElYkX7l4wRkHqqCUFNJY4AfY3kHU/edit?usp=sharing  #gid=0"",""фіз особи new!relations_name""),6,FALSE)
,
(IF
(
G3150=""юридична особа""
,
VLOOKUP"&amp;"(H3150,IMPORTRANGE(""https://docs.google.com/spreadsheets/d/14Bd19lYaqBhU8_DElYkX7l4wRkHqqCUFNJY4AfY3kHU/edit?usp=sharing  #gid=0"",""фіз особи new!relations_name_uo""),7,FALSE)
,
)
))"),"#N/A")</f>
        <v>#N/A</v>
      </c>
      <c r="J3149" s="7" t="s">
        <v>13</v>
      </c>
    </row>
    <row r="3150" spans="1:10" ht="13.2">
      <c r="A3150" s="7">
        <v>3149</v>
      </c>
      <c r="B3150" s="7">
        <v>1</v>
      </c>
      <c r="C3150" s="7" t="s">
        <v>10</v>
      </c>
      <c r="D3150" s="7">
        <v>898</v>
      </c>
      <c r="E3150" s="7" t="s">
        <v>34</v>
      </c>
      <c r="F3150" s="8" t="str">
        <f ca="1">IFERROR(__xludf.DUMMYFUNCTION("IF
(
C3151=""фізична особа""
,
VLOOKUP(D3151,IMPORTRANGE(""https://docs.google.com/spreadsheets/d/14Bd19lYaqBhU8_DElYkX7l4wRkHqqCUFNJY4AfY3kHU/edit?usp=sharing  #gid=0"",""фіз особи new!relations_name""),6,FALSE)
,
(IF
(
C3151=""юридична особа""
,
VLOOKUP"&amp;"(D3151,IMPORTRANGE(""https://docs.google.com/spreadsheets/d/14Bd19lYaqBhU8_DElYkX7l4wRkHqqCUFNJY4AfY3kHU/edit?usp=sharing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G3150" s="7" t="s">
        <v>10</v>
      </c>
      <c r="H3150" s="7">
        <v>0</v>
      </c>
      <c r="I3150" s="8" t="str">
        <f ca="1">IFERROR(__xludf.DUMMYFUNCTION("IF
(
G3151=""фізична особа""
,
VLOOKUP(H3151,IMPORTRANGE(""https://docs.google.com/spreadsheets/d/14Bd19lYaqBhU8_DElYkX7l4wRkHqqCUFNJY4AfY3kHU/edit?usp=sharing  #gid=0"",""фіз особи new!relations_name""),6,FALSE)
,
(IF
(
G3151=""юридична особа""
,
VLOOKUP"&amp;"(H3151,IMPORTRANGE(""https://docs.google.com/spreadsheets/d/14Bd19lYaqBhU8_DElYkX7l4wRkHqqCUFNJY4AfY3kHU/edit?usp=sharing  #gid=0"",""фіз особи new!relations_name_uo""),7,FALSE)
,
)
))"),"#N/A")</f>
        <v>#N/A</v>
      </c>
      <c r="J3150" s="7" t="s">
        <v>25</v>
      </c>
    </row>
    <row r="3151" spans="1:10" ht="13.2">
      <c r="A3151" s="7">
        <v>3150</v>
      </c>
      <c r="B3151" s="7">
        <v>1</v>
      </c>
      <c r="C3151" s="7" t="s">
        <v>10</v>
      </c>
      <c r="D3151" s="7">
        <v>899</v>
      </c>
      <c r="E3151" s="7" t="s">
        <v>65</v>
      </c>
      <c r="F3151" s="8" t="str">
        <f ca="1">IFERROR(__xludf.DUMMYFUNCTION("IF
(
C3152=""фізична особа""
,
VLOOKUP(D3152,IMPORTRANGE(""https://docs.google.com/spreadsheets/d/14Bd19lYaqBhU8_DElYkX7l4wRkHqqCUFNJY4AfY3kHU/edit?usp=sharing  #gid=0"",""фіз особи new!relations_name""),6,FALSE)
,
(IF
(
C3152=""юридична особа""
,
VLOOKUP"&amp;"(D3152,IMPORTRANGE(""https://docs.google.com/spreadsheets/d/14Bd19lYaqBhU8_DElYkX7l4wRkHqqCUFNJY4AfY3kHU/edit?usp=sharing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1" s="7" t="s">
        <v>10</v>
      </c>
      <c r="H3151" s="7">
        <v>23459</v>
      </c>
      <c r="I3151" s="8" t="str">
        <f ca="1">IFERROR(__xludf.DUMMYFUNCTION("IF
(
G3152=""фізична особа""
,
VLOOKUP(H3152,IMPORTRANGE(""https://docs.google.com/spreadsheets/d/14Bd19lYaqBhU8_DElYkX7l4wRkHqqCUFNJY4AfY3kHU/edit?usp=sharing  #gid=0"",""фіз особи new!relations_name""),6,FALSE)
,
(IF
(
G3152=""юридична особа""
,
VLOOKUP"&amp;"(H3152,IMPORTRANGE(""https://docs.google.com/spreadsheets/d/14Bd19lYaqBhU8_DElYkX7l4wRkHqqCUFNJY4AfY3kHU/edit?usp=sharing  #gid=0"",""фіз особи new!relations_name_uo""),7,FALSE)
,
)
))"),"КІСТАНОВА Ніна Юріївна")</f>
        <v>КІСТАНОВА Ніна Юріївна</v>
      </c>
      <c r="J3151" s="7" t="s">
        <v>65</v>
      </c>
    </row>
    <row r="3152" spans="1:10" ht="13.2">
      <c r="A3152" s="7">
        <v>3151</v>
      </c>
      <c r="B3152" s="7">
        <v>1</v>
      </c>
      <c r="C3152" s="7" t="s">
        <v>10</v>
      </c>
      <c r="D3152" s="7">
        <v>899</v>
      </c>
      <c r="E3152" s="7" t="s">
        <v>48</v>
      </c>
      <c r="F3152" s="8" t="str">
        <f ca="1">IFERROR(__xludf.DUMMYFUNCTION("IF
(
C3153=""фізична особа""
,
VLOOKUP(D3153,IMPORTRANGE(""https://docs.google.com/spreadsheets/d/14Bd19lYaqBhU8_DElYkX7l4wRkHqqCUFNJY4AfY3kHU/edit?usp=sharing  #gid=0"",""фіз особи new!relations_name""),6,FALSE)
,
(IF
(
C3153=""юридична особа""
,
VLOOKUP"&amp;"(D3153,IMPORTRANGE(""https://docs.google.com/spreadsheets/d/14Bd19lYaqBhU8_DElYkX7l4wRkHqqCUFNJY4AfY3kHU/edit?usp=sharing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2" s="7" t="s">
        <v>10</v>
      </c>
      <c r="H3152" s="7">
        <v>23440</v>
      </c>
      <c r="I3152" s="8" t="str">
        <f ca="1">IFERROR(__xludf.DUMMYFUNCTION("IF
(
G3153=""фізична особа""
,
VLOOKUP(H3153,IMPORTRANGE(""https://docs.google.com/spreadsheets/d/14Bd19lYaqBhU8_DElYkX7l4wRkHqqCUFNJY4AfY3kHU/edit?usp=sharing  #gid=0"",""фіз особи new!relations_name""),6,FALSE)
,
(IF
(
G3153=""юридична особа""
,
VLOOKUP"&amp;"(H3153,IMPORTRANGE(""https://docs.google.com/spreadsheets/d/14Bd19lYaqBhU8_DElYkX7l4wRkHqqCUFNJY4AfY3kHU/edit?usp=sharing  #gid=0"",""фіз особи new!relations_name_uo""),7,FALSE)
,
)
))"),"КРОТОВ Андрій Владиславович")</f>
        <v>КРОТОВ Андрій Владиславович</v>
      </c>
      <c r="J3152" s="7" t="s">
        <v>48</v>
      </c>
    </row>
    <row r="3153" spans="1:10" ht="13.2">
      <c r="A3153" s="7">
        <v>3152</v>
      </c>
      <c r="B3153" s="7">
        <v>1</v>
      </c>
      <c r="C3153" s="7" t="s">
        <v>10</v>
      </c>
      <c r="D3153" s="7">
        <v>899</v>
      </c>
      <c r="E3153" s="7" t="s">
        <v>42</v>
      </c>
      <c r="F3153" s="8" t="str">
        <f ca="1">IFERROR(__xludf.DUMMYFUNCTION("IF
(
C3154=""фізична особа""
,
VLOOKUP(D3154,IMPORTRANGE(""https://docs.google.com/spreadsheets/d/14Bd19lYaqBhU8_DElYkX7l4wRkHqqCUFNJY4AfY3kHU/edit?usp=sharing  #gid=0"",""фіз особи new!relations_name""),6,FALSE)
,
(IF
(
C3154=""юридична особа""
,
VLOOKUP"&amp;"(D3154,IMPORTRANGE(""https://docs.google.com/spreadsheets/d/14Bd19lYaqBhU8_DElYkX7l4wRkHqqCUFNJY4AfY3kHU/edit?usp=sharing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3" s="7" t="s">
        <v>10</v>
      </c>
      <c r="H3153" s="7">
        <v>23460</v>
      </c>
      <c r="I3153" s="8" t="str">
        <f ca="1">IFERROR(__xludf.DUMMYFUNCTION("IF
(
G3154=""фізична особа""
,
VLOOKUP(H3154,IMPORTRANGE(""https://docs.google.com/spreadsheets/d/14Bd19lYaqBhU8_DElYkX7l4wRkHqqCUFNJY4AfY3kHU/edit?usp=sharing  #gid=0"",""фіз особи new!relations_name""),6,FALSE)
,
(IF
(
G3154=""юридична особа""
,
VLOOKUP"&amp;"(H3154,IMPORTRANGE(""https://docs.google.com/spreadsheets/d/14Bd19lYaqBhU8_DElYkX7l4wRkHqqCUFNJY4AfY3kHU/edit?usp=sharing  #gid=0"",""фіз особи new!relations_name_uo""),7,FALSE)
,
)
))"),"ВОЛОДІНА Вікторія Анатоліївна")</f>
        <v>ВОЛОДІНА Вікторія Анатоліївна</v>
      </c>
      <c r="J3153" s="7" t="s">
        <v>43</v>
      </c>
    </row>
    <row r="3154" spans="1:10" ht="13.2">
      <c r="A3154" s="7">
        <v>3153</v>
      </c>
      <c r="B3154" s="7">
        <v>1</v>
      </c>
      <c r="C3154" s="7" t="s">
        <v>10</v>
      </c>
      <c r="D3154" s="7">
        <v>899</v>
      </c>
      <c r="E3154" s="7" t="s">
        <v>41</v>
      </c>
      <c r="F3154" s="8" t="str">
        <f ca="1">IFERROR(__xludf.DUMMYFUNCTION("IF
(
C3155=""фізична особа""
,
VLOOKUP(D3155,IMPORTRANGE(""https://docs.google.com/spreadsheets/d/14Bd19lYaqBhU8_DElYkX7l4wRkHqqCUFNJY4AfY3kHU/edit?usp=sharing  #gid=0"",""фіз особи new!relations_name""),6,FALSE)
,
(IF
(
C3155=""юридична особа""
,
VLOOKUP"&amp;"(D3155,IMPORTRANGE(""https://docs.google.com/spreadsheets/d/14Bd19lYaqBhU8_DElYkX7l4wRkHqqCUFNJY4AfY3kHU/edit?usp=sharing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4" s="7" t="s">
        <v>10</v>
      </c>
      <c r="H3154" s="7">
        <v>0</v>
      </c>
      <c r="I3154" s="8" t="str">
        <f ca="1">IFERROR(__xludf.DUMMYFUNCTION("IF
(
G3155=""фізична особа""
,
VLOOKUP(H3155,IMPORTRANGE(""https://docs.google.com/spreadsheets/d/14Bd19lYaqBhU8_DElYkX7l4wRkHqqCUFNJY4AfY3kHU/edit?usp=sharing  #gid=0"",""фіз особи new!relations_name""),6,FALSE)
,
(IF
(
G3155=""юридична особа""
,
VLOOKUP"&amp;"(H3155,IMPORTRANGE(""https://docs.google.com/spreadsheets/d/14Bd19lYaqBhU8_DElYkX7l4wRkHqqCUFNJY4AfY3kHU/edit?usp=sharing  #gid=0"",""фіз особи new!relations_name_uo""),7,FALSE)
,
)
))"),"#N/A")</f>
        <v>#N/A</v>
      </c>
      <c r="J3154" s="7" t="s">
        <v>40</v>
      </c>
    </row>
    <row r="3155" spans="1:10" ht="13.2">
      <c r="A3155" s="7">
        <v>3154</v>
      </c>
      <c r="B3155" s="7">
        <v>1</v>
      </c>
      <c r="C3155" s="7" t="s">
        <v>10</v>
      </c>
      <c r="D3155" s="7">
        <v>899</v>
      </c>
      <c r="E3155" s="7" t="s">
        <v>48</v>
      </c>
      <c r="F3155" s="8" t="str">
        <f ca="1">IFERROR(__xludf.DUMMYFUNCTION("IF
(
C3156=""фізична особа""
,
VLOOKUP(D3156,IMPORTRANGE(""https://docs.google.com/spreadsheets/d/14Bd19lYaqBhU8_DElYkX7l4wRkHqqCUFNJY4AfY3kHU/edit?usp=sharing  #gid=0"",""фіз особи new!relations_name""),6,FALSE)
,
(IF
(
C3156=""юридична особа""
,
VLOOKUP"&amp;"(D3156,IMPORTRANGE(""https://docs.google.com/spreadsheets/d/14Bd19lYaqBhU8_DElYkX7l4wRkHqqCUFNJY4AfY3kHU/edit?usp=sharing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5" s="7" t="s">
        <v>10</v>
      </c>
      <c r="H3155" s="7">
        <v>3179</v>
      </c>
      <c r="I3155" s="8" t="str">
        <f ca="1">IFERROR(__xludf.DUMMYFUNCTION("IF
(
G3156=""фізична особа""
,
VLOOKUP(H3156,IMPORTRANGE(""https://docs.google.com/spreadsheets/d/14Bd19lYaqBhU8_DElYkX7l4wRkHqqCUFNJY4AfY3kHU/edit?usp=sharing  #gid=0"",""фіз особи new!relations_name""),6,FALSE)
,
(IF
(
G3156=""юридична особа""
,
VLOOKUP"&amp;"(H3156,IMPORTRANGE(""https://docs.google.com/spreadsheets/d/14Bd19lYaqBhU8_DElYkX7l4wRkHqqCUFNJY4AfY3kHU/edit?usp=sharing  #gid=0"",""фіз особи new!relations_name_uo""),7,FALSE)
,
)
))"),"ЛОПАТІН Антон Ігорович")</f>
        <v>ЛОПАТІН Антон Ігорович</v>
      </c>
      <c r="J3155" s="7" t="s">
        <v>48</v>
      </c>
    </row>
    <row r="3156" spans="1:10" ht="13.2">
      <c r="A3156" s="7">
        <v>3155</v>
      </c>
      <c r="B3156" s="7">
        <v>1</v>
      </c>
      <c r="C3156" s="7" t="s">
        <v>10</v>
      </c>
      <c r="D3156" s="7">
        <v>899</v>
      </c>
      <c r="E3156" s="7" t="s">
        <v>29</v>
      </c>
      <c r="F3156" s="8" t="str">
        <f ca="1">IFERROR(__xludf.DUMMYFUNCTION("IF
(
C3157=""фізична особа""
,
VLOOKUP(D3157,IMPORTRANGE(""https://docs.google.com/spreadsheets/d/14Bd19lYaqBhU8_DElYkX7l4wRkHqqCUFNJY4AfY3kHU/edit?usp=sharing  #gid=0"",""фіз особи new!relations_name""),6,FALSE)
,
(IF
(
C3157=""юридична особа""
,
VLOOKUP"&amp;"(D3157,IMPORTRANGE(""https://docs.google.com/spreadsheets/d/14Bd19lYaqBhU8_DElYkX7l4wRkHqqCUFNJY4AfY3kHU/edit?usp=sharing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6" s="7" t="s">
        <v>10</v>
      </c>
      <c r="H3156" s="7">
        <v>0</v>
      </c>
      <c r="I3156" s="8" t="str">
        <f ca="1">IFERROR(__xludf.DUMMYFUNCTION("IF
(
G3157=""фізична особа""
,
VLOOKUP(H3157,IMPORTRANGE(""https://docs.google.com/spreadsheets/d/14Bd19lYaqBhU8_DElYkX7l4wRkHqqCUFNJY4AfY3kHU/edit?usp=sharing  #gid=0"",""фіз особи new!relations_name""),6,FALSE)
,
(IF
(
G3157=""юридична особа""
,
VLOOKUP"&amp;"(H3157,IMPORTRANGE(""https://docs.google.com/spreadsheets/d/14Bd19lYaqBhU8_DElYkX7l4wRkHqqCUFNJY4AfY3kHU/edit?usp=sharing  #gid=0"",""фіз особи new!relations_name_uo""),7,FALSE)
,
)
))"),"#N/A")</f>
        <v>#N/A</v>
      </c>
      <c r="J3156" s="7" t="s">
        <v>28</v>
      </c>
    </row>
    <row r="3157" spans="1:10" ht="13.2">
      <c r="A3157" s="7">
        <v>3156</v>
      </c>
      <c r="B3157" s="7">
        <v>1</v>
      </c>
      <c r="C3157" s="7" t="s">
        <v>10</v>
      </c>
      <c r="D3157" s="7">
        <v>899</v>
      </c>
      <c r="E3157" s="7" t="s">
        <v>48</v>
      </c>
      <c r="F3157" s="8" t="str">
        <f ca="1">IFERROR(__xludf.DUMMYFUNCTION("IF
(
C3158=""фізична особа""
,
VLOOKUP(D3158,IMPORTRANGE(""https://docs.google.com/spreadsheets/d/14Bd19lYaqBhU8_DElYkX7l4wRkHqqCUFNJY4AfY3kHU/edit?usp=sharing  #gid=0"",""фіз особи new!relations_name""),6,FALSE)
,
(IF
(
C3158=""юридична особа""
,
VLOOKUP"&amp;"(D3158,IMPORTRANGE(""https://docs.google.com/spreadsheets/d/14Bd19lYaqBhU8_DElYkX7l4wRkHqqCUFNJY4AfY3kHU/edit?usp=sharing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7" s="7" t="s">
        <v>10</v>
      </c>
      <c r="H3157" s="7">
        <v>524</v>
      </c>
      <c r="I3157" s="8" t="str">
        <f ca="1">IFERROR(__xludf.DUMMYFUNCTION("IF
(
G3158=""фізична особа""
,
VLOOKUP(H3158,IMPORTRANGE(""https://docs.google.com/spreadsheets/d/14Bd19lYaqBhU8_DElYkX7l4wRkHqqCUFNJY4AfY3kHU/edit?usp=sharing  #gid=0"",""фіз особи new!relations_name""),6,FALSE)
,
(IF
(
G3158=""юридична особа""
,
VLOOKUP"&amp;"(H3158,IMPORTRANGE(""https://docs.google.com/spreadsheets/d/14Bd19lYaqBhU8_DElYkX7l4wRkHqqCUFNJY4AfY3kHU/edit?usp=sharing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J3157" s="7" t="s">
        <v>48</v>
      </c>
    </row>
    <row r="3158" spans="1:10" ht="13.2">
      <c r="A3158" s="7">
        <v>3157</v>
      </c>
      <c r="B3158" s="7">
        <v>1</v>
      </c>
      <c r="C3158" s="7" t="s">
        <v>10</v>
      </c>
      <c r="D3158" s="7">
        <v>899</v>
      </c>
      <c r="E3158" s="7" t="s">
        <v>48</v>
      </c>
      <c r="F3158" s="8" t="str">
        <f ca="1">IFERROR(__xludf.DUMMYFUNCTION("IF
(
C3159=""фізична особа""
,
VLOOKUP(D3159,IMPORTRANGE(""https://docs.google.com/spreadsheets/d/14Bd19lYaqBhU8_DElYkX7l4wRkHqqCUFNJY4AfY3kHU/edit?usp=sharing  #gid=0"",""фіз особи new!relations_name""),6,FALSE)
,
(IF
(
C3159=""юридична особа""
,
VLOOKUP"&amp;"(D3159,IMPORTRANGE(""https://docs.google.com/spreadsheets/d/14Bd19lYaqBhU8_DElYkX7l4wRkHqqCUFNJY4AfY3kHU/edit?usp=sharing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8" s="7" t="s">
        <v>10</v>
      </c>
      <c r="H3158" s="7">
        <v>2383</v>
      </c>
      <c r="I3158" s="8" t="str">
        <f ca="1">IFERROR(__xludf.DUMMYFUNCTION("IF
(
G3159=""фізична особа""
,
VLOOKUP(H3159,IMPORTRANGE(""https://docs.google.com/spreadsheets/d/14Bd19lYaqBhU8_DElYkX7l4wRkHqqCUFNJY4AfY3kHU/edit?usp=sharing  #gid=0"",""фіз особи new!relations_name""),6,FALSE)
,
(IF
(
G3159=""юридична особа""
,
VLOOKUP"&amp;"(H3159,IMPORTRANGE(""https://docs.google.com/spreadsheets/d/14Bd19lYaqBhU8_DElYkX7l4wRkHqqCUFNJY4AfY3kHU/edit?usp=sharing  #gid=0"",""фіз особи new!relations_name_uo""),7,FALSE)
,
)
))"),"БАТАЛІНА Ольга Юріївна")</f>
        <v>БАТАЛІНА Ольга Юріївна</v>
      </c>
      <c r="J3158" s="7" t="s">
        <v>48</v>
      </c>
    </row>
    <row r="3159" spans="1:10" ht="13.2">
      <c r="A3159" s="7">
        <v>3158</v>
      </c>
      <c r="B3159" s="7">
        <v>1</v>
      </c>
      <c r="C3159" s="7" t="s">
        <v>10</v>
      </c>
      <c r="D3159" s="7">
        <v>899</v>
      </c>
      <c r="E3159" s="7" t="s">
        <v>29</v>
      </c>
      <c r="F3159" s="8" t="str">
        <f ca="1">IFERROR(__xludf.DUMMYFUNCTION("IF
(
C3160=""фізична особа""
,
VLOOKUP(D3160,IMPORTRANGE(""https://docs.google.com/spreadsheets/d/14Bd19lYaqBhU8_DElYkX7l4wRkHqqCUFNJY4AfY3kHU/edit?usp=sharing  #gid=0"",""фіз особи new!relations_name""),6,FALSE)
,
(IF
(
C3160=""юридична особа""
,
VLOOKUP"&amp;"(D3160,IMPORTRANGE(""https://docs.google.com/spreadsheets/d/14Bd19lYaqBhU8_DElYkX7l4wRkHqqCUFNJY4AfY3kHU/edit?usp=sharing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59" s="7" t="s">
        <v>10</v>
      </c>
      <c r="H3159" s="7">
        <v>12889</v>
      </c>
      <c r="I3159" s="8" t="str">
        <f ca="1">IFERROR(__xludf.DUMMYFUNCTION("IF
(
G3160=""фізична особа""
,
VLOOKUP(H3160,IMPORTRANGE(""https://docs.google.com/spreadsheets/d/14Bd19lYaqBhU8_DElYkX7l4wRkHqqCUFNJY4AfY3kHU/edit?usp=sharing  #gid=0"",""фіз особи new!relations_name""),6,FALSE)
,
(IF
(
G3160=""юридична особа""
,
VLOOKUP"&amp;"(H3160,IMPORTRANGE(""https://docs.google.com/spreadsheets/d/14Bd19lYaqBhU8_DElYkX7l4wRkHqqCUFNJY4AfY3kHU/edit?usp=sharing  #gid=0"",""фіз особи new!relations_name_uo""),7,FALSE)
,
)
))"),"КУЛИК Геннадій Васильович")</f>
        <v>КУЛИК Геннадій Васильович</v>
      </c>
      <c r="J3159" s="7" t="s">
        <v>28</v>
      </c>
    </row>
    <row r="3160" spans="1:10" ht="13.2">
      <c r="A3160" s="7">
        <v>3159</v>
      </c>
      <c r="B3160" s="7">
        <v>1</v>
      </c>
      <c r="C3160" s="7" t="s">
        <v>10</v>
      </c>
      <c r="D3160" s="7">
        <v>899</v>
      </c>
      <c r="E3160" s="7" t="s">
        <v>41</v>
      </c>
      <c r="F3160" s="8" t="str">
        <f ca="1">IFERROR(__xludf.DUMMYFUNCTION("IF
(
C3161=""фізична особа""
,
VLOOKUP(D3161,IMPORTRANGE(""https://docs.google.com/spreadsheets/d/14Bd19lYaqBhU8_DElYkX7l4wRkHqqCUFNJY4AfY3kHU/edit?usp=sharing  #gid=0"",""фіз особи new!relations_name""),6,FALSE)
,
(IF
(
C3161=""юридична особа""
,
VLOOKUP"&amp;"(D3161,IMPORTRANGE(""https://docs.google.com/spreadsheets/d/14Bd19lYaqBhU8_DElYkX7l4wRkHqqCUFNJY4AfY3kHU/edit?usp=sharing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0" s="7" t="s">
        <v>10</v>
      </c>
      <c r="H3160" s="7">
        <v>0</v>
      </c>
      <c r="I3160" s="8" t="str">
        <f ca="1">IFERROR(__xludf.DUMMYFUNCTION("IF
(
G3161=""фізична особа""
,
VLOOKUP(H3161,IMPORTRANGE(""https://docs.google.com/spreadsheets/d/14Bd19lYaqBhU8_DElYkX7l4wRkHqqCUFNJY4AfY3kHU/edit?usp=sharing  #gid=0"",""фіз особи new!relations_name""),6,FALSE)
,
(IF
(
G3161=""юридична особа""
,
VLOOKUP"&amp;"(H3161,IMPORTRANGE(""https://docs.google.com/spreadsheets/d/14Bd19lYaqBhU8_DElYkX7l4wRkHqqCUFNJY4AfY3kHU/edit?usp=sharing  #gid=0"",""фіз особи new!relations_name_uo""),7,FALSE)
,
)
))"),"#N/A")</f>
        <v>#N/A</v>
      </c>
      <c r="J3160" s="7" t="s">
        <v>40</v>
      </c>
    </row>
    <row r="3161" spans="1:10" ht="13.2">
      <c r="A3161" s="7">
        <v>3160</v>
      </c>
      <c r="B3161" s="7">
        <v>1</v>
      </c>
      <c r="C3161" s="7" t="s">
        <v>10</v>
      </c>
      <c r="D3161" s="7">
        <v>899</v>
      </c>
      <c r="E3161" s="7" t="s">
        <v>48</v>
      </c>
      <c r="F3161" s="8" t="str">
        <f ca="1">IFERROR(__xludf.DUMMYFUNCTION("IF
(
C3162=""фізична особа""
,
VLOOKUP(D3162,IMPORTRANGE(""https://docs.google.com/spreadsheets/d/14Bd19lYaqBhU8_DElYkX7l4wRkHqqCUFNJY4AfY3kHU/edit?usp=sharing  #gid=0"",""фіз особи new!relations_name""),6,FALSE)
,
(IF
(
C3162=""юридична особа""
,
VLOOKUP"&amp;"(D3162,IMPORTRANGE(""https://docs.google.com/spreadsheets/d/14Bd19lYaqBhU8_DElYkX7l4wRkHqqCUFNJY4AfY3kHU/edit?usp=sharing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1" s="7" t="s">
        <v>10</v>
      </c>
      <c r="H3161" s="7">
        <v>672</v>
      </c>
      <c r="I3161" s="8" t="str">
        <f ca="1">IFERROR(__xludf.DUMMYFUNCTION("IF
(
G3162=""фізична особа""
,
VLOOKUP(H3162,IMPORTRANGE(""https://docs.google.com/spreadsheets/d/14Bd19lYaqBhU8_DElYkX7l4wRkHqqCUFNJY4AfY3kHU/edit?usp=sharing  #gid=0"",""фіз особи new!relations_name""),6,FALSE)
,
(IF
(
G3162=""юридична особа""
,
VLOOKUP"&amp;"(H3162,IMPORTRANGE(""https://docs.google.com/spreadsheets/d/14Bd19lYaqBhU8_DElYkX7l4wRkHqqCUFNJY4AfY3kHU/edit?usp=sharing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3161" s="7" t="s">
        <v>48</v>
      </c>
    </row>
    <row r="3162" spans="1:10" ht="13.2">
      <c r="A3162" s="7">
        <v>3161</v>
      </c>
      <c r="B3162" s="7">
        <v>1</v>
      </c>
      <c r="C3162" s="7" t="s">
        <v>10</v>
      </c>
      <c r="D3162" s="7">
        <v>899</v>
      </c>
      <c r="E3162" s="7" t="s">
        <v>29</v>
      </c>
      <c r="F3162" s="8" t="str">
        <f ca="1">IFERROR(__xludf.DUMMYFUNCTION("IF
(
C3163=""фізична особа""
,
VLOOKUP(D3163,IMPORTRANGE(""https://docs.google.com/spreadsheets/d/14Bd19lYaqBhU8_DElYkX7l4wRkHqqCUFNJY4AfY3kHU/edit?usp=sharing  #gid=0"",""фіз особи new!relations_name""),6,FALSE)
,
(IF
(
C3163=""юридична особа""
,
VLOOKUP"&amp;"(D3163,IMPORTRANGE(""https://docs.google.com/spreadsheets/d/14Bd19lYaqBhU8_DElYkX7l4wRkHqqCUFNJY4AfY3kHU/edit?usp=sharing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2" s="7" t="s">
        <v>10</v>
      </c>
      <c r="H3162" s="7">
        <v>4534</v>
      </c>
      <c r="I3162" s="8" t="str">
        <f ca="1">IFERROR(__xludf.DUMMYFUNCTION("IF
(
G3163=""фізична особа""
,
VLOOKUP(H3163,IMPORTRANGE(""https://docs.google.com/spreadsheets/d/14Bd19lYaqBhU8_DElYkX7l4wRkHqqCUFNJY4AfY3kHU/edit?usp=sharing  #gid=0"",""фіз особи new!relations_name""),6,FALSE)
,
(IF
(
G3163=""юридична особа""
,
VLOOKUP"&amp;"(H3163,IMPORTRANGE(""https://docs.google.com/spreadsheets/d/14Bd19lYaqBhU8_DElYkX7l4wRkHqqCUFNJY4AfY3kHU/edit?usp=sharing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3162" s="7" t="s">
        <v>28</v>
      </c>
    </row>
    <row r="3163" spans="1:10" ht="13.2">
      <c r="A3163" s="7">
        <v>3162</v>
      </c>
      <c r="B3163" s="7">
        <v>1</v>
      </c>
      <c r="C3163" s="7" t="s">
        <v>10</v>
      </c>
      <c r="D3163" s="7">
        <v>899</v>
      </c>
      <c r="E3163" s="7" t="s">
        <v>48</v>
      </c>
      <c r="F3163" s="8" t="str">
        <f ca="1">IFERROR(__xludf.DUMMYFUNCTION("IF
(
C3164=""фізична особа""
,
VLOOKUP(D3164,IMPORTRANGE(""https://docs.google.com/spreadsheets/d/14Bd19lYaqBhU8_DElYkX7l4wRkHqqCUFNJY4AfY3kHU/edit?usp=sharing  #gid=0"",""фіз особи new!relations_name""),6,FALSE)
,
(IF
(
C3164=""юридична особа""
,
VLOOKUP"&amp;"(D3164,IMPORTRANGE(""https://docs.google.com/spreadsheets/d/14Bd19lYaqBhU8_DElYkX7l4wRkHqqCUFNJY4AfY3kHU/edit?usp=sharing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3" s="7" t="s">
        <v>10</v>
      </c>
      <c r="H3163" s="7">
        <v>304</v>
      </c>
      <c r="I3163" s="8" t="str">
        <f ca="1">IFERROR(__xludf.DUMMYFUNCTION("IF
(
G3164=""фізична особа""
,
VLOOKUP(H3164,IMPORTRANGE(""https://docs.google.com/spreadsheets/d/14Bd19lYaqBhU8_DElYkX7l4wRkHqqCUFNJY4AfY3kHU/edit?usp=sharing  #gid=0"",""фіз особи new!relations_name""),6,FALSE)
,
(IF
(
G3164=""юридична особа""
,
VLOOKUP"&amp;"(H3164,IMPORTRANGE(""https://docs.google.com/spreadsheets/d/14Bd19lYaqBhU8_DElYkX7l4wRkHqqCUFNJY4AfY3kHU/edit?usp=sharing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J3163" s="7" t="s">
        <v>48</v>
      </c>
    </row>
    <row r="3164" spans="1:10" ht="13.2">
      <c r="A3164" s="7">
        <v>3163</v>
      </c>
      <c r="B3164" s="7">
        <v>1</v>
      </c>
      <c r="C3164" s="7" t="s">
        <v>10</v>
      </c>
      <c r="D3164" s="7">
        <v>899</v>
      </c>
      <c r="E3164" s="7" t="s">
        <v>14</v>
      </c>
      <c r="F3164" s="8" t="str">
        <f ca="1">IFERROR(__xludf.DUMMYFUNCTION("IF
(
C3165=""фізична особа""
,
VLOOKUP(D3165,IMPORTRANGE(""https://docs.google.com/spreadsheets/d/14Bd19lYaqBhU8_DElYkX7l4wRkHqqCUFNJY4AfY3kHU/edit?usp=sharing  #gid=0"",""фіз особи new!relations_name""),6,FALSE)
,
(IF
(
C3165=""юридична особа""
,
VLOOKUP"&amp;"(D3165,IMPORTRANGE(""https://docs.google.com/spreadsheets/d/14Bd19lYaqBhU8_DElYkX7l4wRkHqqCUFNJY4AfY3kHU/edit?usp=sharing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4" s="7" t="s">
        <v>10</v>
      </c>
      <c r="H3164" s="7">
        <v>4838</v>
      </c>
      <c r="I3164" s="8" t="str">
        <f ca="1">IFERROR(__xludf.DUMMYFUNCTION("IF
(
G3165=""фізична особа""
,
VLOOKUP(H3165,IMPORTRANGE(""https://docs.google.com/spreadsheets/d/14Bd19lYaqBhU8_DElYkX7l4wRkHqqCUFNJY4AfY3kHU/edit?usp=sharing  #gid=0"",""фіз особи new!relations_name""),6,FALSE)
,
(IF
(
G3165=""юридична особа""
,
VLOOKUP"&amp;"(H3165,IMPORTRANGE(""https://docs.google.com/spreadsheets/d/14Bd19lYaqBhU8_DElYkX7l4wRkHqqCUFNJY4AfY3kHU/edit?usp=sharing  #gid=0"",""фіз особи new!relations_name_uo""),7,FALSE)
,
)
))"),"ВОЛОДІНА / ПОЛЯКІНА Яна Юріївна")</f>
        <v>ВОЛОДІНА / ПОЛЯКІНА Яна Юріївна</v>
      </c>
      <c r="J3164" s="7" t="s">
        <v>15</v>
      </c>
    </row>
    <row r="3165" spans="1:10" ht="13.2">
      <c r="A3165" s="7">
        <v>3164</v>
      </c>
      <c r="B3165" s="7">
        <v>1</v>
      </c>
      <c r="C3165" s="7" t="s">
        <v>10</v>
      </c>
      <c r="D3165" s="7">
        <v>899</v>
      </c>
      <c r="E3165" s="7" t="s">
        <v>26</v>
      </c>
      <c r="F3165" s="8" t="str">
        <f ca="1">IFERROR(__xludf.DUMMYFUNCTION("IF
(
C3166=""фізична особа""
,
VLOOKUP(D3166,IMPORTRANGE(""https://docs.google.com/spreadsheets/d/14Bd19lYaqBhU8_DElYkX7l4wRkHqqCUFNJY4AfY3kHU/edit?usp=sharing  #gid=0"",""фіз особи new!relations_name""),6,FALSE)
,
(IF
(
C3166=""юридична особа""
,
VLOOKUP"&amp;"(D3166,IMPORTRANGE(""https://docs.google.com/spreadsheets/d/14Bd19lYaqBhU8_DElYkX7l4wRkHqqCUFNJY4AfY3kHU/edit?usp=sharing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5" s="7" t="s">
        <v>10</v>
      </c>
      <c r="H3165" s="7">
        <v>23461</v>
      </c>
      <c r="I3165" s="8" t="str">
        <f ca="1">IFERROR(__xludf.DUMMYFUNCTION("IF
(
G3166=""фізична особа""
,
VLOOKUP(H3166,IMPORTRANGE(""https://docs.google.com/spreadsheets/d/14Bd19lYaqBhU8_DElYkX7l4wRkHqqCUFNJY4AfY3kHU/edit?usp=sharing  #gid=0"",""фіз особи new!relations_name""),6,FALSE)
,
(IF
(
G3166=""юридична особа""
,
VLOOKUP"&amp;"(H3166,IMPORTRANGE(""https://docs.google.com/spreadsheets/d/14Bd19lYaqBhU8_DElYkX7l4wRkHqqCUFNJY4AfY3kHU/edit?usp=sharing  #gid=0"",""фіз особи new!relations_name_uo""),7,FALSE)
,
)
))"),"ПОЛЯКІН Юрій Геннадійович")</f>
        <v>ПОЛЯКІН Юрій Геннадійович</v>
      </c>
      <c r="J3165" s="7" t="s">
        <v>24</v>
      </c>
    </row>
    <row r="3166" spans="1:10" ht="13.2">
      <c r="A3166" s="7">
        <v>3165</v>
      </c>
      <c r="B3166" s="7">
        <v>1</v>
      </c>
      <c r="C3166" s="7" t="s">
        <v>10</v>
      </c>
      <c r="D3166" s="7">
        <v>899</v>
      </c>
      <c r="E3166" s="7" t="s">
        <v>17</v>
      </c>
      <c r="F3166" s="8" t="str">
        <f ca="1">IFERROR(__xludf.DUMMYFUNCTION("IF
(
C3167=""фізична особа""
,
VLOOKUP(D3167,IMPORTRANGE(""https://docs.google.com/spreadsheets/d/14Bd19lYaqBhU8_DElYkX7l4wRkHqqCUFNJY4AfY3kHU/edit?usp=sharing  #gid=0"",""фіз особи new!relations_name""),6,FALSE)
,
(IF
(
C3167=""юридична особа""
,
VLOOKUP"&amp;"(D3167,IMPORTRANGE(""https://docs.google.com/spreadsheets/d/14Bd19lYaqBhU8_DElYkX7l4wRkHqqCUFNJY4AfY3kHU/edit?usp=sharing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6" s="7" t="s">
        <v>10</v>
      </c>
      <c r="H3166" s="7">
        <v>23462</v>
      </c>
      <c r="I3166" s="8" t="str">
        <f ca="1">IFERROR(__xludf.DUMMYFUNCTION("IF
(
G3167=""фізична особа""
,
VLOOKUP(H3167,IMPORTRANGE(""https://docs.google.com/spreadsheets/d/14Bd19lYaqBhU8_DElYkX7l4wRkHqqCUFNJY4AfY3kHU/edit?usp=sharing  #gid=0"",""фіз особи new!relations_name""),6,FALSE)
,
(IF
(
G3167=""юридична особа""
,
VLOOKUP"&amp;"(H3167,IMPORTRANGE(""https://docs.google.com/spreadsheets/d/14Bd19lYaqBhU8_DElYkX7l4wRkHqqCUFNJY4AfY3kHU/edit?usp=sharing  #gid=0"",""фіз особи new!relations_name_uo""),7,FALSE)
,
)
))"),"БАРАБАНОВА Лідія Петрівна")</f>
        <v>БАРАБАНОВА Лідія Петрівна</v>
      </c>
      <c r="J3166" s="7" t="s">
        <v>21</v>
      </c>
    </row>
    <row r="3167" spans="1:10" ht="13.2">
      <c r="A3167" s="7">
        <v>3166</v>
      </c>
      <c r="B3167" s="7">
        <v>1</v>
      </c>
      <c r="C3167" s="7" t="s">
        <v>10</v>
      </c>
      <c r="D3167" s="7">
        <v>899</v>
      </c>
      <c r="E3167" s="7" t="s">
        <v>12</v>
      </c>
      <c r="F3167" s="8" t="str">
        <f ca="1">IFERROR(__xludf.DUMMYFUNCTION("IF
(
C3168=""фізична особа""
,
VLOOKUP(D3168,IMPORTRANGE(""https://docs.google.com/spreadsheets/d/14Bd19lYaqBhU8_DElYkX7l4wRkHqqCUFNJY4AfY3kHU/edit?usp=sharing  #gid=0"",""фіз особи new!relations_name""),6,FALSE)
,
(IF
(
C3168=""юридична особа""
,
VLOOKUP"&amp;"(D3168,IMPORTRANGE(""https://docs.google.com/spreadsheets/d/14Bd19lYaqBhU8_DElYkX7l4wRkHqqCUFNJY4AfY3kHU/edit?usp=sharing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7" s="7" t="s">
        <v>10</v>
      </c>
      <c r="H3167" s="7">
        <v>4839</v>
      </c>
      <c r="I3167" s="8" t="str">
        <f ca="1">IFERROR(__xludf.DUMMYFUNCTION("IF
(
G3168=""фізична особа""
,
VLOOKUP(H3168,IMPORTRANGE(""https://docs.google.com/spreadsheets/d/14Bd19lYaqBhU8_DElYkX7l4wRkHqqCUFNJY4AfY3kHU/edit?usp=sharing  #gid=0"",""фіз особи new!relations_name""),6,FALSE)
,
(IF
(
G3168=""юридична особа""
,
VLOOKUP"&amp;"(H3168,IMPORTRANGE(""https://docs.google.com/spreadsheets/d/14Bd19lYaqBhU8_DElYkX7l4wRkHqqCUFNJY4AfY3kHU/edit?usp=sharing  #gid=0"",""фіз особи new!relations_name_uo""),7,FALSE)
,
)
))"),"ВОЛОДІНА Світлана Вячеславівна")</f>
        <v>ВОЛОДІНА Світлана Вячеславівна</v>
      </c>
      <c r="J3167" s="7" t="s">
        <v>13</v>
      </c>
    </row>
    <row r="3168" spans="1:10" ht="13.2">
      <c r="A3168" s="7">
        <v>3167</v>
      </c>
      <c r="B3168" s="7">
        <v>1</v>
      </c>
      <c r="C3168" s="7" t="s">
        <v>10</v>
      </c>
      <c r="D3168" s="7">
        <v>899</v>
      </c>
      <c r="E3168" s="7" t="s">
        <v>18</v>
      </c>
      <c r="F3168" s="8" t="str">
        <f ca="1">IFERROR(__xludf.DUMMYFUNCTION("IF
(
C3169=""фізична особа""
,
VLOOKUP(D3169,IMPORTRANGE(""https://docs.google.com/spreadsheets/d/14Bd19lYaqBhU8_DElYkX7l4wRkHqqCUFNJY4AfY3kHU/edit?usp=sharing  #gid=0"",""фіз особи new!relations_name""),6,FALSE)
,
(IF
(
C3169=""юридична особа""
,
VLOOKUP"&amp;"(D3169,IMPORTRANGE(""https://docs.google.com/spreadsheets/d/14Bd19lYaqBhU8_DElYkX7l4wRkHqqCUFNJY4AfY3kHU/edit?usp=sharing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8" s="7" t="s">
        <v>10</v>
      </c>
      <c r="H3168" s="7">
        <v>0</v>
      </c>
      <c r="I3168" s="8" t="str">
        <f ca="1">IFERROR(__xludf.DUMMYFUNCTION("IF
(
G3169=""фізична особа""
,
VLOOKUP(H3169,IMPORTRANGE(""https://docs.google.com/spreadsheets/d/14Bd19lYaqBhU8_DElYkX7l4wRkHqqCUFNJY4AfY3kHU/edit?usp=sharing  #gid=0"",""фіз особи new!relations_name""),6,FALSE)
,
(IF
(
G3169=""юридична особа""
,
VLOOKUP"&amp;"(H3169,IMPORTRANGE(""https://docs.google.com/spreadsheets/d/14Bd19lYaqBhU8_DElYkX7l4wRkHqqCUFNJY4AfY3kHU/edit?usp=sharing  #gid=0"",""фіз особи new!relations_name_uo""),7,FALSE)
,
)
))"),"#N/A")</f>
        <v>#N/A</v>
      </c>
      <c r="J3168" s="7" t="s">
        <v>31</v>
      </c>
    </row>
    <row r="3169" spans="1:10" ht="13.2">
      <c r="A3169" s="7">
        <v>3168</v>
      </c>
      <c r="B3169" s="7">
        <v>1</v>
      </c>
      <c r="C3169" s="7" t="s">
        <v>10</v>
      </c>
      <c r="D3169" s="7">
        <v>899</v>
      </c>
      <c r="E3169" s="7" t="s">
        <v>19</v>
      </c>
      <c r="F3169" s="8" t="str">
        <f ca="1">IFERROR(__xludf.DUMMYFUNCTION("IF
(
C3170=""фізична особа""
,
VLOOKUP(D3170,IMPORTRANGE(""https://docs.google.com/spreadsheets/d/14Bd19lYaqBhU8_DElYkX7l4wRkHqqCUFNJY4AfY3kHU/edit?usp=sharing  #gid=0"",""фіз особи new!relations_name""),6,FALSE)
,
(IF
(
C3170=""юридична особа""
,
VLOOKUP"&amp;"(D3170,IMPORTRANGE(""https://docs.google.com/spreadsheets/d/14Bd19lYaqBhU8_DElYkX7l4wRkHqqCUFNJY4AfY3kHU/edit?usp=sharing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69" s="7" t="s">
        <v>10</v>
      </c>
      <c r="H3169" s="7">
        <v>0</v>
      </c>
      <c r="I3169" s="8" t="str">
        <f ca="1">IFERROR(__xludf.DUMMYFUNCTION("IF
(
G3170=""фізична особа""
,
VLOOKUP(H3170,IMPORTRANGE(""https://docs.google.com/spreadsheets/d/14Bd19lYaqBhU8_DElYkX7l4wRkHqqCUFNJY4AfY3kHU/edit?usp=sharing  #gid=0"",""фіз особи new!relations_name""),6,FALSE)
,
(IF
(
G3170=""юридична особа""
,
VLOOKUP"&amp;"(H3170,IMPORTRANGE(""https://docs.google.com/spreadsheets/d/14Bd19lYaqBhU8_DElYkX7l4wRkHqqCUFNJY4AfY3kHU/edit?usp=sharing  #gid=0"",""фіз особи new!relations_name_uo""),7,FALSE)
,
)
))"),"#N/A")</f>
        <v>#N/A</v>
      </c>
      <c r="J3169" s="7" t="s">
        <v>20</v>
      </c>
    </row>
    <row r="3170" spans="1:10" ht="13.2">
      <c r="A3170" s="7">
        <v>3169</v>
      </c>
      <c r="B3170" s="7">
        <v>1</v>
      </c>
      <c r="C3170" s="7" t="s">
        <v>10</v>
      </c>
      <c r="D3170" s="7">
        <v>899</v>
      </c>
      <c r="E3170" s="7" t="s">
        <v>19</v>
      </c>
      <c r="F3170" s="8" t="str">
        <f ca="1">IFERROR(__xludf.DUMMYFUNCTION("IF
(
C3171=""фізична особа""
,
VLOOKUP(D3171,IMPORTRANGE(""https://docs.google.com/spreadsheets/d/14Bd19lYaqBhU8_DElYkX7l4wRkHqqCUFNJY4AfY3kHU/edit?usp=sharing  #gid=0"",""фіз особи new!relations_name""),6,FALSE)
,
(IF
(
C3171=""юридична особа""
,
VLOOKUP"&amp;"(D3171,IMPORTRANGE(""https://docs.google.com/spreadsheets/d/14Bd19lYaqBhU8_DElYkX7l4wRkHqqCUFNJY4AfY3kHU/edit?usp=sharing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G3170" s="7" t="s">
        <v>10</v>
      </c>
      <c r="H3170" s="7">
        <v>0</v>
      </c>
      <c r="I3170" s="8" t="str">
        <f ca="1">IFERROR(__xludf.DUMMYFUNCTION("IF
(
G3171=""фізична особа""
,
VLOOKUP(H3171,IMPORTRANGE(""https://docs.google.com/spreadsheets/d/14Bd19lYaqBhU8_DElYkX7l4wRkHqqCUFNJY4AfY3kHU/edit?usp=sharing  #gid=0"",""фіз особи new!relations_name""),6,FALSE)
,
(IF
(
G3171=""юридична особа""
,
VLOOKUP"&amp;"(H3171,IMPORTRANGE(""https://docs.google.com/spreadsheets/d/14Bd19lYaqBhU8_DElYkX7l4wRkHqqCUFNJY4AfY3kHU/edit?usp=sharing  #gid=0"",""фіз особи new!relations_name_uo""),7,FALSE)
,
)
))"),"#N/A")</f>
        <v>#N/A</v>
      </c>
      <c r="J3170" s="7" t="s">
        <v>20</v>
      </c>
    </row>
    <row r="3171" spans="1:10" ht="13.2">
      <c r="A3171" s="7">
        <v>3170</v>
      </c>
      <c r="B3171" s="7">
        <v>1</v>
      </c>
      <c r="C3171" s="7" t="s">
        <v>10</v>
      </c>
      <c r="D3171" s="7">
        <v>900</v>
      </c>
      <c r="E3171" s="7" t="s">
        <v>48</v>
      </c>
      <c r="F3171" s="8" t="str">
        <f ca="1">IFERROR(__xludf.DUMMYFUNCTION("IF
(
C3172=""фізична особа""
,
VLOOKUP(D3172,IMPORTRANGE(""https://docs.google.com/spreadsheets/d/14Bd19lYaqBhU8_DElYkX7l4wRkHqqCUFNJY4AfY3kHU/edit?usp=sharing  #gid=0"",""фіз особи new!relations_name""),6,FALSE)
,
(IF
(
C3172=""юридична особа""
,
VLOOKUP"&amp;"(D3172,IMPORTRANGE(""https://docs.google.com/spreadsheets/d/14Bd19lYaqBhU8_DElYkX7l4wRkHqqCUFNJY4AfY3kHU/edit?usp=sharing  #gid=0"",""фіз особи new!relations_name_uo""),7,FALSE)
,
)
))"),"ЛОГІНОВ В'ячеслав Юрійович")</f>
        <v>ЛОГІНОВ В'ячеслав Юрійович</v>
      </c>
      <c r="G3171" s="7" t="s">
        <v>10</v>
      </c>
      <c r="H3171" s="7">
        <v>185</v>
      </c>
      <c r="I3171" s="8" t="str">
        <f ca="1">IFERROR(__xludf.DUMMYFUNCTION("IF
(
G3172=""фізична особа""
,
VLOOKUP(H3172,IMPORTRANGE(""https://docs.google.com/spreadsheets/d/14Bd19lYaqBhU8_DElYkX7l4wRkHqqCUFNJY4AfY3kHU/edit?usp=sharing  #gid=0"",""фіз особи new!relations_name""),6,FALSE)
,
(IF
(
G3172=""юридична особа""
,
VLOOKUP"&amp;"(H3172,IMPORTRANGE(""https://docs.google.com/spreadsheets/d/14Bd19lYaqBhU8_DElYkX7l4wRkHqqCUFNJY4AfY3kHU/edit?usp=sharing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171" s="7" t="s">
        <v>48</v>
      </c>
    </row>
    <row r="3172" spans="1:10" ht="13.2">
      <c r="A3172" s="7">
        <v>3171</v>
      </c>
      <c r="B3172" s="7">
        <v>1</v>
      </c>
      <c r="C3172" s="7" t="s">
        <v>10</v>
      </c>
      <c r="D3172" s="7">
        <v>900</v>
      </c>
      <c r="E3172" s="7" t="s">
        <v>48</v>
      </c>
      <c r="F3172" s="8" t="str">
        <f ca="1">IFERROR(__xludf.DUMMYFUNCTION("IF
(
C3173=""фізична особа""
,
VLOOKUP(D3173,IMPORTRANGE(""https://docs.google.com/spreadsheets/d/14Bd19lYaqBhU8_DElYkX7l4wRkHqqCUFNJY4AfY3kHU/edit?usp=sharing  #gid=0"",""фіз особи new!relations_name""),6,FALSE)
,
(IF
(
C3173=""юридична особа""
,
VLOOKUP"&amp;"(D3173,IMPORTRANGE(""https://docs.google.com/spreadsheets/d/14Bd19lYaqBhU8_DElYkX7l4wRkHqqCUFNJY4AfY3kHU/edit?usp=sharing  #gid=0"",""фіз особи new!relations_name_uo""),7,FALSE)
,
)
))"),"ЛОГІНОВ В'ячеслав Юрійович")</f>
        <v>ЛОГІНОВ В'ячеслав Юрійович</v>
      </c>
      <c r="G3172" s="7" t="s">
        <v>10</v>
      </c>
      <c r="H3172" s="7">
        <v>64</v>
      </c>
      <c r="I3172" s="8" t="str">
        <f ca="1">IFERROR(__xludf.DUMMYFUNCTION("IF
(
G3173=""фізична особа""
,
VLOOKUP(H3173,IMPORTRANGE(""https://docs.google.com/spreadsheets/d/14Bd19lYaqBhU8_DElYkX7l4wRkHqqCUFNJY4AfY3kHU/edit?usp=sharing  #gid=0"",""фіз особи new!relations_name""),6,FALSE)
,
(IF
(
G3173=""юридична особа""
,
VLOOKUP"&amp;"(H3173,IMPORTRANGE(""https://docs.google.com/spreadsheets/d/14Bd19lYaqBhU8_DElYkX7l4wRkHqqCUFNJY4AfY3kHU/edit?usp=sharing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172" s="7" t="s">
        <v>48</v>
      </c>
    </row>
    <row r="3173" spans="1:10" ht="13.2">
      <c r="A3173" s="7">
        <v>3172</v>
      </c>
      <c r="B3173" s="7">
        <v>1</v>
      </c>
      <c r="C3173" s="7" t="s">
        <v>10</v>
      </c>
      <c r="D3173" s="7">
        <v>900</v>
      </c>
      <c r="E3173" s="7" t="s">
        <v>48</v>
      </c>
      <c r="F3173" s="8" t="str">
        <f ca="1">IFERROR(__xludf.DUMMYFUNCTION("IF
(
C3174=""фізична особа""
,
VLOOKUP(D3174,IMPORTRANGE(""https://docs.google.com/spreadsheets/d/14Bd19lYaqBhU8_DElYkX7l4wRkHqqCUFNJY4AfY3kHU/edit?usp=sharing  #gid=0"",""фіз особи new!relations_name""),6,FALSE)
,
(IF
(
C3174=""юридична особа""
,
VLOOKUP"&amp;"(D3174,IMPORTRANGE(""https://docs.google.com/spreadsheets/d/14Bd19lYaqBhU8_DElYkX7l4wRkHqqCUFNJY4AfY3kHU/edit?usp=sharing  #gid=0"",""фіз особи new!relations_name_uo""),7,FALSE)
,
)
))"),"ЛОГІНОВ В'ячеслав Юрійович")</f>
        <v>ЛОГІНОВ В'ячеслав Юрійович</v>
      </c>
      <c r="G3173" s="7" t="s">
        <v>10</v>
      </c>
      <c r="H3173" s="7">
        <v>844</v>
      </c>
      <c r="I3173" s="8" t="str">
        <f ca="1">IFERROR(__xludf.DUMMYFUNCTION("IF
(
G3174=""фізична особа""
,
VLOOKUP(H3174,IMPORTRANGE(""https://docs.google.com/spreadsheets/d/14Bd19lYaqBhU8_DElYkX7l4wRkHqqCUFNJY4AfY3kHU/edit?usp=sharing  #gid=0"",""фіз особи new!relations_name""),6,FALSE)
,
(IF
(
G3174=""юридична особа""
,
VLOOKUP"&amp;"(H3174,IMPORTRANGE(""https://docs.google.com/spreadsheets/d/14Bd19lYaqBhU8_DElYkX7l4wRkHqqCUFNJY4AfY3kHU/edit?usp=sharing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173" s="7" t="s">
        <v>48</v>
      </c>
    </row>
    <row r="3174" spans="1:10" ht="13.2">
      <c r="A3174" s="7">
        <v>3173</v>
      </c>
      <c r="B3174" s="7">
        <v>1</v>
      </c>
      <c r="C3174" s="7" t="s">
        <v>10</v>
      </c>
      <c r="D3174" s="7">
        <v>900</v>
      </c>
      <c r="E3174" s="7" t="s">
        <v>48</v>
      </c>
      <c r="F3174" s="8" t="str">
        <f ca="1">IFERROR(__xludf.DUMMYFUNCTION("IF
(
C3175=""фізична особа""
,
VLOOKUP(D3175,IMPORTRANGE(""https://docs.google.com/spreadsheets/d/14Bd19lYaqBhU8_DElYkX7l4wRkHqqCUFNJY4AfY3kHU/edit?usp=sharing  #gid=0"",""фіз особи new!relations_name""),6,FALSE)
,
(IF
(
C3175=""юридична особа""
,
VLOOKUP"&amp;"(D3175,IMPORTRANGE(""https://docs.google.com/spreadsheets/d/14Bd19lYaqBhU8_DElYkX7l4wRkHqqCUFNJY4AfY3kHU/edit?usp=sharing  #gid=0"",""фіз особи new!relations_name_uo""),7,FALSE)
,
)
))"),"ЛОГІНОВ В'ячеслав Юрійович")</f>
        <v>ЛОГІНОВ В'ячеслав Юрійович</v>
      </c>
      <c r="G3174" s="7" t="s">
        <v>10</v>
      </c>
      <c r="H3174" s="7">
        <v>4789</v>
      </c>
      <c r="I3174" s="8" t="str">
        <f ca="1">IFERROR(__xludf.DUMMYFUNCTION("IF
(
G3175=""фізична особа""
,
VLOOKUP(H3175,IMPORTRANGE(""https://docs.google.com/spreadsheets/d/14Bd19lYaqBhU8_DElYkX7l4wRkHqqCUFNJY4AfY3kHU/edit?usp=sharing  #gid=0"",""фіз особи new!relations_name""),6,FALSE)
,
(IF
(
G3175=""юридична особа""
,
VLOOKUP"&amp;"(H3175,IMPORTRANGE(""https://docs.google.com/spreadsheets/d/14Bd19lYaqBhU8_DElYkX7l4wRkHqqCUFNJY4AfY3kHU/edit?usp=sharing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174" s="7" t="s">
        <v>48</v>
      </c>
    </row>
    <row r="3175" spans="1:10" ht="13.2">
      <c r="A3175" s="7">
        <v>3174</v>
      </c>
      <c r="B3175" s="7">
        <v>1</v>
      </c>
      <c r="C3175" s="7" t="s">
        <v>10</v>
      </c>
      <c r="D3175" s="7">
        <v>900</v>
      </c>
      <c r="E3175" s="7" t="s">
        <v>48</v>
      </c>
      <c r="F3175" s="8" t="str">
        <f ca="1">IFERROR(__xludf.DUMMYFUNCTION("IF
(
C3176=""фізична особа""
,
VLOOKUP(D3176,IMPORTRANGE(""https://docs.google.com/spreadsheets/d/14Bd19lYaqBhU8_DElYkX7l4wRkHqqCUFNJY4AfY3kHU/edit?usp=sharing  #gid=0"",""фіз особи new!relations_name""),6,FALSE)
,
(IF
(
C3176=""юридична особа""
,
VLOOKUP"&amp;"(D3176,IMPORTRANGE(""https://docs.google.com/spreadsheets/d/14Bd19lYaqBhU8_DElYkX7l4wRkHqqCUFNJY4AfY3kHU/edit?usp=sharing  #gid=0"",""фіз особи new!relations_name_uo""),7,FALSE)
,
)
))"),"ЛОГІНОВ В'ячеслав Юрійович")</f>
        <v>ЛОГІНОВ В'ячеслав Юрійович</v>
      </c>
      <c r="G3175" s="7" t="s">
        <v>10</v>
      </c>
      <c r="H3175" s="7">
        <v>4870</v>
      </c>
      <c r="I3175" s="8" t="str">
        <f ca="1">IFERROR(__xludf.DUMMYFUNCTION("IF
(
G3176=""фізична особа""
,
VLOOKUP(H3176,IMPORTRANGE(""https://docs.google.com/spreadsheets/d/14Bd19lYaqBhU8_DElYkX7l4wRkHqqCUFNJY4AfY3kHU/edit?usp=sharing  #gid=0"",""фіз особи new!relations_name""),6,FALSE)
,
(IF
(
G3176=""юридична особа""
,
VLOOKUP"&amp;"(H3176,IMPORTRANGE(""https://docs.google.com/spreadsheets/d/14Bd19lYaqBhU8_DElYkX7l4wRkHqqCUFNJY4AfY3kHU/edit?usp=sharing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175" s="7" t="s">
        <v>48</v>
      </c>
    </row>
    <row r="3176" spans="1:10" ht="13.2">
      <c r="A3176" s="7">
        <v>3175</v>
      </c>
      <c r="B3176" s="7">
        <v>1</v>
      </c>
      <c r="C3176" s="7" t="s">
        <v>10</v>
      </c>
      <c r="D3176" s="7">
        <v>901</v>
      </c>
      <c r="E3176" s="7" t="s">
        <v>28</v>
      </c>
      <c r="F3176" s="8" t="str">
        <f ca="1">IFERROR(__xludf.DUMMYFUNCTION("IF
(
C3177=""фізична особа""
,
VLOOKUP(D3177,IMPORTRANGE(""https://docs.google.com/spreadsheets/d/14Bd19lYaqBhU8_DElYkX7l4wRkHqqCUFNJY4AfY3kHU/edit?usp=sharing  #gid=0"",""фіз особи new!relations_name""),6,FALSE)
,
(IF
(
C3177=""юридична особа""
,
VLOOKUP"&amp;"(D3177,IMPORTRANGE(""https://docs.google.com/spreadsheets/d/14Bd19lYaqBhU8_DElYkX7l4wRkHqqCUFNJY4AfY3kHU/edit?usp=sharing  #gid=0"",""фіз особи new!relations_name_uo""),7,FALSE)
,
)
))"),"ОПРІЩЕНКО Олександр Олександрович")</f>
        <v>ОПРІЩЕНКО Олександр Олександрович</v>
      </c>
      <c r="G3176" s="7" t="s">
        <v>10</v>
      </c>
      <c r="H3176" s="7">
        <v>4567</v>
      </c>
      <c r="I3176" s="8" t="str">
        <f ca="1">IFERROR(__xludf.DUMMYFUNCTION("IF
(
G3177=""фізична особа""
,
VLOOKUP(H3177,IMPORTRANGE(""https://docs.google.com/spreadsheets/d/14Bd19lYaqBhU8_DElYkX7l4wRkHqqCUFNJY4AfY3kHU/edit?usp=sharing  #gid=0"",""фіз особи new!relations_name""),6,FALSE)
,
(IF
(
G3177=""юридична особа""
,
VLOOKUP"&amp;"(H3177,IMPORTRANGE(""https://docs.google.com/spreadsheets/d/14Bd19lYaqBhU8_DElYkX7l4wRkHqqCUFNJY4AfY3kHU/edit?usp=sharing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3176" s="7" t="s">
        <v>29</v>
      </c>
    </row>
    <row r="3177" spans="1:10" ht="13.2">
      <c r="A3177" s="7">
        <v>3176</v>
      </c>
      <c r="B3177" s="7">
        <v>1</v>
      </c>
      <c r="C3177" s="7" t="s">
        <v>10</v>
      </c>
      <c r="D3177" s="7">
        <v>901</v>
      </c>
      <c r="E3177" s="7" t="s">
        <v>28</v>
      </c>
      <c r="F3177" s="8" t="str">
        <f ca="1">IFERROR(__xludf.DUMMYFUNCTION("IF
(
C3178=""фізична особа""
,
VLOOKUP(D3178,IMPORTRANGE(""https://docs.google.com/spreadsheets/d/14Bd19lYaqBhU8_DElYkX7l4wRkHqqCUFNJY4AfY3kHU/edit?usp=sharing  #gid=0"",""фіз особи new!relations_name""),6,FALSE)
,
(IF
(
C3178=""юридична особа""
,
VLOOKUP"&amp;"(D3178,IMPORTRANGE(""https://docs.google.com/spreadsheets/d/14Bd19lYaqBhU8_DElYkX7l4wRkHqqCUFNJY4AfY3kHU/edit?usp=sharing  #gid=0"",""фіз особи new!relations_name_uo""),7,FALSE)
,
)
))"),"ОПРІЩЕНКО Олександр Олександрович")</f>
        <v>ОПРІЩЕНКО Олександр Олександрович</v>
      </c>
      <c r="G3177" s="7" t="s">
        <v>10</v>
      </c>
      <c r="H3177" s="7">
        <v>856</v>
      </c>
      <c r="I3177" s="8" t="str">
        <f ca="1">IFERROR(__xludf.DUMMYFUNCTION("IF
(
G3178=""фізична особа""
,
VLOOKUP(H3178,IMPORTRANGE(""https://docs.google.com/spreadsheets/d/14Bd19lYaqBhU8_DElYkX7l4wRkHqqCUFNJY4AfY3kHU/edit?usp=sharing  #gid=0"",""фіз особи new!relations_name""),6,FALSE)
,
(IF
(
G3178=""юридична особа""
,
VLOOKUP"&amp;"(H3178,IMPORTRANGE(""https://docs.google.com/spreadsheets/d/14Bd19lYaqBhU8_DElYkX7l4wRkHqqCUFNJY4AfY3kHU/edit?usp=sharing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177" s="7" t="s">
        <v>29</v>
      </c>
    </row>
    <row r="3178" spans="1:10" ht="13.2">
      <c r="A3178" s="7">
        <v>3177</v>
      </c>
      <c r="B3178" s="7">
        <v>1</v>
      </c>
      <c r="C3178" s="7" t="s">
        <v>10</v>
      </c>
      <c r="D3178" s="7">
        <v>903</v>
      </c>
      <c r="E3178" s="7" t="s">
        <v>28</v>
      </c>
      <c r="F3178" s="8" t="str">
        <f ca="1">IFERROR(__xludf.DUMMYFUNCTION("IF
(
C3179=""фізична особа""
,
VLOOKUP(D3179,IMPORTRANGE(""https://docs.google.com/spreadsheets/d/14Bd19lYaqBhU8_DElYkX7l4wRkHqqCUFNJY4AfY3kHU/edit?usp=sharing  #gid=0"",""фіз особи new!relations_name""),6,FALSE)
,
(IF
(
C3179=""юридична особа""
,
VLOOKUP"&amp;"(D3179,IMPORTRANGE(""https://docs.google.com/spreadsheets/d/14Bd19lYaqBhU8_DElYkX7l4wRkHqqCUFNJY4AfY3kHU/edit?usp=sharing  #gid=0"",""фіз особи new!relations_name_uo""),7,FALSE)
,
)
))"),"ЧАУСОВА Яна Сергіївна")</f>
        <v>ЧАУСОВА Яна Сергіївна</v>
      </c>
      <c r="G3178" s="7" t="s">
        <v>10</v>
      </c>
      <c r="H3178" s="7">
        <v>856</v>
      </c>
      <c r="I3178" s="8" t="str">
        <f ca="1">IFERROR(__xludf.DUMMYFUNCTION("IF
(
G3179=""фізична особа""
,
VLOOKUP(H3179,IMPORTRANGE(""https://docs.google.com/spreadsheets/d/14Bd19lYaqBhU8_DElYkX7l4wRkHqqCUFNJY4AfY3kHU/edit?usp=sharing  #gid=0"",""фіз особи new!relations_name""),6,FALSE)
,
(IF
(
G3179=""юридична особа""
,
VLOOKUP"&amp;"(H3179,IMPORTRANGE(""https://docs.google.com/spreadsheets/d/14Bd19lYaqBhU8_DElYkX7l4wRkHqqCUFNJY4AfY3kHU/edit?usp=sharing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178" s="7" t="s">
        <v>29</v>
      </c>
    </row>
    <row r="3179" spans="1:10" ht="13.2">
      <c r="A3179" s="7">
        <v>3178</v>
      </c>
      <c r="B3179" s="7">
        <v>1</v>
      </c>
      <c r="C3179" s="7" t="s">
        <v>10</v>
      </c>
      <c r="D3179" s="7">
        <v>906</v>
      </c>
      <c r="E3179" s="7" t="s">
        <v>29</v>
      </c>
      <c r="F3179" s="8" t="str">
        <f ca="1">IFERROR(__xludf.DUMMYFUNCTION("IF
(
C3180=""фізична особа""
,
VLOOKUP(D3180,IMPORTRANGE(""https://docs.google.com/spreadsheets/d/14Bd19lYaqBhU8_DElYkX7l4wRkHqqCUFNJY4AfY3kHU/edit?usp=sharing  #gid=0"",""фіз особи new!relations_name""),6,FALSE)
,
(IF
(
C3180=""юридична особа""
,
VLOOKUP"&amp;"(D3180,IMPORTRANGE(""https://docs.google.com/spreadsheets/d/14Bd19lYaqBhU8_DElYkX7l4wRkHqqCUFNJY4AfY3kHU/edit?usp=sharing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G3179" s="7" t="s">
        <v>10</v>
      </c>
      <c r="H3179" s="7">
        <v>0</v>
      </c>
      <c r="I3179" s="8" t="str">
        <f ca="1">IFERROR(__xludf.DUMMYFUNCTION("IF
(
G3180=""фізична особа""
,
VLOOKUP(H3180,IMPORTRANGE(""https://docs.google.com/spreadsheets/d/14Bd19lYaqBhU8_DElYkX7l4wRkHqqCUFNJY4AfY3kHU/edit?usp=sharing  #gid=0"",""фіз особи new!relations_name""),6,FALSE)
,
(IF
(
G3180=""юридична особа""
,
VLOOKUP"&amp;"(H3180,IMPORTRANGE(""https://docs.google.com/spreadsheets/d/14Bd19lYaqBhU8_DElYkX7l4wRkHqqCUFNJY4AfY3kHU/edit?usp=sharing  #gid=0"",""фіз особи new!relations_name_uo""),7,FALSE)
,
)
))"),"#N/A")</f>
        <v>#N/A</v>
      </c>
      <c r="J3179" s="7" t="s">
        <v>28</v>
      </c>
    </row>
    <row r="3180" spans="1:10" ht="13.2">
      <c r="A3180" s="7">
        <v>3179</v>
      </c>
      <c r="B3180" s="7">
        <v>1</v>
      </c>
      <c r="C3180" s="7" t="s">
        <v>10</v>
      </c>
      <c r="D3180" s="7">
        <v>906</v>
      </c>
      <c r="E3180" s="7" t="s">
        <v>17</v>
      </c>
      <c r="F3180" s="8" t="str">
        <f ca="1">IFERROR(__xludf.DUMMYFUNCTION("IF
(
C3181=""фізична особа""
,
VLOOKUP(D3181,IMPORTRANGE(""https://docs.google.com/spreadsheets/d/14Bd19lYaqBhU8_DElYkX7l4wRkHqqCUFNJY4AfY3kHU/edit?usp=sharing  #gid=0"",""фіз особи new!relations_name""),6,FALSE)
,
(IF
(
C3181=""юридична особа""
,
VLOOKUP"&amp;"(D3181,IMPORTRANGE(""https://docs.google.com/spreadsheets/d/14Bd19lYaqBhU8_DElYkX7l4wRkHqqCUFNJY4AfY3kHU/edit?usp=sharing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G3180" s="7" t="s">
        <v>10</v>
      </c>
      <c r="H3180" s="7">
        <v>8648</v>
      </c>
      <c r="I3180" s="8" t="str">
        <f ca="1">IFERROR(__xludf.DUMMYFUNCTION("IF
(
G3181=""фізична особа""
,
VLOOKUP(H3181,IMPORTRANGE(""https://docs.google.com/spreadsheets/d/14Bd19lYaqBhU8_DElYkX7l4wRkHqqCUFNJY4AfY3kHU/edit?usp=sharing  #gid=0"",""фіз особи new!relations_name""),6,FALSE)
,
(IF
(
G3181=""юридична особа""
,
VLOOKUP"&amp;"(H3181,IMPORTRANGE(""https://docs.google.com/spreadsheets/d/14Bd19lYaqBhU8_DElYkX7l4wRkHqqCUFNJY4AfY3kHU/edit?usp=sharing  #gid=0"",""фіз особи new!relations_name_uo""),7,FALSE)
,
)
))"),"БОРИСОВА Парасковія Петрівна")</f>
        <v>БОРИСОВА Парасковія Петрівна</v>
      </c>
      <c r="J3180" s="7" t="s">
        <v>21</v>
      </c>
    </row>
    <row r="3181" spans="1:10" ht="13.2">
      <c r="A3181" s="7">
        <v>3180</v>
      </c>
      <c r="B3181" s="7">
        <v>1</v>
      </c>
      <c r="C3181" s="7" t="s">
        <v>10</v>
      </c>
      <c r="D3181" s="7">
        <v>906</v>
      </c>
      <c r="E3181" s="7" t="s">
        <v>12</v>
      </c>
      <c r="F3181" s="8" t="str">
        <f ca="1">IFERROR(__xludf.DUMMYFUNCTION("IF
(
C3182=""фізична особа""
,
VLOOKUP(D3182,IMPORTRANGE(""https://docs.google.com/spreadsheets/d/14Bd19lYaqBhU8_DElYkX7l4wRkHqqCUFNJY4AfY3kHU/edit?usp=sharing  #gid=0"",""фіз особи new!relations_name""),6,FALSE)
,
(IF
(
C3182=""юридична особа""
,
VLOOKUP"&amp;"(D3182,IMPORTRANGE(""https://docs.google.com/spreadsheets/d/14Bd19lYaqBhU8_DElYkX7l4wRkHqqCUFNJY4AfY3kHU/edit?usp=sharing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G3181" s="7" t="s">
        <v>10</v>
      </c>
      <c r="H3181" s="7">
        <v>0</v>
      </c>
      <c r="I3181" s="8" t="str">
        <f ca="1">IFERROR(__xludf.DUMMYFUNCTION("IF
(
G3182=""фізична особа""
,
VLOOKUP(H3182,IMPORTRANGE(""https://docs.google.com/spreadsheets/d/14Bd19lYaqBhU8_DElYkX7l4wRkHqqCUFNJY4AfY3kHU/edit?usp=sharing  #gid=0"",""фіз особи new!relations_name""),6,FALSE)
,
(IF
(
G3182=""юридична особа""
,
VLOOKUP"&amp;"(H3182,IMPORTRANGE(""https://docs.google.com/spreadsheets/d/14Bd19lYaqBhU8_DElYkX7l4wRkHqqCUFNJY4AfY3kHU/edit?usp=sharing  #gid=0"",""фіз особи new!relations_name_uo""),7,FALSE)
,
)
))"),"#N/A")</f>
        <v>#N/A</v>
      </c>
      <c r="J3181" s="7" t="s">
        <v>13</v>
      </c>
    </row>
    <row r="3182" spans="1:10" ht="13.2">
      <c r="A3182" s="7">
        <v>3181</v>
      </c>
      <c r="B3182" s="7">
        <v>1</v>
      </c>
      <c r="C3182" s="7" t="s">
        <v>10</v>
      </c>
      <c r="D3182" s="7">
        <v>906</v>
      </c>
      <c r="E3182" s="7" t="s">
        <v>24</v>
      </c>
      <c r="F3182" s="8" t="str">
        <f ca="1">IFERROR(__xludf.DUMMYFUNCTION("IF
(
C3183=""фізична особа""
,
VLOOKUP(D3183,IMPORTRANGE(""https://docs.google.com/spreadsheets/d/14Bd19lYaqBhU8_DElYkX7l4wRkHqqCUFNJY4AfY3kHU/edit?usp=sharing  #gid=0"",""фіз особи new!relations_name""),6,FALSE)
,
(IF
(
C3183=""юридична особа""
,
VLOOKUP"&amp;"(D3183,IMPORTRANGE(""https://docs.google.com/spreadsheets/d/14Bd19lYaqBhU8_DElYkX7l4wRkHqqCUFNJY4AfY3kHU/edit?usp=sharing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G3182" s="7" t="s">
        <v>10</v>
      </c>
      <c r="H3182" s="7">
        <v>0</v>
      </c>
      <c r="I3182" s="8" t="str">
        <f ca="1">IFERROR(__xludf.DUMMYFUNCTION("IF
(
G3183=""фізична особа""
,
VLOOKUP(H3183,IMPORTRANGE(""https://docs.google.com/spreadsheets/d/14Bd19lYaqBhU8_DElYkX7l4wRkHqqCUFNJY4AfY3kHU/edit?usp=sharing  #gid=0"",""фіз особи new!relations_name""),6,FALSE)
,
(IF
(
G3183=""юридична особа""
,
VLOOKUP"&amp;"(H3183,IMPORTRANGE(""https://docs.google.com/spreadsheets/d/14Bd19lYaqBhU8_DElYkX7l4wRkHqqCUFNJY4AfY3kHU/edit?usp=sharing  #gid=0"",""фіз особи new!relations_name_uo""),7,FALSE)
,
)
))"),"#N/A")</f>
        <v>#N/A</v>
      </c>
      <c r="J3182" s="7" t="s">
        <v>26</v>
      </c>
    </row>
    <row r="3183" spans="1:10" ht="13.2">
      <c r="A3183" s="7">
        <v>3182</v>
      </c>
      <c r="B3183" s="7">
        <v>1</v>
      </c>
      <c r="C3183" s="7" t="s">
        <v>10</v>
      </c>
      <c r="D3183" s="7">
        <v>906</v>
      </c>
      <c r="E3183" s="7" t="s">
        <v>12</v>
      </c>
      <c r="F3183" s="8" t="str">
        <f ca="1">IFERROR(__xludf.DUMMYFUNCTION("IF
(
C3184=""фізична особа""
,
VLOOKUP(D3184,IMPORTRANGE(""https://docs.google.com/spreadsheets/d/14Bd19lYaqBhU8_DElYkX7l4wRkHqqCUFNJY4AfY3kHU/edit?usp=sharing  #gid=0"",""фіз особи new!relations_name""),6,FALSE)
,
(IF
(
C3184=""юридична особа""
,
VLOOKUP"&amp;"(D3184,IMPORTRANGE(""https://docs.google.com/spreadsheets/d/14Bd19lYaqBhU8_DElYkX7l4wRkHqqCUFNJY4AfY3kHU/edit?usp=sharing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G3183" s="7" t="s">
        <v>10</v>
      </c>
      <c r="H3183" s="7">
        <v>0</v>
      </c>
      <c r="I3183" s="8" t="str">
        <f ca="1">IFERROR(__xludf.DUMMYFUNCTION("IF
(
G3184=""фізична особа""
,
VLOOKUP(H3184,IMPORTRANGE(""https://docs.google.com/spreadsheets/d/14Bd19lYaqBhU8_DElYkX7l4wRkHqqCUFNJY4AfY3kHU/edit?usp=sharing  #gid=0"",""фіз особи new!relations_name""),6,FALSE)
,
(IF
(
G3184=""юридична особа""
,
VLOOKUP"&amp;"(H3184,IMPORTRANGE(""https://docs.google.com/spreadsheets/d/14Bd19lYaqBhU8_DElYkX7l4wRkHqqCUFNJY4AfY3kHU/edit?usp=sharing  #gid=0"",""фіз особи new!relations_name_uo""),7,FALSE)
,
)
))"),"#N/A")</f>
        <v>#N/A</v>
      </c>
      <c r="J3183" s="7" t="s">
        <v>13</v>
      </c>
    </row>
    <row r="3184" spans="1:10" ht="13.2">
      <c r="A3184" s="7">
        <v>3183</v>
      </c>
      <c r="B3184" s="7">
        <v>1</v>
      </c>
      <c r="C3184" s="7" t="s">
        <v>10</v>
      </c>
      <c r="D3184" s="7">
        <v>908</v>
      </c>
      <c r="E3184" s="7" t="s">
        <v>48</v>
      </c>
      <c r="F3184" s="8" t="str">
        <f ca="1">IFERROR(__xludf.DUMMYFUNCTION("IF
(
C3185=""фізична особа""
,
VLOOKUP(D3185,IMPORTRANGE(""https://docs.google.com/spreadsheets/d/14Bd19lYaqBhU8_DElYkX7l4wRkHqqCUFNJY4AfY3kHU/edit?usp=sharing  #gid=0"",""фіз особи new!relations_name""),6,FALSE)
,
(IF
(
C3185=""юридична особа""
,
VLOOKUP"&amp;"(D3185,IMPORTRANGE(""https://docs.google.com/spreadsheets/d/14Bd19lYaqBhU8_DElYkX7l4wRkHqqCUFNJY4AfY3kHU/edit?usp=sharing  #gid=0"",""фіз особи new!relations_name_uo""),7,FALSE)
,
)
))"),"ПЕРМІНОВА Олена Олексіївна")</f>
        <v>ПЕРМІНОВА Олена Олексіївна</v>
      </c>
      <c r="G3184" s="7" t="s">
        <v>10</v>
      </c>
      <c r="H3184" s="7">
        <v>185</v>
      </c>
      <c r="I3184" s="8" t="str">
        <f ca="1">IFERROR(__xludf.DUMMYFUNCTION("IF
(
G3185=""фізична особа""
,
VLOOKUP(H3185,IMPORTRANGE(""https://docs.google.com/spreadsheets/d/14Bd19lYaqBhU8_DElYkX7l4wRkHqqCUFNJY4AfY3kHU/edit?usp=sharing  #gid=0"",""фіз особи new!relations_name""),6,FALSE)
,
(IF
(
G3185=""юридична особа""
,
VLOOKUP"&amp;"(H3185,IMPORTRANGE(""https://docs.google.com/spreadsheets/d/14Bd19lYaqBhU8_DElYkX7l4wRkHqqCUFNJY4AfY3kHU/edit?usp=sharing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184" s="7" t="s">
        <v>48</v>
      </c>
    </row>
    <row r="3185" spans="1:10" ht="13.2">
      <c r="A3185" s="7">
        <v>3184</v>
      </c>
      <c r="B3185" s="7">
        <v>1</v>
      </c>
      <c r="C3185" s="7" t="s">
        <v>10</v>
      </c>
      <c r="D3185" s="7">
        <v>908</v>
      </c>
      <c r="E3185" s="7" t="s">
        <v>48</v>
      </c>
      <c r="F3185" s="8" t="str">
        <f ca="1">IFERROR(__xludf.DUMMYFUNCTION("IF
(
C3186=""фізична особа""
,
VLOOKUP(D3186,IMPORTRANGE(""https://docs.google.com/spreadsheets/d/14Bd19lYaqBhU8_DElYkX7l4wRkHqqCUFNJY4AfY3kHU/edit?usp=sharing  #gid=0"",""фіз особи new!relations_name""),6,FALSE)
,
(IF
(
C3186=""юридична особа""
,
VLOOKUP"&amp;"(D3186,IMPORTRANGE(""https://docs.google.com/spreadsheets/d/14Bd19lYaqBhU8_DElYkX7l4wRkHqqCUFNJY4AfY3kHU/edit?usp=sharing  #gid=0"",""фіз особи new!relations_name_uo""),7,FALSE)
,
)
))"),"ПЕРМІНОВА Олена Олексіївна")</f>
        <v>ПЕРМІНОВА Олена Олексіївна</v>
      </c>
      <c r="G3185" s="7" t="s">
        <v>10</v>
      </c>
      <c r="H3185" s="7">
        <v>64</v>
      </c>
      <c r="I3185" s="8" t="str">
        <f ca="1">IFERROR(__xludf.DUMMYFUNCTION("IF
(
G3186=""фізична особа""
,
VLOOKUP(H3186,IMPORTRANGE(""https://docs.google.com/spreadsheets/d/14Bd19lYaqBhU8_DElYkX7l4wRkHqqCUFNJY4AfY3kHU/edit?usp=sharing  #gid=0"",""фіз особи new!relations_name""),6,FALSE)
,
(IF
(
G3186=""юридична особа""
,
VLOOKUP"&amp;"(H3186,IMPORTRANGE(""https://docs.google.com/spreadsheets/d/14Bd19lYaqBhU8_DElYkX7l4wRkHqqCUFNJY4AfY3kHU/edit?usp=sharing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185" s="7" t="s">
        <v>48</v>
      </c>
    </row>
    <row r="3186" spans="1:10" ht="13.2">
      <c r="A3186" s="7">
        <v>3185</v>
      </c>
      <c r="B3186" s="7">
        <v>1</v>
      </c>
      <c r="C3186" s="7" t="s">
        <v>10</v>
      </c>
      <c r="D3186" s="7">
        <v>908</v>
      </c>
      <c r="E3186" s="7" t="s">
        <v>48</v>
      </c>
      <c r="F3186" s="8" t="str">
        <f ca="1">IFERROR(__xludf.DUMMYFUNCTION("IF
(
C3187=""фізична особа""
,
VLOOKUP(D3187,IMPORTRANGE(""https://docs.google.com/spreadsheets/d/14Bd19lYaqBhU8_DElYkX7l4wRkHqqCUFNJY4AfY3kHU/edit?usp=sharing  #gid=0"",""фіз особи new!relations_name""),6,FALSE)
,
(IF
(
C3187=""юридична особа""
,
VLOOKUP"&amp;"(D3187,IMPORTRANGE(""https://docs.google.com/spreadsheets/d/14Bd19lYaqBhU8_DElYkX7l4wRkHqqCUFNJY4AfY3kHU/edit?usp=sharing  #gid=0"",""фіз особи new!relations_name_uo""),7,FALSE)
,
)
))"),"ПЕРМІНОВА Олена Олексіївна")</f>
        <v>ПЕРМІНОВА Олена Олексіївна</v>
      </c>
      <c r="G3186" s="7" t="s">
        <v>10</v>
      </c>
      <c r="H3186" s="7">
        <v>844</v>
      </c>
      <c r="I3186" s="8" t="str">
        <f ca="1">IFERROR(__xludf.DUMMYFUNCTION("IF
(
G3187=""фізична особа""
,
VLOOKUP(H3187,IMPORTRANGE(""https://docs.google.com/spreadsheets/d/14Bd19lYaqBhU8_DElYkX7l4wRkHqqCUFNJY4AfY3kHU/edit?usp=sharing  #gid=0"",""фіз особи new!relations_name""),6,FALSE)
,
(IF
(
G3187=""юридична особа""
,
VLOOKUP"&amp;"(H3187,IMPORTRANGE(""https://docs.google.com/spreadsheets/d/14Bd19lYaqBhU8_DElYkX7l4wRkHqqCUFNJY4AfY3kHU/edit?usp=sharing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186" s="7" t="s">
        <v>48</v>
      </c>
    </row>
    <row r="3187" spans="1:10" ht="13.2">
      <c r="A3187" s="7">
        <v>3186</v>
      </c>
      <c r="B3187" s="7">
        <v>1</v>
      </c>
      <c r="C3187" s="7" t="s">
        <v>10</v>
      </c>
      <c r="D3187" s="7">
        <v>908</v>
      </c>
      <c r="E3187" s="7" t="s">
        <v>48</v>
      </c>
      <c r="F3187" s="8" t="str">
        <f ca="1">IFERROR(__xludf.DUMMYFUNCTION("IF
(
C3188=""фізична особа""
,
VLOOKUP(D3188,IMPORTRANGE(""https://docs.google.com/spreadsheets/d/14Bd19lYaqBhU8_DElYkX7l4wRkHqqCUFNJY4AfY3kHU/edit?usp=sharing  #gid=0"",""фіз особи new!relations_name""),6,FALSE)
,
(IF
(
C3188=""юридична особа""
,
VLOOKUP"&amp;"(D3188,IMPORTRANGE(""https://docs.google.com/spreadsheets/d/14Bd19lYaqBhU8_DElYkX7l4wRkHqqCUFNJY4AfY3kHU/edit?usp=sharing  #gid=0"",""фіз особи new!relations_name_uo""),7,FALSE)
,
)
))"),"ПЕРМІНОВА Олена Олексіївна")</f>
        <v>ПЕРМІНОВА Олена Олексіївна</v>
      </c>
      <c r="G3187" s="7" t="s">
        <v>10</v>
      </c>
      <c r="H3187" s="7">
        <v>4789</v>
      </c>
      <c r="I3187" s="8" t="str">
        <f ca="1">IFERROR(__xludf.DUMMYFUNCTION("IF
(
G3188=""фізична особа""
,
VLOOKUP(H3188,IMPORTRANGE(""https://docs.google.com/spreadsheets/d/14Bd19lYaqBhU8_DElYkX7l4wRkHqqCUFNJY4AfY3kHU/edit?usp=sharing  #gid=0"",""фіз особи new!relations_name""),6,FALSE)
,
(IF
(
G3188=""юридична особа""
,
VLOOKUP"&amp;"(H3188,IMPORTRANGE(""https://docs.google.com/spreadsheets/d/14Bd19lYaqBhU8_DElYkX7l4wRkHqqCUFNJY4AfY3kHU/edit?usp=sharing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187" s="7" t="s">
        <v>48</v>
      </c>
    </row>
    <row r="3188" spans="1:10" ht="13.2">
      <c r="A3188" s="7">
        <v>3187</v>
      </c>
      <c r="B3188" s="7">
        <v>1</v>
      </c>
      <c r="C3188" s="7" t="s">
        <v>10</v>
      </c>
      <c r="D3188" s="7">
        <v>908</v>
      </c>
      <c r="E3188" s="7" t="s">
        <v>48</v>
      </c>
      <c r="F3188" s="8" t="str">
        <f ca="1">IFERROR(__xludf.DUMMYFUNCTION("IF
(
C3189=""фізична особа""
,
VLOOKUP(D3189,IMPORTRANGE(""https://docs.google.com/spreadsheets/d/14Bd19lYaqBhU8_DElYkX7l4wRkHqqCUFNJY4AfY3kHU/edit?usp=sharing  #gid=0"",""фіз особи new!relations_name""),6,FALSE)
,
(IF
(
C3189=""юридична особа""
,
VLOOKUP"&amp;"(D3189,IMPORTRANGE(""https://docs.google.com/spreadsheets/d/14Bd19lYaqBhU8_DElYkX7l4wRkHqqCUFNJY4AfY3kHU/edit?usp=sharing  #gid=0"",""фіз особи new!relations_name_uo""),7,FALSE)
,
)
))"),"ПЕРМІНОВА Олена Олексіївна")</f>
        <v>ПЕРМІНОВА Олена Олексіївна</v>
      </c>
      <c r="G3188" s="7" t="s">
        <v>10</v>
      </c>
      <c r="H3188" s="7">
        <v>4870</v>
      </c>
      <c r="I3188" s="8" t="str">
        <f ca="1">IFERROR(__xludf.DUMMYFUNCTION("IF
(
G3189=""фізична особа""
,
VLOOKUP(H3189,IMPORTRANGE(""https://docs.google.com/spreadsheets/d/14Bd19lYaqBhU8_DElYkX7l4wRkHqqCUFNJY4AfY3kHU/edit?usp=sharing  #gid=0"",""фіз особи new!relations_name""),6,FALSE)
,
(IF
(
G3189=""юридична особа""
,
VLOOKUP"&amp;"(H3189,IMPORTRANGE(""https://docs.google.com/spreadsheets/d/14Bd19lYaqBhU8_DElYkX7l4wRkHqqCUFNJY4AfY3kHU/edit?usp=sharing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188" s="7" t="s">
        <v>48</v>
      </c>
    </row>
    <row r="3189" spans="1:10" ht="13.2">
      <c r="A3189" s="7">
        <v>3188</v>
      </c>
      <c r="B3189" s="7">
        <v>1</v>
      </c>
      <c r="C3189" s="7" t="s">
        <v>10</v>
      </c>
      <c r="D3189" s="7">
        <v>909</v>
      </c>
      <c r="E3189" s="7" t="s">
        <v>29</v>
      </c>
      <c r="F3189" s="8" t="str">
        <f ca="1">IFERROR(__xludf.DUMMYFUNCTION("IF
(
C3190=""фізична особа""
,
VLOOKUP(D3190,IMPORTRANGE(""https://docs.google.com/spreadsheets/d/14Bd19lYaqBhU8_DElYkX7l4wRkHqqCUFNJY4AfY3kHU/edit?usp=sharing  #gid=0"",""фіз особи new!relations_name""),6,FALSE)
,
(IF
(
C3190=""юридична особа""
,
VLOOKUP"&amp;"(D3190,IMPORTRANGE(""https://docs.google.com/spreadsheets/d/14Bd19lYaqBhU8_DElYkX7l4wRkHqqCUFNJY4AfY3kHU/edit?usp=sharing  #gid=0"",""фіз особи new!relations_name_uo""),7,FALSE)
,
)
))"),"ВТОРИГІНА Олена Андріївна")</f>
        <v>ВТОРИГІНА Олена Андріївна</v>
      </c>
      <c r="G3189" s="7" t="s">
        <v>10</v>
      </c>
      <c r="H3189" s="7">
        <v>0</v>
      </c>
      <c r="I3189" s="8" t="str">
        <f ca="1">IFERROR(__xludf.DUMMYFUNCTION("IF
(
G3190=""фізична особа""
,
VLOOKUP(H3190,IMPORTRANGE(""https://docs.google.com/spreadsheets/d/14Bd19lYaqBhU8_DElYkX7l4wRkHqqCUFNJY4AfY3kHU/edit?usp=sharing  #gid=0"",""фіз особи new!relations_name""),6,FALSE)
,
(IF
(
G3190=""юридична особа""
,
VLOOKUP"&amp;"(H3190,IMPORTRANGE(""https://docs.google.com/spreadsheets/d/14Bd19lYaqBhU8_DElYkX7l4wRkHqqCUFNJY4AfY3kHU/edit?usp=sharing  #gid=0"",""фіз особи new!relations_name_uo""),7,FALSE)
,
)
))"),"#N/A")</f>
        <v>#N/A</v>
      </c>
      <c r="J3189" s="7" t="s">
        <v>28</v>
      </c>
    </row>
    <row r="3190" spans="1:10" ht="13.2">
      <c r="A3190" s="7">
        <v>3189</v>
      </c>
      <c r="B3190" s="7">
        <v>1</v>
      </c>
      <c r="C3190" s="7" t="s">
        <v>10</v>
      </c>
      <c r="D3190" s="7">
        <v>910</v>
      </c>
      <c r="E3190" s="7" t="s">
        <v>21</v>
      </c>
      <c r="F3190" s="8" t="str">
        <f ca="1">IFERROR(__xludf.DUMMYFUNCTION("IF
(
C3191=""фізична особа""
,
VLOOKUP(D3191,IMPORTRANGE(""https://docs.google.com/spreadsheets/d/14Bd19lYaqBhU8_DElYkX7l4wRkHqqCUFNJY4AfY3kHU/edit?usp=sharing  #gid=0"",""фіз особи new!relations_name""),6,FALSE)
,
(IF
(
C3191=""юридична особа""
,
VLOOKUP"&amp;"(D3191,IMPORTRANGE(""https://docs.google.com/spreadsheets/d/14Bd19lYaqBhU8_DElYkX7l4wRkHqqCUFNJY4AfY3kHU/edit?usp=sharing  #gid=0"",""фіз особи new!relations_name_uo""),7,FALSE)
,
)
))"),"ЗЛЕНКО Олена Геннадіївна")</f>
        <v>ЗЛЕНКО Олена Геннадіївна</v>
      </c>
      <c r="G3190" s="7" t="s">
        <v>10</v>
      </c>
      <c r="H3190" s="7">
        <v>0</v>
      </c>
      <c r="I3190" s="8" t="str">
        <f ca="1">IFERROR(__xludf.DUMMYFUNCTION("IF
(
G3191=""фізична особа""
,
VLOOKUP(H3191,IMPORTRANGE(""https://docs.google.com/spreadsheets/d/14Bd19lYaqBhU8_DElYkX7l4wRkHqqCUFNJY4AfY3kHU/edit?usp=sharing  #gid=0"",""фіз особи new!relations_name""),6,FALSE)
,
(IF
(
G3191=""юридична особа""
,
VLOOKUP"&amp;"(H3191,IMPORTRANGE(""https://docs.google.com/spreadsheets/d/14Bd19lYaqBhU8_DElYkX7l4wRkHqqCUFNJY4AfY3kHU/edit?usp=sharing  #gid=0"",""фіз особи new!relations_name_uo""),7,FALSE)
,
)
))"),"#N/A")</f>
        <v>#N/A</v>
      </c>
      <c r="J3190" s="7" t="s">
        <v>17</v>
      </c>
    </row>
    <row r="3191" spans="1:10" ht="13.2">
      <c r="A3191" s="7">
        <v>3190</v>
      </c>
      <c r="B3191" s="7">
        <v>1</v>
      </c>
      <c r="C3191" s="7" t="s">
        <v>10</v>
      </c>
      <c r="D3191" s="7">
        <v>910</v>
      </c>
      <c r="E3191" s="7" t="s">
        <v>21</v>
      </c>
      <c r="F3191" s="8" t="str">
        <f ca="1">IFERROR(__xludf.DUMMYFUNCTION("IF
(
C3192=""фізична особа""
,
VLOOKUP(D3192,IMPORTRANGE(""https://docs.google.com/spreadsheets/d/14Bd19lYaqBhU8_DElYkX7l4wRkHqqCUFNJY4AfY3kHU/edit?usp=sharing  #gid=0"",""фіз особи new!relations_name""),6,FALSE)
,
(IF
(
C3192=""юридична особа""
,
VLOOKUP"&amp;"(D3192,IMPORTRANGE(""https://docs.google.com/spreadsheets/d/14Bd19lYaqBhU8_DElYkX7l4wRkHqqCUFNJY4AfY3kHU/edit?usp=sharing  #gid=0"",""фіз особи new!relations_name_uo""),7,FALSE)
,
)
))"),"ЗЛЕНКО Олена Геннадіївна")</f>
        <v>ЗЛЕНКО Олена Геннадіївна</v>
      </c>
      <c r="G3191" s="7" t="s">
        <v>10</v>
      </c>
      <c r="H3191" s="7">
        <v>0</v>
      </c>
      <c r="I3191" s="8" t="str">
        <f ca="1">IFERROR(__xludf.DUMMYFUNCTION("IF
(
G3192=""фізична особа""
,
VLOOKUP(H3192,IMPORTRANGE(""https://docs.google.com/spreadsheets/d/14Bd19lYaqBhU8_DElYkX7l4wRkHqqCUFNJY4AfY3kHU/edit?usp=sharing  #gid=0"",""фіз особи new!relations_name""),6,FALSE)
,
(IF
(
G3192=""юридична особа""
,
VLOOKUP"&amp;"(H3192,IMPORTRANGE(""https://docs.google.com/spreadsheets/d/14Bd19lYaqBhU8_DElYkX7l4wRkHqqCUFNJY4AfY3kHU/edit?usp=sharing  #gid=0"",""фіз особи new!relations_name_uo""),7,FALSE)
,
)
))"),"#N/A")</f>
        <v>#N/A</v>
      </c>
      <c r="J3191" s="7" t="s">
        <v>13</v>
      </c>
    </row>
    <row r="3192" spans="1:10" ht="13.2">
      <c r="A3192" s="7">
        <v>3191</v>
      </c>
      <c r="B3192" s="7">
        <v>1</v>
      </c>
      <c r="C3192" s="7" t="s">
        <v>10</v>
      </c>
      <c r="D3192" s="7">
        <v>910</v>
      </c>
      <c r="E3192" s="7" t="s">
        <v>15</v>
      </c>
      <c r="F3192" s="8" t="str">
        <f ca="1">IFERROR(__xludf.DUMMYFUNCTION("IF
(
C3193=""фізична особа""
,
VLOOKUP(D3193,IMPORTRANGE(""https://docs.google.com/spreadsheets/d/14Bd19lYaqBhU8_DElYkX7l4wRkHqqCUFNJY4AfY3kHU/edit?usp=sharing  #gid=0"",""фіз особи new!relations_name""),6,FALSE)
,
(IF
(
C3193=""юридична особа""
,
VLOOKUP"&amp;"(D3193,IMPORTRANGE(""https://docs.google.com/spreadsheets/d/14Bd19lYaqBhU8_DElYkX7l4wRkHqqCUFNJY4AfY3kHU/edit?usp=sharing  #gid=0"",""фіз особи new!relations_name_uo""),7,FALSE)
,
)
))"),"ЗЛЕНКО Олена Геннадіївна")</f>
        <v>ЗЛЕНКО Олена Геннадіївна</v>
      </c>
      <c r="G3192" s="7" t="s">
        <v>10</v>
      </c>
      <c r="H3192" s="7">
        <v>8649</v>
      </c>
      <c r="I3192" s="8" t="str">
        <f ca="1">IFERROR(__xludf.DUMMYFUNCTION("IF
(
G3193=""фізична особа""
,
VLOOKUP(H3193,IMPORTRANGE(""https://docs.google.com/spreadsheets/d/14Bd19lYaqBhU8_DElYkX7l4wRkHqqCUFNJY4AfY3kHU/edit?usp=sharing  #gid=0"",""фіз особи new!relations_name""),6,FALSE)
,
(IF
(
G3193=""юридична особа""
,
VLOOKUP"&amp;"(H3193,IMPORTRANGE(""https://docs.google.com/spreadsheets/d/14Bd19lYaqBhU8_DElYkX7l4wRkHqqCUFNJY4AfY3kHU/edit?usp=sharing  #gid=0"",""фіз особи new!relations_name_uo""),7,FALSE)
,
)
))"),"ІШМАЄВ Ігор Анатолійович")</f>
        <v>ІШМАЄВ Ігор Анатолійович</v>
      </c>
      <c r="J3192" s="7" t="s">
        <v>14</v>
      </c>
    </row>
    <row r="3193" spans="1:10" ht="13.2">
      <c r="A3193" s="7">
        <v>3192</v>
      </c>
      <c r="B3193" s="7">
        <v>1</v>
      </c>
      <c r="C3193" s="7" t="s">
        <v>10</v>
      </c>
      <c r="D3193" s="7">
        <v>911</v>
      </c>
      <c r="E3193" s="7" t="s">
        <v>21</v>
      </c>
      <c r="F3193" s="8" t="str">
        <f ca="1">IFERROR(__xludf.DUMMYFUNCTION("IF
(
C3194=""фізична особа""
,
VLOOKUP(D3194,IMPORTRANGE(""https://docs.google.com/spreadsheets/d/14Bd19lYaqBhU8_DElYkX7l4wRkHqqCUFNJY4AfY3kHU/edit?usp=sharing  #gid=0"",""фіз особи new!relations_name""),6,FALSE)
,
(IF
(
C3194=""юридична особа""
,
VLOOKUP"&amp;"(D3194,IMPORTRANGE(""https://docs.google.com/spreadsheets/d/14Bd19lYaqBhU8_DElYkX7l4wRkHqqCUFNJY4AfY3kHU/edit?usp=sharing  #gid=0"",""фіз особи new!relations_name_uo""),7,FALSE)
,
)
))"),"БІБІКОВА Олена Василівна")</f>
        <v>БІБІКОВА Олена Василівна</v>
      </c>
      <c r="G3193" s="7" t="s">
        <v>10</v>
      </c>
      <c r="H3193" s="7">
        <v>0</v>
      </c>
      <c r="I3193" s="8" t="str">
        <f ca="1">IFERROR(__xludf.DUMMYFUNCTION("IF
(
G3194=""фізична особа""
,
VLOOKUP(H3194,IMPORTRANGE(""https://docs.google.com/spreadsheets/d/14Bd19lYaqBhU8_DElYkX7l4wRkHqqCUFNJY4AfY3kHU/edit?usp=sharing  #gid=0"",""фіз особи new!relations_name""),6,FALSE)
,
(IF
(
G3194=""юридична особа""
,
VLOOKUP"&amp;"(H3194,IMPORTRANGE(""https://docs.google.com/spreadsheets/d/14Bd19lYaqBhU8_DElYkX7l4wRkHqqCUFNJY4AfY3kHU/edit?usp=sharing  #gid=0"",""фіз особи new!relations_name_uo""),7,FALSE)
,
)
))"),"#N/A")</f>
        <v>#N/A</v>
      </c>
      <c r="J3193" s="7" t="s">
        <v>13</v>
      </c>
    </row>
    <row r="3194" spans="1:10" ht="13.2">
      <c r="A3194" s="7">
        <v>3193</v>
      </c>
      <c r="B3194" s="7">
        <v>1</v>
      </c>
      <c r="C3194" s="7" t="s">
        <v>10</v>
      </c>
      <c r="D3194" s="7">
        <v>911</v>
      </c>
      <c r="E3194" s="7" t="s">
        <v>21</v>
      </c>
      <c r="F3194" s="8" t="str">
        <f ca="1">IFERROR(__xludf.DUMMYFUNCTION("IF
(
C3195=""фізична особа""
,
VLOOKUP(D3195,IMPORTRANGE(""https://docs.google.com/spreadsheets/d/14Bd19lYaqBhU8_DElYkX7l4wRkHqqCUFNJY4AfY3kHU/edit?usp=sharing  #gid=0"",""фіз особи new!relations_name""),6,FALSE)
,
(IF
(
C3195=""юридична особа""
,
VLOOKUP"&amp;"(D3195,IMPORTRANGE(""https://docs.google.com/spreadsheets/d/14Bd19lYaqBhU8_DElYkX7l4wRkHqqCUFNJY4AfY3kHU/edit?usp=sharing  #gid=0"",""фіз особи new!relations_name_uo""),7,FALSE)
,
)
))"),"БІБІКОВА Олена Василівна")</f>
        <v>БІБІКОВА Олена Василівна</v>
      </c>
      <c r="G3194" s="7" t="s">
        <v>10</v>
      </c>
      <c r="H3194" s="7">
        <v>23354</v>
      </c>
      <c r="I3194" s="8" t="str">
        <f ca="1">IFERROR(__xludf.DUMMYFUNCTION("IF
(
G3195=""фізична особа""
,
VLOOKUP(H3195,IMPORTRANGE(""https://docs.google.com/spreadsheets/d/14Bd19lYaqBhU8_DElYkX7l4wRkHqqCUFNJY4AfY3kHU/edit?usp=sharing  #gid=0"",""фіз особи new!relations_name""),6,FALSE)
,
(IF
(
G3195=""юридична особа""
,
VLOOKUP"&amp;"(H3195,IMPORTRANGE(""https://docs.google.com/spreadsheets/d/14Bd19lYaqBhU8_DElYkX7l4wRkHqqCUFNJY4AfY3kHU/edit?usp=sharing  #gid=0"",""фіз особи new!relations_name_uo""),7,FALSE)
,
)
))"),"ІВАНОВА Ольга Володимирівна")</f>
        <v>ІВАНОВА Ольга Володимирівна</v>
      </c>
      <c r="J3194" s="7" t="s">
        <v>13</v>
      </c>
    </row>
    <row r="3195" spans="1:10" ht="13.2">
      <c r="A3195" s="7">
        <v>3194</v>
      </c>
      <c r="B3195" s="7">
        <v>1</v>
      </c>
      <c r="C3195" s="7" t="s">
        <v>10</v>
      </c>
      <c r="D3195" s="7">
        <v>911</v>
      </c>
      <c r="E3195" s="7" t="s">
        <v>27</v>
      </c>
      <c r="F3195" s="8" t="str">
        <f ca="1">IFERROR(__xludf.DUMMYFUNCTION("IF
(
C3196=""фізична особа""
,
VLOOKUP(D3196,IMPORTRANGE(""https://docs.google.com/spreadsheets/d/14Bd19lYaqBhU8_DElYkX7l4wRkHqqCUFNJY4AfY3kHU/edit?usp=sharing  #gid=0"",""фіз особи new!relations_name""),6,FALSE)
,
(IF
(
C3196=""юридична особа""
,
VLOOKUP"&amp;"(D3196,IMPORTRANGE(""https://docs.google.com/spreadsheets/d/14Bd19lYaqBhU8_DElYkX7l4wRkHqqCUFNJY4AfY3kHU/edit?usp=sharing  #gid=0"",""фіз особи new!relations_name_uo""),7,FALSE)
,
)
))"),"БІБІКОВА Олена Василівна")</f>
        <v>БІБІКОВА Олена Василівна</v>
      </c>
      <c r="G3195" s="7" t="s">
        <v>10</v>
      </c>
      <c r="H3195" s="7">
        <v>192</v>
      </c>
      <c r="I3195" s="8" t="str">
        <f ca="1">IFERROR(__xludf.DUMMYFUNCTION("IF
(
G3196=""фізична особа""
,
VLOOKUP(H3196,IMPORTRANGE(""https://docs.google.com/spreadsheets/d/14Bd19lYaqBhU8_DElYkX7l4wRkHqqCUFNJY4AfY3kHU/edit?usp=sharing  #gid=0"",""фіз особи new!relations_name""),6,FALSE)
,
(IF
(
G3196=""юридична особа""
,
VLOOKUP"&amp;"(H3196,IMPORTRANGE(""https://docs.google.com/spreadsheets/d/14Bd19lYaqBhU8_DElYkX7l4wRkHqqCUFNJY4AfY3kHU/edit?usp=sharing  #gid=0"",""фіз особи new!relations_name_uo""),7,FALSE)
,
)
))"),"ІВАНОВ Дмитро Валерійович")</f>
        <v>ІВАНОВ Дмитро Валерійович</v>
      </c>
      <c r="J3195" s="7" t="s">
        <v>26</v>
      </c>
    </row>
    <row r="3196" spans="1:10" ht="13.2">
      <c r="A3196" s="7">
        <v>3195</v>
      </c>
      <c r="B3196" s="7">
        <v>1</v>
      </c>
      <c r="C3196" s="7" t="s">
        <v>10</v>
      </c>
      <c r="D3196" s="7">
        <v>913</v>
      </c>
      <c r="E3196" s="7" t="s">
        <v>48</v>
      </c>
      <c r="F3196" s="8" t="str">
        <f ca="1">IFERROR(__xludf.DUMMYFUNCTION("IF
(
C3197=""фізична особа""
,
VLOOKUP(D3197,IMPORTRANGE(""https://docs.google.com/spreadsheets/d/14Bd19lYaqBhU8_DElYkX7l4wRkHqqCUFNJY4AfY3kHU/edit?usp=sharing  #gid=0"",""фіз особи new!relations_name""),6,FALSE)
,
(IF
(
C3197=""юридична особа""
,
VLOOKUP"&amp;"(D3197,IMPORTRANGE(""https://docs.google.com/spreadsheets/d/14Bd19lYaqBhU8_DElYkX7l4wRkHqqCUFNJY4AfY3kHU/edit?usp=sharing  #gid=0"",""фіз особи new!relations_name_uo""),7,FALSE)
,
)
))"),"АФАНАСЬЄВА Олена Володимирівна")</f>
        <v>АФАНАСЬЄВА Олена Володимирівна</v>
      </c>
      <c r="G3196" s="7" t="s">
        <v>10</v>
      </c>
      <c r="H3196" s="7">
        <v>185</v>
      </c>
      <c r="I3196" s="8" t="str">
        <f ca="1">IFERROR(__xludf.DUMMYFUNCTION("IF
(
G3197=""фізична особа""
,
VLOOKUP(H3197,IMPORTRANGE(""https://docs.google.com/spreadsheets/d/14Bd19lYaqBhU8_DElYkX7l4wRkHqqCUFNJY4AfY3kHU/edit?usp=sharing  #gid=0"",""фіз особи new!relations_name""),6,FALSE)
,
(IF
(
G3197=""юридична особа""
,
VLOOKUP"&amp;"(H3197,IMPORTRANGE(""https://docs.google.com/spreadsheets/d/14Bd19lYaqBhU8_DElYkX7l4wRkHqqCUFNJY4AfY3kHU/edit?usp=sharing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196" s="7" t="s">
        <v>48</v>
      </c>
    </row>
    <row r="3197" spans="1:10" ht="13.2">
      <c r="A3197" s="7">
        <v>3196</v>
      </c>
      <c r="B3197" s="7">
        <v>1</v>
      </c>
      <c r="C3197" s="7" t="s">
        <v>10</v>
      </c>
      <c r="D3197" s="7">
        <v>913</v>
      </c>
      <c r="E3197" s="7" t="s">
        <v>48</v>
      </c>
      <c r="F3197" s="8" t="str">
        <f ca="1">IFERROR(__xludf.DUMMYFUNCTION("IF
(
C3198=""фізична особа""
,
VLOOKUP(D3198,IMPORTRANGE(""https://docs.google.com/spreadsheets/d/14Bd19lYaqBhU8_DElYkX7l4wRkHqqCUFNJY4AfY3kHU/edit?usp=sharing  #gid=0"",""фіз особи new!relations_name""),6,FALSE)
,
(IF
(
C3198=""юридична особа""
,
VLOOKUP"&amp;"(D3198,IMPORTRANGE(""https://docs.google.com/spreadsheets/d/14Bd19lYaqBhU8_DElYkX7l4wRkHqqCUFNJY4AfY3kHU/edit?usp=sharing  #gid=0"",""фіз особи new!relations_name_uo""),7,FALSE)
,
)
))"),"АФАНАСЬЄВА Олена Володимирівна")</f>
        <v>АФАНАСЬЄВА Олена Володимирівна</v>
      </c>
      <c r="G3197" s="7" t="s">
        <v>10</v>
      </c>
      <c r="H3197" s="7">
        <v>64</v>
      </c>
      <c r="I3197" s="8" t="str">
        <f ca="1">IFERROR(__xludf.DUMMYFUNCTION("IF
(
G3198=""фізична особа""
,
VLOOKUP(H3198,IMPORTRANGE(""https://docs.google.com/spreadsheets/d/14Bd19lYaqBhU8_DElYkX7l4wRkHqqCUFNJY4AfY3kHU/edit?usp=sharing  #gid=0"",""фіз особи new!relations_name""),6,FALSE)
,
(IF
(
G3198=""юридична особа""
,
VLOOKUP"&amp;"(H3198,IMPORTRANGE(""https://docs.google.com/spreadsheets/d/14Bd19lYaqBhU8_DElYkX7l4wRkHqqCUFNJY4AfY3kHU/edit?usp=sharing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197" s="7" t="s">
        <v>48</v>
      </c>
    </row>
    <row r="3198" spans="1:10" ht="13.2">
      <c r="A3198" s="7">
        <v>3197</v>
      </c>
      <c r="B3198" s="7">
        <v>1</v>
      </c>
      <c r="C3198" s="7" t="s">
        <v>10</v>
      </c>
      <c r="D3198" s="7">
        <v>913</v>
      </c>
      <c r="E3198" s="7" t="s">
        <v>48</v>
      </c>
      <c r="F3198" s="8" t="str">
        <f ca="1">IFERROR(__xludf.DUMMYFUNCTION("IF
(
C3199=""фізична особа""
,
VLOOKUP(D3199,IMPORTRANGE(""https://docs.google.com/spreadsheets/d/14Bd19lYaqBhU8_DElYkX7l4wRkHqqCUFNJY4AfY3kHU/edit?usp=sharing  #gid=0"",""фіз особи new!relations_name""),6,FALSE)
,
(IF
(
C3199=""юридична особа""
,
VLOOKUP"&amp;"(D3199,IMPORTRANGE(""https://docs.google.com/spreadsheets/d/14Bd19lYaqBhU8_DElYkX7l4wRkHqqCUFNJY4AfY3kHU/edit?usp=sharing  #gid=0"",""фіз особи new!relations_name_uo""),7,FALSE)
,
)
))"),"АФАНАСЬЄВА Олена Володимирівна")</f>
        <v>АФАНАСЬЄВА Олена Володимирівна</v>
      </c>
      <c r="G3198" s="7" t="s">
        <v>10</v>
      </c>
      <c r="H3198" s="7">
        <v>844</v>
      </c>
      <c r="I3198" s="8" t="str">
        <f ca="1">IFERROR(__xludf.DUMMYFUNCTION("IF
(
G3199=""фізична особа""
,
VLOOKUP(H3199,IMPORTRANGE(""https://docs.google.com/spreadsheets/d/14Bd19lYaqBhU8_DElYkX7l4wRkHqqCUFNJY4AfY3kHU/edit?usp=sharing  #gid=0"",""фіз особи new!relations_name""),6,FALSE)
,
(IF
(
G3199=""юридична особа""
,
VLOOKUP"&amp;"(H3199,IMPORTRANGE(""https://docs.google.com/spreadsheets/d/14Bd19lYaqBhU8_DElYkX7l4wRkHqqCUFNJY4AfY3kHU/edit?usp=sharing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198" s="7" t="s">
        <v>48</v>
      </c>
    </row>
    <row r="3199" spans="1:10" ht="13.2">
      <c r="A3199" s="7">
        <v>3198</v>
      </c>
      <c r="B3199" s="7">
        <v>1</v>
      </c>
      <c r="C3199" s="7" t="s">
        <v>10</v>
      </c>
      <c r="D3199" s="7">
        <v>913</v>
      </c>
      <c r="E3199" s="7" t="s">
        <v>48</v>
      </c>
      <c r="F3199" s="8" t="str">
        <f ca="1">IFERROR(__xludf.DUMMYFUNCTION("IF
(
C3200=""фізична особа""
,
VLOOKUP(D3200,IMPORTRANGE(""https://docs.google.com/spreadsheets/d/14Bd19lYaqBhU8_DElYkX7l4wRkHqqCUFNJY4AfY3kHU/edit?usp=sharing  #gid=0"",""фіз особи new!relations_name""),6,FALSE)
,
(IF
(
C3200=""юридична особа""
,
VLOOKUP"&amp;"(D3200,IMPORTRANGE(""https://docs.google.com/spreadsheets/d/14Bd19lYaqBhU8_DElYkX7l4wRkHqqCUFNJY4AfY3kHU/edit?usp=sharing  #gid=0"",""фіз особи new!relations_name_uo""),7,FALSE)
,
)
))"),"АФАНАСЬЄВА Олена Володимирівна")</f>
        <v>АФАНАСЬЄВА Олена Володимирівна</v>
      </c>
      <c r="G3199" s="7" t="s">
        <v>10</v>
      </c>
      <c r="H3199" s="7">
        <v>4789</v>
      </c>
      <c r="I3199" s="8" t="str">
        <f ca="1">IFERROR(__xludf.DUMMYFUNCTION("IF
(
G3200=""фізична особа""
,
VLOOKUP(H3200,IMPORTRANGE(""https://docs.google.com/spreadsheets/d/14Bd19lYaqBhU8_DElYkX7l4wRkHqqCUFNJY4AfY3kHU/edit?usp=sharing  #gid=0"",""фіз особи new!relations_name""),6,FALSE)
,
(IF
(
G3200=""юридична особа""
,
VLOOKUP"&amp;"(H3200,IMPORTRANGE(""https://docs.google.com/spreadsheets/d/14Bd19lYaqBhU8_DElYkX7l4wRkHqqCUFNJY4AfY3kHU/edit?usp=sharing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199" s="7" t="s">
        <v>48</v>
      </c>
    </row>
    <row r="3200" spans="1:10" ht="13.2">
      <c r="A3200" s="7">
        <v>3199</v>
      </c>
      <c r="B3200" s="7">
        <v>1</v>
      </c>
      <c r="C3200" s="7" t="s">
        <v>10</v>
      </c>
      <c r="D3200" s="7">
        <v>913</v>
      </c>
      <c r="E3200" s="7" t="s">
        <v>48</v>
      </c>
      <c r="F3200" s="8" t="str">
        <f ca="1">IFERROR(__xludf.DUMMYFUNCTION("IF
(
C3201=""фізична особа""
,
VLOOKUP(D3201,IMPORTRANGE(""https://docs.google.com/spreadsheets/d/14Bd19lYaqBhU8_DElYkX7l4wRkHqqCUFNJY4AfY3kHU/edit?usp=sharing  #gid=0"",""фіз особи new!relations_name""),6,FALSE)
,
(IF
(
C3201=""юридична особа""
,
VLOOKUP"&amp;"(D3201,IMPORTRANGE(""https://docs.google.com/spreadsheets/d/14Bd19lYaqBhU8_DElYkX7l4wRkHqqCUFNJY4AfY3kHU/edit?usp=sharing  #gid=0"",""фіз особи new!relations_name_uo""),7,FALSE)
,
)
))"),"АФАНАСЬЄВА Олена Володимирівна")</f>
        <v>АФАНАСЬЄВА Олена Володимирівна</v>
      </c>
      <c r="G3200" s="7" t="s">
        <v>10</v>
      </c>
      <c r="H3200" s="7">
        <v>4870</v>
      </c>
      <c r="I3200" s="8" t="str">
        <f ca="1">IFERROR(__xludf.DUMMYFUNCTION("IF
(
G3201=""фізична особа""
,
VLOOKUP(H3201,IMPORTRANGE(""https://docs.google.com/spreadsheets/d/14Bd19lYaqBhU8_DElYkX7l4wRkHqqCUFNJY4AfY3kHU/edit?usp=sharing  #gid=0"",""фіз особи new!relations_name""),6,FALSE)
,
(IF
(
G3201=""юридична особа""
,
VLOOKUP"&amp;"(H3201,IMPORTRANGE(""https://docs.google.com/spreadsheets/d/14Bd19lYaqBhU8_DElYkX7l4wRkHqqCUFNJY4AfY3kHU/edit?usp=sharing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200" s="7" t="s">
        <v>48</v>
      </c>
    </row>
    <row r="3201" spans="1:10" ht="13.2">
      <c r="A3201" s="7">
        <v>3200</v>
      </c>
      <c r="B3201" s="7">
        <v>1</v>
      </c>
      <c r="C3201" s="7" t="s">
        <v>10</v>
      </c>
      <c r="D3201" s="7">
        <v>914</v>
      </c>
      <c r="E3201" s="7" t="s">
        <v>14</v>
      </c>
      <c r="F3201" s="8" t="str">
        <f ca="1">IFERROR(__xludf.DUMMYFUNCTION("IF
(
C3202=""фізична особа""
,
VLOOKUP(D3202,IMPORTRANGE(""https://docs.google.com/spreadsheets/d/14Bd19lYaqBhU8_DElYkX7l4wRkHqqCUFNJY4AfY3kHU/edit?usp=sharing  #gid=0"",""фіз особи new!relations_name""),6,FALSE)
,
(IF
(
C3202=""юридична особа""
,
VLOOKUP"&amp;"(D3202,IMPORTRANGE(""https://docs.google.com/spreadsheets/d/14Bd19lYaqBhU8_DElYkX7l4wRkHqqCUFNJY4AfY3kHU/edit?usp=sharing  #gid=0"",""фіз особи new!relations_name_uo""),7,FALSE)
,
)
))"),"ПРІЛЄПІН Євгеній Миколайович")</f>
        <v>ПРІЛЄПІН Євгеній Миколайович</v>
      </c>
      <c r="G3201" s="7" t="s">
        <v>10</v>
      </c>
      <c r="H3201" s="7">
        <v>0</v>
      </c>
      <c r="I3201" s="8" t="str">
        <f ca="1">IFERROR(__xludf.DUMMYFUNCTION("IF
(
G3202=""фізична особа""
,
VLOOKUP(H3202,IMPORTRANGE(""https://docs.google.com/spreadsheets/d/14Bd19lYaqBhU8_DElYkX7l4wRkHqqCUFNJY4AfY3kHU/edit?usp=sharing  #gid=0"",""фіз особи new!relations_name""),6,FALSE)
,
(IF
(
G3202=""юридична особа""
,
VLOOKUP"&amp;"(H3202,IMPORTRANGE(""https://docs.google.com/spreadsheets/d/14Bd19lYaqBhU8_DElYkX7l4wRkHqqCUFNJY4AfY3kHU/edit?usp=sharing  #gid=0"",""фіз особи new!relations_name_uo""),7,FALSE)
,
)
))"),"#N/A")</f>
        <v>#N/A</v>
      </c>
      <c r="J3201" s="7" t="s">
        <v>15</v>
      </c>
    </row>
    <row r="3202" spans="1:10" ht="13.2">
      <c r="A3202" s="7">
        <v>3201</v>
      </c>
      <c r="B3202" s="7">
        <v>1</v>
      </c>
      <c r="C3202" s="7" t="s">
        <v>10</v>
      </c>
      <c r="D3202" s="7">
        <v>914</v>
      </c>
      <c r="E3202" s="7" t="s">
        <v>12</v>
      </c>
      <c r="F3202" s="8" t="str">
        <f ca="1">IFERROR(__xludf.DUMMYFUNCTION("IF
(
C3203=""фізична особа""
,
VLOOKUP(D3203,IMPORTRANGE(""https://docs.google.com/spreadsheets/d/14Bd19lYaqBhU8_DElYkX7l4wRkHqqCUFNJY4AfY3kHU/edit?usp=sharing  #gid=0"",""фіз особи new!relations_name""),6,FALSE)
,
(IF
(
C3203=""юридична особа""
,
VLOOKUP"&amp;"(D3203,IMPORTRANGE(""https://docs.google.com/spreadsheets/d/14Bd19lYaqBhU8_DElYkX7l4wRkHqqCUFNJY4AfY3kHU/edit?usp=sharing  #gid=0"",""фіз особи new!relations_name_uo""),7,FALSE)
,
)
))"),"ПРІЛЄПІН Євгеній Миколайович")</f>
        <v>ПРІЛЄПІН Євгеній Миколайович</v>
      </c>
      <c r="G3202" s="7" t="s">
        <v>10</v>
      </c>
      <c r="H3202" s="7">
        <v>0</v>
      </c>
      <c r="I3202" s="8" t="str">
        <f ca="1">IFERROR(__xludf.DUMMYFUNCTION("IF
(
G3203=""фізична особа""
,
VLOOKUP(H3203,IMPORTRANGE(""https://docs.google.com/spreadsheets/d/14Bd19lYaqBhU8_DElYkX7l4wRkHqqCUFNJY4AfY3kHU/edit?usp=sharing  #gid=0"",""фіз особи new!relations_name""),6,FALSE)
,
(IF
(
G3203=""юридична особа""
,
VLOOKUP"&amp;"(H3203,IMPORTRANGE(""https://docs.google.com/spreadsheets/d/14Bd19lYaqBhU8_DElYkX7l4wRkHqqCUFNJY4AfY3kHU/edit?usp=sharing  #gid=0"",""фіз особи new!relations_name_uo""),7,FALSE)
,
)
))"),"#N/A")</f>
        <v>#N/A</v>
      </c>
      <c r="J3202" s="7" t="s">
        <v>13</v>
      </c>
    </row>
    <row r="3203" spans="1:10" ht="13.2">
      <c r="A3203" s="7">
        <v>3202</v>
      </c>
      <c r="B3203" s="7">
        <v>1</v>
      </c>
      <c r="C3203" s="7" t="s">
        <v>10</v>
      </c>
      <c r="D3203" s="7">
        <v>914</v>
      </c>
      <c r="E3203" s="7" t="s">
        <v>12</v>
      </c>
      <c r="F3203" s="8" t="str">
        <f ca="1">IFERROR(__xludf.DUMMYFUNCTION("IF
(
C3204=""фізична особа""
,
VLOOKUP(D3204,IMPORTRANGE(""https://docs.google.com/spreadsheets/d/14Bd19lYaqBhU8_DElYkX7l4wRkHqqCUFNJY4AfY3kHU/edit?usp=sharing  #gid=0"",""фіз особи new!relations_name""),6,FALSE)
,
(IF
(
C3204=""юридична особа""
,
VLOOKUP"&amp;"(D3204,IMPORTRANGE(""https://docs.google.com/spreadsheets/d/14Bd19lYaqBhU8_DElYkX7l4wRkHqqCUFNJY4AfY3kHU/edit?usp=sharing  #gid=0"",""фіз особи new!relations_name_uo""),7,FALSE)
,
)
))"),"ПРІЛЄПІН Євгеній Миколайович")</f>
        <v>ПРІЛЄПІН Євгеній Миколайович</v>
      </c>
      <c r="G3203" s="7" t="s">
        <v>10</v>
      </c>
      <c r="H3203" s="7">
        <v>0</v>
      </c>
      <c r="I3203" s="8" t="str">
        <f ca="1">IFERROR(__xludf.DUMMYFUNCTION("IF
(
G3204=""фізична особа""
,
VLOOKUP(H3204,IMPORTRANGE(""https://docs.google.com/spreadsheets/d/14Bd19lYaqBhU8_DElYkX7l4wRkHqqCUFNJY4AfY3kHU/edit?usp=sharing  #gid=0"",""фіз особи new!relations_name""),6,FALSE)
,
(IF
(
G3204=""юридична особа""
,
VLOOKUP"&amp;"(H3204,IMPORTRANGE(""https://docs.google.com/spreadsheets/d/14Bd19lYaqBhU8_DElYkX7l4wRkHqqCUFNJY4AfY3kHU/edit?usp=sharing  #gid=0"",""фіз особи new!relations_name_uo""),7,FALSE)
,
)
))"),"#N/A")</f>
        <v>#N/A</v>
      </c>
      <c r="J3203" s="7" t="s">
        <v>13</v>
      </c>
    </row>
    <row r="3204" spans="1:10" ht="13.2">
      <c r="A3204" s="7">
        <v>3203</v>
      </c>
      <c r="B3204" s="7">
        <v>1</v>
      </c>
      <c r="C3204" s="7" t="s">
        <v>10</v>
      </c>
      <c r="D3204" s="7">
        <v>914</v>
      </c>
      <c r="E3204" s="7" t="s">
        <v>12</v>
      </c>
      <c r="F3204" s="8" t="str">
        <f ca="1">IFERROR(__xludf.DUMMYFUNCTION("IF
(
C3205=""фізична особа""
,
VLOOKUP(D3205,IMPORTRANGE(""https://docs.google.com/spreadsheets/d/14Bd19lYaqBhU8_DElYkX7l4wRkHqqCUFNJY4AfY3kHU/edit?usp=sharing  #gid=0"",""фіз особи new!relations_name""),6,FALSE)
,
(IF
(
C3205=""юридична особа""
,
VLOOKUP"&amp;"(D3205,IMPORTRANGE(""https://docs.google.com/spreadsheets/d/14Bd19lYaqBhU8_DElYkX7l4wRkHqqCUFNJY4AfY3kHU/edit?usp=sharing  #gid=0"",""фіз особи new!relations_name_uo""),7,FALSE)
,
)
))"),"ПРІЛЄПІН Євгеній Миколайович")</f>
        <v>ПРІЛЄПІН Євгеній Миколайович</v>
      </c>
      <c r="G3204" s="7" t="s">
        <v>10</v>
      </c>
      <c r="H3204" s="7">
        <v>0</v>
      </c>
      <c r="I3204" s="8" t="str">
        <f ca="1">IFERROR(__xludf.DUMMYFUNCTION("IF
(
G3205=""фізична особа""
,
VLOOKUP(H3205,IMPORTRANGE(""https://docs.google.com/spreadsheets/d/14Bd19lYaqBhU8_DElYkX7l4wRkHqqCUFNJY4AfY3kHU/edit?usp=sharing  #gid=0"",""фіз особи new!relations_name""),6,FALSE)
,
(IF
(
G3205=""юридична особа""
,
VLOOKUP"&amp;"(H3205,IMPORTRANGE(""https://docs.google.com/spreadsheets/d/14Bd19lYaqBhU8_DElYkX7l4wRkHqqCUFNJY4AfY3kHU/edit?usp=sharing  #gid=0"",""фіз особи new!relations_name_uo""),7,FALSE)
,
)
))"),"#N/A")</f>
        <v>#N/A</v>
      </c>
      <c r="J3204" s="7" t="s">
        <v>17</v>
      </c>
    </row>
    <row r="3205" spans="1:10" ht="13.2">
      <c r="A3205" s="7">
        <v>3204</v>
      </c>
      <c r="B3205" s="7">
        <v>1</v>
      </c>
      <c r="C3205" s="7" t="s">
        <v>10</v>
      </c>
      <c r="D3205" s="7">
        <v>914</v>
      </c>
      <c r="E3205" s="7" t="s">
        <v>12</v>
      </c>
      <c r="F3205" s="8" t="str">
        <f ca="1">IFERROR(__xludf.DUMMYFUNCTION("IF
(
C3206=""фізична особа""
,
VLOOKUP(D3206,IMPORTRANGE(""https://docs.google.com/spreadsheets/d/14Bd19lYaqBhU8_DElYkX7l4wRkHqqCUFNJY4AfY3kHU/edit?usp=sharing  #gid=0"",""фіз особи new!relations_name""),6,FALSE)
,
(IF
(
C3206=""юридична особа""
,
VLOOKUP"&amp;"(D3206,IMPORTRANGE(""https://docs.google.com/spreadsheets/d/14Bd19lYaqBhU8_DElYkX7l4wRkHqqCUFNJY4AfY3kHU/edit?usp=sharing  #gid=0"",""фіз особи new!relations_name_uo""),7,FALSE)
,
)
))"),"ПРІЛЄПІН Євгеній Миколайович")</f>
        <v>ПРІЛЄПІН Євгеній Миколайович</v>
      </c>
      <c r="G3205" s="7" t="s">
        <v>10</v>
      </c>
      <c r="H3205" s="7">
        <v>0</v>
      </c>
      <c r="I3205" s="8" t="str">
        <f ca="1">IFERROR(__xludf.DUMMYFUNCTION("IF
(
G3206=""фізична особа""
,
VLOOKUP(H3206,IMPORTRANGE(""https://docs.google.com/spreadsheets/d/14Bd19lYaqBhU8_DElYkX7l4wRkHqqCUFNJY4AfY3kHU/edit?usp=sharing  #gid=0"",""фіз особи new!relations_name""),6,FALSE)
,
(IF
(
G3206=""юридична особа""
,
VLOOKUP"&amp;"(H3206,IMPORTRANGE(""https://docs.google.com/spreadsheets/d/14Bd19lYaqBhU8_DElYkX7l4wRkHqqCUFNJY4AfY3kHU/edit?usp=sharing  #gid=0"",""фіз особи new!relations_name_uo""),7,FALSE)
,
)
))"),"#N/A")</f>
        <v>#N/A</v>
      </c>
      <c r="J3205" s="7" t="s">
        <v>17</v>
      </c>
    </row>
    <row r="3206" spans="1:10" ht="13.2">
      <c r="A3206" s="7">
        <v>3205</v>
      </c>
      <c r="B3206" s="7">
        <v>1</v>
      </c>
      <c r="C3206" s="7" t="s">
        <v>10</v>
      </c>
      <c r="D3206" s="7">
        <v>915</v>
      </c>
      <c r="E3206" s="7" t="s">
        <v>40</v>
      </c>
      <c r="F3206" s="8" t="str">
        <f ca="1">IFERROR(__xludf.DUMMYFUNCTION("IF
(
C3207=""фізична особа""
,
VLOOKUP(D3207,IMPORTRANGE(""https://docs.google.com/spreadsheets/d/14Bd19lYaqBhU8_DElYkX7l4wRkHqqCUFNJY4AfY3kHU/edit?usp=sharing  #gid=0"",""фіз особи new!relations_name""),6,FALSE)
,
(IF
(
C3207=""юридична особа""
,
VLOOKUP"&amp;"(D3207,IMPORTRANGE(""https://docs.google.com/spreadsheets/d/14Bd19lYaqBhU8_DElYkX7l4wRkHqqCUFNJY4AfY3kHU/edit?usp=sharing  #gid=0"",""фіз особи new!relations_name_uo""),7,FALSE)
,
)
))"),"ОРЛОВ Євгеній В'ячеславович")</f>
        <v>ОРЛОВ Євгеній В'ячеславович</v>
      </c>
      <c r="G3206" s="7" t="s">
        <v>10</v>
      </c>
      <c r="H3206" s="7">
        <v>856</v>
      </c>
      <c r="I3206" s="8" t="str">
        <f ca="1">IFERROR(__xludf.DUMMYFUNCTION("IF
(
G3207=""фізична особа""
,
VLOOKUP(H3207,IMPORTRANGE(""https://docs.google.com/spreadsheets/d/14Bd19lYaqBhU8_DElYkX7l4wRkHqqCUFNJY4AfY3kHU/edit?usp=sharing  #gid=0"",""фіз особи new!relations_name""),6,FALSE)
,
(IF
(
G3207=""юридична особа""
,
VLOOKUP"&amp;"(H3207,IMPORTRANGE(""https://docs.google.com/spreadsheets/d/14Bd19lYaqBhU8_DElYkX7l4wRkHqqCUFNJY4AfY3kHU/edit?usp=sharing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206" s="7" t="s">
        <v>41</v>
      </c>
    </row>
    <row r="3207" spans="1:10" ht="13.2">
      <c r="A3207" s="7">
        <v>3206</v>
      </c>
      <c r="B3207" s="7">
        <v>1</v>
      </c>
      <c r="C3207" s="7" t="s">
        <v>10</v>
      </c>
      <c r="D3207" s="7">
        <v>917</v>
      </c>
      <c r="E3207" s="7" t="s">
        <v>14</v>
      </c>
      <c r="F3207" s="8" t="str">
        <f ca="1">IFERROR(__xludf.DUMMYFUNCTION("IF
(
C3208=""фізична особа""
,
VLOOKUP(D3208,IMPORTRANGE(""https://docs.google.com/spreadsheets/d/14Bd19lYaqBhU8_DElYkX7l4wRkHqqCUFNJY4AfY3kHU/edit?usp=sharing  #gid=0"",""фіз особи new!relations_name""),6,FALSE)
,
(IF
(
C3208=""юридична особа""
,
VLOOKUP"&amp;"(D3208,IMPORTRANGE(""https://docs.google.com/spreadsheets/d/14Bd19lYaqBhU8_DElYkX7l4wRkHqqCUFNJY4AfY3kHU/edit?usp=sharing  #gid=0"",""фіз особи new!relations_name_uo""),7,FALSE)
,
)
))"),"МОСКВИЧОВ Євгеній Сергійович")</f>
        <v>МОСКВИЧОВ Євгеній Сергійович</v>
      </c>
      <c r="G3207" s="7" t="s">
        <v>10</v>
      </c>
      <c r="H3207" s="7">
        <v>0</v>
      </c>
      <c r="I3207" s="8" t="str">
        <f ca="1">IFERROR(__xludf.DUMMYFUNCTION("IF
(
G3208=""фізична особа""
,
VLOOKUP(H3208,IMPORTRANGE(""https://docs.google.com/spreadsheets/d/14Bd19lYaqBhU8_DElYkX7l4wRkHqqCUFNJY4AfY3kHU/edit?usp=sharing  #gid=0"",""фіз особи new!relations_name""),6,FALSE)
,
(IF
(
G3208=""юридична особа""
,
VLOOKUP"&amp;"(H3208,IMPORTRANGE(""https://docs.google.com/spreadsheets/d/14Bd19lYaqBhU8_DElYkX7l4wRkHqqCUFNJY4AfY3kHU/edit?usp=sharing  #gid=0"",""фіз особи new!relations_name_uo""),7,FALSE)
,
)
))"),"#N/A")</f>
        <v>#N/A</v>
      </c>
      <c r="J3207" s="7" t="s">
        <v>15</v>
      </c>
    </row>
    <row r="3208" spans="1:10" ht="13.2">
      <c r="A3208" s="7">
        <v>3207</v>
      </c>
      <c r="B3208" s="7">
        <v>1</v>
      </c>
      <c r="C3208" s="7" t="s">
        <v>10</v>
      </c>
      <c r="D3208" s="7">
        <v>917</v>
      </c>
      <c r="E3208" s="7" t="s">
        <v>29</v>
      </c>
      <c r="F3208" s="8" t="str">
        <f ca="1">IFERROR(__xludf.DUMMYFUNCTION("IF
(
C3209=""фізична особа""
,
VLOOKUP(D3209,IMPORTRANGE(""https://docs.google.com/spreadsheets/d/14Bd19lYaqBhU8_DElYkX7l4wRkHqqCUFNJY4AfY3kHU/edit?usp=sharing  #gid=0"",""фіз особи new!relations_name""),6,FALSE)
,
(IF
(
C3209=""юридична особа""
,
VLOOKUP"&amp;"(D3209,IMPORTRANGE(""https://docs.google.com/spreadsheets/d/14Bd19lYaqBhU8_DElYkX7l4wRkHqqCUFNJY4AfY3kHU/edit?usp=sharing  #gid=0"",""фіз особи new!relations_name_uo""),7,FALSE)
,
)
))"),"МОСКВИЧОВ Євгеній Сергійович")</f>
        <v>МОСКВИЧОВ Євгеній Сергійович</v>
      </c>
      <c r="G3208" s="7" t="s">
        <v>10</v>
      </c>
      <c r="H3208" s="7">
        <v>0</v>
      </c>
      <c r="I3208" s="8" t="str">
        <f ca="1">IFERROR(__xludf.DUMMYFUNCTION("IF
(
G3209=""фізична особа""
,
VLOOKUP(H3209,IMPORTRANGE(""https://docs.google.com/spreadsheets/d/14Bd19lYaqBhU8_DElYkX7l4wRkHqqCUFNJY4AfY3kHU/edit?usp=sharing  #gid=0"",""фіз особи new!relations_name""),6,FALSE)
,
(IF
(
G3209=""юридична особа""
,
VLOOKUP"&amp;"(H3209,IMPORTRANGE(""https://docs.google.com/spreadsheets/d/14Bd19lYaqBhU8_DElYkX7l4wRkHqqCUFNJY4AfY3kHU/edit?usp=sharing  #gid=0"",""фіз особи new!relations_name_uo""),7,FALSE)
,
)
))"),"#N/A")</f>
        <v>#N/A</v>
      </c>
      <c r="J3208" s="7" t="s">
        <v>28</v>
      </c>
    </row>
    <row r="3209" spans="1:10" ht="13.2">
      <c r="A3209" s="7">
        <v>3208</v>
      </c>
      <c r="B3209" s="7">
        <v>1</v>
      </c>
      <c r="C3209" s="7" t="s">
        <v>10</v>
      </c>
      <c r="D3209" s="7">
        <v>917</v>
      </c>
      <c r="E3209" s="7" t="s">
        <v>13</v>
      </c>
      <c r="F3209" s="8" t="str">
        <f ca="1">IFERROR(__xludf.DUMMYFUNCTION("IF
(
C3210=""фізична особа""
,
VLOOKUP(D3210,IMPORTRANGE(""https://docs.google.com/spreadsheets/d/14Bd19lYaqBhU8_DElYkX7l4wRkHqqCUFNJY4AfY3kHU/edit?usp=sharing  #gid=0"",""фіз особи new!relations_name""),6,FALSE)
,
(IF
(
C3210=""юридична особа""
,
VLOOKUP"&amp;"(D3210,IMPORTRANGE(""https://docs.google.com/spreadsheets/d/14Bd19lYaqBhU8_DElYkX7l4wRkHqqCUFNJY4AfY3kHU/edit?usp=sharing  #gid=0"",""фіз особи new!relations_name_uo""),7,FALSE)
,
)
))"),"МОСКВИЧОВ Євгеній Сергійович")</f>
        <v>МОСКВИЧОВ Євгеній Сергійович</v>
      </c>
      <c r="G3209" s="7" t="s">
        <v>10</v>
      </c>
      <c r="H3209" s="7">
        <v>0</v>
      </c>
      <c r="I3209" s="8" t="str">
        <f ca="1">IFERROR(__xludf.DUMMYFUNCTION("IF
(
G3210=""фізична особа""
,
VLOOKUP(H3210,IMPORTRANGE(""https://docs.google.com/spreadsheets/d/14Bd19lYaqBhU8_DElYkX7l4wRkHqqCUFNJY4AfY3kHU/edit?usp=sharing  #gid=0"",""фіз особи new!relations_name""),6,FALSE)
,
(IF
(
G3210=""юридична особа""
,
VLOOKUP"&amp;"(H3210,IMPORTRANGE(""https://docs.google.com/spreadsheets/d/14Bd19lYaqBhU8_DElYkX7l4wRkHqqCUFNJY4AfY3kHU/edit?usp=sharing  #gid=0"",""фіз особи new!relations_name_uo""),7,FALSE)
,
)
))"),"#N/A")</f>
        <v>#N/A</v>
      </c>
      <c r="J3209" s="7" t="s">
        <v>12</v>
      </c>
    </row>
    <row r="3210" spans="1:10" ht="13.2">
      <c r="A3210" s="7">
        <v>3209</v>
      </c>
      <c r="B3210" s="7">
        <v>1</v>
      </c>
      <c r="C3210" s="7" t="s">
        <v>10</v>
      </c>
      <c r="D3210" s="7">
        <v>922</v>
      </c>
      <c r="E3210" s="7" t="s">
        <v>28</v>
      </c>
      <c r="F3210" s="8" t="str">
        <f ca="1">IFERROR(__xludf.DUMMYFUNCTION("IF
(
C3211=""фізична особа""
,
VLOOKUP(D3211,IMPORTRANGE(""https://docs.google.com/spreadsheets/d/14Bd19lYaqBhU8_DElYkX7l4wRkHqqCUFNJY4AfY3kHU/edit?usp=sharing  #gid=0"",""фіз особи new!relations_name""),6,FALSE)
,
(IF
(
C3211=""юридична особа""
,
VLOOKUP"&amp;"(D3211,IMPORTRANGE(""https://docs.google.com/spreadsheets/d/14Bd19lYaqBhU8_DElYkX7l4wRkHqqCUFNJY4AfY3kHU/edit?usp=sharing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0" s="7" t="s">
        <v>10</v>
      </c>
      <c r="H3210" s="7">
        <v>670</v>
      </c>
      <c r="I3210" s="8" t="str">
        <f ca="1">IFERROR(__xludf.DUMMYFUNCTION("IF
(
G3211=""фізична особа""
,
VLOOKUP(H3211,IMPORTRANGE(""https://docs.google.com/spreadsheets/d/14Bd19lYaqBhU8_DElYkX7l4wRkHqqCUFNJY4AfY3kHU/edit?usp=sharing  #gid=0"",""фіз особи new!relations_name""),6,FALSE)
,
(IF
(
G3211=""юридична особа""
,
VLOOKUP"&amp;"(H3211,IMPORTRANGE(""https://docs.google.com/spreadsheets/d/14Bd19lYaqBhU8_DElYkX7l4wRkHqqCUFNJY4AfY3kHU/edit?usp=sharing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3210" s="7" t="s">
        <v>29</v>
      </c>
    </row>
    <row r="3211" spans="1:10" ht="13.2">
      <c r="A3211" s="7">
        <v>3210</v>
      </c>
      <c r="B3211" s="7">
        <v>1</v>
      </c>
      <c r="C3211" s="7" t="s">
        <v>10</v>
      </c>
      <c r="D3211" s="7">
        <v>922</v>
      </c>
      <c r="E3211" s="7" t="s">
        <v>18</v>
      </c>
      <c r="F3211" s="8" t="str">
        <f ca="1">IFERROR(__xludf.DUMMYFUNCTION("IF
(
C3212=""фізична особа""
,
VLOOKUP(D3212,IMPORTRANGE(""https://docs.google.com/spreadsheets/d/14Bd19lYaqBhU8_DElYkX7l4wRkHqqCUFNJY4AfY3kHU/edit?usp=sharing  #gid=0"",""фіз особи new!relations_name""),6,FALSE)
,
(IF
(
C3212=""юридична особа""
,
VLOOKUP"&amp;"(D3212,IMPORTRANGE(""https://docs.google.com/spreadsheets/d/14Bd19lYaqBhU8_DElYkX7l4wRkHqqCUFNJY4AfY3kHU/edit?usp=sharing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1" s="7" t="s">
        <v>10</v>
      </c>
      <c r="H3211" s="7">
        <v>0</v>
      </c>
      <c r="I3211" s="8" t="str">
        <f ca="1">IFERROR(__xludf.DUMMYFUNCTION("IF
(
G3212=""фізична особа""
,
VLOOKUP(H3212,IMPORTRANGE(""https://docs.google.com/spreadsheets/d/14Bd19lYaqBhU8_DElYkX7l4wRkHqqCUFNJY4AfY3kHU/edit?usp=sharing  #gid=0"",""фіз особи new!relations_name""),6,FALSE)
,
(IF
(
G3212=""юридична особа""
,
VLOOKUP"&amp;"(H3212,IMPORTRANGE(""https://docs.google.com/spreadsheets/d/14Bd19lYaqBhU8_DElYkX7l4wRkHqqCUFNJY4AfY3kHU/edit?usp=sharing  #gid=0"",""фіз особи new!relations_name_uo""),7,FALSE)
,
)
))"),"#N/A")</f>
        <v>#N/A</v>
      </c>
      <c r="J3211" s="7" t="s">
        <v>18</v>
      </c>
    </row>
    <row r="3212" spans="1:10" ht="13.2">
      <c r="A3212" s="7">
        <v>3211</v>
      </c>
      <c r="B3212" s="7">
        <v>1</v>
      </c>
      <c r="C3212" s="7" t="s">
        <v>10</v>
      </c>
      <c r="D3212" s="7">
        <v>922</v>
      </c>
      <c r="E3212" s="7" t="s">
        <v>18</v>
      </c>
      <c r="F3212" s="8" t="str">
        <f ca="1">IFERROR(__xludf.DUMMYFUNCTION("IF
(
C3213=""фізична особа""
,
VLOOKUP(D3213,IMPORTRANGE(""https://docs.google.com/spreadsheets/d/14Bd19lYaqBhU8_DElYkX7l4wRkHqqCUFNJY4AfY3kHU/edit?usp=sharing  #gid=0"",""фіз особи new!relations_name""),6,FALSE)
,
(IF
(
C3213=""юридична особа""
,
VLOOKUP"&amp;"(D3213,IMPORTRANGE(""https://docs.google.com/spreadsheets/d/14Bd19lYaqBhU8_DElYkX7l4wRkHqqCUFNJY4AfY3kHU/edit?usp=sharing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2" s="7" t="s">
        <v>10</v>
      </c>
      <c r="H3212" s="7">
        <v>0</v>
      </c>
      <c r="I3212" s="8" t="str">
        <f ca="1">IFERROR(__xludf.DUMMYFUNCTION("IF
(
G3213=""фізична особа""
,
VLOOKUP(H3213,IMPORTRANGE(""https://docs.google.com/spreadsheets/d/14Bd19lYaqBhU8_DElYkX7l4wRkHqqCUFNJY4AfY3kHU/edit?usp=sharing  #gid=0"",""фіз особи new!relations_name""),6,FALSE)
,
(IF
(
G3213=""юридична особа""
,
VLOOKUP"&amp;"(H3213,IMPORTRANGE(""https://docs.google.com/spreadsheets/d/14Bd19lYaqBhU8_DElYkX7l4wRkHqqCUFNJY4AfY3kHU/edit?usp=sharing  #gid=0"",""фіз особи new!relations_name_uo""),7,FALSE)
,
)
))"),"#N/A")</f>
        <v>#N/A</v>
      </c>
      <c r="J3212" s="7" t="s">
        <v>18</v>
      </c>
    </row>
    <row r="3213" spans="1:10" ht="13.2">
      <c r="A3213" s="7">
        <v>3212</v>
      </c>
      <c r="B3213" s="7">
        <v>1</v>
      </c>
      <c r="C3213" s="7" t="s">
        <v>10</v>
      </c>
      <c r="D3213" s="7">
        <v>922</v>
      </c>
      <c r="E3213" s="7" t="s">
        <v>14</v>
      </c>
      <c r="F3213" s="8" t="str">
        <f ca="1">IFERROR(__xludf.DUMMYFUNCTION("IF
(
C3214=""фізична особа""
,
VLOOKUP(D3214,IMPORTRANGE(""https://docs.google.com/spreadsheets/d/14Bd19lYaqBhU8_DElYkX7l4wRkHqqCUFNJY4AfY3kHU/edit?usp=sharing  #gid=0"",""фіз особи new!relations_name""),6,FALSE)
,
(IF
(
C3214=""юридична особа""
,
VLOOKUP"&amp;"(D3214,IMPORTRANGE(""https://docs.google.com/spreadsheets/d/14Bd19lYaqBhU8_DElYkX7l4wRkHqqCUFNJY4AfY3kHU/edit?usp=sharing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3" s="7" t="s">
        <v>10</v>
      </c>
      <c r="H3213" s="7">
        <v>0</v>
      </c>
      <c r="I3213" s="8" t="str">
        <f ca="1">IFERROR(__xludf.DUMMYFUNCTION("IF
(
G3214=""фізична особа""
,
VLOOKUP(H3214,IMPORTRANGE(""https://docs.google.com/spreadsheets/d/14Bd19lYaqBhU8_DElYkX7l4wRkHqqCUFNJY4AfY3kHU/edit?usp=sharing  #gid=0"",""фіз особи new!relations_name""),6,FALSE)
,
(IF
(
G3214=""юридична особа""
,
VLOOKUP"&amp;"(H3214,IMPORTRANGE(""https://docs.google.com/spreadsheets/d/14Bd19lYaqBhU8_DElYkX7l4wRkHqqCUFNJY4AfY3kHU/edit?usp=sharing  #gid=0"",""фіз особи new!relations_name_uo""),7,FALSE)
,
)
))"),"#N/A")</f>
        <v>#N/A</v>
      </c>
      <c r="J3213" s="7" t="s">
        <v>15</v>
      </c>
    </row>
    <row r="3214" spans="1:10" ht="13.2">
      <c r="A3214" s="7">
        <v>3213</v>
      </c>
      <c r="B3214" s="7">
        <v>1</v>
      </c>
      <c r="C3214" s="7" t="s">
        <v>10</v>
      </c>
      <c r="D3214" s="7">
        <v>922</v>
      </c>
      <c r="E3214" s="7" t="s">
        <v>12</v>
      </c>
      <c r="F3214" s="8" t="str">
        <f ca="1">IFERROR(__xludf.DUMMYFUNCTION("IF
(
C3215=""фізична особа""
,
VLOOKUP(D3215,IMPORTRANGE(""https://docs.google.com/spreadsheets/d/14Bd19lYaqBhU8_DElYkX7l4wRkHqqCUFNJY4AfY3kHU/edit?usp=sharing  #gid=0"",""фіз особи new!relations_name""),6,FALSE)
,
(IF
(
C3215=""юридична особа""
,
VLOOKUP"&amp;"(D3215,IMPORTRANGE(""https://docs.google.com/spreadsheets/d/14Bd19lYaqBhU8_DElYkX7l4wRkHqqCUFNJY4AfY3kHU/edit?usp=sharing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4" s="7" t="s">
        <v>10</v>
      </c>
      <c r="H3214" s="7">
        <v>0</v>
      </c>
      <c r="I3214" s="8" t="str">
        <f ca="1">IFERROR(__xludf.DUMMYFUNCTION("IF
(
G3215=""фізична особа""
,
VLOOKUP(H3215,IMPORTRANGE(""https://docs.google.com/spreadsheets/d/14Bd19lYaqBhU8_DElYkX7l4wRkHqqCUFNJY4AfY3kHU/edit?usp=sharing  #gid=0"",""фіз особи new!relations_name""),6,FALSE)
,
(IF
(
G3215=""юридична особа""
,
VLOOKUP"&amp;"(H3215,IMPORTRANGE(""https://docs.google.com/spreadsheets/d/14Bd19lYaqBhU8_DElYkX7l4wRkHqqCUFNJY4AfY3kHU/edit?usp=sharing  #gid=0"",""фіз особи new!relations_name_uo""),7,FALSE)
,
)
))"),"#N/A")</f>
        <v>#N/A</v>
      </c>
      <c r="J3214" s="7" t="s">
        <v>17</v>
      </c>
    </row>
    <row r="3215" spans="1:10" ht="13.2">
      <c r="A3215" s="7">
        <v>3214</v>
      </c>
      <c r="B3215" s="7">
        <v>1</v>
      </c>
      <c r="C3215" s="7" t="s">
        <v>10</v>
      </c>
      <c r="D3215" s="7">
        <v>922</v>
      </c>
      <c r="E3215" s="7" t="s">
        <v>12</v>
      </c>
      <c r="F3215" s="8" t="str">
        <f ca="1">IFERROR(__xludf.DUMMYFUNCTION("IF
(
C3216=""фізична особа""
,
VLOOKUP(D3216,IMPORTRANGE(""https://docs.google.com/spreadsheets/d/14Bd19lYaqBhU8_DElYkX7l4wRkHqqCUFNJY4AfY3kHU/edit?usp=sharing  #gid=0"",""фіз особи new!relations_name""),6,FALSE)
,
(IF
(
C3216=""юридична особа""
,
VLOOKUP"&amp;"(D3216,IMPORTRANGE(""https://docs.google.com/spreadsheets/d/14Bd19lYaqBhU8_DElYkX7l4wRkHqqCUFNJY4AfY3kHU/edit?usp=sharing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5" s="7" t="s">
        <v>10</v>
      </c>
      <c r="H3215" s="7">
        <v>0</v>
      </c>
      <c r="I3215" s="8" t="str">
        <f ca="1">IFERROR(__xludf.DUMMYFUNCTION("IF
(
G3216=""фізична особа""
,
VLOOKUP(H3216,IMPORTRANGE(""https://docs.google.com/spreadsheets/d/14Bd19lYaqBhU8_DElYkX7l4wRkHqqCUFNJY4AfY3kHU/edit?usp=sharing  #gid=0"",""фіз особи new!relations_name""),6,FALSE)
,
(IF
(
G3216=""юридична особа""
,
VLOOKUP"&amp;"(H3216,IMPORTRANGE(""https://docs.google.com/spreadsheets/d/14Bd19lYaqBhU8_DElYkX7l4wRkHqqCUFNJY4AfY3kHU/edit?usp=sharing  #gid=0"",""фіз особи new!relations_name_uo""),7,FALSE)
,
)
))"),"#N/A")</f>
        <v>#N/A</v>
      </c>
      <c r="J3215" s="7" t="s">
        <v>17</v>
      </c>
    </row>
    <row r="3216" spans="1:10" ht="13.2">
      <c r="A3216" s="7">
        <v>3215</v>
      </c>
      <c r="B3216" s="7">
        <v>1</v>
      </c>
      <c r="C3216" s="7" t="s">
        <v>10</v>
      </c>
      <c r="D3216" s="7">
        <v>922</v>
      </c>
      <c r="E3216" s="7" t="s">
        <v>12</v>
      </c>
      <c r="F3216" s="8" t="str">
        <f ca="1">IFERROR(__xludf.DUMMYFUNCTION("IF
(
C3217=""фізична особа""
,
VLOOKUP(D3217,IMPORTRANGE(""https://docs.google.com/spreadsheets/d/14Bd19lYaqBhU8_DElYkX7l4wRkHqqCUFNJY4AfY3kHU/edit?usp=sharing  #gid=0"",""фіз особи new!relations_name""),6,FALSE)
,
(IF
(
C3217=""юридична особа""
,
VLOOKUP"&amp;"(D3217,IMPORTRANGE(""https://docs.google.com/spreadsheets/d/14Bd19lYaqBhU8_DElYkX7l4wRkHqqCUFNJY4AfY3kHU/edit?usp=sharing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6" s="7" t="s">
        <v>10</v>
      </c>
      <c r="H3216" s="7">
        <v>0</v>
      </c>
      <c r="I3216" s="8" t="str">
        <f ca="1">IFERROR(__xludf.DUMMYFUNCTION("IF
(
G3217=""фізична особа""
,
VLOOKUP(H3217,IMPORTRANGE(""https://docs.google.com/spreadsheets/d/14Bd19lYaqBhU8_DElYkX7l4wRkHqqCUFNJY4AfY3kHU/edit?usp=sharing  #gid=0"",""фіз особи new!relations_name""),6,FALSE)
,
(IF
(
G3217=""юридична особа""
,
VLOOKUP"&amp;"(H3217,IMPORTRANGE(""https://docs.google.com/spreadsheets/d/14Bd19lYaqBhU8_DElYkX7l4wRkHqqCUFNJY4AfY3kHU/edit?usp=sharing  #gid=0"",""фіз особи new!relations_name_uo""),7,FALSE)
,
)
))"),"#N/A")</f>
        <v>#N/A</v>
      </c>
      <c r="J3216" s="7" t="s">
        <v>17</v>
      </c>
    </row>
    <row r="3217" spans="1:10" ht="13.2">
      <c r="A3217" s="7">
        <v>3216</v>
      </c>
      <c r="B3217" s="7">
        <v>1</v>
      </c>
      <c r="C3217" s="7" t="s">
        <v>10</v>
      </c>
      <c r="D3217" s="7">
        <v>922</v>
      </c>
      <c r="E3217" s="7" t="s">
        <v>12</v>
      </c>
      <c r="F3217" s="8" t="str">
        <f ca="1">IFERROR(__xludf.DUMMYFUNCTION("IF
(
C3218=""фізична особа""
,
VLOOKUP(D3218,IMPORTRANGE(""https://docs.google.com/spreadsheets/d/14Bd19lYaqBhU8_DElYkX7l4wRkHqqCUFNJY4AfY3kHU/edit?usp=sharing  #gid=0"",""фіз особи new!relations_name""),6,FALSE)
,
(IF
(
C3218=""юридична особа""
,
VLOOKUP"&amp;"(D3218,IMPORTRANGE(""https://docs.google.com/spreadsheets/d/14Bd19lYaqBhU8_DElYkX7l4wRkHqqCUFNJY4AfY3kHU/edit?usp=sharing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7" s="7" t="s">
        <v>10</v>
      </c>
      <c r="H3217" s="7">
        <v>0</v>
      </c>
      <c r="I3217" s="8" t="str">
        <f ca="1">IFERROR(__xludf.DUMMYFUNCTION("IF
(
G3218=""фізична особа""
,
VLOOKUP(H3218,IMPORTRANGE(""https://docs.google.com/spreadsheets/d/14Bd19lYaqBhU8_DElYkX7l4wRkHqqCUFNJY4AfY3kHU/edit?usp=sharing  #gid=0"",""фіз особи new!relations_name""),6,FALSE)
,
(IF
(
G3218=""юридична особа""
,
VLOOKUP"&amp;"(H3218,IMPORTRANGE(""https://docs.google.com/spreadsheets/d/14Bd19lYaqBhU8_DElYkX7l4wRkHqqCUFNJY4AfY3kHU/edit?usp=sharing  #gid=0"",""фіз особи new!relations_name_uo""),7,FALSE)
,
)
))"),"#N/A")</f>
        <v>#N/A</v>
      </c>
      <c r="J3217" s="7" t="s">
        <v>17</v>
      </c>
    </row>
    <row r="3218" spans="1:10" ht="13.2">
      <c r="A3218" s="7">
        <v>3217</v>
      </c>
      <c r="B3218" s="7">
        <v>1</v>
      </c>
      <c r="C3218" s="7" t="s">
        <v>10</v>
      </c>
      <c r="D3218" s="7">
        <v>922</v>
      </c>
      <c r="E3218" s="7" t="s">
        <v>12</v>
      </c>
      <c r="F3218" s="8" t="str">
        <f ca="1">IFERROR(__xludf.DUMMYFUNCTION("IF
(
C3219=""фізична особа""
,
VLOOKUP(D3219,IMPORTRANGE(""https://docs.google.com/spreadsheets/d/14Bd19lYaqBhU8_DElYkX7l4wRkHqqCUFNJY4AfY3kHU/edit?usp=sharing  #gid=0"",""фіз особи new!relations_name""),6,FALSE)
,
(IF
(
C3219=""юридична особа""
,
VLOOKUP"&amp;"(D3219,IMPORTRANGE(""https://docs.google.com/spreadsheets/d/14Bd19lYaqBhU8_DElYkX7l4wRkHqqCUFNJY4AfY3kHU/edit?usp=sharing  #gid=0"",""фіз особи new!relations_name_uo""),7,FALSE)
,
)
))"),"ЄВКУРОВ Юнус-Бек Баматгірійович")</f>
        <v>ЄВКУРОВ Юнус-Бек Баматгірійович</v>
      </c>
      <c r="G3218" s="7" t="s">
        <v>10</v>
      </c>
      <c r="H3218" s="7">
        <v>0</v>
      </c>
      <c r="I3218" s="8" t="str">
        <f ca="1">IFERROR(__xludf.DUMMYFUNCTION("IF
(
G3219=""фізична особа""
,
VLOOKUP(H3219,IMPORTRANGE(""https://docs.google.com/spreadsheets/d/14Bd19lYaqBhU8_DElYkX7l4wRkHqqCUFNJY4AfY3kHU/edit?usp=sharing  #gid=0"",""фіз особи new!relations_name""),6,FALSE)
,
(IF
(
G3219=""юридична особа""
,
VLOOKUP"&amp;"(H3219,IMPORTRANGE(""https://docs.google.com/spreadsheets/d/14Bd19lYaqBhU8_DElYkX7l4wRkHqqCUFNJY4AfY3kHU/edit?usp=sharing  #gid=0"",""фіз особи new!relations_name_uo""),7,FALSE)
,
)
))"),"#N/A")</f>
        <v>#N/A</v>
      </c>
      <c r="J3218" s="7" t="s">
        <v>13</v>
      </c>
    </row>
    <row r="3219" spans="1:10" ht="13.2">
      <c r="A3219" s="7">
        <v>3218</v>
      </c>
      <c r="B3219" s="7">
        <v>1</v>
      </c>
      <c r="C3219" s="7" t="s">
        <v>10</v>
      </c>
      <c r="D3219" s="7">
        <v>923</v>
      </c>
      <c r="E3219" s="7" t="s">
        <v>48</v>
      </c>
      <c r="F3219" s="8" t="str">
        <f ca="1">IFERROR(__xludf.DUMMYFUNCTION("IF
(
C3220=""фізична особа""
,
VLOOKUP(D3220,IMPORTRANGE(""https://docs.google.com/spreadsheets/d/14Bd19lYaqBhU8_DElYkX7l4wRkHqqCUFNJY4AfY3kHU/edit?usp=sharing  #gid=0"",""фіз особи new!relations_name""),6,FALSE)
,
(IF
(
C3220=""юридична особа""
,
VLOOKUP"&amp;"(D3220,IMPORTRANGE(""https://docs.google.com/spreadsheets/d/14Bd19lYaqBhU8_DElYkX7l4wRkHqqCUFNJY4AfY3kHU/edit?usp=sharing  #gid=0"",""фіз особи new!relations_name_uo""),7,FALSE)
,
)
))"),"ЖУКОВА Анастасія Геннадіївна")</f>
        <v>ЖУКОВА Анастасія Геннадіївна</v>
      </c>
      <c r="G3219" s="7" t="s">
        <v>10</v>
      </c>
      <c r="H3219" s="7">
        <v>185</v>
      </c>
      <c r="I3219" s="8" t="str">
        <f ca="1">IFERROR(__xludf.DUMMYFUNCTION("IF
(
G3220=""фізична особа""
,
VLOOKUP(H3220,IMPORTRANGE(""https://docs.google.com/spreadsheets/d/14Bd19lYaqBhU8_DElYkX7l4wRkHqqCUFNJY4AfY3kHU/edit?usp=sharing  #gid=0"",""фіз особи new!relations_name""),6,FALSE)
,
(IF
(
G3220=""юридична особа""
,
VLOOKUP"&amp;"(H3220,IMPORTRANGE(""https://docs.google.com/spreadsheets/d/14Bd19lYaqBhU8_DElYkX7l4wRkHqqCUFNJY4AfY3kHU/edit?usp=sharing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219" s="7" t="s">
        <v>48</v>
      </c>
    </row>
    <row r="3220" spans="1:10" ht="13.2">
      <c r="A3220" s="7">
        <v>3219</v>
      </c>
      <c r="B3220" s="7">
        <v>1</v>
      </c>
      <c r="C3220" s="7" t="s">
        <v>10</v>
      </c>
      <c r="D3220" s="7">
        <v>923</v>
      </c>
      <c r="E3220" s="7" t="s">
        <v>48</v>
      </c>
      <c r="F3220" s="8" t="str">
        <f ca="1">IFERROR(__xludf.DUMMYFUNCTION("IF
(
C3221=""фізична особа""
,
VLOOKUP(D3221,IMPORTRANGE(""https://docs.google.com/spreadsheets/d/14Bd19lYaqBhU8_DElYkX7l4wRkHqqCUFNJY4AfY3kHU/edit?usp=sharing  #gid=0"",""фіз особи new!relations_name""),6,FALSE)
,
(IF
(
C3221=""юридична особа""
,
VLOOKUP"&amp;"(D3221,IMPORTRANGE(""https://docs.google.com/spreadsheets/d/14Bd19lYaqBhU8_DElYkX7l4wRkHqqCUFNJY4AfY3kHU/edit?usp=sharing  #gid=0"",""фіз особи new!relations_name_uo""),7,FALSE)
,
)
))"),"ЖУКОВА Анастасія Геннадіївна")</f>
        <v>ЖУКОВА Анастасія Геннадіївна</v>
      </c>
      <c r="G3220" s="7" t="s">
        <v>10</v>
      </c>
      <c r="H3220" s="7">
        <v>64</v>
      </c>
      <c r="I3220" s="8" t="str">
        <f ca="1">IFERROR(__xludf.DUMMYFUNCTION("IF
(
G3221=""фізична особа""
,
VLOOKUP(H3221,IMPORTRANGE(""https://docs.google.com/spreadsheets/d/14Bd19lYaqBhU8_DElYkX7l4wRkHqqCUFNJY4AfY3kHU/edit?usp=sharing  #gid=0"",""фіз особи new!relations_name""),6,FALSE)
,
(IF
(
G3221=""юридична особа""
,
VLOOKUP"&amp;"(H3221,IMPORTRANGE(""https://docs.google.com/spreadsheets/d/14Bd19lYaqBhU8_DElYkX7l4wRkHqqCUFNJY4AfY3kHU/edit?usp=sharing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220" s="7" t="s">
        <v>48</v>
      </c>
    </row>
    <row r="3221" spans="1:10" ht="13.2">
      <c r="A3221" s="7">
        <v>3220</v>
      </c>
      <c r="B3221" s="7">
        <v>1</v>
      </c>
      <c r="C3221" s="7" t="s">
        <v>10</v>
      </c>
      <c r="D3221" s="7">
        <v>923</v>
      </c>
      <c r="E3221" s="7" t="s">
        <v>48</v>
      </c>
      <c r="F3221" s="8" t="str">
        <f ca="1">IFERROR(__xludf.DUMMYFUNCTION("IF
(
C3222=""фізична особа""
,
VLOOKUP(D3222,IMPORTRANGE(""https://docs.google.com/spreadsheets/d/14Bd19lYaqBhU8_DElYkX7l4wRkHqqCUFNJY4AfY3kHU/edit?usp=sharing  #gid=0"",""фіз особи new!relations_name""),6,FALSE)
,
(IF
(
C3222=""юридична особа""
,
VLOOKUP"&amp;"(D3222,IMPORTRANGE(""https://docs.google.com/spreadsheets/d/14Bd19lYaqBhU8_DElYkX7l4wRkHqqCUFNJY4AfY3kHU/edit?usp=sharing  #gid=0"",""фіз особи new!relations_name_uo""),7,FALSE)
,
)
))"),"ЖУКОВА Анастасія Геннадіївна")</f>
        <v>ЖУКОВА Анастасія Геннадіївна</v>
      </c>
      <c r="G3221" s="7" t="s">
        <v>10</v>
      </c>
      <c r="H3221" s="7">
        <v>844</v>
      </c>
      <c r="I3221" s="8" t="str">
        <f ca="1">IFERROR(__xludf.DUMMYFUNCTION("IF
(
G3222=""фізична особа""
,
VLOOKUP(H3222,IMPORTRANGE(""https://docs.google.com/spreadsheets/d/14Bd19lYaqBhU8_DElYkX7l4wRkHqqCUFNJY4AfY3kHU/edit?usp=sharing  #gid=0"",""фіз особи new!relations_name""),6,FALSE)
,
(IF
(
G3222=""юридична особа""
,
VLOOKUP"&amp;"(H3222,IMPORTRANGE(""https://docs.google.com/spreadsheets/d/14Bd19lYaqBhU8_DElYkX7l4wRkHqqCUFNJY4AfY3kHU/edit?usp=sharing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221" s="7" t="s">
        <v>48</v>
      </c>
    </row>
    <row r="3222" spans="1:10" ht="13.2">
      <c r="A3222" s="7">
        <v>3221</v>
      </c>
      <c r="B3222" s="7">
        <v>1</v>
      </c>
      <c r="C3222" s="7" t="s">
        <v>10</v>
      </c>
      <c r="D3222" s="7">
        <v>923</v>
      </c>
      <c r="E3222" s="7" t="s">
        <v>48</v>
      </c>
      <c r="F3222" s="8" t="str">
        <f ca="1">IFERROR(__xludf.DUMMYFUNCTION("IF
(
C3223=""фізична особа""
,
VLOOKUP(D3223,IMPORTRANGE(""https://docs.google.com/spreadsheets/d/14Bd19lYaqBhU8_DElYkX7l4wRkHqqCUFNJY4AfY3kHU/edit?usp=sharing  #gid=0"",""фіз особи new!relations_name""),6,FALSE)
,
(IF
(
C3223=""юридична особа""
,
VLOOKUP"&amp;"(D3223,IMPORTRANGE(""https://docs.google.com/spreadsheets/d/14Bd19lYaqBhU8_DElYkX7l4wRkHqqCUFNJY4AfY3kHU/edit?usp=sharing  #gid=0"",""фіз особи new!relations_name_uo""),7,FALSE)
,
)
))"),"ЖУКОВА Анастасія Геннадіївна")</f>
        <v>ЖУКОВА Анастасія Геннадіївна</v>
      </c>
      <c r="G3222" s="7" t="s">
        <v>10</v>
      </c>
      <c r="H3222" s="7">
        <v>4789</v>
      </c>
      <c r="I3222" s="8" t="str">
        <f ca="1">IFERROR(__xludf.DUMMYFUNCTION("IF
(
G3223=""фізична особа""
,
VLOOKUP(H3223,IMPORTRANGE(""https://docs.google.com/spreadsheets/d/14Bd19lYaqBhU8_DElYkX7l4wRkHqqCUFNJY4AfY3kHU/edit?usp=sharing  #gid=0"",""фіз особи new!relations_name""),6,FALSE)
,
(IF
(
G3223=""юридична особа""
,
VLOOKUP"&amp;"(H3223,IMPORTRANGE(""https://docs.google.com/spreadsheets/d/14Bd19lYaqBhU8_DElYkX7l4wRkHqqCUFNJY4AfY3kHU/edit?usp=sharing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222" s="7" t="s">
        <v>48</v>
      </c>
    </row>
    <row r="3223" spans="1:10" ht="13.2">
      <c r="A3223" s="7">
        <v>3222</v>
      </c>
      <c r="B3223" s="7">
        <v>1</v>
      </c>
      <c r="C3223" s="7" t="s">
        <v>10</v>
      </c>
      <c r="D3223" s="7">
        <v>923</v>
      </c>
      <c r="E3223" s="7" t="s">
        <v>48</v>
      </c>
      <c r="F3223" s="8" t="str">
        <f ca="1">IFERROR(__xludf.DUMMYFUNCTION("IF
(
C3224=""фізична особа""
,
VLOOKUP(D3224,IMPORTRANGE(""https://docs.google.com/spreadsheets/d/14Bd19lYaqBhU8_DElYkX7l4wRkHqqCUFNJY4AfY3kHU/edit?usp=sharing  #gid=0"",""фіз особи new!relations_name""),6,FALSE)
,
(IF
(
C3224=""юридична особа""
,
VLOOKUP"&amp;"(D3224,IMPORTRANGE(""https://docs.google.com/spreadsheets/d/14Bd19lYaqBhU8_DElYkX7l4wRkHqqCUFNJY4AfY3kHU/edit?usp=sharing  #gid=0"",""фіз особи new!relations_name_uo""),7,FALSE)
,
)
))"),"ЖУКОВА Анастасія Геннадіївна")</f>
        <v>ЖУКОВА Анастасія Геннадіївна</v>
      </c>
      <c r="G3223" s="7" t="s">
        <v>10</v>
      </c>
      <c r="H3223" s="7">
        <v>4870</v>
      </c>
      <c r="I3223" s="8" t="str">
        <f ca="1">IFERROR(__xludf.DUMMYFUNCTION("IF
(
G3224=""фізична особа""
,
VLOOKUP(H3224,IMPORTRANGE(""https://docs.google.com/spreadsheets/d/14Bd19lYaqBhU8_DElYkX7l4wRkHqqCUFNJY4AfY3kHU/edit?usp=sharing  #gid=0"",""фіз особи new!relations_name""),6,FALSE)
,
(IF
(
G3224=""юридична особа""
,
VLOOKUP"&amp;"(H3224,IMPORTRANGE(""https://docs.google.com/spreadsheets/d/14Bd19lYaqBhU8_DElYkX7l4wRkHqqCUFNJY4AfY3kHU/edit?usp=sharing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223" s="7" t="s">
        <v>48</v>
      </c>
    </row>
    <row r="3224" spans="1:10" ht="13.2">
      <c r="A3224" s="7">
        <v>3223</v>
      </c>
      <c r="B3224" s="7">
        <v>1</v>
      </c>
      <c r="C3224" s="7" t="s">
        <v>10</v>
      </c>
      <c r="D3224" s="7">
        <v>925</v>
      </c>
      <c r="E3224" s="7" t="s">
        <v>14</v>
      </c>
      <c r="F3224" s="8" t="str">
        <f ca="1">IFERROR(__xludf.DUMMYFUNCTION("IF
(
C3225=""фізична особа""
,
VLOOKUP(D3225,IMPORTRANGE(""https://docs.google.com/spreadsheets/d/14Bd19lYaqBhU8_DElYkX7l4wRkHqqCUFNJY4AfY3kHU/edit?usp=sharing  #gid=0"",""фіз особи new!relations_name""),6,FALSE)
,
(IF
(
C3225=""юридична особа""
,
VLOOKUP"&amp;"(D3225,IMPORTRANGE(""https://docs.google.com/spreadsheets/d/14Bd19lYaqBhU8_DElYkX7l4wRkHqqCUFNJY4AfY3kHU/edit?usp=sharing  #gid=0"",""фіз особи new!relations_name_uo""),7,FALSE)
,
)
))"),"ВАЛЯЄВ Юрій Костянтинович")</f>
        <v>ВАЛЯЄВ Юрій Костянтинович</v>
      </c>
      <c r="G3224" s="7" t="s">
        <v>10</v>
      </c>
      <c r="H3224" s="7">
        <v>0</v>
      </c>
      <c r="I3224" s="8" t="str">
        <f ca="1">IFERROR(__xludf.DUMMYFUNCTION("IF
(
G3225=""фізична особа""
,
VLOOKUP(H3225,IMPORTRANGE(""https://docs.google.com/spreadsheets/d/14Bd19lYaqBhU8_DElYkX7l4wRkHqqCUFNJY4AfY3kHU/edit?usp=sharing  #gid=0"",""фіз особи new!relations_name""),6,FALSE)
,
(IF
(
G3225=""юридична особа""
,
VLOOKUP"&amp;"(H3225,IMPORTRANGE(""https://docs.google.com/spreadsheets/d/14Bd19lYaqBhU8_DElYkX7l4wRkHqqCUFNJY4AfY3kHU/edit?usp=sharing  #gid=0"",""фіз особи new!relations_name_uo""),7,FALSE)
,
)
))"),"#N/A")</f>
        <v>#N/A</v>
      </c>
      <c r="J3224" s="7" t="s">
        <v>15</v>
      </c>
    </row>
    <row r="3225" spans="1:10" ht="13.2">
      <c r="A3225" s="7">
        <v>3224</v>
      </c>
      <c r="B3225" s="7">
        <v>1</v>
      </c>
      <c r="C3225" s="7" t="s">
        <v>10</v>
      </c>
      <c r="D3225" s="7">
        <v>926</v>
      </c>
      <c r="E3225" s="7" t="s">
        <v>14</v>
      </c>
      <c r="F3225" s="8" t="str">
        <f ca="1">IFERROR(__xludf.DUMMYFUNCTION("IF
(
C3226=""фізична особа""
,
VLOOKUP(D3226,IMPORTRANGE(""https://docs.google.com/spreadsheets/d/14Bd19lYaqBhU8_DElYkX7l4wRkHqqCUFNJY4AfY3kHU/edit?usp=sharing  #gid=0"",""фіз особи new!relations_name""),6,FALSE)
,
(IF
(
C3226=""юридична особа""
,
VLOOKUP"&amp;"(D3226,IMPORTRANGE(""https://docs.google.com/spreadsheets/d/14Bd19lYaqBhU8_DElYkX7l4wRkHqqCUFNJY4AfY3kHU/edit?usp=sharing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G3225" s="7" t="s">
        <v>10</v>
      </c>
      <c r="H3225" s="7">
        <v>755</v>
      </c>
      <c r="I3225" s="8" t="str">
        <f ca="1">IFERROR(__xludf.DUMMYFUNCTION("IF
(
G3226=""фізична особа""
,
VLOOKUP(H3226,IMPORTRANGE(""https://docs.google.com/spreadsheets/d/14Bd19lYaqBhU8_DElYkX7l4wRkHqqCUFNJY4AfY3kHU/edit?usp=sharing  #gid=0"",""фіз особи new!relations_name""),6,FALSE)
,
(IF
(
G3226=""юридична особа""
,
VLOOKUP"&amp;"(H3226,IMPORTRANGE(""https://docs.google.com/spreadsheets/d/14Bd19lYaqBhU8_DElYkX7l4wRkHqqCUFNJY4AfY3kHU/edit?usp=sharing  #gid=0"",""фіз особи new!relations_name_uo""),7,FALSE)
,
)
))"),"КОВАЛЬЧУК Тетяна Олександрівна")</f>
        <v>КОВАЛЬЧУК Тетяна Олександрівна</v>
      </c>
      <c r="J3225" s="7" t="s">
        <v>15</v>
      </c>
    </row>
    <row r="3226" spans="1:10" ht="13.2">
      <c r="A3226" s="7">
        <v>3225</v>
      </c>
      <c r="B3226" s="7">
        <v>1</v>
      </c>
      <c r="C3226" s="7" t="s">
        <v>10</v>
      </c>
      <c r="D3226" s="7">
        <v>926</v>
      </c>
      <c r="E3226" s="7" t="s">
        <v>18</v>
      </c>
      <c r="F3226" s="8" t="str">
        <f ca="1">IFERROR(__xludf.DUMMYFUNCTION("IF
(
C3227=""фізична особа""
,
VLOOKUP(D3227,IMPORTRANGE(""https://docs.google.com/spreadsheets/d/14Bd19lYaqBhU8_DElYkX7l4wRkHqqCUFNJY4AfY3kHU/edit?usp=sharing  #gid=0"",""фіз особи new!relations_name""),6,FALSE)
,
(IF
(
C3227=""юридична особа""
,
VLOOKUP"&amp;"(D3227,IMPORTRANGE(""https://docs.google.com/spreadsheets/d/14Bd19lYaqBhU8_DElYkX7l4wRkHqqCUFNJY4AfY3kHU/edit?usp=sharing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G3226" s="7" t="s">
        <v>10</v>
      </c>
      <c r="H3226" s="7">
        <v>1396</v>
      </c>
      <c r="I3226" s="8" t="str">
        <f ca="1">IFERROR(__xludf.DUMMYFUNCTION("IF
(
G3227=""фізична особа""
,
VLOOKUP(H3227,IMPORTRANGE(""https://docs.google.com/spreadsheets/d/14Bd19lYaqBhU8_DElYkX7l4wRkHqqCUFNJY4AfY3kHU/edit?usp=sharing  #gid=0"",""фіз особи new!relations_name""),6,FALSE)
,
(IF
(
G3227=""юридична особа""
,
VLOOKUP"&amp;"(H3227,IMPORTRANGE(""https://docs.google.com/spreadsheets/d/14Bd19lYaqBhU8_DElYkX7l4wRkHqqCUFNJY4AfY3kHU/edit?usp=sharing  #gid=0"",""фіз особи new!relations_name_uo""),7,FALSE)
,
)
))"),"КОВАЛЬЧУК Михайло Валентинович")</f>
        <v>КОВАЛЬЧУК Михайло Валентинович</v>
      </c>
      <c r="J3226" s="7" t="s">
        <v>18</v>
      </c>
    </row>
    <row r="3227" spans="1:10" ht="13.2">
      <c r="A3227" s="7">
        <v>3226</v>
      </c>
      <c r="B3227" s="7">
        <v>1</v>
      </c>
      <c r="C3227" s="7" t="s">
        <v>10</v>
      </c>
      <c r="D3227" s="7">
        <v>926</v>
      </c>
      <c r="E3227" s="7" t="s">
        <v>12</v>
      </c>
      <c r="F3227" s="8" t="str">
        <f ca="1">IFERROR(__xludf.DUMMYFUNCTION("IF
(
C3228=""фізична особа""
,
VLOOKUP(D3228,IMPORTRANGE(""https://docs.google.com/spreadsheets/d/14Bd19lYaqBhU8_DElYkX7l4wRkHqqCUFNJY4AfY3kHU/edit?usp=sharing  #gid=0"",""фіз особи new!relations_name""),6,FALSE)
,
(IF
(
C3228=""юридична особа""
,
VLOOKUP"&amp;"(D3228,IMPORTRANGE(""https://docs.google.com/spreadsheets/d/14Bd19lYaqBhU8_DElYkX7l4wRkHqqCUFNJY4AfY3kHU/edit?usp=sharing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G3227" s="7" t="s">
        <v>10</v>
      </c>
      <c r="H3227" s="7">
        <v>140</v>
      </c>
      <c r="I3227" s="8" t="str">
        <f ca="1">IFERROR(__xludf.DUMMYFUNCTION("IF
(
G3228=""фізична особа""
,
VLOOKUP(H3228,IMPORTRANGE(""https://docs.google.com/spreadsheets/d/14Bd19lYaqBhU8_DElYkX7l4wRkHqqCUFNJY4AfY3kHU/edit?usp=sharing  #gid=0"",""фіз особи new!relations_name""),6,FALSE)
,
(IF
(
G3228=""юридична особа""
,
VLOOKUP"&amp;"(H3228,IMPORTRANGE(""https://docs.google.com/spreadsheets/d/14Bd19lYaqBhU8_DElYkX7l4wRkHqqCUFNJY4AfY3kHU/edit?usp=sharing  #gid=0"",""фіз особи new!relations_name_uo""),7,FALSE)
,
)
))"),"КОВАЛЬЧУК Борис Юрійович")</f>
        <v>КОВАЛЬЧУК Борис Юрійович</v>
      </c>
      <c r="J3227" s="7" t="s">
        <v>17</v>
      </c>
    </row>
    <row r="3228" spans="1:10" ht="13.2">
      <c r="A3228" s="7">
        <v>3227</v>
      </c>
      <c r="B3228" s="7">
        <v>1</v>
      </c>
      <c r="C3228" s="7" t="s">
        <v>10</v>
      </c>
      <c r="D3228" s="7">
        <v>927</v>
      </c>
      <c r="E3228" s="7" t="s">
        <v>28</v>
      </c>
      <c r="F3228" s="8" t="str">
        <f ca="1">IFERROR(__xludf.DUMMYFUNCTION("IF
(
C3229=""фізична особа""
,
VLOOKUP(D3229,IMPORTRANGE(""https://docs.google.com/spreadsheets/d/14Bd19lYaqBhU8_DElYkX7l4wRkHqqCUFNJY4AfY3kHU/edit?usp=sharing  #gid=0"",""фіз особи new!relations_name""),6,FALSE)
,
(IF
(
C3229=""юридична особа""
,
VLOOKUP"&amp;"(D3229,IMPORTRANGE(""https://docs.google.com/spreadsheets/d/14Bd19lYaqBhU8_DElYkX7l4wRkHqqCUFNJY4AfY3kHU/edit?usp=sharing  #gid=0"",""фіз особи new!relations_name_uo""),7,FALSE)
,
)
))"),"ПЕЙГАНОВИЧ Юрій Михайлович")</f>
        <v>ПЕЙГАНОВИЧ Юрій Михайлович</v>
      </c>
      <c r="G3228" s="7" t="s">
        <v>10</v>
      </c>
      <c r="H3228" s="7">
        <v>23365</v>
      </c>
      <c r="I3228" s="8" t="str">
        <f ca="1">IFERROR(__xludf.DUMMYFUNCTION("IF
(
G3229=""фізична особа""
,
VLOOKUP(H3229,IMPORTRANGE(""https://docs.google.com/spreadsheets/d/14Bd19lYaqBhU8_DElYkX7l4wRkHqqCUFNJY4AfY3kHU/edit?usp=sharing  #gid=0"",""фіз особи new!relations_name""),6,FALSE)
,
(IF
(
G3229=""юридична особа""
,
VLOOKUP"&amp;"(H3229,IMPORTRANGE(""https://docs.google.com/spreadsheets/d/14Bd19lYaqBhU8_DElYkX7l4wRkHqqCUFNJY4AfY3kHU/edit?usp=sharing  #gid=0"",""фіз особи new!relations_name_uo""),7,FALSE)
,
)
))"),"ГОЛУБ Ігор Володимирович")</f>
        <v>ГОЛУБ Ігор Володимирович</v>
      </c>
      <c r="J3228" s="7" t="s">
        <v>29</v>
      </c>
    </row>
    <row r="3229" spans="1:10" ht="13.2">
      <c r="A3229" s="7">
        <v>3228</v>
      </c>
      <c r="B3229" s="7">
        <v>1</v>
      </c>
      <c r="C3229" s="7" t="s">
        <v>10</v>
      </c>
      <c r="D3229" s="7">
        <v>927</v>
      </c>
      <c r="E3229" s="7" t="s">
        <v>35</v>
      </c>
      <c r="F3229" s="8" t="str">
        <f ca="1">IFERROR(__xludf.DUMMYFUNCTION("IF
(
C3230=""фізична особа""
,
VLOOKUP(D3230,IMPORTRANGE(""https://docs.google.com/spreadsheets/d/14Bd19lYaqBhU8_DElYkX7l4wRkHqqCUFNJY4AfY3kHU/edit?usp=sharing  #gid=0"",""фіз особи new!relations_name""),6,FALSE)
,
(IF
(
C3230=""юридична особа""
,
VLOOKUP"&amp;"(D3230,IMPORTRANGE(""https://docs.google.com/spreadsheets/d/14Bd19lYaqBhU8_DElYkX7l4wRkHqqCUFNJY4AfY3kHU/edit?usp=sharing  #gid=0"",""фіз особи new!relations_name_uo""),7,FALSE)
,
)
))"),"ПЕЙГАНОВИЧ Юрій Михайлович")</f>
        <v>ПЕЙГАНОВИЧ Юрій Михайлович</v>
      </c>
      <c r="G3229" s="7" t="s">
        <v>10</v>
      </c>
      <c r="H3229" s="7">
        <v>184</v>
      </c>
      <c r="I3229" s="8" t="str">
        <f ca="1">IFERROR(__xludf.DUMMYFUNCTION("IF
(
G3230=""фізична особа""
,
VLOOKUP(H3230,IMPORTRANGE(""https://docs.google.com/spreadsheets/d/14Bd19lYaqBhU8_DElYkX7l4wRkHqqCUFNJY4AfY3kHU/edit?usp=sharing  #gid=0"",""фіз особи new!relations_name""),6,FALSE)
,
(IF
(
G3230=""юридична особа""
,
VLOOKUP"&amp;"(H3230,IMPORTRANGE(""https://docs.google.com/spreadsheets/d/14Bd19lYaqBhU8_DElYkX7l4wRkHqqCUFNJY4AfY3kHU/edit?usp=sharing  #gid=0"",""фіз особи new!relations_name_uo""),7,FALSE)
,
)
))"),"МІХОЛАП Дмитро Анатолійович")</f>
        <v>МІХОЛАП Дмитро Анатолійович</v>
      </c>
      <c r="J3229" s="7" t="s">
        <v>35</v>
      </c>
    </row>
    <row r="3230" spans="1:10" ht="13.2">
      <c r="A3230" s="7">
        <v>3229</v>
      </c>
      <c r="B3230" s="7">
        <v>1</v>
      </c>
      <c r="C3230" s="7" t="s">
        <v>10</v>
      </c>
      <c r="D3230" s="7">
        <v>928</v>
      </c>
      <c r="E3230" s="7" t="s">
        <v>52</v>
      </c>
      <c r="F3230" s="8" t="str">
        <f ca="1">IFERROR(__xludf.DUMMYFUNCTION("IF
(
C3231=""фізична особа""
,
VLOOKUP(D3231,IMPORTRANGE(""https://docs.google.com/spreadsheets/d/14Bd19lYaqBhU8_DElYkX7l4wRkHqqCUFNJY4AfY3kHU/edit?usp=sharing  #gid=0"",""фіз особи new!relations_name""),6,FALSE)
,
(IF
(
C3231=""юридична особа""
,
VLOOKUP"&amp;"(D3231,IMPORTRANGE(""https://docs.google.com/spreadsheets/d/14Bd19lYaqBhU8_DElYkX7l4wRkHqqCUFNJY4AfY3kHU/edit?usp=sharing  #gid=0"",""фіз особи new!relations_name_uo""),7,FALSE)
,
)
))"),"ПИЖИК Юрій Миколайович")</f>
        <v>ПИЖИК Юрій Миколайович</v>
      </c>
      <c r="G3230" s="7" t="s">
        <v>10</v>
      </c>
      <c r="H3230" s="7">
        <v>0</v>
      </c>
      <c r="I3230" s="8" t="str">
        <f ca="1">IFERROR(__xludf.DUMMYFUNCTION("IF
(
G3231=""фізична особа""
,
VLOOKUP(H3231,IMPORTRANGE(""https://docs.google.com/spreadsheets/d/14Bd19lYaqBhU8_DElYkX7l4wRkHqqCUFNJY4AfY3kHU/edit?usp=sharing  #gid=0"",""фіз особи new!relations_name""),6,FALSE)
,
(IF
(
G3231=""юридична особа""
,
VLOOKUP"&amp;"(H3231,IMPORTRANGE(""https://docs.google.com/spreadsheets/d/14Bd19lYaqBhU8_DElYkX7l4wRkHqqCUFNJY4AfY3kHU/edit?usp=sharing  #gid=0"",""фіз особи new!relations_name_uo""),7,FALSE)
,
)
))"),"#N/A")</f>
        <v>#N/A</v>
      </c>
      <c r="J3230" s="7" t="s">
        <v>53</v>
      </c>
    </row>
    <row r="3231" spans="1:10" ht="13.2">
      <c r="A3231" s="7">
        <v>3230</v>
      </c>
      <c r="B3231" s="7">
        <v>1</v>
      </c>
      <c r="C3231" s="7" t="s">
        <v>10</v>
      </c>
      <c r="D3231" s="7">
        <v>929</v>
      </c>
      <c r="E3231" s="7" t="s">
        <v>14</v>
      </c>
      <c r="F3231" s="8" t="str">
        <f ca="1">IFERROR(__xludf.DUMMYFUNCTION("IF
(
C3232=""фізична особа""
,
VLOOKUP(D3232,IMPORTRANGE(""https://docs.google.com/spreadsheets/d/14Bd19lYaqBhU8_DElYkX7l4wRkHqqCUFNJY4AfY3kHU/edit?usp=sharing  #gid=0"",""фіз особи new!relations_name""),6,FALSE)
,
(IF
(
C3232=""юридична особа""
,
VLOOKUP"&amp;"(D3232,IMPORTRANGE(""https://docs.google.com/spreadsheets/d/14Bd19lYaqBhU8_DElYkX7l4wRkHqqCUFNJY4AfY3kHU/edit?usp=sharing  #gid=0"",""фіз особи new!relations_name_uo""),7,FALSE)
,
)
))"),"АРХАРОВ Юрій Вікторович")</f>
        <v>АРХАРОВ Юрій Вікторович</v>
      </c>
      <c r="G3231" s="7" t="s">
        <v>10</v>
      </c>
      <c r="H3231" s="7">
        <v>0</v>
      </c>
      <c r="I3231" s="8" t="str">
        <f ca="1">IFERROR(__xludf.DUMMYFUNCTION("IF
(
G3232=""фізична особа""
,
VLOOKUP(H3232,IMPORTRANGE(""https://docs.google.com/spreadsheets/d/14Bd19lYaqBhU8_DElYkX7l4wRkHqqCUFNJY4AfY3kHU/edit?usp=sharing  #gid=0"",""фіз особи new!relations_name""),6,FALSE)
,
(IF
(
G3232=""юридична особа""
,
VLOOKUP"&amp;"(H3232,IMPORTRANGE(""https://docs.google.com/spreadsheets/d/14Bd19lYaqBhU8_DElYkX7l4wRkHqqCUFNJY4AfY3kHU/edit?usp=sharing  #gid=0"",""фіз особи new!relations_name_uo""),7,FALSE)
,
)
))"),"#N/A")</f>
        <v>#N/A</v>
      </c>
      <c r="J3231" s="7" t="s">
        <v>15</v>
      </c>
    </row>
    <row r="3232" spans="1:10" ht="13.2">
      <c r="A3232" s="7">
        <v>3231</v>
      </c>
      <c r="B3232" s="7">
        <v>1</v>
      </c>
      <c r="C3232" s="7" t="s">
        <v>10</v>
      </c>
      <c r="D3232" s="7">
        <v>930</v>
      </c>
      <c r="E3232" s="7" t="s">
        <v>29</v>
      </c>
      <c r="F3232" s="8" t="str">
        <f ca="1">IFERROR(__xludf.DUMMYFUNCTION("IF
(
C3233=""фізична особа""
,
VLOOKUP(D3233,IMPORTRANGE(""https://docs.google.com/spreadsheets/d/14Bd19lYaqBhU8_DElYkX7l4wRkHqqCUFNJY4AfY3kHU/edit?usp=sharing  #gid=0"",""фіз особи new!relations_name""),6,FALSE)
,
(IF
(
C3233=""юридична особа""
,
VLOOKUP"&amp;"(D3233,IMPORTRANGE(""https://docs.google.com/spreadsheets/d/14Bd19lYaqBhU8_DElYkX7l4wRkHqqCUFNJY4AfY3kHU/edit?usp=sharing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2" s="7" t="s">
        <v>10</v>
      </c>
      <c r="H3232" s="7">
        <v>0</v>
      </c>
      <c r="I3232" s="8" t="str">
        <f ca="1">IFERROR(__xludf.DUMMYFUNCTION("IF
(
G3233=""фізична особа""
,
VLOOKUP(H3233,IMPORTRANGE(""https://docs.google.com/spreadsheets/d/14Bd19lYaqBhU8_DElYkX7l4wRkHqqCUFNJY4AfY3kHU/edit?usp=sharing  #gid=0"",""фіз особи new!relations_name""),6,FALSE)
,
(IF
(
G3233=""юридична особа""
,
VLOOKUP"&amp;"(H3233,IMPORTRANGE(""https://docs.google.com/spreadsheets/d/14Bd19lYaqBhU8_DElYkX7l4wRkHqqCUFNJY4AfY3kHU/edit?usp=sharing  #gid=0"",""фіз особи new!relations_name_uo""),7,FALSE)
,
)
))"),"#N/A")</f>
        <v>#N/A</v>
      </c>
      <c r="J3232" s="7" t="s">
        <v>28</v>
      </c>
    </row>
    <row r="3233" spans="1:10" ht="13.2">
      <c r="A3233" s="7">
        <v>3232</v>
      </c>
      <c r="B3233" s="7">
        <v>1</v>
      </c>
      <c r="C3233" s="7" t="s">
        <v>10</v>
      </c>
      <c r="D3233" s="7">
        <v>930</v>
      </c>
      <c r="E3233" s="7" t="s">
        <v>29</v>
      </c>
      <c r="F3233" s="8" t="str">
        <f ca="1">IFERROR(__xludf.DUMMYFUNCTION("IF
(
C3234=""фізична особа""
,
VLOOKUP(D3234,IMPORTRANGE(""https://docs.google.com/spreadsheets/d/14Bd19lYaqBhU8_DElYkX7l4wRkHqqCUFNJY4AfY3kHU/edit?usp=sharing  #gid=0"",""фіз особи new!relations_name""),6,FALSE)
,
(IF
(
C3234=""юридична особа""
,
VLOOKUP"&amp;"(D3234,IMPORTRANGE(""https://docs.google.com/spreadsheets/d/14Bd19lYaqBhU8_DElYkX7l4wRkHqqCUFNJY4AfY3kHU/edit?usp=sharing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3" s="7" t="s">
        <v>10</v>
      </c>
      <c r="H3233" s="7">
        <v>0</v>
      </c>
      <c r="I3233" s="8" t="str">
        <f ca="1">IFERROR(__xludf.DUMMYFUNCTION("IF
(
G3234=""фізична особа""
,
VLOOKUP(H3234,IMPORTRANGE(""https://docs.google.com/spreadsheets/d/14Bd19lYaqBhU8_DElYkX7l4wRkHqqCUFNJY4AfY3kHU/edit?usp=sharing  #gid=0"",""фіз особи new!relations_name""),6,FALSE)
,
(IF
(
G3234=""юридична особа""
,
VLOOKUP"&amp;"(H3234,IMPORTRANGE(""https://docs.google.com/spreadsheets/d/14Bd19lYaqBhU8_DElYkX7l4wRkHqqCUFNJY4AfY3kHU/edit?usp=sharing  #gid=0"",""фіз особи new!relations_name_uo""),7,FALSE)
,
)
))"),"#N/A")</f>
        <v>#N/A</v>
      </c>
      <c r="J3233" s="7" t="s">
        <v>28</v>
      </c>
    </row>
    <row r="3234" spans="1:10" ht="13.2">
      <c r="A3234" s="7">
        <v>3233</v>
      </c>
      <c r="B3234" s="7">
        <v>1</v>
      </c>
      <c r="C3234" s="7" t="s">
        <v>10</v>
      </c>
      <c r="D3234" s="7">
        <v>930</v>
      </c>
      <c r="E3234" s="7" t="s">
        <v>29</v>
      </c>
      <c r="F3234" s="8" t="str">
        <f ca="1">IFERROR(__xludf.DUMMYFUNCTION("IF
(
C3235=""фізична особа""
,
VLOOKUP(D3235,IMPORTRANGE(""https://docs.google.com/spreadsheets/d/14Bd19lYaqBhU8_DElYkX7l4wRkHqqCUFNJY4AfY3kHU/edit?usp=sharing  #gid=0"",""фіз особи new!relations_name""),6,FALSE)
,
(IF
(
C3235=""юридична особа""
,
VLOOKUP"&amp;"(D3235,IMPORTRANGE(""https://docs.google.com/spreadsheets/d/14Bd19lYaqBhU8_DElYkX7l4wRkHqqCUFNJY4AfY3kHU/edit?usp=sharing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4" s="7" t="s">
        <v>10</v>
      </c>
      <c r="H3234" s="7">
        <v>0</v>
      </c>
      <c r="I3234" s="8" t="str">
        <f ca="1">IFERROR(__xludf.DUMMYFUNCTION("IF
(
G3235=""фізична особа""
,
VLOOKUP(H3235,IMPORTRANGE(""https://docs.google.com/spreadsheets/d/14Bd19lYaqBhU8_DElYkX7l4wRkHqqCUFNJY4AfY3kHU/edit?usp=sharing  #gid=0"",""фіз особи new!relations_name""),6,FALSE)
,
(IF
(
G3235=""юридична особа""
,
VLOOKUP"&amp;"(H3235,IMPORTRANGE(""https://docs.google.com/spreadsheets/d/14Bd19lYaqBhU8_DElYkX7l4wRkHqqCUFNJY4AfY3kHU/edit?usp=sharing  #gid=0"",""фіз особи new!relations_name_uo""),7,FALSE)
,
)
))"),"#N/A")</f>
        <v>#N/A</v>
      </c>
      <c r="J3234" s="7" t="s">
        <v>28</v>
      </c>
    </row>
    <row r="3235" spans="1:10" ht="13.2">
      <c r="A3235" s="7">
        <v>3234</v>
      </c>
      <c r="B3235" s="7">
        <v>1</v>
      </c>
      <c r="C3235" s="7" t="s">
        <v>10</v>
      </c>
      <c r="D3235" s="7">
        <v>930</v>
      </c>
      <c r="E3235" s="7" t="s">
        <v>29</v>
      </c>
      <c r="F3235" s="8" t="str">
        <f ca="1">IFERROR(__xludf.DUMMYFUNCTION("IF
(
C3236=""фізична особа""
,
VLOOKUP(D3236,IMPORTRANGE(""https://docs.google.com/spreadsheets/d/14Bd19lYaqBhU8_DElYkX7l4wRkHqqCUFNJY4AfY3kHU/edit?usp=sharing  #gid=0"",""фіз особи new!relations_name""),6,FALSE)
,
(IF
(
C3236=""юридична особа""
,
VLOOKUP"&amp;"(D3236,IMPORTRANGE(""https://docs.google.com/spreadsheets/d/14Bd19lYaqBhU8_DElYkX7l4wRkHqqCUFNJY4AfY3kHU/edit?usp=sharing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5" s="7" t="s">
        <v>10</v>
      </c>
      <c r="H3235" s="7">
        <v>0</v>
      </c>
      <c r="I3235" s="8" t="str">
        <f ca="1">IFERROR(__xludf.DUMMYFUNCTION("IF
(
G3236=""фізична особа""
,
VLOOKUP(H3236,IMPORTRANGE(""https://docs.google.com/spreadsheets/d/14Bd19lYaqBhU8_DElYkX7l4wRkHqqCUFNJY4AfY3kHU/edit?usp=sharing  #gid=0"",""фіз особи new!relations_name""),6,FALSE)
,
(IF
(
G3236=""юридична особа""
,
VLOOKUP"&amp;"(H3236,IMPORTRANGE(""https://docs.google.com/spreadsheets/d/14Bd19lYaqBhU8_DElYkX7l4wRkHqqCUFNJY4AfY3kHU/edit?usp=sharing  #gid=0"",""фіз особи new!relations_name_uo""),7,FALSE)
,
)
))"),"#N/A")</f>
        <v>#N/A</v>
      </c>
      <c r="J3235" s="7" t="s">
        <v>28</v>
      </c>
    </row>
    <row r="3236" spans="1:10" ht="13.2">
      <c r="A3236" s="7">
        <v>3235</v>
      </c>
      <c r="B3236" s="7">
        <v>1</v>
      </c>
      <c r="C3236" s="7" t="s">
        <v>10</v>
      </c>
      <c r="D3236" s="7">
        <v>930</v>
      </c>
      <c r="E3236" s="7" t="s">
        <v>14</v>
      </c>
      <c r="F3236" s="8" t="str">
        <f ca="1">IFERROR(__xludf.DUMMYFUNCTION("IF
(
C3237=""фізична особа""
,
VLOOKUP(D3237,IMPORTRANGE(""https://docs.google.com/spreadsheets/d/14Bd19lYaqBhU8_DElYkX7l4wRkHqqCUFNJY4AfY3kHU/edit?usp=sharing  #gid=0"",""фіз особи new!relations_name""),6,FALSE)
,
(IF
(
C3237=""юридична особа""
,
VLOOKUP"&amp;"(D3237,IMPORTRANGE(""https://docs.google.com/spreadsheets/d/14Bd19lYaqBhU8_DElYkX7l4wRkHqqCUFNJY4AfY3kHU/edit?usp=sharing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6" s="7" t="s">
        <v>10</v>
      </c>
      <c r="H3236" s="7">
        <v>0</v>
      </c>
      <c r="I3236" s="8" t="str">
        <f ca="1">IFERROR(__xludf.DUMMYFUNCTION("IF
(
G3237=""фізична особа""
,
VLOOKUP(H3237,IMPORTRANGE(""https://docs.google.com/spreadsheets/d/14Bd19lYaqBhU8_DElYkX7l4wRkHqqCUFNJY4AfY3kHU/edit?usp=sharing  #gid=0"",""фіз особи new!relations_name""),6,FALSE)
,
(IF
(
G3237=""юридична особа""
,
VLOOKUP"&amp;"(H3237,IMPORTRANGE(""https://docs.google.com/spreadsheets/d/14Bd19lYaqBhU8_DElYkX7l4wRkHqqCUFNJY4AfY3kHU/edit?usp=sharing  #gid=0"",""фіз особи new!relations_name_uo""),7,FALSE)
,
)
))"),"#N/A")</f>
        <v>#N/A</v>
      </c>
      <c r="J3236" s="7" t="s">
        <v>15</v>
      </c>
    </row>
    <row r="3237" spans="1:10" ht="13.2">
      <c r="A3237" s="7">
        <v>3236</v>
      </c>
      <c r="B3237" s="7">
        <v>1</v>
      </c>
      <c r="C3237" s="7" t="s">
        <v>10</v>
      </c>
      <c r="D3237" s="7">
        <v>930</v>
      </c>
      <c r="E3237" s="7" t="s">
        <v>12</v>
      </c>
      <c r="F3237" s="8" t="str">
        <f ca="1">IFERROR(__xludf.DUMMYFUNCTION("IF
(
C3238=""фізична особа""
,
VLOOKUP(D3238,IMPORTRANGE(""https://docs.google.com/spreadsheets/d/14Bd19lYaqBhU8_DElYkX7l4wRkHqqCUFNJY4AfY3kHU/edit?usp=sharing  #gid=0"",""фіз особи new!relations_name""),6,FALSE)
,
(IF
(
C3238=""юридична особа""
,
VLOOKUP"&amp;"(D3238,IMPORTRANGE(""https://docs.google.com/spreadsheets/d/14Bd19lYaqBhU8_DElYkX7l4wRkHqqCUFNJY4AfY3kHU/edit?usp=sharing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7" s="7" t="s">
        <v>10</v>
      </c>
      <c r="H3237" s="7">
        <v>0</v>
      </c>
      <c r="I3237" s="8" t="str">
        <f ca="1">IFERROR(__xludf.DUMMYFUNCTION("IF
(
G3238=""фізична особа""
,
VLOOKUP(H3238,IMPORTRANGE(""https://docs.google.com/spreadsheets/d/14Bd19lYaqBhU8_DElYkX7l4wRkHqqCUFNJY4AfY3kHU/edit?usp=sharing  #gid=0"",""фіз особи new!relations_name""),6,FALSE)
,
(IF
(
G3238=""юридична особа""
,
VLOOKUP"&amp;"(H3238,IMPORTRANGE(""https://docs.google.com/spreadsheets/d/14Bd19lYaqBhU8_DElYkX7l4wRkHqqCUFNJY4AfY3kHU/edit?usp=sharing  #gid=0"",""фіз особи new!relations_name_uo""),7,FALSE)
,
)
))"),"#N/A")</f>
        <v>#N/A</v>
      </c>
      <c r="J3237" s="7" t="s">
        <v>17</v>
      </c>
    </row>
    <row r="3238" spans="1:10" ht="13.2">
      <c r="A3238" s="7">
        <v>3237</v>
      </c>
      <c r="B3238" s="7">
        <v>1</v>
      </c>
      <c r="C3238" s="7" t="s">
        <v>10</v>
      </c>
      <c r="D3238" s="7">
        <v>930</v>
      </c>
      <c r="E3238" s="7" t="s">
        <v>12</v>
      </c>
      <c r="F3238" s="8" t="str">
        <f ca="1">IFERROR(__xludf.DUMMYFUNCTION("IF
(
C3239=""фізична особа""
,
VLOOKUP(D3239,IMPORTRANGE(""https://docs.google.com/spreadsheets/d/14Bd19lYaqBhU8_DElYkX7l4wRkHqqCUFNJY4AfY3kHU/edit?usp=sharing  #gid=0"",""фіз особи new!relations_name""),6,FALSE)
,
(IF
(
C3239=""юридична особа""
,
VLOOKUP"&amp;"(D3239,IMPORTRANGE(""https://docs.google.com/spreadsheets/d/14Bd19lYaqBhU8_DElYkX7l4wRkHqqCUFNJY4AfY3kHU/edit?usp=sharing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8" s="7" t="s">
        <v>10</v>
      </c>
      <c r="H3238" s="7">
        <v>0</v>
      </c>
      <c r="I3238" s="8" t="str">
        <f ca="1">IFERROR(__xludf.DUMMYFUNCTION("IF
(
G3239=""фізична особа""
,
VLOOKUP(H3239,IMPORTRANGE(""https://docs.google.com/spreadsheets/d/14Bd19lYaqBhU8_DElYkX7l4wRkHqqCUFNJY4AfY3kHU/edit?usp=sharing  #gid=0"",""фіз особи new!relations_name""),6,FALSE)
,
(IF
(
G3239=""юридична особа""
,
VLOOKUP"&amp;"(H3239,IMPORTRANGE(""https://docs.google.com/spreadsheets/d/14Bd19lYaqBhU8_DElYkX7l4wRkHqqCUFNJY4AfY3kHU/edit?usp=sharing  #gid=0"",""фіз особи new!relations_name_uo""),7,FALSE)
,
)
))"),"#N/A")</f>
        <v>#N/A</v>
      </c>
      <c r="J3238" s="7" t="s">
        <v>13</v>
      </c>
    </row>
    <row r="3239" spans="1:10" ht="13.2">
      <c r="A3239" s="7">
        <v>3238</v>
      </c>
      <c r="B3239" s="7">
        <v>1</v>
      </c>
      <c r="C3239" s="7" t="s">
        <v>10</v>
      </c>
      <c r="D3239" s="7">
        <v>930</v>
      </c>
      <c r="E3239" s="7" t="s">
        <v>34</v>
      </c>
      <c r="F3239" s="8" t="str">
        <f ca="1">IFERROR(__xludf.DUMMYFUNCTION("IF
(
C3240=""фізична особа""
,
VLOOKUP(D3240,IMPORTRANGE(""https://docs.google.com/spreadsheets/d/14Bd19lYaqBhU8_DElYkX7l4wRkHqqCUFNJY4AfY3kHU/edit?usp=sharing  #gid=0"",""фіз особи new!relations_name""),6,FALSE)
,
(IF
(
C3240=""юридична особа""
,
VLOOKUP"&amp;"(D3240,IMPORTRANGE(""https://docs.google.com/spreadsheets/d/14Bd19lYaqBhU8_DElYkX7l4wRkHqqCUFNJY4AfY3kHU/edit?usp=sharing  #gid=0"",""фіз особи new!relations_name_uo""),7,FALSE)
,
)
))"),"ШУЛЕЙКО Юрій Вітольдович")</f>
        <v>ШУЛЕЙКО Юрій Вітольдович</v>
      </c>
      <c r="G3239" s="7" t="s">
        <v>10</v>
      </c>
      <c r="H3239" s="7">
        <v>0</v>
      </c>
      <c r="I3239" s="8" t="str">
        <f ca="1">IFERROR(__xludf.DUMMYFUNCTION("IF
(
G3240=""фізична особа""
,
VLOOKUP(H3240,IMPORTRANGE(""https://docs.google.com/spreadsheets/d/14Bd19lYaqBhU8_DElYkX7l4wRkHqqCUFNJY4AfY3kHU/edit?usp=sharing  #gid=0"",""фіз особи new!relations_name""),6,FALSE)
,
(IF
(
G3240=""юридична особа""
,
VLOOKUP"&amp;"(H3240,IMPORTRANGE(""https://docs.google.com/spreadsheets/d/14Bd19lYaqBhU8_DElYkX7l4wRkHqqCUFNJY4AfY3kHU/edit?usp=sharing  #gid=0"",""фіз особи new!relations_name_uo""),7,FALSE)
,
)
))"),"#N/A")</f>
        <v>#N/A</v>
      </c>
      <c r="J3239" s="7" t="s">
        <v>25</v>
      </c>
    </row>
    <row r="3240" spans="1:10" ht="13.2">
      <c r="A3240" s="7">
        <v>3239</v>
      </c>
      <c r="B3240" s="7">
        <v>1</v>
      </c>
      <c r="C3240" s="7" t="s">
        <v>10</v>
      </c>
      <c r="D3240" s="7">
        <v>931</v>
      </c>
      <c r="E3240" s="7" t="s">
        <v>29</v>
      </c>
      <c r="F3240" s="8" t="str">
        <f ca="1">IFERROR(__xludf.DUMMYFUNCTION("IF
(
C3241=""фізична особа""
,
VLOOKUP(D3241,IMPORTRANGE(""https://docs.google.com/spreadsheets/d/14Bd19lYaqBhU8_DElYkX7l4wRkHqqCUFNJY4AfY3kHU/edit?usp=sharing  #gid=0"",""фіз особи new!relations_name""),6,FALSE)
,
(IF
(
C3241=""юридична особа""
,
VLOOKUP"&amp;"(D3241,IMPORTRANGE(""https://docs.google.com/spreadsheets/d/14Bd19lYaqBhU8_DElYkX7l4wRkHqqCUFNJY4AfY3kHU/edit?usp=sharing  #gid=0"",""фіз особи new!relations_name_uo""),7,FALSE)
,
)
))"),"АФАНАСІЄВСЬКИЙ Юрій Миколайович")</f>
        <v>АФАНАСІЄВСЬКИЙ Юрій Миколайович</v>
      </c>
      <c r="G3240" s="7" t="s">
        <v>10</v>
      </c>
      <c r="H3240" s="7">
        <v>0</v>
      </c>
      <c r="I3240" s="8" t="str">
        <f ca="1">IFERROR(__xludf.DUMMYFUNCTION("IF
(
G3241=""фізична особа""
,
VLOOKUP(H3241,IMPORTRANGE(""https://docs.google.com/spreadsheets/d/14Bd19lYaqBhU8_DElYkX7l4wRkHqqCUFNJY4AfY3kHU/edit?usp=sharing  #gid=0"",""фіз особи new!relations_name""),6,FALSE)
,
(IF
(
G3241=""юридична особа""
,
VLOOKUP"&amp;"(H3241,IMPORTRANGE(""https://docs.google.com/spreadsheets/d/14Bd19lYaqBhU8_DElYkX7l4wRkHqqCUFNJY4AfY3kHU/edit?usp=sharing  #gid=0"",""фіз особи new!relations_name_uo""),7,FALSE)
,
)
))"),"#N/A")</f>
        <v>#N/A</v>
      </c>
      <c r="J3240" s="7" t="s">
        <v>28</v>
      </c>
    </row>
    <row r="3241" spans="1:10" ht="13.2">
      <c r="A3241" s="7">
        <v>3240</v>
      </c>
      <c r="B3241" s="7">
        <v>1</v>
      </c>
      <c r="C3241" s="7" t="s">
        <v>10</v>
      </c>
      <c r="D3241" s="7">
        <v>932</v>
      </c>
      <c r="E3241" s="7" t="s">
        <v>28</v>
      </c>
      <c r="F3241" s="8" t="str">
        <f ca="1">IFERROR(__xludf.DUMMYFUNCTION("IF
(
C3242=""фізична особа""
,
VLOOKUP(D3242,IMPORTRANGE(""https://docs.google.com/spreadsheets/d/14Bd19lYaqBhU8_DElYkX7l4wRkHqqCUFNJY4AfY3kHU/edit?usp=sharing  #gid=0"",""фіз особи new!relations_name""),6,FALSE)
,
(IF
(
C3242=""юридична особа""
,
VLOOKUP"&amp;"(D3242,IMPORTRANGE(""https://docs.google.com/spreadsheets/d/14Bd19lYaqBhU8_DElYkX7l4wRkHqqCUFNJY4AfY3kHU/edit?usp=sharing  #gid=0"",""фіз особи new!relations_name_uo""),7,FALSE)
,
)
))"),"ДЕГТЯРЬОВ Юрій Анатолійович")</f>
        <v>ДЕГТЯРЬОВ Юрій Анатолійович</v>
      </c>
      <c r="G3241" s="7" t="s">
        <v>10</v>
      </c>
      <c r="H3241" s="7">
        <v>4567</v>
      </c>
      <c r="I3241" s="8" t="str">
        <f ca="1">IFERROR(__xludf.DUMMYFUNCTION("IF
(
G3242=""фізична особа""
,
VLOOKUP(H3242,IMPORTRANGE(""https://docs.google.com/spreadsheets/d/14Bd19lYaqBhU8_DElYkX7l4wRkHqqCUFNJY4AfY3kHU/edit?usp=sharing  #gid=0"",""фіз особи new!relations_name""),6,FALSE)
,
(IF
(
G3242=""юридична особа""
,
VLOOKUP"&amp;"(H3242,IMPORTRANGE(""https://docs.google.com/spreadsheets/d/14Bd19lYaqBhU8_DElYkX7l4wRkHqqCUFNJY4AfY3kHU/edit?usp=sharing  #gid=0"",""фіз особи new!relations_name_uo""),7,FALSE)
,
)
))"),"ПУШИЛІН Денис Володимирович")</f>
        <v>ПУШИЛІН Денис Володимирович</v>
      </c>
      <c r="J3241" s="7" t="s">
        <v>29</v>
      </c>
    </row>
    <row r="3242" spans="1:10" ht="13.2">
      <c r="A3242" s="7">
        <v>3241</v>
      </c>
      <c r="B3242" s="7">
        <v>1</v>
      </c>
      <c r="C3242" s="7" t="s">
        <v>10</v>
      </c>
      <c r="D3242" s="7">
        <v>932</v>
      </c>
      <c r="E3242" s="7" t="s">
        <v>28</v>
      </c>
      <c r="F3242" s="8" t="str">
        <f ca="1">IFERROR(__xludf.DUMMYFUNCTION("IF
(
C3243=""фізична особа""
,
VLOOKUP(D3243,IMPORTRANGE(""https://docs.google.com/spreadsheets/d/14Bd19lYaqBhU8_DElYkX7l4wRkHqqCUFNJY4AfY3kHU/edit?usp=sharing  #gid=0"",""фіз особи new!relations_name""),6,FALSE)
,
(IF
(
C3243=""юридична особа""
,
VLOOKUP"&amp;"(D3243,IMPORTRANGE(""https://docs.google.com/spreadsheets/d/14Bd19lYaqBhU8_DElYkX7l4wRkHqqCUFNJY4AfY3kHU/edit?usp=sharing  #gid=0"",""фіз особи new!relations_name_uo""),7,FALSE)
,
)
))"),"ДЕГТЯРЬОВ Юрій Анатолійович")</f>
        <v>ДЕГТЯРЬОВ Юрій Анатолійович</v>
      </c>
      <c r="G3242" s="7" t="s">
        <v>10</v>
      </c>
      <c r="H3242" s="7">
        <v>856</v>
      </c>
      <c r="I3242" s="8" t="str">
        <f ca="1">IFERROR(__xludf.DUMMYFUNCTION("IF
(
G3243=""фізична особа""
,
VLOOKUP(H3243,IMPORTRANGE(""https://docs.google.com/spreadsheets/d/14Bd19lYaqBhU8_DElYkX7l4wRkHqqCUFNJY4AfY3kHU/edit?usp=sharing  #gid=0"",""фіз особи new!relations_name""),6,FALSE)
,
(IF
(
G3243=""юридична особа""
,
VLOOKUP"&amp;"(H3243,IMPORTRANGE(""https://docs.google.com/spreadsheets/d/14Bd19lYaqBhU8_DElYkX7l4wRkHqqCUFNJY4AfY3kHU/edit?usp=sharing  #gid=0"",""фіз особи new!relations_name_uo""),7,FALSE)
,
)
))"),"АНАНЧЕНКО Олександр Євгенович")</f>
        <v>АНАНЧЕНКО Олександр Євгенович</v>
      </c>
      <c r="J3242" s="7" t="s">
        <v>29</v>
      </c>
    </row>
    <row r="3243" spans="1:10" ht="13.2">
      <c r="A3243" s="7">
        <v>3242</v>
      </c>
      <c r="B3243" s="7">
        <v>1</v>
      </c>
      <c r="C3243" s="7" t="s">
        <v>10</v>
      </c>
      <c r="D3243" s="7">
        <v>933</v>
      </c>
      <c r="E3243" s="7" t="s">
        <v>48</v>
      </c>
      <c r="F3243" s="8" t="str">
        <f ca="1">IFERROR(__xludf.DUMMYFUNCTION("IF
(
C3244=""фізична особа""
,
VLOOKUP(D3244,IMPORTRANGE(""https://docs.google.com/spreadsheets/d/14Bd19lYaqBhU8_DElYkX7l4wRkHqqCUFNJY4AfY3kHU/edit?usp=sharing  #gid=0"",""фіз особи new!relations_name""),6,FALSE)
,
(IF
(
C3244=""юридична особа""
,
VLOOKUP"&amp;"(D3244,IMPORTRANGE(""https://docs.google.com/spreadsheets/d/14Bd19lYaqBhU8_DElYkX7l4wRkHqqCUFNJY4AfY3kHU/edit?usp=sharing  #gid=0"",""фіз особи new!relations_name_uo""),7,FALSE)
,
)
))"),"ГОВТВІН Юрій Миколайович")</f>
        <v>ГОВТВІН Юрій Миколайович</v>
      </c>
      <c r="G3243" s="7" t="s">
        <v>10</v>
      </c>
      <c r="H3243" s="7">
        <v>0</v>
      </c>
      <c r="I3243" s="8" t="str">
        <f ca="1">IFERROR(__xludf.DUMMYFUNCTION("IF
(
G3244=""фізична особа""
,
VLOOKUP(H3244,IMPORTRANGE(""https://docs.google.com/spreadsheets/d/14Bd19lYaqBhU8_DElYkX7l4wRkHqqCUFNJY4AfY3kHU/edit?usp=sharing  #gid=0"",""фіз особи new!relations_name""),6,FALSE)
,
(IF
(
G3244=""юридична особа""
,
VLOOKUP"&amp;"(H3244,IMPORTRANGE(""https://docs.google.com/spreadsheets/d/14Bd19lYaqBhU8_DElYkX7l4wRkHqqCUFNJY4AfY3kHU/edit?usp=sharing  #gid=0"",""фіз особи new!relations_name_uo""),7,FALSE)
,
)
))"),"#N/A")</f>
        <v>#N/A</v>
      </c>
      <c r="J3243" s="7" t="s">
        <v>48</v>
      </c>
    </row>
    <row r="3244" spans="1:10" ht="13.2">
      <c r="A3244" s="7">
        <v>3243</v>
      </c>
      <c r="B3244" s="7">
        <v>1</v>
      </c>
      <c r="C3244" s="7" t="s">
        <v>10</v>
      </c>
      <c r="D3244" s="7">
        <v>933</v>
      </c>
      <c r="E3244" s="7" t="s">
        <v>48</v>
      </c>
      <c r="F3244" s="8" t="str">
        <f ca="1">IFERROR(__xludf.DUMMYFUNCTION("IF
(
C3245=""фізична особа""
,
VLOOKUP(D3245,IMPORTRANGE(""https://docs.google.com/spreadsheets/d/14Bd19lYaqBhU8_DElYkX7l4wRkHqqCUFNJY4AfY3kHU/edit?usp=sharing  #gid=0"",""фіз особи new!relations_name""),6,FALSE)
,
(IF
(
C3245=""юридична особа""
,
VLOOKUP"&amp;"(D3245,IMPORTRANGE(""https://docs.google.com/spreadsheets/d/14Bd19lYaqBhU8_DElYkX7l4wRkHqqCUFNJY4AfY3kHU/edit?usp=sharing  #gid=0"",""фіз особи new!relations_name_uo""),7,FALSE)
,
)
))"),"ГОВТВІН Юрій Миколайович")</f>
        <v>ГОВТВІН Юрій Миколайович</v>
      </c>
      <c r="G3244" s="7" t="s">
        <v>10</v>
      </c>
      <c r="H3244" s="7">
        <v>0</v>
      </c>
      <c r="I3244" s="8" t="str">
        <f ca="1">IFERROR(__xludf.DUMMYFUNCTION("IF
(
G3245=""фізична особа""
,
VLOOKUP(H3245,IMPORTRANGE(""https://docs.google.com/spreadsheets/d/14Bd19lYaqBhU8_DElYkX7l4wRkHqqCUFNJY4AfY3kHU/edit?usp=sharing  #gid=0"",""фіз особи new!relations_name""),6,FALSE)
,
(IF
(
G3245=""юридична особа""
,
VLOOKUP"&amp;"(H3245,IMPORTRANGE(""https://docs.google.com/spreadsheets/d/14Bd19lYaqBhU8_DElYkX7l4wRkHqqCUFNJY4AfY3kHU/edit?usp=sharing  #gid=0"",""фіз особи new!relations_name_uo""),7,FALSE)
,
)
))"),"#N/A")</f>
        <v>#N/A</v>
      </c>
      <c r="J3244" s="7" t="s">
        <v>48</v>
      </c>
    </row>
    <row r="3245" spans="1:10" ht="13.2">
      <c r="A3245" s="7">
        <v>3244</v>
      </c>
      <c r="B3245" s="7">
        <v>1</v>
      </c>
      <c r="C3245" s="7" t="s">
        <v>10</v>
      </c>
      <c r="D3245" s="7">
        <v>934</v>
      </c>
      <c r="E3245" s="7" t="s">
        <v>17</v>
      </c>
      <c r="F3245" s="8" t="str">
        <f ca="1">IFERROR(__xludf.DUMMYFUNCTION("IF
(
C3246=""фізична особа""
,
VLOOKUP(D3246,IMPORTRANGE(""https://docs.google.com/spreadsheets/d/14Bd19lYaqBhU8_DElYkX7l4wRkHqqCUFNJY4AfY3kHU/edit?usp=sharing  #gid=0"",""фіз особи new!relations_name""),6,FALSE)
,
(IF
(
C3246=""юридична особа""
,
VLOOKUP"&amp;"(D3246,IMPORTRANGE(""https://docs.google.com/spreadsheets/d/14Bd19lYaqBhU8_DElYkX7l4wRkHqqCUFNJY4AfY3kHU/edit?usp=sharing  #gid=0"",""фіз особи new!relations_name_uo""),7,FALSE)
,
)
))"),"ОРЛОВ Олексій Маратович")</f>
        <v>ОРЛОВ Олексій Маратович</v>
      </c>
      <c r="G3245" s="7" t="s">
        <v>10</v>
      </c>
      <c r="H3245" s="7">
        <v>0</v>
      </c>
      <c r="I3245" s="8" t="str">
        <f ca="1">IFERROR(__xludf.DUMMYFUNCTION("IF
(
G3246=""фізична особа""
,
VLOOKUP(H3246,IMPORTRANGE(""https://docs.google.com/spreadsheets/d/14Bd19lYaqBhU8_DElYkX7l4wRkHqqCUFNJY4AfY3kHU/edit?usp=sharing  #gid=0"",""фіз особи new!relations_name""),6,FALSE)
,
(IF
(
G3246=""юридична особа""
,
VLOOKUP"&amp;"(H3246,IMPORTRANGE(""https://docs.google.com/spreadsheets/d/14Bd19lYaqBhU8_DElYkX7l4wRkHqqCUFNJY4AfY3kHU/edit?usp=sharing  #gid=0"",""фіз особи new!relations_name_uo""),7,FALSE)
,
)
))"),"#N/A")</f>
        <v>#N/A</v>
      </c>
      <c r="J3245" s="7" t="s">
        <v>21</v>
      </c>
    </row>
    <row r="3246" spans="1:10" ht="13.2">
      <c r="A3246" s="7">
        <v>3245</v>
      </c>
      <c r="B3246" s="7">
        <v>1</v>
      </c>
      <c r="C3246" s="7" t="s">
        <v>10</v>
      </c>
      <c r="D3246" s="7">
        <v>934</v>
      </c>
      <c r="E3246" s="7" t="s">
        <v>14</v>
      </c>
      <c r="F3246" s="8" t="str">
        <f ca="1">IFERROR(__xludf.DUMMYFUNCTION("IF
(
C3247=""фізична особа""
,
VLOOKUP(D3247,IMPORTRANGE(""https://docs.google.com/spreadsheets/d/14Bd19lYaqBhU8_DElYkX7l4wRkHqqCUFNJY4AfY3kHU/edit?usp=sharing  #gid=0"",""фіз особи new!relations_name""),6,FALSE)
,
(IF
(
C3247=""юридична особа""
,
VLOOKUP"&amp;"(D3247,IMPORTRANGE(""https://docs.google.com/spreadsheets/d/14Bd19lYaqBhU8_DElYkX7l4wRkHqqCUFNJY4AfY3kHU/edit?usp=sharing  #gid=0"",""фіз особи new!relations_name_uo""),7,FALSE)
,
)
))"),"ОРЛОВ Олексій Маратович")</f>
        <v>ОРЛОВ Олексій Маратович</v>
      </c>
      <c r="G3246" s="7" t="s">
        <v>10</v>
      </c>
      <c r="H3246" s="7">
        <v>8650</v>
      </c>
      <c r="I3246" s="8" t="str">
        <f ca="1">IFERROR(__xludf.DUMMYFUNCTION("IF
(
G3247=""фізична особа""
,
VLOOKUP(H3247,IMPORTRANGE(""https://docs.google.com/spreadsheets/d/14Bd19lYaqBhU8_DElYkX7l4wRkHqqCUFNJY4AfY3kHU/edit?usp=sharing  #gid=0"",""фіз особи new!relations_name""),6,FALSE)
,
(IF
(
G3247=""юридична особа""
,
VLOOKUP"&amp;"(H3247,IMPORTRANGE(""https://docs.google.com/spreadsheets/d/14Bd19lYaqBhU8_DElYkX7l4wRkHqqCUFNJY4AfY3kHU/edit?usp=sharing  #gid=0"",""фіз особи new!relations_name_uo""),7,FALSE)
,
)
))"),"БАКІНОВА Тетяна Іванівна")</f>
        <v>БАКІНОВА Тетяна Іванівна</v>
      </c>
      <c r="J3246" s="7" t="s">
        <v>15</v>
      </c>
    </row>
    <row r="3247" spans="1:10" ht="13.2">
      <c r="A3247" s="7">
        <v>3246</v>
      </c>
      <c r="B3247" s="7">
        <v>1</v>
      </c>
      <c r="C3247" s="7" t="s">
        <v>10</v>
      </c>
      <c r="D3247" s="7">
        <v>935</v>
      </c>
      <c r="E3247" s="7" t="s">
        <v>14</v>
      </c>
      <c r="F3247" s="8" t="str">
        <f ca="1">IFERROR(__xludf.DUMMYFUNCTION("IF
(
C3248=""фізична особа""
,
VLOOKUP(D3248,IMPORTRANGE(""https://docs.google.com/spreadsheets/d/14Bd19lYaqBhU8_DElYkX7l4wRkHqqCUFNJY4AfY3kHU/edit?usp=sharing  #gid=0"",""фіз особи new!relations_name""),6,FALSE)
,
(IF
(
C3248=""юридична особа""
,
VLOOKUP"&amp;"(D3248,IMPORTRANGE(""https://docs.google.com/spreadsheets/d/14Bd19lYaqBhU8_DElYkX7l4wRkHqqCUFNJY4AfY3kHU/edit?usp=sharing  #gid=0"",""фіз особи new!relations_name_uo""),7,FALSE)
,
)
))"),"ПРОНЬКО Юрій Олександрович")</f>
        <v>ПРОНЬКО Юрій Олександрович</v>
      </c>
      <c r="G3247" s="7" t="s">
        <v>10</v>
      </c>
      <c r="H3247" s="7">
        <v>0</v>
      </c>
      <c r="I3247" s="8" t="str">
        <f ca="1">IFERROR(__xludf.DUMMYFUNCTION("IF
(
G3248=""фізична особа""
,
VLOOKUP(H3248,IMPORTRANGE(""https://docs.google.com/spreadsheets/d/14Bd19lYaqBhU8_DElYkX7l4wRkHqqCUFNJY4AfY3kHU/edit?usp=sharing  #gid=0"",""фіз особи new!relations_name""),6,FALSE)
,
(IF
(
G3248=""юридична особа""
,
VLOOKUP"&amp;"(H3248,IMPORTRANGE(""https://docs.google.com/spreadsheets/d/14Bd19lYaqBhU8_DElYkX7l4wRkHqqCUFNJY4AfY3kHU/edit?usp=sharing  #gid=0"",""фіз особи new!relations_name_uo""),7,FALSE)
,
)
))"),"#N/A")</f>
        <v>#N/A</v>
      </c>
      <c r="J3247" s="7" t="s">
        <v>15</v>
      </c>
    </row>
    <row r="3248" spans="1:10" ht="13.2">
      <c r="A3248" s="7">
        <v>3247</v>
      </c>
      <c r="B3248" s="7">
        <v>1</v>
      </c>
      <c r="C3248" s="7" t="s">
        <v>10</v>
      </c>
      <c r="D3248" s="7">
        <v>935</v>
      </c>
      <c r="E3248" s="7" t="s">
        <v>12</v>
      </c>
      <c r="F3248" s="8" t="str">
        <f ca="1">IFERROR(__xludf.DUMMYFUNCTION("IF
(
C3249=""фізична особа""
,
VLOOKUP(D3249,IMPORTRANGE(""https://docs.google.com/spreadsheets/d/14Bd19lYaqBhU8_DElYkX7l4wRkHqqCUFNJY4AfY3kHU/edit?usp=sharing  #gid=0"",""фіз особи new!relations_name""),6,FALSE)
,
(IF
(
C3249=""юридична особа""
,
VLOOKUP"&amp;"(D3249,IMPORTRANGE(""https://docs.google.com/spreadsheets/d/14Bd19lYaqBhU8_DElYkX7l4wRkHqqCUFNJY4AfY3kHU/edit?usp=sharing  #gid=0"",""фіз особи new!relations_name_uo""),7,FALSE)
,
)
))"),"ПРОНЬКО Юрій Олександрович")</f>
        <v>ПРОНЬКО Юрій Олександрович</v>
      </c>
      <c r="G3248" s="7" t="s">
        <v>10</v>
      </c>
      <c r="H3248" s="7">
        <v>0</v>
      </c>
      <c r="I3248" s="8" t="str">
        <f ca="1">IFERROR(__xludf.DUMMYFUNCTION("IF
(
G3249=""фізична особа""
,
VLOOKUP(H3249,IMPORTRANGE(""https://docs.google.com/spreadsheets/d/14Bd19lYaqBhU8_DElYkX7l4wRkHqqCUFNJY4AfY3kHU/edit?usp=sharing  #gid=0"",""фіз особи new!relations_name""),6,FALSE)
,
(IF
(
G3249=""юридична особа""
,
VLOOKUP"&amp;"(H3249,IMPORTRANGE(""https://docs.google.com/spreadsheets/d/14Bd19lYaqBhU8_DElYkX7l4wRkHqqCUFNJY4AfY3kHU/edit?usp=sharing  #gid=0"",""фіз особи new!relations_name_uo""),7,FALSE)
,
)
))"),"#N/A")</f>
        <v>#N/A</v>
      </c>
      <c r="J3248" s="7" t="s">
        <v>13</v>
      </c>
    </row>
    <row r="3249" spans="1:10" ht="13.2">
      <c r="A3249" s="7">
        <v>3248</v>
      </c>
      <c r="B3249" s="7">
        <v>1</v>
      </c>
      <c r="C3249" s="7" t="s">
        <v>10</v>
      </c>
      <c r="D3249" s="7">
        <v>935</v>
      </c>
      <c r="E3249" s="7" t="s">
        <v>12</v>
      </c>
      <c r="F3249" s="8" t="str">
        <f ca="1">IFERROR(__xludf.DUMMYFUNCTION("IF
(
C3250=""фізична особа""
,
VLOOKUP(D3250,IMPORTRANGE(""https://docs.google.com/spreadsheets/d/14Bd19lYaqBhU8_DElYkX7l4wRkHqqCUFNJY4AfY3kHU/edit?usp=sharing  #gid=0"",""фіз особи new!relations_name""),6,FALSE)
,
(IF
(
C3250=""юридична особа""
,
VLOOKUP"&amp;"(D3250,IMPORTRANGE(""https://docs.google.com/spreadsheets/d/14Bd19lYaqBhU8_DElYkX7l4wRkHqqCUFNJY4AfY3kHU/edit?usp=sharing  #gid=0"",""фіз особи new!relations_name_uo""),7,FALSE)
,
)
))"),"ПРОНЬКО Юрій Олександрович")</f>
        <v>ПРОНЬКО Юрій Олександрович</v>
      </c>
      <c r="G3249" s="7" t="s">
        <v>10</v>
      </c>
      <c r="H3249" s="7">
        <v>0</v>
      </c>
      <c r="I3249" s="8" t="str">
        <f ca="1">IFERROR(__xludf.DUMMYFUNCTION("IF
(
G3250=""фізична особа""
,
VLOOKUP(H3250,IMPORTRANGE(""https://docs.google.com/spreadsheets/d/14Bd19lYaqBhU8_DElYkX7l4wRkHqqCUFNJY4AfY3kHU/edit?usp=sharing  #gid=0"",""фіз особи new!relations_name""),6,FALSE)
,
(IF
(
G3250=""юридична особа""
,
VLOOKUP"&amp;"(H3250,IMPORTRANGE(""https://docs.google.com/spreadsheets/d/14Bd19lYaqBhU8_DElYkX7l4wRkHqqCUFNJY4AfY3kHU/edit?usp=sharing  #gid=0"",""фіз особи new!relations_name_uo""),7,FALSE)
,
)
))"),"#N/A")</f>
        <v>#N/A</v>
      </c>
      <c r="J3249" s="7" t="s">
        <v>13</v>
      </c>
    </row>
    <row r="3250" spans="1:10" ht="13.2">
      <c r="A3250" s="7">
        <v>3249</v>
      </c>
      <c r="B3250" s="7">
        <v>1</v>
      </c>
      <c r="C3250" s="7" t="s">
        <v>10</v>
      </c>
      <c r="D3250" s="7">
        <v>936</v>
      </c>
      <c r="E3250" s="7" t="s">
        <v>17</v>
      </c>
      <c r="F3250" s="8" t="str">
        <f ca="1">IFERROR(__xludf.DUMMYFUNCTION("IF
(
C3251=""фізична особа""
,
VLOOKUP(D3251,IMPORTRANGE(""https://docs.google.com/spreadsheets/d/14Bd19lYaqBhU8_DElYkX7l4wRkHqqCUFNJY4AfY3kHU/edit?usp=sharing  #gid=0"",""фіз особи new!relations_name""),6,FALSE)
,
(IF
(
C3251=""юридична особа""
,
VLOOKUP"&amp;"(D3251,IMPORTRANGE(""https://docs.google.com/spreadsheets/d/14Bd19lYaqBhU8_DElYkX7l4wRkHqqCUFNJY4AfY3kHU/edit?usp=sharing  #gid=0"",""фіз особи new!relations_name_uo""),7,FALSE)
,
)
))"),"СИРОВАТКО Юрій Миколайович")</f>
        <v>СИРОВАТКО Юрій Миколайович</v>
      </c>
      <c r="G3250" s="7" t="s">
        <v>10</v>
      </c>
      <c r="H3250" s="7">
        <v>0</v>
      </c>
      <c r="I3250" s="8" t="str">
        <f ca="1">IFERROR(__xludf.DUMMYFUNCTION("IF
(
G3251=""фізична особа""
,
VLOOKUP(H3251,IMPORTRANGE(""https://docs.google.com/spreadsheets/d/14Bd19lYaqBhU8_DElYkX7l4wRkHqqCUFNJY4AfY3kHU/edit?usp=sharing  #gid=0"",""фіз особи new!relations_name""),6,FALSE)
,
(IF
(
G3251=""юридична особа""
,
VLOOKUP"&amp;"(H3251,IMPORTRANGE(""https://docs.google.com/spreadsheets/d/14Bd19lYaqBhU8_DElYkX7l4wRkHqqCUFNJY4AfY3kHU/edit?usp=sharing  #gid=0"",""фіз особи new!relations_name_uo""),7,FALSE)
,
)
))"),"#N/A")</f>
        <v>#N/A</v>
      </c>
      <c r="J3250" s="7" t="s">
        <v>12</v>
      </c>
    </row>
    <row r="3251" spans="1:10" ht="13.2">
      <c r="A3251" s="7">
        <v>3250</v>
      </c>
      <c r="B3251" s="7">
        <v>1</v>
      </c>
      <c r="C3251" s="7" t="s">
        <v>10</v>
      </c>
      <c r="D3251" s="7">
        <v>936</v>
      </c>
      <c r="E3251" s="7" t="s">
        <v>17</v>
      </c>
      <c r="F3251" s="8" t="str">
        <f ca="1">IFERROR(__xludf.DUMMYFUNCTION("IF
(
C3252=""фізична особа""
,
VLOOKUP(D3252,IMPORTRANGE(""https://docs.google.com/spreadsheets/d/14Bd19lYaqBhU8_DElYkX7l4wRkHqqCUFNJY4AfY3kHU/edit?usp=sharing  #gid=0"",""фіз особи new!relations_name""),6,FALSE)
,
(IF
(
C3252=""юридична особа""
,
VLOOKUP"&amp;"(D3252,IMPORTRANGE(""https://docs.google.com/spreadsheets/d/14Bd19lYaqBhU8_DElYkX7l4wRkHqqCUFNJY4AfY3kHU/edit?usp=sharing  #gid=0"",""фіз особи new!relations_name_uo""),7,FALSE)
,
)
))"),"СИРОВАТКО Юрій Миколайович")</f>
        <v>СИРОВАТКО Юрій Миколайович</v>
      </c>
      <c r="G3251" s="7" t="s">
        <v>10</v>
      </c>
      <c r="H3251" s="7">
        <v>0</v>
      </c>
      <c r="I3251" s="8" t="str">
        <f ca="1">IFERROR(__xludf.DUMMYFUNCTION("IF
(
G3252=""фізична особа""
,
VLOOKUP(H3252,IMPORTRANGE(""https://docs.google.com/spreadsheets/d/14Bd19lYaqBhU8_DElYkX7l4wRkHqqCUFNJY4AfY3kHU/edit?usp=sharing  #gid=0"",""фіз особи new!relations_name""),6,FALSE)
,
(IF
(
G3252=""юридична особа""
,
VLOOKUP"&amp;"(H3252,IMPORTRANGE(""https://docs.google.com/spreadsheets/d/14Bd19lYaqBhU8_DElYkX7l4wRkHqqCUFNJY4AfY3kHU/edit?usp=sharing  #gid=0"",""фіз особи new!relations_name_uo""),7,FALSE)
,
)
))"),"#N/A")</f>
        <v>#N/A</v>
      </c>
      <c r="J3251" s="7" t="s">
        <v>21</v>
      </c>
    </row>
    <row r="3252" spans="1:10" ht="13.2">
      <c r="A3252" s="7">
        <v>3251</v>
      </c>
      <c r="B3252" s="7">
        <v>1</v>
      </c>
      <c r="C3252" s="7" t="s">
        <v>10</v>
      </c>
      <c r="D3252" s="7">
        <v>937</v>
      </c>
      <c r="E3252" s="7" t="s">
        <v>14</v>
      </c>
      <c r="F3252" s="8" t="str">
        <f ca="1">IFERROR(__xludf.DUMMYFUNCTION("IF
(
C3253=""фізична особа""
,
VLOOKUP(D3253,IMPORTRANGE(""https://docs.google.com/spreadsheets/d/14Bd19lYaqBhU8_DElYkX7l4wRkHqqCUFNJY4AfY3kHU/edit?usp=sharing  #gid=0"",""фіз особи new!relations_name""),6,FALSE)
,
(IF
(
C3253=""юридична особа""
,
VLOOKUP"&amp;"(D3253,IMPORTRANGE(""https://docs.google.com/spreadsheets/d/14Bd19lYaqBhU8_DElYkX7l4wRkHqqCUFNJY4AfY3kHU/edit?usp=sharing  #gid=0"",""фіз особи new!relations_name_uo""),7,FALSE)
,
)
))"),"СОЛОВЙОВ Юрій Олексійович")</f>
        <v>СОЛОВЙОВ Юрій Олексійович</v>
      </c>
      <c r="G3252" s="7" t="s">
        <v>10</v>
      </c>
      <c r="H3252" s="7">
        <v>263</v>
      </c>
      <c r="I3252" s="8" t="str">
        <f ca="1">IFERROR(__xludf.DUMMYFUNCTION("IF
(
G3253=""фізична особа""
,
VLOOKUP(H3253,IMPORTRANGE(""https://docs.google.com/spreadsheets/d/14Bd19lYaqBhU8_DElYkX7l4wRkHqqCUFNJY4AfY3kHU/edit?usp=sharing  #gid=0"",""фіз особи new!relations_name""),6,FALSE)
,
(IF
(
G3253=""юридична особа""
,
VLOOKUP"&amp;"(H3253,IMPORTRANGE(""https://docs.google.com/spreadsheets/d/14Bd19lYaqBhU8_DElYkX7l4wRkHqqCUFNJY4AfY3kHU/edit?usp=sharing  #gid=0"",""фіз особи new!relations_name_uo""),7,FALSE)
,
)
))"),"УЛЮТІНА / СОЛОВ'ЄВА Галина Олегівна")</f>
        <v>УЛЮТІНА / СОЛОВ'ЄВА Галина Олегівна</v>
      </c>
      <c r="J3252" s="7" t="s">
        <v>15</v>
      </c>
    </row>
    <row r="3253" spans="1:10" ht="13.2">
      <c r="A3253" s="7">
        <v>3252</v>
      </c>
      <c r="B3253" s="7">
        <v>1</v>
      </c>
      <c r="C3253" s="7" t="s">
        <v>10</v>
      </c>
      <c r="D3253" s="7">
        <v>938</v>
      </c>
      <c r="E3253" s="7" t="s">
        <v>48</v>
      </c>
      <c r="F3253" s="8" t="str">
        <f ca="1">IFERROR(__xludf.DUMMYFUNCTION("IF
(
C3254=""фізична особа""
,
VLOOKUP(D3254,IMPORTRANGE(""https://docs.google.com/spreadsheets/d/14Bd19lYaqBhU8_DElYkX7l4wRkHqqCUFNJY4AfY3kHU/edit?usp=sharing  #gid=0"",""фіз особи new!relations_name""),6,FALSE)
,
(IF
(
C3254=""юридична особа""
,
VLOOKUP"&amp;"(D3254,IMPORTRANGE(""https://docs.google.com/spreadsheets/d/14Bd19lYaqBhU8_DElYkX7l4wRkHqqCUFNJY4AfY3kHU/edit?usp=sharing  #gid=0"",""фіз особи new!relations_name_uo""),7,FALSE)
,
)
))"),"СТАНКЕВИЧ Юрій Аркадійович")</f>
        <v>СТАНКЕВИЧ Юрій Аркадійович</v>
      </c>
      <c r="G3253" s="7" t="s">
        <v>10</v>
      </c>
      <c r="H3253" s="7">
        <v>185</v>
      </c>
      <c r="I3253" s="8" t="str">
        <f ca="1">IFERROR(__xludf.DUMMYFUNCTION("IF
(
G3254=""фізична особа""
,
VLOOKUP(H3254,IMPORTRANGE(""https://docs.google.com/spreadsheets/d/14Bd19lYaqBhU8_DElYkX7l4wRkHqqCUFNJY4AfY3kHU/edit?usp=sharing  #gid=0"",""фіз особи new!relations_name""),6,FALSE)
,
(IF
(
G3254=""юридична особа""
,
VLOOKUP"&amp;"(H3254,IMPORTRANGE(""https://docs.google.com/spreadsheets/d/14Bd19lYaqBhU8_DElYkX7l4wRkHqqCUFNJY4AfY3kHU/edit?usp=sharing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253" s="7" t="s">
        <v>48</v>
      </c>
    </row>
    <row r="3254" spans="1:10" ht="13.2">
      <c r="A3254" s="7">
        <v>3253</v>
      </c>
      <c r="B3254" s="7">
        <v>1</v>
      </c>
      <c r="C3254" s="7" t="s">
        <v>10</v>
      </c>
      <c r="D3254" s="7">
        <v>938</v>
      </c>
      <c r="E3254" s="7" t="s">
        <v>48</v>
      </c>
      <c r="F3254" s="8" t="str">
        <f ca="1">IFERROR(__xludf.DUMMYFUNCTION("IF
(
C3255=""фізична особа""
,
VLOOKUP(D3255,IMPORTRANGE(""https://docs.google.com/spreadsheets/d/14Bd19lYaqBhU8_DElYkX7l4wRkHqqCUFNJY4AfY3kHU/edit?usp=sharing  #gid=0"",""фіз особи new!relations_name""),6,FALSE)
,
(IF
(
C3255=""юридична особа""
,
VLOOKUP"&amp;"(D3255,IMPORTRANGE(""https://docs.google.com/spreadsheets/d/14Bd19lYaqBhU8_DElYkX7l4wRkHqqCUFNJY4AfY3kHU/edit?usp=sharing  #gid=0"",""фіз особи new!relations_name_uo""),7,FALSE)
,
)
))"),"СТАНКЕВИЧ Юрій Аркадійович")</f>
        <v>СТАНКЕВИЧ Юрій Аркадійович</v>
      </c>
      <c r="G3254" s="7" t="s">
        <v>10</v>
      </c>
      <c r="H3254" s="7">
        <v>64</v>
      </c>
      <c r="I3254" s="8" t="str">
        <f ca="1">IFERROR(__xludf.DUMMYFUNCTION("IF
(
G3255=""фізична особа""
,
VLOOKUP(H3255,IMPORTRANGE(""https://docs.google.com/spreadsheets/d/14Bd19lYaqBhU8_DElYkX7l4wRkHqqCUFNJY4AfY3kHU/edit?usp=sharing  #gid=0"",""фіз особи new!relations_name""),6,FALSE)
,
(IF
(
G3255=""юридична особа""
,
VLOOKUP"&amp;"(H3255,IMPORTRANGE(""https://docs.google.com/spreadsheets/d/14Bd19lYaqBhU8_DElYkX7l4wRkHqqCUFNJY4AfY3kHU/edit?usp=sharing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3254" s="7" t="s">
        <v>48</v>
      </c>
    </row>
    <row r="3255" spans="1:10" ht="13.2">
      <c r="A3255" s="7">
        <v>3254</v>
      </c>
      <c r="B3255" s="7">
        <v>1</v>
      </c>
      <c r="C3255" s="7" t="s">
        <v>10</v>
      </c>
      <c r="D3255" s="7">
        <v>938</v>
      </c>
      <c r="E3255" s="7" t="s">
        <v>48</v>
      </c>
      <c r="F3255" s="8" t="str">
        <f ca="1">IFERROR(__xludf.DUMMYFUNCTION("IF
(
C3256=""фізична особа""
,
VLOOKUP(D3256,IMPORTRANGE(""https://docs.google.com/spreadsheets/d/14Bd19lYaqBhU8_DElYkX7l4wRkHqqCUFNJY4AfY3kHU/edit?usp=sharing  #gid=0"",""фіз особи new!relations_name""),6,FALSE)
,
(IF
(
C3256=""юридична особа""
,
VLOOKUP"&amp;"(D3256,IMPORTRANGE(""https://docs.google.com/spreadsheets/d/14Bd19lYaqBhU8_DElYkX7l4wRkHqqCUFNJY4AfY3kHU/edit?usp=sharing  #gid=0"",""фіз особи new!relations_name_uo""),7,FALSE)
,
)
))"),"СТАНКЕВИЧ Юрій Аркадійович")</f>
        <v>СТАНКЕВИЧ Юрій Аркадійович</v>
      </c>
      <c r="G3255" s="7" t="s">
        <v>10</v>
      </c>
      <c r="H3255" s="7">
        <v>844</v>
      </c>
      <c r="I3255" s="8" t="str">
        <f ca="1">IFERROR(__xludf.DUMMYFUNCTION("IF
(
G3256=""фізична особа""
,
VLOOKUP(H3256,IMPORTRANGE(""https://docs.google.com/spreadsheets/d/14Bd19lYaqBhU8_DElYkX7l4wRkHqqCUFNJY4AfY3kHU/edit?usp=sharing  #gid=0"",""фіз особи new!relations_name""),6,FALSE)
,
(IF
(
G3256=""юридична особа""
,
VLOOKUP"&amp;"(H3256,IMPORTRANGE(""https://docs.google.com/spreadsheets/d/14Bd19lYaqBhU8_DElYkX7l4wRkHqqCUFNJY4AfY3kHU/edit?usp=sharing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3255" s="7" t="s">
        <v>48</v>
      </c>
    </row>
    <row r="3256" spans="1:10" ht="13.2">
      <c r="A3256" s="7">
        <v>3255</v>
      </c>
      <c r="B3256" s="7">
        <v>1</v>
      </c>
      <c r="C3256" s="7" t="s">
        <v>10</v>
      </c>
      <c r="D3256" s="7">
        <v>938</v>
      </c>
      <c r="E3256" s="7" t="s">
        <v>48</v>
      </c>
      <c r="F3256" s="8" t="str">
        <f ca="1">IFERROR(__xludf.DUMMYFUNCTION("IF
(
C3257=""фізична особа""
,
VLOOKUP(D3257,IMPORTRANGE(""https://docs.google.com/spreadsheets/d/14Bd19lYaqBhU8_DElYkX7l4wRkHqqCUFNJY4AfY3kHU/edit?usp=sharing  #gid=0"",""фіз особи new!relations_name""),6,FALSE)
,
(IF
(
C3257=""юридична особа""
,
VLOOKUP"&amp;"(D3257,IMPORTRANGE(""https://docs.google.com/spreadsheets/d/14Bd19lYaqBhU8_DElYkX7l4wRkHqqCUFNJY4AfY3kHU/edit?usp=sharing  #gid=0"",""фіз особи new!relations_name_uo""),7,FALSE)
,
)
))"),"СТАНКЕВИЧ Юрій Аркадійович")</f>
        <v>СТАНКЕВИЧ Юрій Аркадійович</v>
      </c>
      <c r="G3256" s="7" t="s">
        <v>10</v>
      </c>
      <c r="H3256" s="7">
        <v>4789</v>
      </c>
      <c r="I3256" s="8" t="str">
        <f ca="1">IFERROR(__xludf.DUMMYFUNCTION("IF
(
G3257=""фізична особа""
,
VLOOKUP(H3257,IMPORTRANGE(""https://docs.google.com/spreadsheets/d/14Bd19lYaqBhU8_DElYkX7l4wRkHqqCUFNJY4AfY3kHU/edit?usp=sharing  #gid=0"",""фіз особи new!relations_name""),6,FALSE)
,
(IF
(
G3257=""юридична особа""
,
VLOOKUP"&amp;"(H3257,IMPORTRANGE(""https://docs.google.com/spreadsheets/d/14Bd19lYaqBhU8_DElYkX7l4wRkHqqCUFNJY4AfY3kHU/edit?usp=sharing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J3256" s="7" t="s">
        <v>48</v>
      </c>
    </row>
    <row r="3257" spans="1:10" ht="13.2">
      <c r="A3257" s="7">
        <v>3256</v>
      </c>
      <c r="B3257" s="7">
        <v>1</v>
      </c>
      <c r="C3257" s="7" t="s">
        <v>10</v>
      </c>
      <c r="D3257" s="7">
        <v>938</v>
      </c>
      <c r="E3257" s="7" t="s">
        <v>48</v>
      </c>
      <c r="F3257" s="8" t="str">
        <f ca="1">IFERROR(__xludf.DUMMYFUNCTION("IF
(
C3258=""фізична особа""
,
VLOOKUP(D3258,IMPORTRANGE(""https://docs.google.com/spreadsheets/d/14Bd19lYaqBhU8_DElYkX7l4wRkHqqCUFNJY4AfY3kHU/edit?usp=sharing  #gid=0"",""фіз особи new!relations_name""),6,FALSE)
,
(IF
(
C3258=""юридична особа""
,
VLOOKUP"&amp;"(D3258,IMPORTRANGE(""https://docs.google.com/spreadsheets/d/14Bd19lYaqBhU8_DElYkX7l4wRkHqqCUFNJY4AfY3kHU/edit?usp=sharing  #gid=0"",""фіз особи new!relations_name_uo""),7,FALSE)
,
)
))"),"СТАНКЕВИЧ Юрій Аркадійович")</f>
        <v>СТАНКЕВИЧ Юрій Аркадійович</v>
      </c>
      <c r="G3257" s="7" t="s">
        <v>10</v>
      </c>
      <c r="H3257" s="7">
        <v>4870</v>
      </c>
      <c r="I3257" s="8" t="str">
        <f ca="1">IFERROR(__xludf.DUMMYFUNCTION("IF
(
G3258=""фізична особа""
,
VLOOKUP(H3258,IMPORTRANGE(""https://docs.google.com/spreadsheets/d/14Bd19lYaqBhU8_DElYkX7l4wRkHqqCUFNJY4AfY3kHU/edit?usp=sharing  #gid=0"",""фіз особи new!relations_name""),6,FALSE)
,
(IF
(
G3258=""юридична особа""
,
VLOOKUP"&amp;"(H3258,IMPORTRANGE(""https://docs.google.com/spreadsheets/d/14Bd19lYaqBhU8_DElYkX7l4wRkHqqCUFNJY4AfY3kHU/edit?usp=sharing  #gid=0"",""фіз особи new!relations_name_uo""),7,FALSE)
,
)
))"),"ЛАНТРАТОВА Дар'я Сергіївна")</f>
        <v>ЛАНТРАТОВА Дар'я Сергіївна</v>
      </c>
      <c r="J3257" s="7" t="s">
        <v>48</v>
      </c>
    </row>
    <row r="3258" spans="1:10" ht="13.2">
      <c r="A3258" s="7">
        <v>3257</v>
      </c>
      <c r="B3258" s="7">
        <v>1</v>
      </c>
      <c r="C3258" s="7" t="s">
        <v>10</v>
      </c>
      <c r="D3258" s="7">
        <v>939</v>
      </c>
      <c r="E3258" s="7" t="s">
        <v>28</v>
      </c>
      <c r="F3258" s="8" t="str">
        <f ca="1">IFERROR(__xludf.DUMMYFUNCTION("IF
(
C3259=""фізична особа""
,
VLOOKUP(D3259,IMPORTRANGE(""https://docs.google.com/spreadsheets/d/14Bd19lYaqBhU8_DElYkX7l4wRkHqqCUFNJY4AfY3kHU/edit?usp=sharing  #gid=0"",""фіз особи new!relations_name""),6,FALSE)
,
(IF
(
C3259=""юридична особа""
,
VLOOKUP"&amp;"(D3259,IMPORTRANGE(""https://docs.google.com/spreadsheets/d/14Bd19lYaqBhU8_DElYkX7l4wRkHqqCUFNJY4AfY3kHU/edit?usp=sharing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58" s="7" t="s">
        <v>10</v>
      </c>
      <c r="H3258" s="7">
        <v>670</v>
      </c>
      <c r="I3258" s="8" t="str">
        <f ca="1">IFERROR(__xludf.DUMMYFUNCTION("IF
(
G3259=""фізична особа""
,
VLOOKUP(H3259,IMPORTRANGE(""https://docs.google.com/spreadsheets/d/14Bd19lYaqBhU8_DElYkX7l4wRkHqqCUFNJY4AfY3kHU/edit?usp=sharing  #gid=0"",""фіз особи new!relations_name""),6,FALSE)
,
(IF
(
G3259=""юридична особа""
,
VLOOKUP"&amp;"(H3259,IMPORTRANGE(""https://docs.google.com/spreadsheets/d/14Bd19lYaqBhU8_DElYkX7l4wRkHqqCUFNJY4AfY3kHU/edit?usp=sharing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3258" s="7" t="s">
        <v>29</v>
      </c>
    </row>
    <row r="3259" spans="1:10" ht="13.2">
      <c r="A3259" s="7">
        <v>3258</v>
      </c>
      <c r="B3259" s="7">
        <v>1</v>
      </c>
      <c r="C3259" s="7" t="s">
        <v>10</v>
      </c>
      <c r="D3259" s="7">
        <v>939</v>
      </c>
      <c r="E3259" s="7" t="s">
        <v>26</v>
      </c>
      <c r="F3259" s="8" t="str">
        <f ca="1">IFERROR(__xludf.DUMMYFUNCTION("IF
(
C3260=""фізична особа""
,
VLOOKUP(D3260,IMPORTRANGE(""https://docs.google.com/spreadsheets/d/14Bd19lYaqBhU8_DElYkX7l4wRkHqqCUFNJY4AfY3kHU/edit?usp=sharing  #gid=0"",""фіз особи new!relations_name""),6,FALSE)
,
(IF
(
C3260=""юридична особа""
,
VLOOKUP"&amp;"(D3260,IMPORTRANGE(""https://docs.google.com/spreadsheets/d/14Bd19lYaqBhU8_DElYkX7l4wRkHqqCUFNJY4AfY3kHU/edit?usp=sharing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59" s="7" t="s">
        <v>10</v>
      </c>
      <c r="H3259" s="7">
        <v>23457</v>
      </c>
      <c r="I3259" s="8" t="str">
        <f ca="1">IFERROR(__xludf.DUMMYFUNCTION("IF
(
G3260=""фізична особа""
,
VLOOKUP(H3260,IMPORTRANGE(""https://docs.google.com/spreadsheets/d/14Bd19lYaqBhU8_DElYkX7l4wRkHqqCUFNJY4AfY3kHU/edit?usp=sharing  #gid=0"",""фіз особи new!relations_name""),6,FALSE)
,
(IF
(
G3260=""юридична особа""
,
VLOOKUP"&amp;"(H3260,IMPORTRANGE(""https://docs.google.com/spreadsheets/d/14Bd19lYaqBhU8_DElYkX7l4wRkHqqCUFNJY4AfY3kHU/edit?usp=sharing  #gid=0"",""фіз особи new!relations_name_uo""),7,FALSE)
,
)
))"),"КІТАЄВА Ніна Миколаївна")</f>
        <v>КІТАЄВА Ніна Миколаївна</v>
      </c>
      <c r="J3259" s="7" t="s">
        <v>27</v>
      </c>
    </row>
    <row r="3260" spans="1:10" ht="13.2">
      <c r="A3260" s="7">
        <v>3259</v>
      </c>
      <c r="B3260" s="7">
        <v>1</v>
      </c>
      <c r="C3260" s="7" t="s">
        <v>10</v>
      </c>
      <c r="D3260" s="7">
        <v>939</v>
      </c>
      <c r="E3260" s="7" t="s">
        <v>46</v>
      </c>
      <c r="F3260" s="8" t="str">
        <f ca="1">IFERROR(__xludf.DUMMYFUNCTION("IF
(
C3261=""фізична особа""
,
VLOOKUP(D3261,IMPORTRANGE(""https://docs.google.com/spreadsheets/d/14Bd19lYaqBhU8_DElYkX7l4wRkHqqCUFNJY4AfY3kHU/edit?usp=sharing  #gid=0"",""фіз особи new!relations_name""),6,FALSE)
,
(IF
(
C3261=""юридична особа""
,
VLOOKUP"&amp;"(D3261,IMPORTRANGE(""https://docs.google.com/spreadsheets/d/14Bd19lYaqBhU8_DElYkX7l4wRkHqqCUFNJY4AfY3kHU/edit?usp=sharing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0" s="7" t="s">
        <v>10</v>
      </c>
      <c r="H3260" s="7">
        <v>11971</v>
      </c>
      <c r="I3260" s="8" t="str">
        <f ca="1">IFERROR(__xludf.DUMMYFUNCTION("IF
(
G3261=""фізична особа""
,
VLOOKUP(H3261,IMPORTRANGE(""https://docs.google.com/spreadsheets/d/14Bd19lYaqBhU8_DElYkX7l4wRkHqqCUFNJY4AfY3kHU/edit?usp=sharing  #gid=0"",""фіз особи new!relations_name""),6,FALSE)
,
(IF
(
G3261=""юридична особа""
,
VLOOKUP"&amp;"(H3261,IMPORTRANGE(""https://docs.google.com/spreadsheets/d/14Bd19lYaqBhU8_DElYkX7l4wRkHqqCUFNJY4AfY3kHU/edit?usp=sharing  #gid=0"",""фіз особи new!relations_name_uo""),7,FALSE)
,
)
))"),"КІТАЄВА Марія Володимирівна")</f>
        <v>КІТАЄВА Марія Володимирівна</v>
      </c>
      <c r="J3260" s="7" t="s">
        <v>47</v>
      </c>
    </row>
    <row r="3261" spans="1:10" ht="13.2">
      <c r="A3261" s="7">
        <v>3260</v>
      </c>
      <c r="B3261" s="7">
        <v>1</v>
      </c>
      <c r="C3261" s="7" t="s">
        <v>10</v>
      </c>
      <c r="D3261" s="7">
        <v>939</v>
      </c>
      <c r="E3261" s="7" t="s">
        <v>12</v>
      </c>
      <c r="F3261" s="8" t="str">
        <f ca="1">IFERROR(__xludf.DUMMYFUNCTION("IF
(
C3262=""фізична особа""
,
VLOOKUP(D3262,IMPORTRANGE(""https://docs.google.com/spreadsheets/d/14Bd19lYaqBhU8_DElYkX7l4wRkHqqCUFNJY4AfY3kHU/edit?usp=sharing  #gid=0"",""фіз особи new!relations_name""),6,FALSE)
,
(IF
(
C3262=""юридична особа""
,
VLOOKUP"&amp;"(D3262,IMPORTRANGE(""https://docs.google.com/spreadsheets/d/14Bd19lYaqBhU8_DElYkX7l4wRkHqqCUFNJY4AfY3kHU/edit?usp=sharing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1" s="7" t="s">
        <v>10</v>
      </c>
      <c r="H3261" s="7">
        <v>0</v>
      </c>
      <c r="I3261" s="8" t="str">
        <f ca="1">IFERROR(__xludf.DUMMYFUNCTION("IF
(
G3262=""фізична особа""
,
VLOOKUP(H3262,IMPORTRANGE(""https://docs.google.com/spreadsheets/d/14Bd19lYaqBhU8_DElYkX7l4wRkHqqCUFNJY4AfY3kHU/edit?usp=sharing  #gid=0"",""фіз особи new!relations_name""),6,FALSE)
,
(IF
(
G3262=""юридична особа""
,
VLOOKUP"&amp;"(H3262,IMPORTRANGE(""https://docs.google.com/spreadsheets/d/14Bd19lYaqBhU8_DElYkX7l4wRkHqqCUFNJY4AfY3kHU/edit?usp=sharing  #gid=0"",""фіз особи new!relations_name_uo""),7,FALSE)
,
)
))"),"#N/A")</f>
        <v>#N/A</v>
      </c>
      <c r="J3261" s="7" t="s">
        <v>17</v>
      </c>
    </row>
    <row r="3262" spans="1:10" ht="13.2">
      <c r="A3262" s="7">
        <v>3261</v>
      </c>
      <c r="B3262" s="7">
        <v>1</v>
      </c>
      <c r="C3262" s="7" t="s">
        <v>10</v>
      </c>
      <c r="D3262" s="7">
        <v>939</v>
      </c>
      <c r="E3262" s="7" t="s">
        <v>12</v>
      </c>
      <c r="F3262" s="8" t="str">
        <f ca="1">IFERROR(__xludf.DUMMYFUNCTION("IF
(
C3263=""фізична особа""
,
VLOOKUP(D3263,IMPORTRANGE(""https://docs.google.com/spreadsheets/d/14Bd19lYaqBhU8_DElYkX7l4wRkHqqCUFNJY4AfY3kHU/edit?usp=sharing  #gid=0"",""фіз особи new!relations_name""),6,FALSE)
,
(IF
(
C3263=""юридична особа""
,
VLOOKUP"&amp;"(D3263,IMPORTRANGE(""https://docs.google.com/spreadsheets/d/14Bd19lYaqBhU8_DElYkX7l4wRkHqqCUFNJY4AfY3kHU/edit?usp=sharing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2" s="7" t="s">
        <v>10</v>
      </c>
      <c r="H3262" s="7">
        <v>0</v>
      </c>
      <c r="I3262" s="8" t="str">
        <f ca="1">IFERROR(__xludf.DUMMYFUNCTION("IF
(
G3263=""фізична особа""
,
VLOOKUP(H3263,IMPORTRANGE(""https://docs.google.com/spreadsheets/d/14Bd19lYaqBhU8_DElYkX7l4wRkHqqCUFNJY4AfY3kHU/edit?usp=sharing  #gid=0"",""фіз особи new!relations_name""),6,FALSE)
,
(IF
(
G3263=""юридична особа""
,
VLOOKUP"&amp;"(H3263,IMPORTRANGE(""https://docs.google.com/spreadsheets/d/14Bd19lYaqBhU8_DElYkX7l4wRkHqqCUFNJY4AfY3kHU/edit?usp=sharing  #gid=0"",""фіз особи new!relations_name_uo""),7,FALSE)
,
)
))"),"#N/A")</f>
        <v>#N/A</v>
      </c>
      <c r="J3262" s="7" t="s">
        <v>13</v>
      </c>
    </row>
    <row r="3263" spans="1:10" ht="13.2">
      <c r="A3263" s="7">
        <v>3262</v>
      </c>
      <c r="B3263" s="7">
        <v>1</v>
      </c>
      <c r="C3263" s="7" t="s">
        <v>10</v>
      </c>
      <c r="D3263" s="7">
        <v>939</v>
      </c>
      <c r="E3263" s="7" t="s">
        <v>12</v>
      </c>
      <c r="F3263" s="8" t="str">
        <f ca="1">IFERROR(__xludf.DUMMYFUNCTION("IF
(
C3264=""фізична особа""
,
VLOOKUP(D3264,IMPORTRANGE(""https://docs.google.com/spreadsheets/d/14Bd19lYaqBhU8_DElYkX7l4wRkHqqCUFNJY4AfY3kHU/edit?usp=sharing  #gid=0"",""фіз особи new!relations_name""),6,FALSE)
,
(IF
(
C3264=""юридична особа""
,
VLOOKUP"&amp;"(D3264,IMPORTRANGE(""https://docs.google.com/spreadsheets/d/14Bd19lYaqBhU8_DElYkX7l4wRkHqqCUFNJY4AfY3kHU/edit?usp=sharing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3" s="7" t="s">
        <v>10</v>
      </c>
      <c r="H3263" s="7">
        <v>0</v>
      </c>
      <c r="I3263" s="8" t="str">
        <f ca="1">IFERROR(__xludf.DUMMYFUNCTION("IF
(
G3264=""фізична особа""
,
VLOOKUP(H3264,IMPORTRANGE(""https://docs.google.com/spreadsheets/d/14Bd19lYaqBhU8_DElYkX7l4wRkHqqCUFNJY4AfY3kHU/edit?usp=sharing  #gid=0"",""фіз особи new!relations_name""),6,FALSE)
,
(IF
(
G3264=""юридична особа""
,
VLOOKUP"&amp;"(H3264,IMPORTRANGE(""https://docs.google.com/spreadsheets/d/14Bd19lYaqBhU8_DElYkX7l4wRkHqqCUFNJY4AfY3kHU/edit?usp=sharing  #gid=0"",""фіз особи new!relations_name_uo""),7,FALSE)
,
)
))"),"#N/A")</f>
        <v>#N/A</v>
      </c>
      <c r="J3263" s="7" t="s">
        <v>13</v>
      </c>
    </row>
    <row r="3264" spans="1:10" ht="13.2">
      <c r="A3264" s="7">
        <v>3263</v>
      </c>
      <c r="B3264" s="7">
        <v>1</v>
      </c>
      <c r="C3264" s="7" t="s">
        <v>10</v>
      </c>
      <c r="D3264" s="7">
        <v>939</v>
      </c>
      <c r="E3264" s="7" t="s">
        <v>12</v>
      </c>
      <c r="F3264" s="8" t="str">
        <f ca="1">IFERROR(__xludf.DUMMYFUNCTION("IF
(
C3265=""фізична особа""
,
VLOOKUP(D3265,IMPORTRANGE(""https://docs.google.com/spreadsheets/d/14Bd19lYaqBhU8_DElYkX7l4wRkHqqCUFNJY4AfY3kHU/edit?usp=sharing  #gid=0"",""фіз особи new!relations_name""),6,FALSE)
,
(IF
(
C3265=""юридична особа""
,
VLOOKUP"&amp;"(D3265,IMPORTRANGE(""https://docs.google.com/spreadsheets/d/14Bd19lYaqBhU8_DElYkX7l4wRkHqqCUFNJY4AfY3kHU/edit?usp=sharing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4" s="7" t="s">
        <v>10</v>
      </c>
      <c r="H3264" s="7">
        <v>0</v>
      </c>
      <c r="I3264" s="8" t="str">
        <f ca="1">IFERROR(__xludf.DUMMYFUNCTION("IF
(
G3265=""фізична особа""
,
VLOOKUP(H3265,IMPORTRANGE(""https://docs.google.com/spreadsheets/d/14Bd19lYaqBhU8_DElYkX7l4wRkHqqCUFNJY4AfY3kHU/edit?usp=sharing  #gid=0"",""фіз особи new!relations_name""),6,FALSE)
,
(IF
(
G3265=""юридична особа""
,
VLOOKUP"&amp;"(H3265,IMPORTRANGE(""https://docs.google.com/spreadsheets/d/14Bd19lYaqBhU8_DElYkX7l4wRkHqqCUFNJY4AfY3kHU/edit?usp=sharing  #gid=0"",""фіз особи new!relations_name_uo""),7,FALSE)
,
)
))"),"#N/A")</f>
        <v>#N/A</v>
      </c>
      <c r="J3264" s="7" t="s">
        <v>17</v>
      </c>
    </row>
    <row r="3265" spans="1:10" ht="13.2">
      <c r="A3265" s="7">
        <v>3264</v>
      </c>
      <c r="B3265" s="7">
        <v>1</v>
      </c>
      <c r="C3265" s="7" t="s">
        <v>10</v>
      </c>
      <c r="D3265" s="7">
        <v>939</v>
      </c>
      <c r="E3265" s="7" t="s">
        <v>18</v>
      </c>
      <c r="F3265" s="8" t="str">
        <f ca="1">IFERROR(__xludf.DUMMYFUNCTION("IF
(
C3266=""фізична особа""
,
VLOOKUP(D3266,IMPORTRANGE(""https://docs.google.com/spreadsheets/d/14Bd19lYaqBhU8_DElYkX7l4wRkHqqCUFNJY4AfY3kHU/edit?usp=sharing  #gid=0"",""фіз особи new!relations_name""),6,FALSE)
,
(IF
(
C3266=""юридична особа""
,
VLOOKUP"&amp;"(D3266,IMPORTRANGE(""https://docs.google.com/spreadsheets/d/14Bd19lYaqBhU8_DElYkX7l4wRkHqqCUFNJY4AfY3kHU/edit?usp=sharing  #gid=0"",""фіз особи new!relations_name_uo""),7,FALSE)
,
)
))"),"САДОВЕНКО Юрій Едуардович")</f>
        <v>САДОВЕНКО Юрій Едуардович</v>
      </c>
      <c r="G3265" s="7" t="s">
        <v>10</v>
      </c>
      <c r="H3265" s="7">
        <v>0</v>
      </c>
      <c r="I3265" s="8" t="str">
        <f ca="1">IFERROR(__xludf.DUMMYFUNCTION("IF
(
G3266=""фізична особа""
,
VLOOKUP(H3266,IMPORTRANGE(""https://docs.google.com/spreadsheets/d/14Bd19lYaqBhU8_DElYkX7l4wRkHqqCUFNJY4AfY3kHU/edit?usp=sharing  #gid=0"",""фіз особи new!relations_name""),6,FALSE)
,
(IF
(
G3266=""юридична особа""
,
VLOOKUP"&amp;"(H3266,IMPORTRANGE(""https://docs.google.com/spreadsheets/d/14Bd19lYaqBhU8_DElYkX7l4wRkHqqCUFNJY4AfY3kHU/edit?usp=sharing  #gid=0"",""фіз особи new!relations_name_uo""),7,FALSE)
,
)
))"),"#N/A")</f>
        <v>#N/A</v>
      </c>
      <c r="J3265" s="7" t="s">
        <v>18</v>
      </c>
    </row>
    <row r="3266" spans="1:10" ht="13.2">
      <c r="A3266" s="7">
        <v>3265</v>
      </c>
      <c r="B3266" s="7">
        <v>1</v>
      </c>
      <c r="C3266" s="7" t="s">
        <v>10</v>
      </c>
      <c r="D3266" s="7">
        <v>940</v>
      </c>
      <c r="E3266" s="7" t="s">
        <v>35</v>
      </c>
      <c r="F3266" s="8" t="str">
        <f ca="1">IFERROR(__xludf.DUMMYFUNCTION("IF
(
C3267=""фізична особа""
,
VLOOKUP(D3267,IMPORTRANGE(""https://docs.google.com/spreadsheets/d/14Bd19lYaqBhU8_DElYkX7l4wRkHqqCUFNJY4AfY3kHU/edit?usp=sharing  #gid=0"",""фіз особи new!relations_name""),6,FALSE)
,
(IF
(
C3267=""юридична особа""
,
VLOOKUP"&amp;"(D3267,IMPORTRANGE(""https://docs.google.com/spreadsheets/d/14Bd19lYaqBhU8_DElYkX7l4wRkHqqCUFNJY4AfY3kHU/edit?usp=sharing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66" s="7" t="s">
        <v>10</v>
      </c>
      <c r="H3266" s="7">
        <v>171</v>
      </c>
      <c r="I3266" s="8" t="str">
        <f ca="1">IFERROR(__xludf.DUMMYFUNCTION("IF
(
G3267=""фізична особа""
,
VLOOKUP(H3267,IMPORTRANGE(""https://docs.google.com/spreadsheets/d/14Bd19lYaqBhU8_DElYkX7l4wRkHqqCUFNJY4AfY3kHU/edit?usp=sharing  #gid=0"",""фіз особи new!relations_name""),6,FALSE)
,
(IF
(
G3267=""юридична особа""
,
VLOOKUP"&amp;"(H3267,IMPORTRANGE(""https://docs.google.com/spreadsheets/d/14Bd19lYaqBhU8_DElYkX7l4wRkHqqCUFNJY4AfY3kHU/edit?usp=sharing  #gid=0"",""фіз особи new!relations_name_uo""),7,FALSE)
,
)
))"),"П'ЯНОВ Дмитро Васильович")</f>
        <v>П'ЯНОВ Дмитро Васильович</v>
      </c>
      <c r="J3266" s="7" t="s">
        <v>35</v>
      </c>
    </row>
    <row r="3267" spans="1:10" ht="13.2">
      <c r="A3267" s="7">
        <v>3266</v>
      </c>
      <c r="B3267" s="7">
        <v>1</v>
      </c>
      <c r="C3267" s="7" t="s">
        <v>10</v>
      </c>
      <c r="D3267" s="7">
        <v>940</v>
      </c>
      <c r="E3267" s="7" t="s">
        <v>35</v>
      </c>
      <c r="F3267" s="8" t="str">
        <f ca="1">IFERROR(__xludf.DUMMYFUNCTION("IF
(
C3268=""фізична особа""
,
VLOOKUP(D3268,IMPORTRANGE(""https://docs.google.com/spreadsheets/d/14Bd19lYaqBhU8_DElYkX7l4wRkHqqCUFNJY4AfY3kHU/edit?usp=sharing  #gid=0"",""фіз особи new!relations_name""),6,FALSE)
,
(IF
(
C3268=""юридична особа""
,
VLOOKUP"&amp;"(D3268,IMPORTRANGE(""https://docs.google.com/spreadsheets/d/14Bd19lYaqBhU8_DElYkX7l4wRkHqqCUFNJY4AfY3kHU/edit?usp=sharing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67" s="7" t="s">
        <v>10</v>
      </c>
      <c r="H3267" s="7">
        <v>237</v>
      </c>
      <c r="I3267" s="8" t="str">
        <f ca="1">IFERROR(__xludf.DUMMYFUNCTION("IF
(
G3268=""фізична особа""
,
VLOOKUP(H3268,IMPORTRANGE(""https://docs.google.com/spreadsheets/d/14Bd19lYaqBhU8_DElYkX7l4wRkHqqCUFNJY4AfY3kHU/edit?usp=sharing  #gid=0"",""фіз особи new!relations_name""),6,FALSE)
,
(IF
(
G3268=""юридична особа""
,
VLOOKUP"&amp;"(H3268,IMPORTRANGE(""https://docs.google.com/spreadsheets/d/14Bd19lYaqBhU8_DElYkX7l4wRkHqqCUFNJY4AfY3kHU/edit?usp=sharing  #gid=0"",""фіз особи new!relations_name_uo""),7,FALSE)
,
)
))"),"НОРОВ Еркін Рахматович")</f>
        <v>НОРОВ Еркін Рахматович</v>
      </c>
      <c r="J3267" s="7" t="s">
        <v>35</v>
      </c>
    </row>
    <row r="3268" spans="1:10" ht="13.2">
      <c r="A3268" s="7">
        <v>3267</v>
      </c>
      <c r="B3268" s="7">
        <v>1</v>
      </c>
      <c r="C3268" s="7" t="s">
        <v>10</v>
      </c>
      <c r="D3268" s="7">
        <v>940</v>
      </c>
      <c r="E3268" s="7" t="s">
        <v>28</v>
      </c>
      <c r="F3268" s="8" t="str">
        <f ca="1">IFERROR(__xludf.DUMMYFUNCTION("IF
(
C3269=""фізична особа""
,
VLOOKUP(D3269,IMPORTRANGE(""https://docs.google.com/spreadsheets/d/14Bd19lYaqBhU8_DElYkX7l4wRkHqqCUFNJY4AfY3kHU/edit?usp=sharing  #gid=0"",""фіз особи new!relations_name""),6,FALSE)
,
(IF
(
C3269=""юридична особа""
,
VLOOKUP"&amp;"(D3269,IMPORTRANGE(""https://docs.google.com/spreadsheets/d/14Bd19lYaqBhU8_DElYkX7l4wRkHqqCUFNJY4AfY3kHU/edit?usp=sharing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68" s="7" t="s">
        <v>10</v>
      </c>
      <c r="H3268" s="7">
        <v>156</v>
      </c>
      <c r="I3268" s="8" t="str">
        <f ca="1">IFERROR(__xludf.DUMMYFUNCTION("IF
(
G3269=""фізична особа""
,
VLOOKUP(H3269,IMPORTRANGE(""https://docs.google.com/spreadsheets/d/14Bd19lYaqBhU8_DElYkX7l4wRkHqqCUFNJY4AfY3kHU/edit?usp=sharing  #gid=0"",""фіз особи new!relations_name""),6,FALSE)
,
(IF
(
G3269=""юридична особа""
,
VLOOKUP"&amp;"(H3269,IMPORTRANGE(""https://docs.google.com/spreadsheets/d/14Bd19lYaqBhU8_DElYkX7l4wRkHqqCUFNJY4AfY3kHU/edit?usp=sharing  #gid=0"",""фіз особи new!relations_name_uo""),7,FALSE)
,
)
))"),"БОРТНІКОВ Денис Олександрович")</f>
        <v>БОРТНІКОВ Денис Олександрович</v>
      </c>
      <c r="J3268" s="7" t="s">
        <v>29</v>
      </c>
    </row>
    <row r="3269" spans="1:10" ht="13.2">
      <c r="A3269" s="7">
        <v>3268</v>
      </c>
      <c r="B3269" s="7">
        <v>1</v>
      </c>
      <c r="C3269" s="7" t="s">
        <v>10</v>
      </c>
      <c r="D3269" s="7">
        <v>940</v>
      </c>
      <c r="E3269" s="7" t="s">
        <v>28</v>
      </c>
      <c r="F3269" s="8" t="str">
        <f ca="1">IFERROR(__xludf.DUMMYFUNCTION("IF
(
C3270=""фізична особа""
,
VLOOKUP(D3270,IMPORTRANGE(""https://docs.google.com/spreadsheets/d/14Bd19lYaqBhU8_DElYkX7l4wRkHqqCUFNJY4AfY3kHU/edit?usp=sharing  #gid=0"",""фіз особи new!relations_name""),6,FALSE)
,
(IF
(
C3270=""юридична особа""
,
VLOOKUP"&amp;"(D3270,IMPORTRANGE(""https://docs.google.com/spreadsheets/d/14Bd19lYaqBhU8_DElYkX7l4wRkHqqCUFNJY4AfY3kHU/edit?usp=sharing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69" s="7" t="s">
        <v>10</v>
      </c>
      <c r="H3269" s="7">
        <v>58</v>
      </c>
      <c r="I3269" s="8" t="str">
        <f ca="1">IFERROR(__xludf.DUMMYFUNCTION("IF
(
G3270=""фізична особа""
,
VLOOKUP(H3270,IMPORTRANGE(""https://docs.google.com/spreadsheets/d/14Bd19lYaqBhU8_DElYkX7l4wRkHqqCUFNJY4AfY3kHU/edit?usp=sharing  #gid=0"",""фіз особи new!relations_name""),6,FALSE)
,
(IF
(
G3270=""юридична особа""
,
VLOOKUP"&amp;"(H3270,IMPORTRANGE(""https://docs.google.com/spreadsheets/d/14Bd19lYaqBhU8_DElYkX7l4wRkHqqCUFNJY4AfY3kHU/edit?usp=sharing  #gid=0"",""фіз особи new!relations_name_uo""),7,FALSE)
,
)
))"),"ПУЧКОВ Андрій Сергійович")</f>
        <v>ПУЧКОВ Андрій Сергійович</v>
      </c>
      <c r="J3269" s="7" t="s">
        <v>29</v>
      </c>
    </row>
    <row r="3270" spans="1:10" ht="13.2">
      <c r="A3270" s="7">
        <v>3269</v>
      </c>
      <c r="B3270" s="7">
        <v>1</v>
      </c>
      <c r="C3270" s="7" t="s">
        <v>10</v>
      </c>
      <c r="D3270" s="7">
        <v>940</v>
      </c>
      <c r="E3270" s="7" t="s">
        <v>35</v>
      </c>
      <c r="F3270" s="8" t="str">
        <f ca="1">IFERROR(__xludf.DUMMYFUNCTION("IF
(
C3271=""фізична особа""
,
VLOOKUP(D3271,IMPORTRANGE(""https://docs.google.com/spreadsheets/d/14Bd19lYaqBhU8_DElYkX7l4wRkHqqCUFNJY4AfY3kHU/edit?usp=sharing  #gid=0"",""фіз особи new!relations_name""),6,FALSE)
,
(IF
(
C3271=""юридична особа""
,
VLOOKUP"&amp;"(D3271,IMPORTRANGE(""https://docs.google.com/spreadsheets/d/14Bd19lYaqBhU8_DElYkX7l4wRkHqqCUFNJY4AfY3kHU/edit?usp=sharing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0" s="7" t="s">
        <v>10</v>
      </c>
      <c r="H3270" s="7">
        <v>1827</v>
      </c>
      <c r="I3270" s="8" t="str">
        <f ca="1">IFERROR(__xludf.DUMMYFUNCTION("IF
(
G3271=""фізична особа""
,
VLOOKUP(H3271,IMPORTRANGE(""https://docs.google.com/spreadsheets/d/14Bd19lYaqBhU8_DElYkX7l4wRkHqqCUFNJY4AfY3kHU/edit?usp=sharing  #gid=0"",""фіз особи new!relations_name""),6,FALSE)
,
(IF
(
G3271=""юридична особа""
,
VLOOKUP"&amp;"(H3271,IMPORTRANGE(""https://docs.google.com/spreadsheets/d/14Bd19lYaqBhU8_DElYkX7l4wRkHqqCUFNJY4AfY3kHU/edit?usp=sharing  #gid=0"",""фіз особи new!relations_name_uo""),7,FALSE)
,
)
))"),"ЛЕВИКІН Володимир Дмитрович")</f>
        <v>ЛЕВИКІН Володимир Дмитрович</v>
      </c>
      <c r="J3270" s="7" t="s">
        <v>35</v>
      </c>
    </row>
    <row r="3271" spans="1:10" ht="13.2">
      <c r="A3271" s="7">
        <v>3270</v>
      </c>
      <c r="B3271" s="7">
        <v>1</v>
      </c>
      <c r="C3271" s="7" t="s">
        <v>10</v>
      </c>
      <c r="D3271" s="7">
        <v>940</v>
      </c>
      <c r="E3271" s="7" t="s">
        <v>35</v>
      </c>
      <c r="F3271" s="8" t="str">
        <f ca="1">IFERROR(__xludf.DUMMYFUNCTION("IF
(
C3272=""фізична особа""
,
VLOOKUP(D3272,IMPORTRANGE(""https://docs.google.com/spreadsheets/d/14Bd19lYaqBhU8_DElYkX7l4wRkHqqCUFNJY4AfY3kHU/edit?usp=sharing  #gid=0"",""фіз особи new!relations_name""),6,FALSE)
,
(IF
(
C3272=""юридична особа""
,
VLOOKUP"&amp;"(D3272,IMPORTRANGE(""https://docs.google.com/spreadsheets/d/14Bd19lYaqBhU8_DElYkX7l4wRkHqqCUFNJY4AfY3kHU/edit?usp=sharing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1" s="7" t="s">
        <v>10</v>
      </c>
      <c r="H3271" s="7">
        <v>23404</v>
      </c>
      <c r="I3271" s="8" t="str">
        <f ca="1">IFERROR(__xludf.DUMMYFUNCTION("IF
(
G3272=""фізична особа""
,
VLOOKUP(H3272,IMPORTRANGE(""https://docs.google.com/spreadsheets/d/14Bd19lYaqBhU8_DElYkX7l4wRkHqqCUFNJY4AfY3kHU/edit?usp=sharing  #gid=0"",""фіз особи new!relations_name""),6,FALSE)
,
(IF
(
G3272=""юридична особа""
,
VLOOKUP"&amp;"(H3272,IMPORTRANGE(""https://docs.google.com/spreadsheets/d/14Bd19lYaqBhU8_DElYkX7l4wRkHqqCUFNJY4AfY3kHU/edit?usp=sharing  #gid=0"",""фіз особи new!relations_name_uo""),7,FALSE)
,
)
))"),"ЕСКІНДАРОВ Мухадін Абдурахманович")</f>
        <v>ЕСКІНДАРОВ Мухадін Абдурахманович</v>
      </c>
      <c r="J3271" s="7" t="s">
        <v>35</v>
      </c>
    </row>
    <row r="3272" spans="1:10" ht="13.2">
      <c r="A3272" s="7">
        <v>3271</v>
      </c>
      <c r="B3272" s="7">
        <v>1</v>
      </c>
      <c r="C3272" s="7" t="s">
        <v>10</v>
      </c>
      <c r="D3272" s="7">
        <v>940</v>
      </c>
      <c r="E3272" s="7" t="s">
        <v>35</v>
      </c>
      <c r="F3272" s="8" t="str">
        <f ca="1">IFERROR(__xludf.DUMMYFUNCTION("IF
(
C3273=""фізична особа""
,
VLOOKUP(D3273,IMPORTRANGE(""https://docs.google.com/spreadsheets/d/14Bd19lYaqBhU8_DElYkX7l4wRkHqqCUFNJY4AfY3kHU/edit?usp=sharing  #gid=0"",""фіз особи new!relations_name""),6,FALSE)
,
(IF
(
C3273=""юридична особа""
,
VLOOKUP"&amp;"(D3273,IMPORTRANGE(""https://docs.google.com/spreadsheets/d/14Bd19lYaqBhU8_DElYkX7l4wRkHqqCUFNJY4AfY3kHU/edit?usp=sharing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2" s="7" t="s">
        <v>10</v>
      </c>
      <c r="H3272" s="7">
        <v>1826</v>
      </c>
      <c r="I3272" s="8" t="str">
        <f ca="1">IFERROR(__xludf.DUMMYFUNCTION("IF
(
G3273=""фізична особа""
,
VLOOKUP(H3273,IMPORTRANGE(""https://docs.google.com/spreadsheets/d/14Bd19lYaqBhU8_DElYkX7l4wRkHqqCUFNJY4AfY3kHU/edit?usp=sharing  #gid=0"",""фіз особи new!relations_name""),6,FALSE)
,
(IF
(
G3273=""юридична особа""
,
VLOOKUP"&amp;"(H3273,IMPORTRANGE(""https://docs.google.com/spreadsheets/d/14Bd19lYaqBhU8_DElYkX7l4wRkHqqCUFNJY4AfY3kHU/edit?usp=sharing  #gid=0"",""фіз особи new!relations_name_uo""),7,FALSE)
,
)
))"),"СОЛДАТЕНКО Геннадій Володимирович")</f>
        <v>СОЛДАТЕНКО Геннадій Володимирович</v>
      </c>
      <c r="J3272" s="7" t="s">
        <v>35</v>
      </c>
    </row>
    <row r="3273" spans="1:10" ht="13.2">
      <c r="A3273" s="7">
        <v>3272</v>
      </c>
      <c r="B3273" s="7">
        <v>1</v>
      </c>
      <c r="C3273" s="7" t="s">
        <v>10</v>
      </c>
      <c r="D3273" s="7">
        <v>940</v>
      </c>
      <c r="E3273" s="7" t="s">
        <v>28</v>
      </c>
      <c r="F3273" s="8" t="str">
        <f ca="1">IFERROR(__xludf.DUMMYFUNCTION("IF
(
C3274=""фізична особа""
,
VLOOKUP(D3274,IMPORTRANGE(""https://docs.google.com/spreadsheets/d/14Bd19lYaqBhU8_DElYkX7l4wRkHqqCUFNJY4AfY3kHU/edit?usp=sharing  #gid=0"",""фіз особи new!relations_name""),6,FALSE)
,
(IF
(
C3274=""юридична особа""
,
VLOOKUP"&amp;"(D3274,IMPORTRANGE(""https://docs.google.com/spreadsheets/d/14Bd19lYaqBhU8_DElYkX7l4wRkHqqCUFNJY4AfY3kHU/edit?usp=sharing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3" s="7" t="s">
        <v>10</v>
      </c>
      <c r="H3273" s="7">
        <v>49</v>
      </c>
      <c r="I3273" s="8" t="str">
        <f ca="1">IFERROR(__xludf.DUMMYFUNCTION("IF
(
G3274=""фізична особа""
,
VLOOKUP(H3274,IMPORTRANGE(""https://docs.google.com/spreadsheets/d/14Bd19lYaqBhU8_DElYkX7l4wRkHqqCUFNJY4AfY3kHU/edit?usp=sharing  #gid=0"",""фіз особи new!relations_name""),6,FALSE)
,
(IF
(
G3274=""юридична особа""
,
VLOOKUP"&amp;"(H3274,IMPORTRANGE(""https://docs.google.com/spreadsheets/d/14Bd19lYaqBhU8_DElYkX7l4wRkHqqCUFNJY4AfY3kHU/edit?usp=sharing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3273" s="7" t="s">
        <v>29</v>
      </c>
    </row>
    <row r="3274" spans="1:10" ht="13.2">
      <c r="A3274" s="7">
        <v>3273</v>
      </c>
      <c r="B3274" s="7">
        <v>1</v>
      </c>
      <c r="C3274" s="7" t="s">
        <v>10</v>
      </c>
      <c r="D3274" s="7">
        <v>940</v>
      </c>
      <c r="E3274" s="7" t="s">
        <v>28</v>
      </c>
      <c r="F3274" s="8" t="str">
        <f ca="1">IFERROR(__xludf.DUMMYFUNCTION("IF
(
C3275=""фізична особа""
,
VLOOKUP(D3275,IMPORTRANGE(""https://docs.google.com/spreadsheets/d/14Bd19lYaqBhU8_DElYkX7l4wRkHqqCUFNJY4AfY3kHU/edit?usp=sharing  #gid=0"",""фіз особи new!relations_name""),6,FALSE)
,
(IF
(
C3275=""юридична особа""
,
VLOOKUP"&amp;"(D3275,IMPORTRANGE(""https://docs.google.com/spreadsheets/d/14Bd19lYaqBhU8_DElYkX7l4wRkHqqCUFNJY4AfY3kHU/edit?usp=sharing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4" s="7" t="s">
        <v>10</v>
      </c>
      <c r="H3274" s="7">
        <v>566</v>
      </c>
      <c r="I3274" s="8" t="str">
        <f ca="1">IFERROR(__xludf.DUMMYFUNCTION("IF
(
G3275=""фізична особа""
,
VLOOKUP(H3275,IMPORTRANGE(""https://docs.google.com/spreadsheets/d/14Bd19lYaqBhU8_DElYkX7l4wRkHqqCUFNJY4AfY3kHU/edit?usp=sharing  #gid=0"",""фіз особи new!relations_name""),6,FALSE)
,
(IF
(
G3275=""юридична особа""
,
VLOOKUP"&amp;"(H3275,IMPORTRANGE(""https://docs.google.com/spreadsheets/d/14Bd19lYaqBhU8_DElYkX7l4wRkHqqCUFNJY4AfY3kHU/edit?usp=sharing  #gid=0"",""фіз особи new!relations_name_uo""),7,FALSE)
,
)
))"),"ДЕРГУНОВА Ольга Костянтинівна")</f>
        <v>ДЕРГУНОВА Ольга Костянтинівна</v>
      </c>
      <c r="J3274" s="7" t="s">
        <v>29</v>
      </c>
    </row>
    <row r="3275" spans="1:10" ht="13.2">
      <c r="A3275" s="7">
        <v>3274</v>
      </c>
      <c r="B3275" s="7">
        <v>1</v>
      </c>
      <c r="C3275" s="7" t="s">
        <v>10</v>
      </c>
      <c r="D3275" s="7">
        <v>940</v>
      </c>
      <c r="E3275" s="7" t="s">
        <v>28</v>
      </c>
      <c r="F3275" s="8" t="str">
        <f ca="1">IFERROR(__xludf.DUMMYFUNCTION("IF
(
C3276=""фізична особа""
,
VLOOKUP(D3276,IMPORTRANGE(""https://docs.google.com/spreadsheets/d/14Bd19lYaqBhU8_DElYkX7l4wRkHqqCUFNJY4AfY3kHU/edit?usp=sharing  #gid=0"",""фіз особи new!relations_name""),6,FALSE)
,
(IF
(
C3276=""юридична особа""
,
VLOOKUP"&amp;"(D3276,IMPORTRANGE(""https://docs.google.com/spreadsheets/d/14Bd19lYaqBhU8_DElYkX7l4wRkHqqCUFNJY4AfY3kHU/edit?usp=sharing  #gid=0"",""фіз особи new!relations_name_uo""),7,FALSE)
,
)
))"),"АНДРЕСОВ Юрій Миколайович")</f>
        <v>АНДРЕСОВ Юрій Миколайович</v>
      </c>
      <c r="G3275" s="7" t="s">
        <v>10</v>
      </c>
      <c r="H3275" s="7">
        <v>937</v>
      </c>
      <c r="I3275" s="8" t="str">
        <f ca="1">IFERROR(__xludf.DUMMYFUNCTION("IF
(
G3276=""фізична особа""
,
VLOOKUP(H3276,IMPORTRANGE(""https://docs.google.com/spreadsheets/d/14Bd19lYaqBhU8_DElYkX7l4wRkHqqCUFNJY4AfY3kHU/edit?usp=sharing  #gid=0"",""фіз особи new!relations_name""),6,FALSE)
,
(IF
(
G3276=""юридична особа""
,
VLOOKUP"&amp;"(H3276,IMPORTRANGE(""https://docs.google.com/spreadsheets/d/14Bd19lYaqBhU8_DElYkX7l4wRkHqqCUFNJY4AfY3kHU/edit?usp=sharing  #gid=0"",""фіз особи new!relations_name_uo""),7,FALSE)
,
)
))"),"СОЛОВЙОВ Юрій Олексійович")</f>
        <v>СОЛОВЙОВ Юрій Олексійович</v>
      </c>
      <c r="J3275" s="7" t="s">
        <v>29</v>
      </c>
    </row>
    <row r="3276" spans="1:10" ht="13.2">
      <c r="A3276" s="7">
        <v>3275</v>
      </c>
      <c r="B3276" s="7">
        <v>1</v>
      </c>
      <c r="C3276" s="7" t="s">
        <v>10</v>
      </c>
      <c r="D3276" s="7">
        <v>941</v>
      </c>
      <c r="E3276" s="7" t="s">
        <v>29</v>
      </c>
      <c r="F3276" s="8" t="str">
        <f ca="1">IFERROR(__xludf.DUMMYFUNCTION("IF
(
C3277=""фізична особа""
,
VLOOKUP(D3277,IMPORTRANGE(""https://docs.google.com/spreadsheets/d/14Bd19lYaqBhU8_DElYkX7l4wRkHqqCUFNJY4AfY3kHU/edit?usp=sharing  #gid=0"",""фіз особи new!relations_name""),6,FALSE)
,
(IF
(
C3277=""юридична особа""
,
VLOOKUP"&amp;"(D3277,IMPORTRANGE(""https://docs.google.com/spreadsheets/d/14Bd19lYaqBhU8_DElYkX7l4wRkHqqCUFNJY4AfY3kHU/edit?usp=sharing  #gid=0"",""фіз особи new!relations_name_uo""),7,FALSE)
,
)
))"),"АФОНІН Юрій В'ячеславович")</f>
        <v>АФОНІН Юрій В'ячеславович</v>
      </c>
      <c r="G3276" s="7" t="s">
        <v>10</v>
      </c>
      <c r="H3276" s="7">
        <v>0</v>
      </c>
      <c r="I3276" s="8" t="str">
        <f ca="1">IFERROR(__xludf.DUMMYFUNCTION("IF
(
G3277=""фізична особа""
,
VLOOKUP(H3277,IMPORTRANGE(""https://docs.google.com/spreadsheets/d/14Bd19lYaqBhU8_DElYkX7l4wRkHqqCUFNJY4AfY3kHU/edit?usp=sharing  #gid=0"",""фіз особи new!relations_name""),6,FALSE)
,
(IF
(
G3277=""юридична особа""
,
VLOOKUP"&amp;"(H3277,IMPORTRANGE(""https://docs.google.com/spreadsheets/d/14Bd19lYaqBhU8_DElYkX7l4wRkHqqCUFNJY4AfY3kHU/edit?usp=sharing  #gid=0"",""фіз особи new!relations_name_uo""),7,FALSE)
,
)
))"),"#N/A")</f>
        <v>#N/A</v>
      </c>
      <c r="J3276" s="7" t="s">
        <v>28</v>
      </c>
    </row>
    <row r="3277" spans="1:10" ht="13.2">
      <c r="A3277" s="7">
        <v>3276</v>
      </c>
      <c r="B3277" s="7">
        <v>1</v>
      </c>
      <c r="C3277" s="7" t="s">
        <v>10</v>
      </c>
      <c r="D3277" s="7">
        <v>942</v>
      </c>
      <c r="E3277" s="7" t="s">
        <v>12</v>
      </c>
      <c r="F3277" s="8" t="str">
        <f ca="1">IFERROR(__xludf.DUMMYFUNCTION("IF
(
C3278=""фізична особа""
,
VLOOKUP(D3278,IMPORTRANGE(""https://docs.google.com/spreadsheets/d/14Bd19lYaqBhU8_DElYkX7l4wRkHqqCUFNJY4AfY3kHU/edit?usp=sharing  #gid=0"",""фіз особи new!relations_name""),6,FALSE)
,
(IF
(
C3278=""юридична особа""
,
VLOOKUP"&amp;"(D3278,IMPORTRANGE(""https://docs.google.com/spreadsheets/d/14Bd19lYaqBhU8_DElYkX7l4wRkHqqCUFNJY4AfY3kHU/edit?usp=sharing  #gid=0"",""фіз особи new!relations_name_uo""),7,FALSE)
,
)
))"),"ПЕТРОВ Юрій Олександрович")</f>
        <v>ПЕТРОВ Юрій Олександрович</v>
      </c>
      <c r="G3277" s="7" t="s">
        <v>10</v>
      </c>
      <c r="H3277" s="7">
        <v>0</v>
      </c>
      <c r="I3277" s="8" t="str">
        <f ca="1">IFERROR(__xludf.DUMMYFUNCTION("IF
(
G3278=""фізична особа""
,
VLOOKUP(H3278,IMPORTRANGE(""https://docs.google.com/spreadsheets/d/14Bd19lYaqBhU8_DElYkX7l4wRkHqqCUFNJY4AfY3kHU/edit?usp=sharing  #gid=0"",""фіз особи new!relations_name""),6,FALSE)
,
(IF
(
G3278=""юридична особа""
,
VLOOKUP"&amp;"(H3278,IMPORTRANGE(""https://docs.google.com/spreadsheets/d/14Bd19lYaqBhU8_DElYkX7l4wRkHqqCUFNJY4AfY3kHU/edit?usp=sharing  #gid=0"",""фіз особи new!relations_name_uo""),7,FALSE)
,
)
))"),"#N/A")</f>
        <v>#N/A</v>
      </c>
      <c r="J3277" s="7" t="s">
        <v>13</v>
      </c>
    </row>
    <row r="3278" spans="1:10" ht="13.2">
      <c r="A3278" s="7">
        <v>3277</v>
      </c>
      <c r="B3278" s="7">
        <v>1</v>
      </c>
      <c r="C3278" s="7" t="s">
        <v>10</v>
      </c>
      <c r="D3278" s="7">
        <v>942</v>
      </c>
      <c r="E3278" s="7" t="s">
        <v>12</v>
      </c>
      <c r="F3278" s="8" t="str">
        <f ca="1">IFERROR(__xludf.DUMMYFUNCTION("IF
(
C3279=""фізична особа""
,
VLOOKUP(D3279,IMPORTRANGE(""https://docs.google.com/spreadsheets/d/14Bd19lYaqBhU8_DElYkX7l4wRkHqqCUFNJY4AfY3kHU/edit?usp=sharing  #gid=0"",""фіз особи new!relations_name""),6,FALSE)
,
(IF
(
C3279=""юридична особа""
,
VLOOKUP"&amp;"(D3279,IMPORTRANGE(""https://docs.google.com/spreadsheets/d/14Bd19lYaqBhU8_DElYkX7l4wRkHqqCUFNJY4AfY3kHU/edit?usp=sharing  #gid=0"",""фіз особи new!relations_name_uo""),7,FALSE)
,
)
))"),"ПЕТРОВ Юрій Олександрович")</f>
        <v>ПЕТРОВ Юрій Олександрович</v>
      </c>
      <c r="G3278" s="7" t="s">
        <v>10</v>
      </c>
      <c r="H3278" s="7">
        <v>0</v>
      </c>
      <c r="I3278" s="8" t="str">
        <f ca="1">IFERROR(__xludf.DUMMYFUNCTION("IF
(
G3279=""фізична особа""
,
VLOOKUP(H3279,IMPORTRANGE(""https://docs.google.com/spreadsheets/d/14Bd19lYaqBhU8_DElYkX7l4wRkHqqCUFNJY4AfY3kHU/edit?usp=sharing  #gid=0"",""фіз особи new!relations_name""),6,FALSE)
,
(IF
(
G3279=""юридична особа""
,
VLOOKUP"&amp;"(H3279,IMPORTRANGE(""https://docs.google.com/spreadsheets/d/14Bd19lYaqBhU8_DElYkX7l4wRkHqqCUFNJY4AfY3kHU/edit?usp=sharing  #gid=0"",""фіз особи new!relations_name_uo""),7,FALSE)
,
)
))"),"#N/A")</f>
        <v>#N/A</v>
      </c>
      <c r="J3278" s="7" t="s">
        <v>13</v>
      </c>
    </row>
    <row r="3279" spans="1:10" ht="13.2">
      <c r="A3279" s="7">
        <v>3278</v>
      </c>
      <c r="B3279" s="7">
        <v>1</v>
      </c>
      <c r="C3279" s="7" t="s">
        <v>10</v>
      </c>
      <c r="D3279" s="7">
        <v>942</v>
      </c>
      <c r="E3279" s="7" t="s">
        <v>12</v>
      </c>
      <c r="F3279" s="8" t="str">
        <f ca="1">IFERROR(__xludf.DUMMYFUNCTION("IF
(
C3280=""фізична особа""
,
VLOOKUP(D3280,IMPORTRANGE(""https://docs.google.com/spreadsheets/d/14Bd19lYaqBhU8_DElYkX7l4wRkHqqCUFNJY4AfY3kHU/edit?usp=sharing  #gid=0"",""фіз особи new!relations_name""),6,FALSE)
,
(IF
(
C3280=""юридична особа""
,
VLOOKUP"&amp;"(D3280,IMPORTRANGE(""https://docs.google.com/spreadsheets/d/14Bd19lYaqBhU8_DElYkX7l4wRkHqqCUFNJY4AfY3kHU/edit?usp=sharing  #gid=0"",""фіз особи new!relations_name_uo""),7,FALSE)
,
)
))"),"ПЕТРОВ Юрій Олександрович")</f>
        <v>ПЕТРОВ Юрій Олександрович</v>
      </c>
      <c r="G3279" s="7" t="s">
        <v>10</v>
      </c>
      <c r="H3279" s="7">
        <v>0</v>
      </c>
      <c r="I3279" s="8" t="str">
        <f ca="1">IFERROR(__xludf.DUMMYFUNCTION("IF
(
G3280=""фізична особа""
,
VLOOKUP(H3280,IMPORTRANGE(""https://docs.google.com/spreadsheets/d/14Bd19lYaqBhU8_DElYkX7l4wRkHqqCUFNJY4AfY3kHU/edit?usp=sharing  #gid=0"",""фіз особи new!relations_name""),6,FALSE)
,
(IF
(
G3280=""юридична особа""
,
VLOOKUP"&amp;"(H3280,IMPORTRANGE(""https://docs.google.com/spreadsheets/d/14Bd19lYaqBhU8_DElYkX7l4wRkHqqCUFNJY4AfY3kHU/edit?usp=sharing  #gid=0"",""фіз особи new!relations_name_uo""),7,FALSE)
,
)
))"),"#N/A")</f>
        <v>#N/A</v>
      </c>
      <c r="J3279" s="7" t="s">
        <v>17</v>
      </c>
    </row>
    <row r="3280" spans="1:10" ht="13.2">
      <c r="A3280" s="7">
        <v>3279</v>
      </c>
      <c r="B3280" s="7">
        <v>1</v>
      </c>
      <c r="C3280" s="7" t="s">
        <v>10</v>
      </c>
      <c r="D3280" s="7">
        <v>943</v>
      </c>
      <c r="E3280" s="7" t="s">
        <v>23</v>
      </c>
      <c r="F3280" s="8" t="str">
        <f ca="1">IFERROR(__xludf.DUMMYFUNCTION("IF
(
C3281=""фізична особа""
,
VLOOKUP(D3281,IMPORTRANGE(""https://docs.google.com/spreadsheets/d/14Bd19lYaqBhU8_DElYkX7l4wRkHqqCUFNJY4AfY3kHU/edit?usp=sharing  #gid=0"",""фіз особи new!relations_name""),6,FALSE)
,
(IF
(
C3281=""юридична особа""
,
VLOOKUP"&amp;"(D3281,IMPORTRANGE(""https://docs.google.com/spreadsheets/d/14Bd19lYaqBhU8_DElYkX7l4wRkHqqCUFNJY4AfY3kHU/edit?usp=sharing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G3280" s="7" t="s">
        <v>10</v>
      </c>
      <c r="H3280" s="7">
        <v>2404</v>
      </c>
      <c r="I3280" s="8" t="str">
        <f ca="1">IFERROR(__xludf.DUMMYFUNCTION("IF
(
G3281=""фізична особа""
,
VLOOKUP(H3281,IMPORTRANGE(""https://docs.google.com/spreadsheets/d/14Bd19lYaqBhU8_DElYkX7l4wRkHqqCUFNJY4AfY3kHU/edit?usp=sharing  #gid=0"",""фіз особи new!relations_name""),6,FALSE)
,
(IF
(
G3281=""юридична особа""
,
VLOOKUP"&amp;"(H3281,IMPORTRANGE(""https://docs.google.com/spreadsheets/d/14Bd19lYaqBhU8_DElYkX7l4wRkHqqCUFNJY4AfY3kHU/edit?usp=sharing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J3280" s="7" t="s">
        <v>23</v>
      </c>
    </row>
    <row r="3281" spans="1:10" ht="13.2">
      <c r="A3281" s="7">
        <v>3280</v>
      </c>
      <c r="B3281" s="7">
        <v>1</v>
      </c>
      <c r="C3281" s="7" t="s">
        <v>10</v>
      </c>
      <c r="D3281" s="7">
        <v>943</v>
      </c>
      <c r="E3281" s="7" t="s">
        <v>23</v>
      </c>
      <c r="F3281" s="8" t="str">
        <f ca="1">IFERROR(__xludf.DUMMYFUNCTION("IF
(
C3282=""фізична особа""
,
VLOOKUP(D3282,IMPORTRANGE(""https://docs.google.com/spreadsheets/d/14Bd19lYaqBhU8_DElYkX7l4wRkHqqCUFNJY4AfY3kHU/edit?usp=sharing  #gid=0"",""фіз особи new!relations_name""),6,FALSE)
,
(IF
(
C3282=""юридична особа""
,
VLOOKUP"&amp;"(D3282,IMPORTRANGE(""https://docs.google.com/spreadsheets/d/14Bd19lYaqBhU8_DElYkX7l4wRkHqqCUFNJY4AfY3kHU/edit?usp=sharing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G3281" s="7" t="s">
        <v>10</v>
      </c>
      <c r="H3281" s="7">
        <v>2761</v>
      </c>
      <c r="I3281" s="8" t="str">
        <f ca="1">IFERROR(__xludf.DUMMYFUNCTION("IF
(
G3282=""фізична особа""
,
VLOOKUP(H3282,IMPORTRANGE(""https://docs.google.com/spreadsheets/d/14Bd19lYaqBhU8_DElYkX7l4wRkHqqCUFNJY4AfY3kHU/edit?usp=sharing  #gid=0"",""фіз особи new!relations_name""),6,FALSE)
,
(IF
(
G3282=""юридична особа""
,
VLOOKUP"&amp;"(H3282,IMPORTRANGE(""https://docs.google.com/spreadsheets/d/14Bd19lYaqBhU8_DElYkX7l4wRkHqqCUFNJY4AfY3kHU/edit?usp=sharing  #gid=0"",""фіз особи new!relations_name_uo""),7,FALSE)
,
)
))"),"ПОГОСЯН Михайло Асланович")</f>
        <v>ПОГОСЯН Михайло Асланович</v>
      </c>
      <c r="J3281" s="7" t="s">
        <v>23</v>
      </c>
    </row>
    <row r="3282" spans="1:10" ht="13.2">
      <c r="A3282" s="7">
        <v>3281</v>
      </c>
      <c r="B3282" s="7">
        <v>1</v>
      </c>
      <c r="C3282" s="7" t="s">
        <v>10</v>
      </c>
      <c r="D3282" s="7">
        <v>945</v>
      </c>
      <c r="E3282" s="7" t="s">
        <v>12</v>
      </c>
      <c r="F3282" s="8" t="str">
        <f ca="1">IFERROR(__xludf.DUMMYFUNCTION("IF
(
C3283=""фізична особа""
,
VLOOKUP(D3283,IMPORTRANGE(""https://docs.google.com/spreadsheets/d/14Bd19lYaqBhU8_DElYkX7l4wRkHqqCUFNJY4AfY3kHU/edit?usp=sharing  #gid=0"",""фіз особи new!relations_name""),6,FALSE)
,
(IF
(
C3283=""юридична особа""
,
VLOOKUP"&amp;"(D3283,IMPORTRANGE(""https://docs.google.com/spreadsheets/d/14Bd19lYaqBhU8_DElYkX7l4wRkHqqCUFNJY4AfY3kHU/edit?usp=sharing  #gid=0"",""фіз особи new!relations_name_uo""),7,FALSE)
,
)
))"),"МАЙОРОВ Олексій Петрович")</f>
        <v>МАЙОРОВ Олексій Петрович</v>
      </c>
      <c r="G3282" s="7" t="s">
        <v>10</v>
      </c>
      <c r="H3282" s="7">
        <v>0</v>
      </c>
      <c r="I3282" s="8" t="str">
        <f ca="1">IFERROR(__xludf.DUMMYFUNCTION("IF
(
G3283=""фізична особа""
,
VLOOKUP(H3283,IMPORTRANGE(""https://docs.google.com/spreadsheets/d/14Bd19lYaqBhU8_DElYkX7l4wRkHqqCUFNJY4AfY3kHU/edit?usp=sharing  #gid=0"",""фіз особи new!relations_name""),6,FALSE)
,
(IF
(
G3283=""юридична особа""
,
VLOOKUP"&amp;"(H3283,IMPORTRANGE(""https://docs.google.com/spreadsheets/d/14Bd19lYaqBhU8_DElYkX7l4wRkHqqCUFNJY4AfY3kHU/edit?usp=sharing  #gid=0"",""фіз особи new!relations_name_uo""),7,FALSE)
,
)
))"),"#N/A")</f>
        <v>#N/A</v>
      </c>
      <c r="J3282" s="7" t="s">
        <v>13</v>
      </c>
    </row>
    <row r="3283" spans="1:10" ht="13.2">
      <c r="A3283" s="7">
        <v>3282</v>
      </c>
      <c r="B3283" s="7">
        <v>1</v>
      </c>
      <c r="C3283" s="7" t="s">
        <v>10</v>
      </c>
      <c r="D3283" s="7">
        <v>945</v>
      </c>
      <c r="E3283" s="7" t="s">
        <v>28</v>
      </c>
      <c r="F3283" s="8" t="str">
        <f ca="1">IFERROR(__xludf.DUMMYFUNCTION("IF
(
C3284=""фізична особа""
,
VLOOKUP(D3284,IMPORTRANGE(""https://docs.google.com/spreadsheets/d/14Bd19lYaqBhU8_DElYkX7l4wRkHqqCUFNJY4AfY3kHU/edit?usp=sharing  #gid=0"",""фіз особи new!relations_name""),6,FALSE)
,
(IF
(
C3284=""юридична особа""
,
VLOOKUP"&amp;"(D3284,IMPORTRANGE(""https://docs.google.com/spreadsheets/d/14Bd19lYaqBhU8_DElYkX7l4wRkHqqCUFNJY4AfY3kHU/edit?usp=sharing  #gid=0"",""фіз особи new!relations_name_uo""),7,FALSE)
,
)
))"),"МАЙОРОВ Олексій Петрович")</f>
        <v>МАЙОРОВ Олексій Петрович</v>
      </c>
      <c r="G3283" s="7" t="s">
        <v>10</v>
      </c>
      <c r="H3283" s="7">
        <v>430</v>
      </c>
      <c r="I3283" s="8" t="str">
        <f ca="1">IFERROR(__xludf.DUMMYFUNCTION("IF
(
G3284=""фізична особа""
,
VLOOKUP(H3284,IMPORTRANGE(""https://docs.google.com/spreadsheets/d/14Bd19lYaqBhU8_DElYkX7l4wRkHqqCUFNJY4AfY3kHU/edit?usp=sharing  #gid=0"",""фіз особи new!relations_name""),6,FALSE)
,
(IF
(
G3284=""юридична особа""
,
VLOOKUP"&amp;"(H3284,IMPORTRANGE(""https://docs.google.com/spreadsheets/d/14Bd19lYaqBhU8_DElYkX7l4wRkHqqCUFNJY4AfY3kHU/edit?usp=sharing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3283" s="7" t="s">
        <v>29</v>
      </c>
    </row>
    <row r="3284" spans="1:10" ht="13.2">
      <c r="A3284" s="7">
        <v>3283</v>
      </c>
      <c r="B3284" s="7">
        <v>1</v>
      </c>
      <c r="C3284" s="7" t="s">
        <v>10</v>
      </c>
      <c r="D3284" s="7">
        <v>945</v>
      </c>
      <c r="E3284" s="7" t="s">
        <v>48</v>
      </c>
      <c r="F3284" s="8" t="str">
        <f ca="1">IFERROR(__xludf.DUMMYFUNCTION("IF
(
C3285=""фізична особа""
,
VLOOKUP(D3285,IMPORTRANGE(""https://docs.google.com/spreadsheets/d/14Bd19lYaqBhU8_DElYkX7l4wRkHqqCUFNJY4AfY3kHU/edit?usp=sharing  #gid=0"",""фіз особи new!relations_name""),6,FALSE)
,
(IF
(
C3285=""юридична особа""
,
VLOOKUP"&amp;"(D3285,IMPORTRANGE(""https://docs.google.com/spreadsheets/d/14Bd19lYaqBhU8_DElYkX7l4wRkHqqCUFNJY4AfY3kHU/edit?usp=sharing  #gid=0"",""фіз особи new!relations_name_uo""),7,FALSE)
,
)
))"),"МАЙОРОВ Олексій Петрович")</f>
        <v>МАЙОРОВ Олексій Петрович</v>
      </c>
      <c r="G3284" s="7" t="s">
        <v>10</v>
      </c>
      <c r="H3284" s="7">
        <v>934</v>
      </c>
      <c r="I3284" s="8" t="str">
        <f ca="1">IFERROR(__xludf.DUMMYFUNCTION("IF
(
G3285=""фізична особа""
,
VLOOKUP(H3285,IMPORTRANGE(""https://docs.google.com/spreadsheets/d/14Bd19lYaqBhU8_DElYkX7l4wRkHqqCUFNJY4AfY3kHU/edit?usp=sharing  #gid=0"",""фіз особи new!relations_name""),6,FALSE)
,
(IF
(
G3285=""юридична особа""
,
VLOOKUP"&amp;"(H3285,IMPORTRANGE(""https://docs.google.com/spreadsheets/d/14Bd19lYaqBhU8_DElYkX7l4wRkHqqCUFNJY4AfY3kHU/edit?usp=sharing  #gid=0"",""фіз особи new!relations_name_uo""),7,FALSE)
,
)
))"),"ОРЛОВ Олексій Маратович")</f>
        <v>ОРЛОВ Олексій Маратович</v>
      </c>
      <c r="J3284" s="7" t="s">
        <v>48</v>
      </c>
    </row>
    <row r="3285" spans="1:10" ht="13.2">
      <c r="A3285" s="7">
        <v>3284</v>
      </c>
      <c r="B3285" s="7">
        <v>1</v>
      </c>
      <c r="C3285" s="7" t="s">
        <v>10</v>
      </c>
      <c r="D3285" s="7">
        <v>946</v>
      </c>
      <c r="E3285" s="7" t="s">
        <v>48</v>
      </c>
      <c r="F3285" s="8" t="str">
        <f ca="1">IFERROR(__xludf.DUMMYFUNCTION("IF
(
C3286=""фізична особа""
,
VLOOKUP(D3286,IMPORTRANGE(""https://docs.google.com/spreadsheets/d/14Bd19lYaqBhU8_DElYkX7l4wRkHqqCUFNJY4AfY3kHU/edit?usp=sharing  #gid=0"",""фіз особи new!relations_name""),6,FALSE)
,
(IF
(
C3286=""юридична особа""
,
VLOOKUP"&amp;"(D3286,IMPORTRANGE(""https://docs.google.com/spreadsheets/d/14Bd19lYaqBhU8_DElYkX7l4wRkHqqCUFNJY4AfY3kHU/edit?usp=sharing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85" s="7" t="s">
        <v>10</v>
      </c>
      <c r="H3285" s="7">
        <v>670</v>
      </c>
      <c r="I3285" s="8" t="str">
        <f ca="1">IFERROR(__xludf.DUMMYFUNCTION("IF
(
G3286=""фізична особа""
,
VLOOKUP(H3286,IMPORTRANGE(""https://docs.google.com/spreadsheets/d/14Bd19lYaqBhU8_DElYkX7l4wRkHqqCUFNJY4AfY3kHU/edit?usp=sharing  #gid=0"",""фіз особи new!relations_name""),6,FALSE)
,
(IF
(
G3286=""юридична особа""
,
VLOOKUP"&amp;"(H3286,IMPORTRANGE(""https://docs.google.com/spreadsheets/d/14Bd19lYaqBhU8_DElYkX7l4wRkHqqCUFNJY4AfY3kHU/edit?usp=sharing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3285" s="7" t="s">
        <v>48</v>
      </c>
    </row>
    <row r="3286" spans="1:10" ht="13.2">
      <c r="A3286" s="7">
        <v>3285</v>
      </c>
      <c r="B3286" s="7">
        <v>1</v>
      </c>
      <c r="C3286" s="7" t="s">
        <v>10</v>
      </c>
      <c r="D3286" s="7">
        <v>946</v>
      </c>
      <c r="E3286" s="7" t="s">
        <v>65</v>
      </c>
      <c r="F3286" s="8" t="str">
        <f ca="1">IFERROR(__xludf.DUMMYFUNCTION("IF
(
C3287=""фізична особа""
,
VLOOKUP(D3287,IMPORTRANGE(""https://docs.google.com/spreadsheets/d/14Bd19lYaqBhU8_DElYkX7l4wRkHqqCUFNJY4AfY3kHU/edit?usp=sharing  #gid=0"",""фіз особи new!relations_name""),6,FALSE)
,
(IF
(
C3287=""юридична особа""
,
VLOOKUP"&amp;"(D3287,IMPORTRANGE(""https://docs.google.com/spreadsheets/d/14Bd19lYaqBhU8_DElYkX7l4wRkHqqCUFNJY4AfY3kHU/edit?usp=sharing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86" s="7" t="s">
        <v>10</v>
      </c>
      <c r="H3286" s="7">
        <v>4887</v>
      </c>
      <c r="I3286" s="8" t="str">
        <f ca="1">IFERROR(__xludf.DUMMYFUNCTION("IF
(
G3287=""фізична особа""
,
VLOOKUP(H3287,IMPORTRANGE(""https://docs.google.com/spreadsheets/d/14Bd19lYaqBhU8_DElYkX7l4wRkHqqCUFNJY4AfY3kHU/edit?usp=sharing  #gid=0"",""фіз особи new!relations_name""),6,FALSE)
,
(IF
(
G3287=""юридична особа""
,
VLOOKUP"&amp;"(H3287,IMPORTRANGE(""https://docs.google.com/spreadsheets/d/14Bd19lYaqBhU8_DElYkX7l4wRkHqqCUFNJY4AfY3kHU/edit?usp=sharing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J3286" s="7" t="s">
        <v>65</v>
      </c>
    </row>
    <row r="3287" spans="1:10" ht="13.2">
      <c r="A3287" s="7">
        <v>3286</v>
      </c>
      <c r="B3287" s="7">
        <v>1</v>
      </c>
      <c r="C3287" s="7" t="s">
        <v>10</v>
      </c>
      <c r="D3287" s="7">
        <v>946</v>
      </c>
      <c r="E3287" s="7" t="s">
        <v>65</v>
      </c>
      <c r="F3287" s="8" t="str">
        <f ca="1">IFERROR(__xludf.DUMMYFUNCTION("IF
(
C3288=""фізична особа""
,
VLOOKUP(D3288,IMPORTRANGE(""https://docs.google.com/spreadsheets/d/14Bd19lYaqBhU8_DElYkX7l4wRkHqqCUFNJY4AfY3kHU/edit?usp=sharing  #gid=0"",""фіз особи new!relations_name""),6,FALSE)
,
(IF
(
C3288=""юридична особа""
,
VLOOKUP"&amp;"(D3288,IMPORTRANGE(""https://docs.google.com/spreadsheets/d/14Bd19lYaqBhU8_DElYkX7l4wRkHqqCUFNJY4AfY3kHU/edit?usp=sharing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87" s="7" t="s">
        <v>10</v>
      </c>
      <c r="H3287" s="7">
        <v>23463</v>
      </c>
      <c r="I3287" s="8" t="str">
        <f ca="1">IFERROR(__xludf.DUMMYFUNCTION("IF
(
G3288=""фізична особа""
,
VLOOKUP(H3288,IMPORTRANGE(""https://docs.google.com/spreadsheets/d/14Bd19lYaqBhU8_DElYkX7l4wRkHqqCUFNJY4AfY3kHU/edit?usp=sharing  #gid=0"",""фіз особи new!relations_name""),6,FALSE)
,
(IF
(
G3288=""юридична особа""
,
VLOOKUP"&amp;"(H3288,IMPORTRANGE(""https://docs.google.com/spreadsheets/d/14Bd19lYaqBhU8_DElYkX7l4wRkHqqCUFNJY4AfY3kHU/edit?usp=sharing  #gid=0"",""фіз особи new!relations_name_uo""),7,FALSE)
,
)
))"),"ТІПІКІН Павло Миколайович")</f>
        <v>ТІПІКІН Павло Миколайович</v>
      </c>
      <c r="J3287" s="7" t="s">
        <v>65</v>
      </c>
    </row>
    <row r="3288" spans="1:10" ht="13.2">
      <c r="A3288" s="7">
        <v>3287</v>
      </c>
      <c r="B3288" s="7">
        <v>1</v>
      </c>
      <c r="C3288" s="7" t="s">
        <v>10</v>
      </c>
      <c r="D3288" s="7">
        <v>946</v>
      </c>
      <c r="E3288" s="7" t="s">
        <v>34</v>
      </c>
      <c r="F3288" s="8" t="str">
        <f ca="1">IFERROR(__xludf.DUMMYFUNCTION("IF
(
C3289=""фізична особа""
,
VLOOKUP(D3289,IMPORTRANGE(""https://docs.google.com/spreadsheets/d/14Bd19lYaqBhU8_DElYkX7l4wRkHqqCUFNJY4AfY3kHU/edit?usp=sharing  #gid=0"",""фіз особи new!relations_name""),6,FALSE)
,
(IF
(
C3289=""юридична особа""
,
VLOOKUP"&amp;"(D3289,IMPORTRANGE(""https://docs.google.com/spreadsheets/d/14Bd19lYaqBhU8_DElYkX7l4wRkHqqCUFNJY4AfY3kHU/edit?usp=sharing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88" s="7" t="s">
        <v>10</v>
      </c>
      <c r="H3288" s="7">
        <v>4840</v>
      </c>
      <c r="I3288" s="8" t="str">
        <f ca="1">IFERROR(__xludf.DUMMYFUNCTION("IF
(
G3289=""фізична особа""
,
VLOOKUP(H3289,IMPORTRANGE(""https://docs.google.com/spreadsheets/d/14Bd19lYaqBhU8_DElYkX7l4wRkHqqCUFNJY4AfY3kHU/edit?usp=sharing  #gid=0"",""фіз особи new!relations_name""),6,FALSE)
,
(IF
(
G3289=""юридична особа""
,
VLOOKUP"&amp;"(H3289,IMPORTRANGE(""https://docs.google.com/spreadsheets/d/14Bd19lYaqBhU8_DElYkX7l4wRkHqqCUFNJY4AfY3kHU/edit?usp=sharing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J3288" s="7" t="s">
        <v>25</v>
      </c>
    </row>
    <row r="3289" spans="1:10" ht="13.2">
      <c r="A3289" s="7">
        <v>3288</v>
      </c>
      <c r="B3289" s="7">
        <v>1</v>
      </c>
      <c r="C3289" s="7" t="s">
        <v>10</v>
      </c>
      <c r="D3289" s="7">
        <v>946</v>
      </c>
      <c r="E3289" s="7" t="s">
        <v>12</v>
      </c>
      <c r="F3289" s="8" t="str">
        <f ca="1">IFERROR(__xludf.DUMMYFUNCTION("IF
(
C3290=""фізична особа""
,
VLOOKUP(D3290,IMPORTRANGE(""https://docs.google.com/spreadsheets/d/14Bd19lYaqBhU8_DElYkX7l4wRkHqqCUFNJY4AfY3kHU/edit?usp=sharing  #gid=0"",""фіз особи new!relations_name""),6,FALSE)
,
(IF
(
C3290=""юридична особа""
,
VLOOKUP"&amp;"(D3290,IMPORTRANGE(""https://docs.google.com/spreadsheets/d/14Bd19lYaqBhU8_DElYkX7l4wRkHqqCUFNJY4AfY3kHU/edit?usp=sharing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89" s="7" t="s">
        <v>10</v>
      </c>
      <c r="H3289" s="7">
        <v>8652</v>
      </c>
      <c r="I3289" s="8" t="str">
        <f ca="1">IFERROR(__xludf.DUMMYFUNCTION("IF
(
G3290=""фізична особа""
,
VLOOKUP(H3290,IMPORTRANGE(""https://docs.google.com/spreadsheets/d/14Bd19lYaqBhU8_DElYkX7l4wRkHqqCUFNJY4AfY3kHU/edit?usp=sharing  #gid=0"",""фіз особи new!relations_name""),6,FALSE)
,
(IF
(
G3290=""юридична особа""
,
VLOOKUP"&amp;"(H3290,IMPORTRANGE(""https://docs.google.com/spreadsheets/d/14Bd19lYaqBhU8_DElYkX7l4wRkHqqCUFNJY4AfY3kHU/edit?usp=sharing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J3289" s="7" t="s">
        <v>17</v>
      </c>
    </row>
    <row r="3290" spans="1:10" ht="13.2">
      <c r="A3290" s="7">
        <v>3289</v>
      </c>
      <c r="B3290" s="7">
        <v>1</v>
      </c>
      <c r="C3290" s="7" t="s">
        <v>10</v>
      </c>
      <c r="D3290" s="7">
        <v>946</v>
      </c>
      <c r="E3290" s="7" t="s">
        <v>12</v>
      </c>
      <c r="F3290" s="8" t="str">
        <f ca="1">IFERROR(__xludf.DUMMYFUNCTION("IF
(
C3291=""фізична особа""
,
VLOOKUP(D3291,IMPORTRANGE(""https://docs.google.com/spreadsheets/d/14Bd19lYaqBhU8_DElYkX7l4wRkHqqCUFNJY4AfY3kHU/edit?usp=sharing  #gid=0"",""фіз особи new!relations_name""),6,FALSE)
,
(IF
(
C3291=""юридична особа""
,
VLOOKUP"&amp;"(D3291,IMPORTRANGE(""https://docs.google.com/spreadsheets/d/14Bd19lYaqBhU8_DElYkX7l4wRkHqqCUFNJY4AfY3kHU/edit?usp=sharing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90" s="7" t="s">
        <v>10</v>
      </c>
      <c r="H3290" s="7">
        <v>2545</v>
      </c>
      <c r="I3290" s="8" t="str">
        <f ca="1">IFERROR(__xludf.DUMMYFUNCTION("IF
(
G3291=""фізична особа""
,
VLOOKUP(H3291,IMPORTRANGE(""https://docs.google.com/spreadsheets/d/14Bd19lYaqBhU8_DElYkX7l4wRkHqqCUFNJY4AfY3kHU/edit?usp=sharing  #gid=0"",""фіз особи new!relations_name""),6,FALSE)
,
(IF
(
G3291=""юридична особа""
,
VLOOKUP"&amp;"(H3291,IMPORTRANGE(""https://docs.google.com/spreadsheets/d/14Bd19lYaqBhU8_DElYkX7l4wRkHqqCUFNJY4AfY3kHU/edit?usp=sharing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3290" s="7" t="s">
        <v>17</v>
      </c>
    </row>
    <row r="3291" spans="1:10" ht="13.2">
      <c r="A3291" s="7">
        <v>3290</v>
      </c>
      <c r="B3291" s="7">
        <v>1</v>
      </c>
      <c r="C3291" s="7" t="s">
        <v>10</v>
      </c>
      <c r="D3291" s="7">
        <v>946</v>
      </c>
      <c r="E3291" s="7" t="s">
        <v>14</v>
      </c>
      <c r="F3291" s="8" t="str">
        <f ca="1">IFERROR(__xludf.DUMMYFUNCTION("IF
(
C3292=""фізична особа""
,
VLOOKUP(D3292,IMPORTRANGE(""https://docs.google.com/spreadsheets/d/14Bd19lYaqBhU8_DElYkX7l4wRkHqqCUFNJY4AfY3kHU/edit?usp=sharing  #gid=0"",""фіз особи new!relations_name""),6,FALSE)
,
(IF
(
C3292=""юридична особа""
,
VLOOKUP"&amp;"(D3292,IMPORTRANGE(""https://docs.google.com/spreadsheets/d/14Bd19lYaqBhU8_DElYkX7l4wRkHqqCUFNJY4AfY3kHU/edit?usp=sharing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G3291" s="7" t="s">
        <v>10</v>
      </c>
      <c r="H3291" s="7">
        <v>8651</v>
      </c>
      <c r="I3291" s="8" t="str">
        <f ca="1">IFERROR(__xludf.DUMMYFUNCTION("IF
(
G3292=""фізична особа""
,
VLOOKUP(H3292,IMPORTRANGE(""https://docs.google.com/spreadsheets/d/14Bd19lYaqBhU8_DElYkX7l4wRkHqqCUFNJY4AfY3kHU/edit?usp=sharing  #gid=0"",""фіз особи new!relations_name""),6,FALSE)
,
(IF
(
G3292=""юридична особа""
,
VLOOKUP"&amp;"(H3292,IMPORTRANGE(""https://docs.google.com/spreadsheets/d/14Bd19lYaqBhU8_DElYkX7l4wRkHqqCUFNJY4AfY3kHU/edit?usp=sharing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J3291" s="7" t="s">
        <v>15</v>
      </c>
    </row>
    <row r="3292" spans="1:10" ht="13.2">
      <c r="A3292" s="7">
        <v>3291</v>
      </c>
      <c r="B3292" s="7">
        <v>1</v>
      </c>
      <c r="C3292" s="7" t="s">
        <v>10</v>
      </c>
      <c r="D3292" s="7">
        <v>949</v>
      </c>
      <c r="E3292" s="7" t="s">
        <v>14</v>
      </c>
      <c r="F3292" s="8" t="str">
        <f ca="1">IFERROR(__xludf.DUMMYFUNCTION("IF
(
C3293=""фізична особа""
,
VLOOKUP(D3293,IMPORTRANGE(""https://docs.google.com/spreadsheets/d/14Bd19lYaqBhU8_DElYkX7l4wRkHqqCUFNJY4AfY3kHU/edit?usp=sharing  #gid=0"",""фіз особи new!relations_name""),6,FALSE)
,
(IF
(
C3293=""юридична особа""
,
VLOOKUP"&amp;"(D3293,IMPORTRANGE(""https://docs.google.com/spreadsheets/d/14Bd19lYaqBhU8_DElYkX7l4wRkHqqCUFNJY4AfY3kHU/edit?usp=sharing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2" s="7" t="s">
        <v>10</v>
      </c>
      <c r="H3292" s="7">
        <v>0</v>
      </c>
      <c r="I3292" s="8" t="str">
        <f ca="1">IFERROR(__xludf.DUMMYFUNCTION("IF
(
G3293=""фізична особа""
,
VLOOKUP(H3293,IMPORTRANGE(""https://docs.google.com/spreadsheets/d/14Bd19lYaqBhU8_DElYkX7l4wRkHqqCUFNJY4AfY3kHU/edit?usp=sharing  #gid=0"",""фіз особи new!relations_name""),6,FALSE)
,
(IF
(
G3293=""юридична особа""
,
VLOOKUP"&amp;"(H3293,IMPORTRANGE(""https://docs.google.com/spreadsheets/d/14Bd19lYaqBhU8_DElYkX7l4wRkHqqCUFNJY4AfY3kHU/edit?usp=sharing  #gid=0"",""фіз особи new!relations_name_uo""),7,FALSE)
,
)
))"),"#N/A")</f>
        <v>#N/A</v>
      </c>
      <c r="J3292" s="7" t="s">
        <v>15</v>
      </c>
    </row>
    <row r="3293" spans="1:10" ht="13.2">
      <c r="A3293" s="7">
        <v>3292</v>
      </c>
      <c r="B3293" s="7">
        <v>1</v>
      </c>
      <c r="C3293" s="7" t="s">
        <v>10</v>
      </c>
      <c r="D3293" s="7">
        <v>949</v>
      </c>
      <c r="E3293" s="7" t="s">
        <v>12</v>
      </c>
      <c r="F3293" s="8" t="str">
        <f ca="1">IFERROR(__xludf.DUMMYFUNCTION("IF
(
C3294=""фізична особа""
,
VLOOKUP(D3294,IMPORTRANGE(""https://docs.google.com/spreadsheets/d/14Bd19lYaqBhU8_DElYkX7l4wRkHqqCUFNJY4AfY3kHU/edit?usp=sharing  #gid=0"",""фіз особи new!relations_name""),6,FALSE)
,
(IF
(
C3294=""юридична особа""
,
VLOOKUP"&amp;"(D3294,IMPORTRANGE(""https://docs.google.com/spreadsheets/d/14Bd19lYaqBhU8_DElYkX7l4wRkHqqCUFNJY4AfY3kHU/edit?usp=sharing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3" s="7" t="s">
        <v>10</v>
      </c>
      <c r="H3293" s="7">
        <v>2917</v>
      </c>
      <c r="I3293" s="8" t="str">
        <f ca="1">IFERROR(__xludf.DUMMYFUNCTION("IF
(
G3294=""фізична особа""
,
VLOOKUP(H3294,IMPORTRANGE(""https://docs.google.com/spreadsheets/d/14Bd19lYaqBhU8_DElYkX7l4wRkHqqCUFNJY4AfY3kHU/edit?usp=sharing  #gid=0"",""фіз особи new!relations_name""),6,FALSE)
,
(IF
(
G3294=""юридична особа""
,
VLOOKUP"&amp;"(H3294,IMPORTRANGE(""https://docs.google.com/spreadsheets/d/14Bd19lYaqBhU8_DElYkX7l4wRkHqqCUFNJY4AfY3kHU/edit?usp=sharing  #gid=0"",""фіз особи new!relations_name_uo""),7,FALSE)
,
)
))"),"ТРУТНЄВ Дмитро Юрійович")</f>
        <v>ТРУТНЄВ Дмитро Юрійович</v>
      </c>
      <c r="J3293" s="7" t="s">
        <v>17</v>
      </c>
    </row>
    <row r="3294" spans="1:10" ht="13.2">
      <c r="A3294" s="7">
        <v>3293</v>
      </c>
      <c r="B3294" s="7">
        <v>1</v>
      </c>
      <c r="C3294" s="7" t="s">
        <v>10</v>
      </c>
      <c r="D3294" s="7">
        <v>949</v>
      </c>
      <c r="E3294" s="7" t="s">
        <v>12</v>
      </c>
      <c r="F3294" s="8" t="str">
        <f ca="1">IFERROR(__xludf.DUMMYFUNCTION("IF
(
C3295=""фізична особа""
,
VLOOKUP(D3295,IMPORTRANGE(""https://docs.google.com/spreadsheets/d/14Bd19lYaqBhU8_DElYkX7l4wRkHqqCUFNJY4AfY3kHU/edit?usp=sharing  #gid=0"",""фіз особи new!relations_name""),6,FALSE)
,
(IF
(
C3295=""юридична особа""
,
VLOOKUP"&amp;"(D3295,IMPORTRANGE(""https://docs.google.com/spreadsheets/d/14Bd19lYaqBhU8_DElYkX7l4wRkHqqCUFNJY4AfY3kHU/edit?usp=sharing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4" s="7" t="s">
        <v>10</v>
      </c>
      <c r="H3294" s="7">
        <v>2918</v>
      </c>
      <c r="I3294" s="8" t="str">
        <f ca="1">IFERROR(__xludf.DUMMYFUNCTION("IF
(
G3295=""фізична особа""
,
VLOOKUP(H3295,IMPORTRANGE(""https://docs.google.com/spreadsheets/d/14Bd19lYaqBhU8_DElYkX7l4wRkHqqCUFNJY4AfY3kHU/edit?usp=sharing  #gid=0"",""фіз особи new!relations_name""),6,FALSE)
,
(IF
(
G3295=""юридична особа""
,
VLOOKUP"&amp;"(H3295,IMPORTRANGE(""https://docs.google.com/spreadsheets/d/14Bd19lYaqBhU8_DElYkX7l4wRkHqqCUFNJY4AfY3kHU/edit?usp=sharing  #gid=0"",""фіз особи new!relations_name_uo""),7,FALSE)
,
)
))"),"ТРУТНЄВ Олександр Юрійович")</f>
        <v>ТРУТНЄВ Олександр Юрійович</v>
      </c>
      <c r="J3294" s="7" t="s">
        <v>17</v>
      </c>
    </row>
    <row r="3295" spans="1:10" ht="13.2">
      <c r="A3295" s="7">
        <v>3294</v>
      </c>
      <c r="B3295" s="7">
        <v>1</v>
      </c>
      <c r="C3295" s="7" t="s">
        <v>10</v>
      </c>
      <c r="D3295" s="7">
        <v>949</v>
      </c>
      <c r="E3295" s="7" t="s">
        <v>42</v>
      </c>
      <c r="F3295" s="8" t="str">
        <f ca="1">IFERROR(__xludf.DUMMYFUNCTION("IF
(
C3296=""фізична особа""
,
VLOOKUP(D3296,IMPORTRANGE(""https://docs.google.com/spreadsheets/d/14Bd19lYaqBhU8_DElYkX7l4wRkHqqCUFNJY4AfY3kHU/edit?usp=sharing  #gid=0"",""фіз особи new!relations_name""),6,FALSE)
,
(IF
(
C3296=""юридична особа""
,
VLOOKUP"&amp;"(D3296,IMPORTRANGE(""https://docs.google.com/spreadsheets/d/14Bd19lYaqBhU8_DElYkX7l4wRkHqqCUFNJY4AfY3kHU/edit?usp=sharing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5" s="7" t="s">
        <v>10</v>
      </c>
      <c r="H3295" s="7">
        <v>2916</v>
      </c>
      <c r="I3295" s="8" t="str">
        <f ca="1">IFERROR(__xludf.DUMMYFUNCTION("IF
(
G3296=""фізична особа""
,
VLOOKUP(H3296,IMPORTRANGE(""https://docs.google.com/spreadsheets/d/14Bd19lYaqBhU8_DElYkX7l4wRkHqqCUFNJY4AfY3kHU/edit?usp=sharing  #gid=0"",""фіз особи new!relations_name""),6,FALSE)
,
(IF
(
G3296=""юридична особа""
,
VLOOKUP"&amp;"(H3296,IMPORTRANGE(""https://docs.google.com/spreadsheets/d/14Bd19lYaqBhU8_DElYkX7l4wRkHqqCUFNJY4AfY3kHU/edit?usp=sharing  #gid=0"",""фіз особи new!relations_name_uo""),7,FALSE)
,
)
))"),"ТРУТНЄВА Марина Львівна")</f>
        <v>ТРУТНЄВА Марина Львівна</v>
      </c>
      <c r="J3295" s="7" t="s">
        <v>43</v>
      </c>
    </row>
    <row r="3296" spans="1:10" ht="13.2">
      <c r="A3296" s="7">
        <v>3295</v>
      </c>
      <c r="B3296" s="7">
        <v>1</v>
      </c>
      <c r="C3296" s="7" t="s">
        <v>10</v>
      </c>
      <c r="D3296" s="7">
        <v>949</v>
      </c>
      <c r="E3296" s="7" t="s">
        <v>29</v>
      </c>
      <c r="F3296" s="8" t="str">
        <f ca="1">IFERROR(__xludf.DUMMYFUNCTION("IF
(
C3297=""фізична особа""
,
VLOOKUP(D3297,IMPORTRANGE(""https://docs.google.com/spreadsheets/d/14Bd19lYaqBhU8_DElYkX7l4wRkHqqCUFNJY4AfY3kHU/edit?usp=sharing  #gid=0"",""фіз особи new!relations_name""),6,FALSE)
,
(IF
(
C3297=""юридична особа""
,
VLOOKUP"&amp;"(D3297,IMPORTRANGE(""https://docs.google.com/spreadsheets/d/14Bd19lYaqBhU8_DElYkX7l4wRkHqqCUFNJY4AfY3kHU/edit?usp=sharing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6" s="7" t="s">
        <v>10</v>
      </c>
      <c r="H3296" s="7">
        <v>2519</v>
      </c>
      <c r="I3296" s="8" t="str">
        <f ca="1">IFERROR(__xludf.DUMMYFUNCTION("IF
(
G3297=""фізична особа""
,
VLOOKUP(H3297,IMPORTRANGE(""https://docs.google.com/spreadsheets/d/14Bd19lYaqBhU8_DElYkX7l4wRkHqqCUFNJY4AfY3kHU/edit?usp=sharing  #gid=0"",""фіз особи new!relations_name""),6,FALSE)
,
(IF
(
G3297=""юридична особа""
,
VLOOKUP"&amp;"(H3297,IMPORTRANGE(""https://docs.google.com/spreadsheets/d/14Bd19lYaqBhU8_DElYkX7l4wRkHqqCUFNJY4AfY3kHU/edit?usp=sharing  #gid=0"",""фіз особи new!relations_name_uo""),7,FALSE)
,
)
))"),"СОЛОДОВ Володимир Вікторович")</f>
        <v>СОЛОДОВ Володимир Вікторович</v>
      </c>
      <c r="J3296" s="7" t="s">
        <v>28</v>
      </c>
    </row>
    <row r="3297" spans="1:10" ht="13.2">
      <c r="A3297" s="7">
        <v>3296</v>
      </c>
      <c r="B3297" s="7">
        <v>1</v>
      </c>
      <c r="C3297" s="7" t="s">
        <v>10</v>
      </c>
      <c r="D3297" s="7">
        <v>949</v>
      </c>
      <c r="E3297" s="7" t="s">
        <v>93</v>
      </c>
      <c r="F3297" s="8" t="str">
        <f ca="1">IFERROR(__xludf.DUMMYFUNCTION("IF
(
C3298=""фізична особа""
,
VLOOKUP(D3298,IMPORTRANGE(""https://docs.google.com/spreadsheets/d/14Bd19lYaqBhU8_DElYkX7l4wRkHqqCUFNJY4AfY3kHU/edit?usp=sharing  #gid=0"",""фіз особи new!relations_name""),6,FALSE)
,
(IF
(
C3298=""юридична особа""
,
VLOOKUP"&amp;"(D3298,IMPORTRANGE(""https://docs.google.com/spreadsheets/d/14Bd19lYaqBhU8_DElYkX7l4wRkHqqCUFNJY4AfY3kHU/edit?usp=sharing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7" s="7" t="s">
        <v>10</v>
      </c>
      <c r="H3297" s="7">
        <v>880</v>
      </c>
      <c r="I3297" s="8" t="str">
        <f ca="1">IFERROR(__xludf.DUMMYFUNCTION("IF
(
G3298=""фізична особа""
,
VLOOKUP(H3298,IMPORTRANGE(""https://docs.google.com/spreadsheets/d/14Bd19lYaqBhU8_DElYkX7l4wRkHqqCUFNJY4AfY3kHU/edit?usp=sharing  #gid=0"",""фіз особи new!relations_name""),6,FALSE)
,
(IF
(
G3298=""юридична особа""
,
VLOOKUP"&amp;"(H3298,IMPORTRANGE(""https://docs.google.com/spreadsheets/d/14Bd19lYaqBhU8_DElYkX7l4wRkHqqCUFNJY4AfY3kHU/edit?usp=sharing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297" s="7" t="s">
        <v>29</v>
      </c>
    </row>
    <row r="3298" spans="1:10" ht="13.2">
      <c r="A3298" s="7">
        <v>3297</v>
      </c>
      <c r="B3298" s="7">
        <v>1</v>
      </c>
      <c r="C3298" s="7" t="s">
        <v>10</v>
      </c>
      <c r="D3298" s="7">
        <v>949</v>
      </c>
      <c r="E3298" s="7" t="s">
        <v>29</v>
      </c>
      <c r="F3298" s="8" t="str">
        <f ca="1">IFERROR(__xludf.DUMMYFUNCTION("IF
(
C3299=""фізична особа""
,
VLOOKUP(D3299,IMPORTRANGE(""https://docs.google.com/spreadsheets/d/14Bd19lYaqBhU8_DElYkX7l4wRkHqqCUFNJY4AfY3kHU/edit?usp=sharing  #gid=0"",""фіз особи new!relations_name""),6,FALSE)
,
(IF
(
C3299=""юридична особа""
,
VLOOKUP"&amp;"(D3299,IMPORTRANGE(""https://docs.google.com/spreadsheets/d/14Bd19lYaqBhU8_DElYkX7l4wRkHqqCUFNJY4AfY3kHU/edit?usp=sharing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8" s="7" t="s">
        <v>10</v>
      </c>
      <c r="H3298" s="7">
        <v>3029</v>
      </c>
      <c r="I3298" s="8" t="str">
        <f ca="1">IFERROR(__xludf.DUMMYFUNCTION("IF
(
G3299=""фізична особа""
,
VLOOKUP(H3299,IMPORTRANGE(""https://docs.google.com/spreadsheets/d/14Bd19lYaqBhU8_DElYkX7l4wRkHqqCUFNJY4AfY3kHU/edit?usp=sharing  #gid=0"",""фіз особи new!relations_name""),6,FALSE)
,
(IF
(
G3299=""юридична особа""
,
VLOOKUP"&amp;"(H3299,IMPORTRANGE(""https://docs.google.com/spreadsheets/d/14Bd19lYaqBhU8_DElYkX7l4wRkHqqCUFNJY4AfY3kHU/edit?usp=sharing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3298" s="7" t="s">
        <v>28</v>
      </c>
    </row>
    <row r="3299" spans="1:10" ht="13.2">
      <c r="A3299" s="7">
        <v>3298</v>
      </c>
      <c r="B3299" s="7">
        <v>1</v>
      </c>
      <c r="C3299" s="7" t="s">
        <v>10</v>
      </c>
      <c r="D3299" s="7">
        <v>949</v>
      </c>
      <c r="E3299" s="7" t="s">
        <v>29</v>
      </c>
      <c r="F3299" s="8" t="str">
        <f ca="1">IFERROR(__xludf.DUMMYFUNCTION("IF
(
C3300=""фізична особа""
,
VLOOKUP(D3300,IMPORTRANGE(""https://docs.google.com/spreadsheets/d/14Bd19lYaqBhU8_DElYkX7l4wRkHqqCUFNJY4AfY3kHU/edit?usp=sharing  #gid=0"",""фіз особи new!relations_name""),6,FALSE)
,
(IF
(
C3300=""юридична особа""
,
VLOOKUP"&amp;"(D3300,IMPORTRANGE(""https://docs.google.com/spreadsheets/d/14Bd19lYaqBhU8_DElYkX7l4wRkHqqCUFNJY4AfY3kHU/edit?usp=sharing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299" s="7" t="s">
        <v>10</v>
      </c>
      <c r="H3299" s="7">
        <v>2307</v>
      </c>
      <c r="I3299" s="8" t="str">
        <f ca="1">IFERROR(__xludf.DUMMYFUNCTION("IF
(
G3300=""фізична особа""
,
VLOOKUP(H3300,IMPORTRANGE(""https://docs.google.com/spreadsheets/d/14Bd19lYaqBhU8_DElYkX7l4wRkHqqCUFNJY4AfY3kHU/edit?usp=sharing  #gid=0"",""фіз особи new!relations_name""),6,FALSE)
,
(IF
(
G3300=""юридична особа""
,
VLOOKUP"&amp;"(H3300,IMPORTRANGE(""https://docs.google.com/spreadsheets/d/14Bd19lYaqBhU8_DElYkX7l4wRkHqqCUFNJY4AfY3kHU/edit?usp=sharing  #gid=0"",""фіз особи new!relations_name_uo""),7,FALSE)
,
)
))"),"РАДЧЕНКО Світлана Юріївна")</f>
        <v>РАДЧЕНКО Світлана Юріївна</v>
      </c>
      <c r="J3299" s="7" t="s">
        <v>28</v>
      </c>
    </row>
    <row r="3300" spans="1:10" ht="13.2">
      <c r="A3300" s="7">
        <v>3299</v>
      </c>
      <c r="B3300" s="7">
        <v>1</v>
      </c>
      <c r="C3300" s="7" t="s">
        <v>10</v>
      </c>
      <c r="D3300" s="7">
        <v>949</v>
      </c>
      <c r="E3300" s="7" t="s">
        <v>29</v>
      </c>
      <c r="F3300" s="8" t="str">
        <f ca="1">IFERROR(__xludf.DUMMYFUNCTION("IF
(
C3301=""фізична особа""
,
VLOOKUP(D3301,IMPORTRANGE(""https://docs.google.com/spreadsheets/d/14Bd19lYaqBhU8_DElYkX7l4wRkHqqCUFNJY4AfY3kHU/edit?usp=sharing  #gid=0"",""фіз особи new!relations_name""),6,FALSE)
,
(IF
(
C3301=""юридична особа""
,
VLOOKUP"&amp;"(D3301,IMPORTRANGE(""https://docs.google.com/spreadsheets/d/14Bd19lYaqBhU8_DElYkX7l4wRkHqqCUFNJY4AfY3kHU/edit?usp=sharing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300" s="7" t="s">
        <v>10</v>
      </c>
      <c r="H3300" s="7">
        <v>21720</v>
      </c>
      <c r="I3300" s="8" t="str">
        <f ca="1">IFERROR(__xludf.DUMMYFUNCTION("IF
(
G3301=""фізична особа""
,
VLOOKUP(H3301,IMPORTRANGE(""https://docs.google.com/spreadsheets/d/14Bd19lYaqBhU8_DElYkX7l4wRkHqqCUFNJY4AfY3kHU/edit?usp=sharing  #gid=0"",""фіз особи new!relations_name""),6,FALSE)
,
(IF
(
G3301=""юридична особа""
,
VLOOKUP"&amp;"(H3301,IMPORTRANGE(""https://docs.google.com/spreadsheets/d/14Bd19lYaqBhU8_DElYkX7l4wRkHqqCUFNJY4AfY3kHU/edit?usp=sharing  #gid=0"",""фіз особи new!relations_name_uo""),7,FALSE)
,
)
))"),"ХРАМОВ Денис Геннадійович")</f>
        <v>ХРАМОВ Денис Геннадійович</v>
      </c>
      <c r="J3300" s="7" t="s">
        <v>28</v>
      </c>
    </row>
    <row r="3301" spans="1:10" ht="13.2">
      <c r="A3301" s="7">
        <v>3300</v>
      </c>
      <c r="B3301" s="7">
        <v>1</v>
      </c>
      <c r="C3301" s="7" t="s">
        <v>10</v>
      </c>
      <c r="D3301" s="7">
        <v>949</v>
      </c>
      <c r="E3301" s="7" t="s">
        <v>29</v>
      </c>
      <c r="F3301" s="8" t="str">
        <f ca="1">IFERROR(__xludf.DUMMYFUNCTION("IF
(
C3302=""фізична особа""
,
VLOOKUP(D3302,IMPORTRANGE(""https://docs.google.com/spreadsheets/d/14Bd19lYaqBhU8_DElYkX7l4wRkHqqCUFNJY4AfY3kHU/edit?usp=sharing  #gid=0"",""фіз особи new!relations_name""),6,FALSE)
,
(IF
(
C3302=""юридична особа""
,
VLOOKUP"&amp;"(D3302,IMPORTRANGE(""https://docs.google.com/spreadsheets/d/14Bd19lYaqBhU8_DElYkX7l4wRkHqqCUFNJY4AfY3kHU/edit?usp=sharing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G3301" s="7" t="s">
        <v>10</v>
      </c>
      <c r="H3301" s="7">
        <v>2309</v>
      </c>
      <c r="I3301" s="8" t="str">
        <f ca="1">IFERROR(__xludf.DUMMYFUNCTION("IF
(
G3302=""фізична особа""
,
VLOOKUP(H3302,IMPORTRANGE(""https://docs.google.com/spreadsheets/d/14Bd19lYaqBhU8_DElYkX7l4wRkHqqCUFNJY4AfY3kHU/edit?usp=sharing  #gid=0"",""фіз особи new!relations_name""),6,FALSE)
,
(IF
(
G3302=""юридична особа""
,
VLOOKUP"&amp;"(H3302,IMPORTRANGE(""https://docs.google.com/spreadsheets/d/14Bd19lYaqBhU8_DElYkX7l4wRkHqqCUFNJY4AfY3kHU/edit?usp=sharing  #gid=0"",""фіз особи new!relations_name_uo""),7,FALSE)
,
)
))"),"КЕРІМОВ Мурад Керимович")</f>
        <v>КЕРІМОВ Мурад Керимович</v>
      </c>
      <c r="J3301" s="7" t="s">
        <v>28</v>
      </c>
    </row>
    <row r="3302" spans="1:10" ht="13.2">
      <c r="A3302" s="7">
        <v>3301</v>
      </c>
      <c r="B3302" s="7">
        <v>1</v>
      </c>
      <c r="C3302" s="7" t="s">
        <v>10</v>
      </c>
      <c r="D3302" s="7">
        <v>950</v>
      </c>
      <c r="E3302" s="7" t="s">
        <v>14</v>
      </c>
      <c r="F3302" s="8" t="str">
        <f ca="1">IFERROR(__xludf.DUMMYFUNCTION("IF
(
C3303=""фізична особа""
,
VLOOKUP(D3303,IMPORTRANGE(""https://docs.google.com/spreadsheets/d/14Bd19lYaqBhU8_DElYkX7l4wRkHqqCUFNJY4AfY3kHU/edit?usp=sharing  #gid=0"",""фіз особи new!relations_name""),6,FALSE)
,
(IF
(
C3303=""юридична особа""
,
VLOOKUP"&amp;"(D3303,IMPORTRANGE(""https://docs.google.com/spreadsheets/d/14Bd19lYaqBhU8_DElYkX7l4wRkHqqCUFNJY4AfY3kHU/edit?usp=sharing  #gid=0"",""фіз особи new!relations_name_uo""),7,FALSE)
,
)
))"),"ФЬОДОРОВ Юрій Вікторович")</f>
        <v>ФЬОДОРОВ Юрій Вікторович</v>
      </c>
      <c r="G3302" s="7" t="s">
        <v>10</v>
      </c>
      <c r="H3302" s="7">
        <v>0</v>
      </c>
      <c r="I3302" s="8" t="str">
        <f ca="1">IFERROR(__xludf.DUMMYFUNCTION("IF
(
G3303=""фізична особа""
,
VLOOKUP(H3303,IMPORTRANGE(""https://docs.google.com/spreadsheets/d/14Bd19lYaqBhU8_DElYkX7l4wRkHqqCUFNJY4AfY3kHU/edit?usp=sharing  #gid=0"",""фіз особи new!relations_name""),6,FALSE)
,
(IF
(
G3303=""юридична особа""
,
VLOOKUP"&amp;"(H3303,IMPORTRANGE(""https://docs.google.com/spreadsheets/d/14Bd19lYaqBhU8_DElYkX7l4wRkHqqCUFNJY4AfY3kHU/edit?usp=sharing  #gid=0"",""фіз особи new!relations_name_uo""),7,FALSE)
,
)
))"),"#N/A")</f>
        <v>#N/A</v>
      </c>
      <c r="J3302" s="7" t="s">
        <v>15</v>
      </c>
    </row>
    <row r="3303" spans="1:10" ht="13.2">
      <c r="A3303" s="7">
        <v>3302</v>
      </c>
      <c r="B3303" s="7">
        <v>1</v>
      </c>
      <c r="C3303" s="7" t="s">
        <v>10</v>
      </c>
      <c r="D3303" s="7">
        <v>950</v>
      </c>
      <c r="E3303" s="7" t="s">
        <v>12</v>
      </c>
      <c r="F3303" s="8" t="str">
        <f ca="1">IFERROR(__xludf.DUMMYFUNCTION("IF
(
C3304=""фізична особа""
,
VLOOKUP(D3304,IMPORTRANGE(""https://docs.google.com/spreadsheets/d/14Bd19lYaqBhU8_DElYkX7l4wRkHqqCUFNJY4AfY3kHU/edit?usp=sharing  #gid=0"",""фіз особи new!relations_name""),6,FALSE)
,
(IF
(
C3304=""юридична особа""
,
VLOOKUP"&amp;"(D3304,IMPORTRANGE(""https://docs.google.com/spreadsheets/d/14Bd19lYaqBhU8_DElYkX7l4wRkHqqCUFNJY4AfY3kHU/edit?usp=sharing  #gid=0"",""фіз особи new!relations_name_uo""),7,FALSE)
,
)
))"),"ФЬОДОРОВ Юрій Вікторович")</f>
        <v>ФЬОДОРОВ Юрій Вікторович</v>
      </c>
      <c r="G3303" s="7" t="s">
        <v>10</v>
      </c>
      <c r="H3303" s="7">
        <v>0</v>
      </c>
      <c r="I3303" s="8" t="str">
        <f ca="1">IFERROR(__xludf.DUMMYFUNCTION("IF
(
G3304=""фізична особа""
,
VLOOKUP(H3304,IMPORTRANGE(""https://docs.google.com/spreadsheets/d/14Bd19lYaqBhU8_DElYkX7l4wRkHqqCUFNJY4AfY3kHU/edit?usp=sharing  #gid=0"",""фіз особи new!relations_name""),6,FALSE)
,
(IF
(
G3304=""юридична особа""
,
VLOOKUP"&amp;"(H3304,IMPORTRANGE(""https://docs.google.com/spreadsheets/d/14Bd19lYaqBhU8_DElYkX7l4wRkHqqCUFNJY4AfY3kHU/edit?usp=sharing  #gid=0"",""фіз особи new!relations_name_uo""),7,FALSE)
,
)
))"),"#N/A")</f>
        <v>#N/A</v>
      </c>
      <c r="J3303" s="7" t="s">
        <v>13</v>
      </c>
    </row>
    <row r="3304" spans="1:10" ht="13.2">
      <c r="A3304" s="7">
        <v>3303</v>
      </c>
      <c r="B3304" s="7">
        <v>1</v>
      </c>
      <c r="C3304" s="7" t="s">
        <v>10</v>
      </c>
      <c r="D3304" s="7">
        <v>950</v>
      </c>
      <c r="E3304" s="7" t="s">
        <v>12</v>
      </c>
      <c r="F3304" s="8" t="str">
        <f ca="1">IFERROR(__xludf.DUMMYFUNCTION("IF
(
C3305=""фізична особа""
,
VLOOKUP(D3305,IMPORTRANGE(""https://docs.google.com/spreadsheets/d/14Bd19lYaqBhU8_DElYkX7l4wRkHqqCUFNJY4AfY3kHU/edit?usp=sharing  #gid=0"",""фіз особи new!relations_name""),6,FALSE)
,
(IF
(
C3305=""юридична особа""
,
VLOOKUP"&amp;"(D3305,IMPORTRANGE(""https://docs.google.com/spreadsheets/d/14Bd19lYaqBhU8_DElYkX7l4wRkHqqCUFNJY4AfY3kHU/edit?usp=sharing  #gid=0"",""фіз особи new!relations_name_uo""),7,FALSE)
,
)
))"),"ФЬОДОРОВ Юрій Вікторович")</f>
        <v>ФЬОДОРОВ Юрій Вікторович</v>
      </c>
      <c r="G3304" s="7" t="s">
        <v>10</v>
      </c>
      <c r="H3304" s="7">
        <v>0</v>
      </c>
      <c r="I3304" s="8" t="str">
        <f ca="1">IFERROR(__xludf.DUMMYFUNCTION("IF
(
G3305=""фізична особа""
,
VLOOKUP(H3305,IMPORTRANGE(""https://docs.google.com/spreadsheets/d/14Bd19lYaqBhU8_DElYkX7l4wRkHqqCUFNJY4AfY3kHU/edit?usp=sharing  #gid=0"",""фіз особи new!relations_name""),6,FALSE)
,
(IF
(
G3305=""юридична особа""
,
VLOOKUP"&amp;"(H3305,IMPORTRANGE(""https://docs.google.com/spreadsheets/d/14Bd19lYaqBhU8_DElYkX7l4wRkHqqCUFNJY4AfY3kHU/edit?usp=sharing  #gid=0"",""фіз особи new!relations_name_uo""),7,FALSE)
,
)
))"),"#N/A")</f>
        <v>#N/A</v>
      </c>
      <c r="J3304" s="7" t="s">
        <v>17</v>
      </c>
    </row>
    <row r="3305" spans="1:10" ht="13.2">
      <c r="A3305" s="7">
        <v>3304</v>
      </c>
      <c r="B3305" s="7">
        <v>1</v>
      </c>
      <c r="C3305" s="7" t="s">
        <v>10</v>
      </c>
      <c r="D3305" s="7">
        <v>951</v>
      </c>
      <c r="E3305" s="7" t="s">
        <v>12</v>
      </c>
      <c r="F3305" s="8" t="str">
        <f ca="1">IFERROR(__xludf.DUMMYFUNCTION("IF
(
C3306=""фізична особа""
,
VLOOKUP(D3306,IMPORTRANGE(""https://docs.google.com/spreadsheets/d/14Bd19lYaqBhU8_DElYkX7l4wRkHqqCUFNJY4AfY3kHU/edit?usp=sharing  #gid=0"",""фіз особи new!relations_name""),6,FALSE)
,
(IF
(
C3306=""юридична особа""
,
VLOOKUP"&amp;"(D3306,IMPORTRANGE(""https://docs.google.com/spreadsheets/d/14Bd19lYaqBhU8_DElYkX7l4wRkHqqCUFNJY4AfY3kHU/edit?usp=sharing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G3305" s="7" t="s">
        <v>10</v>
      </c>
      <c r="H3305" s="7">
        <v>17132</v>
      </c>
      <c r="I3305" s="8" t="str">
        <f ca="1">IFERROR(__xludf.DUMMYFUNCTION("IF
(
G3306=""фізична особа""
,
VLOOKUP(H3306,IMPORTRANGE(""https://docs.google.com/spreadsheets/d/14Bd19lYaqBhU8_DElYkX7l4wRkHqqCUFNJY4AfY3kHU/edit?usp=sharing  #gid=0"",""фіз особи new!relations_name""),6,FALSE)
,
(IF
(
G3306=""юридична особа""
,
VLOOKUP"&amp;"(H3306,IMPORTRANGE(""https://docs.google.com/spreadsheets/d/14Bd19lYaqBhU8_DElYkX7l4wRkHqqCUFNJY4AfY3kHU/edit?usp=sharing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J3305" s="7" t="s">
        <v>17</v>
      </c>
    </row>
    <row r="3306" spans="1:10" ht="13.2">
      <c r="A3306" s="7">
        <v>3305</v>
      </c>
      <c r="B3306" s="7">
        <v>1</v>
      </c>
      <c r="C3306" s="7" t="s">
        <v>10</v>
      </c>
      <c r="D3306" s="7">
        <v>951</v>
      </c>
      <c r="E3306" s="7" t="s">
        <v>12</v>
      </c>
      <c r="F3306" s="8" t="str">
        <f ca="1">IFERROR(__xludf.DUMMYFUNCTION("IF
(
C3307=""фізична особа""
,
VLOOKUP(D3307,IMPORTRANGE(""https://docs.google.com/spreadsheets/d/14Bd19lYaqBhU8_DElYkX7l4wRkHqqCUFNJY4AfY3kHU/edit?usp=sharing  #gid=0"",""фіз особи new!relations_name""),6,FALSE)
,
(IF
(
C3307=""юридична особа""
,
VLOOKUP"&amp;"(D3307,IMPORTRANGE(""https://docs.google.com/spreadsheets/d/14Bd19lYaqBhU8_DElYkX7l4wRkHqqCUFNJY4AfY3kHU/edit?usp=sharing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G3306" s="7" t="s">
        <v>10</v>
      </c>
      <c r="H3306" s="7">
        <v>2289</v>
      </c>
      <c r="I3306" s="8" t="str">
        <f ca="1">IFERROR(__xludf.DUMMYFUNCTION("IF
(
G3307=""фізична особа""
,
VLOOKUP(H3307,IMPORTRANGE(""https://docs.google.com/spreadsheets/d/14Bd19lYaqBhU8_DElYkX7l4wRkHqqCUFNJY4AfY3kHU/edit?usp=sharing  #gid=0"",""фіз особи new!relations_name""),6,FALSE)
,
(IF
(
G3307=""юридична особа""
,
VLOOKUP"&amp;"(H3307,IMPORTRANGE(""https://docs.google.com/spreadsheets/d/14Bd19lYaqBhU8_DElYkX7l4wRkHqqCUFNJY4AfY3kHU/edit?usp=sharing  #gid=0"",""фіз особи new!relations_name_uo""),7,FALSE)
,
)
))"),"ЧАЙКА Ігор Юрійович")</f>
        <v>ЧАЙКА Ігор Юрійович</v>
      </c>
      <c r="J3306" s="7" t="s">
        <v>17</v>
      </c>
    </row>
    <row r="3307" spans="1:10" ht="13.2">
      <c r="A3307" s="7">
        <v>3306</v>
      </c>
      <c r="B3307" s="7">
        <v>1</v>
      </c>
      <c r="C3307" s="7" t="s">
        <v>10</v>
      </c>
      <c r="D3307" s="7">
        <v>951</v>
      </c>
      <c r="E3307" s="7" t="s">
        <v>14</v>
      </c>
      <c r="F3307" s="8" t="str">
        <f ca="1">IFERROR(__xludf.DUMMYFUNCTION("IF
(
C3308=""фізична особа""
,
VLOOKUP(D3308,IMPORTRANGE(""https://docs.google.com/spreadsheets/d/14Bd19lYaqBhU8_DElYkX7l4wRkHqqCUFNJY4AfY3kHU/edit?usp=sharing  #gid=0"",""фіз особи new!relations_name""),6,FALSE)
,
(IF
(
C3308=""юридична особа""
,
VLOOKUP"&amp;"(D3308,IMPORTRANGE(""https://docs.google.com/spreadsheets/d/14Bd19lYaqBhU8_DElYkX7l4wRkHqqCUFNJY4AfY3kHU/edit?usp=sharing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G3307" s="7" t="s">
        <v>10</v>
      </c>
      <c r="H3307" s="7">
        <v>0</v>
      </c>
      <c r="I3307" s="8" t="str">
        <f ca="1">IFERROR(__xludf.DUMMYFUNCTION("IF
(
G3308=""фізична особа""
,
VLOOKUP(H3308,IMPORTRANGE(""https://docs.google.com/spreadsheets/d/14Bd19lYaqBhU8_DElYkX7l4wRkHqqCUFNJY4AfY3kHU/edit?usp=sharing  #gid=0"",""фіз особи new!relations_name""),6,FALSE)
,
(IF
(
G3308=""юридична особа""
,
VLOOKUP"&amp;"(H3308,IMPORTRANGE(""https://docs.google.com/spreadsheets/d/14Bd19lYaqBhU8_DElYkX7l4wRkHqqCUFNJY4AfY3kHU/edit?usp=sharing  #gid=0"",""фіз особи new!relations_name_uo""),7,FALSE)
,
)
))"),"#N/A")</f>
        <v>#N/A</v>
      </c>
      <c r="J3307" s="7" t="s">
        <v>15</v>
      </c>
    </row>
    <row r="3308" spans="1:10" ht="13.2">
      <c r="A3308" s="7">
        <v>3307</v>
      </c>
      <c r="B3308" s="7">
        <v>1</v>
      </c>
      <c r="C3308" s="7" t="s">
        <v>10</v>
      </c>
      <c r="D3308" s="7">
        <v>951</v>
      </c>
      <c r="E3308" s="7" t="s">
        <v>34</v>
      </c>
      <c r="F3308" s="8" t="str">
        <f ca="1">IFERROR(__xludf.DUMMYFUNCTION("IF
(
C3309=""фізична особа""
,
VLOOKUP(D3309,IMPORTRANGE(""https://docs.google.com/spreadsheets/d/14Bd19lYaqBhU8_DElYkX7l4wRkHqqCUFNJY4AfY3kHU/edit?usp=sharing  #gid=0"",""фіз особи new!relations_name""),6,FALSE)
,
(IF
(
C3309=""юридична особа""
,
VLOOKUP"&amp;"(D3309,IMPORTRANGE(""https://docs.google.com/spreadsheets/d/14Bd19lYaqBhU8_DElYkX7l4wRkHqqCUFNJY4AfY3kHU/edit?usp=sharing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G3308" s="7" t="s">
        <v>10</v>
      </c>
      <c r="H3308" s="7">
        <v>0</v>
      </c>
      <c r="I3308" s="8" t="str">
        <f ca="1">IFERROR(__xludf.DUMMYFUNCTION("IF
(
G3309=""фізична особа""
,
VLOOKUP(H3309,IMPORTRANGE(""https://docs.google.com/spreadsheets/d/14Bd19lYaqBhU8_DElYkX7l4wRkHqqCUFNJY4AfY3kHU/edit?usp=sharing  #gid=0"",""фіз особи new!relations_name""),6,FALSE)
,
(IF
(
G3309=""юридична особа""
,
VLOOKUP"&amp;"(H3309,IMPORTRANGE(""https://docs.google.com/spreadsheets/d/14Bd19lYaqBhU8_DElYkX7l4wRkHqqCUFNJY4AfY3kHU/edit?usp=sharing  #gid=0"",""фіз особи new!relations_name_uo""),7,FALSE)
,
)
))"),"#N/A")</f>
        <v>#N/A</v>
      </c>
      <c r="J3308" s="7" t="s">
        <v>25</v>
      </c>
    </row>
    <row r="3309" spans="1:10" ht="13.2">
      <c r="A3309" s="7">
        <v>3308</v>
      </c>
      <c r="B3309" s="7">
        <v>1</v>
      </c>
      <c r="C3309" s="7" t="s">
        <v>10</v>
      </c>
      <c r="D3309" s="7">
        <v>952</v>
      </c>
      <c r="E3309" s="7" t="s">
        <v>12</v>
      </c>
      <c r="F3309" s="8" t="str">
        <f ca="1">IFERROR(__xludf.DUMMYFUNCTION("IF
(
C3310=""фізична особа""
,
VLOOKUP(D3310,IMPORTRANGE(""https://docs.google.com/spreadsheets/d/14Bd19lYaqBhU8_DElYkX7l4wRkHqqCUFNJY4AfY3kHU/edit?usp=sharing  #gid=0"",""фіз особи new!relations_name""),6,FALSE)
,
(IF
(
C3310=""юридична особа""
,
VLOOKUP"&amp;"(D3310,IMPORTRANGE(""https://docs.google.com/spreadsheets/d/14Bd19lYaqBhU8_DElYkX7l4wRkHqqCUFNJY4AfY3kHU/edit?usp=sharing  #gid=0"",""фіз особи new!relations_name_uo""),7,FALSE)
,
)
))"),"БАЙГУСКАРОВ Зариф Закірович")</f>
        <v>БАЙГУСКАРОВ Зариф Закірович</v>
      </c>
      <c r="G3309" s="7" t="s">
        <v>10</v>
      </c>
      <c r="H3309" s="7">
        <v>0</v>
      </c>
      <c r="I3309" s="8" t="str">
        <f ca="1">IFERROR(__xludf.DUMMYFUNCTION("IF
(
G3310=""фізична особа""
,
VLOOKUP(H3310,IMPORTRANGE(""https://docs.google.com/spreadsheets/d/14Bd19lYaqBhU8_DElYkX7l4wRkHqqCUFNJY4AfY3kHU/edit?usp=sharing  #gid=0"",""фіз особи new!relations_name""),6,FALSE)
,
(IF
(
G3310=""юридична особа""
,
VLOOKUP"&amp;"(H3310,IMPORTRANGE(""https://docs.google.com/spreadsheets/d/14Bd19lYaqBhU8_DElYkX7l4wRkHqqCUFNJY4AfY3kHU/edit?usp=sharing  #gid=0"",""фіз особи new!relations_name_uo""),7,FALSE)
,
)
))"),"#N/A")</f>
        <v>#N/A</v>
      </c>
      <c r="J3309" s="7" t="s">
        <v>13</v>
      </c>
    </row>
    <row r="3310" spans="1:10" ht="13.2">
      <c r="A3310" s="7">
        <v>3309</v>
      </c>
      <c r="B3310" s="7">
        <v>1</v>
      </c>
      <c r="C3310" s="7" t="s">
        <v>10</v>
      </c>
      <c r="D3310" s="7">
        <v>952</v>
      </c>
      <c r="E3310" s="7" t="s">
        <v>14</v>
      </c>
      <c r="F3310" s="8" t="str">
        <f ca="1">IFERROR(__xludf.DUMMYFUNCTION("IF
(
C3311=""фізична особа""
,
VLOOKUP(D3311,IMPORTRANGE(""https://docs.google.com/spreadsheets/d/14Bd19lYaqBhU8_DElYkX7l4wRkHqqCUFNJY4AfY3kHU/edit?usp=sharing  #gid=0"",""фіз особи new!relations_name""),6,FALSE)
,
(IF
(
C3311=""юридична особа""
,
VLOOKUP"&amp;"(D3311,IMPORTRANGE(""https://docs.google.com/spreadsheets/d/14Bd19lYaqBhU8_DElYkX7l4wRkHqqCUFNJY4AfY3kHU/edit?usp=sharing  #gid=0"",""фіз особи new!relations_name_uo""),7,FALSE)
,
)
))"),"БАЙГУСКАРОВ Зариф Закірович")</f>
        <v>БАЙГУСКАРОВ Зариф Закірович</v>
      </c>
      <c r="G3310" s="7" t="s">
        <v>10</v>
      </c>
      <c r="H3310" s="7">
        <v>0</v>
      </c>
      <c r="I3310" s="8" t="str">
        <f ca="1">IFERROR(__xludf.DUMMYFUNCTION("IF
(
G3311=""фізична особа""
,
VLOOKUP(H3311,IMPORTRANGE(""https://docs.google.com/spreadsheets/d/14Bd19lYaqBhU8_DElYkX7l4wRkHqqCUFNJY4AfY3kHU/edit?usp=sharing  #gid=0"",""фіз особи new!relations_name""),6,FALSE)
,
(IF
(
G3311=""юридична особа""
,
VLOOKUP"&amp;"(H3311,IMPORTRANGE(""https://docs.google.com/spreadsheets/d/14Bd19lYaqBhU8_DElYkX7l4wRkHqqCUFNJY4AfY3kHU/edit?usp=sharing  #gid=0"",""фіз особи new!relations_name_uo""),7,FALSE)
,
)
))"),"#N/A")</f>
        <v>#N/A</v>
      </c>
      <c r="J3310" s="7" t="s">
        <v>15</v>
      </c>
    </row>
    <row r="3311" spans="1:10" ht="13.2">
      <c r="A3311" s="7">
        <v>3310</v>
      </c>
      <c r="B3311" s="7">
        <v>1</v>
      </c>
      <c r="C3311" s="7" t="s">
        <v>10</v>
      </c>
      <c r="D3311" s="7">
        <v>953</v>
      </c>
      <c r="E3311" s="7" t="s">
        <v>48</v>
      </c>
      <c r="F3311" s="8" t="str">
        <f ca="1">IFERROR(__xludf.DUMMYFUNCTION("IF
(
C3312=""фізична особа""
,
VLOOKUP(D3312,IMPORTRANGE(""https://docs.google.com/spreadsheets/d/14Bd19lYaqBhU8_DElYkX7l4wRkHqqCUFNJY4AfY3kHU/edit?usp=sharing  #gid=0"",""фіз особи new!relations_name""),6,FALSE)
,
(IF
(
C3312=""юридична особа""
,
VLOOKUP"&amp;"(D3312,IMPORTRANGE(""https://docs.google.com/spreadsheets/d/14Bd19lYaqBhU8_DElYkX7l4wRkHqqCUFNJY4AfY3kHU/edit?usp=sharing  #gid=0"",""фіз особи new!relations_name_uo""),7,FALSE)
,
)
))"),"ЗАТУЛІН Костянтин Федорович")</f>
        <v>ЗАТУЛІН Костянтин Федорович</v>
      </c>
      <c r="G3311" s="7" t="s">
        <v>10</v>
      </c>
      <c r="H3311" s="7">
        <v>23451</v>
      </c>
      <c r="I3311" s="8" t="str">
        <f ca="1">IFERROR(__xludf.DUMMYFUNCTION("IF
(
G3312=""фізична особа""
,
VLOOKUP(H3312,IMPORTRANGE(""https://docs.google.com/spreadsheets/d/14Bd19lYaqBhU8_DElYkX7l4wRkHqqCUFNJY4AfY3kHU/edit?usp=sharing  #gid=0"",""фіз особи new!relations_name""),6,FALSE)
,
(IF
(
G3312=""юридична особа""
,
VLOOKUP"&amp;"(H3312,IMPORTRANGE(""https://docs.google.com/spreadsheets/d/14Bd19lYaqBhU8_DElYkX7l4wRkHqqCUFNJY4AfY3kHU/edit?usp=sharing  #gid=0"",""фіз особи new!relations_name_uo""),7,FALSE)
,
)
))"),"ЛУЖКОВ Юрій Михайлович")</f>
        <v>ЛУЖКОВ Юрій Михайлович</v>
      </c>
      <c r="J3311" s="7" t="s">
        <v>48</v>
      </c>
    </row>
    <row r="3312" spans="1:10" ht="13.2">
      <c r="A3312" s="7">
        <v>3311</v>
      </c>
      <c r="B3312" s="7">
        <v>1</v>
      </c>
      <c r="C3312" s="7" t="s">
        <v>10</v>
      </c>
      <c r="D3312" s="7">
        <v>953</v>
      </c>
      <c r="E3312" s="7" t="s">
        <v>14</v>
      </c>
      <c r="F3312" s="8" t="str">
        <f ca="1">IFERROR(__xludf.DUMMYFUNCTION("IF
(
C3313=""фізична особа""
,
VLOOKUP(D3313,IMPORTRANGE(""https://docs.google.com/spreadsheets/d/14Bd19lYaqBhU8_DElYkX7l4wRkHqqCUFNJY4AfY3kHU/edit?usp=sharing  #gid=0"",""фіз особи new!relations_name""),6,FALSE)
,
(IF
(
C3313=""юридична особа""
,
VLOOKUP"&amp;"(D3313,IMPORTRANGE(""https://docs.google.com/spreadsheets/d/14Bd19lYaqBhU8_DElYkX7l4wRkHqqCUFNJY4AfY3kHU/edit?usp=sharing  #gid=0"",""фіз особи new!relations_name_uo""),7,FALSE)
,
)
))"),"ЗАТУЛІН Костянтин Федорович")</f>
        <v>ЗАТУЛІН Костянтин Федорович</v>
      </c>
      <c r="G3312" s="7" t="s">
        <v>10</v>
      </c>
      <c r="H3312" s="7">
        <v>0</v>
      </c>
      <c r="I3312" s="8" t="str">
        <f ca="1">IFERROR(__xludf.DUMMYFUNCTION("IF
(
G3313=""фізична особа""
,
VLOOKUP(H3313,IMPORTRANGE(""https://docs.google.com/spreadsheets/d/14Bd19lYaqBhU8_DElYkX7l4wRkHqqCUFNJY4AfY3kHU/edit?usp=sharing  #gid=0"",""фіз особи new!relations_name""),6,FALSE)
,
(IF
(
G3313=""юридична особа""
,
VLOOKUP"&amp;"(H3313,IMPORTRANGE(""https://docs.google.com/spreadsheets/d/14Bd19lYaqBhU8_DElYkX7l4wRkHqqCUFNJY4AfY3kHU/edit?usp=sharing  #gid=0"",""фіз особи new!relations_name_uo""),7,FALSE)
,
)
))"),"#N/A")</f>
        <v>#N/A</v>
      </c>
      <c r="J3312" s="7" t="s">
        <v>15</v>
      </c>
    </row>
    <row r="3313" spans="1:10" ht="13.2">
      <c r="A3313" s="7">
        <v>3312</v>
      </c>
      <c r="B3313" s="7">
        <v>1</v>
      </c>
      <c r="C3313" s="7" t="s">
        <v>10</v>
      </c>
      <c r="D3313" s="7">
        <v>953</v>
      </c>
      <c r="E3313" s="7" t="s">
        <v>12</v>
      </c>
      <c r="F3313" s="8" t="str">
        <f ca="1">IFERROR(__xludf.DUMMYFUNCTION("IF
(
C3314=""фізична особа""
,
VLOOKUP(D3314,IMPORTRANGE(""https://docs.google.com/spreadsheets/d/14Bd19lYaqBhU8_DElYkX7l4wRkHqqCUFNJY4AfY3kHU/edit?usp=sharing  #gid=0"",""фіз особи new!relations_name""),6,FALSE)
,
(IF
(
C3314=""юридична особа""
,
VLOOKUP"&amp;"(D3314,IMPORTRANGE(""https://docs.google.com/spreadsheets/d/14Bd19lYaqBhU8_DElYkX7l4wRkHqqCUFNJY4AfY3kHU/edit?usp=sharing  #gid=0"",""фіз особи new!relations_name_uo""),7,FALSE)
,
)
))"),"ЗАТУЛІН Костянтин Федорович")</f>
        <v>ЗАТУЛІН Костянтин Федорович</v>
      </c>
      <c r="G3313" s="7" t="s">
        <v>10</v>
      </c>
      <c r="H3313" s="7">
        <v>5608</v>
      </c>
      <c r="I3313" s="8" t="str">
        <f ca="1">IFERROR(__xludf.DUMMYFUNCTION("IF
(
G3314=""фізична особа""
,
VLOOKUP(H3314,IMPORTRANGE(""https://docs.google.com/spreadsheets/d/14Bd19lYaqBhU8_DElYkX7l4wRkHqqCUFNJY4AfY3kHU/edit?usp=sharing  #gid=0"",""фіз особи new!relations_name""),6,FALSE)
,
(IF
(
G3314=""юридична особа""
,
VLOOKUP"&amp;"(H3314,IMPORTRANGE(""https://docs.google.com/spreadsheets/d/14Bd19lYaqBhU8_DElYkX7l4wRkHqqCUFNJY4AfY3kHU/edit?usp=sharing  #gid=0"",""фіз особи new!relations_name_uo""),7,FALSE)
,
)
))"),"ЗАТУЛІНА Дар'я Костянтинівна")</f>
        <v>ЗАТУЛІНА Дар'я Костянтинівна</v>
      </c>
      <c r="J3313" s="7" t="s">
        <v>13</v>
      </c>
    </row>
    <row r="3314" spans="1:10" ht="13.2">
      <c r="A3314" s="7">
        <v>3313</v>
      </c>
      <c r="B3314" s="7">
        <v>1</v>
      </c>
      <c r="C3314" s="7" t="s">
        <v>10</v>
      </c>
      <c r="D3314" s="7">
        <v>954</v>
      </c>
      <c r="E3314" s="7" t="s">
        <v>12</v>
      </c>
      <c r="F3314" s="8" t="str">
        <f ca="1">IFERROR(__xludf.DUMMYFUNCTION("IF
(
C3315=""фізична особа""
,
VLOOKUP(D3315,IMPORTRANGE(""https://docs.google.com/spreadsheets/d/14Bd19lYaqBhU8_DElYkX7l4wRkHqqCUFNJY4AfY3kHU/edit?usp=sharing  #gid=0"",""фіз особи new!relations_name""),6,FALSE)
,
(IF
(
C3315=""юридична особа""
,
VLOOKUP"&amp;"(D3315,IMPORTRANGE(""https://docs.google.com/spreadsheets/d/14Bd19lYaqBhU8_DElYkX7l4wRkHqqCUFNJY4AfY3kHU/edit?usp=sharing  #gid=0"",""фіз особи new!relations_name_uo""),7,FALSE)
,
)
))"),"ГЕККІЄВ Заур Далхатович")</f>
        <v>ГЕККІЄВ Заур Далхатович</v>
      </c>
      <c r="G3314" s="7" t="s">
        <v>10</v>
      </c>
      <c r="H3314" s="7">
        <v>23367</v>
      </c>
      <c r="I3314" s="8" t="str">
        <f ca="1">IFERROR(__xludf.DUMMYFUNCTION("IF
(
G3315=""фізична особа""
,
VLOOKUP(H3315,IMPORTRANGE(""https://docs.google.com/spreadsheets/d/14Bd19lYaqBhU8_DElYkX7l4wRkHqqCUFNJY4AfY3kHU/edit?usp=sharing  #gid=0"",""фіз особи new!relations_name""),6,FALSE)
,
(IF
(
G3315=""юридична особа""
,
VLOOKUP"&amp;"(H3315,IMPORTRANGE(""https://docs.google.com/spreadsheets/d/14Bd19lYaqBhU8_DElYkX7l4wRkHqqCUFNJY4AfY3kHU/edit?usp=sharing  #gid=0"",""фіз особи new!relations_name_uo""),7,FALSE)
,
)
))"),"ГЕККІЄВ Султан Заурович")</f>
        <v>ГЕККІЄВ Султан Заурович</v>
      </c>
      <c r="J3314" s="7" t="s">
        <v>17</v>
      </c>
    </row>
    <row r="3315" spans="1:10" ht="13.2">
      <c r="A3315" s="7">
        <v>3314</v>
      </c>
      <c r="B3315" s="7">
        <v>1</v>
      </c>
      <c r="C3315" s="7" t="s">
        <v>10</v>
      </c>
      <c r="D3315" s="7">
        <v>959</v>
      </c>
      <c r="E3315" s="7" t="s">
        <v>12</v>
      </c>
      <c r="F3315" s="8" t="str">
        <f ca="1">IFERROR(__xludf.DUMMYFUNCTION("IF
(
C3316=""фізична особа""
,
VLOOKUP(D3316,IMPORTRANGE(""https://docs.google.com/spreadsheets/d/14Bd19lYaqBhU8_DElYkX7l4wRkHqqCUFNJY4AfY3kHU/edit?usp=sharing  #gid=0"",""фіз особи new!relations_name""),6,FALSE)
,
(IF
(
C3316=""юридична особа""
,
VLOOKUP"&amp;"(D3316,IMPORTRANGE(""https://docs.google.com/spreadsheets/d/14Bd19lYaqBhU8_DElYkX7l4wRkHqqCUFNJY4AfY3kHU/edit?usp=sharing  #gid=0"",""фіз особи new!relations_name_uo""),7,FALSE)
,
)
))"),"ЖУРОВА Світлана Сергіївна")</f>
        <v>ЖУРОВА Світлана Сергіївна</v>
      </c>
      <c r="G3315" s="7" t="s">
        <v>10</v>
      </c>
      <c r="H3315" s="7">
        <v>0</v>
      </c>
      <c r="I3315" s="8" t="str">
        <f ca="1">IFERROR(__xludf.DUMMYFUNCTION("IF
(
G3316=""фізична особа""
,
VLOOKUP(H3316,IMPORTRANGE(""https://docs.google.com/spreadsheets/d/14Bd19lYaqBhU8_DElYkX7l4wRkHqqCUFNJY4AfY3kHU/edit?usp=sharing  #gid=0"",""фіз особи new!relations_name""),6,FALSE)
,
(IF
(
G3316=""юридична особа""
,
VLOOKUP"&amp;"(H3316,IMPORTRANGE(""https://docs.google.com/spreadsheets/d/14Bd19lYaqBhU8_DElYkX7l4wRkHqqCUFNJY4AfY3kHU/edit?usp=sharing  #gid=0"",""фіз особи new!relations_name_uo""),7,FALSE)
,
)
))"),"#N/A")</f>
        <v>#N/A</v>
      </c>
      <c r="J3315" s="7" t="s">
        <v>17</v>
      </c>
    </row>
    <row r="3316" spans="1:10" ht="13.2">
      <c r="A3316" s="7">
        <v>3315</v>
      </c>
      <c r="B3316" s="7">
        <v>1</v>
      </c>
      <c r="C3316" s="7" t="s">
        <v>10</v>
      </c>
      <c r="D3316" s="7">
        <v>960</v>
      </c>
      <c r="E3316" s="7" t="s">
        <v>17</v>
      </c>
      <c r="F3316" s="8" t="str">
        <f ca="1">IFERROR(__xludf.DUMMYFUNCTION("IF
(
C3317=""фізична особа""
,
VLOOKUP(D3317,IMPORTRANGE(""https://docs.google.com/spreadsheets/d/14Bd19lYaqBhU8_DElYkX7l4wRkHqqCUFNJY4AfY3kHU/edit?usp=sharing  #gid=0"",""фіз особи new!relations_name""),6,FALSE)
,
(IF
(
C3317=""юридична особа""
,
VLOOKUP"&amp;"(D3317,IMPORTRANGE(""https://docs.google.com/spreadsheets/d/14Bd19lYaqBhU8_DElYkX7l4wRkHqqCUFNJY4AfY3kHU/edit?usp=sharing  #gid=0"",""фіз особи new!relations_name_uo""),7,FALSE)
,
)
))"),"МАКІЄВ Зураб Гайозович")</f>
        <v>МАКІЄВ Зураб Гайозович</v>
      </c>
      <c r="G3316" s="7" t="s">
        <v>10</v>
      </c>
      <c r="H3316" s="7">
        <v>0</v>
      </c>
      <c r="I3316" s="8" t="str">
        <f ca="1">IFERROR(__xludf.DUMMYFUNCTION("IF
(
G3317=""фізична особа""
,
VLOOKUP(H3317,IMPORTRANGE(""https://docs.google.com/spreadsheets/d/14Bd19lYaqBhU8_DElYkX7l4wRkHqqCUFNJY4AfY3kHU/edit?usp=sharing  #gid=0"",""фіз особи new!relations_name""),6,FALSE)
,
(IF
(
G3317=""юридична особа""
,
VLOOKUP"&amp;"(H3317,IMPORTRANGE(""https://docs.google.com/spreadsheets/d/14Bd19lYaqBhU8_DElYkX7l4wRkHqqCUFNJY4AfY3kHU/edit?usp=sharing  #gid=0"",""фіз особи new!relations_name_uo""),7,FALSE)
,
)
))"),"#N/A")</f>
        <v>#N/A</v>
      </c>
      <c r="J3316" s="7" t="s">
        <v>12</v>
      </c>
    </row>
    <row r="3317" spans="1:10" ht="13.2">
      <c r="A3317" s="7">
        <v>3316</v>
      </c>
      <c r="B3317" s="7">
        <v>1</v>
      </c>
      <c r="C3317" s="7" t="s">
        <v>10</v>
      </c>
      <c r="D3317" s="7">
        <v>961</v>
      </c>
      <c r="E3317" s="7" t="s">
        <v>11</v>
      </c>
      <c r="F3317" s="8" t="str">
        <f ca="1">IFERROR(__xludf.DUMMYFUNCTION("IF
(
C3318=""фізична особа""
,
VLOOKUP(D3318,IMPORTRANGE(""https://docs.google.com/spreadsheets/d/14Bd19lYaqBhU8_DElYkX7l4wRkHqqCUFNJY4AfY3kHU/edit?usp=sharing  #gid=0"",""фіз особи new!relations_name""),6,FALSE)
,
(IF
(
C3318=""юридична особа""
,
VLOOKUP"&amp;"(D3318,IMPORTRANGE(""https://docs.google.com/spreadsheets/d/14Bd19lYaqBhU8_DElYkX7l4wRkHqqCUFNJY4AfY3kHU/edit?usp=sharing  #gid=0"",""фіз особи new!relations_name_uo""),7,FALSE)
,
)
))"),"ЛЕБЕДЄВ Дмитро Олексійович")</f>
        <v>ЛЕБЕДЄВ Дмитро Олексійович</v>
      </c>
      <c r="G3317" s="7" t="s">
        <v>10</v>
      </c>
      <c r="H3317" s="7">
        <v>14715</v>
      </c>
      <c r="I3317" s="8" t="str">
        <f ca="1">IFERROR(__xludf.DUMMYFUNCTION("IF
(
G3318=""фізична особа""
,
VLOOKUP(H3318,IMPORTRANGE(""https://docs.google.com/spreadsheets/d/14Bd19lYaqBhU8_DElYkX7l4wRkHqqCUFNJY4AfY3kHU/edit?usp=sharing  #gid=0"",""фіз особи new!relations_name""),6,FALSE)
,
(IF
(
G3318=""юридична особа""
,
VLOOKUP"&amp;"(H3318,IMPORTRANGE(""https://docs.google.com/spreadsheets/d/14Bd19lYaqBhU8_DElYkX7l4wRkHqqCUFNJY4AfY3kHU/edit?usp=sharing  #gid=0"",""фіз особи new!relations_name_uo""),7,FALSE)
,
)
))"),"КЛІШИН Михайло Олексійович")</f>
        <v>КЛІШИН Михайло Олексійович</v>
      </c>
      <c r="J3317" s="7" t="s">
        <v>11</v>
      </c>
    </row>
    <row r="3318" spans="1:10" ht="13.2">
      <c r="A3318" s="7">
        <v>3317</v>
      </c>
      <c r="B3318" s="7">
        <v>1</v>
      </c>
      <c r="C3318" s="7" t="s">
        <v>10</v>
      </c>
      <c r="D3318" s="7">
        <v>963</v>
      </c>
      <c r="E3318" s="7" t="s">
        <v>14</v>
      </c>
      <c r="F3318" s="8" t="str">
        <f ca="1">IFERROR(__xludf.DUMMYFUNCTION("IF
(
C3319=""фізична особа""
,
VLOOKUP(D3319,IMPORTRANGE(""https://docs.google.com/spreadsheets/d/14Bd19lYaqBhU8_DElYkX7l4wRkHqqCUFNJY4AfY3kHU/edit?usp=sharing  #gid=0"",""фіз особи new!relations_name""),6,FALSE)
,
(IF
(
C3319=""юридична особа""
,
VLOOKUP"&amp;"(D3319,IMPORTRANGE(""https://docs.google.com/spreadsheets/d/14Bd19lYaqBhU8_DElYkX7l4wRkHqqCUFNJY4AfY3kHU/edit?usp=sharing  #gid=0"",""фіз особи new!relations_name_uo""),7,FALSE)
,
)
))"),"ДІДЕНКО Олексій Миколайович")</f>
        <v>ДІДЕНКО Олексій Миколайович</v>
      </c>
      <c r="G3318" s="7" t="s">
        <v>10</v>
      </c>
      <c r="H3318" s="7">
        <v>0</v>
      </c>
      <c r="I3318" s="8" t="str">
        <f ca="1">IFERROR(__xludf.DUMMYFUNCTION("IF
(
G3319=""фізична особа""
,
VLOOKUP(H3319,IMPORTRANGE(""https://docs.google.com/spreadsheets/d/14Bd19lYaqBhU8_DElYkX7l4wRkHqqCUFNJY4AfY3kHU/edit?usp=sharing  #gid=0"",""фіз особи new!relations_name""),6,FALSE)
,
(IF
(
G3319=""юридична особа""
,
VLOOKUP"&amp;"(H3319,IMPORTRANGE(""https://docs.google.com/spreadsheets/d/14Bd19lYaqBhU8_DElYkX7l4wRkHqqCUFNJY4AfY3kHU/edit?usp=sharing  #gid=0"",""фіз особи new!relations_name_uo""),7,FALSE)
,
)
))"),"#N/A")</f>
        <v>#N/A</v>
      </c>
      <c r="J3318" s="7" t="s">
        <v>15</v>
      </c>
    </row>
    <row r="3319" spans="1:10" ht="13.2">
      <c r="A3319" s="7">
        <v>3318</v>
      </c>
      <c r="B3319" s="7">
        <v>1</v>
      </c>
      <c r="C3319" s="7" t="s">
        <v>10</v>
      </c>
      <c r="D3319" s="7">
        <v>963</v>
      </c>
      <c r="E3319" s="7" t="s">
        <v>18</v>
      </c>
      <c r="F3319" s="8" t="str">
        <f ca="1">IFERROR(__xludf.DUMMYFUNCTION("IF
(
C3320=""фізична особа""
,
VLOOKUP(D3320,IMPORTRANGE(""https://docs.google.com/spreadsheets/d/14Bd19lYaqBhU8_DElYkX7l4wRkHqqCUFNJY4AfY3kHU/edit?usp=sharing  #gid=0"",""фіз особи new!relations_name""),6,FALSE)
,
(IF
(
C3320=""юридична особа""
,
VLOOKUP"&amp;"(D3320,IMPORTRANGE(""https://docs.google.com/spreadsheets/d/14Bd19lYaqBhU8_DElYkX7l4wRkHqqCUFNJY4AfY3kHU/edit?usp=sharing  #gid=0"",""фіз особи new!relations_name_uo""),7,FALSE)
,
)
))"),"ДІДЕНКО Олексій Миколайович")</f>
        <v>ДІДЕНКО Олексій Миколайович</v>
      </c>
      <c r="G3319" s="7" t="s">
        <v>10</v>
      </c>
      <c r="H3319" s="7">
        <v>0</v>
      </c>
      <c r="I3319" s="8" t="str">
        <f ca="1">IFERROR(__xludf.DUMMYFUNCTION("IF
(
G3320=""фізична особа""
,
VLOOKUP(H3320,IMPORTRANGE(""https://docs.google.com/spreadsheets/d/14Bd19lYaqBhU8_DElYkX7l4wRkHqqCUFNJY4AfY3kHU/edit?usp=sharing  #gid=0"",""фіз особи new!relations_name""),6,FALSE)
,
(IF
(
G3320=""юридична особа""
,
VLOOKUP"&amp;"(H3320,IMPORTRANGE(""https://docs.google.com/spreadsheets/d/14Bd19lYaqBhU8_DElYkX7l4wRkHqqCUFNJY4AfY3kHU/edit?usp=sharing  #gid=0"",""фіз особи new!relations_name_uo""),7,FALSE)
,
)
))"),"#N/A")</f>
        <v>#N/A</v>
      </c>
      <c r="J3319" s="7" t="s">
        <v>18</v>
      </c>
    </row>
    <row r="3320" spans="1:10" ht="13.2">
      <c r="A3320" s="7">
        <v>3319</v>
      </c>
      <c r="B3320" s="7">
        <v>1</v>
      </c>
      <c r="C3320" s="7" t="s">
        <v>10</v>
      </c>
      <c r="D3320" s="7">
        <v>963</v>
      </c>
      <c r="E3320" s="7" t="s">
        <v>17</v>
      </c>
      <c r="F3320" s="8" t="str">
        <f ca="1">IFERROR(__xludf.DUMMYFUNCTION("IF
(
C3321=""фізична особа""
,
VLOOKUP(D3321,IMPORTRANGE(""https://docs.google.com/spreadsheets/d/14Bd19lYaqBhU8_DElYkX7l4wRkHqqCUFNJY4AfY3kHU/edit?usp=sharing  #gid=0"",""фіз особи new!relations_name""),6,FALSE)
,
(IF
(
C3321=""юридична особа""
,
VLOOKUP"&amp;"(D3321,IMPORTRANGE(""https://docs.google.com/spreadsheets/d/14Bd19lYaqBhU8_DElYkX7l4wRkHqqCUFNJY4AfY3kHU/edit?usp=sharing  #gid=0"",""фіз особи new!relations_name_uo""),7,FALSE)
,
)
))"),"ДІДЕНКО Олексій Миколайович")</f>
        <v>ДІДЕНКО Олексій Миколайович</v>
      </c>
      <c r="G3320" s="7" t="s">
        <v>10</v>
      </c>
      <c r="H3320" s="7">
        <v>0</v>
      </c>
      <c r="I3320" s="8" t="str">
        <f ca="1">IFERROR(__xludf.DUMMYFUNCTION("IF
(
G3321=""фізична особа""
,
VLOOKUP(H3321,IMPORTRANGE(""https://docs.google.com/spreadsheets/d/14Bd19lYaqBhU8_DElYkX7l4wRkHqqCUFNJY4AfY3kHU/edit?usp=sharing  #gid=0"",""фіз особи new!relations_name""),6,FALSE)
,
(IF
(
G3321=""юридична особа""
,
VLOOKUP"&amp;"(H3321,IMPORTRANGE(""https://docs.google.com/spreadsheets/d/14Bd19lYaqBhU8_DElYkX7l4wRkHqqCUFNJY4AfY3kHU/edit?usp=sharing  #gid=0"",""фіз особи new!relations_name_uo""),7,FALSE)
,
)
))"),"#N/A")</f>
        <v>#N/A</v>
      </c>
      <c r="J3320" s="7" t="s">
        <v>12</v>
      </c>
    </row>
    <row r="3321" spans="1:10" ht="13.2">
      <c r="A3321" s="7">
        <v>3320</v>
      </c>
      <c r="B3321" s="7">
        <v>1</v>
      </c>
      <c r="C3321" s="7" t="s">
        <v>10</v>
      </c>
      <c r="D3321" s="7">
        <v>965</v>
      </c>
      <c r="E3321" s="7" t="s">
        <v>12</v>
      </c>
      <c r="F3321" s="8" t="str">
        <f ca="1">IFERROR(__xludf.DUMMYFUNCTION("IF
(
C3322=""фізична особа""
,
VLOOKUP(D3322,IMPORTRANGE(""https://docs.google.com/spreadsheets/d/14Bd19lYaqBhU8_DElYkX7l4wRkHqqCUFNJY4AfY3kHU/edit?usp=sharing  #gid=0"",""фіз особи new!relations_name""),6,FALSE)
,
(IF
(
C3322=""юридична особа""
,
VLOOKUP"&amp;"(D3322,IMPORTRANGE(""https://docs.google.com/spreadsheets/d/14Bd19lYaqBhU8_DElYkX7l4wRkHqqCUFNJY4AfY3kHU/edit?usp=sharing  #gid=0"",""фіз особи new!relations_name_uo""),7,FALSE)
,
)
))"),"МОРДАШОВ Олексій Олександрович")</f>
        <v>МОРДАШОВ Олексій Олександрович</v>
      </c>
      <c r="G3321" s="7" t="s">
        <v>10</v>
      </c>
      <c r="H3321" s="7">
        <v>2026</v>
      </c>
      <c r="I3321" s="8" t="str">
        <f ca="1">IFERROR(__xludf.DUMMYFUNCTION("IF
(
G3322=""фізична особа""
,
VLOOKUP(H3322,IMPORTRANGE(""https://docs.google.com/spreadsheets/d/14Bd19lYaqBhU8_DElYkX7l4wRkHqqCUFNJY4AfY3kHU/edit?usp=sharing  #gid=0"",""фіз особи new!relations_name""),6,FALSE)
,
(IF
(
G3322=""юридична особа""
,
VLOOKUP"&amp;"(H3322,IMPORTRANGE(""https://docs.google.com/spreadsheets/d/14Bd19lYaqBhU8_DElYkX7l4wRkHqqCUFNJY4AfY3kHU/edit?usp=sharing  #gid=0"",""фіз особи new!relations_name_uo""),7,FALSE)
,
)
))"),"МОРДАШОВ Ілля Олексійович")</f>
        <v>МОРДАШОВ Ілля Олексійович</v>
      </c>
      <c r="J3321" s="7" t="s">
        <v>17</v>
      </c>
    </row>
    <row r="3322" spans="1:10" ht="13.2">
      <c r="A3322" s="7">
        <v>3321</v>
      </c>
      <c r="B3322" s="7">
        <v>1</v>
      </c>
      <c r="C3322" s="7" t="s">
        <v>10</v>
      </c>
      <c r="D3322" s="7">
        <v>965</v>
      </c>
      <c r="E3322" s="7" t="s">
        <v>14</v>
      </c>
      <c r="F3322" s="8" t="str">
        <f ca="1">IFERROR(__xludf.DUMMYFUNCTION("IF
(
C3323=""фізична особа""
,
VLOOKUP(D3323,IMPORTRANGE(""https://docs.google.com/spreadsheets/d/14Bd19lYaqBhU8_DElYkX7l4wRkHqqCUFNJY4AfY3kHU/edit?usp=sharing  #gid=0"",""фіз особи new!relations_name""),6,FALSE)
,
(IF
(
C3323=""юридична особа""
,
VLOOKUP"&amp;"(D3323,IMPORTRANGE(""https://docs.google.com/spreadsheets/d/14Bd19lYaqBhU8_DElYkX7l4wRkHqqCUFNJY4AfY3kHU/edit?usp=sharing  #gid=0"",""фіз особи new!relations_name_uo""),7,FALSE)
,
)
))"),"МОРДАШОВ Олексій Олександрович")</f>
        <v>МОРДАШОВ Олексій Олександрович</v>
      </c>
      <c r="G3322" s="7" t="s">
        <v>10</v>
      </c>
      <c r="H3322" s="7">
        <v>0</v>
      </c>
      <c r="I3322" s="8" t="str">
        <f ca="1">IFERROR(__xludf.DUMMYFUNCTION("IF
(
G3323=""фізична особа""
,
VLOOKUP(H3323,IMPORTRANGE(""https://docs.google.com/spreadsheets/d/14Bd19lYaqBhU8_DElYkX7l4wRkHqqCUFNJY4AfY3kHU/edit?usp=sharing  #gid=0"",""фіз особи new!relations_name""),6,FALSE)
,
(IF
(
G3323=""юридична особа""
,
VLOOKUP"&amp;"(H3323,IMPORTRANGE(""https://docs.google.com/spreadsheets/d/14Bd19lYaqBhU8_DElYkX7l4wRkHqqCUFNJY4AfY3kHU/edit?usp=sharing  #gid=0"",""фіз особи new!relations_name_uo""),7,FALSE)
,
)
))"),"#N/A")</f>
        <v>#N/A</v>
      </c>
      <c r="J3322" s="7" t="s">
        <v>15</v>
      </c>
    </row>
    <row r="3323" spans="1:10" ht="13.2">
      <c r="A3323" s="7">
        <v>3322</v>
      </c>
      <c r="B3323" s="7">
        <v>1</v>
      </c>
      <c r="C3323" s="7" t="s">
        <v>10</v>
      </c>
      <c r="D3323" s="7">
        <v>965</v>
      </c>
      <c r="E3323" s="7" t="s">
        <v>12</v>
      </c>
      <c r="F3323" s="8" t="str">
        <f ca="1">IFERROR(__xludf.DUMMYFUNCTION("IF
(
C3324=""фізична особа""
,
VLOOKUP(D3324,IMPORTRANGE(""https://docs.google.com/spreadsheets/d/14Bd19lYaqBhU8_DElYkX7l4wRkHqqCUFNJY4AfY3kHU/edit?usp=sharing  #gid=0"",""фіз особи new!relations_name""),6,FALSE)
,
(IF
(
C3324=""юридична особа""
,
VLOOKUP"&amp;"(D3324,IMPORTRANGE(""https://docs.google.com/spreadsheets/d/14Bd19lYaqBhU8_DElYkX7l4wRkHqqCUFNJY4AfY3kHU/edit?usp=sharing  #gid=0"",""фіз особи new!relations_name_uo""),7,FALSE)
,
)
))"),"МОРДАШОВ Олексій Олександрович")</f>
        <v>МОРДАШОВ Олексій Олександрович</v>
      </c>
      <c r="G3323" s="7" t="s">
        <v>10</v>
      </c>
      <c r="H3323" s="7">
        <v>2032</v>
      </c>
      <c r="I3323" s="8" t="str">
        <f ca="1">IFERROR(__xludf.DUMMYFUNCTION("IF
(
G3324=""фізична особа""
,
VLOOKUP(H3324,IMPORTRANGE(""https://docs.google.com/spreadsheets/d/14Bd19lYaqBhU8_DElYkX7l4wRkHqqCUFNJY4AfY3kHU/edit?usp=sharing  #gid=0"",""фіз особи new!relations_name""),6,FALSE)
,
(IF
(
G3324=""юридична особа""
,
VLOOKUP"&amp;"(H3324,IMPORTRANGE(""https://docs.google.com/spreadsheets/d/14Bd19lYaqBhU8_DElYkX7l4wRkHqqCUFNJY4AfY3kHU/edit?usp=sharing  #gid=0"",""фіз особи new!relations_name_uo""),7,FALSE)
,
)
))"),"МОРДАШОВ Кирило Олексійович")</f>
        <v>МОРДАШОВ Кирило Олексійович</v>
      </c>
      <c r="J3323" s="7" t="s">
        <v>17</v>
      </c>
    </row>
    <row r="3324" spans="1:10" ht="13.2">
      <c r="A3324" s="7">
        <v>3323</v>
      </c>
      <c r="B3324" s="7">
        <v>1</v>
      </c>
      <c r="C3324" s="7" t="s">
        <v>10</v>
      </c>
      <c r="D3324" s="7">
        <v>965</v>
      </c>
      <c r="E3324" s="7" t="s">
        <v>12</v>
      </c>
      <c r="F3324" s="8" t="str">
        <f ca="1">IFERROR(__xludf.DUMMYFUNCTION("IF
(
C3325=""фізична особа""
,
VLOOKUP(D3325,IMPORTRANGE(""https://docs.google.com/spreadsheets/d/14Bd19lYaqBhU8_DElYkX7l4wRkHqqCUFNJY4AfY3kHU/edit?usp=sharing  #gid=0"",""фіз особи new!relations_name""),6,FALSE)
,
(IF
(
C3325=""юридична особа""
,
VLOOKUP"&amp;"(D3325,IMPORTRANGE(""https://docs.google.com/spreadsheets/d/14Bd19lYaqBhU8_DElYkX7l4wRkHqqCUFNJY4AfY3kHU/edit?usp=sharing  #gid=0"",""фіз особи new!relations_name_uo""),7,FALSE)
,
)
))"),"МОРДАШОВ Олексій Олександрович")</f>
        <v>МОРДАШОВ Олексій Олександрович</v>
      </c>
      <c r="G3324" s="7" t="s">
        <v>10</v>
      </c>
      <c r="H3324" s="7">
        <v>2033</v>
      </c>
      <c r="I3324" s="8" t="str">
        <f ca="1">IFERROR(__xludf.DUMMYFUNCTION("IF
(
G3325=""фізична особа""
,
VLOOKUP(H3325,IMPORTRANGE(""https://docs.google.com/spreadsheets/d/14Bd19lYaqBhU8_DElYkX7l4wRkHqqCUFNJY4AfY3kHU/edit?usp=sharing  #gid=0"",""фіз особи new!relations_name""),6,FALSE)
,
(IF
(
G3325=""юридична особа""
,
VLOOKUP"&amp;"(H3325,IMPORTRANGE(""https://docs.google.com/spreadsheets/d/14Bd19lYaqBhU8_DElYkX7l4wRkHqqCUFNJY4AfY3kHU/edit?usp=sharing  #gid=0"",""фіз особи new!relations_name_uo""),7,FALSE)
,
)
))"),"МОРДАШОВ Микита Олексійович")</f>
        <v>МОРДАШОВ Микита Олексійович</v>
      </c>
      <c r="J3324" s="7" t="s">
        <v>76</v>
      </c>
    </row>
    <row r="3325" spans="1:10" ht="13.2">
      <c r="A3325" s="7">
        <v>3324</v>
      </c>
      <c r="B3325" s="7">
        <v>1</v>
      </c>
      <c r="C3325" s="7" t="s">
        <v>10</v>
      </c>
      <c r="D3325" s="7">
        <v>966</v>
      </c>
      <c r="E3325" s="7" t="s">
        <v>18</v>
      </c>
      <c r="F3325" s="8" t="str">
        <f ca="1">IFERROR(__xludf.DUMMYFUNCTION("IF
(
C3326=""фізична особа""
,
VLOOKUP(D3326,IMPORTRANGE(""https://docs.google.com/spreadsheets/d/14Bd19lYaqBhU8_DElYkX7l4wRkHqqCUFNJY4AfY3kHU/edit?usp=sharing  #gid=0"",""фіз особи new!relations_name""),6,FALSE)
,
(IF
(
C3326=""юридична особа""
,
VLOOKUP"&amp;"(D3326,IMPORTRANGE(""https://docs.google.com/spreadsheets/d/14Bd19lYaqBhU8_DElYkX7l4wRkHqqCUFNJY4AfY3kHU/edit?usp=sharing  #gid=0"",""фіз особи new!relations_name_uo""),7,FALSE)
,
)
))"),"ЄЗУБОВ Олексій Петрович")</f>
        <v>ЄЗУБОВ Олексій Петрович</v>
      </c>
      <c r="G3325" s="7" t="s">
        <v>10</v>
      </c>
      <c r="H3325" s="7">
        <v>23419</v>
      </c>
      <c r="I3325" s="8" t="str">
        <f ca="1">IFERROR(__xludf.DUMMYFUNCTION("IF
(
G3326=""фізична особа""
,
VLOOKUP(H3326,IMPORTRANGE(""https://docs.google.com/spreadsheets/d/14Bd19lYaqBhU8_DElYkX7l4wRkHqqCUFNJY4AfY3kHU/edit?usp=sharing  #gid=0"",""фіз особи new!relations_name""),6,FALSE)
,
(IF
(
G3326=""юридична особа""
,
VLOOKUP"&amp;"(H3326,IMPORTRANGE(""https://docs.google.com/spreadsheets/d/14Bd19lYaqBhU8_DElYkX7l4wRkHqqCUFNJY4AfY3kHU/edit?usp=sharing  #gid=0"",""фіз особи new!relations_name_uo""),7,FALSE)
,
)
))"),"ДЕРИПАСКА Валентина Петрівна")</f>
        <v>ДЕРИПАСКА Валентина Петрівна</v>
      </c>
      <c r="J3325" s="7" t="s">
        <v>31</v>
      </c>
    </row>
    <row r="3326" spans="1:10" ht="13.2">
      <c r="A3326" s="7">
        <v>3325</v>
      </c>
      <c r="B3326" s="7">
        <v>1</v>
      </c>
      <c r="C3326" s="7" t="s">
        <v>10</v>
      </c>
      <c r="D3326" s="7">
        <v>966</v>
      </c>
      <c r="E3326" s="7" t="s">
        <v>19</v>
      </c>
      <c r="F3326" s="8" t="str">
        <f ca="1">IFERROR(__xludf.DUMMYFUNCTION("IF
(
C3327=""фізична особа""
,
VLOOKUP(D3327,IMPORTRANGE(""https://docs.google.com/spreadsheets/d/14Bd19lYaqBhU8_DElYkX7l4wRkHqqCUFNJY4AfY3kHU/edit?usp=sharing  #gid=0"",""фіз особи new!relations_name""),6,FALSE)
,
(IF
(
C3327=""юридична особа""
,
VLOOKUP"&amp;"(D3327,IMPORTRANGE(""https://docs.google.com/spreadsheets/d/14Bd19lYaqBhU8_DElYkX7l4wRkHqqCUFNJY4AfY3kHU/edit?usp=sharing  #gid=0"",""фіз особи new!relations_name_uo""),7,FALSE)
,
)
))"),"ЄЗУБОВ Олексій Петрович")</f>
        <v>ЄЗУБОВ Олексій Петрович</v>
      </c>
      <c r="G3326" s="7" t="s">
        <v>10</v>
      </c>
      <c r="H3326" s="7">
        <v>959</v>
      </c>
      <c r="I3326" s="8" t="str">
        <f ca="1">IFERROR(__xludf.DUMMYFUNCTION("IF
(
G3327=""фізична особа""
,
VLOOKUP(H3327,IMPORTRANGE(""https://docs.google.com/spreadsheets/d/14Bd19lYaqBhU8_DElYkX7l4wRkHqqCUFNJY4AfY3kHU/edit?usp=sharing  #gid=0"",""фіз особи new!relations_name""),6,FALSE)
,
(IF
(
G3327=""юридична особа""
,
VLOOKUP"&amp;"(H3327,IMPORTRANGE(""https://docs.google.com/spreadsheets/d/14Bd19lYaqBhU8_DElYkX7l4wRkHqqCUFNJY4AfY3kHU/edit?usp=sharing  #gid=0"",""фіз особи new!relations_name_uo""),7,FALSE)
,
)
))"),"ЖУРОВА Світлана Сергіївна")</f>
        <v>ЖУРОВА Світлана Сергіївна</v>
      </c>
      <c r="J3326" s="7" t="s">
        <v>20</v>
      </c>
    </row>
    <row r="3327" spans="1:10" ht="13.2">
      <c r="A3327" s="7">
        <v>3326</v>
      </c>
      <c r="B3327" s="7">
        <v>1</v>
      </c>
      <c r="C3327" s="7" t="s">
        <v>10</v>
      </c>
      <c r="D3327" s="7">
        <v>966</v>
      </c>
      <c r="E3327" s="7" t="s">
        <v>12</v>
      </c>
      <c r="F3327" s="8" t="str">
        <f ca="1">IFERROR(__xludf.DUMMYFUNCTION("IF
(
C3328=""фізична особа""
,
VLOOKUP(D3328,IMPORTRANGE(""https://docs.google.com/spreadsheets/d/14Bd19lYaqBhU8_DElYkX7l4wRkHqqCUFNJY4AfY3kHU/edit?usp=sharing  #gid=0"",""фіз особи new!relations_name""),6,FALSE)
,
(IF
(
C3328=""юридична особа""
,
VLOOKUP"&amp;"(D3328,IMPORTRANGE(""https://docs.google.com/spreadsheets/d/14Bd19lYaqBhU8_DElYkX7l4wRkHqqCUFNJY4AfY3kHU/edit?usp=sharing  #gid=0"",""фіз особи new!relations_name_uo""),7,FALSE)
,
)
))"),"ЄЗУБОВ Олексій Петрович")</f>
        <v>ЄЗУБОВ Олексій Петрович</v>
      </c>
      <c r="G3327" s="7" t="s">
        <v>10</v>
      </c>
      <c r="H3327" s="7">
        <v>4512</v>
      </c>
      <c r="I3327" s="8" t="str">
        <f ca="1">IFERROR(__xludf.DUMMYFUNCTION("IF
(
G3328=""фізична особа""
,
VLOOKUP(H3328,IMPORTRANGE(""https://docs.google.com/spreadsheets/d/14Bd19lYaqBhU8_DElYkX7l4wRkHqqCUFNJY4AfY3kHU/edit?usp=sharing  #gid=0"",""фіз особи new!relations_name""),6,FALSE)
,
(IF
(
G3328=""юридична особа""
,
VLOOKUP"&amp;"(H3328,IMPORTRANGE(""https://docs.google.com/spreadsheets/d/14Bd19lYaqBhU8_DElYkX7l4wRkHqqCUFNJY4AfY3kHU/edit?usp=sharing  #gid=0"",""фіз особи new!relations_name_uo""),7,FALSE)
,
)
))"),"ЄЗУБОВ Павло Олексійович")</f>
        <v>ЄЗУБОВ Павло Олексійович</v>
      </c>
      <c r="J3327" s="7" t="s">
        <v>17</v>
      </c>
    </row>
    <row r="3328" spans="1:10" ht="13.2">
      <c r="A3328" s="7">
        <v>3327</v>
      </c>
      <c r="B3328" s="7">
        <v>1</v>
      </c>
      <c r="C3328" s="7" t="s">
        <v>10</v>
      </c>
      <c r="D3328" s="7">
        <v>966</v>
      </c>
      <c r="E3328" s="7" t="s">
        <v>14</v>
      </c>
      <c r="F3328" s="8" t="str">
        <f ca="1">IFERROR(__xludf.DUMMYFUNCTION("IF
(
C3329=""фізична особа""
,
VLOOKUP(D3329,IMPORTRANGE(""https://docs.google.com/spreadsheets/d/14Bd19lYaqBhU8_DElYkX7l4wRkHqqCUFNJY4AfY3kHU/edit?usp=sharing  #gid=0"",""фіз особи new!relations_name""),6,FALSE)
,
(IF
(
C3329=""юридична особа""
,
VLOOKUP"&amp;"(D3329,IMPORTRANGE(""https://docs.google.com/spreadsheets/d/14Bd19lYaqBhU8_DElYkX7l4wRkHqqCUFNJY4AfY3kHU/edit?usp=sharing  #gid=0"",""фіз особи new!relations_name_uo""),7,FALSE)
,
)
))"),"ЄЗУБОВ Олексій Петрович")</f>
        <v>ЄЗУБОВ Олексій Петрович</v>
      </c>
      <c r="G3328" s="7" t="s">
        <v>10</v>
      </c>
      <c r="H3328" s="7">
        <v>0</v>
      </c>
      <c r="I3328" s="8" t="str">
        <f ca="1">IFERROR(__xludf.DUMMYFUNCTION("IF
(
G3329=""фізична особа""
,
VLOOKUP(H3329,IMPORTRANGE(""https://docs.google.com/spreadsheets/d/14Bd19lYaqBhU8_DElYkX7l4wRkHqqCUFNJY4AfY3kHU/edit?usp=sharing  #gid=0"",""фіз особи new!relations_name""),6,FALSE)
,
(IF
(
G3329=""юридична особа""
,
VLOOKUP"&amp;"(H3329,IMPORTRANGE(""https://docs.google.com/spreadsheets/d/14Bd19lYaqBhU8_DElYkX7l4wRkHqqCUFNJY4AfY3kHU/edit?usp=sharing  #gid=0"",""фіз особи new!relations_name_uo""),7,FALSE)
,
)
))"),"#N/A")</f>
        <v>#N/A</v>
      </c>
      <c r="J3328" s="7" t="s">
        <v>15</v>
      </c>
    </row>
    <row r="3329" spans="1:10" ht="13.2">
      <c r="A3329" s="7">
        <v>3328</v>
      </c>
      <c r="B3329" s="7">
        <v>1</v>
      </c>
      <c r="C3329" s="7" t="s">
        <v>10</v>
      </c>
      <c r="D3329" s="7">
        <v>968</v>
      </c>
      <c r="E3329" s="7" t="s">
        <v>30</v>
      </c>
      <c r="F3329" s="8" t="str">
        <f ca="1">IFERROR(__xludf.DUMMYFUNCTION("IF
(
C3330=""фізична особа""
,
VLOOKUP(D3330,IMPORTRANGE(""https://docs.google.com/spreadsheets/d/14Bd19lYaqBhU8_DElYkX7l4wRkHqqCUFNJY4AfY3kHU/edit?usp=sharing  #gid=0"",""фіз особи new!relations_name""),6,FALSE)
,
(IF
(
C3330=""юридична особа""
,
VLOOKUP"&amp;"(D3330,IMPORTRANGE(""https://docs.google.com/spreadsheets/d/14Bd19lYaqBhU8_DElYkX7l4wRkHqqCUFNJY4AfY3kHU/edit?usp=sharing  #gid=0"",""фіз особи new!relations_name_uo""),7,FALSE)
,
)
))"),"КОВАЛЬОВА Поліна Костянтинівна")</f>
        <v>КОВАЛЬОВА Поліна Костянтинівна</v>
      </c>
      <c r="G3329" s="7" t="s">
        <v>10</v>
      </c>
      <c r="H3329" s="7">
        <v>718</v>
      </c>
      <c r="I3329" s="8" t="str">
        <f ca="1">IFERROR(__xludf.DUMMYFUNCTION("IF
(
G3330=""фізична особа""
,
VLOOKUP(H3330,IMPORTRANGE(""https://docs.google.com/spreadsheets/d/14Bd19lYaqBhU8_DElYkX7l4wRkHqqCUFNJY4AfY3kHU/edit?usp=sharing  #gid=0"",""фіз особи new!relations_name""),6,FALSE)
,
(IF
(
G3330=""юридична особа""
,
VLOOKUP"&amp;"(H3330,IMPORTRANGE(""https://docs.google.com/spreadsheets/d/14Bd19lYaqBhU8_DElYkX7l4wRkHqqCUFNJY4AfY3kHU/edit?usp=sharing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3329" s="7" t="s">
        <v>30</v>
      </c>
    </row>
    <row r="3330" spans="1:10" ht="13.2">
      <c r="A3330" s="7">
        <v>3329</v>
      </c>
      <c r="B3330" s="7">
        <v>1</v>
      </c>
      <c r="C3330" s="7" t="s">
        <v>10</v>
      </c>
      <c r="D3330" s="7">
        <v>968</v>
      </c>
      <c r="E3330" s="7" t="s">
        <v>12</v>
      </c>
      <c r="F3330" s="8" t="str">
        <f ca="1">IFERROR(__xludf.DUMMYFUNCTION("IF
(
C3331=""фізична особа""
,
VLOOKUP(D3331,IMPORTRANGE(""https://docs.google.com/spreadsheets/d/14Bd19lYaqBhU8_DElYkX7l4wRkHqqCUFNJY4AfY3kHU/edit?usp=sharing  #gid=0"",""фіз особи new!relations_name""),6,FALSE)
,
(IF
(
C3331=""юридична особа""
,
VLOOKUP"&amp;"(D3331,IMPORTRANGE(""https://docs.google.com/spreadsheets/d/14Bd19lYaqBhU8_DElYkX7l4wRkHqqCUFNJY4AfY3kHU/edit?usp=sharing  #gid=0"",""фіз особи new!relations_name_uo""),7,FALSE)
,
)
))"),"КОВАЛЬОВА Поліна Костянтинівна")</f>
        <v>КОВАЛЬОВА Поліна Костянтинівна</v>
      </c>
      <c r="G3330" s="7" t="s">
        <v>10</v>
      </c>
      <c r="H3330" s="7">
        <v>0</v>
      </c>
      <c r="I3330" s="8" t="str">
        <f ca="1">IFERROR(__xludf.DUMMYFUNCTION("IF
(
G3331=""фізична особа""
,
VLOOKUP(H3331,IMPORTRANGE(""https://docs.google.com/spreadsheets/d/14Bd19lYaqBhU8_DElYkX7l4wRkHqqCUFNJY4AfY3kHU/edit?usp=sharing  #gid=0"",""фіз особи new!relations_name""),6,FALSE)
,
(IF
(
G3331=""юридична особа""
,
VLOOKUP"&amp;"(H3331,IMPORTRANGE(""https://docs.google.com/spreadsheets/d/14Bd19lYaqBhU8_DElYkX7l4wRkHqqCUFNJY4AfY3kHU/edit?usp=sharing  #gid=0"",""фіз особи new!relations_name_uo""),7,FALSE)
,
)
))"),"#N/A")</f>
        <v>#N/A</v>
      </c>
      <c r="J3330" s="7" t="s">
        <v>13</v>
      </c>
    </row>
    <row r="3331" spans="1:10" ht="13.2">
      <c r="A3331" s="7">
        <v>3330</v>
      </c>
      <c r="B3331" s="7">
        <v>1</v>
      </c>
      <c r="C3331" s="7" t="s">
        <v>10</v>
      </c>
      <c r="D3331" s="7">
        <v>968</v>
      </c>
      <c r="E3331" s="7" t="s">
        <v>13</v>
      </c>
      <c r="F3331" s="8" t="str">
        <f ca="1">IFERROR(__xludf.DUMMYFUNCTION("IF
(
C3332=""фізична особа""
,
VLOOKUP(D3332,IMPORTRANGE(""https://docs.google.com/spreadsheets/d/14Bd19lYaqBhU8_DElYkX7l4wRkHqqCUFNJY4AfY3kHU/edit?usp=sharing  #gid=0"",""фіз особи new!relations_name""),6,FALSE)
,
(IF
(
C3332=""юридична особа""
,
VLOOKUP"&amp;"(D3332,IMPORTRANGE(""https://docs.google.com/spreadsheets/d/14Bd19lYaqBhU8_DElYkX7l4wRkHqqCUFNJY4AfY3kHU/edit?usp=sharing  #gid=0"",""фіз особи new!relations_name_uo""),7,FALSE)
,
)
))"),"КОВАЛЬОВА Поліна Костянтинівна")</f>
        <v>КОВАЛЬОВА Поліна Костянтинівна</v>
      </c>
      <c r="G3331" s="7" t="s">
        <v>10</v>
      </c>
      <c r="H3331" s="7">
        <v>1038</v>
      </c>
      <c r="I3331" s="8" t="str">
        <f ca="1">IFERROR(__xludf.DUMMYFUNCTION("IF
(
G3332=""фізична особа""
,
VLOOKUP(H3332,IMPORTRANGE(""https://docs.google.com/spreadsheets/d/14Bd19lYaqBhU8_DElYkX7l4wRkHqqCUFNJY4AfY3kHU/edit?usp=sharing  #gid=0"",""фіз особи new!relations_name""),6,FALSE)
,
(IF
(
G3332=""юридична особа""
,
VLOOKUP"&amp;"(H3332,IMPORTRANGE(""https://docs.google.com/spreadsheets/d/14Bd19lYaqBhU8_DElYkX7l4wRkHqqCUFNJY4AfY3kHU/edit?usp=sharing  #gid=0"",""фіз особи new!relations_name_uo""),7,FALSE)
,
)
))"),"ПОЛЯКОВА Світлана Олександрівна")</f>
        <v>ПОЛЯКОВА Світлана Олександрівна</v>
      </c>
      <c r="J3331" s="7" t="s">
        <v>21</v>
      </c>
    </row>
    <row r="3332" spans="1:10" ht="13.2">
      <c r="A3332" s="7">
        <v>3331</v>
      </c>
      <c r="B3332" s="7">
        <v>1</v>
      </c>
      <c r="C3332" s="7" t="s">
        <v>10</v>
      </c>
      <c r="D3332" s="7">
        <v>970</v>
      </c>
      <c r="E3332" s="7" t="s">
        <v>14</v>
      </c>
      <c r="F3332" s="8" t="str">
        <f ca="1">IFERROR(__xludf.DUMMYFUNCTION("IF
(
C3333=""фізична особа""
,
VLOOKUP(D3333,IMPORTRANGE(""https://docs.google.com/spreadsheets/d/14Bd19lYaqBhU8_DElYkX7l4wRkHqqCUFNJY4AfY3kHU/edit?usp=sharing  #gid=0"",""фіз особи new!relations_name""),6,FALSE)
,
(IF
(
C3333=""юридична особа""
,
VLOOKUP"&amp;"(D3333,IMPORTRANGE(""https://docs.google.com/spreadsheets/d/14Bd19lYaqBhU8_DElYkX7l4wRkHqqCUFNJY4AfY3kHU/edit?usp=sharing  #gid=0"",""фіз особи new!relations_name_uo""),7,FALSE)
,
)
))"),"СІВКОВИЧ Володимир Леонідович")</f>
        <v>СІВКОВИЧ Володимир Леонідович</v>
      </c>
      <c r="G3332" s="7" t="s">
        <v>10</v>
      </c>
      <c r="H3332" s="7">
        <v>0</v>
      </c>
      <c r="I3332" s="8" t="str">
        <f ca="1">IFERROR(__xludf.DUMMYFUNCTION("IF
(
G3333=""фізична особа""
,
VLOOKUP(H3333,IMPORTRANGE(""https://docs.google.com/spreadsheets/d/14Bd19lYaqBhU8_DElYkX7l4wRkHqqCUFNJY4AfY3kHU/edit?usp=sharing  #gid=0"",""фіз особи new!relations_name""),6,FALSE)
,
(IF
(
G3333=""юридична особа""
,
VLOOKUP"&amp;"(H3333,IMPORTRANGE(""https://docs.google.com/spreadsheets/d/14Bd19lYaqBhU8_DElYkX7l4wRkHqqCUFNJY4AfY3kHU/edit?usp=sharing  #gid=0"",""фіз особи new!relations_name_uo""),7,FALSE)
,
)
))"),"#N/A")</f>
        <v>#N/A</v>
      </c>
      <c r="J3332" s="7" t="s">
        <v>15</v>
      </c>
    </row>
    <row r="3333" spans="1:10" ht="13.2">
      <c r="A3333" s="7">
        <v>3332</v>
      </c>
      <c r="B3333" s="7">
        <v>1</v>
      </c>
      <c r="C3333" s="7" t="s">
        <v>10</v>
      </c>
      <c r="D3333" s="7">
        <v>970</v>
      </c>
      <c r="E3333" s="7" t="s">
        <v>12</v>
      </c>
      <c r="F3333" s="8" t="str">
        <f ca="1">IFERROR(__xludf.DUMMYFUNCTION("IF
(
C3334=""фізична особа""
,
VLOOKUP(D3334,IMPORTRANGE(""https://docs.google.com/spreadsheets/d/14Bd19lYaqBhU8_DElYkX7l4wRkHqqCUFNJY4AfY3kHU/edit?usp=sharing  #gid=0"",""фіз особи new!relations_name""),6,FALSE)
,
(IF
(
C3334=""юридична особа""
,
VLOOKUP"&amp;"(D3334,IMPORTRANGE(""https://docs.google.com/spreadsheets/d/14Bd19lYaqBhU8_DElYkX7l4wRkHqqCUFNJY4AfY3kHU/edit?usp=sharing  #gid=0"",""фіз особи new!relations_name_uo""),7,FALSE)
,
)
))"),"СІВКОВИЧ Володимир Леонідович")</f>
        <v>СІВКОВИЧ Володимир Леонідович</v>
      </c>
      <c r="G3333" s="7" t="s">
        <v>10</v>
      </c>
      <c r="H3333" s="7">
        <v>0</v>
      </c>
      <c r="I3333" s="8" t="str">
        <f ca="1">IFERROR(__xludf.DUMMYFUNCTION("IF
(
G3334=""фізична особа""
,
VLOOKUP(H3334,IMPORTRANGE(""https://docs.google.com/spreadsheets/d/14Bd19lYaqBhU8_DElYkX7l4wRkHqqCUFNJY4AfY3kHU/edit?usp=sharing  #gid=0"",""фіз особи new!relations_name""),6,FALSE)
,
(IF
(
G3334=""юридична особа""
,
VLOOKUP"&amp;"(H3334,IMPORTRANGE(""https://docs.google.com/spreadsheets/d/14Bd19lYaqBhU8_DElYkX7l4wRkHqqCUFNJY4AfY3kHU/edit?usp=sharing  #gid=0"",""фіз особи new!relations_name_uo""),7,FALSE)
,
)
))"),"#N/A")</f>
        <v>#N/A</v>
      </c>
      <c r="J3333" s="7" t="s">
        <v>17</v>
      </c>
    </row>
    <row r="3334" spans="1:10" ht="13.2">
      <c r="A3334" s="7">
        <v>3333</v>
      </c>
      <c r="B3334" s="7">
        <v>1</v>
      </c>
      <c r="C3334" s="7" t="s">
        <v>10</v>
      </c>
      <c r="D3334" s="7">
        <v>971</v>
      </c>
      <c r="E3334" s="7" t="s">
        <v>14</v>
      </c>
      <c r="F3334" s="8" t="str">
        <f ca="1">IFERROR(__xludf.DUMMYFUNCTION("IF
(
C3335=""фізична особа""
,
VLOOKUP(D3335,IMPORTRANGE(""https://docs.google.com/spreadsheets/d/14Bd19lYaqBhU8_DElYkX7l4wRkHqqCUFNJY4AfY3kHU/edit?usp=sharing  #gid=0"",""фіз особи new!relations_name""),6,FALSE)
,
(IF
(
C3335=""юридична особа""
,
VLOOKUP"&amp;"(D3335,IMPORTRANGE(""https://docs.google.com/spreadsheets/d/14Bd19lYaqBhU8_DElYkX7l4wRkHqqCUFNJY4AfY3kHU/edit?usp=sharing  #gid=0"",""фіз особи new!relations_name_uo""),7,FALSE)
,
)
))"),"ТІНЬКОВ Олег Юрійович")</f>
        <v>ТІНЬКОВ Олег Юрійович</v>
      </c>
      <c r="G3334" s="7" t="s">
        <v>10</v>
      </c>
      <c r="H3334" s="7">
        <v>0</v>
      </c>
      <c r="I3334" s="8" t="str">
        <f ca="1">IFERROR(__xludf.DUMMYFUNCTION("IF
(
G3335=""фізична особа""
,
VLOOKUP(H3335,IMPORTRANGE(""https://docs.google.com/spreadsheets/d/14Bd19lYaqBhU8_DElYkX7l4wRkHqqCUFNJY4AfY3kHU/edit?usp=sharing  #gid=0"",""фіз особи new!relations_name""),6,FALSE)
,
(IF
(
G3335=""юридична особа""
,
VLOOKUP"&amp;"(H3335,IMPORTRANGE(""https://docs.google.com/spreadsheets/d/14Bd19lYaqBhU8_DElYkX7l4wRkHqqCUFNJY4AfY3kHU/edit?usp=sharing  #gid=0"",""фіз особи new!relations_name_uo""),7,FALSE)
,
)
))"),"#N/A")</f>
        <v>#N/A</v>
      </c>
      <c r="J3334" s="7" t="s">
        <v>15</v>
      </c>
    </row>
    <row r="3335" spans="1:10" ht="13.2">
      <c r="A3335" s="7">
        <v>3334</v>
      </c>
      <c r="B3335" s="7">
        <v>1</v>
      </c>
      <c r="C3335" s="7" t="s">
        <v>10</v>
      </c>
      <c r="D3335" s="7">
        <v>971</v>
      </c>
      <c r="E3335" s="7" t="s">
        <v>12</v>
      </c>
      <c r="F3335" s="8" t="str">
        <f ca="1">IFERROR(__xludf.DUMMYFUNCTION("IF
(
C3336=""фізична особа""
,
VLOOKUP(D3336,IMPORTRANGE(""https://docs.google.com/spreadsheets/d/14Bd19lYaqBhU8_DElYkX7l4wRkHqqCUFNJY4AfY3kHU/edit?usp=sharing  #gid=0"",""фіз особи new!relations_name""),6,FALSE)
,
(IF
(
C3336=""юридична особа""
,
VLOOKUP"&amp;"(D3336,IMPORTRANGE(""https://docs.google.com/spreadsheets/d/14Bd19lYaqBhU8_DElYkX7l4wRkHqqCUFNJY4AfY3kHU/edit?usp=sharing  #gid=0"",""фіз особи new!relations_name_uo""),7,FALSE)
,
)
))"),"ТІНЬКОВ Олег Юрійович")</f>
        <v>ТІНЬКОВ Олег Юрійович</v>
      </c>
      <c r="G3335" s="7" t="s">
        <v>10</v>
      </c>
      <c r="H3335" s="7">
        <v>0</v>
      </c>
      <c r="I3335" s="8" t="str">
        <f ca="1">IFERROR(__xludf.DUMMYFUNCTION("IF
(
G3336=""фізична особа""
,
VLOOKUP(H3336,IMPORTRANGE(""https://docs.google.com/spreadsheets/d/14Bd19lYaqBhU8_DElYkX7l4wRkHqqCUFNJY4AfY3kHU/edit?usp=sharing  #gid=0"",""фіз особи new!relations_name""),6,FALSE)
,
(IF
(
G3336=""юридична особа""
,
VLOOKUP"&amp;"(H3336,IMPORTRANGE(""https://docs.google.com/spreadsheets/d/14Bd19lYaqBhU8_DElYkX7l4wRkHqqCUFNJY4AfY3kHU/edit?usp=sharing  #gid=0"",""фіз особи new!relations_name_uo""),7,FALSE)
,
)
))"),"#N/A")</f>
        <v>#N/A</v>
      </c>
      <c r="J3335" s="7" t="s">
        <v>17</v>
      </c>
    </row>
    <row r="3336" spans="1:10" ht="13.2">
      <c r="A3336" s="7">
        <v>3335</v>
      </c>
      <c r="B3336" s="7">
        <v>1</v>
      </c>
      <c r="C3336" s="7" t="s">
        <v>10</v>
      </c>
      <c r="D3336" s="7">
        <v>971</v>
      </c>
      <c r="E3336" s="7" t="s">
        <v>12</v>
      </c>
      <c r="F3336" s="8" t="str">
        <f ca="1">IFERROR(__xludf.DUMMYFUNCTION("IF
(
C3337=""фізична особа""
,
VLOOKUP(D3337,IMPORTRANGE(""https://docs.google.com/spreadsheets/d/14Bd19lYaqBhU8_DElYkX7l4wRkHqqCUFNJY4AfY3kHU/edit?usp=sharing  #gid=0"",""фіз особи new!relations_name""),6,FALSE)
,
(IF
(
C3337=""юридична особа""
,
VLOOKUP"&amp;"(D3337,IMPORTRANGE(""https://docs.google.com/spreadsheets/d/14Bd19lYaqBhU8_DElYkX7l4wRkHqqCUFNJY4AfY3kHU/edit?usp=sharing  #gid=0"",""фіз особи new!relations_name_uo""),7,FALSE)
,
)
))"),"ТІНЬКОВ Олег Юрійович")</f>
        <v>ТІНЬКОВ Олег Юрійович</v>
      </c>
      <c r="G3336" s="7" t="s">
        <v>10</v>
      </c>
      <c r="H3336" s="7">
        <v>0</v>
      </c>
      <c r="I3336" s="8" t="str">
        <f ca="1">IFERROR(__xludf.DUMMYFUNCTION("IF
(
G3337=""фізична особа""
,
VLOOKUP(H3337,IMPORTRANGE(""https://docs.google.com/spreadsheets/d/14Bd19lYaqBhU8_DElYkX7l4wRkHqqCUFNJY4AfY3kHU/edit?usp=sharing  #gid=0"",""фіз особи new!relations_name""),6,FALSE)
,
(IF
(
G3337=""юридична особа""
,
VLOOKUP"&amp;"(H3337,IMPORTRANGE(""https://docs.google.com/spreadsheets/d/14Bd19lYaqBhU8_DElYkX7l4wRkHqqCUFNJY4AfY3kHU/edit?usp=sharing  #gid=0"",""фіз особи new!relations_name_uo""),7,FALSE)
,
)
))"),"#N/A")</f>
        <v>#N/A</v>
      </c>
      <c r="J3336" s="7" t="s">
        <v>17</v>
      </c>
    </row>
    <row r="3337" spans="1:10" ht="13.2">
      <c r="A3337" s="7">
        <v>3336</v>
      </c>
      <c r="B3337" s="7">
        <v>1</v>
      </c>
      <c r="C3337" s="7" t="s">
        <v>10</v>
      </c>
      <c r="D3337" s="7">
        <v>971</v>
      </c>
      <c r="E3337" s="7" t="s">
        <v>12</v>
      </c>
      <c r="F3337" s="8" t="str">
        <f ca="1">IFERROR(__xludf.DUMMYFUNCTION("IF
(
C3338=""фізична особа""
,
VLOOKUP(D3338,IMPORTRANGE(""https://docs.google.com/spreadsheets/d/14Bd19lYaqBhU8_DElYkX7l4wRkHqqCUFNJY4AfY3kHU/edit?usp=sharing  #gid=0"",""фіз особи new!relations_name""),6,FALSE)
,
(IF
(
C3338=""юридична особа""
,
VLOOKUP"&amp;"(D3338,IMPORTRANGE(""https://docs.google.com/spreadsheets/d/14Bd19lYaqBhU8_DElYkX7l4wRkHqqCUFNJY4AfY3kHU/edit?usp=sharing  #gid=0"",""фіз особи new!relations_name_uo""),7,FALSE)
,
)
))"),"ТІНЬКОВ Олег Юрійович")</f>
        <v>ТІНЬКОВ Олег Юрійович</v>
      </c>
      <c r="G3337" s="7" t="s">
        <v>10</v>
      </c>
      <c r="H3337" s="7">
        <v>0</v>
      </c>
      <c r="I3337" s="8" t="str">
        <f ca="1">IFERROR(__xludf.DUMMYFUNCTION("IF
(
G3338=""фізична особа""
,
VLOOKUP(H3338,IMPORTRANGE(""https://docs.google.com/spreadsheets/d/14Bd19lYaqBhU8_DElYkX7l4wRkHqqCUFNJY4AfY3kHU/edit?usp=sharing  #gid=0"",""фіз особи new!relations_name""),6,FALSE)
,
(IF
(
G3338=""юридична особа""
,
VLOOKUP"&amp;"(H3338,IMPORTRANGE(""https://docs.google.com/spreadsheets/d/14Bd19lYaqBhU8_DElYkX7l4wRkHqqCUFNJY4AfY3kHU/edit?usp=sharing  #gid=0"",""фіз особи new!relations_name_uo""),7,FALSE)
,
)
))"),"#N/A")</f>
        <v>#N/A</v>
      </c>
      <c r="J3337" s="7" t="s">
        <v>13</v>
      </c>
    </row>
    <row r="3338" spans="1:10" ht="13.2">
      <c r="A3338" s="7">
        <v>3337</v>
      </c>
      <c r="B3338" s="7">
        <v>1</v>
      </c>
      <c r="C3338" s="7" t="s">
        <v>10</v>
      </c>
      <c r="D3338" s="7">
        <v>972</v>
      </c>
      <c r="E3338" s="7" t="s">
        <v>48</v>
      </c>
      <c r="F3338" s="8" t="str">
        <f ca="1">IFERROR(__xludf.DUMMYFUNCTION("IF
(
C3339=""фізична особа""
,
VLOOKUP(D3339,IMPORTRANGE(""https://docs.google.com/spreadsheets/d/14Bd19lYaqBhU8_DElYkX7l4wRkHqqCUFNJY4AfY3kHU/edit?usp=sharing  #gid=0"",""фіз особи new!relations_name""),6,FALSE)
,
(IF
(
C3339=""юридична особа""
,
VLOOKUP"&amp;"(D3339,IMPORTRANGE(""https://docs.google.com/spreadsheets/d/14Bd19lYaqBhU8_DElYkX7l4wRkHqqCUFNJY4AfY3kHU/edit?usp=sharing  #gid=0"",""фіз особи new!relations_name_uo""),7,FALSE)
,
)
))"),"ВОЛОШИН Олег Анатолійович")</f>
        <v>ВОЛОШИН Олег Анатолійович</v>
      </c>
      <c r="G3338" s="7" t="s">
        <v>10</v>
      </c>
      <c r="H3338" s="7">
        <v>4514</v>
      </c>
      <c r="I3338" s="8" t="str">
        <f ca="1">IFERROR(__xludf.DUMMYFUNCTION("IF
(
G3339=""фізична особа""
,
VLOOKUP(H3339,IMPORTRANGE(""https://docs.google.com/spreadsheets/d/14Bd19lYaqBhU8_DElYkX7l4wRkHqqCUFNJY4AfY3kHU/edit?usp=sharing  #gid=0"",""фіз особи new!relations_name""),6,FALSE)
,
(IF
(
G3339=""юридична особа""
,
VLOOKUP"&amp;"(H3339,IMPORTRANGE(""https://docs.google.com/spreadsheets/d/14Bd19lYaqBhU8_DElYkX7l4wRkHqqCUFNJY4AfY3kHU/edit?usp=sharing  #gid=0"",""фіз особи new!relations_name_uo""),7,FALSE)
,
)
))"),"МЕДВЕДЧУК Віктор Володимирович")</f>
        <v>МЕДВЕДЧУК Віктор Володимирович</v>
      </c>
      <c r="J3338" s="7" t="s">
        <v>48</v>
      </c>
    </row>
    <row r="3339" spans="1:10" ht="13.2">
      <c r="A3339" s="7">
        <v>3338</v>
      </c>
      <c r="B3339" s="7">
        <v>1</v>
      </c>
      <c r="C3339" s="7" t="s">
        <v>10</v>
      </c>
      <c r="D3339" s="7">
        <v>972</v>
      </c>
      <c r="E3339" s="7" t="s">
        <v>48</v>
      </c>
      <c r="F3339" s="8" t="str">
        <f ca="1">IFERROR(__xludf.DUMMYFUNCTION("IF
(
C3340=""фізична особа""
,
VLOOKUP(D3340,IMPORTRANGE(""https://docs.google.com/spreadsheets/d/14Bd19lYaqBhU8_DElYkX7l4wRkHqqCUFNJY4AfY3kHU/edit?usp=sharing  #gid=0"",""фіз особи new!relations_name""),6,FALSE)
,
(IF
(
C3340=""юридична особа""
,
VLOOKUP"&amp;"(D3340,IMPORTRANGE(""https://docs.google.com/spreadsheets/d/14Bd19lYaqBhU8_DElYkX7l4wRkHqqCUFNJY4AfY3kHU/edit?usp=sharing  #gid=0"",""фіз особи new!relations_name_uo""),7,FALSE)
,
)
))"),"ВОЛОШИН Олег Анатолійович")</f>
        <v>ВОЛОШИН Олег Анатолійович</v>
      </c>
      <c r="G3339" s="7" t="s">
        <v>10</v>
      </c>
      <c r="H3339" s="7">
        <v>1856</v>
      </c>
      <c r="I3339" s="8" t="str">
        <f ca="1">IFERROR(__xludf.DUMMYFUNCTION("IF
(
G3340=""фізична особа""
,
VLOOKUP(H3340,IMPORTRANGE(""https://docs.google.com/spreadsheets/d/14Bd19lYaqBhU8_DElYkX7l4wRkHqqCUFNJY4AfY3kHU/edit?usp=sharing  #gid=0"",""фіз особи new!relations_name""),6,FALSE)
,
(IF
(
G3340=""юридична особа""
,
VLOOKUP"&amp;"(H3340,IMPORTRANGE(""https://docs.google.com/spreadsheets/d/14Bd19lYaqBhU8_DElYkX7l4wRkHqqCUFNJY4AfY3kHU/edit?usp=sharing  #gid=0"",""фіз особи new!relations_name_uo""),7,FALSE)
,
)
))"),"ОЛІЙНИК Володимир Миколайович")</f>
        <v>ОЛІЙНИК Володимир Миколайович</v>
      </c>
      <c r="J3339" s="7" t="s">
        <v>48</v>
      </c>
    </row>
    <row r="3340" spans="1:10" ht="13.2">
      <c r="A3340" s="7">
        <v>3339</v>
      </c>
      <c r="B3340" s="7">
        <v>1</v>
      </c>
      <c r="C3340" s="7" t="s">
        <v>10</v>
      </c>
      <c r="D3340" s="7">
        <v>972</v>
      </c>
      <c r="E3340" s="7" t="s">
        <v>48</v>
      </c>
      <c r="F3340" s="8" t="str">
        <f ca="1">IFERROR(__xludf.DUMMYFUNCTION("IF
(
C3341=""фізична особа""
,
VLOOKUP(D3341,IMPORTRANGE(""https://docs.google.com/spreadsheets/d/14Bd19lYaqBhU8_DElYkX7l4wRkHqqCUFNJY4AfY3kHU/edit?usp=sharing  #gid=0"",""фіз особи new!relations_name""),6,FALSE)
,
(IF
(
C3341=""юридична особа""
,
VLOOKUP"&amp;"(D3341,IMPORTRANGE(""https://docs.google.com/spreadsheets/d/14Bd19lYaqBhU8_DElYkX7l4wRkHqqCUFNJY4AfY3kHU/edit?usp=sharing  #gid=0"",""фіз особи new!relations_name_uo""),7,FALSE)
,
)
))"),"ВОЛОШИН Олег Анатолійович")</f>
        <v>ВОЛОШИН Олег Анатолійович</v>
      </c>
      <c r="G3340" s="7" t="s">
        <v>10</v>
      </c>
      <c r="H3340" s="7">
        <v>970</v>
      </c>
      <c r="I3340" s="8" t="str">
        <f ca="1">IFERROR(__xludf.DUMMYFUNCTION("IF
(
G3341=""фізична особа""
,
VLOOKUP(H3341,IMPORTRANGE(""https://docs.google.com/spreadsheets/d/14Bd19lYaqBhU8_DElYkX7l4wRkHqqCUFNJY4AfY3kHU/edit?usp=sharing  #gid=0"",""фіз особи new!relations_name""),6,FALSE)
,
(IF
(
G3341=""юридична особа""
,
VLOOKUP"&amp;"(H3341,IMPORTRANGE(""https://docs.google.com/spreadsheets/d/14Bd19lYaqBhU8_DElYkX7l4wRkHqqCUFNJY4AfY3kHU/edit?usp=sharing  #gid=0"",""фіз особи new!relations_name_uo""),7,FALSE)
,
)
))"),"СІВКОВИЧ Володимир Леонідович")</f>
        <v>СІВКОВИЧ Володимир Леонідович</v>
      </c>
      <c r="J3340" s="7" t="s">
        <v>48</v>
      </c>
    </row>
    <row r="3341" spans="1:10" ht="13.2">
      <c r="A3341" s="7">
        <v>3340</v>
      </c>
      <c r="B3341" s="7">
        <v>1</v>
      </c>
      <c r="C3341" s="7" t="s">
        <v>10</v>
      </c>
      <c r="D3341" s="7">
        <v>973</v>
      </c>
      <c r="E3341" s="7" t="s">
        <v>21</v>
      </c>
      <c r="F3341" s="8" t="str">
        <f ca="1">IFERROR(__xludf.DUMMYFUNCTION("IF
(
C3342=""фізична особа""
,
VLOOKUP(D3342,IMPORTRANGE(""https://docs.google.com/spreadsheets/d/14Bd19lYaqBhU8_DElYkX7l4wRkHqqCUFNJY4AfY3kHU/edit?usp=sharing  #gid=0"",""фіз особи new!relations_name""),6,FALSE)
,
(IF
(
C3342=""юридична особа""
,
VLOOKUP"&amp;"(D3342,IMPORTRANGE(""https://docs.google.com/spreadsheets/d/14Bd19lYaqBhU8_DElYkX7l4wRkHqqCUFNJY4AfY3kHU/edit?usp=sharing  #gid=0"",""фіз особи new!relations_name_uo""),7,FALSE)
,
)
))"),"ТИМЧЕНКО Олена Петрівна")</f>
        <v>ТИМЧЕНКО Олена Петрівна</v>
      </c>
      <c r="G3341" s="7" t="s">
        <v>10</v>
      </c>
      <c r="H3341" s="7">
        <v>1874</v>
      </c>
      <c r="I3341" s="8" t="str">
        <f ca="1">IFERROR(__xludf.DUMMYFUNCTION("IF
(
G3342=""фізична особа""
,
VLOOKUP(H3342,IMPORTRANGE(""https://docs.google.com/spreadsheets/d/14Bd19lYaqBhU8_DElYkX7l4wRkHqqCUFNJY4AfY3kHU/edit?usp=sharing  #gid=0"",""фіз особи new!relations_name""),6,FALSE)
,
(IF
(
G3342=""юридична особа""
,
VLOOKUP"&amp;"(H3342,IMPORTRANGE(""https://docs.google.com/spreadsheets/d/14Bd19lYaqBhU8_DElYkX7l4wRkHqqCUFNJY4AfY3kHU/edit?usp=sharing  #gid=0"",""фіз особи new!relations_name_uo""),7,FALSE)
,
)
))"),"БРАУНІНГ Наталія Геннадіївна")</f>
        <v>БРАУНІНГ Наталія Геннадіївна</v>
      </c>
      <c r="J3341" s="7" t="s">
        <v>13</v>
      </c>
    </row>
    <row r="3342" spans="1:10" ht="13.2">
      <c r="A3342" s="7">
        <v>3341</v>
      </c>
      <c r="B3342" s="7">
        <v>1</v>
      </c>
      <c r="C3342" s="7" t="s">
        <v>10</v>
      </c>
      <c r="D3342" s="7">
        <v>973</v>
      </c>
      <c r="E3342" s="7" t="s">
        <v>21</v>
      </c>
      <c r="F3342" s="8" t="str">
        <f ca="1">IFERROR(__xludf.DUMMYFUNCTION("IF
(
C3343=""фізична особа""
,
VLOOKUP(D3343,IMPORTRANGE(""https://docs.google.com/spreadsheets/d/14Bd19lYaqBhU8_DElYkX7l4wRkHqqCUFNJY4AfY3kHU/edit?usp=sharing  #gid=0"",""фіз особи new!relations_name""),6,FALSE)
,
(IF
(
C3343=""юридична особа""
,
VLOOKUP"&amp;"(D3343,IMPORTRANGE(""https://docs.google.com/spreadsheets/d/14Bd19lYaqBhU8_DElYkX7l4wRkHqqCUFNJY4AfY3kHU/edit?usp=sharing  #gid=0"",""фіз особи new!relations_name_uo""),7,FALSE)
,
)
))"),"ТИМЧЕНКО Олена Петрівна")</f>
        <v>ТИМЧЕНКО Олена Петрівна</v>
      </c>
      <c r="G3342" s="7" t="s">
        <v>10</v>
      </c>
      <c r="H3342" s="7">
        <v>985</v>
      </c>
      <c r="I3342" s="8" t="str">
        <f ca="1">IFERROR(__xludf.DUMMYFUNCTION("IF
(
G3343=""фізична особа""
,
VLOOKUP(H3343,IMPORTRANGE(""https://docs.google.com/spreadsheets/d/14Bd19lYaqBhU8_DElYkX7l4wRkHqqCUFNJY4AfY3kHU/edit?usp=sharing  #gid=0"",""фіз особи new!relations_name""),6,FALSE)
,
(IF
(
G3343=""юридична особа""
,
VLOOKUP"&amp;"(H3343,IMPORTRANGE(""https://docs.google.com/spreadsheets/d/14Bd19lYaqBhU8_DElYkX7l4wRkHqqCUFNJY4AfY3kHU/edit?usp=sharing  #gid=0"",""фіз особи new!relations_name_uo""),7,FALSE)
,
)
))"),"ФРАНК Ксенія Геннадіївна")</f>
        <v>ФРАНК Ксенія Геннадіївна</v>
      </c>
      <c r="J3342" s="7" t="s">
        <v>13</v>
      </c>
    </row>
    <row r="3343" spans="1:10" ht="13.2">
      <c r="A3343" s="7">
        <v>3342</v>
      </c>
      <c r="B3343" s="7">
        <v>1</v>
      </c>
      <c r="C3343" s="7" t="s">
        <v>10</v>
      </c>
      <c r="D3343" s="7">
        <v>973</v>
      </c>
      <c r="E3343" s="7" t="s">
        <v>27</v>
      </c>
      <c r="F3343" s="8" t="str">
        <f ca="1">IFERROR(__xludf.DUMMYFUNCTION("IF
(
C3344=""фізична особа""
,
VLOOKUP(D3344,IMPORTRANGE(""https://docs.google.com/spreadsheets/d/14Bd19lYaqBhU8_DElYkX7l4wRkHqqCUFNJY4AfY3kHU/edit?usp=sharing  #gid=0"",""фіз особи new!relations_name""),6,FALSE)
,
(IF
(
C3344=""юридична особа""
,
VLOOKUP"&amp;"(D3344,IMPORTRANGE(""https://docs.google.com/spreadsheets/d/14Bd19lYaqBhU8_DElYkX7l4wRkHqqCUFNJY4AfY3kHU/edit?usp=sharing  #gid=0"",""фіз особи new!relations_name_uo""),7,FALSE)
,
)
))"),"ТИМЧЕНКО Олена Петрівна")</f>
        <v>ТИМЧЕНКО Олена Петрівна</v>
      </c>
      <c r="G3343" s="7" t="s">
        <v>10</v>
      </c>
      <c r="H3343" s="7">
        <v>984</v>
      </c>
      <c r="I3343" s="8" t="str">
        <f ca="1">IFERROR(__xludf.DUMMYFUNCTION("IF
(
G3344=""фізична особа""
,
VLOOKUP(H3344,IMPORTRANGE(""https://docs.google.com/spreadsheets/d/14Bd19lYaqBhU8_DElYkX7l4wRkHqqCUFNJY4AfY3kHU/edit?usp=sharing  #gid=0"",""фіз особи new!relations_name""),6,FALSE)
,
(IF
(
G3344=""юридична особа""
,
VLOOKUP"&amp;"(H3344,IMPORTRANGE(""https://docs.google.com/spreadsheets/d/14Bd19lYaqBhU8_DElYkX7l4wRkHqqCUFNJY4AfY3kHU/edit?usp=sharing  #gid=0"",""фіз особи new!relations_name_uo""),7,FALSE)
,
)
))"),"ФРАНК Гліб Сергійович")</f>
        <v>ФРАНК Гліб Сергійович</v>
      </c>
      <c r="J3343" s="7" t="s">
        <v>26</v>
      </c>
    </row>
    <row r="3344" spans="1:10" ht="13.2">
      <c r="A3344" s="7">
        <v>3343</v>
      </c>
      <c r="B3344" s="7">
        <v>1</v>
      </c>
      <c r="C3344" s="7" t="s">
        <v>10</v>
      </c>
      <c r="D3344" s="7">
        <v>979</v>
      </c>
      <c r="E3344" s="7" t="s">
        <v>11</v>
      </c>
      <c r="F3344" s="8" t="str">
        <f ca="1">IFERROR(__xludf.DUMMYFUNCTION("IF
(
C3345=""фізична особа""
,
VLOOKUP(D3345,IMPORTRANGE(""https://docs.google.com/spreadsheets/d/14Bd19lYaqBhU8_DElYkX7l4wRkHqqCUFNJY4AfY3kHU/edit?usp=sharing  #gid=0"",""фіз особи new!relations_name""),6,FALSE)
,
(IF
(
C3345=""юридична особа""
,
VLOOKUP"&amp;"(D3345,IMPORTRANGE(""https://docs.google.com/spreadsheets/d/14Bd19lYaqBhU8_DElYkX7l4wRkHqqCUFNJY4AfY3kHU/edit?usp=sharing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4" s="7" t="s">
        <v>10</v>
      </c>
      <c r="H3344" s="7">
        <v>990</v>
      </c>
      <c r="I3344" s="8" t="str">
        <f ca="1">IFERROR(__xludf.DUMMYFUNCTION("IF
(
G3345=""фізична особа""
,
VLOOKUP(H3345,IMPORTRANGE(""https://docs.google.com/spreadsheets/d/14Bd19lYaqBhU8_DElYkX7l4wRkHqqCUFNJY4AfY3kHU/edit?usp=sharing  #gid=0"",""фіз особи new!relations_name""),6,FALSE)
,
(IF
(
G3345=""юридична особа""
,
VLOOKUP"&amp;"(H3345,IMPORTRANGE(""https://docs.google.com/spreadsheets/d/14Bd19lYaqBhU8_DElYkX7l4wRkHqqCUFNJY4AfY3kHU/edit?usp=sharing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J3344" s="7" t="s">
        <v>11</v>
      </c>
    </row>
    <row r="3345" spans="1:10" ht="13.2">
      <c r="A3345" s="7">
        <v>3344</v>
      </c>
      <c r="B3345" s="7">
        <v>1</v>
      </c>
      <c r="C3345" s="7" t="s">
        <v>10</v>
      </c>
      <c r="D3345" s="7">
        <v>979</v>
      </c>
      <c r="E3345" s="7" t="s">
        <v>11</v>
      </c>
      <c r="F3345" s="8" t="str">
        <f ca="1">IFERROR(__xludf.DUMMYFUNCTION("IF
(
C3346=""фізична особа""
,
VLOOKUP(D3346,IMPORTRANGE(""https://docs.google.com/spreadsheets/d/14Bd19lYaqBhU8_DElYkX7l4wRkHqqCUFNJY4AfY3kHU/edit?usp=sharing  #gid=0"",""фіз особи new!relations_name""),6,FALSE)
,
(IF
(
C3346=""юридична особа""
,
VLOOKUP"&amp;"(D3346,IMPORTRANGE(""https://docs.google.com/spreadsheets/d/14Bd19lYaqBhU8_DElYkX7l4wRkHqqCUFNJY4AfY3kHU/edit?usp=sharing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5" s="7" t="s">
        <v>10</v>
      </c>
      <c r="H3345" s="7">
        <v>993</v>
      </c>
      <c r="I3345" s="8" t="str">
        <f ca="1">IFERROR(__xludf.DUMMYFUNCTION("IF
(
G3346=""фізична особа""
,
VLOOKUP(H3346,IMPORTRANGE(""https://docs.google.com/spreadsheets/d/14Bd19lYaqBhU8_DElYkX7l4wRkHqqCUFNJY4AfY3kHU/edit?usp=sharing  #gid=0"",""фіз особи new!relations_name""),6,FALSE)
,
(IF
(
G3346=""юридична особа""
,
VLOOKUP"&amp;"(H3346,IMPORTRANGE(""https://docs.google.com/spreadsheets/d/14Bd19lYaqBhU8_DElYkX7l4wRkHqqCUFNJY4AfY3kHU/edit?usp=sharing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345" s="7" t="s">
        <v>11</v>
      </c>
    </row>
    <row r="3346" spans="1:10" ht="13.2">
      <c r="A3346" s="7">
        <v>3345</v>
      </c>
      <c r="B3346" s="7">
        <v>1</v>
      </c>
      <c r="C3346" s="7" t="s">
        <v>10</v>
      </c>
      <c r="D3346" s="7">
        <v>979</v>
      </c>
      <c r="E3346" s="7" t="s">
        <v>11</v>
      </c>
      <c r="F3346" s="8" t="str">
        <f ca="1">IFERROR(__xludf.DUMMYFUNCTION("IF
(
C3347=""фізична особа""
,
VLOOKUP(D3347,IMPORTRANGE(""https://docs.google.com/spreadsheets/d/14Bd19lYaqBhU8_DElYkX7l4wRkHqqCUFNJY4AfY3kHU/edit?usp=sharing  #gid=0"",""фіз особи new!relations_name""),6,FALSE)
,
(IF
(
C3347=""юридична особа""
,
VLOOKUP"&amp;"(D3347,IMPORTRANGE(""https://docs.google.com/spreadsheets/d/14Bd19lYaqBhU8_DElYkX7l4wRkHqqCUFNJY4AfY3kHU/edit?usp=sharing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6" s="7" t="s">
        <v>10</v>
      </c>
      <c r="H3346" s="7">
        <v>980</v>
      </c>
      <c r="I3346" s="8" t="str">
        <f ca="1">IFERROR(__xludf.DUMMYFUNCTION("IF
(
G3347=""фізична особа""
,
VLOOKUP(H3347,IMPORTRANGE(""https://docs.google.com/spreadsheets/d/14Bd19lYaqBhU8_DElYkX7l4wRkHqqCUFNJY4AfY3kHU/edit?usp=sharing  #gid=0"",""фіз особи new!relations_name""),6,FALSE)
,
(IF
(
G3347=""юридична особа""
,
VLOOKUP"&amp;"(H3347,IMPORTRANGE(""https://docs.google.com/spreadsheets/d/14Bd19lYaqBhU8_DElYkX7l4wRkHqqCUFNJY4AfY3kHU/edit?usp=sharing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J3346" s="7" t="s">
        <v>11</v>
      </c>
    </row>
    <row r="3347" spans="1:10" ht="13.2">
      <c r="A3347" s="7">
        <v>3346</v>
      </c>
      <c r="B3347" s="7">
        <v>1</v>
      </c>
      <c r="C3347" s="7" t="s">
        <v>10</v>
      </c>
      <c r="D3347" s="7">
        <v>979</v>
      </c>
      <c r="E3347" s="7" t="s">
        <v>11</v>
      </c>
      <c r="F3347" s="8" t="str">
        <f ca="1">IFERROR(__xludf.DUMMYFUNCTION("IF
(
C3348=""фізична особа""
,
VLOOKUP(D3348,IMPORTRANGE(""https://docs.google.com/spreadsheets/d/14Bd19lYaqBhU8_DElYkX7l4wRkHqqCUFNJY4AfY3kHU/edit?usp=sharing  #gid=0"",""фіз особи new!relations_name""),6,FALSE)
,
(IF
(
C3348=""юридична особа""
,
VLOOKUP"&amp;"(D3348,IMPORTRANGE(""https://docs.google.com/spreadsheets/d/14Bd19lYaqBhU8_DElYkX7l4wRkHqqCUFNJY4AfY3kHU/edit?usp=sharing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7" s="7" t="s">
        <v>10</v>
      </c>
      <c r="H3347" s="7">
        <v>976</v>
      </c>
      <c r="I3347" s="8" t="str">
        <f ca="1">IFERROR(__xludf.DUMMYFUNCTION("IF
(
G3348=""фізична особа""
,
VLOOKUP(H3348,IMPORTRANGE(""https://docs.google.com/spreadsheets/d/14Bd19lYaqBhU8_DElYkX7l4wRkHqqCUFNJY4AfY3kHU/edit?usp=sharing  #gid=0"",""фіз особи new!relations_name""),6,FALSE)
,
(IF
(
G3348=""юридична особа""
,
VLOOKUP"&amp;"(H3348,IMPORTRANGE(""https://docs.google.com/spreadsheets/d/14Bd19lYaqBhU8_DElYkX7l4wRkHqqCUFNJY4AfY3kHU/edit?usp=sharing  #gid=0"",""фіз особи new!relations_name_uo""),7,FALSE)
,
)
))"),"АВТУХОВ Михайло Олегович")</f>
        <v>АВТУХОВ Михайло Олегович</v>
      </c>
      <c r="J3347" s="7" t="s">
        <v>11</v>
      </c>
    </row>
    <row r="3348" spans="1:10" ht="13.2">
      <c r="A3348" s="7">
        <v>3347</v>
      </c>
      <c r="B3348" s="7">
        <v>1</v>
      </c>
      <c r="C3348" s="7" t="s">
        <v>10</v>
      </c>
      <c r="D3348" s="7">
        <v>979</v>
      </c>
      <c r="E3348" s="7" t="s">
        <v>28</v>
      </c>
      <c r="F3348" s="8" t="str">
        <f ca="1">IFERROR(__xludf.DUMMYFUNCTION("IF
(
C3349=""фізична особа""
,
VLOOKUP(D3349,IMPORTRANGE(""https://docs.google.com/spreadsheets/d/14Bd19lYaqBhU8_DElYkX7l4wRkHqqCUFNJY4AfY3kHU/edit?usp=sharing  #gid=0"",""фіз особи new!relations_name""),6,FALSE)
,
(IF
(
C3349=""юридична особа""
,
VLOOKUP"&amp;"(D3349,IMPORTRANGE(""https://docs.google.com/spreadsheets/d/14Bd19lYaqBhU8_DElYkX7l4wRkHqqCUFNJY4AfY3kHU/edit?usp=sharing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8" s="7" t="s">
        <v>10</v>
      </c>
      <c r="H3348" s="7">
        <v>11961</v>
      </c>
      <c r="I3348" s="8" t="str">
        <f ca="1">IFERROR(__xludf.DUMMYFUNCTION("IF
(
G3349=""фізична особа""
,
VLOOKUP(H3349,IMPORTRANGE(""https://docs.google.com/spreadsheets/d/14Bd19lYaqBhU8_DElYkX7l4wRkHqqCUFNJY4AfY3kHU/edit?usp=sharing  #gid=0"",""фіз особи new!relations_name""),6,FALSE)
,
(IF
(
G3349=""юридична особа""
,
VLOOKUP"&amp;"(H3349,IMPORTRANGE(""https://docs.google.com/spreadsheets/d/14Bd19lYaqBhU8_DElYkX7l4wRkHqqCUFNJY4AfY3kHU/edit?usp=sharing  #gid=0"",""фіз особи new!relations_name_uo""),7,FALSE)
,
)
))"),"ГУСЄВ Дмитро Володимирович")</f>
        <v>ГУСЄВ Дмитро Володимирович</v>
      </c>
      <c r="J3348" s="7" t="s">
        <v>29</v>
      </c>
    </row>
    <row r="3349" spans="1:10" ht="13.2">
      <c r="A3349" s="7">
        <v>3348</v>
      </c>
      <c r="B3349" s="7">
        <v>1</v>
      </c>
      <c r="C3349" s="7" t="s">
        <v>10</v>
      </c>
      <c r="D3349" s="7">
        <v>979</v>
      </c>
      <c r="E3349" s="7" t="s">
        <v>28</v>
      </c>
      <c r="F3349" s="8" t="str">
        <f ca="1">IFERROR(__xludf.DUMMYFUNCTION("IF
(
C3350=""фізична особа""
,
VLOOKUP(D3350,IMPORTRANGE(""https://docs.google.com/spreadsheets/d/14Bd19lYaqBhU8_DElYkX7l4wRkHqqCUFNJY4AfY3kHU/edit?usp=sharing  #gid=0"",""фіз особи new!relations_name""),6,FALSE)
,
(IF
(
C3350=""юридична особа""
,
VLOOKUP"&amp;"(D3350,IMPORTRANGE(""https://docs.google.com/spreadsheets/d/14Bd19lYaqBhU8_DElYkX7l4wRkHqqCUFNJY4AfY3kHU/edit?usp=sharing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49" s="7" t="s">
        <v>10</v>
      </c>
      <c r="H3349" s="7">
        <v>991</v>
      </c>
      <c r="I3349" s="8" t="str">
        <f ca="1">IFERROR(__xludf.DUMMYFUNCTION("IF
(
G3350=""фізична особа""
,
VLOOKUP(H3350,IMPORTRANGE(""https://docs.google.com/spreadsheets/d/14Bd19lYaqBhU8_DElYkX7l4wRkHqqCUFNJY4AfY3kHU/edit?usp=sharing  #gid=0"",""фіз особи new!relations_name""),6,FALSE)
,
(IF
(
G3350=""юридична особа""
,
VLOOKUP"&amp;"(H3350,IMPORTRANGE(""https://docs.google.com/spreadsheets/d/14Bd19lYaqBhU8_DElYkX7l4wRkHqqCUFNJY4AfY3kHU/edit?usp=sharing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349" s="7" t="s">
        <v>29</v>
      </c>
    </row>
    <row r="3350" spans="1:10" ht="13.2">
      <c r="A3350" s="7">
        <v>3349</v>
      </c>
      <c r="B3350" s="7">
        <v>1</v>
      </c>
      <c r="C3350" s="7" t="s">
        <v>10</v>
      </c>
      <c r="D3350" s="7">
        <v>979</v>
      </c>
      <c r="E3350" s="7" t="s">
        <v>11</v>
      </c>
      <c r="F3350" s="8" t="str">
        <f ca="1">IFERROR(__xludf.DUMMYFUNCTION("IF
(
C3351=""фізична особа""
,
VLOOKUP(D3351,IMPORTRANGE(""https://docs.google.com/spreadsheets/d/14Bd19lYaqBhU8_DElYkX7l4wRkHqqCUFNJY4AfY3kHU/edit?usp=sharing  #gid=0"",""фіз особи new!relations_name""),6,FALSE)
,
(IF
(
C3351=""юридична особа""
,
VLOOKUP"&amp;"(D3351,IMPORTRANGE(""https://docs.google.com/spreadsheets/d/14Bd19lYaqBhU8_DElYkX7l4wRkHqqCUFNJY4AfY3kHU/edit?usp=sharing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0" s="7" t="s">
        <v>10</v>
      </c>
      <c r="H3350" s="7">
        <v>978</v>
      </c>
      <c r="I3350" s="8" t="str">
        <f ca="1">IFERROR(__xludf.DUMMYFUNCTION("IF
(
G3351=""фізична особа""
,
VLOOKUP(H3351,IMPORTRANGE(""https://docs.google.com/spreadsheets/d/14Bd19lYaqBhU8_DElYkX7l4wRkHqqCUFNJY4AfY3kHU/edit?usp=sharing  #gid=0"",""фіз особи new!relations_name""),6,FALSE)
,
(IF
(
G3351=""юридична особа""
,
VLOOKUP"&amp;"(H3351,IMPORTRANGE(""https://docs.google.com/spreadsheets/d/14Bd19lYaqBhU8_DElYkX7l4wRkHqqCUFNJY4AfY3kHU/edit?usp=sharing  #gid=0"",""фіз особи new!relations_name_uo""),7,FALSE)
,
)
))"),"БОНДАРОВИЧ Сергій Миколайович")</f>
        <v>БОНДАРОВИЧ Сергій Миколайович</v>
      </c>
      <c r="J3350" s="7" t="s">
        <v>11</v>
      </c>
    </row>
    <row r="3351" spans="1:10" ht="13.2">
      <c r="A3351" s="7">
        <v>3350</v>
      </c>
      <c r="B3351" s="7">
        <v>1</v>
      </c>
      <c r="C3351" s="7" t="s">
        <v>10</v>
      </c>
      <c r="D3351" s="7">
        <v>979</v>
      </c>
      <c r="E3351" s="7" t="s">
        <v>11</v>
      </c>
      <c r="F3351" s="8" t="str">
        <f ca="1">IFERROR(__xludf.DUMMYFUNCTION("IF
(
C3352=""фізична особа""
,
VLOOKUP(D3352,IMPORTRANGE(""https://docs.google.com/spreadsheets/d/14Bd19lYaqBhU8_DElYkX7l4wRkHqqCUFNJY4AfY3kHU/edit?usp=sharing  #gid=0"",""фіз особи new!relations_name""),6,FALSE)
,
(IF
(
C3352=""юридична особа""
,
VLOOKUP"&amp;"(D3352,IMPORTRANGE(""https://docs.google.com/spreadsheets/d/14Bd19lYaqBhU8_DElYkX7l4wRkHqqCUFNJY4AfY3kHU/edit?usp=sharing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1" s="7" t="s">
        <v>10</v>
      </c>
      <c r="H3351" s="7">
        <v>988</v>
      </c>
      <c r="I3351" s="8" t="str">
        <f ca="1">IFERROR(__xludf.DUMMYFUNCTION("IF
(
G3352=""фізична особа""
,
VLOOKUP(H3352,IMPORTRANGE(""https://docs.google.com/spreadsheets/d/14Bd19lYaqBhU8_DElYkX7l4wRkHqqCUFNJY4AfY3kHU/edit?usp=sharing  #gid=0"",""фіз особи new!relations_name""),6,FALSE)
,
(IF
(
G3352=""юридична особа""
,
VLOOKUP"&amp;"(H3352,IMPORTRANGE(""https://docs.google.com/spreadsheets/d/14Bd19lYaqBhU8_DElYkX7l4wRkHqqCUFNJY4AfY3kHU/edit?usp=sharing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351" s="7" t="s">
        <v>11</v>
      </c>
    </row>
    <row r="3352" spans="1:10" ht="13.2">
      <c r="A3352" s="7">
        <v>3351</v>
      </c>
      <c r="B3352" s="7">
        <v>1</v>
      </c>
      <c r="C3352" s="7" t="s">
        <v>10</v>
      </c>
      <c r="D3352" s="7">
        <v>979</v>
      </c>
      <c r="E3352" s="7" t="s">
        <v>11</v>
      </c>
      <c r="F3352" s="8" t="str">
        <f ca="1">IFERROR(__xludf.DUMMYFUNCTION("IF
(
C3353=""фізична особа""
,
VLOOKUP(D3353,IMPORTRANGE(""https://docs.google.com/spreadsheets/d/14Bd19lYaqBhU8_DElYkX7l4wRkHqqCUFNJY4AfY3kHU/edit?usp=sharing  #gid=0"",""фіз особи new!relations_name""),6,FALSE)
,
(IF
(
C3353=""юридична особа""
,
VLOOKUP"&amp;"(D3353,IMPORTRANGE(""https://docs.google.com/spreadsheets/d/14Bd19lYaqBhU8_DElYkX7l4wRkHqqCUFNJY4AfY3kHU/edit?usp=sharing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2" s="7" t="s">
        <v>10</v>
      </c>
      <c r="H3352" s="7">
        <v>981</v>
      </c>
      <c r="I3352" s="8" t="str">
        <f ca="1">IFERROR(__xludf.DUMMYFUNCTION("IF
(
G3353=""фізична особа""
,
VLOOKUP(H3353,IMPORTRANGE(""https://docs.google.com/spreadsheets/d/14Bd19lYaqBhU8_DElYkX7l4wRkHqqCUFNJY4AfY3kHU/edit?usp=sharing  #gid=0"",""фіз особи new!relations_name""),6,FALSE)
,
(IF
(
G3353=""юридична особа""
,
VLOOKUP"&amp;"(H3353,IMPORTRANGE(""https://docs.google.com/spreadsheets/d/14Bd19lYaqBhU8_DElYkX7l4wRkHqqCUFNJY4AfY3kHU/edit?usp=sharing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J3352" s="7" t="s">
        <v>11</v>
      </c>
    </row>
    <row r="3353" spans="1:10" ht="13.2">
      <c r="A3353" s="7">
        <v>3352</v>
      </c>
      <c r="B3353" s="7">
        <v>1</v>
      </c>
      <c r="C3353" s="7" t="s">
        <v>10</v>
      </c>
      <c r="D3353" s="7">
        <v>979</v>
      </c>
      <c r="E3353" s="7" t="s">
        <v>11</v>
      </c>
      <c r="F3353" s="8" t="str">
        <f ca="1">IFERROR(__xludf.DUMMYFUNCTION("IF
(
C3354=""фізична особа""
,
VLOOKUP(D3354,IMPORTRANGE(""https://docs.google.com/spreadsheets/d/14Bd19lYaqBhU8_DElYkX7l4wRkHqqCUFNJY4AfY3kHU/edit?usp=sharing  #gid=0"",""фіз особи new!relations_name""),6,FALSE)
,
(IF
(
C3354=""юридична особа""
,
VLOOKUP"&amp;"(D3354,IMPORTRANGE(""https://docs.google.com/spreadsheets/d/14Bd19lYaqBhU8_DElYkX7l4wRkHqqCUFNJY4AfY3kHU/edit?usp=sharing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3" s="7" t="s">
        <v>10</v>
      </c>
      <c r="H3353" s="7">
        <v>982</v>
      </c>
      <c r="I3353" s="8" t="str">
        <f ca="1">IFERROR(__xludf.DUMMYFUNCTION("IF
(
G3354=""фізична особа""
,
VLOOKUP(H3354,IMPORTRANGE(""https://docs.google.com/spreadsheets/d/14Bd19lYaqBhU8_DElYkX7l4wRkHqqCUFNJY4AfY3kHU/edit?usp=sharing  #gid=0"",""фіз особи new!relations_name""),6,FALSE)
,
(IF
(
G3354=""юридична особа""
,
VLOOKUP"&amp;"(H3354,IMPORTRANGE(""https://docs.google.com/spreadsheets/d/14Bd19lYaqBhU8_DElYkX7l4wRkHqqCUFNJY4AfY3kHU/edit?usp=sharing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J3353" s="7" t="s">
        <v>11</v>
      </c>
    </row>
    <row r="3354" spans="1:10" ht="13.2">
      <c r="A3354" s="7">
        <v>3353</v>
      </c>
      <c r="B3354" s="7">
        <v>1</v>
      </c>
      <c r="C3354" s="7" t="s">
        <v>10</v>
      </c>
      <c r="D3354" s="7">
        <v>979</v>
      </c>
      <c r="E3354" s="7" t="s">
        <v>11</v>
      </c>
      <c r="F3354" s="8" t="str">
        <f ca="1">IFERROR(__xludf.DUMMYFUNCTION("IF
(
C3355=""фізична особа""
,
VLOOKUP(D3355,IMPORTRANGE(""https://docs.google.com/spreadsheets/d/14Bd19lYaqBhU8_DElYkX7l4wRkHqqCUFNJY4AfY3kHU/edit?usp=sharing  #gid=0"",""фіз особи new!relations_name""),6,FALSE)
,
(IF
(
C3355=""юридична особа""
,
VLOOKUP"&amp;"(D3355,IMPORTRANGE(""https://docs.google.com/spreadsheets/d/14Bd19lYaqBhU8_DElYkX7l4wRkHqqCUFNJY4AfY3kHU/edit?usp=sharing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4" s="7" t="s">
        <v>10</v>
      </c>
      <c r="H3354" s="7">
        <v>989</v>
      </c>
      <c r="I3354" s="8" t="str">
        <f ca="1">IFERROR(__xludf.DUMMYFUNCTION("IF
(
G3355=""фізична особа""
,
VLOOKUP(H3355,IMPORTRANGE(""https://docs.google.com/spreadsheets/d/14Bd19lYaqBhU8_DElYkX7l4wRkHqqCUFNJY4AfY3kHU/edit?usp=sharing  #gid=0"",""фіз особи new!relations_name""),6,FALSE)
,
(IF
(
G3355=""юридична особа""
,
VLOOKUP"&amp;"(H3355,IMPORTRANGE(""https://docs.google.com/spreadsheets/d/14Bd19lYaqBhU8_DElYkX7l4wRkHqqCUFNJY4AfY3kHU/edit?usp=sharing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354" s="7" t="s">
        <v>11</v>
      </c>
    </row>
    <row r="3355" spans="1:10" ht="13.2">
      <c r="A3355" s="7">
        <v>3354</v>
      </c>
      <c r="B3355" s="7">
        <v>1</v>
      </c>
      <c r="C3355" s="7" t="s">
        <v>10</v>
      </c>
      <c r="D3355" s="7">
        <v>979</v>
      </c>
      <c r="E3355" s="7" t="s">
        <v>11</v>
      </c>
      <c r="F3355" s="8" t="str">
        <f ca="1">IFERROR(__xludf.DUMMYFUNCTION("IF
(
C3356=""фізична особа""
,
VLOOKUP(D3356,IMPORTRANGE(""https://docs.google.com/spreadsheets/d/14Bd19lYaqBhU8_DElYkX7l4wRkHqqCUFNJY4AfY3kHU/edit?usp=sharing  #gid=0"",""фіз особи new!relations_name""),6,FALSE)
,
(IF
(
C3356=""юридична особа""
,
VLOOKUP"&amp;"(D3356,IMPORTRANGE(""https://docs.google.com/spreadsheets/d/14Bd19lYaqBhU8_DElYkX7l4wRkHqqCUFNJY4AfY3kHU/edit?usp=sharing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5" s="7" t="s">
        <v>10</v>
      </c>
      <c r="H3355" s="7">
        <v>977</v>
      </c>
      <c r="I3355" s="8" t="str">
        <f ca="1">IFERROR(__xludf.DUMMYFUNCTION("IF
(
G3356=""фізична особа""
,
VLOOKUP(H3356,IMPORTRANGE(""https://docs.google.com/spreadsheets/d/14Bd19lYaqBhU8_DElYkX7l4wRkHqqCUFNJY4AfY3kHU/edit?usp=sharing  #gid=0"",""фіз особи new!relations_name""),6,FALSE)
,
(IF
(
G3356=""юридична особа""
,
VLOOKUP"&amp;"(H3356,IMPORTRANGE(""https://docs.google.com/spreadsheets/d/14Bd19lYaqBhU8_DElYkX7l4wRkHqqCUFNJY4AfY3kHU/edit?usp=sharing  #gid=0"",""фіз особи new!relations_name_uo""),7,FALSE)
,
)
))"),"БАРИШНІКОВ Дмитро Володимирович")</f>
        <v>БАРИШНІКОВ Дмитро Володимирович</v>
      </c>
      <c r="J3355" s="7" t="s">
        <v>11</v>
      </c>
    </row>
    <row r="3356" spans="1:10" ht="13.2">
      <c r="A3356" s="7">
        <v>3355</v>
      </c>
      <c r="B3356" s="7">
        <v>1</v>
      </c>
      <c r="C3356" s="7" t="s">
        <v>10</v>
      </c>
      <c r="D3356" s="7">
        <v>979</v>
      </c>
      <c r="E3356" s="7" t="s">
        <v>11</v>
      </c>
      <c r="F3356" s="8" t="str">
        <f ca="1">IFERROR(__xludf.DUMMYFUNCTION("IF
(
C3357=""фізична особа""
,
VLOOKUP(D3357,IMPORTRANGE(""https://docs.google.com/spreadsheets/d/14Bd19lYaqBhU8_DElYkX7l4wRkHqqCUFNJY4AfY3kHU/edit?usp=sharing  #gid=0"",""фіз особи new!relations_name""),6,FALSE)
,
(IF
(
C3357=""юридична особа""
,
VLOOKUP"&amp;"(D3357,IMPORTRANGE(""https://docs.google.com/spreadsheets/d/14Bd19lYaqBhU8_DElYkX7l4wRkHqqCUFNJY4AfY3kHU/edit?usp=sharing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6" s="7" t="s">
        <v>10</v>
      </c>
      <c r="H3356" s="7">
        <v>974</v>
      </c>
      <c r="I3356" s="8" t="str">
        <f ca="1">IFERROR(__xludf.DUMMYFUNCTION("IF
(
G3357=""фізична особа""
,
VLOOKUP(H3357,IMPORTRANGE(""https://docs.google.com/spreadsheets/d/14Bd19lYaqBhU8_DElYkX7l4wRkHqqCUFNJY4AfY3kHU/edit?usp=sharing  #gid=0"",""фіз особи new!relations_name""),6,FALSE)
,
(IF
(
G3357=""юридична особа""
,
VLOOKUP"&amp;"(H3357,IMPORTRANGE(""https://docs.google.com/spreadsheets/d/14Bd19lYaqBhU8_DElYkX7l4wRkHqqCUFNJY4AfY3kHU/edit?usp=sharing  #gid=0"",""фіз особи new!relations_name_uo""),7,FALSE)
,
)
))"),"ПАНФЬОРОВ Олексій Валерійович")</f>
        <v>ПАНФЬОРОВ Олексій Валерійович</v>
      </c>
      <c r="J3356" s="7" t="s">
        <v>11</v>
      </c>
    </row>
    <row r="3357" spans="1:10" ht="13.2">
      <c r="A3357" s="7">
        <v>3356</v>
      </c>
      <c r="B3357" s="7">
        <v>1</v>
      </c>
      <c r="C3357" s="7" t="s">
        <v>10</v>
      </c>
      <c r="D3357" s="7">
        <v>979</v>
      </c>
      <c r="E3357" s="7" t="s">
        <v>11</v>
      </c>
      <c r="F3357" s="8" t="str">
        <f ca="1">IFERROR(__xludf.DUMMYFUNCTION("IF
(
C3358=""фізична особа""
,
VLOOKUP(D3358,IMPORTRANGE(""https://docs.google.com/spreadsheets/d/14Bd19lYaqBhU8_DElYkX7l4wRkHqqCUFNJY4AfY3kHU/edit?usp=sharing  #gid=0"",""фіз особи new!relations_name""),6,FALSE)
,
(IF
(
C3358=""юридична особа""
,
VLOOKUP"&amp;"(D3358,IMPORTRANGE(""https://docs.google.com/spreadsheets/d/14Bd19lYaqBhU8_DElYkX7l4wRkHqqCUFNJY4AfY3kHU/edit?usp=sharing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7" s="7" t="s">
        <v>10</v>
      </c>
      <c r="H3357" s="7">
        <v>983</v>
      </c>
      <c r="I3357" s="8" t="str">
        <f ca="1">IFERROR(__xludf.DUMMYFUNCTION("IF
(
G3358=""фізична особа""
,
VLOOKUP(H3358,IMPORTRANGE(""https://docs.google.com/spreadsheets/d/14Bd19lYaqBhU8_DElYkX7l4wRkHqqCUFNJY4AfY3kHU/edit?usp=sharing  #gid=0"",""фіз особи new!relations_name""),6,FALSE)
,
(IF
(
G3358=""юридична особа""
,
VLOOKUP"&amp;"(H3358,IMPORTRANGE(""https://docs.google.com/spreadsheets/d/14Bd19lYaqBhU8_DElYkX7l4wRkHqqCUFNJY4AfY3kHU/edit?usp=sharing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J3357" s="7" t="s">
        <v>11</v>
      </c>
    </row>
    <row r="3358" spans="1:10" ht="13.2">
      <c r="A3358" s="7">
        <v>3357</v>
      </c>
      <c r="B3358" s="7">
        <v>1</v>
      </c>
      <c r="C3358" s="7" t="s">
        <v>10</v>
      </c>
      <c r="D3358" s="7">
        <v>979</v>
      </c>
      <c r="E3358" s="7" t="s">
        <v>11</v>
      </c>
      <c r="F3358" s="8" t="str">
        <f ca="1">IFERROR(__xludf.DUMMYFUNCTION("IF
(
C3359=""фізична особа""
,
VLOOKUP(D3359,IMPORTRANGE(""https://docs.google.com/spreadsheets/d/14Bd19lYaqBhU8_DElYkX7l4wRkHqqCUFNJY4AfY3kHU/edit?usp=sharing  #gid=0"",""фіз особи new!relations_name""),6,FALSE)
,
(IF
(
C3359=""юридична особа""
,
VLOOKUP"&amp;"(D3359,IMPORTRANGE(""https://docs.google.com/spreadsheets/d/14Bd19lYaqBhU8_DElYkX7l4wRkHqqCUFNJY4AfY3kHU/edit?usp=sharing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8" s="7" t="s">
        <v>10</v>
      </c>
      <c r="H3358" s="7">
        <v>987</v>
      </c>
      <c r="I3358" s="8" t="str">
        <f ca="1">IFERROR(__xludf.DUMMYFUNCTION("IF
(
G3359=""фізична особа""
,
VLOOKUP(H3359,IMPORTRANGE(""https://docs.google.com/spreadsheets/d/14Bd19lYaqBhU8_DElYkX7l4wRkHqqCUFNJY4AfY3kHU/edit?usp=sharing  #gid=0"",""фіз особи new!relations_name""),6,FALSE)
,
(IF
(
G3359=""юридична особа""
,
VLOOKUP"&amp;"(H3359,IMPORTRANGE(""https://docs.google.com/spreadsheets/d/14Bd19lYaqBhU8_DElYkX7l4wRkHqqCUFNJY4AfY3kHU/edit?usp=sharing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J3358" s="7" t="s">
        <v>11</v>
      </c>
    </row>
    <row r="3359" spans="1:10" ht="13.2">
      <c r="A3359" s="7">
        <v>3358</v>
      </c>
      <c r="B3359" s="7">
        <v>1</v>
      </c>
      <c r="C3359" s="7" t="s">
        <v>10</v>
      </c>
      <c r="D3359" s="7">
        <v>979</v>
      </c>
      <c r="E3359" s="7" t="s">
        <v>11</v>
      </c>
      <c r="F3359" s="8" t="str">
        <f ca="1">IFERROR(__xludf.DUMMYFUNCTION("IF
(
C3360=""фізична особа""
,
VLOOKUP(D3360,IMPORTRANGE(""https://docs.google.com/spreadsheets/d/14Bd19lYaqBhU8_DElYkX7l4wRkHqqCUFNJY4AfY3kHU/edit?usp=sharing  #gid=0"",""фіз особи new!relations_name""),6,FALSE)
,
(IF
(
C3360=""юридична особа""
,
VLOOKUP"&amp;"(D3360,IMPORTRANGE(""https://docs.google.com/spreadsheets/d/14Bd19lYaqBhU8_DElYkX7l4wRkHqqCUFNJY4AfY3kHU/edit?usp=sharing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G3359" s="7" t="s">
        <v>10</v>
      </c>
      <c r="H3359" s="7">
        <v>992</v>
      </c>
      <c r="I3359" s="8" t="str">
        <f ca="1">IFERROR(__xludf.DUMMYFUNCTION("IF
(
G3360=""фізична особа""
,
VLOOKUP(H3360,IMPORTRANGE(""https://docs.google.com/spreadsheets/d/14Bd19lYaqBhU8_DElYkX7l4wRkHqqCUFNJY4AfY3kHU/edit?usp=sharing  #gid=0"",""фіз особи new!relations_name""),6,FALSE)
,
(IF
(
G3360=""юридична особа""
,
VLOOKUP"&amp;"(H3360,IMPORTRANGE(""https://docs.google.com/spreadsheets/d/14Bd19lYaqBhU8_DElYkX7l4wRkHqqCUFNJY4AfY3kHU/edit?usp=sharing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359" s="7" t="s">
        <v>11</v>
      </c>
    </row>
    <row r="3360" spans="1:10" ht="13.2">
      <c r="A3360" s="7">
        <v>3359</v>
      </c>
      <c r="B3360" s="7">
        <v>1</v>
      </c>
      <c r="C3360" s="7" t="s">
        <v>10</v>
      </c>
      <c r="D3360" s="7">
        <v>980</v>
      </c>
      <c r="E3360" s="7" t="s">
        <v>11</v>
      </c>
      <c r="F3360" s="8" t="str">
        <f ca="1">IFERROR(__xludf.DUMMYFUNCTION("IF
(
C3361=""фізична особа""
,
VLOOKUP(D3361,IMPORTRANGE(""https://docs.google.com/spreadsheets/d/14Bd19lYaqBhU8_DElYkX7l4wRkHqqCUFNJY4AfY3kHU/edit?usp=sharing  #gid=0"",""фіз особи new!relations_name""),6,FALSE)
,
(IF
(
C3361=""юридична особа""
,
VLOOKUP"&amp;"(D3361,IMPORTRANGE(""https://docs.google.com/spreadsheets/d/14Bd19lYaqBhU8_DElYkX7l4wRkHqqCUFNJY4AfY3kHU/edit?usp=sharing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0" s="7" t="s">
        <v>10</v>
      </c>
      <c r="H3360" s="7">
        <v>990</v>
      </c>
      <c r="I3360" s="8" t="str">
        <f ca="1">IFERROR(__xludf.DUMMYFUNCTION("IF
(
G3361=""фізична особа""
,
VLOOKUP(H3361,IMPORTRANGE(""https://docs.google.com/spreadsheets/d/14Bd19lYaqBhU8_DElYkX7l4wRkHqqCUFNJY4AfY3kHU/edit?usp=sharing  #gid=0"",""фіз особи new!relations_name""),6,FALSE)
,
(IF
(
G3361=""юридична особа""
,
VLOOKUP"&amp;"(H3361,IMPORTRANGE(""https://docs.google.com/spreadsheets/d/14Bd19lYaqBhU8_DElYkX7l4wRkHqqCUFNJY4AfY3kHU/edit?usp=sharing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J3360" s="7" t="s">
        <v>11</v>
      </c>
    </row>
    <row r="3361" spans="1:10" ht="13.2">
      <c r="A3361" s="7">
        <v>3360</v>
      </c>
      <c r="B3361" s="7">
        <v>1</v>
      </c>
      <c r="C3361" s="7" t="s">
        <v>10</v>
      </c>
      <c r="D3361" s="7">
        <v>980</v>
      </c>
      <c r="E3361" s="7" t="s">
        <v>11</v>
      </c>
      <c r="F3361" s="8" t="str">
        <f ca="1">IFERROR(__xludf.DUMMYFUNCTION("IF
(
C3362=""фізична особа""
,
VLOOKUP(D3362,IMPORTRANGE(""https://docs.google.com/spreadsheets/d/14Bd19lYaqBhU8_DElYkX7l4wRkHqqCUFNJY4AfY3kHU/edit?usp=sharing  #gid=0"",""фіз особи new!relations_name""),6,FALSE)
,
(IF
(
C3362=""юридична особа""
,
VLOOKUP"&amp;"(D3362,IMPORTRANGE(""https://docs.google.com/spreadsheets/d/14Bd19lYaqBhU8_DElYkX7l4wRkHqqCUFNJY4AfY3kHU/edit?usp=sharing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1" s="7" t="s">
        <v>10</v>
      </c>
      <c r="H3361" s="7">
        <v>993</v>
      </c>
      <c r="I3361" s="8" t="str">
        <f ca="1">IFERROR(__xludf.DUMMYFUNCTION("IF
(
G3362=""фізична особа""
,
VLOOKUP(H3362,IMPORTRANGE(""https://docs.google.com/spreadsheets/d/14Bd19lYaqBhU8_DElYkX7l4wRkHqqCUFNJY4AfY3kHU/edit?usp=sharing  #gid=0"",""фіз особи new!relations_name""),6,FALSE)
,
(IF
(
G3362=""юридична особа""
,
VLOOKUP"&amp;"(H3362,IMPORTRANGE(""https://docs.google.com/spreadsheets/d/14Bd19lYaqBhU8_DElYkX7l4wRkHqqCUFNJY4AfY3kHU/edit?usp=sharing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361" s="7" t="s">
        <v>11</v>
      </c>
    </row>
    <row r="3362" spans="1:10" ht="13.2">
      <c r="A3362" s="7">
        <v>3361</v>
      </c>
      <c r="B3362" s="7">
        <v>1</v>
      </c>
      <c r="C3362" s="7" t="s">
        <v>10</v>
      </c>
      <c r="D3362" s="7">
        <v>980</v>
      </c>
      <c r="E3362" s="7" t="s">
        <v>11</v>
      </c>
      <c r="F3362" s="8" t="str">
        <f ca="1">IFERROR(__xludf.DUMMYFUNCTION("IF
(
C3363=""фізична особа""
,
VLOOKUP(D3363,IMPORTRANGE(""https://docs.google.com/spreadsheets/d/14Bd19lYaqBhU8_DElYkX7l4wRkHqqCUFNJY4AfY3kHU/edit?usp=sharing  #gid=0"",""фіз особи new!relations_name""),6,FALSE)
,
(IF
(
C3363=""юридична особа""
,
VLOOKUP"&amp;"(D3363,IMPORTRANGE(""https://docs.google.com/spreadsheets/d/14Bd19lYaqBhU8_DElYkX7l4wRkHqqCUFNJY4AfY3kHU/edit?usp=sharing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2" s="7" t="s">
        <v>10</v>
      </c>
      <c r="H3362" s="7">
        <v>979</v>
      </c>
      <c r="I3362" s="8" t="str">
        <f ca="1">IFERROR(__xludf.DUMMYFUNCTION("IF
(
G3363=""фізична особа""
,
VLOOKUP(H3363,IMPORTRANGE(""https://docs.google.com/spreadsheets/d/14Bd19lYaqBhU8_DElYkX7l4wRkHqqCUFNJY4AfY3kHU/edit?usp=sharing  #gid=0"",""фіз особи new!relations_name""),6,FALSE)
,
(IF
(
G3363=""юридична особа""
,
VLOOKUP"&amp;"(H3363,IMPORTRANGE(""https://docs.google.com/spreadsheets/d/14Bd19lYaqBhU8_DElYkX7l4wRkHqqCUFNJY4AfY3kHU/edit?usp=sharing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J3362" s="7" t="s">
        <v>11</v>
      </c>
    </row>
    <row r="3363" spans="1:10" ht="13.2">
      <c r="A3363" s="7">
        <v>3362</v>
      </c>
      <c r="B3363" s="7">
        <v>1</v>
      </c>
      <c r="C3363" s="7" t="s">
        <v>10</v>
      </c>
      <c r="D3363" s="7">
        <v>980</v>
      </c>
      <c r="E3363" s="7" t="s">
        <v>11</v>
      </c>
      <c r="F3363" s="8" t="str">
        <f ca="1">IFERROR(__xludf.DUMMYFUNCTION("IF
(
C3364=""фізична особа""
,
VLOOKUP(D3364,IMPORTRANGE(""https://docs.google.com/spreadsheets/d/14Bd19lYaqBhU8_DElYkX7l4wRkHqqCUFNJY4AfY3kHU/edit?usp=sharing  #gid=0"",""фіз особи new!relations_name""),6,FALSE)
,
(IF
(
C3364=""юридична особа""
,
VLOOKUP"&amp;"(D3364,IMPORTRANGE(""https://docs.google.com/spreadsheets/d/14Bd19lYaqBhU8_DElYkX7l4wRkHqqCUFNJY4AfY3kHU/edit?usp=sharing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3" s="7" t="s">
        <v>10</v>
      </c>
      <c r="H3363" s="7">
        <v>976</v>
      </c>
      <c r="I3363" s="8" t="str">
        <f ca="1">IFERROR(__xludf.DUMMYFUNCTION("IF
(
G3364=""фізична особа""
,
VLOOKUP(H3364,IMPORTRANGE(""https://docs.google.com/spreadsheets/d/14Bd19lYaqBhU8_DElYkX7l4wRkHqqCUFNJY4AfY3kHU/edit?usp=sharing  #gid=0"",""фіз особи new!relations_name""),6,FALSE)
,
(IF
(
G3364=""юридична особа""
,
VLOOKUP"&amp;"(H3364,IMPORTRANGE(""https://docs.google.com/spreadsheets/d/14Bd19lYaqBhU8_DElYkX7l4wRkHqqCUFNJY4AfY3kHU/edit?usp=sharing  #gid=0"",""фіз особи new!relations_name_uo""),7,FALSE)
,
)
))"),"АВТУХОВ Михайло Олегович")</f>
        <v>АВТУХОВ Михайло Олегович</v>
      </c>
      <c r="J3363" s="7" t="s">
        <v>11</v>
      </c>
    </row>
    <row r="3364" spans="1:10" ht="13.2">
      <c r="A3364" s="7">
        <v>3363</v>
      </c>
      <c r="B3364" s="7">
        <v>1</v>
      </c>
      <c r="C3364" s="7" t="s">
        <v>10</v>
      </c>
      <c r="D3364" s="7">
        <v>980</v>
      </c>
      <c r="E3364" s="7" t="s">
        <v>28</v>
      </c>
      <c r="F3364" s="8" t="str">
        <f ca="1">IFERROR(__xludf.DUMMYFUNCTION("IF
(
C3365=""фізична особа""
,
VLOOKUP(D3365,IMPORTRANGE(""https://docs.google.com/spreadsheets/d/14Bd19lYaqBhU8_DElYkX7l4wRkHqqCUFNJY4AfY3kHU/edit?usp=sharing  #gid=0"",""фіз особи new!relations_name""),6,FALSE)
,
(IF
(
C3365=""юридична особа""
,
VLOOKUP"&amp;"(D3365,IMPORTRANGE(""https://docs.google.com/spreadsheets/d/14Bd19lYaqBhU8_DElYkX7l4wRkHqqCUFNJY4AfY3kHU/edit?usp=sharing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4" s="7" t="s">
        <v>10</v>
      </c>
      <c r="H3364" s="7">
        <v>11961</v>
      </c>
      <c r="I3364" s="8" t="str">
        <f ca="1">IFERROR(__xludf.DUMMYFUNCTION("IF
(
G3365=""фізична особа""
,
VLOOKUP(H3365,IMPORTRANGE(""https://docs.google.com/spreadsheets/d/14Bd19lYaqBhU8_DElYkX7l4wRkHqqCUFNJY4AfY3kHU/edit?usp=sharing  #gid=0"",""фіз особи new!relations_name""),6,FALSE)
,
(IF
(
G3365=""юридична особа""
,
VLOOKUP"&amp;"(H3365,IMPORTRANGE(""https://docs.google.com/spreadsheets/d/14Bd19lYaqBhU8_DElYkX7l4wRkHqqCUFNJY4AfY3kHU/edit?usp=sharing  #gid=0"",""фіз особи new!relations_name_uo""),7,FALSE)
,
)
))"),"ГУСЄВ Дмитро Володимирович")</f>
        <v>ГУСЄВ Дмитро Володимирович</v>
      </c>
      <c r="J3364" s="7" t="s">
        <v>29</v>
      </c>
    </row>
    <row r="3365" spans="1:10" ht="13.2">
      <c r="A3365" s="7">
        <v>3364</v>
      </c>
      <c r="B3365" s="7">
        <v>1</v>
      </c>
      <c r="C3365" s="7" t="s">
        <v>10</v>
      </c>
      <c r="D3365" s="7">
        <v>980</v>
      </c>
      <c r="E3365" s="7" t="s">
        <v>28</v>
      </c>
      <c r="F3365" s="8" t="str">
        <f ca="1">IFERROR(__xludf.DUMMYFUNCTION("IF
(
C3366=""фізична особа""
,
VLOOKUP(D3366,IMPORTRANGE(""https://docs.google.com/spreadsheets/d/14Bd19lYaqBhU8_DElYkX7l4wRkHqqCUFNJY4AfY3kHU/edit?usp=sharing  #gid=0"",""фіз особи new!relations_name""),6,FALSE)
,
(IF
(
C3366=""юридична особа""
,
VLOOKUP"&amp;"(D3366,IMPORTRANGE(""https://docs.google.com/spreadsheets/d/14Bd19lYaqBhU8_DElYkX7l4wRkHqqCUFNJY4AfY3kHU/edit?usp=sharing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5" s="7" t="s">
        <v>10</v>
      </c>
      <c r="H3365" s="7">
        <v>991</v>
      </c>
      <c r="I3365" s="8" t="str">
        <f ca="1">IFERROR(__xludf.DUMMYFUNCTION("IF
(
G3366=""фізична особа""
,
VLOOKUP(H3366,IMPORTRANGE(""https://docs.google.com/spreadsheets/d/14Bd19lYaqBhU8_DElYkX7l4wRkHqqCUFNJY4AfY3kHU/edit?usp=sharing  #gid=0"",""фіз особи new!relations_name""),6,FALSE)
,
(IF
(
G3366=""юридична особа""
,
VLOOKUP"&amp;"(H3366,IMPORTRANGE(""https://docs.google.com/spreadsheets/d/14Bd19lYaqBhU8_DElYkX7l4wRkHqqCUFNJY4AfY3kHU/edit?usp=sharing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365" s="7" t="s">
        <v>29</v>
      </c>
    </row>
    <row r="3366" spans="1:10" ht="13.2">
      <c r="A3366" s="7">
        <v>3365</v>
      </c>
      <c r="B3366" s="7">
        <v>1</v>
      </c>
      <c r="C3366" s="7" t="s">
        <v>10</v>
      </c>
      <c r="D3366" s="7">
        <v>980</v>
      </c>
      <c r="E3366" s="7" t="s">
        <v>11</v>
      </c>
      <c r="F3366" s="8" t="str">
        <f ca="1">IFERROR(__xludf.DUMMYFUNCTION("IF
(
C3367=""фізична особа""
,
VLOOKUP(D3367,IMPORTRANGE(""https://docs.google.com/spreadsheets/d/14Bd19lYaqBhU8_DElYkX7l4wRkHqqCUFNJY4AfY3kHU/edit?usp=sharing  #gid=0"",""фіз особи new!relations_name""),6,FALSE)
,
(IF
(
C3367=""юридична особа""
,
VLOOKUP"&amp;"(D3367,IMPORTRANGE(""https://docs.google.com/spreadsheets/d/14Bd19lYaqBhU8_DElYkX7l4wRkHqqCUFNJY4AfY3kHU/edit?usp=sharing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6" s="7" t="s">
        <v>10</v>
      </c>
      <c r="H3366" s="7">
        <v>978</v>
      </c>
      <c r="I3366" s="8" t="str">
        <f ca="1">IFERROR(__xludf.DUMMYFUNCTION("IF
(
G3367=""фізична особа""
,
VLOOKUP(H3367,IMPORTRANGE(""https://docs.google.com/spreadsheets/d/14Bd19lYaqBhU8_DElYkX7l4wRkHqqCUFNJY4AfY3kHU/edit?usp=sharing  #gid=0"",""фіз особи new!relations_name""),6,FALSE)
,
(IF
(
G3367=""юридична особа""
,
VLOOKUP"&amp;"(H3367,IMPORTRANGE(""https://docs.google.com/spreadsheets/d/14Bd19lYaqBhU8_DElYkX7l4wRkHqqCUFNJY4AfY3kHU/edit?usp=sharing  #gid=0"",""фіз особи new!relations_name_uo""),7,FALSE)
,
)
))"),"БОНДАРОВИЧ Сергій Миколайович")</f>
        <v>БОНДАРОВИЧ Сергій Миколайович</v>
      </c>
      <c r="J3366" s="7" t="s">
        <v>11</v>
      </c>
    </row>
    <row r="3367" spans="1:10" ht="13.2">
      <c r="A3367" s="7">
        <v>3366</v>
      </c>
      <c r="B3367" s="7">
        <v>1</v>
      </c>
      <c r="C3367" s="7" t="s">
        <v>10</v>
      </c>
      <c r="D3367" s="7">
        <v>980</v>
      </c>
      <c r="E3367" s="7" t="s">
        <v>11</v>
      </c>
      <c r="F3367" s="8" t="str">
        <f ca="1">IFERROR(__xludf.DUMMYFUNCTION("IF
(
C3368=""фізична особа""
,
VLOOKUP(D3368,IMPORTRANGE(""https://docs.google.com/spreadsheets/d/14Bd19lYaqBhU8_DElYkX7l4wRkHqqCUFNJY4AfY3kHU/edit?usp=sharing  #gid=0"",""фіз особи new!relations_name""),6,FALSE)
,
(IF
(
C3368=""юридична особа""
,
VLOOKUP"&amp;"(D3368,IMPORTRANGE(""https://docs.google.com/spreadsheets/d/14Bd19lYaqBhU8_DElYkX7l4wRkHqqCUFNJY4AfY3kHU/edit?usp=sharing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7" s="7" t="s">
        <v>10</v>
      </c>
      <c r="H3367" s="7">
        <v>988</v>
      </c>
      <c r="I3367" s="8" t="str">
        <f ca="1">IFERROR(__xludf.DUMMYFUNCTION("IF
(
G3368=""фізична особа""
,
VLOOKUP(H3368,IMPORTRANGE(""https://docs.google.com/spreadsheets/d/14Bd19lYaqBhU8_DElYkX7l4wRkHqqCUFNJY4AfY3kHU/edit?usp=sharing  #gid=0"",""фіз особи new!relations_name""),6,FALSE)
,
(IF
(
G3368=""юридична особа""
,
VLOOKUP"&amp;"(H3368,IMPORTRANGE(""https://docs.google.com/spreadsheets/d/14Bd19lYaqBhU8_DElYkX7l4wRkHqqCUFNJY4AfY3kHU/edit?usp=sharing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367" s="7" t="s">
        <v>11</v>
      </c>
    </row>
    <row r="3368" spans="1:10" ht="13.2">
      <c r="A3368" s="7">
        <v>3367</v>
      </c>
      <c r="B3368" s="7">
        <v>1</v>
      </c>
      <c r="C3368" s="7" t="s">
        <v>10</v>
      </c>
      <c r="D3368" s="7">
        <v>980</v>
      </c>
      <c r="E3368" s="7" t="s">
        <v>11</v>
      </c>
      <c r="F3368" s="8" t="str">
        <f ca="1">IFERROR(__xludf.DUMMYFUNCTION("IF
(
C3369=""фізична особа""
,
VLOOKUP(D3369,IMPORTRANGE(""https://docs.google.com/spreadsheets/d/14Bd19lYaqBhU8_DElYkX7l4wRkHqqCUFNJY4AfY3kHU/edit?usp=sharing  #gid=0"",""фіз особи new!relations_name""),6,FALSE)
,
(IF
(
C3369=""юридична особа""
,
VLOOKUP"&amp;"(D3369,IMPORTRANGE(""https://docs.google.com/spreadsheets/d/14Bd19lYaqBhU8_DElYkX7l4wRkHqqCUFNJY4AfY3kHU/edit?usp=sharing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8" s="7" t="s">
        <v>10</v>
      </c>
      <c r="H3368" s="7">
        <v>981</v>
      </c>
      <c r="I3368" s="8" t="str">
        <f ca="1">IFERROR(__xludf.DUMMYFUNCTION("IF
(
G3369=""фізична особа""
,
VLOOKUP(H3369,IMPORTRANGE(""https://docs.google.com/spreadsheets/d/14Bd19lYaqBhU8_DElYkX7l4wRkHqqCUFNJY4AfY3kHU/edit?usp=sharing  #gid=0"",""фіз особи new!relations_name""),6,FALSE)
,
(IF
(
G3369=""юридична особа""
,
VLOOKUP"&amp;"(H3369,IMPORTRANGE(""https://docs.google.com/spreadsheets/d/14Bd19lYaqBhU8_DElYkX7l4wRkHqqCUFNJY4AfY3kHU/edit?usp=sharing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J3368" s="7" t="s">
        <v>11</v>
      </c>
    </row>
    <row r="3369" spans="1:10" ht="13.2">
      <c r="A3369" s="7">
        <v>3368</v>
      </c>
      <c r="B3369" s="7">
        <v>1</v>
      </c>
      <c r="C3369" s="7" t="s">
        <v>10</v>
      </c>
      <c r="D3369" s="7">
        <v>980</v>
      </c>
      <c r="E3369" s="7" t="s">
        <v>11</v>
      </c>
      <c r="F3369" s="8" t="str">
        <f ca="1">IFERROR(__xludf.DUMMYFUNCTION("IF
(
C3370=""фізична особа""
,
VLOOKUP(D3370,IMPORTRANGE(""https://docs.google.com/spreadsheets/d/14Bd19lYaqBhU8_DElYkX7l4wRkHqqCUFNJY4AfY3kHU/edit?usp=sharing  #gid=0"",""фіз особи new!relations_name""),6,FALSE)
,
(IF
(
C3370=""юридична особа""
,
VLOOKUP"&amp;"(D3370,IMPORTRANGE(""https://docs.google.com/spreadsheets/d/14Bd19lYaqBhU8_DElYkX7l4wRkHqqCUFNJY4AfY3kHU/edit?usp=sharing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69" s="7" t="s">
        <v>10</v>
      </c>
      <c r="H3369" s="7">
        <v>982</v>
      </c>
      <c r="I3369" s="8" t="str">
        <f ca="1">IFERROR(__xludf.DUMMYFUNCTION("IF
(
G3370=""фізична особа""
,
VLOOKUP(H3370,IMPORTRANGE(""https://docs.google.com/spreadsheets/d/14Bd19lYaqBhU8_DElYkX7l4wRkHqqCUFNJY4AfY3kHU/edit?usp=sharing  #gid=0"",""фіз особи new!relations_name""),6,FALSE)
,
(IF
(
G3370=""юридична особа""
,
VLOOKUP"&amp;"(H3370,IMPORTRANGE(""https://docs.google.com/spreadsheets/d/14Bd19lYaqBhU8_DElYkX7l4wRkHqqCUFNJY4AfY3kHU/edit?usp=sharing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J3369" s="7" t="s">
        <v>11</v>
      </c>
    </row>
    <row r="3370" spans="1:10" ht="13.2">
      <c r="A3370" s="7">
        <v>3369</v>
      </c>
      <c r="B3370" s="7">
        <v>1</v>
      </c>
      <c r="C3370" s="7" t="s">
        <v>10</v>
      </c>
      <c r="D3370" s="7">
        <v>980</v>
      </c>
      <c r="E3370" s="7" t="s">
        <v>11</v>
      </c>
      <c r="F3370" s="8" t="str">
        <f ca="1">IFERROR(__xludf.DUMMYFUNCTION("IF
(
C3371=""фізична особа""
,
VLOOKUP(D3371,IMPORTRANGE(""https://docs.google.com/spreadsheets/d/14Bd19lYaqBhU8_DElYkX7l4wRkHqqCUFNJY4AfY3kHU/edit?usp=sharing  #gid=0"",""фіз особи new!relations_name""),6,FALSE)
,
(IF
(
C3371=""юридична особа""
,
VLOOKUP"&amp;"(D3371,IMPORTRANGE(""https://docs.google.com/spreadsheets/d/14Bd19lYaqBhU8_DElYkX7l4wRkHqqCUFNJY4AfY3kHU/edit?usp=sharing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0" s="7" t="s">
        <v>10</v>
      </c>
      <c r="H3370" s="7">
        <v>989</v>
      </c>
      <c r="I3370" s="8" t="str">
        <f ca="1">IFERROR(__xludf.DUMMYFUNCTION("IF
(
G3371=""фізична особа""
,
VLOOKUP(H3371,IMPORTRANGE(""https://docs.google.com/spreadsheets/d/14Bd19lYaqBhU8_DElYkX7l4wRkHqqCUFNJY4AfY3kHU/edit?usp=sharing  #gid=0"",""фіз особи new!relations_name""),6,FALSE)
,
(IF
(
G3371=""юридична особа""
,
VLOOKUP"&amp;"(H3371,IMPORTRANGE(""https://docs.google.com/spreadsheets/d/14Bd19lYaqBhU8_DElYkX7l4wRkHqqCUFNJY4AfY3kHU/edit?usp=sharing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370" s="7" t="s">
        <v>11</v>
      </c>
    </row>
    <row r="3371" spans="1:10" ht="13.2">
      <c r="A3371" s="7">
        <v>3370</v>
      </c>
      <c r="B3371" s="7">
        <v>1</v>
      </c>
      <c r="C3371" s="7" t="s">
        <v>10</v>
      </c>
      <c r="D3371" s="7">
        <v>980</v>
      </c>
      <c r="E3371" s="7" t="s">
        <v>11</v>
      </c>
      <c r="F3371" s="8" t="str">
        <f ca="1">IFERROR(__xludf.DUMMYFUNCTION("IF
(
C3372=""фізична особа""
,
VLOOKUP(D3372,IMPORTRANGE(""https://docs.google.com/spreadsheets/d/14Bd19lYaqBhU8_DElYkX7l4wRkHqqCUFNJY4AfY3kHU/edit?usp=sharing  #gid=0"",""фіз особи new!relations_name""),6,FALSE)
,
(IF
(
C3372=""юридична особа""
,
VLOOKUP"&amp;"(D3372,IMPORTRANGE(""https://docs.google.com/spreadsheets/d/14Bd19lYaqBhU8_DElYkX7l4wRkHqqCUFNJY4AfY3kHU/edit?usp=sharing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1" s="7" t="s">
        <v>10</v>
      </c>
      <c r="H3371" s="7">
        <v>977</v>
      </c>
      <c r="I3371" s="8" t="str">
        <f ca="1">IFERROR(__xludf.DUMMYFUNCTION("IF
(
G3372=""фізична особа""
,
VLOOKUP(H3372,IMPORTRANGE(""https://docs.google.com/spreadsheets/d/14Bd19lYaqBhU8_DElYkX7l4wRkHqqCUFNJY4AfY3kHU/edit?usp=sharing  #gid=0"",""фіз особи new!relations_name""),6,FALSE)
,
(IF
(
G3372=""юридична особа""
,
VLOOKUP"&amp;"(H3372,IMPORTRANGE(""https://docs.google.com/spreadsheets/d/14Bd19lYaqBhU8_DElYkX7l4wRkHqqCUFNJY4AfY3kHU/edit?usp=sharing  #gid=0"",""фіз особи new!relations_name_uo""),7,FALSE)
,
)
))"),"БАРИШНІКОВ Дмитро Володимирович")</f>
        <v>БАРИШНІКОВ Дмитро Володимирович</v>
      </c>
      <c r="J3371" s="7" t="s">
        <v>11</v>
      </c>
    </row>
    <row r="3372" spans="1:10" ht="13.2">
      <c r="A3372" s="7">
        <v>3371</v>
      </c>
      <c r="B3372" s="7">
        <v>1</v>
      </c>
      <c r="C3372" s="7" t="s">
        <v>10</v>
      </c>
      <c r="D3372" s="7">
        <v>980</v>
      </c>
      <c r="E3372" s="7" t="s">
        <v>11</v>
      </c>
      <c r="F3372" s="8" t="str">
        <f ca="1">IFERROR(__xludf.DUMMYFUNCTION("IF
(
C3373=""фізична особа""
,
VLOOKUP(D3373,IMPORTRANGE(""https://docs.google.com/spreadsheets/d/14Bd19lYaqBhU8_DElYkX7l4wRkHqqCUFNJY4AfY3kHU/edit?usp=sharing  #gid=0"",""фіз особи new!relations_name""),6,FALSE)
,
(IF
(
C3373=""юридична особа""
,
VLOOKUP"&amp;"(D3373,IMPORTRANGE(""https://docs.google.com/spreadsheets/d/14Bd19lYaqBhU8_DElYkX7l4wRkHqqCUFNJY4AfY3kHU/edit?usp=sharing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2" s="7" t="s">
        <v>10</v>
      </c>
      <c r="H3372" s="7">
        <v>974</v>
      </c>
      <c r="I3372" s="8" t="str">
        <f ca="1">IFERROR(__xludf.DUMMYFUNCTION("IF
(
G3373=""фізична особа""
,
VLOOKUP(H3373,IMPORTRANGE(""https://docs.google.com/spreadsheets/d/14Bd19lYaqBhU8_DElYkX7l4wRkHqqCUFNJY4AfY3kHU/edit?usp=sharing  #gid=0"",""фіз особи new!relations_name""),6,FALSE)
,
(IF
(
G3373=""юридична особа""
,
VLOOKUP"&amp;"(H3373,IMPORTRANGE(""https://docs.google.com/spreadsheets/d/14Bd19lYaqBhU8_DElYkX7l4wRkHqqCUFNJY4AfY3kHU/edit?usp=sharing  #gid=0"",""фіз особи new!relations_name_uo""),7,FALSE)
,
)
))"),"ПАНФЬОРОВ Олексій Валерійович")</f>
        <v>ПАНФЬОРОВ Олексій Валерійович</v>
      </c>
      <c r="J3372" s="7" t="s">
        <v>11</v>
      </c>
    </row>
    <row r="3373" spans="1:10" ht="13.2">
      <c r="A3373" s="7">
        <v>3372</v>
      </c>
      <c r="B3373" s="7">
        <v>1</v>
      </c>
      <c r="C3373" s="7" t="s">
        <v>10</v>
      </c>
      <c r="D3373" s="7">
        <v>980</v>
      </c>
      <c r="E3373" s="7" t="s">
        <v>11</v>
      </c>
      <c r="F3373" s="8" t="str">
        <f ca="1">IFERROR(__xludf.DUMMYFUNCTION("IF
(
C3374=""фізична особа""
,
VLOOKUP(D3374,IMPORTRANGE(""https://docs.google.com/spreadsheets/d/14Bd19lYaqBhU8_DElYkX7l4wRkHqqCUFNJY4AfY3kHU/edit?usp=sharing  #gid=0"",""фіз особи new!relations_name""),6,FALSE)
,
(IF
(
C3374=""юридична особа""
,
VLOOKUP"&amp;"(D3374,IMPORTRANGE(""https://docs.google.com/spreadsheets/d/14Bd19lYaqBhU8_DElYkX7l4wRkHqqCUFNJY4AfY3kHU/edit?usp=sharing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3" s="7" t="s">
        <v>10</v>
      </c>
      <c r="H3373" s="7">
        <v>983</v>
      </c>
      <c r="I3373" s="8" t="str">
        <f ca="1">IFERROR(__xludf.DUMMYFUNCTION("IF
(
G3374=""фізична особа""
,
VLOOKUP(H3374,IMPORTRANGE(""https://docs.google.com/spreadsheets/d/14Bd19lYaqBhU8_DElYkX7l4wRkHqqCUFNJY4AfY3kHU/edit?usp=sharing  #gid=0"",""фіз особи new!relations_name""),6,FALSE)
,
(IF
(
G3374=""юридична особа""
,
VLOOKUP"&amp;"(H3374,IMPORTRANGE(""https://docs.google.com/spreadsheets/d/14Bd19lYaqBhU8_DElYkX7l4wRkHqqCUFNJY4AfY3kHU/edit?usp=sharing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J3373" s="7" t="s">
        <v>11</v>
      </c>
    </row>
    <row r="3374" spans="1:10" ht="13.2">
      <c r="A3374" s="7">
        <v>3373</v>
      </c>
      <c r="B3374" s="7">
        <v>1</v>
      </c>
      <c r="C3374" s="7" t="s">
        <v>10</v>
      </c>
      <c r="D3374" s="7">
        <v>980</v>
      </c>
      <c r="E3374" s="7" t="s">
        <v>11</v>
      </c>
      <c r="F3374" s="8" t="str">
        <f ca="1">IFERROR(__xludf.DUMMYFUNCTION("IF
(
C3375=""фізична особа""
,
VLOOKUP(D3375,IMPORTRANGE(""https://docs.google.com/spreadsheets/d/14Bd19lYaqBhU8_DElYkX7l4wRkHqqCUFNJY4AfY3kHU/edit?usp=sharing  #gid=0"",""фіз особи new!relations_name""),6,FALSE)
,
(IF
(
C3375=""юридична особа""
,
VLOOKUP"&amp;"(D3375,IMPORTRANGE(""https://docs.google.com/spreadsheets/d/14Bd19lYaqBhU8_DElYkX7l4wRkHqqCUFNJY4AfY3kHU/edit?usp=sharing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4" s="7" t="s">
        <v>10</v>
      </c>
      <c r="H3374" s="7">
        <v>987</v>
      </c>
      <c r="I3374" s="8" t="str">
        <f ca="1">IFERROR(__xludf.DUMMYFUNCTION("IF
(
G3375=""фізична особа""
,
VLOOKUP(H3375,IMPORTRANGE(""https://docs.google.com/spreadsheets/d/14Bd19lYaqBhU8_DElYkX7l4wRkHqqCUFNJY4AfY3kHU/edit?usp=sharing  #gid=0"",""фіз особи new!relations_name""),6,FALSE)
,
(IF
(
G3375=""юридична особа""
,
VLOOKUP"&amp;"(H3375,IMPORTRANGE(""https://docs.google.com/spreadsheets/d/14Bd19lYaqBhU8_DElYkX7l4wRkHqqCUFNJY4AfY3kHU/edit?usp=sharing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J3374" s="7" t="s">
        <v>11</v>
      </c>
    </row>
    <row r="3375" spans="1:10" ht="13.2">
      <c r="A3375" s="7">
        <v>3374</v>
      </c>
      <c r="B3375" s="7">
        <v>1</v>
      </c>
      <c r="C3375" s="7" t="s">
        <v>10</v>
      </c>
      <c r="D3375" s="7">
        <v>980</v>
      </c>
      <c r="E3375" s="7" t="s">
        <v>11</v>
      </c>
      <c r="F3375" s="8" t="str">
        <f ca="1">IFERROR(__xludf.DUMMYFUNCTION("IF
(
C3376=""фізична особа""
,
VLOOKUP(D3376,IMPORTRANGE(""https://docs.google.com/spreadsheets/d/14Bd19lYaqBhU8_DElYkX7l4wRkHqqCUFNJY4AfY3kHU/edit?usp=sharing  #gid=0"",""фіз особи new!relations_name""),6,FALSE)
,
(IF
(
C3376=""юридична особа""
,
VLOOKUP"&amp;"(D3376,IMPORTRANGE(""https://docs.google.com/spreadsheets/d/14Bd19lYaqBhU8_DElYkX7l4wRkHqqCUFNJY4AfY3kHU/edit?usp=sharing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G3375" s="7" t="s">
        <v>10</v>
      </c>
      <c r="H3375" s="7">
        <v>992</v>
      </c>
      <c r="I3375" s="8" t="str">
        <f ca="1">IFERROR(__xludf.DUMMYFUNCTION("IF
(
G3376=""фізична особа""
,
VLOOKUP(H3376,IMPORTRANGE(""https://docs.google.com/spreadsheets/d/14Bd19lYaqBhU8_DElYkX7l4wRkHqqCUFNJY4AfY3kHU/edit?usp=sharing  #gid=0"",""фіз особи new!relations_name""),6,FALSE)
,
(IF
(
G3376=""юридична особа""
,
VLOOKUP"&amp;"(H3376,IMPORTRANGE(""https://docs.google.com/spreadsheets/d/14Bd19lYaqBhU8_DElYkX7l4wRkHqqCUFNJY4AfY3kHU/edit?usp=sharing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375" s="7" t="s">
        <v>11</v>
      </c>
    </row>
    <row r="3376" spans="1:10" ht="13.2">
      <c r="A3376" s="7">
        <v>3375</v>
      </c>
      <c r="B3376" s="7">
        <v>1</v>
      </c>
      <c r="C3376" s="7" t="s">
        <v>10</v>
      </c>
      <c r="D3376" s="7">
        <v>981</v>
      </c>
      <c r="E3376" s="7" t="s">
        <v>11</v>
      </c>
      <c r="F3376" s="8" t="str">
        <f ca="1">IFERROR(__xludf.DUMMYFUNCTION("IF
(
C3377=""фізична особа""
,
VLOOKUP(D3377,IMPORTRANGE(""https://docs.google.com/spreadsheets/d/14Bd19lYaqBhU8_DElYkX7l4wRkHqqCUFNJY4AfY3kHU/edit?usp=sharing  #gid=0"",""фіз особи new!relations_name""),6,FALSE)
,
(IF
(
C3377=""юридична особа""
,
VLOOKUP"&amp;"(D3377,IMPORTRANGE(""https://docs.google.com/spreadsheets/d/14Bd19lYaqBhU8_DElYkX7l4wRkHqqCUFNJY4AfY3kHU/edit?usp=sharing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76" s="7" t="s">
        <v>10</v>
      </c>
      <c r="H3376" s="7">
        <v>990</v>
      </c>
      <c r="I3376" s="8" t="str">
        <f ca="1">IFERROR(__xludf.DUMMYFUNCTION("IF
(
G3377=""фізична особа""
,
VLOOKUP(H3377,IMPORTRANGE(""https://docs.google.com/spreadsheets/d/14Bd19lYaqBhU8_DElYkX7l4wRkHqqCUFNJY4AfY3kHU/edit?usp=sharing  #gid=0"",""фіз особи new!relations_name""),6,FALSE)
,
(IF
(
G3377=""юридична особа""
,
VLOOKUP"&amp;"(H3377,IMPORTRANGE(""https://docs.google.com/spreadsheets/d/14Bd19lYaqBhU8_DElYkX7l4wRkHqqCUFNJY4AfY3kHU/edit?usp=sharing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J3376" s="7" t="s">
        <v>11</v>
      </c>
    </row>
    <row r="3377" spans="1:10" ht="13.2">
      <c r="A3377" s="7">
        <v>3376</v>
      </c>
      <c r="B3377" s="7">
        <v>1</v>
      </c>
      <c r="C3377" s="7" t="s">
        <v>10</v>
      </c>
      <c r="D3377" s="7">
        <v>981</v>
      </c>
      <c r="E3377" s="7" t="s">
        <v>11</v>
      </c>
      <c r="F3377" s="8" t="str">
        <f ca="1">IFERROR(__xludf.DUMMYFUNCTION("IF
(
C3378=""фізична особа""
,
VLOOKUP(D3378,IMPORTRANGE(""https://docs.google.com/spreadsheets/d/14Bd19lYaqBhU8_DElYkX7l4wRkHqqCUFNJY4AfY3kHU/edit?usp=sharing  #gid=0"",""фіз особи new!relations_name""),6,FALSE)
,
(IF
(
C3378=""юридична особа""
,
VLOOKUP"&amp;"(D3378,IMPORTRANGE(""https://docs.google.com/spreadsheets/d/14Bd19lYaqBhU8_DElYkX7l4wRkHqqCUFNJY4AfY3kHU/edit?usp=sharing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77" s="7" t="s">
        <v>10</v>
      </c>
      <c r="H3377" s="7">
        <v>993</v>
      </c>
      <c r="I3377" s="8" t="str">
        <f ca="1">IFERROR(__xludf.DUMMYFUNCTION("IF
(
G3378=""фізична особа""
,
VLOOKUP(H3378,IMPORTRANGE(""https://docs.google.com/spreadsheets/d/14Bd19lYaqBhU8_DElYkX7l4wRkHqqCUFNJY4AfY3kHU/edit?usp=sharing  #gid=0"",""фіз особи new!relations_name""),6,FALSE)
,
(IF
(
G3378=""юридична особа""
,
VLOOKUP"&amp;"(H3378,IMPORTRANGE(""https://docs.google.com/spreadsheets/d/14Bd19lYaqBhU8_DElYkX7l4wRkHqqCUFNJY4AfY3kHU/edit?usp=sharing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377" s="7" t="s">
        <v>11</v>
      </c>
    </row>
    <row r="3378" spans="1:10" ht="13.2">
      <c r="A3378" s="7">
        <v>3377</v>
      </c>
      <c r="B3378" s="7">
        <v>1</v>
      </c>
      <c r="C3378" s="7" t="s">
        <v>10</v>
      </c>
      <c r="D3378" s="7">
        <v>981</v>
      </c>
      <c r="E3378" s="7" t="s">
        <v>11</v>
      </c>
      <c r="F3378" s="8" t="str">
        <f ca="1">IFERROR(__xludf.DUMMYFUNCTION("IF
(
C3379=""фізична особа""
,
VLOOKUP(D3379,IMPORTRANGE(""https://docs.google.com/spreadsheets/d/14Bd19lYaqBhU8_DElYkX7l4wRkHqqCUFNJY4AfY3kHU/edit?usp=sharing  #gid=0"",""фіз особи new!relations_name""),6,FALSE)
,
(IF
(
C3379=""юридична особа""
,
VLOOKUP"&amp;"(D3379,IMPORTRANGE(""https://docs.google.com/spreadsheets/d/14Bd19lYaqBhU8_DElYkX7l4wRkHqqCUFNJY4AfY3kHU/edit?usp=sharing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78" s="7" t="s">
        <v>10</v>
      </c>
      <c r="H3378" s="7">
        <v>979</v>
      </c>
      <c r="I3378" s="8" t="str">
        <f ca="1">IFERROR(__xludf.DUMMYFUNCTION("IF
(
G3379=""фізична особа""
,
VLOOKUP(H3379,IMPORTRANGE(""https://docs.google.com/spreadsheets/d/14Bd19lYaqBhU8_DElYkX7l4wRkHqqCUFNJY4AfY3kHU/edit?usp=sharing  #gid=0"",""фіз особи new!relations_name""),6,FALSE)
,
(IF
(
G3379=""юридична особа""
,
VLOOKUP"&amp;"(H3379,IMPORTRANGE(""https://docs.google.com/spreadsheets/d/14Bd19lYaqBhU8_DElYkX7l4wRkHqqCUFNJY4AfY3kHU/edit?usp=sharing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J3378" s="7" t="s">
        <v>11</v>
      </c>
    </row>
    <row r="3379" spans="1:10" ht="13.2">
      <c r="A3379" s="7">
        <v>3378</v>
      </c>
      <c r="B3379" s="7">
        <v>1</v>
      </c>
      <c r="C3379" s="7" t="s">
        <v>10</v>
      </c>
      <c r="D3379" s="7">
        <v>981</v>
      </c>
      <c r="E3379" s="7" t="s">
        <v>11</v>
      </c>
      <c r="F3379" s="8" t="str">
        <f ca="1">IFERROR(__xludf.DUMMYFUNCTION("IF
(
C3380=""фізична особа""
,
VLOOKUP(D3380,IMPORTRANGE(""https://docs.google.com/spreadsheets/d/14Bd19lYaqBhU8_DElYkX7l4wRkHqqCUFNJY4AfY3kHU/edit?usp=sharing  #gid=0"",""фіз особи new!relations_name""),6,FALSE)
,
(IF
(
C3380=""юридична особа""
,
VLOOKUP"&amp;"(D3380,IMPORTRANGE(""https://docs.google.com/spreadsheets/d/14Bd19lYaqBhU8_DElYkX7l4wRkHqqCUFNJY4AfY3kHU/edit?usp=sharing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79" s="7" t="s">
        <v>10</v>
      </c>
      <c r="H3379" s="7">
        <v>976</v>
      </c>
      <c r="I3379" s="8" t="str">
        <f ca="1">IFERROR(__xludf.DUMMYFUNCTION("IF
(
G3380=""фізична особа""
,
VLOOKUP(H3380,IMPORTRANGE(""https://docs.google.com/spreadsheets/d/14Bd19lYaqBhU8_DElYkX7l4wRkHqqCUFNJY4AfY3kHU/edit?usp=sharing  #gid=0"",""фіз особи new!relations_name""),6,FALSE)
,
(IF
(
G3380=""юридична особа""
,
VLOOKUP"&amp;"(H3380,IMPORTRANGE(""https://docs.google.com/spreadsheets/d/14Bd19lYaqBhU8_DElYkX7l4wRkHqqCUFNJY4AfY3kHU/edit?usp=sharing  #gid=0"",""фіз особи new!relations_name_uo""),7,FALSE)
,
)
))"),"АВТУХОВ Михайло Олегович")</f>
        <v>АВТУХОВ Михайло Олегович</v>
      </c>
      <c r="J3379" s="7" t="s">
        <v>11</v>
      </c>
    </row>
    <row r="3380" spans="1:10" ht="13.2">
      <c r="A3380" s="7">
        <v>3379</v>
      </c>
      <c r="B3380" s="7">
        <v>1</v>
      </c>
      <c r="C3380" s="7" t="s">
        <v>10</v>
      </c>
      <c r="D3380" s="7">
        <v>981</v>
      </c>
      <c r="E3380" s="7" t="s">
        <v>28</v>
      </c>
      <c r="F3380" s="8" t="str">
        <f ca="1">IFERROR(__xludf.DUMMYFUNCTION("IF
(
C3381=""фізична особа""
,
VLOOKUP(D3381,IMPORTRANGE(""https://docs.google.com/spreadsheets/d/14Bd19lYaqBhU8_DElYkX7l4wRkHqqCUFNJY4AfY3kHU/edit?usp=sharing  #gid=0"",""фіз особи new!relations_name""),6,FALSE)
,
(IF
(
C3381=""юридична особа""
,
VLOOKUP"&amp;"(D3381,IMPORTRANGE(""https://docs.google.com/spreadsheets/d/14Bd19lYaqBhU8_DElYkX7l4wRkHqqCUFNJY4AfY3kHU/edit?usp=sharing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0" s="7" t="s">
        <v>10</v>
      </c>
      <c r="H3380" s="7">
        <v>11961</v>
      </c>
      <c r="I3380" s="8" t="str">
        <f ca="1">IFERROR(__xludf.DUMMYFUNCTION("IF
(
G3381=""фізична особа""
,
VLOOKUP(H3381,IMPORTRANGE(""https://docs.google.com/spreadsheets/d/14Bd19lYaqBhU8_DElYkX7l4wRkHqqCUFNJY4AfY3kHU/edit?usp=sharing  #gid=0"",""фіз особи new!relations_name""),6,FALSE)
,
(IF
(
G3381=""юридична особа""
,
VLOOKUP"&amp;"(H3381,IMPORTRANGE(""https://docs.google.com/spreadsheets/d/14Bd19lYaqBhU8_DElYkX7l4wRkHqqCUFNJY4AfY3kHU/edit?usp=sharing  #gid=0"",""фіз особи new!relations_name_uo""),7,FALSE)
,
)
))"),"ГУСЄВ Дмитро Володимирович")</f>
        <v>ГУСЄВ Дмитро Володимирович</v>
      </c>
      <c r="J3380" s="7" t="s">
        <v>29</v>
      </c>
    </row>
    <row r="3381" spans="1:10" ht="13.2">
      <c r="A3381" s="7">
        <v>3380</v>
      </c>
      <c r="B3381" s="7">
        <v>1</v>
      </c>
      <c r="C3381" s="7" t="s">
        <v>10</v>
      </c>
      <c r="D3381" s="7">
        <v>981</v>
      </c>
      <c r="E3381" s="7" t="s">
        <v>28</v>
      </c>
      <c r="F3381" s="8" t="str">
        <f ca="1">IFERROR(__xludf.DUMMYFUNCTION("IF
(
C3382=""фізична особа""
,
VLOOKUP(D3382,IMPORTRANGE(""https://docs.google.com/spreadsheets/d/14Bd19lYaqBhU8_DElYkX7l4wRkHqqCUFNJY4AfY3kHU/edit?usp=sharing  #gid=0"",""фіз особи new!relations_name""),6,FALSE)
,
(IF
(
C3382=""юридична особа""
,
VLOOKUP"&amp;"(D3382,IMPORTRANGE(""https://docs.google.com/spreadsheets/d/14Bd19lYaqBhU8_DElYkX7l4wRkHqqCUFNJY4AfY3kHU/edit?usp=sharing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1" s="7" t="s">
        <v>10</v>
      </c>
      <c r="H3381" s="7">
        <v>991</v>
      </c>
      <c r="I3381" s="8" t="str">
        <f ca="1">IFERROR(__xludf.DUMMYFUNCTION("IF
(
G3382=""фізична особа""
,
VLOOKUP(H3382,IMPORTRANGE(""https://docs.google.com/spreadsheets/d/14Bd19lYaqBhU8_DElYkX7l4wRkHqqCUFNJY4AfY3kHU/edit?usp=sharing  #gid=0"",""фіз особи new!relations_name""),6,FALSE)
,
(IF
(
G3382=""юридична особа""
,
VLOOKUP"&amp;"(H3382,IMPORTRANGE(""https://docs.google.com/spreadsheets/d/14Bd19lYaqBhU8_DElYkX7l4wRkHqqCUFNJY4AfY3kHU/edit?usp=sharing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381" s="7" t="s">
        <v>29</v>
      </c>
    </row>
    <row r="3382" spans="1:10" ht="13.2">
      <c r="A3382" s="7">
        <v>3381</v>
      </c>
      <c r="B3382" s="7">
        <v>1</v>
      </c>
      <c r="C3382" s="7" t="s">
        <v>10</v>
      </c>
      <c r="D3382" s="7">
        <v>981</v>
      </c>
      <c r="E3382" s="7" t="s">
        <v>11</v>
      </c>
      <c r="F3382" s="8" t="str">
        <f ca="1">IFERROR(__xludf.DUMMYFUNCTION("IF
(
C3383=""фізична особа""
,
VLOOKUP(D3383,IMPORTRANGE(""https://docs.google.com/spreadsheets/d/14Bd19lYaqBhU8_DElYkX7l4wRkHqqCUFNJY4AfY3kHU/edit?usp=sharing  #gid=0"",""фіз особи new!relations_name""),6,FALSE)
,
(IF
(
C3383=""юридична особа""
,
VLOOKUP"&amp;"(D3383,IMPORTRANGE(""https://docs.google.com/spreadsheets/d/14Bd19lYaqBhU8_DElYkX7l4wRkHqqCUFNJY4AfY3kHU/edit?usp=sharing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2" s="7" t="s">
        <v>10</v>
      </c>
      <c r="H3382" s="7">
        <v>978</v>
      </c>
      <c r="I3382" s="8" t="str">
        <f ca="1">IFERROR(__xludf.DUMMYFUNCTION("IF
(
G3383=""фізична особа""
,
VLOOKUP(H3383,IMPORTRANGE(""https://docs.google.com/spreadsheets/d/14Bd19lYaqBhU8_DElYkX7l4wRkHqqCUFNJY4AfY3kHU/edit?usp=sharing  #gid=0"",""фіз особи new!relations_name""),6,FALSE)
,
(IF
(
G3383=""юридична особа""
,
VLOOKUP"&amp;"(H3383,IMPORTRANGE(""https://docs.google.com/spreadsheets/d/14Bd19lYaqBhU8_DElYkX7l4wRkHqqCUFNJY4AfY3kHU/edit?usp=sharing  #gid=0"",""фіз особи new!relations_name_uo""),7,FALSE)
,
)
))"),"БОНДАРОВИЧ Сергій Миколайович")</f>
        <v>БОНДАРОВИЧ Сергій Миколайович</v>
      </c>
      <c r="J3382" s="7" t="s">
        <v>11</v>
      </c>
    </row>
    <row r="3383" spans="1:10" ht="13.2">
      <c r="A3383" s="7">
        <v>3382</v>
      </c>
      <c r="B3383" s="7">
        <v>1</v>
      </c>
      <c r="C3383" s="7" t="s">
        <v>10</v>
      </c>
      <c r="D3383" s="7">
        <v>981</v>
      </c>
      <c r="E3383" s="7" t="s">
        <v>11</v>
      </c>
      <c r="F3383" s="8" t="str">
        <f ca="1">IFERROR(__xludf.DUMMYFUNCTION("IF
(
C3384=""фізична особа""
,
VLOOKUP(D3384,IMPORTRANGE(""https://docs.google.com/spreadsheets/d/14Bd19lYaqBhU8_DElYkX7l4wRkHqqCUFNJY4AfY3kHU/edit?usp=sharing  #gid=0"",""фіз особи new!relations_name""),6,FALSE)
,
(IF
(
C3384=""юридична особа""
,
VLOOKUP"&amp;"(D3384,IMPORTRANGE(""https://docs.google.com/spreadsheets/d/14Bd19lYaqBhU8_DElYkX7l4wRkHqqCUFNJY4AfY3kHU/edit?usp=sharing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3" s="7" t="s">
        <v>10</v>
      </c>
      <c r="H3383" s="7">
        <v>988</v>
      </c>
      <c r="I3383" s="8" t="str">
        <f ca="1">IFERROR(__xludf.DUMMYFUNCTION("IF
(
G3384=""фізична особа""
,
VLOOKUP(H3384,IMPORTRANGE(""https://docs.google.com/spreadsheets/d/14Bd19lYaqBhU8_DElYkX7l4wRkHqqCUFNJY4AfY3kHU/edit?usp=sharing  #gid=0"",""фіз особи new!relations_name""),6,FALSE)
,
(IF
(
G3384=""юридична особа""
,
VLOOKUP"&amp;"(H3384,IMPORTRANGE(""https://docs.google.com/spreadsheets/d/14Bd19lYaqBhU8_DElYkX7l4wRkHqqCUFNJY4AfY3kHU/edit?usp=sharing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383" s="7" t="s">
        <v>11</v>
      </c>
    </row>
    <row r="3384" spans="1:10" ht="13.2">
      <c r="A3384" s="7">
        <v>3383</v>
      </c>
      <c r="B3384" s="7">
        <v>1</v>
      </c>
      <c r="C3384" s="7" t="s">
        <v>10</v>
      </c>
      <c r="D3384" s="7">
        <v>981</v>
      </c>
      <c r="E3384" s="7" t="s">
        <v>11</v>
      </c>
      <c r="F3384" s="8" t="str">
        <f ca="1">IFERROR(__xludf.DUMMYFUNCTION("IF
(
C3385=""фізична особа""
,
VLOOKUP(D3385,IMPORTRANGE(""https://docs.google.com/spreadsheets/d/14Bd19lYaqBhU8_DElYkX7l4wRkHqqCUFNJY4AfY3kHU/edit?usp=sharing  #gid=0"",""фіз особи new!relations_name""),6,FALSE)
,
(IF
(
C3385=""юридична особа""
,
VLOOKUP"&amp;"(D3385,IMPORTRANGE(""https://docs.google.com/spreadsheets/d/14Bd19lYaqBhU8_DElYkX7l4wRkHqqCUFNJY4AfY3kHU/edit?usp=sharing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4" s="7" t="s">
        <v>10</v>
      </c>
      <c r="H3384" s="7">
        <v>980</v>
      </c>
      <c r="I3384" s="8" t="str">
        <f ca="1">IFERROR(__xludf.DUMMYFUNCTION("IF
(
G3385=""фізична особа""
,
VLOOKUP(H3385,IMPORTRANGE(""https://docs.google.com/spreadsheets/d/14Bd19lYaqBhU8_DElYkX7l4wRkHqqCUFNJY4AfY3kHU/edit?usp=sharing  #gid=0"",""фіз особи new!relations_name""),6,FALSE)
,
(IF
(
G3385=""юридична особа""
,
VLOOKUP"&amp;"(H3385,IMPORTRANGE(""https://docs.google.com/spreadsheets/d/14Bd19lYaqBhU8_DElYkX7l4wRkHqqCUFNJY4AfY3kHU/edit?usp=sharing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J3384" s="7" t="s">
        <v>11</v>
      </c>
    </row>
    <row r="3385" spans="1:10" ht="13.2">
      <c r="A3385" s="7">
        <v>3384</v>
      </c>
      <c r="B3385" s="7">
        <v>1</v>
      </c>
      <c r="C3385" s="7" t="s">
        <v>10</v>
      </c>
      <c r="D3385" s="7">
        <v>981</v>
      </c>
      <c r="E3385" s="7" t="s">
        <v>11</v>
      </c>
      <c r="F3385" s="8" t="str">
        <f ca="1">IFERROR(__xludf.DUMMYFUNCTION("IF
(
C3386=""фізична особа""
,
VLOOKUP(D3386,IMPORTRANGE(""https://docs.google.com/spreadsheets/d/14Bd19lYaqBhU8_DElYkX7l4wRkHqqCUFNJY4AfY3kHU/edit?usp=sharing  #gid=0"",""фіз особи new!relations_name""),6,FALSE)
,
(IF
(
C3386=""юридична особа""
,
VLOOKUP"&amp;"(D3386,IMPORTRANGE(""https://docs.google.com/spreadsheets/d/14Bd19lYaqBhU8_DElYkX7l4wRkHqqCUFNJY4AfY3kHU/edit?usp=sharing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5" s="7" t="s">
        <v>10</v>
      </c>
      <c r="H3385" s="7">
        <v>982</v>
      </c>
      <c r="I3385" s="8" t="str">
        <f ca="1">IFERROR(__xludf.DUMMYFUNCTION("IF
(
G3386=""фізична особа""
,
VLOOKUP(H3386,IMPORTRANGE(""https://docs.google.com/spreadsheets/d/14Bd19lYaqBhU8_DElYkX7l4wRkHqqCUFNJY4AfY3kHU/edit?usp=sharing  #gid=0"",""фіз особи new!relations_name""),6,FALSE)
,
(IF
(
G3386=""юридична особа""
,
VLOOKUP"&amp;"(H3386,IMPORTRANGE(""https://docs.google.com/spreadsheets/d/14Bd19lYaqBhU8_DElYkX7l4wRkHqqCUFNJY4AfY3kHU/edit?usp=sharing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J3385" s="7" t="s">
        <v>11</v>
      </c>
    </row>
    <row r="3386" spans="1:10" ht="13.2">
      <c r="A3386" s="7">
        <v>3385</v>
      </c>
      <c r="B3386" s="7">
        <v>1</v>
      </c>
      <c r="C3386" s="7" t="s">
        <v>10</v>
      </c>
      <c r="D3386" s="7">
        <v>981</v>
      </c>
      <c r="E3386" s="7" t="s">
        <v>11</v>
      </c>
      <c r="F3386" s="8" t="str">
        <f ca="1">IFERROR(__xludf.DUMMYFUNCTION("IF
(
C3387=""фізична особа""
,
VLOOKUP(D3387,IMPORTRANGE(""https://docs.google.com/spreadsheets/d/14Bd19lYaqBhU8_DElYkX7l4wRkHqqCUFNJY4AfY3kHU/edit?usp=sharing  #gid=0"",""фіз особи new!relations_name""),6,FALSE)
,
(IF
(
C3387=""юридична особа""
,
VLOOKUP"&amp;"(D3387,IMPORTRANGE(""https://docs.google.com/spreadsheets/d/14Bd19lYaqBhU8_DElYkX7l4wRkHqqCUFNJY4AfY3kHU/edit?usp=sharing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6" s="7" t="s">
        <v>10</v>
      </c>
      <c r="H3386" s="7">
        <v>989</v>
      </c>
      <c r="I3386" s="8" t="str">
        <f ca="1">IFERROR(__xludf.DUMMYFUNCTION("IF
(
G3387=""фізична особа""
,
VLOOKUP(H3387,IMPORTRANGE(""https://docs.google.com/spreadsheets/d/14Bd19lYaqBhU8_DElYkX7l4wRkHqqCUFNJY4AfY3kHU/edit?usp=sharing  #gid=0"",""фіз особи new!relations_name""),6,FALSE)
,
(IF
(
G3387=""юридична особа""
,
VLOOKUP"&amp;"(H3387,IMPORTRANGE(""https://docs.google.com/spreadsheets/d/14Bd19lYaqBhU8_DElYkX7l4wRkHqqCUFNJY4AfY3kHU/edit?usp=sharing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386" s="7" t="s">
        <v>11</v>
      </c>
    </row>
    <row r="3387" spans="1:10" ht="13.2">
      <c r="A3387" s="7">
        <v>3386</v>
      </c>
      <c r="B3387" s="7">
        <v>1</v>
      </c>
      <c r="C3387" s="7" t="s">
        <v>10</v>
      </c>
      <c r="D3387" s="7">
        <v>981</v>
      </c>
      <c r="E3387" s="7" t="s">
        <v>11</v>
      </c>
      <c r="F3387" s="8" t="str">
        <f ca="1">IFERROR(__xludf.DUMMYFUNCTION("IF
(
C3388=""фізична особа""
,
VLOOKUP(D3388,IMPORTRANGE(""https://docs.google.com/spreadsheets/d/14Bd19lYaqBhU8_DElYkX7l4wRkHqqCUFNJY4AfY3kHU/edit?usp=sharing  #gid=0"",""фіз особи new!relations_name""),6,FALSE)
,
(IF
(
C3388=""юридична особа""
,
VLOOKUP"&amp;"(D3388,IMPORTRANGE(""https://docs.google.com/spreadsheets/d/14Bd19lYaqBhU8_DElYkX7l4wRkHqqCUFNJY4AfY3kHU/edit?usp=sharing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7" s="7" t="s">
        <v>10</v>
      </c>
      <c r="H3387" s="7">
        <v>977</v>
      </c>
      <c r="I3387" s="8" t="str">
        <f ca="1">IFERROR(__xludf.DUMMYFUNCTION("IF
(
G3388=""фізична особа""
,
VLOOKUP(H3388,IMPORTRANGE(""https://docs.google.com/spreadsheets/d/14Bd19lYaqBhU8_DElYkX7l4wRkHqqCUFNJY4AfY3kHU/edit?usp=sharing  #gid=0"",""фіз особи new!relations_name""),6,FALSE)
,
(IF
(
G3388=""юридична особа""
,
VLOOKUP"&amp;"(H3388,IMPORTRANGE(""https://docs.google.com/spreadsheets/d/14Bd19lYaqBhU8_DElYkX7l4wRkHqqCUFNJY4AfY3kHU/edit?usp=sharing  #gid=0"",""фіз особи new!relations_name_uo""),7,FALSE)
,
)
))"),"БАРИШНІКОВ Дмитро Володимирович")</f>
        <v>БАРИШНІКОВ Дмитро Володимирович</v>
      </c>
      <c r="J3387" s="7" t="s">
        <v>11</v>
      </c>
    </row>
    <row r="3388" spans="1:10" ht="13.2">
      <c r="A3388" s="7">
        <v>3387</v>
      </c>
      <c r="B3388" s="7">
        <v>1</v>
      </c>
      <c r="C3388" s="7" t="s">
        <v>10</v>
      </c>
      <c r="D3388" s="7">
        <v>981</v>
      </c>
      <c r="E3388" s="7" t="s">
        <v>11</v>
      </c>
      <c r="F3388" s="8" t="str">
        <f ca="1">IFERROR(__xludf.DUMMYFUNCTION("IF
(
C3389=""фізична особа""
,
VLOOKUP(D3389,IMPORTRANGE(""https://docs.google.com/spreadsheets/d/14Bd19lYaqBhU8_DElYkX7l4wRkHqqCUFNJY4AfY3kHU/edit?usp=sharing  #gid=0"",""фіз особи new!relations_name""),6,FALSE)
,
(IF
(
C3389=""юридична особа""
,
VLOOKUP"&amp;"(D3389,IMPORTRANGE(""https://docs.google.com/spreadsheets/d/14Bd19lYaqBhU8_DElYkX7l4wRkHqqCUFNJY4AfY3kHU/edit?usp=sharing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8" s="7" t="s">
        <v>10</v>
      </c>
      <c r="H3388" s="7">
        <v>974</v>
      </c>
      <c r="I3388" s="8" t="str">
        <f ca="1">IFERROR(__xludf.DUMMYFUNCTION("IF
(
G3389=""фізична особа""
,
VLOOKUP(H3389,IMPORTRANGE(""https://docs.google.com/spreadsheets/d/14Bd19lYaqBhU8_DElYkX7l4wRkHqqCUFNJY4AfY3kHU/edit?usp=sharing  #gid=0"",""фіз особи new!relations_name""),6,FALSE)
,
(IF
(
G3389=""юридична особа""
,
VLOOKUP"&amp;"(H3389,IMPORTRANGE(""https://docs.google.com/spreadsheets/d/14Bd19lYaqBhU8_DElYkX7l4wRkHqqCUFNJY4AfY3kHU/edit?usp=sharing  #gid=0"",""фіз особи new!relations_name_uo""),7,FALSE)
,
)
))"),"ПАНФЬОРОВ Олексій Валерійович")</f>
        <v>ПАНФЬОРОВ Олексій Валерійович</v>
      </c>
      <c r="J3388" s="7" t="s">
        <v>11</v>
      </c>
    </row>
    <row r="3389" spans="1:10" ht="13.2">
      <c r="A3389" s="7">
        <v>3388</v>
      </c>
      <c r="B3389" s="7">
        <v>1</v>
      </c>
      <c r="C3389" s="7" t="s">
        <v>10</v>
      </c>
      <c r="D3389" s="7">
        <v>981</v>
      </c>
      <c r="E3389" s="7" t="s">
        <v>11</v>
      </c>
      <c r="F3389" s="8" t="str">
        <f ca="1">IFERROR(__xludf.DUMMYFUNCTION("IF
(
C3390=""фізична особа""
,
VLOOKUP(D3390,IMPORTRANGE(""https://docs.google.com/spreadsheets/d/14Bd19lYaqBhU8_DElYkX7l4wRkHqqCUFNJY4AfY3kHU/edit?usp=sharing  #gid=0"",""фіз особи new!relations_name""),6,FALSE)
,
(IF
(
C3390=""юридична особа""
,
VLOOKUP"&amp;"(D3390,IMPORTRANGE(""https://docs.google.com/spreadsheets/d/14Bd19lYaqBhU8_DElYkX7l4wRkHqqCUFNJY4AfY3kHU/edit?usp=sharing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89" s="7" t="s">
        <v>10</v>
      </c>
      <c r="H3389" s="7">
        <v>983</v>
      </c>
      <c r="I3389" s="8" t="str">
        <f ca="1">IFERROR(__xludf.DUMMYFUNCTION("IF
(
G3390=""фізична особа""
,
VLOOKUP(H3390,IMPORTRANGE(""https://docs.google.com/spreadsheets/d/14Bd19lYaqBhU8_DElYkX7l4wRkHqqCUFNJY4AfY3kHU/edit?usp=sharing  #gid=0"",""фіз особи new!relations_name""),6,FALSE)
,
(IF
(
G3390=""юридична особа""
,
VLOOKUP"&amp;"(H3390,IMPORTRANGE(""https://docs.google.com/spreadsheets/d/14Bd19lYaqBhU8_DElYkX7l4wRkHqqCUFNJY4AfY3kHU/edit?usp=sharing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J3389" s="7" t="s">
        <v>11</v>
      </c>
    </row>
    <row r="3390" spans="1:10" ht="13.2">
      <c r="A3390" s="7">
        <v>3389</v>
      </c>
      <c r="B3390" s="7">
        <v>1</v>
      </c>
      <c r="C3390" s="7" t="s">
        <v>10</v>
      </c>
      <c r="D3390" s="7">
        <v>981</v>
      </c>
      <c r="E3390" s="7" t="s">
        <v>11</v>
      </c>
      <c r="F3390" s="8" t="str">
        <f ca="1">IFERROR(__xludf.DUMMYFUNCTION("IF
(
C3391=""фізична особа""
,
VLOOKUP(D3391,IMPORTRANGE(""https://docs.google.com/spreadsheets/d/14Bd19lYaqBhU8_DElYkX7l4wRkHqqCUFNJY4AfY3kHU/edit?usp=sharing  #gid=0"",""фіз особи new!relations_name""),6,FALSE)
,
(IF
(
C3391=""юридична особа""
,
VLOOKUP"&amp;"(D3391,IMPORTRANGE(""https://docs.google.com/spreadsheets/d/14Bd19lYaqBhU8_DElYkX7l4wRkHqqCUFNJY4AfY3kHU/edit?usp=sharing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90" s="7" t="s">
        <v>10</v>
      </c>
      <c r="H3390" s="7">
        <v>987</v>
      </c>
      <c r="I3390" s="8" t="str">
        <f ca="1">IFERROR(__xludf.DUMMYFUNCTION("IF
(
G3391=""фізична особа""
,
VLOOKUP(H3391,IMPORTRANGE(""https://docs.google.com/spreadsheets/d/14Bd19lYaqBhU8_DElYkX7l4wRkHqqCUFNJY4AfY3kHU/edit?usp=sharing  #gid=0"",""фіз особи new!relations_name""),6,FALSE)
,
(IF
(
G3391=""юридична особа""
,
VLOOKUP"&amp;"(H3391,IMPORTRANGE(""https://docs.google.com/spreadsheets/d/14Bd19lYaqBhU8_DElYkX7l4wRkHqqCUFNJY4AfY3kHU/edit?usp=sharing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J3390" s="7" t="s">
        <v>11</v>
      </c>
    </row>
    <row r="3391" spans="1:10" ht="13.2">
      <c r="A3391" s="7">
        <v>3390</v>
      </c>
      <c r="B3391" s="7">
        <v>1</v>
      </c>
      <c r="C3391" s="7" t="s">
        <v>10</v>
      </c>
      <c r="D3391" s="7">
        <v>981</v>
      </c>
      <c r="E3391" s="7" t="s">
        <v>11</v>
      </c>
      <c r="F3391" s="8" t="str">
        <f ca="1">IFERROR(__xludf.DUMMYFUNCTION("IF
(
C3392=""фізична особа""
,
VLOOKUP(D3392,IMPORTRANGE(""https://docs.google.com/spreadsheets/d/14Bd19lYaqBhU8_DElYkX7l4wRkHqqCUFNJY4AfY3kHU/edit?usp=sharing  #gid=0"",""фіз особи new!relations_name""),6,FALSE)
,
(IF
(
C3392=""юридична особа""
,
VLOOKUP"&amp;"(D3392,IMPORTRANGE(""https://docs.google.com/spreadsheets/d/14Bd19lYaqBhU8_DElYkX7l4wRkHqqCUFNJY4AfY3kHU/edit?usp=sharing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G3391" s="7" t="s">
        <v>10</v>
      </c>
      <c r="H3391" s="7">
        <v>992</v>
      </c>
      <c r="I3391" s="8" t="str">
        <f ca="1">IFERROR(__xludf.DUMMYFUNCTION("IF
(
G3392=""фізична особа""
,
VLOOKUP(H3392,IMPORTRANGE(""https://docs.google.com/spreadsheets/d/14Bd19lYaqBhU8_DElYkX7l4wRkHqqCUFNJY4AfY3kHU/edit?usp=sharing  #gid=0"",""фіз особи new!relations_name""),6,FALSE)
,
(IF
(
G3392=""юридична особа""
,
VLOOKUP"&amp;"(H3392,IMPORTRANGE(""https://docs.google.com/spreadsheets/d/14Bd19lYaqBhU8_DElYkX7l4wRkHqqCUFNJY4AfY3kHU/edit?usp=sharing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391" s="7" t="s">
        <v>11</v>
      </c>
    </row>
    <row r="3392" spans="1:10" ht="13.2">
      <c r="A3392" s="7">
        <v>3391</v>
      </c>
      <c r="B3392" s="7">
        <v>1</v>
      </c>
      <c r="C3392" s="7" t="s">
        <v>10</v>
      </c>
      <c r="D3392" s="7">
        <v>982</v>
      </c>
      <c r="E3392" s="7" t="s">
        <v>11</v>
      </c>
      <c r="F3392" s="8" t="str">
        <f ca="1">IFERROR(__xludf.DUMMYFUNCTION("IF
(
C3393=""фізична особа""
,
VLOOKUP(D3393,IMPORTRANGE(""https://docs.google.com/spreadsheets/d/14Bd19lYaqBhU8_DElYkX7l4wRkHqqCUFNJY4AfY3kHU/edit?usp=sharing  #gid=0"",""фіз особи new!relations_name""),6,FALSE)
,
(IF
(
C3393=""юридична особа""
,
VLOOKUP"&amp;"(D3393,IMPORTRANGE(""https://docs.google.com/spreadsheets/d/14Bd19lYaqBhU8_DElYkX7l4wRkHqqCUFNJY4AfY3kHU/edit?usp=sharing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2" s="7" t="s">
        <v>10</v>
      </c>
      <c r="H3392" s="7">
        <v>990</v>
      </c>
      <c r="I3392" s="8" t="str">
        <f ca="1">IFERROR(__xludf.DUMMYFUNCTION("IF
(
G3393=""фізична особа""
,
VLOOKUP(H3393,IMPORTRANGE(""https://docs.google.com/spreadsheets/d/14Bd19lYaqBhU8_DElYkX7l4wRkHqqCUFNJY4AfY3kHU/edit?usp=sharing  #gid=0"",""фіз особи new!relations_name""),6,FALSE)
,
(IF
(
G3393=""юридична особа""
,
VLOOKUP"&amp;"(H3393,IMPORTRANGE(""https://docs.google.com/spreadsheets/d/14Bd19lYaqBhU8_DElYkX7l4wRkHqqCUFNJY4AfY3kHU/edit?usp=sharing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J3392" s="7" t="s">
        <v>11</v>
      </c>
    </row>
    <row r="3393" spans="1:10" ht="13.2">
      <c r="A3393" s="7">
        <v>3392</v>
      </c>
      <c r="B3393" s="7">
        <v>1</v>
      </c>
      <c r="C3393" s="7" t="s">
        <v>10</v>
      </c>
      <c r="D3393" s="7">
        <v>982</v>
      </c>
      <c r="E3393" s="7" t="s">
        <v>11</v>
      </c>
      <c r="F3393" s="8" t="str">
        <f ca="1">IFERROR(__xludf.DUMMYFUNCTION("IF
(
C3394=""фізична особа""
,
VLOOKUP(D3394,IMPORTRANGE(""https://docs.google.com/spreadsheets/d/14Bd19lYaqBhU8_DElYkX7l4wRkHqqCUFNJY4AfY3kHU/edit?usp=sharing  #gid=0"",""фіз особи new!relations_name""),6,FALSE)
,
(IF
(
C3394=""юридична особа""
,
VLOOKUP"&amp;"(D3394,IMPORTRANGE(""https://docs.google.com/spreadsheets/d/14Bd19lYaqBhU8_DElYkX7l4wRkHqqCUFNJY4AfY3kHU/edit?usp=sharing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3" s="7" t="s">
        <v>10</v>
      </c>
      <c r="H3393" s="7">
        <v>993</v>
      </c>
      <c r="I3393" s="8" t="str">
        <f ca="1">IFERROR(__xludf.DUMMYFUNCTION("IF
(
G3394=""фізична особа""
,
VLOOKUP(H3394,IMPORTRANGE(""https://docs.google.com/spreadsheets/d/14Bd19lYaqBhU8_DElYkX7l4wRkHqqCUFNJY4AfY3kHU/edit?usp=sharing  #gid=0"",""фіз особи new!relations_name""),6,FALSE)
,
(IF
(
G3394=""юридична особа""
,
VLOOKUP"&amp;"(H3394,IMPORTRANGE(""https://docs.google.com/spreadsheets/d/14Bd19lYaqBhU8_DElYkX7l4wRkHqqCUFNJY4AfY3kHU/edit?usp=sharing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393" s="7" t="s">
        <v>11</v>
      </c>
    </row>
    <row r="3394" spans="1:10" ht="13.2">
      <c r="A3394" s="7">
        <v>3393</v>
      </c>
      <c r="B3394" s="7">
        <v>1</v>
      </c>
      <c r="C3394" s="7" t="s">
        <v>10</v>
      </c>
      <c r="D3394" s="7">
        <v>982</v>
      </c>
      <c r="E3394" s="7" t="s">
        <v>11</v>
      </c>
      <c r="F3394" s="8" t="str">
        <f ca="1">IFERROR(__xludf.DUMMYFUNCTION("IF
(
C3395=""фізична особа""
,
VLOOKUP(D3395,IMPORTRANGE(""https://docs.google.com/spreadsheets/d/14Bd19lYaqBhU8_DElYkX7l4wRkHqqCUFNJY4AfY3kHU/edit?usp=sharing  #gid=0"",""фіз особи new!relations_name""),6,FALSE)
,
(IF
(
C3395=""юридична особа""
,
VLOOKUP"&amp;"(D3395,IMPORTRANGE(""https://docs.google.com/spreadsheets/d/14Bd19lYaqBhU8_DElYkX7l4wRkHqqCUFNJY4AfY3kHU/edit?usp=sharing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4" s="7" t="s">
        <v>10</v>
      </c>
      <c r="H3394" s="7">
        <v>979</v>
      </c>
      <c r="I3394" s="8" t="str">
        <f ca="1">IFERROR(__xludf.DUMMYFUNCTION("IF
(
G3395=""фізична особа""
,
VLOOKUP(H3395,IMPORTRANGE(""https://docs.google.com/spreadsheets/d/14Bd19lYaqBhU8_DElYkX7l4wRkHqqCUFNJY4AfY3kHU/edit?usp=sharing  #gid=0"",""фіз особи new!relations_name""),6,FALSE)
,
(IF
(
G3395=""юридична особа""
,
VLOOKUP"&amp;"(H3395,IMPORTRANGE(""https://docs.google.com/spreadsheets/d/14Bd19lYaqBhU8_DElYkX7l4wRkHqqCUFNJY4AfY3kHU/edit?usp=sharing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J3394" s="7" t="s">
        <v>11</v>
      </c>
    </row>
    <row r="3395" spans="1:10" ht="13.2">
      <c r="A3395" s="7">
        <v>3394</v>
      </c>
      <c r="B3395" s="7">
        <v>1</v>
      </c>
      <c r="C3395" s="7" t="s">
        <v>10</v>
      </c>
      <c r="D3395" s="7">
        <v>982</v>
      </c>
      <c r="E3395" s="7" t="s">
        <v>11</v>
      </c>
      <c r="F3395" s="8" t="str">
        <f ca="1">IFERROR(__xludf.DUMMYFUNCTION("IF
(
C3396=""фізична особа""
,
VLOOKUP(D3396,IMPORTRANGE(""https://docs.google.com/spreadsheets/d/14Bd19lYaqBhU8_DElYkX7l4wRkHqqCUFNJY4AfY3kHU/edit?usp=sharing  #gid=0"",""фіз особи new!relations_name""),6,FALSE)
,
(IF
(
C3396=""юридична особа""
,
VLOOKUP"&amp;"(D3396,IMPORTRANGE(""https://docs.google.com/spreadsheets/d/14Bd19lYaqBhU8_DElYkX7l4wRkHqqCUFNJY4AfY3kHU/edit?usp=sharing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5" s="7" t="s">
        <v>10</v>
      </c>
      <c r="H3395" s="7">
        <v>976</v>
      </c>
      <c r="I3395" s="8" t="str">
        <f ca="1">IFERROR(__xludf.DUMMYFUNCTION("IF
(
G3396=""фізична особа""
,
VLOOKUP(H3396,IMPORTRANGE(""https://docs.google.com/spreadsheets/d/14Bd19lYaqBhU8_DElYkX7l4wRkHqqCUFNJY4AfY3kHU/edit?usp=sharing  #gid=0"",""фіз особи new!relations_name""),6,FALSE)
,
(IF
(
G3396=""юридична особа""
,
VLOOKUP"&amp;"(H3396,IMPORTRANGE(""https://docs.google.com/spreadsheets/d/14Bd19lYaqBhU8_DElYkX7l4wRkHqqCUFNJY4AfY3kHU/edit?usp=sharing  #gid=0"",""фіз особи new!relations_name_uo""),7,FALSE)
,
)
))"),"АВТУХОВ Михайло Олегович")</f>
        <v>АВТУХОВ Михайло Олегович</v>
      </c>
      <c r="J3395" s="7" t="s">
        <v>11</v>
      </c>
    </row>
    <row r="3396" spans="1:10" ht="13.2">
      <c r="A3396" s="7">
        <v>3395</v>
      </c>
      <c r="B3396" s="7">
        <v>1</v>
      </c>
      <c r="C3396" s="7" t="s">
        <v>10</v>
      </c>
      <c r="D3396" s="7">
        <v>982</v>
      </c>
      <c r="E3396" s="7" t="s">
        <v>28</v>
      </c>
      <c r="F3396" s="8" t="str">
        <f ca="1">IFERROR(__xludf.DUMMYFUNCTION("IF
(
C3397=""фізична особа""
,
VLOOKUP(D3397,IMPORTRANGE(""https://docs.google.com/spreadsheets/d/14Bd19lYaqBhU8_DElYkX7l4wRkHqqCUFNJY4AfY3kHU/edit?usp=sharing  #gid=0"",""фіз особи new!relations_name""),6,FALSE)
,
(IF
(
C3397=""юридична особа""
,
VLOOKUP"&amp;"(D3397,IMPORTRANGE(""https://docs.google.com/spreadsheets/d/14Bd19lYaqBhU8_DElYkX7l4wRkHqqCUFNJY4AfY3kHU/edit?usp=sharing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6" s="7" t="s">
        <v>10</v>
      </c>
      <c r="H3396" s="7">
        <v>11961</v>
      </c>
      <c r="I3396" s="8" t="str">
        <f ca="1">IFERROR(__xludf.DUMMYFUNCTION("IF
(
G3397=""фізична особа""
,
VLOOKUP(H3397,IMPORTRANGE(""https://docs.google.com/spreadsheets/d/14Bd19lYaqBhU8_DElYkX7l4wRkHqqCUFNJY4AfY3kHU/edit?usp=sharing  #gid=0"",""фіз особи new!relations_name""),6,FALSE)
,
(IF
(
G3397=""юридична особа""
,
VLOOKUP"&amp;"(H3397,IMPORTRANGE(""https://docs.google.com/spreadsheets/d/14Bd19lYaqBhU8_DElYkX7l4wRkHqqCUFNJY4AfY3kHU/edit?usp=sharing  #gid=0"",""фіз особи new!relations_name_uo""),7,FALSE)
,
)
))"),"ГУСЄВ Дмитро Володимирович")</f>
        <v>ГУСЄВ Дмитро Володимирович</v>
      </c>
      <c r="J3396" s="7" t="s">
        <v>29</v>
      </c>
    </row>
    <row r="3397" spans="1:10" ht="13.2">
      <c r="A3397" s="7">
        <v>3396</v>
      </c>
      <c r="B3397" s="7">
        <v>1</v>
      </c>
      <c r="C3397" s="7" t="s">
        <v>10</v>
      </c>
      <c r="D3397" s="7">
        <v>982</v>
      </c>
      <c r="E3397" s="7" t="s">
        <v>28</v>
      </c>
      <c r="F3397" s="8" t="str">
        <f ca="1">IFERROR(__xludf.DUMMYFUNCTION("IF
(
C3398=""фізична особа""
,
VLOOKUP(D3398,IMPORTRANGE(""https://docs.google.com/spreadsheets/d/14Bd19lYaqBhU8_DElYkX7l4wRkHqqCUFNJY4AfY3kHU/edit?usp=sharing  #gid=0"",""фіз особи new!relations_name""),6,FALSE)
,
(IF
(
C3398=""юридична особа""
,
VLOOKUP"&amp;"(D3398,IMPORTRANGE(""https://docs.google.com/spreadsheets/d/14Bd19lYaqBhU8_DElYkX7l4wRkHqqCUFNJY4AfY3kHU/edit?usp=sharing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7" s="7" t="s">
        <v>10</v>
      </c>
      <c r="H3397" s="7">
        <v>991</v>
      </c>
      <c r="I3397" s="8" t="str">
        <f ca="1">IFERROR(__xludf.DUMMYFUNCTION("IF
(
G3398=""фізична особа""
,
VLOOKUP(H3398,IMPORTRANGE(""https://docs.google.com/spreadsheets/d/14Bd19lYaqBhU8_DElYkX7l4wRkHqqCUFNJY4AfY3kHU/edit?usp=sharing  #gid=0"",""фіз особи new!relations_name""),6,FALSE)
,
(IF
(
G3398=""юридична особа""
,
VLOOKUP"&amp;"(H3398,IMPORTRANGE(""https://docs.google.com/spreadsheets/d/14Bd19lYaqBhU8_DElYkX7l4wRkHqqCUFNJY4AfY3kHU/edit?usp=sharing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397" s="7" t="s">
        <v>29</v>
      </c>
    </row>
    <row r="3398" spans="1:10" ht="13.2">
      <c r="A3398" s="7">
        <v>3397</v>
      </c>
      <c r="B3398" s="7">
        <v>1</v>
      </c>
      <c r="C3398" s="7" t="s">
        <v>10</v>
      </c>
      <c r="D3398" s="7">
        <v>982</v>
      </c>
      <c r="E3398" s="7" t="s">
        <v>11</v>
      </c>
      <c r="F3398" s="8" t="str">
        <f ca="1">IFERROR(__xludf.DUMMYFUNCTION("IF
(
C3399=""фізична особа""
,
VLOOKUP(D3399,IMPORTRANGE(""https://docs.google.com/spreadsheets/d/14Bd19lYaqBhU8_DElYkX7l4wRkHqqCUFNJY4AfY3kHU/edit?usp=sharing  #gid=0"",""фіз особи new!relations_name""),6,FALSE)
,
(IF
(
C3399=""юридична особа""
,
VLOOKUP"&amp;"(D3399,IMPORTRANGE(""https://docs.google.com/spreadsheets/d/14Bd19lYaqBhU8_DElYkX7l4wRkHqqCUFNJY4AfY3kHU/edit?usp=sharing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8" s="7" t="s">
        <v>10</v>
      </c>
      <c r="H3398" s="7">
        <v>978</v>
      </c>
      <c r="I3398" s="8" t="str">
        <f ca="1">IFERROR(__xludf.DUMMYFUNCTION("IF
(
G3399=""фізична особа""
,
VLOOKUP(H3399,IMPORTRANGE(""https://docs.google.com/spreadsheets/d/14Bd19lYaqBhU8_DElYkX7l4wRkHqqCUFNJY4AfY3kHU/edit?usp=sharing  #gid=0"",""фіз особи new!relations_name""),6,FALSE)
,
(IF
(
G3399=""юридична особа""
,
VLOOKUP"&amp;"(H3399,IMPORTRANGE(""https://docs.google.com/spreadsheets/d/14Bd19lYaqBhU8_DElYkX7l4wRkHqqCUFNJY4AfY3kHU/edit?usp=sharing  #gid=0"",""фіз особи new!relations_name_uo""),7,FALSE)
,
)
))"),"БОНДАРОВИЧ Сергій Миколайович")</f>
        <v>БОНДАРОВИЧ Сергій Миколайович</v>
      </c>
      <c r="J3398" s="7" t="s">
        <v>11</v>
      </c>
    </row>
    <row r="3399" spans="1:10" ht="13.2">
      <c r="A3399" s="7">
        <v>3398</v>
      </c>
      <c r="B3399" s="7">
        <v>1</v>
      </c>
      <c r="C3399" s="7" t="s">
        <v>10</v>
      </c>
      <c r="D3399" s="7">
        <v>982</v>
      </c>
      <c r="E3399" s="7" t="s">
        <v>11</v>
      </c>
      <c r="F3399" s="8" t="str">
        <f ca="1">IFERROR(__xludf.DUMMYFUNCTION("IF
(
C3400=""фізична особа""
,
VLOOKUP(D3400,IMPORTRANGE(""https://docs.google.com/spreadsheets/d/14Bd19lYaqBhU8_DElYkX7l4wRkHqqCUFNJY4AfY3kHU/edit?usp=sharing  #gid=0"",""фіз особи new!relations_name""),6,FALSE)
,
(IF
(
C3400=""юридична особа""
,
VLOOKUP"&amp;"(D3400,IMPORTRANGE(""https://docs.google.com/spreadsheets/d/14Bd19lYaqBhU8_DElYkX7l4wRkHqqCUFNJY4AfY3kHU/edit?usp=sharing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399" s="7" t="s">
        <v>10</v>
      </c>
      <c r="H3399" s="7">
        <v>988</v>
      </c>
      <c r="I3399" s="8" t="str">
        <f ca="1">IFERROR(__xludf.DUMMYFUNCTION("IF
(
G3400=""фізична особа""
,
VLOOKUP(H3400,IMPORTRANGE(""https://docs.google.com/spreadsheets/d/14Bd19lYaqBhU8_DElYkX7l4wRkHqqCUFNJY4AfY3kHU/edit?usp=sharing  #gid=0"",""фіз особи new!relations_name""),6,FALSE)
,
(IF
(
G3400=""юридична особа""
,
VLOOKUP"&amp;"(H3400,IMPORTRANGE(""https://docs.google.com/spreadsheets/d/14Bd19lYaqBhU8_DElYkX7l4wRkHqqCUFNJY4AfY3kHU/edit?usp=sharing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399" s="7" t="s">
        <v>11</v>
      </c>
    </row>
    <row r="3400" spans="1:10" ht="13.2">
      <c r="A3400" s="7">
        <v>3399</v>
      </c>
      <c r="B3400" s="7">
        <v>1</v>
      </c>
      <c r="C3400" s="7" t="s">
        <v>10</v>
      </c>
      <c r="D3400" s="7">
        <v>982</v>
      </c>
      <c r="E3400" s="7" t="s">
        <v>11</v>
      </c>
      <c r="F3400" s="8" t="str">
        <f ca="1">IFERROR(__xludf.DUMMYFUNCTION("IF
(
C3401=""фізична особа""
,
VLOOKUP(D3401,IMPORTRANGE(""https://docs.google.com/spreadsheets/d/14Bd19lYaqBhU8_DElYkX7l4wRkHqqCUFNJY4AfY3kHU/edit?usp=sharing  #gid=0"",""фіз особи new!relations_name""),6,FALSE)
,
(IF
(
C3401=""юридична особа""
,
VLOOKUP"&amp;"(D3401,IMPORTRANGE(""https://docs.google.com/spreadsheets/d/14Bd19lYaqBhU8_DElYkX7l4wRkHqqCUFNJY4AfY3kHU/edit?usp=sharing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0" s="7" t="s">
        <v>10</v>
      </c>
      <c r="H3400" s="7">
        <v>980</v>
      </c>
      <c r="I3400" s="8" t="str">
        <f ca="1">IFERROR(__xludf.DUMMYFUNCTION("IF
(
G3401=""фізична особа""
,
VLOOKUP(H3401,IMPORTRANGE(""https://docs.google.com/spreadsheets/d/14Bd19lYaqBhU8_DElYkX7l4wRkHqqCUFNJY4AfY3kHU/edit?usp=sharing  #gid=0"",""фіз особи new!relations_name""),6,FALSE)
,
(IF
(
G3401=""юридична особа""
,
VLOOKUP"&amp;"(H3401,IMPORTRANGE(""https://docs.google.com/spreadsheets/d/14Bd19lYaqBhU8_DElYkX7l4wRkHqqCUFNJY4AfY3kHU/edit?usp=sharing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J3400" s="7" t="s">
        <v>11</v>
      </c>
    </row>
    <row r="3401" spans="1:10" ht="13.2">
      <c r="A3401" s="7">
        <v>3400</v>
      </c>
      <c r="B3401" s="7">
        <v>1</v>
      </c>
      <c r="C3401" s="7" t="s">
        <v>10</v>
      </c>
      <c r="D3401" s="7">
        <v>982</v>
      </c>
      <c r="E3401" s="7" t="s">
        <v>11</v>
      </c>
      <c r="F3401" s="8" t="str">
        <f ca="1">IFERROR(__xludf.DUMMYFUNCTION("IF
(
C3402=""фізична особа""
,
VLOOKUP(D3402,IMPORTRANGE(""https://docs.google.com/spreadsheets/d/14Bd19lYaqBhU8_DElYkX7l4wRkHqqCUFNJY4AfY3kHU/edit?usp=sharing  #gid=0"",""фіз особи new!relations_name""),6,FALSE)
,
(IF
(
C3402=""юридична особа""
,
VLOOKUP"&amp;"(D3402,IMPORTRANGE(""https://docs.google.com/spreadsheets/d/14Bd19lYaqBhU8_DElYkX7l4wRkHqqCUFNJY4AfY3kHU/edit?usp=sharing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1" s="7" t="s">
        <v>10</v>
      </c>
      <c r="H3401" s="7">
        <v>989</v>
      </c>
      <c r="I3401" s="8" t="str">
        <f ca="1">IFERROR(__xludf.DUMMYFUNCTION("IF
(
G3402=""фізична особа""
,
VLOOKUP(H3402,IMPORTRANGE(""https://docs.google.com/spreadsheets/d/14Bd19lYaqBhU8_DElYkX7l4wRkHqqCUFNJY4AfY3kHU/edit?usp=sharing  #gid=0"",""фіз особи new!relations_name""),6,FALSE)
,
(IF
(
G3402=""юридична особа""
,
VLOOKUP"&amp;"(H3402,IMPORTRANGE(""https://docs.google.com/spreadsheets/d/14Bd19lYaqBhU8_DElYkX7l4wRkHqqCUFNJY4AfY3kHU/edit?usp=sharing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401" s="7" t="s">
        <v>11</v>
      </c>
    </row>
    <row r="3402" spans="1:10" ht="13.2">
      <c r="A3402" s="7">
        <v>3401</v>
      </c>
      <c r="B3402" s="7">
        <v>1</v>
      </c>
      <c r="C3402" s="7" t="s">
        <v>10</v>
      </c>
      <c r="D3402" s="7">
        <v>982</v>
      </c>
      <c r="E3402" s="7" t="s">
        <v>11</v>
      </c>
      <c r="F3402" s="8" t="str">
        <f ca="1">IFERROR(__xludf.DUMMYFUNCTION("IF
(
C3403=""фізична особа""
,
VLOOKUP(D3403,IMPORTRANGE(""https://docs.google.com/spreadsheets/d/14Bd19lYaqBhU8_DElYkX7l4wRkHqqCUFNJY4AfY3kHU/edit?usp=sharing  #gid=0"",""фіз особи new!relations_name""),6,FALSE)
,
(IF
(
C3403=""юридична особа""
,
VLOOKUP"&amp;"(D3403,IMPORTRANGE(""https://docs.google.com/spreadsheets/d/14Bd19lYaqBhU8_DElYkX7l4wRkHqqCUFNJY4AfY3kHU/edit?usp=sharing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2" s="7" t="s">
        <v>10</v>
      </c>
      <c r="H3402" s="7">
        <v>977</v>
      </c>
      <c r="I3402" s="8" t="str">
        <f ca="1">IFERROR(__xludf.DUMMYFUNCTION("IF
(
G3403=""фізична особа""
,
VLOOKUP(H3403,IMPORTRANGE(""https://docs.google.com/spreadsheets/d/14Bd19lYaqBhU8_DElYkX7l4wRkHqqCUFNJY4AfY3kHU/edit?usp=sharing  #gid=0"",""фіз особи new!relations_name""),6,FALSE)
,
(IF
(
G3403=""юридична особа""
,
VLOOKUP"&amp;"(H3403,IMPORTRANGE(""https://docs.google.com/spreadsheets/d/14Bd19lYaqBhU8_DElYkX7l4wRkHqqCUFNJY4AfY3kHU/edit?usp=sharing  #gid=0"",""фіз особи new!relations_name_uo""),7,FALSE)
,
)
))"),"БАРИШНІКОВ Дмитро Володимирович")</f>
        <v>БАРИШНІКОВ Дмитро Володимирович</v>
      </c>
      <c r="J3402" s="7" t="s">
        <v>11</v>
      </c>
    </row>
    <row r="3403" spans="1:10" ht="13.2">
      <c r="A3403" s="7">
        <v>3402</v>
      </c>
      <c r="B3403" s="7">
        <v>1</v>
      </c>
      <c r="C3403" s="7" t="s">
        <v>10</v>
      </c>
      <c r="D3403" s="7">
        <v>982</v>
      </c>
      <c r="E3403" s="7" t="s">
        <v>11</v>
      </c>
      <c r="F3403" s="8" t="str">
        <f ca="1">IFERROR(__xludf.DUMMYFUNCTION("IF
(
C3404=""фізична особа""
,
VLOOKUP(D3404,IMPORTRANGE(""https://docs.google.com/spreadsheets/d/14Bd19lYaqBhU8_DElYkX7l4wRkHqqCUFNJY4AfY3kHU/edit?usp=sharing  #gid=0"",""фіз особи new!relations_name""),6,FALSE)
,
(IF
(
C3404=""юридична особа""
,
VLOOKUP"&amp;"(D3404,IMPORTRANGE(""https://docs.google.com/spreadsheets/d/14Bd19lYaqBhU8_DElYkX7l4wRkHqqCUFNJY4AfY3kHU/edit?usp=sharing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3" s="7" t="s">
        <v>10</v>
      </c>
      <c r="H3403" s="7">
        <v>974</v>
      </c>
      <c r="I3403" s="8" t="str">
        <f ca="1">IFERROR(__xludf.DUMMYFUNCTION("IF
(
G3404=""фізична особа""
,
VLOOKUP(H3404,IMPORTRANGE(""https://docs.google.com/spreadsheets/d/14Bd19lYaqBhU8_DElYkX7l4wRkHqqCUFNJY4AfY3kHU/edit?usp=sharing  #gid=0"",""фіз особи new!relations_name""),6,FALSE)
,
(IF
(
G3404=""юридична особа""
,
VLOOKUP"&amp;"(H3404,IMPORTRANGE(""https://docs.google.com/spreadsheets/d/14Bd19lYaqBhU8_DElYkX7l4wRkHqqCUFNJY4AfY3kHU/edit?usp=sharing  #gid=0"",""фіз особи new!relations_name_uo""),7,FALSE)
,
)
))"),"ПАНФЬОРОВ Олексій Валерійович")</f>
        <v>ПАНФЬОРОВ Олексій Валерійович</v>
      </c>
      <c r="J3403" s="7" t="s">
        <v>11</v>
      </c>
    </row>
    <row r="3404" spans="1:10" ht="13.2">
      <c r="A3404" s="7">
        <v>3403</v>
      </c>
      <c r="B3404" s="7">
        <v>1</v>
      </c>
      <c r="C3404" s="7" t="s">
        <v>10</v>
      </c>
      <c r="D3404" s="7">
        <v>982</v>
      </c>
      <c r="E3404" s="7" t="s">
        <v>11</v>
      </c>
      <c r="F3404" s="8" t="str">
        <f ca="1">IFERROR(__xludf.DUMMYFUNCTION("IF
(
C3405=""фізична особа""
,
VLOOKUP(D3405,IMPORTRANGE(""https://docs.google.com/spreadsheets/d/14Bd19lYaqBhU8_DElYkX7l4wRkHqqCUFNJY4AfY3kHU/edit?usp=sharing  #gid=0"",""фіз особи new!relations_name""),6,FALSE)
,
(IF
(
C3405=""юридична особа""
,
VLOOKUP"&amp;"(D3405,IMPORTRANGE(""https://docs.google.com/spreadsheets/d/14Bd19lYaqBhU8_DElYkX7l4wRkHqqCUFNJY4AfY3kHU/edit?usp=sharing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4" s="7" t="s">
        <v>10</v>
      </c>
      <c r="H3404" s="7">
        <v>983</v>
      </c>
      <c r="I3404" s="8" t="str">
        <f ca="1">IFERROR(__xludf.DUMMYFUNCTION("IF
(
G3405=""фізична особа""
,
VLOOKUP(H3405,IMPORTRANGE(""https://docs.google.com/spreadsheets/d/14Bd19lYaqBhU8_DElYkX7l4wRkHqqCUFNJY4AfY3kHU/edit?usp=sharing  #gid=0"",""фіз особи new!relations_name""),6,FALSE)
,
(IF
(
G3405=""юридична особа""
,
VLOOKUP"&amp;"(H3405,IMPORTRANGE(""https://docs.google.com/spreadsheets/d/14Bd19lYaqBhU8_DElYkX7l4wRkHqqCUFNJY4AfY3kHU/edit?usp=sharing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J3404" s="7" t="s">
        <v>11</v>
      </c>
    </row>
    <row r="3405" spans="1:10" ht="13.2">
      <c r="A3405" s="7">
        <v>3404</v>
      </c>
      <c r="B3405" s="7">
        <v>1</v>
      </c>
      <c r="C3405" s="7" t="s">
        <v>10</v>
      </c>
      <c r="D3405" s="7">
        <v>982</v>
      </c>
      <c r="E3405" s="7" t="s">
        <v>11</v>
      </c>
      <c r="F3405" s="8" t="str">
        <f ca="1">IFERROR(__xludf.DUMMYFUNCTION("IF
(
C3406=""фізична особа""
,
VLOOKUP(D3406,IMPORTRANGE(""https://docs.google.com/spreadsheets/d/14Bd19lYaqBhU8_DElYkX7l4wRkHqqCUFNJY4AfY3kHU/edit?usp=sharing  #gid=0"",""фіз особи new!relations_name""),6,FALSE)
,
(IF
(
C3406=""юридична особа""
,
VLOOKUP"&amp;"(D3406,IMPORTRANGE(""https://docs.google.com/spreadsheets/d/14Bd19lYaqBhU8_DElYkX7l4wRkHqqCUFNJY4AfY3kHU/edit?usp=sharing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5" s="7" t="s">
        <v>10</v>
      </c>
      <c r="H3405" s="7">
        <v>987</v>
      </c>
      <c r="I3405" s="8" t="str">
        <f ca="1">IFERROR(__xludf.DUMMYFUNCTION("IF
(
G3406=""фізична особа""
,
VLOOKUP(H3406,IMPORTRANGE(""https://docs.google.com/spreadsheets/d/14Bd19lYaqBhU8_DElYkX7l4wRkHqqCUFNJY4AfY3kHU/edit?usp=sharing  #gid=0"",""фіз особи new!relations_name""),6,FALSE)
,
(IF
(
G3406=""юридична особа""
,
VLOOKUP"&amp;"(H3406,IMPORTRANGE(""https://docs.google.com/spreadsheets/d/14Bd19lYaqBhU8_DElYkX7l4wRkHqqCUFNJY4AfY3kHU/edit?usp=sharing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J3405" s="7" t="s">
        <v>11</v>
      </c>
    </row>
    <row r="3406" spans="1:10" ht="13.2">
      <c r="A3406" s="7">
        <v>3405</v>
      </c>
      <c r="B3406" s="7">
        <v>1</v>
      </c>
      <c r="C3406" s="7" t="s">
        <v>10</v>
      </c>
      <c r="D3406" s="7">
        <v>982</v>
      </c>
      <c r="E3406" s="7" t="s">
        <v>11</v>
      </c>
      <c r="F3406" s="8" t="str">
        <f ca="1">IFERROR(__xludf.DUMMYFUNCTION("IF
(
C3407=""фізична особа""
,
VLOOKUP(D3407,IMPORTRANGE(""https://docs.google.com/spreadsheets/d/14Bd19lYaqBhU8_DElYkX7l4wRkHqqCUFNJY4AfY3kHU/edit?usp=sharing  #gid=0"",""фіз особи new!relations_name""),6,FALSE)
,
(IF
(
C3407=""юридична особа""
,
VLOOKUP"&amp;"(D3407,IMPORTRANGE(""https://docs.google.com/spreadsheets/d/14Bd19lYaqBhU8_DElYkX7l4wRkHqqCUFNJY4AfY3kHU/edit?usp=sharing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G3406" s="7" t="s">
        <v>10</v>
      </c>
      <c r="H3406" s="7">
        <v>992</v>
      </c>
      <c r="I3406" s="8" t="str">
        <f ca="1">IFERROR(__xludf.DUMMYFUNCTION("IF
(
G3407=""фізична особа""
,
VLOOKUP(H3407,IMPORTRANGE(""https://docs.google.com/spreadsheets/d/14Bd19lYaqBhU8_DElYkX7l4wRkHqqCUFNJY4AfY3kHU/edit?usp=sharing  #gid=0"",""фіз особи new!relations_name""),6,FALSE)
,
(IF
(
G3407=""юридична особа""
,
VLOOKUP"&amp;"(H3407,IMPORTRANGE(""https://docs.google.com/spreadsheets/d/14Bd19lYaqBhU8_DElYkX7l4wRkHqqCUFNJY4AfY3kHU/edit?usp=sharing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406" s="7" t="s">
        <v>11</v>
      </c>
    </row>
    <row r="3407" spans="1:10" ht="13.2">
      <c r="A3407" s="7">
        <v>3406</v>
      </c>
      <c r="B3407" s="7">
        <v>1</v>
      </c>
      <c r="C3407" s="7" t="s">
        <v>10</v>
      </c>
      <c r="D3407" s="7">
        <v>983</v>
      </c>
      <c r="E3407" s="7" t="s">
        <v>11</v>
      </c>
      <c r="F3407" s="8" t="str">
        <f ca="1">IFERROR(__xludf.DUMMYFUNCTION("IF
(
C3408=""фізична особа""
,
VLOOKUP(D3408,IMPORTRANGE(""https://docs.google.com/spreadsheets/d/14Bd19lYaqBhU8_DElYkX7l4wRkHqqCUFNJY4AfY3kHU/edit?usp=sharing  #gid=0"",""фіз особи new!relations_name""),6,FALSE)
,
(IF
(
C3408=""юридична особа""
,
VLOOKUP"&amp;"(D3408,IMPORTRANGE(""https://docs.google.com/spreadsheets/d/14Bd19lYaqBhU8_DElYkX7l4wRkHqqCUFNJY4AfY3kHU/edit?usp=sharing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07" s="7" t="s">
        <v>10</v>
      </c>
      <c r="H3407" s="7">
        <v>990</v>
      </c>
      <c r="I3407" s="8" t="str">
        <f ca="1">IFERROR(__xludf.DUMMYFUNCTION("IF
(
G3408=""фізична особа""
,
VLOOKUP(H3408,IMPORTRANGE(""https://docs.google.com/spreadsheets/d/14Bd19lYaqBhU8_DElYkX7l4wRkHqqCUFNJY4AfY3kHU/edit?usp=sharing  #gid=0"",""фіз особи new!relations_name""),6,FALSE)
,
(IF
(
G3408=""юридична особа""
,
VLOOKUP"&amp;"(H3408,IMPORTRANGE(""https://docs.google.com/spreadsheets/d/14Bd19lYaqBhU8_DElYkX7l4wRkHqqCUFNJY4AfY3kHU/edit?usp=sharing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J3407" s="7" t="s">
        <v>11</v>
      </c>
    </row>
    <row r="3408" spans="1:10" ht="13.2">
      <c r="A3408" s="7">
        <v>3407</v>
      </c>
      <c r="B3408" s="7">
        <v>1</v>
      </c>
      <c r="C3408" s="7" t="s">
        <v>10</v>
      </c>
      <c r="D3408" s="7">
        <v>983</v>
      </c>
      <c r="E3408" s="7" t="s">
        <v>11</v>
      </c>
      <c r="F3408" s="8" t="str">
        <f ca="1">IFERROR(__xludf.DUMMYFUNCTION("IF
(
C3409=""фізична особа""
,
VLOOKUP(D3409,IMPORTRANGE(""https://docs.google.com/spreadsheets/d/14Bd19lYaqBhU8_DElYkX7l4wRkHqqCUFNJY4AfY3kHU/edit?usp=sharing  #gid=0"",""фіз особи new!relations_name""),6,FALSE)
,
(IF
(
C3409=""юридична особа""
,
VLOOKUP"&amp;"(D3409,IMPORTRANGE(""https://docs.google.com/spreadsheets/d/14Bd19lYaqBhU8_DElYkX7l4wRkHqqCUFNJY4AfY3kHU/edit?usp=sharing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08" s="7" t="s">
        <v>10</v>
      </c>
      <c r="H3408" s="7">
        <v>993</v>
      </c>
      <c r="I3408" s="8" t="str">
        <f ca="1">IFERROR(__xludf.DUMMYFUNCTION("IF
(
G3409=""фізична особа""
,
VLOOKUP(H3409,IMPORTRANGE(""https://docs.google.com/spreadsheets/d/14Bd19lYaqBhU8_DElYkX7l4wRkHqqCUFNJY4AfY3kHU/edit?usp=sharing  #gid=0"",""фіз особи new!relations_name""),6,FALSE)
,
(IF
(
G3409=""юридична особа""
,
VLOOKUP"&amp;"(H3409,IMPORTRANGE(""https://docs.google.com/spreadsheets/d/14Bd19lYaqBhU8_DElYkX7l4wRkHqqCUFNJY4AfY3kHU/edit?usp=sharing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08" s="7" t="s">
        <v>11</v>
      </c>
    </row>
    <row r="3409" spans="1:10" ht="13.2">
      <c r="A3409" s="7">
        <v>3408</v>
      </c>
      <c r="B3409" s="7">
        <v>1</v>
      </c>
      <c r="C3409" s="7" t="s">
        <v>10</v>
      </c>
      <c r="D3409" s="7">
        <v>983</v>
      </c>
      <c r="E3409" s="7" t="s">
        <v>11</v>
      </c>
      <c r="F3409" s="8" t="str">
        <f ca="1">IFERROR(__xludf.DUMMYFUNCTION("IF
(
C3410=""фізична особа""
,
VLOOKUP(D3410,IMPORTRANGE(""https://docs.google.com/spreadsheets/d/14Bd19lYaqBhU8_DElYkX7l4wRkHqqCUFNJY4AfY3kHU/edit?usp=sharing  #gid=0"",""фіз особи new!relations_name""),6,FALSE)
,
(IF
(
C3410=""юридична особа""
,
VLOOKUP"&amp;"(D3410,IMPORTRANGE(""https://docs.google.com/spreadsheets/d/14Bd19lYaqBhU8_DElYkX7l4wRkHqqCUFNJY4AfY3kHU/edit?usp=sharing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09" s="7" t="s">
        <v>10</v>
      </c>
      <c r="H3409" s="7">
        <v>979</v>
      </c>
      <c r="I3409" s="8" t="str">
        <f ca="1">IFERROR(__xludf.DUMMYFUNCTION("IF
(
G3410=""фізична особа""
,
VLOOKUP(H3410,IMPORTRANGE(""https://docs.google.com/spreadsheets/d/14Bd19lYaqBhU8_DElYkX7l4wRkHqqCUFNJY4AfY3kHU/edit?usp=sharing  #gid=0"",""фіз особи new!relations_name""),6,FALSE)
,
(IF
(
G3410=""юридична особа""
,
VLOOKUP"&amp;"(H3410,IMPORTRANGE(""https://docs.google.com/spreadsheets/d/14Bd19lYaqBhU8_DElYkX7l4wRkHqqCUFNJY4AfY3kHU/edit?usp=sharing  #gid=0"",""фіз особи new!relations_name_uo""),7,FALSE)
,
)
))"),"БОРІС Альберт Олександрович")</f>
        <v>БОРІС Альберт Олександрович</v>
      </c>
      <c r="J3409" s="7" t="s">
        <v>11</v>
      </c>
    </row>
    <row r="3410" spans="1:10" ht="13.2">
      <c r="A3410" s="7">
        <v>3409</v>
      </c>
      <c r="B3410" s="7">
        <v>1</v>
      </c>
      <c r="C3410" s="7" t="s">
        <v>10</v>
      </c>
      <c r="D3410" s="7">
        <v>983</v>
      </c>
      <c r="E3410" s="7" t="s">
        <v>11</v>
      </c>
      <c r="F3410" s="8" t="str">
        <f ca="1">IFERROR(__xludf.DUMMYFUNCTION("IF
(
C3411=""фізична особа""
,
VLOOKUP(D3411,IMPORTRANGE(""https://docs.google.com/spreadsheets/d/14Bd19lYaqBhU8_DElYkX7l4wRkHqqCUFNJY4AfY3kHU/edit?usp=sharing  #gid=0"",""фіз особи new!relations_name""),6,FALSE)
,
(IF
(
C3411=""юридична особа""
,
VLOOKUP"&amp;"(D3411,IMPORTRANGE(""https://docs.google.com/spreadsheets/d/14Bd19lYaqBhU8_DElYkX7l4wRkHqqCUFNJY4AfY3kHU/edit?usp=sharing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0" s="7" t="s">
        <v>10</v>
      </c>
      <c r="H3410" s="7">
        <v>976</v>
      </c>
      <c r="I3410" s="8" t="str">
        <f ca="1">IFERROR(__xludf.DUMMYFUNCTION("IF
(
G3411=""фізична особа""
,
VLOOKUP(H3411,IMPORTRANGE(""https://docs.google.com/spreadsheets/d/14Bd19lYaqBhU8_DElYkX7l4wRkHqqCUFNJY4AfY3kHU/edit?usp=sharing  #gid=0"",""фіз особи new!relations_name""),6,FALSE)
,
(IF
(
G3411=""юридична особа""
,
VLOOKUP"&amp;"(H3411,IMPORTRANGE(""https://docs.google.com/spreadsheets/d/14Bd19lYaqBhU8_DElYkX7l4wRkHqqCUFNJY4AfY3kHU/edit?usp=sharing  #gid=0"",""фіз особи new!relations_name_uo""),7,FALSE)
,
)
))"),"АВТУХОВ Михайло Олегович")</f>
        <v>АВТУХОВ Михайло Олегович</v>
      </c>
      <c r="J3410" s="7" t="s">
        <v>11</v>
      </c>
    </row>
    <row r="3411" spans="1:10" ht="13.2">
      <c r="A3411" s="7">
        <v>3410</v>
      </c>
      <c r="B3411" s="7">
        <v>1</v>
      </c>
      <c r="C3411" s="7" t="s">
        <v>10</v>
      </c>
      <c r="D3411" s="7">
        <v>983</v>
      </c>
      <c r="E3411" s="7" t="s">
        <v>11</v>
      </c>
      <c r="F3411" s="8" t="str">
        <f ca="1">IFERROR(__xludf.DUMMYFUNCTION("IF
(
C3412=""фізична особа""
,
VLOOKUP(D3412,IMPORTRANGE(""https://docs.google.com/spreadsheets/d/14Bd19lYaqBhU8_DElYkX7l4wRkHqqCUFNJY4AfY3kHU/edit?usp=sharing  #gid=0"",""фіз особи new!relations_name""),6,FALSE)
,
(IF
(
C3412=""юридична особа""
,
VLOOKUP"&amp;"(D3412,IMPORTRANGE(""https://docs.google.com/spreadsheets/d/14Bd19lYaqBhU8_DElYkX7l4wRkHqqCUFNJY4AfY3kHU/edit?usp=sharing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1" s="7" t="s">
        <v>10</v>
      </c>
      <c r="H3411" s="7">
        <v>11961</v>
      </c>
      <c r="I3411" s="8" t="str">
        <f ca="1">IFERROR(__xludf.DUMMYFUNCTION("IF
(
G3412=""фізична особа""
,
VLOOKUP(H3412,IMPORTRANGE(""https://docs.google.com/spreadsheets/d/14Bd19lYaqBhU8_DElYkX7l4wRkHqqCUFNJY4AfY3kHU/edit?usp=sharing  #gid=0"",""фіз особи new!relations_name""),6,FALSE)
,
(IF
(
G3412=""юридична особа""
,
VLOOKUP"&amp;"(H3412,IMPORTRANGE(""https://docs.google.com/spreadsheets/d/14Bd19lYaqBhU8_DElYkX7l4wRkHqqCUFNJY4AfY3kHU/edit?usp=sharing  #gid=0"",""фіз особи new!relations_name_uo""),7,FALSE)
,
)
))"),"ГУСЄВ Дмитро Володимирович")</f>
        <v>ГУСЄВ Дмитро Володимирович</v>
      </c>
      <c r="J3411" s="7" t="s">
        <v>11</v>
      </c>
    </row>
    <row r="3412" spans="1:10" ht="13.2">
      <c r="A3412" s="7">
        <v>3411</v>
      </c>
      <c r="B3412" s="7">
        <v>1</v>
      </c>
      <c r="C3412" s="7" t="s">
        <v>10</v>
      </c>
      <c r="D3412" s="7">
        <v>983</v>
      </c>
      <c r="E3412" s="7" t="s">
        <v>11</v>
      </c>
      <c r="F3412" s="8" t="str">
        <f ca="1">IFERROR(__xludf.DUMMYFUNCTION("IF
(
C3413=""фізична особа""
,
VLOOKUP(D3413,IMPORTRANGE(""https://docs.google.com/spreadsheets/d/14Bd19lYaqBhU8_DElYkX7l4wRkHqqCUFNJY4AfY3kHU/edit?usp=sharing  #gid=0"",""фіз особи new!relations_name""),6,FALSE)
,
(IF
(
C3413=""юридична особа""
,
VLOOKUP"&amp;"(D3413,IMPORTRANGE(""https://docs.google.com/spreadsheets/d/14Bd19lYaqBhU8_DElYkX7l4wRkHqqCUFNJY4AfY3kHU/edit?usp=sharing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2" s="7" t="s">
        <v>10</v>
      </c>
      <c r="H3412" s="7">
        <v>991</v>
      </c>
      <c r="I3412" s="8" t="str">
        <f ca="1">IFERROR(__xludf.DUMMYFUNCTION("IF
(
G3413=""фізична особа""
,
VLOOKUP(H3413,IMPORTRANGE(""https://docs.google.com/spreadsheets/d/14Bd19lYaqBhU8_DElYkX7l4wRkHqqCUFNJY4AfY3kHU/edit?usp=sharing  #gid=0"",""фіз особи new!relations_name""),6,FALSE)
,
(IF
(
G3413=""юридична особа""
,
VLOOKUP"&amp;"(H3413,IMPORTRANGE(""https://docs.google.com/spreadsheets/d/14Bd19lYaqBhU8_DElYkX7l4wRkHqqCUFNJY4AfY3kHU/edit?usp=sharing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12" s="7" t="s">
        <v>11</v>
      </c>
    </row>
    <row r="3413" spans="1:10" ht="13.2">
      <c r="A3413" s="7">
        <v>3412</v>
      </c>
      <c r="B3413" s="7">
        <v>1</v>
      </c>
      <c r="C3413" s="7" t="s">
        <v>10</v>
      </c>
      <c r="D3413" s="7">
        <v>983</v>
      </c>
      <c r="E3413" s="7" t="s">
        <v>11</v>
      </c>
      <c r="F3413" s="8" t="str">
        <f ca="1">IFERROR(__xludf.DUMMYFUNCTION("IF
(
C3414=""фізична особа""
,
VLOOKUP(D3414,IMPORTRANGE(""https://docs.google.com/spreadsheets/d/14Bd19lYaqBhU8_DElYkX7l4wRkHqqCUFNJY4AfY3kHU/edit?usp=sharing  #gid=0"",""фіз особи new!relations_name""),6,FALSE)
,
(IF
(
C3414=""юридична особа""
,
VLOOKUP"&amp;"(D3414,IMPORTRANGE(""https://docs.google.com/spreadsheets/d/14Bd19lYaqBhU8_DElYkX7l4wRkHqqCUFNJY4AfY3kHU/edit?usp=sharing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3" s="7" t="s">
        <v>10</v>
      </c>
      <c r="H3413" s="7">
        <v>978</v>
      </c>
      <c r="I3413" s="8" t="str">
        <f ca="1">IFERROR(__xludf.DUMMYFUNCTION("IF
(
G3414=""фізична особа""
,
VLOOKUP(H3414,IMPORTRANGE(""https://docs.google.com/spreadsheets/d/14Bd19lYaqBhU8_DElYkX7l4wRkHqqCUFNJY4AfY3kHU/edit?usp=sharing  #gid=0"",""фіз особи new!relations_name""),6,FALSE)
,
(IF
(
G3414=""юридична особа""
,
VLOOKUP"&amp;"(H3414,IMPORTRANGE(""https://docs.google.com/spreadsheets/d/14Bd19lYaqBhU8_DElYkX7l4wRkHqqCUFNJY4AfY3kHU/edit?usp=sharing  #gid=0"",""фіз особи new!relations_name_uo""),7,FALSE)
,
)
))"),"БОНДАРОВИЧ Сергій Миколайович")</f>
        <v>БОНДАРОВИЧ Сергій Миколайович</v>
      </c>
      <c r="J3413" s="7" t="s">
        <v>11</v>
      </c>
    </row>
    <row r="3414" spans="1:10" ht="13.2">
      <c r="A3414" s="7">
        <v>3413</v>
      </c>
      <c r="B3414" s="7">
        <v>1</v>
      </c>
      <c r="C3414" s="7" t="s">
        <v>10</v>
      </c>
      <c r="D3414" s="7">
        <v>983</v>
      </c>
      <c r="E3414" s="7" t="s">
        <v>11</v>
      </c>
      <c r="F3414" s="8" t="str">
        <f ca="1">IFERROR(__xludf.DUMMYFUNCTION("IF
(
C3415=""фізична особа""
,
VLOOKUP(D3415,IMPORTRANGE(""https://docs.google.com/spreadsheets/d/14Bd19lYaqBhU8_DElYkX7l4wRkHqqCUFNJY4AfY3kHU/edit?usp=sharing  #gid=0"",""фіз особи new!relations_name""),6,FALSE)
,
(IF
(
C3415=""юридична особа""
,
VLOOKUP"&amp;"(D3415,IMPORTRANGE(""https://docs.google.com/spreadsheets/d/14Bd19lYaqBhU8_DElYkX7l4wRkHqqCUFNJY4AfY3kHU/edit?usp=sharing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4" s="7" t="s">
        <v>10</v>
      </c>
      <c r="H3414" s="7">
        <v>988</v>
      </c>
      <c r="I3414" s="8" t="str">
        <f ca="1">IFERROR(__xludf.DUMMYFUNCTION("IF
(
G3415=""фізична особа""
,
VLOOKUP(H3415,IMPORTRANGE(""https://docs.google.com/spreadsheets/d/14Bd19lYaqBhU8_DElYkX7l4wRkHqqCUFNJY4AfY3kHU/edit?usp=sharing  #gid=0"",""фіз особи new!relations_name""),6,FALSE)
,
(IF
(
G3415=""юридична особа""
,
VLOOKUP"&amp;"(H3415,IMPORTRANGE(""https://docs.google.com/spreadsheets/d/14Bd19lYaqBhU8_DElYkX7l4wRkHqqCUFNJY4AfY3kHU/edit?usp=sharing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414" s="7" t="s">
        <v>11</v>
      </c>
    </row>
    <row r="3415" spans="1:10" ht="13.2">
      <c r="A3415" s="7">
        <v>3414</v>
      </c>
      <c r="B3415" s="7">
        <v>1</v>
      </c>
      <c r="C3415" s="7" t="s">
        <v>10</v>
      </c>
      <c r="D3415" s="7">
        <v>983</v>
      </c>
      <c r="E3415" s="7" t="s">
        <v>11</v>
      </c>
      <c r="F3415" s="8" t="str">
        <f ca="1">IFERROR(__xludf.DUMMYFUNCTION("IF
(
C3416=""фізична особа""
,
VLOOKUP(D3416,IMPORTRANGE(""https://docs.google.com/spreadsheets/d/14Bd19lYaqBhU8_DElYkX7l4wRkHqqCUFNJY4AfY3kHU/edit?usp=sharing  #gid=0"",""фіз особи new!relations_name""),6,FALSE)
,
(IF
(
C3416=""юридична особа""
,
VLOOKUP"&amp;"(D3416,IMPORTRANGE(""https://docs.google.com/spreadsheets/d/14Bd19lYaqBhU8_DElYkX7l4wRkHqqCUFNJY4AfY3kHU/edit?usp=sharing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5" s="7" t="s">
        <v>10</v>
      </c>
      <c r="H3415" s="7">
        <v>980</v>
      </c>
      <c r="I3415" s="8" t="str">
        <f ca="1">IFERROR(__xludf.DUMMYFUNCTION("IF
(
G3416=""фізична особа""
,
VLOOKUP(H3416,IMPORTRANGE(""https://docs.google.com/spreadsheets/d/14Bd19lYaqBhU8_DElYkX7l4wRkHqqCUFNJY4AfY3kHU/edit?usp=sharing  #gid=0"",""фіз особи new!relations_name""),6,FALSE)
,
(IF
(
G3416=""юридична особа""
,
VLOOKUP"&amp;"(H3416,IMPORTRANGE(""https://docs.google.com/spreadsheets/d/14Bd19lYaqBhU8_DElYkX7l4wRkHqqCUFNJY4AfY3kHU/edit?usp=sharing  #gid=0"",""фіз особи new!relations_name_uo""),7,FALSE)
,
)
))"),"БРАВЕРМАН Анатолій Олександрович")</f>
        <v>БРАВЕРМАН Анатолій Олександрович</v>
      </c>
      <c r="J3415" s="7" t="s">
        <v>11</v>
      </c>
    </row>
    <row r="3416" spans="1:10" ht="13.2">
      <c r="A3416" s="7">
        <v>3415</v>
      </c>
      <c r="B3416" s="7">
        <v>1</v>
      </c>
      <c r="C3416" s="7" t="s">
        <v>10</v>
      </c>
      <c r="D3416" s="7">
        <v>983</v>
      </c>
      <c r="E3416" s="7" t="s">
        <v>11</v>
      </c>
      <c r="F3416" s="8" t="str">
        <f ca="1">IFERROR(__xludf.DUMMYFUNCTION("IF
(
C3417=""фізична особа""
,
VLOOKUP(D3417,IMPORTRANGE(""https://docs.google.com/spreadsheets/d/14Bd19lYaqBhU8_DElYkX7l4wRkHqqCUFNJY4AfY3kHU/edit?usp=sharing  #gid=0"",""фіз особи new!relations_name""),6,FALSE)
,
(IF
(
C3417=""юридична особа""
,
VLOOKUP"&amp;"(D3417,IMPORTRANGE(""https://docs.google.com/spreadsheets/d/14Bd19lYaqBhU8_DElYkX7l4wRkHqqCUFNJY4AfY3kHU/edit?usp=sharing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6" s="7" t="s">
        <v>10</v>
      </c>
      <c r="H3416" s="7">
        <v>989</v>
      </c>
      <c r="I3416" s="8" t="str">
        <f ca="1">IFERROR(__xludf.DUMMYFUNCTION("IF
(
G3417=""фізична особа""
,
VLOOKUP(H3417,IMPORTRANGE(""https://docs.google.com/spreadsheets/d/14Bd19lYaqBhU8_DElYkX7l4wRkHqqCUFNJY4AfY3kHU/edit?usp=sharing  #gid=0"",""фіз особи new!relations_name""),6,FALSE)
,
(IF
(
G3417=""юридична особа""
,
VLOOKUP"&amp;"(H3417,IMPORTRANGE(""https://docs.google.com/spreadsheets/d/14Bd19lYaqBhU8_DElYkX7l4wRkHqqCUFNJY4AfY3kHU/edit?usp=sharing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416" s="7" t="s">
        <v>11</v>
      </c>
    </row>
    <row r="3417" spans="1:10" ht="13.2">
      <c r="A3417" s="7">
        <v>3416</v>
      </c>
      <c r="B3417" s="7">
        <v>1</v>
      </c>
      <c r="C3417" s="7" t="s">
        <v>10</v>
      </c>
      <c r="D3417" s="7">
        <v>983</v>
      </c>
      <c r="E3417" s="7" t="s">
        <v>11</v>
      </c>
      <c r="F3417" s="8" t="str">
        <f ca="1">IFERROR(__xludf.DUMMYFUNCTION("IF
(
C3418=""фізична особа""
,
VLOOKUP(D3418,IMPORTRANGE(""https://docs.google.com/spreadsheets/d/14Bd19lYaqBhU8_DElYkX7l4wRkHqqCUFNJY4AfY3kHU/edit?usp=sharing  #gid=0"",""фіз особи new!relations_name""),6,FALSE)
,
(IF
(
C3418=""юридична особа""
,
VLOOKUP"&amp;"(D3418,IMPORTRANGE(""https://docs.google.com/spreadsheets/d/14Bd19lYaqBhU8_DElYkX7l4wRkHqqCUFNJY4AfY3kHU/edit?usp=sharing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7" s="7" t="s">
        <v>10</v>
      </c>
      <c r="H3417" s="7">
        <v>977</v>
      </c>
      <c r="I3417" s="8" t="str">
        <f ca="1">IFERROR(__xludf.DUMMYFUNCTION("IF
(
G3418=""фізична особа""
,
VLOOKUP(H3418,IMPORTRANGE(""https://docs.google.com/spreadsheets/d/14Bd19lYaqBhU8_DElYkX7l4wRkHqqCUFNJY4AfY3kHU/edit?usp=sharing  #gid=0"",""фіз особи new!relations_name""),6,FALSE)
,
(IF
(
G3418=""юридична особа""
,
VLOOKUP"&amp;"(H3418,IMPORTRANGE(""https://docs.google.com/spreadsheets/d/14Bd19lYaqBhU8_DElYkX7l4wRkHqqCUFNJY4AfY3kHU/edit?usp=sharing  #gid=0"",""фіз особи new!relations_name_uo""),7,FALSE)
,
)
))"),"БАРИШНІКОВ Дмитро Володимирович")</f>
        <v>БАРИШНІКОВ Дмитро Володимирович</v>
      </c>
      <c r="J3417" s="7" t="s">
        <v>11</v>
      </c>
    </row>
    <row r="3418" spans="1:10" ht="13.2">
      <c r="A3418" s="7">
        <v>3417</v>
      </c>
      <c r="B3418" s="7">
        <v>1</v>
      </c>
      <c r="C3418" s="7" t="s">
        <v>10</v>
      </c>
      <c r="D3418" s="7">
        <v>983</v>
      </c>
      <c r="E3418" s="7" t="s">
        <v>11</v>
      </c>
      <c r="F3418" s="8" t="str">
        <f ca="1">IFERROR(__xludf.DUMMYFUNCTION("IF
(
C3419=""фізична особа""
,
VLOOKUP(D3419,IMPORTRANGE(""https://docs.google.com/spreadsheets/d/14Bd19lYaqBhU8_DElYkX7l4wRkHqqCUFNJY4AfY3kHU/edit?usp=sharing  #gid=0"",""фіз особи new!relations_name""),6,FALSE)
,
(IF
(
C3419=""юридична особа""
,
VLOOKUP"&amp;"(D3419,IMPORTRANGE(""https://docs.google.com/spreadsheets/d/14Bd19lYaqBhU8_DElYkX7l4wRkHqqCUFNJY4AfY3kHU/edit?usp=sharing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8" s="7" t="s">
        <v>10</v>
      </c>
      <c r="H3418" s="7">
        <v>974</v>
      </c>
      <c r="I3418" s="8" t="str">
        <f ca="1">IFERROR(__xludf.DUMMYFUNCTION("IF
(
G3419=""фізична особа""
,
VLOOKUP(H3419,IMPORTRANGE(""https://docs.google.com/spreadsheets/d/14Bd19lYaqBhU8_DElYkX7l4wRkHqqCUFNJY4AfY3kHU/edit?usp=sharing  #gid=0"",""фіз особи new!relations_name""),6,FALSE)
,
(IF
(
G3419=""юридична особа""
,
VLOOKUP"&amp;"(H3419,IMPORTRANGE(""https://docs.google.com/spreadsheets/d/14Bd19lYaqBhU8_DElYkX7l4wRkHqqCUFNJY4AfY3kHU/edit?usp=sharing  #gid=0"",""фіз особи new!relations_name_uo""),7,FALSE)
,
)
))"),"ПАНФЬОРОВ Олексій Валерійович")</f>
        <v>ПАНФЬОРОВ Олексій Валерійович</v>
      </c>
      <c r="J3418" s="7" t="s">
        <v>11</v>
      </c>
    </row>
    <row r="3419" spans="1:10" ht="13.2">
      <c r="A3419" s="7">
        <v>3418</v>
      </c>
      <c r="B3419" s="7">
        <v>1</v>
      </c>
      <c r="C3419" s="7" t="s">
        <v>10</v>
      </c>
      <c r="D3419" s="7">
        <v>983</v>
      </c>
      <c r="E3419" s="7" t="s">
        <v>11</v>
      </c>
      <c r="F3419" s="8" t="str">
        <f ca="1">IFERROR(__xludf.DUMMYFUNCTION("IF
(
C3420=""фізична особа""
,
VLOOKUP(D3420,IMPORTRANGE(""https://docs.google.com/spreadsheets/d/14Bd19lYaqBhU8_DElYkX7l4wRkHqqCUFNJY4AfY3kHU/edit?usp=sharing  #gid=0"",""фіз особи new!relations_name""),6,FALSE)
,
(IF
(
C3420=""юридична особа""
,
VLOOKUP"&amp;"(D3420,IMPORTRANGE(""https://docs.google.com/spreadsheets/d/14Bd19lYaqBhU8_DElYkX7l4wRkHqqCUFNJY4AfY3kHU/edit?usp=sharing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19" s="7" t="s">
        <v>10</v>
      </c>
      <c r="H3419" s="7">
        <v>982</v>
      </c>
      <c r="I3419" s="8" t="str">
        <f ca="1">IFERROR(__xludf.DUMMYFUNCTION("IF
(
G3420=""фізична особа""
,
VLOOKUP(H3420,IMPORTRANGE(""https://docs.google.com/spreadsheets/d/14Bd19lYaqBhU8_DElYkX7l4wRkHqqCUFNJY4AfY3kHU/edit?usp=sharing  #gid=0"",""фіз особи new!relations_name""),6,FALSE)
,
(IF
(
G3420=""юридична особа""
,
VLOOKUP"&amp;"(H3420,IMPORTRANGE(""https://docs.google.com/spreadsheets/d/14Bd19lYaqBhU8_DElYkX7l4wRkHqqCUFNJY4AfY3kHU/edit?usp=sharing  #gid=0"",""фіз особи new!relations_name_uo""),7,FALSE)
,
)
))"),"ЧЄРСТВОВА Олена Олександрівна")</f>
        <v>ЧЄРСТВОВА Олена Олександрівна</v>
      </c>
      <c r="J3419" s="7" t="s">
        <v>11</v>
      </c>
    </row>
    <row r="3420" spans="1:10" ht="13.2">
      <c r="A3420" s="7">
        <v>3419</v>
      </c>
      <c r="B3420" s="7">
        <v>1</v>
      </c>
      <c r="C3420" s="7" t="s">
        <v>10</v>
      </c>
      <c r="D3420" s="7">
        <v>983</v>
      </c>
      <c r="E3420" s="7" t="s">
        <v>11</v>
      </c>
      <c r="F3420" s="8" t="str">
        <f ca="1">IFERROR(__xludf.DUMMYFUNCTION("IF
(
C3421=""фізична особа""
,
VLOOKUP(D3421,IMPORTRANGE(""https://docs.google.com/spreadsheets/d/14Bd19lYaqBhU8_DElYkX7l4wRkHqqCUFNJY4AfY3kHU/edit?usp=sharing  #gid=0"",""фіз особи new!relations_name""),6,FALSE)
,
(IF
(
C3421=""юридична особа""
,
VLOOKUP"&amp;"(D3421,IMPORTRANGE(""https://docs.google.com/spreadsheets/d/14Bd19lYaqBhU8_DElYkX7l4wRkHqqCUFNJY4AfY3kHU/edit?usp=sharing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20" s="7" t="s">
        <v>10</v>
      </c>
      <c r="H3420" s="7">
        <v>987</v>
      </c>
      <c r="I3420" s="8" t="str">
        <f ca="1">IFERROR(__xludf.DUMMYFUNCTION("IF
(
G3421=""фізична особа""
,
VLOOKUP(H3421,IMPORTRANGE(""https://docs.google.com/spreadsheets/d/14Bd19lYaqBhU8_DElYkX7l4wRkHqqCUFNJY4AfY3kHU/edit?usp=sharing  #gid=0"",""фіз особи new!relations_name""),6,FALSE)
,
(IF
(
G3421=""юридична особа""
,
VLOOKUP"&amp;"(H3421,IMPORTRANGE(""https://docs.google.com/spreadsheets/d/14Bd19lYaqBhU8_DElYkX7l4wRkHqqCUFNJY4AfY3kHU/edit?usp=sharing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J3420" s="7" t="s">
        <v>11</v>
      </c>
    </row>
    <row r="3421" spans="1:10" ht="13.2">
      <c r="A3421" s="7">
        <v>3420</v>
      </c>
      <c r="B3421" s="7">
        <v>1</v>
      </c>
      <c r="C3421" s="7" t="s">
        <v>10</v>
      </c>
      <c r="D3421" s="7">
        <v>983</v>
      </c>
      <c r="E3421" s="7" t="s">
        <v>11</v>
      </c>
      <c r="F3421" s="8" t="str">
        <f ca="1">IFERROR(__xludf.DUMMYFUNCTION("IF
(
C3422=""фізична особа""
,
VLOOKUP(D3422,IMPORTRANGE(""https://docs.google.com/spreadsheets/d/14Bd19lYaqBhU8_DElYkX7l4wRkHqqCUFNJY4AfY3kHU/edit?usp=sharing  #gid=0"",""фіз особи new!relations_name""),6,FALSE)
,
(IF
(
C3422=""юридична особа""
,
VLOOKUP"&amp;"(D3422,IMPORTRANGE(""https://docs.google.com/spreadsheets/d/14Bd19lYaqBhU8_DElYkX7l4wRkHqqCUFNJY4AfY3kHU/edit?usp=sharing  #gid=0"",""фіз особи new!relations_name_uo""),7,FALSE)
,
)
))"),"ФІСУН Олексій Леонідович")</f>
        <v>ФІСУН Олексій Леонідович</v>
      </c>
      <c r="G3421" s="7" t="s">
        <v>10</v>
      </c>
      <c r="H3421" s="7">
        <v>992</v>
      </c>
      <c r="I3421" s="8" t="str">
        <f ca="1">IFERROR(__xludf.DUMMYFUNCTION("IF
(
G3422=""фізична особа""
,
VLOOKUP(H3422,IMPORTRANGE(""https://docs.google.com/spreadsheets/d/14Bd19lYaqBhU8_DElYkX7l4wRkHqqCUFNJY4AfY3kHU/edit?usp=sharing  #gid=0"",""фіз особи new!relations_name""),6,FALSE)
,
(IF
(
G3422=""юридична особа""
,
VLOOKUP"&amp;"(H3422,IMPORTRANGE(""https://docs.google.com/spreadsheets/d/14Bd19lYaqBhU8_DElYkX7l4wRkHqqCUFNJY4AfY3kHU/edit?usp=sharing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421" s="7" t="s">
        <v>11</v>
      </c>
    </row>
    <row r="3422" spans="1:10" ht="13.2">
      <c r="A3422" s="7">
        <v>3421</v>
      </c>
      <c r="B3422" s="7">
        <v>1</v>
      </c>
      <c r="C3422" s="7" t="s">
        <v>10</v>
      </c>
      <c r="D3422" s="7">
        <v>984</v>
      </c>
      <c r="E3422" s="7" t="s">
        <v>17</v>
      </c>
      <c r="F3422" s="8" t="str">
        <f ca="1">IFERROR(__xludf.DUMMYFUNCTION("IF
(
C3423=""фізична особа""
,
VLOOKUP(D3423,IMPORTRANGE(""https://docs.google.com/spreadsheets/d/14Bd19lYaqBhU8_DElYkX7l4wRkHqqCUFNJY4AfY3kHU/edit?usp=sharing  #gid=0"",""фіз особи new!relations_name""),6,FALSE)
,
(IF
(
C3423=""юридична особа""
,
VLOOKUP"&amp;"(D3423,IMPORTRANGE(""https://docs.google.com/spreadsheets/d/14Bd19lYaqBhU8_DElYkX7l4wRkHqqCUFNJY4AfY3kHU/edit?usp=sharing  #gid=0"",""фіз особи new!relations_name_uo""),7,FALSE)
,
)
))"),"ФРАНК Гліб Сергійович")</f>
        <v>ФРАНК Гліб Сергійович</v>
      </c>
      <c r="G3422" s="7" t="s">
        <v>10</v>
      </c>
      <c r="H3422" s="7">
        <v>3307</v>
      </c>
      <c r="I3422" s="8" t="str">
        <f ca="1">IFERROR(__xludf.DUMMYFUNCTION("IF
(
G3423=""фізична особа""
,
VLOOKUP(H3423,IMPORTRANGE(""https://docs.google.com/spreadsheets/d/14Bd19lYaqBhU8_DElYkX7l4wRkHqqCUFNJY4AfY3kHU/edit?usp=sharing  #gid=0"",""фіз особи new!relations_name""),6,FALSE)
,
(IF
(
G3423=""юридична особа""
,
VLOOKUP"&amp;"(H3423,IMPORTRANGE(""https://docs.google.com/spreadsheets/d/14Bd19lYaqBhU8_DElYkX7l4wRkHqqCUFNJY4AfY3kHU/edit?usp=sharing  #gid=0"",""фіз особи new!relations_name_uo""),7,FALSE)
,
)
))"),"ФРАНК Сергій Оттович")</f>
        <v>ФРАНК Сергій Оттович</v>
      </c>
      <c r="J3422" s="7" t="s">
        <v>12</v>
      </c>
    </row>
    <row r="3423" spans="1:10" ht="13.2">
      <c r="A3423" s="7">
        <v>3422</v>
      </c>
      <c r="B3423" s="7">
        <v>1</v>
      </c>
      <c r="C3423" s="7" t="s">
        <v>10</v>
      </c>
      <c r="D3423" s="7">
        <v>984</v>
      </c>
      <c r="E3423" s="7" t="s">
        <v>26</v>
      </c>
      <c r="F3423" s="8" t="str">
        <f ca="1">IFERROR(__xludf.DUMMYFUNCTION("IF
(
C3424=""фізична особа""
,
VLOOKUP(D3424,IMPORTRANGE(""https://docs.google.com/spreadsheets/d/14Bd19lYaqBhU8_DElYkX7l4wRkHqqCUFNJY4AfY3kHU/edit?usp=sharing  #gid=0"",""фіз особи new!relations_name""),6,FALSE)
,
(IF
(
C3424=""юридична особа""
,
VLOOKUP"&amp;"(D3424,IMPORTRANGE(""https://docs.google.com/spreadsheets/d/14Bd19lYaqBhU8_DElYkX7l4wRkHqqCUFNJY4AfY3kHU/edit?usp=sharing  #gid=0"",""фіз особи new!relations_name_uo""),7,FALSE)
,
)
))"),"ФРАНК Гліб Сергійович")</f>
        <v>ФРАНК Гліб Сергійович</v>
      </c>
      <c r="G3423" s="7" t="s">
        <v>10</v>
      </c>
      <c r="H3423" s="7">
        <v>271</v>
      </c>
      <c r="I3423" s="8" t="str">
        <f ca="1">IFERROR(__xludf.DUMMYFUNCTION("IF
(
G3424=""фізична особа""
,
VLOOKUP(H3424,IMPORTRANGE(""https://docs.google.com/spreadsheets/d/14Bd19lYaqBhU8_DElYkX7l4wRkHqqCUFNJY4AfY3kHU/edit?usp=sharing  #gid=0"",""фіз особи new!relations_name""),6,FALSE)
,
(IF
(
G3424=""юридична особа""
,
VLOOKUP"&amp;"(H3424,IMPORTRANGE(""https://docs.google.com/spreadsheets/d/14Bd19lYaqBhU8_DElYkX7l4wRkHqqCUFNJY4AfY3kHU/edit?usp=sharing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J3423" s="7" t="s">
        <v>24</v>
      </c>
    </row>
    <row r="3424" spans="1:10" ht="13.2">
      <c r="A3424" s="7">
        <v>3423</v>
      </c>
      <c r="B3424" s="7">
        <v>1</v>
      </c>
      <c r="C3424" s="7" t="s">
        <v>10</v>
      </c>
      <c r="D3424" s="7">
        <v>985</v>
      </c>
      <c r="E3424" s="7" t="s">
        <v>13</v>
      </c>
      <c r="F3424" s="8" t="str">
        <f ca="1">IFERROR(__xludf.DUMMYFUNCTION("IF
(
C3425=""фізична особа""
,
VLOOKUP(D3425,IMPORTRANGE(""https://docs.google.com/spreadsheets/d/14Bd19lYaqBhU8_DElYkX7l4wRkHqqCUFNJY4AfY3kHU/edit?usp=sharing  #gid=0"",""фіз особи new!relations_name""),6,FALSE)
,
(IF
(
C3425=""юридична особа""
,
VLOOKUP"&amp;"(D3425,IMPORTRANGE(""https://docs.google.com/spreadsheets/d/14Bd19lYaqBhU8_DElYkX7l4wRkHqqCUFNJY4AfY3kHU/edit?usp=sharing  #gid=0"",""фіз особи new!relations_name_uo""),7,FALSE)
,
)
))"),"ФРАНК Ксенія Геннадіївна")</f>
        <v>ФРАНК Ксенія Геннадіївна</v>
      </c>
      <c r="G3424" s="7" t="s">
        <v>10</v>
      </c>
      <c r="H3424" s="7">
        <v>271</v>
      </c>
      <c r="I3424" s="8" t="str">
        <f ca="1">IFERROR(__xludf.DUMMYFUNCTION("IF
(
G3425=""фізична особа""
,
VLOOKUP(H3425,IMPORTRANGE(""https://docs.google.com/spreadsheets/d/14Bd19lYaqBhU8_DElYkX7l4wRkHqqCUFNJY4AfY3kHU/edit?usp=sharing  #gid=0"",""фіз особи new!relations_name""),6,FALSE)
,
(IF
(
G3425=""юридична особа""
,
VLOOKUP"&amp;"(H3425,IMPORTRANGE(""https://docs.google.com/spreadsheets/d/14Bd19lYaqBhU8_DElYkX7l4wRkHqqCUFNJY4AfY3kHU/edit?usp=sharing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J3424" s="7" t="s">
        <v>12</v>
      </c>
    </row>
    <row r="3425" spans="1:10" ht="13.2">
      <c r="A3425" s="7">
        <v>3424</v>
      </c>
      <c r="B3425" s="7">
        <v>1</v>
      </c>
      <c r="C3425" s="7" t="s">
        <v>10</v>
      </c>
      <c r="D3425" s="7">
        <v>987</v>
      </c>
      <c r="E3425" s="7" t="s">
        <v>28</v>
      </c>
      <c r="F3425" s="8" t="str">
        <f ca="1">IFERROR(__xludf.DUMMYFUNCTION("IF
(
C3426=""фізична особа""
,
VLOOKUP(D3426,IMPORTRANGE(""https://docs.google.com/spreadsheets/d/14Bd19lYaqBhU8_DElYkX7l4wRkHqqCUFNJY4AfY3kHU/edit?usp=sharing  #gid=0"",""фіз особи new!relations_name""),6,FALSE)
,
(IF
(
C3426=""юридична особа""
,
VLOOKUP"&amp;"(D3426,IMPORTRANGE(""https://docs.google.com/spreadsheets/d/14Bd19lYaqBhU8_DElYkX7l4wRkHqqCUFNJY4AfY3kHU/edit?usp=sharing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G3425" s="7" t="s">
        <v>10</v>
      </c>
      <c r="H3425" s="7">
        <v>988</v>
      </c>
      <c r="I3425" s="8" t="str">
        <f ca="1">IFERROR(__xludf.DUMMYFUNCTION("IF
(
G3426=""фізична особа""
,
VLOOKUP(H3426,IMPORTRANGE(""https://docs.google.com/spreadsheets/d/14Bd19lYaqBhU8_DElYkX7l4wRkHqqCUFNJY4AfY3kHU/edit?usp=sharing  #gid=0"",""фіз особи new!relations_name""),6,FALSE)
,
(IF
(
G3426=""юридична особа""
,
VLOOKUP"&amp;"(H3426,IMPORTRANGE(""https://docs.google.com/spreadsheets/d/14Bd19lYaqBhU8_DElYkX7l4wRkHqqCUFNJY4AfY3kHU/edit?usp=sharing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425" s="7" t="s">
        <v>29</v>
      </c>
    </row>
    <row r="3426" spans="1:10" ht="13.2">
      <c r="A3426" s="7">
        <v>3425</v>
      </c>
      <c r="B3426" s="7">
        <v>1</v>
      </c>
      <c r="C3426" s="7" t="s">
        <v>10</v>
      </c>
      <c r="D3426" s="7">
        <v>987</v>
      </c>
      <c r="E3426" s="7" t="s">
        <v>28</v>
      </c>
      <c r="F3426" s="8" t="str">
        <f ca="1">IFERROR(__xludf.DUMMYFUNCTION("IF
(
C3427=""фізична особа""
,
VLOOKUP(D3427,IMPORTRANGE(""https://docs.google.com/spreadsheets/d/14Bd19lYaqBhU8_DElYkX7l4wRkHqqCUFNJY4AfY3kHU/edit?usp=sharing  #gid=0"",""фіз особи new!relations_name""),6,FALSE)
,
(IF
(
C3427=""юридична особа""
,
VLOOKUP"&amp;"(D3427,IMPORTRANGE(""https://docs.google.com/spreadsheets/d/14Bd19lYaqBhU8_DElYkX7l4wRkHqqCUFNJY4AfY3kHU/edit?usp=sharing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G3426" s="7" t="s">
        <v>10</v>
      </c>
      <c r="H3426" s="7">
        <v>991</v>
      </c>
      <c r="I3426" s="8" t="str">
        <f ca="1">IFERROR(__xludf.DUMMYFUNCTION("IF
(
G3427=""фізична особа""
,
VLOOKUP(H3427,IMPORTRANGE(""https://docs.google.com/spreadsheets/d/14Bd19lYaqBhU8_DElYkX7l4wRkHqqCUFNJY4AfY3kHU/edit?usp=sharing  #gid=0"",""фіз особи new!relations_name""),6,FALSE)
,
(IF
(
G3427=""юридична особа""
,
VLOOKUP"&amp;"(H3427,IMPORTRANGE(""https://docs.google.com/spreadsheets/d/14Bd19lYaqBhU8_DElYkX7l4wRkHqqCUFNJY4AfY3kHU/edit?usp=sharing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26" s="7" t="s">
        <v>29</v>
      </c>
    </row>
    <row r="3427" spans="1:10" ht="13.2">
      <c r="A3427" s="7">
        <v>3426</v>
      </c>
      <c r="B3427" s="7">
        <v>1</v>
      </c>
      <c r="C3427" s="7" t="s">
        <v>10</v>
      </c>
      <c r="D3427" s="7">
        <v>987</v>
      </c>
      <c r="E3427" s="7" t="s">
        <v>11</v>
      </c>
      <c r="F3427" s="8" t="str">
        <f ca="1">IFERROR(__xludf.DUMMYFUNCTION("IF
(
C3428=""фізична особа""
,
VLOOKUP(D3428,IMPORTRANGE(""https://docs.google.com/spreadsheets/d/14Bd19lYaqBhU8_DElYkX7l4wRkHqqCUFNJY4AfY3kHU/edit?usp=sharing  #gid=0"",""фіз особи new!relations_name""),6,FALSE)
,
(IF
(
C3428=""юридична особа""
,
VLOOKUP"&amp;"(D3428,IMPORTRANGE(""https://docs.google.com/spreadsheets/d/14Bd19lYaqBhU8_DElYkX7l4wRkHqqCUFNJY4AfY3kHU/edit?usp=sharing  #gid=0"",""фіз особи new!relations_name_uo""),7,FALSE)
,
)
))"),"КАШИНА Ірина Миколаївна")</f>
        <v>КАШИНА Ірина Миколаївна</v>
      </c>
      <c r="G3427" s="7" t="s">
        <v>10</v>
      </c>
      <c r="H3427" s="7">
        <v>993</v>
      </c>
      <c r="I3427" s="8" t="str">
        <f ca="1">IFERROR(__xludf.DUMMYFUNCTION("IF
(
G3428=""фізична особа""
,
VLOOKUP(H3428,IMPORTRANGE(""https://docs.google.com/spreadsheets/d/14Bd19lYaqBhU8_DElYkX7l4wRkHqqCUFNJY4AfY3kHU/edit?usp=sharing  #gid=0"",""фіз особи new!relations_name""),6,FALSE)
,
(IF
(
G3428=""юридична особа""
,
VLOOKUP"&amp;"(H3428,IMPORTRANGE(""https://docs.google.com/spreadsheets/d/14Bd19lYaqBhU8_DElYkX7l4wRkHqqCUFNJY4AfY3kHU/edit?usp=sharing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27" s="7" t="s">
        <v>11</v>
      </c>
    </row>
    <row r="3428" spans="1:10" ht="13.2">
      <c r="A3428" s="7">
        <v>3427</v>
      </c>
      <c r="B3428" s="7">
        <v>1</v>
      </c>
      <c r="C3428" s="7" t="s">
        <v>10</v>
      </c>
      <c r="D3428" s="7">
        <v>988</v>
      </c>
      <c r="E3428" s="7" t="s">
        <v>18</v>
      </c>
      <c r="F3428" s="8" t="str">
        <f ca="1">IFERROR(__xludf.DUMMYFUNCTION("IF
(
C3429=""фізична особа""
,
VLOOKUP(D3429,IMPORTRANGE(""https://docs.google.com/spreadsheets/d/14Bd19lYaqBhU8_DElYkX7l4wRkHqqCUFNJY4AfY3kHU/edit?usp=sharing  #gid=0"",""фіз особи new!relations_name""),6,FALSE)
,
(IF
(
C3429=""юридична особа""
,
VLOOKUP"&amp;"(D3429,IMPORTRANGE(""https://docs.google.com/spreadsheets/d/14Bd19lYaqBhU8_DElYkX7l4wRkHqqCUFNJY4AfY3kHU/edit?usp=sharing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G3428" s="7" t="s">
        <v>10</v>
      </c>
      <c r="H3428" s="7">
        <v>989</v>
      </c>
      <c r="I3428" s="8" t="str">
        <f ca="1">IFERROR(__xludf.DUMMYFUNCTION("IF
(
G3429=""фізична особа""
,
VLOOKUP(H3429,IMPORTRANGE(""https://docs.google.com/spreadsheets/d/14Bd19lYaqBhU8_DElYkX7l4wRkHqqCUFNJY4AfY3kHU/edit?usp=sharing  #gid=0"",""фіз особи new!relations_name""),6,FALSE)
,
(IF
(
G3429=""юридична особа""
,
VLOOKUP"&amp;"(H3429,IMPORTRANGE(""https://docs.google.com/spreadsheets/d/14Bd19lYaqBhU8_DElYkX7l4wRkHqqCUFNJY4AfY3kHU/edit?usp=sharing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J3428" s="7" t="s">
        <v>18</v>
      </c>
    </row>
    <row r="3429" spans="1:10" ht="13.2">
      <c r="A3429" s="7">
        <v>3428</v>
      </c>
      <c r="B3429" s="7">
        <v>1</v>
      </c>
      <c r="C3429" s="7" t="s">
        <v>10</v>
      </c>
      <c r="D3429" s="7">
        <v>988</v>
      </c>
      <c r="E3429" s="7" t="s">
        <v>11</v>
      </c>
      <c r="F3429" s="8" t="str">
        <f ca="1">IFERROR(__xludf.DUMMYFUNCTION("IF
(
C3430=""фізична особа""
,
VLOOKUP(D3430,IMPORTRANGE(""https://docs.google.com/spreadsheets/d/14Bd19lYaqBhU8_DElYkX7l4wRkHqqCUFNJY4AfY3kHU/edit?usp=sharing  #gid=0"",""фіз особи new!relations_name""),6,FALSE)
,
(IF
(
C3430=""юридична особа""
,
VLOOKUP"&amp;"(D3430,IMPORTRANGE(""https://docs.google.com/spreadsheets/d/14Bd19lYaqBhU8_DElYkX7l4wRkHqqCUFNJY4AfY3kHU/edit?usp=sharing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G3429" s="7" t="s">
        <v>10</v>
      </c>
      <c r="H3429" s="7">
        <v>991</v>
      </c>
      <c r="I3429" s="8" t="str">
        <f ca="1">IFERROR(__xludf.DUMMYFUNCTION("IF
(
G3430=""фізична особа""
,
VLOOKUP(H3430,IMPORTRANGE(""https://docs.google.com/spreadsheets/d/14Bd19lYaqBhU8_DElYkX7l4wRkHqqCUFNJY4AfY3kHU/edit?usp=sharing  #gid=0"",""фіз особи new!relations_name""),6,FALSE)
,
(IF
(
G3430=""юридична особа""
,
VLOOKUP"&amp;"(H3430,IMPORTRANGE(""https://docs.google.com/spreadsheets/d/14Bd19lYaqBhU8_DElYkX7l4wRkHqqCUFNJY4AfY3kHU/edit?usp=sharing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29" s="7" t="s">
        <v>11</v>
      </c>
    </row>
    <row r="3430" spans="1:10" ht="13.2">
      <c r="A3430" s="7">
        <v>3429</v>
      </c>
      <c r="B3430" s="7">
        <v>1</v>
      </c>
      <c r="C3430" s="7" t="s">
        <v>10</v>
      </c>
      <c r="D3430" s="7">
        <v>988</v>
      </c>
      <c r="E3430" s="7" t="s">
        <v>11</v>
      </c>
      <c r="F3430" s="8" t="str">
        <f ca="1">IFERROR(__xludf.DUMMYFUNCTION("IF
(
C3431=""фізична особа""
,
VLOOKUP(D3431,IMPORTRANGE(""https://docs.google.com/spreadsheets/d/14Bd19lYaqBhU8_DElYkX7l4wRkHqqCUFNJY4AfY3kHU/edit?usp=sharing  #gid=0"",""фіз особи new!relations_name""),6,FALSE)
,
(IF
(
C3431=""юридична особа""
,
VLOOKUP"&amp;"(D3431,IMPORTRANGE(""https://docs.google.com/spreadsheets/d/14Bd19lYaqBhU8_DElYkX7l4wRkHqqCUFNJY4AfY3kHU/edit?usp=sharing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G3430" s="7" t="s">
        <v>10</v>
      </c>
      <c r="H3430" s="7">
        <v>993</v>
      </c>
      <c r="I3430" s="8" t="str">
        <f ca="1">IFERROR(__xludf.DUMMYFUNCTION("IF
(
G3431=""фізична особа""
,
VLOOKUP(H3431,IMPORTRANGE(""https://docs.google.com/spreadsheets/d/14Bd19lYaqBhU8_DElYkX7l4wRkHqqCUFNJY4AfY3kHU/edit?usp=sharing  #gid=0"",""фіз особи new!relations_name""),6,FALSE)
,
(IF
(
G3431=""юридична особа""
,
VLOOKUP"&amp;"(H3431,IMPORTRANGE(""https://docs.google.com/spreadsheets/d/14Bd19lYaqBhU8_DElYkX7l4wRkHqqCUFNJY4AfY3kHU/edit?usp=sharing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30" s="7" t="s">
        <v>11</v>
      </c>
    </row>
    <row r="3431" spans="1:10" ht="13.2">
      <c r="A3431" s="7">
        <v>3430</v>
      </c>
      <c r="B3431" s="7">
        <v>1</v>
      </c>
      <c r="C3431" s="7" t="s">
        <v>10</v>
      </c>
      <c r="D3431" s="7">
        <v>989</v>
      </c>
      <c r="E3431" s="7" t="s">
        <v>18</v>
      </c>
      <c r="F3431" s="8" t="str">
        <f ca="1">IFERROR(__xludf.DUMMYFUNCTION("IF
(
C3432=""фізична особа""
,
VLOOKUP(D3432,IMPORTRANGE(""https://docs.google.com/spreadsheets/d/14Bd19lYaqBhU8_DElYkX7l4wRkHqqCUFNJY4AfY3kHU/edit?usp=sharing  #gid=0"",""фіз особи new!relations_name""),6,FALSE)
,
(IF
(
C3432=""юридична особа""
,
VLOOKUP"&amp;"(D3432,IMPORTRANGE(""https://docs.google.com/spreadsheets/d/14Bd19lYaqBhU8_DElYkX7l4wRkHqqCUFNJY4AfY3kHU/edit?usp=sharing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G3431" s="7" t="s">
        <v>10</v>
      </c>
      <c r="H3431" s="7">
        <v>988</v>
      </c>
      <c r="I3431" s="8" t="str">
        <f ca="1">IFERROR(__xludf.DUMMYFUNCTION("IF
(
G3432=""фізична особа""
,
VLOOKUP(H3432,IMPORTRANGE(""https://docs.google.com/spreadsheets/d/14Bd19lYaqBhU8_DElYkX7l4wRkHqqCUFNJY4AfY3kHU/edit?usp=sharing  #gid=0"",""фіз особи new!relations_name""),6,FALSE)
,
(IF
(
G3432=""юридична особа""
,
VLOOKUP"&amp;"(H3432,IMPORTRANGE(""https://docs.google.com/spreadsheets/d/14Bd19lYaqBhU8_DElYkX7l4wRkHqqCUFNJY4AfY3kHU/edit?usp=sharing  #gid=0"",""фіз особи new!relations_name_uo""),7,FALSE)
,
)
))"),"ХОТІМСЬКИЙ Дмитро Володимирович")</f>
        <v>ХОТІМСЬКИЙ Дмитро Володимирович</v>
      </c>
      <c r="J3431" s="7" t="s">
        <v>18</v>
      </c>
    </row>
    <row r="3432" spans="1:10" ht="13.2">
      <c r="A3432" s="7">
        <v>3431</v>
      </c>
      <c r="B3432" s="7">
        <v>1</v>
      </c>
      <c r="C3432" s="7" t="s">
        <v>10</v>
      </c>
      <c r="D3432" s="7">
        <v>989</v>
      </c>
      <c r="E3432" s="7" t="s">
        <v>11</v>
      </c>
      <c r="F3432" s="8" t="str">
        <f ca="1">IFERROR(__xludf.DUMMYFUNCTION("IF
(
C3433=""фізична особа""
,
VLOOKUP(D3433,IMPORTRANGE(""https://docs.google.com/spreadsheets/d/14Bd19lYaqBhU8_DElYkX7l4wRkHqqCUFNJY4AfY3kHU/edit?usp=sharing  #gid=0"",""фіз особи new!relations_name""),6,FALSE)
,
(IF
(
C3433=""юридична особа""
,
VLOOKUP"&amp;"(D3433,IMPORTRANGE(""https://docs.google.com/spreadsheets/d/14Bd19lYaqBhU8_DElYkX7l4wRkHqqCUFNJY4AfY3kHU/edit?usp=sharing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G3432" s="7" t="s">
        <v>10</v>
      </c>
      <c r="H3432" s="7">
        <v>991</v>
      </c>
      <c r="I3432" s="8" t="str">
        <f ca="1">IFERROR(__xludf.DUMMYFUNCTION("IF
(
G3433=""фізична особа""
,
VLOOKUP(H3433,IMPORTRANGE(""https://docs.google.com/spreadsheets/d/14Bd19lYaqBhU8_DElYkX7l4wRkHqqCUFNJY4AfY3kHU/edit?usp=sharing  #gid=0"",""фіз особи new!relations_name""),6,FALSE)
,
(IF
(
G3433=""юридична особа""
,
VLOOKUP"&amp;"(H3433,IMPORTRANGE(""https://docs.google.com/spreadsheets/d/14Bd19lYaqBhU8_DElYkX7l4wRkHqqCUFNJY4AfY3kHU/edit?usp=sharing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32" s="7" t="s">
        <v>11</v>
      </c>
    </row>
    <row r="3433" spans="1:10" ht="13.2">
      <c r="A3433" s="7">
        <v>3432</v>
      </c>
      <c r="B3433" s="7">
        <v>1</v>
      </c>
      <c r="C3433" s="7" t="s">
        <v>10</v>
      </c>
      <c r="D3433" s="7">
        <v>989</v>
      </c>
      <c r="E3433" s="7" t="s">
        <v>11</v>
      </c>
      <c r="F3433" s="8" t="str">
        <f ca="1">IFERROR(__xludf.DUMMYFUNCTION("IF
(
C3434=""фізична особа""
,
VLOOKUP(D3434,IMPORTRANGE(""https://docs.google.com/spreadsheets/d/14Bd19lYaqBhU8_DElYkX7l4wRkHqqCUFNJY4AfY3kHU/edit?usp=sharing  #gid=0"",""фіз особи new!relations_name""),6,FALSE)
,
(IF
(
C3434=""юридична особа""
,
VLOOKUP"&amp;"(D3434,IMPORTRANGE(""https://docs.google.com/spreadsheets/d/14Bd19lYaqBhU8_DElYkX7l4wRkHqqCUFNJY4AfY3kHU/edit?usp=sharing  #gid=0"",""фіз особи new!relations_name_uo""),7,FALSE)
,
)
))"),"ХОТІМСЬКИЙ Сергій Володимирович")</f>
        <v>ХОТІМСЬКИЙ Сергій Володимирович</v>
      </c>
      <c r="G3433" s="7" t="s">
        <v>10</v>
      </c>
      <c r="H3433" s="7">
        <v>993</v>
      </c>
      <c r="I3433" s="8" t="str">
        <f ca="1">IFERROR(__xludf.DUMMYFUNCTION("IF
(
G3434=""фізична особа""
,
VLOOKUP(H3434,IMPORTRANGE(""https://docs.google.com/spreadsheets/d/14Bd19lYaqBhU8_DElYkX7l4wRkHqqCUFNJY4AfY3kHU/edit?usp=sharing  #gid=0"",""фіз особи new!relations_name""),6,FALSE)
,
(IF
(
G3434=""юридична особа""
,
VLOOKUP"&amp;"(H3434,IMPORTRANGE(""https://docs.google.com/spreadsheets/d/14Bd19lYaqBhU8_DElYkX7l4wRkHqqCUFNJY4AfY3kHU/edit?usp=sharing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33" s="7" t="s">
        <v>11</v>
      </c>
    </row>
    <row r="3434" spans="1:10" ht="13.2">
      <c r="A3434" s="7">
        <v>3433</v>
      </c>
      <c r="B3434" s="7">
        <v>1</v>
      </c>
      <c r="C3434" s="7" t="s">
        <v>10</v>
      </c>
      <c r="D3434" s="7">
        <v>990</v>
      </c>
      <c r="E3434" s="7" t="s">
        <v>11</v>
      </c>
      <c r="F3434" s="8" t="str">
        <f ca="1">IFERROR(__xludf.DUMMYFUNCTION("IF
(
C3435=""фізична особа""
,
VLOOKUP(D3435,IMPORTRANGE(""https://docs.google.com/spreadsheets/d/14Bd19lYaqBhU8_DElYkX7l4wRkHqqCUFNJY4AfY3kHU/edit?usp=sharing  #gid=0"",""фіз особи new!relations_name""),6,FALSE)
,
(IF
(
C3435=""юридична особа""
,
VLOOKUP"&amp;"(D3435,IMPORTRANGE(""https://docs.google.com/spreadsheets/d/14Bd19lYaqBhU8_DElYkX7l4wRkHqqCUFNJY4AfY3kHU/edit?usp=sharing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G3434" s="7" t="s">
        <v>10</v>
      </c>
      <c r="H3434" s="7">
        <v>981</v>
      </c>
      <c r="I3434" s="8" t="str">
        <f ca="1">IFERROR(__xludf.DUMMYFUNCTION("IF
(
G3435=""фізична особа""
,
VLOOKUP(H3435,IMPORTRANGE(""https://docs.google.com/spreadsheets/d/14Bd19lYaqBhU8_DElYkX7l4wRkHqqCUFNJY4AfY3kHU/edit?usp=sharing  #gid=0"",""фіз особи new!relations_name""),6,FALSE)
,
(IF
(
G3435=""юридична особа""
,
VLOOKUP"&amp;"(H3435,IMPORTRANGE(""https://docs.google.com/spreadsheets/d/14Bd19lYaqBhU8_DElYkX7l4wRkHqqCUFNJY4AfY3kHU/edit?usp=sharing  #gid=0"",""фіз особи new!relations_name_uo""),7,FALSE)
,
)
))"),"БРОДСЬКИЙ Ілля Борисович")</f>
        <v>БРОДСЬКИЙ Ілля Борисович</v>
      </c>
      <c r="J3434" s="7" t="s">
        <v>11</v>
      </c>
    </row>
    <row r="3435" spans="1:10" ht="13.2">
      <c r="A3435" s="7">
        <v>3434</v>
      </c>
      <c r="B3435" s="7">
        <v>1</v>
      </c>
      <c r="C3435" s="7" t="s">
        <v>10</v>
      </c>
      <c r="D3435" s="7">
        <v>990</v>
      </c>
      <c r="E3435" s="7" t="s">
        <v>28</v>
      </c>
      <c r="F3435" s="8" t="str">
        <f ca="1">IFERROR(__xludf.DUMMYFUNCTION("IF
(
C3436=""фізична особа""
,
VLOOKUP(D3436,IMPORTRANGE(""https://docs.google.com/spreadsheets/d/14Bd19lYaqBhU8_DElYkX7l4wRkHqqCUFNJY4AfY3kHU/edit?usp=sharing  #gid=0"",""фіз особи new!relations_name""),6,FALSE)
,
(IF
(
C3436=""юридична особа""
,
VLOOKUP"&amp;"(D3436,IMPORTRANGE(""https://docs.google.com/spreadsheets/d/14Bd19lYaqBhU8_DElYkX7l4wRkHqqCUFNJY4AfY3kHU/edit?usp=sharing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G3435" s="7" t="s">
        <v>10</v>
      </c>
      <c r="H3435" s="7">
        <v>991</v>
      </c>
      <c r="I3435" s="8" t="str">
        <f ca="1">IFERROR(__xludf.DUMMYFUNCTION("IF
(
G3436=""фізична особа""
,
VLOOKUP(H3436,IMPORTRANGE(""https://docs.google.com/spreadsheets/d/14Bd19lYaqBhU8_DElYkX7l4wRkHqqCUFNJY4AfY3kHU/edit?usp=sharing  #gid=0"",""фіз особи new!relations_name""),6,FALSE)
,
(IF
(
G3436=""юридична особа""
,
VLOOKUP"&amp;"(H3436,IMPORTRANGE(""https://docs.google.com/spreadsheets/d/14Bd19lYaqBhU8_DElYkX7l4wRkHqqCUFNJY4AfY3kHU/edit?usp=sharing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35" s="7" t="s">
        <v>29</v>
      </c>
    </row>
    <row r="3436" spans="1:10" ht="13.2">
      <c r="A3436" s="7">
        <v>3435</v>
      </c>
      <c r="B3436" s="7">
        <v>1</v>
      </c>
      <c r="C3436" s="7" t="s">
        <v>10</v>
      </c>
      <c r="D3436" s="7">
        <v>990</v>
      </c>
      <c r="E3436" s="7" t="s">
        <v>11</v>
      </c>
      <c r="F3436" s="8" t="str">
        <f ca="1">IFERROR(__xludf.DUMMYFUNCTION("IF
(
C3437=""фізична особа""
,
VLOOKUP(D3437,IMPORTRANGE(""https://docs.google.com/spreadsheets/d/14Bd19lYaqBhU8_DElYkX7l4wRkHqqCUFNJY4AfY3kHU/edit?usp=sharing  #gid=0"",""фіз особи new!relations_name""),6,FALSE)
,
(IF
(
C3437=""юридична особа""
,
VLOOKUP"&amp;"(D3437,IMPORTRANGE(""https://docs.google.com/spreadsheets/d/14Bd19lYaqBhU8_DElYkX7l4wRkHqqCUFNJY4AfY3kHU/edit?usp=sharing  #gid=0"",""фіз особи new!relations_name_uo""),7,FALSE)
,
)
))"),"КЛЮКІН Михайло Васильович")</f>
        <v>КЛЮКІН Михайло Васильович</v>
      </c>
      <c r="G3436" s="7" t="s">
        <v>10</v>
      </c>
      <c r="H3436" s="7">
        <v>991</v>
      </c>
      <c r="I3436" s="8" t="str">
        <f ca="1">IFERROR(__xludf.DUMMYFUNCTION("IF
(
G3437=""фізична особа""
,
VLOOKUP(H3437,IMPORTRANGE(""https://docs.google.com/spreadsheets/d/14Bd19lYaqBhU8_DElYkX7l4wRkHqqCUFNJY4AfY3kHU/edit?usp=sharing  #gid=0"",""фіз особи new!relations_name""),6,FALSE)
,
(IF
(
G3437=""юридична особа""
,
VLOOKUP"&amp;"(H3437,IMPORTRANGE(""https://docs.google.com/spreadsheets/d/14Bd19lYaqBhU8_DElYkX7l4wRkHqqCUFNJY4AfY3kHU/edit?usp=sharing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36" s="7" t="s">
        <v>11</v>
      </c>
    </row>
    <row r="3437" spans="1:10" ht="13.2">
      <c r="A3437" s="7">
        <v>3436</v>
      </c>
      <c r="B3437" s="7">
        <v>1</v>
      </c>
      <c r="C3437" s="7" t="s">
        <v>10</v>
      </c>
      <c r="D3437" s="7">
        <v>991</v>
      </c>
      <c r="E3437" s="7" t="s">
        <v>29</v>
      </c>
      <c r="F3437" s="8" t="str">
        <f ca="1">IFERROR(__xludf.DUMMYFUNCTION("IF
(
C3438=""фізична особа""
,
VLOOKUP(D3438,IMPORTRANGE(""https://docs.google.com/spreadsheets/d/14Bd19lYaqBhU8_DElYkX7l4wRkHqqCUFNJY4AfY3kHU/edit?usp=sharing  #gid=0"",""фіз особи new!relations_name""),6,FALSE)
,
(IF
(
C3438=""юридична особа""
,
VLOOKUP"&amp;"(D3438,IMPORTRANGE(""https://docs.google.com/spreadsheets/d/14Bd19lYaqBhU8_DElYkX7l4wRkHqqCUFNJY4AfY3kHU/edit?usp=sharing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G3437" s="7" t="s">
        <v>10</v>
      </c>
      <c r="H3437" s="7">
        <v>992</v>
      </c>
      <c r="I3437" s="8" t="str">
        <f ca="1">IFERROR(__xludf.DUMMYFUNCTION("IF
(
G3438=""фізична особа""
,
VLOOKUP(H3438,IMPORTRANGE(""https://docs.google.com/spreadsheets/d/14Bd19lYaqBhU8_DElYkX7l4wRkHqqCUFNJY4AfY3kHU/edit?usp=sharing  #gid=0"",""фіз особи new!relations_name""),6,FALSE)
,
(IF
(
G3438=""юридична особа""
,
VLOOKUP"&amp;"(H3438,IMPORTRANGE(""https://docs.google.com/spreadsheets/d/14Bd19lYaqBhU8_DElYkX7l4wRkHqqCUFNJY4AfY3kHU/edit?usp=sharing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437" s="7" t="s">
        <v>28</v>
      </c>
    </row>
    <row r="3438" spans="1:10" ht="13.2">
      <c r="A3438" s="7">
        <v>3437</v>
      </c>
      <c r="B3438" s="7">
        <v>1</v>
      </c>
      <c r="C3438" s="7" t="s">
        <v>10</v>
      </c>
      <c r="D3438" s="7">
        <v>991</v>
      </c>
      <c r="E3438" s="7" t="s">
        <v>29</v>
      </c>
      <c r="F3438" s="8" t="str">
        <f ca="1">IFERROR(__xludf.DUMMYFUNCTION("IF
(
C3439=""фізична особа""
,
VLOOKUP(D3439,IMPORTRANGE(""https://docs.google.com/spreadsheets/d/14Bd19lYaqBhU8_DElYkX7l4wRkHqqCUFNJY4AfY3kHU/edit?usp=sharing  #gid=0"",""фіз особи new!relations_name""),6,FALSE)
,
(IF
(
C3439=""юридична особа""
,
VLOOKUP"&amp;"(D3439,IMPORTRANGE(""https://docs.google.com/spreadsheets/d/14Bd19lYaqBhU8_DElYkX7l4wRkHqqCUFNJY4AfY3kHU/edit?usp=sharing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G3438" s="7" t="s">
        <v>10</v>
      </c>
      <c r="H3438" s="7">
        <v>993</v>
      </c>
      <c r="I3438" s="8" t="str">
        <f ca="1">IFERROR(__xludf.DUMMYFUNCTION("IF
(
G3439=""фізична особа""
,
VLOOKUP(H3439,IMPORTRANGE(""https://docs.google.com/spreadsheets/d/14Bd19lYaqBhU8_DElYkX7l4wRkHqqCUFNJY4AfY3kHU/edit?usp=sharing  #gid=0"",""фіз особи new!relations_name""),6,FALSE)
,
(IF
(
G3439=""юридична особа""
,
VLOOKUP"&amp;"(H3439,IMPORTRANGE(""https://docs.google.com/spreadsheets/d/14Bd19lYaqBhU8_DElYkX7l4wRkHqqCUFNJY4AfY3kHU/edit?usp=sharing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38" s="7" t="s">
        <v>28</v>
      </c>
    </row>
    <row r="3439" spans="1:10" ht="13.2">
      <c r="A3439" s="7">
        <v>3438</v>
      </c>
      <c r="B3439" s="7">
        <v>1</v>
      </c>
      <c r="C3439" s="7" t="s">
        <v>10</v>
      </c>
      <c r="D3439" s="7">
        <v>992</v>
      </c>
      <c r="E3439" s="7" t="s">
        <v>28</v>
      </c>
      <c r="F3439" s="8" t="str">
        <f ca="1">IFERROR(__xludf.DUMMYFUNCTION("IF
(
C3440=""фізична особа""
,
VLOOKUP(D3440,IMPORTRANGE(""https://docs.google.com/spreadsheets/d/14Bd19lYaqBhU8_DElYkX7l4wRkHqqCUFNJY4AfY3kHU/edit?usp=sharing  #gid=0"",""фіз особи new!relations_name""),6,FALSE)
,
(IF
(
C3440=""юридична особа""
,
VLOOKUP"&amp;"(D3440,IMPORTRANGE(""https://docs.google.com/spreadsheets/d/14Bd19lYaqBhU8_DElYkX7l4wRkHqqCUFNJY4AfY3kHU/edit?usp=sharing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G3439" s="7" t="s">
        <v>10</v>
      </c>
      <c r="H3439" s="7">
        <v>991</v>
      </c>
      <c r="I3439" s="8" t="str">
        <f ca="1">IFERROR(__xludf.DUMMYFUNCTION("IF
(
G3440=""фізична особа""
,
VLOOKUP(H3440,IMPORTRANGE(""https://docs.google.com/spreadsheets/d/14Bd19lYaqBhU8_DElYkX7l4wRkHqqCUFNJY4AfY3kHU/edit?usp=sharing  #gid=0"",""фіз особи new!relations_name""),6,FALSE)
,
(IF
(
G3440=""юридична особа""
,
VLOOKUP"&amp;"(H3440,IMPORTRANGE(""https://docs.google.com/spreadsheets/d/14Bd19lYaqBhU8_DElYkX7l4wRkHqqCUFNJY4AfY3kHU/edit?usp=sharing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39" s="7" t="s">
        <v>29</v>
      </c>
    </row>
    <row r="3440" spans="1:10" ht="13.2">
      <c r="A3440" s="7">
        <v>3439</v>
      </c>
      <c r="B3440" s="7">
        <v>1</v>
      </c>
      <c r="C3440" s="7" t="s">
        <v>10</v>
      </c>
      <c r="D3440" s="7">
        <v>992</v>
      </c>
      <c r="E3440" s="7" t="s">
        <v>11</v>
      </c>
      <c r="F3440" s="8" t="str">
        <f ca="1">IFERROR(__xludf.DUMMYFUNCTION("IF
(
C3441=""фізична особа""
,
VLOOKUP(D3441,IMPORTRANGE(""https://docs.google.com/spreadsheets/d/14Bd19lYaqBhU8_DElYkX7l4wRkHqqCUFNJY4AfY3kHU/edit?usp=sharing  #gid=0"",""фіз особи new!relations_name""),6,FALSE)
,
(IF
(
C3441=""юридична особа""
,
VLOOKUP"&amp;"(D3441,IMPORTRANGE(""https://docs.google.com/spreadsheets/d/14Bd19lYaqBhU8_DElYkX7l4wRkHqqCUFNJY4AfY3kHU/edit?usp=sharing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G3440" s="7" t="s">
        <v>10</v>
      </c>
      <c r="H3440" s="7">
        <v>993</v>
      </c>
      <c r="I3440" s="8" t="str">
        <f ca="1">IFERROR(__xludf.DUMMYFUNCTION("IF
(
G3441=""фізична особа""
,
VLOOKUP(H3441,IMPORTRANGE(""https://docs.google.com/spreadsheets/d/14Bd19lYaqBhU8_DElYkX7l4wRkHqqCUFNJY4AfY3kHU/edit?usp=sharing  #gid=0"",""фіз особи new!relations_name""),6,FALSE)
,
(IF
(
G3441=""юридична особа""
,
VLOOKUP"&amp;"(H3441,IMPORTRANGE(""https://docs.google.com/spreadsheets/d/14Bd19lYaqBhU8_DElYkX7l4wRkHqqCUFNJY4AfY3kHU/edit?usp=sharing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J3440" s="7" t="s">
        <v>11</v>
      </c>
    </row>
    <row r="3441" spans="1:10" ht="13.2">
      <c r="A3441" s="7">
        <v>3440</v>
      </c>
      <c r="B3441" s="7">
        <v>1</v>
      </c>
      <c r="C3441" s="7" t="s">
        <v>10</v>
      </c>
      <c r="D3441" s="7">
        <v>993</v>
      </c>
      <c r="E3441" s="7" t="s">
        <v>11</v>
      </c>
      <c r="F3441" s="8" t="str">
        <f ca="1">IFERROR(__xludf.DUMMYFUNCTION("IF
(
C3442=""фізична особа""
,
VLOOKUP(D3442,IMPORTRANGE(""https://docs.google.com/spreadsheets/d/14Bd19lYaqBhU8_DElYkX7l4wRkHqqCUFNJY4AfY3kHU/edit?usp=sharing  #gid=0"",""фіз особи new!relations_name""),6,FALSE)
,
(IF
(
C3442=""юридична особа""
,
VLOOKUP"&amp;"(D3442,IMPORTRANGE(""https://docs.google.com/spreadsheets/d/14Bd19lYaqBhU8_DElYkX7l4wRkHqqCUFNJY4AfY3kHU/edit?usp=sharing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G3441" s="7" t="s">
        <v>10</v>
      </c>
      <c r="H3441" s="7">
        <v>992</v>
      </c>
      <c r="I3441" s="8" t="str">
        <f ca="1">IFERROR(__xludf.DUMMYFUNCTION("IF
(
G3442=""фізична особа""
,
VLOOKUP(H3442,IMPORTRANGE(""https://docs.google.com/spreadsheets/d/14Bd19lYaqBhU8_DElYkX7l4wRkHqqCUFNJY4AfY3kHU/edit?usp=sharing  #gid=0"",""фіз особи new!relations_name""),6,FALSE)
,
(IF
(
G3442=""юридична особа""
,
VLOOKUP"&amp;"(H3442,IMPORTRANGE(""https://docs.google.com/spreadsheets/d/14Bd19lYaqBhU8_DElYkX7l4wRkHqqCUFNJY4AfY3kHU/edit?usp=sharing  #gid=0"",""фіз особи new!relations_name_uo""),7,FALSE)
,
)
))"),"ЛОТЬЄ Жоэль Раймон")</f>
        <v>ЛОТЬЄ Жоэль Раймон</v>
      </c>
      <c r="J3441" s="7" t="s">
        <v>11</v>
      </c>
    </row>
    <row r="3442" spans="1:10" ht="13.2">
      <c r="A3442" s="7">
        <v>3441</v>
      </c>
      <c r="B3442" s="7">
        <v>1</v>
      </c>
      <c r="C3442" s="7" t="s">
        <v>10</v>
      </c>
      <c r="D3442" s="7">
        <v>993</v>
      </c>
      <c r="E3442" s="7" t="s">
        <v>28</v>
      </c>
      <c r="F3442" s="8" t="str">
        <f ca="1">IFERROR(__xludf.DUMMYFUNCTION("IF
(
C3443=""фізична особа""
,
VLOOKUP(D3443,IMPORTRANGE(""https://docs.google.com/spreadsheets/d/14Bd19lYaqBhU8_DElYkX7l4wRkHqqCUFNJY4AfY3kHU/edit?usp=sharing  #gid=0"",""фіз особи new!relations_name""),6,FALSE)
,
(IF
(
C3443=""юридична особа""
,
VLOOKUP"&amp;"(D3443,IMPORTRANGE(""https://docs.google.com/spreadsheets/d/14Bd19lYaqBhU8_DElYkX7l4wRkHqqCUFNJY4AfY3kHU/edit?usp=sharing  #gid=0"",""фіз особи new!relations_name_uo""),7,FALSE)
,
)
))"),"МАШТАЛЯР Олег Олександрович")</f>
        <v>МАШТАЛЯР Олег Олександрович</v>
      </c>
      <c r="G3442" s="7" t="s">
        <v>10</v>
      </c>
      <c r="H3442" s="7">
        <v>991</v>
      </c>
      <c r="I3442" s="8" t="str">
        <f ca="1">IFERROR(__xludf.DUMMYFUNCTION("IF
(
G3443=""фізична особа""
,
VLOOKUP(H3443,IMPORTRANGE(""https://docs.google.com/spreadsheets/d/14Bd19lYaqBhU8_DElYkX7l4wRkHqqCUFNJY4AfY3kHU/edit?usp=sharing  #gid=0"",""фіз особи new!relations_name""),6,FALSE)
,
(IF
(
G3443=""юридична особа""
,
VLOOKUP"&amp;"(H3443,IMPORTRANGE(""https://docs.google.com/spreadsheets/d/14Bd19lYaqBhU8_DElYkX7l4wRkHqqCUFNJY4AfY3kHU/edit?usp=sharing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3442" s="7" t="s">
        <v>29</v>
      </c>
    </row>
    <row r="3443" spans="1:10" ht="13.2">
      <c r="A3443" s="7">
        <v>3442</v>
      </c>
      <c r="B3443" s="7">
        <v>1</v>
      </c>
      <c r="C3443" s="7" t="s">
        <v>10</v>
      </c>
      <c r="D3443" s="7">
        <v>995</v>
      </c>
      <c r="E3443" s="7" t="s">
        <v>16</v>
      </c>
      <c r="F3443" s="8" t="str">
        <f ca="1">IFERROR(__xludf.DUMMYFUNCTION("IF
(
C3444=""фізична особа""
,
VLOOKUP(D3444,IMPORTRANGE(""https://docs.google.com/spreadsheets/d/14Bd19lYaqBhU8_DElYkX7l4wRkHqqCUFNJY4AfY3kHU/edit?usp=sharing  #gid=0"",""фіз особи new!relations_name""),6,FALSE)
,
(IF
(
C3444=""юридична особа""
,
VLOOKUP"&amp;"(D3444,IMPORTRANGE(""https://docs.google.com/spreadsheets/d/14Bd19lYaqBhU8_DElYkX7l4wRkHqqCUFNJY4AfY3kHU/edit?usp=sharing  #gid=0"",""фіз особи new!relations_name_uo""),7,FALSE)
,
)
))"),"ШАМАЛОВ Микола Терентійович")</f>
        <v>ШАМАЛОВ Микола Терентійович</v>
      </c>
      <c r="G3443" s="7" t="s">
        <v>10</v>
      </c>
      <c r="H3443" s="7">
        <v>880</v>
      </c>
      <c r="I3443" s="8" t="str">
        <f ca="1">IFERROR(__xludf.DUMMYFUNCTION("IF
(
G3444=""фізична особа""
,
VLOOKUP(H3444,IMPORTRANGE(""https://docs.google.com/spreadsheets/d/14Bd19lYaqBhU8_DElYkX7l4wRkHqqCUFNJY4AfY3kHU/edit?usp=sharing  #gid=0"",""фіз особи new!relations_name""),6,FALSE)
,
(IF
(
G3444=""юридична особа""
,
VLOOKUP"&amp;"(H3444,IMPORTRANGE(""https://docs.google.com/spreadsheets/d/14Bd19lYaqBhU8_DElYkX7l4wRkHqqCUFNJY4AfY3kHU/edit?usp=sharing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443" s="7" t="s">
        <v>16</v>
      </c>
    </row>
    <row r="3444" spans="1:10" ht="13.2">
      <c r="A3444" s="7">
        <v>3443</v>
      </c>
      <c r="B3444" s="7">
        <v>1</v>
      </c>
      <c r="C3444" s="7" t="s">
        <v>10</v>
      </c>
      <c r="D3444" s="7">
        <v>995</v>
      </c>
      <c r="E3444" s="7" t="s">
        <v>12</v>
      </c>
      <c r="F3444" s="8" t="str">
        <f ca="1">IFERROR(__xludf.DUMMYFUNCTION("IF
(
C3445=""фізична особа""
,
VLOOKUP(D3445,IMPORTRANGE(""https://docs.google.com/spreadsheets/d/14Bd19lYaqBhU8_DElYkX7l4wRkHqqCUFNJY4AfY3kHU/edit?usp=sharing  #gid=0"",""фіз особи new!relations_name""),6,FALSE)
,
(IF
(
C3445=""юридична особа""
,
VLOOKUP"&amp;"(D3445,IMPORTRANGE(""https://docs.google.com/spreadsheets/d/14Bd19lYaqBhU8_DElYkX7l4wRkHqqCUFNJY4AfY3kHU/edit?usp=sharing  #gid=0"",""фіз особи new!relations_name_uo""),7,FALSE)
,
)
))"),"ШАМАЛОВ Микола Терентійович")</f>
        <v>ШАМАЛОВ Микола Терентійович</v>
      </c>
      <c r="G3444" s="7" t="s">
        <v>10</v>
      </c>
      <c r="H3444" s="7">
        <v>1422</v>
      </c>
      <c r="I3444" s="8" t="str">
        <f ca="1">IFERROR(__xludf.DUMMYFUNCTION("IF
(
G3445=""фізична особа""
,
VLOOKUP(H3445,IMPORTRANGE(""https://docs.google.com/spreadsheets/d/14Bd19lYaqBhU8_DElYkX7l4wRkHqqCUFNJY4AfY3kHU/edit?usp=sharing  #gid=0"",""фіз особи new!relations_name""),6,FALSE)
,
(IF
(
G3445=""юридична особа""
,
VLOOKUP"&amp;"(H3445,IMPORTRANGE(""https://docs.google.com/spreadsheets/d/14Bd19lYaqBhU8_DElYkX7l4wRkHqqCUFNJY4AfY3kHU/edit?usp=sharing  #gid=0"",""фіз особи new!relations_name_uo""),7,FALSE)
,
)
))"),"ШАМАЛОВ Юрій Миколайович")</f>
        <v>ШАМАЛОВ Юрій Миколайович</v>
      </c>
      <c r="J3444" s="7" t="s">
        <v>17</v>
      </c>
    </row>
    <row r="3445" spans="1:10" ht="13.2">
      <c r="A3445" s="7">
        <v>3444</v>
      </c>
      <c r="B3445" s="7">
        <v>1</v>
      </c>
      <c r="C3445" s="7" t="s">
        <v>10</v>
      </c>
      <c r="D3445" s="7">
        <v>995</v>
      </c>
      <c r="E3445" s="7" t="s">
        <v>12</v>
      </c>
      <c r="F3445" s="8" t="str">
        <f ca="1">IFERROR(__xludf.DUMMYFUNCTION("IF
(
C3446=""фізична особа""
,
VLOOKUP(D3446,IMPORTRANGE(""https://docs.google.com/spreadsheets/d/14Bd19lYaqBhU8_DElYkX7l4wRkHqqCUFNJY4AfY3kHU/edit?usp=sharing  #gid=0"",""фіз особи new!relations_name""),6,FALSE)
,
(IF
(
C3446=""юридична особа""
,
VLOOKUP"&amp;"(D3446,IMPORTRANGE(""https://docs.google.com/spreadsheets/d/14Bd19lYaqBhU8_DElYkX7l4wRkHqqCUFNJY4AfY3kHU/edit?usp=sharing  #gid=0"",""фіз особи new!relations_name_uo""),7,FALSE)
,
)
))"),"ШАМАЛОВ Микола Терентійович")</f>
        <v>ШАМАЛОВ Микола Терентійович</v>
      </c>
      <c r="G3445" s="7" t="s">
        <v>10</v>
      </c>
      <c r="H3445" s="7">
        <v>366</v>
      </c>
      <c r="I3445" s="8" t="str">
        <f ca="1">IFERROR(__xludf.DUMMYFUNCTION("IF
(
G3446=""фізична особа""
,
VLOOKUP(H3446,IMPORTRANGE(""https://docs.google.com/spreadsheets/d/14Bd19lYaqBhU8_DElYkX7l4wRkHqqCUFNJY4AfY3kHU/edit?usp=sharing  #gid=0"",""фіз особи new!relations_name""),6,FALSE)
,
(IF
(
G3446=""юридична особа""
,
VLOOKUP"&amp;"(H3446,IMPORTRANGE(""https://docs.google.com/spreadsheets/d/14Bd19lYaqBhU8_DElYkX7l4wRkHqqCUFNJY4AfY3kHU/edit?usp=sharing  #gid=0"",""фіз особи new!relations_name_uo""),7,FALSE)
,
)
))"),"ШАМАЛОВ Кирило Миколайович")</f>
        <v>ШАМАЛОВ Кирило Миколайович</v>
      </c>
      <c r="J3445" s="7" t="s">
        <v>17</v>
      </c>
    </row>
    <row r="3446" spans="1:10" ht="13.2">
      <c r="A3446" s="7">
        <v>3445</v>
      </c>
      <c r="B3446" s="7">
        <v>1</v>
      </c>
      <c r="C3446" s="7" t="s">
        <v>10</v>
      </c>
      <c r="D3446" s="7">
        <v>996</v>
      </c>
      <c r="E3446" s="7" t="s">
        <v>12</v>
      </c>
      <c r="F3446" s="8" t="str">
        <f ca="1">IFERROR(__xludf.DUMMYFUNCTION("IF
(
C3447=""фізична особа""
,
VLOOKUP(D3447,IMPORTRANGE(""https://docs.google.com/spreadsheets/d/14Bd19lYaqBhU8_DElYkX7l4wRkHqqCUFNJY4AfY3kHU/edit?usp=sharing  #gid=0"",""фіз особи new!relations_name""),6,FALSE)
,
(IF
(
C3447=""юридична особа""
,
VLOOKUP"&amp;"(D3447,IMPORTRANGE(""https://docs.google.com/spreadsheets/d/14Bd19lYaqBhU8_DElYkX7l4wRkHqqCUFNJY4AfY3kHU/edit?usp=sharing  #gid=0"",""фіз особи new!relations_name_uo""),7,FALSE)
,
)
))"),"БРІЛКА Сергій Фатєєвич")</f>
        <v>БРІЛКА Сергій Фатєєвич</v>
      </c>
      <c r="G3446" s="7" t="s">
        <v>10</v>
      </c>
      <c r="H3446" s="7">
        <v>23464</v>
      </c>
      <c r="I3446" s="8" t="str">
        <f ca="1">IFERROR(__xludf.DUMMYFUNCTION("IF
(
G3447=""фізична особа""
,
VLOOKUP(H3447,IMPORTRANGE(""https://docs.google.com/spreadsheets/d/14Bd19lYaqBhU8_DElYkX7l4wRkHqqCUFNJY4AfY3kHU/edit?usp=sharing  #gid=0"",""фіз особи new!relations_name""),6,FALSE)
,
(IF
(
G3447=""юридична особа""
,
VLOOKUP"&amp;"(H3447,IMPORTRANGE(""https://docs.google.com/spreadsheets/d/14Bd19lYaqBhU8_DElYkX7l4wRkHqqCUFNJY4AfY3kHU/edit?usp=sharing  #gid=0"",""фіз особи new!relations_name_uo""),7,FALSE)
,
)
))"),"БРІЛКА Іван Сергійович")</f>
        <v>БРІЛКА Іван Сергійович</v>
      </c>
      <c r="J3446" s="7" t="s">
        <v>17</v>
      </c>
    </row>
    <row r="3447" spans="1:10" ht="13.2">
      <c r="A3447" s="7">
        <v>3446</v>
      </c>
      <c r="B3447" s="7">
        <v>1</v>
      </c>
      <c r="C3447" s="7" t="s">
        <v>10</v>
      </c>
      <c r="D3447" s="7">
        <v>996</v>
      </c>
      <c r="E3447" s="7" t="s">
        <v>12</v>
      </c>
      <c r="F3447" s="8" t="str">
        <f ca="1">IFERROR(__xludf.DUMMYFUNCTION("IF
(
C3448=""фізична особа""
,
VLOOKUP(D3448,IMPORTRANGE(""https://docs.google.com/spreadsheets/d/14Bd19lYaqBhU8_DElYkX7l4wRkHqqCUFNJY4AfY3kHU/edit?usp=sharing  #gid=0"",""фіз особи new!relations_name""),6,FALSE)
,
(IF
(
C3448=""юридична особа""
,
VLOOKUP"&amp;"(D3448,IMPORTRANGE(""https://docs.google.com/spreadsheets/d/14Bd19lYaqBhU8_DElYkX7l4wRkHqqCUFNJY4AfY3kHU/edit?usp=sharing  #gid=0"",""фіз особи new!relations_name_uo""),7,FALSE)
,
)
))"),"БРІЛКА Сергій Фатєєвич")</f>
        <v>БРІЛКА Сергій Фатєєвич</v>
      </c>
      <c r="G3447" s="7" t="s">
        <v>10</v>
      </c>
      <c r="H3447" s="7">
        <v>23465</v>
      </c>
      <c r="I3447" s="8" t="str">
        <f ca="1">IFERROR(__xludf.DUMMYFUNCTION("IF
(
G3448=""фізична особа""
,
VLOOKUP(H3448,IMPORTRANGE(""https://docs.google.com/spreadsheets/d/14Bd19lYaqBhU8_DElYkX7l4wRkHqqCUFNJY4AfY3kHU/edit?usp=sharing  #gid=0"",""фіз особи new!relations_name""),6,FALSE)
,
(IF
(
G3448=""юридична особа""
,
VLOOKUP"&amp;"(H3448,IMPORTRANGE(""https://docs.google.com/spreadsheets/d/14Bd19lYaqBhU8_DElYkX7l4wRkHqqCUFNJY4AfY3kHU/edit?usp=sharing  #gid=0"",""фіз особи new!relations_name_uo""),7,FALSE)
,
)
))"),"БРІЛКА Марина Сергіївна")</f>
        <v>БРІЛКА Марина Сергіївна</v>
      </c>
      <c r="J3447" s="7" t="s">
        <v>13</v>
      </c>
    </row>
    <row r="3448" spans="1:10" ht="13.2">
      <c r="A3448" s="7">
        <v>3447</v>
      </c>
      <c r="B3448" s="7">
        <v>1</v>
      </c>
      <c r="C3448" s="7" t="s">
        <v>10</v>
      </c>
      <c r="D3448" s="7">
        <v>996</v>
      </c>
      <c r="E3448" s="7" t="s">
        <v>14</v>
      </c>
      <c r="F3448" s="8" t="str">
        <f ca="1">IFERROR(__xludf.DUMMYFUNCTION("IF
(
C3449=""фізична особа""
,
VLOOKUP(D3449,IMPORTRANGE(""https://docs.google.com/spreadsheets/d/14Bd19lYaqBhU8_DElYkX7l4wRkHqqCUFNJY4AfY3kHU/edit?usp=sharing  #gid=0"",""фіз особи new!relations_name""),6,FALSE)
,
(IF
(
C3449=""юридична особа""
,
VLOOKUP"&amp;"(D3449,IMPORTRANGE(""https://docs.google.com/spreadsheets/d/14Bd19lYaqBhU8_DElYkX7l4wRkHqqCUFNJY4AfY3kHU/edit?usp=sharing  #gid=0"",""фіз особи new!relations_name_uo""),7,FALSE)
,
)
))"),"БРІЛКА Сергій Фатєєвич")</f>
        <v>БРІЛКА Сергій Фатєєвич</v>
      </c>
      <c r="G3448" s="7" t="s">
        <v>10</v>
      </c>
      <c r="H3448" s="7">
        <v>8653</v>
      </c>
      <c r="I3448" s="8" t="str">
        <f ca="1">IFERROR(__xludf.DUMMYFUNCTION("IF
(
G3449=""фізична особа""
,
VLOOKUP(H3449,IMPORTRANGE(""https://docs.google.com/spreadsheets/d/14Bd19lYaqBhU8_DElYkX7l4wRkHqqCUFNJY4AfY3kHU/edit?usp=sharing  #gid=0"",""фіз особи new!relations_name""),6,FALSE)
,
(IF
(
G3449=""юридична особа""
,
VLOOKUP"&amp;"(H3449,IMPORTRANGE(""https://docs.google.com/spreadsheets/d/14Bd19lYaqBhU8_DElYkX7l4wRkHqqCUFNJY4AfY3kHU/edit?usp=sharing  #gid=0"",""фіз особи new!relations_name_uo""),7,FALSE)
,
)
))"),"БРИЛКА Людмила Юріївна")</f>
        <v>БРИЛКА Людмила Юріївна</v>
      </c>
      <c r="J3448" s="7" t="s">
        <v>15</v>
      </c>
    </row>
    <row r="3449" spans="1:10" ht="13.2">
      <c r="A3449" s="7">
        <v>3448</v>
      </c>
      <c r="B3449" s="7">
        <v>1</v>
      </c>
      <c r="C3449" s="7" t="s">
        <v>10</v>
      </c>
      <c r="D3449" s="7">
        <v>997</v>
      </c>
      <c r="E3449" s="7" t="s">
        <v>11</v>
      </c>
      <c r="F3449" s="8" t="str">
        <f ca="1">IFERROR(__xludf.DUMMYFUNCTION("IF
(
C3450=""фізична особа""
,
VLOOKUP(D3450,IMPORTRANGE(""https://docs.google.com/spreadsheets/d/14Bd19lYaqBhU8_DElYkX7l4wRkHqqCUFNJY4AfY3kHU/edit?usp=sharing  #gid=0"",""фіз особи new!relations_name""),6,FALSE)
,
(IF
(
C3450=""юридична особа""
,
VLOOKUP"&amp;"(D3450,IMPORTRANGE(""https://docs.google.com/spreadsheets/d/14Bd19lYaqBhU8_DElYkX7l4wRkHqqCUFNJY4AfY3kHU/edit?usp=sharing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49" s="7" t="s">
        <v>10</v>
      </c>
      <c r="H3449" s="7">
        <v>0</v>
      </c>
      <c r="I3449" s="8" t="str">
        <f ca="1">IFERROR(__xludf.DUMMYFUNCTION("IF
(
G3450=""фізична особа""
,
VLOOKUP(H3450,IMPORTRANGE(""https://docs.google.com/spreadsheets/d/14Bd19lYaqBhU8_DElYkX7l4wRkHqqCUFNJY4AfY3kHU/edit?usp=sharing  #gid=0"",""фіз особи new!relations_name""),6,FALSE)
,
(IF
(
G3450=""юридична особа""
,
VLOOKUP"&amp;"(H3450,IMPORTRANGE(""https://docs.google.com/spreadsheets/d/14Bd19lYaqBhU8_DElYkX7l4wRkHqqCUFNJY4AfY3kHU/edit?usp=sharing  #gid=0"",""фіз особи new!relations_name_uo""),7,FALSE)
,
)
))"),"#N/A")</f>
        <v>#N/A</v>
      </c>
      <c r="J3449" s="7" t="s">
        <v>11</v>
      </c>
    </row>
    <row r="3450" spans="1:10" ht="13.2">
      <c r="A3450" s="7">
        <v>3449</v>
      </c>
      <c r="B3450" s="7">
        <v>1</v>
      </c>
      <c r="C3450" s="7" t="s">
        <v>10</v>
      </c>
      <c r="D3450" s="7">
        <v>997</v>
      </c>
      <c r="E3450" s="7" t="s">
        <v>24</v>
      </c>
      <c r="F3450" s="8" t="str">
        <f ca="1">IFERROR(__xludf.DUMMYFUNCTION("IF
(
C3451=""фізична особа""
,
VLOOKUP(D3451,IMPORTRANGE(""https://docs.google.com/spreadsheets/d/14Bd19lYaqBhU8_DElYkX7l4wRkHqqCUFNJY4AfY3kHU/edit?usp=sharing  #gid=0"",""фіз особи new!relations_name""),6,FALSE)
,
(IF
(
C3451=""юридична особа""
,
VLOOKUP"&amp;"(D3451,IMPORTRANGE(""https://docs.google.com/spreadsheets/d/14Bd19lYaqBhU8_DElYkX7l4wRkHqqCUFNJY4AfY3kHU/edit?usp=sharing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50" s="7" t="s">
        <v>10</v>
      </c>
      <c r="H3450" s="7">
        <v>0</v>
      </c>
      <c r="I3450" s="8" t="str">
        <f ca="1">IFERROR(__xludf.DUMMYFUNCTION("IF
(
G3451=""фізична особа""
,
VLOOKUP(H3451,IMPORTRANGE(""https://docs.google.com/spreadsheets/d/14Bd19lYaqBhU8_DElYkX7l4wRkHqqCUFNJY4AfY3kHU/edit?usp=sharing  #gid=0"",""фіз особи new!relations_name""),6,FALSE)
,
(IF
(
G3451=""юридична особа""
,
VLOOKUP"&amp;"(H3451,IMPORTRANGE(""https://docs.google.com/spreadsheets/d/14Bd19lYaqBhU8_DElYkX7l4wRkHqqCUFNJY4AfY3kHU/edit?usp=sharing  #gid=0"",""фіз особи new!relations_name_uo""),7,FALSE)
,
)
))"),"#N/A")</f>
        <v>#N/A</v>
      </c>
      <c r="J3450" s="7" t="s">
        <v>26</v>
      </c>
    </row>
    <row r="3451" spans="1:10" ht="13.2">
      <c r="A3451" s="7">
        <v>3450</v>
      </c>
      <c r="B3451" s="7">
        <v>1</v>
      </c>
      <c r="C3451" s="7" t="s">
        <v>10</v>
      </c>
      <c r="D3451" s="7">
        <v>997</v>
      </c>
      <c r="E3451" s="7" t="s">
        <v>12</v>
      </c>
      <c r="F3451" s="8" t="str">
        <f ca="1">IFERROR(__xludf.DUMMYFUNCTION("IF
(
C3452=""фізична особа""
,
VLOOKUP(D3452,IMPORTRANGE(""https://docs.google.com/spreadsheets/d/14Bd19lYaqBhU8_DElYkX7l4wRkHqqCUFNJY4AfY3kHU/edit?usp=sharing  #gid=0"",""фіз особи new!relations_name""),6,FALSE)
,
(IF
(
C3452=""юридична особа""
,
VLOOKUP"&amp;"(D3452,IMPORTRANGE(""https://docs.google.com/spreadsheets/d/14Bd19lYaqBhU8_DElYkX7l4wRkHqqCUFNJY4AfY3kHU/edit?usp=sharing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51" s="7" t="s">
        <v>10</v>
      </c>
      <c r="H3451" s="7">
        <v>23466</v>
      </c>
      <c r="I3451" s="8" t="str">
        <f ca="1">IFERROR(__xludf.DUMMYFUNCTION("IF
(
G3452=""фізична особа""
,
VLOOKUP(H3452,IMPORTRANGE(""https://docs.google.com/spreadsheets/d/14Bd19lYaqBhU8_DElYkX7l4wRkHqqCUFNJY4AfY3kHU/edit?usp=sharing  #gid=0"",""фіз особи new!relations_name""),6,FALSE)
,
(IF
(
G3452=""юридична особа""
,
VLOOKUP"&amp;"(H3452,IMPORTRANGE(""https://docs.google.com/spreadsheets/d/14Bd19lYaqBhU8_DElYkX7l4wRkHqqCUFNJY4AfY3kHU/edit?usp=sharing  #gid=0"",""фіз особи new!relations_name_uo""),7,FALSE)
,
)
))"),"КАНОКОВ Альберт Арсенович")</f>
        <v>КАНОКОВ Альберт Арсенович</v>
      </c>
      <c r="J3451" s="7" t="s">
        <v>17</v>
      </c>
    </row>
    <row r="3452" spans="1:10" ht="13.2">
      <c r="A3452" s="7">
        <v>3451</v>
      </c>
      <c r="B3452" s="7">
        <v>1</v>
      </c>
      <c r="C3452" s="7" t="s">
        <v>10</v>
      </c>
      <c r="D3452" s="7">
        <v>997</v>
      </c>
      <c r="E3452" s="7" t="s">
        <v>14</v>
      </c>
      <c r="F3452" s="8" t="str">
        <f ca="1">IFERROR(__xludf.DUMMYFUNCTION("IF
(
C3453=""фізична особа""
,
VLOOKUP(D3453,IMPORTRANGE(""https://docs.google.com/spreadsheets/d/14Bd19lYaqBhU8_DElYkX7l4wRkHqqCUFNJY4AfY3kHU/edit?usp=sharing  #gid=0"",""фіз особи new!relations_name""),6,FALSE)
,
(IF
(
C3453=""юридична особа""
,
VLOOKUP"&amp;"(D3453,IMPORTRANGE(""https://docs.google.com/spreadsheets/d/14Bd19lYaqBhU8_DElYkX7l4wRkHqqCUFNJY4AfY3kHU/edit?usp=sharing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52" s="7" t="s">
        <v>10</v>
      </c>
      <c r="H3452" s="7">
        <v>8760</v>
      </c>
      <c r="I3452" s="8" t="str">
        <f ca="1">IFERROR(__xludf.DUMMYFUNCTION("IF
(
G3453=""фізична особа""
,
VLOOKUP(H3453,IMPORTRANGE(""https://docs.google.com/spreadsheets/d/14Bd19lYaqBhU8_DElYkX7l4wRkHqqCUFNJY4AfY3kHU/edit?usp=sharing  #gid=0"",""фіз особи new!relations_name""),6,FALSE)
,
(IF
(
G3453=""юридична особа""
,
VLOOKUP"&amp;"(H3453,IMPORTRANGE(""https://docs.google.com/spreadsheets/d/14Bd19lYaqBhU8_DElYkX7l4wRkHqqCUFNJY4AfY3kHU/edit?usp=sharing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J3452" s="7" t="s">
        <v>15</v>
      </c>
    </row>
    <row r="3453" spans="1:10" ht="13.2">
      <c r="A3453" s="7">
        <v>3452</v>
      </c>
      <c r="B3453" s="7">
        <v>1</v>
      </c>
      <c r="C3453" s="7" t="s">
        <v>10</v>
      </c>
      <c r="D3453" s="7">
        <v>997</v>
      </c>
      <c r="E3453" s="7" t="s">
        <v>12</v>
      </c>
      <c r="F3453" s="8" t="str">
        <f ca="1">IFERROR(__xludf.DUMMYFUNCTION("IF
(
C3454=""фізична особа""
,
VLOOKUP(D3454,IMPORTRANGE(""https://docs.google.com/spreadsheets/d/14Bd19lYaqBhU8_DElYkX7l4wRkHqqCUFNJY4AfY3kHU/edit?usp=sharing  #gid=0"",""фіз особи new!relations_name""),6,FALSE)
,
(IF
(
C3454=""юридична особа""
,
VLOOKUP"&amp;"(D3454,IMPORTRANGE(""https://docs.google.com/spreadsheets/d/14Bd19lYaqBhU8_DElYkX7l4wRkHqqCUFNJY4AfY3kHU/edit?usp=sharing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53" s="7" t="s">
        <v>10</v>
      </c>
      <c r="H3453" s="7">
        <v>8758</v>
      </c>
      <c r="I3453" s="8" t="str">
        <f ca="1">IFERROR(__xludf.DUMMYFUNCTION("IF
(
G3454=""фізична особа""
,
VLOOKUP(H3454,IMPORTRANGE(""https://docs.google.com/spreadsheets/d/14Bd19lYaqBhU8_DElYkX7l4wRkHqqCUFNJY4AfY3kHU/edit?usp=sharing  #gid=0"",""фіз особи new!relations_name""),6,FALSE)
,
(IF
(
G3454=""юридична особа""
,
VLOOKUP"&amp;"(H3454,IMPORTRANGE(""https://docs.google.com/spreadsheets/d/14Bd19lYaqBhU8_DElYkX7l4wRkHqqCUFNJY4AfY3kHU/edit?usp=sharing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J3453" s="7" t="s">
        <v>13</v>
      </c>
    </row>
    <row r="3454" spans="1:10" ht="13.2">
      <c r="A3454" s="7">
        <v>3453</v>
      </c>
      <c r="B3454" s="7">
        <v>1</v>
      </c>
      <c r="C3454" s="7" t="s">
        <v>10</v>
      </c>
      <c r="D3454" s="7">
        <v>997</v>
      </c>
      <c r="E3454" s="7" t="s">
        <v>12</v>
      </c>
      <c r="F3454" s="8" t="str">
        <f ca="1">IFERROR(__xludf.DUMMYFUNCTION("IF
(
C3455=""фізична особа""
,
VLOOKUP(D3455,IMPORTRANGE(""https://docs.google.com/spreadsheets/d/14Bd19lYaqBhU8_DElYkX7l4wRkHqqCUFNJY4AfY3kHU/edit?usp=sharing  #gid=0"",""фіз особи new!relations_name""),6,FALSE)
,
(IF
(
C3455=""юридична особа""
,
VLOOKUP"&amp;"(D3455,IMPORTRANGE(""https://docs.google.com/spreadsheets/d/14Bd19lYaqBhU8_DElYkX7l4wRkHqqCUFNJY4AfY3kHU/edit?usp=sharing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G3454" s="7" t="s">
        <v>10</v>
      </c>
      <c r="H3454" s="7">
        <v>23467</v>
      </c>
      <c r="I3454" s="8" t="str">
        <f ca="1">IFERROR(__xludf.DUMMYFUNCTION("IF
(
G3455=""фізична особа""
,
VLOOKUP(H3455,IMPORTRANGE(""https://docs.google.com/spreadsheets/d/14Bd19lYaqBhU8_DElYkX7l4wRkHqqCUFNJY4AfY3kHU/edit?usp=sharing  #gid=0"",""фіз особи new!relations_name""),6,FALSE)
,
(IF
(
G3455=""юридична особа""
,
VLOOKUP"&amp;"(H3455,IMPORTRANGE(""https://docs.google.com/spreadsheets/d/14Bd19lYaqBhU8_DElYkX7l4wRkHqqCUFNJY4AfY3kHU/edit?usp=sharing  #gid=0"",""фіз особи new!relations_name_uo""),7,FALSE)
,
)
))"),"КАНОКОВА Аміна Арсенівна")</f>
        <v>КАНОКОВА Аміна Арсенівна</v>
      </c>
      <c r="J3454" s="7" t="s">
        <v>13</v>
      </c>
    </row>
    <row r="3455" spans="1:10" ht="13.2">
      <c r="A3455" s="7">
        <v>3454</v>
      </c>
      <c r="B3455" s="7">
        <v>1</v>
      </c>
      <c r="C3455" s="7" t="s">
        <v>10</v>
      </c>
      <c r="D3455" s="7">
        <v>998</v>
      </c>
      <c r="E3455" s="7" t="s">
        <v>42</v>
      </c>
      <c r="F3455" s="8" t="str">
        <f ca="1">IFERROR(__xludf.DUMMYFUNCTION("IF
(
C3456=""фізична особа""
,
VLOOKUP(D3456,IMPORTRANGE(""https://docs.google.com/spreadsheets/d/14Bd19lYaqBhU8_DElYkX7l4wRkHqqCUFNJY4AfY3kHU/edit?usp=sharing  #gid=0"",""фіз особи new!relations_name""),6,FALSE)
,
(IF
(
C3456=""юридична особа""
,
VLOOKUP"&amp;"(D3456,IMPORTRANGE(""https://docs.google.com/spreadsheets/d/14Bd19lYaqBhU8_DElYkX7l4wRkHqqCUFNJY4AfY3kHU/edit?usp=sharing  #gid=0"",""фіз особи new!relations_name_uo""),7,FALSE)
,
)
))"),"КАВДЖАРАДЗЕ Максим Геннадійович")</f>
        <v>КАВДЖАРАДЗЕ Максим Геннадійович</v>
      </c>
      <c r="G3455" s="7" t="s">
        <v>10</v>
      </c>
      <c r="H3455" s="7">
        <v>0</v>
      </c>
      <c r="I3455" s="8" t="str">
        <f ca="1">IFERROR(__xludf.DUMMYFUNCTION("IF
(
G3456=""фізична особа""
,
VLOOKUP(H3456,IMPORTRANGE(""https://docs.google.com/spreadsheets/d/14Bd19lYaqBhU8_DElYkX7l4wRkHqqCUFNJY4AfY3kHU/edit?usp=sharing  #gid=0"",""фіз особи new!relations_name""),6,FALSE)
,
(IF
(
G3456=""юридична особа""
,
VLOOKUP"&amp;"(H3456,IMPORTRANGE(""https://docs.google.com/spreadsheets/d/14Bd19lYaqBhU8_DElYkX7l4wRkHqqCUFNJY4AfY3kHU/edit?usp=sharing  #gid=0"",""фіз особи new!relations_name_uo""),7,FALSE)
,
)
))"),"#N/A")</f>
        <v>#N/A</v>
      </c>
      <c r="J3455" s="7" t="s">
        <v>43</v>
      </c>
    </row>
    <row r="3456" spans="1:10" ht="13.2">
      <c r="A3456" s="7">
        <v>3455</v>
      </c>
      <c r="B3456" s="7">
        <v>1</v>
      </c>
      <c r="C3456" s="7" t="s">
        <v>10</v>
      </c>
      <c r="D3456" s="7">
        <v>998</v>
      </c>
      <c r="E3456" s="7" t="s">
        <v>12</v>
      </c>
      <c r="F3456" s="8" t="str">
        <f ca="1">IFERROR(__xludf.DUMMYFUNCTION("IF
(
C3457=""фізична особа""
,
VLOOKUP(D3457,IMPORTRANGE(""https://docs.google.com/spreadsheets/d/14Bd19lYaqBhU8_DElYkX7l4wRkHqqCUFNJY4AfY3kHU/edit?usp=sharing  #gid=0"",""фіз особи new!relations_name""),6,FALSE)
,
(IF
(
C3457=""юридична особа""
,
VLOOKUP"&amp;"(D3457,IMPORTRANGE(""https://docs.google.com/spreadsheets/d/14Bd19lYaqBhU8_DElYkX7l4wRkHqqCUFNJY4AfY3kHU/edit?usp=sharing  #gid=0"",""фіз особи new!relations_name_uo""),7,FALSE)
,
)
))"),"КАВДЖАРАДЗЕ Максим Геннадійович")</f>
        <v>КАВДЖАРАДЗЕ Максим Геннадійович</v>
      </c>
      <c r="G3456" s="7" t="s">
        <v>10</v>
      </c>
      <c r="H3456" s="7">
        <v>0</v>
      </c>
      <c r="I3456" s="8" t="str">
        <f ca="1">IFERROR(__xludf.DUMMYFUNCTION("IF
(
G3457=""фізична особа""
,
VLOOKUP(H3457,IMPORTRANGE(""https://docs.google.com/spreadsheets/d/14Bd19lYaqBhU8_DElYkX7l4wRkHqqCUFNJY4AfY3kHU/edit?usp=sharing  #gid=0"",""фіз особи new!relations_name""),6,FALSE)
,
(IF
(
G3457=""юридична особа""
,
VLOOKUP"&amp;"(H3457,IMPORTRANGE(""https://docs.google.com/spreadsheets/d/14Bd19lYaqBhU8_DElYkX7l4wRkHqqCUFNJY4AfY3kHU/edit?usp=sharing  #gid=0"",""фіз особи new!relations_name_uo""),7,FALSE)
,
)
))"),"#N/A")</f>
        <v>#N/A</v>
      </c>
      <c r="J3456" s="7" t="s">
        <v>13</v>
      </c>
    </row>
    <row r="3457" spans="1:10" ht="13.2">
      <c r="A3457" s="7">
        <v>3456</v>
      </c>
      <c r="B3457" s="7">
        <v>1</v>
      </c>
      <c r="C3457" s="7" t="s">
        <v>10</v>
      </c>
      <c r="D3457" s="7">
        <v>998</v>
      </c>
      <c r="E3457" s="7" t="s">
        <v>18</v>
      </c>
      <c r="F3457" s="8" t="str">
        <f ca="1">IFERROR(__xludf.DUMMYFUNCTION("IF
(
C3458=""фізична особа""
,
VLOOKUP(D3458,IMPORTRANGE(""https://docs.google.com/spreadsheets/d/14Bd19lYaqBhU8_DElYkX7l4wRkHqqCUFNJY4AfY3kHU/edit?usp=sharing  #gid=0"",""фіз особи new!relations_name""),6,FALSE)
,
(IF
(
C3458=""юридична особа""
,
VLOOKUP"&amp;"(D3458,IMPORTRANGE(""https://docs.google.com/spreadsheets/d/14Bd19lYaqBhU8_DElYkX7l4wRkHqqCUFNJY4AfY3kHU/edit?usp=sharing  #gid=0"",""фіз особи new!relations_name_uo""),7,FALSE)
,
)
))"),"КАВДЖАРАДЗЕ Максим Геннадійович")</f>
        <v>КАВДЖАРАДЗЕ Максим Геннадійович</v>
      </c>
      <c r="G3457" s="7" t="s">
        <v>10</v>
      </c>
      <c r="H3457" s="7">
        <v>0</v>
      </c>
      <c r="I3457" s="8" t="str">
        <f ca="1">IFERROR(__xludf.DUMMYFUNCTION("IF
(
G3458=""фізична особа""
,
VLOOKUP(H3458,IMPORTRANGE(""https://docs.google.com/spreadsheets/d/14Bd19lYaqBhU8_DElYkX7l4wRkHqqCUFNJY4AfY3kHU/edit?usp=sharing  #gid=0"",""фіз особи new!relations_name""),6,FALSE)
,
(IF
(
G3458=""юридична особа""
,
VLOOKUP"&amp;"(H3458,IMPORTRANGE(""https://docs.google.com/spreadsheets/d/14Bd19lYaqBhU8_DElYkX7l4wRkHqqCUFNJY4AfY3kHU/edit?usp=sharing  #gid=0"",""фіз особи new!relations_name_uo""),7,FALSE)
,
)
))"),"#N/A")</f>
        <v>#N/A</v>
      </c>
      <c r="J3457" s="7" t="s">
        <v>18</v>
      </c>
    </row>
    <row r="3458" spans="1:10" ht="13.2">
      <c r="A3458" s="7">
        <v>3457</v>
      </c>
      <c r="B3458" s="7">
        <v>1</v>
      </c>
      <c r="C3458" s="7" t="s">
        <v>10</v>
      </c>
      <c r="D3458" s="7">
        <v>998</v>
      </c>
      <c r="E3458" s="7" t="s">
        <v>28</v>
      </c>
      <c r="F3458" s="8" t="str">
        <f ca="1">IFERROR(__xludf.DUMMYFUNCTION("IF
(
C3459=""фізична особа""
,
VLOOKUP(D3459,IMPORTRANGE(""https://docs.google.com/spreadsheets/d/14Bd19lYaqBhU8_DElYkX7l4wRkHqqCUFNJY4AfY3kHU/edit?usp=sharing  #gid=0"",""фіз особи new!relations_name""),6,FALSE)
,
(IF
(
C3459=""юридична особа""
,
VLOOKUP"&amp;"(D3459,IMPORTRANGE(""https://docs.google.com/spreadsheets/d/14Bd19lYaqBhU8_DElYkX7l4wRkHqqCUFNJY4AfY3kHU/edit?usp=sharing  #gid=0"",""фіз особи new!relations_name_uo""),7,FALSE)
,
)
))"),"КАВДЖАРАДЗЕ Максим Геннадійович")</f>
        <v>КАВДЖАРАДЗЕ Максим Геннадійович</v>
      </c>
      <c r="G3458" s="7" t="s">
        <v>10</v>
      </c>
      <c r="H3458" s="7">
        <v>460</v>
      </c>
      <c r="I3458" s="8" t="str">
        <f ca="1">IFERROR(__xludf.DUMMYFUNCTION("IF
(
G3459=""фізична особа""
,
VLOOKUP(H3459,IMPORTRANGE(""https://docs.google.com/spreadsheets/d/14Bd19lYaqBhU8_DElYkX7l4wRkHqqCUFNJY4AfY3kHU/edit?usp=sharing  #gid=0"",""фіз особи new!relations_name""),6,FALSE)
,
(IF
(
G3459=""юридична особа""
,
VLOOKUP"&amp;"(H3459,IMPORTRANGE(""https://docs.google.com/spreadsheets/d/14Bd19lYaqBhU8_DElYkX7l4wRkHqqCUFNJY4AfY3kHU/edit?usp=sharing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3458" s="7" t="s">
        <v>29</v>
      </c>
    </row>
    <row r="3459" spans="1:10" ht="13.2">
      <c r="A3459" s="7">
        <v>3458</v>
      </c>
      <c r="B3459" s="7">
        <v>1</v>
      </c>
      <c r="C3459" s="7" t="s">
        <v>10</v>
      </c>
      <c r="D3459" s="7">
        <v>999</v>
      </c>
      <c r="E3459" s="7" t="s">
        <v>14</v>
      </c>
      <c r="F3459" s="8" t="str">
        <f ca="1">IFERROR(__xludf.DUMMYFUNCTION("IF
(
C3460=""фізична особа""
,
VLOOKUP(D3460,IMPORTRANGE(""https://docs.google.com/spreadsheets/d/14Bd19lYaqBhU8_DElYkX7l4wRkHqqCUFNJY4AfY3kHU/edit?usp=sharing  #gid=0"",""фіз особи new!relations_name""),6,FALSE)
,
(IF
(
C3460=""юридична особа""
,
VLOOKUP"&amp;"(D3460,IMPORTRANGE(""https://docs.google.com/spreadsheets/d/14Bd19lYaqBhU8_DElYkX7l4wRkHqqCUFNJY4AfY3kHU/edit?usp=sharing  #gid=0"",""фіз особи new!relations_name_uo""),7,FALSE)
,
)
))"),"КРЕСС Віктор Мельхіорович")</f>
        <v>КРЕСС Віктор Мельхіорович</v>
      </c>
      <c r="G3459" s="7" t="s">
        <v>10</v>
      </c>
      <c r="H3459" s="7">
        <v>8654</v>
      </c>
      <c r="I3459" s="8" t="str">
        <f ca="1">IFERROR(__xludf.DUMMYFUNCTION("IF
(
G3460=""фізична особа""
,
VLOOKUP(H3460,IMPORTRANGE(""https://docs.google.com/spreadsheets/d/14Bd19lYaqBhU8_DElYkX7l4wRkHqqCUFNJY4AfY3kHU/edit?usp=sharing  #gid=0"",""фіз особи new!relations_name""),6,FALSE)
,
(IF
(
G3460=""юридична особа""
,
VLOOKUP"&amp;"(H3460,IMPORTRANGE(""https://docs.google.com/spreadsheets/d/14Bd19lYaqBhU8_DElYkX7l4wRkHqqCUFNJY4AfY3kHU/edit?usp=sharing  #gid=0"",""фіз особи new!relations_name_uo""),7,FALSE)
,
)
))"),"КРЕСС Людмила Василівна")</f>
        <v>КРЕСС Людмила Василівна</v>
      </c>
      <c r="J3459" s="7" t="s">
        <v>15</v>
      </c>
    </row>
    <row r="3460" spans="1:10" ht="13.2">
      <c r="A3460" s="7">
        <v>3459</v>
      </c>
      <c r="B3460" s="7">
        <v>1</v>
      </c>
      <c r="C3460" s="7" t="s">
        <v>10</v>
      </c>
      <c r="D3460" s="7">
        <v>999</v>
      </c>
      <c r="E3460" s="7" t="s">
        <v>12</v>
      </c>
      <c r="F3460" s="8" t="str">
        <f ca="1">IFERROR(__xludf.DUMMYFUNCTION("IF
(
C3461=""фізична особа""
,
VLOOKUP(D3461,IMPORTRANGE(""https://docs.google.com/spreadsheets/d/14Bd19lYaqBhU8_DElYkX7l4wRkHqqCUFNJY4AfY3kHU/edit?usp=sharing  #gid=0"",""фіз особи new!relations_name""),6,FALSE)
,
(IF
(
C3461=""юридична особа""
,
VLOOKUP"&amp;"(D3461,IMPORTRANGE(""https://docs.google.com/spreadsheets/d/14Bd19lYaqBhU8_DElYkX7l4wRkHqqCUFNJY4AfY3kHU/edit?usp=sharing  #gid=0"",""фіз особи new!relations_name_uo""),7,FALSE)
,
)
))"),"КРЕСС Віктор Мельхіорович")</f>
        <v>КРЕСС Віктор Мельхіорович</v>
      </c>
      <c r="G3460" s="7" t="s">
        <v>10</v>
      </c>
      <c r="H3460" s="7">
        <v>12132</v>
      </c>
      <c r="I3460" s="8" t="str">
        <f ca="1">IFERROR(__xludf.DUMMYFUNCTION("IF
(
G3461=""фізична особа""
,
VLOOKUP(H3461,IMPORTRANGE(""https://docs.google.com/spreadsheets/d/14Bd19lYaqBhU8_DElYkX7l4wRkHqqCUFNJY4AfY3kHU/edit?usp=sharing  #gid=0"",""фіз особи new!relations_name""),6,FALSE)
,
(IF
(
G3461=""юридична особа""
,
VLOOKUP"&amp;"(H3461,IMPORTRANGE(""https://docs.google.com/spreadsheets/d/14Bd19lYaqBhU8_DElYkX7l4wRkHqqCUFNJY4AfY3kHU/edit?usp=sharing  #gid=0"",""фіз особи new!relations_name_uo""),7,FALSE)
,
)
))"),"КРЕСС В'ячеслав Вікторович")</f>
        <v>КРЕСС В'ячеслав Вікторович</v>
      </c>
      <c r="J3460" s="7" t="s">
        <v>17</v>
      </c>
    </row>
    <row r="3461" spans="1:10" ht="13.2">
      <c r="A3461" s="7">
        <v>3460</v>
      </c>
      <c r="B3461" s="7">
        <v>1</v>
      </c>
      <c r="C3461" s="7" t="s">
        <v>10</v>
      </c>
      <c r="D3461" s="7">
        <v>999</v>
      </c>
      <c r="E3461" s="7" t="s">
        <v>12</v>
      </c>
      <c r="F3461" s="8" t="str">
        <f ca="1">IFERROR(__xludf.DUMMYFUNCTION("IF
(
C3462=""фізична особа""
,
VLOOKUP(D3462,IMPORTRANGE(""https://docs.google.com/spreadsheets/d/14Bd19lYaqBhU8_DElYkX7l4wRkHqqCUFNJY4AfY3kHU/edit?usp=sharing  #gid=0"",""фіз особи new!relations_name""),6,FALSE)
,
(IF
(
C3462=""юридична особа""
,
VLOOKUP"&amp;"(D3462,IMPORTRANGE(""https://docs.google.com/spreadsheets/d/14Bd19lYaqBhU8_DElYkX7l4wRkHqqCUFNJY4AfY3kHU/edit?usp=sharing  #gid=0"",""фіз особи new!relations_name_uo""),7,FALSE)
,
)
))"),"КРЕСС Віктор Мельхіорович")</f>
        <v>КРЕСС Віктор Мельхіорович</v>
      </c>
      <c r="G3461" s="7" t="s">
        <v>10</v>
      </c>
      <c r="H3461" s="7">
        <v>23468</v>
      </c>
      <c r="I3461" s="8" t="str">
        <f ca="1">IFERROR(__xludf.DUMMYFUNCTION("IF
(
G3462=""фізична особа""
,
VLOOKUP(H3462,IMPORTRANGE(""https://docs.google.com/spreadsheets/d/14Bd19lYaqBhU8_DElYkX7l4wRkHqqCUFNJY4AfY3kHU/edit?usp=sharing  #gid=0"",""фіз особи new!relations_name""),6,FALSE)
,
(IF
(
G3462=""юридична особа""
,
VLOOKUP"&amp;"(H3462,IMPORTRANGE(""https://docs.google.com/spreadsheets/d/14Bd19lYaqBhU8_DElYkX7l4wRkHqqCUFNJY4AfY3kHU/edit?usp=sharing  #gid=0"",""фіз особи new!relations_name_uo""),7,FALSE)
,
)
))"),"ЄФІМОВА Олена Вікторівна")</f>
        <v>ЄФІМОВА Олена Вікторівна</v>
      </c>
      <c r="J3461" s="7" t="s">
        <v>13</v>
      </c>
    </row>
    <row r="3462" spans="1:10" ht="13.2">
      <c r="A3462" s="7">
        <v>3461</v>
      </c>
      <c r="B3462" s="7">
        <v>1</v>
      </c>
      <c r="C3462" s="7" t="s">
        <v>10</v>
      </c>
      <c r="D3462" s="7">
        <v>1000</v>
      </c>
      <c r="E3462" s="7" t="s">
        <v>28</v>
      </c>
      <c r="F3462" s="8" t="str">
        <f ca="1">IFERROR(__xludf.DUMMYFUNCTION("IF
(
C3463=""фізична особа""
,
VLOOKUP(D3463,IMPORTRANGE(""https://docs.google.com/spreadsheets/d/14Bd19lYaqBhU8_DElYkX7l4wRkHqqCUFNJY4AfY3kHU/edit?usp=sharing  #gid=0"",""фіз особи new!relations_name""),6,FALSE)
,
(IF
(
C3463=""юридична особа""
,
VLOOKUP"&amp;"(D3463,IMPORTRANGE(""https://docs.google.com/spreadsheets/d/14Bd19lYaqBhU8_DElYkX7l4wRkHqqCUFNJY4AfY3kHU/edit?usp=sharing  #gid=0"",""фіз особи new!relations_name_uo""),7,FALSE)
,
)
))"),"ЛУКІН Сергій Миколайович")</f>
        <v>ЛУКІН Сергій Миколайович</v>
      </c>
      <c r="G3462" s="7" t="s">
        <v>10</v>
      </c>
      <c r="H3462" s="7">
        <v>430</v>
      </c>
      <c r="I3462" s="8" t="str">
        <f ca="1">IFERROR(__xludf.DUMMYFUNCTION("IF
(
G3463=""фізична особа""
,
VLOOKUP(H3463,IMPORTRANGE(""https://docs.google.com/spreadsheets/d/14Bd19lYaqBhU8_DElYkX7l4wRkHqqCUFNJY4AfY3kHU/edit?usp=sharing  #gid=0"",""фіз особи new!relations_name""),6,FALSE)
,
(IF
(
G3463=""юридична особа""
,
VLOOKUP"&amp;"(H3463,IMPORTRANGE(""https://docs.google.com/spreadsheets/d/14Bd19lYaqBhU8_DElYkX7l4wRkHqqCUFNJY4AfY3kHU/edit?usp=sharing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3462" s="7" t="s">
        <v>29</v>
      </c>
    </row>
    <row r="3463" spans="1:10" ht="13.2">
      <c r="A3463" s="7">
        <v>3462</v>
      </c>
      <c r="B3463" s="7">
        <v>1</v>
      </c>
      <c r="C3463" s="7" t="s">
        <v>10</v>
      </c>
      <c r="D3463" s="7">
        <v>1000</v>
      </c>
      <c r="E3463" s="7" t="s">
        <v>48</v>
      </c>
      <c r="F3463" s="8" t="str">
        <f ca="1">IFERROR(__xludf.DUMMYFUNCTION("IF
(
C3464=""фізична особа""
,
VLOOKUP(D3464,IMPORTRANGE(""https://docs.google.com/spreadsheets/d/14Bd19lYaqBhU8_DElYkX7l4wRkHqqCUFNJY4AfY3kHU/edit?usp=sharing  #gid=0"",""фіз особи new!relations_name""),6,FALSE)
,
(IF
(
C3464=""юридична особа""
,
VLOOKUP"&amp;"(D3464,IMPORTRANGE(""https://docs.google.com/spreadsheets/d/14Bd19lYaqBhU8_DElYkX7l4wRkHqqCUFNJY4AfY3kHU/edit?usp=sharing  #gid=0"",""фіз особи new!relations_name_uo""),7,FALSE)
,
)
))"),"ЛУКІН Сергій Миколайович")</f>
        <v>ЛУКІН Сергій Миколайович</v>
      </c>
      <c r="G3463" s="7" t="s">
        <v>10</v>
      </c>
      <c r="H3463" s="7">
        <v>11</v>
      </c>
      <c r="I3463" s="8" t="str">
        <f ca="1">IFERROR(__xludf.DUMMYFUNCTION("IF
(
G3464=""фізична особа""
,
VLOOKUP(H3464,IMPORTRANGE(""https://docs.google.com/spreadsheets/d/14Bd19lYaqBhU8_DElYkX7l4wRkHqqCUFNJY4AfY3kHU/edit?usp=sharing  #gid=0"",""фіз особи new!relations_name""),6,FALSE)
,
(IF
(
G3464=""юридична особа""
,
VLOOKUP"&amp;"(H3464,IMPORTRANGE(""https://docs.google.com/spreadsheets/d/14Bd19lYaqBhU8_DElYkX7l4wRkHqqCUFNJY4AfY3kHU/edit?usp=sharing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3463" s="7" t="s">
        <v>48</v>
      </c>
    </row>
    <row r="3464" spans="1:10" ht="13.2">
      <c r="A3464" s="7">
        <v>3463</v>
      </c>
      <c r="B3464" s="7">
        <v>1</v>
      </c>
      <c r="C3464" s="7" t="s">
        <v>10</v>
      </c>
      <c r="D3464" s="7">
        <v>1001</v>
      </c>
      <c r="E3464" s="7" t="s">
        <v>12</v>
      </c>
      <c r="F3464" s="8" t="str">
        <f ca="1">IFERROR(__xludf.DUMMYFUNCTION("IF
(
C3465=""фізична особа""
,
VLOOKUP(D3465,IMPORTRANGE(""https://docs.google.com/spreadsheets/d/14Bd19lYaqBhU8_DElYkX7l4wRkHqqCUFNJY4AfY3kHU/edit?usp=sharing  #gid=0"",""фіз особи new!relations_name""),6,FALSE)
,
(IF
(
C3465=""юридична особа""
,
VLOOKUP"&amp;"(D3465,IMPORTRANGE(""https://docs.google.com/spreadsheets/d/14Bd19lYaqBhU8_DElYkX7l4wRkHqqCUFNJY4AfY3kHU/edit?usp=sharing  #gid=0"",""фіз особи new!relations_name_uo""),7,FALSE)
,
)
))"),"НЕКРАСОВ Олександр Миколайович")</f>
        <v>НЕКРАСОВ Олександр Миколайович</v>
      </c>
      <c r="G3464" s="7" t="s">
        <v>10</v>
      </c>
      <c r="H3464" s="7">
        <v>0</v>
      </c>
      <c r="I3464" s="8" t="str">
        <f ca="1">IFERROR(__xludf.DUMMYFUNCTION("IF
(
G3465=""фізична особа""
,
VLOOKUP(H3465,IMPORTRANGE(""https://docs.google.com/spreadsheets/d/14Bd19lYaqBhU8_DElYkX7l4wRkHqqCUFNJY4AfY3kHU/edit?usp=sharing  #gid=0"",""фіз особи new!relations_name""),6,FALSE)
,
(IF
(
G3465=""юридична особа""
,
VLOOKUP"&amp;"(H3465,IMPORTRANGE(""https://docs.google.com/spreadsheets/d/14Bd19lYaqBhU8_DElYkX7l4wRkHqqCUFNJY4AfY3kHU/edit?usp=sharing  #gid=0"",""фіз особи new!relations_name_uo""),7,FALSE)
,
)
))"),"#N/A")</f>
        <v>#N/A</v>
      </c>
      <c r="J3464" s="7" t="s">
        <v>17</v>
      </c>
    </row>
    <row r="3465" spans="1:10" ht="13.2">
      <c r="A3465" s="7">
        <v>3464</v>
      </c>
      <c r="B3465" s="7">
        <v>1</v>
      </c>
      <c r="C3465" s="7" t="s">
        <v>10</v>
      </c>
      <c r="D3465" s="7">
        <v>1001</v>
      </c>
      <c r="E3465" s="7" t="s">
        <v>14</v>
      </c>
      <c r="F3465" s="8" t="str">
        <f ca="1">IFERROR(__xludf.DUMMYFUNCTION("IF
(
C3466=""фізична особа""
,
VLOOKUP(D3466,IMPORTRANGE(""https://docs.google.com/spreadsheets/d/14Bd19lYaqBhU8_DElYkX7l4wRkHqqCUFNJY4AfY3kHU/edit?usp=sharing  #gid=0"",""фіз особи new!relations_name""),6,FALSE)
,
(IF
(
C3466=""юридична особа""
,
VLOOKUP"&amp;"(D3466,IMPORTRANGE(""https://docs.google.com/spreadsheets/d/14Bd19lYaqBhU8_DElYkX7l4wRkHqqCUFNJY4AfY3kHU/edit?usp=sharing  #gid=0"",""фіз особи new!relations_name_uo""),7,FALSE)
,
)
))"),"НЕКРАСОВ Олександр Миколайович")</f>
        <v>НЕКРАСОВ Олександр Миколайович</v>
      </c>
      <c r="G3465" s="7" t="s">
        <v>10</v>
      </c>
      <c r="H3465" s="7">
        <v>8655</v>
      </c>
      <c r="I3465" s="8" t="str">
        <f ca="1">IFERROR(__xludf.DUMMYFUNCTION("IF
(
G3466=""фізична особа""
,
VLOOKUP(H3466,IMPORTRANGE(""https://docs.google.com/spreadsheets/d/14Bd19lYaqBhU8_DElYkX7l4wRkHqqCUFNJY4AfY3kHU/edit?usp=sharing  #gid=0"",""фіз особи new!relations_name""),6,FALSE)
,
(IF
(
G3466=""юридична особа""
,
VLOOKUP"&amp;"(H3466,IMPORTRANGE(""https://docs.google.com/spreadsheets/d/14Bd19lYaqBhU8_DElYkX7l4wRkHqqCUFNJY4AfY3kHU/edit?usp=sharing  #gid=0"",""фіз особи new!relations_name_uo""),7,FALSE)
,
)
))"),"НЕКРАСОВА Олена Миколаївна")</f>
        <v>НЕКРАСОВА Олена Миколаївна</v>
      </c>
      <c r="J3465" s="7" t="s">
        <v>15</v>
      </c>
    </row>
    <row r="3466" spans="1:10" ht="13.2">
      <c r="A3466" s="7">
        <v>3465</v>
      </c>
      <c r="B3466" s="7">
        <v>1</v>
      </c>
      <c r="C3466" s="7" t="s">
        <v>10</v>
      </c>
      <c r="D3466" s="7">
        <v>1001</v>
      </c>
      <c r="E3466" s="7" t="s">
        <v>12</v>
      </c>
      <c r="F3466" s="8" t="str">
        <f ca="1">IFERROR(__xludf.DUMMYFUNCTION("IF
(
C3467=""фізична особа""
,
VLOOKUP(D3467,IMPORTRANGE(""https://docs.google.com/spreadsheets/d/14Bd19lYaqBhU8_DElYkX7l4wRkHqqCUFNJY4AfY3kHU/edit?usp=sharing  #gid=0"",""фіз особи new!relations_name""),6,FALSE)
,
(IF
(
C3467=""юридична особа""
,
VLOOKUP"&amp;"(D3467,IMPORTRANGE(""https://docs.google.com/spreadsheets/d/14Bd19lYaqBhU8_DElYkX7l4wRkHqqCUFNJY4AfY3kHU/edit?usp=sharing  #gid=0"",""фіз особи new!relations_name_uo""),7,FALSE)
,
)
))"),"НЕКРАСОВ Олександр Миколайович")</f>
        <v>НЕКРАСОВ Олександр Миколайович</v>
      </c>
      <c r="G3466" s="7" t="s">
        <v>10</v>
      </c>
      <c r="H3466" s="7">
        <v>0</v>
      </c>
      <c r="I3466" s="8" t="str">
        <f ca="1">IFERROR(__xludf.DUMMYFUNCTION("IF
(
G3467=""фізична особа""
,
VLOOKUP(H3467,IMPORTRANGE(""https://docs.google.com/spreadsheets/d/14Bd19lYaqBhU8_DElYkX7l4wRkHqqCUFNJY4AfY3kHU/edit?usp=sharing  #gid=0"",""фіз особи new!relations_name""),6,FALSE)
,
(IF
(
G3467=""юридична особа""
,
VLOOKUP"&amp;"(H3467,IMPORTRANGE(""https://docs.google.com/spreadsheets/d/14Bd19lYaqBhU8_DElYkX7l4wRkHqqCUFNJY4AfY3kHU/edit?usp=sharing  #gid=0"",""фіз особи new!relations_name_uo""),7,FALSE)
,
)
))"),"#N/A")</f>
        <v>#N/A</v>
      </c>
      <c r="J3466" s="7" t="s">
        <v>13</v>
      </c>
    </row>
    <row r="3467" spans="1:10" ht="13.2">
      <c r="A3467" s="7">
        <v>3466</v>
      </c>
      <c r="B3467" s="7">
        <v>1</v>
      </c>
      <c r="C3467" s="7" t="s">
        <v>10</v>
      </c>
      <c r="D3467" s="7">
        <v>1002</v>
      </c>
      <c r="E3467" s="7" t="s">
        <v>21</v>
      </c>
      <c r="F3467" s="8" t="str">
        <f ca="1">IFERROR(__xludf.DUMMYFUNCTION("IF
(
C3468=""фізична особа""
,
VLOOKUP(D3468,IMPORTRANGE(""https://docs.google.com/spreadsheets/d/14Bd19lYaqBhU8_DElYkX7l4wRkHqqCUFNJY4AfY3kHU/edit?usp=sharing  #gid=0"",""фіз особи new!relations_name""),6,FALSE)
,
(IF
(
C3468=""юридична особа""
,
VLOOKUP"&amp;"(D3468,IMPORTRANGE(""https://docs.google.com/spreadsheets/d/14Bd19lYaqBhU8_DElYkX7l4wRkHqqCUFNJY4AfY3kHU/edit?usp=sharing  #gid=0"",""фіз особи new!relations_name_uo""),7,FALSE)
,
)
))"),"НАРУСОВА Людмила Борисівна")</f>
        <v>НАРУСОВА Людмила Борисівна</v>
      </c>
      <c r="G3467" s="7" t="s">
        <v>10</v>
      </c>
      <c r="H3467" s="7">
        <v>23350</v>
      </c>
      <c r="I3467" s="8" t="str">
        <f ca="1">IFERROR(__xludf.DUMMYFUNCTION("IF
(
G3468=""фізична особа""
,
VLOOKUP(H3468,IMPORTRANGE(""https://docs.google.com/spreadsheets/d/14Bd19lYaqBhU8_DElYkX7l4wRkHqqCUFNJY4AfY3kHU/edit?usp=sharing  #gid=0"",""фіз особи new!relations_name""),6,FALSE)
,
(IF
(
G3468=""юридична особа""
,
VLOOKUP"&amp;"(H3468,IMPORTRANGE(""https://docs.google.com/spreadsheets/d/14Bd19lYaqBhU8_DElYkX7l4wRkHqqCUFNJY4AfY3kHU/edit?usp=sharing  #gid=0"",""фіз особи new!relations_name_uo""),7,FALSE)
,
)
))"),"СОБЧАК Ксенія Анатоліївна")</f>
        <v>СОБЧАК Ксенія Анатоліївна</v>
      </c>
      <c r="J3467" s="7" t="s">
        <v>13</v>
      </c>
    </row>
    <row r="3468" spans="1:10" ht="13.2">
      <c r="A3468" s="7">
        <v>3467</v>
      </c>
      <c r="B3468" s="7">
        <v>1</v>
      </c>
      <c r="C3468" s="7" t="s">
        <v>10</v>
      </c>
      <c r="D3468" s="7">
        <v>1002</v>
      </c>
      <c r="E3468" s="7" t="s">
        <v>79</v>
      </c>
      <c r="F3468" s="8" t="str">
        <f ca="1">IFERROR(__xludf.DUMMYFUNCTION("IF
(
C3469=""фізична особа""
,
VLOOKUP(D3469,IMPORTRANGE(""https://docs.google.com/spreadsheets/d/14Bd19lYaqBhU8_DElYkX7l4wRkHqqCUFNJY4AfY3kHU/edit?usp=sharing  #gid=0"",""фіз особи new!relations_name""),6,FALSE)
,
(IF
(
C3469=""юридична особа""
,
VLOOKUP"&amp;"(D3469,IMPORTRANGE(""https://docs.google.com/spreadsheets/d/14Bd19lYaqBhU8_DElYkX7l4wRkHqqCUFNJY4AfY3kHU/edit?usp=sharing  #gid=0"",""фіз особи new!relations_name_uo""),7,FALSE)
,
)
))"),"НАРУСОВА Людмила Борисівна")</f>
        <v>НАРУСОВА Людмила Борисівна</v>
      </c>
      <c r="G3468" s="7" t="s">
        <v>10</v>
      </c>
      <c r="H3468" s="7">
        <v>0</v>
      </c>
      <c r="I3468" s="8" t="str">
        <f ca="1">IFERROR(__xludf.DUMMYFUNCTION("IF
(
G3469=""фізична особа""
,
VLOOKUP(H3469,IMPORTRANGE(""https://docs.google.com/spreadsheets/d/14Bd19lYaqBhU8_DElYkX7l4wRkHqqCUFNJY4AfY3kHU/edit?usp=sharing  #gid=0"",""фіз особи new!relations_name""),6,FALSE)
,
(IF
(
G3469=""юридична особа""
,
VLOOKUP"&amp;"(H3469,IMPORTRANGE(""https://docs.google.com/spreadsheets/d/14Bd19lYaqBhU8_DElYkX7l4wRkHqqCUFNJY4AfY3kHU/edit?usp=sharing  #gid=0"",""фіз особи new!relations_name_uo""),7,FALSE)
,
)
))"),"#N/A")</f>
        <v>#N/A</v>
      </c>
      <c r="J3468" s="7" t="s">
        <v>61</v>
      </c>
    </row>
    <row r="3469" spans="1:10" ht="13.2">
      <c r="A3469" s="7">
        <v>3468</v>
      </c>
      <c r="B3469" s="7">
        <v>1</v>
      </c>
      <c r="C3469" s="7" t="s">
        <v>10</v>
      </c>
      <c r="D3469" s="7">
        <v>1002</v>
      </c>
      <c r="E3469" s="7" t="s">
        <v>27</v>
      </c>
      <c r="F3469" s="8" t="str">
        <f ca="1">IFERROR(__xludf.DUMMYFUNCTION("IF
(
C3470=""фізична особа""
,
VLOOKUP(D3470,IMPORTRANGE(""https://docs.google.com/spreadsheets/d/14Bd19lYaqBhU8_DElYkX7l4wRkHqqCUFNJY4AfY3kHU/edit?usp=sharing  #gid=0"",""фіз особи new!relations_name""),6,FALSE)
,
(IF
(
C3470=""юридична особа""
,
VLOOKUP"&amp;"(D3470,IMPORTRANGE(""https://docs.google.com/spreadsheets/d/14Bd19lYaqBhU8_DElYkX7l4wRkHqqCUFNJY4AfY3kHU/edit?usp=sharing  #gid=0"",""фіз особи new!relations_name_uo""),7,FALSE)
,
)
))"),"НАРУСОВА Людмила Борисівна")</f>
        <v>НАРУСОВА Людмила Борисівна</v>
      </c>
      <c r="G3469" s="7" t="s">
        <v>10</v>
      </c>
      <c r="H3469" s="7">
        <v>23349</v>
      </c>
      <c r="I3469" s="8" t="str">
        <f ca="1">IFERROR(__xludf.DUMMYFUNCTION("IF
(
G3470=""фізична особа""
,
VLOOKUP(H3470,IMPORTRANGE(""https://docs.google.com/spreadsheets/d/14Bd19lYaqBhU8_DElYkX7l4wRkHqqCUFNJY4AfY3kHU/edit?usp=sharing  #gid=0"",""фіз особи new!relations_name""),6,FALSE)
,
(IF
(
G3470=""юридична особа""
,
VLOOKUP"&amp;"(H3470,IMPORTRANGE(""https://docs.google.com/spreadsheets/d/14Bd19lYaqBhU8_DElYkX7l4wRkHqqCUFNJY4AfY3kHU/edit?usp=sharing  #gid=0"",""фіз особи new!relations_name_uo""),7,FALSE)
,
)
))"),"БОГОМОЛОВ Костянтин Юрійович")</f>
        <v>БОГОМОЛОВ Костянтин Юрійович</v>
      </c>
      <c r="J3469" s="7" t="s">
        <v>26</v>
      </c>
    </row>
    <row r="3470" spans="1:10" ht="13.2">
      <c r="A3470" s="7">
        <v>3469</v>
      </c>
      <c r="B3470" s="7">
        <v>1</v>
      </c>
      <c r="C3470" s="7" t="s">
        <v>10</v>
      </c>
      <c r="D3470" s="7">
        <v>1002</v>
      </c>
      <c r="E3470" s="7" t="s">
        <v>87</v>
      </c>
      <c r="F3470" s="8" t="str">
        <f ca="1">IFERROR(__xludf.DUMMYFUNCTION("IF
(
C3471=""фізична особа""
,
VLOOKUP(D3471,IMPORTRANGE(""https://docs.google.com/spreadsheets/d/14Bd19lYaqBhU8_DElYkX7l4wRkHqqCUFNJY4AfY3kHU/edit?usp=sharing  #gid=0"",""фіз особи new!relations_name""),6,FALSE)
,
(IF
(
C3471=""юридична особа""
,
VLOOKUP"&amp;"(D3471,IMPORTRANGE(""https://docs.google.com/spreadsheets/d/14Bd19lYaqBhU8_DElYkX7l4wRkHqqCUFNJY4AfY3kHU/edit?usp=sharing  #gid=0"",""фіз особи new!relations_name_uo""),7,FALSE)
,
)
))"),"НАРУСОВА Людмила Борисівна")</f>
        <v>НАРУСОВА Людмила Борисівна</v>
      </c>
      <c r="G3470" s="7" t="s">
        <v>10</v>
      </c>
      <c r="H3470" s="7">
        <v>880</v>
      </c>
      <c r="I3470" s="8" t="str">
        <f ca="1">IFERROR(__xludf.DUMMYFUNCTION("IF
(
G3471=""фізична особа""
,
VLOOKUP(H3471,IMPORTRANGE(""https://docs.google.com/spreadsheets/d/14Bd19lYaqBhU8_DElYkX7l4wRkHqqCUFNJY4AfY3kHU/edit?usp=sharing  #gid=0"",""фіз особи new!relations_name""),6,FALSE)
,
(IF
(
G3471=""юридична особа""
,
VLOOKUP"&amp;"(H3471,IMPORTRANGE(""https://docs.google.com/spreadsheets/d/14Bd19lYaqBhU8_DElYkX7l4wRkHqqCUFNJY4AfY3kHU/edit?usp=sharing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470" s="7" t="s">
        <v>51</v>
      </c>
    </row>
    <row r="3471" spans="1:10" ht="13.2">
      <c r="A3471" s="7">
        <v>3470</v>
      </c>
      <c r="B3471" s="7">
        <v>1</v>
      </c>
      <c r="C3471" s="7" t="s">
        <v>10</v>
      </c>
      <c r="D3471" s="7">
        <v>1003</v>
      </c>
      <c r="E3471" s="7" t="s">
        <v>12</v>
      </c>
      <c r="F3471" s="8" t="str">
        <f ca="1">IFERROR(__xludf.DUMMYFUNCTION("IF
(
C3472=""фізична особа""
,
VLOOKUP(D3472,IMPORTRANGE(""https://docs.google.com/spreadsheets/d/14Bd19lYaqBhU8_DElYkX7l4wRkHqqCUFNJY4AfY3kHU/edit?usp=sharing  #gid=0"",""фіз особи new!relations_name""),6,FALSE)
,
(IF
(
C3472=""юридична особа""
,
VLOOKUP"&amp;"(D3472,IMPORTRANGE(""https://docs.google.com/spreadsheets/d/14Bd19lYaqBhU8_DElYkX7l4wRkHqqCUFNJY4AfY3kHU/edit?usp=sharing  #gid=0"",""фіз особи new!relations_name_uo""),7,FALSE)
,
)
))"),"ПАНЧЕНКО Ігор Володимирович")</f>
        <v>ПАНЧЕНКО Ігор Володимирович</v>
      </c>
      <c r="G3471" s="7" t="s">
        <v>10</v>
      </c>
      <c r="H3471" s="7">
        <v>0</v>
      </c>
      <c r="I3471" s="8" t="str">
        <f ca="1">IFERROR(__xludf.DUMMYFUNCTION("IF
(
G3472=""фізична особа""
,
VLOOKUP(H3472,IMPORTRANGE(""https://docs.google.com/spreadsheets/d/14Bd19lYaqBhU8_DElYkX7l4wRkHqqCUFNJY4AfY3kHU/edit?usp=sharing  #gid=0"",""фіз особи new!relations_name""),6,FALSE)
,
(IF
(
G3472=""юридична особа""
,
VLOOKUP"&amp;"(H3472,IMPORTRANGE(""https://docs.google.com/spreadsheets/d/14Bd19lYaqBhU8_DElYkX7l4wRkHqqCUFNJY4AfY3kHU/edit?usp=sharing  #gid=0"",""фіз особи new!relations_name_uo""),7,FALSE)
,
)
))"),"#N/A")</f>
        <v>#N/A</v>
      </c>
      <c r="J3471" s="7" t="s">
        <v>13</v>
      </c>
    </row>
    <row r="3472" spans="1:10" ht="13.2">
      <c r="A3472" s="7">
        <v>3471</v>
      </c>
      <c r="B3472" s="7">
        <v>1</v>
      </c>
      <c r="C3472" s="7" t="s">
        <v>10</v>
      </c>
      <c r="D3472" s="7">
        <v>1004</v>
      </c>
      <c r="E3472" s="7" t="s">
        <v>12</v>
      </c>
      <c r="F3472" s="8" t="str">
        <f ca="1">IFERROR(__xludf.DUMMYFUNCTION("IF
(
C3473=""фізична особа""
,
VLOOKUP(D3473,IMPORTRANGE(""https://docs.google.com/spreadsheets/d/14Bd19lYaqBhU8_DElYkX7l4wRkHqqCUFNJY4AfY3kHU/edit?usp=sharing  #gid=0"",""фіз особи new!relations_name""),6,FALSE)
,
(IF
(
C3473=""юридична особа""
,
VLOOKUP"&amp;"(D3473,IMPORTRANGE(""https://docs.google.com/spreadsheets/d/14Bd19lYaqBhU8_DElYkX7l4wRkHqqCUFNJY4AfY3kHU/edit?usp=sharing  #gid=0"",""фіз особи new!relations_name_uo""),7,FALSE)
,
)
))"),"РОССЄЛЬ Едуард Ергартович")</f>
        <v>РОССЄЛЬ Едуард Ергартович</v>
      </c>
      <c r="G3472" s="7" t="s">
        <v>10</v>
      </c>
      <c r="H3472" s="7">
        <v>0</v>
      </c>
      <c r="I3472" s="8" t="str">
        <f ca="1">IFERROR(__xludf.DUMMYFUNCTION("IF
(
G3473=""фізична особа""
,
VLOOKUP(H3473,IMPORTRANGE(""https://docs.google.com/spreadsheets/d/14Bd19lYaqBhU8_DElYkX7l4wRkHqqCUFNJY4AfY3kHU/edit?usp=sharing  #gid=0"",""фіз особи new!relations_name""),6,FALSE)
,
(IF
(
G3473=""юридична особа""
,
VLOOKUP"&amp;"(H3473,IMPORTRANGE(""https://docs.google.com/spreadsheets/d/14Bd19lYaqBhU8_DElYkX7l4wRkHqqCUFNJY4AfY3kHU/edit?usp=sharing  #gid=0"",""фіз особи new!relations_name_uo""),7,FALSE)
,
)
))"),"#N/A")</f>
        <v>#N/A</v>
      </c>
      <c r="J3472" s="7" t="s">
        <v>13</v>
      </c>
    </row>
    <row r="3473" spans="1:10" ht="13.2">
      <c r="A3473" s="7">
        <v>3472</v>
      </c>
      <c r="B3473" s="7">
        <v>1</v>
      </c>
      <c r="C3473" s="7" t="s">
        <v>10</v>
      </c>
      <c r="D3473" s="7">
        <v>1004</v>
      </c>
      <c r="E3473" s="7" t="s">
        <v>14</v>
      </c>
      <c r="F3473" s="8" t="str">
        <f ca="1">IFERROR(__xludf.DUMMYFUNCTION("IF
(
C3474=""фізична особа""
,
VLOOKUP(D3474,IMPORTRANGE(""https://docs.google.com/spreadsheets/d/14Bd19lYaqBhU8_DElYkX7l4wRkHqqCUFNJY4AfY3kHU/edit?usp=sharing  #gid=0"",""фіз особи new!relations_name""),6,FALSE)
,
(IF
(
C3474=""юридична особа""
,
VLOOKUP"&amp;"(D3474,IMPORTRANGE(""https://docs.google.com/spreadsheets/d/14Bd19lYaqBhU8_DElYkX7l4wRkHqqCUFNJY4AfY3kHU/edit?usp=sharing  #gid=0"",""фіз особи new!relations_name_uo""),7,FALSE)
,
)
))"),"РОССЄЛЬ Едуард Ергартович")</f>
        <v>РОССЄЛЬ Едуард Ергартович</v>
      </c>
      <c r="G3473" s="7" t="s">
        <v>10</v>
      </c>
      <c r="H3473" s="7">
        <v>8656</v>
      </c>
      <c r="I3473" s="8" t="str">
        <f ca="1">IFERROR(__xludf.DUMMYFUNCTION("IF
(
G3474=""фізична особа""
,
VLOOKUP(H3474,IMPORTRANGE(""https://docs.google.com/spreadsheets/d/14Bd19lYaqBhU8_DElYkX7l4wRkHqqCUFNJY4AfY3kHU/edit?usp=sharing  #gid=0"",""фіз особи new!relations_name""),6,FALSE)
,
(IF
(
G3474=""юридична особа""
,
VLOOKUP"&amp;"(H3474,IMPORTRANGE(""https://docs.google.com/spreadsheets/d/14Bd19lYaqBhU8_DElYkX7l4wRkHqqCUFNJY4AfY3kHU/edit?usp=sharing  #gid=0"",""фіз особи new!relations_name_uo""),7,FALSE)
,
)
))"),"РОССЕЛЬ Аїда Олександрівна")</f>
        <v>РОССЕЛЬ Аїда Олександрівна</v>
      </c>
      <c r="J3473" s="7" t="s">
        <v>15</v>
      </c>
    </row>
    <row r="3474" spans="1:10" ht="13.2">
      <c r="A3474" s="7">
        <v>3473</v>
      </c>
      <c r="B3474" s="7">
        <v>1</v>
      </c>
      <c r="C3474" s="7" t="s">
        <v>10</v>
      </c>
      <c r="D3474" s="7">
        <v>1009</v>
      </c>
      <c r="E3474" s="7" t="s">
        <v>14</v>
      </c>
      <c r="F3474" s="8" t="str">
        <f ca="1">IFERROR(__xludf.DUMMYFUNCTION("IF
(
C3475=""фізична особа""
,
VLOOKUP(D3475,IMPORTRANGE(""https://docs.google.com/spreadsheets/d/14Bd19lYaqBhU8_DElYkX7l4wRkHqqCUFNJY4AfY3kHU/edit?usp=sharing  #gid=0"",""фіз особи new!relations_name""),6,FALSE)
,
(IF
(
C3475=""юридична особа""
,
VLOOKUP"&amp;"(D3475,IMPORTRANGE(""https://docs.google.com/spreadsheets/d/14Bd19lYaqBhU8_DElYkX7l4wRkHqqCUFNJY4AfY3kHU/edit?usp=sharing  #gid=0"",""фіз особи new!relations_name_uo""),7,FALSE)
,
)
))"),"ГАЗМАНОВ Олег Михайлович")</f>
        <v>ГАЗМАНОВ Олег Михайлович</v>
      </c>
      <c r="G3474" s="7" t="s">
        <v>10</v>
      </c>
      <c r="H3474" s="7">
        <v>0</v>
      </c>
      <c r="I3474" s="8" t="str">
        <f ca="1">IFERROR(__xludf.DUMMYFUNCTION("IF
(
G3475=""фізична особа""
,
VLOOKUP(H3475,IMPORTRANGE(""https://docs.google.com/spreadsheets/d/14Bd19lYaqBhU8_DElYkX7l4wRkHqqCUFNJY4AfY3kHU/edit?usp=sharing  #gid=0"",""фіз особи new!relations_name""),6,FALSE)
,
(IF
(
G3475=""юридична особа""
,
VLOOKUP"&amp;"(H3475,IMPORTRANGE(""https://docs.google.com/spreadsheets/d/14Bd19lYaqBhU8_DElYkX7l4wRkHqqCUFNJY4AfY3kHU/edit?usp=sharing  #gid=0"",""фіз особи new!relations_name_uo""),7,FALSE)
,
)
))"),"#N/A")</f>
        <v>#N/A</v>
      </c>
      <c r="J3474" s="7" t="s">
        <v>15</v>
      </c>
    </row>
    <row r="3475" spans="1:10" ht="13.2">
      <c r="A3475" s="7">
        <v>3474</v>
      </c>
      <c r="B3475" s="7">
        <v>1</v>
      </c>
      <c r="C3475" s="7" t="s">
        <v>10</v>
      </c>
      <c r="D3475" s="7">
        <v>1009</v>
      </c>
      <c r="E3475" s="7" t="s">
        <v>12</v>
      </c>
      <c r="F3475" s="8" t="str">
        <f ca="1">IFERROR(__xludf.DUMMYFUNCTION("IF
(
C3476=""фізична особа""
,
VLOOKUP(D3476,IMPORTRANGE(""https://docs.google.com/spreadsheets/d/14Bd19lYaqBhU8_DElYkX7l4wRkHqqCUFNJY4AfY3kHU/edit?usp=sharing  #gid=0"",""фіз особи new!relations_name""),6,FALSE)
,
(IF
(
C3476=""юридична особа""
,
VLOOKUP"&amp;"(D3476,IMPORTRANGE(""https://docs.google.com/spreadsheets/d/14Bd19lYaqBhU8_DElYkX7l4wRkHqqCUFNJY4AfY3kHU/edit?usp=sharing  #gid=0"",""фіз особи new!relations_name_uo""),7,FALSE)
,
)
))"),"ГАЗМАНОВ Олег Михайлович")</f>
        <v>ГАЗМАНОВ Олег Михайлович</v>
      </c>
      <c r="G3475" s="7" t="s">
        <v>10</v>
      </c>
      <c r="H3475" s="7">
        <v>9024</v>
      </c>
      <c r="I3475" s="8" t="str">
        <f ca="1">IFERROR(__xludf.DUMMYFUNCTION("IF
(
G3476=""фізична особа""
,
VLOOKUP(H3476,IMPORTRANGE(""https://docs.google.com/spreadsheets/d/14Bd19lYaqBhU8_DElYkX7l4wRkHqqCUFNJY4AfY3kHU/edit?usp=sharing  #gid=0"",""фіз особи new!relations_name""),6,FALSE)
,
(IF
(
G3476=""юридична особа""
,
VLOOKUP"&amp;"(H3476,IMPORTRANGE(""https://docs.google.com/spreadsheets/d/14Bd19lYaqBhU8_DElYkX7l4wRkHqqCUFNJY4AfY3kHU/edit?usp=sharing  #gid=0"",""фіз особи new!relations_name_uo""),7,FALSE)
,
)
))"),"ГАЗМАНОВ Родіон Олегович")</f>
        <v>ГАЗМАНОВ Родіон Олегович</v>
      </c>
      <c r="J3475" s="7" t="s">
        <v>17</v>
      </c>
    </row>
    <row r="3476" spans="1:10" ht="13.2">
      <c r="A3476" s="7">
        <v>3475</v>
      </c>
      <c r="B3476" s="7">
        <v>1</v>
      </c>
      <c r="C3476" s="7" t="s">
        <v>10</v>
      </c>
      <c r="D3476" s="7">
        <v>1009</v>
      </c>
      <c r="E3476" s="7" t="s">
        <v>94</v>
      </c>
      <c r="F3476" s="8" t="str">
        <f ca="1">IFERROR(__xludf.DUMMYFUNCTION("IF
(
C3477=""фізична особа""
,
VLOOKUP(D3477,IMPORTRANGE(""https://docs.google.com/spreadsheets/d/14Bd19lYaqBhU8_DElYkX7l4wRkHqqCUFNJY4AfY3kHU/edit?usp=sharing  #gid=0"",""фіз особи new!relations_name""),6,FALSE)
,
(IF
(
C3477=""юридична особа""
,
VLOOKUP"&amp;"(D3477,IMPORTRANGE(""https://docs.google.com/spreadsheets/d/14Bd19lYaqBhU8_DElYkX7l4wRkHqqCUFNJY4AfY3kHU/edit?usp=sharing  #gid=0"",""фіз особи new!relations_name_uo""),7,FALSE)
,
)
))"),"ГАЗМАНОВ Олег Михайлович")</f>
        <v>ГАЗМАНОВ Олег Михайлович</v>
      </c>
      <c r="G3476" s="7" t="s">
        <v>10</v>
      </c>
      <c r="H3476" s="7">
        <v>0</v>
      </c>
      <c r="I3476" s="8" t="str">
        <f ca="1">IFERROR(__xludf.DUMMYFUNCTION("IF
(
G3477=""фізична особа""
,
VLOOKUP(H3477,IMPORTRANGE(""https://docs.google.com/spreadsheets/d/14Bd19lYaqBhU8_DElYkX7l4wRkHqqCUFNJY4AfY3kHU/edit?usp=sharing  #gid=0"",""фіз особи new!relations_name""),6,FALSE)
,
(IF
(
G3477=""юридична особа""
,
VLOOKUP"&amp;"(H3477,IMPORTRANGE(""https://docs.google.com/spreadsheets/d/14Bd19lYaqBhU8_DElYkX7l4wRkHqqCUFNJY4AfY3kHU/edit?usp=sharing  #gid=0"",""фіз особи new!relations_name_uo""),7,FALSE)
,
)
))"),"#N/A")</f>
        <v>#N/A</v>
      </c>
      <c r="J3476" s="7" t="s">
        <v>92</v>
      </c>
    </row>
    <row r="3477" spans="1:10" ht="13.2">
      <c r="A3477" s="7">
        <v>3476</v>
      </c>
      <c r="B3477" s="7">
        <v>1</v>
      </c>
      <c r="C3477" s="7" t="s">
        <v>10</v>
      </c>
      <c r="D3477" s="7">
        <v>1009</v>
      </c>
      <c r="E3477" s="7" t="s">
        <v>12</v>
      </c>
      <c r="F3477" s="8" t="str">
        <f ca="1">IFERROR(__xludf.DUMMYFUNCTION("IF
(
C3478=""фізична особа""
,
VLOOKUP(D3478,IMPORTRANGE(""https://docs.google.com/spreadsheets/d/14Bd19lYaqBhU8_DElYkX7l4wRkHqqCUFNJY4AfY3kHU/edit?usp=sharing  #gid=0"",""фіз особи new!relations_name""),6,FALSE)
,
(IF
(
C3478=""юридична особа""
,
VLOOKUP"&amp;"(D3478,IMPORTRANGE(""https://docs.google.com/spreadsheets/d/14Bd19lYaqBhU8_DElYkX7l4wRkHqqCUFNJY4AfY3kHU/edit?usp=sharing  #gid=0"",""фіз особи new!relations_name_uo""),7,FALSE)
,
)
))"),"ГАЗМАНОВ Олег Михайлович")</f>
        <v>ГАЗМАНОВ Олег Михайлович</v>
      </c>
      <c r="G3477" s="7" t="s">
        <v>10</v>
      </c>
      <c r="H3477" s="7">
        <v>0</v>
      </c>
      <c r="I3477" s="8" t="str">
        <f ca="1">IFERROR(__xludf.DUMMYFUNCTION("IF
(
G3478=""фізична особа""
,
VLOOKUP(H3478,IMPORTRANGE(""https://docs.google.com/spreadsheets/d/14Bd19lYaqBhU8_DElYkX7l4wRkHqqCUFNJY4AfY3kHU/edit?usp=sharing  #gid=0"",""фіз особи new!relations_name""),6,FALSE)
,
(IF
(
G3478=""юридична особа""
,
VLOOKUP"&amp;"(H3478,IMPORTRANGE(""https://docs.google.com/spreadsheets/d/14Bd19lYaqBhU8_DElYkX7l4wRkHqqCUFNJY4AfY3kHU/edit?usp=sharing  #gid=0"",""фіз особи new!relations_name_uo""),7,FALSE)
,
)
))"),"#N/A")</f>
        <v>#N/A</v>
      </c>
      <c r="J3477" s="7" t="s">
        <v>13</v>
      </c>
    </row>
    <row r="3478" spans="1:10" ht="13.2">
      <c r="A3478" s="7">
        <v>3477</v>
      </c>
      <c r="B3478" s="7">
        <v>1</v>
      </c>
      <c r="C3478" s="7" t="s">
        <v>10</v>
      </c>
      <c r="D3478" s="7">
        <v>1017</v>
      </c>
      <c r="E3478" s="7" t="s">
        <v>14</v>
      </c>
      <c r="F3478" s="8" t="str">
        <f ca="1">IFERROR(__xludf.DUMMYFUNCTION("IF
(
C3479=""фізична особа""
,
VLOOKUP(D3479,IMPORTRANGE(""https://docs.google.com/spreadsheets/d/14Bd19lYaqBhU8_DElYkX7l4wRkHqqCUFNJY4AfY3kHU/edit?usp=sharing  #gid=0"",""фіз особи new!relations_name""),6,FALSE)
,
(IF
(
C3479=""юридична особа""
,
VLOOKUP"&amp;"(D3479,IMPORTRANGE(""https://docs.google.com/spreadsheets/d/14Bd19lYaqBhU8_DElYkX7l4wRkHqqCUFNJY4AfY3kHU/edit?usp=sharing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78" s="7" t="s">
        <v>10</v>
      </c>
      <c r="H3478" s="7">
        <v>1018</v>
      </c>
      <c r="I3478" s="8" t="str">
        <f ca="1">IFERROR(__xludf.DUMMYFUNCTION("IF
(
G3479=""фізична особа""
,
VLOOKUP(H3479,IMPORTRANGE(""https://docs.google.com/spreadsheets/d/14Bd19lYaqBhU8_DElYkX7l4wRkHqqCUFNJY4AfY3kHU/edit?usp=sharing  #gid=0"",""фіз особи new!relations_name""),6,FALSE)
,
(IF
(
G3479=""юридична особа""
,
VLOOKUP"&amp;"(H3479,IMPORTRANGE(""https://docs.google.com/spreadsheets/d/14Bd19lYaqBhU8_DElYkX7l4wRkHqqCUFNJY4AfY3kHU/edit?usp=sharing  #gid=0"",""фіз особи new!relations_name_uo""),7,FALSE)
,
)
))"),"ЛУКАШЕНКО Галина Родіонівна")</f>
        <v>ЛУКАШЕНКО Галина Родіонівна</v>
      </c>
      <c r="J3478" s="7" t="s">
        <v>15</v>
      </c>
    </row>
    <row r="3479" spans="1:10" ht="13.2">
      <c r="A3479" s="7">
        <v>3478</v>
      </c>
      <c r="B3479" s="7">
        <v>1</v>
      </c>
      <c r="C3479" s="7" t="s">
        <v>10</v>
      </c>
      <c r="D3479" s="7">
        <v>1017</v>
      </c>
      <c r="E3479" s="7" t="s">
        <v>12</v>
      </c>
      <c r="F3479" s="8" t="str">
        <f ca="1">IFERROR(__xludf.DUMMYFUNCTION("IF
(
C3480=""фізична особа""
,
VLOOKUP(D3480,IMPORTRANGE(""https://docs.google.com/spreadsheets/d/14Bd19lYaqBhU8_DElYkX7l4wRkHqqCUFNJY4AfY3kHU/edit?usp=sharing  #gid=0"",""фіз особи new!relations_name""),6,FALSE)
,
(IF
(
C3480=""юридична особа""
,
VLOOKUP"&amp;"(D3480,IMPORTRANGE(""https://docs.google.com/spreadsheets/d/14Bd19lYaqBhU8_DElYkX7l4wRkHqqCUFNJY4AfY3kHU/edit?usp=sharing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79" s="7" t="s">
        <v>10</v>
      </c>
      <c r="H3479" s="7">
        <v>824</v>
      </c>
      <c r="I3479" s="8" t="str">
        <f ca="1">IFERROR(__xludf.DUMMYFUNCTION("IF
(
G3480=""фізична особа""
,
VLOOKUP(H3480,IMPORTRANGE(""https://docs.google.com/spreadsheets/d/14Bd19lYaqBhU8_DElYkX7l4wRkHqqCUFNJY4AfY3kHU/edit?usp=sharing  #gid=0"",""фіз особи new!relations_name""),6,FALSE)
,
(IF
(
G3480=""юридична особа""
,
VLOOKUP"&amp;"(H3480,IMPORTRANGE(""https://docs.google.com/spreadsheets/d/14Bd19lYaqBhU8_DElYkX7l4wRkHqqCUFNJY4AfY3kHU/edit?usp=sharing  #gid=0"",""фіз особи new!relations_name_uo""),7,FALSE)
,
)
))"),"ЛУКАШЕНКО Віктор Олександрович")</f>
        <v>ЛУКАШЕНКО Віктор Олександрович</v>
      </c>
      <c r="J3479" s="7" t="s">
        <v>17</v>
      </c>
    </row>
    <row r="3480" spans="1:10" ht="13.2">
      <c r="A3480" s="7">
        <v>3479</v>
      </c>
      <c r="B3480" s="7">
        <v>1</v>
      </c>
      <c r="C3480" s="7" t="s">
        <v>10</v>
      </c>
      <c r="D3480" s="7">
        <v>1017</v>
      </c>
      <c r="E3480" s="7" t="s">
        <v>12</v>
      </c>
      <c r="F3480" s="8" t="str">
        <f ca="1">IFERROR(__xludf.DUMMYFUNCTION("IF
(
C3481=""фізична особа""
,
VLOOKUP(D3481,IMPORTRANGE(""https://docs.google.com/spreadsheets/d/14Bd19lYaqBhU8_DElYkX7l4wRkHqqCUFNJY4AfY3kHU/edit?usp=sharing  #gid=0"",""фіз особи new!relations_name""),6,FALSE)
,
(IF
(
C3481=""юридична особа""
,
VLOOKUP"&amp;"(D3481,IMPORTRANGE(""https://docs.google.com/spreadsheets/d/14Bd19lYaqBhU8_DElYkX7l4wRkHqqCUFNJY4AfY3kHU/edit?usp=sharing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0" s="7" t="s">
        <v>10</v>
      </c>
      <c r="H3480" s="7">
        <v>177</v>
      </c>
      <c r="I3480" s="8" t="str">
        <f ca="1">IFERROR(__xludf.DUMMYFUNCTION("IF
(
G3481=""фізична особа""
,
VLOOKUP(H3481,IMPORTRANGE(""https://docs.google.com/spreadsheets/d/14Bd19lYaqBhU8_DElYkX7l4wRkHqqCUFNJY4AfY3kHU/edit?usp=sharing  #gid=0"",""фіз особи new!relations_name""),6,FALSE)
,
(IF
(
G3481=""юридична особа""
,
VLOOKUP"&amp;"(H3481,IMPORTRANGE(""https://docs.google.com/spreadsheets/d/14Bd19lYaqBhU8_DElYkX7l4wRkHqqCUFNJY4AfY3kHU/edit?usp=sharing  #gid=0"",""фіз особи new!relations_name_uo""),7,FALSE)
,
)
))"),"ЛУКАШЕНКО Дмитро Олександрович")</f>
        <v>ЛУКАШЕНКО Дмитро Олександрович</v>
      </c>
      <c r="J3480" s="7" t="s">
        <v>17</v>
      </c>
    </row>
    <row r="3481" spans="1:10" ht="13.2">
      <c r="A3481" s="7">
        <v>3480</v>
      </c>
      <c r="B3481" s="7">
        <v>1</v>
      </c>
      <c r="C3481" s="7" t="s">
        <v>10</v>
      </c>
      <c r="D3481" s="7">
        <v>1017</v>
      </c>
      <c r="E3481" s="7" t="s">
        <v>48</v>
      </c>
      <c r="F3481" s="8" t="str">
        <f ca="1">IFERROR(__xludf.DUMMYFUNCTION("IF
(
C3482=""фізична особа""
,
VLOOKUP(D3482,IMPORTRANGE(""https://docs.google.com/spreadsheets/d/14Bd19lYaqBhU8_DElYkX7l4wRkHqqCUFNJY4AfY3kHU/edit?usp=sharing  #gid=0"",""фіз особи new!relations_name""),6,FALSE)
,
(IF
(
C3482=""юридична особа""
,
VLOOKUP"&amp;"(D3482,IMPORTRANGE(""https://docs.google.com/spreadsheets/d/14Bd19lYaqBhU8_DElYkX7l4wRkHqqCUFNJY4AfY3kHU/edit?usp=sharing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1" s="7" t="s">
        <v>10</v>
      </c>
      <c r="H3481" s="7">
        <v>4014</v>
      </c>
      <c r="I3481" s="8" t="str">
        <f ca="1">IFERROR(__xludf.DUMMYFUNCTION("IF
(
G3482=""фізична особа""
,
VLOOKUP(H3482,IMPORTRANGE(""https://docs.google.com/spreadsheets/d/14Bd19lYaqBhU8_DElYkX7l4wRkHqqCUFNJY4AfY3kHU/edit?usp=sharing  #gid=0"",""фіз особи new!relations_name""),6,FALSE)
,
(IF
(
G3482=""юридична особа""
,
VLOOKUP"&amp;"(H3482,IMPORTRANGE(""https://docs.google.com/spreadsheets/d/14Bd19lYaqBhU8_DElYkX7l4wRkHqqCUFNJY4AfY3kHU/edit?usp=sharing  #gid=0"",""фіз особи new!relations_name_uo""),7,FALSE)
,
)
))"),"ТЕРНАВСЬКИЙ Анатолій Андрійович")</f>
        <v>ТЕРНАВСЬКИЙ Анатолій Андрійович</v>
      </c>
      <c r="J3481" s="7" t="s">
        <v>48</v>
      </c>
    </row>
    <row r="3482" spans="1:10" ht="13.2">
      <c r="A3482" s="7">
        <v>3481</v>
      </c>
      <c r="B3482" s="7">
        <v>1</v>
      </c>
      <c r="C3482" s="7" t="s">
        <v>10</v>
      </c>
      <c r="D3482" s="7">
        <v>1017</v>
      </c>
      <c r="E3482" s="7" t="s">
        <v>48</v>
      </c>
      <c r="F3482" s="8" t="str">
        <f ca="1">IFERROR(__xludf.DUMMYFUNCTION("IF
(
C3483=""фізична особа""
,
VLOOKUP(D3483,IMPORTRANGE(""https://docs.google.com/spreadsheets/d/14Bd19lYaqBhU8_DElYkX7l4wRkHqqCUFNJY4AfY3kHU/edit?usp=sharing  #gid=0"",""фіз особи new!relations_name""),6,FALSE)
,
(IF
(
C3483=""юридична особа""
,
VLOOKUP"&amp;"(D3483,IMPORTRANGE(""https://docs.google.com/spreadsheets/d/14Bd19lYaqBhU8_DElYkX7l4wRkHqqCUFNJY4AfY3kHU/edit?usp=sharing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2" s="7" t="s">
        <v>10</v>
      </c>
      <c r="H3482" s="7">
        <v>4013</v>
      </c>
      <c r="I3482" s="8" t="str">
        <f ca="1">IFERROR(__xludf.DUMMYFUNCTION("IF
(
G3483=""фізична особа""
,
VLOOKUP(H3483,IMPORTRANGE(""https://docs.google.com/spreadsheets/d/14Bd19lYaqBhU8_DElYkX7l4wRkHqqCUFNJY4AfY3kHU/edit?usp=sharing  #gid=0"",""фіз особи new!relations_name""),6,FALSE)
,
(IF
(
G3483=""юридична особа""
,
VLOOKUP"&amp;"(H3483,IMPORTRANGE(""https://docs.google.com/spreadsheets/d/14Bd19lYaqBhU8_DElYkX7l4wRkHqqCUFNJY4AfY3kHU/edit?usp=sharing  #gid=0"",""фіз особи new!relations_name_uo""),7,FALSE)
,
)
))"),"ТОПУЗИДИС Павло Георгійович")</f>
        <v>ТОПУЗИДИС Павло Георгійович</v>
      </c>
      <c r="J3482" s="7" t="s">
        <v>48</v>
      </c>
    </row>
    <row r="3483" spans="1:10" ht="13.2">
      <c r="A3483" s="7">
        <v>3482</v>
      </c>
      <c r="B3483" s="7">
        <v>1</v>
      </c>
      <c r="C3483" s="7" t="s">
        <v>10</v>
      </c>
      <c r="D3483" s="7">
        <v>1017</v>
      </c>
      <c r="E3483" s="7" t="s">
        <v>48</v>
      </c>
      <c r="F3483" s="8" t="str">
        <f ca="1">IFERROR(__xludf.DUMMYFUNCTION("IF
(
C3484=""фізична особа""
,
VLOOKUP(D3484,IMPORTRANGE(""https://docs.google.com/spreadsheets/d/14Bd19lYaqBhU8_DElYkX7l4wRkHqqCUFNJY4AfY3kHU/edit?usp=sharing  #gid=0"",""фіз особи new!relations_name""),6,FALSE)
,
(IF
(
C3484=""юридична особа""
,
VLOOKUP"&amp;"(D3484,IMPORTRANGE(""https://docs.google.com/spreadsheets/d/14Bd19lYaqBhU8_DElYkX7l4wRkHqqCUFNJY4AfY3kHU/edit?usp=sharing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3" s="7" t="s">
        <v>10</v>
      </c>
      <c r="H3483" s="7">
        <v>4012</v>
      </c>
      <c r="I3483" s="8" t="str">
        <f ca="1">IFERROR(__xludf.DUMMYFUNCTION("IF
(
G3484=""фізична особа""
,
VLOOKUP(H3484,IMPORTRANGE(""https://docs.google.com/spreadsheets/d/14Bd19lYaqBhU8_DElYkX7l4wRkHqqCUFNJY4AfY3kHU/edit?usp=sharing  #gid=0"",""фіз особи new!relations_name""),6,FALSE)
,
(IF
(
G3484=""юридична особа""
,
VLOOKUP"&amp;"(H3484,IMPORTRANGE(""https://docs.google.com/spreadsheets/d/14Bd19lYaqBhU8_DElYkX7l4wRkHqqCUFNJY4AfY3kHU/edit?usp=sharing  #gid=0"",""фіз особи new!relations_name_uo""),7,FALSE)
,
)
))"),"ПЕФТІЄВ Володимир Павлович")</f>
        <v>ПЕФТІЄВ Володимир Павлович</v>
      </c>
      <c r="J3483" s="7" t="s">
        <v>48</v>
      </c>
    </row>
    <row r="3484" spans="1:10" ht="13.2">
      <c r="A3484" s="7">
        <v>3483</v>
      </c>
      <c r="B3484" s="7">
        <v>1</v>
      </c>
      <c r="C3484" s="7" t="s">
        <v>10</v>
      </c>
      <c r="D3484" s="7">
        <v>1017</v>
      </c>
      <c r="E3484" s="7" t="s">
        <v>48</v>
      </c>
      <c r="F3484" s="8" t="str">
        <f ca="1">IFERROR(__xludf.DUMMYFUNCTION("IF
(
C3485=""фізична особа""
,
VLOOKUP(D3485,IMPORTRANGE(""https://docs.google.com/spreadsheets/d/14Bd19lYaqBhU8_DElYkX7l4wRkHqqCUFNJY4AfY3kHU/edit?usp=sharing  #gid=0"",""фіз особи new!relations_name""),6,FALSE)
,
(IF
(
C3485=""юридична особа""
,
VLOOKUP"&amp;"(D3485,IMPORTRANGE(""https://docs.google.com/spreadsheets/d/14Bd19lYaqBhU8_DElYkX7l4wRkHqqCUFNJY4AfY3kHU/edit?usp=sharing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4" s="7" t="s">
        <v>10</v>
      </c>
      <c r="H3484" s="7">
        <v>4011</v>
      </c>
      <c r="I3484" s="8" t="str">
        <f ca="1">IFERROR(__xludf.DUMMYFUNCTION("IF
(
G3485=""фізична особа""
,
VLOOKUP(H3485,IMPORTRANGE(""https://docs.google.com/spreadsheets/d/14Bd19lYaqBhU8_DElYkX7l4wRkHqqCUFNJY4AfY3kHU/edit?usp=sharing  #gid=0"",""фіз особи new!relations_name""),6,FALSE)
,
(IF
(
G3485=""юридична особа""
,
VLOOKUP"&amp;"(H3485,IMPORTRANGE(""https://docs.google.com/spreadsheets/d/14Bd19lYaqBhU8_DElYkX7l4wRkHqqCUFNJY4AfY3kHU/edit?usp=sharing  #gid=0"",""фіз особи new!relations_name_uo""),7,FALSE)
,
)
))"),"БАСКІН Євген Рафілович")</f>
        <v>БАСКІН Євген Рафілович</v>
      </c>
      <c r="J3484" s="7" t="s">
        <v>48</v>
      </c>
    </row>
    <row r="3485" spans="1:10" ht="13.2">
      <c r="A3485" s="7">
        <v>3484</v>
      </c>
      <c r="B3485" s="7">
        <v>1</v>
      </c>
      <c r="C3485" s="7" t="s">
        <v>10</v>
      </c>
      <c r="D3485" s="7">
        <v>1017</v>
      </c>
      <c r="E3485" s="7" t="s">
        <v>48</v>
      </c>
      <c r="F3485" s="8" t="str">
        <f ca="1">IFERROR(__xludf.DUMMYFUNCTION("IF
(
C3486=""фізична особа""
,
VLOOKUP(D3486,IMPORTRANGE(""https://docs.google.com/spreadsheets/d/14Bd19lYaqBhU8_DElYkX7l4wRkHqqCUFNJY4AfY3kHU/edit?usp=sharing  #gid=0"",""фіз особи new!relations_name""),6,FALSE)
,
(IF
(
C3486=""юридична особа""
,
VLOOKUP"&amp;"(D3486,IMPORTRANGE(""https://docs.google.com/spreadsheets/d/14Bd19lYaqBhU8_DElYkX7l4wRkHqqCUFNJY4AfY3kHU/edit?usp=sharing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5" s="7" t="s">
        <v>10</v>
      </c>
      <c r="H3485" s="7">
        <v>4010</v>
      </c>
      <c r="I3485" s="8" t="str">
        <f ca="1">IFERROR(__xludf.DUMMYFUNCTION("IF
(
G3486=""фізична особа""
,
VLOOKUP(H3486,IMPORTRANGE(""https://docs.google.com/spreadsheets/d/14Bd19lYaqBhU8_DElYkX7l4wRkHqqCUFNJY4AfY3kHU/edit?usp=sharing  #gid=0"",""фіз особи new!relations_name""),6,FALSE)
,
(IF
(
G3486=""юридична особа""
,
VLOOKUP"&amp;"(H3486,IMPORTRANGE(""https://docs.google.com/spreadsheets/d/14Bd19lYaqBhU8_DElYkX7l4wRkHqqCUFNJY4AfY3kHU/edit?usp=sharing  #gid=0"",""фіз особи new!relations_name_uo""),7,FALSE)
,
)
))"),"БАЙКО Валентин Валентинович")</f>
        <v>БАЙКО Валентин Валентинович</v>
      </c>
      <c r="J3485" s="7" t="s">
        <v>48</v>
      </c>
    </row>
    <row r="3486" spans="1:10" ht="13.2">
      <c r="A3486" s="7">
        <v>3485</v>
      </c>
      <c r="B3486" s="7">
        <v>1</v>
      </c>
      <c r="C3486" s="7" t="s">
        <v>10</v>
      </c>
      <c r="D3486" s="7">
        <v>1017</v>
      </c>
      <c r="E3486" s="7" t="s">
        <v>48</v>
      </c>
      <c r="F3486" s="8" t="str">
        <f ca="1">IFERROR(__xludf.DUMMYFUNCTION("IF
(
C3487=""фізична особа""
,
VLOOKUP(D3487,IMPORTRANGE(""https://docs.google.com/spreadsheets/d/14Bd19lYaqBhU8_DElYkX7l4wRkHqqCUFNJY4AfY3kHU/edit?usp=sharing  #gid=0"",""фіз особи new!relations_name""),6,FALSE)
,
(IF
(
C3487=""юридична особа""
,
VLOOKUP"&amp;"(D3487,IMPORTRANGE(""https://docs.google.com/spreadsheets/d/14Bd19lYaqBhU8_DElYkX7l4wRkHqqCUFNJY4AfY3kHU/edit?usp=sharing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6" s="7" t="s">
        <v>10</v>
      </c>
      <c r="H3486" s="7">
        <v>4009</v>
      </c>
      <c r="I3486" s="8" t="str">
        <f ca="1">IFERROR(__xludf.DUMMYFUNCTION("IF
(
G3487=""фізична особа""
,
VLOOKUP(H3487,IMPORTRANGE(""https://docs.google.com/spreadsheets/d/14Bd19lYaqBhU8_DElYkX7l4wRkHqqCUFNJY4AfY3kHU/edit?usp=sharing  #gid=0"",""фіз особи new!relations_name""),6,FALSE)
,
(IF
(
G3487=""юридична особа""
,
VLOOKUP"&amp;"(H3487,IMPORTRANGE(""https://docs.google.com/spreadsheets/d/14Bd19lYaqBhU8_DElYkX7l4wRkHqqCUFNJY4AfY3kHU/edit?usp=sharing  #gid=0"",""фіз особи new!relations_name_uo""),7,FALSE)
,
)
))"),"ШАКУТІН Олександр Васильович")</f>
        <v>ШАКУТІН Олександр Васильович</v>
      </c>
      <c r="J3486" s="7" t="s">
        <v>48</v>
      </c>
    </row>
    <row r="3487" spans="1:10" ht="13.2">
      <c r="A3487" s="7">
        <v>3486</v>
      </c>
      <c r="B3487" s="7">
        <v>1</v>
      </c>
      <c r="C3487" s="7" t="s">
        <v>10</v>
      </c>
      <c r="D3487" s="7">
        <v>1017</v>
      </c>
      <c r="E3487" s="7" t="s">
        <v>29</v>
      </c>
      <c r="F3487" s="8" t="str">
        <f ca="1">IFERROR(__xludf.DUMMYFUNCTION("IF
(
C3488=""фізична особа""
,
VLOOKUP(D3488,IMPORTRANGE(""https://docs.google.com/spreadsheets/d/14Bd19lYaqBhU8_DElYkX7l4wRkHqqCUFNJY4AfY3kHU/edit?usp=sharing  #gid=0"",""фіз особи new!relations_name""),6,FALSE)
,
(IF
(
C3488=""юридична особа""
,
VLOOKUP"&amp;"(D3488,IMPORTRANGE(""https://docs.google.com/spreadsheets/d/14Bd19lYaqBhU8_DElYkX7l4wRkHqqCUFNJY4AfY3kHU/edit?usp=sharing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7" s="7" t="s">
        <v>10</v>
      </c>
      <c r="H3487" s="7">
        <v>497</v>
      </c>
      <c r="I3487" s="8" t="str">
        <f ca="1">IFERROR(__xludf.DUMMYFUNCTION("IF
(
G3488=""фізична особа""
,
VLOOKUP(H3488,IMPORTRANGE(""https://docs.google.com/spreadsheets/d/14Bd19lYaqBhU8_DElYkX7l4wRkHqqCUFNJY4AfY3kHU/edit?usp=sharing  #gid=0"",""фіз особи new!relations_name""),6,FALSE)
,
(IF
(
G3488=""юридична особа""
,
VLOOKUP"&amp;"(H3488,IMPORTRANGE(""https://docs.google.com/spreadsheets/d/14Bd19lYaqBhU8_DElYkX7l4wRkHqqCUFNJY4AfY3kHU/edit?usp=sharing  #gid=0"",""фіз особи new!relations_name_uo""),7,FALSE)
,
)
))"),"РОГАЩУК Микола Михайлович")</f>
        <v>РОГАЩУК Микола Михайлович</v>
      </c>
      <c r="J3487" s="7" t="s">
        <v>93</v>
      </c>
    </row>
    <row r="3488" spans="1:10" ht="13.2">
      <c r="A3488" s="7">
        <v>3487</v>
      </c>
      <c r="B3488" s="7">
        <v>1</v>
      </c>
      <c r="C3488" s="7" t="s">
        <v>10</v>
      </c>
      <c r="D3488" s="7">
        <v>1017</v>
      </c>
      <c r="E3488" s="7" t="s">
        <v>29</v>
      </c>
      <c r="F3488" s="8" t="str">
        <f ca="1">IFERROR(__xludf.DUMMYFUNCTION("IF
(
C3489=""фізична особа""
,
VLOOKUP(D3489,IMPORTRANGE(""https://docs.google.com/spreadsheets/d/14Bd19lYaqBhU8_DElYkX7l4wRkHqqCUFNJY4AfY3kHU/edit?usp=sharing  #gid=0"",""фіз особи new!relations_name""),6,FALSE)
,
(IF
(
C3489=""юридична особа""
,
VLOOKUP"&amp;"(D3489,IMPORTRANGE(""https://docs.google.com/spreadsheets/d/14Bd19lYaqBhU8_DElYkX7l4wRkHqqCUFNJY4AfY3kHU/edit?usp=sharing  #gid=0"",""фіз особи new!relations_name_uo""),7,FALSE)
,
)
))"),"ЛУКАШЕНКО Олександр Григорович")</f>
        <v>ЛУКАШЕНКО Олександр Григорович</v>
      </c>
      <c r="G3488" s="7" t="s">
        <v>10</v>
      </c>
      <c r="H3488" s="7">
        <v>476</v>
      </c>
      <c r="I3488" s="8" t="str">
        <f ca="1">IFERROR(__xludf.DUMMYFUNCTION("IF
(
G3489=""фізична особа""
,
VLOOKUP(H3489,IMPORTRANGE(""https://docs.google.com/spreadsheets/d/14Bd19lYaqBhU8_DElYkX7l4wRkHqqCUFNJY4AfY3kHU/edit?usp=sharing  #gid=0"",""фіз особи new!relations_name""),6,FALSE)
,
(IF
(
G3489=""юридична особа""
,
VLOOKUP"&amp;"(H3489,IMPORTRANGE(""https://docs.google.com/spreadsheets/d/14Bd19lYaqBhU8_DElYkX7l4wRkHqqCUFNJY4AfY3kHU/edit?usp=sharing  #gid=0"",""фіз особи new!relations_name_uo""),7,FALSE)
,
)
))"),"ЕЙСМОНТ Наталія Миколаївна")</f>
        <v>ЕЙСМОНТ Наталія Миколаївна</v>
      </c>
      <c r="J3488" s="7" t="s">
        <v>95</v>
      </c>
    </row>
    <row r="3489" spans="1:10" ht="13.2">
      <c r="A3489" s="7">
        <v>3488</v>
      </c>
      <c r="B3489" s="7">
        <v>1</v>
      </c>
      <c r="C3489" s="7" t="s">
        <v>10</v>
      </c>
      <c r="D3489" s="7">
        <v>1036</v>
      </c>
      <c r="E3489" s="7" t="s">
        <v>21</v>
      </c>
      <c r="F3489" s="8" t="str">
        <f ca="1">IFERROR(__xludf.DUMMYFUNCTION("IF
(
C3490=""фізична особа""
,
VLOOKUP(D3490,IMPORTRANGE(""https://docs.google.com/spreadsheets/d/14Bd19lYaqBhU8_DElYkX7l4wRkHqqCUFNJY4AfY3kHU/edit?usp=sharing  #gid=0"",""фіз особи new!relations_name""),6,FALSE)
,
(IF
(
C3490=""юридична особа""
,
VLOOKUP"&amp;"(D3490,IMPORTRANGE(""https://docs.google.com/spreadsheets/d/14Bd19lYaqBhU8_DElYkX7l4wRkHqqCUFNJY4AfY3kHU/edit?usp=sharing  #gid=0"",""фіз особи new!relations_name_uo""),7,FALSE)
,
)
))"),"ЛАВРОВА Марія Олександрівна")</f>
        <v>ЛАВРОВА Марія Олександрівна</v>
      </c>
      <c r="G3489" s="7" t="s">
        <v>10</v>
      </c>
      <c r="H3489" s="7">
        <v>1037</v>
      </c>
      <c r="I3489" s="8" t="str">
        <f ca="1">IFERROR(__xludf.DUMMYFUNCTION("IF
(
G3490=""фізична особа""
,
VLOOKUP(H3490,IMPORTRANGE(""https://docs.google.com/spreadsheets/d/14Bd19lYaqBhU8_DElYkX7l4wRkHqqCUFNJY4AfY3kHU/edit?usp=sharing  #gid=0"",""фіз особи new!relations_name""),6,FALSE)
,
(IF
(
G3490=""юридична особа""
,
VLOOKUP"&amp;"(H3490,IMPORTRANGE(""https://docs.google.com/spreadsheets/d/14Bd19lYaqBhU8_DElYkX7l4wRkHqqCUFNJY4AfY3kHU/edit?usp=sharing  #gid=0"",""фіз особи new!relations_name_uo""),7,FALSE)
,
)
))"),"ЛАВРОВА / ВІНОКУРОВА Катерина Сергіївна")</f>
        <v>ЛАВРОВА / ВІНОКУРОВА Катерина Сергіївна</v>
      </c>
      <c r="J3489" s="7" t="s">
        <v>13</v>
      </c>
    </row>
    <row r="3490" spans="1:10" ht="13.2">
      <c r="A3490" s="7">
        <v>3489</v>
      </c>
      <c r="B3490" s="7">
        <v>1</v>
      </c>
      <c r="C3490" s="7" t="s">
        <v>10</v>
      </c>
      <c r="D3490" s="7">
        <v>1037</v>
      </c>
      <c r="E3490" s="7" t="s">
        <v>13</v>
      </c>
      <c r="F3490" s="8" t="str">
        <f ca="1">IFERROR(__xludf.DUMMYFUNCTION("IF
(
C3491=""фізична особа""
,
VLOOKUP(D3491,IMPORTRANGE(""https://docs.google.com/spreadsheets/d/14Bd19lYaqBhU8_DElYkX7l4wRkHqqCUFNJY4AfY3kHU/edit?usp=sharing  #gid=0"",""фіз особи new!relations_name""),6,FALSE)
,
(IF
(
C3491=""юридична особа""
,
VLOOKUP"&amp;"(D3491,IMPORTRANGE(""https://docs.google.com/spreadsheets/d/14Bd19lYaqBhU8_DElYkX7l4wRkHqqCUFNJY4AfY3kHU/edit?usp=sharing  #gid=0"",""фіз особи new!relations_name_uo""),7,FALSE)
,
)
))"),"ЛАВРОВА / ВІНОКУРОВА Катерина Сергіївна")</f>
        <v>ЛАВРОВА / ВІНОКУРОВА Катерина Сергіївна</v>
      </c>
      <c r="G3490" s="7" t="s">
        <v>10</v>
      </c>
      <c r="H3490" s="7">
        <v>718</v>
      </c>
      <c r="I3490" s="8" t="str">
        <f ca="1">IFERROR(__xludf.DUMMYFUNCTION("IF
(
G3491=""фізична особа""
,
VLOOKUP(H3491,IMPORTRANGE(""https://docs.google.com/spreadsheets/d/14Bd19lYaqBhU8_DElYkX7l4wRkHqqCUFNJY4AfY3kHU/edit?usp=sharing  #gid=0"",""фіз особи new!relations_name""),6,FALSE)
,
(IF
(
G3491=""юридична особа""
,
VLOOKUP"&amp;"(H3491,IMPORTRANGE(""https://docs.google.com/spreadsheets/d/14Bd19lYaqBhU8_DElYkX7l4wRkHqqCUFNJY4AfY3kHU/edit?usp=sharing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3490" s="7" t="s">
        <v>12</v>
      </c>
    </row>
    <row r="3491" spans="1:10" ht="13.2">
      <c r="A3491" s="7">
        <v>3490</v>
      </c>
      <c r="B3491" s="7">
        <v>1</v>
      </c>
      <c r="C3491" s="7" t="s">
        <v>10</v>
      </c>
      <c r="D3491" s="7">
        <v>1038</v>
      </c>
      <c r="E3491" s="7" t="s">
        <v>37</v>
      </c>
      <c r="F3491" s="8" t="str">
        <f ca="1">IFERROR(__xludf.DUMMYFUNCTION("IF
(
C3492=""фізична особа""
,
VLOOKUP(D3492,IMPORTRANGE(""https://docs.google.com/spreadsheets/d/14Bd19lYaqBhU8_DElYkX7l4wRkHqqCUFNJY4AfY3kHU/edit?usp=sharing  #gid=0"",""фіз особи new!relations_name""),6,FALSE)
,
(IF
(
C3492=""юридична особа""
,
VLOOKUP"&amp;"(D3492,IMPORTRANGE(""https://docs.google.com/spreadsheets/d/14Bd19lYaqBhU8_DElYkX7l4wRkHqqCUFNJY4AfY3kHU/edit?usp=sharing  #gid=0"",""фіз особи new!relations_name_uo""),7,FALSE)
,
)
))"),"ПОЛЯКОВА Світлана Олександрівна")</f>
        <v>ПОЛЯКОВА Світлана Олександрівна</v>
      </c>
      <c r="G3491" s="7" t="s">
        <v>10</v>
      </c>
      <c r="H3491" s="7">
        <v>718</v>
      </c>
      <c r="I3491" s="8" t="str">
        <f ca="1">IFERROR(__xludf.DUMMYFUNCTION("IF
(
G3492=""фізична особа""
,
VLOOKUP(H3492,IMPORTRANGE(""https://docs.google.com/spreadsheets/d/14Bd19lYaqBhU8_DElYkX7l4wRkHqqCUFNJY4AfY3kHU/edit?usp=sharing  #gid=0"",""фіз особи new!relations_name""),6,FALSE)
,
(IF
(
G3492=""юридична особа""
,
VLOOKUP"&amp;"(H3492,IMPORTRANGE(""https://docs.google.com/spreadsheets/d/14Bd19lYaqBhU8_DElYkX7l4wRkHqqCUFNJY4AfY3kHU/edit?usp=sharing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3491" s="7" t="s">
        <v>36</v>
      </c>
    </row>
    <row r="3492" spans="1:10" ht="13.2">
      <c r="A3492" s="7">
        <v>3491</v>
      </c>
      <c r="B3492" s="7">
        <v>1</v>
      </c>
      <c r="C3492" s="7" t="s">
        <v>10</v>
      </c>
      <c r="D3492" s="7">
        <v>1039</v>
      </c>
      <c r="E3492" s="7" t="s">
        <v>62</v>
      </c>
      <c r="F3492" s="8" t="str">
        <f ca="1">IFERROR(__xludf.DUMMYFUNCTION("IF
(
C3493=""фізична особа""
,
VLOOKUP(D3493,IMPORTRANGE(""https://docs.google.com/spreadsheets/d/14Bd19lYaqBhU8_DElYkX7l4wRkHqqCUFNJY4AfY3kHU/edit?usp=sharing  #gid=0"",""фіз особи new!relations_name""),6,FALSE)
,
(IF
(
C3493=""юридична особа""
,
VLOOKUP"&amp;"(D3493,IMPORTRANGE(""https://docs.google.com/spreadsheets/d/14Bd19lYaqBhU8_DElYkX7l4wRkHqqCUFNJY4AfY3kHU/edit?usp=sharing  #gid=0"",""фіз особи new!relations_name_uo""),7,FALSE)
,
)
))"),"ВИНОКУРОВ Семен Леонідович")</f>
        <v>ВИНОКУРОВ Семен Леонідович</v>
      </c>
      <c r="G3492" s="7" t="s">
        <v>10</v>
      </c>
      <c r="H3492" s="7">
        <v>718</v>
      </c>
      <c r="I3492" s="8" t="str">
        <f ca="1">IFERROR(__xludf.DUMMYFUNCTION("IF
(
G3493=""фізична особа""
,
VLOOKUP(H3493,IMPORTRANGE(""https://docs.google.com/spreadsheets/d/14Bd19lYaqBhU8_DElYkX7l4wRkHqqCUFNJY4AfY3kHU/edit?usp=sharing  #gid=0"",""фіз особи new!relations_name""),6,FALSE)
,
(IF
(
G3493=""юридична особа""
,
VLOOKUP"&amp;"(H3493,IMPORTRANGE(""https://docs.google.com/spreadsheets/d/14Bd19lYaqBhU8_DElYkX7l4wRkHqqCUFNJY4AfY3kHU/edit?usp=sharing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3492" s="7" t="s">
        <v>62</v>
      </c>
    </row>
    <row r="3493" spans="1:10" ht="13.2">
      <c r="A3493" s="7">
        <v>3492</v>
      </c>
      <c r="B3493" s="7">
        <v>1</v>
      </c>
      <c r="C3493" s="7" t="s">
        <v>10</v>
      </c>
      <c r="D3493" s="7">
        <v>1039</v>
      </c>
      <c r="E3493" s="7" t="s">
        <v>34</v>
      </c>
      <c r="F3493" s="8" t="str">
        <f ca="1">IFERROR(__xludf.DUMMYFUNCTION("IF
(
C3494=""фізична особа""
,
VLOOKUP(D3494,IMPORTRANGE(""https://docs.google.com/spreadsheets/d/14Bd19lYaqBhU8_DElYkX7l4wRkHqqCUFNJY4AfY3kHU/edit?usp=sharing  #gid=0"",""фіз особи new!relations_name""),6,FALSE)
,
(IF
(
C3494=""юридична особа""
,
VLOOKUP"&amp;"(D3494,IMPORTRANGE(""https://docs.google.com/spreadsheets/d/14Bd19lYaqBhU8_DElYkX7l4wRkHqqCUFNJY4AfY3kHU/edit?usp=sharing  #gid=0"",""фіз особи new!relations_name_uo""),7,FALSE)
,
)
))"),"ВИНОКУРОВ Семен Леонідович")</f>
        <v>ВИНОКУРОВ Семен Леонідович</v>
      </c>
      <c r="G3493" s="7" t="s">
        <v>10</v>
      </c>
      <c r="H3493" s="7">
        <v>1037</v>
      </c>
      <c r="I3493" s="8" t="str">
        <f ca="1">IFERROR(__xludf.DUMMYFUNCTION("IF
(
G3494=""фізична особа""
,
VLOOKUP(H3494,IMPORTRANGE(""https://docs.google.com/spreadsheets/d/14Bd19lYaqBhU8_DElYkX7l4wRkHqqCUFNJY4AfY3kHU/edit?usp=sharing  #gid=0"",""фіз особи new!relations_name""),6,FALSE)
,
(IF
(
G3494=""юридична особа""
,
VLOOKUP"&amp;"(H3494,IMPORTRANGE(""https://docs.google.com/spreadsheets/d/14Bd19lYaqBhU8_DElYkX7l4wRkHqqCUFNJY4AfY3kHU/edit?usp=sharing  #gid=0"",""фіз особи new!relations_name_uo""),7,FALSE)
,
)
))"),"ЛАВРОВА / ВІНОКУРОВА Катерина Сергіївна")</f>
        <v>ЛАВРОВА / ВІНОКУРОВА Катерина Сергіївна</v>
      </c>
      <c r="J3493" s="7" t="s">
        <v>25</v>
      </c>
    </row>
    <row r="3494" spans="1:10" ht="13.2">
      <c r="A3494" s="7">
        <v>3493</v>
      </c>
      <c r="B3494" s="7">
        <v>1</v>
      </c>
      <c r="C3494" s="7" t="s">
        <v>10</v>
      </c>
      <c r="D3494" s="7">
        <v>1039</v>
      </c>
      <c r="E3494" s="7" t="s">
        <v>12</v>
      </c>
      <c r="F3494" s="8" t="str">
        <f ca="1">IFERROR(__xludf.DUMMYFUNCTION("IF
(
C3495=""фізична особа""
,
VLOOKUP(D3495,IMPORTRANGE(""https://docs.google.com/spreadsheets/d/14Bd19lYaqBhU8_DElYkX7l4wRkHqqCUFNJY4AfY3kHU/edit?usp=sharing  #gid=0"",""фіз особи new!relations_name""),6,FALSE)
,
(IF
(
C3495=""юридична особа""
,
VLOOKUP"&amp;"(D3495,IMPORTRANGE(""https://docs.google.com/spreadsheets/d/14Bd19lYaqBhU8_DElYkX7l4wRkHqqCUFNJY4AfY3kHU/edit?usp=sharing  #gid=0"",""фіз особи new!relations_name_uo""),7,FALSE)
,
)
))"),"ВИНОКУРОВ Семен Леонідович")</f>
        <v>ВИНОКУРОВ Семен Леонідович</v>
      </c>
      <c r="G3494" s="7" t="s">
        <v>10</v>
      </c>
      <c r="H3494" s="7">
        <v>656</v>
      </c>
      <c r="I3494" s="8" t="str">
        <f ca="1">IFERROR(__xludf.DUMMYFUNCTION("IF
(
G3495=""фізична особа""
,
VLOOKUP(H3495,IMPORTRANGE(""https://docs.google.com/spreadsheets/d/14Bd19lYaqBhU8_DElYkX7l4wRkHqqCUFNJY4AfY3kHU/edit?usp=sharing  #gid=0"",""фіз особи new!relations_name""),6,FALSE)
,
(IF
(
G3495=""юридична особа""
,
VLOOKUP"&amp;"(H3495,IMPORTRANGE(""https://docs.google.com/spreadsheets/d/14Bd19lYaqBhU8_DElYkX7l4wRkHqqCUFNJY4AfY3kHU/edit?usp=sharing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J3494" s="7" t="s">
        <v>17</v>
      </c>
    </row>
    <row r="3495" spans="1:10" ht="13.2">
      <c r="A3495" s="7">
        <v>3494</v>
      </c>
      <c r="B3495" s="7">
        <v>1</v>
      </c>
      <c r="C3495" s="7" t="s">
        <v>10</v>
      </c>
      <c r="D3495" s="7">
        <v>1039</v>
      </c>
      <c r="E3495" s="7" t="s">
        <v>62</v>
      </c>
      <c r="F3495" s="8" t="str">
        <f ca="1">IFERROR(__xludf.DUMMYFUNCTION("IF
(
C3496=""фізична особа""
,
VLOOKUP(D3496,IMPORTRANGE(""https://docs.google.com/spreadsheets/d/14Bd19lYaqBhU8_DElYkX7l4wRkHqqCUFNJY4AfY3kHU/edit?usp=sharing  #gid=0"",""фіз особи new!relations_name""),6,FALSE)
,
(IF
(
C3496=""юридична особа""
,
VLOOKUP"&amp;"(D3496,IMPORTRANGE(""https://docs.google.com/spreadsheets/d/14Bd19lYaqBhU8_DElYkX7l4wRkHqqCUFNJY4AfY3kHU/edit?usp=sharing  #gid=0"",""фіз особи new!relations_name_uo""),7,FALSE)
,
)
))"),"ВИНОКУРОВ Семен Леонідович")</f>
        <v>ВИНОКУРОВ Семен Леонідович</v>
      </c>
      <c r="G3495" s="7" t="s">
        <v>10</v>
      </c>
      <c r="H3495" s="7">
        <v>1036</v>
      </c>
      <c r="I3495" s="8" t="str">
        <f ca="1">IFERROR(__xludf.DUMMYFUNCTION("IF
(
G3496=""фізична особа""
,
VLOOKUP(H3496,IMPORTRANGE(""https://docs.google.com/spreadsheets/d/14Bd19lYaqBhU8_DElYkX7l4wRkHqqCUFNJY4AfY3kHU/edit?usp=sharing  #gid=0"",""фіз особи new!relations_name""),6,FALSE)
,
(IF
(
G3496=""юридична особа""
,
VLOOKUP"&amp;"(H3496,IMPORTRANGE(""https://docs.google.com/spreadsheets/d/14Bd19lYaqBhU8_DElYkX7l4wRkHqqCUFNJY4AfY3kHU/edit?usp=sharing  #gid=0"",""фіз особи new!relations_name_uo""),7,FALSE)
,
)
))"),"ЛАВРОВА Марія Олександрівна")</f>
        <v>ЛАВРОВА Марія Олександрівна</v>
      </c>
      <c r="J3495" s="7" t="s">
        <v>63</v>
      </c>
    </row>
    <row r="3496" spans="1:10" ht="13.2">
      <c r="A3496" s="7">
        <v>3495</v>
      </c>
      <c r="B3496" s="7">
        <v>1</v>
      </c>
      <c r="C3496" s="7" t="s">
        <v>10</v>
      </c>
      <c r="D3496" s="7">
        <v>1041</v>
      </c>
      <c r="E3496" s="7" t="s">
        <v>13</v>
      </c>
      <c r="F3496" s="8" t="str">
        <f ca="1">IFERROR(__xludf.DUMMYFUNCTION("IF
(
C3497=""фізична особа""
,
VLOOKUP(D3497,IMPORTRANGE(""https://docs.google.com/spreadsheets/d/14Bd19lYaqBhU8_DElYkX7l4wRkHqqCUFNJY4AfY3kHU/edit?usp=sharing  #gid=0"",""фіз особи new!relations_name""),6,FALSE)
,
(IF
(
C3497=""юридична особа""
,
VLOOKUP"&amp;"(D3497,IMPORTRANGE(""https://docs.google.com/spreadsheets/d/14Bd19lYaqBhU8_DElYkX7l4wRkHqqCUFNJY4AfY3kHU/edit?usp=sharing  #gid=0"",""фіз особи new!relations_name_uo""),7,FALSE)
,
)
))"),"СОЛОЦИНСЬКА / ПЄСКОВА Катерина Володимирівна")</f>
        <v>СОЛОЦИНСЬКА / ПЄСКОВА Катерина Володимирівна</v>
      </c>
      <c r="G3496" s="7" t="s">
        <v>10</v>
      </c>
      <c r="H3496" s="7">
        <v>1042</v>
      </c>
      <c r="I3496" s="8" t="str">
        <f ca="1">IFERROR(__xludf.DUMMYFUNCTION("IF
(
G3497=""фізична особа""
,
VLOOKUP(H3497,IMPORTRANGE(""https://docs.google.com/spreadsheets/d/14Bd19lYaqBhU8_DElYkX7l4wRkHqqCUFNJY4AfY3kHU/edit?usp=sharing  #gid=0"",""фіз особи new!relations_name""),6,FALSE)
,
(IF
(
G3497=""юридична особа""
,
VLOOKUP"&amp;"(H3497,IMPORTRANGE(""https://docs.google.com/spreadsheets/d/14Bd19lYaqBhU8_DElYkX7l4wRkHqqCUFNJY4AfY3kHU/edit?usp=sharing  #gid=0"",""фіз особи new!relations_name_uo""),7,FALSE)
,
)
))"),"СОЛОЦИНСЬКИЙ Володимир Дмитрович")</f>
        <v>СОЛОЦИНСЬКИЙ Володимир Дмитрович</v>
      </c>
      <c r="J3496" s="7" t="s">
        <v>12</v>
      </c>
    </row>
    <row r="3497" spans="1:10" ht="13.2">
      <c r="A3497" s="7">
        <v>3496</v>
      </c>
      <c r="B3497" s="7">
        <v>1</v>
      </c>
      <c r="C3497" s="7" t="s">
        <v>10</v>
      </c>
      <c r="D3497" s="7">
        <v>1043</v>
      </c>
      <c r="E3497" s="7" t="s">
        <v>31</v>
      </c>
      <c r="F3497" s="8" t="str">
        <f ca="1">IFERROR(__xludf.DUMMYFUNCTION("IF
(
C3498=""фізична особа""
,
VLOOKUP(D3498,IMPORTRANGE(""https://docs.google.com/spreadsheets/d/14Bd19lYaqBhU8_DElYkX7l4wRkHqqCUFNJY4AfY3kHU/edit?usp=sharing  #gid=0"",""фіз особи new!relations_name""),6,FALSE)
,
(IF
(
C3498=""юридична особа""
,
VLOOKUP"&amp;"(D3498,IMPORTRANGE(""https://docs.google.com/spreadsheets/d/14Bd19lYaqBhU8_DElYkX7l4wRkHqqCUFNJY4AfY3kHU/edit?usp=sharing  #gid=0"",""фіз особи new!relations_name_uo""),7,FALSE)
,
)
))"),"НАВКА Наталія Олександрівна")</f>
        <v>НАВКА Наталія Олександрівна</v>
      </c>
      <c r="G3497" s="7" t="s">
        <v>10</v>
      </c>
      <c r="H3497" s="7">
        <v>760</v>
      </c>
      <c r="I3497" s="8" t="str">
        <f ca="1">IFERROR(__xludf.DUMMYFUNCTION("IF
(
G3498=""фізична особа""
,
VLOOKUP(H3498,IMPORTRANGE(""https://docs.google.com/spreadsheets/d/14Bd19lYaqBhU8_DElYkX7l4wRkHqqCUFNJY4AfY3kHU/edit?usp=sharing  #gid=0"",""фіз особи new!relations_name""),6,FALSE)
,
(IF
(
G3498=""юридична особа""
,
VLOOKUP"&amp;"(H3498,IMPORTRANGE(""https://docs.google.com/spreadsheets/d/14Bd19lYaqBhU8_DElYkX7l4wRkHqqCUFNJY4AfY3kHU/edit?usp=sharing  #gid=0"",""фіз особи new!relations_name_uo""),7,FALSE)
,
)
))"),"НАВКА Тетяна Олександрівна")</f>
        <v>НАВКА Тетяна Олександрівна</v>
      </c>
      <c r="J3497" s="7" t="s">
        <v>96</v>
      </c>
    </row>
    <row r="3498" spans="1:10" ht="13.2">
      <c r="A3498" s="7">
        <v>3497</v>
      </c>
      <c r="B3498" s="7">
        <v>1</v>
      </c>
      <c r="C3498" s="7" t="s">
        <v>10</v>
      </c>
      <c r="D3498" s="7">
        <v>1044</v>
      </c>
      <c r="E3498" s="7" t="s">
        <v>18</v>
      </c>
      <c r="F3498" s="8" t="str">
        <f ca="1">IFERROR(__xludf.DUMMYFUNCTION("IF
(
C3499=""фізична особа""
,
VLOOKUP(D3499,IMPORTRANGE(""https://docs.google.com/spreadsheets/d/14Bd19lYaqBhU8_DElYkX7l4wRkHqqCUFNJY4AfY3kHU/edit?usp=sharing  #gid=0"",""фіз особи new!relations_name""),6,FALSE)
,
(IF
(
C3499=""юридична особа""
,
VLOOKUP"&amp;"(D3499,IMPORTRANGE(""https://docs.google.com/spreadsheets/d/14Bd19lYaqBhU8_DElYkX7l4wRkHqqCUFNJY4AfY3kHU/edit?usp=sharing  #gid=0"",""фіз особи new!relations_name_uo""),7,FALSE)
,
)
))"),"НАВКА Олександр Петрович")</f>
        <v>НАВКА Олександр Петрович</v>
      </c>
      <c r="G3498" s="7" t="s">
        <v>10</v>
      </c>
      <c r="H3498" s="7">
        <v>1043</v>
      </c>
      <c r="I3498" s="8" t="str">
        <f ca="1">IFERROR(__xludf.DUMMYFUNCTION("IF
(
G3499=""фізична особа""
,
VLOOKUP(H3499,IMPORTRANGE(""https://docs.google.com/spreadsheets/d/14Bd19lYaqBhU8_DElYkX7l4wRkHqqCUFNJY4AfY3kHU/edit?usp=sharing  #gid=0"",""фіз особи new!relations_name""),6,FALSE)
,
(IF
(
G3499=""юридична особа""
,
VLOOKUP"&amp;"(H3499,IMPORTRANGE(""https://docs.google.com/spreadsheets/d/14Bd19lYaqBhU8_DElYkX7l4wRkHqqCUFNJY4AfY3kHU/edit?usp=sharing  #gid=0"",""фіз особи new!relations_name_uo""),7,FALSE)
,
)
))"),"НАВКА Наталія Олександрівна")</f>
        <v>НАВКА Наталія Олександрівна</v>
      </c>
      <c r="J3498" s="7" t="s">
        <v>31</v>
      </c>
    </row>
    <row r="3499" spans="1:10" ht="13.2">
      <c r="A3499" s="7">
        <v>3498</v>
      </c>
      <c r="B3499" s="7">
        <v>1</v>
      </c>
      <c r="C3499" s="7" t="s">
        <v>10</v>
      </c>
      <c r="D3499" s="7">
        <v>1045</v>
      </c>
      <c r="E3499" s="7" t="s">
        <v>15</v>
      </c>
      <c r="F3499" s="8" t="str">
        <f ca="1">IFERROR(__xludf.DUMMYFUNCTION("IF
(
C3500=""фізична особа""
,
VLOOKUP(D3500,IMPORTRANGE(""https://docs.google.com/spreadsheets/d/14Bd19lYaqBhU8_DElYkX7l4wRkHqqCUFNJY4AfY3kHU/edit?usp=sharing  #gid=0"",""фіз особи new!relations_name""),6,FALSE)
,
(IF
(
C3500=""юридична особа""
,
VLOOKUP"&amp;"(D3500,IMPORTRANGE(""https://docs.google.com/spreadsheets/d/14Bd19lYaqBhU8_DElYkX7l4wRkHqqCUFNJY4AfY3kHU/edit?usp=sharing  #gid=0"",""фіз особи new!relations_name_uo""),7,FALSE)
,
)
))"),"НАВКА Раїса Анатоліївна")</f>
        <v>НАВКА Раїса Анатоліївна</v>
      </c>
      <c r="G3499" s="7" t="s">
        <v>10</v>
      </c>
      <c r="H3499" s="7">
        <v>1044</v>
      </c>
      <c r="I3499" s="8" t="str">
        <f ca="1">IFERROR(__xludf.DUMMYFUNCTION("IF
(
G3500=""фізична особа""
,
VLOOKUP(H3500,IMPORTRANGE(""https://docs.google.com/spreadsheets/d/14Bd19lYaqBhU8_DElYkX7l4wRkHqqCUFNJY4AfY3kHU/edit?usp=sharing  #gid=0"",""фіз особи new!relations_name""),6,FALSE)
,
(IF
(
G3500=""юридична особа""
,
VLOOKUP"&amp;"(H3500,IMPORTRANGE(""https://docs.google.com/spreadsheets/d/14Bd19lYaqBhU8_DElYkX7l4wRkHqqCUFNJY4AfY3kHU/edit?usp=sharing  #gid=0"",""фіз особи new!relations_name_uo""),7,FALSE)
,
)
))"),"НАВКА Олександр Петрович")</f>
        <v>НАВКА Олександр Петрович</v>
      </c>
      <c r="J3499" s="7" t="s">
        <v>14</v>
      </c>
    </row>
    <row r="3500" spans="1:10" ht="13.2">
      <c r="A3500" s="7">
        <v>3499</v>
      </c>
      <c r="B3500" s="7">
        <v>1</v>
      </c>
      <c r="C3500" s="7" t="s">
        <v>10</v>
      </c>
      <c r="D3500" s="7">
        <v>1534</v>
      </c>
      <c r="E3500" s="7" t="s">
        <v>17</v>
      </c>
      <c r="F3500" s="8" t="str">
        <f ca="1">IFERROR(__xludf.DUMMYFUNCTION("IF
(
C3501=""фізична особа""
,
VLOOKUP(D3501,IMPORTRANGE(""https://docs.google.com/spreadsheets/d/14Bd19lYaqBhU8_DElYkX7l4wRkHqqCUFNJY4AfY3kHU/edit?usp=sharing  #gid=0"",""фіз особи new!relations_name""),6,FALSE)
,
(IF
(
C3501=""юридична особа""
,
VLOOKUP"&amp;"(D3501,IMPORTRANGE(""https://docs.google.com/spreadsheets/d/14Bd19lYaqBhU8_DElYkX7l4wRkHqqCUFNJY4AfY3kHU/edit?usp=sharing  #gid=0"",""фіз особи new!relations_name_uo""),7,FALSE)
,
)
))"),"БРИЖИЦЬКИЙ Олексій Миколайович")</f>
        <v>БРИЖИЦЬКИЙ Олексій Миколайович</v>
      </c>
      <c r="G3500" s="7" t="s">
        <v>10</v>
      </c>
      <c r="H3500" s="7">
        <v>0</v>
      </c>
      <c r="I3500" s="8" t="str">
        <f ca="1">IFERROR(__xludf.DUMMYFUNCTION("IF
(
G3501=""фізична особа""
,
VLOOKUP(H3501,IMPORTRANGE(""https://docs.google.com/spreadsheets/d/14Bd19lYaqBhU8_DElYkX7l4wRkHqqCUFNJY4AfY3kHU/edit?usp=sharing  #gid=0"",""фіз особи new!relations_name""),6,FALSE)
,
(IF
(
G3501=""юридична особа""
,
VLOOKUP"&amp;"(H3501,IMPORTRANGE(""https://docs.google.com/spreadsheets/d/14Bd19lYaqBhU8_DElYkX7l4wRkHqqCUFNJY4AfY3kHU/edit?usp=sharing  #gid=0"",""фіз особи new!relations_name_uo""),7,FALSE)
,
)
))"),"#N/A")</f>
        <v>#N/A</v>
      </c>
      <c r="J3500" s="7" t="s">
        <v>12</v>
      </c>
    </row>
    <row r="3501" spans="1:10" ht="13.2">
      <c r="A3501" s="7">
        <v>3500</v>
      </c>
      <c r="B3501" s="7">
        <v>1</v>
      </c>
      <c r="C3501" s="7" t="s">
        <v>10</v>
      </c>
      <c r="D3501" s="7">
        <v>1537</v>
      </c>
      <c r="E3501" s="7" t="s">
        <v>28</v>
      </c>
      <c r="F3501" s="8" t="str">
        <f ca="1">IFERROR(__xludf.DUMMYFUNCTION("IF
(
C3502=""фізична особа""
,
VLOOKUP(D3502,IMPORTRANGE(""https://docs.google.com/spreadsheets/d/14Bd19lYaqBhU8_DElYkX7l4wRkHqqCUFNJY4AfY3kHU/edit?usp=sharing  #gid=0"",""фіз особи new!relations_name""),6,FALSE)
,
(IF
(
C3502=""юридична особа""
,
VLOOKUP"&amp;"(D3502,IMPORTRANGE(""https://docs.google.com/spreadsheets/d/14Bd19lYaqBhU8_DElYkX7l4wRkHqqCUFNJY4AfY3kHU/edit?usp=sharing  #gid=0"",""фіз особи new!relations_name_uo""),7,FALSE)
,
)
))"),"КОЧНЄВ Микола Герогієвич")</f>
        <v>КОЧНЄВ Микола Герогієвич</v>
      </c>
      <c r="G3501" s="7" t="s">
        <v>10</v>
      </c>
      <c r="H3501" s="7">
        <v>1535</v>
      </c>
      <c r="I3501" s="8" t="str">
        <f ca="1">IFERROR(__xludf.DUMMYFUNCTION("IF
(
G3502=""фізична особа""
,
VLOOKUP(H3502,IMPORTRANGE(""https://docs.google.com/spreadsheets/d/14Bd19lYaqBhU8_DElYkX7l4wRkHqqCUFNJY4AfY3kHU/edit?usp=sharing  #gid=0"",""фіз особи new!relations_name""),6,FALSE)
,
(IF
(
G3502=""юридична особа""
,
VLOOKUP"&amp;"(H3502,IMPORTRANGE(""https://docs.google.com/spreadsheets/d/14Bd19lYaqBhU8_DElYkX7l4wRkHqqCUFNJY4AfY3kHU/edit?usp=sharing  #gid=0"",""фіз особи new!relations_name_uo""),7,FALSE)
,
)
))"),"ВІКТОРОВ Сергій Миколайович")</f>
        <v>ВІКТОРОВ Сергій Миколайович</v>
      </c>
      <c r="J3501" s="7" t="s">
        <v>29</v>
      </c>
    </row>
    <row r="3502" spans="1:10" ht="13.2">
      <c r="A3502" s="7">
        <v>3501</v>
      </c>
      <c r="B3502" s="7">
        <v>1</v>
      </c>
      <c r="C3502" s="7" t="s">
        <v>10</v>
      </c>
      <c r="D3502" s="7">
        <v>1538</v>
      </c>
      <c r="E3502" s="7" t="s">
        <v>28</v>
      </c>
      <c r="F3502" s="8" t="str">
        <f ca="1">IFERROR(__xludf.DUMMYFUNCTION("IF
(
C3503=""фізична особа""
,
VLOOKUP(D3503,IMPORTRANGE(""https://docs.google.com/spreadsheets/d/14Bd19lYaqBhU8_DElYkX7l4wRkHqqCUFNJY4AfY3kHU/edit?usp=sharing  #gid=0"",""фіз особи new!relations_name""),6,FALSE)
,
(IF
(
C3503=""юридична особа""
,
VLOOKUP"&amp;"(D3503,IMPORTRANGE(""https://docs.google.com/spreadsheets/d/14Bd19lYaqBhU8_DElYkX7l4wRkHqqCUFNJY4AfY3kHU/edit?usp=sharing  #gid=0"",""фіз особи new!relations_name_uo""),7,FALSE)
,
)
))"),"ПАВЛОВ Олексій Михайлович")</f>
        <v>ПАВЛОВ Олексій Михайлович</v>
      </c>
      <c r="G3502" s="7" t="s">
        <v>10</v>
      </c>
      <c r="H3502" s="7">
        <v>1535</v>
      </c>
      <c r="I3502" s="8" t="str">
        <f ca="1">IFERROR(__xludf.DUMMYFUNCTION("IF
(
G3503=""фізична особа""
,
VLOOKUP(H3503,IMPORTRANGE(""https://docs.google.com/spreadsheets/d/14Bd19lYaqBhU8_DElYkX7l4wRkHqqCUFNJY4AfY3kHU/edit?usp=sharing  #gid=0"",""фіз особи new!relations_name""),6,FALSE)
,
(IF
(
G3503=""юридична особа""
,
VLOOKUP"&amp;"(H3503,IMPORTRANGE(""https://docs.google.com/spreadsheets/d/14Bd19lYaqBhU8_DElYkX7l4wRkHqqCUFNJY4AfY3kHU/edit?usp=sharing  #gid=0"",""фіз особи new!relations_name_uo""),7,FALSE)
,
)
))"),"ВІКТОРОВ Сергій Миколайович")</f>
        <v>ВІКТОРОВ Сергій Миколайович</v>
      </c>
      <c r="J3502" s="7" t="s">
        <v>29</v>
      </c>
    </row>
    <row r="3503" spans="1:10" ht="13.2">
      <c r="A3503" s="7">
        <v>3502</v>
      </c>
      <c r="B3503" s="7">
        <v>1</v>
      </c>
      <c r="C3503" s="7" t="s">
        <v>10</v>
      </c>
      <c r="D3503" s="7">
        <v>1540</v>
      </c>
      <c r="E3503" s="7" t="s">
        <v>28</v>
      </c>
      <c r="F3503" s="8" t="str">
        <f ca="1">IFERROR(__xludf.DUMMYFUNCTION("IF
(
C3504=""фізична особа""
,
VLOOKUP(D3504,IMPORTRANGE(""https://docs.google.com/spreadsheets/d/14Bd19lYaqBhU8_DElYkX7l4wRkHqqCUFNJY4AfY3kHU/edit?usp=sharing  #gid=0"",""фіз особи new!relations_name""),6,FALSE)
,
(IF
(
C3504=""юридична особа""
,
VLOOKUP"&amp;"(D3504,IMPORTRANGE(""https://docs.google.com/spreadsheets/d/14Bd19lYaqBhU8_DElYkX7l4wRkHqqCUFNJY4AfY3kHU/edit?usp=sharing  #gid=0"",""фіз особи new!relations_name_uo""),7,FALSE)
,
)
))"),"РИБАК Ігор Володимирович")</f>
        <v>РИБАК Ігор Володимирович</v>
      </c>
      <c r="G3503" s="7" t="s">
        <v>10</v>
      </c>
      <c r="H3503" s="7">
        <v>1535</v>
      </c>
      <c r="I3503" s="8" t="str">
        <f ca="1">IFERROR(__xludf.DUMMYFUNCTION("IF
(
G3504=""фізична особа""
,
VLOOKUP(H3504,IMPORTRANGE(""https://docs.google.com/spreadsheets/d/14Bd19lYaqBhU8_DElYkX7l4wRkHqqCUFNJY4AfY3kHU/edit?usp=sharing  #gid=0"",""фіз особи new!relations_name""),6,FALSE)
,
(IF
(
G3504=""юридична особа""
,
VLOOKUP"&amp;"(H3504,IMPORTRANGE(""https://docs.google.com/spreadsheets/d/14Bd19lYaqBhU8_DElYkX7l4wRkHqqCUFNJY4AfY3kHU/edit?usp=sharing  #gid=0"",""фіз особи new!relations_name_uo""),7,FALSE)
,
)
))"),"ВІКТОРОВ Сергій Миколайович")</f>
        <v>ВІКТОРОВ Сергій Миколайович</v>
      </c>
      <c r="J3503" s="7" t="s">
        <v>29</v>
      </c>
    </row>
    <row r="3504" spans="1:10" ht="13.2">
      <c r="A3504" s="7">
        <v>3503</v>
      </c>
      <c r="B3504" s="7">
        <v>1</v>
      </c>
      <c r="C3504" s="7" t="s">
        <v>10</v>
      </c>
      <c r="D3504" s="7">
        <v>1542</v>
      </c>
      <c r="E3504" s="7" t="s">
        <v>17</v>
      </c>
      <c r="F3504" s="8" t="str">
        <f ca="1">IFERROR(__xludf.DUMMYFUNCTION("IF
(
C3505=""фізична особа""
,
VLOOKUP(D3505,IMPORTRANGE(""https://docs.google.com/spreadsheets/d/14Bd19lYaqBhU8_DElYkX7l4wRkHqqCUFNJY4AfY3kHU/edit?usp=sharing  #gid=0"",""фіз особи new!relations_name""),6,FALSE)
,
(IF
(
C3505=""юридична особа""
,
VLOOKUP"&amp;"(D3505,IMPORTRANGE(""https://docs.google.com/spreadsheets/d/14Bd19lYaqBhU8_DElYkX7l4wRkHqqCUFNJY4AfY3kHU/edit?usp=sharing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4" s="7" t="s">
        <v>10</v>
      </c>
      <c r="H3504" s="7">
        <v>13136</v>
      </c>
      <c r="I3504" s="8" t="str">
        <f ca="1">IFERROR(__xludf.DUMMYFUNCTION("IF
(
G3505=""фізична особа""
,
VLOOKUP(H3505,IMPORTRANGE(""https://docs.google.com/spreadsheets/d/14Bd19lYaqBhU8_DElYkX7l4wRkHqqCUFNJY4AfY3kHU/edit?usp=sharing  #gid=0"",""фіз особи new!relations_name""),6,FALSE)
,
(IF
(
G3505=""юридична особа""
,
VLOOKUP"&amp;"(H3505,IMPORTRANGE(""https://docs.google.com/spreadsheets/d/14Bd19lYaqBhU8_DElYkX7l4wRkHqqCUFNJY4AfY3kHU/edit?usp=sharing  #gid=0"",""фіз особи new!relations_name_uo""),7,FALSE)
,
)
))"),"ЧЕРНЕЦЬКИЙ Аркадій Михайлович")</f>
        <v>ЧЕРНЕЦЬКИЙ Аркадій Михайлович</v>
      </c>
      <c r="J3504" s="7" t="s">
        <v>12</v>
      </c>
    </row>
    <row r="3505" spans="1:10" ht="13.2">
      <c r="A3505" s="7">
        <v>3504</v>
      </c>
      <c r="B3505" s="7">
        <v>1</v>
      </c>
      <c r="C3505" s="7" t="s">
        <v>10</v>
      </c>
      <c r="D3505" s="7">
        <v>1542</v>
      </c>
      <c r="E3505" s="7" t="s">
        <v>23</v>
      </c>
      <c r="F3505" s="8" t="str">
        <f ca="1">IFERROR(__xludf.DUMMYFUNCTION("IF
(
C3506=""фізична особа""
,
VLOOKUP(D3506,IMPORTRANGE(""https://docs.google.com/spreadsheets/d/14Bd19lYaqBhU8_DElYkX7l4wRkHqqCUFNJY4AfY3kHU/edit?usp=sharing  #gid=0"",""фіз особи new!relations_name""),6,FALSE)
,
(IF
(
C3506=""юридична особа""
,
VLOOKUP"&amp;"(D3506,IMPORTRANGE(""https://docs.google.com/spreadsheets/d/14Bd19lYaqBhU8_DElYkX7l4wRkHqqCUFNJY4AfY3kHU/edit?usp=sharing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5" s="7" t="s">
        <v>10</v>
      </c>
      <c r="H3505" s="7">
        <v>0</v>
      </c>
      <c r="I3505" s="8" t="str">
        <f ca="1">IFERROR(__xludf.DUMMYFUNCTION("IF
(
G3506=""фізична особа""
,
VLOOKUP(H3506,IMPORTRANGE(""https://docs.google.com/spreadsheets/d/14Bd19lYaqBhU8_DElYkX7l4wRkHqqCUFNJY4AfY3kHU/edit?usp=sharing  #gid=0"",""фіз особи new!relations_name""),6,FALSE)
,
(IF
(
G3506=""юридична особа""
,
VLOOKUP"&amp;"(H3506,IMPORTRANGE(""https://docs.google.com/spreadsheets/d/14Bd19lYaqBhU8_DElYkX7l4wRkHqqCUFNJY4AfY3kHU/edit?usp=sharing  #gid=0"",""фіз особи new!relations_name_uo""),7,FALSE)
,
)
))"),"#N/A")</f>
        <v>#N/A</v>
      </c>
      <c r="J3505" s="7" t="s">
        <v>23</v>
      </c>
    </row>
    <row r="3506" spans="1:10" ht="13.2">
      <c r="A3506" s="7">
        <v>3505</v>
      </c>
      <c r="B3506" s="7">
        <v>1</v>
      </c>
      <c r="C3506" s="7" t="s">
        <v>10</v>
      </c>
      <c r="D3506" s="7">
        <v>1542</v>
      </c>
      <c r="E3506" s="7" t="s">
        <v>23</v>
      </c>
      <c r="F3506" s="8" t="str">
        <f ca="1">IFERROR(__xludf.DUMMYFUNCTION("IF
(
C3507=""фізична особа""
,
VLOOKUP(D3507,IMPORTRANGE(""https://docs.google.com/spreadsheets/d/14Bd19lYaqBhU8_DElYkX7l4wRkHqqCUFNJY4AfY3kHU/edit?usp=sharing  #gid=0"",""фіз особи new!relations_name""),6,FALSE)
,
(IF
(
C3507=""юридична особа""
,
VLOOKUP"&amp;"(D3507,IMPORTRANGE(""https://docs.google.com/spreadsheets/d/14Bd19lYaqBhU8_DElYkX7l4wRkHqqCUFNJY4AfY3kHU/edit?usp=sharing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6" s="7" t="s">
        <v>10</v>
      </c>
      <c r="H3506" s="7">
        <v>0</v>
      </c>
      <c r="I3506" s="8" t="str">
        <f ca="1">IFERROR(__xludf.DUMMYFUNCTION("IF
(
G3507=""фізична особа""
,
VLOOKUP(H3507,IMPORTRANGE(""https://docs.google.com/spreadsheets/d/14Bd19lYaqBhU8_DElYkX7l4wRkHqqCUFNJY4AfY3kHU/edit?usp=sharing  #gid=0"",""фіз особи new!relations_name""),6,FALSE)
,
(IF
(
G3507=""юридична особа""
,
VLOOKUP"&amp;"(H3507,IMPORTRANGE(""https://docs.google.com/spreadsheets/d/14Bd19lYaqBhU8_DElYkX7l4wRkHqqCUFNJY4AfY3kHU/edit?usp=sharing  #gid=0"",""фіз особи new!relations_name_uo""),7,FALSE)
,
)
))"),"#N/A")</f>
        <v>#N/A</v>
      </c>
      <c r="J3506" s="7" t="s">
        <v>23</v>
      </c>
    </row>
    <row r="3507" spans="1:10" ht="13.2">
      <c r="A3507" s="7">
        <v>3506</v>
      </c>
      <c r="B3507" s="7">
        <v>1</v>
      </c>
      <c r="C3507" s="7" t="s">
        <v>10</v>
      </c>
      <c r="D3507" s="7">
        <v>1542</v>
      </c>
      <c r="E3507" s="7" t="s">
        <v>23</v>
      </c>
      <c r="F3507" s="8" t="str">
        <f ca="1">IFERROR(__xludf.DUMMYFUNCTION("IF
(
C3508=""фізична особа""
,
VLOOKUP(D3508,IMPORTRANGE(""https://docs.google.com/spreadsheets/d/14Bd19lYaqBhU8_DElYkX7l4wRkHqqCUFNJY4AfY3kHU/edit?usp=sharing  #gid=0"",""фіз особи new!relations_name""),6,FALSE)
,
(IF
(
C3508=""юридична особа""
,
VLOOKUP"&amp;"(D3508,IMPORTRANGE(""https://docs.google.com/spreadsheets/d/14Bd19lYaqBhU8_DElYkX7l4wRkHqqCUFNJY4AfY3kHU/edit?usp=sharing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7" s="7" t="s">
        <v>10</v>
      </c>
      <c r="H3507" s="7">
        <v>0</v>
      </c>
      <c r="I3507" s="8" t="str">
        <f ca="1">IFERROR(__xludf.DUMMYFUNCTION("IF
(
G3508=""фізична особа""
,
VLOOKUP(H3508,IMPORTRANGE(""https://docs.google.com/spreadsheets/d/14Bd19lYaqBhU8_DElYkX7l4wRkHqqCUFNJY4AfY3kHU/edit?usp=sharing  #gid=0"",""фіз особи new!relations_name""),6,FALSE)
,
(IF
(
G3508=""юридична особа""
,
VLOOKUP"&amp;"(H3508,IMPORTRANGE(""https://docs.google.com/spreadsheets/d/14Bd19lYaqBhU8_DElYkX7l4wRkHqqCUFNJY4AfY3kHU/edit?usp=sharing  #gid=0"",""фіз особи new!relations_name_uo""),7,FALSE)
,
)
))"),"#N/A")</f>
        <v>#N/A</v>
      </c>
      <c r="J3507" s="7" t="s">
        <v>23</v>
      </c>
    </row>
    <row r="3508" spans="1:10" ht="13.2">
      <c r="A3508" s="7">
        <v>3507</v>
      </c>
      <c r="B3508" s="7">
        <v>1</v>
      </c>
      <c r="C3508" s="7" t="s">
        <v>10</v>
      </c>
      <c r="D3508" s="7">
        <v>1542</v>
      </c>
      <c r="E3508" s="7" t="s">
        <v>23</v>
      </c>
      <c r="F3508" s="8" t="str">
        <f ca="1">IFERROR(__xludf.DUMMYFUNCTION("IF
(
C3509=""фізична особа""
,
VLOOKUP(D3509,IMPORTRANGE(""https://docs.google.com/spreadsheets/d/14Bd19lYaqBhU8_DElYkX7l4wRkHqqCUFNJY4AfY3kHU/edit?usp=sharing  #gid=0"",""фіз особи new!relations_name""),6,FALSE)
,
(IF
(
C3509=""юридична особа""
,
VLOOKUP"&amp;"(D3509,IMPORTRANGE(""https://docs.google.com/spreadsheets/d/14Bd19lYaqBhU8_DElYkX7l4wRkHqqCUFNJY4AfY3kHU/edit?usp=sharing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8" s="7" t="s">
        <v>10</v>
      </c>
      <c r="H3508" s="7">
        <v>0</v>
      </c>
      <c r="I3508" s="8" t="str">
        <f ca="1">IFERROR(__xludf.DUMMYFUNCTION("IF
(
G3509=""фізична особа""
,
VLOOKUP(H3509,IMPORTRANGE(""https://docs.google.com/spreadsheets/d/14Bd19lYaqBhU8_DElYkX7l4wRkHqqCUFNJY4AfY3kHU/edit?usp=sharing  #gid=0"",""фіз особи new!relations_name""),6,FALSE)
,
(IF
(
G3509=""юридична особа""
,
VLOOKUP"&amp;"(H3509,IMPORTRANGE(""https://docs.google.com/spreadsheets/d/14Bd19lYaqBhU8_DElYkX7l4wRkHqqCUFNJY4AfY3kHU/edit?usp=sharing  #gid=0"",""фіз особи new!relations_name_uo""),7,FALSE)
,
)
))"),"#N/A")</f>
        <v>#N/A</v>
      </c>
      <c r="J3508" s="7" t="s">
        <v>23</v>
      </c>
    </row>
    <row r="3509" spans="1:10" ht="13.2">
      <c r="A3509" s="7">
        <v>3508</v>
      </c>
      <c r="B3509" s="7">
        <v>1</v>
      </c>
      <c r="C3509" s="7" t="s">
        <v>10</v>
      </c>
      <c r="D3509" s="7">
        <v>1542</v>
      </c>
      <c r="E3509" s="7" t="s">
        <v>23</v>
      </c>
      <c r="F3509" s="8" t="str">
        <f ca="1">IFERROR(__xludf.DUMMYFUNCTION("IF
(
C3510=""фізична особа""
,
VLOOKUP(D3510,IMPORTRANGE(""https://docs.google.com/spreadsheets/d/14Bd19lYaqBhU8_DElYkX7l4wRkHqqCUFNJY4AfY3kHU/edit?usp=sharing  #gid=0"",""фіз особи new!relations_name""),6,FALSE)
,
(IF
(
C3510=""юридична особа""
,
VLOOKUP"&amp;"(D3510,IMPORTRANGE(""https://docs.google.com/spreadsheets/d/14Bd19lYaqBhU8_DElYkX7l4wRkHqqCUFNJY4AfY3kHU/edit?usp=sharing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09" s="7" t="s">
        <v>10</v>
      </c>
      <c r="H3509" s="7">
        <v>0</v>
      </c>
      <c r="I3509" s="8" t="str">
        <f ca="1">IFERROR(__xludf.DUMMYFUNCTION("IF
(
G3510=""фізична особа""
,
VLOOKUP(H3510,IMPORTRANGE(""https://docs.google.com/spreadsheets/d/14Bd19lYaqBhU8_DElYkX7l4wRkHqqCUFNJY4AfY3kHU/edit?usp=sharing  #gid=0"",""фіз особи new!relations_name""),6,FALSE)
,
(IF
(
G3510=""юридична особа""
,
VLOOKUP"&amp;"(H3510,IMPORTRANGE(""https://docs.google.com/spreadsheets/d/14Bd19lYaqBhU8_DElYkX7l4wRkHqqCUFNJY4AfY3kHU/edit?usp=sharing  #gid=0"",""фіз особи new!relations_name_uo""),7,FALSE)
,
)
))"),"#N/A")</f>
        <v>#N/A</v>
      </c>
      <c r="J3509" s="7" t="s">
        <v>23</v>
      </c>
    </row>
    <row r="3510" spans="1:10" ht="13.2">
      <c r="A3510" s="7">
        <v>3509</v>
      </c>
      <c r="B3510" s="7">
        <v>1</v>
      </c>
      <c r="C3510" s="7" t="s">
        <v>10</v>
      </c>
      <c r="D3510" s="7">
        <v>1542</v>
      </c>
      <c r="E3510" s="7" t="s">
        <v>23</v>
      </c>
      <c r="F3510" s="8" t="str">
        <f ca="1">IFERROR(__xludf.DUMMYFUNCTION("IF
(
C3511=""фізична особа""
,
VLOOKUP(D3511,IMPORTRANGE(""https://docs.google.com/spreadsheets/d/14Bd19lYaqBhU8_DElYkX7l4wRkHqqCUFNJY4AfY3kHU/edit?usp=sharing  #gid=0"",""фіз особи new!relations_name""),6,FALSE)
,
(IF
(
C3511=""юридична особа""
,
VLOOKUP"&amp;"(D3511,IMPORTRANGE(""https://docs.google.com/spreadsheets/d/14Bd19lYaqBhU8_DElYkX7l4wRkHqqCUFNJY4AfY3kHU/edit?usp=sharing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0" s="7" t="s">
        <v>10</v>
      </c>
      <c r="H3510" s="7">
        <v>0</v>
      </c>
      <c r="I3510" s="8" t="str">
        <f ca="1">IFERROR(__xludf.DUMMYFUNCTION("IF
(
G3511=""фізична особа""
,
VLOOKUP(H3511,IMPORTRANGE(""https://docs.google.com/spreadsheets/d/14Bd19lYaqBhU8_DElYkX7l4wRkHqqCUFNJY4AfY3kHU/edit?usp=sharing  #gid=0"",""фіз особи new!relations_name""),6,FALSE)
,
(IF
(
G3511=""юридична особа""
,
VLOOKUP"&amp;"(H3511,IMPORTRANGE(""https://docs.google.com/spreadsheets/d/14Bd19lYaqBhU8_DElYkX7l4wRkHqqCUFNJY4AfY3kHU/edit?usp=sharing  #gid=0"",""фіз особи new!relations_name_uo""),7,FALSE)
,
)
))"),"#N/A")</f>
        <v>#N/A</v>
      </c>
      <c r="J3510" s="7" t="s">
        <v>23</v>
      </c>
    </row>
    <row r="3511" spans="1:10" ht="13.2">
      <c r="A3511" s="7">
        <v>3510</v>
      </c>
      <c r="B3511" s="7">
        <v>1</v>
      </c>
      <c r="C3511" s="7" t="s">
        <v>10</v>
      </c>
      <c r="D3511" s="7">
        <v>1542</v>
      </c>
      <c r="E3511" s="7" t="s">
        <v>23</v>
      </c>
      <c r="F3511" s="8" t="str">
        <f ca="1">IFERROR(__xludf.DUMMYFUNCTION("IF
(
C3512=""фізична особа""
,
VLOOKUP(D3512,IMPORTRANGE(""https://docs.google.com/spreadsheets/d/14Bd19lYaqBhU8_DElYkX7l4wRkHqqCUFNJY4AfY3kHU/edit?usp=sharing  #gid=0"",""фіз особи new!relations_name""),6,FALSE)
,
(IF
(
C3512=""юридична особа""
,
VLOOKUP"&amp;"(D3512,IMPORTRANGE(""https://docs.google.com/spreadsheets/d/14Bd19lYaqBhU8_DElYkX7l4wRkHqqCUFNJY4AfY3kHU/edit?usp=sharing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1" s="7" t="s">
        <v>10</v>
      </c>
      <c r="H3511" s="7">
        <v>0</v>
      </c>
      <c r="I3511" s="8" t="str">
        <f ca="1">IFERROR(__xludf.DUMMYFUNCTION("IF
(
G3512=""фізична особа""
,
VLOOKUP(H3512,IMPORTRANGE(""https://docs.google.com/spreadsheets/d/14Bd19lYaqBhU8_DElYkX7l4wRkHqqCUFNJY4AfY3kHU/edit?usp=sharing  #gid=0"",""фіз особи new!relations_name""),6,FALSE)
,
(IF
(
G3512=""юридична особа""
,
VLOOKUP"&amp;"(H3512,IMPORTRANGE(""https://docs.google.com/spreadsheets/d/14Bd19lYaqBhU8_DElYkX7l4wRkHqqCUFNJY4AfY3kHU/edit?usp=sharing  #gid=0"",""фіз особи new!relations_name_uo""),7,FALSE)
,
)
))"),"#N/A")</f>
        <v>#N/A</v>
      </c>
      <c r="J3511" s="7" t="s">
        <v>23</v>
      </c>
    </row>
    <row r="3512" spans="1:10" ht="13.2">
      <c r="A3512" s="7">
        <v>3511</v>
      </c>
      <c r="B3512" s="7">
        <v>1</v>
      </c>
      <c r="C3512" s="7" t="s">
        <v>10</v>
      </c>
      <c r="D3512" s="7">
        <v>1542</v>
      </c>
      <c r="E3512" s="7" t="s">
        <v>23</v>
      </c>
      <c r="F3512" s="8" t="str">
        <f ca="1">IFERROR(__xludf.DUMMYFUNCTION("IF
(
C3513=""фізична особа""
,
VLOOKUP(D3513,IMPORTRANGE(""https://docs.google.com/spreadsheets/d/14Bd19lYaqBhU8_DElYkX7l4wRkHqqCUFNJY4AfY3kHU/edit?usp=sharing  #gid=0"",""фіз особи new!relations_name""),6,FALSE)
,
(IF
(
C3513=""юридична особа""
,
VLOOKUP"&amp;"(D3513,IMPORTRANGE(""https://docs.google.com/spreadsheets/d/14Bd19lYaqBhU8_DElYkX7l4wRkHqqCUFNJY4AfY3kHU/edit?usp=sharing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2" s="7" t="s">
        <v>10</v>
      </c>
      <c r="H3512" s="7">
        <v>0</v>
      </c>
      <c r="I3512" s="8" t="str">
        <f ca="1">IFERROR(__xludf.DUMMYFUNCTION("IF
(
G3513=""фізична особа""
,
VLOOKUP(H3513,IMPORTRANGE(""https://docs.google.com/spreadsheets/d/14Bd19lYaqBhU8_DElYkX7l4wRkHqqCUFNJY4AfY3kHU/edit?usp=sharing  #gid=0"",""фіз особи new!relations_name""),6,FALSE)
,
(IF
(
G3513=""юридична особа""
,
VLOOKUP"&amp;"(H3513,IMPORTRANGE(""https://docs.google.com/spreadsheets/d/14Bd19lYaqBhU8_DElYkX7l4wRkHqqCUFNJY4AfY3kHU/edit?usp=sharing  #gid=0"",""фіз особи new!relations_name_uo""),7,FALSE)
,
)
))"),"#N/A")</f>
        <v>#N/A</v>
      </c>
      <c r="J3512" s="7" t="s">
        <v>23</v>
      </c>
    </row>
    <row r="3513" spans="1:10" ht="13.2">
      <c r="A3513" s="7">
        <v>3512</v>
      </c>
      <c r="B3513" s="7">
        <v>1</v>
      </c>
      <c r="C3513" s="7" t="s">
        <v>10</v>
      </c>
      <c r="D3513" s="7">
        <v>1542</v>
      </c>
      <c r="E3513" s="7" t="s">
        <v>23</v>
      </c>
      <c r="F3513" s="8" t="str">
        <f ca="1">IFERROR(__xludf.DUMMYFUNCTION("IF
(
C3514=""фізична особа""
,
VLOOKUP(D3514,IMPORTRANGE(""https://docs.google.com/spreadsheets/d/14Bd19lYaqBhU8_DElYkX7l4wRkHqqCUFNJY4AfY3kHU/edit?usp=sharing  #gid=0"",""фіз особи new!relations_name""),6,FALSE)
,
(IF
(
C3514=""юридична особа""
,
VLOOKUP"&amp;"(D3514,IMPORTRANGE(""https://docs.google.com/spreadsheets/d/14Bd19lYaqBhU8_DElYkX7l4wRkHqqCUFNJY4AfY3kHU/edit?usp=sharing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3" s="7" t="s">
        <v>10</v>
      </c>
      <c r="H3513" s="7">
        <v>0</v>
      </c>
      <c r="I3513" s="8" t="str">
        <f ca="1">IFERROR(__xludf.DUMMYFUNCTION("IF
(
G3514=""фізична особа""
,
VLOOKUP(H3514,IMPORTRANGE(""https://docs.google.com/spreadsheets/d/14Bd19lYaqBhU8_DElYkX7l4wRkHqqCUFNJY4AfY3kHU/edit?usp=sharing  #gid=0"",""фіз особи new!relations_name""),6,FALSE)
,
(IF
(
G3514=""юридична особа""
,
VLOOKUP"&amp;"(H3514,IMPORTRANGE(""https://docs.google.com/spreadsheets/d/14Bd19lYaqBhU8_DElYkX7l4wRkHqqCUFNJY4AfY3kHU/edit?usp=sharing  #gid=0"",""фіз особи new!relations_name_uo""),7,FALSE)
,
)
))"),"#N/A")</f>
        <v>#N/A</v>
      </c>
      <c r="J3513" s="7" t="s">
        <v>23</v>
      </c>
    </row>
    <row r="3514" spans="1:10" ht="13.2">
      <c r="A3514" s="7">
        <v>3513</v>
      </c>
      <c r="B3514" s="7">
        <v>1</v>
      </c>
      <c r="C3514" s="7" t="s">
        <v>10</v>
      </c>
      <c r="D3514" s="7">
        <v>1542</v>
      </c>
      <c r="E3514" s="7" t="s">
        <v>23</v>
      </c>
      <c r="F3514" s="8" t="str">
        <f ca="1">IFERROR(__xludf.DUMMYFUNCTION("IF
(
C3515=""фізична особа""
,
VLOOKUP(D3515,IMPORTRANGE(""https://docs.google.com/spreadsheets/d/14Bd19lYaqBhU8_DElYkX7l4wRkHqqCUFNJY4AfY3kHU/edit?usp=sharing  #gid=0"",""фіз особи new!relations_name""),6,FALSE)
,
(IF
(
C3515=""юридична особа""
,
VLOOKUP"&amp;"(D3515,IMPORTRANGE(""https://docs.google.com/spreadsheets/d/14Bd19lYaqBhU8_DElYkX7l4wRkHqqCUFNJY4AfY3kHU/edit?usp=sharing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4" s="7" t="s">
        <v>10</v>
      </c>
      <c r="H3514" s="7">
        <v>0</v>
      </c>
      <c r="I3514" s="8" t="str">
        <f ca="1">IFERROR(__xludf.DUMMYFUNCTION("IF
(
G3515=""фізична особа""
,
VLOOKUP(H3515,IMPORTRANGE(""https://docs.google.com/spreadsheets/d/14Bd19lYaqBhU8_DElYkX7l4wRkHqqCUFNJY4AfY3kHU/edit?usp=sharing  #gid=0"",""фіз особи new!relations_name""),6,FALSE)
,
(IF
(
G3515=""юридична особа""
,
VLOOKUP"&amp;"(H3515,IMPORTRANGE(""https://docs.google.com/spreadsheets/d/14Bd19lYaqBhU8_DElYkX7l4wRkHqqCUFNJY4AfY3kHU/edit?usp=sharing  #gid=0"",""фіз особи new!relations_name_uo""),7,FALSE)
,
)
))"),"#N/A")</f>
        <v>#N/A</v>
      </c>
      <c r="J3514" s="7" t="s">
        <v>23</v>
      </c>
    </row>
    <row r="3515" spans="1:10" ht="13.2">
      <c r="A3515" s="7">
        <v>3514</v>
      </c>
      <c r="B3515" s="7">
        <v>1</v>
      </c>
      <c r="C3515" s="7" t="s">
        <v>10</v>
      </c>
      <c r="D3515" s="7">
        <v>1542</v>
      </c>
      <c r="E3515" s="7" t="s">
        <v>23</v>
      </c>
      <c r="F3515" s="8" t="str">
        <f ca="1">IFERROR(__xludf.DUMMYFUNCTION("IF
(
C3516=""фізична особа""
,
VLOOKUP(D3516,IMPORTRANGE(""https://docs.google.com/spreadsheets/d/14Bd19lYaqBhU8_DElYkX7l4wRkHqqCUFNJY4AfY3kHU/edit?usp=sharing  #gid=0"",""фіз особи new!relations_name""),6,FALSE)
,
(IF
(
C3516=""юридична особа""
,
VLOOKUP"&amp;"(D3516,IMPORTRANGE(""https://docs.google.com/spreadsheets/d/14Bd19lYaqBhU8_DElYkX7l4wRkHqqCUFNJY4AfY3kHU/edit?usp=sharing  #gid=0"",""фіз особи new!relations_name_uo""),7,FALSE)
,
)
))"),"ЧЕРНЕЦЬКИЙ Станіслав Аркадійович")</f>
        <v>ЧЕРНЕЦЬКИЙ Станіслав Аркадійович</v>
      </c>
      <c r="G3515" s="7" t="s">
        <v>10</v>
      </c>
      <c r="H3515" s="7">
        <v>0</v>
      </c>
      <c r="I3515" s="8" t="str">
        <f ca="1">IFERROR(__xludf.DUMMYFUNCTION("IF
(
G3516=""фізична особа""
,
VLOOKUP(H3516,IMPORTRANGE(""https://docs.google.com/spreadsheets/d/14Bd19lYaqBhU8_DElYkX7l4wRkHqqCUFNJY4AfY3kHU/edit?usp=sharing  #gid=0"",""фіз особи new!relations_name""),6,FALSE)
,
(IF
(
G3516=""юридична особа""
,
VLOOKUP"&amp;"(H3516,IMPORTRANGE(""https://docs.google.com/spreadsheets/d/14Bd19lYaqBhU8_DElYkX7l4wRkHqqCUFNJY4AfY3kHU/edit?usp=sharing  #gid=0"",""фіз особи new!relations_name_uo""),7,FALSE)
,
)
))"),"#N/A")</f>
        <v>#N/A</v>
      </c>
      <c r="J3515" s="7" t="s">
        <v>23</v>
      </c>
    </row>
    <row r="3516" spans="1:10" ht="13.2">
      <c r="A3516" s="7">
        <v>3515</v>
      </c>
      <c r="B3516" s="7">
        <v>1</v>
      </c>
      <c r="C3516" s="7" t="s">
        <v>10</v>
      </c>
      <c r="D3516" s="7">
        <v>1545</v>
      </c>
      <c r="E3516" s="7" t="s">
        <v>23</v>
      </c>
      <c r="F3516" s="8" t="str">
        <f ca="1">IFERROR(__xludf.DUMMYFUNCTION("IF
(
C3517=""фізична особа""
,
VLOOKUP(D3517,IMPORTRANGE(""https://docs.google.com/spreadsheets/d/14Bd19lYaqBhU8_DElYkX7l4wRkHqqCUFNJY4AfY3kHU/edit?usp=sharing  #gid=0"",""фіз особи new!relations_name""),6,FALSE)
,
(IF
(
C3517=""юридична особа""
,
VLOOKUP"&amp;"(D3517,IMPORTRANGE(""https://docs.google.com/spreadsheets/d/14Bd19lYaqBhU8_DElYkX7l4wRkHqqCUFNJY4AfY3kHU/edit?usp=sharing  #gid=0"",""фіз особи new!relations_name_uo""),7,FALSE)
,
)
))"),"ГОРОДІЛОВ Валерій Васильович")</f>
        <v>ГОРОДІЛОВ Валерій Васильович</v>
      </c>
      <c r="G3516" s="7" t="s">
        <v>10</v>
      </c>
      <c r="H3516" s="7">
        <v>0</v>
      </c>
      <c r="I3516" s="8" t="str">
        <f ca="1">IFERROR(__xludf.DUMMYFUNCTION("IF
(
G3517=""фізична особа""
,
VLOOKUP(H3517,IMPORTRANGE(""https://docs.google.com/spreadsheets/d/14Bd19lYaqBhU8_DElYkX7l4wRkHqqCUFNJY4AfY3kHU/edit?usp=sharing  #gid=0"",""фіз особи new!relations_name""),6,FALSE)
,
(IF
(
G3517=""юридична особа""
,
VLOOKUP"&amp;"(H3517,IMPORTRANGE(""https://docs.google.com/spreadsheets/d/14Bd19lYaqBhU8_DElYkX7l4wRkHqqCUFNJY4AfY3kHU/edit?usp=sharing  #gid=0"",""фіз особи new!relations_name_uo""),7,FALSE)
,
)
))"),"#N/A")</f>
        <v>#N/A</v>
      </c>
      <c r="J3516" s="7" t="s">
        <v>23</v>
      </c>
    </row>
    <row r="3517" spans="1:10" ht="13.2">
      <c r="A3517" s="7">
        <v>3516</v>
      </c>
      <c r="B3517" s="7">
        <v>1</v>
      </c>
      <c r="C3517" s="7" t="s">
        <v>10</v>
      </c>
      <c r="D3517" s="7">
        <v>1545</v>
      </c>
      <c r="E3517" s="7" t="s">
        <v>23</v>
      </c>
      <c r="F3517" s="8" t="str">
        <f ca="1">IFERROR(__xludf.DUMMYFUNCTION("IF
(
C3518=""фізична особа""
,
VLOOKUP(D3518,IMPORTRANGE(""https://docs.google.com/spreadsheets/d/14Bd19lYaqBhU8_DElYkX7l4wRkHqqCUFNJY4AfY3kHU/edit?usp=sharing  #gid=0"",""фіз особи new!relations_name""),6,FALSE)
,
(IF
(
C3518=""юридична особа""
,
VLOOKUP"&amp;"(D3518,IMPORTRANGE(""https://docs.google.com/spreadsheets/d/14Bd19lYaqBhU8_DElYkX7l4wRkHqqCUFNJY4AfY3kHU/edit?usp=sharing  #gid=0"",""фіз особи new!relations_name_uo""),7,FALSE)
,
)
))"),"ГОРОДІЛОВ Валерій Васильович")</f>
        <v>ГОРОДІЛОВ Валерій Васильович</v>
      </c>
      <c r="G3517" s="7" t="s">
        <v>10</v>
      </c>
      <c r="H3517" s="7">
        <v>0</v>
      </c>
      <c r="I3517" s="8" t="str">
        <f ca="1">IFERROR(__xludf.DUMMYFUNCTION("IF
(
G3518=""фізична особа""
,
VLOOKUP(H3518,IMPORTRANGE(""https://docs.google.com/spreadsheets/d/14Bd19lYaqBhU8_DElYkX7l4wRkHqqCUFNJY4AfY3kHU/edit?usp=sharing  #gid=0"",""фіз особи new!relations_name""),6,FALSE)
,
(IF
(
G3518=""юридична особа""
,
VLOOKUP"&amp;"(H3518,IMPORTRANGE(""https://docs.google.com/spreadsheets/d/14Bd19lYaqBhU8_DElYkX7l4wRkHqqCUFNJY4AfY3kHU/edit?usp=sharing  #gid=0"",""фіз особи new!relations_name_uo""),7,FALSE)
,
)
))"),"#N/A")</f>
        <v>#N/A</v>
      </c>
      <c r="J3517" s="7" t="s">
        <v>23</v>
      </c>
    </row>
    <row r="3518" spans="1:10" ht="13.2">
      <c r="A3518" s="7">
        <v>3517</v>
      </c>
      <c r="B3518" s="7">
        <v>1</v>
      </c>
      <c r="C3518" s="7" t="s">
        <v>10</v>
      </c>
      <c r="D3518" s="7">
        <v>1545</v>
      </c>
      <c r="E3518" s="7" t="s">
        <v>23</v>
      </c>
      <c r="F3518" s="8" t="str">
        <f ca="1">IFERROR(__xludf.DUMMYFUNCTION("IF
(
C3519=""фізична особа""
,
VLOOKUP(D3519,IMPORTRANGE(""https://docs.google.com/spreadsheets/d/14Bd19lYaqBhU8_DElYkX7l4wRkHqqCUFNJY4AfY3kHU/edit?usp=sharing  #gid=0"",""фіз особи new!relations_name""),6,FALSE)
,
(IF
(
C3519=""юридична особа""
,
VLOOKUP"&amp;"(D3519,IMPORTRANGE(""https://docs.google.com/spreadsheets/d/14Bd19lYaqBhU8_DElYkX7l4wRkHqqCUFNJY4AfY3kHU/edit?usp=sharing  #gid=0"",""фіз особи new!relations_name_uo""),7,FALSE)
,
)
))"),"ГОРОДІЛОВ Валерій Васильович")</f>
        <v>ГОРОДІЛОВ Валерій Васильович</v>
      </c>
      <c r="G3518" s="7" t="s">
        <v>10</v>
      </c>
      <c r="H3518" s="7">
        <v>1551</v>
      </c>
      <c r="I3518" s="8" t="str">
        <f ca="1">IFERROR(__xludf.DUMMYFUNCTION("IF
(
G3519=""фізична особа""
,
VLOOKUP(H3519,IMPORTRANGE(""https://docs.google.com/spreadsheets/d/14Bd19lYaqBhU8_DElYkX7l4wRkHqqCUFNJY4AfY3kHU/edit?usp=sharing  #gid=0"",""фіз особи new!relations_name""),6,FALSE)
,
(IF
(
G3519=""юридична особа""
,
VLOOKUP"&amp;"(H3519,IMPORTRANGE(""https://docs.google.com/spreadsheets/d/14Bd19lYaqBhU8_DElYkX7l4wRkHqqCUFNJY4AfY3kHU/edit?usp=sharing  #gid=0"",""фіз особи new!relations_name_uo""),7,FALSE)
,
)
))"),"СИДОРОВА Ольга Миколаївна")</f>
        <v>СИДОРОВА Ольга Миколаївна</v>
      </c>
      <c r="J3518" s="7" t="s">
        <v>23</v>
      </c>
    </row>
    <row r="3519" spans="1:10" ht="13.2">
      <c r="A3519" s="7">
        <v>3518</v>
      </c>
      <c r="B3519" s="7">
        <v>1</v>
      </c>
      <c r="C3519" s="7" t="s">
        <v>10</v>
      </c>
      <c r="D3519" s="7">
        <v>1551</v>
      </c>
      <c r="E3519" s="7" t="s">
        <v>23</v>
      </c>
      <c r="F3519" s="8" t="str">
        <f ca="1">IFERROR(__xludf.DUMMYFUNCTION("IF
(
C3520=""фізична особа""
,
VLOOKUP(D3520,IMPORTRANGE(""https://docs.google.com/spreadsheets/d/14Bd19lYaqBhU8_DElYkX7l4wRkHqqCUFNJY4AfY3kHU/edit?usp=sharing  #gid=0"",""фіз особи new!relations_name""),6,FALSE)
,
(IF
(
C3520=""юридична особа""
,
VLOOKUP"&amp;"(D3520,IMPORTRANGE(""https://docs.google.com/spreadsheets/d/14Bd19lYaqBhU8_DElYkX7l4wRkHqqCUFNJY4AfY3kHU/edit?usp=sharing  #gid=0"",""фіз особи new!relations_name_uo""),7,FALSE)
,
)
))"),"СИДОРОВА Ольга Миколаївна")</f>
        <v>СИДОРОВА Ольга Миколаївна</v>
      </c>
      <c r="G3519" s="7" t="s">
        <v>10</v>
      </c>
      <c r="H3519" s="7">
        <v>1545</v>
      </c>
      <c r="I3519" s="8" t="str">
        <f ca="1">IFERROR(__xludf.DUMMYFUNCTION("IF
(
G3520=""фізична особа""
,
VLOOKUP(H3520,IMPORTRANGE(""https://docs.google.com/spreadsheets/d/14Bd19lYaqBhU8_DElYkX7l4wRkHqqCUFNJY4AfY3kHU/edit?usp=sharing  #gid=0"",""фіз особи new!relations_name""),6,FALSE)
,
(IF
(
G3520=""юридична особа""
,
VLOOKUP"&amp;"(H3520,IMPORTRANGE(""https://docs.google.com/spreadsheets/d/14Bd19lYaqBhU8_DElYkX7l4wRkHqqCUFNJY4AfY3kHU/edit?usp=sharing  #gid=0"",""фіз особи new!relations_name_uo""),7,FALSE)
,
)
))"),"ГОРОДІЛОВ Валерій Васильович")</f>
        <v>ГОРОДІЛОВ Валерій Васильович</v>
      </c>
      <c r="J3519" s="7" t="s">
        <v>23</v>
      </c>
    </row>
    <row r="3520" spans="1:10" ht="13.2">
      <c r="A3520" s="7">
        <v>3519</v>
      </c>
      <c r="B3520" s="7">
        <v>1</v>
      </c>
      <c r="C3520" s="7" t="s">
        <v>10</v>
      </c>
      <c r="D3520" s="7">
        <v>1559</v>
      </c>
      <c r="E3520" s="7" t="s">
        <v>23</v>
      </c>
      <c r="F3520" s="8" t="str">
        <f ca="1">IFERROR(__xludf.DUMMYFUNCTION("IF
(
C3521=""фізична особа""
,
VLOOKUP(D3521,IMPORTRANGE(""https://docs.google.com/spreadsheets/d/14Bd19lYaqBhU8_DElYkX7l4wRkHqqCUFNJY4AfY3kHU/edit?usp=sharing  #gid=0"",""фіз особи new!relations_name""),6,FALSE)
,
(IF
(
C3521=""юридична особа""
,
VLOOKUP"&amp;"(D3521,IMPORTRANGE(""https://docs.google.com/spreadsheets/d/14Bd19lYaqBhU8_DElYkX7l4wRkHqqCUFNJY4AfY3kHU/edit?usp=sharing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G3520" s="7" t="s">
        <v>10</v>
      </c>
      <c r="H3520" s="7">
        <v>23469</v>
      </c>
      <c r="I3520" s="8" t="str">
        <f ca="1">IFERROR(__xludf.DUMMYFUNCTION("IF
(
G3521=""фізична особа""
,
VLOOKUP(H3521,IMPORTRANGE(""https://docs.google.com/spreadsheets/d/14Bd19lYaqBhU8_DElYkX7l4wRkHqqCUFNJY4AfY3kHU/edit?usp=sharing  #gid=0"",""фіз особи new!relations_name""),6,FALSE)
,
(IF
(
G3521=""юридична особа""
,
VLOOKUP"&amp;"(H3521,IMPORTRANGE(""https://docs.google.com/spreadsheets/d/14Bd19lYaqBhU8_DElYkX7l4wRkHqqCUFNJY4AfY3kHU/edit?usp=sharing  #gid=0"",""фіз особи new!relations_name_uo""),7,FALSE)
,
)
))"),"КЛЮЄВ Ігор Вікторович")</f>
        <v>КЛЮЄВ Ігор Вікторович</v>
      </c>
      <c r="J3520" s="7" t="s">
        <v>23</v>
      </c>
    </row>
    <row r="3521" spans="1:10" ht="13.2">
      <c r="A3521" s="7">
        <v>3520</v>
      </c>
      <c r="B3521" s="7">
        <v>1</v>
      </c>
      <c r="C3521" s="7" t="s">
        <v>10</v>
      </c>
      <c r="D3521" s="7">
        <v>1559</v>
      </c>
      <c r="E3521" s="7" t="s">
        <v>23</v>
      </c>
      <c r="F3521" s="8" t="str">
        <f ca="1">IFERROR(__xludf.DUMMYFUNCTION("IF
(
C3522=""фізична особа""
,
VLOOKUP(D3522,IMPORTRANGE(""https://docs.google.com/spreadsheets/d/14Bd19lYaqBhU8_DElYkX7l4wRkHqqCUFNJY4AfY3kHU/edit?usp=sharing  #gid=0"",""фіз особи new!relations_name""),6,FALSE)
,
(IF
(
C3522=""юридична особа""
,
VLOOKUP"&amp;"(D3522,IMPORTRANGE(""https://docs.google.com/spreadsheets/d/14Bd19lYaqBhU8_DElYkX7l4wRkHqqCUFNJY4AfY3kHU/edit?usp=sharing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G3521" s="7" t="s">
        <v>10</v>
      </c>
      <c r="H3521" s="7">
        <v>1558</v>
      </c>
      <c r="I3521" s="8" t="str">
        <f ca="1">IFERROR(__xludf.DUMMYFUNCTION("IF
(
G3522=""фізична особа""
,
VLOOKUP(H3522,IMPORTRANGE(""https://docs.google.com/spreadsheets/d/14Bd19lYaqBhU8_DElYkX7l4wRkHqqCUFNJY4AfY3kHU/edit?usp=sharing  #gid=0"",""фіз особи new!relations_name""),6,FALSE)
,
(IF
(
G3522=""юридична особа""
,
VLOOKUP"&amp;"(H3522,IMPORTRANGE(""https://docs.google.com/spreadsheets/d/14Bd19lYaqBhU8_DElYkX7l4wRkHqqCUFNJY4AfY3kHU/edit?usp=sharing  #gid=0"",""фіз особи new!relations_name_uo""),7,FALSE)
,
)
))"),"КУЛАЛАЄВА Ольга Геннадіївна")</f>
        <v>КУЛАЛАЄВА Ольга Геннадіївна</v>
      </c>
      <c r="J3521" s="7" t="s">
        <v>23</v>
      </c>
    </row>
    <row r="3522" spans="1:10" ht="13.2">
      <c r="A3522" s="7">
        <v>3521</v>
      </c>
      <c r="B3522" s="7">
        <v>1</v>
      </c>
      <c r="C3522" s="7" t="s">
        <v>10</v>
      </c>
      <c r="D3522" s="7">
        <v>1559</v>
      </c>
      <c r="E3522" s="7" t="s">
        <v>23</v>
      </c>
      <c r="F3522" s="8" t="str">
        <f ca="1">IFERROR(__xludf.DUMMYFUNCTION("IF
(
C3523=""фізична особа""
,
VLOOKUP(D3523,IMPORTRANGE(""https://docs.google.com/spreadsheets/d/14Bd19lYaqBhU8_DElYkX7l4wRkHqqCUFNJY4AfY3kHU/edit?usp=sharing  #gid=0"",""фіз особи new!relations_name""),6,FALSE)
,
(IF
(
C3523=""юридична особа""
,
VLOOKUP"&amp;"(D3523,IMPORTRANGE(""https://docs.google.com/spreadsheets/d/14Bd19lYaqBhU8_DElYkX7l4wRkHqqCUFNJY4AfY3kHU/edit?usp=sharing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G3522" s="7" t="s">
        <v>10</v>
      </c>
      <c r="H3522" s="7">
        <v>1561</v>
      </c>
      <c r="I3522" s="8" t="str">
        <f ca="1">IFERROR(__xludf.DUMMYFUNCTION("IF
(
G3523=""фізична особа""
,
VLOOKUP(H3523,IMPORTRANGE(""https://docs.google.com/spreadsheets/d/14Bd19lYaqBhU8_DElYkX7l4wRkHqqCUFNJY4AfY3kHU/edit?usp=sharing  #gid=0"",""фіз особи new!relations_name""),6,FALSE)
,
(IF
(
G3523=""юридична особа""
,
VLOOKUP"&amp;"(H3523,IMPORTRANGE(""https://docs.google.com/spreadsheets/d/14Bd19lYaqBhU8_DElYkX7l4wRkHqqCUFNJY4AfY3kHU/edit?usp=sharing  #gid=0"",""фіз особи new!relations_name_uo""),7,FALSE)
,
)
))"),"ЦАРЄГОРОДЦЕВ Ігор Іванович")</f>
        <v>ЦАРЄГОРОДЦЕВ Ігор Іванович</v>
      </c>
      <c r="J3522" s="7" t="s">
        <v>23</v>
      </c>
    </row>
    <row r="3523" spans="1:10" ht="13.2">
      <c r="A3523" s="7">
        <v>3522</v>
      </c>
      <c r="B3523" s="7">
        <v>1</v>
      </c>
      <c r="C3523" s="7" t="s">
        <v>10</v>
      </c>
      <c r="D3523" s="7">
        <v>1559</v>
      </c>
      <c r="E3523" s="7" t="s">
        <v>23</v>
      </c>
      <c r="F3523" s="8" t="str">
        <f ca="1">IFERROR(__xludf.DUMMYFUNCTION("IF
(
C3524=""фізична особа""
,
VLOOKUP(D3524,IMPORTRANGE(""https://docs.google.com/spreadsheets/d/14Bd19lYaqBhU8_DElYkX7l4wRkHqqCUFNJY4AfY3kHU/edit?usp=sharing  #gid=0"",""фіз особи new!relations_name""),6,FALSE)
,
(IF
(
C3524=""юридична особа""
,
VLOOKUP"&amp;"(D3524,IMPORTRANGE(""https://docs.google.com/spreadsheets/d/14Bd19lYaqBhU8_DElYkX7l4wRkHqqCUFNJY4AfY3kHU/edit?usp=sharing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G3523" s="7" t="s">
        <v>10</v>
      </c>
      <c r="H3523" s="7">
        <v>23470</v>
      </c>
      <c r="I3523" s="8" t="str">
        <f ca="1">IFERROR(__xludf.DUMMYFUNCTION("IF
(
G3524=""фізична особа""
,
VLOOKUP(H3524,IMPORTRANGE(""https://docs.google.com/spreadsheets/d/14Bd19lYaqBhU8_DElYkX7l4wRkHqqCUFNJY4AfY3kHU/edit?usp=sharing  #gid=0"",""фіз особи new!relations_name""),6,FALSE)
,
(IF
(
G3524=""юридична особа""
,
VLOOKUP"&amp;"(H3524,IMPORTRANGE(""https://docs.google.com/spreadsheets/d/14Bd19lYaqBhU8_DElYkX7l4wRkHqqCUFNJY4AfY3kHU/edit?usp=sharing  #gid=0"",""фіз особи new!relations_name_uo""),7,FALSE)
,
)
))"),"НОВИЦЬКИЙ Микола Васильович")</f>
        <v>НОВИЦЬКИЙ Микола Васильович</v>
      </c>
      <c r="J3523" s="7" t="s">
        <v>23</v>
      </c>
    </row>
    <row r="3524" spans="1:10" ht="13.2">
      <c r="A3524" s="7">
        <v>3523</v>
      </c>
      <c r="B3524" s="7">
        <v>1</v>
      </c>
      <c r="C3524" s="7" t="s">
        <v>10</v>
      </c>
      <c r="D3524" s="7">
        <v>1561</v>
      </c>
      <c r="E3524" s="7" t="s">
        <v>23</v>
      </c>
      <c r="F3524" s="8" t="str">
        <f ca="1">IFERROR(__xludf.DUMMYFUNCTION("IF
(
C3525=""фізична особа""
,
VLOOKUP(D3525,IMPORTRANGE(""https://docs.google.com/spreadsheets/d/14Bd19lYaqBhU8_DElYkX7l4wRkHqqCUFNJY4AfY3kHU/edit?usp=sharing  #gid=0"",""фіз особи new!relations_name""),6,FALSE)
,
(IF
(
C3525=""юридична особа""
,
VLOOKUP"&amp;"(D3525,IMPORTRANGE(""https://docs.google.com/spreadsheets/d/14Bd19lYaqBhU8_DElYkX7l4wRkHqqCUFNJY4AfY3kHU/edit?usp=sharing  #gid=0"",""фіз особи new!relations_name_uo""),7,FALSE)
,
)
))"),"ЦАРЄГОРОДЦЕВ Ігор Іванович")</f>
        <v>ЦАРЄГОРОДЦЕВ Ігор Іванович</v>
      </c>
      <c r="G3524" s="7" t="s">
        <v>10</v>
      </c>
      <c r="H3524" s="7">
        <v>23469</v>
      </c>
      <c r="I3524" s="8" t="str">
        <f ca="1">IFERROR(__xludf.DUMMYFUNCTION("IF
(
G3525=""фізична особа""
,
VLOOKUP(H3525,IMPORTRANGE(""https://docs.google.com/spreadsheets/d/14Bd19lYaqBhU8_DElYkX7l4wRkHqqCUFNJY4AfY3kHU/edit?usp=sharing  #gid=0"",""фіз особи new!relations_name""),6,FALSE)
,
(IF
(
G3525=""юридична особа""
,
VLOOKUP"&amp;"(H3525,IMPORTRANGE(""https://docs.google.com/spreadsheets/d/14Bd19lYaqBhU8_DElYkX7l4wRkHqqCUFNJY4AfY3kHU/edit?usp=sharing  #gid=0"",""фіз особи new!relations_name_uo""),7,FALSE)
,
)
))"),"КЛЮЄВ Ігор Вікторович")</f>
        <v>КЛЮЄВ Ігор Вікторович</v>
      </c>
      <c r="J3524" s="7" t="s">
        <v>23</v>
      </c>
    </row>
    <row r="3525" spans="1:10" ht="13.2">
      <c r="A3525" s="7">
        <v>3524</v>
      </c>
      <c r="B3525" s="7">
        <v>1</v>
      </c>
      <c r="C3525" s="7" t="s">
        <v>10</v>
      </c>
      <c r="D3525" s="7">
        <v>1561</v>
      </c>
      <c r="E3525" s="7" t="s">
        <v>23</v>
      </c>
      <c r="F3525" s="8" t="str">
        <f ca="1">IFERROR(__xludf.DUMMYFUNCTION("IF
(
C3526=""фізична особа""
,
VLOOKUP(D3526,IMPORTRANGE(""https://docs.google.com/spreadsheets/d/14Bd19lYaqBhU8_DElYkX7l4wRkHqqCUFNJY4AfY3kHU/edit?usp=sharing  #gid=0"",""фіз особи new!relations_name""),6,FALSE)
,
(IF
(
C3526=""юридична особа""
,
VLOOKUP"&amp;"(D3526,IMPORTRANGE(""https://docs.google.com/spreadsheets/d/14Bd19lYaqBhU8_DElYkX7l4wRkHqqCUFNJY4AfY3kHU/edit?usp=sharing  #gid=0"",""фіз особи new!relations_name_uo""),7,FALSE)
,
)
))"),"ЦАРЄГОРОДЦЕВ Ігор Іванович")</f>
        <v>ЦАРЄГОРОДЦЕВ Ігор Іванович</v>
      </c>
      <c r="G3525" s="7" t="s">
        <v>10</v>
      </c>
      <c r="H3525" s="7">
        <v>1558</v>
      </c>
      <c r="I3525" s="8" t="str">
        <f ca="1">IFERROR(__xludf.DUMMYFUNCTION("IF
(
G3526=""фізична особа""
,
VLOOKUP(H3526,IMPORTRANGE(""https://docs.google.com/spreadsheets/d/14Bd19lYaqBhU8_DElYkX7l4wRkHqqCUFNJY4AfY3kHU/edit?usp=sharing  #gid=0"",""фіз особи new!relations_name""),6,FALSE)
,
(IF
(
G3526=""юридична особа""
,
VLOOKUP"&amp;"(H3526,IMPORTRANGE(""https://docs.google.com/spreadsheets/d/14Bd19lYaqBhU8_DElYkX7l4wRkHqqCUFNJY4AfY3kHU/edit?usp=sharing  #gid=0"",""фіз особи new!relations_name_uo""),7,FALSE)
,
)
))"),"КУЛАЛАЄВА Ольга Геннадіївна")</f>
        <v>КУЛАЛАЄВА Ольга Геннадіївна</v>
      </c>
      <c r="J3525" s="7" t="s">
        <v>23</v>
      </c>
    </row>
    <row r="3526" spans="1:10" ht="13.2">
      <c r="A3526" s="7">
        <v>3525</v>
      </c>
      <c r="B3526" s="7">
        <v>1</v>
      </c>
      <c r="C3526" s="7" t="s">
        <v>10</v>
      </c>
      <c r="D3526" s="7">
        <v>1561</v>
      </c>
      <c r="E3526" s="7" t="s">
        <v>23</v>
      </c>
      <c r="F3526" s="8" t="str">
        <f ca="1">IFERROR(__xludf.DUMMYFUNCTION("IF
(
C3527=""фізична особа""
,
VLOOKUP(D3527,IMPORTRANGE(""https://docs.google.com/spreadsheets/d/14Bd19lYaqBhU8_DElYkX7l4wRkHqqCUFNJY4AfY3kHU/edit?usp=sharing  #gid=0"",""фіз особи new!relations_name""),6,FALSE)
,
(IF
(
C3527=""юридична особа""
,
VLOOKUP"&amp;"(D3527,IMPORTRANGE(""https://docs.google.com/spreadsheets/d/14Bd19lYaqBhU8_DElYkX7l4wRkHqqCUFNJY4AfY3kHU/edit?usp=sharing  #gid=0"",""фіз особи new!relations_name_uo""),7,FALSE)
,
)
))"),"ЦАРЄГОРОДЦЕВ Ігор Іванович")</f>
        <v>ЦАРЄГОРОДЦЕВ Ігор Іванович</v>
      </c>
      <c r="G3526" s="7" t="s">
        <v>10</v>
      </c>
      <c r="H3526" s="7">
        <v>1559</v>
      </c>
      <c r="I3526" s="8" t="str">
        <f ca="1">IFERROR(__xludf.DUMMYFUNCTION("IF
(
G3527=""фізична особа""
,
VLOOKUP(H3527,IMPORTRANGE(""https://docs.google.com/spreadsheets/d/14Bd19lYaqBhU8_DElYkX7l4wRkHqqCUFNJY4AfY3kHU/edit?usp=sharing  #gid=0"",""фіз особи new!relations_name""),6,FALSE)
,
(IF
(
G3527=""юридична особа""
,
VLOOKUP"&amp;"(H3527,IMPORTRANGE(""https://docs.google.com/spreadsheets/d/14Bd19lYaqBhU8_DElYkX7l4wRkHqqCUFNJY4AfY3kHU/edit?usp=sharing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J3526" s="7" t="s">
        <v>23</v>
      </c>
    </row>
    <row r="3527" spans="1:10" ht="13.2">
      <c r="A3527" s="7">
        <v>3526</v>
      </c>
      <c r="B3527" s="7">
        <v>1</v>
      </c>
      <c r="C3527" s="7" t="s">
        <v>10</v>
      </c>
      <c r="D3527" s="7">
        <v>1559</v>
      </c>
      <c r="E3527" s="7" t="s">
        <v>23</v>
      </c>
      <c r="F3527" s="8" t="str">
        <f ca="1">IFERROR(__xludf.DUMMYFUNCTION("IF
(
C3528=""фізична особа""
,
VLOOKUP(D3528,IMPORTRANGE(""https://docs.google.com/spreadsheets/d/14Bd19lYaqBhU8_DElYkX7l4wRkHqqCUFNJY4AfY3kHU/edit?usp=sharing  #gid=0"",""фіз особи new!relations_name""),6,FALSE)
,
(IF
(
C3528=""юридична особа""
,
VLOOKUP"&amp;"(D3528,IMPORTRANGE(""https://docs.google.com/spreadsheets/d/14Bd19lYaqBhU8_DElYkX7l4wRkHqqCUFNJY4AfY3kHU/edit?usp=sharing  #gid=0"",""фіз особи new!relations_name_uo""),7,FALSE)
,
)
))"),"МАЛАХОВ Олег Валерійович")</f>
        <v>МАЛАХОВ Олег Валерійович</v>
      </c>
      <c r="G3527" s="7" t="s">
        <v>10</v>
      </c>
      <c r="H3527" s="7">
        <v>23470</v>
      </c>
      <c r="I3527" s="8" t="str">
        <f ca="1">IFERROR(__xludf.DUMMYFUNCTION("IF
(
G3528=""фізична особа""
,
VLOOKUP(H3528,IMPORTRANGE(""https://docs.google.com/spreadsheets/d/14Bd19lYaqBhU8_DElYkX7l4wRkHqqCUFNJY4AfY3kHU/edit?usp=sharing  #gid=0"",""фіз особи new!relations_name""),6,FALSE)
,
(IF
(
G3528=""юридична особа""
,
VLOOKUP"&amp;"(H3528,IMPORTRANGE(""https://docs.google.com/spreadsheets/d/14Bd19lYaqBhU8_DElYkX7l4wRkHqqCUFNJY4AfY3kHU/edit?usp=sharing  #gid=0"",""фіз особи new!relations_name_uo""),7,FALSE)
,
)
))"),"НОВИЦЬКИЙ Микола Васильович")</f>
        <v>НОВИЦЬКИЙ Микола Васильович</v>
      </c>
      <c r="J3527" s="7" t="s">
        <v>23</v>
      </c>
    </row>
    <row r="3528" spans="1:10" ht="13.2">
      <c r="A3528" s="7">
        <v>3527</v>
      </c>
      <c r="B3528" s="7">
        <v>1</v>
      </c>
      <c r="C3528" s="7" t="s">
        <v>10</v>
      </c>
      <c r="D3528" s="7">
        <v>1820</v>
      </c>
      <c r="E3528" s="7" t="s">
        <v>11</v>
      </c>
      <c r="F3528" s="8" t="str">
        <f ca="1">IFERROR(__xludf.DUMMYFUNCTION("IF
(
C3529=""фізична особа""
,
VLOOKUP(D3529,IMPORTRANGE(""https://docs.google.com/spreadsheets/d/14Bd19lYaqBhU8_DElYkX7l4wRkHqqCUFNJY4AfY3kHU/edit?usp=sharing  #gid=0"",""фіз особи new!relations_name""),6,FALSE)
,
(IF
(
C3529=""юридична особа""
,
VLOOKUP"&amp;"(D3529,IMPORTRANGE(""https://docs.google.com/spreadsheets/d/14Bd19lYaqBhU8_DElYkX7l4wRkHqqCUFNJY4AfY3kHU/edit?usp=sharing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28" s="7" t="s">
        <v>10</v>
      </c>
      <c r="H3528" s="7">
        <v>18011</v>
      </c>
      <c r="I3528" s="8" t="str">
        <f ca="1">IFERROR(__xludf.DUMMYFUNCTION("IF
(
G3529=""фізична особа""
,
VLOOKUP(H3529,IMPORTRANGE(""https://docs.google.com/spreadsheets/d/14Bd19lYaqBhU8_DElYkX7l4wRkHqqCUFNJY4AfY3kHU/edit?usp=sharing  #gid=0"",""фіз особи new!relations_name""),6,FALSE)
,
(IF
(
G3529=""юридична особа""
,
VLOOKUP"&amp;"(H3529,IMPORTRANGE(""https://docs.google.com/spreadsheets/d/14Bd19lYaqBhU8_DElYkX7l4wRkHqqCUFNJY4AfY3kHU/edit?usp=sharing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3528" s="7" t="s">
        <v>11</v>
      </c>
    </row>
    <row r="3529" spans="1:10" ht="13.2">
      <c r="A3529" s="7">
        <v>3528</v>
      </c>
      <c r="B3529" s="7">
        <v>1</v>
      </c>
      <c r="C3529" s="7" t="s">
        <v>10</v>
      </c>
      <c r="D3529" s="7">
        <v>1820</v>
      </c>
      <c r="E3529" s="7" t="s">
        <v>11</v>
      </c>
      <c r="F3529" s="8" t="str">
        <f ca="1">IFERROR(__xludf.DUMMYFUNCTION("IF
(
C3530=""фізична особа""
,
VLOOKUP(D3530,IMPORTRANGE(""https://docs.google.com/spreadsheets/d/14Bd19lYaqBhU8_DElYkX7l4wRkHqqCUFNJY4AfY3kHU/edit?usp=sharing  #gid=0"",""фіз особи new!relations_name""),6,FALSE)
,
(IF
(
C3530=""юридична особа""
,
VLOOKUP"&amp;"(D3530,IMPORTRANGE(""https://docs.google.com/spreadsheets/d/14Bd19lYaqBhU8_DElYkX7l4wRkHqqCUFNJY4AfY3kHU/edit?usp=sharing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29" s="7" t="s">
        <v>10</v>
      </c>
      <c r="H3529" s="7">
        <v>18012</v>
      </c>
      <c r="I3529" s="8" t="str">
        <f ca="1">IFERROR(__xludf.DUMMYFUNCTION("IF
(
G3530=""фізична особа""
,
VLOOKUP(H3530,IMPORTRANGE(""https://docs.google.com/spreadsheets/d/14Bd19lYaqBhU8_DElYkX7l4wRkHqqCUFNJY4AfY3kHU/edit?usp=sharing  #gid=0"",""фіз особи new!relations_name""),6,FALSE)
,
(IF
(
G3530=""юридична особа""
,
VLOOKUP"&amp;"(H3530,IMPORTRANGE(""https://docs.google.com/spreadsheets/d/14Bd19lYaqBhU8_DElYkX7l4wRkHqqCUFNJY4AfY3kHU/edit?usp=sharing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3529" s="7" t="s">
        <v>11</v>
      </c>
    </row>
    <row r="3530" spans="1:10" ht="13.2">
      <c r="A3530" s="7">
        <v>3529</v>
      </c>
      <c r="B3530" s="7">
        <v>1</v>
      </c>
      <c r="C3530" s="7" t="s">
        <v>10</v>
      </c>
      <c r="D3530" s="7">
        <v>1820</v>
      </c>
      <c r="E3530" s="7" t="s">
        <v>11</v>
      </c>
      <c r="F3530" s="8" t="str">
        <f ca="1">IFERROR(__xludf.DUMMYFUNCTION("IF
(
C3531=""фізична особа""
,
VLOOKUP(D3531,IMPORTRANGE(""https://docs.google.com/spreadsheets/d/14Bd19lYaqBhU8_DElYkX7l4wRkHqqCUFNJY4AfY3kHU/edit?usp=sharing  #gid=0"",""фіз особи new!relations_name""),6,FALSE)
,
(IF
(
C3531=""юридична особа""
,
VLOOKUP"&amp;"(D3531,IMPORTRANGE(""https://docs.google.com/spreadsheets/d/14Bd19lYaqBhU8_DElYkX7l4wRkHqqCUFNJY4AfY3kHU/edit?usp=sharing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0" s="7" t="s">
        <v>10</v>
      </c>
      <c r="H3530" s="7">
        <v>163</v>
      </c>
      <c r="I3530" s="8" t="str">
        <f ca="1">IFERROR(__xludf.DUMMYFUNCTION("IF
(
G3531=""фізична особа""
,
VLOOKUP(H3531,IMPORTRANGE(""https://docs.google.com/spreadsheets/d/14Bd19lYaqBhU8_DElYkX7l4wRkHqqCUFNJY4AfY3kHU/edit?usp=sharing  #gid=0"",""фіз особи new!relations_name""),6,FALSE)
,
(IF
(
G3531=""юридична особа""
,
VLOOKUP"&amp;"(H3531,IMPORTRANGE(""https://docs.google.com/spreadsheets/d/14Bd19lYaqBhU8_DElYkX7l4wRkHqqCUFNJY4AfY3kHU/edit?usp=sharing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3530" s="7" t="s">
        <v>11</v>
      </c>
    </row>
    <row r="3531" spans="1:10" ht="13.2">
      <c r="A3531" s="7">
        <v>3530</v>
      </c>
      <c r="B3531" s="7">
        <v>1</v>
      </c>
      <c r="C3531" s="7" t="s">
        <v>10</v>
      </c>
      <c r="D3531" s="7">
        <v>1820</v>
      </c>
      <c r="E3531" s="7" t="s">
        <v>11</v>
      </c>
      <c r="F3531" s="8" t="str">
        <f ca="1">IFERROR(__xludf.DUMMYFUNCTION("IF
(
C3532=""фізична особа""
,
VLOOKUP(D3532,IMPORTRANGE(""https://docs.google.com/spreadsheets/d/14Bd19lYaqBhU8_DElYkX7l4wRkHqqCUFNJY4AfY3kHU/edit?usp=sharing  #gid=0"",""фіз особи new!relations_name""),6,FALSE)
,
(IF
(
C3532=""юридична особа""
,
VLOOKUP"&amp;"(D3532,IMPORTRANGE(""https://docs.google.com/spreadsheets/d/14Bd19lYaqBhU8_DElYkX7l4wRkHqqCUFNJY4AfY3kHU/edit?usp=sharing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1" s="7" t="s">
        <v>10</v>
      </c>
      <c r="H3531" s="7">
        <v>16803</v>
      </c>
      <c r="I3531" s="8" t="str">
        <f ca="1">IFERROR(__xludf.DUMMYFUNCTION("IF
(
G3532=""фізична особа""
,
VLOOKUP(H3532,IMPORTRANGE(""https://docs.google.com/spreadsheets/d/14Bd19lYaqBhU8_DElYkX7l4wRkHqqCUFNJY4AfY3kHU/edit?usp=sharing  #gid=0"",""фіз особи new!relations_name""),6,FALSE)
,
(IF
(
G3532=""юридична особа""
,
VLOOKUP"&amp;"(H3532,IMPORTRANGE(""https://docs.google.com/spreadsheets/d/14Bd19lYaqBhU8_DElYkX7l4wRkHqqCUFNJY4AfY3kHU/edit?usp=sharing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3531" s="7" t="s">
        <v>11</v>
      </c>
    </row>
    <row r="3532" spans="1:10" ht="13.2">
      <c r="A3532" s="7">
        <v>3531</v>
      </c>
      <c r="B3532" s="7">
        <v>1</v>
      </c>
      <c r="C3532" s="7" t="s">
        <v>10</v>
      </c>
      <c r="D3532" s="7">
        <v>1820</v>
      </c>
      <c r="E3532" s="7" t="s">
        <v>11</v>
      </c>
      <c r="F3532" s="8" t="str">
        <f ca="1">IFERROR(__xludf.DUMMYFUNCTION("IF
(
C3533=""фізична особа""
,
VLOOKUP(D3533,IMPORTRANGE(""https://docs.google.com/spreadsheets/d/14Bd19lYaqBhU8_DElYkX7l4wRkHqqCUFNJY4AfY3kHU/edit?usp=sharing  #gid=0"",""фіз особи new!relations_name""),6,FALSE)
,
(IF
(
C3533=""юридична особа""
,
VLOOKUP"&amp;"(D3533,IMPORTRANGE(""https://docs.google.com/spreadsheets/d/14Bd19lYaqBhU8_DElYkX7l4wRkHqqCUFNJY4AfY3kHU/edit?usp=sharing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2" s="7" t="s">
        <v>10</v>
      </c>
      <c r="H3532" s="7">
        <v>18013</v>
      </c>
      <c r="I3532" s="8" t="str">
        <f ca="1">IFERROR(__xludf.DUMMYFUNCTION("IF
(
G3533=""фізична особа""
,
VLOOKUP(H3533,IMPORTRANGE(""https://docs.google.com/spreadsheets/d/14Bd19lYaqBhU8_DElYkX7l4wRkHqqCUFNJY4AfY3kHU/edit?usp=sharing  #gid=0"",""фіз особи new!relations_name""),6,FALSE)
,
(IF
(
G3533=""юридична особа""
,
VLOOKUP"&amp;"(H3533,IMPORTRANGE(""https://docs.google.com/spreadsheets/d/14Bd19lYaqBhU8_DElYkX7l4wRkHqqCUFNJY4AfY3kHU/edit?usp=sharing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3532" s="7" t="s">
        <v>11</v>
      </c>
    </row>
    <row r="3533" spans="1:10" ht="13.2">
      <c r="A3533" s="7">
        <v>3532</v>
      </c>
      <c r="B3533" s="7">
        <v>1</v>
      </c>
      <c r="C3533" s="7" t="s">
        <v>10</v>
      </c>
      <c r="D3533" s="7">
        <v>1820</v>
      </c>
      <c r="E3533" s="7" t="s">
        <v>11</v>
      </c>
      <c r="F3533" s="8" t="str">
        <f ca="1">IFERROR(__xludf.DUMMYFUNCTION("IF
(
C3534=""фізична особа""
,
VLOOKUP(D3534,IMPORTRANGE(""https://docs.google.com/spreadsheets/d/14Bd19lYaqBhU8_DElYkX7l4wRkHqqCUFNJY4AfY3kHU/edit?usp=sharing  #gid=0"",""фіз особи new!relations_name""),6,FALSE)
,
(IF
(
C3534=""юридична особа""
,
VLOOKUP"&amp;"(D3534,IMPORTRANGE(""https://docs.google.com/spreadsheets/d/14Bd19lYaqBhU8_DElYkX7l4wRkHqqCUFNJY4AfY3kHU/edit?usp=sharing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3" s="7" t="s">
        <v>10</v>
      </c>
      <c r="H3533" s="7">
        <v>18014</v>
      </c>
      <c r="I3533" s="8" t="str">
        <f ca="1">IFERROR(__xludf.DUMMYFUNCTION("IF
(
G3534=""фізична особа""
,
VLOOKUP(H3534,IMPORTRANGE(""https://docs.google.com/spreadsheets/d/14Bd19lYaqBhU8_DElYkX7l4wRkHqqCUFNJY4AfY3kHU/edit?usp=sharing  #gid=0"",""фіз особи new!relations_name""),6,FALSE)
,
(IF
(
G3534=""юридична особа""
,
VLOOKUP"&amp;"(H3534,IMPORTRANGE(""https://docs.google.com/spreadsheets/d/14Bd19lYaqBhU8_DElYkX7l4wRkHqqCUFNJY4AfY3kHU/edit?usp=sharing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3533" s="7" t="s">
        <v>11</v>
      </c>
    </row>
    <row r="3534" spans="1:10" ht="13.2">
      <c r="A3534" s="7">
        <v>3533</v>
      </c>
      <c r="B3534" s="7">
        <v>1</v>
      </c>
      <c r="C3534" s="7" t="s">
        <v>10</v>
      </c>
      <c r="D3534" s="7">
        <v>1820</v>
      </c>
      <c r="E3534" s="7" t="s">
        <v>11</v>
      </c>
      <c r="F3534" s="8" t="str">
        <f ca="1">IFERROR(__xludf.DUMMYFUNCTION("IF
(
C3535=""фізична особа""
,
VLOOKUP(D3535,IMPORTRANGE(""https://docs.google.com/spreadsheets/d/14Bd19lYaqBhU8_DElYkX7l4wRkHqqCUFNJY4AfY3kHU/edit?usp=sharing  #gid=0"",""фіз особи new!relations_name""),6,FALSE)
,
(IF
(
C3535=""юридична особа""
,
VLOOKUP"&amp;"(D3535,IMPORTRANGE(""https://docs.google.com/spreadsheets/d/14Bd19lYaqBhU8_DElYkX7l4wRkHqqCUFNJY4AfY3kHU/edit?usp=sharing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4" s="7" t="s">
        <v>10</v>
      </c>
      <c r="H3534" s="7">
        <v>18015</v>
      </c>
      <c r="I3534" s="8" t="str">
        <f ca="1">IFERROR(__xludf.DUMMYFUNCTION("IF
(
G3535=""фізична особа""
,
VLOOKUP(H3535,IMPORTRANGE(""https://docs.google.com/spreadsheets/d/14Bd19lYaqBhU8_DElYkX7l4wRkHqqCUFNJY4AfY3kHU/edit?usp=sharing  #gid=0"",""фіз особи new!relations_name""),6,FALSE)
,
(IF
(
G3535=""юридична особа""
,
VLOOKUP"&amp;"(H3535,IMPORTRANGE(""https://docs.google.com/spreadsheets/d/14Bd19lYaqBhU8_DElYkX7l4wRkHqqCUFNJY4AfY3kHU/edit?usp=sharing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3534" s="7" t="s">
        <v>11</v>
      </c>
    </row>
    <row r="3535" spans="1:10" ht="13.2">
      <c r="A3535" s="7">
        <v>3534</v>
      </c>
      <c r="B3535" s="7">
        <v>1</v>
      </c>
      <c r="C3535" s="7" t="s">
        <v>10</v>
      </c>
      <c r="D3535" s="7">
        <v>1820</v>
      </c>
      <c r="E3535" s="7" t="s">
        <v>11</v>
      </c>
      <c r="F3535" s="8" t="str">
        <f ca="1">IFERROR(__xludf.DUMMYFUNCTION("IF
(
C3536=""фізична особа""
,
VLOOKUP(D3536,IMPORTRANGE(""https://docs.google.com/spreadsheets/d/14Bd19lYaqBhU8_DElYkX7l4wRkHqqCUFNJY4AfY3kHU/edit?usp=sharing  #gid=0"",""фіз особи new!relations_name""),6,FALSE)
,
(IF
(
C3536=""юридична особа""
,
VLOOKUP"&amp;"(D3536,IMPORTRANGE(""https://docs.google.com/spreadsheets/d/14Bd19lYaqBhU8_DElYkX7l4wRkHqqCUFNJY4AfY3kHU/edit?usp=sharing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5" s="7" t="s">
        <v>10</v>
      </c>
      <c r="H3535" s="7">
        <v>16799</v>
      </c>
      <c r="I3535" s="8" t="str">
        <f ca="1">IFERROR(__xludf.DUMMYFUNCTION("IF
(
G3536=""фізична особа""
,
VLOOKUP(H3536,IMPORTRANGE(""https://docs.google.com/spreadsheets/d/14Bd19lYaqBhU8_DElYkX7l4wRkHqqCUFNJY4AfY3kHU/edit?usp=sharing  #gid=0"",""фіз особи new!relations_name""),6,FALSE)
,
(IF
(
G3536=""юридична особа""
,
VLOOKUP"&amp;"(H3536,IMPORTRANGE(""https://docs.google.com/spreadsheets/d/14Bd19lYaqBhU8_DElYkX7l4wRkHqqCUFNJY4AfY3kHU/edit?usp=sharing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3535" s="7" t="s">
        <v>11</v>
      </c>
    </row>
    <row r="3536" spans="1:10" ht="13.2">
      <c r="A3536" s="7">
        <v>3535</v>
      </c>
      <c r="B3536" s="7">
        <v>1</v>
      </c>
      <c r="C3536" s="7" t="s">
        <v>10</v>
      </c>
      <c r="D3536" s="7">
        <v>1820</v>
      </c>
      <c r="E3536" s="7" t="s">
        <v>11</v>
      </c>
      <c r="F3536" s="8" t="str">
        <f ca="1">IFERROR(__xludf.DUMMYFUNCTION("IF
(
C3537=""фізична особа""
,
VLOOKUP(D3537,IMPORTRANGE(""https://docs.google.com/spreadsheets/d/14Bd19lYaqBhU8_DElYkX7l4wRkHqqCUFNJY4AfY3kHU/edit?usp=sharing  #gid=0"",""фіз особи new!relations_name""),6,FALSE)
,
(IF
(
C3537=""юридична особа""
,
VLOOKUP"&amp;"(D3537,IMPORTRANGE(""https://docs.google.com/spreadsheets/d/14Bd19lYaqBhU8_DElYkX7l4wRkHqqCUFNJY4AfY3kHU/edit?usp=sharing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6" s="7" t="s">
        <v>10</v>
      </c>
      <c r="H3536" s="7">
        <v>16800</v>
      </c>
      <c r="I3536" s="8" t="str">
        <f ca="1">IFERROR(__xludf.DUMMYFUNCTION("IF
(
G3537=""фізична особа""
,
VLOOKUP(H3537,IMPORTRANGE(""https://docs.google.com/spreadsheets/d/14Bd19lYaqBhU8_DElYkX7l4wRkHqqCUFNJY4AfY3kHU/edit?usp=sharing  #gid=0"",""фіз особи new!relations_name""),6,FALSE)
,
(IF
(
G3537=""юридична особа""
,
VLOOKUP"&amp;"(H3537,IMPORTRANGE(""https://docs.google.com/spreadsheets/d/14Bd19lYaqBhU8_DElYkX7l4wRkHqqCUFNJY4AfY3kHU/edit?usp=sharing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3536" s="7" t="s">
        <v>11</v>
      </c>
    </row>
    <row r="3537" spans="1:10" ht="13.2">
      <c r="A3537" s="7">
        <v>3536</v>
      </c>
      <c r="B3537" s="7">
        <v>1</v>
      </c>
      <c r="C3537" s="7" t="s">
        <v>10</v>
      </c>
      <c r="D3537" s="7">
        <v>1820</v>
      </c>
      <c r="E3537" s="7" t="s">
        <v>11</v>
      </c>
      <c r="F3537" s="8" t="str">
        <f ca="1">IFERROR(__xludf.DUMMYFUNCTION("IF
(
C3538=""фізична особа""
,
VLOOKUP(D3538,IMPORTRANGE(""https://docs.google.com/spreadsheets/d/14Bd19lYaqBhU8_DElYkX7l4wRkHqqCUFNJY4AfY3kHU/edit?usp=sharing  #gid=0"",""фіз особи new!relations_name""),6,FALSE)
,
(IF
(
C3538=""юридична особа""
,
VLOOKUP"&amp;"(D3538,IMPORTRANGE(""https://docs.google.com/spreadsheets/d/14Bd19lYaqBhU8_DElYkX7l4wRkHqqCUFNJY4AfY3kHU/edit?usp=sharing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7" s="7" t="s">
        <v>10</v>
      </c>
      <c r="H3537" s="7">
        <v>16802</v>
      </c>
      <c r="I3537" s="8" t="str">
        <f ca="1">IFERROR(__xludf.DUMMYFUNCTION("IF
(
G3538=""фізична особа""
,
VLOOKUP(H3538,IMPORTRANGE(""https://docs.google.com/spreadsheets/d/14Bd19lYaqBhU8_DElYkX7l4wRkHqqCUFNJY4AfY3kHU/edit?usp=sharing  #gid=0"",""фіз особи new!relations_name""),6,FALSE)
,
(IF
(
G3538=""юридична особа""
,
VLOOKUP"&amp;"(H3538,IMPORTRANGE(""https://docs.google.com/spreadsheets/d/14Bd19lYaqBhU8_DElYkX7l4wRkHqqCUFNJY4AfY3kHU/edit?usp=sharing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3537" s="7" t="s">
        <v>11</v>
      </c>
    </row>
    <row r="3538" spans="1:10" ht="13.2">
      <c r="A3538" s="7">
        <v>3537</v>
      </c>
      <c r="B3538" s="7">
        <v>1</v>
      </c>
      <c r="C3538" s="7" t="s">
        <v>10</v>
      </c>
      <c r="D3538" s="7">
        <v>1820</v>
      </c>
      <c r="E3538" s="7" t="s">
        <v>11</v>
      </c>
      <c r="F3538" s="8" t="str">
        <f ca="1">IFERROR(__xludf.DUMMYFUNCTION("IF
(
C3539=""фізична особа""
,
VLOOKUP(D3539,IMPORTRANGE(""https://docs.google.com/spreadsheets/d/14Bd19lYaqBhU8_DElYkX7l4wRkHqqCUFNJY4AfY3kHU/edit?usp=sharing  #gid=0"",""фіз особи new!relations_name""),6,FALSE)
,
(IF
(
C3539=""юридична особа""
,
VLOOKUP"&amp;"(D3539,IMPORTRANGE(""https://docs.google.com/spreadsheets/d/14Bd19lYaqBhU8_DElYkX7l4wRkHqqCUFNJY4AfY3kHU/edit?usp=sharing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8" s="7" t="s">
        <v>10</v>
      </c>
      <c r="H3538" s="7">
        <v>16805</v>
      </c>
      <c r="I3538" s="8" t="str">
        <f ca="1">IFERROR(__xludf.DUMMYFUNCTION("IF
(
G3539=""фізична особа""
,
VLOOKUP(H3539,IMPORTRANGE(""https://docs.google.com/spreadsheets/d/14Bd19lYaqBhU8_DElYkX7l4wRkHqqCUFNJY4AfY3kHU/edit?usp=sharing  #gid=0"",""фіз особи new!relations_name""),6,FALSE)
,
(IF
(
G3539=""юридична особа""
,
VLOOKUP"&amp;"(H3539,IMPORTRANGE(""https://docs.google.com/spreadsheets/d/14Bd19lYaqBhU8_DElYkX7l4wRkHqqCUFNJY4AfY3kHU/edit?usp=sharing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3538" s="7" t="s">
        <v>11</v>
      </c>
    </row>
    <row r="3539" spans="1:10" ht="13.2">
      <c r="A3539" s="7">
        <v>3538</v>
      </c>
      <c r="B3539" s="7">
        <v>1</v>
      </c>
      <c r="C3539" s="7" t="s">
        <v>10</v>
      </c>
      <c r="D3539" s="7">
        <v>1820</v>
      </c>
      <c r="E3539" s="7" t="s">
        <v>11</v>
      </c>
      <c r="F3539" s="8" t="str">
        <f ca="1">IFERROR(__xludf.DUMMYFUNCTION("IF
(
C3540=""фізична особа""
,
VLOOKUP(D3540,IMPORTRANGE(""https://docs.google.com/spreadsheets/d/14Bd19lYaqBhU8_DElYkX7l4wRkHqqCUFNJY4AfY3kHU/edit?usp=sharing  #gid=0"",""фіз особи new!relations_name""),6,FALSE)
,
(IF
(
C3540=""юридична особа""
,
VLOOKUP"&amp;"(D3540,IMPORTRANGE(""https://docs.google.com/spreadsheets/d/14Bd19lYaqBhU8_DElYkX7l4wRkHqqCUFNJY4AfY3kHU/edit?usp=sharing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G3539" s="7" t="s">
        <v>10</v>
      </c>
      <c r="H3539" s="7">
        <v>18017</v>
      </c>
      <c r="I3539" s="8" t="str">
        <f ca="1">IFERROR(__xludf.DUMMYFUNCTION("IF
(
G3540=""фізична особа""
,
VLOOKUP(H3540,IMPORTRANGE(""https://docs.google.com/spreadsheets/d/14Bd19lYaqBhU8_DElYkX7l4wRkHqqCUFNJY4AfY3kHU/edit?usp=sharing  #gid=0"",""фіз особи new!relations_name""),6,FALSE)
,
(IF
(
G3540=""юридична особа""
,
VLOOKUP"&amp;"(H3540,IMPORTRANGE(""https://docs.google.com/spreadsheets/d/14Bd19lYaqBhU8_DElYkX7l4wRkHqqCUFNJY4AfY3kHU/edit?usp=sharing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3539" s="7" t="s">
        <v>11</v>
      </c>
    </row>
    <row r="3540" spans="1:10" ht="13.2">
      <c r="A3540" s="7">
        <v>3539</v>
      </c>
      <c r="B3540" s="7">
        <v>1</v>
      </c>
      <c r="C3540" s="7" t="s">
        <v>10</v>
      </c>
      <c r="D3540" s="7">
        <v>1830</v>
      </c>
      <c r="E3540" s="7" t="s">
        <v>11</v>
      </c>
      <c r="F3540" s="8" t="str">
        <f ca="1">IFERROR(__xludf.DUMMYFUNCTION("IF
(
C3541=""фізична особа""
,
VLOOKUP(D3541,IMPORTRANGE(""https://docs.google.com/spreadsheets/d/14Bd19lYaqBhU8_DElYkX7l4wRkHqqCUFNJY4AfY3kHU/edit?usp=sharing  #gid=0"",""фіз особи new!relations_name""),6,FALSE)
,
(IF
(
C3541=""юридична особа""
,
VLOOKUP"&amp;"(D3541,IMPORTRANGE(""https://docs.google.com/spreadsheets/d/14Bd19lYaqBhU8_DElYkX7l4wRkHqqCUFNJY4AfY3kHU/edit?usp=sharing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0" s="7" t="s">
        <v>10</v>
      </c>
      <c r="H3540" s="7">
        <v>16156</v>
      </c>
      <c r="I3540" s="8" t="str">
        <f ca="1">IFERROR(__xludf.DUMMYFUNCTION("IF
(
G3541=""фізична особа""
,
VLOOKUP(H3541,IMPORTRANGE(""https://docs.google.com/spreadsheets/d/14Bd19lYaqBhU8_DElYkX7l4wRkHqqCUFNJY4AfY3kHU/edit?usp=sharing  #gid=0"",""фіз особи new!relations_name""),6,FALSE)
,
(IF
(
G3541=""юридична особа""
,
VLOOKUP"&amp;"(H3541,IMPORTRANGE(""https://docs.google.com/spreadsheets/d/14Bd19lYaqBhU8_DElYkX7l4wRkHqqCUFNJY4AfY3kHU/edit?usp=sharing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3540" s="7" t="s">
        <v>11</v>
      </c>
    </row>
    <row r="3541" spans="1:10" ht="13.2">
      <c r="A3541" s="7">
        <v>3540</v>
      </c>
      <c r="B3541" s="7">
        <v>1</v>
      </c>
      <c r="C3541" s="7" t="s">
        <v>10</v>
      </c>
      <c r="D3541" s="7">
        <v>1830</v>
      </c>
      <c r="E3541" s="7" t="s">
        <v>11</v>
      </c>
      <c r="F3541" s="8" t="str">
        <f ca="1">IFERROR(__xludf.DUMMYFUNCTION("IF
(
C3542=""фізична особа""
,
VLOOKUP(D3542,IMPORTRANGE(""https://docs.google.com/spreadsheets/d/14Bd19lYaqBhU8_DElYkX7l4wRkHqqCUFNJY4AfY3kHU/edit?usp=sharing  #gid=0"",""фіз особи new!relations_name""),6,FALSE)
,
(IF
(
C3542=""юридична особа""
,
VLOOKUP"&amp;"(D3542,IMPORTRANGE(""https://docs.google.com/spreadsheets/d/14Bd19lYaqBhU8_DElYkX7l4wRkHqqCUFNJY4AfY3kHU/edit?usp=sharing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1" s="7" t="s">
        <v>10</v>
      </c>
      <c r="H3541" s="7">
        <v>2513</v>
      </c>
      <c r="I3541" s="8" t="str">
        <f ca="1">IFERROR(__xludf.DUMMYFUNCTION("IF
(
G3542=""фізична особа""
,
VLOOKUP(H3542,IMPORTRANGE(""https://docs.google.com/spreadsheets/d/14Bd19lYaqBhU8_DElYkX7l4wRkHqqCUFNJY4AfY3kHU/edit?usp=sharing  #gid=0"",""фіз особи new!relations_name""),6,FALSE)
,
(IF
(
G3542=""юридична особа""
,
VLOOKUP"&amp;"(H3542,IMPORTRANGE(""https://docs.google.com/spreadsheets/d/14Bd19lYaqBhU8_DElYkX7l4wRkHqqCUFNJY4AfY3kHU/edit?usp=sharing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3541" s="7" t="s">
        <v>11</v>
      </c>
    </row>
    <row r="3542" spans="1:10" ht="13.2">
      <c r="A3542" s="7">
        <v>3541</v>
      </c>
      <c r="B3542" s="7">
        <v>1</v>
      </c>
      <c r="C3542" s="7" t="s">
        <v>10</v>
      </c>
      <c r="D3542" s="7">
        <v>1830</v>
      </c>
      <c r="E3542" s="7" t="s">
        <v>11</v>
      </c>
      <c r="F3542" s="8" t="str">
        <f ca="1">IFERROR(__xludf.DUMMYFUNCTION("IF
(
C3543=""фізична особа""
,
VLOOKUP(D3543,IMPORTRANGE(""https://docs.google.com/spreadsheets/d/14Bd19lYaqBhU8_DElYkX7l4wRkHqqCUFNJY4AfY3kHU/edit?usp=sharing  #gid=0"",""фіз особи new!relations_name""),6,FALSE)
,
(IF
(
C3543=""юридична особа""
,
VLOOKUP"&amp;"(D3543,IMPORTRANGE(""https://docs.google.com/spreadsheets/d/14Bd19lYaqBhU8_DElYkX7l4wRkHqqCUFNJY4AfY3kHU/edit?usp=sharing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2" s="7" t="s">
        <v>10</v>
      </c>
      <c r="H3542" s="7">
        <v>18018</v>
      </c>
      <c r="I3542" s="8" t="str">
        <f ca="1">IFERROR(__xludf.DUMMYFUNCTION("IF
(
G3543=""фізична особа""
,
VLOOKUP(H3543,IMPORTRANGE(""https://docs.google.com/spreadsheets/d/14Bd19lYaqBhU8_DElYkX7l4wRkHqqCUFNJY4AfY3kHU/edit?usp=sharing  #gid=0"",""фіз особи new!relations_name""),6,FALSE)
,
(IF
(
G3543=""юридична особа""
,
VLOOKUP"&amp;"(H3543,IMPORTRANGE(""https://docs.google.com/spreadsheets/d/14Bd19lYaqBhU8_DElYkX7l4wRkHqqCUFNJY4AfY3kHU/edit?usp=sharing  #gid=0"",""фіз особи new!relations_name_uo""),7,FALSE)
,
)
))"),"ГЕРЕЧ Ласло")</f>
        <v>ГЕРЕЧ Ласло</v>
      </c>
      <c r="J3542" s="7" t="s">
        <v>11</v>
      </c>
    </row>
    <row r="3543" spans="1:10" ht="13.2">
      <c r="A3543" s="7">
        <v>3542</v>
      </c>
      <c r="B3543" s="7">
        <v>1</v>
      </c>
      <c r="C3543" s="7" t="s">
        <v>10</v>
      </c>
      <c r="D3543" s="7">
        <v>1830</v>
      </c>
      <c r="E3543" s="7" t="s">
        <v>11</v>
      </c>
      <c r="F3543" s="8" t="str">
        <f ca="1">IFERROR(__xludf.DUMMYFUNCTION("IF
(
C3544=""фізична особа""
,
VLOOKUP(D3544,IMPORTRANGE(""https://docs.google.com/spreadsheets/d/14Bd19lYaqBhU8_DElYkX7l4wRkHqqCUFNJY4AfY3kHU/edit?usp=sharing  #gid=0"",""фіз особи new!relations_name""),6,FALSE)
,
(IF
(
C3544=""юридична особа""
,
VLOOKUP"&amp;"(D3544,IMPORTRANGE(""https://docs.google.com/spreadsheets/d/14Bd19lYaqBhU8_DElYkX7l4wRkHqqCUFNJY4AfY3kHU/edit?usp=sharing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3" s="7" t="s">
        <v>10</v>
      </c>
      <c r="H3543" s="7">
        <v>18020</v>
      </c>
      <c r="I3543" s="8" t="str">
        <f ca="1">IFERROR(__xludf.DUMMYFUNCTION("IF
(
G3544=""фізична особа""
,
VLOOKUP(H3544,IMPORTRANGE(""https://docs.google.com/spreadsheets/d/14Bd19lYaqBhU8_DElYkX7l4wRkHqqCUFNJY4AfY3kHU/edit?usp=sharing  #gid=0"",""фіз особи new!relations_name""),6,FALSE)
,
(IF
(
G3544=""юридична особа""
,
VLOOKUP"&amp;"(H3544,IMPORTRANGE(""https://docs.google.com/spreadsheets/d/14Bd19lYaqBhU8_DElYkX7l4wRkHqqCUFNJY4AfY3kHU/edit?usp=sharing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3543" s="7" t="s">
        <v>11</v>
      </c>
    </row>
    <row r="3544" spans="1:10" ht="13.2">
      <c r="A3544" s="7">
        <v>3543</v>
      </c>
      <c r="B3544" s="7">
        <v>1</v>
      </c>
      <c r="C3544" s="7" t="s">
        <v>10</v>
      </c>
      <c r="D3544" s="7">
        <v>1830</v>
      </c>
      <c r="E3544" s="7" t="s">
        <v>11</v>
      </c>
      <c r="F3544" s="8" t="str">
        <f ca="1">IFERROR(__xludf.DUMMYFUNCTION("IF
(
C3545=""фізична особа""
,
VLOOKUP(D3545,IMPORTRANGE(""https://docs.google.com/spreadsheets/d/14Bd19lYaqBhU8_DElYkX7l4wRkHqqCUFNJY4AfY3kHU/edit?usp=sharing  #gid=0"",""фіз особи new!relations_name""),6,FALSE)
,
(IF
(
C3545=""юридична особа""
,
VLOOKUP"&amp;"(D3545,IMPORTRANGE(""https://docs.google.com/spreadsheets/d/14Bd19lYaqBhU8_DElYkX7l4wRkHqqCUFNJY4AfY3kHU/edit?usp=sharing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4" s="7" t="s">
        <v>10</v>
      </c>
      <c r="H3544" s="7">
        <v>16024</v>
      </c>
      <c r="I3544" s="8" t="str">
        <f ca="1">IFERROR(__xludf.DUMMYFUNCTION("IF
(
G3545=""фізична особа""
,
VLOOKUP(H3545,IMPORTRANGE(""https://docs.google.com/spreadsheets/d/14Bd19lYaqBhU8_DElYkX7l4wRkHqqCUFNJY4AfY3kHU/edit?usp=sharing  #gid=0"",""фіз особи new!relations_name""),6,FALSE)
,
(IF
(
G3545=""юридична особа""
,
VLOOKUP"&amp;"(H3545,IMPORTRANGE(""https://docs.google.com/spreadsheets/d/14Bd19lYaqBhU8_DElYkX7l4wRkHqqCUFNJY4AfY3kHU/edit?usp=sharing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3544" s="7" t="s">
        <v>11</v>
      </c>
    </row>
    <row r="3545" spans="1:10" ht="13.2">
      <c r="A3545" s="7">
        <v>3544</v>
      </c>
      <c r="B3545" s="7">
        <v>1</v>
      </c>
      <c r="C3545" s="7" t="s">
        <v>10</v>
      </c>
      <c r="D3545" s="7">
        <v>1830</v>
      </c>
      <c r="E3545" s="7" t="s">
        <v>11</v>
      </c>
      <c r="F3545" s="8" t="str">
        <f ca="1">IFERROR(__xludf.DUMMYFUNCTION("IF
(
C3546=""фізична особа""
,
VLOOKUP(D3546,IMPORTRANGE(""https://docs.google.com/spreadsheets/d/14Bd19lYaqBhU8_DElYkX7l4wRkHqqCUFNJY4AfY3kHU/edit?usp=sharing  #gid=0"",""фіз особи new!relations_name""),6,FALSE)
,
(IF
(
C3546=""юридична особа""
,
VLOOKUP"&amp;"(D3546,IMPORTRANGE(""https://docs.google.com/spreadsheets/d/14Bd19lYaqBhU8_DElYkX7l4wRkHqqCUFNJY4AfY3kHU/edit?usp=sharing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5" s="7" t="s">
        <v>10</v>
      </c>
      <c r="H3545" s="7">
        <v>1842</v>
      </c>
      <c r="I3545" s="8" t="str">
        <f ca="1">IFERROR(__xludf.DUMMYFUNCTION("IF
(
G3546=""фізична особа""
,
VLOOKUP(H3546,IMPORTRANGE(""https://docs.google.com/spreadsheets/d/14Bd19lYaqBhU8_DElYkX7l4wRkHqqCUFNJY4AfY3kHU/edit?usp=sharing  #gid=0"",""фіз особи new!relations_name""),6,FALSE)
,
(IF
(
G3546=""юридична особа""
,
VLOOKUP"&amp;"(H3546,IMPORTRANGE(""https://docs.google.com/spreadsheets/d/14Bd19lYaqBhU8_DElYkX7l4wRkHqqCUFNJY4AfY3kHU/edit?usp=sharing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3545" s="7" t="s">
        <v>11</v>
      </c>
    </row>
    <row r="3546" spans="1:10" ht="13.2">
      <c r="A3546" s="7">
        <v>3545</v>
      </c>
      <c r="B3546" s="7">
        <v>1</v>
      </c>
      <c r="C3546" s="7" t="s">
        <v>10</v>
      </c>
      <c r="D3546" s="7">
        <v>1830</v>
      </c>
      <c r="E3546" s="7" t="s">
        <v>11</v>
      </c>
      <c r="F3546" s="8" t="str">
        <f ca="1">IFERROR(__xludf.DUMMYFUNCTION("IF
(
C3547=""фізична особа""
,
VLOOKUP(D3547,IMPORTRANGE(""https://docs.google.com/spreadsheets/d/14Bd19lYaqBhU8_DElYkX7l4wRkHqqCUFNJY4AfY3kHU/edit?usp=sharing  #gid=0"",""фіз особи new!relations_name""),6,FALSE)
,
(IF
(
C3547=""юридична особа""
,
VLOOKUP"&amp;"(D3547,IMPORTRANGE(""https://docs.google.com/spreadsheets/d/14Bd19lYaqBhU8_DElYkX7l4wRkHqqCUFNJY4AfY3kHU/edit?usp=sharing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6" s="7" t="s">
        <v>10</v>
      </c>
      <c r="H3546" s="7">
        <v>18021</v>
      </c>
      <c r="I3546" s="8" t="str">
        <f ca="1">IFERROR(__xludf.DUMMYFUNCTION("IF
(
G3547=""фізична особа""
,
VLOOKUP(H3547,IMPORTRANGE(""https://docs.google.com/spreadsheets/d/14Bd19lYaqBhU8_DElYkX7l4wRkHqqCUFNJY4AfY3kHU/edit?usp=sharing  #gid=0"",""фіз особи new!relations_name""),6,FALSE)
,
(IF
(
G3547=""юридична особа""
,
VLOOKUP"&amp;"(H3547,IMPORTRANGE(""https://docs.google.com/spreadsheets/d/14Bd19lYaqBhU8_DElYkX7l4wRkHqqCUFNJY4AfY3kHU/edit?usp=sharing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3546" s="7" t="s">
        <v>11</v>
      </c>
    </row>
    <row r="3547" spans="1:10" ht="13.2">
      <c r="A3547" s="7">
        <v>3546</v>
      </c>
      <c r="B3547" s="7">
        <v>1</v>
      </c>
      <c r="C3547" s="7" t="s">
        <v>10</v>
      </c>
      <c r="D3547" s="7">
        <v>1830</v>
      </c>
      <c r="E3547" s="7" t="s">
        <v>11</v>
      </c>
      <c r="F3547" s="8" t="str">
        <f ca="1">IFERROR(__xludf.DUMMYFUNCTION("IF
(
C3548=""фізична особа""
,
VLOOKUP(D3548,IMPORTRANGE(""https://docs.google.com/spreadsheets/d/14Bd19lYaqBhU8_DElYkX7l4wRkHqqCUFNJY4AfY3kHU/edit?usp=sharing  #gid=0"",""фіз особи new!relations_name""),6,FALSE)
,
(IF
(
C3548=""юридична особа""
,
VLOOKUP"&amp;"(D3548,IMPORTRANGE(""https://docs.google.com/spreadsheets/d/14Bd19lYaqBhU8_DElYkX7l4wRkHqqCUFNJY4AfY3kHU/edit?usp=sharing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7" s="7" t="s">
        <v>10</v>
      </c>
      <c r="H3547" s="7">
        <v>18023</v>
      </c>
      <c r="I3547" s="8" t="str">
        <f ca="1">IFERROR(__xludf.DUMMYFUNCTION("IF
(
G3548=""фізична особа""
,
VLOOKUP(H3548,IMPORTRANGE(""https://docs.google.com/spreadsheets/d/14Bd19lYaqBhU8_DElYkX7l4wRkHqqCUFNJY4AfY3kHU/edit?usp=sharing  #gid=0"",""фіз особи new!relations_name""),6,FALSE)
,
(IF
(
G3548=""юридична особа""
,
VLOOKUP"&amp;"(H3548,IMPORTRANGE(""https://docs.google.com/spreadsheets/d/14Bd19lYaqBhU8_DElYkX7l4wRkHqqCUFNJY4AfY3kHU/edit?usp=sharing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3547" s="7" t="s">
        <v>11</v>
      </c>
    </row>
    <row r="3548" spans="1:10" ht="13.2">
      <c r="A3548" s="7">
        <v>3547</v>
      </c>
      <c r="B3548" s="7">
        <v>1</v>
      </c>
      <c r="C3548" s="7" t="s">
        <v>10</v>
      </c>
      <c r="D3548" s="7">
        <v>1830</v>
      </c>
      <c r="E3548" s="7" t="s">
        <v>11</v>
      </c>
      <c r="F3548" s="8" t="str">
        <f ca="1">IFERROR(__xludf.DUMMYFUNCTION("IF
(
C3549=""фізична особа""
,
VLOOKUP(D3549,IMPORTRANGE(""https://docs.google.com/spreadsheets/d/14Bd19lYaqBhU8_DElYkX7l4wRkHqqCUFNJY4AfY3kHU/edit?usp=sharing  #gid=0"",""фіз особи new!relations_name""),6,FALSE)
,
(IF
(
C3549=""юридична особа""
,
VLOOKUP"&amp;"(D3549,IMPORTRANGE(""https://docs.google.com/spreadsheets/d/14Bd19lYaqBhU8_DElYkX7l4wRkHqqCUFNJY4AfY3kHU/edit?usp=sharing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G3548" s="7" t="s">
        <v>10</v>
      </c>
      <c r="H3548" s="7">
        <v>18024</v>
      </c>
      <c r="I3548" s="8" t="str">
        <f ca="1">IFERROR(__xludf.DUMMYFUNCTION("IF
(
G3549=""фізична особа""
,
VLOOKUP(H3549,IMPORTRANGE(""https://docs.google.com/spreadsheets/d/14Bd19lYaqBhU8_DElYkX7l4wRkHqqCUFNJY4AfY3kHU/edit?usp=sharing  #gid=0"",""фіз особи new!relations_name""),6,FALSE)
,
(IF
(
G3549=""юридична особа""
,
VLOOKUP"&amp;"(H3549,IMPORTRANGE(""https://docs.google.com/spreadsheets/d/14Bd19lYaqBhU8_DElYkX7l4wRkHqqCUFNJY4AfY3kHU/edit?usp=sharing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3548" s="7" t="s">
        <v>11</v>
      </c>
    </row>
    <row r="3549" spans="1:10" ht="13.2">
      <c r="A3549" s="7">
        <v>3548</v>
      </c>
      <c r="B3549" s="7">
        <v>1</v>
      </c>
      <c r="C3549" s="7" t="s">
        <v>10</v>
      </c>
      <c r="D3549" s="7">
        <v>1842</v>
      </c>
      <c r="E3549" s="7" t="s">
        <v>11</v>
      </c>
      <c r="F3549" s="8" t="str">
        <f ca="1">IFERROR(__xludf.DUMMYFUNCTION("IF
(
C3550=""фізична особа""
,
VLOOKUP(D3550,IMPORTRANGE(""https://docs.google.com/spreadsheets/d/14Bd19lYaqBhU8_DElYkX7l4wRkHqqCUFNJY4AfY3kHU/edit?usp=sharing  #gid=0"",""фіз особи new!relations_name""),6,FALSE)
,
(IF
(
C3550=""юридична особа""
,
VLOOKUP"&amp;"(D3550,IMPORTRANGE(""https://docs.google.com/spreadsheets/d/14Bd19lYaqBhU8_DElYkX7l4wRkHqqCUFNJY4AfY3kHU/edit?usp=sharing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49" s="7" t="s">
        <v>10</v>
      </c>
      <c r="H3549" s="7">
        <v>16156</v>
      </c>
      <c r="I3549" s="8" t="str">
        <f ca="1">IFERROR(__xludf.DUMMYFUNCTION("IF
(
G3550=""фізична особа""
,
VLOOKUP(H3550,IMPORTRANGE(""https://docs.google.com/spreadsheets/d/14Bd19lYaqBhU8_DElYkX7l4wRkHqqCUFNJY4AfY3kHU/edit?usp=sharing  #gid=0"",""фіз особи new!relations_name""),6,FALSE)
,
(IF
(
G3550=""юридична особа""
,
VLOOKUP"&amp;"(H3550,IMPORTRANGE(""https://docs.google.com/spreadsheets/d/14Bd19lYaqBhU8_DElYkX7l4wRkHqqCUFNJY4AfY3kHU/edit?usp=sharing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3549" s="7" t="s">
        <v>11</v>
      </c>
    </row>
    <row r="3550" spans="1:10" ht="13.2">
      <c r="A3550" s="7">
        <v>3549</v>
      </c>
      <c r="B3550" s="7">
        <v>1</v>
      </c>
      <c r="C3550" s="7" t="s">
        <v>10</v>
      </c>
      <c r="D3550" s="7">
        <v>1842</v>
      </c>
      <c r="E3550" s="7" t="s">
        <v>11</v>
      </c>
      <c r="F3550" s="8" t="str">
        <f ca="1">IFERROR(__xludf.DUMMYFUNCTION("IF
(
C3551=""фізична особа""
,
VLOOKUP(D3551,IMPORTRANGE(""https://docs.google.com/spreadsheets/d/14Bd19lYaqBhU8_DElYkX7l4wRkHqqCUFNJY4AfY3kHU/edit?usp=sharing  #gid=0"",""фіз особи new!relations_name""),6,FALSE)
,
(IF
(
C3551=""юридична особа""
,
VLOOKUP"&amp;"(D3551,IMPORTRANGE(""https://docs.google.com/spreadsheets/d/14Bd19lYaqBhU8_DElYkX7l4wRkHqqCUFNJY4AfY3kHU/edit?usp=sharing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0" s="7" t="s">
        <v>10</v>
      </c>
      <c r="H3550" s="7">
        <v>2513</v>
      </c>
      <c r="I3550" s="8" t="str">
        <f ca="1">IFERROR(__xludf.DUMMYFUNCTION("IF
(
G3551=""фізична особа""
,
VLOOKUP(H3551,IMPORTRANGE(""https://docs.google.com/spreadsheets/d/14Bd19lYaqBhU8_DElYkX7l4wRkHqqCUFNJY4AfY3kHU/edit?usp=sharing  #gid=0"",""фіз особи new!relations_name""),6,FALSE)
,
(IF
(
G3551=""юридична особа""
,
VLOOKUP"&amp;"(H3551,IMPORTRANGE(""https://docs.google.com/spreadsheets/d/14Bd19lYaqBhU8_DElYkX7l4wRkHqqCUFNJY4AfY3kHU/edit?usp=sharing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3550" s="7" t="s">
        <v>11</v>
      </c>
    </row>
    <row r="3551" spans="1:10" ht="13.2">
      <c r="A3551" s="7">
        <v>3550</v>
      </c>
      <c r="B3551" s="7">
        <v>1</v>
      </c>
      <c r="C3551" s="7" t="s">
        <v>10</v>
      </c>
      <c r="D3551" s="7">
        <v>1842</v>
      </c>
      <c r="E3551" s="7" t="s">
        <v>11</v>
      </c>
      <c r="F3551" s="8" t="str">
        <f ca="1">IFERROR(__xludf.DUMMYFUNCTION("IF
(
C3552=""фізична особа""
,
VLOOKUP(D3552,IMPORTRANGE(""https://docs.google.com/spreadsheets/d/14Bd19lYaqBhU8_DElYkX7l4wRkHqqCUFNJY4AfY3kHU/edit?usp=sharing  #gid=0"",""фіз особи new!relations_name""),6,FALSE)
,
(IF
(
C3552=""юридична особа""
,
VLOOKUP"&amp;"(D3552,IMPORTRANGE(""https://docs.google.com/spreadsheets/d/14Bd19lYaqBhU8_DElYkX7l4wRkHqqCUFNJY4AfY3kHU/edit?usp=sharing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1" s="7" t="s">
        <v>10</v>
      </c>
      <c r="H3551" s="7">
        <v>18018</v>
      </c>
      <c r="I3551" s="8" t="str">
        <f ca="1">IFERROR(__xludf.DUMMYFUNCTION("IF
(
G3552=""фізична особа""
,
VLOOKUP(H3552,IMPORTRANGE(""https://docs.google.com/spreadsheets/d/14Bd19lYaqBhU8_DElYkX7l4wRkHqqCUFNJY4AfY3kHU/edit?usp=sharing  #gid=0"",""фіз особи new!relations_name""),6,FALSE)
,
(IF
(
G3552=""юридична особа""
,
VLOOKUP"&amp;"(H3552,IMPORTRANGE(""https://docs.google.com/spreadsheets/d/14Bd19lYaqBhU8_DElYkX7l4wRkHqqCUFNJY4AfY3kHU/edit?usp=sharing  #gid=0"",""фіз особи new!relations_name_uo""),7,FALSE)
,
)
))"),"ГЕРЕЧ Ласло")</f>
        <v>ГЕРЕЧ Ласло</v>
      </c>
      <c r="J3551" s="7" t="s">
        <v>11</v>
      </c>
    </row>
    <row r="3552" spans="1:10" ht="13.2">
      <c r="A3552" s="7">
        <v>3551</v>
      </c>
      <c r="B3552" s="7">
        <v>1</v>
      </c>
      <c r="C3552" s="7" t="s">
        <v>10</v>
      </c>
      <c r="D3552" s="7">
        <v>1842</v>
      </c>
      <c r="E3552" s="7" t="s">
        <v>11</v>
      </c>
      <c r="F3552" s="8" t="str">
        <f ca="1">IFERROR(__xludf.DUMMYFUNCTION("IF
(
C3553=""фізична особа""
,
VLOOKUP(D3553,IMPORTRANGE(""https://docs.google.com/spreadsheets/d/14Bd19lYaqBhU8_DElYkX7l4wRkHqqCUFNJY4AfY3kHU/edit?usp=sharing  #gid=0"",""фіз особи new!relations_name""),6,FALSE)
,
(IF
(
C3553=""юридична особа""
,
VLOOKUP"&amp;"(D3553,IMPORTRANGE(""https://docs.google.com/spreadsheets/d/14Bd19lYaqBhU8_DElYkX7l4wRkHqqCUFNJY4AfY3kHU/edit?usp=sharing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2" s="7" t="s">
        <v>10</v>
      </c>
      <c r="H3552" s="7">
        <v>18020</v>
      </c>
      <c r="I3552" s="8" t="str">
        <f ca="1">IFERROR(__xludf.DUMMYFUNCTION("IF
(
G3553=""фізична особа""
,
VLOOKUP(H3553,IMPORTRANGE(""https://docs.google.com/spreadsheets/d/14Bd19lYaqBhU8_DElYkX7l4wRkHqqCUFNJY4AfY3kHU/edit?usp=sharing  #gid=0"",""фіз особи new!relations_name""),6,FALSE)
,
(IF
(
G3553=""юридична особа""
,
VLOOKUP"&amp;"(H3553,IMPORTRANGE(""https://docs.google.com/spreadsheets/d/14Bd19lYaqBhU8_DElYkX7l4wRkHqqCUFNJY4AfY3kHU/edit?usp=sharing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3552" s="7" t="s">
        <v>11</v>
      </c>
    </row>
    <row r="3553" spans="1:10" ht="13.2">
      <c r="A3553" s="7">
        <v>3552</v>
      </c>
      <c r="B3553" s="7">
        <v>1</v>
      </c>
      <c r="C3553" s="7" t="s">
        <v>10</v>
      </c>
      <c r="D3553" s="7">
        <v>1842</v>
      </c>
      <c r="E3553" s="7" t="s">
        <v>11</v>
      </c>
      <c r="F3553" s="8" t="str">
        <f ca="1">IFERROR(__xludf.DUMMYFUNCTION("IF
(
C3554=""фізична особа""
,
VLOOKUP(D3554,IMPORTRANGE(""https://docs.google.com/spreadsheets/d/14Bd19lYaqBhU8_DElYkX7l4wRkHqqCUFNJY4AfY3kHU/edit?usp=sharing  #gid=0"",""фіз особи new!relations_name""),6,FALSE)
,
(IF
(
C3554=""юридична особа""
,
VLOOKUP"&amp;"(D3554,IMPORTRANGE(""https://docs.google.com/spreadsheets/d/14Bd19lYaqBhU8_DElYkX7l4wRkHqqCUFNJY4AfY3kHU/edit?usp=sharing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3" s="7" t="s">
        <v>10</v>
      </c>
      <c r="H3553" s="7">
        <v>16024</v>
      </c>
      <c r="I3553" s="8" t="str">
        <f ca="1">IFERROR(__xludf.DUMMYFUNCTION("IF
(
G3554=""фізична особа""
,
VLOOKUP(H3554,IMPORTRANGE(""https://docs.google.com/spreadsheets/d/14Bd19lYaqBhU8_DElYkX7l4wRkHqqCUFNJY4AfY3kHU/edit?usp=sharing  #gid=0"",""фіз особи new!relations_name""),6,FALSE)
,
(IF
(
G3554=""юридична особа""
,
VLOOKUP"&amp;"(H3554,IMPORTRANGE(""https://docs.google.com/spreadsheets/d/14Bd19lYaqBhU8_DElYkX7l4wRkHqqCUFNJY4AfY3kHU/edit?usp=sharing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3553" s="7" t="s">
        <v>11</v>
      </c>
    </row>
    <row r="3554" spans="1:10" ht="13.2">
      <c r="A3554" s="7">
        <v>3553</v>
      </c>
      <c r="B3554" s="7">
        <v>1</v>
      </c>
      <c r="C3554" s="7" t="s">
        <v>10</v>
      </c>
      <c r="D3554" s="7">
        <v>1842</v>
      </c>
      <c r="E3554" s="7" t="s">
        <v>11</v>
      </c>
      <c r="F3554" s="8" t="str">
        <f ca="1">IFERROR(__xludf.DUMMYFUNCTION("IF
(
C3555=""фізична особа""
,
VLOOKUP(D3555,IMPORTRANGE(""https://docs.google.com/spreadsheets/d/14Bd19lYaqBhU8_DElYkX7l4wRkHqqCUFNJY4AfY3kHU/edit?usp=sharing  #gid=0"",""фіз особи new!relations_name""),6,FALSE)
,
(IF
(
C3555=""юридична особа""
,
VLOOKUP"&amp;"(D3555,IMPORTRANGE(""https://docs.google.com/spreadsheets/d/14Bd19lYaqBhU8_DElYkX7l4wRkHqqCUFNJY4AfY3kHU/edit?usp=sharing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4" s="7" t="s">
        <v>10</v>
      </c>
      <c r="H3554" s="7">
        <v>1830</v>
      </c>
      <c r="I3554" s="8" t="str">
        <f ca="1">IFERROR(__xludf.DUMMYFUNCTION("IF
(
G3555=""фізична особа""
,
VLOOKUP(H3555,IMPORTRANGE(""https://docs.google.com/spreadsheets/d/14Bd19lYaqBhU8_DElYkX7l4wRkHqqCUFNJY4AfY3kHU/edit?usp=sharing  #gid=0"",""фіз особи new!relations_name""),6,FALSE)
,
(IF
(
G3555=""юридична особа""
,
VLOOKUP"&amp;"(H3555,IMPORTRANGE(""https://docs.google.com/spreadsheets/d/14Bd19lYaqBhU8_DElYkX7l4wRkHqqCUFNJY4AfY3kHU/edit?usp=sharing  #gid=0"",""фіз особи new!relations_name_uo""),7,FALSE)
,
)
))"),"СОРОКІН Валерій Юрійович")</f>
        <v>СОРОКІН Валерій Юрійович</v>
      </c>
      <c r="J3554" s="7" t="s">
        <v>11</v>
      </c>
    </row>
    <row r="3555" spans="1:10" ht="13.2">
      <c r="A3555" s="7">
        <v>3554</v>
      </c>
      <c r="B3555" s="7">
        <v>1</v>
      </c>
      <c r="C3555" s="7" t="s">
        <v>10</v>
      </c>
      <c r="D3555" s="7">
        <v>1842</v>
      </c>
      <c r="E3555" s="7" t="s">
        <v>11</v>
      </c>
      <c r="F3555" s="8" t="str">
        <f ca="1">IFERROR(__xludf.DUMMYFUNCTION("IF
(
C3556=""фізична особа""
,
VLOOKUP(D3556,IMPORTRANGE(""https://docs.google.com/spreadsheets/d/14Bd19lYaqBhU8_DElYkX7l4wRkHqqCUFNJY4AfY3kHU/edit?usp=sharing  #gid=0"",""фіз особи new!relations_name""),6,FALSE)
,
(IF
(
C3556=""юридична особа""
,
VLOOKUP"&amp;"(D3556,IMPORTRANGE(""https://docs.google.com/spreadsheets/d/14Bd19lYaqBhU8_DElYkX7l4wRkHqqCUFNJY4AfY3kHU/edit?usp=sharing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5" s="7" t="s">
        <v>10</v>
      </c>
      <c r="H3555" s="7">
        <v>18021</v>
      </c>
      <c r="I3555" s="8" t="str">
        <f ca="1">IFERROR(__xludf.DUMMYFUNCTION("IF
(
G3556=""фізична особа""
,
VLOOKUP(H3556,IMPORTRANGE(""https://docs.google.com/spreadsheets/d/14Bd19lYaqBhU8_DElYkX7l4wRkHqqCUFNJY4AfY3kHU/edit?usp=sharing  #gid=0"",""фіз особи new!relations_name""),6,FALSE)
,
(IF
(
G3556=""юридична особа""
,
VLOOKUP"&amp;"(H3556,IMPORTRANGE(""https://docs.google.com/spreadsheets/d/14Bd19lYaqBhU8_DElYkX7l4wRkHqqCUFNJY4AfY3kHU/edit?usp=sharing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3555" s="7" t="s">
        <v>11</v>
      </c>
    </row>
    <row r="3556" spans="1:10" ht="13.2">
      <c r="A3556" s="7">
        <v>3555</v>
      </c>
      <c r="B3556" s="7">
        <v>1</v>
      </c>
      <c r="C3556" s="7" t="s">
        <v>10</v>
      </c>
      <c r="D3556" s="7">
        <v>1842</v>
      </c>
      <c r="E3556" s="7" t="s">
        <v>11</v>
      </c>
      <c r="F3556" s="8" t="str">
        <f ca="1">IFERROR(__xludf.DUMMYFUNCTION("IF
(
C3557=""фізична особа""
,
VLOOKUP(D3557,IMPORTRANGE(""https://docs.google.com/spreadsheets/d/14Bd19lYaqBhU8_DElYkX7l4wRkHqqCUFNJY4AfY3kHU/edit?usp=sharing  #gid=0"",""фіз особи new!relations_name""),6,FALSE)
,
(IF
(
C3557=""юридична особа""
,
VLOOKUP"&amp;"(D3557,IMPORTRANGE(""https://docs.google.com/spreadsheets/d/14Bd19lYaqBhU8_DElYkX7l4wRkHqqCUFNJY4AfY3kHU/edit?usp=sharing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6" s="7" t="s">
        <v>10</v>
      </c>
      <c r="H3556" s="7">
        <v>18023</v>
      </c>
      <c r="I3556" s="8" t="str">
        <f ca="1">IFERROR(__xludf.DUMMYFUNCTION("IF
(
G3557=""фізична особа""
,
VLOOKUP(H3557,IMPORTRANGE(""https://docs.google.com/spreadsheets/d/14Bd19lYaqBhU8_DElYkX7l4wRkHqqCUFNJY4AfY3kHU/edit?usp=sharing  #gid=0"",""фіз особи new!relations_name""),6,FALSE)
,
(IF
(
G3557=""юридична особа""
,
VLOOKUP"&amp;"(H3557,IMPORTRANGE(""https://docs.google.com/spreadsheets/d/14Bd19lYaqBhU8_DElYkX7l4wRkHqqCUFNJY4AfY3kHU/edit?usp=sharing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3556" s="7" t="s">
        <v>11</v>
      </c>
    </row>
    <row r="3557" spans="1:10" ht="13.2">
      <c r="A3557" s="7">
        <v>3556</v>
      </c>
      <c r="B3557" s="7">
        <v>1</v>
      </c>
      <c r="C3557" s="7" t="s">
        <v>10</v>
      </c>
      <c r="D3557" s="7">
        <v>1842</v>
      </c>
      <c r="E3557" s="7" t="s">
        <v>11</v>
      </c>
      <c r="F3557" s="8" t="str">
        <f ca="1">IFERROR(__xludf.DUMMYFUNCTION("IF
(
C3558=""фізична особа""
,
VLOOKUP(D3558,IMPORTRANGE(""https://docs.google.com/spreadsheets/d/14Bd19lYaqBhU8_DElYkX7l4wRkHqqCUFNJY4AfY3kHU/edit?usp=sharing  #gid=0"",""фіз особи new!relations_name""),6,FALSE)
,
(IF
(
C3558=""юридична особа""
,
VLOOKUP"&amp;"(D3558,IMPORTRANGE(""https://docs.google.com/spreadsheets/d/14Bd19lYaqBhU8_DElYkX7l4wRkHqqCUFNJY4AfY3kHU/edit?usp=sharing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G3557" s="7" t="s">
        <v>10</v>
      </c>
      <c r="H3557" s="7">
        <v>18024</v>
      </c>
      <c r="I3557" s="8" t="str">
        <f ca="1">IFERROR(__xludf.DUMMYFUNCTION("IF
(
G3558=""фізична особа""
,
VLOOKUP(H3558,IMPORTRANGE(""https://docs.google.com/spreadsheets/d/14Bd19lYaqBhU8_DElYkX7l4wRkHqqCUFNJY4AfY3kHU/edit?usp=sharing  #gid=0"",""фіз особи new!relations_name""),6,FALSE)
,
(IF
(
G3558=""юридична особа""
,
VLOOKUP"&amp;"(H3558,IMPORTRANGE(""https://docs.google.com/spreadsheets/d/14Bd19lYaqBhU8_DElYkX7l4wRkHqqCUFNJY4AfY3kHU/edit?usp=sharing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3557" s="7" t="s">
        <v>11</v>
      </c>
    </row>
    <row r="3558" spans="1:10" ht="13.2">
      <c r="A3558" s="7">
        <v>3557</v>
      </c>
      <c r="B3558" s="7">
        <v>1</v>
      </c>
      <c r="C3558" s="7" t="s">
        <v>10</v>
      </c>
      <c r="D3558" s="7">
        <v>1878</v>
      </c>
      <c r="E3558" s="7" t="s">
        <v>13</v>
      </c>
      <c r="F3558" s="8" t="str">
        <f ca="1">IFERROR(__xludf.DUMMYFUNCTION("IF
(
C3559=""фізична особа""
,
VLOOKUP(D3559,IMPORTRANGE(""https://docs.google.com/spreadsheets/d/14Bd19lYaqBhU8_DElYkX7l4wRkHqqCUFNJY4AfY3kHU/edit?usp=sharing  #gid=0"",""фіз особи new!relations_name""),6,FALSE)
,
(IF
(
C3559=""юридична особа""
,
VLOOKUP"&amp;"(D3559,IMPORTRANGE(""https://docs.google.com/spreadsheets/d/14Bd19lYaqBhU8_DElYkX7l4wRkHqqCUFNJY4AfY3kHU/edit?usp=sharing  #gid=0"",""фіз особи new!relations_name_uo""),7,FALSE)
,
)
))"),"АБРАМОВИЧ Анна Романівна")</f>
        <v>АБРАМОВИЧ Анна Романівна</v>
      </c>
      <c r="G3558" s="7" t="s">
        <v>10</v>
      </c>
      <c r="H3558" s="7">
        <v>620</v>
      </c>
      <c r="I3558" s="8" t="str">
        <f ca="1">IFERROR(__xludf.DUMMYFUNCTION("IF
(
G3559=""фізична особа""
,
VLOOKUP(H3559,IMPORTRANGE(""https://docs.google.com/spreadsheets/d/14Bd19lYaqBhU8_DElYkX7l4wRkHqqCUFNJY4AfY3kHU/edit?usp=sharing  #gid=0"",""фіз особи new!relations_name""),6,FALSE)
,
(IF
(
G3559=""юридична особа""
,
VLOOKUP"&amp;"(H3559,IMPORTRANGE(""https://docs.google.com/spreadsheets/d/14Bd19lYaqBhU8_DElYkX7l4wRkHqqCUFNJY4AfY3kHU/edit?usp=sharing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58" s="7" t="s">
        <v>12</v>
      </c>
    </row>
    <row r="3559" spans="1:10" ht="13.2">
      <c r="A3559" s="7">
        <v>3558</v>
      </c>
      <c r="B3559" s="7">
        <v>1</v>
      </c>
      <c r="C3559" s="7" t="s">
        <v>10</v>
      </c>
      <c r="D3559" s="7">
        <v>1879</v>
      </c>
      <c r="E3559" s="7" t="s">
        <v>13</v>
      </c>
      <c r="F3559" s="8" t="str">
        <f ca="1">IFERROR(__xludf.DUMMYFUNCTION("IF
(
C3560=""фізична особа""
,
VLOOKUP(D3560,IMPORTRANGE(""https://docs.google.com/spreadsheets/d/14Bd19lYaqBhU8_DElYkX7l4wRkHqqCUFNJY4AfY3kHU/edit?usp=sharing  #gid=0"",""фіз особи new!relations_name""),6,FALSE)
,
(IF
(
C3560=""юридична особа""
,
VLOOKUP"&amp;"(D3560,IMPORTRANGE(""https://docs.google.com/spreadsheets/d/14Bd19lYaqBhU8_DElYkX7l4wRkHqqCUFNJY4AfY3kHU/edit?usp=sharing  #gid=0"",""фіз особи new!relations_name_uo""),7,FALSE)
,
)
))"),"АБРАМОВИЧ Аріна Романівна")</f>
        <v>АБРАМОВИЧ Аріна Романівна</v>
      </c>
      <c r="G3559" s="7" t="s">
        <v>10</v>
      </c>
      <c r="H3559" s="7">
        <v>620</v>
      </c>
      <c r="I3559" s="8" t="str">
        <f ca="1">IFERROR(__xludf.DUMMYFUNCTION("IF
(
G3560=""фізична особа""
,
VLOOKUP(H3560,IMPORTRANGE(""https://docs.google.com/spreadsheets/d/14Bd19lYaqBhU8_DElYkX7l4wRkHqqCUFNJY4AfY3kHU/edit?usp=sharing  #gid=0"",""фіз особи new!relations_name""),6,FALSE)
,
(IF
(
G3560=""юридична особа""
,
VLOOKUP"&amp;"(H3560,IMPORTRANGE(""https://docs.google.com/spreadsheets/d/14Bd19lYaqBhU8_DElYkX7l4wRkHqqCUFNJY4AfY3kHU/edit?usp=sharing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59" s="7" t="s">
        <v>12</v>
      </c>
    </row>
    <row r="3560" spans="1:10" ht="13.2">
      <c r="A3560" s="7">
        <v>3559</v>
      </c>
      <c r="B3560" s="7">
        <v>1</v>
      </c>
      <c r="C3560" s="7" t="s">
        <v>10</v>
      </c>
      <c r="D3560" s="7">
        <v>1880</v>
      </c>
      <c r="E3560" s="7" t="s">
        <v>13</v>
      </c>
      <c r="F3560" s="8" t="str">
        <f ca="1">IFERROR(__xludf.DUMMYFUNCTION("IF
(
C3561=""фізична особа""
,
VLOOKUP(D3561,IMPORTRANGE(""https://docs.google.com/spreadsheets/d/14Bd19lYaqBhU8_DElYkX7l4wRkHqqCUFNJY4AfY3kHU/edit?usp=sharing  #gid=0"",""фіз особи new!relations_name""),6,FALSE)
,
(IF
(
C3561=""юридична особа""
,
VLOOKUP"&amp;"(D3561,IMPORTRANGE(""https://docs.google.com/spreadsheets/d/14Bd19lYaqBhU8_DElYkX7l4wRkHqqCUFNJY4AfY3kHU/edit?usp=sharing  #gid=0"",""фіз особи new!relations_name_uo""),7,FALSE)
,
)
))"),"АБРАМОВИЧ Софія Романівна")</f>
        <v>АБРАМОВИЧ Софія Романівна</v>
      </c>
      <c r="G3560" s="7" t="s">
        <v>10</v>
      </c>
      <c r="H3560" s="7">
        <v>620</v>
      </c>
      <c r="I3560" s="8" t="str">
        <f ca="1">IFERROR(__xludf.DUMMYFUNCTION("IF
(
G3561=""фізична особа""
,
VLOOKUP(H3561,IMPORTRANGE(""https://docs.google.com/spreadsheets/d/14Bd19lYaqBhU8_DElYkX7l4wRkHqqCUFNJY4AfY3kHU/edit?usp=sharing  #gid=0"",""фіз особи new!relations_name""),6,FALSE)
,
(IF
(
G3561=""юридична особа""
,
VLOOKUP"&amp;"(H3561,IMPORTRANGE(""https://docs.google.com/spreadsheets/d/14Bd19lYaqBhU8_DElYkX7l4wRkHqqCUFNJY4AfY3kHU/edit?usp=sharing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60" s="7" t="s">
        <v>12</v>
      </c>
    </row>
    <row r="3561" spans="1:10" ht="13.2">
      <c r="A3561" s="7">
        <v>3560</v>
      </c>
      <c r="B3561" s="7">
        <v>1</v>
      </c>
      <c r="C3561" s="7" t="s">
        <v>10</v>
      </c>
      <c r="D3561" s="7">
        <v>1882</v>
      </c>
      <c r="E3561" s="7" t="s">
        <v>17</v>
      </c>
      <c r="F3561" s="8" t="str">
        <f ca="1">IFERROR(__xludf.DUMMYFUNCTION("IF
(
C3562=""фізична особа""
,
VLOOKUP(D3562,IMPORTRANGE(""https://docs.google.com/spreadsheets/d/14Bd19lYaqBhU8_DElYkX7l4wRkHqqCUFNJY4AfY3kHU/edit?usp=sharing  #gid=0"",""фіз особи new!relations_name""),6,FALSE)
,
(IF
(
C3562=""юридична особа""
,
VLOOKUP"&amp;"(D3562,IMPORTRANGE(""https://docs.google.com/spreadsheets/d/14Bd19lYaqBhU8_DElYkX7l4wRkHqqCUFNJY4AfY3kHU/edit?usp=sharing  #gid=0"",""фіз особи new!relations_name_uo""),7,FALSE)
,
)
))"),"АБРАМОВИЧ Аркадій Романович")</f>
        <v>АБРАМОВИЧ Аркадій Романович</v>
      </c>
      <c r="G3561" s="7" t="s">
        <v>10</v>
      </c>
      <c r="H3561" s="7">
        <v>620</v>
      </c>
      <c r="I3561" s="8" t="str">
        <f ca="1">IFERROR(__xludf.DUMMYFUNCTION("IF
(
G3562=""фізична особа""
,
VLOOKUP(H3562,IMPORTRANGE(""https://docs.google.com/spreadsheets/d/14Bd19lYaqBhU8_DElYkX7l4wRkHqqCUFNJY4AfY3kHU/edit?usp=sharing  #gid=0"",""фіз особи new!relations_name""),6,FALSE)
,
(IF
(
G3562=""юридична особа""
,
VLOOKUP"&amp;"(H3562,IMPORTRANGE(""https://docs.google.com/spreadsheets/d/14Bd19lYaqBhU8_DElYkX7l4wRkHqqCUFNJY4AfY3kHU/edit?usp=sharing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61" s="7" t="s">
        <v>12</v>
      </c>
    </row>
    <row r="3562" spans="1:10" ht="13.2">
      <c r="A3562" s="7">
        <v>3561</v>
      </c>
      <c r="B3562" s="7">
        <v>1</v>
      </c>
      <c r="C3562" s="7" t="s">
        <v>10</v>
      </c>
      <c r="D3562" s="7">
        <v>1883</v>
      </c>
      <c r="E3562" s="7" t="s">
        <v>17</v>
      </c>
      <c r="F3562" s="8" t="str">
        <f ca="1">IFERROR(__xludf.DUMMYFUNCTION("IF
(
C3563=""фізична особа""
,
VLOOKUP(D3563,IMPORTRANGE(""https://docs.google.com/spreadsheets/d/14Bd19lYaqBhU8_DElYkX7l4wRkHqqCUFNJY4AfY3kHU/edit?usp=sharing  #gid=0"",""фіз особи new!relations_name""),6,FALSE)
,
(IF
(
C3563=""юридична особа""
,
VLOOKUP"&amp;"(D3563,IMPORTRANGE(""https://docs.google.com/spreadsheets/d/14Bd19lYaqBhU8_DElYkX7l4wRkHqqCUFNJY4AfY3kHU/edit?usp=sharing  #gid=0"",""фіз особи new!relations_name_uo""),7,FALSE)
,
)
))"),"АБРАМОВИЧ Ілля Романович")</f>
        <v>АБРАМОВИЧ Ілля Романович</v>
      </c>
      <c r="G3562" s="7" t="s">
        <v>10</v>
      </c>
      <c r="H3562" s="7">
        <v>620</v>
      </c>
      <c r="I3562" s="8" t="str">
        <f ca="1">IFERROR(__xludf.DUMMYFUNCTION("IF
(
G3563=""фізична особа""
,
VLOOKUP(H3563,IMPORTRANGE(""https://docs.google.com/spreadsheets/d/14Bd19lYaqBhU8_DElYkX7l4wRkHqqCUFNJY4AfY3kHU/edit?usp=sharing  #gid=0"",""фіз особи new!relations_name""),6,FALSE)
,
(IF
(
G3563=""юридична особа""
,
VLOOKUP"&amp;"(H3563,IMPORTRANGE(""https://docs.google.com/spreadsheets/d/14Bd19lYaqBhU8_DElYkX7l4wRkHqqCUFNJY4AfY3kHU/edit?usp=sharing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62" s="7" t="s">
        <v>12</v>
      </c>
    </row>
    <row r="3563" spans="1:10" ht="13.2">
      <c r="A3563" s="7">
        <v>3562</v>
      </c>
      <c r="B3563" s="7">
        <v>1</v>
      </c>
      <c r="C3563" s="7" t="s">
        <v>10</v>
      </c>
      <c r="D3563" s="7">
        <v>1885</v>
      </c>
      <c r="E3563" s="7" t="s">
        <v>43</v>
      </c>
      <c r="F3563" s="8" t="str">
        <f ca="1">IFERROR(__xludf.DUMMYFUNCTION("IF
(
C3564=""фізична особа""
,
VLOOKUP(D3564,IMPORTRANGE(""https://docs.google.com/spreadsheets/d/14Bd19lYaqBhU8_DElYkX7l4wRkHqqCUFNJY4AfY3kHU/edit?usp=sharing  #gid=0"",""фіз особи new!relations_name""),6,FALSE)
,
(IF
(
C3564=""юридична особа""
,
VLOOKUP"&amp;"(D3564,IMPORTRANGE(""https://docs.google.com/spreadsheets/d/14Bd19lYaqBhU8_DElYkX7l4wRkHqqCUFNJY4AfY3kHU/edit?usp=sharing  #gid=0"",""фіз особи new!relations_name_uo""),7,FALSE)
,
)
))"),"АБРАМОВИЧ / МАЛАНДІНА Ірина В'ячеславівна")</f>
        <v>АБРАМОВИЧ / МАЛАНДІНА Ірина В'ячеславівна</v>
      </c>
      <c r="G3563" s="7" t="s">
        <v>10</v>
      </c>
      <c r="H3563" s="7">
        <v>620</v>
      </c>
      <c r="I3563" s="8" t="str">
        <f ca="1">IFERROR(__xludf.DUMMYFUNCTION("IF
(
G3564=""фізична особа""
,
VLOOKUP(H3564,IMPORTRANGE(""https://docs.google.com/spreadsheets/d/14Bd19lYaqBhU8_DElYkX7l4wRkHqqCUFNJY4AfY3kHU/edit?usp=sharing  #gid=0"",""фіз особи new!relations_name""),6,FALSE)
,
(IF
(
G3564=""юридична особа""
,
VLOOKUP"&amp;"(H3564,IMPORTRANGE(""https://docs.google.com/spreadsheets/d/14Bd19lYaqBhU8_DElYkX7l4wRkHqqCUFNJY4AfY3kHU/edit?usp=sharing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63" s="7" t="s">
        <v>42</v>
      </c>
    </row>
    <row r="3564" spans="1:10" ht="13.2">
      <c r="A3564" s="7">
        <v>3563</v>
      </c>
      <c r="B3564" s="7">
        <v>1</v>
      </c>
      <c r="C3564" s="7" t="s">
        <v>10</v>
      </c>
      <c r="D3564" s="7">
        <v>1893</v>
      </c>
      <c r="E3564" s="7" t="s">
        <v>25</v>
      </c>
      <c r="F3564" s="8" t="str">
        <f ca="1">IFERROR(__xludf.DUMMYFUNCTION("IF
(
C3565=""фізична особа""
,
VLOOKUP(D3565,IMPORTRANGE(""https://docs.google.com/spreadsheets/d/14Bd19lYaqBhU8_DElYkX7l4wRkHqqCUFNJY4AfY3kHU/edit?usp=sharing  #gid=0"",""фіз особи new!relations_name""),6,FALSE)
,
(IF
(
C3565=""юридична особа""
,
VLOOKUP"&amp;"(D3565,IMPORTRANGE(""https://docs.google.com/spreadsheets/d/14Bd19lYaqBhU8_DElYkX7l4wRkHqqCUFNJY4AfY3kHU/edit?usp=sharing  #gid=0"",""фіз особи new!relations_name_uo""),7,FALSE)
,
)
))"),"ГАВРИЛОВА Олена")</f>
        <v>ГАВРИЛОВА Олена</v>
      </c>
      <c r="G3564" s="7" t="s">
        <v>10</v>
      </c>
      <c r="H3564" s="7">
        <v>1010</v>
      </c>
      <c r="I3564" s="8" t="str">
        <f ca="1">IFERROR(__xludf.DUMMYFUNCTION("IF
(
G3565=""фізична особа""
,
VLOOKUP(H3565,IMPORTRANGE(""https://docs.google.com/spreadsheets/d/14Bd19lYaqBhU8_DElYkX7l4wRkHqqCUFNJY4AfY3kHU/edit?usp=sharing  #gid=0"",""фіз особи new!relations_name""),6,FALSE)
,
(IF
(
G3565=""юридична особа""
,
VLOOKUP"&amp;"(H3565,IMPORTRANGE(""https://docs.google.com/spreadsheets/d/14Bd19lYaqBhU8_DElYkX7l4wRkHqqCUFNJY4AfY3kHU/edit?usp=sharing  #gid=0"",""фіз особи new!relations_name_uo""),7,FALSE)
,
)
))"),"АКІМОВ Андрій Ігорович")</f>
        <v>АКІМОВ Андрій Ігорович</v>
      </c>
      <c r="J3564" s="7" t="s">
        <v>34</v>
      </c>
    </row>
    <row r="3565" spans="1:10" ht="13.2">
      <c r="A3565" s="7">
        <v>3564</v>
      </c>
      <c r="B3565" s="7">
        <v>1</v>
      </c>
      <c r="C3565" s="7" t="s">
        <v>10</v>
      </c>
      <c r="D3565" s="7">
        <v>1897</v>
      </c>
      <c r="E3565" s="7" t="s">
        <v>17</v>
      </c>
      <c r="F3565" s="8" t="str">
        <f ca="1">IFERROR(__xludf.DUMMYFUNCTION("IF
(
C3566=""фізична особа""
,
VLOOKUP(D3566,IMPORTRANGE(""https://docs.google.com/spreadsheets/d/14Bd19lYaqBhU8_DElYkX7l4wRkHqqCUFNJY4AfY3kHU/edit?usp=sharing  #gid=0"",""фіз особи new!relations_name""),6,FALSE)
,
(IF
(
C3566=""юридична особа""
,
VLOOKUP"&amp;"(D3566,IMPORTRANGE(""https://docs.google.com/spreadsheets/d/14Bd19lYaqBhU8_DElYkX7l4wRkHqqCUFNJY4AfY3kHU/edit?usp=sharing  #gid=0"",""фіз особи new!relations_name_uo""),7,FALSE)
,
)
))"),"АХМЕДОВ Темур")</f>
        <v>АХМЕДОВ Темур</v>
      </c>
      <c r="G3565" s="7" t="s">
        <v>10</v>
      </c>
      <c r="H3565" s="7">
        <v>1895</v>
      </c>
      <c r="I3565" s="8" t="str">
        <f ca="1">IFERROR(__xludf.DUMMYFUNCTION("IF
(
G3566=""фізична особа""
,
VLOOKUP(H3566,IMPORTRANGE(""https://docs.google.com/spreadsheets/d/14Bd19lYaqBhU8_DElYkX7l4wRkHqqCUFNJY4AfY3kHU/edit?usp=sharing  #gid=0"",""фіз особи new!relations_name""),6,FALSE)
,
(IF
(
G3566=""юридична особа""
,
VLOOKUP"&amp;"(H3566,IMPORTRANGE(""https://docs.google.com/spreadsheets/d/14Bd19lYaqBhU8_DElYkX7l4wRkHqqCUFNJY4AfY3kHU/edit?usp=sharing  #gid=0"",""фіз особи new!relations_name_uo""),7,FALSE)
,
)
))"),"АХМЕДОВ Фархад Теймурович")</f>
        <v>АХМЕДОВ Фархад Теймурович</v>
      </c>
      <c r="J3565" s="7" t="s">
        <v>12</v>
      </c>
    </row>
    <row r="3566" spans="1:10" ht="13.2">
      <c r="A3566" s="7">
        <v>3565</v>
      </c>
      <c r="B3566" s="7">
        <v>1</v>
      </c>
      <c r="C3566" s="7" t="s">
        <v>10</v>
      </c>
      <c r="D3566" s="7">
        <v>1905</v>
      </c>
      <c r="E3566" s="7" t="s">
        <v>15</v>
      </c>
      <c r="F3566" s="8" t="str">
        <f ca="1">IFERROR(__xludf.DUMMYFUNCTION("IF
(
C3567=""фізична особа""
,
VLOOKUP(D3567,IMPORTRANGE(""https://docs.google.com/spreadsheets/d/14Bd19lYaqBhU8_DElYkX7l4wRkHqqCUFNJY4AfY3kHU/edit?usp=sharing  #gid=0"",""фіз особи new!relations_name""),6,FALSE)
,
(IF
(
C3567=""юридична особа""
,
VLOOKUP"&amp;"(D3567,IMPORTRANGE(""https://docs.google.com/spreadsheets/d/14Bd19lYaqBhU8_DElYkX7l4wRkHqqCUFNJY4AfY3kHU/edit?usp=sharing  #gid=0"",""фіз особи new!relations_name_uo""),7,FALSE)
,
)
))"),"ЧАЙКІНА Маріанна")</f>
        <v>ЧАЙКІНА Маріанна</v>
      </c>
      <c r="G3566" s="7" t="s">
        <v>10</v>
      </c>
      <c r="H3566" s="7">
        <v>1010</v>
      </c>
      <c r="I3566" s="8" t="str">
        <f ca="1">IFERROR(__xludf.DUMMYFUNCTION("IF
(
G3567=""фізична особа""
,
VLOOKUP(H3567,IMPORTRANGE(""https://docs.google.com/spreadsheets/d/14Bd19lYaqBhU8_DElYkX7l4wRkHqqCUFNJY4AfY3kHU/edit?usp=sharing  #gid=0"",""фіз особи new!relations_name""),6,FALSE)
,
(IF
(
G3567=""юридична особа""
,
VLOOKUP"&amp;"(H3567,IMPORTRANGE(""https://docs.google.com/spreadsheets/d/14Bd19lYaqBhU8_DElYkX7l4wRkHqqCUFNJY4AfY3kHU/edit?usp=sharing  #gid=0"",""фіз особи new!relations_name_uo""),7,FALSE)
,
)
))"),"АКІМОВ Андрій Ігорович")</f>
        <v>АКІМОВ Андрій Ігорович</v>
      </c>
      <c r="J3566" s="7" t="s">
        <v>14</v>
      </c>
    </row>
    <row r="3567" spans="1:10" ht="13.2">
      <c r="A3567" s="7">
        <v>3566</v>
      </c>
      <c r="B3567" s="7">
        <v>1</v>
      </c>
      <c r="C3567" s="7" t="s">
        <v>10</v>
      </c>
      <c r="D3567" s="7">
        <v>1906</v>
      </c>
      <c r="E3567" s="7" t="s">
        <v>17</v>
      </c>
      <c r="F3567" s="8" t="str">
        <f ca="1">IFERROR(__xludf.DUMMYFUNCTION("IF
(
C3568=""фізична особа""
,
VLOOKUP(D3568,IMPORTRANGE(""https://docs.google.com/spreadsheets/d/14Bd19lYaqBhU8_DElYkX7l4wRkHqqCUFNJY4AfY3kHU/edit?usp=sharing  #gid=0"",""фіз особи new!relations_name""),6,FALSE)
,
(IF
(
C3568=""юридична особа""
,
VLOOKUP"&amp;"(D3568,IMPORTRANGE(""https://docs.google.com/spreadsheets/d/14Bd19lYaqBhU8_DElYkX7l4wRkHqqCUFNJY4AfY3kHU/edit?usp=sharing  #gid=0"",""фіз особи new!relations_name_uo""),7,FALSE)
,
)
))"),"ЧАЙКІН Філіп")</f>
        <v>ЧАЙКІН Філіп</v>
      </c>
      <c r="G3567" s="7" t="s">
        <v>10</v>
      </c>
      <c r="H3567" s="7">
        <v>1010</v>
      </c>
      <c r="I3567" s="8" t="str">
        <f ca="1">IFERROR(__xludf.DUMMYFUNCTION("IF
(
G3568=""фізична особа""
,
VLOOKUP(H3568,IMPORTRANGE(""https://docs.google.com/spreadsheets/d/14Bd19lYaqBhU8_DElYkX7l4wRkHqqCUFNJY4AfY3kHU/edit?usp=sharing  #gid=0"",""фіз особи new!relations_name""),6,FALSE)
,
(IF
(
G3568=""юридична особа""
,
VLOOKUP"&amp;"(H3568,IMPORTRANGE(""https://docs.google.com/spreadsheets/d/14Bd19lYaqBhU8_DElYkX7l4wRkHqqCUFNJY4AfY3kHU/edit?usp=sharing  #gid=0"",""фіз особи new!relations_name_uo""),7,FALSE)
,
)
))"),"АКІМОВ Андрій Ігорович")</f>
        <v>АКІМОВ Андрій Ігорович</v>
      </c>
      <c r="J3567" s="7" t="s">
        <v>12</v>
      </c>
    </row>
    <row r="3568" spans="1:10" ht="13.2">
      <c r="A3568" s="7">
        <v>3567</v>
      </c>
      <c r="B3568" s="7">
        <v>1</v>
      </c>
      <c r="C3568" s="7" t="s">
        <v>10</v>
      </c>
      <c r="D3568" s="7">
        <v>1907</v>
      </c>
      <c r="E3568" s="7" t="s">
        <v>25</v>
      </c>
      <c r="F3568" s="8" t="str">
        <f ca="1">IFERROR(__xludf.DUMMYFUNCTION("IF
(
C3569=""фізична особа""
,
VLOOKUP(D3569,IMPORTRANGE(""https://docs.google.com/spreadsheets/d/14Bd19lYaqBhU8_DElYkX7l4wRkHqqCUFNJY4AfY3kHU/edit?usp=sharing  #gid=0"",""фіз особи new!relations_name""),6,FALSE)
,
(IF
(
C3569=""юридична особа""
,
VLOOKUP"&amp;"(D3569,IMPORTRANGE(""https://docs.google.com/spreadsheets/d/14Bd19lYaqBhU8_DElYkX7l4wRkHqqCUFNJY4AfY3kHU/edit?usp=sharing  #gid=0"",""фіз особи new!relations_name_uo""),7,FALSE)
,
)
))"),"ГЛАДШТЕЙН Юлія")</f>
        <v>ГЛАДШТЕЙН Юлія</v>
      </c>
      <c r="G3568" s="7" t="s">
        <v>10</v>
      </c>
      <c r="H3568" s="7">
        <v>1010</v>
      </c>
      <c r="I3568" s="8" t="str">
        <f ca="1">IFERROR(__xludf.DUMMYFUNCTION("IF
(
G3569=""фізична особа""
,
VLOOKUP(H3569,IMPORTRANGE(""https://docs.google.com/spreadsheets/d/14Bd19lYaqBhU8_DElYkX7l4wRkHqqCUFNJY4AfY3kHU/edit?usp=sharing  #gid=0"",""фіз особи new!relations_name""),6,FALSE)
,
(IF
(
G3569=""юридична особа""
,
VLOOKUP"&amp;"(H3569,IMPORTRANGE(""https://docs.google.com/spreadsheets/d/14Bd19lYaqBhU8_DElYkX7l4wRkHqqCUFNJY4AfY3kHU/edit?usp=sharing  #gid=0"",""фіз особи new!relations_name_uo""),7,FALSE)
,
)
))"),"АКІМОВ Андрій Ігорович")</f>
        <v>АКІМОВ Андрій Ігорович</v>
      </c>
      <c r="J3568" s="7" t="s">
        <v>34</v>
      </c>
    </row>
    <row r="3569" spans="1:10" ht="13.2">
      <c r="A3569" s="7">
        <v>3568</v>
      </c>
      <c r="B3569" s="7">
        <v>1</v>
      </c>
      <c r="C3569" s="7" t="s">
        <v>10</v>
      </c>
      <c r="D3569" s="7">
        <v>1908</v>
      </c>
      <c r="E3569" s="7" t="s">
        <v>15</v>
      </c>
      <c r="F3569" s="8" t="str">
        <f ca="1">IFERROR(__xludf.DUMMYFUNCTION("IF
(
C3570=""фізична особа""
,
VLOOKUP(D3570,IMPORTRANGE(""https://docs.google.com/spreadsheets/d/14Bd19lYaqBhU8_DElYkX7l4wRkHqqCUFNJY4AfY3kHU/edit?usp=sharing  #gid=0"",""фіз особи new!relations_name""),6,FALSE)
,
(IF
(
C3570=""юридична особа""
,
VLOOKUP"&amp;"(D3570,IMPORTRANGE(""https://docs.google.com/spreadsheets/d/14Bd19lYaqBhU8_DElYkX7l4wRkHqqCUFNJY4AfY3kHU/edit?usp=sharing  #gid=0"",""фіз особи new!relations_name_uo""),7,FALSE)
,
)
))"),"АЛЕКПЕРОВА Лариса Вікторівна")</f>
        <v>АЛЕКПЕРОВА Лариса Вікторівна</v>
      </c>
      <c r="G3569" s="7" t="s">
        <v>10</v>
      </c>
      <c r="H3569" s="7">
        <v>2267</v>
      </c>
      <c r="I3569" s="8" t="str">
        <f ca="1">IFERROR(__xludf.DUMMYFUNCTION("IF
(
G3570=""фізична особа""
,
VLOOKUP(H3570,IMPORTRANGE(""https://docs.google.com/spreadsheets/d/14Bd19lYaqBhU8_DElYkX7l4wRkHqqCUFNJY4AfY3kHU/edit?usp=sharing  #gid=0"",""фіз особи new!relations_name""),6,FALSE)
,
(IF
(
G3570=""юридична особа""
,
VLOOKUP"&amp;"(H3570,IMPORTRANGE(""https://docs.google.com/spreadsheets/d/14Bd19lYaqBhU8_DElYkX7l4wRkHqqCUFNJY4AfY3kHU/edit?usp=sharing  #gid=0"",""фіз особи new!relations_name_uo""),7,FALSE)
,
)
))"),"АЛЕКПЕРОВ Вагіт Юсуфович")</f>
        <v>АЛЕКПЕРОВ Вагіт Юсуфович</v>
      </c>
      <c r="J3569" s="7" t="s">
        <v>14</v>
      </c>
    </row>
    <row r="3570" spans="1:10" ht="13.2">
      <c r="A3570" s="7">
        <v>3569</v>
      </c>
      <c r="B3570" s="7">
        <v>1</v>
      </c>
      <c r="C3570" s="7" t="s">
        <v>10</v>
      </c>
      <c r="D3570" s="7">
        <v>1909</v>
      </c>
      <c r="E3570" s="7" t="s">
        <v>17</v>
      </c>
      <c r="F3570" s="8" t="str">
        <f ca="1">IFERROR(__xludf.DUMMYFUNCTION("IF
(
C3571=""фізична особа""
,
VLOOKUP(D3571,IMPORTRANGE(""https://docs.google.com/spreadsheets/d/14Bd19lYaqBhU8_DElYkX7l4wRkHqqCUFNJY4AfY3kHU/edit?usp=sharing  #gid=0"",""фіз особи new!relations_name""),6,FALSE)
,
(IF
(
C3571=""юридична особа""
,
VLOOKUP"&amp;"(D3571,IMPORTRANGE(""https://docs.google.com/spreadsheets/d/14Bd19lYaqBhU8_DElYkX7l4wRkHqqCUFNJY4AfY3kHU/edit?usp=sharing  #gid=0"",""фіз особи new!relations_name_uo""),7,FALSE)
,
)
))"),"АЛЕКПЕРОВ Юсуф Вагітович")</f>
        <v>АЛЕКПЕРОВ Юсуф Вагітович</v>
      </c>
      <c r="G3570" s="7" t="s">
        <v>10</v>
      </c>
      <c r="H3570" s="7">
        <v>2267</v>
      </c>
      <c r="I3570" s="8" t="str">
        <f ca="1">IFERROR(__xludf.DUMMYFUNCTION("IF
(
G3571=""фізична особа""
,
VLOOKUP(H3571,IMPORTRANGE(""https://docs.google.com/spreadsheets/d/14Bd19lYaqBhU8_DElYkX7l4wRkHqqCUFNJY4AfY3kHU/edit?usp=sharing  #gid=0"",""фіз особи new!relations_name""),6,FALSE)
,
(IF
(
G3571=""юридична особа""
,
VLOOKUP"&amp;"(H3571,IMPORTRANGE(""https://docs.google.com/spreadsheets/d/14Bd19lYaqBhU8_DElYkX7l4wRkHqqCUFNJY4AfY3kHU/edit?usp=sharing  #gid=0"",""фіз особи new!relations_name_uo""),7,FALSE)
,
)
))"),"АЛЕКПЕРОВ Вагіт Юсуфович")</f>
        <v>АЛЕКПЕРОВ Вагіт Юсуфович</v>
      </c>
      <c r="J3570" s="7" t="s">
        <v>12</v>
      </c>
    </row>
    <row r="3571" spans="1:10" ht="13.2">
      <c r="A3571" s="7">
        <v>3570</v>
      </c>
      <c r="B3571" s="7">
        <v>1</v>
      </c>
      <c r="C3571" s="7" t="s">
        <v>10</v>
      </c>
      <c r="D3571" s="7">
        <v>1910</v>
      </c>
      <c r="E3571" s="7" t="s">
        <v>14</v>
      </c>
      <c r="F3571" s="8" t="str">
        <f ca="1">IFERROR(__xludf.DUMMYFUNCTION("IF
(
C3572=""фізична особа""
,
VLOOKUP(D3572,IMPORTRANGE(""https://docs.google.com/spreadsheets/d/14Bd19lYaqBhU8_DElYkX7l4wRkHqqCUFNJY4AfY3kHU/edit?usp=sharing  #gid=0"",""фіз особи new!relations_name""),6,FALSE)
,
(IF
(
C3572=""юридична особа""
,
VLOOKUP"&amp;"(D3572,IMPORTRANGE(""https://docs.google.com/spreadsheets/d/14Bd19lYaqBhU8_DElYkX7l4wRkHqqCUFNJY4AfY3kHU/edit?usp=sharing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G3571" s="7" t="s">
        <v>10</v>
      </c>
      <c r="H3571" s="7">
        <v>1911</v>
      </c>
      <c r="I3571" s="8" t="str">
        <f ca="1">IFERROR(__xludf.DUMMYFUNCTION("IF
(
G3572=""фізична особа""
,
VLOOKUP(H3572,IMPORTRANGE(""https://docs.google.com/spreadsheets/d/14Bd19lYaqBhU8_DElYkX7l4wRkHqqCUFNJY4AfY3kHU/edit?usp=sharing  #gid=0"",""фіз особи new!relations_name""),6,FALSE)
,
(IF
(
G3572=""юридична особа""
,
VLOOKUP"&amp;"(H3572,IMPORTRANGE(""https://docs.google.com/spreadsheets/d/14Bd19lYaqBhU8_DElYkX7l4wRkHqqCUFNJY4AfY3kHU/edit?usp=sharing  #gid=0"",""фіз особи new!relations_name_uo""),7,FALSE)
,
)
))"),"АЛТУШКІНА Тетяна Анатоліївна")</f>
        <v>АЛТУШКІНА Тетяна Анатоліївна</v>
      </c>
      <c r="J3571" s="7" t="s">
        <v>15</v>
      </c>
    </row>
    <row r="3572" spans="1:10" ht="13.2">
      <c r="A3572" s="7">
        <v>3571</v>
      </c>
      <c r="B3572" s="7">
        <v>1</v>
      </c>
      <c r="C3572" s="7" t="s">
        <v>10</v>
      </c>
      <c r="D3572" s="7">
        <v>1911</v>
      </c>
      <c r="E3572" s="7" t="s">
        <v>15</v>
      </c>
      <c r="F3572" s="8" t="str">
        <f ca="1">IFERROR(__xludf.DUMMYFUNCTION("IF
(
C3573=""фізична особа""
,
VLOOKUP(D3573,IMPORTRANGE(""https://docs.google.com/spreadsheets/d/14Bd19lYaqBhU8_DElYkX7l4wRkHqqCUFNJY4AfY3kHU/edit?usp=sharing  #gid=0"",""фіз особи new!relations_name""),6,FALSE)
,
(IF
(
C3573=""юридична особа""
,
VLOOKUP"&amp;"(D3573,IMPORTRANGE(""https://docs.google.com/spreadsheets/d/14Bd19lYaqBhU8_DElYkX7l4wRkHqqCUFNJY4AfY3kHU/edit?usp=sharing  #gid=0"",""фіз особи new!relations_name_uo""),7,FALSE)
,
)
))"),"АЛТУШКІНА Тетяна Анатоліївна")</f>
        <v>АЛТУШКІНА Тетяна Анатоліївна</v>
      </c>
      <c r="G3572" s="7" t="s">
        <v>10</v>
      </c>
      <c r="H3572" s="7">
        <v>1910</v>
      </c>
      <c r="I3572" s="8" t="str">
        <f ca="1">IFERROR(__xludf.DUMMYFUNCTION("IF
(
G3573=""фізична особа""
,
VLOOKUP(H3573,IMPORTRANGE(""https://docs.google.com/spreadsheets/d/14Bd19lYaqBhU8_DElYkX7l4wRkHqqCUFNJY4AfY3kHU/edit?usp=sharing  #gid=0"",""фіз особи new!relations_name""),6,FALSE)
,
(IF
(
G3573=""юридична особа""
,
VLOOKUP"&amp;"(H3573,IMPORTRANGE(""https://docs.google.com/spreadsheets/d/14Bd19lYaqBhU8_DElYkX7l4wRkHqqCUFNJY4AfY3kHU/edit?usp=sharing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J3572" s="7" t="s">
        <v>14</v>
      </c>
    </row>
    <row r="3573" spans="1:10" ht="13.2">
      <c r="A3573" s="7">
        <v>3572</v>
      </c>
      <c r="B3573" s="7">
        <v>1</v>
      </c>
      <c r="C3573" s="7" t="s">
        <v>10</v>
      </c>
      <c r="D3573" s="7">
        <v>1912</v>
      </c>
      <c r="E3573" s="7" t="s">
        <v>17</v>
      </c>
      <c r="F3573" s="8" t="str">
        <f ca="1">IFERROR(__xludf.DUMMYFUNCTION("IF
(
C3574=""фізична особа""
,
VLOOKUP(D3574,IMPORTRANGE(""https://docs.google.com/spreadsheets/d/14Bd19lYaqBhU8_DElYkX7l4wRkHqqCUFNJY4AfY3kHU/edit?usp=sharing  #gid=0"",""фіз особи new!relations_name""),6,FALSE)
,
(IF
(
C3574=""юридична особа""
,
VLOOKUP"&amp;"(D3574,IMPORTRANGE(""https://docs.google.com/spreadsheets/d/14Bd19lYaqBhU8_DElYkX7l4wRkHqqCUFNJY4AfY3kHU/edit?usp=sharing  #gid=0"",""фіз особи new!relations_name_uo""),7,FALSE)
,
)
))"),"АЛТУШКІН Тимофій Ігорович")</f>
        <v>АЛТУШКІН Тимофій Ігорович</v>
      </c>
      <c r="G3573" s="7" t="s">
        <v>10</v>
      </c>
      <c r="H3573" s="7">
        <v>1910</v>
      </c>
      <c r="I3573" s="8" t="str">
        <f ca="1">IFERROR(__xludf.DUMMYFUNCTION("IF
(
G3574=""фізична особа""
,
VLOOKUP(H3574,IMPORTRANGE(""https://docs.google.com/spreadsheets/d/14Bd19lYaqBhU8_DElYkX7l4wRkHqqCUFNJY4AfY3kHU/edit?usp=sharing  #gid=0"",""фіз особи new!relations_name""),6,FALSE)
,
(IF
(
G3574=""юридична особа""
,
VLOOKUP"&amp;"(H3574,IMPORTRANGE(""https://docs.google.com/spreadsheets/d/14Bd19lYaqBhU8_DElYkX7l4wRkHqqCUFNJY4AfY3kHU/edit?usp=sharing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J3573" s="7" t="s">
        <v>12</v>
      </c>
    </row>
    <row r="3574" spans="1:10" ht="13.2">
      <c r="A3574" s="7">
        <v>3573</v>
      </c>
      <c r="B3574" s="7">
        <v>1</v>
      </c>
      <c r="C3574" s="7" t="s">
        <v>10</v>
      </c>
      <c r="D3574" s="7">
        <v>1913</v>
      </c>
      <c r="E3574" s="7" t="s">
        <v>17</v>
      </c>
      <c r="F3574" s="8" t="str">
        <f ca="1">IFERROR(__xludf.DUMMYFUNCTION("IF
(
C3575=""фізична особа""
,
VLOOKUP(D3575,IMPORTRANGE(""https://docs.google.com/spreadsheets/d/14Bd19lYaqBhU8_DElYkX7l4wRkHqqCUFNJY4AfY3kHU/edit?usp=sharing  #gid=0"",""фіз особи new!relations_name""),6,FALSE)
,
(IF
(
C3575=""юридична особа""
,
VLOOKUP"&amp;"(D3575,IMPORTRANGE(""https://docs.google.com/spreadsheets/d/14Bd19lYaqBhU8_DElYkX7l4wRkHqqCUFNJY4AfY3kHU/edit?usp=sharing  #gid=0"",""фіз особи new!relations_name_uo""),7,FALSE)
,
)
))"),"АЛТУШКІН Давид Ігорович")</f>
        <v>АЛТУШКІН Давид Ігорович</v>
      </c>
      <c r="G3574" s="7" t="s">
        <v>10</v>
      </c>
      <c r="H3574" s="7">
        <v>1910</v>
      </c>
      <c r="I3574" s="8" t="str">
        <f ca="1">IFERROR(__xludf.DUMMYFUNCTION("IF
(
G3575=""фізична особа""
,
VLOOKUP(H3575,IMPORTRANGE(""https://docs.google.com/spreadsheets/d/14Bd19lYaqBhU8_DElYkX7l4wRkHqqCUFNJY4AfY3kHU/edit?usp=sharing  #gid=0"",""фіз особи new!relations_name""),6,FALSE)
,
(IF
(
G3575=""юридична особа""
,
VLOOKUP"&amp;"(H3575,IMPORTRANGE(""https://docs.google.com/spreadsheets/d/14Bd19lYaqBhU8_DElYkX7l4wRkHqqCUFNJY4AfY3kHU/edit?usp=sharing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J3574" s="7" t="s">
        <v>12</v>
      </c>
    </row>
    <row r="3575" spans="1:10" ht="13.2">
      <c r="A3575" s="7">
        <v>3574</v>
      </c>
      <c r="B3575" s="7">
        <v>1</v>
      </c>
      <c r="C3575" s="7" t="s">
        <v>10</v>
      </c>
      <c r="D3575" s="7">
        <v>1914</v>
      </c>
      <c r="E3575" s="7" t="s">
        <v>17</v>
      </c>
      <c r="F3575" s="8" t="str">
        <f ca="1">IFERROR(__xludf.DUMMYFUNCTION("IF
(
C3576=""фізична особа""
,
VLOOKUP(D3576,IMPORTRANGE(""https://docs.google.com/spreadsheets/d/14Bd19lYaqBhU8_DElYkX7l4wRkHqqCUFNJY4AfY3kHU/edit?usp=sharing  #gid=0"",""фіз особи new!relations_name""),6,FALSE)
,
(IF
(
C3576=""юридична особа""
,
VLOOKUP"&amp;"(D3576,IMPORTRANGE(""https://docs.google.com/spreadsheets/d/14Bd19lYaqBhU8_DElYkX7l4wRkHqqCUFNJY4AfY3kHU/edit?usp=sharing  #gid=0"",""фіз особи new!relations_name_uo""),7,FALSE)
,
)
))"),"АЛТУШКІН Олександр Ігорович")</f>
        <v>АЛТУШКІН Олександр Ігорович</v>
      </c>
      <c r="G3575" s="7" t="s">
        <v>10</v>
      </c>
      <c r="H3575" s="7">
        <v>1910</v>
      </c>
      <c r="I3575" s="8" t="str">
        <f ca="1">IFERROR(__xludf.DUMMYFUNCTION("IF
(
G3576=""фізична особа""
,
VLOOKUP(H3576,IMPORTRANGE(""https://docs.google.com/spreadsheets/d/14Bd19lYaqBhU8_DElYkX7l4wRkHqqCUFNJY4AfY3kHU/edit?usp=sharing  #gid=0"",""фіз особи new!relations_name""),6,FALSE)
,
(IF
(
G3576=""юридична особа""
,
VLOOKUP"&amp;"(H3576,IMPORTRANGE(""https://docs.google.com/spreadsheets/d/14Bd19lYaqBhU8_DElYkX7l4wRkHqqCUFNJY4AfY3kHU/edit?usp=sharing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J3575" s="7" t="s">
        <v>12</v>
      </c>
    </row>
    <row r="3576" spans="1:10" ht="13.2">
      <c r="A3576" s="7">
        <v>3575</v>
      </c>
      <c r="B3576" s="7">
        <v>1</v>
      </c>
      <c r="C3576" s="7" t="s">
        <v>10</v>
      </c>
      <c r="D3576" s="7">
        <v>1915</v>
      </c>
      <c r="E3576" s="7" t="s">
        <v>13</v>
      </c>
      <c r="F3576" s="8" t="str">
        <f ca="1">IFERROR(__xludf.DUMMYFUNCTION("IF
(
C3577=""фізична особа""
,
VLOOKUP(D3577,IMPORTRANGE(""https://docs.google.com/spreadsheets/d/14Bd19lYaqBhU8_DElYkX7l4wRkHqqCUFNJY4AfY3kHU/edit?usp=sharing  #gid=0"",""фіз особи new!relations_name""),6,FALSE)
,
(IF
(
C3577=""юридична особа""
,
VLOOKUP"&amp;"(D3577,IMPORTRANGE(""https://docs.google.com/spreadsheets/d/14Bd19lYaqBhU8_DElYkX7l4wRkHqqCUFNJY4AfY3kHU/edit?usp=sharing  #gid=0"",""фіз особи new!relations_name_uo""),7,FALSE)
,
)
))"),"АЛТУШКІНА / ВЕЛИЧКІНА Єлизавета Ігорівна")</f>
        <v>АЛТУШКІНА / ВЕЛИЧКІНА Єлизавета Ігорівна</v>
      </c>
      <c r="G3576" s="7" t="s">
        <v>10</v>
      </c>
      <c r="H3576" s="7">
        <v>1910</v>
      </c>
      <c r="I3576" s="8" t="str">
        <f ca="1">IFERROR(__xludf.DUMMYFUNCTION("IF
(
G3577=""фізична особа""
,
VLOOKUP(H3577,IMPORTRANGE(""https://docs.google.com/spreadsheets/d/14Bd19lYaqBhU8_DElYkX7l4wRkHqqCUFNJY4AfY3kHU/edit?usp=sharing  #gid=0"",""фіз особи new!relations_name""),6,FALSE)
,
(IF
(
G3577=""юридична особа""
,
VLOOKUP"&amp;"(H3577,IMPORTRANGE(""https://docs.google.com/spreadsheets/d/14Bd19lYaqBhU8_DElYkX7l4wRkHqqCUFNJY4AfY3kHU/edit?usp=sharing  #gid=0"",""фіз особи new!relations_name_uo""),7,FALSE)
,
)
))"),"АЛТУШКІН Ігор Олексійович")</f>
        <v>АЛТУШКІН Ігор Олексійович</v>
      </c>
      <c r="J3576" s="7" t="s">
        <v>12</v>
      </c>
    </row>
    <row r="3577" spans="1:10" ht="13.2">
      <c r="A3577" s="7">
        <v>3576</v>
      </c>
      <c r="B3577" s="7">
        <v>1</v>
      </c>
      <c r="C3577" s="7" t="s">
        <v>10</v>
      </c>
      <c r="D3577" s="7">
        <v>1917</v>
      </c>
      <c r="E3577" s="7" t="s">
        <v>11</v>
      </c>
      <c r="F3577" s="8" t="str">
        <f ca="1">IFERROR(__xludf.DUMMYFUNCTION("IF
(
C3578=""фізична особа""
,
VLOOKUP(D3578,IMPORTRANGE(""https://docs.google.com/spreadsheets/d/14Bd19lYaqBhU8_DElYkX7l4wRkHqqCUFNJY4AfY3kHU/edit?usp=sharing  #gid=0"",""фіз особи new!relations_name""),6,FALSE)
,
(IF
(
C3578=""юридична особа""
,
VLOOKUP"&amp;"(D3578,IMPORTRANGE(""https://docs.google.com/spreadsheets/d/14Bd19lYaqBhU8_DElYkX7l4wRkHqqCUFNJY4AfY3kHU/edit?usp=sharing  #gid=0"",""фіз особи new!relations_name_uo""),7,FALSE)
,
)
))"),"АНІСІМОВ Василь Васильович")</f>
        <v>АНІСІМОВ Василь Васильович</v>
      </c>
      <c r="G3577" s="7" t="s">
        <v>10</v>
      </c>
      <c r="H3577" s="7">
        <v>629</v>
      </c>
      <c r="I3577" s="8" t="str">
        <f ca="1">IFERROR(__xludf.DUMMYFUNCTION("IF
(
G3578=""фізична особа""
,
VLOOKUP(H3578,IMPORTRANGE(""https://docs.google.com/spreadsheets/d/14Bd19lYaqBhU8_DElYkX7l4wRkHqqCUFNJY4AfY3kHU/edit?usp=sharing  #gid=0"",""фіз особи new!relations_name""),6,FALSE)
,
(IF
(
G3578=""юридична особа""
,
VLOOKUP"&amp;"(H3578,IMPORTRANGE(""https://docs.google.com/spreadsheets/d/14Bd19lYaqBhU8_DElYkX7l4wRkHqqCUFNJY4AfY3kHU/edit?usp=sharing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3577" s="7" t="s">
        <v>11</v>
      </c>
    </row>
    <row r="3578" spans="1:10" ht="13.2">
      <c r="A3578" s="7">
        <v>3577</v>
      </c>
      <c r="B3578" s="7">
        <v>1</v>
      </c>
      <c r="C3578" s="7" t="s">
        <v>10</v>
      </c>
      <c r="D3578" s="7">
        <v>1917</v>
      </c>
      <c r="E3578" s="7" t="s">
        <v>11</v>
      </c>
      <c r="F3578" s="8" t="str">
        <f ca="1">IFERROR(__xludf.DUMMYFUNCTION("IF
(
C3579=""фізична особа""
,
VLOOKUP(D3579,IMPORTRANGE(""https://docs.google.com/spreadsheets/d/14Bd19lYaqBhU8_DElYkX7l4wRkHqqCUFNJY4AfY3kHU/edit?usp=sharing  #gid=0"",""фіз особи new!relations_name""),6,FALSE)
,
(IF
(
C3579=""юридична особа""
,
VLOOKUP"&amp;"(D3579,IMPORTRANGE(""https://docs.google.com/spreadsheets/d/14Bd19lYaqBhU8_DElYkX7l4wRkHqqCUFNJY4AfY3kHU/edit?usp=sharing  #gid=0"",""фіз особи new!relations_name_uo""),7,FALSE)
,
)
))"),"АНІСІМОВ Василь Васильович")</f>
        <v>АНІСІМОВ Василь Васильович</v>
      </c>
      <c r="G3578" s="7" t="s">
        <v>10</v>
      </c>
      <c r="H3578" s="7">
        <v>880</v>
      </c>
      <c r="I3578" s="8" t="str">
        <f ca="1">IFERROR(__xludf.DUMMYFUNCTION("IF
(
G3579=""фізична особа""
,
VLOOKUP(H3579,IMPORTRANGE(""https://docs.google.com/spreadsheets/d/14Bd19lYaqBhU8_DElYkX7l4wRkHqqCUFNJY4AfY3kHU/edit?usp=sharing  #gid=0"",""фіз особи new!relations_name""),6,FALSE)
,
(IF
(
G3579=""юридична особа""
,
VLOOKUP"&amp;"(H3579,IMPORTRANGE(""https://docs.google.com/spreadsheets/d/14Bd19lYaqBhU8_DElYkX7l4wRkHqqCUFNJY4AfY3kHU/edit?usp=sharing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578" s="7" t="s">
        <v>11</v>
      </c>
    </row>
    <row r="3579" spans="1:10" ht="13.2">
      <c r="A3579" s="7">
        <v>3578</v>
      </c>
      <c r="B3579" s="7">
        <v>1</v>
      </c>
      <c r="C3579" s="7" t="s">
        <v>10</v>
      </c>
      <c r="D3579" s="7">
        <v>1919</v>
      </c>
      <c r="E3579" s="7" t="s">
        <v>13</v>
      </c>
      <c r="F3579" s="8" t="str">
        <f ca="1">IFERROR(__xludf.DUMMYFUNCTION("IF
(
C3580=""фізична особа""
,
VLOOKUP(D3580,IMPORTRANGE(""https://docs.google.com/spreadsheets/d/14Bd19lYaqBhU8_DElYkX7l4wRkHqqCUFNJY4AfY3kHU/edit?usp=sharing  #gid=0"",""фіз особи new!relations_name""),6,FALSE)
,
(IF
(
C3580=""юридична особа""
,
VLOOKUP"&amp;"(D3580,IMPORTRANGE(""https://docs.google.com/spreadsheets/d/14Bd19lYaqBhU8_DElYkX7l4wRkHqqCUFNJY4AfY3kHU/edit?usp=sharing  #gid=0"",""фіз особи new!relations_name_uo""),7,FALSE)
,
)
))"),"АНІСІМОВА / ШЕЙФЕР Ганна Василівна")</f>
        <v>АНІСІМОВА / ШЕЙФЕР Ганна Василівна</v>
      </c>
      <c r="G3579" s="7" t="s">
        <v>10</v>
      </c>
      <c r="H3579" s="7">
        <v>1917</v>
      </c>
      <c r="I3579" s="8" t="str">
        <f ca="1">IFERROR(__xludf.DUMMYFUNCTION("IF
(
G3580=""фізична особа""
,
VLOOKUP(H3580,IMPORTRANGE(""https://docs.google.com/spreadsheets/d/14Bd19lYaqBhU8_DElYkX7l4wRkHqqCUFNJY4AfY3kHU/edit?usp=sharing  #gid=0"",""фіз особи new!relations_name""),6,FALSE)
,
(IF
(
G3580=""юридична особа""
,
VLOOKUP"&amp;"(H3580,IMPORTRANGE(""https://docs.google.com/spreadsheets/d/14Bd19lYaqBhU8_DElYkX7l4wRkHqqCUFNJY4AfY3kHU/edit?usp=sharing  #gid=0"",""фіз особи new!relations_name_uo""),7,FALSE)
,
)
))"),"АНІСІМОВ Василь Васильович")</f>
        <v>АНІСІМОВ Василь Васильович</v>
      </c>
      <c r="J3579" s="7" t="s">
        <v>12</v>
      </c>
    </row>
    <row r="3580" spans="1:10" ht="13.2">
      <c r="A3580" s="7">
        <v>3579</v>
      </c>
      <c r="B3580" s="7">
        <v>1</v>
      </c>
      <c r="C3580" s="7" t="s">
        <v>10</v>
      </c>
      <c r="D3580" s="7">
        <v>1921</v>
      </c>
      <c r="E3580" s="7" t="s">
        <v>15</v>
      </c>
      <c r="F3580" s="8" t="str">
        <f ca="1">IFERROR(__xludf.DUMMYFUNCTION("IF
(
C3581=""фізична особа""
,
VLOOKUP(D3581,IMPORTRANGE(""https://docs.google.com/spreadsheets/d/14Bd19lYaqBhU8_DElYkX7l4wRkHqqCUFNJY4AfY3kHU/edit?usp=sharing  #gid=0"",""фіз особи new!relations_name""),6,FALSE)
,
(IF
(
C3581=""юридична особа""
,
VLOOKUP"&amp;"(D3581,IMPORTRANGE(""https://docs.google.com/spreadsheets/d/14Bd19lYaqBhU8_DElYkX7l4wRkHqqCUFNJY4AfY3kHU/edit?usp=sharing  #gid=0"",""фіз особи new!relations_name_uo""),7,FALSE)
,
)
))"),"АНІСІМОВА Катерина")</f>
        <v>АНІСІМОВА Катерина</v>
      </c>
      <c r="G3580" s="7" t="s">
        <v>10</v>
      </c>
      <c r="H3580" s="7">
        <v>1917</v>
      </c>
      <c r="I3580" s="8" t="str">
        <f ca="1">IFERROR(__xludf.DUMMYFUNCTION("IF
(
G3581=""фізична особа""
,
VLOOKUP(H3581,IMPORTRANGE(""https://docs.google.com/spreadsheets/d/14Bd19lYaqBhU8_DElYkX7l4wRkHqqCUFNJY4AfY3kHU/edit?usp=sharing  #gid=0"",""фіз особи new!relations_name""),6,FALSE)
,
(IF
(
G3581=""юридична особа""
,
VLOOKUP"&amp;"(H3581,IMPORTRANGE(""https://docs.google.com/spreadsheets/d/14Bd19lYaqBhU8_DElYkX7l4wRkHqqCUFNJY4AfY3kHU/edit?usp=sharing  #gid=0"",""фіз особи new!relations_name_uo""),7,FALSE)
,
)
))"),"АНІСІМОВ Василь Васильович")</f>
        <v>АНІСІМОВ Василь Васильович</v>
      </c>
      <c r="J3580" s="7" t="s">
        <v>14</v>
      </c>
    </row>
    <row r="3581" spans="1:10" ht="13.2">
      <c r="A3581" s="7">
        <v>3580</v>
      </c>
      <c r="B3581" s="7">
        <v>1</v>
      </c>
      <c r="C3581" s="7" t="s">
        <v>10</v>
      </c>
      <c r="D3581" s="7">
        <v>1934</v>
      </c>
      <c r="E3581" s="7" t="s">
        <v>17</v>
      </c>
      <c r="F3581" s="8" t="str">
        <f ca="1">IFERROR(__xludf.DUMMYFUNCTION("IF
(
C3582=""фізична особа""
,
VLOOKUP(D3582,IMPORTRANGE(""https://docs.google.com/spreadsheets/d/14Bd19lYaqBhU8_DElYkX7l4wRkHqqCUFNJY4AfY3kHU/edit?usp=sharing  #gid=0"",""фіз особи new!relations_name""),6,FALSE)
,
(IF
(
C3582=""юридична особа""
,
VLOOKUP"&amp;"(D3582,IMPORTRANGE(""https://docs.google.com/spreadsheets/d/14Bd19lYaqBhU8_DElYkX7l4wRkHqqCUFNJY4AfY3kHU/edit?usp=sharing  #gid=0"",""фіз особи new!relations_name_uo""),7,FALSE)
,
)
))"),"АВДЄЄВ Антон Романович")</f>
        <v>АВДЄЄВ Антон Романович</v>
      </c>
      <c r="G3581" s="7" t="s">
        <v>10</v>
      </c>
      <c r="H3581" s="7">
        <v>1925</v>
      </c>
      <c r="I3581" s="8" t="str">
        <f ca="1">IFERROR(__xludf.DUMMYFUNCTION("IF
(
G3582=""фізична особа""
,
VLOOKUP(H3582,IMPORTRANGE(""https://docs.google.com/spreadsheets/d/14Bd19lYaqBhU8_DElYkX7l4wRkHqqCUFNJY4AfY3kHU/edit?usp=sharing  #gid=0"",""фіз особи new!relations_name""),6,FALSE)
,
(IF
(
G3582=""юридична особа""
,
VLOOKUP"&amp;"(H3582,IMPORTRANGE(""https://docs.google.com/spreadsheets/d/14Bd19lYaqBhU8_DElYkX7l4wRkHqqCUFNJY4AfY3kHU/edit?usp=sharing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3581" s="7" t="s">
        <v>12</v>
      </c>
    </row>
    <row r="3582" spans="1:10" ht="13.2">
      <c r="A3582" s="7">
        <v>3581</v>
      </c>
      <c r="B3582" s="7">
        <v>1</v>
      </c>
      <c r="C3582" s="7" t="s">
        <v>10</v>
      </c>
      <c r="D3582" s="7">
        <v>1953</v>
      </c>
      <c r="E3582" s="7" t="s">
        <v>15</v>
      </c>
      <c r="F3582" s="8" t="str">
        <f ca="1">IFERROR(__xludf.DUMMYFUNCTION("IF
(
C3583=""фізична особа""
,
VLOOKUP(D3583,IMPORTRANGE(""https://docs.google.com/spreadsheets/d/14Bd19lYaqBhU8_DElYkX7l4wRkHqqCUFNJY4AfY3kHU/edit?usp=sharing  #gid=0"",""фіз особи new!relations_name""),6,FALSE)
,
(IF
(
C3583=""юридична особа""
,
VLOOKUP"&amp;"(D3583,IMPORTRANGE(""https://docs.google.com/spreadsheets/d/14Bd19lYaqBhU8_DElYkX7l4wRkHqqCUFNJY4AfY3kHU/edit?usp=sharing  #gid=0"",""фіз особи new!relations_name_uo""),7,FALSE)
,
)
))"),"АВДОЛІАН / АВДОЛЯН Олена Вікторівна")</f>
        <v>АВДОЛІАН / АВДОЛЯН Олена Вікторівна</v>
      </c>
      <c r="G3582" s="7" t="s">
        <v>10</v>
      </c>
      <c r="H3582" s="7">
        <v>1952</v>
      </c>
      <c r="I3582" s="8" t="str">
        <f ca="1">IFERROR(__xludf.DUMMYFUNCTION("IF
(
G3583=""фізична особа""
,
VLOOKUP(H3583,IMPORTRANGE(""https://docs.google.com/spreadsheets/d/14Bd19lYaqBhU8_DElYkX7l4wRkHqqCUFNJY4AfY3kHU/edit?usp=sharing  #gid=0"",""фіз особи new!relations_name""),6,FALSE)
,
(IF
(
G3583=""юридична особа""
,
VLOOKUP"&amp;"(H3583,IMPORTRANGE(""https://docs.google.com/spreadsheets/d/14Bd19lYaqBhU8_DElYkX7l4wRkHqqCUFNJY4AfY3kHU/edit?usp=sharing  #gid=0"",""фіз особи new!relations_name_uo""),7,FALSE)
,
)
))"),"АВДОЛЯН Альберт Алікович")</f>
        <v>АВДОЛЯН Альберт Алікович</v>
      </c>
      <c r="J3582" s="7" t="s">
        <v>14</v>
      </c>
    </row>
    <row r="3583" spans="1:10" ht="13.2">
      <c r="A3583" s="7">
        <v>3582</v>
      </c>
      <c r="B3583" s="7">
        <v>1</v>
      </c>
      <c r="C3583" s="7" t="s">
        <v>10</v>
      </c>
      <c r="D3583" s="7">
        <v>1954</v>
      </c>
      <c r="E3583" s="7" t="s">
        <v>13</v>
      </c>
      <c r="F3583" s="8" t="str">
        <f ca="1">IFERROR(__xludf.DUMMYFUNCTION("IF
(
C3584=""фізична особа""
,
VLOOKUP(D3584,IMPORTRANGE(""https://docs.google.com/spreadsheets/d/14Bd19lYaqBhU8_DElYkX7l4wRkHqqCUFNJY4AfY3kHU/edit?usp=sharing  #gid=0"",""фіз особи new!relations_name""),6,FALSE)
,
(IF
(
C3584=""юридична особа""
,
VLOOKUP"&amp;"(D3584,IMPORTRANGE(""https://docs.google.com/spreadsheets/d/14Bd19lYaqBhU8_DElYkX7l4wRkHqqCUFNJY4AfY3kHU/edit?usp=sharing  #gid=0"",""фіз особи new!relations_name_uo""),7,FALSE)
,
)
))"),"АВДОЛЯН Олександра Альбертівна")</f>
        <v>АВДОЛЯН Олександра Альбертівна</v>
      </c>
      <c r="G3583" s="7" t="s">
        <v>10</v>
      </c>
      <c r="H3583" s="7">
        <v>1952</v>
      </c>
      <c r="I3583" s="8" t="str">
        <f ca="1">IFERROR(__xludf.DUMMYFUNCTION("IF
(
G3584=""фізична особа""
,
VLOOKUP(H3584,IMPORTRANGE(""https://docs.google.com/spreadsheets/d/14Bd19lYaqBhU8_DElYkX7l4wRkHqqCUFNJY4AfY3kHU/edit?usp=sharing  #gid=0"",""фіз особи new!relations_name""),6,FALSE)
,
(IF
(
G3584=""юридична особа""
,
VLOOKUP"&amp;"(H3584,IMPORTRANGE(""https://docs.google.com/spreadsheets/d/14Bd19lYaqBhU8_DElYkX7l4wRkHqqCUFNJY4AfY3kHU/edit?usp=sharing  #gid=0"",""фіз особи new!relations_name_uo""),7,FALSE)
,
)
))"),"АВДОЛЯН Альберт Алікович")</f>
        <v>АВДОЛЯН Альберт Алікович</v>
      </c>
      <c r="J3583" s="7" t="s">
        <v>12</v>
      </c>
    </row>
    <row r="3584" spans="1:10" ht="13.2">
      <c r="A3584" s="7">
        <v>3583</v>
      </c>
      <c r="B3584" s="7">
        <v>1</v>
      </c>
      <c r="C3584" s="7" t="s">
        <v>10</v>
      </c>
      <c r="D3584" s="7">
        <v>1955</v>
      </c>
      <c r="E3584" s="7" t="s">
        <v>13</v>
      </c>
      <c r="F3584" s="8" t="str">
        <f ca="1">IFERROR(__xludf.DUMMYFUNCTION("IF
(
C3585=""фізична особа""
,
VLOOKUP(D3585,IMPORTRANGE(""https://docs.google.com/spreadsheets/d/14Bd19lYaqBhU8_DElYkX7l4wRkHqqCUFNJY4AfY3kHU/edit?usp=sharing  #gid=0"",""фіз особи new!relations_name""),6,FALSE)
,
(IF
(
C3585=""юридична особа""
,
VLOOKUP"&amp;"(D3585,IMPORTRANGE(""https://docs.google.com/spreadsheets/d/14Bd19lYaqBhU8_DElYkX7l4wRkHqqCUFNJY4AfY3kHU/edit?usp=sharing  #gid=0"",""фіз особи new!relations_name_uo""),7,FALSE)
,
)
))"),"АВДОЛЯН Ельвіра Альбертівна")</f>
        <v>АВДОЛЯН Ельвіра Альбертівна</v>
      </c>
      <c r="G3584" s="7" t="s">
        <v>10</v>
      </c>
      <c r="H3584" s="7">
        <v>1952</v>
      </c>
      <c r="I3584" s="8" t="str">
        <f ca="1">IFERROR(__xludf.DUMMYFUNCTION("IF
(
G3585=""фізична особа""
,
VLOOKUP(H3585,IMPORTRANGE(""https://docs.google.com/spreadsheets/d/14Bd19lYaqBhU8_DElYkX7l4wRkHqqCUFNJY4AfY3kHU/edit?usp=sharing  #gid=0"",""фіз особи new!relations_name""),6,FALSE)
,
(IF
(
G3585=""юридична особа""
,
VLOOKUP"&amp;"(H3585,IMPORTRANGE(""https://docs.google.com/spreadsheets/d/14Bd19lYaqBhU8_DElYkX7l4wRkHqqCUFNJY4AfY3kHU/edit?usp=sharing  #gid=0"",""фіз особи new!relations_name_uo""),7,FALSE)
,
)
))"),"АВДОЛЯН Альберт Алікович")</f>
        <v>АВДОЛЯН Альберт Алікович</v>
      </c>
      <c r="J3584" s="7" t="s">
        <v>12</v>
      </c>
    </row>
    <row r="3585" spans="1:10" ht="13.2">
      <c r="A3585" s="7">
        <v>3584</v>
      </c>
      <c r="B3585" s="7">
        <v>1</v>
      </c>
      <c r="C3585" s="7" t="s">
        <v>10</v>
      </c>
      <c r="D3585" s="7">
        <v>1957</v>
      </c>
      <c r="E3585" s="7" t="s">
        <v>17</v>
      </c>
      <c r="F3585" s="8" t="str">
        <f ca="1">IFERROR(__xludf.DUMMYFUNCTION("IF
(
C3586=""фізична особа""
,
VLOOKUP(D3586,IMPORTRANGE(""https://docs.google.com/spreadsheets/d/14Bd19lYaqBhU8_DElYkX7l4wRkHqqCUFNJY4AfY3kHU/edit?usp=sharing  #gid=0"",""фіз особи new!relations_name""),6,FALSE)
,
(IF
(
C3586=""юридична особа""
,
VLOOKUP"&amp;"(D3586,IMPORTRANGE(""https://docs.google.com/spreadsheets/d/14Bd19lYaqBhU8_DElYkX7l4wRkHqqCUFNJY4AfY3kHU/edit?usp=sharing  #gid=0"",""фіз особи new!relations_name_uo""),7,FALSE)
,
)
))"),"АВДОЛЯН Гаспар Альбертович")</f>
        <v>АВДОЛЯН Гаспар Альбертович</v>
      </c>
      <c r="G3585" s="7" t="s">
        <v>10</v>
      </c>
      <c r="H3585" s="7">
        <v>1952</v>
      </c>
      <c r="I3585" s="8" t="str">
        <f ca="1">IFERROR(__xludf.DUMMYFUNCTION("IF
(
G3586=""фізична особа""
,
VLOOKUP(H3586,IMPORTRANGE(""https://docs.google.com/spreadsheets/d/14Bd19lYaqBhU8_DElYkX7l4wRkHqqCUFNJY4AfY3kHU/edit?usp=sharing  #gid=0"",""фіз особи new!relations_name""),6,FALSE)
,
(IF
(
G3586=""юридична особа""
,
VLOOKUP"&amp;"(H3586,IMPORTRANGE(""https://docs.google.com/spreadsheets/d/14Bd19lYaqBhU8_DElYkX7l4wRkHqqCUFNJY4AfY3kHU/edit?usp=sharing  #gid=0"",""фіз особи new!relations_name_uo""),7,FALSE)
,
)
))"),"АВДОЛЯН Альберт Алікович")</f>
        <v>АВДОЛЯН Альберт Алікович</v>
      </c>
      <c r="J3585" s="7" t="s">
        <v>12</v>
      </c>
    </row>
    <row r="3586" spans="1:10" ht="13.2">
      <c r="A3586" s="7">
        <v>3585</v>
      </c>
      <c r="B3586" s="7">
        <v>1</v>
      </c>
      <c r="C3586" s="7" t="s">
        <v>10</v>
      </c>
      <c r="D3586" s="7">
        <v>1959</v>
      </c>
      <c r="E3586" s="7" t="s">
        <v>17</v>
      </c>
      <c r="F3586" s="8" t="str">
        <f ca="1">IFERROR(__xludf.DUMMYFUNCTION("IF
(
C3587=""фізична особа""
,
VLOOKUP(D3587,IMPORTRANGE(""https://docs.google.com/spreadsheets/d/14Bd19lYaqBhU8_DElYkX7l4wRkHqqCUFNJY4AfY3kHU/edit?usp=sharing  #gid=0"",""фіз особи new!relations_name""),6,FALSE)
,
(IF
(
C3587=""юридична особа""
,
VLOOKUP"&amp;"(D3587,IMPORTRANGE(""https://docs.google.com/spreadsheets/d/14Bd19lYaqBhU8_DElYkX7l4wRkHqqCUFNJY4AfY3kHU/edit?usp=sharing  #gid=0"",""фіз особи new!relations_name_uo""),7,FALSE)
,
)
))"),"АВЕН Денис Петрович")</f>
        <v>АВЕН Денис Петрович</v>
      </c>
      <c r="G3586" s="7" t="s">
        <v>10</v>
      </c>
      <c r="H3586" s="7">
        <v>595</v>
      </c>
      <c r="I3586" s="8" t="str">
        <f ca="1">IFERROR(__xludf.DUMMYFUNCTION("IF
(
G3587=""фізична особа""
,
VLOOKUP(H3587,IMPORTRANGE(""https://docs.google.com/spreadsheets/d/14Bd19lYaqBhU8_DElYkX7l4wRkHqqCUFNJY4AfY3kHU/edit?usp=sharing  #gid=0"",""фіз особи new!relations_name""),6,FALSE)
,
(IF
(
G3587=""юридична особа""
,
VLOOKUP"&amp;"(H3587,IMPORTRANGE(""https://docs.google.com/spreadsheets/d/14Bd19lYaqBhU8_DElYkX7l4wRkHqqCUFNJY4AfY3kHU/edit?usp=sharing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3586" s="7" t="s">
        <v>12</v>
      </c>
    </row>
    <row r="3587" spans="1:10" ht="13.2">
      <c r="A3587" s="7">
        <v>3586</v>
      </c>
      <c r="B3587" s="7">
        <v>1</v>
      </c>
      <c r="C3587" s="7" t="s">
        <v>10</v>
      </c>
      <c r="D3587" s="7">
        <v>1960</v>
      </c>
      <c r="E3587" s="7" t="s">
        <v>17</v>
      </c>
      <c r="F3587" s="8" t="str">
        <f ca="1">IFERROR(__xludf.DUMMYFUNCTION("IF
(
C3588=""фізична особа""
,
VLOOKUP(D3588,IMPORTRANGE(""https://docs.google.com/spreadsheets/d/14Bd19lYaqBhU8_DElYkX7l4wRkHqqCUFNJY4AfY3kHU/edit?usp=sharing  #gid=0"",""фіз особи new!relations_name""),6,FALSE)
,
(IF
(
C3588=""юридична особа""
,
VLOOKUP"&amp;"(D3588,IMPORTRANGE(""https://docs.google.com/spreadsheets/d/14Bd19lYaqBhU8_DElYkX7l4wRkHqqCUFNJY4AfY3kHU/edit?usp=sharing  #gid=0"",""фіз особи new!relations_name_uo""),7,FALSE)
,
)
))"),"АВЕН Дарія Петрівна")</f>
        <v>АВЕН Дарія Петрівна</v>
      </c>
      <c r="G3587" s="7" t="s">
        <v>10</v>
      </c>
      <c r="H3587" s="7">
        <v>595</v>
      </c>
      <c r="I3587" s="8" t="str">
        <f ca="1">IFERROR(__xludf.DUMMYFUNCTION("IF
(
G3588=""фізична особа""
,
VLOOKUP(H3588,IMPORTRANGE(""https://docs.google.com/spreadsheets/d/14Bd19lYaqBhU8_DElYkX7l4wRkHqqCUFNJY4AfY3kHU/edit?usp=sharing  #gid=0"",""фіз особи new!relations_name""),6,FALSE)
,
(IF
(
G3588=""юридична особа""
,
VLOOKUP"&amp;"(H3588,IMPORTRANGE(""https://docs.google.com/spreadsheets/d/14Bd19lYaqBhU8_DElYkX7l4wRkHqqCUFNJY4AfY3kHU/edit?usp=sharing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3587" s="7" t="s">
        <v>12</v>
      </c>
    </row>
    <row r="3588" spans="1:10" ht="13.2">
      <c r="A3588" s="7">
        <v>3587</v>
      </c>
      <c r="B3588" s="7">
        <v>1</v>
      </c>
      <c r="C3588" s="7" t="s">
        <v>10</v>
      </c>
      <c r="D3588" s="7">
        <v>1964</v>
      </c>
      <c r="E3588" s="7" t="s">
        <v>13</v>
      </c>
      <c r="F3588" s="8" t="str">
        <f ca="1">IFERROR(__xludf.DUMMYFUNCTION("IF
(
C3589=""фізична особа""
,
VLOOKUP(D3589,IMPORTRANGE(""https://docs.google.com/spreadsheets/d/14Bd19lYaqBhU8_DElYkX7l4wRkHqqCUFNJY4AfY3kHU/edit?usp=sharing  #gid=0"",""фіз особи new!relations_name""),6,FALSE)
,
(IF
(
C3589=""юридична особа""
,
VLOOKUP"&amp;"(D3589,IMPORTRANGE(""https://docs.google.com/spreadsheets/d/14Bd19lYaqBhU8_DElYkX7l4wRkHqqCUFNJY4AfY3kHU/edit?usp=sharing  #gid=0"",""фіз особи new!relations_name_uo""),7,FALSE)
,
)
))"),"ЛУЖКОВА Олена Юріївна")</f>
        <v>ЛУЖКОВА Олена Юріївна</v>
      </c>
      <c r="G3588" s="7" t="s">
        <v>10</v>
      </c>
      <c r="H3588" s="7">
        <v>1962</v>
      </c>
      <c r="I3588" s="8" t="str">
        <f ca="1">IFERROR(__xludf.DUMMYFUNCTION("IF
(
G3589=""фізична особа""
,
VLOOKUP(H3589,IMPORTRANGE(""https://docs.google.com/spreadsheets/d/14Bd19lYaqBhU8_DElYkX7l4wRkHqqCUFNJY4AfY3kHU/edit?usp=sharing  #gid=0"",""фіз особи new!relations_name""),6,FALSE)
,
(IF
(
G3589=""юридична особа""
,
VLOOKUP"&amp;"(H3589,IMPORTRANGE(""https://docs.google.com/spreadsheets/d/14Bd19lYaqBhU8_DElYkX7l4wRkHqqCUFNJY4AfY3kHU/edit?usp=sharing  #gid=0"",""фіз особи new!relations_name_uo""),7,FALSE)
,
)
))"),"БАТУРІНА Олена Миколаївна")</f>
        <v>БАТУРІНА Олена Миколаївна</v>
      </c>
      <c r="J3588" s="7" t="s">
        <v>21</v>
      </c>
    </row>
    <row r="3589" spans="1:10" ht="13.2">
      <c r="A3589" s="7">
        <v>3588</v>
      </c>
      <c r="B3589" s="7">
        <v>1</v>
      </c>
      <c r="C3589" s="7" t="s">
        <v>10</v>
      </c>
      <c r="D3589" s="7">
        <v>1965</v>
      </c>
      <c r="E3589" s="7" t="s">
        <v>13</v>
      </c>
      <c r="F3589" s="8" t="str">
        <f ca="1">IFERROR(__xludf.DUMMYFUNCTION("IF
(
C3590=""фізична особа""
,
VLOOKUP(D3590,IMPORTRANGE(""https://docs.google.com/spreadsheets/d/14Bd19lYaqBhU8_DElYkX7l4wRkHqqCUFNJY4AfY3kHU/edit?usp=sharing  #gid=0"",""фіз особи new!relations_name""),6,FALSE)
,
(IF
(
C3590=""юридична особа""
,
VLOOKUP"&amp;"(D3590,IMPORTRANGE(""https://docs.google.com/spreadsheets/d/14Bd19lYaqBhU8_DElYkX7l4wRkHqqCUFNJY4AfY3kHU/edit?usp=sharing  #gid=0"",""фіз особи new!relations_name_uo""),7,FALSE)
,
)
))"),"ЛУЖКОВА Ольга Юріївна")</f>
        <v>ЛУЖКОВА Ольга Юріївна</v>
      </c>
      <c r="G3589" s="7" t="s">
        <v>10</v>
      </c>
      <c r="H3589" s="7">
        <v>1962</v>
      </c>
      <c r="I3589" s="8" t="str">
        <f ca="1">IFERROR(__xludf.DUMMYFUNCTION("IF
(
G3590=""фізична особа""
,
VLOOKUP(H3590,IMPORTRANGE(""https://docs.google.com/spreadsheets/d/14Bd19lYaqBhU8_DElYkX7l4wRkHqqCUFNJY4AfY3kHU/edit?usp=sharing  #gid=0"",""фіз особи new!relations_name""),6,FALSE)
,
(IF
(
G3590=""юридична особа""
,
VLOOKUP"&amp;"(H3590,IMPORTRANGE(""https://docs.google.com/spreadsheets/d/14Bd19lYaqBhU8_DElYkX7l4wRkHqqCUFNJY4AfY3kHU/edit?usp=sharing  #gid=0"",""фіз особи new!relations_name_uo""),7,FALSE)
,
)
))"),"БАТУРІНА Олена Миколаївна")</f>
        <v>БАТУРІНА Олена Миколаївна</v>
      </c>
      <c r="J3589" s="7" t="s">
        <v>21</v>
      </c>
    </row>
    <row r="3590" spans="1:10" ht="13.2">
      <c r="A3590" s="7">
        <v>3589</v>
      </c>
      <c r="B3590" s="7">
        <v>1</v>
      </c>
      <c r="C3590" s="7" t="s">
        <v>10</v>
      </c>
      <c r="D3590" s="7">
        <v>1967</v>
      </c>
      <c r="E3590" s="7" t="s">
        <v>15</v>
      </c>
      <c r="F3590" s="8" t="str">
        <f ca="1">IFERROR(__xludf.DUMMYFUNCTION("IF
(
C3591=""фізична особа""
,
VLOOKUP(D3591,IMPORTRANGE(""https://docs.google.com/spreadsheets/d/14Bd19lYaqBhU8_DElYkX7l4wRkHqqCUFNJY4AfY3kHU/edit?usp=sharing  #gid=0"",""фіз особи new!relations_name""),6,FALSE)
,
(IF
(
C3591=""юридична особа""
,
VLOOKUP"&amp;"(D3591,IMPORTRANGE(""https://docs.google.com/spreadsheets/d/14Bd19lYaqBhU8_DElYkX7l4wRkHqqCUFNJY4AfY3kHU/edit?usp=sharing  #gid=0"",""фіз особи new!relations_name_uo""),7,FALSE)
,
)
))"),"БЕРЬОЗКІНА Олена")</f>
        <v>БЕРЬОЗКІНА Олена</v>
      </c>
      <c r="G3590" s="7" t="s">
        <v>10</v>
      </c>
      <c r="H3590" s="7">
        <v>1966</v>
      </c>
      <c r="I3590" s="8" t="str">
        <f ca="1">IFERROR(__xludf.DUMMYFUNCTION("IF
(
G3591=""фізична особа""
,
VLOOKUP(H3591,IMPORTRANGE(""https://docs.google.com/spreadsheets/d/14Bd19lYaqBhU8_DElYkX7l4wRkHqqCUFNJY4AfY3kHU/edit?usp=sharing  #gid=0"",""фіз особи new!relations_name""),6,FALSE)
,
(IF
(
G3591=""юридична особа""
,
VLOOKUP"&amp;"(H3591,IMPORTRANGE(""https://docs.google.com/spreadsheets/d/14Bd19lYaqBhU8_DElYkX7l4wRkHqqCUFNJY4AfY3kHU/edit?usp=sharing  #gid=0"",""фіз особи new!relations_name_uo""),7,FALSE)
,
)
))"),"БЕРЬОЗКІН Григорій Вікторович")</f>
        <v>БЕРЬОЗКІН Григорій Вікторович</v>
      </c>
      <c r="J3590" s="7" t="s">
        <v>14</v>
      </c>
    </row>
    <row r="3591" spans="1:10" ht="13.2">
      <c r="A3591" s="7">
        <v>3590</v>
      </c>
      <c r="B3591" s="7">
        <v>1</v>
      </c>
      <c r="C3591" s="7" t="s">
        <v>10</v>
      </c>
      <c r="D3591" s="7">
        <v>1970</v>
      </c>
      <c r="E3591" s="7" t="s">
        <v>13</v>
      </c>
      <c r="F3591" s="8" t="str">
        <f ca="1">IFERROR(__xludf.DUMMYFUNCTION("IF
(
C3592=""фізична особа""
,
VLOOKUP(D3592,IMPORTRANGE(""https://docs.google.com/spreadsheets/d/14Bd19lYaqBhU8_DElYkX7l4wRkHqqCUFNJY4AfY3kHU/edit?usp=sharing  #gid=0"",""фіз особи new!relations_name""),6,FALSE)
,
(IF
(
C3592=""юридична особа""
,
VLOOKUP"&amp;"(D3592,IMPORTRANGE(""https://docs.google.com/spreadsheets/d/14Bd19lYaqBhU8_DElYkX7l4wRkHqqCUFNJY4AfY3kHU/edit?usp=sharing  #gid=0"",""фіз особи new!relations_name_uo""),7,FALSE)
,
)
))"),"БЕРЬОЗКІНА Ганна Григорівна")</f>
        <v>БЕРЬОЗКІНА Ганна Григорівна</v>
      </c>
      <c r="G3591" s="7" t="s">
        <v>10</v>
      </c>
      <c r="H3591" s="7">
        <v>1966</v>
      </c>
      <c r="I3591" s="8" t="str">
        <f ca="1">IFERROR(__xludf.DUMMYFUNCTION("IF
(
G3592=""фізична особа""
,
VLOOKUP(H3592,IMPORTRANGE(""https://docs.google.com/spreadsheets/d/14Bd19lYaqBhU8_DElYkX7l4wRkHqqCUFNJY4AfY3kHU/edit?usp=sharing  #gid=0"",""фіз особи new!relations_name""),6,FALSE)
,
(IF
(
G3592=""юридична особа""
,
VLOOKUP"&amp;"(H3592,IMPORTRANGE(""https://docs.google.com/spreadsheets/d/14Bd19lYaqBhU8_DElYkX7l4wRkHqqCUFNJY4AfY3kHU/edit?usp=sharing  #gid=0"",""фіз особи new!relations_name_uo""),7,FALSE)
,
)
))"),"БЕРЬОЗКІН Григорій Вікторович")</f>
        <v>БЕРЬОЗКІН Григорій Вікторович</v>
      </c>
      <c r="J3591" s="7" t="s">
        <v>12</v>
      </c>
    </row>
    <row r="3592" spans="1:10" ht="13.2">
      <c r="A3592" s="7">
        <v>3591</v>
      </c>
      <c r="B3592" s="7">
        <v>1</v>
      </c>
      <c r="C3592" s="7" t="s">
        <v>10</v>
      </c>
      <c r="D3592" s="7">
        <v>1977</v>
      </c>
      <c r="E3592" s="7" t="s">
        <v>11</v>
      </c>
      <c r="F3592" s="8" t="str">
        <f ca="1">IFERROR(__xludf.DUMMYFUNCTION("IF
(
C3593=""фізична особа""
,
VLOOKUP(D3593,IMPORTRANGE(""https://docs.google.com/spreadsheets/d/14Bd19lYaqBhU8_DElYkX7l4wRkHqqCUFNJY4AfY3kHU/edit?usp=sharing  #gid=0"",""фіз особи new!relations_name""),6,FALSE)
,
(IF
(
C3593=""юридична особа""
,
VLOOKUP"&amp;"(D3593,IMPORTRANGE(""https://docs.google.com/spreadsheets/d/14Bd19lYaqBhU8_DElYkX7l4wRkHqqCUFNJY4AfY3kHU/edit?usp=sharing  #gid=0"",""фіз особи new!relations_name_uo""),7,FALSE)
,
)
))"),"ФЕДУН Леонід Арнольдович")</f>
        <v>ФЕДУН Леонід Арнольдович</v>
      </c>
      <c r="G3592" s="7" t="s">
        <v>10</v>
      </c>
      <c r="H3592" s="7">
        <v>2267</v>
      </c>
      <c r="I3592" s="8" t="str">
        <f ca="1">IFERROR(__xludf.DUMMYFUNCTION("IF
(
G3593=""фізична особа""
,
VLOOKUP(H3593,IMPORTRANGE(""https://docs.google.com/spreadsheets/d/14Bd19lYaqBhU8_DElYkX7l4wRkHqqCUFNJY4AfY3kHU/edit?usp=sharing  #gid=0"",""фіз особи new!relations_name""),6,FALSE)
,
(IF
(
G3593=""юридична особа""
,
VLOOKUP"&amp;"(H3593,IMPORTRANGE(""https://docs.google.com/spreadsheets/d/14Bd19lYaqBhU8_DElYkX7l4wRkHqqCUFNJY4AfY3kHU/edit?usp=sharing  #gid=0"",""фіз особи new!relations_name_uo""),7,FALSE)
,
)
))"),"АЛЕКПЕРОВ Вагіт Юсуфович")</f>
        <v>АЛЕКПЕРОВ Вагіт Юсуфович</v>
      </c>
      <c r="J3592" s="7" t="s">
        <v>11</v>
      </c>
    </row>
    <row r="3593" spans="1:10" ht="13.2">
      <c r="A3593" s="7">
        <v>3592</v>
      </c>
      <c r="B3593" s="7">
        <v>1</v>
      </c>
      <c r="C3593" s="7" t="s">
        <v>10</v>
      </c>
      <c r="D3593" s="7">
        <v>1981</v>
      </c>
      <c r="E3593" s="7" t="s">
        <v>17</v>
      </c>
      <c r="F3593" s="8" t="str">
        <f ca="1">IFERROR(__xludf.DUMMYFUNCTION("IF
(
C3594=""фізична особа""
,
VLOOKUP(D3594,IMPORTRANGE(""https://docs.google.com/spreadsheets/d/14Bd19lYaqBhU8_DElYkX7l4wRkHqqCUFNJY4AfY3kHU/edit?usp=sharing  #gid=0"",""фіз особи new!relations_name""),6,FALSE)
,
(IF
(
C3594=""юридична особа""
,
VLOOKUP"&amp;"(D3594,IMPORTRANGE(""https://docs.google.com/spreadsheets/d/14Bd19lYaqBhU8_DElYkX7l4wRkHqqCUFNJY4AfY3kHU/edit?usp=sharing  #gid=0"",""фіз особи new!relations_name_uo""),7,FALSE)
,
)
))"),"ОЖЕЛЬСЬКИЙ Олександр Михайлович")</f>
        <v>ОЖЕЛЬСЬКИЙ Олександр Михайлович</v>
      </c>
      <c r="G3593" s="7" t="s">
        <v>10</v>
      </c>
      <c r="H3593" s="7">
        <v>451</v>
      </c>
      <c r="I3593" s="8" t="str">
        <f ca="1">IFERROR(__xludf.DUMMYFUNCTION("IF
(
G3594=""фізична особа""
,
VLOOKUP(H3594,IMPORTRANGE(""https://docs.google.com/spreadsheets/d/14Bd19lYaqBhU8_DElYkX7l4wRkHqqCUFNJY4AfY3kHU/edit?usp=sharing  #gid=0"",""фіз особи new!relations_name""),6,FALSE)
,
(IF
(
G3594=""юридична особа""
,
VLOOKUP"&amp;"(H3594,IMPORTRANGE(""https://docs.google.com/spreadsheets/d/14Bd19lYaqBhU8_DElYkX7l4wRkHqqCUFNJY4AfY3kHU/edit?usp=sharing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3593" s="7" t="s">
        <v>12</v>
      </c>
    </row>
    <row r="3594" spans="1:10" ht="13.2">
      <c r="A3594" s="7">
        <v>3593</v>
      </c>
      <c r="B3594" s="7">
        <v>1</v>
      </c>
      <c r="C3594" s="7" t="s">
        <v>10</v>
      </c>
      <c r="D3594" s="7">
        <v>1984</v>
      </c>
      <c r="E3594" s="7" t="s">
        <v>11</v>
      </c>
      <c r="F3594" s="8" t="str">
        <f ca="1">IFERROR(__xludf.DUMMYFUNCTION("IF
(
C3595=""фізична особа""
,
VLOOKUP(D3595,IMPORTRANGE(""https://docs.google.com/spreadsheets/d/14Bd19lYaqBhU8_DElYkX7l4wRkHqqCUFNJY4AfY3kHU/edit?usp=sharing  #gid=0"",""фіз особи new!relations_name""),6,FALSE)
,
(IF
(
C3595=""юридична особа""
,
VLOOKUP"&amp;"(D3595,IMPORTRANGE(""https://docs.google.com/spreadsheets/d/14Bd19lYaqBhU8_DElYkX7l4wRkHqqCUFNJY4AfY3kHU/edit?usp=sharing  #gid=0"",""фіз особи new!relations_name_uo""),7,FALSE)
,
)
))"),"ФРОЛОВ Олександр Володимирович")</f>
        <v>ФРОЛОВ Олександр Володимирович</v>
      </c>
      <c r="G3594" s="7" t="s">
        <v>10</v>
      </c>
      <c r="H3594" s="7">
        <v>1877</v>
      </c>
      <c r="I3594" s="8" t="str">
        <f ca="1">IFERROR(__xludf.DUMMYFUNCTION("IF
(
G3595=""фізична особа""
,
VLOOKUP(H3595,IMPORTRANGE(""https://docs.google.com/spreadsheets/d/14Bd19lYaqBhU8_DElYkX7l4wRkHqqCUFNJY4AfY3kHU/edit?usp=sharing  #gid=0"",""фіз особи new!relations_name""),6,FALSE)
,
(IF
(
G3595=""юридична особа""
,
VLOOKUP"&amp;"(H3595,IMPORTRANGE(""https://docs.google.com/spreadsheets/d/14Bd19lYaqBhU8_DElYkX7l4wRkHqqCUFNJY4AfY3kHU/edit?usp=sharing  #gid=0"",""фіз особи new!relations_name_uo""),7,FALSE)
,
)
))"),"АБРАМОВ Олександр Григорович")</f>
        <v>АБРАМОВ Олександр Григорович</v>
      </c>
      <c r="J3594" s="7" t="s">
        <v>11</v>
      </c>
    </row>
    <row r="3595" spans="1:10" ht="13.2">
      <c r="A3595" s="7">
        <v>3594</v>
      </c>
      <c r="B3595" s="7">
        <v>1</v>
      </c>
      <c r="C3595" s="7" t="s">
        <v>10</v>
      </c>
      <c r="D3595" s="7">
        <v>1984</v>
      </c>
      <c r="E3595" s="7" t="s">
        <v>11</v>
      </c>
      <c r="F3595" s="8" t="str">
        <f ca="1">IFERROR(__xludf.DUMMYFUNCTION("IF
(
C3596=""фізична особа""
,
VLOOKUP(D3596,IMPORTRANGE(""https://docs.google.com/spreadsheets/d/14Bd19lYaqBhU8_DElYkX7l4wRkHqqCUFNJY4AfY3kHU/edit?usp=sharing  #gid=0"",""фіз особи new!relations_name""),6,FALSE)
,
(IF
(
C3596=""юридична особа""
,
VLOOKUP"&amp;"(D3596,IMPORTRANGE(""https://docs.google.com/spreadsheets/d/14Bd19lYaqBhU8_DElYkX7l4wRkHqqCUFNJY4AfY3kHU/edit?usp=sharing  #gid=0"",""фіз особи new!relations_name_uo""),7,FALSE)
,
)
))"),"ФРОЛОВ Олександр Володимирович")</f>
        <v>ФРОЛОВ Олександр Володимирович</v>
      </c>
      <c r="G3595" s="7" t="s">
        <v>10</v>
      </c>
      <c r="H3595" s="7">
        <v>620</v>
      </c>
      <c r="I3595" s="8" t="str">
        <f ca="1">IFERROR(__xludf.DUMMYFUNCTION("IF
(
G3596=""фізична особа""
,
VLOOKUP(H3596,IMPORTRANGE(""https://docs.google.com/spreadsheets/d/14Bd19lYaqBhU8_DElYkX7l4wRkHqqCUFNJY4AfY3kHU/edit?usp=sharing  #gid=0"",""фіз особи new!relations_name""),6,FALSE)
,
(IF
(
G3596=""юридична особа""
,
VLOOKUP"&amp;"(H3596,IMPORTRANGE(""https://docs.google.com/spreadsheets/d/14Bd19lYaqBhU8_DElYkX7l4wRkHqqCUFNJY4AfY3kHU/edit?usp=sharing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595" s="7" t="s">
        <v>11</v>
      </c>
    </row>
    <row r="3596" spans="1:10" ht="13.2">
      <c r="A3596" s="7">
        <v>3595</v>
      </c>
      <c r="B3596" s="7">
        <v>1</v>
      </c>
      <c r="C3596" s="7" t="s">
        <v>10</v>
      </c>
      <c r="D3596" s="7">
        <v>1984</v>
      </c>
      <c r="E3596" s="7" t="s">
        <v>11</v>
      </c>
      <c r="F3596" s="8" t="str">
        <f ca="1">IFERROR(__xludf.DUMMYFUNCTION("IF
(
C3597=""фізична особа""
,
VLOOKUP(D3597,IMPORTRANGE(""https://docs.google.com/spreadsheets/d/14Bd19lYaqBhU8_DElYkX7l4wRkHqqCUFNJY4AfY3kHU/edit?usp=sharing  #gid=0"",""фіз особи new!relations_name""),6,FALSE)
,
(IF
(
C3597=""юридична особа""
,
VLOOKUP"&amp;"(D3597,IMPORTRANGE(""https://docs.google.com/spreadsheets/d/14Bd19lYaqBhU8_DElYkX7l4wRkHqqCUFNJY4AfY3kHU/edit?usp=sharing  #gid=0"",""фіз особи new!relations_name_uo""),7,FALSE)
,
)
))"),"ФРОЛОВ Олександр Володимирович")</f>
        <v>ФРОЛОВ Олександр Володимирович</v>
      </c>
      <c r="G3596" s="7" t="s">
        <v>10</v>
      </c>
      <c r="H3596" s="7">
        <v>1877</v>
      </c>
      <c r="I3596" s="8" t="str">
        <f ca="1">IFERROR(__xludf.DUMMYFUNCTION("IF
(
G3597=""фізична особа""
,
VLOOKUP(H3597,IMPORTRANGE(""https://docs.google.com/spreadsheets/d/14Bd19lYaqBhU8_DElYkX7l4wRkHqqCUFNJY4AfY3kHU/edit?usp=sharing  #gid=0"",""фіз особи new!relations_name""),6,FALSE)
,
(IF
(
G3597=""юридична особа""
,
VLOOKUP"&amp;"(H3597,IMPORTRANGE(""https://docs.google.com/spreadsheets/d/14Bd19lYaqBhU8_DElYkX7l4wRkHqqCUFNJY4AfY3kHU/edit?usp=sharing  #gid=0"",""фіз особи new!relations_name_uo""),7,FALSE)
,
)
))"),"АБРАМОВ Олександр Григорович")</f>
        <v>АБРАМОВ Олександр Григорович</v>
      </c>
      <c r="J3596" s="7" t="s">
        <v>11</v>
      </c>
    </row>
    <row r="3597" spans="1:10" ht="13.2">
      <c r="A3597" s="7">
        <v>3596</v>
      </c>
      <c r="B3597" s="7">
        <v>1</v>
      </c>
      <c r="C3597" s="7" t="s">
        <v>10</v>
      </c>
      <c r="D3597" s="7">
        <v>1984</v>
      </c>
      <c r="E3597" s="7" t="s">
        <v>11</v>
      </c>
      <c r="F3597" s="8" t="str">
        <f ca="1">IFERROR(__xludf.DUMMYFUNCTION("IF
(
C3598=""фізична особа""
,
VLOOKUP(D3598,IMPORTRANGE(""https://docs.google.com/spreadsheets/d/14Bd19lYaqBhU8_DElYkX7l4wRkHqqCUFNJY4AfY3kHU/edit?usp=sharing  #gid=0"",""фіз особи new!relations_name""),6,FALSE)
,
(IF
(
C3598=""юридична особа""
,
VLOOKUP"&amp;"(D3598,IMPORTRANGE(""https://docs.google.com/spreadsheets/d/14Bd19lYaqBhU8_DElYkX7l4wRkHqqCUFNJY4AfY3kHU/edit?usp=sharing  #gid=0"",""фіз особи new!relations_name_uo""),7,FALSE)
,
)
))"),"ФРОЛОВ Олександр Володимирович")</f>
        <v>ФРОЛОВ Олександр Володимирович</v>
      </c>
      <c r="G3597" s="7" t="s">
        <v>10</v>
      </c>
      <c r="H3597" s="7">
        <v>969</v>
      </c>
      <c r="I3597" s="8" t="str">
        <f ca="1">IFERROR(__xludf.DUMMYFUNCTION("IF
(
G3598=""фізична особа""
,
VLOOKUP(H3598,IMPORTRANGE(""https://docs.google.com/spreadsheets/d/14Bd19lYaqBhU8_DElYkX7l4wRkHqqCUFNJY4AfY3kHU/edit?usp=sharing  #gid=0"",""фіз особи new!relations_name""),6,FALSE)
,
(IF
(
G3598=""юридична особа""
,
VLOOKUP"&amp;"(H3598,IMPORTRANGE(""https://docs.google.com/spreadsheets/d/14Bd19lYaqBhU8_DElYkX7l4wRkHqqCUFNJY4AfY3kHU/edit?usp=sharing  #gid=0"",""фіз особи new!relations_name_uo""),7,FALSE)
,
)
))"),"ШВІДЛЕР Євген Маркович")</f>
        <v>ШВІДЛЕР Євген Маркович</v>
      </c>
      <c r="J3597" s="7" t="s">
        <v>11</v>
      </c>
    </row>
    <row r="3598" spans="1:10" ht="13.2">
      <c r="A3598" s="7">
        <v>3597</v>
      </c>
      <c r="B3598" s="7">
        <v>1</v>
      </c>
      <c r="C3598" s="7" t="s">
        <v>10</v>
      </c>
      <c r="D3598" s="7">
        <v>1986</v>
      </c>
      <c r="E3598" s="7" t="s">
        <v>17</v>
      </c>
      <c r="F3598" s="8" t="str">
        <f ca="1">IFERROR(__xludf.DUMMYFUNCTION("IF
(
C3599=""фізична особа""
,
VLOOKUP(D3599,IMPORTRANGE(""https://docs.google.com/spreadsheets/d/14Bd19lYaqBhU8_DElYkX7l4wRkHqqCUFNJY4AfY3kHU/edit?usp=sharing  #gid=0"",""фіз особи new!relations_name""),6,FALSE)
,
(IF
(
C3599=""юридична особа""
,
VLOOKUP"&amp;"(D3599,IMPORTRANGE(""https://docs.google.com/spreadsheets/d/14Bd19lYaqBhU8_DElYkX7l4wRkHqqCUFNJY4AfY3kHU/edit?usp=sharing  #gid=0"",""фіз особи new!relations_name_uo""),7,FALSE)
,
)
))"),"ГУЦЕРІЄВ Саїд Михайлович")</f>
        <v>ГУЦЕРІЄВ Саїд Михайлович</v>
      </c>
      <c r="G3598" s="7" t="s">
        <v>10</v>
      </c>
      <c r="H3598" s="7">
        <v>3910</v>
      </c>
      <c r="I3598" s="8" t="str">
        <f ca="1">IFERROR(__xludf.DUMMYFUNCTION("IF
(
G3599=""фізична особа""
,
VLOOKUP(H3599,IMPORTRANGE(""https://docs.google.com/spreadsheets/d/14Bd19lYaqBhU8_DElYkX7l4wRkHqqCUFNJY4AfY3kHU/edit?usp=sharing  #gid=0"",""фіз особи new!relations_name""),6,FALSE)
,
(IF
(
G3599=""юридична особа""
,
VLOOKUP"&amp;"(H3599,IMPORTRANGE(""https://docs.google.com/spreadsheets/d/14Bd19lYaqBhU8_DElYkX7l4wRkHqqCUFNJY4AfY3kHU/edit?usp=sharing  #gid=0"",""фіз особи new!relations_name_uo""),7,FALSE)
,
)
))"),"ГУЦЕРІЄВ Михайло Сафарбекович")</f>
        <v>ГУЦЕРІЄВ Михайло Сафарбекович</v>
      </c>
      <c r="J3598" s="7" t="s">
        <v>12</v>
      </c>
    </row>
    <row r="3599" spans="1:10" ht="13.2">
      <c r="A3599" s="7">
        <v>3598</v>
      </c>
      <c r="B3599" s="7">
        <v>1</v>
      </c>
      <c r="C3599" s="7" t="s">
        <v>10</v>
      </c>
      <c r="D3599" s="7">
        <v>1987</v>
      </c>
      <c r="E3599" s="7" t="s">
        <v>13</v>
      </c>
      <c r="F3599" s="8" t="str">
        <f ca="1">IFERROR(__xludf.DUMMYFUNCTION("IF
(
C3600=""фізична особа""
,
VLOOKUP(D3600,IMPORTRANGE(""https://docs.google.com/spreadsheets/d/14Bd19lYaqBhU8_DElYkX7l4wRkHqqCUFNJY4AfY3kHU/edit?usp=sharing  #gid=0"",""фіз особи new!relations_name""),6,FALSE)
,
(IF
(
C3600=""юридична особа""
,
VLOOKUP"&amp;"(D3600,IMPORTRANGE(""https://docs.google.com/spreadsheets/d/14Bd19lYaqBhU8_DElYkX7l4wRkHqqCUFNJY4AfY3kHU/edit?usp=sharing  #gid=0"",""фіз особи new!relations_name_uo""),7,FALSE)
,
)
))"),"ГУЦЕРІЄВА Софія Михайлівна")</f>
        <v>ГУЦЕРІЄВА Софія Михайлівна</v>
      </c>
      <c r="G3599" s="7" t="s">
        <v>10</v>
      </c>
      <c r="H3599" s="7">
        <v>3910</v>
      </c>
      <c r="I3599" s="8" t="str">
        <f ca="1">IFERROR(__xludf.DUMMYFUNCTION("IF
(
G3600=""фізична особа""
,
VLOOKUP(H3600,IMPORTRANGE(""https://docs.google.com/spreadsheets/d/14Bd19lYaqBhU8_DElYkX7l4wRkHqqCUFNJY4AfY3kHU/edit?usp=sharing  #gid=0"",""фіз особи new!relations_name""),6,FALSE)
,
(IF
(
G3600=""юридична особа""
,
VLOOKUP"&amp;"(H3600,IMPORTRANGE(""https://docs.google.com/spreadsheets/d/14Bd19lYaqBhU8_DElYkX7l4wRkHqqCUFNJY4AfY3kHU/edit?usp=sharing  #gid=0"",""фіз особи new!relations_name_uo""),7,FALSE)
,
)
))"),"ГУЦЕРІЄВ Михайло Сафарбекович")</f>
        <v>ГУЦЕРІЄВ Михайло Сафарбекович</v>
      </c>
      <c r="J3599" s="7" t="s">
        <v>12</v>
      </c>
    </row>
    <row r="3600" spans="1:10" ht="13.2">
      <c r="A3600" s="7">
        <v>3599</v>
      </c>
      <c r="B3600" s="7">
        <v>1</v>
      </c>
      <c r="C3600" s="7" t="s">
        <v>10</v>
      </c>
      <c r="D3600" s="7">
        <v>1995</v>
      </c>
      <c r="E3600" s="7" t="s">
        <v>11</v>
      </c>
      <c r="F3600" s="8" t="str">
        <f ca="1">IFERROR(__xludf.DUMMYFUNCTION("IF
(
C3601=""фізична особа""
,
VLOOKUP(D3601,IMPORTRANGE(""https://docs.google.com/spreadsheets/d/14Bd19lYaqBhU8_DElYkX7l4wRkHqqCUFNJY4AfY3kHU/edit?usp=sharing  #gid=0"",""фіз особи new!relations_name""),6,FALSE)
,
(IF
(
C3601=""юридична особа""
,
VLOOKUP"&amp;"(D3601,IMPORTRANGE(""https://docs.google.com/spreadsheets/d/14Bd19lYaqBhU8_DElYkX7l4wRkHqqCUFNJY4AfY3kHU/edit?usp=sharing  #gid=0"",""фіз особи new!relations_name_uo""),7,FALSE)
,
)
))"),"ХАРИТОНІН Віктор Володимирович")</f>
        <v>ХАРИТОНІН Віктор Володимирович</v>
      </c>
      <c r="G3600" s="7" t="s">
        <v>10</v>
      </c>
      <c r="H3600" s="7">
        <v>620</v>
      </c>
      <c r="I3600" s="8" t="str">
        <f ca="1">IFERROR(__xludf.DUMMYFUNCTION("IF
(
G3601=""фізична особа""
,
VLOOKUP(H3601,IMPORTRANGE(""https://docs.google.com/spreadsheets/d/14Bd19lYaqBhU8_DElYkX7l4wRkHqqCUFNJY4AfY3kHU/edit?usp=sharing  #gid=0"",""фіз особи new!relations_name""),6,FALSE)
,
(IF
(
G3601=""юридична особа""
,
VLOOKUP"&amp;"(H3601,IMPORTRANGE(""https://docs.google.com/spreadsheets/d/14Bd19lYaqBhU8_DElYkX7l4wRkHqqCUFNJY4AfY3kHU/edit?usp=sharing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600" s="7" t="s">
        <v>11</v>
      </c>
    </row>
    <row r="3601" spans="1:10" ht="13.2">
      <c r="A3601" s="7">
        <v>3600</v>
      </c>
      <c r="B3601" s="7">
        <v>1</v>
      </c>
      <c r="C3601" s="7" t="s">
        <v>10</v>
      </c>
      <c r="D3601" s="7">
        <v>2001</v>
      </c>
      <c r="E3601" s="7" t="s">
        <v>15</v>
      </c>
      <c r="F3601" s="8" t="str">
        <f ca="1">IFERROR(__xludf.DUMMYFUNCTION("IF
(
C3602=""фізична особа""
,
VLOOKUP(D3602,IMPORTRANGE(""https://docs.google.com/spreadsheets/d/14Bd19lYaqBhU8_DElYkX7l4wRkHqqCUFNJY4AfY3kHU/edit?usp=sharing  #gid=0"",""фіз особи new!relations_name""),6,FALSE)
,
(IF
(
C3602=""юридична особа""
,
VLOOKUP"&amp;"(D3602,IMPORTRANGE(""https://docs.google.com/spreadsheets/d/14Bd19lYaqBhU8_DElYkX7l4wRkHqqCUFNJY4AfY3kHU/edit?usp=sharing  #gid=0"",""фіз особи new!relations_name_uo""),7,FALSE)
,
)
))"),"ГОРДЄЄВА Наталія Володимирівна")</f>
        <v>ГОРДЄЄВА Наталія Володимирівна</v>
      </c>
      <c r="G3601" s="7" t="s">
        <v>10</v>
      </c>
      <c r="H3601" s="7">
        <v>49</v>
      </c>
      <c r="I3601" s="8" t="str">
        <f ca="1">IFERROR(__xludf.DUMMYFUNCTION("IF
(
G3602=""фізична особа""
,
VLOOKUP(H3602,IMPORTRANGE(""https://docs.google.com/spreadsheets/d/14Bd19lYaqBhU8_DElYkX7l4wRkHqqCUFNJY4AfY3kHU/edit?usp=sharing  #gid=0"",""фіз особи new!relations_name""),6,FALSE)
,
(IF
(
G3602=""юридична особа""
,
VLOOKUP"&amp;"(H3602,IMPORTRANGE(""https://docs.google.com/spreadsheets/d/14Bd19lYaqBhU8_DElYkX7l4wRkHqqCUFNJY4AfY3kHU/edit?usp=sharing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3601" s="7" t="s">
        <v>14</v>
      </c>
    </row>
    <row r="3602" spans="1:10" ht="13.2">
      <c r="A3602" s="7">
        <v>3601</v>
      </c>
      <c r="B3602" s="7">
        <v>1</v>
      </c>
      <c r="C3602" s="7" t="s">
        <v>10</v>
      </c>
      <c r="D3602" s="7">
        <v>2008</v>
      </c>
      <c r="E3602" s="7" t="s">
        <v>48</v>
      </c>
      <c r="F3602" s="8" t="str">
        <f ca="1">IFERROR(__xludf.DUMMYFUNCTION("IF
(
C3603=""фізична особа""
,
VLOOKUP(D3603,IMPORTRANGE(""https://docs.google.com/spreadsheets/d/14Bd19lYaqBhU8_DElYkX7l4wRkHqqCUFNJY4AfY3kHU/edit?usp=sharing  #gid=0"",""фіз особи new!relations_name""),6,FALSE)
,
(IF
(
C3603=""юридична особа""
,
VLOOKUP"&amp;"(D3603,IMPORTRANGE(""https://docs.google.com/spreadsheets/d/14Bd19lYaqBhU8_DElYkX7l4wRkHqqCUFNJY4AfY3kHU/edit?usp=sharing  #gid=0"",""фіз особи new!relations_name_uo""),7,FALSE)
,
)
))"),"ЛИТВИНЕНКО Володимир Стефанович")</f>
        <v>ЛИТВИНЕНКО Володимир Стефанович</v>
      </c>
      <c r="G3602" s="7" t="s">
        <v>10</v>
      </c>
      <c r="H3602" s="7">
        <v>880</v>
      </c>
      <c r="I3602" s="8" t="str">
        <f ca="1">IFERROR(__xludf.DUMMYFUNCTION("IF
(
G3603=""фізична особа""
,
VLOOKUP(H3603,IMPORTRANGE(""https://docs.google.com/spreadsheets/d/14Bd19lYaqBhU8_DElYkX7l4wRkHqqCUFNJY4AfY3kHU/edit?usp=sharing  #gid=0"",""фіз особи new!relations_name""),6,FALSE)
,
(IF
(
G3603=""юридична особа""
,
VLOOKUP"&amp;"(H3603,IMPORTRANGE(""https://docs.google.com/spreadsheets/d/14Bd19lYaqBhU8_DElYkX7l4wRkHqqCUFNJY4AfY3kHU/edit?usp=sharing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02" s="7" t="s">
        <v>48</v>
      </c>
    </row>
    <row r="3603" spans="1:10" ht="13.2">
      <c r="A3603" s="7">
        <v>3602</v>
      </c>
      <c r="B3603" s="7">
        <v>1</v>
      </c>
      <c r="C3603" s="7" t="s">
        <v>10</v>
      </c>
      <c r="D3603" s="7">
        <v>2018</v>
      </c>
      <c r="E3603" s="7" t="s">
        <v>15</v>
      </c>
      <c r="F3603" s="8" t="str">
        <f ca="1">IFERROR(__xludf.DUMMYFUNCTION("IF
(
C3604=""фізична особа""
,
VLOOKUP(D3604,IMPORTRANGE(""https://docs.google.com/spreadsheets/d/14Bd19lYaqBhU8_DElYkX7l4wRkHqqCUFNJY4AfY3kHU/edit?usp=sharing  #gid=0"",""фіз особи new!relations_name""),6,FALSE)
,
(IF
(
C3604=""юридична особа""
,
VLOOKUP"&amp;"(D3604,IMPORTRANGE(""https://docs.google.com/spreadsheets/d/14Bd19lYaqBhU8_DElYkX7l4wRkHqqCUFNJY4AfY3kHU/edit?usp=sharing  #gid=0"",""фіз особи new!relations_name_uo""),7,FALSE)
,
)
))"),"МАНАСИР / САГУРА Вікторія Володимирівна")</f>
        <v>МАНАСИР / САГУРА Вікторія Володимирівна</v>
      </c>
      <c r="G3603" s="7" t="s">
        <v>10</v>
      </c>
      <c r="H3603" s="7">
        <v>2017</v>
      </c>
      <c r="I3603" s="8" t="str">
        <f ca="1">IFERROR(__xludf.DUMMYFUNCTION("IF
(
G3604=""фізична особа""
,
VLOOKUP(H3604,IMPORTRANGE(""https://docs.google.com/spreadsheets/d/14Bd19lYaqBhU8_DElYkX7l4wRkHqqCUFNJY4AfY3kHU/edit?usp=sharing  #gid=0"",""фіз особи new!relations_name""),6,FALSE)
,
(IF
(
G3604=""юридична особа""
,
VLOOKUP"&amp;"(H3604,IMPORTRANGE(""https://docs.google.com/spreadsheets/d/14Bd19lYaqBhU8_DElYkX7l4wRkHqqCUFNJY4AfY3kHU/edit?usp=sharing  #gid=0"",""фіз особи new!relations_name_uo""),7,FALSE)
,
)
))"),"МАНАСІР Зіяд")</f>
        <v>МАНАСІР Зіяд</v>
      </c>
      <c r="J3603" s="7" t="s">
        <v>14</v>
      </c>
    </row>
    <row r="3604" spans="1:10" ht="13.2">
      <c r="A3604" s="7">
        <v>3603</v>
      </c>
      <c r="B3604" s="7">
        <v>1</v>
      </c>
      <c r="C3604" s="7" t="s">
        <v>10</v>
      </c>
      <c r="D3604" s="7">
        <v>2020</v>
      </c>
      <c r="E3604" s="7" t="s">
        <v>17</v>
      </c>
      <c r="F3604" s="8" t="str">
        <f ca="1">IFERROR(__xludf.DUMMYFUNCTION("IF
(
C3605=""фізична особа""
,
VLOOKUP(D3605,IMPORTRANGE(""https://docs.google.com/spreadsheets/d/14Bd19lYaqBhU8_DElYkX7l4wRkHqqCUFNJY4AfY3kHU/edit?usp=sharing  #gid=0"",""фіз особи new!relations_name""),6,FALSE)
,
(IF
(
C3605=""юридична особа""
,
VLOOKUP"&amp;"(D3605,IMPORTRANGE(""https://docs.google.com/spreadsheets/d/14Bd19lYaqBhU8_DElYkX7l4wRkHqqCUFNJY4AfY3kHU/edit?usp=sharing  #gid=0"",""фіз особи new!relations_name_uo""),7,FALSE)
,
)
))"),"МАТВІЄНКО Сергій Володимирович")</f>
        <v>МАТВІЄНКО Сергій Володимирович</v>
      </c>
      <c r="G3604" s="7" t="s">
        <v>10</v>
      </c>
      <c r="H3604" s="7">
        <v>430</v>
      </c>
      <c r="I3604" s="8" t="str">
        <f ca="1">IFERROR(__xludf.DUMMYFUNCTION("IF
(
G3605=""фізична особа""
,
VLOOKUP(H3605,IMPORTRANGE(""https://docs.google.com/spreadsheets/d/14Bd19lYaqBhU8_DElYkX7l4wRkHqqCUFNJY4AfY3kHU/edit?usp=sharing  #gid=0"",""фіз особи new!relations_name""),6,FALSE)
,
(IF
(
G3605=""юридична особа""
,
VLOOKUP"&amp;"(H3605,IMPORTRANGE(""https://docs.google.com/spreadsheets/d/14Bd19lYaqBhU8_DElYkX7l4wRkHqqCUFNJY4AfY3kHU/edit?usp=sharing  #gid=0"",""фіз особи new!relations_name_uo""),7,FALSE)
,
)
))"),"МАТВІЄНКО Валентина Іванівна")</f>
        <v>МАТВІЄНКО Валентина Іванівна</v>
      </c>
      <c r="J3604" s="7" t="s">
        <v>21</v>
      </c>
    </row>
    <row r="3605" spans="1:10" ht="13.2">
      <c r="A3605" s="7">
        <v>3604</v>
      </c>
      <c r="B3605" s="7">
        <v>1</v>
      </c>
      <c r="C3605" s="7" t="s">
        <v>10</v>
      </c>
      <c r="D3605" s="7">
        <v>2022</v>
      </c>
      <c r="E3605" s="7" t="s">
        <v>17</v>
      </c>
      <c r="F3605" s="8" t="str">
        <f ca="1">IFERROR(__xludf.DUMMYFUNCTION("IF
(
C3606=""фізична особа""
,
VLOOKUP(D3606,IMPORTRANGE(""https://docs.google.com/spreadsheets/d/14Bd19lYaqBhU8_DElYkX7l4wRkHqqCUFNJY4AfY3kHU/edit?usp=sharing  #gid=0"",""фіз особи new!relations_name""),6,FALSE)
,
(IF
(
C3606=""юридична особа""
,
VLOOKUP"&amp;"(D3606,IMPORTRANGE(""https://docs.google.com/spreadsheets/d/14Bd19lYaqBhU8_DElYkX7l4wRkHqqCUFNJY4AfY3kHU/edit?usp=sharing  #gid=0"",""фіз особи new!relations_name_uo""),7,FALSE)
,
)
))"),"МЕДВЕДЄВ Ілля Дмитрович")</f>
        <v>МЕДВЕДЄВ Ілля Дмитрович</v>
      </c>
      <c r="G3605" s="7" t="s">
        <v>10</v>
      </c>
      <c r="H3605" s="7">
        <v>2021</v>
      </c>
      <c r="I3605" s="8" t="str">
        <f ca="1">IFERROR(__xludf.DUMMYFUNCTION("IF
(
G3606=""фізична особа""
,
VLOOKUP(H3606,IMPORTRANGE(""https://docs.google.com/spreadsheets/d/14Bd19lYaqBhU8_DElYkX7l4wRkHqqCUFNJY4AfY3kHU/edit?usp=sharing  #gid=0"",""фіз особи new!relations_name""),6,FALSE)
,
(IF
(
G3606=""юридична особа""
,
VLOOKUP"&amp;"(H3606,IMPORTRANGE(""https://docs.google.com/spreadsheets/d/14Bd19lYaqBhU8_DElYkX7l4wRkHqqCUFNJY4AfY3kHU/edit?usp=sharing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3605" s="7" t="s">
        <v>21</v>
      </c>
    </row>
    <row r="3606" spans="1:10" ht="13.2">
      <c r="A3606" s="7">
        <v>3605</v>
      </c>
      <c r="B3606" s="7">
        <v>1</v>
      </c>
      <c r="C3606" s="7" t="s">
        <v>10</v>
      </c>
      <c r="D3606" s="7">
        <v>2023</v>
      </c>
      <c r="E3606" s="7" t="s">
        <v>42</v>
      </c>
      <c r="F3606" s="8" t="str">
        <f ca="1">IFERROR(__xludf.DUMMYFUNCTION("IF
(
C3607=""фізична особа""
,
VLOOKUP(D3607,IMPORTRANGE(""https://docs.google.com/spreadsheets/d/14Bd19lYaqBhU8_DElYkX7l4wRkHqqCUFNJY4AfY3kHU/edit?usp=sharing  #gid=0"",""фіз особи new!relations_name""),6,FALSE)
,
(IF
(
C3607=""юридична особа""
,
VLOOKUP"&amp;"(D3607,IMPORTRANGE(""https://docs.google.com/spreadsheets/d/14Bd19lYaqBhU8_DElYkX7l4wRkHqqCUFNJY4AfY3kHU/edit?usp=sharing  #gid=0"",""фіз особи new!relations_name_uo""),7,FALSE)
,
)
))"),"МИХАЙЛОВА Лідія Іллівна")</f>
        <v>МИХАЙЛОВА Лідія Іллівна</v>
      </c>
      <c r="G3606" s="7" t="s">
        <v>10</v>
      </c>
      <c r="H3606" s="7">
        <v>23471</v>
      </c>
      <c r="I3606" s="8" t="str">
        <f ca="1">IFERROR(__xludf.DUMMYFUNCTION("IF
(
G3607=""фізична особа""
,
VLOOKUP(H3607,IMPORTRANGE(""https://docs.google.com/spreadsheets/d/14Bd19lYaqBhU8_DElYkX7l4wRkHqqCUFNJY4AfY3kHU/edit?usp=sharing  #gid=0"",""фіз особи new!relations_name""),6,FALSE)
,
(IF
(
G3607=""юридична особа""
,
VLOOKUP"&amp;"(H3607,IMPORTRANGE(""https://docs.google.com/spreadsheets/d/14Bd19lYaqBhU8_DElYkX7l4wRkHqqCUFNJY4AfY3kHU/edit?usp=sharing  #gid=0"",""фіз особи new!relations_name_uo""),7,FALSE)
,
)
))"),"БАБАЄВ Ігор Ерзолович")</f>
        <v>БАБАЄВ Ігор Ерзолович</v>
      </c>
      <c r="J3606" s="7" t="s">
        <v>43</v>
      </c>
    </row>
    <row r="3607" spans="1:10" ht="13.2">
      <c r="A3607" s="7">
        <v>3606</v>
      </c>
      <c r="B3607" s="7">
        <v>1</v>
      </c>
      <c r="C3607" s="7" t="s">
        <v>10</v>
      </c>
      <c r="D3607" s="7">
        <v>2040</v>
      </c>
      <c r="E3607" s="7" t="s">
        <v>18</v>
      </c>
      <c r="F3607" s="8" t="str">
        <f ca="1">IFERROR(__xludf.DUMMYFUNCTION("IF
(
C3608=""фізична особа""
,
VLOOKUP(D3608,IMPORTRANGE(""https://docs.google.com/spreadsheets/d/14Bd19lYaqBhU8_DElYkX7l4wRkHqqCUFNJY4AfY3kHU/edit?usp=sharing  #gid=0"",""фіз особи new!relations_name""),6,FALSE)
,
(IF
(
C3608=""юридична особа""
,
VLOOKUP"&amp;"(D3608,IMPORTRANGE(""https://docs.google.com/spreadsheets/d/14Bd19lYaqBhU8_DElYkX7l4wRkHqqCUFNJY4AfY3kHU/edit?usp=sharing  #gid=0"",""фіз особи new!relations_name_uo""),7,FALSE)
,
)
))"),"ПЄСКОВ Михайло Дмитрович")</f>
        <v>ПЄСКОВ Михайло Дмитрович</v>
      </c>
      <c r="G3607" s="7" t="s">
        <v>10</v>
      </c>
      <c r="H3607" s="7">
        <v>2041</v>
      </c>
      <c r="I3607" s="8" t="str">
        <f ca="1">IFERROR(__xludf.DUMMYFUNCTION("IF
(
G3608=""фізична особа""
,
VLOOKUP(H3608,IMPORTRANGE(""https://docs.google.com/spreadsheets/d/14Bd19lYaqBhU8_DElYkX7l4wRkHqqCUFNJY4AfY3kHU/edit?usp=sharing  #gid=0"",""фіз особи new!relations_name""),6,FALSE)
,
(IF
(
G3608=""юридична особа""
,
VLOOKUP"&amp;"(H3608,IMPORTRANGE(""https://docs.google.com/spreadsheets/d/14Bd19lYaqBhU8_DElYkX7l4wRkHqqCUFNJY4AfY3kHU/edit?usp=sharing  #gid=0"",""фіз особи new!relations_name_uo""),7,FALSE)
,
)
))"),"ПЄСКОВА Надія Дмитрівна")</f>
        <v>ПЄСКОВА Надія Дмитрівна</v>
      </c>
      <c r="J3607" s="7" t="s">
        <v>31</v>
      </c>
    </row>
    <row r="3608" spans="1:10" ht="13.2">
      <c r="A3608" s="7">
        <v>3607</v>
      </c>
      <c r="B3608" s="7">
        <v>1</v>
      </c>
      <c r="C3608" s="7" t="s">
        <v>10</v>
      </c>
      <c r="D3608" s="7">
        <v>2042</v>
      </c>
      <c r="E3608" s="7" t="s">
        <v>18</v>
      </c>
      <c r="F3608" s="8" t="str">
        <f ca="1">IFERROR(__xludf.DUMMYFUNCTION("IF
(
C3609=""фізична особа""
,
VLOOKUP(D3609,IMPORTRANGE(""https://docs.google.com/spreadsheets/d/14Bd19lYaqBhU8_DElYkX7l4wRkHqqCUFNJY4AfY3kHU/edit?usp=sharing  #gid=0"",""фіз особи new!relations_name""),6,FALSE)
,
(IF
(
C3609=""юридична особа""
,
VLOOKUP"&amp;"(D3609,IMPORTRANGE(""https://docs.google.com/spreadsheets/d/14Bd19lYaqBhU8_DElYkX7l4wRkHqqCUFNJY4AfY3kHU/edit?usp=sharing  #gid=0"",""фіз особи new!relations_name_uo""),7,FALSE)
,
)
))"),"ПЄСКОВ Дені Дмитрович")</f>
        <v>ПЄСКОВ Дені Дмитрович</v>
      </c>
      <c r="G3608" s="7" t="s">
        <v>10</v>
      </c>
      <c r="H3608" s="7">
        <v>2041</v>
      </c>
      <c r="I3608" s="8" t="str">
        <f ca="1">IFERROR(__xludf.DUMMYFUNCTION("IF
(
G3609=""фізична особа""
,
VLOOKUP(H3609,IMPORTRANGE(""https://docs.google.com/spreadsheets/d/14Bd19lYaqBhU8_DElYkX7l4wRkHqqCUFNJY4AfY3kHU/edit?usp=sharing  #gid=0"",""фіз особи new!relations_name""),6,FALSE)
,
(IF
(
G3609=""юридична особа""
,
VLOOKUP"&amp;"(H3609,IMPORTRANGE(""https://docs.google.com/spreadsheets/d/14Bd19lYaqBhU8_DElYkX7l4wRkHqqCUFNJY4AfY3kHU/edit?usp=sharing  #gid=0"",""фіз особи new!relations_name_uo""),7,FALSE)
,
)
))"),"ПЄСКОВА Надія Дмитрівна")</f>
        <v>ПЄСКОВА Надія Дмитрівна</v>
      </c>
      <c r="J3608" s="7" t="s">
        <v>31</v>
      </c>
    </row>
    <row r="3609" spans="1:10" ht="13.2">
      <c r="A3609" s="7">
        <v>3608</v>
      </c>
      <c r="B3609" s="7">
        <v>1</v>
      </c>
      <c r="C3609" s="7" t="s">
        <v>10</v>
      </c>
      <c r="D3609" s="7">
        <v>2042</v>
      </c>
      <c r="E3609" s="7" t="s">
        <v>18</v>
      </c>
      <c r="F3609" s="8" t="str">
        <f ca="1">IFERROR(__xludf.DUMMYFUNCTION("IF
(
C3610=""фізична особа""
,
VLOOKUP(D3610,IMPORTRANGE(""https://docs.google.com/spreadsheets/d/14Bd19lYaqBhU8_DElYkX7l4wRkHqqCUFNJY4AfY3kHU/edit?usp=sharing  #gid=0"",""фіз особи new!relations_name""),6,FALSE)
,
(IF
(
C3610=""юридична особа""
,
VLOOKUP"&amp;"(D3610,IMPORTRANGE(""https://docs.google.com/spreadsheets/d/14Bd19lYaqBhU8_DElYkX7l4wRkHqqCUFNJY4AfY3kHU/edit?usp=sharing  #gid=0"",""фіз особи new!relations_name_uo""),7,FALSE)
,
)
))"),"ПЄСКОВ Дені Дмитрович")</f>
        <v>ПЄСКОВ Дені Дмитрович</v>
      </c>
      <c r="G3609" s="7" t="s">
        <v>10</v>
      </c>
      <c r="H3609" s="7">
        <v>2040</v>
      </c>
      <c r="I3609" s="8" t="str">
        <f ca="1">IFERROR(__xludf.DUMMYFUNCTION("IF
(
G3610=""фізична особа""
,
VLOOKUP(H3610,IMPORTRANGE(""https://docs.google.com/spreadsheets/d/14Bd19lYaqBhU8_DElYkX7l4wRkHqqCUFNJY4AfY3kHU/edit?usp=sharing  #gid=0"",""фіз особи new!relations_name""),6,FALSE)
,
(IF
(
G3610=""юридична особа""
,
VLOOKUP"&amp;"(H3610,IMPORTRANGE(""https://docs.google.com/spreadsheets/d/14Bd19lYaqBhU8_DElYkX7l4wRkHqqCUFNJY4AfY3kHU/edit?usp=sharing  #gid=0"",""фіз особи new!relations_name_uo""),7,FALSE)
,
)
))"),"ПЄСКОВ Михайло Дмитрович")</f>
        <v>ПЄСКОВ Михайло Дмитрович</v>
      </c>
      <c r="J3609" s="7" t="s">
        <v>18</v>
      </c>
    </row>
    <row r="3610" spans="1:10" ht="13.2">
      <c r="A3610" s="7">
        <v>3609</v>
      </c>
      <c r="B3610" s="7">
        <v>1</v>
      </c>
      <c r="C3610" s="7" t="s">
        <v>10</v>
      </c>
      <c r="D3610" s="7">
        <v>2043</v>
      </c>
      <c r="E3610" s="7" t="s">
        <v>17</v>
      </c>
      <c r="F3610" s="8" t="str">
        <f ca="1">IFERROR(__xludf.DUMMYFUNCTION("IF
(
C3611=""фізична особа""
,
VLOOKUP(D3611,IMPORTRANGE(""https://docs.google.com/spreadsheets/d/14Bd19lYaqBhU8_DElYkX7l4wRkHqqCUFNJY4AfY3kHU/edit?usp=sharing  #gid=0"",""фіз особи new!relations_name""),6,FALSE)
,
(IF
(
C3611=""юридична особа""
,
VLOOKUP"&amp;"(D3611,IMPORTRANGE(""https://docs.google.com/spreadsheets/d/14Bd19lYaqBhU8_DElYkX7l4wRkHqqCUFNJY4AfY3kHU/edit?usp=sharing  #gid=0"",""фіз особи new!relations_name_uo""),7,FALSE)
,
)
))"),"ПОНОМАРЕНКО Микита Олександрович")</f>
        <v>ПОНОМАРЕНКО Микита Олександрович</v>
      </c>
      <c r="G3610" s="7" t="s">
        <v>10</v>
      </c>
      <c r="H3610" s="7">
        <v>645</v>
      </c>
      <c r="I3610" s="8" t="str">
        <f ca="1">IFERROR(__xludf.DUMMYFUNCTION("IF
(
G3611=""фізична особа""
,
VLOOKUP(H3611,IMPORTRANGE(""https://docs.google.com/spreadsheets/d/14Bd19lYaqBhU8_DElYkX7l4wRkHqqCUFNJY4AfY3kHU/edit?usp=sharing  #gid=0"",""фіз особи new!relations_name""),6,FALSE)
,
(IF
(
G3611=""юридична особа""
,
VLOOKUP"&amp;"(H3611,IMPORTRANGE(""https://docs.google.com/spreadsheets/d/14Bd19lYaqBhU8_DElYkX7l4wRkHqqCUFNJY4AfY3kHU/edit?usp=sharing  #gid=0"",""фіз особи new!relations_name_uo""),7,FALSE)
,
)
))"),"ПОНОМАРЕНКО Олександр Анатолійович")</f>
        <v>ПОНОМАРЕНКО Олександр Анатолійович</v>
      </c>
      <c r="J3610" s="7" t="s">
        <v>12</v>
      </c>
    </row>
    <row r="3611" spans="1:10" ht="13.2">
      <c r="A3611" s="7">
        <v>3610</v>
      </c>
      <c r="B3611" s="7">
        <v>1</v>
      </c>
      <c r="C3611" s="7" t="s">
        <v>10</v>
      </c>
      <c r="D3611" s="7">
        <v>2046</v>
      </c>
      <c r="E3611" s="7" t="s">
        <v>48</v>
      </c>
      <c r="F3611" s="8" t="str">
        <f ca="1">IFERROR(__xludf.DUMMYFUNCTION("IF
(
C3612=""фізична особа""
,
VLOOKUP(D3612,IMPORTRANGE(""https://docs.google.com/spreadsheets/d/14Bd19lYaqBhU8_DElYkX7l4wRkHqqCUFNJY4AfY3kHU/edit?usp=sharing  #gid=0"",""фіз особи new!relations_name""),6,FALSE)
,
(IF
(
C3612=""юридична особа""
,
VLOOKUP"&amp;"(D3612,IMPORTRANGE(""https://docs.google.com/spreadsheets/d/14Bd19lYaqBhU8_DElYkX7l4wRkHqqCUFNJY4AfY3kHU/edit?usp=sharing  #gid=0"",""фіз особи new!relations_name_uo""),7,FALSE)
,
)
))"),"РАХІМКУЛОВ Мегдет Нігматович")</f>
        <v>РАХІМКУЛОВ Мегдет Нігматович</v>
      </c>
      <c r="G3611" s="7" t="s">
        <v>10</v>
      </c>
      <c r="H3611" s="7">
        <v>880</v>
      </c>
      <c r="I3611" s="8" t="str">
        <f ca="1">IFERROR(__xludf.DUMMYFUNCTION("IF
(
G3612=""фізична особа""
,
VLOOKUP(H3612,IMPORTRANGE(""https://docs.google.com/spreadsheets/d/14Bd19lYaqBhU8_DElYkX7l4wRkHqqCUFNJY4AfY3kHU/edit?usp=sharing  #gid=0"",""фіз особи new!relations_name""),6,FALSE)
,
(IF
(
G3612=""юридична особа""
,
VLOOKUP"&amp;"(H3612,IMPORTRANGE(""https://docs.google.com/spreadsheets/d/14Bd19lYaqBhU8_DElYkX7l4wRkHqqCUFNJY4AfY3kHU/edit?usp=sharing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11" s="7" t="s">
        <v>48</v>
      </c>
    </row>
    <row r="3612" spans="1:10" ht="13.2">
      <c r="A3612" s="7">
        <v>3611</v>
      </c>
      <c r="B3612" s="7">
        <v>1</v>
      </c>
      <c r="C3612" s="7" t="s">
        <v>10</v>
      </c>
      <c r="D3612" s="7">
        <v>2048</v>
      </c>
      <c r="E3612" s="7" t="s">
        <v>17</v>
      </c>
      <c r="F3612" s="8" t="str">
        <f ca="1">IFERROR(__xludf.DUMMYFUNCTION("IF
(
C3613=""фізична особа""
,
VLOOKUP(D3613,IMPORTRANGE(""https://docs.google.com/spreadsheets/d/14Bd19lYaqBhU8_DElYkX7l4wRkHqqCUFNJY4AfY3kHU/edit?usp=sharing  #gid=0"",""фіз особи new!relations_name""),6,FALSE)
,
(IF
(
C3613=""юридична особа""
,
VLOOKUP"&amp;"(D3613,IMPORTRANGE(""https://docs.google.com/spreadsheets/d/14Bd19lYaqBhU8_DElYkX7l4wRkHqqCUFNJY4AfY3kHU/edit?usp=sharing  #gid=0"",""фіз особи new!relations_name_uo""),7,FALSE)
,
)
))"),"РАХІМКУЛОВ Тімур Мегдетович")</f>
        <v>РАХІМКУЛОВ Тімур Мегдетович</v>
      </c>
      <c r="G3612" s="7" t="s">
        <v>10</v>
      </c>
      <c r="H3612" s="7">
        <v>2046</v>
      </c>
      <c r="I3612" s="8" t="str">
        <f ca="1">IFERROR(__xludf.DUMMYFUNCTION("IF
(
G3613=""фізична особа""
,
VLOOKUP(H3613,IMPORTRANGE(""https://docs.google.com/spreadsheets/d/14Bd19lYaqBhU8_DElYkX7l4wRkHqqCUFNJY4AfY3kHU/edit?usp=sharing  #gid=0"",""фіз особи new!relations_name""),6,FALSE)
,
(IF
(
G3613=""юридична особа""
,
VLOOKUP"&amp;"(H3613,IMPORTRANGE(""https://docs.google.com/spreadsheets/d/14Bd19lYaqBhU8_DElYkX7l4wRkHqqCUFNJY4AfY3kHU/edit?usp=sharing  #gid=0"",""фіз особи new!relations_name_uo""),7,FALSE)
,
)
))"),"РАХІМКУЛОВ Мегдет Нігматович")</f>
        <v>РАХІМКУЛОВ Мегдет Нігматович</v>
      </c>
      <c r="J3612" s="7" t="s">
        <v>12</v>
      </c>
    </row>
    <row r="3613" spans="1:10" ht="13.2">
      <c r="A3613" s="7">
        <v>3612</v>
      </c>
      <c r="B3613" s="7">
        <v>1</v>
      </c>
      <c r="C3613" s="7" t="s">
        <v>10</v>
      </c>
      <c r="D3613" s="7">
        <v>2049</v>
      </c>
      <c r="E3613" s="7" t="s">
        <v>17</v>
      </c>
      <c r="F3613" s="8" t="str">
        <f ca="1">IFERROR(__xludf.DUMMYFUNCTION("IF
(
C3614=""фізична особа""
,
VLOOKUP(D3614,IMPORTRANGE(""https://docs.google.com/spreadsheets/d/14Bd19lYaqBhU8_DElYkX7l4wRkHqqCUFNJY4AfY3kHU/edit?usp=sharing  #gid=0"",""фіз особи new!relations_name""),6,FALSE)
,
(IF
(
C3614=""юридична особа""
,
VLOOKUP"&amp;"(D3614,IMPORTRANGE(""https://docs.google.com/spreadsheets/d/14Bd19lYaqBhU8_DElYkX7l4wRkHqqCUFNJY4AfY3kHU/edit?usp=sharing  #gid=0"",""фіз особи new!relations_name_uo""),7,FALSE)
,
)
))"),"РАХІМКУЛОВ Руслан Мегдітович")</f>
        <v>РАХІМКУЛОВ Руслан Мегдітович</v>
      </c>
      <c r="G3613" s="7" t="s">
        <v>10</v>
      </c>
      <c r="H3613" s="7">
        <v>2046</v>
      </c>
      <c r="I3613" s="8" t="str">
        <f ca="1">IFERROR(__xludf.DUMMYFUNCTION("IF
(
G3614=""фізична особа""
,
VLOOKUP(H3614,IMPORTRANGE(""https://docs.google.com/spreadsheets/d/14Bd19lYaqBhU8_DElYkX7l4wRkHqqCUFNJY4AfY3kHU/edit?usp=sharing  #gid=0"",""фіз особи new!relations_name""),6,FALSE)
,
(IF
(
G3614=""юридична особа""
,
VLOOKUP"&amp;"(H3614,IMPORTRANGE(""https://docs.google.com/spreadsheets/d/14Bd19lYaqBhU8_DElYkX7l4wRkHqqCUFNJY4AfY3kHU/edit?usp=sharing  #gid=0"",""фіз особи new!relations_name_uo""),7,FALSE)
,
)
))"),"РАХІМКУЛОВ Мегдет Нігматович")</f>
        <v>РАХІМКУЛОВ Мегдет Нігматович</v>
      </c>
      <c r="J3613" s="7" t="s">
        <v>12</v>
      </c>
    </row>
    <row r="3614" spans="1:10" ht="13.2">
      <c r="A3614" s="7">
        <v>3613</v>
      </c>
      <c r="B3614" s="7">
        <v>1</v>
      </c>
      <c r="C3614" s="7" t="s">
        <v>10</v>
      </c>
      <c r="D3614" s="7">
        <v>2050</v>
      </c>
      <c r="E3614" s="7" t="s">
        <v>48</v>
      </c>
      <c r="F3614" s="8" t="str">
        <f ca="1">IFERROR(__xludf.DUMMYFUNCTION("IF
(
C3615=""фізична особа""
,
VLOOKUP(D3615,IMPORTRANGE(""https://docs.google.com/spreadsheets/d/14Bd19lYaqBhU8_DElYkX7l4wRkHqqCUFNJY4AfY3kHU/edit?usp=sharing  #gid=0"",""фіз особи new!relations_name""),6,FALSE)
,
(IF
(
C3615=""юридична особа""
,
VLOOKUP"&amp;"(D3615,IMPORTRANGE(""https://docs.google.com/spreadsheets/d/14Bd19lYaqBhU8_DElYkX7l4wRkHqqCUFNJY4AfY3kHU/edit?usp=sharing  #gid=0"",""фіз особи new!relations_name_uo""),7,FALSE)
,
)
))"),"РАППОПОРТ Андрій Натанович")</f>
        <v>РАППОПОРТ Андрій Натанович</v>
      </c>
      <c r="G3614" s="7" t="s">
        <v>10</v>
      </c>
      <c r="H3614" s="7">
        <v>185</v>
      </c>
      <c r="I3614" s="8" t="str">
        <f ca="1">IFERROR(__xludf.DUMMYFUNCTION("IF
(
G3615=""фізична особа""
,
VLOOKUP(H3615,IMPORTRANGE(""https://docs.google.com/spreadsheets/d/14Bd19lYaqBhU8_DElYkX7l4wRkHqqCUFNJY4AfY3kHU/edit?usp=sharing  #gid=0"",""фіз особи new!relations_name""),6,FALSE)
,
(IF
(
G3615=""юридична особа""
,
VLOOKUP"&amp;"(H3615,IMPORTRANGE(""https://docs.google.com/spreadsheets/d/14Bd19lYaqBhU8_DElYkX7l4wRkHqqCUFNJY4AfY3kHU/edit?usp=sharing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3614" s="7" t="s">
        <v>48</v>
      </c>
    </row>
    <row r="3615" spans="1:10" ht="13.2">
      <c r="A3615" s="7">
        <v>3614</v>
      </c>
      <c r="B3615" s="7">
        <v>1</v>
      </c>
      <c r="C3615" s="7" t="s">
        <v>10</v>
      </c>
      <c r="D3615" s="7">
        <v>2052</v>
      </c>
      <c r="E3615" s="7" t="s">
        <v>15</v>
      </c>
      <c r="F3615" s="8" t="str">
        <f ca="1">IFERROR(__xludf.DUMMYFUNCTION("IF
(
C3616=""фізична особа""
,
VLOOKUP(D3616,IMPORTRANGE(""https://docs.google.com/spreadsheets/d/14Bd19lYaqBhU8_DElYkX7l4wRkHqqCUFNJY4AfY3kHU/edit?usp=sharing  #gid=0"",""фіз особи new!relations_name""),6,FALSE)
,
(IF
(
C3616=""юридична особа""
,
VLOOKUP"&amp;"(D3616,IMPORTRANGE(""https://docs.google.com/spreadsheets/d/14Bd19lYaqBhU8_DElYkX7l4wRkHqqCUFNJY4AfY3kHU/edit?usp=sharing  #gid=0"",""фіз особи new!relations_name_uo""),7,FALSE)
,
)
))"),"КУЗЬМІНА Тетяна Григорівна")</f>
        <v>КУЗЬМІНА Тетяна Григорівна</v>
      </c>
      <c r="G3615" s="7" t="s">
        <v>10</v>
      </c>
      <c r="H3615" s="7">
        <v>820</v>
      </c>
      <c r="I3615" s="8" t="str">
        <f ca="1">IFERROR(__xludf.DUMMYFUNCTION("IF
(
G3616=""фізична особа""
,
VLOOKUP(H3616,IMPORTRANGE(""https://docs.google.com/spreadsheets/d/14Bd19lYaqBhU8_DElYkX7l4wRkHqqCUFNJY4AfY3kHU/edit?usp=sharing  #gid=0"",""фіз особи new!relations_name""),6,FALSE)
,
(IF
(
G3616=""юридична особа""
,
VLOOKUP"&amp;"(H3616,IMPORTRANGE(""https://docs.google.com/spreadsheets/d/14Bd19lYaqBhU8_DElYkX7l4wRkHqqCUFNJY4AfY3kHU/edit?usp=sharing  #gid=0"",""фіз особи new!relations_name_uo""),7,FALSE)
,
)
))"),"РАШНІКОВ Віктор Пилипович")</f>
        <v>РАШНІКОВ Віктор Пилипович</v>
      </c>
      <c r="J3615" s="7" t="s">
        <v>14</v>
      </c>
    </row>
    <row r="3616" spans="1:10" ht="13.2">
      <c r="A3616" s="7">
        <v>3615</v>
      </c>
      <c r="B3616" s="7">
        <v>1</v>
      </c>
      <c r="C3616" s="7" t="s">
        <v>10</v>
      </c>
      <c r="D3616" s="7">
        <v>2053</v>
      </c>
      <c r="E3616" s="7" t="s">
        <v>13</v>
      </c>
      <c r="F3616" s="8" t="str">
        <f ca="1">IFERROR(__xludf.DUMMYFUNCTION("IF
(
C3617=""фізична особа""
,
VLOOKUP(D3617,IMPORTRANGE(""https://docs.google.com/spreadsheets/d/14Bd19lYaqBhU8_DElYkX7l4wRkHqqCUFNJY4AfY3kHU/edit?usp=sharing  #gid=0"",""фіз особи new!relations_name""),6,FALSE)
,
(IF
(
C3617=""юридична особа""
,
VLOOKUP"&amp;"(D3617,IMPORTRANGE(""https://docs.google.com/spreadsheets/d/14Bd19lYaqBhU8_DElYkX7l4wRkHqqCUFNJY4AfY3kHU/edit?usp=sharing  #gid=0"",""фіз особи new!relations_name_uo""),7,FALSE)
,
)
))"),"РОТЕНБЕРГ Варвара Аркадіївна")</f>
        <v>РОТЕНБЕРГ Варвара Аркадіївна</v>
      </c>
      <c r="G3616" s="7" t="s">
        <v>10</v>
      </c>
      <c r="H3616" s="7">
        <v>629</v>
      </c>
      <c r="I3616" s="8" t="str">
        <f ca="1">IFERROR(__xludf.DUMMYFUNCTION("IF
(
G3617=""фізична особа""
,
VLOOKUP(H3617,IMPORTRANGE(""https://docs.google.com/spreadsheets/d/14Bd19lYaqBhU8_DElYkX7l4wRkHqqCUFNJY4AfY3kHU/edit?usp=sharing  #gid=0"",""фіз особи new!relations_name""),6,FALSE)
,
(IF
(
G3617=""юридична особа""
,
VLOOKUP"&amp;"(H3617,IMPORTRANGE(""https://docs.google.com/spreadsheets/d/14Bd19lYaqBhU8_DElYkX7l4wRkHqqCUFNJY4AfY3kHU/edit?usp=sharing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3616" s="7" t="s">
        <v>12</v>
      </c>
    </row>
    <row r="3617" spans="1:10" ht="13.2">
      <c r="A3617" s="7">
        <v>3616</v>
      </c>
      <c r="B3617" s="7">
        <v>1</v>
      </c>
      <c r="C3617" s="7" t="s">
        <v>10</v>
      </c>
      <c r="D3617" s="7">
        <v>2055</v>
      </c>
      <c r="E3617" s="7" t="s">
        <v>23</v>
      </c>
      <c r="F3617" s="8" t="str">
        <f ca="1">IFERROR(__xludf.DUMMYFUNCTION("IF
(
C3618=""фізична особа""
,
VLOOKUP(D3618,IMPORTRANGE(""https://docs.google.com/spreadsheets/d/14Bd19lYaqBhU8_DElYkX7l4wRkHqqCUFNJY4AfY3kHU/edit?usp=sharing  #gid=0"",""фіз особи new!relations_name""),6,FALSE)
,
(IF
(
C3618=""юридична особа""
,
VLOOKUP"&amp;"(D3618,IMPORTRANGE(""https://docs.google.com/spreadsheets/d/14Bd19lYaqBhU8_DElYkX7l4wRkHqqCUFNJY4AfY3kHU/edit?usp=sharing  #gid=0"",""фіз особи new!relations_name_uo""),7,FALSE)
,
)
))"),"ЩЕРБОВИЧ Ілля Вікторович")</f>
        <v>ЩЕРБОВИЧ Ілля Вікторович</v>
      </c>
      <c r="G3617" s="7" t="s">
        <v>10</v>
      </c>
      <c r="H3617" s="7">
        <v>296</v>
      </c>
      <c r="I3617" s="8" t="str">
        <f ca="1">IFERROR(__xludf.DUMMYFUNCTION("IF
(
G3618=""фізична особа""
,
VLOOKUP(H3618,IMPORTRANGE(""https://docs.google.com/spreadsheets/d/14Bd19lYaqBhU8_DElYkX7l4wRkHqqCUFNJY4AfY3kHU/edit?usp=sharing  #gid=0"",""фіз особи new!relations_name""),6,FALSE)
,
(IF
(
G3618=""юридична особа""
,
VLOOKUP"&amp;"(H3618,IMPORTRANGE(""https://docs.google.com/spreadsheets/d/14Bd19lYaqBhU8_DElYkX7l4wRkHqqCUFNJY4AfY3kHU/edit?usp=sharing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3617" s="7" t="s">
        <v>23</v>
      </c>
    </row>
    <row r="3618" spans="1:10" ht="13.2">
      <c r="A3618" s="7">
        <v>3617</v>
      </c>
      <c r="B3618" s="7">
        <v>1</v>
      </c>
      <c r="C3618" s="7" t="s">
        <v>10</v>
      </c>
      <c r="D3618" s="7">
        <v>2057</v>
      </c>
      <c r="E3618" s="7" t="s">
        <v>17</v>
      </c>
      <c r="F3618" s="8" t="str">
        <f ca="1">IFERROR(__xludf.DUMMYFUNCTION("IF
(
C3619=""фізична особа""
,
VLOOKUP(D3619,IMPORTRANGE(""https://docs.google.com/spreadsheets/d/14Bd19lYaqBhU8_DElYkX7l4wRkHqqCUFNJY4AfY3kHU/edit?usp=sharing  #gid=0"",""фіз особи new!relations_name""),6,FALSE)
,
(IF
(
C3619=""юридична особа""
,
VLOOKUP"&amp;"(D3619,IMPORTRANGE(""https://docs.google.com/spreadsheets/d/14Bd19lYaqBhU8_DElYkX7l4wRkHqqCUFNJY4AfY3kHU/edit?usp=sharing  #gid=0"",""фіз особи new!relations_name_uo""),7,FALSE)
,
)
))"),"ШАЙМІЄВ Айрат Мінтімерович")</f>
        <v>ШАЙМІЄВ Айрат Мінтімерович</v>
      </c>
      <c r="G3618" s="7" t="s">
        <v>10</v>
      </c>
      <c r="H3618" s="7">
        <v>23472</v>
      </c>
      <c r="I3618" s="8" t="str">
        <f ca="1">IFERROR(__xludf.DUMMYFUNCTION("IF
(
G3619=""фізична особа""
,
VLOOKUP(H3619,IMPORTRANGE(""https://docs.google.com/spreadsheets/d/14Bd19lYaqBhU8_DElYkX7l4wRkHqqCUFNJY4AfY3kHU/edit?usp=sharing  #gid=0"",""фіз особи new!relations_name""),6,FALSE)
,
(IF
(
G3619=""юридична особа""
,
VLOOKUP"&amp;"(H3619,IMPORTRANGE(""https://docs.google.com/spreadsheets/d/14Bd19lYaqBhU8_DElYkX7l4wRkHqqCUFNJY4AfY3kHU/edit?usp=sharing  #gid=0"",""фіз особи new!relations_name_uo""),7,FALSE)
,
)
))"),"ШАЙМИЕВ Минтимер Шарипович")</f>
        <v>ШАЙМИЕВ Минтимер Шарипович</v>
      </c>
      <c r="J3618" s="7" t="s">
        <v>12</v>
      </c>
    </row>
    <row r="3619" spans="1:10" ht="13.2">
      <c r="A3619" s="7">
        <v>3618</v>
      </c>
      <c r="B3619" s="7">
        <v>1</v>
      </c>
      <c r="C3619" s="7" t="s">
        <v>10</v>
      </c>
      <c r="D3619" s="7">
        <v>2058</v>
      </c>
      <c r="E3619" s="7" t="s">
        <v>17</v>
      </c>
      <c r="F3619" s="8" t="str">
        <f ca="1">IFERROR(__xludf.DUMMYFUNCTION("IF
(
C3620=""фізична особа""
,
VLOOKUP(D3620,IMPORTRANGE(""https://docs.google.com/spreadsheets/d/14Bd19lYaqBhU8_DElYkX7l4wRkHqqCUFNJY4AfY3kHU/edit?usp=sharing  #gid=0"",""фіз особи new!relations_name""),6,FALSE)
,
(IF
(
C3620=""юридична особа""
,
VLOOKUP"&amp;"(D3620,IMPORTRANGE(""https://docs.google.com/spreadsheets/d/14Bd19lYaqBhU8_DElYkX7l4wRkHqqCUFNJY4AfY3kHU/edit?usp=sharing  #gid=0"",""фіз особи new!relations_name_uo""),7,FALSE)
,
)
))"),"ШАЙМІЄВ Радик Мінтімерович")</f>
        <v>ШАЙМІЄВ Радик Мінтімерович</v>
      </c>
      <c r="G3619" s="7" t="s">
        <v>10</v>
      </c>
      <c r="H3619" s="7">
        <v>23472</v>
      </c>
      <c r="I3619" s="8" t="str">
        <f ca="1">IFERROR(__xludf.DUMMYFUNCTION("IF
(
G3620=""фізична особа""
,
VLOOKUP(H3620,IMPORTRANGE(""https://docs.google.com/spreadsheets/d/14Bd19lYaqBhU8_DElYkX7l4wRkHqqCUFNJY4AfY3kHU/edit?usp=sharing  #gid=0"",""фіз особи new!relations_name""),6,FALSE)
,
(IF
(
G3620=""юридична особа""
,
VLOOKUP"&amp;"(H3620,IMPORTRANGE(""https://docs.google.com/spreadsheets/d/14Bd19lYaqBhU8_DElYkX7l4wRkHqqCUFNJY4AfY3kHU/edit?usp=sharing  #gid=0"",""фіз особи new!relations_name_uo""),7,FALSE)
,
)
))"),"ШАЙМИЕВ Минтимер Шарипович")</f>
        <v>ШАЙМИЕВ Минтимер Шарипович</v>
      </c>
      <c r="J3619" s="7" t="s">
        <v>12</v>
      </c>
    </row>
    <row r="3620" spans="1:10" ht="13.2">
      <c r="A3620" s="7">
        <v>3619</v>
      </c>
      <c r="B3620" s="7">
        <v>1</v>
      </c>
      <c r="C3620" s="7" t="s">
        <v>10</v>
      </c>
      <c r="D3620" s="7">
        <v>2057</v>
      </c>
      <c r="E3620" s="7" t="s">
        <v>60</v>
      </c>
      <c r="F3620" s="8" t="str">
        <f ca="1">IFERROR(__xludf.DUMMYFUNCTION("IF
(
C3621=""фізична особа""
,
VLOOKUP(D3621,IMPORTRANGE(""https://docs.google.com/spreadsheets/d/14Bd19lYaqBhU8_DElYkX7l4wRkHqqCUFNJY4AfY3kHU/edit?usp=sharing  #gid=0"",""фіз особи new!relations_name""),6,FALSE)
,
(IF
(
C3621=""юридична особа""
,
VLOOKUP"&amp;"(D3621,IMPORTRANGE(""https://docs.google.com/spreadsheets/d/14Bd19lYaqBhU8_DElYkX7l4wRkHqqCUFNJY4AfY3kHU/edit?usp=sharing  #gid=0"",""фіз особи new!relations_name_uo""),7,FALSE)
,
)
))"),"ШАЙМІЄВ Айрат Мінтімерович")</f>
        <v>ШАЙМІЄВ Айрат Мінтімерович</v>
      </c>
      <c r="G3620" s="7" t="s">
        <v>10</v>
      </c>
      <c r="H3620" s="7">
        <v>23472</v>
      </c>
      <c r="I3620" s="8" t="str">
        <f ca="1">IFERROR(__xludf.DUMMYFUNCTION("IF
(
G3621=""фізична особа""
,
VLOOKUP(H3621,IMPORTRANGE(""https://docs.google.com/spreadsheets/d/14Bd19lYaqBhU8_DElYkX7l4wRkHqqCUFNJY4AfY3kHU/edit?usp=sharing  #gid=0"",""фіз особи new!relations_name""),6,FALSE)
,
(IF
(
G3621=""юридична особа""
,
VLOOKUP"&amp;"(H3621,IMPORTRANGE(""https://docs.google.com/spreadsheets/d/14Bd19lYaqBhU8_DElYkX7l4wRkHqqCUFNJY4AfY3kHU/edit?usp=sharing  #gid=0"",""фіз особи new!relations_name_uo""),7,FALSE)
,
)
))"),"ШАЙМИЕВ Минтимер Шарипович")</f>
        <v>ШАЙМИЕВ Минтимер Шарипович</v>
      </c>
      <c r="J3620" s="7" t="s">
        <v>59</v>
      </c>
    </row>
    <row r="3621" spans="1:10" ht="13.2">
      <c r="A3621" s="7">
        <v>3620</v>
      </c>
      <c r="B3621" s="7">
        <v>1</v>
      </c>
      <c r="C3621" s="7" t="s">
        <v>10</v>
      </c>
      <c r="D3621" s="7">
        <v>2061</v>
      </c>
      <c r="E3621" s="7" t="s">
        <v>23</v>
      </c>
      <c r="F3621" s="8" t="str">
        <f ca="1">IFERROR(__xludf.DUMMYFUNCTION("IF
(
C3622=""фізична особа""
,
VLOOKUP(D3622,IMPORTRANGE(""https://docs.google.com/spreadsheets/d/14Bd19lYaqBhU8_DElYkX7l4wRkHqqCUFNJY4AfY3kHU/edit?usp=sharing  #gid=0"",""фіз особи new!relations_name""),6,FALSE)
,
(IF
(
C3622=""юридична особа""
,
VLOOKUP"&amp;"(D3622,IMPORTRANGE(""https://docs.google.com/spreadsheets/d/14Bd19lYaqBhU8_DElYkX7l4wRkHqqCUFNJY4AfY3kHU/edit?usp=sharing  #gid=0"",""фіз особи new!relations_name_uo""),7,FALSE)
,
)
))"),"ШЕЛКОВ Михайло Євгенович")</f>
        <v>ШЕЛКОВ Михайло Євгенович</v>
      </c>
      <c r="G3621" s="7" t="s">
        <v>10</v>
      </c>
      <c r="H3621" s="7">
        <v>150</v>
      </c>
      <c r="I3621" s="8" t="str">
        <f ca="1">IFERROR(__xludf.DUMMYFUNCTION("IF
(
G3622=""фізична особа""
,
VLOOKUP(H3622,IMPORTRANGE(""https://docs.google.com/spreadsheets/d/14Bd19lYaqBhU8_DElYkX7l4wRkHqqCUFNJY4AfY3kHU/edit?usp=sharing  #gid=0"",""фіз особи new!relations_name""),6,FALSE)
,
(IF
(
G3622=""юридична особа""
,
VLOOKUP"&amp;"(H3622,IMPORTRANGE(""https://docs.google.com/spreadsheets/d/14Bd19lYaqBhU8_DElYkX7l4wRkHqqCUFNJY4AfY3kHU/edit?usp=sharing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3621" s="7" t="s">
        <v>23</v>
      </c>
    </row>
    <row r="3622" spans="1:10" ht="13.2">
      <c r="A3622" s="7">
        <v>3621</v>
      </c>
      <c r="B3622" s="7">
        <v>1</v>
      </c>
      <c r="C3622" s="7" t="s">
        <v>10</v>
      </c>
      <c r="D3622" s="7">
        <v>2066</v>
      </c>
      <c r="E3622" s="7" t="s">
        <v>15</v>
      </c>
      <c r="F3622" s="8" t="str">
        <f ca="1">IFERROR(__xludf.DUMMYFUNCTION("IF
(
C3623=""фізична особа""
,
VLOOKUP(D3623,IMPORTRANGE(""https://docs.google.com/spreadsheets/d/14Bd19lYaqBhU8_DElYkX7l4wRkHqqCUFNJY4AfY3kHU/edit?usp=sharing  #gid=0"",""фіз особи new!relations_name""),6,FALSE)
,
(IF
(
C3623=""юридична особа""
,
VLOOKUP"&amp;"(D3623,IMPORTRANGE(""https://docs.google.com/spreadsheets/d/14Bd19lYaqBhU8_DElYkX7l4wRkHqqCUFNJY4AfY3kHU/edit?usp=sharing  #gid=0"",""фіз особи new!relations_name_uo""),7,FALSE)
,
)
))"),"СИМАНОВСЬКА Софія Кимівна")</f>
        <v>СИМАНОВСЬКА Софія Кимівна</v>
      </c>
      <c r="G3622" s="7" t="s">
        <v>10</v>
      </c>
      <c r="H3622" s="7">
        <v>397</v>
      </c>
      <c r="I3622" s="8" t="str">
        <f ca="1">IFERROR(__xludf.DUMMYFUNCTION("IF
(
G3623=""фізична особа""
,
VLOOKUP(H3623,IMPORTRANGE(""https://docs.google.com/spreadsheets/d/14Bd19lYaqBhU8_DElYkX7l4wRkHqqCUFNJY4AfY3kHU/edit?usp=sharing  #gid=0"",""фіз особи new!relations_name""),6,FALSE)
,
(IF
(
G3623=""юридична особа""
,
VLOOKUP"&amp;"(H3623,IMPORTRANGE(""https://docs.google.com/spreadsheets/d/14Bd19lYaqBhU8_DElYkX7l4wRkHqqCUFNJY4AfY3kHU/edit?usp=sharing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J3622" s="7" t="s">
        <v>14</v>
      </c>
    </row>
    <row r="3623" spans="1:10" ht="13.2">
      <c r="A3623" s="7">
        <v>3622</v>
      </c>
      <c r="B3623" s="7">
        <v>1</v>
      </c>
      <c r="C3623" s="7" t="s">
        <v>10</v>
      </c>
      <c r="D3623" s="7">
        <v>2067</v>
      </c>
      <c r="E3623" s="7" t="s">
        <v>13</v>
      </c>
      <c r="F3623" s="8" t="str">
        <f ca="1">IFERROR(__xludf.DUMMYFUNCTION("IF
(
C3624=""фізична особа""
,
VLOOKUP(D3624,IMPORTRANGE(""https://docs.google.com/spreadsheets/d/14Bd19lYaqBhU8_DElYkX7l4wRkHqqCUFNJY4AfY3kHU/edit?usp=sharing  #gid=0"",""фіз особи new!relations_name""),6,FALSE)
,
(IF
(
C3624=""юридична особа""
,
VLOOKUP"&amp;"(D3624,IMPORTRANGE(""https://docs.google.com/spreadsheets/d/14Bd19lYaqBhU8_DElYkX7l4wRkHqqCUFNJY4AfY3kHU/edit?usp=sharing  #gid=0"",""фіз особи new!relations_name_uo""),7,FALSE)
,
)
))"),"СИМАНІВСЬКА Світлана Леонідівна")</f>
        <v>СИМАНІВСЬКА Світлана Леонідівна</v>
      </c>
      <c r="G3623" s="7" t="s">
        <v>10</v>
      </c>
      <c r="H3623" s="7">
        <v>397</v>
      </c>
      <c r="I3623" s="8" t="str">
        <f ca="1">IFERROR(__xludf.DUMMYFUNCTION("IF
(
G3624=""фізична особа""
,
VLOOKUP(H3624,IMPORTRANGE(""https://docs.google.com/spreadsheets/d/14Bd19lYaqBhU8_DElYkX7l4wRkHqqCUFNJY4AfY3kHU/edit?usp=sharing  #gid=0"",""фіз особи new!relations_name""),6,FALSE)
,
(IF
(
G3624=""юридична особа""
,
VLOOKUP"&amp;"(H3624,IMPORTRANGE(""https://docs.google.com/spreadsheets/d/14Bd19lYaqBhU8_DElYkX7l4wRkHqqCUFNJY4AfY3kHU/edit?usp=sharing  #gid=0"",""фіз особи new!relations_name_uo""),7,FALSE)
,
)
))"),"СІМАНОВСЬКИЙ Леонід Якович")</f>
        <v>СІМАНОВСЬКИЙ Леонід Якович</v>
      </c>
      <c r="J3623" s="7" t="s">
        <v>12</v>
      </c>
    </row>
    <row r="3624" spans="1:10" ht="13.2">
      <c r="A3624" s="7">
        <v>3623</v>
      </c>
      <c r="B3624" s="7">
        <v>1</v>
      </c>
      <c r="C3624" s="7" t="s">
        <v>10</v>
      </c>
      <c r="D3624" s="7">
        <v>2072</v>
      </c>
      <c r="E3624" s="7" t="s">
        <v>23</v>
      </c>
      <c r="F3624" s="8" t="str">
        <f ca="1">IFERROR(__xludf.DUMMYFUNCTION("IF
(
C3625=""фізична особа""
,
VLOOKUP(D3625,IMPORTRANGE(""https://docs.google.com/spreadsheets/d/14Bd19lYaqBhU8_DElYkX7l4wRkHqqCUFNJY4AfY3kHU/edit?usp=sharing  #gid=0"",""фіз особи new!relations_name""),6,FALSE)
,
(IF
(
C3625=""юридична особа""
,
VLOOKUP"&amp;"(D3625,IMPORTRANGE(""https://docs.google.com/spreadsheets/d/14Bd19lYaqBhU8_DElYkX7l4wRkHqqCUFNJY4AfY3kHU/edit?usp=sharing  #gid=0"",""фіз особи new!relations_name_uo""),7,FALSE)
,
)
))"),"СУДАРІКОВ Сергій Миколайович")</f>
        <v>СУДАРІКОВ Сергій Миколайович</v>
      </c>
      <c r="G3624" s="7" t="s">
        <v>10</v>
      </c>
      <c r="H3624" s="7">
        <v>296</v>
      </c>
      <c r="I3624" s="8" t="str">
        <f ca="1">IFERROR(__xludf.DUMMYFUNCTION("IF
(
G3625=""фізична особа""
,
VLOOKUP(H3625,IMPORTRANGE(""https://docs.google.com/spreadsheets/d/14Bd19lYaqBhU8_DElYkX7l4wRkHqqCUFNJY4AfY3kHU/edit?usp=sharing  #gid=0"",""фіз особи new!relations_name""),6,FALSE)
,
(IF
(
G3625=""юридична особа""
,
VLOOKUP"&amp;"(H3625,IMPORTRANGE(""https://docs.google.com/spreadsheets/d/14Bd19lYaqBhU8_DElYkX7l4wRkHqqCUFNJY4AfY3kHU/edit?usp=sharing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3624" s="7" t="s">
        <v>23</v>
      </c>
    </row>
    <row r="3625" spans="1:10" ht="13.2">
      <c r="A3625" s="7">
        <v>3624</v>
      </c>
      <c r="B3625" s="7">
        <v>1</v>
      </c>
      <c r="C3625" s="7" t="s">
        <v>10</v>
      </c>
      <c r="D3625" s="7">
        <v>2079</v>
      </c>
      <c r="E3625" s="7" t="s">
        <v>11</v>
      </c>
      <c r="F3625" s="8" t="str">
        <f ca="1">IFERROR(__xludf.DUMMYFUNCTION("IF
(
C3626=""фізична особа""
,
VLOOKUP(D3626,IMPORTRANGE(""https://docs.google.com/spreadsheets/d/14Bd19lYaqBhU8_DElYkX7l4wRkHqqCUFNJY4AfY3kHU/edit?usp=sharing  #gid=0"",""фіз особи new!relations_name""),6,FALSE)
,
(IF
(
C3626=""юридична особа""
,
VLOOKUP"&amp;"(D3626,IMPORTRANGE(""https://docs.google.com/spreadsheets/d/14Bd19lYaqBhU8_DElYkX7l4wRkHqqCUFNJY4AfY3kHU/edit?usp=sharing  #gid=0"",""фіз особи new!relations_name_uo""),7,FALSE)
,
)
))"),"ТРОЦЕНКО Роман Вікторович")</f>
        <v>ТРОЦЕНКО Роман Вікторович</v>
      </c>
      <c r="G3625" s="7" t="s">
        <v>10</v>
      </c>
      <c r="H3625" s="7">
        <v>296</v>
      </c>
      <c r="I3625" s="8" t="str">
        <f ca="1">IFERROR(__xludf.DUMMYFUNCTION("IF
(
G3626=""фізична особа""
,
VLOOKUP(H3626,IMPORTRANGE(""https://docs.google.com/spreadsheets/d/14Bd19lYaqBhU8_DElYkX7l4wRkHqqCUFNJY4AfY3kHU/edit?usp=sharing  #gid=0"",""фіз особи new!relations_name""),6,FALSE)
,
(IF
(
G3626=""юридична особа""
,
VLOOKUP"&amp;"(H3626,IMPORTRANGE(""https://docs.google.com/spreadsheets/d/14Bd19lYaqBhU8_DElYkX7l4wRkHqqCUFNJY4AfY3kHU/edit?usp=sharing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3625" s="7" t="s">
        <v>11</v>
      </c>
    </row>
    <row r="3626" spans="1:10" ht="13.2">
      <c r="A3626" s="7">
        <v>3625</v>
      </c>
      <c r="B3626" s="7">
        <v>1</v>
      </c>
      <c r="C3626" s="7" t="s">
        <v>10</v>
      </c>
      <c r="D3626" s="7">
        <v>2079</v>
      </c>
      <c r="E3626" s="7" t="s">
        <v>11</v>
      </c>
      <c r="F3626" s="8" t="str">
        <f ca="1">IFERROR(__xludf.DUMMYFUNCTION("IF
(
C3627=""фізична особа""
,
VLOOKUP(D3627,IMPORTRANGE(""https://docs.google.com/spreadsheets/d/14Bd19lYaqBhU8_DElYkX7l4wRkHqqCUFNJY4AfY3kHU/edit?usp=sharing  #gid=0"",""фіз особи new!relations_name""),6,FALSE)
,
(IF
(
C3627=""юридична особа""
,
VLOOKUP"&amp;"(D3627,IMPORTRANGE(""https://docs.google.com/spreadsheets/d/14Bd19lYaqBhU8_DElYkX7l4wRkHqqCUFNJY4AfY3kHU/edit?usp=sharing  #gid=0"",""фіз особи new!relations_name_uo""),7,FALSE)
,
)
))"),"ТРОЦЕНКО Роман Вікторович")</f>
        <v>ТРОЦЕНКО Роман Вікторович</v>
      </c>
      <c r="G3626" s="7" t="s">
        <v>10</v>
      </c>
      <c r="H3626" s="7">
        <v>17132</v>
      </c>
      <c r="I3626" s="8" t="str">
        <f ca="1">IFERROR(__xludf.DUMMYFUNCTION("IF
(
G3627=""фізична особа""
,
VLOOKUP(H3627,IMPORTRANGE(""https://docs.google.com/spreadsheets/d/14Bd19lYaqBhU8_DElYkX7l4wRkHqqCUFNJY4AfY3kHU/edit?usp=sharing  #gid=0"",""фіз особи new!relations_name""),6,FALSE)
,
(IF
(
G3627=""юридична особа""
,
VLOOKUP"&amp;"(H3627,IMPORTRANGE(""https://docs.google.com/spreadsheets/d/14Bd19lYaqBhU8_DElYkX7l4wRkHqqCUFNJY4AfY3kHU/edit?usp=sharing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J3626" s="7" t="s">
        <v>11</v>
      </c>
    </row>
    <row r="3627" spans="1:10" ht="13.2">
      <c r="A3627" s="7">
        <v>3626</v>
      </c>
      <c r="B3627" s="7">
        <v>1</v>
      </c>
      <c r="C3627" s="7" t="s">
        <v>10</v>
      </c>
      <c r="D3627" s="7">
        <v>4751</v>
      </c>
      <c r="E3627" s="7" t="s">
        <v>15</v>
      </c>
      <c r="F3627" s="8" t="str">
        <f ca="1">IFERROR(__xludf.DUMMYFUNCTION("IF
(
C3628=""фізична особа""
,
VLOOKUP(D3628,IMPORTRANGE(""https://docs.google.com/spreadsheets/d/14Bd19lYaqBhU8_DElYkX7l4wRkHqqCUFNJY4AfY3kHU/edit?usp=sharing  #gid=0"",""фіз особи new!relations_name""),6,FALSE)
,
(IF
(
C3628=""юридична особа""
,
VLOOKUP"&amp;"(D3628,IMPORTRANGE(""https://docs.google.com/spreadsheets/d/14Bd19lYaqBhU8_DElYkX7l4wRkHqqCUFNJY4AfY3kHU/edit?usp=sharing  #gid=0"",""фіз особи new!relations_name_uo""),7,FALSE)
,
)
))"),"ЦИВІЛЄВА Ганна Євгенівна")</f>
        <v>ЦИВІЛЄВА Ганна Євгенівна</v>
      </c>
      <c r="G3627" s="7" t="s">
        <v>10</v>
      </c>
      <c r="H3627" s="7">
        <v>2081</v>
      </c>
      <c r="I3627" s="8" t="str">
        <f ca="1">IFERROR(__xludf.DUMMYFUNCTION("IF
(
G3628=""фізична особа""
,
VLOOKUP(H3628,IMPORTRANGE(""https://docs.google.com/spreadsheets/d/14Bd19lYaqBhU8_DElYkX7l4wRkHqqCUFNJY4AfY3kHU/edit?usp=sharing  #gid=0"",""фіз особи new!relations_name""),6,FALSE)
,
(IF
(
G3628=""юридична особа""
,
VLOOKUP"&amp;"(H3628,IMPORTRANGE(""https://docs.google.com/spreadsheets/d/14Bd19lYaqBhU8_DElYkX7l4wRkHqqCUFNJY4AfY3kHU/edit?usp=sharing  #gid=0"",""фіз особи new!relations_name_uo""),7,FALSE)
,
)
))"),"ЦИВІЛЬОВ Сергій Євгенович")</f>
        <v>ЦИВІЛЬОВ Сергій Євгенович</v>
      </c>
      <c r="J3627" s="7" t="s">
        <v>14</v>
      </c>
    </row>
    <row r="3628" spans="1:10" ht="13.2">
      <c r="A3628" s="7">
        <v>3627</v>
      </c>
      <c r="B3628" s="7">
        <v>1</v>
      </c>
      <c r="C3628" s="7" t="s">
        <v>10</v>
      </c>
      <c r="D3628" s="7">
        <v>4751</v>
      </c>
      <c r="E3628" s="7" t="s">
        <v>72</v>
      </c>
      <c r="F3628" s="8" t="str">
        <f ca="1">IFERROR(__xludf.DUMMYFUNCTION("IF
(
C3629=""фізична особа""
,
VLOOKUP(D3629,IMPORTRANGE(""https://docs.google.com/spreadsheets/d/14Bd19lYaqBhU8_DElYkX7l4wRkHqqCUFNJY4AfY3kHU/edit?usp=sharing  #gid=0"",""фіз особи new!relations_name""),6,FALSE)
,
(IF
(
C3629=""юридична особа""
,
VLOOKUP"&amp;"(D3629,IMPORTRANGE(""https://docs.google.com/spreadsheets/d/14Bd19lYaqBhU8_DElYkX7l4wRkHqqCUFNJY4AfY3kHU/edit?usp=sharing  #gid=0"",""фіз особи new!relations_name_uo""),7,FALSE)
,
)
))"),"ЦИВІЛЄВА Ганна Євгенівна")</f>
        <v>ЦИВІЛЄВА Ганна Євгенівна</v>
      </c>
      <c r="G3628" s="7" t="s">
        <v>10</v>
      </c>
      <c r="H3628" s="7">
        <v>880</v>
      </c>
      <c r="I3628" s="8" t="str">
        <f ca="1">IFERROR(__xludf.DUMMYFUNCTION("IF
(
G3629=""фізична особа""
,
VLOOKUP(H3629,IMPORTRANGE(""https://docs.google.com/spreadsheets/d/14Bd19lYaqBhU8_DElYkX7l4wRkHqqCUFNJY4AfY3kHU/edit?usp=sharing  #gid=0"",""фіз особи new!relations_name""),6,FALSE)
,
(IF
(
G3629=""юридична особа""
,
VLOOKUP"&amp;"(H3629,IMPORTRANGE(""https://docs.google.com/spreadsheets/d/14Bd19lYaqBhU8_DElYkX7l4wRkHqqCUFNJY4AfY3kHU/edit?usp=sharing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28" s="7" t="s">
        <v>71</v>
      </c>
    </row>
    <row r="3629" spans="1:10" ht="13.2">
      <c r="A3629" s="7">
        <v>3628</v>
      </c>
      <c r="B3629" s="7">
        <v>1</v>
      </c>
      <c r="C3629" s="7" t="s">
        <v>10</v>
      </c>
      <c r="D3629" s="7">
        <v>2081</v>
      </c>
      <c r="E3629" s="7" t="s">
        <v>65</v>
      </c>
      <c r="F3629" s="8" t="str">
        <f ca="1">IFERROR(__xludf.DUMMYFUNCTION("IF
(
C3630=""фізична особа""
,
VLOOKUP(D3630,IMPORTRANGE(""https://docs.google.com/spreadsheets/d/14Bd19lYaqBhU8_DElYkX7l4wRkHqqCUFNJY4AfY3kHU/edit?usp=sharing  #gid=0"",""фіз особи new!relations_name""),6,FALSE)
,
(IF
(
C3630=""юридична особа""
,
VLOOKUP"&amp;"(D3630,IMPORTRANGE(""https://docs.google.com/spreadsheets/d/14Bd19lYaqBhU8_DElYkX7l4wRkHqqCUFNJY4AfY3kHU/edit?usp=sharing  #gid=0"",""фіз особи new!relations_name_uo""),7,FALSE)
,
)
))"),"ЦИВІЛЬОВ Сергій Євгенович")</f>
        <v>ЦИВІЛЬОВ Сергій Євгенович</v>
      </c>
      <c r="G3629" s="7" t="s">
        <v>10</v>
      </c>
      <c r="H3629" s="7">
        <v>880</v>
      </c>
      <c r="I3629" s="8" t="str">
        <f ca="1">IFERROR(__xludf.DUMMYFUNCTION("IF
(
G3630=""фізична особа""
,
VLOOKUP(H3630,IMPORTRANGE(""https://docs.google.com/spreadsheets/d/14Bd19lYaqBhU8_DElYkX7l4wRkHqqCUFNJY4AfY3kHU/edit?usp=sharing  #gid=0"",""фіз особи new!relations_name""),6,FALSE)
,
(IF
(
G3630=""юридична особа""
,
VLOOKUP"&amp;"(H3630,IMPORTRANGE(""https://docs.google.com/spreadsheets/d/14Bd19lYaqBhU8_DElYkX7l4wRkHqqCUFNJY4AfY3kHU/edit?usp=sharing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29" s="7" t="s">
        <v>65</v>
      </c>
    </row>
    <row r="3630" spans="1:10" ht="13.2">
      <c r="A3630" s="7">
        <v>3629</v>
      </c>
      <c r="B3630" s="7">
        <v>1</v>
      </c>
      <c r="C3630" s="7" t="s">
        <v>10</v>
      </c>
      <c r="D3630" s="7">
        <v>2087</v>
      </c>
      <c r="E3630" s="7" t="s">
        <v>17</v>
      </c>
      <c r="F3630" s="8" t="str">
        <f ca="1">IFERROR(__xludf.DUMMYFUNCTION("IF
(
C3631=""фізична особа""
,
VLOOKUP(D3631,IMPORTRANGE(""https://docs.google.com/spreadsheets/d/14Bd19lYaqBhU8_DElYkX7l4wRkHqqCUFNJY4AfY3kHU/edit?usp=sharing  #gid=0"",""фіз особи new!relations_name""),6,FALSE)
,
(IF
(
C3631=""юридична особа""
,
VLOOKUP"&amp;"(D3631,IMPORTRANGE(""https://docs.google.com/spreadsheets/d/14Bd19lYaqBhU8_DElYkX7l4wRkHqqCUFNJY4AfY3kHU/edit?usp=sharing  #gid=0"",""фіз особи new!relations_name_uo""),7,FALSE)
,
)
))"),"ЯКУНІН Віктор Володимирович")</f>
        <v>ЯКУНІН Віктор Володимирович</v>
      </c>
      <c r="G3630" s="7" t="s">
        <v>10</v>
      </c>
      <c r="H3630" s="7">
        <v>4515</v>
      </c>
      <c r="I3630" s="8" t="str">
        <f ca="1">IFERROR(__xludf.DUMMYFUNCTION("IF
(
G3631=""фізична особа""
,
VLOOKUP(H3631,IMPORTRANGE(""https://docs.google.com/spreadsheets/d/14Bd19lYaqBhU8_DElYkX7l4wRkHqqCUFNJY4AfY3kHU/edit?usp=sharing  #gid=0"",""фіз особи new!relations_name""),6,FALSE)
,
(IF
(
G3631=""юридична особа""
,
VLOOKUP"&amp;"(H3631,IMPORTRANGE(""https://docs.google.com/spreadsheets/d/14Bd19lYaqBhU8_DElYkX7l4wRkHqqCUFNJY4AfY3kHU/edit?usp=sharing  #gid=0"",""фіз особи new!relations_name_uo""),7,FALSE)
,
)
))"),"ЯКУНІН Володимир Іванович")</f>
        <v>ЯКУНІН Володимир Іванович</v>
      </c>
      <c r="J3630" s="7" t="s">
        <v>12</v>
      </c>
    </row>
    <row r="3631" spans="1:10" ht="13.2">
      <c r="A3631" s="7">
        <v>3630</v>
      </c>
      <c r="B3631" s="7">
        <v>1</v>
      </c>
      <c r="C3631" s="7" t="s">
        <v>10</v>
      </c>
      <c r="D3631" s="7">
        <v>2088</v>
      </c>
      <c r="E3631" s="7" t="s">
        <v>17</v>
      </c>
      <c r="F3631" s="8" t="str">
        <f ca="1">IFERROR(__xludf.DUMMYFUNCTION("IF
(
C3632=""фізична особа""
,
VLOOKUP(D3632,IMPORTRANGE(""https://docs.google.com/spreadsheets/d/14Bd19lYaqBhU8_DElYkX7l4wRkHqqCUFNJY4AfY3kHU/edit?usp=sharing  #gid=0"",""фіз особи new!relations_name""),6,FALSE)
,
(IF
(
C3632=""юридична особа""
,
VLOOKUP"&amp;"(D3632,IMPORTRANGE(""https://docs.google.com/spreadsheets/d/14Bd19lYaqBhU8_DElYkX7l4wRkHqqCUFNJY4AfY3kHU/edit?usp=sharing  #gid=0"",""фіз особи new!relations_name_uo""),7,FALSE)
,
)
))"),"ЯКУНІН Андрій Володимирович")</f>
        <v>ЯКУНІН Андрій Володимирович</v>
      </c>
      <c r="G3631" s="7" t="s">
        <v>10</v>
      </c>
      <c r="H3631" s="7">
        <v>4515</v>
      </c>
      <c r="I3631" s="8" t="str">
        <f ca="1">IFERROR(__xludf.DUMMYFUNCTION("IF
(
G3632=""фізична особа""
,
VLOOKUP(H3632,IMPORTRANGE(""https://docs.google.com/spreadsheets/d/14Bd19lYaqBhU8_DElYkX7l4wRkHqqCUFNJY4AfY3kHU/edit?usp=sharing  #gid=0"",""фіз особи new!relations_name""),6,FALSE)
,
(IF
(
G3632=""юридична особа""
,
VLOOKUP"&amp;"(H3632,IMPORTRANGE(""https://docs.google.com/spreadsheets/d/14Bd19lYaqBhU8_DElYkX7l4wRkHqqCUFNJY4AfY3kHU/edit?usp=sharing  #gid=0"",""фіз особи new!relations_name_uo""),7,FALSE)
,
)
))"),"ЯКУНІН Володимир Іванович")</f>
        <v>ЯКУНІН Володимир Іванович</v>
      </c>
      <c r="J3631" s="7" t="s">
        <v>12</v>
      </c>
    </row>
    <row r="3632" spans="1:10" ht="13.2">
      <c r="A3632" s="7">
        <v>3631</v>
      </c>
      <c r="B3632" s="7">
        <v>1</v>
      </c>
      <c r="C3632" s="7" t="s">
        <v>10</v>
      </c>
      <c r="D3632" s="7">
        <v>2089</v>
      </c>
      <c r="E3632" s="7" t="s">
        <v>25</v>
      </c>
      <c r="F3632" s="8" t="str">
        <f ca="1">IFERROR(__xludf.DUMMYFUNCTION("IF
(
C3633=""фізична особа""
,
VLOOKUP(D3633,IMPORTRANGE(""https://docs.google.com/spreadsheets/d/14Bd19lYaqBhU8_DElYkX7l4wRkHqqCUFNJY4AfY3kHU/edit?usp=sharing  #gid=0"",""фіз особи new!relations_name""),6,FALSE)
,
(IF
(
C3633=""юридична особа""
,
VLOOKUP"&amp;"(D3633,IMPORTRANGE(""https://docs.google.com/spreadsheets/d/14Bd19lYaqBhU8_DElYkX7l4wRkHqqCUFNJY4AfY3kHU/edit?usp=sharing  #gid=0"",""фіз особи new!relations_name_uo""),7,FALSE)
,
)
))"),"ЯКУНІНА Дар'я")</f>
        <v>ЯКУНІНА Дар'я</v>
      </c>
      <c r="G3632" s="7" t="s">
        <v>10</v>
      </c>
      <c r="H3632" s="7">
        <v>4515</v>
      </c>
      <c r="I3632" s="8" t="str">
        <f ca="1">IFERROR(__xludf.DUMMYFUNCTION("IF
(
G3633=""фізична особа""
,
VLOOKUP(H3633,IMPORTRANGE(""https://docs.google.com/spreadsheets/d/14Bd19lYaqBhU8_DElYkX7l4wRkHqqCUFNJY4AfY3kHU/edit?usp=sharing  #gid=0"",""фіз особи new!relations_name""),6,FALSE)
,
(IF
(
G3633=""юридична особа""
,
VLOOKUP"&amp;"(H3633,IMPORTRANGE(""https://docs.google.com/spreadsheets/d/14Bd19lYaqBhU8_DElYkX7l4wRkHqqCUFNJY4AfY3kHU/edit?usp=sharing  #gid=0"",""фіз особи new!relations_name_uo""),7,FALSE)
,
)
))"),"ЯКУНІН Володимир Іванович")</f>
        <v>ЯКУНІН Володимир Іванович</v>
      </c>
      <c r="J3632" s="7" t="s">
        <v>34</v>
      </c>
    </row>
    <row r="3633" spans="1:10" ht="13.2">
      <c r="A3633" s="7">
        <v>3632</v>
      </c>
      <c r="B3633" s="7">
        <v>1</v>
      </c>
      <c r="C3633" s="7" t="s">
        <v>10</v>
      </c>
      <c r="D3633" s="7">
        <v>2094</v>
      </c>
      <c r="E3633" s="7" t="s">
        <v>43</v>
      </c>
      <c r="F3633" s="8" t="str">
        <f ca="1">IFERROR(__xludf.DUMMYFUNCTION("IF
(
C3634=""фізична особа""
,
VLOOKUP(D3634,IMPORTRANGE(""https://docs.google.com/spreadsheets/d/14Bd19lYaqBhU8_DElYkX7l4wRkHqqCUFNJY4AfY3kHU/edit?usp=sharing  #gid=0"",""фіз особи new!relations_name""),6,FALSE)
,
(IF
(
C3634=""юридична особа""
,
VLOOKUP"&amp;"(D3634,IMPORTRANGE(""https://docs.google.com/spreadsheets/d/14Bd19lYaqBhU8_DElYkX7l4wRkHqqCUFNJY4AfY3kHU/edit?usp=sharing  #gid=0"",""фіз особи new!relations_name_uo""),7,FALSE)
,
)
))"),"ЖУКОВА Дар'я Олександрівна")</f>
        <v>ЖУКОВА Дар'я Олександрівна</v>
      </c>
      <c r="G3633" s="7" t="s">
        <v>10</v>
      </c>
      <c r="H3633" s="7">
        <v>620</v>
      </c>
      <c r="I3633" s="8" t="str">
        <f ca="1">IFERROR(__xludf.DUMMYFUNCTION("IF
(
G3634=""фізична особа""
,
VLOOKUP(H3634,IMPORTRANGE(""https://docs.google.com/spreadsheets/d/14Bd19lYaqBhU8_DElYkX7l4wRkHqqCUFNJY4AfY3kHU/edit?usp=sharing  #gid=0"",""фіз особи new!relations_name""),6,FALSE)
,
(IF
(
G3634=""юридична особа""
,
VLOOKUP"&amp;"(H3634,IMPORTRANGE(""https://docs.google.com/spreadsheets/d/14Bd19lYaqBhU8_DElYkX7l4wRkHqqCUFNJY4AfY3kHU/edit?usp=sharing  #gid=0"",""фіз особи new!relations_name_uo""),7,FALSE)
,
)
))"),"АБРАМОВИЧ Роман Аркадійович")</f>
        <v>АБРАМОВИЧ Роман Аркадійович</v>
      </c>
      <c r="J3633" s="7" t="s">
        <v>42</v>
      </c>
    </row>
    <row r="3634" spans="1:10" ht="13.2">
      <c r="A3634" s="7">
        <v>3633</v>
      </c>
      <c r="B3634" s="7">
        <v>1</v>
      </c>
      <c r="C3634" s="7" t="s">
        <v>10</v>
      </c>
      <c r="D3634" s="7">
        <v>2095</v>
      </c>
      <c r="E3634" s="7" t="s">
        <v>17</v>
      </c>
      <c r="F3634" s="8" t="str">
        <f ca="1">IFERROR(__xludf.DUMMYFUNCTION("IF
(
C3635=""фізична особа""
,
VLOOKUP(D3635,IMPORTRANGE(""https://docs.google.com/spreadsheets/d/14Bd19lYaqBhU8_DElYkX7l4wRkHqqCUFNJY4AfY3kHU/edit?usp=sharing  #gid=0"",""фіз особи new!relations_name""),6,FALSE)
,
(IF
(
C3635=""юридична особа""
,
VLOOKUP"&amp;"(D3635,IMPORTRANGE(""https://docs.google.com/spreadsheets/d/14Bd19lYaqBhU8_DElYkX7l4wRkHqqCUFNJY4AfY3kHU/edit?usp=sharing  #gid=0"",""фіз особи new!relations_name_uo""),7,FALSE)
,
)
))"),"ЮНУСОВ Тимур Ільдарович / ТІМАТІ")</f>
        <v>ЮНУСОВ Тимур Ільдарович / ТІМАТІ</v>
      </c>
      <c r="G3634" s="7" t="s">
        <v>10</v>
      </c>
      <c r="H3634" s="7">
        <v>0</v>
      </c>
      <c r="I3634" s="8" t="str">
        <f ca="1">IFERROR(__xludf.DUMMYFUNCTION("IF
(
G3635=""фізична особа""
,
VLOOKUP(H3635,IMPORTRANGE(""https://docs.google.com/spreadsheets/d/14Bd19lYaqBhU8_DElYkX7l4wRkHqqCUFNJY4AfY3kHU/edit?usp=sharing  #gid=0"",""фіз особи new!relations_name""),6,FALSE)
,
(IF
(
G3635=""юридична особа""
,
VLOOKUP"&amp;"(H3635,IMPORTRANGE(""https://docs.google.com/spreadsheets/d/14Bd19lYaqBhU8_DElYkX7l4wRkHqqCUFNJY4AfY3kHU/edit?usp=sharing  #gid=0"",""фіз особи new!relations_name_uo""),7,FALSE)
,
)
))"),"#N/A")</f>
        <v>#N/A</v>
      </c>
      <c r="J3634" s="7" t="s">
        <v>12</v>
      </c>
    </row>
    <row r="3635" spans="1:10" ht="13.2">
      <c r="A3635" s="7">
        <v>3634</v>
      </c>
      <c r="B3635" s="7">
        <v>1</v>
      </c>
      <c r="C3635" s="7" t="s">
        <v>10</v>
      </c>
      <c r="D3635" s="7">
        <v>2095</v>
      </c>
      <c r="E3635" s="7" t="s">
        <v>17</v>
      </c>
      <c r="F3635" s="8" t="str">
        <f ca="1">IFERROR(__xludf.DUMMYFUNCTION("IF
(
C3636=""фізична особа""
,
VLOOKUP(D3636,IMPORTRANGE(""https://docs.google.com/spreadsheets/d/14Bd19lYaqBhU8_DElYkX7l4wRkHqqCUFNJY4AfY3kHU/edit?usp=sharing  #gid=0"",""фіз особи new!relations_name""),6,FALSE)
,
(IF
(
C3636=""юридична особа""
,
VLOOKUP"&amp;"(D3636,IMPORTRANGE(""https://docs.google.com/spreadsheets/d/14Bd19lYaqBhU8_DElYkX7l4wRkHqqCUFNJY4AfY3kHU/edit?usp=sharing  #gid=0"",""фіз особи new!relations_name_uo""),7,FALSE)
,
)
))"),"ЮНУСОВ Тимур Ільдарович / ТІМАТІ")</f>
        <v>ЮНУСОВ Тимур Ільдарович / ТІМАТІ</v>
      </c>
      <c r="G3635" s="7" t="s">
        <v>10</v>
      </c>
      <c r="H3635" s="7">
        <v>0</v>
      </c>
      <c r="I3635" s="8" t="str">
        <f ca="1">IFERROR(__xludf.DUMMYFUNCTION("IF
(
G3636=""фізична особа""
,
VLOOKUP(H3636,IMPORTRANGE(""https://docs.google.com/spreadsheets/d/14Bd19lYaqBhU8_DElYkX7l4wRkHqqCUFNJY4AfY3kHU/edit?usp=sharing  #gid=0"",""фіз особи new!relations_name""),6,FALSE)
,
(IF
(
G3636=""юридична особа""
,
VLOOKUP"&amp;"(H3636,IMPORTRANGE(""https://docs.google.com/spreadsheets/d/14Bd19lYaqBhU8_DElYkX7l4wRkHqqCUFNJY4AfY3kHU/edit?usp=sharing  #gid=0"",""фіз особи new!relations_name_uo""),7,FALSE)
,
)
))"),"#N/A")</f>
        <v>#N/A</v>
      </c>
      <c r="J3635" s="7" t="s">
        <v>21</v>
      </c>
    </row>
    <row r="3636" spans="1:10" ht="13.2">
      <c r="A3636" s="7">
        <v>3635</v>
      </c>
      <c r="B3636" s="7">
        <v>1</v>
      </c>
      <c r="C3636" s="7" t="s">
        <v>10</v>
      </c>
      <c r="D3636" s="7">
        <v>2095</v>
      </c>
      <c r="E3636" s="7" t="s">
        <v>18</v>
      </c>
      <c r="F3636" s="8" t="str">
        <f ca="1">IFERROR(__xludf.DUMMYFUNCTION("IF
(
C3637=""фізична особа""
,
VLOOKUP(D3637,IMPORTRANGE(""https://docs.google.com/spreadsheets/d/14Bd19lYaqBhU8_DElYkX7l4wRkHqqCUFNJY4AfY3kHU/edit?usp=sharing  #gid=0"",""фіз особи new!relations_name""),6,FALSE)
,
(IF
(
C3637=""юридична особа""
,
VLOOKUP"&amp;"(D3637,IMPORTRANGE(""https://docs.google.com/spreadsheets/d/14Bd19lYaqBhU8_DElYkX7l4wRkHqqCUFNJY4AfY3kHU/edit?usp=sharing  #gid=0"",""фіз особи new!relations_name_uo""),7,FALSE)
,
)
))"),"ЮНУСОВ Тимур Ільдарович / ТІМАТІ")</f>
        <v>ЮНУСОВ Тимур Ільдарович / ТІМАТІ</v>
      </c>
      <c r="G3636" s="7" t="s">
        <v>10</v>
      </c>
      <c r="H3636" s="7">
        <v>0</v>
      </c>
      <c r="I3636" s="8" t="str">
        <f ca="1">IFERROR(__xludf.DUMMYFUNCTION("IF
(
G3637=""фізична особа""
,
VLOOKUP(H3637,IMPORTRANGE(""https://docs.google.com/spreadsheets/d/14Bd19lYaqBhU8_DElYkX7l4wRkHqqCUFNJY4AfY3kHU/edit?usp=sharing  #gid=0"",""фіз особи new!relations_name""),6,FALSE)
,
(IF
(
G3637=""юридична особа""
,
VLOOKUP"&amp;"(H3637,IMPORTRANGE(""https://docs.google.com/spreadsheets/d/14Bd19lYaqBhU8_DElYkX7l4wRkHqqCUFNJY4AfY3kHU/edit?usp=sharing  #gid=0"",""фіз особи new!relations_name_uo""),7,FALSE)
,
)
))"),"#N/A")</f>
        <v>#N/A</v>
      </c>
      <c r="J3636" s="7" t="s">
        <v>18</v>
      </c>
    </row>
    <row r="3637" spans="1:10" ht="13.2">
      <c r="A3637" s="7">
        <v>3636</v>
      </c>
      <c r="B3637" s="7">
        <v>1</v>
      </c>
      <c r="C3637" s="7" t="s">
        <v>10</v>
      </c>
      <c r="D3637" s="7">
        <v>2096</v>
      </c>
      <c r="E3637" s="7" t="s">
        <v>12</v>
      </c>
      <c r="F3637" s="8" t="str">
        <f ca="1">IFERROR(__xludf.DUMMYFUNCTION("IF
(
C3638=""фізична особа""
,
VLOOKUP(D3638,IMPORTRANGE(""https://docs.google.com/spreadsheets/d/14Bd19lYaqBhU8_DElYkX7l4wRkHqqCUFNJY4AfY3kHU/edit?usp=sharing  #gid=0"",""фіз особи new!relations_name""),6,FALSE)
,
(IF
(
C3638=""юридична особа""
,
VLOOKUP"&amp;"(D3638,IMPORTRANGE(""https://docs.google.com/spreadsheets/d/14Bd19lYaqBhU8_DElYkX7l4wRkHqqCUFNJY4AfY3kHU/edit?usp=sharing  #gid=0"",""фіз особи new!relations_name_uo""),7,FALSE)
,
)
))"),"БАСКОВ Микола Вікторович")</f>
        <v>БАСКОВ Микола Вікторович</v>
      </c>
      <c r="G3637" s="7" t="s">
        <v>10</v>
      </c>
      <c r="H3637" s="7">
        <v>0</v>
      </c>
      <c r="I3637" s="8" t="str">
        <f ca="1">IFERROR(__xludf.DUMMYFUNCTION("IF
(
G3638=""фізична особа""
,
VLOOKUP(H3638,IMPORTRANGE(""https://docs.google.com/spreadsheets/d/14Bd19lYaqBhU8_DElYkX7l4wRkHqqCUFNJY4AfY3kHU/edit?usp=sharing  #gid=0"",""фіз особи new!relations_name""),6,FALSE)
,
(IF
(
G3638=""юридична особа""
,
VLOOKUP"&amp;"(H3638,IMPORTRANGE(""https://docs.google.com/spreadsheets/d/14Bd19lYaqBhU8_DElYkX7l4wRkHqqCUFNJY4AfY3kHU/edit?usp=sharing  #gid=0"",""фіз особи new!relations_name_uo""),7,FALSE)
,
)
))"),"#N/A")</f>
        <v>#N/A</v>
      </c>
      <c r="J3637" s="7" t="s">
        <v>17</v>
      </c>
    </row>
    <row r="3638" spans="1:10" ht="13.2">
      <c r="A3638" s="7">
        <v>3637</v>
      </c>
      <c r="B3638" s="7">
        <v>1</v>
      </c>
      <c r="C3638" s="7" t="s">
        <v>10</v>
      </c>
      <c r="D3638" s="7">
        <v>2096</v>
      </c>
      <c r="E3638" s="7" t="s">
        <v>35</v>
      </c>
      <c r="F3638" s="8" t="str">
        <f ca="1">IFERROR(__xludf.DUMMYFUNCTION("IF
(
C3639=""фізична особа""
,
VLOOKUP(D3639,IMPORTRANGE(""https://docs.google.com/spreadsheets/d/14Bd19lYaqBhU8_DElYkX7l4wRkHqqCUFNJY4AfY3kHU/edit?usp=sharing  #gid=0"",""фіз особи new!relations_name""),6,FALSE)
,
(IF
(
C3639=""юридична особа""
,
VLOOKUP"&amp;"(D3639,IMPORTRANGE(""https://docs.google.com/spreadsheets/d/14Bd19lYaqBhU8_DElYkX7l4wRkHqqCUFNJY4AfY3kHU/edit?usp=sharing  #gid=0"",""фіз особи new!relations_name_uo""),7,FALSE)
,
)
))"),"БАСКОВ Микола Вікторович")</f>
        <v>БАСКОВ Микола Вікторович</v>
      </c>
      <c r="G3638" s="7" t="s">
        <v>10</v>
      </c>
      <c r="H3638" s="7">
        <v>3910</v>
      </c>
      <c r="I3638" s="8" t="str">
        <f ca="1">IFERROR(__xludf.DUMMYFUNCTION("IF
(
G3639=""фізична особа""
,
VLOOKUP(H3639,IMPORTRANGE(""https://docs.google.com/spreadsheets/d/14Bd19lYaqBhU8_DElYkX7l4wRkHqqCUFNJY4AfY3kHU/edit?usp=sharing  #gid=0"",""фіз особи new!relations_name""),6,FALSE)
,
(IF
(
G3639=""юридична особа""
,
VLOOKUP"&amp;"(H3639,IMPORTRANGE(""https://docs.google.com/spreadsheets/d/14Bd19lYaqBhU8_DElYkX7l4wRkHqqCUFNJY4AfY3kHU/edit?usp=sharing  #gid=0"",""фіз особи new!relations_name_uo""),7,FALSE)
,
)
))"),"ГУЦЕРІЄВ Михайло Сафарбекович")</f>
        <v>ГУЦЕРІЄВ Михайло Сафарбекович</v>
      </c>
      <c r="J3638" s="7" t="s">
        <v>35</v>
      </c>
    </row>
    <row r="3639" spans="1:10" ht="13.2">
      <c r="A3639" s="7">
        <v>3638</v>
      </c>
      <c r="B3639" s="7">
        <v>1</v>
      </c>
      <c r="C3639" s="7" t="s">
        <v>10</v>
      </c>
      <c r="D3639" s="7">
        <v>2096</v>
      </c>
      <c r="E3639" s="7" t="s">
        <v>17</v>
      </c>
      <c r="F3639" s="8" t="str">
        <f ca="1">IFERROR(__xludf.DUMMYFUNCTION("IF
(
C3640=""фізична особа""
,
VLOOKUP(D3640,IMPORTRANGE(""https://docs.google.com/spreadsheets/d/14Bd19lYaqBhU8_DElYkX7l4wRkHqqCUFNJY4AfY3kHU/edit?usp=sharing  #gid=0"",""фіз особи new!relations_name""),6,FALSE)
,
(IF
(
C3640=""юридична особа""
,
VLOOKUP"&amp;"(D3640,IMPORTRANGE(""https://docs.google.com/spreadsheets/d/14Bd19lYaqBhU8_DElYkX7l4wRkHqqCUFNJY4AfY3kHU/edit?usp=sharing  #gid=0"",""фіз особи new!relations_name_uo""),7,FALSE)
,
)
))"),"БАСКОВ Микола Вікторович")</f>
        <v>БАСКОВ Микола Вікторович</v>
      </c>
      <c r="G3639" s="7" t="s">
        <v>10</v>
      </c>
      <c r="H3639" s="7">
        <v>0</v>
      </c>
      <c r="I3639" s="8" t="str">
        <f ca="1">IFERROR(__xludf.DUMMYFUNCTION("IF
(
G3640=""фізична особа""
,
VLOOKUP(H3640,IMPORTRANGE(""https://docs.google.com/spreadsheets/d/14Bd19lYaqBhU8_DElYkX7l4wRkHqqCUFNJY4AfY3kHU/edit?usp=sharing  #gid=0"",""фіз особи new!relations_name""),6,FALSE)
,
(IF
(
G3640=""юридична особа""
,
VLOOKUP"&amp;"(H3640,IMPORTRANGE(""https://docs.google.com/spreadsheets/d/14Bd19lYaqBhU8_DElYkX7l4wRkHqqCUFNJY4AfY3kHU/edit?usp=sharing  #gid=0"",""фіз особи new!relations_name_uo""),7,FALSE)
,
)
))"),"#N/A")</f>
        <v>#N/A</v>
      </c>
      <c r="J3639" s="7" t="s">
        <v>21</v>
      </c>
    </row>
    <row r="3640" spans="1:10" ht="13.2">
      <c r="A3640" s="7">
        <v>3639</v>
      </c>
      <c r="B3640" s="7">
        <v>1</v>
      </c>
      <c r="C3640" s="7" t="s">
        <v>10</v>
      </c>
      <c r="D3640" s="7">
        <v>2097</v>
      </c>
      <c r="E3640" s="7" t="s">
        <v>14</v>
      </c>
      <c r="F3640" s="8" t="str">
        <f ca="1">IFERROR(__xludf.DUMMYFUNCTION("IF
(
C3641=""фізична особа""
,
VLOOKUP(D3641,IMPORTRANGE(""https://docs.google.com/spreadsheets/d/14Bd19lYaqBhU8_DElYkX7l4wRkHqqCUFNJY4AfY3kHU/edit?usp=sharing  #gid=0"",""фіз особи new!relations_name""),6,FALSE)
,
(IF
(
C3641=""юридична особа""
,
VLOOKUP"&amp;"(D3641,IMPORTRANGE(""https://docs.google.com/spreadsheets/d/14Bd19lYaqBhU8_DElYkX7l4wRkHqqCUFNJY4AfY3kHU/edit?usp=sharing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0" s="7" t="s">
        <v>10</v>
      </c>
      <c r="H3640" s="7">
        <v>0</v>
      </c>
      <c r="I3640" s="8" t="str">
        <f ca="1">IFERROR(__xludf.DUMMYFUNCTION("IF
(
G3641=""фізична особа""
,
VLOOKUP(H3641,IMPORTRANGE(""https://docs.google.com/spreadsheets/d/14Bd19lYaqBhU8_DElYkX7l4wRkHqqCUFNJY4AfY3kHU/edit?usp=sharing  #gid=0"",""фіз особи new!relations_name""),6,FALSE)
,
(IF
(
G3641=""юридична особа""
,
VLOOKUP"&amp;"(H3641,IMPORTRANGE(""https://docs.google.com/spreadsheets/d/14Bd19lYaqBhU8_DElYkX7l4wRkHqqCUFNJY4AfY3kHU/edit?usp=sharing  #gid=0"",""фіз особи new!relations_name_uo""),7,FALSE)
,
)
))"),"#N/A")</f>
        <v>#N/A</v>
      </c>
      <c r="J3640" s="7" t="s">
        <v>15</v>
      </c>
    </row>
    <row r="3641" spans="1:10" ht="13.2">
      <c r="A3641" s="7">
        <v>3640</v>
      </c>
      <c r="B3641" s="7">
        <v>1</v>
      </c>
      <c r="C3641" s="7" t="s">
        <v>10</v>
      </c>
      <c r="D3641" s="7">
        <v>2097</v>
      </c>
      <c r="E3641" s="7" t="s">
        <v>12</v>
      </c>
      <c r="F3641" s="8" t="str">
        <f ca="1">IFERROR(__xludf.DUMMYFUNCTION("IF
(
C3642=""фізична особа""
,
VLOOKUP(D3642,IMPORTRANGE(""https://docs.google.com/spreadsheets/d/14Bd19lYaqBhU8_DElYkX7l4wRkHqqCUFNJY4AfY3kHU/edit?usp=sharing  #gid=0"",""фіз особи new!relations_name""),6,FALSE)
,
(IF
(
C3642=""юридична особа""
,
VLOOKUP"&amp;"(D3642,IMPORTRANGE(""https://docs.google.com/spreadsheets/d/14Bd19lYaqBhU8_DElYkX7l4wRkHqqCUFNJY4AfY3kHU/edit?usp=sharing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1" s="7" t="s">
        <v>10</v>
      </c>
      <c r="H3641" s="7">
        <v>0</v>
      </c>
      <c r="I3641" s="8" t="str">
        <f ca="1">IFERROR(__xludf.DUMMYFUNCTION("IF
(
G3642=""фізична особа""
,
VLOOKUP(H3642,IMPORTRANGE(""https://docs.google.com/spreadsheets/d/14Bd19lYaqBhU8_DElYkX7l4wRkHqqCUFNJY4AfY3kHU/edit?usp=sharing  #gid=0"",""фіз особи new!relations_name""),6,FALSE)
,
(IF
(
G3642=""юридична особа""
,
VLOOKUP"&amp;"(H3642,IMPORTRANGE(""https://docs.google.com/spreadsheets/d/14Bd19lYaqBhU8_DElYkX7l4wRkHqqCUFNJY4AfY3kHU/edit?usp=sharing  #gid=0"",""фіз особи new!relations_name_uo""),7,FALSE)
,
)
))"),"#N/A")</f>
        <v>#N/A</v>
      </c>
      <c r="J3641" s="7" t="s">
        <v>13</v>
      </c>
    </row>
    <row r="3642" spans="1:10" ht="13.2">
      <c r="A3642" s="7">
        <v>3641</v>
      </c>
      <c r="B3642" s="7">
        <v>1</v>
      </c>
      <c r="C3642" s="7" t="s">
        <v>10</v>
      </c>
      <c r="D3642" s="7">
        <v>2097</v>
      </c>
      <c r="E3642" s="7" t="s">
        <v>12</v>
      </c>
      <c r="F3642" s="8" t="str">
        <f ca="1">IFERROR(__xludf.DUMMYFUNCTION("IF
(
C3643=""фізична особа""
,
VLOOKUP(D3643,IMPORTRANGE(""https://docs.google.com/spreadsheets/d/14Bd19lYaqBhU8_DElYkX7l4wRkHqqCUFNJY4AfY3kHU/edit?usp=sharing  #gid=0"",""фіз особи new!relations_name""),6,FALSE)
,
(IF
(
C3643=""юридична особа""
,
VLOOKUP"&amp;"(D3643,IMPORTRANGE(""https://docs.google.com/spreadsheets/d/14Bd19lYaqBhU8_DElYkX7l4wRkHqqCUFNJY4AfY3kHU/edit?usp=sharing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2" s="7" t="s">
        <v>10</v>
      </c>
      <c r="H3642" s="7">
        <v>0</v>
      </c>
      <c r="I3642" s="8" t="str">
        <f ca="1">IFERROR(__xludf.DUMMYFUNCTION("IF
(
G3643=""фізична особа""
,
VLOOKUP(H3643,IMPORTRANGE(""https://docs.google.com/spreadsheets/d/14Bd19lYaqBhU8_DElYkX7l4wRkHqqCUFNJY4AfY3kHU/edit?usp=sharing  #gid=0"",""фіз особи new!relations_name""),6,FALSE)
,
(IF
(
G3643=""юридична особа""
,
VLOOKUP"&amp;"(H3643,IMPORTRANGE(""https://docs.google.com/spreadsheets/d/14Bd19lYaqBhU8_DElYkX7l4wRkHqqCUFNJY4AfY3kHU/edit?usp=sharing  #gid=0"",""фіз особи new!relations_name_uo""),7,FALSE)
,
)
))"),"#N/A")</f>
        <v>#N/A</v>
      </c>
      <c r="J3642" s="7" t="s">
        <v>13</v>
      </c>
    </row>
    <row r="3643" spans="1:10" ht="13.2">
      <c r="A3643" s="7">
        <v>3642</v>
      </c>
      <c r="B3643" s="7">
        <v>1</v>
      </c>
      <c r="C3643" s="7" t="s">
        <v>10</v>
      </c>
      <c r="D3643" s="7">
        <v>2097</v>
      </c>
      <c r="E3643" s="7" t="s">
        <v>12</v>
      </c>
      <c r="F3643" s="8" t="str">
        <f ca="1">IFERROR(__xludf.DUMMYFUNCTION("IF
(
C3644=""фізична особа""
,
VLOOKUP(D3644,IMPORTRANGE(""https://docs.google.com/spreadsheets/d/14Bd19lYaqBhU8_DElYkX7l4wRkHqqCUFNJY4AfY3kHU/edit?usp=sharing  #gid=0"",""фіз особи new!relations_name""),6,FALSE)
,
(IF
(
C3644=""юридична особа""
,
VLOOKUP"&amp;"(D3644,IMPORTRANGE(""https://docs.google.com/spreadsheets/d/14Bd19lYaqBhU8_DElYkX7l4wRkHqqCUFNJY4AfY3kHU/edit?usp=sharing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3" s="7" t="s">
        <v>10</v>
      </c>
      <c r="H3643" s="7">
        <v>0</v>
      </c>
      <c r="I3643" s="8" t="str">
        <f ca="1">IFERROR(__xludf.DUMMYFUNCTION("IF
(
G3644=""фізична особа""
,
VLOOKUP(H3644,IMPORTRANGE(""https://docs.google.com/spreadsheets/d/14Bd19lYaqBhU8_DElYkX7l4wRkHqqCUFNJY4AfY3kHU/edit?usp=sharing  #gid=0"",""фіз особи new!relations_name""),6,FALSE)
,
(IF
(
G3644=""юридична особа""
,
VLOOKUP"&amp;"(H3644,IMPORTRANGE(""https://docs.google.com/spreadsheets/d/14Bd19lYaqBhU8_DElYkX7l4wRkHqqCUFNJY4AfY3kHU/edit?usp=sharing  #gid=0"",""фіз особи new!relations_name_uo""),7,FALSE)
,
)
))"),"#N/A")</f>
        <v>#N/A</v>
      </c>
      <c r="J3643" s="7" t="s">
        <v>13</v>
      </c>
    </row>
    <row r="3644" spans="1:10" ht="13.2">
      <c r="A3644" s="7">
        <v>3643</v>
      </c>
      <c r="B3644" s="7">
        <v>1</v>
      </c>
      <c r="C3644" s="7" t="s">
        <v>10</v>
      </c>
      <c r="D3644" s="7">
        <v>2097</v>
      </c>
      <c r="E3644" s="7" t="s">
        <v>24</v>
      </c>
      <c r="F3644" s="8" t="str">
        <f ca="1">IFERROR(__xludf.DUMMYFUNCTION("IF
(
C3645=""фізична особа""
,
VLOOKUP(D3645,IMPORTRANGE(""https://docs.google.com/spreadsheets/d/14Bd19lYaqBhU8_DElYkX7l4wRkHqqCUFNJY4AfY3kHU/edit?usp=sharing  #gid=0"",""фіз особи new!relations_name""),6,FALSE)
,
(IF
(
C3645=""юридична особа""
,
VLOOKUP"&amp;"(D3645,IMPORTRANGE(""https://docs.google.com/spreadsheets/d/14Bd19lYaqBhU8_DElYkX7l4wRkHqqCUFNJY4AfY3kHU/edit?usp=sharing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4" s="7" t="s">
        <v>10</v>
      </c>
      <c r="H3644" s="7">
        <v>0</v>
      </c>
      <c r="I3644" s="8" t="str">
        <f ca="1">IFERROR(__xludf.DUMMYFUNCTION("IF
(
G3645=""фізична особа""
,
VLOOKUP(H3645,IMPORTRANGE(""https://docs.google.com/spreadsheets/d/14Bd19lYaqBhU8_DElYkX7l4wRkHqqCUFNJY4AfY3kHU/edit?usp=sharing  #gid=0"",""фіз особи new!relations_name""),6,FALSE)
,
(IF
(
G3645=""юридична особа""
,
VLOOKUP"&amp;"(H3645,IMPORTRANGE(""https://docs.google.com/spreadsheets/d/14Bd19lYaqBhU8_DElYkX7l4wRkHqqCUFNJY4AfY3kHU/edit?usp=sharing  #gid=0"",""фіз особи new!relations_name_uo""),7,FALSE)
,
)
))"),"#N/A")</f>
        <v>#N/A</v>
      </c>
      <c r="J3644" s="7" t="s">
        <v>26</v>
      </c>
    </row>
    <row r="3645" spans="1:10" ht="13.2">
      <c r="A3645" s="7">
        <v>3644</v>
      </c>
      <c r="B3645" s="7">
        <v>1</v>
      </c>
      <c r="C3645" s="7" t="s">
        <v>10</v>
      </c>
      <c r="D3645" s="7">
        <v>2097</v>
      </c>
      <c r="E3645" s="7" t="s">
        <v>12</v>
      </c>
      <c r="F3645" s="8" t="str">
        <f ca="1">IFERROR(__xludf.DUMMYFUNCTION("IF
(
C3646=""фізична особа""
,
VLOOKUP(D3646,IMPORTRANGE(""https://docs.google.com/spreadsheets/d/14Bd19lYaqBhU8_DElYkX7l4wRkHqqCUFNJY4AfY3kHU/edit?usp=sharing  #gid=0"",""фіз особи new!relations_name""),6,FALSE)
,
(IF
(
C3646=""юридична особа""
,
VLOOKUP"&amp;"(D3646,IMPORTRANGE(""https://docs.google.com/spreadsheets/d/14Bd19lYaqBhU8_DElYkX7l4wRkHqqCUFNJY4AfY3kHU/edit?usp=sharing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5" s="7" t="s">
        <v>10</v>
      </c>
      <c r="H3645" s="7">
        <v>0</v>
      </c>
      <c r="I3645" s="8" t="str">
        <f ca="1">IFERROR(__xludf.DUMMYFUNCTION("IF
(
G3646=""фізична особа""
,
VLOOKUP(H3646,IMPORTRANGE(""https://docs.google.com/spreadsheets/d/14Bd19lYaqBhU8_DElYkX7l4wRkHqqCUFNJY4AfY3kHU/edit?usp=sharing  #gid=0"",""фіз особи new!relations_name""),6,FALSE)
,
(IF
(
G3646=""юридична особа""
,
VLOOKUP"&amp;"(H3646,IMPORTRANGE(""https://docs.google.com/spreadsheets/d/14Bd19lYaqBhU8_DElYkX7l4wRkHqqCUFNJY4AfY3kHU/edit?usp=sharing  #gid=0"",""фіз особи new!relations_name_uo""),7,FALSE)
,
)
))"),"#N/A")</f>
        <v>#N/A</v>
      </c>
      <c r="J3645" s="7" t="s">
        <v>13</v>
      </c>
    </row>
    <row r="3646" spans="1:10" ht="13.2">
      <c r="A3646" s="7">
        <v>3645</v>
      </c>
      <c r="B3646" s="7">
        <v>1</v>
      </c>
      <c r="C3646" s="7" t="s">
        <v>10</v>
      </c>
      <c r="D3646" s="7">
        <v>2097</v>
      </c>
      <c r="E3646" s="7" t="s">
        <v>12</v>
      </c>
      <c r="F3646" s="8" t="str">
        <f ca="1">IFERROR(__xludf.DUMMYFUNCTION("IF
(
C3647=""фізична особа""
,
VLOOKUP(D3647,IMPORTRANGE(""https://docs.google.com/spreadsheets/d/14Bd19lYaqBhU8_DElYkX7l4wRkHqqCUFNJY4AfY3kHU/edit?usp=sharing  #gid=0"",""фіз особи new!relations_name""),6,FALSE)
,
(IF
(
C3647=""юридична особа""
,
VLOOKUP"&amp;"(D3647,IMPORTRANGE(""https://docs.google.com/spreadsheets/d/14Bd19lYaqBhU8_DElYkX7l4wRkHqqCUFNJY4AfY3kHU/edit?usp=sharing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6" s="7" t="s">
        <v>10</v>
      </c>
      <c r="H3646" s="7">
        <v>0</v>
      </c>
      <c r="I3646" s="8" t="str">
        <f ca="1">IFERROR(__xludf.DUMMYFUNCTION("IF
(
G3647=""фізична особа""
,
VLOOKUP(H3647,IMPORTRANGE(""https://docs.google.com/spreadsheets/d/14Bd19lYaqBhU8_DElYkX7l4wRkHqqCUFNJY4AfY3kHU/edit?usp=sharing  #gid=0"",""фіз особи new!relations_name""),6,FALSE)
,
(IF
(
G3647=""юридична особа""
,
VLOOKUP"&amp;"(H3647,IMPORTRANGE(""https://docs.google.com/spreadsheets/d/14Bd19lYaqBhU8_DElYkX7l4wRkHqqCUFNJY4AfY3kHU/edit?usp=sharing  #gid=0"",""фіз особи new!relations_name_uo""),7,FALSE)
,
)
))"),"#N/A")</f>
        <v>#N/A</v>
      </c>
      <c r="J3646" s="7" t="s">
        <v>17</v>
      </c>
    </row>
    <row r="3647" spans="1:10" ht="13.2">
      <c r="A3647" s="7">
        <v>3646</v>
      </c>
      <c r="B3647" s="7">
        <v>1</v>
      </c>
      <c r="C3647" s="7" t="s">
        <v>10</v>
      </c>
      <c r="D3647" s="7">
        <v>2097</v>
      </c>
      <c r="E3647" s="7" t="s">
        <v>12</v>
      </c>
      <c r="F3647" s="8" t="str">
        <f ca="1">IFERROR(__xludf.DUMMYFUNCTION("IF
(
C3648=""фізична особа""
,
VLOOKUP(D3648,IMPORTRANGE(""https://docs.google.com/spreadsheets/d/14Bd19lYaqBhU8_DElYkX7l4wRkHqqCUFNJY4AfY3kHU/edit?usp=sharing  #gid=0"",""фіз особи new!relations_name""),6,FALSE)
,
(IF
(
C3648=""юридична особа""
,
VLOOKUP"&amp;"(D3648,IMPORTRANGE(""https://docs.google.com/spreadsheets/d/14Bd19lYaqBhU8_DElYkX7l4wRkHqqCUFNJY4AfY3kHU/edit?usp=sharing  #gid=0"",""фіз особи new!relations_name_uo""),7,FALSE)
,
)
))"),"ОХЛОБИСТІН Іван Іванович")</f>
        <v>ОХЛОБИСТІН Іван Іванович</v>
      </c>
      <c r="G3647" s="7" t="s">
        <v>10</v>
      </c>
      <c r="H3647" s="7">
        <v>0</v>
      </c>
      <c r="I3647" s="8" t="str">
        <f ca="1">IFERROR(__xludf.DUMMYFUNCTION("IF
(
G3648=""фізична особа""
,
VLOOKUP(H3648,IMPORTRANGE(""https://docs.google.com/spreadsheets/d/14Bd19lYaqBhU8_DElYkX7l4wRkHqqCUFNJY4AfY3kHU/edit?usp=sharing  #gid=0"",""фіз особи new!relations_name""),6,FALSE)
,
(IF
(
G3648=""юридична особа""
,
VLOOKUP"&amp;"(H3648,IMPORTRANGE(""https://docs.google.com/spreadsheets/d/14Bd19lYaqBhU8_DElYkX7l4wRkHqqCUFNJY4AfY3kHU/edit?usp=sharing  #gid=0"",""фіз особи new!relations_name_uo""),7,FALSE)
,
)
))"),"#N/A")</f>
        <v>#N/A</v>
      </c>
      <c r="J3647" s="7" t="s">
        <v>17</v>
      </c>
    </row>
    <row r="3648" spans="1:10" ht="13.2">
      <c r="A3648" s="7">
        <v>3647</v>
      </c>
      <c r="B3648" s="7">
        <v>1</v>
      </c>
      <c r="C3648" s="7" t="s">
        <v>10</v>
      </c>
      <c r="D3648" s="7">
        <v>2098</v>
      </c>
      <c r="E3648" s="7" t="s">
        <v>17</v>
      </c>
      <c r="F3648" s="8" t="str">
        <f ca="1">IFERROR(__xludf.DUMMYFUNCTION("IF
(
C3649=""фізична особа""
,
VLOOKUP(D3649,IMPORTRANGE(""https://docs.google.com/spreadsheets/d/14Bd19lYaqBhU8_DElYkX7l4wRkHqqCUFNJY4AfY3kHU/edit?usp=sharing  #gid=0"",""фіз особи new!relations_name""),6,FALSE)
,
(IF
(
C3649=""юридична особа""
,
VLOOKUP"&amp;"(D3649,IMPORTRANGE(""https://docs.google.com/spreadsheets/d/14Bd19lYaqBhU8_DElYkX7l4wRkHqqCUFNJY4AfY3kHU/edit?usp=sharing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48" s="7" t="s">
        <v>10</v>
      </c>
      <c r="H3648" s="7">
        <v>0</v>
      </c>
      <c r="I3648" s="8" t="str">
        <f ca="1">IFERROR(__xludf.DUMMYFUNCTION("IF
(
G3649=""фізична особа""
,
VLOOKUP(H3649,IMPORTRANGE(""https://docs.google.com/spreadsheets/d/14Bd19lYaqBhU8_DElYkX7l4wRkHqqCUFNJY4AfY3kHU/edit?usp=sharing  #gid=0"",""фіз особи new!relations_name""),6,FALSE)
,
(IF
(
G3649=""юридична особа""
,
VLOOKUP"&amp;"(H3649,IMPORTRANGE(""https://docs.google.com/spreadsheets/d/14Bd19lYaqBhU8_DElYkX7l4wRkHqqCUFNJY4AfY3kHU/edit?usp=sharing  #gid=0"",""фіз особи new!relations_name_uo""),7,FALSE)
,
)
))"),"#N/A")</f>
        <v>#N/A</v>
      </c>
      <c r="J3648" s="7" t="s">
        <v>21</v>
      </c>
    </row>
    <row r="3649" spans="1:10" ht="13.2">
      <c r="A3649" s="7">
        <v>3648</v>
      </c>
      <c r="B3649" s="7">
        <v>1</v>
      </c>
      <c r="C3649" s="7" t="s">
        <v>10</v>
      </c>
      <c r="D3649" s="7">
        <v>2098</v>
      </c>
      <c r="E3649" s="7" t="s">
        <v>17</v>
      </c>
      <c r="F3649" s="8" t="str">
        <f ca="1">IFERROR(__xludf.DUMMYFUNCTION("IF
(
C3650=""фізична особа""
,
VLOOKUP(D3650,IMPORTRANGE(""https://docs.google.com/spreadsheets/d/14Bd19lYaqBhU8_DElYkX7l4wRkHqqCUFNJY4AfY3kHU/edit?usp=sharing  #gid=0"",""фіз особи new!relations_name""),6,FALSE)
,
(IF
(
C3650=""юридична особа""
,
VLOOKUP"&amp;"(D3650,IMPORTRANGE(""https://docs.google.com/spreadsheets/d/14Bd19lYaqBhU8_DElYkX7l4wRkHqqCUFNJY4AfY3kHU/edit?usp=sharing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49" s="7" t="s">
        <v>10</v>
      </c>
      <c r="H3649" s="7">
        <v>0</v>
      </c>
      <c r="I3649" s="8" t="str">
        <f ca="1">IFERROR(__xludf.DUMMYFUNCTION("IF
(
G3650=""фізична особа""
,
VLOOKUP(H3650,IMPORTRANGE(""https://docs.google.com/spreadsheets/d/14Bd19lYaqBhU8_DElYkX7l4wRkHqqCUFNJY4AfY3kHU/edit?usp=sharing  #gid=0"",""фіз особи new!relations_name""),6,FALSE)
,
(IF
(
G3650=""юридична особа""
,
VLOOKUP"&amp;"(H3650,IMPORTRANGE(""https://docs.google.com/spreadsheets/d/14Bd19lYaqBhU8_DElYkX7l4wRkHqqCUFNJY4AfY3kHU/edit?usp=sharing  #gid=0"",""фіз особи new!relations_name_uo""),7,FALSE)
,
)
))"),"#N/A")</f>
        <v>#N/A</v>
      </c>
      <c r="J3649" s="7" t="s">
        <v>12</v>
      </c>
    </row>
    <row r="3650" spans="1:10" ht="13.2">
      <c r="A3650" s="7">
        <v>3649</v>
      </c>
      <c r="B3650" s="7">
        <v>1</v>
      </c>
      <c r="C3650" s="7" t="s">
        <v>10</v>
      </c>
      <c r="D3650" s="7">
        <v>2098</v>
      </c>
      <c r="E3650" s="7" t="s">
        <v>18</v>
      </c>
      <c r="F3650" s="8" t="str">
        <f ca="1">IFERROR(__xludf.DUMMYFUNCTION("IF
(
C3651=""фізична особа""
,
VLOOKUP(D3651,IMPORTRANGE(""https://docs.google.com/spreadsheets/d/14Bd19lYaqBhU8_DElYkX7l4wRkHqqCUFNJY4AfY3kHU/edit?usp=sharing  #gid=0"",""фіз особи new!relations_name""),6,FALSE)
,
(IF
(
C3651=""юридична особа""
,
VLOOKUP"&amp;"(D3651,IMPORTRANGE(""https://docs.google.com/spreadsheets/d/14Bd19lYaqBhU8_DElYkX7l4wRkHqqCUFNJY4AfY3kHU/edit?usp=sharing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50" s="7" t="s">
        <v>10</v>
      </c>
      <c r="H3650" s="7">
        <v>0</v>
      </c>
      <c r="I3650" s="8" t="str">
        <f ca="1">IFERROR(__xludf.DUMMYFUNCTION("IF
(
G3651=""фізична особа""
,
VLOOKUP(H3651,IMPORTRANGE(""https://docs.google.com/spreadsheets/d/14Bd19lYaqBhU8_DElYkX7l4wRkHqqCUFNJY4AfY3kHU/edit?usp=sharing  #gid=0"",""фіз особи new!relations_name""),6,FALSE)
,
(IF
(
G3651=""юридична особа""
,
VLOOKUP"&amp;"(H3651,IMPORTRANGE(""https://docs.google.com/spreadsheets/d/14Bd19lYaqBhU8_DElYkX7l4wRkHqqCUFNJY4AfY3kHU/edit?usp=sharing  #gid=0"",""фіз особи new!relations_name_uo""),7,FALSE)
,
)
))"),"#N/A")</f>
        <v>#N/A</v>
      </c>
      <c r="J3650" s="7" t="s">
        <v>18</v>
      </c>
    </row>
    <row r="3651" spans="1:10" ht="13.2">
      <c r="A3651" s="7">
        <v>3650</v>
      </c>
      <c r="B3651" s="7">
        <v>1</v>
      </c>
      <c r="C3651" s="7" t="s">
        <v>10</v>
      </c>
      <c r="D3651" s="7">
        <v>2098</v>
      </c>
      <c r="E3651" s="7" t="s">
        <v>46</v>
      </c>
      <c r="F3651" s="8" t="str">
        <f ca="1">IFERROR(__xludf.DUMMYFUNCTION("IF
(
C3652=""фізична особа""
,
VLOOKUP(D3652,IMPORTRANGE(""https://docs.google.com/spreadsheets/d/14Bd19lYaqBhU8_DElYkX7l4wRkHqqCUFNJY4AfY3kHU/edit?usp=sharing  #gid=0"",""фіз особи new!relations_name""),6,FALSE)
,
(IF
(
C3652=""юридична особа""
,
VLOOKUP"&amp;"(D3652,IMPORTRANGE(""https://docs.google.com/spreadsheets/d/14Bd19lYaqBhU8_DElYkX7l4wRkHqqCUFNJY4AfY3kHU/edit?usp=sharing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51" s="7" t="s">
        <v>10</v>
      </c>
      <c r="H3651" s="7">
        <v>0</v>
      </c>
      <c r="I3651" s="8" t="str">
        <f ca="1">IFERROR(__xludf.DUMMYFUNCTION("IF
(
G3652=""фізична особа""
,
VLOOKUP(H3652,IMPORTRANGE(""https://docs.google.com/spreadsheets/d/14Bd19lYaqBhU8_DElYkX7l4wRkHqqCUFNJY4AfY3kHU/edit?usp=sharing  #gid=0"",""фіз особи new!relations_name""),6,FALSE)
,
(IF
(
G3652=""юридична особа""
,
VLOOKUP"&amp;"(H3652,IMPORTRANGE(""https://docs.google.com/spreadsheets/d/14Bd19lYaqBhU8_DElYkX7l4wRkHqqCUFNJY4AfY3kHU/edit?usp=sharing  #gid=0"",""фіз особи new!relations_name_uo""),7,FALSE)
,
)
))"),"#N/A")</f>
        <v>#N/A</v>
      </c>
      <c r="J3651" s="7" t="s">
        <v>47</v>
      </c>
    </row>
    <row r="3652" spans="1:10" ht="13.2">
      <c r="A3652" s="7">
        <v>3651</v>
      </c>
      <c r="B3652" s="7">
        <v>1</v>
      </c>
      <c r="C3652" s="7" t="s">
        <v>10</v>
      </c>
      <c r="D3652" s="7">
        <v>2098</v>
      </c>
      <c r="E3652" s="7" t="s">
        <v>12</v>
      </c>
      <c r="F3652" s="8" t="str">
        <f ca="1">IFERROR(__xludf.DUMMYFUNCTION("IF
(
C3653=""фізична особа""
,
VLOOKUP(D3653,IMPORTRANGE(""https://docs.google.com/spreadsheets/d/14Bd19lYaqBhU8_DElYkX7l4wRkHqqCUFNJY4AfY3kHU/edit?usp=sharing  #gid=0"",""фіз особи new!relations_name""),6,FALSE)
,
(IF
(
C3653=""юридична особа""
,
VLOOKUP"&amp;"(D3653,IMPORTRANGE(""https://docs.google.com/spreadsheets/d/14Bd19lYaqBhU8_DElYkX7l4wRkHqqCUFNJY4AfY3kHU/edit?usp=sharing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52" s="7" t="s">
        <v>10</v>
      </c>
      <c r="H3652" s="7">
        <v>0</v>
      </c>
      <c r="I3652" s="8" t="str">
        <f ca="1">IFERROR(__xludf.DUMMYFUNCTION("IF
(
G3653=""фізична особа""
,
VLOOKUP(H3653,IMPORTRANGE(""https://docs.google.com/spreadsheets/d/14Bd19lYaqBhU8_DElYkX7l4wRkHqqCUFNJY4AfY3kHU/edit?usp=sharing  #gid=0"",""фіз особи new!relations_name""),6,FALSE)
,
(IF
(
G3653=""юридична особа""
,
VLOOKUP"&amp;"(H3653,IMPORTRANGE(""https://docs.google.com/spreadsheets/d/14Bd19lYaqBhU8_DElYkX7l4wRkHqqCUFNJY4AfY3kHU/edit?usp=sharing  #gid=0"",""фіз особи new!relations_name_uo""),7,FALSE)
,
)
))"),"#N/A")</f>
        <v>#N/A</v>
      </c>
      <c r="J3652" s="7" t="s">
        <v>17</v>
      </c>
    </row>
    <row r="3653" spans="1:10" ht="13.2">
      <c r="A3653" s="7">
        <v>3652</v>
      </c>
      <c r="B3653" s="7">
        <v>1</v>
      </c>
      <c r="C3653" s="7" t="s">
        <v>10</v>
      </c>
      <c r="D3653" s="7">
        <v>2098</v>
      </c>
      <c r="E3653" s="7" t="s">
        <v>12</v>
      </c>
      <c r="F3653" s="8" t="str">
        <f ca="1">IFERROR(__xludf.DUMMYFUNCTION("IF
(
C3654=""фізична особа""
,
VLOOKUP(D3654,IMPORTRANGE(""https://docs.google.com/spreadsheets/d/14Bd19lYaqBhU8_DElYkX7l4wRkHqqCUFNJY4AfY3kHU/edit?usp=sharing  #gid=0"",""фіз особи new!relations_name""),6,FALSE)
,
(IF
(
C3654=""юридична особа""
,
VLOOKUP"&amp;"(D3654,IMPORTRANGE(""https://docs.google.com/spreadsheets/d/14Bd19lYaqBhU8_DElYkX7l4wRkHqqCUFNJY4AfY3kHU/edit?usp=sharing  #gid=0"",""фіз особи new!relations_name_uo""),7,FALSE)
,
)
))"),"Андреасян Сарик Гарнікович ")</f>
        <v xml:space="preserve">Андреасян Сарик Гарнікович </v>
      </c>
      <c r="G3653" s="7" t="s">
        <v>10</v>
      </c>
      <c r="H3653" s="7">
        <v>0</v>
      </c>
      <c r="I3653" s="8" t="str">
        <f ca="1">IFERROR(__xludf.DUMMYFUNCTION("IF
(
G3654=""фізична особа""
,
VLOOKUP(H3654,IMPORTRANGE(""https://docs.google.com/spreadsheets/d/14Bd19lYaqBhU8_DElYkX7l4wRkHqqCUFNJY4AfY3kHU/edit?usp=sharing  #gid=0"",""фіз особи new!relations_name""),6,FALSE)
,
(IF
(
G3654=""юридична особа""
,
VLOOKUP"&amp;"(H3654,IMPORTRANGE(""https://docs.google.com/spreadsheets/d/14Bd19lYaqBhU8_DElYkX7l4wRkHqqCUFNJY4AfY3kHU/edit?usp=sharing  #gid=0"",""фіз особи new!relations_name_uo""),7,FALSE)
,
)
))"),"#N/A")</f>
        <v>#N/A</v>
      </c>
      <c r="J3653" s="7" t="s">
        <v>17</v>
      </c>
    </row>
    <row r="3654" spans="1:10" ht="13.2">
      <c r="A3654" s="7">
        <v>3653</v>
      </c>
      <c r="B3654" s="7">
        <v>1</v>
      </c>
      <c r="C3654" s="7" t="s">
        <v>10</v>
      </c>
      <c r="D3654" s="7">
        <v>2099</v>
      </c>
      <c r="E3654" s="7" t="s">
        <v>14</v>
      </c>
      <c r="F3654" s="8" t="str">
        <f ca="1">IFERROR(__xludf.DUMMYFUNCTION("IF
(
C3655=""фізична особа""
,
VLOOKUP(D3655,IMPORTRANGE(""https://docs.google.com/spreadsheets/d/14Bd19lYaqBhU8_DElYkX7l4wRkHqqCUFNJY4AfY3kHU/edit?usp=sharing  #gid=0"",""фіз особи new!relations_name""),6,FALSE)
,
(IF
(
C3655=""юридична особа""
,
VLOOKUP"&amp;"(D3655,IMPORTRANGE(""https://docs.google.com/spreadsheets/d/14Bd19lYaqBhU8_DElYkX7l4wRkHqqCUFNJY4AfY3kHU/edit?usp=sharing  #gid=0"",""фіз особи new!relations_name_uo""),7,FALSE)
,
)
))"),"БОЯРСЬКИЙ Михайло Сергійович")</f>
        <v>БОЯРСЬКИЙ Михайло Сергійович</v>
      </c>
      <c r="G3654" s="7" t="s">
        <v>10</v>
      </c>
      <c r="H3654" s="7">
        <v>0</v>
      </c>
      <c r="I3654" s="8" t="str">
        <f ca="1">IFERROR(__xludf.DUMMYFUNCTION("IF
(
G3655=""фізична особа""
,
VLOOKUP(H3655,IMPORTRANGE(""https://docs.google.com/spreadsheets/d/14Bd19lYaqBhU8_DElYkX7l4wRkHqqCUFNJY4AfY3kHU/edit?usp=sharing  #gid=0"",""фіз особи new!relations_name""),6,FALSE)
,
(IF
(
G3655=""юридична особа""
,
VLOOKUP"&amp;"(H3655,IMPORTRANGE(""https://docs.google.com/spreadsheets/d/14Bd19lYaqBhU8_DElYkX7l4wRkHqqCUFNJY4AfY3kHU/edit?usp=sharing  #gid=0"",""фіз особи new!relations_name_uo""),7,FALSE)
,
)
))"),"#N/A")</f>
        <v>#N/A</v>
      </c>
      <c r="J3654" s="7" t="s">
        <v>15</v>
      </c>
    </row>
    <row r="3655" spans="1:10" ht="13.2">
      <c r="A3655" s="7">
        <v>3654</v>
      </c>
      <c r="B3655" s="7">
        <v>1</v>
      </c>
      <c r="C3655" s="7" t="s">
        <v>10</v>
      </c>
      <c r="D3655" s="7">
        <v>2099</v>
      </c>
      <c r="E3655" s="7" t="s">
        <v>12</v>
      </c>
      <c r="F3655" s="8" t="str">
        <f ca="1">IFERROR(__xludf.DUMMYFUNCTION("IF
(
C3656=""фізична особа""
,
VLOOKUP(D3656,IMPORTRANGE(""https://docs.google.com/spreadsheets/d/14Bd19lYaqBhU8_DElYkX7l4wRkHqqCUFNJY4AfY3kHU/edit?usp=sharing  #gid=0"",""фіз особи new!relations_name""),6,FALSE)
,
(IF
(
C3656=""юридична особа""
,
VLOOKUP"&amp;"(D3656,IMPORTRANGE(""https://docs.google.com/spreadsheets/d/14Bd19lYaqBhU8_DElYkX7l4wRkHqqCUFNJY4AfY3kHU/edit?usp=sharing  #gid=0"",""фіз особи new!relations_name_uo""),7,FALSE)
,
)
))"),"БОЯРСЬКИЙ Михайло Сергійович")</f>
        <v>БОЯРСЬКИЙ Михайло Сергійович</v>
      </c>
      <c r="G3655" s="7" t="s">
        <v>10</v>
      </c>
      <c r="H3655" s="7">
        <v>23448</v>
      </c>
      <c r="I3655" s="8" t="str">
        <f ca="1">IFERROR(__xludf.DUMMYFUNCTION("IF
(
G3656=""фізична особа""
,
VLOOKUP(H3656,IMPORTRANGE(""https://docs.google.com/spreadsheets/d/14Bd19lYaqBhU8_DElYkX7l4wRkHqqCUFNJY4AfY3kHU/edit?usp=sharing  #gid=0"",""фіз особи new!relations_name""),6,FALSE)
,
(IF
(
G3656=""юридична особа""
,
VLOOKUP"&amp;"(H3656,IMPORTRANGE(""https://docs.google.com/spreadsheets/d/14Bd19lYaqBhU8_DElYkX7l4wRkHqqCUFNJY4AfY3kHU/edit?usp=sharing  #gid=0"",""фіз особи new!relations_name_uo""),7,FALSE)
,
)
))"),"БОЯРСЬКА Єлизавета Михайлівна")</f>
        <v>БОЯРСЬКА Єлизавета Михайлівна</v>
      </c>
      <c r="J3655" s="7" t="s">
        <v>13</v>
      </c>
    </row>
    <row r="3656" spans="1:10" ht="13.2">
      <c r="A3656" s="7">
        <v>3655</v>
      </c>
      <c r="B3656" s="7">
        <v>1</v>
      </c>
      <c r="C3656" s="7" t="s">
        <v>10</v>
      </c>
      <c r="D3656" s="7">
        <v>2099</v>
      </c>
      <c r="E3656" s="7" t="s">
        <v>12</v>
      </c>
      <c r="F3656" s="8" t="str">
        <f ca="1">IFERROR(__xludf.DUMMYFUNCTION("IF
(
C3657=""фізична особа""
,
VLOOKUP(D3657,IMPORTRANGE(""https://docs.google.com/spreadsheets/d/14Bd19lYaqBhU8_DElYkX7l4wRkHqqCUFNJY4AfY3kHU/edit?usp=sharing  #gid=0"",""фіз особи new!relations_name""),6,FALSE)
,
(IF
(
C3657=""юридична особа""
,
VLOOKUP"&amp;"(D3657,IMPORTRANGE(""https://docs.google.com/spreadsheets/d/14Bd19lYaqBhU8_DElYkX7l4wRkHqqCUFNJY4AfY3kHU/edit?usp=sharing  #gid=0"",""фіз особи new!relations_name_uo""),7,FALSE)
,
)
))"),"БОЯРСЬКИЙ Михайло Сергійович")</f>
        <v>БОЯРСЬКИЙ Михайло Сергійович</v>
      </c>
      <c r="G3656" s="7" t="s">
        <v>10</v>
      </c>
      <c r="H3656" s="7">
        <v>700</v>
      </c>
      <c r="I3656" s="8" t="str">
        <f ca="1">IFERROR(__xludf.DUMMYFUNCTION("IF
(
G3657=""фізична особа""
,
VLOOKUP(H3657,IMPORTRANGE(""https://docs.google.com/spreadsheets/d/14Bd19lYaqBhU8_DElYkX7l4wRkHqqCUFNJY4AfY3kHU/edit?usp=sharing  #gid=0"",""фіз особи new!relations_name""),6,FALSE)
,
(IF
(
G3657=""юридична особа""
,
VLOOKUP"&amp;"(H3657,IMPORTRANGE(""https://docs.google.com/spreadsheets/d/14Bd19lYaqBhU8_DElYkX7l4wRkHqqCUFNJY4AfY3kHU/edit?usp=sharing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J3656" s="7" t="s">
        <v>17</v>
      </c>
    </row>
    <row r="3657" spans="1:10" ht="13.2">
      <c r="A3657" s="7">
        <v>3656</v>
      </c>
      <c r="B3657" s="7">
        <v>1</v>
      </c>
      <c r="C3657" s="7" t="s">
        <v>10</v>
      </c>
      <c r="D3657" s="7">
        <v>2100</v>
      </c>
      <c r="E3657" s="7" t="s">
        <v>17</v>
      </c>
      <c r="F3657" s="8" t="str">
        <f ca="1">IFERROR(__xludf.DUMMYFUNCTION("IF
(
C3658=""фізична особа""
,
VLOOKUP(D3658,IMPORTRANGE(""https://docs.google.com/spreadsheets/d/14Bd19lYaqBhU8_DElYkX7l4wRkHqqCUFNJY4AfY3kHU/edit?usp=sharing  #gid=0"",""фіз особи new!relations_name""),6,FALSE)
,
(IF
(
C3658=""юридична особа""
,
VLOOKUP"&amp;"(D3658,IMPORTRANGE(""https://docs.google.com/spreadsheets/d/14Bd19lYaqBhU8_DElYkX7l4wRkHqqCUFNJY4AfY3kHU/edit?usp=sharing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G3657" s="7" t="s">
        <v>10</v>
      </c>
      <c r="H3657" s="7">
        <v>0</v>
      </c>
      <c r="I3657" s="8" t="str">
        <f ca="1">IFERROR(__xludf.DUMMYFUNCTION("IF
(
G3658=""фізична особа""
,
VLOOKUP(H3658,IMPORTRANGE(""https://docs.google.com/spreadsheets/d/14Bd19lYaqBhU8_DElYkX7l4wRkHqqCUFNJY4AfY3kHU/edit?usp=sharing  #gid=0"",""фіз особи new!relations_name""),6,FALSE)
,
(IF
(
G3658=""юридична особа""
,
VLOOKUP"&amp;"(H3658,IMPORTRANGE(""https://docs.google.com/spreadsheets/d/14Bd19lYaqBhU8_DElYkX7l4wRkHqqCUFNJY4AfY3kHU/edit?usp=sharing  #gid=0"",""фіз особи new!relations_name_uo""),7,FALSE)
,
)
))"),"#N/A")</f>
        <v>#N/A</v>
      </c>
      <c r="J3657" s="7" t="s">
        <v>12</v>
      </c>
    </row>
    <row r="3658" spans="1:10" ht="13.2">
      <c r="A3658" s="7">
        <v>3657</v>
      </c>
      <c r="B3658" s="7">
        <v>1</v>
      </c>
      <c r="C3658" s="7" t="s">
        <v>10</v>
      </c>
      <c r="D3658" s="7">
        <v>2100</v>
      </c>
      <c r="E3658" s="7" t="s">
        <v>17</v>
      </c>
      <c r="F3658" s="8" t="str">
        <f ca="1">IFERROR(__xludf.DUMMYFUNCTION("IF
(
C3659=""фізична особа""
,
VLOOKUP(D3659,IMPORTRANGE(""https://docs.google.com/spreadsheets/d/14Bd19lYaqBhU8_DElYkX7l4wRkHqqCUFNJY4AfY3kHU/edit?usp=sharing  #gid=0"",""фіз особи new!relations_name""),6,FALSE)
,
(IF
(
C3659=""юридична особа""
,
VLOOKUP"&amp;"(D3659,IMPORTRANGE(""https://docs.google.com/spreadsheets/d/14Bd19lYaqBhU8_DElYkX7l4wRkHqqCUFNJY4AfY3kHU/edit?usp=sharing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G3658" s="7" t="s">
        <v>10</v>
      </c>
      <c r="H3658" s="7">
        <v>0</v>
      </c>
      <c r="I3658" s="8" t="str">
        <f ca="1">IFERROR(__xludf.DUMMYFUNCTION("IF
(
G3659=""фізична особа""
,
VLOOKUP(H3659,IMPORTRANGE(""https://docs.google.com/spreadsheets/d/14Bd19lYaqBhU8_DElYkX7l4wRkHqqCUFNJY4AfY3kHU/edit?usp=sharing  #gid=0"",""фіз особи new!relations_name""),6,FALSE)
,
(IF
(
G3659=""юридична особа""
,
VLOOKUP"&amp;"(H3659,IMPORTRANGE(""https://docs.google.com/spreadsheets/d/14Bd19lYaqBhU8_DElYkX7l4wRkHqqCUFNJY4AfY3kHU/edit?usp=sharing  #gid=0"",""фіз особи new!relations_name_uo""),7,FALSE)
,
)
))"),"#N/A")</f>
        <v>#N/A</v>
      </c>
      <c r="J3658" s="7" t="s">
        <v>21</v>
      </c>
    </row>
    <row r="3659" spans="1:10" ht="13.2">
      <c r="A3659" s="7">
        <v>3658</v>
      </c>
      <c r="B3659" s="7">
        <v>1</v>
      </c>
      <c r="C3659" s="7" t="s">
        <v>10</v>
      </c>
      <c r="D3659" s="7">
        <v>2100</v>
      </c>
      <c r="E3659" s="7" t="s">
        <v>14</v>
      </c>
      <c r="F3659" s="8" t="str">
        <f ca="1">IFERROR(__xludf.DUMMYFUNCTION("IF
(
C3660=""фізична особа""
,
VLOOKUP(D3660,IMPORTRANGE(""https://docs.google.com/spreadsheets/d/14Bd19lYaqBhU8_DElYkX7l4wRkHqqCUFNJY4AfY3kHU/edit?usp=sharing  #gid=0"",""фіз особи new!relations_name""),6,FALSE)
,
(IF
(
C3660=""юридична особа""
,
VLOOKUP"&amp;"(D3660,IMPORTRANGE(""https://docs.google.com/spreadsheets/d/14Bd19lYaqBhU8_DElYkX7l4wRkHqqCUFNJY4AfY3kHU/edit?usp=sharing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G3659" s="7" t="s">
        <v>10</v>
      </c>
      <c r="H3659" s="7">
        <v>4823</v>
      </c>
      <c r="I3659" s="8" t="str">
        <f ca="1">IFERROR(__xludf.DUMMYFUNCTION("IF
(
G3660=""фізична особа""
,
VLOOKUP(H3660,IMPORTRANGE(""https://docs.google.com/spreadsheets/d/14Bd19lYaqBhU8_DElYkX7l4wRkHqqCUFNJY4AfY3kHU/edit?usp=sharing  #gid=0"",""фіз особи new!relations_name""),6,FALSE)
,
(IF
(
G3660=""юридична особа""
,
VLOOKUP"&amp;"(H3660,IMPORTRANGE(""https://docs.google.com/spreadsheets/d/14Bd19lYaqBhU8_DElYkX7l4wRkHqqCUFNJY4AfY3kHU/edit?usp=sharing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J3659" s="7" t="s">
        <v>15</v>
      </c>
    </row>
    <row r="3660" spans="1:10" ht="13.2">
      <c r="A3660" s="7">
        <v>3659</v>
      </c>
      <c r="B3660" s="7">
        <v>1</v>
      </c>
      <c r="C3660" s="7" t="s">
        <v>10</v>
      </c>
      <c r="D3660" s="7">
        <v>2100</v>
      </c>
      <c r="E3660" s="7" t="s">
        <v>12</v>
      </c>
      <c r="F3660" s="8" t="str">
        <f ca="1">IFERROR(__xludf.DUMMYFUNCTION("IF
(
C3661=""фізична особа""
,
VLOOKUP(D3661,IMPORTRANGE(""https://docs.google.com/spreadsheets/d/14Bd19lYaqBhU8_DElYkX7l4wRkHqqCUFNJY4AfY3kHU/edit?usp=sharing  #gid=0"",""фіз особи new!relations_name""),6,FALSE)
,
(IF
(
C3661=""юридична особа""
,
VLOOKUP"&amp;"(D3661,IMPORTRANGE(""https://docs.google.com/spreadsheets/d/14Bd19lYaqBhU8_DElYkX7l4wRkHqqCUFNJY4AfY3kHU/edit?usp=sharing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G3660" s="7" t="s">
        <v>10</v>
      </c>
      <c r="H3660" s="7">
        <v>0</v>
      </c>
      <c r="I3660" s="8" t="str">
        <f ca="1">IFERROR(__xludf.DUMMYFUNCTION("IF
(
G3661=""фізична особа""
,
VLOOKUP(H3661,IMPORTRANGE(""https://docs.google.com/spreadsheets/d/14Bd19lYaqBhU8_DElYkX7l4wRkHqqCUFNJY4AfY3kHU/edit?usp=sharing  #gid=0"",""фіз особи new!relations_name""),6,FALSE)
,
(IF
(
G3661=""юридична особа""
,
VLOOKUP"&amp;"(H3661,IMPORTRANGE(""https://docs.google.com/spreadsheets/d/14Bd19lYaqBhU8_DElYkX7l4wRkHqqCUFNJY4AfY3kHU/edit?usp=sharing  #gid=0"",""фіз особи new!relations_name_uo""),7,FALSE)
,
)
))"),"#N/A")</f>
        <v>#N/A</v>
      </c>
      <c r="J3660" s="7" t="s">
        <v>13</v>
      </c>
    </row>
    <row r="3661" spans="1:10" ht="13.2">
      <c r="A3661" s="7">
        <v>3660</v>
      </c>
      <c r="B3661" s="7">
        <v>1</v>
      </c>
      <c r="C3661" s="7" t="s">
        <v>10</v>
      </c>
      <c r="D3661" s="7">
        <v>2100</v>
      </c>
      <c r="E3661" s="7" t="s">
        <v>12</v>
      </c>
      <c r="F3661" s="8" t="str">
        <f ca="1">IFERROR(__xludf.DUMMYFUNCTION("IF
(
C3662=""фізична особа""
,
VLOOKUP(D3662,IMPORTRANGE(""https://docs.google.com/spreadsheets/d/14Bd19lYaqBhU8_DElYkX7l4wRkHqqCUFNJY4AfY3kHU/edit?usp=sharing  #gid=0"",""фіз особи new!relations_name""),6,FALSE)
,
(IF
(
C3662=""юридична особа""
,
VLOOKUP"&amp;"(D3662,IMPORTRANGE(""https://docs.google.com/spreadsheets/d/14Bd19lYaqBhU8_DElYkX7l4wRkHqqCUFNJY4AfY3kHU/edit?usp=sharing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G3661" s="7" t="s">
        <v>10</v>
      </c>
      <c r="H3661" s="7">
        <v>0</v>
      </c>
      <c r="I3661" s="8" t="str">
        <f ca="1">IFERROR(__xludf.DUMMYFUNCTION("IF
(
G3662=""фізична особа""
,
VLOOKUP(H3662,IMPORTRANGE(""https://docs.google.com/spreadsheets/d/14Bd19lYaqBhU8_DElYkX7l4wRkHqqCUFNJY4AfY3kHU/edit?usp=sharing  #gid=0"",""фіз особи new!relations_name""),6,FALSE)
,
(IF
(
G3662=""юридична особа""
,
VLOOKUP"&amp;"(H3662,IMPORTRANGE(""https://docs.google.com/spreadsheets/d/14Bd19lYaqBhU8_DElYkX7l4wRkHqqCUFNJY4AfY3kHU/edit?usp=sharing  #gid=0"",""фіз особи new!relations_name_uo""),7,FALSE)
,
)
))"),"#N/A")</f>
        <v>#N/A</v>
      </c>
      <c r="J3661" s="7" t="s">
        <v>17</v>
      </c>
    </row>
    <row r="3662" spans="1:10" ht="13.2">
      <c r="A3662" s="7">
        <v>3661</v>
      </c>
      <c r="B3662" s="7">
        <v>1</v>
      </c>
      <c r="C3662" s="7" t="s">
        <v>10</v>
      </c>
      <c r="D3662" s="7">
        <v>2101</v>
      </c>
      <c r="E3662" s="7" t="s">
        <v>14</v>
      </c>
      <c r="F3662" s="8" t="str">
        <f ca="1">IFERROR(__xludf.DUMMYFUNCTION("IF
(
C3663=""фізична особа""
,
VLOOKUP(D3663,IMPORTRANGE(""https://docs.google.com/spreadsheets/d/14Bd19lYaqBhU8_DElYkX7l4wRkHqqCUFNJY4AfY3kHU/edit?usp=sharing  #gid=0"",""фіз особи new!relations_name""),6,FALSE)
,
(IF
(
C3663=""юридична особа""
,
VLOOKUP"&amp;"(D3663,IMPORTRANGE(""https://docs.google.com/spreadsheets/d/14Bd19lYaqBhU8_DElYkX7l4wRkHqqCUFNJY4AfY3kHU/edit?usp=sharing  #gid=0"",""фіз особи new!relations_name_uo""),7,FALSE)
,
)
))"),"МИХАЙЛОВ Станіслав Володимирович")</f>
        <v>МИХАЙЛОВ Станіслав Володимирович</v>
      </c>
      <c r="G3662" s="7" t="s">
        <v>10</v>
      </c>
      <c r="H3662" s="7">
        <v>0</v>
      </c>
      <c r="I3662" s="8" t="str">
        <f ca="1">IFERROR(__xludf.DUMMYFUNCTION("IF
(
G3663=""фізична особа""
,
VLOOKUP(H3663,IMPORTRANGE(""https://docs.google.com/spreadsheets/d/14Bd19lYaqBhU8_DElYkX7l4wRkHqqCUFNJY4AfY3kHU/edit?usp=sharing  #gid=0"",""фіз особи new!relations_name""),6,FALSE)
,
(IF
(
G3663=""юридична особа""
,
VLOOKUP"&amp;"(H3663,IMPORTRANGE(""https://docs.google.com/spreadsheets/d/14Bd19lYaqBhU8_DElYkX7l4wRkHqqCUFNJY4AfY3kHU/edit?usp=sharing  #gid=0"",""фіз особи new!relations_name_uo""),7,FALSE)
,
)
))"),"#N/A")</f>
        <v>#N/A</v>
      </c>
      <c r="J3662" s="7" t="s">
        <v>15</v>
      </c>
    </row>
    <row r="3663" spans="1:10" ht="13.2">
      <c r="A3663" s="7">
        <v>3662</v>
      </c>
      <c r="B3663" s="7">
        <v>1</v>
      </c>
      <c r="C3663" s="7" t="s">
        <v>10</v>
      </c>
      <c r="D3663" s="7">
        <v>2101</v>
      </c>
      <c r="E3663" s="7" t="s">
        <v>12</v>
      </c>
      <c r="F3663" s="8" t="str">
        <f ca="1">IFERROR(__xludf.DUMMYFUNCTION("IF
(
C3664=""фізична особа""
,
VLOOKUP(D3664,IMPORTRANGE(""https://docs.google.com/spreadsheets/d/14Bd19lYaqBhU8_DElYkX7l4wRkHqqCUFNJY4AfY3kHU/edit?usp=sharing  #gid=0"",""фіз особи new!relations_name""),6,FALSE)
,
(IF
(
C3664=""юридична особа""
,
VLOOKUP"&amp;"(D3664,IMPORTRANGE(""https://docs.google.com/spreadsheets/d/14Bd19lYaqBhU8_DElYkX7l4wRkHqqCUFNJY4AfY3kHU/edit?usp=sharing  #gid=0"",""фіз особи new!relations_name_uo""),7,FALSE)
,
)
))"),"МИХАЙЛОВ Станіслав Володимирович")</f>
        <v>МИХАЙЛОВ Станіслав Володимирович</v>
      </c>
      <c r="G3663" s="7" t="s">
        <v>10</v>
      </c>
      <c r="H3663" s="7">
        <v>0</v>
      </c>
      <c r="I3663" s="8" t="str">
        <f ca="1">IFERROR(__xludf.DUMMYFUNCTION("IF
(
G3664=""фізична особа""
,
VLOOKUP(H3664,IMPORTRANGE(""https://docs.google.com/spreadsheets/d/14Bd19lYaqBhU8_DElYkX7l4wRkHqqCUFNJY4AfY3kHU/edit?usp=sharing  #gid=0"",""фіз особи new!relations_name""),6,FALSE)
,
(IF
(
G3664=""юридична особа""
,
VLOOKUP"&amp;"(H3664,IMPORTRANGE(""https://docs.google.com/spreadsheets/d/14Bd19lYaqBhU8_DElYkX7l4wRkHqqCUFNJY4AfY3kHU/edit?usp=sharing  #gid=0"",""фіз особи new!relations_name_uo""),7,FALSE)
,
)
))"),"#N/A")</f>
        <v>#N/A</v>
      </c>
      <c r="J3663" s="7" t="s">
        <v>17</v>
      </c>
    </row>
    <row r="3664" spans="1:10" ht="13.2">
      <c r="A3664" s="7">
        <v>3663</v>
      </c>
      <c r="B3664" s="7">
        <v>1</v>
      </c>
      <c r="C3664" s="7" t="s">
        <v>10</v>
      </c>
      <c r="D3664" s="7">
        <v>2101</v>
      </c>
      <c r="E3664" s="7" t="s">
        <v>12</v>
      </c>
      <c r="F3664" s="8" t="str">
        <f ca="1">IFERROR(__xludf.DUMMYFUNCTION("IF
(
C3665=""фізична особа""
,
VLOOKUP(D3665,IMPORTRANGE(""https://docs.google.com/spreadsheets/d/14Bd19lYaqBhU8_DElYkX7l4wRkHqqCUFNJY4AfY3kHU/edit?usp=sharing  #gid=0"",""фіз особи new!relations_name""),6,FALSE)
,
(IF
(
C3665=""юридична особа""
,
VLOOKUP"&amp;"(D3665,IMPORTRANGE(""https://docs.google.com/spreadsheets/d/14Bd19lYaqBhU8_DElYkX7l4wRkHqqCUFNJY4AfY3kHU/edit?usp=sharing  #gid=0"",""фіз особи new!relations_name_uo""),7,FALSE)
,
)
))"),"МИХАЙЛОВ Станіслав Володимирович")</f>
        <v>МИХАЙЛОВ Станіслав Володимирович</v>
      </c>
      <c r="G3664" s="7" t="s">
        <v>10</v>
      </c>
      <c r="H3664" s="7">
        <v>0</v>
      </c>
      <c r="I3664" s="8" t="str">
        <f ca="1">IFERROR(__xludf.DUMMYFUNCTION("IF
(
G3665=""фізична особа""
,
VLOOKUP(H3665,IMPORTRANGE(""https://docs.google.com/spreadsheets/d/14Bd19lYaqBhU8_DElYkX7l4wRkHqqCUFNJY4AfY3kHU/edit?usp=sharing  #gid=0"",""фіз особи new!relations_name""),6,FALSE)
,
(IF
(
G3665=""юридична особа""
,
VLOOKUP"&amp;"(H3665,IMPORTRANGE(""https://docs.google.com/spreadsheets/d/14Bd19lYaqBhU8_DElYkX7l4wRkHqqCUFNJY4AfY3kHU/edit?usp=sharing  #gid=0"",""фіз особи new!relations_name_uo""),7,FALSE)
,
)
))"),"#N/A")</f>
        <v>#N/A</v>
      </c>
      <c r="J3664" s="7" t="s">
        <v>13</v>
      </c>
    </row>
    <row r="3665" spans="1:10" ht="13.2">
      <c r="A3665" s="7">
        <v>3664</v>
      </c>
      <c r="B3665" s="7">
        <v>1</v>
      </c>
      <c r="C3665" s="7" t="s">
        <v>10</v>
      </c>
      <c r="D3665" s="7">
        <v>2101</v>
      </c>
      <c r="E3665" s="7" t="s">
        <v>12</v>
      </c>
      <c r="F3665" s="8" t="str">
        <f ca="1">IFERROR(__xludf.DUMMYFUNCTION("IF
(
C3666=""фізична особа""
,
VLOOKUP(D3666,IMPORTRANGE(""https://docs.google.com/spreadsheets/d/14Bd19lYaqBhU8_DElYkX7l4wRkHqqCUFNJY4AfY3kHU/edit?usp=sharing  #gid=0"",""фіз особи new!relations_name""),6,FALSE)
,
(IF
(
C3666=""юридична особа""
,
VLOOKUP"&amp;"(D3666,IMPORTRANGE(""https://docs.google.com/spreadsheets/d/14Bd19lYaqBhU8_DElYkX7l4wRkHqqCUFNJY4AfY3kHU/edit?usp=sharing  #gid=0"",""фіз особи new!relations_name_uo""),7,FALSE)
,
)
))"),"МИХАЙЛОВ Станіслав Володимирович")</f>
        <v>МИХАЙЛОВ Станіслав Володимирович</v>
      </c>
      <c r="G3665" s="7" t="s">
        <v>10</v>
      </c>
      <c r="H3665" s="7">
        <v>0</v>
      </c>
      <c r="I3665" s="8" t="str">
        <f ca="1">IFERROR(__xludf.DUMMYFUNCTION("IF
(
G3666=""фізична особа""
,
VLOOKUP(H3666,IMPORTRANGE(""https://docs.google.com/spreadsheets/d/14Bd19lYaqBhU8_DElYkX7l4wRkHqqCUFNJY4AfY3kHU/edit?usp=sharing  #gid=0"",""фіз особи new!relations_name""),6,FALSE)
,
(IF
(
G3666=""юридична особа""
,
VLOOKUP"&amp;"(H3666,IMPORTRANGE(""https://docs.google.com/spreadsheets/d/14Bd19lYaqBhU8_DElYkX7l4wRkHqqCUFNJY4AfY3kHU/edit?usp=sharing  #gid=0"",""фіз особи new!relations_name_uo""),7,FALSE)
,
)
))"),"#N/A")</f>
        <v>#N/A</v>
      </c>
      <c r="J3665" s="7" t="s">
        <v>13</v>
      </c>
    </row>
    <row r="3666" spans="1:10" ht="13.2">
      <c r="A3666" s="7">
        <v>3665</v>
      </c>
      <c r="B3666" s="7">
        <v>1</v>
      </c>
      <c r="C3666" s="7" t="s">
        <v>10</v>
      </c>
      <c r="D3666" s="7">
        <v>2101</v>
      </c>
      <c r="E3666" s="7" t="s">
        <v>12</v>
      </c>
      <c r="F3666" s="8" t="str">
        <f ca="1">IFERROR(__xludf.DUMMYFUNCTION("IF
(
C3667=""фізична особа""
,
VLOOKUP(D3667,IMPORTRANGE(""https://docs.google.com/spreadsheets/d/14Bd19lYaqBhU8_DElYkX7l4wRkHqqCUFNJY4AfY3kHU/edit?usp=sharing  #gid=0"",""фіз особи new!relations_name""),6,FALSE)
,
(IF
(
C3667=""юридична особа""
,
VLOOKUP"&amp;"(D3667,IMPORTRANGE(""https://docs.google.com/spreadsheets/d/14Bd19lYaqBhU8_DElYkX7l4wRkHqqCUFNJY4AfY3kHU/edit?usp=sharing  #gid=0"",""фіз особи new!relations_name_uo""),7,FALSE)
,
)
))"),"МИХАЙЛОВ Станіслав Володимирович")</f>
        <v>МИХАЙЛОВ Станіслав Володимирович</v>
      </c>
      <c r="G3666" s="7" t="s">
        <v>10</v>
      </c>
      <c r="H3666" s="7">
        <v>0</v>
      </c>
      <c r="I3666" s="8" t="str">
        <f ca="1">IFERROR(__xludf.DUMMYFUNCTION("IF
(
G3667=""фізична особа""
,
VLOOKUP(H3667,IMPORTRANGE(""https://docs.google.com/spreadsheets/d/14Bd19lYaqBhU8_DElYkX7l4wRkHqqCUFNJY4AfY3kHU/edit?usp=sharing  #gid=0"",""фіз особи new!relations_name""),6,FALSE)
,
(IF
(
G3667=""юридична особа""
,
VLOOKUP"&amp;"(H3667,IMPORTRANGE(""https://docs.google.com/spreadsheets/d/14Bd19lYaqBhU8_DElYkX7l4wRkHqqCUFNJY4AfY3kHU/edit?usp=sharing  #gid=0"",""фіз особи new!relations_name_uo""),7,FALSE)
,
)
))"),"#N/A")</f>
        <v>#N/A</v>
      </c>
      <c r="J3666" s="7" t="s">
        <v>13</v>
      </c>
    </row>
    <row r="3667" spans="1:10" ht="13.2">
      <c r="A3667" s="7">
        <v>3666</v>
      </c>
      <c r="B3667" s="7">
        <v>1</v>
      </c>
      <c r="C3667" s="7" t="s">
        <v>10</v>
      </c>
      <c r="D3667" s="7">
        <v>2102</v>
      </c>
      <c r="E3667" s="7" t="s">
        <v>47</v>
      </c>
      <c r="F3667" s="8" t="str">
        <f ca="1">IFERROR(__xludf.DUMMYFUNCTION("IF
(
C3668=""фізична особа""
,
VLOOKUP(D3668,IMPORTRANGE(""https://docs.google.com/spreadsheets/d/14Bd19lYaqBhU8_DElYkX7l4wRkHqqCUFNJY4AfY3kHU/edit?usp=sharing  #gid=0"",""фіз особи new!relations_name""),6,FALSE)
,
(IF
(
C3668=""юридична особа""
,
VLOOKUP"&amp;"(D3668,IMPORTRANGE(""https://docs.google.com/spreadsheets/d/14Bd19lYaqBhU8_DElYkX7l4wRkHqqCUFNJY4AfY3kHU/edit?usp=sharing  #gid=0"",""фіз особи new!relations_name_uo""),7,FALSE)
,
)
))"),"БАБКІНА Надія Георгіївна")</f>
        <v>БАБКІНА Надія Георгіївна</v>
      </c>
      <c r="G3667" s="7" t="s">
        <v>10</v>
      </c>
      <c r="H3667" s="7">
        <v>0</v>
      </c>
      <c r="I3667" s="8" t="str">
        <f ca="1">IFERROR(__xludf.DUMMYFUNCTION("IF
(
G3668=""фізична особа""
,
VLOOKUP(H3668,IMPORTRANGE(""https://docs.google.com/spreadsheets/d/14Bd19lYaqBhU8_DElYkX7l4wRkHqqCUFNJY4AfY3kHU/edit?usp=sharing  #gid=0"",""фіз особи new!relations_name""),6,FALSE)
,
(IF
(
G3668=""юридична особа""
,
VLOOKUP"&amp;"(H3668,IMPORTRANGE(""https://docs.google.com/spreadsheets/d/14Bd19lYaqBhU8_DElYkX7l4wRkHqqCUFNJY4AfY3kHU/edit?usp=sharing  #gid=0"",""фіз особи new!relations_name_uo""),7,FALSE)
,
)
))"),"#N/A")</f>
        <v>#N/A</v>
      </c>
      <c r="J3667" s="7" t="s">
        <v>46</v>
      </c>
    </row>
    <row r="3668" spans="1:10" ht="13.2">
      <c r="A3668" s="7">
        <v>3667</v>
      </c>
      <c r="B3668" s="7">
        <v>1</v>
      </c>
      <c r="C3668" s="7" t="s">
        <v>10</v>
      </c>
      <c r="D3668" s="7">
        <v>2102</v>
      </c>
      <c r="E3668" s="7" t="s">
        <v>21</v>
      </c>
      <c r="F3668" s="8" t="str">
        <f ca="1">IFERROR(__xludf.DUMMYFUNCTION("IF
(
C3669=""фізична особа""
,
VLOOKUP(D3669,IMPORTRANGE(""https://docs.google.com/spreadsheets/d/14Bd19lYaqBhU8_DElYkX7l4wRkHqqCUFNJY4AfY3kHU/edit?usp=sharing  #gid=0"",""фіз особи new!relations_name""),6,FALSE)
,
(IF
(
C3669=""юридична особа""
,
VLOOKUP"&amp;"(D3669,IMPORTRANGE(""https://docs.google.com/spreadsheets/d/14Bd19lYaqBhU8_DElYkX7l4wRkHqqCUFNJY4AfY3kHU/edit?usp=sharing  #gid=0"",""фіз особи new!relations_name_uo""),7,FALSE)
,
)
))"),"БАБКІНА Надія Георгіївна")</f>
        <v>БАБКІНА Надія Георгіївна</v>
      </c>
      <c r="G3668" s="7" t="s">
        <v>10</v>
      </c>
      <c r="H3668" s="7">
        <v>0</v>
      </c>
      <c r="I3668" s="8" t="str">
        <f ca="1">IFERROR(__xludf.DUMMYFUNCTION("IF
(
G3669=""фізична особа""
,
VLOOKUP(H3669,IMPORTRANGE(""https://docs.google.com/spreadsheets/d/14Bd19lYaqBhU8_DElYkX7l4wRkHqqCUFNJY4AfY3kHU/edit?usp=sharing  #gid=0"",""фіз особи new!relations_name""),6,FALSE)
,
(IF
(
G3669=""юридична особа""
,
VLOOKUP"&amp;"(H3669,IMPORTRANGE(""https://docs.google.com/spreadsheets/d/14Bd19lYaqBhU8_DElYkX7l4wRkHqqCUFNJY4AfY3kHU/edit?usp=sharing  #gid=0"",""фіз особи new!relations_name_uo""),7,FALSE)
,
)
))"),"#N/A")</f>
        <v>#N/A</v>
      </c>
      <c r="J3668" s="7" t="s">
        <v>17</v>
      </c>
    </row>
    <row r="3669" spans="1:10" ht="13.2">
      <c r="A3669" s="7">
        <v>3668</v>
      </c>
      <c r="B3669" s="7">
        <v>1</v>
      </c>
      <c r="C3669" s="7" t="s">
        <v>10</v>
      </c>
      <c r="D3669" s="7">
        <v>2103</v>
      </c>
      <c r="E3669" s="7" t="s">
        <v>18</v>
      </c>
      <c r="F3669" s="8" t="str">
        <f ca="1">IFERROR(__xludf.DUMMYFUNCTION("IF
(
C3670=""фізична особа""
,
VLOOKUP(D3670,IMPORTRANGE(""https://docs.google.com/spreadsheets/d/14Bd19lYaqBhU8_DElYkX7l4wRkHqqCUFNJY4AfY3kHU/edit?usp=sharing  #gid=0"",""фіз особи new!relations_name""),6,FALSE)
,
(IF
(
C3670=""юридична особа""
,
VLOOKUP"&amp;"(D3670,IMPORTRANGE(""https://docs.google.com/spreadsheets/d/14Bd19lYaqBhU8_DElYkX7l4wRkHqqCUFNJY4AfY3kHU/edit?usp=sharing  #gid=0"",""фіз особи new!relations_name_uo""),7,FALSE)
,
)
))"),"ГАТАГОВ Алан Маратович")</f>
        <v>ГАТАГОВ Алан Маратович</v>
      </c>
      <c r="G3669" s="7" t="s">
        <v>10</v>
      </c>
      <c r="H3669" s="7">
        <v>0</v>
      </c>
      <c r="I3669" s="8" t="str">
        <f ca="1">IFERROR(__xludf.DUMMYFUNCTION("IF
(
G3670=""фізична особа""
,
VLOOKUP(H3670,IMPORTRANGE(""https://docs.google.com/spreadsheets/d/14Bd19lYaqBhU8_DElYkX7l4wRkHqqCUFNJY4AfY3kHU/edit?usp=sharing  #gid=0"",""фіз особи new!relations_name""),6,FALSE)
,
(IF
(
G3670=""юридична особа""
,
VLOOKUP"&amp;"(H3670,IMPORTRANGE(""https://docs.google.com/spreadsheets/d/14Bd19lYaqBhU8_DElYkX7l4wRkHqqCUFNJY4AfY3kHU/edit?usp=sharing  #gid=0"",""фіз особи new!relations_name_uo""),7,FALSE)
,
)
))"),"#N/A")</f>
        <v>#N/A</v>
      </c>
      <c r="J3669" s="7" t="s">
        <v>18</v>
      </c>
    </row>
    <row r="3670" spans="1:10" ht="13.2">
      <c r="A3670" s="7">
        <v>3669</v>
      </c>
      <c r="B3670" s="7">
        <v>1</v>
      </c>
      <c r="C3670" s="7" t="s">
        <v>10</v>
      </c>
      <c r="D3670" s="7">
        <v>2103</v>
      </c>
      <c r="E3670" s="7" t="s">
        <v>46</v>
      </c>
      <c r="F3670" s="8" t="str">
        <f ca="1">IFERROR(__xludf.DUMMYFUNCTION("IF
(
C3671=""фізична особа""
,
VLOOKUP(D3671,IMPORTRANGE(""https://docs.google.com/spreadsheets/d/14Bd19lYaqBhU8_DElYkX7l4wRkHqqCUFNJY4AfY3kHU/edit?usp=sharing  #gid=0"",""фіз особи new!relations_name""),6,FALSE)
,
(IF
(
C3671=""юридична особа""
,
VLOOKUP"&amp;"(D3671,IMPORTRANGE(""https://docs.google.com/spreadsheets/d/14Bd19lYaqBhU8_DElYkX7l4wRkHqqCUFNJY4AfY3kHU/edit?usp=sharing  #gid=0"",""фіз особи new!relations_name_uo""),7,FALSE)
,
)
))"),"ГАТАГОВ Алан Маратович")</f>
        <v>ГАТАГОВ Алан Маратович</v>
      </c>
      <c r="G3670" s="7" t="s">
        <v>10</v>
      </c>
      <c r="H3670" s="7">
        <v>0</v>
      </c>
      <c r="I3670" s="8" t="str">
        <f ca="1">IFERROR(__xludf.DUMMYFUNCTION("IF
(
G3671=""фізична особа""
,
VLOOKUP(H3671,IMPORTRANGE(""https://docs.google.com/spreadsheets/d/14Bd19lYaqBhU8_DElYkX7l4wRkHqqCUFNJY4AfY3kHU/edit?usp=sharing  #gid=0"",""фіз особи new!relations_name""),6,FALSE)
,
(IF
(
G3671=""юридична особа""
,
VLOOKUP"&amp;"(H3671,IMPORTRANGE(""https://docs.google.com/spreadsheets/d/14Bd19lYaqBhU8_DElYkX7l4wRkHqqCUFNJY4AfY3kHU/edit?usp=sharing  #gid=0"",""фіз особи new!relations_name_uo""),7,FALSE)
,
)
))"),"#N/A")</f>
        <v>#N/A</v>
      </c>
      <c r="J3670" s="7" t="s">
        <v>47</v>
      </c>
    </row>
    <row r="3671" spans="1:10" ht="13.2">
      <c r="A3671" s="7">
        <v>3670</v>
      </c>
      <c r="B3671" s="7">
        <v>1</v>
      </c>
      <c r="C3671" s="7" t="s">
        <v>10</v>
      </c>
      <c r="D3671" s="7">
        <v>2103</v>
      </c>
      <c r="E3671" s="7" t="s">
        <v>12</v>
      </c>
      <c r="F3671" s="8" t="str">
        <f ca="1">IFERROR(__xludf.DUMMYFUNCTION("IF
(
C3672=""фізична особа""
,
VLOOKUP(D3672,IMPORTRANGE(""https://docs.google.com/spreadsheets/d/14Bd19lYaqBhU8_DElYkX7l4wRkHqqCUFNJY4AfY3kHU/edit?usp=sharing  #gid=0"",""фіз особи new!relations_name""),6,FALSE)
,
(IF
(
C3672=""юридична особа""
,
VLOOKUP"&amp;"(D3672,IMPORTRANGE(""https://docs.google.com/spreadsheets/d/14Bd19lYaqBhU8_DElYkX7l4wRkHqqCUFNJY4AfY3kHU/edit?usp=sharing  #gid=0"",""фіз особи new!relations_name_uo""),7,FALSE)
,
)
))"),"ГАТАГОВ Алан Маратович")</f>
        <v>ГАТАГОВ Алан Маратович</v>
      </c>
      <c r="G3671" s="7" t="s">
        <v>10</v>
      </c>
      <c r="H3671" s="7">
        <v>0</v>
      </c>
      <c r="I3671" s="8" t="str">
        <f ca="1">IFERROR(__xludf.DUMMYFUNCTION("IF
(
G3672=""фізична особа""
,
VLOOKUP(H3672,IMPORTRANGE(""https://docs.google.com/spreadsheets/d/14Bd19lYaqBhU8_DElYkX7l4wRkHqqCUFNJY4AfY3kHU/edit?usp=sharing  #gid=0"",""фіз особи new!relations_name""),6,FALSE)
,
(IF
(
G3672=""юридична особа""
,
VLOOKUP"&amp;"(H3672,IMPORTRANGE(""https://docs.google.com/spreadsheets/d/14Bd19lYaqBhU8_DElYkX7l4wRkHqqCUFNJY4AfY3kHU/edit?usp=sharing  #gid=0"",""фіз особи new!relations_name_uo""),7,FALSE)
,
)
))"),"#N/A")</f>
        <v>#N/A</v>
      </c>
      <c r="J3671" s="7" t="s">
        <v>17</v>
      </c>
    </row>
    <row r="3672" spans="1:10" ht="13.2">
      <c r="A3672" s="7">
        <v>3671</v>
      </c>
      <c r="B3672" s="7">
        <v>1</v>
      </c>
      <c r="C3672" s="7" t="s">
        <v>10</v>
      </c>
      <c r="D3672" s="7">
        <v>2104</v>
      </c>
      <c r="E3672" s="7" t="s">
        <v>15</v>
      </c>
      <c r="F3672" s="8" t="str">
        <f ca="1">IFERROR(__xludf.DUMMYFUNCTION("IF
(
C3673=""фізична особа""
,
VLOOKUP(D3673,IMPORTRANGE(""https://docs.google.com/spreadsheets/d/14Bd19lYaqBhU8_DElYkX7l4wRkHqqCUFNJY4AfY3kHU/edit?usp=sharing  #gid=0"",""фіз особи new!relations_name""),6,FALSE)
,
(IF
(
C3673=""юридична особа""
,
VLOOKUP"&amp;"(D3673,IMPORTRANGE(""https://docs.google.com/spreadsheets/d/14Bd19lYaqBhU8_DElYkX7l4wRkHqqCUFNJY4AfY3kHU/edit?usp=sharing  #gid=0"",""фіз особи new!relations_name_uo""),7,FALSE)
,
)
))"),"ДЕЙНЕГА Мілена Володимирівна")</f>
        <v>ДЕЙНЕГА Мілена Володимирівна</v>
      </c>
      <c r="G3672" s="7" t="s">
        <v>10</v>
      </c>
      <c r="H3672" s="7">
        <v>0</v>
      </c>
      <c r="I3672" s="8" t="str">
        <f ca="1">IFERROR(__xludf.DUMMYFUNCTION("IF
(
G3673=""фізична особа""
,
VLOOKUP(H3673,IMPORTRANGE(""https://docs.google.com/spreadsheets/d/14Bd19lYaqBhU8_DElYkX7l4wRkHqqCUFNJY4AfY3kHU/edit?usp=sharing  #gid=0"",""фіз особи new!relations_name""),6,FALSE)
,
(IF
(
G3673=""юридична особа""
,
VLOOKUP"&amp;"(H3673,IMPORTRANGE(""https://docs.google.com/spreadsheets/d/14Bd19lYaqBhU8_DElYkX7l4wRkHqqCUFNJY4AfY3kHU/edit?usp=sharing  #gid=0"",""фіз особи new!relations_name_uo""),7,FALSE)
,
)
))"),"#N/A")</f>
        <v>#N/A</v>
      </c>
      <c r="J3672" s="7" t="s">
        <v>14</v>
      </c>
    </row>
    <row r="3673" spans="1:10" ht="13.2">
      <c r="A3673" s="7">
        <v>3672</v>
      </c>
      <c r="B3673" s="7">
        <v>1</v>
      </c>
      <c r="C3673" s="7" t="s">
        <v>10</v>
      </c>
      <c r="D3673" s="7">
        <v>2105</v>
      </c>
      <c r="E3673" s="7" t="s">
        <v>14</v>
      </c>
      <c r="F3673" s="8" t="str">
        <f ca="1">IFERROR(__xludf.DUMMYFUNCTION("IF
(
C3674=""фізична особа""
,
VLOOKUP(D3674,IMPORTRANGE(""https://docs.google.com/spreadsheets/d/14Bd19lYaqBhU8_DElYkX7l4wRkHqqCUFNJY4AfY3kHU/edit?usp=sharing  #gid=0"",""фіз особи new!relations_name""),6,FALSE)
,
(IF
(
C3674=""юридична особа""
,
VLOOKUP"&amp;"(D3674,IMPORTRANGE(""https://docs.google.com/spreadsheets/d/14Bd19lYaqBhU8_DElYkX7l4wRkHqqCUFNJY4AfY3kHU/edit?usp=sharing  #gid=0"",""фіз особи new!relations_name_uo""),7,FALSE)
,
)
))"),"КОСТЮШКІН Станіслав Михайлович ")</f>
        <v xml:space="preserve">КОСТЮШКІН Станіслав Михайлович </v>
      </c>
      <c r="G3673" s="7" t="s">
        <v>10</v>
      </c>
      <c r="H3673" s="7">
        <v>0</v>
      </c>
      <c r="I3673" s="8" t="str">
        <f ca="1">IFERROR(__xludf.DUMMYFUNCTION("IF
(
G3674=""фізична особа""
,
VLOOKUP(H3674,IMPORTRANGE(""https://docs.google.com/spreadsheets/d/14Bd19lYaqBhU8_DElYkX7l4wRkHqqCUFNJY4AfY3kHU/edit?usp=sharing  #gid=0"",""фіз особи new!relations_name""),6,FALSE)
,
(IF
(
G3674=""юридична особа""
,
VLOOKUP"&amp;"(H3674,IMPORTRANGE(""https://docs.google.com/spreadsheets/d/14Bd19lYaqBhU8_DElYkX7l4wRkHqqCUFNJY4AfY3kHU/edit?usp=sharing  #gid=0"",""фіз особи new!relations_name_uo""),7,FALSE)
,
)
))"),"#N/A")</f>
        <v>#N/A</v>
      </c>
      <c r="J3673" s="7" t="s">
        <v>15</v>
      </c>
    </row>
    <row r="3674" spans="1:10" ht="13.2">
      <c r="A3674" s="7">
        <v>3673</v>
      </c>
      <c r="B3674" s="7">
        <v>1</v>
      </c>
      <c r="C3674" s="7" t="s">
        <v>10</v>
      </c>
      <c r="D3674" s="7">
        <v>2105</v>
      </c>
      <c r="E3674" s="7" t="s">
        <v>12</v>
      </c>
      <c r="F3674" s="8" t="str">
        <f ca="1">IFERROR(__xludf.DUMMYFUNCTION("IF
(
C3675=""фізична особа""
,
VLOOKUP(D3675,IMPORTRANGE(""https://docs.google.com/spreadsheets/d/14Bd19lYaqBhU8_DElYkX7l4wRkHqqCUFNJY4AfY3kHU/edit?usp=sharing  #gid=0"",""фіз особи new!relations_name""),6,FALSE)
,
(IF
(
C3675=""юридична особа""
,
VLOOKUP"&amp;"(D3675,IMPORTRANGE(""https://docs.google.com/spreadsheets/d/14Bd19lYaqBhU8_DElYkX7l4wRkHqqCUFNJY4AfY3kHU/edit?usp=sharing  #gid=0"",""фіз особи new!relations_name_uo""),7,FALSE)
,
)
))"),"КОСТЮШКІН Станіслав Михайлович ")</f>
        <v xml:space="preserve">КОСТЮШКІН Станіслав Михайлович </v>
      </c>
      <c r="G3674" s="7" t="s">
        <v>10</v>
      </c>
      <c r="H3674" s="7">
        <v>0</v>
      </c>
      <c r="I3674" s="8" t="str">
        <f ca="1">IFERROR(__xludf.DUMMYFUNCTION("IF
(
G3675=""фізична особа""
,
VLOOKUP(H3675,IMPORTRANGE(""https://docs.google.com/spreadsheets/d/14Bd19lYaqBhU8_DElYkX7l4wRkHqqCUFNJY4AfY3kHU/edit?usp=sharing  #gid=0"",""фіз особи new!relations_name""),6,FALSE)
,
(IF
(
G3675=""юридична особа""
,
VLOOKUP"&amp;"(H3675,IMPORTRANGE(""https://docs.google.com/spreadsheets/d/14Bd19lYaqBhU8_DElYkX7l4wRkHqqCUFNJY4AfY3kHU/edit?usp=sharing  #gid=0"",""фіз особи new!relations_name_uo""),7,FALSE)
,
)
))"),"#N/A")</f>
        <v>#N/A</v>
      </c>
      <c r="J3674" s="7" t="s">
        <v>17</v>
      </c>
    </row>
    <row r="3675" spans="1:10" ht="13.2">
      <c r="A3675" s="7">
        <v>3674</v>
      </c>
      <c r="B3675" s="7">
        <v>1</v>
      </c>
      <c r="C3675" s="7" t="s">
        <v>10</v>
      </c>
      <c r="D3675" s="7">
        <v>2105</v>
      </c>
      <c r="E3675" s="7" t="s">
        <v>12</v>
      </c>
      <c r="F3675" s="8" t="str">
        <f ca="1">IFERROR(__xludf.DUMMYFUNCTION("IF
(
C3676=""фізична особа""
,
VLOOKUP(D3676,IMPORTRANGE(""https://docs.google.com/spreadsheets/d/14Bd19lYaqBhU8_DElYkX7l4wRkHqqCUFNJY4AfY3kHU/edit?usp=sharing  #gid=0"",""фіз особи new!relations_name""),6,FALSE)
,
(IF
(
C3676=""юридична особа""
,
VLOOKUP"&amp;"(D3676,IMPORTRANGE(""https://docs.google.com/spreadsheets/d/14Bd19lYaqBhU8_DElYkX7l4wRkHqqCUFNJY4AfY3kHU/edit?usp=sharing  #gid=0"",""фіз особи new!relations_name_uo""),7,FALSE)
,
)
))"),"КОСТЮШКІН Станіслав Михайлович ")</f>
        <v xml:space="preserve">КОСТЮШКІН Станіслав Михайлович </v>
      </c>
      <c r="G3675" s="7" t="s">
        <v>10</v>
      </c>
      <c r="H3675" s="7">
        <v>0</v>
      </c>
      <c r="I3675" s="8" t="str">
        <f ca="1">IFERROR(__xludf.DUMMYFUNCTION("IF
(
G3676=""фізична особа""
,
VLOOKUP(H3676,IMPORTRANGE(""https://docs.google.com/spreadsheets/d/14Bd19lYaqBhU8_DElYkX7l4wRkHqqCUFNJY4AfY3kHU/edit?usp=sharing  #gid=0"",""фіз особи new!relations_name""),6,FALSE)
,
(IF
(
G3676=""юридична особа""
,
VLOOKUP"&amp;"(H3676,IMPORTRANGE(""https://docs.google.com/spreadsheets/d/14Bd19lYaqBhU8_DElYkX7l4wRkHqqCUFNJY4AfY3kHU/edit?usp=sharing  #gid=0"",""фіз особи new!relations_name_uo""),7,FALSE)
,
)
))"),"#N/A")</f>
        <v>#N/A</v>
      </c>
      <c r="J3675" s="7" t="s">
        <v>17</v>
      </c>
    </row>
    <row r="3676" spans="1:10" ht="13.2">
      <c r="A3676" s="7">
        <v>3675</v>
      </c>
      <c r="B3676" s="7">
        <v>1</v>
      </c>
      <c r="C3676" s="7" t="s">
        <v>10</v>
      </c>
      <c r="D3676" s="7">
        <v>2105</v>
      </c>
      <c r="E3676" s="7" t="s">
        <v>12</v>
      </c>
      <c r="F3676" s="8" t="str">
        <f ca="1">IFERROR(__xludf.DUMMYFUNCTION("IF
(
C3677=""фізична особа""
,
VLOOKUP(D3677,IMPORTRANGE(""https://docs.google.com/spreadsheets/d/14Bd19lYaqBhU8_DElYkX7l4wRkHqqCUFNJY4AfY3kHU/edit?usp=sharing  #gid=0"",""фіз особи new!relations_name""),6,FALSE)
,
(IF
(
C3677=""юридична особа""
,
VLOOKUP"&amp;"(D3677,IMPORTRANGE(""https://docs.google.com/spreadsheets/d/14Bd19lYaqBhU8_DElYkX7l4wRkHqqCUFNJY4AfY3kHU/edit?usp=sharing  #gid=0"",""фіз особи new!relations_name_uo""),7,FALSE)
,
)
))"),"КОСТЮШКІН Станіслав Михайлович ")</f>
        <v xml:space="preserve">КОСТЮШКІН Станіслав Михайлович </v>
      </c>
      <c r="G3676" s="7" t="s">
        <v>10</v>
      </c>
      <c r="H3676" s="7">
        <v>0</v>
      </c>
      <c r="I3676" s="8" t="str">
        <f ca="1">IFERROR(__xludf.DUMMYFUNCTION("IF
(
G3677=""фізична особа""
,
VLOOKUP(H3677,IMPORTRANGE(""https://docs.google.com/spreadsheets/d/14Bd19lYaqBhU8_DElYkX7l4wRkHqqCUFNJY4AfY3kHU/edit?usp=sharing  #gid=0"",""фіз особи new!relations_name""),6,FALSE)
,
(IF
(
G3677=""юридична особа""
,
VLOOKUP"&amp;"(H3677,IMPORTRANGE(""https://docs.google.com/spreadsheets/d/14Bd19lYaqBhU8_DElYkX7l4wRkHqqCUFNJY4AfY3kHU/edit?usp=sharing  #gid=0"",""фіз особи new!relations_name_uo""),7,FALSE)
,
)
))"),"#N/A")</f>
        <v>#N/A</v>
      </c>
      <c r="J3676" s="7" t="s">
        <v>17</v>
      </c>
    </row>
    <row r="3677" spans="1:10" ht="13.2">
      <c r="A3677" s="7">
        <v>3676</v>
      </c>
      <c r="B3677" s="7">
        <v>1</v>
      </c>
      <c r="C3677" s="7" t="s">
        <v>10</v>
      </c>
      <c r="D3677" s="7">
        <v>2130</v>
      </c>
      <c r="E3677" s="7" t="s">
        <v>11</v>
      </c>
      <c r="F3677" s="8" t="str">
        <f ca="1">IFERROR(__xludf.DUMMYFUNCTION("IF
(
C3678=""фізична особа""
,
VLOOKUP(D3678,IMPORTRANGE(""https://docs.google.com/spreadsheets/d/14Bd19lYaqBhU8_DElYkX7l4wRkHqqCUFNJY4AfY3kHU/edit?usp=sharing  #gid=0"",""фіз особи new!relations_name""),6,FALSE)
,
(IF
(
C3678=""юридична особа""
,
VLOOKUP"&amp;"(D3678,IMPORTRANGE(""https://docs.google.com/spreadsheets/d/14Bd19lYaqBhU8_DElYkX7l4wRkHqqCUFNJY4AfY3kHU/edit?usp=sharing  #gid=0"",""фіз особи new!relations_name_uo""),7,FALSE)
,
)
))"),"ДЕМЧЕНКО Олег Федорович")</f>
        <v>ДЕМЧЕНКО Олег Федорович</v>
      </c>
      <c r="G3677" s="7" t="s">
        <v>10</v>
      </c>
      <c r="H3677" s="7">
        <v>2120</v>
      </c>
      <c r="I3677" s="8" t="str">
        <f ca="1">IFERROR(__xludf.DUMMYFUNCTION("IF
(
G3678=""фізична особа""
,
VLOOKUP(H3678,IMPORTRANGE(""https://docs.google.com/spreadsheets/d/14Bd19lYaqBhU8_DElYkX7l4wRkHqqCUFNJY4AfY3kHU/edit?usp=sharing  #gid=0"",""фіз особи new!relations_name""),6,FALSE)
,
(IF
(
G3678=""юридична особа""
,
VLOOKUP"&amp;"(H3678,IMPORTRANGE(""https://docs.google.com/spreadsheets/d/14Bd19lYaqBhU8_DElYkX7l4wRkHqqCUFNJY4AfY3kHU/edit?usp=sharing  #gid=0"",""фіз особи new!relations_name_uo""),7,FALSE)
,
)
))"),"БОГИНСЬКИЙ Андрій Іванович")</f>
        <v>БОГИНСЬКИЙ Андрій Іванович</v>
      </c>
      <c r="J3677" s="7" t="s">
        <v>11</v>
      </c>
    </row>
    <row r="3678" spans="1:10" ht="13.2">
      <c r="A3678" s="7">
        <v>3677</v>
      </c>
      <c r="B3678" s="7">
        <v>1</v>
      </c>
      <c r="C3678" s="7" t="s">
        <v>10</v>
      </c>
      <c r="D3678" s="7">
        <v>2130</v>
      </c>
      <c r="E3678" s="7" t="s">
        <v>11</v>
      </c>
      <c r="F3678" s="8" t="str">
        <f ca="1">IFERROR(__xludf.DUMMYFUNCTION("IF
(
C3679=""фізична особа""
,
VLOOKUP(D3679,IMPORTRANGE(""https://docs.google.com/spreadsheets/d/14Bd19lYaqBhU8_DElYkX7l4wRkHqqCUFNJY4AfY3kHU/edit?usp=sharing  #gid=0"",""фіз особи new!relations_name""),6,FALSE)
,
(IF
(
C3679=""юридична особа""
,
VLOOKUP"&amp;"(D3679,IMPORTRANGE(""https://docs.google.com/spreadsheets/d/14Bd19lYaqBhU8_DElYkX7l4wRkHqqCUFNJY4AfY3kHU/edit?usp=sharing  #gid=0"",""фіз особи new!relations_name_uo""),7,FALSE)
,
)
))"),"ДЕМЧЕНКО Олег Федорович")</f>
        <v>ДЕМЧЕНКО Олег Федорович</v>
      </c>
      <c r="G3678" s="7" t="s">
        <v>10</v>
      </c>
      <c r="H3678" s="7">
        <v>943</v>
      </c>
      <c r="I3678" s="8" t="str">
        <f ca="1">IFERROR(__xludf.DUMMYFUNCTION("IF
(
G3679=""фізична особа""
,
VLOOKUP(H3679,IMPORTRANGE(""https://docs.google.com/spreadsheets/d/14Bd19lYaqBhU8_DElYkX7l4wRkHqqCUFNJY4AfY3kHU/edit?usp=sharing  #gid=0"",""фіз особи new!relations_name""),6,FALSE)
,
(IF
(
G3679=""юридична особа""
,
VLOOKUP"&amp;"(H3679,IMPORTRANGE(""https://docs.google.com/spreadsheets/d/14Bd19lYaqBhU8_DElYkX7l4wRkHqqCUFNJY4AfY3kHU/edit?usp=sharing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3678" s="7" t="s">
        <v>11</v>
      </c>
    </row>
    <row r="3679" spans="1:10" ht="13.2">
      <c r="A3679" s="7">
        <v>3678</v>
      </c>
      <c r="B3679" s="7">
        <v>1</v>
      </c>
      <c r="C3679" s="7" t="s">
        <v>10</v>
      </c>
      <c r="D3679" s="7">
        <v>2158</v>
      </c>
      <c r="E3679" s="7" t="s">
        <v>12</v>
      </c>
      <c r="F3679" s="8" t="str">
        <f ca="1">IFERROR(__xludf.DUMMYFUNCTION("IF
(
C3680=""фізична особа""
,
VLOOKUP(D3680,IMPORTRANGE(""https://docs.google.com/spreadsheets/d/14Bd19lYaqBhU8_DElYkX7l4wRkHqqCUFNJY4AfY3kHU/edit?usp=sharing  #gid=0"",""фіз особи new!relations_name""),6,FALSE)
,
(IF
(
C3680=""юридична особа""
,
VLOOKUP"&amp;"(D3680,IMPORTRANGE(""https://docs.google.com/spreadsheets/d/14Bd19lYaqBhU8_DElYkX7l4wRkHqqCUFNJY4AfY3kHU/edit?usp=sharing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G3679" s="7" t="s">
        <v>10</v>
      </c>
      <c r="H3679" s="7">
        <v>20994</v>
      </c>
      <c r="I3679" s="8" t="str">
        <f ca="1">IFERROR(__xludf.DUMMYFUNCTION("IF
(
G3680=""фізична особа""
,
VLOOKUP(H3680,IMPORTRANGE(""https://docs.google.com/spreadsheets/d/14Bd19lYaqBhU8_DElYkX7l4wRkHqqCUFNJY4AfY3kHU/edit?usp=sharing  #gid=0"",""фіз особи new!relations_name""),6,FALSE)
,
(IF
(
G3680=""юридична особа""
,
VLOOKUP"&amp;"(H3680,IMPORTRANGE(""https://docs.google.com/spreadsheets/d/14Bd19lYaqBhU8_DElYkX7l4wRkHqqCUFNJY4AfY3kHU/edit?usp=sharing  #gid=0"",""фіз особи new!relations_name_uo""),7,FALSE)
,
)
))"),"СЕРДЮКОВ Сергій Анатолійович")</f>
        <v>СЕРДЮКОВ Сергій Анатолійович</v>
      </c>
      <c r="J3679" s="7" t="s">
        <v>17</v>
      </c>
    </row>
    <row r="3680" spans="1:10" ht="13.2">
      <c r="A3680" s="7">
        <v>3679</v>
      </c>
      <c r="B3680" s="7">
        <v>1</v>
      </c>
      <c r="C3680" s="7" t="s">
        <v>10</v>
      </c>
      <c r="D3680" s="7">
        <v>2158</v>
      </c>
      <c r="E3680" s="7" t="s">
        <v>12</v>
      </c>
      <c r="F3680" s="8" t="str">
        <f ca="1">IFERROR(__xludf.DUMMYFUNCTION("IF
(
C3681=""фізична особа""
,
VLOOKUP(D3681,IMPORTRANGE(""https://docs.google.com/spreadsheets/d/14Bd19lYaqBhU8_DElYkX7l4wRkHqqCUFNJY4AfY3kHU/edit?usp=sharing  #gid=0"",""фіз особи new!relations_name""),6,FALSE)
,
(IF
(
C3681=""юридична особа""
,
VLOOKUP"&amp;"(D3681,IMPORTRANGE(""https://docs.google.com/spreadsheets/d/14Bd19lYaqBhU8_DElYkX7l4wRkHqqCUFNJY4AfY3kHU/edit?usp=sharing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G3680" s="7" t="s">
        <v>10</v>
      </c>
      <c r="H3680" s="7">
        <v>20995</v>
      </c>
      <c r="I3680" s="8" t="str">
        <f ca="1">IFERROR(__xludf.DUMMYFUNCTION("IF
(
G3681=""фізична особа""
,
VLOOKUP(H3681,IMPORTRANGE(""https://docs.google.com/spreadsheets/d/14Bd19lYaqBhU8_DElYkX7l4wRkHqqCUFNJY4AfY3kHU/edit?usp=sharing  #gid=0"",""фіз особи new!relations_name""),6,FALSE)
,
(IF
(
G3681=""юридична особа""
,
VLOOKUP"&amp;"(H3681,IMPORTRANGE(""https://docs.google.com/spreadsheets/d/14Bd19lYaqBhU8_DElYkX7l4wRkHqqCUFNJY4AfY3kHU/edit?usp=sharing  #gid=0"",""фіз особи new!relations_name_uo""),7,FALSE)
,
)
))"),"СЕРДЮКОВА Наталія Анатоліївна")</f>
        <v>СЕРДЮКОВА Наталія Анатоліївна</v>
      </c>
      <c r="J3680" s="7" t="s">
        <v>13</v>
      </c>
    </row>
    <row r="3681" spans="1:10" ht="13.2">
      <c r="A3681" s="7">
        <v>3680</v>
      </c>
      <c r="B3681" s="7">
        <v>1</v>
      </c>
      <c r="C3681" s="7" t="s">
        <v>10</v>
      </c>
      <c r="D3681" s="7">
        <v>2158</v>
      </c>
      <c r="E3681" s="7" t="s">
        <v>14</v>
      </c>
      <c r="F3681" s="8" t="str">
        <f ca="1">IFERROR(__xludf.DUMMYFUNCTION("IF
(
C3682=""фізична особа""
,
VLOOKUP(D3682,IMPORTRANGE(""https://docs.google.com/spreadsheets/d/14Bd19lYaqBhU8_DElYkX7l4wRkHqqCUFNJY4AfY3kHU/edit?usp=sharing  #gid=0"",""фіз особи new!relations_name""),6,FALSE)
,
(IF
(
C3682=""юридична особа""
,
VLOOKUP"&amp;"(D3682,IMPORTRANGE(""https://docs.google.com/spreadsheets/d/14Bd19lYaqBhU8_DElYkX7l4wRkHqqCUFNJY4AfY3kHU/edit?usp=sharing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G3681" s="7" t="s">
        <v>10</v>
      </c>
      <c r="H3681" s="7">
        <v>20999</v>
      </c>
      <c r="I3681" s="8" t="str">
        <f ca="1">IFERROR(__xludf.DUMMYFUNCTION("IF
(
G3682=""фізична особа""
,
VLOOKUP(H3682,IMPORTRANGE(""https://docs.google.com/spreadsheets/d/14Bd19lYaqBhU8_DElYkX7l4wRkHqqCUFNJY4AfY3kHU/edit?usp=sharing  #gid=0"",""фіз особи new!relations_name""),6,FALSE)
,
(IF
(
G3682=""юридична особа""
,
VLOOKUP"&amp;"(H3682,IMPORTRANGE(""https://docs.google.com/spreadsheets/d/14Bd19lYaqBhU8_DElYkX7l4wRkHqqCUFNJY4AfY3kHU/edit?usp=sharing  #gid=0"",""фіз особи new!relations_name_uo""),7,FALSE)
,
)
))"),"МИЛЯВСЬКА Лоліта Марківна")</f>
        <v>МИЛЯВСЬКА Лоліта Марківна</v>
      </c>
      <c r="J3681" s="7" t="s">
        <v>15</v>
      </c>
    </row>
    <row r="3682" spans="1:10" ht="13.2">
      <c r="A3682" s="7">
        <v>3681</v>
      </c>
      <c r="B3682" s="7">
        <v>1</v>
      </c>
      <c r="C3682" s="7" t="s">
        <v>10</v>
      </c>
      <c r="D3682" s="7">
        <v>2175</v>
      </c>
      <c r="E3682" s="7" t="s">
        <v>12</v>
      </c>
      <c r="F3682" s="8" t="str">
        <f ca="1">IFERROR(__xludf.DUMMYFUNCTION("IF
(
C3683=""фізична особа""
,
VLOOKUP(D3683,IMPORTRANGE(""https://docs.google.com/spreadsheets/d/14Bd19lYaqBhU8_DElYkX7l4wRkHqqCUFNJY4AfY3kHU/edit?usp=sharing  #gid=0"",""фіз особи new!relations_name""),6,FALSE)
,
(IF
(
C3683=""юридична особа""
,
VLOOKUP"&amp;"(D3683,IMPORTRANGE(""https://docs.google.com/spreadsheets/d/14Bd19lYaqBhU8_DElYkX7l4wRkHqqCUFNJY4AfY3kHU/edit?usp=sharing  #gid=0"",""фіз особи new!relations_name_uo""),7,FALSE)
,
)
))"),"ШЕФЛЕР Юрій Вікторович")</f>
        <v>ШЕФЛЕР Юрій Вікторович</v>
      </c>
      <c r="G3682" s="7" t="s">
        <v>10</v>
      </c>
      <c r="H3682" s="7">
        <v>0</v>
      </c>
      <c r="I3682" s="8" t="str">
        <f ca="1">IFERROR(__xludf.DUMMYFUNCTION("IF
(
G3683=""фізична особа""
,
VLOOKUP(H3683,IMPORTRANGE(""https://docs.google.com/spreadsheets/d/14Bd19lYaqBhU8_DElYkX7l4wRkHqqCUFNJY4AfY3kHU/edit?usp=sharing  #gid=0"",""фіз особи new!relations_name""),6,FALSE)
,
(IF
(
G3683=""юридична особа""
,
VLOOKUP"&amp;"(H3683,IMPORTRANGE(""https://docs.google.com/spreadsheets/d/14Bd19lYaqBhU8_DElYkX7l4wRkHqqCUFNJY4AfY3kHU/edit?usp=sharing  #gid=0"",""фіз особи new!relations_name_uo""),7,FALSE)
,
)
))"),"#N/A")</f>
        <v>#N/A</v>
      </c>
      <c r="J3682" s="7" t="s">
        <v>17</v>
      </c>
    </row>
    <row r="3683" spans="1:10" ht="13.2">
      <c r="A3683" s="7">
        <v>3682</v>
      </c>
      <c r="B3683" s="7">
        <v>1</v>
      </c>
      <c r="C3683" s="7" t="s">
        <v>10</v>
      </c>
      <c r="D3683" s="7">
        <v>2175</v>
      </c>
      <c r="E3683" s="7" t="s">
        <v>42</v>
      </c>
      <c r="F3683" s="8" t="str">
        <f ca="1">IFERROR(__xludf.DUMMYFUNCTION("IF
(
C3684=""фізична особа""
,
VLOOKUP(D3684,IMPORTRANGE(""https://docs.google.com/spreadsheets/d/14Bd19lYaqBhU8_DElYkX7l4wRkHqqCUFNJY4AfY3kHU/edit?usp=sharing  #gid=0"",""фіз особи new!relations_name""),6,FALSE)
,
(IF
(
C3684=""юридична особа""
,
VLOOKUP"&amp;"(D3684,IMPORTRANGE(""https://docs.google.com/spreadsheets/d/14Bd19lYaqBhU8_DElYkX7l4wRkHqqCUFNJY4AfY3kHU/edit?usp=sharing  #gid=0"",""фіз особи new!relations_name_uo""),7,FALSE)
,
)
))"),"ШЕФЛЕР Юрій Вікторович")</f>
        <v>ШЕФЛЕР Юрій Вікторович</v>
      </c>
      <c r="G3683" s="7" t="s">
        <v>10</v>
      </c>
      <c r="H3683" s="7">
        <v>8761</v>
      </c>
      <c r="I3683" s="8" t="str">
        <f ca="1">IFERROR(__xludf.DUMMYFUNCTION("IF
(
G3684=""фізична особа""
,
VLOOKUP(H3684,IMPORTRANGE(""https://docs.google.com/spreadsheets/d/14Bd19lYaqBhU8_DElYkX7l4wRkHqqCUFNJY4AfY3kHU/edit?usp=sharing  #gid=0"",""фіз особи new!relations_name""),6,FALSE)
,
(IF
(
G3684=""юридична особа""
,
VLOOKUP"&amp;"(H3684,IMPORTRANGE(""https://docs.google.com/spreadsheets/d/14Bd19lYaqBhU8_DElYkX7l4wRkHqqCUFNJY4AfY3kHU/edit?usp=sharing  #gid=0"",""фіз особи new!relations_name_uo""),7,FALSE)
,
)
))"),"КОВИЛІНА Тетяна")</f>
        <v>КОВИЛІНА Тетяна</v>
      </c>
      <c r="J3683" s="7" t="s">
        <v>43</v>
      </c>
    </row>
    <row r="3684" spans="1:10" ht="13.2">
      <c r="A3684" s="7">
        <v>3683</v>
      </c>
      <c r="B3684" s="7">
        <v>1</v>
      </c>
      <c r="C3684" s="7" t="s">
        <v>10</v>
      </c>
      <c r="D3684" s="7">
        <v>2179</v>
      </c>
      <c r="E3684" s="7" t="s">
        <v>21</v>
      </c>
      <c r="F3684" s="8" t="str">
        <f ca="1">IFERROR(__xludf.DUMMYFUNCTION("IF
(
C3685=""фізична особа""
,
VLOOKUP(D3685,IMPORTRANGE(""https://docs.google.com/spreadsheets/d/14Bd19lYaqBhU8_DElYkX7l4wRkHqqCUFNJY4AfY3kHU/edit?usp=sharing  #gid=0"",""фіз особи new!relations_name""),6,FALSE)
,
(IF
(
C3685=""юридична особа""
,
VLOOKUP"&amp;"(D3685,IMPORTRANGE(""https://docs.google.com/spreadsheets/d/14Bd19lYaqBhU8_DElYkX7l4wRkHqqCUFNJY4AfY3kHU/edit?usp=sharing  #gid=0"",""фіз особи new!relations_name_uo""),7,FALSE)
,
)
))"),"ЄГОРОВА Сніжана Олександрівна")</f>
        <v>ЄГОРОВА Сніжана Олександрівна</v>
      </c>
      <c r="G3684" s="7" t="s">
        <v>10</v>
      </c>
      <c r="H3684" s="7">
        <v>0</v>
      </c>
      <c r="I3684" s="8" t="str">
        <f ca="1">IFERROR(__xludf.DUMMYFUNCTION("IF
(
G3685=""фізична особа""
,
VLOOKUP(H3685,IMPORTRANGE(""https://docs.google.com/spreadsheets/d/14Bd19lYaqBhU8_DElYkX7l4wRkHqqCUFNJY4AfY3kHU/edit?usp=sharing  #gid=0"",""фіз особи new!relations_name""),6,FALSE)
,
(IF
(
G3685=""юридична особа""
,
VLOOKUP"&amp;"(H3685,IMPORTRANGE(""https://docs.google.com/spreadsheets/d/14Bd19lYaqBhU8_DElYkX7l4wRkHqqCUFNJY4AfY3kHU/edit?usp=sharing  #gid=0"",""фіз особи new!relations_name_uo""),7,FALSE)
,
)
))"),"#N/A")</f>
        <v>#N/A</v>
      </c>
      <c r="J3684" s="7" t="s">
        <v>17</v>
      </c>
    </row>
    <row r="3685" spans="1:10" ht="13.2">
      <c r="A3685" s="7">
        <v>3684</v>
      </c>
      <c r="B3685" s="7">
        <v>1</v>
      </c>
      <c r="C3685" s="7" t="s">
        <v>10</v>
      </c>
      <c r="D3685" s="7">
        <v>2179</v>
      </c>
      <c r="E3685" s="7" t="s">
        <v>21</v>
      </c>
      <c r="F3685" s="8" t="str">
        <f ca="1">IFERROR(__xludf.DUMMYFUNCTION("IF
(
C3686=""фізична особа""
,
VLOOKUP(D3686,IMPORTRANGE(""https://docs.google.com/spreadsheets/d/14Bd19lYaqBhU8_DElYkX7l4wRkHqqCUFNJY4AfY3kHU/edit?usp=sharing  #gid=0"",""фіз особи new!relations_name""),6,FALSE)
,
(IF
(
C3686=""юридична особа""
,
VLOOKUP"&amp;"(D3686,IMPORTRANGE(""https://docs.google.com/spreadsheets/d/14Bd19lYaqBhU8_DElYkX7l4wRkHqqCUFNJY4AfY3kHU/edit?usp=sharing  #gid=0"",""фіз особи new!relations_name_uo""),7,FALSE)
,
)
))"),"ЄГОРОВА Сніжана Олександрівна")</f>
        <v>ЄГОРОВА Сніжана Олександрівна</v>
      </c>
      <c r="G3685" s="7" t="s">
        <v>10</v>
      </c>
      <c r="H3685" s="7">
        <v>0</v>
      </c>
      <c r="I3685" s="8" t="str">
        <f ca="1">IFERROR(__xludf.DUMMYFUNCTION("IF
(
G3686=""фізична особа""
,
VLOOKUP(H3686,IMPORTRANGE(""https://docs.google.com/spreadsheets/d/14Bd19lYaqBhU8_DElYkX7l4wRkHqqCUFNJY4AfY3kHU/edit?usp=sharing  #gid=0"",""фіз особи new!relations_name""),6,FALSE)
,
(IF
(
G3686=""юридична особа""
,
VLOOKUP"&amp;"(H3686,IMPORTRANGE(""https://docs.google.com/spreadsheets/d/14Bd19lYaqBhU8_DElYkX7l4wRkHqqCUFNJY4AfY3kHU/edit?usp=sharing  #gid=0"",""фіз особи new!relations_name_uo""),7,FALSE)
,
)
))"),"#N/A")</f>
        <v>#N/A</v>
      </c>
      <c r="J3685" s="7" t="s">
        <v>17</v>
      </c>
    </row>
    <row r="3686" spans="1:10" ht="13.2">
      <c r="A3686" s="7">
        <v>3685</v>
      </c>
      <c r="B3686" s="7">
        <v>1</v>
      </c>
      <c r="C3686" s="7" t="s">
        <v>10</v>
      </c>
      <c r="D3686" s="7">
        <v>2179</v>
      </c>
      <c r="E3686" s="7" t="s">
        <v>21</v>
      </c>
      <c r="F3686" s="8" t="str">
        <f ca="1">IFERROR(__xludf.DUMMYFUNCTION("IF
(
C3687=""фізична особа""
,
VLOOKUP(D3687,IMPORTRANGE(""https://docs.google.com/spreadsheets/d/14Bd19lYaqBhU8_DElYkX7l4wRkHqqCUFNJY4AfY3kHU/edit?usp=sharing  #gid=0"",""фіз особи new!relations_name""),6,FALSE)
,
(IF
(
C3687=""юридична особа""
,
VLOOKUP"&amp;"(D3687,IMPORTRANGE(""https://docs.google.com/spreadsheets/d/14Bd19lYaqBhU8_DElYkX7l4wRkHqqCUFNJY4AfY3kHU/edit?usp=sharing  #gid=0"",""фіз особи new!relations_name_uo""),7,FALSE)
,
)
))"),"ЄГОРОВА Сніжана Олександрівна")</f>
        <v>ЄГОРОВА Сніжана Олександрівна</v>
      </c>
      <c r="G3686" s="7" t="s">
        <v>10</v>
      </c>
      <c r="H3686" s="7">
        <v>0</v>
      </c>
      <c r="I3686" s="8" t="str">
        <f ca="1">IFERROR(__xludf.DUMMYFUNCTION("IF
(
G3687=""фізична особа""
,
VLOOKUP(H3687,IMPORTRANGE(""https://docs.google.com/spreadsheets/d/14Bd19lYaqBhU8_DElYkX7l4wRkHqqCUFNJY4AfY3kHU/edit?usp=sharing  #gid=0"",""фіз особи new!relations_name""),6,FALSE)
,
(IF
(
G3687=""юридична особа""
,
VLOOKUP"&amp;"(H3687,IMPORTRANGE(""https://docs.google.com/spreadsheets/d/14Bd19lYaqBhU8_DElYkX7l4wRkHqqCUFNJY4AfY3kHU/edit?usp=sharing  #gid=0"",""фіз особи new!relations_name_uo""),7,FALSE)
,
)
))"),"#N/A")</f>
        <v>#N/A</v>
      </c>
      <c r="J3686" s="7" t="s">
        <v>13</v>
      </c>
    </row>
    <row r="3687" spans="1:10" ht="13.2">
      <c r="A3687" s="7">
        <v>3686</v>
      </c>
      <c r="B3687" s="7">
        <v>1</v>
      </c>
      <c r="C3687" s="7" t="s">
        <v>10</v>
      </c>
      <c r="D3687" s="7">
        <v>2181</v>
      </c>
      <c r="E3687" s="7" t="s">
        <v>16</v>
      </c>
      <c r="F3687" s="8" t="str">
        <f ca="1">IFERROR(__xludf.DUMMYFUNCTION("IF
(
C3688=""фізична особа""
,
VLOOKUP(D3688,IMPORTRANGE(""https://docs.google.com/spreadsheets/d/14Bd19lYaqBhU8_DElYkX7l4wRkHqqCUFNJY4AfY3kHU/edit?usp=sharing  #gid=0"",""фіз особи new!relations_name""),6,FALSE)
,
(IF
(
C3688=""юридична особа""
,
VLOOKUP"&amp;"(D3688,IMPORTRANGE(""https://docs.google.com/spreadsheets/d/14Bd19lYaqBhU8_DElYkX7l4wRkHqqCUFNJY4AfY3kHU/edit?usp=sharing  #gid=0"",""фіз особи new!relations_name_uo""),7,FALSE)
,
)
))"),"ХМАРІН Віктор Вікторович")</f>
        <v>ХМАРІН Віктор Вікторович</v>
      </c>
      <c r="G3687" s="7" t="s">
        <v>10</v>
      </c>
      <c r="H3687" s="7">
        <v>880</v>
      </c>
      <c r="I3687" s="8" t="str">
        <f ca="1">IFERROR(__xludf.DUMMYFUNCTION("IF
(
G3688=""фізична особа""
,
VLOOKUP(H3688,IMPORTRANGE(""https://docs.google.com/spreadsheets/d/14Bd19lYaqBhU8_DElYkX7l4wRkHqqCUFNJY4AfY3kHU/edit?usp=sharing  #gid=0"",""фіз особи new!relations_name""),6,FALSE)
,
(IF
(
G3688=""юридична особа""
,
VLOOKUP"&amp;"(H3688,IMPORTRANGE(""https://docs.google.com/spreadsheets/d/14Bd19lYaqBhU8_DElYkX7l4wRkHqqCUFNJY4AfY3kHU/edit?usp=sharing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87" s="7" t="s">
        <v>16</v>
      </c>
    </row>
    <row r="3688" spans="1:10" ht="13.2">
      <c r="A3688" s="7">
        <v>3687</v>
      </c>
      <c r="B3688" s="7">
        <v>1</v>
      </c>
      <c r="C3688" s="7" t="s">
        <v>10</v>
      </c>
      <c r="D3688" s="7">
        <v>2182</v>
      </c>
      <c r="E3688" s="7" t="s">
        <v>15</v>
      </c>
      <c r="F3688" s="8" t="str">
        <f ca="1">IFERROR(__xludf.DUMMYFUNCTION("IF
(
C3689=""фізична особа""
,
VLOOKUP(D3689,IMPORTRANGE(""https://docs.google.com/spreadsheets/d/14Bd19lYaqBhU8_DElYkX7l4wRkHqqCUFNJY4AfY3kHU/edit?usp=sharing  #gid=0"",""фіз особи new!relations_name""),6,FALSE)
,
(IF
(
C3689=""юридична особа""
,
VLOOKUP"&amp;"(D3689,IMPORTRANGE(""https://docs.google.com/spreadsheets/d/14Bd19lYaqBhU8_DElYkX7l4wRkHqqCUFNJY4AfY3kHU/edit?usp=sharing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G3688" s="7" t="s">
        <v>10</v>
      </c>
      <c r="H3688" s="7">
        <v>0</v>
      </c>
      <c r="I3688" s="8" t="str">
        <f ca="1">IFERROR(__xludf.DUMMYFUNCTION("IF
(
G3689=""фізична особа""
,
VLOOKUP(H3689,IMPORTRANGE(""https://docs.google.com/spreadsheets/d/14Bd19lYaqBhU8_DElYkX7l4wRkHqqCUFNJY4AfY3kHU/edit?usp=sharing  #gid=0"",""фіз особи new!relations_name""),6,FALSE)
,
(IF
(
G3689=""юридична особа""
,
VLOOKUP"&amp;"(H3689,IMPORTRANGE(""https://docs.google.com/spreadsheets/d/14Bd19lYaqBhU8_DElYkX7l4wRkHqqCUFNJY4AfY3kHU/edit?usp=sharing  #gid=0"",""фіз особи new!relations_name_uo""),7,FALSE)
,
)
))"),"#N/A")</f>
        <v>#N/A</v>
      </c>
      <c r="J3688" s="7" t="s">
        <v>14</v>
      </c>
    </row>
    <row r="3689" spans="1:10" ht="13.2">
      <c r="A3689" s="7">
        <v>3688</v>
      </c>
      <c r="B3689" s="7">
        <v>1</v>
      </c>
      <c r="C3689" s="7" t="s">
        <v>10</v>
      </c>
      <c r="D3689" s="7">
        <v>2182</v>
      </c>
      <c r="E3689" s="7" t="s">
        <v>21</v>
      </c>
      <c r="F3689" s="8" t="str">
        <f ca="1">IFERROR(__xludf.DUMMYFUNCTION("IF
(
C3690=""фізична особа""
,
VLOOKUP(D3690,IMPORTRANGE(""https://docs.google.com/spreadsheets/d/14Bd19lYaqBhU8_DElYkX7l4wRkHqqCUFNJY4AfY3kHU/edit?usp=sharing  #gid=0"",""фіз особи new!relations_name""),6,FALSE)
,
(IF
(
C3690=""юридична особа""
,
VLOOKUP"&amp;"(D3690,IMPORTRANGE(""https://docs.google.com/spreadsheets/d/14Bd19lYaqBhU8_DElYkX7l4wRkHqqCUFNJY4AfY3kHU/edit?usp=sharing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G3689" s="7" t="s">
        <v>10</v>
      </c>
      <c r="H3689" s="7">
        <v>0</v>
      </c>
      <c r="I3689" s="8" t="str">
        <f ca="1">IFERROR(__xludf.DUMMYFUNCTION("IF
(
G3690=""фізична особа""
,
VLOOKUP(H3690,IMPORTRANGE(""https://docs.google.com/spreadsheets/d/14Bd19lYaqBhU8_DElYkX7l4wRkHqqCUFNJY4AfY3kHU/edit?usp=sharing  #gid=0"",""фіз особи new!relations_name""),6,FALSE)
,
(IF
(
G3690=""юридична особа""
,
VLOOKUP"&amp;"(H3690,IMPORTRANGE(""https://docs.google.com/spreadsheets/d/14Bd19lYaqBhU8_DElYkX7l4wRkHqqCUFNJY4AfY3kHU/edit?usp=sharing  #gid=0"",""фіз особи new!relations_name_uo""),7,FALSE)
,
)
))"),"#N/A")</f>
        <v>#N/A</v>
      </c>
      <c r="J3689" s="7" t="s">
        <v>13</v>
      </c>
    </row>
    <row r="3690" spans="1:10" ht="13.2">
      <c r="A3690" s="7">
        <v>3689</v>
      </c>
      <c r="B3690" s="7">
        <v>1</v>
      </c>
      <c r="C3690" s="7" t="s">
        <v>10</v>
      </c>
      <c r="D3690" s="7">
        <v>2182</v>
      </c>
      <c r="E3690" s="7" t="s">
        <v>21</v>
      </c>
      <c r="F3690" s="8" t="str">
        <f ca="1">IFERROR(__xludf.DUMMYFUNCTION("IF
(
C3691=""фізична особа""
,
VLOOKUP(D3691,IMPORTRANGE(""https://docs.google.com/spreadsheets/d/14Bd19lYaqBhU8_DElYkX7l4wRkHqqCUFNJY4AfY3kHU/edit?usp=sharing  #gid=0"",""фіз особи new!relations_name""),6,FALSE)
,
(IF
(
C3691=""юридична особа""
,
VLOOKUP"&amp;"(D3691,IMPORTRANGE(""https://docs.google.com/spreadsheets/d/14Bd19lYaqBhU8_DElYkX7l4wRkHqqCUFNJY4AfY3kHU/edit?usp=sharing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G3690" s="7" t="s">
        <v>10</v>
      </c>
      <c r="H3690" s="7">
        <v>0</v>
      </c>
      <c r="I3690" s="8" t="str">
        <f ca="1">IFERROR(__xludf.DUMMYFUNCTION("IF
(
G3691=""фізична особа""
,
VLOOKUP(H3691,IMPORTRANGE(""https://docs.google.com/spreadsheets/d/14Bd19lYaqBhU8_DElYkX7l4wRkHqqCUFNJY4AfY3kHU/edit?usp=sharing  #gid=0"",""фіз особи new!relations_name""),6,FALSE)
,
(IF
(
G3691=""юридична особа""
,
VLOOKUP"&amp;"(H3691,IMPORTRANGE(""https://docs.google.com/spreadsheets/d/14Bd19lYaqBhU8_DElYkX7l4wRkHqqCUFNJY4AfY3kHU/edit?usp=sharing  #gid=0"",""фіз особи new!relations_name_uo""),7,FALSE)
,
)
))"),"#N/A")</f>
        <v>#N/A</v>
      </c>
      <c r="J3690" s="7" t="s">
        <v>17</v>
      </c>
    </row>
    <row r="3691" spans="1:10" ht="13.2">
      <c r="A3691" s="7">
        <v>3690</v>
      </c>
      <c r="B3691" s="7">
        <v>1</v>
      </c>
      <c r="C3691" s="7" t="s">
        <v>10</v>
      </c>
      <c r="D3691" s="7">
        <v>2184</v>
      </c>
      <c r="E3691" s="7" t="s">
        <v>12</v>
      </c>
      <c r="F3691" s="8" t="str">
        <f ca="1">IFERROR(__xludf.DUMMYFUNCTION("IF
(
C3692=""фізична особа""
,
VLOOKUP(D3692,IMPORTRANGE(""https://docs.google.com/spreadsheets/d/14Bd19lYaqBhU8_DElYkX7l4wRkHqqCUFNJY4AfY3kHU/edit?usp=sharing  #gid=0"",""фіз особи new!relations_name""),6,FALSE)
,
(IF
(
C3692=""юридична особа""
,
VLOOKUP"&amp;"(D3692,IMPORTRANGE(""https://docs.google.com/spreadsheets/d/14Bd19lYaqBhU8_DElYkX7l4wRkHqqCUFNJY4AfY3kHU/edit?usp=sharing  #gid=0"",""фіз особи new!relations_name_uo""),7,FALSE)
,
)
))"),"БАШАРОВ Марат Алімжанович")</f>
        <v>БАШАРОВ Марат Алімжанович</v>
      </c>
      <c r="G3691" s="7" t="s">
        <v>10</v>
      </c>
      <c r="H3691" s="7">
        <v>0</v>
      </c>
      <c r="I3691" s="8" t="str">
        <f ca="1">IFERROR(__xludf.DUMMYFUNCTION("IF
(
G3692=""фізична особа""
,
VLOOKUP(H3692,IMPORTRANGE(""https://docs.google.com/spreadsheets/d/14Bd19lYaqBhU8_DElYkX7l4wRkHqqCUFNJY4AfY3kHU/edit?usp=sharing  #gid=0"",""фіз особи new!relations_name""),6,FALSE)
,
(IF
(
G3692=""юридична особа""
,
VLOOKUP"&amp;"(H3692,IMPORTRANGE(""https://docs.google.com/spreadsheets/d/14Bd19lYaqBhU8_DElYkX7l4wRkHqqCUFNJY4AfY3kHU/edit?usp=sharing  #gid=0"",""фіз особи new!relations_name_uo""),7,FALSE)
,
)
))"),"#N/A")</f>
        <v>#N/A</v>
      </c>
      <c r="J3691" s="7" t="s">
        <v>13</v>
      </c>
    </row>
    <row r="3692" spans="1:10" ht="13.2">
      <c r="A3692" s="7">
        <v>3691</v>
      </c>
      <c r="B3692" s="7">
        <v>1</v>
      </c>
      <c r="C3692" s="7" t="s">
        <v>10</v>
      </c>
      <c r="D3692" s="7">
        <v>2184</v>
      </c>
      <c r="E3692" s="7" t="s">
        <v>12</v>
      </c>
      <c r="F3692" s="8" t="str">
        <f ca="1">IFERROR(__xludf.DUMMYFUNCTION("IF
(
C3693=""фізична особа""
,
VLOOKUP(D3693,IMPORTRANGE(""https://docs.google.com/spreadsheets/d/14Bd19lYaqBhU8_DElYkX7l4wRkHqqCUFNJY4AfY3kHU/edit?usp=sharing  #gid=0"",""фіз особи new!relations_name""),6,FALSE)
,
(IF
(
C3693=""юридична особа""
,
VLOOKUP"&amp;"(D3693,IMPORTRANGE(""https://docs.google.com/spreadsheets/d/14Bd19lYaqBhU8_DElYkX7l4wRkHqqCUFNJY4AfY3kHU/edit?usp=sharing  #gid=0"",""фіз особи new!relations_name_uo""),7,FALSE)
,
)
))"),"БАШАРОВ Марат Алімжанович")</f>
        <v>БАШАРОВ Марат Алімжанович</v>
      </c>
      <c r="G3692" s="7" t="s">
        <v>10</v>
      </c>
      <c r="H3692" s="7">
        <v>0</v>
      </c>
      <c r="I3692" s="8" t="str">
        <f ca="1">IFERROR(__xludf.DUMMYFUNCTION("IF
(
G3693=""фізична особа""
,
VLOOKUP(H3693,IMPORTRANGE(""https://docs.google.com/spreadsheets/d/14Bd19lYaqBhU8_DElYkX7l4wRkHqqCUFNJY4AfY3kHU/edit?usp=sharing  #gid=0"",""фіз особи new!relations_name""),6,FALSE)
,
(IF
(
G3693=""юридична особа""
,
VLOOKUP"&amp;"(H3693,IMPORTRANGE(""https://docs.google.com/spreadsheets/d/14Bd19lYaqBhU8_DElYkX7l4wRkHqqCUFNJY4AfY3kHU/edit?usp=sharing  #gid=0"",""фіз особи new!relations_name_uo""),7,FALSE)
,
)
))"),"#N/A")</f>
        <v>#N/A</v>
      </c>
      <c r="J3692" s="7" t="s">
        <v>17</v>
      </c>
    </row>
    <row r="3693" spans="1:10" ht="13.2">
      <c r="A3693" s="7">
        <v>3692</v>
      </c>
      <c r="B3693" s="7">
        <v>1</v>
      </c>
      <c r="C3693" s="7" t="s">
        <v>10</v>
      </c>
      <c r="D3693" s="7">
        <v>2185</v>
      </c>
      <c r="E3693" s="7" t="s">
        <v>14</v>
      </c>
      <c r="F3693" s="8" t="str">
        <f ca="1">IFERROR(__xludf.DUMMYFUNCTION("IF
(
C3694=""фізична особа""
,
VLOOKUP(D3694,IMPORTRANGE(""https://docs.google.com/spreadsheets/d/14Bd19lYaqBhU8_DElYkX7l4wRkHqqCUFNJY4AfY3kHU/edit?usp=sharing  #gid=0"",""фіз особи new!relations_name""),6,FALSE)
,
(IF
(
C3694=""юридична особа""
,
VLOOKUP"&amp;"(D3694,IMPORTRANGE(""https://docs.google.com/spreadsheets/d/14Bd19lYaqBhU8_DElYkX7l4wRkHqqCUFNJY4AfY3kHU/edit?usp=sharing  #gid=0"",""фіз особи new!relations_name_uo""),7,FALSE)
,
)
))"),"ПУЧКОВ Дмитро Юрійович")</f>
        <v>ПУЧКОВ Дмитро Юрійович</v>
      </c>
      <c r="G3693" s="7" t="s">
        <v>10</v>
      </c>
      <c r="H3693" s="7">
        <v>0</v>
      </c>
      <c r="I3693" s="8" t="str">
        <f ca="1">IFERROR(__xludf.DUMMYFUNCTION("IF
(
G3694=""фізична особа""
,
VLOOKUP(H3694,IMPORTRANGE(""https://docs.google.com/spreadsheets/d/14Bd19lYaqBhU8_DElYkX7l4wRkHqqCUFNJY4AfY3kHU/edit?usp=sharing  #gid=0"",""фіз особи new!relations_name""),6,FALSE)
,
(IF
(
G3694=""юридична особа""
,
VLOOKUP"&amp;"(H3694,IMPORTRANGE(""https://docs.google.com/spreadsheets/d/14Bd19lYaqBhU8_DElYkX7l4wRkHqqCUFNJY4AfY3kHU/edit?usp=sharing  #gid=0"",""фіз особи new!relations_name_uo""),7,FALSE)
,
)
))"),"#N/A")</f>
        <v>#N/A</v>
      </c>
      <c r="J3693" s="7" t="s">
        <v>15</v>
      </c>
    </row>
    <row r="3694" spans="1:10" ht="13.2">
      <c r="A3694" s="7">
        <v>3693</v>
      </c>
      <c r="B3694" s="7">
        <v>1</v>
      </c>
      <c r="C3694" s="7" t="s">
        <v>10</v>
      </c>
      <c r="D3694" s="7">
        <v>2185</v>
      </c>
      <c r="E3694" s="7" t="s">
        <v>12</v>
      </c>
      <c r="F3694" s="8" t="str">
        <f ca="1">IFERROR(__xludf.DUMMYFUNCTION("IF
(
C3695=""фізична особа""
,
VLOOKUP(D3695,IMPORTRANGE(""https://docs.google.com/spreadsheets/d/14Bd19lYaqBhU8_DElYkX7l4wRkHqqCUFNJY4AfY3kHU/edit?usp=sharing  #gid=0"",""фіз особи new!relations_name""),6,FALSE)
,
(IF
(
C3695=""юридична особа""
,
VLOOKUP"&amp;"(D3695,IMPORTRANGE(""https://docs.google.com/spreadsheets/d/14Bd19lYaqBhU8_DElYkX7l4wRkHqqCUFNJY4AfY3kHU/edit?usp=sharing  #gid=0"",""фіз особи new!relations_name_uo""),7,FALSE)
,
)
))"),"ПУЧКОВ Дмитро Юрійович")</f>
        <v>ПУЧКОВ Дмитро Юрійович</v>
      </c>
      <c r="G3694" s="7" t="s">
        <v>10</v>
      </c>
      <c r="H3694" s="7">
        <v>0</v>
      </c>
      <c r="I3694" s="8" t="str">
        <f ca="1">IFERROR(__xludf.DUMMYFUNCTION("IF
(
G3695=""фізична особа""
,
VLOOKUP(H3695,IMPORTRANGE(""https://docs.google.com/spreadsheets/d/14Bd19lYaqBhU8_DElYkX7l4wRkHqqCUFNJY4AfY3kHU/edit?usp=sharing  #gid=0"",""фіз особи new!relations_name""),6,FALSE)
,
(IF
(
G3695=""юридична особа""
,
VLOOKUP"&amp;"(H3695,IMPORTRANGE(""https://docs.google.com/spreadsheets/d/14Bd19lYaqBhU8_DElYkX7l4wRkHqqCUFNJY4AfY3kHU/edit?usp=sharing  #gid=0"",""фіз особи new!relations_name_uo""),7,FALSE)
,
)
))"),"#N/A")</f>
        <v>#N/A</v>
      </c>
      <c r="J3694" s="7" t="s">
        <v>17</v>
      </c>
    </row>
    <row r="3695" spans="1:10" ht="13.2">
      <c r="A3695" s="7">
        <v>3694</v>
      </c>
      <c r="B3695" s="7">
        <v>1</v>
      </c>
      <c r="C3695" s="7" t="s">
        <v>10</v>
      </c>
      <c r="D3695" s="7">
        <v>2188</v>
      </c>
      <c r="E3695" s="7" t="s">
        <v>12</v>
      </c>
      <c r="F3695" s="8" t="str">
        <f ca="1">IFERROR(__xludf.DUMMYFUNCTION("IF
(
C3696=""фізична особа""
,
VLOOKUP(D3696,IMPORTRANGE(""https://docs.google.com/spreadsheets/d/14Bd19lYaqBhU8_DElYkX7l4wRkHqqCUFNJY4AfY3kHU/edit?usp=sharing  #gid=0"",""фіз особи new!relations_name""),6,FALSE)
,
(IF
(
C3696=""юридична особа""
,
VLOOKUP"&amp;"(D3696,IMPORTRANGE(""https://docs.google.com/spreadsheets/d/14Bd19lYaqBhU8_DElYkX7l4wRkHqqCUFNJY4AfY3kHU/edit?usp=sharing  #gid=0"",""фіз особи new!relations_name_uo""),7,FALSE)
,
)
))"),"САМОЙЛОВ Вадим Рудольфович")</f>
        <v>САМОЙЛОВ Вадим Рудольфович</v>
      </c>
      <c r="G3695" s="7" t="s">
        <v>10</v>
      </c>
      <c r="H3695" s="7">
        <v>0</v>
      </c>
      <c r="I3695" s="8" t="str">
        <f ca="1">IFERROR(__xludf.DUMMYFUNCTION("IF
(
G3696=""фізична особа""
,
VLOOKUP(H3696,IMPORTRANGE(""https://docs.google.com/spreadsheets/d/14Bd19lYaqBhU8_DElYkX7l4wRkHqqCUFNJY4AfY3kHU/edit?usp=sharing  #gid=0"",""фіз особи new!relations_name""),6,FALSE)
,
(IF
(
G3696=""юридична особа""
,
VLOOKUP"&amp;"(H3696,IMPORTRANGE(""https://docs.google.com/spreadsheets/d/14Bd19lYaqBhU8_DElYkX7l4wRkHqqCUFNJY4AfY3kHU/edit?usp=sharing  #gid=0"",""фіз особи new!relations_name_uo""),7,FALSE)
,
)
))"),"#N/A")</f>
        <v>#N/A</v>
      </c>
      <c r="J3695" s="7" t="s">
        <v>13</v>
      </c>
    </row>
    <row r="3696" spans="1:10" ht="13.2">
      <c r="A3696" s="7">
        <v>3695</v>
      </c>
      <c r="B3696" s="7">
        <v>1</v>
      </c>
      <c r="C3696" s="7" t="s">
        <v>10</v>
      </c>
      <c r="D3696" s="7">
        <v>2188</v>
      </c>
      <c r="E3696" s="7" t="s">
        <v>42</v>
      </c>
      <c r="F3696" s="8" t="str">
        <f ca="1">IFERROR(__xludf.DUMMYFUNCTION("IF
(
C3697=""фізична особа""
,
VLOOKUP(D3697,IMPORTRANGE(""https://docs.google.com/spreadsheets/d/14Bd19lYaqBhU8_DElYkX7l4wRkHqqCUFNJY4AfY3kHU/edit?usp=sharing  #gid=0"",""фіз особи new!relations_name""),6,FALSE)
,
(IF
(
C3697=""юридична особа""
,
VLOOKUP"&amp;"(D3697,IMPORTRANGE(""https://docs.google.com/spreadsheets/d/14Bd19lYaqBhU8_DElYkX7l4wRkHqqCUFNJY4AfY3kHU/edit?usp=sharing  #gid=0"",""фіз особи new!relations_name_uo""),7,FALSE)
,
)
))"),"САМОЙЛОВ Вадим Рудольфович")</f>
        <v>САМОЙЛОВ Вадим Рудольфович</v>
      </c>
      <c r="G3696" s="7" t="s">
        <v>10</v>
      </c>
      <c r="H3696" s="7">
        <v>0</v>
      </c>
      <c r="I3696" s="8" t="str">
        <f ca="1">IFERROR(__xludf.DUMMYFUNCTION("IF
(
G3697=""фізична особа""
,
VLOOKUP(H3697,IMPORTRANGE(""https://docs.google.com/spreadsheets/d/14Bd19lYaqBhU8_DElYkX7l4wRkHqqCUFNJY4AfY3kHU/edit?usp=sharing  #gid=0"",""фіз особи new!relations_name""),6,FALSE)
,
(IF
(
G3697=""юридична особа""
,
VLOOKUP"&amp;"(H3697,IMPORTRANGE(""https://docs.google.com/spreadsheets/d/14Bd19lYaqBhU8_DElYkX7l4wRkHqqCUFNJY4AfY3kHU/edit?usp=sharing  #gid=0"",""фіз особи new!relations_name_uo""),7,FALSE)
,
)
))"),"#N/A")</f>
        <v>#N/A</v>
      </c>
      <c r="J3696" s="7" t="s">
        <v>43</v>
      </c>
    </row>
    <row r="3697" spans="1:10" ht="13.2">
      <c r="A3697" s="7">
        <v>3696</v>
      </c>
      <c r="B3697" s="7">
        <v>1</v>
      </c>
      <c r="C3697" s="7" t="s">
        <v>10</v>
      </c>
      <c r="D3697" s="7">
        <v>2189</v>
      </c>
      <c r="E3697" s="7" t="s">
        <v>48</v>
      </c>
      <c r="F3697" s="8" t="str">
        <f ca="1">IFERROR(__xludf.DUMMYFUNCTION("IF
(
C3698=""фізична особа""
,
VLOOKUP(D3698,IMPORTRANGE(""https://docs.google.com/spreadsheets/d/14Bd19lYaqBhU8_DElYkX7l4wRkHqqCUFNJY4AfY3kHU/edit?usp=sharing  #gid=0"",""фіз особи new!relations_name""),6,FALSE)
,
(IF
(
C3698=""юридична особа""
,
VLOOKUP"&amp;"(D3698,IMPORTRANGE(""https://docs.google.com/spreadsheets/d/14Bd19lYaqBhU8_DElYkX7l4wRkHqqCUFNJY4AfY3kHU/edit?usp=sharing  #gid=0"",""фіз особи new!relations_name_uo""),7,FALSE)
,
)
))"),"МАРКОВ Сергій Олександрович")</f>
        <v>МАРКОВ Сергій Олександрович</v>
      </c>
      <c r="G3697" s="7" t="s">
        <v>10</v>
      </c>
      <c r="H3697" s="7">
        <v>880</v>
      </c>
      <c r="I3697" s="8" t="str">
        <f ca="1">IFERROR(__xludf.DUMMYFUNCTION("IF
(
G3698=""фізична особа""
,
VLOOKUP(H3698,IMPORTRANGE(""https://docs.google.com/spreadsheets/d/14Bd19lYaqBhU8_DElYkX7l4wRkHqqCUFNJY4AfY3kHU/edit?usp=sharing  #gid=0"",""фіз особи new!relations_name""),6,FALSE)
,
(IF
(
G3698=""юридична особа""
,
VLOOKUP"&amp;"(H3698,IMPORTRANGE(""https://docs.google.com/spreadsheets/d/14Bd19lYaqBhU8_DElYkX7l4wRkHqqCUFNJY4AfY3kHU/edit?usp=sharing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697" s="7" t="s">
        <v>48</v>
      </c>
    </row>
    <row r="3698" spans="1:10" ht="13.2">
      <c r="A3698" s="7">
        <v>3697</v>
      </c>
      <c r="B3698" s="7">
        <v>1</v>
      </c>
      <c r="C3698" s="7" t="s">
        <v>10</v>
      </c>
      <c r="D3698" s="7">
        <v>2190</v>
      </c>
      <c r="E3698" s="7" t="s">
        <v>14</v>
      </c>
      <c r="F3698" s="8" t="str">
        <f ca="1">IFERROR(__xludf.DUMMYFUNCTION("IF
(
C3699=""фізична особа""
,
VLOOKUP(D3699,IMPORTRANGE(""https://docs.google.com/spreadsheets/d/14Bd19lYaqBhU8_DElYkX7l4wRkHqqCUFNJY4AfY3kHU/edit?usp=sharing  #gid=0"",""фіз особи new!relations_name""),6,FALSE)
,
(IF
(
C3699=""юридична особа""
,
VLOOKUP"&amp;"(D3699,IMPORTRANGE(""https://docs.google.com/spreadsheets/d/14Bd19lYaqBhU8_DElYkX7l4wRkHqqCUFNJY4AfY3kHU/edit?usp=sharing  #gid=0"",""фіз особи new!relations_name_uo""),7,FALSE)
,
)
))"),"КАРЯКІН Сергій Олександрович")</f>
        <v>КАРЯКІН Сергій Олександрович</v>
      </c>
      <c r="G3698" s="7" t="s">
        <v>10</v>
      </c>
      <c r="H3698" s="7">
        <v>0</v>
      </c>
      <c r="I3698" s="8" t="str">
        <f ca="1">IFERROR(__xludf.DUMMYFUNCTION("IF
(
G3699=""фізична особа""
,
VLOOKUP(H3699,IMPORTRANGE(""https://docs.google.com/spreadsheets/d/14Bd19lYaqBhU8_DElYkX7l4wRkHqqCUFNJY4AfY3kHU/edit?usp=sharing  #gid=0"",""фіз особи new!relations_name""),6,FALSE)
,
(IF
(
G3699=""юридична особа""
,
VLOOKUP"&amp;"(H3699,IMPORTRANGE(""https://docs.google.com/spreadsheets/d/14Bd19lYaqBhU8_DElYkX7l4wRkHqqCUFNJY4AfY3kHU/edit?usp=sharing  #gid=0"",""фіз особи new!relations_name_uo""),7,FALSE)
,
)
))"),"#N/A")</f>
        <v>#N/A</v>
      </c>
      <c r="J3698" s="7" t="s">
        <v>15</v>
      </c>
    </row>
    <row r="3699" spans="1:10" ht="13.2">
      <c r="A3699" s="7">
        <v>3698</v>
      </c>
      <c r="B3699" s="7">
        <v>1</v>
      </c>
      <c r="C3699" s="7" t="s">
        <v>10</v>
      </c>
      <c r="D3699" s="7">
        <v>2191</v>
      </c>
      <c r="E3699" s="7" t="s">
        <v>14</v>
      </c>
      <c r="F3699" s="8" t="str">
        <f ca="1">IFERROR(__xludf.DUMMYFUNCTION("IF
(
C3700=""фізична особа""
,
VLOOKUP(D3700,IMPORTRANGE(""https://docs.google.com/spreadsheets/d/14Bd19lYaqBhU8_DElYkX7l4wRkHqqCUFNJY4AfY3kHU/edit?usp=sharing  #gid=0"",""фіз особи new!relations_name""),6,FALSE)
,
(IF
(
C3700=""юридична особа""
,
VLOOKUP"&amp;"(D3700,IMPORTRANGE(""https://docs.google.com/spreadsheets/d/14Bd19lYaqBhU8_DElYkX7l4wRkHqqCUFNJY4AfY3kHU/edit?usp=sharing  #gid=0"",""фіз особи new!relations_name_uo""),7,FALSE)
,
)
))"),"КОСТОМАРОВ Роман Сергійович")</f>
        <v>КОСТОМАРОВ Роман Сергійович</v>
      </c>
      <c r="G3699" s="7" t="s">
        <v>10</v>
      </c>
      <c r="H3699" s="7">
        <v>0</v>
      </c>
      <c r="I3699" s="8" t="str">
        <f ca="1">IFERROR(__xludf.DUMMYFUNCTION("IF
(
G3700=""фізична особа""
,
VLOOKUP(H3700,IMPORTRANGE(""https://docs.google.com/spreadsheets/d/14Bd19lYaqBhU8_DElYkX7l4wRkHqqCUFNJY4AfY3kHU/edit?usp=sharing  #gid=0"",""фіз особи new!relations_name""),6,FALSE)
,
(IF
(
G3700=""юридична особа""
,
VLOOKUP"&amp;"(H3700,IMPORTRANGE(""https://docs.google.com/spreadsheets/d/14Bd19lYaqBhU8_DElYkX7l4wRkHqqCUFNJY4AfY3kHU/edit?usp=sharing  #gid=0"",""фіз особи new!relations_name_uo""),7,FALSE)
,
)
))"),"#N/A")</f>
        <v>#N/A</v>
      </c>
      <c r="J3699" s="7" t="s">
        <v>15</v>
      </c>
    </row>
    <row r="3700" spans="1:10" ht="13.2">
      <c r="A3700" s="7">
        <v>3699</v>
      </c>
      <c r="B3700" s="7">
        <v>1</v>
      </c>
      <c r="C3700" s="7" t="s">
        <v>10</v>
      </c>
      <c r="D3700" s="7">
        <v>2191</v>
      </c>
      <c r="E3700" s="7" t="s">
        <v>12</v>
      </c>
      <c r="F3700" s="8" t="str">
        <f ca="1">IFERROR(__xludf.DUMMYFUNCTION("IF
(
C3701=""фізична особа""
,
VLOOKUP(D3701,IMPORTRANGE(""https://docs.google.com/spreadsheets/d/14Bd19lYaqBhU8_DElYkX7l4wRkHqqCUFNJY4AfY3kHU/edit?usp=sharing  #gid=0"",""фіз особи new!relations_name""),6,FALSE)
,
(IF
(
C3701=""юридична особа""
,
VLOOKUP"&amp;"(D3701,IMPORTRANGE(""https://docs.google.com/spreadsheets/d/14Bd19lYaqBhU8_DElYkX7l4wRkHqqCUFNJY4AfY3kHU/edit?usp=sharing  #gid=0"",""фіз особи new!relations_name_uo""),7,FALSE)
,
)
))"),"КОСТОМАРОВ Роман Сергійович")</f>
        <v>КОСТОМАРОВ Роман Сергійович</v>
      </c>
      <c r="G3700" s="7" t="s">
        <v>10</v>
      </c>
      <c r="H3700" s="7">
        <v>0</v>
      </c>
      <c r="I3700" s="8" t="str">
        <f ca="1">IFERROR(__xludf.DUMMYFUNCTION("IF
(
G3701=""фізична особа""
,
VLOOKUP(H3701,IMPORTRANGE(""https://docs.google.com/spreadsheets/d/14Bd19lYaqBhU8_DElYkX7l4wRkHqqCUFNJY4AfY3kHU/edit?usp=sharing  #gid=0"",""фіз особи new!relations_name""),6,FALSE)
,
(IF
(
G3701=""юридична особа""
,
VLOOKUP"&amp;"(H3701,IMPORTRANGE(""https://docs.google.com/spreadsheets/d/14Bd19lYaqBhU8_DElYkX7l4wRkHqqCUFNJY4AfY3kHU/edit?usp=sharing  #gid=0"",""фіз особи new!relations_name_uo""),7,FALSE)
,
)
))"),"#N/A")</f>
        <v>#N/A</v>
      </c>
      <c r="J3700" s="7" t="s">
        <v>13</v>
      </c>
    </row>
    <row r="3701" spans="1:10" ht="13.2">
      <c r="A3701" s="7">
        <v>3700</v>
      </c>
      <c r="B3701" s="7">
        <v>1</v>
      </c>
      <c r="C3701" s="7" t="s">
        <v>10</v>
      </c>
      <c r="D3701" s="7">
        <v>2191</v>
      </c>
      <c r="E3701" s="7" t="s">
        <v>12</v>
      </c>
      <c r="F3701" s="8" t="str">
        <f ca="1">IFERROR(__xludf.DUMMYFUNCTION("IF
(
C3702=""фізична особа""
,
VLOOKUP(D3702,IMPORTRANGE(""https://docs.google.com/spreadsheets/d/14Bd19lYaqBhU8_DElYkX7l4wRkHqqCUFNJY4AfY3kHU/edit?usp=sharing  #gid=0"",""фіз особи new!relations_name""),6,FALSE)
,
(IF
(
C3702=""юридична особа""
,
VLOOKUP"&amp;"(D3702,IMPORTRANGE(""https://docs.google.com/spreadsheets/d/14Bd19lYaqBhU8_DElYkX7l4wRkHqqCUFNJY4AfY3kHU/edit?usp=sharing  #gid=0"",""фіз особи new!relations_name_uo""),7,FALSE)
,
)
))"),"КОСТОМАРОВ Роман Сергійович")</f>
        <v>КОСТОМАРОВ Роман Сергійович</v>
      </c>
      <c r="G3701" s="7" t="s">
        <v>10</v>
      </c>
      <c r="H3701" s="7">
        <v>0</v>
      </c>
      <c r="I3701" s="8" t="str">
        <f ca="1">IFERROR(__xludf.DUMMYFUNCTION("IF
(
G3702=""фізична особа""
,
VLOOKUP(H3702,IMPORTRANGE(""https://docs.google.com/spreadsheets/d/14Bd19lYaqBhU8_DElYkX7l4wRkHqqCUFNJY4AfY3kHU/edit?usp=sharing  #gid=0"",""фіз особи new!relations_name""),6,FALSE)
,
(IF
(
G3702=""юридична особа""
,
VLOOKUP"&amp;"(H3702,IMPORTRANGE(""https://docs.google.com/spreadsheets/d/14Bd19lYaqBhU8_DElYkX7l4wRkHqqCUFNJY4AfY3kHU/edit?usp=sharing  #gid=0"",""фіз особи new!relations_name_uo""),7,FALSE)
,
)
))"),"#N/A")</f>
        <v>#N/A</v>
      </c>
      <c r="J3701" s="7" t="s">
        <v>17</v>
      </c>
    </row>
    <row r="3702" spans="1:10" ht="13.2">
      <c r="A3702" s="7">
        <v>3701</v>
      </c>
      <c r="B3702" s="7">
        <v>1</v>
      </c>
      <c r="C3702" s="7" t="s">
        <v>10</v>
      </c>
      <c r="D3702" s="7">
        <v>2192</v>
      </c>
      <c r="E3702" s="7" t="s">
        <v>14</v>
      </c>
      <c r="F3702" s="8" t="str">
        <f ca="1">IFERROR(__xludf.DUMMYFUNCTION("IF
(
C3703=""фізична особа""
,
VLOOKUP(D3703,IMPORTRANGE(""https://docs.google.com/spreadsheets/d/14Bd19lYaqBhU8_DElYkX7l4wRkHqqCUFNJY4AfY3kHU/edit?usp=sharing  #gid=0"",""фіз особи new!relations_name""),6,FALSE)
,
(IF
(
C3703=""юридична особа""
,
VLOOKUP"&amp;"(D3703,IMPORTRANGE(""https://docs.google.com/spreadsheets/d/14Bd19lYaqBhU8_DElYkX7l4wRkHqqCUFNJY4AfY3kHU/edit?usp=sharing  #gid=0"",""фіз особи new!relations_name_uo""),7,FALSE)
,
)
))"),"БОЧКАРЬОВ Василь Іванович")</f>
        <v>БОЧКАРЬОВ Василь Іванович</v>
      </c>
      <c r="G3702" s="7" t="s">
        <v>10</v>
      </c>
      <c r="H3702" s="7">
        <v>0</v>
      </c>
      <c r="I3702" s="8" t="str">
        <f ca="1">IFERROR(__xludf.DUMMYFUNCTION("IF
(
G3703=""фізична особа""
,
VLOOKUP(H3703,IMPORTRANGE(""https://docs.google.com/spreadsheets/d/14Bd19lYaqBhU8_DElYkX7l4wRkHqqCUFNJY4AfY3kHU/edit?usp=sharing  #gid=0"",""фіз особи new!relations_name""),6,FALSE)
,
(IF
(
G3703=""юридична особа""
,
VLOOKUP"&amp;"(H3703,IMPORTRANGE(""https://docs.google.com/spreadsheets/d/14Bd19lYaqBhU8_DElYkX7l4wRkHqqCUFNJY4AfY3kHU/edit?usp=sharing  #gid=0"",""фіз особи new!relations_name_uo""),7,FALSE)
,
)
))"),"#N/A")</f>
        <v>#N/A</v>
      </c>
      <c r="J3702" s="7" t="s">
        <v>15</v>
      </c>
    </row>
    <row r="3703" spans="1:10" ht="13.2">
      <c r="A3703" s="7">
        <v>3702</v>
      </c>
      <c r="B3703" s="7">
        <v>1</v>
      </c>
      <c r="C3703" s="7" t="s">
        <v>10</v>
      </c>
      <c r="D3703" s="7">
        <v>2192</v>
      </c>
      <c r="E3703" s="7" t="s">
        <v>12</v>
      </c>
      <c r="F3703" s="8" t="str">
        <f ca="1">IFERROR(__xludf.DUMMYFUNCTION("IF
(
C3704=""фізична особа""
,
VLOOKUP(D3704,IMPORTRANGE(""https://docs.google.com/spreadsheets/d/14Bd19lYaqBhU8_DElYkX7l4wRkHqqCUFNJY4AfY3kHU/edit?usp=sharing  #gid=0"",""фіз особи new!relations_name""),6,FALSE)
,
(IF
(
C3704=""юридична особа""
,
VLOOKUP"&amp;"(D3704,IMPORTRANGE(""https://docs.google.com/spreadsheets/d/14Bd19lYaqBhU8_DElYkX7l4wRkHqqCUFNJY4AfY3kHU/edit?usp=sharing  #gid=0"",""фіз особи new!relations_name_uo""),7,FALSE)
,
)
))"),"БОЧКАРЬОВ Василь Іванович")</f>
        <v>БОЧКАРЬОВ Василь Іванович</v>
      </c>
      <c r="G3703" s="7" t="s">
        <v>10</v>
      </c>
      <c r="H3703" s="7">
        <v>0</v>
      </c>
      <c r="I3703" s="8" t="str">
        <f ca="1">IFERROR(__xludf.DUMMYFUNCTION("IF
(
G3704=""фізична особа""
,
VLOOKUP(H3704,IMPORTRANGE(""https://docs.google.com/spreadsheets/d/14Bd19lYaqBhU8_DElYkX7l4wRkHqqCUFNJY4AfY3kHU/edit?usp=sharing  #gid=0"",""фіз особи new!relations_name""),6,FALSE)
,
(IF
(
G3704=""юридична особа""
,
VLOOKUP"&amp;"(H3704,IMPORTRANGE(""https://docs.google.com/spreadsheets/d/14Bd19lYaqBhU8_DElYkX7l4wRkHqqCUFNJY4AfY3kHU/edit?usp=sharing  #gid=0"",""фіз особи new!relations_name_uo""),7,FALSE)
,
)
))"),"#N/A")</f>
        <v>#N/A</v>
      </c>
      <c r="J3703" s="7" t="s">
        <v>13</v>
      </c>
    </row>
    <row r="3704" spans="1:10" ht="13.2">
      <c r="A3704" s="7">
        <v>3703</v>
      </c>
      <c r="B3704" s="7">
        <v>1</v>
      </c>
      <c r="C3704" s="7" t="s">
        <v>10</v>
      </c>
      <c r="D3704" s="7">
        <v>2193</v>
      </c>
      <c r="E3704" s="7" t="s">
        <v>21</v>
      </c>
      <c r="F3704" s="8" t="str">
        <f ca="1">IFERROR(__xludf.DUMMYFUNCTION("IF
(
C3705=""фізична особа""
,
VLOOKUP(D3705,IMPORTRANGE(""https://docs.google.com/spreadsheets/d/14Bd19lYaqBhU8_DElYkX7l4wRkHqqCUFNJY4AfY3kHU/edit?usp=sharing  #gid=0"",""фіз особи new!relations_name""),6,FALSE)
,
(IF
(
C3705=""юридична особа""
,
VLOOKUP"&amp;"(D3705,IMPORTRANGE(""https://docs.google.com/spreadsheets/d/14Bd19lYaqBhU8_DElYkX7l4wRkHqqCUFNJY4AfY3kHU/edit?usp=sharing  #gid=0"",""фіз особи new!relations_name_uo""),7,FALSE)
,
)
))"),"ЧИЧЕРІНА Юлія Дмитрівна")</f>
        <v>ЧИЧЕРІНА Юлія Дмитрівна</v>
      </c>
      <c r="G3704" s="7" t="s">
        <v>10</v>
      </c>
      <c r="H3704" s="7">
        <v>0</v>
      </c>
      <c r="I3704" s="8" t="str">
        <f ca="1">IFERROR(__xludf.DUMMYFUNCTION("IF
(
G3705=""фізична особа""
,
VLOOKUP(H3705,IMPORTRANGE(""https://docs.google.com/spreadsheets/d/14Bd19lYaqBhU8_DElYkX7l4wRkHqqCUFNJY4AfY3kHU/edit?usp=sharing  #gid=0"",""фіз особи new!relations_name""),6,FALSE)
,
(IF
(
G3705=""юридична особа""
,
VLOOKUP"&amp;"(H3705,IMPORTRANGE(""https://docs.google.com/spreadsheets/d/14Bd19lYaqBhU8_DElYkX7l4wRkHqqCUFNJY4AfY3kHU/edit?usp=sharing  #gid=0"",""фіз особи new!relations_name_uo""),7,FALSE)
,
)
))"),"#N/A")</f>
        <v>#N/A</v>
      </c>
      <c r="J3704" s="7" t="s">
        <v>13</v>
      </c>
    </row>
    <row r="3705" spans="1:10" ht="13.2">
      <c r="A3705" s="7">
        <v>3704</v>
      </c>
      <c r="B3705" s="7">
        <v>1</v>
      </c>
      <c r="C3705" s="7" t="s">
        <v>10</v>
      </c>
      <c r="D3705" s="7">
        <v>2193</v>
      </c>
      <c r="E3705" s="7" t="s">
        <v>15</v>
      </c>
      <c r="F3705" s="8" t="str">
        <f ca="1">IFERROR(__xludf.DUMMYFUNCTION("IF
(
C3706=""фізична особа""
,
VLOOKUP(D3706,IMPORTRANGE(""https://docs.google.com/spreadsheets/d/14Bd19lYaqBhU8_DElYkX7l4wRkHqqCUFNJY4AfY3kHU/edit?usp=sharing  #gid=0"",""фіз особи new!relations_name""),6,FALSE)
,
(IF
(
C3706=""юридична особа""
,
VLOOKUP"&amp;"(D3706,IMPORTRANGE(""https://docs.google.com/spreadsheets/d/14Bd19lYaqBhU8_DElYkX7l4wRkHqqCUFNJY4AfY3kHU/edit?usp=sharing  #gid=0"",""фіз особи new!relations_name_uo""),7,FALSE)
,
)
))"),"ЧИЧЕРІНА Юлія Дмитрівна")</f>
        <v>ЧИЧЕРІНА Юлія Дмитрівна</v>
      </c>
      <c r="G3705" s="7" t="s">
        <v>10</v>
      </c>
      <c r="H3705" s="7">
        <v>0</v>
      </c>
      <c r="I3705" s="8" t="str">
        <f ca="1">IFERROR(__xludf.DUMMYFUNCTION("IF
(
G3706=""фізична особа""
,
VLOOKUP(H3706,IMPORTRANGE(""https://docs.google.com/spreadsheets/d/14Bd19lYaqBhU8_DElYkX7l4wRkHqqCUFNJY4AfY3kHU/edit?usp=sharing  #gid=0"",""фіз особи new!relations_name""),6,FALSE)
,
(IF
(
G3706=""юридична особа""
,
VLOOKUP"&amp;"(H3706,IMPORTRANGE(""https://docs.google.com/spreadsheets/d/14Bd19lYaqBhU8_DElYkX7l4wRkHqqCUFNJY4AfY3kHU/edit?usp=sharing  #gid=0"",""фіз особи new!relations_name_uo""),7,FALSE)
,
)
))"),"#N/A")</f>
        <v>#N/A</v>
      </c>
      <c r="J3705" s="7" t="s">
        <v>14</v>
      </c>
    </row>
    <row r="3706" spans="1:10" ht="13.2">
      <c r="A3706" s="7">
        <v>3705</v>
      </c>
      <c r="B3706" s="7">
        <v>1</v>
      </c>
      <c r="C3706" s="7" t="s">
        <v>10</v>
      </c>
      <c r="D3706" s="7">
        <v>2195</v>
      </c>
      <c r="E3706" s="7" t="s">
        <v>14</v>
      </c>
      <c r="F3706" s="8" t="str">
        <f ca="1">IFERROR(__xludf.DUMMYFUNCTION("IF
(
C3707=""фізична особа""
,
VLOOKUP(D3707,IMPORTRANGE(""https://docs.google.com/spreadsheets/d/14Bd19lYaqBhU8_DElYkX7l4wRkHqqCUFNJY4AfY3kHU/edit?usp=sharing  #gid=0"",""фіз особи new!relations_name""),6,FALSE)
,
(IF
(
C3707=""юридична особа""
,
VLOOKUP"&amp;"(D3707,IMPORTRANGE(""https://docs.google.com/spreadsheets/d/14Bd19lYaqBhU8_DElYkX7l4wRkHqqCUFNJY4AfY3kHU/edit?usp=sharing  #gid=0"",""фіз особи new!relations_name_uo""),7,FALSE)
,
)
))"),"ЗАХАРЧЕНКО Віктор Гаврилович")</f>
        <v>ЗАХАРЧЕНКО Віктор Гаврилович</v>
      </c>
      <c r="G3706" s="7" t="s">
        <v>10</v>
      </c>
      <c r="H3706" s="7">
        <v>0</v>
      </c>
      <c r="I3706" s="8" t="str">
        <f ca="1">IFERROR(__xludf.DUMMYFUNCTION("IF
(
G3707=""фізична особа""
,
VLOOKUP(H3707,IMPORTRANGE(""https://docs.google.com/spreadsheets/d/14Bd19lYaqBhU8_DElYkX7l4wRkHqqCUFNJY4AfY3kHU/edit?usp=sharing  #gid=0"",""фіз особи new!relations_name""),6,FALSE)
,
(IF
(
G3707=""юридична особа""
,
VLOOKUP"&amp;"(H3707,IMPORTRANGE(""https://docs.google.com/spreadsheets/d/14Bd19lYaqBhU8_DElYkX7l4wRkHqqCUFNJY4AfY3kHU/edit?usp=sharing  #gid=0"",""фіз особи new!relations_name_uo""),7,FALSE)
,
)
))"),"#N/A")</f>
        <v>#N/A</v>
      </c>
      <c r="J3706" s="7" t="s">
        <v>15</v>
      </c>
    </row>
    <row r="3707" spans="1:10" ht="13.2">
      <c r="A3707" s="7">
        <v>3706</v>
      </c>
      <c r="B3707" s="7">
        <v>1</v>
      </c>
      <c r="C3707" s="7" t="s">
        <v>10</v>
      </c>
      <c r="D3707" s="7">
        <v>2195</v>
      </c>
      <c r="E3707" s="7" t="s">
        <v>12</v>
      </c>
      <c r="F3707" s="8" t="str">
        <f ca="1">IFERROR(__xludf.DUMMYFUNCTION("IF
(
C3708=""фізична особа""
,
VLOOKUP(D3708,IMPORTRANGE(""https://docs.google.com/spreadsheets/d/14Bd19lYaqBhU8_DElYkX7l4wRkHqqCUFNJY4AfY3kHU/edit?usp=sharing  #gid=0"",""фіз особи new!relations_name""),6,FALSE)
,
(IF
(
C3708=""юридична особа""
,
VLOOKUP"&amp;"(D3708,IMPORTRANGE(""https://docs.google.com/spreadsheets/d/14Bd19lYaqBhU8_DElYkX7l4wRkHqqCUFNJY4AfY3kHU/edit?usp=sharing  #gid=0"",""фіз особи new!relations_name_uo""),7,FALSE)
,
)
))"),"ЗАХАРЧЕНКО Віктор Гаврилович")</f>
        <v>ЗАХАРЧЕНКО Віктор Гаврилович</v>
      </c>
      <c r="G3707" s="7" t="s">
        <v>10</v>
      </c>
      <c r="H3707" s="7">
        <v>0</v>
      </c>
      <c r="I3707" s="8" t="str">
        <f ca="1">IFERROR(__xludf.DUMMYFUNCTION("IF
(
G3708=""фізична особа""
,
VLOOKUP(H3708,IMPORTRANGE(""https://docs.google.com/spreadsheets/d/14Bd19lYaqBhU8_DElYkX7l4wRkHqqCUFNJY4AfY3kHU/edit?usp=sharing  #gid=0"",""фіз особи new!relations_name""),6,FALSE)
,
(IF
(
G3708=""юридична особа""
,
VLOOKUP"&amp;"(H3708,IMPORTRANGE(""https://docs.google.com/spreadsheets/d/14Bd19lYaqBhU8_DElYkX7l4wRkHqqCUFNJY4AfY3kHU/edit?usp=sharing  #gid=0"",""фіз особи new!relations_name_uo""),7,FALSE)
,
)
))"),"#N/A")</f>
        <v>#N/A</v>
      </c>
      <c r="J3707" s="7" t="s">
        <v>13</v>
      </c>
    </row>
    <row r="3708" spans="1:10" ht="13.2">
      <c r="A3708" s="7">
        <v>3707</v>
      </c>
      <c r="B3708" s="7">
        <v>1</v>
      </c>
      <c r="C3708" s="7" t="s">
        <v>10</v>
      </c>
      <c r="D3708" s="7">
        <v>2195</v>
      </c>
      <c r="E3708" s="7" t="s">
        <v>12</v>
      </c>
      <c r="F3708" s="8" t="str">
        <f ca="1">IFERROR(__xludf.DUMMYFUNCTION("IF
(
C3709=""фізична особа""
,
VLOOKUP(D3709,IMPORTRANGE(""https://docs.google.com/spreadsheets/d/14Bd19lYaqBhU8_DElYkX7l4wRkHqqCUFNJY4AfY3kHU/edit?usp=sharing  #gid=0"",""фіз особи new!relations_name""),6,FALSE)
,
(IF
(
C3709=""юридична особа""
,
VLOOKUP"&amp;"(D3709,IMPORTRANGE(""https://docs.google.com/spreadsheets/d/14Bd19lYaqBhU8_DElYkX7l4wRkHqqCUFNJY4AfY3kHU/edit?usp=sharing  #gid=0"",""фіз особи new!relations_name_uo""),7,FALSE)
,
)
))"),"ЗАХАРЧЕНКО Віктор Гаврилович")</f>
        <v>ЗАХАРЧЕНКО Віктор Гаврилович</v>
      </c>
      <c r="G3708" s="7" t="s">
        <v>10</v>
      </c>
      <c r="H3708" s="7">
        <v>0</v>
      </c>
      <c r="I3708" s="8" t="str">
        <f ca="1">IFERROR(__xludf.DUMMYFUNCTION("IF
(
G3709=""фізична особа""
,
VLOOKUP(H3709,IMPORTRANGE(""https://docs.google.com/spreadsheets/d/14Bd19lYaqBhU8_DElYkX7l4wRkHqqCUFNJY4AfY3kHU/edit?usp=sharing  #gid=0"",""фіз особи new!relations_name""),6,FALSE)
,
(IF
(
G3709=""юридична особа""
,
VLOOKUP"&amp;"(H3709,IMPORTRANGE(""https://docs.google.com/spreadsheets/d/14Bd19lYaqBhU8_DElYkX7l4wRkHqqCUFNJY4AfY3kHU/edit?usp=sharing  #gid=0"",""фіз особи new!relations_name_uo""),7,FALSE)
,
)
))"),"#N/A")</f>
        <v>#N/A</v>
      </c>
      <c r="J3708" s="7" t="s">
        <v>13</v>
      </c>
    </row>
    <row r="3709" spans="1:10" ht="13.2">
      <c r="A3709" s="7">
        <v>3708</v>
      </c>
      <c r="B3709" s="7">
        <v>1</v>
      </c>
      <c r="C3709" s="7" t="s">
        <v>10</v>
      </c>
      <c r="D3709" s="7">
        <v>2195</v>
      </c>
      <c r="E3709" s="7" t="s">
        <v>12</v>
      </c>
      <c r="F3709" s="8" t="str">
        <f ca="1">IFERROR(__xludf.DUMMYFUNCTION("IF
(
C3710=""фізична особа""
,
VLOOKUP(D3710,IMPORTRANGE(""https://docs.google.com/spreadsheets/d/14Bd19lYaqBhU8_DElYkX7l4wRkHqqCUFNJY4AfY3kHU/edit?usp=sharing  #gid=0"",""фіз особи new!relations_name""),6,FALSE)
,
(IF
(
C3710=""юридична особа""
,
VLOOKUP"&amp;"(D3710,IMPORTRANGE(""https://docs.google.com/spreadsheets/d/14Bd19lYaqBhU8_DElYkX7l4wRkHqqCUFNJY4AfY3kHU/edit?usp=sharing  #gid=0"",""фіз особи new!relations_name_uo""),7,FALSE)
,
)
))"),"ЗАХАРЧЕНКО Віктор Гаврилович")</f>
        <v>ЗАХАРЧЕНКО Віктор Гаврилович</v>
      </c>
      <c r="G3709" s="7" t="s">
        <v>10</v>
      </c>
      <c r="H3709" s="7">
        <v>0</v>
      </c>
      <c r="I3709" s="8" t="str">
        <f ca="1">IFERROR(__xludf.DUMMYFUNCTION("IF
(
G3710=""фізична особа""
,
VLOOKUP(H3710,IMPORTRANGE(""https://docs.google.com/spreadsheets/d/14Bd19lYaqBhU8_DElYkX7l4wRkHqqCUFNJY4AfY3kHU/edit?usp=sharing  #gid=0"",""фіз особи new!relations_name""),6,FALSE)
,
(IF
(
G3710=""юридична особа""
,
VLOOKUP"&amp;"(H3710,IMPORTRANGE(""https://docs.google.com/spreadsheets/d/14Bd19lYaqBhU8_DElYkX7l4wRkHqqCUFNJY4AfY3kHU/edit?usp=sharing  #gid=0"",""фіз особи new!relations_name_uo""),7,FALSE)
,
)
))"),"#N/A")</f>
        <v>#N/A</v>
      </c>
      <c r="J3709" s="7" t="s">
        <v>13</v>
      </c>
    </row>
    <row r="3710" spans="1:10" ht="13.2">
      <c r="A3710" s="7">
        <v>3709</v>
      </c>
      <c r="B3710" s="7">
        <v>1</v>
      </c>
      <c r="C3710" s="7" t="s">
        <v>10</v>
      </c>
      <c r="D3710" s="7">
        <v>2196</v>
      </c>
      <c r="E3710" s="7" t="s">
        <v>18</v>
      </c>
      <c r="F3710" s="8" t="str">
        <f ca="1">IFERROR(__xludf.DUMMYFUNCTION("IF
(
C3711=""фізична особа""
,
VLOOKUP(D3711,IMPORTRANGE(""https://docs.google.com/spreadsheets/d/14Bd19lYaqBhU8_DElYkX7l4wRkHqqCUFNJY4AfY3kHU/edit?usp=sharing  #gid=0"",""фіз особи new!relations_name""),6,FALSE)
,
(IF
(
C3711=""юридична особа""
,
VLOOKUP"&amp;"(D3711,IMPORTRANGE(""https://docs.google.com/spreadsheets/d/14Bd19lYaqBhU8_DElYkX7l4wRkHqqCUFNJY4AfY3kHU/edit?usp=sharing  #gid=0"",""фіз особи new!relations_name_uo""),7,FALSE)
,
)
))"),"СУЛЕЙМАНОВ Магомед Валібагандович")</f>
        <v>СУЛЕЙМАНОВ Магомед Валібагандович</v>
      </c>
      <c r="G3710" s="7" t="s">
        <v>10</v>
      </c>
      <c r="H3710" s="7">
        <v>0</v>
      </c>
      <c r="I3710" s="8" t="str">
        <f ca="1">IFERROR(__xludf.DUMMYFUNCTION("IF
(
G3711=""фізична особа""
,
VLOOKUP(H3711,IMPORTRANGE(""https://docs.google.com/spreadsheets/d/14Bd19lYaqBhU8_DElYkX7l4wRkHqqCUFNJY4AfY3kHU/edit?usp=sharing  #gid=0"",""фіз особи new!relations_name""),6,FALSE)
,
(IF
(
G3711=""юридична особа""
,
VLOOKUP"&amp;"(H3711,IMPORTRANGE(""https://docs.google.com/spreadsheets/d/14Bd19lYaqBhU8_DElYkX7l4wRkHqqCUFNJY4AfY3kHU/edit?usp=sharing  #gid=0"",""фіз особи new!relations_name_uo""),7,FALSE)
,
)
))"),"#N/A")</f>
        <v>#N/A</v>
      </c>
      <c r="J3710" s="7" t="s">
        <v>18</v>
      </c>
    </row>
    <row r="3711" spans="1:10" ht="13.2">
      <c r="A3711" s="7">
        <v>3710</v>
      </c>
      <c r="B3711" s="7">
        <v>1</v>
      </c>
      <c r="C3711" s="7" t="s">
        <v>10</v>
      </c>
      <c r="D3711" s="7">
        <v>2196</v>
      </c>
      <c r="E3711" s="7" t="s">
        <v>44</v>
      </c>
      <c r="F3711" s="8" t="str">
        <f ca="1">IFERROR(__xludf.DUMMYFUNCTION("IF
(
C3712=""фізична особа""
,
VLOOKUP(D3712,IMPORTRANGE(""https://docs.google.com/spreadsheets/d/14Bd19lYaqBhU8_DElYkX7l4wRkHqqCUFNJY4AfY3kHU/edit?usp=sharing  #gid=0"",""фіз особи new!relations_name""),6,FALSE)
,
(IF
(
C3712=""юридична особа""
,
VLOOKUP"&amp;"(D3712,IMPORTRANGE(""https://docs.google.com/spreadsheets/d/14Bd19lYaqBhU8_DElYkX7l4wRkHqqCUFNJY4AfY3kHU/edit?usp=sharing  #gid=0"",""фіз особи new!relations_name_uo""),7,FALSE)
,
)
))"),"СУЛЕЙМАНОВ Магомед Валібагандович")</f>
        <v>СУЛЕЙМАНОВ Магомед Валібагандович</v>
      </c>
      <c r="G3711" s="7" t="s">
        <v>10</v>
      </c>
      <c r="H3711" s="7">
        <v>0</v>
      </c>
      <c r="I3711" s="8" t="str">
        <f ca="1">IFERROR(__xludf.DUMMYFUNCTION("IF
(
G3712=""фізична особа""
,
VLOOKUP(H3712,IMPORTRANGE(""https://docs.google.com/spreadsheets/d/14Bd19lYaqBhU8_DElYkX7l4wRkHqqCUFNJY4AfY3kHU/edit?usp=sharing  #gid=0"",""фіз особи new!relations_name""),6,FALSE)
,
(IF
(
G3712=""юридична особа""
,
VLOOKUP"&amp;"(H3712,IMPORTRANGE(""https://docs.google.com/spreadsheets/d/14Bd19lYaqBhU8_DElYkX7l4wRkHqqCUFNJY4AfY3kHU/edit?usp=sharing  #gid=0"",""фіз особи new!relations_name_uo""),7,FALSE)
,
)
))"),"#N/A")</f>
        <v>#N/A</v>
      </c>
      <c r="J3711" s="7" t="s">
        <v>44</v>
      </c>
    </row>
    <row r="3712" spans="1:10" ht="13.2">
      <c r="A3712" s="7">
        <v>3711</v>
      </c>
      <c r="B3712" s="7">
        <v>1</v>
      </c>
      <c r="C3712" s="7" t="s">
        <v>10</v>
      </c>
      <c r="D3712" s="7">
        <v>2201</v>
      </c>
      <c r="E3712" s="7" t="s">
        <v>17</v>
      </c>
      <c r="F3712" s="8" t="str">
        <f ca="1">IFERROR(__xludf.DUMMYFUNCTION("IF
(
C3713=""фізична особа""
,
VLOOKUP(D3713,IMPORTRANGE(""https://docs.google.com/spreadsheets/d/14Bd19lYaqBhU8_DElYkX7l4wRkHqqCUFNJY4AfY3kHU/edit?usp=sharing  #gid=0"",""фіз особи new!relations_name""),6,FALSE)
,
(IF
(
C3713=""юридична особа""
,
VLOOKUP"&amp;"(D3713,IMPORTRANGE(""https://docs.google.com/spreadsheets/d/14Bd19lYaqBhU8_DElYkX7l4wRkHqqCUFNJY4AfY3kHU/edit?usp=sharing  #gid=0"",""фіз особи new!relations_name_uo""),7,FALSE)
,
)
))"),"ГАБРЕЛЯНОВ Ашот Арамович")</f>
        <v>ГАБРЕЛЯНОВ Ашот Арамович</v>
      </c>
      <c r="G3712" s="7" t="s">
        <v>10</v>
      </c>
      <c r="H3712" s="7">
        <v>8610</v>
      </c>
      <c r="I3712" s="8" t="str">
        <f ca="1">IFERROR(__xludf.DUMMYFUNCTION("IF
(
G3713=""фізична особа""
,
VLOOKUP(H3713,IMPORTRANGE(""https://docs.google.com/spreadsheets/d/14Bd19lYaqBhU8_DElYkX7l4wRkHqqCUFNJY4AfY3kHU/edit?usp=sharing  #gid=0"",""фіз особи new!relations_name""),6,FALSE)
,
(IF
(
G3713=""юридична особа""
,
VLOOKUP"&amp;"(H3713,IMPORTRANGE(""https://docs.google.com/spreadsheets/d/14Bd19lYaqBhU8_DElYkX7l4wRkHqqCUFNJY4AfY3kHU/edit?usp=sharing  #gid=0"",""фіз особи new!relations_name_uo""),7,FALSE)
,
)
))"),"ГАБРЕЛЯНОВ Арам Ашотович")</f>
        <v>ГАБРЕЛЯНОВ Арам Ашотович</v>
      </c>
      <c r="J3712" s="7" t="s">
        <v>12</v>
      </c>
    </row>
    <row r="3713" spans="1:10" ht="13.2">
      <c r="A3713" s="7">
        <v>3712</v>
      </c>
      <c r="B3713" s="7">
        <v>1</v>
      </c>
      <c r="C3713" s="7" t="s">
        <v>10</v>
      </c>
      <c r="D3713" s="7">
        <v>2215</v>
      </c>
      <c r="E3713" s="7" t="s">
        <v>14</v>
      </c>
      <c r="F3713" s="8" t="str">
        <f ca="1">IFERROR(__xludf.DUMMYFUNCTION("IF
(
C3714=""фізична особа""
,
VLOOKUP(D3714,IMPORTRANGE(""https://docs.google.com/spreadsheets/d/14Bd19lYaqBhU8_DElYkX7l4wRkHqqCUFNJY4AfY3kHU/edit?usp=sharing  #gid=0"",""фіз особи new!relations_name""),6,FALSE)
,
(IF
(
C3714=""юридична особа""
,
VLOOKUP"&amp;"(D3714,IMPORTRANGE(""https://docs.google.com/spreadsheets/d/14Bd19lYaqBhU8_DElYkX7l4wRkHqqCUFNJY4AfY3kHU/edit?usp=sharing  #gid=0"",""фіз особи new!relations_name_uo""),7,FALSE)
,
)
))"),"ШАРІЙ Анатолій Анатолійович")</f>
        <v>ШАРІЙ Анатолій Анатолійович</v>
      </c>
      <c r="G3713" s="7" t="s">
        <v>10</v>
      </c>
      <c r="H3713" s="7">
        <v>15416</v>
      </c>
      <c r="I3713" s="8" t="str">
        <f ca="1">IFERROR(__xludf.DUMMYFUNCTION("IF
(
G3714=""фізична особа""
,
VLOOKUP(H3714,IMPORTRANGE(""https://docs.google.com/spreadsheets/d/14Bd19lYaqBhU8_DElYkX7l4wRkHqqCUFNJY4AfY3kHU/edit?usp=sharing  #gid=0"",""фіз особи new!relations_name""),6,FALSE)
,
(IF
(
G3714=""юридична особа""
,
VLOOKUP"&amp;"(H3714,IMPORTRANGE(""https://docs.google.com/spreadsheets/d/14Bd19lYaqBhU8_DElYkX7l4wRkHqqCUFNJY4AfY3kHU/edit?usp=sharing  #gid=0"",""фіз особи new!relations_name_uo""),7,FALSE)
,
)
))"),"ШАРІЙ (БОНДАРЕНКО) Ольга Олексіївна")</f>
        <v>ШАРІЙ (БОНДАРЕНКО) Ольга Олексіївна</v>
      </c>
      <c r="J3713" s="7" t="s">
        <v>15</v>
      </c>
    </row>
    <row r="3714" spans="1:10" ht="13.2">
      <c r="A3714" s="7">
        <v>3713</v>
      </c>
      <c r="B3714" s="7">
        <v>1</v>
      </c>
      <c r="C3714" s="7" t="s">
        <v>10</v>
      </c>
      <c r="D3714" s="7">
        <v>2223</v>
      </c>
      <c r="E3714" s="7" t="s">
        <v>14</v>
      </c>
      <c r="F3714" s="8" t="str">
        <f ca="1">IFERROR(__xludf.DUMMYFUNCTION("IF
(
C3715=""фізична особа""
,
VLOOKUP(D3715,IMPORTRANGE(""https://docs.google.com/spreadsheets/d/14Bd19lYaqBhU8_DElYkX7l4wRkHqqCUFNJY4AfY3kHU/edit?usp=sharing  #gid=0"",""фіз особи new!relations_name""),6,FALSE)
,
(IF
(
C3715=""юридична особа""
,
VLOOKUP"&amp;"(D3715,IMPORTRANGE(""https://docs.google.com/spreadsheets/d/14Bd19lYaqBhU8_DElYkX7l4wRkHqqCUFNJY4AfY3kHU/edit?usp=sharing  #gid=0"",""фіз особи new!relations_name_uo""),7,FALSE)
,
)
))")," КУЗІЧЕВ Анатолій Олександрович")</f>
        <v xml:space="preserve"> КУЗІЧЕВ Анатолій Олександрович</v>
      </c>
      <c r="G3714" s="7" t="s">
        <v>10</v>
      </c>
      <c r="H3714" s="7">
        <v>0</v>
      </c>
      <c r="I3714" s="8" t="str">
        <f ca="1">IFERROR(__xludf.DUMMYFUNCTION("IF
(
G3715=""фізична особа""
,
VLOOKUP(H3715,IMPORTRANGE(""https://docs.google.com/spreadsheets/d/14Bd19lYaqBhU8_DElYkX7l4wRkHqqCUFNJY4AfY3kHU/edit?usp=sharing  #gid=0"",""фіз особи new!relations_name""),6,FALSE)
,
(IF
(
G3715=""юридична особа""
,
VLOOKUP"&amp;"(H3715,IMPORTRANGE(""https://docs.google.com/spreadsheets/d/14Bd19lYaqBhU8_DElYkX7l4wRkHqqCUFNJY4AfY3kHU/edit?usp=sharing  #gid=0"",""фіз особи new!relations_name_uo""),7,FALSE)
,
)
))"),"#N/A")</f>
        <v>#N/A</v>
      </c>
      <c r="J3714" s="7" t="s">
        <v>15</v>
      </c>
    </row>
    <row r="3715" spans="1:10" ht="13.2">
      <c r="A3715" s="7">
        <v>3714</v>
      </c>
      <c r="B3715" s="7">
        <v>1</v>
      </c>
      <c r="C3715" s="7" t="s">
        <v>10</v>
      </c>
      <c r="D3715" s="7">
        <v>2225</v>
      </c>
      <c r="E3715" s="7" t="s">
        <v>14</v>
      </c>
      <c r="F3715" s="8" t="str">
        <f ca="1">IFERROR(__xludf.DUMMYFUNCTION("IF
(
C3716=""фізична особа""
,
VLOOKUP(D3716,IMPORTRANGE(""https://docs.google.com/spreadsheets/d/14Bd19lYaqBhU8_DElYkX7l4wRkHqqCUFNJY4AfY3kHU/edit?usp=sharing  #gid=0"",""фіз особи new!relations_name""),6,FALSE)
,
(IF
(
C3716=""юридична особа""
,
VLOOKUP"&amp;"(D3716,IMPORTRANGE(""https://docs.google.com/spreadsheets/d/14Bd19lYaqBhU8_DElYkX7l4wRkHqqCUFNJY4AfY3kHU/edit?usp=sharing  #gid=0"",""фіз особи new!relations_name_uo""),7,FALSE)
,
)
))"),"КУРГІНЯН Сергій Єрвандович")</f>
        <v>КУРГІНЯН Сергій Єрвандович</v>
      </c>
      <c r="G3715" s="7" t="s">
        <v>10</v>
      </c>
      <c r="H3715" s="7">
        <v>0</v>
      </c>
      <c r="I3715" s="8" t="str">
        <f ca="1">IFERROR(__xludf.DUMMYFUNCTION("IF
(
G3716=""фізична особа""
,
VLOOKUP(H3716,IMPORTRANGE(""https://docs.google.com/spreadsheets/d/14Bd19lYaqBhU8_DElYkX7l4wRkHqqCUFNJY4AfY3kHU/edit?usp=sharing  #gid=0"",""фіз особи new!relations_name""),6,FALSE)
,
(IF
(
G3716=""юридична особа""
,
VLOOKUP"&amp;"(H3716,IMPORTRANGE(""https://docs.google.com/spreadsheets/d/14Bd19lYaqBhU8_DElYkX7l4wRkHqqCUFNJY4AfY3kHU/edit?usp=sharing  #gid=0"",""фіз особи new!relations_name_uo""),7,FALSE)
,
)
))"),"#N/A")</f>
        <v>#N/A</v>
      </c>
      <c r="J3715" s="7" t="s">
        <v>15</v>
      </c>
    </row>
    <row r="3716" spans="1:10" ht="13.2">
      <c r="A3716" s="7">
        <v>3715</v>
      </c>
      <c r="B3716" s="7">
        <v>1</v>
      </c>
      <c r="C3716" s="7" t="s">
        <v>10</v>
      </c>
      <c r="D3716" s="7">
        <v>2225</v>
      </c>
      <c r="E3716" s="7" t="s">
        <v>12</v>
      </c>
      <c r="F3716" s="8" t="str">
        <f ca="1">IFERROR(__xludf.DUMMYFUNCTION("IF
(
C3717=""фізична особа""
,
VLOOKUP(D3717,IMPORTRANGE(""https://docs.google.com/spreadsheets/d/14Bd19lYaqBhU8_DElYkX7l4wRkHqqCUFNJY4AfY3kHU/edit?usp=sharing  #gid=0"",""фіз особи new!relations_name""),6,FALSE)
,
(IF
(
C3717=""юридична особа""
,
VLOOKUP"&amp;"(D3717,IMPORTRANGE(""https://docs.google.com/spreadsheets/d/14Bd19lYaqBhU8_DElYkX7l4wRkHqqCUFNJY4AfY3kHU/edit?usp=sharing  #gid=0"",""фіз особи new!relations_name_uo""),7,FALSE)
,
)
))"),"КУРГІНЯН Сергій Єрвандович")</f>
        <v>КУРГІНЯН Сергій Єрвандович</v>
      </c>
      <c r="G3716" s="7" t="s">
        <v>10</v>
      </c>
      <c r="H3716" s="7">
        <v>0</v>
      </c>
      <c r="I3716" s="8" t="str">
        <f ca="1">IFERROR(__xludf.DUMMYFUNCTION("IF
(
G3717=""фізична особа""
,
VLOOKUP(H3717,IMPORTRANGE(""https://docs.google.com/spreadsheets/d/14Bd19lYaqBhU8_DElYkX7l4wRkHqqCUFNJY4AfY3kHU/edit?usp=sharing  #gid=0"",""фіз особи new!relations_name""),6,FALSE)
,
(IF
(
G3717=""юридична особа""
,
VLOOKUP"&amp;"(H3717,IMPORTRANGE(""https://docs.google.com/spreadsheets/d/14Bd19lYaqBhU8_DElYkX7l4wRkHqqCUFNJY4AfY3kHU/edit?usp=sharing  #gid=0"",""фіз особи new!relations_name_uo""),7,FALSE)
,
)
))"),"#N/A")</f>
        <v>#N/A</v>
      </c>
      <c r="J3716" s="7" t="s">
        <v>13</v>
      </c>
    </row>
    <row r="3717" spans="1:10" ht="13.2">
      <c r="A3717" s="7">
        <v>3716</v>
      </c>
      <c r="B3717" s="7">
        <v>1</v>
      </c>
      <c r="C3717" s="7" t="s">
        <v>10</v>
      </c>
      <c r="D3717" s="7">
        <v>2227</v>
      </c>
      <c r="E3717" s="7" t="s">
        <v>17</v>
      </c>
      <c r="F3717" s="8" t="str">
        <f ca="1">IFERROR(__xludf.DUMMYFUNCTION("IF
(
C3718=""фізична особа""
,
VLOOKUP(D3718,IMPORTRANGE(""https://docs.google.com/spreadsheets/d/14Bd19lYaqBhU8_DElYkX7l4wRkHqqCUFNJY4AfY3kHU/edit?usp=sharing  #gid=0"",""фіз особи new!relations_name""),6,FALSE)
,
(IF
(
C3718=""юридична особа""
,
VLOOKUP"&amp;"(D3718,IMPORTRANGE(""https://docs.google.com/spreadsheets/d/14Bd19lYaqBhU8_DElYkX7l4wRkHqqCUFNJY4AfY3kHU/edit?usp=sharing  #gid=0"",""фіз особи new!relations_name_uo""),7,FALSE)
,
)
))"),"ЛУР'Є Олег Анатолійович")</f>
        <v>ЛУР'Є Олег Анатолійович</v>
      </c>
      <c r="G3717" s="7" t="s">
        <v>10</v>
      </c>
      <c r="H3717" s="7">
        <v>0</v>
      </c>
      <c r="I3717" s="8" t="str">
        <f ca="1">IFERROR(__xludf.DUMMYFUNCTION("IF
(
G3718=""фізична особа""
,
VLOOKUP(H3718,IMPORTRANGE(""https://docs.google.com/spreadsheets/d/14Bd19lYaqBhU8_DElYkX7l4wRkHqqCUFNJY4AfY3kHU/edit?usp=sharing  #gid=0"",""фіз особи new!relations_name""),6,FALSE)
,
(IF
(
G3718=""юридична особа""
,
VLOOKUP"&amp;"(H3718,IMPORTRANGE(""https://docs.google.com/spreadsheets/d/14Bd19lYaqBhU8_DElYkX7l4wRkHqqCUFNJY4AfY3kHU/edit?usp=sharing  #gid=0"",""фіз особи new!relations_name_uo""),7,FALSE)
,
)
))"),"#N/A")</f>
        <v>#N/A</v>
      </c>
      <c r="J3717" s="7" t="s">
        <v>12</v>
      </c>
    </row>
    <row r="3718" spans="1:10" ht="13.2">
      <c r="A3718" s="7">
        <v>3717</v>
      </c>
      <c r="B3718" s="7">
        <v>1</v>
      </c>
      <c r="C3718" s="7" t="s">
        <v>10</v>
      </c>
      <c r="D3718" s="7">
        <v>2227</v>
      </c>
      <c r="E3718" s="7" t="s">
        <v>17</v>
      </c>
      <c r="F3718" s="8" t="str">
        <f ca="1">IFERROR(__xludf.DUMMYFUNCTION("IF
(
C3719=""фізична особа""
,
VLOOKUP(D3719,IMPORTRANGE(""https://docs.google.com/spreadsheets/d/14Bd19lYaqBhU8_DElYkX7l4wRkHqqCUFNJY4AfY3kHU/edit?usp=sharing  #gid=0"",""фіз особи new!relations_name""),6,FALSE)
,
(IF
(
C3719=""юридична особа""
,
VLOOKUP"&amp;"(D3719,IMPORTRANGE(""https://docs.google.com/spreadsheets/d/14Bd19lYaqBhU8_DElYkX7l4wRkHqqCUFNJY4AfY3kHU/edit?usp=sharing  #gid=0"",""фіз особи new!relations_name_uo""),7,FALSE)
,
)
))"),"ЛУР'Є Олег Анатолійович")</f>
        <v>ЛУР'Є Олег Анатолійович</v>
      </c>
      <c r="G3718" s="7" t="s">
        <v>10</v>
      </c>
      <c r="H3718" s="7">
        <v>0</v>
      </c>
      <c r="I3718" s="8" t="str">
        <f ca="1">IFERROR(__xludf.DUMMYFUNCTION("IF
(
G3719=""фізична особа""
,
VLOOKUP(H3719,IMPORTRANGE(""https://docs.google.com/spreadsheets/d/14Bd19lYaqBhU8_DElYkX7l4wRkHqqCUFNJY4AfY3kHU/edit?usp=sharing  #gid=0"",""фіз особи new!relations_name""),6,FALSE)
,
(IF
(
G3719=""юридична особа""
,
VLOOKUP"&amp;"(H3719,IMPORTRANGE(""https://docs.google.com/spreadsheets/d/14Bd19lYaqBhU8_DElYkX7l4wRkHqqCUFNJY4AfY3kHU/edit?usp=sharing  #gid=0"",""фіз особи new!relations_name_uo""),7,FALSE)
,
)
))"),"#N/A")</f>
        <v>#N/A</v>
      </c>
      <c r="J3718" s="7" t="s">
        <v>21</v>
      </c>
    </row>
    <row r="3719" spans="1:10" ht="13.2">
      <c r="A3719" s="7">
        <v>3718</v>
      </c>
      <c r="B3719" s="7">
        <v>1</v>
      </c>
      <c r="C3719" s="7" t="s">
        <v>10</v>
      </c>
      <c r="D3719" s="7">
        <v>2227</v>
      </c>
      <c r="E3719" s="7" t="s">
        <v>14</v>
      </c>
      <c r="F3719" s="8" t="str">
        <f ca="1">IFERROR(__xludf.DUMMYFUNCTION("IF
(
C3720=""фізична особа""
,
VLOOKUP(D3720,IMPORTRANGE(""https://docs.google.com/spreadsheets/d/14Bd19lYaqBhU8_DElYkX7l4wRkHqqCUFNJY4AfY3kHU/edit?usp=sharing  #gid=0"",""фіз особи new!relations_name""),6,FALSE)
,
(IF
(
C3720=""юридична особа""
,
VLOOKUP"&amp;"(D3720,IMPORTRANGE(""https://docs.google.com/spreadsheets/d/14Bd19lYaqBhU8_DElYkX7l4wRkHqqCUFNJY4AfY3kHU/edit?usp=sharing  #gid=0"",""фіз особи new!relations_name_uo""),7,FALSE)
,
)
))"),"ЛУР'Є Олег Анатолійович")</f>
        <v>ЛУР'Є Олег Анатолійович</v>
      </c>
      <c r="G3719" s="7" t="s">
        <v>10</v>
      </c>
      <c r="H3719" s="7">
        <v>0</v>
      </c>
      <c r="I3719" s="8" t="str">
        <f ca="1">IFERROR(__xludf.DUMMYFUNCTION("IF
(
G3720=""фізична особа""
,
VLOOKUP(H3720,IMPORTRANGE(""https://docs.google.com/spreadsheets/d/14Bd19lYaqBhU8_DElYkX7l4wRkHqqCUFNJY4AfY3kHU/edit?usp=sharing  #gid=0"",""фіз особи new!relations_name""),6,FALSE)
,
(IF
(
G3720=""юридична особа""
,
VLOOKUP"&amp;"(H3720,IMPORTRANGE(""https://docs.google.com/spreadsheets/d/14Bd19lYaqBhU8_DElYkX7l4wRkHqqCUFNJY4AfY3kHU/edit?usp=sharing  #gid=0"",""фіз особи new!relations_name_uo""),7,FALSE)
,
)
))"),"#N/A")</f>
        <v>#N/A</v>
      </c>
      <c r="J3719" s="7" t="s">
        <v>15</v>
      </c>
    </row>
    <row r="3720" spans="1:10" ht="13.2">
      <c r="A3720" s="7">
        <v>3719</v>
      </c>
      <c r="B3720" s="7">
        <v>1</v>
      </c>
      <c r="C3720" s="7" t="s">
        <v>10</v>
      </c>
      <c r="D3720" s="7">
        <v>2229</v>
      </c>
      <c r="E3720" s="7" t="s">
        <v>14</v>
      </c>
      <c r="F3720" s="8" t="str">
        <f ca="1">IFERROR(__xludf.DUMMYFUNCTION("IF
(
C3721=""фізична особа""
,
VLOOKUP(D3721,IMPORTRANGE(""https://docs.google.com/spreadsheets/d/14Bd19lYaqBhU8_DElYkX7l4wRkHqqCUFNJY4AfY3kHU/edit?usp=sharing  #gid=0"",""фіз особи new!relations_name""),6,FALSE)
,
(IF
(
C3721=""юридична особа""
,
VLOOKUP"&amp;"(D3721,IMPORTRANGE(""https://docs.google.com/spreadsheets/d/14Bd19lYaqBhU8_DElYkX7l4wRkHqqCUFNJY4AfY3kHU/edit?usp=sharing  #gid=0"",""фіз особи new!relations_name_uo""),7,FALSE)
,
)
))"),"ПОДКОПАЄВ Юрій Олександрович")</f>
        <v>ПОДКОПАЄВ Юрій Олександрович</v>
      </c>
      <c r="G3720" s="7" t="s">
        <v>10</v>
      </c>
      <c r="H3720" s="7">
        <v>0</v>
      </c>
      <c r="I3720" s="8" t="str">
        <f ca="1">IFERROR(__xludf.DUMMYFUNCTION("IF
(
G3721=""фізична особа""
,
VLOOKUP(H3721,IMPORTRANGE(""https://docs.google.com/spreadsheets/d/14Bd19lYaqBhU8_DElYkX7l4wRkHqqCUFNJY4AfY3kHU/edit?usp=sharing  #gid=0"",""фіз особи new!relations_name""),6,FALSE)
,
(IF
(
G3721=""юридична особа""
,
VLOOKUP"&amp;"(H3721,IMPORTRANGE(""https://docs.google.com/spreadsheets/d/14Bd19lYaqBhU8_DElYkX7l4wRkHqqCUFNJY4AfY3kHU/edit?usp=sharing  #gid=0"",""фіз особи new!relations_name_uo""),7,FALSE)
,
)
))"),"#N/A")</f>
        <v>#N/A</v>
      </c>
      <c r="J3720" s="7" t="s">
        <v>15</v>
      </c>
    </row>
    <row r="3721" spans="1:10" ht="13.2">
      <c r="A3721" s="7">
        <v>3720</v>
      </c>
      <c r="B3721" s="7">
        <v>1</v>
      </c>
      <c r="C3721" s="7" t="s">
        <v>10</v>
      </c>
      <c r="D3721" s="7">
        <v>2230</v>
      </c>
      <c r="E3721" s="7" t="s">
        <v>12</v>
      </c>
      <c r="F3721" s="8" t="str">
        <f ca="1">IFERROR(__xludf.DUMMYFUNCTION("IF
(
C3722=""фізична особа""
,
VLOOKUP(D3722,IMPORTRANGE(""https://docs.google.com/spreadsheets/d/14Bd19lYaqBhU8_DElYkX7l4wRkHqqCUFNJY4AfY3kHU/edit?usp=sharing  #gid=0"",""фіз особи new!relations_name""),6,FALSE)
,
(IF
(
C3722=""юридична особа""
,
VLOOKUP"&amp;"(D3722,IMPORTRANGE(""https://docs.google.com/spreadsheets/d/14Bd19lYaqBhU8_DElYkX7l4wRkHqqCUFNJY4AfY3kHU/edit?usp=sharing  #gid=0"",""фіз особи new!relations_name_uo""),7,FALSE)
,
)
))"),"ДОДОНОВ Максим Віталійович")</f>
        <v>ДОДОНОВ Максим Віталійович</v>
      </c>
      <c r="G3721" s="7" t="s">
        <v>10</v>
      </c>
      <c r="H3721" s="7">
        <v>0</v>
      </c>
      <c r="I3721" s="8" t="str">
        <f ca="1">IFERROR(__xludf.DUMMYFUNCTION("IF
(
G3722=""фізична особа""
,
VLOOKUP(H3722,IMPORTRANGE(""https://docs.google.com/spreadsheets/d/14Bd19lYaqBhU8_DElYkX7l4wRkHqqCUFNJY4AfY3kHU/edit?usp=sharing  #gid=0"",""фіз особи new!relations_name""),6,FALSE)
,
(IF
(
G3722=""юридична особа""
,
VLOOKUP"&amp;"(H3722,IMPORTRANGE(""https://docs.google.com/spreadsheets/d/14Bd19lYaqBhU8_DElYkX7l4wRkHqqCUFNJY4AfY3kHU/edit?usp=sharing  #gid=0"",""фіз особи new!relations_name_uo""),7,FALSE)
,
)
))"),"#N/A")</f>
        <v>#N/A</v>
      </c>
      <c r="J3721" s="7" t="s">
        <v>13</v>
      </c>
    </row>
    <row r="3722" spans="1:10" ht="13.2">
      <c r="A3722" s="7">
        <v>3721</v>
      </c>
      <c r="B3722" s="7">
        <v>1</v>
      </c>
      <c r="C3722" s="7" t="s">
        <v>10</v>
      </c>
      <c r="D3722" s="7">
        <v>2230</v>
      </c>
      <c r="E3722" s="7" t="s">
        <v>12</v>
      </c>
      <c r="F3722" s="8" t="str">
        <f ca="1">IFERROR(__xludf.DUMMYFUNCTION("IF
(
C3723=""фізична особа""
,
VLOOKUP(D3723,IMPORTRANGE(""https://docs.google.com/spreadsheets/d/14Bd19lYaqBhU8_DElYkX7l4wRkHqqCUFNJY4AfY3kHU/edit?usp=sharing  #gid=0"",""фіз особи new!relations_name""),6,FALSE)
,
(IF
(
C3723=""юридична особа""
,
VLOOKUP"&amp;"(D3723,IMPORTRANGE(""https://docs.google.com/spreadsheets/d/14Bd19lYaqBhU8_DElYkX7l4wRkHqqCUFNJY4AfY3kHU/edit?usp=sharing  #gid=0"",""фіз особи new!relations_name_uo""),7,FALSE)
,
)
))"),"ДОДОНОВ Максим Віталійович")</f>
        <v>ДОДОНОВ Максим Віталійович</v>
      </c>
      <c r="G3722" s="7" t="s">
        <v>10</v>
      </c>
      <c r="H3722" s="7">
        <v>0</v>
      </c>
      <c r="I3722" s="8" t="str">
        <f ca="1">IFERROR(__xludf.DUMMYFUNCTION("IF
(
G3723=""фізична особа""
,
VLOOKUP(H3723,IMPORTRANGE(""https://docs.google.com/spreadsheets/d/14Bd19lYaqBhU8_DElYkX7l4wRkHqqCUFNJY4AfY3kHU/edit?usp=sharing  #gid=0"",""фіз особи new!relations_name""),6,FALSE)
,
(IF
(
G3723=""юридична особа""
,
VLOOKUP"&amp;"(H3723,IMPORTRANGE(""https://docs.google.com/spreadsheets/d/14Bd19lYaqBhU8_DElYkX7l4wRkHqqCUFNJY4AfY3kHU/edit?usp=sharing  #gid=0"",""фіз особи new!relations_name_uo""),7,FALSE)
,
)
))"),"#N/A")</f>
        <v>#N/A</v>
      </c>
      <c r="J3722" s="7" t="s">
        <v>13</v>
      </c>
    </row>
    <row r="3723" spans="1:10" ht="13.2">
      <c r="A3723" s="7">
        <v>3722</v>
      </c>
      <c r="B3723" s="7">
        <v>1</v>
      </c>
      <c r="C3723" s="7" t="s">
        <v>10</v>
      </c>
      <c r="D3723" s="7">
        <v>2230</v>
      </c>
      <c r="E3723" s="7" t="s">
        <v>14</v>
      </c>
      <c r="F3723" s="8" t="str">
        <f ca="1">IFERROR(__xludf.DUMMYFUNCTION("IF
(
C3724=""фізична особа""
,
VLOOKUP(D3724,IMPORTRANGE(""https://docs.google.com/spreadsheets/d/14Bd19lYaqBhU8_DElYkX7l4wRkHqqCUFNJY4AfY3kHU/edit?usp=sharing  #gid=0"",""фіз особи new!relations_name""),6,FALSE)
,
(IF
(
C3724=""юридична особа""
,
VLOOKUP"&amp;"(D3724,IMPORTRANGE(""https://docs.google.com/spreadsheets/d/14Bd19lYaqBhU8_DElYkX7l4wRkHqqCUFNJY4AfY3kHU/edit?usp=sharing  #gid=0"",""фіз особи new!relations_name_uo""),7,FALSE)
,
)
))"),"ДОДОНОВ Максим Віталійович")</f>
        <v>ДОДОНОВ Максим Віталійович</v>
      </c>
      <c r="G3723" s="7" t="s">
        <v>10</v>
      </c>
      <c r="H3723" s="7">
        <v>0</v>
      </c>
      <c r="I3723" s="8" t="str">
        <f ca="1">IFERROR(__xludf.DUMMYFUNCTION("IF
(
G3724=""фізична особа""
,
VLOOKUP(H3724,IMPORTRANGE(""https://docs.google.com/spreadsheets/d/14Bd19lYaqBhU8_DElYkX7l4wRkHqqCUFNJY4AfY3kHU/edit?usp=sharing  #gid=0"",""фіз особи new!relations_name""),6,FALSE)
,
(IF
(
G3724=""юридична особа""
,
VLOOKUP"&amp;"(H3724,IMPORTRANGE(""https://docs.google.com/spreadsheets/d/14Bd19lYaqBhU8_DElYkX7l4wRkHqqCUFNJY4AfY3kHU/edit?usp=sharing  #gid=0"",""фіз особи new!relations_name_uo""),7,FALSE)
,
)
))"),"#N/A")</f>
        <v>#N/A</v>
      </c>
      <c r="J3723" s="7" t="s">
        <v>15</v>
      </c>
    </row>
    <row r="3724" spans="1:10" ht="13.2">
      <c r="A3724" s="7">
        <v>3723</v>
      </c>
      <c r="B3724" s="7">
        <v>1</v>
      </c>
      <c r="C3724" s="7" t="s">
        <v>10</v>
      </c>
      <c r="D3724" s="7">
        <v>2231</v>
      </c>
      <c r="E3724" s="7" t="s">
        <v>14</v>
      </c>
      <c r="F3724" s="8" t="str">
        <f ca="1">IFERROR(__xludf.DUMMYFUNCTION("IF
(
C3725=""фізична особа""
,
VLOOKUP(D3725,IMPORTRANGE(""https://docs.google.com/spreadsheets/d/14Bd19lYaqBhU8_DElYkX7l4wRkHqqCUFNJY4AfY3kHU/edit?usp=sharing  #gid=0"",""фіз особи new!relations_name""),6,FALSE)
,
(IF
(
C3725=""юридична особа""
,
VLOOKUP"&amp;"(D3725,IMPORTRANGE(""https://docs.google.com/spreadsheets/d/14Bd19lYaqBhU8_DElYkX7l4wRkHqqCUFNJY4AfY3kHU/edit?usp=sharing  #gid=0"",""фіз особи new!relations_name_uo""),7,FALSE)
,
)
))"),"НОРКІН Андрій Володимирович")</f>
        <v>НОРКІН Андрій Володимирович</v>
      </c>
      <c r="G3724" s="7" t="s">
        <v>10</v>
      </c>
      <c r="H3724" s="7">
        <v>0</v>
      </c>
      <c r="I3724" s="8" t="str">
        <f ca="1">IFERROR(__xludf.DUMMYFUNCTION("IF
(
G3725=""фізична особа""
,
VLOOKUP(H3725,IMPORTRANGE(""https://docs.google.com/spreadsheets/d/14Bd19lYaqBhU8_DElYkX7l4wRkHqqCUFNJY4AfY3kHU/edit?usp=sharing  #gid=0"",""фіз особи new!relations_name""),6,FALSE)
,
(IF
(
G3725=""юридична особа""
,
VLOOKUP"&amp;"(H3725,IMPORTRANGE(""https://docs.google.com/spreadsheets/d/14Bd19lYaqBhU8_DElYkX7l4wRkHqqCUFNJY4AfY3kHU/edit?usp=sharing  #gid=0"",""фіз особи new!relations_name_uo""),7,FALSE)
,
)
))"),"#N/A")</f>
        <v>#N/A</v>
      </c>
      <c r="J3724" s="7" t="s">
        <v>15</v>
      </c>
    </row>
    <row r="3725" spans="1:10" ht="13.2">
      <c r="A3725" s="7">
        <v>3724</v>
      </c>
      <c r="B3725" s="7">
        <v>1</v>
      </c>
      <c r="C3725" s="7" t="s">
        <v>10</v>
      </c>
      <c r="D3725" s="7">
        <v>2232</v>
      </c>
      <c r="E3725" s="7" t="s">
        <v>37</v>
      </c>
      <c r="F3725" s="8" t="str">
        <f ca="1">IFERROR(__xludf.DUMMYFUNCTION("IF
(
C3726=""фізична особа""
,
VLOOKUP(D3726,IMPORTRANGE(""https://docs.google.com/spreadsheets/d/14Bd19lYaqBhU8_DElYkX7l4wRkHqqCUFNJY4AfY3kHU/edit?usp=sharing  #gid=0"",""фіз особи new!relations_name""),6,FALSE)
,
(IF
(
C3726=""юридична особа""
,
VLOOKUP"&amp;"(D3726,IMPORTRANGE(""https://docs.google.com/spreadsheets/d/14Bd19lYaqBhU8_DElYkX7l4wRkHqqCUFNJY4AfY3kHU/edit?usp=sharing  #gid=0"",""фіз особи new!relations_name_uo""),7,FALSE)
,
)
))"),"АСКЕР-ЗАДЕ Наїля Вагіф кизи")</f>
        <v>АСКЕР-ЗАДЕ Наїля Вагіф кизи</v>
      </c>
      <c r="G3725" s="7" t="s">
        <v>10</v>
      </c>
      <c r="H3725" s="7">
        <v>49</v>
      </c>
      <c r="I3725" s="8" t="str">
        <f ca="1">IFERROR(__xludf.DUMMYFUNCTION("IF
(
G3726=""фізична особа""
,
VLOOKUP(H3726,IMPORTRANGE(""https://docs.google.com/spreadsheets/d/14Bd19lYaqBhU8_DElYkX7l4wRkHqqCUFNJY4AfY3kHU/edit?usp=sharing  #gid=0"",""фіз особи new!relations_name""),6,FALSE)
,
(IF
(
G3726=""юридична особа""
,
VLOOKUP"&amp;"(H3726,IMPORTRANGE(""https://docs.google.com/spreadsheets/d/14Bd19lYaqBhU8_DElYkX7l4wRkHqqCUFNJY4AfY3kHU/edit?usp=sharing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3725" s="7" t="s">
        <v>36</v>
      </c>
    </row>
    <row r="3726" spans="1:10" ht="13.2">
      <c r="A3726" s="7">
        <v>3725</v>
      </c>
      <c r="B3726" s="7">
        <v>1</v>
      </c>
      <c r="C3726" s="7" t="s">
        <v>10</v>
      </c>
      <c r="D3726" s="7">
        <v>2233</v>
      </c>
      <c r="E3726" s="7" t="s">
        <v>12</v>
      </c>
      <c r="F3726" s="8" t="str">
        <f ca="1">IFERROR(__xludf.DUMMYFUNCTION("IF
(
C3727=""фізична особа""
,
VLOOKUP(D3727,IMPORTRANGE(""https://docs.google.com/spreadsheets/d/14Bd19lYaqBhU8_DElYkX7l4wRkHqqCUFNJY4AfY3kHU/edit?usp=sharing  #gid=0"",""фіз особи new!relations_name""),6,FALSE)
,
(IF
(
C3727=""юридична особа""
,
VLOOKUP"&amp;"(D3727,IMPORTRANGE(""https://docs.google.com/spreadsheets/d/14Bd19lYaqBhU8_DElYkX7l4wRkHqqCUFNJY4AfY3kHU/edit?usp=sharing  #gid=0"",""фіз особи new!relations_name_uo""),7,FALSE)
,
)
))"),"МАШКОВ Володимир Львович")</f>
        <v>МАШКОВ Володимир Львович</v>
      </c>
      <c r="G3726" s="7" t="s">
        <v>10</v>
      </c>
      <c r="H3726" s="7">
        <v>0</v>
      </c>
      <c r="I3726" s="8" t="str">
        <f ca="1">IFERROR(__xludf.DUMMYFUNCTION("IF
(
G3727=""фізична особа""
,
VLOOKUP(H3727,IMPORTRANGE(""https://docs.google.com/spreadsheets/d/14Bd19lYaqBhU8_DElYkX7l4wRkHqqCUFNJY4AfY3kHU/edit?usp=sharing  #gid=0"",""фіз особи new!relations_name""),6,FALSE)
,
(IF
(
G3727=""юридична особа""
,
VLOOKUP"&amp;"(H3727,IMPORTRANGE(""https://docs.google.com/spreadsheets/d/14Bd19lYaqBhU8_DElYkX7l4wRkHqqCUFNJY4AfY3kHU/edit?usp=sharing  #gid=0"",""фіз особи new!relations_name_uo""),7,FALSE)
,
)
))"),"#N/A")</f>
        <v>#N/A</v>
      </c>
      <c r="J3726" s="7" t="s">
        <v>13</v>
      </c>
    </row>
    <row r="3727" spans="1:10" ht="13.2">
      <c r="A3727" s="7">
        <v>3726</v>
      </c>
      <c r="B3727" s="7">
        <v>1</v>
      </c>
      <c r="C3727" s="7" t="s">
        <v>10</v>
      </c>
      <c r="D3727" s="7">
        <v>2235</v>
      </c>
      <c r="E3727" s="7" t="s">
        <v>14</v>
      </c>
      <c r="F3727" s="8" t="str">
        <f ca="1">IFERROR(__xludf.DUMMYFUNCTION("IF
(
C3728=""фізична особа""
,
VLOOKUP(D3728,IMPORTRANGE(""https://docs.google.com/spreadsheets/d/14Bd19lYaqBhU8_DElYkX7l4wRkHqqCUFNJY4AfY3kHU/edit?usp=sharing  #gid=0"",""фіз особи new!relations_name""),6,FALSE)
,
(IF
(
C3728=""юридична особа""
,
VLOOKUP"&amp;"(D3728,IMPORTRANGE(""https://docs.google.com/spreadsheets/d/14Bd19lYaqBhU8_DElYkX7l4wRkHqqCUFNJY4AfY3kHU/edit?usp=sharing  #gid=0"",""фіз особи new!relations_name_uo""),7,FALSE)
,
)
))"),"УГОЛЬНІКОВ Ігор Станіславович")</f>
        <v>УГОЛЬНІКОВ Ігор Станіславович</v>
      </c>
      <c r="G3727" s="7" t="s">
        <v>10</v>
      </c>
      <c r="H3727" s="7">
        <v>0</v>
      </c>
      <c r="I3727" s="8" t="str">
        <f ca="1">IFERROR(__xludf.DUMMYFUNCTION("IF
(
G3728=""фізична особа""
,
VLOOKUP(H3728,IMPORTRANGE(""https://docs.google.com/spreadsheets/d/14Bd19lYaqBhU8_DElYkX7l4wRkHqqCUFNJY4AfY3kHU/edit?usp=sharing  #gid=0"",""фіз особи new!relations_name""),6,FALSE)
,
(IF
(
G3728=""юридична особа""
,
VLOOKUP"&amp;"(H3728,IMPORTRANGE(""https://docs.google.com/spreadsheets/d/14Bd19lYaqBhU8_DElYkX7l4wRkHqqCUFNJY4AfY3kHU/edit?usp=sharing  #gid=0"",""фіз особи new!relations_name_uo""),7,FALSE)
,
)
))"),"#N/A")</f>
        <v>#N/A</v>
      </c>
      <c r="J3727" s="7" t="s">
        <v>15</v>
      </c>
    </row>
    <row r="3728" spans="1:10" ht="13.2">
      <c r="A3728" s="7">
        <v>3727</v>
      </c>
      <c r="B3728" s="7">
        <v>1</v>
      </c>
      <c r="C3728" s="7" t="s">
        <v>10</v>
      </c>
      <c r="D3728" s="7">
        <v>2235</v>
      </c>
      <c r="E3728" s="7" t="s">
        <v>12</v>
      </c>
      <c r="F3728" s="8" t="str">
        <f ca="1">IFERROR(__xludf.DUMMYFUNCTION("IF
(
C3729=""фізична особа""
,
VLOOKUP(D3729,IMPORTRANGE(""https://docs.google.com/spreadsheets/d/14Bd19lYaqBhU8_DElYkX7l4wRkHqqCUFNJY4AfY3kHU/edit?usp=sharing  #gid=0"",""фіз особи new!relations_name""),6,FALSE)
,
(IF
(
C3729=""юридична особа""
,
VLOOKUP"&amp;"(D3729,IMPORTRANGE(""https://docs.google.com/spreadsheets/d/14Bd19lYaqBhU8_DElYkX7l4wRkHqqCUFNJY4AfY3kHU/edit?usp=sharing  #gid=0"",""фіз особи new!relations_name_uo""),7,FALSE)
,
)
))"),"УГОЛЬНІКОВ Ігор Станіславович")</f>
        <v>УГОЛЬНІКОВ Ігор Станіславович</v>
      </c>
      <c r="G3728" s="7" t="s">
        <v>10</v>
      </c>
      <c r="H3728" s="7">
        <v>0</v>
      </c>
      <c r="I3728" s="8" t="str">
        <f ca="1">IFERROR(__xludf.DUMMYFUNCTION("IF
(
G3729=""фізична особа""
,
VLOOKUP(H3729,IMPORTRANGE(""https://docs.google.com/spreadsheets/d/14Bd19lYaqBhU8_DElYkX7l4wRkHqqCUFNJY4AfY3kHU/edit?usp=sharing  #gid=0"",""фіз особи new!relations_name""),6,FALSE)
,
(IF
(
G3729=""юридична особа""
,
VLOOKUP"&amp;"(H3729,IMPORTRANGE(""https://docs.google.com/spreadsheets/d/14Bd19lYaqBhU8_DElYkX7l4wRkHqqCUFNJY4AfY3kHU/edit?usp=sharing  #gid=0"",""фіз особи new!relations_name_uo""),7,FALSE)
,
)
))"),"#N/A")</f>
        <v>#N/A</v>
      </c>
      <c r="J3728" s="7" t="s">
        <v>13</v>
      </c>
    </row>
    <row r="3729" spans="1:10" ht="13.2">
      <c r="A3729" s="7">
        <v>3728</v>
      </c>
      <c r="B3729" s="7">
        <v>1</v>
      </c>
      <c r="C3729" s="7" t="s">
        <v>10</v>
      </c>
      <c r="D3729" s="7">
        <v>2236</v>
      </c>
      <c r="E3729" s="7" t="s">
        <v>14</v>
      </c>
      <c r="F3729" s="8" t="str">
        <f ca="1">IFERROR(__xludf.DUMMYFUNCTION("IF
(
C3730=""фізична особа""
,
VLOOKUP(D3730,IMPORTRANGE(""https://docs.google.com/spreadsheets/d/14Bd19lYaqBhU8_DElYkX7l4wRkHqqCUFNJY4AfY3kHU/edit?usp=sharing  #gid=0"",""фіз особи new!relations_name""),6,FALSE)
,
(IF
(
C3730=""юридична особа""
,
VLOOKUP"&amp;"(D3730,IMPORTRANGE(""https://docs.google.com/spreadsheets/d/14Bd19lYaqBhU8_DElYkX7l4wRkHqqCUFNJY4AfY3kHU/edit?usp=sharing  #gid=0"",""фіз особи new!relations_name_uo""),7,FALSE)
,
)
))"),"ПОРЕЧЕНКОВ Михайло Євгенович")</f>
        <v>ПОРЕЧЕНКОВ Михайло Євгенович</v>
      </c>
      <c r="G3729" s="7" t="s">
        <v>10</v>
      </c>
      <c r="H3729" s="7">
        <v>0</v>
      </c>
      <c r="I3729" s="8" t="str">
        <f ca="1">IFERROR(__xludf.DUMMYFUNCTION("IF
(
G3730=""фізична особа""
,
VLOOKUP(H3730,IMPORTRANGE(""https://docs.google.com/spreadsheets/d/14Bd19lYaqBhU8_DElYkX7l4wRkHqqCUFNJY4AfY3kHU/edit?usp=sharing  #gid=0"",""фіз особи new!relations_name""),6,FALSE)
,
(IF
(
G3730=""юридична особа""
,
VLOOKUP"&amp;"(H3730,IMPORTRANGE(""https://docs.google.com/spreadsheets/d/14Bd19lYaqBhU8_DElYkX7l4wRkHqqCUFNJY4AfY3kHU/edit?usp=sharing  #gid=0"",""фіз особи new!relations_name_uo""),7,FALSE)
,
)
))"),"#N/A")</f>
        <v>#N/A</v>
      </c>
      <c r="J3729" s="7" t="s">
        <v>15</v>
      </c>
    </row>
    <row r="3730" spans="1:10" ht="13.2">
      <c r="A3730" s="7">
        <v>3729</v>
      </c>
      <c r="B3730" s="7">
        <v>1</v>
      </c>
      <c r="C3730" s="7" t="s">
        <v>10</v>
      </c>
      <c r="D3730" s="7">
        <v>2236</v>
      </c>
      <c r="E3730" s="7" t="s">
        <v>12</v>
      </c>
      <c r="F3730" s="8" t="str">
        <f ca="1">IFERROR(__xludf.DUMMYFUNCTION("IF
(
C3731=""фізична особа""
,
VLOOKUP(D3731,IMPORTRANGE(""https://docs.google.com/spreadsheets/d/14Bd19lYaqBhU8_DElYkX7l4wRkHqqCUFNJY4AfY3kHU/edit?usp=sharing  #gid=0"",""фіз особи new!relations_name""),6,FALSE)
,
(IF
(
C3731=""юридична особа""
,
VLOOKUP"&amp;"(D3731,IMPORTRANGE(""https://docs.google.com/spreadsheets/d/14Bd19lYaqBhU8_DElYkX7l4wRkHqqCUFNJY4AfY3kHU/edit?usp=sharing  #gid=0"",""фіз особи new!relations_name_uo""),7,FALSE)
,
)
))"),"ПОРЕЧЕНКОВ Михайло Євгенович")</f>
        <v>ПОРЕЧЕНКОВ Михайло Євгенович</v>
      </c>
      <c r="G3730" s="7" t="s">
        <v>10</v>
      </c>
      <c r="H3730" s="7">
        <v>0</v>
      </c>
      <c r="I3730" s="8" t="str">
        <f ca="1">IFERROR(__xludf.DUMMYFUNCTION("IF
(
G3731=""фізична особа""
,
VLOOKUP(H3731,IMPORTRANGE(""https://docs.google.com/spreadsheets/d/14Bd19lYaqBhU8_DElYkX7l4wRkHqqCUFNJY4AfY3kHU/edit?usp=sharing  #gid=0"",""фіз особи new!relations_name""),6,FALSE)
,
(IF
(
G3731=""юридична особа""
,
VLOOKUP"&amp;"(H3731,IMPORTRANGE(""https://docs.google.com/spreadsheets/d/14Bd19lYaqBhU8_DElYkX7l4wRkHqqCUFNJY4AfY3kHU/edit?usp=sharing  #gid=0"",""фіз особи new!relations_name_uo""),7,FALSE)
,
)
))"),"#N/A")</f>
        <v>#N/A</v>
      </c>
      <c r="J3730" s="7" t="s">
        <v>13</v>
      </c>
    </row>
    <row r="3731" spans="1:10" ht="13.2">
      <c r="A3731" s="7">
        <v>3730</v>
      </c>
      <c r="B3731" s="7">
        <v>1</v>
      </c>
      <c r="C3731" s="7" t="s">
        <v>10</v>
      </c>
      <c r="D3731" s="7">
        <v>2236</v>
      </c>
      <c r="E3731" s="7" t="s">
        <v>12</v>
      </c>
      <c r="F3731" s="8" t="str">
        <f ca="1">IFERROR(__xludf.DUMMYFUNCTION("IF
(
C3732=""фізична особа""
,
VLOOKUP(D3732,IMPORTRANGE(""https://docs.google.com/spreadsheets/d/14Bd19lYaqBhU8_DElYkX7l4wRkHqqCUFNJY4AfY3kHU/edit?usp=sharing  #gid=0"",""фіз особи new!relations_name""),6,FALSE)
,
(IF
(
C3732=""юридична особа""
,
VLOOKUP"&amp;"(D3732,IMPORTRANGE(""https://docs.google.com/spreadsheets/d/14Bd19lYaqBhU8_DElYkX7l4wRkHqqCUFNJY4AfY3kHU/edit?usp=sharing  #gid=0"",""фіз особи new!relations_name_uo""),7,FALSE)
,
)
))"),"ПОРЕЧЕНКОВ Михайло Євгенович")</f>
        <v>ПОРЕЧЕНКОВ Михайло Євгенович</v>
      </c>
      <c r="G3731" s="7" t="s">
        <v>10</v>
      </c>
      <c r="H3731" s="7">
        <v>0</v>
      </c>
      <c r="I3731" s="8" t="str">
        <f ca="1">IFERROR(__xludf.DUMMYFUNCTION("IF
(
G3732=""фізична особа""
,
VLOOKUP(H3732,IMPORTRANGE(""https://docs.google.com/spreadsheets/d/14Bd19lYaqBhU8_DElYkX7l4wRkHqqCUFNJY4AfY3kHU/edit?usp=sharing  #gid=0"",""фіз особи new!relations_name""),6,FALSE)
,
(IF
(
G3732=""юридична особа""
,
VLOOKUP"&amp;"(H3732,IMPORTRANGE(""https://docs.google.com/spreadsheets/d/14Bd19lYaqBhU8_DElYkX7l4wRkHqqCUFNJY4AfY3kHU/edit?usp=sharing  #gid=0"",""фіз особи new!relations_name_uo""),7,FALSE)
,
)
))"),"#N/A")</f>
        <v>#N/A</v>
      </c>
      <c r="J3731" s="7" t="s">
        <v>17</v>
      </c>
    </row>
    <row r="3732" spans="1:10" ht="13.2">
      <c r="A3732" s="7">
        <v>3731</v>
      </c>
      <c r="B3732" s="7">
        <v>1</v>
      </c>
      <c r="C3732" s="7" t="s">
        <v>10</v>
      </c>
      <c r="D3732" s="7">
        <v>2236</v>
      </c>
      <c r="E3732" s="7" t="s">
        <v>12</v>
      </c>
      <c r="F3732" s="8" t="str">
        <f ca="1">IFERROR(__xludf.DUMMYFUNCTION("IF
(
C3733=""фізична особа""
,
VLOOKUP(D3733,IMPORTRANGE(""https://docs.google.com/spreadsheets/d/14Bd19lYaqBhU8_DElYkX7l4wRkHqqCUFNJY4AfY3kHU/edit?usp=sharing  #gid=0"",""фіз особи new!relations_name""),6,FALSE)
,
(IF
(
C3733=""юридична особа""
,
VLOOKUP"&amp;"(D3733,IMPORTRANGE(""https://docs.google.com/spreadsheets/d/14Bd19lYaqBhU8_DElYkX7l4wRkHqqCUFNJY4AfY3kHU/edit?usp=sharing  #gid=0"",""фіз особи new!relations_name_uo""),7,FALSE)
,
)
))"),"ПОРЕЧЕНКОВ Михайло Євгенович")</f>
        <v>ПОРЕЧЕНКОВ Михайло Євгенович</v>
      </c>
      <c r="G3732" s="7" t="s">
        <v>10</v>
      </c>
      <c r="H3732" s="7">
        <v>0</v>
      </c>
      <c r="I3732" s="8" t="str">
        <f ca="1">IFERROR(__xludf.DUMMYFUNCTION("IF
(
G3733=""фізична особа""
,
VLOOKUP(H3733,IMPORTRANGE(""https://docs.google.com/spreadsheets/d/14Bd19lYaqBhU8_DElYkX7l4wRkHqqCUFNJY4AfY3kHU/edit?usp=sharing  #gid=0"",""фіз особи new!relations_name""),6,FALSE)
,
(IF
(
G3733=""юридична особа""
,
VLOOKUP"&amp;"(H3733,IMPORTRANGE(""https://docs.google.com/spreadsheets/d/14Bd19lYaqBhU8_DElYkX7l4wRkHqqCUFNJY4AfY3kHU/edit?usp=sharing  #gid=0"",""фіз особи new!relations_name_uo""),7,FALSE)
,
)
))"),"#N/A")</f>
        <v>#N/A</v>
      </c>
      <c r="J3732" s="7" t="s">
        <v>13</v>
      </c>
    </row>
    <row r="3733" spans="1:10" ht="13.2">
      <c r="A3733" s="7">
        <v>3732</v>
      </c>
      <c r="B3733" s="7">
        <v>1</v>
      </c>
      <c r="C3733" s="7" t="s">
        <v>10</v>
      </c>
      <c r="D3733" s="7">
        <v>2236</v>
      </c>
      <c r="E3733" s="7" t="s">
        <v>12</v>
      </c>
      <c r="F3733" s="8" t="str">
        <f ca="1">IFERROR(__xludf.DUMMYFUNCTION("IF
(
C3734=""фізична особа""
,
VLOOKUP(D3734,IMPORTRANGE(""https://docs.google.com/spreadsheets/d/14Bd19lYaqBhU8_DElYkX7l4wRkHqqCUFNJY4AfY3kHU/edit?usp=sharing  #gid=0"",""фіз особи new!relations_name""),6,FALSE)
,
(IF
(
C3734=""юридична особа""
,
VLOOKUP"&amp;"(D3734,IMPORTRANGE(""https://docs.google.com/spreadsheets/d/14Bd19lYaqBhU8_DElYkX7l4wRkHqqCUFNJY4AfY3kHU/edit?usp=sharing  #gid=0"",""фіз особи new!relations_name_uo""),7,FALSE)
,
)
))"),"ПОРЕЧЕНКОВ Михайло Євгенович")</f>
        <v>ПОРЕЧЕНКОВ Михайло Євгенович</v>
      </c>
      <c r="G3733" s="7" t="s">
        <v>10</v>
      </c>
      <c r="H3733" s="7">
        <v>0</v>
      </c>
      <c r="I3733" s="8" t="str">
        <f ca="1">IFERROR(__xludf.DUMMYFUNCTION("IF
(
G3734=""фізична особа""
,
VLOOKUP(H3734,IMPORTRANGE(""https://docs.google.com/spreadsheets/d/14Bd19lYaqBhU8_DElYkX7l4wRkHqqCUFNJY4AfY3kHU/edit?usp=sharing  #gid=0"",""фіз особи new!relations_name""),6,FALSE)
,
(IF
(
G3734=""юридична особа""
,
VLOOKUP"&amp;"(H3734,IMPORTRANGE(""https://docs.google.com/spreadsheets/d/14Bd19lYaqBhU8_DElYkX7l4wRkHqqCUFNJY4AfY3kHU/edit?usp=sharing  #gid=0"",""фіз особи new!relations_name_uo""),7,FALSE)
,
)
))"),"#N/A")</f>
        <v>#N/A</v>
      </c>
      <c r="J3733" s="7" t="s">
        <v>17</v>
      </c>
    </row>
    <row r="3734" spans="1:10" ht="13.2">
      <c r="A3734" s="7">
        <v>3733</v>
      </c>
      <c r="B3734" s="7">
        <v>1</v>
      </c>
      <c r="C3734" s="7" t="s">
        <v>10</v>
      </c>
      <c r="D3734" s="7">
        <v>2237</v>
      </c>
      <c r="E3734" s="7" t="s">
        <v>21</v>
      </c>
      <c r="F3734" s="8" t="str">
        <f ca="1">IFERROR(__xludf.DUMMYFUNCTION("IF
(
C3735=""фізична особа""
,
VLOOKUP(D3735,IMPORTRANGE(""https://docs.google.com/spreadsheets/d/14Bd19lYaqBhU8_DElYkX7l4wRkHqqCUFNJY4AfY3kHU/edit?usp=sharing  #gid=0"",""фіз особи new!relations_name""),6,FALSE)
,
(IF
(
C3735=""юридична особа""
,
VLOOKUP"&amp;"(D3735,IMPORTRANGE(""https://docs.google.com/spreadsheets/d/14Bd19lYaqBhU8_DElYkX7l4wRkHqqCUFNJY4AfY3kHU/edit?usp=sharing  #gid=0"",""фіз особи new!relations_name_uo""),7,FALSE)
,
)
))"),"ШУКШИНА Марія Василівна")</f>
        <v>ШУКШИНА Марія Василівна</v>
      </c>
      <c r="G3734" s="7" t="s">
        <v>10</v>
      </c>
      <c r="H3734" s="7">
        <v>0</v>
      </c>
      <c r="I3734" s="8" t="str">
        <f ca="1">IFERROR(__xludf.DUMMYFUNCTION("IF
(
G3735=""фізична особа""
,
VLOOKUP(H3735,IMPORTRANGE(""https://docs.google.com/spreadsheets/d/14Bd19lYaqBhU8_DElYkX7l4wRkHqqCUFNJY4AfY3kHU/edit?usp=sharing  #gid=0"",""фіз особи new!relations_name""),6,FALSE)
,
(IF
(
G3735=""юридична особа""
,
VLOOKUP"&amp;"(H3735,IMPORTRANGE(""https://docs.google.com/spreadsheets/d/14Bd19lYaqBhU8_DElYkX7l4wRkHqqCUFNJY4AfY3kHU/edit?usp=sharing  #gid=0"",""фіз особи new!relations_name_uo""),7,FALSE)
,
)
))"),"#N/A")</f>
        <v>#N/A</v>
      </c>
      <c r="J3734" s="7" t="s">
        <v>13</v>
      </c>
    </row>
    <row r="3735" spans="1:10" ht="13.2">
      <c r="A3735" s="7">
        <v>3734</v>
      </c>
      <c r="B3735" s="7">
        <v>1</v>
      </c>
      <c r="C3735" s="7" t="s">
        <v>10</v>
      </c>
      <c r="D3735" s="7">
        <v>2237</v>
      </c>
      <c r="E3735" s="7" t="s">
        <v>21</v>
      </c>
      <c r="F3735" s="8" t="str">
        <f ca="1">IFERROR(__xludf.DUMMYFUNCTION("IF
(
C3736=""фізична особа""
,
VLOOKUP(D3736,IMPORTRANGE(""https://docs.google.com/spreadsheets/d/14Bd19lYaqBhU8_DElYkX7l4wRkHqqCUFNJY4AfY3kHU/edit?usp=sharing  #gid=0"",""фіз особи new!relations_name""),6,FALSE)
,
(IF
(
C3736=""юридична особа""
,
VLOOKUP"&amp;"(D3736,IMPORTRANGE(""https://docs.google.com/spreadsheets/d/14Bd19lYaqBhU8_DElYkX7l4wRkHqqCUFNJY4AfY3kHU/edit?usp=sharing  #gid=0"",""фіз особи new!relations_name_uo""),7,FALSE)
,
)
))"),"ШУКШИНА Марія Василівна")</f>
        <v>ШУКШИНА Марія Василівна</v>
      </c>
      <c r="G3735" s="7" t="s">
        <v>10</v>
      </c>
      <c r="H3735" s="7">
        <v>0</v>
      </c>
      <c r="I3735" s="8" t="str">
        <f ca="1">IFERROR(__xludf.DUMMYFUNCTION("IF
(
G3736=""фізична особа""
,
VLOOKUP(H3736,IMPORTRANGE(""https://docs.google.com/spreadsheets/d/14Bd19lYaqBhU8_DElYkX7l4wRkHqqCUFNJY4AfY3kHU/edit?usp=sharing  #gid=0"",""фіз особи new!relations_name""),6,FALSE)
,
(IF
(
G3736=""юридична особа""
,
VLOOKUP"&amp;"(H3736,IMPORTRANGE(""https://docs.google.com/spreadsheets/d/14Bd19lYaqBhU8_DElYkX7l4wRkHqqCUFNJY4AfY3kHU/edit?usp=sharing  #gid=0"",""фіз особи new!relations_name_uo""),7,FALSE)
,
)
))"),"#N/A")</f>
        <v>#N/A</v>
      </c>
      <c r="J3735" s="7" t="s">
        <v>17</v>
      </c>
    </row>
    <row r="3736" spans="1:10" ht="13.2">
      <c r="A3736" s="7">
        <v>3735</v>
      </c>
      <c r="B3736" s="7">
        <v>1</v>
      </c>
      <c r="C3736" s="7" t="s">
        <v>10</v>
      </c>
      <c r="D3736" s="7">
        <v>2237</v>
      </c>
      <c r="E3736" s="7" t="s">
        <v>21</v>
      </c>
      <c r="F3736" s="8" t="str">
        <f ca="1">IFERROR(__xludf.DUMMYFUNCTION("IF
(
C3737=""фізична особа""
,
VLOOKUP(D3737,IMPORTRANGE(""https://docs.google.com/spreadsheets/d/14Bd19lYaqBhU8_DElYkX7l4wRkHqqCUFNJY4AfY3kHU/edit?usp=sharing  #gid=0"",""фіз особи new!relations_name""),6,FALSE)
,
(IF
(
C3737=""юридична особа""
,
VLOOKUP"&amp;"(D3737,IMPORTRANGE(""https://docs.google.com/spreadsheets/d/14Bd19lYaqBhU8_DElYkX7l4wRkHqqCUFNJY4AfY3kHU/edit?usp=sharing  #gid=0"",""фіз особи new!relations_name_uo""),7,FALSE)
,
)
))"),"ШУКШИНА Марія Василівна")</f>
        <v>ШУКШИНА Марія Василівна</v>
      </c>
      <c r="G3736" s="7" t="s">
        <v>10</v>
      </c>
      <c r="H3736" s="7">
        <v>0</v>
      </c>
      <c r="I3736" s="8" t="str">
        <f ca="1">IFERROR(__xludf.DUMMYFUNCTION("IF
(
G3737=""фізична особа""
,
VLOOKUP(H3737,IMPORTRANGE(""https://docs.google.com/spreadsheets/d/14Bd19lYaqBhU8_DElYkX7l4wRkHqqCUFNJY4AfY3kHU/edit?usp=sharing  #gid=0"",""фіз особи new!relations_name""),6,FALSE)
,
(IF
(
G3737=""юридична особа""
,
VLOOKUP"&amp;"(H3737,IMPORTRANGE(""https://docs.google.com/spreadsheets/d/14Bd19lYaqBhU8_DElYkX7l4wRkHqqCUFNJY4AfY3kHU/edit?usp=sharing  #gid=0"",""фіз особи new!relations_name_uo""),7,FALSE)
,
)
))"),"#N/A")</f>
        <v>#N/A</v>
      </c>
      <c r="J3736" s="7" t="s">
        <v>17</v>
      </c>
    </row>
    <row r="3737" spans="1:10" ht="13.2">
      <c r="A3737" s="7">
        <v>3736</v>
      </c>
      <c r="B3737" s="7">
        <v>1</v>
      </c>
      <c r="C3737" s="7" t="s">
        <v>10</v>
      </c>
      <c r="D3737" s="7">
        <v>2237</v>
      </c>
      <c r="E3737" s="7" t="s">
        <v>21</v>
      </c>
      <c r="F3737" s="8" t="str">
        <f ca="1">IFERROR(__xludf.DUMMYFUNCTION("IF
(
C3738=""фізична особа""
,
VLOOKUP(D3738,IMPORTRANGE(""https://docs.google.com/spreadsheets/d/14Bd19lYaqBhU8_DElYkX7l4wRkHqqCUFNJY4AfY3kHU/edit?usp=sharing  #gid=0"",""фіз особи new!relations_name""),6,FALSE)
,
(IF
(
C3738=""юридична особа""
,
VLOOKUP"&amp;"(D3738,IMPORTRANGE(""https://docs.google.com/spreadsheets/d/14Bd19lYaqBhU8_DElYkX7l4wRkHqqCUFNJY4AfY3kHU/edit?usp=sharing  #gid=0"",""фіз особи new!relations_name_uo""),7,FALSE)
,
)
))"),"ШУКШИНА Марія Василівна")</f>
        <v>ШУКШИНА Марія Василівна</v>
      </c>
      <c r="G3737" s="7" t="s">
        <v>10</v>
      </c>
      <c r="H3737" s="7">
        <v>0</v>
      </c>
      <c r="I3737" s="8" t="str">
        <f ca="1">IFERROR(__xludf.DUMMYFUNCTION("IF
(
G3738=""фізична особа""
,
VLOOKUP(H3738,IMPORTRANGE(""https://docs.google.com/spreadsheets/d/14Bd19lYaqBhU8_DElYkX7l4wRkHqqCUFNJY4AfY3kHU/edit?usp=sharing  #gid=0"",""фіз особи new!relations_name""),6,FALSE)
,
(IF
(
G3738=""юридична особа""
,
VLOOKUP"&amp;"(H3738,IMPORTRANGE(""https://docs.google.com/spreadsheets/d/14Bd19lYaqBhU8_DElYkX7l4wRkHqqCUFNJY4AfY3kHU/edit?usp=sharing  #gid=0"",""фіз особи new!relations_name_uo""),7,FALSE)
,
)
))"),"#N/A")</f>
        <v>#N/A</v>
      </c>
      <c r="J3737" s="7" t="s">
        <v>17</v>
      </c>
    </row>
    <row r="3738" spans="1:10" ht="13.2">
      <c r="A3738" s="7">
        <v>3737</v>
      </c>
      <c r="B3738" s="7">
        <v>1</v>
      </c>
      <c r="C3738" s="7" t="s">
        <v>10</v>
      </c>
      <c r="D3738" s="7">
        <v>2238</v>
      </c>
      <c r="E3738" s="7" t="s">
        <v>48</v>
      </c>
      <c r="F3738" s="8" t="str">
        <f ca="1">IFERROR(__xludf.DUMMYFUNCTION("IF
(
C3739=""фізична особа""
,
VLOOKUP(D3739,IMPORTRANGE(""https://docs.google.com/spreadsheets/d/14Bd19lYaqBhU8_DElYkX7l4wRkHqqCUFNJY4AfY3kHU/edit?usp=sharing  #gid=0"",""фіз особи new!relations_name""),6,FALSE)
,
(IF
(
C3739=""юридична особа""
,
VLOOKUP"&amp;"(D3739,IMPORTRANGE(""https://docs.google.com/spreadsheets/d/14Bd19lYaqBhU8_DElYkX7l4wRkHqqCUFNJY4AfY3kHU/edit?usp=sharing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38" s="7" t="s">
        <v>10</v>
      </c>
      <c r="H3738" s="7">
        <v>677</v>
      </c>
      <c r="I3738" s="8" t="str">
        <f ca="1">IFERROR(__xludf.DUMMYFUNCTION("IF
(
G3739=""фізична особа""
,
VLOOKUP(H3739,IMPORTRANGE(""https://docs.google.com/spreadsheets/d/14Bd19lYaqBhU8_DElYkX7l4wRkHqqCUFNJY4AfY3kHU/edit?usp=sharing  #gid=0"",""фіз особи new!relations_name""),6,FALSE)
,
(IF
(
G3739=""юридична особа""
,
VLOOKUP"&amp;"(H3739,IMPORTRANGE(""https://docs.google.com/spreadsheets/d/14Bd19lYaqBhU8_DElYkX7l4wRkHqqCUFNJY4AfY3kHU/edit?usp=sharing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3738" s="7" t="s">
        <v>48</v>
      </c>
    </row>
    <row r="3739" spans="1:10" ht="13.2">
      <c r="A3739" s="7">
        <v>3738</v>
      </c>
      <c r="B3739" s="7">
        <v>1</v>
      </c>
      <c r="C3739" s="7" t="s">
        <v>10</v>
      </c>
      <c r="D3739" s="7">
        <v>2238</v>
      </c>
      <c r="E3739" s="7" t="s">
        <v>18</v>
      </c>
      <c r="F3739" s="8" t="str">
        <f ca="1">IFERROR(__xludf.DUMMYFUNCTION("IF
(
C3740=""фізична особа""
,
VLOOKUP(D3740,IMPORTRANGE(""https://docs.google.com/spreadsheets/d/14Bd19lYaqBhU8_DElYkX7l4wRkHqqCUFNJY4AfY3kHU/edit?usp=sharing  #gid=0"",""фіз особи new!relations_name""),6,FALSE)
,
(IF
(
C3740=""юридична особа""
,
VLOOKUP"&amp;"(D3740,IMPORTRANGE(""https://docs.google.com/spreadsheets/d/14Bd19lYaqBhU8_DElYkX7l4wRkHqqCUFNJY4AfY3kHU/edit?usp=sharing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39" s="7" t="s">
        <v>10</v>
      </c>
      <c r="H3739" s="7">
        <v>0</v>
      </c>
      <c r="I3739" s="8" t="str">
        <f ca="1">IFERROR(__xludf.DUMMYFUNCTION("IF
(
G3740=""фізична особа""
,
VLOOKUP(H3740,IMPORTRANGE(""https://docs.google.com/spreadsheets/d/14Bd19lYaqBhU8_DElYkX7l4wRkHqqCUFNJY4AfY3kHU/edit?usp=sharing  #gid=0"",""фіз особи new!relations_name""),6,FALSE)
,
(IF
(
G3740=""юридична особа""
,
VLOOKUP"&amp;"(H3740,IMPORTRANGE(""https://docs.google.com/spreadsheets/d/14Bd19lYaqBhU8_DElYkX7l4wRkHqqCUFNJY4AfY3kHU/edit?usp=sharing  #gid=0"",""фіз особи new!relations_name_uo""),7,FALSE)
,
)
))"),"#N/A")</f>
        <v>#N/A</v>
      </c>
      <c r="J3739" s="7" t="s">
        <v>18</v>
      </c>
    </row>
    <row r="3740" spans="1:10" ht="13.2">
      <c r="A3740" s="7">
        <v>3739</v>
      </c>
      <c r="B3740" s="7">
        <v>1</v>
      </c>
      <c r="C3740" s="7" t="s">
        <v>10</v>
      </c>
      <c r="D3740" s="7">
        <v>2238</v>
      </c>
      <c r="E3740" s="7" t="s">
        <v>18</v>
      </c>
      <c r="F3740" s="8" t="str">
        <f ca="1">IFERROR(__xludf.DUMMYFUNCTION("IF
(
C3741=""фізична особа""
,
VLOOKUP(D3741,IMPORTRANGE(""https://docs.google.com/spreadsheets/d/14Bd19lYaqBhU8_DElYkX7l4wRkHqqCUFNJY4AfY3kHU/edit?usp=sharing  #gid=0"",""фіз особи new!relations_name""),6,FALSE)
,
(IF
(
C3741=""юридична особа""
,
VLOOKUP"&amp;"(D3741,IMPORTRANGE(""https://docs.google.com/spreadsheets/d/14Bd19lYaqBhU8_DElYkX7l4wRkHqqCUFNJY4AfY3kHU/edit?usp=sharing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40" s="7" t="s">
        <v>10</v>
      </c>
      <c r="H3740" s="7">
        <v>0</v>
      </c>
      <c r="I3740" s="8" t="str">
        <f ca="1">IFERROR(__xludf.DUMMYFUNCTION("IF
(
G3741=""фізична особа""
,
VLOOKUP(H3741,IMPORTRANGE(""https://docs.google.com/spreadsheets/d/14Bd19lYaqBhU8_DElYkX7l4wRkHqqCUFNJY4AfY3kHU/edit?usp=sharing  #gid=0"",""фіз особи new!relations_name""),6,FALSE)
,
(IF
(
G3741=""юридична особа""
,
VLOOKUP"&amp;"(H3741,IMPORTRANGE(""https://docs.google.com/spreadsheets/d/14Bd19lYaqBhU8_DElYkX7l4wRkHqqCUFNJY4AfY3kHU/edit?usp=sharing  #gid=0"",""фіз особи new!relations_name_uo""),7,FALSE)
,
)
))"),"#N/A")</f>
        <v>#N/A</v>
      </c>
      <c r="J3740" s="7" t="s">
        <v>31</v>
      </c>
    </row>
    <row r="3741" spans="1:10" ht="13.2">
      <c r="A3741" s="7">
        <v>3740</v>
      </c>
      <c r="B3741" s="7">
        <v>1</v>
      </c>
      <c r="C3741" s="7" t="s">
        <v>10</v>
      </c>
      <c r="D3741" s="7">
        <v>2238</v>
      </c>
      <c r="E3741" s="7" t="s">
        <v>17</v>
      </c>
      <c r="F3741" s="8" t="str">
        <f ca="1">IFERROR(__xludf.DUMMYFUNCTION("IF
(
C3742=""фізична особа""
,
VLOOKUP(D3742,IMPORTRANGE(""https://docs.google.com/spreadsheets/d/14Bd19lYaqBhU8_DElYkX7l4wRkHqqCUFNJY4AfY3kHU/edit?usp=sharing  #gid=0"",""фіз особи new!relations_name""),6,FALSE)
,
(IF
(
C3742=""юридична особа""
,
VLOOKUP"&amp;"(D3742,IMPORTRANGE(""https://docs.google.com/spreadsheets/d/14Bd19lYaqBhU8_DElYkX7l4wRkHqqCUFNJY4AfY3kHU/edit?usp=sharing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41" s="7" t="s">
        <v>10</v>
      </c>
      <c r="H3741" s="7">
        <v>0</v>
      </c>
      <c r="I3741" s="8" t="str">
        <f ca="1">IFERROR(__xludf.DUMMYFUNCTION("IF
(
G3742=""фізична особа""
,
VLOOKUP(H3742,IMPORTRANGE(""https://docs.google.com/spreadsheets/d/14Bd19lYaqBhU8_DElYkX7l4wRkHqqCUFNJY4AfY3kHU/edit?usp=sharing  #gid=0"",""фіз особи new!relations_name""),6,FALSE)
,
(IF
(
G3742=""юридична особа""
,
VLOOKUP"&amp;"(H3742,IMPORTRANGE(""https://docs.google.com/spreadsheets/d/14Bd19lYaqBhU8_DElYkX7l4wRkHqqCUFNJY4AfY3kHU/edit?usp=sharing  #gid=0"",""фіз особи new!relations_name_uo""),7,FALSE)
,
)
))"),"#N/A")</f>
        <v>#N/A</v>
      </c>
      <c r="J3741" s="7" t="s">
        <v>12</v>
      </c>
    </row>
    <row r="3742" spans="1:10" ht="13.2">
      <c r="A3742" s="7">
        <v>3741</v>
      </c>
      <c r="B3742" s="7">
        <v>1</v>
      </c>
      <c r="C3742" s="7" t="s">
        <v>10</v>
      </c>
      <c r="D3742" s="7">
        <v>2238</v>
      </c>
      <c r="E3742" s="7" t="s">
        <v>17</v>
      </c>
      <c r="F3742" s="8" t="str">
        <f ca="1">IFERROR(__xludf.DUMMYFUNCTION("IF
(
C3743=""фізична особа""
,
VLOOKUP(D3743,IMPORTRANGE(""https://docs.google.com/spreadsheets/d/14Bd19lYaqBhU8_DElYkX7l4wRkHqqCUFNJY4AfY3kHU/edit?usp=sharing  #gid=0"",""фіз особи new!relations_name""),6,FALSE)
,
(IF
(
C3743=""юридична особа""
,
VLOOKUP"&amp;"(D3743,IMPORTRANGE(""https://docs.google.com/spreadsheets/d/14Bd19lYaqBhU8_DElYkX7l4wRkHqqCUFNJY4AfY3kHU/edit?usp=sharing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42" s="7" t="s">
        <v>10</v>
      </c>
      <c r="H3742" s="7">
        <v>0</v>
      </c>
      <c r="I3742" s="8" t="str">
        <f ca="1">IFERROR(__xludf.DUMMYFUNCTION("IF
(
G3743=""фізична особа""
,
VLOOKUP(H3743,IMPORTRANGE(""https://docs.google.com/spreadsheets/d/14Bd19lYaqBhU8_DElYkX7l4wRkHqqCUFNJY4AfY3kHU/edit?usp=sharing  #gid=0"",""фіз особи new!relations_name""),6,FALSE)
,
(IF
(
G3743=""юридична особа""
,
VLOOKUP"&amp;"(H3743,IMPORTRANGE(""https://docs.google.com/spreadsheets/d/14Bd19lYaqBhU8_DElYkX7l4wRkHqqCUFNJY4AfY3kHU/edit?usp=sharing  #gid=0"",""фіз особи new!relations_name_uo""),7,FALSE)
,
)
))"),"#N/A")</f>
        <v>#N/A</v>
      </c>
      <c r="J3742" s="7" t="s">
        <v>21</v>
      </c>
    </row>
    <row r="3743" spans="1:10" ht="13.2">
      <c r="A3743" s="7">
        <v>3742</v>
      </c>
      <c r="B3743" s="7">
        <v>1</v>
      </c>
      <c r="C3743" s="7" t="s">
        <v>10</v>
      </c>
      <c r="D3743" s="7">
        <v>2238</v>
      </c>
      <c r="E3743" s="7" t="s">
        <v>12</v>
      </c>
      <c r="F3743" s="8" t="str">
        <f ca="1">IFERROR(__xludf.DUMMYFUNCTION("IF
(
C3744=""фізична особа""
,
VLOOKUP(D3744,IMPORTRANGE(""https://docs.google.com/spreadsheets/d/14Bd19lYaqBhU8_DElYkX7l4wRkHqqCUFNJY4AfY3kHU/edit?usp=sharing  #gid=0"",""фіз особи new!relations_name""),6,FALSE)
,
(IF
(
C3744=""юридична особа""
,
VLOOKUP"&amp;"(D3744,IMPORTRANGE(""https://docs.google.com/spreadsheets/d/14Bd19lYaqBhU8_DElYkX7l4wRkHqqCUFNJY4AfY3kHU/edit?usp=sharing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43" s="7" t="s">
        <v>10</v>
      </c>
      <c r="H3743" s="7">
        <v>0</v>
      </c>
      <c r="I3743" s="8" t="str">
        <f ca="1">IFERROR(__xludf.DUMMYFUNCTION("IF
(
G3744=""фізична особа""
,
VLOOKUP(H3744,IMPORTRANGE(""https://docs.google.com/spreadsheets/d/14Bd19lYaqBhU8_DElYkX7l4wRkHqqCUFNJY4AfY3kHU/edit?usp=sharing  #gid=0"",""фіз особи new!relations_name""),6,FALSE)
,
(IF
(
G3744=""юридична особа""
,
VLOOKUP"&amp;"(H3744,IMPORTRANGE(""https://docs.google.com/spreadsheets/d/14Bd19lYaqBhU8_DElYkX7l4wRkHqqCUFNJY4AfY3kHU/edit?usp=sharing  #gid=0"",""фіз особи new!relations_name_uo""),7,FALSE)
,
)
))"),"#N/A")</f>
        <v>#N/A</v>
      </c>
      <c r="J3743" s="7" t="s">
        <v>13</v>
      </c>
    </row>
    <row r="3744" spans="1:10" ht="13.2">
      <c r="A3744" s="7">
        <v>3743</v>
      </c>
      <c r="B3744" s="7">
        <v>1</v>
      </c>
      <c r="C3744" s="7" t="s">
        <v>10</v>
      </c>
      <c r="D3744" s="7">
        <v>2238</v>
      </c>
      <c r="E3744" s="7" t="s">
        <v>12</v>
      </c>
      <c r="F3744" s="8" t="str">
        <f ca="1">IFERROR(__xludf.DUMMYFUNCTION("IF
(
C3745=""фізична особа""
,
VLOOKUP(D3745,IMPORTRANGE(""https://docs.google.com/spreadsheets/d/14Bd19lYaqBhU8_DElYkX7l4wRkHqqCUFNJY4AfY3kHU/edit?usp=sharing  #gid=0"",""фіз особи new!relations_name""),6,FALSE)
,
(IF
(
C3745=""юридична особа""
,
VLOOKUP"&amp;"(D3745,IMPORTRANGE(""https://docs.google.com/spreadsheets/d/14Bd19lYaqBhU8_DElYkX7l4wRkHqqCUFNJY4AfY3kHU/edit?usp=sharing  #gid=0"",""фіз особи new!relations_name_uo""),7,FALSE)
,
)
))"),"ЗАПАШНИЙ Едгард Вальтерович")</f>
        <v>ЗАПАШНИЙ Едгард Вальтерович</v>
      </c>
      <c r="G3744" s="7" t="s">
        <v>10</v>
      </c>
      <c r="H3744" s="7">
        <v>0</v>
      </c>
      <c r="I3744" s="8" t="str">
        <f ca="1">IFERROR(__xludf.DUMMYFUNCTION("IF
(
G3745=""фізична особа""
,
VLOOKUP(H3745,IMPORTRANGE(""https://docs.google.com/spreadsheets/d/14Bd19lYaqBhU8_DElYkX7l4wRkHqqCUFNJY4AfY3kHU/edit?usp=sharing  #gid=0"",""фіз особи new!relations_name""),6,FALSE)
,
(IF
(
G3745=""юридична особа""
,
VLOOKUP"&amp;"(H3745,IMPORTRANGE(""https://docs.google.com/spreadsheets/d/14Bd19lYaqBhU8_DElYkX7l4wRkHqqCUFNJY4AfY3kHU/edit?usp=sharing  #gid=0"",""фіз особи new!relations_name_uo""),7,FALSE)
,
)
))"),"#N/A")</f>
        <v>#N/A</v>
      </c>
      <c r="J3744" s="7" t="s">
        <v>13</v>
      </c>
    </row>
    <row r="3745" spans="1:10" ht="13.2">
      <c r="A3745" s="7">
        <v>3744</v>
      </c>
      <c r="B3745" s="7">
        <v>1</v>
      </c>
      <c r="C3745" s="7" t="s">
        <v>10</v>
      </c>
      <c r="D3745" s="7">
        <v>2239</v>
      </c>
      <c r="E3745" s="7" t="s">
        <v>12</v>
      </c>
      <c r="F3745" s="8" t="str">
        <f ca="1">IFERROR(__xludf.DUMMYFUNCTION("IF
(
C3746=""фізична особа""
,
VLOOKUP(D3746,IMPORTRANGE(""https://docs.google.com/spreadsheets/d/14Bd19lYaqBhU8_DElYkX7l4wRkHqqCUFNJY4AfY3kHU/edit?usp=sharing  #gid=0"",""фіз особи new!relations_name""),6,FALSE)
,
(IF
(
C3746=""юридична особа""
,
VLOOKUP"&amp;"(D3746,IMPORTRANGE(""https://docs.google.com/spreadsheets/d/14Bd19lYaqBhU8_DElYkX7l4wRkHqqCUFNJY4AfY3kHU/edit?usp=sharing  #gid=0"",""фіз особи new!relations_name_uo""),7,FALSE)
,
)
))"),"СЄРОВ Олександр Миколайович")</f>
        <v>СЄРОВ Олександр Миколайович</v>
      </c>
      <c r="G3745" s="7" t="s">
        <v>10</v>
      </c>
      <c r="H3745" s="7">
        <v>0</v>
      </c>
      <c r="I3745" s="8" t="str">
        <f ca="1">IFERROR(__xludf.DUMMYFUNCTION("IF
(
G3746=""фізична особа""
,
VLOOKUP(H3746,IMPORTRANGE(""https://docs.google.com/spreadsheets/d/14Bd19lYaqBhU8_DElYkX7l4wRkHqqCUFNJY4AfY3kHU/edit?usp=sharing  #gid=0"",""фіз особи new!relations_name""),6,FALSE)
,
(IF
(
G3746=""юридична особа""
,
VLOOKUP"&amp;"(H3746,IMPORTRANGE(""https://docs.google.com/spreadsheets/d/14Bd19lYaqBhU8_DElYkX7l4wRkHqqCUFNJY4AfY3kHU/edit?usp=sharing  #gid=0"",""фіз особи new!relations_name_uo""),7,FALSE)
,
)
))"),"#N/A")</f>
        <v>#N/A</v>
      </c>
      <c r="J3745" s="7" t="s">
        <v>13</v>
      </c>
    </row>
    <row r="3746" spans="1:10" ht="13.2">
      <c r="A3746" s="7">
        <v>3745</v>
      </c>
      <c r="B3746" s="7">
        <v>1</v>
      </c>
      <c r="C3746" s="7" t="s">
        <v>10</v>
      </c>
      <c r="D3746" s="7">
        <v>2239</v>
      </c>
      <c r="E3746" s="7" t="s">
        <v>24</v>
      </c>
      <c r="F3746" s="8" t="str">
        <f ca="1">IFERROR(__xludf.DUMMYFUNCTION("IF
(
C3747=""фізична особа""
,
VLOOKUP(D3747,IMPORTRANGE(""https://docs.google.com/spreadsheets/d/14Bd19lYaqBhU8_DElYkX7l4wRkHqqCUFNJY4AfY3kHU/edit?usp=sharing  #gid=0"",""фіз особи new!relations_name""),6,FALSE)
,
(IF
(
C3747=""юридична особа""
,
VLOOKUP"&amp;"(D3747,IMPORTRANGE(""https://docs.google.com/spreadsheets/d/14Bd19lYaqBhU8_DElYkX7l4wRkHqqCUFNJY4AfY3kHU/edit?usp=sharing  #gid=0"",""фіз особи new!relations_name_uo""),7,FALSE)
,
)
))"),"СЄРОВ Олександр Миколайович")</f>
        <v>СЄРОВ Олександр Миколайович</v>
      </c>
      <c r="G3746" s="7" t="s">
        <v>10</v>
      </c>
      <c r="H3746" s="7">
        <v>0</v>
      </c>
      <c r="I3746" s="8" t="str">
        <f ca="1">IFERROR(__xludf.DUMMYFUNCTION("IF
(
G3747=""фізична особа""
,
VLOOKUP(H3747,IMPORTRANGE(""https://docs.google.com/spreadsheets/d/14Bd19lYaqBhU8_DElYkX7l4wRkHqqCUFNJY4AfY3kHU/edit?usp=sharing  #gid=0"",""фіз особи new!relations_name""),6,FALSE)
,
(IF
(
G3747=""юридична особа""
,
VLOOKUP"&amp;"(H3747,IMPORTRANGE(""https://docs.google.com/spreadsheets/d/14Bd19lYaqBhU8_DElYkX7l4wRkHqqCUFNJY4AfY3kHU/edit?usp=sharing  #gid=0"",""фіз особи new!relations_name_uo""),7,FALSE)
,
)
))"),"#N/A")</f>
        <v>#N/A</v>
      </c>
      <c r="J3746" s="7" t="s">
        <v>26</v>
      </c>
    </row>
    <row r="3747" spans="1:10" ht="13.2">
      <c r="A3747" s="7">
        <v>3746</v>
      </c>
      <c r="B3747" s="7">
        <v>1</v>
      </c>
      <c r="C3747" s="7" t="s">
        <v>10</v>
      </c>
      <c r="D3747" s="7">
        <v>2239</v>
      </c>
      <c r="E3747" s="7" t="s">
        <v>59</v>
      </c>
      <c r="F3747" s="8" t="str">
        <f ca="1">IFERROR(__xludf.DUMMYFUNCTION("IF
(
C3748=""фізична особа""
,
VLOOKUP(D3748,IMPORTRANGE(""https://docs.google.com/spreadsheets/d/14Bd19lYaqBhU8_DElYkX7l4wRkHqqCUFNJY4AfY3kHU/edit?usp=sharing  #gid=0"",""фіз особи new!relations_name""),6,FALSE)
,
(IF
(
C3748=""юридична особа""
,
VLOOKUP"&amp;"(D3748,IMPORTRANGE(""https://docs.google.com/spreadsheets/d/14Bd19lYaqBhU8_DElYkX7l4wRkHqqCUFNJY4AfY3kHU/edit?usp=sharing  #gid=0"",""фіз особи new!relations_name_uo""),7,FALSE)
,
)
))"),"СЄРОВ Олександр Миколайович")</f>
        <v>СЄРОВ Олександр Миколайович</v>
      </c>
      <c r="G3747" s="7" t="s">
        <v>10</v>
      </c>
      <c r="H3747" s="7">
        <v>0</v>
      </c>
      <c r="I3747" s="8" t="str">
        <f ca="1">IFERROR(__xludf.DUMMYFUNCTION("IF
(
G3748=""фізична особа""
,
VLOOKUP(H3748,IMPORTRANGE(""https://docs.google.com/spreadsheets/d/14Bd19lYaqBhU8_DElYkX7l4wRkHqqCUFNJY4AfY3kHU/edit?usp=sharing  #gid=0"",""фіз особи new!relations_name""),6,FALSE)
,
(IF
(
G3748=""юридична особа""
,
VLOOKUP"&amp;"(H3748,IMPORTRANGE(""https://docs.google.com/spreadsheets/d/14Bd19lYaqBhU8_DElYkX7l4wRkHqqCUFNJY4AfY3kHU/edit?usp=sharing  #gid=0"",""фіз особи new!relations_name_uo""),7,FALSE)
,
)
))"),"#N/A")</f>
        <v>#N/A</v>
      </c>
      <c r="J3747" s="7" t="s">
        <v>60</v>
      </c>
    </row>
    <row r="3748" spans="1:10" ht="13.2">
      <c r="A3748" s="7">
        <v>3747</v>
      </c>
      <c r="B3748" s="7">
        <v>1</v>
      </c>
      <c r="C3748" s="7" t="s">
        <v>10</v>
      </c>
      <c r="D3748" s="7">
        <v>2239</v>
      </c>
      <c r="E3748" s="7" t="s">
        <v>59</v>
      </c>
      <c r="F3748" s="8" t="str">
        <f ca="1">IFERROR(__xludf.DUMMYFUNCTION("IF
(
C3749=""фізична особа""
,
VLOOKUP(D3749,IMPORTRANGE(""https://docs.google.com/spreadsheets/d/14Bd19lYaqBhU8_DElYkX7l4wRkHqqCUFNJY4AfY3kHU/edit?usp=sharing  #gid=0"",""фіз особи new!relations_name""),6,FALSE)
,
(IF
(
C3749=""юридична особа""
,
VLOOKUP"&amp;"(D3749,IMPORTRANGE(""https://docs.google.com/spreadsheets/d/14Bd19lYaqBhU8_DElYkX7l4wRkHqqCUFNJY4AfY3kHU/edit?usp=sharing  #gid=0"",""фіз особи new!relations_name_uo""),7,FALSE)
,
)
))"),"СЄРОВ Олександр Миколайович")</f>
        <v>СЄРОВ Олександр Миколайович</v>
      </c>
      <c r="G3748" s="7" t="s">
        <v>10</v>
      </c>
      <c r="H3748" s="7">
        <v>0</v>
      </c>
      <c r="I3748" s="8" t="str">
        <f ca="1">IFERROR(__xludf.DUMMYFUNCTION("IF
(
G3749=""фізична особа""
,
VLOOKUP(H3749,IMPORTRANGE(""https://docs.google.com/spreadsheets/d/14Bd19lYaqBhU8_DElYkX7l4wRkHqqCUFNJY4AfY3kHU/edit?usp=sharing  #gid=0"",""фіз особи new!relations_name""),6,FALSE)
,
(IF
(
G3749=""юридична особа""
,
VLOOKUP"&amp;"(H3749,IMPORTRANGE(""https://docs.google.com/spreadsheets/d/14Bd19lYaqBhU8_DElYkX7l4wRkHqqCUFNJY4AfY3kHU/edit?usp=sharing  #gid=0"",""фіз особи new!relations_name_uo""),7,FALSE)
,
)
))"),"#N/A")</f>
        <v>#N/A</v>
      </c>
      <c r="J3748" s="7" t="s">
        <v>61</v>
      </c>
    </row>
    <row r="3749" spans="1:10" ht="13.2">
      <c r="A3749" s="7">
        <v>3748</v>
      </c>
      <c r="B3749" s="7">
        <v>1</v>
      </c>
      <c r="C3749" s="7" t="s">
        <v>10</v>
      </c>
      <c r="D3749" s="7">
        <v>2240</v>
      </c>
      <c r="E3749" s="7" t="s">
        <v>13</v>
      </c>
      <c r="F3749" s="8" t="str">
        <f ca="1">IFERROR(__xludf.DUMMYFUNCTION("IF
(
C3750=""фізична особа""
,
VLOOKUP(D3750,IMPORTRANGE(""https://docs.google.com/spreadsheets/d/14Bd19lYaqBhU8_DElYkX7l4wRkHqqCUFNJY4AfY3kHU/edit?usp=sharing  #gid=0"",""фіз особи new!relations_name""),6,FALSE)
,
(IF
(
C3750=""юридична особа""
,
VLOOKUP"&amp;"(D3750,IMPORTRANGE(""https://docs.google.com/spreadsheets/d/14Bd19lYaqBhU8_DElYkX7l4wRkHqqCUFNJY4AfY3kHU/edit?usp=sharing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49" s="7" t="s">
        <v>10</v>
      </c>
      <c r="H3749" s="7">
        <v>0</v>
      </c>
      <c r="I3749" s="8" t="str">
        <f ca="1">IFERROR(__xludf.DUMMYFUNCTION("IF
(
G3750=""фізична особа""
,
VLOOKUP(H3750,IMPORTRANGE(""https://docs.google.com/spreadsheets/d/14Bd19lYaqBhU8_DElYkX7l4wRkHqqCUFNJY4AfY3kHU/edit?usp=sharing  #gid=0"",""фіз особи new!relations_name""),6,FALSE)
,
(IF
(
G3750=""юридична особа""
,
VLOOKUP"&amp;"(H3750,IMPORTRANGE(""https://docs.google.com/spreadsheets/d/14Bd19lYaqBhU8_DElYkX7l4wRkHqqCUFNJY4AfY3kHU/edit?usp=sharing  #gid=0"",""фіз особи new!relations_name_uo""),7,FALSE)
,
)
))"),"#N/A")</f>
        <v>#N/A</v>
      </c>
      <c r="J3749" s="7" t="s">
        <v>12</v>
      </c>
    </row>
    <row r="3750" spans="1:10" ht="13.2">
      <c r="A3750" s="7">
        <v>3749</v>
      </c>
      <c r="B3750" s="7">
        <v>1</v>
      </c>
      <c r="C3750" s="7" t="s">
        <v>10</v>
      </c>
      <c r="D3750" s="7">
        <v>2240</v>
      </c>
      <c r="E3750" s="7" t="s">
        <v>13</v>
      </c>
      <c r="F3750" s="8" t="str">
        <f ca="1">IFERROR(__xludf.DUMMYFUNCTION("IF
(
C3751=""фізична особа""
,
VLOOKUP(D3751,IMPORTRANGE(""https://docs.google.com/spreadsheets/d/14Bd19lYaqBhU8_DElYkX7l4wRkHqqCUFNJY4AfY3kHU/edit?usp=sharing  #gid=0"",""фіз особи new!relations_name""),6,FALSE)
,
(IF
(
C3751=""юридична особа""
,
VLOOKUP"&amp;"(D3751,IMPORTRANGE(""https://docs.google.com/spreadsheets/d/14Bd19lYaqBhU8_DElYkX7l4wRkHqqCUFNJY4AfY3kHU/edit?usp=sharing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0" s="7" t="s">
        <v>10</v>
      </c>
      <c r="H3750" s="7">
        <v>0</v>
      </c>
      <c r="I3750" s="8" t="str">
        <f ca="1">IFERROR(__xludf.DUMMYFUNCTION("IF
(
G3751=""фізична особа""
,
VLOOKUP(H3751,IMPORTRANGE(""https://docs.google.com/spreadsheets/d/14Bd19lYaqBhU8_DElYkX7l4wRkHqqCUFNJY4AfY3kHU/edit?usp=sharing  #gid=0"",""фіз особи new!relations_name""),6,FALSE)
,
(IF
(
G3751=""юридична особа""
,
VLOOKUP"&amp;"(H3751,IMPORTRANGE(""https://docs.google.com/spreadsheets/d/14Bd19lYaqBhU8_DElYkX7l4wRkHqqCUFNJY4AfY3kHU/edit?usp=sharing  #gid=0"",""фіз особи new!relations_name_uo""),7,FALSE)
,
)
))"),"#N/A")</f>
        <v>#N/A</v>
      </c>
      <c r="J3750" s="7" t="s">
        <v>21</v>
      </c>
    </row>
    <row r="3751" spans="1:10" ht="13.2">
      <c r="A3751" s="7">
        <v>3750</v>
      </c>
      <c r="B3751" s="7">
        <v>1</v>
      </c>
      <c r="C3751" s="7" t="s">
        <v>10</v>
      </c>
      <c r="D3751" s="7">
        <v>2240</v>
      </c>
      <c r="E3751" s="7" t="s">
        <v>21</v>
      </c>
      <c r="F3751" s="8" t="str">
        <f ca="1">IFERROR(__xludf.DUMMYFUNCTION("IF
(
C3752=""фізична особа""
,
VLOOKUP(D3752,IMPORTRANGE(""https://docs.google.com/spreadsheets/d/14Bd19lYaqBhU8_DElYkX7l4wRkHqqCUFNJY4AfY3kHU/edit?usp=sharing  #gid=0"",""фіз особи new!relations_name""),6,FALSE)
,
(IF
(
C3752=""юридична особа""
,
VLOOKUP"&amp;"(D3752,IMPORTRANGE(""https://docs.google.com/spreadsheets/d/14Bd19lYaqBhU8_DElYkX7l4wRkHqqCUFNJY4AfY3kHU/edit?usp=sharing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1" s="7" t="s">
        <v>10</v>
      </c>
      <c r="H3751" s="7">
        <v>0</v>
      </c>
      <c r="I3751" s="8" t="str">
        <f ca="1">IFERROR(__xludf.DUMMYFUNCTION("IF
(
G3752=""фізична особа""
,
VLOOKUP(H3752,IMPORTRANGE(""https://docs.google.com/spreadsheets/d/14Bd19lYaqBhU8_DElYkX7l4wRkHqqCUFNJY4AfY3kHU/edit?usp=sharing  #gid=0"",""фіз особи new!relations_name""),6,FALSE)
,
(IF
(
G3752=""юридична особа""
,
VLOOKUP"&amp;"(H3752,IMPORTRANGE(""https://docs.google.com/spreadsheets/d/14Bd19lYaqBhU8_DElYkX7l4wRkHqqCUFNJY4AfY3kHU/edit?usp=sharing  #gid=0"",""фіз особи new!relations_name_uo""),7,FALSE)
,
)
))"),"#N/A")</f>
        <v>#N/A</v>
      </c>
      <c r="J3751" s="7" t="s">
        <v>17</v>
      </c>
    </row>
    <row r="3752" spans="1:10" ht="13.2">
      <c r="A3752" s="7">
        <v>3751</v>
      </c>
      <c r="B3752" s="7">
        <v>1</v>
      </c>
      <c r="C3752" s="7" t="s">
        <v>10</v>
      </c>
      <c r="D3752" s="7">
        <v>2240</v>
      </c>
      <c r="E3752" s="7" t="s">
        <v>21</v>
      </c>
      <c r="F3752" s="8" t="str">
        <f ca="1">IFERROR(__xludf.DUMMYFUNCTION("IF
(
C3753=""фізична особа""
,
VLOOKUP(D3753,IMPORTRANGE(""https://docs.google.com/spreadsheets/d/14Bd19lYaqBhU8_DElYkX7l4wRkHqqCUFNJY4AfY3kHU/edit?usp=sharing  #gid=0"",""фіз особи new!relations_name""),6,FALSE)
,
(IF
(
C3753=""юридична особа""
,
VLOOKUP"&amp;"(D3753,IMPORTRANGE(""https://docs.google.com/spreadsheets/d/14Bd19lYaqBhU8_DElYkX7l4wRkHqqCUFNJY4AfY3kHU/edit?usp=sharing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2" s="7" t="s">
        <v>10</v>
      </c>
      <c r="H3752" s="7">
        <v>0</v>
      </c>
      <c r="I3752" s="8" t="str">
        <f ca="1">IFERROR(__xludf.DUMMYFUNCTION("IF
(
G3753=""фізична особа""
,
VLOOKUP(H3753,IMPORTRANGE(""https://docs.google.com/spreadsheets/d/14Bd19lYaqBhU8_DElYkX7l4wRkHqqCUFNJY4AfY3kHU/edit?usp=sharing  #gid=0"",""фіз особи new!relations_name""),6,FALSE)
,
(IF
(
G3753=""юридична особа""
,
VLOOKUP"&amp;"(H3753,IMPORTRANGE(""https://docs.google.com/spreadsheets/d/14Bd19lYaqBhU8_DElYkX7l4wRkHqqCUFNJY4AfY3kHU/edit?usp=sharing  #gid=0"",""фіз особи new!relations_name_uo""),7,FALSE)
,
)
))"),"#N/A")</f>
        <v>#N/A</v>
      </c>
      <c r="J3752" s="7" t="s">
        <v>17</v>
      </c>
    </row>
    <row r="3753" spans="1:10" ht="13.2">
      <c r="A3753" s="7">
        <v>3752</v>
      </c>
      <c r="B3753" s="7">
        <v>1</v>
      </c>
      <c r="C3753" s="7" t="s">
        <v>10</v>
      </c>
      <c r="D3753" s="7">
        <v>2240</v>
      </c>
      <c r="E3753" s="7" t="s">
        <v>21</v>
      </c>
      <c r="F3753" s="8" t="str">
        <f ca="1">IFERROR(__xludf.DUMMYFUNCTION("IF
(
C3754=""фізична особа""
,
VLOOKUP(D3754,IMPORTRANGE(""https://docs.google.com/spreadsheets/d/14Bd19lYaqBhU8_DElYkX7l4wRkHqqCUFNJY4AfY3kHU/edit?usp=sharing  #gid=0"",""фіз особи new!relations_name""),6,FALSE)
,
(IF
(
C3754=""юридична особа""
,
VLOOKUP"&amp;"(D3754,IMPORTRANGE(""https://docs.google.com/spreadsheets/d/14Bd19lYaqBhU8_DElYkX7l4wRkHqqCUFNJY4AfY3kHU/edit?usp=sharing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3" s="7" t="s">
        <v>10</v>
      </c>
      <c r="H3753" s="7">
        <v>23473</v>
      </c>
      <c r="I3753" s="8" t="str">
        <f ca="1">IFERROR(__xludf.DUMMYFUNCTION("IF
(
G3754=""фізична особа""
,
VLOOKUP(H3754,IMPORTRANGE(""https://docs.google.com/spreadsheets/d/14Bd19lYaqBhU8_DElYkX7l4wRkHqqCUFNJY4AfY3kHU/edit?usp=sharing  #gid=0"",""фіз особи new!relations_name""),6,FALSE)
,
(IF
(
G3754=""юридична особа""
,
VLOOKUP"&amp;"(H3754,IMPORTRANGE(""https://docs.google.com/spreadsheets/d/14Bd19lYaqBhU8_DElYkX7l4wRkHqqCUFNJY4AfY3kHU/edit?usp=sharing  #gid=0"",""фіз особи new!relations_name_uo""),7,FALSE)
,
)
))"),"ПЛЮЩЕНКО Олександр Євгенійович")</f>
        <v>ПЛЮЩЕНКО Олександр Євгенійович</v>
      </c>
      <c r="J3753" s="7" t="s">
        <v>17</v>
      </c>
    </row>
    <row r="3754" spans="1:10" ht="13.2">
      <c r="A3754" s="7">
        <v>3753</v>
      </c>
      <c r="B3754" s="7">
        <v>1</v>
      </c>
      <c r="C3754" s="7" t="s">
        <v>10</v>
      </c>
      <c r="D3754" s="7">
        <v>2240</v>
      </c>
      <c r="E3754" s="7" t="s">
        <v>21</v>
      </c>
      <c r="F3754" s="8" t="str">
        <f ca="1">IFERROR(__xludf.DUMMYFUNCTION("IF
(
C3755=""фізична особа""
,
VLOOKUP(D3755,IMPORTRANGE(""https://docs.google.com/spreadsheets/d/14Bd19lYaqBhU8_DElYkX7l4wRkHqqCUFNJY4AfY3kHU/edit?usp=sharing  #gid=0"",""фіз особи new!relations_name""),6,FALSE)
,
(IF
(
C3755=""юридична особа""
,
VLOOKUP"&amp;"(D3755,IMPORTRANGE(""https://docs.google.com/spreadsheets/d/14Bd19lYaqBhU8_DElYkX7l4wRkHqqCUFNJY4AfY3kHU/edit?usp=sharing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4" s="7" t="s">
        <v>10</v>
      </c>
      <c r="H3754" s="7">
        <v>23474</v>
      </c>
      <c r="I3754" s="8" t="str">
        <f ca="1">IFERROR(__xludf.DUMMYFUNCTION("IF
(
G3755=""фізична особа""
,
VLOOKUP(H3755,IMPORTRANGE(""https://docs.google.com/spreadsheets/d/14Bd19lYaqBhU8_DElYkX7l4wRkHqqCUFNJY4AfY3kHU/edit?usp=sharing  #gid=0"",""фіз особи new!relations_name""),6,FALSE)
,
(IF
(
G3755=""юридична особа""
,
VLOOKUP"&amp;"(H3755,IMPORTRANGE(""https://docs.google.com/spreadsheets/d/14Bd19lYaqBhU8_DElYkX7l4wRkHqqCUFNJY4AfY3kHU/edit?usp=sharing  #gid=0"",""фіз особи new!relations_name_uo""),7,FALSE)
,
)
))"),"ПЛЮЩЕНКО Арсеній Євгенійович")</f>
        <v>ПЛЮЩЕНКО Арсеній Євгенійович</v>
      </c>
      <c r="J3754" s="7" t="s">
        <v>17</v>
      </c>
    </row>
    <row r="3755" spans="1:10" ht="13.2">
      <c r="A3755" s="7">
        <v>3754</v>
      </c>
      <c r="B3755" s="7">
        <v>1</v>
      </c>
      <c r="C3755" s="7" t="s">
        <v>10</v>
      </c>
      <c r="D3755" s="7">
        <v>2240</v>
      </c>
      <c r="E3755" s="7" t="s">
        <v>15</v>
      </c>
      <c r="F3755" s="8" t="str">
        <f ca="1">IFERROR(__xludf.DUMMYFUNCTION("IF
(
C3756=""фізична особа""
,
VLOOKUP(D3756,IMPORTRANGE(""https://docs.google.com/spreadsheets/d/14Bd19lYaqBhU8_DElYkX7l4wRkHqqCUFNJY4AfY3kHU/edit?usp=sharing  #gid=0"",""фіз особи new!relations_name""),6,FALSE)
,
(IF
(
C3756=""юридична особа""
,
VLOOKUP"&amp;"(D3756,IMPORTRANGE(""https://docs.google.com/spreadsheets/d/14Bd19lYaqBhU8_DElYkX7l4wRkHqqCUFNJY4AfY3kHU/edit?usp=sharing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G3755" s="7" t="s">
        <v>10</v>
      </c>
      <c r="H3755" s="7">
        <v>2244</v>
      </c>
      <c r="I3755" s="8" t="str">
        <f ca="1">IFERROR(__xludf.DUMMYFUNCTION("IF
(
G3756=""фізична особа""
,
VLOOKUP(H3756,IMPORTRANGE(""https://docs.google.com/spreadsheets/d/14Bd19lYaqBhU8_DElYkX7l4wRkHqqCUFNJY4AfY3kHU/edit?usp=sharing  #gid=0"",""фіз особи new!relations_name""),6,FALSE)
,
(IF
(
G3756=""юридична особа""
,
VLOOKUP"&amp;"(H3756,IMPORTRANGE(""https://docs.google.com/spreadsheets/d/14Bd19lYaqBhU8_DElYkX7l4wRkHqqCUFNJY4AfY3kHU/edit?usp=sharing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J3755" s="7" t="s">
        <v>14</v>
      </c>
    </row>
    <row r="3756" spans="1:10" ht="13.2">
      <c r="A3756" s="7">
        <v>3755</v>
      </c>
      <c r="B3756" s="7">
        <v>1</v>
      </c>
      <c r="C3756" s="7" t="s">
        <v>10</v>
      </c>
      <c r="D3756" s="7">
        <v>2241</v>
      </c>
      <c r="E3756" s="7" t="s">
        <v>12</v>
      </c>
      <c r="F3756" s="8" t="str">
        <f ca="1">IFERROR(__xludf.DUMMYFUNCTION("IF
(
C3757=""фізична особа""
,
VLOOKUP(D3757,IMPORTRANGE(""https://docs.google.com/spreadsheets/d/14Bd19lYaqBhU8_DElYkX7l4wRkHqqCUFNJY4AfY3kHU/edit?usp=sharing  #gid=0"",""фіз особи new!relations_name""),6,FALSE)
,
(IF
(
C3757=""юридична особа""
,
VLOOKUP"&amp;"(D3757,IMPORTRANGE(""https://docs.google.com/spreadsheets/d/14Bd19lYaqBhU8_DElYkX7l4wRkHqqCUFNJY4AfY3kHU/edit?usp=sharing  #gid=0"",""фіз особи new!relations_name_uo""),7,FALSE)
,
)
))"),"СТАРОВОЙТОВ Стас")</f>
        <v>СТАРОВОЙТОВ Стас</v>
      </c>
      <c r="G3756" s="7" t="s">
        <v>10</v>
      </c>
      <c r="H3756" s="7">
        <v>0</v>
      </c>
      <c r="I3756" s="8" t="str">
        <f ca="1">IFERROR(__xludf.DUMMYFUNCTION("IF
(
G3757=""фізична особа""
,
VLOOKUP(H3757,IMPORTRANGE(""https://docs.google.com/spreadsheets/d/14Bd19lYaqBhU8_DElYkX7l4wRkHqqCUFNJY4AfY3kHU/edit?usp=sharing  #gid=0"",""фіз особи new!relations_name""),6,FALSE)
,
(IF
(
G3757=""юридична особа""
,
VLOOKUP"&amp;"(H3757,IMPORTRANGE(""https://docs.google.com/spreadsheets/d/14Bd19lYaqBhU8_DElYkX7l4wRkHqqCUFNJY4AfY3kHU/edit?usp=sharing  #gid=0"",""фіз особи new!relations_name_uo""),7,FALSE)
,
)
))"),"#N/A")</f>
        <v>#N/A</v>
      </c>
      <c r="J3756" s="7" t="s">
        <v>13</v>
      </c>
    </row>
    <row r="3757" spans="1:10" ht="13.2">
      <c r="A3757" s="7">
        <v>3756</v>
      </c>
      <c r="B3757" s="7">
        <v>1</v>
      </c>
      <c r="C3757" s="7" t="s">
        <v>10</v>
      </c>
      <c r="D3757" s="7">
        <v>2241</v>
      </c>
      <c r="E3757" s="7" t="s">
        <v>14</v>
      </c>
      <c r="F3757" s="8" t="str">
        <f ca="1">IFERROR(__xludf.DUMMYFUNCTION("IF
(
C3758=""фізична особа""
,
VLOOKUP(D3758,IMPORTRANGE(""https://docs.google.com/spreadsheets/d/14Bd19lYaqBhU8_DElYkX7l4wRkHqqCUFNJY4AfY3kHU/edit?usp=sharing  #gid=0"",""фіз особи new!relations_name""),6,FALSE)
,
(IF
(
C3758=""юридична особа""
,
VLOOKUP"&amp;"(D3758,IMPORTRANGE(""https://docs.google.com/spreadsheets/d/14Bd19lYaqBhU8_DElYkX7l4wRkHqqCUFNJY4AfY3kHU/edit?usp=sharing  #gid=0"",""фіз особи new!relations_name_uo""),7,FALSE)
,
)
))"),"СТАРОВОЙТОВ Стас")</f>
        <v>СТАРОВОЙТОВ Стас</v>
      </c>
      <c r="G3757" s="7" t="s">
        <v>10</v>
      </c>
      <c r="H3757" s="7">
        <v>0</v>
      </c>
      <c r="I3757" s="8" t="str">
        <f ca="1">IFERROR(__xludf.DUMMYFUNCTION("IF
(
G3758=""фізична особа""
,
VLOOKUP(H3758,IMPORTRANGE(""https://docs.google.com/spreadsheets/d/14Bd19lYaqBhU8_DElYkX7l4wRkHqqCUFNJY4AfY3kHU/edit?usp=sharing  #gid=0"",""фіз особи new!relations_name""),6,FALSE)
,
(IF
(
G3758=""юридична особа""
,
VLOOKUP"&amp;"(H3758,IMPORTRANGE(""https://docs.google.com/spreadsheets/d/14Bd19lYaqBhU8_DElYkX7l4wRkHqqCUFNJY4AfY3kHU/edit?usp=sharing  #gid=0"",""фіз особи new!relations_name_uo""),7,FALSE)
,
)
))"),"#N/A")</f>
        <v>#N/A</v>
      </c>
      <c r="J3757" s="7" t="s">
        <v>15</v>
      </c>
    </row>
    <row r="3758" spans="1:10" ht="13.2">
      <c r="A3758" s="7">
        <v>3757</v>
      </c>
      <c r="B3758" s="7">
        <v>1</v>
      </c>
      <c r="C3758" s="7" t="s">
        <v>10</v>
      </c>
      <c r="D3758" s="7">
        <v>2241</v>
      </c>
      <c r="E3758" s="7" t="s">
        <v>12</v>
      </c>
      <c r="F3758" s="8" t="str">
        <f ca="1">IFERROR(__xludf.DUMMYFUNCTION("IF
(
C3759=""фізична особа""
,
VLOOKUP(D3759,IMPORTRANGE(""https://docs.google.com/spreadsheets/d/14Bd19lYaqBhU8_DElYkX7l4wRkHqqCUFNJY4AfY3kHU/edit?usp=sharing  #gid=0"",""фіз особи new!relations_name""),6,FALSE)
,
(IF
(
C3759=""юридична особа""
,
VLOOKUP"&amp;"(D3759,IMPORTRANGE(""https://docs.google.com/spreadsheets/d/14Bd19lYaqBhU8_DElYkX7l4wRkHqqCUFNJY4AfY3kHU/edit?usp=sharing  #gid=0"",""фіз особи new!relations_name_uo""),7,FALSE)
,
)
))"),"СТАРОВОЙТОВ Стас")</f>
        <v>СТАРОВОЙТОВ Стас</v>
      </c>
      <c r="G3758" s="7" t="s">
        <v>10</v>
      </c>
      <c r="H3758" s="7">
        <v>0</v>
      </c>
      <c r="I3758" s="8" t="str">
        <f ca="1">IFERROR(__xludf.DUMMYFUNCTION("IF
(
G3759=""фізична особа""
,
VLOOKUP(H3759,IMPORTRANGE(""https://docs.google.com/spreadsheets/d/14Bd19lYaqBhU8_DElYkX7l4wRkHqqCUFNJY4AfY3kHU/edit?usp=sharing  #gid=0"",""фіз особи new!relations_name""),6,FALSE)
,
(IF
(
G3759=""юридична особа""
,
VLOOKUP"&amp;"(H3759,IMPORTRANGE(""https://docs.google.com/spreadsheets/d/14Bd19lYaqBhU8_DElYkX7l4wRkHqqCUFNJY4AfY3kHU/edit?usp=sharing  #gid=0"",""фіз особи new!relations_name_uo""),7,FALSE)
,
)
))"),"#N/A")</f>
        <v>#N/A</v>
      </c>
      <c r="J3758" s="7" t="s">
        <v>17</v>
      </c>
    </row>
    <row r="3759" spans="1:10" ht="13.2">
      <c r="A3759" s="7">
        <v>3758</v>
      </c>
      <c r="B3759" s="7">
        <v>1</v>
      </c>
      <c r="C3759" s="7" t="s">
        <v>10</v>
      </c>
      <c r="D3759" s="7">
        <v>2243</v>
      </c>
      <c r="E3759" s="7" t="s">
        <v>17</v>
      </c>
      <c r="F3759" s="8" t="str">
        <f ca="1">IFERROR(__xludf.DUMMYFUNCTION("IF
(
C3760=""фізична особа""
,
VLOOKUP(D3760,IMPORTRANGE(""https://docs.google.com/spreadsheets/d/14Bd19lYaqBhU8_DElYkX7l4wRkHqqCUFNJY4AfY3kHU/edit?usp=sharing  #gid=0"",""фіз особи new!relations_name""),6,FALSE)
,
(IF
(
C3760=""юридична особа""
,
VLOOKUP"&amp;"(D3760,IMPORTRANGE(""https://docs.google.com/spreadsheets/d/14Bd19lYaqBhU8_DElYkX7l4wRkHqqCUFNJY4AfY3kHU/edit?usp=sharing  #gid=0"",""фіз особи new!relations_name_uo""),7,FALSE)
,
)
))"),"ХАРЛАМОВ Ігор Юрійович")</f>
        <v>ХАРЛАМОВ Ігор Юрійович</v>
      </c>
      <c r="G3759" s="7" t="s">
        <v>10</v>
      </c>
      <c r="H3759" s="7">
        <v>0</v>
      </c>
      <c r="I3759" s="8" t="str">
        <f ca="1">IFERROR(__xludf.DUMMYFUNCTION("IF
(
G3760=""фізична особа""
,
VLOOKUP(H3760,IMPORTRANGE(""https://docs.google.com/spreadsheets/d/14Bd19lYaqBhU8_DElYkX7l4wRkHqqCUFNJY4AfY3kHU/edit?usp=sharing  #gid=0"",""фіз особи new!relations_name""),6,FALSE)
,
(IF
(
G3760=""юридична особа""
,
VLOOKUP"&amp;"(H3760,IMPORTRANGE(""https://docs.google.com/spreadsheets/d/14Bd19lYaqBhU8_DElYkX7l4wRkHqqCUFNJY4AfY3kHU/edit?usp=sharing  #gid=0"",""фіз особи new!relations_name_uo""),7,FALSE)
,
)
))"),"#N/A")</f>
        <v>#N/A</v>
      </c>
      <c r="J3759" s="7" t="s">
        <v>21</v>
      </c>
    </row>
    <row r="3760" spans="1:10" ht="13.2">
      <c r="A3760" s="7">
        <v>3759</v>
      </c>
      <c r="B3760" s="7">
        <v>1</v>
      </c>
      <c r="C3760" s="7" t="s">
        <v>10</v>
      </c>
      <c r="D3760" s="7">
        <v>2243</v>
      </c>
      <c r="E3760" s="7" t="s">
        <v>12</v>
      </c>
      <c r="F3760" s="8" t="str">
        <f ca="1">IFERROR(__xludf.DUMMYFUNCTION("IF
(
C3761=""фізична особа""
,
VLOOKUP(D3761,IMPORTRANGE(""https://docs.google.com/spreadsheets/d/14Bd19lYaqBhU8_DElYkX7l4wRkHqqCUFNJY4AfY3kHU/edit?usp=sharing  #gid=0"",""фіз особи new!relations_name""),6,FALSE)
,
(IF
(
C3761=""юридична особа""
,
VLOOKUP"&amp;"(D3761,IMPORTRANGE(""https://docs.google.com/spreadsheets/d/14Bd19lYaqBhU8_DElYkX7l4wRkHqqCUFNJY4AfY3kHU/edit?usp=sharing  #gid=0"",""фіз особи new!relations_name_uo""),7,FALSE)
,
)
))"),"ХАРЛАМОВ Ігор Юрійович")</f>
        <v>ХАРЛАМОВ Ігор Юрійович</v>
      </c>
      <c r="G3760" s="7" t="s">
        <v>10</v>
      </c>
      <c r="H3760" s="7">
        <v>0</v>
      </c>
      <c r="I3760" s="8" t="str">
        <f ca="1">IFERROR(__xludf.DUMMYFUNCTION("IF
(
G3761=""фізична особа""
,
VLOOKUP(H3761,IMPORTRANGE(""https://docs.google.com/spreadsheets/d/14Bd19lYaqBhU8_DElYkX7l4wRkHqqCUFNJY4AfY3kHU/edit?usp=sharing  #gid=0"",""фіз особи new!relations_name""),6,FALSE)
,
(IF
(
G3761=""юридична особа""
,
VLOOKUP"&amp;"(H3761,IMPORTRANGE(""https://docs.google.com/spreadsheets/d/14Bd19lYaqBhU8_DElYkX7l4wRkHqqCUFNJY4AfY3kHU/edit?usp=sharing  #gid=0"",""фіз особи new!relations_name_uo""),7,FALSE)
,
)
))"),"#N/A")</f>
        <v>#N/A</v>
      </c>
      <c r="J3760" s="7" t="s">
        <v>13</v>
      </c>
    </row>
    <row r="3761" spans="1:10" ht="13.2">
      <c r="A3761" s="7">
        <v>3760</v>
      </c>
      <c r="B3761" s="7">
        <v>1</v>
      </c>
      <c r="C3761" s="7" t="s">
        <v>10</v>
      </c>
      <c r="D3761" s="7">
        <v>2244</v>
      </c>
      <c r="E3761" s="7" t="s">
        <v>17</v>
      </c>
      <c r="F3761" s="8" t="str">
        <f ca="1">IFERROR(__xludf.DUMMYFUNCTION("IF
(
C3762=""фізична особа""
,
VLOOKUP(D3762,IMPORTRANGE(""https://docs.google.com/spreadsheets/d/14Bd19lYaqBhU8_DElYkX7l4wRkHqqCUFNJY4AfY3kHU/edit?usp=sharing  #gid=0"",""фіз особи new!relations_name""),6,FALSE)
,
(IF
(
C3762=""юридична особа""
,
VLOOKUP"&amp;"(D3762,IMPORTRANGE(""https://docs.google.com/spreadsheets/d/14Bd19lYaqBhU8_DElYkX7l4wRkHqqCUFNJY4AfY3kHU/edit?usp=sharing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1" s="7" t="s">
        <v>10</v>
      </c>
      <c r="H3761" s="7">
        <v>0</v>
      </c>
      <c r="I3761" s="8" t="str">
        <f ca="1">IFERROR(__xludf.DUMMYFUNCTION("IF
(
G3762=""фізична особа""
,
VLOOKUP(H3762,IMPORTRANGE(""https://docs.google.com/spreadsheets/d/14Bd19lYaqBhU8_DElYkX7l4wRkHqqCUFNJY4AfY3kHU/edit?usp=sharing  #gid=0"",""фіз особи new!relations_name""),6,FALSE)
,
(IF
(
G3762=""юридична особа""
,
VLOOKUP"&amp;"(H3762,IMPORTRANGE(""https://docs.google.com/spreadsheets/d/14Bd19lYaqBhU8_DElYkX7l4wRkHqqCUFNJY4AfY3kHU/edit?usp=sharing  #gid=0"",""фіз особи new!relations_name_uo""),7,FALSE)
,
)
))"),"#N/A")</f>
        <v>#N/A</v>
      </c>
      <c r="J3761" s="7" t="s">
        <v>12</v>
      </c>
    </row>
    <row r="3762" spans="1:10" ht="13.2">
      <c r="A3762" s="7">
        <v>3761</v>
      </c>
      <c r="B3762" s="7">
        <v>1</v>
      </c>
      <c r="C3762" s="7" t="s">
        <v>10</v>
      </c>
      <c r="D3762" s="7">
        <v>2244</v>
      </c>
      <c r="E3762" s="7" t="s">
        <v>17</v>
      </c>
      <c r="F3762" s="8" t="str">
        <f ca="1">IFERROR(__xludf.DUMMYFUNCTION("IF
(
C3763=""фізична особа""
,
VLOOKUP(D3763,IMPORTRANGE(""https://docs.google.com/spreadsheets/d/14Bd19lYaqBhU8_DElYkX7l4wRkHqqCUFNJY4AfY3kHU/edit?usp=sharing  #gid=0"",""фіз особи new!relations_name""),6,FALSE)
,
(IF
(
C3763=""юридична особа""
,
VLOOKUP"&amp;"(D3763,IMPORTRANGE(""https://docs.google.com/spreadsheets/d/14Bd19lYaqBhU8_DElYkX7l4wRkHqqCUFNJY4AfY3kHU/edit?usp=sharing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2" s="7" t="s">
        <v>10</v>
      </c>
      <c r="H3762" s="7">
        <v>0</v>
      </c>
      <c r="I3762" s="8" t="str">
        <f ca="1">IFERROR(__xludf.DUMMYFUNCTION("IF
(
G3763=""фізична особа""
,
VLOOKUP(H3763,IMPORTRANGE(""https://docs.google.com/spreadsheets/d/14Bd19lYaqBhU8_DElYkX7l4wRkHqqCUFNJY4AfY3kHU/edit?usp=sharing  #gid=0"",""фіз особи new!relations_name""),6,FALSE)
,
(IF
(
G3763=""юридична особа""
,
VLOOKUP"&amp;"(H3763,IMPORTRANGE(""https://docs.google.com/spreadsheets/d/14Bd19lYaqBhU8_DElYkX7l4wRkHqqCUFNJY4AfY3kHU/edit?usp=sharing  #gid=0"",""фіз особи new!relations_name_uo""),7,FALSE)
,
)
))"),"#N/A")</f>
        <v>#N/A</v>
      </c>
      <c r="J3762" s="7" t="s">
        <v>21</v>
      </c>
    </row>
    <row r="3763" spans="1:10" ht="13.2">
      <c r="A3763" s="7">
        <v>3762</v>
      </c>
      <c r="B3763" s="7">
        <v>1</v>
      </c>
      <c r="C3763" s="7" t="s">
        <v>10</v>
      </c>
      <c r="D3763" s="7">
        <v>2244</v>
      </c>
      <c r="E3763" s="7" t="s">
        <v>14</v>
      </c>
      <c r="F3763" s="8" t="str">
        <f ca="1">IFERROR(__xludf.DUMMYFUNCTION("IF
(
C3764=""фізична особа""
,
VLOOKUP(D3764,IMPORTRANGE(""https://docs.google.com/spreadsheets/d/14Bd19lYaqBhU8_DElYkX7l4wRkHqqCUFNJY4AfY3kHU/edit?usp=sharing  #gid=0"",""фіз особи new!relations_name""),6,FALSE)
,
(IF
(
C3764=""юридична особа""
,
VLOOKUP"&amp;"(D3764,IMPORTRANGE(""https://docs.google.com/spreadsheets/d/14Bd19lYaqBhU8_DElYkX7l4wRkHqqCUFNJY4AfY3kHU/edit?usp=sharing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3" s="7" t="s">
        <v>10</v>
      </c>
      <c r="H3763" s="7">
        <v>2240</v>
      </c>
      <c r="I3763" s="8" t="str">
        <f ca="1">IFERROR(__xludf.DUMMYFUNCTION("IF
(
G3764=""фізична особа""
,
VLOOKUP(H3764,IMPORTRANGE(""https://docs.google.com/spreadsheets/d/14Bd19lYaqBhU8_DElYkX7l4wRkHqqCUFNJY4AfY3kHU/edit?usp=sharing  #gid=0"",""фіз особи new!relations_name""),6,FALSE)
,
(IF
(
G3764=""юридична особа""
,
VLOOKUP"&amp;"(H3764,IMPORTRANGE(""https://docs.google.com/spreadsheets/d/14Bd19lYaqBhU8_DElYkX7l4wRkHqqCUFNJY4AfY3kHU/edit?usp=sharing  #gid=0"",""фіз особи new!relations_name_uo""),7,FALSE)
,
)
))"),"РУДКОВСЬКА Яна Олексадрівна")</f>
        <v>РУДКОВСЬКА Яна Олексадрівна</v>
      </c>
      <c r="J3763" s="7" t="s">
        <v>15</v>
      </c>
    </row>
    <row r="3764" spans="1:10" ht="13.2">
      <c r="A3764" s="7">
        <v>3763</v>
      </c>
      <c r="B3764" s="7">
        <v>1</v>
      </c>
      <c r="C3764" s="7" t="s">
        <v>10</v>
      </c>
      <c r="D3764" s="7">
        <v>2244</v>
      </c>
      <c r="E3764" s="7" t="s">
        <v>12</v>
      </c>
      <c r="F3764" s="8" t="str">
        <f ca="1">IFERROR(__xludf.DUMMYFUNCTION("IF
(
C3765=""фізична особа""
,
VLOOKUP(D3765,IMPORTRANGE(""https://docs.google.com/spreadsheets/d/14Bd19lYaqBhU8_DElYkX7l4wRkHqqCUFNJY4AfY3kHU/edit?usp=sharing  #gid=0"",""фіз особи new!relations_name""),6,FALSE)
,
(IF
(
C3765=""юридична особа""
,
VLOOKUP"&amp;"(D3765,IMPORTRANGE(""https://docs.google.com/spreadsheets/d/14Bd19lYaqBhU8_DElYkX7l4wRkHqqCUFNJY4AfY3kHU/edit?usp=sharing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4" s="7" t="s">
        <v>10</v>
      </c>
      <c r="H3764" s="7">
        <v>23473</v>
      </c>
      <c r="I3764" s="8" t="str">
        <f ca="1">IFERROR(__xludf.DUMMYFUNCTION("IF
(
G3765=""фізична особа""
,
VLOOKUP(H3765,IMPORTRANGE(""https://docs.google.com/spreadsheets/d/14Bd19lYaqBhU8_DElYkX7l4wRkHqqCUFNJY4AfY3kHU/edit?usp=sharing  #gid=0"",""фіз особи new!relations_name""),6,FALSE)
,
(IF
(
G3765=""юридична особа""
,
VLOOKUP"&amp;"(H3765,IMPORTRANGE(""https://docs.google.com/spreadsheets/d/14Bd19lYaqBhU8_DElYkX7l4wRkHqqCUFNJY4AfY3kHU/edit?usp=sharing  #gid=0"",""фіз особи new!relations_name_uo""),7,FALSE)
,
)
))"),"ПЛЮЩЕНКО Олександр Євгенійович")</f>
        <v>ПЛЮЩЕНКО Олександр Євгенійович</v>
      </c>
      <c r="J3764" s="7" t="s">
        <v>17</v>
      </c>
    </row>
    <row r="3765" spans="1:10" ht="13.2">
      <c r="A3765" s="7">
        <v>3764</v>
      </c>
      <c r="B3765" s="7">
        <v>1</v>
      </c>
      <c r="C3765" s="7" t="s">
        <v>10</v>
      </c>
      <c r="D3765" s="7">
        <v>2244</v>
      </c>
      <c r="E3765" s="7" t="s">
        <v>12</v>
      </c>
      <c r="F3765" s="8" t="str">
        <f ca="1">IFERROR(__xludf.DUMMYFUNCTION("IF
(
C3766=""фізична особа""
,
VLOOKUP(D3766,IMPORTRANGE(""https://docs.google.com/spreadsheets/d/14Bd19lYaqBhU8_DElYkX7l4wRkHqqCUFNJY4AfY3kHU/edit?usp=sharing  #gid=0"",""фіз особи new!relations_name""),6,FALSE)
,
(IF
(
C3766=""юридична особа""
,
VLOOKUP"&amp;"(D3766,IMPORTRANGE(""https://docs.google.com/spreadsheets/d/14Bd19lYaqBhU8_DElYkX7l4wRkHqqCUFNJY4AfY3kHU/edit?usp=sharing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5" s="7" t="s">
        <v>10</v>
      </c>
      <c r="H3765" s="7">
        <v>23474</v>
      </c>
      <c r="I3765" s="8" t="str">
        <f ca="1">IFERROR(__xludf.DUMMYFUNCTION("IF
(
G3766=""фізична особа""
,
VLOOKUP(H3766,IMPORTRANGE(""https://docs.google.com/spreadsheets/d/14Bd19lYaqBhU8_DElYkX7l4wRkHqqCUFNJY4AfY3kHU/edit?usp=sharing  #gid=0"",""фіз особи new!relations_name""),6,FALSE)
,
(IF
(
G3766=""юридична особа""
,
VLOOKUP"&amp;"(H3766,IMPORTRANGE(""https://docs.google.com/spreadsheets/d/14Bd19lYaqBhU8_DElYkX7l4wRkHqqCUFNJY4AfY3kHU/edit?usp=sharing  #gid=0"",""фіз особи new!relations_name_uo""),7,FALSE)
,
)
))"),"ПЛЮЩЕНКО Арсеній Євгенійович")</f>
        <v>ПЛЮЩЕНКО Арсеній Євгенійович</v>
      </c>
      <c r="J3765" s="7" t="s">
        <v>17</v>
      </c>
    </row>
    <row r="3766" spans="1:10" ht="13.2">
      <c r="A3766" s="7">
        <v>3765</v>
      </c>
      <c r="B3766" s="7">
        <v>1</v>
      </c>
      <c r="C3766" s="7" t="s">
        <v>10</v>
      </c>
      <c r="D3766" s="7">
        <v>2244</v>
      </c>
      <c r="E3766" s="7" t="s">
        <v>12</v>
      </c>
      <c r="F3766" s="8" t="str">
        <f ca="1">IFERROR(__xludf.DUMMYFUNCTION("IF
(
C3767=""фізична особа""
,
VLOOKUP(D3767,IMPORTRANGE(""https://docs.google.com/spreadsheets/d/14Bd19lYaqBhU8_DElYkX7l4wRkHqqCUFNJY4AfY3kHU/edit?usp=sharing  #gid=0"",""фіз особи new!relations_name""),6,FALSE)
,
(IF
(
C3767=""юридична особа""
,
VLOOKUP"&amp;"(D3767,IMPORTRANGE(""https://docs.google.com/spreadsheets/d/14Bd19lYaqBhU8_DElYkX7l4wRkHqqCUFNJY4AfY3kHU/edit?usp=sharing  #gid=0"",""фіз особи new!relations_name_uo""),7,FALSE)
,
)
))"),"ПЛЮЩЕНКО Євгеній Вікторович")</f>
        <v>ПЛЮЩЕНКО Євгеній Вікторович</v>
      </c>
      <c r="G3766" s="7" t="s">
        <v>10</v>
      </c>
      <c r="H3766" s="7">
        <v>0</v>
      </c>
      <c r="I3766" s="8" t="str">
        <f ca="1">IFERROR(__xludf.DUMMYFUNCTION("IF
(
G3767=""фізична особа""
,
VLOOKUP(H3767,IMPORTRANGE(""https://docs.google.com/spreadsheets/d/14Bd19lYaqBhU8_DElYkX7l4wRkHqqCUFNJY4AfY3kHU/edit?usp=sharing  #gid=0"",""фіз особи new!relations_name""),6,FALSE)
,
(IF
(
G3767=""юридична особа""
,
VLOOKUP"&amp;"(H3767,IMPORTRANGE(""https://docs.google.com/spreadsheets/d/14Bd19lYaqBhU8_DElYkX7l4wRkHqqCUFNJY4AfY3kHU/edit?usp=sharing  #gid=0"",""фіз особи new!relations_name_uo""),7,FALSE)
,
)
))"),"#N/A")</f>
        <v>#N/A</v>
      </c>
      <c r="J3766" s="7" t="s">
        <v>17</v>
      </c>
    </row>
    <row r="3767" spans="1:10" ht="13.2">
      <c r="A3767" s="7">
        <v>3766</v>
      </c>
      <c r="B3767" s="7">
        <v>1</v>
      </c>
      <c r="C3767" s="7" t="s">
        <v>10</v>
      </c>
      <c r="D3767" s="7">
        <v>2245</v>
      </c>
      <c r="E3767" s="7" t="s">
        <v>11</v>
      </c>
      <c r="F3767" s="8" t="str">
        <f ca="1">IFERROR(__xludf.DUMMYFUNCTION("IF
(
C3768=""фізична особа""
,
VLOOKUP(D3768,IMPORTRANGE(""https://docs.google.com/spreadsheets/d/14Bd19lYaqBhU8_DElYkX7l4wRkHqqCUFNJY4AfY3kHU/edit?usp=sharing  #gid=0"",""фіз особи new!relations_name""),6,FALSE)
,
(IF
(
C3768=""юридична особа""
,
VLOOKUP"&amp;"(D3768,IMPORTRANGE(""https://docs.google.com/spreadsheets/d/14Bd19lYaqBhU8_DElYkX7l4wRkHqqCUFNJY4AfY3kHU/edit?usp=sharing  #gid=0"",""фіз особи new!relations_name_uo""),7,FALSE)
,
)
))"),"МАХМУДОВ Іскандар Кахрамонович")</f>
        <v>МАХМУДОВ Іскандар Кахрамонович</v>
      </c>
      <c r="G3767" s="7" t="s">
        <v>10</v>
      </c>
      <c r="H3767" s="7">
        <v>559</v>
      </c>
      <c r="I3767" s="8" t="str">
        <f ca="1">IFERROR(__xludf.DUMMYFUNCTION("IF
(
G3768=""фізична особа""
,
VLOOKUP(H3768,IMPORTRANGE(""https://docs.google.com/spreadsheets/d/14Bd19lYaqBhU8_DElYkX7l4wRkHqqCUFNJY4AfY3kHU/edit?usp=sharing  #gid=0"",""фіз особи new!relations_name""),6,FALSE)
,
(IF
(
G3768=""юридична особа""
,
VLOOKUP"&amp;"(H3768,IMPORTRANGE(""https://docs.google.com/spreadsheets/d/14Bd19lYaqBhU8_DElYkX7l4wRkHqqCUFNJY4AfY3kHU/edit?usp=sharing  #gid=0"",""фіз особи new!relations_name_uo""),7,FALSE)
,
)
))"),"ДЕРИПАСКА Олег Володимирович")</f>
        <v>ДЕРИПАСКА Олег Володимирович</v>
      </c>
      <c r="J3767" s="7" t="s">
        <v>11</v>
      </c>
    </row>
    <row r="3768" spans="1:10" ht="13.2">
      <c r="A3768" s="7">
        <v>3767</v>
      </c>
      <c r="B3768" s="7">
        <v>1</v>
      </c>
      <c r="C3768" s="7" t="s">
        <v>10</v>
      </c>
      <c r="D3768" s="7">
        <v>2245</v>
      </c>
      <c r="E3768" s="7" t="s">
        <v>11</v>
      </c>
      <c r="F3768" s="8" t="str">
        <f ca="1">IFERROR(__xludf.DUMMYFUNCTION("IF
(
C3769=""фізична особа""
,
VLOOKUP(D3769,IMPORTRANGE(""https://docs.google.com/spreadsheets/d/14Bd19lYaqBhU8_DElYkX7l4wRkHqqCUFNJY4AfY3kHU/edit?usp=sharing  #gid=0"",""фіз особи new!relations_name""),6,FALSE)
,
(IF
(
C3769=""юридична особа""
,
VLOOKUP"&amp;"(D3769,IMPORTRANGE(""https://docs.google.com/spreadsheets/d/14Bd19lYaqBhU8_DElYkX7l4wRkHqqCUFNJY4AfY3kHU/edit?usp=sharing  #gid=0"",""фіз особи new!relations_name_uo""),7,FALSE)
,
)
))"),"МАХМУДОВ Іскандар Кахрамонович")</f>
        <v>МАХМУДОВ Іскандар Кахрамонович</v>
      </c>
      <c r="G3768" s="7" t="s">
        <v>10</v>
      </c>
      <c r="H3768" s="7">
        <v>1973</v>
      </c>
      <c r="I3768" s="8" t="str">
        <f ca="1">IFERROR(__xludf.DUMMYFUNCTION("IF
(
G3769=""фізична особа""
,
VLOOKUP(H3769,IMPORTRANGE(""https://docs.google.com/spreadsheets/d/14Bd19lYaqBhU8_DElYkX7l4wRkHqqCUFNJY4AfY3kHU/edit?usp=sharing  #gid=0"",""фіз особи new!relations_name""),6,FALSE)
,
(IF
(
G3769=""юридична особа""
,
VLOOKUP"&amp;"(H3769,IMPORTRANGE(""https://docs.google.com/spreadsheets/d/14Bd19lYaqBhU8_DElYkX7l4wRkHqqCUFNJY4AfY3kHU/edit?usp=sharing  #gid=0"",""фіз особи new!relations_name_uo""),7,FALSE)
,
)
))"),"БОКАРЄВ Андрій Ремович")</f>
        <v>БОКАРЄВ Андрій Ремович</v>
      </c>
      <c r="J3768" s="7" t="s">
        <v>11</v>
      </c>
    </row>
    <row r="3769" spans="1:10" ht="13.2">
      <c r="A3769" s="7">
        <v>3768</v>
      </c>
      <c r="B3769" s="7">
        <v>1</v>
      </c>
      <c r="C3769" s="7" t="s">
        <v>10</v>
      </c>
      <c r="D3769" s="7">
        <v>2247</v>
      </c>
      <c r="E3769" s="7" t="s">
        <v>18</v>
      </c>
      <c r="F3769" s="8" t="str">
        <f ca="1">IFERROR(__xludf.DUMMYFUNCTION("IF
(
C3770=""фізична особа""
,
VLOOKUP(D3770,IMPORTRANGE(""https://docs.google.com/spreadsheets/d/14Bd19lYaqBhU8_DElYkX7l4wRkHqqCUFNJY4AfY3kHU/edit?usp=sharing  #gid=0"",""фіз особи new!relations_name""),6,FALSE)
,
(IF
(
C3770=""юридична особа""
,
VLOOKUP"&amp;"(D3770,IMPORTRANGE(""https://docs.google.com/spreadsheets/d/14Bd19lYaqBhU8_DElYkX7l4wRkHqqCUFNJY4AfY3kHU/edit?usp=sharing  #gid=0"",""фіз особи new!relations_name_uo""),7,FALSE)
,
)
))"),"ГУСМАН Михайло Соломонович")</f>
        <v>ГУСМАН Михайло Соломонович</v>
      </c>
      <c r="G3769" s="7" t="s">
        <v>10</v>
      </c>
      <c r="H3769" s="7">
        <v>0</v>
      </c>
      <c r="I3769" s="8" t="str">
        <f ca="1">IFERROR(__xludf.DUMMYFUNCTION("IF
(
G3770=""фізична особа""
,
VLOOKUP(H3770,IMPORTRANGE(""https://docs.google.com/spreadsheets/d/14Bd19lYaqBhU8_DElYkX7l4wRkHqqCUFNJY4AfY3kHU/edit?usp=sharing  #gid=0"",""фіз особи new!relations_name""),6,FALSE)
,
(IF
(
G3770=""юридична особа""
,
VLOOKUP"&amp;"(H3770,IMPORTRANGE(""https://docs.google.com/spreadsheets/d/14Bd19lYaqBhU8_DElYkX7l4wRkHqqCUFNJY4AfY3kHU/edit?usp=sharing  #gid=0"",""фіз особи new!relations_name_uo""),7,FALSE)
,
)
))"),"#N/A")</f>
        <v>#N/A</v>
      </c>
      <c r="J3769" s="7" t="s">
        <v>18</v>
      </c>
    </row>
    <row r="3770" spans="1:10" ht="13.2">
      <c r="A3770" s="7">
        <v>3769</v>
      </c>
      <c r="B3770" s="7">
        <v>1</v>
      </c>
      <c r="C3770" s="7" t="s">
        <v>10</v>
      </c>
      <c r="D3770" s="7">
        <v>2247</v>
      </c>
      <c r="E3770" s="7" t="s">
        <v>14</v>
      </c>
      <c r="F3770" s="8" t="str">
        <f ca="1">IFERROR(__xludf.DUMMYFUNCTION("IF
(
C3771=""фізична особа""
,
VLOOKUP(D3771,IMPORTRANGE(""https://docs.google.com/spreadsheets/d/14Bd19lYaqBhU8_DElYkX7l4wRkHqqCUFNJY4AfY3kHU/edit?usp=sharing  #gid=0"",""фіз особи new!relations_name""),6,FALSE)
,
(IF
(
C3771=""юридична особа""
,
VLOOKUP"&amp;"(D3771,IMPORTRANGE(""https://docs.google.com/spreadsheets/d/14Bd19lYaqBhU8_DElYkX7l4wRkHqqCUFNJY4AfY3kHU/edit?usp=sharing  #gid=0"",""фіз особи new!relations_name_uo""),7,FALSE)
,
)
))"),"ГУСМАН Михайло Соломонович")</f>
        <v>ГУСМАН Михайло Соломонович</v>
      </c>
      <c r="G3770" s="7" t="s">
        <v>10</v>
      </c>
      <c r="H3770" s="7">
        <v>0</v>
      </c>
      <c r="I3770" s="8" t="str">
        <f ca="1">IFERROR(__xludf.DUMMYFUNCTION("IF
(
G3771=""фізична особа""
,
VLOOKUP(H3771,IMPORTRANGE(""https://docs.google.com/spreadsheets/d/14Bd19lYaqBhU8_DElYkX7l4wRkHqqCUFNJY4AfY3kHU/edit?usp=sharing  #gid=0"",""фіз особи new!relations_name""),6,FALSE)
,
(IF
(
G3771=""юридична особа""
,
VLOOKUP"&amp;"(H3771,IMPORTRANGE(""https://docs.google.com/spreadsheets/d/14Bd19lYaqBhU8_DElYkX7l4wRkHqqCUFNJY4AfY3kHU/edit?usp=sharing  #gid=0"",""фіз особи new!relations_name_uo""),7,FALSE)
,
)
))"),"#N/A")</f>
        <v>#N/A</v>
      </c>
      <c r="J3770" s="7" t="s">
        <v>15</v>
      </c>
    </row>
    <row r="3771" spans="1:10" ht="13.2">
      <c r="A3771" s="7">
        <v>3770</v>
      </c>
      <c r="B3771" s="7">
        <v>1</v>
      </c>
      <c r="C3771" s="7" t="s">
        <v>10</v>
      </c>
      <c r="D3771" s="7">
        <v>2247</v>
      </c>
      <c r="E3771" s="7" t="s">
        <v>12</v>
      </c>
      <c r="F3771" s="8" t="str">
        <f ca="1">IFERROR(__xludf.DUMMYFUNCTION("IF
(
C3772=""фізична особа""
,
VLOOKUP(D3772,IMPORTRANGE(""https://docs.google.com/spreadsheets/d/14Bd19lYaqBhU8_DElYkX7l4wRkHqqCUFNJY4AfY3kHU/edit?usp=sharing  #gid=0"",""фіз особи new!relations_name""),6,FALSE)
,
(IF
(
C3772=""юридична особа""
,
VLOOKUP"&amp;"(D3772,IMPORTRANGE(""https://docs.google.com/spreadsheets/d/14Bd19lYaqBhU8_DElYkX7l4wRkHqqCUFNJY4AfY3kHU/edit?usp=sharing  #gid=0"",""фіз особи new!relations_name_uo""),7,FALSE)
,
)
))"),"ГУСМАН Михайло Соломонович")</f>
        <v>ГУСМАН Михайло Соломонович</v>
      </c>
      <c r="G3771" s="7" t="s">
        <v>10</v>
      </c>
      <c r="H3771" s="7">
        <v>0</v>
      </c>
      <c r="I3771" s="8" t="str">
        <f ca="1">IFERROR(__xludf.DUMMYFUNCTION("IF
(
G3772=""фізична особа""
,
VLOOKUP(H3772,IMPORTRANGE(""https://docs.google.com/spreadsheets/d/14Bd19lYaqBhU8_DElYkX7l4wRkHqqCUFNJY4AfY3kHU/edit?usp=sharing  #gid=0"",""фіз особи new!relations_name""),6,FALSE)
,
(IF
(
G3772=""юридична особа""
,
VLOOKUP"&amp;"(H3772,IMPORTRANGE(""https://docs.google.com/spreadsheets/d/14Bd19lYaqBhU8_DElYkX7l4wRkHqqCUFNJY4AfY3kHU/edit?usp=sharing  #gid=0"",""фіз особи new!relations_name_uo""),7,FALSE)
,
)
))"),"#N/A")</f>
        <v>#N/A</v>
      </c>
      <c r="J3771" s="7" t="s">
        <v>17</v>
      </c>
    </row>
    <row r="3772" spans="1:10" ht="13.2">
      <c r="A3772" s="7">
        <v>3771</v>
      </c>
      <c r="B3772" s="7">
        <v>1</v>
      </c>
      <c r="C3772" s="7" t="s">
        <v>10</v>
      </c>
      <c r="D3772" s="7">
        <v>2250</v>
      </c>
      <c r="E3772" s="7" t="s">
        <v>12</v>
      </c>
      <c r="F3772" s="8" t="str">
        <f ca="1">IFERROR(__xludf.DUMMYFUNCTION("IF
(
C3773=""фізична особа""
,
VLOOKUP(D3773,IMPORTRANGE(""https://docs.google.com/spreadsheets/d/14Bd19lYaqBhU8_DElYkX7l4wRkHqqCUFNJY4AfY3kHU/edit?usp=sharing  #gid=0"",""фіз особи new!relations_name""),6,FALSE)
,
(IF
(
C3773=""юридична особа""
,
VLOOKUP"&amp;"(D3773,IMPORTRANGE(""https://docs.google.com/spreadsheets/d/14Bd19lYaqBhU8_DElYkX7l4wRkHqqCUFNJY4AfY3kHU/edit?usp=sharing  #gid=0"",""фіз особи new!relations_name_uo""),7,FALSE)
,
)
))"),"ОМАРОВ Курбан Омарович")</f>
        <v>ОМАРОВ Курбан Омарович</v>
      </c>
      <c r="G3772" s="7" t="s">
        <v>10</v>
      </c>
      <c r="H3772" s="7">
        <v>0</v>
      </c>
      <c r="I3772" s="8" t="str">
        <f ca="1">IFERROR(__xludf.DUMMYFUNCTION("IF
(
G3773=""фізична особа""
,
VLOOKUP(H3773,IMPORTRANGE(""https://docs.google.com/spreadsheets/d/14Bd19lYaqBhU8_DElYkX7l4wRkHqqCUFNJY4AfY3kHU/edit?usp=sharing  #gid=0"",""фіз особи new!relations_name""),6,FALSE)
,
(IF
(
G3773=""юридична особа""
,
VLOOKUP"&amp;"(H3773,IMPORTRANGE(""https://docs.google.com/spreadsheets/d/14Bd19lYaqBhU8_DElYkX7l4wRkHqqCUFNJY4AfY3kHU/edit?usp=sharing  #gid=0"",""фіз особи new!relations_name_uo""),7,FALSE)
,
)
))"),"#N/A")</f>
        <v>#N/A</v>
      </c>
      <c r="J3772" s="7" t="s">
        <v>17</v>
      </c>
    </row>
    <row r="3773" spans="1:10" ht="13.2">
      <c r="A3773" s="7">
        <v>3772</v>
      </c>
      <c r="B3773" s="7">
        <v>1</v>
      </c>
      <c r="C3773" s="7" t="s">
        <v>10</v>
      </c>
      <c r="D3773" s="7">
        <v>2250</v>
      </c>
      <c r="E3773" s="7" t="s">
        <v>12</v>
      </c>
      <c r="F3773" s="8" t="str">
        <f ca="1">IFERROR(__xludf.DUMMYFUNCTION("IF
(
C3774=""фізична особа""
,
VLOOKUP(D3774,IMPORTRANGE(""https://docs.google.com/spreadsheets/d/14Bd19lYaqBhU8_DElYkX7l4wRkHqqCUFNJY4AfY3kHU/edit?usp=sharing  #gid=0"",""фіз особи new!relations_name""),6,FALSE)
,
(IF
(
C3774=""юридична особа""
,
VLOOKUP"&amp;"(D3774,IMPORTRANGE(""https://docs.google.com/spreadsheets/d/14Bd19lYaqBhU8_DElYkX7l4wRkHqqCUFNJY4AfY3kHU/edit?usp=sharing  #gid=0"",""фіз особи new!relations_name_uo""),7,FALSE)
,
)
))"),"ОМАРОВ Курбан Омарович")</f>
        <v>ОМАРОВ Курбан Омарович</v>
      </c>
      <c r="G3773" s="7" t="s">
        <v>10</v>
      </c>
      <c r="H3773" s="7">
        <v>0</v>
      </c>
      <c r="I3773" s="8" t="str">
        <f ca="1">IFERROR(__xludf.DUMMYFUNCTION("IF
(
G3774=""фізична особа""
,
VLOOKUP(H3774,IMPORTRANGE(""https://docs.google.com/spreadsheets/d/14Bd19lYaqBhU8_DElYkX7l4wRkHqqCUFNJY4AfY3kHU/edit?usp=sharing  #gid=0"",""фіз особи new!relations_name""),6,FALSE)
,
(IF
(
G3774=""юридична особа""
,
VLOOKUP"&amp;"(H3774,IMPORTRANGE(""https://docs.google.com/spreadsheets/d/14Bd19lYaqBhU8_DElYkX7l4wRkHqqCUFNJY4AfY3kHU/edit?usp=sharing  #gid=0"",""фіз особи new!relations_name_uo""),7,FALSE)
,
)
))"),"#N/A")</f>
        <v>#N/A</v>
      </c>
      <c r="J3773" s="7" t="s">
        <v>13</v>
      </c>
    </row>
    <row r="3774" spans="1:10" ht="13.2">
      <c r="A3774" s="7">
        <v>3773</v>
      </c>
      <c r="B3774" s="7">
        <v>1</v>
      </c>
      <c r="C3774" s="7" t="s">
        <v>10</v>
      </c>
      <c r="D3774" s="7">
        <v>2250</v>
      </c>
      <c r="E3774" s="7" t="s">
        <v>17</v>
      </c>
      <c r="F3774" s="8" t="str">
        <f ca="1">IFERROR(__xludf.DUMMYFUNCTION("IF
(
C3775=""фізична особа""
,
VLOOKUP(D3775,IMPORTRANGE(""https://docs.google.com/spreadsheets/d/14Bd19lYaqBhU8_DElYkX7l4wRkHqqCUFNJY4AfY3kHU/edit?usp=sharing  #gid=0"",""фіз особи new!relations_name""),6,FALSE)
,
(IF
(
C3775=""юридична особа""
,
VLOOKUP"&amp;"(D3775,IMPORTRANGE(""https://docs.google.com/spreadsheets/d/14Bd19lYaqBhU8_DElYkX7l4wRkHqqCUFNJY4AfY3kHU/edit?usp=sharing  #gid=0"",""фіз особи new!relations_name_uo""),7,FALSE)
,
)
))"),"ОМАРОВ Курбан Омарович")</f>
        <v>ОМАРОВ Курбан Омарович</v>
      </c>
      <c r="G3774" s="7" t="s">
        <v>10</v>
      </c>
      <c r="H3774" s="7">
        <v>0</v>
      </c>
      <c r="I3774" s="8" t="str">
        <f ca="1">IFERROR(__xludf.DUMMYFUNCTION("IF
(
G3775=""фізична особа""
,
VLOOKUP(H3775,IMPORTRANGE(""https://docs.google.com/spreadsheets/d/14Bd19lYaqBhU8_DElYkX7l4wRkHqqCUFNJY4AfY3kHU/edit?usp=sharing  #gid=0"",""фіз особи new!relations_name""),6,FALSE)
,
(IF
(
G3775=""юридична особа""
,
VLOOKUP"&amp;"(H3775,IMPORTRANGE(""https://docs.google.com/spreadsheets/d/14Bd19lYaqBhU8_DElYkX7l4wRkHqqCUFNJY4AfY3kHU/edit?usp=sharing  #gid=0"",""фіз особи new!relations_name_uo""),7,FALSE)
,
)
))"),"#N/A")</f>
        <v>#N/A</v>
      </c>
      <c r="J3774" s="7" t="s">
        <v>21</v>
      </c>
    </row>
    <row r="3775" spans="1:10" ht="13.2">
      <c r="A3775" s="7">
        <v>3774</v>
      </c>
      <c r="B3775" s="7">
        <v>1</v>
      </c>
      <c r="C3775" s="7" t="s">
        <v>10</v>
      </c>
      <c r="D3775" s="7">
        <v>2250</v>
      </c>
      <c r="E3775" s="7" t="s">
        <v>17</v>
      </c>
      <c r="F3775" s="8" t="str">
        <f ca="1">IFERROR(__xludf.DUMMYFUNCTION("IF
(
C3776=""фізична особа""
,
VLOOKUP(D3776,IMPORTRANGE(""https://docs.google.com/spreadsheets/d/14Bd19lYaqBhU8_DElYkX7l4wRkHqqCUFNJY4AfY3kHU/edit?usp=sharing  #gid=0"",""фіз особи new!relations_name""),6,FALSE)
,
(IF
(
C3776=""юридична особа""
,
VLOOKUP"&amp;"(D3776,IMPORTRANGE(""https://docs.google.com/spreadsheets/d/14Bd19lYaqBhU8_DElYkX7l4wRkHqqCUFNJY4AfY3kHU/edit?usp=sharing  #gid=0"",""фіз особи new!relations_name_uo""),7,FALSE)
,
)
))"),"ОМАРОВ Курбан Омарович")</f>
        <v>ОМАРОВ Курбан Омарович</v>
      </c>
      <c r="G3775" s="7" t="s">
        <v>10</v>
      </c>
      <c r="H3775" s="7">
        <v>0</v>
      </c>
      <c r="I3775" s="8" t="str">
        <f ca="1">IFERROR(__xludf.DUMMYFUNCTION("IF
(
G3776=""фізична особа""
,
VLOOKUP(H3776,IMPORTRANGE(""https://docs.google.com/spreadsheets/d/14Bd19lYaqBhU8_DElYkX7l4wRkHqqCUFNJY4AfY3kHU/edit?usp=sharing  #gid=0"",""фіз особи new!relations_name""),6,FALSE)
,
(IF
(
G3776=""юридична особа""
,
VLOOKUP"&amp;"(H3776,IMPORTRANGE(""https://docs.google.com/spreadsheets/d/14Bd19lYaqBhU8_DElYkX7l4wRkHqqCUFNJY4AfY3kHU/edit?usp=sharing  #gid=0"",""фіз особи new!relations_name_uo""),7,FALSE)
,
)
))"),"#N/A")</f>
        <v>#N/A</v>
      </c>
      <c r="J3775" s="7" t="s">
        <v>12</v>
      </c>
    </row>
    <row r="3776" spans="1:10" ht="13.2">
      <c r="A3776" s="7">
        <v>3775</v>
      </c>
      <c r="B3776" s="7">
        <v>1</v>
      </c>
      <c r="C3776" s="7" t="s">
        <v>10</v>
      </c>
      <c r="D3776" s="7">
        <v>2250</v>
      </c>
      <c r="E3776" s="7" t="s">
        <v>18</v>
      </c>
      <c r="F3776" s="8" t="str">
        <f ca="1">IFERROR(__xludf.DUMMYFUNCTION("IF
(
C3777=""фізична особа""
,
VLOOKUP(D3777,IMPORTRANGE(""https://docs.google.com/spreadsheets/d/14Bd19lYaqBhU8_DElYkX7l4wRkHqqCUFNJY4AfY3kHU/edit?usp=sharing  #gid=0"",""фіз особи new!relations_name""),6,FALSE)
,
(IF
(
C3777=""юридична особа""
,
VLOOKUP"&amp;"(D3777,IMPORTRANGE(""https://docs.google.com/spreadsheets/d/14Bd19lYaqBhU8_DElYkX7l4wRkHqqCUFNJY4AfY3kHU/edit?usp=sharing  #gid=0"",""фіз особи new!relations_name_uo""),7,FALSE)
,
)
))"),"ОМАРОВ Курбан Омарович")</f>
        <v>ОМАРОВ Курбан Омарович</v>
      </c>
      <c r="G3776" s="7" t="s">
        <v>10</v>
      </c>
      <c r="H3776" s="7">
        <v>0</v>
      </c>
      <c r="I3776" s="8" t="str">
        <f ca="1">IFERROR(__xludf.DUMMYFUNCTION("IF
(
G3777=""фізична особа""
,
VLOOKUP(H3777,IMPORTRANGE(""https://docs.google.com/spreadsheets/d/14Bd19lYaqBhU8_DElYkX7l4wRkHqqCUFNJY4AfY3kHU/edit?usp=sharing  #gid=0"",""фіз особи new!relations_name""),6,FALSE)
,
(IF
(
G3777=""юридична особа""
,
VLOOKUP"&amp;"(H3777,IMPORTRANGE(""https://docs.google.com/spreadsheets/d/14Bd19lYaqBhU8_DElYkX7l4wRkHqqCUFNJY4AfY3kHU/edit?usp=sharing  #gid=0"",""фіз особи new!relations_name_uo""),7,FALSE)
,
)
))"),"#N/A")</f>
        <v>#N/A</v>
      </c>
      <c r="J3776" s="7" t="s">
        <v>18</v>
      </c>
    </row>
    <row r="3777" spans="1:10" ht="13.2">
      <c r="A3777" s="7">
        <v>3776</v>
      </c>
      <c r="B3777" s="7">
        <v>1</v>
      </c>
      <c r="C3777" s="7" t="s">
        <v>10</v>
      </c>
      <c r="D3777" s="7">
        <v>2252</v>
      </c>
      <c r="E3777" s="7" t="s">
        <v>17</v>
      </c>
      <c r="F3777" s="8" t="str">
        <f ca="1">IFERROR(__xludf.DUMMYFUNCTION("IF
(
C3778=""фізична особа""
,
VLOOKUP(D3778,IMPORTRANGE(""https://docs.google.com/spreadsheets/d/14Bd19lYaqBhU8_DElYkX7l4wRkHqqCUFNJY4AfY3kHU/edit?usp=sharing  #gid=0"",""фіз особи new!relations_name""),6,FALSE)
,
(IF
(
C3778=""юридична особа""
,
VLOOKUP"&amp;"(D3778,IMPORTRANGE(""https://docs.google.com/spreadsheets/d/14Bd19lYaqBhU8_DElYkX7l4wRkHqqCUFNJY4AfY3kHU/edit?usp=sharing  #gid=0"",""фіз особи new!relations_name_uo""),7,FALSE)
,
)
))"),"ЛЕБЕДЄВ Артемій Андрійович")</f>
        <v>ЛЕБЕДЄВ Артемій Андрійович</v>
      </c>
      <c r="G3777" s="7" t="s">
        <v>10</v>
      </c>
      <c r="H3777" s="7">
        <v>0</v>
      </c>
      <c r="I3777" s="8" t="str">
        <f ca="1">IFERROR(__xludf.DUMMYFUNCTION("IF
(
G3778=""фізична особа""
,
VLOOKUP(H3778,IMPORTRANGE(""https://docs.google.com/spreadsheets/d/14Bd19lYaqBhU8_DElYkX7l4wRkHqqCUFNJY4AfY3kHU/edit?usp=sharing  #gid=0"",""фіз особи new!relations_name""),6,FALSE)
,
(IF
(
G3778=""юридична особа""
,
VLOOKUP"&amp;"(H3778,IMPORTRANGE(""https://docs.google.com/spreadsheets/d/14Bd19lYaqBhU8_DElYkX7l4wRkHqqCUFNJY4AfY3kHU/edit?usp=sharing  #gid=0"",""фіз особи new!relations_name_uo""),7,FALSE)
,
)
))"),"#N/A")</f>
        <v>#N/A</v>
      </c>
      <c r="J3777" s="7" t="s">
        <v>21</v>
      </c>
    </row>
    <row r="3778" spans="1:10" ht="13.2">
      <c r="A3778" s="7">
        <v>3777</v>
      </c>
      <c r="B3778" s="7">
        <v>1</v>
      </c>
      <c r="C3778" s="7" t="s">
        <v>10</v>
      </c>
      <c r="D3778" s="7">
        <v>2252</v>
      </c>
      <c r="E3778" s="7" t="s">
        <v>17</v>
      </c>
      <c r="F3778" s="8" t="str">
        <f ca="1">IFERROR(__xludf.DUMMYFUNCTION("IF
(
C3779=""фізична особа""
,
VLOOKUP(D3779,IMPORTRANGE(""https://docs.google.com/spreadsheets/d/14Bd19lYaqBhU8_DElYkX7l4wRkHqqCUFNJY4AfY3kHU/edit?usp=sharing  #gid=0"",""фіз особи new!relations_name""),6,FALSE)
,
(IF
(
C3779=""юридична особа""
,
VLOOKUP"&amp;"(D3779,IMPORTRANGE(""https://docs.google.com/spreadsheets/d/14Bd19lYaqBhU8_DElYkX7l4wRkHqqCUFNJY4AfY3kHU/edit?usp=sharing  #gid=0"",""фіз особи new!relations_name_uo""),7,FALSE)
,
)
))"),"ЛЕБЕДЄВ Артемій Андрійович")</f>
        <v>ЛЕБЕДЄВ Артемій Андрійович</v>
      </c>
      <c r="G3778" s="7" t="s">
        <v>10</v>
      </c>
      <c r="H3778" s="7">
        <v>0</v>
      </c>
      <c r="I3778" s="8" t="str">
        <f ca="1">IFERROR(__xludf.DUMMYFUNCTION("IF
(
G3779=""фізична особа""
,
VLOOKUP(H3779,IMPORTRANGE(""https://docs.google.com/spreadsheets/d/14Bd19lYaqBhU8_DElYkX7l4wRkHqqCUFNJY4AfY3kHU/edit?usp=sharing  #gid=0"",""фіз особи new!relations_name""),6,FALSE)
,
(IF
(
G3779=""юридична особа""
,
VLOOKUP"&amp;"(H3779,IMPORTRANGE(""https://docs.google.com/spreadsheets/d/14Bd19lYaqBhU8_DElYkX7l4wRkHqqCUFNJY4AfY3kHU/edit?usp=sharing  #gid=0"",""фіз особи new!relations_name_uo""),7,FALSE)
,
)
))"),"#N/A")</f>
        <v>#N/A</v>
      </c>
      <c r="J3778" s="7" t="s">
        <v>12</v>
      </c>
    </row>
    <row r="3779" spans="1:10" ht="13.2">
      <c r="A3779" s="7">
        <v>3778</v>
      </c>
      <c r="B3779" s="7">
        <v>1</v>
      </c>
      <c r="C3779" s="7" t="s">
        <v>10</v>
      </c>
      <c r="D3779" s="7">
        <v>2252</v>
      </c>
      <c r="E3779" s="7" t="s">
        <v>12</v>
      </c>
      <c r="F3779" s="8" t="str">
        <f ca="1">IFERROR(__xludf.DUMMYFUNCTION("IF
(
C3780=""фізична особа""
,
VLOOKUP(D3780,IMPORTRANGE(""https://docs.google.com/spreadsheets/d/14Bd19lYaqBhU8_DElYkX7l4wRkHqqCUFNJY4AfY3kHU/edit?usp=sharing  #gid=0"",""фіз особи new!relations_name""),6,FALSE)
,
(IF
(
C3780=""юридична особа""
,
VLOOKUP"&amp;"(D3780,IMPORTRANGE(""https://docs.google.com/spreadsheets/d/14Bd19lYaqBhU8_DElYkX7l4wRkHqqCUFNJY4AfY3kHU/edit?usp=sharing  #gid=0"",""фіз особи new!relations_name_uo""),7,FALSE)
,
)
))"),"ЛЕБЕДЄВ Артемій Андрійович")</f>
        <v>ЛЕБЕДЄВ Артемій Андрійович</v>
      </c>
      <c r="G3779" s="7" t="s">
        <v>10</v>
      </c>
      <c r="H3779" s="7">
        <v>0</v>
      </c>
      <c r="I3779" s="8" t="str">
        <f ca="1">IFERROR(__xludf.DUMMYFUNCTION("IF
(
G3780=""фізична особа""
,
VLOOKUP(H3780,IMPORTRANGE(""https://docs.google.com/spreadsheets/d/14Bd19lYaqBhU8_DElYkX7l4wRkHqqCUFNJY4AfY3kHU/edit?usp=sharing  #gid=0"",""фіз особи new!relations_name""),6,FALSE)
,
(IF
(
G3780=""юридична особа""
,
VLOOKUP"&amp;"(H3780,IMPORTRANGE(""https://docs.google.com/spreadsheets/d/14Bd19lYaqBhU8_DElYkX7l4wRkHqqCUFNJY4AfY3kHU/edit?usp=sharing  #gid=0"",""фіз особи new!relations_name_uo""),7,FALSE)
,
)
))"),"#N/A")</f>
        <v>#N/A</v>
      </c>
      <c r="J3779" s="7" t="s">
        <v>17</v>
      </c>
    </row>
    <row r="3780" spans="1:10" ht="13.2">
      <c r="A3780" s="7">
        <v>3779</v>
      </c>
      <c r="B3780" s="7">
        <v>1</v>
      </c>
      <c r="C3780" s="7" t="s">
        <v>10</v>
      </c>
      <c r="D3780" s="7">
        <v>2253</v>
      </c>
      <c r="E3780" s="7" t="s">
        <v>14</v>
      </c>
      <c r="F3780" s="8" t="str">
        <f ca="1">IFERROR(__xludf.DUMMYFUNCTION("IF
(
C3781=""фізична особа""
,
VLOOKUP(D3781,IMPORTRANGE(""https://docs.google.com/spreadsheets/d/14Bd19lYaqBhU8_DElYkX7l4wRkHqqCUFNJY4AfY3kHU/edit?usp=sharing  #gid=0"",""фіз особи new!relations_name""),6,FALSE)
,
(IF
(
C3781=""юридична особа""
,
VLOOKUP"&amp;"(D3781,IMPORTRANGE(""https://docs.google.com/spreadsheets/d/14Bd19lYaqBhU8_DElYkX7l4wRkHqqCUFNJY4AfY3kHU/edit?usp=sharing  #gid=0"",""фіз особи new!relations_name_uo""),7,FALSE)
,
)
))"),"ГОРШКОВ/ШАГІН Антон Олександрович")</f>
        <v>ГОРШКОВ/ШАГІН Антон Олександрович</v>
      </c>
      <c r="G3780" s="7" t="s">
        <v>10</v>
      </c>
      <c r="H3780" s="7">
        <v>0</v>
      </c>
      <c r="I3780" s="8" t="str">
        <f ca="1">IFERROR(__xludf.DUMMYFUNCTION("IF
(
G3781=""фізична особа""
,
VLOOKUP(H3781,IMPORTRANGE(""https://docs.google.com/spreadsheets/d/14Bd19lYaqBhU8_DElYkX7l4wRkHqqCUFNJY4AfY3kHU/edit?usp=sharing  #gid=0"",""фіз особи new!relations_name""),6,FALSE)
,
(IF
(
G3781=""юридична особа""
,
VLOOKUP"&amp;"(H3781,IMPORTRANGE(""https://docs.google.com/spreadsheets/d/14Bd19lYaqBhU8_DElYkX7l4wRkHqqCUFNJY4AfY3kHU/edit?usp=sharing  #gid=0"",""фіз особи new!relations_name_uo""),7,FALSE)
,
)
))"),"#N/A")</f>
        <v>#N/A</v>
      </c>
      <c r="J3780" s="7" t="s">
        <v>15</v>
      </c>
    </row>
    <row r="3781" spans="1:10" ht="13.2">
      <c r="A3781" s="7">
        <v>3780</v>
      </c>
      <c r="B3781" s="7">
        <v>1</v>
      </c>
      <c r="C3781" s="7" t="s">
        <v>10</v>
      </c>
      <c r="D3781" s="7">
        <v>2253</v>
      </c>
      <c r="E3781" s="7" t="s">
        <v>12</v>
      </c>
      <c r="F3781" s="8" t="str">
        <f ca="1">IFERROR(__xludf.DUMMYFUNCTION("IF
(
C3782=""фізична особа""
,
VLOOKUP(D3782,IMPORTRANGE(""https://docs.google.com/spreadsheets/d/14Bd19lYaqBhU8_DElYkX7l4wRkHqqCUFNJY4AfY3kHU/edit?usp=sharing  #gid=0"",""фіз особи new!relations_name""),6,FALSE)
,
(IF
(
C3782=""юридична особа""
,
VLOOKUP"&amp;"(D3782,IMPORTRANGE(""https://docs.google.com/spreadsheets/d/14Bd19lYaqBhU8_DElYkX7l4wRkHqqCUFNJY4AfY3kHU/edit?usp=sharing  #gid=0"",""фіз особи new!relations_name_uo""),7,FALSE)
,
)
))"),"ГОРШКОВ/ШАГІН Антон Олександрович")</f>
        <v>ГОРШКОВ/ШАГІН Антон Олександрович</v>
      </c>
      <c r="G3781" s="7" t="s">
        <v>10</v>
      </c>
      <c r="H3781" s="7">
        <v>0</v>
      </c>
      <c r="I3781" s="8" t="str">
        <f ca="1">IFERROR(__xludf.DUMMYFUNCTION("IF
(
G3782=""фізична особа""
,
VLOOKUP(H3782,IMPORTRANGE(""https://docs.google.com/spreadsheets/d/14Bd19lYaqBhU8_DElYkX7l4wRkHqqCUFNJY4AfY3kHU/edit?usp=sharing  #gid=0"",""фіз особи new!relations_name""),6,FALSE)
,
(IF
(
G3782=""юридична особа""
,
VLOOKUP"&amp;"(H3782,IMPORTRANGE(""https://docs.google.com/spreadsheets/d/14Bd19lYaqBhU8_DElYkX7l4wRkHqqCUFNJY4AfY3kHU/edit?usp=sharing  #gid=0"",""фіз особи new!relations_name_uo""),7,FALSE)
,
)
))"),"#N/A")</f>
        <v>#N/A</v>
      </c>
      <c r="J3781" s="7" t="s">
        <v>17</v>
      </c>
    </row>
    <row r="3782" spans="1:10" ht="13.2">
      <c r="A3782" s="7">
        <v>3781</v>
      </c>
      <c r="B3782" s="7">
        <v>1</v>
      </c>
      <c r="C3782" s="7" t="s">
        <v>10</v>
      </c>
      <c r="D3782" s="7">
        <v>2253</v>
      </c>
      <c r="E3782" s="7" t="s">
        <v>12</v>
      </c>
      <c r="F3782" s="8" t="str">
        <f ca="1">IFERROR(__xludf.DUMMYFUNCTION("IF
(
C3783=""фізична особа""
,
VLOOKUP(D3783,IMPORTRANGE(""https://docs.google.com/spreadsheets/d/14Bd19lYaqBhU8_DElYkX7l4wRkHqqCUFNJY4AfY3kHU/edit?usp=sharing  #gid=0"",""фіз особи new!relations_name""),6,FALSE)
,
(IF
(
C3783=""юридична особа""
,
VLOOKUP"&amp;"(D3783,IMPORTRANGE(""https://docs.google.com/spreadsheets/d/14Bd19lYaqBhU8_DElYkX7l4wRkHqqCUFNJY4AfY3kHU/edit?usp=sharing  #gid=0"",""фіз особи new!relations_name_uo""),7,FALSE)
,
)
))"),"ГОРШКОВ/ШАГІН Антон Олександрович")</f>
        <v>ГОРШКОВ/ШАГІН Антон Олександрович</v>
      </c>
      <c r="G3782" s="7" t="s">
        <v>10</v>
      </c>
      <c r="H3782" s="7">
        <v>0</v>
      </c>
      <c r="I3782" s="8" t="str">
        <f ca="1">IFERROR(__xludf.DUMMYFUNCTION("IF
(
G3783=""фізична особа""
,
VLOOKUP(H3783,IMPORTRANGE(""https://docs.google.com/spreadsheets/d/14Bd19lYaqBhU8_DElYkX7l4wRkHqqCUFNJY4AfY3kHU/edit?usp=sharing  #gid=0"",""фіз особи new!relations_name""),6,FALSE)
,
(IF
(
G3783=""юридична особа""
,
VLOOKUP"&amp;"(H3783,IMPORTRANGE(""https://docs.google.com/spreadsheets/d/14Bd19lYaqBhU8_DElYkX7l4wRkHqqCUFNJY4AfY3kHU/edit?usp=sharing  #gid=0"",""фіз особи new!relations_name_uo""),7,FALSE)
,
)
))"),"#N/A")</f>
        <v>#N/A</v>
      </c>
      <c r="J3782" s="7" t="s">
        <v>13</v>
      </c>
    </row>
    <row r="3783" spans="1:10" ht="13.2">
      <c r="A3783" s="7">
        <v>3782</v>
      </c>
      <c r="B3783" s="7">
        <v>1</v>
      </c>
      <c r="C3783" s="7" t="s">
        <v>10</v>
      </c>
      <c r="D3783" s="7">
        <v>2254</v>
      </c>
      <c r="E3783" s="7" t="s">
        <v>17</v>
      </c>
      <c r="F3783" s="8" t="str">
        <f ca="1">IFERROR(__xludf.DUMMYFUNCTION("IF
(
C3784=""фізична особа""
,
VLOOKUP(D3784,IMPORTRANGE(""https://docs.google.com/spreadsheets/d/14Bd19lYaqBhU8_DElYkX7l4wRkHqqCUFNJY4AfY3kHU/edit?usp=sharing  #gid=0"",""фіз особи new!relations_name""),6,FALSE)
,
(IF
(
C3784=""юридична особа""
,
VLOOKUP"&amp;"(D3784,IMPORTRANGE(""https://docs.google.com/spreadsheets/d/14Bd19lYaqBhU8_DElYkX7l4wRkHqqCUFNJY4AfY3kHU/edit?usp=sharing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3" s="7" t="s">
        <v>10</v>
      </c>
      <c r="H3783" s="7">
        <v>0</v>
      </c>
      <c r="I3783" s="8" t="str">
        <f ca="1">IFERROR(__xludf.DUMMYFUNCTION("IF
(
G3784=""фізична особа""
,
VLOOKUP(H3784,IMPORTRANGE(""https://docs.google.com/spreadsheets/d/14Bd19lYaqBhU8_DElYkX7l4wRkHqqCUFNJY4AfY3kHU/edit?usp=sharing  #gid=0"",""фіз особи new!relations_name""),6,FALSE)
,
(IF
(
G3784=""юридична особа""
,
VLOOKUP"&amp;"(H3784,IMPORTRANGE(""https://docs.google.com/spreadsheets/d/14Bd19lYaqBhU8_DElYkX7l4wRkHqqCUFNJY4AfY3kHU/edit?usp=sharing  #gid=0"",""фіз особи new!relations_name_uo""),7,FALSE)
,
)
))"),"#N/A")</f>
        <v>#N/A</v>
      </c>
      <c r="J3783" s="7" t="s">
        <v>12</v>
      </c>
    </row>
    <row r="3784" spans="1:10" ht="13.2">
      <c r="A3784" s="7">
        <v>3783</v>
      </c>
      <c r="B3784" s="7">
        <v>1</v>
      </c>
      <c r="C3784" s="7" t="s">
        <v>10</v>
      </c>
      <c r="D3784" s="7">
        <v>2254</v>
      </c>
      <c r="E3784" s="7" t="s">
        <v>18</v>
      </c>
      <c r="F3784" s="8" t="str">
        <f ca="1">IFERROR(__xludf.DUMMYFUNCTION("IF
(
C3785=""фізична особа""
,
VLOOKUP(D3785,IMPORTRANGE(""https://docs.google.com/spreadsheets/d/14Bd19lYaqBhU8_DElYkX7l4wRkHqqCUFNJY4AfY3kHU/edit?usp=sharing  #gid=0"",""фіз особи new!relations_name""),6,FALSE)
,
(IF
(
C3785=""юридична особа""
,
VLOOKUP"&amp;"(D3785,IMPORTRANGE(""https://docs.google.com/spreadsheets/d/14Bd19lYaqBhU8_DElYkX7l4wRkHqqCUFNJY4AfY3kHU/edit?usp=sharing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4" s="7" t="s">
        <v>10</v>
      </c>
      <c r="H3784" s="7">
        <v>0</v>
      </c>
      <c r="I3784" s="8" t="str">
        <f ca="1">IFERROR(__xludf.DUMMYFUNCTION("IF
(
G3785=""фізична особа""
,
VLOOKUP(H3785,IMPORTRANGE(""https://docs.google.com/spreadsheets/d/14Bd19lYaqBhU8_DElYkX7l4wRkHqqCUFNJY4AfY3kHU/edit?usp=sharing  #gid=0"",""фіз особи new!relations_name""),6,FALSE)
,
(IF
(
G3785=""юридична особа""
,
VLOOKUP"&amp;"(H3785,IMPORTRANGE(""https://docs.google.com/spreadsheets/d/14Bd19lYaqBhU8_DElYkX7l4wRkHqqCUFNJY4AfY3kHU/edit?usp=sharing  #gid=0"",""фіз особи new!relations_name_uo""),7,FALSE)
,
)
))"),"#N/A")</f>
        <v>#N/A</v>
      </c>
      <c r="J3784" s="7" t="s">
        <v>18</v>
      </c>
    </row>
    <row r="3785" spans="1:10" ht="13.2">
      <c r="A3785" s="7">
        <v>3784</v>
      </c>
      <c r="B3785" s="7">
        <v>1</v>
      </c>
      <c r="C3785" s="7" t="s">
        <v>10</v>
      </c>
      <c r="D3785" s="7">
        <v>2254</v>
      </c>
      <c r="E3785" s="7" t="s">
        <v>12</v>
      </c>
      <c r="F3785" s="8" t="str">
        <f ca="1">IFERROR(__xludf.DUMMYFUNCTION("IF
(
C3786=""фізична особа""
,
VLOOKUP(D3786,IMPORTRANGE(""https://docs.google.com/spreadsheets/d/14Bd19lYaqBhU8_DElYkX7l4wRkHqqCUFNJY4AfY3kHU/edit?usp=sharing  #gid=0"",""фіз особи new!relations_name""),6,FALSE)
,
(IF
(
C3786=""юридична особа""
,
VLOOKUP"&amp;"(D3786,IMPORTRANGE(""https://docs.google.com/spreadsheets/d/14Bd19lYaqBhU8_DElYkX7l4wRkHqqCUFNJY4AfY3kHU/edit?usp=sharing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5" s="7" t="s">
        <v>10</v>
      </c>
      <c r="H3785" s="7">
        <v>0</v>
      </c>
      <c r="I3785" s="8" t="str">
        <f ca="1">IFERROR(__xludf.DUMMYFUNCTION("IF
(
G3786=""фізична особа""
,
VLOOKUP(H3786,IMPORTRANGE(""https://docs.google.com/spreadsheets/d/14Bd19lYaqBhU8_DElYkX7l4wRkHqqCUFNJY4AfY3kHU/edit?usp=sharing  #gid=0"",""фіз особи new!relations_name""),6,FALSE)
,
(IF
(
G3786=""юридична особа""
,
VLOOKUP"&amp;"(H3786,IMPORTRANGE(""https://docs.google.com/spreadsheets/d/14Bd19lYaqBhU8_DElYkX7l4wRkHqqCUFNJY4AfY3kHU/edit?usp=sharing  #gid=0"",""фіз особи new!relations_name_uo""),7,FALSE)
,
)
))"),"#N/A")</f>
        <v>#N/A</v>
      </c>
      <c r="J3785" s="7" t="s">
        <v>13</v>
      </c>
    </row>
    <row r="3786" spans="1:10" ht="13.2">
      <c r="A3786" s="7">
        <v>3785</v>
      </c>
      <c r="B3786" s="7">
        <v>1</v>
      </c>
      <c r="C3786" s="7" t="s">
        <v>10</v>
      </c>
      <c r="D3786" s="7">
        <v>2254</v>
      </c>
      <c r="E3786" s="7" t="s">
        <v>14</v>
      </c>
      <c r="F3786" s="8" t="str">
        <f ca="1">IFERROR(__xludf.DUMMYFUNCTION("IF
(
C3787=""фізична особа""
,
VLOOKUP(D3787,IMPORTRANGE(""https://docs.google.com/spreadsheets/d/14Bd19lYaqBhU8_DElYkX7l4wRkHqqCUFNJY4AfY3kHU/edit?usp=sharing  #gid=0"",""фіз особи new!relations_name""),6,FALSE)
,
(IF
(
C3787=""юридична особа""
,
VLOOKUP"&amp;"(D3787,IMPORTRANGE(""https://docs.google.com/spreadsheets/d/14Bd19lYaqBhU8_DElYkX7l4wRkHqqCUFNJY4AfY3kHU/edit?usp=sharing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6" s="7" t="s">
        <v>10</v>
      </c>
      <c r="H3786" s="7">
        <v>0</v>
      </c>
      <c r="I3786" s="8" t="str">
        <f ca="1">IFERROR(__xludf.DUMMYFUNCTION("IF
(
G3787=""фізична особа""
,
VLOOKUP(H3787,IMPORTRANGE(""https://docs.google.com/spreadsheets/d/14Bd19lYaqBhU8_DElYkX7l4wRkHqqCUFNJY4AfY3kHU/edit?usp=sharing  #gid=0"",""фіз особи new!relations_name""),6,FALSE)
,
(IF
(
G3787=""юридична особа""
,
VLOOKUP"&amp;"(H3787,IMPORTRANGE(""https://docs.google.com/spreadsheets/d/14Bd19lYaqBhU8_DElYkX7l4wRkHqqCUFNJY4AfY3kHU/edit?usp=sharing  #gid=0"",""фіз особи new!relations_name_uo""),7,FALSE)
,
)
))"),"#N/A")</f>
        <v>#N/A</v>
      </c>
      <c r="J3786" s="7" t="s">
        <v>15</v>
      </c>
    </row>
    <row r="3787" spans="1:10" ht="13.2">
      <c r="A3787" s="7">
        <v>3786</v>
      </c>
      <c r="B3787" s="7">
        <v>1</v>
      </c>
      <c r="C3787" s="7" t="s">
        <v>10</v>
      </c>
      <c r="D3787" s="7">
        <v>2254</v>
      </c>
      <c r="E3787" s="7" t="s">
        <v>12</v>
      </c>
      <c r="F3787" s="8" t="str">
        <f ca="1">IFERROR(__xludf.DUMMYFUNCTION("IF
(
C3788=""фізична особа""
,
VLOOKUP(D3788,IMPORTRANGE(""https://docs.google.com/spreadsheets/d/14Bd19lYaqBhU8_DElYkX7l4wRkHqqCUFNJY4AfY3kHU/edit?usp=sharing  #gid=0"",""фіз особи new!relations_name""),6,FALSE)
,
(IF
(
C3788=""юридична особа""
,
VLOOKUP"&amp;"(D3788,IMPORTRANGE(""https://docs.google.com/spreadsheets/d/14Bd19lYaqBhU8_DElYkX7l4wRkHqqCUFNJY4AfY3kHU/edit?usp=sharing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7" s="7" t="s">
        <v>10</v>
      </c>
      <c r="H3787" s="7">
        <v>0</v>
      </c>
      <c r="I3787" s="8" t="str">
        <f ca="1">IFERROR(__xludf.DUMMYFUNCTION("IF
(
G3788=""фізична особа""
,
VLOOKUP(H3788,IMPORTRANGE(""https://docs.google.com/spreadsheets/d/14Bd19lYaqBhU8_DElYkX7l4wRkHqqCUFNJY4AfY3kHU/edit?usp=sharing  #gid=0"",""фіз особи new!relations_name""),6,FALSE)
,
(IF
(
G3788=""юридична особа""
,
VLOOKUP"&amp;"(H3788,IMPORTRANGE(""https://docs.google.com/spreadsheets/d/14Bd19lYaqBhU8_DElYkX7l4wRkHqqCUFNJY4AfY3kHU/edit?usp=sharing  #gid=0"",""фіз особи new!relations_name_uo""),7,FALSE)
,
)
))"),"#N/A")</f>
        <v>#N/A</v>
      </c>
      <c r="J3787" s="7" t="s">
        <v>13</v>
      </c>
    </row>
    <row r="3788" spans="1:10" ht="13.2">
      <c r="A3788" s="7">
        <v>3787</v>
      </c>
      <c r="B3788" s="7">
        <v>1</v>
      </c>
      <c r="C3788" s="7" t="s">
        <v>10</v>
      </c>
      <c r="D3788" s="7">
        <v>2254</v>
      </c>
      <c r="E3788" s="7" t="s">
        <v>12</v>
      </c>
      <c r="F3788" s="8" t="str">
        <f ca="1">IFERROR(__xludf.DUMMYFUNCTION("IF
(
C3789=""фізична особа""
,
VLOOKUP(D3789,IMPORTRANGE(""https://docs.google.com/spreadsheets/d/14Bd19lYaqBhU8_DElYkX7l4wRkHqqCUFNJY4AfY3kHU/edit?usp=sharing  #gid=0"",""фіз особи new!relations_name""),6,FALSE)
,
(IF
(
C3789=""юридична особа""
,
VLOOKUP"&amp;"(D3789,IMPORTRANGE(""https://docs.google.com/spreadsheets/d/14Bd19lYaqBhU8_DElYkX7l4wRkHqqCUFNJY4AfY3kHU/edit?usp=sharing  #gid=0"",""фіз особи new!relations_name_uo""),7,FALSE)
,
)
))"),"МАНУЧАРОВ Вячеслав Рафаелєвич")</f>
        <v>МАНУЧАРОВ Вячеслав Рафаелєвич</v>
      </c>
      <c r="G3788" s="7" t="s">
        <v>10</v>
      </c>
      <c r="H3788" s="7">
        <v>0</v>
      </c>
      <c r="I3788" s="8" t="str">
        <f ca="1">IFERROR(__xludf.DUMMYFUNCTION("IF
(
G3789=""фізична особа""
,
VLOOKUP(H3789,IMPORTRANGE(""https://docs.google.com/spreadsheets/d/14Bd19lYaqBhU8_DElYkX7l4wRkHqqCUFNJY4AfY3kHU/edit?usp=sharing  #gid=0"",""фіз особи new!relations_name""),6,FALSE)
,
(IF
(
G3789=""юридична особа""
,
VLOOKUP"&amp;"(H3789,IMPORTRANGE(""https://docs.google.com/spreadsheets/d/14Bd19lYaqBhU8_DElYkX7l4wRkHqqCUFNJY4AfY3kHU/edit?usp=sharing  #gid=0"",""фіз особи new!relations_name_uo""),7,FALSE)
,
)
))"),"#N/A")</f>
        <v>#N/A</v>
      </c>
      <c r="J3788" s="7" t="s">
        <v>17</v>
      </c>
    </row>
    <row r="3789" spans="1:10" ht="13.2">
      <c r="A3789" s="7">
        <v>3788</v>
      </c>
      <c r="B3789" s="7">
        <v>1</v>
      </c>
      <c r="C3789" s="7" t="s">
        <v>10</v>
      </c>
      <c r="D3789" s="7">
        <v>2255</v>
      </c>
      <c r="E3789" s="7" t="s">
        <v>15</v>
      </c>
      <c r="F3789" s="8" t="str">
        <f ca="1">IFERROR(__xludf.DUMMYFUNCTION("IF
(
C3790=""фізична особа""
,
VLOOKUP(D3790,IMPORTRANGE(""https://docs.google.com/spreadsheets/d/14Bd19lYaqBhU8_DElYkX7l4wRkHqqCUFNJY4AfY3kHU/edit?usp=sharing  #gid=0"",""фіз особи new!relations_name""),6,FALSE)
,
(IF
(
C3790=""юридична особа""
,
VLOOKUP"&amp;"(D3790,IMPORTRANGE(""https://docs.google.com/spreadsheets/d/14Bd19lYaqBhU8_DElYkX7l4wRkHqqCUFNJY4AfY3kHU/edit?usp=sharing  #gid=0"",""фіз особи new!relations_name_uo""),7,FALSE)
,
)
))"),"СЕВЕРІНА/КИСИЛЬОВА Олена Юріївна")</f>
        <v>СЕВЕРІНА/КИСИЛЬОВА Олена Юріївна</v>
      </c>
      <c r="G3789" s="7" t="s">
        <v>10</v>
      </c>
      <c r="H3789" s="7">
        <v>23475</v>
      </c>
      <c r="I3789" s="8" t="str">
        <f ca="1">IFERROR(__xludf.DUMMYFUNCTION("IF
(
G3790=""фізична особа""
,
VLOOKUP(H3790,IMPORTRANGE(""https://docs.google.com/spreadsheets/d/14Bd19lYaqBhU8_DElYkX7l4wRkHqqCUFNJY4AfY3kHU/edit?usp=sharing  #gid=0"",""фіз особи new!relations_name""),6,FALSE)
,
(IF
(
G3790=""юридична особа""
,
VLOOKUP"&amp;"(H3790,IMPORTRANGE(""https://docs.google.com/spreadsheets/d/14Bd19lYaqBhU8_DElYkX7l4wRkHqqCUFNJY4AfY3kHU/edit?usp=sharing  #gid=0"",""фіз особи new!relations_name_uo""),7,FALSE)
,
)
))"),"КИСЕЛЬОВ Володимир Володимирович")</f>
        <v>КИСЕЛЬОВ Володимир Володимирович</v>
      </c>
      <c r="J3789" s="7" t="s">
        <v>14</v>
      </c>
    </row>
    <row r="3790" spans="1:10" ht="13.2">
      <c r="A3790" s="7">
        <v>3789</v>
      </c>
      <c r="B3790" s="7">
        <v>1</v>
      </c>
      <c r="C3790" s="7" t="s">
        <v>10</v>
      </c>
      <c r="D3790" s="7">
        <v>2255</v>
      </c>
      <c r="E3790" s="7" t="s">
        <v>13</v>
      </c>
      <c r="F3790" s="8" t="str">
        <f ca="1">IFERROR(__xludf.DUMMYFUNCTION("IF
(
C3791=""фізична особа""
,
VLOOKUP(D3791,IMPORTRANGE(""https://docs.google.com/spreadsheets/d/14Bd19lYaqBhU8_DElYkX7l4wRkHqqCUFNJY4AfY3kHU/edit?usp=sharing  #gid=0"",""фіз особи new!relations_name""),6,FALSE)
,
(IF
(
C3791=""юридична особа""
,
VLOOKUP"&amp;"(D3791,IMPORTRANGE(""https://docs.google.com/spreadsheets/d/14Bd19lYaqBhU8_DElYkX7l4wRkHqqCUFNJY4AfY3kHU/edit?usp=sharing  #gid=0"",""фіз особи new!relations_name_uo""),7,FALSE)
,
)
))"),"СЕВЕРІНА/КИСИЛЬОВА Олена Юріївна")</f>
        <v>СЕВЕРІНА/КИСИЛЬОВА Олена Юріївна</v>
      </c>
      <c r="G3790" s="7" t="s">
        <v>10</v>
      </c>
      <c r="H3790" s="7">
        <v>0</v>
      </c>
      <c r="I3790" s="8" t="str">
        <f ca="1">IFERROR(__xludf.DUMMYFUNCTION("IF
(
G3791=""фізична особа""
,
VLOOKUP(H3791,IMPORTRANGE(""https://docs.google.com/spreadsheets/d/14Bd19lYaqBhU8_DElYkX7l4wRkHqqCUFNJY4AfY3kHU/edit?usp=sharing  #gid=0"",""фіз особи new!relations_name""),6,FALSE)
,
(IF
(
G3791=""юридична особа""
,
VLOOKUP"&amp;"(H3791,IMPORTRANGE(""https://docs.google.com/spreadsheets/d/14Bd19lYaqBhU8_DElYkX7l4wRkHqqCUFNJY4AfY3kHU/edit?usp=sharing  #gid=0"",""фіз особи new!relations_name_uo""),7,FALSE)
,
)
))"),"#N/A")</f>
        <v>#N/A</v>
      </c>
      <c r="J3790" s="7" t="s">
        <v>21</v>
      </c>
    </row>
    <row r="3791" spans="1:10" ht="13.2">
      <c r="A3791" s="7">
        <v>3790</v>
      </c>
      <c r="B3791" s="7">
        <v>1</v>
      </c>
      <c r="C3791" s="7" t="s">
        <v>10</v>
      </c>
      <c r="D3791" s="7">
        <v>2255</v>
      </c>
      <c r="E3791" s="7" t="s">
        <v>13</v>
      </c>
      <c r="F3791" s="8" t="str">
        <f ca="1">IFERROR(__xludf.DUMMYFUNCTION("IF
(
C3792=""фізична особа""
,
VLOOKUP(D3792,IMPORTRANGE(""https://docs.google.com/spreadsheets/d/14Bd19lYaqBhU8_DElYkX7l4wRkHqqCUFNJY4AfY3kHU/edit?usp=sharing  #gid=0"",""фіз особи new!relations_name""),6,FALSE)
,
(IF
(
C3792=""юридична особа""
,
VLOOKUP"&amp;"(D3792,IMPORTRANGE(""https://docs.google.com/spreadsheets/d/14Bd19lYaqBhU8_DElYkX7l4wRkHqqCUFNJY4AfY3kHU/edit?usp=sharing  #gid=0"",""фіз особи new!relations_name_uo""),7,FALSE)
,
)
))"),"СЕВЕРІНА/КИСИЛЬОВА Олена Юріївна")</f>
        <v>СЕВЕРІНА/КИСИЛЬОВА Олена Юріївна</v>
      </c>
      <c r="G3791" s="7" t="s">
        <v>10</v>
      </c>
      <c r="H3791" s="7">
        <v>0</v>
      </c>
      <c r="I3791" s="8" t="str">
        <f ca="1">IFERROR(__xludf.DUMMYFUNCTION("IF
(
G3792=""фізична особа""
,
VLOOKUP(H3792,IMPORTRANGE(""https://docs.google.com/spreadsheets/d/14Bd19lYaqBhU8_DElYkX7l4wRkHqqCUFNJY4AfY3kHU/edit?usp=sharing  #gid=0"",""фіз особи new!relations_name""),6,FALSE)
,
(IF
(
G3792=""юридична особа""
,
VLOOKUP"&amp;"(H3792,IMPORTRANGE(""https://docs.google.com/spreadsheets/d/14Bd19lYaqBhU8_DElYkX7l4wRkHqqCUFNJY4AfY3kHU/edit?usp=sharing  #gid=0"",""фіз особи new!relations_name_uo""),7,FALSE)
,
)
))"),"#N/A")</f>
        <v>#N/A</v>
      </c>
      <c r="J3791" s="7" t="s">
        <v>12</v>
      </c>
    </row>
    <row r="3792" spans="1:10" ht="13.2">
      <c r="A3792" s="7">
        <v>3791</v>
      </c>
      <c r="B3792" s="7">
        <v>1</v>
      </c>
      <c r="C3792" s="7" t="s">
        <v>10</v>
      </c>
      <c r="D3792" s="7">
        <v>2255</v>
      </c>
      <c r="E3792" s="7" t="s">
        <v>21</v>
      </c>
      <c r="F3792" s="8" t="str">
        <f ca="1">IFERROR(__xludf.DUMMYFUNCTION("IF
(
C3793=""фізична особа""
,
VLOOKUP(D3793,IMPORTRANGE(""https://docs.google.com/spreadsheets/d/14Bd19lYaqBhU8_DElYkX7l4wRkHqqCUFNJY4AfY3kHU/edit?usp=sharing  #gid=0"",""фіз особи new!relations_name""),6,FALSE)
,
(IF
(
C3793=""юридична особа""
,
VLOOKUP"&amp;"(D3793,IMPORTRANGE(""https://docs.google.com/spreadsheets/d/14Bd19lYaqBhU8_DElYkX7l4wRkHqqCUFNJY4AfY3kHU/edit?usp=sharing  #gid=0"",""фіз особи new!relations_name_uo""),7,FALSE)
,
)
))"),"СЕВЕРІНА/КИСИЛЬОВА Олена Юріївна")</f>
        <v>СЕВЕРІНА/КИСИЛЬОВА Олена Юріївна</v>
      </c>
      <c r="G3792" s="7" t="s">
        <v>10</v>
      </c>
      <c r="H3792" s="7">
        <v>0</v>
      </c>
      <c r="I3792" s="8" t="str">
        <f ca="1">IFERROR(__xludf.DUMMYFUNCTION("IF
(
G3793=""фізична особа""
,
VLOOKUP(H3793,IMPORTRANGE(""https://docs.google.com/spreadsheets/d/14Bd19lYaqBhU8_DElYkX7l4wRkHqqCUFNJY4AfY3kHU/edit?usp=sharing  #gid=0"",""фіз особи new!relations_name""),6,FALSE)
,
(IF
(
G3793=""юридична особа""
,
VLOOKUP"&amp;"(H3793,IMPORTRANGE(""https://docs.google.com/spreadsheets/d/14Bd19lYaqBhU8_DElYkX7l4wRkHqqCUFNJY4AfY3kHU/edit?usp=sharing  #gid=0"",""фіз особи new!relations_name_uo""),7,FALSE)
,
)
))"),"#N/A")</f>
        <v>#N/A</v>
      </c>
      <c r="J3792" s="7" t="s">
        <v>17</v>
      </c>
    </row>
    <row r="3793" spans="1:10" ht="13.2">
      <c r="A3793" s="7">
        <v>3792</v>
      </c>
      <c r="B3793" s="7">
        <v>1</v>
      </c>
      <c r="C3793" s="7" t="s">
        <v>10</v>
      </c>
      <c r="D3793" s="7">
        <v>2255</v>
      </c>
      <c r="E3793" s="7" t="s">
        <v>21</v>
      </c>
      <c r="F3793" s="8" t="str">
        <f ca="1">IFERROR(__xludf.DUMMYFUNCTION("IF
(
C3794=""фізична особа""
,
VLOOKUP(D3794,IMPORTRANGE(""https://docs.google.com/spreadsheets/d/14Bd19lYaqBhU8_DElYkX7l4wRkHqqCUFNJY4AfY3kHU/edit?usp=sharing  #gid=0"",""фіз особи new!relations_name""),6,FALSE)
,
(IF
(
C3794=""юридична особа""
,
VLOOKUP"&amp;"(D3794,IMPORTRANGE(""https://docs.google.com/spreadsheets/d/14Bd19lYaqBhU8_DElYkX7l4wRkHqqCUFNJY4AfY3kHU/edit?usp=sharing  #gid=0"",""фіз особи new!relations_name_uo""),7,FALSE)
,
)
))"),"СЕВЕРІНА/КИСИЛЬОВА Олена Юріївна")</f>
        <v>СЕВЕРІНА/КИСИЛЬОВА Олена Юріївна</v>
      </c>
      <c r="G3793" s="7" t="s">
        <v>10</v>
      </c>
      <c r="H3793" s="7">
        <v>23475</v>
      </c>
      <c r="I3793" s="8" t="str">
        <f ca="1">IFERROR(__xludf.DUMMYFUNCTION("IF
(
G3794=""фізична особа""
,
VLOOKUP(H3794,IMPORTRANGE(""https://docs.google.com/spreadsheets/d/14Bd19lYaqBhU8_DElYkX7l4wRkHqqCUFNJY4AfY3kHU/edit?usp=sharing  #gid=0"",""фіз особи new!relations_name""),6,FALSE)
,
(IF
(
G3794=""юридична особа""
,
VLOOKUP"&amp;"(H3794,IMPORTRANGE(""https://docs.google.com/spreadsheets/d/14Bd19lYaqBhU8_DElYkX7l4wRkHqqCUFNJY4AfY3kHU/edit?usp=sharing  #gid=0"",""фіз особи new!relations_name_uo""),7,FALSE)
,
)
))"),"КИСЕЛЬОВ Володимир Володимирович")</f>
        <v>КИСЕЛЬОВ Володимир Володимирович</v>
      </c>
      <c r="J3793" s="7" t="s">
        <v>17</v>
      </c>
    </row>
    <row r="3794" spans="1:10" ht="13.2">
      <c r="A3794" s="7">
        <v>3793</v>
      </c>
      <c r="B3794" s="7">
        <v>1</v>
      </c>
      <c r="C3794" s="7" t="s">
        <v>10</v>
      </c>
      <c r="D3794" s="7">
        <v>2257</v>
      </c>
      <c r="E3794" s="7" t="s">
        <v>17</v>
      </c>
      <c r="F3794" s="8" t="str">
        <f ca="1">IFERROR(__xludf.DUMMYFUNCTION("IF
(
C3795=""фізична особа""
,
VLOOKUP(D3795,IMPORTRANGE(""https://docs.google.com/spreadsheets/d/14Bd19lYaqBhU8_DElYkX7l4wRkHqqCUFNJY4AfY3kHU/edit?usp=sharing  #gid=0"",""фіз особи new!relations_name""),6,FALSE)
,
(IF
(
C3795=""юридична особа""
,
VLOOKUP"&amp;"(D3795,IMPORTRANGE(""https://docs.google.com/spreadsheets/d/14Bd19lYaqBhU8_DElYkX7l4wRkHqqCUFNJY4AfY3kHU/edit?usp=sharing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4" s="7" t="s">
        <v>10</v>
      </c>
      <c r="H3794" s="7">
        <v>0</v>
      </c>
      <c r="I3794" s="8" t="str">
        <f ca="1">IFERROR(__xludf.DUMMYFUNCTION("IF
(
G3795=""фізична особа""
,
VLOOKUP(H3795,IMPORTRANGE(""https://docs.google.com/spreadsheets/d/14Bd19lYaqBhU8_DElYkX7l4wRkHqqCUFNJY4AfY3kHU/edit?usp=sharing  #gid=0"",""фіз особи new!relations_name""),6,FALSE)
,
(IF
(
G3795=""юридична особа""
,
VLOOKUP"&amp;"(H3795,IMPORTRANGE(""https://docs.google.com/spreadsheets/d/14Bd19lYaqBhU8_DElYkX7l4wRkHqqCUFNJY4AfY3kHU/edit?usp=sharing  #gid=0"",""фіз особи new!relations_name_uo""),7,FALSE)
,
)
))"),"#N/A")</f>
        <v>#N/A</v>
      </c>
      <c r="J3794" s="7" t="s">
        <v>12</v>
      </c>
    </row>
    <row r="3795" spans="1:10" ht="13.2">
      <c r="A3795" s="7">
        <v>3794</v>
      </c>
      <c r="B3795" s="7">
        <v>1</v>
      </c>
      <c r="C3795" s="7" t="s">
        <v>10</v>
      </c>
      <c r="D3795" s="7">
        <v>2257</v>
      </c>
      <c r="E3795" s="7" t="s">
        <v>17</v>
      </c>
      <c r="F3795" s="8" t="str">
        <f ca="1">IFERROR(__xludf.DUMMYFUNCTION("IF
(
C3796=""фізична особа""
,
VLOOKUP(D3796,IMPORTRANGE(""https://docs.google.com/spreadsheets/d/14Bd19lYaqBhU8_DElYkX7l4wRkHqqCUFNJY4AfY3kHU/edit?usp=sharing  #gid=0"",""фіз особи new!relations_name""),6,FALSE)
,
(IF
(
C3796=""юридична особа""
,
VLOOKUP"&amp;"(D3796,IMPORTRANGE(""https://docs.google.com/spreadsheets/d/14Bd19lYaqBhU8_DElYkX7l4wRkHqqCUFNJY4AfY3kHU/edit?usp=sharing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5" s="7" t="s">
        <v>10</v>
      </c>
      <c r="H3795" s="7">
        <v>0</v>
      </c>
      <c r="I3795" s="8" t="str">
        <f ca="1">IFERROR(__xludf.DUMMYFUNCTION("IF
(
G3796=""фізична особа""
,
VLOOKUP(H3796,IMPORTRANGE(""https://docs.google.com/spreadsheets/d/14Bd19lYaqBhU8_DElYkX7l4wRkHqqCUFNJY4AfY3kHU/edit?usp=sharing  #gid=0"",""фіз особи new!relations_name""),6,FALSE)
,
(IF
(
G3796=""юридична особа""
,
VLOOKUP"&amp;"(H3796,IMPORTRANGE(""https://docs.google.com/spreadsheets/d/14Bd19lYaqBhU8_DElYkX7l4wRkHqqCUFNJY4AfY3kHU/edit?usp=sharing  #gid=0"",""фіз особи new!relations_name_uo""),7,FALSE)
,
)
))"),"#N/A")</f>
        <v>#N/A</v>
      </c>
      <c r="J3795" s="7" t="s">
        <v>21</v>
      </c>
    </row>
    <row r="3796" spans="1:10" ht="13.2">
      <c r="A3796" s="7">
        <v>3795</v>
      </c>
      <c r="B3796" s="7">
        <v>1</v>
      </c>
      <c r="C3796" s="7" t="s">
        <v>10</v>
      </c>
      <c r="D3796" s="7">
        <v>2257</v>
      </c>
      <c r="E3796" s="7" t="s">
        <v>14</v>
      </c>
      <c r="F3796" s="8" t="str">
        <f ca="1">IFERROR(__xludf.DUMMYFUNCTION("IF
(
C3797=""фізична особа""
,
VLOOKUP(D3797,IMPORTRANGE(""https://docs.google.com/spreadsheets/d/14Bd19lYaqBhU8_DElYkX7l4wRkHqqCUFNJY4AfY3kHU/edit?usp=sharing  #gid=0"",""фіз особи new!relations_name""),6,FALSE)
,
(IF
(
C3797=""юридична особа""
,
VLOOKUP"&amp;"(D3797,IMPORTRANGE(""https://docs.google.com/spreadsheets/d/14Bd19lYaqBhU8_DElYkX7l4wRkHqqCUFNJY4AfY3kHU/edit?usp=sharing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6" s="7" t="s">
        <v>10</v>
      </c>
      <c r="H3796" s="7">
        <v>0</v>
      </c>
      <c r="I3796" s="8" t="str">
        <f ca="1">IFERROR(__xludf.DUMMYFUNCTION("IF
(
G3797=""фізична особа""
,
VLOOKUP(H3797,IMPORTRANGE(""https://docs.google.com/spreadsheets/d/14Bd19lYaqBhU8_DElYkX7l4wRkHqqCUFNJY4AfY3kHU/edit?usp=sharing  #gid=0"",""фіз особи new!relations_name""),6,FALSE)
,
(IF
(
G3797=""юридична особа""
,
VLOOKUP"&amp;"(H3797,IMPORTRANGE(""https://docs.google.com/spreadsheets/d/14Bd19lYaqBhU8_DElYkX7l4wRkHqqCUFNJY4AfY3kHU/edit?usp=sharing  #gid=0"",""фіз особи new!relations_name_uo""),7,FALSE)
,
)
))"),"#N/A")</f>
        <v>#N/A</v>
      </c>
      <c r="J3796" s="7" t="s">
        <v>15</v>
      </c>
    </row>
    <row r="3797" spans="1:10" ht="13.2">
      <c r="A3797" s="7">
        <v>3796</v>
      </c>
      <c r="B3797" s="7">
        <v>1</v>
      </c>
      <c r="C3797" s="7" t="s">
        <v>10</v>
      </c>
      <c r="D3797" s="7">
        <v>2257</v>
      </c>
      <c r="E3797" s="7" t="s">
        <v>12</v>
      </c>
      <c r="F3797" s="8" t="str">
        <f ca="1">IFERROR(__xludf.DUMMYFUNCTION("IF
(
C3798=""фізична особа""
,
VLOOKUP(D3798,IMPORTRANGE(""https://docs.google.com/spreadsheets/d/14Bd19lYaqBhU8_DElYkX7l4wRkHqqCUFNJY4AfY3kHU/edit?usp=sharing  #gid=0"",""фіз особи new!relations_name""),6,FALSE)
,
(IF
(
C3798=""юридична особа""
,
VLOOKUP"&amp;"(D3798,IMPORTRANGE(""https://docs.google.com/spreadsheets/d/14Bd19lYaqBhU8_DElYkX7l4wRkHqqCUFNJY4AfY3kHU/edit?usp=sharing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7" s="7" t="s">
        <v>10</v>
      </c>
      <c r="H3797" s="7">
        <v>0</v>
      </c>
      <c r="I3797" s="8" t="str">
        <f ca="1">IFERROR(__xludf.DUMMYFUNCTION("IF
(
G3798=""фізична особа""
,
VLOOKUP(H3798,IMPORTRANGE(""https://docs.google.com/spreadsheets/d/14Bd19lYaqBhU8_DElYkX7l4wRkHqqCUFNJY4AfY3kHU/edit?usp=sharing  #gid=0"",""фіз особи new!relations_name""),6,FALSE)
,
(IF
(
G3798=""юридична особа""
,
VLOOKUP"&amp;"(H3798,IMPORTRANGE(""https://docs.google.com/spreadsheets/d/14Bd19lYaqBhU8_DElYkX7l4wRkHqqCUFNJY4AfY3kHU/edit?usp=sharing  #gid=0"",""фіз особи new!relations_name_uo""),7,FALSE)
,
)
))"),"#N/A")</f>
        <v>#N/A</v>
      </c>
      <c r="J3797" s="7" t="s">
        <v>17</v>
      </c>
    </row>
    <row r="3798" spans="1:10" ht="13.2">
      <c r="A3798" s="7">
        <v>3797</v>
      </c>
      <c r="B3798" s="7">
        <v>1</v>
      </c>
      <c r="C3798" s="7" t="s">
        <v>10</v>
      </c>
      <c r="D3798" s="7">
        <v>2257</v>
      </c>
      <c r="E3798" s="7" t="s">
        <v>12</v>
      </c>
      <c r="F3798" s="8" t="str">
        <f ca="1">IFERROR(__xludf.DUMMYFUNCTION("IF
(
C3799=""фізична особа""
,
VLOOKUP(D3799,IMPORTRANGE(""https://docs.google.com/spreadsheets/d/14Bd19lYaqBhU8_DElYkX7l4wRkHqqCUFNJY4AfY3kHU/edit?usp=sharing  #gid=0"",""фіз особи new!relations_name""),6,FALSE)
,
(IF
(
C3799=""юридична особа""
,
VLOOKUP"&amp;"(D3799,IMPORTRANGE(""https://docs.google.com/spreadsheets/d/14Bd19lYaqBhU8_DElYkX7l4wRkHqqCUFNJY4AfY3kHU/edit?usp=sharing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8" s="7" t="s">
        <v>10</v>
      </c>
      <c r="H3798" s="7">
        <v>0</v>
      </c>
      <c r="I3798" s="8" t="str">
        <f ca="1">IFERROR(__xludf.DUMMYFUNCTION("IF
(
G3799=""фізична особа""
,
VLOOKUP(H3799,IMPORTRANGE(""https://docs.google.com/spreadsheets/d/14Bd19lYaqBhU8_DElYkX7l4wRkHqqCUFNJY4AfY3kHU/edit?usp=sharing  #gid=0"",""фіз особи new!relations_name""),6,FALSE)
,
(IF
(
G3799=""юридична особа""
,
VLOOKUP"&amp;"(H3799,IMPORTRANGE(""https://docs.google.com/spreadsheets/d/14Bd19lYaqBhU8_DElYkX7l4wRkHqqCUFNJY4AfY3kHU/edit?usp=sharing  #gid=0"",""фіз особи new!relations_name_uo""),7,FALSE)
,
)
))"),"#N/A")</f>
        <v>#N/A</v>
      </c>
      <c r="J3798" s="7" t="s">
        <v>17</v>
      </c>
    </row>
    <row r="3799" spans="1:10" ht="13.2">
      <c r="A3799" s="7">
        <v>3798</v>
      </c>
      <c r="B3799" s="7">
        <v>1</v>
      </c>
      <c r="C3799" s="7" t="s">
        <v>10</v>
      </c>
      <c r="D3799" s="7">
        <v>2257</v>
      </c>
      <c r="E3799" s="7" t="s">
        <v>12</v>
      </c>
      <c r="F3799" s="8" t="str">
        <f ca="1">IFERROR(__xludf.DUMMYFUNCTION("IF
(
C3800=""фізична особа""
,
VLOOKUP(D3800,IMPORTRANGE(""https://docs.google.com/spreadsheets/d/14Bd19lYaqBhU8_DElYkX7l4wRkHqqCUFNJY4AfY3kHU/edit?usp=sharing  #gid=0"",""фіз особи new!relations_name""),6,FALSE)
,
(IF
(
C3800=""юридична особа""
,
VLOOKUP"&amp;"(D3800,IMPORTRANGE(""https://docs.google.com/spreadsheets/d/14Bd19lYaqBhU8_DElYkX7l4wRkHqqCUFNJY4AfY3kHU/edit?usp=sharing  #gid=0"",""фіз особи new!relations_name_uo""),7,FALSE)
,
)
))"),"ЛУК'ЯНЕНКО Сергій Васильович")</f>
        <v>ЛУК'ЯНЕНКО Сергій Васильович</v>
      </c>
      <c r="G3799" s="7" t="s">
        <v>10</v>
      </c>
      <c r="H3799" s="7">
        <v>0</v>
      </c>
      <c r="I3799" s="8" t="str">
        <f ca="1">IFERROR(__xludf.DUMMYFUNCTION("IF
(
G3800=""фізична особа""
,
VLOOKUP(H3800,IMPORTRANGE(""https://docs.google.com/spreadsheets/d/14Bd19lYaqBhU8_DElYkX7l4wRkHqqCUFNJY4AfY3kHU/edit?usp=sharing  #gid=0"",""фіз особи new!relations_name""),6,FALSE)
,
(IF
(
G3800=""юридична особа""
,
VLOOKUP"&amp;"(H3800,IMPORTRANGE(""https://docs.google.com/spreadsheets/d/14Bd19lYaqBhU8_DElYkX7l4wRkHqqCUFNJY4AfY3kHU/edit?usp=sharing  #gid=0"",""фіз особи new!relations_name_uo""),7,FALSE)
,
)
))"),"#N/A")</f>
        <v>#N/A</v>
      </c>
      <c r="J3799" s="7" t="s">
        <v>13</v>
      </c>
    </row>
    <row r="3800" spans="1:10" ht="13.2">
      <c r="A3800" s="7">
        <v>3799</v>
      </c>
      <c r="B3800" s="7">
        <v>1</v>
      </c>
      <c r="C3800" s="7" t="s">
        <v>10</v>
      </c>
      <c r="D3800" s="7">
        <v>2258</v>
      </c>
      <c r="E3800" s="7" t="s">
        <v>14</v>
      </c>
      <c r="F3800" s="8" t="str">
        <f ca="1">IFERROR(__xludf.DUMMYFUNCTION("IF
(
C3801=""фізична особа""
,
VLOOKUP(D3801,IMPORTRANGE(""https://docs.google.com/spreadsheets/d/14Bd19lYaqBhU8_DElYkX7l4wRkHqqCUFNJY4AfY3kHU/edit?usp=sharing  #gid=0"",""фіз особи new!relations_name""),6,FALSE)
,
(IF
(
C3801=""юридична особа""
,
VLOOKUP"&amp;"(D3801,IMPORTRANGE(""https://docs.google.com/spreadsheets/d/14Bd19lYaqBhU8_DElYkX7l4wRkHqqCUFNJY4AfY3kHU/edit?usp=sharing  #gid=0"",""фіз особи new!relations_name_uo""),7,FALSE)
,
)
))"),"ЛЕЩЕНКО Лев Валеріанович ")</f>
        <v xml:space="preserve">ЛЕЩЕНКО Лев Валеріанович </v>
      </c>
      <c r="G3800" s="7" t="s">
        <v>10</v>
      </c>
      <c r="H3800" s="7">
        <v>0</v>
      </c>
      <c r="I3800" s="8" t="str">
        <f ca="1">IFERROR(__xludf.DUMMYFUNCTION("IF
(
G3801=""фізична особа""
,
VLOOKUP(H3801,IMPORTRANGE(""https://docs.google.com/spreadsheets/d/14Bd19lYaqBhU8_DElYkX7l4wRkHqqCUFNJY4AfY3kHU/edit?usp=sharing  #gid=0"",""фіз особи new!relations_name""),6,FALSE)
,
(IF
(
G3801=""юридична особа""
,
VLOOKUP"&amp;"(H3801,IMPORTRANGE(""https://docs.google.com/spreadsheets/d/14Bd19lYaqBhU8_DElYkX7l4wRkHqqCUFNJY4AfY3kHU/edit?usp=sharing  #gid=0"",""фіз особи new!relations_name_uo""),7,FALSE)
,
)
))"),"#N/A")</f>
        <v>#N/A</v>
      </c>
      <c r="J3800" s="7" t="s">
        <v>15</v>
      </c>
    </row>
    <row r="3801" spans="1:10" ht="13.2">
      <c r="A3801" s="7">
        <v>3800</v>
      </c>
      <c r="B3801" s="7">
        <v>1</v>
      </c>
      <c r="C3801" s="7" t="s">
        <v>10</v>
      </c>
      <c r="D3801" s="7">
        <v>2259</v>
      </c>
      <c r="E3801" s="7" t="s">
        <v>17</v>
      </c>
      <c r="F3801" s="8" t="str">
        <f ca="1">IFERROR(__xludf.DUMMYFUNCTION("IF
(
C3802=""фізична особа""
,
VLOOKUP(D3802,IMPORTRANGE(""https://docs.google.com/spreadsheets/d/14Bd19lYaqBhU8_DElYkX7l4wRkHqqCUFNJY4AfY3kHU/edit?usp=sharing  #gid=0"",""фіз особи new!relations_name""),6,FALSE)
,
(IF
(
C3802=""юридична особа""
,
VLOOKUP"&amp;"(D3802,IMPORTRANGE(""https://docs.google.com/spreadsheets/d/14Bd19lYaqBhU8_DElYkX7l4wRkHqqCUFNJY4AfY3kHU/edit?usp=sharing  #gid=0"",""фіз особи new!relations_name_uo""),7,FALSE)
,
)
))"),"ВЛАСОВ Роман Андрійович")</f>
        <v>ВЛАСОВ Роман Андрійович</v>
      </c>
      <c r="G3801" s="7" t="s">
        <v>10</v>
      </c>
      <c r="H3801" s="7">
        <v>23476</v>
      </c>
      <c r="I3801" s="8" t="str">
        <f ca="1">IFERROR(__xludf.DUMMYFUNCTION("IF
(
G3802=""фізична особа""
,
VLOOKUP(H3802,IMPORTRANGE(""https://docs.google.com/spreadsheets/d/14Bd19lYaqBhU8_DElYkX7l4wRkHqqCUFNJY4AfY3kHU/edit?usp=sharing  #gid=0"",""фіз особи new!relations_name""),6,FALSE)
,
(IF
(
G3802=""юридична особа""
,
VLOOKUP"&amp;"(H3802,IMPORTRANGE(""https://docs.google.com/spreadsheets/d/14Bd19lYaqBhU8_DElYkX7l4wRkHqqCUFNJY4AfY3kHU/edit?usp=sharing  #gid=0"",""фіз особи new!relations_name_uo""),7,FALSE)
,
)
))"),"КОЛОБОВА Віолетта Віталіївна")</f>
        <v>КОЛОБОВА Віолетта Віталіївна</v>
      </c>
      <c r="J3801" s="7" t="s">
        <v>21</v>
      </c>
    </row>
    <row r="3802" spans="1:10" ht="13.2">
      <c r="A3802" s="7">
        <v>3801</v>
      </c>
      <c r="B3802" s="7">
        <v>1</v>
      </c>
      <c r="C3802" s="7" t="s">
        <v>10</v>
      </c>
      <c r="D3802" s="7">
        <v>2259</v>
      </c>
      <c r="E3802" s="7" t="s">
        <v>18</v>
      </c>
      <c r="F3802" s="8" t="str">
        <f ca="1">IFERROR(__xludf.DUMMYFUNCTION("IF
(
C3803=""фізична особа""
,
VLOOKUP(D3803,IMPORTRANGE(""https://docs.google.com/spreadsheets/d/14Bd19lYaqBhU8_DElYkX7l4wRkHqqCUFNJY4AfY3kHU/edit?usp=sharing  #gid=0"",""фіз особи new!relations_name""),6,FALSE)
,
(IF
(
C3803=""юридична особа""
,
VLOOKUP"&amp;"(D3803,IMPORTRANGE(""https://docs.google.com/spreadsheets/d/14Bd19lYaqBhU8_DElYkX7l4wRkHqqCUFNJY4AfY3kHU/edit?usp=sharing  #gid=0"",""фіз особи new!relations_name_uo""),7,FALSE)
,
)
))"),"ВЛАСОВ Роман Андрійович")</f>
        <v>ВЛАСОВ Роман Андрійович</v>
      </c>
      <c r="G3802" s="7" t="s">
        <v>10</v>
      </c>
      <c r="H3802" s="7">
        <v>0</v>
      </c>
      <c r="I3802" s="8" t="str">
        <f ca="1">IFERROR(__xludf.DUMMYFUNCTION("IF
(
G3803=""фізична особа""
,
VLOOKUP(H3803,IMPORTRANGE(""https://docs.google.com/spreadsheets/d/14Bd19lYaqBhU8_DElYkX7l4wRkHqqCUFNJY4AfY3kHU/edit?usp=sharing  #gid=0"",""фіз особи new!relations_name""),6,FALSE)
,
(IF
(
G3803=""юридична особа""
,
VLOOKUP"&amp;"(H3803,IMPORTRANGE(""https://docs.google.com/spreadsheets/d/14Bd19lYaqBhU8_DElYkX7l4wRkHqqCUFNJY4AfY3kHU/edit?usp=sharing  #gid=0"",""фіз особи new!relations_name_uo""),7,FALSE)
,
)
))"),"#N/A")</f>
        <v>#N/A</v>
      </c>
      <c r="J3802" s="7" t="s">
        <v>18</v>
      </c>
    </row>
    <row r="3803" spans="1:10" ht="13.2">
      <c r="A3803" s="7">
        <v>3802</v>
      </c>
      <c r="B3803" s="7">
        <v>1</v>
      </c>
      <c r="C3803" s="7" t="s">
        <v>10</v>
      </c>
      <c r="D3803" s="7">
        <v>2259</v>
      </c>
      <c r="E3803" s="7" t="s">
        <v>14</v>
      </c>
      <c r="F3803" s="8" t="str">
        <f ca="1">IFERROR(__xludf.DUMMYFUNCTION("IF
(
C3804=""фізична особа""
,
VLOOKUP(D3804,IMPORTRANGE(""https://docs.google.com/spreadsheets/d/14Bd19lYaqBhU8_DElYkX7l4wRkHqqCUFNJY4AfY3kHU/edit?usp=sharing  #gid=0"",""фіз особи new!relations_name""),6,FALSE)
,
(IF
(
C3804=""юридична особа""
,
VLOOKUP"&amp;"(D3804,IMPORTRANGE(""https://docs.google.com/spreadsheets/d/14Bd19lYaqBhU8_DElYkX7l4wRkHqqCUFNJY4AfY3kHU/edit?usp=sharing  #gid=0"",""фіз особи new!relations_name_uo""),7,FALSE)
,
)
))"),"ВЛАСОВ Роман Андрійович")</f>
        <v>ВЛАСОВ Роман Андрійович</v>
      </c>
      <c r="G3803" s="7" t="s">
        <v>10</v>
      </c>
      <c r="H3803" s="7">
        <v>23476</v>
      </c>
      <c r="I3803" s="8" t="str">
        <f ca="1">IFERROR(__xludf.DUMMYFUNCTION("IF
(
G3804=""фізична особа""
,
VLOOKUP(H3804,IMPORTRANGE(""https://docs.google.com/spreadsheets/d/14Bd19lYaqBhU8_DElYkX7l4wRkHqqCUFNJY4AfY3kHU/edit?usp=sharing  #gid=0"",""фіз особи new!relations_name""),6,FALSE)
,
(IF
(
G3804=""юридична особа""
,
VLOOKUP"&amp;"(H3804,IMPORTRANGE(""https://docs.google.com/spreadsheets/d/14Bd19lYaqBhU8_DElYkX7l4wRkHqqCUFNJY4AfY3kHU/edit?usp=sharing  #gid=0"",""фіз особи new!relations_name_uo""),7,FALSE)
,
)
))"),"КОЛОБОВА Віолетта Віталіївна")</f>
        <v>КОЛОБОВА Віолетта Віталіївна</v>
      </c>
      <c r="J3803" s="7" t="s">
        <v>15</v>
      </c>
    </row>
    <row r="3804" spans="1:10" ht="13.2">
      <c r="A3804" s="7">
        <v>3803</v>
      </c>
      <c r="B3804" s="7">
        <v>1</v>
      </c>
      <c r="C3804" s="7" t="s">
        <v>10</v>
      </c>
      <c r="D3804" s="7">
        <v>2261</v>
      </c>
      <c r="E3804" s="7" t="s">
        <v>17</v>
      </c>
      <c r="F3804" s="8" t="str">
        <f ca="1">IFERROR(__xludf.DUMMYFUNCTION("IF
(
C3805=""фізична особа""
,
VLOOKUP(D3805,IMPORTRANGE(""https://docs.google.com/spreadsheets/d/14Bd19lYaqBhU8_DElYkX7l4wRkHqqCUFNJY4AfY3kHU/edit?usp=sharing  #gid=0"",""фіз особи new!relations_name""),6,FALSE)
,
(IF
(
C3805=""юридична особа""
,
VLOOKUP"&amp;"(D3805,IMPORTRANGE(""https://docs.google.com/spreadsheets/d/14Bd19lYaqBhU8_DElYkX7l4wRkHqqCUFNJY4AfY3kHU/edit?usp=sharing  #gid=0"",""фіз особи new!relations_name_uo""),7,FALSE)
,
)
))"),"ЄМЕЛЬЯНЕНКО Олександр Володимирович")</f>
        <v>ЄМЕЛЬЯНЕНКО Олександр Володимирович</v>
      </c>
      <c r="G3804" s="7" t="s">
        <v>10</v>
      </c>
      <c r="H3804" s="7">
        <v>23477</v>
      </c>
      <c r="I3804" s="8" t="str">
        <f ca="1">IFERROR(__xludf.DUMMYFUNCTION("IF
(
G3805=""фізична особа""
,
VLOOKUP(H3805,IMPORTRANGE(""https://docs.google.com/spreadsheets/d/14Bd19lYaqBhU8_DElYkX7l4wRkHqqCUFNJY4AfY3kHU/edit?usp=sharing  #gid=0"",""фіз особи new!relations_name""),6,FALSE)
,
(IF
(
G3805=""юридична особа""
,
VLOOKUP"&amp;"(H3805,IMPORTRANGE(""https://docs.google.com/spreadsheets/d/14Bd19lYaqBhU8_DElYkX7l4wRkHqqCUFNJY4AfY3kHU/edit?usp=sharing  #gid=0"",""фіз особи new!relations_name_uo""),7,FALSE)
,
)
))"),"ЄМЕЛЬЯНЕНКО Ольга Федорівна")</f>
        <v>ЄМЕЛЬЯНЕНКО Ольга Федорівна</v>
      </c>
      <c r="J3804" s="7" t="s">
        <v>21</v>
      </c>
    </row>
    <row r="3805" spans="1:10" ht="13.2">
      <c r="A3805" s="7">
        <v>3804</v>
      </c>
      <c r="B3805" s="7">
        <v>1</v>
      </c>
      <c r="C3805" s="7" t="s">
        <v>10</v>
      </c>
      <c r="D3805" s="7">
        <v>2261</v>
      </c>
      <c r="E3805" s="7" t="s">
        <v>18</v>
      </c>
      <c r="F3805" s="8" t="str">
        <f ca="1">IFERROR(__xludf.DUMMYFUNCTION("IF
(
C3806=""фізична особа""
,
VLOOKUP(D3806,IMPORTRANGE(""https://docs.google.com/spreadsheets/d/14Bd19lYaqBhU8_DElYkX7l4wRkHqqCUFNJY4AfY3kHU/edit?usp=sharing  #gid=0"",""фіз особи new!relations_name""),6,FALSE)
,
(IF
(
C3806=""юридична особа""
,
VLOOKUP"&amp;"(D3806,IMPORTRANGE(""https://docs.google.com/spreadsheets/d/14Bd19lYaqBhU8_DElYkX7l4wRkHqqCUFNJY4AfY3kHU/edit?usp=sharing  #gid=0"",""фіз особи new!relations_name_uo""),7,FALSE)
,
)
))"),"ЄМЕЛЬЯНЕНКО Олександр Володимирович")</f>
        <v>ЄМЕЛЬЯНЕНКО Олександр Володимирович</v>
      </c>
      <c r="G3805" s="7" t="s">
        <v>10</v>
      </c>
      <c r="H3805" s="7">
        <v>2264</v>
      </c>
      <c r="I3805" s="8" t="str">
        <f ca="1">IFERROR(__xludf.DUMMYFUNCTION("IF
(
G3806=""фізична особа""
,
VLOOKUP(H3806,IMPORTRANGE(""https://docs.google.com/spreadsheets/d/14Bd19lYaqBhU8_DElYkX7l4wRkHqqCUFNJY4AfY3kHU/edit?usp=sharing  #gid=0"",""фіз особи new!relations_name""),6,FALSE)
,
(IF
(
G3806=""юридична особа""
,
VLOOKUP"&amp;"(H3806,IMPORTRANGE(""https://docs.google.com/spreadsheets/d/14Bd19lYaqBhU8_DElYkX7l4wRkHqqCUFNJY4AfY3kHU/edit?usp=sharing  #gid=0"",""фіз особи new!relations_name_uo""),7,FALSE)
,
)
))"),"ЄМЕЛЬЯНЕНКО Федір Володимирович")</f>
        <v>ЄМЕЛЬЯНЕНКО Федір Володимирович</v>
      </c>
      <c r="J3805" s="7" t="s">
        <v>18</v>
      </c>
    </row>
    <row r="3806" spans="1:10" ht="13.2">
      <c r="A3806" s="7">
        <v>3805</v>
      </c>
      <c r="B3806" s="7">
        <v>1</v>
      </c>
      <c r="C3806" s="7" t="s">
        <v>10</v>
      </c>
      <c r="D3806" s="7">
        <v>2261</v>
      </c>
      <c r="E3806" s="7" t="s">
        <v>18</v>
      </c>
      <c r="F3806" s="8" t="str">
        <f ca="1">IFERROR(__xludf.DUMMYFUNCTION("IF
(
C3807=""фізична особа""
,
VLOOKUP(D3807,IMPORTRANGE(""https://docs.google.com/spreadsheets/d/14Bd19lYaqBhU8_DElYkX7l4wRkHqqCUFNJY4AfY3kHU/edit?usp=sharing  #gid=0"",""фіз особи new!relations_name""),6,FALSE)
,
(IF
(
C3807=""юридична особа""
,
VLOOKUP"&amp;"(D3807,IMPORTRANGE(""https://docs.google.com/spreadsheets/d/14Bd19lYaqBhU8_DElYkX7l4wRkHqqCUFNJY4AfY3kHU/edit?usp=sharing  #gid=0"",""фіз особи new!relations_name_uo""),7,FALSE)
,
)
))"),"ЄМЕЛЬЯНЕНКО Олександр Володимирович")</f>
        <v>ЄМЕЛЬЯНЕНКО Олександр Володимирович</v>
      </c>
      <c r="G3806" s="7" t="s">
        <v>10</v>
      </c>
      <c r="H3806" s="7">
        <v>23478</v>
      </c>
      <c r="I3806" s="8" t="str">
        <f ca="1">IFERROR(__xludf.DUMMYFUNCTION("IF
(
G3807=""фізична особа""
,
VLOOKUP(H3807,IMPORTRANGE(""https://docs.google.com/spreadsheets/d/14Bd19lYaqBhU8_DElYkX7l4wRkHqqCUFNJY4AfY3kHU/edit?usp=sharing  #gid=0"",""фіз особи new!relations_name""),6,FALSE)
,
(IF
(
G3807=""юридична особа""
,
VLOOKUP"&amp;"(H3807,IMPORTRANGE(""https://docs.google.com/spreadsheets/d/14Bd19lYaqBhU8_DElYkX7l4wRkHqqCUFNJY4AfY3kHU/edit?usp=sharing  #gid=0"",""фіз особи new!relations_name_uo""),7,FALSE)
,
)
))"),"ЄМЕЛЬЯНЕНКО Марина Володимирівна")</f>
        <v>ЄМЕЛЬЯНЕНКО Марина Володимирівна</v>
      </c>
      <c r="J3806" s="7" t="s">
        <v>31</v>
      </c>
    </row>
    <row r="3807" spans="1:10" ht="13.2">
      <c r="A3807" s="7">
        <v>3806</v>
      </c>
      <c r="B3807" s="7">
        <v>1</v>
      </c>
      <c r="C3807" s="7" t="s">
        <v>10</v>
      </c>
      <c r="D3807" s="7">
        <v>2261</v>
      </c>
      <c r="E3807" s="7" t="s">
        <v>18</v>
      </c>
      <c r="F3807" s="8" t="str">
        <f ca="1">IFERROR(__xludf.DUMMYFUNCTION("IF
(
C3808=""фізична особа""
,
VLOOKUP(D3808,IMPORTRANGE(""https://docs.google.com/spreadsheets/d/14Bd19lYaqBhU8_DElYkX7l4wRkHqqCUFNJY4AfY3kHU/edit?usp=sharing  #gid=0"",""фіз особи new!relations_name""),6,FALSE)
,
(IF
(
C3808=""юридична особа""
,
VLOOKUP"&amp;"(D3808,IMPORTRANGE(""https://docs.google.com/spreadsheets/d/14Bd19lYaqBhU8_DElYkX7l4wRkHqqCUFNJY4AfY3kHU/edit?usp=sharing  #gid=0"",""фіз особи new!relations_name_uo""),7,FALSE)
,
)
))"),"ЄМЕЛЬЯНЕНКО Олександр Володимирович")</f>
        <v>ЄМЕЛЬЯНЕНКО Олександр Володимирович</v>
      </c>
      <c r="G3807" s="7" t="s">
        <v>10</v>
      </c>
      <c r="H3807" s="7">
        <v>23479</v>
      </c>
      <c r="I3807" s="8" t="str">
        <f ca="1">IFERROR(__xludf.DUMMYFUNCTION("IF
(
G3808=""фізична особа""
,
VLOOKUP(H3808,IMPORTRANGE(""https://docs.google.com/spreadsheets/d/14Bd19lYaqBhU8_DElYkX7l4wRkHqqCUFNJY4AfY3kHU/edit?usp=sharing  #gid=0"",""фіз особи new!relations_name""),6,FALSE)
,
(IF
(
G3808=""юридична особа""
,
VLOOKUP"&amp;"(H3808,IMPORTRANGE(""https://docs.google.com/spreadsheets/d/14Bd19lYaqBhU8_DElYkX7l4wRkHqqCUFNJY4AfY3kHU/edit?usp=sharing  #gid=0"",""фіз особи new!relations_name_uo""),7,FALSE)
,
)
))"),"ЄМЕЛЬЯНЕНКО Іван Володимирович")</f>
        <v>ЄМЕЛЬЯНЕНКО Іван Володимирович</v>
      </c>
      <c r="J3807" s="7" t="s">
        <v>18</v>
      </c>
    </row>
    <row r="3808" spans="1:10" ht="13.2">
      <c r="A3808" s="7">
        <v>3807</v>
      </c>
      <c r="B3808" s="7">
        <v>1</v>
      </c>
      <c r="C3808" s="7" t="s">
        <v>10</v>
      </c>
      <c r="D3808" s="7">
        <v>2262</v>
      </c>
      <c r="E3808" s="7" t="s">
        <v>18</v>
      </c>
      <c r="F3808" s="8" t="str">
        <f ca="1">IFERROR(__xludf.DUMMYFUNCTION("IF
(
C3809=""фізична особа""
,
VLOOKUP(D3809,IMPORTRANGE(""https://docs.google.com/spreadsheets/d/14Bd19lYaqBhU8_DElYkX7l4wRkHqqCUFNJY4AfY3kHU/edit?usp=sharing  #gid=0"",""фіз особи new!relations_name""),6,FALSE)
,
(IF
(
C3809=""юридична особа""
,
VLOOKUP"&amp;"(D3809,IMPORTRANGE(""https://docs.google.com/spreadsheets/d/14Bd19lYaqBhU8_DElYkX7l4wRkHqqCUFNJY4AfY3kHU/edit?usp=sharing  #gid=0"",""фіз особи new!relations_name_uo""),7,FALSE)
,
)
))"),"ПОВЄТКІН Олександр Володимирович")</f>
        <v>ПОВЄТКІН Олександр Володимирович</v>
      </c>
      <c r="G3808" s="7" t="s">
        <v>10</v>
      </c>
      <c r="H3808" s="7">
        <v>0</v>
      </c>
      <c r="I3808" s="8" t="str">
        <f ca="1">IFERROR(__xludf.DUMMYFUNCTION("IF
(
G3809=""фізична особа""
,
VLOOKUP(H3809,IMPORTRANGE(""https://docs.google.com/spreadsheets/d/14Bd19lYaqBhU8_DElYkX7l4wRkHqqCUFNJY4AfY3kHU/edit?usp=sharing  #gid=0"",""фіз особи new!relations_name""),6,FALSE)
,
(IF
(
G3809=""юридична особа""
,
VLOOKUP"&amp;"(H3809,IMPORTRANGE(""https://docs.google.com/spreadsheets/d/14Bd19lYaqBhU8_DElYkX7l4wRkHqqCUFNJY4AfY3kHU/edit?usp=sharing  #gid=0"",""фіз особи new!relations_name_uo""),7,FALSE)
,
)
))"),"#N/A")</f>
        <v>#N/A</v>
      </c>
      <c r="J3808" s="7" t="s">
        <v>18</v>
      </c>
    </row>
    <row r="3809" spans="1:10" ht="13.2">
      <c r="A3809" s="7">
        <v>3808</v>
      </c>
      <c r="B3809" s="7">
        <v>1</v>
      </c>
      <c r="C3809" s="7" t="s">
        <v>10</v>
      </c>
      <c r="D3809" s="7">
        <v>2262</v>
      </c>
      <c r="E3809" s="7" t="s">
        <v>14</v>
      </c>
      <c r="F3809" s="8" t="str">
        <f ca="1">IFERROR(__xludf.DUMMYFUNCTION("IF
(
C3810=""фізична особа""
,
VLOOKUP(D3810,IMPORTRANGE(""https://docs.google.com/spreadsheets/d/14Bd19lYaqBhU8_DElYkX7l4wRkHqqCUFNJY4AfY3kHU/edit?usp=sharing  #gid=0"",""фіз особи new!relations_name""),6,FALSE)
,
(IF
(
C3810=""юридична особа""
,
VLOOKUP"&amp;"(D3810,IMPORTRANGE(""https://docs.google.com/spreadsheets/d/14Bd19lYaqBhU8_DElYkX7l4wRkHqqCUFNJY4AfY3kHU/edit?usp=sharing  #gid=0"",""фіз особи new!relations_name_uo""),7,FALSE)
,
)
))"),"ПОВЄТКІН Олександр Володимирович")</f>
        <v>ПОВЄТКІН Олександр Володимирович</v>
      </c>
      <c r="G3809" s="7" t="s">
        <v>10</v>
      </c>
      <c r="H3809" s="7">
        <v>0</v>
      </c>
      <c r="I3809" s="8" t="str">
        <f ca="1">IFERROR(__xludf.DUMMYFUNCTION("IF
(
G3810=""фізична особа""
,
VLOOKUP(H3810,IMPORTRANGE(""https://docs.google.com/spreadsheets/d/14Bd19lYaqBhU8_DElYkX7l4wRkHqqCUFNJY4AfY3kHU/edit?usp=sharing  #gid=0"",""фіз особи new!relations_name""),6,FALSE)
,
(IF
(
G3810=""юридична особа""
,
VLOOKUP"&amp;"(H3810,IMPORTRANGE(""https://docs.google.com/spreadsheets/d/14Bd19lYaqBhU8_DElYkX7l4wRkHqqCUFNJY4AfY3kHU/edit?usp=sharing  #gid=0"",""фіз особи new!relations_name_uo""),7,FALSE)
,
)
))"),"#N/A")</f>
        <v>#N/A</v>
      </c>
      <c r="J3809" s="7" t="s">
        <v>15</v>
      </c>
    </row>
    <row r="3810" spans="1:10" ht="13.2">
      <c r="A3810" s="7">
        <v>3809</v>
      </c>
      <c r="B3810" s="7">
        <v>1</v>
      </c>
      <c r="C3810" s="7" t="s">
        <v>10</v>
      </c>
      <c r="D3810" s="7">
        <v>2263</v>
      </c>
      <c r="E3810" s="7" t="s">
        <v>14</v>
      </c>
      <c r="F3810" s="8" t="str">
        <f ca="1">IFERROR(__xludf.DUMMYFUNCTION("IF
(
C3811=""фізична особа""
,
VLOOKUP(D3811,IMPORTRANGE(""https://docs.google.com/spreadsheets/d/14Bd19lYaqBhU8_DElYkX7l4wRkHqqCUFNJY4AfY3kHU/edit?usp=sharing  #gid=0"",""фіз особи new!relations_name""),6,FALSE)
,
(IF
(
C3811=""юридична особа""
,
VLOOKUP"&amp;"(D3811,IMPORTRANGE(""https://docs.google.com/spreadsheets/d/14Bd19lYaqBhU8_DElYkX7l4wRkHqqCUFNJY4AfY3kHU/edit?usp=sharing  #gid=0"",""фіз особи new!relations_name_uo""),7,FALSE)
,
)
))"),"Лунєв Андрій Євгенович")</f>
        <v>Лунєв Андрій Євгенович</v>
      </c>
      <c r="G3810" s="7" t="s">
        <v>10</v>
      </c>
      <c r="H3810" s="7">
        <v>0</v>
      </c>
      <c r="I3810" s="8" t="str">
        <f ca="1">IFERROR(__xludf.DUMMYFUNCTION("IF
(
G3811=""фізична особа""
,
VLOOKUP(H3811,IMPORTRANGE(""https://docs.google.com/spreadsheets/d/14Bd19lYaqBhU8_DElYkX7l4wRkHqqCUFNJY4AfY3kHU/edit?usp=sharing  #gid=0"",""фіз особи new!relations_name""),6,FALSE)
,
(IF
(
G3811=""юридична особа""
,
VLOOKUP"&amp;"(H3811,IMPORTRANGE(""https://docs.google.com/spreadsheets/d/14Bd19lYaqBhU8_DElYkX7l4wRkHqqCUFNJY4AfY3kHU/edit?usp=sharing  #gid=0"",""фіз особи new!relations_name_uo""),7,FALSE)
,
)
))"),"#N/A")</f>
        <v>#N/A</v>
      </c>
      <c r="J3810" s="7" t="s">
        <v>15</v>
      </c>
    </row>
    <row r="3811" spans="1:10" ht="13.2">
      <c r="A3811" s="7">
        <v>3810</v>
      </c>
      <c r="B3811" s="7">
        <v>1</v>
      </c>
      <c r="C3811" s="7" t="s">
        <v>10</v>
      </c>
      <c r="D3811" s="7">
        <v>2264</v>
      </c>
      <c r="E3811" s="7" t="s">
        <v>17</v>
      </c>
      <c r="F3811" s="8" t="str">
        <f ca="1">IFERROR(__xludf.DUMMYFUNCTION("IF
(
C3812=""фізична особа""
,
VLOOKUP(D3812,IMPORTRANGE(""https://docs.google.com/spreadsheets/d/14Bd19lYaqBhU8_DElYkX7l4wRkHqqCUFNJY4AfY3kHU/edit?usp=sharing  #gid=0"",""фіз особи new!relations_name""),6,FALSE)
,
(IF
(
C3812=""юридична особа""
,
VLOOKUP"&amp;"(D3812,IMPORTRANGE(""https://docs.google.com/spreadsheets/d/14Bd19lYaqBhU8_DElYkX7l4wRkHqqCUFNJY4AfY3kHU/edit?usp=sharing  #gid=0"",""фіз особи new!relations_name_uo""),7,FALSE)
,
)
))"),"ЄМЕЛЬЯНЕНКО Федір Володимирович")</f>
        <v>ЄМЕЛЬЯНЕНКО Федір Володимирович</v>
      </c>
      <c r="G3811" s="7" t="s">
        <v>10</v>
      </c>
      <c r="H3811" s="7">
        <v>23477</v>
      </c>
      <c r="I3811" s="8" t="str">
        <f ca="1">IFERROR(__xludf.DUMMYFUNCTION("IF
(
G3812=""фізична особа""
,
VLOOKUP(H3812,IMPORTRANGE(""https://docs.google.com/spreadsheets/d/14Bd19lYaqBhU8_DElYkX7l4wRkHqqCUFNJY4AfY3kHU/edit?usp=sharing  #gid=0"",""фіз особи new!relations_name""),6,FALSE)
,
(IF
(
G3812=""юридична особа""
,
VLOOKUP"&amp;"(H3812,IMPORTRANGE(""https://docs.google.com/spreadsheets/d/14Bd19lYaqBhU8_DElYkX7l4wRkHqqCUFNJY4AfY3kHU/edit?usp=sharing  #gid=0"",""фіз особи new!relations_name_uo""),7,FALSE)
,
)
))"),"ЄМЕЛЬЯНЕНКО Ольга Федорівна")</f>
        <v>ЄМЕЛЬЯНЕНКО Ольга Федорівна</v>
      </c>
      <c r="J3811" s="7" t="s">
        <v>21</v>
      </c>
    </row>
    <row r="3812" spans="1:10" ht="13.2">
      <c r="A3812" s="7">
        <v>3811</v>
      </c>
      <c r="B3812" s="7">
        <v>1</v>
      </c>
      <c r="C3812" s="7" t="s">
        <v>10</v>
      </c>
      <c r="D3812" s="7">
        <v>2264</v>
      </c>
      <c r="E3812" s="7" t="s">
        <v>18</v>
      </c>
      <c r="F3812" s="8" t="str">
        <f ca="1">IFERROR(__xludf.DUMMYFUNCTION("IF
(
C3813=""фізична особа""
,
VLOOKUP(D3813,IMPORTRANGE(""https://docs.google.com/spreadsheets/d/14Bd19lYaqBhU8_DElYkX7l4wRkHqqCUFNJY4AfY3kHU/edit?usp=sharing  #gid=0"",""фіз особи new!relations_name""),6,FALSE)
,
(IF
(
C3813=""юридична особа""
,
VLOOKUP"&amp;"(D3813,IMPORTRANGE(""https://docs.google.com/spreadsheets/d/14Bd19lYaqBhU8_DElYkX7l4wRkHqqCUFNJY4AfY3kHU/edit?usp=sharing  #gid=0"",""фіз особи new!relations_name_uo""),7,FALSE)
,
)
))"),"ЄМЕЛЬЯНЕНКО Федір Володимирович")</f>
        <v>ЄМЕЛЬЯНЕНКО Федір Володимирович</v>
      </c>
      <c r="G3812" s="7" t="s">
        <v>10</v>
      </c>
      <c r="H3812" s="7">
        <v>2261</v>
      </c>
      <c r="I3812" s="8" t="str">
        <f ca="1">IFERROR(__xludf.DUMMYFUNCTION("IF
(
G3813=""фізична особа""
,
VLOOKUP(H3813,IMPORTRANGE(""https://docs.google.com/spreadsheets/d/14Bd19lYaqBhU8_DElYkX7l4wRkHqqCUFNJY4AfY3kHU/edit?usp=sharing  #gid=0"",""фіз особи new!relations_name""),6,FALSE)
,
(IF
(
G3813=""юридична особа""
,
VLOOKUP"&amp;"(H3813,IMPORTRANGE(""https://docs.google.com/spreadsheets/d/14Bd19lYaqBhU8_DElYkX7l4wRkHqqCUFNJY4AfY3kHU/edit?usp=sharing  #gid=0"",""фіз особи new!relations_name_uo""),7,FALSE)
,
)
))"),"ЄМЕЛЬЯНЕНКО Олександр Володимирович")</f>
        <v>ЄМЕЛЬЯНЕНКО Олександр Володимирович</v>
      </c>
      <c r="J3812" s="7" t="s">
        <v>18</v>
      </c>
    </row>
    <row r="3813" spans="1:10" ht="13.2">
      <c r="A3813" s="7">
        <v>3812</v>
      </c>
      <c r="B3813" s="7">
        <v>1</v>
      </c>
      <c r="C3813" s="7" t="s">
        <v>10</v>
      </c>
      <c r="D3813" s="7">
        <v>2264</v>
      </c>
      <c r="E3813" s="7" t="s">
        <v>18</v>
      </c>
      <c r="F3813" s="8" t="str">
        <f ca="1">IFERROR(__xludf.DUMMYFUNCTION("IF
(
C3814=""фізична особа""
,
VLOOKUP(D3814,IMPORTRANGE(""https://docs.google.com/spreadsheets/d/14Bd19lYaqBhU8_DElYkX7l4wRkHqqCUFNJY4AfY3kHU/edit?usp=sharing  #gid=0"",""фіз особи new!relations_name""),6,FALSE)
,
(IF
(
C3814=""юридична особа""
,
VLOOKUP"&amp;"(D3814,IMPORTRANGE(""https://docs.google.com/spreadsheets/d/14Bd19lYaqBhU8_DElYkX7l4wRkHqqCUFNJY4AfY3kHU/edit?usp=sharing  #gid=0"",""фіз особи new!relations_name_uo""),7,FALSE)
,
)
))"),"ЄМЕЛЬЯНЕНКО Федір Володимирович")</f>
        <v>ЄМЕЛЬЯНЕНКО Федір Володимирович</v>
      </c>
      <c r="G3813" s="7" t="s">
        <v>10</v>
      </c>
      <c r="H3813" s="7">
        <v>23478</v>
      </c>
      <c r="I3813" s="8" t="str">
        <f ca="1">IFERROR(__xludf.DUMMYFUNCTION("IF
(
G3814=""фізична особа""
,
VLOOKUP(H3814,IMPORTRANGE(""https://docs.google.com/spreadsheets/d/14Bd19lYaqBhU8_DElYkX7l4wRkHqqCUFNJY4AfY3kHU/edit?usp=sharing  #gid=0"",""фіз особи new!relations_name""),6,FALSE)
,
(IF
(
G3814=""юридична особа""
,
VLOOKUP"&amp;"(H3814,IMPORTRANGE(""https://docs.google.com/spreadsheets/d/14Bd19lYaqBhU8_DElYkX7l4wRkHqqCUFNJY4AfY3kHU/edit?usp=sharing  #gid=0"",""фіз особи new!relations_name_uo""),7,FALSE)
,
)
))"),"ЄМЕЛЬЯНЕНКО Марина Володимирівна")</f>
        <v>ЄМЕЛЬЯНЕНКО Марина Володимирівна</v>
      </c>
      <c r="J3813" s="7" t="s">
        <v>31</v>
      </c>
    </row>
    <row r="3814" spans="1:10" ht="13.2">
      <c r="A3814" s="7">
        <v>3813</v>
      </c>
      <c r="B3814" s="7">
        <v>1</v>
      </c>
      <c r="C3814" s="7" t="s">
        <v>10</v>
      </c>
      <c r="D3814" s="7">
        <v>2264</v>
      </c>
      <c r="E3814" s="7" t="s">
        <v>18</v>
      </c>
      <c r="F3814" s="8" t="str">
        <f ca="1">IFERROR(__xludf.DUMMYFUNCTION("IF
(
C3815=""фізична особа""
,
VLOOKUP(D3815,IMPORTRANGE(""https://docs.google.com/spreadsheets/d/14Bd19lYaqBhU8_DElYkX7l4wRkHqqCUFNJY4AfY3kHU/edit?usp=sharing  #gid=0"",""фіз особи new!relations_name""),6,FALSE)
,
(IF
(
C3815=""юридична особа""
,
VLOOKUP"&amp;"(D3815,IMPORTRANGE(""https://docs.google.com/spreadsheets/d/14Bd19lYaqBhU8_DElYkX7l4wRkHqqCUFNJY4AfY3kHU/edit?usp=sharing  #gid=0"",""фіз особи new!relations_name_uo""),7,FALSE)
,
)
))"),"ЄМЕЛЬЯНЕНКО Федір Володимирович")</f>
        <v>ЄМЕЛЬЯНЕНКО Федір Володимирович</v>
      </c>
      <c r="G3814" s="7" t="s">
        <v>10</v>
      </c>
      <c r="H3814" s="7">
        <v>23479</v>
      </c>
      <c r="I3814" s="8" t="str">
        <f ca="1">IFERROR(__xludf.DUMMYFUNCTION("IF
(
G3815=""фізична особа""
,
VLOOKUP(H3815,IMPORTRANGE(""https://docs.google.com/spreadsheets/d/14Bd19lYaqBhU8_DElYkX7l4wRkHqqCUFNJY4AfY3kHU/edit?usp=sharing  #gid=0"",""фіз особи new!relations_name""),6,FALSE)
,
(IF
(
G3815=""юридична особа""
,
VLOOKUP"&amp;"(H3815,IMPORTRANGE(""https://docs.google.com/spreadsheets/d/14Bd19lYaqBhU8_DElYkX7l4wRkHqqCUFNJY4AfY3kHU/edit?usp=sharing  #gid=0"",""фіз особи new!relations_name_uo""),7,FALSE)
,
)
))"),"ЄМЕЛЬЯНЕНКО Іван Володимирович")</f>
        <v>ЄМЕЛЬЯНЕНКО Іван Володимирович</v>
      </c>
      <c r="J3814" s="7" t="s">
        <v>18</v>
      </c>
    </row>
    <row r="3815" spans="1:10" ht="13.2">
      <c r="A3815" s="7">
        <v>3814</v>
      </c>
      <c r="B3815" s="7">
        <v>1</v>
      </c>
      <c r="C3815" s="7" t="s">
        <v>10</v>
      </c>
      <c r="D3815" s="7">
        <v>2265</v>
      </c>
      <c r="E3815" s="7" t="s">
        <v>14</v>
      </c>
      <c r="F3815" s="8" t="str">
        <f ca="1">IFERROR(__xludf.DUMMYFUNCTION("IF
(
C3816=""фізична особа""
,
VLOOKUP(D3816,IMPORTRANGE(""https://docs.google.com/spreadsheets/d/14Bd19lYaqBhU8_DElYkX7l4wRkHqqCUFNJY4AfY3kHU/edit?usp=sharing  #gid=0"",""фіз особи new!relations_name""),6,FALSE)
,
(IF
(
C3816=""юридична особа""
,
VLOOKUP"&amp;"(D3816,IMPORTRANGE(""https://docs.google.com/spreadsheets/d/14Bd19lYaqBhU8_DElYkX7l4wRkHqqCUFNJY4AfY3kHU/edit?usp=sharing  #gid=0"",""фіз особи new!relations_name_uo""),7,FALSE)
,
)
))"),"ШЛЕМЕНКО Олександр Павлович")</f>
        <v>ШЛЕМЕНКО Олександр Павлович</v>
      </c>
      <c r="G3815" s="7" t="s">
        <v>10</v>
      </c>
      <c r="H3815" s="7">
        <v>0</v>
      </c>
      <c r="I3815" s="8" t="str">
        <f ca="1">IFERROR(__xludf.DUMMYFUNCTION("IF
(
G3816=""фізична особа""
,
VLOOKUP(H3816,IMPORTRANGE(""https://docs.google.com/spreadsheets/d/14Bd19lYaqBhU8_DElYkX7l4wRkHqqCUFNJY4AfY3kHU/edit?usp=sharing  #gid=0"",""фіз особи new!relations_name""),6,FALSE)
,
(IF
(
G3816=""юридична особа""
,
VLOOKUP"&amp;"(H3816,IMPORTRANGE(""https://docs.google.com/spreadsheets/d/14Bd19lYaqBhU8_DElYkX7l4wRkHqqCUFNJY4AfY3kHU/edit?usp=sharing  #gid=0"",""фіз особи new!relations_name_uo""),7,FALSE)
,
)
))"),"#N/A")</f>
        <v>#N/A</v>
      </c>
      <c r="J3815" s="7" t="s">
        <v>15</v>
      </c>
    </row>
    <row r="3816" spans="1:10" ht="13.2">
      <c r="A3816" s="7">
        <v>3815</v>
      </c>
      <c r="B3816" s="7">
        <v>1</v>
      </c>
      <c r="C3816" s="7" t="s">
        <v>10</v>
      </c>
      <c r="D3816" s="7">
        <v>2266</v>
      </c>
      <c r="E3816" s="7" t="s">
        <v>11</v>
      </c>
      <c r="F3816" s="8" t="str">
        <f ca="1">IFERROR(__xludf.DUMMYFUNCTION("IF
(
C3817=""фізична особа""
,
VLOOKUP(D3817,IMPORTRANGE(""https://docs.google.com/spreadsheets/d/14Bd19lYaqBhU8_DElYkX7l4wRkHqqCUFNJY4AfY3kHU/edit?usp=sharing  #gid=0"",""фіз особи new!relations_name""),6,FALSE)
,
(IF
(
C3817=""юридична особа""
,
VLOOKUP"&amp;"(D3817,IMPORTRANGE(""https://docs.google.com/spreadsheets/d/14Bd19lYaqBhU8_DElYkX7l4wRkHqqCUFNJY4AfY3kHU/edit?usp=sharing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G3816" s="7" t="s">
        <v>10</v>
      </c>
      <c r="H3816" s="7">
        <v>271</v>
      </c>
      <c r="I3816" s="8" t="str">
        <f ca="1">IFERROR(__xludf.DUMMYFUNCTION("IF
(
G3817=""фізична особа""
,
VLOOKUP(H3817,IMPORTRANGE(""https://docs.google.com/spreadsheets/d/14Bd19lYaqBhU8_DElYkX7l4wRkHqqCUFNJY4AfY3kHU/edit?usp=sharing  #gid=0"",""фіз особи new!relations_name""),6,FALSE)
,
(IF
(
G3817=""юридична особа""
,
VLOOKUP"&amp;"(H3817,IMPORTRANGE(""https://docs.google.com/spreadsheets/d/14Bd19lYaqBhU8_DElYkX7l4wRkHqqCUFNJY4AfY3kHU/edit?usp=sharing  #gid=0"",""фіз особи new!relations_name_uo""),7,FALSE)
,
)
))"),"ТИМЧЕНКО Геннадій Миколайович")</f>
        <v>ТИМЧЕНКО Геннадій Миколайович</v>
      </c>
      <c r="J3816" s="7" t="s">
        <v>11</v>
      </c>
    </row>
    <row r="3817" spans="1:10" ht="13.2">
      <c r="A3817" s="7">
        <v>3816</v>
      </c>
      <c r="B3817" s="7">
        <v>1</v>
      </c>
      <c r="C3817" s="7" t="s">
        <v>10</v>
      </c>
      <c r="D3817" s="7">
        <v>2266</v>
      </c>
      <c r="E3817" s="7" t="s">
        <v>11</v>
      </c>
      <c r="F3817" s="8" t="str">
        <f ca="1">IFERROR(__xludf.DUMMYFUNCTION("IF
(
C3818=""фізична особа""
,
VLOOKUP(D3818,IMPORTRANGE(""https://docs.google.com/spreadsheets/d/14Bd19lYaqBhU8_DElYkX7l4wRkHqqCUFNJY4AfY3kHU/edit?usp=sharing  #gid=0"",""фіз особи new!relations_name""),6,FALSE)
,
(IF
(
C3818=""юридична особа""
,
VLOOKUP"&amp;"(D3818,IMPORTRANGE(""https://docs.google.com/spreadsheets/d/14Bd19lYaqBhU8_DElYkX7l4wRkHqqCUFNJY4AfY3kHU/edit?usp=sharing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G3817" s="7" t="s">
        <v>10</v>
      </c>
      <c r="H3817" s="7">
        <v>8775</v>
      </c>
      <c r="I3817" s="8" t="str">
        <f ca="1">IFERROR(__xludf.DUMMYFUNCTION("IF
(
G3818=""фізична особа""
,
VLOOKUP(H3818,IMPORTRANGE(""https://docs.google.com/spreadsheets/d/14Bd19lYaqBhU8_DElYkX7l4wRkHqqCUFNJY4AfY3kHU/edit?usp=sharing  #gid=0"",""фіз особи new!relations_name""),6,FALSE)
,
(IF
(
G3818=""юридична особа""
,
VLOOKUP"&amp;"(H3818,IMPORTRANGE(""https://docs.google.com/spreadsheets/d/14Bd19lYaqBhU8_DElYkX7l4wRkHqqCUFNJY4AfY3kHU/edit?usp=sharing  #gid=0"",""фіз особи new!relations_name_uo""),7,FALSE)
,
)
))"),"РЕПІК Олексій Євгенович")</f>
        <v>РЕПІК Олексій Євгенович</v>
      </c>
      <c r="J3817" s="7" t="s">
        <v>11</v>
      </c>
    </row>
    <row r="3818" spans="1:10" ht="13.2">
      <c r="A3818" s="7">
        <v>3817</v>
      </c>
      <c r="B3818" s="7">
        <v>1</v>
      </c>
      <c r="C3818" s="7" t="s">
        <v>10</v>
      </c>
      <c r="D3818" s="7">
        <v>2266</v>
      </c>
      <c r="E3818" s="7" t="s">
        <v>11</v>
      </c>
      <c r="F3818" s="8" t="str">
        <f ca="1">IFERROR(__xludf.DUMMYFUNCTION("IF
(
C3819=""фізична особа""
,
VLOOKUP(D3819,IMPORTRANGE(""https://docs.google.com/spreadsheets/d/14Bd19lYaqBhU8_DElYkX7l4wRkHqqCUFNJY4AfY3kHU/edit?usp=sharing  #gid=0"",""фіз особи new!relations_name""),6,FALSE)
,
(IF
(
C3819=""юридична особа""
,
VLOOKUP"&amp;"(D3819,IMPORTRANGE(""https://docs.google.com/spreadsheets/d/14Bd19lYaqBhU8_DElYkX7l4wRkHqqCUFNJY4AfY3kHU/edit?usp=sharing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G3818" s="7" t="s">
        <v>10</v>
      </c>
      <c r="H3818" s="7">
        <v>3499</v>
      </c>
      <c r="I3818" s="8" t="str">
        <f ca="1">IFERROR(__xludf.DUMMYFUNCTION("IF
(
G3819=""фізична особа""
,
VLOOKUP(H3819,IMPORTRANGE(""https://docs.google.com/spreadsheets/d/14Bd19lYaqBhU8_DElYkX7l4wRkHqqCUFNJY4AfY3kHU/edit?usp=sharing  #gid=0"",""фіз особи new!relations_name""),6,FALSE)
,
(IF
(
G3819=""юридична особа""
,
VLOOKUP"&amp;"(H3819,IMPORTRANGE(""https://docs.google.com/spreadsheets/d/14Bd19lYaqBhU8_DElYkX7l4wRkHqqCUFNJY4AfY3kHU/edit?usp=sharing  #gid=0"",""фіз особи new!relations_name_uo""),7,FALSE)
,
)
))"),"ФІЛАТОВ Андрій Сергійович")</f>
        <v>ФІЛАТОВ Андрій Сергійович</v>
      </c>
      <c r="J3818" s="7" t="s">
        <v>11</v>
      </c>
    </row>
    <row r="3819" spans="1:10" ht="13.2">
      <c r="A3819" s="7">
        <v>3818</v>
      </c>
      <c r="B3819" s="7">
        <v>1</v>
      </c>
      <c r="C3819" s="7" t="s">
        <v>10</v>
      </c>
      <c r="D3819" s="7">
        <v>2266</v>
      </c>
      <c r="E3819" s="7" t="s">
        <v>11</v>
      </c>
      <c r="F3819" s="8" t="str">
        <f ca="1">IFERROR(__xludf.DUMMYFUNCTION("IF
(
C3820=""фізична особа""
,
VLOOKUP(D3820,IMPORTRANGE(""https://docs.google.com/spreadsheets/d/14Bd19lYaqBhU8_DElYkX7l4wRkHqqCUFNJY4AfY3kHU/edit?usp=sharing  #gid=0"",""фіз особи new!relations_name""),6,FALSE)
,
(IF
(
C3820=""юридична особа""
,
VLOOKUP"&amp;"(D3820,IMPORTRANGE(""https://docs.google.com/spreadsheets/d/14Bd19lYaqBhU8_DElYkX7l4wRkHqqCUFNJY4AfY3kHU/edit?usp=sharing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G3819" s="7" t="s">
        <v>10</v>
      </c>
      <c r="H3819" s="7">
        <v>8781</v>
      </c>
      <c r="I3819" s="8" t="str">
        <f ca="1">IFERROR(__xludf.DUMMYFUNCTION("IF
(
G3820=""фізична особа""
,
VLOOKUP(H3820,IMPORTRANGE(""https://docs.google.com/spreadsheets/d/14Bd19lYaqBhU8_DElYkX7l4wRkHqqCUFNJY4AfY3kHU/edit?usp=sharing  #gid=0"",""фіз особи new!relations_name""),6,FALSE)
,
(IF
(
G3820=""юридична особа""
,
VLOOKUP"&amp;"(H3820,IMPORTRANGE(""https://docs.google.com/spreadsheets/d/14Bd19lYaqBhU8_DElYkX7l4wRkHqqCUFNJY4AfY3kHU/edit?usp=sharing  #gid=0"",""фіз особи new!relations_name_uo""),7,FALSE)
,
)
))"),"МІШИН Микита Анатолійович")</f>
        <v>МІШИН Микита Анатолійович</v>
      </c>
      <c r="J3819" s="7" t="s">
        <v>11</v>
      </c>
    </row>
    <row r="3820" spans="1:10" ht="13.2">
      <c r="A3820" s="7">
        <v>3819</v>
      </c>
      <c r="B3820" s="7">
        <v>1</v>
      </c>
      <c r="C3820" s="7" t="s">
        <v>10</v>
      </c>
      <c r="D3820" s="7">
        <v>2268</v>
      </c>
      <c r="E3820" s="7" t="s">
        <v>16</v>
      </c>
      <c r="F3820" s="8" t="str">
        <f ca="1">IFERROR(__xludf.DUMMYFUNCTION("IF
(
C3821=""фізична особа""
,
VLOOKUP(D3821,IMPORTRANGE(""https://docs.google.com/spreadsheets/d/14Bd19lYaqBhU8_DElYkX7l4wRkHqqCUFNJY4AfY3kHU/edit?usp=sharing  #gid=0"",""фіз особи new!relations_name""),6,FALSE)
,
(IF
(
C3821=""юридична особа""
,
VLOOKUP"&amp;"(D3821,IMPORTRANGE(""https://docs.google.com/spreadsheets/d/14Bd19lYaqBhU8_DElYkX7l4wRkHqqCUFNJY4AfY3kHU/edit?usp=sharing  #gid=0"",""фіз особи new!relations_name_uo""),7,FALSE)
,
)
))"),"БЛАВАТНИК Леонід / Лен / Леонардо Валентинович")</f>
        <v>БЛАВАТНИК Леонід / Лен / Леонардо Валентинович</v>
      </c>
      <c r="G3820" s="7" t="s">
        <v>10</v>
      </c>
      <c r="H3820" s="7">
        <v>880</v>
      </c>
      <c r="I3820" s="8" t="str">
        <f ca="1">IFERROR(__xludf.DUMMYFUNCTION("IF
(
G3821=""фізична особа""
,
VLOOKUP(H3821,IMPORTRANGE(""https://docs.google.com/spreadsheets/d/14Bd19lYaqBhU8_DElYkX7l4wRkHqqCUFNJY4AfY3kHU/edit?usp=sharing  #gid=0"",""фіз особи new!relations_name""),6,FALSE)
,
(IF
(
G3821=""юридична особа""
,
VLOOKUP"&amp;"(H3821,IMPORTRANGE(""https://docs.google.com/spreadsheets/d/14Bd19lYaqBhU8_DElYkX7l4wRkHqqCUFNJY4AfY3kHU/edit?usp=sharing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20" s="7" t="s">
        <v>16</v>
      </c>
    </row>
    <row r="3821" spans="1:10" ht="13.2">
      <c r="A3821" s="7">
        <v>3820</v>
      </c>
      <c r="B3821" s="7">
        <v>1</v>
      </c>
      <c r="C3821" s="7" t="s">
        <v>10</v>
      </c>
      <c r="D3821" s="7">
        <v>2269</v>
      </c>
      <c r="E3821" s="7" t="s">
        <v>16</v>
      </c>
      <c r="F3821" s="8" t="str">
        <f ca="1">IFERROR(__xludf.DUMMYFUNCTION("IF
(
C3822=""фізична особа""
,
VLOOKUP(D3822,IMPORTRANGE(""https://docs.google.com/spreadsheets/d/14Bd19lYaqBhU8_DElYkX7l4wRkHqqCUFNJY4AfY3kHU/edit?usp=sharing  #gid=0"",""фіз особи new!relations_name""),6,FALSE)
,
(IF
(
C3822=""юридична особа""
,
VLOOKUP"&amp;"(D3822,IMPORTRANGE(""https://docs.google.com/spreadsheets/d/14Bd19lYaqBhU8_DElYkX7l4wRkHqqCUFNJY4AfY3kHU/edit?usp=sharing  #gid=0"",""фіз особи new!relations_name_uo""),7,FALSE)
,
)
))"),"БОГДАНЧИКОВ Сергій Михайлович")</f>
        <v>БОГДАНЧИКОВ Сергій Михайлович</v>
      </c>
      <c r="G3821" s="7" t="s">
        <v>10</v>
      </c>
      <c r="H3821" s="7">
        <v>880</v>
      </c>
      <c r="I3821" s="8" t="str">
        <f ca="1">IFERROR(__xludf.DUMMYFUNCTION("IF
(
G3822=""фізична особа""
,
VLOOKUP(H3822,IMPORTRANGE(""https://docs.google.com/spreadsheets/d/14Bd19lYaqBhU8_DElYkX7l4wRkHqqCUFNJY4AfY3kHU/edit?usp=sharing  #gid=0"",""фіз особи new!relations_name""),6,FALSE)
,
(IF
(
G3822=""юридична особа""
,
VLOOKUP"&amp;"(H3822,IMPORTRANGE(""https://docs.google.com/spreadsheets/d/14Bd19lYaqBhU8_DElYkX7l4wRkHqqCUFNJY4AfY3kHU/edit?usp=sharing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21" s="7" t="s">
        <v>16</v>
      </c>
    </row>
    <row r="3822" spans="1:10" ht="13.2">
      <c r="A3822" s="7">
        <v>3821</v>
      </c>
      <c r="B3822" s="7">
        <v>1</v>
      </c>
      <c r="C3822" s="7" t="s">
        <v>10</v>
      </c>
      <c r="D3822" s="7">
        <v>2271</v>
      </c>
      <c r="E3822" s="7" t="s">
        <v>16</v>
      </c>
      <c r="F3822" s="8" t="str">
        <f ca="1">IFERROR(__xludf.DUMMYFUNCTION("IF
(
C3823=""фізична особа""
,
VLOOKUP(D3823,IMPORTRANGE(""https://docs.google.com/spreadsheets/d/14Bd19lYaqBhU8_DElYkX7l4wRkHqqCUFNJY4AfY3kHU/edit?usp=sharing  #gid=0"",""фіз особи new!relations_name""),6,FALSE)
,
(IF
(
C3823=""юридична особа""
,
VLOOKUP"&amp;"(D3823,IMPORTRANGE(""https://docs.google.com/spreadsheets/d/14Bd19lYaqBhU8_DElYkX7l4wRkHqqCUFNJY4AfY3kHU/edit?usp=sharing  #gid=0"",""фіз особи new!relations_name_uo""),7,FALSE)
,
)
))"),"ГОРЄЛОВ Дмитро Володимирович")</f>
        <v>ГОРЄЛОВ Дмитро Володимирович</v>
      </c>
      <c r="G3822" s="7" t="s">
        <v>10</v>
      </c>
      <c r="H3822" s="7">
        <v>880</v>
      </c>
      <c r="I3822" s="8" t="str">
        <f ca="1">IFERROR(__xludf.DUMMYFUNCTION("IF
(
G3823=""фізична особа""
,
VLOOKUP(H3823,IMPORTRANGE(""https://docs.google.com/spreadsheets/d/14Bd19lYaqBhU8_DElYkX7l4wRkHqqCUFNJY4AfY3kHU/edit?usp=sharing  #gid=0"",""фіз особи new!relations_name""),6,FALSE)
,
(IF
(
G3823=""юридична особа""
,
VLOOKUP"&amp;"(H3823,IMPORTRANGE(""https://docs.google.com/spreadsheets/d/14Bd19lYaqBhU8_DElYkX7l4wRkHqqCUFNJY4AfY3kHU/edit?usp=sharing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22" s="7" t="s">
        <v>16</v>
      </c>
    </row>
    <row r="3823" spans="1:10" ht="13.2">
      <c r="A3823" s="7">
        <v>3822</v>
      </c>
      <c r="B3823" s="7">
        <v>1</v>
      </c>
      <c r="C3823" s="7" t="s">
        <v>10</v>
      </c>
      <c r="D3823" s="7">
        <v>2278</v>
      </c>
      <c r="E3823" s="7" t="s">
        <v>15</v>
      </c>
      <c r="F3823" s="8" t="str">
        <f ca="1">IFERROR(__xludf.DUMMYFUNCTION("IF
(
C3824=""фізична особа""
,
VLOOKUP(D3824,IMPORTRANGE(""https://docs.google.com/spreadsheets/d/14Bd19lYaqBhU8_DElYkX7l4wRkHqqCUFNJY4AfY3kHU/edit?usp=sharing  #gid=0"",""фіз особи new!relations_name""),6,FALSE)
,
(IF
(
C3824=""юридична особа""
,
VLOOKUP"&amp;"(D3824,IMPORTRANGE(""https://docs.google.com/spreadsheets/d/14Bd19lYaqBhU8_DElYkX7l4wRkHqqCUFNJY4AfY3kHU/edit?usp=sharing  #gid=0"",""фіз особи new!relations_name_uo""),7,FALSE)
,
)
))"),"МУРОВА Людмила Анатоліївна")</f>
        <v>МУРОВА Людмила Анатоліївна</v>
      </c>
      <c r="G3823" s="7" t="s">
        <v>10</v>
      </c>
      <c r="H3823" s="7">
        <v>15622</v>
      </c>
      <c r="I3823" s="8" t="str">
        <f ca="1">IFERROR(__xludf.DUMMYFUNCTION("IF
(
G3824=""фізична особа""
,
VLOOKUP(H3824,IMPORTRANGE(""https://docs.google.com/spreadsheets/d/14Bd19lYaqBhU8_DElYkX7l4wRkHqqCUFNJY4AfY3kHU/edit?usp=sharing  #gid=0"",""фіз особи new!relations_name""),6,FALSE)
,
(IF
(
G3824=""юридична особа""
,
VLOOKUP"&amp;"(H3824,IMPORTRANGE(""https://docs.google.com/spreadsheets/d/14Bd19lYaqBhU8_DElYkX7l4wRkHqqCUFNJY4AfY3kHU/edit?usp=sharing  #gid=0"",""фіз особи new!relations_name_uo""),7,FALSE)
,
)
))"),"МУРОВ Євген Олексійович")</f>
        <v>МУРОВ Євген Олексійович</v>
      </c>
      <c r="J3823" s="7" t="s">
        <v>14</v>
      </c>
    </row>
    <row r="3824" spans="1:10" ht="13.2">
      <c r="A3824" s="7">
        <v>3823</v>
      </c>
      <c r="B3824" s="7">
        <v>1</v>
      </c>
      <c r="C3824" s="7" t="s">
        <v>10</v>
      </c>
      <c r="D3824" s="7">
        <v>2282</v>
      </c>
      <c r="E3824" s="7" t="s">
        <v>44</v>
      </c>
      <c r="F3824" s="8" t="str">
        <f ca="1">IFERROR(__xludf.DUMMYFUNCTION("IF
(
C3825=""фізична особа""
,
VLOOKUP(D3825,IMPORTRANGE(""https://docs.google.com/spreadsheets/d/14Bd19lYaqBhU8_DElYkX7l4wRkHqqCUFNJY4AfY3kHU/edit?usp=sharing  #gid=0"",""фіз особи new!relations_name""),6,FALSE)
,
(IF
(
C3825=""юридична особа""
,
VLOOKUP"&amp;"(D3825,IMPORTRANGE(""https://docs.google.com/spreadsheets/d/14Bd19lYaqBhU8_DElYkX7l4wRkHqqCUFNJY4AfY3kHU/edit?usp=sharing  #gid=0"",""фіз особи new!relations_name_uo""),7,FALSE)
,
)
))"),"ПУТІН Ігор Олександрович")</f>
        <v>ПУТІН Ігор Олександрович</v>
      </c>
      <c r="G3824" s="7" t="s">
        <v>10</v>
      </c>
      <c r="H3824" s="7">
        <v>880</v>
      </c>
      <c r="I3824" s="8" t="str">
        <f ca="1">IFERROR(__xludf.DUMMYFUNCTION("IF
(
G3825=""фізична особа""
,
VLOOKUP(H3825,IMPORTRANGE(""https://docs.google.com/spreadsheets/d/14Bd19lYaqBhU8_DElYkX7l4wRkHqqCUFNJY4AfY3kHU/edit?usp=sharing  #gid=0"",""фіз особи new!relations_name""),6,FALSE)
,
(IF
(
G3825=""юридична особа""
,
VLOOKUP"&amp;"(H3825,IMPORTRANGE(""https://docs.google.com/spreadsheets/d/14Bd19lYaqBhU8_DElYkX7l4wRkHqqCUFNJY4AfY3kHU/edit?usp=sharing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24" s="7" t="s">
        <v>44</v>
      </c>
    </row>
    <row r="3825" spans="1:10" ht="13.2">
      <c r="A3825" s="7">
        <v>3824</v>
      </c>
      <c r="B3825" s="7">
        <v>1</v>
      </c>
      <c r="C3825" s="7" t="s">
        <v>10</v>
      </c>
      <c r="D3825" s="7">
        <v>2282</v>
      </c>
      <c r="E3825" s="7" t="s">
        <v>19</v>
      </c>
      <c r="F3825" s="8" t="str">
        <f ca="1">IFERROR(__xludf.DUMMYFUNCTION("IF
(
C3826=""фізична особа""
,
VLOOKUP(D3826,IMPORTRANGE(""https://docs.google.com/spreadsheets/d/14Bd19lYaqBhU8_DElYkX7l4wRkHqqCUFNJY4AfY3kHU/edit?usp=sharing  #gid=0"",""фіз особи new!relations_name""),6,FALSE)
,
(IF
(
C3826=""юридична особа""
,
VLOOKUP"&amp;"(D3826,IMPORTRANGE(""https://docs.google.com/spreadsheets/d/14Bd19lYaqBhU8_DElYkX7l4wRkHqqCUFNJY4AfY3kHU/edit?usp=sharing  #gid=0"",""фіз особи new!relations_name_uo""),7,FALSE)
,
)
))"),"ПУТІН Ігор Олександрович")</f>
        <v>ПУТІН Ігор Олександрович</v>
      </c>
      <c r="G3825" s="7" t="s">
        <v>10</v>
      </c>
      <c r="H3825" s="7">
        <v>4058</v>
      </c>
      <c r="I3825" s="8" t="str">
        <f ca="1">IFERROR(__xludf.DUMMYFUNCTION("IF
(
G3826=""фізична особа""
,
VLOOKUP(H3826,IMPORTRANGE(""https://docs.google.com/spreadsheets/d/14Bd19lYaqBhU8_DElYkX7l4wRkHqqCUFNJY4AfY3kHU/edit?usp=sharing  #gid=0"",""фіз особи new!relations_name""),6,FALSE)
,
(IF
(
G3826=""юридична особа""
,
VLOOKUP"&amp;"(H3826,IMPORTRANGE(""https://docs.google.com/spreadsheets/d/14Bd19lYaqBhU8_DElYkX7l4wRkHqqCUFNJY4AfY3kHU/edit?usp=sharing  #gid=0"",""фіз особи new!relations_name_uo""),7,FALSE)
,
)
))"),"ПУТІНА / ПІДГУЗОВА Віра Олександрівна")</f>
        <v>ПУТІНА / ПІДГУЗОВА Віра Олександрівна</v>
      </c>
      <c r="J3825" s="7" t="s">
        <v>22</v>
      </c>
    </row>
    <row r="3826" spans="1:10" ht="13.2">
      <c r="A3826" s="7">
        <v>3825</v>
      </c>
      <c r="B3826" s="7">
        <v>1</v>
      </c>
      <c r="C3826" s="7" t="s">
        <v>10</v>
      </c>
      <c r="D3826" s="7">
        <v>2285</v>
      </c>
      <c r="E3826" s="7" t="s">
        <v>43</v>
      </c>
      <c r="F3826" s="8" t="str">
        <f ca="1">IFERROR(__xludf.DUMMYFUNCTION("IF
(
C3827=""фізична особа""
,
VLOOKUP(D3827,IMPORTRANGE(""https://docs.google.com/spreadsheets/d/14Bd19lYaqBhU8_DElYkX7l4wRkHqqCUFNJY4AfY3kHU/edit?usp=sharing  #gid=0"",""фіз особи new!relations_name""),6,FALSE)
,
(IF
(
C3827=""юридична особа""
,
VLOOKUP"&amp;"(D3827,IMPORTRANGE(""https://docs.google.com/spreadsheets/d/14Bd19lYaqBhU8_DElYkX7l4wRkHqqCUFNJY4AfY3kHU/edit?usp=sharing  #gid=0"",""фіз особи new!relations_name_uo""),7,FALSE)
,
)
))"),"СКРИННИК Олена Борисівна / НОВИЦЬКА Олена Борисівна")</f>
        <v>СКРИННИК Олена Борисівна / НОВИЦЬКА Олена Борисівна</v>
      </c>
      <c r="G3826" s="7" t="s">
        <v>10</v>
      </c>
      <c r="H3826" s="7">
        <v>0</v>
      </c>
      <c r="I3826" s="8" t="str">
        <f ca="1">IFERROR(__xludf.DUMMYFUNCTION("IF
(
G3827=""фізична особа""
,
VLOOKUP(H3827,IMPORTRANGE(""https://docs.google.com/spreadsheets/d/14Bd19lYaqBhU8_DElYkX7l4wRkHqqCUFNJY4AfY3kHU/edit?usp=sharing  #gid=0"",""фіз особи new!relations_name""),6,FALSE)
,
(IF
(
G3827=""юридична особа""
,
VLOOKUP"&amp;"(H3827,IMPORTRANGE(""https://docs.google.com/spreadsheets/d/14Bd19lYaqBhU8_DElYkX7l4wRkHqqCUFNJY4AfY3kHU/edit?usp=sharing  #gid=0"",""фіз особи new!relations_name_uo""),7,FALSE)
,
)
))"),"#N/A")</f>
        <v>#N/A</v>
      </c>
      <c r="J3826" s="7" t="s">
        <v>42</v>
      </c>
    </row>
    <row r="3827" spans="1:10" ht="13.2">
      <c r="A3827" s="7">
        <v>3826</v>
      </c>
      <c r="B3827" s="7">
        <v>1</v>
      </c>
      <c r="C3827" s="7" t="s">
        <v>10</v>
      </c>
      <c r="D3827" s="7">
        <v>2285</v>
      </c>
      <c r="E3827" s="7" t="s">
        <v>43</v>
      </c>
      <c r="F3827" s="8" t="str">
        <f ca="1">IFERROR(__xludf.DUMMYFUNCTION("IF
(
C3828=""фізична особа""
,
VLOOKUP(D3828,IMPORTRANGE(""https://docs.google.com/spreadsheets/d/14Bd19lYaqBhU8_DElYkX7l4wRkHqqCUFNJY4AfY3kHU/edit?usp=sharing  #gid=0"",""фіз особи new!relations_name""),6,FALSE)
,
(IF
(
C3828=""юридична особа""
,
VLOOKUP"&amp;"(D3828,IMPORTRANGE(""https://docs.google.com/spreadsheets/d/14Bd19lYaqBhU8_DElYkX7l4wRkHqqCUFNJY4AfY3kHU/edit?usp=sharing  #gid=0"",""фіз особи new!relations_name_uo""),7,FALSE)
,
)
))"),"СКРИННИК Олена Борисівна / НОВИЦЬКА Олена Борисівна")</f>
        <v>СКРИННИК Олена Борисівна / НОВИЦЬКА Олена Борисівна</v>
      </c>
      <c r="G3827" s="7" t="s">
        <v>10</v>
      </c>
      <c r="H3827" s="7">
        <v>0</v>
      </c>
      <c r="I3827" s="8" t="str">
        <f ca="1">IFERROR(__xludf.DUMMYFUNCTION("IF
(
G3828=""фізична особа""
,
VLOOKUP(H3828,IMPORTRANGE(""https://docs.google.com/spreadsheets/d/14Bd19lYaqBhU8_DElYkX7l4wRkHqqCUFNJY4AfY3kHU/edit?usp=sharing  #gid=0"",""фіз особи new!relations_name""),6,FALSE)
,
(IF
(
G3828=""юридична особа""
,
VLOOKUP"&amp;"(H3828,IMPORTRANGE(""https://docs.google.com/spreadsheets/d/14Bd19lYaqBhU8_DElYkX7l4wRkHqqCUFNJY4AfY3kHU/edit?usp=sharing  #gid=0"",""фіз особи new!relations_name_uo""),7,FALSE)
,
)
))"),"#N/A")</f>
        <v>#N/A</v>
      </c>
      <c r="J3827" s="7" t="s">
        <v>42</v>
      </c>
    </row>
    <row r="3828" spans="1:10" ht="13.2">
      <c r="A3828" s="7">
        <v>3827</v>
      </c>
      <c r="B3828" s="7">
        <v>1</v>
      </c>
      <c r="C3828" s="7" t="s">
        <v>10</v>
      </c>
      <c r="D3828" s="7">
        <v>2285</v>
      </c>
      <c r="E3828" s="7" t="s">
        <v>31</v>
      </c>
      <c r="F3828" s="8" t="str">
        <f ca="1">IFERROR(__xludf.DUMMYFUNCTION("IF
(
C3829=""фізична особа""
,
VLOOKUP(D3829,IMPORTRANGE(""https://docs.google.com/spreadsheets/d/14Bd19lYaqBhU8_DElYkX7l4wRkHqqCUFNJY4AfY3kHU/edit?usp=sharing  #gid=0"",""фіз особи new!relations_name""),6,FALSE)
,
(IF
(
C3829=""юридична особа""
,
VLOOKUP"&amp;"(D3829,IMPORTRANGE(""https://docs.google.com/spreadsheets/d/14Bd19lYaqBhU8_DElYkX7l4wRkHqqCUFNJY4AfY3kHU/edit?usp=sharing  #gid=0"",""фіз особи new!relations_name_uo""),7,FALSE)
,
)
))"),"СКРИННИК Олена Борисівна / НОВИЦЬКА Олена Борисівна")</f>
        <v>СКРИННИК Олена Борисівна / НОВИЦЬКА Олена Борисівна</v>
      </c>
      <c r="G3828" s="7" t="s">
        <v>10</v>
      </c>
      <c r="H3828" s="7">
        <v>0</v>
      </c>
      <c r="I3828" s="8" t="str">
        <f ca="1">IFERROR(__xludf.DUMMYFUNCTION("IF
(
G3829=""фізична особа""
,
VLOOKUP(H3829,IMPORTRANGE(""https://docs.google.com/spreadsheets/d/14Bd19lYaqBhU8_DElYkX7l4wRkHqqCUFNJY4AfY3kHU/edit?usp=sharing  #gid=0"",""фіз особи new!relations_name""),6,FALSE)
,
(IF
(
G3829=""юридична особа""
,
VLOOKUP"&amp;"(H3829,IMPORTRANGE(""https://docs.google.com/spreadsheets/d/14Bd19lYaqBhU8_DElYkX7l4wRkHqqCUFNJY4AfY3kHU/edit?usp=sharing  #gid=0"",""фіз особи new!relations_name_uo""),7,FALSE)
,
)
))"),"#N/A")</f>
        <v>#N/A</v>
      </c>
      <c r="J3828" s="7" t="s">
        <v>18</v>
      </c>
    </row>
    <row r="3829" spans="1:10" ht="13.2">
      <c r="A3829" s="7">
        <v>3828</v>
      </c>
      <c r="B3829" s="7">
        <v>1</v>
      </c>
      <c r="C3829" s="7" t="s">
        <v>10</v>
      </c>
      <c r="D3829" s="7">
        <v>2285</v>
      </c>
      <c r="E3829" s="7" t="s">
        <v>13</v>
      </c>
      <c r="F3829" s="8" t="str">
        <f ca="1">IFERROR(__xludf.DUMMYFUNCTION("IF
(
C3830=""фізична особа""
,
VLOOKUP(D3830,IMPORTRANGE(""https://docs.google.com/spreadsheets/d/14Bd19lYaqBhU8_DElYkX7l4wRkHqqCUFNJY4AfY3kHU/edit?usp=sharing  #gid=0"",""фіз особи new!relations_name""),6,FALSE)
,
(IF
(
C3830=""юридична особа""
,
VLOOKUP"&amp;"(D3830,IMPORTRANGE(""https://docs.google.com/spreadsheets/d/14Bd19lYaqBhU8_DElYkX7l4wRkHqqCUFNJY4AfY3kHU/edit?usp=sharing  #gid=0"",""фіз особи new!relations_name_uo""),7,FALSE)
,
)
))"),"СКРИННИК Олена Борисівна / НОВИЦЬКА Олена Борисівна")</f>
        <v>СКРИННИК Олена Борисівна / НОВИЦЬКА Олена Борисівна</v>
      </c>
      <c r="G3829" s="7" t="s">
        <v>10</v>
      </c>
      <c r="H3829" s="7">
        <v>0</v>
      </c>
      <c r="I3829" s="8" t="str">
        <f ca="1">IFERROR(__xludf.DUMMYFUNCTION("IF
(
G3830=""фізична особа""
,
VLOOKUP(H3830,IMPORTRANGE(""https://docs.google.com/spreadsheets/d/14Bd19lYaqBhU8_DElYkX7l4wRkHqqCUFNJY4AfY3kHU/edit?usp=sharing  #gid=0"",""фіз особи new!relations_name""),6,FALSE)
,
(IF
(
G3830=""юридична особа""
,
VLOOKUP"&amp;"(H3830,IMPORTRANGE(""https://docs.google.com/spreadsheets/d/14Bd19lYaqBhU8_DElYkX7l4wRkHqqCUFNJY4AfY3kHU/edit?usp=sharing  #gid=0"",""фіз особи new!relations_name_uo""),7,FALSE)
,
)
))"),"#N/A")</f>
        <v>#N/A</v>
      </c>
      <c r="J3829" s="7" t="s">
        <v>12</v>
      </c>
    </row>
    <row r="3830" spans="1:10" ht="13.2">
      <c r="A3830" s="7">
        <v>3829</v>
      </c>
      <c r="B3830" s="7">
        <v>1</v>
      </c>
      <c r="C3830" s="7" t="s">
        <v>10</v>
      </c>
      <c r="D3830" s="7">
        <v>2286</v>
      </c>
      <c r="E3830" s="7" t="s">
        <v>48</v>
      </c>
      <c r="F3830" s="8" t="str">
        <f ca="1">IFERROR(__xludf.DUMMYFUNCTION("IF
(
C3831=""фізична особа""
,
VLOOKUP(D3831,IMPORTRANGE(""https://docs.google.com/spreadsheets/d/14Bd19lYaqBhU8_DElYkX7l4wRkHqqCUFNJY4AfY3kHU/edit?usp=sharing  #gid=0"",""фіз особи new!relations_name""),6,FALSE)
,
(IF
(
C3831=""юридична особа""
,
VLOOKUP"&amp;"(D3831,IMPORTRANGE(""https://docs.google.com/spreadsheets/d/14Bd19lYaqBhU8_DElYkX7l4wRkHqqCUFNJY4AfY3kHU/edit?usp=sharing  #gid=0"",""фіз особи new!relations_name_uo""),7,FALSE)
,
)
))"),"СМИРНОВ Володимир Олексійович")</f>
        <v>СМИРНОВ Володимир Олексійович</v>
      </c>
      <c r="G3830" s="7" t="s">
        <v>10</v>
      </c>
      <c r="H3830" s="7">
        <v>880</v>
      </c>
      <c r="I3830" s="8" t="str">
        <f ca="1">IFERROR(__xludf.DUMMYFUNCTION("IF
(
G3831=""фізична особа""
,
VLOOKUP(H3831,IMPORTRANGE(""https://docs.google.com/spreadsheets/d/14Bd19lYaqBhU8_DElYkX7l4wRkHqqCUFNJY4AfY3kHU/edit?usp=sharing  #gid=0"",""фіз особи new!relations_name""),6,FALSE)
,
(IF
(
G3831=""юридична особа""
,
VLOOKUP"&amp;"(H3831,IMPORTRANGE(""https://docs.google.com/spreadsheets/d/14Bd19lYaqBhU8_DElYkX7l4wRkHqqCUFNJY4AfY3kHU/edit?usp=sharing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30" s="7" t="s">
        <v>48</v>
      </c>
    </row>
    <row r="3831" spans="1:10" ht="13.2">
      <c r="A3831" s="7">
        <v>3830</v>
      </c>
      <c r="B3831" s="7">
        <v>1</v>
      </c>
      <c r="C3831" s="7" t="s">
        <v>10</v>
      </c>
      <c r="D3831" s="7">
        <v>2286</v>
      </c>
      <c r="E3831" s="7" t="s">
        <v>11</v>
      </c>
      <c r="F3831" s="8" t="str">
        <f ca="1">IFERROR(__xludf.DUMMYFUNCTION("IF
(
C3832=""фізична особа""
,
VLOOKUP(D3832,IMPORTRANGE(""https://docs.google.com/spreadsheets/d/14Bd19lYaqBhU8_DElYkX7l4wRkHqqCUFNJY4AfY3kHU/edit?usp=sharing  #gid=0"",""фіз особи new!relations_name""),6,FALSE)
,
(IF
(
C3832=""юридична особа""
,
VLOOKUP"&amp;"(D3832,IMPORTRANGE(""https://docs.google.com/spreadsheets/d/14Bd19lYaqBhU8_DElYkX7l4wRkHqqCUFNJY4AfY3kHU/edit?usp=sharing  #gid=0"",""фіз особи new!relations_name_uo""),7,FALSE)
,
)
))"),"СМИРНОВ Володимир Олексійович")</f>
        <v>СМИРНОВ Володимир Олексійович</v>
      </c>
      <c r="G3831" s="7" t="s">
        <v>10</v>
      </c>
      <c r="H3831" s="7">
        <v>4515</v>
      </c>
      <c r="I3831" s="8" t="str">
        <f ca="1">IFERROR(__xludf.DUMMYFUNCTION("IF
(
G3832=""фізична особа""
,
VLOOKUP(H3832,IMPORTRANGE(""https://docs.google.com/spreadsheets/d/14Bd19lYaqBhU8_DElYkX7l4wRkHqqCUFNJY4AfY3kHU/edit?usp=sharing  #gid=0"",""фіз особи new!relations_name""),6,FALSE)
,
(IF
(
G3832=""юридична особа""
,
VLOOKUP"&amp;"(H3832,IMPORTRANGE(""https://docs.google.com/spreadsheets/d/14Bd19lYaqBhU8_DElYkX7l4wRkHqqCUFNJY4AfY3kHU/edit?usp=sharing  #gid=0"",""фіз особи new!relations_name_uo""),7,FALSE)
,
)
))"),"ЯКУНІН Володимир Іванович")</f>
        <v>ЯКУНІН Володимир Іванович</v>
      </c>
      <c r="J3831" s="7" t="s">
        <v>11</v>
      </c>
    </row>
    <row r="3832" spans="1:10" ht="13.2">
      <c r="A3832" s="7">
        <v>3831</v>
      </c>
      <c r="B3832" s="7">
        <v>1</v>
      </c>
      <c r="C3832" s="7" t="s">
        <v>10</v>
      </c>
      <c r="D3832" s="7">
        <v>2288</v>
      </c>
      <c r="E3832" s="7" t="s">
        <v>16</v>
      </c>
      <c r="F3832" s="8" t="str">
        <f ca="1">IFERROR(__xludf.DUMMYFUNCTION("IF
(
C3833=""фізична особа""
,
VLOOKUP(D3833,IMPORTRANGE(""https://docs.google.com/spreadsheets/d/14Bd19lYaqBhU8_DElYkX7l4wRkHqqCUFNJY4AfY3kHU/edit?usp=sharing  #gid=0"",""фіз особи new!relations_name""),6,FALSE)
,
(IF
(
C3833=""юридична особа""
,
VLOOKUP"&amp;"(D3833,IMPORTRANGE(""https://docs.google.com/spreadsheets/d/14Bd19lYaqBhU8_DElYkX7l4wRkHqqCUFNJY4AfY3kHU/edit?usp=sharing  #gid=0"",""фіз особи new!relations_name_uo""),7,FALSE)
,
)
))"),"ТРАБЕР Ілля Ілліч")</f>
        <v>ТРАБЕР Ілля Ілліч</v>
      </c>
      <c r="G3832" s="7" t="s">
        <v>10</v>
      </c>
      <c r="H3832" s="7">
        <v>880</v>
      </c>
      <c r="I3832" s="8" t="str">
        <f ca="1">IFERROR(__xludf.DUMMYFUNCTION("IF
(
G3833=""фізична особа""
,
VLOOKUP(H3833,IMPORTRANGE(""https://docs.google.com/spreadsheets/d/14Bd19lYaqBhU8_DElYkX7l4wRkHqqCUFNJY4AfY3kHU/edit?usp=sharing  #gid=0"",""фіз особи new!relations_name""),6,FALSE)
,
(IF
(
G3833=""юридична особа""
,
VLOOKUP"&amp;"(H3833,IMPORTRANGE(""https://docs.google.com/spreadsheets/d/14Bd19lYaqBhU8_DElYkX7l4wRkHqqCUFNJY4AfY3kHU/edit?usp=sharing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32" s="7" t="s">
        <v>16</v>
      </c>
    </row>
    <row r="3833" spans="1:10" ht="13.2">
      <c r="A3833" s="7">
        <v>3832</v>
      </c>
      <c r="B3833" s="7">
        <v>1</v>
      </c>
      <c r="C3833" s="7" t="s">
        <v>10</v>
      </c>
      <c r="D3833" s="7">
        <v>2289</v>
      </c>
      <c r="E3833" s="7" t="s">
        <v>17</v>
      </c>
      <c r="F3833" s="8" t="str">
        <f ca="1">IFERROR(__xludf.DUMMYFUNCTION("IF
(
C3834=""фізична особа""
,
VLOOKUP(D3834,IMPORTRANGE(""https://docs.google.com/spreadsheets/d/14Bd19lYaqBhU8_DElYkX7l4wRkHqqCUFNJY4AfY3kHU/edit?usp=sharing  #gid=0"",""фіз особи new!relations_name""),6,FALSE)
,
(IF
(
C3834=""юридична особа""
,
VLOOKUP"&amp;"(D3834,IMPORTRANGE(""https://docs.google.com/spreadsheets/d/14Bd19lYaqBhU8_DElYkX7l4wRkHqqCUFNJY4AfY3kHU/edit?usp=sharing  #gid=0"",""фіз особи new!relations_name_uo""),7,FALSE)
,
)
))"),"ЧАЙКА Ігор Юрійович")</f>
        <v>ЧАЙКА Ігор Юрійович</v>
      </c>
      <c r="G3833" s="7" t="s">
        <v>10</v>
      </c>
      <c r="H3833" s="7">
        <v>951</v>
      </c>
      <c r="I3833" s="8" t="str">
        <f ca="1">IFERROR(__xludf.DUMMYFUNCTION("IF
(
G3834=""фізична особа""
,
VLOOKUP(H3834,IMPORTRANGE(""https://docs.google.com/spreadsheets/d/14Bd19lYaqBhU8_DElYkX7l4wRkHqqCUFNJY4AfY3kHU/edit?usp=sharing  #gid=0"",""фіз особи new!relations_name""),6,FALSE)
,
(IF
(
G3834=""юридична особа""
,
VLOOKUP"&amp;"(H3834,IMPORTRANGE(""https://docs.google.com/spreadsheets/d/14Bd19lYaqBhU8_DElYkX7l4wRkHqqCUFNJY4AfY3kHU/edit?usp=sharing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J3833" s="7" t="s">
        <v>12</v>
      </c>
    </row>
    <row r="3834" spans="1:10" ht="13.2">
      <c r="A3834" s="7">
        <v>3833</v>
      </c>
      <c r="B3834" s="7">
        <v>1</v>
      </c>
      <c r="C3834" s="7" t="s">
        <v>10</v>
      </c>
      <c r="D3834" s="7">
        <v>2289</v>
      </c>
      <c r="E3834" s="7" t="s">
        <v>18</v>
      </c>
      <c r="F3834" s="8" t="str">
        <f ca="1">IFERROR(__xludf.DUMMYFUNCTION("IF
(
C3835=""фізична особа""
,
VLOOKUP(D3835,IMPORTRANGE(""https://docs.google.com/spreadsheets/d/14Bd19lYaqBhU8_DElYkX7l4wRkHqqCUFNJY4AfY3kHU/edit?usp=sharing  #gid=0"",""фіз особи new!relations_name""),6,FALSE)
,
(IF
(
C3835=""юридична особа""
,
VLOOKUP"&amp;"(D3835,IMPORTRANGE(""https://docs.google.com/spreadsheets/d/14Bd19lYaqBhU8_DElYkX7l4wRkHqqCUFNJY4AfY3kHU/edit?usp=sharing  #gid=0"",""фіз особи new!relations_name_uo""),7,FALSE)
,
)
))"),"ЧАЙКА Ігор Юрійович")</f>
        <v>ЧАЙКА Ігор Юрійович</v>
      </c>
      <c r="G3834" s="7" t="s">
        <v>10</v>
      </c>
      <c r="H3834" s="7">
        <v>17132</v>
      </c>
      <c r="I3834" s="8" t="str">
        <f ca="1">IFERROR(__xludf.DUMMYFUNCTION("IF
(
G3835=""фізична особа""
,
VLOOKUP(H3835,IMPORTRANGE(""https://docs.google.com/spreadsheets/d/14Bd19lYaqBhU8_DElYkX7l4wRkHqqCUFNJY4AfY3kHU/edit?usp=sharing  #gid=0"",""фіз особи new!relations_name""),6,FALSE)
,
(IF
(
G3835=""юридична особа""
,
VLOOKUP"&amp;"(H3835,IMPORTRANGE(""https://docs.google.com/spreadsheets/d/14Bd19lYaqBhU8_DElYkX7l4wRkHqqCUFNJY4AfY3kHU/edit?usp=sharing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J3834" s="7" t="s">
        <v>18</v>
      </c>
    </row>
    <row r="3835" spans="1:10" ht="13.2">
      <c r="A3835" s="7">
        <v>3834</v>
      </c>
      <c r="B3835" s="7">
        <v>1</v>
      </c>
      <c r="C3835" s="7" t="s">
        <v>10</v>
      </c>
      <c r="D3835" s="7">
        <v>2290</v>
      </c>
      <c r="E3835" s="7" t="s">
        <v>97</v>
      </c>
      <c r="F3835" s="8" t="str">
        <f ca="1">IFERROR(__xludf.DUMMYFUNCTION("IF
(
C3836=""фізична особа""
,
VLOOKUP(D3836,IMPORTRANGE(""https://docs.google.com/spreadsheets/d/14Bd19lYaqBhU8_DElYkX7l4wRkHqqCUFNJY4AfY3kHU/edit?usp=sharing  #gid=0"",""фіз особи new!relations_name""),6,FALSE)
,
(IF
(
C3836=""юридична особа""
,
VLOOKUP"&amp;"(D3836,IMPORTRANGE(""https://docs.google.com/spreadsheets/d/14Bd19lYaqBhU8_DElYkX7l4wRkHqqCUFNJY4AfY3kHU/edit?usp=sharing  #gid=0"",""фіз особи new!relations_name_uo""),7,FALSE)
,
)
))"),"ШЕЛОМОВ Михайло Львович")</f>
        <v>ШЕЛОМОВ Михайло Львович</v>
      </c>
      <c r="G3835" s="7" t="s">
        <v>10</v>
      </c>
      <c r="H3835" s="7">
        <v>880</v>
      </c>
      <c r="I3835" s="8" t="str">
        <f ca="1">IFERROR(__xludf.DUMMYFUNCTION("IF
(
G3836=""фізична особа""
,
VLOOKUP(H3836,IMPORTRANGE(""https://docs.google.com/spreadsheets/d/14Bd19lYaqBhU8_DElYkX7l4wRkHqqCUFNJY4AfY3kHU/edit?usp=sharing  #gid=0"",""фіз особи new!relations_name""),6,FALSE)
,
(IF
(
G3836=""юридична особа""
,
VLOOKUP"&amp;"(H3836,IMPORTRANGE(""https://docs.google.com/spreadsheets/d/14Bd19lYaqBhU8_DElYkX7l4wRkHqqCUFNJY4AfY3kHU/edit?usp=sharing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835" s="7" t="s">
        <v>71</v>
      </c>
    </row>
    <row r="3836" spans="1:10" ht="13.2">
      <c r="A3836" s="7">
        <v>3835</v>
      </c>
      <c r="B3836" s="7">
        <v>1</v>
      </c>
      <c r="C3836" s="7" t="s">
        <v>10</v>
      </c>
      <c r="D3836" s="7">
        <v>2291</v>
      </c>
      <c r="E3836" s="7" t="s">
        <v>14</v>
      </c>
      <c r="F3836" s="8" t="str">
        <f ca="1">IFERROR(__xludf.DUMMYFUNCTION("IF
(
C3837=""фізична особа""
,
VLOOKUP(D3837,IMPORTRANGE(""https://docs.google.com/spreadsheets/d/14Bd19lYaqBhU8_DElYkX7l4wRkHqqCUFNJY4AfY3kHU/edit?usp=sharing  #gid=0"",""фіз особи new!relations_name""),6,FALSE)
,
(IF
(
C3837=""юридична особа""
,
VLOOKUP"&amp;"(D3837,IMPORTRANGE(""https://docs.google.com/spreadsheets/d/14Bd19lYaqBhU8_DElYkX7l4wRkHqqCUFNJY4AfY3kHU/edit?usp=sharing  #gid=0"",""фіз особи new!relations_name_uo""),7,FALSE)
,
)
))"),"БАШМЕТ Юрій Абрамович")</f>
        <v>БАШМЕТ Юрій Абрамович</v>
      </c>
      <c r="G3836" s="7" t="s">
        <v>10</v>
      </c>
      <c r="H3836" s="7">
        <v>0</v>
      </c>
      <c r="I3836" s="8" t="str">
        <f ca="1">IFERROR(__xludf.DUMMYFUNCTION("IF
(
G3837=""фізична особа""
,
VLOOKUP(H3837,IMPORTRANGE(""https://docs.google.com/spreadsheets/d/14Bd19lYaqBhU8_DElYkX7l4wRkHqqCUFNJY4AfY3kHU/edit?usp=sharing  #gid=0"",""фіз особи new!relations_name""),6,FALSE)
,
(IF
(
G3837=""юридична особа""
,
VLOOKUP"&amp;"(H3837,IMPORTRANGE(""https://docs.google.com/spreadsheets/d/14Bd19lYaqBhU8_DElYkX7l4wRkHqqCUFNJY4AfY3kHU/edit?usp=sharing  #gid=0"",""фіз особи new!relations_name_uo""),7,FALSE)
,
)
))"),"#N/A")</f>
        <v>#N/A</v>
      </c>
      <c r="J3836" s="7" t="s">
        <v>15</v>
      </c>
    </row>
    <row r="3837" spans="1:10" ht="13.2">
      <c r="A3837" s="7">
        <v>3836</v>
      </c>
      <c r="B3837" s="7">
        <v>1</v>
      </c>
      <c r="C3837" s="7" t="s">
        <v>10</v>
      </c>
      <c r="D3837" s="7">
        <v>2291</v>
      </c>
      <c r="E3837" s="7" t="s">
        <v>12</v>
      </c>
      <c r="F3837" s="8" t="str">
        <f ca="1">IFERROR(__xludf.DUMMYFUNCTION("IF
(
C3838=""фізична особа""
,
VLOOKUP(D3838,IMPORTRANGE(""https://docs.google.com/spreadsheets/d/14Bd19lYaqBhU8_DElYkX7l4wRkHqqCUFNJY4AfY3kHU/edit?usp=sharing  #gid=0"",""фіз особи new!relations_name""),6,FALSE)
,
(IF
(
C3838=""юридична особа""
,
VLOOKUP"&amp;"(D3838,IMPORTRANGE(""https://docs.google.com/spreadsheets/d/14Bd19lYaqBhU8_DElYkX7l4wRkHqqCUFNJY4AfY3kHU/edit?usp=sharing  #gid=0"",""фіз особи new!relations_name_uo""),7,FALSE)
,
)
))"),"БАШМЕТ Юрій Абрамович")</f>
        <v>БАШМЕТ Юрій Абрамович</v>
      </c>
      <c r="G3837" s="7" t="s">
        <v>10</v>
      </c>
      <c r="H3837" s="7">
        <v>0</v>
      </c>
      <c r="I3837" s="8" t="str">
        <f ca="1">IFERROR(__xludf.DUMMYFUNCTION("IF
(
G3838=""фізична особа""
,
VLOOKUP(H3838,IMPORTRANGE(""https://docs.google.com/spreadsheets/d/14Bd19lYaqBhU8_DElYkX7l4wRkHqqCUFNJY4AfY3kHU/edit?usp=sharing  #gid=0"",""фіз особи new!relations_name""),6,FALSE)
,
(IF
(
G3838=""юридична особа""
,
VLOOKUP"&amp;"(H3838,IMPORTRANGE(""https://docs.google.com/spreadsheets/d/14Bd19lYaqBhU8_DElYkX7l4wRkHqqCUFNJY4AfY3kHU/edit?usp=sharing  #gid=0"",""фіз особи new!relations_name_uo""),7,FALSE)
,
)
))"),"#N/A")</f>
        <v>#N/A</v>
      </c>
      <c r="J3837" s="7" t="s">
        <v>13</v>
      </c>
    </row>
    <row r="3838" spans="1:10" ht="13.2">
      <c r="A3838" s="7">
        <v>3837</v>
      </c>
      <c r="B3838" s="7">
        <v>1</v>
      </c>
      <c r="C3838" s="7" t="s">
        <v>10</v>
      </c>
      <c r="D3838" s="7">
        <v>2291</v>
      </c>
      <c r="E3838" s="7" t="s">
        <v>12</v>
      </c>
      <c r="F3838" s="8" t="str">
        <f ca="1">IFERROR(__xludf.DUMMYFUNCTION("IF
(
C3839=""фізична особа""
,
VLOOKUP(D3839,IMPORTRANGE(""https://docs.google.com/spreadsheets/d/14Bd19lYaqBhU8_DElYkX7l4wRkHqqCUFNJY4AfY3kHU/edit?usp=sharing  #gid=0"",""фіз особи new!relations_name""),6,FALSE)
,
(IF
(
C3839=""юридична особа""
,
VLOOKUP"&amp;"(D3839,IMPORTRANGE(""https://docs.google.com/spreadsheets/d/14Bd19lYaqBhU8_DElYkX7l4wRkHqqCUFNJY4AfY3kHU/edit?usp=sharing  #gid=0"",""фіз особи new!relations_name_uo""),7,FALSE)
,
)
))"),"БАШМЕТ Юрій Абрамович")</f>
        <v>БАШМЕТ Юрій Абрамович</v>
      </c>
      <c r="G3838" s="7" t="s">
        <v>10</v>
      </c>
      <c r="H3838" s="7">
        <v>0</v>
      </c>
      <c r="I3838" s="8" t="str">
        <f ca="1">IFERROR(__xludf.DUMMYFUNCTION("IF
(
G3839=""фізична особа""
,
VLOOKUP(H3839,IMPORTRANGE(""https://docs.google.com/spreadsheets/d/14Bd19lYaqBhU8_DElYkX7l4wRkHqqCUFNJY4AfY3kHU/edit?usp=sharing  #gid=0"",""фіз особи new!relations_name""),6,FALSE)
,
(IF
(
G3839=""юридична особа""
,
VLOOKUP"&amp;"(H3839,IMPORTRANGE(""https://docs.google.com/spreadsheets/d/14Bd19lYaqBhU8_DElYkX7l4wRkHqqCUFNJY4AfY3kHU/edit?usp=sharing  #gid=0"",""фіз особи new!relations_name_uo""),7,FALSE)
,
)
))"),"#N/A")</f>
        <v>#N/A</v>
      </c>
      <c r="J3838" s="7" t="s">
        <v>17</v>
      </c>
    </row>
    <row r="3839" spans="1:10" ht="13.2">
      <c r="A3839" s="7">
        <v>3838</v>
      </c>
      <c r="B3839" s="7">
        <v>1</v>
      </c>
      <c r="C3839" s="7" t="s">
        <v>10</v>
      </c>
      <c r="D3839" s="7">
        <v>2304</v>
      </c>
      <c r="E3839" s="7" t="s">
        <v>17</v>
      </c>
      <c r="F3839" s="8" t="str">
        <f ca="1">IFERROR(__xludf.DUMMYFUNCTION("IF
(
C3840=""фізична особа""
,
VLOOKUP(D3840,IMPORTRANGE(""https://docs.google.com/spreadsheets/d/14Bd19lYaqBhU8_DElYkX7l4wRkHqqCUFNJY4AfY3kHU/edit?usp=sharing  #gid=0"",""фіз особи new!relations_name""),6,FALSE)
,
(IF
(
C3840=""юридична особа""
,
VLOOKUP"&amp;"(D3840,IMPORTRANGE(""https://docs.google.com/spreadsheets/d/14Bd19lYaqBhU8_DElYkX7l4wRkHqqCUFNJY4AfY3kHU/edit?usp=sharing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39" s="7" t="s">
        <v>10</v>
      </c>
      <c r="H3839" s="7">
        <v>4703</v>
      </c>
      <c r="I3839" s="8" t="str">
        <f ca="1">IFERROR(__xludf.DUMMYFUNCTION("IF
(
G3840=""фізична особа""
,
VLOOKUP(H3840,IMPORTRANGE(""https://docs.google.com/spreadsheets/d/14Bd19lYaqBhU8_DElYkX7l4wRkHqqCUFNJY4AfY3kHU/edit?usp=sharing  #gid=0"",""фіз особи new!relations_name""),6,FALSE)
,
(IF
(
G3840=""юридична особа""
,
VLOOKUP"&amp;"(H3840,IMPORTRANGE(""https://docs.google.com/spreadsheets/d/14Bd19lYaqBhU8_DElYkX7l4wRkHqqCUFNJY4AfY3kHU/edit?usp=sharing  #gid=0"",""фіз особи new!relations_name_uo""),7,FALSE)
,
)
))"),"КОЗЛОВА Ірина Володимирівна")</f>
        <v>КОЗЛОВА Ірина Володимирівна</v>
      </c>
      <c r="J3839" s="7" t="s">
        <v>21</v>
      </c>
    </row>
    <row r="3840" spans="1:10" ht="13.2">
      <c r="A3840" s="7">
        <v>3839</v>
      </c>
      <c r="B3840" s="7">
        <v>1</v>
      </c>
      <c r="C3840" s="7" t="s">
        <v>10</v>
      </c>
      <c r="D3840" s="7">
        <v>2304</v>
      </c>
      <c r="E3840" s="7" t="s">
        <v>14</v>
      </c>
      <c r="F3840" s="8" t="str">
        <f ca="1">IFERROR(__xludf.DUMMYFUNCTION("IF
(
C3841=""фізична особа""
,
VLOOKUP(D3841,IMPORTRANGE(""https://docs.google.com/spreadsheets/d/14Bd19lYaqBhU8_DElYkX7l4wRkHqqCUFNJY4AfY3kHU/edit?usp=sharing  #gid=0"",""фіз особи new!relations_name""),6,FALSE)
,
(IF
(
C3841=""юридична особа""
,
VLOOKUP"&amp;"(D3841,IMPORTRANGE(""https://docs.google.com/spreadsheets/d/14Bd19lYaqBhU8_DElYkX7l4wRkHqqCUFNJY4AfY3kHU/edit?usp=sharing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0" s="7" t="s">
        <v>10</v>
      </c>
      <c r="H3840" s="7">
        <v>4704</v>
      </c>
      <c r="I3840" s="8" t="str">
        <f ca="1">IFERROR(__xludf.DUMMYFUNCTION("IF
(
G3841=""фізична особа""
,
VLOOKUP(H3841,IMPORTRANGE(""https://docs.google.com/spreadsheets/d/14Bd19lYaqBhU8_DElYkX7l4wRkHqqCUFNJY4AfY3kHU/edit?usp=sharing  #gid=0"",""фіз особи new!relations_name""),6,FALSE)
,
(IF
(
G3841=""юридична особа""
,
VLOOKUP"&amp;"(H3841,IMPORTRANGE(""https://docs.google.com/spreadsheets/d/14Bd19lYaqBhU8_DElYkX7l4wRkHqqCUFNJY4AfY3kHU/edit?usp=sharing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3840" s="7" t="s">
        <v>15</v>
      </c>
    </row>
    <row r="3841" spans="1:10" ht="13.2">
      <c r="A3841" s="7">
        <v>3840</v>
      </c>
      <c r="B3841" s="7">
        <v>1</v>
      </c>
      <c r="C3841" s="7" t="s">
        <v>10</v>
      </c>
      <c r="D3841" s="7">
        <v>2304</v>
      </c>
      <c r="E3841" s="7" t="s">
        <v>12</v>
      </c>
      <c r="F3841" s="8" t="str">
        <f ca="1">IFERROR(__xludf.DUMMYFUNCTION("IF
(
C3842=""фізична особа""
,
VLOOKUP(D3842,IMPORTRANGE(""https://docs.google.com/spreadsheets/d/14Bd19lYaqBhU8_DElYkX7l4wRkHqqCUFNJY4AfY3kHU/edit?usp=sharing  #gid=0"",""фіз особи new!relations_name""),6,FALSE)
,
(IF
(
C3842=""юридична особа""
,
VLOOKUP"&amp;"(D3842,IMPORTRANGE(""https://docs.google.com/spreadsheets/d/14Bd19lYaqBhU8_DElYkX7l4wRkHqqCUFNJY4AfY3kHU/edit?usp=sharing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1" s="7" t="s">
        <v>10</v>
      </c>
      <c r="H3841" s="7">
        <v>4707</v>
      </c>
      <c r="I3841" s="8" t="str">
        <f ca="1">IFERROR(__xludf.DUMMYFUNCTION("IF
(
G3842=""фізична особа""
,
VLOOKUP(H3842,IMPORTRANGE(""https://docs.google.com/spreadsheets/d/14Bd19lYaqBhU8_DElYkX7l4wRkHqqCUFNJY4AfY3kHU/edit?usp=sharing  #gid=0"",""фіз особи new!relations_name""),6,FALSE)
,
(IF
(
G3842=""юридична особа""
,
VLOOKUP"&amp;"(H3842,IMPORTRANGE(""https://docs.google.com/spreadsheets/d/14Bd19lYaqBhU8_DElYkX7l4wRkHqqCUFNJY4AfY3kHU/edit?usp=sharing  #gid=0"",""фіз особи new!relations_name_uo""),7,FALSE)
,
)
))"),"КОЗЛОВА Аліса Олександрівна")</f>
        <v>КОЗЛОВА Аліса Олександрівна</v>
      </c>
      <c r="J3841" s="7" t="s">
        <v>13</v>
      </c>
    </row>
    <row r="3842" spans="1:10" ht="13.2">
      <c r="A3842" s="7">
        <v>3841</v>
      </c>
      <c r="B3842" s="7">
        <v>1</v>
      </c>
      <c r="C3842" s="7" t="s">
        <v>10</v>
      </c>
      <c r="D3842" s="7">
        <v>2304</v>
      </c>
      <c r="E3842" s="7" t="s">
        <v>26</v>
      </c>
      <c r="F3842" s="8" t="str">
        <f ca="1">IFERROR(__xludf.DUMMYFUNCTION("IF
(
C3843=""фізична особа""
,
VLOOKUP(D3843,IMPORTRANGE(""https://docs.google.com/spreadsheets/d/14Bd19lYaqBhU8_DElYkX7l4wRkHqqCUFNJY4AfY3kHU/edit?usp=sharing  #gid=0"",""фіз особи new!relations_name""),6,FALSE)
,
(IF
(
C3843=""юридична особа""
,
VLOOKUP"&amp;"(D3843,IMPORTRANGE(""https://docs.google.com/spreadsheets/d/14Bd19lYaqBhU8_DElYkX7l4wRkHqqCUFNJY4AfY3kHU/edit?usp=sharing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2" s="7" t="s">
        <v>10</v>
      </c>
      <c r="H3842" s="7">
        <v>4708</v>
      </c>
      <c r="I3842" s="8" t="str">
        <f ca="1">IFERROR(__xludf.DUMMYFUNCTION("IF
(
G3843=""фізична особа""
,
VLOOKUP(H3843,IMPORTRANGE(""https://docs.google.com/spreadsheets/d/14Bd19lYaqBhU8_DElYkX7l4wRkHqqCUFNJY4AfY3kHU/edit?usp=sharing  #gid=0"",""фіз особи new!relations_name""),6,FALSE)
,
(IF
(
G3843=""юридична особа""
,
VLOOKUP"&amp;"(H3843,IMPORTRANGE(""https://docs.google.com/spreadsheets/d/14Bd19lYaqBhU8_DElYkX7l4wRkHqqCUFNJY4AfY3kHU/edit?usp=sharing  #gid=0"",""фіз особи new!relations_name_uo""),7,FALSE)
,
)
))"),"ЛОГІНОВ Євгеній Петрович")</f>
        <v>ЛОГІНОВ Євгеній Петрович</v>
      </c>
      <c r="J3842" s="7" t="s">
        <v>24</v>
      </c>
    </row>
    <row r="3843" spans="1:10" ht="13.2">
      <c r="A3843" s="7">
        <v>3842</v>
      </c>
      <c r="B3843" s="7">
        <v>1</v>
      </c>
      <c r="C3843" s="7" t="s">
        <v>10</v>
      </c>
      <c r="D3843" s="7">
        <v>2304</v>
      </c>
      <c r="E3843" s="7" t="s">
        <v>18</v>
      </c>
      <c r="F3843" s="8" t="str">
        <f ca="1">IFERROR(__xludf.DUMMYFUNCTION("IF
(
C3844=""фізична особа""
,
VLOOKUP(D3844,IMPORTRANGE(""https://docs.google.com/spreadsheets/d/14Bd19lYaqBhU8_DElYkX7l4wRkHqqCUFNJY4AfY3kHU/edit?usp=sharing  #gid=0"",""фіз особи new!relations_name""),6,FALSE)
,
(IF
(
C3844=""юридична особа""
,
VLOOKUP"&amp;"(D3844,IMPORTRANGE(""https://docs.google.com/spreadsheets/d/14Bd19lYaqBhU8_DElYkX7l4wRkHqqCUFNJY4AfY3kHU/edit?usp=sharing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3" s="7" t="s">
        <v>10</v>
      </c>
      <c r="H3843" s="7">
        <v>4706</v>
      </c>
      <c r="I3843" s="8" t="str">
        <f ca="1">IFERROR(__xludf.DUMMYFUNCTION("IF
(
G3844=""фізична особа""
,
VLOOKUP(H3844,IMPORTRANGE(""https://docs.google.com/spreadsheets/d/14Bd19lYaqBhU8_DElYkX7l4wRkHqqCUFNJY4AfY3kHU/edit?usp=sharing  #gid=0"",""фіз особи new!relations_name""),6,FALSE)
,
(IF
(
G3844=""юридична особа""
,
VLOOKUP"&amp;"(H3844,IMPORTRANGE(""https://docs.google.com/spreadsheets/d/14Bd19lYaqBhU8_DElYkX7l4wRkHqqCUFNJY4AfY3kHU/edit?usp=sharing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J3843" s="7" t="s">
        <v>31</v>
      </c>
    </row>
    <row r="3844" spans="1:10" ht="13.2">
      <c r="A3844" s="7">
        <v>3843</v>
      </c>
      <c r="B3844" s="7">
        <v>1</v>
      </c>
      <c r="C3844" s="7" t="s">
        <v>10</v>
      </c>
      <c r="D3844" s="7">
        <v>2304</v>
      </c>
      <c r="E3844" s="7" t="s">
        <v>26</v>
      </c>
      <c r="F3844" s="8" t="str">
        <f ca="1">IFERROR(__xludf.DUMMYFUNCTION("IF
(
C3845=""фізична особа""
,
VLOOKUP(D3845,IMPORTRANGE(""https://docs.google.com/spreadsheets/d/14Bd19lYaqBhU8_DElYkX7l4wRkHqqCUFNJY4AfY3kHU/edit?usp=sharing  #gid=0"",""фіз особи new!relations_name""),6,FALSE)
,
(IF
(
C3845=""юридична особа""
,
VLOOKUP"&amp;"(D3845,IMPORTRANGE(""https://docs.google.com/spreadsheets/d/14Bd19lYaqBhU8_DElYkX7l4wRkHqqCUFNJY4AfY3kHU/edit?usp=sharing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4" s="7" t="s">
        <v>10</v>
      </c>
      <c r="H3844" s="7">
        <v>4709</v>
      </c>
      <c r="I3844" s="8" t="str">
        <f ca="1">IFERROR(__xludf.DUMMYFUNCTION("IF
(
G3845=""фізична особа""
,
VLOOKUP(H3845,IMPORTRANGE(""https://docs.google.com/spreadsheets/d/14Bd19lYaqBhU8_DElYkX7l4wRkHqqCUFNJY4AfY3kHU/edit?usp=sharing  #gid=0"",""фіз особи new!relations_name""),6,FALSE)
,
(IF
(
G3845=""юридична особа""
,
VLOOKUP"&amp;"(H3845,IMPORTRANGE(""https://docs.google.com/spreadsheets/d/14Bd19lYaqBhU8_DElYkX7l4wRkHqqCUFNJY4AfY3kHU/edit?usp=sharing  #gid=0"",""фіз особи new!relations_name_uo""),7,FALSE)
,
)
))"),"ЛОГІНОВ Олексій Євгенійович")</f>
        <v>ЛОГІНОВ Олексій Євгенійович</v>
      </c>
      <c r="J3844" s="7" t="s">
        <v>50</v>
      </c>
    </row>
    <row r="3845" spans="1:10" ht="13.2">
      <c r="A3845" s="7">
        <v>3844</v>
      </c>
      <c r="B3845" s="7">
        <v>1</v>
      </c>
      <c r="C3845" s="7" t="s">
        <v>10</v>
      </c>
      <c r="D3845" s="7">
        <v>2304</v>
      </c>
      <c r="E3845" s="7" t="s">
        <v>18</v>
      </c>
      <c r="F3845" s="8" t="str">
        <f ca="1">IFERROR(__xludf.DUMMYFUNCTION("IF
(
C3846=""фізична особа""
,
VLOOKUP(D3846,IMPORTRANGE(""https://docs.google.com/spreadsheets/d/14Bd19lYaqBhU8_DElYkX7l4wRkHqqCUFNJY4AfY3kHU/edit?usp=sharing  #gid=0"",""фіз особи new!relations_name""),6,FALSE)
,
(IF
(
C3846=""юридична особа""
,
VLOOKUP"&amp;"(D3846,IMPORTRANGE(""https://docs.google.com/spreadsheets/d/14Bd19lYaqBhU8_DElYkX7l4wRkHqqCUFNJY4AfY3kHU/edit?usp=sharing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G3845" s="7" t="s">
        <v>10</v>
      </c>
      <c r="H3845" s="7">
        <v>4705</v>
      </c>
      <c r="I3845" s="8" t="str">
        <f ca="1">IFERROR(__xludf.DUMMYFUNCTION("IF
(
G3846=""фізична особа""
,
VLOOKUP(H3846,IMPORTRANGE(""https://docs.google.com/spreadsheets/d/14Bd19lYaqBhU8_DElYkX7l4wRkHqqCUFNJY4AfY3kHU/edit?usp=sharing  #gid=0"",""фіз особи new!relations_name""),6,FALSE)
,
(IF
(
G3846=""юридична особа""
,
VLOOKUP"&amp;"(H3846,IMPORTRANGE(""https://docs.google.com/spreadsheets/d/14Bd19lYaqBhU8_DElYkX7l4wRkHqqCUFNJY4AfY3kHU/edit?usp=sharing  #gid=0"",""фіз особи new!relations_name_uo""),7,FALSE)
,
)
))"),"КОЗЛОВА Катерина Олександрівна")</f>
        <v>КОЗЛОВА Катерина Олександрівна</v>
      </c>
      <c r="J3845" s="7" t="s">
        <v>31</v>
      </c>
    </row>
    <row r="3846" spans="1:10" ht="13.2">
      <c r="A3846" s="7">
        <v>3845</v>
      </c>
      <c r="B3846" s="7">
        <v>1</v>
      </c>
      <c r="C3846" s="7" t="s">
        <v>10</v>
      </c>
      <c r="D3846" s="7">
        <v>2343</v>
      </c>
      <c r="E3846" s="7" t="s">
        <v>12</v>
      </c>
      <c r="F3846" s="8" t="str">
        <f ca="1">IFERROR(__xludf.DUMMYFUNCTION("IF
(
C3847=""фізична особа""
,
VLOOKUP(D3847,IMPORTRANGE(""https://docs.google.com/spreadsheets/d/14Bd19lYaqBhU8_DElYkX7l4wRkHqqCUFNJY4AfY3kHU/edit?usp=sharing  #gid=0"",""фіз особи new!relations_name""),6,FALSE)
,
(IF
(
C3847=""юридична особа""
,
VLOOKUP"&amp;"(D3847,IMPORTRANGE(""https://docs.google.com/spreadsheets/d/14Bd19lYaqBhU8_DElYkX7l4wRkHqqCUFNJY4AfY3kHU/edit?usp=sharing  #gid=0"",""фіз особи new!relations_name_uo""),7,FALSE)
,
)
))"),"ШУЛЬГІНОВ Микола Григорович")</f>
        <v>ШУЛЬГІНОВ Микола Григорович</v>
      </c>
      <c r="G3846" s="7" t="s">
        <v>10</v>
      </c>
      <c r="H3846" s="7">
        <v>0</v>
      </c>
      <c r="I3846" s="8" t="str">
        <f ca="1">IFERROR(__xludf.DUMMYFUNCTION("IF
(
G3847=""фізична особа""
,
VLOOKUP(H3847,IMPORTRANGE(""https://docs.google.com/spreadsheets/d/14Bd19lYaqBhU8_DElYkX7l4wRkHqqCUFNJY4AfY3kHU/edit?usp=sharing  #gid=0"",""фіз особи new!relations_name""),6,FALSE)
,
(IF
(
G3847=""юридична особа""
,
VLOOKUP"&amp;"(H3847,IMPORTRANGE(""https://docs.google.com/spreadsheets/d/14Bd19lYaqBhU8_DElYkX7l4wRkHqqCUFNJY4AfY3kHU/edit?usp=sharing  #gid=0"",""фіз особи new!relations_name_uo""),7,FALSE)
,
)
))"),"#N/A")</f>
        <v>#N/A</v>
      </c>
      <c r="J3846" s="7" t="s">
        <v>17</v>
      </c>
    </row>
    <row r="3847" spans="1:10" ht="13.2">
      <c r="A3847" s="7">
        <v>3846</v>
      </c>
      <c r="B3847" s="7">
        <v>1</v>
      </c>
      <c r="C3847" s="7" t="s">
        <v>10</v>
      </c>
      <c r="D3847" s="7">
        <v>2346</v>
      </c>
      <c r="E3847" s="7" t="s">
        <v>17</v>
      </c>
      <c r="F3847" s="8" t="str">
        <f ca="1">IFERROR(__xludf.DUMMYFUNCTION("IF
(
C3848=""фізична особа""
,
VLOOKUP(D3848,IMPORTRANGE(""https://docs.google.com/spreadsheets/d/14Bd19lYaqBhU8_DElYkX7l4wRkHqqCUFNJY4AfY3kHU/edit?usp=sharing  #gid=0"",""фіз особи new!relations_name""),6,FALSE)
,
(IF
(
C3848=""юридична особа""
,
VLOOKUP"&amp;"(D3848,IMPORTRANGE(""https://docs.google.com/spreadsheets/d/14Bd19lYaqBhU8_DElYkX7l4wRkHqqCUFNJY4AfY3kHU/edit?usp=sharing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G3847" s="7" t="s">
        <v>10</v>
      </c>
      <c r="H3847" s="7">
        <v>0</v>
      </c>
      <c r="I3847" s="8" t="str">
        <f ca="1">IFERROR(__xludf.DUMMYFUNCTION("IF
(
G3848=""фізична особа""
,
VLOOKUP(H3848,IMPORTRANGE(""https://docs.google.com/spreadsheets/d/14Bd19lYaqBhU8_DElYkX7l4wRkHqqCUFNJY4AfY3kHU/edit?usp=sharing  #gid=0"",""фіз особи new!relations_name""),6,FALSE)
,
(IF
(
G3848=""юридична особа""
,
VLOOKUP"&amp;"(H3848,IMPORTRANGE(""https://docs.google.com/spreadsheets/d/14Bd19lYaqBhU8_DElYkX7l4wRkHqqCUFNJY4AfY3kHU/edit?usp=sharing  #gid=0"",""фіз особи new!relations_name_uo""),7,FALSE)
,
)
))"),"#N/A")</f>
        <v>#N/A</v>
      </c>
      <c r="J3847" s="7" t="s">
        <v>21</v>
      </c>
    </row>
    <row r="3848" spans="1:10" ht="13.2">
      <c r="A3848" s="7">
        <v>3847</v>
      </c>
      <c r="B3848" s="7">
        <v>1</v>
      </c>
      <c r="C3848" s="7" t="s">
        <v>10</v>
      </c>
      <c r="D3848" s="7">
        <v>2346</v>
      </c>
      <c r="E3848" s="7" t="s">
        <v>17</v>
      </c>
      <c r="F3848" s="8" t="str">
        <f ca="1">IFERROR(__xludf.DUMMYFUNCTION("IF
(
C3849=""фізична особа""
,
VLOOKUP(D3849,IMPORTRANGE(""https://docs.google.com/spreadsheets/d/14Bd19lYaqBhU8_DElYkX7l4wRkHqqCUFNJY4AfY3kHU/edit?usp=sharing  #gid=0"",""фіз особи new!relations_name""),6,FALSE)
,
(IF
(
C3849=""юридична особа""
,
VLOOKUP"&amp;"(D3849,IMPORTRANGE(""https://docs.google.com/spreadsheets/d/14Bd19lYaqBhU8_DElYkX7l4wRkHqqCUFNJY4AfY3kHU/edit?usp=sharing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G3848" s="7" t="s">
        <v>10</v>
      </c>
      <c r="H3848" s="7">
        <v>0</v>
      </c>
      <c r="I3848" s="8" t="str">
        <f ca="1">IFERROR(__xludf.DUMMYFUNCTION("IF
(
G3849=""фізична особа""
,
VLOOKUP(H3849,IMPORTRANGE(""https://docs.google.com/spreadsheets/d/14Bd19lYaqBhU8_DElYkX7l4wRkHqqCUFNJY4AfY3kHU/edit?usp=sharing  #gid=0"",""фіз особи new!relations_name""),6,FALSE)
,
(IF
(
G3849=""юридична особа""
,
VLOOKUP"&amp;"(H3849,IMPORTRANGE(""https://docs.google.com/spreadsheets/d/14Bd19lYaqBhU8_DElYkX7l4wRkHqqCUFNJY4AfY3kHU/edit?usp=sharing  #gid=0"",""фіз особи new!relations_name_uo""),7,FALSE)
,
)
))"),"#N/A")</f>
        <v>#N/A</v>
      </c>
      <c r="J3848" s="7" t="s">
        <v>12</v>
      </c>
    </row>
    <row r="3849" spans="1:10" ht="13.2">
      <c r="A3849" s="7">
        <v>3848</v>
      </c>
      <c r="B3849" s="7">
        <v>1</v>
      </c>
      <c r="C3849" s="7" t="s">
        <v>10</v>
      </c>
      <c r="D3849" s="7">
        <v>2346</v>
      </c>
      <c r="E3849" s="7" t="s">
        <v>89</v>
      </c>
      <c r="F3849" s="8" t="str">
        <f ca="1">IFERROR(__xludf.DUMMYFUNCTION("IF
(
C3850=""фізична особа""
,
VLOOKUP(D3850,IMPORTRANGE(""https://docs.google.com/spreadsheets/d/14Bd19lYaqBhU8_DElYkX7l4wRkHqqCUFNJY4AfY3kHU/edit?usp=sharing  #gid=0"",""фіз особи new!relations_name""),6,FALSE)
,
(IF
(
C3850=""юридична особа""
,
VLOOKUP"&amp;"(D3850,IMPORTRANGE(""https://docs.google.com/spreadsheets/d/14Bd19lYaqBhU8_DElYkX7l4wRkHqqCUFNJY4AfY3kHU/edit?usp=sharing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G3849" s="7" t="s">
        <v>10</v>
      </c>
      <c r="H3849" s="7">
        <v>0</v>
      </c>
      <c r="I3849" s="8" t="str">
        <f ca="1">IFERROR(__xludf.DUMMYFUNCTION("IF
(
G3850=""фізична особа""
,
VLOOKUP(H3850,IMPORTRANGE(""https://docs.google.com/spreadsheets/d/14Bd19lYaqBhU8_DElYkX7l4wRkHqqCUFNJY4AfY3kHU/edit?usp=sharing  #gid=0"",""фіз особи new!relations_name""),6,FALSE)
,
(IF
(
G3850=""юридична особа""
,
VLOOKUP"&amp;"(H3850,IMPORTRANGE(""https://docs.google.com/spreadsheets/d/14Bd19lYaqBhU8_DElYkX7l4wRkHqqCUFNJY4AfY3kHU/edit?usp=sharing  #gid=0"",""фіз особи new!relations_name_uo""),7,FALSE)
,
)
))"),"#N/A")</f>
        <v>#N/A</v>
      </c>
      <c r="J3849" s="7" t="s">
        <v>89</v>
      </c>
    </row>
    <row r="3850" spans="1:10" ht="13.2">
      <c r="A3850" s="7">
        <v>3849</v>
      </c>
      <c r="B3850" s="7">
        <v>1</v>
      </c>
      <c r="C3850" s="7" t="s">
        <v>10</v>
      </c>
      <c r="D3850" s="7">
        <v>2371</v>
      </c>
      <c r="E3850" s="7" t="s">
        <v>28</v>
      </c>
      <c r="F3850" s="8" t="str">
        <f ca="1">IFERROR(__xludf.DUMMYFUNCTION("IF
(
C3851=""фізична особа""
,
VLOOKUP(D3851,IMPORTRANGE(""https://docs.google.com/spreadsheets/d/14Bd19lYaqBhU8_DElYkX7l4wRkHqqCUFNJY4AfY3kHU/edit?usp=sharing  #gid=0"",""фіз особи new!relations_name""),6,FALSE)
,
(IF
(
C3851=""юридична особа""
,
VLOOKUP"&amp;"(D3851,IMPORTRANGE(""https://docs.google.com/spreadsheets/d/14Bd19lYaqBhU8_DElYkX7l4wRkHqqCUFNJY4AfY3kHU/edit?usp=sharing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0" s="7" t="s">
        <v>10</v>
      </c>
      <c r="H3850" s="7">
        <v>199</v>
      </c>
      <c r="I3850" s="8" t="str">
        <f ca="1">IFERROR(__xludf.DUMMYFUNCTION("IF
(
G3851=""фізична особа""
,
VLOOKUP(H3851,IMPORTRANGE(""https://docs.google.com/spreadsheets/d/14Bd19lYaqBhU8_DElYkX7l4wRkHqqCUFNJY4AfY3kHU/edit?usp=sharing  #gid=0"",""фіз особи new!relations_name""),6,FALSE)
,
(IF
(
G3851=""юридична особа""
,
VLOOKUP"&amp;"(H3851,IMPORTRANGE(""https://docs.google.com/spreadsheets/d/14Bd19lYaqBhU8_DElYkX7l4wRkHqqCUFNJY4AfY3kHU/edit?usp=sharing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3850" s="7" t="s">
        <v>29</v>
      </c>
    </row>
    <row r="3851" spans="1:10" ht="13.2">
      <c r="A3851" s="7">
        <v>3850</v>
      </c>
      <c r="B3851" s="7">
        <v>1</v>
      </c>
      <c r="C3851" s="7" t="s">
        <v>10</v>
      </c>
      <c r="D3851" s="7">
        <v>2371</v>
      </c>
      <c r="E3851" s="7" t="s">
        <v>18</v>
      </c>
      <c r="F3851" s="8" t="str">
        <f ca="1">IFERROR(__xludf.DUMMYFUNCTION("IF
(
C3852=""фізична особа""
,
VLOOKUP(D3852,IMPORTRANGE(""https://docs.google.com/spreadsheets/d/14Bd19lYaqBhU8_DElYkX7l4wRkHqqCUFNJY4AfY3kHU/edit?usp=sharing  #gid=0"",""фіз особи new!relations_name""),6,FALSE)
,
(IF
(
C3852=""юридична особа""
,
VLOOKUP"&amp;"(D3852,IMPORTRANGE(""https://docs.google.com/spreadsheets/d/14Bd19lYaqBhU8_DElYkX7l4wRkHqqCUFNJY4AfY3kHU/edit?usp=sharing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1" s="7" t="s">
        <v>10</v>
      </c>
      <c r="H3851" s="7">
        <v>0</v>
      </c>
      <c r="I3851" s="8" t="str">
        <f ca="1">IFERROR(__xludf.DUMMYFUNCTION("IF
(
G3852=""фізична особа""
,
VLOOKUP(H3852,IMPORTRANGE(""https://docs.google.com/spreadsheets/d/14Bd19lYaqBhU8_DElYkX7l4wRkHqqCUFNJY4AfY3kHU/edit?usp=sharing  #gid=0"",""фіз особи new!relations_name""),6,FALSE)
,
(IF
(
G3852=""юридична особа""
,
VLOOKUP"&amp;"(H3852,IMPORTRANGE(""https://docs.google.com/spreadsheets/d/14Bd19lYaqBhU8_DElYkX7l4wRkHqqCUFNJY4AfY3kHU/edit?usp=sharing  #gid=0"",""фіз особи new!relations_name_uo""),7,FALSE)
,
)
))"),"#N/A")</f>
        <v>#N/A</v>
      </c>
      <c r="J3851" s="7" t="s">
        <v>31</v>
      </c>
    </row>
    <row r="3852" spans="1:10" ht="13.2">
      <c r="A3852" s="7">
        <v>3851</v>
      </c>
      <c r="B3852" s="7">
        <v>1</v>
      </c>
      <c r="C3852" s="7" t="s">
        <v>10</v>
      </c>
      <c r="D3852" s="7">
        <v>2371</v>
      </c>
      <c r="E3852" s="7" t="s">
        <v>12</v>
      </c>
      <c r="F3852" s="8" t="str">
        <f ca="1">IFERROR(__xludf.DUMMYFUNCTION("IF
(
C3853=""фізична особа""
,
VLOOKUP(D3853,IMPORTRANGE(""https://docs.google.com/spreadsheets/d/14Bd19lYaqBhU8_DElYkX7l4wRkHqqCUFNJY4AfY3kHU/edit?usp=sharing  #gid=0"",""фіз особи new!relations_name""),6,FALSE)
,
(IF
(
C3853=""юридична особа""
,
VLOOKUP"&amp;"(D3853,IMPORTRANGE(""https://docs.google.com/spreadsheets/d/14Bd19lYaqBhU8_DElYkX7l4wRkHqqCUFNJY4AfY3kHU/edit?usp=sharing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2" s="7" t="s">
        <v>10</v>
      </c>
      <c r="H3852" s="7">
        <v>0</v>
      </c>
      <c r="I3852" s="8" t="str">
        <f ca="1">IFERROR(__xludf.DUMMYFUNCTION("IF
(
G3853=""фізична особа""
,
VLOOKUP(H3853,IMPORTRANGE(""https://docs.google.com/spreadsheets/d/14Bd19lYaqBhU8_DElYkX7l4wRkHqqCUFNJY4AfY3kHU/edit?usp=sharing  #gid=0"",""фіз особи new!relations_name""),6,FALSE)
,
(IF
(
G3853=""юридична особа""
,
VLOOKUP"&amp;"(H3853,IMPORTRANGE(""https://docs.google.com/spreadsheets/d/14Bd19lYaqBhU8_DElYkX7l4wRkHqqCUFNJY4AfY3kHU/edit?usp=sharing  #gid=0"",""фіз особи new!relations_name_uo""),7,FALSE)
,
)
))"),"#N/A")</f>
        <v>#N/A</v>
      </c>
      <c r="J3852" s="7" t="s">
        <v>17</v>
      </c>
    </row>
    <row r="3853" spans="1:10" ht="13.2">
      <c r="A3853" s="7">
        <v>3852</v>
      </c>
      <c r="B3853" s="7">
        <v>1</v>
      </c>
      <c r="C3853" s="7" t="s">
        <v>10</v>
      </c>
      <c r="D3853" s="7">
        <v>2371</v>
      </c>
      <c r="E3853" s="7" t="s">
        <v>17</v>
      </c>
      <c r="F3853" s="8" t="str">
        <f ca="1">IFERROR(__xludf.DUMMYFUNCTION("IF
(
C3854=""фізична особа""
,
VLOOKUP(D3854,IMPORTRANGE(""https://docs.google.com/spreadsheets/d/14Bd19lYaqBhU8_DElYkX7l4wRkHqqCUFNJY4AfY3kHU/edit?usp=sharing  #gid=0"",""фіз особи new!relations_name""),6,FALSE)
,
(IF
(
C3854=""юридична особа""
,
VLOOKUP"&amp;"(D3854,IMPORTRANGE(""https://docs.google.com/spreadsheets/d/14Bd19lYaqBhU8_DElYkX7l4wRkHqqCUFNJY4AfY3kHU/edit?usp=sharing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3" s="7" t="s">
        <v>10</v>
      </c>
      <c r="H3853" s="7">
        <v>0</v>
      </c>
      <c r="I3853" s="8" t="str">
        <f ca="1">IFERROR(__xludf.DUMMYFUNCTION("IF
(
G3854=""фізична особа""
,
VLOOKUP(H3854,IMPORTRANGE(""https://docs.google.com/spreadsheets/d/14Bd19lYaqBhU8_DElYkX7l4wRkHqqCUFNJY4AfY3kHU/edit?usp=sharing  #gid=0"",""фіз особи new!relations_name""),6,FALSE)
,
(IF
(
G3854=""юридична особа""
,
VLOOKUP"&amp;"(H3854,IMPORTRANGE(""https://docs.google.com/spreadsheets/d/14Bd19lYaqBhU8_DElYkX7l4wRkHqqCUFNJY4AfY3kHU/edit?usp=sharing  #gid=0"",""фіз особи new!relations_name_uo""),7,FALSE)
,
)
))"),"#N/A")</f>
        <v>#N/A</v>
      </c>
      <c r="J3853" s="7" t="s">
        <v>12</v>
      </c>
    </row>
    <row r="3854" spans="1:10" ht="13.2">
      <c r="A3854" s="7">
        <v>3853</v>
      </c>
      <c r="B3854" s="7">
        <v>1</v>
      </c>
      <c r="C3854" s="7" t="s">
        <v>10</v>
      </c>
      <c r="D3854" s="7">
        <v>2371</v>
      </c>
      <c r="E3854" s="7" t="s">
        <v>14</v>
      </c>
      <c r="F3854" s="8" t="str">
        <f ca="1">IFERROR(__xludf.DUMMYFUNCTION("IF
(
C3855=""фізична особа""
,
VLOOKUP(D3855,IMPORTRANGE(""https://docs.google.com/spreadsheets/d/14Bd19lYaqBhU8_DElYkX7l4wRkHqqCUFNJY4AfY3kHU/edit?usp=sharing  #gid=0"",""фіз особи new!relations_name""),6,FALSE)
,
(IF
(
C3855=""юридична особа""
,
VLOOKUP"&amp;"(D3855,IMPORTRANGE(""https://docs.google.com/spreadsheets/d/14Bd19lYaqBhU8_DElYkX7l4wRkHqqCUFNJY4AfY3kHU/edit?usp=sharing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4" s="7" t="s">
        <v>10</v>
      </c>
      <c r="H3854" s="7">
        <v>0</v>
      </c>
      <c r="I3854" s="8" t="str">
        <f ca="1">IFERROR(__xludf.DUMMYFUNCTION("IF
(
G3855=""фізична особа""
,
VLOOKUP(H3855,IMPORTRANGE(""https://docs.google.com/spreadsheets/d/14Bd19lYaqBhU8_DElYkX7l4wRkHqqCUFNJY4AfY3kHU/edit?usp=sharing  #gid=0"",""фіз особи new!relations_name""),6,FALSE)
,
(IF
(
G3855=""юридична особа""
,
VLOOKUP"&amp;"(H3855,IMPORTRANGE(""https://docs.google.com/spreadsheets/d/14Bd19lYaqBhU8_DElYkX7l4wRkHqqCUFNJY4AfY3kHU/edit?usp=sharing  #gid=0"",""фіз особи new!relations_name_uo""),7,FALSE)
,
)
))"),"#N/A")</f>
        <v>#N/A</v>
      </c>
      <c r="J3854" s="7" t="s">
        <v>15</v>
      </c>
    </row>
    <row r="3855" spans="1:10" ht="13.2">
      <c r="A3855" s="7">
        <v>3854</v>
      </c>
      <c r="B3855" s="7">
        <v>1</v>
      </c>
      <c r="C3855" s="7" t="s">
        <v>10</v>
      </c>
      <c r="D3855" s="7">
        <v>2371</v>
      </c>
      <c r="E3855" s="7" t="s">
        <v>12</v>
      </c>
      <c r="F3855" s="8" t="str">
        <f ca="1">IFERROR(__xludf.DUMMYFUNCTION("IF
(
C3856=""фізична особа""
,
VLOOKUP(D3856,IMPORTRANGE(""https://docs.google.com/spreadsheets/d/14Bd19lYaqBhU8_DElYkX7l4wRkHqqCUFNJY4AfY3kHU/edit?usp=sharing  #gid=0"",""фіз особи new!relations_name""),6,FALSE)
,
(IF
(
C3856=""юридична особа""
,
VLOOKUP"&amp;"(D3856,IMPORTRANGE(""https://docs.google.com/spreadsheets/d/14Bd19lYaqBhU8_DElYkX7l4wRkHqqCUFNJY4AfY3kHU/edit?usp=sharing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G3855" s="7" t="s">
        <v>10</v>
      </c>
      <c r="H3855" s="7">
        <v>0</v>
      </c>
      <c r="I3855" s="8" t="str">
        <f ca="1">IFERROR(__xludf.DUMMYFUNCTION("IF
(
G3856=""фізична особа""
,
VLOOKUP(H3856,IMPORTRANGE(""https://docs.google.com/spreadsheets/d/14Bd19lYaqBhU8_DElYkX7l4wRkHqqCUFNJY4AfY3kHU/edit?usp=sharing  #gid=0"",""фіз особи new!relations_name""),6,FALSE)
,
(IF
(
G3856=""юридична особа""
,
VLOOKUP"&amp;"(H3856,IMPORTRANGE(""https://docs.google.com/spreadsheets/d/14Bd19lYaqBhU8_DElYkX7l4wRkHqqCUFNJY4AfY3kHU/edit?usp=sharing  #gid=0"",""фіз особи new!relations_name_uo""),7,FALSE)
,
)
))"),"#N/A")</f>
        <v>#N/A</v>
      </c>
      <c r="J3855" s="7" t="s">
        <v>13</v>
      </c>
    </row>
    <row r="3856" spans="1:10" ht="13.2">
      <c r="A3856" s="7">
        <v>3855</v>
      </c>
      <c r="B3856" s="7">
        <v>1</v>
      </c>
      <c r="C3856" s="7" t="s">
        <v>10</v>
      </c>
      <c r="D3856" s="7">
        <v>2377</v>
      </c>
      <c r="E3856" s="7" t="s">
        <v>13</v>
      </c>
      <c r="F3856" s="8" t="str">
        <f ca="1">IFERROR(__xludf.DUMMYFUNCTION("IF
(
C3857=""фізична особа""
,
VLOOKUP(D3857,IMPORTRANGE(""https://docs.google.com/spreadsheets/d/14Bd19lYaqBhU8_DElYkX7l4wRkHqqCUFNJY4AfY3kHU/edit?usp=sharing  #gid=0"",""фіз особи new!relations_name""),6,FALSE)
,
(IF
(
C3857=""юридична особа""
,
VLOOKUP"&amp;"(D3857,IMPORTRANGE(""https://docs.google.com/spreadsheets/d/14Bd19lYaqBhU8_DElYkX7l4wRkHqqCUFNJY4AfY3kHU/edit?usp=sharing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G3856" s="7" t="s">
        <v>10</v>
      </c>
      <c r="H3856" s="7">
        <v>0</v>
      </c>
      <c r="I3856" s="8" t="str">
        <f ca="1">IFERROR(__xludf.DUMMYFUNCTION("IF
(
G3857=""фізична особа""
,
VLOOKUP(H3857,IMPORTRANGE(""https://docs.google.com/spreadsheets/d/14Bd19lYaqBhU8_DElYkX7l4wRkHqqCUFNJY4AfY3kHU/edit?usp=sharing  #gid=0"",""фіз особи new!relations_name""),6,FALSE)
,
(IF
(
G3857=""юридична особа""
,
VLOOKUP"&amp;"(H3857,IMPORTRANGE(""https://docs.google.com/spreadsheets/d/14Bd19lYaqBhU8_DElYkX7l4wRkHqqCUFNJY4AfY3kHU/edit?usp=sharing  #gid=0"",""фіз особи new!relations_name_uo""),7,FALSE)
,
)
))"),"#N/A")</f>
        <v>#N/A</v>
      </c>
      <c r="J3856" s="7" t="s">
        <v>12</v>
      </c>
    </row>
    <row r="3857" spans="1:10" ht="13.2">
      <c r="A3857" s="7">
        <v>3856</v>
      </c>
      <c r="B3857" s="7">
        <v>1</v>
      </c>
      <c r="C3857" s="7" t="s">
        <v>10</v>
      </c>
      <c r="D3857" s="7">
        <v>2377</v>
      </c>
      <c r="E3857" s="7" t="s">
        <v>15</v>
      </c>
      <c r="F3857" s="8" t="str">
        <f ca="1">IFERROR(__xludf.DUMMYFUNCTION("IF
(
C3858=""фізична особа""
,
VLOOKUP(D3858,IMPORTRANGE(""https://docs.google.com/spreadsheets/d/14Bd19lYaqBhU8_DElYkX7l4wRkHqqCUFNJY4AfY3kHU/edit?usp=sharing  #gid=0"",""фіз особи new!relations_name""),6,FALSE)
,
(IF
(
C3858=""юридична особа""
,
VLOOKUP"&amp;"(D3858,IMPORTRANGE(""https://docs.google.com/spreadsheets/d/14Bd19lYaqBhU8_DElYkX7l4wRkHqqCUFNJY4AfY3kHU/edit?usp=sharing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G3857" s="7" t="s">
        <v>10</v>
      </c>
      <c r="H3857" s="7">
        <v>0</v>
      </c>
      <c r="I3857" s="8" t="str">
        <f ca="1">IFERROR(__xludf.DUMMYFUNCTION("IF
(
G3858=""фізична особа""
,
VLOOKUP(H3858,IMPORTRANGE(""https://docs.google.com/spreadsheets/d/14Bd19lYaqBhU8_DElYkX7l4wRkHqqCUFNJY4AfY3kHU/edit?usp=sharing  #gid=0"",""фіз особи new!relations_name""),6,FALSE)
,
(IF
(
G3858=""юридична особа""
,
VLOOKUP"&amp;"(H3858,IMPORTRANGE(""https://docs.google.com/spreadsheets/d/14Bd19lYaqBhU8_DElYkX7l4wRkHqqCUFNJY4AfY3kHU/edit?usp=sharing  #gid=0"",""фіз особи new!relations_name_uo""),7,FALSE)
,
)
))"),"#N/A")</f>
        <v>#N/A</v>
      </c>
      <c r="J3857" s="7" t="s">
        <v>14</v>
      </c>
    </row>
    <row r="3858" spans="1:10" ht="13.2">
      <c r="A3858" s="7">
        <v>3857</v>
      </c>
      <c r="B3858" s="7">
        <v>1</v>
      </c>
      <c r="C3858" s="7" t="s">
        <v>10</v>
      </c>
      <c r="D3858" s="7">
        <v>2377</v>
      </c>
      <c r="E3858" s="7" t="s">
        <v>21</v>
      </c>
      <c r="F3858" s="8" t="str">
        <f ca="1">IFERROR(__xludf.DUMMYFUNCTION("IF
(
C3859=""фізична особа""
,
VLOOKUP(D3859,IMPORTRANGE(""https://docs.google.com/spreadsheets/d/14Bd19lYaqBhU8_DElYkX7l4wRkHqqCUFNJY4AfY3kHU/edit?usp=sharing  #gid=0"",""фіз особи new!relations_name""),6,FALSE)
,
(IF
(
C3859=""юридична особа""
,
VLOOKUP"&amp;"(D3859,IMPORTRANGE(""https://docs.google.com/spreadsheets/d/14Bd19lYaqBhU8_DElYkX7l4wRkHqqCUFNJY4AfY3kHU/edit?usp=sharing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G3858" s="7" t="s">
        <v>10</v>
      </c>
      <c r="H3858" s="7">
        <v>0</v>
      </c>
      <c r="I3858" s="8" t="str">
        <f ca="1">IFERROR(__xludf.DUMMYFUNCTION("IF
(
G3859=""фізична особа""
,
VLOOKUP(H3859,IMPORTRANGE(""https://docs.google.com/spreadsheets/d/14Bd19lYaqBhU8_DElYkX7l4wRkHqqCUFNJY4AfY3kHU/edit?usp=sharing  #gid=0"",""фіз особи new!relations_name""),6,FALSE)
,
(IF
(
G3859=""юридична особа""
,
VLOOKUP"&amp;"(H3859,IMPORTRANGE(""https://docs.google.com/spreadsheets/d/14Bd19lYaqBhU8_DElYkX7l4wRkHqqCUFNJY4AfY3kHU/edit?usp=sharing  #gid=0"",""фіз особи new!relations_name_uo""),7,FALSE)
,
)
))"),"#N/A")</f>
        <v>#N/A</v>
      </c>
      <c r="J3858" s="7" t="s">
        <v>13</v>
      </c>
    </row>
    <row r="3859" spans="1:10" ht="13.2">
      <c r="A3859" s="7">
        <v>3858</v>
      </c>
      <c r="B3859" s="7">
        <v>1</v>
      </c>
      <c r="C3859" s="7" t="s">
        <v>10</v>
      </c>
      <c r="D3859" s="7">
        <v>2377</v>
      </c>
      <c r="E3859" s="7" t="s">
        <v>21</v>
      </c>
      <c r="F3859" s="8" t="str">
        <f ca="1">IFERROR(__xludf.DUMMYFUNCTION("IF
(
C3860=""фізична особа""
,
VLOOKUP(D3860,IMPORTRANGE(""https://docs.google.com/spreadsheets/d/14Bd19lYaqBhU8_DElYkX7l4wRkHqqCUFNJY4AfY3kHU/edit?usp=sharing  #gid=0"",""фіз особи new!relations_name""),6,FALSE)
,
(IF
(
C3860=""юридична особа""
,
VLOOKUP"&amp;"(D3860,IMPORTRANGE(""https://docs.google.com/spreadsheets/d/14Bd19lYaqBhU8_DElYkX7l4wRkHqqCUFNJY4AfY3kHU/edit?usp=sharing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G3859" s="7" t="s">
        <v>10</v>
      </c>
      <c r="H3859" s="7">
        <v>0</v>
      </c>
      <c r="I3859" s="8" t="str">
        <f ca="1">IFERROR(__xludf.DUMMYFUNCTION("IF
(
G3860=""фізична особа""
,
VLOOKUP(H3860,IMPORTRANGE(""https://docs.google.com/spreadsheets/d/14Bd19lYaqBhU8_DElYkX7l4wRkHqqCUFNJY4AfY3kHU/edit?usp=sharing  #gid=0"",""фіз особи new!relations_name""),6,FALSE)
,
(IF
(
G3860=""юридична особа""
,
VLOOKUP"&amp;"(H3860,IMPORTRANGE(""https://docs.google.com/spreadsheets/d/14Bd19lYaqBhU8_DElYkX7l4wRkHqqCUFNJY4AfY3kHU/edit?usp=sharing  #gid=0"",""фіз особи new!relations_name_uo""),7,FALSE)
,
)
))"),"#N/A")</f>
        <v>#N/A</v>
      </c>
      <c r="J3859" s="7" t="s">
        <v>17</v>
      </c>
    </row>
    <row r="3860" spans="1:10" ht="13.2">
      <c r="A3860" s="7">
        <v>3859</v>
      </c>
      <c r="B3860" s="7">
        <v>1</v>
      </c>
      <c r="C3860" s="7" t="s">
        <v>10</v>
      </c>
      <c r="D3860" s="7">
        <v>2377</v>
      </c>
      <c r="E3860" s="7" t="s">
        <v>22</v>
      </c>
      <c r="F3860" s="8" t="str">
        <f ca="1">IFERROR(__xludf.DUMMYFUNCTION("IF
(
C3861=""фізична особа""
,
VLOOKUP(D3861,IMPORTRANGE(""https://docs.google.com/spreadsheets/d/14Bd19lYaqBhU8_DElYkX7l4wRkHqqCUFNJY4AfY3kHU/edit?usp=sharing  #gid=0"",""фіз особи new!relations_name""),6,FALSE)
,
(IF
(
C3861=""юридична особа""
,
VLOOKUP"&amp;"(D3861,IMPORTRANGE(""https://docs.google.com/spreadsheets/d/14Bd19lYaqBhU8_DElYkX7l4wRkHqqCUFNJY4AfY3kHU/edit?usp=sharing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G3860" s="7" t="s">
        <v>10</v>
      </c>
      <c r="H3860" s="7">
        <v>0</v>
      </c>
      <c r="I3860" s="8" t="str">
        <f ca="1">IFERROR(__xludf.DUMMYFUNCTION("IF
(
G3861=""фізична особа""
,
VLOOKUP(H3861,IMPORTRANGE(""https://docs.google.com/spreadsheets/d/14Bd19lYaqBhU8_DElYkX7l4wRkHqqCUFNJY4AfY3kHU/edit?usp=sharing  #gid=0"",""фіз особи new!relations_name""),6,FALSE)
,
(IF
(
G3861=""юридична особа""
,
VLOOKUP"&amp;"(H3861,IMPORTRANGE(""https://docs.google.com/spreadsheets/d/14Bd19lYaqBhU8_DElYkX7l4wRkHqqCUFNJY4AfY3kHU/edit?usp=sharing  #gid=0"",""фіз особи new!relations_name_uo""),7,FALSE)
,
)
))"),"#N/A")</f>
        <v>#N/A</v>
      </c>
      <c r="J3860" s="7" t="s">
        <v>19</v>
      </c>
    </row>
    <row r="3861" spans="1:10" ht="13.2">
      <c r="A3861" s="7">
        <v>3860</v>
      </c>
      <c r="B3861" s="7">
        <v>1</v>
      </c>
      <c r="C3861" s="7" t="s">
        <v>10</v>
      </c>
      <c r="D3861" s="7">
        <v>2382</v>
      </c>
      <c r="E3861" s="7" t="s">
        <v>17</v>
      </c>
      <c r="F3861" s="8" t="str">
        <f ca="1">IFERROR(__xludf.DUMMYFUNCTION("IF
(
C3862=""фізична особа""
,
VLOOKUP(D3862,IMPORTRANGE(""https://docs.google.com/spreadsheets/d/14Bd19lYaqBhU8_DElYkX7l4wRkHqqCUFNJY4AfY3kHU/edit?usp=sharing  #gid=0"",""фіз особи new!relations_name""),6,FALSE)
,
(IF
(
C3862=""юридична особа""
,
VLOOKUP"&amp;"(D3862,IMPORTRANGE(""https://docs.google.com/spreadsheets/d/14Bd19lYaqBhU8_DElYkX7l4wRkHqqCUFNJY4AfY3kHU/edit?usp=sharing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G3861" s="7" t="s">
        <v>10</v>
      </c>
      <c r="H3861" s="7">
        <v>0</v>
      </c>
      <c r="I3861" s="8" t="str">
        <f ca="1">IFERROR(__xludf.DUMMYFUNCTION("IF
(
G3862=""фізична особа""
,
VLOOKUP(H3862,IMPORTRANGE(""https://docs.google.com/spreadsheets/d/14Bd19lYaqBhU8_DElYkX7l4wRkHqqCUFNJY4AfY3kHU/edit?usp=sharing  #gid=0"",""фіз особи new!relations_name""),6,FALSE)
,
(IF
(
G3862=""юридична особа""
,
VLOOKUP"&amp;"(H3862,IMPORTRANGE(""https://docs.google.com/spreadsheets/d/14Bd19lYaqBhU8_DElYkX7l4wRkHqqCUFNJY4AfY3kHU/edit?usp=sharing  #gid=0"",""фіз особи new!relations_name_uo""),7,FALSE)
,
)
))"),"#N/A")</f>
        <v>#N/A</v>
      </c>
      <c r="J3861" s="7" t="s">
        <v>12</v>
      </c>
    </row>
    <row r="3862" spans="1:10" ht="13.2">
      <c r="A3862" s="7">
        <v>3861</v>
      </c>
      <c r="B3862" s="7">
        <v>1</v>
      </c>
      <c r="C3862" s="7" t="s">
        <v>10</v>
      </c>
      <c r="D3862" s="7">
        <v>2382</v>
      </c>
      <c r="E3862" s="7" t="s">
        <v>17</v>
      </c>
      <c r="F3862" s="8" t="str">
        <f ca="1">IFERROR(__xludf.DUMMYFUNCTION("IF
(
C3863=""фізична особа""
,
VLOOKUP(D3863,IMPORTRANGE(""https://docs.google.com/spreadsheets/d/14Bd19lYaqBhU8_DElYkX7l4wRkHqqCUFNJY4AfY3kHU/edit?usp=sharing  #gid=0"",""фіз особи new!relations_name""),6,FALSE)
,
(IF
(
C3863=""юридична особа""
,
VLOOKUP"&amp;"(D3863,IMPORTRANGE(""https://docs.google.com/spreadsheets/d/14Bd19lYaqBhU8_DElYkX7l4wRkHqqCUFNJY4AfY3kHU/edit?usp=sharing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G3862" s="7" t="s">
        <v>10</v>
      </c>
      <c r="H3862" s="7">
        <v>0</v>
      </c>
      <c r="I3862" s="8" t="str">
        <f ca="1">IFERROR(__xludf.DUMMYFUNCTION("IF
(
G3863=""фізична особа""
,
VLOOKUP(H3863,IMPORTRANGE(""https://docs.google.com/spreadsheets/d/14Bd19lYaqBhU8_DElYkX7l4wRkHqqCUFNJY4AfY3kHU/edit?usp=sharing  #gid=0"",""фіз особи new!relations_name""),6,FALSE)
,
(IF
(
G3863=""юридична особа""
,
VLOOKUP"&amp;"(H3863,IMPORTRANGE(""https://docs.google.com/spreadsheets/d/14Bd19lYaqBhU8_DElYkX7l4wRkHqqCUFNJY4AfY3kHU/edit?usp=sharing  #gid=0"",""фіз особи new!relations_name_uo""),7,FALSE)
,
)
))"),"#N/A")</f>
        <v>#N/A</v>
      </c>
      <c r="J3862" s="7" t="s">
        <v>21</v>
      </c>
    </row>
    <row r="3863" spans="1:10" ht="13.2">
      <c r="A3863" s="7">
        <v>3862</v>
      </c>
      <c r="B3863" s="7">
        <v>1</v>
      </c>
      <c r="C3863" s="7" t="s">
        <v>10</v>
      </c>
      <c r="D3863" s="7">
        <v>2382</v>
      </c>
      <c r="E3863" s="7" t="s">
        <v>98</v>
      </c>
      <c r="F3863" s="8" t="str">
        <f ca="1">IFERROR(__xludf.DUMMYFUNCTION("IF
(
C3864=""фізична особа""
,
VLOOKUP(D3864,IMPORTRANGE(""https://docs.google.com/spreadsheets/d/14Bd19lYaqBhU8_DElYkX7l4wRkHqqCUFNJY4AfY3kHU/edit?usp=sharing  #gid=0"",""фіз особи new!relations_name""),6,FALSE)
,
(IF
(
C3864=""юридична особа""
,
VLOOKUP"&amp;"(D3864,IMPORTRANGE(""https://docs.google.com/spreadsheets/d/14Bd19lYaqBhU8_DElYkX7l4wRkHqqCUFNJY4AfY3kHU/edit?usp=sharing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G3863" s="7" t="s">
        <v>10</v>
      </c>
      <c r="H3863" s="7">
        <v>0</v>
      </c>
      <c r="I3863" s="8" t="str">
        <f ca="1">IFERROR(__xludf.DUMMYFUNCTION("IF
(
G3864=""фізична особа""
,
VLOOKUP(H3864,IMPORTRANGE(""https://docs.google.com/spreadsheets/d/14Bd19lYaqBhU8_DElYkX7l4wRkHqqCUFNJY4AfY3kHU/edit?usp=sharing  #gid=0"",""фіз особи new!relations_name""),6,FALSE)
,
(IF
(
G3864=""юридична особа""
,
VLOOKUP"&amp;"(H3864,IMPORTRANGE(""https://docs.google.com/spreadsheets/d/14Bd19lYaqBhU8_DElYkX7l4wRkHqqCUFNJY4AfY3kHU/edit?usp=sharing  #gid=0"",""фіз особи new!relations_name_uo""),7,FALSE)
,
)
))"),"#N/A")</f>
        <v>#N/A</v>
      </c>
      <c r="J3863" s="7" t="s">
        <v>15</v>
      </c>
    </row>
    <row r="3864" spans="1:10" ht="13.2">
      <c r="A3864" s="7">
        <v>3863</v>
      </c>
      <c r="B3864" s="7">
        <v>1</v>
      </c>
      <c r="C3864" s="7" t="s">
        <v>10</v>
      </c>
      <c r="D3864" s="7">
        <v>2395</v>
      </c>
      <c r="E3864" s="7" t="s">
        <v>18</v>
      </c>
      <c r="F3864" s="8" t="str">
        <f ca="1">IFERROR(__xludf.DUMMYFUNCTION("IF
(
C3865=""фізична особа""
,
VLOOKUP(D3865,IMPORTRANGE(""https://docs.google.com/spreadsheets/d/14Bd19lYaqBhU8_DElYkX7l4wRkHqqCUFNJY4AfY3kHU/edit?usp=sharing  #gid=0"",""фіз особи new!relations_name""),6,FALSE)
,
(IF
(
C3865=""юридична особа""
,
VLOOKUP"&amp;"(D3865,IMPORTRANGE(""https://docs.google.com/spreadsheets/d/14Bd19lYaqBhU8_DElYkX7l4wRkHqqCUFNJY4AfY3kHU/edit?usp=sharing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4" s="7" t="s">
        <v>10</v>
      </c>
      <c r="H3864" s="7">
        <v>0</v>
      </c>
      <c r="I3864" s="8" t="str">
        <f ca="1">IFERROR(__xludf.DUMMYFUNCTION("IF
(
G3865=""фізична особа""
,
VLOOKUP(H3865,IMPORTRANGE(""https://docs.google.com/spreadsheets/d/14Bd19lYaqBhU8_DElYkX7l4wRkHqqCUFNJY4AfY3kHU/edit?usp=sharing  #gid=0"",""фіз особи new!relations_name""),6,FALSE)
,
(IF
(
G3865=""юридична особа""
,
VLOOKUP"&amp;"(H3865,IMPORTRANGE(""https://docs.google.com/spreadsheets/d/14Bd19lYaqBhU8_DElYkX7l4wRkHqqCUFNJY4AfY3kHU/edit?usp=sharing  #gid=0"",""фіз особи new!relations_name_uo""),7,FALSE)
,
)
))"),"#N/A")</f>
        <v>#N/A</v>
      </c>
      <c r="J3864" s="7" t="s">
        <v>18</v>
      </c>
    </row>
    <row r="3865" spans="1:10" ht="13.2">
      <c r="A3865" s="7">
        <v>3864</v>
      </c>
      <c r="B3865" s="7">
        <v>1</v>
      </c>
      <c r="C3865" s="7" t="s">
        <v>10</v>
      </c>
      <c r="D3865" s="7">
        <v>2395</v>
      </c>
      <c r="E3865" s="7" t="s">
        <v>12</v>
      </c>
      <c r="F3865" s="8" t="str">
        <f ca="1">IFERROR(__xludf.DUMMYFUNCTION("IF
(
C3866=""фізична особа""
,
VLOOKUP(D3866,IMPORTRANGE(""https://docs.google.com/spreadsheets/d/14Bd19lYaqBhU8_DElYkX7l4wRkHqqCUFNJY4AfY3kHU/edit?usp=sharing  #gid=0"",""фіз особи new!relations_name""),6,FALSE)
,
(IF
(
C3866=""юридична особа""
,
VLOOKUP"&amp;"(D3866,IMPORTRANGE(""https://docs.google.com/spreadsheets/d/14Bd19lYaqBhU8_DElYkX7l4wRkHqqCUFNJY4AfY3kHU/edit?usp=sharing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5" s="7" t="s">
        <v>10</v>
      </c>
      <c r="H3865" s="7">
        <v>23480</v>
      </c>
      <c r="I3865" s="8" t="str">
        <f ca="1">IFERROR(__xludf.DUMMYFUNCTION("IF
(
G3866=""фізична особа""
,
VLOOKUP(H3866,IMPORTRANGE(""https://docs.google.com/spreadsheets/d/14Bd19lYaqBhU8_DElYkX7l4wRkHqqCUFNJY4AfY3kHU/edit?usp=sharing  #gid=0"",""фіз особи new!relations_name""),6,FALSE)
,
(IF
(
G3866=""юридична особа""
,
VLOOKUP"&amp;"(H3866,IMPORTRANGE(""https://docs.google.com/spreadsheets/d/14Bd19lYaqBhU8_DElYkX7l4wRkHqqCUFNJY4AfY3kHU/edit?usp=sharing  #gid=0"",""фіз особи new!relations_name_uo""),7,FALSE)
,
)
))"),"ЧЕКУНКОВА Аліна Олексіївна")</f>
        <v>ЧЕКУНКОВА Аліна Олексіївна</v>
      </c>
      <c r="J3865" s="7" t="s">
        <v>13</v>
      </c>
    </row>
    <row r="3866" spans="1:10" ht="13.2">
      <c r="A3866" s="7">
        <v>3865</v>
      </c>
      <c r="B3866" s="7">
        <v>1</v>
      </c>
      <c r="C3866" s="7" t="s">
        <v>10</v>
      </c>
      <c r="D3866" s="7">
        <v>2395</v>
      </c>
      <c r="E3866" s="7" t="s">
        <v>14</v>
      </c>
      <c r="F3866" s="8" t="str">
        <f ca="1">IFERROR(__xludf.DUMMYFUNCTION("IF
(
C3867=""фізична особа""
,
VLOOKUP(D3867,IMPORTRANGE(""https://docs.google.com/spreadsheets/d/14Bd19lYaqBhU8_DElYkX7l4wRkHqqCUFNJY4AfY3kHU/edit?usp=sharing  #gid=0"",""фіз особи new!relations_name""),6,FALSE)
,
(IF
(
C3867=""юридична особа""
,
VLOOKUP"&amp;"(D3867,IMPORTRANGE(""https://docs.google.com/spreadsheets/d/14Bd19lYaqBhU8_DElYkX7l4wRkHqqCUFNJY4AfY3kHU/edit?usp=sharing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6" s="7" t="s">
        <v>10</v>
      </c>
      <c r="H3866" s="7">
        <v>15574</v>
      </c>
      <c r="I3866" s="8" t="str">
        <f ca="1">IFERROR(__xludf.DUMMYFUNCTION("IF
(
G3867=""фізична особа""
,
VLOOKUP(H3867,IMPORTRANGE(""https://docs.google.com/spreadsheets/d/14Bd19lYaqBhU8_DElYkX7l4wRkHqqCUFNJY4AfY3kHU/edit?usp=sharing  #gid=0"",""фіз особи new!relations_name""),6,FALSE)
,
(IF
(
G3867=""юридична особа""
,
VLOOKUP"&amp;"(H3867,IMPORTRANGE(""https://docs.google.com/spreadsheets/d/14Bd19lYaqBhU8_DElYkX7l4wRkHqqCUFNJY4AfY3kHU/edit?usp=sharing  #gid=0"",""фіз особи new!relations_name_uo""),7,FALSE)
,
)
))"),"ЧЕКУНКОВА Ольга Валентинівна")</f>
        <v>ЧЕКУНКОВА Ольга Валентинівна</v>
      </c>
      <c r="J3866" s="7" t="s">
        <v>15</v>
      </c>
    </row>
    <row r="3867" spans="1:10" ht="13.2">
      <c r="A3867" s="7">
        <v>3866</v>
      </c>
      <c r="B3867" s="7">
        <v>1</v>
      </c>
      <c r="C3867" s="7" t="s">
        <v>10</v>
      </c>
      <c r="D3867" s="7">
        <v>2395</v>
      </c>
      <c r="E3867" s="7" t="s">
        <v>17</v>
      </c>
      <c r="F3867" s="8" t="str">
        <f ca="1">IFERROR(__xludf.DUMMYFUNCTION("IF
(
C3868=""фізична особа""
,
VLOOKUP(D3868,IMPORTRANGE(""https://docs.google.com/spreadsheets/d/14Bd19lYaqBhU8_DElYkX7l4wRkHqqCUFNJY4AfY3kHU/edit?usp=sharing  #gid=0"",""фіз особи new!relations_name""),6,FALSE)
,
(IF
(
C3868=""юридична особа""
,
VLOOKUP"&amp;"(D3868,IMPORTRANGE(""https://docs.google.com/spreadsheets/d/14Bd19lYaqBhU8_DElYkX7l4wRkHqqCUFNJY4AfY3kHU/edit?usp=sharing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7" s="7" t="s">
        <v>10</v>
      </c>
      <c r="H3867" s="7">
        <v>0</v>
      </c>
      <c r="I3867" s="8" t="str">
        <f ca="1">IFERROR(__xludf.DUMMYFUNCTION("IF
(
G3868=""фізична особа""
,
VLOOKUP(H3868,IMPORTRANGE(""https://docs.google.com/spreadsheets/d/14Bd19lYaqBhU8_DElYkX7l4wRkHqqCUFNJY4AfY3kHU/edit?usp=sharing  #gid=0"",""фіз особи new!relations_name""),6,FALSE)
,
(IF
(
G3868=""юридична особа""
,
VLOOKUP"&amp;"(H3868,IMPORTRANGE(""https://docs.google.com/spreadsheets/d/14Bd19lYaqBhU8_DElYkX7l4wRkHqqCUFNJY4AfY3kHU/edit?usp=sharing  #gid=0"",""фіз особи new!relations_name_uo""),7,FALSE)
,
)
))"),"#N/A")</f>
        <v>#N/A</v>
      </c>
      <c r="J3867" s="7" t="s">
        <v>21</v>
      </c>
    </row>
    <row r="3868" spans="1:10" ht="13.2">
      <c r="A3868" s="7">
        <v>3867</v>
      </c>
      <c r="B3868" s="7">
        <v>1</v>
      </c>
      <c r="C3868" s="7" t="s">
        <v>10</v>
      </c>
      <c r="D3868" s="7">
        <v>2395</v>
      </c>
      <c r="E3868" s="7" t="s">
        <v>17</v>
      </c>
      <c r="F3868" s="8" t="str">
        <f ca="1">IFERROR(__xludf.DUMMYFUNCTION("IF
(
C3869=""фізична особа""
,
VLOOKUP(D3869,IMPORTRANGE(""https://docs.google.com/spreadsheets/d/14Bd19lYaqBhU8_DElYkX7l4wRkHqqCUFNJY4AfY3kHU/edit?usp=sharing  #gid=0"",""фіз особи new!relations_name""),6,FALSE)
,
(IF
(
C3869=""юридична особа""
,
VLOOKUP"&amp;"(D3869,IMPORTRANGE(""https://docs.google.com/spreadsheets/d/14Bd19lYaqBhU8_DElYkX7l4wRkHqqCUFNJY4AfY3kHU/edit?usp=sharing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8" s="7" t="s">
        <v>10</v>
      </c>
      <c r="H3868" s="7">
        <v>0</v>
      </c>
      <c r="I3868" s="8" t="str">
        <f ca="1">IFERROR(__xludf.DUMMYFUNCTION("IF
(
G3869=""фізична особа""
,
VLOOKUP(H3869,IMPORTRANGE(""https://docs.google.com/spreadsheets/d/14Bd19lYaqBhU8_DElYkX7l4wRkHqqCUFNJY4AfY3kHU/edit?usp=sharing  #gid=0"",""фіз особи new!relations_name""),6,FALSE)
,
(IF
(
G3869=""юридична особа""
,
VLOOKUP"&amp;"(H3869,IMPORTRANGE(""https://docs.google.com/spreadsheets/d/14Bd19lYaqBhU8_DElYkX7l4wRkHqqCUFNJY4AfY3kHU/edit?usp=sharing  #gid=0"",""фіз особи new!relations_name_uo""),7,FALSE)
,
)
))"),"#N/A")</f>
        <v>#N/A</v>
      </c>
      <c r="J3868" s="7" t="s">
        <v>12</v>
      </c>
    </row>
    <row r="3869" spans="1:10" ht="13.2">
      <c r="A3869" s="7">
        <v>3868</v>
      </c>
      <c r="B3869" s="7">
        <v>1</v>
      </c>
      <c r="C3869" s="7" t="s">
        <v>10</v>
      </c>
      <c r="D3869" s="7">
        <v>2395</v>
      </c>
      <c r="E3869" s="7" t="s">
        <v>12</v>
      </c>
      <c r="F3869" s="8" t="str">
        <f ca="1">IFERROR(__xludf.DUMMYFUNCTION("IF
(
C3870=""фізична особа""
,
VLOOKUP(D3870,IMPORTRANGE(""https://docs.google.com/spreadsheets/d/14Bd19lYaqBhU8_DElYkX7l4wRkHqqCUFNJY4AfY3kHU/edit?usp=sharing  #gid=0"",""фіз особи new!relations_name""),6,FALSE)
,
(IF
(
C3870=""юридична особа""
,
VLOOKUP"&amp;"(D3870,IMPORTRANGE(""https://docs.google.com/spreadsheets/d/14Bd19lYaqBhU8_DElYkX7l4wRkHqqCUFNJY4AfY3kHU/edit?usp=sharing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G3869" s="7" t="s">
        <v>10</v>
      </c>
      <c r="H3869" s="7">
        <v>23481</v>
      </c>
      <c r="I3869" s="8" t="str">
        <f ca="1">IFERROR(__xludf.DUMMYFUNCTION("IF
(
G3870=""фізична особа""
,
VLOOKUP(H3870,IMPORTRANGE(""https://docs.google.com/spreadsheets/d/14Bd19lYaqBhU8_DElYkX7l4wRkHqqCUFNJY4AfY3kHU/edit?usp=sharing  #gid=0"",""фіз особи new!relations_name""),6,FALSE)
,
(IF
(
G3870=""юридична особа""
,
VLOOKUP"&amp;"(H3870,IMPORTRANGE(""https://docs.google.com/spreadsheets/d/14Bd19lYaqBhU8_DElYkX7l4wRkHqqCUFNJY4AfY3kHU/edit?usp=sharing  #gid=0"",""фіз особи new!relations_name_uo""),7,FALSE)
,
)
))"),"ЧЕКУНКОВА Евеліна Олексіївна")</f>
        <v>ЧЕКУНКОВА Евеліна Олексіївна</v>
      </c>
      <c r="J3869" s="7" t="s">
        <v>13</v>
      </c>
    </row>
    <row r="3870" spans="1:10" ht="13.2">
      <c r="A3870" s="7">
        <v>3869</v>
      </c>
      <c r="B3870" s="7">
        <v>1</v>
      </c>
      <c r="C3870" s="7" t="s">
        <v>10</v>
      </c>
      <c r="D3870" s="7">
        <v>2404</v>
      </c>
      <c r="E3870" s="7" t="s">
        <v>14</v>
      </c>
      <c r="F3870" s="8" t="str">
        <f ca="1">IFERROR(__xludf.DUMMYFUNCTION("IF
(
C3871=""фізична особа""
,
VLOOKUP(D3871,IMPORTRANGE(""https://docs.google.com/spreadsheets/d/14Bd19lYaqBhU8_DElYkX7l4wRkHqqCUFNJY4AfY3kHU/edit?usp=sharing  #gid=0"",""фіз особи new!relations_name""),6,FALSE)
,
(IF
(
C3871=""юридична особа""
,
VLOOKUP"&amp;"(D3871,IMPORTRANGE(""https://docs.google.com/spreadsheets/d/14Bd19lYaqBhU8_DElYkX7l4wRkHqqCUFNJY4AfY3kHU/edit?usp=sharing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G3870" s="7" t="s">
        <v>10</v>
      </c>
      <c r="H3870" s="7">
        <v>0</v>
      </c>
      <c r="I3870" s="8" t="str">
        <f ca="1">IFERROR(__xludf.DUMMYFUNCTION("IF
(
G3871=""фізична особа""
,
VLOOKUP(H3871,IMPORTRANGE(""https://docs.google.com/spreadsheets/d/14Bd19lYaqBhU8_DElYkX7l4wRkHqqCUFNJY4AfY3kHU/edit?usp=sharing  #gid=0"",""фіз особи new!relations_name""),6,FALSE)
,
(IF
(
G3871=""юридична особа""
,
VLOOKUP"&amp;"(H3871,IMPORTRANGE(""https://docs.google.com/spreadsheets/d/14Bd19lYaqBhU8_DElYkX7l4wRkHqqCUFNJY4AfY3kHU/edit?usp=sharing  #gid=0"",""фіз особи new!relations_name_uo""),7,FALSE)
,
)
))"),"#N/A")</f>
        <v>#N/A</v>
      </c>
      <c r="J3870" s="7" t="s">
        <v>15</v>
      </c>
    </row>
    <row r="3871" spans="1:10" ht="13.2">
      <c r="A3871" s="7">
        <v>3870</v>
      </c>
      <c r="B3871" s="7">
        <v>1</v>
      </c>
      <c r="C3871" s="7" t="s">
        <v>10</v>
      </c>
      <c r="D3871" s="7">
        <v>2404</v>
      </c>
      <c r="E3871" s="7" t="s">
        <v>17</v>
      </c>
      <c r="F3871" s="8" t="str">
        <f ca="1">IFERROR(__xludf.DUMMYFUNCTION("IF
(
C3872=""фізична особа""
,
VLOOKUP(D3872,IMPORTRANGE(""https://docs.google.com/spreadsheets/d/14Bd19lYaqBhU8_DElYkX7l4wRkHqqCUFNJY4AfY3kHU/edit?usp=sharing  #gid=0"",""фіз особи new!relations_name""),6,FALSE)
,
(IF
(
C3872=""юридична особа""
,
VLOOKUP"&amp;"(D3872,IMPORTRANGE(""https://docs.google.com/spreadsheets/d/14Bd19lYaqBhU8_DElYkX7l4wRkHqqCUFNJY4AfY3kHU/edit?usp=sharing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G3871" s="7" t="s">
        <v>10</v>
      </c>
      <c r="H3871" s="7">
        <v>15576</v>
      </c>
      <c r="I3871" s="8" t="str">
        <f ca="1">IFERROR(__xludf.DUMMYFUNCTION("IF
(
G3872=""фізична особа""
,
VLOOKUP(H3872,IMPORTRANGE(""https://docs.google.com/spreadsheets/d/14Bd19lYaqBhU8_DElYkX7l4wRkHqqCUFNJY4AfY3kHU/edit?usp=sharing  #gid=0"",""фіз особи new!relations_name""),6,FALSE)
,
(IF
(
G3872=""юридична особа""
,
VLOOKUP"&amp;"(H3872,IMPORTRANGE(""https://docs.google.com/spreadsheets/d/14Bd19lYaqBhU8_DElYkX7l4wRkHqqCUFNJY4AfY3kHU/edit?usp=sharing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J3871" s="7" t="s">
        <v>21</v>
      </c>
    </row>
    <row r="3872" spans="1:10" ht="13.2">
      <c r="A3872" s="7">
        <v>3871</v>
      </c>
      <c r="B3872" s="7">
        <v>1</v>
      </c>
      <c r="C3872" s="7" t="s">
        <v>10</v>
      </c>
      <c r="D3872" s="7">
        <v>2404</v>
      </c>
      <c r="E3872" s="7" t="s">
        <v>12</v>
      </c>
      <c r="F3872" s="8" t="str">
        <f ca="1">IFERROR(__xludf.DUMMYFUNCTION("IF
(
C3873=""фізична особа""
,
VLOOKUP(D3873,IMPORTRANGE(""https://docs.google.com/spreadsheets/d/14Bd19lYaqBhU8_DElYkX7l4wRkHqqCUFNJY4AfY3kHU/edit?usp=sharing  #gid=0"",""фіз особи new!relations_name""),6,FALSE)
,
(IF
(
C3873=""юридична особа""
,
VLOOKUP"&amp;"(D3873,IMPORTRANGE(""https://docs.google.com/spreadsheets/d/14Bd19lYaqBhU8_DElYkX7l4wRkHqqCUFNJY4AfY3kHU/edit?usp=sharing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G3872" s="7" t="s">
        <v>10</v>
      </c>
      <c r="H3872" s="7">
        <v>23482</v>
      </c>
      <c r="I3872" s="8" t="str">
        <f ca="1">IFERROR(__xludf.DUMMYFUNCTION("IF
(
G3873=""фізична особа""
,
VLOOKUP(H3873,IMPORTRANGE(""https://docs.google.com/spreadsheets/d/14Bd19lYaqBhU8_DElYkX7l4wRkHqqCUFNJY4AfY3kHU/edit?usp=sharing  #gid=0"",""фіз особи new!relations_name""),6,FALSE)
,
(IF
(
G3873=""юридична особа""
,
VLOOKUP"&amp;"(H3873,IMPORTRANGE(""https://docs.google.com/spreadsheets/d/14Bd19lYaqBhU8_DElYkX7l4wRkHqqCUFNJY4AfY3kHU/edit?usp=sharing  #gid=0"",""фіз особи new!relations_name_uo""),7,FALSE)
,
)
))"),"МАНТУРОВА Леонела Денисівна")</f>
        <v>МАНТУРОВА Леонела Денисівна</v>
      </c>
      <c r="J3872" s="7" t="s">
        <v>13</v>
      </c>
    </row>
    <row r="3873" spans="1:10" ht="13.2">
      <c r="A3873" s="7">
        <v>3872</v>
      </c>
      <c r="B3873" s="7">
        <v>1</v>
      </c>
      <c r="C3873" s="7" t="s">
        <v>10</v>
      </c>
      <c r="D3873" s="7">
        <v>2404</v>
      </c>
      <c r="E3873" s="7" t="s">
        <v>12</v>
      </c>
      <c r="F3873" s="8" t="str">
        <f ca="1">IFERROR(__xludf.DUMMYFUNCTION("IF
(
C3874=""фізична особа""
,
VLOOKUP(D3874,IMPORTRANGE(""https://docs.google.com/spreadsheets/d/14Bd19lYaqBhU8_DElYkX7l4wRkHqqCUFNJY4AfY3kHU/edit?usp=sharing  #gid=0"",""фіз особи new!relations_name""),6,FALSE)
,
(IF
(
C3874=""юридична особа""
,
VLOOKUP"&amp;"(D3874,IMPORTRANGE(""https://docs.google.com/spreadsheets/d/14Bd19lYaqBhU8_DElYkX7l4wRkHqqCUFNJY4AfY3kHU/edit?usp=sharing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G3873" s="7" t="s">
        <v>10</v>
      </c>
      <c r="H3873" s="7">
        <v>23483</v>
      </c>
      <c r="I3873" s="8" t="str">
        <f ca="1">IFERROR(__xludf.DUMMYFUNCTION("IF
(
G3874=""фізична особа""
,
VLOOKUP(H3874,IMPORTRANGE(""https://docs.google.com/spreadsheets/d/14Bd19lYaqBhU8_DElYkX7l4wRkHqqCUFNJY4AfY3kHU/edit?usp=sharing  #gid=0"",""фіз особи new!relations_name""),6,FALSE)
,
(IF
(
G3874=""юридична особа""
,
VLOOKUP"&amp;"(H3874,IMPORTRANGE(""https://docs.google.com/spreadsheets/d/14Bd19lYaqBhU8_DElYkX7l4wRkHqqCUFNJY4AfY3kHU/edit?usp=sharing  #gid=0"",""фіз особи new!relations_name_uo""),7,FALSE)
,
)
))"),"МАНТУРОВ Євгеній Денисович")</f>
        <v>МАНТУРОВ Євгеній Денисович</v>
      </c>
      <c r="J3873" s="7" t="s">
        <v>17</v>
      </c>
    </row>
    <row r="3874" spans="1:10" ht="13.2">
      <c r="A3874" s="7">
        <v>3873</v>
      </c>
      <c r="B3874" s="7">
        <v>1</v>
      </c>
      <c r="C3874" s="7" t="s">
        <v>10</v>
      </c>
      <c r="D3874" s="7">
        <v>2417</v>
      </c>
      <c r="E3874" s="7" t="s">
        <v>12</v>
      </c>
      <c r="F3874" s="8" t="str">
        <f ca="1">IFERROR(__xludf.DUMMYFUNCTION("IF
(
C3875=""фізична особа""
,
VLOOKUP(D3875,IMPORTRANGE(""https://docs.google.com/spreadsheets/d/14Bd19lYaqBhU8_DElYkX7l4wRkHqqCUFNJY4AfY3kHU/edit?usp=sharing  #gid=0"",""фіз особи new!relations_name""),6,FALSE)
,
(IF
(
C3875=""юридична особа""
,
VLOOKUP"&amp;"(D3875,IMPORTRANGE(""https://docs.google.com/spreadsheets/d/14Bd19lYaqBhU8_DElYkX7l4wRkHqqCUFNJY4AfY3kHU/edit?usp=sharing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G3874" s="7" t="s">
        <v>10</v>
      </c>
      <c r="H3874" s="7">
        <v>0</v>
      </c>
      <c r="I3874" s="8" t="str">
        <f ca="1">IFERROR(__xludf.DUMMYFUNCTION("IF
(
G3875=""фізична особа""
,
VLOOKUP(H3875,IMPORTRANGE(""https://docs.google.com/spreadsheets/d/14Bd19lYaqBhU8_DElYkX7l4wRkHqqCUFNJY4AfY3kHU/edit?usp=sharing  #gid=0"",""фіз особи new!relations_name""),6,FALSE)
,
(IF
(
G3875=""юридична особа""
,
VLOOKUP"&amp;"(H3875,IMPORTRANGE(""https://docs.google.com/spreadsheets/d/14Bd19lYaqBhU8_DElYkX7l4wRkHqqCUFNJY4AfY3kHU/edit?usp=sharing  #gid=0"",""фіз особи new!relations_name_uo""),7,FALSE)
,
)
))"),"#N/A")</f>
        <v>#N/A</v>
      </c>
      <c r="J3874" s="7" t="s">
        <v>17</v>
      </c>
    </row>
    <row r="3875" spans="1:10" ht="13.2">
      <c r="A3875" s="7">
        <v>3874</v>
      </c>
      <c r="B3875" s="7">
        <v>1</v>
      </c>
      <c r="C3875" s="7" t="s">
        <v>10</v>
      </c>
      <c r="D3875" s="7">
        <v>2418</v>
      </c>
      <c r="E3875" s="7" t="s">
        <v>17</v>
      </c>
      <c r="F3875" s="8" t="str">
        <f ca="1">IFERROR(__xludf.DUMMYFUNCTION("IF
(
C3876=""фізична особа""
,
VLOOKUP(D3876,IMPORTRANGE(""https://docs.google.com/spreadsheets/d/14Bd19lYaqBhU8_DElYkX7l4wRkHqqCUFNJY4AfY3kHU/edit?usp=sharing  #gid=0"",""фіз особи new!relations_name""),6,FALSE)
,
(IF
(
C3876=""юридична особа""
,
VLOOKUP"&amp;"(D3876,IMPORTRANGE(""https://docs.google.com/spreadsheets/d/14Bd19lYaqBhU8_DElYkX7l4wRkHqqCUFNJY4AfY3kHU/edit?usp=sharing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G3875" s="7" t="s">
        <v>10</v>
      </c>
      <c r="H3875" s="7">
        <v>4805</v>
      </c>
      <c r="I3875" s="8" t="str">
        <f ca="1">IFERROR(__xludf.DUMMYFUNCTION("IF
(
G3876=""фізична особа""
,
VLOOKUP(H3876,IMPORTRANGE(""https://docs.google.com/spreadsheets/d/14Bd19lYaqBhU8_DElYkX7l4wRkHqqCUFNJY4AfY3kHU/edit?usp=sharing  #gid=0"",""фіз особи new!relations_name""),6,FALSE)
,
(IF
(
G3876=""юридична особа""
,
VLOOKUP"&amp;"(H3876,IMPORTRANGE(""https://docs.google.com/spreadsheets/d/14Bd19lYaqBhU8_DElYkX7l4wRkHqqCUFNJY4AfY3kHU/edit?usp=sharing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J3875" s="7" t="s">
        <v>12</v>
      </c>
    </row>
    <row r="3876" spans="1:10" ht="13.2">
      <c r="A3876" s="7">
        <v>3875</v>
      </c>
      <c r="B3876" s="7">
        <v>1</v>
      </c>
      <c r="C3876" s="7" t="s">
        <v>10</v>
      </c>
      <c r="D3876" s="7">
        <v>2418</v>
      </c>
      <c r="E3876" s="7" t="s">
        <v>18</v>
      </c>
      <c r="F3876" s="8" t="str">
        <f ca="1">IFERROR(__xludf.DUMMYFUNCTION("IF
(
C3877=""фізична особа""
,
VLOOKUP(D3877,IMPORTRANGE(""https://docs.google.com/spreadsheets/d/14Bd19lYaqBhU8_DElYkX7l4wRkHqqCUFNJY4AfY3kHU/edit?usp=sharing  #gid=0"",""фіз особи new!relations_name""),6,FALSE)
,
(IF
(
C3877=""юридична особа""
,
VLOOKUP"&amp;"(D3877,IMPORTRANGE(""https://docs.google.com/spreadsheets/d/14Bd19lYaqBhU8_DElYkX7l4wRkHqqCUFNJY4AfY3kHU/edit?usp=sharing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G3876" s="7" t="s">
        <v>10</v>
      </c>
      <c r="H3876" s="7">
        <v>4806</v>
      </c>
      <c r="I3876" s="8" t="str">
        <f ca="1">IFERROR(__xludf.DUMMYFUNCTION("IF
(
G3877=""фізична особа""
,
VLOOKUP(H3877,IMPORTRANGE(""https://docs.google.com/spreadsheets/d/14Bd19lYaqBhU8_DElYkX7l4wRkHqqCUFNJY4AfY3kHU/edit?usp=sharing  #gid=0"",""фіз особи new!relations_name""),6,FALSE)
,
(IF
(
G3877=""юридична особа""
,
VLOOKUP"&amp;"(H3877,IMPORTRANGE(""https://docs.google.com/spreadsheets/d/14Bd19lYaqBhU8_DElYkX7l4wRkHqqCUFNJY4AfY3kHU/edit?usp=sharing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J3876" s="7" t="s">
        <v>18</v>
      </c>
    </row>
    <row r="3877" spans="1:10" ht="13.2">
      <c r="A3877" s="7">
        <v>3876</v>
      </c>
      <c r="B3877" s="7">
        <v>1</v>
      </c>
      <c r="C3877" s="7" t="s">
        <v>10</v>
      </c>
      <c r="D3877" s="7">
        <v>2418</v>
      </c>
      <c r="E3877" s="7" t="s">
        <v>17</v>
      </c>
      <c r="F3877" s="8" t="str">
        <f ca="1">IFERROR(__xludf.DUMMYFUNCTION("IF
(
C3878=""фізична особа""
,
VLOOKUP(D3878,IMPORTRANGE(""https://docs.google.com/spreadsheets/d/14Bd19lYaqBhU8_DElYkX7l4wRkHqqCUFNJY4AfY3kHU/edit?usp=sharing  #gid=0"",""фіз особи new!relations_name""),6,FALSE)
,
(IF
(
C3878=""юридична особа""
,
VLOOKUP"&amp;"(D3878,IMPORTRANGE(""https://docs.google.com/spreadsheets/d/14Bd19lYaqBhU8_DElYkX7l4wRkHqqCUFNJY4AfY3kHU/edit?usp=sharing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G3877" s="7" t="s">
        <v>10</v>
      </c>
      <c r="H3877" s="7">
        <v>4807</v>
      </c>
      <c r="I3877" s="8" t="str">
        <f ca="1">IFERROR(__xludf.DUMMYFUNCTION("IF
(
G3878=""фізична особа""
,
VLOOKUP(H3878,IMPORTRANGE(""https://docs.google.com/spreadsheets/d/14Bd19lYaqBhU8_DElYkX7l4wRkHqqCUFNJY4AfY3kHU/edit?usp=sharing  #gid=0"",""фіз особи new!relations_name""),6,FALSE)
,
(IF
(
G3878=""юридична особа""
,
VLOOKUP"&amp;"(H3878,IMPORTRANGE(""https://docs.google.com/spreadsheets/d/14Bd19lYaqBhU8_DElYkX7l4wRkHqqCUFNJY4AfY3kHU/edit?usp=sharing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J3877" s="7" t="s">
        <v>21</v>
      </c>
    </row>
    <row r="3878" spans="1:10" ht="13.2">
      <c r="A3878" s="7">
        <v>3877</v>
      </c>
      <c r="B3878" s="7">
        <v>1</v>
      </c>
      <c r="C3878" s="7" t="s">
        <v>10</v>
      </c>
      <c r="D3878" s="7">
        <v>2454</v>
      </c>
      <c r="E3878" s="7" t="s">
        <v>17</v>
      </c>
      <c r="F3878" s="8" t="str">
        <f ca="1">IFERROR(__xludf.DUMMYFUNCTION("IF
(
C3879=""фізична особа""
,
VLOOKUP(D3879,IMPORTRANGE(""https://docs.google.com/spreadsheets/d/14Bd19lYaqBhU8_DElYkX7l4wRkHqqCUFNJY4AfY3kHU/edit?usp=sharing  #gid=0"",""фіз особи new!relations_name""),6,FALSE)
,
(IF
(
C3879=""юридична особа""
,
VLOOKUP"&amp;"(D3879,IMPORTRANGE(""https://docs.google.com/spreadsheets/d/14Bd19lYaqBhU8_DElYkX7l4wRkHqqCUFNJY4AfY3kHU/edit?usp=sharing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78" s="7" t="s">
        <v>10</v>
      </c>
      <c r="H3878" s="7">
        <v>0</v>
      </c>
      <c r="I3878" s="8" t="str">
        <f ca="1">IFERROR(__xludf.DUMMYFUNCTION("IF
(
G3879=""фізична особа""
,
VLOOKUP(H3879,IMPORTRANGE(""https://docs.google.com/spreadsheets/d/14Bd19lYaqBhU8_DElYkX7l4wRkHqqCUFNJY4AfY3kHU/edit?usp=sharing  #gid=0"",""фіз особи new!relations_name""),6,FALSE)
,
(IF
(
G3879=""юридична особа""
,
VLOOKUP"&amp;"(H3879,IMPORTRANGE(""https://docs.google.com/spreadsheets/d/14Bd19lYaqBhU8_DElYkX7l4wRkHqqCUFNJY4AfY3kHU/edit?usp=sharing  #gid=0"",""фіз особи new!relations_name_uo""),7,FALSE)
,
)
))"),"#N/A")</f>
        <v>#N/A</v>
      </c>
      <c r="J3878" s="7" t="s">
        <v>12</v>
      </c>
    </row>
    <row r="3879" spans="1:10" ht="13.2">
      <c r="A3879" s="7">
        <v>3878</v>
      </c>
      <c r="B3879" s="7">
        <v>1</v>
      </c>
      <c r="C3879" s="7" t="s">
        <v>10</v>
      </c>
      <c r="D3879" s="7">
        <v>2454</v>
      </c>
      <c r="E3879" s="7" t="s">
        <v>14</v>
      </c>
      <c r="F3879" s="8" t="str">
        <f ca="1">IFERROR(__xludf.DUMMYFUNCTION("IF
(
C3880=""фізична особа""
,
VLOOKUP(D3880,IMPORTRANGE(""https://docs.google.com/spreadsheets/d/14Bd19lYaqBhU8_DElYkX7l4wRkHqqCUFNJY4AfY3kHU/edit?usp=sharing  #gid=0"",""фіз особи new!relations_name""),6,FALSE)
,
(IF
(
C3880=""юридична особа""
,
VLOOKUP"&amp;"(D3880,IMPORTRANGE(""https://docs.google.com/spreadsheets/d/14Bd19lYaqBhU8_DElYkX7l4wRkHqqCUFNJY4AfY3kHU/edit?usp=sharing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79" s="7" t="s">
        <v>10</v>
      </c>
      <c r="H3879" s="7">
        <v>0</v>
      </c>
      <c r="I3879" s="8" t="str">
        <f ca="1">IFERROR(__xludf.DUMMYFUNCTION("IF
(
G3880=""фізична особа""
,
VLOOKUP(H3880,IMPORTRANGE(""https://docs.google.com/spreadsheets/d/14Bd19lYaqBhU8_DElYkX7l4wRkHqqCUFNJY4AfY3kHU/edit?usp=sharing  #gid=0"",""фіз особи new!relations_name""),6,FALSE)
,
(IF
(
G3880=""юридична особа""
,
VLOOKUP"&amp;"(H3880,IMPORTRANGE(""https://docs.google.com/spreadsheets/d/14Bd19lYaqBhU8_DElYkX7l4wRkHqqCUFNJY4AfY3kHU/edit?usp=sharing  #gid=0"",""фіз особи new!relations_name_uo""),7,FALSE)
,
)
))"),"#N/A")</f>
        <v>#N/A</v>
      </c>
      <c r="J3879" s="7" t="s">
        <v>15</v>
      </c>
    </row>
    <row r="3880" spans="1:10" ht="13.2">
      <c r="A3880" s="7">
        <v>3879</v>
      </c>
      <c r="B3880" s="7">
        <v>1</v>
      </c>
      <c r="C3880" s="7" t="s">
        <v>10</v>
      </c>
      <c r="D3880" s="7">
        <v>2454</v>
      </c>
      <c r="E3880" s="7" t="s">
        <v>12</v>
      </c>
      <c r="F3880" s="8" t="str">
        <f ca="1">IFERROR(__xludf.DUMMYFUNCTION("IF
(
C3881=""фізична особа""
,
VLOOKUP(D3881,IMPORTRANGE(""https://docs.google.com/spreadsheets/d/14Bd19lYaqBhU8_DElYkX7l4wRkHqqCUFNJY4AfY3kHU/edit?usp=sharing  #gid=0"",""фіз особи new!relations_name""),6,FALSE)
,
(IF
(
C3881=""юридична особа""
,
VLOOKUP"&amp;"(D3881,IMPORTRANGE(""https://docs.google.com/spreadsheets/d/14Bd19lYaqBhU8_DElYkX7l4wRkHqqCUFNJY4AfY3kHU/edit?usp=sharing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0" s="7" t="s">
        <v>10</v>
      </c>
      <c r="H3880" s="7">
        <v>0</v>
      </c>
      <c r="I3880" s="8" t="str">
        <f ca="1">IFERROR(__xludf.DUMMYFUNCTION("IF
(
G3881=""фізична особа""
,
VLOOKUP(H3881,IMPORTRANGE(""https://docs.google.com/spreadsheets/d/14Bd19lYaqBhU8_DElYkX7l4wRkHqqCUFNJY4AfY3kHU/edit?usp=sharing  #gid=0"",""фіз особи new!relations_name""),6,FALSE)
,
(IF
(
G3881=""юридична особа""
,
VLOOKUP"&amp;"(H3881,IMPORTRANGE(""https://docs.google.com/spreadsheets/d/14Bd19lYaqBhU8_DElYkX7l4wRkHqqCUFNJY4AfY3kHU/edit?usp=sharing  #gid=0"",""фіз особи new!relations_name_uo""),7,FALSE)
,
)
))"),"#N/A")</f>
        <v>#N/A</v>
      </c>
      <c r="J3880" s="7" t="s">
        <v>17</v>
      </c>
    </row>
    <row r="3881" spans="1:10" ht="13.2">
      <c r="A3881" s="7">
        <v>3880</v>
      </c>
      <c r="B3881" s="7">
        <v>1</v>
      </c>
      <c r="C3881" s="7" t="s">
        <v>10</v>
      </c>
      <c r="D3881" s="7">
        <v>2454</v>
      </c>
      <c r="E3881" s="7" t="s">
        <v>12</v>
      </c>
      <c r="F3881" s="8" t="str">
        <f ca="1">IFERROR(__xludf.DUMMYFUNCTION("IF
(
C3882=""фізична особа""
,
VLOOKUP(D3882,IMPORTRANGE(""https://docs.google.com/spreadsheets/d/14Bd19lYaqBhU8_DElYkX7l4wRkHqqCUFNJY4AfY3kHU/edit?usp=sharing  #gid=0"",""фіз особи new!relations_name""),6,FALSE)
,
(IF
(
C3882=""юридична особа""
,
VLOOKUP"&amp;"(D3882,IMPORTRANGE(""https://docs.google.com/spreadsheets/d/14Bd19lYaqBhU8_DElYkX7l4wRkHqqCUFNJY4AfY3kHU/edit?usp=sharing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1" s="7" t="s">
        <v>10</v>
      </c>
      <c r="H3881" s="7">
        <v>0</v>
      </c>
      <c r="I3881" s="8" t="str">
        <f ca="1">IFERROR(__xludf.DUMMYFUNCTION("IF
(
G3882=""фізична особа""
,
VLOOKUP(H3882,IMPORTRANGE(""https://docs.google.com/spreadsheets/d/14Bd19lYaqBhU8_DElYkX7l4wRkHqqCUFNJY4AfY3kHU/edit?usp=sharing  #gid=0"",""фіз особи new!relations_name""),6,FALSE)
,
(IF
(
G3882=""юридична особа""
,
VLOOKUP"&amp;"(H3882,IMPORTRANGE(""https://docs.google.com/spreadsheets/d/14Bd19lYaqBhU8_DElYkX7l4wRkHqqCUFNJY4AfY3kHU/edit?usp=sharing  #gid=0"",""фіз особи new!relations_name_uo""),7,FALSE)
,
)
))"),"#N/A")</f>
        <v>#N/A</v>
      </c>
      <c r="J3881" s="7" t="s">
        <v>17</v>
      </c>
    </row>
    <row r="3882" spans="1:10" ht="13.2">
      <c r="A3882" s="7">
        <v>3881</v>
      </c>
      <c r="B3882" s="7">
        <v>1</v>
      </c>
      <c r="C3882" s="7" t="s">
        <v>10</v>
      </c>
      <c r="D3882" s="7">
        <v>2454</v>
      </c>
      <c r="E3882" s="7" t="s">
        <v>12</v>
      </c>
      <c r="F3882" s="8" t="str">
        <f ca="1">IFERROR(__xludf.DUMMYFUNCTION("IF
(
C3883=""фізична особа""
,
VLOOKUP(D3883,IMPORTRANGE(""https://docs.google.com/spreadsheets/d/14Bd19lYaqBhU8_DElYkX7l4wRkHqqCUFNJY4AfY3kHU/edit?usp=sharing  #gid=0"",""фіз особи new!relations_name""),6,FALSE)
,
(IF
(
C3883=""юридична особа""
,
VLOOKUP"&amp;"(D3883,IMPORTRANGE(""https://docs.google.com/spreadsheets/d/14Bd19lYaqBhU8_DElYkX7l4wRkHqqCUFNJY4AfY3kHU/edit?usp=sharing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2" s="7" t="s">
        <v>10</v>
      </c>
      <c r="H3882" s="7">
        <v>0</v>
      </c>
      <c r="I3882" s="8" t="str">
        <f ca="1">IFERROR(__xludf.DUMMYFUNCTION("IF
(
G3883=""фізична особа""
,
VLOOKUP(H3883,IMPORTRANGE(""https://docs.google.com/spreadsheets/d/14Bd19lYaqBhU8_DElYkX7l4wRkHqqCUFNJY4AfY3kHU/edit?usp=sharing  #gid=0"",""фіз особи new!relations_name""),6,FALSE)
,
(IF
(
G3883=""юридична особа""
,
VLOOKUP"&amp;"(H3883,IMPORTRANGE(""https://docs.google.com/spreadsheets/d/14Bd19lYaqBhU8_DElYkX7l4wRkHqqCUFNJY4AfY3kHU/edit?usp=sharing  #gid=0"",""фіз особи new!relations_name_uo""),7,FALSE)
,
)
))"),"#N/A")</f>
        <v>#N/A</v>
      </c>
      <c r="J3882" s="7" t="s">
        <v>13</v>
      </c>
    </row>
    <row r="3883" spans="1:10" ht="13.2">
      <c r="A3883" s="7">
        <v>3882</v>
      </c>
      <c r="B3883" s="7">
        <v>1</v>
      </c>
      <c r="C3883" s="7" t="s">
        <v>10</v>
      </c>
      <c r="D3883" s="7">
        <v>2454</v>
      </c>
      <c r="E3883" s="7" t="s">
        <v>18</v>
      </c>
      <c r="F3883" s="8" t="str">
        <f ca="1">IFERROR(__xludf.DUMMYFUNCTION("IF
(
C3884=""фізична особа""
,
VLOOKUP(D3884,IMPORTRANGE(""https://docs.google.com/spreadsheets/d/14Bd19lYaqBhU8_DElYkX7l4wRkHqqCUFNJY4AfY3kHU/edit?usp=sharing  #gid=0"",""фіз особи new!relations_name""),6,FALSE)
,
(IF
(
C3884=""юридична особа""
,
VLOOKUP"&amp;"(D3884,IMPORTRANGE(""https://docs.google.com/spreadsheets/d/14Bd19lYaqBhU8_DElYkX7l4wRkHqqCUFNJY4AfY3kHU/edit?usp=sharing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3" s="7" t="s">
        <v>10</v>
      </c>
      <c r="H3883" s="7">
        <v>0</v>
      </c>
      <c r="I3883" s="8" t="str">
        <f ca="1">IFERROR(__xludf.DUMMYFUNCTION("IF
(
G3884=""фізична особа""
,
VLOOKUP(H3884,IMPORTRANGE(""https://docs.google.com/spreadsheets/d/14Bd19lYaqBhU8_DElYkX7l4wRkHqqCUFNJY4AfY3kHU/edit?usp=sharing  #gid=0"",""фіз особи new!relations_name""),6,FALSE)
,
(IF
(
G3884=""юридична особа""
,
VLOOKUP"&amp;"(H3884,IMPORTRANGE(""https://docs.google.com/spreadsheets/d/14Bd19lYaqBhU8_DElYkX7l4wRkHqqCUFNJY4AfY3kHU/edit?usp=sharing  #gid=0"",""фіз особи new!relations_name_uo""),7,FALSE)
,
)
))"),"#N/A")</f>
        <v>#N/A</v>
      </c>
      <c r="J3883" s="7" t="s">
        <v>31</v>
      </c>
    </row>
    <row r="3884" spans="1:10" ht="13.2">
      <c r="A3884" s="7">
        <v>3883</v>
      </c>
      <c r="B3884" s="7">
        <v>1</v>
      </c>
      <c r="C3884" s="7" t="s">
        <v>10</v>
      </c>
      <c r="D3884" s="7">
        <v>2454</v>
      </c>
      <c r="E3884" s="7" t="s">
        <v>18</v>
      </c>
      <c r="F3884" s="8" t="str">
        <f ca="1">IFERROR(__xludf.DUMMYFUNCTION("IF
(
C3885=""фізична особа""
,
VLOOKUP(D3885,IMPORTRANGE(""https://docs.google.com/spreadsheets/d/14Bd19lYaqBhU8_DElYkX7l4wRkHqqCUFNJY4AfY3kHU/edit?usp=sharing  #gid=0"",""фіз особи new!relations_name""),6,FALSE)
,
(IF
(
C3885=""юридична особа""
,
VLOOKUP"&amp;"(D3885,IMPORTRANGE(""https://docs.google.com/spreadsheets/d/14Bd19lYaqBhU8_DElYkX7l4wRkHqqCUFNJY4AfY3kHU/edit?usp=sharing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4" s="7" t="s">
        <v>10</v>
      </c>
      <c r="H3884" s="7">
        <v>0</v>
      </c>
      <c r="I3884" s="8" t="str">
        <f ca="1">IFERROR(__xludf.DUMMYFUNCTION("IF
(
G3885=""фізична особа""
,
VLOOKUP(H3885,IMPORTRANGE(""https://docs.google.com/spreadsheets/d/14Bd19lYaqBhU8_DElYkX7l4wRkHqqCUFNJY4AfY3kHU/edit?usp=sharing  #gid=0"",""фіз особи new!relations_name""),6,FALSE)
,
(IF
(
G3885=""юридична особа""
,
VLOOKUP"&amp;"(H3885,IMPORTRANGE(""https://docs.google.com/spreadsheets/d/14Bd19lYaqBhU8_DElYkX7l4wRkHqqCUFNJY4AfY3kHU/edit?usp=sharing  #gid=0"",""фіз особи new!relations_name_uo""),7,FALSE)
,
)
))"),"#N/A")</f>
        <v>#N/A</v>
      </c>
      <c r="J3884" s="7" t="s">
        <v>31</v>
      </c>
    </row>
    <row r="3885" spans="1:10" ht="13.2">
      <c r="A3885" s="7">
        <v>3884</v>
      </c>
      <c r="B3885" s="7">
        <v>1</v>
      </c>
      <c r="C3885" s="7" t="s">
        <v>10</v>
      </c>
      <c r="D3885" s="7">
        <v>2454</v>
      </c>
      <c r="E3885" s="7" t="s">
        <v>18</v>
      </c>
      <c r="F3885" s="8" t="str">
        <f ca="1">IFERROR(__xludf.DUMMYFUNCTION("IF
(
C3886=""фізична особа""
,
VLOOKUP(D3886,IMPORTRANGE(""https://docs.google.com/spreadsheets/d/14Bd19lYaqBhU8_DElYkX7l4wRkHqqCUFNJY4AfY3kHU/edit?usp=sharing  #gid=0"",""фіз особи new!relations_name""),6,FALSE)
,
(IF
(
C3886=""юридична особа""
,
VLOOKUP"&amp;"(D3886,IMPORTRANGE(""https://docs.google.com/spreadsheets/d/14Bd19lYaqBhU8_DElYkX7l4wRkHqqCUFNJY4AfY3kHU/edit?usp=sharing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5" s="7" t="s">
        <v>10</v>
      </c>
      <c r="H3885" s="7">
        <v>0</v>
      </c>
      <c r="I3885" s="8" t="str">
        <f ca="1">IFERROR(__xludf.DUMMYFUNCTION("IF
(
G3886=""фізична особа""
,
VLOOKUP(H3886,IMPORTRANGE(""https://docs.google.com/spreadsheets/d/14Bd19lYaqBhU8_DElYkX7l4wRkHqqCUFNJY4AfY3kHU/edit?usp=sharing  #gid=0"",""фіз особи new!relations_name""),6,FALSE)
,
(IF
(
G3886=""юридична особа""
,
VLOOKUP"&amp;"(H3886,IMPORTRANGE(""https://docs.google.com/spreadsheets/d/14Bd19lYaqBhU8_DElYkX7l4wRkHqqCUFNJY4AfY3kHU/edit?usp=sharing  #gid=0"",""фіз особи new!relations_name_uo""),7,FALSE)
,
)
))"),"#N/A")</f>
        <v>#N/A</v>
      </c>
      <c r="J3885" s="7" t="s">
        <v>18</v>
      </c>
    </row>
    <row r="3886" spans="1:10" ht="13.2">
      <c r="A3886" s="7">
        <v>3885</v>
      </c>
      <c r="B3886" s="7">
        <v>1</v>
      </c>
      <c r="C3886" s="7" t="s">
        <v>10</v>
      </c>
      <c r="D3886" s="7">
        <v>2454</v>
      </c>
      <c r="E3886" s="7" t="s">
        <v>19</v>
      </c>
      <c r="F3886" s="8" t="str">
        <f ca="1">IFERROR(__xludf.DUMMYFUNCTION("IF
(
C3887=""фізична особа""
,
VLOOKUP(D3887,IMPORTRANGE(""https://docs.google.com/spreadsheets/d/14Bd19lYaqBhU8_DElYkX7l4wRkHqqCUFNJY4AfY3kHU/edit?usp=sharing  #gid=0"",""фіз особи new!relations_name""),6,FALSE)
,
(IF
(
C3887=""юридична особа""
,
VLOOKUP"&amp;"(D3887,IMPORTRANGE(""https://docs.google.com/spreadsheets/d/14Bd19lYaqBhU8_DElYkX7l4wRkHqqCUFNJY4AfY3kHU/edit?usp=sharing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6" s="7" t="s">
        <v>10</v>
      </c>
      <c r="H3886" s="7">
        <v>0</v>
      </c>
      <c r="I3886" s="8" t="str">
        <f ca="1">IFERROR(__xludf.DUMMYFUNCTION("IF
(
G3887=""фізична особа""
,
VLOOKUP(H3887,IMPORTRANGE(""https://docs.google.com/spreadsheets/d/14Bd19lYaqBhU8_DElYkX7l4wRkHqqCUFNJY4AfY3kHU/edit?usp=sharing  #gid=0"",""фіз особи new!relations_name""),6,FALSE)
,
(IF
(
G3887=""юридична особа""
,
VLOOKUP"&amp;"(H3887,IMPORTRANGE(""https://docs.google.com/spreadsheets/d/14Bd19lYaqBhU8_DElYkX7l4wRkHqqCUFNJY4AfY3kHU/edit?usp=sharing  #gid=0"",""фіз особи new!relations_name_uo""),7,FALSE)
,
)
))"),"#N/A")</f>
        <v>#N/A</v>
      </c>
      <c r="J3886" s="7" t="s">
        <v>22</v>
      </c>
    </row>
    <row r="3887" spans="1:10" ht="13.2">
      <c r="A3887" s="7">
        <v>3886</v>
      </c>
      <c r="B3887" s="7">
        <v>1</v>
      </c>
      <c r="C3887" s="7" t="s">
        <v>10</v>
      </c>
      <c r="D3887" s="7">
        <v>2454</v>
      </c>
      <c r="E3887" s="7" t="s">
        <v>19</v>
      </c>
      <c r="F3887" s="8" t="str">
        <f ca="1">IFERROR(__xludf.DUMMYFUNCTION("IF
(
C3888=""фізична особа""
,
VLOOKUP(D3888,IMPORTRANGE(""https://docs.google.com/spreadsheets/d/14Bd19lYaqBhU8_DElYkX7l4wRkHqqCUFNJY4AfY3kHU/edit?usp=sharing  #gid=0"",""фіз особи new!relations_name""),6,FALSE)
,
(IF
(
C3888=""юридична особа""
,
VLOOKUP"&amp;"(D3888,IMPORTRANGE(""https://docs.google.com/spreadsheets/d/14Bd19lYaqBhU8_DElYkX7l4wRkHqqCUFNJY4AfY3kHU/edit?usp=sharing  #gid=0"",""фіз особи new!relations_name_uo""),7,FALSE)
,
)
))"),"Магомедов Магомедсалам Магомедалієвич")</f>
        <v>Магомедов Магомедсалам Магомедалієвич</v>
      </c>
      <c r="G3887" s="7" t="s">
        <v>10</v>
      </c>
      <c r="H3887" s="7">
        <v>0</v>
      </c>
      <c r="I3887" s="8" t="str">
        <f ca="1">IFERROR(__xludf.DUMMYFUNCTION("IF
(
G3888=""фізична особа""
,
VLOOKUP(H3888,IMPORTRANGE(""https://docs.google.com/spreadsheets/d/14Bd19lYaqBhU8_DElYkX7l4wRkHqqCUFNJY4AfY3kHU/edit?usp=sharing  #gid=0"",""фіз особи new!relations_name""),6,FALSE)
,
(IF
(
G3888=""юридична особа""
,
VLOOKUP"&amp;"(H3888,IMPORTRANGE(""https://docs.google.com/spreadsheets/d/14Bd19lYaqBhU8_DElYkX7l4wRkHqqCUFNJY4AfY3kHU/edit?usp=sharing  #gid=0"",""фіз особи new!relations_name_uo""),7,FALSE)
,
)
))"),"#N/A")</f>
        <v>#N/A</v>
      </c>
      <c r="J3887" s="7" t="s">
        <v>20</v>
      </c>
    </row>
    <row r="3888" spans="1:10" ht="13.2">
      <c r="A3888" s="7">
        <v>3887</v>
      </c>
      <c r="B3888" s="7">
        <v>1</v>
      </c>
      <c r="C3888" s="7" t="s">
        <v>10</v>
      </c>
      <c r="D3888" s="7">
        <v>2455</v>
      </c>
      <c r="E3888" s="7" t="s">
        <v>17</v>
      </c>
      <c r="F3888" s="8" t="str">
        <f ca="1">IFERROR(__xludf.DUMMYFUNCTION("IF
(
C3889=""фізична особа""
,
VLOOKUP(D3889,IMPORTRANGE(""https://docs.google.com/spreadsheets/d/14Bd19lYaqBhU8_DElYkX7l4wRkHqqCUFNJY4AfY3kHU/edit?usp=sharing  #gid=0"",""фіз особи new!relations_name""),6,FALSE)
,
(IF
(
C3889=""юридична особа""
,
VLOOKUP"&amp;"(D3889,IMPORTRANGE(""https://docs.google.com/spreadsheets/d/14Bd19lYaqBhU8_DElYkX7l4wRkHqqCUFNJY4AfY3kHU/edit?usp=sharing  #gid=0"",""фіз особи new!relations_name_uo""),7,FALSE)
,
)
))"),"Островенко Володимир Євгенієвич")</f>
        <v>Островенко Володимир Євгенієвич</v>
      </c>
      <c r="G3888" s="7" t="s">
        <v>10</v>
      </c>
      <c r="H3888" s="7">
        <v>0</v>
      </c>
      <c r="I3888" s="8" t="str">
        <f ca="1">IFERROR(__xludf.DUMMYFUNCTION("IF
(
G3889=""фізична особа""
,
VLOOKUP(H3889,IMPORTRANGE(""https://docs.google.com/spreadsheets/d/14Bd19lYaqBhU8_DElYkX7l4wRkHqqCUFNJY4AfY3kHU/edit?usp=sharing  #gid=0"",""фіз особи new!relations_name""),6,FALSE)
,
(IF
(
G3889=""юридична особа""
,
VLOOKUP"&amp;"(H3889,IMPORTRANGE(""https://docs.google.com/spreadsheets/d/14Bd19lYaqBhU8_DElYkX7l4wRkHqqCUFNJY4AfY3kHU/edit?usp=sharing  #gid=0"",""фіз особи new!relations_name_uo""),7,FALSE)
,
)
))"),"#N/A")</f>
        <v>#N/A</v>
      </c>
      <c r="J3888" s="7" t="s">
        <v>12</v>
      </c>
    </row>
    <row r="3889" spans="1:10" ht="13.2">
      <c r="A3889" s="7">
        <v>3888</v>
      </c>
      <c r="B3889" s="7">
        <v>1</v>
      </c>
      <c r="C3889" s="7" t="s">
        <v>10</v>
      </c>
      <c r="D3889" s="7">
        <v>2457</v>
      </c>
      <c r="E3889" s="7" t="s">
        <v>45</v>
      </c>
      <c r="F3889" s="8" t="str">
        <f ca="1">IFERROR(__xludf.DUMMYFUNCTION("IF
(
C3890=""фізична особа""
,
VLOOKUP(D3890,IMPORTRANGE(""https://docs.google.com/spreadsheets/d/14Bd19lYaqBhU8_DElYkX7l4wRkHqqCUFNJY4AfY3kHU/edit?usp=sharing  #gid=0"",""фіз особи new!relations_name""),6,FALSE)
,
(IF
(
C3890=""юридична особа""
,
VLOOKUP"&amp;"(D3890,IMPORTRANGE(""https://docs.google.com/spreadsheets/d/14Bd19lYaqBhU8_DElYkX7l4wRkHqqCUFNJY4AfY3kHU/edit?usp=sharing  #gid=0"",""фіз особи new!relations_name_uo""),7,FALSE)
,
)
))"),"БРИЧЕВА Лариса Ігорівна")</f>
        <v>БРИЧЕВА Лариса Ігорівна</v>
      </c>
      <c r="G3889" s="7" t="s">
        <v>10</v>
      </c>
      <c r="H3889" s="7">
        <v>0</v>
      </c>
      <c r="I3889" s="8" t="str">
        <f ca="1">IFERROR(__xludf.DUMMYFUNCTION("IF
(
G3890=""фізична особа""
,
VLOOKUP(H3890,IMPORTRANGE(""https://docs.google.com/spreadsheets/d/14Bd19lYaqBhU8_DElYkX7l4wRkHqqCUFNJY4AfY3kHU/edit?usp=sharing  #gid=0"",""фіз особи new!relations_name""),6,FALSE)
,
(IF
(
G3890=""юридична особа""
,
VLOOKUP"&amp;"(H3890,IMPORTRANGE(""https://docs.google.com/spreadsheets/d/14Bd19lYaqBhU8_DElYkX7l4wRkHqqCUFNJY4AfY3kHU/edit?usp=sharing  #gid=0"",""фіз особи new!relations_name_uo""),7,FALSE)
,
)
))"),"#N/A")</f>
        <v>#N/A</v>
      </c>
      <c r="J3889" s="7" t="s">
        <v>20</v>
      </c>
    </row>
    <row r="3890" spans="1:10" ht="13.2">
      <c r="A3890" s="7">
        <v>3889</v>
      </c>
      <c r="B3890" s="7">
        <v>1</v>
      </c>
      <c r="C3890" s="7" t="s">
        <v>10</v>
      </c>
      <c r="D3890" s="7">
        <v>2457</v>
      </c>
      <c r="E3890" s="7" t="s">
        <v>31</v>
      </c>
      <c r="F3890" s="8" t="str">
        <f ca="1">IFERROR(__xludf.DUMMYFUNCTION("IF
(
C3891=""фізична особа""
,
VLOOKUP(D3891,IMPORTRANGE(""https://docs.google.com/spreadsheets/d/14Bd19lYaqBhU8_DElYkX7l4wRkHqqCUFNJY4AfY3kHU/edit?usp=sharing  #gid=0"",""фіз особи new!relations_name""),6,FALSE)
,
(IF
(
C3891=""юридична особа""
,
VLOOKUP"&amp;"(D3891,IMPORTRANGE(""https://docs.google.com/spreadsheets/d/14Bd19lYaqBhU8_DElYkX7l4wRkHqqCUFNJY4AfY3kHU/edit?usp=sharing  #gid=0"",""фіз особи new!relations_name_uo""),7,FALSE)
,
)
))"),"БРИЧЕВА Лариса Ігорівна")</f>
        <v>БРИЧЕВА Лариса Ігорівна</v>
      </c>
      <c r="G3890" s="7" t="s">
        <v>10</v>
      </c>
      <c r="H3890" s="7">
        <v>0</v>
      </c>
      <c r="I3890" s="8" t="str">
        <f ca="1">IFERROR(__xludf.DUMMYFUNCTION("IF
(
G3891=""фізична особа""
,
VLOOKUP(H3891,IMPORTRANGE(""https://docs.google.com/spreadsheets/d/14Bd19lYaqBhU8_DElYkX7l4wRkHqqCUFNJY4AfY3kHU/edit?usp=sharing  #gid=0"",""фіз особи new!relations_name""),6,FALSE)
,
(IF
(
G3891=""юридична особа""
,
VLOOKUP"&amp;"(H3891,IMPORTRANGE(""https://docs.google.com/spreadsheets/d/14Bd19lYaqBhU8_DElYkX7l4wRkHqqCUFNJY4AfY3kHU/edit?usp=sharing  #gid=0"",""фіз особи new!relations_name_uo""),7,FALSE)
,
)
))"),"#N/A")</f>
        <v>#N/A</v>
      </c>
      <c r="J3890" s="7" t="s">
        <v>31</v>
      </c>
    </row>
    <row r="3891" spans="1:10" ht="13.2">
      <c r="A3891" s="7">
        <v>3890</v>
      </c>
      <c r="B3891" s="7">
        <v>1</v>
      </c>
      <c r="C3891" s="7" t="s">
        <v>10</v>
      </c>
      <c r="D3891" s="7">
        <v>2458</v>
      </c>
      <c r="E3891" s="7" t="s">
        <v>14</v>
      </c>
      <c r="F3891" s="8" t="str">
        <f ca="1">IFERROR(__xludf.DUMMYFUNCTION("IF
(
C3892=""фізична особа""
,
VLOOKUP(D3892,IMPORTRANGE(""https://docs.google.com/spreadsheets/d/14Bd19lYaqBhU8_DElYkX7l4wRkHqqCUFNJY4AfY3kHU/edit?usp=sharing  #gid=0"",""фіз особи new!relations_name""),6,FALSE)
,
(IF
(
C3892=""юридична особа""
,
VLOOKUP"&amp;"(D3892,IMPORTRANGE(""https://docs.google.com/spreadsheets/d/14Bd19lYaqBhU8_DElYkX7l4wRkHqqCUFNJY4AfY3kHU/edit?usp=sharing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1" s="7" t="s">
        <v>10</v>
      </c>
      <c r="H3891" s="7">
        <v>0</v>
      </c>
      <c r="I3891" s="8" t="str">
        <f ca="1">IFERROR(__xludf.DUMMYFUNCTION("IF
(
G3892=""фізична особа""
,
VLOOKUP(H3892,IMPORTRANGE(""https://docs.google.com/spreadsheets/d/14Bd19lYaqBhU8_DElYkX7l4wRkHqqCUFNJY4AfY3kHU/edit?usp=sharing  #gid=0"",""фіз особи new!relations_name""),6,FALSE)
,
(IF
(
G3892=""юридична особа""
,
VLOOKUP"&amp;"(H3892,IMPORTRANGE(""https://docs.google.com/spreadsheets/d/14Bd19lYaqBhU8_DElYkX7l4wRkHqqCUFNJY4AfY3kHU/edit?usp=sharing  #gid=0"",""фіз особи new!relations_name_uo""),7,FALSE)
,
)
))"),"#N/A")</f>
        <v>#N/A</v>
      </c>
      <c r="J3891" s="7" t="s">
        <v>15</v>
      </c>
    </row>
    <row r="3892" spans="1:10" ht="13.2">
      <c r="A3892" s="7">
        <v>3891</v>
      </c>
      <c r="B3892" s="7">
        <v>1</v>
      </c>
      <c r="C3892" s="7" t="s">
        <v>10</v>
      </c>
      <c r="D3892" s="7">
        <v>2458</v>
      </c>
      <c r="E3892" s="7" t="s">
        <v>12</v>
      </c>
      <c r="F3892" s="8" t="str">
        <f ca="1">IFERROR(__xludf.DUMMYFUNCTION("IF
(
C3893=""фізична особа""
,
VLOOKUP(D3893,IMPORTRANGE(""https://docs.google.com/spreadsheets/d/14Bd19lYaqBhU8_DElYkX7l4wRkHqqCUFNJY4AfY3kHU/edit?usp=sharing  #gid=0"",""фіз особи new!relations_name""),6,FALSE)
,
(IF
(
C3893=""юридична особа""
,
VLOOKUP"&amp;"(D3893,IMPORTRANGE(""https://docs.google.com/spreadsheets/d/14Bd19lYaqBhU8_DElYkX7l4wRkHqqCUFNJY4AfY3kHU/edit?usp=sharing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2" s="7" t="s">
        <v>10</v>
      </c>
      <c r="H3892" s="7">
        <v>0</v>
      </c>
      <c r="I3892" s="8" t="str">
        <f ca="1">IFERROR(__xludf.DUMMYFUNCTION("IF
(
G3893=""фізична особа""
,
VLOOKUP(H3893,IMPORTRANGE(""https://docs.google.com/spreadsheets/d/14Bd19lYaqBhU8_DElYkX7l4wRkHqqCUFNJY4AfY3kHU/edit?usp=sharing  #gid=0"",""фіз особи new!relations_name""),6,FALSE)
,
(IF
(
G3893=""юридична особа""
,
VLOOKUP"&amp;"(H3893,IMPORTRANGE(""https://docs.google.com/spreadsheets/d/14Bd19lYaqBhU8_DElYkX7l4wRkHqqCUFNJY4AfY3kHU/edit?usp=sharing  #gid=0"",""фіз особи new!relations_name_uo""),7,FALSE)
,
)
))"),"#N/A")</f>
        <v>#N/A</v>
      </c>
      <c r="J3892" s="7" t="s">
        <v>17</v>
      </c>
    </row>
    <row r="3893" spans="1:10" ht="13.2">
      <c r="A3893" s="7">
        <v>3892</v>
      </c>
      <c r="B3893" s="7">
        <v>1</v>
      </c>
      <c r="C3893" s="7" t="s">
        <v>10</v>
      </c>
      <c r="D3893" s="7">
        <v>2458</v>
      </c>
      <c r="E3893" s="7" t="s">
        <v>19</v>
      </c>
      <c r="F3893" s="8" t="str">
        <f ca="1">IFERROR(__xludf.DUMMYFUNCTION("IF
(
C3894=""фізична особа""
,
VLOOKUP(D3894,IMPORTRANGE(""https://docs.google.com/spreadsheets/d/14Bd19lYaqBhU8_DElYkX7l4wRkHqqCUFNJY4AfY3kHU/edit?usp=sharing  #gid=0"",""фіз особи new!relations_name""),6,FALSE)
,
(IF
(
C3894=""юридична особа""
,
VLOOKUP"&amp;"(D3894,IMPORTRANGE(""https://docs.google.com/spreadsheets/d/14Bd19lYaqBhU8_DElYkX7l4wRkHqqCUFNJY4AfY3kHU/edit?usp=sharing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3" s="7" t="s">
        <v>10</v>
      </c>
      <c r="H3893" s="7">
        <v>0</v>
      </c>
      <c r="I3893" s="8" t="str">
        <f ca="1">IFERROR(__xludf.DUMMYFUNCTION("IF
(
G3894=""фізична особа""
,
VLOOKUP(H3894,IMPORTRANGE(""https://docs.google.com/spreadsheets/d/14Bd19lYaqBhU8_DElYkX7l4wRkHqqCUFNJY4AfY3kHU/edit?usp=sharing  #gid=0"",""фіз особи new!relations_name""),6,FALSE)
,
(IF
(
G3894=""юридична особа""
,
VLOOKUP"&amp;"(H3894,IMPORTRANGE(""https://docs.google.com/spreadsheets/d/14Bd19lYaqBhU8_DElYkX7l4wRkHqqCUFNJY4AfY3kHU/edit?usp=sharing  #gid=0"",""фіз особи new!relations_name_uo""),7,FALSE)
,
)
))"),"#N/A")</f>
        <v>#N/A</v>
      </c>
      <c r="J3893" s="7" t="s">
        <v>22</v>
      </c>
    </row>
    <row r="3894" spans="1:10" ht="13.2">
      <c r="A3894" s="7">
        <v>3893</v>
      </c>
      <c r="B3894" s="7">
        <v>1</v>
      </c>
      <c r="C3894" s="7" t="s">
        <v>10</v>
      </c>
      <c r="D3894" s="7">
        <v>2458</v>
      </c>
      <c r="E3894" s="7" t="s">
        <v>18</v>
      </c>
      <c r="F3894" s="8" t="str">
        <f ca="1">IFERROR(__xludf.DUMMYFUNCTION("IF
(
C3895=""фізична особа""
,
VLOOKUP(D3895,IMPORTRANGE(""https://docs.google.com/spreadsheets/d/14Bd19lYaqBhU8_DElYkX7l4wRkHqqCUFNJY4AfY3kHU/edit?usp=sharing  #gid=0"",""фіз особи new!relations_name""),6,FALSE)
,
(IF
(
C3895=""юридична особа""
,
VLOOKUP"&amp;"(D3895,IMPORTRANGE(""https://docs.google.com/spreadsheets/d/14Bd19lYaqBhU8_DElYkX7l4wRkHqqCUFNJY4AfY3kHU/edit?usp=sharing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4" s="7" t="s">
        <v>10</v>
      </c>
      <c r="H3894" s="7">
        <v>16530</v>
      </c>
      <c r="I3894" s="8" t="str">
        <f ca="1">IFERROR(__xludf.DUMMYFUNCTION("IF
(
G3895=""фізична особа""
,
VLOOKUP(H3895,IMPORTRANGE(""https://docs.google.com/spreadsheets/d/14Bd19lYaqBhU8_DElYkX7l4wRkHqqCUFNJY4AfY3kHU/edit?usp=sharing  #gid=0"",""фіз особи new!relations_name""),6,FALSE)
,
(IF
(
G3895=""юридична особа""
,
VLOOKUP"&amp;"(H3895,IMPORTRANGE(""https://docs.google.com/spreadsheets/d/14Bd19lYaqBhU8_DElYkX7l4wRkHqqCUFNJY4AfY3kHU/edit?usp=sharing  #gid=0"",""фіз особи new!relations_name_uo""),7,FALSE)
,
)
))"),"ЗУЙКОВА/МЕДИНСЬКА Тетяна Ростиславівна")</f>
        <v>ЗУЙКОВА/МЕДИНСЬКА Тетяна Ростиславівна</v>
      </c>
      <c r="J3894" s="7" t="s">
        <v>31</v>
      </c>
    </row>
    <row r="3895" spans="1:10" ht="13.2">
      <c r="A3895" s="7">
        <v>3894</v>
      </c>
      <c r="B3895" s="7">
        <v>1</v>
      </c>
      <c r="C3895" s="7" t="s">
        <v>10</v>
      </c>
      <c r="D3895" s="7">
        <v>2458</v>
      </c>
      <c r="E3895" s="7" t="s">
        <v>14</v>
      </c>
      <c r="F3895" s="8" t="str">
        <f ca="1">IFERROR(__xludf.DUMMYFUNCTION("IF
(
C3896=""фізична особа""
,
VLOOKUP(D3896,IMPORTRANGE(""https://docs.google.com/spreadsheets/d/14Bd19lYaqBhU8_DElYkX7l4wRkHqqCUFNJY4AfY3kHU/edit?usp=sharing  #gid=0"",""фіз особи new!relations_name""),6,FALSE)
,
(IF
(
C3896=""юридична особа""
,
VLOOKUP"&amp;"(D3896,IMPORTRANGE(""https://docs.google.com/spreadsheets/d/14Bd19lYaqBhU8_DElYkX7l4wRkHqqCUFNJY4AfY3kHU/edit?usp=sharing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5" s="7" t="s">
        <v>10</v>
      </c>
      <c r="H3895" s="7">
        <v>16531</v>
      </c>
      <c r="I3895" s="8" t="str">
        <f ca="1">IFERROR(__xludf.DUMMYFUNCTION("IF
(
G3896=""фізична особа""
,
VLOOKUP(H3896,IMPORTRANGE(""https://docs.google.com/spreadsheets/d/14Bd19lYaqBhU8_DElYkX7l4wRkHqqCUFNJY4AfY3kHU/edit?usp=sharing  #gid=0"",""фіз особи new!relations_name""),6,FALSE)
,
(IF
(
G3896=""юридична особа""
,
VLOOKUP"&amp;"(H3896,IMPORTRANGE(""https://docs.google.com/spreadsheets/d/14Bd19lYaqBhU8_DElYkX7l4wRkHqqCUFNJY4AfY3kHU/edit?usp=sharing  #gid=0"",""фіз особи new!relations_name_uo""),7,FALSE)
,
)
))"),"НІКІТІНА/МЕДИНСЬКА Марина Олегівна")</f>
        <v>НІКІТІНА/МЕДИНСЬКА Марина Олегівна</v>
      </c>
      <c r="J3895" s="7" t="s">
        <v>15</v>
      </c>
    </row>
    <row r="3896" spans="1:10" ht="13.2">
      <c r="A3896" s="7">
        <v>3895</v>
      </c>
      <c r="B3896" s="7">
        <v>1</v>
      </c>
      <c r="C3896" s="7" t="s">
        <v>10</v>
      </c>
      <c r="D3896" s="7">
        <v>2458</v>
      </c>
      <c r="E3896" s="7" t="s">
        <v>17</v>
      </c>
      <c r="F3896" s="8" t="str">
        <f ca="1">IFERROR(__xludf.DUMMYFUNCTION("IF
(
C3897=""фізична особа""
,
VLOOKUP(D3897,IMPORTRANGE(""https://docs.google.com/spreadsheets/d/14Bd19lYaqBhU8_DElYkX7l4wRkHqqCUFNJY4AfY3kHU/edit?usp=sharing  #gid=0"",""фіз особи new!relations_name""),6,FALSE)
,
(IF
(
C3897=""юридична особа""
,
VLOOKUP"&amp;"(D3897,IMPORTRANGE(""https://docs.google.com/spreadsheets/d/14Bd19lYaqBhU8_DElYkX7l4wRkHqqCUFNJY4AfY3kHU/edit?usp=sharing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6" s="7" t="s">
        <v>10</v>
      </c>
      <c r="H3896" s="7">
        <v>0</v>
      </c>
      <c r="I3896" s="8" t="str">
        <f ca="1">IFERROR(__xludf.DUMMYFUNCTION("IF
(
G3897=""фізична особа""
,
VLOOKUP(H3897,IMPORTRANGE(""https://docs.google.com/spreadsheets/d/14Bd19lYaqBhU8_DElYkX7l4wRkHqqCUFNJY4AfY3kHU/edit?usp=sharing  #gid=0"",""фіз особи new!relations_name""),6,FALSE)
,
(IF
(
G3897=""юридична особа""
,
VLOOKUP"&amp;"(H3897,IMPORTRANGE(""https://docs.google.com/spreadsheets/d/14Bd19lYaqBhU8_DElYkX7l4wRkHqqCUFNJY4AfY3kHU/edit?usp=sharing  #gid=0"",""фіз особи new!relations_name_uo""),7,FALSE)
,
)
))"),"#N/A")</f>
        <v>#N/A</v>
      </c>
      <c r="J3896" s="7" t="s">
        <v>12</v>
      </c>
    </row>
    <row r="3897" spans="1:10" ht="13.2">
      <c r="A3897" s="7">
        <v>3896</v>
      </c>
      <c r="B3897" s="7">
        <v>1</v>
      </c>
      <c r="C3897" s="7" t="s">
        <v>10</v>
      </c>
      <c r="D3897" s="7">
        <v>2458</v>
      </c>
      <c r="E3897" s="7" t="s">
        <v>17</v>
      </c>
      <c r="F3897" s="8" t="str">
        <f ca="1">IFERROR(__xludf.DUMMYFUNCTION("IF
(
C3898=""фізична особа""
,
VLOOKUP(D3898,IMPORTRANGE(""https://docs.google.com/spreadsheets/d/14Bd19lYaqBhU8_DElYkX7l4wRkHqqCUFNJY4AfY3kHU/edit?usp=sharing  #gid=0"",""фіз особи new!relations_name""),6,FALSE)
,
(IF
(
C3898=""юридична особа""
,
VLOOKUP"&amp;"(D3898,IMPORTRANGE(""https://docs.google.com/spreadsheets/d/14Bd19lYaqBhU8_DElYkX7l4wRkHqqCUFNJY4AfY3kHU/edit?usp=sharing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7" s="7" t="s">
        <v>10</v>
      </c>
      <c r="H3897" s="7">
        <v>0</v>
      </c>
      <c r="I3897" s="8" t="str">
        <f ca="1">IFERROR(__xludf.DUMMYFUNCTION("IF
(
G3898=""фізична особа""
,
VLOOKUP(H3898,IMPORTRANGE(""https://docs.google.com/spreadsheets/d/14Bd19lYaqBhU8_DElYkX7l4wRkHqqCUFNJY4AfY3kHU/edit?usp=sharing  #gid=0"",""фіз особи new!relations_name""),6,FALSE)
,
(IF
(
G3898=""юридична особа""
,
VLOOKUP"&amp;"(H3898,IMPORTRANGE(""https://docs.google.com/spreadsheets/d/14Bd19lYaqBhU8_DElYkX7l4wRkHqqCUFNJY4AfY3kHU/edit?usp=sharing  #gid=0"",""фіз особи new!relations_name_uo""),7,FALSE)
,
)
))"),"#N/A")</f>
        <v>#N/A</v>
      </c>
      <c r="J3897" s="7" t="s">
        <v>21</v>
      </c>
    </row>
    <row r="3898" spans="1:10" ht="13.2">
      <c r="A3898" s="7">
        <v>3897</v>
      </c>
      <c r="B3898" s="7">
        <v>1</v>
      </c>
      <c r="C3898" s="7" t="s">
        <v>10</v>
      </c>
      <c r="D3898" s="7">
        <v>2458</v>
      </c>
      <c r="E3898" s="7" t="s">
        <v>50</v>
      </c>
      <c r="F3898" s="8" t="str">
        <f ca="1">IFERROR(__xludf.DUMMYFUNCTION("IF
(
C3899=""фізична особа""
,
VLOOKUP(D3899,IMPORTRANGE(""https://docs.google.com/spreadsheets/d/14Bd19lYaqBhU8_DElYkX7l4wRkHqqCUFNJY4AfY3kHU/edit?usp=sharing  #gid=0"",""фіз особи new!relations_name""),6,FALSE)
,
(IF
(
C3899=""юридична особа""
,
VLOOKUP"&amp;"(D3899,IMPORTRANGE(""https://docs.google.com/spreadsheets/d/14Bd19lYaqBhU8_DElYkX7l4wRkHqqCUFNJY4AfY3kHU/edit?usp=sharing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8" s="7" t="s">
        <v>10</v>
      </c>
      <c r="H3898" s="7">
        <v>16532</v>
      </c>
      <c r="I3898" s="8" t="str">
        <f ca="1">IFERROR(__xludf.DUMMYFUNCTION("IF
(
G3899=""фізична особа""
,
VLOOKUP(H3899,IMPORTRANGE(""https://docs.google.com/spreadsheets/d/14Bd19lYaqBhU8_DElYkX7l4wRkHqqCUFNJY4AfY3kHU/edit?usp=sharing  #gid=0"",""фіз особи new!relations_name""),6,FALSE)
,
(IF
(
G3899=""юридична особа""
,
VLOOKUP"&amp;"(H3899,IMPORTRANGE(""https://docs.google.com/spreadsheets/d/14Bd19lYaqBhU8_DElYkX7l4wRkHqqCUFNJY4AfY3kHU/edit?usp=sharing  #gid=0"",""фіз особи new!relations_name_uo""),7,FALSE)
,
)
))"),"ЗУЙКОВ Сергій Олександрович")</f>
        <v>ЗУЙКОВ Сергій Олександрович</v>
      </c>
      <c r="J3898" s="7" t="s">
        <v>26</v>
      </c>
    </row>
    <row r="3899" spans="1:10" ht="13.2">
      <c r="A3899" s="7">
        <v>3898</v>
      </c>
      <c r="B3899" s="7">
        <v>1</v>
      </c>
      <c r="C3899" s="7" t="s">
        <v>10</v>
      </c>
      <c r="D3899" s="7">
        <v>2458</v>
      </c>
      <c r="E3899" s="7" t="s">
        <v>16</v>
      </c>
      <c r="F3899" s="8" t="str">
        <f ca="1">IFERROR(__xludf.DUMMYFUNCTION("IF
(
C3900=""фізична особа""
,
VLOOKUP(D3900,IMPORTRANGE(""https://docs.google.com/spreadsheets/d/14Bd19lYaqBhU8_DElYkX7l4wRkHqqCUFNJY4AfY3kHU/edit?usp=sharing  #gid=0"",""фіз особи new!relations_name""),6,FALSE)
,
(IF
(
C3900=""юридична особа""
,
VLOOKUP"&amp;"(D3900,IMPORTRANGE(""https://docs.google.com/spreadsheets/d/14Bd19lYaqBhU8_DElYkX7l4wRkHqqCUFNJY4AfY3kHU/edit?usp=sharing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899" s="7" t="s">
        <v>10</v>
      </c>
      <c r="H3899" s="7">
        <v>13050</v>
      </c>
      <c r="I3899" s="8" t="str">
        <f ca="1">IFERROR(__xludf.DUMMYFUNCTION("IF
(
G3900=""фізична особа""
,
VLOOKUP(H3900,IMPORTRANGE(""https://docs.google.com/spreadsheets/d/14Bd19lYaqBhU8_DElYkX7l4wRkHqqCUFNJY4AfY3kHU/edit?usp=sharing  #gid=0"",""фіз особи new!relations_name""),6,FALSE)
,
(IF
(
G3900=""юридична особа""
,
VLOOKUP"&amp;"(H3900,IMPORTRANGE(""https://docs.google.com/spreadsheets/d/14Bd19lYaqBhU8_DElYkX7l4wRkHqqCUFNJY4AfY3kHU/edit?usp=sharing  #gid=0"",""фіз особи new!relations_name_uo""),7,FALSE)
,
)
))"),"ГОЛУШКО Андрій Іванович")</f>
        <v>ГОЛУШКО Андрій Іванович</v>
      </c>
      <c r="J3899" s="7" t="s">
        <v>16</v>
      </c>
    </row>
    <row r="3900" spans="1:10" ht="13.2">
      <c r="A3900" s="7">
        <v>3899</v>
      </c>
      <c r="B3900" s="7">
        <v>1</v>
      </c>
      <c r="C3900" s="7" t="s">
        <v>10</v>
      </c>
      <c r="D3900" s="7">
        <v>2458</v>
      </c>
      <c r="E3900" s="7" t="s">
        <v>11</v>
      </c>
      <c r="F3900" s="8" t="str">
        <f ca="1">IFERROR(__xludf.DUMMYFUNCTION("IF
(
C3901=""фізична особа""
,
VLOOKUP(D3901,IMPORTRANGE(""https://docs.google.com/spreadsheets/d/14Bd19lYaqBhU8_DElYkX7l4wRkHqqCUFNJY4AfY3kHU/edit?usp=sharing  #gid=0"",""фіз особи new!relations_name""),6,FALSE)
,
(IF
(
C3901=""юридична особа""
,
VLOOKUP"&amp;"(D3901,IMPORTRANGE(""https://docs.google.com/spreadsheets/d/14Bd19lYaqBhU8_DElYkX7l4wRkHqqCUFNJY4AfY3kHU/edit?usp=sharing  #gid=0"",""фіз особи new!relations_name_uo""),7,FALSE)
,
)
))"),"КАЛІМУЛІН Дмитро Рафаельович")</f>
        <v>КАЛІМУЛІН Дмитро Рафаельович</v>
      </c>
      <c r="G3900" s="7" t="s">
        <v>10</v>
      </c>
      <c r="H3900" s="7">
        <v>0</v>
      </c>
      <c r="I3900" s="8" t="str">
        <f ca="1">IFERROR(__xludf.DUMMYFUNCTION("IF
(
G3901=""фізична особа""
,
VLOOKUP(H3901,IMPORTRANGE(""https://docs.google.com/spreadsheets/d/14Bd19lYaqBhU8_DElYkX7l4wRkHqqCUFNJY4AfY3kHU/edit?usp=sharing  #gid=0"",""фіз особи new!relations_name""),6,FALSE)
,
(IF
(
G3901=""юридична особа""
,
VLOOKUP"&amp;"(H3901,IMPORTRANGE(""https://docs.google.com/spreadsheets/d/14Bd19lYaqBhU8_DElYkX7l4wRkHqqCUFNJY4AfY3kHU/edit?usp=sharing  #gid=0"",""фіз особи new!relations_name_uo""),7,FALSE)
,
)
))"),"#N/A")</f>
        <v>#N/A</v>
      </c>
      <c r="J3900" s="7" t="s">
        <v>11</v>
      </c>
    </row>
    <row r="3901" spans="1:10" ht="13.2">
      <c r="A3901" s="7">
        <v>3900</v>
      </c>
      <c r="B3901" s="7">
        <v>1</v>
      </c>
      <c r="C3901" s="7" t="s">
        <v>10</v>
      </c>
      <c r="D3901" s="7">
        <v>2461</v>
      </c>
      <c r="E3901" s="7" t="s">
        <v>14</v>
      </c>
      <c r="F3901" s="8" t="str">
        <f ca="1">IFERROR(__xludf.DUMMYFUNCTION("IF
(
C3902=""фізична особа""
,
VLOOKUP(D3902,IMPORTRANGE(""https://docs.google.com/spreadsheets/d/14Bd19lYaqBhU8_DElYkX7l4wRkHqqCUFNJY4AfY3kHU/edit?usp=sharing  #gid=0"",""фіз особи new!relations_name""),6,FALSE)
,
(IF
(
C3902=""юридична особа""
,
VLOOKUP"&amp;"(D3902,IMPORTRANGE(""https://docs.google.com/spreadsheets/d/14Bd19lYaqBhU8_DElYkX7l4wRkHqqCUFNJY4AfY3kHU/edit?usp=sharing  #gid=0"",""фіз особи new!relations_name_uo""),7,FALSE)
,
)
))"),"МИРОНОВ Дмитро Юрійович")</f>
        <v>МИРОНОВ Дмитро Юрійович</v>
      </c>
      <c r="G3901" s="7" t="s">
        <v>10</v>
      </c>
      <c r="H3901" s="7">
        <v>0</v>
      </c>
      <c r="I3901" s="8" t="str">
        <f ca="1">IFERROR(__xludf.DUMMYFUNCTION("IF
(
G3902=""фізична особа""
,
VLOOKUP(H3902,IMPORTRANGE(""https://docs.google.com/spreadsheets/d/14Bd19lYaqBhU8_DElYkX7l4wRkHqqCUFNJY4AfY3kHU/edit?usp=sharing  #gid=0"",""фіз особи new!relations_name""),6,FALSE)
,
(IF
(
G3902=""юридична особа""
,
VLOOKUP"&amp;"(H3902,IMPORTRANGE(""https://docs.google.com/spreadsheets/d/14Bd19lYaqBhU8_DElYkX7l4wRkHqqCUFNJY4AfY3kHU/edit?usp=sharing  #gid=0"",""фіз особи new!relations_name_uo""),7,FALSE)
,
)
))"),"#N/A")</f>
        <v>#N/A</v>
      </c>
      <c r="J3901" s="7" t="s">
        <v>15</v>
      </c>
    </row>
    <row r="3902" spans="1:10" ht="13.2">
      <c r="A3902" s="7">
        <v>3901</v>
      </c>
      <c r="B3902" s="7">
        <v>1</v>
      </c>
      <c r="C3902" s="7" t="s">
        <v>10</v>
      </c>
      <c r="D3902" s="7">
        <v>2461</v>
      </c>
      <c r="E3902" s="7" t="s">
        <v>18</v>
      </c>
      <c r="F3902" s="8" t="str">
        <f ca="1">IFERROR(__xludf.DUMMYFUNCTION("IF
(
C3903=""фізична особа""
,
VLOOKUP(D3903,IMPORTRANGE(""https://docs.google.com/spreadsheets/d/14Bd19lYaqBhU8_DElYkX7l4wRkHqqCUFNJY4AfY3kHU/edit?usp=sharing  #gid=0"",""фіз особи new!relations_name""),6,FALSE)
,
(IF
(
C3903=""юридична особа""
,
VLOOKUP"&amp;"(D3903,IMPORTRANGE(""https://docs.google.com/spreadsheets/d/14Bd19lYaqBhU8_DElYkX7l4wRkHqqCUFNJY4AfY3kHU/edit?usp=sharing  #gid=0"",""фіз особи new!relations_name_uo""),7,FALSE)
,
)
))"),"МИРОНОВ Дмитро Юрійович")</f>
        <v>МИРОНОВ Дмитро Юрійович</v>
      </c>
      <c r="G3902" s="7" t="s">
        <v>10</v>
      </c>
      <c r="H3902" s="7">
        <v>0</v>
      </c>
      <c r="I3902" s="8" t="str">
        <f ca="1">IFERROR(__xludf.DUMMYFUNCTION("IF
(
G3903=""фізична особа""
,
VLOOKUP(H3903,IMPORTRANGE(""https://docs.google.com/spreadsheets/d/14Bd19lYaqBhU8_DElYkX7l4wRkHqqCUFNJY4AfY3kHU/edit?usp=sharing  #gid=0"",""фіз особи new!relations_name""),6,FALSE)
,
(IF
(
G3903=""юридична особа""
,
VLOOKUP"&amp;"(H3903,IMPORTRANGE(""https://docs.google.com/spreadsheets/d/14Bd19lYaqBhU8_DElYkX7l4wRkHqqCUFNJY4AfY3kHU/edit?usp=sharing  #gid=0"",""фіз особи new!relations_name_uo""),7,FALSE)
,
)
))"),"#N/A")</f>
        <v>#N/A</v>
      </c>
      <c r="J3902" s="7" t="s">
        <v>18</v>
      </c>
    </row>
    <row r="3903" spans="1:10" ht="13.2">
      <c r="A3903" s="7">
        <v>3902</v>
      </c>
      <c r="B3903" s="7">
        <v>1</v>
      </c>
      <c r="C3903" s="7" t="s">
        <v>10</v>
      </c>
      <c r="D3903" s="7">
        <v>2461</v>
      </c>
      <c r="E3903" s="7" t="s">
        <v>17</v>
      </c>
      <c r="F3903" s="8" t="str">
        <f ca="1">IFERROR(__xludf.DUMMYFUNCTION("IF
(
C3904=""фізична особа""
,
VLOOKUP(D3904,IMPORTRANGE(""https://docs.google.com/spreadsheets/d/14Bd19lYaqBhU8_DElYkX7l4wRkHqqCUFNJY4AfY3kHU/edit?usp=sharing  #gid=0"",""фіз особи new!relations_name""),6,FALSE)
,
(IF
(
C3904=""юридична особа""
,
VLOOKUP"&amp;"(D3904,IMPORTRANGE(""https://docs.google.com/spreadsheets/d/14Bd19lYaqBhU8_DElYkX7l4wRkHqqCUFNJY4AfY3kHU/edit?usp=sharing  #gid=0"",""фіз особи new!relations_name_uo""),7,FALSE)
,
)
))"),"МИРОНОВ Дмитро Юрійович")</f>
        <v>МИРОНОВ Дмитро Юрійович</v>
      </c>
      <c r="G3903" s="7" t="s">
        <v>10</v>
      </c>
      <c r="H3903" s="7">
        <v>0</v>
      </c>
      <c r="I3903" s="8" t="str">
        <f ca="1">IFERROR(__xludf.DUMMYFUNCTION("IF
(
G3904=""фізична особа""
,
VLOOKUP(H3904,IMPORTRANGE(""https://docs.google.com/spreadsheets/d/14Bd19lYaqBhU8_DElYkX7l4wRkHqqCUFNJY4AfY3kHU/edit?usp=sharing  #gid=0"",""фіз особи new!relations_name""),6,FALSE)
,
(IF
(
G3904=""юридична особа""
,
VLOOKUP"&amp;"(H3904,IMPORTRANGE(""https://docs.google.com/spreadsheets/d/14Bd19lYaqBhU8_DElYkX7l4wRkHqqCUFNJY4AfY3kHU/edit?usp=sharing  #gid=0"",""фіз особи new!relations_name_uo""),7,FALSE)
,
)
))"),"#N/A")</f>
        <v>#N/A</v>
      </c>
      <c r="J3903" s="7" t="s">
        <v>12</v>
      </c>
    </row>
    <row r="3904" spans="1:10" ht="13.2">
      <c r="A3904" s="7">
        <v>3903</v>
      </c>
      <c r="B3904" s="7">
        <v>1</v>
      </c>
      <c r="C3904" s="7" t="s">
        <v>10</v>
      </c>
      <c r="D3904" s="7">
        <v>2461</v>
      </c>
      <c r="E3904" s="7" t="s">
        <v>17</v>
      </c>
      <c r="F3904" s="8" t="str">
        <f ca="1">IFERROR(__xludf.DUMMYFUNCTION("IF
(
C3905=""фізична особа""
,
VLOOKUP(D3905,IMPORTRANGE(""https://docs.google.com/spreadsheets/d/14Bd19lYaqBhU8_DElYkX7l4wRkHqqCUFNJY4AfY3kHU/edit?usp=sharing  #gid=0"",""фіз особи new!relations_name""),6,FALSE)
,
(IF
(
C3905=""юридична особа""
,
VLOOKUP"&amp;"(D3905,IMPORTRANGE(""https://docs.google.com/spreadsheets/d/14Bd19lYaqBhU8_DElYkX7l4wRkHqqCUFNJY4AfY3kHU/edit?usp=sharing  #gid=0"",""фіз особи new!relations_name_uo""),7,FALSE)
,
)
))"),"МИРОНОВ Дмитро Юрійович")</f>
        <v>МИРОНОВ Дмитро Юрійович</v>
      </c>
      <c r="G3904" s="7" t="s">
        <v>10</v>
      </c>
      <c r="H3904" s="7">
        <v>0</v>
      </c>
      <c r="I3904" s="8" t="str">
        <f ca="1">IFERROR(__xludf.DUMMYFUNCTION("IF
(
G3905=""фізична особа""
,
VLOOKUP(H3905,IMPORTRANGE(""https://docs.google.com/spreadsheets/d/14Bd19lYaqBhU8_DElYkX7l4wRkHqqCUFNJY4AfY3kHU/edit?usp=sharing  #gid=0"",""фіз особи new!relations_name""),6,FALSE)
,
(IF
(
G3905=""юридична особа""
,
VLOOKUP"&amp;"(H3905,IMPORTRANGE(""https://docs.google.com/spreadsheets/d/14Bd19lYaqBhU8_DElYkX7l4wRkHqqCUFNJY4AfY3kHU/edit?usp=sharing  #gid=0"",""фіз особи new!relations_name_uo""),7,FALSE)
,
)
))"),"#N/A")</f>
        <v>#N/A</v>
      </c>
      <c r="J3904" s="7" t="s">
        <v>21</v>
      </c>
    </row>
    <row r="3905" spans="1:10" ht="13.2">
      <c r="A3905" s="7">
        <v>3904</v>
      </c>
      <c r="B3905" s="7">
        <v>1</v>
      </c>
      <c r="C3905" s="7" t="s">
        <v>10</v>
      </c>
      <c r="D3905" s="7">
        <v>2464</v>
      </c>
      <c r="E3905" s="7" t="s">
        <v>12</v>
      </c>
      <c r="F3905" s="8" t="str">
        <f ca="1">IFERROR(__xludf.DUMMYFUNCTION("IF
(
C3906=""фізична особа""
,
VLOOKUP(D3906,IMPORTRANGE(""https://docs.google.com/spreadsheets/d/14Bd19lYaqBhU8_DElYkX7l4wRkHqqCUFNJY4AfY3kHU/edit?usp=sharing  #gid=0"",""фіз особи new!relations_name""),6,FALSE)
,
(IF
(
C3906=""юридична особа""
,
VLOOKUP"&amp;"(D3906,IMPORTRANGE(""https://docs.google.com/spreadsheets/d/14Bd19lYaqBhU8_DElYkX7l4wRkHqqCUFNJY4AfY3kHU/edit?usp=sharing  #gid=0"",""фіз особи new!relations_name_uo""),7,FALSE)
,
)
))"),"КОБЯКОВ Антон Анатолійович")</f>
        <v>КОБЯКОВ Антон Анатолійович</v>
      </c>
      <c r="G3905" s="7" t="s">
        <v>10</v>
      </c>
      <c r="H3905" s="7">
        <v>0</v>
      </c>
      <c r="I3905" s="8" t="str">
        <f ca="1">IFERROR(__xludf.DUMMYFUNCTION("IF
(
G3906=""фізична особа""
,
VLOOKUP(H3906,IMPORTRANGE(""https://docs.google.com/spreadsheets/d/14Bd19lYaqBhU8_DElYkX7l4wRkHqqCUFNJY4AfY3kHU/edit?usp=sharing  #gid=0"",""фіз особи new!relations_name""),6,FALSE)
,
(IF
(
G3906=""юридична особа""
,
VLOOKUP"&amp;"(H3906,IMPORTRANGE(""https://docs.google.com/spreadsheets/d/14Bd19lYaqBhU8_DElYkX7l4wRkHqqCUFNJY4AfY3kHU/edit?usp=sharing  #gid=0"",""фіз особи new!relations_name_uo""),7,FALSE)
,
)
))"),"#N/A")</f>
        <v>#N/A</v>
      </c>
      <c r="J3905" s="7" t="s">
        <v>13</v>
      </c>
    </row>
    <row r="3906" spans="1:10" ht="13.2">
      <c r="A3906" s="7">
        <v>3905</v>
      </c>
      <c r="B3906" s="7">
        <v>1</v>
      </c>
      <c r="C3906" s="7" t="s">
        <v>10</v>
      </c>
      <c r="D3906" s="7">
        <v>2464</v>
      </c>
      <c r="E3906" s="7" t="s">
        <v>14</v>
      </c>
      <c r="F3906" s="8" t="str">
        <f ca="1">IFERROR(__xludf.DUMMYFUNCTION("IF
(
C3907=""фізична особа""
,
VLOOKUP(D3907,IMPORTRANGE(""https://docs.google.com/spreadsheets/d/14Bd19lYaqBhU8_DElYkX7l4wRkHqqCUFNJY4AfY3kHU/edit?usp=sharing  #gid=0"",""фіз особи new!relations_name""),6,FALSE)
,
(IF
(
C3907=""юридична особа""
,
VLOOKUP"&amp;"(D3907,IMPORTRANGE(""https://docs.google.com/spreadsheets/d/14Bd19lYaqBhU8_DElYkX7l4wRkHqqCUFNJY4AfY3kHU/edit?usp=sharing  #gid=0"",""фіз особи new!relations_name_uo""),7,FALSE)
,
)
))"),"КОБЯКОВ Антон Анатолійович")</f>
        <v>КОБЯКОВ Антон Анатолійович</v>
      </c>
      <c r="G3906" s="7" t="s">
        <v>10</v>
      </c>
      <c r="H3906" s="7">
        <v>0</v>
      </c>
      <c r="I3906" s="8" t="str">
        <f ca="1">IFERROR(__xludf.DUMMYFUNCTION("IF
(
G3907=""фізична особа""
,
VLOOKUP(H3907,IMPORTRANGE(""https://docs.google.com/spreadsheets/d/14Bd19lYaqBhU8_DElYkX7l4wRkHqqCUFNJY4AfY3kHU/edit?usp=sharing  #gid=0"",""фіз особи new!relations_name""),6,FALSE)
,
(IF
(
G3907=""юридична особа""
,
VLOOKUP"&amp;"(H3907,IMPORTRANGE(""https://docs.google.com/spreadsheets/d/14Bd19lYaqBhU8_DElYkX7l4wRkHqqCUFNJY4AfY3kHU/edit?usp=sharing  #gid=0"",""фіз особи new!relations_name_uo""),7,FALSE)
,
)
))"),"#N/A")</f>
        <v>#N/A</v>
      </c>
      <c r="J3906" s="7" t="s">
        <v>15</v>
      </c>
    </row>
    <row r="3907" spans="1:10" ht="13.2">
      <c r="A3907" s="7">
        <v>3906</v>
      </c>
      <c r="B3907" s="7">
        <v>1</v>
      </c>
      <c r="C3907" s="7" t="s">
        <v>10</v>
      </c>
      <c r="D3907" s="7">
        <v>2465</v>
      </c>
      <c r="E3907" s="7" t="s">
        <v>21</v>
      </c>
      <c r="F3907" s="8" t="str">
        <f ca="1">IFERROR(__xludf.DUMMYFUNCTION("IF
(
C3908=""фізична особа""
,
VLOOKUP(D3908,IMPORTRANGE(""https://docs.google.com/spreadsheets/d/14Bd19lYaqBhU8_DElYkX7l4wRkHqqCUFNJY4AfY3kHU/edit?usp=sharing  #gid=0"",""фіз особи new!relations_name""),6,FALSE)
,
(IF
(
C3908=""юридична особа""
,
VLOOKUP"&amp;"(D3908,IMPORTRANGE(""https://docs.google.com/spreadsheets/d/14Bd19lYaqBhU8_DElYkX7l4wRkHqqCUFNJY4AfY3kHU/edit?usp=sharing  #gid=0"",""фіз особи new!relations_name_uo""),7,FALSE)
,
)
))"),"ЛЕВИЦЬКА Олександра Юріївна")</f>
        <v>ЛЕВИЦЬКА Олександра Юріївна</v>
      </c>
      <c r="G3907" s="7" t="s">
        <v>10</v>
      </c>
      <c r="H3907" s="7">
        <v>0</v>
      </c>
      <c r="I3907" s="8" t="str">
        <f ca="1">IFERROR(__xludf.DUMMYFUNCTION("IF
(
G3908=""фізична особа""
,
VLOOKUP(H3908,IMPORTRANGE(""https://docs.google.com/spreadsheets/d/14Bd19lYaqBhU8_DElYkX7l4wRkHqqCUFNJY4AfY3kHU/edit?usp=sharing  #gid=0"",""фіз особи new!relations_name""),6,FALSE)
,
(IF
(
G3908=""юридична особа""
,
VLOOKUP"&amp;"(H3908,IMPORTRANGE(""https://docs.google.com/spreadsheets/d/14Bd19lYaqBhU8_DElYkX7l4wRkHqqCUFNJY4AfY3kHU/edit?usp=sharing  #gid=0"",""фіз особи new!relations_name_uo""),7,FALSE)
,
)
))"),"#N/A")</f>
        <v>#N/A</v>
      </c>
      <c r="J3907" s="7" t="s">
        <v>13</v>
      </c>
    </row>
    <row r="3908" spans="1:10" ht="13.2">
      <c r="A3908" s="7">
        <v>3907</v>
      </c>
      <c r="B3908" s="7">
        <v>1</v>
      </c>
      <c r="C3908" s="7" t="s">
        <v>10</v>
      </c>
      <c r="D3908" s="7">
        <v>2465</v>
      </c>
      <c r="E3908" s="7" t="s">
        <v>43</v>
      </c>
      <c r="F3908" s="8" t="str">
        <f ca="1">IFERROR(__xludf.DUMMYFUNCTION("IF
(
C3909=""фізична особа""
,
VLOOKUP(D3909,IMPORTRANGE(""https://docs.google.com/spreadsheets/d/14Bd19lYaqBhU8_DElYkX7l4wRkHqqCUFNJY4AfY3kHU/edit?usp=sharing  #gid=0"",""фіз особи new!relations_name""),6,FALSE)
,
(IF
(
C3909=""юридична особа""
,
VLOOKUP"&amp;"(D3909,IMPORTRANGE(""https://docs.google.com/spreadsheets/d/14Bd19lYaqBhU8_DElYkX7l4wRkHqqCUFNJY4AfY3kHU/edit?usp=sharing  #gid=0"",""фіз особи new!relations_name_uo""),7,FALSE)
,
)
))"),"ЛЕВИЦЬКА Олександра Юріївна")</f>
        <v>ЛЕВИЦЬКА Олександра Юріївна</v>
      </c>
      <c r="G3908" s="7" t="s">
        <v>10</v>
      </c>
      <c r="H3908" s="7">
        <v>0</v>
      </c>
      <c r="I3908" s="8" t="str">
        <f ca="1">IFERROR(__xludf.DUMMYFUNCTION("IF
(
G3909=""фізична особа""
,
VLOOKUP(H3909,IMPORTRANGE(""https://docs.google.com/spreadsheets/d/14Bd19lYaqBhU8_DElYkX7l4wRkHqqCUFNJY4AfY3kHU/edit?usp=sharing  #gid=0"",""фіз особи new!relations_name""),6,FALSE)
,
(IF
(
G3909=""юридична особа""
,
VLOOKUP"&amp;"(H3909,IMPORTRANGE(""https://docs.google.com/spreadsheets/d/14Bd19lYaqBhU8_DElYkX7l4wRkHqqCUFNJY4AfY3kHU/edit?usp=sharing  #gid=0"",""фіз особи new!relations_name_uo""),7,FALSE)
,
)
))"),"#N/A")</f>
        <v>#N/A</v>
      </c>
      <c r="J3908" s="7" t="s">
        <v>42</v>
      </c>
    </row>
    <row r="3909" spans="1:10" ht="13.2">
      <c r="A3909" s="7">
        <v>3908</v>
      </c>
      <c r="B3909" s="7">
        <v>1</v>
      </c>
      <c r="C3909" s="7" t="s">
        <v>10</v>
      </c>
      <c r="D3909" s="7">
        <v>2466</v>
      </c>
      <c r="E3909" s="7" t="s">
        <v>19</v>
      </c>
      <c r="F3909" s="8" t="str">
        <f ca="1">IFERROR(__xludf.DUMMYFUNCTION("IF
(
C3910=""фізична особа""
,
VLOOKUP(D3910,IMPORTRANGE(""https://docs.google.com/spreadsheets/d/14Bd19lYaqBhU8_DElYkX7l4wRkHqqCUFNJY4AfY3kHU/edit?usp=sharing  #gid=0"",""фіз особи new!relations_name""),6,FALSE)
,
(IF
(
C3910=""юридична особа""
,
VLOOKUP"&amp;"(D3910,IMPORTRANGE(""https://docs.google.com/spreadsheets/d/14Bd19lYaqBhU8_DElYkX7l4wRkHqqCUFNJY4AfY3kHU/edit?usp=sharing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09" s="7" t="s">
        <v>10</v>
      </c>
      <c r="H3909" s="7">
        <v>0</v>
      </c>
      <c r="I3909" s="8" t="str">
        <f ca="1">IFERROR(__xludf.DUMMYFUNCTION("IF
(
G3910=""фізична особа""
,
VLOOKUP(H3910,IMPORTRANGE(""https://docs.google.com/spreadsheets/d/14Bd19lYaqBhU8_DElYkX7l4wRkHqqCUFNJY4AfY3kHU/edit?usp=sharing  #gid=0"",""фіз особи new!relations_name""),6,FALSE)
,
(IF
(
G3910=""юридична особа""
,
VLOOKUP"&amp;"(H3910,IMPORTRANGE(""https://docs.google.com/spreadsheets/d/14Bd19lYaqBhU8_DElYkX7l4wRkHqqCUFNJY4AfY3kHU/edit?usp=sharing  #gid=0"",""фіз особи new!relations_name_uo""),7,FALSE)
,
)
))"),"#N/A")</f>
        <v>#N/A</v>
      </c>
      <c r="J3909" s="7" t="s">
        <v>22</v>
      </c>
    </row>
    <row r="3910" spans="1:10" ht="13.2">
      <c r="A3910" s="7">
        <v>3909</v>
      </c>
      <c r="B3910" s="7">
        <v>1</v>
      </c>
      <c r="C3910" s="7" t="s">
        <v>10</v>
      </c>
      <c r="D3910" s="7">
        <v>2466</v>
      </c>
      <c r="E3910" s="7" t="s">
        <v>12</v>
      </c>
      <c r="F3910" s="8" t="str">
        <f ca="1">IFERROR(__xludf.DUMMYFUNCTION("IF
(
C3911=""фізична особа""
,
VLOOKUP(D3911,IMPORTRANGE(""https://docs.google.com/spreadsheets/d/14Bd19lYaqBhU8_DElYkX7l4wRkHqqCUFNJY4AfY3kHU/edit?usp=sharing  #gid=0"",""фіз особи new!relations_name""),6,FALSE)
,
(IF
(
C3911=""юридична особа""
,
VLOOKUP"&amp;"(D3911,IMPORTRANGE(""https://docs.google.com/spreadsheets/d/14Bd19lYaqBhU8_DElYkX7l4wRkHqqCUFNJY4AfY3kHU/edit?usp=sharing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0" s="7" t="s">
        <v>10</v>
      </c>
      <c r="H3910" s="7">
        <v>15502</v>
      </c>
      <c r="I3910" s="8" t="str">
        <f ca="1">IFERROR(__xludf.DUMMYFUNCTION("IF
(
G3911=""фізична особа""
,
VLOOKUP(H3911,IMPORTRANGE(""https://docs.google.com/spreadsheets/d/14Bd19lYaqBhU8_DElYkX7l4wRkHqqCUFNJY4AfY3kHU/edit?usp=sharing  #gid=0"",""фіз особи new!relations_name""),6,FALSE)
,
(IF
(
G3911=""юридична особа""
,
VLOOKUP"&amp;"(H3911,IMPORTRANGE(""https://docs.google.com/spreadsheets/d/14Bd19lYaqBhU8_DElYkX7l4wRkHqqCUFNJY4AfY3kHU/edit?usp=sharing  #gid=0"",""фіз особи new!relations_name_uo""),7,FALSE)
,
)
))"),"ТОЛСТАЯ Анастасія Володимирівна")</f>
        <v>ТОЛСТАЯ Анастасія Володимирівна</v>
      </c>
      <c r="J3910" s="7" t="s">
        <v>13</v>
      </c>
    </row>
    <row r="3911" spans="1:10" ht="13.2">
      <c r="A3911" s="7">
        <v>3910</v>
      </c>
      <c r="B3911" s="7">
        <v>1</v>
      </c>
      <c r="C3911" s="7" t="s">
        <v>10</v>
      </c>
      <c r="D3911" s="7">
        <v>2466</v>
      </c>
      <c r="E3911" s="7" t="s">
        <v>12</v>
      </c>
      <c r="F3911" s="8" t="str">
        <f ca="1">IFERROR(__xludf.DUMMYFUNCTION("IF
(
C3912=""фізична особа""
,
VLOOKUP(D3912,IMPORTRANGE(""https://docs.google.com/spreadsheets/d/14Bd19lYaqBhU8_DElYkX7l4wRkHqqCUFNJY4AfY3kHU/edit?usp=sharing  #gid=0"",""фіз особи new!relations_name""),6,FALSE)
,
(IF
(
C3912=""юридична особа""
,
VLOOKUP"&amp;"(D3912,IMPORTRANGE(""https://docs.google.com/spreadsheets/d/14Bd19lYaqBhU8_DElYkX7l4wRkHqqCUFNJY4AfY3kHU/edit?usp=sharing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1" s="7" t="s">
        <v>10</v>
      </c>
      <c r="H3911" s="7">
        <v>0</v>
      </c>
      <c r="I3911" s="8" t="str">
        <f ca="1">IFERROR(__xludf.DUMMYFUNCTION("IF
(
G3912=""фізична особа""
,
VLOOKUP(H3912,IMPORTRANGE(""https://docs.google.com/spreadsheets/d/14Bd19lYaqBhU8_DElYkX7l4wRkHqqCUFNJY4AfY3kHU/edit?usp=sharing  #gid=0"",""фіз особи new!relations_name""),6,FALSE)
,
(IF
(
G3912=""юридична особа""
,
VLOOKUP"&amp;"(H3912,IMPORTRANGE(""https://docs.google.com/spreadsheets/d/14Bd19lYaqBhU8_DElYkX7l4wRkHqqCUFNJY4AfY3kHU/edit?usp=sharing  #gid=0"",""фіз особи new!relations_name_uo""),7,FALSE)
,
)
))"),"#N/A")</f>
        <v>#N/A</v>
      </c>
      <c r="J3911" s="7" t="s">
        <v>13</v>
      </c>
    </row>
    <row r="3912" spans="1:10" ht="13.2">
      <c r="A3912" s="7">
        <v>3911</v>
      </c>
      <c r="B3912" s="7">
        <v>1</v>
      </c>
      <c r="C3912" s="7" t="s">
        <v>10</v>
      </c>
      <c r="D3912" s="7">
        <v>2466</v>
      </c>
      <c r="E3912" s="7" t="s">
        <v>14</v>
      </c>
      <c r="F3912" s="8" t="str">
        <f ca="1">IFERROR(__xludf.DUMMYFUNCTION("IF
(
C3913=""фізична особа""
,
VLOOKUP(D3913,IMPORTRANGE(""https://docs.google.com/spreadsheets/d/14Bd19lYaqBhU8_DElYkX7l4wRkHqqCUFNJY4AfY3kHU/edit?usp=sharing  #gid=0"",""фіз особи new!relations_name""),6,FALSE)
,
(IF
(
C3913=""юридична особа""
,
VLOOKUP"&amp;"(D3913,IMPORTRANGE(""https://docs.google.com/spreadsheets/d/14Bd19lYaqBhU8_DElYkX7l4wRkHqqCUFNJY4AfY3kHU/edit?usp=sharing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2" s="7" t="s">
        <v>10</v>
      </c>
      <c r="H3912" s="7">
        <v>0</v>
      </c>
      <c r="I3912" s="8" t="str">
        <f ca="1">IFERROR(__xludf.DUMMYFUNCTION("IF
(
G3913=""фізична особа""
,
VLOOKUP(H3913,IMPORTRANGE(""https://docs.google.com/spreadsheets/d/14Bd19lYaqBhU8_DElYkX7l4wRkHqqCUFNJY4AfY3kHU/edit?usp=sharing  #gid=0"",""фіз особи new!relations_name""),6,FALSE)
,
(IF
(
G3913=""юридична особа""
,
VLOOKUP"&amp;"(H3913,IMPORTRANGE(""https://docs.google.com/spreadsheets/d/14Bd19lYaqBhU8_DElYkX7l4wRkHqqCUFNJY4AfY3kHU/edit?usp=sharing  #gid=0"",""фіз особи new!relations_name_uo""),7,FALSE)
,
)
))"),"#N/A")</f>
        <v>#N/A</v>
      </c>
      <c r="J3912" s="7" t="s">
        <v>15</v>
      </c>
    </row>
    <row r="3913" spans="1:10" ht="13.2">
      <c r="A3913" s="7">
        <v>3912</v>
      </c>
      <c r="B3913" s="7">
        <v>1</v>
      </c>
      <c r="C3913" s="7" t="s">
        <v>10</v>
      </c>
      <c r="D3913" s="7">
        <v>2466</v>
      </c>
      <c r="E3913" s="7" t="s">
        <v>12</v>
      </c>
      <c r="F3913" s="8" t="str">
        <f ca="1">IFERROR(__xludf.DUMMYFUNCTION("IF
(
C3914=""фізична особа""
,
VLOOKUP(D3914,IMPORTRANGE(""https://docs.google.com/spreadsheets/d/14Bd19lYaqBhU8_DElYkX7l4wRkHqqCUFNJY4AfY3kHU/edit?usp=sharing  #gid=0"",""фіз особи new!relations_name""),6,FALSE)
,
(IF
(
C3914=""юридична особа""
,
VLOOKUP"&amp;"(D3914,IMPORTRANGE(""https://docs.google.com/spreadsheets/d/14Bd19lYaqBhU8_DElYkX7l4wRkHqqCUFNJY4AfY3kHU/edit?usp=sharing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3" s="7" t="s">
        <v>10</v>
      </c>
      <c r="H3913" s="7">
        <v>0</v>
      </c>
      <c r="I3913" s="8" t="str">
        <f ca="1">IFERROR(__xludf.DUMMYFUNCTION("IF
(
G3914=""фізична особа""
,
VLOOKUP(H3914,IMPORTRANGE(""https://docs.google.com/spreadsheets/d/14Bd19lYaqBhU8_DElYkX7l4wRkHqqCUFNJY4AfY3kHU/edit?usp=sharing  #gid=0"",""фіз особи new!relations_name""),6,FALSE)
,
(IF
(
G3914=""юридична особа""
,
VLOOKUP"&amp;"(H3914,IMPORTRANGE(""https://docs.google.com/spreadsheets/d/14Bd19lYaqBhU8_DElYkX7l4wRkHqqCUFNJY4AfY3kHU/edit?usp=sharing  #gid=0"",""фіз особи new!relations_name_uo""),7,FALSE)
,
)
))"),"#N/A")</f>
        <v>#N/A</v>
      </c>
      <c r="J3913" s="7" t="s">
        <v>17</v>
      </c>
    </row>
    <row r="3914" spans="1:10" ht="13.2">
      <c r="A3914" s="7">
        <v>3913</v>
      </c>
      <c r="B3914" s="7">
        <v>1</v>
      </c>
      <c r="C3914" s="7" t="s">
        <v>10</v>
      </c>
      <c r="D3914" s="7">
        <v>2466</v>
      </c>
      <c r="E3914" s="7" t="s">
        <v>12</v>
      </c>
      <c r="F3914" s="8" t="str">
        <f ca="1">IFERROR(__xludf.DUMMYFUNCTION("IF
(
C3915=""фізична особа""
,
VLOOKUP(D3915,IMPORTRANGE(""https://docs.google.com/spreadsheets/d/14Bd19lYaqBhU8_DElYkX7l4wRkHqqCUFNJY4AfY3kHU/edit?usp=sharing  #gid=0"",""фіз особи new!relations_name""),6,FALSE)
,
(IF
(
C3915=""юридична особа""
,
VLOOKUP"&amp;"(D3915,IMPORTRANGE(""https://docs.google.com/spreadsheets/d/14Bd19lYaqBhU8_DElYkX7l4wRkHqqCUFNJY4AfY3kHU/edit?usp=sharing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4" s="7" t="s">
        <v>10</v>
      </c>
      <c r="H3914" s="7">
        <v>0</v>
      </c>
      <c r="I3914" s="8" t="str">
        <f ca="1">IFERROR(__xludf.DUMMYFUNCTION("IF
(
G3915=""фізична особа""
,
VLOOKUP(H3915,IMPORTRANGE(""https://docs.google.com/spreadsheets/d/14Bd19lYaqBhU8_DElYkX7l4wRkHqqCUFNJY4AfY3kHU/edit?usp=sharing  #gid=0"",""фіз особи new!relations_name""),6,FALSE)
,
(IF
(
G3915=""юридична особа""
,
VLOOKUP"&amp;"(H3915,IMPORTRANGE(""https://docs.google.com/spreadsheets/d/14Bd19lYaqBhU8_DElYkX7l4wRkHqqCUFNJY4AfY3kHU/edit?usp=sharing  #gid=0"",""фіз особи new!relations_name_uo""),7,FALSE)
,
)
))"),"#N/A")</f>
        <v>#N/A</v>
      </c>
      <c r="J3914" s="7" t="s">
        <v>17</v>
      </c>
    </row>
    <row r="3915" spans="1:10" ht="13.2">
      <c r="A3915" s="7">
        <v>3914</v>
      </c>
      <c r="B3915" s="7">
        <v>1</v>
      </c>
      <c r="C3915" s="7" t="s">
        <v>10</v>
      </c>
      <c r="D3915" s="7">
        <v>2466</v>
      </c>
      <c r="E3915" s="7" t="s">
        <v>19</v>
      </c>
      <c r="F3915" s="8" t="str">
        <f ca="1">IFERROR(__xludf.DUMMYFUNCTION("IF
(
C3916=""фізична особа""
,
VLOOKUP(D3916,IMPORTRANGE(""https://docs.google.com/spreadsheets/d/14Bd19lYaqBhU8_DElYkX7l4wRkHqqCUFNJY4AfY3kHU/edit?usp=sharing  #gid=0"",""фіз особи new!relations_name""),6,FALSE)
,
(IF
(
C3916=""юридична особа""
,
VLOOKUP"&amp;"(D3916,IMPORTRANGE(""https://docs.google.com/spreadsheets/d/14Bd19lYaqBhU8_DElYkX7l4wRkHqqCUFNJY4AfY3kHU/edit?usp=sharing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5" s="7" t="s">
        <v>10</v>
      </c>
      <c r="H3915" s="7">
        <v>23484</v>
      </c>
      <c r="I3915" s="8" t="str">
        <f ca="1">IFERROR(__xludf.DUMMYFUNCTION("IF
(
G3916=""фізична особа""
,
VLOOKUP(H3916,IMPORTRANGE(""https://docs.google.com/spreadsheets/d/14Bd19lYaqBhU8_DElYkX7l4wRkHqqCUFNJY4AfY3kHU/edit?usp=sharing  #gid=0"",""фіз особи new!relations_name""),6,FALSE)
,
(IF
(
G3916=""юридична особа""
,
VLOOKUP"&amp;"(H3916,IMPORTRANGE(""https://docs.google.com/spreadsheets/d/14Bd19lYaqBhU8_DElYkX7l4wRkHqqCUFNJY4AfY3kHU/edit?usp=sharing  #gid=0"",""фіз особи new!relations_name_uo""),7,FALSE)
,
)
))"),"ТОЛСТОЙ Ілля Ілліч")</f>
        <v>ТОЛСТОЙ Ілля Ілліч</v>
      </c>
      <c r="J3915" s="7" t="s">
        <v>20</v>
      </c>
    </row>
    <row r="3916" spans="1:10" ht="13.2">
      <c r="A3916" s="7">
        <v>3915</v>
      </c>
      <c r="B3916" s="7">
        <v>1</v>
      </c>
      <c r="C3916" s="7" t="s">
        <v>10</v>
      </c>
      <c r="D3916" s="7">
        <v>2466</v>
      </c>
      <c r="E3916" s="7" t="s">
        <v>18</v>
      </c>
      <c r="F3916" s="8" t="str">
        <f ca="1">IFERROR(__xludf.DUMMYFUNCTION("IF
(
C3917=""фізична особа""
,
VLOOKUP(D3917,IMPORTRANGE(""https://docs.google.com/spreadsheets/d/14Bd19lYaqBhU8_DElYkX7l4wRkHqqCUFNJY4AfY3kHU/edit?usp=sharing  #gid=0"",""фіз особи new!relations_name""),6,FALSE)
,
(IF
(
C3917=""юридична особа""
,
VLOOKUP"&amp;"(D3917,IMPORTRANGE(""https://docs.google.com/spreadsheets/d/14Bd19lYaqBhU8_DElYkX7l4wRkHqqCUFNJY4AfY3kHU/edit?usp=sharing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6" s="7" t="s">
        <v>10</v>
      </c>
      <c r="H3916" s="7">
        <v>23484</v>
      </c>
      <c r="I3916" s="8" t="str">
        <f ca="1">IFERROR(__xludf.DUMMYFUNCTION("IF
(
G3917=""фізична особа""
,
VLOOKUP(H3917,IMPORTRANGE(""https://docs.google.com/spreadsheets/d/14Bd19lYaqBhU8_DElYkX7l4wRkHqqCUFNJY4AfY3kHU/edit?usp=sharing  #gid=0"",""фіз особи new!relations_name""),6,FALSE)
,
(IF
(
G3917=""юридична особа""
,
VLOOKUP"&amp;"(H3917,IMPORTRANGE(""https://docs.google.com/spreadsheets/d/14Bd19lYaqBhU8_DElYkX7l4wRkHqqCUFNJY4AfY3kHU/edit?usp=sharing  #gid=0"",""фіз особи new!relations_name_uo""),7,FALSE)
,
)
))"),"ТОЛСТОЙ Ілля Ілліч")</f>
        <v>ТОЛСТОЙ Ілля Ілліч</v>
      </c>
      <c r="J3916" s="7" t="s">
        <v>18</v>
      </c>
    </row>
    <row r="3917" spans="1:10" ht="13.2">
      <c r="A3917" s="7">
        <v>3916</v>
      </c>
      <c r="B3917" s="7">
        <v>1</v>
      </c>
      <c r="C3917" s="7" t="s">
        <v>10</v>
      </c>
      <c r="D3917" s="7">
        <v>2466</v>
      </c>
      <c r="E3917" s="7" t="s">
        <v>24</v>
      </c>
      <c r="F3917" s="8" t="str">
        <f ca="1">IFERROR(__xludf.DUMMYFUNCTION("IF
(
C3918=""фізична особа""
,
VLOOKUP(D3918,IMPORTRANGE(""https://docs.google.com/spreadsheets/d/14Bd19lYaqBhU8_DElYkX7l4wRkHqqCUFNJY4AfY3kHU/edit?usp=sharing  #gid=0"",""фіз особи new!relations_name""),6,FALSE)
,
(IF
(
C3918=""юридична особа""
,
VLOOKUP"&amp;"(D3918,IMPORTRANGE(""https://docs.google.com/spreadsheets/d/14Bd19lYaqBhU8_DElYkX7l4wRkHqqCUFNJY4AfY3kHU/edit?usp=sharing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7" s="7" t="s">
        <v>10</v>
      </c>
      <c r="H3917" s="7">
        <v>687</v>
      </c>
      <c r="I3917" s="8" t="str">
        <f ca="1">IFERROR(__xludf.DUMMYFUNCTION("IF
(
G3918=""фізична особа""
,
VLOOKUP(H3918,IMPORTRANGE(""https://docs.google.com/spreadsheets/d/14Bd19lYaqBhU8_DElYkX7l4wRkHqqCUFNJY4AfY3kHU/edit?usp=sharing  #gid=0"",""фіз особи new!relations_name""),6,FALSE)
,
(IF
(
G3918=""юридична особа""
,
VLOOKUP"&amp;"(H3918,IMPORTRANGE(""https://docs.google.com/spreadsheets/d/14Bd19lYaqBhU8_DElYkX7l4wRkHqqCUFNJY4AfY3kHU/edit?usp=sharing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J3917" s="7" t="s">
        <v>26</v>
      </c>
    </row>
    <row r="3918" spans="1:10" ht="13.2">
      <c r="A3918" s="7">
        <v>3917</v>
      </c>
      <c r="B3918" s="7">
        <v>1</v>
      </c>
      <c r="C3918" s="7" t="s">
        <v>10</v>
      </c>
      <c r="D3918" s="7">
        <v>2466</v>
      </c>
      <c r="E3918" s="7" t="s">
        <v>59</v>
      </c>
      <c r="F3918" s="8" t="str">
        <f ca="1">IFERROR(__xludf.DUMMYFUNCTION("IF
(
C3919=""фізична особа""
,
VLOOKUP(D3919,IMPORTRANGE(""https://docs.google.com/spreadsheets/d/14Bd19lYaqBhU8_DElYkX7l4wRkHqqCUFNJY4AfY3kHU/edit?usp=sharing  #gid=0"",""фіз особи new!relations_name""),6,FALSE)
,
(IF
(
C3919=""юридична особа""
,
VLOOKUP"&amp;"(D3919,IMPORTRANGE(""https://docs.google.com/spreadsheets/d/14Bd19lYaqBhU8_DElYkX7l4wRkHqqCUFNJY4AfY3kHU/edit?usp=sharing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8" s="7" t="s">
        <v>10</v>
      </c>
      <c r="H3918" s="7">
        <v>23441</v>
      </c>
      <c r="I3918" s="8" t="str">
        <f ca="1">IFERROR(__xludf.DUMMYFUNCTION("IF
(
G3919=""фізична особа""
,
VLOOKUP(H3919,IMPORTRANGE(""https://docs.google.com/spreadsheets/d/14Bd19lYaqBhU8_DElYkX7l4wRkHqqCUFNJY4AfY3kHU/edit?usp=sharing  #gid=0"",""фіз особи new!relations_name""),6,FALSE)
,
(IF
(
G3919=""юридична особа""
,
VLOOKUP"&amp;"(H3919,IMPORTRANGE(""https://docs.google.com/spreadsheets/d/14Bd19lYaqBhU8_DElYkX7l4wRkHqqCUFNJY4AfY3kHU/edit?usp=sharing  #gid=0"",""фіз особи new!relations_name_uo""),7,FALSE)
,
)
))"),"ШАРГУНОВА Катерина Сергіївна")</f>
        <v>ШАРГУНОВА Катерина Сергіївна</v>
      </c>
      <c r="J3918" s="7" t="s">
        <v>60</v>
      </c>
    </row>
    <row r="3919" spans="1:10" ht="13.2">
      <c r="A3919" s="7">
        <v>3918</v>
      </c>
      <c r="B3919" s="7">
        <v>1</v>
      </c>
      <c r="C3919" s="7" t="s">
        <v>10</v>
      </c>
      <c r="D3919" s="7">
        <v>2466</v>
      </c>
      <c r="E3919" s="7" t="s">
        <v>42</v>
      </c>
      <c r="F3919" s="8" t="str">
        <f ca="1">IFERROR(__xludf.DUMMYFUNCTION("IF
(
C3920=""фізична особа""
,
VLOOKUP(D3920,IMPORTRANGE(""https://docs.google.com/spreadsheets/d/14Bd19lYaqBhU8_DElYkX7l4wRkHqqCUFNJY4AfY3kHU/edit?usp=sharing  #gid=0"",""фіз особи new!relations_name""),6,FALSE)
,
(IF
(
C3920=""юридична особа""
,
VLOOKUP"&amp;"(D3920,IMPORTRANGE(""https://docs.google.com/spreadsheets/d/14Bd19lYaqBhU8_DElYkX7l4wRkHqqCUFNJY4AfY3kHU/edit?usp=sharing  #gid=0"",""фіз особи new!relations_name_uo""),7,FALSE)
,
)
))"),"ТОЛСТОЙ Володимир Ілліч")</f>
        <v>ТОЛСТОЙ Володимир Ілліч</v>
      </c>
      <c r="G3919" s="7" t="s">
        <v>10</v>
      </c>
      <c r="H3919" s="7">
        <v>0</v>
      </c>
      <c r="I3919" s="8" t="str">
        <f ca="1">IFERROR(__xludf.DUMMYFUNCTION("IF
(
G3920=""фізична особа""
,
VLOOKUP(H3920,IMPORTRANGE(""https://docs.google.com/spreadsheets/d/14Bd19lYaqBhU8_DElYkX7l4wRkHqqCUFNJY4AfY3kHU/edit?usp=sharing  #gid=0"",""фіз особи new!relations_name""),6,FALSE)
,
(IF
(
G3920=""юридична особа""
,
VLOOKUP"&amp;"(H3920,IMPORTRANGE(""https://docs.google.com/spreadsheets/d/14Bd19lYaqBhU8_DElYkX7l4wRkHqqCUFNJY4AfY3kHU/edit?usp=sharing  #gid=0"",""фіз особи new!relations_name_uo""),7,FALSE)
,
)
))"),"#N/A")</f>
        <v>#N/A</v>
      </c>
      <c r="J3919" s="7" t="s">
        <v>43</v>
      </c>
    </row>
    <row r="3920" spans="1:10" ht="13.2">
      <c r="A3920" s="7">
        <v>3919</v>
      </c>
      <c r="B3920" s="7">
        <v>1</v>
      </c>
      <c r="C3920" s="7" t="s">
        <v>10</v>
      </c>
      <c r="D3920" s="7">
        <v>2467</v>
      </c>
      <c r="E3920" s="7" t="s">
        <v>14</v>
      </c>
      <c r="F3920" s="8" t="str">
        <f ca="1">IFERROR(__xludf.DUMMYFUNCTION("IF
(
C3921=""фізична особа""
,
VLOOKUP(D3921,IMPORTRANGE(""https://docs.google.com/spreadsheets/d/14Bd19lYaqBhU8_DElYkX7l4wRkHqqCUFNJY4AfY3kHU/edit?usp=sharing  #gid=0"",""фіз особи new!relations_name""),6,FALSE)
,
(IF
(
C3921=""юридична особа""
,
VLOOKUP"&amp;"(D3921,IMPORTRANGE(""https://docs.google.com/spreadsheets/d/14Bd19lYaqBhU8_DElYkX7l4wRkHqqCUFNJY4AfY3kHU/edit?usp=sharing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G3920" s="7" t="s">
        <v>10</v>
      </c>
      <c r="H3920" s="7">
        <v>0</v>
      </c>
      <c r="I3920" s="8" t="str">
        <f ca="1">IFERROR(__xludf.DUMMYFUNCTION("IF
(
G3921=""фізична особа""
,
VLOOKUP(H3921,IMPORTRANGE(""https://docs.google.com/spreadsheets/d/14Bd19lYaqBhU8_DElYkX7l4wRkHqqCUFNJY4AfY3kHU/edit?usp=sharing  #gid=0"",""фіз особи new!relations_name""),6,FALSE)
,
(IF
(
G3921=""юридична особа""
,
VLOOKUP"&amp;"(H3921,IMPORTRANGE(""https://docs.google.com/spreadsheets/d/14Bd19lYaqBhU8_DElYkX7l4wRkHqqCUFNJY4AfY3kHU/edit?usp=sharing  #gid=0"",""фіз особи new!relations_name_uo""),7,FALSE)
,
)
))"),"#N/A")</f>
        <v>#N/A</v>
      </c>
      <c r="J3920" s="7" t="s">
        <v>15</v>
      </c>
    </row>
    <row r="3921" spans="1:10" ht="13.2">
      <c r="A3921" s="7">
        <v>3920</v>
      </c>
      <c r="B3921" s="7">
        <v>1</v>
      </c>
      <c r="C3921" s="7" t="s">
        <v>10</v>
      </c>
      <c r="D3921" s="7">
        <v>2467</v>
      </c>
      <c r="E3921" s="7" t="s">
        <v>32</v>
      </c>
      <c r="F3921" s="8" t="str">
        <f ca="1">IFERROR(__xludf.DUMMYFUNCTION("IF
(
C3922=""фізична особа""
,
VLOOKUP(D3922,IMPORTRANGE(""https://docs.google.com/spreadsheets/d/14Bd19lYaqBhU8_DElYkX7l4wRkHqqCUFNJY4AfY3kHU/edit?usp=sharing  #gid=0"",""фіз особи new!relations_name""),6,FALSE)
,
(IF
(
C3922=""юридична особа""
,
VLOOKUP"&amp;"(D3922,IMPORTRANGE(""https://docs.google.com/spreadsheets/d/14Bd19lYaqBhU8_DElYkX7l4wRkHqqCUFNJY4AfY3kHU/edit?usp=sharing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G3921" s="7" t="s">
        <v>10</v>
      </c>
      <c r="H3921" s="7">
        <v>0</v>
      </c>
      <c r="I3921" s="8" t="str">
        <f ca="1">IFERROR(__xludf.DUMMYFUNCTION("IF
(
G3922=""фізична особа""
,
VLOOKUP(H3922,IMPORTRANGE(""https://docs.google.com/spreadsheets/d/14Bd19lYaqBhU8_DElYkX7l4wRkHqqCUFNJY4AfY3kHU/edit?usp=sharing  #gid=0"",""фіз особи new!relations_name""),6,FALSE)
,
(IF
(
G3922=""юридична особа""
,
VLOOKUP"&amp;"(H3922,IMPORTRANGE(""https://docs.google.com/spreadsheets/d/14Bd19lYaqBhU8_DElYkX7l4wRkHqqCUFNJY4AfY3kHU/edit?usp=sharing  #gid=0"",""фіз особи new!relations_name_uo""),7,FALSE)
,
)
))"),"#N/A")</f>
        <v>#N/A</v>
      </c>
      <c r="J3921" s="7" t="s">
        <v>49</v>
      </c>
    </row>
    <row r="3922" spans="1:10" ht="13.2">
      <c r="A3922" s="7">
        <v>3921</v>
      </c>
      <c r="B3922" s="7">
        <v>1</v>
      </c>
      <c r="C3922" s="7" t="s">
        <v>10</v>
      </c>
      <c r="D3922" s="7">
        <v>2467</v>
      </c>
      <c r="E3922" s="7" t="s">
        <v>12</v>
      </c>
      <c r="F3922" s="8" t="str">
        <f ca="1">IFERROR(__xludf.DUMMYFUNCTION("IF
(
C3923=""фізична особа""
,
VLOOKUP(D3923,IMPORTRANGE(""https://docs.google.com/spreadsheets/d/14Bd19lYaqBhU8_DElYkX7l4wRkHqqCUFNJY4AfY3kHU/edit?usp=sharing  #gid=0"",""фіз особи new!relations_name""),6,FALSE)
,
(IF
(
C3923=""юридична особа""
,
VLOOKUP"&amp;"(D3923,IMPORTRANGE(""https://docs.google.com/spreadsheets/d/14Bd19lYaqBhU8_DElYkX7l4wRkHqqCUFNJY4AfY3kHU/edit?usp=sharing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G3922" s="7" t="s">
        <v>10</v>
      </c>
      <c r="H3922" s="7">
        <v>0</v>
      </c>
      <c r="I3922" s="8" t="str">
        <f ca="1">IFERROR(__xludf.DUMMYFUNCTION("IF
(
G3923=""фізична особа""
,
VLOOKUP(H3923,IMPORTRANGE(""https://docs.google.com/spreadsheets/d/14Bd19lYaqBhU8_DElYkX7l4wRkHqqCUFNJY4AfY3kHU/edit?usp=sharing  #gid=0"",""фіз особи new!relations_name""),6,FALSE)
,
(IF
(
G3923=""юридична особа""
,
VLOOKUP"&amp;"(H3923,IMPORTRANGE(""https://docs.google.com/spreadsheets/d/14Bd19lYaqBhU8_DElYkX7l4wRkHqqCUFNJY4AfY3kHU/edit?usp=sharing  #gid=0"",""фіз особи new!relations_name_uo""),7,FALSE)
,
)
))"),"#N/A")</f>
        <v>#N/A</v>
      </c>
      <c r="J3922" s="7" t="s">
        <v>13</v>
      </c>
    </row>
    <row r="3923" spans="1:10" ht="13.2">
      <c r="A3923" s="7">
        <v>3922</v>
      </c>
      <c r="B3923" s="7">
        <v>1</v>
      </c>
      <c r="C3923" s="7" t="s">
        <v>10</v>
      </c>
      <c r="D3923" s="7">
        <v>2468</v>
      </c>
      <c r="E3923" s="7" t="s">
        <v>12</v>
      </c>
      <c r="F3923" s="8" t="str">
        <f ca="1">IFERROR(__xludf.DUMMYFUNCTION("IF
(
C3924=""фізична особа""
,
VLOOKUP(D3924,IMPORTRANGE(""https://docs.google.com/spreadsheets/d/14Bd19lYaqBhU8_DElYkX7l4wRkHqqCUFNJY4AfY3kHU/edit?usp=sharing  #gid=0"",""фіз особи new!relations_name""),6,FALSE)
,
(IF
(
C3924=""юридична особа""
,
VLOOKUP"&amp;"(D3924,IMPORTRANGE(""https://docs.google.com/spreadsheets/d/14Bd19lYaqBhU8_DElYkX7l4wRkHqqCUFNJY4AfY3kHU/edit?usp=sharing  #gid=0"",""фіз особи new!relations_name_uo""),7,FALSE)
,
)
))"),"Невєров Ігор Святославович")</f>
        <v>Невєров Ігор Святославович</v>
      </c>
      <c r="G3923" s="7" t="s">
        <v>10</v>
      </c>
      <c r="H3923" s="7">
        <v>0</v>
      </c>
      <c r="I3923" s="8" t="str">
        <f ca="1">IFERROR(__xludf.DUMMYFUNCTION("IF
(
G3924=""фізична особа""
,
VLOOKUP(H3924,IMPORTRANGE(""https://docs.google.com/spreadsheets/d/14Bd19lYaqBhU8_DElYkX7l4wRkHqqCUFNJY4AfY3kHU/edit?usp=sharing  #gid=0"",""фіз особи new!relations_name""),6,FALSE)
,
(IF
(
G3924=""юридична особа""
,
VLOOKUP"&amp;"(H3924,IMPORTRANGE(""https://docs.google.com/spreadsheets/d/14Bd19lYaqBhU8_DElYkX7l4wRkHqqCUFNJY4AfY3kHU/edit?usp=sharing  #gid=0"",""фіз особи new!relations_name_uo""),7,FALSE)
,
)
))"),"#N/A")</f>
        <v>#N/A</v>
      </c>
      <c r="J3923" s="7" t="s">
        <v>13</v>
      </c>
    </row>
    <row r="3924" spans="1:10" ht="13.2">
      <c r="A3924" s="7">
        <v>3923</v>
      </c>
      <c r="B3924" s="7">
        <v>1</v>
      </c>
      <c r="C3924" s="7" t="s">
        <v>10</v>
      </c>
      <c r="D3924" s="7">
        <v>2468</v>
      </c>
      <c r="E3924" s="7" t="s">
        <v>12</v>
      </c>
      <c r="F3924" s="8" t="str">
        <f ca="1">IFERROR(__xludf.DUMMYFUNCTION("IF
(
C3925=""фізична особа""
,
VLOOKUP(D3925,IMPORTRANGE(""https://docs.google.com/spreadsheets/d/14Bd19lYaqBhU8_DElYkX7l4wRkHqqCUFNJY4AfY3kHU/edit?usp=sharing  #gid=0"",""фіз особи new!relations_name""),6,FALSE)
,
(IF
(
C3925=""юридична особа""
,
VLOOKUP"&amp;"(D3925,IMPORTRANGE(""https://docs.google.com/spreadsheets/d/14Bd19lYaqBhU8_DElYkX7l4wRkHqqCUFNJY4AfY3kHU/edit?usp=sharing  #gid=0"",""фіз особи new!relations_name_uo""),7,FALSE)
,
)
))"),"Невєров Ігор Святославович")</f>
        <v>Невєров Ігор Святославович</v>
      </c>
      <c r="G3924" s="7" t="s">
        <v>10</v>
      </c>
      <c r="H3924" s="7">
        <v>0</v>
      </c>
      <c r="I3924" s="8" t="str">
        <f ca="1">IFERROR(__xludf.DUMMYFUNCTION("IF
(
G3925=""фізична особа""
,
VLOOKUP(H3925,IMPORTRANGE(""https://docs.google.com/spreadsheets/d/14Bd19lYaqBhU8_DElYkX7l4wRkHqqCUFNJY4AfY3kHU/edit?usp=sharing  #gid=0"",""фіз особи new!relations_name""),6,FALSE)
,
(IF
(
G3925=""юридична особа""
,
VLOOKUP"&amp;"(H3925,IMPORTRANGE(""https://docs.google.com/spreadsheets/d/14Bd19lYaqBhU8_DElYkX7l4wRkHqqCUFNJY4AfY3kHU/edit?usp=sharing  #gid=0"",""фіз особи new!relations_name_uo""),7,FALSE)
,
)
))"),"#N/A")</f>
        <v>#N/A</v>
      </c>
      <c r="J3924" s="7" t="s">
        <v>13</v>
      </c>
    </row>
    <row r="3925" spans="1:10" ht="13.2">
      <c r="A3925" s="7">
        <v>3924</v>
      </c>
      <c r="B3925" s="7">
        <v>1</v>
      </c>
      <c r="C3925" s="7" t="s">
        <v>10</v>
      </c>
      <c r="D3925" s="7">
        <v>2468</v>
      </c>
      <c r="E3925" s="7" t="s">
        <v>14</v>
      </c>
      <c r="F3925" s="8" t="str">
        <f ca="1">IFERROR(__xludf.DUMMYFUNCTION("IF
(
C3926=""фізична особа""
,
VLOOKUP(D3926,IMPORTRANGE(""https://docs.google.com/spreadsheets/d/14Bd19lYaqBhU8_DElYkX7l4wRkHqqCUFNJY4AfY3kHU/edit?usp=sharing  #gid=0"",""фіз особи new!relations_name""),6,FALSE)
,
(IF
(
C3926=""юридична особа""
,
VLOOKUP"&amp;"(D3926,IMPORTRANGE(""https://docs.google.com/spreadsheets/d/14Bd19lYaqBhU8_DElYkX7l4wRkHqqCUFNJY4AfY3kHU/edit?usp=sharing  #gid=0"",""фіз особи new!relations_name_uo""),7,FALSE)
,
)
))"),"Невєров Ігор Святославович")</f>
        <v>Невєров Ігор Святославович</v>
      </c>
      <c r="G3925" s="7" t="s">
        <v>10</v>
      </c>
      <c r="H3925" s="7">
        <v>0</v>
      </c>
      <c r="I3925" s="8" t="str">
        <f ca="1">IFERROR(__xludf.DUMMYFUNCTION("IF
(
G3926=""фізична особа""
,
VLOOKUP(H3926,IMPORTRANGE(""https://docs.google.com/spreadsheets/d/14Bd19lYaqBhU8_DElYkX7l4wRkHqqCUFNJY4AfY3kHU/edit?usp=sharing  #gid=0"",""фіз особи new!relations_name""),6,FALSE)
,
(IF
(
G3926=""юридична особа""
,
VLOOKUP"&amp;"(H3926,IMPORTRANGE(""https://docs.google.com/spreadsheets/d/14Bd19lYaqBhU8_DElYkX7l4wRkHqqCUFNJY4AfY3kHU/edit?usp=sharing  #gid=0"",""фіз особи new!relations_name_uo""),7,FALSE)
,
)
))"),"#N/A")</f>
        <v>#N/A</v>
      </c>
      <c r="J3925" s="7" t="s">
        <v>15</v>
      </c>
    </row>
    <row r="3926" spans="1:10" ht="13.2">
      <c r="A3926" s="7">
        <v>3925</v>
      </c>
      <c r="B3926" s="7">
        <v>1</v>
      </c>
      <c r="C3926" s="7" t="s">
        <v>10</v>
      </c>
      <c r="D3926" s="7">
        <v>2471</v>
      </c>
      <c r="E3926" s="7" t="s">
        <v>12</v>
      </c>
      <c r="F3926" s="8" t="str">
        <f ca="1">IFERROR(__xludf.DUMMYFUNCTION("IF
(
C3927=""фізична особа""
,
VLOOKUP(D3927,IMPORTRANGE(""https://docs.google.com/spreadsheets/d/14Bd19lYaqBhU8_DElYkX7l4wRkHqqCUFNJY4AfY3kHU/edit?usp=sharing  #gid=0"",""фіз особи new!relations_name""),6,FALSE)
,
(IF
(
C3927=""юридична особа""
,
VLOOKUP"&amp;"(D3927,IMPORTRANGE(""https://docs.google.com/spreadsheets/d/14Bd19lYaqBhU8_DElYkX7l4wRkHqqCUFNJY4AfY3kHU/edit?usp=sharing  #gid=0"",""фіз особи new!relations_name_uo""),7,FALSE)
,
)
))"),"ЦИБУЛІН Андрій Михайлович")</f>
        <v>ЦИБУЛІН Андрій Михайлович</v>
      </c>
      <c r="G3926" s="7" t="s">
        <v>10</v>
      </c>
      <c r="H3926" s="7">
        <v>0</v>
      </c>
      <c r="I3926" s="8" t="str">
        <f ca="1">IFERROR(__xludf.DUMMYFUNCTION("IF
(
G3927=""фізична особа""
,
VLOOKUP(H3927,IMPORTRANGE(""https://docs.google.com/spreadsheets/d/14Bd19lYaqBhU8_DElYkX7l4wRkHqqCUFNJY4AfY3kHU/edit?usp=sharing  #gid=0"",""фіз особи new!relations_name""),6,FALSE)
,
(IF
(
G3927=""юридична особа""
,
VLOOKUP"&amp;"(H3927,IMPORTRANGE(""https://docs.google.com/spreadsheets/d/14Bd19lYaqBhU8_DElYkX7l4wRkHqqCUFNJY4AfY3kHU/edit?usp=sharing  #gid=0"",""фіз особи new!relations_name_uo""),7,FALSE)
,
)
))"),"#N/A")</f>
        <v>#N/A</v>
      </c>
      <c r="J3926" s="7" t="s">
        <v>17</v>
      </c>
    </row>
    <row r="3927" spans="1:10" ht="13.2">
      <c r="A3927" s="7">
        <v>3926</v>
      </c>
      <c r="B3927" s="7">
        <v>1</v>
      </c>
      <c r="C3927" s="7" t="s">
        <v>10</v>
      </c>
      <c r="D3927" s="7">
        <v>2471</v>
      </c>
      <c r="E3927" s="7" t="s">
        <v>14</v>
      </c>
      <c r="F3927" s="8" t="str">
        <f ca="1">IFERROR(__xludf.DUMMYFUNCTION("IF
(
C3928=""фізична особа""
,
VLOOKUP(D3928,IMPORTRANGE(""https://docs.google.com/spreadsheets/d/14Bd19lYaqBhU8_DElYkX7l4wRkHqqCUFNJY4AfY3kHU/edit?usp=sharing  #gid=0"",""фіз особи new!relations_name""),6,FALSE)
,
(IF
(
C3928=""юридична особа""
,
VLOOKUP"&amp;"(D3928,IMPORTRANGE(""https://docs.google.com/spreadsheets/d/14Bd19lYaqBhU8_DElYkX7l4wRkHqqCUFNJY4AfY3kHU/edit?usp=sharing  #gid=0"",""фіз особи new!relations_name_uo""),7,FALSE)
,
)
))"),"ЦИБУЛІН Андрій Михайлович")</f>
        <v>ЦИБУЛІН Андрій Михайлович</v>
      </c>
      <c r="G3927" s="7" t="s">
        <v>10</v>
      </c>
      <c r="H3927" s="7">
        <v>0</v>
      </c>
      <c r="I3927" s="8" t="str">
        <f ca="1">IFERROR(__xludf.DUMMYFUNCTION("IF
(
G3928=""фізична особа""
,
VLOOKUP(H3928,IMPORTRANGE(""https://docs.google.com/spreadsheets/d/14Bd19lYaqBhU8_DElYkX7l4wRkHqqCUFNJY4AfY3kHU/edit?usp=sharing  #gid=0"",""фіз особи new!relations_name""),6,FALSE)
,
(IF
(
G3928=""юридична особа""
,
VLOOKUP"&amp;"(H3928,IMPORTRANGE(""https://docs.google.com/spreadsheets/d/14Bd19lYaqBhU8_DElYkX7l4wRkHqqCUFNJY4AfY3kHU/edit?usp=sharing  #gid=0"",""фіз особи new!relations_name_uo""),7,FALSE)
,
)
))"),"#N/A")</f>
        <v>#N/A</v>
      </c>
      <c r="J3927" s="7" t="s">
        <v>15</v>
      </c>
    </row>
    <row r="3928" spans="1:10" ht="13.2">
      <c r="A3928" s="7">
        <v>3927</v>
      </c>
      <c r="B3928" s="7">
        <v>1</v>
      </c>
      <c r="C3928" s="7" t="s">
        <v>10</v>
      </c>
      <c r="D3928" s="7">
        <v>2471</v>
      </c>
      <c r="E3928" s="7" t="s">
        <v>12</v>
      </c>
      <c r="F3928" s="8" t="str">
        <f ca="1">IFERROR(__xludf.DUMMYFUNCTION("IF
(
C3929=""фізична особа""
,
VLOOKUP(D3929,IMPORTRANGE(""https://docs.google.com/spreadsheets/d/14Bd19lYaqBhU8_DElYkX7l4wRkHqqCUFNJY4AfY3kHU/edit?usp=sharing  #gid=0"",""фіз особи new!relations_name""),6,FALSE)
,
(IF
(
C3929=""юридична особа""
,
VLOOKUP"&amp;"(D3929,IMPORTRANGE(""https://docs.google.com/spreadsheets/d/14Bd19lYaqBhU8_DElYkX7l4wRkHqqCUFNJY4AfY3kHU/edit?usp=sharing  #gid=0"",""фіз особи new!relations_name_uo""),7,FALSE)
,
)
))"),"ЦИБУЛІН Андрій Михайлович")</f>
        <v>ЦИБУЛІН Андрій Михайлович</v>
      </c>
      <c r="G3928" s="7" t="s">
        <v>10</v>
      </c>
      <c r="H3928" s="7">
        <v>0</v>
      </c>
      <c r="I3928" s="8" t="str">
        <f ca="1">IFERROR(__xludf.DUMMYFUNCTION("IF
(
G3929=""фізична особа""
,
VLOOKUP(H3929,IMPORTRANGE(""https://docs.google.com/spreadsheets/d/14Bd19lYaqBhU8_DElYkX7l4wRkHqqCUFNJY4AfY3kHU/edit?usp=sharing  #gid=0"",""фіз особи new!relations_name""),6,FALSE)
,
(IF
(
G3929=""юридична особа""
,
VLOOKUP"&amp;"(H3929,IMPORTRANGE(""https://docs.google.com/spreadsheets/d/14Bd19lYaqBhU8_DElYkX7l4wRkHqqCUFNJY4AfY3kHU/edit?usp=sharing  #gid=0"",""фіз особи new!relations_name_uo""),7,FALSE)
,
)
))"),"#N/A")</f>
        <v>#N/A</v>
      </c>
      <c r="J3928" s="7" t="s">
        <v>13</v>
      </c>
    </row>
    <row r="3929" spans="1:10" ht="13.2">
      <c r="A3929" s="7">
        <v>3928</v>
      </c>
      <c r="B3929" s="7">
        <v>1</v>
      </c>
      <c r="C3929" s="7" t="s">
        <v>10</v>
      </c>
      <c r="D3929" s="7">
        <v>2476</v>
      </c>
      <c r="E3929" s="7" t="s">
        <v>14</v>
      </c>
      <c r="F3929" s="8" t="str">
        <f ca="1">IFERROR(__xludf.DUMMYFUNCTION("IF
(
C3930=""фізична особа""
,
VLOOKUP(D3930,IMPORTRANGE(""https://docs.google.com/spreadsheets/d/14Bd19lYaqBhU8_DElYkX7l4wRkHqqCUFNJY4AfY3kHU/edit?usp=sharing  #gid=0"",""фіз особи new!relations_name""),6,FALSE)
,
(IF
(
C3930=""юридична особа""
,
VLOOKUP"&amp;"(D3930,IMPORTRANGE(""https://docs.google.com/spreadsheets/d/14Bd19lYaqBhU8_DElYkX7l4wRkHqqCUFNJY4AfY3kHU/edit?usp=sharing  #gid=0"",""фіз особи new!relations_name_uo""),7,FALSE)
,
)
))"),"СМІРНОВ Олександр Юрійович")</f>
        <v>СМІРНОВ Олександр Юрійович</v>
      </c>
      <c r="G3929" s="7" t="s">
        <v>10</v>
      </c>
      <c r="H3929" s="7">
        <v>15654</v>
      </c>
      <c r="I3929" s="8" t="str">
        <f ca="1">IFERROR(__xludf.DUMMYFUNCTION("IF
(
G3930=""фізична особа""
,
VLOOKUP(H3930,IMPORTRANGE(""https://docs.google.com/spreadsheets/d/14Bd19lYaqBhU8_DElYkX7l4wRkHqqCUFNJY4AfY3kHU/edit?usp=sharing  #gid=0"",""фіз особи new!relations_name""),6,FALSE)
,
(IF
(
G3930=""юридична особа""
,
VLOOKUP"&amp;"(H3930,IMPORTRANGE(""https://docs.google.com/spreadsheets/d/14Bd19lYaqBhU8_DElYkX7l4wRkHqqCUFNJY4AfY3kHU/edit?usp=sharing  #gid=0"",""фіз особи new!relations_name_uo""),7,FALSE)
,
)
))"),"ДИЧЕВА-СМІРНОВА Ганна Сергіївна")</f>
        <v>ДИЧЕВА-СМІРНОВА Ганна Сергіївна</v>
      </c>
      <c r="J3929" s="7" t="s">
        <v>15</v>
      </c>
    </row>
    <row r="3930" spans="1:10" ht="13.2">
      <c r="A3930" s="7">
        <v>3929</v>
      </c>
      <c r="B3930" s="7">
        <v>1</v>
      </c>
      <c r="C3930" s="7" t="s">
        <v>10</v>
      </c>
      <c r="D3930" s="7">
        <v>2476</v>
      </c>
      <c r="E3930" s="7" t="s">
        <v>12</v>
      </c>
      <c r="F3930" s="8" t="str">
        <f ca="1">IFERROR(__xludf.DUMMYFUNCTION("IF
(
C3931=""фізична особа""
,
VLOOKUP(D3931,IMPORTRANGE(""https://docs.google.com/spreadsheets/d/14Bd19lYaqBhU8_DElYkX7l4wRkHqqCUFNJY4AfY3kHU/edit?usp=sharing  #gid=0"",""фіз особи new!relations_name""),6,FALSE)
,
(IF
(
C3931=""юридична особа""
,
VLOOKUP"&amp;"(D3931,IMPORTRANGE(""https://docs.google.com/spreadsheets/d/14Bd19lYaqBhU8_DElYkX7l4wRkHqqCUFNJY4AfY3kHU/edit?usp=sharing  #gid=0"",""фіз особи new!relations_name_uo""),7,FALSE)
,
)
))"),"СМІРНОВ Олександр Юрійович")</f>
        <v>СМІРНОВ Олександр Юрійович</v>
      </c>
      <c r="G3930" s="7" t="s">
        <v>10</v>
      </c>
      <c r="H3930" s="7">
        <v>0</v>
      </c>
      <c r="I3930" s="8" t="str">
        <f ca="1">IFERROR(__xludf.DUMMYFUNCTION("IF
(
G3931=""фізична особа""
,
VLOOKUP(H3931,IMPORTRANGE(""https://docs.google.com/spreadsheets/d/14Bd19lYaqBhU8_DElYkX7l4wRkHqqCUFNJY4AfY3kHU/edit?usp=sharing  #gid=0"",""фіз особи new!relations_name""),6,FALSE)
,
(IF
(
G3931=""юридична особа""
,
VLOOKUP"&amp;"(H3931,IMPORTRANGE(""https://docs.google.com/spreadsheets/d/14Bd19lYaqBhU8_DElYkX7l4wRkHqqCUFNJY4AfY3kHU/edit?usp=sharing  #gid=0"",""фіз особи new!relations_name_uo""),7,FALSE)
,
)
))"),"#N/A")</f>
        <v>#N/A</v>
      </c>
      <c r="J3930" s="7" t="s">
        <v>17</v>
      </c>
    </row>
    <row r="3931" spans="1:10" ht="13.2">
      <c r="A3931" s="7">
        <v>3930</v>
      </c>
      <c r="B3931" s="7">
        <v>1</v>
      </c>
      <c r="C3931" s="7" t="s">
        <v>10</v>
      </c>
      <c r="D3931" s="7">
        <v>2489</v>
      </c>
      <c r="E3931" s="7" t="s">
        <v>48</v>
      </c>
      <c r="F3931" s="8" t="str">
        <f ca="1">IFERROR(__xludf.DUMMYFUNCTION("IF
(
C3932=""фізична особа""
,
VLOOKUP(D3932,IMPORTRANGE(""https://docs.google.com/spreadsheets/d/14Bd19lYaqBhU8_DElYkX7l4wRkHqqCUFNJY4AfY3kHU/edit?usp=sharing  #gid=0"",""фіз особи new!relations_name""),6,FALSE)
,
(IF
(
C3932=""юридична особа""
,
VLOOKUP"&amp;"(D3932,IMPORTRANGE(""https://docs.google.com/spreadsheets/d/14Bd19lYaqBhU8_DElYkX7l4wRkHqqCUFNJY4AfY3kHU/edit?usp=sharing  #gid=0"",""фіз особи new!relations_name_uo""),7,FALSE)
,
)
))"),"ЕДЕЛЬГЕРІЄВ Руслан Сайд-Хусайнович")</f>
        <v>ЕДЕЛЬГЕРІЄВ Руслан Сайд-Хусайнович</v>
      </c>
      <c r="G3931" s="7" t="s">
        <v>10</v>
      </c>
      <c r="H3931" s="7">
        <v>609</v>
      </c>
      <c r="I3931" s="8" t="str">
        <f ca="1">IFERROR(__xludf.DUMMYFUNCTION("IF
(
G3932=""фізична особа""
,
VLOOKUP(H3932,IMPORTRANGE(""https://docs.google.com/spreadsheets/d/14Bd19lYaqBhU8_DElYkX7l4wRkHqqCUFNJY4AfY3kHU/edit?usp=sharing  #gid=0"",""фіз особи new!relations_name""),6,FALSE)
,
(IF
(
G3932=""юридична особа""
,
VLOOKUP"&amp;"(H3932,IMPORTRANGE(""https://docs.google.com/spreadsheets/d/14Bd19lYaqBhU8_DElYkX7l4wRkHqqCUFNJY4AfY3kHU/edit?usp=sharing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3931" s="7" t="s">
        <v>48</v>
      </c>
    </row>
    <row r="3932" spans="1:10" ht="13.2">
      <c r="A3932" s="7">
        <v>3931</v>
      </c>
      <c r="B3932" s="7">
        <v>1</v>
      </c>
      <c r="C3932" s="7" t="s">
        <v>10</v>
      </c>
      <c r="D3932" s="7">
        <v>2489</v>
      </c>
      <c r="E3932" s="7" t="s">
        <v>17</v>
      </c>
      <c r="F3932" s="8" t="str">
        <f ca="1">IFERROR(__xludf.DUMMYFUNCTION("IF
(
C3933=""фізична особа""
,
VLOOKUP(D3933,IMPORTRANGE(""https://docs.google.com/spreadsheets/d/14Bd19lYaqBhU8_DElYkX7l4wRkHqqCUFNJY4AfY3kHU/edit?usp=sharing  #gid=0"",""фіз особи new!relations_name""),6,FALSE)
,
(IF
(
C3933=""юридична особа""
,
VLOOKUP"&amp;"(D3933,IMPORTRANGE(""https://docs.google.com/spreadsheets/d/14Bd19lYaqBhU8_DElYkX7l4wRkHqqCUFNJY4AfY3kHU/edit?usp=sharing  #gid=0"",""фіз особи new!relations_name_uo""),7,FALSE)
,
)
))"),"ЕДЕЛЬГЕРІЄВ Руслан Сайд-Хусайнович")</f>
        <v>ЕДЕЛЬГЕРІЄВ Руслан Сайд-Хусайнович</v>
      </c>
      <c r="G3932" s="7" t="s">
        <v>10</v>
      </c>
      <c r="H3932" s="7">
        <v>23429</v>
      </c>
      <c r="I3932" s="8" t="str">
        <f ca="1">IFERROR(__xludf.DUMMYFUNCTION("IF
(
G3933=""фізична особа""
,
VLOOKUP(H3933,IMPORTRANGE(""https://docs.google.com/spreadsheets/d/14Bd19lYaqBhU8_DElYkX7l4wRkHqqCUFNJY4AfY3kHU/edit?usp=sharing  #gid=0"",""фіз особи new!relations_name""),6,FALSE)
,
(IF
(
G3933=""юридична особа""
,
VLOOKUP"&amp;"(H3933,IMPORTRANGE(""https://docs.google.com/spreadsheets/d/14Bd19lYaqBhU8_DElYkX7l4wRkHqqCUFNJY4AfY3kHU/edit?usp=sharing  #gid=0"",""фіз особи new!relations_name_uo""),7,FALSE)
,
)
))"),"ДЕРЯБІНА Віра Афанасіївна")</f>
        <v>ДЕРЯБІНА Віра Афанасіївна</v>
      </c>
      <c r="J3932" s="7" t="s">
        <v>21</v>
      </c>
    </row>
    <row r="3933" spans="1:10" ht="13.2">
      <c r="A3933" s="7">
        <v>3932</v>
      </c>
      <c r="B3933" s="7">
        <v>1</v>
      </c>
      <c r="C3933" s="7" t="s">
        <v>10</v>
      </c>
      <c r="D3933" s="7">
        <v>2490</v>
      </c>
      <c r="E3933" s="7" t="s">
        <v>14</v>
      </c>
      <c r="F3933" s="8" t="str">
        <f ca="1">IFERROR(__xludf.DUMMYFUNCTION("IF
(
C3934=""фізична особа""
,
VLOOKUP(D3934,IMPORTRANGE(""https://docs.google.com/spreadsheets/d/14Bd19lYaqBhU8_DElYkX7l4wRkHqqCUFNJY4AfY3kHU/edit?usp=sharing  #gid=0"",""фіз особи new!relations_name""),6,FALSE)
,
(IF
(
C3934=""юридична особа""
,
VLOOKUP"&amp;"(D3934,IMPORTRANGE(""https://docs.google.com/spreadsheets/d/14Bd19lYaqBhU8_DElYkX7l4wRkHqqCUFNJY4AfY3kHU/edit?usp=sharing  #gid=0"",""фіз особи new!relations_name_uo""),7,FALSE)
,
)
))"),"МІНХ Гаррі Володимирович")</f>
        <v>МІНХ Гаррі Володимирович</v>
      </c>
      <c r="G3933" s="7" t="s">
        <v>10</v>
      </c>
      <c r="H3933" s="7">
        <v>0</v>
      </c>
      <c r="I3933" s="8" t="str">
        <f ca="1">IFERROR(__xludf.DUMMYFUNCTION("IF
(
G3934=""фізична особа""
,
VLOOKUP(H3934,IMPORTRANGE(""https://docs.google.com/spreadsheets/d/14Bd19lYaqBhU8_DElYkX7l4wRkHqqCUFNJY4AfY3kHU/edit?usp=sharing  #gid=0"",""фіз особи new!relations_name""),6,FALSE)
,
(IF
(
G3934=""юридична особа""
,
VLOOKUP"&amp;"(H3934,IMPORTRANGE(""https://docs.google.com/spreadsheets/d/14Bd19lYaqBhU8_DElYkX7l4wRkHqqCUFNJY4AfY3kHU/edit?usp=sharing  #gid=0"",""фіз особи new!relations_name_uo""),7,FALSE)
,
)
))"),"#N/A")</f>
        <v>#N/A</v>
      </c>
      <c r="J3933" s="7" t="s">
        <v>15</v>
      </c>
    </row>
    <row r="3934" spans="1:10" ht="13.2">
      <c r="A3934" s="7">
        <v>3933</v>
      </c>
      <c r="B3934" s="7">
        <v>1</v>
      </c>
      <c r="C3934" s="7" t="s">
        <v>10</v>
      </c>
      <c r="D3934" s="7">
        <v>2491</v>
      </c>
      <c r="E3934" s="7" t="s">
        <v>14</v>
      </c>
      <c r="F3934" s="8" t="str">
        <f ca="1">IFERROR(__xludf.DUMMYFUNCTION("IF
(
C3935=""фізична особа""
,
VLOOKUP(D3935,IMPORTRANGE(""https://docs.google.com/spreadsheets/d/14Bd19lYaqBhU8_DElYkX7l4wRkHqqCUFNJY4AfY3kHU/edit?usp=sharing  #gid=0"",""фіз особи new!relations_name""),6,FALSE)
,
(IF
(
C3935=""юридична особа""
,
VLOOKUP"&amp;"(D3935,IMPORTRANGE(""https://docs.google.com/spreadsheets/d/14Bd19lYaqBhU8_DElYkX7l4wRkHqqCUFNJY4AfY3kHU/edit?usp=sharing  #gid=0"",""фіз особи new!relations_name_uo""),7,FALSE)
,
)
))"),"МУРАВЙОВ Артур Олексійович")</f>
        <v>МУРАВЙОВ Артур Олексійович</v>
      </c>
      <c r="G3934" s="7" t="s">
        <v>10</v>
      </c>
      <c r="H3934" s="7">
        <v>0</v>
      </c>
      <c r="I3934" s="8" t="str">
        <f ca="1">IFERROR(__xludf.DUMMYFUNCTION("IF
(
G3935=""фізична особа""
,
VLOOKUP(H3935,IMPORTRANGE(""https://docs.google.com/spreadsheets/d/14Bd19lYaqBhU8_DElYkX7l4wRkHqqCUFNJY4AfY3kHU/edit?usp=sharing  #gid=0"",""фіз особи new!relations_name""),6,FALSE)
,
(IF
(
G3935=""юридична особа""
,
VLOOKUP"&amp;"(H3935,IMPORTRANGE(""https://docs.google.com/spreadsheets/d/14Bd19lYaqBhU8_DElYkX7l4wRkHqqCUFNJY4AfY3kHU/edit?usp=sharing  #gid=0"",""фіз особи new!relations_name_uo""),7,FALSE)
,
)
))"),"#N/A")</f>
        <v>#N/A</v>
      </c>
      <c r="J3934" s="7" t="s">
        <v>15</v>
      </c>
    </row>
    <row r="3935" spans="1:10" ht="13.2">
      <c r="A3935" s="7">
        <v>3934</v>
      </c>
      <c r="B3935" s="7">
        <v>1</v>
      </c>
      <c r="C3935" s="7" t="s">
        <v>10</v>
      </c>
      <c r="D3935" s="7">
        <v>2491</v>
      </c>
      <c r="E3935" s="7" t="s">
        <v>12</v>
      </c>
      <c r="F3935" s="8" t="str">
        <f ca="1">IFERROR(__xludf.DUMMYFUNCTION("IF
(
C3936=""фізична особа""
,
VLOOKUP(D3936,IMPORTRANGE(""https://docs.google.com/spreadsheets/d/14Bd19lYaqBhU8_DElYkX7l4wRkHqqCUFNJY4AfY3kHU/edit?usp=sharing  #gid=0"",""фіз особи new!relations_name""),6,FALSE)
,
(IF
(
C3936=""юридична особа""
,
VLOOKUP"&amp;"(D3936,IMPORTRANGE(""https://docs.google.com/spreadsheets/d/14Bd19lYaqBhU8_DElYkX7l4wRkHqqCUFNJY4AfY3kHU/edit?usp=sharing  #gid=0"",""фіз особи new!relations_name_uo""),7,FALSE)
,
)
))"),"МУРАВЙОВ Артур Олексійович")</f>
        <v>МУРАВЙОВ Артур Олексійович</v>
      </c>
      <c r="G3935" s="7" t="s">
        <v>10</v>
      </c>
      <c r="H3935" s="7">
        <v>0</v>
      </c>
      <c r="I3935" s="8" t="str">
        <f ca="1">IFERROR(__xludf.DUMMYFUNCTION("IF
(
G3936=""фізична особа""
,
VLOOKUP(H3936,IMPORTRANGE(""https://docs.google.com/spreadsheets/d/14Bd19lYaqBhU8_DElYkX7l4wRkHqqCUFNJY4AfY3kHU/edit?usp=sharing  #gid=0"",""фіз особи new!relations_name""),6,FALSE)
,
(IF
(
G3936=""юридична особа""
,
VLOOKUP"&amp;"(H3936,IMPORTRANGE(""https://docs.google.com/spreadsheets/d/14Bd19lYaqBhU8_DElYkX7l4wRkHqqCUFNJY4AfY3kHU/edit?usp=sharing  #gid=0"",""фіз особи new!relations_name_uo""),7,FALSE)
,
)
))"),"#N/A")</f>
        <v>#N/A</v>
      </c>
      <c r="J3935" s="7" t="s">
        <v>13</v>
      </c>
    </row>
    <row r="3936" spans="1:10" ht="13.2">
      <c r="A3936" s="7">
        <v>3935</v>
      </c>
      <c r="B3936" s="7">
        <v>1</v>
      </c>
      <c r="C3936" s="7" t="s">
        <v>10</v>
      </c>
      <c r="D3936" s="7">
        <v>2492</v>
      </c>
      <c r="E3936" s="7" t="s">
        <v>14</v>
      </c>
      <c r="F3936" s="8" t="str">
        <f ca="1">IFERROR(__xludf.DUMMYFUNCTION("IF
(
C3937=""фізична особа""
,
VLOOKUP(D3937,IMPORTRANGE(""https://docs.google.com/spreadsheets/d/14Bd19lYaqBhU8_DElYkX7l4wRkHqqCUFNJY4AfY3kHU/edit?usp=sharing  #gid=0"",""фіз особи new!relations_name""),6,FALSE)
,
(IF
(
C3937=""юридична особа""
,
VLOOKUP"&amp;"(D3937,IMPORTRANGE(""https://docs.google.com/spreadsheets/d/14Bd19lYaqBhU8_DElYkX7l4wRkHqqCUFNJY4AfY3kHU/edit?usp=sharing  #gid=0"",""фіз особи new!relations_name_uo""),7,FALSE)
,
)
))"),"КОНОВАЛОВ Олександр Володимирович")</f>
        <v>КОНОВАЛОВ Олександр Володимирович</v>
      </c>
      <c r="G3936" s="7" t="s">
        <v>10</v>
      </c>
      <c r="H3936" s="7">
        <v>0</v>
      </c>
      <c r="I3936" s="8" t="str">
        <f ca="1">IFERROR(__xludf.DUMMYFUNCTION("IF
(
G3937=""фізична особа""
,
VLOOKUP(H3937,IMPORTRANGE(""https://docs.google.com/spreadsheets/d/14Bd19lYaqBhU8_DElYkX7l4wRkHqqCUFNJY4AfY3kHU/edit?usp=sharing  #gid=0"",""фіз особи new!relations_name""),6,FALSE)
,
(IF
(
G3937=""юридична особа""
,
VLOOKUP"&amp;"(H3937,IMPORTRANGE(""https://docs.google.com/spreadsheets/d/14Bd19lYaqBhU8_DElYkX7l4wRkHqqCUFNJY4AfY3kHU/edit?usp=sharing  #gid=0"",""фіз особи new!relations_name_uo""),7,FALSE)
,
)
))"),"#N/A")</f>
        <v>#N/A</v>
      </c>
      <c r="J3936" s="7" t="s">
        <v>15</v>
      </c>
    </row>
    <row r="3937" spans="1:10" ht="13.2">
      <c r="A3937" s="7">
        <v>3936</v>
      </c>
      <c r="B3937" s="7">
        <v>1</v>
      </c>
      <c r="C3937" s="7" t="s">
        <v>10</v>
      </c>
      <c r="D3937" s="7">
        <v>2493</v>
      </c>
      <c r="E3937" s="7" t="s">
        <v>15</v>
      </c>
      <c r="F3937" s="8" t="str">
        <f ca="1">IFERROR(__xludf.DUMMYFUNCTION("IF
(
C3938=""фізична особа""
,
VLOOKUP(D3938,IMPORTRANGE(""https://docs.google.com/spreadsheets/d/14Bd19lYaqBhU8_DElYkX7l4wRkHqqCUFNJY4AfY3kHU/edit?usp=sharing  #gid=0"",""фіз особи new!relations_name""),6,FALSE)
,
(IF
(
C3938=""юридична особа""
,
VLOOKUP"&amp;"(D3938,IMPORTRANGE(""https://docs.google.com/spreadsheets/d/14Bd19lYaqBhU8_DElYkX7l4wRkHqqCUFNJY4AfY3kHU/edit?usp=sharing  #gid=0"",""фіз особи new!relations_name_uo""),7,FALSE)
,
)
))"),"ЛЬВОВА-БЄЛОВА Марія Олексіївна")</f>
        <v>ЛЬВОВА-БЄЛОВА Марія Олексіївна</v>
      </c>
      <c r="G3937" s="7" t="s">
        <v>10</v>
      </c>
      <c r="H3937" s="7">
        <v>0</v>
      </c>
      <c r="I3937" s="8" t="str">
        <f ca="1">IFERROR(__xludf.DUMMYFUNCTION("IF
(
G3938=""фізична особа""
,
VLOOKUP(H3938,IMPORTRANGE(""https://docs.google.com/spreadsheets/d/14Bd19lYaqBhU8_DElYkX7l4wRkHqqCUFNJY4AfY3kHU/edit?usp=sharing  #gid=0"",""фіз особи new!relations_name""),6,FALSE)
,
(IF
(
G3938=""юридична особа""
,
VLOOKUP"&amp;"(H3938,IMPORTRANGE(""https://docs.google.com/spreadsheets/d/14Bd19lYaqBhU8_DElYkX7l4wRkHqqCUFNJY4AfY3kHU/edit?usp=sharing  #gid=0"",""фіз особи new!relations_name_uo""),7,FALSE)
,
)
))"),"#N/A")</f>
        <v>#N/A</v>
      </c>
      <c r="J3937" s="7" t="s">
        <v>14</v>
      </c>
    </row>
    <row r="3938" spans="1:10" ht="13.2">
      <c r="A3938" s="7">
        <v>3937</v>
      </c>
      <c r="B3938" s="7">
        <v>1</v>
      </c>
      <c r="C3938" s="7" t="s">
        <v>10</v>
      </c>
      <c r="D3938" s="7">
        <v>2493</v>
      </c>
      <c r="E3938" s="7" t="s">
        <v>11</v>
      </c>
      <c r="F3938" s="8" t="str">
        <f ca="1">IFERROR(__xludf.DUMMYFUNCTION("IF
(
C3939=""фізична особа""
,
VLOOKUP(D3939,IMPORTRANGE(""https://docs.google.com/spreadsheets/d/14Bd19lYaqBhU8_DElYkX7l4wRkHqqCUFNJY4AfY3kHU/edit?usp=sharing  #gid=0"",""фіз особи new!relations_name""),6,FALSE)
,
(IF
(
C3939=""юридична особа""
,
VLOOKUP"&amp;"(D3939,IMPORTRANGE(""https://docs.google.com/spreadsheets/d/14Bd19lYaqBhU8_DElYkX7l4wRkHqqCUFNJY4AfY3kHU/edit?usp=sharing  #gid=0"",""фіз особи new!relations_name_uo""),7,FALSE)
,
)
))"),"ЛЬВОВА-БЄЛОВА Марія Олексіївна")</f>
        <v>ЛЬВОВА-БЄЛОВА Марія Олексіївна</v>
      </c>
      <c r="G3938" s="7" t="s">
        <v>10</v>
      </c>
      <c r="H3938" s="7">
        <v>94</v>
      </c>
      <c r="I3938" s="8" t="str">
        <f ca="1">IFERROR(__xludf.DUMMYFUNCTION("IF
(
G3939=""фізична особа""
,
VLOOKUP(H3939,IMPORTRANGE(""https://docs.google.com/spreadsheets/d/14Bd19lYaqBhU8_DElYkX7l4wRkHqqCUFNJY4AfY3kHU/edit?usp=sharing  #gid=0"",""фіз особи new!relations_name""),6,FALSE)
,
(IF
(
G3939=""юридична особа""
,
VLOOKUP"&amp;"(H3939,IMPORTRANGE(""https://docs.google.com/spreadsheets/d/14Bd19lYaqBhU8_DElYkX7l4wRkHqqCUFNJY4AfY3kHU/edit?usp=sharing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3938" s="7" t="s">
        <v>11</v>
      </c>
    </row>
    <row r="3939" spans="1:10" ht="13.2">
      <c r="A3939" s="7">
        <v>3938</v>
      </c>
      <c r="B3939" s="7">
        <v>1</v>
      </c>
      <c r="C3939" s="7" t="s">
        <v>10</v>
      </c>
      <c r="D3939" s="7">
        <v>2494</v>
      </c>
      <c r="E3939" s="7" t="s">
        <v>12</v>
      </c>
      <c r="F3939" s="8" t="str">
        <f ca="1">IFERROR(__xludf.DUMMYFUNCTION("IF
(
C3940=""фізична особа""
,
VLOOKUP(D3940,IMPORTRANGE(""https://docs.google.com/spreadsheets/d/14Bd19lYaqBhU8_DElYkX7l4wRkHqqCUFNJY4AfY3kHU/edit?usp=sharing  #gid=0"",""фіз особи new!relations_name""),6,FALSE)
,
(IF
(
C3940=""юридична особа""
,
VLOOKUP"&amp;"(D3940,IMPORTRANGE(""https://docs.google.com/spreadsheets/d/14Bd19lYaqBhU8_DElYkX7l4wRkHqqCUFNJY4AfY3kHU/edit?usp=sharing  #gid=0"",""фіз особи new!relations_name_uo""),7,FALSE)
,
)
))"),"ШАЛЬКОВ Дмитро Владиславович")</f>
        <v>ШАЛЬКОВ Дмитро Владиславович</v>
      </c>
      <c r="G3939" s="7" t="s">
        <v>10</v>
      </c>
      <c r="H3939" s="7">
        <v>0</v>
      </c>
      <c r="I3939" s="8" t="str">
        <f ca="1">IFERROR(__xludf.DUMMYFUNCTION("IF
(
G3940=""фізична особа""
,
VLOOKUP(H3940,IMPORTRANGE(""https://docs.google.com/spreadsheets/d/14Bd19lYaqBhU8_DElYkX7l4wRkHqqCUFNJY4AfY3kHU/edit?usp=sharing  #gid=0"",""фіз особи new!relations_name""),6,FALSE)
,
(IF
(
G3940=""юридична особа""
,
VLOOKUP"&amp;"(H3940,IMPORTRANGE(""https://docs.google.com/spreadsheets/d/14Bd19lYaqBhU8_DElYkX7l4wRkHqqCUFNJY4AfY3kHU/edit?usp=sharing  #gid=0"",""фіз особи new!relations_name_uo""),7,FALSE)
,
)
))"),"#N/A")</f>
        <v>#N/A</v>
      </c>
      <c r="J3939" s="7" t="s">
        <v>17</v>
      </c>
    </row>
    <row r="3940" spans="1:10" ht="13.2">
      <c r="A3940" s="7">
        <v>3939</v>
      </c>
      <c r="B3940" s="7">
        <v>1</v>
      </c>
      <c r="C3940" s="7" t="s">
        <v>10</v>
      </c>
      <c r="D3940" s="7">
        <v>2494</v>
      </c>
      <c r="E3940" s="7" t="s">
        <v>14</v>
      </c>
      <c r="F3940" s="8" t="str">
        <f ca="1">IFERROR(__xludf.DUMMYFUNCTION("IF
(
C3941=""фізична особа""
,
VLOOKUP(D3941,IMPORTRANGE(""https://docs.google.com/spreadsheets/d/14Bd19lYaqBhU8_DElYkX7l4wRkHqqCUFNJY4AfY3kHU/edit?usp=sharing  #gid=0"",""фіз особи new!relations_name""),6,FALSE)
,
(IF
(
C3941=""юридична особа""
,
VLOOKUP"&amp;"(D3941,IMPORTRANGE(""https://docs.google.com/spreadsheets/d/14Bd19lYaqBhU8_DElYkX7l4wRkHqqCUFNJY4AfY3kHU/edit?usp=sharing  #gid=0"",""фіз особи new!relations_name_uo""),7,FALSE)
,
)
))"),"ШАЛЬКОВ Дмитро Владиславович")</f>
        <v>ШАЛЬКОВ Дмитро Владиславович</v>
      </c>
      <c r="G3940" s="7" t="s">
        <v>10</v>
      </c>
      <c r="H3940" s="7">
        <v>0</v>
      </c>
      <c r="I3940" s="8" t="str">
        <f ca="1">IFERROR(__xludf.DUMMYFUNCTION("IF
(
G3941=""фізична особа""
,
VLOOKUP(H3941,IMPORTRANGE(""https://docs.google.com/spreadsheets/d/14Bd19lYaqBhU8_DElYkX7l4wRkHqqCUFNJY4AfY3kHU/edit?usp=sharing  #gid=0"",""фіз особи new!relations_name""),6,FALSE)
,
(IF
(
G3941=""юридична особа""
,
VLOOKUP"&amp;"(H3941,IMPORTRANGE(""https://docs.google.com/spreadsheets/d/14Bd19lYaqBhU8_DElYkX7l4wRkHqqCUFNJY4AfY3kHU/edit?usp=sharing  #gid=0"",""фіз особи new!relations_name_uo""),7,FALSE)
,
)
))"),"#N/A")</f>
        <v>#N/A</v>
      </c>
      <c r="J3940" s="7" t="s">
        <v>15</v>
      </c>
    </row>
    <row r="3941" spans="1:10" ht="13.2">
      <c r="A3941" s="7">
        <v>3940</v>
      </c>
      <c r="B3941" s="7">
        <v>1</v>
      </c>
      <c r="C3941" s="7" t="s">
        <v>10</v>
      </c>
      <c r="D3941" s="11">
        <v>2494</v>
      </c>
      <c r="E3941" s="11" t="s">
        <v>28</v>
      </c>
      <c r="F3941" s="8" t="str">
        <f ca="1">IFERROR(__xludf.DUMMYFUNCTION("IF
(
C3942=""фізична особа""
,
VLOOKUP(D3942,IMPORTRANGE(""https://docs.google.com/spreadsheets/d/14Bd19lYaqBhU8_DElYkX7l4wRkHqqCUFNJY4AfY3kHU/edit?usp=sharing  #gid=0"",""фіз особи new!relations_name""),6,FALSE)
,
(IF
(
C3942=""юридична особа""
,
VLOOKUP"&amp;"(D3942,IMPORTRANGE(""https://docs.google.com/spreadsheets/d/14Bd19lYaqBhU8_DElYkX7l4wRkHqqCUFNJY4AfY3kHU/edit?usp=sharing  #gid=0"",""фіз особи new!relations_name_uo""),7,FALSE)
,
)
))"),"ШАЛЬКОВ Дмитро Владиславович")</f>
        <v>ШАЛЬКОВ Дмитро Владиславович</v>
      </c>
      <c r="G3941" s="7" t="s">
        <v>10</v>
      </c>
      <c r="H3941" s="11">
        <v>13</v>
      </c>
      <c r="I3941" s="8" t="str">
        <f ca="1">IFERROR(__xludf.DUMMYFUNCTION("IF
(
G3942=""фізична особа""
,
VLOOKUP(H3942,IMPORTRANGE(""https://docs.google.com/spreadsheets/d/14Bd19lYaqBhU8_DElYkX7l4wRkHqqCUFNJY4AfY3kHU/edit?usp=sharing  #gid=0"",""фіз особи new!relations_name""),6,FALSE)
,
(IF
(
G3942=""юридична особа""
,
VLOOKUP"&amp;"(H3942,IMPORTRANGE(""https://docs.google.com/spreadsheets/d/14Bd19lYaqBhU8_DElYkX7l4wRkHqqCUFNJY4AfY3kHU/edit?usp=sharing  #gid=0"",""фіз особи new!relations_name_uo""),7,FALSE)
,
)
))"),"БОРТНІКОВ Олександр Васильович")</f>
        <v>БОРТНІКОВ Олександр Васильович</v>
      </c>
      <c r="J3941" s="11" t="s">
        <v>29</v>
      </c>
    </row>
    <row r="3942" spans="1:10" ht="13.2">
      <c r="A3942" s="7">
        <v>3941</v>
      </c>
      <c r="B3942" s="7">
        <v>1</v>
      </c>
      <c r="C3942" s="7" t="s">
        <v>10</v>
      </c>
      <c r="D3942" s="7">
        <v>2495</v>
      </c>
      <c r="E3942" s="7" t="s">
        <v>31</v>
      </c>
      <c r="F3942" s="8" t="str">
        <f ca="1">IFERROR(__xludf.DUMMYFUNCTION("IF
(
C3943=""фізична особа""
,
VLOOKUP(D3943,IMPORTRANGE(""https://docs.google.com/spreadsheets/d/14Bd19lYaqBhU8_DElYkX7l4wRkHqqCUFNJY4AfY3kHU/edit?usp=sharing  #gid=0"",""фіз особи new!relations_name""),6,FALSE)
,
(IF
(
C3943=""юридична особа""
,
VLOOKUP"&amp;"(D3943,IMPORTRANGE(""https://docs.google.com/spreadsheets/d/14Bd19lYaqBhU8_DElYkX7l4wRkHqqCUFNJY4AfY3kHU/edit?usp=sharing  #gid=0"",""фіз особи new!relations_name_uo""),7,FALSE)
,
)
))"),"ПУТІНА / ТИХОНОВА Катерина Володимирівна")</f>
        <v>ПУТІНА / ТИХОНОВА Катерина Володимирівна</v>
      </c>
      <c r="G3942" s="7" t="s">
        <v>10</v>
      </c>
      <c r="H3942" s="7">
        <v>2038</v>
      </c>
      <c r="I3942" s="8" t="str">
        <f ca="1">IFERROR(__xludf.DUMMYFUNCTION("IF
(
G3943=""фізична особа""
,
VLOOKUP(H3943,IMPORTRANGE(""https://docs.google.com/spreadsheets/d/14Bd19lYaqBhU8_DElYkX7l4wRkHqqCUFNJY4AfY3kHU/edit?usp=sharing  #gid=0"",""фіз особи new!relations_name""),6,FALSE)
,
(IF
(
G3943=""юридична особа""
,
VLOOKUP"&amp;"(H3943,IMPORTRANGE(""https://docs.google.com/spreadsheets/d/14Bd19lYaqBhU8_DElYkX7l4wRkHqqCUFNJY4AfY3kHU/edit?usp=sharing  #gid=0"",""фіз особи new!relations_name_uo""),7,FALSE)
,
)
))"),"ПУТІНА / ВОРОНЦОВА / ФААССЕН Марія Володимирівна")</f>
        <v>ПУТІНА / ВОРОНЦОВА / ФААССЕН Марія Володимирівна</v>
      </c>
      <c r="J3942" s="7" t="s">
        <v>31</v>
      </c>
    </row>
    <row r="3943" spans="1:10" ht="13.2">
      <c r="A3943" s="7">
        <v>3942</v>
      </c>
      <c r="B3943" s="7">
        <v>1</v>
      </c>
      <c r="C3943" s="7" t="s">
        <v>10</v>
      </c>
      <c r="D3943" s="7">
        <v>2497</v>
      </c>
      <c r="E3943" s="7" t="s">
        <v>37</v>
      </c>
      <c r="F3943" s="8" t="str">
        <f ca="1">IFERROR(__xludf.DUMMYFUNCTION("IF
(
C3944=""фізична особа""
,
VLOOKUP(D3944,IMPORTRANGE(""https://docs.google.com/spreadsheets/d/14Bd19lYaqBhU8_DElYkX7l4wRkHqqCUFNJY4AfY3kHU/edit?usp=sharing  #gid=0"",""фіз особи new!relations_name""),6,FALSE)
,
(IF
(
C3944=""юридична особа""
,
VLOOKUP"&amp;"(D3944,IMPORTRANGE(""https://docs.google.com/spreadsheets/d/14Bd19lYaqBhU8_DElYkX7l4wRkHqqCUFNJY4AfY3kHU/edit?usp=sharing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3" s="7" t="s">
        <v>10</v>
      </c>
      <c r="H3943" s="7">
        <v>880</v>
      </c>
      <c r="I3943" s="8" t="str">
        <f ca="1">IFERROR(__xludf.DUMMYFUNCTION("IF
(
G3944=""фізична особа""
,
VLOOKUP(H3944,IMPORTRANGE(""https://docs.google.com/spreadsheets/d/14Bd19lYaqBhU8_DElYkX7l4wRkHqqCUFNJY4AfY3kHU/edit?usp=sharing  #gid=0"",""фіз особи new!relations_name""),6,FALSE)
,
(IF
(
G3944=""юридична особа""
,
VLOOKUP"&amp;"(H3944,IMPORTRANGE(""https://docs.google.com/spreadsheets/d/14Bd19lYaqBhU8_DElYkX7l4wRkHqqCUFNJY4AfY3kHU/edit?usp=sharing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943" s="7" t="s">
        <v>36</v>
      </c>
    </row>
    <row r="3944" spans="1:10" ht="13.2">
      <c r="A3944" s="7">
        <v>3943</v>
      </c>
      <c r="B3944" s="7">
        <v>1</v>
      </c>
      <c r="C3944" s="7" t="s">
        <v>10</v>
      </c>
      <c r="D3944" s="7">
        <v>2497</v>
      </c>
      <c r="E3944" s="7" t="s">
        <v>13</v>
      </c>
      <c r="F3944" s="8" t="str">
        <f ca="1">IFERROR(__xludf.DUMMYFUNCTION("IF
(
C3945=""фізична особа""
,
VLOOKUP(D3945,IMPORTRANGE(""https://docs.google.com/spreadsheets/d/14Bd19lYaqBhU8_DElYkX7l4wRkHqqCUFNJY4AfY3kHU/edit?usp=sharing  #gid=0"",""фіз особи new!relations_name""),6,FALSE)
,
(IF
(
C3945=""юридична особа""
,
VLOOKUP"&amp;"(D3945,IMPORTRANGE(""https://docs.google.com/spreadsheets/d/14Bd19lYaqBhU8_DElYkX7l4wRkHqqCUFNJY4AfY3kHU/edit?usp=sharing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4" s="7" t="s">
        <v>10</v>
      </c>
      <c r="H3944" s="7">
        <v>0</v>
      </c>
      <c r="I3944" s="8" t="str">
        <f ca="1">IFERROR(__xludf.DUMMYFUNCTION("IF
(
G3945=""фізична особа""
,
VLOOKUP(H3945,IMPORTRANGE(""https://docs.google.com/spreadsheets/d/14Bd19lYaqBhU8_DElYkX7l4wRkHqqCUFNJY4AfY3kHU/edit?usp=sharing  #gid=0"",""фіз особи new!relations_name""),6,FALSE)
,
(IF
(
G3945=""юридична особа""
,
VLOOKUP"&amp;"(H3945,IMPORTRANGE(""https://docs.google.com/spreadsheets/d/14Bd19lYaqBhU8_DElYkX7l4wRkHqqCUFNJY4AfY3kHU/edit?usp=sharing  #gid=0"",""фіз особи new!relations_name_uo""),7,FALSE)
,
)
))"),"#N/A")</f>
        <v>#N/A</v>
      </c>
      <c r="J3944" s="7" t="s">
        <v>21</v>
      </c>
    </row>
    <row r="3945" spans="1:10" ht="13.2">
      <c r="A3945" s="7">
        <v>3944</v>
      </c>
      <c r="B3945" s="7">
        <v>1</v>
      </c>
      <c r="C3945" s="7" t="s">
        <v>10</v>
      </c>
      <c r="D3945" s="7">
        <v>2497</v>
      </c>
      <c r="E3945" s="7" t="s">
        <v>21</v>
      </c>
      <c r="F3945" s="8" t="str">
        <f ca="1">IFERROR(__xludf.DUMMYFUNCTION("IF
(
C3946=""фізична особа""
,
VLOOKUP(D3946,IMPORTRANGE(""https://docs.google.com/spreadsheets/d/14Bd19lYaqBhU8_DElYkX7l4wRkHqqCUFNJY4AfY3kHU/edit?usp=sharing  #gid=0"",""фіз особи new!relations_name""),6,FALSE)
,
(IF
(
C3946=""юридична особа""
,
VLOOKUP"&amp;"(D3946,IMPORTRANGE(""https://docs.google.com/spreadsheets/d/14Bd19lYaqBhU8_DElYkX7l4wRkHqqCUFNJY4AfY3kHU/edit?usp=sharing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5" s="7" t="s">
        <v>10</v>
      </c>
      <c r="H3945" s="7">
        <v>0</v>
      </c>
      <c r="I3945" s="8" t="str">
        <f ca="1">IFERROR(__xludf.DUMMYFUNCTION("IF
(
G3946=""фізична особа""
,
VLOOKUP(H3946,IMPORTRANGE(""https://docs.google.com/spreadsheets/d/14Bd19lYaqBhU8_DElYkX7l4wRkHqqCUFNJY4AfY3kHU/edit?usp=sharing  #gid=0"",""фіз особи new!relations_name""),6,FALSE)
,
(IF
(
G3946=""юридична особа""
,
VLOOKUP"&amp;"(H3946,IMPORTRANGE(""https://docs.google.com/spreadsheets/d/14Bd19lYaqBhU8_DElYkX7l4wRkHqqCUFNJY4AfY3kHU/edit?usp=sharing  #gid=0"",""фіз особи new!relations_name_uo""),7,FALSE)
,
)
))"),"#N/A")</f>
        <v>#N/A</v>
      </c>
      <c r="J3945" s="7" t="s">
        <v>13</v>
      </c>
    </row>
    <row r="3946" spans="1:10" ht="13.2">
      <c r="A3946" s="7">
        <v>3945</v>
      </c>
      <c r="B3946" s="7">
        <v>1</v>
      </c>
      <c r="C3946" s="7" t="s">
        <v>10</v>
      </c>
      <c r="D3946" s="7">
        <v>2497</v>
      </c>
      <c r="E3946" s="7" t="s">
        <v>11</v>
      </c>
      <c r="F3946" s="8" t="str">
        <f ca="1">IFERROR(__xludf.DUMMYFUNCTION("IF
(
C3947=""фізична особа""
,
VLOOKUP(D3947,IMPORTRANGE(""https://docs.google.com/spreadsheets/d/14Bd19lYaqBhU8_DElYkX7l4wRkHqqCUFNJY4AfY3kHU/edit?usp=sharing  #gid=0"",""фіз особи new!relations_name""),6,FALSE)
,
(IF
(
C3947=""юридична особа""
,
VLOOKUP"&amp;"(D3947,IMPORTRANGE(""https://docs.google.com/spreadsheets/d/14Bd19lYaqBhU8_DElYkX7l4wRkHqqCUFNJY4AfY3kHU/edit?usp=sharing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6" s="7" t="s">
        <v>10</v>
      </c>
      <c r="H3946" s="7">
        <v>0</v>
      </c>
      <c r="I3946" s="8" t="str">
        <f ca="1">IFERROR(__xludf.DUMMYFUNCTION("IF
(
G3947=""фізична особа""
,
VLOOKUP(H3947,IMPORTRANGE(""https://docs.google.com/spreadsheets/d/14Bd19lYaqBhU8_DElYkX7l4wRkHqqCUFNJY4AfY3kHU/edit?usp=sharing  #gid=0"",""фіз особи new!relations_name""),6,FALSE)
,
(IF
(
G3947=""юридична особа""
,
VLOOKUP"&amp;"(H3947,IMPORTRANGE(""https://docs.google.com/spreadsheets/d/14Bd19lYaqBhU8_DElYkX7l4wRkHqqCUFNJY4AfY3kHU/edit?usp=sharing  #gid=0"",""фіз особи new!relations_name_uo""),7,FALSE)
,
)
))"),"#N/A")</f>
        <v>#N/A</v>
      </c>
      <c r="J3946" s="7" t="s">
        <v>11</v>
      </c>
    </row>
    <row r="3947" spans="1:10" ht="13.2">
      <c r="A3947" s="7">
        <v>3946</v>
      </c>
      <c r="B3947" s="7">
        <v>1</v>
      </c>
      <c r="C3947" s="7" t="s">
        <v>10</v>
      </c>
      <c r="D3947" s="7">
        <v>2497</v>
      </c>
      <c r="E3947" s="7" t="s">
        <v>11</v>
      </c>
      <c r="F3947" s="8" t="str">
        <f ca="1">IFERROR(__xludf.DUMMYFUNCTION("IF
(
C3948=""фізична особа""
,
VLOOKUP(D3948,IMPORTRANGE(""https://docs.google.com/spreadsheets/d/14Bd19lYaqBhU8_DElYkX7l4wRkHqqCUFNJY4AfY3kHU/edit?usp=sharing  #gid=0"",""фіз особи new!relations_name""),6,FALSE)
,
(IF
(
C3948=""юридична особа""
,
VLOOKUP"&amp;"(D3948,IMPORTRANGE(""https://docs.google.com/spreadsheets/d/14Bd19lYaqBhU8_DElYkX7l4wRkHqqCUFNJY4AfY3kHU/edit?usp=sharing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7" s="7" t="s">
        <v>10</v>
      </c>
      <c r="H3947" s="7">
        <v>0</v>
      </c>
      <c r="I3947" s="8" t="str">
        <f ca="1">IFERROR(__xludf.DUMMYFUNCTION("IF
(
G3948=""фізична особа""
,
VLOOKUP(H3948,IMPORTRANGE(""https://docs.google.com/spreadsheets/d/14Bd19lYaqBhU8_DElYkX7l4wRkHqqCUFNJY4AfY3kHU/edit?usp=sharing  #gid=0"",""фіз особи new!relations_name""),6,FALSE)
,
(IF
(
G3948=""юридична особа""
,
VLOOKUP"&amp;"(H3948,IMPORTRANGE(""https://docs.google.com/spreadsheets/d/14Bd19lYaqBhU8_DElYkX7l4wRkHqqCUFNJY4AfY3kHU/edit?usp=sharing  #gid=0"",""фіз особи new!relations_name_uo""),7,FALSE)
,
)
))"),"#N/A")</f>
        <v>#N/A</v>
      </c>
      <c r="J3947" s="7" t="s">
        <v>11</v>
      </c>
    </row>
    <row r="3948" spans="1:10" ht="13.2">
      <c r="A3948" s="7">
        <v>3947</v>
      </c>
      <c r="B3948" s="7">
        <v>1</v>
      </c>
      <c r="C3948" s="7" t="s">
        <v>10</v>
      </c>
      <c r="D3948" s="7">
        <v>2497</v>
      </c>
      <c r="E3948" s="7" t="s">
        <v>11</v>
      </c>
      <c r="F3948" s="8" t="str">
        <f ca="1">IFERROR(__xludf.DUMMYFUNCTION("IF
(
C3949=""фізична особа""
,
VLOOKUP(D3949,IMPORTRANGE(""https://docs.google.com/spreadsheets/d/14Bd19lYaqBhU8_DElYkX7l4wRkHqqCUFNJY4AfY3kHU/edit?usp=sharing  #gid=0"",""фіз особи new!relations_name""),6,FALSE)
,
(IF
(
C3949=""юридична особа""
,
VLOOKUP"&amp;"(D3949,IMPORTRANGE(""https://docs.google.com/spreadsheets/d/14Bd19lYaqBhU8_DElYkX7l4wRkHqqCUFNJY4AfY3kHU/edit?usp=sharing  #gid=0"",""фіз особи new!relations_name_uo""),7,FALSE)
,
)
))"),"КРИВОНОГИХ Світлана Олександрівна ")</f>
        <v xml:space="preserve">КРИВОНОГИХ Світлана Олександрівна </v>
      </c>
      <c r="G3948" s="7" t="s">
        <v>10</v>
      </c>
      <c r="H3948" s="7">
        <v>0</v>
      </c>
      <c r="I3948" s="8" t="str">
        <f ca="1">IFERROR(__xludf.DUMMYFUNCTION("IF
(
G3949=""фізична особа""
,
VLOOKUP(H3949,IMPORTRANGE(""https://docs.google.com/spreadsheets/d/14Bd19lYaqBhU8_DElYkX7l4wRkHqqCUFNJY4AfY3kHU/edit?usp=sharing  #gid=0"",""фіз особи new!relations_name""),6,FALSE)
,
(IF
(
G3949=""юридична особа""
,
VLOOKUP"&amp;"(H3949,IMPORTRANGE(""https://docs.google.com/spreadsheets/d/14Bd19lYaqBhU8_DElYkX7l4wRkHqqCUFNJY4AfY3kHU/edit?usp=sharing  #gid=0"",""фіз особи new!relations_name_uo""),7,FALSE)
,
)
))"),"#N/A")</f>
        <v>#N/A</v>
      </c>
      <c r="J3948" s="7" t="s">
        <v>11</v>
      </c>
    </row>
    <row r="3949" spans="1:10" ht="13.2">
      <c r="A3949" s="7">
        <v>3948</v>
      </c>
      <c r="B3949" s="7">
        <v>1</v>
      </c>
      <c r="C3949" s="7" t="s">
        <v>10</v>
      </c>
      <c r="D3949" s="7">
        <v>2498</v>
      </c>
      <c r="E3949" s="7" t="s">
        <v>31</v>
      </c>
      <c r="F3949" s="8" t="str">
        <f ca="1">IFERROR(__xludf.DUMMYFUNCTION("IF
(
C3950=""фізична особа""
,
VLOOKUP(D3950,IMPORTRANGE(""https://docs.google.com/spreadsheets/d/14Bd19lYaqBhU8_DElYkX7l4wRkHqqCUFNJY4AfY3kHU/edit?usp=sharing  #gid=0"",""фіз особи new!relations_name""),6,FALSE)
,
(IF
(
C3950=""юридична особа""
,
VLOOKUP"&amp;"(D3950,IMPORTRANGE(""https://docs.google.com/spreadsheets/d/14Bd19lYaqBhU8_DElYkX7l4wRkHqqCUFNJY4AfY3kHU/edit?usp=sharing  #gid=0"",""фіз особи new!relations_name_uo""),7,FALSE)
,
)
))"),"ЦОМАЄВА / ШКРЕБНЄВА Ольга Олександрівна")</f>
        <v>ЦОМАЄВА / ШКРЕБНЄВА Ольга Олександрівна</v>
      </c>
      <c r="G3949" s="7" t="s">
        <v>10</v>
      </c>
      <c r="H3949" s="7">
        <v>2037</v>
      </c>
      <c r="I3949" s="8" t="str">
        <f ca="1">IFERROR(__xludf.DUMMYFUNCTION("IF
(
G3950=""фізична особа""
,
VLOOKUP(H3950,IMPORTRANGE(""https://docs.google.com/spreadsheets/d/14Bd19lYaqBhU8_DElYkX7l4wRkHqqCUFNJY4AfY3kHU/edit?usp=sharing  #gid=0"",""фіз особи new!relations_name""),6,FALSE)
,
(IF
(
G3950=""юридична особа""
,
VLOOKUP"&amp;"(H3950,IMPORTRANGE(""https://docs.google.com/spreadsheets/d/14Bd19lYaqBhU8_DElYkX7l4wRkHqqCUFNJY4AfY3kHU/edit?usp=sharing  #gid=0"",""фіз особи new!relations_name_uo""),7,FALSE)
,
)
))"),"ОЧЕРЕТНА Людмила Олександрівна")</f>
        <v>ОЧЕРЕТНА Людмила Олександрівна</v>
      </c>
      <c r="J3949" s="7" t="s">
        <v>31</v>
      </c>
    </row>
    <row r="3950" spans="1:10" ht="13.2">
      <c r="A3950" s="7">
        <v>3949</v>
      </c>
      <c r="B3950" s="7">
        <v>1</v>
      </c>
      <c r="C3950" s="7" t="s">
        <v>10</v>
      </c>
      <c r="D3950" s="7">
        <v>2498</v>
      </c>
      <c r="E3950" s="7" t="s">
        <v>67</v>
      </c>
      <c r="F3950" s="8" t="str">
        <f ca="1">IFERROR(__xludf.DUMMYFUNCTION("IF
(
C3951=""фізична особа""
,
VLOOKUP(D3951,IMPORTRANGE(""https://docs.google.com/spreadsheets/d/14Bd19lYaqBhU8_DElYkX7l4wRkHqqCUFNJY4AfY3kHU/edit?usp=sharing  #gid=0"",""фіз особи new!relations_name""),6,FALSE)
,
(IF
(
C3951=""юридична особа""
,
VLOOKUP"&amp;"(D3951,IMPORTRANGE(""https://docs.google.com/spreadsheets/d/14Bd19lYaqBhU8_DElYkX7l4wRkHqqCUFNJY4AfY3kHU/edit?usp=sharing  #gid=0"",""фіз особи new!relations_name_uo""),7,FALSE)
,
)
))"),"ЦОМАЄВА / ШКРЕБНЄВА Ольга Олександрівна")</f>
        <v>ЦОМАЄВА / ШКРЕБНЄВА Ольга Олександрівна</v>
      </c>
      <c r="G3950" s="7" t="s">
        <v>10</v>
      </c>
      <c r="H3950" s="7">
        <v>880</v>
      </c>
      <c r="I3950" s="8" t="str">
        <f ca="1">IFERROR(__xludf.DUMMYFUNCTION("IF
(
G3951=""фізична особа""
,
VLOOKUP(H3951,IMPORTRANGE(""https://docs.google.com/spreadsheets/d/14Bd19lYaqBhU8_DElYkX7l4wRkHqqCUFNJY4AfY3kHU/edit?usp=sharing  #gid=0"",""фіз особи new!relations_name""),6,FALSE)
,
(IF
(
G3951=""юридична особа""
,
VLOOKUP"&amp;"(H3951,IMPORTRANGE(""https://docs.google.com/spreadsheets/d/14Bd19lYaqBhU8_DElYkX7l4wRkHqqCUFNJY4AfY3kHU/edit?usp=sharing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3950" s="7" t="s">
        <v>54</v>
      </c>
    </row>
    <row r="3951" spans="1:10" ht="13.2">
      <c r="A3951" s="7">
        <v>3950</v>
      </c>
      <c r="B3951" s="7">
        <v>1</v>
      </c>
      <c r="C3951" s="7" t="s">
        <v>10</v>
      </c>
      <c r="D3951" s="7">
        <v>2498</v>
      </c>
      <c r="E3951" s="7" t="s">
        <v>15</v>
      </c>
      <c r="F3951" s="8" t="str">
        <f ca="1">IFERROR(__xludf.DUMMYFUNCTION("IF
(
C3952=""фізична особа""
,
VLOOKUP(D3952,IMPORTRANGE(""https://docs.google.com/spreadsheets/d/14Bd19lYaqBhU8_DElYkX7l4wRkHqqCUFNJY4AfY3kHU/edit?usp=sharing  #gid=0"",""фіз особи new!relations_name""),6,FALSE)
,
(IF
(
C3952=""юридична особа""
,
VLOOKUP"&amp;"(D3952,IMPORTRANGE(""https://docs.google.com/spreadsheets/d/14Bd19lYaqBhU8_DElYkX7l4wRkHqqCUFNJY4AfY3kHU/edit?usp=sharing  #gid=0"",""фіз особи new!relations_name_uo""),7,FALSE)
,
)
))"),"ЦОМАЄВА / ШКРЕБНЄВА Ольга Олександрівна")</f>
        <v>ЦОМАЄВА / ШКРЕБНЄВА Ольга Олександрівна</v>
      </c>
      <c r="G3951" s="7" t="s">
        <v>10</v>
      </c>
      <c r="H3951" s="7">
        <v>0</v>
      </c>
      <c r="I3951" s="8" t="str">
        <f ca="1">IFERROR(__xludf.DUMMYFUNCTION("IF
(
G3952=""фізична особа""
,
VLOOKUP(H3952,IMPORTRANGE(""https://docs.google.com/spreadsheets/d/14Bd19lYaqBhU8_DElYkX7l4wRkHqqCUFNJY4AfY3kHU/edit?usp=sharing  #gid=0"",""фіз особи new!relations_name""),6,FALSE)
,
(IF
(
G3952=""юридична особа""
,
VLOOKUP"&amp;"(H3952,IMPORTRANGE(""https://docs.google.com/spreadsheets/d/14Bd19lYaqBhU8_DElYkX7l4wRkHqqCUFNJY4AfY3kHU/edit?usp=sharing  #gid=0"",""фіз особи new!relations_name_uo""),7,FALSE)
,
)
))"),"#N/A")</f>
        <v>#N/A</v>
      </c>
      <c r="J3951" s="7" t="s">
        <v>14</v>
      </c>
    </row>
    <row r="3952" spans="1:10" ht="13.2">
      <c r="A3952" s="7">
        <v>3951</v>
      </c>
      <c r="B3952" s="7">
        <v>1</v>
      </c>
      <c r="C3952" s="7" t="s">
        <v>10</v>
      </c>
      <c r="D3952" s="7">
        <v>2498</v>
      </c>
      <c r="E3952" s="7" t="s">
        <v>21</v>
      </c>
      <c r="F3952" s="8" t="str">
        <f ca="1">IFERROR(__xludf.DUMMYFUNCTION("IF
(
C3953=""фізична особа""
,
VLOOKUP(D3953,IMPORTRANGE(""https://docs.google.com/spreadsheets/d/14Bd19lYaqBhU8_DElYkX7l4wRkHqqCUFNJY4AfY3kHU/edit?usp=sharing  #gid=0"",""фіз особи new!relations_name""),6,FALSE)
,
(IF
(
C3953=""юридична особа""
,
VLOOKUP"&amp;"(D3953,IMPORTRANGE(""https://docs.google.com/spreadsheets/d/14Bd19lYaqBhU8_DElYkX7l4wRkHqqCUFNJY4AfY3kHU/edit?usp=sharing  #gid=0"",""фіз особи new!relations_name_uo""),7,FALSE)
,
)
))"),"ЦОМАЄВА / ШКРЕБНЄВА Ольга Олександрівна")</f>
        <v>ЦОМАЄВА / ШКРЕБНЄВА Ольга Олександрівна</v>
      </c>
      <c r="G3952" s="7" t="s">
        <v>10</v>
      </c>
      <c r="H3952" s="7">
        <v>0</v>
      </c>
      <c r="I3952" s="8" t="str">
        <f ca="1">IFERROR(__xludf.DUMMYFUNCTION("IF
(
G3953=""фізична особа""
,
VLOOKUP(H3953,IMPORTRANGE(""https://docs.google.com/spreadsheets/d/14Bd19lYaqBhU8_DElYkX7l4wRkHqqCUFNJY4AfY3kHU/edit?usp=sharing  #gid=0"",""фіз особи new!relations_name""),6,FALSE)
,
(IF
(
G3953=""юридична особа""
,
VLOOKUP"&amp;"(H3953,IMPORTRANGE(""https://docs.google.com/spreadsheets/d/14Bd19lYaqBhU8_DElYkX7l4wRkHqqCUFNJY4AfY3kHU/edit?usp=sharing  #gid=0"",""фіз особи new!relations_name_uo""),7,FALSE)
,
)
))"),"#N/A")</f>
        <v>#N/A</v>
      </c>
      <c r="J3952" s="7" t="s">
        <v>13</v>
      </c>
    </row>
    <row r="3953" spans="1:10" ht="13.2">
      <c r="A3953" s="7">
        <v>3952</v>
      </c>
      <c r="B3953" s="7">
        <v>1</v>
      </c>
      <c r="C3953" s="7" t="s">
        <v>10</v>
      </c>
      <c r="D3953" s="7">
        <v>2499</v>
      </c>
      <c r="E3953" s="7" t="s">
        <v>12</v>
      </c>
      <c r="F3953" s="8" t="str">
        <f ca="1">IFERROR(__xludf.DUMMYFUNCTION("IF
(
C3954=""фізична особа""
,
VLOOKUP(D3954,IMPORTRANGE(""https://docs.google.com/spreadsheets/d/14Bd19lYaqBhU8_DElYkX7l4wRkHqqCUFNJY4AfY3kHU/edit?usp=sharing  #gid=0"",""фіз особи new!relations_name""),6,FALSE)
,
(IF
(
C3954=""юридична особа""
,
VLOOKUP"&amp;"(D3954,IMPORTRANGE(""https://docs.google.com/spreadsheets/d/14Bd19lYaqBhU8_DElYkX7l4wRkHqqCUFNJY4AfY3kHU/edit?usp=sharing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3" s="7" t="s">
        <v>10</v>
      </c>
      <c r="H3953" s="7">
        <v>0</v>
      </c>
      <c r="I3953" s="8" t="str">
        <f ca="1">IFERROR(__xludf.DUMMYFUNCTION("IF
(
G3954=""фізична особа""
,
VLOOKUP(H3954,IMPORTRANGE(""https://docs.google.com/spreadsheets/d/14Bd19lYaqBhU8_DElYkX7l4wRkHqqCUFNJY4AfY3kHU/edit?usp=sharing  #gid=0"",""фіз особи new!relations_name""),6,FALSE)
,
(IF
(
G3954=""юридична особа""
,
VLOOKUP"&amp;"(H3954,IMPORTRANGE(""https://docs.google.com/spreadsheets/d/14Bd19lYaqBhU8_DElYkX7l4wRkHqqCUFNJY4AfY3kHU/edit?usp=sharing  #gid=0"",""фіз особи new!relations_name_uo""),7,FALSE)
,
)
))"),"#N/A")</f>
        <v>#N/A</v>
      </c>
      <c r="J3953" s="7" t="s">
        <v>17</v>
      </c>
    </row>
    <row r="3954" spans="1:10" ht="13.2">
      <c r="A3954" s="7">
        <v>3953</v>
      </c>
      <c r="B3954" s="7">
        <v>1</v>
      </c>
      <c r="C3954" s="7" t="s">
        <v>10</v>
      </c>
      <c r="D3954" s="7">
        <v>2499</v>
      </c>
      <c r="E3954" s="7" t="s">
        <v>12</v>
      </c>
      <c r="F3954" s="8" t="str">
        <f ca="1">IFERROR(__xludf.DUMMYFUNCTION("IF
(
C3955=""фізична особа""
,
VLOOKUP(D3955,IMPORTRANGE(""https://docs.google.com/spreadsheets/d/14Bd19lYaqBhU8_DElYkX7l4wRkHqqCUFNJY4AfY3kHU/edit?usp=sharing  #gid=0"",""фіз особи new!relations_name""),6,FALSE)
,
(IF
(
C3955=""юридична особа""
,
VLOOKUP"&amp;"(D3955,IMPORTRANGE(""https://docs.google.com/spreadsheets/d/14Bd19lYaqBhU8_DElYkX7l4wRkHqqCUFNJY4AfY3kHU/edit?usp=sharing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4" s="7" t="s">
        <v>10</v>
      </c>
      <c r="H3954" s="7">
        <v>0</v>
      </c>
      <c r="I3954" s="8" t="str">
        <f ca="1">IFERROR(__xludf.DUMMYFUNCTION("IF
(
G3955=""фізична особа""
,
VLOOKUP(H3955,IMPORTRANGE(""https://docs.google.com/spreadsheets/d/14Bd19lYaqBhU8_DElYkX7l4wRkHqqCUFNJY4AfY3kHU/edit?usp=sharing  #gid=0"",""фіз особи new!relations_name""),6,FALSE)
,
(IF
(
G3955=""юридична особа""
,
VLOOKUP"&amp;"(H3955,IMPORTRANGE(""https://docs.google.com/spreadsheets/d/14Bd19lYaqBhU8_DElYkX7l4wRkHqqCUFNJY4AfY3kHU/edit?usp=sharing  #gid=0"",""фіз особи new!relations_name_uo""),7,FALSE)
,
)
))"),"#N/A")</f>
        <v>#N/A</v>
      </c>
      <c r="J3954" s="7" t="s">
        <v>17</v>
      </c>
    </row>
    <row r="3955" spans="1:10" ht="13.2">
      <c r="A3955" s="7">
        <v>3954</v>
      </c>
      <c r="B3955" s="7">
        <v>1</v>
      </c>
      <c r="C3955" s="7" t="s">
        <v>10</v>
      </c>
      <c r="D3955" s="7">
        <v>2499</v>
      </c>
      <c r="E3955" s="7" t="s">
        <v>12</v>
      </c>
      <c r="F3955" s="8" t="str">
        <f ca="1">IFERROR(__xludf.DUMMYFUNCTION("IF
(
C3956=""фізична особа""
,
VLOOKUP(D3956,IMPORTRANGE(""https://docs.google.com/spreadsheets/d/14Bd19lYaqBhU8_DElYkX7l4wRkHqqCUFNJY4AfY3kHU/edit?usp=sharing  #gid=0"",""фіз особи new!relations_name""),6,FALSE)
,
(IF
(
C3956=""юридична особа""
,
VLOOKUP"&amp;"(D3956,IMPORTRANGE(""https://docs.google.com/spreadsheets/d/14Bd19lYaqBhU8_DElYkX7l4wRkHqqCUFNJY4AfY3kHU/edit?usp=sharing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5" s="7" t="s">
        <v>10</v>
      </c>
      <c r="H3955" s="7">
        <v>0</v>
      </c>
      <c r="I3955" s="8" t="str">
        <f ca="1">IFERROR(__xludf.DUMMYFUNCTION("IF
(
G3956=""фізична особа""
,
VLOOKUP(H3956,IMPORTRANGE(""https://docs.google.com/spreadsheets/d/14Bd19lYaqBhU8_DElYkX7l4wRkHqqCUFNJY4AfY3kHU/edit?usp=sharing  #gid=0"",""фіз особи new!relations_name""),6,FALSE)
,
(IF
(
G3956=""юридична особа""
,
VLOOKUP"&amp;"(H3956,IMPORTRANGE(""https://docs.google.com/spreadsheets/d/14Bd19lYaqBhU8_DElYkX7l4wRkHqqCUFNJY4AfY3kHU/edit?usp=sharing  #gid=0"",""фіз особи new!relations_name_uo""),7,FALSE)
,
)
))"),"#N/A")</f>
        <v>#N/A</v>
      </c>
      <c r="J3955" s="7" t="s">
        <v>17</v>
      </c>
    </row>
    <row r="3956" spans="1:10" ht="13.2">
      <c r="A3956" s="7">
        <v>3955</v>
      </c>
      <c r="B3956" s="7">
        <v>1</v>
      </c>
      <c r="C3956" s="7" t="s">
        <v>10</v>
      </c>
      <c r="D3956" s="7">
        <v>2499</v>
      </c>
      <c r="E3956" s="7" t="s">
        <v>12</v>
      </c>
      <c r="F3956" s="8" t="str">
        <f ca="1">IFERROR(__xludf.DUMMYFUNCTION("IF
(
C3957=""фізична особа""
,
VLOOKUP(D3957,IMPORTRANGE(""https://docs.google.com/spreadsheets/d/14Bd19lYaqBhU8_DElYkX7l4wRkHqqCUFNJY4AfY3kHU/edit?usp=sharing  #gid=0"",""фіз особи new!relations_name""),6,FALSE)
,
(IF
(
C3957=""юридична особа""
,
VLOOKUP"&amp;"(D3957,IMPORTRANGE(""https://docs.google.com/spreadsheets/d/14Bd19lYaqBhU8_DElYkX7l4wRkHqqCUFNJY4AfY3kHU/edit?usp=sharing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6" s="7" t="s">
        <v>10</v>
      </c>
      <c r="H3956" s="7">
        <v>0</v>
      </c>
      <c r="I3956" s="8" t="str">
        <f ca="1">IFERROR(__xludf.DUMMYFUNCTION("IF
(
G3957=""фізична особа""
,
VLOOKUP(H3957,IMPORTRANGE(""https://docs.google.com/spreadsheets/d/14Bd19lYaqBhU8_DElYkX7l4wRkHqqCUFNJY4AfY3kHU/edit?usp=sharing  #gid=0"",""фіз особи new!relations_name""),6,FALSE)
,
(IF
(
G3957=""юридична особа""
,
VLOOKUP"&amp;"(H3957,IMPORTRANGE(""https://docs.google.com/spreadsheets/d/14Bd19lYaqBhU8_DElYkX7l4wRkHqqCUFNJY4AfY3kHU/edit?usp=sharing  #gid=0"",""фіз особи new!relations_name_uo""),7,FALSE)
,
)
))"),"#N/A")</f>
        <v>#N/A</v>
      </c>
      <c r="J3956" s="7" t="s">
        <v>17</v>
      </c>
    </row>
    <row r="3957" spans="1:10" ht="13.2">
      <c r="A3957" s="7">
        <v>3956</v>
      </c>
      <c r="B3957" s="7">
        <v>1</v>
      </c>
      <c r="C3957" s="7" t="s">
        <v>10</v>
      </c>
      <c r="D3957" s="7">
        <v>2499</v>
      </c>
      <c r="E3957" s="7" t="s">
        <v>18</v>
      </c>
      <c r="F3957" s="8" t="str">
        <f ca="1">IFERROR(__xludf.DUMMYFUNCTION("IF
(
C3958=""фізична особа""
,
VLOOKUP(D3958,IMPORTRANGE(""https://docs.google.com/spreadsheets/d/14Bd19lYaqBhU8_DElYkX7l4wRkHqqCUFNJY4AfY3kHU/edit?usp=sharing  #gid=0"",""фіз особи new!relations_name""),6,FALSE)
,
(IF
(
C3958=""юридична особа""
,
VLOOKUP"&amp;"(D3958,IMPORTRANGE(""https://docs.google.com/spreadsheets/d/14Bd19lYaqBhU8_DElYkX7l4wRkHqqCUFNJY4AfY3kHU/edit?usp=sharing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7" s="7" t="s">
        <v>10</v>
      </c>
      <c r="H3957" s="7">
        <v>0</v>
      </c>
      <c r="I3957" s="8" t="str">
        <f ca="1">IFERROR(__xludf.DUMMYFUNCTION("IF
(
G3958=""фізична особа""
,
VLOOKUP(H3958,IMPORTRANGE(""https://docs.google.com/spreadsheets/d/14Bd19lYaqBhU8_DElYkX7l4wRkHqqCUFNJY4AfY3kHU/edit?usp=sharing  #gid=0"",""фіз особи new!relations_name""),6,FALSE)
,
(IF
(
G3958=""юридична особа""
,
VLOOKUP"&amp;"(H3958,IMPORTRANGE(""https://docs.google.com/spreadsheets/d/14Bd19lYaqBhU8_DElYkX7l4wRkHqqCUFNJY4AfY3kHU/edit?usp=sharing  #gid=0"",""фіз особи new!relations_name_uo""),7,FALSE)
,
)
))"),"#N/A")</f>
        <v>#N/A</v>
      </c>
      <c r="J3957" s="7" t="s">
        <v>18</v>
      </c>
    </row>
    <row r="3958" spans="1:10" ht="13.2">
      <c r="A3958" s="7">
        <v>3957</v>
      </c>
      <c r="B3958" s="7">
        <v>1</v>
      </c>
      <c r="C3958" s="7" t="s">
        <v>10</v>
      </c>
      <c r="D3958" s="7">
        <v>2499</v>
      </c>
      <c r="E3958" s="7" t="s">
        <v>14</v>
      </c>
      <c r="F3958" s="8" t="str">
        <f ca="1">IFERROR(__xludf.DUMMYFUNCTION("IF
(
C3959=""фізична особа""
,
VLOOKUP(D3959,IMPORTRANGE(""https://docs.google.com/spreadsheets/d/14Bd19lYaqBhU8_DElYkX7l4wRkHqqCUFNJY4AfY3kHU/edit?usp=sharing  #gid=0"",""фіз особи new!relations_name""),6,FALSE)
,
(IF
(
C3959=""юридична особа""
,
VLOOKUP"&amp;"(D3959,IMPORTRANGE(""https://docs.google.com/spreadsheets/d/14Bd19lYaqBhU8_DElYkX7l4wRkHqqCUFNJY4AfY3kHU/edit?usp=sharing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G3958" s="7" t="s">
        <v>10</v>
      </c>
      <c r="H3958" s="7">
        <v>0</v>
      </c>
      <c r="I3958" s="8" t="str">
        <f ca="1">IFERROR(__xludf.DUMMYFUNCTION("IF
(
G3959=""фізична особа""
,
VLOOKUP(H3959,IMPORTRANGE(""https://docs.google.com/spreadsheets/d/14Bd19lYaqBhU8_DElYkX7l4wRkHqqCUFNJY4AfY3kHU/edit?usp=sharing  #gid=0"",""фіз особи new!relations_name""),6,FALSE)
,
(IF
(
G3959=""юридична особа""
,
VLOOKUP"&amp;"(H3959,IMPORTRANGE(""https://docs.google.com/spreadsheets/d/14Bd19lYaqBhU8_DElYkX7l4wRkHqqCUFNJY4AfY3kHU/edit?usp=sharing  #gid=0"",""фіз особи new!relations_name_uo""),7,FALSE)
,
)
))"),"#N/A")</f>
        <v>#N/A</v>
      </c>
      <c r="J3958" s="7" t="s">
        <v>15</v>
      </c>
    </row>
    <row r="3959" spans="1:10" ht="13.2">
      <c r="A3959" s="7">
        <v>3958</v>
      </c>
      <c r="B3959" s="7">
        <v>1</v>
      </c>
      <c r="C3959" s="7" t="s">
        <v>10</v>
      </c>
      <c r="D3959" s="7">
        <v>2500</v>
      </c>
      <c r="E3959" s="7" t="s">
        <v>12</v>
      </c>
      <c r="F3959" s="8" t="str">
        <f ca="1">IFERROR(__xludf.DUMMYFUNCTION("IF
(
C3960=""фізична особа""
,
VLOOKUP(D3960,IMPORTRANGE(""https://docs.google.com/spreadsheets/d/14Bd19lYaqBhU8_DElYkX7l4wRkHqqCUFNJY4AfY3kHU/edit?usp=sharing  #gid=0"",""фіз особи new!relations_name""),6,FALSE)
,
(IF
(
C3960=""юридична особа""
,
VLOOKUP"&amp;"(D3960,IMPORTRANGE(""https://docs.google.com/spreadsheets/d/14Bd19lYaqBhU8_DElYkX7l4wRkHqqCUFNJY4AfY3kHU/edit?usp=sharing  #gid=0"",""фіз особи new!relations_name_uo""),7,FALSE)
,
)
))"),"ХОРОХОРДІН Олег Леонідович")</f>
        <v>ХОРОХОРДІН Олег Леонідович</v>
      </c>
      <c r="G3959" s="7" t="s">
        <v>10</v>
      </c>
      <c r="H3959" s="7">
        <v>0</v>
      </c>
      <c r="I3959" s="8" t="str">
        <f ca="1">IFERROR(__xludf.DUMMYFUNCTION("IF
(
G3960=""фізична особа""
,
VLOOKUP(H3960,IMPORTRANGE(""https://docs.google.com/spreadsheets/d/14Bd19lYaqBhU8_DElYkX7l4wRkHqqCUFNJY4AfY3kHU/edit?usp=sharing  #gid=0"",""фіз особи new!relations_name""),6,FALSE)
,
(IF
(
G3960=""юридична особа""
,
VLOOKUP"&amp;"(H3960,IMPORTRANGE(""https://docs.google.com/spreadsheets/d/14Bd19lYaqBhU8_DElYkX7l4wRkHqqCUFNJY4AfY3kHU/edit?usp=sharing  #gid=0"",""фіз особи new!relations_name_uo""),7,FALSE)
,
)
))"),"#N/A")</f>
        <v>#N/A</v>
      </c>
      <c r="J3959" s="7" t="s">
        <v>17</v>
      </c>
    </row>
    <row r="3960" spans="1:10" ht="13.2">
      <c r="A3960" s="7">
        <v>3959</v>
      </c>
      <c r="B3960" s="7">
        <v>1</v>
      </c>
      <c r="C3960" s="7" t="s">
        <v>10</v>
      </c>
      <c r="D3960" s="7">
        <v>2500</v>
      </c>
      <c r="E3960" s="7" t="s">
        <v>14</v>
      </c>
      <c r="F3960" s="8" t="str">
        <f ca="1">IFERROR(__xludf.DUMMYFUNCTION("IF
(
C3961=""фізична особа""
,
VLOOKUP(D3961,IMPORTRANGE(""https://docs.google.com/spreadsheets/d/14Bd19lYaqBhU8_DElYkX7l4wRkHqqCUFNJY4AfY3kHU/edit?usp=sharing  #gid=0"",""фіз особи new!relations_name""),6,FALSE)
,
(IF
(
C3961=""юридична особа""
,
VLOOKUP"&amp;"(D3961,IMPORTRANGE(""https://docs.google.com/spreadsheets/d/14Bd19lYaqBhU8_DElYkX7l4wRkHqqCUFNJY4AfY3kHU/edit?usp=sharing  #gid=0"",""фіз особи new!relations_name_uo""),7,FALSE)
,
)
))"),"ХОРОХОРДІН Олег Леонідович")</f>
        <v>ХОРОХОРДІН Олег Леонідович</v>
      </c>
      <c r="G3960" s="7" t="s">
        <v>10</v>
      </c>
      <c r="H3960" s="7">
        <v>0</v>
      </c>
      <c r="I3960" s="8" t="str">
        <f ca="1">IFERROR(__xludf.DUMMYFUNCTION("IF
(
G3961=""фізична особа""
,
VLOOKUP(H3961,IMPORTRANGE(""https://docs.google.com/spreadsheets/d/14Bd19lYaqBhU8_DElYkX7l4wRkHqqCUFNJY4AfY3kHU/edit?usp=sharing  #gid=0"",""фіз особи new!relations_name""),6,FALSE)
,
(IF
(
G3961=""юридична особа""
,
VLOOKUP"&amp;"(H3961,IMPORTRANGE(""https://docs.google.com/spreadsheets/d/14Bd19lYaqBhU8_DElYkX7l4wRkHqqCUFNJY4AfY3kHU/edit?usp=sharing  #gid=0"",""фіз особи new!relations_name_uo""),7,FALSE)
,
)
))"),"#N/A")</f>
        <v>#N/A</v>
      </c>
      <c r="J3960" s="7" t="s">
        <v>15</v>
      </c>
    </row>
    <row r="3961" spans="1:10" ht="13.2">
      <c r="A3961" s="7">
        <v>3960</v>
      </c>
      <c r="B3961" s="7">
        <v>1</v>
      </c>
      <c r="C3961" s="7" t="s">
        <v>10</v>
      </c>
      <c r="D3961" s="7">
        <v>2500</v>
      </c>
      <c r="E3961" s="7" t="s">
        <v>12</v>
      </c>
      <c r="F3961" s="8" t="str">
        <f ca="1">IFERROR(__xludf.DUMMYFUNCTION("IF
(
C3962=""фізична особа""
,
VLOOKUP(D3962,IMPORTRANGE(""https://docs.google.com/spreadsheets/d/14Bd19lYaqBhU8_DElYkX7l4wRkHqqCUFNJY4AfY3kHU/edit?usp=sharing  #gid=0"",""фіз особи new!relations_name""),6,FALSE)
,
(IF
(
C3962=""юридична особа""
,
VLOOKUP"&amp;"(D3962,IMPORTRANGE(""https://docs.google.com/spreadsheets/d/14Bd19lYaqBhU8_DElYkX7l4wRkHqqCUFNJY4AfY3kHU/edit?usp=sharing  #gid=0"",""фіз особи new!relations_name_uo""),7,FALSE)
,
)
))"),"ХОРОХОРДІН Олег Леонідович")</f>
        <v>ХОРОХОРДІН Олег Леонідович</v>
      </c>
      <c r="G3961" s="7" t="s">
        <v>10</v>
      </c>
      <c r="H3961" s="7">
        <v>0</v>
      </c>
      <c r="I3961" s="8" t="str">
        <f ca="1">IFERROR(__xludf.DUMMYFUNCTION("IF
(
G3962=""фізична особа""
,
VLOOKUP(H3962,IMPORTRANGE(""https://docs.google.com/spreadsheets/d/14Bd19lYaqBhU8_DElYkX7l4wRkHqqCUFNJY4AfY3kHU/edit?usp=sharing  #gid=0"",""фіз особи new!relations_name""),6,FALSE)
,
(IF
(
G3962=""юридична особа""
,
VLOOKUP"&amp;"(H3962,IMPORTRANGE(""https://docs.google.com/spreadsheets/d/14Bd19lYaqBhU8_DElYkX7l4wRkHqqCUFNJY4AfY3kHU/edit?usp=sharing  #gid=0"",""фіз особи new!relations_name_uo""),7,FALSE)
,
)
))"),"#N/A")</f>
        <v>#N/A</v>
      </c>
      <c r="J3961" s="7" t="s">
        <v>13</v>
      </c>
    </row>
    <row r="3962" spans="1:10" ht="13.2">
      <c r="A3962" s="7">
        <v>3961</v>
      </c>
      <c r="B3962" s="7">
        <v>1</v>
      </c>
      <c r="C3962" s="7" t="s">
        <v>10</v>
      </c>
      <c r="D3962" s="7">
        <v>2503</v>
      </c>
      <c r="E3962" s="7" t="s">
        <v>14</v>
      </c>
      <c r="F3962" s="8" t="str">
        <f ca="1">IFERROR(__xludf.DUMMYFUNCTION("IF
(
C3963=""фізична особа""
,
VLOOKUP(D3963,IMPORTRANGE(""https://docs.google.com/spreadsheets/d/14Bd19lYaqBhU8_DElYkX7l4wRkHqqCUFNJY4AfY3kHU/edit?usp=sharing  #gid=0"",""фіз особи new!relations_name""),6,FALSE)
,
(IF
(
C3963=""юридична особа""
,
VLOOKUP"&amp;"(D3963,IMPORTRANGE(""https://docs.google.com/spreadsheets/d/14Bd19lYaqBhU8_DElYkX7l4wRkHqqCUFNJY4AfY3kHU/edit?usp=sharing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G3962" s="7" t="s">
        <v>10</v>
      </c>
      <c r="H3962" s="7">
        <v>4879</v>
      </c>
      <c r="I3962" s="8" t="str">
        <f ca="1">IFERROR(__xludf.DUMMYFUNCTION("IF
(
G3963=""фізична особа""
,
VLOOKUP(H3963,IMPORTRANGE(""https://docs.google.com/spreadsheets/d/14Bd19lYaqBhU8_DElYkX7l4wRkHqqCUFNJY4AfY3kHU/edit?usp=sharing  #gid=0"",""фіз особи new!relations_name""),6,FALSE)
,
(IF
(
G3963=""юридична особа""
,
VLOOKUP"&amp;"(H3963,IMPORTRANGE(""https://docs.google.com/spreadsheets/d/14Bd19lYaqBhU8_DElYkX7l4wRkHqqCUFNJY4AfY3kHU/edit?usp=sharing  #gid=0"",""фіз особи new!relations_name_uo""),7,FALSE)
,
)
))"),"МЕЛІКОВА Галина Анатоліївна")</f>
        <v>МЕЛІКОВА Галина Анатоліївна</v>
      </c>
      <c r="J3962" s="7" t="s">
        <v>15</v>
      </c>
    </row>
    <row r="3963" spans="1:10" ht="13.2">
      <c r="A3963" s="7">
        <v>3962</v>
      </c>
      <c r="B3963" s="7">
        <v>1</v>
      </c>
      <c r="C3963" s="7" t="s">
        <v>10</v>
      </c>
      <c r="D3963" s="7">
        <v>2503</v>
      </c>
      <c r="E3963" s="7" t="s">
        <v>12</v>
      </c>
      <c r="F3963" s="8" t="str">
        <f ca="1">IFERROR(__xludf.DUMMYFUNCTION("IF
(
C3964=""фізична особа""
,
VLOOKUP(D3964,IMPORTRANGE(""https://docs.google.com/spreadsheets/d/14Bd19lYaqBhU8_DElYkX7l4wRkHqqCUFNJY4AfY3kHU/edit?usp=sharing  #gid=0"",""фіз особи new!relations_name""),6,FALSE)
,
(IF
(
C3964=""юридична особа""
,
VLOOKUP"&amp;"(D3964,IMPORTRANGE(""https://docs.google.com/spreadsheets/d/14Bd19lYaqBhU8_DElYkX7l4wRkHqqCUFNJY4AfY3kHU/edit?usp=sharing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G3963" s="7" t="s">
        <v>10</v>
      </c>
      <c r="H3963" s="7">
        <v>4881</v>
      </c>
      <c r="I3963" s="8" t="str">
        <f ca="1">IFERROR(__xludf.DUMMYFUNCTION("IF
(
G3964=""фізична особа""
,
VLOOKUP(H3964,IMPORTRANGE(""https://docs.google.com/spreadsheets/d/14Bd19lYaqBhU8_DElYkX7l4wRkHqqCUFNJY4AfY3kHU/edit?usp=sharing  #gid=0"",""фіз особи new!relations_name""),6,FALSE)
,
(IF
(
G3964=""юридична особа""
,
VLOOKUP"&amp;"(H3964,IMPORTRANGE(""https://docs.google.com/spreadsheets/d/14Bd19lYaqBhU8_DElYkX7l4wRkHqqCUFNJY4AfY3kHU/edit?usp=sharing  #gid=0"",""фіз особи new!relations_name_uo""),7,FALSE)
,
)
))"),"МЕЛІКОВ Михайло Сергійович")</f>
        <v>МЕЛІКОВ Михайло Сергійович</v>
      </c>
      <c r="J3963" s="7" t="s">
        <v>17</v>
      </c>
    </row>
    <row r="3964" spans="1:10" ht="13.2">
      <c r="A3964" s="7">
        <v>3963</v>
      </c>
      <c r="B3964" s="7">
        <v>1</v>
      </c>
      <c r="C3964" s="7" t="s">
        <v>10</v>
      </c>
      <c r="D3964" s="7">
        <v>2503</v>
      </c>
      <c r="E3964" s="7" t="s">
        <v>18</v>
      </c>
      <c r="F3964" s="8" t="str">
        <f ca="1">IFERROR(__xludf.DUMMYFUNCTION("IF
(
C3965=""фізична особа""
,
VLOOKUP(D3965,IMPORTRANGE(""https://docs.google.com/spreadsheets/d/14Bd19lYaqBhU8_DElYkX7l4wRkHqqCUFNJY4AfY3kHU/edit?usp=sharing  #gid=0"",""фіз особи new!relations_name""),6,FALSE)
,
(IF
(
C3965=""юридична особа""
,
VLOOKUP"&amp;"(D3965,IMPORTRANGE(""https://docs.google.com/spreadsheets/d/14Bd19lYaqBhU8_DElYkX7l4wRkHqqCUFNJY4AfY3kHU/edit?usp=sharing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G3964" s="7" t="s">
        <v>10</v>
      </c>
      <c r="H3964" s="7">
        <v>4880</v>
      </c>
      <c r="I3964" s="8" t="str">
        <f ca="1">IFERROR(__xludf.DUMMYFUNCTION("IF
(
G3965=""фізична особа""
,
VLOOKUP(H3965,IMPORTRANGE(""https://docs.google.com/spreadsheets/d/14Bd19lYaqBhU8_DElYkX7l4wRkHqqCUFNJY4AfY3kHU/edit?usp=sharing  #gid=0"",""фіз особи new!relations_name""),6,FALSE)
,
(IF
(
G3965=""юридична особа""
,
VLOOKUP"&amp;"(H3965,IMPORTRANGE(""https://docs.google.com/spreadsheets/d/14Bd19lYaqBhU8_DElYkX7l4wRkHqqCUFNJY4AfY3kHU/edit?usp=sharing  #gid=0"",""фіз особи new!relations_name_uo""),7,FALSE)
,
)
))"),"МЕЛІКОВ Михайло Алімович")</f>
        <v>МЕЛІКОВ Михайло Алімович</v>
      </c>
      <c r="J3964" s="7" t="s">
        <v>18</v>
      </c>
    </row>
    <row r="3965" spans="1:10" ht="13.2">
      <c r="A3965" s="7">
        <v>3964</v>
      </c>
      <c r="B3965" s="7">
        <v>1</v>
      </c>
      <c r="C3965" s="7" t="s">
        <v>10</v>
      </c>
      <c r="D3965" s="7">
        <v>2504</v>
      </c>
      <c r="E3965" s="7" t="s">
        <v>14</v>
      </c>
      <c r="F3965" s="8" t="str">
        <f ca="1">IFERROR(__xludf.DUMMYFUNCTION("IF
(
C3966=""фізична особа""
,
VLOOKUP(D3966,IMPORTRANGE(""https://docs.google.com/spreadsheets/d/14Bd19lYaqBhU8_DElYkX7l4wRkHqqCUFNJY4AfY3kHU/edit?usp=sharing  #gid=0"",""фіз особи new!relations_name""),6,FALSE)
,
(IF
(
C3966=""юридична особа""
,
VLOOKUP"&amp;"(D3966,IMPORTRANGE(""https://docs.google.com/spreadsheets/d/14Bd19lYaqBhU8_DElYkX7l4wRkHqqCUFNJY4AfY3kHU/edit?usp=sharing  #gid=0"",""фіз особи new!relations_name_uo""),7,FALSE)
,
)
))"),"КАЛІМАТОВ Махмуд-Алі Макшарипович")</f>
        <v>КАЛІМАТОВ Махмуд-Алі Макшарипович</v>
      </c>
      <c r="G3965" s="7" t="s">
        <v>10</v>
      </c>
      <c r="H3965" s="7">
        <v>0</v>
      </c>
      <c r="I3965" s="8" t="str">
        <f ca="1">IFERROR(__xludf.DUMMYFUNCTION("IF
(
G3966=""фізична особа""
,
VLOOKUP(H3966,IMPORTRANGE(""https://docs.google.com/spreadsheets/d/14Bd19lYaqBhU8_DElYkX7l4wRkHqqCUFNJY4AfY3kHU/edit?usp=sharing  #gid=0"",""фіз особи new!relations_name""),6,FALSE)
,
(IF
(
G3966=""юридична особа""
,
VLOOKUP"&amp;"(H3966,IMPORTRANGE(""https://docs.google.com/spreadsheets/d/14Bd19lYaqBhU8_DElYkX7l4wRkHqqCUFNJY4AfY3kHU/edit?usp=sharing  #gid=0"",""фіз особи new!relations_name_uo""),7,FALSE)
,
)
))"),"#N/A")</f>
        <v>#N/A</v>
      </c>
      <c r="J3965" s="7" t="s">
        <v>15</v>
      </c>
    </row>
    <row r="3966" spans="1:10" ht="13.2">
      <c r="A3966" s="7">
        <v>3965</v>
      </c>
      <c r="B3966" s="7">
        <v>1</v>
      </c>
      <c r="C3966" s="7" t="s">
        <v>10</v>
      </c>
      <c r="D3966" s="7">
        <v>2504</v>
      </c>
      <c r="E3966" s="7" t="s">
        <v>18</v>
      </c>
      <c r="F3966" s="8" t="str">
        <f ca="1">IFERROR(__xludf.DUMMYFUNCTION("IF
(
C3967=""фізична особа""
,
VLOOKUP(D3967,IMPORTRANGE(""https://docs.google.com/spreadsheets/d/14Bd19lYaqBhU8_DElYkX7l4wRkHqqCUFNJY4AfY3kHU/edit?usp=sharing  #gid=0"",""фіз особи new!relations_name""),6,FALSE)
,
(IF
(
C3967=""юридична особа""
,
VLOOKUP"&amp;"(D3967,IMPORTRANGE(""https://docs.google.com/spreadsheets/d/14Bd19lYaqBhU8_DElYkX7l4wRkHqqCUFNJY4AfY3kHU/edit?usp=sharing  #gid=0"",""фіз особи new!relations_name_uo""),7,FALSE)
,
)
))"),"КАЛІМАТОВ Махмуд-Алі Макшарипович")</f>
        <v>КАЛІМАТОВ Махмуд-Алі Макшарипович</v>
      </c>
      <c r="G3966" s="7" t="s">
        <v>10</v>
      </c>
      <c r="H3966" s="7">
        <v>0</v>
      </c>
      <c r="I3966" s="8" t="str">
        <f ca="1">IFERROR(__xludf.DUMMYFUNCTION("IF
(
G3967=""фізична особа""
,
VLOOKUP(H3967,IMPORTRANGE(""https://docs.google.com/spreadsheets/d/14Bd19lYaqBhU8_DElYkX7l4wRkHqqCUFNJY4AfY3kHU/edit?usp=sharing  #gid=0"",""фіз особи new!relations_name""),6,FALSE)
,
(IF
(
G3967=""юридична особа""
,
VLOOKUP"&amp;"(H3967,IMPORTRANGE(""https://docs.google.com/spreadsheets/d/14Bd19lYaqBhU8_DElYkX7l4wRkHqqCUFNJY4AfY3kHU/edit?usp=sharing  #gid=0"",""фіз особи new!relations_name_uo""),7,FALSE)
,
)
))"),"#N/A")</f>
        <v>#N/A</v>
      </c>
      <c r="J3966" s="7" t="s">
        <v>18</v>
      </c>
    </row>
    <row r="3967" spans="1:10" ht="13.2">
      <c r="A3967" s="7">
        <v>3966</v>
      </c>
      <c r="B3967" s="7">
        <v>1</v>
      </c>
      <c r="C3967" s="7" t="s">
        <v>10</v>
      </c>
      <c r="D3967" s="7">
        <v>2504</v>
      </c>
      <c r="E3967" s="7" t="s">
        <v>26</v>
      </c>
      <c r="F3967" s="8" t="str">
        <f ca="1">IFERROR(__xludf.DUMMYFUNCTION("IF
(
C3968=""фізична особа""
,
VLOOKUP(D3968,IMPORTRANGE(""https://docs.google.com/spreadsheets/d/14Bd19lYaqBhU8_DElYkX7l4wRkHqqCUFNJY4AfY3kHU/edit?usp=sharing  #gid=0"",""фіз особи new!relations_name""),6,FALSE)
,
(IF
(
C3968=""юридична особа""
,
VLOOKUP"&amp;"(D3968,IMPORTRANGE(""https://docs.google.com/spreadsheets/d/14Bd19lYaqBhU8_DElYkX7l4wRkHqqCUFNJY4AfY3kHU/edit?usp=sharing  #gid=0"",""фіз особи new!relations_name_uo""),7,FALSE)
,
)
))"),"КАЛІМАТОВ Махмуд-Алі Макшарипович")</f>
        <v>КАЛІМАТОВ Махмуд-Алі Макшарипович</v>
      </c>
      <c r="G3967" s="7" t="s">
        <v>10</v>
      </c>
      <c r="H3967" s="7">
        <v>0</v>
      </c>
      <c r="I3967" s="8" t="str">
        <f ca="1">IFERROR(__xludf.DUMMYFUNCTION("IF
(
G3968=""фізична особа""
,
VLOOKUP(H3968,IMPORTRANGE(""https://docs.google.com/spreadsheets/d/14Bd19lYaqBhU8_DElYkX7l4wRkHqqCUFNJY4AfY3kHU/edit?usp=sharing  #gid=0"",""фіз особи new!relations_name""),6,FALSE)
,
(IF
(
G3968=""юридична особа""
,
VLOOKUP"&amp;"(H3968,IMPORTRANGE(""https://docs.google.com/spreadsheets/d/14Bd19lYaqBhU8_DElYkX7l4wRkHqqCUFNJY4AfY3kHU/edit?usp=sharing  #gid=0"",""фіз особи new!relations_name_uo""),7,FALSE)
,
)
))"),"#N/A")</f>
        <v>#N/A</v>
      </c>
      <c r="J3967" s="7" t="s">
        <v>67</v>
      </c>
    </row>
    <row r="3968" spans="1:10" ht="13.2">
      <c r="A3968" s="7">
        <v>3967</v>
      </c>
      <c r="B3968" s="7">
        <v>1</v>
      </c>
      <c r="C3968" s="7" t="s">
        <v>10</v>
      </c>
      <c r="D3968" s="7">
        <v>2504</v>
      </c>
      <c r="E3968" s="7" t="s">
        <v>68</v>
      </c>
      <c r="F3968" s="8" t="str">
        <f ca="1">IFERROR(__xludf.DUMMYFUNCTION("IF
(
C3969=""фізична особа""
,
VLOOKUP(D3969,IMPORTRANGE(""https://docs.google.com/spreadsheets/d/14Bd19lYaqBhU8_DElYkX7l4wRkHqqCUFNJY4AfY3kHU/edit?usp=sharing  #gid=0"",""фіз особи new!relations_name""),6,FALSE)
,
(IF
(
C3969=""юридична особа""
,
VLOOKUP"&amp;"(D3969,IMPORTRANGE(""https://docs.google.com/spreadsheets/d/14Bd19lYaqBhU8_DElYkX7l4wRkHqqCUFNJY4AfY3kHU/edit?usp=sharing  #gid=0"",""фіз особи new!relations_name_uo""),7,FALSE)
,
)
))"),"КАЛІМАТОВ Махмуд-Алі Макшарипович")</f>
        <v>КАЛІМАТОВ Махмуд-Алі Макшарипович</v>
      </c>
      <c r="G3968" s="7" t="s">
        <v>10</v>
      </c>
      <c r="H3968" s="7">
        <v>0</v>
      </c>
      <c r="I3968" s="8" t="str">
        <f ca="1">IFERROR(__xludf.DUMMYFUNCTION("IF
(
G3969=""фізична особа""
,
VLOOKUP(H3969,IMPORTRANGE(""https://docs.google.com/spreadsheets/d/14Bd19lYaqBhU8_DElYkX7l4wRkHqqCUFNJY4AfY3kHU/edit?usp=sharing  #gid=0"",""фіз особи new!relations_name""),6,FALSE)
,
(IF
(
G3969=""юридична особа""
,
VLOOKUP"&amp;"(H3969,IMPORTRANGE(""https://docs.google.com/spreadsheets/d/14Bd19lYaqBhU8_DElYkX7l4wRkHqqCUFNJY4AfY3kHU/edit?usp=sharing  #gid=0"",""фіз особи new!relations_name_uo""),7,FALSE)
,
)
))"),"#N/A")</f>
        <v>#N/A</v>
      </c>
      <c r="J3968" s="7" t="s">
        <v>68</v>
      </c>
    </row>
    <row r="3969" spans="1:10" ht="13.2">
      <c r="A3969" s="7">
        <v>3968</v>
      </c>
      <c r="B3969" s="7">
        <v>1</v>
      </c>
      <c r="C3969" s="7" t="s">
        <v>10</v>
      </c>
      <c r="D3969" s="7">
        <v>2505</v>
      </c>
      <c r="E3969" s="7" t="s">
        <v>14</v>
      </c>
      <c r="F3969" s="8" t="str">
        <f ca="1">IFERROR(__xludf.DUMMYFUNCTION("IF
(
C3970=""фізична особа""
,
VLOOKUP(D3970,IMPORTRANGE(""https://docs.google.com/spreadsheets/d/14Bd19lYaqBhU8_DElYkX7l4wRkHqqCUFNJY4AfY3kHU/edit?usp=sharing  #gid=0"",""фіз особи new!relations_name""),6,FALSE)
,
(IF
(
C3970=""юридична особа""
,
VLOOKUP"&amp;"(D3970,IMPORTRANGE(""https://docs.google.com/spreadsheets/d/14Bd19lYaqBhU8_DElYkX7l4wRkHqqCUFNJY4AfY3kHU/edit?usp=sharing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69" s="7" t="s">
        <v>10</v>
      </c>
      <c r="H3969" s="7">
        <v>5021</v>
      </c>
      <c r="I3969" s="8" t="str">
        <f ca="1">IFERROR(__xludf.DUMMYFUNCTION("IF
(
G3970=""фізична особа""
,
VLOOKUP(H3970,IMPORTRANGE(""https://docs.google.com/spreadsheets/d/14Bd19lYaqBhU8_DElYkX7l4wRkHqqCUFNJY4AfY3kHU/edit?usp=sharing  #gid=0"",""фіз особи new!relations_name""),6,FALSE)
,
(IF
(
G3970=""юридична особа""
,
VLOOKUP"&amp;"(H3970,IMPORTRANGE(""https://docs.google.com/spreadsheets/d/14Bd19lYaqBhU8_DElYkX7l4wRkHqqCUFNJY4AfY3kHU/edit?usp=sharing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J3969" s="7" t="s">
        <v>15</v>
      </c>
    </row>
    <row r="3970" spans="1:10" ht="13.2">
      <c r="A3970" s="7">
        <v>3969</v>
      </c>
      <c r="B3970" s="7">
        <v>1</v>
      </c>
      <c r="C3970" s="7" t="s">
        <v>10</v>
      </c>
      <c r="D3970" s="7">
        <v>2505</v>
      </c>
      <c r="E3970" s="7" t="s">
        <v>12</v>
      </c>
      <c r="F3970" s="8" t="str">
        <f ca="1">IFERROR(__xludf.DUMMYFUNCTION("IF
(
C3971=""фізична особа""
,
VLOOKUP(D3971,IMPORTRANGE(""https://docs.google.com/spreadsheets/d/14Bd19lYaqBhU8_DElYkX7l4wRkHqqCUFNJY4AfY3kHU/edit?usp=sharing  #gid=0"",""фіз особи new!relations_name""),6,FALSE)
,
(IF
(
C3971=""юридична особа""
,
VLOOKUP"&amp;"(D3971,IMPORTRANGE(""https://docs.google.com/spreadsheets/d/14Bd19lYaqBhU8_DElYkX7l4wRkHqqCUFNJY4AfY3kHU/edit?usp=sharing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0" s="7" t="s">
        <v>10</v>
      </c>
      <c r="H3970" s="7">
        <v>23485</v>
      </c>
      <c r="I3970" s="8" t="str">
        <f ca="1">IFERROR(__xludf.DUMMYFUNCTION("IF
(
G3971=""фізична особа""
,
VLOOKUP(H3971,IMPORTRANGE(""https://docs.google.com/spreadsheets/d/14Bd19lYaqBhU8_DElYkX7l4wRkHqqCUFNJY4AfY3kHU/edit?usp=sharing  #gid=0"",""фіз особи new!relations_name""),6,FALSE)
,
(IF
(
G3971=""юридична особа""
,
VLOOKUP"&amp;"(H3971,IMPORTRANGE(""https://docs.google.com/spreadsheets/d/14Bd19lYaqBhU8_DElYkX7l4wRkHqqCUFNJY4AfY3kHU/edit?usp=sharing  #gid=0"",""фіз особи new!relations_name_uo""),7,FALSE)
,
)
))"),"КОКОВА Віолета Казбеківна")</f>
        <v>КОКОВА Віолета Казбеківна</v>
      </c>
      <c r="J3970" s="7" t="s">
        <v>13</v>
      </c>
    </row>
    <row r="3971" spans="1:10" ht="13.2">
      <c r="A3971" s="7">
        <v>3970</v>
      </c>
      <c r="B3971" s="7">
        <v>1</v>
      </c>
      <c r="C3971" s="7" t="s">
        <v>10</v>
      </c>
      <c r="D3971" s="7">
        <v>2505</v>
      </c>
      <c r="E3971" s="7" t="s">
        <v>19</v>
      </c>
      <c r="F3971" s="8" t="str">
        <f ca="1">IFERROR(__xludf.DUMMYFUNCTION("IF
(
C3972=""фізична особа""
,
VLOOKUP(D3972,IMPORTRANGE(""https://docs.google.com/spreadsheets/d/14Bd19lYaqBhU8_DElYkX7l4wRkHqqCUFNJY4AfY3kHU/edit?usp=sharing  #gid=0"",""фіз особи new!relations_name""),6,FALSE)
,
(IF
(
C3972=""юридична особа""
,
VLOOKUP"&amp;"(D3972,IMPORTRANGE(""https://docs.google.com/spreadsheets/d/14Bd19lYaqBhU8_DElYkX7l4wRkHqqCUFNJY4AfY3kHU/edit?usp=sharing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1" s="7" t="s">
        <v>10</v>
      </c>
      <c r="H3971" s="7">
        <v>23486</v>
      </c>
      <c r="I3971" s="8" t="str">
        <f ca="1">IFERROR(__xludf.DUMMYFUNCTION("IF
(
G3972=""фізична особа""
,
VLOOKUP(H3972,IMPORTRANGE(""https://docs.google.com/spreadsheets/d/14Bd19lYaqBhU8_DElYkX7l4wRkHqqCUFNJY4AfY3kHU/edit?usp=sharing  #gid=0"",""фіз особи new!relations_name""),6,FALSE)
,
(IF
(
G3972=""юридична особа""
,
VLOOKUP"&amp;"(H3972,IMPORTRANGE(""https://docs.google.com/spreadsheets/d/14Bd19lYaqBhU8_DElYkX7l4wRkHqqCUFNJY4AfY3kHU/edit?usp=sharing  #gid=0"",""фіз особи new!relations_name_uo""),7,FALSE)
,
)
))"),"ДАДОВА Фаріда Едуардівна")</f>
        <v>ДАДОВА Фаріда Едуардівна</v>
      </c>
      <c r="J3971" s="7" t="s">
        <v>22</v>
      </c>
    </row>
    <row r="3972" spans="1:10" ht="13.2">
      <c r="A3972" s="7">
        <v>3971</v>
      </c>
      <c r="B3972" s="7">
        <v>1</v>
      </c>
      <c r="C3972" s="7" t="s">
        <v>10</v>
      </c>
      <c r="D3972" s="7">
        <v>2505</v>
      </c>
      <c r="E3972" s="7" t="s">
        <v>18</v>
      </c>
      <c r="F3972" s="8" t="str">
        <f ca="1">IFERROR(__xludf.DUMMYFUNCTION("IF
(
C3973=""фізична особа""
,
VLOOKUP(D3973,IMPORTRANGE(""https://docs.google.com/spreadsheets/d/14Bd19lYaqBhU8_DElYkX7l4wRkHqqCUFNJY4AfY3kHU/edit?usp=sharing  #gid=0"",""фіз особи new!relations_name""),6,FALSE)
,
(IF
(
C3973=""юридична особа""
,
VLOOKUP"&amp;"(D3973,IMPORTRANGE(""https://docs.google.com/spreadsheets/d/14Bd19lYaqBhU8_DElYkX7l4wRkHqqCUFNJY4AfY3kHU/edit?usp=sharing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2" s="7" t="s">
        <v>10</v>
      </c>
      <c r="H3972" s="7">
        <v>5022</v>
      </c>
      <c r="I3972" s="8" t="str">
        <f ca="1">IFERROR(__xludf.DUMMYFUNCTION("IF
(
G3973=""фізична особа""
,
VLOOKUP(H3973,IMPORTRANGE(""https://docs.google.com/spreadsheets/d/14Bd19lYaqBhU8_DElYkX7l4wRkHqqCUFNJY4AfY3kHU/edit?usp=sharing  #gid=0"",""фіз особи new!relations_name""),6,FALSE)
,
(IF
(
G3973=""юридична особа""
,
VLOOKUP"&amp;"(H3973,IMPORTRANGE(""https://docs.google.com/spreadsheets/d/14Bd19lYaqBhU8_DElYkX7l4wRkHqqCUFNJY4AfY3kHU/edit?usp=sharing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J3972" s="7" t="s">
        <v>31</v>
      </c>
    </row>
    <row r="3973" spans="1:10" ht="13.2">
      <c r="A3973" s="7">
        <v>3972</v>
      </c>
      <c r="B3973" s="7">
        <v>1</v>
      </c>
      <c r="C3973" s="7" t="s">
        <v>10</v>
      </c>
      <c r="D3973" s="7">
        <v>2505</v>
      </c>
      <c r="E3973" s="7" t="s">
        <v>19</v>
      </c>
      <c r="F3973" s="8" t="str">
        <f ca="1">IFERROR(__xludf.DUMMYFUNCTION("IF
(
C3974=""фізична особа""
,
VLOOKUP(D3974,IMPORTRANGE(""https://docs.google.com/spreadsheets/d/14Bd19lYaqBhU8_DElYkX7l4wRkHqqCUFNJY4AfY3kHU/edit?usp=sharing  #gid=0"",""фіз особи new!relations_name""),6,FALSE)
,
(IF
(
C3974=""юридична особа""
,
VLOOKUP"&amp;"(D3974,IMPORTRANGE(""https://docs.google.com/spreadsheets/d/14Bd19lYaqBhU8_DElYkX7l4wRkHqqCUFNJY4AfY3kHU/edit?usp=sharing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3" s="7" t="s">
        <v>10</v>
      </c>
      <c r="H3973" s="7">
        <v>23487</v>
      </c>
      <c r="I3973" s="8" t="str">
        <f ca="1">IFERROR(__xludf.DUMMYFUNCTION("IF
(
G3974=""фізична особа""
,
VLOOKUP(H3974,IMPORTRANGE(""https://docs.google.com/spreadsheets/d/14Bd19lYaqBhU8_DElYkX7l4wRkHqqCUFNJY4AfY3kHU/edit?usp=sharing  #gid=0"",""фіз особи new!relations_name""),6,FALSE)
,
(IF
(
G3974=""юридична особа""
,
VLOOKUP"&amp;"(H3974,IMPORTRANGE(""https://docs.google.com/spreadsheets/d/14Bd19lYaqBhU8_DElYkX7l4wRkHqqCUFNJY4AfY3kHU/edit?usp=sharing  #gid=0"",""фіз особи new!relations_name_uo""),7,FALSE)
,
)
))"),"ДАДОВ Ельдар Едуардович")</f>
        <v>ДАДОВ Ельдар Едуардович</v>
      </c>
      <c r="J3973" s="7" t="s">
        <v>20</v>
      </c>
    </row>
    <row r="3974" spans="1:10" ht="13.2">
      <c r="A3974" s="7">
        <v>3973</v>
      </c>
      <c r="B3974" s="7">
        <v>1</v>
      </c>
      <c r="C3974" s="7" t="s">
        <v>10</v>
      </c>
      <c r="D3974" s="7">
        <v>2505</v>
      </c>
      <c r="E3974" s="7" t="s">
        <v>19</v>
      </c>
      <c r="F3974" s="8" t="str">
        <f ca="1">IFERROR(__xludf.DUMMYFUNCTION("IF
(
C3975=""фізична особа""
,
VLOOKUP(D3975,IMPORTRANGE(""https://docs.google.com/spreadsheets/d/14Bd19lYaqBhU8_DElYkX7l4wRkHqqCUFNJY4AfY3kHU/edit?usp=sharing  #gid=0"",""фіз особи new!relations_name""),6,FALSE)
,
(IF
(
C3975=""юридична особа""
,
VLOOKUP"&amp;"(D3975,IMPORTRANGE(""https://docs.google.com/spreadsheets/d/14Bd19lYaqBhU8_DElYkX7l4wRkHqqCUFNJY4AfY3kHU/edit?usp=sharing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4" s="7" t="s">
        <v>10</v>
      </c>
      <c r="H3974" s="7">
        <v>23488</v>
      </c>
      <c r="I3974" s="8" t="str">
        <f ca="1">IFERROR(__xludf.DUMMYFUNCTION("IF
(
G3975=""фізична особа""
,
VLOOKUP(H3975,IMPORTRANGE(""https://docs.google.com/spreadsheets/d/14Bd19lYaqBhU8_DElYkX7l4wRkHqqCUFNJY4AfY3kHU/edit?usp=sharing  #gid=0"",""фіз особи new!relations_name""),6,FALSE)
,
(IF
(
G3975=""юридична особа""
,
VLOOKUP"&amp;"(H3975,IMPORTRANGE(""https://docs.google.com/spreadsheets/d/14Bd19lYaqBhU8_DElYkX7l4wRkHqqCUFNJY4AfY3kHU/edit?usp=sharing  #gid=0"",""фіз особи new!relations_name_uo""),7,FALSE)
,
)
))"),"ДАДОВ Тимур Едуардович")</f>
        <v>ДАДОВ Тимур Едуардович</v>
      </c>
      <c r="J3974" s="7" t="s">
        <v>20</v>
      </c>
    </row>
    <row r="3975" spans="1:10" ht="13.2">
      <c r="A3975" s="7">
        <v>3974</v>
      </c>
      <c r="B3975" s="7">
        <v>1</v>
      </c>
      <c r="C3975" s="7" t="s">
        <v>10</v>
      </c>
      <c r="D3975" s="7">
        <v>2505</v>
      </c>
      <c r="E3975" s="7" t="s">
        <v>65</v>
      </c>
      <c r="F3975" s="8" t="str">
        <f ca="1">IFERROR(__xludf.DUMMYFUNCTION("IF
(
C3976=""фізична особа""
,
VLOOKUP(D3976,IMPORTRANGE(""https://docs.google.com/spreadsheets/d/14Bd19lYaqBhU8_DElYkX7l4wRkHqqCUFNJY4AfY3kHU/edit?usp=sharing  #gid=0"",""фіз особи new!relations_name""),6,FALSE)
,
(IF
(
C3976=""юридична особа""
,
VLOOKUP"&amp;"(D3976,IMPORTRANGE(""https://docs.google.com/spreadsheets/d/14Bd19lYaqBhU8_DElYkX7l4wRkHqqCUFNJY4AfY3kHU/edit?usp=sharing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5" s="7" t="s">
        <v>10</v>
      </c>
      <c r="H3975" s="7">
        <v>0</v>
      </c>
      <c r="I3975" s="8" t="str">
        <f ca="1">IFERROR(__xludf.DUMMYFUNCTION("IF
(
G3976=""фізична особа""
,
VLOOKUP(H3976,IMPORTRANGE(""https://docs.google.com/spreadsheets/d/14Bd19lYaqBhU8_DElYkX7l4wRkHqqCUFNJY4AfY3kHU/edit?usp=sharing  #gid=0"",""фіз особи new!relations_name""),6,FALSE)
,
(IF
(
G3976=""юридична особа""
,
VLOOKUP"&amp;"(H3976,IMPORTRANGE(""https://docs.google.com/spreadsheets/d/14Bd19lYaqBhU8_DElYkX7l4wRkHqqCUFNJY4AfY3kHU/edit?usp=sharing  #gid=0"",""фіз особи new!relations_name_uo""),7,FALSE)
,
)
))"),"#N/A")</f>
        <v>#N/A</v>
      </c>
      <c r="J3975" s="7" t="s">
        <v>65</v>
      </c>
    </row>
    <row r="3976" spans="1:10" ht="13.2">
      <c r="A3976" s="7">
        <v>3975</v>
      </c>
      <c r="B3976" s="7">
        <v>1</v>
      </c>
      <c r="C3976" s="7" t="s">
        <v>10</v>
      </c>
      <c r="D3976" s="7">
        <v>2505</v>
      </c>
      <c r="E3976" s="7" t="s">
        <v>50</v>
      </c>
      <c r="F3976" s="8" t="str">
        <f ca="1">IFERROR(__xludf.DUMMYFUNCTION("IF
(
C3977=""фізична особа""
,
VLOOKUP(D3977,IMPORTRANGE(""https://docs.google.com/spreadsheets/d/14Bd19lYaqBhU8_DElYkX7l4wRkHqqCUFNJY4AfY3kHU/edit?usp=sharing  #gid=0"",""фіз особи new!relations_name""),6,FALSE)
,
(IF
(
C3977=""юридична особа""
,
VLOOKUP"&amp;"(D3977,IMPORTRANGE(""https://docs.google.com/spreadsheets/d/14Bd19lYaqBhU8_DElYkX7l4wRkHqqCUFNJY4AfY3kHU/edit?usp=sharing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G3976" s="7" t="s">
        <v>10</v>
      </c>
      <c r="H3976" s="7">
        <v>23489</v>
      </c>
      <c r="I3976" s="8" t="str">
        <f ca="1">IFERROR(__xludf.DUMMYFUNCTION("IF
(
G3977=""фізична особа""
,
VLOOKUP(H3977,IMPORTRANGE(""https://docs.google.com/spreadsheets/d/14Bd19lYaqBhU8_DElYkX7l4wRkHqqCUFNJY4AfY3kHU/edit?usp=sharing  #gid=0"",""фіз особи new!relations_name""),6,FALSE)
,
(IF
(
G3977=""юридична особа""
,
VLOOKUP"&amp;"(H3977,IMPORTRANGE(""https://docs.google.com/spreadsheets/d/14Bd19lYaqBhU8_DElYkX7l4wRkHqqCUFNJY4AfY3kHU/edit?usp=sharing  #gid=0"",""фіз особи new!relations_name_uo""),7,FALSE)
,
)
))"),"ДАДОВ Едуард Султанович")</f>
        <v>ДАДОВ Едуард Султанович</v>
      </c>
      <c r="J3976" s="7" t="s">
        <v>26</v>
      </c>
    </row>
    <row r="3977" spans="1:10" ht="13.2">
      <c r="A3977" s="7">
        <v>3976</v>
      </c>
      <c r="B3977" s="7">
        <v>1</v>
      </c>
      <c r="C3977" s="7" t="s">
        <v>10</v>
      </c>
      <c r="D3977" s="7">
        <v>2506</v>
      </c>
      <c r="E3977" s="7" t="s">
        <v>14</v>
      </c>
      <c r="F3977" s="8" t="str">
        <f ca="1">IFERROR(__xludf.DUMMYFUNCTION("IF
(
C3978=""фізична особа""
,
VLOOKUP(D3978,IMPORTRANGE(""https://docs.google.com/spreadsheets/d/14Bd19lYaqBhU8_DElYkX7l4wRkHqqCUFNJY4AfY3kHU/edit?usp=sharing  #gid=0"",""фіз особи new!relations_name""),6,FALSE)
,
(IF
(
C3978=""юридична особа""
,
VLOOKUP"&amp;"(D3978,IMPORTRANGE(""https://docs.google.com/spreadsheets/d/14Bd19lYaqBhU8_DElYkX7l4wRkHqqCUFNJY4AfY3kHU/edit?usp=sharing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77" s="7" t="s">
        <v>10</v>
      </c>
      <c r="H3977" s="7">
        <v>0</v>
      </c>
      <c r="I3977" s="8" t="str">
        <f ca="1">IFERROR(__xludf.DUMMYFUNCTION("IF
(
G3978=""фізична особа""
,
VLOOKUP(H3978,IMPORTRANGE(""https://docs.google.com/spreadsheets/d/14Bd19lYaqBhU8_DElYkX7l4wRkHqqCUFNJY4AfY3kHU/edit?usp=sharing  #gid=0"",""фіз особи new!relations_name""),6,FALSE)
,
(IF
(
G3978=""юридична особа""
,
VLOOKUP"&amp;"(H3978,IMPORTRANGE(""https://docs.google.com/spreadsheets/d/14Bd19lYaqBhU8_DElYkX7l4wRkHqqCUFNJY4AfY3kHU/edit?usp=sharing  #gid=0"",""фіз особи new!relations_name_uo""),7,FALSE)
,
)
))"),"#N/A")</f>
        <v>#N/A</v>
      </c>
      <c r="J3977" s="7" t="s">
        <v>15</v>
      </c>
    </row>
    <row r="3978" spans="1:10" ht="13.2">
      <c r="A3978" s="7">
        <v>3977</v>
      </c>
      <c r="B3978" s="7">
        <v>1</v>
      </c>
      <c r="C3978" s="7" t="s">
        <v>10</v>
      </c>
      <c r="D3978" s="7">
        <v>2506</v>
      </c>
      <c r="E3978" s="7" t="s">
        <v>17</v>
      </c>
      <c r="F3978" s="8" t="str">
        <f ca="1">IFERROR(__xludf.DUMMYFUNCTION("IF
(
C3979=""фізична особа""
,
VLOOKUP(D3979,IMPORTRANGE(""https://docs.google.com/spreadsheets/d/14Bd19lYaqBhU8_DElYkX7l4wRkHqqCUFNJY4AfY3kHU/edit?usp=sharing  #gid=0"",""фіз особи new!relations_name""),6,FALSE)
,
(IF
(
C3979=""юридична особа""
,
VLOOKUP"&amp;"(D3979,IMPORTRANGE(""https://docs.google.com/spreadsheets/d/14Bd19lYaqBhU8_DElYkX7l4wRkHqqCUFNJY4AfY3kHU/edit?usp=sharing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78" s="7" t="s">
        <v>10</v>
      </c>
      <c r="H3978" s="7">
        <v>0</v>
      </c>
      <c r="I3978" s="8" t="str">
        <f ca="1">IFERROR(__xludf.DUMMYFUNCTION("IF
(
G3979=""фізична особа""
,
VLOOKUP(H3979,IMPORTRANGE(""https://docs.google.com/spreadsheets/d/14Bd19lYaqBhU8_DElYkX7l4wRkHqqCUFNJY4AfY3kHU/edit?usp=sharing  #gid=0"",""фіз особи new!relations_name""),6,FALSE)
,
(IF
(
G3979=""юридична особа""
,
VLOOKUP"&amp;"(H3979,IMPORTRANGE(""https://docs.google.com/spreadsheets/d/14Bd19lYaqBhU8_DElYkX7l4wRkHqqCUFNJY4AfY3kHU/edit?usp=sharing  #gid=0"",""фіз особи new!relations_name_uo""),7,FALSE)
,
)
))"),"#N/A")</f>
        <v>#N/A</v>
      </c>
      <c r="J3978" s="7" t="s">
        <v>12</v>
      </c>
    </row>
    <row r="3979" spans="1:10" ht="13.2">
      <c r="A3979" s="7">
        <v>3978</v>
      </c>
      <c r="B3979" s="7">
        <v>1</v>
      </c>
      <c r="C3979" s="7" t="s">
        <v>10</v>
      </c>
      <c r="D3979" s="7">
        <v>2506</v>
      </c>
      <c r="E3979" s="7" t="s">
        <v>17</v>
      </c>
      <c r="F3979" s="8" t="str">
        <f ca="1">IFERROR(__xludf.DUMMYFUNCTION("IF
(
C3980=""фізична особа""
,
VLOOKUP(D3980,IMPORTRANGE(""https://docs.google.com/spreadsheets/d/14Bd19lYaqBhU8_DElYkX7l4wRkHqqCUFNJY4AfY3kHU/edit?usp=sharing  #gid=0"",""фіз особи new!relations_name""),6,FALSE)
,
(IF
(
C3980=""юридична особа""
,
VLOOKUP"&amp;"(D3980,IMPORTRANGE(""https://docs.google.com/spreadsheets/d/14Bd19lYaqBhU8_DElYkX7l4wRkHqqCUFNJY4AfY3kHU/edit?usp=sharing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79" s="7" t="s">
        <v>10</v>
      </c>
      <c r="H3979" s="7">
        <v>0</v>
      </c>
      <c r="I3979" s="8" t="str">
        <f ca="1">IFERROR(__xludf.DUMMYFUNCTION("IF
(
G3980=""фізична особа""
,
VLOOKUP(H3980,IMPORTRANGE(""https://docs.google.com/spreadsheets/d/14Bd19lYaqBhU8_DElYkX7l4wRkHqqCUFNJY4AfY3kHU/edit?usp=sharing  #gid=0"",""фіз особи new!relations_name""),6,FALSE)
,
(IF
(
G3980=""юридична особа""
,
VLOOKUP"&amp;"(H3980,IMPORTRANGE(""https://docs.google.com/spreadsheets/d/14Bd19lYaqBhU8_DElYkX7l4wRkHqqCUFNJY4AfY3kHU/edit?usp=sharing  #gid=0"",""фіз особи new!relations_name_uo""),7,FALSE)
,
)
))"),"#N/A")</f>
        <v>#N/A</v>
      </c>
      <c r="J3979" s="7" t="s">
        <v>21</v>
      </c>
    </row>
    <row r="3980" spans="1:10" ht="13.2">
      <c r="A3980" s="7">
        <v>3979</v>
      </c>
      <c r="B3980" s="7">
        <v>1</v>
      </c>
      <c r="C3980" s="7" t="s">
        <v>10</v>
      </c>
      <c r="D3980" s="7">
        <v>2506</v>
      </c>
      <c r="E3980" s="7" t="s">
        <v>18</v>
      </c>
      <c r="F3980" s="8" t="str">
        <f ca="1">IFERROR(__xludf.DUMMYFUNCTION("IF
(
C3981=""фізична особа""
,
VLOOKUP(D3981,IMPORTRANGE(""https://docs.google.com/spreadsheets/d/14Bd19lYaqBhU8_DElYkX7l4wRkHqqCUFNJY4AfY3kHU/edit?usp=sharing  #gid=0"",""фіз особи new!relations_name""),6,FALSE)
,
(IF
(
C3981=""юридична особа""
,
VLOOKUP"&amp;"(D3981,IMPORTRANGE(""https://docs.google.com/spreadsheets/d/14Bd19lYaqBhU8_DElYkX7l4wRkHqqCUFNJY4AfY3kHU/edit?usp=sharing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80" s="7" t="s">
        <v>10</v>
      </c>
      <c r="H3980" s="7">
        <v>0</v>
      </c>
      <c r="I3980" s="8" t="str">
        <f ca="1">IFERROR(__xludf.DUMMYFUNCTION("IF
(
G3981=""фізична особа""
,
VLOOKUP(H3981,IMPORTRANGE(""https://docs.google.com/spreadsheets/d/14Bd19lYaqBhU8_DElYkX7l4wRkHqqCUFNJY4AfY3kHU/edit?usp=sharing  #gid=0"",""фіз особи new!relations_name""),6,FALSE)
,
(IF
(
G3981=""юридична особа""
,
VLOOKUP"&amp;"(H3981,IMPORTRANGE(""https://docs.google.com/spreadsheets/d/14Bd19lYaqBhU8_DElYkX7l4wRkHqqCUFNJY4AfY3kHU/edit?usp=sharing  #gid=0"",""фіз особи new!relations_name_uo""),7,FALSE)
,
)
))"),"#N/A")</f>
        <v>#N/A</v>
      </c>
      <c r="J3980" s="7" t="s">
        <v>18</v>
      </c>
    </row>
    <row r="3981" spans="1:10" ht="13.2">
      <c r="A3981" s="7">
        <v>3980</v>
      </c>
      <c r="B3981" s="7">
        <v>1</v>
      </c>
      <c r="C3981" s="7" t="s">
        <v>10</v>
      </c>
      <c r="D3981" s="7">
        <v>2506</v>
      </c>
      <c r="E3981" s="7" t="s">
        <v>18</v>
      </c>
      <c r="F3981" s="8" t="str">
        <f ca="1">IFERROR(__xludf.DUMMYFUNCTION("IF
(
C3982=""фізична особа""
,
VLOOKUP(D3982,IMPORTRANGE(""https://docs.google.com/spreadsheets/d/14Bd19lYaqBhU8_DElYkX7l4wRkHqqCUFNJY4AfY3kHU/edit?usp=sharing  #gid=0"",""фіз особи new!relations_name""),6,FALSE)
,
(IF
(
C3982=""юридична особа""
,
VLOOKUP"&amp;"(D3982,IMPORTRANGE(""https://docs.google.com/spreadsheets/d/14Bd19lYaqBhU8_DElYkX7l4wRkHqqCUFNJY4AfY3kHU/edit?usp=sharing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81" s="7" t="s">
        <v>10</v>
      </c>
      <c r="H3981" s="7">
        <v>0</v>
      </c>
      <c r="I3981" s="8" t="str">
        <f ca="1">IFERROR(__xludf.DUMMYFUNCTION("IF
(
G3982=""фізична особа""
,
VLOOKUP(H3982,IMPORTRANGE(""https://docs.google.com/spreadsheets/d/14Bd19lYaqBhU8_DElYkX7l4wRkHqqCUFNJY4AfY3kHU/edit?usp=sharing  #gid=0"",""фіз особи new!relations_name""),6,FALSE)
,
(IF
(
G3982=""юридична особа""
,
VLOOKUP"&amp;"(H3982,IMPORTRANGE(""https://docs.google.com/spreadsheets/d/14Bd19lYaqBhU8_DElYkX7l4wRkHqqCUFNJY4AfY3kHU/edit?usp=sharing  #gid=0"",""фіз особи new!relations_name_uo""),7,FALSE)
,
)
))"),"#N/A")</f>
        <v>#N/A</v>
      </c>
      <c r="J3981" s="7" t="s">
        <v>31</v>
      </c>
    </row>
    <row r="3982" spans="1:10" ht="13.2">
      <c r="A3982" s="7">
        <v>3981</v>
      </c>
      <c r="B3982" s="7">
        <v>1</v>
      </c>
      <c r="C3982" s="7" t="s">
        <v>10</v>
      </c>
      <c r="D3982" s="7">
        <v>2506</v>
      </c>
      <c r="E3982" s="7" t="s">
        <v>73</v>
      </c>
      <c r="F3982" s="8" t="str">
        <f ca="1">IFERROR(__xludf.DUMMYFUNCTION("IF
(
C3983=""фізична особа""
,
VLOOKUP(D3983,IMPORTRANGE(""https://docs.google.com/spreadsheets/d/14Bd19lYaqBhU8_DElYkX7l4wRkHqqCUFNJY4AfY3kHU/edit?usp=sharing  #gid=0"",""фіз особи new!relations_name""),6,FALSE)
,
(IF
(
C3983=""юридична особа""
,
VLOOKUP"&amp;"(D3983,IMPORTRANGE(""https://docs.google.com/spreadsheets/d/14Bd19lYaqBhU8_DElYkX7l4wRkHqqCUFNJY4AfY3kHU/edit?usp=sharing  #gid=0"",""фіз особи new!relations_name_uo""),7,FALSE)
,
)
))"),"ХАСІКОВ Бату Сергійович")</f>
        <v>ХАСІКОВ Бату Сергійович</v>
      </c>
      <c r="G3982" s="7" t="s">
        <v>10</v>
      </c>
      <c r="H3982" s="7">
        <v>0</v>
      </c>
      <c r="I3982" s="8" t="str">
        <f ca="1">IFERROR(__xludf.DUMMYFUNCTION("IF
(
G3983=""фізична особа""
,
VLOOKUP(H3983,IMPORTRANGE(""https://docs.google.com/spreadsheets/d/14Bd19lYaqBhU8_DElYkX7l4wRkHqqCUFNJY4AfY3kHU/edit?usp=sharing  #gid=0"",""фіз особи new!relations_name""),6,FALSE)
,
(IF
(
G3983=""юридична особа""
,
VLOOKUP"&amp;"(H3983,IMPORTRANGE(""https://docs.google.com/spreadsheets/d/14Bd19lYaqBhU8_DElYkX7l4wRkHqqCUFNJY4AfY3kHU/edit?usp=sharing  #gid=0"",""фіз особи new!relations_name_uo""),7,FALSE)
,
)
))"),"#N/A")</f>
        <v>#N/A</v>
      </c>
      <c r="J3982" s="7" t="s">
        <v>25</v>
      </c>
    </row>
    <row r="3983" spans="1:10" ht="13.2">
      <c r="A3983" s="7">
        <v>3982</v>
      </c>
      <c r="B3983" s="7">
        <v>1</v>
      </c>
      <c r="C3983" s="7" t="s">
        <v>10</v>
      </c>
      <c r="D3983" s="7">
        <v>2507</v>
      </c>
      <c r="E3983" s="7" t="s">
        <v>17</v>
      </c>
      <c r="F3983" s="8" t="str">
        <f ca="1">IFERROR(__xludf.DUMMYFUNCTION("IF
(
C3984=""фізична особа""
,
VLOOKUP(D3984,IMPORTRANGE(""https://docs.google.com/spreadsheets/d/14Bd19lYaqBhU8_DElYkX7l4wRkHqqCUFNJY4AfY3kHU/edit?usp=sharing  #gid=0"",""фіз особи new!relations_name""),6,FALSE)
,
(IF
(
C3984=""юридична особа""
,
VLOOKUP"&amp;"(D3984,IMPORTRANGE(""https://docs.google.com/spreadsheets/d/14Bd19lYaqBhU8_DElYkX7l4wRkHqqCUFNJY4AfY3kHU/edit?usp=sharing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3" s="7" t="s">
        <v>10</v>
      </c>
      <c r="H3983" s="7">
        <v>5069</v>
      </c>
      <c r="I3983" s="8" t="str">
        <f ca="1">IFERROR(__xludf.DUMMYFUNCTION("IF
(
G3984=""фізична особа""
,
VLOOKUP(H3984,IMPORTRANGE(""https://docs.google.com/spreadsheets/d/14Bd19lYaqBhU8_DElYkX7l4wRkHqqCUFNJY4AfY3kHU/edit?usp=sharing  #gid=0"",""фіз особи new!relations_name""),6,FALSE)
,
(IF
(
G3984=""юридична особа""
,
VLOOKUP"&amp;"(H3984,IMPORTRANGE(""https://docs.google.com/spreadsheets/d/14Bd19lYaqBhU8_DElYkX7l4wRkHqqCUFNJY4AfY3kHU/edit?usp=sharing  #gid=0"",""фіз особи new!relations_name_uo""),7,FALSE)
,
)
))"),"ТЕМРЕЗОВ Бориспі Султан-Хамідович")</f>
        <v>ТЕМРЕЗОВ Бориспі Султан-Хамідович</v>
      </c>
      <c r="J3983" s="7" t="s">
        <v>12</v>
      </c>
    </row>
    <row r="3984" spans="1:10" ht="13.2">
      <c r="A3984" s="7">
        <v>3983</v>
      </c>
      <c r="B3984" s="7">
        <v>1</v>
      </c>
      <c r="C3984" s="7" t="s">
        <v>10</v>
      </c>
      <c r="D3984" s="7">
        <v>2507</v>
      </c>
      <c r="E3984" s="7" t="s">
        <v>20</v>
      </c>
      <c r="F3984" s="8" t="str">
        <f ca="1">IFERROR(__xludf.DUMMYFUNCTION("IF
(
C3985=""фізична особа""
,
VLOOKUP(D3985,IMPORTRANGE(""https://docs.google.com/spreadsheets/d/14Bd19lYaqBhU8_DElYkX7l4wRkHqqCUFNJY4AfY3kHU/edit?usp=sharing  #gid=0"",""фіз особи new!relations_name""),6,FALSE)
,
(IF
(
C3985=""юридична особа""
,
VLOOKUP"&amp;"(D3985,IMPORTRANGE(""https://docs.google.com/spreadsheets/d/14Bd19lYaqBhU8_DElYkX7l4wRkHqqCUFNJY4AfY3kHU/edit?usp=sharing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4" s="7" t="s">
        <v>10</v>
      </c>
      <c r="H3984" s="7">
        <v>0</v>
      </c>
      <c r="I3984" s="8" t="str">
        <f ca="1">IFERROR(__xludf.DUMMYFUNCTION("IF
(
G3985=""фізична особа""
,
VLOOKUP(H3985,IMPORTRANGE(""https://docs.google.com/spreadsheets/d/14Bd19lYaqBhU8_DElYkX7l4wRkHqqCUFNJY4AfY3kHU/edit?usp=sharing  #gid=0"",""фіз особи new!relations_name""),6,FALSE)
,
(IF
(
G3985=""юридична особа""
,
VLOOKUP"&amp;"(H3985,IMPORTRANGE(""https://docs.google.com/spreadsheets/d/14Bd19lYaqBhU8_DElYkX7l4wRkHqqCUFNJY4AfY3kHU/edit?usp=sharing  #gid=0"",""фіз особи new!relations_name_uo""),7,FALSE)
,
)
))"),"#N/A")</f>
        <v>#N/A</v>
      </c>
      <c r="J3984" s="7" t="s">
        <v>19</v>
      </c>
    </row>
    <row r="3985" spans="1:10" ht="13.2">
      <c r="A3985" s="7">
        <v>3984</v>
      </c>
      <c r="B3985" s="7">
        <v>1</v>
      </c>
      <c r="C3985" s="7" t="s">
        <v>10</v>
      </c>
      <c r="D3985" s="7">
        <v>2507</v>
      </c>
      <c r="E3985" s="7" t="s">
        <v>20</v>
      </c>
      <c r="F3985" s="8" t="str">
        <f ca="1">IFERROR(__xludf.DUMMYFUNCTION("IF
(
C3986=""фізична особа""
,
VLOOKUP(D3986,IMPORTRANGE(""https://docs.google.com/spreadsheets/d/14Bd19lYaqBhU8_DElYkX7l4wRkHqqCUFNJY4AfY3kHU/edit?usp=sharing  #gid=0"",""фіз особи new!relations_name""),6,FALSE)
,
(IF
(
C3986=""юридична особа""
,
VLOOKUP"&amp;"(D3986,IMPORTRANGE(""https://docs.google.com/spreadsheets/d/14Bd19lYaqBhU8_DElYkX7l4wRkHqqCUFNJY4AfY3kHU/edit?usp=sharing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5" s="7" t="s">
        <v>10</v>
      </c>
      <c r="H3985" s="7">
        <v>0</v>
      </c>
      <c r="I3985" s="8" t="str">
        <f ca="1">IFERROR(__xludf.DUMMYFUNCTION("IF
(
G3986=""фізична особа""
,
VLOOKUP(H3986,IMPORTRANGE(""https://docs.google.com/spreadsheets/d/14Bd19lYaqBhU8_DElYkX7l4wRkHqqCUFNJY4AfY3kHU/edit?usp=sharing  #gid=0"",""фіз особи new!relations_name""),6,FALSE)
,
(IF
(
G3986=""юридична особа""
,
VLOOKUP"&amp;"(H3986,IMPORTRANGE(""https://docs.google.com/spreadsheets/d/14Bd19lYaqBhU8_DElYkX7l4wRkHqqCUFNJY4AfY3kHU/edit?usp=sharing  #gid=0"",""фіз особи new!relations_name_uo""),7,FALSE)
,
)
))"),"#N/A")</f>
        <v>#N/A</v>
      </c>
      <c r="J3985" s="7" t="s">
        <v>45</v>
      </c>
    </row>
    <row r="3986" spans="1:10" ht="13.2">
      <c r="A3986" s="7">
        <v>3985</v>
      </c>
      <c r="B3986" s="7">
        <v>1</v>
      </c>
      <c r="C3986" s="7" t="s">
        <v>10</v>
      </c>
      <c r="D3986" s="7">
        <v>2507</v>
      </c>
      <c r="E3986" s="7" t="s">
        <v>18</v>
      </c>
      <c r="F3986" s="8" t="str">
        <f ca="1">IFERROR(__xludf.DUMMYFUNCTION("IF
(
C3987=""фізична особа""
,
VLOOKUP(D3987,IMPORTRANGE(""https://docs.google.com/spreadsheets/d/14Bd19lYaqBhU8_DElYkX7l4wRkHqqCUFNJY4AfY3kHU/edit?usp=sharing  #gid=0"",""фіз особи new!relations_name""),6,FALSE)
,
(IF
(
C3987=""юридична особа""
,
VLOOKUP"&amp;"(D3987,IMPORTRANGE(""https://docs.google.com/spreadsheets/d/14Bd19lYaqBhU8_DElYkX7l4wRkHqqCUFNJY4AfY3kHU/edit?usp=sharing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6" s="7" t="s">
        <v>10</v>
      </c>
      <c r="H3986" s="7">
        <v>5075</v>
      </c>
      <c r="I3986" s="8" t="str">
        <f ca="1">IFERROR(__xludf.DUMMYFUNCTION("IF
(
G3987=""фізична особа""
,
VLOOKUP(H3987,IMPORTRANGE(""https://docs.google.com/spreadsheets/d/14Bd19lYaqBhU8_DElYkX7l4wRkHqqCUFNJY4AfY3kHU/edit?usp=sharing  #gid=0"",""фіз особи new!relations_name""),6,FALSE)
,
(IF
(
G3987=""юридична особа""
,
VLOOKUP"&amp;"(H3987,IMPORTRANGE(""https://docs.google.com/spreadsheets/d/14Bd19lYaqBhU8_DElYkX7l4wRkHqqCUFNJY4AfY3kHU/edit?usp=sharing  #gid=0"",""фіз особи new!relations_name_uo""),7,FALSE)
,
)
))"),"ТЕМРЕЗОВ Марат Бориспієвич")</f>
        <v>ТЕМРЕЗОВ Марат Бориспієвич</v>
      </c>
      <c r="J3986" s="7" t="s">
        <v>18</v>
      </c>
    </row>
    <row r="3987" spans="1:10" ht="13.2">
      <c r="A3987" s="7">
        <v>3986</v>
      </c>
      <c r="B3987" s="7">
        <v>1</v>
      </c>
      <c r="C3987" s="7" t="s">
        <v>10</v>
      </c>
      <c r="D3987" s="7">
        <v>2507</v>
      </c>
      <c r="E3987" s="7" t="s">
        <v>18</v>
      </c>
      <c r="F3987" s="8" t="str">
        <f ca="1">IFERROR(__xludf.DUMMYFUNCTION("IF
(
C3988=""фізична особа""
,
VLOOKUP(D3988,IMPORTRANGE(""https://docs.google.com/spreadsheets/d/14Bd19lYaqBhU8_DElYkX7l4wRkHqqCUFNJY4AfY3kHU/edit?usp=sharing  #gid=0"",""фіз особи new!relations_name""),6,FALSE)
,
(IF
(
C3988=""юридична особа""
,
VLOOKUP"&amp;"(D3988,IMPORTRANGE(""https://docs.google.com/spreadsheets/d/14Bd19lYaqBhU8_DElYkX7l4wRkHqqCUFNJY4AfY3kHU/edit?usp=sharing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7" s="7" t="s">
        <v>10</v>
      </c>
      <c r="H3987" s="7">
        <v>5074</v>
      </c>
      <c r="I3987" s="8" t="str">
        <f ca="1">IFERROR(__xludf.DUMMYFUNCTION("IF
(
G3988=""фізична особа""
,
VLOOKUP(H3988,IMPORTRANGE(""https://docs.google.com/spreadsheets/d/14Bd19lYaqBhU8_DElYkX7l4wRkHqqCUFNJY4AfY3kHU/edit?usp=sharing  #gid=0"",""фіз особи new!relations_name""),6,FALSE)
,
(IF
(
G3988=""юридична особа""
,
VLOOKUP"&amp;"(H3988,IMPORTRANGE(""https://docs.google.com/spreadsheets/d/14Bd19lYaqBhU8_DElYkX7l4wRkHqqCUFNJY4AfY3kHU/edit?usp=sharing  #gid=0"",""фіз особи new!relations_name_uo""),7,FALSE)
,
)
))"),"ТЕМРЕЗОВ Теймураз Бориспієвич")</f>
        <v>ТЕМРЕЗОВ Теймураз Бориспієвич</v>
      </c>
      <c r="J3987" s="7" t="s">
        <v>18</v>
      </c>
    </row>
    <row r="3988" spans="1:10" ht="13.2">
      <c r="A3988" s="7">
        <v>3987</v>
      </c>
      <c r="B3988" s="7">
        <v>1</v>
      </c>
      <c r="C3988" s="7" t="s">
        <v>10</v>
      </c>
      <c r="D3988" s="7">
        <v>2507</v>
      </c>
      <c r="E3988" s="7" t="s">
        <v>12</v>
      </c>
      <c r="F3988" s="8" t="str">
        <f ca="1">IFERROR(__xludf.DUMMYFUNCTION("IF
(
C3989=""фізична особа""
,
VLOOKUP(D3989,IMPORTRANGE(""https://docs.google.com/spreadsheets/d/14Bd19lYaqBhU8_DElYkX7l4wRkHqqCUFNJY4AfY3kHU/edit?usp=sharing  #gid=0"",""фіз особи new!relations_name""),6,FALSE)
,
(IF
(
C3989=""юридична особа""
,
VLOOKUP"&amp;"(D3989,IMPORTRANGE(""https://docs.google.com/spreadsheets/d/14Bd19lYaqBhU8_DElYkX7l4wRkHqqCUFNJY4AfY3kHU/edit?usp=sharing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8" s="7" t="s">
        <v>10</v>
      </c>
      <c r="H3988" s="7">
        <v>5073</v>
      </c>
      <c r="I3988" s="8" t="str">
        <f ca="1">IFERROR(__xludf.DUMMYFUNCTION("IF
(
G3989=""фізична особа""
,
VLOOKUP(H3989,IMPORTRANGE(""https://docs.google.com/spreadsheets/d/14Bd19lYaqBhU8_DElYkX7l4wRkHqqCUFNJY4AfY3kHU/edit?usp=sharing  #gid=0"",""фіз особи new!relations_name""),6,FALSE)
,
(IF
(
G3989=""юридична особа""
,
VLOOKUP"&amp;"(H3989,IMPORTRANGE(""https://docs.google.com/spreadsheets/d/14Bd19lYaqBhU8_DElYkX7l4wRkHqqCUFNJY4AfY3kHU/edit?usp=sharing  #gid=0"",""фіз особи new!relations_name_uo""),7,FALSE)
,
)
))"),"ТЕМРЕЗОВ Марат Рашидович")</f>
        <v>ТЕМРЕЗОВ Марат Рашидович</v>
      </c>
      <c r="J3988" s="7" t="s">
        <v>17</v>
      </c>
    </row>
    <row r="3989" spans="1:10" ht="13.2">
      <c r="A3989" s="7">
        <v>3988</v>
      </c>
      <c r="B3989" s="7">
        <v>1</v>
      </c>
      <c r="C3989" s="7" t="s">
        <v>10</v>
      </c>
      <c r="D3989" s="7">
        <v>2507</v>
      </c>
      <c r="E3989" s="7" t="s">
        <v>12</v>
      </c>
      <c r="F3989" s="8" t="str">
        <f ca="1">IFERROR(__xludf.DUMMYFUNCTION("IF
(
C3990=""фізична особа""
,
VLOOKUP(D3990,IMPORTRANGE(""https://docs.google.com/spreadsheets/d/14Bd19lYaqBhU8_DElYkX7l4wRkHqqCUFNJY4AfY3kHU/edit?usp=sharing  #gid=0"",""фіз особи new!relations_name""),6,FALSE)
,
(IF
(
C3990=""юридична особа""
,
VLOOKUP"&amp;"(D3990,IMPORTRANGE(""https://docs.google.com/spreadsheets/d/14Bd19lYaqBhU8_DElYkX7l4wRkHqqCUFNJY4AfY3kHU/edit?usp=sharing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89" s="7" t="s">
        <v>10</v>
      </c>
      <c r="H3989" s="7">
        <v>5070</v>
      </c>
      <c r="I3989" s="8" t="str">
        <f ca="1">IFERROR(__xludf.DUMMYFUNCTION("IF
(
G3990=""фізична особа""
,
VLOOKUP(H3990,IMPORTRANGE(""https://docs.google.com/spreadsheets/d/14Bd19lYaqBhU8_DElYkX7l4wRkHqqCUFNJY4AfY3kHU/edit?usp=sharing  #gid=0"",""фіз особи new!relations_name""),6,FALSE)
,
(IF
(
G3990=""юридична особа""
,
VLOOKUP"&amp;"(H3990,IMPORTRANGE(""https://docs.google.com/spreadsheets/d/14Bd19lYaqBhU8_DElYkX7l4wRkHqqCUFNJY4AfY3kHU/edit?usp=sharing  #gid=0"",""фіз особи new!relations_name_uo""),7,FALSE)
,
)
))"),"ТЕМРЕЗОВА Мілана Рашидівна")</f>
        <v>ТЕМРЕЗОВА Мілана Рашидівна</v>
      </c>
      <c r="J3989" s="7" t="s">
        <v>13</v>
      </c>
    </row>
    <row r="3990" spans="1:10" ht="13.2">
      <c r="A3990" s="7">
        <v>3989</v>
      </c>
      <c r="B3990" s="7">
        <v>1</v>
      </c>
      <c r="C3990" s="7" t="s">
        <v>10</v>
      </c>
      <c r="D3990" s="7">
        <v>2507</v>
      </c>
      <c r="E3990" s="7" t="s">
        <v>12</v>
      </c>
      <c r="F3990" s="8" t="str">
        <f ca="1">IFERROR(__xludf.DUMMYFUNCTION("IF
(
C3991=""фізична особа""
,
VLOOKUP(D3991,IMPORTRANGE(""https://docs.google.com/spreadsheets/d/14Bd19lYaqBhU8_DElYkX7l4wRkHqqCUFNJY4AfY3kHU/edit?usp=sharing  #gid=0"",""фіз особи new!relations_name""),6,FALSE)
,
(IF
(
C3991=""юридична особа""
,
VLOOKUP"&amp;"(D3991,IMPORTRANGE(""https://docs.google.com/spreadsheets/d/14Bd19lYaqBhU8_DElYkX7l4wRkHqqCUFNJY4AfY3kHU/edit?usp=sharing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90" s="7" t="s">
        <v>10</v>
      </c>
      <c r="H3990" s="7">
        <v>5071</v>
      </c>
      <c r="I3990" s="8" t="str">
        <f ca="1">IFERROR(__xludf.DUMMYFUNCTION("IF
(
G3991=""фізична особа""
,
VLOOKUP(H3991,IMPORTRANGE(""https://docs.google.com/spreadsheets/d/14Bd19lYaqBhU8_DElYkX7l4wRkHqqCUFNJY4AfY3kHU/edit?usp=sharing  #gid=0"",""фіз особи new!relations_name""),6,FALSE)
,
(IF
(
G3991=""юридична особа""
,
VLOOKUP"&amp;"(H3991,IMPORTRANGE(""https://docs.google.com/spreadsheets/d/14Bd19lYaqBhU8_DElYkX7l4wRkHqqCUFNJY4AfY3kHU/edit?usp=sharing  #gid=0"",""фіз особи new!relations_name_uo""),7,FALSE)
,
)
))"),"ТЕМРЕЗОВА Софія Рашидівна")</f>
        <v>ТЕМРЕЗОВА Софія Рашидівна</v>
      </c>
      <c r="J3990" s="7" t="s">
        <v>13</v>
      </c>
    </row>
    <row r="3991" spans="1:10" ht="13.2">
      <c r="A3991" s="7">
        <v>3990</v>
      </c>
      <c r="B3991" s="7">
        <v>1</v>
      </c>
      <c r="C3991" s="7" t="s">
        <v>10</v>
      </c>
      <c r="D3991" s="7">
        <v>2507</v>
      </c>
      <c r="E3991" s="7" t="s">
        <v>12</v>
      </c>
      <c r="F3991" s="8" t="str">
        <f ca="1">IFERROR(__xludf.DUMMYFUNCTION("IF
(
C3992=""фізична особа""
,
VLOOKUP(D3992,IMPORTRANGE(""https://docs.google.com/spreadsheets/d/14Bd19lYaqBhU8_DElYkX7l4wRkHqqCUFNJY4AfY3kHU/edit?usp=sharing  #gid=0"",""фіз особи new!relations_name""),6,FALSE)
,
(IF
(
C3992=""юридична особа""
,
VLOOKUP"&amp;"(D3992,IMPORTRANGE(""https://docs.google.com/spreadsheets/d/14Bd19lYaqBhU8_DElYkX7l4wRkHqqCUFNJY4AfY3kHU/edit?usp=sharing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91" s="7" t="s">
        <v>10</v>
      </c>
      <c r="H3991" s="7">
        <v>5072</v>
      </c>
      <c r="I3991" s="8" t="str">
        <f ca="1">IFERROR(__xludf.DUMMYFUNCTION("IF
(
G3992=""фізична особа""
,
VLOOKUP(H3992,IMPORTRANGE(""https://docs.google.com/spreadsheets/d/14Bd19lYaqBhU8_DElYkX7l4wRkHqqCUFNJY4AfY3kHU/edit?usp=sharing  #gid=0"",""фіз особи new!relations_name""),6,FALSE)
,
(IF
(
G3992=""юридична особа""
,
VLOOKUP"&amp;"(H3992,IMPORTRANGE(""https://docs.google.com/spreadsheets/d/14Bd19lYaqBhU8_DElYkX7l4wRkHqqCUFNJY4AfY3kHU/edit?usp=sharing  #gid=0"",""фіз особи new!relations_name_uo""),7,FALSE)
,
)
))"),"ТЕМРЕЗОВА Світлана Рашидівна")</f>
        <v>ТЕМРЕЗОВА Світлана Рашидівна</v>
      </c>
      <c r="J3991" s="7" t="s">
        <v>13</v>
      </c>
    </row>
    <row r="3992" spans="1:10" ht="13.2">
      <c r="A3992" s="7">
        <v>3991</v>
      </c>
      <c r="B3992" s="7">
        <v>1</v>
      </c>
      <c r="C3992" s="7" t="s">
        <v>10</v>
      </c>
      <c r="D3992" s="7">
        <v>2507</v>
      </c>
      <c r="E3992" s="7" t="s">
        <v>19</v>
      </c>
      <c r="F3992" s="8" t="str">
        <f ca="1">IFERROR(__xludf.DUMMYFUNCTION("IF
(
C3993=""фізична особа""
,
VLOOKUP(D3993,IMPORTRANGE(""https://docs.google.com/spreadsheets/d/14Bd19lYaqBhU8_DElYkX7l4wRkHqqCUFNJY4AfY3kHU/edit?usp=sharing  #gid=0"",""фіз особи new!relations_name""),6,FALSE)
,
(IF
(
C3993=""юридична особа""
,
VLOOKUP"&amp;"(D3993,IMPORTRANGE(""https://docs.google.com/spreadsheets/d/14Bd19lYaqBhU8_DElYkX7l4wRkHqqCUFNJY4AfY3kHU/edit?usp=sharing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92" s="7" t="s">
        <v>10</v>
      </c>
      <c r="H3992" s="7">
        <v>0</v>
      </c>
      <c r="I3992" s="8" t="str">
        <f ca="1">IFERROR(__xludf.DUMMYFUNCTION("IF
(
G3993=""фізична особа""
,
VLOOKUP(H3993,IMPORTRANGE(""https://docs.google.com/spreadsheets/d/14Bd19lYaqBhU8_DElYkX7l4wRkHqqCUFNJY4AfY3kHU/edit?usp=sharing  #gid=0"",""фіз особи new!relations_name""),6,FALSE)
,
(IF
(
G3993=""юридична особа""
,
VLOOKUP"&amp;"(H3993,IMPORTRANGE(""https://docs.google.com/spreadsheets/d/14Bd19lYaqBhU8_DElYkX7l4wRkHqqCUFNJY4AfY3kHU/edit?usp=sharing  #gid=0"",""фіз особи new!relations_name_uo""),7,FALSE)
,
)
))"),"#N/A")</f>
        <v>#N/A</v>
      </c>
      <c r="J3992" s="7" t="s">
        <v>22</v>
      </c>
    </row>
    <row r="3993" spans="1:10" ht="13.2">
      <c r="A3993" s="7">
        <v>3992</v>
      </c>
      <c r="B3993" s="7">
        <v>1</v>
      </c>
      <c r="C3993" s="7" t="s">
        <v>10</v>
      </c>
      <c r="D3993" s="7">
        <v>2507</v>
      </c>
      <c r="E3993" s="7" t="s">
        <v>14</v>
      </c>
      <c r="F3993" s="8" t="str">
        <f ca="1">IFERROR(__xludf.DUMMYFUNCTION("IF
(
C3994=""фізична особа""
,
VLOOKUP(D3994,IMPORTRANGE(""https://docs.google.com/spreadsheets/d/14Bd19lYaqBhU8_DElYkX7l4wRkHqqCUFNJY4AfY3kHU/edit?usp=sharing  #gid=0"",""фіз особи new!relations_name""),6,FALSE)
,
(IF
(
C3994=""юридична особа""
,
VLOOKUP"&amp;"(D3994,IMPORTRANGE(""https://docs.google.com/spreadsheets/d/14Bd19lYaqBhU8_DElYkX7l4wRkHqqCUFNJY4AfY3kHU/edit?usp=sharing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G3993" s="7" t="s">
        <v>10</v>
      </c>
      <c r="H3993" s="7">
        <v>5068</v>
      </c>
      <c r="I3993" s="8" t="str">
        <f ca="1">IFERROR(__xludf.DUMMYFUNCTION("IF
(
G3994=""фізична особа""
,
VLOOKUP(H3994,IMPORTRANGE(""https://docs.google.com/spreadsheets/d/14Bd19lYaqBhU8_DElYkX7l4wRkHqqCUFNJY4AfY3kHU/edit?usp=sharing  #gid=0"",""фіз особи new!relations_name""),6,FALSE)
,
(IF
(
G3994=""юридична особа""
,
VLOOKUP"&amp;"(H3994,IMPORTRANGE(""https://docs.google.com/spreadsheets/d/14Bd19lYaqBhU8_DElYkX7l4wRkHqqCUFNJY4AfY3kHU/edit?usp=sharing  #gid=0"",""фіз особи new!relations_name_uo""),7,FALSE)
,
)
))"),"ТЕМРЕЗОВА Ірина Вікторівна")</f>
        <v>ТЕМРЕЗОВА Ірина Вікторівна</v>
      </c>
      <c r="J3993" s="7" t="s">
        <v>15</v>
      </c>
    </row>
    <row r="3994" spans="1:10" ht="13.2">
      <c r="A3994" s="7">
        <v>3993</v>
      </c>
      <c r="B3994" s="7">
        <v>1</v>
      </c>
      <c r="C3994" s="7" t="s">
        <v>10</v>
      </c>
      <c r="D3994" s="7">
        <v>2508</v>
      </c>
      <c r="E3994" s="7" t="s">
        <v>42</v>
      </c>
      <c r="F3994" s="8" t="str">
        <f ca="1">IFERROR(__xludf.DUMMYFUNCTION("IF
(
C3995=""фізична особа""
,
VLOOKUP(D3995,IMPORTRANGE(""https://docs.google.com/spreadsheets/d/14Bd19lYaqBhU8_DElYkX7l4wRkHqqCUFNJY4AfY3kHU/edit?usp=sharing  #gid=0"",""фіз особи new!relations_name""),6,FALSE)
,
(IF
(
C3995=""юридична особа""
,
VLOOKUP"&amp;"(D3995,IMPORTRANGE(""https://docs.google.com/spreadsheets/d/14Bd19lYaqBhU8_DElYkX7l4wRkHqqCUFNJY4AfY3kHU/edit?usp=sharing  #gid=0"",""фіз особи new!relations_name_uo""),7,FALSE)
,
)
))"),"Парфенчиков Артур Олегович")</f>
        <v>Парфенчиков Артур Олегович</v>
      </c>
      <c r="G3994" s="7" t="s">
        <v>10</v>
      </c>
      <c r="H3994" s="7">
        <v>12156</v>
      </c>
      <c r="I3994" s="8" t="str">
        <f ca="1">IFERROR(__xludf.DUMMYFUNCTION("IF
(
G3995=""фізична особа""
,
VLOOKUP(H3995,IMPORTRANGE(""https://docs.google.com/spreadsheets/d/14Bd19lYaqBhU8_DElYkX7l4wRkHqqCUFNJY4AfY3kHU/edit?usp=sharing  #gid=0"",""фіз особи new!relations_name""),6,FALSE)
,
(IF
(
G3995=""юридична особа""
,
VLOOKUP"&amp;"(H3995,IMPORTRANGE(""https://docs.google.com/spreadsheets/d/14Bd19lYaqBhU8_DElYkX7l4wRkHqqCUFNJY4AfY3kHU/edit?usp=sharing  #gid=0"",""фіз особи new!relations_name_uo""),7,FALSE)
,
)
))"),"ГУЛЯЄВА Наталія Олексіївна")</f>
        <v>ГУЛЯЄВА Наталія Олексіївна</v>
      </c>
      <c r="J3994" s="7" t="s">
        <v>43</v>
      </c>
    </row>
    <row r="3995" spans="1:10" ht="13.2">
      <c r="A3995" s="7">
        <v>3994</v>
      </c>
      <c r="B3995" s="7">
        <v>1</v>
      </c>
      <c r="C3995" s="7" t="s">
        <v>10</v>
      </c>
      <c r="D3995" s="7">
        <v>2508</v>
      </c>
      <c r="E3995" s="7" t="s">
        <v>12</v>
      </c>
      <c r="F3995" s="8" t="str">
        <f ca="1">IFERROR(__xludf.DUMMYFUNCTION("IF
(
C3996=""фізична особа""
,
VLOOKUP(D3996,IMPORTRANGE(""https://docs.google.com/spreadsheets/d/14Bd19lYaqBhU8_DElYkX7l4wRkHqqCUFNJY4AfY3kHU/edit?usp=sharing  #gid=0"",""фіз особи new!relations_name""),6,FALSE)
,
(IF
(
C3996=""юридична особа""
,
VLOOKUP"&amp;"(D3996,IMPORTRANGE(""https://docs.google.com/spreadsheets/d/14Bd19lYaqBhU8_DElYkX7l4wRkHqqCUFNJY4AfY3kHU/edit?usp=sharing  #gid=0"",""фіз особи new!relations_name_uo""),7,FALSE)
,
)
))"),"Парфенчиков Артур Олегович")</f>
        <v>Парфенчиков Артур Олегович</v>
      </c>
      <c r="G3995" s="7" t="s">
        <v>10</v>
      </c>
      <c r="H3995" s="7">
        <v>15656</v>
      </c>
      <c r="I3995" s="8" t="str">
        <f ca="1">IFERROR(__xludf.DUMMYFUNCTION("IF
(
G3996=""фізична особа""
,
VLOOKUP(H3996,IMPORTRANGE(""https://docs.google.com/spreadsheets/d/14Bd19lYaqBhU8_DElYkX7l4wRkHqqCUFNJY4AfY3kHU/edit?usp=sharing  #gid=0"",""фіз особи new!relations_name""),6,FALSE)
,
(IF
(
G3996=""юридична особа""
,
VLOOKUP"&amp;"(H3996,IMPORTRANGE(""https://docs.google.com/spreadsheets/d/14Bd19lYaqBhU8_DElYkX7l4wRkHqqCUFNJY4AfY3kHU/edit?usp=sharing  #gid=0"",""фіз особи new!relations_name_uo""),7,FALSE)
,
)
))"),"ПАРФЕНЧИКОВА Анастасія Артурівна")</f>
        <v>ПАРФЕНЧИКОВА Анастасія Артурівна</v>
      </c>
      <c r="J3995" s="7" t="s">
        <v>13</v>
      </c>
    </row>
    <row r="3996" spans="1:10" ht="13.2">
      <c r="A3996" s="7">
        <v>3995</v>
      </c>
      <c r="B3996" s="7">
        <v>1</v>
      </c>
      <c r="C3996" s="7" t="s">
        <v>10</v>
      </c>
      <c r="D3996" s="7">
        <v>2508</v>
      </c>
      <c r="E3996" s="7" t="s">
        <v>12</v>
      </c>
      <c r="F3996" s="8" t="str">
        <f ca="1">IFERROR(__xludf.DUMMYFUNCTION("IF
(
C3997=""фізична особа""
,
VLOOKUP(D3997,IMPORTRANGE(""https://docs.google.com/spreadsheets/d/14Bd19lYaqBhU8_DElYkX7l4wRkHqqCUFNJY4AfY3kHU/edit?usp=sharing  #gid=0"",""фіз особи new!relations_name""),6,FALSE)
,
(IF
(
C3997=""юридична особа""
,
VLOOKUP"&amp;"(D3997,IMPORTRANGE(""https://docs.google.com/spreadsheets/d/14Bd19lYaqBhU8_DElYkX7l4wRkHqqCUFNJY4AfY3kHU/edit?usp=sharing  #gid=0"",""фіз особи new!relations_name_uo""),7,FALSE)
,
)
))"),"Парфенчиков Артур Олегович")</f>
        <v>Парфенчиков Артур Олегович</v>
      </c>
      <c r="G3996" s="7" t="s">
        <v>10</v>
      </c>
      <c r="H3996" s="7">
        <v>23490</v>
      </c>
      <c r="I3996" s="8" t="str">
        <f ca="1">IFERROR(__xludf.DUMMYFUNCTION("IF
(
G3997=""фізична особа""
,
VLOOKUP(H3997,IMPORTRANGE(""https://docs.google.com/spreadsheets/d/14Bd19lYaqBhU8_DElYkX7l4wRkHqqCUFNJY4AfY3kHU/edit?usp=sharing  #gid=0"",""фіз особи new!relations_name""),6,FALSE)
,
(IF
(
G3997=""юридична особа""
,
VLOOKUP"&amp;"(H3997,IMPORTRANGE(""https://docs.google.com/spreadsheets/d/14Bd19lYaqBhU8_DElYkX7l4wRkHqqCUFNJY4AfY3kHU/edit?usp=sharing  #gid=0"",""фіз особи new!relations_name_uo""),7,FALSE)
,
)
))"),"ПАРФЕНЧИКОВ Ярослав Артурович")</f>
        <v>ПАРФЕНЧИКОВ Ярослав Артурович</v>
      </c>
      <c r="J3996" s="7" t="s">
        <v>17</v>
      </c>
    </row>
    <row r="3997" spans="1:10" ht="13.2">
      <c r="A3997" s="7">
        <v>3996</v>
      </c>
      <c r="B3997" s="7">
        <v>1</v>
      </c>
      <c r="C3997" s="7" t="s">
        <v>10</v>
      </c>
      <c r="D3997" s="7">
        <v>2509</v>
      </c>
      <c r="E3997" s="7" t="s">
        <v>14</v>
      </c>
      <c r="F3997" s="8" t="str">
        <f ca="1">IFERROR(__xludf.DUMMYFUNCTION("IF
(
C3998=""фізична особа""
,
VLOOKUP(D3998,IMPORTRANGE(""https://docs.google.com/spreadsheets/d/14Bd19lYaqBhU8_DElYkX7l4wRkHqqCUFNJY4AfY3kHU/edit?usp=sharing  #gid=0"",""фіз особи new!relations_name""),6,FALSE)
,
(IF
(
C3998=""юридична особа""
,
VLOOKUP"&amp;"(D3998,IMPORTRANGE(""https://docs.google.com/spreadsheets/d/14Bd19lYaqBhU8_DElYkX7l4wRkHqqCUFNJY4AfY3kHU/edit?usp=sharing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G3997" s="7" t="s">
        <v>10</v>
      </c>
      <c r="H3997" s="7">
        <v>15657</v>
      </c>
      <c r="I3997" s="8" t="str">
        <f ca="1">IFERROR(__xludf.DUMMYFUNCTION("IF
(
G3998=""фізична особа""
,
VLOOKUP(H3998,IMPORTRANGE(""https://docs.google.com/spreadsheets/d/14Bd19lYaqBhU8_DElYkX7l4wRkHqqCUFNJY4AfY3kHU/edit?usp=sharing  #gid=0"",""фіз особи new!relations_name""),6,FALSE)
,
(IF
(
G3998=""юридична особа""
,
VLOOKUP"&amp;"(H3998,IMPORTRANGE(""https://docs.google.com/spreadsheets/d/14Bd19lYaqBhU8_DElYkX7l4wRkHqqCUFNJY4AfY3kHU/edit?usp=sharing  #gid=0"",""фіз особи new!relations_name_uo""),7,FALSE)
,
)
))"),"КАЗАКОВА Галина Юріївна")</f>
        <v>КАЗАКОВА Галина Юріївна</v>
      </c>
      <c r="J3997" s="7" t="s">
        <v>15</v>
      </c>
    </row>
    <row r="3998" spans="1:10" ht="13.2">
      <c r="A3998" s="7">
        <v>3997</v>
      </c>
      <c r="B3998" s="7">
        <v>1</v>
      </c>
      <c r="C3998" s="7" t="s">
        <v>10</v>
      </c>
      <c r="D3998" s="7">
        <v>2509</v>
      </c>
      <c r="E3998" s="7" t="s">
        <v>12</v>
      </c>
      <c r="F3998" s="8" t="str">
        <f ca="1">IFERROR(__xludf.DUMMYFUNCTION("IF
(
C3999=""фізична особа""
,
VLOOKUP(D3999,IMPORTRANGE(""https://docs.google.com/spreadsheets/d/14Bd19lYaqBhU8_DElYkX7l4wRkHqqCUFNJY4AfY3kHU/edit?usp=sharing  #gid=0"",""фіз особи new!relations_name""),6,FALSE)
,
(IF
(
C3999=""юридична особа""
,
VLOOKUP"&amp;"(D3999,IMPORTRANGE(""https://docs.google.com/spreadsheets/d/14Bd19lYaqBhU8_DElYkX7l4wRkHqqCUFNJY4AfY3kHU/edit?usp=sharing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G3998" s="7" t="s">
        <v>10</v>
      </c>
      <c r="H3998" s="7">
        <v>0</v>
      </c>
      <c r="I3998" s="8" t="str">
        <f ca="1">IFERROR(__xludf.DUMMYFUNCTION("IF
(
G3999=""фізична особа""
,
VLOOKUP(H3999,IMPORTRANGE(""https://docs.google.com/spreadsheets/d/14Bd19lYaqBhU8_DElYkX7l4wRkHqqCUFNJY4AfY3kHU/edit?usp=sharing  #gid=0"",""фіз особи new!relations_name""),6,FALSE)
,
(IF
(
G3999=""юридична особа""
,
VLOOKUP"&amp;"(H3999,IMPORTRANGE(""https://docs.google.com/spreadsheets/d/14Bd19lYaqBhU8_DElYkX7l4wRkHqqCUFNJY4AfY3kHU/edit?usp=sharing  #gid=0"",""фіз особи new!relations_name_uo""),7,FALSE)
,
)
))"),"#N/A")</f>
        <v>#N/A</v>
      </c>
      <c r="J3998" s="7" t="s">
        <v>17</v>
      </c>
    </row>
    <row r="3999" spans="1:10" ht="13.2">
      <c r="A3999" s="7">
        <v>3998</v>
      </c>
      <c r="B3999" s="7">
        <v>1</v>
      </c>
      <c r="C3999" s="7" t="s">
        <v>10</v>
      </c>
      <c r="D3999" s="7">
        <v>2509</v>
      </c>
      <c r="E3999" s="7" t="s">
        <v>12</v>
      </c>
      <c r="F3999" s="8" t="str">
        <f ca="1">IFERROR(__xludf.DUMMYFUNCTION("IF
(
C4000=""фізична особа""
,
VLOOKUP(D4000,IMPORTRANGE(""https://docs.google.com/spreadsheets/d/14Bd19lYaqBhU8_DElYkX7l4wRkHqqCUFNJY4AfY3kHU/edit?usp=sharing  #gid=0"",""фіз особи new!relations_name""),6,FALSE)
,
(IF
(
C4000=""юридична особа""
,
VLOOKUP"&amp;"(D4000,IMPORTRANGE(""https://docs.google.com/spreadsheets/d/14Bd19lYaqBhU8_DElYkX7l4wRkHqqCUFNJY4AfY3kHU/edit?usp=sharing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G3999" s="7" t="s">
        <v>10</v>
      </c>
      <c r="H3999" s="7">
        <v>0</v>
      </c>
      <c r="I3999" s="8" t="str">
        <f ca="1">IFERROR(__xludf.DUMMYFUNCTION("IF
(
G4000=""фізична особа""
,
VLOOKUP(H4000,IMPORTRANGE(""https://docs.google.com/spreadsheets/d/14Bd19lYaqBhU8_DElYkX7l4wRkHqqCUFNJY4AfY3kHU/edit?usp=sharing  #gid=0"",""фіз особи new!relations_name""),6,FALSE)
,
(IF
(
G4000=""юридична особа""
,
VLOOKUP"&amp;"(H4000,IMPORTRANGE(""https://docs.google.com/spreadsheets/d/14Bd19lYaqBhU8_DElYkX7l4wRkHqqCUFNJY4AfY3kHU/edit?usp=sharing  #gid=0"",""фіз особи new!relations_name_uo""),7,FALSE)
,
)
))"),"#N/A")</f>
        <v>#N/A</v>
      </c>
      <c r="J3999" s="7" t="s">
        <v>17</v>
      </c>
    </row>
    <row r="4000" spans="1:10" ht="13.2">
      <c r="A4000" s="7">
        <v>3999</v>
      </c>
      <c r="B4000" s="7">
        <v>1</v>
      </c>
      <c r="C4000" s="7" t="s">
        <v>10</v>
      </c>
      <c r="D4000" s="7">
        <v>2509</v>
      </c>
      <c r="E4000" s="7" t="s">
        <v>17</v>
      </c>
      <c r="F4000" s="8" t="str">
        <f ca="1">IFERROR(__xludf.DUMMYFUNCTION("IF
(
C4001=""фізична особа""
,
VLOOKUP(D4001,IMPORTRANGE(""https://docs.google.com/spreadsheets/d/14Bd19lYaqBhU8_DElYkX7l4wRkHqqCUFNJY4AfY3kHU/edit?usp=sharing  #gid=0"",""фіз особи new!relations_name""),6,FALSE)
,
(IF
(
C4001=""юридична особа""
,
VLOOKUP"&amp;"(D4001,IMPORTRANGE(""https://docs.google.com/spreadsheets/d/14Bd19lYaqBhU8_DElYkX7l4wRkHqqCUFNJY4AfY3kHU/edit?usp=sharing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G4000" s="7" t="s">
        <v>10</v>
      </c>
      <c r="H4000" s="7">
        <v>23491</v>
      </c>
      <c r="I4000" s="8" t="str">
        <f ca="1">IFERROR(__xludf.DUMMYFUNCTION("IF
(
G4001=""фізична особа""
,
VLOOKUP(H4001,IMPORTRANGE(""https://docs.google.com/spreadsheets/d/14Bd19lYaqBhU8_DElYkX7l4wRkHqqCUFNJY4AfY3kHU/edit?usp=sharing  #gid=0"",""фіз особи new!relations_name""),6,FALSE)
,
(IF
(
G4001=""юридична особа""
,
VLOOKUP"&amp;"(H4001,IMPORTRANGE(""https://docs.google.com/spreadsheets/d/14Bd19lYaqBhU8_DElYkX7l4wRkHqqCUFNJY4AfY3kHU/edit?usp=sharing  #gid=0"",""фіз особи new!relations_name_uo""),7,FALSE)
,
)
))"),"УЙБА Лідія Логінівна")</f>
        <v>УЙБА Лідія Логінівна</v>
      </c>
      <c r="J4000" s="7" t="s">
        <v>21</v>
      </c>
    </row>
    <row r="4001" spans="1:10" ht="13.2">
      <c r="A4001" s="7">
        <v>4000</v>
      </c>
      <c r="B4001" s="7">
        <v>1</v>
      </c>
      <c r="C4001" s="7" t="s">
        <v>10</v>
      </c>
      <c r="D4001" s="7">
        <v>2509</v>
      </c>
      <c r="E4001" s="7" t="s">
        <v>42</v>
      </c>
      <c r="F4001" s="8" t="str">
        <f ca="1">IFERROR(__xludf.DUMMYFUNCTION("IF
(
C4002=""фізична особа""
,
VLOOKUP(D4002,IMPORTRANGE(""https://docs.google.com/spreadsheets/d/14Bd19lYaqBhU8_DElYkX7l4wRkHqqCUFNJY4AfY3kHU/edit?usp=sharing  #gid=0"",""фіз особи new!relations_name""),6,FALSE)
,
(IF
(
C4002=""юридична особа""
,
VLOOKUP"&amp;"(D4002,IMPORTRANGE(""https://docs.google.com/spreadsheets/d/14Bd19lYaqBhU8_DElYkX7l4wRkHqqCUFNJY4AfY3kHU/edit?usp=sharing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G4001" s="7" t="s">
        <v>10</v>
      </c>
      <c r="H4001" s="7">
        <v>0</v>
      </c>
      <c r="I4001" s="8" t="str">
        <f ca="1">IFERROR(__xludf.DUMMYFUNCTION("IF
(
G4002=""фізична особа""
,
VLOOKUP(H4002,IMPORTRANGE(""https://docs.google.com/spreadsheets/d/14Bd19lYaqBhU8_DElYkX7l4wRkHqqCUFNJY4AfY3kHU/edit?usp=sharing  #gid=0"",""фіз особи new!relations_name""),6,FALSE)
,
(IF
(
G4002=""юридична особа""
,
VLOOKUP"&amp;"(H4002,IMPORTRANGE(""https://docs.google.com/spreadsheets/d/14Bd19lYaqBhU8_DElYkX7l4wRkHqqCUFNJY4AfY3kHU/edit?usp=sharing  #gid=0"",""фіз особи new!relations_name_uo""),7,FALSE)
,
)
))"),"#N/A")</f>
        <v>#N/A</v>
      </c>
      <c r="J4001" s="7" t="s">
        <v>43</v>
      </c>
    </row>
    <row r="4002" spans="1:10" ht="13.2">
      <c r="A4002" s="7">
        <v>4001</v>
      </c>
      <c r="B4002" s="7">
        <v>1</v>
      </c>
      <c r="C4002" s="7" t="s">
        <v>10</v>
      </c>
      <c r="D4002" s="7">
        <v>2510</v>
      </c>
      <c r="E4002" s="7" t="s">
        <v>12</v>
      </c>
      <c r="F4002" s="8" t="str">
        <f ca="1">IFERROR(__xludf.DUMMYFUNCTION("IF
(
C4003=""фізична особа""
,
VLOOKUP(D4003,IMPORTRANGE(""https://docs.google.com/spreadsheets/d/14Bd19lYaqBhU8_DElYkX7l4wRkHqqCUFNJY4AfY3kHU/edit?usp=sharing  #gid=0"",""фіз особи new!relations_name""),6,FALSE)
,
(IF
(
C4003=""юридична особа""
,
VLOOKUP"&amp;"(D4003,IMPORTRANGE(""https://docs.google.com/spreadsheets/d/14Bd19lYaqBhU8_DElYkX7l4wRkHqqCUFNJY4AfY3kHU/edit?usp=sharing  #gid=0"",""фіз особи new!relations_name_uo""),7,FALSE)
,
)
))"),"Євстифеєв Олександр Олександрович")</f>
        <v>Євстифеєв Олександр Олександрович</v>
      </c>
      <c r="G4002" s="7" t="s">
        <v>10</v>
      </c>
      <c r="H4002" s="7">
        <v>0</v>
      </c>
      <c r="I4002" s="8" t="str">
        <f ca="1">IFERROR(__xludf.DUMMYFUNCTION("IF
(
G4003=""фізична особа""
,
VLOOKUP(H4003,IMPORTRANGE(""https://docs.google.com/spreadsheets/d/14Bd19lYaqBhU8_DElYkX7l4wRkHqqCUFNJY4AfY3kHU/edit?usp=sharing  #gid=0"",""фіз особи new!relations_name""),6,FALSE)
,
(IF
(
G4003=""юридична особа""
,
VLOOKUP"&amp;"(H4003,IMPORTRANGE(""https://docs.google.com/spreadsheets/d/14Bd19lYaqBhU8_DElYkX7l4wRkHqqCUFNJY4AfY3kHU/edit?usp=sharing  #gid=0"",""фіз особи new!relations_name_uo""),7,FALSE)
,
)
))"),"#N/A")</f>
        <v>#N/A</v>
      </c>
      <c r="J4002" s="7" t="s">
        <v>17</v>
      </c>
    </row>
    <row r="4003" spans="1:10" ht="13.2">
      <c r="A4003" s="7">
        <v>4002</v>
      </c>
      <c r="B4003" s="7">
        <v>1</v>
      </c>
      <c r="C4003" s="7" t="s">
        <v>10</v>
      </c>
      <c r="D4003" s="7">
        <v>2510</v>
      </c>
      <c r="E4003" s="7" t="s">
        <v>12</v>
      </c>
      <c r="F4003" s="8" t="str">
        <f ca="1">IFERROR(__xludf.DUMMYFUNCTION("IF
(
C4004=""фізична особа""
,
VLOOKUP(D4004,IMPORTRANGE(""https://docs.google.com/spreadsheets/d/14Bd19lYaqBhU8_DElYkX7l4wRkHqqCUFNJY4AfY3kHU/edit?usp=sharing  #gid=0"",""фіз особи new!relations_name""),6,FALSE)
,
(IF
(
C4004=""юридична особа""
,
VLOOKUP"&amp;"(D4004,IMPORTRANGE(""https://docs.google.com/spreadsheets/d/14Bd19lYaqBhU8_DElYkX7l4wRkHqqCUFNJY4AfY3kHU/edit?usp=sharing  #gid=0"",""фіз особи new!relations_name_uo""),7,FALSE)
,
)
))"),"Євстифеєв Олександр Олександрович")</f>
        <v>Євстифеєв Олександр Олександрович</v>
      </c>
      <c r="G4003" s="7" t="s">
        <v>10</v>
      </c>
      <c r="H4003" s="7">
        <v>0</v>
      </c>
      <c r="I4003" s="8" t="str">
        <f ca="1">IFERROR(__xludf.DUMMYFUNCTION("IF
(
G4004=""фізична особа""
,
VLOOKUP(H4004,IMPORTRANGE(""https://docs.google.com/spreadsheets/d/14Bd19lYaqBhU8_DElYkX7l4wRkHqqCUFNJY4AfY3kHU/edit?usp=sharing  #gid=0"",""фіз особи new!relations_name""),6,FALSE)
,
(IF
(
G4004=""юридична особа""
,
VLOOKUP"&amp;"(H4004,IMPORTRANGE(""https://docs.google.com/spreadsheets/d/14Bd19lYaqBhU8_DElYkX7l4wRkHqqCUFNJY4AfY3kHU/edit?usp=sharing  #gid=0"",""фіз особи new!relations_name_uo""),7,FALSE)
,
)
))"),"#N/A")</f>
        <v>#N/A</v>
      </c>
      <c r="J4003" s="7" t="s">
        <v>17</v>
      </c>
    </row>
    <row r="4004" spans="1:10" ht="13.2">
      <c r="A4004" s="7">
        <v>4003</v>
      </c>
      <c r="B4004" s="7">
        <v>1</v>
      </c>
      <c r="C4004" s="7" t="s">
        <v>10</v>
      </c>
      <c r="D4004" s="7">
        <v>2510</v>
      </c>
      <c r="E4004" s="7" t="s">
        <v>14</v>
      </c>
      <c r="F4004" s="8" t="str">
        <f ca="1">IFERROR(__xludf.DUMMYFUNCTION("IF
(
C4005=""фізична особа""
,
VLOOKUP(D4005,IMPORTRANGE(""https://docs.google.com/spreadsheets/d/14Bd19lYaqBhU8_DElYkX7l4wRkHqqCUFNJY4AfY3kHU/edit?usp=sharing  #gid=0"",""фіз особи new!relations_name""),6,FALSE)
,
(IF
(
C4005=""юридична особа""
,
VLOOKUP"&amp;"(D4005,IMPORTRANGE(""https://docs.google.com/spreadsheets/d/14Bd19lYaqBhU8_DElYkX7l4wRkHqqCUFNJY4AfY3kHU/edit?usp=sharing  #gid=0"",""фіз особи new!relations_name_uo""),7,FALSE)
,
)
))"),"Євстифеєв Олександр Олександрович")</f>
        <v>Євстифеєв Олександр Олександрович</v>
      </c>
      <c r="G4004" s="7" t="s">
        <v>10</v>
      </c>
      <c r="H4004" s="7">
        <v>0</v>
      </c>
      <c r="I4004" s="8" t="str">
        <f ca="1">IFERROR(__xludf.DUMMYFUNCTION("IF
(
G4005=""фізична особа""
,
VLOOKUP(H4005,IMPORTRANGE(""https://docs.google.com/spreadsheets/d/14Bd19lYaqBhU8_DElYkX7l4wRkHqqCUFNJY4AfY3kHU/edit?usp=sharing  #gid=0"",""фіз особи new!relations_name""),6,FALSE)
,
(IF
(
G4005=""юридична особа""
,
VLOOKUP"&amp;"(H4005,IMPORTRANGE(""https://docs.google.com/spreadsheets/d/14Bd19lYaqBhU8_DElYkX7l4wRkHqqCUFNJY4AfY3kHU/edit?usp=sharing  #gid=0"",""фіз особи new!relations_name_uo""),7,FALSE)
,
)
))"),"#N/A")</f>
        <v>#N/A</v>
      </c>
      <c r="J4004" s="7" t="s">
        <v>15</v>
      </c>
    </row>
    <row r="4005" spans="1:10" ht="13.2">
      <c r="A4005" s="7">
        <v>4004</v>
      </c>
      <c r="B4005" s="7">
        <v>1</v>
      </c>
      <c r="C4005" s="7" t="s">
        <v>10</v>
      </c>
      <c r="D4005" s="7">
        <v>2510</v>
      </c>
      <c r="E4005" s="7" t="s">
        <v>26</v>
      </c>
      <c r="F4005" s="8" t="str">
        <f ca="1">IFERROR(__xludf.DUMMYFUNCTION("IF
(
C4006=""фізична особа""
,
VLOOKUP(D4006,IMPORTRANGE(""https://docs.google.com/spreadsheets/d/14Bd19lYaqBhU8_DElYkX7l4wRkHqqCUFNJY4AfY3kHU/edit?usp=sharing  #gid=0"",""фіз особи new!relations_name""),6,FALSE)
,
(IF
(
C4006=""юридична особа""
,
VLOOKUP"&amp;"(D4006,IMPORTRANGE(""https://docs.google.com/spreadsheets/d/14Bd19lYaqBhU8_DElYkX7l4wRkHqqCUFNJY4AfY3kHU/edit?usp=sharing  #gid=0"",""фіз особи new!relations_name_uo""),7,FALSE)
,
)
))"),"Євстифеєв Олександр Олександрович")</f>
        <v>Євстифеєв Олександр Олександрович</v>
      </c>
      <c r="G4005" s="7" t="s">
        <v>10</v>
      </c>
      <c r="H4005" s="7">
        <v>0</v>
      </c>
      <c r="I4005" s="8" t="str">
        <f ca="1">IFERROR(__xludf.DUMMYFUNCTION("IF
(
G4006=""фізична особа""
,
VLOOKUP(H4006,IMPORTRANGE(""https://docs.google.com/spreadsheets/d/14Bd19lYaqBhU8_DElYkX7l4wRkHqqCUFNJY4AfY3kHU/edit?usp=sharing  #gid=0"",""фіз особи new!relations_name""),6,FALSE)
,
(IF
(
G4006=""юридична особа""
,
VLOOKUP"&amp;"(H4006,IMPORTRANGE(""https://docs.google.com/spreadsheets/d/14Bd19lYaqBhU8_DElYkX7l4wRkHqqCUFNJY4AfY3kHU/edit?usp=sharing  #gid=0"",""фіз особи new!relations_name_uo""),7,FALSE)
,
)
))"),"#N/A")</f>
        <v>#N/A</v>
      </c>
      <c r="J4005" s="7" t="s">
        <v>27</v>
      </c>
    </row>
    <row r="4006" spans="1:10" ht="13.2">
      <c r="A4006" s="7">
        <v>4005</v>
      </c>
      <c r="B4006" s="7">
        <v>1</v>
      </c>
      <c r="C4006" s="7" t="s">
        <v>10</v>
      </c>
      <c r="D4006" s="7">
        <v>2511</v>
      </c>
      <c r="E4006" s="7" t="s">
        <v>29</v>
      </c>
      <c r="F4006" s="8" t="str">
        <f ca="1">IFERROR(__xludf.DUMMYFUNCTION("IF
(
C4007=""фізична особа""
,
VLOOKUP(D4007,IMPORTRANGE(""https://docs.google.com/spreadsheets/d/14Bd19lYaqBhU8_DElYkX7l4wRkHqqCUFNJY4AfY3kHU/edit?usp=sharing  #gid=0"",""фіз особи new!relations_name""),6,FALSE)
,
(IF
(
C4007=""юридична особа""
,
VLOOKUP"&amp;"(D4007,IMPORTRANGE(""https://docs.google.com/spreadsheets/d/14Bd19lYaqBhU8_DElYkX7l4wRkHqqCUFNJY4AfY3kHU/edit?usp=sharing  #gid=0"",""фіз особи new!relations_name_uo""),7,FALSE)
,
)
))"),"ЗДУНОВ Артем Олексійович")</f>
        <v>ЗДУНОВ Артем Олексійович</v>
      </c>
      <c r="G4006" s="7" t="s">
        <v>10</v>
      </c>
      <c r="H4006" s="7">
        <v>0</v>
      </c>
      <c r="I4006" s="8" t="str">
        <f ca="1">IFERROR(__xludf.DUMMYFUNCTION("IF
(
G4007=""фізична особа""
,
VLOOKUP(H4007,IMPORTRANGE(""https://docs.google.com/spreadsheets/d/14Bd19lYaqBhU8_DElYkX7l4wRkHqqCUFNJY4AfY3kHU/edit?usp=sharing  #gid=0"",""фіз особи new!relations_name""),6,FALSE)
,
(IF
(
G4007=""юридична особа""
,
VLOOKUP"&amp;"(H4007,IMPORTRANGE(""https://docs.google.com/spreadsheets/d/14Bd19lYaqBhU8_DElYkX7l4wRkHqqCUFNJY4AfY3kHU/edit?usp=sharing  #gid=0"",""фіз особи new!relations_name_uo""),7,FALSE)
,
)
))"),"#N/A")</f>
        <v>#N/A</v>
      </c>
      <c r="J4006" s="7" t="s">
        <v>28</v>
      </c>
    </row>
    <row r="4007" spans="1:10" ht="13.2">
      <c r="A4007" s="7">
        <v>4006</v>
      </c>
      <c r="B4007" s="7">
        <v>1</v>
      </c>
      <c r="C4007" s="7" t="s">
        <v>10</v>
      </c>
      <c r="D4007" s="7">
        <v>2512</v>
      </c>
      <c r="E4007" s="7" t="s">
        <v>14</v>
      </c>
      <c r="F4007" s="8" t="str">
        <f ca="1">IFERROR(__xludf.DUMMYFUNCTION("IF
(
C4008=""фізична особа""
,
VLOOKUP(D4008,IMPORTRANGE(""https://docs.google.com/spreadsheets/d/14Bd19lYaqBhU8_DElYkX7l4wRkHqqCUFNJY4AfY3kHU/edit?usp=sharing  #gid=0"",""фіз особи new!relations_name""),6,FALSE)
,
(IF
(
C4008=""юридична особа""
,
VLOOKUP"&amp;"(D4008,IMPORTRANGE(""https://docs.google.com/spreadsheets/d/14Bd19lYaqBhU8_DElYkX7l4wRkHqqCUFNJY4AfY3kHU/edit?usp=sharing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G4007" s="7" t="s">
        <v>10</v>
      </c>
      <c r="H4007" s="7">
        <v>4934</v>
      </c>
      <c r="I4007" s="8" t="str">
        <f ca="1">IFERROR(__xludf.DUMMYFUNCTION("IF
(
G4008=""фізична особа""
,
VLOOKUP(H4008,IMPORTRANGE(""https://docs.google.com/spreadsheets/d/14Bd19lYaqBhU8_DElYkX7l4wRkHqqCUFNJY4AfY3kHU/edit?usp=sharing  #gid=0"",""фіз особи new!relations_name""),6,FALSE)
,
(IF
(
G4008=""юридична особа""
,
VLOOKUP"&amp;"(H4008,IMPORTRANGE(""https://docs.google.com/spreadsheets/d/14Bd19lYaqBhU8_DElYkX7l4wRkHqqCUFNJY4AfY3kHU/edit?usp=sharing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J4007" s="7" t="s">
        <v>15</v>
      </c>
    </row>
    <row r="4008" spans="1:10" ht="13.2">
      <c r="A4008" s="7">
        <v>4007</v>
      </c>
      <c r="B4008" s="7">
        <v>1</v>
      </c>
      <c r="C4008" s="7" t="s">
        <v>10</v>
      </c>
      <c r="D4008" s="7">
        <v>2512</v>
      </c>
      <c r="E4008" s="7" t="s">
        <v>12</v>
      </c>
      <c r="F4008" s="8" t="str">
        <f ca="1">IFERROR(__xludf.DUMMYFUNCTION("IF
(
C4009=""фізична особа""
,
VLOOKUP(D4009,IMPORTRANGE(""https://docs.google.com/spreadsheets/d/14Bd19lYaqBhU8_DElYkX7l4wRkHqqCUFNJY4AfY3kHU/edit?usp=sharing  #gid=0"",""фіз особи new!relations_name""),6,FALSE)
,
(IF
(
C4009=""юридична особа""
,
VLOOKUP"&amp;"(D4009,IMPORTRANGE(""https://docs.google.com/spreadsheets/d/14Bd19lYaqBhU8_DElYkX7l4wRkHqqCUFNJY4AfY3kHU/edit?usp=sharing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G4008" s="7" t="s">
        <v>10</v>
      </c>
      <c r="H4008" s="7">
        <v>4935</v>
      </c>
      <c r="I4008" s="8" t="str">
        <f ca="1">IFERROR(__xludf.DUMMYFUNCTION("IF
(
G4009=""фізична особа""
,
VLOOKUP(H4009,IMPORTRANGE(""https://docs.google.com/spreadsheets/d/14Bd19lYaqBhU8_DElYkX7l4wRkHqqCUFNJY4AfY3kHU/edit?usp=sharing  #gid=0"",""фіз особи new!relations_name""),6,FALSE)
,
(IF
(
G4009=""юридична особа""
,
VLOOKUP"&amp;"(H4009,IMPORTRANGE(""https://docs.google.com/spreadsheets/d/14Bd19lYaqBhU8_DElYkX7l4wRkHqqCUFNJY4AfY3kHU/edit?usp=sharing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J4008" s="7" t="s">
        <v>13</v>
      </c>
    </row>
    <row r="4009" spans="1:10" ht="13.2">
      <c r="A4009" s="7">
        <v>4008</v>
      </c>
      <c r="B4009" s="7">
        <v>1</v>
      </c>
      <c r="C4009" s="7" t="s">
        <v>10</v>
      </c>
      <c r="D4009" s="7">
        <v>2512</v>
      </c>
      <c r="E4009" s="7" t="s">
        <v>12</v>
      </c>
      <c r="F4009" s="8" t="str">
        <f ca="1">IFERROR(__xludf.DUMMYFUNCTION("IF
(
C4010=""фізична особа""
,
VLOOKUP(D4010,IMPORTRANGE(""https://docs.google.com/spreadsheets/d/14Bd19lYaqBhU8_DElYkX7l4wRkHqqCUFNJY4AfY3kHU/edit?usp=sharing  #gid=0"",""фіз особи new!relations_name""),6,FALSE)
,
(IF
(
C4010=""юридична особа""
,
VLOOKUP"&amp;"(D4010,IMPORTRANGE(""https://docs.google.com/spreadsheets/d/14Bd19lYaqBhU8_DElYkX7l4wRkHqqCUFNJY4AfY3kHU/edit?usp=sharing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G4009" s="7" t="s">
        <v>10</v>
      </c>
      <c r="H4009" s="7">
        <v>4936</v>
      </c>
      <c r="I4009" s="8" t="str">
        <f ca="1">IFERROR(__xludf.DUMMYFUNCTION("IF
(
G4010=""фізична особа""
,
VLOOKUP(H4010,IMPORTRANGE(""https://docs.google.com/spreadsheets/d/14Bd19lYaqBhU8_DElYkX7l4wRkHqqCUFNJY4AfY3kHU/edit?usp=sharing  #gid=0"",""фіз особи new!relations_name""),6,FALSE)
,
(IF
(
G4010=""юридична особа""
,
VLOOKUP"&amp;"(H4010,IMPORTRANGE(""https://docs.google.com/spreadsheets/d/14Bd19lYaqBhU8_DElYkX7l4wRkHqqCUFNJY4AfY3kHU/edit?usp=sharing  #gid=0"",""фіз особи new!relations_name_uo""),7,FALSE)
,
)
))"),"НІКОЛАЄВА / КУЛАКОВСЬКА / ДМИТРІЄВА Аяна Сергіївна")</f>
        <v>НІКОЛАЄВА / КУЛАКОВСЬКА / ДМИТРІЄВА Аяна Сергіївна</v>
      </c>
      <c r="J4009" s="7" t="s">
        <v>13</v>
      </c>
    </row>
    <row r="4010" spans="1:10" ht="13.2">
      <c r="A4010" s="7">
        <v>4009</v>
      </c>
      <c r="B4010" s="7">
        <v>1</v>
      </c>
      <c r="C4010" s="7" t="s">
        <v>10</v>
      </c>
      <c r="D4010" s="7">
        <v>2512</v>
      </c>
      <c r="E4010" s="7" t="s">
        <v>24</v>
      </c>
      <c r="F4010" s="8" t="str">
        <f ca="1">IFERROR(__xludf.DUMMYFUNCTION("IF
(
C4011=""фізична особа""
,
VLOOKUP(D4011,IMPORTRANGE(""https://docs.google.com/spreadsheets/d/14Bd19lYaqBhU8_DElYkX7l4wRkHqqCUFNJY4AfY3kHU/edit?usp=sharing  #gid=0"",""фіз особи new!relations_name""),6,FALSE)
,
(IF
(
C4011=""юридична особа""
,
VLOOKUP"&amp;"(D4011,IMPORTRANGE(""https://docs.google.com/spreadsheets/d/14Bd19lYaqBhU8_DElYkX7l4wRkHqqCUFNJY4AfY3kHU/edit?usp=sharing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G4010" s="7" t="s">
        <v>10</v>
      </c>
      <c r="H4010" s="7">
        <v>23492</v>
      </c>
      <c r="I4010" s="8" t="str">
        <f ca="1">IFERROR(__xludf.DUMMYFUNCTION("IF
(
G4011=""фізична особа""
,
VLOOKUP(H4011,IMPORTRANGE(""https://docs.google.com/spreadsheets/d/14Bd19lYaqBhU8_DElYkX7l4wRkHqqCUFNJY4AfY3kHU/edit?usp=sharing  #gid=0"",""фіз особи new!relations_name""),6,FALSE)
,
(IF
(
G4011=""юридична особа""
,
VLOOKUP"&amp;"(H4011,IMPORTRANGE(""https://docs.google.com/spreadsheets/d/14Bd19lYaqBhU8_DElYkX7l4wRkHqqCUFNJY4AfY3kHU/edit?usp=sharing  #gid=0"",""фіз особи new!relations_name_uo""),7,FALSE)
,
)
))"),"СІМОНОВ Єфим Радієвич")</f>
        <v>СІМОНОВ Єфим Радієвич</v>
      </c>
      <c r="J4010" s="7" t="s">
        <v>26</v>
      </c>
    </row>
    <row r="4011" spans="1:10" ht="13.2">
      <c r="A4011" s="7">
        <v>4010</v>
      </c>
      <c r="B4011" s="7">
        <v>1</v>
      </c>
      <c r="C4011" s="7" t="s">
        <v>10</v>
      </c>
      <c r="D4011" s="7">
        <v>2512</v>
      </c>
      <c r="E4011" s="7" t="s">
        <v>62</v>
      </c>
      <c r="F4011" s="8" t="str">
        <f ca="1">IFERROR(__xludf.DUMMYFUNCTION("IF
(
C4012=""фізична особа""
,
VLOOKUP(D4012,IMPORTRANGE(""https://docs.google.com/spreadsheets/d/14Bd19lYaqBhU8_DElYkX7l4wRkHqqCUFNJY4AfY3kHU/edit?usp=sharing  #gid=0"",""фіз особи new!relations_name""),6,FALSE)
,
(IF
(
C4012=""юридична особа""
,
VLOOKUP"&amp;"(D4012,IMPORTRANGE(""https://docs.google.com/spreadsheets/d/14Bd19lYaqBhU8_DElYkX7l4wRkHqqCUFNJY4AfY3kHU/edit?usp=sharing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G4011" s="7" t="s">
        <v>10</v>
      </c>
      <c r="H4011" s="7">
        <v>23493</v>
      </c>
      <c r="I4011" s="8" t="str">
        <f ca="1">IFERROR(__xludf.DUMMYFUNCTION("IF
(
G4012=""фізична особа""
,
VLOOKUP(H4012,IMPORTRANGE(""https://docs.google.com/spreadsheets/d/14Bd19lYaqBhU8_DElYkX7l4wRkHqqCUFNJY4AfY3kHU/edit?usp=sharing  #gid=0"",""фіз особи new!relations_name""),6,FALSE)
,
(IF
(
G4012=""юридична особа""
,
VLOOKUP"&amp;"(H4012,IMPORTRANGE(""https://docs.google.com/spreadsheets/d/14Bd19lYaqBhU8_DElYkX7l4wRkHqqCUFNJY4AfY3kHU/edit?usp=sharing  #gid=0"",""фіз особи new!relations_name_uo""),7,FALSE)
,
)
))"),"СІМОНОВ Радій Єфімович")</f>
        <v>СІМОНОВ Радій Єфімович</v>
      </c>
      <c r="J4011" s="7" t="s">
        <v>62</v>
      </c>
    </row>
    <row r="4012" spans="1:10" ht="13.2">
      <c r="A4012" s="7">
        <v>4011</v>
      </c>
      <c r="B4012" s="7">
        <v>1</v>
      </c>
      <c r="C4012" s="7" t="s">
        <v>10</v>
      </c>
      <c r="D4012" s="7">
        <v>2513</v>
      </c>
      <c r="E4012" s="7" t="s">
        <v>14</v>
      </c>
      <c r="F4012" s="8" t="str">
        <f ca="1">IFERROR(__xludf.DUMMYFUNCTION("IF
(
C4013=""фізична особа""
,
VLOOKUP(D4013,IMPORTRANGE(""https://docs.google.com/spreadsheets/d/14Bd19lYaqBhU8_DElYkX7l4wRkHqqCUFNJY4AfY3kHU/edit?usp=sharing  #gid=0"",""фіз особи new!relations_name""),6,FALSE)
,
(IF
(
C4013=""юридична особа""
,
VLOOKUP"&amp;"(D4013,IMPORTRANGE(""https://docs.google.com/spreadsheets/d/14Bd19lYaqBhU8_DElYkX7l4wRkHqqCUFNJY4AfY3kHU/edit?usp=sharing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G4012" s="7" t="s">
        <v>10</v>
      </c>
      <c r="H4012" s="7">
        <v>0</v>
      </c>
      <c r="I4012" s="8" t="str">
        <f ca="1">IFERROR(__xludf.DUMMYFUNCTION("IF
(
G4013=""фізична особа""
,
VLOOKUP(H4013,IMPORTRANGE(""https://docs.google.com/spreadsheets/d/14Bd19lYaqBhU8_DElYkX7l4wRkHqqCUFNJY4AfY3kHU/edit?usp=sharing  #gid=0"",""фіз особи new!relations_name""),6,FALSE)
,
(IF
(
G4013=""юридична особа""
,
VLOOKUP"&amp;"(H4013,IMPORTRANGE(""https://docs.google.com/spreadsheets/d/14Bd19lYaqBhU8_DElYkX7l4wRkHqqCUFNJY4AfY3kHU/edit?usp=sharing  #gid=0"",""фіз особи new!relations_name_uo""),7,FALSE)
,
)
))"),"#N/A")</f>
        <v>#N/A</v>
      </c>
      <c r="J4012" s="7" t="s">
        <v>15</v>
      </c>
    </row>
    <row r="4013" spans="1:10" ht="13.2">
      <c r="A4013" s="7">
        <v>4012</v>
      </c>
      <c r="B4013" s="7">
        <v>1</v>
      </c>
      <c r="C4013" s="7" t="s">
        <v>10</v>
      </c>
      <c r="D4013" s="7">
        <v>2513</v>
      </c>
      <c r="E4013" s="7" t="s">
        <v>12</v>
      </c>
      <c r="F4013" s="8" t="str">
        <f ca="1">IFERROR(__xludf.DUMMYFUNCTION("IF
(
C4014=""фізична особа""
,
VLOOKUP(D4014,IMPORTRANGE(""https://docs.google.com/spreadsheets/d/14Bd19lYaqBhU8_DElYkX7l4wRkHqqCUFNJY4AfY3kHU/edit?usp=sharing  #gid=0"",""фіз особи new!relations_name""),6,FALSE)
,
(IF
(
C4014=""юридична особа""
,
VLOOKUP"&amp;"(D4014,IMPORTRANGE(""https://docs.google.com/spreadsheets/d/14Bd19lYaqBhU8_DElYkX7l4wRkHqqCUFNJY4AfY3kHU/edit?usp=sharing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G4013" s="7" t="s">
        <v>10</v>
      </c>
      <c r="H4013" s="7">
        <v>0</v>
      </c>
      <c r="I4013" s="8" t="str">
        <f ca="1">IFERROR(__xludf.DUMMYFUNCTION("IF
(
G4014=""фізична особа""
,
VLOOKUP(H4014,IMPORTRANGE(""https://docs.google.com/spreadsheets/d/14Bd19lYaqBhU8_DElYkX7l4wRkHqqCUFNJY4AfY3kHU/edit?usp=sharing  #gid=0"",""фіз особи new!relations_name""),6,FALSE)
,
(IF
(
G4014=""юридична особа""
,
VLOOKUP"&amp;"(H4014,IMPORTRANGE(""https://docs.google.com/spreadsheets/d/14Bd19lYaqBhU8_DElYkX7l4wRkHqqCUFNJY4AfY3kHU/edit?usp=sharing  #gid=0"",""фіз особи new!relations_name_uo""),7,FALSE)
,
)
))"),"#N/A")</f>
        <v>#N/A</v>
      </c>
      <c r="J4013" s="7" t="s">
        <v>17</v>
      </c>
    </row>
    <row r="4014" spans="1:10" ht="13.2">
      <c r="A4014" s="7">
        <v>4013</v>
      </c>
      <c r="B4014" s="7">
        <v>1</v>
      </c>
      <c r="C4014" s="7" t="s">
        <v>10</v>
      </c>
      <c r="D4014" s="7">
        <v>2513</v>
      </c>
      <c r="E4014" s="7" t="s">
        <v>18</v>
      </c>
      <c r="F4014" s="8" t="str">
        <f ca="1">IFERROR(__xludf.DUMMYFUNCTION("IF
(
C4015=""фізична особа""
,
VLOOKUP(D4015,IMPORTRANGE(""https://docs.google.com/spreadsheets/d/14Bd19lYaqBhU8_DElYkX7l4wRkHqqCUFNJY4AfY3kHU/edit?usp=sharing  #gid=0"",""фіз особи new!relations_name""),6,FALSE)
,
(IF
(
C4015=""юридична особа""
,
VLOOKUP"&amp;"(D4015,IMPORTRANGE(""https://docs.google.com/spreadsheets/d/14Bd19lYaqBhU8_DElYkX7l4wRkHqqCUFNJY4AfY3kHU/edit?usp=sharing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G4014" s="7" t="s">
        <v>10</v>
      </c>
      <c r="H4014" s="7">
        <v>0</v>
      </c>
      <c r="I4014" s="8" t="str">
        <f ca="1">IFERROR(__xludf.DUMMYFUNCTION("IF
(
G4015=""фізична особа""
,
VLOOKUP(H4015,IMPORTRANGE(""https://docs.google.com/spreadsheets/d/14Bd19lYaqBhU8_DElYkX7l4wRkHqqCUFNJY4AfY3kHU/edit?usp=sharing  #gid=0"",""фіз особи new!relations_name""),6,FALSE)
,
(IF
(
G4015=""юридична особа""
,
VLOOKUP"&amp;"(H4015,IMPORTRANGE(""https://docs.google.com/spreadsheets/d/14Bd19lYaqBhU8_DElYkX7l4wRkHqqCUFNJY4AfY3kHU/edit?usp=sharing  #gid=0"",""фіз особи new!relations_name_uo""),7,FALSE)
,
)
))"),"#N/A")</f>
        <v>#N/A</v>
      </c>
      <c r="J4014" s="7" t="s">
        <v>18</v>
      </c>
    </row>
    <row r="4015" spans="1:10" ht="13.2">
      <c r="A4015" s="7">
        <v>4014</v>
      </c>
      <c r="B4015" s="7">
        <v>1</v>
      </c>
      <c r="C4015" s="7" t="s">
        <v>10</v>
      </c>
      <c r="D4015" s="7">
        <v>2513</v>
      </c>
      <c r="E4015" s="7" t="s">
        <v>18</v>
      </c>
      <c r="F4015" s="8" t="str">
        <f ca="1">IFERROR(__xludf.DUMMYFUNCTION("IF
(
C4016=""фізична особа""
,
VLOOKUP(D4016,IMPORTRANGE(""https://docs.google.com/spreadsheets/d/14Bd19lYaqBhU8_DElYkX7l4wRkHqqCUFNJY4AfY3kHU/edit?usp=sharing  #gid=0"",""фіз особи new!relations_name""),6,FALSE)
,
(IF
(
C4016=""юридична особа""
,
VLOOKUP"&amp;"(D4016,IMPORTRANGE(""https://docs.google.com/spreadsheets/d/14Bd19lYaqBhU8_DElYkX7l4wRkHqqCUFNJY4AfY3kHU/edit?usp=sharing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G4015" s="7" t="s">
        <v>10</v>
      </c>
      <c r="H4015" s="7">
        <v>0</v>
      </c>
      <c r="I4015" s="8" t="str">
        <f ca="1">IFERROR(__xludf.DUMMYFUNCTION("IF
(
G4016=""фізична особа""
,
VLOOKUP(H4016,IMPORTRANGE(""https://docs.google.com/spreadsheets/d/14Bd19lYaqBhU8_DElYkX7l4wRkHqqCUFNJY4AfY3kHU/edit?usp=sharing  #gid=0"",""фіз особи new!relations_name""),6,FALSE)
,
(IF
(
G4016=""юридична особа""
,
VLOOKUP"&amp;"(H4016,IMPORTRANGE(""https://docs.google.com/spreadsheets/d/14Bd19lYaqBhU8_DElYkX7l4wRkHqqCUFNJY4AfY3kHU/edit?usp=sharing  #gid=0"",""фіз особи new!relations_name_uo""),7,FALSE)
,
)
))"),"#N/A")</f>
        <v>#N/A</v>
      </c>
      <c r="J4015" s="7" t="s">
        <v>18</v>
      </c>
    </row>
    <row r="4016" spans="1:10" ht="13.2">
      <c r="A4016" s="7">
        <v>4015</v>
      </c>
      <c r="B4016" s="7">
        <v>1</v>
      </c>
      <c r="C4016" s="7" t="s">
        <v>10</v>
      </c>
      <c r="D4016" s="7">
        <v>2513</v>
      </c>
      <c r="E4016" s="7" t="s">
        <v>26</v>
      </c>
      <c r="F4016" s="8" t="str">
        <f ca="1">IFERROR(__xludf.DUMMYFUNCTION("IF
(
C4017=""фізична особа""
,
VLOOKUP(D4017,IMPORTRANGE(""https://docs.google.com/spreadsheets/d/14Bd19lYaqBhU8_DElYkX7l4wRkHqqCUFNJY4AfY3kHU/edit?usp=sharing  #gid=0"",""фіз особи new!relations_name""),6,FALSE)
,
(IF
(
C4017=""юридична особа""
,
VLOOKUP"&amp;"(D4017,IMPORTRANGE(""https://docs.google.com/spreadsheets/d/14Bd19lYaqBhU8_DElYkX7l4wRkHqqCUFNJY4AfY3kHU/edit?usp=sharing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G4016" s="7" t="s">
        <v>10</v>
      </c>
      <c r="H4016" s="7">
        <v>0</v>
      </c>
      <c r="I4016" s="8" t="str">
        <f ca="1">IFERROR(__xludf.DUMMYFUNCTION("IF
(
G4017=""фізична особа""
,
VLOOKUP(H4017,IMPORTRANGE(""https://docs.google.com/spreadsheets/d/14Bd19lYaqBhU8_DElYkX7l4wRkHqqCUFNJY4AfY3kHU/edit?usp=sharing  #gid=0"",""фіз особи new!relations_name""),6,FALSE)
,
(IF
(
G4017=""юридична особа""
,
VLOOKUP"&amp;"(H4017,IMPORTRANGE(""https://docs.google.com/spreadsheets/d/14Bd19lYaqBhU8_DElYkX7l4wRkHqqCUFNJY4AfY3kHU/edit?usp=sharing  #gid=0"",""фіз особи new!relations_name_uo""),7,FALSE)
,
)
))"),"#N/A")</f>
        <v>#N/A</v>
      </c>
      <c r="J4016" s="7" t="s">
        <v>67</v>
      </c>
    </row>
    <row r="4017" spans="1:10" ht="13.2">
      <c r="A4017" s="7">
        <v>4016</v>
      </c>
      <c r="B4017" s="7">
        <v>1</v>
      </c>
      <c r="C4017" s="7" t="s">
        <v>10</v>
      </c>
      <c r="D4017" s="7">
        <v>2514</v>
      </c>
      <c r="E4017" s="7" t="s">
        <v>14</v>
      </c>
      <c r="F4017" s="8" t="str">
        <f ca="1">IFERROR(__xludf.DUMMYFUNCTION("IF
(
C4018=""фізична особа""
,
VLOOKUP(D4018,IMPORTRANGE(""https://docs.google.com/spreadsheets/d/14Bd19lYaqBhU8_DElYkX7l4wRkHqqCUFNJY4AfY3kHU/edit?usp=sharing  #gid=0"",""фіз особи new!relations_name""),6,FALSE)
,
(IF
(
C4018=""юридична особа""
,
VLOOKUP"&amp;"(D4018,IMPORTRANGE(""https://docs.google.com/spreadsheets/d/14Bd19lYaqBhU8_DElYkX7l4wRkHqqCUFNJY4AfY3kHU/edit?usp=sharing  #gid=0"",""фіз особи new!relations_name_uo""),7,FALSE)
,
)
))"),"ХОВАЛИГ Владислав Товарищтайович")</f>
        <v>ХОВАЛИГ Владислав Товарищтайович</v>
      </c>
      <c r="G4017" s="7" t="s">
        <v>10</v>
      </c>
      <c r="H4017" s="7">
        <v>0</v>
      </c>
      <c r="I4017" s="8" t="str">
        <f ca="1">IFERROR(__xludf.DUMMYFUNCTION("IF
(
G4018=""фізична особа""
,
VLOOKUP(H4018,IMPORTRANGE(""https://docs.google.com/spreadsheets/d/14Bd19lYaqBhU8_DElYkX7l4wRkHqqCUFNJY4AfY3kHU/edit?usp=sharing  #gid=0"",""фіз особи new!relations_name""),6,FALSE)
,
(IF
(
G4018=""юридична особа""
,
VLOOKUP"&amp;"(H4018,IMPORTRANGE(""https://docs.google.com/spreadsheets/d/14Bd19lYaqBhU8_DElYkX7l4wRkHqqCUFNJY4AfY3kHU/edit?usp=sharing  #gid=0"",""фіз особи new!relations_name_uo""),7,FALSE)
,
)
))"),"#N/A")</f>
        <v>#N/A</v>
      </c>
      <c r="J4017" s="7" t="s">
        <v>15</v>
      </c>
    </row>
    <row r="4018" spans="1:10" ht="13.2">
      <c r="A4018" s="7">
        <v>4017</v>
      </c>
      <c r="B4018" s="7">
        <v>1</v>
      </c>
      <c r="C4018" s="7" t="s">
        <v>10</v>
      </c>
      <c r="D4018" s="7">
        <v>2515</v>
      </c>
      <c r="E4018" s="7" t="s">
        <v>14</v>
      </c>
      <c r="F4018" s="8" t="str">
        <f ca="1">IFERROR(__xludf.DUMMYFUNCTION("IF
(
C4019=""фізична особа""
,
VLOOKUP(D4019,IMPORTRANGE(""https://docs.google.com/spreadsheets/d/14Bd19lYaqBhU8_DElYkX7l4wRkHqqCUFNJY4AfY3kHU/edit?usp=sharing  #gid=0"",""фіз особи new!relations_name""),6,FALSE)
,
(IF
(
C4019=""юридична особа""
,
VLOOKUP"&amp;"(D4019,IMPORTRANGE(""https://docs.google.com/spreadsheets/d/14Bd19lYaqBhU8_DElYkX7l4wRkHqqCUFNJY4AfY3kHU/edit?usp=sharing  #gid=0"",""фіз особи new!relations_name_uo""),7,FALSE)
,
)
))"),"КОНОВАЛОВ Валентин Олегович")</f>
        <v>КОНОВАЛОВ Валентин Олегович</v>
      </c>
      <c r="G4018" s="7" t="s">
        <v>10</v>
      </c>
      <c r="H4018" s="7">
        <v>0</v>
      </c>
      <c r="I4018" s="8" t="str">
        <f ca="1">IFERROR(__xludf.DUMMYFUNCTION("IF
(
G4019=""фізична особа""
,
VLOOKUP(H4019,IMPORTRANGE(""https://docs.google.com/spreadsheets/d/14Bd19lYaqBhU8_DElYkX7l4wRkHqqCUFNJY4AfY3kHU/edit?usp=sharing  #gid=0"",""фіз особи new!relations_name""),6,FALSE)
,
(IF
(
G4019=""юридична особа""
,
VLOOKUP"&amp;"(H4019,IMPORTRANGE(""https://docs.google.com/spreadsheets/d/14Bd19lYaqBhU8_DElYkX7l4wRkHqqCUFNJY4AfY3kHU/edit?usp=sharing  #gid=0"",""фіз особи new!relations_name_uo""),7,FALSE)
,
)
))"),"#N/A")</f>
        <v>#N/A</v>
      </c>
      <c r="J4018" s="7" t="s">
        <v>15</v>
      </c>
    </row>
    <row r="4019" spans="1:10" ht="13.2">
      <c r="A4019" s="7">
        <v>4018</v>
      </c>
      <c r="B4019" s="7">
        <v>1</v>
      </c>
      <c r="C4019" s="7" t="s">
        <v>10</v>
      </c>
      <c r="D4019" s="7">
        <v>2515</v>
      </c>
      <c r="E4019" s="7" t="s">
        <v>12</v>
      </c>
      <c r="F4019" s="8" t="str">
        <f ca="1">IFERROR(__xludf.DUMMYFUNCTION("IF
(
C4020=""фізична особа""
,
VLOOKUP(D4020,IMPORTRANGE(""https://docs.google.com/spreadsheets/d/14Bd19lYaqBhU8_DElYkX7l4wRkHqqCUFNJY4AfY3kHU/edit?usp=sharing  #gid=0"",""фіз особи new!relations_name""),6,FALSE)
,
(IF
(
C4020=""юридична особа""
,
VLOOKUP"&amp;"(D4020,IMPORTRANGE(""https://docs.google.com/spreadsheets/d/14Bd19lYaqBhU8_DElYkX7l4wRkHqqCUFNJY4AfY3kHU/edit?usp=sharing  #gid=0"",""фіз особи new!relations_name_uo""),7,FALSE)
,
)
))"),"КОНОВАЛОВ Валентин Олегович")</f>
        <v>КОНОВАЛОВ Валентин Олегович</v>
      </c>
      <c r="G4019" s="7" t="s">
        <v>10</v>
      </c>
      <c r="H4019" s="7">
        <v>0</v>
      </c>
      <c r="I4019" s="8" t="str">
        <f ca="1">IFERROR(__xludf.DUMMYFUNCTION("IF
(
G4020=""фізична особа""
,
VLOOKUP(H4020,IMPORTRANGE(""https://docs.google.com/spreadsheets/d/14Bd19lYaqBhU8_DElYkX7l4wRkHqqCUFNJY4AfY3kHU/edit?usp=sharing  #gid=0"",""фіз особи new!relations_name""),6,FALSE)
,
(IF
(
G4020=""юридична особа""
,
VLOOKUP"&amp;"(H4020,IMPORTRANGE(""https://docs.google.com/spreadsheets/d/14Bd19lYaqBhU8_DElYkX7l4wRkHqqCUFNJY4AfY3kHU/edit?usp=sharing  #gid=0"",""фіз особи new!relations_name_uo""),7,FALSE)
,
)
))"),"#N/A")</f>
        <v>#N/A</v>
      </c>
      <c r="J4019" s="7" t="s">
        <v>13</v>
      </c>
    </row>
    <row r="4020" spans="1:10" ht="13.2">
      <c r="A4020" s="7">
        <v>4019</v>
      </c>
      <c r="B4020" s="7">
        <v>1</v>
      </c>
      <c r="C4020" s="7" t="s">
        <v>10</v>
      </c>
      <c r="D4020" s="7">
        <v>2516</v>
      </c>
      <c r="E4020" s="7" t="s">
        <v>29</v>
      </c>
      <c r="F4020" s="8" t="str">
        <f ca="1">IFERROR(__xludf.DUMMYFUNCTION("IF
(
C4021=""фізична особа""
,
VLOOKUP(D4021,IMPORTRANGE(""https://docs.google.com/spreadsheets/d/14Bd19lYaqBhU8_DElYkX7l4wRkHqqCUFNJY4AfY3kHU/edit?usp=sharing  #gid=0"",""фіз особи new!relations_name""),6,FALSE)
,
(IF
(
C4021=""юридична особа""
,
VLOOKUP"&amp;"(D4021,IMPORTRANGE(""https://docs.google.com/spreadsheets/d/14Bd19lYaqBhU8_DElYkX7l4wRkHqqCUFNJY4AfY3kHU/edit?usp=sharing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0" s="7" t="s">
        <v>10</v>
      </c>
      <c r="H4020" s="7">
        <v>0</v>
      </c>
      <c r="I4020" s="8" t="str">
        <f ca="1">IFERROR(__xludf.DUMMYFUNCTION("IF
(
G4021=""фізична особа""
,
VLOOKUP(H4021,IMPORTRANGE(""https://docs.google.com/spreadsheets/d/14Bd19lYaqBhU8_DElYkX7l4wRkHqqCUFNJY4AfY3kHU/edit?usp=sharing  #gid=0"",""фіз особи new!relations_name""),6,FALSE)
,
(IF
(
G4021=""юридична особа""
,
VLOOKUP"&amp;"(H4021,IMPORTRANGE(""https://docs.google.com/spreadsheets/d/14Bd19lYaqBhU8_DElYkX7l4wRkHqqCUFNJY4AfY3kHU/edit?usp=sharing  #gid=0"",""фіз особи new!relations_name_uo""),7,FALSE)
,
)
))"),"#N/A")</f>
        <v>#N/A</v>
      </c>
      <c r="J4020" s="7" t="s">
        <v>28</v>
      </c>
    </row>
    <row r="4021" spans="1:10" ht="13.2">
      <c r="A4021" s="7">
        <v>4020</v>
      </c>
      <c r="B4021" s="7">
        <v>1</v>
      </c>
      <c r="C4021" s="7" t="s">
        <v>10</v>
      </c>
      <c r="D4021" s="7">
        <v>2516</v>
      </c>
      <c r="E4021" s="7" t="s">
        <v>29</v>
      </c>
      <c r="F4021" s="8" t="str">
        <f ca="1">IFERROR(__xludf.DUMMYFUNCTION("IF
(
C4022=""фізична особа""
,
VLOOKUP(D4022,IMPORTRANGE(""https://docs.google.com/spreadsheets/d/14Bd19lYaqBhU8_DElYkX7l4wRkHqqCUFNJY4AfY3kHU/edit?usp=sharing  #gid=0"",""фіз особи new!relations_name""),6,FALSE)
,
(IF
(
C4022=""юридична особа""
,
VLOOKUP"&amp;"(D4022,IMPORTRANGE(""https://docs.google.com/spreadsheets/d/14Bd19lYaqBhU8_DElYkX7l4wRkHqqCUFNJY4AfY3kHU/edit?usp=sharing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1" s="7" t="s">
        <v>10</v>
      </c>
      <c r="H4021" s="7">
        <v>0</v>
      </c>
      <c r="I4021" s="8" t="str">
        <f ca="1">IFERROR(__xludf.DUMMYFUNCTION("IF
(
G4022=""фізична особа""
,
VLOOKUP(H4022,IMPORTRANGE(""https://docs.google.com/spreadsheets/d/14Bd19lYaqBhU8_DElYkX7l4wRkHqqCUFNJY4AfY3kHU/edit?usp=sharing  #gid=0"",""фіз особи new!relations_name""),6,FALSE)
,
(IF
(
G4022=""юридична особа""
,
VLOOKUP"&amp;"(H4022,IMPORTRANGE(""https://docs.google.com/spreadsheets/d/14Bd19lYaqBhU8_DElYkX7l4wRkHqqCUFNJY4AfY3kHU/edit?usp=sharing  #gid=0"",""фіз особи new!relations_name_uo""),7,FALSE)
,
)
))"),"#N/A")</f>
        <v>#N/A</v>
      </c>
      <c r="J4021" s="7" t="s">
        <v>28</v>
      </c>
    </row>
    <row r="4022" spans="1:10" ht="13.2">
      <c r="A4022" s="7">
        <v>4021</v>
      </c>
      <c r="B4022" s="7">
        <v>1</v>
      </c>
      <c r="C4022" s="7" t="s">
        <v>10</v>
      </c>
      <c r="D4022" s="7">
        <v>2516</v>
      </c>
      <c r="E4022" s="7" t="s">
        <v>42</v>
      </c>
      <c r="F4022" s="8" t="str">
        <f ca="1">IFERROR(__xludf.DUMMYFUNCTION("IF
(
C4023=""фізична особа""
,
VLOOKUP(D4023,IMPORTRANGE(""https://docs.google.com/spreadsheets/d/14Bd19lYaqBhU8_DElYkX7l4wRkHqqCUFNJY4AfY3kHU/edit?usp=sharing  #gid=0"",""фіз особи new!relations_name""),6,FALSE)
,
(IF
(
C4023=""юридична особа""
,
VLOOKUP"&amp;"(D4023,IMPORTRANGE(""https://docs.google.com/spreadsheets/d/14Bd19lYaqBhU8_DElYkX7l4wRkHqqCUFNJY4AfY3kHU/edit?usp=sharing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2" s="7" t="s">
        <v>10</v>
      </c>
      <c r="H4022" s="7">
        <v>0</v>
      </c>
      <c r="I4022" s="8" t="str">
        <f ca="1">IFERROR(__xludf.DUMMYFUNCTION("IF
(
G4023=""фізична особа""
,
VLOOKUP(H4023,IMPORTRANGE(""https://docs.google.com/spreadsheets/d/14Bd19lYaqBhU8_DElYkX7l4wRkHqqCUFNJY4AfY3kHU/edit?usp=sharing  #gid=0"",""фіз особи new!relations_name""),6,FALSE)
,
(IF
(
G4023=""юридична особа""
,
VLOOKUP"&amp;"(H4023,IMPORTRANGE(""https://docs.google.com/spreadsheets/d/14Bd19lYaqBhU8_DElYkX7l4wRkHqqCUFNJY4AfY3kHU/edit?usp=sharing  #gid=0"",""фіз особи new!relations_name_uo""),7,FALSE)
,
)
))"),"#N/A")</f>
        <v>#N/A</v>
      </c>
      <c r="J4022" s="7" t="s">
        <v>43</v>
      </c>
    </row>
    <row r="4023" spans="1:10" ht="13.2">
      <c r="A4023" s="7">
        <v>4022</v>
      </c>
      <c r="B4023" s="7">
        <v>1</v>
      </c>
      <c r="C4023" s="7" t="s">
        <v>10</v>
      </c>
      <c r="D4023" s="7">
        <v>2516</v>
      </c>
      <c r="E4023" s="7" t="s">
        <v>14</v>
      </c>
      <c r="F4023" s="8" t="str">
        <f ca="1">IFERROR(__xludf.DUMMYFUNCTION("IF
(
C4024=""фізична особа""
,
VLOOKUP(D4024,IMPORTRANGE(""https://docs.google.com/spreadsheets/d/14Bd19lYaqBhU8_DElYkX7l4wRkHqqCUFNJY4AfY3kHU/edit?usp=sharing  #gid=0"",""фіз особи new!relations_name""),6,FALSE)
,
(IF
(
C4024=""юридична особа""
,
VLOOKUP"&amp;"(D4024,IMPORTRANGE(""https://docs.google.com/spreadsheets/d/14Bd19lYaqBhU8_DElYkX7l4wRkHqqCUFNJY4AfY3kHU/edit?usp=sharing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3" s="7" t="s">
        <v>10</v>
      </c>
      <c r="H4023" s="7">
        <v>0</v>
      </c>
      <c r="I4023" s="8" t="str">
        <f ca="1">IFERROR(__xludf.DUMMYFUNCTION("IF
(
G4024=""фізична особа""
,
VLOOKUP(H4024,IMPORTRANGE(""https://docs.google.com/spreadsheets/d/14Bd19lYaqBhU8_DElYkX7l4wRkHqqCUFNJY4AfY3kHU/edit?usp=sharing  #gid=0"",""фіз особи new!relations_name""),6,FALSE)
,
(IF
(
G4024=""юридична особа""
,
VLOOKUP"&amp;"(H4024,IMPORTRANGE(""https://docs.google.com/spreadsheets/d/14Bd19lYaqBhU8_DElYkX7l4wRkHqqCUFNJY4AfY3kHU/edit?usp=sharing  #gid=0"",""фіз особи new!relations_name_uo""),7,FALSE)
,
)
))"),"#N/A")</f>
        <v>#N/A</v>
      </c>
      <c r="J4023" s="7" t="s">
        <v>15</v>
      </c>
    </row>
    <row r="4024" spans="1:10" ht="13.2">
      <c r="A4024" s="7">
        <v>4023</v>
      </c>
      <c r="B4024" s="7">
        <v>1</v>
      </c>
      <c r="C4024" s="7" t="s">
        <v>10</v>
      </c>
      <c r="D4024" s="7">
        <v>2516</v>
      </c>
      <c r="E4024" s="7" t="s">
        <v>12</v>
      </c>
      <c r="F4024" s="8" t="str">
        <f ca="1">IFERROR(__xludf.DUMMYFUNCTION("IF
(
C4025=""фізична особа""
,
VLOOKUP(D4025,IMPORTRANGE(""https://docs.google.com/spreadsheets/d/14Bd19lYaqBhU8_DElYkX7l4wRkHqqCUFNJY4AfY3kHU/edit?usp=sharing  #gid=0"",""фіз особи new!relations_name""),6,FALSE)
,
(IF
(
C4025=""юридична особа""
,
VLOOKUP"&amp;"(D4025,IMPORTRANGE(""https://docs.google.com/spreadsheets/d/14Bd19lYaqBhU8_DElYkX7l4wRkHqqCUFNJY4AfY3kHU/edit?usp=sharing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4" s="7" t="s">
        <v>10</v>
      </c>
      <c r="H4024" s="7">
        <v>0</v>
      </c>
      <c r="I4024" s="8" t="str">
        <f ca="1">IFERROR(__xludf.DUMMYFUNCTION("IF
(
G4025=""фізична особа""
,
VLOOKUP(H4025,IMPORTRANGE(""https://docs.google.com/spreadsheets/d/14Bd19lYaqBhU8_DElYkX7l4wRkHqqCUFNJY4AfY3kHU/edit?usp=sharing  #gid=0"",""фіз особи new!relations_name""),6,FALSE)
,
(IF
(
G4025=""юридична особа""
,
VLOOKUP"&amp;"(H4025,IMPORTRANGE(""https://docs.google.com/spreadsheets/d/14Bd19lYaqBhU8_DElYkX7l4wRkHqqCUFNJY4AfY3kHU/edit?usp=sharing  #gid=0"",""фіз особи new!relations_name_uo""),7,FALSE)
,
)
))"),"#N/A")</f>
        <v>#N/A</v>
      </c>
      <c r="J4024" s="7" t="s">
        <v>17</v>
      </c>
    </row>
    <row r="4025" spans="1:10" ht="13.2">
      <c r="A4025" s="7">
        <v>4024</v>
      </c>
      <c r="B4025" s="7">
        <v>1</v>
      </c>
      <c r="C4025" s="7" t="s">
        <v>10</v>
      </c>
      <c r="D4025" s="7">
        <v>2516</v>
      </c>
      <c r="E4025" s="7" t="s">
        <v>12</v>
      </c>
      <c r="F4025" s="8" t="str">
        <f ca="1">IFERROR(__xludf.DUMMYFUNCTION("IF
(
C4026=""фізична особа""
,
VLOOKUP(D4026,IMPORTRANGE(""https://docs.google.com/spreadsheets/d/14Bd19lYaqBhU8_DElYkX7l4wRkHqqCUFNJY4AfY3kHU/edit?usp=sharing  #gid=0"",""фіз особи new!relations_name""),6,FALSE)
,
(IF
(
C4026=""юридична особа""
,
VLOOKUP"&amp;"(D4026,IMPORTRANGE(""https://docs.google.com/spreadsheets/d/14Bd19lYaqBhU8_DElYkX7l4wRkHqqCUFNJY4AfY3kHU/edit?usp=sharing  #gid=0"",""фіз особи new!relations_name_uo""),7,FALSE)
,
)
))"),"МИКОЛАЇВ Олег Олексійович")</f>
        <v>МИКОЛАЇВ Олег Олексійович</v>
      </c>
      <c r="G4025" s="7" t="s">
        <v>10</v>
      </c>
      <c r="H4025" s="7">
        <v>0</v>
      </c>
      <c r="I4025" s="8" t="str">
        <f ca="1">IFERROR(__xludf.DUMMYFUNCTION("IF
(
G4026=""фізична особа""
,
VLOOKUP(H4026,IMPORTRANGE(""https://docs.google.com/spreadsheets/d/14Bd19lYaqBhU8_DElYkX7l4wRkHqqCUFNJY4AfY3kHU/edit?usp=sharing  #gid=0"",""фіз особи new!relations_name""),6,FALSE)
,
(IF
(
G4026=""юридична особа""
,
VLOOKUP"&amp;"(H4026,IMPORTRANGE(""https://docs.google.com/spreadsheets/d/14Bd19lYaqBhU8_DElYkX7l4wRkHqqCUFNJY4AfY3kHU/edit?usp=sharing  #gid=0"",""фіз особи new!relations_name_uo""),7,FALSE)
,
)
))"),"#N/A")</f>
        <v>#N/A</v>
      </c>
      <c r="J4025" s="7" t="s">
        <v>13</v>
      </c>
    </row>
    <row r="4026" spans="1:10" ht="13.2">
      <c r="A4026" s="7">
        <v>4025</v>
      </c>
      <c r="B4026" s="7">
        <v>1</v>
      </c>
      <c r="C4026" s="7" t="s">
        <v>10</v>
      </c>
      <c r="D4026" s="7">
        <v>2517</v>
      </c>
      <c r="E4026" s="7" t="s">
        <v>12</v>
      </c>
      <c r="F4026" s="8" t="str">
        <f ca="1">IFERROR(__xludf.DUMMYFUNCTION("IF
(
C4027=""фізична особа""
,
VLOOKUP(D4027,IMPORTRANGE(""https://docs.google.com/spreadsheets/d/14Bd19lYaqBhU8_DElYkX7l4wRkHqqCUFNJY4AfY3kHU/edit?usp=sharing  #gid=0"",""фіз особи new!relations_name""),6,FALSE)
,
(IF
(
C4027=""юридична особа""
,
VLOOKUP"&amp;"(D4027,IMPORTRANGE(""https://docs.google.com/spreadsheets/d/14Bd19lYaqBhU8_DElYkX7l4wRkHqqCUFNJY4AfY3kHU/edit?usp=sharing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G4026" s="7" t="s">
        <v>10</v>
      </c>
      <c r="H4026" s="7">
        <v>0</v>
      </c>
      <c r="I4026" s="8" t="str">
        <f ca="1">IFERROR(__xludf.DUMMYFUNCTION("IF
(
G4027=""фізична особа""
,
VLOOKUP(H4027,IMPORTRANGE(""https://docs.google.com/spreadsheets/d/14Bd19lYaqBhU8_DElYkX7l4wRkHqqCUFNJY4AfY3kHU/edit?usp=sharing  #gid=0"",""фіз особи new!relations_name""),6,FALSE)
,
(IF
(
G4027=""юридична особа""
,
VLOOKUP"&amp;"(H4027,IMPORTRANGE(""https://docs.google.com/spreadsheets/d/14Bd19lYaqBhU8_DElYkX7l4wRkHqqCUFNJY4AfY3kHU/edit?usp=sharing  #gid=0"",""фіз особи new!relations_name_uo""),7,FALSE)
,
)
))"),"#N/A")</f>
        <v>#N/A</v>
      </c>
      <c r="J4026" s="7" t="s">
        <v>13</v>
      </c>
    </row>
    <row r="4027" spans="1:10" ht="13.2">
      <c r="A4027" s="7">
        <v>4026</v>
      </c>
      <c r="B4027" s="7">
        <v>1</v>
      </c>
      <c r="C4027" s="7" t="s">
        <v>10</v>
      </c>
      <c r="D4027" s="7">
        <v>2517</v>
      </c>
      <c r="E4027" s="7" t="s">
        <v>14</v>
      </c>
      <c r="F4027" s="8" t="str">
        <f ca="1">IFERROR(__xludf.DUMMYFUNCTION("IF
(
C4028=""фізична особа""
,
VLOOKUP(D4028,IMPORTRANGE(""https://docs.google.com/spreadsheets/d/14Bd19lYaqBhU8_DElYkX7l4wRkHqqCUFNJY4AfY3kHU/edit?usp=sharing  #gid=0"",""фіз особи new!relations_name""),6,FALSE)
,
(IF
(
C4028=""юридична особа""
,
VLOOKUP"&amp;"(D4028,IMPORTRANGE(""https://docs.google.com/spreadsheets/d/14Bd19lYaqBhU8_DElYkX7l4wRkHqqCUFNJY4AfY3kHU/edit?usp=sharing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G4027" s="7" t="s">
        <v>10</v>
      </c>
      <c r="H4027" s="7">
        <v>0</v>
      </c>
      <c r="I4027" s="8" t="str">
        <f ca="1">IFERROR(__xludf.DUMMYFUNCTION("IF
(
G4028=""фізична особа""
,
VLOOKUP(H4028,IMPORTRANGE(""https://docs.google.com/spreadsheets/d/14Bd19lYaqBhU8_DElYkX7l4wRkHqqCUFNJY4AfY3kHU/edit?usp=sharing  #gid=0"",""фіз особи new!relations_name""),6,FALSE)
,
(IF
(
G4028=""юридична особа""
,
VLOOKUP"&amp;"(H4028,IMPORTRANGE(""https://docs.google.com/spreadsheets/d/14Bd19lYaqBhU8_DElYkX7l4wRkHqqCUFNJY4AfY3kHU/edit?usp=sharing  #gid=0"",""фіз особи new!relations_name_uo""),7,FALSE)
,
)
))"),"#N/A")</f>
        <v>#N/A</v>
      </c>
      <c r="J4027" s="7" t="s">
        <v>15</v>
      </c>
    </row>
    <row r="4028" spans="1:10" ht="13.2">
      <c r="A4028" s="7">
        <v>4027</v>
      </c>
      <c r="B4028" s="7">
        <v>1</v>
      </c>
      <c r="C4028" s="7" t="s">
        <v>10</v>
      </c>
      <c r="D4028" s="7">
        <v>2518</v>
      </c>
      <c r="E4028" s="7" t="s">
        <v>14</v>
      </c>
      <c r="F4028" s="8" t="str">
        <f ca="1">IFERROR(__xludf.DUMMYFUNCTION("IF
(
C4029=""фізична особа""
,
VLOOKUP(D4029,IMPORTRANGE(""https://docs.google.com/spreadsheets/d/14Bd19lYaqBhU8_DElYkX7l4wRkHqqCUFNJY4AfY3kHU/edit?usp=sharing  #gid=0"",""фіз особи new!relations_name""),6,FALSE)
,
(IF
(
C4029=""юридична особа""
,
VLOOKUP"&amp;"(D4029,IMPORTRANGE(""https://docs.google.com/spreadsheets/d/14Bd19lYaqBhU8_DElYkX7l4wRkHqqCUFNJY4AfY3kHU/edit?usp=sharing  #gid=0"",""фіз особи new!relations_name_uo""),7,FALSE)
,
)
))"),"ОСИПОВ Олександр Михайлович")</f>
        <v>ОСИПОВ Олександр Михайлович</v>
      </c>
      <c r="G4028" s="7" t="s">
        <v>10</v>
      </c>
      <c r="H4028" s="7">
        <v>0</v>
      </c>
      <c r="I4028" s="8" t="str">
        <f ca="1">IFERROR(__xludf.DUMMYFUNCTION("IF
(
G4029=""фізична особа""
,
VLOOKUP(H4029,IMPORTRANGE(""https://docs.google.com/spreadsheets/d/14Bd19lYaqBhU8_DElYkX7l4wRkHqqCUFNJY4AfY3kHU/edit?usp=sharing  #gid=0"",""фіз особи new!relations_name""),6,FALSE)
,
(IF
(
G4029=""юридична особа""
,
VLOOKUP"&amp;"(H4029,IMPORTRANGE(""https://docs.google.com/spreadsheets/d/14Bd19lYaqBhU8_DElYkX7l4wRkHqqCUFNJY4AfY3kHU/edit?usp=sharing  #gid=0"",""фіз особи new!relations_name_uo""),7,FALSE)
,
)
))"),"#N/A")</f>
        <v>#N/A</v>
      </c>
      <c r="J4028" s="7" t="s">
        <v>15</v>
      </c>
    </row>
    <row r="4029" spans="1:10" ht="13.2">
      <c r="A4029" s="7">
        <v>4028</v>
      </c>
      <c r="B4029" s="7">
        <v>1</v>
      </c>
      <c r="C4029" s="7" t="s">
        <v>10</v>
      </c>
      <c r="D4029" s="7">
        <v>2518</v>
      </c>
      <c r="E4029" s="7" t="s">
        <v>12</v>
      </c>
      <c r="F4029" s="8" t="str">
        <f ca="1">IFERROR(__xludf.DUMMYFUNCTION("IF
(
C4030=""фізична особа""
,
VLOOKUP(D4030,IMPORTRANGE(""https://docs.google.com/spreadsheets/d/14Bd19lYaqBhU8_DElYkX7l4wRkHqqCUFNJY4AfY3kHU/edit?usp=sharing  #gid=0"",""фіз особи new!relations_name""),6,FALSE)
,
(IF
(
C4030=""юридична особа""
,
VLOOKUP"&amp;"(D4030,IMPORTRANGE(""https://docs.google.com/spreadsheets/d/14Bd19lYaqBhU8_DElYkX7l4wRkHqqCUFNJY4AfY3kHU/edit?usp=sharing  #gid=0"",""фіз особи new!relations_name_uo""),7,FALSE)
,
)
))"),"ОСИПОВ Олександр Михайлович")</f>
        <v>ОСИПОВ Олександр Михайлович</v>
      </c>
      <c r="G4029" s="7" t="s">
        <v>10</v>
      </c>
      <c r="H4029" s="7">
        <v>0</v>
      </c>
      <c r="I4029" s="8" t="str">
        <f ca="1">IFERROR(__xludf.DUMMYFUNCTION("IF
(
G4030=""фізична особа""
,
VLOOKUP(H4030,IMPORTRANGE(""https://docs.google.com/spreadsheets/d/14Bd19lYaqBhU8_DElYkX7l4wRkHqqCUFNJY4AfY3kHU/edit?usp=sharing  #gid=0"",""фіз особи new!relations_name""),6,FALSE)
,
(IF
(
G4030=""юридична особа""
,
VLOOKUP"&amp;"(H4030,IMPORTRANGE(""https://docs.google.com/spreadsheets/d/14Bd19lYaqBhU8_DElYkX7l4wRkHqqCUFNJY4AfY3kHU/edit?usp=sharing  #gid=0"",""фіз особи new!relations_name_uo""),7,FALSE)
,
)
))"),"#N/A")</f>
        <v>#N/A</v>
      </c>
      <c r="J4029" s="7" t="s">
        <v>13</v>
      </c>
    </row>
    <row r="4030" spans="1:10" ht="13.2">
      <c r="A4030" s="7">
        <v>4029</v>
      </c>
      <c r="B4030" s="7">
        <v>1</v>
      </c>
      <c r="C4030" s="7" t="s">
        <v>10</v>
      </c>
      <c r="D4030" s="7">
        <v>2519</v>
      </c>
      <c r="E4030" s="7" t="s">
        <v>14</v>
      </c>
      <c r="F4030" s="8" t="str">
        <f ca="1">IFERROR(__xludf.DUMMYFUNCTION("IF
(
C4031=""фізична особа""
,
VLOOKUP(D4031,IMPORTRANGE(""https://docs.google.com/spreadsheets/d/14Bd19lYaqBhU8_DElYkX7l4wRkHqqCUFNJY4AfY3kHU/edit?usp=sharing  #gid=0"",""фіз особи new!relations_name""),6,FALSE)
,
(IF
(
C4031=""юридична особа""
,
VLOOKUP"&amp;"(D4031,IMPORTRANGE(""https://docs.google.com/spreadsheets/d/14Bd19lYaqBhU8_DElYkX7l4wRkHqqCUFNJY4AfY3kHU/edit?usp=sharing  #gid=0"",""фіз особи new!relations_name_uo""),7,FALSE)
,
)
))"),"СОЛОДОВ Володимир Вікторович")</f>
        <v>СОЛОДОВ Володимир Вікторович</v>
      </c>
      <c r="G4030" s="7" t="s">
        <v>10</v>
      </c>
      <c r="H4030" s="7">
        <v>0</v>
      </c>
      <c r="I4030" s="8" t="str">
        <f ca="1">IFERROR(__xludf.DUMMYFUNCTION("IF
(
G4031=""фізична особа""
,
VLOOKUP(H4031,IMPORTRANGE(""https://docs.google.com/spreadsheets/d/14Bd19lYaqBhU8_DElYkX7l4wRkHqqCUFNJY4AfY3kHU/edit?usp=sharing  #gid=0"",""фіз особи new!relations_name""),6,FALSE)
,
(IF
(
G4031=""юридична особа""
,
VLOOKUP"&amp;"(H4031,IMPORTRANGE(""https://docs.google.com/spreadsheets/d/14Bd19lYaqBhU8_DElYkX7l4wRkHqqCUFNJY4AfY3kHU/edit?usp=sharing  #gid=0"",""фіз особи new!relations_name_uo""),7,FALSE)
,
)
))"),"#N/A")</f>
        <v>#N/A</v>
      </c>
      <c r="J4030" s="7" t="s">
        <v>15</v>
      </c>
    </row>
    <row r="4031" spans="1:10" ht="13.2">
      <c r="A4031" s="7">
        <v>4030</v>
      </c>
      <c r="B4031" s="7">
        <v>1</v>
      </c>
      <c r="C4031" s="7" t="s">
        <v>10</v>
      </c>
      <c r="D4031" s="7">
        <v>2519</v>
      </c>
      <c r="E4031" s="7" t="s">
        <v>12</v>
      </c>
      <c r="F4031" s="8" t="str">
        <f ca="1">IFERROR(__xludf.DUMMYFUNCTION("IF
(
C4032=""фізична особа""
,
VLOOKUP(D4032,IMPORTRANGE(""https://docs.google.com/spreadsheets/d/14Bd19lYaqBhU8_DElYkX7l4wRkHqqCUFNJY4AfY3kHU/edit?usp=sharing  #gid=0"",""фіз особи new!relations_name""),6,FALSE)
,
(IF
(
C4032=""юридична особа""
,
VLOOKUP"&amp;"(D4032,IMPORTRANGE(""https://docs.google.com/spreadsheets/d/14Bd19lYaqBhU8_DElYkX7l4wRkHqqCUFNJY4AfY3kHU/edit?usp=sharing  #gid=0"",""фіз особи new!relations_name_uo""),7,FALSE)
,
)
))"),"СОЛОДОВ Володимир Вікторович")</f>
        <v>СОЛОДОВ Володимир Вікторович</v>
      </c>
      <c r="G4031" s="7" t="s">
        <v>10</v>
      </c>
      <c r="H4031" s="7">
        <v>0</v>
      </c>
      <c r="I4031" s="8" t="str">
        <f ca="1">IFERROR(__xludf.DUMMYFUNCTION("IF
(
G4032=""фізична особа""
,
VLOOKUP(H4032,IMPORTRANGE(""https://docs.google.com/spreadsheets/d/14Bd19lYaqBhU8_DElYkX7l4wRkHqqCUFNJY4AfY3kHU/edit?usp=sharing  #gid=0"",""фіз особи new!relations_name""),6,FALSE)
,
(IF
(
G4032=""юридична особа""
,
VLOOKUP"&amp;"(H4032,IMPORTRANGE(""https://docs.google.com/spreadsheets/d/14Bd19lYaqBhU8_DElYkX7l4wRkHqqCUFNJY4AfY3kHU/edit?usp=sharing  #gid=0"",""фіз особи new!relations_name_uo""),7,FALSE)
,
)
))"),"#N/A")</f>
        <v>#N/A</v>
      </c>
      <c r="J4031" s="7" t="s">
        <v>17</v>
      </c>
    </row>
    <row r="4032" spans="1:10" ht="13.2">
      <c r="A4032" s="7">
        <v>4031</v>
      </c>
      <c r="B4032" s="7">
        <v>1</v>
      </c>
      <c r="C4032" s="7" t="s">
        <v>10</v>
      </c>
      <c r="D4032" s="7">
        <v>2520</v>
      </c>
      <c r="E4032" s="7" t="s">
        <v>14</v>
      </c>
      <c r="F4032" s="8" t="str">
        <f ca="1">IFERROR(__xludf.DUMMYFUNCTION("IF
(
C4033=""фізична особа""
,
VLOOKUP(D4033,IMPORTRANGE(""https://docs.google.com/spreadsheets/d/14Bd19lYaqBhU8_DElYkX7l4wRkHqqCUFNJY4AfY3kHU/edit?usp=sharing  #gid=0"",""фіз особи new!relations_name""),6,FALSE)
,
(IF
(
C4033=""юридична особа""
,
VLOOKUP"&amp;"(D4033,IMPORTRANGE(""https://docs.google.com/spreadsheets/d/14Bd19lYaqBhU8_DElYkX7l4wRkHqqCUFNJY4AfY3kHU/edit?usp=sharing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G4032" s="7" t="s">
        <v>10</v>
      </c>
      <c r="H4032" s="7">
        <v>0</v>
      </c>
      <c r="I4032" s="8" t="str">
        <f ca="1">IFERROR(__xludf.DUMMYFUNCTION("IF
(
G4033=""фізична особа""
,
VLOOKUP(H4033,IMPORTRANGE(""https://docs.google.com/spreadsheets/d/14Bd19lYaqBhU8_DElYkX7l4wRkHqqCUFNJY4AfY3kHU/edit?usp=sharing  #gid=0"",""фіз особи new!relations_name""),6,FALSE)
,
(IF
(
G4033=""юридична особа""
,
VLOOKUP"&amp;"(H4033,IMPORTRANGE(""https://docs.google.com/spreadsheets/d/14Bd19lYaqBhU8_DElYkX7l4wRkHqqCUFNJY4AfY3kHU/edit?usp=sharing  #gid=0"",""фіз особи new!relations_name_uo""),7,FALSE)
,
)
))"),"#N/A")</f>
        <v>#N/A</v>
      </c>
      <c r="J4032" s="7" t="s">
        <v>15</v>
      </c>
    </row>
    <row r="4033" spans="1:10" ht="13.2">
      <c r="A4033" s="7">
        <v>4032</v>
      </c>
      <c r="B4033" s="7">
        <v>1</v>
      </c>
      <c r="C4033" s="7" t="s">
        <v>10</v>
      </c>
      <c r="D4033" s="7">
        <v>2520</v>
      </c>
      <c r="E4033" s="7" t="s">
        <v>12</v>
      </c>
      <c r="F4033" s="8" t="str">
        <f ca="1">IFERROR(__xludf.DUMMYFUNCTION("IF
(
C4034=""фізична особа""
,
VLOOKUP(D4034,IMPORTRANGE(""https://docs.google.com/spreadsheets/d/14Bd19lYaqBhU8_DElYkX7l4wRkHqqCUFNJY4AfY3kHU/edit?usp=sharing  #gid=0"",""фіз особи new!relations_name""),6,FALSE)
,
(IF
(
C4034=""юридична особа""
,
VLOOKUP"&amp;"(D4034,IMPORTRANGE(""https://docs.google.com/spreadsheets/d/14Bd19lYaqBhU8_DElYkX7l4wRkHqqCUFNJY4AfY3kHU/edit?usp=sharing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G4033" s="7" t="s">
        <v>10</v>
      </c>
      <c r="H4033" s="7">
        <v>0</v>
      </c>
      <c r="I4033" s="8" t="str">
        <f ca="1">IFERROR(__xludf.DUMMYFUNCTION("IF
(
G4034=""фізична особа""
,
VLOOKUP(H4034,IMPORTRANGE(""https://docs.google.com/spreadsheets/d/14Bd19lYaqBhU8_DElYkX7l4wRkHqqCUFNJY4AfY3kHU/edit?usp=sharing  #gid=0"",""фіз особи new!relations_name""),6,FALSE)
,
(IF
(
G4034=""юридична особа""
,
VLOOKUP"&amp;"(H4034,IMPORTRANGE(""https://docs.google.com/spreadsheets/d/14Bd19lYaqBhU8_DElYkX7l4wRkHqqCUFNJY4AfY3kHU/edit?usp=sharing  #gid=0"",""фіз особи new!relations_name_uo""),7,FALSE)
,
)
))"),"#N/A")</f>
        <v>#N/A</v>
      </c>
      <c r="J4033" s="7" t="s">
        <v>17</v>
      </c>
    </row>
    <row r="4034" spans="1:10" ht="13.2">
      <c r="A4034" s="7">
        <v>4033</v>
      </c>
      <c r="B4034" s="7">
        <v>1</v>
      </c>
      <c r="C4034" s="7" t="s">
        <v>10</v>
      </c>
      <c r="D4034" s="7">
        <v>2520</v>
      </c>
      <c r="E4034" s="7" t="s">
        <v>12</v>
      </c>
      <c r="F4034" s="8" t="str">
        <f ca="1">IFERROR(__xludf.DUMMYFUNCTION("IF
(
C4035=""фізична особа""
,
VLOOKUP(D4035,IMPORTRANGE(""https://docs.google.com/spreadsheets/d/14Bd19lYaqBhU8_DElYkX7l4wRkHqqCUFNJY4AfY3kHU/edit?usp=sharing  #gid=0"",""фіз особи new!relations_name""),6,FALSE)
,
(IF
(
C4035=""юридична особа""
,
VLOOKUP"&amp;"(D4035,IMPORTRANGE(""https://docs.google.com/spreadsheets/d/14Bd19lYaqBhU8_DElYkX7l4wRkHqqCUFNJY4AfY3kHU/edit?usp=sharing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G4034" s="7" t="s">
        <v>10</v>
      </c>
      <c r="H4034" s="7">
        <v>0</v>
      </c>
      <c r="I4034" s="8" t="str">
        <f ca="1">IFERROR(__xludf.DUMMYFUNCTION("IF
(
G4035=""фізична особа""
,
VLOOKUP(H4035,IMPORTRANGE(""https://docs.google.com/spreadsheets/d/14Bd19lYaqBhU8_DElYkX7l4wRkHqqCUFNJY4AfY3kHU/edit?usp=sharing  #gid=0"",""фіз особи new!relations_name""),6,FALSE)
,
(IF
(
G4035=""юридична особа""
,
VLOOKUP"&amp;"(H4035,IMPORTRANGE(""https://docs.google.com/spreadsheets/d/14Bd19lYaqBhU8_DElYkX7l4wRkHqqCUFNJY4AfY3kHU/edit?usp=sharing  #gid=0"",""фіз особи new!relations_name_uo""),7,FALSE)
,
)
))"),"#N/A")</f>
        <v>#N/A</v>
      </c>
      <c r="J4034" s="7" t="s">
        <v>13</v>
      </c>
    </row>
    <row r="4035" spans="1:10" ht="13.2">
      <c r="A4035" s="7">
        <v>4034</v>
      </c>
      <c r="B4035" s="7">
        <v>1</v>
      </c>
      <c r="C4035" s="7" t="s">
        <v>10</v>
      </c>
      <c r="D4035" s="7">
        <v>2521</v>
      </c>
      <c r="E4035" s="7" t="s">
        <v>14</v>
      </c>
      <c r="F4035" s="8" t="str">
        <f ca="1">IFERROR(__xludf.DUMMYFUNCTION("IF
(
C4036=""фізична особа""
,
VLOOKUP(D4036,IMPORTRANGE(""https://docs.google.com/spreadsheets/d/14Bd19lYaqBhU8_DElYkX7l4wRkHqqCUFNJY4AfY3kHU/edit?usp=sharing  #gid=0"",""фіз особи new!relations_name""),6,FALSE)
,
(IF
(
C4036=""юридична особа""
,
VLOOKUP"&amp;"(D4036,IMPORTRANGE(""https://docs.google.com/spreadsheets/d/14Bd19lYaqBhU8_DElYkX7l4wRkHqqCUFNJY4AfY3kHU/edit?usp=sharing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35" s="7" t="s">
        <v>10</v>
      </c>
      <c r="H4035" s="7">
        <v>23494</v>
      </c>
      <c r="I4035" s="8" t="str">
        <f ca="1">IFERROR(__xludf.DUMMYFUNCTION("IF
(
G4036=""фізична особа""
,
VLOOKUP(H4036,IMPORTRANGE(""https://docs.google.com/spreadsheets/d/14Bd19lYaqBhU8_DElYkX7l4wRkHqqCUFNJY4AfY3kHU/edit?usp=sharing  #gid=0"",""фіз особи new!relations_name""),6,FALSE)
,
(IF
(
G4036=""юридична особа""
,
VLOOKUP"&amp;"(H4036,IMPORTRANGE(""https://docs.google.com/spreadsheets/d/14Bd19lYaqBhU8_DElYkX7l4wRkHqqCUFNJY4AfY3kHU/edit?usp=sharing  #gid=0"",""фіз особи new!relations_name_uo""),7,FALSE)
,
)
))"),"УСС Людмила Прокопівна")</f>
        <v>УСС Людмила Прокопівна</v>
      </c>
      <c r="J4035" s="7" t="s">
        <v>15</v>
      </c>
    </row>
    <row r="4036" spans="1:10" ht="13.2">
      <c r="A4036" s="7">
        <v>4035</v>
      </c>
      <c r="B4036" s="7">
        <v>1</v>
      </c>
      <c r="C4036" s="7" t="s">
        <v>10</v>
      </c>
      <c r="D4036" s="7">
        <v>2521</v>
      </c>
      <c r="E4036" s="7" t="s">
        <v>12</v>
      </c>
      <c r="F4036" s="8" t="str">
        <f ca="1">IFERROR(__xludf.DUMMYFUNCTION("IF
(
C4037=""фізична особа""
,
VLOOKUP(D4037,IMPORTRANGE(""https://docs.google.com/spreadsheets/d/14Bd19lYaqBhU8_DElYkX7l4wRkHqqCUFNJY4AfY3kHU/edit?usp=sharing  #gid=0"",""фіз особи new!relations_name""),6,FALSE)
,
(IF
(
C4037=""юридична особа""
,
VLOOKUP"&amp;"(D4037,IMPORTRANGE(""https://docs.google.com/spreadsheets/d/14Bd19lYaqBhU8_DElYkX7l4wRkHqqCUFNJY4AfY3kHU/edit?usp=sharing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36" s="7" t="s">
        <v>10</v>
      </c>
      <c r="H4036" s="7">
        <v>0</v>
      </c>
      <c r="I4036" s="8" t="str">
        <f ca="1">IFERROR(__xludf.DUMMYFUNCTION("IF
(
G4037=""фізична особа""
,
VLOOKUP(H4037,IMPORTRANGE(""https://docs.google.com/spreadsheets/d/14Bd19lYaqBhU8_DElYkX7l4wRkHqqCUFNJY4AfY3kHU/edit?usp=sharing  #gid=0"",""фіз особи new!relations_name""),6,FALSE)
,
(IF
(
G4037=""юридична особа""
,
VLOOKUP"&amp;"(H4037,IMPORTRANGE(""https://docs.google.com/spreadsheets/d/14Bd19lYaqBhU8_DElYkX7l4wRkHqqCUFNJY4AfY3kHU/edit?usp=sharing  #gid=0"",""фіз особи new!relations_name_uo""),7,FALSE)
,
)
))"),"#N/A")</f>
        <v>#N/A</v>
      </c>
      <c r="J4036" s="7" t="s">
        <v>13</v>
      </c>
    </row>
    <row r="4037" spans="1:10" ht="13.2">
      <c r="A4037" s="7">
        <v>4036</v>
      </c>
      <c r="B4037" s="7">
        <v>1</v>
      </c>
      <c r="C4037" s="7" t="s">
        <v>10</v>
      </c>
      <c r="D4037" s="7">
        <v>2521</v>
      </c>
      <c r="E4037" s="7" t="s">
        <v>12</v>
      </c>
      <c r="F4037" s="8" t="str">
        <f ca="1">IFERROR(__xludf.DUMMYFUNCTION("IF
(
C4038=""фізична особа""
,
VLOOKUP(D4038,IMPORTRANGE(""https://docs.google.com/spreadsheets/d/14Bd19lYaqBhU8_DElYkX7l4wRkHqqCUFNJY4AfY3kHU/edit?usp=sharing  #gid=0"",""фіз особи new!relations_name""),6,FALSE)
,
(IF
(
C4038=""юридична особа""
,
VLOOKUP"&amp;"(D4038,IMPORTRANGE(""https://docs.google.com/spreadsheets/d/14Bd19lYaqBhU8_DElYkX7l4wRkHqqCUFNJY4AfY3kHU/edit?usp=sharing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37" s="7" t="s">
        <v>10</v>
      </c>
      <c r="H4037" s="7">
        <v>15555</v>
      </c>
      <c r="I4037" s="8" t="str">
        <f ca="1">IFERROR(__xludf.DUMMYFUNCTION("IF
(
G4038=""фізична особа""
,
VLOOKUP(H4038,IMPORTRANGE(""https://docs.google.com/spreadsheets/d/14Bd19lYaqBhU8_DElYkX7l4wRkHqqCUFNJY4AfY3kHU/edit?usp=sharing  #gid=0"",""фіз особи new!relations_name""),6,FALSE)
,
(IF
(
G4038=""юридична особа""
,
VLOOKUP"&amp;"(H4038,IMPORTRANGE(""https://docs.google.com/spreadsheets/d/14Bd19lYaqBhU8_DElYkX7l4wRkHqqCUFNJY4AfY3kHU/edit?usp=sharing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J4037" s="7" t="s">
        <v>17</v>
      </c>
    </row>
    <row r="4038" spans="1:10" ht="13.2">
      <c r="A4038" s="7">
        <v>4037</v>
      </c>
      <c r="B4038" s="7">
        <v>1</v>
      </c>
      <c r="C4038" s="7" t="s">
        <v>10</v>
      </c>
      <c r="D4038" s="7">
        <v>2521</v>
      </c>
      <c r="E4038" s="7" t="s">
        <v>12</v>
      </c>
      <c r="F4038" s="8" t="str">
        <f ca="1">IFERROR(__xludf.DUMMYFUNCTION("IF
(
C4039=""фізична особа""
,
VLOOKUP(D4039,IMPORTRANGE(""https://docs.google.com/spreadsheets/d/14Bd19lYaqBhU8_DElYkX7l4wRkHqqCUFNJY4AfY3kHU/edit?usp=sharing  #gid=0"",""фіз особи new!relations_name""),6,FALSE)
,
(IF
(
C4039=""юридична особа""
,
VLOOKUP"&amp;"(D4039,IMPORTRANGE(""https://docs.google.com/spreadsheets/d/14Bd19lYaqBhU8_DElYkX7l4wRkHqqCUFNJY4AfY3kHU/edit?usp=sharing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38" s="7" t="s">
        <v>10</v>
      </c>
      <c r="H4038" s="7">
        <v>0</v>
      </c>
      <c r="I4038" s="8" t="str">
        <f ca="1">IFERROR(__xludf.DUMMYFUNCTION("IF
(
G4039=""фізична особа""
,
VLOOKUP(H4039,IMPORTRANGE(""https://docs.google.com/spreadsheets/d/14Bd19lYaqBhU8_DElYkX7l4wRkHqqCUFNJY4AfY3kHU/edit?usp=sharing  #gid=0"",""фіз особи new!relations_name""),6,FALSE)
,
(IF
(
G4039=""юридична особа""
,
VLOOKUP"&amp;"(H4039,IMPORTRANGE(""https://docs.google.com/spreadsheets/d/14Bd19lYaqBhU8_DElYkX7l4wRkHqqCUFNJY4AfY3kHU/edit?usp=sharing  #gid=0"",""фіз особи new!relations_name_uo""),7,FALSE)
,
)
))"),"#N/A")</f>
        <v>#N/A</v>
      </c>
      <c r="J4038" s="7" t="s">
        <v>13</v>
      </c>
    </row>
    <row r="4039" spans="1:10" ht="13.2">
      <c r="A4039" s="7">
        <v>4038</v>
      </c>
      <c r="B4039" s="7">
        <v>1</v>
      </c>
      <c r="C4039" s="7" t="s">
        <v>10</v>
      </c>
      <c r="D4039" s="7">
        <v>2521</v>
      </c>
      <c r="E4039" s="7" t="s">
        <v>18</v>
      </c>
      <c r="F4039" s="8" t="str">
        <f ca="1">IFERROR(__xludf.DUMMYFUNCTION("IF
(
C4040=""фізична особа""
,
VLOOKUP(D4040,IMPORTRANGE(""https://docs.google.com/spreadsheets/d/14Bd19lYaqBhU8_DElYkX7l4wRkHqqCUFNJY4AfY3kHU/edit?usp=sharing  #gid=0"",""фіз особи new!relations_name""),6,FALSE)
,
(IF
(
C4040=""юридична особа""
,
VLOOKUP"&amp;"(D4040,IMPORTRANGE(""https://docs.google.com/spreadsheets/d/14Bd19lYaqBhU8_DElYkX7l4wRkHqqCUFNJY4AfY3kHU/edit?usp=sharing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39" s="7" t="s">
        <v>10</v>
      </c>
      <c r="H4039" s="7">
        <v>15560</v>
      </c>
      <c r="I4039" s="8" t="str">
        <f ca="1">IFERROR(__xludf.DUMMYFUNCTION("IF
(
G4040=""фізична особа""
,
VLOOKUP(H4040,IMPORTRANGE(""https://docs.google.com/spreadsheets/d/14Bd19lYaqBhU8_DElYkX7l4wRkHqqCUFNJY4AfY3kHU/edit?usp=sharing  #gid=0"",""фіз особи new!relations_name""),6,FALSE)
,
(IF
(
G4040=""юридична особа""
,
VLOOKUP"&amp;"(H4040,IMPORTRANGE(""https://docs.google.com/spreadsheets/d/14Bd19lYaqBhU8_DElYkX7l4wRkHqqCUFNJY4AfY3kHU/edit?usp=sharing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J4039" s="7" t="s">
        <v>18</v>
      </c>
    </row>
    <row r="4040" spans="1:10" ht="13.2">
      <c r="A4040" s="7">
        <v>4039</v>
      </c>
      <c r="B4040" s="7">
        <v>1</v>
      </c>
      <c r="C4040" s="7" t="s">
        <v>10</v>
      </c>
      <c r="D4040" s="7">
        <v>2521</v>
      </c>
      <c r="E4040" s="7" t="s">
        <v>19</v>
      </c>
      <c r="F4040" s="8" t="str">
        <f ca="1">IFERROR(__xludf.DUMMYFUNCTION("IF
(
C4041=""фізична особа""
,
VLOOKUP(D4041,IMPORTRANGE(""https://docs.google.com/spreadsheets/d/14Bd19lYaqBhU8_DElYkX7l4wRkHqqCUFNJY4AfY3kHU/edit?usp=sharing  #gid=0"",""фіз особи new!relations_name""),6,FALSE)
,
(IF
(
C4041=""юридична особа""
,
VLOOKUP"&amp;"(D4041,IMPORTRANGE(""https://docs.google.com/spreadsheets/d/14Bd19lYaqBhU8_DElYkX7l4wRkHqqCUFNJY4AfY3kHU/edit?usp=sharing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40" s="7" t="s">
        <v>10</v>
      </c>
      <c r="H4040" s="7">
        <v>23495</v>
      </c>
      <c r="I4040" s="8" t="str">
        <f ca="1">IFERROR(__xludf.DUMMYFUNCTION("IF
(
G4041=""фізична особа""
,
VLOOKUP(H4041,IMPORTRANGE(""https://docs.google.com/spreadsheets/d/14Bd19lYaqBhU8_DElYkX7l4wRkHqqCUFNJY4AfY3kHU/edit?usp=sharing  #gid=0"",""фіз особи new!relations_name""),6,FALSE)
,
(IF
(
G4041=""юридична особа""
,
VLOOKUP"&amp;"(H4041,IMPORTRANGE(""https://docs.google.com/spreadsheets/d/14Bd19lYaqBhU8_DElYkX7l4wRkHqqCUFNJY4AfY3kHU/edit?usp=sharing  #gid=0"",""фіз особи new!relations_name_uo""),7,FALSE)
,
)
))"),"УСС Оксана Владиславівна")</f>
        <v>УСС Оксана Владиславівна</v>
      </c>
      <c r="J4040" s="7" t="s">
        <v>22</v>
      </c>
    </row>
    <row r="4041" spans="1:10" ht="13.2">
      <c r="A4041" s="7">
        <v>4040</v>
      </c>
      <c r="B4041" s="7">
        <v>1</v>
      </c>
      <c r="C4041" s="7" t="s">
        <v>10</v>
      </c>
      <c r="D4041" s="7">
        <v>2521</v>
      </c>
      <c r="E4041" s="7" t="s">
        <v>19</v>
      </c>
      <c r="F4041" s="8" t="str">
        <f ca="1">IFERROR(__xludf.DUMMYFUNCTION("IF
(
C4042=""фізична особа""
,
VLOOKUP(D4042,IMPORTRANGE(""https://docs.google.com/spreadsheets/d/14Bd19lYaqBhU8_DElYkX7l4wRkHqqCUFNJY4AfY3kHU/edit?usp=sharing  #gid=0"",""фіз особи new!relations_name""),6,FALSE)
,
(IF
(
C4042=""юридична особа""
,
VLOOKUP"&amp;"(D4042,IMPORTRANGE(""https://docs.google.com/spreadsheets/d/14Bd19lYaqBhU8_DElYkX7l4wRkHqqCUFNJY4AfY3kHU/edit?usp=sharing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41" s="7" t="s">
        <v>10</v>
      </c>
      <c r="H4041" s="7">
        <v>0</v>
      </c>
      <c r="I4041" s="8" t="str">
        <f ca="1">IFERROR(__xludf.DUMMYFUNCTION("IF
(
G4042=""фізична особа""
,
VLOOKUP(H4042,IMPORTRANGE(""https://docs.google.com/spreadsheets/d/14Bd19lYaqBhU8_DElYkX7l4wRkHqqCUFNJY4AfY3kHU/edit?usp=sharing  #gid=0"",""фіз особи new!relations_name""),6,FALSE)
,
(IF
(
G4042=""юридична особа""
,
VLOOKUP"&amp;"(H4042,IMPORTRANGE(""https://docs.google.com/spreadsheets/d/14Bd19lYaqBhU8_DElYkX7l4wRkHqqCUFNJY4AfY3kHU/edit?usp=sharing  #gid=0"",""фіз особи new!relations_name_uo""),7,FALSE)
,
)
))"),"#N/A")</f>
        <v>#N/A</v>
      </c>
      <c r="J4041" s="7" t="s">
        <v>22</v>
      </c>
    </row>
    <row r="4042" spans="1:10" ht="13.2">
      <c r="A4042" s="7">
        <v>4041</v>
      </c>
      <c r="B4042" s="7">
        <v>1</v>
      </c>
      <c r="C4042" s="7" t="s">
        <v>10</v>
      </c>
      <c r="D4042" s="7">
        <v>2521</v>
      </c>
      <c r="E4042" s="7" t="s">
        <v>65</v>
      </c>
      <c r="F4042" s="8" t="str">
        <f ca="1">IFERROR(__xludf.DUMMYFUNCTION("IF
(
C4043=""фізична особа""
,
VLOOKUP(D4043,IMPORTRANGE(""https://docs.google.com/spreadsheets/d/14Bd19lYaqBhU8_DElYkX7l4wRkHqqCUFNJY4AfY3kHU/edit?usp=sharing  #gid=0"",""фіз особи new!relations_name""),6,FALSE)
,
(IF
(
C4043=""юридична особа""
,
VLOOKUP"&amp;"(D4043,IMPORTRANGE(""https://docs.google.com/spreadsheets/d/14Bd19lYaqBhU8_DElYkX7l4wRkHqqCUFNJY4AfY3kHU/edit?usp=sharing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42" s="7" t="s">
        <v>10</v>
      </c>
      <c r="H4042" s="7">
        <v>7289</v>
      </c>
      <c r="I4042" s="8" t="str">
        <f ca="1">IFERROR(__xludf.DUMMYFUNCTION("IF
(
G4043=""фізична особа""
,
VLOOKUP(H4043,IMPORTRANGE(""https://docs.google.com/spreadsheets/d/14Bd19lYaqBhU8_DElYkX7l4wRkHqqCUFNJY4AfY3kHU/edit?usp=sharing  #gid=0"",""фіз особи new!relations_name""),6,FALSE)
,
(IF
(
G4043=""юридична особа""
,
VLOOKUP"&amp;"(H4043,IMPORTRANGE(""https://docs.google.com/spreadsheets/d/14Bd19lYaqBhU8_DElYkX7l4wRkHqqCUFNJY4AfY3kHU/edit?usp=sharing  #gid=0"",""фіз особи new!relations_name_uo""),7,FALSE)
,
)
))"),"ЛЕЙЗЕНБЕРГ Олександр Михайлович")</f>
        <v>ЛЕЙЗЕНБЕРГ Олександр Михайлович</v>
      </c>
      <c r="J4042" s="7" t="s">
        <v>65</v>
      </c>
    </row>
    <row r="4043" spans="1:10" ht="13.2">
      <c r="A4043" s="7">
        <v>4042</v>
      </c>
      <c r="B4043" s="7">
        <v>1</v>
      </c>
      <c r="C4043" s="7" t="s">
        <v>10</v>
      </c>
      <c r="D4043" s="7">
        <v>2521</v>
      </c>
      <c r="E4043" s="7" t="s">
        <v>65</v>
      </c>
      <c r="F4043" s="8" t="str">
        <f ca="1">IFERROR(__xludf.DUMMYFUNCTION("IF
(
C4044=""фізична особа""
,
VLOOKUP(D4044,IMPORTRANGE(""https://docs.google.com/spreadsheets/d/14Bd19lYaqBhU8_DElYkX7l4wRkHqqCUFNJY4AfY3kHU/edit?usp=sharing  #gid=0"",""фіз особи new!relations_name""),6,FALSE)
,
(IF
(
C4044=""юридична особа""
,
VLOOKUP"&amp;"(D4044,IMPORTRANGE(""https://docs.google.com/spreadsheets/d/14Bd19lYaqBhU8_DElYkX7l4wRkHqqCUFNJY4AfY3kHU/edit?usp=sharing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G4043" s="7" t="s">
        <v>10</v>
      </c>
      <c r="H4043" s="7">
        <v>15558</v>
      </c>
      <c r="I4043" s="8" t="str">
        <f ca="1">IFERROR(__xludf.DUMMYFUNCTION("IF
(
G4044=""фізична особа""
,
VLOOKUP(H4044,IMPORTRANGE(""https://docs.google.com/spreadsheets/d/14Bd19lYaqBhU8_DElYkX7l4wRkHqqCUFNJY4AfY3kHU/edit?usp=sharing  #gid=0"",""фіз особи new!relations_name""),6,FALSE)
,
(IF
(
G4044=""юридична особа""
,
VLOOKUP"&amp;"(H4044,IMPORTRANGE(""https://docs.google.com/spreadsheets/d/14Bd19lYaqBhU8_DElYkX7l4wRkHqqCUFNJY4AfY3kHU/edit?usp=sharing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J4043" s="7" t="s">
        <v>65</v>
      </c>
    </row>
    <row r="4044" spans="1:10" ht="13.2">
      <c r="A4044" s="7">
        <v>4043</v>
      </c>
      <c r="B4044" s="7">
        <v>1</v>
      </c>
      <c r="C4044" s="7" t="s">
        <v>10</v>
      </c>
      <c r="D4044" s="7">
        <v>2523</v>
      </c>
      <c r="E4044" s="7" t="s">
        <v>14</v>
      </c>
      <c r="F4044" s="8" t="str">
        <f ca="1">IFERROR(__xludf.DUMMYFUNCTION("IF
(
C4045=""фізична особа""
,
VLOOKUP(D4045,IMPORTRANGE(""https://docs.google.com/spreadsheets/d/14Bd19lYaqBhU8_DElYkX7l4wRkHqqCUFNJY4AfY3kHU/edit?usp=sharing  #gid=0"",""фіз особи new!relations_name""),6,FALSE)
,
(IF
(
C4045=""юридична особа""
,
VLOOKUP"&amp;"(D4045,IMPORTRANGE(""https://docs.google.com/spreadsheets/d/14Bd19lYaqBhU8_DElYkX7l4wRkHqqCUFNJY4AfY3kHU/edit?usp=sharing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G4044" s="7" t="s">
        <v>10</v>
      </c>
      <c r="H4044" s="7">
        <v>15559</v>
      </c>
      <c r="I4044" s="8" t="str">
        <f ca="1">IFERROR(__xludf.DUMMYFUNCTION("IF
(
G4045=""фізична особа""
,
VLOOKUP(H4045,IMPORTRANGE(""https://docs.google.com/spreadsheets/d/14Bd19lYaqBhU8_DElYkX7l4wRkHqqCUFNJY4AfY3kHU/edit?usp=sharing  #gid=0"",""фіз особи new!relations_name""),6,FALSE)
,
(IF
(
G4045=""юридична особа""
,
VLOOKUP"&amp;"(H4045,IMPORTRANGE(""https://docs.google.com/spreadsheets/d/14Bd19lYaqBhU8_DElYkX7l4wRkHqqCUFNJY4AfY3kHU/edit?usp=sharing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J4044" s="7" t="s">
        <v>15</v>
      </c>
    </row>
    <row r="4045" spans="1:10" ht="13.2">
      <c r="A4045" s="7">
        <v>4044</v>
      </c>
      <c r="B4045" s="7">
        <v>1</v>
      </c>
      <c r="C4045" s="7" t="s">
        <v>10</v>
      </c>
      <c r="D4045" s="7">
        <v>2523</v>
      </c>
      <c r="E4045" s="7" t="s">
        <v>12</v>
      </c>
      <c r="F4045" s="8" t="str">
        <f ca="1">IFERROR(__xludf.DUMMYFUNCTION("IF
(
C4046=""фізична особа""
,
VLOOKUP(D4046,IMPORTRANGE(""https://docs.google.com/spreadsheets/d/14Bd19lYaqBhU8_DElYkX7l4wRkHqqCUFNJY4AfY3kHU/edit?usp=sharing  #gid=0"",""фіз особи new!relations_name""),6,FALSE)
,
(IF
(
C4046=""юридична особа""
,
VLOOKUP"&amp;"(D4046,IMPORTRANGE(""https://docs.google.com/spreadsheets/d/14Bd19lYaqBhU8_DElYkX7l4wRkHqqCUFNJY4AfY3kHU/edit?usp=sharing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G4045" s="7" t="s">
        <v>10</v>
      </c>
      <c r="H4045" s="7">
        <v>15556</v>
      </c>
      <c r="I4045" s="8" t="str">
        <f ca="1">IFERROR(__xludf.DUMMYFUNCTION("IF
(
G4046=""фізична особа""
,
VLOOKUP(H4046,IMPORTRANGE(""https://docs.google.com/spreadsheets/d/14Bd19lYaqBhU8_DElYkX7l4wRkHqqCUFNJY4AfY3kHU/edit?usp=sharing  #gid=0"",""фіз особи new!relations_name""),6,FALSE)
,
(IF
(
G4046=""юридична особа""
,
VLOOKUP"&amp;"(H4046,IMPORTRANGE(""https://docs.google.com/spreadsheets/d/14Bd19lYaqBhU8_DElYkX7l4wRkHqqCUFNJY4AfY3kHU/edit?usp=sharing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J4045" s="7" t="s">
        <v>17</v>
      </c>
    </row>
    <row r="4046" spans="1:10" ht="13.2">
      <c r="A4046" s="7">
        <v>4045</v>
      </c>
      <c r="B4046" s="7">
        <v>1</v>
      </c>
      <c r="C4046" s="7" t="s">
        <v>10</v>
      </c>
      <c r="D4046" s="7">
        <v>2523</v>
      </c>
      <c r="E4046" s="7" t="s">
        <v>12</v>
      </c>
      <c r="F4046" s="8" t="str">
        <f ca="1">IFERROR(__xludf.DUMMYFUNCTION("IF
(
C4047=""фізична особа""
,
VLOOKUP(D4047,IMPORTRANGE(""https://docs.google.com/spreadsheets/d/14Bd19lYaqBhU8_DElYkX7l4wRkHqqCUFNJY4AfY3kHU/edit?usp=sharing  #gid=0"",""фіз особи new!relations_name""),6,FALSE)
,
(IF
(
C4047=""юридична особа""
,
VLOOKUP"&amp;"(D4047,IMPORTRANGE(""https://docs.google.com/spreadsheets/d/14Bd19lYaqBhU8_DElYkX7l4wRkHqqCUFNJY4AfY3kHU/edit?usp=sharing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G4046" s="7" t="s">
        <v>10</v>
      </c>
      <c r="H4046" s="7">
        <v>0</v>
      </c>
      <c r="I4046" s="8" t="str">
        <f ca="1">IFERROR(__xludf.DUMMYFUNCTION("IF
(
G4047=""фізична особа""
,
VLOOKUP(H4047,IMPORTRANGE(""https://docs.google.com/spreadsheets/d/14Bd19lYaqBhU8_DElYkX7l4wRkHqqCUFNJY4AfY3kHU/edit?usp=sharing  #gid=0"",""фіз особи new!relations_name""),6,FALSE)
,
(IF
(
G4047=""юридична особа""
,
VLOOKUP"&amp;"(H4047,IMPORTRANGE(""https://docs.google.com/spreadsheets/d/14Bd19lYaqBhU8_DElYkX7l4wRkHqqCUFNJY4AfY3kHU/edit?usp=sharing  #gid=0"",""фіз особи new!relations_name_uo""),7,FALSE)
,
)
))"),"#N/A")</f>
        <v>#N/A</v>
      </c>
      <c r="J4046" s="7" t="s">
        <v>13</v>
      </c>
    </row>
    <row r="4047" spans="1:10" ht="13.2">
      <c r="A4047" s="7">
        <v>4046</v>
      </c>
      <c r="B4047" s="7">
        <v>1</v>
      </c>
      <c r="C4047" s="7" t="s">
        <v>10</v>
      </c>
      <c r="D4047" s="7">
        <v>2523</v>
      </c>
      <c r="E4047" s="7" t="s">
        <v>18</v>
      </c>
      <c r="F4047" s="8" t="str">
        <f ca="1">IFERROR(__xludf.DUMMYFUNCTION("IF
(
C4048=""фізична особа""
,
VLOOKUP(D4048,IMPORTRANGE(""https://docs.google.com/spreadsheets/d/14Bd19lYaqBhU8_DElYkX7l4wRkHqqCUFNJY4AfY3kHU/edit?usp=sharing  #gid=0"",""фіз особи new!relations_name""),6,FALSE)
,
(IF
(
C4048=""юридична особа""
,
VLOOKUP"&amp;"(D4048,IMPORTRANGE(""https://docs.google.com/spreadsheets/d/14Bd19lYaqBhU8_DElYkX7l4wRkHqqCUFNJY4AfY3kHU/edit?usp=sharing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G4047" s="7" t="s">
        <v>10</v>
      </c>
      <c r="H4047" s="7">
        <v>15557</v>
      </c>
      <c r="I4047" s="8" t="str">
        <f ca="1">IFERROR(__xludf.DUMMYFUNCTION("IF
(
G4048=""фізична особа""
,
VLOOKUP(H4048,IMPORTRANGE(""https://docs.google.com/spreadsheets/d/14Bd19lYaqBhU8_DElYkX7l4wRkHqqCUFNJY4AfY3kHU/edit?usp=sharing  #gid=0"",""фіз особи new!relations_name""),6,FALSE)
,
(IF
(
G4048=""юридична особа""
,
VLOOKUP"&amp;"(H4048,IMPORTRANGE(""https://docs.google.com/spreadsheets/d/14Bd19lYaqBhU8_DElYkX7l4wRkHqqCUFNJY4AfY3kHU/edit?usp=sharing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J4047" s="7" t="s">
        <v>31</v>
      </c>
    </row>
    <row r="4048" spans="1:10" ht="13.2">
      <c r="A4048" s="7">
        <v>4047</v>
      </c>
      <c r="B4048" s="7">
        <v>1</v>
      </c>
      <c r="C4048" s="7" t="s">
        <v>10</v>
      </c>
      <c r="D4048" s="7">
        <v>2524</v>
      </c>
      <c r="E4048" s="7" t="s">
        <v>14</v>
      </c>
      <c r="F4048" s="8" t="str">
        <f ca="1">IFERROR(__xludf.DUMMYFUNCTION("IF
(
C4049=""фізична особа""
,
VLOOKUP(D4049,IMPORTRANGE(""https://docs.google.com/spreadsheets/d/14Bd19lYaqBhU8_DElYkX7l4wRkHqqCUFNJY4AfY3kHU/edit?usp=sharing  #gid=0"",""фіз особи new!relations_name""),6,FALSE)
,
(IF
(
C4049=""юридична особа""
,
VLOOKUP"&amp;"(D4049,IMPORTRANGE(""https://docs.google.com/spreadsheets/d/14Bd19lYaqBhU8_DElYkX7l4wRkHqqCUFNJY4AfY3kHU/edit?usp=sharing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G4048" s="7" t="s">
        <v>10</v>
      </c>
      <c r="H4048" s="7">
        <v>4913</v>
      </c>
      <c r="I4048" s="8" t="str">
        <f ca="1">IFERROR(__xludf.DUMMYFUNCTION("IF
(
G4049=""фізична особа""
,
VLOOKUP(H4049,IMPORTRANGE(""https://docs.google.com/spreadsheets/d/14Bd19lYaqBhU8_DElYkX7l4wRkHqqCUFNJY4AfY3kHU/edit?usp=sharing  #gid=0"",""фіз особи new!relations_name""),6,FALSE)
,
(IF
(
G4049=""юридична особа""
,
VLOOKUP"&amp;"(H4049,IMPORTRANGE(""https://docs.google.com/spreadsheets/d/14Bd19lYaqBhU8_DElYkX7l4wRkHqqCUFNJY4AfY3kHU/edit?usp=sharing  #gid=0"",""фіз особи new!relations_name_uo""),7,FALSE)
,
)
))"),"ВЛАДІМІРОВА Наталія Олександрівна")</f>
        <v>ВЛАДІМІРОВА Наталія Олександрівна</v>
      </c>
      <c r="J4048" s="7" t="s">
        <v>15</v>
      </c>
    </row>
    <row r="4049" spans="1:10" ht="13.2">
      <c r="A4049" s="7">
        <v>4048</v>
      </c>
      <c r="B4049" s="7">
        <v>1</v>
      </c>
      <c r="C4049" s="7" t="s">
        <v>10</v>
      </c>
      <c r="D4049" s="7">
        <v>2524</v>
      </c>
      <c r="E4049" s="7" t="s">
        <v>12</v>
      </c>
      <c r="F4049" s="8" t="str">
        <f ca="1">IFERROR(__xludf.DUMMYFUNCTION("IF
(
C4050=""фізична особа""
,
VLOOKUP(D4050,IMPORTRANGE(""https://docs.google.com/spreadsheets/d/14Bd19lYaqBhU8_DElYkX7l4wRkHqqCUFNJY4AfY3kHU/edit?usp=sharing  #gid=0"",""фіз особи new!relations_name""),6,FALSE)
,
(IF
(
C4050=""юридична особа""
,
VLOOKUP"&amp;"(D4050,IMPORTRANGE(""https://docs.google.com/spreadsheets/d/14Bd19lYaqBhU8_DElYkX7l4wRkHqqCUFNJY4AfY3kHU/edit?usp=sharing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G4049" s="7" t="s">
        <v>10</v>
      </c>
      <c r="H4049" s="7">
        <v>0</v>
      </c>
      <c r="I4049" s="8" t="str">
        <f ca="1">IFERROR(__xludf.DUMMYFUNCTION("IF
(
G4050=""фізична особа""
,
VLOOKUP(H4050,IMPORTRANGE(""https://docs.google.com/spreadsheets/d/14Bd19lYaqBhU8_DElYkX7l4wRkHqqCUFNJY4AfY3kHU/edit?usp=sharing  #gid=0"",""фіз особи new!relations_name""),6,FALSE)
,
(IF
(
G4050=""юридична особа""
,
VLOOKUP"&amp;"(H4050,IMPORTRANGE(""https://docs.google.com/spreadsheets/d/14Bd19lYaqBhU8_DElYkX7l4wRkHqqCUFNJY4AfY3kHU/edit?usp=sharing  #gid=0"",""фіз особи new!relations_name_uo""),7,FALSE)
,
)
))"),"#N/A")</f>
        <v>#N/A</v>
      </c>
      <c r="J4049" s="7" t="s">
        <v>17</v>
      </c>
    </row>
    <row r="4050" spans="1:10" ht="13.2">
      <c r="A4050" s="7">
        <v>4049</v>
      </c>
      <c r="B4050" s="7">
        <v>1</v>
      </c>
      <c r="C4050" s="7" t="s">
        <v>10</v>
      </c>
      <c r="D4050" s="7">
        <v>2524</v>
      </c>
      <c r="E4050" s="7" t="s">
        <v>12</v>
      </c>
      <c r="F4050" s="8" t="str">
        <f ca="1">IFERROR(__xludf.DUMMYFUNCTION("IF
(
C4051=""фізична особа""
,
VLOOKUP(D4051,IMPORTRANGE(""https://docs.google.com/spreadsheets/d/14Bd19lYaqBhU8_DElYkX7l4wRkHqqCUFNJY4AfY3kHU/edit?usp=sharing  #gid=0"",""фіз особи new!relations_name""),6,FALSE)
,
(IF
(
C4051=""юридична особа""
,
VLOOKUP"&amp;"(D4051,IMPORTRANGE(""https://docs.google.com/spreadsheets/d/14Bd19lYaqBhU8_DElYkX7l4wRkHqqCUFNJY4AfY3kHU/edit?usp=sharing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G4050" s="7" t="s">
        <v>10</v>
      </c>
      <c r="H4050" s="7">
        <v>0</v>
      </c>
      <c r="I4050" s="8" t="str">
        <f ca="1">IFERROR(__xludf.DUMMYFUNCTION("IF
(
G4051=""фізична особа""
,
VLOOKUP(H4051,IMPORTRANGE(""https://docs.google.com/spreadsheets/d/14Bd19lYaqBhU8_DElYkX7l4wRkHqqCUFNJY4AfY3kHU/edit?usp=sharing  #gid=0"",""фіз особи new!relations_name""),6,FALSE)
,
(IF
(
G4051=""юридична особа""
,
VLOOKUP"&amp;"(H4051,IMPORTRANGE(""https://docs.google.com/spreadsheets/d/14Bd19lYaqBhU8_DElYkX7l4wRkHqqCUFNJY4AfY3kHU/edit?usp=sharing  #gid=0"",""фіз особи new!relations_name_uo""),7,FALSE)
,
)
))"),"#N/A")</f>
        <v>#N/A</v>
      </c>
      <c r="J4050" s="7" t="s">
        <v>17</v>
      </c>
    </row>
    <row r="4051" spans="1:10" ht="13.2">
      <c r="A4051" s="7">
        <v>4050</v>
      </c>
      <c r="B4051" s="7">
        <v>1</v>
      </c>
      <c r="C4051" s="7" t="s">
        <v>10</v>
      </c>
      <c r="D4051" s="7">
        <v>2524</v>
      </c>
      <c r="E4051" s="7" t="s">
        <v>12</v>
      </c>
      <c r="F4051" s="8" t="str">
        <f ca="1">IFERROR(__xludf.DUMMYFUNCTION("IF
(
C4052=""фізична особа""
,
VLOOKUP(D4052,IMPORTRANGE(""https://docs.google.com/spreadsheets/d/14Bd19lYaqBhU8_DElYkX7l4wRkHqqCUFNJY4AfY3kHU/edit?usp=sharing  #gid=0"",""фіз особи new!relations_name""),6,FALSE)
,
(IF
(
C4052=""юридична особа""
,
VLOOKUP"&amp;"(D4052,IMPORTRANGE(""https://docs.google.com/spreadsheets/d/14Bd19lYaqBhU8_DElYkX7l4wRkHqqCUFNJY4AfY3kHU/edit?usp=sharing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G4051" s="7" t="s">
        <v>10</v>
      </c>
      <c r="H4051" s="7">
        <v>0</v>
      </c>
      <c r="I4051" s="8" t="str">
        <f ca="1">IFERROR(__xludf.DUMMYFUNCTION("IF
(
G4052=""фізична особа""
,
VLOOKUP(H4052,IMPORTRANGE(""https://docs.google.com/spreadsheets/d/14Bd19lYaqBhU8_DElYkX7l4wRkHqqCUFNJY4AfY3kHU/edit?usp=sharing  #gid=0"",""фіз особи new!relations_name""),6,FALSE)
,
(IF
(
G4052=""юридична особа""
,
VLOOKUP"&amp;"(H4052,IMPORTRANGE(""https://docs.google.com/spreadsheets/d/14Bd19lYaqBhU8_DElYkX7l4wRkHqqCUFNJY4AfY3kHU/edit?usp=sharing  #gid=0"",""фіз особи new!relations_name_uo""),7,FALSE)
,
)
))"),"#N/A")</f>
        <v>#N/A</v>
      </c>
      <c r="J4051" s="7" t="s">
        <v>17</v>
      </c>
    </row>
    <row r="4052" spans="1:10" ht="13.2">
      <c r="A4052" s="7">
        <v>4051</v>
      </c>
      <c r="B4052" s="7">
        <v>1</v>
      </c>
      <c r="C4052" s="7" t="s">
        <v>10</v>
      </c>
      <c r="D4052" s="7">
        <v>2524</v>
      </c>
      <c r="E4052" s="7" t="s">
        <v>12</v>
      </c>
      <c r="F4052" s="8" t="str">
        <f ca="1">IFERROR(__xludf.DUMMYFUNCTION("IF
(
C4053=""фізична особа""
,
VLOOKUP(D4053,IMPORTRANGE(""https://docs.google.com/spreadsheets/d/14Bd19lYaqBhU8_DElYkX7l4wRkHqqCUFNJY4AfY3kHU/edit?usp=sharing  #gid=0"",""фіз особи new!relations_name""),6,FALSE)
,
(IF
(
C4053=""юридична особа""
,
VLOOKUP"&amp;"(D4053,IMPORTRANGE(""https://docs.google.com/spreadsheets/d/14Bd19lYaqBhU8_DElYkX7l4wRkHqqCUFNJY4AfY3kHU/edit?usp=sharing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G4052" s="7" t="s">
        <v>10</v>
      </c>
      <c r="H4052" s="7">
        <v>0</v>
      </c>
      <c r="I4052" s="8" t="str">
        <f ca="1">IFERROR(__xludf.DUMMYFUNCTION("IF
(
G4053=""фізична особа""
,
VLOOKUP(H4053,IMPORTRANGE(""https://docs.google.com/spreadsheets/d/14Bd19lYaqBhU8_DElYkX7l4wRkHqqCUFNJY4AfY3kHU/edit?usp=sharing  #gid=0"",""фіз особи new!relations_name""),6,FALSE)
,
(IF
(
G4053=""юридична особа""
,
VLOOKUP"&amp;"(H4053,IMPORTRANGE(""https://docs.google.com/spreadsheets/d/14Bd19lYaqBhU8_DElYkX7l4wRkHqqCUFNJY4AfY3kHU/edit?usp=sharing  #gid=0"",""фіз особи new!relations_name_uo""),7,FALSE)
,
)
))"),"#N/A")</f>
        <v>#N/A</v>
      </c>
      <c r="J4052" s="7" t="s">
        <v>13</v>
      </c>
    </row>
    <row r="4053" spans="1:10" ht="13.2">
      <c r="A4053" s="7">
        <v>4052</v>
      </c>
      <c r="B4053" s="7">
        <v>1</v>
      </c>
      <c r="C4053" s="7" t="s">
        <v>10</v>
      </c>
      <c r="D4053" s="7">
        <v>2525</v>
      </c>
      <c r="E4053" s="7" t="s">
        <v>14</v>
      </c>
      <c r="F4053" s="8" t="str">
        <f ca="1">IFERROR(__xludf.DUMMYFUNCTION("IF
(
C4054=""фізична особа""
,
VLOOKUP(D4054,IMPORTRANGE(""https://docs.google.com/spreadsheets/d/14Bd19lYaqBhU8_DElYkX7l4wRkHqqCUFNJY4AfY3kHU/edit?usp=sharing  #gid=0"",""фіз особи new!relations_name""),6,FALSE)
,
(IF
(
C4054=""юридична особа""
,
VLOOKUP"&amp;"(D4054,IMPORTRANGE(""https://docs.google.com/spreadsheets/d/14Bd19lYaqBhU8_DElYkX7l4wRkHqqCUFNJY4AfY3kHU/edit?usp=sharing  #gid=0"",""фіз особи new!relations_name_uo""),7,FALSE)
,
)
))"),"ОРЛОВ Василь Олександрович")</f>
        <v>ОРЛОВ Василь Олександрович</v>
      </c>
      <c r="G4053" s="7" t="s">
        <v>10</v>
      </c>
      <c r="H4053" s="7">
        <v>0</v>
      </c>
      <c r="I4053" s="8" t="str">
        <f ca="1">IFERROR(__xludf.DUMMYFUNCTION("IF
(
G4054=""фізична особа""
,
VLOOKUP(H4054,IMPORTRANGE(""https://docs.google.com/spreadsheets/d/14Bd19lYaqBhU8_DElYkX7l4wRkHqqCUFNJY4AfY3kHU/edit?usp=sharing  #gid=0"",""фіз особи new!relations_name""),6,FALSE)
,
(IF
(
G4054=""юридична особа""
,
VLOOKUP"&amp;"(H4054,IMPORTRANGE(""https://docs.google.com/spreadsheets/d/14Bd19lYaqBhU8_DElYkX7l4wRkHqqCUFNJY4AfY3kHU/edit?usp=sharing  #gid=0"",""фіз особи new!relations_name_uo""),7,FALSE)
,
)
))"),"#N/A")</f>
        <v>#N/A</v>
      </c>
      <c r="J4053" s="7" t="s">
        <v>15</v>
      </c>
    </row>
    <row r="4054" spans="1:10" ht="13.2">
      <c r="A4054" s="7">
        <v>4053</v>
      </c>
      <c r="B4054" s="7">
        <v>1</v>
      </c>
      <c r="C4054" s="7" t="s">
        <v>10</v>
      </c>
      <c r="D4054" s="7">
        <v>2525</v>
      </c>
      <c r="E4054" s="7" t="s">
        <v>12</v>
      </c>
      <c r="F4054" s="8" t="str">
        <f ca="1">IFERROR(__xludf.DUMMYFUNCTION("IF
(
C4055=""фізична особа""
,
VLOOKUP(D4055,IMPORTRANGE(""https://docs.google.com/spreadsheets/d/14Bd19lYaqBhU8_DElYkX7l4wRkHqqCUFNJY4AfY3kHU/edit?usp=sharing  #gid=0"",""фіз особи new!relations_name""),6,FALSE)
,
(IF
(
C4055=""юридична особа""
,
VLOOKUP"&amp;"(D4055,IMPORTRANGE(""https://docs.google.com/spreadsheets/d/14Bd19lYaqBhU8_DElYkX7l4wRkHqqCUFNJY4AfY3kHU/edit?usp=sharing  #gid=0"",""фіз особи new!relations_name_uo""),7,FALSE)
,
)
))"),"ОРЛОВ Василь Олександрович")</f>
        <v>ОРЛОВ Василь Олександрович</v>
      </c>
      <c r="G4054" s="7" t="s">
        <v>10</v>
      </c>
      <c r="H4054" s="7">
        <v>0</v>
      </c>
      <c r="I4054" s="8" t="str">
        <f ca="1">IFERROR(__xludf.DUMMYFUNCTION("IF
(
G4055=""фізична особа""
,
VLOOKUP(H4055,IMPORTRANGE(""https://docs.google.com/spreadsheets/d/14Bd19lYaqBhU8_DElYkX7l4wRkHqqCUFNJY4AfY3kHU/edit?usp=sharing  #gid=0"",""фіз особи new!relations_name""),6,FALSE)
,
(IF
(
G4055=""юридична особа""
,
VLOOKUP"&amp;"(H4055,IMPORTRANGE(""https://docs.google.com/spreadsheets/d/14Bd19lYaqBhU8_DElYkX7l4wRkHqqCUFNJY4AfY3kHU/edit?usp=sharing  #gid=0"",""фіз особи new!relations_name_uo""),7,FALSE)
,
)
))"),"#N/A")</f>
        <v>#N/A</v>
      </c>
      <c r="J4054" s="7" t="s">
        <v>13</v>
      </c>
    </row>
    <row r="4055" spans="1:10" ht="13.2">
      <c r="A4055" s="7">
        <v>4054</v>
      </c>
      <c r="B4055" s="7">
        <v>1</v>
      </c>
      <c r="C4055" s="7" t="s">
        <v>10</v>
      </c>
      <c r="D4055" s="7">
        <v>2525</v>
      </c>
      <c r="E4055" s="7" t="s">
        <v>12</v>
      </c>
      <c r="F4055" s="8" t="str">
        <f ca="1">IFERROR(__xludf.DUMMYFUNCTION("IF
(
C4056=""фізична особа""
,
VLOOKUP(D4056,IMPORTRANGE(""https://docs.google.com/spreadsheets/d/14Bd19lYaqBhU8_DElYkX7l4wRkHqqCUFNJY4AfY3kHU/edit?usp=sharing  #gid=0"",""фіз особи new!relations_name""),6,FALSE)
,
(IF
(
C4056=""юридична особа""
,
VLOOKUP"&amp;"(D4056,IMPORTRANGE(""https://docs.google.com/spreadsheets/d/14Bd19lYaqBhU8_DElYkX7l4wRkHqqCUFNJY4AfY3kHU/edit?usp=sharing  #gid=0"",""фіз особи new!relations_name_uo""),7,FALSE)
,
)
))"),"ОРЛОВ Василь Олександрович")</f>
        <v>ОРЛОВ Василь Олександрович</v>
      </c>
      <c r="G4055" s="7" t="s">
        <v>10</v>
      </c>
      <c r="H4055" s="7">
        <v>0</v>
      </c>
      <c r="I4055" s="8" t="str">
        <f ca="1">IFERROR(__xludf.DUMMYFUNCTION("IF
(
G4056=""фізична особа""
,
VLOOKUP(H4056,IMPORTRANGE(""https://docs.google.com/spreadsheets/d/14Bd19lYaqBhU8_DElYkX7l4wRkHqqCUFNJY4AfY3kHU/edit?usp=sharing  #gid=0"",""фіз особи new!relations_name""),6,FALSE)
,
(IF
(
G4056=""юридична особа""
,
VLOOKUP"&amp;"(H4056,IMPORTRANGE(""https://docs.google.com/spreadsheets/d/14Bd19lYaqBhU8_DElYkX7l4wRkHqqCUFNJY4AfY3kHU/edit?usp=sharing  #gid=0"",""фіз особи new!relations_name_uo""),7,FALSE)
,
)
))"),"#N/A")</f>
        <v>#N/A</v>
      </c>
      <c r="J4055" s="7" t="s">
        <v>13</v>
      </c>
    </row>
    <row r="4056" spans="1:10" ht="13.2">
      <c r="A4056" s="7">
        <v>4055</v>
      </c>
      <c r="B4056" s="7">
        <v>1</v>
      </c>
      <c r="C4056" s="7" t="s">
        <v>10</v>
      </c>
      <c r="D4056" s="7">
        <v>2526</v>
      </c>
      <c r="E4056" s="7" t="s">
        <v>17</v>
      </c>
      <c r="F4056" s="8" t="str">
        <f ca="1">IFERROR(__xludf.DUMMYFUNCTION("IF
(
C4057=""фізична особа""
,
VLOOKUP(D4057,IMPORTRANGE(""https://docs.google.com/spreadsheets/d/14Bd19lYaqBhU8_DElYkX7l4wRkHqqCUFNJY4AfY3kHU/edit?usp=sharing  #gid=0"",""фіз особи new!relations_name""),6,FALSE)
,
(IF
(
C4057=""юридична особа""
,
VLOOKUP"&amp;"(D4057,IMPORTRANGE(""https://docs.google.com/spreadsheets/d/14Bd19lYaqBhU8_DElYkX7l4wRkHqqCUFNJY4AfY3kHU/edit?usp=sharing  #gid=0"",""фіз особи new!relations_name_uo""),7,FALSE)
,
)
))"),"ЦИБУЛЬСЬКИЙ Олександр Віталійович")</f>
        <v>ЦИБУЛЬСЬКИЙ Олександр Віталійович</v>
      </c>
      <c r="G4056" s="7" t="s">
        <v>10</v>
      </c>
      <c r="H4056" s="7">
        <v>4778</v>
      </c>
      <c r="I4056" s="8" t="str">
        <f ca="1">IFERROR(__xludf.DUMMYFUNCTION("IF
(
G4057=""фізична особа""
,
VLOOKUP(H4057,IMPORTRANGE(""https://docs.google.com/spreadsheets/d/14Bd19lYaqBhU8_DElYkX7l4wRkHqqCUFNJY4AfY3kHU/edit?usp=sharing  #gid=0"",""фіз особи new!relations_name""),6,FALSE)
,
(IF
(
G4057=""юридична особа""
,
VLOOKUP"&amp;"(H4057,IMPORTRANGE(""https://docs.google.com/spreadsheets/d/14Bd19lYaqBhU8_DElYkX7l4wRkHqqCUFNJY4AfY3kHU/edit?usp=sharing  #gid=0"",""фіз особи new!relations_name_uo""),7,FALSE)
,
)
))"),"ЦИБУЛЬСЬКА Олена Миколаївна")</f>
        <v>ЦИБУЛЬСЬКА Олена Миколаївна</v>
      </c>
      <c r="J4056" s="7" t="s">
        <v>21</v>
      </c>
    </row>
    <row r="4057" spans="1:10" ht="13.2">
      <c r="A4057" s="7">
        <v>4056</v>
      </c>
      <c r="B4057" s="7">
        <v>1</v>
      </c>
      <c r="C4057" s="7" t="s">
        <v>10</v>
      </c>
      <c r="D4057" s="7">
        <v>2526</v>
      </c>
      <c r="E4057" s="7" t="s">
        <v>17</v>
      </c>
      <c r="F4057" s="8" t="str">
        <f ca="1">IFERROR(__xludf.DUMMYFUNCTION("IF
(
C4058=""фізична особа""
,
VLOOKUP(D4058,IMPORTRANGE(""https://docs.google.com/spreadsheets/d/14Bd19lYaqBhU8_DElYkX7l4wRkHqqCUFNJY4AfY3kHU/edit?usp=sharing  #gid=0"",""фіз особи new!relations_name""),6,FALSE)
,
(IF
(
C4058=""юридична особа""
,
VLOOKUP"&amp;"(D4058,IMPORTRANGE(""https://docs.google.com/spreadsheets/d/14Bd19lYaqBhU8_DElYkX7l4wRkHqqCUFNJY4AfY3kHU/edit?usp=sharing  #gid=0"",""фіз особи new!relations_name_uo""),7,FALSE)
,
)
))"),"ЦИБУЛЬСЬКИЙ Олександр Віталійович")</f>
        <v>ЦИБУЛЬСЬКИЙ Олександр Віталійович</v>
      </c>
      <c r="G4057" s="7" t="s">
        <v>10</v>
      </c>
      <c r="H4057" s="7">
        <v>4779</v>
      </c>
      <c r="I4057" s="8" t="str">
        <f ca="1">IFERROR(__xludf.DUMMYFUNCTION("IF
(
G4058=""фізична особа""
,
VLOOKUP(H4058,IMPORTRANGE(""https://docs.google.com/spreadsheets/d/14Bd19lYaqBhU8_DElYkX7l4wRkHqqCUFNJY4AfY3kHU/edit?usp=sharing  #gid=0"",""фіз особи new!relations_name""),6,FALSE)
,
(IF
(
G4058=""юридична особа""
,
VLOOKUP"&amp;"(H4058,IMPORTRANGE(""https://docs.google.com/spreadsheets/d/14Bd19lYaqBhU8_DElYkX7l4wRkHqqCUFNJY4AfY3kHU/edit?usp=sharing  #gid=0"",""фіз особи new!relations_name_uo""),7,FALSE)
,
)
))"),"ЦИБУЛЬСЬКИЙ Віталій Григорович")</f>
        <v>ЦИБУЛЬСЬКИЙ Віталій Григорович</v>
      </c>
      <c r="J4057" s="7" t="s">
        <v>12</v>
      </c>
    </row>
    <row r="4058" spans="1:10" ht="13.2">
      <c r="A4058" s="7">
        <v>4057</v>
      </c>
      <c r="B4058" s="7">
        <v>1</v>
      </c>
      <c r="C4058" s="7" t="s">
        <v>10</v>
      </c>
      <c r="D4058" s="7">
        <v>2527</v>
      </c>
      <c r="E4058" s="7" t="s">
        <v>14</v>
      </c>
      <c r="F4058" s="8" t="str">
        <f ca="1">IFERROR(__xludf.DUMMYFUNCTION("IF
(
C4059=""фізична особа""
,
VLOOKUP(D4059,IMPORTRANGE(""https://docs.google.com/spreadsheets/d/14Bd19lYaqBhU8_DElYkX7l4wRkHqqCUFNJY4AfY3kHU/edit?usp=sharing  #gid=0"",""фіз особи new!relations_name""),6,FALSE)
,
(IF
(
C4059=""юридична особа""
,
VLOOKUP"&amp;"(D4059,IMPORTRANGE(""https://docs.google.com/spreadsheets/d/14Bd19lYaqBhU8_DElYkX7l4wRkHqqCUFNJY4AfY3kHU/edit?usp=sharing  #gid=0"",""фіз особи new!relations_name_uo""),7,FALSE)
,
)
))"),"БАБУШКІН Ігор Юрійович")</f>
        <v>БАБУШКІН Ігор Юрійович</v>
      </c>
      <c r="G4058" s="7" t="s">
        <v>10</v>
      </c>
      <c r="H4058" s="7">
        <v>4744</v>
      </c>
      <c r="I4058" s="8" t="str">
        <f ca="1">IFERROR(__xludf.DUMMYFUNCTION("IF
(
G4059=""фізична особа""
,
VLOOKUP(H4059,IMPORTRANGE(""https://docs.google.com/spreadsheets/d/14Bd19lYaqBhU8_DElYkX7l4wRkHqqCUFNJY4AfY3kHU/edit?usp=sharing  #gid=0"",""фіз особи new!relations_name""),6,FALSE)
,
(IF
(
G4059=""юридична особа""
,
VLOOKUP"&amp;"(H4059,IMPORTRANGE(""https://docs.google.com/spreadsheets/d/14Bd19lYaqBhU8_DElYkX7l4wRkHqqCUFNJY4AfY3kHU/edit?usp=sharing  #gid=0"",""фіз особи new!relations_name_uo""),7,FALSE)
,
)
))"),"БАБУШКІНА Марина Олександрівна")</f>
        <v>БАБУШКІНА Марина Олександрівна</v>
      </c>
      <c r="J4058" s="7" t="s">
        <v>15</v>
      </c>
    </row>
    <row r="4059" spans="1:10" ht="13.2">
      <c r="A4059" s="7">
        <v>4058</v>
      </c>
      <c r="B4059" s="7">
        <v>1</v>
      </c>
      <c r="C4059" s="7" t="s">
        <v>10</v>
      </c>
      <c r="D4059" s="7">
        <v>2527</v>
      </c>
      <c r="E4059" s="7" t="s">
        <v>12</v>
      </c>
      <c r="F4059" s="8" t="str">
        <f ca="1">IFERROR(__xludf.DUMMYFUNCTION("IF
(
C4060=""фізична особа""
,
VLOOKUP(D4060,IMPORTRANGE(""https://docs.google.com/spreadsheets/d/14Bd19lYaqBhU8_DElYkX7l4wRkHqqCUFNJY4AfY3kHU/edit?usp=sharing  #gid=0"",""фіз особи new!relations_name""),6,FALSE)
,
(IF
(
C4060=""юридична особа""
,
VLOOKUP"&amp;"(D4060,IMPORTRANGE(""https://docs.google.com/spreadsheets/d/14Bd19lYaqBhU8_DElYkX7l4wRkHqqCUFNJY4AfY3kHU/edit?usp=sharing  #gid=0"",""фіз особи new!relations_name_uo""),7,FALSE)
,
)
))"),"БАБУШКІН Ігор Юрійович")</f>
        <v>БАБУШКІН Ігор Юрійович</v>
      </c>
      <c r="G4059" s="7" t="s">
        <v>10</v>
      </c>
      <c r="H4059" s="7">
        <v>23496</v>
      </c>
      <c r="I4059" s="8" t="str">
        <f ca="1">IFERROR(__xludf.DUMMYFUNCTION("IF
(
G4060=""фізична особа""
,
VLOOKUP(H4060,IMPORTRANGE(""https://docs.google.com/spreadsheets/d/14Bd19lYaqBhU8_DElYkX7l4wRkHqqCUFNJY4AfY3kHU/edit?usp=sharing  #gid=0"",""фіз особи new!relations_name""),6,FALSE)
,
(IF
(
G4060=""юридична особа""
,
VLOOKUP"&amp;"(H4060,IMPORTRANGE(""https://docs.google.com/spreadsheets/d/14Bd19lYaqBhU8_DElYkX7l4wRkHqqCUFNJY4AfY3kHU/edit?usp=sharing  #gid=0"",""фіз особи new!relations_name_uo""),7,FALSE)
,
)
))"),"БАБУШКІНА Софія Ігорівна")</f>
        <v>БАБУШКІНА Софія Ігорівна</v>
      </c>
      <c r="J4059" s="7" t="s">
        <v>13</v>
      </c>
    </row>
    <row r="4060" spans="1:10" ht="13.2">
      <c r="A4060" s="7">
        <v>4059</v>
      </c>
      <c r="B4060" s="7">
        <v>1</v>
      </c>
      <c r="C4060" s="7" t="s">
        <v>10</v>
      </c>
      <c r="D4060" s="7">
        <v>2529</v>
      </c>
      <c r="E4060" s="7" t="s">
        <v>14</v>
      </c>
      <c r="F4060" s="8" t="str">
        <f ca="1">IFERROR(__xludf.DUMMYFUNCTION("IF
(
C4061=""фізична особа""
,
VLOOKUP(D4061,IMPORTRANGE(""https://docs.google.com/spreadsheets/d/14Bd19lYaqBhU8_DElYkX7l4wRkHqqCUFNJY4AfY3kHU/edit?usp=sharing  #gid=0"",""фіз особи new!relations_name""),6,FALSE)
,
(IF
(
C4061=""юридична особа""
,
VLOOKUP"&amp;"(D4061,IMPORTRANGE(""https://docs.google.com/spreadsheets/d/14Bd19lYaqBhU8_DElYkX7l4wRkHqqCUFNJY4AfY3kHU/edit?usp=sharing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G4060" s="7" t="s">
        <v>10</v>
      </c>
      <c r="H4060" s="7">
        <v>4827</v>
      </c>
      <c r="I4060" s="8" t="str">
        <f ca="1">IFERROR(__xludf.DUMMYFUNCTION("IF
(
G4061=""фізична особа""
,
VLOOKUP(H4061,IMPORTRANGE(""https://docs.google.com/spreadsheets/d/14Bd19lYaqBhU8_DElYkX7l4wRkHqqCUFNJY4AfY3kHU/edit?usp=sharing  #gid=0"",""фіз особи new!relations_name""),6,FALSE)
,
(IF
(
G4061=""юридична особа""
,
VLOOKUP"&amp;"(H4061,IMPORTRANGE(""https://docs.google.com/spreadsheets/d/14Bd19lYaqBhU8_DElYkX7l4wRkHqqCUFNJY4AfY3kHU/edit?usp=sharing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J4060" s="7" t="s">
        <v>15</v>
      </c>
    </row>
    <row r="4061" spans="1:10" ht="13.2">
      <c r="A4061" s="7">
        <v>4060</v>
      </c>
      <c r="B4061" s="7">
        <v>1</v>
      </c>
      <c r="C4061" s="7" t="s">
        <v>10</v>
      </c>
      <c r="D4061" s="7">
        <v>2529</v>
      </c>
      <c r="E4061" s="7" t="s">
        <v>12</v>
      </c>
      <c r="F4061" s="8" t="str">
        <f ca="1">IFERROR(__xludf.DUMMYFUNCTION("IF
(
C4062=""фізична особа""
,
VLOOKUP(D4062,IMPORTRANGE(""https://docs.google.com/spreadsheets/d/14Bd19lYaqBhU8_DElYkX7l4wRkHqqCUFNJY4AfY3kHU/edit?usp=sharing  #gid=0"",""фіз особи new!relations_name""),6,FALSE)
,
(IF
(
C4062=""юридична особа""
,
VLOOKUP"&amp;"(D4062,IMPORTRANGE(""https://docs.google.com/spreadsheets/d/14Bd19lYaqBhU8_DElYkX7l4wRkHqqCUFNJY4AfY3kHU/edit?usp=sharing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G4061" s="7" t="s">
        <v>10</v>
      </c>
      <c r="H4061" s="7">
        <v>4828</v>
      </c>
      <c r="I4061" s="8" t="str">
        <f ca="1">IFERROR(__xludf.DUMMYFUNCTION("IF
(
G4062=""фізична особа""
,
VLOOKUP(H4062,IMPORTRANGE(""https://docs.google.com/spreadsheets/d/14Bd19lYaqBhU8_DElYkX7l4wRkHqqCUFNJY4AfY3kHU/edit?usp=sharing  #gid=0"",""фіз особи new!relations_name""),6,FALSE)
,
(IF
(
G4062=""юридична особа""
,
VLOOKUP"&amp;"(H4062,IMPORTRANGE(""https://docs.google.com/spreadsheets/d/14Bd19lYaqBhU8_DElYkX7l4wRkHqqCUFNJY4AfY3kHU/edit?usp=sharing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J4061" s="7" t="s">
        <v>17</v>
      </c>
    </row>
    <row r="4062" spans="1:10" ht="13.2">
      <c r="A4062" s="7">
        <v>4061</v>
      </c>
      <c r="B4062" s="7">
        <v>1</v>
      </c>
      <c r="C4062" s="7" t="s">
        <v>10</v>
      </c>
      <c r="D4062" s="7">
        <v>2529</v>
      </c>
      <c r="E4062" s="7" t="s">
        <v>12</v>
      </c>
      <c r="F4062" s="8" t="str">
        <f ca="1">IFERROR(__xludf.DUMMYFUNCTION("IF
(
C4063=""фізична особа""
,
VLOOKUP(D4063,IMPORTRANGE(""https://docs.google.com/spreadsheets/d/14Bd19lYaqBhU8_DElYkX7l4wRkHqqCUFNJY4AfY3kHU/edit?usp=sharing  #gid=0"",""фіз особи new!relations_name""),6,FALSE)
,
(IF
(
C4063=""юридична особа""
,
VLOOKUP"&amp;"(D4063,IMPORTRANGE(""https://docs.google.com/spreadsheets/d/14Bd19lYaqBhU8_DElYkX7l4wRkHqqCUFNJY4AfY3kHU/edit?usp=sharing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G4062" s="7" t="s">
        <v>10</v>
      </c>
      <c r="H4062" s="7">
        <v>4829</v>
      </c>
      <c r="I4062" s="8" t="str">
        <f ca="1">IFERROR(__xludf.DUMMYFUNCTION("IF
(
G4063=""фізична особа""
,
VLOOKUP(H4063,IMPORTRANGE(""https://docs.google.com/spreadsheets/d/14Bd19lYaqBhU8_DElYkX7l4wRkHqqCUFNJY4AfY3kHU/edit?usp=sharing  #gid=0"",""фіз особи new!relations_name""),6,FALSE)
,
(IF
(
G4063=""юридична особа""
,
VLOOKUP"&amp;"(H4063,IMPORTRANGE(""https://docs.google.com/spreadsheets/d/14Bd19lYaqBhU8_DElYkX7l4wRkHqqCUFNJY4AfY3kHU/edit?usp=sharing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J4062" s="7" t="s">
        <v>17</v>
      </c>
    </row>
    <row r="4063" spans="1:10" ht="13.2">
      <c r="A4063" s="7">
        <v>4062</v>
      </c>
      <c r="B4063" s="7">
        <v>1</v>
      </c>
      <c r="C4063" s="7" t="s">
        <v>10</v>
      </c>
      <c r="D4063" s="7">
        <v>2529</v>
      </c>
      <c r="E4063" s="7" t="s">
        <v>34</v>
      </c>
      <c r="F4063" s="8" t="str">
        <f ca="1">IFERROR(__xludf.DUMMYFUNCTION("IF
(
C4064=""фізична особа""
,
VLOOKUP(D4064,IMPORTRANGE(""https://docs.google.com/spreadsheets/d/14Bd19lYaqBhU8_DElYkX7l4wRkHqqCUFNJY4AfY3kHU/edit?usp=sharing  #gid=0"",""фіз особи new!relations_name""),6,FALSE)
,
(IF
(
C4064=""юридична особа""
,
VLOOKUP"&amp;"(D4064,IMPORTRANGE(""https://docs.google.com/spreadsheets/d/14Bd19lYaqBhU8_DElYkX7l4wRkHqqCUFNJY4AfY3kHU/edit?usp=sharing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G4063" s="7" t="s">
        <v>10</v>
      </c>
      <c r="H4063" s="7">
        <v>5024</v>
      </c>
      <c r="I4063" s="8" t="str">
        <f ca="1">IFERROR(__xludf.DUMMYFUNCTION("IF
(
G4064=""фізична особа""
,
VLOOKUP(H4064,IMPORTRANGE(""https://docs.google.com/spreadsheets/d/14Bd19lYaqBhU8_DElYkX7l4wRkHqqCUFNJY4AfY3kHU/edit?usp=sharing  #gid=0"",""фіз особи new!relations_name""),6,FALSE)
,
(IF
(
G4064=""юридична особа""
,
VLOOKUP"&amp;"(H4064,IMPORTRANGE(""https://docs.google.com/spreadsheets/d/14Bd19lYaqBhU8_DElYkX7l4wRkHqqCUFNJY4AfY3kHU/edit?usp=sharing  #gid=0"",""фіз особи new!relations_name_uo""),7,FALSE)
,
)
))"),"ІЛЬТЯКОВА Людмила Анатоліївна")</f>
        <v>ІЛЬТЯКОВА Людмила Анатоліївна</v>
      </c>
      <c r="J4063" s="7" t="s">
        <v>25</v>
      </c>
    </row>
    <row r="4064" spans="1:10" ht="13.2">
      <c r="A4064" s="7">
        <v>4063</v>
      </c>
      <c r="B4064" s="7">
        <v>1</v>
      </c>
      <c r="C4064" s="7" t="s">
        <v>10</v>
      </c>
      <c r="D4064" s="7">
        <v>2530</v>
      </c>
      <c r="E4064" s="7" t="s">
        <v>14</v>
      </c>
      <c r="F4064" s="8" t="str">
        <f ca="1">IFERROR(__xludf.DUMMYFUNCTION("IF
(
C4065=""фізична особа""
,
VLOOKUP(D4065,IMPORTRANGE(""https://docs.google.com/spreadsheets/d/14Bd19lYaqBhU8_DElYkX7l4wRkHqqCUFNJY4AfY3kHU/edit?usp=sharing  #gid=0"",""фіз особи new!relations_name""),6,FALSE)
,
(IF
(
C4065=""юридична особа""
,
VLOOKUP"&amp;"(D4065,IMPORTRANGE(""https://docs.google.com/spreadsheets/d/14Bd19lYaqBhU8_DElYkX7l4wRkHqqCUFNJY4AfY3kHU/edit?usp=sharing  #gid=0"",""фіз особи new!relations_name_uo""),7,FALSE)
,
)
))"),"БОЧАРОВ Андрій Іванович")</f>
        <v>БОЧАРОВ Андрій Іванович</v>
      </c>
      <c r="G4064" s="7" t="s">
        <v>10</v>
      </c>
      <c r="H4064" s="7">
        <v>0</v>
      </c>
      <c r="I4064" s="8" t="str">
        <f ca="1">IFERROR(__xludf.DUMMYFUNCTION("IF
(
G4065=""фізична особа""
,
VLOOKUP(H4065,IMPORTRANGE(""https://docs.google.com/spreadsheets/d/14Bd19lYaqBhU8_DElYkX7l4wRkHqqCUFNJY4AfY3kHU/edit?usp=sharing  #gid=0"",""фіз особи new!relations_name""),6,FALSE)
,
(IF
(
G4065=""юридична особа""
,
VLOOKUP"&amp;"(H4065,IMPORTRANGE(""https://docs.google.com/spreadsheets/d/14Bd19lYaqBhU8_DElYkX7l4wRkHqqCUFNJY4AfY3kHU/edit?usp=sharing  #gid=0"",""фіз особи new!relations_name_uo""),7,FALSE)
,
)
))"),"#N/A")</f>
        <v>#N/A</v>
      </c>
      <c r="J4064" s="7" t="s">
        <v>15</v>
      </c>
    </row>
    <row r="4065" spans="1:10" ht="13.2">
      <c r="A4065" s="7">
        <v>4064</v>
      </c>
      <c r="B4065" s="7">
        <v>1</v>
      </c>
      <c r="C4065" s="7" t="s">
        <v>10</v>
      </c>
      <c r="D4065" s="7">
        <v>2530</v>
      </c>
      <c r="E4065" s="7" t="s">
        <v>12</v>
      </c>
      <c r="F4065" s="8" t="str">
        <f ca="1">IFERROR(__xludf.DUMMYFUNCTION("IF
(
C4066=""фізична особа""
,
VLOOKUP(D4066,IMPORTRANGE(""https://docs.google.com/spreadsheets/d/14Bd19lYaqBhU8_DElYkX7l4wRkHqqCUFNJY4AfY3kHU/edit?usp=sharing  #gid=0"",""фіз особи new!relations_name""),6,FALSE)
,
(IF
(
C4066=""юридична особа""
,
VLOOKUP"&amp;"(D4066,IMPORTRANGE(""https://docs.google.com/spreadsheets/d/14Bd19lYaqBhU8_DElYkX7l4wRkHqqCUFNJY4AfY3kHU/edit?usp=sharing  #gid=0"",""фіз особи new!relations_name_uo""),7,FALSE)
,
)
))"),"БОЧАРОВ Андрій Іванович")</f>
        <v>БОЧАРОВ Андрій Іванович</v>
      </c>
      <c r="G4065" s="7" t="s">
        <v>10</v>
      </c>
      <c r="H4065" s="7">
        <v>0</v>
      </c>
      <c r="I4065" s="8" t="str">
        <f ca="1">IFERROR(__xludf.DUMMYFUNCTION("IF
(
G4066=""фізична особа""
,
VLOOKUP(H4066,IMPORTRANGE(""https://docs.google.com/spreadsheets/d/14Bd19lYaqBhU8_DElYkX7l4wRkHqqCUFNJY4AfY3kHU/edit?usp=sharing  #gid=0"",""фіз особи new!relations_name""),6,FALSE)
,
(IF
(
G4066=""юридична особа""
,
VLOOKUP"&amp;"(H4066,IMPORTRANGE(""https://docs.google.com/spreadsheets/d/14Bd19lYaqBhU8_DElYkX7l4wRkHqqCUFNJY4AfY3kHU/edit?usp=sharing  #gid=0"",""фіз особи new!relations_name_uo""),7,FALSE)
,
)
))"),"#N/A")</f>
        <v>#N/A</v>
      </c>
      <c r="J4065" s="7" t="s">
        <v>17</v>
      </c>
    </row>
    <row r="4066" spans="1:10" ht="13.2">
      <c r="A4066" s="7">
        <v>4065</v>
      </c>
      <c r="B4066" s="7">
        <v>1</v>
      </c>
      <c r="C4066" s="7" t="s">
        <v>10</v>
      </c>
      <c r="D4066" s="7">
        <v>2530</v>
      </c>
      <c r="E4066" s="7" t="s">
        <v>12</v>
      </c>
      <c r="F4066" s="8" t="str">
        <f ca="1">IFERROR(__xludf.DUMMYFUNCTION("IF
(
C4067=""фізична особа""
,
VLOOKUP(D4067,IMPORTRANGE(""https://docs.google.com/spreadsheets/d/14Bd19lYaqBhU8_DElYkX7l4wRkHqqCUFNJY4AfY3kHU/edit?usp=sharing  #gid=0"",""фіз особи new!relations_name""),6,FALSE)
,
(IF
(
C4067=""юридична особа""
,
VLOOKUP"&amp;"(D4067,IMPORTRANGE(""https://docs.google.com/spreadsheets/d/14Bd19lYaqBhU8_DElYkX7l4wRkHqqCUFNJY4AfY3kHU/edit?usp=sharing  #gid=0"",""фіз особи new!relations_name_uo""),7,FALSE)
,
)
))"),"БОЧАРОВ Андрій Іванович")</f>
        <v>БОЧАРОВ Андрій Іванович</v>
      </c>
      <c r="G4066" s="7" t="s">
        <v>10</v>
      </c>
      <c r="H4066" s="7">
        <v>0</v>
      </c>
      <c r="I4066" s="8" t="str">
        <f ca="1">IFERROR(__xludf.DUMMYFUNCTION("IF
(
G4067=""фізична особа""
,
VLOOKUP(H4067,IMPORTRANGE(""https://docs.google.com/spreadsheets/d/14Bd19lYaqBhU8_DElYkX7l4wRkHqqCUFNJY4AfY3kHU/edit?usp=sharing  #gid=0"",""фіз особи new!relations_name""),6,FALSE)
,
(IF
(
G4067=""юридична особа""
,
VLOOKUP"&amp;"(H4067,IMPORTRANGE(""https://docs.google.com/spreadsheets/d/14Bd19lYaqBhU8_DElYkX7l4wRkHqqCUFNJY4AfY3kHU/edit?usp=sharing  #gid=0"",""фіз особи new!relations_name_uo""),7,FALSE)
,
)
))"),"#N/A")</f>
        <v>#N/A</v>
      </c>
      <c r="J4066" s="7" t="s">
        <v>13</v>
      </c>
    </row>
    <row r="4067" spans="1:10" ht="13.2">
      <c r="A4067" s="7">
        <v>4066</v>
      </c>
      <c r="B4067" s="7">
        <v>1</v>
      </c>
      <c r="C4067" s="7" t="s">
        <v>10</v>
      </c>
      <c r="D4067" s="7">
        <v>2531</v>
      </c>
      <c r="E4067" s="7" t="s">
        <v>14</v>
      </c>
      <c r="F4067" s="8" t="str">
        <f ca="1">IFERROR(__xludf.DUMMYFUNCTION("IF
(
C4068=""фізична особа""
,
VLOOKUP(D4068,IMPORTRANGE(""https://docs.google.com/spreadsheets/d/14Bd19lYaqBhU8_DElYkX7l4wRkHqqCUFNJY4AfY3kHU/edit?usp=sharing  #gid=0"",""фіз особи new!relations_name""),6,FALSE)
,
(IF
(
C4068=""юридична особа""
,
VLOOKUP"&amp;"(D4068,IMPORTRANGE(""https://docs.google.com/spreadsheets/d/14Bd19lYaqBhU8_DElYkX7l4wRkHqqCUFNJY4AfY3kHU/edit?usp=sharing  #gid=0"",""фіз особи new!relations_name_uo""),7,FALSE)
,
)
))"),"КУВШИННІКОВ Олег Олександрович")</f>
        <v>КУВШИННІКОВ Олег Олександрович</v>
      </c>
      <c r="G4067" s="7" t="s">
        <v>10</v>
      </c>
      <c r="H4067" s="7">
        <v>0</v>
      </c>
      <c r="I4067" s="8" t="str">
        <f ca="1">IFERROR(__xludf.DUMMYFUNCTION("IF
(
G4068=""фізична особа""
,
VLOOKUP(H4068,IMPORTRANGE(""https://docs.google.com/spreadsheets/d/14Bd19lYaqBhU8_DElYkX7l4wRkHqqCUFNJY4AfY3kHU/edit?usp=sharing  #gid=0"",""фіз особи new!relations_name""),6,FALSE)
,
(IF
(
G4068=""юридична особа""
,
VLOOKUP"&amp;"(H4068,IMPORTRANGE(""https://docs.google.com/spreadsheets/d/14Bd19lYaqBhU8_DElYkX7l4wRkHqqCUFNJY4AfY3kHU/edit?usp=sharing  #gid=0"",""фіз особи new!relations_name_uo""),7,FALSE)
,
)
))"),"#N/A")</f>
        <v>#N/A</v>
      </c>
      <c r="J4067" s="7" t="s">
        <v>15</v>
      </c>
    </row>
    <row r="4068" spans="1:10" ht="13.2">
      <c r="A4068" s="7">
        <v>4067</v>
      </c>
      <c r="B4068" s="7">
        <v>1</v>
      </c>
      <c r="C4068" s="7" t="s">
        <v>10</v>
      </c>
      <c r="D4068" s="7">
        <v>2531</v>
      </c>
      <c r="E4068" s="7" t="s">
        <v>12</v>
      </c>
      <c r="F4068" s="8" t="str">
        <f ca="1">IFERROR(__xludf.DUMMYFUNCTION("IF
(
C4069=""фізична особа""
,
VLOOKUP(D4069,IMPORTRANGE(""https://docs.google.com/spreadsheets/d/14Bd19lYaqBhU8_DElYkX7l4wRkHqqCUFNJY4AfY3kHU/edit?usp=sharing  #gid=0"",""фіз особи new!relations_name""),6,FALSE)
,
(IF
(
C4069=""юридична особа""
,
VLOOKUP"&amp;"(D4069,IMPORTRANGE(""https://docs.google.com/spreadsheets/d/14Bd19lYaqBhU8_DElYkX7l4wRkHqqCUFNJY4AfY3kHU/edit?usp=sharing  #gid=0"",""фіз особи new!relations_name_uo""),7,FALSE)
,
)
))"),"КУВШИННІКОВ Олег Олександрович")</f>
        <v>КУВШИННІКОВ Олег Олександрович</v>
      </c>
      <c r="G4068" s="7" t="s">
        <v>10</v>
      </c>
      <c r="H4068" s="7">
        <v>0</v>
      </c>
      <c r="I4068" s="8" t="str">
        <f ca="1">IFERROR(__xludf.DUMMYFUNCTION("IF
(
G4069=""фізична особа""
,
VLOOKUP(H4069,IMPORTRANGE(""https://docs.google.com/spreadsheets/d/14Bd19lYaqBhU8_DElYkX7l4wRkHqqCUFNJY4AfY3kHU/edit?usp=sharing  #gid=0"",""фіз особи new!relations_name""),6,FALSE)
,
(IF
(
G4069=""юридична особа""
,
VLOOKUP"&amp;"(H4069,IMPORTRANGE(""https://docs.google.com/spreadsheets/d/14Bd19lYaqBhU8_DElYkX7l4wRkHqqCUFNJY4AfY3kHU/edit?usp=sharing  #gid=0"",""фіз особи new!relations_name_uo""),7,FALSE)
,
)
))"),"#N/A")</f>
        <v>#N/A</v>
      </c>
      <c r="J4068" s="7" t="s">
        <v>17</v>
      </c>
    </row>
    <row r="4069" spans="1:10" ht="13.2">
      <c r="A4069" s="7">
        <v>4068</v>
      </c>
      <c r="B4069" s="7">
        <v>1</v>
      </c>
      <c r="C4069" s="7" t="s">
        <v>10</v>
      </c>
      <c r="D4069" s="7">
        <v>2531</v>
      </c>
      <c r="E4069" s="7" t="s">
        <v>12</v>
      </c>
      <c r="F4069" s="8" t="str">
        <f ca="1">IFERROR(__xludf.DUMMYFUNCTION("IF
(
C4070=""фізична особа""
,
VLOOKUP(D4070,IMPORTRANGE(""https://docs.google.com/spreadsheets/d/14Bd19lYaqBhU8_DElYkX7l4wRkHqqCUFNJY4AfY3kHU/edit?usp=sharing  #gid=0"",""фіз особи new!relations_name""),6,FALSE)
,
(IF
(
C4070=""юридична особа""
,
VLOOKUP"&amp;"(D4070,IMPORTRANGE(""https://docs.google.com/spreadsheets/d/14Bd19lYaqBhU8_DElYkX7l4wRkHqqCUFNJY4AfY3kHU/edit?usp=sharing  #gid=0"",""фіз особи new!relations_name_uo""),7,FALSE)
,
)
))"),"КУВШИННІКОВ Олег Олександрович")</f>
        <v>КУВШИННІКОВ Олег Олександрович</v>
      </c>
      <c r="G4069" s="7" t="s">
        <v>10</v>
      </c>
      <c r="H4069" s="7">
        <v>0</v>
      </c>
      <c r="I4069" s="8" t="str">
        <f ca="1">IFERROR(__xludf.DUMMYFUNCTION("IF
(
G4070=""фізична особа""
,
VLOOKUP(H4070,IMPORTRANGE(""https://docs.google.com/spreadsheets/d/14Bd19lYaqBhU8_DElYkX7l4wRkHqqCUFNJY4AfY3kHU/edit?usp=sharing  #gid=0"",""фіз особи new!relations_name""),6,FALSE)
,
(IF
(
G4070=""юридична особа""
,
VLOOKUP"&amp;"(H4070,IMPORTRANGE(""https://docs.google.com/spreadsheets/d/14Bd19lYaqBhU8_DElYkX7l4wRkHqqCUFNJY4AfY3kHU/edit?usp=sharing  #gid=0"",""фіз особи new!relations_name_uo""),7,FALSE)
,
)
))"),"#N/A")</f>
        <v>#N/A</v>
      </c>
      <c r="J4069" s="7" t="s">
        <v>17</v>
      </c>
    </row>
    <row r="4070" spans="1:10" ht="13.2">
      <c r="A4070" s="7">
        <v>4069</v>
      </c>
      <c r="B4070" s="7">
        <v>1</v>
      </c>
      <c r="C4070" s="7" t="s">
        <v>10</v>
      </c>
      <c r="D4070" s="7">
        <v>2531</v>
      </c>
      <c r="E4070" s="7" t="s">
        <v>12</v>
      </c>
      <c r="F4070" s="8" t="str">
        <f ca="1">IFERROR(__xludf.DUMMYFUNCTION("IF
(
C4071=""фізична особа""
,
VLOOKUP(D4071,IMPORTRANGE(""https://docs.google.com/spreadsheets/d/14Bd19lYaqBhU8_DElYkX7l4wRkHqqCUFNJY4AfY3kHU/edit?usp=sharing  #gid=0"",""фіз особи new!relations_name""),6,FALSE)
,
(IF
(
C4071=""юридична особа""
,
VLOOKUP"&amp;"(D4071,IMPORTRANGE(""https://docs.google.com/spreadsheets/d/14Bd19lYaqBhU8_DElYkX7l4wRkHqqCUFNJY4AfY3kHU/edit?usp=sharing  #gid=0"",""фіз особи new!relations_name_uo""),7,FALSE)
,
)
))"),"КУВШИННІКОВ Олег Олександрович")</f>
        <v>КУВШИННІКОВ Олег Олександрович</v>
      </c>
      <c r="G4070" s="7" t="s">
        <v>10</v>
      </c>
      <c r="H4070" s="7">
        <v>0</v>
      </c>
      <c r="I4070" s="8" t="str">
        <f ca="1">IFERROR(__xludf.DUMMYFUNCTION("IF
(
G4071=""фізична особа""
,
VLOOKUP(H4071,IMPORTRANGE(""https://docs.google.com/spreadsheets/d/14Bd19lYaqBhU8_DElYkX7l4wRkHqqCUFNJY4AfY3kHU/edit?usp=sharing  #gid=0"",""фіз особи new!relations_name""),6,FALSE)
,
(IF
(
G4071=""юридична особа""
,
VLOOKUP"&amp;"(H4071,IMPORTRANGE(""https://docs.google.com/spreadsheets/d/14Bd19lYaqBhU8_DElYkX7l4wRkHqqCUFNJY4AfY3kHU/edit?usp=sharing  #gid=0"",""фіз особи new!relations_name_uo""),7,FALSE)
,
)
))"),"#N/A")</f>
        <v>#N/A</v>
      </c>
      <c r="J4070" s="7" t="s">
        <v>17</v>
      </c>
    </row>
    <row r="4071" spans="1:10" ht="13.2">
      <c r="A4071" s="7">
        <v>4070</v>
      </c>
      <c r="B4071" s="7">
        <v>1</v>
      </c>
      <c r="C4071" s="7" t="s">
        <v>10</v>
      </c>
      <c r="D4071" s="7">
        <v>2531</v>
      </c>
      <c r="E4071" s="7" t="s">
        <v>34</v>
      </c>
      <c r="F4071" s="8" t="str">
        <f ca="1">IFERROR(__xludf.DUMMYFUNCTION("IF
(
C4072=""фізична особа""
,
VLOOKUP(D4072,IMPORTRANGE(""https://docs.google.com/spreadsheets/d/14Bd19lYaqBhU8_DElYkX7l4wRkHqqCUFNJY4AfY3kHU/edit?usp=sharing  #gid=0"",""фіз особи new!relations_name""),6,FALSE)
,
(IF
(
C4072=""юридична особа""
,
VLOOKUP"&amp;"(D4072,IMPORTRANGE(""https://docs.google.com/spreadsheets/d/14Bd19lYaqBhU8_DElYkX7l4wRkHqqCUFNJY4AfY3kHU/edit?usp=sharing  #gid=0"",""фіз особи new!relations_name_uo""),7,FALSE)
,
)
))"),"КУВШИННІКОВ Олег Олександрович")</f>
        <v>КУВШИННІКОВ Олег Олександрович</v>
      </c>
      <c r="G4071" s="7" t="s">
        <v>10</v>
      </c>
      <c r="H4071" s="7">
        <v>0</v>
      </c>
      <c r="I4071" s="8" t="str">
        <f ca="1">IFERROR(__xludf.DUMMYFUNCTION("IF
(
G4072=""фізична особа""
,
VLOOKUP(H4072,IMPORTRANGE(""https://docs.google.com/spreadsheets/d/14Bd19lYaqBhU8_DElYkX7l4wRkHqqCUFNJY4AfY3kHU/edit?usp=sharing  #gid=0"",""фіз особи new!relations_name""),6,FALSE)
,
(IF
(
G4072=""юридична особа""
,
VLOOKUP"&amp;"(H4072,IMPORTRANGE(""https://docs.google.com/spreadsheets/d/14Bd19lYaqBhU8_DElYkX7l4wRkHqqCUFNJY4AfY3kHU/edit?usp=sharing  #gid=0"",""фіз особи new!relations_name_uo""),7,FALSE)
,
)
))"),"#N/A")</f>
        <v>#N/A</v>
      </c>
      <c r="J4071" s="7" t="s">
        <v>25</v>
      </c>
    </row>
    <row r="4072" spans="1:10" ht="13.2">
      <c r="A4072" s="7">
        <v>4071</v>
      </c>
      <c r="B4072" s="7">
        <v>1</v>
      </c>
      <c r="C4072" s="7" t="s">
        <v>10</v>
      </c>
      <c r="D4072" s="7">
        <v>2532</v>
      </c>
      <c r="E4072" s="7" t="s">
        <v>14</v>
      </c>
      <c r="F4072" s="8" t="str">
        <f ca="1">IFERROR(__xludf.DUMMYFUNCTION("IF
(
C4073=""фізична особа""
,
VLOOKUP(D4073,IMPORTRANGE(""https://docs.google.com/spreadsheets/d/14Bd19lYaqBhU8_DElYkX7l4wRkHqqCUFNJY4AfY3kHU/edit?usp=sharing  #gid=0"",""фіз особи new!relations_name""),6,FALSE)
,
(IF
(
C4073=""юридична особа""
,
VLOOKUP"&amp;"(D4073,IMPORTRANGE(""https://docs.google.com/spreadsheets/d/14Bd19lYaqBhU8_DElYkX7l4wRkHqqCUFNJY4AfY3kHU/edit?usp=sharing  #gid=0"",""фіз особи new!relations_name_uo""),7,FALSE)
,
)
))"),"ГУСЄВ Олександр Вікторович")</f>
        <v>ГУСЄВ Олександр Вікторович</v>
      </c>
      <c r="G4072" s="7" t="s">
        <v>10</v>
      </c>
      <c r="H4072" s="7">
        <v>0</v>
      </c>
      <c r="I4072" s="8" t="str">
        <f ca="1">IFERROR(__xludf.DUMMYFUNCTION("IF
(
G4073=""фізична особа""
,
VLOOKUP(H4073,IMPORTRANGE(""https://docs.google.com/spreadsheets/d/14Bd19lYaqBhU8_DElYkX7l4wRkHqqCUFNJY4AfY3kHU/edit?usp=sharing  #gid=0"",""фіз особи new!relations_name""),6,FALSE)
,
(IF
(
G4073=""юридична особа""
,
VLOOKUP"&amp;"(H4073,IMPORTRANGE(""https://docs.google.com/spreadsheets/d/14Bd19lYaqBhU8_DElYkX7l4wRkHqqCUFNJY4AfY3kHU/edit?usp=sharing  #gid=0"",""фіз особи new!relations_name_uo""),7,FALSE)
,
)
))"),"#N/A")</f>
        <v>#N/A</v>
      </c>
      <c r="J4072" s="7" t="s">
        <v>15</v>
      </c>
    </row>
    <row r="4073" spans="1:10" ht="13.2">
      <c r="A4073" s="7">
        <v>4072</v>
      </c>
      <c r="B4073" s="7">
        <v>1</v>
      </c>
      <c r="C4073" s="7" t="s">
        <v>10</v>
      </c>
      <c r="D4073" s="7">
        <v>2532</v>
      </c>
      <c r="E4073" s="7" t="s">
        <v>12</v>
      </c>
      <c r="F4073" s="8" t="str">
        <f ca="1">IFERROR(__xludf.DUMMYFUNCTION("IF
(
C4074=""фізична особа""
,
VLOOKUP(D4074,IMPORTRANGE(""https://docs.google.com/spreadsheets/d/14Bd19lYaqBhU8_DElYkX7l4wRkHqqCUFNJY4AfY3kHU/edit?usp=sharing  #gid=0"",""фіз особи new!relations_name""),6,FALSE)
,
(IF
(
C4074=""юридична особа""
,
VLOOKUP"&amp;"(D4074,IMPORTRANGE(""https://docs.google.com/spreadsheets/d/14Bd19lYaqBhU8_DElYkX7l4wRkHqqCUFNJY4AfY3kHU/edit?usp=sharing  #gid=0"",""фіз особи new!relations_name_uo""),7,FALSE)
,
)
))"),"ГУСЄВ Олександр Вікторович")</f>
        <v>ГУСЄВ Олександр Вікторович</v>
      </c>
      <c r="G4073" s="7" t="s">
        <v>10</v>
      </c>
      <c r="H4073" s="7">
        <v>0</v>
      </c>
      <c r="I4073" s="8" t="str">
        <f ca="1">IFERROR(__xludf.DUMMYFUNCTION("IF
(
G4074=""фізична особа""
,
VLOOKUP(H4074,IMPORTRANGE(""https://docs.google.com/spreadsheets/d/14Bd19lYaqBhU8_DElYkX7l4wRkHqqCUFNJY4AfY3kHU/edit?usp=sharing  #gid=0"",""фіз особи new!relations_name""),6,FALSE)
,
(IF
(
G4074=""юридична особа""
,
VLOOKUP"&amp;"(H4074,IMPORTRANGE(""https://docs.google.com/spreadsheets/d/14Bd19lYaqBhU8_DElYkX7l4wRkHqqCUFNJY4AfY3kHU/edit?usp=sharing  #gid=0"",""фіз особи new!relations_name_uo""),7,FALSE)
,
)
))"),"#N/A")</f>
        <v>#N/A</v>
      </c>
      <c r="J4073" s="7" t="s">
        <v>13</v>
      </c>
    </row>
    <row r="4074" spans="1:10" ht="13.2">
      <c r="A4074" s="7">
        <v>4073</v>
      </c>
      <c r="B4074" s="7">
        <v>1</v>
      </c>
      <c r="C4074" s="7" t="s">
        <v>10</v>
      </c>
      <c r="D4074" s="7">
        <v>2533</v>
      </c>
      <c r="E4074" s="7" t="s">
        <v>17</v>
      </c>
      <c r="F4074" s="8" t="str">
        <f ca="1">IFERROR(__xludf.DUMMYFUNCTION("IF
(
C4075=""фізична особа""
,
VLOOKUP(D4075,IMPORTRANGE(""https://docs.google.com/spreadsheets/d/14Bd19lYaqBhU8_DElYkX7l4wRkHqqCUFNJY4AfY3kHU/edit?usp=sharing  #gid=0"",""фіз особи new!relations_name""),6,FALSE)
,
(IF
(
C4075=""юридична особа""
,
VLOOKUP"&amp;"(D4075,IMPORTRANGE(""https://docs.google.com/spreadsheets/d/14Bd19lYaqBhU8_DElYkX7l4wRkHqqCUFNJY4AfY3kHU/edit?usp=sharing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4" s="7" t="s">
        <v>10</v>
      </c>
      <c r="H4074" s="7">
        <v>0</v>
      </c>
      <c r="I4074" s="8" t="str">
        <f ca="1">IFERROR(__xludf.DUMMYFUNCTION("IF
(
G4075=""фізична особа""
,
VLOOKUP(H4075,IMPORTRANGE(""https://docs.google.com/spreadsheets/d/14Bd19lYaqBhU8_DElYkX7l4wRkHqqCUFNJY4AfY3kHU/edit?usp=sharing  #gid=0"",""фіз особи new!relations_name""),6,FALSE)
,
(IF
(
G4075=""юридична особа""
,
VLOOKUP"&amp;"(H4075,IMPORTRANGE(""https://docs.google.com/spreadsheets/d/14Bd19lYaqBhU8_DElYkX7l4wRkHqqCUFNJY4AfY3kHU/edit?usp=sharing  #gid=0"",""фіз особи new!relations_name_uo""),7,FALSE)
,
)
))"),"#N/A")</f>
        <v>#N/A</v>
      </c>
      <c r="J4074" s="7" t="s">
        <v>21</v>
      </c>
    </row>
    <row r="4075" spans="1:10" ht="13.2">
      <c r="A4075" s="7">
        <v>4074</v>
      </c>
      <c r="B4075" s="7">
        <v>1</v>
      </c>
      <c r="C4075" s="7" t="s">
        <v>10</v>
      </c>
      <c r="D4075" s="7">
        <v>2533</v>
      </c>
      <c r="E4075" s="7" t="s">
        <v>12</v>
      </c>
      <c r="F4075" s="8" t="str">
        <f ca="1">IFERROR(__xludf.DUMMYFUNCTION("IF
(
C4076=""фізична особа""
,
VLOOKUP(D4076,IMPORTRANGE(""https://docs.google.com/spreadsheets/d/14Bd19lYaqBhU8_DElYkX7l4wRkHqqCUFNJY4AfY3kHU/edit?usp=sharing  #gid=0"",""фіз особи new!relations_name""),6,FALSE)
,
(IF
(
C4076=""юридична особа""
,
VLOOKUP"&amp;"(D4076,IMPORTRANGE(""https://docs.google.com/spreadsheets/d/14Bd19lYaqBhU8_DElYkX7l4wRkHqqCUFNJY4AfY3kHU/edit?usp=sharing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5" s="7" t="s">
        <v>10</v>
      </c>
      <c r="H4075" s="7">
        <v>0</v>
      </c>
      <c r="I4075" s="8" t="str">
        <f ca="1">IFERROR(__xludf.DUMMYFUNCTION("IF
(
G4076=""фізична особа""
,
VLOOKUP(H4076,IMPORTRANGE(""https://docs.google.com/spreadsheets/d/14Bd19lYaqBhU8_DElYkX7l4wRkHqqCUFNJY4AfY3kHU/edit?usp=sharing  #gid=0"",""фіз особи new!relations_name""),6,FALSE)
,
(IF
(
G4076=""юридична особа""
,
VLOOKUP"&amp;"(H4076,IMPORTRANGE(""https://docs.google.com/spreadsheets/d/14Bd19lYaqBhU8_DElYkX7l4wRkHqqCUFNJY4AfY3kHU/edit?usp=sharing  #gid=0"",""фіз особи new!relations_name_uo""),7,FALSE)
,
)
))"),"#N/A")</f>
        <v>#N/A</v>
      </c>
      <c r="J4075" s="7" t="s">
        <v>13</v>
      </c>
    </row>
    <row r="4076" spans="1:10" ht="13.2">
      <c r="A4076" s="7">
        <v>4075</v>
      </c>
      <c r="B4076" s="7">
        <v>1</v>
      </c>
      <c r="C4076" s="7" t="s">
        <v>10</v>
      </c>
      <c r="D4076" s="7">
        <v>2533</v>
      </c>
      <c r="E4076" s="7" t="s">
        <v>18</v>
      </c>
      <c r="F4076" s="8" t="str">
        <f ca="1">IFERROR(__xludf.DUMMYFUNCTION("IF
(
C4077=""фізична особа""
,
VLOOKUP(D4077,IMPORTRANGE(""https://docs.google.com/spreadsheets/d/14Bd19lYaqBhU8_DElYkX7l4wRkHqqCUFNJY4AfY3kHU/edit?usp=sharing  #gid=0"",""фіз особи new!relations_name""),6,FALSE)
,
(IF
(
C4077=""юридична особа""
,
VLOOKUP"&amp;"(D4077,IMPORTRANGE(""https://docs.google.com/spreadsheets/d/14Bd19lYaqBhU8_DElYkX7l4wRkHqqCUFNJY4AfY3kHU/edit?usp=sharing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6" s="7" t="s">
        <v>10</v>
      </c>
      <c r="H4076" s="7">
        <v>0</v>
      </c>
      <c r="I4076" s="8" t="str">
        <f ca="1">IFERROR(__xludf.DUMMYFUNCTION("IF
(
G4077=""фізична особа""
,
VLOOKUP(H4077,IMPORTRANGE(""https://docs.google.com/spreadsheets/d/14Bd19lYaqBhU8_DElYkX7l4wRkHqqCUFNJY4AfY3kHU/edit?usp=sharing  #gid=0"",""фіз особи new!relations_name""),6,FALSE)
,
(IF
(
G4077=""юридична особа""
,
VLOOKUP"&amp;"(H4077,IMPORTRANGE(""https://docs.google.com/spreadsheets/d/14Bd19lYaqBhU8_DElYkX7l4wRkHqqCUFNJY4AfY3kHU/edit?usp=sharing  #gid=0"",""фіз особи new!relations_name_uo""),7,FALSE)
,
)
))"),"#N/A")</f>
        <v>#N/A</v>
      </c>
      <c r="J4076" s="7" t="s">
        <v>31</v>
      </c>
    </row>
    <row r="4077" spans="1:10" ht="13.2">
      <c r="A4077" s="7">
        <v>4076</v>
      </c>
      <c r="B4077" s="7">
        <v>1</v>
      </c>
      <c r="C4077" s="7" t="s">
        <v>10</v>
      </c>
      <c r="D4077" s="7">
        <v>2533</v>
      </c>
      <c r="E4077" s="7" t="s">
        <v>12</v>
      </c>
      <c r="F4077" s="8" t="str">
        <f ca="1">IFERROR(__xludf.DUMMYFUNCTION("IF
(
C4078=""фізична особа""
,
VLOOKUP(D4078,IMPORTRANGE(""https://docs.google.com/spreadsheets/d/14Bd19lYaqBhU8_DElYkX7l4wRkHqqCUFNJY4AfY3kHU/edit?usp=sharing  #gid=0"",""фіз особи new!relations_name""),6,FALSE)
,
(IF
(
C4078=""юридична особа""
,
VLOOKUP"&amp;"(D4078,IMPORTRANGE(""https://docs.google.com/spreadsheets/d/14Bd19lYaqBhU8_DElYkX7l4wRkHqqCUFNJY4AfY3kHU/edit?usp=sharing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7" s="7" t="s">
        <v>10</v>
      </c>
      <c r="H4077" s="7">
        <v>0</v>
      </c>
      <c r="I4077" s="8" t="str">
        <f ca="1">IFERROR(__xludf.DUMMYFUNCTION("IF
(
G4078=""фізична особа""
,
VLOOKUP(H4078,IMPORTRANGE(""https://docs.google.com/spreadsheets/d/14Bd19lYaqBhU8_DElYkX7l4wRkHqqCUFNJY4AfY3kHU/edit?usp=sharing  #gid=0"",""фіз особи new!relations_name""),6,FALSE)
,
(IF
(
G4078=""юридична особа""
,
VLOOKUP"&amp;"(H4078,IMPORTRANGE(""https://docs.google.com/spreadsheets/d/14Bd19lYaqBhU8_DElYkX7l4wRkHqqCUFNJY4AfY3kHU/edit?usp=sharing  #gid=0"",""фіз особи new!relations_name_uo""),7,FALSE)
,
)
))"),"#N/A")</f>
        <v>#N/A</v>
      </c>
      <c r="J4077" s="7" t="s">
        <v>13</v>
      </c>
    </row>
    <row r="4078" spans="1:10" ht="13.2">
      <c r="A4078" s="7">
        <v>4077</v>
      </c>
      <c r="B4078" s="7">
        <v>1</v>
      </c>
      <c r="C4078" s="7" t="s">
        <v>10</v>
      </c>
      <c r="D4078" s="7">
        <v>2533</v>
      </c>
      <c r="E4078" s="7" t="s">
        <v>17</v>
      </c>
      <c r="F4078" s="8" t="str">
        <f ca="1">IFERROR(__xludf.DUMMYFUNCTION("IF
(
C4079=""фізична особа""
,
VLOOKUP(D4079,IMPORTRANGE(""https://docs.google.com/spreadsheets/d/14Bd19lYaqBhU8_DElYkX7l4wRkHqqCUFNJY4AfY3kHU/edit?usp=sharing  #gid=0"",""фіз особи new!relations_name""),6,FALSE)
,
(IF
(
C4079=""юридична особа""
,
VLOOKUP"&amp;"(D4079,IMPORTRANGE(""https://docs.google.com/spreadsheets/d/14Bd19lYaqBhU8_DElYkX7l4wRkHqqCUFNJY4AfY3kHU/edit?usp=sharing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8" s="7" t="s">
        <v>10</v>
      </c>
      <c r="H4078" s="7">
        <v>0</v>
      </c>
      <c r="I4078" s="8" t="str">
        <f ca="1">IFERROR(__xludf.DUMMYFUNCTION("IF
(
G4079=""фізична особа""
,
VLOOKUP(H4079,IMPORTRANGE(""https://docs.google.com/spreadsheets/d/14Bd19lYaqBhU8_DElYkX7l4wRkHqqCUFNJY4AfY3kHU/edit?usp=sharing  #gid=0"",""фіз особи new!relations_name""),6,FALSE)
,
(IF
(
G4079=""юридична особа""
,
VLOOKUP"&amp;"(H4079,IMPORTRANGE(""https://docs.google.com/spreadsheets/d/14Bd19lYaqBhU8_DElYkX7l4wRkHqqCUFNJY4AfY3kHU/edit?usp=sharing  #gid=0"",""фіз особи new!relations_name_uo""),7,FALSE)
,
)
))"),"#N/A")</f>
        <v>#N/A</v>
      </c>
      <c r="J4078" s="7" t="s">
        <v>12</v>
      </c>
    </row>
    <row r="4079" spans="1:10" ht="13.2">
      <c r="A4079" s="7">
        <v>4078</v>
      </c>
      <c r="B4079" s="7">
        <v>1</v>
      </c>
      <c r="C4079" s="7" t="s">
        <v>10</v>
      </c>
      <c r="D4079" s="7">
        <v>2533</v>
      </c>
      <c r="E4079" s="7" t="s">
        <v>14</v>
      </c>
      <c r="F4079" s="8" t="str">
        <f ca="1">IFERROR(__xludf.DUMMYFUNCTION("IF
(
C4080=""фізична особа""
,
VLOOKUP(D4080,IMPORTRANGE(""https://docs.google.com/spreadsheets/d/14Bd19lYaqBhU8_DElYkX7l4wRkHqqCUFNJY4AfY3kHU/edit?usp=sharing  #gid=0"",""фіз особи new!relations_name""),6,FALSE)
,
(IF
(
C4080=""юридична особа""
,
VLOOKUP"&amp;"(D4080,IMPORTRANGE(""https://docs.google.com/spreadsheets/d/14Bd19lYaqBhU8_DElYkX7l4wRkHqqCUFNJY4AfY3kHU/edit?usp=sharing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79" s="7" t="s">
        <v>10</v>
      </c>
      <c r="H4079" s="7">
        <v>0</v>
      </c>
      <c r="I4079" s="8" t="str">
        <f ca="1">IFERROR(__xludf.DUMMYFUNCTION("IF
(
G4080=""фізична особа""
,
VLOOKUP(H4080,IMPORTRANGE(""https://docs.google.com/spreadsheets/d/14Bd19lYaqBhU8_DElYkX7l4wRkHqqCUFNJY4AfY3kHU/edit?usp=sharing  #gid=0"",""фіз особи new!relations_name""),6,FALSE)
,
(IF
(
G4080=""юридична особа""
,
VLOOKUP"&amp;"(H4080,IMPORTRANGE(""https://docs.google.com/spreadsheets/d/14Bd19lYaqBhU8_DElYkX7l4wRkHqqCUFNJY4AfY3kHU/edit?usp=sharing  #gid=0"",""фіз особи new!relations_name_uo""),7,FALSE)
,
)
))"),"#N/A")</f>
        <v>#N/A</v>
      </c>
      <c r="J4079" s="7" t="s">
        <v>15</v>
      </c>
    </row>
    <row r="4080" spans="1:10" ht="13.2">
      <c r="A4080" s="7">
        <v>4079</v>
      </c>
      <c r="B4080" s="7">
        <v>1</v>
      </c>
      <c r="C4080" s="7" t="s">
        <v>10</v>
      </c>
      <c r="D4080" s="7">
        <v>2533</v>
      </c>
      <c r="E4080" s="7" t="s">
        <v>26</v>
      </c>
      <c r="F4080" s="8" t="str">
        <f ca="1">IFERROR(__xludf.DUMMYFUNCTION("IF
(
C4081=""фізична особа""
,
VLOOKUP(D4081,IMPORTRANGE(""https://docs.google.com/spreadsheets/d/14Bd19lYaqBhU8_DElYkX7l4wRkHqqCUFNJY4AfY3kHU/edit?usp=sharing  #gid=0"",""фіз особи new!relations_name""),6,FALSE)
,
(IF
(
C4081=""юридична особа""
,
VLOOKUP"&amp;"(D4081,IMPORTRANGE(""https://docs.google.com/spreadsheets/d/14Bd19lYaqBhU8_DElYkX7l4wRkHqqCUFNJY4AfY3kHU/edit?usp=sharing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80" s="7" t="s">
        <v>10</v>
      </c>
      <c r="H4080" s="7">
        <v>0</v>
      </c>
      <c r="I4080" s="8" t="str">
        <f ca="1">IFERROR(__xludf.DUMMYFUNCTION("IF
(
G4081=""фізична особа""
,
VLOOKUP(H4081,IMPORTRANGE(""https://docs.google.com/spreadsheets/d/14Bd19lYaqBhU8_DElYkX7l4wRkHqqCUFNJY4AfY3kHU/edit?usp=sharing  #gid=0"",""фіз особи new!relations_name""),6,FALSE)
,
(IF
(
G4081=""юридична особа""
,
VLOOKUP"&amp;"(H4081,IMPORTRANGE(""https://docs.google.com/spreadsheets/d/14Bd19lYaqBhU8_DElYkX7l4wRkHqqCUFNJY4AfY3kHU/edit?usp=sharing  #gid=0"",""фіз особи new!relations_name_uo""),7,FALSE)
,
)
))"),"#N/A")</f>
        <v>#N/A</v>
      </c>
      <c r="J4080" s="7" t="s">
        <v>24</v>
      </c>
    </row>
    <row r="4081" spans="1:10" ht="13.2">
      <c r="A4081" s="7">
        <v>4080</v>
      </c>
      <c r="B4081" s="7">
        <v>1</v>
      </c>
      <c r="C4081" s="7" t="s">
        <v>10</v>
      </c>
      <c r="D4081" s="7">
        <v>2533</v>
      </c>
      <c r="E4081" s="7" t="s">
        <v>26</v>
      </c>
      <c r="F4081" s="8" t="str">
        <f ca="1">IFERROR(__xludf.DUMMYFUNCTION("IF
(
C4082=""фізична особа""
,
VLOOKUP(D4082,IMPORTRANGE(""https://docs.google.com/spreadsheets/d/14Bd19lYaqBhU8_DElYkX7l4wRkHqqCUFNJY4AfY3kHU/edit?usp=sharing  #gid=0"",""фіз особи new!relations_name""),6,FALSE)
,
(IF
(
C4082=""юридична особа""
,
VLOOKUP"&amp;"(D4082,IMPORTRANGE(""https://docs.google.com/spreadsheets/d/14Bd19lYaqBhU8_DElYkX7l4wRkHqqCUFNJY4AfY3kHU/edit?usp=sharing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G4081" s="7" t="s">
        <v>10</v>
      </c>
      <c r="H4081" s="7">
        <v>0</v>
      </c>
      <c r="I4081" s="8" t="str">
        <f ca="1">IFERROR(__xludf.DUMMYFUNCTION("IF
(
G4082=""фізична особа""
,
VLOOKUP(H4082,IMPORTRANGE(""https://docs.google.com/spreadsheets/d/14Bd19lYaqBhU8_DElYkX7l4wRkHqqCUFNJY4AfY3kHU/edit?usp=sharing  #gid=0"",""фіз особи new!relations_name""),6,FALSE)
,
(IF
(
G4082=""юридична особа""
,
VLOOKUP"&amp;"(H4082,IMPORTRANGE(""https://docs.google.com/spreadsheets/d/14Bd19lYaqBhU8_DElYkX7l4wRkHqqCUFNJY4AfY3kHU/edit?usp=sharing  #gid=0"",""фіз особи new!relations_name_uo""),7,FALSE)
,
)
))"),"#N/A")</f>
        <v>#N/A</v>
      </c>
      <c r="J4081" s="7" t="s">
        <v>50</v>
      </c>
    </row>
    <row r="4082" spans="1:10" ht="13.2">
      <c r="A4082" s="7">
        <v>4081</v>
      </c>
      <c r="B4082" s="7">
        <v>1</v>
      </c>
      <c r="C4082" s="7" t="s">
        <v>10</v>
      </c>
      <c r="D4082" s="7">
        <v>2535</v>
      </c>
      <c r="E4082" s="7" t="s">
        <v>26</v>
      </c>
      <c r="F4082" s="8" t="str">
        <f ca="1">IFERROR(__xludf.DUMMYFUNCTION("IF
(
C4083=""фізична особа""
,
VLOOKUP(D4083,IMPORTRANGE(""https://docs.google.com/spreadsheets/d/14Bd19lYaqBhU8_DElYkX7l4wRkHqqCUFNJY4AfY3kHU/edit?usp=sharing  #gid=0"",""фіз особи new!relations_name""),6,FALSE)
,
(IF
(
C4083=""юридична особа""
,
VLOOKUP"&amp;"(D4083,IMPORTRANGE(""https://docs.google.com/spreadsheets/d/14Bd19lYaqBhU8_DElYkX7l4wRkHqqCUFNJY4AfY3kHU/edit?usp=sharing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2" s="7" t="s">
        <v>10</v>
      </c>
      <c r="H4082" s="7">
        <v>15573</v>
      </c>
      <c r="I4082" s="8" t="str">
        <f ca="1">IFERROR(__xludf.DUMMYFUNCTION("IF
(
G4083=""фізична особа""
,
VLOOKUP(H4083,IMPORTRANGE(""https://docs.google.com/spreadsheets/d/14Bd19lYaqBhU8_DElYkX7l4wRkHqqCUFNJY4AfY3kHU/edit?usp=sharing  #gid=0"",""фіз особи new!relations_name""),6,FALSE)
,
(IF
(
G4083=""юридична особа""
,
VLOOKUP"&amp;"(H4083,IMPORTRANGE(""https://docs.google.com/spreadsheets/d/14Bd19lYaqBhU8_DElYkX7l4wRkHqqCUFNJY4AfY3kHU/edit?usp=sharing  #gid=0"",""фіз особи new!relations_name_uo""),7,FALSE)
,
)
))"),"АБРАМОВ Вячеслав Володимирович")</f>
        <v>АБРАМОВ Вячеслав Володимирович</v>
      </c>
      <c r="J4082" s="7" t="s">
        <v>24</v>
      </c>
    </row>
    <row r="4083" spans="1:10" ht="13.2">
      <c r="A4083" s="7">
        <v>4082</v>
      </c>
      <c r="B4083" s="7">
        <v>1</v>
      </c>
      <c r="C4083" s="7" t="s">
        <v>10</v>
      </c>
      <c r="D4083" s="7">
        <v>2535</v>
      </c>
      <c r="E4083" s="7" t="s">
        <v>14</v>
      </c>
      <c r="F4083" s="8" t="str">
        <f ca="1">IFERROR(__xludf.DUMMYFUNCTION("IF
(
C4084=""фізична особа""
,
VLOOKUP(D4084,IMPORTRANGE(""https://docs.google.com/spreadsheets/d/14Bd19lYaqBhU8_DElYkX7l4wRkHqqCUFNJY4AfY3kHU/edit?usp=sharing  #gid=0"",""фіз особи new!relations_name""),6,FALSE)
,
(IF
(
C4084=""юридична особа""
,
VLOOKUP"&amp;"(D4084,IMPORTRANGE(""https://docs.google.com/spreadsheets/d/14Bd19lYaqBhU8_DElYkX7l4wRkHqqCUFNJY4AfY3kHU/edit?usp=sharing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3" s="7" t="s">
        <v>10</v>
      </c>
      <c r="H4083" s="7">
        <v>4764</v>
      </c>
      <c r="I4083" s="8" t="str">
        <f ca="1">IFERROR(__xludf.DUMMYFUNCTION("IF
(
G4084=""фізична особа""
,
VLOOKUP(H4084,IMPORTRANGE(""https://docs.google.com/spreadsheets/d/14Bd19lYaqBhU8_DElYkX7l4wRkHqqCUFNJY4AfY3kHU/edit?usp=sharing  #gid=0"",""фіз особи new!relations_name""),6,FALSE)
,
(IF
(
G4084=""юридична особа""
,
VLOOKUP"&amp;"(H4084,IMPORTRANGE(""https://docs.google.com/spreadsheets/d/14Bd19lYaqBhU8_DElYkX7l4wRkHqqCUFNJY4AfY3kHU/edit?usp=sharing  #gid=0"",""фіз особи new!relations_name_uo""),7,FALSE)
,
)
))"),"АБРАМОВА Дар'я Вячеславівна")</f>
        <v>АБРАМОВА Дар'я Вячеславівна</v>
      </c>
      <c r="J4083" s="7" t="s">
        <v>15</v>
      </c>
    </row>
    <row r="4084" spans="1:10" ht="13.2">
      <c r="A4084" s="7">
        <v>4083</v>
      </c>
      <c r="B4084" s="7">
        <v>1</v>
      </c>
      <c r="C4084" s="7" t="s">
        <v>10</v>
      </c>
      <c r="D4084" s="7">
        <v>2535</v>
      </c>
      <c r="E4084" s="7" t="s">
        <v>26</v>
      </c>
      <c r="F4084" s="8" t="str">
        <f ca="1">IFERROR(__xludf.DUMMYFUNCTION("IF
(
C4085=""фізична особа""
,
VLOOKUP(D4085,IMPORTRANGE(""https://docs.google.com/spreadsheets/d/14Bd19lYaqBhU8_DElYkX7l4wRkHqqCUFNJY4AfY3kHU/edit?usp=sharing  #gid=0"",""фіз особи new!relations_name""),6,FALSE)
,
(IF
(
C4085=""юридична особа""
,
VLOOKUP"&amp;"(D4085,IMPORTRANGE(""https://docs.google.com/spreadsheets/d/14Bd19lYaqBhU8_DElYkX7l4wRkHqqCUFNJY4AfY3kHU/edit?usp=sharing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4" s="7" t="s">
        <v>10</v>
      </c>
      <c r="H4084" s="7">
        <v>0</v>
      </c>
      <c r="I4084" s="8" t="str">
        <f ca="1">IFERROR(__xludf.DUMMYFUNCTION("IF
(
G4085=""фізична особа""
,
VLOOKUP(H4085,IMPORTRANGE(""https://docs.google.com/spreadsheets/d/14Bd19lYaqBhU8_DElYkX7l4wRkHqqCUFNJY4AfY3kHU/edit?usp=sharing  #gid=0"",""фіз особи new!relations_name""),6,FALSE)
,
(IF
(
G4085=""юридична особа""
,
VLOOKUP"&amp;"(H4085,IMPORTRANGE(""https://docs.google.com/spreadsheets/d/14Bd19lYaqBhU8_DElYkX7l4wRkHqqCUFNJY4AfY3kHU/edit?usp=sharing  #gid=0"",""фіз особи new!relations_name_uo""),7,FALSE)
,
)
))"),"#N/A")</f>
        <v>#N/A</v>
      </c>
      <c r="J4084" s="7" t="s">
        <v>27</v>
      </c>
    </row>
    <row r="4085" spans="1:10" ht="13.2">
      <c r="A4085" s="7">
        <v>4084</v>
      </c>
      <c r="B4085" s="7">
        <v>1</v>
      </c>
      <c r="C4085" s="7" t="s">
        <v>10</v>
      </c>
      <c r="D4085" s="7">
        <v>2535</v>
      </c>
      <c r="E4085" s="7" t="s">
        <v>17</v>
      </c>
      <c r="F4085" s="8" t="str">
        <f ca="1">IFERROR(__xludf.DUMMYFUNCTION("IF
(
C4086=""фізична особа""
,
VLOOKUP(D4086,IMPORTRANGE(""https://docs.google.com/spreadsheets/d/14Bd19lYaqBhU8_DElYkX7l4wRkHqqCUFNJY4AfY3kHU/edit?usp=sharing  #gid=0"",""фіз особи new!relations_name""),6,FALSE)
,
(IF
(
C4086=""юридична особа""
,
VLOOKUP"&amp;"(D4086,IMPORTRANGE(""https://docs.google.com/spreadsheets/d/14Bd19lYaqBhU8_DElYkX7l4wRkHqqCUFNJY4AfY3kHU/edit?usp=sharing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5" s="7" t="s">
        <v>10</v>
      </c>
      <c r="H4085" s="7">
        <v>0</v>
      </c>
      <c r="I4085" s="8" t="str">
        <f ca="1">IFERROR(__xludf.DUMMYFUNCTION("IF
(
G4086=""фізична особа""
,
VLOOKUP(H4086,IMPORTRANGE(""https://docs.google.com/spreadsheets/d/14Bd19lYaqBhU8_DElYkX7l4wRkHqqCUFNJY4AfY3kHU/edit?usp=sharing  #gid=0"",""фіз особи new!relations_name""),6,FALSE)
,
(IF
(
G4086=""юридична особа""
,
VLOOKUP"&amp;"(H4086,IMPORTRANGE(""https://docs.google.com/spreadsheets/d/14Bd19lYaqBhU8_DElYkX7l4wRkHqqCUFNJY4AfY3kHU/edit?usp=sharing  #gid=0"",""фіз особи new!relations_name_uo""),7,FALSE)
,
)
))"),"#N/A")</f>
        <v>#N/A</v>
      </c>
      <c r="J4085" s="7" t="s">
        <v>12</v>
      </c>
    </row>
    <row r="4086" spans="1:10" ht="13.2">
      <c r="A4086" s="7">
        <v>4085</v>
      </c>
      <c r="B4086" s="7">
        <v>1</v>
      </c>
      <c r="C4086" s="7" t="s">
        <v>10</v>
      </c>
      <c r="D4086" s="7">
        <v>2535</v>
      </c>
      <c r="E4086" s="7" t="s">
        <v>18</v>
      </c>
      <c r="F4086" s="8" t="str">
        <f ca="1">IFERROR(__xludf.DUMMYFUNCTION("IF
(
C4087=""фізична особа""
,
VLOOKUP(D4087,IMPORTRANGE(""https://docs.google.com/spreadsheets/d/14Bd19lYaqBhU8_DElYkX7l4wRkHqqCUFNJY4AfY3kHU/edit?usp=sharing  #gid=0"",""фіз особи new!relations_name""),6,FALSE)
,
(IF
(
C4087=""юридична особа""
,
VLOOKUP"&amp;"(D4087,IMPORTRANGE(""https://docs.google.com/spreadsheets/d/14Bd19lYaqBhU8_DElYkX7l4wRkHqqCUFNJY4AfY3kHU/edit?usp=sharing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6" s="7" t="s">
        <v>10</v>
      </c>
      <c r="H4086" s="7">
        <v>0</v>
      </c>
      <c r="I4086" s="8" t="str">
        <f ca="1">IFERROR(__xludf.DUMMYFUNCTION("IF
(
G4087=""фізична особа""
,
VLOOKUP(H4087,IMPORTRANGE(""https://docs.google.com/spreadsheets/d/14Bd19lYaqBhU8_DElYkX7l4wRkHqqCUFNJY4AfY3kHU/edit?usp=sharing  #gid=0"",""фіз особи new!relations_name""),6,FALSE)
,
(IF
(
G4087=""юридична особа""
,
VLOOKUP"&amp;"(H4087,IMPORTRANGE(""https://docs.google.com/spreadsheets/d/14Bd19lYaqBhU8_DElYkX7l4wRkHqqCUFNJY4AfY3kHU/edit?usp=sharing  #gid=0"",""фіз особи new!relations_name_uo""),7,FALSE)
,
)
))"),"#N/A")</f>
        <v>#N/A</v>
      </c>
      <c r="J4086" s="7" t="s">
        <v>18</v>
      </c>
    </row>
    <row r="4087" spans="1:10" ht="13.2">
      <c r="A4087" s="7">
        <v>4086</v>
      </c>
      <c r="B4087" s="7">
        <v>1</v>
      </c>
      <c r="C4087" s="7" t="s">
        <v>10</v>
      </c>
      <c r="D4087" s="7">
        <v>2535</v>
      </c>
      <c r="E4087" s="7" t="s">
        <v>17</v>
      </c>
      <c r="F4087" s="8" t="str">
        <f ca="1">IFERROR(__xludf.DUMMYFUNCTION("IF
(
C4088=""фізична особа""
,
VLOOKUP(D4088,IMPORTRANGE(""https://docs.google.com/spreadsheets/d/14Bd19lYaqBhU8_DElYkX7l4wRkHqqCUFNJY4AfY3kHU/edit?usp=sharing  #gid=0"",""фіз особи new!relations_name""),6,FALSE)
,
(IF
(
C4088=""юридична особа""
,
VLOOKUP"&amp;"(D4088,IMPORTRANGE(""https://docs.google.com/spreadsheets/d/14Bd19lYaqBhU8_DElYkX7l4wRkHqqCUFNJY4AfY3kHU/edit?usp=sharing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G4087" s="7" t="s">
        <v>10</v>
      </c>
      <c r="H4087" s="7">
        <v>0</v>
      </c>
      <c r="I4087" s="8" t="str">
        <f ca="1">IFERROR(__xludf.DUMMYFUNCTION("IF
(
G4088=""фізична особа""
,
VLOOKUP(H4088,IMPORTRANGE(""https://docs.google.com/spreadsheets/d/14Bd19lYaqBhU8_DElYkX7l4wRkHqqCUFNJY4AfY3kHU/edit?usp=sharing  #gid=0"",""фіз особи new!relations_name""),6,FALSE)
,
(IF
(
G4088=""юридична особа""
,
VLOOKUP"&amp;"(H4088,IMPORTRANGE(""https://docs.google.com/spreadsheets/d/14Bd19lYaqBhU8_DElYkX7l4wRkHqqCUFNJY4AfY3kHU/edit?usp=sharing  #gid=0"",""фіз особи new!relations_name_uo""),7,FALSE)
,
)
))"),"#N/A")</f>
        <v>#N/A</v>
      </c>
      <c r="J4087" s="7" t="s">
        <v>21</v>
      </c>
    </row>
    <row r="4088" spans="1:10" ht="13.2">
      <c r="A4088" s="7">
        <v>4087</v>
      </c>
      <c r="B4088" s="7">
        <v>1</v>
      </c>
      <c r="C4088" s="7" t="s">
        <v>10</v>
      </c>
      <c r="D4088" s="7">
        <v>2536</v>
      </c>
      <c r="E4088" s="7" t="s">
        <v>17</v>
      </c>
      <c r="F4088" s="8" t="str">
        <f ca="1">IFERROR(__xludf.DUMMYFUNCTION("IF
(
C4089=""фізична особа""
,
VLOOKUP(D4089,IMPORTRANGE(""https://docs.google.com/spreadsheets/d/14Bd19lYaqBhU8_DElYkX7l4wRkHqqCUFNJY4AfY3kHU/edit?usp=sharing  #gid=0"",""фіз особи new!relations_name""),6,FALSE)
,
(IF
(
C4089=""юридична особа""
,
VLOOKUP"&amp;"(D4089,IMPORTRANGE(""https://docs.google.com/spreadsheets/d/14Bd19lYaqBhU8_DElYkX7l4wRkHqqCUFNJY4AfY3kHU/edit?usp=sharing  #gid=0"",""фіз особи new!relations_name_uo""),7,FALSE)
,
)
))"),"ШАПША Владислав Валерійович")</f>
        <v>ШАПША Владислав Валерійович</v>
      </c>
      <c r="G4088" s="7" t="s">
        <v>10</v>
      </c>
      <c r="H4088" s="7">
        <v>4787</v>
      </c>
      <c r="I4088" s="8" t="str">
        <f ca="1">IFERROR(__xludf.DUMMYFUNCTION("IF
(
G4089=""фізична особа""
,
VLOOKUP(H4089,IMPORTRANGE(""https://docs.google.com/spreadsheets/d/14Bd19lYaqBhU8_DElYkX7l4wRkHqqCUFNJY4AfY3kHU/edit?usp=sharing  #gid=0"",""фіз особи new!relations_name""),6,FALSE)
,
(IF
(
G4089=""юридична особа""
,
VLOOKUP"&amp;"(H4089,IMPORTRANGE(""https://docs.google.com/spreadsheets/d/14Bd19lYaqBhU8_DElYkX7l4wRkHqqCUFNJY4AfY3kHU/edit?usp=sharing  #gid=0"",""фіз особи new!relations_name_uo""),7,FALSE)
,
)
))"),"ШАПША Валерій Федорович")</f>
        <v>ШАПША Валерій Федорович</v>
      </c>
      <c r="J4088" s="7" t="s">
        <v>12</v>
      </c>
    </row>
    <row r="4089" spans="1:10" ht="13.2">
      <c r="A4089" s="7">
        <v>4088</v>
      </c>
      <c r="B4089" s="7">
        <v>1</v>
      </c>
      <c r="C4089" s="7" t="s">
        <v>10</v>
      </c>
      <c r="D4089" s="7">
        <v>2538</v>
      </c>
      <c r="E4089" s="7" t="s">
        <v>14</v>
      </c>
      <c r="F4089" s="8" t="str">
        <f ca="1">IFERROR(__xludf.DUMMYFUNCTION("IF
(
C4090=""фізична особа""
,
VLOOKUP(D4090,IMPORTRANGE(""https://docs.google.com/spreadsheets/d/14Bd19lYaqBhU8_DElYkX7l4wRkHqqCUFNJY4AfY3kHU/edit?usp=sharing  #gid=0"",""фіз особи new!relations_name""),6,FALSE)
,
(IF
(
C4090=""юридична особа""
,
VLOOKUP"&amp;"(D4090,IMPORTRANGE(""https://docs.google.com/spreadsheets/d/14Bd19lYaqBhU8_DElYkX7l4wRkHqqCUFNJY4AfY3kHU/edit?usp=sharing  #gid=0"",""фіз особи new!relations_name_uo""),7,FALSE)
,
)
))"),"ВАСИЛЬЄВ Ігор Володимирович")</f>
        <v>ВАСИЛЬЄВ Ігор Володимирович</v>
      </c>
      <c r="G4089" s="7" t="s">
        <v>10</v>
      </c>
      <c r="H4089" s="7">
        <v>4835</v>
      </c>
      <c r="I4089" s="8" t="str">
        <f ca="1">IFERROR(__xludf.DUMMYFUNCTION("IF
(
G4090=""фізична особа""
,
VLOOKUP(H4090,IMPORTRANGE(""https://docs.google.com/spreadsheets/d/14Bd19lYaqBhU8_DElYkX7l4wRkHqqCUFNJY4AfY3kHU/edit?usp=sharing  #gid=0"",""фіз особи new!relations_name""),6,FALSE)
,
(IF
(
G4090=""юридична особа""
,
VLOOKUP"&amp;"(H4090,IMPORTRANGE(""https://docs.google.com/spreadsheets/d/14Bd19lYaqBhU8_DElYkX7l4wRkHqqCUFNJY4AfY3kHU/edit?usp=sharing  #gid=0"",""фіз особи new!relations_name_uo""),7,FALSE)
,
)
))"),"ВАСИЛЬЄВА Лілія Валентинівна")</f>
        <v>ВАСИЛЬЄВА Лілія Валентинівна</v>
      </c>
      <c r="J4089" s="7" t="s">
        <v>15</v>
      </c>
    </row>
    <row r="4090" spans="1:10" ht="13.2">
      <c r="A4090" s="7">
        <v>4089</v>
      </c>
      <c r="B4090" s="7">
        <v>1</v>
      </c>
      <c r="C4090" s="7" t="s">
        <v>10</v>
      </c>
      <c r="D4090" s="7">
        <v>2538</v>
      </c>
      <c r="E4090" s="7" t="s">
        <v>12</v>
      </c>
      <c r="F4090" s="8" t="str">
        <f ca="1">IFERROR(__xludf.DUMMYFUNCTION("IF
(
C4091=""фізична особа""
,
VLOOKUP(D4091,IMPORTRANGE(""https://docs.google.com/spreadsheets/d/14Bd19lYaqBhU8_DElYkX7l4wRkHqqCUFNJY4AfY3kHU/edit?usp=sharing  #gid=0"",""фіз особи new!relations_name""),6,FALSE)
,
(IF
(
C4091=""юридична особа""
,
VLOOKUP"&amp;"(D4091,IMPORTRANGE(""https://docs.google.com/spreadsheets/d/14Bd19lYaqBhU8_DElYkX7l4wRkHqqCUFNJY4AfY3kHU/edit?usp=sharing  #gid=0"",""фіз особи new!relations_name_uo""),7,FALSE)
,
)
))"),"ВАСИЛЬЄВ Ігор Володимирович")</f>
        <v>ВАСИЛЬЄВ Ігор Володимирович</v>
      </c>
      <c r="G4090" s="7" t="s">
        <v>10</v>
      </c>
      <c r="H4090" s="7">
        <v>4836</v>
      </c>
      <c r="I4090" s="8" t="str">
        <f ca="1">IFERROR(__xludf.DUMMYFUNCTION("IF
(
G4091=""фізична особа""
,
VLOOKUP(H4091,IMPORTRANGE(""https://docs.google.com/spreadsheets/d/14Bd19lYaqBhU8_DElYkX7l4wRkHqqCUFNJY4AfY3kHU/edit?usp=sharing  #gid=0"",""фіз особи new!relations_name""),6,FALSE)
,
(IF
(
G4091=""юридична особа""
,
VLOOKUP"&amp;"(H4091,IMPORTRANGE(""https://docs.google.com/spreadsheets/d/14Bd19lYaqBhU8_DElYkX7l4wRkHqqCUFNJY4AfY3kHU/edit?usp=sharing  #gid=0"",""фіз особи new!relations_name_uo""),7,FALSE)
,
)
))"),"ВАСИЛЬЄВА Ольга Ігорівна")</f>
        <v>ВАСИЛЬЄВА Ольга Ігорівна</v>
      </c>
      <c r="J4090" s="7" t="s">
        <v>13</v>
      </c>
    </row>
    <row r="4091" spans="1:10" ht="13.2">
      <c r="A4091" s="7">
        <v>4090</v>
      </c>
      <c r="B4091" s="7">
        <v>1</v>
      </c>
      <c r="C4091" s="7" t="s">
        <v>10</v>
      </c>
      <c r="D4091" s="7">
        <v>2539</v>
      </c>
      <c r="E4091" s="7" t="s">
        <v>12</v>
      </c>
      <c r="F4091" s="8" t="str">
        <f ca="1">IFERROR(__xludf.DUMMYFUNCTION("IF
(
C4092=""фізична особа""
,
VLOOKUP(D4092,IMPORTRANGE(""https://docs.google.com/spreadsheets/d/14Bd19lYaqBhU8_DElYkX7l4wRkHqqCUFNJY4AfY3kHU/edit?usp=sharing  #gid=0"",""фіз особи new!relations_name""),6,FALSE)
,
(IF
(
C4092=""юридична особа""
,
VLOOKUP"&amp;"(D4092,IMPORTRANGE(""https://docs.google.com/spreadsheets/d/14Bd19lYaqBhU8_DElYkX7l4wRkHqqCUFNJY4AfY3kHU/edit?usp=sharing  #gid=0"",""фіз особи new!relations_name_uo""),7,FALSE)
,
)
))"),"СІТНІКОВ Сергій Костянтинович")</f>
        <v>СІТНІКОВ Сергій Костянтинович</v>
      </c>
      <c r="G4091" s="7" t="s">
        <v>10</v>
      </c>
      <c r="H4091" s="7">
        <v>0</v>
      </c>
      <c r="I4091" s="8" t="str">
        <f ca="1">IFERROR(__xludf.DUMMYFUNCTION("IF
(
G4092=""фізична особа""
,
VLOOKUP(H4092,IMPORTRANGE(""https://docs.google.com/spreadsheets/d/14Bd19lYaqBhU8_DElYkX7l4wRkHqqCUFNJY4AfY3kHU/edit?usp=sharing  #gid=0"",""фіз особи new!relations_name""),6,FALSE)
,
(IF
(
G4092=""юридична особа""
,
VLOOKUP"&amp;"(H4092,IMPORTRANGE(""https://docs.google.com/spreadsheets/d/14Bd19lYaqBhU8_DElYkX7l4wRkHqqCUFNJY4AfY3kHU/edit?usp=sharing  #gid=0"",""фіз особи new!relations_name_uo""),7,FALSE)
,
)
))"),"#N/A")</f>
        <v>#N/A</v>
      </c>
      <c r="J4091" s="7" t="s">
        <v>17</v>
      </c>
    </row>
    <row r="4092" spans="1:10" ht="13.2">
      <c r="A4092" s="7">
        <v>4091</v>
      </c>
      <c r="B4092" s="7">
        <v>1</v>
      </c>
      <c r="C4092" s="7" t="s">
        <v>10</v>
      </c>
      <c r="D4092" s="7">
        <v>2539</v>
      </c>
      <c r="E4092" s="7" t="s">
        <v>14</v>
      </c>
      <c r="F4092" s="8" t="str">
        <f ca="1">IFERROR(__xludf.DUMMYFUNCTION("IF
(
C4093=""фізична особа""
,
VLOOKUP(D4093,IMPORTRANGE(""https://docs.google.com/spreadsheets/d/14Bd19lYaqBhU8_DElYkX7l4wRkHqqCUFNJY4AfY3kHU/edit?usp=sharing  #gid=0"",""фіз особи new!relations_name""),6,FALSE)
,
(IF
(
C4093=""юридична особа""
,
VLOOKUP"&amp;"(D4093,IMPORTRANGE(""https://docs.google.com/spreadsheets/d/14Bd19lYaqBhU8_DElYkX7l4wRkHqqCUFNJY4AfY3kHU/edit?usp=sharing  #gid=0"",""фіз особи new!relations_name_uo""),7,FALSE)
,
)
))"),"СІТНІКОВ Сергій Костянтинович")</f>
        <v>СІТНІКОВ Сергій Костянтинович</v>
      </c>
      <c r="G4092" s="7" t="s">
        <v>10</v>
      </c>
      <c r="H4092" s="7">
        <v>0</v>
      </c>
      <c r="I4092" s="8" t="str">
        <f ca="1">IFERROR(__xludf.DUMMYFUNCTION("IF
(
G4093=""фізична особа""
,
VLOOKUP(H4093,IMPORTRANGE(""https://docs.google.com/spreadsheets/d/14Bd19lYaqBhU8_DElYkX7l4wRkHqqCUFNJY4AfY3kHU/edit?usp=sharing  #gid=0"",""фіз особи new!relations_name""),6,FALSE)
,
(IF
(
G4093=""юридична особа""
,
VLOOKUP"&amp;"(H4093,IMPORTRANGE(""https://docs.google.com/spreadsheets/d/14Bd19lYaqBhU8_DElYkX7l4wRkHqqCUFNJY4AfY3kHU/edit?usp=sharing  #gid=0"",""фіз особи new!relations_name_uo""),7,FALSE)
,
)
))"),"#N/A")</f>
        <v>#N/A</v>
      </c>
      <c r="J4092" s="7" t="s">
        <v>15</v>
      </c>
    </row>
    <row r="4093" spans="1:10" ht="13.2">
      <c r="A4093" s="7">
        <v>4092</v>
      </c>
      <c r="B4093" s="7">
        <v>1</v>
      </c>
      <c r="C4093" s="7" t="s">
        <v>10</v>
      </c>
      <c r="D4093" s="7">
        <v>2539</v>
      </c>
      <c r="E4093" s="7" t="s">
        <v>34</v>
      </c>
      <c r="F4093" s="8" t="str">
        <f ca="1">IFERROR(__xludf.DUMMYFUNCTION("IF
(
C4094=""фізична особа""
,
VLOOKUP(D4094,IMPORTRANGE(""https://docs.google.com/spreadsheets/d/14Bd19lYaqBhU8_DElYkX7l4wRkHqqCUFNJY4AfY3kHU/edit?usp=sharing  #gid=0"",""фіз особи new!relations_name""),6,FALSE)
,
(IF
(
C4094=""юридична особа""
,
VLOOKUP"&amp;"(D4094,IMPORTRANGE(""https://docs.google.com/spreadsheets/d/14Bd19lYaqBhU8_DElYkX7l4wRkHqqCUFNJY4AfY3kHU/edit?usp=sharing  #gid=0"",""фіз особи new!relations_name_uo""),7,FALSE)
,
)
))"),"СІТНІКОВ Сергій Костянтинович")</f>
        <v>СІТНІКОВ Сергій Костянтинович</v>
      </c>
      <c r="G4093" s="7" t="s">
        <v>10</v>
      </c>
      <c r="H4093" s="7">
        <v>0</v>
      </c>
      <c r="I4093" s="8" t="str">
        <f ca="1">IFERROR(__xludf.DUMMYFUNCTION("IF
(
G4094=""фізична особа""
,
VLOOKUP(H4094,IMPORTRANGE(""https://docs.google.com/spreadsheets/d/14Bd19lYaqBhU8_DElYkX7l4wRkHqqCUFNJY4AfY3kHU/edit?usp=sharing  #gid=0"",""фіз особи new!relations_name""),6,FALSE)
,
(IF
(
G4094=""юридична особа""
,
VLOOKUP"&amp;"(H4094,IMPORTRANGE(""https://docs.google.com/spreadsheets/d/14Bd19lYaqBhU8_DElYkX7l4wRkHqqCUFNJY4AfY3kHU/edit?usp=sharing  #gid=0"",""фіз особи new!relations_name_uo""),7,FALSE)
,
)
))"),"#N/A")</f>
        <v>#N/A</v>
      </c>
      <c r="J4093" s="7" t="s">
        <v>25</v>
      </c>
    </row>
    <row r="4094" spans="1:10" ht="13.2">
      <c r="A4094" s="7">
        <v>4093</v>
      </c>
      <c r="B4094" s="7">
        <v>1</v>
      </c>
      <c r="C4094" s="7" t="s">
        <v>10</v>
      </c>
      <c r="D4094" s="7">
        <v>2540</v>
      </c>
      <c r="E4094" s="7" t="s">
        <v>17</v>
      </c>
      <c r="F4094" s="8" t="str">
        <f ca="1">IFERROR(__xludf.DUMMYFUNCTION("IF
(
C4095=""фізична особа""
,
VLOOKUP(D4095,IMPORTRANGE(""https://docs.google.com/spreadsheets/d/14Bd19lYaqBhU8_DElYkX7l4wRkHqqCUFNJY4AfY3kHU/edit?usp=sharing  #gid=0"",""фіз особи new!relations_name""),6,FALSE)
,
(IF
(
C4095=""юридична особа""
,
VLOOKUP"&amp;"(D4095,IMPORTRANGE(""https://docs.google.com/spreadsheets/d/14Bd19lYaqBhU8_DElYkX7l4wRkHqqCUFNJY4AfY3kHU/edit?usp=sharing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4" s="7" t="s">
        <v>10</v>
      </c>
      <c r="H4094" s="7">
        <v>0</v>
      </c>
      <c r="I4094" s="8" t="str">
        <f ca="1">IFERROR(__xludf.DUMMYFUNCTION("IF
(
G4095=""фізична особа""
,
VLOOKUP(H4095,IMPORTRANGE(""https://docs.google.com/spreadsheets/d/14Bd19lYaqBhU8_DElYkX7l4wRkHqqCUFNJY4AfY3kHU/edit?usp=sharing  #gid=0"",""фіз особи new!relations_name""),6,FALSE)
,
(IF
(
G4095=""юридична особа""
,
VLOOKUP"&amp;"(H4095,IMPORTRANGE(""https://docs.google.com/spreadsheets/d/14Bd19lYaqBhU8_DElYkX7l4wRkHqqCUFNJY4AfY3kHU/edit?usp=sharing  #gid=0"",""фіз особи new!relations_name_uo""),7,FALSE)
,
)
))"),"#N/A")</f>
        <v>#N/A</v>
      </c>
      <c r="J4094" s="7" t="s">
        <v>21</v>
      </c>
    </row>
    <row r="4095" spans="1:10" ht="13.2">
      <c r="A4095" s="7">
        <v>4094</v>
      </c>
      <c r="B4095" s="7">
        <v>1</v>
      </c>
      <c r="C4095" s="7" t="s">
        <v>10</v>
      </c>
      <c r="D4095" s="7">
        <v>2540</v>
      </c>
      <c r="E4095" s="7" t="s">
        <v>17</v>
      </c>
      <c r="F4095" s="8" t="str">
        <f ca="1">IFERROR(__xludf.DUMMYFUNCTION("IF
(
C4096=""фізична особа""
,
VLOOKUP(D4096,IMPORTRANGE(""https://docs.google.com/spreadsheets/d/14Bd19lYaqBhU8_DElYkX7l4wRkHqqCUFNJY4AfY3kHU/edit?usp=sharing  #gid=0"",""фіз особи new!relations_name""),6,FALSE)
,
(IF
(
C4096=""юридична особа""
,
VLOOKUP"&amp;"(D4096,IMPORTRANGE(""https://docs.google.com/spreadsheets/d/14Bd19lYaqBhU8_DElYkX7l4wRkHqqCUFNJY4AfY3kHU/edit?usp=sharing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5" s="7" t="s">
        <v>10</v>
      </c>
      <c r="H4095" s="7">
        <v>0</v>
      </c>
      <c r="I4095" s="8" t="str">
        <f ca="1">IFERROR(__xludf.DUMMYFUNCTION("IF
(
G4096=""фізична особа""
,
VLOOKUP(H4096,IMPORTRANGE(""https://docs.google.com/spreadsheets/d/14Bd19lYaqBhU8_DElYkX7l4wRkHqqCUFNJY4AfY3kHU/edit?usp=sharing  #gid=0"",""фіз особи new!relations_name""),6,FALSE)
,
(IF
(
G4096=""юридична особа""
,
VLOOKUP"&amp;"(H4096,IMPORTRANGE(""https://docs.google.com/spreadsheets/d/14Bd19lYaqBhU8_DElYkX7l4wRkHqqCUFNJY4AfY3kHU/edit?usp=sharing  #gid=0"",""фіз особи new!relations_name_uo""),7,FALSE)
,
)
))"),"#N/A")</f>
        <v>#N/A</v>
      </c>
      <c r="J4095" s="7" t="s">
        <v>12</v>
      </c>
    </row>
    <row r="4096" spans="1:10" ht="13.2">
      <c r="A4096" s="7">
        <v>4095</v>
      </c>
      <c r="B4096" s="7">
        <v>1</v>
      </c>
      <c r="C4096" s="7" t="s">
        <v>10</v>
      </c>
      <c r="D4096" s="7">
        <v>2540</v>
      </c>
      <c r="E4096" s="7" t="s">
        <v>14</v>
      </c>
      <c r="F4096" s="8" t="str">
        <f ca="1">IFERROR(__xludf.DUMMYFUNCTION("IF
(
C4097=""фізична особа""
,
VLOOKUP(D4097,IMPORTRANGE(""https://docs.google.com/spreadsheets/d/14Bd19lYaqBhU8_DElYkX7l4wRkHqqCUFNJY4AfY3kHU/edit?usp=sharing  #gid=0"",""фіз особи new!relations_name""),6,FALSE)
,
(IF
(
C4097=""юридична особа""
,
VLOOKUP"&amp;"(D4097,IMPORTRANGE(""https://docs.google.com/spreadsheets/d/14Bd19lYaqBhU8_DElYkX7l4wRkHqqCUFNJY4AfY3kHU/edit?usp=sharing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6" s="7" t="s">
        <v>10</v>
      </c>
      <c r="H4096" s="7">
        <v>0</v>
      </c>
      <c r="I4096" s="8" t="str">
        <f ca="1">IFERROR(__xludf.DUMMYFUNCTION("IF
(
G4097=""фізична особа""
,
VLOOKUP(H4097,IMPORTRANGE(""https://docs.google.com/spreadsheets/d/14Bd19lYaqBhU8_DElYkX7l4wRkHqqCUFNJY4AfY3kHU/edit?usp=sharing  #gid=0"",""фіз особи new!relations_name""),6,FALSE)
,
(IF
(
G4097=""юридична особа""
,
VLOOKUP"&amp;"(H4097,IMPORTRANGE(""https://docs.google.com/spreadsheets/d/14Bd19lYaqBhU8_DElYkX7l4wRkHqqCUFNJY4AfY3kHU/edit?usp=sharing  #gid=0"",""фіз особи new!relations_name_uo""),7,FALSE)
,
)
))"),"#N/A")</f>
        <v>#N/A</v>
      </c>
      <c r="J4096" s="7" t="s">
        <v>15</v>
      </c>
    </row>
    <row r="4097" spans="1:10" ht="13.2">
      <c r="A4097" s="7">
        <v>4096</v>
      </c>
      <c r="B4097" s="7">
        <v>1</v>
      </c>
      <c r="C4097" s="7" t="s">
        <v>10</v>
      </c>
      <c r="D4097" s="7">
        <v>2540</v>
      </c>
      <c r="E4097" s="7" t="s">
        <v>12</v>
      </c>
      <c r="F4097" s="8" t="str">
        <f ca="1">IFERROR(__xludf.DUMMYFUNCTION("IF
(
C4098=""фізична особа""
,
VLOOKUP(D4098,IMPORTRANGE(""https://docs.google.com/spreadsheets/d/14Bd19lYaqBhU8_DElYkX7l4wRkHqqCUFNJY4AfY3kHU/edit?usp=sharing  #gid=0"",""фіз особи new!relations_name""),6,FALSE)
,
(IF
(
C4098=""юридична особа""
,
VLOOKUP"&amp;"(D4098,IMPORTRANGE(""https://docs.google.com/spreadsheets/d/14Bd19lYaqBhU8_DElYkX7l4wRkHqqCUFNJY4AfY3kHU/edit?usp=sharing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7" s="7" t="s">
        <v>10</v>
      </c>
      <c r="H4097" s="7">
        <v>0</v>
      </c>
      <c r="I4097" s="8" t="str">
        <f ca="1">IFERROR(__xludf.DUMMYFUNCTION("IF
(
G4098=""фізична особа""
,
VLOOKUP(H4098,IMPORTRANGE(""https://docs.google.com/spreadsheets/d/14Bd19lYaqBhU8_DElYkX7l4wRkHqqCUFNJY4AfY3kHU/edit?usp=sharing  #gid=0"",""фіз особи new!relations_name""),6,FALSE)
,
(IF
(
G4098=""юридична особа""
,
VLOOKUP"&amp;"(H4098,IMPORTRANGE(""https://docs.google.com/spreadsheets/d/14Bd19lYaqBhU8_DElYkX7l4wRkHqqCUFNJY4AfY3kHU/edit?usp=sharing  #gid=0"",""фіз особи new!relations_name_uo""),7,FALSE)
,
)
))"),"#N/A")</f>
        <v>#N/A</v>
      </c>
      <c r="J4097" s="7" t="s">
        <v>17</v>
      </c>
    </row>
    <row r="4098" spans="1:10" ht="13.2">
      <c r="A4098" s="7">
        <v>4097</v>
      </c>
      <c r="B4098" s="7">
        <v>1</v>
      </c>
      <c r="C4098" s="7" t="s">
        <v>10</v>
      </c>
      <c r="D4098" s="7">
        <v>2540</v>
      </c>
      <c r="E4098" s="7" t="s">
        <v>12</v>
      </c>
      <c r="F4098" s="8" t="str">
        <f ca="1">IFERROR(__xludf.DUMMYFUNCTION("IF
(
C4099=""фізична особа""
,
VLOOKUP(D4099,IMPORTRANGE(""https://docs.google.com/spreadsheets/d/14Bd19lYaqBhU8_DElYkX7l4wRkHqqCUFNJY4AfY3kHU/edit?usp=sharing  #gid=0"",""фіз особи new!relations_name""),6,FALSE)
,
(IF
(
C4099=""юридична особа""
,
VLOOKUP"&amp;"(D4099,IMPORTRANGE(""https://docs.google.com/spreadsheets/d/14Bd19lYaqBhU8_DElYkX7l4wRkHqqCUFNJY4AfY3kHU/edit?usp=sharing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8" s="7" t="s">
        <v>10</v>
      </c>
      <c r="H4098" s="7">
        <v>0</v>
      </c>
      <c r="I4098" s="8" t="str">
        <f ca="1">IFERROR(__xludf.DUMMYFUNCTION("IF
(
G4099=""фізична особа""
,
VLOOKUP(H4099,IMPORTRANGE(""https://docs.google.com/spreadsheets/d/14Bd19lYaqBhU8_DElYkX7l4wRkHqqCUFNJY4AfY3kHU/edit?usp=sharing  #gid=0"",""фіз особи new!relations_name""),6,FALSE)
,
(IF
(
G4099=""юридична особа""
,
VLOOKUP"&amp;"(H4099,IMPORTRANGE(""https://docs.google.com/spreadsheets/d/14Bd19lYaqBhU8_DElYkX7l4wRkHqqCUFNJY4AfY3kHU/edit?usp=sharing  #gid=0"",""фіз особи new!relations_name_uo""),7,FALSE)
,
)
))"),"#N/A")</f>
        <v>#N/A</v>
      </c>
      <c r="J4098" s="7" t="s">
        <v>17</v>
      </c>
    </row>
    <row r="4099" spans="1:10" ht="13.2">
      <c r="A4099" s="7">
        <v>4098</v>
      </c>
      <c r="B4099" s="7">
        <v>1</v>
      </c>
      <c r="C4099" s="7" t="s">
        <v>10</v>
      </c>
      <c r="D4099" s="7">
        <v>2540</v>
      </c>
      <c r="E4099" s="7" t="s">
        <v>12</v>
      </c>
      <c r="F4099" s="8" t="str">
        <f ca="1">IFERROR(__xludf.DUMMYFUNCTION("IF
(
C4100=""фізична особа""
,
VLOOKUP(D4100,IMPORTRANGE(""https://docs.google.com/spreadsheets/d/14Bd19lYaqBhU8_DElYkX7l4wRkHqqCUFNJY4AfY3kHU/edit?usp=sharing  #gid=0"",""фіз особи new!relations_name""),6,FALSE)
,
(IF
(
C4100=""юридична особа""
,
VLOOKUP"&amp;"(D4100,IMPORTRANGE(""https://docs.google.com/spreadsheets/d/14Bd19lYaqBhU8_DElYkX7l4wRkHqqCUFNJY4AfY3kHU/edit?usp=sharing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099" s="7" t="s">
        <v>10</v>
      </c>
      <c r="H4099" s="7">
        <v>0</v>
      </c>
      <c r="I4099" s="8" t="str">
        <f ca="1">IFERROR(__xludf.DUMMYFUNCTION("IF
(
G4100=""фізична особа""
,
VLOOKUP(H4100,IMPORTRANGE(""https://docs.google.com/spreadsheets/d/14Bd19lYaqBhU8_DElYkX7l4wRkHqqCUFNJY4AfY3kHU/edit?usp=sharing  #gid=0"",""фіз особи new!relations_name""),6,FALSE)
,
(IF
(
G4100=""юридична особа""
,
VLOOKUP"&amp;"(H4100,IMPORTRANGE(""https://docs.google.com/spreadsheets/d/14Bd19lYaqBhU8_DElYkX7l4wRkHqqCUFNJY4AfY3kHU/edit?usp=sharing  #gid=0"",""фіз особи new!relations_name_uo""),7,FALSE)
,
)
))"),"#N/A")</f>
        <v>#N/A</v>
      </c>
      <c r="J4099" s="7" t="s">
        <v>13</v>
      </c>
    </row>
    <row r="4100" spans="1:10" ht="13.2">
      <c r="A4100" s="7">
        <v>4099</v>
      </c>
      <c r="B4100" s="7">
        <v>1</v>
      </c>
      <c r="C4100" s="7" t="s">
        <v>10</v>
      </c>
      <c r="D4100" s="7">
        <v>2540</v>
      </c>
      <c r="E4100" s="7" t="s">
        <v>12</v>
      </c>
      <c r="F4100" s="8" t="str">
        <f ca="1">IFERROR(__xludf.DUMMYFUNCTION("IF
(
C4101=""фізична особа""
,
VLOOKUP(D4101,IMPORTRANGE(""https://docs.google.com/spreadsheets/d/14Bd19lYaqBhU8_DElYkX7l4wRkHqqCUFNJY4AfY3kHU/edit?usp=sharing  #gid=0"",""фіз особи new!relations_name""),6,FALSE)
,
(IF
(
C4101=""юридична особа""
,
VLOOKUP"&amp;"(D4101,IMPORTRANGE(""https://docs.google.com/spreadsheets/d/14Bd19lYaqBhU8_DElYkX7l4wRkHqqCUFNJY4AfY3kHU/edit?usp=sharing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100" s="7" t="s">
        <v>10</v>
      </c>
      <c r="H4100" s="7">
        <v>0</v>
      </c>
      <c r="I4100" s="8" t="str">
        <f ca="1">IFERROR(__xludf.DUMMYFUNCTION("IF
(
G4101=""фізична особа""
,
VLOOKUP(H4101,IMPORTRANGE(""https://docs.google.com/spreadsheets/d/14Bd19lYaqBhU8_DElYkX7l4wRkHqqCUFNJY4AfY3kHU/edit?usp=sharing  #gid=0"",""фіз особи new!relations_name""),6,FALSE)
,
(IF
(
G4101=""юридична особа""
,
VLOOKUP"&amp;"(H4101,IMPORTRANGE(""https://docs.google.com/spreadsheets/d/14Bd19lYaqBhU8_DElYkX7l4wRkHqqCUFNJY4AfY3kHU/edit?usp=sharing  #gid=0"",""фіз особи new!relations_name_uo""),7,FALSE)
,
)
))"),"#N/A")</f>
        <v>#N/A</v>
      </c>
      <c r="J4100" s="7" t="s">
        <v>13</v>
      </c>
    </row>
    <row r="4101" spans="1:10" ht="13.2">
      <c r="A4101" s="7">
        <v>4100</v>
      </c>
      <c r="B4101" s="7">
        <v>1</v>
      </c>
      <c r="C4101" s="7" t="s">
        <v>10</v>
      </c>
      <c r="D4101" s="7">
        <v>2540</v>
      </c>
      <c r="E4101" s="7" t="s">
        <v>18</v>
      </c>
      <c r="F4101" s="8" t="str">
        <f ca="1">IFERROR(__xludf.DUMMYFUNCTION("IF
(
C4102=""фізична особа""
,
VLOOKUP(D4102,IMPORTRANGE(""https://docs.google.com/spreadsheets/d/14Bd19lYaqBhU8_DElYkX7l4wRkHqqCUFNJY4AfY3kHU/edit?usp=sharing  #gid=0"",""фіз особи new!relations_name""),6,FALSE)
,
(IF
(
C4102=""юридична особа""
,
VLOOKUP"&amp;"(D4102,IMPORTRANGE(""https://docs.google.com/spreadsheets/d/14Bd19lYaqBhU8_DElYkX7l4wRkHqqCUFNJY4AfY3kHU/edit?usp=sharing  #gid=0"",""фіз особи new!relations_name_uo""),7,FALSE)
,
)
))"),"ШУМКОВ Вадим Михайлович")</f>
        <v>ШУМКОВ Вадим Михайлович</v>
      </c>
      <c r="G4101" s="7" t="s">
        <v>10</v>
      </c>
      <c r="H4101" s="7">
        <v>0</v>
      </c>
      <c r="I4101" s="8" t="str">
        <f ca="1">IFERROR(__xludf.DUMMYFUNCTION("IF
(
G4102=""фізична особа""
,
VLOOKUP(H4102,IMPORTRANGE(""https://docs.google.com/spreadsheets/d/14Bd19lYaqBhU8_DElYkX7l4wRkHqqCUFNJY4AfY3kHU/edit?usp=sharing  #gid=0"",""фіз особи new!relations_name""),6,FALSE)
,
(IF
(
G4102=""юридична особа""
,
VLOOKUP"&amp;"(H4102,IMPORTRANGE(""https://docs.google.com/spreadsheets/d/14Bd19lYaqBhU8_DElYkX7l4wRkHqqCUFNJY4AfY3kHU/edit?usp=sharing  #gid=0"",""фіз особи new!relations_name_uo""),7,FALSE)
,
)
))"),"#N/A")</f>
        <v>#N/A</v>
      </c>
      <c r="J4101" s="7" t="s">
        <v>18</v>
      </c>
    </row>
    <row r="4102" spans="1:10" ht="13.2">
      <c r="A4102" s="7">
        <v>4101</v>
      </c>
      <c r="B4102" s="7">
        <v>1</v>
      </c>
      <c r="C4102" s="7" t="s">
        <v>10</v>
      </c>
      <c r="D4102" s="7">
        <v>2541</v>
      </c>
      <c r="E4102" s="7" t="s">
        <v>12</v>
      </c>
      <c r="F4102" s="8" t="str">
        <f ca="1">IFERROR(__xludf.DUMMYFUNCTION("IF
(
C4103=""фізична особа""
,
VLOOKUP(D4103,IMPORTRANGE(""https://docs.google.com/spreadsheets/d/14Bd19lYaqBhU8_DElYkX7l4wRkHqqCUFNJY4AfY3kHU/edit?usp=sharing  #gid=0"",""фіз особи new!relations_name""),6,FALSE)
,
(IF
(
C4103=""юридична особа""
,
VLOOKUP"&amp;"(D4103,IMPORTRANGE(""https://docs.google.com/spreadsheets/d/14Bd19lYaqBhU8_DElYkX7l4wRkHqqCUFNJY4AfY3kHU/edit?usp=sharing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G4102" s="7" t="s">
        <v>10</v>
      </c>
      <c r="H4102" s="7">
        <v>23497</v>
      </c>
      <c r="I4102" s="8" t="str">
        <f ca="1">IFERROR(__xludf.DUMMYFUNCTION("IF
(
G4103=""фізична особа""
,
VLOOKUP(H4103,IMPORTRANGE(""https://docs.google.com/spreadsheets/d/14Bd19lYaqBhU8_DElYkX7l4wRkHqqCUFNJY4AfY3kHU/edit?usp=sharing  #gid=0"",""фіз особи new!relations_name""),6,FALSE)
,
(IF
(
G4103=""юридична особа""
,
VLOOKUP"&amp;"(H4103,IMPORTRANGE(""https://docs.google.com/spreadsheets/d/14Bd19lYaqBhU8_DElYkX7l4wRkHqqCUFNJY4AfY3kHU/edit?usp=sharing  #gid=0"",""фіз особи new!relations_name_uo""),7,FALSE)
,
)
))"),"СТАРОВОЙТ Ангеліна Романівна")</f>
        <v>СТАРОВОЙТ Ангеліна Романівна</v>
      </c>
      <c r="J4102" s="7" t="s">
        <v>13</v>
      </c>
    </row>
    <row r="4103" spans="1:10" ht="13.2">
      <c r="A4103" s="7">
        <v>4102</v>
      </c>
      <c r="B4103" s="7">
        <v>1</v>
      </c>
      <c r="C4103" s="7" t="s">
        <v>10</v>
      </c>
      <c r="D4103" s="7">
        <v>2541</v>
      </c>
      <c r="E4103" s="7" t="s">
        <v>14</v>
      </c>
      <c r="F4103" s="8" t="str">
        <f ca="1">IFERROR(__xludf.DUMMYFUNCTION("IF
(
C4104=""фізична особа""
,
VLOOKUP(D4104,IMPORTRANGE(""https://docs.google.com/spreadsheets/d/14Bd19lYaqBhU8_DElYkX7l4wRkHqqCUFNJY4AfY3kHU/edit?usp=sharing  #gid=0"",""фіз особи new!relations_name""),6,FALSE)
,
(IF
(
C4104=""юридична особа""
,
VLOOKUP"&amp;"(D4104,IMPORTRANGE(""https://docs.google.com/spreadsheets/d/14Bd19lYaqBhU8_DElYkX7l4wRkHqqCUFNJY4AfY3kHU/edit?usp=sharing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G4103" s="7" t="s">
        <v>10</v>
      </c>
      <c r="H4103" s="7">
        <v>15561</v>
      </c>
      <c r="I4103" s="8" t="str">
        <f ca="1">IFERROR(__xludf.DUMMYFUNCTION("IF
(
G4104=""фізична особа""
,
VLOOKUP(H4104,IMPORTRANGE(""https://docs.google.com/spreadsheets/d/14Bd19lYaqBhU8_DElYkX7l4wRkHqqCUFNJY4AfY3kHU/edit?usp=sharing  #gid=0"",""фіз особи new!relations_name""),6,FALSE)
,
(IF
(
G4104=""юридична особа""
,
VLOOKUP"&amp;"(H4104,IMPORTRANGE(""https://docs.google.com/spreadsheets/d/14Bd19lYaqBhU8_DElYkX7l4wRkHqqCUFNJY4AfY3kHU/edit?usp=sharing  #gid=0"",""фіз особи new!relations_name_uo""),7,FALSE)
,
)
))"),"СТАРОВОЙТ Світлана Сергіївна")</f>
        <v>СТАРОВОЙТ Світлана Сергіївна</v>
      </c>
      <c r="J4103" s="7" t="s">
        <v>15</v>
      </c>
    </row>
    <row r="4104" spans="1:10" ht="13.2">
      <c r="A4104" s="7">
        <v>4103</v>
      </c>
      <c r="B4104" s="7">
        <v>1</v>
      </c>
      <c r="C4104" s="7" t="s">
        <v>10</v>
      </c>
      <c r="D4104" s="7">
        <v>2541</v>
      </c>
      <c r="E4104" s="7" t="s">
        <v>12</v>
      </c>
      <c r="F4104" s="8" t="str">
        <f ca="1">IFERROR(__xludf.DUMMYFUNCTION("IF
(
C4105=""фізична особа""
,
VLOOKUP(D4105,IMPORTRANGE(""https://docs.google.com/spreadsheets/d/14Bd19lYaqBhU8_DElYkX7l4wRkHqqCUFNJY4AfY3kHU/edit?usp=sharing  #gid=0"",""фіз особи new!relations_name""),6,FALSE)
,
(IF
(
C4105=""юридична особа""
,
VLOOKUP"&amp;"(D4105,IMPORTRANGE(""https://docs.google.com/spreadsheets/d/14Bd19lYaqBhU8_DElYkX7l4wRkHqqCUFNJY4AfY3kHU/edit?usp=sharing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G4104" s="7" t="s">
        <v>10</v>
      </c>
      <c r="H4104" s="7">
        <v>23498</v>
      </c>
      <c r="I4104" s="8" t="str">
        <f ca="1">IFERROR(__xludf.DUMMYFUNCTION("IF
(
G4105=""фізична особа""
,
VLOOKUP(H4105,IMPORTRANGE(""https://docs.google.com/spreadsheets/d/14Bd19lYaqBhU8_DElYkX7l4wRkHqqCUFNJY4AfY3kHU/edit?usp=sharing  #gid=0"",""фіз особи new!relations_name""),6,FALSE)
,
(IF
(
G4105=""юридична особа""
,
VLOOKUP"&amp;"(H4105,IMPORTRANGE(""https://docs.google.com/spreadsheets/d/14Bd19lYaqBhU8_DElYkX7l4wRkHqqCUFNJY4AfY3kHU/edit?usp=sharing  #gid=0"",""фіз особи new!relations_name_uo""),7,FALSE)
,
)
))"),"СТАРОВОЙТ Анастасія Романівна")</f>
        <v>СТАРОВОЙТ Анастасія Романівна</v>
      </c>
      <c r="J4104" s="7" t="s">
        <v>13</v>
      </c>
    </row>
    <row r="4105" spans="1:10" ht="13.2">
      <c r="A4105" s="7">
        <v>4104</v>
      </c>
      <c r="B4105" s="7">
        <v>1</v>
      </c>
      <c r="C4105" s="7" t="s">
        <v>10</v>
      </c>
      <c r="D4105" s="7">
        <v>2541</v>
      </c>
      <c r="E4105" s="7" t="s">
        <v>18</v>
      </c>
      <c r="F4105" s="8" t="str">
        <f ca="1">IFERROR(__xludf.DUMMYFUNCTION("IF
(
C4106=""фізична особа""
,
VLOOKUP(D4106,IMPORTRANGE(""https://docs.google.com/spreadsheets/d/14Bd19lYaqBhU8_DElYkX7l4wRkHqqCUFNJY4AfY3kHU/edit?usp=sharing  #gid=0"",""фіз особи new!relations_name""),6,FALSE)
,
(IF
(
C4106=""юридична особа""
,
VLOOKUP"&amp;"(D4106,IMPORTRANGE(""https://docs.google.com/spreadsheets/d/14Bd19lYaqBhU8_DElYkX7l4wRkHqqCUFNJY4AfY3kHU/edit?usp=sharing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G4105" s="7" t="s">
        <v>10</v>
      </c>
      <c r="H4105" s="7">
        <v>23499</v>
      </c>
      <c r="I4105" s="8" t="str">
        <f ca="1">IFERROR(__xludf.DUMMYFUNCTION("IF
(
G4106=""фізична особа""
,
VLOOKUP(H4106,IMPORTRANGE(""https://docs.google.com/spreadsheets/d/14Bd19lYaqBhU8_DElYkX7l4wRkHqqCUFNJY4AfY3kHU/edit?usp=sharing  #gid=0"",""фіз особи new!relations_name""),6,FALSE)
,
(IF
(
G4106=""юридична особа""
,
VLOOKUP"&amp;"(H4106,IMPORTRANGE(""https://docs.google.com/spreadsheets/d/14Bd19lYaqBhU8_DElYkX7l4wRkHqqCUFNJY4AfY3kHU/edit?usp=sharing  #gid=0"",""фіз особи new!relations_name_uo""),7,FALSE)
,
)
))"),"СТАРОВОЙТ Олексій Володимирович")</f>
        <v>СТАРОВОЙТ Олексій Володимирович</v>
      </c>
      <c r="J4105" s="7" t="s">
        <v>18</v>
      </c>
    </row>
    <row r="4106" spans="1:10" ht="13.2">
      <c r="A4106" s="7">
        <v>4105</v>
      </c>
      <c r="B4106" s="7">
        <v>1</v>
      </c>
      <c r="C4106" s="7" t="s">
        <v>10</v>
      </c>
      <c r="D4106" s="7">
        <v>2541</v>
      </c>
      <c r="E4106" s="7" t="s">
        <v>17</v>
      </c>
      <c r="F4106" s="8" t="str">
        <f ca="1">IFERROR(__xludf.DUMMYFUNCTION("IF
(
C4107=""фізична особа""
,
VLOOKUP(D4107,IMPORTRANGE(""https://docs.google.com/spreadsheets/d/14Bd19lYaqBhU8_DElYkX7l4wRkHqqCUFNJY4AfY3kHU/edit?usp=sharing  #gid=0"",""фіз особи new!relations_name""),6,FALSE)
,
(IF
(
C4107=""юридична особа""
,
VLOOKUP"&amp;"(D4107,IMPORTRANGE(""https://docs.google.com/spreadsheets/d/14Bd19lYaqBhU8_DElYkX7l4wRkHqqCUFNJY4AfY3kHU/edit?usp=sharing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G4106" s="7" t="s">
        <v>10</v>
      </c>
      <c r="H4106" s="7">
        <v>0</v>
      </c>
      <c r="I4106" s="8" t="str">
        <f ca="1">IFERROR(__xludf.DUMMYFUNCTION("IF
(
G4107=""фізична особа""
,
VLOOKUP(H4107,IMPORTRANGE(""https://docs.google.com/spreadsheets/d/14Bd19lYaqBhU8_DElYkX7l4wRkHqqCUFNJY4AfY3kHU/edit?usp=sharing  #gid=0"",""фіз особи new!relations_name""),6,FALSE)
,
(IF
(
G4107=""юридична особа""
,
VLOOKUP"&amp;"(H4107,IMPORTRANGE(""https://docs.google.com/spreadsheets/d/14Bd19lYaqBhU8_DElYkX7l4wRkHqqCUFNJY4AfY3kHU/edit?usp=sharing  #gid=0"",""фіз особи new!relations_name_uo""),7,FALSE)
,
)
))"),"#N/A")</f>
        <v>#N/A</v>
      </c>
      <c r="J4106" s="7" t="s">
        <v>12</v>
      </c>
    </row>
    <row r="4107" spans="1:10" ht="13.2">
      <c r="A4107" s="7">
        <v>4106</v>
      </c>
      <c r="B4107" s="7">
        <v>1</v>
      </c>
      <c r="C4107" s="7" t="s">
        <v>10</v>
      </c>
      <c r="D4107" s="7">
        <v>2542</v>
      </c>
      <c r="E4107" s="7" t="s">
        <v>14</v>
      </c>
      <c r="F4107" s="8" t="str">
        <f ca="1">IFERROR(__xludf.DUMMYFUNCTION("IF
(
C4108=""фізична особа""
,
VLOOKUP(D4108,IMPORTRANGE(""https://docs.google.com/spreadsheets/d/14Bd19lYaqBhU8_DElYkX7l4wRkHqqCUFNJY4AfY3kHU/edit?usp=sharing  #gid=0"",""фіз особи new!relations_name""),6,FALSE)
,
(IF
(
C4108=""юридична особа""
,
VLOOKUP"&amp;"(D4108,IMPORTRANGE(""https://docs.google.com/spreadsheets/d/14Bd19lYaqBhU8_DElYkX7l4wRkHqqCUFNJY4AfY3kHU/edit?usp=sharing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G4107" s="7" t="s">
        <v>10</v>
      </c>
      <c r="H4107" s="7">
        <v>4896</v>
      </c>
      <c r="I4107" s="8" t="str">
        <f ca="1">IFERROR(__xludf.DUMMYFUNCTION("IF
(
G4108=""фізична особа""
,
VLOOKUP(H4108,IMPORTRANGE(""https://docs.google.com/spreadsheets/d/14Bd19lYaqBhU8_DElYkX7l4wRkHqqCUFNJY4AfY3kHU/edit?usp=sharing  #gid=0"",""фіз особи new!relations_name""),6,FALSE)
,
(IF
(
G4108=""юридична особа""
,
VLOOKUP"&amp;"(H4108,IMPORTRANGE(""https://docs.google.com/spreadsheets/d/14Bd19lYaqBhU8_DElYkX7l4wRkHqqCUFNJY4AfY3kHU/edit?usp=sharing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J4107" s="7" t="s">
        <v>15</v>
      </c>
    </row>
    <row r="4108" spans="1:10" ht="13.2">
      <c r="A4108" s="7">
        <v>4107</v>
      </c>
      <c r="B4108" s="7">
        <v>1</v>
      </c>
      <c r="C4108" s="7" t="s">
        <v>10</v>
      </c>
      <c r="D4108" s="7">
        <v>2542</v>
      </c>
      <c r="E4108" s="7" t="s">
        <v>12</v>
      </c>
      <c r="F4108" s="8" t="str">
        <f ca="1">IFERROR(__xludf.DUMMYFUNCTION("IF
(
C4109=""фізична особа""
,
VLOOKUP(D4109,IMPORTRANGE(""https://docs.google.com/spreadsheets/d/14Bd19lYaqBhU8_DElYkX7l4wRkHqqCUFNJY4AfY3kHU/edit?usp=sharing  #gid=0"",""фіз особи new!relations_name""),6,FALSE)
,
(IF
(
C4109=""юридична особа""
,
VLOOKUP"&amp;"(D4109,IMPORTRANGE(""https://docs.google.com/spreadsheets/d/14Bd19lYaqBhU8_DElYkX7l4wRkHqqCUFNJY4AfY3kHU/edit?usp=sharing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G4108" s="7" t="s">
        <v>10</v>
      </c>
      <c r="H4108" s="7">
        <v>4897</v>
      </c>
      <c r="I4108" s="8" t="str">
        <f ca="1">IFERROR(__xludf.DUMMYFUNCTION("IF
(
G4109=""фізична особа""
,
VLOOKUP(H4109,IMPORTRANGE(""https://docs.google.com/spreadsheets/d/14Bd19lYaqBhU8_DElYkX7l4wRkHqqCUFNJY4AfY3kHU/edit?usp=sharing  #gid=0"",""фіз особи new!relations_name""),6,FALSE)
,
(IF
(
G4109=""юридична особа""
,
VLOOKUP"&amp;"(H4109,IMPORTRANGE(""https://docs.google.com/spreadsheets/d/14Bd19lYaqBhU8_DElYkX7l4wRkHqqCUFNJY4AfY3kHU/edit?usp=sharing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J4108" s="7" t="s">
        <v>13</v>
      </c>
    </row>
    <row r="4109" spans="1:10" ht="13.2">
      <c r="A4109" s="7">
        <v>4108</v>
      </c>
      <c r="B4109" s="7">
        <v>1</v>
      </c>
      <c r="C4109" s="7" t="s">
        <v>10</v>
      </c>
      <c r="D4109" s="7">
        <v>2542</v>
      </c>
      <c r="E4109" s="7" t="s">
        <v>12</v>
      </c>
      <c r="F4109" s="8" t="str">
        <f ca="1">IFERROR(__xludf.DUMMYFUNCTION("IF
(
C4110=""фізична особа""
,
VLOOKUP(D4110,IMPORTRANGE(""https://docs.google.com/spreadsheets/d/14Bd19lYaqBhU8_DElYkX7l4wRkHqqCUFNJY4AfY3kHU/edit?usp=sharing  #gid=0"",""фіз особи new!relations_name""),6,FALSE)
,
(IF
(
C4110=""юридична особа""
,
VLOOKUP"&amp;"(D4110,IMPORTRANGE(""https://docs.google.com/spreadsheets/d/14Bd19lYaqBhU8_DElYkX7l4wRkHqqCUFNJY4AfY3kHU/edit?usp=sharing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G4109" s="7" t="s">
        <v>10</v>
      </c>
      <c r="H4109" s="7">
        <v>4898</v>
      </c>
      <c r="I4109" s="8" t="str">
        <f ca="1">IFERROR(__xludf.DUMMYFUNCTION("IF
(
G4110=""фізична особа""
,
VLOOKUP(H4110,IMPORTRANGE(""https://docs.google.com/spreadsheets/d/14Bd19lYaqBhU8_DElYkX7l4wRkHqqCUFNJY4AfY3kHU/edit?usp=sharing  #gid=0"",""фіз особи new!relations_name""),6,FALSE)
,
(IF
(
G4110=""юридична особа""
,
VLOOKUP"&amp;"(H4110,IMPORTRANGE(""https://docs.google.com/spreadsheets/d/14Bd19lYaqBhU8_DElYkX7l4wRkHqqCUFNJY4AfY3kHU/edit?usp=sharing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J4109" s="7" t="s">
        <v>13</v>
      </c>
    </row>
    <row r="4110" spans="1:10" ht="13.2">
      <c r="A4110" s="7">
        <v>4109</v>
      </c>
      <c r="B4110" s="7">
        <v>1</v>
      </c>
      <c r="C4110" s="7" t="s">
        <v>10</v>
      </c>
      <c r="D4110" s="7">
        <v>2542</v>
      </c>
      <c r="E4110" s="7" t="s">
        <v>24</v>
      </c>
      <c r="F4110" s="8" t="str">
        <f ca="1">IFERROR(__xludf.DUMMYFUNCTION("IF
(
C4111=""фізична особа""
,
VLOOKUP(D4111,IMPORTRANGE(""https://docs.google.com/spreadsheets/d/14Bd19lYaqBhU8_DElYkX7l4wRkHqqCUFNJY4AfY3kHU/edit?usp=sharing  #gid=0"",""фіз особи new!relations_name""),6,FALSE)
,
(IF
(
C4111=""юридична особа""
,
VLOOKUP"&amp;"(D4111,IMPORTRANGE(""https://docs.google.com/spreadsheets/d/14Bd19lYaqBhU8_DElYkX7l4wRkHqqCUFNJY4AfY3kHU/edit?usp=sharing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G4110" s="7" t="s">
        <v>10</v>
      </c>
      <c r="H4110" s="7">
        <v>4898</v>
      </c>
      <c r="I4110" s="8" t="str">
        <f ca="1">IFERROR(__xludf.DUMMYFUNCTION("IF
(
G4111=""фізична особа""
,
VLOOKUP(H4111,IMPORTRANGE(""https://docs.google.com/spreadsheets/d/14Bd19lYaqBhU8_DElYkX7l4wRkHqqCUFNJY4AfY3kHU/edit?usp=sharing  #gid=0"",""фіз особи new!relations_name""),6,FALSE)
,
(IF
(
G4111=""юридична особа""
,
VLOOKUP"&amp;"(H4111,IMPORTRANGE(""https://docs.google.com/spreadsheets/d/14Bd19lYaqBhU8_DElYkX7l4wRkHqqCUFNJY4AfY3kHU/edit?usp=sharing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J4110" s="7" t="s">
        <v>26</v>
      </c>
    </row>
    <row r="4111" spans="1:10" ht="13.2">
      <c r="A4111" s="7">
        <v>4110</v>
      </c>
      <c r="B4111" s="7">
        <v>1</v>
      </c>
      <c r="C4111" s="7" t="s">
        <v>10</v>
      </c>
      <c r="D4111" s="7">
        <v>2543</v>
      </c>
      <c r="E4111" s="7" t="s">
        <v>12</v>
      </c>
      <c r="F4111" s="8" t="str">
        <f ca="1">IFERROR(__xludf.DUMMYFUNCTION("IF
(
C4112=""фізична особа""
,
VLOOKUP(D4112,IMPORTRANGE(""https://docs.google.com/spreadsheets/d/14Bd19lYaqBhU8_DElYkX7l4wRkHqqCUFNJY4AfY3kHU/edit?usp=sharing  #gid=0"",""фіз особи new!relations_name""),6,FALSE)
,
(IF
(
C4112=""юридична особа""
,
VLOOKUP"&amp;"(D4112,IMPORTRANGE(""https://docs.google.com/spreadsheets/d/14Bd19lYaqBhU8_DElYkX7l4wRkHqqCUFNJY4AfY3kHU/edit?usp=sharing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G4111" s="7" t="s">
        <v>10</v>
      </c>
      <c r="H4111" s="7">
        <v>4767</v>
      </c>
      <c r="I4111" s="8" t="str">
        <f ca="1">IFERROR(__xludf.DUMMYFUNCTION("IF
(
G4112=""фізична особа""
,
VLOOKUP(H4112,IMPORTRANGE(""https://docs.google.com/spreadsheets/d/14Bd19lYaqBhU8_DElYkX7l4wRkHqqCUFNJY4AfY3kHU/edit?usp=sharing  #gid=0"",""фіз особи new!relations_name""),6,FALSE)
,
(IF
(
G4112=""юридична особа""
,
VLOOKUP"&amp;"(H4112,IMPORTRANGE(""https://docs.google.com/spreadsheets/d/14Bd19lYaqBhU8_DElYkX7l4wRkHqqCUFNJY4AfY3kHU/edit?usp=sharing  #gid=0"",""фіз особи new!relations_name_uo""),7,FALSE)
,
)
))"),"АРТАМОНОВ Антон Ігорович")</f>
        <v>АРТАМОНОВ Антон Ігорович</v>
      </c>
      <c r="J4111" s="7" t="s">
        <v>17</v>
      </c>
    </row>
    <row r="4112" spans="1:10" ht="13.2">
      <c r="A4112" s="7">
        <v>4111</v>
      </c>
      <c r="B4112" s="7">
        <v>1</v>
      </c>
      <c r="C4112" s="7" t="s">
        <v>10</v>
      </c>
      <c r="D4112" s="7">
        <v>2543</v>
      </c>
      <c r="E4112" s="7" t="s">
        <v>14</v>
      </c>
      <c r="F4112" s="8" t="str">
        <f ca="1">IFERROR(__xludf.DUMMYFUNCTION("IF
(
C4113=""фізична особа""
,
VLOOKUP(D4113,IMPORTRANGE(""https://docs.google.com/spreadsheets/d/14Bd19lYaqBhU8_DElYkX7l4wRkHqqCUFNJY4AfY3kHU/edit?usp=sharing  #gid=0"",""фіз особи new!relations_name""),6,FALSE)
,
(IF
(
C4113=""юридична особа""
,
VLOOKUP"&amp;"(D4113,IMPORTRANGE(""https://docs.google.com/spreadsheets/d/14Bd19lYaqBhU8_DElYkX7l4wRkHqqCUFNJY4AfY3kHU/edit?usp=sharing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G4112" s="7" t="s">
        <v>10</v>
      </c>
      <c r="H4112" s="7">
        <v>4768</v>
      </c>
      <c r="I4112" s="8" t="str">
        <f ca="1">IFERROR(__xludf.DUMMYFUNCTION("IF
(
G4113=""фізична особа""
,
VLOOKUP(H4113,IMPORTRANGE(""https://docs.google.com/spreadsheets/d/14Bd19lYaqBhU8_DElYkX7l4wRkHqqCUFNJY4AfY3kHU/edit?usp=sharing  #gid=0"",""фіз особи new!relations_name""),6,FALSE)
,
(IF
(
G4113=""юридична особа""
,
VLOOKUP"&amp;"(H4113,IMPORTRANGE(""https://docs.google.com/spreadsheets/d/14Bd19lYaqBhU8_DElYkX7l4wRkHqqCUFNJY4AfY3kHU/edit?usp=sharing  #gid=0"",""фіз особи new!relations_name_uo""),7,FALSE)
,
)
))"),"АРТАМОНОВА Наталія Вячеславівна")</f>
        <v>АРТАМОНОВА Наталія Вячеславівна</v>
      </c>
      <c r="J4112" s="7" t="s">
        <v>15</v>
      </c>
    </row>
    <row r="4113" spans="1:10" ht="13.2">
      <c r="A4113" s="7">
        <v>4112</v>
      </c>
      <c r="B4113" s="7">
        <v>1</v>
      </c>
      <c r="C4113" s="7" t="s">
        <v>10</v>
      </c>
      <c r="D4113" s="7">
        <v>2543</v>
      </c>
      <c r="E4113" s="7" t="s">
        <v>12</v>
      </c>
      <c r="F4113" s="8" t="str">
        <f ca="1">IFERROR(__xludf.DUMMYFUNCTION("IF
(
C4114=""фізична особа""
,
VLOOKUP(D4114,IMPORTRANGE(""https://docs.google.com/spreadsheets/d/14Bd19lYaqBhU8_DElYkX7l4wRkHqqCUFNJY4AfY3kHU/edit?usp=sharing  #gid=0"",""фіз особи new!relations_name""),6,FALSE)
,
(IF
(
C4114=""юридична особа""
,
VLOOKUP"&amp;"(D4114,IMPORTRANGE(""https://docs.google.com/spreadsheets/d/14Bd19lYaqBhU8_DElYkX7l4wRkHqqCUFNJY4AfY3kHU/edit?usp=sharing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G4113" s="7" t="s">
        <v>10</v>
      </c>
      <c r="H4113" s="7">
        <v>0</v>
      </c>
      <c r="I4113" s="8" t="str">
        <f ca="1">IFERROR(__xludf.DUMMYFUNCTION("IF
(
G4114=""фізична особа""
,
VLOOKUP(H4114,IMPORTRANGE(""https://docs.google.com/spreadsheets/d/14Bd19lYaqBhU8_DElYkX7l4wRkHqqCUFNJY4AfY3kHU/edit?usp=sharing  #gid=0"",""фіз особи new!relations_name""),6,FALSE)
,
(IF
(
G4114=""юридична особа""
,
VLOOKUP"&amp;"(H4114,IMPORTRANGE(""https://docs.google.com/spreadsheets/d/14Bd19lYaqBhU8_DElYkX7l4wRkHqqCUFNJY4AfY3kHU/edit?usp=sharing  #gid=0"",""фіз особи new!relations_name_uo""),7,FALSE)
,
)
))"),"#N/A")</f>
        <v>#N/A</v>
      </c>
      <c r="J4113" s="7" t="s">
        <v>13</v>
      </c>
    </row>
    <row r="4114" spans="1:10" ht="13.2">
      <c r="A4114" s="7">
        <v>4113</v>
      </c>
      <c r="B4114" s="7">
        <v>1</v>
      </c>
      <c r="C4114" s="7" t="s">
        <v>10</v>
      </c>
      <c r="D4114" s="7">
        <v>2543</v>
      </c>
      <c r="E4114" s="7" t="s">
        <v>19</v>
      </c>
      <c r="F4114" s="8" t="str">
        <f ca="1">IFERROR(__xludf.DUMMYFUNCTION("IF
(
C4115=""фізична особа""
,
VLOOKUP(D4115,IMPORTRANGE(""https://docs.google.com/spreadsheets/d/14Bd19lYaqBhU8_DElYkX7l4wRkHqqCUFNJY4AfY3kHU/edit?usp=sharing  #gid=0"",""фіз особи new!relations_name""),6,FALSE)
,
(IF
(
C4115=""юридична особа""
,
VLOOKUP"&amp;"(D4115,IMPORTRANGE(""https://docs.google.com/spreadsheets/d/14Bd19lYaqBhU8_DElYkX7l4wRkHqqCUFNJY4AfY3kHU/edit?usp=sharing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G4114" s="7" t="s">
        <v>10</v>
      </c>
      <c r="H4114" s="7">
        <v>0</v>
      </c>
      <c r="I4114" s="8" t="str">
        <f ca="1">IFERROR(__xludf.DUMMYFUNCTION("IF
(
G4115=""фізична особа""
,
VLOOKUP(H4115,IMPORTRANGE(""https://docs.google.com/spreadsheets/d/14Bd19lYaqBhU8_DElYkX7l4wRkHqqCUFNJY4AfY3kHU/edit?usp=sharing  #gid=0"",""фіз особи new!relations_name""),6,FALSE)
,
(IF
(
G4115=""юридична особа""
,
VLOOKUP"&amp;"(H4115,IMPORTRANGE(""https://docs.google.com/spreadsheets/d/14Bd19lYaqBhU8_DElYkX7l4wRkHqqCUFNJY4AfY3kHU/edit?usp=sharing  #gid=0"",""фіз особи new!relations_name_uo""),7,FALSE)
,
)
))"),"#N/A")</f>
        <v>#N/A</v>
      </c>
      <c r="J4114" s="7" t="s">
        <v>22</v>
      </c>
    </row>
    <row r="4115" spans="1:10" ht="13.2">
      <c r="A4115" s="7">
        <v>4114</v>
      </c>
      <c r="B4115" s="7">
        <v>1</v>
      </c>
      <c r="C4115" s="7" t="s">
        <v>10</v>
      </c>
      <c r="D4115" s="7">
        <v>2544</v>
      </c>
      <c r="E4115" s="7" t="s">
        <v>12</v>
      </c>
      <c r="F4115" s="8" t="str">
        <f ca="1">IFERROR(__xludf.DUMMYFUNCTION("IF
(
C4116=""фізична особа""
,
VLOOKUP(D4116,IMPORTRANGE(""https://docs.google.com/spreadsheets/d/14Bd19lYaqBhU8_DElYkX7l4wRkHqqCUFNJY4AfY3kHU/edit?usp=sharing  #gid=0"",""фіз особи new!relations_name""),6,FALSE)
,
(IF
(
C4116=""юридична особа""
,
VLOOKUP"&amp;"(D4116,IMPORTRANGE(""https://docs.google.com/spreadsheets/d/14Bd19lYaqBhU8_DElYkX7l4wRkHqqCUFNJY4AfY3kHU/edit?usp=sharing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G4115" s="7" t="s">
        <v>10</v>
      </c>
      <c r="H4115" s="7">
        <v>5049</v>
      </c>
      <c r="I4115" s="8" t="str">
        <f ca="1">IFERROR(__xludf.DUMMYFUNCTION("IF
(
G4116=""фізична особа""
,
VLOOKUP(H4116,IMPORTRANGE(""https://docs.google.com/spreadsheets/d/14Bd19lYaqBhU8_DElYkX7l4wRkHqqCUFNJY4AfY3kHU/edit?usp=sharing  #gid=0"",""фіз особи new!relations_name""),6,FALSE)
,
(IF
(
G4116=""юридична особа""
,
VLOOKUP"&amp;"(H4116,IMPORTRANGE(""https://docs.google.com/spreadsheets/d/14Bd19lYaqBhU8_DElYkX7l4wRkHqqCUFNJY4AfY3kHU/edit?usp=sharing  #gid=0"",""фіз особи new!relations_name_uo""),7,FALSE)
,
)
))"),"НОСОВА Катерина Сергіївна")</f>
        <v>НОСОВА Катерина Сергіївна</v>
      </c>
      <c r="J4115" s="7" t="s">
        <v>13</v>
      </c>
    </row>
    <row r="4116" spans="1:10" ht="13.2">
      <c r="A4116" s="7">
        <v>4115</v>
      </c>
      <c r="B4116" s="7">
        <v>1</v>
      </c>
      <c r="C4116" s="7" t="s">
        <v>10</v>
      </c>
      <c r="D4116" s="7">
        <v>2544</v>
      </c>
      <c r="E4116" s="7" t="s">
        <v>12</v>
      </c>
      <c r="F4116" s="8" t="str">
        <f ca="1">IFERROR(__xludf.DUMMYFUNCTION("IF
(
C4117=""фізична особа""
,
VLOOKUP(D4117,IMPORTRANGE(""https://docs.google.com/spreadsheets/d/14Bd19lYaqBhU8_DElYkX7l4wRkHqqCUFNJY4AfY3kHU/edit?usp=sharing  #gid=0"",""фіз особи new!relations_name""),6,FALSE)
,
(IF
(
C4117=""юридична особа""
,
VLOOKUP"&amp;"(D4117,IMPORTRANGE(""https://docs.google.com/spreadsheets/d/14Bd19lYaqBhU8_DElYkX7l4wRkHqqCUFNJY4AfY3kHU/edit?usp=sharing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G4116" s="7" t="s">
        <v>10</v>
      </c>
      <c r="H4116" s="7">
        <v>5050</v>
      </c>
      <c r="I4116" s="8" t="str">
        <f ca="1">IFERROR(__xludf.DUMMYFUNCTION("IF
(
G4117=""фізична особа""
,
VLOOKUP(H4117,IMPORTRANGE(""https://docs.google.com/spreadsheets/d/14Bd19lYaqBhU8_DElYkX7l4wRkHqqCUFNJY4AfY3kHU/edit?usp=sharing  #gid=0"",""фіз особи new!relations_name""),6,FALSE)
,
(IF
(
G4117=""юридична особа""
,
VLOOKUP"&amp;"(H4117,IMPORTRANGE(""https://docs.google.com/spreadsheets/d/14Bd19lYaqBhU8_DElYkX7l4wRkHqqCUFNJY4AfY3kHU/edit?usp=sharing  #gid=0"",""фіз особи new!relations_name_uo""),7,FALSE)
,
)
))"),"НОСОВА Тетяна Сергіївна")</f>
        <v>НОСОВА Тетяна Сергіївна</v>
      </c>
      <c r="J4116" s="7" t="s">
        <v>13</v>
      </c>
    </row>
    <row r="4117" spans="1:10" ht="13.2">
      <c r="A4117" s="7">
        <v>4116</v>
      </c>
      <c r="B4117" s="7">
        <v>1</v>
      </c>
      <c r="C4117" s="7" t="s">
        <v>10</v>
      </c>
      <c r="D4117" s="7">
        <v>2544</v>
      </c>
      <c r="E4117" s="7" t="s">
        <v>12</v>
      </c>
      <c r="F4117" s="8" t="str">
        <f ca="1">IFERROR(__xludf.DUMMYFUNCTION("IF
(
C4118=""фізична особа""
,
VLOOKUP(D4118,IMPORTRANGE(""https://docs.google.com/spreadsheets/d/14Bd19lYaqBhU8_DElYkX7l4wRkHqqCUFNJY4AfY3kHU/edit?usp=sharing  #gid=0"",""фіз особи new!relations_name""),6,FALSE)
,
(IF
(
C4118=""юридична особа""
,
VLOOKUP"&amp;"(D4118,IMPORTRANGE(""https://docs.google.com/spreadsheets/d/14Bd19lYaqBhU8_DElYkX7l4wRkHqqCUFNJY4AfY3kHU/edit?usp=sharing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G4117" s="7" t="s">
        <v>10</v>
      </c>
      <c r="H4117" s="7">
        <v>5048</v>
      </c>
      <c r="I4117" s="8" t="str">
        <f ca="1">IFERROR(__xludf.DUMMYFUNCTION("IF
(
G4118=""фізична особа""
,
VLOOKUP(H4118,IMPORTRANGE(""https://docs.google.com/spreadsheets/d/14Bd19lYaqBhU8_DElYkX7l4wRkHqqCUFNJY4AfY3kHU/edit?usp=sharing  #gid=0"",""фіз особи new!relations_name""),6,FALSE)
,
(IF
(
G4118=""юридична особа""
,
VLOOKUP"&amp;"(H4118,IMPORTRANGE(""https://docs.google.com/spreadsheets/d/14Bd19lYaqBhU8_DElYkX7l4wRkHqqCUFNJY4AfY3kHU/edit?usp=sharing  #gid=0"",""фіз особи new!relations_name_uo""),7,FALSE)
,
)
))"),"НОСОВА Наталія Сергіївна")</f>
        <v>НОСОВА Наталія Сергіївна</v>
      </c>
      <c r="J4117" s="7" t="s">
        <v>13</v>
      </c>
    </row>
    <row r="4118" spans="1:10" ht="13.2">
      <c r="A4118" s="7">
        <v>4117</v>
      </c>
      <c r="B4118" s="7">
        <v>1</v>
      </c>
      <c r="C4118" s="7" t="s">
        <v>10</v>
      </c>
      <c r="D4118" s="7">
        <v>2544</v>
      </c>
      <c r="E4118" s="7" t="s">
        <v>42</v>
      </c>
      <c r="F4118" s="8" t="str">
        <f ca="1">IFERROR(__xludf.DUMMYFUNCTION("IF
(
C4119=""фізична особа""
,
VLOOKUP(D4119,IMPORTRANGE(""https://docs.google.com/spreadsheets/d/14Bd19lYaqBhU8_DElYkX7l4wRkHqqCUFNJY4AfY3kHU/edit?usp=sharing  #gid=0"",""фіз особи new!relations_name""),6,FALSE)
,
(IF
(
C4119=""юридична особа""
,
VLOOKUP"&amp;"(D4119,IMPORTRANGE(""https://docs.google.com/spreadsheets/d/14Bd19lYaqBhU8_DElYkX7l4wRkHqqCUFNJY4AfY3kHU/edit?usp=sharing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G4118" s="7" t="s">
        <v>10</v>
      </c>
      <c r="H4118" s="7">
        <v>5047</v>
      </c>
      <c r="I4118" s="8" t="str">
        <f ca="1">IFERROR(__xludf.DUMMYFUNCTION("IF
(
G4119=""фізична особа""
,
VLOOKUP(H4119,IMPORTRANGE(""https://docs.google.com/spreadsheets/d/14Bd19lYaqBhU8_DElYkX7l4wRkHqqCUFNJY4AfY3kHU/edit?usp=sharing  #gid=0"",""фіз особи new!relations_name""),6,FALSE)
,
(IF
(
G4119=""юридична особа""
,
VLOOKUP"&amp;"(H4119,IMPORTRANGE(""https://docs.google.com/spreadsheets/d/14Bd19lYaqBhU8_DElYkX7l4wRkHqqCUFNJY4AfY3kHU/edit?usp=sharing  #gid=0"",""фіз особи new!relations_name_uo""),7,FALSE)
,
)
))"),"НОСОВА Алла Сергіївна")</f>
        <v>НОСОВА Алла Сергіївна</v>
      </c>
      <c r="J4118" s="7" t="s">
        <v>43</v>
      </c>
    </row>
    <row r="4119" spans="1:10" ht="13.2">
      <c r="A4119" s="7">
        <v>4118</v>
      </c>
      <c r="B4119" s="7">
        <v>1</v>
      </c>
      <c r="C4119" s="7" t="s">
        <v>10</v>
      </c>
      <c r="D4119" s="7">
        <v>2544</v>
      </c>
      <c r="E4119" s="7" t="s">
        <v>18</v>
      </c>
      <c r="F4119" s="8" t="str">
        <f ca="1">IFERROR(__xludf.DUMMYFUNCTION("IF
(
C4120=""фізична особа""
,
VLOOKUP(D4120,IMPORTRANGE(""https://docs.google.com/spreadsheets/d/14Bd19lYaqBhU8_DElYkX7l4wRkHqqCUFNJY4AfY3kHU/edit?usp=sharing  #gid=0"",""фіз особи new!relations_name""),6,FALSE)
,
(IF
(
C4120=""юридична особа""
,
VLOOKUP"&amp;"(D4120,IMPORTRANGE(""https://docs.google.com/spreadsheets/d/14Bd19lYaqBhU8_DElYkX7l4wRkHqqCUFNJY4AfY3kHU/edit?usp=sharing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G4119" s="7" t="s">
        <v>10</v>
      </c>
      <c r="H4119" s="7">
        <v>5051</v>
      </c>
      <c r="I4119" s="8" t="str">
        <f ca="1">IFERROR(__xludf.DUMMYFUNCTION("IF
(
G4120=""фізична особа""
,
VLOOKUP(H4120,IMPORTRANGE(""https://docs.google.com/spreadsheets/d/14Bd19lYaqBhU8_DElYkX7l4wRkHqqCUFNJY4AfY3kHU/edit?usp=sharing  #gid=0"",""фіз особи new!relations_name""),6,FALSE)
,
(IF
(
G4120=""юридична особа""
,
VLOOKUP"&amp;"(H4120,IMPORTRANGE(""https://docs.google.com/spreadsheets/d/14Bd19lYaqBhU8_DElYkX7l4wRkHqqCUFNJY4AfY3kHU/edit?usp=sharing  #gid=0"",""фіз особи new!relations_name_uo""),7,FALSE)
,
)
))"),"НОСОВА Надія Костянтинівна")</f>
        <v>НОСОВА Надія Костянтинівна</v>
      </c>
      <c r="J4119" s="7" t="s">
        <v>31</v>
      </c>
    </row>
    <row r="4120" spans="1:10" ht="13.2">
      <c r="A4120" s="7">
        <v>4119</v>
      </c>
      <c r="B4120" s="7">
        <v>1</v>
      </c>
      <c r="C4120" s="7" t="s">
        <v>10</v>
      </c>
      <c r="D4120" s="7">
        <v>2545</v>
      </c>
      <c r="E4120" s="7" t="s">
        <v>14</v>
      </c>
      <c r="F4120" s="8" t="str">
        <f ca="1">IFERROR(__xludf.DUMMYFUNCTION("IF
(
C4121=""фізична особа""
,
VLOOKUP(D4121,IMPORTRANGE(""https://docs.google.com/spreadsheets/d/14Bd19lYaqBhU8_DElYkX7l4wRkHqqCUFNJY4AfY3kHU/edit?usp=sharing  #gid=0"",""фіз особи new!relations_name""),6,FALSE)
,
(IF
(
C4121=""юридична особа""
,
VLOOKUP"&amp;"(D4121,IMPORTRANGE(""https://docs.google.com/spreadsheets/d/14Bd19lYaqBhU8_DElYkX7l4wRkHqqCUFNJY4AfY3kHU/edit?usp=sharing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0" s="7" t="s">
        <v>10</v>
      </c>
      <c r="H4120" s="7">
        <v>4840</v>
      </c>
      <c r="I4120" s="8" t="str">
        <f ca="1">IFERROR(__xludf.DUMMYFUNCTION("IF
(
G4121=""фізична особа""
,
VLOOKUP(H4121,IMPORTRANGE(""https://docs.google.com/spreadsheets/d/14Bd19lYaqBhU8_DElYkX7l4wRkHqqCUFNJY4AfY3kHU/edit?usp=sharing  #gid=0"",""фіз особи new!relations_name""),6,FALSE)
,
(IF
(
G4121=""юридична особа""
,
VLOOKUP"&amp;"(H4121,IMPORTRANGE(""https://docs.google.com/spreadsheets/d/14Bd19lYaqBhU8_DElYkX7l4wRkHqqCUFNJY4AfY3kHU/edit?usp=sharing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J4120" s="7" t="s">
        <v>15</v>
      </c>
    </row>
    <row r="4121" spans="1:10" ht="13.2">
      <c r="A4121" s="7">
        <v>4120</v>
      </c>
      <c r="B4121" s="7">
        <v>1</v>
      </c>
      <c r="C4121" s="7" t="s">
        <v>10</v>
      </c>
      <c r="D4121" s="7">
        <v>2545</v>
      </c>
      <c r="E4121" s="7" t="s">
        <v>32</v>
      </c>
      <c r="F4121" s="8" t="str">
        <f ca="1">IFERROR(__xludf.DUMMYFUNCTION("IF
(
C4122=""фізична особа""
,
VLOOKUP(D4122,IMPORTRANGE(""https://docs.google.com/spreadsheets/d/14Bd19lYaqBhU8_DElYkX7l4wRkHqqCUFNJY4AfY3kHU/edit?usp=sharing  #gid=0"",""фіз особи new!relations_name""),6,FALSE)
,
(IF
(
C4122=""юридична особа""
,
VLOOKUP"&amp;"(D4122,IMPORTRANGE(""https://docs.google.com/spreadsheets/d/14Bd19lYaqBhU8_DElYkX7l4wRkHqqCUFNJY4AfY3kHU/edit?usp=sharing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1" s="7" t="s">
        <v>10</v>
      </c>
      <c r="H4121" s="7">
        <v>23500</v>
      </c>
      <c r="I4121" s="8" t="str">
        <f ca="1">IFERROR(__xludf.DUMMYFUNCTION("IF
(
G4122=""фізична особа""
,
VLOOKUP(H4122,IMPORTRANGE(""https://docs.google.com/spreadsheets/d/14Bd19lYaqBhU8_DElYkX7l4wRkHqqCUFNJY4AfY3kHU/edit?usp=sharing  #gid=0"",""фіз особи new!relations_name""),6,FALSE)
,
(IF
(
G4122=""юридична особа""
,
VLOOKUP"&amp;"(H4122,IMPORTRANGE(""https://docs.google.com/spreadsheets/d/14Bd19lYaqBhU8_DElYkX7l4wRkHqqCUFNJY4AfY3kHU/edit?usp=sharing  #gid=0"",""фіз особи new!relations_name_uo""),7,FALSE)
,
)
))"),"БОГДАСАРОВА Софія")</f>
        <v>БОГДАСАРОВА Софія</v>
      </c>
      <c r="J4121" s="7" t="s">
        <v>49</v>
      </c>
    </row>
    <row r="4122" spans="1:10" ht="13.2">
      <c r="A4122" s="7">
        <v>4121</v>
      </c>
      <c r="B4122" s="7">
        <v>1</v>
      </c>
      <c r="C4122" s="7" t="s">
        <v>10</v>
      </c>
      <c r="D4122" s="7">
        <v>2545</v>
      </c>
      <c r="E4122" s="7" t="s">
        <v>17</v>
      </c>
      <c r="F4122" s="8" t="str">
        <f ca="1">IFERROR(__xludf.DUMMYFUNCTION("IF
(
C4123=""фізична особа""
,
VLOOKUP(D4123,IMPORTRANGE(""https://docs.google.com/spreadsheets/d/14Bd19lYaqBhU8_DElYkX7l4wRkHqqCUFNJY4AfY3kHU/edit?usp=sharing  #gid=0"",""фіз особи new!relations_name""),6,FALSE)
,
(IF
(
C4123=""юридична особа""
,
VLOOKUP"&amp;"(D4123,IMPORTRANGE(""https://docs.google.com/spreadsheets/d/14Bd19lYaqBhU8_DElYkX7l4wRkHqqCUFNJY4AfY3kHU/edit?usp=sharing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2" s="7" t="s">
        <v>10</v>
      </c>
      <c r="H4122" s="7">
        <v>946</v>
      </c>
      <c r="I4122" s="8" t="str">
        <f ca="1">IFERROR(__xludf.DUMMYFUNCTION("IF
(
G4123=""фізична особа""
,
VLOOKUP(H4123,IMPORTRANGE(""https://docs.google.com/spreadsheets/d/14Bd19lYaqBhU8_DElYkX7l4wRkHqqCUFNJY4AfY3kHU/edit?usp=sharing  #gid=0"",""фіз особи new!relations_name""),6,FALSE)
,
(IF
(
G4123=""юридична особа""
,
VLOOKUP"&amp;"(H4123,IMPORTRANGE(""https://docs.google.com/spreadsheets/d/14Bd19lYaqBhU8_DElYkX7l4wRkHqqCUFNJY4AfY3kHU/edit?usp=sharing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4122" s="7" t="s">
        <v>12</v>
      </c>
    </row>
    <row r="4123" spans="1:10" ht="13.2">
      <c r="A4123" s="7">
        <v>4122</v>
      </c>
      <c r="B4123" s="7">
        <v>1</v>
      </c>
      <c r="C4123" s="7" t="s">
        <v>10</v>
      </c>
      <c r="D4123" s="7">
        <v>2545</v>
      </c>
      <c r="E4123" s="7" t="s">
        <v>18</v>
      </c>
      <c r="F4123" s="8" t="str">
        <f ca="1">IFERROR(__xludf.DUMMYFUNCTION("IF
(
C4124=""фізична особа""
,
VLOOKUP(D4124,IMPORTRANGE(""https://docs.google.com/spreadsheets/d/14Bd19lYaqBhU8_DElYkX7l4wRkHqqCUFNJY4AfY3kHU/edit?usp=sharing  #gid=0"",""фіз особи new!relations_name""),6,FALSE)
,
(IF
(
C4124=""юридична особа""
,
VLOOKUP"&amp;"(D4124,IMPORTRANGE(""https://docs.google.com/spreadsheets/d/14Bd19lYaqBhU8_DElYkX7l4wRkHqqCUFNJY4AfY3kHU/edit?usp=sharing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3" s="7" t="s">
        <v>10</v>
      </c>
      <c r="H4123" s="7">
        <v>8652</v>
      </c>
      <c r="I4123" s="8" t="str">
        <f ca="1">IFERROR(__xludf.DUMMYFUNCTION("IF
(
G4124=""фізична особа""
,
VLOOKUP(H4124,IMPORTRANGE(""https://docs.google.com/spreadsheets/d/14Bd19lYaqBhU8_DElYkX7l4wRkHqqCUFNJY4AfY3kHU/edit?usp=sharing  #gid=0"",""фіз особи new!relations_name""),6,FALSE)
,
(IF
(
G4124=""юридична особа""
,
VLOOKUP"&amp;"(H4124,IMPORTRANGE(""https://docs.google.com/spreadsheets/d/14Bd19lYaqBhU8_DElYkX7l4wRkHqqCUFNJY4AfY3kHU/edit?usp=sharing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J4123" s="7" t="s">
        <v>18</v>
      </c>
    </row>
    <row r="4124" spans="1:10" ht="13.2">
      <c r="A4124" s="7">
        <v>4123</v>
      </c>
      <c r="B4124" s="7">
        <v>1</v>
      </c>
      <c r="C4124" s="7" t="s">
        <v>10</v>
      </c>
      <c r="D4124" s="7">
        <v>2545</v>
      </c>
      <c r="E4124" s="7" t="s">
        <v>12</v>
      </c>
      <c r="F4124" s="8" t="str">
        <f ca="1">IFERROR(__xludf.DUMMYFUNCTION("IF
(
C4125=""фізична особа""
,
VLOOKUP(D4125,IMPORTRANGE(""https://docs.google.com/spreadsheets/d/14Bd19lYaqBhU8_DElYkX7l4wRkHqqCUFNJY4AfY3kHU/edit?usp=sharing  #gid=0"",""фіз особи new!relations_name""),6,FALSE)
,
(IF
(
C4125=""юридична особа""
,
VLOOKUP"&amp;"(D4125,IMPORTRANGE(""https://docs.google.com/spreadsheets/d/14Bd19lYaqBhU8_DElYkX7l4wRkHqqCUFNJY4AfY3kHU/edit?usp=sharing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4" s="7" t="s">
        <v>10</v>
      </c>
      <c r="H4124" s="7">
        <v>23501</v>
      </c>
      <c r="I4124" s="8" t="str">
        <f ca="1">IFERROR(__xludf.DUMMYFUNCTION("IF
(
G4125=""фізична особа""
,
VLOOKUP(H4125,IMPORTRANGE(""https://docs.google.com/spreadsheets/d/14Bd19lYaqBhU8_DElYkX7l4wRkHqqCUFNJY4AfY3kHU/edit?usp=sharing  #gid=0"",""фіз особи new!relations_name""),6,FALSE)
,
(IF
(
G4125=""юридична особа""
,
VLOOKUP"&amp;"(H4125,IMPORTRANGE(""https://docs.google.com/spreadsheets/d/14Bd19lYaqBhU8_DElYkX7l4wRkHqqCUFNJY4AfY3kHU/edit?usp=sharing  #gid=0"",""фіз особи new!relations_name_uo""),7,FALSE)
,
)
))"),"ВОРОБЙОВ Георгій Андрійович")</f>
        <v>ВОРОБЙОВ Георгій Андрійович</v>
      </c>
      <c r="J4124" s="7" t="s">
        <v>17</v>
      </c>
    </row>
    <row r="4125" spans="1:10" ht="13.2">
      <c r="A4125" s="7">
        <v>4124</v>
      </c>
      <c r="B4125" s="7">
        <v>1</v>
      </c>
      <c r="C4125" s="7" t="s">
        <v>10</v>
      </c>
      <c r="D4125" s="7">
        <v>2545</v>
      </c>
      <c r="E4125" s="7" t="s">
        <v>12</v>
      </c>
      <c r="F4125" s="8" t="str">
        <f ca="1">IFERROR(__xludf.DUMMYFUNCTION("IF
(
C4126=""фізична особа""
,
VLOOKUP(D4126,IMPORTRANGE(""https://docs.google.com/spreadsheets/d/14Bd19lYaqBhU8_DElYkX7l4wRkHqqCUFNJY4AfY3kHU/edit?usp=sharing  #gid=0"",""фіз особи new!relations_name""),6,FALSE)
,
(IF
(
C4126=""юридична особа""
,
VLOOKUP"&amp;"(D4126,IMPORTRANGE(""https://docs.google.com/spreadsheets/d/14Bd19lYaqBhU8_DElYkX7l4wRkHqqCUFNJY4AfY3kHU/edit?usp=sharing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5" s="7" t="s">
        <v>10</v>
      </c>
      <c r="H4125" s="7">
        <v>23502</v>
      </c>
      <c r="I4125" s="8" t="str">
        <f ca="1">IFERROR(__xludf.DUMMYFUNCTION("IF
(
G4126=""фізична особа""
,
VLOOKUP(H4126,IMPORTRANGE(""https://docs.google.com/spreadsheets/d/14Bd19lYaqBhU8_DElYkX7l4wRkHqqCUFNJY4AfY3kHU/edit?usp=sharing  #gid=0"",""фіз особи new!relations_name""),6,FALSE)
,
(IF
(
G4126=""юридична особа""
,
VLOOKUP"&amp;"(H4126,IMPORTRANGE(""https://docs.google.com/spreadsheets/d/14Bd19lYaqBhU8_DElYkX7l4wRkHqqCUFNJY4AfY3kHU/edit?usp=sharing  #gid=0"",""фіз особи new!relations_name_uo""),7,FALSE)
,
)
))"),"ВОРОБЙОВ Михайло Андрійович")</f>
        <v>ВОРОБЙОВ Михайло Андрійович</v>
      </c>
      <c r="J4125" s="7" t="s">
        <v>17</v>
      </c>
    </row>
    <row r="4126" spans="1:10" ht="13.2">
      <c r="A4126" s="7">
        <v>4125</v>
      </c>
      <c r="B4126" s="7">
        <v>1</v>
      </c>
      <c r="C4126" s="7" t="s">
        <v>10</v>
      </c>
      <c r="D4126" s="7">
        <v>2545</v>
      </c>
      <c r="E4126" s="7" t="s">
        <v>17</v>
      </c>
      <c r="F4126" s="8" t="str">
        <f ca="1">IFERROR(__xludf.DUMMYFUNCTION("IF
(
C4127=""фізична особа""
,
VLOOKUP(D4127,IMPORTRANGE(""https://docs.google.com/spreadsheets/d/14Bd19lYaqBhU8_DElYkX7l4wRkHqqCUFNJY4AfY3kHU/edit?usp=sharing  #gid=0"",""фіз особи new!relations_name""),6,FALSE)
,
(IF
(
C4127=""юридична особа""
,
VLOOKUP"&amp;"(D4127,IMPORTRANGE(""https://docs.google.com/spreadsheets/d/14Bd19lYaqBhU8_DElYkX7l4wRkHqqCUFNJY4AfY3kHU/edit?usp=sharing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6" s="7" t="s">
        <v>10</v>
      </c>
      <c r="H4126" s="7">
        <v>8651</v>
      </c>
      <c r="I4126" s="8" t="str">
        <f ca="1">IFERROR(__xludf.DUMMYFUNCTION("IF
(
G4127=""фізична особа""
,
VLOOKUP(H4127,IMPORTRANGE(""https://docs.google.com/spreadsheets/d/14Bd19lYaqBhU8_DElYkX7l4wRkHqqCUFNJY4AfY3kHU/edit?usp=sharing  #gid=0"",""фіз особи new!relations_name""),6,FALSE)
,
(IF
(
G4127=""юридична особа""
,
VLOOKUP"&amp;"(H4127,IMPORTRANGE(""https://docs.google.com/spreadsheets/d/14Bd19lYaqBhU8_DElYkX7l4wRkHqqCUFNJY4AfY3kHU/edit?usp=sharing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J4126" s="7" t="s">
        <v>21</v>
      </c>
    </row>
    <row r="4127" spans="1:10" ht="13.2">
      <c r="A4127" s="7">
        <v>4126</v>
      </c>
      <c r="B4127" s="7">
        <v>1</v>
      </c>
      <c r="C4127" s="7" t="s">
        <v>10</v>
      </c>
      <c r="D4127" s="7">
        <v>2545</v>
      </c>
      <c r="E4127" s="7" t="s">
        <v>12</v>
      </c>
      <c r="F4127" s="8" t="str">
        <f ca="1">IFERROR(__xludf.DUMMYFUNCTION("IF
(
C4128=""фізична особа""
,
VLOOKUP(D4128,IMPORTRANGE(""https://docs.google.com/spreadsheets/d/14Bd19lYaqBhU8_DElYkX7l4wRkHqqCUFNJY4AfY3kHU/edit?usp=sharing  #gid=0"",""фіз особи new!relations_name""),6,FALSE)
,
(IF
(
C4128=""юридична особа""
,
VLOOKUP"&amp;"(D4128,IMPORTRANGE(""https://docs.google.com/spreadsheets/d/14Bd19lYaqBhU8_DElYkX7l4wRkHqqCUFNJY4AfY3kHU/edit?usp=sharing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7" s="7" t="s">
        <v>10</v>
      </c>
      <c r="H4127" s="7">
        <v>4888</v>
      </c>
      <c r="I4127" s="8" t="str">
        <f ca="1">IFERROR(__xludf.DUMMYFUNCTION("IF
(
G4128=""фізична особа""
,
VLOOKUP(H4128,IMPORTRANGE(""https://docs.google.com/spreadsheets/d/14Bd19lYaqBhU8_DElYkX7l4wRkHqqCUFNJY4AfY3kHU/edit?usp=sharing  #gid=0"",""фіз особи new!relations_name""),6,FALSE)
,
(IF
(
G4128=""юридична особа""
,
VLOOKUP"&amp;"(H4128,IMPORTRANGE(""https://docs.google.com/spreadsheets/d/14Bd19lYaqBhU8_DElYkX7l4wRkHqqCUFNJY4AfY3kHU/edit?usp=sharing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J4127" s="7" t="s">
        <v>13</v>
      </c>
    </row>
    <row r="4128" spans="1:10" ht="13.2">
      <c r="A4128" s="7">
        <v>4127</v>
      </c>
      <c r="B4128" s="7">
        <v>1</v>
      </c>
      <c r="C4128" s="7" t="s">
        <v>10</v>
      </c>
      <c r="D4128" s="7">
        <v>2545</v>
      </c>
      <c r="E4128" s="7" t="s">
        <v>24</v>
      </c>
      <c r="F4128" s="8" t="str">
        <f ca="1">IFERROR(__xludf.DUMMYFUNCTION("IF
(
C4129=""фізична особа""
,
VLOOKUP(D4129,IMPORTRANGE(""https://docs.google.com/spreadsheets/d/14Bd19lYaqBhU8_DElYkX7l4wRkHqqCUFNJY4AfY3kHU/edit?usp=sharing  #gid=0"",""фіз особи new!relations_name""),6,FALSE)
,
(IF
(
C4129=""юридична особа""
,
VLOOKUP"&amp;"(D4129,IMPORTRANGE(""https://docs.google.com/spreadsheets/d/14Bd19lYaqBhU8_DElYkX7l4wRkHqqCUFNJY4AfY3kHU/edit?usp=sharing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8" s="7" t="s">
        <v>10</v>
      </c>
      <c r="H4128" s="7">
        <v>4887</v>
      </c>
      <c r="I4128" s="8" t="str">
        <f ca="1">IFERROR(__xludf.DUMMYFUNCTION("IF
(
G4129=""фізична особа""
,
VLOOKUP(H4129,IMPORTRANGE(""https://docs.google.com/spreadsheets/d/14Bd19lYaqBhU8_DElYkX7l4wRkHqqCUFNJY4AfY3kHU/edit?usp=sharing  #gid=0"",""фіз особи new!relations_name""),6,FALSE)
,
(IF
(
G4129=""юридична особа""
,
VLOOKUP"&amp;"(H4129,IMPORTRANGE(""https://docs.google.com/spreadsheets/d/14Bd19lYaqBhU8_DElYkX7l4wRkHqqCUFNJY4AfY3kHU/edit?usp=sharing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J4128" s="7" t="s">
        <v>26</v>
      </c>
    </row>
    <row r="4129" spans="1:10" ht="13.2">
      <c r="A4129" s="7">
        <v>4128</v>
      </c>
      <c r="B4129" s="7">
        <v>1</v>
      </c>
      <c r="C4129" s="7" t="s">
        <v>10</v>
      </c>
      <c r="D4129" s="7">
        <v>2545</v>
      </c>
      <c r="E4129" s="7" t="s">
        <v>20</v>
      </c>
      <c r="F4129" s="8" t="str">
        <f ca="1">IFERROR(__xludf.DUMMYFUNCTION("IF
(
C4130=""фізична особа""
,
VLOOKUP(D4130,IMPORTRANGE(""https://docs.google.com/spreadsheets/d/14Bd19lYaqBhU8_DElYkX7l4wRkHqqCUFNJY4AfY3kHU/edit?usp=sharing  #gid=0"",""фіз особи new!relations_name""),6,FALSE)
,
(IF
(
C4130=""юридична особа""
,
VLOOKUP"&amp;"(D4130,IMPORTRANGE(""https://docs.google.com/spreadsheets/d/14Bd19lYaqBhU8_DElYkX7l4wRkHqqCUFNJY4AfY3kHU/edit?usp=sharing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29" s="7" t="s">
        <v>10</v>
      </c>
      <c r="H4129" s="7">
        <v>15570</v>
      </c>
      <c r="I4129" s="8" t="str">
        <f ca="1">IFERROR(__xludf.DUMMYFUNCTION("IF
(
G4130=""фізична особа""
,
VLOOKUP(H4130,IMPORTRANGE(""https://docs.google.com/spreadsheets/d/14Bd19lYaqBhU8_DElYkX7l4wRkHqqCUFNJY4AfY3kHU/edit?usp=sharing  #gid=0"",""фіз особи new!relations_name""),6,FALSE)
,
(IF
(
G4130=""юридична особа""
,
VLOOKUP"&amp;"(H4130,IMPORTRANGE(""https://docs.google.com/spreadsheets/d/14Bd19lYaqBhU8_DElYkX7l4wRkHqqCUFNJY4AfY3kHU/edit?usp=sharing  #gid=0"",""фіз особи new!relations_name_uo""),7,FALSE)
,
)
))"),"ВОРОБЙОВ Сергій Леонідович")</f>
        <v>ВОРОБЙОВ Сергій Леонідович</v>
      </c>
      <c r="J4129" s="7" t="s">
        <v>19</v>
      </c>
    </row>
    <row r="4130" spans="1:10" ht="13.2">
      <c r="A4130" s="7">
        <v>4129</v>
      </c>
      <c r="B4130" s="7">
        <v>1</v>
      </c>
      <c r="C4130" s="7" t="s">
        <v>10</v>
      </c>
      <c r="D4130" s="7">
        <v>2545</v>
      </c>
      <c r="E4130" s="7" t="s">
        <v>44</v>
      </c>
      <c r="F4130" s="8" t="str">
        <f ca="1">IFERROR(__xludf.DUMMYFUNCTION("IF
(
C4131=""фізична особа""
,
VLOOKUP(D4131,IMPORTRANGE(""https://docs.google.com/spreadsheets/d/14Bd19lYaqBhU8_DElYkX7l4wRkHqqCUFNJY4AfY3kHU/edit?usp=sharing  #gid=0"",""фіз особи new!relations_name""),6,FALSE)
,
(IF
(
C4131=""юридична особа""
,
VLOOKUP"&amp;"(D4131,IMPORTRANGE(""https://docs.google.com/spreadsheets/d/14Bd19lYaqBhU8_DElYkX7l4wRkHqqCUFNJY4AfY3kHU/edit?usp=sharing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30" s="7" t="s">
        <v>10</v>
      </c>
      <c r="H4130" s="7">
        <v>15571</v>
      </c>
      <c r="I4130" s="8" t="str">
        <f ca="1">IFERROR(__xludf.DUMMYFUNCTION("IF
(
G4131=""фізична особа""
,
VLOOKUP(H4131,IMPORTRANGE(""https://docs.google.com/spreadsheets/d/14Bd19lYaqBhU8_DElYkX7l4wRkHqqCUFNJY4AfY3kHU/edit?usp=sharing  #gid=0"",""фіз особи new!relations_name""),6,FALSE)
,
(IF
(
G4131=""юридична особа""
,
VLOOKUP"&amp;"(H4131,IMPORTRANGE(""https://docs.google.com/spreadsheets/d/14Bd19lYaqBhU8_DElYkX7l4wRkHqqCUFNJY4AfY3kHU/edit?usp=sharing  #gid=0"",""фіз особи new!relations_name_uo""),7,FALSE)
,
)
))"),"ВОРОБЙОВ / ОПЕТІ Дмитро Сергійович")</f>
        <v>ВОРОБЙОВ / ОПЕТІ Дмитро Сергійович</v>
      </c>
      <c r="J4130" s="7" t="s">
        <v>44</v>
      </c>
    </row>
    <row r="4131" spans="1:10" ht="13.2">
      <c r="A4131" s="7">
        <v>4130</v>
      </c>
      <c r="B4131" s="7">
        <v>1</v>
      </c>
      <c r="C4131" s="7" t="s">
        <v>10</v>
      </c>
      <c r="D4131" s="7">
        <v>2545</v>
      </c>
      <c r="E4131" s="7" t="s">
        <v>44</v>
      </c>
      <c r="F4131" s="8" t="str">
        <f ca="1">IFERROR(__xludf.DUMMYFUNCTION("IF
(
C4132=""фізична особа""
,
VLOOKUP(D4132,IMPORTRANGE(""https://docs.google.com/spreadsheets/d/14Bd19lYaqBhU8_DElYkX7l4wRkHqqCUFNJY4AfY3kHU/edit?usp=sharing  #gid=0"",""фіз особи new!relations_name""),6,FALSE)
,
(IF
(
C4132=""юридична особа""
,
VLOOKUP"&amp;"(D4132,IMPORTRANGE(""https://docs.google.com/spreadsheets/d/14Bd19lYaqBhU8_DElYkX7l4wRkHqqCUFNJY4AfY3kHU/edit?usp=sharing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31" s="7" t="s">
        <v>10</v>
      </c>
      <c r="H4131" s="7">
        <v>23503</v>
      </c>
      <c r="I4131" s="8" t="str">
        <f ca="1">IFERROR(__xludf.DUMMYFUNCTION("IF
(
G4132=""фізична особа""
,
VLOOKUP(H4132,IMPORTRANGE(""https://docs.google.com/spreadsheets/d/14Bd19lYaqBhU8_DElYkX7l4wRkHqqCUFNJY4AfY3kHU/edit?usp=sharing  #gid=0"",""фіз особи new!relations_name""),6,FALSE)
,
(IF
(
G4132=""юридична особа""
,
VLOOKUP"&amp;"(H4132,IMPORTRANGE(""https://docs.google.com/spreadsheets/d/14Bd19lYaqBhU8_DElYkX7l4wRkHqqCUFNJY4AfY3kHU/edit?usp=sharing  #gid=0"",""фіз особи new!relations_name_uo""),7,FALSE)
,
)
))"),"ВОРОБЙОВ Артем Сергійович")</f>
        <v>ВОРОБЙОВ Артем Сергійович</v>
      </c>
      <c r="J4131" s="7" t="s">
        <v>44</v>
      </c>
    </row>
    <row r="4132" spans="1:10" ht="13.2">
      <c r="A4132" s="7">
        <v>4131</v>
      </c>
      <c r="B4132" s="7">
        <v>1</v>
      </c>
      <c r="C4132" s="7" t="s">
        <v>10</v>
      </c>
      <c r="D4132" s="7">
        <v>2545</v>
      </c>
      <c r="E4132" s="7" t="s">
        <v>20</v>
      </c>
      <c r="F4132" s="8" t="str">
        <f ca="1">IFERROR(__xludf.DUMMYFUNCTION("IF
(
C4133=""фізична особа""
,
VLOOKUP(D4133,IMPORTRANGE(""https://docs.google.com/spreadsheets/d/14Bd19lYaqBhU8_DElYkX7l4wRkHqqCUFNJY4AfY3kHU/edit?usp=sharing  #gid=0"",""фіз особи new!relations_name""),6,FALSE)
,
(IF
(
C4133=""юридична особа""
,
VLOOKUP"&amp;"(D4133,IMPORTRANGE(""https://docs.google.com/spreadsheets/d/14Bd19lYaqBhU8_DElYkX7l4wRkHqqCUFNJY4AfY3kHU/edit?usp=sharing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32" s="7" t="s">
        <v>10</v>
      </c>
      <c r="H4132" s="7">
        <v>23504</v>
      </c>
      <c r="I4132" s="8" t="str">
        <f ca="1">IFERROR(__xludf.DUMMYFUNCTION("IF
(
G4133=""фізична особа""
,
VLOOKUP(H4133,IMPORTRANGE(""https://docs.google.com/spreadsheets/d/14Bd19lYaqBhU8_DElYkX7l4wRkHqqCUFNJY4AfY3kHU/edit?usp=sharing  #gid=0"",""фіз особи new!relations_name""),6,FALSE)
,
(IF
(
G4133=""юридична особа""
,
VLOOKUP"&amp;"(H4133,IMPORTRANGE(""https://docs.google.com/spreadsheets/d/14Bd19lYaqBhU8_DElYkX7l4wRkHqqCUFNJY4AfY3kHU/edit?usp=sharing  #gid=0"",""фіз особи new!relations_name_uo""),7,FALSE)
,
)
))"),"ВОРОБЙОВА Світлана")</f>
        <v>ВОРОБЙОВА Світлана</v>
      </c>
      <c r="J4132" s="7" t="s">
        <v>45</v>
      </c>
    </row>
    <row r="4133" spans="1:10" ht="13.2">
      <c r="A4133" s="7">
        <v>4132</v>
      </c>
      <c r="B4133" s="7">
        <v>1</v>
      </c>
      <c r="C4133" s="7" t="s">
        <v>10</v>
      </c>
      <c r="D4133" s="7">
        <v>2545</v>
      </c>
      <c r="E4133" s="7" t="s">
        <v>65</v>
      </c>
      <c r="F4133" s="8" t="str">
        <f ca="1">IFERROR(__xludf.DUMMYFUNCTION("IF
(
C4134=""фізична особа""
,
VLOOKUP(D4134,IMPORTRANGE(""https://docs.google.com/spreadsheets/d/14Bd19lYaqBhU8_DElYkX7l4wRkHqqCUFNJY4AfY3kHU/edit?usp=sharing  #gid=0"",""фіз особи new!relations_name""),6,FALSE)
,
(IF
(
C4134=""юридична особа""
,
VLOOKUP"&amp;"(D4134,IMPORTRANGE(""https://docs.google.com/spreadsheets/d/14Bd19lYaqBhU8_DElYkX7l4wRkHqqCUFNJY4AfY3kHU/edit?usp=sharing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33" s="7" t="s">
        <v>10</v>
      </c>
      <c r="H4133" s="7">
        <v>15572</v>
      </c>
      <c r="I4133" s="8" t="str">
        <f ca="1">IFERROR(__xludf.DUMMYFUNCTION("IF
(
G4134=""фізична особа""
,
VLOOKUP(H4134,IMPORTRANGE(""https://docs.google.com/spreadsheets/d/14Bd19lYaqBhU8_DElYkX7l4wRkHqqCUFNJY4AfY3kHU/edit?usp=sharing  #gid=0"",""фіз особи new!relations_name""),6,FALSE)
,
(IF
(
G4134=""юридична особа""
,
VLOOKUP"&amp;"(H4134,IMPORTRANGE(""https://docs.google.com/spreadsheets/d/14Bd19lYaqBhU8_DElYkX7l4wRkHqqCUFNJY4AfY3kHU/edit?usp=sharing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J4133" s="7" t="s">
        <v>65</v>
      </c>
    </row>
    <row r="4134" spans="1:10" ht="13.2">
      <c r="A4134" s="7">
        <v>4133</v>
      </c>
      <c r="B4134" s="7">
        <v>1</v>
      </c>
      <c r="C4134" s="7" t="s">
        <v>10</v>
      </c>
      <c r="D4134" s="7">
        <v>2545</v>
      </c>
      <c r="E4134" s="7" t="s">
        <v>65</v>
      </c>
      <c r="F4134" s="8" t="str">
        <f ca="1">IFERROR(__xludf.DUMMYFUNCTION("IF
(
C4135=""фізична особа""
,
VLOOKUP(D4135,IMPORTRANGE(""https://docs.google.com/spreadsheets/d/14Bd19lYaqBhU8_DElYkX7l4wRkHqqCUFNJY4AfY3kHU/edit?usp=sharing  #gid=0"",""фіз особи new!relations_name""),6,FALSE)
,
(IF
(
C4135=""юридична особа""
,
VLOOKUP"&amp;"(D4135,IMPORTRANGE(""https://docs.google.com/spreadsheets/d/14Bd19lYaqBhU8_DElYkX7l4wRkHqqCUFNJY4AfY3kHU/edit?usp=sharing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G4134" s="7" t="s">
        <v>10</v>
      </c>
      <c r="H4134" s="7">
        <v>0</v>
      </c>
      <c r="I4134" s="8" t="str">
        <f ca="1">IFERROR(__xludf.DUMMYFUNCTION("IF
(
G4135=""фізична особа""
,
VLOOKUP(H4135,IMPORTRANGE(""https://docs.google.com/spreadsheets/d/14Bd19lYaqBhU8_DElYkX7l4wRkHqqCUFNJY4AfY3kHU/edit?usp=sharing  #gid=0"",""фіз особи new!relations_name""),6,FALSE)
,
(IF
(
G4135=""юридична особа""
,
VLOOKUP"&amp;"(H4135,IMPORTRANGE(""https://docs.google.com/spreadsheets/d/14Bd19lYaqBhU8_DElYkX7l4wRkHqqCUFNJY4AfY3kHU/edit?usp=sharing  #gid=0"",""фіз особи new!relations_name_uo""),7,FALSE)
,
)
))"),"#N/A")</f>
        <v>#N/A</v>
      </c>
      <c r="J4134" s="7" t="s">
        <v>65</v>
      </c>
    </row>
    <row r="4135" spans="1:10" ht="13.2">
      <c r="A4135" s="7">
        <v>4134</v>
      </c>
      <c r="B4135" s="7">
        <v>1</v>
      </c>
      <c r="C4135" s="7" t="s">
        <v>10</v>
      </c>
      <c r="D4135" s="7">
        <v>2546</v>
      </c>
      <c r="E4135" s="7" t="s">
        <v>19</v>
      </c>
      <c r="F4135" s="8" t="str">
        <f ca="1">IFERROR(__xludf.DUMMYFUNCTION("IF
(
C4136=""фізична особа""
,
VLOOKUP(D4136,IMPORTRANGE(""https://docs.google.com/spreadsheets/d/14Bd19lYaqBhU8_DElYkX7l4wRkHqqCUFNJY4AfY3kHU/edit?usp=sharing  #gid=0"",""фіз особи new!relations_name""),6,FALSE)
,
(IF
(
C4136=""юридична особа""
,
VLOOKUP"&amp;"(D4136,IMPORTRANGE(""https://docs.google.com/spreadsheets/d/14Bd19lYaqBhU8_DElYkX7l4wRkHqqCUFNJY4AfY3kHU/edit?usp=sharing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G4135" s="7" t="s">
        <v>10</v>
      </c>
      <c r="H4135" s="7">
        <v>4785</v>
      </c>
      <c r="I4135" s="8" t="str">
        <f ca="1">IFERROR(__xludf.DUMMYFUNCTION("IF
(
G4136=""фізична особа""
,
VLOOKUP(H4136,IMPORTRANGE(""https://docs.google.com/spreadsheets/d/14Bd19lYaqBhU8_DElYkX7l4wRkHqqCUFNJY4AfY3kHU/edit?usp=sharing  #gid=0"",""фіз особи new!relations_name""),6,FALSE)
,
(IF
(
G4136=""юридична особа""
,
VLOOKUP"&amp;"(H4136,IMPORTRANGE(""https://docs.google.com/spreadsheets/d/14Bd19lYaqBhU8_DElYkX7l4wRkHqqCUFNJY4AfY3kHU/edit?usp=sharing  #gid=0"",""фіз особи new!relations_name_uo""),7,FALSE)
,
)
))"),"КРЕТОВ Микита Валерійович")</f>
        <v>КРЕТОВ Микита Валерійович</v>
      </c>
      <c r="J4135" s="7" t="s">
        <v>20</v>
      </c>
    </row>
    <row r="4136" spans="1:10" ht="13.2">
      <c r="A4136" s="7">
        <v>4135</v>
      </c>
      <c r="B4136" s="7">
        <v>1</v>
      </c>
      <c r="C4136" s="7" t="s">
        <v>10</v>
      </c>
      <c r="D4136" s="7">
        <v>2546</v>
      </c>
      <c r="E4136" s="7" t="s">
        <v>18</v>
      </c>
      <c r="F4136" s="8" t="str">
        <f ca="1">IFERROR(__xludf.DUMMYFUNCTION("IF
(
C4137=""фізична особа""
,
VLOOKUP(D4137,IMPORTRANGE(""https://docs.google.com/spreadsheets/d/14Bd19lYaqBhU8_DElYkX7l4wRkHqqCUFNJY4AfY3kHU/edit?usp=sharing  #gid=0"",""фіз особи new!relations_name""),6,FALSE)
,
(IF
(
C4137=""юридична особа""
,
VLOOKUP"&amp;"(D4137,IMPORTRANGE(""https://docs.google.com/spreadsheets/d/14Bd19lYaqBhU8_DElYkX7l4wRkHqqCUFNJY4AfY3kHU/edit?usp=sharing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G4136" s="7" t="s">
        <v>10</v>
      </c>
      <c r="H4136" s="7">
        <v>4784</v>
      </c>
      <c r="I4136" s="8" t="str">
        <f ca="1">IFERROR(__xludf.DUMMYFUNCTION("IF
(
G4137=""фізична особа""
,
VLOOKUP(H4137,IMPORTRANGE(""https://docs.google.com/spreadsheets/d/14Bd19lYaqBhU8_DElYkX7l4wRkHqqCUFNJY4AfY3kHU/edit?usp=sharing  #gid=0"",""фіз особи new!relations_name""),6,FALSE)
,
(IF
(
G4137=""юридична особа""
,
VLOOKUP"&amp;"(H4137,IMPORTRANGE(""https://docs.google.com/spreadsheets/d/14Bd19lYaqBhU8_DElYkX7l4wRkHqqCUFNJY4AfY3kHU/edit?usp=sharing  #gid=0"",""фіз особи new!relations_name_uo""),7,FALSE)
,
)
))"),"КРЕТОВА Тетяна Володимирівна")</f>
        <v>КРЕТОВА Тетяна Володимирівна</v>
      </c>
      <c r="J4136" s="7" t="s">
        <v>31</v>
      </c>
    </row>
    <row r="4137" spans="1:10" ht="13.2">
      <c r="A4137" s="7">
        <v>4136</v>
      </c>
      <c r="B4137" s="7">
        <v>1</v>
      </c>
      <c r="C4137" s="7" t="s">
        <v>10</v>
      </c>
      <c r="D4137" s="7">
        <v>2546</v>
      </c>
      <c r="E4137" s="7" t="s">
        <v>14</v>
      </c>
      <c r="F4137" s="8" t="str">
        <f ca="1">IFERROR(__xludf.DUMMYFUNCTION("IF
(
C4138=""фізична особа""
,
VLOOKUP(D4138,IMPORTRANGE(""https://docs.google.com/spreadsheets/d/14Bd19lYaqBhU8_DElYkX7l4wRkHqqCUFNJY4AfY3kHU/edit?usp=sharing  #gid=0"",""фіз особи new!relations_name""),6,FALSE)
,
(IF
(
C4138=""юридична особа""
,
VLOOKUP"&amp;"(D4138,IMPORTRANGE(""https://docs.google.com/spreadsheets/d/14Bd19lYaqBhU8_DElYkX7l4wRkHqqCUFNJY4AfY3kHU/edit?usp=sharing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G4137" s="7" t="s">
        <v>10</v>
      </c>
      <c r="H4137" s="7">
        <v>4782</v>
      </c>
      <c r="I4137" s="8" t="str">
        <f ca="1">IFERROR(__xludf.DUMMYFUNCTION("IF
(
G4138=""фізична особа""
,
VLOOKUP(H4138,IMPORTRANGE(""https://docs.google.com/spreadsheets/d/14Bd19lYaqBhU8_DElYkX7l4wRkHqqCUFNJY4AfY3kHU/edit?usp=sharing  #gid=0"",""фіз особи new!relations_name""),6,FALSE)
,
(IF
(
G4138=""юридична особа""
,
VLOOKUP"&amp;"(H4138,IMPORTRANGE(""https://docs.google.com/spreadsheets/d/14Bd19lYaqBhU8_DElYkX7l4wRkHqqCUFNJY4AfY3kHU/edit?usp=sharing  #gid=0"",""фіз особи new!relations_name_uo""),7,FALSE)
,
)
))"),"ЧІБІС / РОМАНОВА Євгенія Володимирівна")</f>
        <v>ЧІБІС / РОМАНОВА Євгенія Володимирівна</v>
      </c>
      <c r="J4137" s="7" t="s">
        <v>15</v>
      </c>
    </row>
    <row r="4138" spans="1:10" ht="13.2">
      <c r="A4138" s="7">
        <v>4137</v>
      </c>
      <c r="B4138" s="7">
        <v>1</v>
      </c>
      <c r="C4138" s="7" t="s">
        <v>10</v>
      </c>
      <c r="D4138" s="7">
        <v>2546</v>
      </c>
      <c r="E4138" s="7" t="s">
        <v>17</v>
      </c>
      <c r="F4138" s="8" t="str">
        <f ca="1">IFERROR(__xludf.DUMMYFUNCTION("IF
(
C4139=""фізична особа""
,
VLOOKUP(D4139,IMPORTRANGE(""https://docs.google.com/spreadsheets/d/14Bd19lYaqBhU8_DElYkX7l4wRkHqqCUFNJY4AfY3kHU/edit?usp=sharing  #gid=0"",""фіз особи new!relations_name""),6,FALSE)
,
(IF
(
C4139=""юридична особа""
,
VLOOKUP"&amp;"(D4139,IMPORTRANGE(""https://docs.google.com/spreadsheets/d/14Bd19lYaqBhU8_DElYkX7l4wRkHqqCUFNJY4AfY3kHU/edit?usp=sharing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G4138" s="7" t="s">
        <v>10</v>
      </c>
      <c r="H4138" s="7">
        <v>4783</v>
      </c>
      <c r="I4138" s="8" t="str">
        <f ca="1">IFERROR(__xludf.DUMMYFUNCTION("IF
(
G4139=""фізична особа""
,
VLOOKUP(H4139,IMPORTRANGE(""https://docs.google.com/spreadsheets/d/14Bd19lYaqBhU8_DElYkX7l4wRkHqqCUFNJY4AfY3kHU/edit?usp=sharing  #gid=0"",""фіз особи new!relations_name""),6,FALSE)
,
(IF
(
G4139=""юридична особа""
,
VLOOKUP"&amp;"(H4139,IMPORTRANGE(""https://docs.google.com/spreadsheets/d/14Bd19lYaqBhU8_DElYkX7l4wRkHqqCUFNJY4AfY3kHU/edit?usp=sharing  #gid=0"",""фіз особи new!relations_name_uo""),7,FALSE)
,
)
))"),"ЧІБІС Володимир Олександрович")</f>
        <v>ЧІБІС Володимир Олександрович</v>
      </c>
      <c r="J4138" s="7" t="s">
        <v>12</v>
      </c>
    </row>
    <row r="4139" spans="1:10" ht="13.2">
      <c r="A4139" s="7">
        <v>4138</v>
      </c>
      <c r="B4139" s="7">
        <v>1</v>
      </c>
      <c r="C4139" s="7" t="s">
        <v>10</v>
      </c>
      <c r="D4139" s="7">
        <v>2546</v>
      </c>
      <c r="E4139" s="7" t="s">
        <v>12</v>
      </c>
      <c r="F4139" s="8" t="str">
        <f ca="1">IFERROR(__xludf.DUMMYFUNCTION("IF
(
C4140=""фізична особа""
,
VLOOKUP(D4140,IMPORTRANGE(""https://docs.google.com/spreadsheets/d/14Bd19lYaqBhU8_DElYkX7l4wRkHqqCUFNJY4AfY3kHU/edit?usp=sharing  #gid=0"",""фіз особи new!relations_name""),6,FALSE)
,
(IF
(
C4140=""юридична особа""
,
VLOOKUP"&amp;"(D4140,IMPORTRANGE(""https://docs.google.com/spreadsheets/d/14Bd19lYaqBhU8_DElYkX7l4wRkHqqCUFNJY4AfY3kHU/edit?usp=sharing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G4139" s="7" t="s">
        <v>10</v>
      </c>
      <c r="H4139" s="7">
        <v>0</v>
      </c>
      <c r="I4139" s="8" t="str">
        <f ca="1">IFERROR(__xludf.DUMMYFUNCTION("IF
(
G4140=""фізична особа""
,
VLOOKUP(H4140,IMPORTRANGE(""https://docs.google.com/spreadsheets/d/14Bd19lYaqBhU8_DElYkX7l4wRkHqqCUFNJY4AfY3kHU/edit?usp=sharing  #gid=0"",""фіз особи new!relations_name""),6,FALSE)
,
(IF
(
G4140=""юридична особа""
,
VLOOKUP"&amp;"(H4140,IMPORTRANGE(""https://docs.google.com/spreadsheets/d/14Bd19lYaqBhU8_DElYkX7l4wRkHqqCUFNJY4AfY3kHU/edit?usp=sharing  #gid=0"",""фіз особи new!relations_name_uo""),7,FALSE)
,
)
))"),"#N/A")</f>
        <v>#N/A</v>
      </c>
      <c r="J4139" s="7" t="s">
        <v>13</v>
      </c>
    </row>
    <row r="4140" spans="1:10" ht="13.2">
      <c r="A4140" s="7">
        <v>4139</v>
      </c>
      <c r="B4140" s="7">
        <v>1</v>
      </c>
      <c r="C4140" s="7" t="s">
        <v>10</v>
      </c>
      <c r="D4140" s="7">
        <v>2547</v>
      </c>
      <c r="E4140" s="7" t="s">
        <v>12</v>
      </c>
      <c r="F4140" s="8" t="str">
        <f ca="1">IFERROR(__xludf.DUMMYFUNCTION("IF
(
C4141=""фізична особа""
,
VLOOKUP(D4141,IMPORTRANGE(""https://docs.google.com/spreadsheets/d/14Bd19lYaqBhU8_DElYkX7l4wRkHqqCUFNJY4AfY3kHU/edit?usp=sharing  #gid=0"",""фіз особи new!relations_name""),6,FALSE)
,
(IF
(
C4141=""юридична особа""
,
VLOOKUP"&amp;"(D4141,IMPORTRANGE(""https://docs.google.com/spreadsheets/d/14Bd19lYaqBhU8_DElYkX7l4wRkHqqCUFNJY4AfY3kHU/edit?usp=sharing  #gid=0"",""фіз особи new!relations_name_uo""),7,FALSE)
,
)
))"),"НІКІТІН Гліб Сергійович")</f>
        <v>НІКІТІН Гліб Сергійович</v>
      </c>
      <c r="G4140" s="7" t="s">
        <v>10</v>
      </c>
      <c r="H4140" s="7">
        <v>23505</v>
      </c>
      <c r="I4140" s="8" t="str">
        <f ca="1">IFERROR(__xludf.DUMMYFUNCTION("IF
(
G4141=""фізична особа""
,
VLOOKUP(H4141,IMPORTRANGE(""https://docs.google.com/spreadsheets/d/14Bd19lYaqBhU8_DElYkX7l4wRkHqqCUFNJY4AfY3kHU/edit?usp=sharing  #gid=0"",""фіз особи new!relations_name""),6,FALSE)
,
(IF
(
G4141=""юридична особа""
,
VLOOKUP"&amp;"(H4141,IMPORTRANGE(""https://docs.google.com/spreadsheets/d/14Bd19lYaqBhU8_DElYkX7l4wRkHqqCUFNJY4AfY3kHU/edit?usp=sharing  #gid=0"",""фіз особи new!relations_name_uo""),7,FALSE)
,
)
))"),"НІКІТІН Петро Глібович")</f>
        <v>НІКІТІН Петро Глібович</v>
      </c>
      <c r="J4140" s="7" t="s">
        <v>17</v>
      </c>
    </row>
    <row r="4141" spans="1:10" ht="13.2">
      <c r="A4141" s="7">
        <v>4140</v>
      </c>
      <c r="B4141" s="7">
        <v>1</v>
      </c>
      <c r="C4141" s="7" t="s">
        <v>10</v>
      </c>
      <c r="D4141" s="7">
        <v>2547</v>
      </c>
      <c r="E4141" s="7" t="s">
        <v>14</v>
      </c>
      <c r="F4141" s="8" t="str">
        <f ca="1">IFERROR(__xludf.DUMMYFUNCTION("IF
(
C4142=""фізична особа""
,
VLOOKUP(D4142,IMPORTRANGE(""https://docs.google.com/spreadsheets/d/14Bd19lYaqBhU8_DElYkX7l4wRkHqqCUFNJY4AfY3kHU/edit?usp=sharing  #gid=0"",""фіз особи new!relations_name""),6,FALSE)
,
(IF
(
C4142=""юридична особа""
,
VLOOKUP"&amp;"(D4142,IMPORTRANGE(""https://docs.google.com/spreadsheets/d/14Bd19lYaqBhU8_DElYkX7l4wRkHqqCUFNJY4AfY3kHU/edit?usp=sharing  #gid=0"",""фіз особи new!relations_name_uo""),7,FALSE)
,
)
))"),"НІКІТІН Гліб Сергійович")</f>
        <v>НІКІТІН Гліб Сергійович</v>
      </c>
      <c r="G4141" s="7" t="s">
        <v>10</v>
      </c>
      <c r="H4141" s="7">
        <v>4937</v>
      </c>
      <c r="I4141" s="8" t="str">
        <f ca="1">IFERROR(__xludf.DUMMYFUNCTION("IF
(
G4142=""фізична особа""
,
VLOOKUP(H4142,IMPORTRANGE(""https://docs.google.com/spreadsheets/d/14Bd19lYaqBhU8_DElYkX7l4wRkHqqCUFNJY4AfY3kHU/edit?usp=sharing  #gid=0"",""фіз особи new!relations_name""),6,FALSE)
,
(IF
(
G4142=""юридична особа""
,
VLOOKUP"&amp;"(H4142,IMPORTRANGE(""https://docs.google.com/spreadsheets/d/14Bd19lYaqBhU8_DElYkX7l4wRkHqqCUFNJY4AfY3kHU/edit?usp=sharing  #gid=0"",""фіз особи new!relations_name_uo""),7,FALSE)
,
)
))"),"НІКІТІНА Катерина Сергіївна")</f>
        <v>НІКІТІНА Катерина Сергіївна</v>
      </c>
      <c r="J4141" s="7" t="s">
        <v>15</v>
      </c>
    </row>
    <row r="4142" spans="1:10" ht="13.2">
      <c r="A4142" s="7">
        <v>4141</v>
      </c>
      <c r="B4142" s="7">
        <v>1</v>
      </c>
      <c r="C4142" s="7" t="s">
        <v>10</v>
      </c>
      <c r="D4142" s="7">
        <v>2547</v>
      </c>
      <c r="E4142" s="7" t="s">
        <v>12</v>
      </c>
      <c r="F4142" s="8" t="str">
        <f ca="1">IFERROR(__xludf.DUMMYFUNCTION("IF
(
C4143=""фізична особа""
,
VLOOKUP(D4143,IMPORTRANGE(""https://docs.google.com/spreadsheets/d/14Bd19lYaqBhU8_DElYkX7l4wRkHqqCUFNJY4AfY3kHU/edit?usp=sharing  #gid=0"",""фіз особи new!relations_name""),6,FALSE)
,
(IF
(
C4143=""юридична особа""
,
VLOOKUP"&amp;"(D4143,IMPORTRANGE(""https://docs.google.com/spreadsheets/d/14Bd19lYaqBhU8_DElYkX7l4wRkHqqCUFNJY4AfY3kHU/edit?usp=sharing  #gid=0"",""фіз особи new!relations_name_uo""),7,FALSE)
,
)
))"),"НІКІТІН Гліб Сергійович")</f>
        <v>НІКІТІН Гліб Сергійович</v>
      </c>
      <c r="G4142" s="7" t="s">
        <v>10</v>
      </c>
      <c r="H4142" s="7">
        <v>23506</v>
      </c>
      <c r="I4142" s="8" t="str">
        <f ca="1">IFERROR(__xludf.DUMMYFUNCTION("IF
(
G4143=""фізична особа""
,
VLOOKUP(H4143,IMPORTRANGE(""https://docs.google.com/spreadsheets/d/14Bd19lYaqBhU8_DElYkX7l4wRkHqqCUFNJY4AfY3kHU/edit?usp=sharing  #gid=0"",""фіз особи new!relations_name""),6,FALSE)
,
(IF
(
G4143=""юридична особа""
,
VLOOKUP"&amp;"(H4143,IMPORTRANGE(""https://docs.google.com/spreadsheets/d/14Bd19lYaqBhU8_DElYkX7l4wRkHqqCUFNJY4AfY3kHU/edit?usp=sharing  #gid=0"",""фіз особи new!relations_name_uo""),7,FALSE)
,
)
))"),"НІКІТІНА Арина Глібівна")</f>
        <v>НІКІТІНА Арина Глібівна</v>
      </c>
      <c r="J4142" s="7" t="s">
        <v>13</v>
      </c>
    </row>
    <row r="4143" spans="1:10" ht="13.2">
      <c r="A4143" s="7">
        <v>4142</v>
      </c>
      <c r="B4143" s="7">
        <v>1</v>
      </c>
      <c r="C4143" s="7" t="s">
        <v>10</v>
      </c>
      <c r="D4143" s="7">
        <v>2548</v>
      </c>
      <c r="E4143" s="7" t="s">
        <v>12</v>
      </c>
      <c r="F4143" s="8" t="str">
        <f ca="1">IFERROR(__xludf.DUMMYFUNCTION("IF
(
C4144=""фізична особа""
,
VLOOKUP(D4144,IMPORTRANGE(""https://docs.google.com/spreadsheets/d/14Bd19lYaqBhU8_DElYkX7l4wRkHqqCUFNJY4AfY3kHU/edit?usp=sharing  #gid=0"",""фіз особи new!relations_name""),6,FALSE)
,
(IF
(
C4144=""юридична особа""
,
VLOOKUP"&amp;"(D4144,IMPORTRANGE(""https://docs.google.com/spreadsheets/d/14Bd19lYaqBhU8_DElYkX7l4wRkHqqCUFNJY4AfY3kHU/edit?usp=sharing  #gid=0"",""фіз особи new!relations_name_uo""),7,FALSE)
,
)
))"),"НІКІТІН Андрій Сергійович")</f>
        <v>НІКІТІН Андрій Сергійович</v>
      </c>
      <c r="G4143" s="7" t="s">
        <v>10</v>
      </c>
      <c r="H4143" s="7">
        <v>0</v>
      </c>
      <c r="I4143" s="8" t="str">
        <f ca="1">IFERROR(__xludf.DUMMYFUNCTION("IF
(
G4144=""фізична особа""
,
VLOOKUP(H4144,IMPORTRANGE(""https://docs.google.com/spreadsheets/d/14Bd19lYaqBhU8_DElYkX7l4wRkHqqCUFNJY4AfY3kHU/edit?usp=sharing  #gid=0"",""фіз особи new!relations_name""),6,FALSE)
,
(IF
(
G4144=""юридична особа""
,
VLOOKUP"&amp;"(H4144,IMPORTRANGE(""https://docs.google.com/spreadsheets/d/14Bd19lYaqBhU8_DElYkX7l4wRkHqqCUFNJY4AfY3kHU/edit?usp=sharing  #gid=0"",""фіз особи new!relations_name_uo""),7,FALSE)
,
)
))"),"#N/A")</f>
        <v>#N/A</v>
      </c>
      <c r="J4143" s="7" t="s">
        <v>13</v>
      </c>
    </row>
    <row r="4144" spans="1:10" ht="13.2">
      <c r="A4144" s="7">
        <v>4143</v>
      </c>
      <c r="B4144" s="7">
        <v>1</v>
      </c>
      <c r="C4144" s="7" t="s">
        <v>10</v>
      </c>
      <c r="D4144" s="7">
        <v>2548</v>
      </c>
      <c r="E4144" s="7" t="s">
        <v>14</v>
      </c>
      <c r="F4144" s="8" t="str">
        <f ca="1">IFERROR(__xludf.DUMMYFUNCTION("IF
(
C4145=""фізична особа""
,
VLOOKUP(D4145,IMPORTRANGE(""https://docs.google.com/spreadsheets/d/14Bd19lYaqBhU8_DElYkX7l4wRkHqqCUFNJY4AfY3kHU/edit?usp=sharing  #gid=0"",""фіз особи new!relations_name""),6,FALSE)
,
(IF
(
C4145=""юридична особа""
,
VLOOKUP"&amp;"(D4145,IMPORTRANGE(""https://docs.google.com/spreadsheets/d/14Bd19lYaqBhU8_DElYkX7l4wRkHqqCUFNJY4AfY3kHU/edit?usp=sharing  #gid=0"",""фіз особи new!relations_name_uo""),7,FALSE)
,
)
))"),"НІКІТІН Андрій Сергійович")</f>
        <v>НІКІТІН Андрій Сергійович</v>
      </c>
      <c r="G4144" s="7" t="s">
        <v>10</v>
      </c>
      <c r="H4144" s="7">
        <v>0</v>
      </c>
      <c r="I4144" s="8" t="str">
        <f ca="1">IFERROR(__xludf.DUMMYFUNCTION("IF
(
G4145=""фізична особа""
,
VLOOKUP(H4145,IMPORTRANGE(""https://docs.google.com/spreadsheets/d/14Bd19lYaqBhU8_DElYkX7l4wRkHqqCUFNJY4AfY3kHU/edit?usp=sharing  #gid=0"",""фіз особи new!relations_name""),6,FALSE)
,
(IF
(
G4145=""юридична особа""
,
VLOOKUP"&amp;"(H4145,IMPORTRANGE(""https://docs.google.com/spreadsheets/d/14Bd19lYaqBhU8_DElYkX7l4wRkHqqCUFNJY4AfY3kHU/edit?usp=sharing  #gid=0"",""фіз особи new!relations_name_uo""),7,FALSE)
,
)
))"),"#N/A")</f>
        <v>#N/A</v>
      </c>
      <c r="J4144" s="7" t="s">
        <v>15</v>
      </c>
    </row>
    <row r="4145" spans="1:10" ht="13.2">
      <c r="A4145" s="7">
        <v>4144</v>
      </c>
      <c r="B4145" s="7">
        <v>1</v>
      </c>
      <c r="C4145" s="7" t="s">
        <v>10</v>
      </c>
      <c r="D4145" s="7">
        <v>2549</v>
      </c>
      <c r="E4145" s="7" t="s">
        <v>12</v>
      </c>
      <c r="F4145" s="8" t="str">
        <f ca="1">IFERROR(__xludf.DUMMYFUNCTION("IF
(
C4146=""фізична особа""
,
VLOOKUP(D4146,IMPORTRANGE(""https://docs.google.com/spreadsheets/d/14Bd19lYaqBhU8_DElYkX7l4wRkHqqCUFNJY4AfY3kHU/edit?usp=sharing  #gid=0"",""фіз особи new!relations_name""),6,FALSE)
,
(IF
(
C4146=""юридична особа""
,
VLOOKUP"&amp;"(D4146,IMPORTRANGE(""https://docs.google.com/spreadsheets/d/14Bd19lYaqBhU8_DElYkX7l4wRkHqqCUFNJY4AfY3kHU/edit?usp=sharing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G4145" s="7" t="s">
        <v>10</v>
      </c>
      <c r="H4145" s="7">
        <v>5076</v>
      </c>
      <c r="I4145" s="8" t="str">
        <f ca="1">IFERROR(__xludf.DUMMYFUNCTION("IF
(
G4146=""фізична особа""
,
VLOOKUP(H4146,IMPORTRANGE(""https://docs.google.com/spreadsheets/d/14Bd19lYaqBhU8_DElYkX7l4wRkHqqCUFNJY4AfY3kHU/edit?usp=sharing  #gid=0"",""фіз особи new!relations_name""),6,FALSE)
,
(IF
(
G4146=""юридична особа""
,
VLOOKUP"&amp;"(H4146,IMPORTRANGE(""https://docs.google.com/spreadsheets/d/14Bd19lYaqBhU8_DElYkX7l4wRkHqqCUFNJY4AfY3kHU/edit?usp=sharing  #gid=0"",""фіз особи new!relations_name_uo""),7,FALSE)
,
)
))"),"ТРАВНІКОВ Дмитро Андрійович")</f>
        <v>ТРАВНІКОВ Дмитро Андрійович</v>
      </c>
      <c r="J4145" s="7" t="s">
        <v>17</v>
      </c>
    </row>
    <row r="4146" spans="1:10" ht="13.2">
      <c r="A4146" s="7">
        <v>4145</v>
      </c>
      <c r="B4146" s="7">
        <v>1</v>
      </c>
      <c r="C4146" s="7" t="s">
        <v>10</v>
      </c>
      <c r="D4146" s="7">
        <v>2549</v>
      </c>
      <c r="E4146" s="7" t="s">
        <v>12</v>
      </c>
      <c r="F4146" s="8" t="str">
        <f ca="1">IFERROR(__xludf.DUMMYFUNCTION("IF
(
C4147=""фізична особа""
,
VLOOKUP(D4147,IMPORTRANGE(""https://docs.google.com/spreadsheets/d/14Bd19lYaqBhU8_DElYkX7l4wRkHqqCUFNJY4AfY3kHU/edit?usp=sharing  #gid=0"",""фіз особи new!relations_name""),6,FALSE)
,
(IF
(
C4147=""юридична особа""
,
VLOOKUP"&amp;"(D4147,IMPORTRANGE(""https://docs.google.com/spreadsheets/d/14Bd19lYaqBhU8_DElYkX7l4wRkHqqCUFNJY4AfY3kHU/edit?usp=sharing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G4146" s="7" t="s">
        <v>10</v>
      </c>
      <c r="H4146" s="7">
        <v>5077</v>
      </c>
      <c r="I4146" s="8" t="str">
        <f ca="1">IFERROR(__xludf.DUMMYFUNCTION("IF
(
G4147=""фізична особа""
,
VLOOKUP(H4147,IMPORTRANGE(""https://docs.google.com/spreadsheets/d/14Bd19lYaqBhU8_DElYkX7l4wRkHqqCUFNJY4AfY3kHU/edit?usp=sharing  #gid=0"",""фіз особи new!relations_name""),6,FALSE)
,
(IF
(
G4147=""юридична особа""
,
VLOOKUP"&amp;"(H4147,IMPORTRANGE(""https://docs.google.com/spreadsheets/d/14Bd19lYaqBhU8_DElYkX7l4wRkHqqCUFNJY4AfY3kHU/edit?usp=sharing  #gid=0"",""фіз особи new!relations_name_uo""),7,FALSE)
,
)
))"),"ТРАВНІКОВА Дар'я Андріївна")</f>
        <v>ТРАВНІКОВА Дар'я Андріївна</v>
      </c>
      <c r="J4146" s="7" t="s">
        <v>13</v>
      </c>
    </row>
    <row r="4147" spans="1:10" ht="13.2">
      <c r="A4147" s="7">
        <v>4146</v>
      </c>
      <c r="B4147" s="7">
        <v>1</v>
      </c>
      <c r="C4147" s="7" t="s">
        <v>10</v>
      </c>
      <c r="D4147" s="7">
        <v>2549</v>
      </c>
      <c r="E4147" s="7" t="s">
        <v>14</v>
      </c>
      <c r="F4147" s="8" t="str">
        <f ca="1">IFERROR(__xludf.DUMMYFUNCTION("IF
(
C4148=""фізична особа""
,
VLOOKUP(D4148,IMPORTRANGE(""https://docs.google.com/spreadsheets/d/14Bd19lYaqBhU8_DElYkX7l4wRkHqqCUFNJY4AfY3kHU/edit?usp=sharing  #gid=0"",""фіз особи new!relations_name""),6,FALSE)
,
(IF
(
C4148=""юридична особа""
,
VLOOKUP"&amp;"(D4148,IMPORTRANGE(""https://docs.google.com/spreadsheets/d/14Bd19lYaqBhU8_DElYkX7l4wRkHqqCUFNJY4AfY3kHU/edit?usp=sharing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G4147" s="7" t="s">
        <v>10</v>
      </c>
      <c r="H4147" s="7">
        <v>5078</v>
      </c>
      <c r="I4147" s="8" t="str">
        <f ca="1">IFERROR(__xludf.DUMMYFUNCTION("IF
(
G4148=""фізична особа""
,
VLOOKUP(H4148,IMPORTRANGE(""https://docs.google.com/spreadsheets/d/14Bd19lYaqBhU8_DElYkX7l4wRkHqqCUFNJY4AfY3kHU/edit?usp=sharing  #gid=0"",""фіз особи new!relations_name""),6,FALSE)
,
(IF
(
G4148=""юридична особа""
,
VLOOKUP"&amp;"(H4148,IMPORTRANGE(""https://docs.google.com/spreadsheets/d/14Bd19lYaqBhU8_DElYkX7l4wRkHqqCUFNJY4AfY3kHU/edit?usp=sharing  #gid=0"",""фіз особи new!relations_name_uo""),7,FALSE)
,
)
))"),"ТРАВНІКОВА Людмила Анатоліївна")</f>
        <v>ТРАВНІКОВА Людмила Анатоліївна</v>
      </c>
      <c r="J4147" s="7" t="s">
        <v>15</v>
      </c>
    </row>
    <row r="4148" spans="1:10" ht="13.2">
      <c r="A4148" s="7">
        <v>4147</v>
      </c>
      <c r="B4148" s="7">
        <v>1</v>
      </c>
      <c r="C4148" s="7" t="s">
        <v>10</v>
      </c>
      <c r="D4148" s="7">
        <v>2550</v>
      </c>
      <c r="E4148" s="7" t="s">
        <v>18</v>
      </c>
      <c r="F4148" s="8" t="str">
        <f ca="1">IFERROR(__xludf.DUMMYFUNCTION("IF
(
C4149=""фізична особа""
,
VLOOKUP(D4149,IMPORTRANGE(""https://docs.google.com/spreadsheets/d/14Bd19lYaqBhU8_DElYkX7l4wRkHqqCUFNJY4AfY3kHU/edit?usp=sharing  #gid=0"",""фіз особи new!relations_name""),6,FALSE)
,
(IF
(
C4149=""юридична особа""
,
VLOOKUP"&amp;"(D4149,IMPORTRANGE(""https://docs.google.com/spreadsheets/d/14Bd19lYaqBhU8_DElYkX7l4wRkHqqCUFNJY4AfY3kHU/edit?usp=sharing  #gid=0"",""фіз особи new!relations_name_uo""),7,FALSE)
,
)
))"),"БУРКОВ Олександр Леонідович")</f>
        <v>БУРКОВ Олександр Леонідович</v>
      </c>
      <c r="G4148" s="7" t="s">
        <v>10</v>
      </c>
      <c r="H4148" s="7">
        <v>0</v>
      </c>
      <c r="I4148" s="8" t="str">
        <f ca="1">IFERROR(__xludf.DUMMYFUNCTION("IF
(
G4149=""фізична особа""
,
VLOOKUP(H4149,IMPORTRANGE(""https://docs.google.com/spreadsheets/d/14Bd19lYaqBhU8_DElYkX7l4wRkHqqCUFNJY4AfY3kHU/edit?usp=sharing  #gid=0"",""фіз особи new!relations_name""),6,FALSE)
,
(IF
(
G4149=""юридична особа""
,
VLOOKUP"&amp;"(H4149,IMPORTRANGE(""https://docs.google.com/spreadsheets/d/14Bd19lYaqBhU8_DElYkX7l4wRkHqqCUFNJY4AfY3kHU/edit?usp=sharing  #gid=0"",""фіз особи new!relations_name_uo""),7,FALSE)
,
)
))"),"#N/A")</f>
        <v>#N/A</v>
      </c>
      <c r="J4148" s="7" t="s">
        <v>18</v>
      </c>
    </row>
    <row r="4149" spans="1:10" ht="13.2">
      <c r="A4149" s="7">
        <v>4148</v>
      </c>
      <c r="B4149" s="7">
        <v>1</v>
      </c>
      <c r="C4149" s="7" t="s">
        <v>10</v>
      </c>
      <c r="D4149" s="7">
        <v>2550</v>
      </c>
      <c r="E4149" s="7" t="s">
        <v>12</v>
      </c>
      <c r="F4149" s="8" t="str">
        <f ca="1">IFERROR(__xludf.DUMMYFUNCTION("IF
(
C4150=""фізична особа""
,
VLOOKUP(D4150,IMPORTRANGE(""https://docs.google.com/spreadsheets/d/14Bd19lYaqBhU8_DElYkX7l4wRkHqqCUFNJY4AfY3kHU/edit?usp=sharing  #gid=0"",""фіз особи new!relations_name""),6,FALSE)
,
(IF
(
C4150=""юридична особа""
,
VLOOKUP"&amp;"(D4150,IMPORTRANGE(""https://docs.google.com/spreadsheets/d/14Bd19lYaqBhU8_DElYkX7l4wRkHqqCUFNJY4AfY3kHU/edit?usp=sharing  #gid=0"",""фіз особи new!relations_name_uo""),7,FALSE)
,
)
))"),"БУРКОВ Олександр Леонідович")</f>
        <v>БУРКОВ Олександр Леонідович</v>
      </c>
      <c r="G4149" s="7" t="s">
        <v>10</v>
      </c>
      <c r="H4149" s="7">
        <v>0</v>
      </c>
      <c r="I4149" s="8" t="str">
        <f ca="1">IFERROR(__xludf.DUMMYFUNCTION("IF
(
G4150=""фізична особа""
,
VLOOKUP(H4150,IMPORTRANGE(""https://docs.google.com/spreadsheets/d/14Bd19lYaqBhU8_DElYkX7l4wRkHqqCUFNJY4AfY3kHU/edit?usp=sharing  #gid=0"",""фіз особи new!relations_name""),6,FALSE)
,
(IF
(
G4150=""юридична особа""
,
VLOOKUP"&amp;"(H4150,IMPORTRANGE(""https://docs.google.com/spreadsheets/d/14Bd19lYaqBhU8_DElYkX7l4wRkHqqCUFNJY4AfY3kHU/edit?usp=sharing  #gid=0"",""фіз особи new!relations_name_uo""),7,FALSE)
,
)
))"),"#N/A")</f>
        <v>#N/A</v>
      </c>
      <c r="J4149" s="7" t="s">
        <v>17</v>
      </c>
    </row>
    <row r="4150" spans="1:10" ht="13.2">
      <c r="A4150" s="7">
        <v>4149</v>
      </c>
      <c r="B4150" s="7">
        <v>1</v>
      </c>
      <c r="C4150" s="7" t="s">
        <v>10</v>
      </c>
      <c r="D4150" s="7">
        <v>2550</v>
      </c>
      <c r="E4150" s="7" t="s">
        <v>14</v>
      </c>
      <c r="F4150" s="8" t="str">
        <f ca="1">IFERROR(__xludf.DUMMYFUNCTION("IF
(
C4151=""фізична особа""
,
VLOOKUP(D4151,IMPORTRANGE(""https://docs.google.com/spreadsheets/d/14Bd19lYaqBhU8_DElYkX7l4wRkHqqCUFNJY4AfY3kHU/edit?usp=sharing  #gid=0"",""фіз особи new!relations_name""),6,FALSE)
,
(IF
(
C4151=""юридична особа""
,
VLOOKUP"&amp;"(D4151,IMPORTRANGE(""https://docs.google.com/spreadsheets/d/14Bd19lYaqBhU8_DElYkX7l4wRkHqqCUFNJY4AfY3kHU/edit?usp=sharing  #gid=0"",""фіз особи new!relations_name_uo""),7,FALSE)
,
)
))"),"БУРКОВ Олександр Леонідович")</f>
        <v>БУРКОВ Олександр Леонідович</v>
      </c>
      <c r="G4150" s="7" t="s">
        <v>10</v>
      </c>
      <c r="H4150" s="7">
        <v>0</v>
      </c>
      <c r="I4150" s="8" t="str">
        <f ca="1">IFERROR(__xludf.DUMMYFUNCTION("IF
(
G4151=""фізична особа""
,
VLOOKUP(H4151,IMPORTRANGE(""https://docs.google.com/spreadsheets/d/14Bd19lYaqBhU8_DElYkX7l4wRkHqqCUFNJY4AfY3kHU/edit?usp=sharing  #gid=0"",""фіз особи new!relations_name""),6,FALSE)
,
(IF
(
G4151=""юридична особа""
,
VLOOKUP"&amp;"(H4151,IMPORTRANGE(""https://docs.google.com/spreadsheets/d/14Bd19lYaqBhU8_DElYkX7l4wRkHqqCUFNJY4AfY3kHU/edit?usp=sharing  #gid=0"",""фіз особи new!relations_name_uo""),7,FALSE)
,
)
))"),"#N/A")</f>
        <v>#N/A</v>
      </c>
      <c r="J4150" s="7" t="s">
        <v>15</v>
      </c>
    </row>
    <row r="4151" spans="1:10" ht="13.2">
      <c r="A4151" s="7">
        <v>4150</v>
      </c>
      <c r="B4151" s="7">
        <v>1</v>
      </c>
      <c r="C4151" s="7" t="s">
        <v>10</v>
      </c>
      <c r="D4151" s="7">
        <v>2551</v>
      </c>
      <c r="E4151" s="7" t="s">
        <v>14</v>
      </c>
      <c r="F4151" s="8" t="str">
        <f ca="1">IFERROR(__xludf.DUMMYFUNCTION("IF
(
C4152=""фізична особа""
,
VLOOKUP(D4152,IMPORTRANGE(""https://docs.google.com/spreadsheets/d/14Bd19lYaqBhU8_DElYkX7l4wRkHqqCUFNJY4AfY3kHU/edit?usp=sharing  #gid=0"",""фіз особи new!relations_name""),6,FALSE)
,
(IF
(
C4152=""юридична особа""
,
VLOOKUP"&amp;"(D4152,IMPORTRANGE(""https://docs.google.com/spreadsheets/d/14Bd19lYaqBhU8_DElYkX7l4wRkHqqCUFNJY4AfY3kHU/edit?usp=sharing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1" s="7" t="s">
        <v>10</v>
      </c>
      <c r="H4151" s="7">
        <v>15568</v>
      </c>
      <c r="I4151" s="8" t="str">
        <f ca="1">IFERROR(__xludf.DUMMYFUNCTION("IF
(
G4152=""фізична особа""
,
VLOOKUP(H4152,IMPORTRANGE(""https://docs.google.com/spreadsheets/d/14Bd19lYaqBhU8_DElYkX7l4wRkHqqCUFNJY4AfY3kHU/edit?usp=sharing  #gid=0"",""фіз особи new!relations_name""),6,FALSE)
,
(IF
(
G4152=""юридична особа""
,
VLOOKUP"&amp;"(H4152,IMPORTRANGE(""https://docs.google.com/spreadsheets/d/14Bd19lYaqBhU8_DElYkX7l4wRkHqqCUFNJY4AfY3kHU/edit?usp=sharing  #gid=0"",""фіз особи new!relations_name_uo""),7,FALSE)
,
)
))"),"ГЕРЦ / ЄНОТОВА Олена Марківна")</f>
        <v>ГЕРЦ / ЄНОТОВА Олена Марківна</v>
      </c>
      <c r="J4151" s="7" t="s">
        <v>15</v>
      </c>
    </row>
    <row r="4152" spans="1:10" ht="13.2">
      <c r="A4152" s="7">
        <v>4151</v>
      </c>
      <c r="B4152" s="7">
        <v>1</v>
      </c>
      <c r="C4152" s="7" t="s">
        <v>10</v>
      </c>
      <c r="D4152" s="7">
        <v>2551</v>
      </c>
      <c r="E4152" s="7" t="s">
        <v>12</v>
      </c>
      <c r="F4152" s="8" t="str">
        <f ca="1">IFERROR(__xludf.DUMMYFUNCTION("IF
(
C4153=""фізична особа""
,
VLOOKUP(D4153,IMPORTRANGE(""https://docs.google.com/spreadsheets/d/14Bd19lYaqBhU8_DElYkX7l4wRkHqqCUFNJY4AfY3kHU/edit?usp=sharing  #gid=0"",""фіз особи new!relations_name""),6,FALSE)
,
(IF
(
C4153=""юридична особа""
,
VLOOKUP"&amp;"(D4153,IMPORTRANGE(""https://docs.google.com/spreadsheets/d/14Bd19lYaqBhU8_DElYkX7l4wRkHqqCUFNJY4AfY3kHU/edit?usp=sharing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2" s="7" t="s">
        <v>10</v>
      </c>
      <c r="H4152" s="7">
        <v>23507</v>
      </c>
      <c r="I4152" s="8" t="str">
        <f ca="1">IFERROR(__xludf.DUMMYFUNCTION("IF
(
G4153=""фізична особа""
,
VLOOKUP(H4153,IMPORTRANGE(""https://docs.google.com/spreadsheets/d/14Bd19lYaqBhU8_DElYkX7l4wRkHqqCUFNJY4AfY3kHU/edit?usp=sharing  #gid=0"",""фіз особи new!relations_name""),6,FALSE)
,
(IF
(
G4153=""юридична особа""
,
VLOOKUP"&amp;"(H4153,IMPORTRANGE(""https://docs.google.com/spreadsheets/d/14Bd19lYaqBhU8_DElYkX7l4wRkHqqCUFNJY4AfY3kHU/edit?usp=sharing  #gid=0"",""фіз особи new!relations_name_uo""),7,FALSE)
,
)
))"),"ПАСЛЕР Єлизавета Денисівна")</f>
        <v>ПАСЛЕР Єлизавета Денисівна</v>
      </c>
      <c r="J4152" s="7" t="s">
        <v>13</v>
      </c>
    </row>
    <row r="4153" spans="1:10" ht="13.2">
      <c r="A4153" s="7">
        <v>4152</v>
      </c>
      <c r="B4153" s="7">
        <v>1</v>
      </c>
      <c r="C4153" s="7" t="s">
        <v>10</v>
      </c>
      <c r="D4153" s="7">
        <v>2551</v>
      </c>
      <c r="E4153" s="7" t="s">
        <v>18</v>
      </c>
      <c r="F4153" s="8" t="str">
        <f ca="1">IFERROR(__xludf.DUMMYFUNCTION("IF
(
C4154=""фізична особа""
,
VLOOKUP(D4154,IMPORTRANGE(""https://docs.google.com/spreadsheets/d/14Bd19lYaqBhU8_DElYkX7l4wRkHqqCUFNJY4AfY3kHU/edit?usp=sharing  #gid=0"",""фіз особи new!relations_name""),6,FALSE)
,
(IF
(
C4154=""юридична особа""
,
VLOOKUP"&amp;"(D4154,IMPORTRANGE(""https://docs.google.com/spreadsheets/d/14Bd19lYaqBhU8_DElYkX7l4wRkHqqCUFNJY4AfY3kHU/edit?usp=sharing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3" s="7" t="s">
        <v>10</v>
      </c>
      <c r="H4153" s="7">
        <v>0</v>
      </c>
      <c r="I4153" s="8" t="str">
        <f ca="1">IFERROR(__xludf.DUMMYFUNCTION("IF
(
G4154=""фізична особа""
,
VLOOKUP(H4154,IMPORTRANGE(""https://docs.google.com/spreadsheets/d/14Bd19lYaqBhU8_DElYkX7l4wRkHqqCUFNJY4AfY3kHU/edit?usp=sharing  #gid=0"",""фіз особи new!relations_name""),6,FALSE)
,
(IF
(
G4154=""юридична особа""
,
VLOOKUP"&amp;"(H4154,IMPORTRANGE(""https://docs.google.com/spreadsheets/d/14Bd19lYaqBhU8_DElYkX7l4wRkHqqCUFNJY4AfY3kHU/edit?usp=sharing  #gid=0"",""фіз особи new!relations_name_uo""),7,FALSE)
,
)
))"),"#N/A")</f>
        <v>#N/A</v>
      </c>
      <c r="J4153" s="7" t="s">
        <v>18</v>
      </c>
    </row>
    <row r="4154" spans="1:10" ht="13.2">
      <c r="A4154" s="7">
        <v>4153</v>
      </c>
      <c r="B4154" s="7">
        <v>1</v>
      </c>
      <c r="C4154" s="7" t="s">
        <v>10</v>
      </c>
      <c r="D4154" s="7">
        <v>2551</v>
      </c>
      <c r="E4154" s="7" t="s">
        <v>12</v>
      </c>
      <c r="F4154" s="8" t="str">
        <f ca="1">IFERROR(__xludf.DUMMYFUNCTION("IF
(
C4155=""фізична особа""
,
VLOOKUP(D4155,IMPORTRANGE(""https://docs.google.com/spreadsheets/d/14Bd19lYaqBhU8_DElYkX7l4wRkHqqCUFNJY4AfY3kHU/edit?usp=sharing  #gid=0"",""фіз особи new!relations_name""),6,FALSE)
,
(IF
(
C4155=""юридична особа""
,
VLOOKUP"&amp;"(D4155,IMPORTRANGE(""https://docs.google.com/spreadsheets/d/14Bd19lYaqBhU8_DElYkX7l4wRkHqqCUFNJY4AfY3kHU/edit?usp=sharing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4" s="7" t="s">
        <v>10</v>
      </c>
      <c r="H4154" s="7">
        <v>15567</v>
      </c>
      <c r="I4154" s="8" t="str">
        <f ca="1">IFERROR(__xludf.DUMMYFUNCTION("IF
(
G4155=""фізична особа""
,
VLOOKUP(H4155,IMPORTRANGE(""https://docs.google.com/spreadsheets/d/14Bd19lYaqBhU8_DElYkX7l4wRkHqqCUFNJY4AfY3kHU/edit?usp=sharing  #gid=0"",""фіз особи new!relations_name""),6,FALSE)
,
(IF
(
G4155=""юридична особа""
,
VLOOKUP"&amp;"(H4155,IMPORTRANGE(""https://docs.google.com/spreadsheets/d/14Bd19lYaqBhU8_DElYkX7l4wRkHqqCUFNJY4AfY3kHU/edit?usp=sharing  #gid=0"",""фіз особи new!relations_name_uo""),7,FALSE)
,
)
))"),"ПАСЛЕР Михайло Денисович")</f>
        <v>ПАСЛЕР Михайло Денисович</v>
      </c>
      <c r="J4154" s="7" t="s">
        <v>17</v>
      </c>
    </row>
    <row r="4155" spans="1:10" ht="13.2">
      <c r="A4155" s="7">
        <v>4154</v>
      </c>
      <c r="B4155" s="7">
        <v>1</v>
      </c>
      <c r="C4155" s="7" t="s">
        <v>10</v>
      </c>
      <c r="D4155" s="7">
        <v>2551</v>
      </c>
      <c r="E4155" s="7" t="s">
        <v>12</v>
      </c>
      <c r="F4155" s="8" t="str">
        <f ca="1">IFERROR(__xludf.DUMMYFUNCTION("IF
(
C4156=""фізична особа""
,
VLOOKUP(D4156,IMPORTRANGE(""https://docs.google.com/spreadsheets/d/14Bd19lYaqBhU8_DElYkX7l4wRkHqqCUFNJY4AfY3kHU/edit?usp=sharing  #gid=0"",""фіз особи new!relations_name""),6,FALSE)
,
(IF
(
C4156=""юридична особа""
,
VLOOKUP"&amp;"(D4156,IMPORTRANGE(""https://docs.google.com/spreadsheets/d/14Bd19lYaqBhU8_DElYkX7l4wRkHqqCUFNJY4AfY3kHU/edit?usp=sharing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5" s="7" t="s">
        <v>10</v>
      </c>
      <c r="H4155" s="7">
        <v>23508</v>
      </c>
      <c r="I4155" s="8" t="str">
        <f ca="1">IFERROR(__xludf.DUMMYFUNCTION("IF
(
G4156=""фізична особа""
,
VLOOKUP(H4156,IMPORTRANGE(""https://docs.google.com/spreadsheets/d/14Bd19lYaqBhU8_DElYkX7l4wRkHqqCUFNJY4AfY3kHU/edit?usp=sharing  #gid=0"",""фіз особи new!relations_name""),6,FALSE)
,
(IF
(
G4156=""юридична особа""
,
VLOOKUP"&amp;"(H4156,IMPORTRANGE(""https://docs.google.com/spreadsheets/d/14Bd19lYaqBhU8_DElYkX7l4wRkHqqCUFNJY4AfY3kHU/edit?usp=sharing  #gid=0"",""фіз особи new!relations_name_uo""),7,FALSE)
,
)
))"),"ПАСЛЕР Денис Денисович")</f>
        <v>ПАСЛЕР Денис Денисович</v>
      </c>
      <c r="J4155" s="7" t="s">
        <v>17</v>
      </c>
    </row>
    <row r="4156" spans="1:10" ht="13.2">
      <c r="A4156" s="7">
        <v>4155</v>
      </c>
      <c r="B4156" s="7">
        <v>1</v>
      </c>
      <c r="C4156" s="7" t="s">
        <v>10</v>
      </c>
      <c r="D4156" s="7">
        <v>2551</v>
      </c>
      <c r="E4156" s="7" t="s">
        <v>18</v>
      </c>
      <c r="F4156" s="8" t="str">
        <f ca="1">IFERROR(__xludf.DUMMYFUNCTION("IF
(
C4157=""фізична особа""
,
VLOOKUP(D4157,IMPORTRANGE(""https://docs.google.com/spreadsheets/d/14Bd19lYaqBhU8_DElYkX7l4wRkHqqCUFNJY4AfY3kHU/edit?usp=sharing  #gid=0"",""фіз особи new!relations_name""),6,FALSE)
,
(IF
(
C4157=""юридична особа""
,
VLOOKUP"&amp;"(D4157,IMPORTRANGE(""https://docs.google.com/spreadsheets/d/14Bd19lYaqBhU8_DElYkX7l4wRkHqqCUFNJY4AfY3kHU/edit?usp=sharing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G4156" s="7" t="s">
        <v>10</v>
      </c>
      <c r="H4156" s="7">
        <v>0</v>
      </c>
      <c r="I4156" s="8" t="str">
        <f ca="1">IFERROR(__xludf.DUMMYFUNCTION("IF
(
G4157=""фізична особа""
,
VLOOKUP(H4157,IMPORTRANGE(""https://docs.google.com/spreadsheets/d/14Bd19lYaqBhU8_DElYkX7l4wRkHqqCUFNJY4AfY3kHU/edit?usp=sharing  #gid=0"",""фіз особи new!relations_name""),6,FALSE)
,
(IF
(
G4157=""юридична особа""
,
VLOOKUP"&amp;"(H4157,IMPORTRANGE(""https://docs.google.com/spreadsheets/d/14Bd19lYaqBhU8_DElYkX7l4wRkHqqCUFNJY4AfY3kHU/edit?usp=sharing  #gid=0"",""фіз особи new!relations_name_uo""),7,FALSE)
,
)
))"),"#N/A")</f>
        <v>#N/A</v>
      </c>
      <c r="J4156" s="7" t="s">
        <v>18</v>
      </c>
    </row>
    <row r="4157" spans="1:10" ht="13.2">
      <c r="A4157" s="7">
        <v>4156</v>
      </c>
      <c r="B4157" s="7">
        <v>1</v>
      </c>
      <c r="C4157" s="7" t="s">
        <v>10</v>
      </c>
      <c r="D4157" s="7">
        <v>2552</v>
      </c>
      <c r="E4157" s="7" t="s">
        <v>18</v>
      </c>
      <c r="F4157" s="8" t="str">
        <f ca="1">IFERROR(__xludf.DUMMYFUNCTION("IF
(
C4158=""фізична особа""
,
VLOOKUP(D4158,IMPORTRANGE(""https://docs.google.com/spreadsheets/d/14Bd19lYaqBhU8_DElYkX7l4wRkHqqCUFNJY4AfY3kHU/edit?usp=sharing  #gid=0"",""фіз особи new!relations_name""),6,FALSE)
,
(IF
(
C4158=""юридична особа""
,
VLOOKUP"&amp;"(D4158,IMPORTRANGE(""https://docs.google.com/spreadsheets/d/14Bd19lYaqBhU8_DElYkX7l4wRkHqqCUFNJY4AfY3kHU/edit?usp=sharing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57" s="7" t="s">
        <v>10</v>
      </c>
      <c r="H4157" s="7">
        <v>0</v>
      </c>
      <c r="I4157" s="8" t="str">
        <f ca="1">IFERROR(__xludf.DUMMYFUNCTION("IF
(
G4158=""фізична особа""
,
VLOOKUP(H4158,IMPORTRANGE(""https://docs.google.com/spreadsheets/d/14Bd19lYaqBhU8_DElYkX7l4wRkHqqCUFNJY4AfY3kHU/edit?usp=sharing  #gid=0"",""фіз особи new!relations_name""),6,FALSE)
,
(IF
(
G4158=""юридична особа""
,
VLOOKUP"&amp;"(H4158,IMPORTRANGE(""https://docs.google.com/spreadsheets/d/14Bd19lYaqBhU8_DElYkX7l4wRkHqqCUFNJY4AfY3kHU/edit?usp=sharing  #gid=0"",""фіз особи new!relations_name_uo""),7,FALSE)
,
)
))"),"#N/A")</f>
        <v>#N/A</v>
      </c>
      <c r="J4157" s="7" t="s">
        <v>31</v>
      </c>
    </row>
    <row r="4158" spans="1:10" ht="13.2">
      <c r="A4158" s="7">
        <v>4157</v>
      </c>
      <c r="B4158" s="7">
        <v>1</v>
      </c>
      <c r="C4158" s="7" t="s">
        <v>10</v>
      </c>
      <c r="D4158" s="7">
        <v>2552</v>
      </c>
      <c r="E4158" s="7" t="s">
        <v>19</v>
      </c>
      <c r="F4158" s="8" t="str">
        <f ca="1">IFERROR(__xludf.DUMMYFUNCTION("IF
(
C4159=""фізична особа""
,
VLOOKUP(D4159,IMPORTRANGE(""https://docs.google.com/spreadsheets/d/14Bd19lYaqBhU8_DElYkX7l4wRkHqqCUFNJY4AfY3kHU/edit?usp=sharing  #gid=0"",""фіз особи new!relations_name""),6,FALSE)
,
(IF
(
C4159=""юридична особа""
,
VLOOKUP"&amp;"(D4159,IMPORTRANGE(""https://docs.google.com/spreadsheets/d/14Bd19lYaqBhU8_DElYkX7l4wRkHqqCUFNJY4AfY3kHU/edit?usp=sharing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58" s="7" t="s">
        <v>10</v>
      </c>
      <c r="H4158" s="7">
        <v>0</v>
      </c>
      <c r="I4158" s="8" t="str">
        <f ca="1">IFERROR(__xludf.DUMMYFUNCTION("IF
(
G4159=""фізична особа""
,
VLOOKUP(H4159,IMPORTRANGE(""https://docs.google.com/spreadsheets/d/14Bd19lYaqBhU8_DElYkX7l4wRkHqqCUFNJY4AfY3kHU/edit?usp=sharing  #gid=0"",""фіз особи new!relations_name""),6,FALSE)
,
(IF
(
G4159=""юридична особа""
,
VLOOKUP"&amp;"(H4159,IMPORTRANGE(""https://docs.google.com/spreadsheets/d/14Bd19lYaqBhU8_DElYkX7l4wRkHqqCUFNJY4AfY3kHU/edit?usp=sharing  #gid=0"",""фіз особи new!relations_name_uo""),7,FALSE)
,
)
))"),"#N/A")</f>
        <v>#N/A</v>
      </c>
      <c r="J4158" s="7" t="s">
        <v>20</v>
      </c>
    </row>
    <row r="4159" spans="1:10" ht="13.2">
      <c r="A4159" s="7">
        <v>4158</v>
      </c>
      <c r="B4159" s="7">
        <v>1</v>
      </c>
      <c r="C4159" s="7" t="s">
        <v>10</v>
      </c>
      <c r="D4159" s="7">
        <v>2552</v>
      </c>
      <c r="E4159" s="7" t="s">
        <v>12</v>
      </c>
      <c r="F4159" s="8" t="str">
        <f ca="1">IFERROR(__xludf.DUMMYFUNCTION("IF
(
C4160=""фізична особа""
,
VLOOKUP(D4160,IMPORTRANGE(""https://docs.google.com/spreadsheets/d/14Bd19lYaqBhU8_DElYkX7l4wRkHqqCUFNJY4AfY3kHU/edit?usp=sharing  #gid=0"",""фіз особи new!relations_name""),6,FALSE)
,
(IF
(
C4160=""юридична особа""
,
VLOOKUP"&amp;"(D4160,IMPORTRANGE(""https://docs.google.com/spreadsheets/d/14Bd19lYaqBhU8_DElYkX7l4wRkHqqCUFNJY4AfY3kHU/edit?usp=sharing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59" s="7" t="s">
        <v>10</v>
      </c>
      <c r="H4159" s="7">
        <v>0</v>
      </c>
      <c r="I4159" s="8" t="str">
        <f ca="1">IFERROR(__xludf.DUMMYFUNCTION("IF
(
G4160=""фізична особа""
,
VLOOKUP(H4160,IMPORTRANGE(""https://docs.google.com/spreadsheets/d/14Bd19lYaqBhU8_DElYkX7l4wRkHqqCUFNJY4AfY3kHU/edit?usp=sharing  #gid=0"",""фіз особи new!relations_name""),6,FALSE)
,
(IF
(
G4160=""юридична особа""
,
VLOOKUP"&amp;"(H4160,IMPORTRANGE(""https://docs.google.com/spreadsheets/d/14Bd19lYaqBhU8_DElYkX7l4wRkHqqCUFNJY4AfY3kHU/edit?usp=sharing  #gid=0"",""фіз особи new!relations_name_uo""),7,FALSE)
,
)
))"),"#N/A")</f>
        <v>#N/A</v>
      </c>
      <c r="J4159" s="7" t="s">
        <v>17</v>
      </c>
    </row>
    <row r="4160" spans="1:10" ht="13.2">
      <c r="A4160" s="7">
        <v>4159</v>
      </c>
      <c r="B4160" s="7">
        <v>1</v>
      </c>
      <c r="C4160" s="7" t="s">
        <v>10</v>
      </c>
      <c r="D4160" s="7">
        <v>2552</v>
      </c>
      <c r="E4160" s="7" t="s">
        <v>12</v>
      </c>
      <c r="F4160" s="8" t="str">
        <f ca="1">IFERROR(__xludf.DUMMYFUNCTION("IF
(
C4161=""фізична особа""
,
VLOOKUP(D4161,IMPORTRANGE(""https://docs.google.com/spreadsheets/d/14Bd19lYaqBhU8_DElYkX7l4wRkHqqCUFNJY4AfY3kHU/edit?usp=sharing  #gid=0"",""фіз особи new!relations_name""),6,FALSE)
,
(IF
(
C4161=""юридична особа""
,
VLOOKUP"&amp;"(D4161,IMPORTRANGE(""https://docs.google.com/spreadsheets/d/14Bd19lYaqBhU8_DElYkX7l4wRkHqqCUFNJY4AfY3kHU/edit?usp=sharing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60" s="7" t="s">
        <v>10</v>
      </c>
      <c r="H4160" s="7">
        <v>0</v>
      </c>
      <c r="I4160" s="8" t="str">
        <f ca="1">IFERROR(__xludf.DUMMYFUNCTION("IF
(
G4161=""фізична особа""
,
VLOOKUP(H4161,IMPORTRANGE(""https://docs.google.com/spreadsheets/d/14Bd19lYaqBhU8_DElYkX7l4wRkHqqCUFNJY4AfY3kHU/edit?usp=sharing  #gid=0"",""фіз особи new!relations_name""),6,FALSE)
,
(IF
(
G4161=""юридична особа""
,
VLOOKUP"&amp;"(H4161,IMPORTRANGE(""https://docs.google.com/spreadsheets/d/14Bd19lYaqBhU8_DElYkX7l4wRkHqqCUFNJY4AfY3kHU/edit?usp=sharing  #gid=0"",""фіз особи new!relations_name_uo""),7,FALSE)
,
)
))"),"#N/A")</f>
        <v>#N/A</v>
      </c>
      <c r="J4160" s="7" t="s">
        <v>17</v>
      </c>
    </row>
    <row r="4161" spans="1:10" ht="13.2">
      <c r="A4161" s="7">
        <v>4160</v>
      </c>
      <c r="B4161" s="7">
        <v>1</v>
      </c>
      <c r="C4161" s="7" t="s">
        <v>10</v>
      </c>
      <c r="D4161" s="7">
        <v>2552</v>
      </c>
      <c r="E4161" s="7" t="s">
        <v>17</v>
      </c>
      <c r="F4161" s="8" t="str">
        <f ca="1">IFERROR(__xludf.DUMMYFUNCTION("IF
(
C4162=""фізична особа""
,
VLOOKUP(D4162,IMPORTRANGE(""https://docs.google.com/spreadsheets/d/14Bd19lYaqBhU8_DElYkX7l4wRkHqqCUFNJY4AfY3kHU/edit?usp=sharing  #gid=0"",""фіз особи new!relations_name""),6,FALSE)
,
(IF
(
C4162=""юридична особа""
,
VLOOKUP"&amp;"(D4162,IMPORTRANGE(""https://docs.google.com/spreadsheets/d/14Bd19lYaqBhU8_DElYkX7l4wRkHqqCUFNJY4AfY3kHU/edit?usp=sharing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61" s="7" t="s">
        <v>10</v>
      </c>
      <c r="H4161" s="7">
        <v>0</v>
      </c>
      <c r="I4161" s="8" t="str">
        <f ca="1">IFERROR(__xludf.DUMMYFUNCTION("IF
(
G4162=""фізична особа""
,
VLOOKUP(H4162,IMPORTRANGE(""https://docs.google.com/spreadsheets/d/14Bd19lYaqBhU8_DElYkX7l4wRkHqqCUFNJY4AfY3kHU/edit?usp=sharing  #gid=0"",""фіз особи new!relations_name""),6,FALSE)
,
(IF
(
G4162=""юридична особа""
,
VLOOKUP"&amp;"(H4162,IMPORTRANGE(""https://docs.google.com/spreadsheets/d/14Bd19lYaqBhU8_DElYkX7l4wRkHqqCUFNJY4AfY3kHU/edit?usp=sharing  #gid=0"",""фіз особи new!relations_name_uo""),7,FALSE)
,
)
))"),"#N/A")</f>
        <v>#N/A</v>
      </c>
      <c r="J4161" s="7" t="s">
        <v>21</v>
      </c>
    </row>
    <row r="4162" spans="1:10" ht="13.2">
      <c r="A4162" s="7">
        <v>4161</v>
      </c>
      <c r="B4162" s="7">
        <v>1</v>
      </c>
      <c r="C4162" s="7" t="s">
        <v>10</v>
      </c>
      <c r="D4162" s="7">
        <v>2552</v>
      </c>
      <c r="E4162" s="7" t="s">
        <v>14</v>
      </c>
      <c r="F4162" s="8" t="str">
        <f ca="1">IFERROR(__xludf.DUMMYFUNCTION("IF
(
C4163=""фізична особа""
,
VLOOKUP(D4163,IMPORTRANGE(""https://docs.google.com/spreadsheets/d/14Bd19lYaqBhU8_DElYkX7l4wRkHqqCUFNJY4AfY3kHU/edit?usp=sharing  #gid=0"",""фіз особи new!relations_name""),6,FALSE)
,
(IF
(
C4163=""юридична особа""
,
VLOOKUP"&amp;"(D4163,IMPORTRANGE(""https://docs.google.com/spreadsheets/d/14Bd19lYaqBhU8_DElYkX7l4wRkHqqCUFNJY4AfY3kHU/edit?usp=sharing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62" s="7" t="s">
        <v>10</v>
      </c>
      <c r="H4162" s="7">
        <v>0</v>
      </c>
      <c r="I4162" s="8" t="str">
        <f ca="1">IFERROR(__xludf.DUMMYFUNCTION("IF
(
G4163=""фізична особа""
,
VLOOKUP(H4163,IMPORTRANGE(""https://docs.google.com/spreadsheets/d/14Bd19lYaqBhU8_DElYkX7l4wRkHqqCUFNJY4AfY3kHU/edit?usp=sharing  #gid=0"",""фіз особи new!relations_name""),6,FALSE)
,
(IF
(
G4163=""юридична особа""
,
VLOOKUP"&amp;"(H4163,IMPORTRANGE(""https://docs.google.com/spreadsheets/d/14Bd19lYaqBhU8_DElYkX7l4wRkHqqCUFNJY4AfY3kHU/edit?usp=sharing  #gid=0"",""фіз особи new!relations_name_uo""),7,FALSE)
,
)
))"),"#N/A")</f>
        <v>#N/A</v>
      </c>
      <c r="J4162" s="7" t="s">
        <v>15</v>
      </c>
    </row>
    <row r="4163" spans="1:10" ht="13.2">
      <c r="A4163" s="7">
        <v>4162</v>
      </c>
      <c r="B4163" s="7">
        <v>1</v>
      </c>
      <c r="C4163" s="7" t="s">
        <v>10</v>
      </c>
      <c r="D4163" s="7">
        <v>2552</v>
      </c>
      <c r="E4163" s="7" t="s">
        <v>26</v>
      </c>
      <c r="F4163" s="8" t="str">
        <f ca="1">IFERROR(__xludf.DUMMYFUNCTION("IF
(
C4164=""фізична особа""
,
VLOOKUP(D4164,IMPORTRANGE(""https://docs.google.com/spreadsheets/d/14Bd19lYaqBhU8_DElYkX7l4wRkHqqCUFNJY4AfY3kHU/edit?usp=sharing  #gid=0"",""фіз особи new!relations_name""),6,FALSE)
,
(IF
(
C4164=""юридична особа""
,
VLOOKUP"&amp;"(D4164,IMPORTRANGE(""https://docs.google.com/spreadsheets/d/14Bd19lYaqBhU8_DElYkX7l4wRkHqqCUFNJY4AfY3kHU/edit?usp=sharing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63" s="7" t="s">
        <v>10</v>
      </c>
      <c r="H4163" s="7">
        <v>0</v>
      </c>
      <c r="I4163" s="8" t="str">
        <f ca="1">IFERROR(__xludf.DUMMYFUNCTION("IF
(
G4164=""фізична особа""
,
VLOOKUP(H4164,IMPORTRANGE(""https://docs.google.com/spreadsheets/d/14Bd19lYaqBhU8_DElYkX7l4wRkHqqCUFNJY4AfY3kHU/edit?usp=sharing  #gid=0"",""фіз особи new!relations_name""),6,FALSE)
,
(IF
(
G4164=""юридична особа""
,
VLOOKUP"&amp;"(H4164,IMPORTRANGE(""https://docs.google.com/spreadsheets/d/14Bd19lYaqBhU8_DElYkX7l4wRkHqqCUFNJY4AfY3kHU/edit?usp=sharing  #gid=0"",""фіз особи new!relations_name_uo""),7,FALSE)
,
)
))"),"#N/A")</f>
        <v>#N/A</v>
      </c>
      <c r="J4163" s="7" t="s">
        <v>24</v>
      </c>
    </row>
    <row r="4164" spans="1:10" ht="13.2">
      <c r="A4164" s="7">
        <v>4163</v>
      </c>
      <c r="B4164" s="7">
        <v>1</v>
      </c>
      <c r="C4164" s="7" t="s">
        <v>10</v>
      </c>
      <c r="D4164" s="7">
        <v>2552</v>
      </c>
      <c r="E4164" s="7" t="s">
        <v>26</v>
      </c>
      <c r="F4164" s="8" t="str">
        <f ca="1">IFERROR(__xludf.DUMMYFUNCTION("IF
(
C4165=""фізична особа""
,
VLOOKUP(D4165,IMPORTRANGE(""https://docs.google.com/spreadsheets/d/14Bd19lYaqBhU8_DElYkX7l4wRkHqqCUFNJY4AfY3kHU/edit?usp=sharing  #gid=0"",""фіз особи new!relations_name""),6,FALSE)
,
(IF
(
C4165=""юридична особа""
,
VLOOKUP"&amp;"(D4165,IMPORTRANGE(""https://docs.google.com/spreadsheets/d/14Bd19lYaqBhU8_DElYkX7l4wRkHqqCUFNJY4AfY3kHU/edit?usp=sharing  #gid=0"",""фіз особи new!relations_name_uo""),7,FALSE)
,
)
))"),"КЛИЧКОВ Андрій Євгенович")</f>
        <v>КЛИЧКОВ Андрій Євгенович</v>
      </c>
      <c r="G4164" s="7" t="s">
        <v>10</v>
      </c>
      <c r="H4164" s="7">
        <v>0</v>
      </c>
      <c r="I4164" s="8" t="str">
        <f ca="1">IFERROR(__xludf.DUMMYFUNCTION("IF
(
G4165=""фізична особа""
,
VLOOKUP(H4165,IMPORTRANGE(""https://docs.google.com/spreadsheets/d/14Bd19lYaqBhU8_DElYkX7l4wRkHqqCUFNJY4AfY3kHU/edit?usp=sharing  #gid=0"",""фіз особи new!relations_name""),6,FALSE)
,
(IF
(
G4165=""юридична особа""
,
VLOOKUP"&amp;"(H4165,IMPORTRANGE(""https://docs.google.com/spreadsheets/d/14Bd19lYaqBhU8_DElYkX7l4wRkHqqCUFNJY4AfY3kHU/edit?usp=sharing  #gid=0"",""фіз особи new!relations_name_uo""),7,FALSE)
,
)
))"),"#N/A")</f>
        <v>#N/A</v>
      </c>
      <c r="J4164" s="7" t="s">
        <v>27</v>
      </c>
    </row>
    <row r="4165" spans="1:10" ht="13.2">
      <c r="A4165" s="7">
        <v>4164</v>
      </c>
      <c r="B4165" s="7">
        <v>1</v>
      </c>
      <c r="C4165" s="7" t="s">
        <v>10</v>
      </c>
      <c r="D4165" s="7">
        <v>2553</v>
      </c>
      <c r="E4165" s="7" t="s">
        <v>28</v>
      </c>
      <c r="F4165" s="8" t="str">
        <f ca="1">IFERROR(__xludf.DUMMYFUNCTION("IF
(
C4166=""фізична особа""
,
VLOOKUP(D4166,IMPORTRANGE(""https://docs.google.com/spreadsheets/d/14Bd19lYaqBhU8_DElYkX7l4wRkHqqCUFNJY4AfY3kHU/edit?usp=sharing  #gid=0"",""фіз особи new!relations_name""),6,FALSE)
,
(IF
(
C4166=""юридична особа""
,
VLOOKUP"&amp;"(D4166,IMPORTRANGE(""https://docs.google.com/spreadsheets/d/14Bd19lYaqBhU8_DElYkX7l4wRkHqqCUFNJY4AfY3kHU/edit?usp=sharing  #gid=0"",""фіз особи new!relations_name_uo""),7,FALSE)
,
)
))"),"МЕЛЬНИЧЕНКО Олег Володимирович")</f>
        <v>МЕЛЬНИЧЕНКО Олег Володимирович</v>
      </c>
      <c r="G4165" s="7" t="s">
        <v>10</v>
      </c>
      <c r="H4165" s="7">
        <v>325</v>
      </c>
      <c r="I4165" s="8" t="str">
        <f ca="1">IFERROR(__xludf.DUMMYFUNCTION("IF
(
G4166=""фізична особа""
,
VLOOKUP(H4166,IMPORTRANGE(""https://docs.google.com/spreadsheets/d/14Bd19lYaqBhU8_DElYkX7l4wRkHqqCUFNJY4AfY3kHU/edit?usp=sharing  #gid=0"",""фіз особи new!relations_name""),6,FALSE)
,
(IF
(
G4166=""юридична особа""
,
VLOOKUP"&amp;"(H4166,IMPORTRANGE(""https://docs.google.com/spreadsheets/d/14Bd19lYaqBhU8_DElYkX7l4wRkHqqCUFNJY4AfY3kHU/edit?usp=sharing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165" s="7" t="s">
        <v>29</v>
      </c>
    </row>
    <row r="4166" spans="1:10" ht="13.2">
      <c r="A4166" s="7">
        <v>4165</v>
      </c>
      <c r="B4166" s="7">
        <v>1</v>
      </c>
      <c r="C4166" s="7" t="s">
        <v>10</v>
      </c>
      <c r="D4166" s="7">
        <v>2554</v>
      </c>
      <c r="E4166" s="7" t="s">
        <v>18</v>
      </c>
      <c r="F4166" s="8" t="str">
        <f ca="1">IFERROR(__xludf.DUMMYFUNCTION("IF
(
C4167=""фізична особа""
,
VLOOKUP(D4167,IMPORTRANGE(""https://docs.google.com/spreadsheets/d/14Bd19lYaqBhU8_DElYkX7l4wRkHqqCUFNJY4AfY3kHU/edit?usp=sharing  #gid=0"",""фіз особи new!relations_name""),6,FALSE)
,
(IF
(
C4167=""юридична особа""
,
VLOOKUP"&amp;"(D4167,IMPORTRANGE(""https://docs.google.com/spreadsheets/d/14Bd19lYaqBhU8_DElYkX7l4wRkHqqCUFNJY4AfY3kHU/edit?usp=sharing  #gid=0"",""фіз особи new!relations_name_uo""),7,FALSE)
,
)
))"),"ВЕДЕРНІКОВ Михайло Юрійович")</f>
        <v>ВЕДЕРНІКОВ Михайло Юрійович</v>
      </c>
      <c r="G4166" s="7" t="s">
        <v>10</v>
      </c>
      <c r="H4166" s="7">
        <v>0</v>
      </c>
      <c r="I4166" s="8" t="str">
        <f ca="1">IFERROR(__xludf.DUMMYFUNCTION("IF
(
G4167=""фізична особа""
,
VLOOKUP(H4167,IMPORTRANGE(""https://docs.google.com/spreadsheets/d/14Bd19lYaqBhU8_DElYkX7l4wRkHqqCUFNJY4AfY3kHU/edit?usp=sharing  #gid=0"",""фіз особи new!relations_name""),6,FALSE)
,
(IF
(
G4167=""юридична особа""
,
VLOOKUP"&amp;"(H4167,IMPORTRANGE(""https://docs.google.com/spreadsheets/d/14Bd19lYaqBhU8_DElYkX7l4wRkHqqCUFNJY4AfY3kHU/edit?usp=sharing  #gid=0"",""фіз особи new!relations_name_uo""),7,FALSE)
,
)
))"),"#N/A")</f>
        <v>#N/A</v>
      </c>
      <c r="J4166" s="7" t="s">
        <v>18</v>
      </c>
    </row>
    <row r="4167" spans="1:10" ht="13.2">
      <c r="A4167" s="7">
        <v>4166</v>
      </c>
      <c r="B4167" s="7">
        <v>1</v>
      </c>
      <c r="C4167" s="7" t="s">
        <v>10</v>
      </c>
      <c r="D4167" s="7">
        <v>2554</v>
      </c>
      <c r="E4167" s="7" t="s">
        <v>17</v>
      </c>
      <c r="F4167" s="8" t="str">
        <f ca="1">IFERROR(__xludf.DUMMYFUNCTION("IF
(
C4168=""фізична особа""
,
VLOOKUP(D4168,IMPORTRANGE(""https://docs.google.com/spreadsheets/d/14Bd19lYaqBhU8_DElYkX7l4wRkHqqCUFNJY4AfY3kHU/edit?usp=sharing  #gid=0"",""фіз особи new!relations_name""),6,FALSE)
,
(IF
(
C4168=""юридична особа""
,
VLOOKUP"&amp;"(D4168,IMPORTRANGE(""https://docs.google.com/spreadsheets/d/14Bd19lYaqBhU8_DElYkX7l4wRkHqqCUFNJY4AfY3kHU/edit?usp=sharing  #gid=0"",""фіз особи new!relations_name_uo""),7,FALSE)
,
)
))"),"ВЕДЕРНІКОВ Михайло Юрійович")</f>
        <v>ВЕДЕРНІКОВ Михайло Юрійович</v>
      </c>
      <c r="G4167" s="7" t="s">
        <v>10</v>
      </c>
      <c r="H4167" s="7">
        <v>0</v>
      </c>
      <c r="I4167" s="8" t="str">
        <f ca="1">IFERROR(__xludf.DUMMYFUNCTION("IF
(
G4168=""фізична особа""
,
VLOOKUP(H4168,IMPORTRANGE(""https://docs.google.com/spreadsheets/d/14Bd19lYaqBhU8_DElYkX7l4wRkHqqCUFNJY4AfY3kHU/edit?usp=sharing  #gid=0"",""фіз особи new!relations_name""),6,FALSE)
,
(IF
(
G4168=""юридична особа""
,
VLOOKUP"&amp;"(H4168,IMPORTRANGE(""https://docs.google.com/spreadsheets/d/14Bd19lYaqBhU8_DElYkX7l4wRkHqqCUFNJY4AfY3kHU/edit?usp=sharing  #gid=0"",""фіз особи new!relations_name_uo""),7,FALSE)
,
)
))"),"#N/A")</f>
        <v>#N/A</v>
      </c>
      <c r="J4167" s="7" t="s">
        <v>12</v>
      </c>
    </row>
    <row r="4168" spans="1:10" ht="13.2">
      <c r="A4168" s="7">
        <v>4167</v>
      </c>
      <c r="B4168" s="7">
        <v>1</v>
      </c>
      <c r="C4168" s="7" t="s">
        <v>10</v>
      </c>
      <c r="D4168" s="7">
        <v>2555</v>
      </c>
      <c r="E4168" s="7" t="s">
        <v>12</v>
      </c>
      <c r="F4168" s="8" t="str">
        <f ca="1">IFERROR(__xludf.DUMMYFUNCTION("IF
(
C4169=""фізична особа""
,
VLOOKUP(D4169,IMPORTRANGE(""https://docs.google.com/spreadsheets/d/14Bd19lYaqBhU8_DElYkX7l4wRkHqqCUFNJY4AfY3kHU/edit?usp=sharing  #gid=0"",""фіз особи new!relations_name""),6,FALSE)
,
(IF
(
C4169=""юридична особа""
,
VLOOKUP"&amp;"(D4169,IMPORTRANGE(""https://docs.google.com/spreadsheets/d/14Bd19lYaqBhU8_DElYkX7l4wRkHqqCUFNJY4AfY3kHU/edit?usp=sharing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68" s="7" t="s">
        <v>10</v>
      </c>
      <c r="H4168" s="7">
        <v>4891</v>
      </c>
      <c r="I4168" s="8" t="str">
        <f ca="1">IFERROR(__xludf.DUMMYFUNCTION("IF
(
G4169=""фізична особа""
,
VLOOKUP(H4169,IMPORTRANGE(""https://docs.google.com/spreadsheets/d/14Bd19lYaqBhU8_DElYkX7l4wRkHqqCUFNJY4AfY3kHU/edit?usp=sharing  #gid=0"",""фіз особи new!relations_name""),6,FALSE)
,
(IF
(
G4169=""юридична особа""
,
VLOOKUP"&amp;"(H4169,IMPORTRANGE(""https://docs.google.com/spreadsheets/d/14Bd19lYaqBhU8_DElYkX7l4wRkHqqCUFNJY4AfY3kHU/edit?usp=sharing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J4168" s="7" t="s">
        <v>17</v>
      </c>
    </row>
    <row r="4169" spans="1:10" ht="13.2">
      <c r="A4169" s="7">
        <v>4168</v>
      </c>
      <c r="B4169" s="7">
        <v>1</v>
      </c>
      <c r="C4169" s="7" t="s">
        <v>10</v>
      </c>
      <c r="D4169" s="7">
        <v>2555</v>
      </c>
      <c r="E4169" s="7" t="s">
        <v>19</v>
      </c>
      <c r="F4169" s="8" t="str">
        <f ca="1">IFERROR(__xludf.DUMMYFUNCTION("IF
(
C4170=""фізична особа""
,
VLOOKUP(D4170,IMPORTRANGE(""https://docs.google.com/spreadsheets/d/14Bd19lYaqBhU8_DElYkX7l4wRkHqqCUFNJY4AfY3kHU/edit?usp=sharing  #gid=0"",""фіз особи new!relations_name""),6,FALSE)
,
(IF
(
C4170=""юридична особа""
,
VLOOKUP"&amp;"(D4170,IMPORTRANGE(""https://docs.google.com/spreadsheets/d/14Bd19lYaqBhU8_DElYkX7l4wRkHqqCUFNJY4AfY3kHU/edit?usp=sharing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69" s="7" t="s">
        <v>10</v>
      </c>
      <c r="H4169" s="7">
        <v>15569</v>
      </c>
      <c r="I4169" s="8" t="str">
        <f ca="1">IFERROR(__xludf.DUMMYFUNCTION("IF
(
G4170=""фізична особа""
,
VLOOKUP(H4170,IMPORTRANGE(""https://docs.google.com/spreadsheets/d/14Bd19lYaqBhU8_DElYkX7l4wRkHqqCUFNJY4AfY3kHU/edit?usp=sharing  #gid=0"",""фіз особи new!relations_name""),6,FALSE)
,
(IF
(
G4170=""юридична особа""
,
VLOOKUP"&amp;"(H4170,IMPORTRANGE(""https://docs.google.com/spreadsheets/d/14Bd19lYaqBhU8_DElYkX7l4wRkHqqCUFNJY4AfY3kHU/edit?usp=sharing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J4169" s="7" t="s">
        <v>20</v>
      </c>
    </row>
    <row r="4170" spans="1:10" ht="13.2">
      <c r="A4170" s="7">
        <v>4169</v>
      </c>
      <c r="B4170" s="7">
        <v>1</v>
      </c>
      <c r="C4170" s="7" t="s">
        <v>10</v>
      </c>
      <c r="D4170" s="7">
        <v>2555</v>
      </c>
      <c r="E4170" s="7" t="s">
        <v>14</v>
      </c>
      <c r="F4170" s="8" t="str">
        <f ca="1">IFERROR(__xludf.DUMMYFUNCTION("IF
(
C4171=""фізична особа""
,
VLOOKUP(D4171,IMPORTRANGE(""https://docs.google.com/spreadsheets/d/14Bd19lYaqBhU8_DElYkX7l4wRkHqqCUFNJY4AfY3kHU/edit?usp=sharing  #gid=0"",""фіз особи new!relations_name""),6,FALSE)
,
(IF
(
C4171=""юридична особа""
,
VLOOKUP"&amp;"(D4171,IMPORTRANGE(""https://docs.google.com/spreadsheets/d/14Bd19lYaqBhU8_DElYkX7l4wRkHqqCUFNJY4AfY3kHU/edit?usp=sharing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70" s="7" t="s">
        <v>10</v>
      </c>
      <c r="H4170" s="7">
        <v>4889</v>
      </c>
      <c r="I4170" s="8" t="str">
        <f ca="1">IFERROR(__xludf.DUMMYFUNCTION("IF
(
G4171=""фізична особа""
,
VLOOKUP(H4171,IMPORTRANGE(""https://docs.google.com/spreadsheets/d/14Bd19lYaqBhU8_DElYkX7l4wRkHqqCUFNJY4AfY3kHU/edit?usp=sharing  #gid=0"",""фіз особи new!relations_name""),6,FALSE)
,
(IF
(
G4171=""юридична особа""
,
VLOOKUP"&amp;"(H4171,IMPORTRANGE(""https://docs.google.com/spreadsheets/d/14Bd19lYaqBhU8_DElYkX7l4wRkHqqCUFNJY4AfY3kHU/edit?usp=sharing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J4170" s="7" t="s">
        <v>15</v>
      </c>
    </row>
    <row r="4171" spans="1:10" ht="13.2">
      <c r="A4171" s="7">
        <v>4170</v>
      </c>
      <c r="B4171" s="7">
        <v>1</v>
      </c>
      <c r="C4171" s="7" t="s">
        <v>10</v>
      </c>
      <c r="D4171" s="7">
        <v>2555</v>
      </c>
      <c r="E4171" s="7" t="s">
        <v>12</v>
      </c>
      <c r="F4171" s="8" t="str">
        <f ca="1">IFERROR(__xludf.DUMMYFUNCTION("IF
(
C4172=""фізична особа""
,
VLOOKUP(D4172,IMPORTRANGE(""https://docs.google.com/spreadsheets/d/14Bd19lYaqBhU8_DElYkX7l4wRkHqqCUFNJY4AfY3kHU/edit?usp=sharing  #gid=0"",""фіз особи new!relations_name""),6,FALSE)
,
(IF
(
C4172=""юридична особа""
,
VLOOKUP"&amp;"(D4172,IMPORTRANGE(""https://docs.google.com/spreadsheets/d/14Bd19lYaqBhU8_DElYkX7l4wRkHqqCUFNJY4AfY3kHU/edit?usp=sharing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71" s="7" t="s">
        <v>10</v>
      </c>
      <c r="H4171" s="7">
        <v>4890</v>
      </c>
      <c r="I4171" s="8" t="str">
        <f ca="1">IFERROR(__xludf.DUMMYFUNCTION("IF
(
G4172=""фізична особа""
,
VLOOKUP(H4172,IMPORTRANGE(""https://docs.google.com/spreadsheets/d/14Bd19lYaqBhU8_DElYkX7l4wRkHqqCUFNJY4AfY3kHU/edit?usp=sharing  #gid=0"",""фіз особи new!relations_name""),6,FALSE)
,
(IF
(
G4172=""юридична особа""
,
VLOOKUP"&amp;"(H4172,IMPORTRANGE(""https://docs.google.com/spreadsheets/d/14Bd19lYaqBhU8_DElYkX7l4wRkHqqCUFNJY4AfY3kHU/edit?usp=sharing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J4171" s="7" t="s">
        <v>13</v>
      </c>
    </row>
    <row r="4172" spans="1:10" ht="13.2">
      <c r="A4172" s="7">
        <v>4171</v>
      </c>
      <c r="B4172" s="7">
        <v>1</v>
      </c>
      <c r="C4172" s="7" t="s">
        <v>10</v>
      </c>
      <c r="D4172" s="7">
        <v>2555</v>
      </c>
      <c r="E4172" s="7" t="s">
        <v>59</v>
      </c>
      <c r="F4172" s="8" t="str">
        <f ca="1">IFERROR(__xludf.DUMMYFUNCTION("IF
(
C4173=""фізична особа""
,
VLOOKUP(D4173,IMPORTRANGE(""https://docs.google.com/spreadsheets/d/14Bd19lYaqBhU8_DElYkX7l4wRkHqqCUFNJY4AfY3kHU/edit?usp=sharing  #gid=0"",""фіз особи new!relations_name""),6,FALSE)
,
(IF
(
C4173=""юридична особа""
,
VLOOKUP"&amp;"(D4173,IMPORTRANGE(""https://docs.google.com/spreadsheets/d/14Bd19lYaqBhU8_DElYkX7l4wRkHqqCUFNJY4AfY3kHU/edit?usp=sharing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72" s="7" t="s">
        <v>10</v>
      </c>
      <c r="H4172" s="7">
        <v>23509</v>
      </c>
      <c r="I4172" s="8" t="str">
        <f ca="1">IFERROR(__xludf.DUMMYFUNCTION("IF
(
G4173=""фізична особа""
,
VLOOKUP(H4173,IMPORTRANGE(""https://docs.google.com/spreadsheets/d/14Bd19lYaqBhU8_DElYkX7l4wRkHqqCUFNJY4AfY3kHU/edit?usp=sharing  #gid=0"",""фіз особи new!relations_name""),6,FALSE)
,
(IF
(
G4173=""юридична особа""
,
VLOOKUP"&amp;"(H4173,IMPORTRANGE(""https://docs.google.com/spreadsheets/d/14Bd19lYaqBhU8_DElYkX7l4wRkHqqCUFNJY4AfY3kHU/edit?usp=sharing  #gid=0"",""фіз особи new!relations_name_uo""),7,FALSE)
,
)
))"),"ГОЛУБЄВА Софія Олексіївна")</f>
        <v>ГОЛУБЄВА Софія Олексіївна</v>
      </c>
      <c r="J4172" s="7" t="s">
        <v>60</v>
      </c>
    </row>
    <row r="4173" spans="1:10" ht="13.2">
      <c r="A4173" s="7">
        <v>4172</v>
      </c>
      <c r="B4173" s="7">
        <v>1</v>
      </c>
      <c r="C4173" s="7" t="s">
        <v>10</v>
      </c>
      <c r="D4173" s="7">
        <v>2555</v>
      </c>
      <c r="E4173" s="7" t="s">
        <v>24</v>
      </c>
      <c r="F4173" s="8" t="str">
        <f ca="1">IFERROR(__xludf.DUMMYFUNCTION("IF
(
C4174=""фізична особа""
,
VLOOKUP(D4174,IMPORTRANGE(""https://docs.google.com/spreadsheets/d/14Bd19lYaqBhU8_DElYkX7l4wRkHqqCUFNJY4AfY3kHU/edit?usp=sharing  #gid=0"",""фіз особи new!relations_name""),6,FALSE)
,
(IF
(
C4174=""юридична особа""
,
VLOOKUP"&amp;"(D4174,IMPORTRANGE(""https://docs.google.com/spreadsheets/d/14Bd19lYaqBhU8_DElYkX7l4wRkHqqCUFNJY4AfY3kHU/edit?usp=sharing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73" s="7" t="s">
        <v>10</v>
      </c>
      <c r="H4173" s="7">
        <v>23510</v>
      </c>
      <c r="I4173" s="8" t="str">
        <f ca="1">IFERROR(__xludf.DUMMYFUNCTION("IF
(
G4174=""фізична особа""
,
VLOOKUP(H4174,IMPORTRANGE(""https://docs.google.com/spreadsheets/d/14Bd19lYaqBhU8_DElYkX7l4wRkHqqCUFNJY4AfY3kHU/edit?usp=sharing  #gid=0"",""фіз особи new!relations_name""),6,FALSE)
,
(IF
(
G4174=""юридична особа""
,
VLOOKUP"&amp;"(H4174,IMPORTRANGE(""https://docs.google.com/spreadsheets/d/14Bd19lYaqBhU8_DElYkX7l4wRkHqqCUFNJY4AfY3kHU/edit?usp=sharing  #gid=0"",""фіз особи new!relations_name_uo""),7,FALSE)
,
)
))"),"ЦИХІСЕЛІ Георгій Отарович")</f>
        <v>ЦИХІСЕЛІ Георгій Отарович</v>
      </c>
      <c r="J4173" s="7" t="s">
        <v>26</v>
      </c>
    </row>
    <row r="4174" spans="1:10" ht="13.2">
      <c r="A4174" s="7">
        <v>4173</v>
      </c>
      <c r="B4174" s="7">
        <v>1</v>
      </c>
      <c r="C4174" s="7" t="s">
        <v>10</v>
      </c>
      <c r="D4174" s="7">
        <v>2555</v>
      </c>
      <c r="E4174" s="7" t="s">
        <v>34</v>
      </c>
      <c r="F4174" s="8" t="str">
        <f ca="1">IFERROR(__xludf.DUMMYFUNCTION("IF
(
C4175=""фізична особа""
,
VLOOKUP(D4175,IMPORTRANGE(""https://docs.google.com/spreadsheets/d/14Bd19lYaqBhU8_DElYkX7l4wRkHqqCUFNJY4AfY3kHU/edit?usp=sharing  #gid=0"",""фіз особи new!relations_name""),6,FALSE)
,
(IF
(
C4175=""юридична особа""
,
VLOOKUP"&amp;"(D4175,IMPORTRANGE(""https://docs.google.com/spreadsheets/d/14Bd19lYaqBhU8_DElYkX7l4wRkHqqCUFNJY4AfY3kHU/edit?usp=sharing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G4174" s="7" t="s">
        <v>10</v>
      </c>
      <c r="H4174" s="7">
        <v>23511</v>
      </c>
      <c r="I4174" s="8" t="str">
        <f ca="1">IFERROR(__xludf.DUMMYFUNCTION("IF
(
G4175=""фізична особа""
,
VLOOKUP(H4175,IMPORTRANGE(""https://docs.google.com/spreadsheets/d/14Bd19lYaqBhU8_DElYkX7l4wRkHqqCUFNJY4AfY3kHU/edit?usp=sharing  #gid=0"",""фіз особи new!relations_name""),6,FALSE)
,
(IF
(
G4175=""юридична особа""
,
VLOOKUP"&amp;"(H4175,IMPORTRANGE(""https://docs.google.com/spreadsheets/d/14Bd19lYaqBhU8_DElYkX7l4wRkHqqCUFNJY4AfY3kHU/edit?usp=sharing  #gid=0"",""фіз особи new!relations_name_uo""),7,FALSE)
,
)
))"),"ШАРАПОВА Юлія")</f>
        <v>ШАРАПОВА Юлія</v>
      </c>
      <c r="J4174" s="7" t="s">
        <v>25</v>
      </c>
    </row>
    <row r="4175" spans="1:10" ht="13.2">
      <c r="A4175" s="7">
        <v>4174</v>
      </c>
      <c r="B4175" s="7">
        <v>1</v>
      </c>
      <c r="C4175" s="7" t="s">
        <v>10</v>
      </c>
      <c r="D4175" s="7">
        <v>2556</v>
      </c>
      <c r="E4175" s="7" t="s">
        <v>14</v>
      </c>
      <c r="F4175" s="8" t="str">
        <f ca="1">IFERROR(__xludf.DUMMYFUNCTION("IF
(
C4176=""фізична особа""
,
VLOOKUP(D4176,IMPORTRANGE(""https://docs.google.com/spreadsheets/d/14Bd19lYaqBhU8_DElYkX7l4wRkHqqCUFNJY4AfY3kHU/edit?usp=sharing  #gid=0"",""фіз особи new!relations_name""),6,FALSE)
,
(IF
(
C4176=""юридична особа""
,
VLOOKUP"&amp;"(D4176,IMPORTRANGE(""https://docs.google.com/spreadsheets/d/14Bd19lYaqBhU8_DElYkX7l4wRkHqqCUFNJY4AfY3kHU/edit?usp=sharing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G4175" s="7" t="s">
        <v>10</v>
      </c>
      <c r="H4175" s="7">
        <v>0</v>
      </c>
      <c r="I4175" s="8" t="str">
        <f ca="1">IFERROR(__xludf.DUMMYFUNCTION("IF
(
G4176=""фізична особа""
,
VLOOKUP(H4176,IMPORTRANGE(""https://docs.google.com/spreadsheets/d/14Bd19lYaqBhU8_DElYkX7l4wRkHqqCUFNJY4AfY3kHU/edit?usp=sharing  #gid=0"",""фіз особи new!relations_name""),6,FALSE)
,
(IF
(
G4176=""юридична особа""
,
VLOOKUP"&amp;"(H4176,IMPORTRANGE(""https://docs.google.com/spreadsheets/d/14Bd19lYaqBhU8_DElYkX7l4wRkHqqCUFNJY4AfY3kHU/edit?usp=sharing  #gid=0"",""фіз особи new!relations_name_uo""),7,FALSE)
,
)
))"),"#N/A")</f>
        <v>#N/A</v>
      </c>
      <c r="J4175" s="7" t="s">
        <v>15</v>
      </c>
    </row>
    <row r="4176" spans="1:10" ht="13.2">
      <c r="A4176" s="7">
        <v>4175</v>
      </c>
      <c r="B4176" s="7">
        <v>1</v>
      </c>
      <c r="C4176" s="7" t="s">
        <v>10</v>
      </c>
      <c r="D4176" s="7">
        <v>2556</v>
      </c>
      <c r="E4176" s="7" t="s">
        <v>12</v>
      </c>
      <c r="F4176" s="8" t="str">
        <f ca="1">IFERROR(__xludf.DUMMYFUNCTION("IF
(
C4177=""фізична особа""
,
VLOOKUP(D4177,IMPORTRANGE(""https://docs.google.com/spreadsheets/d/14Bd19lYaqBhU8_DElYkX7l4wRkHqqCUFNJY4AfY3kHU/edit?usp=sharing  #gid=0"",""фіз особи new!relations_name""),6,FALSE)
,
(IF
(
C4177=""юридична особа""
,
VLOOKUP"&amp;"(D4177,IMPORTRANGE(""https://docs.google.com/spreadsheets/d/14Bd19lYaqBhU8_DElYkX7l4wRkHqqCUFNJY4AfY3kHU/edit?usp=sharing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G4176" s="7" t="s">
        <v>10</v>
      </c>
      <c r="H4176" s="7">
        <v>0</v>
      </c>
      <c r="I4176" s="8" t="str">
        <f ca="1">IFERROR(__xludf.DUMMYFUNCTION("IF
(
G4177=""фізична особа""
,
VLOOKUP(H4177,IMPORTRANGE(""https://docs.google.com/spreadsheets/d/14Bd19lYaqBhU8_DElYkX7l4wRkHqqCUFNJY4AfY3kHU/edit?usp=sharing  #gid=0"",""фіз особи new!relations_name""),6,FALSE)
,
(IF
(
G4177=""юридична особа""
,
VLOOKUP"&amp;"(H4177,IMPORTRANGE(""https://docs.google.com/spreadsheets/d/14Bd19lYaqBhU8_DElYkX7l4wRkHqqCUFNJY4AfY3kHU/edit?usp=sharing  #gid=0"",""фіз особи new!relations_name_uo""),7,FALSE)
,
)
))"),"#N/A")</f>
        <v>#N/A</v>
      </c>
      <c r="J4176" s="7" t="s">
        <v>13</v>
      </c>
    </row>
    <row r="4177" spans="1:10" ht="13.2">
      <c r="A4177" s="7">
        <v>4176</v>
      </c>
      <c r="B4177" s="7">
        <v>1</v>
      </c>
      <c r="C4177" s="7" t="s">
        <v>10</v>
      </c>
      <c r="D4177" s="7">
        <v>2556</v>
      </c>
      <c r="E4177" s="7" t="s">
        <v>12</v>
      </c>
      <c r="F4177" s="8" t="str">
        <f ca="1">IFERROR(__xludf.DUMMYFUNCTION("IF
(
C4178=""фізична особа""
,
VLOOKUP(D4178,IMPORTRANGE(""https://docs.google.com/spreadsheets/d/14Bd19lYaqBhU8_DElYkX7l4wRkHqqCUFNJY4AfY3kHU/edit?usp=sharing  #gid=0"",""фіз особи new!relations_name""),6,FALSE)
,
(IF
(
C4178=""юридична особа""
,
VLOOKUP"&amp;"(D4178,IMPORTRANGE(""https://docs.google.com/spreadsheets/d/14Bd19lYaqBhU8_DElYkX7l4wRkHqqCUFNJY4AfY3kHU/edit?usp=sharing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G4177" s="7" t="s">
        <v>10</v>
      </c>
      <c r="H4177" s="7">
        <v>0</v>
      </c>
      <c r="I4177" s="8" t="str">
        <f ca="1">IFERROR(__xludf.DUMMYFUNCTION("IF
(
G4178=""фізична особа""
,
VLOOKUP(H4178,IMPORTRANGE(""https://docs.google.com/spreadsheets/d/14Bd19lYaqBhU8_DElYkX7l4wRkHqqCUFNJY4AfY3kHU/edit?usp=sharing  #gid=0"",""фіз особи new!relations_name""),6,FALSE)
,
(IF
(
G4178=""юридична особа""
,
VLOOKUP"&amp;"(H4178,IMPORTRANGE(""https://docs.google.com/spreadsheets/d/14Bd19lYaqBhU8_DElYkX7l4wRkHqqCUFNJY4AfY3kHU/edit?usp=sharing  #gid=0"",""фіз особи new!relations_name_uo""),7,FALSE)
,
)
))"),"#N/A")</f>
        <v>#N/A</v>
      </c>
      <c r="J4177" s="7" t="s">
        <v>13</v>
      </c>
    </row>
    <row r="4178" spans="1:10" ht="13.2">
      <c r="A4178" s="7">
        <v>4177</v>
      </c>
      <c r="B4178" s="7">
        <v>1</v>
      </c>
      <c r="C4178" s="7" t="s">
        <v>10</v>
      </c>
      <c r="D4178" s="7">
        <v>2557</v>
      </c>
      <c r="E4178" s="7" t="s">
        <v>14</v>
      </c>
      <c r="F4178" s="8" t="str">
        <f ca="1">IFERROR(__xludf.DUMMYFUNCTION("IF
(
C4179=""фізична особа""
,
VLOOKUP(D4179,IMPORTRANGE(""https://docs.google.com/spreadsheets/d/14Bd19lYaqBhU8_DElYkX7l4wRkHqqCUFNJY4AfY3kHU/edit?usp=sharing  #gid=0"",""фіз особи new!relations_name""),6,FALSE)
,
(IF
(
C4179=""юридична особа""
,
VLOOKUP"&amp;"(D4179,IMPORTRANGE(""https://docs.google.com/spreadsheets/d/14Bd19lYaqBhU8_DElYkX7l4wRkHqqCUFNJY4AfY3kHU/edit?usp=sharing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78" s="7" t="s">
        <v>10</v>
      </c>
      <c r="H4178" s="7">
        <v>4688</v>
      </c>
      <c r="I4178" s="8" t="str">
        <f ca="1">IFERROR(__xludf.DUMMYFUNCTION("IF
(
G4179=""фізична особа""
,
VLOOKUP(H4179,IMPORTRANGE(""https://docs.google.com/spreadsheets/d/14Bd19lYaqBhU8_DElYkX7l4wRkHqqCUFNJY4AfY3kHU/edit?usp=sharing  #gid=0"",""фіз особи new!relations_name""),6,FALSE)
,
(IF
(
G4179=""юридична особа""
,
VLOOKUP"&amp;"(H4179,IMPORTRANGE(""https://docs.google.com/spreadsheets/d/14Bd19lYaqBhU8_DElYkX7l4wRkHqqCUFNJY4AfY3kHU/edit?usp=sharing  #gid=0"",""фіз особи new!relations_name_uo""),7,FALSE)
,
)
))"),"АЗАРОВА Елліна Вячеславівна")</f>
        <v>АЗАРОВА Елліна Вячеславівна</v>
      </c>
      <c r="J4178" s="7" t="s">
        <v>15</v>
      </c>
    </row>
    <row r="4179" spans="1:10" ht="13.2">
      <c r="A4179" s="7">
        <v>4178</v>
      </c>
      <c r="B4179" s="7">
        <v>1</v>
      </c>
      <c r="C4179" s="7" t="s">
        <v>10</v>
      </c>
      <c r="D4179" s="7">
        <v>2557</v>
      </c>
      <c r="E4179" s="7" t="s">
        <v>12</v>
      </c>
      <c r="F4179" s="8" t="str">
        <f ca="1">IFERROR(__xludf.DUMMYFUNCTION("IF
(
C4180=""фізична особа""
,
VLOOKUP(D4180,IMPORTRANGE(""https://docs.google.com/spreadsheets/d/14Bd19lYaqBhU8_DElYkX7l4wRkHqqCUFNJY4AfY3kHU/edit?usp=sharing  #gid=0"",""фіз особи new!relations_name""),6,FALSE)
,
(IF
(
C4180=""юридична особа""
,
VLOOKUP"&amp;"(D4180,IMPORTRANGE(""https://docs.google.com/spreadsheets/d/14Bd19lYaqBhU8_DElYkX7l4wRkHqqCUFNJY4AfY3kHU/edit?usp=sharing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79" s="7" t="s">
        <v>10</v>
      </c>
      <c r="H4179" s="7">
        <v>4689</v>
      </c>
      <c r="I4179" s="8" t="str">
        <f ca="1">IFERROR(__xludf.DUMMYFUNCTION("IF
(
G4180=""фізична особа""
,
VLOOKUP(H4180,IMPORTRANGE(""https://docs.google.com/spreadsheets/d/14Bd19lYaqBhU8_DElYkX7l4wRkHqqCUFNJY4AfY3kHU/edit?usp=sharing  #gid=0"",""фіз особи new!relations_name""),6,FALSE)
,
(IF
(
G4180=""юридична особа""
,
VLOOKUP"&amp;"(H4180,IMPORTRANGE(""https://docs.google.com/spreadsheets/d/14Bd19lYaqBhU8_DElYkX7l4wRkHqqCUFNJY4AfY3kHU/edit?usp=sharing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J4179" s="7" t="s">
        <v>13</v>
      </c>
    </row>
    <row r="4180" spans="1:10" ht="13.2">
      <c r="A4180" s="7">
        <v>4179</v>
      </c>
      <c r="B4180" s="7">
        <v>1</v>
      </c>
      <c r="C4180" s="7" t="s">
        <v>10</v>
      </c>
      <c r="D4180" s="7">
        <v>2557</v>
      </c>
      <c r="E4180" s="7" t="s">
        <v>12</v>
      </c>
      <c r="F4180" s="8" t="str">
        <f ca="1">IFERROR(__xludf.DUMMYFUNCTION("IF
(
C4181=""фізична особа""
,
VLOOKUP(D4181,IMPORTRANGE(""https://docs.google.com/spreadsheets/d/14Bd19lYaqBhU8_DElYkX7l4wRkHqqCUFNJY4AfY3kHU/edit?usp=sharing  #gid=0"",""фіз особи new!relations_name""),6,FALSE)
,
(IF
(
C4181=""юридична особа""
,
VLOOKUP"&amp;"(D4181,IMPORTRANGE(""https://docs.google.com/spreadsheets/d/14Bd19lYaqBhU8_DElYkX7l4wRkHqqCUFNJY4AfY3kHU/edit?usp=sharing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80" s="7" t="s">
        <v>10</v>
      </c>
      <c r="H4180" s="7">
        <v>4690</v>
      </c>
      <c r="I4180" s="8" t="str">
        <f ca="1">IFERROR(__xludf.DUMMYFUNCTION("IF
(
G4181=""фізична особа""
,
VLOOKUP(H4181,IMPORTRANGE(""https://docs.google.com/spreadsheets/d/14Bd19lYaqBhU8_DElYkX7l4wRkHqqCUFNJY4AfY3kHU/edit?usp=sharing  #gid=0"",""фіз особи new!relations_name""),6,FALSE)
,
(IF
(
G4181=""юридична особа""
,
VLOOKUP"&amp;"(H4181,IMPORTRANGE(""https://docs.google.com/spreadsheets/d/14Bd19lYaqBhU8_DElYkX7l4wRkHqqCUFNJY4AfY3kHU/edit?usp=sharing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J4180" s="7" t="s">
        <v>13</v>
      </c>
    </row>
    <row r="4181" spans="1:10" ht="13.2">
      <c r="A4181" s="7">
        <v>4180</v>
      </c>
      <c r="B4181" s="7">
        <v>1</v>
      </c>
      <c r="C4181" s="7" t="s">
        <v>10</v>
      </c>
      <c r="D4181" s="7">
        <v>2557</v>
      </c>
      <c r="E4181" s="7" t="s">
        <v>18</v>
      </c>
      <c r="F4181" s="8" t="str">
        <f ca="1">IFERROR(__xludf.DUMMYFUNCTION("IF
(
C4182=""фізична особа""
,
VLOOKUP(D4182,IMPORTRANGE(""https://docs.google.com/spreadsheets/d/14Bd19lYaqBhU8_DElYkX7l4wRkHqqCUFNJY4AfY3kHU/edit?usp=sharing  #gid=0"",""фіз особи new!relations_name""),6,FALSE)
,
(IF
(
C4182=""юридична особа""
,
VLOOKUP"&amp;"(D4182,IMPORTRANGE(""https://docs.google.com/spreadsheets/d/14Bd19lYaqBhU8_DElYkX7l4wRkHqqCUFNJY4AfY3kHU/edit?usp=sharing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81" s="7" t="s">
        <v>10</v>
      </c>
      <c r="H4181" s="7">
        <v>4691</v>
      </c>
      <c r="I4181" s="8" t="str">
        <f ca="1">IFERROR(__xludf.DUMMYFUNCTION("IF
(
G4182=""фізична особа""
,
VLOOKUP(H4182,IMPORTRANGE(""https://docs.google.com/spreadsheets/d/14Bd19lYaqBhU8_DElYkX7l4wRkHqqCUFNJY4AfY3kHU/edit?usp=sharing  #gid=0"",""фіз особи new!relations_name""),6,FALSE)
,
(IF
(
G4182=""юридична особа""
,
VLOOKUP"&amp;"(H4182,IMPORTRANGE(""https://docs.google.com/spreadsheets/d/14Bd19lYaqBhU8_DElYkX7l4wRkHqqCUFNJY4AfY3kHU/edit?usp=sharing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J4181" s="7" t="s">
        <v>18</v>
      </c>
    </row>
    <row r="4182" spans="1:10" ht="13.2">
      <c r="A4182" s="7">
        <v>4181</v>
      </c>
      <c r="B4182" s="7">
        <v>1</v>
      </c>
      <c r="C4182" s="7" t="s">
        <v>10</v>
      </c>
      <c r="D4182" s="7">
        <v>2557</v>
      </c>
      <c r="E4182" s="7" t="s">
        <v>26</v>
      </c>
      <c r="F4182" s="8" t="str">
        <f ca="1">IFERROR(__xludf.DUMMYFUNCTION("IF
(
C4183=""фізична особа""
,
VLOOKUP(D4183,IMPORTRANGE(""https://docs.google.com/spreadsheets/d/14Bd19lYaqBhU8_DElYkX7l4wRkHqqCUFNJY4AfY3kHU/edit?usp=sharing  #gid=0"",""фіз особи new!relations_name""),6,FALSE)
,
(IF
(
C4183=""юридична особа""
,
VLOOKUP"&amp;"(D4183,IMPORTRANGE(""https://docs.google.com/spreadsheets/d/14Bd19lYaqBhU8_DElYkX7l4wRkHqqCUFNJY4AfY3kHU/edit?usp=sharing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82" s="7" t="s">
        <v>10</v>
      </c>
      <c r="H4182" s="7">
        <v>23512</v>
      </c>
      <c r="I4182" s="8" t="str">
        <f ca="1">IFERROR(__xludf.DUMMYFUNCTION("IF
(
G4183=""фізична особа""
,
VLOOKUP(H4183,IMPORTRANGE(""https://docs.google.com/spreadsheets/d/14Bd19lYaqBhU8_DElYkX7l4wRkHqqCUFNJY4AfY3kHU/edit?usp=sharing  #gid=0"",""фіз особи new!relations_name""),6,FALSE)
,
(IF
(
G4183=""юридична особа""
,
VLOOKUP"&amp;"(H4183,IMPORTRANGE(""https://docs.google.com/spreadsheets/d/14Bd19lYaqBhU8_DElYkX7l4wRkHqqCUFNJY4AfY3kHU/edit?usp=sharing  #gid=0"",""фіз особи new!relations_name_uo""),7,FALSE)
,
)
))"),"АКАТОВ Вячеслав Михайлович")</f>
        <v>АКАТОВ Вячеслав Михайлович</v>
      </c>
      <c r="J4182" s="7" t="s">
        <v>24</v>
      </c>
    </row>
    <row r="4183" spans="1:10" ht="13.2">
      <c r="A4183" s="7">
        <v>4182</v>
      </c>
      <c r="B4183" s="7">
        <v>1</v>
      </c>
      <c r="C4183" s="7" t="s">
        <v>10</v>
      </c>
      <c r="D4183" s="7">
        <v>2557</v>
      </c>
      <c r="E4183" s="7" t="s">
        <v>26</v>
      </c>
      <c r="F4183" s="8" t="str">
        <f ca="1">IFERROR(__xludf.DUMMYFUNCTION("IF
(
C4184=""фізична особа""
,
VLOOKUP(D4184,IMPORTRANGE(""https://docs.google.com/spreadsheets/d/14Bd19lYaqBhU8_DElYkX7l4wRkHqqCUFNJY4AfY3kHU/edit?usp=sharing  #gid=0"",""фіз особи new!relations_name""),6,FALSE)
,
(IF
(
C4184=""юридична особа""
,
VLOOKUP"&amp;"(D4184,IMPORTRANGE(""https://docs.google.com/spreadsheets/d/14Bd19lYaqBhU8_DElYkX7l4wRkHqqCUFNJY4AfY3kHU/edit?usp=sharing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G4183" s="7" t="s">
        <v>10</v>
      </c>
      <c r="H4183" s="7">
        <v>0</v>
      </c>
      <c r="I4183" s="8" t="str">
        <f ca="1">IFERROR(__xludf.DUMMYFUNCTION("IF
(
G4184=""фізична особа""
,
VLOOKUP(H4184,IMPORTRANGE(""https://docs.google.com/spreadsheets/d/14Bd19lYaqBhU8_DElYkX7l4wRkHqqCUFNJY4AfY3kHU/edit?usp=sharing  #gid=0"",""фіз особи new!relations_name""),6,FALSE)
,
(IF
(
G4184=""юридична особа""
,
VLOOKUP"&amp;"(H4184,IMPORTRANGE(""https://docs.google.com/spreadsheets/d/14Bd19lYaqBhU8_DElYkX7l4wRkHqqCUFNJY4AfY3kHU/edit?usp=sharing  #gid=0"",""фіз особи new!relations_name_uo""),7,FALSE)
,
)
))"),"#N/A")</f>
        <v>#N/A</v>
      </c>
      <c r="J4183" s="7" t="s">
        <v>27</v>
      </c>
    </row>
    <row r="4184" spans="1:10" ht="13.2">
      <c r="A4184" s="7">
        <v>4183</v>
      </c>
      <c r="B4184" s="7">
        <v>1</v>
      </c>
      <c r="C4184" s="7" t="s">
        <v>10</v>
      </c>
      <c r="D4184" s="7">
        <v>2558</v>
      </c>
      <c r="E4184" s="7" t="s">
        <v>14</v>
      </c>
      <c r="F4184" s="8" t="str">
        <f ca="1">IFERROR(__xludf.DUMMYFUNCTION("IF
(
C4185=""фізична особа""
,
VLOOKUP(D4185,IMPORTRANGE(""https://docs.google.com/spreadsheets/d/14Bd19lYaqBhU8_DElYkX7l4wRkHqqCUFNJY4AfY3kHU/edit?usp=sharing  #gid=0"",""фіз особи new!relations_name""),6,FALSE)
,
(IF
(
C4185=""юридична особа""
,
VLOOKUP"&amp;"(D4185,IMPORTRANGE(""https://docs.google.com/spreadsheets/d/14Bd19lYaqBhU8_DElYkX7l4wRkHqqCUFNJY4AfY3kHU/edit?usp=sharing  #gid=0"",""фіз особи new!relations_name_uo""),7,FALSE)
,
)
))"),"РАДАЄВ Валерій Васильович")</f>
        <v>РАДАЄВ Валерій Васильович</v>
      </c>
      <c r="G4184" s="7" t="s">
        <v>10</v>
      </c>
      <c r="H4184" s="7">
        <v>0</v>
      </c>
      <c r="I4184" s="8" t="str">
        <f ca="1">IFERROR(__xludf.DUMMYFUNCTION("IF
(
G4185=""фізична особа""
,
VLOOKUP(H4185,IMPORTRANGE(""https://docs.google.com/spreadsheets/d/14Bd19lYaqBhU8_DElYkX7l4wRkHqqCUFNJY4AfY3kHU/edit?usp=sharing  #gid=0"",""фіз особи new!relations_name""),6,FALSE)
,
(IF
(
G4185=""юридична особа""
,
VLOOKUP"&amp;"(H4185,IMPORTRANGE(""https://docs.google.com/spreadsheets/d/14Bd19lYaqBhU8_DElYkX7l4wRkHqqCUFNJY4AfY3kHU/edit?usp=sharing  #gid=0"",""фіз особи new!relations_name_uo""),7,FALSE)
,
)
))"),"#N/A")</f>
        <v>#N/A</v>
      </c>
      <c r="J4184" s="7" t="s">
        <v>15</v>
      </c>
    </row>
    <row r="4185" spans="1:10" ht="13.2">
      <c r="A4185" s="7">
        <v>4184</v>
      </c>
      <c r="B4185" s="7">
        <v>1</v>
      </c>
      <c r="C4185" s="7" t="s">
        <v>10</v>
      </c>
      <c r="D4185" s="7">
        <v>2558</v>
      </c>
      <c r="E4185" s="7" t="s">
        <v>12</v>
      </c>
      <c r="F4185" s="8" t="str">
        <f ca="1">IFERROR(__xludf.DUMMYFUNCTION("IF
(
C4186=""фізична особа""
,
VLOOKUP(D4186,IMPORTRANGE(""https://docs.google.com/spreadsheets/d/14Bd19lYaqBhU8_DElYkX7l4wRkHqqCUFNJY4AfY3kHU/edit?usp=sharing  #gid=0"",""фіз особи new!relations_name""),6,FALSE)
,
(IF
(
C4186=""юридична особа""
,
VLOOKUP"&amp;"(D4186,IMPORTRANGE(""https://docs.google.com/spreadsheets/d/14Bd19lYaqBhU8_DElYkX7l4wRkHqqCUFNJY4AfY3kHU/edit?usp=sharing  #gid=0"",""фіз особи new!relations_name_uo""),7,FALSE)
,
)
))"),"РАДАЄВ Валерій Васильович")</f>
        <v>РАДАЄВ Валерій Васильович</v>
      </c>
      <c r="G4185" s="7" t="s">
        <v>10</v>
      </c>
      <c r="H4185" s="7">
        <v>0</v>
      </c>
      <c r="I4185" s="8" t="str">
        <f ca="1">IFERROR(__xludf.DUMMYFUNCTION("IF
(
G4186=""фізична особа""
,
VLOOKUP(H4186,IMPORTRANGE(""https://docs.google.com/spreadsheets/d/14Bd19lYaqBhU8_DElYkX7l4wRkHqqCUFNJY4AfY3kHU/edit?usp=sharing  #gid=0"",""фіз особи new!relations_name""),6,FALSE)
,
(IF
(
G4186=""юридична особа""
,
VLOOKUP"&amp;"(H4186,IMPORTRANGE(""https://docs.google.com/spreadsheets/d/14Bd19lYaqBhU8_DElYkX7l4wRkHqqCUFNJY4AfY3kHU/edit?usp=sharing  #gid=0"",""фіз особи new!relations_name_uo""),7,FALSE)
,
)
))"),"#N/A")</f>
        <v>#N/A</v>
      </c>
      <c r="J4185" s="7" t="s">
        <v>17</v>
      </c>
    </row>
    <row r="4186" spans="1:10" ht="13.2">
      <c r="A4186" s="7">
        <v>4185</v>
      </c>
      <c r="B4186" s="7">
        <v>1</v>
      </c>
      <c r="C4186" s="7" t="s">
        <v>10</v>
      </c>
      <c r="D4186" s="7">
        <v>2558</v>
      </c>
      <c r="E4186" s="7" t="s">
        <v>18</v>
      </c>
      <c r="F4186" s="8" t="str">
        <f ca="1">IFERROR(__xludf.DUMMYFUNCTION("IF
(
C4187=""фізична особа""
,
VLOOKUP(D4187,IMPORTRANGE(""https://docs.google.com/spreadsheets/d/14Bd19lYaqBhU8_DElYkX7l4wRkHqqCUFNJY4AfY3kHU/edit?usp=sharing  #gid=0"",""фіз особи new!relations_name""),6,FALSE)
,
(IF
(
C4187=""юридична особа""
,
VLOOKUP"&amp;"(D4187,IMPORTRANGE(""https://docs.google.com/spreadsheets/d/14Bd19lYaqBhU8_DElYkX7l4wRkHqqCUFNJY4AfY3kHU/edit?usp=sharing  #gid=0"",""фіз особи new!relations_name_uo""),7,FALSE)
,
)
))"),"РАДАЄВ Валерій Васильович")</f>
        <v>РАДАЄВ Валерій Васильович</v>
      </c>
      <c r="G4186" s="7" t="s">
        <v>10</v>
      </c>
      <c r="H4186" s="7">
        <v>0</v>
      </c>
      <c r="I4186" s="8" t="str">
        <f ca="1">IFERROR(__xludf.DUMMYFUNCTION("IF
(
G4187=""фізична особа""
,
VLOOKUP(H4187,IMPORTRANGE(""https://docs.google.com/spreadsheets/d/14Bd19lYaqBhU8_DElYkX7l4wRkHqqCUFNJY4AfY3kHU/edit?usp=sharing  #gid=0"",""фіз особи new!relations_name""),6,FALSE)
,
(IF
(
G4187=""юридична особа""
,
VLOOKUP"&amp;"(H4187,IMPORTRANGE(""https://docs.google.com/spreadsheets/d/14Bd19lYaqBhU8_DElYkX7l4wRkHqqCUFNJY4AfY3kHU/edit?usp=sharing  #gid=0"",""фіз особи new!relations_name_uo""),7,FALSE)
,
)
))"),"#N/A")</f>
        <v>#N/A</v>
      </c>
      <c r="J4186" s="7" t="s">
        <v>31</v>
      </c>
    </row>
    <row r="4187" spans="1:10" ht="13.2">
      <c r="A4187" s="7">
        <v>4186</v>
      </c>
      <c r="B4187" s="7">
        <v>1</v>
      </c>
      <c r="C4187" s="7" t="s">
        <v>10</v>
      </c>
      <c r="D4187" s="7">
        <v>2559</v>
      </c>
      <c r="E4187" s="7" t="s">
        <v>14</v>
      </c>
      <c r="F4187" s="8" t="str">
        <f ca="1">IFERROR(__xludf.DUMMYFUNCTION("IF
(
C4188=""фізична особа""
,
VLOOKUP(D4188,IMPORTRANGE(""https://docs.google.com/spreadsheets/d/14Bd19lYaqBhU8_DElYkX7l4wRkHqqCUFNJY4AfY3kHU/edit?usp=sharing  #gid=0"",""фіз особи new!relations_name""),6,FALSE)
,
(IF
(
C4188=""юридична особа""
,
VLOOKUP"&amp;"(D4188,IMPORTRANGE(""https://docs.google.com/spreadsheets/d/14Bd19lYaqBhU8_DElYkX7l4wRkHqqCUFNJY4AfY3kHU/edit?usp=sharing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87" s="7" t="s">
        <v>10</v>
      </c>
      <c r="H4187" s="7">
        <v>23513</v>
      </c>
      <c r="I4187" s="8" t="str">
        <f ca="1">IFERROR(__xludf.DUMMYFUNCTION("IF
(
G4188=""фізична особа""
,
VLOOKUP(H4188,IMPORTRANGE(""https://docs.google.com/spreadsheets/d/14Bd19lYaqBhU8_DElYkX7l4wRkHqqCUFNJY4AfY3kHU/edit?usp=sharing  #gid=0"",""фіз особи new!relations_name""),6,FALSE)
,
(IF
(
G4188=""юридична особа""
,
VLOOKUP"&amp;"(H4188,IMPORTRANGE(""https://docs.google.com/spreadsheets/d/14Bd19lYaqBhU8_DElYkX7l4wRkHqqCUFNJY4AfY3kHU/edit?usp=sharing  #gid=0"",""фіз особи new!relations_name_uo""),7,FALSE)
,
)
))"),"ЛИМАРЕНКО Марина Анатоліївна")</f>
        <v>ЛИМАРЕНКО Марина Анатоліївна</v>
      </c>
      <c r="J4187" s="7" t="s">
        <v>15</v>
      </c>
    </row>
    <row r="4188" spans="1:10" ht="13.2">
      <c r="A4188" s="7">
        <v>4187</v>
      </c>
      <c r="B4188" s="7">
        <v>1</v>
      </c>
      <c r="C4188" s="7" t="s">
        <v>10</v>
      </c>
      <c r="D4188" s="7">
        <v>2559</v>
      </c>
      <c r="E4188" s="7" t="s">
        <v>12</v>
      </c>
      <c r="F4188" s="8" t="str">
        <f ca="1">IFERROR(__xludf.DUMMYFUNCTION("IF
(
C4189=""фізична особа""
,
VLOOKUP(D4189,IMPORTRANGE(""https://docs.google.com/spreadsheets/d/14Bd19lYaqBhU8_DElYkX7l4wRkHqqCUFNJY4AfY3kHU/edit?usp=sharing  #gid=0"",""фіз особи new!relations_name""),6,FALSE)
,
(IF
(
C4189=""юридична особа""
,
VLOOKUP"&amp;"(D4189,IMPORTRANGE(""https://docs.google.com/spreadsheets/d/14Bd19lYaqBhU8_DElYkX7l4wRkHqqCUFNJY4AfY3kHU/edit?usp=sharing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88" s="7" t="s">
        <v>10</v>
      </c>
      <c r="H4188" s="7">
        <v>15563</v>
      </c>
      <c r="I4188" s="8" t="str">
        <f ca="1">IFERROR(__xludf.DUMMYFUNCTION("IF
(
G4189=""фізична особа""
,
VLOOKUP(H4189,IMPORTRANGE(""https://docs.google.com/spreadsheets/d/14Bd19lYaqBhU8_DElYkX7l4wRkHqqCUFNJY4AfY3kHU/edit?usp=sharing  #gid=0"",""фіз особи new!relations_name""),6,FALSE)
,
(IF
(
G4189=""юридична особа""
,
VLOOKUP"&amp;"(H4189,IMPORTRANGE(""https://docs.google.com/spreadsheets/d/14Bd19lYaqBhU8_DElYkX7l4wRkHqqCUFNJY4AfY3kHU/edit?usp=sharing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J4188" s="7" t="s">
        <v>17</v>
      </c>
    </row>
    <row r="4189" spans="1:10" ht="13.2">
      <c r="A4189" s="7">
        <v>4188</v>
      </c>
      <c r="B4189" s="7">
        <v>1</v>
      </c>
      <c r="C4189" s="7" t="s">
        <v>10</v>
      </c>
      <c r="D4189" s="7">
        <v>2559</v>
      </c>
      <c r="E4189" s="7" t="s">
        <v>34</v>
      </c>
      <c r="F4189" s="8" t="str">
        <f ca="1">IFERROR(__xludf.DUMMYFUNCTION("IF
(
C4190=""фізична особа""
,
VLOOKUP(D4190,IMPORTRANGE(""https://docs.google.com/spreadsheets/d/14Bd19lYaqBhU8_DElYkX7l4wRkHqqCUFNJY4AfY3kHU/edit?usp=sharing  #gid=0"",""фіз особи new!relations_name""),6,FALSE)
,
(IF
(
C4190=""юридична особа""
,
VLOOKUP"&amp;"(D4190,IMPORTRANGE(""https://docs.google.com/spreadsheets/d/14Bd19lYaqBhU8_DElYkX7l4wRkHqqCUFNJY4AfY3kHU/edit?usp=sharing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89" s="7" t="s">
        <v>10</v>
      </c>
      <c r="H4189" s="7">
        <v>15564</v>
      </c>
      <c r="I4189" s="8" t="str">
        <f ca="1">IFERROR(__xludf.DUMMYFUNCTION("IF
(
G4190=""фізична особа""
,
VLOOKUP(H4190,IMPORTRANGE(""https://docs.google.com/spreadsheets/d/14Bd19lYaqBhU8_DElYkX7l4wRkHqqCUFNJY4AfY3kHU/edit?usp=sharing  #gid=0"",""фіз особи new!relations_name""),6,FALSE)
,
(IF
(
G4190=""юридична особа""
,
VLOOKUP"&amp;"(H4190,IMPORTRANGE(""https://docs.google.com/spreadsheets/d/14Bd19lYaqBhU8_DElYkX7l4wRkHqqCUFNJY4AfY3kHU/edit?usp=sharing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J4189" s="7" t="s">
        <v>25</v>
      </c>
    </row>
    <row r="4190" spans="1:10" ht="13.2">
      <c r="A4190" s="7">
        <v>4189</v>
      </c>
      <c r="B4190" s="7">
        <v>1</v>
      </c>
      <c r="C4190" s="7" t="s">
        <v>10</v>
      </c>
      <c r="D4190" s="7">
        <v>2559</v>
      </c>
      <c r="E4190" s="7" t="s">
        <v>12</v>
      </c>
      <c r="F4190" s="8" t="str">
        <f ca="1">IFERROR(__xludf.DUMMYFUNCTION("IF
(
C4191=""фізична особа""
,
VLOOKUP(D4191,IMPORTRANGE(""https://docs.google.com/spreadsheets/d/14Bd19lYaqBhU8_DElYkX7l4wRkHqqCUFNJY4AfY3kHU/edit?usp=sharing  #gid=0"",""фіз особи new!relations_name""),6,FALSE)
,
(IF
(
C4191=""юридична особа""
,
VLOOKUP"&amp;"(D4191,IMPORTRANGE(""https://docs.google.com/spreadsheets/d/14Bd19lYaqBhU8_DElYkX7l4wRkHqqCUFNJY4AfY3kHU/edit?usp=sharing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90" s="7" t="s">
        <v>10</v>
      </c>
      <c r="H4190" s="7">
        <v>0</v>
      </c>
      <c r="I4190" s="8" t="str">
        <f ca="1">IFERROR(__xludf.DUMMYFUNCTION("IF
(
G4191=""фізична особа""
,
VLOOKUP(H4191,IMPORTRANGE(""https://docs.google.com/spreadsheets/d/14Bd19lYaqBhU8_DElYkX7l4wRkHqqCUFNJY4AfY3kHU/edit?usp=sharing  #gid=0"",""фіз особи new!relations_name""),6,FALSE)
,
(IF
(
G4191=""юридична особа""
,
VLOOKUP"&amp;"(H4191,IMPORTRANGE(""https://docs.google.com/spreadsheets/d/14Bd19lYaqBhU8_DElYkX7l4wRkHqqCUFNJY4AfY3kHU/edit?usp=sharing  #gid=0"",""фіз особи new!relations_name_uo""),7,FALSE)
,
)
))"),"#N/A")</f>
        <v>#N/A</v>
      </c>
      <c r="J4190" s="7" t="s">
        <v>17</v>
      </c>
    </row>
    <row r="4191" spans="1:10" ht="13.2">
      <c r="A4191" s="7">
        <v>4190</v>
      </c>
      <c r="B4191" s="7">
        <v>1</v>
      </c>
      <c r="C4191" s="7" t="s">
        <v>10</v>
      </c>
      <c r="D4191" s="7">
        <v>2559</v>
      </c>
      <c r="E4191" s="7" t="s">
        <v>34</v>
      </c>
      <c r="F4191" s="8" t="str">
        <f ca="1">IFERROR(__xludf.DUMMYFUNCTION("IF
(
C4192=""фізична особа""
,
VLOOKUP(D4192,IMPORTRANGE(""https://docs.google.com/spreadsheets/d/14Bd19lYaqBhU8_DElYkX7l4wRkHqqCUFNJY4AfY3kHU/edit?usp=sharing  #gid=0"",""фіз особи new!relations_name""),6,FALSE)
,
(IF
(
C4192=""юридична особа""
,
VLOOKUP"&amp;"(D4192,IMPORTRANGE(""https://docs.google.com/spreadsheets/d/14Bd19lYaqBhU8_DElYkX7l4wRkHqqCUFNJY4AfY3kHU/edit?usp=sharing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91" s="7" t="s">
        <v>10</v>
      </c>
      <c r="H4191" s="7">
        <v>0</v>
      </c>
      <c r="I4191" s="8" t="str">
        <f ca="1">IFERROR(__xludf.DUMMYFUNCTION("IF
(
G4192=""фізична особа""
,
VLOOKUP(H4192,IMPORTRANGE(""https://docs.google.com/spreadsheets/d/14Bd19lYaqBhU8_DElYkX7l4wRkHqqCUFNJY4AfY3kHU/edit?usp=sharing  #gid=0"",""фіз особи new!relations_name""),6,FALSE)
,
(IF
(
G4192=""юридична особа""
,
VLOOKUP"&amp;"(H4192,IMPORTRANGE(""https://docs.google.com/spreadsheets/d/14Bd19lYaqBhU8_DElYkX7l4wRkHqqCUFNJY4AfY3kHU/edit?usp=sharing  #gid=0"",""фіз особи new!relations_name_uo""),7,FALSE)
,
)
))"),"#N/A")</f>
        <v>#N/A</v>
      </c>
      <c r="J4191" s="7" t="s">
        <v>25</v>
      </c>
    </row>
    <row r="4192" spans="1:10" ht="13.2">
      <c r="A4192" s="7">
        <v>4191</v>
      </c>
      <c r="B4192" s="7">
        <v>1</v>
      </c>
      <c r="C4192" s="7" t="s">
        <v>10</v>
      </c>
      <c r="D4192" s="7">
        <v>2559</v>
      </c>
      <c r="E4192" s="7" t="s">
        <v>12</v>
      </c>
      <c r="F4192" s="8" t="str">
        <f ca="1">IFERROR(__xludf.DUMMYFUNCTION("IF
(
C4193=""фізична особа""
,
VLOOKUP(D4193,IMPORTRANGE(""https://docs.google.com/spreadsheets/d/14Bd19lYaqBhU8_DElYkX7l4wRkHqqCUFNJY4AfY3kHU/edit?usp=sharing  #gid=0"",""фіз особи new!relations_name""),6,FALSE)
,
(IF
(
C4193=""юридична особа""
,
VLOOKUP"&amp;"(D4193,IMPORTRANGE(""https://docs.google.com/spreadsheets/d/14Bd19lYaqBhU8_DElYkX7l4wRkHqqCUFNJY4AfY3kHU/edit?usp=sharing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92" s="7" t="s">
        <v>10</v>
      </c>
      <c r="H4192" s="7">
        <v>0</v>
      </c>
      <c r="I4192" s="8" t="str">
        <f ca="1">IFERROR(__xludf.DUMMYFUNCTION("IF
(
G4193=""фізична особа""
,
VLOOKUP(H4193,IMPORTRANGE(""https://docs.google.com/spreadsheets/d/14Bd19lYaqBhU8_DElYkX7l4wRkHqqCUFNJY4AfY3kHU/edit?usp=sharing  #gid=0"",""фіз особи new!relations_name""),6,FALSE)
,
(IF
(
G4193=""юридична особа""
,
VLOOKUP"&amp;"(H4193,IMPORTRANGE(""https://docs.google.com/spreadsheets/d/14Bd19lYaqBhU8_DElYkX7l4wRkHqqCUFNJY4AfY3kHU/edit?usp=sharing  #gid=0"",""фіз особи new!relations_name_uo""),7,FALSE)
,
)
))"),"#N/A")</f>
        <v>#N/A</v>
      </c>
      <c r="J4192" s="7" t="s">
        <v>17</v>
      </c>
    </row>
    <row r="4193" spans="1:10" ht="13.2">
      <c r="A4193" s="7">
        <v>4192</v>
      </c>
      <c r="B4193" s="7">
        <v>1</v>
      </c>
      <c r="C4193" s="7" t="s">
        <v>10</v>
      </c>
      <c r="D4193" s="7">
        <v>2559</v>
      </c>
      <c r="E4193" s="7" t="s">
        <v>65</v>
      </c>
      <c r="F4193" s="8" t="str">
        <f ca="1">IFERROR(__xludf.DUMMYFUNCTION("IF
(
C4194=""фізична особа""
,
VLOOKUP(D4194,IMPORTRANGE(""https://docs.google.com/spreadsheets/d/14Bd19lYaqBhU8_DElYkX7l4wRkHqqCUFNJY4AfY3kHU/edit?usp=sharing  #gid=0"",""фіз особи new!relations_name""),6,FALSE)
,
(IF
(
C4194=""юридична особа""
,
VLOOKUP"&amp;"(D4194,IMPORTRANGE(""https://docs.google.com/spreadsheets/d/14Bd19lYaqBhU8_DElYkX7l4wRkHqqCUFNJY4AfY3kHU/edit?usp=sharing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93" s="7" t="s">
        <v>10</v>
      </c>
      <c r="H4193" s="7">
        <v>15565</v>
      </c>
      <c r="I4193" s="8" t="str">
        <f ca="1">IFERROR(__xludf.DUMMYFUNCTION("IF
(
G4194=""фізична особа""
,
VLOOKUP(H4194,IMPORTRANGE(""https://docs.google.com/spreadsheets/d/14Bd19lYaqBhU8_DElYkX7l4wRkHqqCUFNJY4AfY3kHU/edit?usp=sharing  #gid=0"",""фіз особи new!relations_name""),6,FALSE)
,
(IF
(
G4194=""юридична особа""
,
VLOOKUP"&amp;"(H4194,IMPORTRANGE(""https://docs.google.com/spreadsheets/d/14Bd19lYaqBhU8_DElYkX7l4wRkHqqCUFNJY4AfY3kHU/edit?usp=sharing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J4193" s="7" t="s">
        <v>65</v>
      </c>
    </row>
    <row r="4194" spans="1:10" ht="13.2">
      <c r="A4194" s="7">
        <v>4193</v>
      </c>
      <c r="B4194" s="7">
        <v>1</v>
      </c>
      <c r="C4194" s="7" t="s">
        <v>10</v>
      </c>
      <c r="D4194" s="7">
        <v>2559</v>
      </c>
      <c r="E4194" s="7" t="s">
        <v>65</v>
      </c>
      <c r="F4194" s="8" t="str">
        <f ca="1">IFERROR(__xludf.DUMMYFUNCTION("IF
(
C4195=""фізична особа""
,
VLOOKUP(D4195,IMPORTRANGE(""https://docs.google.com/spreadsheets/d/14Bd19lYaqBhU8_DElYkX7l4wRkHqqCUFNJY4AfY3kHU/edit?usp=sharing  #gid=0"",""фіз особи new!relations_name""),6,FALSE)
,
(IF
(
C4195=""юридична особа""
,
VLOOKUP"&amp;"(D4195,IMPORTRANGE(""https://docs.google.com/spreadsheets/d/14Bd19lYaqBhU8_DElYkX7l4wRkHqqCUFNJY4AfY3kHU/edit?usp=sharing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G4194" s="7" t="s">
        <v>10</v>
      </c>
      <c r="H4194" s="7">
        <v>0</v>
      </c>
      <c r="I4194" s="8" t="str">
        <f ca="1">IFERROR(__xludf.DUMMYFUNCTION("IF
(
G4195=""фізична особа""
,
VLOOKUP(H4195,IMPORTRANGE(""https://docs.google.com/spreadsheets/d/14Bd19lYaqBhU8_DElYkX7l4wRkHqqCUFNJY4AfY3kHU/edit?usp=sharing  #gid=0"",""фіз особи new!relations_name""),6,FALSE)
,
(IF
(
G4195=""юридична особа""
,
VLOOKUP"&amp;"(H4195,IMPORTRANGE(""https://docs.google.com/spreadsheets/d/14Bd19lYaqBhU8_DElYkX7l4wRkHqqCUFNJY4AfY3kHU/edit?usp=sharing  #gid=0"",""фіз особи new!relations_name_uo""),7,FALSE)
,
)
))"),"#N/A")</f>
        <v>#N/A</v>
      </c>
      <c r="J4194" s="7" t="s">
        <v>65</v>
      </c>
    </row>
    <row r="4195" spans="1:10" ht="13.2">
      <c r="A4195" s="7">
        <v>4194</v>
      </c>
      <c r="B4195" s="7">
        <v>1</v>
      </c>
      <c r="C4195" s="7" t="s">
        <v>10</v>
      </c>
      <c r="D4195" s="7">
        <v>2560</v>
      </c>
      <c r="E4195" s="7" t="s">
        <v>14</v>
      </c>
      <c r="F4195" s="8" t="str">
        <f ca="1">IFERROR(__xludf.DUMMYFUNCTION("IF
(
C4196=""фізична особа""
,
VLOOKUP(D4196,IMPORTRANGE(""https://docs.google.com/spreadsheets/d/14Bd19lYaqBhU8_DElYkX7l4wRkHqqCUFNJY4AfY3kHU/edit?usp=sharing  #gid=0"",""фіз особи new!relations_name""),6,FALSE)
,
(IF
(
C4196=""юридична особа""
,
VLOOKUP"&amp;"(D4196,IMPORTRANGE(""https://docs.google.com/spreadsheets/d/14Bd19lYaqBhU8_DElYkX7l4wRkHqqCUFNJY4AfY3kHU/edit?usp=sharing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G4195" s="7" t="s">
        <v>10</v>
      </c>
      <c r="H4195" s="7">
        <v>15566</v>
      </c>
      <c r="I4195" s="8" t="str">
        <f ca="1">IFERROR(__xludf.DUMMYFUNCTION("IF
(
G4196=""фізична особа""
,
VLOOKUP(H4196,IMPORTRANGE(""https://docs.google.com/spreadsheets/d/14Bd19lYaqBhU8_DElYkX7l4wRkHqqCUFNJY4AfY3kHU/edit?usp=sharing  #gid=0"",""фіз особи new!relations_name""),6,FALSE)
,
(IF
(
G4196=""юридична особа""
,
VLOOKUP"&amp;"(H4196,IMPORTRANGE(""https://docs.google.com/spreadsheets/d/14Bd19lYaqBhU8_DElYkX7l4wRkHqqCUFNJY4AfY3kHU/edit?usp=sharing  #gid=0"",""фіз особи new!relations_name_uo""),7,FALSE)
,
)
))"),"КУЙВАШЕВА Наталія Сергіївна")</f>
        <v>КУЙВАШЕВА Наталія Сергіївна</v>
      </c>
      <c r="J4195" s="7" t="s">
        <v>15</v>
      </c>
    </row>
    <row r="4196" spans="1:10" ht="13.2">
      <c r="A4196" s="7">
        <v>4195</v>
      </c>
      <c r="B4196" s="7">
        <v>1</v>
      </c>
      <c r="C4196" s="7" t="s">
        <v>10</v>
      </c>
      <c r="D4196" s="7">
        <v>2560</v>
      </c>
      <c r="E4196" s="7" t="s">
        <v>12</v>
      </c>
      <c r="F4196" s="8" t="str">
        <f ca="1">IFERROR(__xludf.DUMMYFUNCTION("IF
(
C4197=""фізична особа""
,
VLOOKUP(D4197,IMPORTRANGE(""https://docs.google.com/spreadsheets/d/14Bd19lYaqBhU8_DElYkX7l4wRkHqqCUFNJY4AfY3kHU/edit?usp=sharing  #gid=0"",""фіз особи new!relations_name""),6,FALSE)
,
(IF
(
C4197=""юридична особа""
,
VLOOKUP"&amp;"(D4197,IMPORTRANGE(""https://docs.google.com/spreadsheets/d/14Bd19lYaqBhU8_DElYkX7l4wRkHqqCUFNJY4AfY3kHU/edit?usp=sharing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G4196" s="7" t="s">
        <v>10</v>
      </c>
      <c r="H4196" s="7">
        <v>0</v>
      </c>
      <c r="I4196" s="8" t="str">
        <f ca="1">IFERROR(__xludf.DUMMYFUNCTION("IF
(
G4197=""фізична особа""
,
VLOOKUP(H4197,IMPORTRANGE(""https://docs.google.com/spreadsheets/d/14Bd19lYaqBhU8_DElYkX7l4wRkHqqCUFNJY4AfY3kHU/edit?usp=sharing  #gid=0"",""фіз особи new!relations_name""),6,FALSE)
,
(IF
(
G4197=""юридична особа""
,
VLOOKUP"&amp;"(H4197,IMPORTRANGE(""https://docs.google.com/spreadsheets/d/14Bd19lYaqBhU8_DElYkX7l4wRkHqqCUFNJY4AfY3kHU/edit?usp=sharing  #gid=0"",""фіз особи new!relations_name_uo""),7,FALSE)
,
)
))"),"#N/A")</f>
        <v>#N/A</v>
      </c>
      <c r="J4196" s="7" t="s">
        <v>17</v>
      </c>
    </row>
    <row r="4197" spans="1:10" ht="13.2">
      <c r="A4197" s="7">
        <v>4196</v>
      </c>
      <c r="B4197" s="7">
        <v>1</v>
      </c>
      <c r="C4197" s="7" t="s">
        <v>10</v>
      </c>
      <c r="D4197" s="7">
        <v>2560</v>
      </c>
      <c r="E4197" s="7" t="s">
        <v>12</v>
      </c>
      <c r="F4197" s="8" t="str">
        <f ca="1">IFERROR(__xludf.DUMMYFUNCTION("IF
(
C4198=""фізична особа""
,
VLOOKUP(D4198,IMPORTRANGE(""https://docs.google.com/spreadsheets/d/14Bd19lYaqBhU8_DElYkX7l4wRkHqqCUFNJY4AfY3kHU/edit?usp=sharing  #gid=0"",""фіз особи new!relations_name""),6,FALSE)
,
(IF
(
C4198=""юридична особа""
,
VLOOKUP"&amp;"(D4198,IMPORTRANGE(""https://docs.google.com/spreadsheets/d/14Bd19lYaqBhU8_DElYkX7l4wRkHqqCUFNJY4AfY3kHU/edit?usp=sharing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G4197" s="7" t="s">
        <v>10</v>
      </c>
      <c r="H4197" s="7">
        <v>0</v>
      </c>
      <c r="I4197" s="8" t="str">
        <f ca="1">IFERROR(__xludf.DUMMYFUNCTION("IF
(
G4198=""фізична особа""
,
VLOOKUP(H4198,IMPORTRANGE(""https://docs.google.com/spreadsheets/d/14Bd19lYaqBhU8_DElYkX7l4wRkHqqCUFNJY4AfY3kHU/edit?usp=sharing  #gid=0"",""фіз особи new!relations_name""),6,FALSE)
,
(IF
(
G4198=""юридична особа""
,
VLOOKUP"&amp;"(H4198,IMPORTRANGE(""https://docs.google.com/spreadsheets/d/14Bd19lYaqBhU8_DElYkX7l4wRkHqqCUFNJY4AfY3kHU/edit?usp=sharing  #gid=0"",""фіз особи new!relations_name_uo""),7,FALSE)
,
)
))"),"#N/A")</f>
        <v>#N/A</v>
      </c>
      <c r="J4197" s="7" t="s">
        <v>13</v>
      </c>
    </row>
    <row r="4198" spans="1:10" ht="13.2">
      <c r="A4198" s="7">
        <v>4197</v>
      </c>
      <c r="B4198" s="7">
        <v>1</v>
      </c>
      <c r="C4198" s="7" t="s">
        <v>10</v>
      </c>
      <c r="D4198" s="7">
        <v>2561</v>
      </c>
      <c r="E4198" s="7" t="s">
        <v>14</v>
      </c>
      <c r="F4198" s="8" t="str">
        <f ca="1">IFERROR(__xludf.DUMMYFUNCTION("IF
(
C4199=""фізична особа""
,
VLOOKUP(D4199,IMPORTRANGE(""https://docs.google.com/spreadsheets/d/14Bd19lYaqBhU8_DElYkX7l4wRkHqqCUFNJY4AfY3kHU/edit?usp=sharing  #gid=0"",""фіз особи new!relations_name""),6,FALSE)
,
(IF
(
C4199=""юридична особа""
,
VLOOKUP"&amp;"(D4199,IMPORTRANGE(""https://docs.google.com/spreadsheets/d/14Bd19lYaqBhU8_DElYkX7l4wRkHqqCUFNJY4AfY3kHU/edit?usp=sharing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G4198" s="7" t="s">
        <v>10</v>
      </c>
      <c r="H4198" s="7">
        <v>0</v>
      </c>
      <c r="I4198" s="8" t="str">
        <f ca="1">IFERROR(__xludf.DUMMYFUNCTION("IF
(
G4199=""фізична особа""
,
VLOOKUP(H4199,IMPORTRANGE(""https://docs.google.com/spreadsheets/d/14Bd19lYaqBhU8_DElYkX7l4wRkHqqCUFNJY4AfY3kHU/edit?usp=sharing  #gid=0"",""фіз особи new!relations_name""),6,FALSE)
,
(IF
(
G4199=""юридична особа""
,
VLOOKUP"&amp;"(H4199,IMPORTRANGE(""https://docs.google.com/spreadsheets/d/14Bd19lYaqBhU8_DElYkX7l4wRkHqqCUFNJY4AfY3kHU/edit?usp=sharing  #gid=0"",""фіз особи new!relations_name_uo""),7,FALSE)
,
)
))"),"#N/A")</f>
        <v>#N/A</v>
      </c>
      <c r="J4198" s="7" t="s">
        <v>15</v>
      </c>
    </row>
    <row r="4199" spans="1:10" ht="13.2">
      <c r="A4199" s="7">
        <v>4198</v>
      </c>
      <c r="B4199" s="7">
        <v>1</v>
      </c>
      <c r="C4199" s="7" t="s">
        <v>10</v>
      </c>
      <c r="D4199" s="7">
        <v>2561</v>
      </c>
      <c r="E4199" s="7" t="s">
        <v>12</v>
      </c>
      <c r="F4199" s="8" t="str">
        <f ca="1">IFERROR(__xludf.DUMMYFUNCTION("IF
(
C4200=""фізична особа""
,
VLOOKUP(D4200,IMPORTRANGE(""https://docs.google.com/spreadsheets/d/14Bd19lYaqBhU8_DElYkX7l4wRkHqqCUFNJY4AfY3kHU/edit?usp=sharing  #gid=0"",""фіз особи new!relations_name""),6,FALSE)
,
(IF
(
C4200=""юридична особа""
,
VLOOKUP"&amp;"(D4200,IMPORTRANGE(""https://docs.google.com/spreadsheets/d/14Bd19lYaqBhU8_DElYkX7l4wRkHqqCUFNJY4AfY3kHU/edit?usp=sharing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G4199" s="7" t="s">
        <v>10</v>
      </c>
      <c r="H4199" s="7">
        <v>0</v>
      </c>
      <c r="I4199" s="8" t="str">
        <f ca="1">IFERROR(__xludf.DUMMYFUNCTION("IF
(
G4200=""фізична особа""
,
VLOOKUP(H4200,IMPORTRANGE(""https://docs.google.com/spreadsheets/d/14Bd19lYaqBhU8_DElYkX7l4wRkHqqCUFNJY4AfY3kHU/edit?usp=sharing  #gid=0"",""фіз особи new!relations_name""),6,FALSE)
,
(IF
(
G4200=""юридична особа""
,
VLOOKUP"&amp;"(H4200,IMPORTRANGE(""https://docs.google.com/spreadsheets/d/14Bd19lYaqBhU8_DElYkX7l4wRkHqqCUFNJY4AfY3kHU/edit?usp=sharing  #gid=0"",""фіз особи new!relations_name_uo""),7,FALSE)
,
)
))"),"#N/A")</f>
        <v>#N/A</v>
      </c>
      <c r="J4199" s="7" t="s">
        <v>13</v>
      </c>
    </row>
    <row r="4200" spans="1:10" ht="13.2">
      <c r="A4200" s="7">
        <v>4199</v>
      </c>
      <c r="B4200" s="7">
        <v>1</v>
      </c>
      <c r="C4200" s="7" t="s">
        <v>10</v>
      </c>
      <c r="D4200" s="7">
        <v>2561</v>
      </c>
      <c r="E4200" s="7" t="s">
        <v>12</v>
      </c>
      <c r="F4200" s="8" t="str">
        <f ca="1">IFERROR(__xludf.DUMMYFUNCTION("IF
(
C4201=""фізична особа""
,
VLOOKUP(D4201,IMPORTRANGE(""https://docs.google.com/spreadsheets/d/14Bd19lYaqBhU8_DElYkX7l4wRkHqqCUFNJY4AfY3kHU/edit?usp=sharing  #gid=0"",""фіз особи new!relations_name""),6,FALSE)
,
(IF
(
C4201=""юридична особа""
,
VLOOKUP"&amp;"(D4201,IMPORTRANGE(""https://docs.google.com/spreadsheets/d/14Bd19lYaqBhU8_DElYkX7l4wRkHqqCUFNJY4AfY3kHU/edit?usp=sharing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G4200" s="7" t="s">
        <v>10</v>
      </c>
      <c r="H4200" s="7">
        <v>0</v>
      </c>
      <c r="I4200" s="8" t="str">
        <f ca="1">IFERROR(__xludf.DUMMYFUNCTION("IF
(
G4201=""фізична особа""
,
VLOOKUP(H4201,IMPORTRANGE(""https://docs.google.com/spreadsheets/d/14Bd19lYaqBhU8_DElYkX7l4wRkHqqCUFNJY4AfY3kHU/edit?usp=sharing  #gid=0"",""фіз особи new!relations_name""),6,FALSE)
,
(IF
(
G4201=""юридична особа""
,
VLOOKUP"&amp;"(H4201,IMPORTRANGE(""https://docs.google.com/spreadsheets/d/14Bd19lYaqBhU8_DElYkX7l4wRkHqqCUFNJY4AfY3kHU/edit?usp=sharing  #gid=0"",""фіз особи new!relations_name_uo""),7,FALSE)
,
)
))"),"#N/A")</f>
        <v>#N/A</v>
      </c>
      <c r="J4200" s="7" t="s">
        <v>13</v>
      </c>
    </row>
    <row r="4201" spans="1:10" ht="13.2">
      <c r="A4201" s="7">
        <v>4200</v>
      </c>
      <c r="B4201" s="7">
        <v>1</v>
      </c>
      <c r="C4201" s="7" t="s">
        <v>10</v>
      </c>
      <c r="D4201" s="7">
        <v>2561</v>
      </c>
      <c r="E4201" s="7" t="s">
        <v>12</v>
      </c>
      <c r="F4201" s="8" t="str">
        <f ca="1">IFERROR(__xludf.DUMMYFUNCTION("IF
(
C4202=""фізична особа""
,
VLOOKUP(D4202,IMPORTRANGE(""https://docs.google.com/spreadsheets/d/14Bd19lYaqBhU8_DElYkX7l4wRkHqqCUFNJY4AfY3kHU/edit?usp=sharing  #gid=0"",""фіз особи new!relations_name""),6,FALSE)
,
(IF
(
C4202=""юридична особа""
,
VLOOKUP"&amp;"(D4202,IMPORTRANGE(""https://docs.google.com/spreadsheets/d/14Bd19lYaqBhU8_DElYkX7l4wRkHqqCUFNJY4AfY3kHU/edit?usp=sharing  #gid=0"",""фіз особи new!relations_name_uo""),7,FALSE)
,
)
))"),"ОСТРОВСЬКИЙ Олексій Володимирович")</f>
        <v>ОСТРОВСЬКИЙ Олексій Володимирович</v>
      </c>
      <c r="G4201" s="7" t="s">
        <v>10</v>
      </c>
      <c r="H4201" s="7">
        <v>0</v>
      </c>
      <c r="I4201" s="8" t="str">
        <f ca="1">IFERROR(__xludf.DUMMYFUNCTION("IF
(
G4202=""фізична особа""
,
VLOOKUP(H4202,IMPORTRANGE(""https://docs.google.com/spreadsheets/d/14Bd19lYaqBhU8_DElYkX7l4wRkHqqCUFNJY4AfY3kHU/edit?usp=sharing  #gid=0"",""фіз особи new!relations_name""),6,FALSE)
,
(IF
(
G4202=""юридична особа""
,
VLOOKUP"&amp;"(H4202,IMPORTRANGE(""https://docs.google.com/spreadsheets/d/14Bd19lYaqBhU8_DElYkX7l4wRkHqqCUFNJY4AfY3kHU/edit?usp=sharing  #gid=0"",""фіз особи new!relations_name_uo""),7,FALSE)
,
)
))"),"#N/A")</f>
        <v>#N/A</v>
      </c>
      <c r="J4201" s="7" t="s">
        <v>13</v>
      </c>
    </row>
    <row r="4202" spans="1:10" ht="13.2">
      <c r="A4202" s="7">
        <v>4201</v>
      </c>
      <c r="B4202" s="7">
        <v>1</v>
      </c>
      <c r="C4202" s="7" t="s">
        <v>10</v>
      </c>
      <c r="D4202" s="7">
        <v>2562</v>
      </c>
      <c r="E4202" s="7" t="s">
        <v>17</v>
      </c>
      <c r="F4202" s="8" t="str">
        <f ca="1">IFERROR(__xludf.DUMMYFUNCTION("IF
(
C4203=""фізична особа""
,
VLOOKUP(D4203,IMPORTRANGE(""https://docs.google.com/spreadsheets/d/14Bd19lYaqBhU8_DElYkX7l4wRkHqqCUFNJY4AfY3kHU/edit?usp=sharing  #gid=0"",""фіз особи new!relations_name""),6,FALSE)
,
(IF
(
C4203=""юридична особа""
,
VLOOKUP"&amp;"(D4203,IMPORTRANGE(""https://docs.google.com/spreadsheets/d/14Bd19lYaqBhU8_DElYkX7l4wRkHqqCUFNJY4AfY3kHU/edit?usp=sharing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2" s="7" t="s">
        <v>10</v>
      </c>
      <c r="H4202" s="7">
        <v>5060</v>
      </c>
      <c r="I4202" s="8" t="str">
        <f ca="1">IFERROR(__xludf.DUMMYFUNCTION("IF
(
G4203=""фізична особа""
,
VLOOKUP(H4203,IMPORTRANGE(""https://docs.google.com/spreadsheets/d/14Bd19lYaqBhU8_DElYkX7l4wRkHqqCUFNJY4AfY3kHU/edit?usp=sharing  #gid=0"",""фіз особи new!relations_name""),6,FALSE)
,
(IF
(
G4203=""юридична особа""
,
VLOOKUP"&amp;"(H4203,IMPORTRANGE(""https://docs.google.com/spreadsheets/d/14Bd19lYaqBhU8_DElYkX7l4wRkHqqCUFNJY4AfY3kHU/edit?usp=sharing  #gid=0"",""фіз особи new!relations_name_uo""),7,FALSE)
,
)
))"),"РУДЕНЯ Світлана Михайлівна")</f>
        <v>РУДЕНЯ Світлана Михайлівна</v>
      </c>
      <c r="J4202" s="7" t="s">
        <v>21</v>
      </c>
    </row>
    <row r="4203" spans="1:10" ht="13.2">
      <c r="A4203" s="7">
        <v>4202</v>
      </c>
      <c r="B4203" s="7">
        <v>1</v>
      </c>
      <c r="C4203" s="7" t="s">
        <v>10</v>
      </c>
      <c r="D4203" s="7">
        <v>2562</v>
      </c>
      <c r="E4203" s="7" t="s">
        <v>14</v>
      </c>
      <c r="F4203" s="8" t="str">
        <f ca="1">IFERROR(__xludf.DUMMYFUNCTION("IF
(
C4204=""фізична особа""
,
VLOOKUP(D4204,IMPORTRANGE(""https://docs.google.com/spreadsheets/d/14Bd19lYaqBhU8_DElYkX7l4wRkHqqCUFNJY4AfY3kHU/edit?usp=sharing  #gid=0"",""фіз особи new!relations_name""),6,FALSE)
,
(IF
(
C4204=""юридична особа""
,
VLOOKUP"&amp;"(D4204,IMPORTRANGE(""https://docs.google.com/spreadsheets/d/14Bd19lYaqBhU8_DElYkX7l4wRkHqqCUFNJY4AfY3kHU/edit?usp=sharing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3" s="7" t="s">
        <v>10</v>
      </c>
      <c r="H4203" s="7">
        <v>5055</v>
      </c>
      <c r="I4203" s="8" t="str">
        <f ca="1">IFERROR(__xludf.DUMMYFUNCTION("IF
(
G4204=""фізична особа""
,
VLOOKUP(H4204,IMPORTRANGE(""https://docs.google.com/spreadsheets/d/14Bd19lYaqBhU8_DElYkX7l4wRkHqqCUFNJY4AfY3kHU/edit?usp=sharing  #gid=0"",""фіз особи new!relations_name""),6,FALSE)
,
(IF
(
G4204=""юридична особа""
,
VLOOKUP"&amp;"(H4204,IMPORTRANGE(""https://docs.google.com/spreadsheets/d/14Bd19lYaqBhU8_DElYkX7l4wRkHqqCUFNJY4AfY3kHU/edit?usp=sharing  #gid=0"",""фіз особи new!relations_name_uo""),7,FALSE)
,
)
))"),"РУДЕНЯ Ольга")</f>
        <v>РУДЕНЯ Ольга</v>
      </c>
      <c r="J4203" s="7" t="s">
        <v>15</v>
      </c>
    </row>
    <row r="4204" spans="1:10" ht="13.2">
      <c r="A4204" s="7">
        <v>4203</v>
      </c>
      <c r="B4204" s="7">
        <v>1</v>
      </c>
      <c r="C4204" s="7" t="s">
        <v>10</v>
      </c>
      <c r="D4204" s="7">
        <v>2562</v>
      </c>
      <c r="E4204" s="7" t="s">
        <v>12</v>
      </c>
      <c r="F4204" s="8" t="str">
        <f ca="1">IFERROR(__xludf.DUMMYFUNCTION("IF
(
C4205=""фізична особа""
,
VLOOKUP(D4205,IMPORTRANGE(""https://docs.google.com/spreadsheets/d/14Bd19lYaqBhU8_DElYkX7l4wRkHqqCUFNJY4AfY3kHU/edit?usp=sharing  #gid=0"",""фіз особи new!relations_name""),6,FALSE)
,
(IF
(
C4205=""юридична особа""
,
VLOOKUP"&amp;"(D4205,IMPORTRANGE(""https://docs.google.com/spreadsheets/d/14Bd19lYaqBhU8_DElYkX7l4wRkHqqCUFNJY4AfY3kHU/edit?usp=sharing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4" s="7" t="s">
        <v>10</v>
      </c>
      <c r="H4204" s="7">
        <v>5058</v>
      </c>
      <c r="I4204" s="8" t="str">
        <f ca="1">IFERROR(__xludf.DUMMYFUNCTION("IF
(
G4205=""фізична особа""
,
VLOOKUP(H4205,IMPORTRANGE(""https://docs.google.com/spreadsheets/d/14Bd19lYaqBhU8_DElYkX7l4wRkHqqCUFNJY4AfY3kHU/edit?usp=sharing  #gid=0"",""фіз особи new!relations_name""),6,FALSE)
,
(IF
(
G4205=""юридична особа""
,
VLOOKUP"&amp;"(H4205,IMPORTRANGE(""https://docs.google.com/spreadsheets/d/14Bd19lYaqBhU8_DElYkX7l4wRkHqqCUFNJY4AfY3kHU/edit?usp=sharing  #gid=0"",""фіз особи new!relations_name_uo""),7,FALSE)
,
)
))"),"РУДЕНЯ Данило Ігорович")</f>
        <v>РУДЕНЯ Данило Ігорович</v>
      </c>
      <c r="J4204" s="7" t="s">
        <v>17</v>
      </c>
    </row>
    <row r="4205" spans="1:10" ht="13.2">
      <c r="A4205" s="7">
        <v>4204</v>
      </c>
      <c r="B4205" s="7">
        <v>1</v>
      </c>
      <c r="C4205" s="7" t="s">
        <v>10</v>
      </c>
      <c r="D4205" s="7">
        <v>2562</v>
      </c>
      <c r="E4205" s="7" t="s">
        <v>12</v>
      </c>
      <c r="F4205" s="8" t="str">
        <f ca="1">IFERROR(__xludf.DUMMYFUNCTION("IF
(
C4206=""фізична особа""
,
VLOOKUP(D4206,IMPORTRANGE(""https://docs.google.com/spreadsheets/d/14Bd19lYaqBhU8_DElYkX7l4wRkHqqCUFNJY4AfY3kHU/edit?usp=sharing  #gid=0"",""фіз особи new!relations_name""),6,FALSE)
,
(IF
(
C4206=""юридична особа""
,
VLOOKUP"&amp;"(D4206,IMPORTRANGE(""https://docs.google.com/spreadsheets/d/14Bd19lYaqBhU8_DElYkX7l4wRkHqqCUFNJY4AfY3kHU/edit?usp=sharing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5" s="7" t="s">
        <v>10</v>
      </c>
      <c r="H4205" s="7">
        <v>5057</v>
      </c>
      <c r="I4205" s="8" t="str">
        <f ca="1">IFERROR(__xludf.DUMMYFUNCTION("IF
(
G4206=""фізична особа""
,
VLOOKUP(H4206,IMPORTRANGE(""https://docs.google.com/spreadsheets/d/14Bd19lYaqBhU8_DElYkX7l4wRkHqqCUFNJY4AfY3kHU/edit?usp=sharing  #gid=0"",""фіз особи new!relations_name""),6,FALSE)
,
(IF
(
G4206=""юридична особа""
,
VLOOKUP"&amp;"(H4206,IMPORTRANGE(""https://docs.google.com/spreadsheets/d/14Bd19lYaqBhU8_DElYkX7l4wRkHqqCUFNJY4AfY3kHU/edit?usp=sharing  #gid=0"",""фіз особи new!relations_name_uo""),7,FALSE)
,
)
))"),"РУДЕНЯ Михайло Ігорович")</f>
        <v>РУДЕНЯ Михайло Ігорович</v>
      </c>
      <c r="J4205" s="7" t="s">
        <v>17</v>
      </c>
    </row>
    <row r="4206" spans="1:10" ht="13.2">
      <c r="A4206" s="7">
        <v>4205</v>
      </c>
      <c r="B4206" s="7">
        <v>1</v>
      </c>
      <c r="C4206" s="7" t="s">
        <v>10</v>
      </c>
      <c r="D4206" s="7">
        <v>2562</v>
      </c>
      <c r="E4206" s="7" t="s">
        <v>12</v>
      </c>
      <c r="F4206" s="8" t="str">
        <f ca="1">IFERROR(__xludf.DUMMYFUNCTION("IF
(
C4207=""фізична особа""
,
VLOOKUP(D4207,IMPORTRANGE(""https://docs.google.com/spreadsheets/d/14Bd19lYaqBhU8_DElYkX7l4wRkHqqCUFNJY4AfY3kHU/edit?usp=sharing  #gid=0"",""фіз особи new!relations_name""),6,FALSE)
,
(IF
(
C4207=""юридична особа""
,
VLOOKUP"&amp;"(D4207,IMPORTRANGE(""https://docs.google.com/spreadsheets/d/14Bd19lYaqBhU8_DElYkX7l4wRkHqqCUFNJY4AfY3kHU/edit?usp=sharing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6" s="7" t="s">
        <v>10</v>
      </c>
      <c r="H4206" s="7">
        <v>5056</v>
      </c>
      <c r="I4206" s="8" t="str">
        <f ca="1">IFERROR(__xludf.DUMMYFUNCTION("IF
(
G4207=""фізична особа""
,
VLOOKUP(H4207,IMPORTRANGE(""https://docs.google.com/spreadsheets/d/14Bd19lYaqBhU8_DElYkX7l4wRkHqqCUFNJY4AfY3kHU/edit?usp=sharing  #gid=0"",""фіз особи new!relations_name""),6,FALSE)
,
(IF
(
G4207=""юридична особа""
,
VLOOKUP"&amp;"(H4207,IMPORTRANGE(""https://docs.google.com/spreadsheets/d/14Bd19lYaqBhU8_DElYkX7l4wRkHqqCUFNJY4AfY3kHU/edit?usp=sharing  #gid=0"",""фіз особи new!relations_name_uo""),7,FALSE)
,
)
))"),"РУДЕНЯ Георгій Ігорович")</f>
        <v>РУДЕНЯ Георгій Ігорович</v>
      </c>
      <c r="J4206" s="7" t="s">
        <v>17</v>
      </c>
    </row>
    <row r="4207" spans="1:10" ht="13.2">
      <c r="A4207" s="7">
        <v>4206</v>
      </c>
      <c r="B4207" s="7">
        <v>1</v>
      </c>
      <c r="C4207" s="7" t="s">
        <v>10</v>
      </c>
      <c r="D4207" s="7">
        <v>2562</v>
      </c>
      <c r="E4207" s="7" t="s">
        <v>12</v>
      </c>
      <c r="F4207" s="8" t="str">
        <f ca="1">IFERROR(__xludf.DUMMYFUNCTION("IF
(
C4208=""фізична особа""
,
VLOOKUP(D4208,IMPORTRANGE(""https://docs.google.com/spreadsheets/d/14Bd19lYaqBhU8_DElYkX7l4wRkHqqCUFNJY4AfY3kHU/edit?usp=sharing  #gid=0"",""фіз особи new!relations_name""),6,FALSE)
,
(IF
(
C4208=""юридична особа""
,
VLOOKUP"&amp;"(D4208,IMPORTRANGE(""https://docs.google.com/spreadsheets/d/14Bd19lYaqBhU8_DElYkX7l4wRkHqqCUFNJY4AfY3kHU/edit?usp=sharing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G4207" s="7" t="s">
        <v>10</v>
      </c>
      <c r="H4207" s="7">
        <v>5059</v>
      </c>
      <c r="I4207" s="8" t="str">
        <f ca="1">IFERROR(__xludf.DUMMYFUNCTION("IF
(
G4208=""фізична особа""
,
VLOOKUP(H4208,IMPORTRANGE(""https://docs.google.com/spreadsheets/d/14Bd19lYaqBhU8_DElYkX7l4wRkHqqCUFNJY4AfY3kHU/edit?usp=sharing  #gid=0"",""фіз особи new!relations_name""),6,FALSE)
,
(IF
(
G4208=""юридична особа""
,
VLOOKUP"&amp;"(H4208,IMPORTRANGE(""https://docs.google.com/spreadsheets/d/14Bd19lYaqBhU8_DElYkX7l4wRkHqqCUFNJY4AfY3kHU/edit?usp=sharing  #gid=0"",""фіз особи new!relations_name_uo""),7,FALSE)
,
)
))"),"РУДЕНЯ Ганна Ігорівна")</f>
        <v>РУДЕНЯ Ганна Ігорівна</v>
      </c>
      <c r="J4207" s="7" t="s">
        <v>13</v>
      </c>
    </row>
    <row r="4208" spans="1:10" ht="13.2">
      <c r="A4208" s="7">
        <v>4207</v>
      </c>
      <c r="B4208" s="7">
        <v>1</v>
      </c>
      <c r="C4208" s="7" t="s">
        <v>10</v>
      </c>
      <c r="D4208" s="7">
        <v>2563</v>
      </c>
      <c r="E4208" s="7" t="s">
        <v>14</v>
      </c>
      <c r="F4208" s="8" t="str">
        <f ca="1">IFERROR(__xludf.DUMMYFUNCTION("IF
(
C4209=""фізична особа""
,
VLOOKUP(D4209,IMPORTRANGE(""https://docs.google.com/spreadsheets/d/14Bd19lYaqBhU8_DElYkX7l4wRkHqqCUFNJY4AfY3kHU/edit?usp=sharing  #gid=0"",""фіз особи new!relations_name""),6,FALSE)
,
(IF
(
C4209=""юридична особа""
,
VLOOKUP"&amp;"(D4209,IMPORTRANGE(""https://docs.google.com/spreadsheets/d/14Bd19lYaqBhU8_DElYkX7l4wRkHqqCUFNJY4AfY3kHU/edit?usp=sharing  #gid=0"",""фіз особи new!relations_name_uo""),7,FALSE)
,
)
))"),"МООР Олександр Вікторович")</f>
        <v>МООР Олександр Вікторович</v>
      </c>
      <c r="G4208" s="7" t="s">
        <v>10</v>
      </c>
      <c r="H4208" s="7">
        <v>0</v>
      </c>
      <c r="I4208" s="8" t="str">
        <f ca="1">IFERROR(__xludf.DUMMYFUNCTION("IF
(
G4209=""фізична особа""
,
VLOOKUP(H4209,IMPORTRANGE(""https://docs.google.com/spreadsheets/d/14Bd19lYaqBhU8_DElYkX7l4wRkHqqCUFNJY4AfY3kHU/edit?usp=sharing  #gid=0"",""фіз особи new!relations_name""),6,FALSE)
,
(IF
(
G4209=""юридична особа""
,
VLOOKUP"&amp;"(H4209,IMPORTRANGE(""https://docs.google.com/spreadsheets/d/14Bd19lYaqBhU8_DElYkX7l4wRkHqqCUFNJY4AfY3kHU/edit?usp=sharing  #gid=0"",""фіз особи new!relations_name_uo""),7,FALSE)
,
)
))"),"#N/A")</f>
        <v>#N/A</v>
      </c>
      <c r="J4208" s="7" t="s">
        <v>15</v>
      </c>
    </row>
    <row r="4209" spans="1:10" ht="13.2">
      <c r="A4209" s="7">
        <v>4208</v>
      </c>
      <c r="B4209" s="7">
        <v>1</v>
      </c>
      <c r="C4209" s="7" t="s">
        <v>10</v>
      </c>
      <c r="D4209" s="7">
        <v>2563</v>
      </c>
      <c r="E4209" s="7" t="s">
        <v>12</v>
      </c>
      <c r="F4209" s="8" t="str">
        <f ca="1">IFERROR(__xludf.DUMMYFUNCTION("IF
(
C4210=""фізична особа""
,
VLOOKUP(D4210,IMPORTRANGE(""https://docs.google.com/spreadsheets/d/14Bd19lYaqBhU8_DElYkX7l4wRkHqqCUFNJY4AfY3kHU/edit?usp=sharing  #gid=0"",""фіз особи new!relations_name""),6,FALSE)
,
(IF
(
C4210=""юридична особа""
,
VLOOKUP"&amp;"(D4210,IMPORTRANGE(""https://docs.google.com/spreadsheets/d/14Bd19lYaqBhU8_DElYkX7l4wRkHqqCUFNJY4AfY3kHU/edit?usp=sharing  #gid=0"",""фіз особи new!relations_name_uo""),7,FALSE)
,
)
))"),"МООР Олександр Вікторович")</f>
        <v>МООР Олександр Вікторович</v>
      </c>
      <c r="G4209" s="7" t="s">
        <v>10</v>
      </c>
      <c r="H4209" s="7">
        <v>0</v>
      </c>
      <c r="I4209" s="8" t="str">
        <f ca="1">IFERROR(__xludf.DUMMYFUNCTION("IF
(
G4210=""фізична особа""
,
VLOOKUP(H4210,IMPORTRANGE(""https://docs.google.com/spreadsheets/d/14Bd19lYaqBhU8_DElYkX7l4wRkHqqCUFNJY4AfY3kHU/edit?usp=sharing  #gid=0"",""фіз особи new!relations_name""),6,FALSE)
,
(IF
(
G4210=""юридична особа""
,
VLOOKUP"&amp;"(H4210,IMPORTRANGE(""https://docs.google.com/spreadsheets/d/14Bd19lYaqBhU8_DElYkX7l4wRkHqqCUFNJY4AfY3kHU/edit?usp=sharing  #gid=0"",""фіз особи new!relations_name_uo""),7,FALSE)
,
)
))"),"#N/A")</f>
        <v>#N/A</v>
      </c>
      <c r="J4209" s="7" t="s">
        <v>17</v>
      </c>
    </row>
    <row r="4210" spans="1:10" ht="13.2">
      <c r="A4210" s="7">
        <v>4209</v>
      </c>
      <c r="B4210" s="7">
        <v>1</v>
      </c>
      <c r="C4210" s="7" t="s">
        <v>10</v>
      </c>
      <c r="D4210" s="7">
        <v>2563</v>
      </c>
      <c r="E4210" s="7" t="s">
        <v>12</v>
      </c>
      <c r="F4210" s="8" t="str">
        <f ca="1">IFERROR(__xludf.DUMMYFUNCTION("IF
(
C4211=""фізична особа""
,
VLOOKUP(D4211,IMPORTRANGE(""https://docs.google.com/spreadsheets/d/14Bd19lYaqBhU8_DElYkX7l4wRkHqqCUFNJY4AfY3kHU/edit?usp=sharing  #gid=0"",""фіз особи new!relations_name""),6,FALSE)
,
(IF
(
C4211=""юридична особа""
,
VLOOKUP"&amp;"(D4211,IMPORTRANGE(""https://docs.google.com/spreadsheets/d/14Bd19lYaqBhU8_DElYkX7l4wRkHqqCUFNJY4AfY3kHU/edit?usp=sharing  #gid=0"",""фіз особи new!relations_name_uo""),7,FALSE)
,
)
))"),"МООР Олександр Вікторович")</f>
        <v>МООР Олександр Вікторович</v>
      </c>
      <c r="G4210" s="7" t="s">
        <v>10</v>
      </c>
      <c r="H4210" s="7">
        <v>0</v>
      </c>
      <c r="I4210" s="8" t="str">
        <f ca="1">IFERROR(__xludf.DUMMYFUNCTION("IF
(
G4211=""фізична особа""
,
VLOOKUP(H4211,IMPORTRANGE(""https://docs.google.com/spreadsheets/d/14Bd19lYaqBhU8_DElYkX7l4wRkHqqCUFNJY4AfY3kHU/edit?usp=sharing  #gid=0"",""фіз особи new!relations_name""),6,FALSE)
,
(IF
(
G4211=""юридична особа""
,
VLOOKUP"&amp;"(H4211,IMPORTRANGE(""https://docs.google.com/spreadsheets/d/14Bd19lYaqBhU8_DElYkX7l4wRkHqqCUFNJY4AfY3kHU/edit?usp=sharing  #gid=0"",""фіз особи new!relations_name_uo""),7,FALSE)
,
)
))"),"#N/A")</f>
        <v>#N/A</v>
      </c>
      <c r="J4210" s="7" t="s">
        <v>17</v>
      </c>
    </row>
    <row r="4211" spans="1:10" ht="13.2">
      <c r="A4211" s="7">
        <v>4210</v>
      </c>
      <c r="B4211" s="7">
        <v>1</v>
      </c>
      <c r="C4211" s="7" t="s">
        <v>10</v>
      </c>
      <c r="D4211" s="7">
        <v>2563</v>
      </c>
      <c r="E4211" s="7" t="s">
        <v>12</v>
      </c>
      <c r="F4211" s="8" t="str">
        <f ca="1">IFERROR(__xludf.DUMMYFUNCTION("IF
(
C4212=""фізична особа""
,
VLOOKUP(D4212,IMPORTRANGE(""https://docs.google.com/spreadsheets/d/14Bd19lYaqBhU8_DElYkX7l4wRkHqqCUFNJY4AfY3kHU/edit?usp=sharing  #gid=0"",""фіз особи new!relations_name""),6,FALSE)
,
(IF
(
C4212=""юридична особа""
,
VLOOKUP"&amp;"(D4212,IMPORTRANGE(""https://docs.google.com/spreadsheets/d/14Bd19lYaqBhU8_DElYkX7l4wRkHqqCUFNJY4AfY3kHU/edit?usp=sharing  #gid=0"",""фіз особи new!relations_name_uo""),7,FALSE)
,
)
))"),"МООР Олександр Вікторович")</f>
        <v>МООР Олександр Вікторович</v>
      </c>
      <c r="G4211" s="7" t="s">
        <v>10</v>
      </c>
      <c r="H4211" s="7">
        <v>0</v>
      </c>
      <c r="I4211" s="8" t="str">
        <f ca="1">IFERROR(__xludf.DUMMYFUNCTION("IF
(
G4212=""фізична особа""
,
VLOOKUP(H4212,IMPORTRANGE(""https://docs.google.com/spreadsheets/d/14Bd19lYaqBhU8_DElYkX7l4wRkHqqCUFNJY4AfY3kHU/edit?usp=sharing  #gid=0"",""фіз особи new!relations_name""),6,FALSE)
,
(IF
(
G4212=""юридична особа""
,
VLOOKUP"&amp;"(H4212,IMPORTRANGE(""https://docs.google.com/spreadsheets/d/14Bd19lYaqBhU8_DElYkX7l4wRkHqqCUFNJY4AfY3kHU/edit?usp=sharing  #gid=0"",""фіз особи new!relations_name_uo""),7,FALSE)
,
)
))"),"#N/A")</f>
        <v>#N/A</v>
      </c>
      <c r="J4211" s="7" t="s">
        <v>13</v>
      </c>
    </row>
    <row r="4212" spans="1:10" ht="13.2">
      <c r="A4212" s="7">
        <v>4211</v>
      </c>
      <c r="B4212" s="7">
        <v>1</v>
      </c>
      <c r="C4212" s="7" t="s">
        <v>10</v>
      </c>
      <c r="D4212" s="7">
        <v>2565</v>
      </c>
      <c r="E4212" s="7" t="s">
        <v>14</v>
      </c>
      <c r="F4212" s="8" t="str">
        <f ca="1">IFERROR(__xludf.DUMMYFUNCTION("IF
(
C4213=""фізична особа""
,
VLOOKUP(D4213,IMPORTRANGE(""https://docs.google.com/spreadsheets/d/14Bd19lYaqBhU8_DElYkX7l4wRkHqqCUFNJY4AfY3kHU/edit?usp=sharing  #gid=0"",""фіз особи new!relations_name""),6,FALSE)
,
(IF
(
C4213=""юридична особа""
,
VLOOKUP"&amp;"(D4213,IMPORTRANGE(""https://docs.google.com/spreadsheets/d/14Bd19lYaqBhU8_DElYkX7l4wRkHqqCUFNJY4AfY3kHU/edit?usp=sharing  #gid=0"",""фіз особи new!relations_name_uo""),7,FALSE)
,
)
))"),"ТЕКСЛЕР Олексій Леонідович")</f>
        <v>ТЕКСЛЕР Олексій Леонідович</v>
      </c>
      <c r="G4212" s="7" t="s">
        <v>10</v>
      </c>
      <c r="H4212" s="7">
        <v>5032</v>
      </c>
      <c r="I4212" s="8" t="str">
        <f ca="1">IFERROR(__xludf.DUMMYFUNCTION("IF
(
G4213=""фізична особа""
,
VLOOKUP(H4213,IMPORTRANGE(""https://docs.google.com/spreadsheets/d/14Bd19lYaqBhU8_DElYkX7l4wRkHqqCUFNJY4AfY3kHU/edit?usp=sharing  #gid=0"",""фіз особи new!relations_name""),6,FALSE)
,
(IF
(
G4213=""юридична особа""
,
VLOOKUP"&amp;"(H4213,IMPORTRANGE(""https://docs.google.com/spreadsheets/d/14Bd19lYaqBhU8_DElYkX7l4wRkHqqCUFNJY4AfY3kHU/edit?usp=sharing  #gid=0"",""фіз особи new!relations_name_uo""),7,FALSE)
,
)
))"),"ТЕКСЛЕР Ірина Миколаївна")</f>
        <v>ТЕКСЛЕР Ірина Миколаївна</v>
      </c>
      <c r="J4212" s="7" t="s">
        <v>15</v>
      </c>
    </row>
    <row r="4213" spans="1:10" ht="13.2">
      <c r="A4213" s="7">
        <v>4212</v>
      </c>
      <c r="B4213" s="7">
        <v>1</v>
      </c>
      <c r="C4213" s="7" t="s">
        <v>10</v>
      </c>
      <c r="D4213" s="7">
        <v>2565</v>
      </c>
      <c r="E4213" s="7" t="s">
        <v>12</v>
      </c>
      <c r="F4213" s="8" t="str">
        <f ca="1">IFERROR(__xludf.DUMMYFUNCTION("IF
(
C4214=""фізична особа""
,
VLOOKUP(D4214,IMPORTRANGE(""https://docs.google.com/spreadsheets/d/14Bd19lYaqBhU8_DElYkX7l4wRkHqqCUFNJY4AfY3kHU/edit?usp=sharing  #gid=0"",""фіз особи new!relations_name""),6,FALSE)
,
(IF
(
C4214=""юридична особа""
,
VLOOKUP"&amp;"(D4214,IMPORTRANGE(""https://docs.google.com/spreadsheets/d/14Bd19lYaqBhU8_DElYkX7l4wRkHqqCUFNJY4AfY3kHU/edit?usp=sharing  #gid=0"",""фіз особи new!relations_name_uo""),7,FALSE)
,
)
))"),"ТЕКСЛЕР Олексій Леонідович")</f>
        <v>ТЕКСЛЕР Олексій Леонідович</v>
      </c>
      <c r="G4213" s="7" t="s">
        <v>10</v>
      </c>
      <c r="H4213" s="7">
        <v>5033</v>
      </c>
      <c r="I4213" s="8" t="str">
        <f ca="1">IFERROR(__xludf.DUMMYFUNCTION("IF
(
G4214=""фізична особа""
,
VLOOKUP(H4214,IMPORTRANGE(""https://docs.google.com/spreadsheets/d/14Bd19lYaqBhU8_DElYkX7l4wRkHqqCUFNJY4AfY3kHU/edit?usp=sharing  #gid=0"",""фіз особи new!relations_name""),6,FALSE)
,
(IF
(
G4214=""юридична особа""
,
VLOOKUP"&amp;"(H4214,IMPORTRANGE(""https://docs.google.com/spreadsheets/d/14Bd19lYaqBhU8_DElYkX7l4wRkHqqCUFNJY4AfY3kHU/edit?usp=sharing  #gid=0"",""фіз особи new!relations_name_uo""),7,FALSE)
,
)
))"),"ТЕКСЛЕР Михайло Олексійович")</f>
        <v>ТЕКСЛЕР Михайло Олексійович</v>
      </c>
      <c r="J4213" s="7" t="s">
        <v>17</v>
      </c>
    </row>
    <row r="4214" spans="1:10" ht="13.2">
      <c r="A4214" s="7">
        <v>4213</v>
      </c>
      <c r="B4214" s="7">
        <v>1</v>
      </c>
      <c r="C4214" s="7" t="s">
        <v>10</v>
      </c>
      <c r="D4214" s="7">
        <v>2566</v>
      </c>
      <c r="E4214" s="7" t="s">
        <v>14</v>
      </c>
      <c r="F4214" s="8" t="str">
        <f ca="1">IFERROR(__xludf.DUMMYFUNCTION("IF
(
C4215=""фізична особа""
,
VLOOKUP(D4215,IMPORTRANGE(""https://docs.google.com/spreadsheets/d/14Bd19lYaqBhU8_DElYkX7l4wRkHqqCUFNJY4AfY3kHU/edit?usp=sharing  #gid=0"",""фіз особи new!relations_name""),6,FALSE)
,
(IF
(
C4215=""юридична особа""
,
VLOOKUP"&amp;"(D4215,IMPORTRANGE(""https://docs.google.com/spreadsheets/d/14Bd19lYaqBhU8_DElYkX7l4wRkHqqCUFNJY4AfY3kHU/edit?usp=sharing  #gid=0"",""фіз особи new!relations_name_uo""),7,FALSE)
,
)
))"),"ГОЛЬДШТЕЙН Ростислав Ернстович")</f>
        <v>ГОЛЬДШТЕЙН Ростислав Ернстович</v>
      </c>
      <c r="G4214" s="7" t="s">
        <v>10</v>
      </c>
      <c r="H4214" s="7">
        <v>4892</v>
      </c>
      <c r="I4214" s="8" t="str">
        <f ca="1">IFERROR(__xludf.DUMMYFUNCTION("IF
(
G4215=""фізична особа""
,
VLOOKUP(H4215,IMPORTRANGE(""https://docs.google.com/spreadsheets/d/14Bd19lYaqBhU8_DElYkX7l4wRkHqqCUFNJY4AfY3kHU/edit?usp=sharing  #gid=0"",""фіз особи new!relations_name""),6,FALSE)
,
(IF
(
G4215=""юридична особа""
,
VLOOKUP"&amp;"(H4215,IMPORTRANGE(""https://docs.google.com/spreadsheets/d/14Bd19lYaqBhU8_DElYkX7l4wRkHqqCUFNJY4AfY3kHU/edit?usp=sharing  #gid=0"",""фіз особи new!relations_name_uo""),7,FALSE)
,
)
))"),"ГОЛЬДШТЕЙН Галина Данилівна")</f>
        <v>ГОЛЬДШТЕЙН Галина Данилівна</v>
      </c>
      <c r="J4214" s="7" t="s">
        <v>15</v>
      </c>
    </row>
    <row r="4215" spans="1:10" ht="13.2">
      <c r="A4215" s="7">
        <v>4214</v>
      </c>
      <c r="B4215" s="7">
        <v>1</v>
      </c>
      <c r="C4215" s="7" t="s">
        <v>10</v>
      </c>
      <c r="D4215" s="7">
        <v>2567</v>
      </c>
      <c r="E4215" s="7" t="s">
        <v>12</v>
      </c>
      <c r="F4215" s="8" t="str">
        <f ca="1">IFERROR(__xludf.DUMMYFUNCTION("IF
(
C4216=""фізична особа""
,
VLOOKUP(D4216,IMPORTRANGE(""https://docs.google.com/spreadsheets/d/14Bd19lYaqBhU8_DElYkX7l4wRkHqqCUFNJY4AfY3kHU/edit?usp=sharing  #gid=0"",""фіз особи new!relations_name""),6,FALSE)
,
(IF
(
C4216=""юридична особа""
,
VLOOKUP"&amp;"(D4216,IMPORTRANGE(""https://docs.google.com/spreadsheets/d/14Bd19lYaqBhU8_DElYkX7l4wRkHqqCUFNJY4AfY3kHU/edit?usp=sharing  #gid=0"",""фіз особи new!relations_name_uo""),7,FALSE)
,
)
))"),"БЕЗДУДНИЙ Юрій Васильович")</f>
        <v>БЕЗДУДНИЙ Юрій Васильович</v>
      </c>
      <c r="G4215" s="7" t="s">
        <v>10</v>
      </c>
      <c r="H4215" s="7">
        <v>23514</v>
      </c>
      <c r="I4215" s="8" t="str">
        <f ca="1">IFERROR(__xludf.DUMMYFUNCTION("IF
(
G4216=""фізична особа""
,
VLOOKUP(H4216,IMPORTRANGE(""https://docs.google.com/spreadsheets/d/14Bd19lYaqBhU8_DElYkX7l4wRkHqqCUFNJY4AfY3kHU/edit?usp=sharing  #gid=0"",""фіз особи new!relations_name""),6,FALSE)
,
(IF
(
G4216=""юридична особа""
,
VLOOKUP"&amp;"(H4216,IMPORTRANGE(""https://docs.google.com/spreadsheets/d/14Bd19lYaqBhU8_DElYkX7l4wRkHqqCUFNJY4AfY3kHU/edit?usp=sharing  #gid=0"",""фіз особи new!relations_name_uo""),7,FALSE)
,
)
))"),"БЕЗДУДНА Анастасія Юріївна")</f>
        <v>БЕЗДУДНА Анастасія Юріївна</v>
      </c>
      <c r="J4215" s="7" t="s">
        <v>13</v>
      </c>
    </row>
    <row r="4216" spans="1:10" ht="13.2">
      <c r="A4216" s="7">
        <v>4215</v>
      </c>
      <c r="B4216" s="7">
        <v>1</v>
      </c>
      <c r="C4216" s="7" t="s">
        <v>10</v>
      </c>
      <c r="D4216" s="7">
        <v>2567</v>
      </c>
      <c r="E4216" s="7" t="s">
        <v>12</v>
      </c>
      <c r="F4216" s="8" t="str">
        <f ca="1">IFERROR(__xludf.DUMMYFUNCTION("IF
(
C4217=""фізична особа""
,
VLOOKUP(D4217,IMPORTRANGE(""https://docs.google.com/spreadsheets/d/14Bd19lYaqBhU8_DElYkX7l4wRkHqqCUFNJY4AfY3kHU/edit?usp=sharing  #gid=0"",""фіз особи new!relations_name""),6,FALSE)
,
(IF
(
C4217=""юридична особа""
,
VLOOKUP"&amp;"(D4217,IMPORTRANGE(""https://docs.google.com/spreadsheets/d/14Bd19lYaqBhU8_DElYkX7l4wRkHqqCUFNJY4AfY3kHU/edit?usp=sharing  #gid=0"",""фіз особи new!relations_name_uo""),7,FALSE)
,
)
))"),"БЕЗДУДНИЙ Юрій Васильович")</f>
        <v>БЕЗДУДНИЙ Юрій Васильович</v>
      </c>
      <c r="G4216" s="7" t="s">
        <v>10</v>
      </c>
      <c r="H4216" s="7">
        <v>5023</v>
      </c>
      <c r="I4216" s="8" t="str">
        <f ca="1">IFERROR(__xludf.DUMMYFUNCTION("IF
(
G4217=""фізична особа""
,
VLOOKUP(H4217,IMPORTRANGE(""https://docs.google.com/spreadsheets/d/14Bd19lYaqBhU8_DElYkX7l4wRkHqqCUFNJY4AfY3kHU/edit?usp=sharing  #gid=0"",""фіз особи new!relations_name""),6,FALSE)
,
(IF
(
G4217=""юридична особа""
,
VLOOKUP"&amp;"(H4217,IMPORTRANGE(""https://docs.google.com/spreadsheets/d/14Bd19lYaqBhU8_DElYkX7l4wRkHqqCUFNJY4AfY3kHU/edit?usp=sharing  #gid=0"",""фіз особи new!relations_name_uo""),7,FALSE)
,
)
))"),"БЕЗДУДНИЙ Володимир Юрійович")</f>
        <v>БЕЗДУДНИЙ Володимир Юрійович</v>
      </c>
      <c r="J4216" s="7" t="s">
        <v>17</v>
      </c>
    </row>
    <row r="4217" spans="1:10" ht="13.2">
      <c r="A4217" s="7">
        <v>4216</v>
      </c>
      <c r="B4217" s="7">
        <v>1</v>
      </c>
      <c r="C4217" s="7" t="s">
        <v>10</v>
      </c>
      <c r="D4217" s="7">
        <v>2568</v>
      </c>
      <c r="E4217" s="7" t="s">
        <v>21</v>
      </c>
      <c r="F4217" s="8" t="str">
        <f ca="1">IFERROR(__xludf.DUMMYFUNCTION("IF
(
C4218=""фізична особа""
,
VLOOKUP(D4218,IMPORTRANGE(""https://docs.google.com/spreadsheets/d/14Bd19lYaqBhU8_DElYkX7l4wRkHqqCUFNJY4AfY3kHU/edit?usp=sharing  #gid=0"",""фіз особи new!relations_name""),6,FALSE)
,
(IF
(
C4218=""юридична особа""
,
VLOOKUP"&amp;"(D4218,IMPORTRANGE(""https://docs.google.com/spreadsheets/d/14Bd19lYaqBhU8_DElYkX7l4wRkHqqCUFNJY4AfY3kHU/edit?usp=sharing  #gid=0"",""фіз особи new!relations_name_uo""),7,FALSE)
,
)
))"),"КОМАРОВА Наталія Володимирівна")</f>
        <v>КОМАРОВА Наталія Володимирівна</v>
      </c>
      <c r="G4217" s="7" t="s">
        <v>10</v>
      </c>
      <c r="H4217" s="7">
        <v>0</v>
      </c>
      <c r="I4217" s="8" t="str">
        <f ca="1">IFERROR(__xludf.DUMMYFUNCTION("IF
(
G4218=""фізична особа""
,
VLOOKUP(H4218,IMPORTRANGE(""https://docs.google.com/spreadsheets/d/14Bd19lYaqBhU8_DElYkX7l4wRkHqqCUFNJY4AfY3kHU/edit?usp=sharing  #gid=0"",""фіз особи new!relations_name""),6,FALSE)
,
(IF
(
G4218=""юридична особа""
,
VLOOKUP"&amp;"(H4218,IMPORTRANGE(""https://docs.google.com/spreadsheets/d/14Bd19lYaqBhU8_DElYkX7l4wRkHqqCUFNJY4AfY3kHU/edit?usp=sharing  #gid=0"",""фіз особи new!relations_name_uo""),7,FALSE)
,
)
))"),"#N/A")</f>
        <v>#N/A</v>
      </c>
      <c r="J4217" s="7" t="s">
        <v>13</v>
      </c>
    </row>
    <row r="4218" spans="1:10" ht="13.2">
      <c r="A4218" s="7">
        <v>4217</v>
      </c>
      <c r="B4218" s="7">
        <v>1</v>
      </c>
      <c r="C4218" s="7" t="s">
        <v>10</v>
      </c>
      <c r="D4218" s="7">
        <v>2568</v>
      </c>
      <c r="E4218" s="7" t="s">
        <v>21</v>
      </c>
      <c r="F4218" s="8" t="str">
        <f ca="1">IFERROR(__xludf.DUMMYFUNCTION("IF
(
C4219=""фізична особа""
,
VLOOKUP(D4219,IMPORTRANGE(""https://docs.google.com/spreadsheets/d/14Bd19lYaqBhU8_DElYkX7l4wRkHqqCUFNJY4AfY3kHU/edit?usp=sharing  #gid=0"",""фіз особи new!relations_name""),6,FALSE)
,
(IF
(
C4219=""юридична особа""
,
VLOOKUP"&amp;"(D4219,IMPORTRANGE(""https://docs.google.com/spreadsheets/d/14Bd19lYaqBhU8_DElYkX7l4wRkHqqCUFNJY4AfY3kHU/edit?usp=sharing  #gid=0"",""фіз особи new!relations_name_uo""),7,FALSE)
,
)
))"),"КОМАРОВА Наталія Володимирівна")</f>
        <v>КОМАРОВА Наталія Володимирівна</v>
      </c>
      <c r="G4218" s="7" t="s">
        <v>10</v>
      </c>
      <c r="H4218" s="7">
        <v>0</v>
      </c>
      <c r="I4218" s="8" t="str">
        <f ca="1">IFERROR(__xludf.DUMMYFUNCTION("IF
(
G4219=""фізична особа""
,
VLOOKUP(H4219,IMPORTRANGE(""https://docs.google.com/spreadsheets/d/14Bd19lYaqBhU8_DElYkX7l4wRkHqqCUFNJY4AfY3kHU/edit?usp=sharing  #gid=0"",""фіз особи new!relations_name""),6,FALSE)
,
(IF
(
G4219=""юридична особа""
,
VLOOKUP"&amp;"(H4219,IMPORTRANGE(""https://docs.google.com/spreadsheets/d/14Bd19lYaqBhU8_DElYkX7l4wRkHqqCUFNJY4AfY3kHU/edit?usp=sharing  #gid=0"",""фіз особи new!relations_name_uo""),7,FALSE)
,
)
))"),"#N/A")</f>
        <v>#N/A</v>
      </c>
      <c r="J4218" s="7" t="s">
        <v>13</v>
      </c>
    </row>
    <row r="4219" spans="1:10" ht="13.2">
      <c r="A4219" s="7">
        <v>4218</v>
      </c>
      <c r="B4219" s="7">
        <v>1</v>
      </c>
      <c r="C4219" s="7" t="s">
        <v>10</v>
      </c>
      <c r="D4219" s="7">
        <v>2569</v>
      </c>
      <c r="E4219" s="7" t="s">
        <v>14</v>
      </c>
      <c r="F4219" s="8" t="str">
        <f ca="1">IFERROR(__xludf.DUMMYFUNCTION("IF
(
C4220=""фізична особа""
,
VLOOKUP(D4220,IMPORTRANGE(""https://docs.google.com/spreadsheets/d/14Bd19lYaqBhU8_DElYkX7l4wRkHqqCUFNJY4AfY3kHU/edit?usp=sharing  #gid=0"",""фіз особи new!relations_name""),6,FALSE)
,
(IF
(
C4220=""юридична особа""
,
VLOOKUP"&amp;"(D4220,IMPORTRANGE(""https://docs.google.com/spreadsheets/d/14Bd19lYaqBhU8_DElYkX7l4wRkHqqCUFNJY4AfY3kHU/edit?usp=sharing  #gid=0"",""фіз особи new!relations_name_uo""),7,FALSE)
,
)
))"),"КОПІН Роман Валентинович")</f>
        <v>КОПІН Роман Валентинович</v>
      </c>
      <c r="G4219" s="7" t="s">
        <v>10</v>
      </c>
      <c r="H4219" s="7">
        <v>0</v>
      </c>
      <c r="I4219" s="8" t="str">
        <f ca="1">IFERROR(__xludf.DUMMYFUNCTION("IF
(
G4220=""фізична особа""
,
VLOOKUP(H4220,IMPORTRANGE(""https://docs.google.com/spreadsheets/d/14Bd19lYaqBhU8_DElYkX7l4wRkHqqCUFNJY4AfY3kHU/edit?usp=sharing  #gid=0"",""фіз особи new!relations_name""),6,FALSE)
,
(IF
(
G4220=""юридична особа""
,
VLOOKUP"&amp;"(H4220,IMPORTRANGE(""https://docs.google.com/spreadsheets/d/14Bd19lYaqBhU8_DElYkX7l4wRkHqqCUFNJY4AfY3kHU/edit?usp=sharing  #gid=0"",""фіз особи new!relations_name_uo""),7,FALSE)
,
)
))"),"#N/A")</f>
        <v>#N/A</v>
      </c>
      <c r="J4219" s="7" t="s">
        <v>15</v>
      </c>
    </row>
    <row r="4220" spans="1:10" ht="13.2">
      <c r="A4220" s="7">
        <v>4219</v>
      </c>
      <c r="B4220" s="7">
        <v>1</v>
      </c>
      <c r="C4220" s="7" t="s">
        <v>10</v>
      </c>
      <c r="D4220" s="7">
        <v>2569</v>
      </c>
      <c r="E4220" s="7" t="s">
        <v>12</v>
      </c>
      <c r="F4220" s="8" t="str">
        <f ca="1">IFERROR(__xludf.DUMMYFUNCTION("IF
(
C4221=""фізична особа""
,
VLOOKUP(D4221,IMPORTRANGE(""https://docs.google.com/spreadsheets/d/14Bd19lYaqBhU8_DElYkX7l4wRkHqqCUFNJY4AfY3kHU/edit?usp=sharing  #gid=0"",""фіз особи new!relations_name""),6,FALSE)
,
(IF
(
C4221=""юридична особа""
,
VLOOKUP"&amp;"(D4221,IMPORTRANGE(""https://docs.google.com/spreadsheets/d/14Bd19lYaqBhU8_DElYkX7l4wRkHqqCUFNJY4AfY3kHU/edit?usp=sharing  #gid=0"",""фіз особи new!relations_name_uo""),7,FALSE)
,
)
))"),"КОПІН Роман Валентинович")</f>
        <v>КОПІН Роман Валентинович</v>
      </c>
      <c r="G4220" s="7" t="s">
        <v>10</v>
      </c>
      <c r="H4220" s="7">
        <v>0</v>
      </c>
      <c r="I4220" s="8" t="str">
        <f ca="1">IFERROR(__xludf.DUMMYFUNCTION("IF
(
G4221=""фізична особа""
,
VLOOKUP(H4221,IMPORTRANGE(""https://docs.google.com/spreadsheets/d/14Bd19lYaqBhU8_DElYkX7l4wRkHqqCUFNJY4AfY3kHU/edit?usp=sharing  #gid=0"",""фіз особи new!relations_name""),6,FALSE)
,
(IF
(
G4221=""юридична особа""
,
VLOOKUP"&amp;"(H4221,IMPORTRANGE(""https://docs.google.com/spreadsheets/d/14Bd19lYaqBhU8_DElYkX7l4wRkHqqCUFNJY4AfY3kHU/edit?usp=sharing  #gid=0"",""фіз особи new!relations_name_uo""),7,FALSE)
,
)
))"),"#N/A")</f>
        <v>#N/A</v>
      </c>
      <c r="J4220" s="7" t="s">
        <v>13</v>
      </c>
    </row>
    <row r="4221" spans="1:10" ht="13.2">
      <c r="A4221" s="7">
        <v>4220</v>
      </c>
      <c r="B4221" s="7">
        <v>1</v>
      </c>
      <c r="C4221" s="7" t="s">
        <v>10</v>
      </c>
      <c r="D4221" s="7">
        <v>2569</v>
      </c>
      <c r="E4221" s="7" t="s">
        <v>12</v>
      </c>
      <c r="F4221" s="8" t="str">
        <f ca="1">IFERROR(__xludf.DUMMYFUNCTION("IF
(
C4222=""фізична особа""
,
VLOOKUP(D4222,IMPORTRANGE(""https://docs.google.com/spreadsheets/d/14Bd19lYaqBhU8_DElYkX7l4wRkHqqCUFNJY4AfY3kHU/edit?usp=sharing  #gid=0"",""фіз особи new!relations_name""),6,FALSE)
,
(IF
(
C4222=""юридична особа""
,
VLOOKUP"&amp;"(D4222,IMPORTRANGE(""https://docs.google.com/spreadsheets/d/14Bd19lYaqBhU8_DElYkX7l4wRkHqqCUFNJY4AfY3kHU/edit?usp=sharing  #gid=0"",""фіз особи new!relations_name_uo""),7,FALSE)
,
)
))"),"КОПІН Роман Валентинович")</f>
        <v>КОПІН Роман Валентинович</v>
      </c>
      <c r="G4221" s="7" t="s">
        <v>10</v>
      </c>
      <c r="H4221" s="7">
        <v>0</v>
      </c>
      <c r="I4221" s="8" t="str">
        <f ca="1">IFERROR(__xludf.DUMMYFUNCTION("IF
(
G4222=""фізична особа""
,
VLOOKUP(H4222,IMPORTRANGE(""https://docs.google.com/spreadsheets/d/14Bd19lYaqBhU8_DElYkX7l4wRkHqqCUFNJY4AfY3kHU/edit?usp=sharing  #gid=0"",""фіз особи new!relations_name""),6,FALSE)
,
(IF
(
G4222=""юридична особа""
,
VLOOKUP"&amp;"(H4222,IMPORTRANGE(""https://docs.google.com/spreadsheets/d/14Bd19lYaqBhU8_DElYkX7l4wRkHqqCUFNJY4AfY3kHU/edit?usp=sharing  #gid=0"",""фіз особи new!relations_name_uo""),7,FALSE)
,
)
))"),"#N/A")</f>
        <v>#N/A</v>
      </c>
      <c r="J4221" s="7" t="s">
        <v>17</v>
      </c>
    </row>
    <row r="4222" spans="1:10" ht="13.2">
      <c r="A4222" s="7">
        <v>4221</v>
      </c>
      <c r="B4222" s="7">
        <v>1</v>
      </c>
      <c r="C4222" s="7" t="s">
        <v>10</v>
      </c>
      <c r="D4222" s="7">
        <v>2570</v>
      </c>
      <c r="E4222" s="7" t="s">
        <v>17</v>
      </c>
      <c r="F4222" s="8" t="str">
        <f ca="1">IFERROR(__xludf.DUMMYFUNCTION("IF
(
C4223=""фізична особа""
,
VLOOKUP(D4223,IMPORTRANGE(""https://docs.google.com/spreadsheets/d/14Bd19lYaqBhU8_DElYkX7l4wRkHqqCUFNJY4AfY3kHU/edit?usp=sharing  #gid=0"",""фіз особи new!relations_name""),6,FALSE)
,
(IF
(
C4223=""юридична особа""
,
VLOOKUP"&amp;"(D4223,IMPORTRANGE(""https://docs.google.com/spreadsheets/d/14Bd19lYaqBhU8_DElYkX7l4wRkHqqCUFNJY4AfY3kHU/edit?usp=sharing  #gid=0"",""фіз особи new!relations_name_uo""),7,FALSE)
,
)
))"),"АРТЮХОВ Дмитро Андрійович")</f>
        <v>АРТЮХОВ Дмитро Андрійович</v>
      </c>
      <c r="G4222" s="7" t="s">
        <v>10</v>
      </c>
      <c r="H4222" s="7">
        <v>5014</v>
      </c>
      <c r="I4222" s="8" t="str">
        <f ca="1">IFERROR(__xludf.DUMMYFUNCTION("IF
(
G4223=""фізична особа""
,
VLOOKUP(H4223,IMPORTRANGE(""https://docs.google.com/spreadsheets/d/14Bd19lYaqBhU8_DElYkX7l4wRkHqqCUFNJY4AfY3kHU/edit?usp=sharing  #gid=0"",""фіз особи new!relations_name""),6,FALSE)
,
(IF
(
G4223=""юридична особа""
,
VLOOKUP"&amp;"(H4223,IMPORTRANGE(""https://docs.google.com/spreadsheets/d/14Bd19lYaqBhU8_DElYkX7l4wRkHqqCUFNJY4AfY3kHU/edit?usp=sharing  #gid=0"",""фіз особи new!relations_name_uo""),7,FALSE)
,
)
))"),"АРТЮХОВ Андрій Вікторович")</f>
        <v>АРТЮХОВ Андрій Вікторович</v>
      </c>
      <c r="J4222" s="7" t="s">
        <v>12</v>
      </c>
    </row>
    <row r="4223" spans="1:10" ht="13.2">
      <c r="A4223" s="7">
        <v>4222</v>
      </c>
      <c r="B4223" s="7">
        <v>1</v>
      </c>
      <c r="C4223" s="7" t="s">
        <v>10</v>
      </c>
      <c r="D4223" s="7">
        <v>2570</v>
      </c>
      <c r="E4223" s="7" t="s">
        <v>14</v>
      </c>
      <c r="F4223" s="8" t="str">
        <f ca="1">IFERROR(__xludf.DUMMYFUNCTION("IF
(
C4224=""фізична особа""
,
VLOOKUP(D4224,IMPORTRANGE(""https://docs.google.com/spreadsheets/d/14Bd19lYaqBhU8_DElYkX7l4wRkHqqCUFNJY4AfY3kHU/edit?usp=sharing  #gid=0"",""фіз особи new!relations_name""),6,FALSE)
,
(IF
(
C4224=""юридична особа""
,
VLOOKUP"&amp;"(D4224,IMPORTRANGE(""https://docs.google.com/spreadsheets/d/14Bd19lYaqBhU8_DElYkX7l4wRkHqqCUFNJY4AfY3kHU/edit?usp=sharing  #gid=0"",""фіз особи new!relations_name_uo""),7,FALSE)
,
)
))"),"АРТЮХОВ Дмитро Андрійович")</f>
        <v>АРТЮХОВ Дмитро Андрійович</v>
      </c>
      <c r="G4223" s="7" t="s">
        <v>10</v>
      </c>
      <c r="H4223" s="7">
        <v>0</v>
      </c>
      <c r="I4223" s="8" t="str">
        <f ca="1">IFERROR(__xludf.DUMMYFUNCTION("IF
(
G4224=""фізична особа""
,
VLOOKUP(H4224,IMPORTRANGE(""https://docs.google.com/spreadsheets/d/14Bd19lYaqBhU8_DElYkX7l4wRkHqqCUFNJY4AfY3kHU/edit?usp=sharing  #gid=0"",""фіз особи new!relations_name""),6,FALSE)
,
(IF
(
G4224=""юридична особа""
,
VLOOKUP"&amp;"(H4224,IMPORTRANGE(""https://docs.google.com/spreadsheets/d/14Bd19lYaqBhU8_DElYkX7l4wRkHqqCUFNJY4AfY3kHU/edit?usp=sharing  #gid=0"",""фіз особи new!relations_name_uo""),7,FALSE)
,
)
))"),"#N/A")</f>
        <v>#N/A</v>
      </c>
      <c r="J4223" s="7" t="s">
        <v>15</v>
      </c>
    </row>
    <row r="4224" spans="1:10" ht="13.2">
      <c r="A4224" s="7">
        <v>4223</v>
      </c>
      <c r="B4224" s="7">
        <v>1</v>
      </c>
      <c r="C4224" s="7" t="s">
        <v>10</v>
      </c>
      <c r="D4224" s="7">
        <v>2576</v>
      </c>
      <c r="E4224" s="7" t="s">
        <v>40</v>
      </c>
      <c r="F4224" s="8" t="str">
        <f ca="1">IFERROR(__xludf.DUMMYFUNCTION("IF
(
C4225=""фізична особа""
,
VLOOKUP(D4225,IMPORTRANGE(""https://docs.google.com/spreadsheets/d/14Bd19lYaqBhU8_DElYkX7l4wRkHqqCUFNJY4AfY3kHU/edit?usp=sharing  #gid=0"",""фіз особи new!relations_name""),6,FALSE)
,
(IF
(
C4225=""юридична особа""
,
VLOOKUP"&amp;"(D4225,IMPORTRANGE(""https://docs.google.com/spreadsheets/d/14Bd19lYaqBhU8_DElYkX7l4wRkHqqCUFNJY4AfY3kHU/edit?usp=sharing  #gid=0"",""фіз особи new!relations_name_uo""),7,FALSE)
,
)
))"),"ЄГОРОВ Максим Борисович")</f>
        <v>ЄГОРОВ Максим Борисович</v>
      </c>
      <c r="G4224" s="7" t="s">
        <v>10</v>
      </c>
      <c r="H4224" s="7">
        <v>882</v>
      </c>
      <c r="I4224" s="8" t="str">
        <f ca="1">IFERROR(__xludf.DUMMYFUNCTION("IF
(
G4225=""фізична особа""
,
VLOOKUP(H4225,IMPORTRANGE(""https://docs.google.com/spreadsheets/d/14Bd19lYaqBhU8_DElYkX7l4wRkHqqCUFNJY4AfY3kHU/edit?usp=sharing  #gid=0"",""фіз особи new!relations_name""),6,FALSE)
,
(IF
(
G4225=""юридична особа""
,
VLOOKUP"&amp;"(H4225,IMPORTRANGE(""https://docs.google.com/spreadsheets/d/14Bd19lYaqBhU8_DElYkX7l4wRkHqqCUFNJY4AfY3kHU/edit?usp=sharing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J4224" s="7" t="s">
        <v>41</v>
      </c>
    </row>
    <row r="4225" spans="1:10" ht="13.2">
      <c r="A4225" s="7">
        <v>4224</v>
      </c>
      <c r="B4225" s="7">
        <v>1</v>
      </c>
      <c r="C4225" s="7" t="s">
        <v>10</v>
      </c>
      <c r="D4225" s="7">
        <v>2878</v>
      </c>
      <c r="E4225" s="7" t="s">
        <v>28</v>
      </c>
      <c r="F4225" s="8" t="str">
        <f ca="1">IFERROR(__xludf.DUMMYFUNCTION("IF
(
C4226=""фізична особа""
,
VLOOKUP(D4226,IMPORTRANGE(""https://docs.google.com/spreadsheets/d/14Bd19lYaqBhU8_DElYkX7l4wRkHqqCUFNJY4AfY3kHU/edit?usp=sharing  #gid=0"",""фіз особи new!relations_name""),6,FALSE)
,
(IF
(
C4226=""юридична особа""
,
VLOOKUP"&amp;"(D4226,IMPORTRANGE(""https://docs.google.com/spreadsheets/d/14Bd19lYaqBhU8_DElYkX7l4wRkHqqCUFNJY4AfY3kHU/edit?usp=sharing  #gid=0"",""фіз особи new!relations_name_uo""),7,FALSE)
,
)
))"),"ФАТІН В'ячеслав Миколайович")</f>
        <v>ФАТІН В'ячеслав Миколайович</v>
      </c>
      <c r="G4225" s="7" t="s">
        <v>10</v>
      </c>
      <c r="H4225" s="7">
        <v>718</v>
      </c>
      <c r="I4225" s="8" t="str">
        <f ca="1">IFERROR(__xludf.DUMMYFUNCTION("IF
(
G4226=""фізична особа""
,
VLOOKUP(H4226,IMPORTRANGE(""https://docs.google.com/spreadsheets/d/14Bd19lYaqBhU8_DElYkX7l4wRkHqqCUFNJY4AfY3kHU/edit?usp=sharing  #gid=0"",""фіз особи new!relations_name""),6,FALSE)
,
(IF
(
G4226=""юридична особа""
,
VLOOKUP"&amp;"(H4226,IMPORTRANGE(""https://docs.google.com/spreadsheets/d/14Bd19lYaqBhU8_DElYkX7l4wRkHqqCUFNJY4AfY3kHU/edit?usp=sharing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225" s="7" t="s">
        <v>29</v>
      </c>
    </row>
    <row r="4226" spans="1:10" ht="13.2">
      <c r="A4226" s="7">
        <v>4225</v>
      </c>
      <c r="B4226" s="7">
        <v>1</v>
      </c>
      <c r="C4226" s="7" t="s">
        <v>10</v>
      </c>
      <c r="D4226" s="7">
        <v>2879</v>
      </c>
      <c r="E4226" s="7" t="s">
        <v>28</v>
      </c>
      <c r="F4226" s="8" t="str">
        <f ca="1">IFERROR(__xludf.DUMMYFUNCTION("IF
(
C4227=""фізична особа""
,
VLOOKUP(D4227,IMPORTRANGE(""https://docs.google.com/spreadsheets/d/14Bd19lYaqBhU8_DElYkX7l4wRkHqqCUFNJY4AfY3kHU/edit?usp=sharing  #gid=0"",""фіз особи new!relations_name""),6,FALSE)
,
(IF
(
C4227=""юридична особа""
,
VLOOKUP"&amp;"(D4227,IMPORTRANGE(""https://docs.google.com/spreadsheets/d/14Bd19lYaqBhU8_DElYkX7l4wRkHqqCUFNJY4AfY3kHU/edit?usp=sharing  #gid=0"",""фіз особи new!relations_name_uo""),7,FALSE)
,
)
))"),"КАЛЮЖНИЙ Сергій Петрович")</f>
        <v>КАЛЮЖНИЙ Сергій Петрович</v>
      </c>
      <c r="G4226" s="7" t="s">
        <v>10</v>
      </c>
      <c r="H4226" s="7">
        <v>718</v>
      </c>
      <c r="I4226" s="8" t="str">
        <f ca="1">IFERROR(__xludf.DUMMYFUNCTION("IF
(
G4227=""фізична особа""
,
VLOOKUP(H4227,IMPORTRANGE(""https://docs.google.com/spreadsheets/d/14Bd19lYaqBhU8_DElYkX7l4wRkHqqCUFNJY4AfY3kHU/edit?usp=sharing  #gid=0"",""фіз особи new!relations_name""),6,FALSE)
,
(IF
(
G4227=""юридична особа""
,
VLOOKUP"&amp;"(H4227,IMPORTRANGE(""https://docs.google.com/spreadsheets/d/14Bd19lYaqBhU8_DElYkX7l4wRkHqqCUFNJY4AfY3kHU/edit?usp=sharing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226" s="7" t="s">
        <v>29</v>
      </c>
    </row>
    <row r="4227" spans="1:10" ht="13.2">
      <c r="A4227" s="7">
        <v>4226</v>
      </c>
      <c r="B4227" s="7">
        <v>1</v>
      </c>
      <c r="C4227" s="7" t="s">
        <v>10</v>
      </c>
      <c r="D4227" s="7">
        <v>2880</v>
      </c>
      <c r="E4227" s="7" t="s">
        <v>28</v>
      </c>
      <c r="F4227" s="8" t="str">
        <f ca="1">IFERROR(__xludf.DUMMYFUNCTION("IF
(
C4228=""фізична особа""
,
VLOOKUP(D4228,IMPORTRANGE(""https://docs.google.com/spreadsheets/d/14Bd19lYaqBhU8_DElYkX7l4wRkHqqCUFNJY4AfY3kHU/edit?usp=sharing  #gid=0"",""фіз особи new!relations_name""),6,FALSE)
,
(IF
(
C4228=""юридична особа""
,
VLOOKUP"&amp;"(D4228,IMPORTRANGE(""https://docs.google.com/spreadsheets/d/14Bd19lYaqBhU8_DElYkX7l4wRkHqqCUFNJY4AfY3kHU/edit?usp=sharing  #gid=0"",""фіз особи new!relations_name_uo""),7,FALSE)
,
)
))"),"ЛОГУТОВ В'ячеслав Анатолійович")</f>
        <v>ЛОГУТОВ В'ячеслав Анатолійович</v>
      </c>
      <c r="G4227" s="7" t="s">
        <v>10</v>
      </c>
      <c r="H4227" s="7">
        <v>718</v>
      </c>
      <c r="I4227" s="8" t="str">
        <f ca="1">IFERROR(__xludf.DUMMYFUNCTION("IF
(
G4228=""фізична особа""
,
VLOOKUP(H4228,IMPORTRANGE(""https://docs.google.com/spreadsheets/d/14Bd19lYaqBhU8_DElYkX7l4wRkHqqCUFNJY4AfY3kHU/edit?usp=sharing  #gid=0"",""фіз особи new!relations_name""),6,FALSE)
,
(IF
(
G4228=""юридична особа""
,
VLOOKUP"&amp;"(H4228,IMPORTRANGE(""https://docs.google.com/spreadsheets/d/14Bd19lYaqBhU8_DElYkX7l4wRkHqqCUFNJY4AfY3kHU/edit?usp=sharing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227" s="7" t="s">
        <v>29</v>
      </c>
    </row>
    <row r="4228" spans="1:10" ht="13.2">
      <c r="A4228" s="7">
        <v>4227</v>
      </c>
      <c r="B4228" s="7">
        <v>1</v>
      </c>
      <c r="C4228" s="7" t="s">
        <v>10</v>
      </c>
      <c r="D4228" s="7">
        <v>2881</v>
      </c>
      <c r="E4228" s="7" t="s">
        <v>28</v>
      </c>
      <c r="F4228" s="8" t="str">
        <f ca="1">IFERROR(__xludf.DUMMYFUNCTION("IF
(
C4229=""фізична особа""
,
VLOOKUP(D4229,IMPORTRANGE(""https://docs.google.com/spreadsheets/d/14Bd19lYaqBhU8_DElYkX7l4wRkHqqCUFNJY4AfY3kHU/edit?usp=sharing  #gid=0"",""фіз особи new!relations_name""),6,FALSE)
,
(IF
(
C4229=""юридична особа""
,
VLOOKUP"&amp;"(D4229,IMPORTRANGE(""https://docs.google.com/spreadsheets/d/14Bd19lYaqBhU8_DElYkX7l4wRkHqqCUFNJY4AfY3kHU/edit?usp=sharing  #gid=0"",""фіз особи new!relations_name_uo""),7,FALSE)
,
)
))"),"САДЕКОВ Рінат Рафікович")</f>
        <v>САДЕКОВ Рінат Рафікович</v>
      </c>
      <c r="G4228" s="7" t="s">
        <v>10</v>
      </c>
      <c r="H4228" s="7">
        <v>718</v>
      </c>
      <c r="I4228" s="8" t="str">
        <f ca="1">IFERROR(__xludf.DUMMYFUNCTION("IF
(
G4229=""фізична особа""
,
VLOOKUP(H4229,IMPORTRANGE(""https://docs.google.com/spreadsheets/d/14Bd19lYaqBhU8_DElYkX7l4wRkHqqCUFNJY4AfY3kHU/edit?usp=sharing  #gid=0"",""фіз особи new!relations_name""),6,FALSE)
,
(IF
(
G4229=""юридична особа""
,
VLOOKUP"&amp;"(H4229,IMPORTRANGE(""https://docs.google.com/spreadsheets/d/14Bd19lYaqBhU8_DElYkX7l4wRkHqqCUFNJY4AfY3kHU/edit?usp=sharing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228" s="7" t="s">
        <v>29</v>
      </c>
    </row>
    <row r="4229" spans="1:10" ht="13.2">
      <c r="A4229" s="7">
        <v>4228</v>
      </c>
      <c r="B4229" s="7">
        <v>1</v>
      </c>
      <c r="C4229" s="7" t="s">
        <v>10</v>
      </c>
      <c r="D4229" s="7">
        <v>2882</v>
      </c>
      <c r="E4229" s="7" t="s">
        <v>28</v>
      </c>
      <c r="F4229" s="8" t="str">
        <f ca="1">IFERROR(__xludf.DUMMYFUNCTION("IF
(
C4230=""фізична особа""
,
VLOOKUP(D4230,IMPORTRANGE(""https://docs.google.com/spreadsheets/d/14Bd19lYaqBhU8_DElYkX7l4wRkHqqCUFNJY4AfY3kHU/edit?usp=sharing  #gid=0"",""фіз особи new!relations_name""),6,FALSE)
,
(IF
(
C4230=""юридична особа""
,
VLOOKUP"&amp;"(D4230,IMPORTRANGE(""https://docs.google.com/spreadsheets/d/14Bd19lYaqBhU8_DElYkX7l4wRkHqqCUFNJY4AfY3kHU/edit?usp=sharing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G4229" s="7" t="s">
        <v>10</v>
      </c>
      <c r="H4229" s="7">
        <v>460</v>
      </c>
      <c r="I4229" s="8" t="str">
        <f ca="1">IFERROR(__xludf.DUMMYFUNCTION("IF
(
G4230=""фізична особа""
,
VLOOKUP(H4230,IMPORTRANGE(""https://docs.google.com/spreadsheets/d/14Bd19lYaqBhU8_DElYkX7l4wRkHqqCUFNJY4AfY3kHU/edit?usp=sharing  #gid=0"",""фіз особи new!relations_name""),6,FALSE)
,
(IF
(
G4230=""юридична особа""
,
VLOOKUP"&amp;"(H4230,IMPORTRANGE(""https://docs.google.com/spreadsheets/d/14Bd19lYaqBhU8_DElYkX7l4wRkHqqCUFNJY4AfY3kHU/edit?usp=sharing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29" s="7" t="s">
        <v>29</v>
      </c>
    </row>
    <row r="4230" spans="1:10" ht="13.2">
      <c r="A4230" s="7">
        <v>4229</v>
      </c>
      <c r="B4230" s="7">
        <v>1</v>
      </c>
      <c r="C4230" s="7" t="s">
        <v>10</v>
      </c>
      <c r="D4230" s="7">
        <v>2882</v>
      </c>
      <c r="E4230" s="7" t="s">
        <v>28</v>
      </c>
      <c r="F4230" s="8" t="str">
        <f ca="1">IFERROR(__xludf.DUMMYFUNCTION("IF
(
C4231=""фізична особа""
,
VLOOKUP(D4231,IMPORTRANGE(""https://docs.google.com/spreadsheets/d/14Bd19lYaqBhU8_DElYkX7l4wRkHqqCUFNJY4AfY3kHU/edit?usp=sharing  #gid=0"",""фіз особи new!relations_name""),6,FALSE)
,
(IF
(
C4231=""юридична особа""
,
VLOOKUP"&amp;"(D4231,IMPORTRANGE(""https://docs.google.com/spreadsheets/d/14Bd19lYaqBhU8_DElYkX7l4wRkHqqCUFNJY4AfY3kHU/edit?usp=sharing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G4230" s="7" t="s">
        <v>10</v>
      </c>
      <c r="H4230" s="7">
        <v>880</v>
      </c>
      <c r="I4230" s="8" t="str">
        <f ca="1">IFERROR(__xludf.DUMMYFUNCTION("IF
(
G4231=""фізична особа""
,
VLOOKUP(H4231,IMPORTRANGE(""https://docs.google.com/spreadsheets/d/14Bd19lYaqBhU8_DElYkX7l4wRkHqqCUFNJY4AfY3kHU/edit?usp=sharing  #gid=0"",""фіз особи new!relations_name""),6,FALSE)
,
(IF
(
G4231=""юридична особа""
,
VLOOKUP"&amp;"(H4231,IMPORTRANGE(""https://docs.google.com/spreadsheets/d/14Bd19lYaqBhU8_DElYkX7l4wRkHqqCUFNJY4AfY3kHU/edit?usp=sharing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30" s="7" t="s">
        <v>29</v>
      </c>
    </row>
    <row r="4231" spans="1:10" ht="13.2">
      <c r="A4231" s="7">
        <v>4230</v>
      </c>
      <c r="B4231" s="7">
        <v>1</v>
      </c>
      <c r="C4231" s="7" t="s">
        <v>10</v>
      </c>
      <c r="D4231" s="7">
        <v>2883</v>
      </c>
      <c r="E4231" s="7" t="s">
        <v>28</v>
      </c>
      <c r="F4231" s="8" t="str">
        <f ca="1">IFERROR(__xludf.DUMMYFUNCTION("IF
(
C4232=""фізична особа""
,
VLOOKUP(D4232,IMPORTRANGE(""https://docs.google.com/spreadsheets/d/14Bd19lYaqBhU8_DElYkX7l4wRkHqqCUFNJY4AfY3kHU/edit?usp=sharing  #gid=0"",""фіз особи new!relations_name""),6,FALSE)
,
(IF
(
C4232=""юридична особа""
,
VLOOKUP"&amp;"(D4232,IMPORTRANGE(""https://docs.google.com/spreadsheets/d/14Bd19lYaqBhU8_DElYkX7l4wRkHqqCUFNJY4AfY3kHU/edit?usp=sharing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G4231" s="7" t="s">
        <v>10</v>
      </c>
      <c r="H4231" s="7">
        <v>460</v>
      </c>
      <c r="I4231" s="8" t="str">
        <f ca="1">IFERROR(__xludf.DUMMYFUNCTION("IF
(
G4232=""фізична особа""
,
VLOOKUP(H4232,IMPORTRANGE(""https://docs.google.com/spreadsheets/d/14Bd19lYaqBhU8_DElYkX7l4wRkHqqCUFNJY4AfY3kHU/edit?usp=sharing  #gid=0"",""фіз особи new!relations_name""),6,FALSE)
,
(IF
(
G4232=""юридична особа""
,
VLOOKUP"&amp;"(H4232,IMPORTRANGE(""https://docs.google.com/spreadsheets/d/14Bd19lYaqBhU8_DElYkX7l4wRkHqqCUFNJY4AfY3kHU/edit?usp=sharing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31" s="7" t="s">
        <v>29</v>
      </c>
    </row>
    <row r="4232" spans="1:10" ht="13.2">
      <c r="A4232" s="7">
        <v>4231</v>
      </c>
      <c r="B4232" s="7">
        <v>1</v>
      </c>
      <c r="C4232" s="7" t="s">
        <v>10</v>
      </c>
      <c r="D4232" s="7">
        <v>2883</v>
      </c>
      <c r="E4232" s="7" t="s">
        <v>28</v>
      </c>
      <c r="F4232" s="8" t="str">
        <f ca="1">IFERROR(__xludf.DUMMYFUNCTION("IF
(
C4233=""фізична особа""
,
VLOOKUP(D4233,IMPORTRANGE(""https://docs.google.com/spreadsheets/d/14Bd19lYaqBhU8_DElYkX7l4wRkHqqCUFNJY4AfY3kHU/edit?usp=sharing  #gid=0"",""фіз особи new!relations_name""),6,FALSE)
,
(IF
(
C4233=""юридична особа""
,
VLOOKUP"&amp;"(D4233,IMPORTRANGE(""https://docs.google.com/spreadsheets/d/14Bd19lYaqBhU8_DElYkX7l4wRkHqqCUFNJY4AfY3kHU/edit?usp=sharing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G4232" s="7" t="s">
        <v>10</v>
      </c>
      <c r="H4232" s="7">
        <v>880</v>
      </c>
      <c r="I4232" s="8" t="str">
        <f ca="1">IFERROR(__xludf.DUMMYFUNCTION("IF
(
G4233=""фізична особа""
,
VLOOKUP(H4233,IMPORTRANGE(""https://docs.google.com/spreadsheets/d/14Bd19lYaqBhU8_DElYkX7l4wRkHqqCUFNJY4AfY3kHU/edit?usp=sharing  #gid=0"",""фіз особи new!relations_name""),6,FALSE)
,
(IF
(
G4233=""юридична особа""
,
VLOOKUP"&amp;"(H4233,IMPORTRANGE(""https://docs.google.com/spreadsheets/d/14Bd19lYaqBhU8_DElYkX7l4wRkHqqCUFNJY4AfY3kHU/edit?usp=sharing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32" s="7" t="s">
        <v>29</v>
      </c>
    </row>
    <row r="4233" spans="1:10" ht="13.2">
      <c r="A4233" s="7">
        <v>4232</v>
      </c>
      <c r="B4233" s="7">
        <v>1</v>
      </c>
      <c r="C4233" s="7" t="s">
        <v>10</v>
      </c>
      <c r="D4233" s="7">
        <v>2884</v>
      </c>
      <c r="E4233" s="7" t="s">
        <v>28</v>
      </c>
      <c r="F4233" s="8" t="str">
        <f ca="1">IFERROR(__xludf.DUMMYFUNCTION("IF
(
C4234=""фізична особа""
,
VLOOKUP(D4234,IMPORTRANGE(""https://docs.google.com/spreadsheets/d/14Bd19lYaqBhU8_DElYkX7l4wRkHqqCUFNJY4AfY3kHU/edit?usp=sharing  #gid=0"",""фіз особи new!relations_name""),6,FALSE)
,
(IF
(
C4234=""юридична особа""
,
VLOOKUP"&amp;"(D4234,IMPORTRANGE(""https://docs.google.com/spreadsheets/d/14Bd19lYaqBhU8_DElYkX7l4wRkHqqCUFNJY4AfY3kHU/edit?usp=sharing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G4233" s="7" t="s">
        <v>10</v>
      </c>
      <c r="H4233" s="7">
        <v>460</v>
      </c>
      <c r="I4233" s="8" t="str">
        <f ca="1">IFERROR(__xludf.DUMMYFUNCTION("IF
(
G4234=""фізична особа""
,
VLOOKUP(H4234,IMPORTRANGE(""https://docs.google.com/spreadsheets/d/14Bd19lYaqBhU8_DElYkX7l4wRkHqqCUFNJY4AfY3kHU/edit?usp=sharing  #gid=0"",""фіз особи new!relations_name""),6,FALSE)
,
(IF
(
G4234=""юридична особа""
,
VLOOKUP"&amp;"(H4234,IMPORTRANGE(""https://docs.google.com/spreadsheets/d/14Bd19lYaqBhU8_DElYkX7l4wRkHqqCUFNJY4AfY3kHU/edit?usp=sharing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33" s="7" t="s">
        <v>29</v>
      </c>
    </row>
    <row r="4234" spans="1:10" ht="13.2">
      <c r="A4234" s="7">
        <v>4233</v>
      </c>
      <c r="B4234" s="7">
        <v>1</v>
      </c>
      <c r="C4234" s="7" t="s">
        <v>10</v>
      </c>
      <c r="D4234" s="7">
        <v>2884</v>
      </c>
      <c r="E4234" s="7" t="s">
        <v>28</v>
      </c>
      <c r="F4234" s="8" t="str">
        <f ca="1">IFERROR(__xludf.DUMMYFUNCTION("IF
(
C4235=""фізична особа""
,
VLOOKUP(D4235,IMPORTRANGE(""https://docs.google.com/spreadsheets/d/14Bd19lYaqBhU8_DElYkX7l4wRkHqqCUFNJY4AfY3kHU/edit?usp=sharing  #gid=0"",""фіз особи new!relations_name""),6,FALSE)
,
(IF
(
C4235=""юридична особа""
,
VLOOKUP"&amp;"(D4235,IMPORTRANGE(""https://docs.google.com/spreadsheets/d/14Bd19lYaqBhU8_DElYkX7l4wRkHqqCUFNJY4AfY3kHU/edit?usp=sharing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G4234" s="7" t="s">
        <v>10</v>
      </c>
      <c r="H4234" s="7">
        <v>880</v>
      </c>
      <c r="I4234" s="8" t="str">
        <f ca="1">IFERROR(__xludf.DUMMYFUNCTION("IF
(
G4235=""фізична особа""
,
VLOOKUP(H4235,IMPORTRANGE(""https://docs.google.com/spreadsheets/d/14Bd19lYaqBhU8_DElYkX7l4wRkHqqCUFNJY4AfY3kHU/edit?usp=sharing  #gid=0"",""фіз особи new!relations_name""),6,FALSE)
,
(IF
(
G4235=""юридична особа""
,
VLOOKUP"&amp;"(H4235,IMPORTRANGE(""https://docs.google.com/spreadsheets/d/14Bd19lYaqBhU8_DElYkX7l4wRkHqqCUFNJY4AfY3kHU/edit?usp=sharing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34" s="7" t="s">
        <v>29</v>
      </c>
    </row>
    <row r="4235" spans="1:10" ht="13.2">
      <c r="A4235" s="7">
        <v>4234</v>
      </c>
      <c r="B4235" s="7">
        <v>1</v>
      </c>
      <c r="C4235" s="7" t="s">
        <v>10</v>
      </c>
      <c r="D4235" s="7">
        <v>2884</v>
      </c>
      <c r="E4235" s="7" t="s">
        <v>15</v>
      </c>
      <c r="F4235" s="8" t="str">
        <f ca="1">IFERROR(__xludf.DUMMYFUNCTION("IF
(
C4236=""фізична особа""
,
VLOOKUP(D4236,IMPORTRANGE(""https://docs.google.com/spreadsheets/d/14Bd19lYaqBhU8_DElYkX7l4wRkHqqCUFNJY4AfY3kHU/edit?usp=sharing  #gid=0"",""фіз особи new!relations_name""),6,FALSE)
,
(IF
(
C4236=""юридична особа""
,
VLOOKUP"&amp;"(D4236,IMPORTRANGE(""https://docs.google.com/spreadsheets/d/14Bd19lYaqBhU8_DElYkX7l4wRkHqqCUFNJY4AfY3kHU/edit?usp=sharing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G4235" s="7" t="s">
        <v>10</v>
      </c>
      <c r="H4235" s="7">
        <v>2922</v>
      </c>
      <c r="I4235" s="8" t="str">
        <f ca="1">IFERROR(__xludf.DUMMYFUNCTION("IF
(
G4236=""фізична особа""
,
VLOOKUP(H4236,IMPORTRANGE(""https://docs.google.com/spreadsheets/d/14Bd19lYaqBhU8_DElYkX7l4wRkHqqCUFNJY4AfY3kHU/edit?usp=sharing  #gid=0"",""фіз особи new!relations_name""),6,FALSE)
,
(IF
(
G4236=""юридична особа""
,
VLOOKUP"&amp;"(H4236,IMPORTRANGE(""https://docs.google.com/spreadsheets/d/14Bd19lYaqBhU8_DElYkX7l4wRkHqqCUFNJY4AfY3kHU/edit?usp=sharing  #gid=0"",""фіз особи new!relations_name_uo""),7,FALSE)
,
)
))"),"ДРОВОСЄКОВ Андрій Володимирович")</f>
        <v>ДРОВОСЄКОВ Андрій Володимирович</v>
      </c>
      <c r="J4235" s="7" t="s">
        <v>42</v>
      </c>
    </row>
    <row r="4236" spans="1:10" ht="13.2">
      <c r="A4236" s="7">
        <v>4235</v>
      </c>
      <c r="B4236" s="7">
        <v>1</v>
      </c>
      <c r="C4236" s="7" t="s">
        <v>10</v>
      </c>
      <c r="D4236" s="7">
        <v>2885</v>
      </c>
      <c r="E4236" s="7" t="s">
        <v>28</v>
      </c>
      <c r="F4236" s="8" t="str">
        <f ca="1">IFERROR(__xludf.DUMMYFUNCTION("IF
(
C4237=""фізична особа""
,
VLOOKUP(D4237,IMPORTRANGE(""https://docs.google.com/spreadsheets/d/14Bd19lYaqBhU8_DElYkX7l4wRkHqqCUFNJY4AfY3kHU/edit?usp=sharing  #gid=0"",""фіз особи new!relations_name""),6,FALSE)
,
(IF
(
C4237=""юридична особа""
,
VLOOKUP"&amp;"(D4237,IMPORTRANGE(""https://docs.google.com/spreadsheets/d/14Bd19lYaqBhU8_DElYkX7l4wRkHqqCUFNJY4AfY3kHU/edit?usp=sharing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G4236" s="7" t="s">
        <v>10</v>
      </c>
      <c r="H4236" s="7">
        <v>460</v>
      </c>
      <c r="I4236" s="8" t="str">
        <f ca="1">IFERROR(__xludf.DUMMYFUNCTION("IF
(
G4237=""фізична особа""
,
VLOOKUP(H4237,IMPORTRANGE(""https://docs.google.com/spreadsheets/d/14Bd19lYaqBhU8_DElYkX7l4wRkHqqCUFNJY4AfY3kHU/edit?usp=sharing  #gid=0"",""фіз особи new!relations_name""),6,FALSE)
,
(IF
(
G4237=""юридична особа""
,
VLOOKUP"&amp;"(H4237,IMPORTRANGE(""https://docs.google.com/spreadsheets/d/14Bd19lYaqBhU8_DElYkX7l4wRkHqqCUFNJY4AfY3kHU/edit?usp=sharing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36" s="7" t="s">
        <v>29</v>
      </c>
    </row>
    <row r="4237" spans="1:10" ht="13.2">
      <c r="A4237" s="7">
        <v>4236</v>
      </c>
      <c r="B4237" s="7">
        <v>1</v>
      </c>
      <c r="C4237" s="7" t="s">
        <v>10</v>
      </c>
      <c r="D4237" s="7">
        <v>2885</v>
      </c>
      <c r="E4237" s="7" t="s">
        <v>28</v>
      </c>
      <c r="F4237" s="8" t="str">
        <f ca="1">IFERROR(__xludf.DUMMYFUNCTION("IF
(
C4238=""фізична особа""
,
VLOOKUP(D4238,IMPORTRANGE(""https://docs.google.com/spreadsheets/d/14Bd19lYaqBhU8_DElYkX7l4wRkHqqCUFNJY4AfY3kHU/edit?usp=sharing  #gid=0"",""фіз особи new!relations_name""),6,FALSE)
,
(IF
(
C4238=""юридична особа""
,
VLOOKUP"&amp;"(D4238,IMPORTRANGE(""https://docs.google.com/spreadsheets/d/14Bd19lYaqBhU8_DElYkX7l4wRkHqqCUFNJY4AfY3kHU/edit?usp=sharing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G4237" s="7" t="s">
        <v>10</v>
      </c>
      <c r="H4237" s="7">
        <v>880</v>
      </c>
      <c r="I4237" s="8" t="str">
        <f ca="1">IFERROR(__xludf.DUMMYFUNCTION("IF
(
G4238=""фізична особа""
,
VLOOKUP(H4238,IMPORTRANGE(""https://docs.google.com/spreadsheets/d/14Bd19lYaqBhU8_DElYkX7l4wRkHqqCUFNJY4AfY3kHU/edit?usp=sharing  #gid=0"",""фіз особи new!relations_name""),6,FALSE)
,
(IF
(
G4238=""юридична особа""
,
VLOOKUP"&amp;"(H4238,IMPORTRANGE(""https://docs.google.com/spreadsheets/d/14Bd19lYaqBhU8_DElYkX7l4wRkHqqCUFNJY4AfY3kHU/edit?usp=sharing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37" s="7" t="s">
        <v>29</v>
      </c>
    </row>
    <row r="4238" spans="1:10" ht="13.2">
      <c r="A4238" s="7">
        <v>4237</v>
      </c>
      <c r="B4238" s="7">
        <v>1</v>
      </c>
      <c r="C4238" s="7" t="s">
        <v>10</v>
      </c>
      <c r="D4238" s="7">
        <v>2886</v>
      </c>
      <c r="E4238" s="7" t="s">
        <v>28</v>
      </c>
      <c r="F4238" s="8" t="str">
        <f ca="1">IFERROR(__xludf.DUMMYFUNCTION("IF
(
C4239=""фізична особа""
,
VLOOKUP(D4239,IMPORTRANGE(""https://docs.google.com/spreadsheets/d/14Bd19lYaqBhU8_DElYkX7l4wRkHqqCUFNJY4AfY3kHU/edit?usp=sharing  #gid=0"",""фіз особи new!relations_name""),6,FALSE)
,
(IF
(
C4239=""юридична особа""
,
VLOOKUP"&amp;"(D4239,IMPORTRANGE(""https://docs.google.com/spreadsheets/d/14Bd19lYaqBhU8_DElYkX7l4wRkHqqCUFNJY4AfY3kHU/edit?usp=sharing  #gid=0"",""фіз особи new!relations_name_uo""),7,FALSE)
,
)
))"),"ОВЕРЧУК Олексій Логвинович")</f>
        <v>ОВЕРЧУК Олексій Логвинович</v>
      </c>
      <c r="G4238" s="7" t="s">
        <v>10</v>
      </c>
      <c r="H4238" s="7">
        <v>460</v>
      </c>
      <c r="I4238" s="8" t="str">
        <f ca="1">IFERROR(__xludf.DUMMYFUNCTION("IF
(
G4239=""фізична особа""
,
VLOOKUP(H4239,IMPORTRANGE(""https://docs.google.com/spreadsheets/d/14Bd19lYaqBhU8_DElYkX7l4wRkHqqCUFNJY4AfY3kHU/edit?usp=sharing  #gid=0"",""фіз особи new!relations_name""),6,FALSE)
,
(IF
(
G4239=""юридична особа""
,
VLOOKUP"&amp;"(H4239,IMPORTRANGE(""https://docs.google.com/spreadsheets/d/14Bd19lYaqBhU8_DElYkX7l4wRkHqqCUFNJY4AfY3kHU/edit?usp=sharing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38" s="7" t="s">
        <v>29</v>
      </c>
    </row>
    <row r="4239" spans="1:10" ht="13.2">
      <c r="A4239" s="7">
        <v>4238</v>
      </c>
      <c r="B4239" s="7">
        <v>1</v>
      </c>
      <c r="C4239" s="7" t="s">
        <v>10</v>
      </c>
      <c r="D4239" s="7">
        <v>2886</v>
      </c>
      <c r="E4239" s="7" t="s">
        <v>28</v>
      </c>
      <c r="F4239" s="8" t="str">
        <f ca="1">IFERROR(__xludf.DUMMYFUNCTION("IF
(
C4240=""фізична особа""
,
VLOOKUP(D4240,IMPORTRANGE(""https://docs.google.com/spreadsheets/d/14Bd19lYaqBhU8_DElYkX7l4wRkHqqCUFNJY4AfY3kHU/edit?usp=sharing  #gid=0"",""фіз особи new!relations_name""),6,FALSE)
,
(IF
(
C4240=""юридична особа""
,
VLOOKUP"&amp;"(D4240,IMPORTRANGE(""https://docs.google.com/spreadsheets/d/14Bd19lYaqBhU8_DElYkX7l4wRkHqqCUFNJY4AfY3kHU/edit?usp=sharing  #gid=0"",""фіз особи new!relations_name_uo""),7,FALSE)
,
)
))"),"ОВЕРЧУК Олексій Логвинович")</f>
        <v>ОВЕРЧУК Олексій Логвинович</v>
      </c>
      <c r="G4239" s="7" t="s">
        <v>10</v>
      </c>
      <c r="H4239" s="7">
        <v>880</v>
      </c>
      <c r="I4239" s="8" t="str">
        <f ca="1">IFERROR(__xludf.DUMMYFUNCTION("IF
(
G4240=""фізична особа""
,
VLOOKUP(H4240,IMPORTRANGE(""https://docs.google.com/spreadsheets/d/14Bd19lYaqBhU8_DElYkX7l4wRkHqqCUFNJY4AfY3kHU/edit?usp=sharing  #gid=0"",""фіз особи new!relations_name""),6,FALSE)
,
(IF
(
G4240=""юридична особа""
,
VLOOKUP"&amp;"(H4240,IMPORTRANGE(""https://docs.google.com/spreadsheets/d/14Bd19lYaqBhU8_DElYkX7l4wRkHqqCUFNJY4AfY3kHU/edit?usp=sharing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39" s="7" t="s">
        <v>29</v>
      </c>
    </row>
    <row r="4240" spans="1:10" ht="13.2">
      <c r="A4240" s="7">
        <v>4239</v>
      </c>
      <c r="B4240" s="7">
        <v>1</v>
      </c>
      <c r="C4240" s="7" t="s">
        <v>10</v>
      </c>
      <c r="D4240" s="7">
        <v>2887</v>
      </c>
      <c r="E4240" s="7" t="s">
        <v>28</v>
      </c>
      <c r="F4240" s="8" t="str">
        <f ca="1">IFERROR(__xludf.DUMMYFUNCTION("IF
(
C4241=""фізична особа""
,
VLOOKUP(D4241,IMPORTRANGE(""https://docs.google.com/spreadsheets/d/14Bd19lYaqBhU8_DElYkX7l4wRkHqqCUFNJY4AfY3kHU/edit?usp=sharing  #gid=0"",""фіз особи new!relations_name""),6,FALSE)
,
(IF
(
C4241=""юридична особа""
,
VLOOKUP"&amp;"(D4241,IMPORTRANGE(""https://docs.google.com/spreadsheets/d/14Bd19lYaqBhU8_DElYkX7l4wRkHqqCUFNJY4AfY3kHU/edit?usp=sharing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0" s="7" t="s">
        <v>10</v>
      </c>
      <c r="H4240" s="7">
        <v>460</v>
      </c>
      <c r="I4240" s="8" t="str">
        <f ca="1">IFERROR(__xludf.DUMMYFUNCTION("IF
(
G4241=""фізична особа""
,
VLOOKUP(H4241,IMPORTRANGE(""https://docs.google.com/spreadsheets/d/14Bd19lYaqBhU8_DElYkX7l4wRkHqqCUFNJY4AfY3kHU/edit?usp=sharing  #gid=0"",""фіз особи new!relations_name""),6,FALSE)
,
(IF
(
G4241=""юридична особа""
,
VLOOKUP"&amp;"(H4241,IMPORTRANGE(""https://docs.google.com/spreadsheets/d/14Bd19lYaqBhU8_DElYkX7l4wRkHqqCUFNJY4AfY3kHU/edit?usp=sharing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40" s="7" t="s">
        <v>29</v>
      </c>
    </row>
    <row r="4241" spans="1:10" ht="13.2">
      <c r="A4241" s="7">
        <v>4240</v>
      </c>
      <c r="B4241" s="7">
        <v>1</v>
      </c>
      <c r="C4241" s="7" t="s">
        <v>10</v>
      </c>
      <c r="D4241" s="7">
        <v>2887</v>
      </c>
      <c r="E4241" s="7" t="s">
        <v>28</v>
      </c>
      <c r="F4241" s="8" t="str">
        <f ca="1">IFERROR(__xludf.DUMMYFUNCTION("IF
(
C4242=""фізична особа""
,
VLOOKUP(D4242,IMPORTRANGE(""https://docs.google.com/spreadsheets/d/14Bd19lYaqBhU8_DElYkX7l4wRkHqqCUFNJY4AfY3kHU/edit?usp=sharing  #gid=0"",""фіз особи new!relations_name""),6,FALSE)
,
(IF
(
C4242=""юридична особа""
,
VLOOKUP"&amp;"(D4242,IMPORTRANGE(""https://docs.google.com/spreadsheets/d/14Bd19lYaqBhU8_DElYkX7l4wRkHqqCUFNJY4AfY3kHU/edit?usp=sharing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1" s="7" t="s">
        <v>10</v>
      </c>
      <c r="H4241" s="7">
        <v>880</v>
      </c>
      <c r="I4241" s="8" t="str">
        <f ca="1">IFERROR(__xludf.DUMMYFUNCTION("IF
(
G4242=""фізична особа""
,
VLOOKUP(H4242,IMPORTRANGE(""https://docs.google.com/spreadsheets/d/14Bd19lYaqBhU8_DElYkX7l4wRkHqqCUFNJY4AfY3kHU/edit?usp=sharing  #gid=0"",""фіз особи new!relations_name""),6,FALSE)
,
(IF
(
G4242=""юридична особа""
,
VLOOKUP"&amp;"(H4242,IMPORTRANGE(""https://docs.google.com/spreadsheets/d/14Bd19lYaqBhU8_DElYkX7l4wRkHqqCUFNJY4AfY3kHU/edit?usp=sharing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241" s="7" t="s">
        <v>29</v>
      </c>
    </row>
    <row r="4242" spans="1:10" ht="13.2">
      <c r="A4242" s="7">
        <v>4241</v>
      </c>
      <c r="B4242" s="7">
        <v>1</v>
      </c>
      <c r="C4242" s="7" t="s">
        <v>10</v>
      </c>
      <c r="D4242" s="7">
        <v>2887</v>
      </c>
      <c r="E4242" s="7" t="s">
        <v>29</v>
      </c>
      <c r="F4242" s="8" t="str">
        <f ca="1">IFERROR(__xludf.DUMMYFUNCTION("IF
(
C4243=""фізична особа""
,
VLOOKUP(D4243,IMPORTRANGE(""https://docs.google.com/spreadsheets/d/14Bd19lYaqBhU8_DElYkX7l4wRkHqqCUFNJY4AfY3kHU/edit?usp=sharing  #gid=0"",""фіз особи new!relations_name""),6,FALSE)
,
(IF
(
C4243=""юридична особа""
,
VLOOKUP"&amp;"(D4243,IMPORTRANGE(""https://docs.google.com/spreadsheets/d/14Bd19lYaqBhU8_DElYkX7l4wRkHqqCUFNJY4AfY3kHU/edit?usp=sharing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2" s="7" t="s">
        <v>10</v>
      </c>
      <c r="H4242" s="7">
        <v>0</v>
      </c>
      <c r="I4242" s="8" t="str">
        <f ca="1">IFERROR(__xludf.DUMMYFUNCTION("IF
(
G4243=""фізична особа""
,
VLOOKUP(H4243,IMPORTRANGE(""https://docs.google.com/spreadsheets/d/14Bd19lYaqBhU8_DElYkX7l4wRkHqqCUFNJY4AfY3kHU/edit?usp=sharing  #gid=0"",""фіз особи new!relations_name""),6,FALSE)
,
(IF
(
G4243=""юридична особа""
,
VLOOKUP"&amp;"(H4243,IMPORTRANGE(""https://docs.google.com/spreadsheets/d/14Bd19lYaqBhU8_DElYkX7l4wRkHqqCUFNJY4AfY3kHU/edit?usp=sharing  #gid=0"",""фіз особи new!relations_name_uo""),7,FALSE)
,
)
))"),"#N/A")</f>
        <v>#N/A</v>
      </c>
      <c r="J4242" s="7" t="s">
        <v>28</v>
      </c>
    </row>
    <row r="4243" spans="1:10" ht="13.2">
      <c r="A4243" s="7">
        <v>4242</v>
      </c>
      <c r="B4243" s="7">
        <v>1</v>
      </c>
      <c r="C4243" s="7" t="s">
        <v>10</v>
      </c>
      <c r="D4243" s="7">
        <v>2887</v>
      </c>
      <c r="E4243" s="7" t="s">
        <v>14</v>
      </c>
      <c r="F4243" s="8" t="str">
        <f ca="1">IFERROR(__xludf.DUMMYFUNCTION("IF
(
C4244=""фізична особа""
,
VLOOKUP(D4244,IMPORTRANGE(""https://docs.google.com/spreadsheets/d/14Bd19lYaqBhU8_DElYkX7l4wRkHqqCUFNJY4AfY3kHU/edit?usp=sharing  #gid=0"",""фіз особи new!relations_name""),6,FALSE)
,
(IF
(
C4244=""юридична особа""
,
VLOOKUP"&amp;"(D4244,IMPORTRANGE(""https://docs.google.com/spreadsheets/d/14Bd19lYaqBhU8_DElYkX7l4wRkHqqCUFNJY4AfY3kHU/edit?usp=sharing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3" s="7" t="s">
        <v>10</v>
      </c>
      <c r="H4243" s="7">
        <v>2888</v>
      </c>
      <c r="I4243" s="8" t="str">
        <f ca="1">IFERROR(__xludf.DUMMYFUNCTION("IF
(
G4244=""фізична особа""
,
VLOOKUP(H4244,IMPORTRANGE(""https://docs.google.com/spreadsheets/d/14Bd19lYaqBhU8_DElYkX7l4wRkHqqCUFNJY4AfY3kHU/edit?usp=sharing  #gid=0"",""фіз особи new!relations_name""),6,FALSE)
,
(IF
(
G4244=""юридична особа""
,
VLOOKUP"&amp;"(H4244,IMPORTRANGE(""https://docs.google.com/spreadsheets/d/14Bd19lYaqBhU8_DElYkX7l4wRkHqqCUFNJY4AfY3kHU/edit?usp=sharing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J4243" s="7" t="s">
        <v>15</v>
      </c>
    </row>
    <row r="4244" spans="1:10" ht="13.2">
      <c r="A4244" s="7">
        <v>4243</v>
      </c>
      <c r="B4244" s="7">
        <v>1</v>
      </c>
      <c r="C4244" s="7" t="s">
        <v>10</v>
      </c>
      <c r="D4244" s="7">
        <v>2887</v>
      </c>
      <c r="E4244" s="7" t="s">
        <v>34</v>
      </c>
      <c r="F4244" s="8" t="str">
        <f ca="1">IFERROR(__xludf.DUMMYFUNCTION("IF
(
C4245=""фізична особа""
,
VLOOKUP(D4245,IMPORTRANGE(""https://docs.google.com/spreadsheets/d/14Bd19lYaqBhU8_DElYkX7l4wRkHqqCUFNJY4AfY3kHU/edit?usp=sharing  #gid=0"",""фіз особи new!relations_name""),6,FALSE)
,
(IF
(
C4245=""юридична особа""
,
VLOOKUP"&amp;"(D4245,IMPORTRANGE(""https://docs.google.com/spreadsheets/d/14Bd19lYaqBhU8_DElYkX7l4wRkHqqCUFNJY4AfY3kHU/edit?usp=sharing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4" s="7" t="s">
        <v>10</v>
      </c>
      <c r="H4244" s="7">
        <v>2889</v>
      </c>
      <c r="I4244" s="8" t="str">
        <f ca="1">IFERROR(__xludf.DUMMYFUNCTION("IF
(
G4245=""фізична особа""
,
VLOOKUP(H4245,IMPORTRANGE(""https://docs.google.com/spreadsheets/d/14Bd19lYaqBhU8_DElYkX7l4wRkHqqCUFNJY4AfY3kHU/edit?usp=sharing  #gid=0"",""фіз особи new!relations_name""),6,FALSE)
,
(IF
(
G4245=""юридична особа""
,
VLOOKUP"&amp;"(H4245,IMPORTRANGE(""https://docs.google.com/spreadsheets/d/14Bd19lYaqBhU8_DElYkX7l4wRkHqqCUFNJY4AfY3kHU/edit?usp=sharing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J4244" s="7" t="s">
        <v>25</v>
      </c>
    </row>
    <row r="4245" spans="1:10" ht="13.2">
      <c r="A4245" s="7">
        <v>4244</v>
      </c>
      <c r="B4245" s="7">
        <v>1</v>
      </c>
      <c r="C4245" s="7" t="s">
        <v>10</v>
      </c>
      <c r="D4245" s="7">
        <v>2887</v>
      </c>
      <c r="E4245" s="7" t="s">
        <v>12</v>
      </c>
      <c r="F4245" s="8" t="str">
        <f ca="1">IFERROR(__xludf.DUMMYFUNCTION("IF
(
C4246=""фізична особа""
,
VLOOKUP(D4246,IMPORTRANGE(""https://docs.google.com/spreadsheets/d/14Bd19lYaqBhU8_DElYkX7l4wRkHqqCUFNJY4AfY3kHU/edit?usp=sharing  #gid=0"",""фіз особи new!relations_name""),6,FALSE)
,
(IF
(
C4246=""юридична особа""
,
VLOOKUP"&amp;"(D4246,IMPORTRANGE(""https://docs.google.com/spreadsheets/d/14Bd19lYaqBhU8_DElYkX7l4wRkHqqCUFNJY4AfY3kHU/edit?usp=sharing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5" s="7" t="s">
        <v>10</v>
      </c>
      <c r="H4245" s="7">
        <v>2890</v>
      </c>
      <c r="I4245" s="8" t="str">
        <f ca="1">IFERROR(__xludf.DUMMYFUNCTION("IF
(
G4246=""фізична особа""
,
VLOOKUP(H4246,IMPORTRANGE(""https://docs.google.com/spreadsheets/d/14Bd19lYaqBhU8_DElYkX7l4wRkHqqCUFNJY4AfY3kHU/edit?usp=sharing  #gid=0"",""фіз особи new!relations_name""),6,FALSE)
,
(IF
(
G4246=""юридична особа""
,
VLOOKUP"&amp;"(H4246,IMPORTRANGE(""https://docs.google.com/spreadsheets/d/14Bd19lYaqBhU8_DElYkX7l4wRkHqqCUFNJY4AfY3kHU/edit?usp=sharing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J4245" s="7" t="s">
        <v>17</v>
      </c>
    </row>
    <row r="4246" spans="1:10" ht="13.2">
      <c r="A4246" s="7">
        <v>4245</v>
      </c>
      <c r="B4246" s="7">
        <v>1</v>
      </c>
      <c r="C4246" s="7" t="s">
        <v>10</v>
      </c>
      <c r="D4246" s="7">
        <v>2887</v>
      </c>
      <c r="E4246" s="7" t="s">
        <v>18</v>
      </c>
      <c r="F4246" s="8" t="str">
        <f ca="1">IFERROR(__xludf.DUMMYFUNCTION("IF
(
C4247=""фізична особа""
,
VLOOKUP(D4247,IMPORTRANGE(""https://docs.google.com/spreadsheets/d/14Bd19lYaqBhU8_DElYkX7l4wRkHqqCUFNJY4AfY3kHU/edit?usp=sharing  #gid=0"",""фіз особи new!relations_name""),6,FALSE)
,
(IF
(
C4247=""юридична особа""
,
VLOOKUP"&amp;"(D4247,IMPORTRANGE(""https://docs.google.com/spreadsheets/d/14Bd19lYaqBhU8_DElYkX7l4wRkHqqCUFNJY4AfY3kHU/edit?usp=sharing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6" s="7" t="s">
        <v>10</v>
      </c>
      <c r="H4246" s="7">
        <v>2891</v>
      </c>
      <c r="I4246" s="8" t="str">
        <f ca="1">IFERROR(__xludf.DUMMYFUNCTION("IF
(
G4247=""фізична особа""
,
VLOOKUP(H4247,IMPORTRANGE(""https://docs.google.com/spreadsheets/d/14Bd19lYaqBhU8_DElYkX7l4wRkHqqCUFNJY4AfY3kHU/edit?usp=sharing  #gid=0"",""фіз особи new!relations_name""),6,FALSE)
,
(IF
(
G4247=""юридична особа""
,
VLOOKUP"&amp;"(H4247,IMPORTRANGE(""https://docs.google.com/spreadsheets/d/14Bd19lYaqBhU8_DElYkX7l4wRkHqqCUFNJY4AfY3kHU/edit?usp=sharing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J4246" s="7" t="s">
        <v>18</v>
      </c>
    </row>
    <row r="4247" spans="1:10" ht="13.2">
      <c r="A4247" s="7">
        <v>4246</v>
      </c>
      <c r="B4247" s="7">
        <v>1</v>
      </c>
      <c r="C4247" s="7" t="s">
        <v>10</v>
      </c>
      <c r="D4247" s="7">
        <v>2887</v>
      </c>
      <c r="E4247" s="7" t="s">
        <v>73</v>
      </c>
      <c r="F4247" s="8" t="str">
        <f ca="1">IFERROR(__xludf.DUMMYFUNCTION("IF
(
C4248=""фізична особа""
,
VLOOKUP(D4248,IMPORTRANGE(""https://docs.google.com/spreadsheets/d/14Bd19lYaqBhU8_DElYkX7l4wRkHqqCUFNJY4AfY3kHU/edit?usp=sharing  #gid=0"",""фіз особи new!relations_name""),6,FALSE)
,
(IF
(
C4248=""юридична особа""
,
VLOOKUP"&amp;"(D4248,IMPORTRANGE(""https://docs.google.com/spreadsheets/d/14Bd19lYaqBhU8_DElYkX7l4wRkHqqCUFNJY4AfY3kHU/edit?usp=sharing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G4247" s="7" t="s">
        <v>10</v>
      </c>
      <c r="H4247" s="7">
        <v>2892</v>
      </c>
      <c r="I4247" s="8" t="str">
        <f ca="1">IFERROR(__xludf.DUMMYFUNCTION("IF
(
G4248=""фізична особа""
,
VLOOKUP(H4248,IMPORTRANGE(""https://docs.google.com/spreadsheets/d/14Bd19lYaqBhU8_DElYkX7l4wRkHqqCUFNJY4AfY3kHU/edit?usp=sharing  #gid=0"",""фіз особи new!relations_name""),6,FALSE)
,
(IF
(
G4248=""юридична особа""
,
VLOOKUP"&amp;"(H4248,IMPORTRANGE(""https://docs.google.com/spreadsheets/d/14Bd19lYaqBhU8_DElYkX7l4wRkHqqCUFNJY4AfY3kHU/edit?usp=sharing  #gid=0"",""фіз особи new!relations_name_uo""),7,FALSE)
,
)
))"),"БЄЛОУСОВА Катерина")</f>
        <v>БЄЛОУСОВА Катерина</v>
      </c>
      <c r="J4247" s="7" t="s">
        <v>25</v>
      </c>
    </row>
    <row r="4248" spans="1:10" ht="13.2">
      <c r="A4248" s="7">
        <v>4247</v>
      </c>
      <c r="B4248" s="7">
        <v>1</v>
      </c>
      <c r="C4248" s="7" t="s">
        <v>10</v>
      </c>
      <c r="D4248" s="7">
        <v>2888</v>
      </c>
      <c r="E4248" s="7" t="s">
        <v>15</v>
      </c>
      <c r="F4248" s="8" t="str">
        <f ca="1">IFERROR(__xludf.DUMMYFUNCTION("IF
(
C4249=""фізична особа""
,
VLOOKUP(D4249,IMPORTRANGE(""https://docs.google.com/spreadsheets/d/14Bd19lYaqBhU8_DElYkX7l4wRkHqqCUFNJY4AfY3kHU/edit?usp=sharing  #gid=0"",""фіз особи new!relations_name""),6,FALSE)
,
(IF
(
C4249=""юридична особа""
,
VLOOKUP"&amp;"(D4249,IMPORTRANGE(""https://docs.google.com/spreadsheets/d/14Bd19lYaqBhU8_DElYkX7l4wRkHqqCUFNJY4AfY3kHU/edit?usp=sharing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G4248" s="7" t="s">
        <v>10</v>
      </c>
      <c r="H4248" s="7">
        <v>2887</v>
      </c>
      <c r="I4248" s="8" t="str">
        <f ca="1">IFERROR(__xludf.DUMMYFUNCTION("IF
(
G4249=""фізична особа""
,
VLOOKUP(H4249,IMPORTRANGE(""https://docs.google.com/spreadsheets/d/14Bd19lYaqBhU8_DElYkX7l4wRkHqqCUFNJY4AfY3kHU/edit?usp=sharing  #gid=0"",""фіз особи new!relations_name""),6,FALSE)
,
(IF
(
G4249=""юридична особа""
,
VLOOKUP"&amp;"(H4249,IMPORTRANGE(""https://docs.google.com/spreadsheets/d/14Bd19lYaqBhU8_DElYkX7l4wRkHqqCUFNJY4AfY3kHU/edit?usp=sharing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J4248" s="7" t="s">
        <v>14</v>
      </c>
    </row>
    <row r="4249" spans="1:10" ht="13.2">
      <c r="A4249" s="7">
        <v>4248</v>
      </c>
      <c r="B4249" s="7">
        <v>1</v>
      </c>
      <c r="C4249" s="7" t="s">
        <v>10</v>
      </c>
      <c r="D4249" s="7">
        <v>2888</v>
      </c>
      <c r="E4249" s="7" t="s">
        <v>58</v>
      </c>
      <c r="F4249" s="8" t="str">
        <f ca="1">IFERROR(__xludf.DUMMYFUNCTION("IF
(
C4250=""фізична особа""
,
VLOOKUP(D4250,IMPORTRANGE(""https://docs.google.com/spreadsheets/d/14Bd19lYaqBhU8_DElYkX7l4wRkHqqCUFNJY4AfY3kHU/edit?usp=sharing  #gid=0"",""фіз особи new!relations_name""),6,FALSE)
,
(IF
(
C4250=""юридична особа""
,
VLOOKUP"&amp;"(D4250,IMPORTRANGE(""https://docs.google.com/spreadsheets/d/14Bd19lYaqBhU8_DElYkX7l4wRkHqqCUFNJY4AfY3kHU/edit?usp=sharing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G4249" s="7" t="s">
        <v>10</v>
      </c>
      <c r="H4249" s="7">
        <v>2889</v>
      </c>
      <c r="I4249" s="8" t="str">
        <f ca="1">IFERROR(__xludf.DUMMYFUNCTION("IF
(
G4250=""фізична особа""
,
VLOOKUP(H4250,IMPORTRANGE(""https://docs.google.com/spreadsheets/d/14Bd19lYaqBhU8_DElYkX7l4wRkHqqCUFNJY4AfY3kHU/edit?usp=sharing  #gid=0"",""фіз особи new!relations_name""),6,FALSE)
,
(IF
(
G4250=""юридична особа""
,
VLOOKUP"&amp;"(H4250,IMPORTRANGE(""https://docs.google.com/spreadsheets/d/14Bd19lYaqBhU8_DElYkX7l4wRkHqqCUFNJY4AfY3kHU/edit?usp=sharing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J4249" s="7" t="s">
        <v>25</v>
      </c>
    </row>
    <row r="4250" spans="1:10" ht="13.2">
      <c r="A4250" s="7">
        <v>4249</v>
      </c>
      <c r="B4250" s="7">
        <v>1</v>
      </c>
      <c r="C4250" s="7" t="s">
        <v>10</v>
      </c>
      <c r="D4250" s="7">
        <v>2888</v>
      </c>
      <c r="E4250" s="7" t="s">
        <v>21</v>
      </c>
      <c r="F4250" s="8" t="str">
        <f ca="1">IFERROR(__xludf.DUMMYFUNCTION("IF
(
C4251=""фізична особа""
,
VLOOKUP(D4251,IMPORTRANGE(""https://docs.google.com/spreadsheets/d/14Bd19lYaqBhU8_DElYkX7l4wRkHqqCUFNJY4AfY3kHU/edit?usp=sharing  #gid=0"",""фіз особи new!relations_name""),6,FALSE)
,
(IF
(
C4251=""юридична особа""
,
VLOOKUP"&amp;"(D4251,IMPORTRANGE(""https://docs.google.com/spreadsheets/d/14Bd19lYaqBhU8_DElYkX7l4wRkHqqCUFNJY4AfY3kHU/edit?usp=sharing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G4250" s="7" t="s">
        <v>10</v>
      </c>
      <c r="H4250" s="7">
        <v>2890</v>
      </c>
      <c r="I4250" s="8" t="str">
        <f ca="1">IFERROR(__xludf.DUMMYFUNCTION("IF
(
G4251=""фізична особа""
,
VLOOKUP(H4251,IMPORTRANGE(""https://docs.google.com/spreadsheets/d/14Bd19lYaqBhU8_DElYkX7l4wRkHqqCUFNJY4AfY3kHU/edit?usp=sharing  #gid=0"",""фіз особи new!relations_name""),6,FALSE)
,
(IF
(
G4251=""юридична особа""
,
VLOOKUP"&amp;"(H4251,IMPORTRANGE(""https://docs.google.com/spreadsheets/d/14Bd19lYaqBhU8_DElYkX7l4wRkHqqCUFNJY4AfY3kHU/edit?usp=sharing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J4250" s="7" t="s">
        <v>17</v>
      </c>
    </row>
    <row r="4251" spans="1:10" ht="13.2">
      <c r="A4251" s="7">
        <v>4250</v>
      </c>
      <c r="B4251" s="7">
        <v>1</v>
      </c>
      <c r="C4251" s="7" t="s">
        <v>10</v>
      </c>
      <c r="D4251" s="7">
        <v>2888</v>
      </c>
      <c r="E4251" s="7" t="s">
        <v>25</v>
      </c>
      <c r="F4251" s="8" t="str">
        <f ca="1">IFERROR(__xludf.DUMMYFUNCTION("IF
(
C4252=""фізична особа""
,
VLOOKUP(D4252,IMPORTRANGE(""https://docs.google.com/spreadsheets/d/14Bd19lYaqBhU8_DElYkX7l4wRkHqqCUFNJY4AfY3kHU/edit?usp=sharing  #gid=0"",""фіз особи new!relations_name""),6,FALSE)
,
(IF
(
C4252=""юридична особа""
,
VLOOKUP"&amp;"(D4252,IMPORTRANGE(""https://docs.google.com/spreadsheets/d/14Bd19lYaqBhU8_DElYkX7l4wRkHqqCUFNJY4AfY3kHU/edit?usp=sharing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G4251" s="7" t="s">
        <v>10</v>
      </c>
      <c r="H4251" s="7">
        <v>2891</v>
      </c>
      <c r="I4251" s="8" t="str">
        <f ca="1">IFERROR(__xludf.DUMMYFUNCTION("IF
(
G4252=""фізична особа""
,
VLOOKUP(H4252,IMPORTRANGE(""https://docs.google.com/spreadsheets/d/14Bd19lYaqBhU8_DElYkX7l4wRkHqqCUFNJY4AfY3kHU/edit?usp=sharing  #gid=0"",""фіз особи new!relations_name""),6,FALSE)
,
(IF
(
G4252=""юридична особа""
,
VLOOKUP"&amp;"(H4252,IMPORTRANGE(""https://docs.google.com/spreadsheets/d/14Bd19lYaqBhU8_DElYkX7l4wRkHqqCUFNJY4AfY3kHU/edit?usp=sharing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J4251" s="7" t="s">
        <v>73</v>
      </c>
    </row>
    <row r="4252" spans="1:10" ht="13.2">
      <c r="A4252" s="7">
        <v>4251</v>
      </c>
      <c r="B4252" s="7">
        <v>1</v>
      </c>
      <c r="C4252" s="7" t="s">
        <v>10</v>
      </c>
      <c r="D4252" s="7">
        <v>2889</v>
      </c>
      <c r="E4252" s="7" t="s">
        <v>25</v>
      </c>
      <c r="F4252" s="8" t="str">
        <f ca="1">IFERROR(__xludf.DUMMYFUNCTION("IF
(
C4253=""фізична особа""
,
VLOOKUP(D4253,IMPORTRANGE(""https://docs.google.com/spreadsheets/d/14Bd19lYaqBhU8_DElYkX7l4wRkHqqCUFNJY4AfY3kHU/edit?usp=sharing  #gid=0"",""фіз особи new!relations_name""),6,FALSE)
,
(IF
(
C4253=""юридична особа""
,
VLOOKUP"&amp;"(D4253,IMPORTRANGE(""https://docs.google.com/spreadsheets/d/14Bd19lYaqBhU8_DElYkX7l4wRkHqqCUFNJY4AfY3kHU/edit?usp=sharing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G4252" s="7" t="s">
        <v>10</v>
      </c>
      <c r="H4252" s="7">
        <v>2887</v>
      </c>
      <c r="I4252" s="8" t="str">
        <f ca="1">IFERROR(__xludf.DUMMYFUNCTION("IF
(
G4253=""фізична особа""
,
VLOOKUP(H4253,IMPORTRANGE(""https://docs.google.com/spreadsheets/d/14Bd19lYaqBhU8_DElYkX7l4wRkHqqCUFNJY4AfY3kHU/edit?usp=sharing  #gid=0"",""фіз особи new!relations_name""),6,FALSE)
,
(IF
(
G4253=""юридична особа""
,
VLOOKUP"&amp;"(H4253,IMPORTRANGE(""https://docs.google.com/spreadsheets/d/14Bd19lYaqBhU8_DElYkX7l4wRkHqqCUFNJY4AfY3kHU/edit?usp=sharing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J4252" s="7" t="s">
        <v>34</v>
      </c>
    </row>
    <row r="4253" spans="1:10" ht="13.2">
      <c r="A4253" s="7">
        <v>4252</v>
      </c>
      <c r="B4253" s="7">
        <v>1</v>
      </c>
      <c r="C4253" s="7" t="s">
        <v>10</v>
      </c>
      <c r="D4253" s="7">
        <v>2889</v>
      </c>
      <c r="E4253" s="7" t="s">
        <v>15</v>
      </c>
      <c r="F4253" s="8" t="str">
        <f ca="1">IFERROR(__xludf.DUMMYFUNCTION("IF
(
C4254=""фізична особа""
,
VLOOKUP(D4254,IMPORTRANGE(""https://docs.google.com/spreadsheets/d/14Bd19lYaqBhU8_DElYkX7l4wRkHqqCUFNJY4AfY3kHU/edit?usp=sharing  #gid=0"",""фіз особи new!relations_name""),6,FALSE)
,
(IF
(
C4254=""юридична особа""
,
VLOOKUP"&amp;"(D4254,IMPORTRANGE(""https://docs.google.com/spreadsheets/d/14Bd19lYaqBhU8_DElYkX7l4wRkHqqCUFNJY4AfY3kHU/edit?usp=sharing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G4253" s="7" t="s">
        <v>10</v>
      </c>
      <c r="H4253" s="7">
        <v>2890</v>
      </c>
      <c r="I4253" s="8" t="str">
        <f ca="1">IFERROR(__xludf.DUMMYFUNCTION("IF
(
G4254=""фізична особа""
,
VLOOKUP(H4254,IMPORTRANGE(""https://docs.google.com/spreadsheets/d/14Bd19lYaqBhU8_DElYkX7l4wRkHqqCUFNJY4AfY3kHU/edit?usp=sharing  #gid=0"",""фіз особи new!relations_name""),6,FALSE)
,
(IF
(
G4254=""юридична особа""
,
VLOOKUP"&amp;"(H4254,IMPORTRANGE(""https://docs.google.com/spreadsheets/d/14Bd19lYaqBhU8_DElYkX7l4wRkHqqCUFNJY4AfY3kHU/edit?usp=sharing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J4253" s="7" t="s">
        <v>14</v>
      </c>
    </row>
    <row r="4254" spans="1:10" ht="13.2">
      <c r="A4254" s="7">
        <v>4253</v>
      </c>
      <c r="B4254" s="7">
        <v>1</v>
      </c>
      <c r="C4254" s="7" t="s">
        <v>10</v>
      </c>
      <c r="D4254" s="7">
        <v>2889</v>
      </c>
      <c r="E4254" s="7" t="s">
        <v>25</v>
      </c>
      <c r="F4254" s="8" t="str">
        <f ca="1">IFERROR(__xludf.DUMMYFUNCTION("IF
(
C4255=""фізична особа""
,
VLOOKUP(D4255,IMPORTRANGE(""https://docs.google.com/spreadsheets/d/14Bd19lYaqBhU8_DElYkX7l4wRkHqqCUFNJY4AfY3kHU/edit?usp=sharing  #gid=0"",""фіз особи new!relations_name""),6,FALSE)
,
(IF
(
C4255=""юридична особа""
,
VLOOKUP"&amp;"(D4255,IMPORTRANGE(""https://docs.google.com/spreadsheets/d/14Bd19lYaqBhU8_DElYkX7l4wRkHqqCUFNJY4AfY3kHU/edit?usp=sharing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G4254" s="7" t="s">
        <v>10</v>
      </c>
      <c r="H4254" s="7">
        <v>2888</v>
      </c>
      <c r="I4254" s="8" t="str">
        <f ca="1">IFERROR(__xludf.DUMMYFUNCTION("IF
(
G4255=""фізична особа""
,
VLOOKUP(H4255,IMPORTRANGE(""https://docs.google.com/spreadsheets/d/14Bd19lYaqBhU8_DElYkX7l4wRkHqqCUFNJY4AfY3kHU/edit?usp=sharing  #gid=0"",""фіз особи new!relations_name""),6,FALSE)
,
(IF
(
G4255=""юридична особа""
,
VLOOKUP"&amp;"(H4255,IMPORTRANGE(""https://docs.google.com/spreadsheets/d/14Bd19lYaqBhU8_DElYkX7l4wRkHqqCUFNJY4AfY3kHU/edit?usp=sharing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J4254" s="7" t="s">
        <v>58</v>
      </c>
    </row>
    <row r="4255" spans="1:10" ht="13.2">
      <c r="A4255" s="7">
        <v>4254</v>
      </c>
      <c r="B4255" s="7">
        <v>1</v>
      </c>
      <c r="C4255" s="7" t="s">
        <v>10</v>
      </c>
      <c r="D4255" s="7">
        <v>2890</v>
      </c>
      <c r="E4255" s="7" t="s">
        <v>17</v>
      </c>
      <c r="F4255" s="8" t="str">
        <f ca="1">IFERROR(__xludf.DUMMYFUNCTION("IF
(
C4256=""фізична особа""
,
VLOOKUP(D4256,IMPORTRANGE(""https://docs.google.com/spreadsheets/d/14Bd19lYaqBhU8_DElYkX7l4wRkHqqCUFNJY4AfY3kHU/edit?usp=sharing  #gid=0"",""фіз особи new!relations_name""),6,FALSE)
,
(IF
(
C4256=""юридична особа""
,
VLOOKUP"&amp;"(D4256,IMPORTRANGE(""https://docs.google.com/spreadsheets/d/14Bd19lYaqBhU8_DElYkX7l4wRkHqqCUFNJY4AfY3kHU/edit?usp=sharing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G4255" s="7" t="s">
        <v>10</v>
      </c>
      <c r="H4255" s="7">
        <v>2887</v>
      </c>
      <c r="I4255" s="8" t="str">
        <f ca="1">IFERROR(__xludf.DUMMYFUNCTION("IF
(
G4256=""фізична особа""
,
VLOOKUP(H4256,IMPORTRANGE(""https://docs.google.com/spreadsheets/d/14Bd19lYaqBhU8_DElYkX7l4wRkHqqCUFNJY4AfY3kHU/edit?usp=sharing  #gid=0"",""фіз особи new!relations_name""),6,FALSE)
,
(IF
(
G4256=""юридична особа""
,
VLOOKUP"&amp;"(H4256,IMPORTRANGE(""https://docs.google.com/spreadsheets/d/14Bd19lYaqBhU8_DElYkX7l4wRkHqqCUFNJY4AfY3kHU/edit?usp=sharing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J4255" s="7" t="s">
        <v>12</v>
      </c>
    </row>
    <row r="4256" spans="1:10" ht="13.2">
      <c r="A4256" s="7">
        <v>4255</v>
      </c>
      <c r="B4256" s="7">
        <v>1</v>
      </c>
      <c r="C4256" s="7" t="s">
        <v>10</v>
      </c>
      <c r="D4256" s="7">
        <v>2890</v>
      </c>
      <c r="E4256" s="7" t="s">
        <v>14</v>
      </c>
      <c r="F4256" s="8" t="str">
        <f ca="1">IFERROR(__xludf.DUMMYFUNCTION("IF
(
C4257=""фізична особа""
,
VLOOKUP(D4257,IMPORTRANGE(""https://docs.google.com/spreadsheets/d/14Bd19lYaqBhU8_DElYkX7l4wRkHqqCUFNJY4AfY3kHU/edit?usp=sharing  #gid=0"",""фіз особи new!relations_name""),6,FALSE)
,
(IF
(
C4257=""юридична особа""
,
VLOOKUP"&amp;"(D4257,IMPORTRANGE(""https://docs.google.com/spreadsheets/d/14Bd19lYaqBhU8_DElYkX7l4wRkHqqCUFNJY4AfY3kHU/edit?usp=sharing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G4256" s="7" t="s">
        <v>10</v>
      </c>
      <c r="H4256" s="7">
        <v>2889</v>
      </c>
      <c r="I4256" s="8" t="str">
        <f ca="1">IFERROR(__xludf.DUMMYFUNCTION("IF
(
G4257=""фізична особа""
,
VLOOKUP(H4257,IMPORTRANGE(""https://docs.google.com/spreadsheets/d/14Bd19lYaqBhU8_DElYkX7l4wRkHqqCUFNJY4AfY3kHU/edit?usp=sharing  #gid=0"",""фіз особи new!relations_name""),6,FALSE)
,
(IF
(
G4257=""юридична особа""
,
VLOOKUP"&amp;"(H4257,IMPORTRANGE(""https://docs.google.com/spreadsheets/d/14Bd19lYaqBhU8_DElYkX7l4wRkHqqCUFNJY4AfY3kHU/edit?usp=sharing  #gid=0"",""фіз особи new!relations_name_uo""),7,FALSE)
,
)
))"),"Бєлоусова / Мар'янська Євгенія Олексіївна")</f>
        <v>Бєлоусова / Мар'янська Євгенія Олексіївна</v>
      </c>
      <c r="J4256" s="7" t="s">
        <v>15</v>
      </c>
    </row>
    <row r="4257" spans="1:10" ht="13.2">
      <c r="A4257" s="7">
        <v>4256</v>
      </c>
      <c r="B4257" s="7">
        <v>1</v>
      </c>
      <c r="C4257" s="7" t="s">
        <v>10</v>
      </c>
      <c r="D4257" s="7">
        <v>2890</v>
      </c>
      <c r="E4257" s="7" t="s">
        <v>17</v>
      </c>
      <c r="F4257" s="8" t="str">
        <f ca="1">IFERROR(__xludf.DUMMYFUNCTION("IF
(
C4258=""фізична особа""
,
VLOOKUP(D4258,IMPORTRANGE(""https://docs.google.com/spreadsheets/d/14Bd19lYaqBhU8_DElYkX7l4wRkHqqCUFNJY4AfY3kHU/edit?usp=sharing  #gid=0"",""фіз особи new!relations_name""),6,FALSE)
,
(IF
(
C4258=""юридична особа""
,
VLOOKUP"&amp;"(D4258,IMPORTRANGE(""https://docs.google.com/spreadsheets/d/14Bd19lYaqBhU8_DElYkX7l4wRkHqqCUFNJY4AfY3kHU/edit?usp=sharing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G4257" s="7" t="s">
        <v>10</v>
      </c>
      <c r="H4257" s="7">
        <v>2888</v>
      </c>
      <c r="I4257" s="8" t="str">
        <f ca="1">IFERROR(__xludf.DUMMYFUNCTION("IF
(
G4258=""фізична особа""
,
VLOOKUP(H4258,IMPORTRANGE(""https://docs.google.com/spreadsheets/d/14Bd19lYaqBhU8_DElYkX7l4wRkHqqCUFNJY4AfY3kHU/edit?usp=sharing  #gid=0"",""фіз особи new!relations_name""),6,FALSE)
,
(IF
(
G4258=""юридична особа""
,
VLOOKUP"&amp;"(H4258,IMPORTRANGE(""https://docs.google.com/spreadsheets/d/14Bd19lYaqBhU8_DElYkX7l4wRkHqqCUFNJY4AfY3kHU/edit?usp=sharing  #gid=0"",""фіз особи new!relations_name_uo""),7,FALSE)
,
)
))"),"БІЛОУСОВА / АВДЄЄВА Лариса Володимирівна")</f>
        <v>БІЛОУСОВА / АВДЄЄВА Лариса Володимирівна</v>
      </c>
      <c r="J4257" s="7" t="s">
        <v>21</v>
      </c>
    </row>
    <row r="4258" spans="1:10" ht="13.2">
      <c r="A4258" s="7">
        <v>4257</v>
      </c>
      <c r="B4258" s="7">
        <v>1</v>
      </c>
      <c r="C4258" s="7" t="s">
        <v>10</v>
      </c>
      <c r="D4258" s="7">
        <v>2890</v>
      </c>
      <c r="E4258" s="7" t="s">
        <v>20</v>
      </c>
      <c r="F4258" s="8" t="str">
        <f ca="1">IFERROR(__xludf.DUMMYFUNCTION("IF
(
C4259=""фізична особа""
,
VLOOKUP(D4259,IMPORTRANGE(""https://docs.google.com/spreadsheets/d/14Bd19lYaqBhU8_DElYkX7l4wRkHqqCUFNJY4AfY3kHU/edit?usp=sharing  #gid=0"",""фіз особи new!relations_name""),6,FALSE)
,
(IF
(
C4259=""юридична особа""
,
VLOOKUP"&amp;"(D4259,IMPORTRANGE(""https://docs.google.com/spreadsheets/d/14Bd19lYaqBhU8_DElYkX7l4wRkHqqCUFNJY4AfY3kHU/edit?usp=sharing  #gid=0"",""фіз особи new!relations_name_uo""),7,FALSE)
,
)
))"),"БЄЛОУСОВ Павло Андрійович")</f>
        <v>БЄЛОУСОВ Павло Андрійович</v>
      </c>
      <c r="G4258" s="7" t="s">
        <v>10</v>
      </c>
      <c r="H4258" s="7">
        <v>2891</v>
      </c>
      <c r="I4258" s="8" t="str">
        <f ca="1">IFERROR(__xludf.DUMMYFUNCTION("IF
(
G4259=""фізична особа""
,
VLOOKUP(H4259,IMPORTRANGE(""https://docs.google.com/spreadsheets/d/14Bd19lYaqBhU8_DElYkX7l4wRkHqqCUFNJY4AfY3kHU/edit?usp=sharing  #gid=0"",""фіз особи new!relations_name""),6,FALSE)
,
(IF
(
G4259=""юридична особа""
,
VLOOKUP"&amp;"(H4259,IMPORTRANGE(""https://docs.google.com/spreadsheets/d/14Bd19lYaqBhU8_DElYkX7l4wRkHqqCUFNJY4AfY3kHU/edit?usp=sharing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J4258" s="7" t="s">
        <v>19</v>
      </c>
    </row>
    <row r="4259" spans="1:10" ht="13.2">
      <c r="A4259" s="7">
        <v>4258</v>
      </c>
      <c r="B4259" s="7">
        <v>1</v>
      </c>
      <c r="C4259" s="7" t="s">
        <v>10</v>
      </c>
      <c r="D4259" s="7">
        <v>2891</v>
      </c>
      <c r="E4259" s="7" t="s">
        <v>18</v>
      </c>
      <c r="F4259" s="8" t="str">
        <f ca="1">IFERROR(__xludf.DUMMYFUNCTION("IF
(
C4260=""фізична особа""
,
VLOOKUP(D4260,IMPORTRANGE(""https://docs.google.com/spreadsheets/d/14Bd19lYaqBhU8_DElYkX7l4wRkHqqCUFNJY4AfY3kHU/edit?usp=sharing  #gid=0"",""фіз особи new!relations_name""),6,FALSE)
,
(IF
(
C4260=""юридична особа""
,
VLOOKUP"&amp;"(D4260,IMPORTRANGE(""https://docs.google.com/spreadsheets/d/14Bd19lYaqBhU8_DElYkX7l4wRkHqqCUFNJY4AfY3kHU/edit?usp=sharing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G4259" s="7" t="s">
        <v>10</v>
      </c>
      <c r="H4259" s="7">
        <v>2887</v>
      </c>
      <c r="I4259" s="8" t="str">
        <f ca="1">IFERROR(__xludf.DUMMYFUNCTION("IF
(
G4260=""фізична особа""
,
VLOOKUP(H4260,IMPORTRANGE(""https://docs.google.com/spreadsheets/d/14Bd19lYaqBhU8_DElYkX7l4wRkHqqCUFNJY4AfY3kHU/edit?usp=sharing  #gid=0"",""фіз особи new!relations_name""),6,FALSE)
,
(IF
(
G4260=""юридична особа""
,
VLOOKUP"&amp;"(H4260,IMPORTRANGE(""https://docs.google.com/spreadsheets/d/14Bd19lYaqBhU8_DElYkX7l4wRkHqqCUFNJY4AfY3kHU/edit?usp=sharing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J4259" s="7" t="s">
        <v>18</v>
      </c>
    </row>
    <row r="4260" spans="1:10" ht="13.2">
      <c r="A4260" s="7">
        <v>4259</v>
      </c>
      <c r="B4260" s="7">
        <v>1</v>
      </c>
      <c r="C4260" s="7" t="s">
        <v>10</v>
      </c>
      <c r="D4260" s="7">
        <v>2891</v>
      </c>
      <c r="E4260" s="7" t="s">
        <v>14</v>
      </c>
      <c r="F4260" s="8" t="str">
        <f ca="1">IFERROR(__xludf.DUMMYFUNCTION("IF
(
C4261=""фізична особа""
,
VLOOKUP(D4261,IMPORTRANGE(""https://docs.google.com/spreadsheets/d/14Bd19lYaqBhU8_DElYkX7l4wRkHqqCUFNJY4AfY3kHU/edit?usp=sharing  #gid=0"",""фіз особи new!relations_name""),6,FALSE)
,
(IF
(
C4261=""юридична особа""
,
VLOOKUP"&amp;"(D4261,IMPORTRANGE(""https://docs.google.com/spreadsheets/d/14Bd19lYaqBhU8_DElYkX7l4wRkHqqCUFNJY4AfY3kHU/edit?usp=sharing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G4260" s="7" t="s">
        <v>10</v>
      </c>
      <c r="H4260" s="7">
        <v>2892</v>
      </c>
      <c r="I4260" s="8" t="str">
        <f ca="1">IFERROR(__xludf.DUMMYFUNCTION("IF
(
G4261=""фізична особа""
,
VLOOKUP(H4261,IMPORTRANGE(""https://docs.google.com/spreadsheets/d/14Bd19lYaqBhU8_DElYkX7l4wRkHqqCUFNJY4AfY3kHU/edit?usp=sharing  #gid=0"",""фіз особи new!relations_name""),6,FALSE)
,
(IF
(
G4261=""юридична особа""
,
VLOOKUP"&amp;"(H4261,IMPORTRANGE(""https://docs.google.com/spreadsheets/d/14Bd19lYaqBhU8_DElYkX7l4wRkHqqCUFNJY4AfY3kHU/edit?usp=sharing  #gid=0"",""фіз особи new!relations_name_uo""),7,FALSE)
,
)
))"),"БЄЛОУСОВА Катерина")</f>
        <v>БЄЛОУСОВА Катерина</v>
      </c>
      <c r="J4260" s="7" t="s">
        <v>15</v>
      </c>
    </row>
    <row r="4261" spans="1:10" ht="13.2">
      <c r="A4261" s="7">
        <v>4260</v>
      </c>
      <c r="B4261" s="7">
        <v>1</v>
      </c>
      <c r="C4261" s="7" t="s">
        <v>10</v>
      </c>
      <c r="D4261" s="7">
        <v>2892</v>
      </c>
      <c r="E4261" s="7" t="s">
        <v>25</v>
      </c>
      <c r="F4261" s="8" t="str">
        <f ca="1">IFERROR(__xludf.DUMMYFUNCTION("IF
(
C4262=""фізична особа""
,
VLOOKUP(D4262,IMPORTRANGE(""https://docs.google.com/spreadsheets/d/14Bd19lYaqBhU8_DElYkX7l4wRkHqqCUFNJY4AfY3kHU/edit?usp=sharing  #gid=0"",""фіз особи new!relations_name""),6,FALSE)
,
(IF
(
C4262=""юридична особа""
,
VLOOKUP"&amp;"(D4262,IMPORTRANGE(""https://docs.google.com/spreadsheets/d/14Bd19lYaqBhU8_DElYkX7l4wRkHqqCUFNJY4AfY3kHU/edit?usp=sharing  #gid=0"",""фіз особи new!relations_name_uo""),7,FALSE)
,
)
))"),"БЄЛОУСОВА Катерина")</f>
        <v>БЄЛОУСОВА Катерина</v>
      </c>
      <c r="G4261" s="7" t="s">
        <v>10</v>
      </c>
      <c r="H4261" s="7">
        <v>2887</v>
      </c>
      <c r="I4261" s="8" t="str">
        <f ca="1">IFERROR(__xludf.DUMMYFUNCTION("IF
(
G4262=""фізична особа""
,
VLOOKUP(H4262,IMPORTRANGE(""https://docs.google.com/spreadsheets/d/14Bd19lYaqBhU8_DElYkX7l4wRkHqqCUFNJY4AfY3kHU/edit?usp=sharing  #gid=0"",""фіз особи new!relations_name""),6,FALSE)
,
(IF
(
G4262=""юридична особа""
,
VLOOKUP"&amp;"(H4262,IMPORTRANGE(""https://docs.google.com/spreadsheets/d/14Bd19lYaqBhU8_DElYkX7l4wRkHqqCUFNJY4AfY3kHU/edit?usp=sharing  #gid=0"",""фіз особи new!relations_name_uo""),7,FALSE)
,
)
))"),"БЄЛОУСОВ Андрій Ремович")</f>
        <v>БЄЛОУСОВ Андрій Ремович</v>
      </c>
      <c r="J4261" s="7" t="s">
        <v>73</v>
      </c>
    </row>
    <row r="4262" spans="1:10" ht="13.2">
      <c r="A4262" s="7">
        <v>4261</v>
      </c>
      <c r="B4262" s="7">
        <v>1</v>
      </c>
      <c r="C4262" s="7" t="s">
        <v>10</v>
      </c>
      <c r="D4262" s="7">
        <v>2892</v>
      </c>
      <c r="E4262" s="7" t="s">
        <v>15</v>
      </c>
      <c r="F4262" s="8" t="str">
        <f ca="1">IFERROR(__xludf.DUMMYFUNCTION("IF
(
C4263=""фізична особа""
,
VLOOKUP(D4263,IMPORTRANGE(""https://docs.google.com/spreadsheets/d/14Bd19lYaqBhU8_DElYkX7l4wRkHqqCUFNJY4AfY3kHU/edit?usp=sharing  #gid=0"",""фіз особи new!relations_name""),6,FALSE)
,
(IF
(
C4263=""юридична особа""
,
VLOOKUP"&amp;"(D4263,IMPORTRANGE(""https://docs.google.com/spreadsheets/d/14Bd19lYaqBhU8_DElYkX7l4wRkHqqCUFNJY4AfY3kHU/edit?usp=sharing  #gid=0"",""фіз особи new!relations_name_uo""),7,FALSE)
,
)
))"),"БЄЛОУСОВА Катерина")</f>
        <v>БЄЛОУСОВА Катерина</v>
      </c>
      <c r="G4262" s="7" t="s">
        <v>10</v>
      </c>
      <c r="H4262" s="7">
        <v>2891</v>
      </c>
      <c r="I4262" s="8" t="str">
        <f ca="1">IFERROR(__xludf.DUMMYFUNCTION("IF
(
G4263=""фізична особа""
,
VLOOKUP(H4263,IMPORTRANGE(""https://docs.google.com/spreadsheets/d/14Bd19lYaqBhU8_DElYkX7l4wRkHqqCUFNJY4AfY3kHU/edit?usp=sharing  #gid=0"",""фіз особи new!relations_name""),6,FALSE)
,
(IF
(
G4263=""юридична особа""
,
VLOOKUP"&amp;"(H4263,IMPORTRANGE(""https://docs.google.com/spreadsheets/d/14Bd19lYaqBhU8_DElYkX7l4wRkHqqCUFNJY4AfY3kHU/edit?usp=sharing  #gid=0"",""фіз особи new!relations_name_uo""),7,FALSE)
,
)
))"),"БЄЛОУСОВ Дмитро Ремович")</f>
        <v>БЄЛОУСОВ Дмитро Ремович</v>
      </c>
      <c r="J4262" s="7" t="s">
        <v>14</v>
      </c>
    </row>
    <row r="4263" spans="1:10" ht="13.2">
      <c r="A4263" s="7">
        <v>4262</v>
      </c>
      <c r="B4263" s="7">
        <v>1</v>
      </c>
      <c r="C4263" s="7" t="s">
        <v>10</v>
      </c>
      <c r="D4263" s="7">
        <v>2893</v>
      </c>
      <c r="E4263" s="7" t="s">
        <v>21</v>
      </c>
      <c r="F4263" s="8" t="str">
        <f ca="1">IFERROR(__xludf.DUMMYFUNCTION("IF
(
C4264=""фізична особа""
,
VLOOKUP(D4264,IMPORTRANGE(""https://docs.google.com/spreadsheets/d/14Bd19lYaqBhU8_DElYkX7l4wRkHqqCUFNJY4AfY3kHU/edit?usp=sharing  #gid=0"",""фіз особи new!relations_name""),6,FALSE)
,
(IF
(
C4264=""юридична особа""
,
VLOOKUP"&amp;"(D4264,IMPORTRANGE(""https://docs.google.com/spreadsheets/d/14Bd19lYaqBhU8_DElYkX7l4wRkHqqCUFNJY4AfY3kHU/edit?usp=sharing  #gid=0"",""фіз особи new!relations_name_uo""),7,FALSE)
,
)
))"),"МІШУСТІНА Луїза Михайлівна")</f>
        <v>МІШУСТІНА Луїза Михайлівна</v>
      </c>
      <c r="G4263" s="7" t="s">
        <v>10</v>
      </c>
      <c r="H4263" s="7">
        <v>460</v>
      </c>
      <c r="I4263" s="8" t="str">
        <f ca="1">IFERROR(__xludf.DUMMYFUNCTION("IF
(
G4264=""фізична особа""
,
VLOOKUP(H4264,IMPORTRANGE(""https://docs.google.com/spreadsheets/d/14Bd19lYaqBhU8_DElYkX7l4wRkHqqCUFNJY4AfY3kHU/edit?usp=sharing  #gid=0"",""фіз особи new!relations_name""),6,FALSE)
,
(IF
(
G4264=""юридична особа""
,
VLOOKUP"&amp;"(H4264,IMPORTRANGE(""https://docs.google.com/spreadsheets/d/14Bd19lYaqBhU8_DElYkX7l4wRkHqqCUFNJY4AfY3kHU/edit?usp=sharing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3" s="7" t="s">
        <v>17</v>
      </c>
    </row>
    <row r="4264" spans="1:10" ht="13.2">
      <c r="A4264" s="7">
        <v>4263</v>
      </c>
      <c r="B4264" s="7">
        <v>1</v>
      </c>
      <c r="C4264" s="7" t="s">
        <v>10</v>
      </c>
      <c r="D4264" s="7">
        <v>2894</v>
      </c>
      <c r="E4264" s="7" t="s">
        <v>17</v>
      </c>
      <c r="F4264" s="8" t="str">
        <f ca="1">IFERROR(__xludf.DUMMYFUNCTION("IF
(
C4265=""фізична особа""
,
VLOOKUP(D4265,IMPORTRANGE(""https://docs.google.com/spreadsheets/d/14Bd19lYaqBhU8_DElYkX7l4wRkHqqCUFNJY4AfY3kHU/edit?usp=sharing  #gid=0"",""фіз особи new!relations_name""),6,FALSE)
,
(IF
(
C4265=""юридична особа""
,
VLOOKUP"&amp;"(D4265,IMPORTRANGE(""https://docs.google.com/spreadsheets/d/14Bd19lYaqBhU8_DElYkX7l4wRkHqqCUFNJY4AfY3kHU/edit?usp=sharing  #gid=0"",""фіз особи new!relations_name_uo""),7,FALSE)
,
)
))"),"МІШУСТІН Олександр Михайлович")</f>
        <v>МІШУСТІН Олександр Михайлович</v>
      </c>
      <c r="G4264" s="7" t="s">
        <v>10</v>
      </c>
      <c r="H4264" s="7">
        <v>460</v>
      </c>
      <c r="I4264" s="8" t="str">
        <f ca="1">IFERROR(__xludf.DUMMYFUNCTION("IF
(
G4265=""фізична особа""
,
VLOOKUP(H4265,IMPORTRANGE(""https://docs.google.com/spreadsheets/d/14Bd19lYaqBhU8_DElYkX7l4wRkHqqCUFNJY4AfY3kHU/edit?usp=sharing  #gid=0"",""фіз особи new!relations_name""),6,FALSE)
,
(IF
(
G4265=""юридична особа""
,
VLOOKUP"&amp;"(H4265,IMPORTRANGE(""https://docs.google.com/spreadsheets/d/14Bd19lYaqBhU8_DElYkX7l4wRkHqqCUFNJY4AfY3kHU/edit?usp=sharing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4" s="7" t="s">
        <v>12</v>
      </c>
    </row>
    <row r="4265" spans="1:10" ht="13.2">
      <c r="A4265" s="7">
        <v>4264</v>
      </c>
      <c r="B4265" s="7">
        <v>1</v>
      </c>
      <c r="C4265" s="7" t="s">
        <v>10</v>
      </c>
      <c r="D4265" s="7">
        <v>2895</v>
      </c>
      <c r="E4265" s="7" t="s">
        <v>17</v>
      </c>
      <c r="F4265" s="8" t="str">
        <f ca="1">IFERROR(__xludf.DUMMYFUNCTION("IF
(
C4266=""фізична особа""
,
VLOOKUP(D4266,IMPORTRANGE(""https://docs.google.com/spreadsheets/d/14Bd19lYaqBhU8_DElYkX7l4wRkHqqCUFNJY4AfY3kHU/edit?usp=sharing  #gid=0"",""фіз особи new!relations_name""),6,FALSE)
,
(IF
(
C4266=""юридична особа""
,
VLOOKUP"&amp;"(D4266,IMPORTRANGE(""https://docs.google.com/spreadsheets/d/14Bd19lYaqBhU8_DElYkX7l4wRkHqqCUFNJY4AfY3kHU/edit?usp=sharing  #gid=0"",""фіз особи new!relations_name_uo""),7,FALSE)
,
)
))"),"МІШУСТІН Олексій Михайлович")</f>
        <v>МІШУСТІН Олексій Михайлович</v>
      </c>
      <c r="G4265" s="7" t="s">
        <v>10</v>
      </c>
      <c r="H4265" s="7">
        <v>460</v>
      </c>
      <c r="I4265" s="8" t="str">
        <f ca="1">IFERROR(__xludf.DUMMYFUNCTION("IF
(
G4266=""фізична особа""
,
VLOOKUP(H4266,IMPORTRANGE(""https://docs.google.com/spreadsheets/d/14Bd19lYaqBhU8_DElYkX7l4wRkHqqCUFNJY4AfY3kHU/edit?usp=sharing  #gid=0"",""фіз особи new!relations_name""),6,FALSE)
,
(IF
(
G4266=""юридична особа""
,
VLOOKUP"&amp;"(H4266,IMPORTRANGE(""https://docs.google.com/spreadsheets/d/14Bd19lYaqBhU8_DElYkX7l4wRkHqqCUFNJY4AfY3kHU/edit?usp=sharing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5" s="7" t="s">
        <v>12</v>
      </c>
    </row>
    <row r="4266" spans="1:10" ht="13.2">
      <c r="A4266" s="7">
        <v>4265</v>
      </c>
      <c r="B4266" s="7">
        <v>1</v>
      </c>
      <c r="C4266" s="7" t="s">
        <v>10</v>
      </c>
      <c r="D4266" s="7">
        <v>2896</v>
      </c>
      <c r="E4266" s="7" t="s">
        <v>17</v>
      </c>
      <c r="F4266" s="8" t="str">
        <f ca="1">IFERROR(__xludf.DUMMYFUNCTION("IF
(
C4267=""фізична особа""
,
VLOOKUP(D4267,IMPORTRANGE(""https://docs.google.com/spreadsheets/d/14Bd19lYaqBhU8_DElYkX7l4wRkHqqCUFNJY4AfY3kHU/edit?usp=sharing  #gid=0"",""фіз особи new!relations_name""),6,FALSE)
,
(IF
(
C4267=""юридична особа""
,
VLOOKUP"&amp;"(D4267,IMPORTRANGE(""https://docs.google.com/spreadsheets/d/14Bd19lYaqBhU8_DElYkX7l4wRkHqqCUFNJY4AfY3kHU/edit?usp=sharing  #gid=0"",""фіз особи new!relations_name_uo""),7,FALSE)
,
)
))"),"МІШУСТІН Михайло Михайлович")</f>
        <v>МІШУСТІН Михайло Михайлович</v>
      </c>
      <c r="G4266" s="7" t="s">
        <v>10</v>
      </c>
      <c r="H4266" s="7">
        <v>460</v>
      </c>
      <c r="I4266" s="8" t="str">
        <f ca="1">IFERROR(__xludf.DUMMYFUNCTION("IF
(
G4267=""фізична особа""
,
VLOOKUP(H4267,IMPORTRANGE(""https://docs.google.com/spreadsheets/d/14Bd19lYaqBhU8_DElYkX7l4wRkHqqCUFNJY4AfY3kHU/edit?usp=sharing  #gid=0"",""фіз особи new!relations_name""),6,FALSE)
,
(IF
(
G4267=""юридична особа""
,
VLOOKUP"&amp;"(H4267,IMPORTRANGE(""https://docs.google.com/spreadsheets/d/14Bd19lYaqBhU8_DElYkX7l4wRkHqqCUFNJY4AfY3kHU/edit?usp=sharing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6" s="7" t="s">
        <v>12</v>
      </c>
    </row>
    <row r="4267" spans="1:10" ht="13.2">
      <c r="A4267" s="7">
        <v>4266</v>
      </c>
      <c r="B4267" s="7">
        <v>1</v>
      </c>
      <c r="C4267" s="7" t="s">
        <v>10</v>
      </c>
      <c r="D4267" s="7">
        <v>2897</v>
      </c>
      <c r="E4267" s="7" t="s">
        <v>24</v>
      </c>
      <c r="F4267" s="8" t="str">
        <f ca="1">IFERROR(__xludf.DUMMYFUNCTION("IF
(
C4268=""фізична особа""
,
VLOOKUP(D4268,IMPORTRANGE(""https://docs.google.com/spreadsheets/d/14Bd19lYaqBhU8_DElYkX7l4wRkHqqCUFNJY4AfY3kHU/edit?usp=sharing  #gid=0"",""фіз особи new!relations_name""),6,FALSE)
,
(IF
(
C4268=""юридична особа""
,
VLOOKUP"&amp;"(D4268,IMPORTRANGE(""https://docs.google.com/spreadsheets/d/14Bd19lYaqBhU8_DElYkX7l4wRkHqqCUFNJY4AfY3kHU/edit?usp=sharing  #gid=0"",""фіз особи new!relations_name_uo""),7,FALSE)
,
)
))"),"РАЗИНОВ Юрій Іванович")</f>
        <v>РАЗИНОВ Юрій Іванович</v>
      </c>
      <c r="G4267" s="7" t="s">
        <v>10</v>
      </c>
      <c r="H4267" s="7">
        <v>460</v>
      </c>
      <c r="I4267" s="8" t="str">
        <f ca="1">IFERROR(__xludf.DUMMYFUNCTION("IF
(
G4268=""фізична особа""
,
VLOOKUP(H4268,IMPORTRANGE(""https://docs.google.com/spreadsheets/d/14Bd19lYaqBhU8_DElYkX7l4wRkHqqCUFNJY4AfY3kHU/edit?usp=sharing  #gid=0"",""фіз особи new!relations_name""),6,FALSE)
,
(IF
(
G4268=""юридична особа""
,
VLOOKUP"&amp;"(H4268,IMPORTRANGE(""https://docs.google.com/spreadsheets/d/14Bd19lYaqBhU8_DElYkX7l4wRkHqqCUFNJY4AfY3kHU/edit?usp=sharing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7" s="7" t="s">
        <v>26</v>
      </c>
    </row>
    <row r="4268" spans="1:10" ht="13.2">
      <c r="A4268" s="7">
        <v>4267</v>
      </c>
      <c r="B4268" s="7">
        <v>1</v>
      </c>
      <c r="C4268" s="7" t="s">
        <v>10</v>
      </c>
      <c r="D4268" s="7">
        <v>2898</v>
      </c>
      <c r="E4268" s="7" t="s">
        <v>20</v>
      </c>
      <c r="F4268" s="8" t="str">
        <f ca="1">IFERROR(__xludf.DUMMYFUNCTION("IF
(
C4269=""фізична особа""
,
VLOOKUP(D4269,IMPORTRANGE(""https://docs.google.com/spreadsheets/d/14Bd19lYaqBhU8_DElYkX7l4wRkHqqCUFNJY4AfY3kHU/edit?usp=sharing  #gid=0"",""фіз особи new!relations_name""),6,FALSE)
,
(IF
(
C4269=""юридична особа""
,
VLOOKUP"&amp;"(D4269,IMPORTRANGE(""https://docs.google.com/spreadsheets/d/14Bd19lYaqBhU8_DElYkX7l4wRkHqqCUFNJY4AfY3kHU/edit?usp=sharing  #gid=0"",""фіз особи new!relations_name_uo""),7,FALSE)
,
)
))"),"СТЄНІН Михайло Сергійович")</f>
        <v>СТЄНІН Михайло Сергійович</v>
      </c>
      <c r="G4268" s="7" t="s">
        <v>10</v>
      </c>
      <c r="H4268" s="7">
        <v>460</v>
      </c>
      <c r="I4268" s="8" t="str">
        <f ca="1">IFERROR(__xludf.DUMMYFUNCTION("IF
(
G4269=""фізична особа""
,
VLOOKUP(H4269,IMPORTRANGE(""https://docs.google.com/spreadsheets/d/14Bd19lYaqBhU8_DElYkX7l4wRkHqqCUFNJY4AfY3kHU/edit?usp=sharing  #gid=0"",""фіз особи new!relations_name""),6,FALSE)
,
(IF
(
G4269=""юридична особа""
,
VLOOKUP"&amp;"(H4269,IMPORTRANGE(""https://docs.google.com/spreadsheets/d/14Bd19lYaqBhU8_DElYkX7l4wRkHqqCUFNJY4AfY3kHU/edit?usp=sharing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68" s="7" t="s">
        <v>19</v>
      </c>
    </row>
    <row r="4269" spans="1:10" ht="13.2">
      <c r="A4269" s="7">
        <v>4268</v>
      </c>
      <c r="B4269" s="7">
        <v>1</v>
      </c>
      <c r="C4269" s="7" t="s">
        <v>10</v>
      </c>
      <c r="D4269" s="7">
        <v>2898</v>
      </c>
      <c r="E4269" s="7" t="s">
        <v>30</v>
      </c>
      <c r="F4269" s="8" t="str">
        <f ca="1">IFERROR(__xludf.DUMMYFUNCTION("IF
(
C4270=""фізична особа""
,
VLOOKUP(D4270,IMPORTRANGE(""https://docs.google.com/spreadsheets/d/14Bd19lYaqBhU8_DElYkX7l4wRkHqqCUFNJY4AfY3kHU/edit?usp=sharing  #gid=0"",""фіз особи new!relations_name""),6,FALSE)
,
(IF
(
C4270=""юридична особа""
,
VLOOKUP"&amp;"(D4270,IMPORTRANGE(""https://docs.google.com/spreadsheets/d/14Bd19lYaqBhU8_DElYkX7l4wRkHqqCUFNJY4AfY3kHU/edit?usp=sharing  #gid=0"",""фіз особи new!relations_name_uo""),7,FALSE)
,
)
))"),"СТЄНІН Михайло Сергійович")</f>
        <v>СТЄНІН Михайло Сергійович</v>
      </c>
      <c r="G4269" s="7" t="s">
        <v>10</v>
      </c>
      <c r="H4269" s="7">
        <v>0</v>
      </c>
      <c r="I4269" s="8" t="str">
        <f ca="1">IFERROR(__xludf.DUMMYFUNCTION("IF
(
G4270=""фізична особа""
,
VLOOKUP(H4270,IMPORTRANGE(""https://docs.google.com/spreadsheets/d/14Bd19lYaqBhU8_DElYkX7l4wRkHqqCUFNJY4AfY3kHU/edit?usp=sharing  #gid=0"",""фіз особи new!relations_name""),6,FALSE)
,
(IF
(
G4270=""юридична особа""
,
VLOOKUP"&amp;"(H4270,IMPORTRANGE(""https://docs.google.com/spreadsheets/d/14Bd19lYaqBhU8_DElYkX7l4wRkHqqCUFNJY4AfY3kHU/edit?usp=sharing  #gid=0"",""фіз особи new!relations_name_uo""),7,FALSE)
,
)
))"),"#N/A")</f>
        <v>#N/A</v>
      </c>
      <c r="J4269" s="7" t="s">
        <v>30</v>
      </c>
    </row>
    <row r="4270" spans="1:10" ht="13.2">
      <c r="A4270" s="7">
        <v>4269</v>
      </c>
      <c r="B4270" s="7">
        <v>1</v>
      </c>
      <c r="C4270" s="7" t="s">
        <v>10</v>
      </c>
      <c r="D4270" s="7">
        <v>2899</v>
      </c>
      <c r="E4270" s="7" t="s">
        <v>22</v>
      </c>
      <c r="F4270" s="8" t="str">
        <f ca="1">IFERROR(__xludf.DUMMYFUNCTION("IF
(
C4271=""фізична особа""
,
VLOOKUP(D4271,IMPORTRANGE(""https://docs.google.com/spreadsheets/d/14Bd19lYaqBhU8_DElYkX7l4wRkHqqCUFNJY4AfY3kHU/edit?usp=sharing  #gid=0"",""фіз особи new!relations_name""),6,FALSE)
,
(IF
(
C4271=""юридична особа""
,
VLOOKUP"&amp;"(D4271,IMPORTRANGE(""https://docs.google.com/spreadsheets/d/14Bd19lYaqBhU8_DElYkX7l4wRkHqqCUFNJY4AfY3kHU/edit?usp=sharing  #gid=0"",""фіз особи new!relations_name_uo""),7,FALSE)
,
)
))"),"СТЄНІНА Соф'я Сергіївна")</f>
        <v>СТЄНІНА Соф'я Сергіївна</v>
      </c>
      <c r="G4270" s="7" t="s">
        <v>10</v>
      </c>
      <c r="H4270" s="7">
        <v>460</v>
      </c>
      <c r="I4270" s="8" t="str">
        <f ca="1">IFERROR(__xludf.DUMMYFUNCTION("IF
(
G4271=""фізична особа""
,
VLOOKUP(H4271,IMPORTRANGE(""https://docs.google.com/spreadsheets/d/14Bd19lYaqBhU8_DElYkX7l4wRkHqqCUFNJY4AfY3kHU/edit?usp=sharing  #gid=0"",""фіз особи new!relations_name""),6,FALSE)
,
(IF
(
G4271=""юридична особа""
,
VLOOKUP"&amp;"(H4271,IMPORTRANGE(""https://docs.google.com/spreadsheets/d/14Bd19lYaqBhU8_DElYkX7l4wRkHqqCUFNJY4AfY3kHU/edit?usp=sharing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70" s="7" t="s">
        <v>19</v>
      </c>
    </row>
    <row r="4271" spans="1:10" ht="13.2">
      <c r="A4271" s="7">
        <v>4270</v>
      </c>
      <c r="B4271" s="7">
        <v>1</v>
      </c>
      <c r="C4271" s="7" t="s">
        <v>10</v>
      </c>
      <c r="D4271" s="7">
        <v>2900</v>
      </c>
      <c r="E4271" s="7" t="s">
        <v>31</v>
      </c>
      <c r="F4271" s="8" t="str">
        <f ca="1">IFERROR(__xludf.DUMMYFUNCTION("IF
(
C4272=""фізична особа""
,
VLOOKUP(D4272,IMPORTRANGE(""https://docs.google.com/spreadsheets/d/14Bd19lYaqBhU8_DElYkX7l4wRkHqqCUFNJY4AfY3kHU/edit?usp=sharing  #gid=0"",""фіз особи new!relations_name""),6,FALSE)
,
(IF
(
C4272=""юридична особа""
,
VLOOKUP"&amp;"(D4272,IMPORTRANGE(""https://docs.google.com/spreadsheets/d/14Bd19lYaqBhU8_DElYkX7l4wRkHqqCUFNJY4AfY3kHU/edit?usp=sharing  #gid=0"",""фіз особи new!relations_name_uo""),7,FALSE)
,
)
))"),"СТЄНІНА Наталя Володимирівна")</f>
        <v>СТЄНІНА Наталя Володимирівна</v>
      </c>
      <c r="G4271" s="7" t="s">
        <v>10</v>
      </c>
      <c r="H4271" s="7">
        <v>460</v>
      </c>
      <c r="I4271" s="8" t="str">
        <f ca="1">IFERROR(__xludf.DUMMYFUNCTION("IF
(
G4272=""фізична особа""
,
VLOOKUP(H4272,IMPORTRANGE(""https://docs.google.com/spreadsheets/d/14Bd19lYaqBhU8_DElYkX7l4wRkHqqCUFNJY4AfY3kHU/edit?usp=sharing  #gid=0"",""фіз особи new!relations_name""),6,FALSE)
,
(IF
(
G4272=""юридична особа""
,
VLOOKUP"&amp;"(H4272,IMPORTRANGE(""https://docs.google.com/spreadsheets/d/14Bd19lYaqBhU8_DElYkX7l4wRkHqqCUFNJY4AfY3kHU/edit?usp=sharing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71" s="7" t="s">
        <v>18</v>
      </c>
    </row>
    <row r="4272" spans="1:10" ht="13.2">
      <c r="A4272" s="7">
        <v>4271</v>
      </c>
      <c r="B4272" s="7">
        <v>1</v>
      </c>
      <c r="C4272" s="7" t="s">
        <v>10</v>
      </c>
      <c r="D4272" s="7">
        <v>2901</v>
      </c>
      <c r="E4272" s="7" t="s">
        <v>15</v>
      </c>
      <c r="F4272" s="8" t="str">
        <f ca="1">IFERROR(__xludf.DUMMYFUNCTION("IF
(
C4273=""фізична особа""
,
VLOOKUP(D4273,IMPORTRANGE(""https://docs.google.com/spreadsheets/d/14Bd19lYaqBhU8_DElYkX7l4wRkHqqCUFNJY4AfY3kHU/edit?usp=sharing  #gid=0"",""фіз особи new!relations_name""),6,FALSE)
,
(IF
(
C4273=""юридична особа""
,
VLOOKUP"&amp;"(D4273,IMPORTRANGE(""https://docs.google.com/spreadsheets/d/14Bd19lYaqBhU8_DElYkX7l4wRkHqqCUFNJY4AfY3kHU/edit?usp=sharing  #gid=0"",""фіз особи new!relations_name_uo""),7,FALSE)
,
)
))"),"Мішустіна / Разінова Владлена Юріївна")</f>
        <v>Мішустіна / Разінова Владлена Юріївна</v>
      </c>
      <c r="G4272" s="7" t="s">
        <v>10</v>
      </c>
      <c r="H4272" s="7">
        <v>460</v>
      </c>
      <c r="I4272" s="8" t="str">
        <f ca="1">IFERROR(__xludf.DUMMYFUNCTION("IF
(
G4273=""фізична особа""
,
VLOOKUP(H4273,IMPORTRANGE(""https://docs.google.com/spreadsheets/d/14Bd19lYaqBhU8_DElYkX7l4wRkHqqCUFNJY4AfY3kHU/edit?usp=sharing  #gid=0"",""фіз особи new!relations_name""),6,FALSE)
,
(IF
(
G4273=""юридична особа""
,
VLOOKUP"&amp;"(H4273,IMPORTRANGE(""https://docs.google.com/spreadsheets/d/14Bd19lYaqBhU8_DElYkX7l4wRkHqqCUFNJY4AfY3kHU/edit?usp=sharing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72" s="7" t="s">
        <v>14</v>
      </c>
    </row>
    <row r="4273" spans="1:10" ht="13.2">
      <c r="A4273" s="7">
        <v>4272</v>
      </c>
      <c r="B4273" s="7">
        <v>1</v>
      </c>
      <c r="C4273" s="7" t="s">
        <v>10</v>
      </c>
      <c r="D4273" s="7">
        <v>2902</v>
      </c>
      <c r="E4273" s="7" t="s">
        <v>15</v>
      </c>
      <c r="F4273" s="8" t="str">
        <f ca="1">IFERROR(__xludf.DUMMYFUNCTION("IF
(
C4274=""фізична особа""
,
VLOOKUP(D4274,IMPORTRANGE(""https://docs.google.com/spreadsheets/d/14Bd19lYaqBhU8_DElYkX7l4wRkHqqCUFNJY4AfY3kHU/edit?usp=sharing  #gid=0"",""фіз особи new!relations_name""),6,FALSE)
,
(IF
(
C4274=""юридична особа""
,
VLOOKUP"&amp;"(D4274,IMPORTRANGE(""https://docs.google.com/spreadsheets/d/14Bd19lYaqBhU8_DElYkX7l4wRkHqqCUFNJY4AfY3kHU/edit?usp=sharing  #gid=0"",""фіз особи new!relations_name_uo""),7,FALSE)
,
)
))"),"ЧЕРНИШЕНКО Тетяна Львівна")</f>
        <v>ЧЕРНИШЕНКО Тетяна Львівна</v>
      </c>
      <c r="G4273" s="7" t="s">
        <v>10</v>
      </c>
      <c r="H4273" s="7">
        <v>197</v>
      </c>
      <c r="I4273" s="8" t="str">
        <f ca="1">IFERROR(__xludf.DUMMYFUNCTION("IF
(
G4274=""фізична особа""
,
VLOOKUP(H4274,IMPORTRANGE(""https://docs.google.com/spreadsheets/d/14Bd19lYaqBhU8_DElYkX7l4wRkHqqCUFNJY4AfY3kHU/edit?usp=sharing  #gid=0"",""фіз особи new!relations_name""),6,FALSE)
,
(IF
(
G4274=""юридична особа""
,
VLOOKUP"&amp;"(H4274,IMPORTRANGE(""https://docs.google.com/spreadsheets/d/14Bd19lYaqBhU8_DElYkX7l4wRkHqqCUFNJY4AfY3kHU/edit?usp=sharing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J4273" s="7" t="s">
        <v>14</v>
      </c>
    </row>
    <row r="4274" spans="1:10" ht="13.2">
      <c r="A4274" s="7">
        <v>4273</v>
      </c>
      <c r="B4274" s="7">
        <v>1</v>
      </c>
      <c r="C4274" s="7" t="s">
        <v>10</v>
      </c>
      <c r="D4274" s="7">
        <v>2902</v>
      </c>
      <c r="E4274" s="7" t="s">
        <v>99</v>
      </c>
      <c r="F4274" s="8" t="str">
        <f ca="1">IFERROR(__xludf.DUMMYFUNCTION("IF
(
C4275=""фізична особа""
,
VLOOKUP(D4275,IMPORTRANGE(""https://docs.google.com/spreadsheets/d/14Bd19lYaqBhU8_DElYkX7l4wRkHqqCUFNJY4AfY3kHU/edit?usp=sharing  #gid=0"",""фіз особи new!relations_name""),6,FALSE)
,
(IF
(
C4275=""юридична особа""
,
VLOOKUP"&amp;"(D4275,IMPORTRANGE(""https://docs.google.com/spreadsheets/d/14Bd19lYaqBhU8_DElYkX7l4wRkHqqCUFNJY4AfY3kHU/edit?usp=sharing  #gid=0"",""фіз особи new!relations_name_uo""),7,FALSE)
,
)
))"),"ЧЕРНИШЕНКО Тетяна Львівна")</f>
        <v>ЧЕРНИШЕНКО Тетяна Львівна</v>
      </c>
      <c r="G4274" s="7" t="s">
        <v>10</v>
      </c>
      <c r="H4274" s="7">
        <v>460</v>
      </c>
      <c r="I4274" s="8" t="str">
        <f ca="1">IFERROR(__xludf.DUMMYFUNCTION("IF
(
G4275=""фізична особа""
,
VLOOKUP(H4275,IMPORTRANGE(""https://docs.google.com/spreadsheets/d/14Bd19lYaqBhU8_DElYkX7l4wRkHqqCUFNJY4AfY3kHU/edit?usp=sharing  #gid=0"",""фіз особи new!relations_name""),6,FALSE)
,
(IF
(
G4275=""юридична особа""
,
VLOOKUP"&amp;"(H4275,IMPORTRANGE(""https://docs.google.com/spreadsheets/d/14Bd19lYaqBhU8_DElYkX7l4wRkHqqCUFNJY4AfY3kHU/edit?usp=sharing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274" s="7" t="s">
        <v>29</v>
      </c>
    </row>
    <row r="4275" spans="1:10" ht="13.2">
      <c r="A4275" s="7">
        <v>4274</v>
      </c>
      <c r="B4275" s="7">
        <v>1</v>
      </c>
      <c r="C4275" s="7" t="s">
        <v>10</v>
      </c>
      <c r="D4275" s="7">
        <v>2903</v>
      </c>
      <c r="E4275" s="7" t="s">
        <v>15</v>
      </c>
      <c r="F4275" s="8" t="str">
        <f ca="1">IFERROR(__xludf.DUMMYFUNCTION("IF
(
C4276=""фізична особа""
,
VLOOKUP(D4276,IMPORTRANGE(""https://docs.google.com/spreadsheets/d/14Bd19lYaqBhU8_DElYkX7l4wRkHqqCUFNJY4AfY3kHU/edit?usp=sharing  #gid=0"",""фіз особи new!relations_name""),6,FALSE)
,
(IF
(
C4276=""юридична особа""
,
VLOOKUP"&amp;"(D4276,IMPORTRANGE(""https://docs.google.com/spreadsheets/d/14Bd19lYaqBhU8_DElYkX7l4wRkHqqCUFNJY4AfY3kHU/edit?usp=sharing  #gid=0"",""фіз особи new!relations_name_uo""),7,FALSE)
,
)
))"),"ОВЕРЧУК Лариса Василівна")</f>
        <v>ОВЕРЧУК Лариса Василівна</v>
      </c>
      <c r="G4275" s="7" t="s">
        <v>10</v>
      </c>
      <c r="H4275" s="7">
        <v>2886</v>
      </c>
      <c r="I4275" s="8" t="str">
        <f ca="1">IFERROR(__xludf.DUMMYFUNCTION("IF
(
G4276=""фізична особа""
,
VLOOKUP(H4276,IMPORTRANGE(""https://docs.google.com/spreadsheets/d/14Bd19lYaqBhU8_DElYkX7l4wRkHqqCUFNJY4AfY3kHU/edit?usp=sharing  #gid=0"",""фіз особи new!relations_name""),6,FALSE)
,
(IF
(
G4276=""юридична особа""
,
VLOOKUP"&amp;"(H4276,IMPORTRANGE(""https://docs.google.com/spreadsheets/d/14Bd19lYaqBhU8_DElYkX7l4wRkHqqCUFNJY4AfY3kHU/edit?usp=sharing  #gid=0"",""фіз особи new!relations_name_uo""),7,FALSE)
,
)
))"),"ОВЕРЧУК Олексій Логвинович")</f>
        <v>ОВЕРЧУК Олексій Логвинович</v>
      </c>
      <c r="J4275" s="7" t="s">
        <v>14</v>
      </c>
    </row>
    <row r="4276" spans="1:10" ht="13.2">
      <c r="A4276" s="7">
        <v>4275</v>
      </c>
      <c r="B4276" s="7">
        <v>1</v>
      </c>
      <c r="C4276" s="7" t="s">
        <v>10</v>
      </c>
      <c r="D4276" s="7">
        <v>2904</v>
      </c>
      <c r="E4276" s="7" t="s">
        <v>18</v>
      </c>
      <c r="F4276" s="8" t="str">
        <f ca="1">IFERROR(__xludf.DUMMYFUNCTION("IF
(
C4277=""фізична особа""
,
VLOOKUP(D4277,IMPORTRANGE(""https://docs.google.com/spreadsheets/d/14Bd19lYaqBhU8_DElYkX7l4wRkHqqCUFNJY4AfY3kHU/edit?usp=sharing  #gid=0"",""фіз особи new!relations_name""),6,FALSE)
,
(IF
(
C4277=""юридична особа""
,
VLOOKUP"&amp;"(D4277,IMPORTRANGE(""https://docs.google.com/spreadsheets/d/14Bd19lYaqBhU8_DElYkX7l4wRkHqqCUFNJY4AfY3kHU/edit?usp=sharing  #gid=0"",""фіз особи new!relations_name_uo""),7,FALSE)
,
)
))"),"ОВЕРЧУК Олександр Логвинович")</f>
        <v>ОВЕРЧУК Олександр Логвинович</v>
      </c>
      <c r="G4276" s="7" t="s">
        <v>10</v>
      </c>
      <c r="H4276" s="7">
        <v>2886</v>
      </c>
      <c r="I4276" s="8" t="str">
        <f ca="1">IFERROR(__xludf.DUMMYFUNCTION("IF
(
G4277=""фізична особа""
,
VLOOKUP(H4277,IMPORTRANGE(""https://docs.google.com/spreadsheets/d/14Bd19lYaqBhU8_DElYkX7l4wRkHqqCUFNJY4AfY3kHU/edit?usp=sharing  #gid=0"",""фіз особи new!relations_name""),6,FALSE)
,
(IF
(
G4277=""юридична особа""
,
VLOOKUP"&amp;"(H4277,IMPORTRANGE(""https://docs.google.com/spreadsheets/d/14Bd19lYaqBhU8_DElYkX7l4wRkHqqCUFNJY4AfY3kHU/edit?usp=sharing  #gid=0"",""фіз особи new!relations_name_uo""),7,FALSE)
,
)
))"),"ОВЕРЧУК Олексій Логвинович")</f>
        <v>ОВЕРЧУК Олексій Логвинович</v>
      </c>
      <c r="J4276" s="7" t="s">
        <v>18</v>
      </c>
    </row>
    <row r="4277" spans="1:10" ht="13.2">
      <c r="A4277" s="7">
        <v>4276</v>
      </c>
      <c r="B4277" s="7">
        <v>1</v>
      </c>
      <c r="C4277" s="7" t="s">
        <v>10</v>
      </c>
      <c r="D4277" s="7">
        <v>2905</v>
      </c>
      <c r="E4277" s="7" t="s">
        <v>14</v>
      </c>
      <c r="F4277" s="8" t="str">
        <f ca="1">IFERROR(__xludf.DUMMYFUNCTION("IF
(
C4278=""фізична особа""
,
VLOOKUP(D4278,IMPORTRANGE(""https://docs.google.com/spreadsheets/d/14Bd19lYaqBhU8_DElYkX7l4wRkHqqCUFNJY4AfY3kHU/edit?usp=sharing  #gid=0"",""фіз особи new!relations_name""),6,FALSE)
,
(IF
(
C4278=""юридична особа""
,
VLOOKUP"&amp;"(D4278,IMPORTRANGE(""https://docs.google.com/spreadsheets/d/14Bd19lYaqBhU8_DElYkX7l4wRkHqqCUFNJY4AfY3kHU/edit?usp=sharing  #gid=0"",""фіз особи new!relations_name_uo""),7,FALSE)
,
)
))"),"ПОГОРЄЛОВ Ігор Анатолійович")</f>
        <v>ПОГОРЄЛОВ Ігор Анатолійович</v>
      </c>
      <c r="G4277" s="7" t="s">
        <v>10</v>
      </c>
      <c r="H4277" s="7">
        <v>2882</v>
      </c>
      <c r="I4277" s="8" t="str">
        <f ca="1">IFERROR(__xludf.DUMMYFUNCTION("IF
(
G4278=""фізична особа""
,
VLOOKUP(H4278,IMPORTRANGE(""https://docs.google.com/spreadsheets/d/14Bd19lYaqBhU8_DElYkX7l4wRkHqqCUFNJY4AfY3kHU/edit?usp=sharing  #gid=0"",""фіз особи new!relations_name""),6,FALSE)
,
(IF
(
G4278=""юридична особа""
,
VLOOKUP"&amp;"(H4278,IMPORTRANGE(""https://docs.google.com/spreadsheets/d/14Bd19lYaqBhU8_DElYkX7l4wRkHqqCUFNJY4AfY3kHU/edit?usp=sharing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J4277" s="7" t="s">
        <v>15</v>
      </c>
    </row>
    <row r="4278" spans="1:10" ht="13.2">
      <c r="A4278" s="7">
        <v>4277</v>
      </c>
      <c r="B4278" s="7">
        <v>1</v>
      </c>
      <c r="C4278" s="7" t="s">
        <v>10</v>
      </c>
      <c r="D4278" s="7">
        <v>2906</v>
      </c>
      <c r="E4278" s="7" t="s">
        <v>15</v>
      </c>
      <c r="F4278" s="8" t="str">
        <f ca="1">IFERROR(__xludf.DUMMYFUNCTION("IF
(
C4279=""фізична особа""
,
VLOOKUP(D4279,IMPORTRANGE(""https://docs.google.com/spreadsheets/d/14Bd19lYaqBhU8_DElYkX7l4wRkHqqCUFNJY4AfY3kHU/edit?usp=sharing  #gid=0"",""фіз особи new!relations_name""),6,FALSE)
,
(IF
(
C4279=""юридична особа""
,
VLOOKUP"&amp;"(D4279,IMPORTRANGE(""https://docs.google.com/spreadsheets/d/14Bd19lYaqBhU8_DElYkX7l4wRkHqqCUFNJY4AfY3kHU/edit?usp=sharing  #gid=0"",""фіз особи new!relations_name_uo""),7,FALSE)
,
)
))"),"БОРИСОВА Тетяна Василівна")</f>
        <v>БОРИСОВА Тетяна Василівна</v>
      </c>
      <c r="G4278" s="7" t="s">
        <v>10</v>
      </c>
      <c r="H4278" s="7">
        <v>2883</v>
      </c>
      <c r="I4278" s="8" t="str">
        <f ca="1">IFERROR(__xludf.DUMMYFUNCTION("IF
(
G4279=""фізична особа""
,
VLOOKUP(H4279,IMPORTRANGE(""https://docs.google.com/spreadsheets/d/14Bd19lYaqBhU8_DElYkX7l4wRkHqqCUFNJY4AfY3kHU/edit?usp=sharing  #gid=0"",""фіз особи new!relations_name""),6,FALSE)
,
(IF
(
G4279=""юридична особа""
,
VLOOKUP"&amp;"(H4279,IMPORTRANGE(""https://docs.google.com/spreadsheets/d/14Bd19lYaqBhU8_DElYkX7l4wRkHqqCUFNJY4AfY3kHU/edit?usp=sharing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J4278" s="7" t="s">
        <v>14</v>
      </c>
    </row>
    <row r="4279" spans="1:10" ht="13.2">
      <c r="A4279" s="7">
        <v>4278</v>
      </c>
      <c r="B4279" s="7">
        <v>1</v>
      </c>
      <c r="C4279" s="7" t="s">
        <v>10</v>
      </c>
      <c r="D4279" s="7">
        <v>2907</v>
      </c>
      <c r="E4279" s="7" t="s">
        <v>17</v>
      </c>
      <c r="F4279" s="8" t="str">
        <f ca="1">IFERROR(__xludf.DUMMYFUNCTION("IF
(
C4280=""фізична особа""
,
VLOOKUP(D4280,IMPORTRANGE(""https://docs.google.com/spreadsheets/d/14Bd19lYaqBhU8_DElYkX7l4wRkHqqCUFNJY4AfY3kHU/edit?usp=sharing  #gid=0"",""фіз особи new!relations_name""),6,FALSE)
,
(IF
(
C4280=""юридична особа""
,
VLOOKUP"&amp;"(D4280,IMPORTRANGE(""https://docs.google.com/spreadsheets/d/14Bd19lYaqBhU8_DElYkX7l4wRkHqqCUFNJY4AfY3kHU/edit?usp=sharing  #gid=0"",""фіз особи new!relations_name_uo""),7,FALSE)
,
)
))"),"БОРИСОВ Олександр Юрійович")</f>
        <v>БОРИСОВ Олександр Юрійович</v>
      </c>
      <c r="G4279" s="7" t="s">
        <v>10</v>
      </c>
      <c r="H4279" s="7">
        <v>2883</v>
      </c>
      <c r="I4279" s="8" t="str">
        <f ca="1">IFERROR(__xludf.DUMMYFUNCTION("IF
(
G4280=""фізична особа""
,
VLOOKUP(H4280,IMPORTRANGE(""https://docs.google.com/spreadsheets/d/14Bd19lYaqBhU8_DElYkX7l4wRkHqqCUFNJY4AfY3kHU/edit?usp=sharing  #gid=0"",""фіз особи new!relations_name""),6,FALSE)
,
(IF
(
G4280=""юридична особа""
,
VLOOKUP"&amp;"(H4280,IMPORTRANGE(""https://docs.google.com/spreadsheets/d/14Bd19lYaqBhU8_DElYkX7l4wRkHqqCUFNJY4AfY3kHU/edit?usp=sharing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J4279" s="7" t="s">
        <v>12</v>
      </c>
    </row>
    <row r="4280" spans="1:10" ht="13.2">
      <c r="A4280" s="7">
        <v>4279</v>
      </c>
      <c r="B4280" s="7">
        <v>1</v>
      </c>
      <c r="C4280" s="7" t="s">
        <v>10</v>
      </c>
      <c r="D4280" s="7">
        <v>2908</v>
      </c>
      <c r="E4280" s="7" t="s">
        <v>17</v>
      </c>
      <c r="F4280" s="8" t="str">
        <f ca="1">IFERROR(__xludf.DUMMYFUNCTION("IF
(
C4281=""фізична особа""
,
VLOOKUP(D4281,IMPORTRANGE(""https://docs.google.com/spreadsheets/d/14Bd19lYaqBhU8_DElYkX7l4wRkHqqCUFNJY4AfY3kHU/edit?usp=sharing  #gid=0"",""фіз особи new!relations_name""),6,FALSE)
,
(IF
(
C4281=""юридична особа""
,
VLOOKUP"&amp;"(D4281,IMPORTRANGE(""https://docs.google.com/spreadsheets/d/14Bd19lYaqBhU8_DElYkX7l4wRkHqqCUFNJY4AfY3kHU/edit?usp=sharing  #gid=0"",""фіз особи new!relations_name_uo""),7,FALSE)
,
)
))"),"БОРИСОВ Костянтин Юрійович")</f>
        <v>БОРИСОВ Костянтин Юрійович</v>
      </c>
      <c r="G4280" s="7" t="s">
        <v>10</v>
      </c>
      <c r="H4280" s="7">
        <v>2883</v>
      </c>
      <c r="I4280" s="8" t="str">
        <f ca="1">IFERROR(__xludf.DUMMYFUNCTION("IF
(
G4281=""фізична особа""
,
VLOOKUP(H4281,IMPORTRANGE(""https://docs.google.com/spreadsheets/d/14Bd19lYaqBhU8_DElYkX7l4wRkHqqCUFNJY4AfY3kHU/edit?usp=sharing  #gid=0"",""фіз особи new!relations_name""),6,FALSE)
,
(IF
(
G4281=""юридична особа""
,
VLOOKUP"&amp;"(H4281,IMPORTRANGE(""https://docs.google.com/spreadsheets/d/14Bd19lYaqBhU8_DElYkX7l4wRkHqqCUFNJY4AfY3kHU/edit?usp=sharing  #gid=0"",""фіз особи new!relations_name_uo""),7,FALSE)
,
)
))"),"БОРИСОВ Юрій Іванович")</f>
        <v>БОРИСОВ Юрій Іванович</v>
      </c>
      <c r="J4280" s="7" t="s">
        <v>12</v>
      </c>
    </row>
    <row r="4281" spans="1:10" ht="13.2">
      <c r="A4281" s="7">
        <v>4280</v>
      </c>
      <c r="B4281" s="7">
        <v>1</v>
      </c>
      <c r="C4281" s="7" t="s">
        <v>10</v>
      </c>
      <c r="D4281" s="7">
        <v>2909</v>
      </c>
      <c r="E4281" s="7" t="s">
        <v>13</v>
      </c>
      <c r="F4281" s="8" t="str">
        <f ca="1">IFERROR(__xludf.DUMMYFUNCTION("IF
(
C4282=""фізична особа""
,
VLOOKUP(D4282,IMPORTRANGE(""https://docs.google.com/spreadsheets/d/14Bd19lYaqBhU8_DElYkX7l4wRkHqqCUFNJY4AfY3kHU/edit?usp=sharing  #gid=0"",""фіз особи new!relations_name""),6,FALSE)
,
(IF
(
C4282=""юридична особа""
,
VLOOKUP"&amp;"(D4282,IMPORTRANGE(""https://docs.google.com/spreadsheets/d/14Bd19lYaqBhU8_DElYkX7l4wRkHqqCUFNJY4AfY3kHU/edit?usp=sharing  #gid=0"",""фіз особи new!relations_name_uo""),7,FALSE)
,
)
))"),"НОВАК Аліна Олександрівна")</f>
        <v>НОВАК Аліна Олександрівна</v>
      </c>
      <c r="G4281" s="7" t="s">
        <v>10</v>
      </c>
      <c r="H4281" s="7">
        <v>2885</v>
      </c>
      <c r="I4281" s="8" t="str">
        <f ca="1">IFERROR(__xludf.DUMMYFUNCTION("IF
(
G4282=""фізична особа""
,
VLOOKUP(H4282,IMPORTRANGE(""https://docs.google.com/spreadsheets/d/14Bd19lYaqBhU8_DElYkX7l4wRkHqqCUFNJY4AfY3kHU/edit?usp=sharing  #gid=0"",""фіз особи new!relations_name""),6,FALSE)
,
(IF
(
G4282=""юридична особа""
,
VLOOKUP"&amp;"(H4282,IMPORTRANGE(""https://docs.google.com/spreadsheets/d/14Bd19lYaqBhU8_DElYkX7l4wRkHqqCUFNJY4AfY3kHU/edit?usp=sharing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1" s="7" t="s">
        <v>12</v>
      </c>
    </row>
    <row r="4282" spans="1:10" ht="13.2">
      <c r="A4282" s="7">
        <v>4281</v>
      </c>
      <c r="B4282" s="7">
        <v>1</v>
      </c>
      <c r="C4282" s="7" t="s">
        <v>10</v>
      </c>
      <c r="D4282" s="7">
        <v>2910</v>
      </c>
      <c r="E4282" s="7" t="s">
        <v>15</v>
      </c>
      <c r="F4282" s="8" t="str">
        <f ca="1">IFERROR(__xludf.DUMMYFUNCTION("IF
(
C4283=""фізична особа""
,
VLOOKUP(D4283,IMPORTRANGE(""https://docs.google.com/spreadsheets/d/14Bd19lYaqBhU8_DElYkX7l4wRkHqqCUFNJY4AfY3kHU/edit?usp=sharing  #gid=0"",""фіз особи new!relations_name""),6,FALSE)
,
(IF
(
C4283=""юридична особа""
,
VLOOKUP"&amp;"(D4283,IMPORTRANGE(""https://docs.google.com/spreadsheets/d/14Bd19lYaqBhU8_DElYkX7l4wRkHqqCUFNJY4AfY3kHU/edit?usp=sharing  #gid=0"",""фіз особи new!relations_name_uo""),7,FALSE)
,
)
))"),"НОВАК Лариса Олександрівна")</f>
        <v>НОВАК Лариса Олександрівна</v>
      </c>
      <c r="G4282" s="7" t="s">
        <v>10</v>
      </c>
      <c r="H4282" s="7">
        <v>2885</v>
      </c>
      <c r="I4282" s="8" t="str">
        <f ca="1">IFERROR(__xludf.DUMMYFUNCTION("IF
(
G4283=""фізична особа""
,
VLOOKUP(H4283,IMPORTRANGE(""https://docs.google.com/spreadsheets/d/14Bd19lYaqBhU8_DElYkX7l4wRkHqqCUFNJY4AfY3kHU/edit?usp=sharing  #gid=0"",""фіз особи new!relations_name""),6,FALSE)
,
(IF
(
G4283=""юридична особа""
,
VLOOKUP"&amp;"(H4283,IMPORTRANGE(""https://docs.google.com/spreadsheets/d/14Bd19lYaqBhU8_DElYkX7l4wRkHqqCUFNJY4AfY3kHU/edit?usp=sharing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2" s="7" t="s">
        <v>14</v>
      </c>
    </row>
    <row r="4283" spans="1:10" ht="13.2">
      <c r="A4283" s="7">
        <v>4282</v>
      </c>
      <c r="B4283" s="7">
        <v>1</v>
      </c>
      <c r="C4283" s="7" t="s">
        <v>10</v>
      </c>
      <c r="D4283" s="7">
        <v>2911</v>
      </c>
      <c r="E4283" s="7" t="s">
        <v>31</v>
      </c>
      <c r="F4283" s="8" t="str">
        <f ca="1">IFERROR(__xludf.DUMMYFUNCTION("IF
(
C4284=""фізична особа""
,
VLOOKUP(D4284,IMPORTRANGE(""https://docs.google.com/spreadsheets/d/14Bd19lYaqBhU8_DElYkX7l4wRkHqqCUFNJY4AfY3kHU/edit?usp=sharing  #gid=0"",""фіз особи new!relations_name""),6,FALSE)
,
(IF
(
C4284=""юридична особа""
,
VLOOKUP"&amp;"(D4284,IMPORTRANGE(""https://docs.google.com/spreadsheets/d/14Bd19lYaqBhU8_DElYkX7l4wRkHqqCUFNJY4AfY3kHU/edit?usp=sharing  #gid=0"",""фіз особи new!relations_name_uo""),7,FALSE)
,
)
))"),"Прокофьєва / Новак Марина Валентинівна")</f>
        <v>Прокофьєва / Новак Марина Валентинівна</v>
      </c>
      <c r="G4283" s="7" t="s">
        <v>10</v>
      </c>
      <c r="H4283" s="7">
        <v>2885</v>
      </c>
      <c r="I4283" s="8" t="str">
        <f ca="1">IFERROR(__xludf.DUMMYFUNCTION("IF
(
G4284=""фізична особа""
,
VLOOKUP(H4284,IMPORTRANGE(""https://docs.google.com/spreadsheets/d/14Bd19lYaqBhU8_DElYkX7l4wRkHqqCUFNJY4AfY3kHU/edit?usp=sharing  #gid=0"",""фіз особи new!relations_name""),6,FALSE)
,
(IF
(
G4284=""юридична особа""
,
VLOOKUP"&amp;"(H4284,IMPORTRANGE(""https://docs.google.com/spreadsheets/d/14Bd19lYaqBhU8_DElYkX7l4wRkHqqCUFNJY4AfY3kHU/edit?usp=sharing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3" s="7" t="s">
        <v>18</v>
      </c>
    </row>
    <row r="4284" spans="1:10" ht="13.2">
      <c r="A4284" s="7">
        <v>4283</v>
      </c>
      <c r="B4284" s="7">
        <v>1</v>
      </c>
      <c r="C4284" s="7" t="s">
        <v>10</v>
      </c>
      <c r="D4284" s="7">
        <v>2912</v>
      </c>
      <c r="E4284" s="7" t="s">
        <v>20</v>
      </c>
      <c r="F4284" s="8" t="str">
        <f ca="1">IFERROR(__xludf.DUMMYFUNCTION("IF
(
C4285=""фізична особа""
,
VLOOKUP(D4285,IMPORTRANGE(""https://docs.google.com/spreadsheets/d/14Bd19lYaqBhU8_DElYkX7l4wRkHqqCUFNJY4AfY3kHU/edit?usp=sharing  #gid=0"",""фіз особи new!relations_name""),6,FALSE)
,
(IF
(
C4285=""юридична особа""
,
VLOOKUP"&amp;"(D4285,IMPORTRANGE(""https://docs.google.com/spreadsheets/d/14Bd19lYaqBhU8_DElYkX7l4wRkHqqCUFNJY4AfY3kHU/edit?usp=sharing  #gid=0"",""фіз особи new!relations_name_uo""),7,FALSE)
,
)
))"),"ПРОКОФЬЄВ Кирило Ігорович")</f>
        <v>ПРОКОФЬЄВ Кирило Ігорович</v>
      </c>
      <c r="G4284" s="7" t="s">
        <v>10</v>
      </c>
      <c r="H4284" s="7">
        <v>2885</v>
      </c>
      <c r="I4284" s="8" t="str">
        <f ca="1">IFERROR(__xludf.DUMMYFUNCTION("IF
(
G4285=""фізична особа""
,
VLOOKUP(H4285,IMPORTRANGE(""https://docs.google.com/spreadsheets/d/14Bd19lYaqBhU8_DElYkX7l4wRkHqqCUFNJY4AfY3kHU/edit?usp=sharing  #gid=0"",""фіз особи new!relations_name""),6,FALSE)
,
(IF
(
G4285=""юридична особа""
,
VLOOKUP"&amp;"(H4285,IMPORTRANGE(""https://docs.google.com/spreadsheets/d/14Bd19lYaqBhU8_DElYkX7l4wRkHqqCUFNJY4AfY3kHU/edit?usp=sharing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4" s="7" t="s">
        <v>19</v>
      </c>
    </row>
    <row r="4285" spans="1:10" ht="13.2">
      <c r="A4285" s="7">
        <v>4284</v>
      </c>
      <c r="B4285" s="7">
        <v>1</v>
      </c>
      <c r="C4285" s="7" t="s">
        <v>10</v>
      </c>
      <c r="D4285" s="7">
        <v>2913</v>
      </c>
      <c r="E4285" s="7" t="s">
        <v>22</v>
      </c>
      <c r="F4285" s="8" t="str">
        <f ca="1">IFERROR(__xludf.DUMMYFUNCTION("IF
(
C4286=""фізична особа""
,
VLOOKUP(D4286,IMPORTRANGE(""https://docs.google.com/spreadsheets/d/14Bd19lYaqBhU8_DElYkX7l4wRkHqqCUFNJY4AfY3kHU/edit?usp=sharing  #gid=0"",""фіз особи new!relations_name""),6,FALSE)
,
(IF
(
C4286=""юридична особа""
,
VLOOKUP"&amp;"(D4286,IMPORTRANGE(""https://docs.google.com/spreadsheets/d/14Bd19lYaqBhU8_DElYkX7l4wRkHqqCUFNJY4AfY3kHU/edit?usp=sharing  #gid=0"",""фіз особи new!relations_name_uo""),7,FALSE)
,
)
))"),"РОСТОВСЬКА Олена Сергіївна")</f>
        <v>РОСТОВСЬКА Олена Сергіївна</v>
      </c>
      <c r="G4285" s="7" t="s">
        <v>10</v>
      </c>
      <c r="H4285" s="7">
        <v>2885</v>
      </c>
      <c r="I4285" s="8" t="str">
        <f ca="1">IFERROR(__xludf.DUMMYFUNCTION("IF
(
G4286=""фізична особа""
,
VLOOKUP(H4286,IMPORTRANGE(""https://docs.google.com/spreadsheets/d/14Bd19lYaqBhU8_DElYkX7l4wRkHqqCUFNJY4AfY3kHU/edit?usp=sharing  #gid=0"",""фіз особи new!relations_name""),6,FALSE)
,
(IF
(
G4286=""юридична особа""
,
VLOOKUP"&amp;"(H4286,IMPORTRANGE(""https://docs.google.com/spreadsheets/d/14Bd19lYaqBhU8_DElYkX7l4wRkHqqCUFNJY4AfY3kHU/edit?usp=sharing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5" s="7" t="s">
        <v>19</v>
      </c>
    </row>
    <row r="4286" spans="1:10" ht="13.2">
      <c r="A4286" s="7">
        <v>4285</v>
      </c>
      <c r="B4286" s="7">
        <v>1</v>
      </c>
      <c r="C4286" s="7" t="s">
        <v>10</v>
      </c>
      <c r="D4286" s="7">
        <v>2914</v>
      </c>
      <c r="E4286" s="7" t="s">
        <v>54</v>
      </c>
      <c r="F4286" s="8" t="str">
        <f ca="1">IFERROR(__xludf.DUMMYFUNCTION("IF
(
C4287=""фізична особа""
,
VLOOKUP(D4287,IMPORTRANGE(""https://docs.google.com/spreadsheets/d/14Bd19lYaqBhU8_DElYkX7l4wRkHqqCUFNJY4AfY3kHU/edit?usp=sharing  #gid=0"",""фіз особи new!relations_name""),6,FALSE)
,
(IF
(
C4287=""юридична особа""
,
VLOOKUP"&amp;"(D4287,IMPORTRANGE(""https://docs.google.com/spreadsheets/d/14Bd19lYaqBhU8_DElYkX7l4wRkHqqCUFNJY4AfY3kHU/edit?usp=sharing  #gid=0"",""фіз особи new!relations_name_uo""),7,FALSE)
,
)
))"),"ПРОКОФЬЄВ Ігор Олександрович")</f>
        <v>ПРОКОФЬЄВ Ігор Олександрович</v>
      </c>
      <c r="G4286" s="7" t="s">
        <v>10</v>
      </c>
      <c r="H4286" s="7">
        <v>2885</v>
      </c>
      <c r="I4286" s="8" t="str">
        <f ca="1">IFERROR(__xludf.DUMMYFUNCTION("IF
(
G4287=""фізична особа""
,
VLOOKUP(H4287,IMPORTRANGE(""https://docs.google.com/spreadsheets/d/14Bd19lYaqBhU8_DElYkX7l4wRkHqqCUFNJY4AfY3kHU/edit?usp=sharing  #gid=0"",""фіз особи new!relations_name""),6,FALSE)
,
(IF
(
G4287=""юридична особа""
,
VLOOKUP"&amp;"(H4287,IMPORTRANGE(""https://docs.google.com/spreadsheets/d/14Bd19lYaqBhU8_DElYkX7l4wRkHqqCUFNJY4AfY3kHU/edit?usp=sharing  #gid=0"",""фіз особи new!relations_name_uo""),7,FALSE)
,
)
))"),"НОВАК Олександр Валентинович")</f>
        <v>НОВАК Олександр Валентинович</v>
      </c>
      <c r="J4286" s="7" t="s">
        <v>73</v>
      </c>
    </row>
    <row r="4287" spans="1:10" ht="13.2">
      <c r="A4287" s="7">
        <v>4286</v>
      </c>
      <c r="B4287" s="7">
        <v>1</v>
      </c>
      <c r="C4287" s="7" t="s">
        <v>10</v>
      </c>
      <c r="D4287" s="7">
        <v>2914</v>
      </c>
      <c r="E4287" s="7" t="s">
        <v>42</v>
      </c>
      <c r="F4287" s="8" t="str">
        <f ca="1">IFERROR(__xludf.DUMMYFUNCTION("IF
(
C4288=""фізична особа""
,
VLOOKUP(D4288,IMPORTRANGE(""https://docs.google.com/spreadsheets/d/14Bd19lYaqBhU8_DElYkX7l4wRkHqqCUFNJY4AfY3kHU/edit?usp=sharing  #gid=0"",""фіз особи new!relations_name""),6,FALSE)
,
(IF
(
C4288=""юридична особа""
,
VLOOKUP"&amp;"(D4288,IMPORTRANGE(""https://docs.google.com/spreadsheets/d/14Bd19lYaqBhU8_DElYkX7l4wRkHqqCUFNJY4AfY3kHU/edit?usp=sharing  #gid=0"",""фіз особи new!relations_name_uo""),7,FALSE)
,
)
))"),"ПРОКОФЬЄВ Ігор Олександрович")</f>
        <v>ПРОКОФЬЄВ Ігор Олександрович</v>
      </c>
      <c r="G4287" s="7" t="s">
        <v>10</v>
      </c>
      <c r="H4287" s="7">
        <v>2911</v>
      </c>
      <c r="I4287" s="8" t="str">
        <f ca="1">IFERROR(__xludf.DUMMYFUNCTION("IF
(
G4288=""фізична особа""
,
VLOOKUP(H4288,IMPORTRANGE(""https://docs.google.com/spreadsheets/d/14Bd19lYaqBhU8_DElYkX7l4wRkHqqCUFNJY4AfY3kHU/edit?usp=sharing  #gid=0"",""фіз особи new!relations_name""),6,FALSE)
,
(IF
(
G4288=""юридична особа""
,
VLOOKUP"&amp;"(H4288,IMPORTRANGE(""https://docs.google.com/spreadsheets/d/14Bd19lYaqBhU8_DElYkX7l4wRkHqqCUFNJY4AfY3kHU/edit?usp=sharing  #gid=0"",""фіз особи new!relations_name_uo""),7,FALSE)
,
)
))"),"Прокофьєва / Новак Марина Валентинівна")</f>
        <v>Прокофьєва / Новак Марина Валентинівна</v>
      </c>
      <c r="J4287" s="7" t="s">
        <v>15</v>
      </c>
    </row>
    <row r="4288" spans="1:10" ht="13.2">
      <c r="A4288" s="7">
        <v>4287</v>
      </c>
      <c r="B4288" s="7">
        <v>1</v>
      </c>
      <c r="C4288" s="7" t="s">
        <v>10</v>
      </c>
      <c r="D4288" s="7">
        <v>2915</v>
      </c>
      <c r="E4288" s="7" t="s">
        <v>15</v>
      </c>
      <c r="F4288" s="8" t="str">
        <f ca="1">IFERROR(__xludf.DUMMYFUNCTION("IF
(
C4289=""фізична особа""
,
VLOOKUP(D4289,IMPORTRANGE(""https://docs.google.com/spreadsheets/d/14Bd19lYaqBhU8_DElYkX7l4wRkHqqCUFNJY4AfY3kHU/edit?usp=sharing  #gid=0"",""фіз особи new!relations_name""),6,FALSE)
,
(IF
(
C4289=""юридична особа""
,
VLOOKUP"&amp;"(D4289,IMPORTRANGE(""https://docs.google.com/spreadsheets/d/14Bd19lYaqBhU8_DElYkX7l4wRkHqqCUFNJY4AfY3kHU/edit?usp=sharing  #gid=0"",""фіз особи new!relations_name_uo""),7,FALSE)
,
)
))"),"ПЕТРОВА Наталья Сергіївна")</f>
        <v>ПЕТРОВА Наталья Сергіївна</v>
      </c>
      <c r="G4288" s="7" t="s">
        <v>10</v>
      </c>
      <c r="H4288" s="7">
        <v>949</v>
      </c>
      <c r="I4288" s="8" t="str">
        <f ca="1">IFERROR(__xludf.DUMMYFUNCTION("IF
(
G4289=""фізична особа""
,
VLOOKUP(H4289,IMPORTRANGE(""https://docs.google.com/spreadsheets/d/14Bd19lYaqBhU8_DElYkX7l4wRkHqqCUFNJY4AfY3kHU/edit?usp=sharing  #gid=0"",""фіз особи new!relations_name""),6,FALSE)
,
(IF
(
G4289=""юридична особа""
,
VLOOKUP"&amp;"(H4289,IMPORTRANGE(""https://docs.google.com/spreadsheets/d/14Bd19lYaqBhU8_DElYkX7l4wRkHqqCUFNJY4AfY3kHU/edit?usp=sharing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88" s="7" t="s">
        <v>14</v>
      </c>
    </row>
    <row r="4289" spans="1:10" ht="13.2">
      <c r="A4289" s="7">
        <v>4288</v>
      </c>
      <c r="B4289" s="7">
        <v>1</v>
      </c>
      <c r="C4289" s="7" t="s">
        <v>10</v>
      </c>
      <c r="D4289" s="7">
        <v>2916</v>
      </c>
      <c r="E4289" s="7" t="s">
        <v>43</v>
      </c>
      <c r="F4289" s="8" t="str">
        <f ca="1">IFERROR(__xludf.DUMMYFUNCTION("IF
(
C4290=""фізична особа""
,
VLOOKUP(D4290,IMPORTRANGE(""https://docs.google.com/spreadsheets/d/14Bd19lYaqBhU8_DElYkX7l4wRkHqqCUFNJY4AfY3kHU/edit?usp=sharing  #gid=0"",""фіз особи new!relations_name""),6,FALSE)
,
(IF
(
C4290=""юридична особа""
,
VLOOKUP"&amp;"(D4290,IMPORTRANGE(""https://docs.google.com/spreadsheets/d/14Bd19lYaqBhU8_DElYkX7l4wRkHqqCUFNJY4AfY3kHU/edit?usp=sharing  #gid=0"",""фіз особи new!relations_name_uo""),7,FALSE)
,
)
))"),"ТРУТНЄВА Марина Львівна")</f>
        <v>ТРУТНЄВА Марина Львівна</v>
      </c>
      <c r="G4289" s="7" t="s">
        <v>10</v>
      </c>
      <c r="H4289" s="7">
        <v>949</v>
      </c>
      <c r="I4289" s="8" t="str">
        <f ca="1">IFERROR(__xludf.DUMMYFUNCTION("IF
(
G4290=""фізична особа""
,
VLOOKUP(H4290,IMPORTRANGE(""https://docs.google.com/spreadsheets/d/14Bd19lYaqBhU8_DElYkX7l4wRkHqqCUFNJY4AfY3kHU/edit?usp=sharing  #gid=0"",""фіз особи new!relations_name""),6,FALSE)
,
(IF
(
G4290=""юридична особа""
,
VLOOKUP"&amp;"(H4290,IMPORTRANGE(""https://docs.google.com/spreadsheets/d/14Bd19lYaqBhU8_DElYkX7l4wRkHqqCUFNJY4AfY3kHU/edit?usp=sharing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89" s="7" t="s">
        <v>42</v>
      </c>
    </row>
    <row r="4290" spans="1:10" ht="13.2">
      <c r="A4290" s="7">
        <v>4289</v>
      </c>
      <c r="B4290" s="7">
        <v>1</v>
      </c>
      <c r="C4290" s="7" t="s">
        <v>10</v>
      </c>
      <c r="D4290" s="7">
        <v>2917</v>
      </c>
      <c r="E4290" s="7" t="s">
        <v>17</v>
      </c>
      <c r="F4290" s="8" t="str">
        <f ca="1">IFERROR(__xludf.DUMMYFUNCTION("IF
(
C4291=""фізична особа""
,
VLOOKUP(D4291,IMPORTRANGE(""https://docs.google.com/spreadsheets/d/14Bd19lYaqBhU8_DElYkX7l4wRkHqqCUFNJY4AfY3kHU/edit?usp=sharing  #gid=0"",""фіз особи new!relations_name""),6,FALSE)
,
(IF
(
C4291=""юридична особа""
,
VLOOKUP"&amp;"(D4291,IMPORTRANGE(""https://docs.google.com/spreadsheets/d/14Bd19lYaqBhU8_DElYkX7l4wRkHqqCUFNJY4AfY3kHU/edit?usp=sharing  #gid=0"",""фіз особи new!relations_name_uo""),7,FALSE)
,
)
))"),"ТРУТНЄВ Дмитро Юрійович")</f>
        <v>ТРУТНЄВ Дмитро Юрійович</v>
      </c>
      <c r="G4290" s="7" t="s">
        <v>10</v>
      </c>
      <c r="H4290" s="7">
        <v>949</v>
      </c>
      <c r="I4290" s="8" t="str">
        <f ca="1">IFERROR(__xludf.DUMMYFUNCTION("IF
(
G4291=""фізична особа""
,
VLOOKUP(H4291,IMPORTRANGE(""https://docs.google.com/spreadsheets/d/14Bd19lYaqBhU8_DElYkX7l4wRkHqqCUFNJY4AfY3kHU/edit?usp=sharing  #gid=0"",""фіз особи new!relations_name""),6,FALSE)
,
(IF
(
G4291=""юридична особа""
,
VLOOKUP"&amp;"(H4291,IMPORTRANGE(""https://docs.google.com/spreadsheets/d/14Bd19lYaqBhU8_DElYkX7l4wRkHqqCUFNJY4AfY3kHU/edit?usp=sharing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90" s="7" t="s">
        <v>12</v>
      </c>
    </row>
    <row r="4291" spans="1:10" ht="13.2">
      <c r="A4291" s="7">
        <v>4290</v>
      </c>
      <c r="B4291" s="7">
        <v>1</v>
      </c>
      <c r="C4291" s="7" t="s">
        <v>10</v>
      </c>
      <c r="D4291" s="7">
        <v>2918</v>
      </c>
      <c r="E4291" s="7" t="s">
        <v>17</v>
      </c>
      <c r="F4291" s="8" t="str">
        <f ca="1">IFERROR(__xludf.DUMMYFUNCTION("IF
(
C4292=""фізична особа""
,
VLOOKUP(D4292,IMPORTRANGE(""https://docs.google.com/spreadsheets/d/14Bd19lYaqBhU8_DElYkX7l4wRkHqqCUFNJY4AfY3kHU/edit?usp=sharing  #gid=0"",""фіз особи new!relations_name""),6,FALSE)
,
(IF
(
C4292=""юридична особа""
,
VLOOKUP"&amp;"(D4292,IMPORTRANGE(""https://docs.google.com/spreadsheets/d/14Bd19lYaqBhU8_DElYkX7l4wRkHqqCUFNJY4AfY3kHU/edit?usp=sharing  #gid=0"",""фіз особи new!relations_name_uo""),7,FALSE)
,
)
))"),"ТРУТНЄВ Олександр Юрійович")</f>
        <v>ТРУТНЄВ Олександр Юрійович</v>
      </c>
      <c r="G4291" s="7" t="s">
        <v>10</v>
      </c>
      <c r="H4291" s="7">
        <v>949</v>
      </c>
      <c r="I4291" s="8" t="str">
        <f ca="1">IFERROR(__xludf.DUMMYFUNCTION("IF
(
G4292=""фізична особа""
,
VLOOKUP(H4292,IMPORTRANGE(""https://docs.google.com/spreadsheets/d/14Bd19lYaqBhU8_DElYkX7l4wRkHqqCUFNJY4AfY3kHU/edit?usp=sharing  #gid=0"",""фіз особи new!relations_name""),6,FALSE)
,
(IF
(
G4292=""юридична особа""
,
VLOOKUP"&amp;"(H4292,IMPORTRANGE(""https://docs.google.com/spreadsheets/d/14Bd19lYaqBhU8_DElYkX7l4wRkHqqCUFNJY4AfY3kHU/edit?usp=sharing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91" s="7" t="s">
        <v>12</v>
      </c>
    </row>
    <row r="4292" spans="1:10" ht="13.2">
      <c r="A4292" s="7">
        <v>4291</v>
      </c>
      <c r="B4292" s="7">
        <v>1</v>
      </c>
      <c r="C4292" s="7" t="s">
        <v>10</v>
      </c>
      <c r="D4292" s="7">
        <v>2919</v>
      </c>
      <c r="E4292" s="7" t="s">
        <v>17</v>
      </c>
      <c r="F4292" s="8" t="str">
        <f ca="1">IFERROR(__xludf.DUMMYFUNCTION("IF
(
C4293=""фізична особа""
,
VLOOKUP(D4293,IMPORTRANGE(""https://docs.google.com/spreadsheets/d/14Bd19lYaqBhU8_DElYkX7l4wRkHqqCUFNJY4AfY3kHU/edit?usp=sharing  #gid=0"",""фіз особи new!relations_name""),6,FALSE)
,
(IF
(
C4293=""юридична особа""
,
VLOOKUP"&amp;"(D4293,IMPORTRANGE(""https://docs.google.com/spreadsheets/d/14Bd19lYaqBhU8_DElYkX7l4wRkHqqCUFNJY4AfY3kHU/edit?usp=sharing  #gid=0"",""фіз особи new!relations_name_uo""),7,FALSE)
,
)
))"),"ТРУТНЄВ Андрій Юрійович")</f>
        <v>ТРУТНЄВ Андрій Юрійович</v>
      </c>
      <c r="G4292" s="7" t="s">
        <v>10</v>
      </c>
      <c r="H4292" s="7">
        <v>949</v>
      </c>
      <c r="I4292" s="8" t="str">
        <f ca="1">IFERROR(__xludf.DUMMYFUNCTION("IF
(
G4293=""фізична особа""
,
VLOOKUP(H4293,IMPORTRANGE(""https://docs.google.com/spreadsheets/d/14Bd19lYaqBhU8_DElYkX7l4wRkHqqCUFNJY4AfY3kHU/edit?usp=sharing  #gid=0"",""фіз особи new!relations_name""),6,FALSE)
,
(IF
(
G4293=""юридична особа""
,
VLOOKUP"&amp;"(H4293,IMPORTRANGE(""https://docs.google.com/spreadsheets/d/14Bd19lYaqBhU8_DElYkX7l4wRkHqqCUFNJY4AfY3kHU/edit?usp=sharing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92" s="7" t="s">
        <v>12</v>
      </c>
    </row>
    <row r="4293" spans="1:10" ht="13.2">
      <c r="A4293" s="7">
        <v>4292</v>
      </c>
      <c r="B4293" s="7">
        <v>1</v>
      </c>
      <c r="C4293" s="7" t="s">
        <v>10</v>
      </c>
      <c r="D4293" s="7">
        <v>2920</v>
      </c>
      <c r="E4293" s="7" t="s">
        <v>13</v>
      </c>
      <c r="F4293" s="8" t="str">
        <f ca="1">IFERROR(__xludf.DUMMYFUNCTION("IF
(
C4294=""фізична особа""
,
VLOOKUP(D4294,IMPORTRANGE(""https://docs.google.com/spreadsheets/d/14Bd19lYaqBhU8_DElYkX7l4wRkHqqCUFNJY4AfY3kHU/edit?usp=sharing  #gid=0"",""фіз особи new!relations_name""),6,FALSE)
,
(IF
(
C4294=""юридична особа""
,
VLOOKUP"&amp;"(D4294,IMPORTRANGE(""https://docs.google.com/spreadsheets/d/14Bd19lYaqBhU8_DElYkX7l4wRkHqqCUFNJY4AfY3kHU/edit?usp=sharing  #gid=0"",""фіз особи new!relations_name_uo""),7,FALSE)
,
)
))"),"ТРУТНЄВА Євгенія Юріївна")</f>
        <v>ТРУТНЄВА Євгенія Юріївна</v>
      </c>
      <c r="G4293" s="7" t="s">
        <v>10</v>
      </c>
      <c r="H4293" s="7">
        <v>949</v>
      </c>
      <c r="I4293" s="8" t="str">
        <f ca="1">IFERROR(__xludf.DUMMYFUNCTION("IF
(
G4294=""фізична особа""
,
VLOOKUP(H4294,IMPORTRANGE(""https://docs.google.com/spreadsheets/d/14Bd19lYaqBhU8_DElYkX7l4wRkHqqCUFNJY4AfY3kHU/edit?usp=sharing  #gid=0"",""фіз особи new!relations_name""),6,FALSE)
,
(IF
(
G4294=""юридична особа""
,
VLOOKUP"&amp;"(H4294,IMPORTRANGE(""https://docs.google.com/spreadsheets/d/14Bd19lYaqBhU8_DElYkX7l4wRkHqqCUFNJY4AfY3kHU/edit?usp=sharing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93" s="7" t="s">
        <v>12</v>
      </c>
    </row>
    <row r="4294" spans="1:10" ht="13.2">
      <c r="A4294" s="7">
        <v>4293</v>
      </c>
      <c r="B4294" s="7">
        <v>1</v>
      </c>
      <c r="C4294" s="7" t="s">
        <v>10</v>
      </c>
      <c r="D4294" s="7">
        <v>2921</v>
      </c>
      <c r="E4294" s="7" t="s">
        <v>13</v>
      </c>
      <c r="F4294" s="8" t="str">
        <f ca="1">IFERROR(__xludf.DUMMYFUNCTION("IF
(
C4295=""фізична особа""
,
VLOOKUP(D4295,IMPORTRANGE(""https://docs.google.com/spreadsheets/d/14Bd19lYaqBhU8_DElYkX7l4wRkHqqCUFNJY4AfY3kHU/edit?usp=sharing  #gid=0"",""фіз особи new!relations_name""),6,FALSE)
,
(IF
(
C4295=""юридична особа""
,
VLOOKUP"&amp;"(D4295,IMPORTRANGE(""https://docs.google.com/spreadsheets/d/14Bd19lYaqBhU8_DElYkX7l4wRkHqqCUFNJY4AfY3kHU/edit?usp=sharing  #gid=0"",""фіз особи new!relations_name_uo""),7,FALSE)
,
)
))"),"ТРУТНЄВА Марія Юріївна")</f>
        <v>ТРУТНЄВА Марія Юріївна</v>
      </c>
      <c r="G4294" s="7" t="s">
        <v>10</v>
      </c>
      <c r="H4294" s="7">
        <v>949</v>
      </c>
      <c r="I4294" s="8" t="str">
        <f ca="1">IFERROR(__xludf.DUMMYFUNCTION("IF
(
G4295=""фізична особа""
,
VLOOKUP(H4295,IMPORTRANGE(""https://docs.google.com/spreadsheets/d/14Bd19lYaqBhU8_DElYkX7l4wRkHqqCUFNJY4AfY3kHU/edit?usp=sharing  #gid=0"",""фіз особи new!relations_name""),6,FALSE)
,
(IF
(
G4295=""юридична особа""
,
VLOOKUP"&amp;"(H4295,IMPORTRANGE(""https://docs.google.com/spreadsheets/d/14Bd19lYaqBhU8_DElYkX7l4wRkHqqCUFNJY4AfY3kHU/edit?usp=sharing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294" s="7" t="s">
        <v>12</v>
      </c>
    </row>
    <row r="4295" spans="1:10" ht="13.2">
      <c r="A4295" s="7">
        <v>4294</v>
      </c>
      <c r="B4295" s="7">
        <v>1</v>
      </c>
      <c r="C4295" s="7" t="s">
        <v>10</v>
      </c>
      <c r="D4295" s="7">
        <v>2922</v>
      </c>
      <c r="E4295" s="7" t="s">
        <v>42</v>
      </c>
      <c r="F4295" s="8" t="str">
        <f ca="1">IFERROR(__xludf.DUMMYFUNCTION("IF
(
C4296=""фізична особа""
,
VLOOKUP(D4296,IMPORTRANGE(""https://docs.google.com/spreadsheets/d/14Bd19lYaqBhU8_DElYkX7l4wRkHqqCUFNJY4AfY3kHU/edit?usp=sharing  #gid=0"",""фіз особи new!relations_name""),6,FALSE)
,
(IF
(
C4296=""юридична особа""
,
VLOOKUP"&amp;"(D4296,IMPORTRANGE(""https://docs.google.com/spreadsheets/d/14Bd19lYaqBhU8_DElYkX7l4wRkHqqCUFNJY4AfY3kHU/edit?usp=sharing  #gid=0"",""фіз особи new!relations_name_uo""),7,FALSE)
,
)
))"),"ДРОВОСЄКОВ Андрій Володимирович")</f>
        <v>ДРОВОСЄКОВ Андрій Володимирович</v>
      </c>
      <c r="G4295" s="7" t="s">
        <v>10</v>
      </c>
      <c r="H4295" s="7">
        <v>2884</v>
      </c>
      <c r="I4295" s="8" t="str">
        <f ca="1">IFERROR(__xludf.DUMMYFUNCTION("IF
(
G4296=""фізична особа""
,
VLOOKUP(H4296,IMPORTRANGE(""https://docs.google.com/spreadsheets/d/14Bd19lYaqBhU8_DElYkX7l4wRkHqqCUFNJY4AfY3kHU/edit?usp=sharing  #gid=0"",""фіз особи new!relations_name""),6,FALSE)
,
(IF
(
G4296=""юридична особа""
,
VLOOKUP"&amp;"(H4296,IMPORTRANGE(""https://docs.google.com/spreadsheets/d/14Bd19lYaqBhU8_DElYkX7l4wRkHqqCUFNJY4AfY3kHU/edit?usp=sharing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295" s="7" t="s">
        <v>15</v>
      </c>
    </row>
    <row r="4296" spans="1:10" ht="13.2">
      <c r="A4296" s="7">
        <v>4295</v>
      </c>
      <c r="B4296" s="7">
        <v>1</v>
      </c>
      <c r="C4296" s="7" t="s">
        <v>10</v>
      </c>
      <c r="D4296" s="7">
        <v>2923</v>
      </c>
      <c r="E4296" s="7" t="s">
        <v>14</v>
      </c>
      <c r="F4296" s="8" t="str">
        <f ca="1">IFERROR(__xludf.DUMMYFUNCTION("IF
(
C4297=""фізична особа""
,
VLOOKUP(D4297,IMPORTRANGE(""https://docs.google.com/spreadsheets/d/14Bd19lYaqBhU8_DElYkX7l4wRkHqqCUFNJY4AfY3kHU/edit?usp=sharing  #gid=0"",""фіз особи new!relations_name""),6,FALSE)
,
(IF
(
C4297=""юридична особа""
,
VLOOKUP"&amp;"(D4297,IMPORTRANGE(""https://docs.google.com/spreadsheets/d/14Bd19lYaqBhU8_DElYkX7l4wRkHqqCUFNJY4AfY3kHU/edit?usp=sharing  #gid=0"",""фіз особи new!relations_name_uo""),7,FALSE)
,
)
))"),"ХРИСТЕНКО Віктор Борисович")</f>
        <v>ХРИСТЕНКО Віктор Борисович</v>
      </c>
      <c r="G4296" s="7" t="s">
        <v>10</v>
      </c>
      <c r="H4296" s="7">
        <v>2884</v>
      </c>
      <c r="I4296" s="8" t="str">
        <f ca="1">IFERROR(__xludf.DUMMYFUNCTION("IF
(
G4297=""фізична особа""
,
VLOOKUP(H4297,IMPORTRANGE(""https://docs.google.com/spreadsheets/d/14Bd19lYaqBhU8_DElYkX7l4wRkHqqCUFNJY4AfY3kHU/edit?usp=sharing  #gid=0"",""фіз особи new!relations_name""),6,FALSE)
,
(IF
(
G4297=""юридична особа""
,
VLOOKUP"&amp;"(H4297,IMPORTRANGE(""https://docs.google.com/spreadsheets/d/14Bd19lYaqBhU8_DElYkX7l4wRkHqqCUFNJY4AfY3kHU/edit?usp=sharing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296" s="7" t="s">
        <v>15</v>
      </c>
    </row>
    <row r="4297" spans="1:10" ht="13.2">
      <c r="A4297" s="7">
        <v>4296</v>
      </c>
      <c r="B4297" s="7">
        <v>1</v>
      </c>
      <c r="C4297" s="7" t="s">
        <v>10</v>
      </c>
      <c r="D4297" s="7">
        <v>2924</v>
      </c>
      <c r="E4297" s="7" t="s">
        <v>33</v>
      </c>
      <c r="F4297" s="8" t="str">
        <f ca="1">IFERROR(__xludf.DUMMYFUNCTION("IF
(
C4298=""фізична особа""
,
VLOOKUP(D4298,IMPORTRANGE(""https://docs.google.com/spreadsheets/d/14Bd19lYaqBhU8_DElYkX7l4wRkHqqCUFNJY4AfY3kHU/edit?usp=sharing  #gid=0"",""фіз особи new!relations_name""),6,FALSE)
,
(IF
(
C4298=""юридична особа""
,
VLOOKUP"&amp;"(D4298,IMPORTRANGE(""https://docs.google.com/spreadsheets/d/14Bd19lYaqBhU8_DElYkX7l4wRkHqqCUFNJY4AfY3kHU/edit?usp=sharing  #gid=0"",""фіз особи new!relations_name_uo""),7,FALSE)
,
)
))"),"ХРИСТЕНКО Володимир Вікторович")</f>
        <v>ХРИСТЕНКО Володимир Вікторович</v>
      </c>
      <c r="G4297" s="7" t="s">
        <v>10</v>
      </c>
      <c r="H4297" s="7">
        <v>2884</v>
      </c>
      <c r="I4297" s="8" t="str">
        <f ca="1">IFERROR(__xludf.DUMMYFUNCTION("IF
(
G4298=""фізична особа""
,
VLOOKUP(H4298,IMPORTRANGE(""https://docs.google.com/spreadsheets/d/14Bd19lYaqBhU8_DElYkX7l4wRkHqqCUFNJY4AfY3kHU/edit?usp=sharing  #gid=0"",""фіз особи new!relations_name""),6,FALSE)
,
(IF
(
G4298=""юридична особа""
,
VLOOKUP"&amp;"(H4298,IMPORTRANGE(""https://docs.google.com/spreadsheets/d/14Bd19lYaqBhU8_DElYkX7l4wRkHqqCUFNJY4AfY3kHU/edit?usp=sharing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297" s="7" t="s">
        <v>84</v>
      </c>
    </row>
    <row r="4298" spans="1:10" ht="13.2">
      <c r="A4298" s="7">
        <v>4297</v>
      </c>
      <c r="B4298" s="7">
        <v>1</v>
      </c>
      <c r="C4298" s="7" t="s">
        <v>10</v>
      </c>
      <c r="D4298" s="7">
        <v>2925</v>
      </c>
      <c r="E4298" s="7" t="s">
        <v>100</v>
      </c>
      <c r="F4298" s="8" t="str">
        <f ca="1">IFERROR(__xludf.DUMMYFUNCTION("IF
(
C4299=""фізична особа""
,
VLOOKUP(D4299,IMPORTRANGE(""https://docs.google.com/spreadsheets/d/14Bd19lYaqBhU8_DElYkX7l4wRkHqqCUFNJY4AfY3kHU/edit?usp=sharing  #gid=0"",""фіз особи new!relations_name""),6,FALSE)
,
(IF
(
C4299=""юридична особа""
,
VLOOKUP"&amp;"(D4299,IMPORTRANGE(""https://docs.google.com/spreadsheets/d/14Bd19lYaqBhU8_DElYkX7l4wRkHqqCUFNJY4AfY3kHU/edit?usp=sharing  #gid=0"",""фіз особи new!relations_name_uo""),7,FALSE)
,
)
))"),"Христенко / Богданчикова / Швецова Юлія Вікторівна")</f>
        <v>Христенко / Богданчикова / Швецова Юлія Вікторівна</v>
      </c>
      <c r="G4298" s="7" t="s">
        <v>10</v>
      </c>
      <c r="H4298" s="7">
        <v>2884</v>
      </c>
      <c r="I4298" s="8" t="str">
        <f ca="1">IFERROR(__xludf.DUMMYFUNCTION("IF
(
G4299=""фізична особа""
,
VLOOKUP(H4299,IMPORTRANGE(""https://docs.google.com/spreadsheets/d/14Bd19lYaqBhU8_DElYkX7l4wRkHqqCUFNJY4AfY3kHU/edit?usp=sharing  #gid=0"",""фіз особи new!relations_name""),6,FALSE)
,
(IF
(
G4299=""юридична особа""
,
VLOOKUP"&amp;"(H4299,IMPORTRANGE(""https://docs.google.com/spreadsheets/d/14Bd19lYaqBhU8_DElYkX7l4wRkHqqCUFNJY4AfY3kHU/edit?usp=sharing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298" s="7" t="s">
        <v>84</v>
      </c>
    </row>
    <row r="4299" spans="1:10" ht="13.2">
      <c r="A4299" s="7">
        <v>4298</v>
      </c>
      <c r="B4299" s="7">
        <v>1</v>
      </c>
      <c r="C4299" s="7" t="s">
        <v>10</v>
      </c>
      <c r="D4299" s="7">
        <v>2925</v>
      </c>
      <c r="E4299" s="7" t="s">
        <v>13</v>
      </c>
      <c r="F4299" s="8" t="str">
        <f ca="1">IFERROR(__xludf.DUMMYFUNCTION("IF
(
C4300=""фізична особа""
,
VLOOKUP(D4300,IMPORTRANGE(""https://docs.google.com/spreadsheets/d/14Bd19lYaqBhU8_DElYkX7l4wRkHqqCUFNJY4AfY3kHU/edit?usp=sharing  #gid=0"",""фіз особи new!relations_name""),6,FALSE)
,
(IF
(
C4300=""юридична особа""
,
VLOOKUP"&amp;"(D4300,IMPORTRANGE(""https://docs.google.com/spreadsheets/d/14Bd19lYaqBhU8_DElYkX7l4wRkHqqCUFNJY4AfY3kHU/edit?usp=sharing  #gid=0"",""фіз особи new!relations_name_uo""),7,FALSE)
,
)
))"),"Христенко / Богданчикова / Швецова Юлія Вікторівна")</f>
        <v>Христенко / Богданчикова / Швецова Юлія Вікторівна</v>
      </c>
      <c r="G4299" s="7" t="s">
        <v>10</v>
      </c>
      <c r="H4299" s="7">
        <v>2923</v>
      </c>
      <c r="I4299" s="8" t="str">
        <f ca="1">IFERROR(__xludf.DUMMYFUNCTION("IF
(
G4300=""фізична особа""
,
VLOOKUP(H4300,IMPORTRANGE(""https://docs.google.com/spreadsheets/d/14Bd19lYaqBhU8_DElYkX7l4wRkHqqCUFNJY4AfY3kHU/edit?usp=sharing  #gid=0"",""фіз особи new!relations_name""),6,FALSE)
,
(IF
(
G4300=""юридична особа""
,
VLOOKUP"&amp;"(H4300,IMPORTRANGE(""https://docs.google.com/spreadsheets/d/14Bd19lYaqBhU8_DElYkX7l4wRkHqqCUFNJY4AfY3kHU/edit?usp=sharing  #gid=0"",""фіз особи new!relations_name_uo""),7,FALSE)
,
)
))"),"ХРИСТЕНКО Віктор Борисович")</f>
        <v>ХРИСТЕНКО Віктор Борисович</v>
      </c>
      <c r="J4299" s="7" t="s">
        <v>12</v>
      </c>
    </row>
    <row r="4300" spans="1:10" ht="13.2">
      <c r="A4300" s="7">
        <v>4299</v>
      </c>
      <c r="B4300" s="7">
        <v>1</v>
      </c>
      <c r="C4300" s="7" t="s">
        <v>10</v>
      </c>
      <c r="D4300" s="7">
        <v>2925</v>
      </c>
      <c r="E4300" s="7" t="s">
        <v>15</v>
      </c>
      <c r="F4300" s="8" t="str">
        <f ca="1">IFERROR(__xludf.DUMMYFUNCTION("IF
(
C4301=""фізична особа""
,
VLOOKUP(D4301,IMPORTRANGE(""https://docs.google.com/spreadsheets/d/14Bd19lYaqBhU8_DElYkX7l4wRkHqqCUFNJY4AfY3kHU/edit?usp=sharing  #gid=0"",""фіз особи new!relations_name""),6,FALSE)
,
(IF
(
C4301=""юридична особа""
,
VLOOKUP"&amp;"(D4301,IMPORTRANGE(""https://docs.google.com/spreadsheets/d/14Bd19lYaqBhU8_DElYkX7l4wRkHqqCUFNJY4AfY3kHU/edit?usp=sharing  #gid=0"",""фіз особи new!relations_name_uo""),7,FALSE)
,
)
))"),"Христенко / Богданчикова / Швецова Юлія Вікторівна")</f>
        <v>Христенко / Богданчикова / Швецова Юлія Вікторівна</v>
      </c>
      <c r="G4300" s="7" t="s">
        <v>10</v>
      </c>
      <c r="H4300" s="7">
        <v>2927</v>
      </c>
      <c r="I4300" s="8" t="str">
        <f ca="1">IFERROR(__xludf.DUMMYFUNCTION("IF
(
G4301=""фізична особа""
,
VLOOKUP(H4301,IMPORTRANGE(""https://docs.google.com/spreadsheets/d/14Bd19lYaqBhU8_DElYkX7l4wRkHqqCUFNJY4AfY3kHU/edit?usp=sharing  #gid=0"",""фіз особи new!relations_name""),6,FALSE)
,
(IF
(
G4301=""юридична особа""
,
VLOOKUP"&amp;"(H4301,IMPORTRANGE(""https://docs.google.com/spreadsheets/d/14Bd19lYaqBhU8_DElYkX7l4wRkHqqCUFNJY4AfY3kHU/edit?usp=sharing  #gid=0"",""фіз особи new!relations_name_uo""),7,FALSE)
,
)
))"),"ШВЕЦОВ Вадим Аркадійович")</f>
        <v>ШВЕЦОВ Вадим Аркадійович</v>
      </c>
      <c r="J4300" s="7" t="s">
        <v>14</v>
      </c>
    </row>
    <row r="4301" spans="1:10" ht="13.2">
      <c r="A4301" s="7">
        <v>4300</v>
      </c>
      <c r="B4301" s="7">
        <v>1</v>
      </c>
      <c r="C4301" s="7" t="s">
        <v>10</v>
      </c>
      <c r="D4301" s="7">
        <v>2926</v>
      </c>
      <c r="E4301" s="7" t="s">
        <v>54</v>
      </c>
      <c r="F4301" s="8" t="str">
        <f ca="1">IFERROR(__xludf.DUMMYFUNCTION("IF
(
C4302=""фізична особа""
,
VLOOKUP(D4302,IMPORTRANGE(""https://docs.google.com/spreadsheets/d/14Bd19lYaqBhU8_DElYkX7l4wRkHqqCUFNJY4AfY3kHU/edit?usp=sharing  #gid=0"",""фіз особи new!relations_name""),6,FALSE)
,
(IF
(
C4302=""юридична особа""
,
VLOOKUP"&amp;"(D4302,IMPORTRANGE(""https://docs.google.com/spreadsheets/d/14Bd19lYaqBhU8_DElYkX7l4wRkHqqCUFNJY4AfY3kHU/edit?usp=sharing  #gid=0"",""фіз особи new!relations_name_uo""),7,FALSE)
,
)
))"),"БОГДАНЧИКОВ Євген Сергійович")</f>
        <v>БОГДАНЧИКОВ Євген Сергійович</v>
      </c>
      <c r="G4301" s="7" t="s">
        <v>10</v>
      </c>
      <c r="H4301" s="7">
        <v>2884</v>
      </c>
      <c r="I4301" s="8" t="str">
        <f ca="1">IFERROR(__xludf.DUMMYFUNCTION("IF
(
G4302=""фізична особа""
,
VLOOKUP(H4302,IMPORTRANGE(""https://docs.google.com/spreadsheets/d/14Bd19lYaqBhU8_DElYkX7l4wRkHqqCUFNJY4AfY3kHU/edit?usp=sharing  #gid=0"",""фіз особи new!relations_name""),6,FALSE)
,
(IF
(
G4302=""юридична особа""
,
VLOOKUP"&amp;"(H4302,IMPORTRANGE(""https://docs.google.com/spreadsheets/d/14Bd19lYaqBhU8_DElYkX7l4wRkHqqCUFNJY4AfY3kHU/edit?usp=sharing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301" s="7" t="s">
        <v>27</v>
      </c>
    </row>
    <row r="4302" spans="1:10" ht="13.2">
      <c r="A4302" s="7">
        <v>4301</v>
      </c>
      <c r="B4302" s="7">
        <v>1</v>
      </c>
      <c r="C4302" s="7" t="s">
        <v>10</v>
      </c>
      <c r="D4302" s="7">
        <v>2927</v>
      </c>
      <c r="E4302" s="7" t="s">
        <v>26</v>
      </c>
      <c r="F4302" s="8" t="str">
        <f ca="1">IFERROR(__xludf.DUMMYFUNCTION("IF
(
C4303=""фізична особа""
,
VLOOKUP(D4303,IMPORTRANGE(""https://docs.google.com/spreadsheets/d/14Bd19lYaqBhU8_DElYkX7l4wRkHqqCUFNJY4AfY3kHU/edit?usp=sharing  #gid=0"",""фіз особи new!relations_name""),6,FALSE)
,
(IF
(
C4303=""юридична особа""
,
VLOOKUP"&amp;"(D4303,IMPORTRANGE(""https://docs.google.com/spreadsheets/d/14Bd19lYaqBhU8_DElYkX7l4wRkHqqCUFNJY4AfY3kHU/edit?usp=sharing  #gid=0"",""фіз особи new!relations_name_uo""),7,FALSE)
,
)
))"),"ШВЕЦОВ Вадим Аркадійович")</f>
        <v>ШВЕЦОВ Вадим Аркадійович</v>
      </c>
      <c r="G4302" s="7" t="s">
        <v>10</v>
      </c>
      <c r="H4302" s="7">
        <v>2884</v>
      </c>
      <c r="I4302" s="8" t="str">
        <f ca="1">IFERROR(__xludf.DUMMYFUNCTION("IF
(
G4303=""фізична особа""
,
VLOOKUP(H4303,IMPORTRANGE(""https://docs.google.com/spreadsheets/d/14Bd19lYaqBhU8_DElYkX7l4wRkHqqCUFNJY4AfY3kHU/edit?usp=sharing  #gid=0"",""фіз особи new!relations_name""),6,FALSE)
,
(IF
(
G4303=""юридична особа""
,
VLOOKUP"&amp;"(H4303,IMPORTRANGE(""https://docs.google.com/spreadsheets/d/14Bd19lYaqBhU8_DElYkX7l4wRkHqqCUFNJY4AfY3kHU/edit?usp=sharing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302" s="7" t="s">
        <v>27</v>
      </c>
    </row>
    <row r="4303" spans="1:10" ht="13.2">
      <c r="A4303" s="7">
        <v>4302</v>
      </c>
      <c r="B4303" s="7">
        <v>1</v>
      </c>
      <c r="C4303" s="7" t="s">
        <v>10</v>
      </c>
      <c r="D4303" s="7">
        <v>2928</v>
      </c>
      <c r="E4303" s="7" t="s">
        <v>100</v>
      </c>
      <c r="F4303" s="8" t="str">
        <f ca="1">IFERROR(__xludf.DUMMYFUNCTION("IF
(
C4304=""фізична особа""
,
VLOOKUP(D4304,IMPORTRANGE(""https://docs.google.com/spreadsheets/d/14Bd19lYaqBhU8_DElYkX7l4wRkHqqCUFNJY4AfY3kHU/edit?usp=sharing  #gid=0"",""фіз особи new!relations_name""),6,FALSE)
,
(IF
(
C4304=""юридична особа""
,
VLOOKUP"&amp;"(D4304,IMPORTRANGE(""https://docs.google.com/spreadsheets/d/14Bd19lYaqBhU8_DElYkX7l4wRkHqqCUFNJY4AfY3kHU/edit?usp=sharing  #gid=0"",""фіз особи new!relations_name_uo""),7,FALSE)
,
)
))"),"ХРИСТЕНКО Ангеліна Вікторівна")</f>
        <v>ХРИСТЕНКО Ангеліна Вікторівна</v>
      </c>
      <c r="G4303" s="7" t="s">
        <v>10</v>
      </c>
      <c r="H4303" s="7">
        <v>2884</v>
      </c>
      <c r="I4303" s="8" t="str">
        <f ca="1">IFERROR(__xludf.DUMMYFUNCTION("IF
(
G4304=""фізична особа""
,
VLOOKUP(H4304,IMPORTRANGE(""https://docs.google.com/spreadsheets/d/14Bd19lYaqBhU8_DElYkX7l4wRkHqqCUFNJY4AfY3kHU/edit?usp=sharing  #gid=0"",""фіз особи new!relations_name""),6,FALSE)
,
(IF
(
G4304=""юридична особа""
,
VLOOKUP"&amp;"(H4304,IMPORTRANGE(""https://docs.google.com/spreadsheets/d/14Bd19lYaqBhU8_DElYkX7l4wRkHqqCUFNJY4AfY3kHU/edit?usp=sharing  #gid=0"",""фіз особи new!relations_name_uo""),7,FALSE)
,
)
))"),"ГОЛІКОВА Тетяна Олексіївна")</f>
        <v>ГОЛІКОВА Тетяна Олексіївна</v>
      </c>
      <c r="J4303" s="7" t="s">
        <v>84</v>
      </c>
    </row>
    <row r="4304" spans="1:10" ht="13.2">
      <c r="A4304" s="7">
        <v>4303</v>
      </c>
      <c r="B4304" s="7">
        <v>1</v>
      </c>
      <c r="C4304" s="7" t="s">
        <v>10</v>
      </c>
      <c r="D4304" s="7">
        <v>2929</v>
      </c>
      <c r="E4304" s="7" t="s">
        <v>18</v>
      </c>
      <c r="F4304" s="8" t="str">
        <f ca="1">IFERROR(__xludf.DUMMYFUNCTION("IF
(
C4305=""фізична особа""
,
VLOOKUP(D4305,IMPORTRANGE(""https://docs.google.com/spreadsheets/d/14Bd19lYaqBhU8_DElYkX7l4wRkHqqCUFNJY4AfY3kHU/edit?usp=sharing  #gid=0"",""фіз особи new!relations_name""),6,FALSE)
,
(IF
(
C4305=""юридична особа""
,
VLOOKUP"&amp;"(D4305,IMPORTRANGE(""https://docs.google.com/spreadsheets/d/14Bd19lYaqBhU8_DElYkX7l4wRkHqqCUFNJY4AfY3kHU/edit?usp=sharing  #gid=0"",""фіз особи new!relations_name_uo""),7,FALSE)
,
)
))"),"ГРИГОРЕНКО Сергій Юрійович")</f>
        <v>ГРИГОРЕНКО Сергій Юрійович</v>
      </c>
      <c r="G4304" s="7" t="s">
        <v>10</v>
      </c>
      <c r="H4304" s="7">
        <v>175</v>
      </c>
      <c r="I4304" s="8" t="str">
        <f ca="1">IFERROR(__xludf.DUMMYFUNCTION("IF
(
G4305=""фізична особа""
,
VLOOKUP(H4305,IMPORTRANGE(""https://docs.google.com/spreadsheets/d/14Bd19lYaqBhU8_DElYkX7l4wRkHqqCUFNJY4AfY3kHU/edit?usp=sharing  #gid=0"",""фіз особи new!relations_name""),6,FALSE)
,
(IF
(
G4305=""юридична особа""
,
VLOOKUP"&amp;"(H4305,IMPORTRANGE(""https://docs.google.com/spreadsheets/d/14Bd19lYaqBhU8_DElYkX7l4wRkHqqCUFNJY4AfY3kHU/edit?usp=sharing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J4304" s="7" t="s">
        <v>18</v>
      </c>
    </row>
    <row r="4305" spans="1:10" ht="13.2">
      <c r="A4305" s="7">
        <v>4304</v>
      </c>
      <c r="B4305" s="7">
        <v>1</v>
      </c>
      <c r="C4305" s="7" t="s">
        <v>10</v>
      </c>
      <c r="D4305" s="7">
        <v>2930</v>
      </c>
      <c r="E4305" s="7" t="s">
        <v>13</v>
      </c>
      <c r="F4305" s="8" t="str">
        <f ca="1">IFERROR(__xludf.DUMMYFUNCTION("IF
(
C4306=""фізична особа""
,
VLOOKUP(D4306,IMPORTRANGE(""https://docs.google.com/spreadsheets/d/14Bd19lYaqBhU8_DElYkX7l4wRkHqqCUFNJY4AfY3kHU/edit?usp=sharing  #gid=0"",""фіз особи new!relations_name""),6,FALSE)
,
(IF
(
C4306=""юридична особа""
,
VLOOKUP"&amp;"(D4306,IMPORTRANGE(""https://docs.google.com/spreadsheets/d/14Bd19lYaqBhU8_DElYkX7l4wRkHqqCUFNJY4AfY3kHU/edit?usp=sharing  #gid=0"",""фіз особи new!relations_name_uo""),7,FALSE)
,
)
))"),"ЧЕРНИШЕНКО Дар'я Дмитрівна")</f>
        <v>ЧЕРНИШЕНКО Дар'я Дмитрівна</v>
      </c>
      <c r="G4305" s="7" t="s">
        <v>10</v>
      </c>
      <c r="H4305" s="7">
        <v>197</v>
      </c>
      <c r="I4305" s="8" t="str">
        <f ca="1">IFERROR(__xludf.DUMMYFUNCTION("IF
(
G4306=""фізична особа""
,
VLOOKUP(H4306,IMPORTRANGE(""https://docs.google.com/spreadsheets/d/14Bd19lYaqBhU8_DElYkX7l4wRkHqqCUFNJY4AfY3kHU/edit?usp=sharing  #gid=0"",""фіз особи new!relations_name""),6,FALSE)
,
(IF
(
G4306=""юридична особа""
,
VLOOKUP"&amp;"(H4306,IMPORTRANGE(""https://docs.google.com/spreadsheets/d/14Bd19lYaqBhU8_DElYkX7l4wRkHqqCUFNJY4AfY3kHU/edit?usp=sharing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J4305" s="7" t="s">
        <v>12</v>
      </c>
    </row>
    <row r="4306" spans="1:10" ht="13.2">
      <c r="A4306" s="7">
        <v>4305</v>
      </c>
      <c r="B4306" s="7">
        <v>1</v>
      </c>
      <c r="C4306" s="7" t="s">
        <v>10</v>
      </c>
      <c r="D4306" s="7">
        <v>2931</v>
      </c>
      <c r="E4306" s="7" t="s">
        <v>13</v>
      </c>
      <c r="F4306" s="8" t="str">
        <f ca="1">IFERROR(__xludf.DUMMYFUNCTION("IF
(
C4307=""фізична особа""
,
VLOOKUP(D4307,IMPORTRANGE(""https://docs.google.com/spreadsheets/d/14Bd19lYaqBhU8_DElYkX7l4wRkHqqCUFNJY4AfY3kHU/edit?usp=sharing  #gid=0"",""фіз особи new!relations_name""),6,FALSE)
,
(IF
(
C4307=""юридична особа""
,
VLOOKUP"&amp;"(D4307,IMPORTRANGE(""https://docs.google.com/spreadsheets/d/14Bd19lYaqBhU8_DElYkX7l4wRkHqqCUFNJY4AfY3kHU/edit?usp=sharing  #gid=0"",""фіз особи new!relations_name_uo""),7,FALSE)
,
)
))"),"ЧЕРНИШЕНКО Єлизавета Дмитрівна")</f>
        <v>ЧЕРНИШЕНКО Єлизавета Дмитрівна</v>
      </c>
      <c r="G4306" s="7" t="s">
        <v>10</v>
      </c>
      <c r="H4306" s="7">
        <v>197</v>
      </c>
      <c r="I4306" s="8" t="str">
        <f ca="1">IFERROR(__xludf.DUMMYFUNCTION("IF
(
G4307=""фізична особа""
,
VLOOKUP(H4307,IMPORTRANGE(""https://docs.google.com/spreadsheets/d/14Bd19lYaqBhU8_DElYkX7l4wRkHqqCUFNJY4AfY3kHU/edit?usp=sharing  #gid=0"",""фіз особи new!relations_name""),6,FALSE)
,
(IF
(
G4307=""юридична особа""
,
VLOOKUP"&amp;"(H4307,IMPORTRANGE(""https://docs.google.com/spreadsheets/d/14Bd19lYaqBhU8_DElYkX7l4wRkHqqCUFNJY4AfY3kHU/edit?usp=sharing  #gid=0"",""фіз особи new!relations_name_uo""),7,FALSE)
,
)
))"),"ЧЕРНИШЕНКО Дмитро Миколайович")</f>
        <v>ЧЕРНИШЕНКО Дмитро Миколайович</v>
      </c>
      <c r="J4306" s="7" t="s">
        <v>12</v>
      </c>
    </row>
    <row r="4307" spans="1:10" ht="13.2">
      <c r="A4307" s="7">
        <v>4306</v>
      </c>
      <c r="B4307" s="7">
        <v>1</v>
      </c>
      <c r="C4307" s="7" t="s">
        <v>10</v>
      </c>
      <c r="D4307" s="7">
        <v>2932</v>
      </c>
      <c r="E4307" s="7" t="s">
        <v>13</v>
      </c>
      <c r="F4307" s="8" t="str">
        <f ca="1">IFERROR(__xludf.DUMMYFUNCTION("IF
(
C4308=""фізична особа""
,
VLOOKUP(D4308,IMPORTRANGE(""https://docs.google.com/spreadsheets/d/14Bd19lYaqBhU8_DElYkX7l4wRkHqqCUFNJY4AfY3kHU/edit?usp=sharing  #gid=0"",""фіз особи new!relations_name""),6,FALSE)
,
(IF
(
C4308=""юридична особа""
,
VLOOKUP"&amp;"(D4308,IMPORTRANGE(""https://docs.google.com/spreadsheets/d/14Bd19lYaqBhU8_DElYkX7l4wRkHqqCUFNJY4AfY3kHU/edit?usp=sharing  #gid=0"",""фіз особи new!relations_name_uo""),7,FALSE)
,
)
))"),"Кіреєва / Хуснулліна Аліна Маратівна")</f>
        <v>Кіреєва / Хуснулліна Аліна Маратівна</v>
      </c>
      <c r="G4307" s="7" t="s">
        <v>10</v>
      </c>
      <c r="H4307" s="7">
        <v>419</v>
      </c>
      <c r="I4307" s="8" t="str">
        <f ca="1">IFERROR(__xludf.DUMMYFUNCTION("IF
(
G4308=""фізична особа""
,
VLOOKUP(H4308,IMPORTRANGE(""https://docs.google.com/spreadsheets/d/14Bd19lYaqBhU8_DElYkX7l4wRkHqqCUFNJY4AfY3kHU/edit?usp=sharing  #gid=0"",""фіз особи new!relations_name""),6,FALSE)
,
(IF
(
G4308=""юридична особа""
,
VLOOKUP"&amp;"(H4308,IMPORTRANGE(""https://docs.google.com/spreadsheets/d/14Bd19lYaqBhU8_DElYkX7l4wRkHqqCUFNJY4AfY3kHU/edit?usp=sharing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07" s="7" t="s">
        <v>12</v>
      </c>
    </row>
    <row r="4308" spans="1:10" ht="13.2">
      <c r="A4308" s="7">
        <v>4307</v>
      </c>
      <c r="B4308" s="7">
        <v>1</v>
      </c>
      <c r="C4308" s="7" t="s">
        <v>10</v>
      </c>
      <c r="D4308" s="7">
        <v>2933</v>
      </c>
      <c r="E4308" s="7" t="s">
        <v>26</v>
      </c>
      <c r="F4308" s="8" t="str">
        <f ca="1">IFERROR(__xludf.DUMMYFUNCTION("IF
(
C4309=""фізична особа""
,
VLOOKUP(D4309,IMPORTRANGE(""https://docs.google.com/spreadsheets/d/14Bd19lYaqBhU8_DElYkX7l4wRkHqqCUFNJY4AfY3kHU/edit?usp=sharing  #gid=0"",""фіз особи new!relations_name""),6,FALSE)
,
(IF
(
C4309=""юридична особа""
,
VLOOKUP"&amp;"(D4309,IMPORTRANGE(""https://docs.google.com/spreadsheets/d/14Bd19lYaqBhU8_DElYkX7l4wRkHqqCUFNJY4AfY3kHU/edit?usp=sharing  #gid=0"",""фіз особи new!relations_name_uo""),7,FALSE)
,
)
))"),"КИРЕЄВ Євген Сергійович")</f>
        <v>КИРЕЄВ Євген Сергійович</v>
      </c>
      <c r="G4308" s="7" t="s">
        <v>10</v>
      </c>
      <c r="H4308" s="7">
        <v>419</v>
      </c>
      <c r="I4308" s="8" t="str">
        <f ca="1">IFERROR(__xludf.DUMMYFUNCTION("IF
(
G4309=""фізична особа""
,
VLOOKUP(H4309,IMPORTRANGE(""https://docs.google.com/spreadsheets/d/14Bd19lYaqBhU8_DElYkX7l4wRkHqqCUFNJY4AfY3kHU/edit?usp=sharing  #gid=0"",""фіз особи new!relations_name""),6,FALSE)
,
(IF
(
G4309=""юридична особа""
,
VLOOKUP"&amp;"(H4309,IMPORTRANGE(""https://docs.google.com/spreadsheets/d/14Bd19lYaqBhU8_DElYkX7l4wRkHqqCUFNJY4AfY3kHU/edit?usp=sharing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08" s="7" t="s">
        <v>24</v>
      </c>
    </row>
    <row r="4309" spans="1:10" ht="13.2">
      <c r="A4309" s="7">
        <v>4308</v>
      </c>
      <c r="B4309" s="7">
        <v>1</v>
      </c>
      <c r="C4309" s="7" t="s">
        <v>10</v>
      </c>
      <c r="D4309" s="7">
        <v>2933</v>
      </c>
      <c r="E4309" s="7" t="s">
        <v>17</v>
      </c>
      <c r="F4309" s="8" t="str">
        <f ca="1">IFERROR(__xludf.DUMMYFUNCTION("IF
(
C4310=""фізична особа""
,
VLOOKUP(D4310,IMPORTRANGE(""https://docs.google.com/spreadsheets/d/14Bd19lYaqBhU8_DElYkX7l4wRkHqqCUFNJY4AfY3kHU/edit?usp=sharing  #gid=0"",""фіз особи new!relations_name""),6,FALSE)
,
(IF
(
C4310=""юридична особа""
,
VLOOKUP"&amp;"(D4310,IMPORTRANGE(""https://docs.google.com/spreadsheets/d/14Bd19lYaqBhU8_DElYkX7l4wRkHqqCUFNJY4AfY3kHU/edit?usp=sharing  #gid=0"",""фіз особи new!relations_name_uo""),7,FALSE)
,
)
))"),"КИРЕЄВ Євген Сергійович")</f>
        <v>КИРЕЄВ Євген Сергійович</v>
      </c>
      <c r="G4309" s="7" t="s">
        <v>10</v>
      </c>
      <c r="H4309" s="7">
        <v>3367</v>
      </c>
      <c r="I4309" s="8" t="str">
        <f ca="1">IFERROR(__xludf.DUMMYFUNCTION("IF
(
G4310=""фізична особа""
,
VLOOKUP(H4310,IMPORTRANGE(""https://docs.google.com/spreadsheets/d/14Bd19lYaqBhU8_DElYkX7l4wRkHqqCUFNJY4AfY3kHU/edit?usp=sharing  #gid=0"",""фіз особи new!relations_name""),6,FALSE)
,
(IF
(
G4310=""юридична особа""
,
VLOOKUP"&amp;"(H4310,IMPORTRANGE(""https://docs.google.com/spreadsheets/d/14Bd19lYaqBhU8_DElYkX7l4wRkHqqCUFNJY4AfY3kHU/edit?usp=sharing  #gid=0"",""фіз особи new!relations_name_uo""),7,FALSE)
,
)
))"),"КІРЄЄВ Сергій Георгійович")</f>
        <v>КІРЄЄВ Сергій Георгійович</v>
      </c>
      <c r="J4309" s="7" t="s">
        <v>12</v>
      </c>
    </row>
    <row r="4310" spans="1:10" ht="13.2">
      <c r="A4310" s="7">
        <v>4309</v>
      </c>
      <c r="B4310" s="7">
        <v>1</v>
      </c>
      <c r="C4310" s="7" t="s">
        <v>10</v>
      </c>
      <c r="D4310" s="7">
        <v>2934</v>
      </c>
      <c r="E4310" s="7" t="s">
        <v>17</v>
      </c>
      <c r="F4310" s="8" t="str">
        <f ca="1">IFERROR(__xludf.DUMMYFUNCTION("IF
(
C4311=""фізична особа""
,
VLOOKUP(D4311,IMPORTRANGE(""https://docs.google.com/spreadsheets/d/14Bd19lYaqBhU8_DElYkX7l4wRkHqqCUFNJY4AfY3kHU/edit?usp=sharing  #gid=0"",""фіз особи new!relations_name""),6,FALSE)
,
(IF
(
C4311=""юридична особа""
,
VLOOKUP"&amp;"(D4311,IMPORTRANGE(""https://docs.google.com/spreadsheets/d/14Bd19lYaqBhU8_DElYkX7l4wRkHqqCUFNJY4AfY3kHU/edit?usp=sharing  #gid=0"",""фіз особи new!relations_name_uo""),7,FALSE)
,
)
))"),"ХУСНУЛЛІН Альберт Маратович")</f>
        <v>ХУСНУЛЛІН Альберт Маратович</v>
      </c>
      <c r="G4310" s="7" t="s">
        <v>10</v>
      </c>
      <c r="H4310" s="7">
        <v>419</v>
      </c>
      <c r="I4310" s="8" t="str">
        <f ca="1">IFERROR(__xludf.DUMMYFUNCTION("IF
(
G4311=""фізична особа""
,
VLOOKUP(H4311,IMPORTRANGE(""https://docs.google.com/spreadsheets/d/14Bd19lYaqBhU8_DElYkX7l4wRkHqqCUFNJY4AfY3kHU/edit?usp=sharing  #gid=0"",""фіз особи new!relations_name""),6,FALSE)
,
(IF
(
G4311=""юридична особа""
,
VLOOKUP"&amp;"(H4311,IMPORTRANGE(""https://docs.google.com/spreadsheets/d/14Bd19lYaqBhU8_DElYkX7l4wRkHqqCUFNJY4AfY3kHU/edit?usp=sharing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0" s="7" t="s">
        <v>12</v>
      </c>
    </row>
    <row r="4311" spans="1:10" ht="13.2">
      <c r="A4311" s="7">
        <v>4310</v>
      </c>
      <c r="B4311" s="7">
        <v>1</v>
      </c>
      <c r="C4311" s="7" t="s">
        <v>10</v>
      </c>
      <c r="D4311" s="7">
        <v>2935</v>
      </c>
      <c r="E4311" s="7" t="s">
        <v>13</v>
      </c>
      <c r="F4311" s="8" t="str">
        <f ca="1">IFERROR(__xludf.DUMMYFUNCTION("IF
(
C4312=""фізична особа""
,
VLOOKUP(D4312,IMPORTRANGE(""https://docs.google.com/spreadsheets/d/14Bd19lYaqBhU8_DElYkX7l4wRkHqqCUFNJY4AfY3kHU/edit?usp=sharing  #gid=0"",""фіз особи new!relations_name""),6,FALSE)
,
(IF
(
C4312=""юридична особа""
,
VLOOKUP"&amp;"(D4312,IMPORTRANGE(""https://docs.google.com/spreadsheets/d/14Bd19lYaqBhU8_DElYkX7l4wRkHqqCUFNJY4AfY3kHU/edit?usp=sharing  #gid=0"",""фіз особи new!relations_name_uo""),7,FALSE)
,
)
))"),"ХУСНУЛЛІНА Маліка Маратівна")</f>
        <v>ХУСНУЛЛІНА Маліка Маратівна</v>
      </c>
      <c r="G4311" s="7" t="s">
        <v>10</v>
      </c>
      <c r="H4311" s="7">
        <v>419</v>
      </c>
      <c r="I4311" s="8" t="str">
        <f ca="1">IFERROR(__xludf.DUMMYFUNCTION("IF
(
G4312=""фізична особа""
,
VLOOKUP(H4312,IMPORTRANGE(""https://docs.google.com/spreadsheets/d/14Bd19lYaqBhU8_DElYkX7l4wRkHqqCUFNJY4AfY3kHU/edit?usp=sharing  #gid=0"",""фіз особи new!relations_name""),6,FALSE)
,
(IF
(
G4312=""юридична особа""
,
VLOOKUP"&amp;"(H4312,IMPORTRANGE(""https://docs.google.com/spreadsheets/d/14Bd19lYaqBhU8_DElYkX7l4wRkHqqCUFNJY4AfY3kHU/edit?usp=sharing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1" s="7" t="s">
        <v>12</v>
      </c>
    </row>
    <row r="4312" spans="1:10" ht="13.2">
      <c r="A4312" s="7">
        <v>4311</v>
      </c>
      <c r="B4312" s="7">
        <v>1</v>
      </c>
      <c r="C4312" s="7" t="s">
        <v>10</v>
      </c>
      <c r="D4312" s="7">
        <v>2936</v>
      </c>
      <c r="E4312" s="7" t="s">
        <v>43</v>
      </c>
      <c r="F4312" s="8" t="str">
        <f ca="1">IFERROR(__xludf.DUMMYFUNCTION("IF
(
C4313=""фізична особа""
,
VLOOKUP(D4313,IMPORTRANGE(""https://docs.google.com/spreadsheets/d/14Bd19lYaqBhU8_DElYkX7l4wRkHqqCUFNJY4AfY3kHU/edit?usp=sharing  #gid=0"",""фіз особи new!relations_name""),6,FALSE)
,
(IF
(
C4313=""юридична особа""
,
VLOOKUP"&amp;"(D4313,IMPORTRANGE(""https://docs.google.com/spreadsheets/d/14Bd19lYaqBhU8_DElYkX7l4wRkHqqCUFNJY4AfY3kHU/edit?usp=sharing  #gid=0"",""фіз особи new!relations_name_uo""),7,FALSE)
,
)
))"),"Харисова / Хуснулліна Лілія Наільївна")</f>
        <v>Харисова / Хуснулліна Лілія Наільївна</v>
      </c>
      <c r="G4312" s="7" t="s">
        <v>10</v>
      </c>
      <c r="H4312" s="7">
        <v>419</v>
      </c>
      <c r="I4312" s="8" t="str">
        <f ca="1">IFERROR(__xludf.DUMMYFUNCTION("IF
(
G4313=""фізична особа""
,
VLOOKUP(H4313,IMPORTRANGE(""https://docs.google.com/spreadsheets/d/14Bd19lYaqBhU8_DElYkX7l4wRkHqqCUFNJY4AfY3kHU/edit?usp=sharing  #gid=0"",""фіз особи new!relations_name""),6,FALSE)
,
(IF
(
G4313=""юридична особа""
,
VLOOKUP"&amp;"(H4313,IMPORTRANGE(""https://docs.google.com/spreadsheets/d/14Bd19lYaqBhU8_DElYkX7l4wRkHqqCUFNJY4AfY3kHU/edit?usp=sharing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2" s="7" t="s">
        <v>42</v>
      </c>
    </row>
    <row r="4313" spans="1:10" ht="13.2">
      <c r="A4313" s="7">
        <v>4312</v>
      </c>
      <c r="B4313" s="7">
        <v>1</v>
      </c>
      <c r="C4313" s="7" t="s">
        <v>10</v>
      </c>
      <c r="D4313" s="7">
        <v>2937</v>
      </c>
      <c r="E4313" s="7" t="s">
        <v>47</v>
      </c>
      <c r="F4313" s="8" t="str">
        <f ca="1">IFERROR(__xludf.DUMMYFUNCTION("IF
(
C4314=""фізична особа""
,
VLOOKUP(D4314,IMPORTRANGE(""https://docs.google.com/spreadsheets/d/14Bd19lYaqBhU8_DElYkX7l4wRkHqqCUFNJY4AfY3kHU/edit?usp=sharing  #gid=0"",""фіз особи new!relations_name""),6,FALSE)
,
(IF
(
C4314=""юридична особа""
,
VLOOKUP"&amp;"(D4314,IMPORTRANGE(""https://docs.google.com/spreadsheets/d/14Bd19lYaqBhU8_DElYkX7l4wRkHqqCUFNJY4AfY3kHU/edit?usp=sharing  #gid=0"",""фіз особи new!relations_name_uo""),7,FALSE)
,
)
))"),"МЕРКУЛОВА Ганна Дмитрівна")</f>
        <v>МЕРКУЛОВА Ганна Дмитрівна</v>
      </c>
      <c r="G4313" s="7" t="s">
        <v>10</v>
      </c>
      <c r="H4313" s="7">
        <v>419</v>
      </c>
      <c r="I4313" s="8" t="str">
        <f ca="1">IFERROR(__xludf.DUMMYFUNCTION("IF
(
G4314=""фізична особа""
,
VLOOKUP(H4314,IMPORTRANGE(""https://docs.google.com/spreadsheets/d/14Bd19lYaqBhU8_DElYkX7l4wRkHqqCUFNJY4AfY3kHU/edit?usp=sharing  #gid=0"",""фіз особи new!relations_name""),6,FALSE)
,
(IF
(
G4314=""юридична особа""
,
VLOOKUP"&amp;"(H4314,IMPORTRANGE(""https://docs.google.com/spreadsheets/d/14Bd19lYaqBhU8_DElYkX7l4wRkHqqCUFNJY4AfY3kHU/edit?usp=sharing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3" s="7" t="s">
        <v>46</v>
      </c>
    </row>
    <row r="4314" spans="1:10" ht="13.2">
      <c r="A4314" s="7">
        <v>4313</v>
      </c>
      <c r="B4314" s="7">
        <v>1</v>
      </c>
      <c r="C4314" s="7" t="s">
        <v>10</v>
      </c>
      <c r="D4314" s="7">
        <v>2938</v>
      </c>
      <c r="E4314" s="7" t="s">
        <v>44</v>
      </c>
      <c r="F4314" s="8" t="str">
        <f ca="1">IFERROR(__xludf.DUMMYFUNCTION("IF
(
C4315=""фізична особа""
,
VLOOKUP(D4315,IMPORTRANGE(""https://docs.google.com/spreadsheets/d/14Bd19lYaqBhU8_DElYkX7l4wRkHqqCUFNJY4AfY3kHU/edit?usp=sharing  #gid=0"",""фіз особи new!relations_name""),6,FALSE)
,
(IF
(
C4315=""юридична особа""
,
VLOOKUP"&amp;"(D4315,IMPORTRANGE(""https://docs.google.com/spreadsheets/d/14Bd19lYaqBhU8_DElYkX7l4wRkHqqCUFNJY4AfY3kHU/edit?usp=sharing  #gid=0"",""фіз особи new!relations_name_uo""),7,FALSE)
,
)
))"),"МІННІХАНОВ Ільдус Замільєвич")</f>
        <v>МІННІХАНОВ Ільдус Замільєвич</v>
      </c>
      <c r="G4314" s="7" t="s">
        <v>10</v>
      </c>
      <c r="H4314" s="7">
        <v>419</v>
      </c>
      <c r="I4314" s="8" t="str">
        <f ca="1">IFERROR(__xludf.DUMMYFUNCTION("IF
(
G4315=""фізична особа""
,
VLOOKUP(H4315,IMPORTRANGE(""https://docs.google.com/spreadsheets/d/14Bd19lYaqBhU8_DElYkX7l4wRkHqqCUFNJY4AfY3kHU/edit?usp=sharing  #gid=0"",""фіз особи new!relations_name""),6,FALSE)
,
(IF
(
G4315=""юридична особа""
,
VLOOKUP"&amp;"(H4315,IMPORTRANGE(""https://docs.google.com/spreadsheets/d/14Bd19lYaqBhU8_DElYkX7l4wRkHqqCUFNJY4AfY3kHU/edit?usp=sharing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4" s="7" t="s">
        <v>44</v>
      </c>
    </row>
    <row r="4315" spans="1:10" ht="13.2">
      <c r="A4315" s="7">
        <v>4314</v>
      </c>
      <c r="B4315" s="7">
        <v>1</v>
      </c>
      <c r="C4315" s="7" t="s">
        <v>10</v>
      </c>
      <c r="D4315" s="7">
        <v>2939</v>
      </c>
      <c r="E4315" s="7" t="s">
        <v>72</v>
      </c>
      <c r="F4315" s="8" t="str">
        <f ca="1">IFERROR(__xludf.DUMMYFUNCTION("IF
(
C4316=""фізична особа""
,
VLOOKUP(D4316,IMPORTRANGE(""https://docs.google.com/spreadsheets/d/14Bd19lYaqBhU8_DElYkX7l4wRkHqqCUFNJY4AfY3kHU/edit?usp=sharing  #gid=0"",""фіз особи new!relations_name""),6,FALSE)
,
(IF
(
C4316=""юридична особа""
,
VLOOKUP"&amp;"(D4316,IMPORTRANGE(""https://docs.google.com/spreadsheets/d/14Bd19lYaqBhU8_DElYkX7l4wRkHqqCUFNJY4AfY3kHU/edit?usp=sharing  #gid=0"",""фіз особи new!relations_name_uo""),7,FALSE)
,
)
))"),"МІННІХАНОВА Ліана Ільдусівна")</f>
        <v>МІННІХАНОВА Ліана Ільдусівна</v>
      </c>
      <c r="G4315" s="7" t="s">
        <v>10</v>
      </c>
      <c r="H4315" s="7">
        <v>419</v>
      </c>
      <c r="I4315" s="8" t="str">
        <f ca="1">IFERROR(__xludf.DUMMYFUNCTION("IF
(
G4316=""фізична особа""
,
VLOOKUP(H4316,IMPORTRANGE(""https://docs.google.com/spreadsheets/d/14Bd19lYaqBhU8_DElYkX7l4wRkHqqCUFNJY4AfY3kHU/edit?usp=sharing  #gid=0"",""фіз особи new!relations_name""),6,FALSE)
,
(IF
(
G4316=""юридична особа""
,
VLOOKUP"&amp;"(H4316,IMPORTRANGE(""https://docs.google.com/spreadsheets/d/14Bd19lYaqBhU8_DElYkX7l4wRkHqqCUFNJY4AfY3kHU/edit?usp=sharing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5" s="7" t="s">
        <v>71</v>
      </c>
    </row>
    <row r="4316" spans="1:10" ht="13.2">
      <c r="A4316" s="7">
        <v>4315</v>
      </c>
      <c r="B4316" s="7">
        <v>1</v>
      </c>
      <c r="C4316" s="7" t="s">
        <v>10</v>
      </c>
      <c r="D4316" s="7">
        <v>2940</v>
      </c>
      <c r="E4316" s="7" t="s">
        <v>65</v>
      </c>
      <c r="F4316" s="8" t="str">
        <f ca="1">IFERROR(__xludf.DUMMYFUNCTION("IF
(
C4317=""фізична особа""
,
VLOOKUP(D4317,IMPORTRANGE(""https://docs.google.com/spreadsheets/d/14Bd19lYaqBhU8_DElYkX7l4wRkHqqCUFNJY4AfY3kHU/edit?usp=sharing  #gid=0"",""фіз особи new!relations_name""),6,FALSE)
,
(IF
(
C4317=""юридична особа""
,
VLOOKUP"&amp;"(D4317,IMPORTRANGE(""https://docs.google.com/spreadsheets/d/14Bd19lYaqBhU8_DElYkX7l4wRkHqqCUFNJY4AfY3kHU/edit?usp=sharing  #gid=0"",""фіз особи new!relations_name_uo""),7,FALSE)
,
)
))"),"Мінніханова / Шеммедова Христина Оразівна")</f>
        <v>Мінніханова / Шеммедова Христина Оразівна</v>
      </c>
      <c r="G4316" s="7" t="s">
        <v>10</v>
      </c>
      <c r="H4316" s="7">
        <v>419</v>
      </c>
      <c r="I4316" s="8" t="str">
        <f ca="1">IFERROR(__xludf.DUMMYFUNCTION("IF
(
G4317=""фізична особа""
,
VLOOKUP(H4317,IMPORTRANGE(""https://docs.google.com/spreadsheets/d/14Bd19lYaqBhU8_DElYkX7l4wRkHqqCUFNJY4AfY3kHU/edit?usp=sharing  #gid=0"",""фіз особи new!relations_name""),6,FALSE)
,
(IF
(
G4317=""юридична особа""
,
VLOOKUP"&amp;"(H4317,IMPORTRANGE(""https://docs.google.com/spreadsheets/d/14Bd19lYaqBhU8_DElYkX7l4wRkHqqCUFNJY4AfY3kHU/edit?usp=sharing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6" s="7" t="s">
        <v>65</v>
      </c>
    </row>
    <row r="4317" spans="1:10" ht="13.2">
      <c r="A4317" s="7">
        <v>4316</v>
      </c>
      <c r="B4317" s="7">
        <v>1</v>
      </c>
      <c r="C4317" s="7" t="s">
        <v>10</v>
      </c>
      <c r="D4317" s="7">
        <v>2941</v>
      </c>
      <c r="E4317" s="7" t="s">
        <v>65</v>
      </c>
      <c r="F4317" s="8" t="str">
        <f ca="1">IFERROR(__xludf.DUMMYFUNCTION("IF
(
C4318=""фізична особа""
,
VLOOKUP(D4318,IMPORTRANGE(""https://docs.google.com/spreadsheets/d/14Bd19lYaqBhU8_DElYkX7l4wRkHqqCUFNJY4AfY3kHU/edit?usp=sharing  #gid=0"",""фіз особи new!relations_name""),6,FALSE)
,
(IF
(
C4318=""юридична особа""
,
VLOOKUP"&amp;"(D4318,IMPORTRANGE(""https://docs.google.com/spreadsheets/d/14Bd19lYaqBhU8_DElYkX7l4wRkHqqCUFNJY4AfY3kHU/edit?usp=sharing  #gid=0"",""фіз особи new!relations_name_uo""),7,FALSE)
,
)
))"),"ШЕММЕДОВ Максат Оразович")</f>
        <v>ШЕММЕДОВ Максат Оразович</v>
      </c>
      <c r="G4317" s="7" t="s">
        <v>10</v>
      </c>
      <c r="H4317" s="7">
        <v>419</v>
      </c>
      <c r="I4317" s="8" t="str">
        <f ca="1">IFERROR(__xludf.DUMMYFUNCTION("IF
(
G4318=""фізична особа""
,
VLOOKUP(H4318,IMPORTRANGE(""https://docs.google.com/spreadsheets/d/14Bd19lYaqBhU8_DElYkX7l4wRkHqqCUFNJY4AfY3kHU/edit?usp=sharing  #gid=0"",""фіз особи new!relations_name""),6,FALSE)
,
(IF
(
G4318=""юридична особа""
,
VLOOKUP"&amp;"(H4318,IMPORTRANGE(""https://docs.google.com/spreadsheets/d/14Bd19lYaqBhU8_DElYkX7l4wRkHqqCUFNJY4AfY3kHU/edit?usp=sharing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317" s="7" t="s">
        <v>65</v>
      </c>
    </row>
    <row r="4318" spans="1:10" ht="13.2">
      <c r="A4318" s="7">
        <v>4317</v>
      </c>
      <c r="B4318" s="7">
        <v>1</v>
      </c>
      <c r="C4318" s="7" t="s">
        <v>10</v>
      </c>
      <c r="D4318" s="7">
        <v>2942</v>
      </c>
      <c r="E4318" s="7" t="s">
        <v>28</v>
      </c>
      <c r="F4318" s="8" t="str">
        <f ca="1">IFERROR(__xludf.DUMMYFUNCTION("IF
(
C4319=""фізична особа""
,
VLOOKUP(D4319,IMPORTRANGE(""https://docs.google.com/spreadsheets/d/14Bd19lYaqBhU8_DElYkX7l4wRkHqqCUFNJY4AfY3kHU/edit?usp=sharing  #gid=0"",""фіз особи new!relations_name""),6,FALSE)
,
(IF
(
C4319=""юридична особа""
,
VLOOKUP"&amp;"(D4319,IMPORTRANGE(""https://docs.google.com/spreadsheets/d/14Bd19lYaqBhU8_DElYkX7l4wRkHqqCUFNJY4AfY3kHU/edit?usp=sharing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G4318" s="7" t="s">
        <v>10</v>
      </c>
      <c r="H4318" s="7">
        <v>2304</v>
      </c>
      <c r="I4318" s="8" t="str">
        <f ca="1">IFERROR(__xludf.DUMMYFUNCTION("IF
(
G4319=""фізична особа""
,
VLOOKUP(H4319,IMPORTRANGE(""https://docs.google.com/spreadsheets/d/14Bd19lYaqBhU8_DElYkX7l4wRkHqqCUFNJY4AfY3kHU/edit?usp=sharing  #gid=0"",""фіз особи new!relations_name""),6,FALSE)
,
(IF
(
G4319=""юридична особа""
,
VLOOKUP"&amp;"(H4319,IMPORTRANGE(""https://docs.google.com/spreadsheets/d/14Bd19lYaqBhU8_DElYkX7l4wRkHqqCUFNJY4AfY3kHU/edit?usp=sharing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318" s="7" t="s">
        <v>29</v>
      </c>
    </row>
    <row r="4319" spans="1:10" ht="13.2">
      <c r="A4319" s="7">
        <v>4318</v>
      </c>
      <c r="B4319" s="7">
        <v>1</v>
      </c>
      <c r="C4319" s="7" t="s">
        <v>10</v>
      </c>
      <c r="D4319" s="7">
        <v>2943</v>
      </c>
      <c r="E4319" s="7" t="s">
        <v>28</v>
      </c>
      <c r="F4319" s="8" t="str">
        <f ca="1">IFERROR(__xludf.DUMMYFUNCTION("IF
(
C4320=""фізична особа""
,
VLOOKUP(D4320,IMPORTRANGE(""https://docs.google.com/spreadsheets/d/14Bd19lYaqBhU8_DElYkX7l4wRkHqqCUFNJY4AfY3kHU/edit?usp=sharing  #gid=0"",""фіз особи new!relations_name""),6,FALSE)
,
(IF
(
C4320=""юридична особа""
,
VLOOKUP"&amp;"(D4320,IMPORTRANGE(""https://docs.google.com/spreadsheets/d/14Bd19lYaqBhU8_DElYkX7l4wRkHqqCUFNJY4AfY3kHU/edit?usp=sharing  #gid=0"",""фіз особи new!relations_name_uo""),7,FALSE)
,
)
))"),"ЗАЙЦЕВ Дмитро Ігорович")</f>
        <v>ЗАЙЦЕВ Дмитро Ігорович</v>
      </c>
      <c r="G4319" s="7" t="s">
        <v>10</v>
      </c>
      <c r="H4319" s="7">
        <v>2942</v>
      </c>
      <c r="I4319" s="8" t="str">
        <f ca="1">IFERROR(__xludf.DUMMYFUNCTION("IF
(
G4320=""фізична особа""
,
VLOOKUP(H4320,IMPORTRANGE(""https://docs.google.com/spreadsheets/d/14Bd19lYaqBhU8_DElYkX7l4wRkHqqCUFNJY4AfY3kHU/edit?usp=sharing  #gid=0"",""фіз особи new!relations_name""),6,FALSE)
,
(IF
(
G4320=""юридична особа""
,
VLOOKUP"&amp;"(H4320,IMPORTRANGE(""https://docs.google.com/spreadsheets/d/14Bd19lYaqBhU8_DElYkX7l4wRkHqqCUFNJY4AfY3kHU/edit?usp=sharing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4319" s="7" t="s">
        <v>29</v>
      </c>
    </row>
    <row r="4320" spans="1:10" ht="13.2">
      <c r="A4320" s="7">
        <v>4319</v>
      </c>
      <c r="B4320" s="7">
        <v>1</v>
      </c>
      <c r="C4320" s="7" t="s">
        <v>10</v>
      </c>
      <c r="D4320" s="7">
        <v>2944</v>
      </c>
      <c r="E4320" s="7" t="s">
        <v>28</v>
      </c>
      <c r="F4320" s="8" t="str">
        <f ca="1">IFERROR(__xludf.DUMMYFUNCTION("IF
(
C4321=""фізична особа""
,
VLOOKUP(D4321,IMPORTRANGE(""https://docs.google.com/spreadsheets/d/14Bd19lYaqBhU8_DElYkX7l4wRkHqqCUFNJY4AfY3kHU/edit?usp=sharing  #gid=0"",""фіз особи new!relations_name""),6,FALSE)
,
(IF
(
C4321=""юридична особа""
,
VLOOKUP"&amp;"(D4321,IMPORTRANGE(""https://docs.google.com/spreadsheets/d/14Bd19lYaqBhU8_DElYkX7l4wRkHqqCUFNJY4AfY3kHU/edit?usp=sharing  #gid=0"",""фіз особи new!relations_name_uo""),7,FALSE)
,
)
))"),"СОКОЛОВ Володимир Володимирович")</f>
        <v>СОКОЛОВ Володимир Володимирович</v>
      </c>
      <c r="G4320" s="7" t="s">
        <v>10</v>
      </c>
      <c r="H4320" s="7">
        <v>2942</v>
      </c>
      <c r="I4320" s="8" t="str">
        <f ca="1">IFERROR(__xludf.DUMMYFUNCTION("IF
(
G4321=""фізична особа""
,
VLOOKUP(H4321,IMPORTRANGE(""https://docs.google.com/spreadsheets/d/14Bd19lYaqBhU8_DElYkX7l4wRkHqqCUFNJY4AfY3kHU/edit?usp=sharing  #gid=0"",""фіз особи new!relations_name""),6,FALSE)
,
(IF
(
G4321=""юридична особа""
,
VLOOKUP"&amp;"(H4321,IMPORTRANGE(""https://docs.google.com/spreadsheets/d/14Bd19lYaqBhU8_DElYkX7l4wRkHqqCUFNJY4AfY3kHU/edit?usp=sharing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4320" s="7" t="s">
        <v>29</v>
      </c>
    </row>
    <row r="4321" spans="1:10" ht="13.2">
      <c r="A4321" s="7">
        <v>4320</v>
      </c>
      <c r="B4321" s="7">
        <v>1</v>
      </c>
      <c r="C4321" s="7" t="s">
        <v>10</v>
      </c>
      <c r="D4321" s="7">
        <v>2945</v>
      </c>
      <c r="E4321" s="7" t="s">
        <v>28</v>
      </c>
      <c r="F4321" s="8" t="str">
        <f ca="1">IFERROR(__xludf.DUMMYFUNCTION("IF
(
C4322=""фізична особа""
,
VLOOKUP(D4322,IMPORTRANGE(""https://docs.google.com/spreadsheets/d/14Bd19lYaqBhU8_DElYkX7l4wRkHqqCUFNJY4AfY3kHU/edit?usp=sharing  #gid=0"",""фіз особи new!relations_name""),6,FALSE)
,
(IF
(
C4322=""юридична особа""
,
VLOOKUP"&amp;"(D4322,IMPORTRANGE(""https://docs.google.com/spreadsheets/d/14Bd19lYaqBhU8_DElYkX7l4wRkHqqCUFNJY4AfY3kHU/edit?usp=sharing  #gid=0"",""фіз особи new!relations_name_uo""),7,FALSE)
,
)
))"),"РАДЬКОВА Наталія Володимирівна")</f>
        <v>РАДЬКОВА Наталія Володимирівна</v>
      </c>
      <c r="G4321" s="7" t="s">
        <v>10</v>
      </c>
      <c r="H4321" s="7">
        <v>2942</v>
      </c>
      <c r="I4321" s="8" t="str">
        <f ca="1">IFERROR(__xludf.DUMMYFUNCTION("IF
(
G4322=""фізична особа""
,
VLOOKUP(H4322,IMPORTRANGE(""https://docs.google.com/spreadsheets/d/14Bd19lYaqBhU8_DElYkX7l4wRkHqqCUFNJY4AfY3kHU/edit?usp=sharing  #gid=0"",""фіз особи new!relations_name""),6,FALSE)
,
(IF
(
G4322=""юридична особа""
,
VLOOKUP"&amp;"(H4322,IMPORTRANGE(""https://docs.google.com/spreadsheets/d/14Bd19lYaqBhU8_DElYkX7l4wRkHqqCUFNJY4AfY3kHU/edit?usp=sharing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4321" s="7" t="s">
        <v>29</v>
      </c>
    </row>
    <row r="4322" spans="1:10" ht="13.2">
      <c r="A4322" s="7">
        <v>4321</v>
      </c>
      <c r="B4322" s="7">
        <v>1</v>
      </c>
      <c r="C4322" s="7" t="s">
        <v>10</v>
      </c>
      <c r="D4322" s="7">
        <v>2946</v>
      </c>
      <c r="E4322" s="7" t="s">
        <v>28</v>
      </c>
      <c r="F4322" s="8" t="str">
        <f ca="1">IFERROR(__xludf.DUMMYFUNCTION("IF
(
C4323=""фізична особа""
,
VLOOKUP(D4323,IMPORTRANGE(""https://docs.google.com/spreadsheets/d/14Bd19lYaqBhU8_DElYkX7l4wRkHqqCUFNJY4AfY3kHU/edit?usp=sharing  #gid=0"",""фіз особи new!relations_name""),6,FALSE)
,
(IF
(
C4323=""юридична особа""
,
VLOOKUP"&amp;"(D4323,IMPORTRANGE(""https://docs.google.com/spreadsheets/d/14Bd19lYaqBhU8_DElYkX7l4wRkHqqCUFNJY4AfY3kHU/edit?usp=sharing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G4322" s="7" t="s">
        <v>10</v>
      </c>
      <c r="H4322" s="7">
        <v>2304</v>
      </c>
      <c r="I4322" s="8" t="str">
        <f ca="1">IFERROR(__xludf.DUMMYFUNCTION("IF
(
G4323=""фізична особа""
,
VLOOKUP(H4323,IMPORTRANGE(""https://docs.google.com/spreadsheets/d/14Bd19lYaqBhU8_DElYkX7l4wRkHqqCUFNJY4AfY3kHU/edit?usp=sharing  #gid=0"",""фіз особи new!relations_name""),6,FALSE)
,
(IF
(
G4323=""юридична особа""
,
VLOOKUP"&amp;"(H4323,IMPORTRANGE(""https://docs.google.com/spreadsheets/d/14Bd19lYaqBhU8_DElYkX7l4wRkHqqCUFNJY4AfY3kHU/edit?usp=sharing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322" s="7" t="s">
        <v>29</v>
      </c>
    </row>
    <row r="4323" spans="1:10" ht="13.2">
      <c r="A4323" s="7">
        <v>4322</v>
      </c>
      <c r="B4323" s="7">
        <v>1</v>
      </c>
      <c r="C4323" s="7" t="s">
        <v>10</v>
      </c>
      <c r="D4323" s="7">
        <v>2947</v>
      </c>
      <c r="E4323" s="7" t="s">
        <v>28</v>
      </c>
      <c r="F4323" s="8" t="str">
        <f ca="1">IFERROR(__xludf.DUMMYFUNCTION("IF
(
C4324=""фізична особа""
,
VLOOKUP(D4324,IMPORTRANGE(""https://docs.google.com/spreadsheets/d/14Bd19lYaqBhU8_DElYkX7l4wRkHqqCUFNJY4AfY3kHU/edit?usp=sharing  #gid=0"",""фіз особи new!relations_name""),6,FALSE)
,
(IF
(
C4324=""юридична особа""
,
VLOOKUP"&amp;"(D4324,IMPORTRANGE(""https://docs.google.com/spreadsheets/d/14Bd19lYaqBhU8_DElYkX7l4wRkHqqCUFNJY4AfY3kHU/edit?usp=sharing  #gid=0"",""фіз особи new!relations_name_uo""),7,FALSE)
,
)
))"),"ЖУЛІНА Світлана Анатоліївна")</f>
        <v>ЖУЛІНА Світлана Анатоліївна</v>
      </c>
      <c r="G4323" s="7" t="s">
        <v>10</v>
      </c>
      <c r="H4323" s="7">
        <v>2946</v>
      </c>
      <c r="I4323" s="8" t="str">
        <f ca="1">IFERROR(__xludf.DUMMYFUNCTION("IF
(
G4324=""фізична особа""
,
VLOOKUP(H4324,IMPORTRANGE(""https://docs.google.com/spreadsheets/d/14Bd19lYaqBhU8_DElYkX7l4wRkHqqCUFNJY4AfY3kHU/edit?usp=sharing  #gid=0"",""фіз особи new!relations_name""),6,FALSE)
,
(IF
(
G4324=""юридична особа""
,
VLOOKUP"&amp;"(H4324,IMPORTRANGE(""https://docs.google.com/spreadsheets/d/14Bd19lYaqBhU8_DElYkX7l4wRkHqqCUFNJY4AfY3kHU/edit?usp=sharing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4323" s="7" t="s">
        <v>29</v>
      </c>
    </row>
    <row r="4324" spans="1:10" ht="13.2">
      <c r="A4324" s="7">
        <v>4323</v>
      </c>
      <c r="B4324" s="7">
        <v>1</v>
      </c>
      <c r="C4324" s="7" t="s">
        <v>10</v>
      </c>
      <c r="D4324" s="7">
        <v>2948</v>
      </c>
      <c r="E4324" s="7" t="s">
        <v>28</v>
      </c>
      <c r="F4324" s="8" t="str">
        <f ca="1">IFERROR(__xludf.DUMMYFUNCTION("IF
(
C4325=""фізична особа""
,
VLOOKUP(D4325,IMPORTRANGE(""https://docs.google.com/spreadsheets/d/14Bd19lYaqBhU8_DElYkX7l4wRkHqqCUFNJY4AfY3kHU/edit?usp=sharing  #gid=0"",""фіз особи new!relations_name""),6,FALSE)
,
(IF
(
C4325=""юридична особа""
,
VLOOKUP"&amp;"(D4325,IMPORTRANGE(""https://docs.google.com/spreadsheets/d/14Bd19lYaqBhU8_DElYkX7l4wRkHqqCUFNJY4AfY3kHU/edit?usp=sharing  #gid=0"",""фіз особи new!relations_name_uo""),7,FALSE)
,
)
))"),"НІЗАМОВ Раміль Ханіфович")</f>
        <v>НІЗАМОВ Раміль Ханіфович</v>
      </c>
      <c r="G4324" s="7" t="s">
        <v>10</v>
      </c>
      <c r="H4324" s="7">
        <v>2946</v>
      </c>
      <c r="I4324" s="8" t="str">
        <f ca="1">IFERROR(__xludf.DUMMYFUNCTION("IF
(
G4325=""фізична особа""
,
VLOOKUP(H4325,IMPORTRANGE(""https://docs.google.com/spreadsheets/d/14Bd19lYaqBhU8_DElYkX7l4wRkHqqCUFNJY4AfY3kHU/edit?usp=sharing  #gid=0"",""фіз особи new!relations_name""),6,FALSE)
,
(IF
(
G4325=""юридична особа""
,
VLOOKUP"&amp;"(H4325,IMPORTRANGE(""https://docs.google.com/spreadsheets/d/14Bd19lYaqBhU8_DElYkX7l4wRkHqqCUFNJY4AfY3kHU/edit?usp=sharing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4324" s="7" t="s">
        <v>29</v>
      </c>
    </row>
    <row r="4325" spans="1:10" ht="13.2">
      <c r="A4325" s="7">
        <v>4324</v>
      </c>
      <c r="B4325" s="7">
        <v>1</v>
      </c>
      <c r="C4325" s="7" t="s">
        <v>10</v>
      </c>
      <c r="D4325" s="7">
        <v>2949</v>
      </c>
      <c r="E4325" s="7" t="s">
        <v>28</v>
      </c>
      <c r="F4325" s="8" t="str">
        <f ca="1">IFERROR(__xludf.DUMMYFUNCTION("IF
(
C4326=""фізична особа""
,
VLOOKUP(D4326,IMPORTRANGE(""https://docs.google.com/spreadsheets/d/14Bd19lYaqBhU8_DElYkX7l4wRkHqqCUFNJY4AfY3kHU/edit?usp=sharing  #gid=0"",""фіз особи new!relations_name""),6,FALSE)
,
(IF
(
C4326=""юридична особа""
,
VLOOKUP"&amp;"(D4326,IMPORTRANGE(""https://docs.google.com/spreadsheets/d/14Bd19lYaqBhU8_DElYkX7l4wRkHqqCUFNJY4AfY3kHU/edit?usp=sharing  #gid=0"",""фіз особи new!relations_name_uo""),7,FALSE)
,
)
))"),"КЛІМОВА Маріанна Олексіївна")</f>
        <v>КЛІМОВА Маріанна Олексіївна</v>
      </c>
      <c r="G4325" s="7" t="s">
        <v>10</v>
      </c>
      <c r="H4325" s="7">
        <v>2946</v>
      </c>
      <c r="I4325" s="8" t="str">
        <f ca="1">IFERROR(__xludf.DUMMYFUNCTION("IF
(
G4326=""фізична особа""
,
VLOOKUP(H4326,IMPORTRANGE(""https://docs.google.com/spreadsheets/d/14Bd19lYaqBhU8_DElYkX7l4wRkHqqCUFNJY4AfY3kHU/edit?usp=sharing  #gid=0"",""фіз особи new!relations_name""),6,FALSE)
,
(IF
(
G4326=""юридична особа""
,
VLOOKUP"&amp;"(H4326,IMPORTRANGE(""https://docs.google.com/spreadsheets/d/14Bd19lYaqBhU8_DElYkX7l4wRkHqqCUFNJY4AfY3kHU/edit?usp=sharing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4325" s="7" t="s">
        <v>29</v>
      </c>
    </row>
    <row r="4326" spans="1:10" ht="13.2">
      <c r="A4326" s="7">
        <v>4325</v>
      </c>
      <c r="B4326" s="7">
        <v>1</v>
      </c>
      <c r="C4326" s="7" t="s">
        <v>10</v>
      </c>
      <c r="D4326" s="7">
        <v>2950</v>
      </c>
      <c r="E4326" s="7" t="s">
        <v>28</v>
      </c>
      <c r="F4326" s="8" t="str">
        <f ca="1">IFERROR(__xludf.DUMMYFUNCTION("IF
(
C4327=""фізична особа""
,
VLOOKUP(D4327,IMPORTRANGE(""https://docs.google.com/spreadsheets/d/14Bd19lYaqBhU8_DElYkX7l4wRkHqqCUFNJY4AfY3kHU/edit?usp=sharing  #gid=0"",""фіз особи new!relations_name""),6,FALSE)
,
(IF
(
C4327=""юридична особа""
,
VLOOKUP"&amp;"(D4327,IMPORTRANGE(""https://docs.google.com/spreadsheets/d/14Bd19lYaqBhU8_DElYkX7l4wRkHqqCUFNJY4AfY3kHU/edit?usp=sharing  #gid=0"",""фіз особи new!relations_name_uo""),7,FALSE)
,
)
))"),"АКІНЬШИН Юрій Олексійович")</f>
        <v>АКІНЬШИН Юрій Олексійович</v>
      </c>
      <c r="G4326" s="7" t="s">
        <v>10</v>
      </c>
      <c r="H4326" s="7">
        <v>2946</v>
      </c>
      <c r="I4326" s="8" t="str">
        <f ca="1">IFERROR(__xludf.DUMMYFUNCTION("IF
(
G4327=""фізична особа""
,
VLOOKUP(H4327,IMPORTRANGE(""https://docs.google.com/spreadsheets/d/14Bd19lYaqBhU8_DElYkX7l4wRkHqqCUFNJY4AfY3kHU/edit?usp=sharing  #gid=0"",""фіз особи new!relations_name""),6,FALSE)
,
(IF
(
G4327=""юридична особа""
,
VLOOKUP"&amp;"(H4327,IMPORTRANGE(""https://docs.google.com/spreadsheets/d/14Bd19lYaqBhU8_DElYkX7l4wRkHqqCUFNJY4AfY3kHU/edit?usp=sharing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4326" s="7" t="s">
        <v>29</v>
      </c>
    </row>
    <row r="4327" spans="1:10" ht="13.2">
      <c r="A4327" s="7">
        <v>4326</v>
      </c>
      <c r="B4327" s="7">
        <v>1</v>
      </c>
      <c r="C4327" s="7" t="s">
        <v>10</v>
      </c>
      <c r="D4327" s="7">
        <v>2951</v>
      </c>
      <c r="E4327" s="7" t="s">
        <v>28</v>
      </c>
      <c r="F4327" s="8" t="str">
        <f ca="1">IFERROR(__xludf.DUMMYFUNCTION("IF
(
C4328=""фізична особа""
,
VLOOKUP(D4328,IMPORTRANGE(""https://docs.google.com/spreadsheets/d/14Bd19lYaqBhU8_DElYkX7l4wRkHqqCUFNJY4AfY3kHU/edit?usp=sharing  #gid=0"",""фіз особи new!relations_name""),6,FALSE)
,
(IF
(
C4328=""юридична особа""
,
VLOOKUP"&amp;"(D4328,IMPORTRANGE(""https://docs.google.com/spreadsheets/d/14Bd19lYaqBhU8_DElYkX7l4wRkHqqCUFNJY4AfY3kHU/edit?usp=sharing  #gid=0"",""фіз особи new!relations_name_uo""),7,FALSE)
,
)
))"),"КУЗНЄЦОВА Тетяна Олександрівна")</f>
        <v>КУЗНЄЦОВА Тетяна Олександрівна</v>
      </c>
      <c r="G4327" s="7" t="s">
        <v>10</v>
      </c>
      <c r="H4327" s="7">
        <v>2946</v>
      </c>
      <c r="I4327" s="8" t="str">
        <f ca="1">IFERROR(__xludf.DUMMYFUNCTION("IF
(
G4328=""фізична особа""
,
VLOOKUP(H4328,IMPORTRANGE(""https://docs.google.com/spreadsheets/d/14Bd19lYaqBhU8_DElYkX7l4wRkHqqCUFNJY4AfY3kHU/edit?usp=sharing  #gid=0"",""фіз особи new!relations_name""),6,FALSE)
,
(IF
(
G4328=""юридична особа""
,
VLOOKUP"&amp;"(H4328,IMPORTRANGE(""https://docs.google.com/spreadsheets/d/14Bd19lYaqBhU8_DElYkX7l4wRkHqqCUFNJY4AfY3kHU/edit?usp=sharing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4327" s="7" t="s">
        <v>29</v>
      </c>
    </row>
    <row r="4328" spans="1:10" ht="13.2">
      <c r="A4328" s="7">
        <v>4327</v>
      </c>
      <c r="B4328" s="7">
        <v>1</v>
      </c>
      <c r="C4328" s="7" t="s">
        <v>10</v>
      </c>
      <c r="D4328" s="7">
        <v>2952</v>
      </c>
      <c r="E4328" s="7" t="s">
        <v>28</v>
      </c>
      <c r="F4328" s="8" t="str">
        <f ca="1">IFERROR(__xludf.DUMMYFUNCTION("IF
(
C4329=""фізична особа""
,
VLOOKUP(D4329,IMPORTRANGE(""https://docs.google.com/spreadsheets/d/14Bd19lYaqBhU8_DElYkX7l4wRkHqqCUFNJY4AfY3kHU/edit?usp=sharing  #gid=0"",""фіз особи new!relations_name""),6,FALSE)
,
(IF
(
C4329=""юридична особа""
,
VLOOKUP"&amp;"(D4329,IMPORTRANGE(""https://docs.google.com/spreadsheets/d/14Bd19lYaqBhU8_DElYkX7l4wRkHqqCUFNJY4AfY3kHU/edit?usp=sharing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G4328" s="7" t="s">
        <v>10</v>
      </c>
      <c r="H4328" s="7">
        <v>718</v>
      </c>
      <c r="I4328" s="8" t="str">
        <f ca="1">IFERROR(__xludf.DUMMYFUNCTION("IF
(
G4329=""фізична особа""
,
VLOOKUP(H4329,IMPORTRANGE(""https://docs.google.com/spreadsheets/d/14Bd19lYaqBhU8_DElYkX7l4wRkHqqCUFNJY4AfY3kHU/edit?usp=sharing  #gid=0"",""фіз особи new!relations_name""),6,FALSE)
,
(IF
(
G4329=""юридична особа""
,
VLOOKUP"&amp;"(H4329,IMPORTRANGE(""https://docs.google.com/spreadsheets/d/14Bd19lYaqBhU8_DElYkX7l4wRkHqqCUFNJY4AfY3kHU/edit?usp=sharing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328" s="7" t="s">
        <v>29</v>
      </c>
    </row>
    <row r="4329" spans="1:10" ht="13.2">
      <c r="A4329" s="7">
        <v>4328</v>
      </c>
      <c r="B4329" s="7">
        <v>1</v>
      </c>
      <c r="C4329" s="7" t="s">
        <v>10</v>
      </c>
      <c r="D4329" s="7">
        <v>2953</v>
      </c>
      <c r="E4329" s="7" t="s">
        <v>28</v>
      </c>
      <c r="F4329" s="8" t="str">
        <f ca="1">IFERROR(__xludf.DUMMYFUNCTION("IF
(
C4330=""фізична особа""
,
VLOOKUP(D4330,IMPORTRANGE(""https://docs.google.com/spreadsheets/d/14Bd19lYaqBhU8_DElYkX7l4wRkHqqCUFNJY4AfY3kHU/edit?usp=sharing  #gid=0"",""фіз особи new!relations_name""),6,FALSE)
,
(IF
(
C4330=""юридична особа""
,
VLOOKUP"&amp;"(D4330,IMPORTRANGE(""https://docs.google.com/spreadsheets/d/14Bd19lYaqBhU8_DElYkX7l4wRkHqqCUFNJY4AfY3kHU/edit?usp=sharing  #gid=0"",""фіз особи new!relations_name_uo""),7,FALSE)
,
)
))"),"БРЮХАНОВ Михайло Дмитрович")</f>
        <v>БРЮХАНОВ Михайло Дмитрович</v>
      </c>
      <c r="G4329" s="7" t="s">
        <v>10</v>
      </c>
      <c r="H4329" s="7">
        <v>718</v>
      </c>
      <c r="I4329" s="8" t="str">
        <f ca="1">IFERROR(__xludf.DUMMYFUNCTION("IF
(
G4330=""фізична особа""
,
VLOOKUP(H4330,IMPORTRANGE(""https://docs.google.com/spreadsheets/d/14Bd19lYaqBhU8_DElYkX7l4wRkHqqCUFNJY4AfY3kHU/edit?usp=sharing  #gid=0"",""фіз особи new!relations_name""),6,FALSE)
,
(IF
(
G4330=""юридична особа""
,
VLOOKUP"&amp;"(H4330,IMPORTRANGE(""https://docs.google.com/spreadsheets/d/14Bd19lYaqBhU8_DElYkX7l4wRkHqqCUFNJY4AfY3kHU/edit?usp=sharing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329" s="7" t="s">
        <v>29</v>
      </c>
    </row>
    <row r="4330" spans="1:10" ht="13.2">
      <c r="A4330" s="7">
        <v>4329</v>
      </c>
      <c r="B4330" s="7">
        <v>1</v>
      </c>
      <c r="C4330" s="7" t="s">
        <v>10</v>
      </c>
      <c r="D4330" s="7">
        <v>2953</v>
      </c>
      <c r="E4330" s="7" t="s">
        <v>30</v>
      </c>
      <c r="F4330" s="8" t="str">
        <f ca="1">IFERROR(__xludf.DUMMYFUNCTION("IF
(
C4331=""фізична особа""
,
VLOOKUP(D4331,IMPORTRANGE(""https://docs.google.com/spreadsheets/d/14Bd19lYaqBhU8_DElYkX7l4wRkHqqCUFNJY4AfY3kHU/edit?usp=sharing  #gid=0"",""фіз особи new!relations_name""),6,FALSE)
,
(IF
(
C4331=""юридична особа""
,
VLOOKUP"&amp;"(D4331,IMPORTRANGE(""https://docs.google.com/spreadsheets/d/14Bd19lYaqBhU8_DElYkX7l4wRkHqqCUFNJY4AfY3kHU/edit?usp=sharing  #gid=0"",""фіз особи new!relations_name_uo""),7,FALSE)
,
)
))"),"БРЮХАНОВ Михайло Дмитрович")</f>
        <v>БРЮХАНОВ Михайло Дмитрович</v>
      </c>
      <c r="G4330" s="7" t="s">
        <v>10</v>
      </c>
      <c r="H4330" s="7">
        <v>0</v>
      </c>
      <c r="I4330" s="8" t="str">
        <f ca="1">IFERROR(__xludf.DUMMYFUNCTION("IF
(
G4331=""фізична особа""
,
VLOOKUP(H4331,IMPORTRANGE(""https://docs.google.com/spreadsheets/d/14Bd19lYaqBhU8_DElYkX7l4wRkHqqCUFNJY4AfY3kHU/edit?usp=sharing  #gid=0"",""фіз особи new!relations_name""),6,FALSE)
,
(IF
(
G4331=""юридична особа""
,
VLOOKUP"&amp;"(H4331,IMPORTRANGE(""https://docs.google.com/spreadsheets/d/14Bd19lYaqBhU8_DElYkX7l4wRkHqqCUFNJY4AfY3kHU/edit?usp=sharing  #gid=0"",""фіз особи new!relations_name_uo""),7,FALSE)
,
)
))"),"#N/A")</f>
        <v>#N/A</v>
      </c>
      <c r="J4330" s="7" t="s">
        <v>30</v>
      </c>
    </row>
    <row r="4331" spans="1:10" ht="13.2">
      <c r="A4331" s="7">
        <v>4330</v>
      </c>
      <c r="B4331" s="7">
        <v>1</v>
      </c>
      <c r="C4331" s="7" t="s">
        <v>10</v>
      </c>
      <c r="D4331" s="7">
        <v>2953</v>
      </c>
      <c r="E4331" s="7" t="s">
        <v>30</v>
      </c>
      <c r="F4331" s="8" t="str">
        <f ca="1">IFERROR(__xludf.DUMMYFUNCTION("IF
(
C4332=""фізична особа""
,
VLOOKUP(D4332,IMPORTRANGE(""https://docs.google.com/spreadsheets/d/14Bd19lYaqBhU8_DElYkX7l4wRkHqqCUFNJY4AfY3kHU/edit?usp=sharing  #gid=0"",""фіз особи new!relations_name""),6,FALSE)
,
(IF
(
C4332=""юридична особа""
,
VLOOKUP"&amp;"(D4332,IMPORTRANGE(""https://docs.google.com/spreadsheets/d/14Bd19lYaqBhU8_DElYkX7l4wRkHqqCUFNJY4AfY3kHU/edit?usp=sharing  #gid=0"",""фіз особи new!relations_name_uo""),7,FALSE)
,
)
))"),"БРЮХАНОВ Михайло Дмитрович")</f>
        <v>БРЮХАНОВ Михайло Дмитрович</v>
      </c>
      <c r="G4331" s="7" t="s">
        <v>10</v>
      </c>
      <c r="H4331" s="7">
        <v>0</v>
      </c>
      <c r="I4331" s="8" t="str">
        <f ca="1">IFERROR(__xludf.DUMMYFUNCTION("IF
(
G4332=""фізична особа""
,
VLOOKUP(H4332,IMPORTRANGE(""https://docs.google.com/spreadsheets/d/14Bd19lYaqBhU8_DElYkX7l4wRkHqqCUFNJY4AfY3kHU/edit?usp=sharing  #gid=0"",""фіз особи new!relations_name""),6,FALSE)
,
(IF
(
G4332=""юридична особа""
,
VLOOKUP"&amp;"(H4332,IMPORTRANGE(""https://docs.google.com/spreadsheets/d/14Bd19lYaqBhU8_DElYkX7l4wRkHqqCUFNJY4AfY3kHU/edit?usp=sharing  #gid=0"",""фіз особи new!relations_name_uo""),7,FALSE)
,
)
))"),"#N/A")</f>
        <v>#N/A</v>
      </c>
      <c r="J4331" s="7" t="s">
        <v>30</v>
      </c>
    </row>
    <row r="4332" spans="1:10" ht="13.2">
      <c r="A4332" s="7">
        <v>4331</v>
      </c>
      <c r="B4332" s="7">
        <v>1</v>
      </c>
      <c r="C4332" s="7" t="s">
        <v>10</v>
      </c>
      <c r="D4332" s="7">
        <v>2954</v>
      </c>
      <c r="E4332" s="7" t="s">
        <v>28</v>
      </c>
      <c r="F4332" s="8" t="str">
        <f ca="1">IFERROR(__xludf.DUMMYFUNCTION("IF
(
C4333=""фізична особа""
,
VLOOKUP(D4333,IMPORTRANGE(""https://docs.google.com/spreadsheets/d/14Bd19lYaqBhU8_DElYkX7l4wRkHqqCUFNJY4AfY3kHU/edit?usp=sharing  #gid=0"",""фіз особи new!relations_name""),6,FALSE)
,
(IF
(
C4333=""юридична особа""
,
VLOOKUP"&amp;"(D4333,IMPORTRANGE(""https://docs.google.com/spreadsheets/d/14Bd19lYaqBhU8_DElYkX7l4wRkHqqCUFNJY4AfY3kHU/edit?usp=sharing  #gid=0"",""фіз особи new!relations_name_uo""),7,FALSE)
,
)
))"),"ШЕВЦОВ Павло Анатолійович")</f>
        <v>ШЕВЦОВ Павло Анатолійович</v>
      </c>
      <c r="G4332" s="7" t="s">
        <v>10</v>
      </c>
      <c r="H4332" s="7">
        <v>718</v>
      </c>
      <c r="I4332" s="8" t="str">
        <f ca="1">IFERROR(__xludf.DUMMYFUNCTION("IF
(
G4333=""фізична особа""
,
VLOOKUP(H4333,IMPORTRANGE(""https://docs.google.com/spreadsheets/d/14Bd19lYaqBhU8_DElYkX7l4wRkHqqCUFNJY4AfY3kHU/edit?usp=sharing  #gid=0"",""фіз особи new!relations_name""),6,FALSE)
,
(IF
(
G4333=""юридична особа""
,
VLOOKUP"&amp;"(H4333,IMPORTRANGE(""https://docs.google.com/spreadsheets/d/14Bd19lYaqBhU8_DElYkX7l4wRkHqqCUFNJY4AfY3kHU/edit?usp=sharing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332" s="7" t="s">
        <v>29</v>
      </c>
    </row>
    <row r="4333" spans="1:10" ht="13.2">
      <c r="A4333" s="7">
        <v>4332</v>
      </c>
      <c r="B4333" s="7">
        <v>1</v>
      </c>
      <c r="C4333" s="7" t="s">
        <v>10</v>
      </c>
      <c r="D4333" s="7">
        <v>2954</v>
      </c>
      <c r="E4333" s="7" t="s">
        <v>30</v>
      </c>
      <c r="F4333" s="8" t="str">
        <f ca="1">IFERROR(__xludf.DUMMYFUNCTION("IF
(
C4334=""фізична особа""
,
VLOOKUP(D4334,IMPORTRANGE(""https://docs.google.com/spreadsheets/d/14Bd19lYaqBhU8_DElYkX7l4wRkHqqCUFNJY4AfY3kHU/edit?usp=sharing  #gid=0"",""фіз особи new!relations_name""),6,FALSE)
,
(IF
(
C4334=""юридична особа""
,
VLOOKUP"&amp;"(D4334,IMPORTRANGE(""https://docs.google.com/spreadsheets/d/14Bd19lYaqBhU8_DElYkX7l4wRkHqqCUFNJY4AfY3kHU/edit?usp=sharing  #gid=0"",""фіз особи new!relations_name_uo""),7,FALSE)
,
)
))"),"ШЕВЦОВ Павло Анатолійович")</f>
        <v>ШЕВЦОВ Павло Анатолійович</v>
      </c>
      <c r="G4333" s="7" t="s">
        <v>10</v>
      </c>
      <c r="H4333" s="7">
        <v>0</v>
      </c>
      <c r="I4333" s="8" t="str">
        <f ca="1">IFERROR(__xludf.DUMMYFUNCTION("IF
(
G4334=""фізична особа""
,
VLOOKUP(H4334,IMPORTRANGE(""https://docs.google.com/spreadsheets/d/14Bd19lYaqBhU8_DElYkX7l4wRkHqqCUFNJY4AfY3kHU/edit?usp=sharing  #gid=0"",""фіз особи new!relations_name""),6,FALSE)
,
(IF
(
G4334=""юридична особа""
,
VLOOKUP"&amp;"(H4334,IMPORTRANGE(""https://docs.google.com/spreadsheets/d/14Bd19lYaqBhU8_DElYkX7l4wRkHqqCUFNJY4AfY3kHU/edit?usp=sharing  #gid=0"",""фіз особи new!relations_name_uo""),7,FALSE)
,
)
))"),"#N/A")</f>
        <v>#N/A</v>
      </c>
      <c r="J4333" s="7" t="s">
        <v>30</v>
      </c>
    </row>
    <row r="4334" spans="1:10" ht="13.2">
      <c r="A4334" s="7">
        <v>4333</v>
      </c>
      <c r="B4334" s="7">
        <v>1</v>
      </c>
      <c r="C4334" s="7" t="s">
        <v>10</v>
      </c>
      <c r="D4334" s="7">
        <v>2955</v>
      </c>
      <c r="E4334" s="7" t="s">
        <v>28</v>
      </c>
      <c r="F4334" s="8" t="str">
        <f ca="1">IFERROR(__xludf.DUMMYFUNCTION("IF
(
C4335=""фізична особа""
,
VLOOKUP(D4335,IMPORTRANGE(""https://docs.google.com/spreadsheets/d/14Bd19lYaqBhU8_DElYkX7l4wRkHqqCUFNJY4AfY3kHU/edit?usp=sharing  #gid=0"",""фіз особи new!relations_name""),6,FALSE)
,
(IF
(
C4335=""юридична особа""
,
VLOOKUP"&amp;"(D4335,IMPORTRANGE(""https://docs.google.com/spreadsheets/d/14Bd19lYaqBhU8_DElYkX7l4wRkHqqCUFNJY4AfY3kHU/edit?usp=sharing  #gid=0"",""фіз особи new!relations_name_uo""),7,FALSE)
,
)
))"),"ПОЛКОВНИКОВ Олексій Михайлович")</f>
        <v>ПОЛКОВНИКОВ Олексій Михайлович</v>
      </c>
      <c r="G4334" s="7" t="s">
        <v>10</v>
      </c>
      <c r="H4334" s="7">
        <v>718</v>
      </c>
      <c r="I4334" s="8" t="str">
        <f ca="1">IFERROR(__xludf.DUMMYFUNCTION("IF
(
G4335=""фізична особа""
,
VLOOKUP(H4335,IMPORTRANGE(""https://docs.google.com/spreadsheets/d/14Bd19lYaqBhU8_DElYkX7l4wRkHqqCUFNJY4AfY3kHU/edit?usp=sharing  #gid=0"",""фіз особи new!relations_name""),6,FALSE)
,
(IF
(
G4335=""юридична особа""
,
VLOOKUP"&amp;"(H4335,IMPORTRANGE(""https://docs.google.com/spreadsheets/d/14Bd19lYaqBhU8_DElYkX7l4wRkHqqCUFNJY4AfY3kHU/edit?usp=sharing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334" s="7" t="s">
        <v>29</v>
      </c>
    </row>
    <row r="4335" spans="1:10" ht="13.2">
      <c r="A4335" s="7">
        <v>4334</v>
      </c>
      <c r="B4335" s="7">
        <v>1</v>
      </c>
      <c r="C4335" s="7" t="s">
        <v>10</v>
      </c>
      <c r="D4335" s="7">
        <v>2955</v>
      </c>
      <c r="E4335" s="7" t="s">
        <v>30</v>
      </c>
      <c r="F4335" s="8" t="str">
        <f ca="1">IFERROR(__xludf.DUMMYFUNCTION("IF
(
C4336=""фізична особа""
,
VLOOKUP(D4336,IMPORTRANGE(""https://docs.google.com/spreadsheets/d/14Bd19lYaqBhU8_DElYkX7l4wRkHqqCUFNJY4AfY3kHU/edit?usp=sharing  #gid=0"",""фіз особи new!relations_name""),6,FALSE)
,
(IF
(
C4336=""юридична особа""
,
VLOOKUP"&amp;"(D4336,IMPORTRANGE(""https://docs.google.com/spreadsheets/d/14Bd19lYaqBhU8_DElYkX7l4wRkHqqCUFNJY4AfY3kHU/edit?usp=sharing  #gid=0"",""фіз особи new!relations_name_uo""),7,FALSE)
,
)
))"),"ПОЛКОВНИКОВ Олексій Михайлович")</f>
        <v>ПОЛКОВНИКОВ Олексій Михайлович</v>
      </c>
      <c r="G4335" s="7" t="s">
        <v>10</v>
      </c>
      <c r="H4335" s="7">
        <v>0</v>
      </c>
      <c r="I4335" s="8" t="str">
        <f ca="1">IFERROR(__xludf.DUMMYFUNCTION("IF
(
G4336=""фізична особа""
,
VLOOKUP(H4336,IMPORTRANGE(""https://docs.google.com/spreadsheets/d/14Bd19lYaqBhU8_DElYkX7l4wRkHqqCUFNJY4AfY3kHU/edit?usp=sharing  #gid=0"",""фіз особи new!relations_name""),6,FALSE)
,
(IF
(
G4336=""юридична особа""
,
VLOOKUP"&amp;"(H4336,IMPORTRANGE(""https://docs.google.com/spreadsheets/d/14Bd19lYaqBhU8_DElYkX7l4wRkHqqCUFNJY4AfY3kHU/edit?usp=sharing  #gid=0"",""фіз особи new!relations_name_uo""),7,FALSE)
,
)
))"),"#N/A")</f>
        <v>#N/A</v>
      </c>
      <c r="J4335" s="7" t="s">
        <v>30</v>
      </c>
    </row>
    <row r="4336" spans="1:10" ht="13.2">
      <c r="A4336" s="7">
        <v>4335</v>
      </c>
      <c r="B4336" s="7">
        <v>1</v>
      </c>
      <c r="C4336" s="7" t="s">
        <v>10</v>
      </c>
      <c r="D4336" s="7">
        <v>2955</v>
      </c>
      <c r="E4336" s="7" t="s">
        <v>30</v>
      </c>
      <c r="F4336" s="8" t="str">
        <f ca="1">IFERROR(__xludf.DUMMYFUNCTION("IF
(
C4337=""фізична особа""
,
VLOOKUP(D4337,IMPORTRANGE(""https://docs.google.com/spreadsheets/d/14Bd19lYaqBhU8_DElYkX7l4wRkHqqCUFNJY4AfY3kHU/edit?usp=sharing  #gid=0"",""фіз особи new!relations_name""),6,FALSE)
,
(IF
(
C4337=""юридична особа""
,
VLOOKUP"&amp;"(D4337,IMPORTRANGE(""https://docs.google.com/spreadsheets/d/14Bd19lYaqBhU8_DElYkX7l4wRkHqqCUFNJY4AfY3kHU/edit?usp=sharing  #gid=0"",""фіз особи new!relations_name_uo""),7,FALSE)
,
)
))"),"ПОЛКОВНИКОВ Олексій Михайлович")</f>
        <v>ПОЛКОВНИКОВ Олексій Михайлович</v>
      </c>
      <c r="G4336" s="7" t="s">
        <v>10</v>
      </c>
      <c r="H4336" s="7">
        <v>0</v>
      </c>
      <c r="I4336" s="8" t="str">
        <f ca="1">IFERROR(__xludf.DUMMYFUNCTION("IF
(
G4337=""фізична особа""
,
VLOOKUP(H4337,IMPORTRANGE(""https://docs.google.com/spreadsheets/d/14Bd19lYaqBhU8_DElYkX7l4wRkHqqCUFNJY4AfY3kHU/edit?usp=sharing  #gid=0"",""фіз особи new!relations_name""),6,FALSE)
,
(IF
(
G4337=""юридична особа""
,
VLOOKUP"&amp;"(H4337,IMPORTRANGE(""https://docs.google.com/spreadsheets/d/14Bd19lYaqBhU8_DElYkX7l4wRkHqqCUFNJY4AfY3kHU/edit?usp=sharing  #gid=0"",""фіз особи new!relations_name_uo""),7,FALSE)
,
)
))"),"#N/A")</f>
        <v>#N/A</v>
      </c>
      <c r="J4336" s="7" t="s">
        <v>30</v>
      </c>
    </row>
    <row r="4337" spans="1:10" ht="13.2">
      <c r="A4337" s="7">
        <v>4336</v>
      </c>
      <c r="B4337" s="7">
        <v>1</v>
      </c>
      <c r="C4337" s="7" t="s">
        <v>10</v>
      </c>
      <c r="D4337" s="7">
        <v>2955</v>
      </c>
      <c r="E4337" s="7" t="s">
        <v>30</v>
      </c>
      <c r="F4337" s="8" t="str">
        <f ca="1">IFERROR(__xludf.DUMMYFUNCTION("IF
(
C4338=""фізична особа""
,
VLOOKUP(D4338,IMPORTRANGE(""https://docs.google.com/spreadsheets/d/14Bd19lYaqBhU8_DElYkX7l4wRkHqqCUFNJY4AfY3kHU/edit?usp=sharing  #gid=0"",""фіз особи new!relations_name""),6,FALSE)
,
(IF
(
C4338=""юридична особа""
,
VLOOKUP"&amp;"(D4338,IMPORTRANGE(""https://docs.google.com/spreadsheets/d/14Bd19lYaqBhU8_DElYkX7l4wRkHqqCUFNJY4AfY3kHU/edit?usp=sharing  #gid=0"",""фіз особи new!relations_name_uo""),7,FALSE)
,
)
))"),"ПОЛКОВНИКОВ Олексій Михайлович")</f>
        <v>ПОЛКОВНИКОВ Олексій Михайлович</v>
      </c>
      <c r="G4337" s="7" t="s">
        <v>10</v>
      </c>
      <c r="H4337" s="7">
        <v>0</v>
      </c>
      <c r="I4337" s="8" t="str">
        <f ca="1">IFERROR(__xludf.DUMMYFUNCTION("IF
(
G4338=""фізична особа""
,
VLOOKUP(H4338,IMPORTRANGE(""https://docs.google.com/spreadsheets/d/14Bd19lYaqBhU8_DElYkX7l4wRkHqqCUFNJY4AfY3kHU/edit?usp=sharing  #gid=0"",""фіз особи new!relations_name""),6,FALSE)
,
(IF
(
G4338=""юридична особа""
,
VLOOKUP"&amp;"(H4338,IMPORTRANGE(""https://docs.google.com/spreadsheets/d/14Bd19lYaqBhU8_DElYkX7l4wRkHqqCUFNJY4AfY3kHU/edit?usp=sharing  #gid=0"",""фіз особи new!relations_name_uo""),7,FALSE)
,
)
))"),"#N/A")</f>
        <v>#N/A</v>
      </c>
      <c r="J4337" s="7" t="s">
        <v>30</v>
      </c>
    </row>
    <row r="4338" spans="1:10" ht="13.2">
      <c r="A4338" s="7">
        <v>4337</v>
      </c>
      <c r="B4338" s="7">
        <v>1</v>
      </c>
      <c r="C4338" s="7" t="s">
        <v>10</v>
      </c>
      <c r="D4338" s="7">
        <v>2956</v>
      </c>
      <c r="E4338" s="7" t="s">
        <v>28</v>
      </c>
      <c r="F4338" s="8" t="str">
        <f ca="1">IFERROR(__xludf.DUMMYFUNCTION("IF
(
C4339=""фізична особа""
,
VLOOKUP(D4339,IMPORTRANGE(""https://docs.google.com/spreadsheets/d/14Bd19lYaqBhU8_DElYkX7l4wRkHqqCUFNJY4AfY3kHU/edit?usp=sharing  #gid=0"",""фіз особи new!relations_name""),6,FALSE)
,
(IF
(
C4339=""юридична особа""
,
VLOOKUP"&amp;"(D4339,IMPORTRANGE(""https://docs.google.com/spreadsheets/d/14Bd19lYaqBhU8_DElYkX7l4wRkHqqCUFNJY4AfY3kHU/edit?usp=sharing  #gid=0"",""фіз особи new!relations_name_uo""),7,FALSE)
,
)
))"),"ПОЛІКАНОВ Дмитро Валерійович")</f>
        <v>ПОЛІКАНОВ Дмитро Валерійович</v>
      </c>
      <c r="G4338" s="7" t="s">
        <v>10</v>
      </c>
      <c r="H4338" s="7">
        <v>718</v>
      </c>
      <c r="I4338" s="8" t="str">
        <f ca="1">IFERROR(__xludf.DUMMYFUNCTION("IF
(
G4339=""фізична особа""
,
VLOOKUP(H4339,IMPORTRANGE(""https://docs.google.com/spreadsheets/d/14Bd19lYaqBhU8_DElYkX7l4wRkHqqCUFNJY4AfY3kHU/edit?usp=sharing  #gid=0"",""фіз особи new!relations_name""),6,FALSE)
,
(IF
(
G4339=""юридична особа""
,
VLOOKUP"&amp;"(H4339,IMPORTRANGE(""https://docs.google.com/spreadsheets/d/14Bd19lYaqBhU8_DElYkX7l4wRkHqqCUFNJY4AfY3kHU/edit?usp=sharing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4338" s="7" t="s">
        <v>29</v>
      </c>
    </row>
    <row r="4339" spans="1:10" ht="13.2">
      <c r="A4339" s="7">
        <v>4338</v>
      </c>
      <c r="B4339" s="7">
        <v>1</v>
      </c>
      <c r="C4339" s="7" t="s">
        <v>10</v>
      </c>
      <c r="D4339" s="7">
        <v>2957</v>
      </c>
      <c r="E4339" s="7" t="s">
        <v>28</v>
      </c>
      <c r="F4339" s="8" t="str">
        <f ca="1">IFERROR(__xludf.DUMMYFUNCTION("IF
(
C4340=""фізична особа""
,
VLOOKUP(D4340,IMPORTRANGE(""https://docs.google.com/spreadsheets/d/14Bd19lYaqBhU8_DElYkX7l4wRkHqqCUFNJY4AfY3kHU/edit?usp=sharing  #gid=0"",""фіз особи new!relations_name""),6,FALSE)
,
(IF
(
C4340=""юридична особа""
,
VLOOKUP"&amp;"(D4340,IMPORTRANGE(""https://docs.google.com/spreadsheets/d/14Bd19lYaqBhU8_DElYkX7l4wRkHqqCUFNJY4AfY3kHU/edit?usp=sharing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G4339" s="7" t="s">
        <v>10</v>
      </c>
      <c r="H4339" s="7">
        <v>2304</v>
      </c>
      <c r="I4339" s="8" t="str">
        <f ca="1">IFERROR(__xludf.DUMMYFUNCTION("IF
(
G4340=""фізична особа""
,
VLOOKUP(H4340,IMPORTRANGE(""https://docs.google.com/spreadsheets/d/14Bd19lYaqBhU8_DElYkX7l4wRkHqqCUFNJY4AfY3kHU/edit?usp=sharing  #gid=0"",""фіз особи new!relations_name""),6,FALSE)
,
(IF
(
G4340=""юридична особа""
,
VLOOKUP"&amp;"(H4340,IMPORTRANGE(""https://docs.google.com/spreadsheets/d/14Bd19lYaqBhU8_DElYkX7l4wRkHqqCUFNJY4AfY3kHU/edit?usp=sharing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339" s="7" t="s">
        <v>29</v>
      </c>
    </row>
    <row r="4340" spans="1:10" ht="13.2">
      <c r="A4340" s="7">
        <v>4339</v>
      </c>
      <c r="B4340" s="7">
        <v>1</v>
      </c>
      <c r="C4340" s="7" t="s">
        <v>10</v>
      </c>
      <c r="D4340" s="7">
        <v>2958</v>
      </c>
      <c r="E4340" s="7" t="s">
        <v>28</v>
      </c>
      <c r="F4340" s="8" t="str">
        <f ca="1">IFERROR(__xludf.DUMMYFUNCTION("IF
(
C4341=""фізична особа""
,
VLOOKUP(D4341,IMPORTRANGE(""https://docs.google.com/spreadsheets/d/14Bd19lYaqBhU8_DElYkX7l4wRkHqqCUFNJY4AfY3kHU/edit?usp=sharing  #gid=0"",""фіз особи new!relations_name""),6,FALSE)
,
(IF
(
C4341=""юридична особа""
,
VLOOKUP"&amp;"(D4341,IMPORTRANGE(""https://docs.google.com/spreadsheets/d/14Bd19lYaqBhU8_DElYkX7l4wRkHqqCUFNJY4AfY3kHU/edit?usp=sharing  #gid=0"",""фіз особи new!relations_name_uo""),7,FALSE)
,
)
))"),"ДАНИЛІН Дмитро Миколайович")</f>
        <v>ДАНИЛІН Дмитро Миколайович</v>
      </c>
      <c r="G4340" s="7" t="s">
        <v>10</v>
      </c>
      <c r="H4340" s="7">
        <v>2957</v>
      </c>
      <c r="I4340" s="8" t="str">
        <f ca="1">IFERROR(__xludf.DUMMYFUNCTION("IF
(
G4341=""фізична особа""
,
VLOOKUP(H4341,IMPORTRANGE(""https://docs.google.com/spreadsheets/d/14Bd19lYaqBhU8_DElYkX7l4wRkHqqCUFNJY4AfY3kHU/edit?usp=sharing  #gid=0"",""фіз особи new!relations_name""),6,FALSE)
,
(IF
(
G4341=""юридична особа""
,
VLOOKUP"&amp;"(H4341,IMPORTRANGE(""https://docs.google.com/spreadsheets/d/14Bd19lYaqBhU8_DElYkX7l4wRkHqqCUFNJY4AfY3kHU/edit?usp=sharing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4340" s="7" t="s">
        <v>29</v>
      </c>
    </row>
    <row r="4341" spans="1:10" ht="13.2">
      <c r="A4341" s="7">
        <v>4340</v>
      </c>
      <c r="B4341" s="7">
        <v>1</v>
      </c>
      <c r="C4341" s="7" t="s">
        <v>10</v>
      </c>
      <c r="D4341" s="7">
        <v>2959</v>
      </c>
      <c r="E4341" s="7" t="s">
        <v>28</v>
      </c>
      <c r="F4341" s="8" t="str">
        <f ca="1">IFERROR(__xludf.DUMMYFUNCTION("IF
(
C4342=""фізична особа""
,
VLOOKUP(D4342,IMPORTRANGE(""https://docs.google.com/spreadsheets/d/14Bd19lYaqBhU8_DElYkX7l4wRkHqqCUFNJY4AfY3kHU/edit?usp=sharing  #gid=0"",""фіз особи new!relations_name""),6,FALSE)
,
(IF
(
C4342=""юридична особа""
,
VLOOKUP"&amp;"(D4342,IMPORTRANGE(""https://docs.google.com/spreadsheets/d/14Bd19lYaqBhU8_DElYkX7l4wRkHqqCUFNJY4AfY3kHU/edit?usp=sharing  #gid=0"",""фіз особи new!relations_name_uo""),7,FALSE)
,
)
))"),"КАСПАРОВ Орест Сетракович")</f>
        <v>КАСПАРОВ Орест Сетракович</v>
      </c>
      <c r="G4341" s="7" t="s">
        <v>10</v>
      </c>
      <c r="H4341" s="7">
        <v>2957</v>
      </c>
      <c r="I4341" s="8" t="str">
        <f ca="1">IFERROR(__xludf.DUMMYFUNCTION("IF
(
G4342=""фізична особа""
,
VLOOKUP(H4342,IMPORTRANGE(""https://docs.google.com/spreadsheets/d/14Bd19lYaqBhU8_DElYkX7l4wRkHqqCUFNJY4AfY3kHU/edit?usp=sharing  #gid=0"",""фіз особи new!relations_name""),6,FALSE)
,
(IF
(
G4342=""юридична особа""
,
VLOOKUP"&amp;"(H4342,IMPORTRANGE(""https://docs.google.com/spreadsheets/d/14Bd19lYaqBhU8_DElYkX7l4wRkHqqCUFNJY4AfY3kHU/edit?usp=sharing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4341" s="7" t="s">
        <v>29</v>
      </c>
    </row>
    <row r="4342" spans="1:10" ht="13.2">
      <c r="A4342" s="7">
        <v>4341</v>
      </c>
      <c r="B4342" s="7">
        <v>1</v>
      </c>
      <c r="C4342" s="7" t="s">
        <v>10</v>
      </c>
      <c r="D4342" s="7">
        <v>2960</v>
      </c>
      <c r="E4342" s="7" t="s">
        <v>28</v>
      </c>
      <c r="F4342" s="8" t="str">
        <f ca="1">IFERROR(__xludf.DUMMYFUNCTION("IF
(
C4343=""фізична особа""
,
VLOOKUP(D4343,IMPORTRANGE(""https://docs.google.com/spreadsheets/d/14Bd19lYaqBhU8_DElYkX7l4wRkHqqCUFNJY4AfY3kHU/edit?usp=sharing  #gid=0"",""фіз особи new!relations_name""),6,FALSE)
,
(IF
(
C4343=""юридична особа""
,
VLOOKUP"&amp;"(D4343,IMPORTRANGE(""https://docs.google.com/spreadsheets/d/14Bd19lYaqBhU8_DElYkX7l4wRkHqqCUFNJY4AfY3kHU/edit?usp=sharing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G4342" s="7" t="s">
        <v>10</v>
      </c>
      <c r="H4342" s="7">
        <v>2304</v>
      </c>
      <c r="I4342" s="8" t="str">
        <f ca="1">IFERROR(__xludf.DUMMYFUNCTION("IF
(
G4343=""фізична особа""
,
VLOOKUP(H4343,IMPORTRANGE(""https://docs.google.com/spreadsheets/d/14Bd19lYaqBhU8_DElYkX7l4wRkHqqCUFNJY4AfY3kHU/edit?usp=sharing  #gid=0"",""фіз особи new!relations_name""),6,FALSE)
,
(IF
(
G4343=""юридична особа""
,
VLOOKUP"&amp;"(H4343,IMPORTRANGE(""https://docs.google.com/spreadsheets/d/14Bd19lYaqBhU8_DElYkX7l4wRkHqqCUFNJY4AfY3kHU/edit?usp=sharing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342" s="7" t="s">
        <v>29</v>
      </c>
    </row>
    <row r="4343" spans="1:10" ht="13.2">
      <c r="A4343" s="7">
        <v>4342</v>
      </c>
      <c r="B4343" s="7">
        <v>1</v>
      </c>
      <c r="C4343" s="7" t="s">
        <v>10</v>
      </c>
      <c r="D4343" s="7">
        <v>2961</v>
      </c>
      <c r="E4343" s="7" t="s">
        <v>28</v>
      </c>
      <c r="F4343" s="8" t="str">
        <f ca="1">IFERROR(__xludf.DUMMYFUNCTION("IF
(
C4344=""фізична особа""
,
VLOOKUP(D4344,IMPORTRANGE(""https://docs.google.com/spreadsheets/d/14Bd19lYaqBhU8_DElYkX7l4wRkHqqCUFNJY4AfY3kHU/edit?usp=sharing  #gid=0"",""фіз особи new!relations_name""),6,FALSE)
,
(IF
(
C4344=""юридична особа""
,
VLOOKUP"&amp;"(D4344,IMPORTRANGE(""https://docs.google.com/spreadsheets/d/14Bd19lYaqBhU8_DElYkX7l4wRkHqqCUFNJY4AfY3kHU/edit?usp=sharing  #gid=0"",""фіз особи new!relations_name_uo""),7,FALSE)
,
)
))"),"СОЛОГУБ Наталія Олександрівна")</f>
        <v>СОЛОГУБ Наталія Олександрівна</v>
      </c>
      <c r="G4343" s="7" t="s">
        <v>10</v>
      </c>
      <c r="H4343" s="7">
        <v>2960</v>
      </c>
      <c r="I4343" s="8" t="str">
        <f ca="1">IFERROR(__xludf.DUMMYFUNCTION("IF
(
G4344=""фізична особа""
,
VLOOKUP(H4344,IMPORTRANGE(""https://docs.google.com/spreadsheets/d/14Bd19lYaqBhU8_DElYkX7l4wRkHqqCUFNJY4AfY3kHU/edit?usp=sharing  #gid=0"",""фіз особи new!relations_name""),6,FALSE)
,
(IF
(
G4344=""юридична особа""
,
VLOOKUP"&amp;"(H4344,IMPORTRANGE(""https://docs.google.com/spreadsheets/d/14Bd19lYaqBhU8_DElYkX7l4wRkHqqCUFNJY4AfY3kHU/edit?usp=sharing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4343" s="7" t="s">
        <v>29</v>
      </c>
    </row>
    <row r="4344" spans="1:10" ht="13.2">
      <c r="A4344" s="7">
        <v>4343</v>
      </c>
      <c r="B4344" s="7">
        <v>1</v>
      </c>
      <c r="C4344" s="7" t="s">
        <v>10</v>
      </c>
      <c r="D4344" s="7">
        <v>2962</v>
      </c>
      <c r="E4344" s="7" t="s">
        <v>28</v>
      </c>
      <c r="F4344" s="8" t="str">
        <f ca="1">IFERROR(__xludf.DUMMYFUNCTION("IF
(
C4345=""фізична особа""
,
VLOOKUP(D4345,IMPORTRANGE(""https://docs.google.com/spreadsheets/d/14Bd19lYaqBhU8_DElYkX7l4wRkHqqCUFNJY4AfY3kHU/edit?usp=sharing  #gid=0"",""фіз особи new!relations_name""),6,FALSE)
,
(IF
(
C4345=""юридична особа""
,
VLOOKUP"&amp;"(D4345,IMPORTRANGE(""https://docs.google.com/spreadsheets/d/14Bd19lYaqBhU8_DElYkX7l4wRkHqqCUFNJY4AfY3kHU/edit?usp=sharing  #gid=0"",""фіз особи new!relations_name_uo""),7,FALSE)
,
)
))"),"НІКАНОРОВ Вадим Анатолійович")</f>
        <v>НІКАНОРОВ Вадим Анатолійович</v>
      </c>
      <c r="G4344" s="7" t="s">
        <v>10</v>
      </c>
      <c r="H4344" s="7">
        <v>2960</v>
      </c>
      <c r="I4344" s="8" t="str">
        <f ca="1">IFERROR(__xludf.DUMMYFUNCTION("IF
(
G4345=""фізична особа""
,
VLOOKUP(H4345,IMPORTRANGE(""https://docs.google.com/spreadsheets/d/14Bd19lYaqBhU8_DElYkX7l4wRkHqqCUFNJY4AfY3kHU/edit?usp=sharing  #gid=0"",""фіз особи new!relations_name""),6,FALSE)
,
(IF
(
G4345=""юридична особа""
,
VLOOKUP"&amp;"(H4345,IMPORTRANGE(""https://docs.google.com/spreadsheets/d/14Bd19lYaqBhU8_DElYkX7l4wRkHqqCUFNJY4AfY3kHU/edit?usp=sharing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4344" s="7" t="s">
        <v>29</v>
      </c>
    </row>
    <row r="4345" spans="1:10" ht="13.2">
      <c r="A4345" s="7">
        <v>4344</v>
      </c>
      <c r="B4345" s="7">
        <v>1</v>
      </c>
      <c r="C4345" s="7" t="s">
        <v>10</v>
      </c>
      <c r="D4345" s="7">
        <v>2963</v>
      </c>
      <c r="E4345" s="7" t="s">
        <v>28</v>
      </c>
      <c r="F4345" s="8" t="str">
        <f ca="1">IFERROR(__xludf.DUMMYFUNCTION("IF
(
C4346=""фізична особа""
,
VLOOKUP(D4346,IMPORTRANGE(""https://docs.google.com/spreadsheets/d/14Bd19lYaqBhU8_DElYkX7l4wRkHqqCUFNJY4AfY3kHU/edit?usp=sharing  #gid=0"",""фіз особи new!relations_name""),6,FALSE)
,
(IF
(
C4346=""юридична особа""
,
VLOOKUP"&amp;"(D4346,IMPORTRANGE(""https://docs.google.com/spreadsheets/d/14Bd19lYaqBhU8_DElYkX7l4wRkHqqCUFNJY4AfY3kHU/edit?usp=sharing  #gid=0"",""фіз особи new!relations_name_uo""),7,FALSE)
,
)
))"),"БОКОВА Тетяна Вікторівна")</f>
        <v>БОКОВА Тетяна Вікторівна</v>
      </c>
      <c r="G4345" s="7" t="s">
        <v>10</v>
      </c>
      <c r="H4345" s="7">
        <v>2960</v>
      </c>
      <c r="I4345" s="8" t="str">
        <f ca="1">IFERROR(__xludf.DUMMYFUNCTION("IF
(
G4346=""фізична особа""
,
VLOOKUP(H4346,IMPORTRANGE(""https://docs.google.com/spreadsheets/d/14Bd19lYaqBhU8_DElYkX7l4wRkHqqCUFNJY4AfY3kHU/edit?usp=sharing  #gid=0"",""фіз особи new!relations_name""),6,FALSE)
,
(IF
(
G4346=""юридична особа""
,
VLOOKUP"&amp;"(H4346,IMPORTRANGE(""https://docs.google.com/spreadsheets/d/14Bd19lYaqBhU8_DElYkX7l4wRkHqqCUFNJY4AfY3kHU/edit?usp=sharing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4345" s="7" t="s">
        <v>29</v>
      </c>
    </row>
    <row r="4346" spans="1:10" ht="13.2">
      <c r="A4346" s="7">
        <v>4345</v>
      </c>
      <c r="B4346" s="7">
        <v>1</v>
      </c>
      <c r="C4346" s="7" t="s">
        <v>10</v>
      </c>
      <c r="D4346" s="7">
        <v>2964</v>
      </c>
      <c r="E4346" s="7" t="s">
        <v>28</v>
      </c>
      <c r="F4346" s="8" t="str">
        <f ca="1">IFERROR(__xludf.DUMMYFUNCTION("IF
(
C4347=""фізична особа""
,
VLOOKUP(D4347,IMPORTRANGE(""https://docs.google.com/spreadsheets/d/14Bd19lYaqBhU8_DElYkX7l4wRkHqqCUFNJY4AfY3kHU/edit?usp=sharing  #gid=0"",""фіз особи new!relations_name""),6,FALSE)
,
(IF
(
C4347=""юридична особа""
,
VLOOKUP"&amp;"(D4347,IMPORTRANGE(""https://docs.google.com/spreadsheets/d/14Bd19lYaqBhU8_DElYkX7l4wRkHqqCUFNJY4AfY3kHU/edit?usp=sharing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G4346" s="7" t="s">
        <v>10</v>
      </c>
      <c r="H4346" s="7">
        <v>2304</v>
      </c>
      <c r="I4346" s="8" t="str">
        <f ca="1">IFERROR(__xludf.DUMMYFUNCTION("IF
(
G4347=""фізична особа""
,
VLOOKUP(H4347,IMPORTRANGE(""https://docs.google.com/spreadsheets/d/14Bd19lYaqBhU8_DElYkX7l4wRkHqqCUFNJY4AfY3kHU/edit?usp=sharing  #gid=0"",""фіз особи new!relations_name""),6,FALSE)
,
(IF
(
G4347=""юридична особа""
,
VLOOKUP"&amp;"(H4347,IMPORTRANGE(""https://docs.google.com/spreadsheets/d/14Bd19lYaqBhU8_DElYkX7l4wRkHqqCUFNJY4AfY3kHU/edit?usp=sharing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346" s="7" t="s">
        <v>29</v>
      </c>
    </row>
    <row r="4347" spans="1:10" ht="13.2">
      <c r="A4347" s="7">
        <v>4346</v>
      </c>
      <c r="B4347" s="7">
        <v>1</v>
      </c>
      <c r="C4347" s="7" t="s">
        <v>10</v>
      </c>
      <c r="D4347" s="7">
        <v>2965</v>
      </c>
      <c r="E4347" s="7" t="s">
        <v>28</v>
      </c>
      <c r="F4347" s="8" t="str">
        <f ca="1">IFERROR(__xludf.DUMMYFUNCTION("IF
(
C4348=""фізична особа""
,
VLOOKUP(D4348,IMPORTRANGE(""https://docs.google.com/spreadsheets/d/14Bd19lYaqBhU8_DElYkX7l4wRkHqqCUFNJY4AfY3kHU/edit?usp=sharing  #gid=0"",""фіз особи new!relations_name""),6,FALSE)
,
(IF
(
C4348=""юридична особа""
,
VLOOKUP"&amp;"(D4348,IMPORTRANGE(""https://docs.google.com/spreadsheets/d/14Bd19lYaqBhU8_DElYkX7l4wRkHqqCUFNJY4AfY3kHU/edit?usp=sharing  #gid=0"",""фіз особи new!relations_name_uo""),7,FALSE)
,
)
))"),"ВИНОКУРОВА Анастасія Олегівна")</f>
        <v>ВИНОКУРОВА Анастасія Олегівна</v>
      </c>
      <c r="G4347" s="7" t="s">
        <v>10</v>
      </c>
      <c r="H4347" s="7">
        <v>2964</v>
      </c>
      <c r="I4347" s="8" t="str">
        <f ca="1">IFERROR(__xludf.DUMMYFUNCTION("IF
(
G4348=""фізична особа""
,
VLOOKUP(H4348,IMPORTRANGE(""https://docs.google.com/spreadsheets/d/14Bd19lYaqBhU8_DElYkX7l4wRkHqqCUFNJY4AfY3kHU/edit?usp=sharing  #gid=0"",""фіз особи new!relations_name""),6,FALSE)
,
(IF
(
G4348=""юридична особа""
,
VLOOKUP"&amp;"(H4348,IMPORTRANGE(""https://docs.google.com/spreadsheets/d/14Bd19lYaqBhU8_DElYkX7l4wRkHqqCUFNJY4AfY3kHU/edit?usp=sharing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4347" s="7" t="s">
        <v>29</v>
      </c>
    </row>
    <row r="4348" spans="1:10" ht="13.2">
      <c r="A4348" s="7">
        <v>4347</v>
      </c>
      <c r="B4348" s="7">
        <v>1</v>
      </c>
      <c r="C4348" s="7" t="s">
        <v>10</v>
      </c>
      <c r="D4348" s="7">
        <v>2966</v>
      </c>
      <c r="E4348" s="7" t="s">
        <v>28</v>
      </c>
      <c r="F4348" s="8" t="str">
        <f ca="1">IFERROR(__xludf.DUMMYFUNCTION("IF
(
C4349=""фізична особа""
,
VLOOKUP(D4349,IMPORTRANGE(""https://docs.google.com/spreadsheets/d/14Bd19lYaqBhU8_DElYkX7l4wRkHqqCUFNJY4AfY3kHU/edit?usp=sharing  #gid=0"",""фіз особи new!relations_name""),6,FALSE)
,
(IF
(
C4349=""юридична особа""
,
VLOOKUP"&amp;"(D4349,IMPORTRANGE(""https://docs.google.com/spreadsheets/d/14Bd19lYaqBhU8_DElYkX7l4wRkHqqCUFNJY4AfY3kHU/edit?usp=sharing  #gid=0"",""фіз особи new!relations_name_uo""),7,FALSE)
,
)
))"),"КЛІНОВ Михайло Юрійович")</f>
        <v>КЛІНОВ Михайло Юрійович</v>
      </c>
      <c r="G4348" s="7" t="s">
        <v>10</v>
      </c>
      <c r="H4348" s="7">
        <v>2964</v>
      </c>
      <c r="I4348" s="8" t="str">
        <f ca="1">IFERROR(__xludf.DUMMYFUNCTION("IF
(
G4349=""фізична особа""
,
VLOOKUP(H4349,IMPORTRANGE(""https://docs.google.com/spreadsheets/d/14Bd19lYaqBhU8_DElYkX7l4wRkHqqCUFNJY4AfY3kHU/edit?usp=sharing  #gid=0"",""фіз особи new!relations_name""),6,FALSE)
,
(IF
(
G4349=""юридична особа""
,
VLOOKUP"&amp;"(H4349,IMPORTRANGE(""https://docs.google.com/spreadsheets/d/14Bd19lYaqBhU8_DElYkX7l4wRkHqqCUFNJY4AfY3kHU/edit?usp=sharing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4348" s="7" t="s">
        <v>29</v>
      </c>
    </row>
    <row r="4349" spans="1:10" ht="13.2">
      <c r="A4349" s="7">
        <v>4348</v>
      </c>
      <c r="B4349" s="7">
        <v>1</v>
      </c>
      <c r="C4349" s="7" t="s">
        <v>10</v>
      </c>
      <c r="D4349" s="7">
        <v>2967</v>
      </c>
      <c r="E4349" s="7" t="s">
        <v>28</v>
      </c>
      <c r="F4349" s="8" t="str">
        <f ca="1">IFERROR(__xludf.DUMMYFUNCTION("IF
(
C4350=""фізична особа""
,
VLOOKUP(D4350,IMPORTRANGE(""https://docs.google.com/spreadsheets/d/14Bd19lYaqBhU8_DElYkX7l4wRkHqqCUFNJY4AfY3kHU/edit?usp=sharing  #gid=0"",""фіз особи new!relations_name""),6,FALSE)
,
(IF
(
C4350=""юридична особа""
,
VLOOKUP"&amp;"(D4350,IMPORTRANGE(""https://docs.google.com/spreadsheets/d/14Bd19lYaqBhU8_DElYkX7l4wRkHqqCUFNJY4AfY3kHU/edit?usp=sharing  #gid=0"",""фіз особи new!relations_name_uo""),7,FALSE)
,
)
))"),"ПАНФІЛОВ Олександр Вікторович")</f>
        <v>ПАНФІЛОВ Олександр Вікторович</v>
      </c>
      <c r="G4349" s="7" t="s">
        <v>10</v>
      </c>
      <c r="H4349" s="7">
        <v>2964</v>
      </c>
      <c r="I4349" s="8" t="str">
        <f ca="1">IFERROR(__xludf.DUMMYFUNCTION("IF
(
G4350=""фізична особа""
,
VLOOKUP(H4350,IMPORTRANGE(""https://docs.google.com/spreadsheets/d/14Bd19lYaqBhU8_DElYkX7l4wRkHqqCUFNJY4AfY3kHU/edit?usp=sharing  #gid=0"",""фіз особи new!relations_name""),6,FALSE)
,
(IF
(
G4350=""юридична особа""
,
VLOOKUP"&amp;"(H4350,IMPORTRANGE(""https://docs.google.com/spreadsheets/d/14Bd19lYaqBhU8_DElYkX7l4wRkHqqCUFNJY4AfY3kHU/edit?usp=sharing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4349" s="7" t="s">
        <v>29</v>
      </c>
    </row>
    <row r="4350" spans="1:10" ht="13.2">
      <c r="A4350" s="7">
        <v>4349</v>
      </c>
      <c r="B4350" s="7">
        <v>1</v>
      </c>
      <c r="C4350" s="7" t="s">
        <v>10</v>
      </c>
      <c r="D4350" s="7">
        <v>2968</v>
      </c>
      <c r="E4350" s="7" t="s">
        <v>28</v>
      </c>
      <c r="F4350" s="8" t="str">
        <f ca="1">IFERROR(__xludf.DUMMYFUNCTION("IF
(
C4351=""фізична особа""
,
VLOOKUP(D4351,IMPORTRANGE(""https://docs.google.com/spreadsheets/d/14Bd19lYaqBhU8_DElYkX7l4wRkHqqCUFNJY4AfY3kHU/edit?usp=sharing  #gid=0"",""фіз особи new!relations_name""),6,FALSE)
,
(IF
(
C4351=""юридична особа""
,
VLOOKUP"&amp;"(D4351,IMPORTRANGE(""https://docs.google.com/spreadsheets/d/14Bd19lYaqBhU8_DElYkX7l4wRkHqqCUFNJY4AfY3kHU/edit?usp=sharing  #gid=0"",""фіз особи new!relations_name_uo""),7,FALSE)
,
)
))"),"СПІРЕНКОВ В'ячеслав Олександрович")</f>
        <v>СПІРЕНКОВ В'ячеслав Олександрович</v>
      </c>
      <c r="G4350" s="7" t="s">
        <v>10</v>
      </c>
      <c r="H4350" s="7">
        <v>2964</v>
      </c>
      <c r="I4350" s="8" t="str">
        <f ca="1">IFERROR(__xludf.DUMMYFUNCTION("IF
(
G4351=""фізична особа""
,
VLOOKUP(H4351,IMPORTRANGE(""https://docs.google.com/spreadsheets/d/14Bd19lYaqBhU8_DElYkX7l4wRkHqqCUFNJY4AfY3kHU/edit?usp=sharing  #gid=0"",""фіз особи new!relations_name""),6,FALSE)
,
(IF
(
G4351=""юридична особа""
,
VLOOKUP"&amp;"(H4351,IMPORTRANGE(""https://docs.google.com/spreadsheets/d/14Bd19lYaqBhU8_DElYkX7l4wRkHqqCUFNJY4AfY3kHU/edit?usp=sharing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4350" s="7" t="s">
        <v>29</v>
      </c>
    </row>
    <row r="4351" spans="1:10" ht="13.2">
      <c r="A4351" s="7">
        <v>4350</v>
      </c>
      <c r="B4351" s="7">
        <v>1</v>
      </c>
      <c r="C4351" s="7" t="s">
        <v>10</v>
      </c>
      <c r="D4351" s="7">
        <v>2969</v>
      </c>
      <c r="E4351" s="7" t="s">
        <v>28</v>
      </c>
      <c r="F4351" s="8" t="str">
        <f ca="1">IFERROR(__xludf.DUMMYFUNCTION("IF
(
C4352=""фізична особа""
,
VLOOKUP(D4352,IMPORTRANGE(""https://docs.google.com/spreadsheets/d/14Bd19lYaqBhU8_DElYkX7l4wRkHqqCUFNJY4AfY3kHU/edit?usp=sharing  #gid=0"",""фіз особи new!relations_name""),6,FALSE)
,
(IF
(
C4352=""юридична особа""
,
VLOOKUP"&amp;"(D4352,IMPORTRANGE(""https://docs.google.com/spreadsheets/d/14Bd19lYaqBhU8_DElYkX7l4wRkHqqCUFNJY4AfY3kHU/edit?usp=sharing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G4351" s="7" t="s">
        <v>10</v>
      </c>
      <c r="H4351" s="7">
        <v>372</v>
      </c>
      <c r="I4351" s="8" t="str">
        <f ca="1">IFERROR(__xludf.DUMMYFUNCTION("IF
(
G4352=""фізична особа""
,
VLOOKUP(H4352,IMPORTRANGE(""https://docs.google.com/spreadsheets/d/14Bd19lYaqBhU8_DElYkX7l4wRkHqqCUFNJY4AfY3kHU/edit?usp=sharing  #gid=0"",""фіз особи new!relations_name""),6,FALSE)
,
(IF
(
G4352=""юридична особа""
,
VLOOKUP"&amp;"(H4352,IMPORTRANGE(""https://docs.google.com/spreadsheets/d/14Bd19lYaqBhU8_DElYkX7l4wRkHqqCUFNJY4AfY3kHU/edit?usp=sharing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J4351" s="7" t="s">
        <v>29</v>
      </c>
    </row>
    <row r="4352" spans="1:10" ht="13.2">
      <c r="A4352" s="7">
        <v>4351</v>
      </c>
      <c r="B4352" s="7">
        <v>1</v>
      </c>
      <c r="C4352" s="7" t="s">
        <v>10</v>
      </c>
      <c r="D4352" s="7">
        <v>2970</v>
      </c>
      <c r="E4352" s="7" t="s">
        <v>28</v>
      </c>
      <c r="F4352" s="8" t="str">
        <f ca="1">IFERROR(__xludf.DUMMYFUNCTION("IF
(
C4353=""фізична особа""
,
VLOOKUP(D4353,IMPORTRANGE(""https://docs.google.com/spreadsheets/d/14Bd19lYaqBhU8_DElYkX7l4wRkHqqCUFNJY4AfY3kHU/edit?usp=sharing  #gid=0"",""фіз особи new!relations_name""),6,FALSE)
,
(IF
(
C4353=""юридична особа""
,
VLOOKUP"&amp;"(D4353,IMPORTRANGE(""https://docs.google.com/spreadsheets/d/14Bd19lYaqBhU8_DElYkX7l4wRkHqqCUFNJY4AfY3kHU/edit?usp=sharing  #gid=0"",""фіз особи new!relations_name_uo""),7,FALSE)
,
)
))"),"БАЛАН Валерій Павлович")</f>
        <v>БАЛАН Валерій Павлович</v>
      </c>
      <c r="G4352" s="7" t="s">
        <v>10</v>
      </c>
      <c r="H4352" s="7">
        <v>2969</v>
      </c>
      <c r="I4352" s="8" t="str">
        <f ca="1">IFERROR(__xludf.DUMMYFUNCTION("IF
(
G4353=""фізична особа""
,
VLOOKUP(H4353,IMPORTRANGE(""https://docs.google.com/spreadsheets/d/14Bd19lYaqBhU8_DElYkX7l4wRkHqqCUFNJY4AfY3kHU/edit?usp=sharing  #gid=0"",""фіз особи new!relations_name""),6,FALSE)
,
(IF
(
G4353=""юридична особа""
,
VLOOKUP"&amp;"(H4353,IMPORTRANGE(""https://docs.google.com/spreadsheets/d/14Bd19lYaqBhU8_DElYkX7l4wRkHqqCUFNJY4AfY3kHU/edit?usp=sharing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4352" s="7" t="s">
        <v>29</v>
      </c>
    </row>
    <row r="4353" spans="1:10" ht="13.2">
      <c r="A4353" s="7">
        <v>4352</v>
      </c>
      <c r="B4353" s="7">
        <v>1</v>
      </c>
      <c r="C4353" s="7" t="s">
        <v>10</v>
      </c>
      <c r="D4353" s="7">
        <v>2971</v>
      </c>
      <c r="E4353" s="7" t="s">
        <v>28</v>
      </c>
      <c r="F4353" s="8" t="str">
        <f ca="1">IFERROR(__xludf.DUMMYFUNCTION("IF
(
C4354=""фізична особа""
,
VLOOKUP(D4354,IMPORTRANGE(""https://docs.google.com/spreadsheets/d/14Bd19lYaqBhU8_DElYkX7l4wRkHqqCUFNJY4AfY3kHU/edit?usp=sharing  #gid=0"",""фіз особи new!relations_name""),6,FALSE)
,
(IF
(
C4354=""юридична особа""
,
VLOOKUP"&amp;"(D4354,IMPORTRANGE(""https://docs.google.com/spreadsheets/d/14Bd19lYaqBhU8_DElYkX7l4wRkHqqCUFNJY4AfY3kHU/edit?usp=sharing  #gid=0"",""фіз особи new!relations_name_uo""),7,FALSE)
,
)
))"),"БОЯРИНЄВ Валерій Геннадійович")</f>
        <v>БОЯРИНЄВ Валерій Геннадійович</v>
      </c>
      <c r="G4353" s="7" t="s">
        <v>10</v>
      </c>
      <c r="H4353" s="7">
        <v>2969</v>
      </c>
      <c r="I4353" s="8" t="str">
        <f ca="1">IFERROR(__xludf.DUMMYFUNCTION("IF
(
G4354=""фізична особа""
,
VLOOKUP(H4354,IMPORTRANGE(""https://docs.google.com/spreadsheets/d/14Bd19lYaqBhU8_DElYkX7l4wRkHqqCUFNJY4AfY3kHU/edit?usp=sharing  #gid=0"",""фіз особи new!relations_name""),6,FALSE)
,
(IF
(
G4354=""юридична особа""
,
VLOOKUP"&amp;"(H4354,IMPORTRANGE(""https://docs.google.com/spreadsheets/d/14Bd19lYaqBhU8_DElYkX7l4wRkHqqCUFNJY4AfY3kHU/edit?usp=sharing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4353" s="7" t="s">
        <v>29</v>
      </c>
    </row>
    <row r="4354" spans="1:10" ht="13.2">
      <c r="A4354" s="7">
        <v>4353</v>
      </c>
      <c r="B4354" s="7">
        <v>1</v>
      </c>
      <c r="C4354" s="7" t="s">
        <v>10</v>
      </c>
      <c r="D4354" s="7">
        <v>2972</v>
      </c>
      <c r="E4354" s="7" t="s">
        <v>28</v>
      </c>
      <c r="F4354" s="8" t="str">
        <f ca="1">IFERROR(__xludf.DUMMYFUNCTION("IF
(
C4355=""фізична особа""
,
VLOOKUP(D4355,IMPORTRANGE(""https://docs.google.com/spreadsheets/d/14Bd19lYaqBhU8_DElYkX7l4wRkHqqCUFNJY4AfY3kHU/edit?usp=sharing  #gid=0"",""фіз особи new!relations_name""),6,FALSE)
,
(IF
(
C4355=""юридична особа""
,
VLOOKUP"&amp;"(D4355,IMPORTRANGE(""https://docs.google.com/spreadsheets/d/14Bd19lYaqBhU8_DElYkX7l4wRkHqqCUFNJY4AfY3kHU/edit?usp=sharing  #gid=0"",""фіз особи new!relations_name_uo""),7,FALSE)
,
)
))"),"СТЕПАНЕНКО Рустам Алійович")</f>
        <v>СТЕПАНЕНКО Рустам Алійович</v>
      </c>
      <c r="G4354" s="7" t="s">
        <v>10</v>
      </c>
      <c r="H4354" s="7">
        <v>2969</v>
      </c>
      <c r="I4354" s="8" t="str">
        <f ca="1">IFERROR(__xludf.DUMMYFUNCTION("IF
(
G4355=""фізична особа""
,
VLOOKUP(H4355,IMPORTRANGE(""https://docs.google.com/spreadsheets/d/14Bd19lYaqBhU8_DElYkX7l4wRkHqqCUFNJY4AfY3kHU/edit?usp=sharing  #gid=0"",""фіз особи new!relations_name""),6,FALSE)
,
(IF
(
G4355=""юридична особа""
,
VLOOKUP"&amp;"(H4355,IMPORTRANGE(""https://docs.google.com/spreadsheets/d/14Bd19lYaqBhU8_DElYkX7l4wRkHqqCUFNJY4AfY3kHU/edit?usp=sharing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4354" s="7" t="s">
        <v>29</v>
      </c>
    </row>
    <row r="4355" spans="1:10" ht="13.2">
      <c r="A4355" s="7">
        <v>4354</v>
      </c>
      <c r="B4355" s="7">
        <v>1</v>
      </c>
      <c r="C4355" s="7" t="s">
        <v>10</v>
      </c>
      <c r="D4355" s="7">
        <v>2973</v>
      </c>
      <c r="E4355" s="7" t="s">
        <v>28</v>
      </c>
      <c r="F4355" s="8" t="str">
        <f ca="1">IFERROR(__xludf.DUMMYFUNCTION("IF
(
C4356=""фізична особа""
,
VLOOKUP(D4356,IMPORTRANGE(""https://docs.google.com/spreadsheets/d/14Bd19lYaqBhU8_DElYkX7l4wRkHqqCUFNJY4AfY3kHU/edit?usp=sharing  #gid=0"",""фіз особи new!relations_name""),6,FALSE)
,
(IF
(
C4356=""юридична особа""
,
VLOOKUP"&amp;"(D4356,IMPORTRANGE(""https://docs.google.com/spreadsheets/d/14Bd19lYaqBhU8_DElYkX7l4wRkHqqCUFNJY4AfY3kHU/edit?usp=sharing  #gid=0"",""фіз особи new!relations_name_uo""),7,FALSE)
,
)
))"),"ХАБАРОВ Олександр Володимирович")</f>
        <v>ХАБАРОВ Олександр Володимирович</v>
      </c>
      <c r="G4355" s="7" t="s">
        <v>10</v>
      </c>
      <c r="H4355" s="7">
        <v>2969</v>
      </c>
      <c r="I4355" s="8" t="str">
        <f ca="1">IFERROR(__xludf.DUMMYFUNCTION("IF
(
G4356=""фізична особа""
,
VLOOKUP(H4356,IMPORTRANGE(""https://docs.google.com/spreadsheets/d/14Bd19lYaqBhU8_DElYkX7l4wRkHqqCUFNJY4AfY3kHU/edit?usp=sharing  #gid=0"",""фіз особи new!relations_name""),6,FALSE)
,
(IF
(
G4356=""юридична особа""
,
VLOOKUP"&amp;"(H4356,IMPORTRANGE(""https://docs.google.com/spreadsheets/d/14Bd19lYaqBhU8_DElYkX7l4wRkHqqCUFNJY4AfY3kHU/edit?usp=sharing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4355" s="7" t="s">
        <v>29</v>
      </c>
    </row>
    <row r="4356" spans="1:10" ht="13.2">
      <c r="A4356" s="7">
        <v>4355</v>
      </c>
      <c r="B4356" s="7">
        <v>1</v>
      </c>
      <c r="C4356" s="7" t="s">
        <v>10</v>
      </c>
      <c r="D4356" s="7">
        <v>2974</v>
      </c>
      <c r="E4356" s="7" t="s">
        <v>28</v>
      </c>
      <c r="F4356" s="8" t="str">
        <f ca="1">IFERROR(__xludf.DUMMYFUNCTION("IF
(
C4357=""фізична особа""
,
VLOOKUP(D4357,IMPORTRANGE(""https://docs.google.com/spreadsheets/d/14Bd19lYaqBhU8_DElYkX7l4wRkHqqCUFNJY4AfY3kHU/edit?usp=sharing  #gid=0"",""фіз особи new!relations_name""),6,FALSE)
,
(IF
(
C4357=""юридична особа""
,
VLOOKUP"&amp;"(D4357,IMPORTRANGE(""https://docs.google.com/spreadsheets/d/14Bd19lYaqBhU8_DElYkX7l4wRkHqqCUFNJY4AfY3kHU/edit?usp=sharing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G4356" s="7" t="s">
        <v>10</v>
      </c>
      <c r="H4356" s="7">
        <v>372</v>
      </c>
      <c r="I4356" s="8" t="str">
        <f ca="1">IFERROR(__xludf.DUMMYFUNCTION("IF
(
G4357=""фізична особа""
,
VLOOKUP(H4357,IMPORTRANGE(""https://docs.google.com/spreadsheets/d/14Bd19lYaqBhU8_DElYkX7l4wRkHqqCUFNJY4AfY3kHU/edit?usp=sharing  #gid=0"",""фіз особи new!relations_name""),6,FALSE)
,
(IF
(
G4357=""юридична особа""
,
VLOOKUP"&amp;"(H4357,IMPORTRANGE(""https://docs.google.com/spreadsheets/d/14Bd19lYaqBhU8_DElYkX7l4wRkHqqCUFNJY4AfY3kHU/edit?usp=sharing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J4356" s="7" t="s">
        <v>29</v>
      </c>
    </row>
    <row r="4357" spans="1:10" ht="13.2">
      <c r="A4357" s="7">
        <v>4356</v>
      </c>
      <c r="B4357" s="7">
        <v>1</v>
      </c>
      <c r="C4357" s="7" t="s">
        <v>10</v>
      </c>
      <c r="D4357" s="7">
        <v>2975</v>
      </c>
      <c r="E4357" s="7" t="s">
        <v>28</v>
      </c>
      <c r="F4357" s="8" t="str">
        <f ca="1">IFERROR(__xludf.DUMMYFUNCTION("IF
(
C4358=""фізична особа""
,
VLOOKUP(D4358,IMPORTRANGE(""https://docs.google.com/spreadsheets/d/14Bd19lYaqBhU8_DElYkX7l4wRkHqqCUFNJY4AfY3kHU/edit?usp=sharing  #gid=0"",""фіз особи new!relations_name""),6,FALSE)
,
(IF
(
C4358=""юридична особа""
,
VLOOKUP"&amp;"(D4358,IMPORTRANGE(""https://docs.google.com/spreadsheets/d/14Bd19lYaqBhU8_DElYkX7l4wRkHqqCUFNJY4AfY3kHU/edit?usp=sharing  #gid=0"",""фіз особи new!relations_name_uo""),7,FALSE)
,
)
))"),"САВЕНКО Ігор Геннадійович")</f>
        <v>САВЕНКО Ігор Геннадійович</v>
      </c>
      <c r="G4357" s="7" t="s">
        <v>10</v>
      </c>
      <c r="H4357" s="7">
        <v>2974</v>
      </c>
      <c r="I4357" s="8" t="str">
        <f ca="1">IFERROR(__xludf.DUMMYFUNCTION("IF
(
G4358=""фізична особа""
,
VLOOKUP(H4358,IMPORTRANGE(""https://docs.google.com/spreadsheets/d/14Bd19lYaqBhU8_DElYkX7l4wRkHqqCUFNJY4AfY3kHU/edit?usp=sharing  #gid=0"",""фіз особи new!relations_name""),6,FALSE)
,
(IF
(
G4358=""юридична особа""
,
VLOOKUP"&amp;"(H4358,IMPORTRANGE(""https://docs.google.com/spreadsheets/d/14Bd19lYaqBhU8_DElYkX7l4wRkHqqCUFNJY4AfY3kHU/edit?usp=sharing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57" s="7" t="s">
        <v>29</v>
      </c>
    </row>
    <row r="4358" spans="1:10" ht="13.2">
      <c r="A4358" s="7">
        <v>4357</v>
      </c>
      <c r="B4358" s="7">
        <v>1</v>
      </c>
      <c r="C4358" s="7" t="s">
        <v>10</v>
      </c>
      <c r="D4358" s="7">
        <v>2976</v>
      </c>
      <c r="E4358" s="7" t="s">
        <v>28</v>
      </c>
      <c r="F4358" s="8" t="str">
        <f ca="1">IFERROR(__xludf.DUMMYFUNCTION("IF
(
C4359=""фізична особа""
,
VLOOKUP(D4359,IMPORTRANGE(""https://docs.google.com/spreadsheets/d/14Bd19lYaqBhU8_DElYkX7l4wRkHqqCUFNJY4AfY3kHU/edit?usp=sharing  #gid=0"",""фіз особи new!relations_name""),6,FALSE)
,
(IF
(
C4359=""юридична особа""
,
VLOOKUP"&amp;"(D4359,IMPORTRANGE(""https://docs.google.com/spreadsheets/d/14Bd19lYaqBhU8_DElYkX7l4wRkHqqCUFNJY4AfY3kHU/edit?usp=sharing  #gid=0"",""фіз особи new!relations_name_uo""),7,FALSE)
,
)
))"),"ВОРОНІН Володимир Васильович")</f>
        <v>ВОРОНІН Володимир Васильович</v>
      </c>
      <c r="G4358" s="7" t="s">
        <v>10</v>
      </c>
      <c r="H4358" s="7">
        <v>2974</v>
      </c>
      <c r="I4358" s="8" t="str">
        <f ca="1">IFERROR(__xludf.DUMMYFUNCTION("IF
(
G4359=""фізична особа""
,
VLOOKUP(H4359,IMPORTRANGE(""https://docs.google.com/spreadsheets/d/14Bd19lYaqBhU8_DElYkX7l4wRkHqqCUFNJY4AfY3kHU/edit?usp=sharing  #gid=0"",""фіз особи new!relations_name""),6,FALSE)
,
(IF
(
G4359=""юридична особа""
,
VLOOKUP"&amp;"(H4359,IMPORTRANGE(""https://docs.google.com/spreadsheets/d/14Bd19lYaqBhU8_DElYkX7l4wRkHqqCUFNJY4AfY3kHU/edit?usp=sharing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58" s="7" t="s">
        <v>29</v>
      </c>
    </row>
    <row r="4359" spans="1:10" ht="13.2">
      <c r="A4359" s="7">
        <v>4358</v>
      </c>
      <c r="B4359" s="7">
        <v>1</v>
      </c>
      <c r="C4359" s="7" t="s">
        <v>10</v>
      </c>
      <c r="D4359" s="7">
        <v>2977</v>
      </c>
      <c r="E4359" s="7" t="s">
        <v>28</v>
      </c>
      <c r="F4359" s="8" t="str">
        <f ca="1">IFERROR(__xludf.DUMMYFUNCTION("IF
(
C4360=""фізична особа""
,
VLOOKUP(D4360,IMPORTRANGE(""https://docs.google.com/spreadsheets/d/14Bd19lYaqBhU8_DElYkX7l4wRkHqqCUFNJY4AfY3kHU/edit?usp=sharing  #gid=0"",""фіз особи new!relations_name""),6,FALSE)
,
(IF
(
C4360=""юридична особа""
,
VLOOKUP"&amp;"(D4360,IMPORTRANGE(""https://docs.google.com/spreadsheets/d/14Bd19lYaqBhU8_DElYkX7l4wRkHqqCUFNJY4AfY3kHU/edit?usp=sharing  #gid=0"",""фіз особи new!relations_name_uo""),7,FALSE)
,
)
))"),"БЄЛОУСОВ Сергій Вікторович")</f>
        <v>БЄЛОУСОВ Сергій Вікторович</v>
      </c>
      <c r="G4359" s="7" t="s">
        <v>10</v>
      </c>
      <c r="H4359" s="7">
        <v>2974</v>
      </c>
      <c r="I4359" s="8" t="str">
        <f ca="1">IFERROR(__xludf.DUMMYFUNCTION("IF
(
G4360=""фізична особа""
,
VLOOKUP(H4360,IMPORTRANGE(""https://docs.google.com/spreadsheets/d/14Bd19lYaqBhU8_DElYkX7l4wRkHqqCUFNJY4AfY3kHU/edit?usp=sharing  #gid=0"",""фіз особи new!relations_name""),6,FALSE)
,
(IF
(
G4360=""юридична особа""
,
VLOOKUP"&amp;"(H4360,IMPORTRANGE(""https://docs.google.com/spreadsheets/d/14Bd19lYaqBhU8_DElYkX7l4wRkHqqCUFNJY4AfY3kHU/edit?usp=sharing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59" s="7" t="s">
        <v>29</v>
      </c>
    </row>
    <row r="4360" spans="1:10" ht="13.2">
      <c r="A4360" s="7">
        <v>4359</v>
      </c>
      <c r="B4360" s="7">
        <v>1</v>
      </c>
      <c r="C4360" s="7" t="s">
        <v>10</v>
      </c>
      <c r="D4360" s="7">
        <v>2978</v>
      </c>
      <c r="E4360" s="7" t="s">
        <v>28</v>
      </c>
      <c r="F4360" s="8" t="str">
        <f ca="1">IFERROR(__xludf.DUMMYFUNCTION("IF
(
C4361=""фізична особа""
,
VLOOKUP(D4361,IMPORTRANGE(""https://docs.google.com/spreadsheets/d/14Bd19lYaqBhU8_DElYkX7l4wRkHqqCUFNJY4AfY3kHU/edit?usp=sharing  #gid=0"",""фіз особи new!relations_name""),6,FALSE)
,
(IF
(
C4361=""юридична особа""
,
VLOOKUP"&amp;"(D4361,IMPORTRANGE(""https://docs.google.com/spreadsheets/d/14Bd19lYaqBhU8_DElYkX7l4wRkHqqCUFNJY4AfY3kHU/edit?usp=sharing  #gid=0"",""фіз особи new!relations_name_uo""),7,FALSE)
,
)
))"),"ЗАВОЙСЬКИХ Майя Темурівна")</f>
        <v>ЗАВОЙСЬКИХ Майя Темурівна</v>
      </c>
      <c r="G4360" s="7" t="s">
        <v>10</v>
      </c>
      <c r="H4360" s="7">
        <v>2377</v>
      </c>
      <c r="I4360" s="8" t="str">
        <f ca="1">IFERROR(__xludf.DUMMYFUNCTION("IF
(
G4361=""фізична особа""
,
VLOOKUP(H4361,IMPORTRANGE(""https://docs.google.com/spreadsheets/d/14Bd19lYaqBhU8_DElYkX7l4wRkHqqCUFNJY4AfY3kHU/edit?usp=sharing  #gid=0"",""фіз особи new!relations_name""),6,FALSE)
,
(IF
(
G4361=""юридична особа""
,
VLOOKUP"&amp;"(H4361,IMPORTRANGE(""https://docs.google.com/spreadsheets/d/14Bd19lYaqBhU8_DElYkX7l4wRkHqqCUFNJY4AfY3kHU/edit?usp=sharing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60" s="7" t="s">
        <v>29</v>
      </c>
    </row>
    <row r="4361" spans="1:10" ht="13.2">
      <c r="A4361" s="7">
        <v>4360</v>
      </c>
      <c r="B4361" s="7">
        <v>1</v>
      </c>
      <c r="C4361" s="7" t="s">
        <v>10</v>
      </c>
      <c r="D4361" s="7">
        <v>2979</v>
      </c>
      <c r="E4361" s="7" t="s">
        <v>28</v>
      </c>
      <c r="F4361" s="8" t="str">
        <f ca="1">IFERROR(__xludf.DUMMYFUNCTION("IF
(
C4362=""фізична особа""
,
VLOOKUP(D4362,IMPORTRANGE(""https://docs.google.com/spreadsheets/d/14Bd19lYaqBhU8_DElYkX7l4wRkHqqCUFNJY4AfY3kHU/edit?usp=sharing  #gid=0"",""фіз особи new!relations_name""),6,FALSE)
,
(IF
(
C4362=""юридична особа""
,
VLOOKUP"&amp;"(D4362,IMPORTRANGE(""https://docs.google.com/spreadsheets/d/14Bd19lYaqBhU8_DElYkX7l4wRkHqqCUFNJY4AfY3kHU/edit?usp=sharing  #gid=0"",""фіз особи new!relations_name_uo""),7,FALSE)
,
)
))"),"ПОМІГАЛОВА Ольга Олександрівна")</f>
        <v>ПОМІГАЛОВА Ольга Олександрівна</v>
      </c>
      <c r="G4361" s="7" t="s">
        <v>10</v>
      </c>
      <c r="H4361" s="7">
        <v>2974</v>
      </c>
      <c r="I4361" s="8" t="str">
        <f ca="1">IFERROR(__xludf.DUMMYFUNCTION("IF
(
G4362=""фізична особа""
,
VLOOKUP(H4362,IMPORTRANGE(""https://docs.google.com/spreadsheets/d/14Bd19lYaqBhU8_DElYkX7l4wRkHqqCUFNJY4AfY3kHU/edit?usp=sharing  #gid=0"",""фіз особи new!relations_name""),6,FALSE)
,
(IF
(
G4362=""юридична особа""
,
VLOOKUP"&amp;"(H4362,IMPORTRANGE(""https://docs.google.com/spreadsheets/d/14Bd19lYaqBhU8_DElYkX7l4wRkHqqCUFNJY4AfY3kHU/edit?usp=sharing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61" s="7" t="s">
        <v>29</v>
      </c>
    </row>
    <row r="4362" spans="1:10" ht="13.2">
      <c r="A4362" s="7">
        <v>4361</v>
      </c>
      <c r="B4362" s="7">
        <v>1</v>
      </c>
      <c r="C4362" s="7" t="s">
        <v>10</v>
      </c>
      <c r="D4362" s="7">
        <v>2980</v>
      </c>
      <c r="E4362" s="7" t="s">
        <v>28</v>
      </c>
      <c r="F4362" s="8" t="str">
        <f ca="1">IFERROR(__xludf.DUMMYFUNCTION("IF
(
C4363=""фізична особа""
,
VLOOKUP(D4363,IMPORTRANGE(""https://docs.google.com/spreadsheets/d/14Bd19lYaqBhU8_DElYkX7l4wRkHqqCUFNJY4AfY3kHU/edit?usp=sharing  #gid=0"",""фіз особи new!relations_name""),6,FALSE)
,
(IF
(
C4363=""юридична особа""
,
VLOOKUP"&amp;"(D4363,IMPORTRANGE(""https://docs.google.com/spreadsheets/d/14Bd19lYaqBhU8_DElYkX7l4wRkHqqCUFNJY4AfY3kHU/edit?usp=sharing  #gid=0"",""фіз особи new!relations_name_uo""),7,FALSE)
,
)
))"),"ЗАХАРКІНА Олена Юріївна")</f>
        <v>ЗАХАРКІНА Олена Юріївна</v>
      </c>
      <c r="G4362" s="7" t="s">
        <v>10</v>
      </c>
      <c r="H4362" s="7">
        <v>2974</v>
      </c>
      <c r="I4362" s="8" t="str">
        <f ca="1">IFERROR(__xludf.DUMMYFUNCTION("IF
(
G4363=""фізична особа""
,
VLOOKUP(H4363,IMPORTRANGE(""https://docs.google.com/spreadsheets/d/14Bd19lYaqBhU8_DElYkX7l4wRkHqqCUFNJY4AfY3kHU/edit?usp=sharing  #gid=0"",""фіз особи new!relations_name""),6,FALSE)
,
(IF
(
G4363=""юридична особа""
,
VLOOKUP"&amp;"(H4363,IMPORTRANGE(""https://docs.google.com/spreadsheets/d/14Bd19lYaqBhU8_DElYkX7l4wRkHqqCUFNJY4AfY3kHU/edit?usp=sharing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62" s="7" t="s">
        <v>29</v>
      </c>
    </row>
    <row r="4363" spans="1:10" ht="13.2">
      <c r="A4363" s="7">
        <v>4362</v>
      </c>
      <c r="B4363" s="7">
        <v>1</v>
      </c>
      <c r="C4363" s="7" t="s">
        <v>10</v>
      </c>
      <c r="D4363" s="7">
        <v>2981</v>
      </c>
      <c r="E4363" s="7" t="s">
        <v>28</v>
      </c>
      <c r="F4363" s="8" t="str">
        <f ca="1">IFERROR(__xludf.DUMMYFUNCTION("IF
(
C4364=""фізична особа""
,
VLOOKUP(D4364,IMPORTRANGE(""https://docs.google.com/spreadsheets/d/14Bd19lYaqBhU8_DElYkX7l4wRkHqqCUFNJY4AfY3kHU/edit?usp=sharing  #gid=0"",""фіз особи new!relations_name""),6,FALSE)
,
(IF
(
C4364=""юридична особа""
,
VLOOKUP"&amp;"(D4364,IMPORTRANGE(""https://docs.google.com/spreadsheets/d/14Bd19lYaqBhU8_DElYkX7l4wRkHqqCUFNJY4AfY3kHU/edit?usp=sharing  #gid=0"",""фіз особи new!relations_name_uo""),7,FALSE)
,
)
))"),"ФІРСТОВ Денис Олександрович")</f>
        <v>ФІРСТОВ Денис Олександрович</v>
      </c>
      <c r="G4363" s="7" t="s">
        <v>10</v>
      </c>
      <c r="H4363" s="7">
        <v>2974</v>
      </c>
      <c r="I4363" s="8" t="str">
        <f ca="1">IFERROR(__xludf.DUMMYFUNCTION("IF
(
G4364=""фізична особа""
,
VLOOKUP(H4364,IMPORTRANGE(""https://docs.google.com/spreadsheets/d/14Bd19lYaqBhU8_DElYkX7l4wRkHqqCUFNJY4AfY3kHU/edit?usp=sharing  #gid=0"",""фіз особи new!relations_name""),6,FALSE)
,
(IF
(
G4364=""юридична особа""
,
VLOOKUP"&amp;"(H4364,IMPORTRANGE(""https://docs.google.com/spreadsheets/d/14Bd19lYaqBhU8_DElYkX7l4wRkHqqCUFNJY4AfY3kHU/edit?usp=sharing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4363" s="7" t="s">
        <v>29</v>
      </c>
    </row>
    <row r="4364" spans="1:10" ht="13.2">
      <c r="A4364" s="7">
        <v>4363</v>
      </c>
      <c r="B4364" s="7">
        <v>1</v>
      </c>
      <c r="C4364" s="7" t="s">
        <v>10</v>
      </c>
      <c r="D4364" s="7">
        <v>2982</v>
      </c>
      <c r="E4364" s="7" t="s">
        <v>28</v>
      </c>
      <c r="F4364" s="8" t="str">
        <f ca="1">IFERROR(__xludf.DUMMYFUNCTION("IF
(
C4365=""фізична особа""
,
VLOOKUP(D4365,IMPORTRANGE(""https://docs.google.com/spreadsheets/d/14Bd19lYaqBhU8_DElYkX7l4wRkHqqCUFNJY4AfY3kHU/edit?usp=sharing  #gid=0"",""фіз особи new!relations_name""),6,FALSE)
,
(IF
(
C4365=""юридична особа""
,
VLOOKUP"&amp;"(D4365,IMPORTRANGE(""https://docs.google.com/spreadsheets/d/14Bd19lYaqBhU8_DElYkX7l4wRkHqqCUFNJY4AfY3kHU/edit?usp=sharing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G4364" s="7" t="s">
        <v>10</v>
      </c>
      <c r="H4364" s="7">
        <v>841</v>
      </c>
      <c r="I4364" s="8" t="str">
        <f ca="1">IFERROR(__xludf.DUMMYFUNCTION("IF
(
G4365=""фізична особа""
,
VLOOKUP(H4365,IMPORTRANGE(""https://docs.google.com/spreadsheets/d/14Bd19lYaqBhU8_DElYkX7l4wRkHqqCUFNJY4AfY3kHU/edit?usp=sharing  #gid=0"",""фіз особи new!relations_name""),6,FALSE)
,
(IF
(
G4365=""юридична особа""
,
VLOOKUP"&amp;"(H4365,IMPORTRANGE(""https://docs.google.com/spreadsheets/d/14Bd19lYaqBhU8_DElYkX7l4wRkHqqCUFNJY4AfY3kHU/edit?usp=sharing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4364" s="7" t="s">
        <v>29</v>
      </c>
    </row>
    <row r="4365" spans="1:10" ht="13.2">
      <c r="A4365" s="7">
        <v>4364</v>
      </c>
      <c r="B4365" s="7">
        <v>1</v>
      </c>
      <c r="C4365" s="7" t="s">
        <v>10</v>
      </c>
      <c r="D4365" s="7">
        <v>2983</v>
      </c>
      <c r="E4365" s="7" t="s">
        <v>28</v>
      </c>
      <c r="F4365" s="8" t="str">
        <f ca="1">IFERROR(__xludf.DUMMYFUNCTION("IF
(
C4366=""фізична особа""
,
VLOOKUP(D4366,IMPORTRANGE(""https://docs.google.com/spreadsheets/d/14Bd19lYaqBhU8_DElYkX7l4wRkHqqCUFNJY4AfY3kHU/edit?usp=sharing  #gid=0"",""фіз особи new!relations_name""),6,FALSE)
,
(IF
(
C4366=""юридична особа""
,
VLOOKUP"&amp;"(D4366,IMPORTRANGE(""https://docs.google.com/spreadsheets/d/14Bd19lYaqBhU8_DElYkX7l4wRkHqqCUFNJY4AfY3kHU/edit?usp=sharing  #gid=0"",""фіз особи new!relations_name_uo""),7,FALSE)
,
)
))"),"ГУЛІН Віктор Борисович")</f>
        <v>ГУЛІН Віктор Борисович</v>
      </c>
      <c r="G4365" s="7" t="s">
        <v>10</v>
      </c>
      <c r="H4365" s="7">
        <v>2982</v>
      </c>
      <c r="I4365" s="8" t="str">
        <f ca="1">IFERROR(__xludf.DUMMYFUNCTION("IF
(
G4366=""фізична особа""
,
VLOOKUP(H4366,IMPORTRANGE(""https://docs.google.com/spreadsheets/d/14Bd19lYaqBhU8_DElYkX7l4wRkHqqCUFNJY4AfY3kHU/edit?usp=sharing  #gid=0"",""фіз особи new!relations_name""),6,FALSE)
,
(IF
(
G4366=""юридична особа""
,
VLOOKUP"&amp;"(H4366,IMPORTRANGE(""https://docs.google.com/spreadsheets/d/14Bd19lYaqBhU8_DElYkX7l4wRkHqqCUFNJY4AfY3kHU/edit?usp=sharing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4365" s="7" t="s">
        <v>29</v>
      </c>
    </row>
    <row r="4366" spans="1:10" ht="13.2">
      <c r="A4366" s="7">
        <v>4365</v>
      </c>
      <c r="B4366" s="7">
        <v>1</v>
      </c>
      <c r="C4366" s="7" t="s">
        <v>10</v>
      </c>
      <c r="D4366" s="7">
        <v>2984</v>
      </c>
      <c r="E4366" s="7" t="s">
        <v>28</v>
      </c>
      <c r="F4366" s="8" t="str">
        <f ca="1">IFERROR(__xludf.DUMMYFUNCTION("IF
(
C4367=""фізична особа""
,
VLOOKUP(D4367,IMPORTRANGE(""https://docs.google.com/spreadsheets/d/14Bd19lYaqBhU8_DElYkX7l4wRkHqqCUFNJY4AfY3kHU/edit?usp=sharing  #gid=0"",""фіз особи new!relations_name""),6,FALSE)
,
(IF
(
C4367=""юридична особа""
,
VLOOKUP"&amp;"(D4367,IMPORTRANGE(""https://docs.google.com/spreadsheets/d/14Bd19lYaqBhU8_DElYkX7l4wRkHqqCUFNJY4AfY3kHU/edit?usp=sharing  #gid=0"",""фіз особи new!relations_name_uo""),7,FALSE)
,
)
))"),"САРИЦЬКИЙ Сергій Миколайович")</f>
        <v>САРИЦЬКИЙ Сергій Миколайович</v>
      </c>
      <c r="G4366" s="7" t="s">
        <v>10</v>
      </c>
      <c r="H4366" s="7">
        <v>2982</v>
      </c>
      <c r="I4366" s="8" t="str">
        <f ca="1">IFERROR(__xludf.DUMMYFUNCTION("IF
(
G4367=""фізична особа""
,
VLOOKUP(H4367,IMPORTRANGE(""https://docs.google.com/spreadsheets/d/14Bd19lYaqBhU8_DElYkX7l4wRkHqqCUFNJY4AfY3kHU/edit?usp=sharing  #gid=0"",""фіз особи new!relations_name""),6,FALSE)
,
(IF
(
G4367=""юридична особа""
,
VLOOKUP"&amp;"(H4367,IMPORTRANGE(""https://docs.google.com/spreadsheets/d/14Bd19lYaqBhU8_DElYkX7l4wRkHqqCUFNJY4AfY3kHU/edit?usp=sharing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4366" s="7" t="s">
        <v>29</v>
      </c>
    </row>
    <row r="4367" spans="1:10" ht="13.2">
      <c r="A4367" s="7">
        <v>4366</v>
      </c>
      <c r="B4367" s="7">
        <v>1</v>
      </c>
      <c r="C4367" s="7" t="s">
        <v>10</v>
      </c>
      <c r="D4367" s="7">
        <v>2985</v>
      </c>
      <c r="E4367" s="7" t="s">
        <v>28</v>
      </c>
      <c r="F4367" s="8" t="str">
        <f ca="1">IFERROR(__xludf.DUMMYFUNCTION("IF
(
C4368=""фізична особа""
,
VLOOKUP(D4368,IMPORTRANGE(""https://docs.google.com/spreadsheets/d/14Bd19lYaqBhU8_DElYkX7l4wRkHqqCUFNJY4AfY3kHU/edit?usp=sharing  #gid=0"",""фіз особи new!relations_name""),6,FALSE)
,
(IF
(
C4368=""юридична особа""
,
VLOOKUP"&amp;"(D4368,IMPORTRANGE(""https://docs.google.com/spreadsheets/d/14Bd19lYaqBhU8_DElYkX7l4wRkHqqCUFNJY4AfY3kHU/edit?usp=sharing  #gid=0"",""фіз особи new!relations_name_uo""),7,FALSE)
,
)
))"),"ПРОХОДЦЕВ Олександр Васильович")</f>
        <v>ПРОХОДЦЕВ Олександр Васильович</v>
      </c>
      <c r="G4367" s="7" t="s">
        <v>10</v>
      </c>
      <c r="H4367" s="7">
        <v>2982</v>
      </c>
      <c r="I4367" s="8" t="str">
        <f ca="1">IFERROR(__xludf.DUMMYFUNCTION("IF
(
G4368=""фізична особа""
,
VLOOKUP(H4368,IMPORTRANGE(""https://docs.google.com/spreadsheets/d/14Bd19lYaqBhU8_DElYkX7l4wRkHqqCUFNJY4AfY3kHU/edit?usp=sharing  #gid=0"",""фіз особи new!relations_name""),6,FALSE)
,
(IF
(
G4368=""юридична особа""
,
VLOOKUP"&amp;"(H4368,IMPORTRANGE(""https://docs.google.com/spreadsheets/d/14Bd19lYaqBhU8_DElYkX7l4wRkHqqCUFNJY4AfY3kHU/edit?usp=sharing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4367" s="7" t="s">
        <v>29</v>
      </c>
    </row>
    <row r="4368" spans="1:10" ht="13.2">
      <c r="A4368" s="7">
        <v>4367</v>
      </c>
      <c r="B4368" s="7">
        <v>1</v>
      </c>
      <c r="C4368" s="7" t="s">
        <v>10</v>
      </c>
      <c r="D4368" s="7">
        <v>2986</v>
      </c>
      <c r="E4368" s="7" t="s">
        <v>28</v>
      </c>
      <c r="F4368" s="8" t="str">
        <f ca="1">IFERROR(__xludf.DUMMYFUNCTION("IF
(
C4369=""фізична особа""
,
VLOOKUP(D4369,IMPORTRANGE(""https://docs.google.com/spreadsheets/d/14Bd19lYaqBhU8_DElYkX7l4wRkHqqCUFNJY4AfY3kHU/edit?usp=sharing  #gid=0"",""фіз особи new!relations_name""),6,FALSE)
,
(IF
(
C4369=""юридична особа""
,
VLOOKUP"&amp;"(D4369,IMPORTRANGE(""https://docs.google.com/spreadsheets/d/14Bd19lYaqBhU8_DElYkX7l4wRkHqqCUFNJY4AfY3kHU/edit?usp=sharing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G4368" s="7" t="s">
        <v>10</v>
      </c>
      <c r="H4368" s="7">
        <v>841</v>
      </c>
      <c r="I4368" s="8" t="str">
        <f ca="1">IFERROR(__xludf.DUMMYFUNCTION("IF
(
G4369=""фізична особа""
,
VLOOKUP(H4369,IMPORTRANGE(""https://docs.google.com/spreadsheets/d/14Bd19lYaqBhU8_DElYkX7l4wRkHqqCUFNJY4AfY3kHU/edit?usp=sharing  #gid=0"",""фіз особи new!relations_name""),6,FALSE)
,
(IF
(
G4369=""юридична особа""
,
VLOOKUP"&amp;"(H4369,IMPORTRANGE(""https://docs.google.com/spreadsheets/d/14Bd19lYaqBhU8_DElYkX7l4wRkHqqCUFNJY4AfY3kHU/edit?usp=sharing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4368" s="7" t="s">
        <v>29</v>
      </c>
    </row>
    <row r="4369" spans="1:10" ht="13.2">
      <c r="A4369" s="7">
        <v>4368</v>
      </c>
      <c r="B4369" s="7">
        <v>1</v>
      </c>
      <c r="C4369" s="7" t="s">
        <v>10</v>
      </c>
      <c r="D4369" s="7">
        <v>2987</v>
      </c>
      <c r="E4369" s="7" t="s">
        <v>28</v>
      </c>
      <c r="F4369" s="8" t="str">
        <f ca="1">IFERROR(__xludf.DUMMYFUNCTION("IF
(
C4370=""фізична особа""
,
VLOOKUP(D4370,IMPORTRANGE(""https://docs.google.com/spreadsheets/d/14Bd19lYaqBhU8_DElYkX7l4wRkHqqCUFNJY4AfY3kHU/edit?usp=sharing  #gid=0"",""фіз особи new!relations_name""),6,FALSE)
,
(IF
(
C4370=""юридична особа""
,
VLOOKUP"&amp;"(D4370,IMPORTRANGE(""https://docs.google.com/spreadsheets/d/14Bd19lYaqBhU8_DElYkX7l4wRkHqqCUFNJY4AfY3kHU/edit?usp=sharing  #gid=0"",""фіз особи new!relations_name_uo""),7,FALSE)
,
)
))"),"НОВГОРОДОВ Олексій Анатолійович")</f>
        <v>НОВГОРОДОВ Олексій Анатолійович</v>
      </c>
      <c r="G4369" s="7" t="s">
        <v>10</v>
      </c>
      <c r="H4369" s="7">
        <v>2986</v>
      </c>
      <c r="I4369" s="8" t="str">
        <f ca="1">IFERROR(__xludf.DUMMYFUNCTION("IF
(
G4370=""фізична особа""
,
VLOOKUP(H4370,IMPORTRANGE(""https://docs.google.com/spreadsheets/d/14Bd19lYaqBhU8_DElYkX7l4wRkHqqCUFNJY4AfY3kHU/edit?usp=sharing  #gid=0"",""фіз особи new!relations_name""),6,FALSE)
,
(IF
(
G4370=""юридична особа""
,
VLOOKUP"&amp;"(H4370,IMPORTRANGE(""https://docs.google.com/spreadsheets/d/14Bd19lYaqBhU8_DElYkX7l4wRkHqqCUFNJY4AfY3kHU/edit?usp=sharing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69" s="7" t="s">
        <v>29</v>
      </c>
    </row>
    <row r="4370" spans="1:10" ht="13.2">
      <c r="A4370" s="7">
        <v>4369</v>
      </c>
      <c r="B4370" s="7">
        <v>1</v>
      </c>
      <c r="C4370" s="7" t="s">
        <v>10</v>
      </c>
      <c r="D4370" s="7">
        <v>2988</v>
      </c>
      <c r="E4370" s="7" t="s">
        <v>28</v>
      </c>
      <c r="F4370" s="8" t="str">
        <f ca="1">IFERROR(__xludf.DUMMYFUNCTION("IF
(
C4371=""фізична особа""
,
VLOOKUP(D4371,IMPORTRANGE(""https://docs.google.com/spreadsheets/d/14Bd19lYaqBhU8_DElYkX7l4wRkHqqCUFNJY4AfY3kHU/edit?usp=sharing  #gid=0"",""фіз особи new!relations_name""),6,FALSE)
,
(IF
(
C4371=""юридична особа""
,
VLOOKUP"&amp;"(D4371,IMPORTRANGE(""https://docs.google.com/spreadsheets/d/14Bd19lYaqBhU8_DElYkX7l4wRkHqqCUFNJY4AfY3kHU/edit?usp=sharing  #gid=0"",""фіз особи new!relations_name_uo""),7,FALSE)
,
)
))"),"СТОРЧЕВИЙ Олег Георгійович")</f>
        <v>СТОРЧЕВИЙ Олег Георгійович</v>
      </c>
      <c r="G4370" s="7" t="s">
        <v>10</v>
      </c>
      <c r="H4370" s="7">
        <v>2986</v>
      </c>
      <c r="I4370" s="8" t="str">
        <f ca="1">IFERROR(__xludf.DUMMYFUNCTION("IF
(
G4371=""фізична особа""
,
VLOOKUP(H4371,IMPORTRANGE(""https://docs.google.com/spreadsheets/d/14Bd19lYaqBhU8_DElYkX7l4wRkHqqCUFNJY4AfY3kHU/edit?usp=sharing  #gid=0"",""фіз особи new!relations_name""),6,FALSE)
,
(IF
(
G4371=""юридична особа""
,
VLOOKUP"&amp;"(H4371,IMPORTRANGE(""https://docs.google.com/spreadsheets/d/14Bd19lYaqBhU8_DElYkX7l4wRkHqqCUFNJY4AfY3kHU/edit?usp=sharing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70" s="7" t="s">
        <v>29</v>
      </c>
    </row>
    <row r="4371" spans="1:10" ht="13.2">
      <c r="A4371" s="7">
        <v>4370</v>
      </c>
      <c r="B4371" s="7">
        <v>1</v>
      </c>
      <c r="C4371" s="7" t="s">
        <v>10</v>
      </c>
      <c r="D4371" s="7">
        <v>2989</v>
      </c>
      <c r="E4371" s="7" t="s">
        <v>28</v>
      </c>
      <c r="F4371" s="8" t="str">
        <f ca="1">IFERROR(__xludf.DUMMYFUNCTION("IF
(
C4372=""фізична особа""
,
VLOOKUP(D4372,IMPORTRANGE(""https://docs.google.com/spreadsheets/d/14Bd19lYaqBhU8_DElYkX7l4wRkHqqCUFNJY4AfY3kHU/edit?usp=sharing  #gid=0"",""фіз особи new!relations_name""),6,FALSE)
,
(IF
(
C4372=""юридична особа""
,
VLOOKUP"&amp;"(D4372,IMPORTRANGE(""https://docs.google.com/spreadsheets/d/14Bd19lYaqBhU8_DElYkX7l4wRkHqqCUFNJY4AfY3kHU/edit?usp=sharing  #gid=0"",""фіз особи new!relations_name_uo""),7,FALSE)
,
)
))"),"ЯДРОВ Дмитро Вікторович")</f>
        <v>ЯДРОВ Дмитро Вікторович</v>
      </c>
      <c r="G4371" s="7" t="s">
        <v>10</v>
      </c>
      <c r="H4371" s="7">
        <v>2986</v>
      </c>
      <c r="I4371" s="8" t="str">
        <f ca="1">IFERROR(__xludf.DUMMYFUNCTION("IF
(
G4372=""фізична особа""
,
VLOOKUP(H4372,IMPORTRANGE(""https://docs.google.com/spreadsheets/d/14Bd19lYaqBhU8_DElYkX7l4wRkHqqCUFNJY4AfY3kHU/edit?usp=sharing  #gid=0"",""фіз особи new!relations_name""),6,FALSE)
,
(IF
(
G4372=""юридична особа""
,
VLOOKUP"&amp;"(H4372,IMPORTRANGE(""https://docs.google.com/spreadsheets/d/14Bd19lYaqBhU8_DElYkX7l4wRkHqqCUFNJY4AfY3kHU/edit?usp=sharing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71" s="7" t="s">
        <v>29</v>
      </c>
    </row>
    <row r="4372" spans="1:10" ht="13.2">
      <c r="A4372" s="7">
        <v>4371</v>
      </c>
      <c r="B4372" s="7">
        <v>1</v>
      </c>
      <c r="C4372" s="7" t="s">
        <v>10</v>
      </c>
      <c r="D4372" s="7">
        <v>2990</v>
      </c>
      <c r="E4372" s="7" t="s">
        <v>28</v>
      </c>
      <c r="F4372" s="8" t="str">
        <f ca="1">IFERROR(__xludf.DUMMYFUNCTION("IF
(
C4373=""фізична особа""
,
VLOOKUP(D4373,IMPORTRANGE(""https://docs.google.com/spreadsheets/d/14Bd19lYaqBhU8_DElYkX7l4wRkHqqCUFNJY4AfY3kHU/edit?usp=sharing  #gid=0"",""фіз особи new!relations_name""),6,FALSE)
,
(IF
(
C4373=""юридична особа""
,
VLOOKUP"&amp;"(D4373,IMPORTRANGE(""https://docs.google.com/spreadsheets/d/14Bd19lYaqBhU8_DElYkX7l4wRkHqqCUFNJY4AfY3kHU/edit?usp=sharing  #gid=0"",""фіз особи new!relations_name_uo""),7,FALSE)
,
)
))"),"БАХАРЄВ Георгій Олегович")</f>
        <v>БАХАРЄВ Георгій Олегович</v>
      </c>
      <c r="G4372" s="7" t="s">
        <v>10</v>
      </c>
      <c r="H4372" s="7">
        <v>2986</v>
      </c>
      <c r="I4372" s="8" t="str">
        <f ca="1">IFERROR(__xludf.DUMMYFUNCTION("IF
(
G4373=""фізична особа""
,
VLOOKUP(H4373,IMPORTRANGE(""https://docs.google.com/spreadsheets/d/14Bd19lYaqBhU8_DElYkX7l4wRkHqqCUFNJY4AfY3kHU/edit?usp=sharing  #gid=0"",""фіз особи new!relations_name""),6,FALSE)
,
(IF
(
G4373=""юридична особа""
,
VLOOKUP"&amp;"(H4373,IMPORTRANGE(""https://docs.google.com/spreadsheets/d/14Bd19lYaqBhU8_DElYkX7l4wRkHqqCUFNJY4AfY3kHU/edit?usp=sharing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72" s="7" t="s">
        <v>29</v>
      </c>
    </row>
    <row r="4373" spans="1:10" ht="13.2">
      <c r="A4373" s="7">
        <v>4372</v>
      </c>
      <c r="B4373" s="7">
        <v>1</v>
      </c>
      <c r="C4373" s="7" t="s">
        <v>10</v>
      </c>
      <c r="D4373" s="7">
        <v>2991</v>
      </c>
      <c r="E4373" s="7" t="s">
        <v>28</v>
      </c>
      <c r="F4373" s="8" t="str">
        <f ca="1">IFERROR(__xludf.DUMMYFUNCTION("IF
(
C4374=""фізична особа""
,
VLOOKUP(D4374,IMPORTRANGE(""https://docs.google.com/spreadsheets/d/14Bd19lYaqBhU8_DElYkX7l4wRkHqqCUFNJY4AfY3kHU/edit?usp=sharing  #gid=0"",""фіз особи new!relations_name""),6,FALSE)
,
(IF
(
C4374=""юридична особа""
,
VLOOKUP"&amp;"(D4374,IMPORTRANGE(""https://docs.google.com/spreadsheets/d/14Bd19lYaqBhU8_DElYkX7l4wRkHqqCUFNJY4AfY3kHU/edit?usp=sharing  #gid=0"",""фіз особи new!relations_name_uo""),7,FALSE)
,
)
))"),"АНДРІАНОВА Наталія Валеріївна")</f>
        <v>АНДРІАНОВА Наталія Валеріївна</v>
      </c>
      <c r="G4373" s="7" t="s">
        <v>10</v>
      </c>
      <c r="H4373" s="7">
        <v>2986</v>
      </c>
      <c r="I4373" s="8" t="str">
        <f ca="1">IFERROR(__xludf.DUMMYFUNCTION("IF
(
G4374=""фізична особа""
,
VLOOKUP(H4374,IMPORTRANGE(""https://docs.google.com/spreadsheets/d/14Bd19lYaqBhU8_DElYkX7l4wRkHqqCUFNJY4AfY3kHU/edit?usp=sharing  #gid=0"",""фіз особи new!relations_name""),6,FALSE)
,
(IF
(
G4374=""юридична особа""
,
VLOOKUP"&amp;"(H4374,IMPORTRANGE(""https://docs.google.com/spreadsheets/d/14Bd19lYaqBhU8_DElYkX7l4wRkHqqCUFNJY4AfY3kHU/edit?usp=sharing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73" s="7" t="s">
        <v>29</v>
      </c>
    </row>
    <row r="4374" spans="1:10" ht="13.2">
      <c r="A4374" s="7">
        <v>4373</v>
      </c>
      <c r="B4374" s="7">
        <v>1</v>
      </c>
      <c r="C4374" s="7" t="s">
        <v>10</v>
      </c>
      <c r="D4374" s="7">
        <v>2992</v>
      </c>
      <c r="E4374" s="7" t="s">
        <v>28</v>
      </c>
      <c r="F4374" s="8" t="str">
        <f ca="1">IFERROR(__xludf.DUMMYFUNCTION("IF
(
C4375=""фізична особа""
,
VLOOKUP(D4375,IMPORTRANGE(""https://docs.google.com/spreadsheets/d/14Bd19lYaqBhU8_DElYkX7l4wRkHqqCUFNJY4AfY3kHU/edit?usp=sharing  #gid=0"",""фіз особи new!relations_name""),6,FALSE)
,
(IF
(
C4375=""юридична особа""
,
VLOOKUP"&amp;"(D4375,IMPORTRANGE(""https://docs.google.com/spreadsheets/d/14Bd19lYaqBhU8_DElYkX7l4wRkHqqCUFNJY4AfY3kHU/edit?usp=sharing  #gid=0"",""фіз особи new!relations_name_uo""),7,FALSE)
,
)
))"),"ПОТЄШКІН Володимир Володимирович")</f>
        <v>ПОТЄШКІН Володимир Володимирович</v>
      </c>
      <c r="G4374" s="7" t="s">
        <v>10</v>
      </c>
      <c r="H4374" s="7">
        <v>2986</v>
      </c>
      <c r="I4374" s="8" t="str">
        <f ca="1">IFERROR(__xludf.DUMMYFUNCTION("IF
(
G4375=""фізична особа""
,
VLOOKUP(H4375,IMPORTRANGE(""https://docs.google.com/spreadsheets/d/14Bd19lYaqBhU8_DElYkX7l4wRkHqqCUFNJY4AfY3kHU/edit?usp=sharing  #gid=0"",""фіз особи new!relations_name""),6,FALSE)
,
(IF
(
G4375=""юридична особа""
,
VLOOKUP"&amp;"(H4375,IMPORTRANGE(""https://docs.google.com/spreadsheets/d/14Bd19lYaqBhU8_DElYkX7l4wRkHqqCUFNJY4AfY3kHU/edit?usp=sharing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4374" s="7" t="s">
        <v>29</v>
      </c>
    </row>
    <row r="4375" spans="1:10" ht="13.2">
      <c r="A4375" s="7">
        <v>4374</v>
      </c>
      <c r="B4375" s="7">
        <v>1</v>
      </c>
      <c r="C4375" s="7" t="s">
        <v>10</v>
      </c>
      <c r="D4375" s="7">
        <v>2993</v>
      </c>
      <c r="E4375" s="7" t="s">
        <v>28</v>
      </c>
      <c r="F4375" s="8" t="str">
        <f ca="1">IFERROR(__xludf.DUMMYFUNCTION("IF
(
C4376=""фізична особа""
,
VLOOKUP(D4376,IMPORTRANGE(""https://docs.google.com/spreadsheets/d/14Bd19lYaqBhU8_DElYkX7l4wRkHqqCUFNJY4AfY3kHU/edit?usp=sharing  #gid=0"",""фіз особи new!relations_name""),6,FALSE)
,
(IF
(
C4376=""юридична особа""
,
VLOOKUP"&amp;"(D4376,IMPORTRANGE(""https://docs.google.com/spreadsheets/d/14Bd19lYaqBhU8_DElYkX7l4wRkHqqCUFNJY4AfY3kHU/edit?usp=sharing  #gid=0"",""фіз особи new!relations_name_uo""),7,FALSE)
,
)
))"),"СЄРОВА Тетяна Валентинівна")</f>
        <v>СЄРОВА Тетяна Валентинівна</v>
      </c>
      <c r="G4375" s="7" t="s">
        <v>10</v>
      </c>
      <c r="H4375" s="7">
        <v>2377</v>
      </c>
      <c r="I4375" s="8" t="str">
        <f ca="1">IFERROR(__xludf.DUMMYFUNCTION("IF
(
G4376=""фізична особа""
,
VLOOKUP(H4376,IMPORTRANGE(""https://docs.google.com/spreadsheets/d/14Bd19lYaqBhU8_DElYkX7l4wRkHqqCUFNJY4AfY3kHU/edit?usp=sharing  #gid=0"",""фіз особи new!relations_name""),6,FALSE)
,
(IF
(
G4376=""юридична особа""
,
VLOOKUP"&amp;"(H4376,IMPORTRANGE(""https://docs.google.com/spreadsheets/d/14Bd19lYaqBhU8_DElYkX7l4wRkHqqCUFNJY4AfY3kHU/edit?usp=sharing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75" s="7" t="s">
        <v>29</v>
      </c>
    </row>
    <row r="4376" spans="1:10" ht="13.2">
      <c r="A4376" s="7">
        <v>4375</v>
      </c>
      <c r="B4376" s="7">
        <v>1</v>
      </c>
      <c r="C4376" s="7" t="s">
        <v>10</v>
      </c>
      <c r="D4376" s="7">
        <v>2994</v>
      </c>
      <c r="E4376" s="7" t="s">
        <v>28</v>
      </c>
      <c r="F4376" s="8" t="str">
        <f ca="1">IFERROR(__xludf.DUMMYFUNCTION("IF
(
C4377=""фізична особа""
,
VLOOKUP(D4377,IMPORTRANGE(""https://docs.google.com/spreadsheets/d/14Bd19lYaqBhU8_DElYkX7l4wRkHqqCUFNJY4AfY3kHU/edit?usp=sharing  #gid=0"",""фіз особи new!relations_name""),6,FALSE)
,
(IF
(
C4377=""юридична особа""
,
VLOOKUP"&amp;"(D4377,IMPORTRANGE(""https://docs.google.com/spreadsheets/d/14Bd19lYaqBhU8_DElYkX7l4wRkHqqCUFNJY4AfY3kHU/edit?usp=sharing  #gid=0"",""фіз особи new!relations_name_uo""),7,FALSE)
,
)
))"),"СЛАДКОВА Ольга Юріївна")</f>
        <v>СЛАДКОВА Ольга Юріївна</v>
      </c>
      <c r="G4376" s="7" t="s">
        <v>10</v>
      </c>
      <c r="H4376" s="7">
        <v>2377</v>
      </c>
      <c r="I4376" s="8" t="str">
        <f ca="1">IFERROR(__xludf.DUMMYFUNCTION("IF
(
G4377=""фізична особа""
,
VLOOKUP(H4377,IMPORTRANGE(""https://docs.google.com/spreadsheets/d/14Bd19lYaqBhU8_DElYkX7l4wRkHqqCUFNJY4AfY3kHU/edit?usp=sharing  #gid=0"",""фіз особи new!relations_name""),6,FALSE)
,
(IF
(
G4377=""юридична особа""
,
VLOOKUP"&amp;"(H4377,IMPORTRANGE(""https://docs.google.com/spreadsheets/d/14Bd19lYaqBhU8_DElYkX7l4wRkHqqCUFNJY4AfY3kHU/edit?usp=sharing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76" s="7" t="s">
        <v>29</v>
      </c>
    </row>
    <row r="4377" spans="1:10" ht="13.2">
      <c r="A4377" s="7">
        <v>4376</v>
      </c>
      <c r="B4377" s="7">
        <v>1</v>
      </c>
      <c r="C4377" s="7" t="s">
        <v>10</v>
      </c>
      <c r="D4377" s="7">
        <v>2995</v>
      </c>
      <c r="E4377" s="7" t="s">
        <v>28</v>
      </c>
      <c r="F4377" s="8" t="str">
        <f ca="1">IFERROR(__xludf.DUMMYFUNCTION("IF
(
C4378=""фізична особа""
,
VLOOKUP(D4378,IMPORTRANGE(""https://docs.google.com/spreadsheets/d/14Bd19lYaqBhU8_DElYkX7l4wRkHqqCUFNJY4AfY3kHU/edit?usp=sharing  #gid=0"",""фіз особи new!relations_name""),6,FALSE)
,
(IF
(
C4378=""юридична особа""
,
VLOOKUP"&amp;"(D4378,IMPORTRANGE(""https://docs.google.com/spreadsheets/d/14Bd19lYaqBhU8_DElYkX7l4wRkHqqCUFNJY4AfY3kHU/edit?usp=sharing  #gid=0"",""фіз особи new!relations_name_uo""),7,FALSE)
,
)
))"),"КИЧИГІНА Євгенія Дмитрівна")</f>
        <v>КИЧИГІНА Євгенія Дмитрівна</v>
      </c>
      <c r="G4377" s="7" t="s">
        <v>10</v>
      </c>
      <c r="H4377" s="7">
        <v>2377</v>
      </c>
      <c r="I4377" s="8" t="str">
        <f ca="1">IFERROR(__xludf.DUMMYFUNCTION("IF
(
G4378=""фізична особа""
,
VLOOKUP(H4378,IMPORTRANGE(""https://docs.google.com/spreadsheets/d/14Bd19lYaqBhU8_DElYkX7l4wRkHqqCUFNJY4AfY3kHU/edit?usp=sharing  #gid=0"",""фіз особи new!relations_name""),6,FALSE)
,
(IF
(
G4378=""юридична особа""
,
VLOOKUP"&amp;"(H4378,IMPORTRANGE(""https://docs.google.com/spreadsheets/d/14Bd19lYaqBhU8_DElYkX7l4wRkHqqCUFNJY4AfY3kHU/edit?usp=sharing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77" s="7" t="s">
        <v>29</v>
      </c>
    </row>
    <row r="4378" spans="1:10" ht="13.2">
      <c r="A4378" s="7">
        <v>4377</v>
      </c>
      <c r="B4378" s="7">
        <v>1</v>
      </c>
      <c r="C4378" s="7" t="s">
        <v>10</v>
      </c>
      <c r="D4378" s="7">
        <v>2996</v>
      </c>
      <c r="E4378" s="7" t="s">
        <v>28</v>
      </c>
      <c r="F4378" s="8" t="str">
        <f ca="1">IFERROR(__xludf.DUMMYFUNCTION("IF
(
C4379=""фізична особа""
,
VLOOKUP(D4379,IMPORTRANGE(""https://docs.google.com/spreadsheets/d/14Bd19lYaqBhU8_DElYkX7l4wRkHqqCUFNJY4AfY3kHU/edit?usp=sharing  #gid=0"",""фіз особи new!relations_name""),6,FALSE)
,
(IF
(
C4379=""юридична особа""
,
VLOOKUP"&amp;"(D4379,IMPORTRANGE(""https://docs.google.com/spreadsheets/d/14Bd19lYaqBhU8_DElYkX7l4wRkHqqCUFNJY4AfY3kHU/edit?usp=sharing  #gid=0"",""фіз особи new!relations_name_uo""),7,FALSE)
,
)
))"),"КРУК Наталія Михайлівна")</f>
        <v>КРУК Наталія Михайлівна</v>
      </c>
      <c r="G4378" s="7" t="s">
        <v>10</v>
      </c>
      <c r="H4378" s="7">
        <v>2377</v>
      </c>
      <c r="I4378" s="8" t="str">
        <f ca="1">IFERROR(__xludf.DUMMYFUNCTION("IF
(
G4379=""фізична особа""
,
VLOOKUP(H4379,IMPORTRANGE(""https://docs.google.com/spreadsheets/d/14Bd19lYaqBhU8_DElYkX7l4wRkHqqCUFNJY4AfY3kHU/edit?usp=sharing  #gid=0"",""фіз особи new!relations_name""),6,FALSE)
,
(IF
(
G4379=""юридична особа""
,
VLOOKUP"&amp;"(H4379,IMPORTRANGE(""https://docs.google.com/spreadsheets/d/14Bd19lYaqBhU8_DElYkX7l4wRkHqqCUFNJY4AfY3kHU/edit?usp=sharing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78" s="7" t="s">
        <v>29</v>
      </c>
    </row>
    <row r="4379" spans="1:10" ht="13.2">
      <c r="A4379" s="7">
        <v>4378</v>
      </c>
      <c r="B4379" s="7">
        <v>1</v>
      </c>
      <c r="C4379" s="7" t="s">
        <v>10</v>
      </c>
      <c r="D4379" s="7">
        <v>2997</v>
      </c>
      <c r="E4379" s="7" t="s">
        <v>28</v>
      </c>
      <c r="F4379" s="8" t="str">
        <f ca="1">IFERROR(__xludf.DUMMYFUNCTION("IF
(
C4380=""фізична особа""
,
VLOOKUP(D4380,IMPORTRANGE(""https://docs.google.com/spreadsheets/d/14Bd19lYaqBhU8_DElYkX7l4wRkHqqCUFNJY4AfY3kHU/edit?usp=sharing  #gid=0"",""фіз особи new!relations_name""),6,FALSE)
,
(IF
(
C4380=""юридична особа""
,
VLOOKUP"&amp;"(D4380,IMPORTRANGE(""https://docs.google.com/spreadsheets/d/14Bd19lYaqBhU8_DElYkX7l4wRkHqqCUFNJY4AfY3kHU/edit?usp=sharing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G4379" s="7" t="s">
        <v>10</v>
      </c>
      <c r="H4379" s="7">
        <v>841</v>
      </c>
      <c r="I4379" s="8" t="str">
        <f ca="1">IFERROR(__xludf.DUMMYFUNCTION("IF
(
G4380=""фізична особа""
,
VLOOKUP(H4380,IMPORTRANGE(""https://docs.google.com/spreadsheets/d/14Bd19lYaqBhU8_DElYkX7l4wRkHqqCUFNJY4AfY3kHU/edit?usp=sharing  #gid=0"",""фіз особи new!relations_name""),6,FALSE)
,
(IF
(
G4380=""юридична особа""
,
VLOOKUP"&amp;"(H4380,IMPORTRANGE(""https://docs.google.com/spreadsheets/d/14Bd19lYaqBhU8_DElYkX7l4wRkHqqCUFNJY4AfY3kHU/edit?usp=sharing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4379" s="7" t="s">
        <v>29</v>
      </c>
    </row>
    <row r="4380" spans="1:10" ht="13.2">
      <c r="A4380" s="7">
        <v>4379</v>
      </c>
      <c r="B4380" s="7">
        <v>1</v>
      </c>
      <c r="C4380" s="7" t="s">
        <v>10</v>
      </c>
      <c r="D4380" s="7">
        <v>2998</v>
      </c>
      <c r="E4380" s="7" t="s">
        <v>28</v>
      </c>
      <c r="F4380" s="8" t="str">
        <f ca="1">IFERROR(__xludf.DUMMYFUNCTION("IF
(
C4381=""фізична особа""
,
VLOOKUP(D4381,IMPORTRANGE(""https://docs.google.com/spreadsheets/d/14Bd19lYaqBhU8_DElYkX7l4wRkHqqCUFNJY4AfY3kHU/edit?usp=sharing  #gid=0"",""фіз особи new!relations_name""),6,FALSE)
,
(IF
(
C4381=""юридична особа""
,
VLOOKUP"&amp;"(D4381,IMPORTRANGE(""https://docs.google.com/spreadsheets/d/14Bd19lYaqBhU8_DElYkX7l4wRkHqqCUFNJY4AfY3kHU/edit?usp=sharing  #gid=0"",""фіз особи new!relations_name_uo""),7,FALSE)
,
)
))"),"КОСТЮЧЕНКО Ігор Володимирович")</f>
        <v>КОСТЮЧЕНКО Ігор Володимирович</v>
      </c>
      <c r="G4380" s="7" t="s">
        <v>10</v>
      </c>
      <c r="H4380" s="7">
        <v>2997</v>
      </c>
      <c r="I4380" s="8" t="str">
        <f ca="1">IFERROR(__xludf.DUMMYFUNCTION("IF
(
G4381=""фізична особа""
,
VLOOKUP(H4381,IMPORTRANGE(""https://docs.google.com/spreadsheets/d/14Bd19lYaqBhU8_DElYkX7l4wRkHqqCUFNJY4AfY3kHU/edit?usp=sharing  #gid=0"",""фіз особи new!relations_name""),6,FALSE)
,
(IF
(
G4381=""юридична особа""
,
VLOOKUP"&amp;"(H4381,IMPORTRANGE(""https://docs.google.com/spreadsheets/d/14Bd19lYaqBhU8_DElYkX7l4wRkHqqCUFNJY4AfY3kHU/edit?usp=sharing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4380" s="7" t="s">
        <v>29</v>
      </c>
    </row>
    <row r="4381" spans="1:10" ht="13.2">
      <c r="A4381" s="7">
        <v>4380</v>
      </c>
      <c r="B4381" s="7">
        <v>1</v>
      </c>
      <c r="C4381" s="7" t="s">
        <v>10</v>
      </c>
      <c r="D4381" s="7">
        <v>2999</v>
      </c>
      <c r="E4381" s="7" t="s">
        <v>28</v>
      </c>
      <c r="F4381" s="8" t="str">
        <f ca="1">IFERROR(__xludf.DUMMYFUNCTION("IF
(
C4382=""фізична особа""
,
VLOOKUP(D4382,IMPORTRANGE(""https://docs.google.com/spreadsheets/d/14Bd19lYaqBhU8_DElYkX7l4wRkHqqCUFNJY4AfY3kHU/edit?usp=sharing  #gid=0"",""фіз особи new!relations_name""),6,FALSE)
,
(IF
(
C4382=""юридична особа""
,
VLOOKUP"&amp;"(D4382,IMPORTRANGE(""https://docs.google.com/spreadsheets/d/14Bd19lYaqBhU8_DElYkX7l4wRkHqqCUFNJY4AfY3kHU/edit?usp=sharing  #gid=0"",""фіз особи new!relations_name_uo""),7,FALSE)
,
)
))"),"ТИМОФЄЄВ Віктор Володимирович")</f>
        <v>ТИМОФЄЄВ Віктор Володимирович</v>
      </c>
      <c r="G4381" s="7" t="s">
        <v>10</v>
      </c>
      <c r="H4381" s="7">
        <v>2997</v>
      </c>
      <c r="I4381" s="8" t="str">
        <f ca="1">IFERROR(__xludf.DUMMYFUNCTION("IF
(
G4382=""фізична особа""
,
VLOOKUP(H4382,IMPORTRANGE(""https://docs.google.com/spreadsheets/d/14Bd19lYaqBhU8_DElYkX7l4wRkHqqCUFNJY4AfY3kHU/edit?usp=sharing  #gid=0"",""фіз особи new!relations_name""),6,FALSE)
,
(IF
(
G4382=""юридична особа""
,
VLOOKUP"&amp;"(H4382,IMPORTRANGE(""https://docs.google.com/spreadsheets/d/14Bd19lYaqBhU8_DElYkX7l4wRkHqqCUFNJY4AfY3kHU/edit?usp=sharing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4381" s="7" t="s">
        <v>29</v>
      </c>
    </row>
    <row r="4382" spans="1:10" ht="13.2">
      <c r="A4382" s="7">
        <v>4381</v>
      </c>
      <c r="B4382" s="7">
        <v>1</v>
      </c>
      <c r="C4382" s="7" t="s">
        <v>10</v>
      </c>
      <c r="D4382" s="7">
        <v>3000</v>
      </c>
      <c r="E4382" s="7" t="s">
        <v>28</v>
      </c>
      <c r="F4382" s="8" t="str">
        <f ca="1">IFERROR(__xludf.DUMMYFUNCTION("IF
(
C4383=""фізична особа""
,
VLOOKUP(D4383,IMPORTRANGE(""https://docs.google.com/spreadsheets/d/14Bd19lYaqBhU8_DElYkX7l4wRkHqqCUFNJY4AfY3kHU/edit?usp=sharing  #gid=0"",""фіз особи new!relations_name""),6,FALSE)
,
(IF
(
C4383=""юридична особа""
,
VLOOKUP"&amp;"(D4383,IMPORTRANGE(""https://docs.google.com/spreadsheets/d/14Bd19lYaqBhU8_DElYkX7l4wRkHqqCUFNJY4AfY3kHU/edit?usp=sharing  #gid=0"",""фіз особи new!relations_name_uo""),7,FALSE)
,
)
))"),"СТУПНІКОВ Олег Володимирович")</f>
        <v>СТУПНІКОВ Олег Володимирович</v>
      </c>
      <c r="G4382" s="7" t="s">
        <v>10</v>
      </c>
      <c r="H4382" s="7">
        <v>2997</v>
      </c>
      <c r="I4382" s="8" t="str">
        <f ca="1">IFERROR(__xludf.DUMMYFUNCTION("IF
(
G4383=""фізична особа""
,
VLOOKUP(H4383,IMPORTRANGE(""https://docs.google.com/spreadsheets/d/14Bd19lYaqBhU8_DElYkX7l4wRkHqqCUFNJY4AfY3kHU/edit?usp=sharing  #gid=0"",""фіз особи new!relations_name""),6,FALSE)
,
(IF
(
G4383=""юридична особа""
,
VLOOKUP"&amp;"(H4383,IMPORTRANGE(""https://docs.google.com/spreadsheets/d/14Bd19lYaqBhU8_DElYkX7l4wRkHqqCUFNJY4AfY3kHU/edit?usp=sharing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4382" s="7" t="s">
        <v>29</v>
      </c>
    </row>
    <row r="4383" spans="1:10" ht="13.2">
      <c r="A4383" s="7">
        <v>4382</v>
      </c>
      <c r="B4383" s="7">
        <v>1</v>
      </c>
      <c r="C4383" s="7" t="s">
        <v>10</v>
      </c>
      <c r="D4383" s="7">
        <v>3001</v>
      </c>
      <c r="E4383" s="7" t="s">
        <v>28</v>
      </c>
      <c r="F4383" s="8" t="str">
        <f ca="1">IFERROR(__xludf.DUMMYFUNCTION("IF
(
C4384=""фізична особа""
,
VLOOKUP(D4384,IMPORTRANGE(""https://docs.google.com/spreadsheets/d/14Bd19lYaqBhU8_DElYkX7l4wRkHqqCUFNJY4AfY3kHU/edit?usp=sharing  #gid=0"",""фіз особи new!relations_name""),6,FALSE)
,
(IF
(
C4384=""юридична особа""
,
VLOOKUP"&amp;"(D4384,IMPORTRANGE(""https://docs.google.com/spreadsheets/d/14Bd19lYaqBhU8_DElYkX7l4wRkHqqCUFNJY4AfY3kHU/edit?usp=sharing  #gid=0"",""фіз особи new!relations_name_uo""),7,FALSE)
,
)
))"),"САМАР'ЯНОВ Андрій Вікторович")</f>
        <v>САМАР'ЯНОВ Андрій Вікторович</v>
      </c>
      <c r="G4383" s="7" t="s">
        <v>10</v>
      </c>
      <c r="H4383" s="7">
        <v>2997</v>
      </c>
      <c r="I4383" s="8" t="str">
        <f ca="1">IFERROR(__xludf.DUMMYFUNCTION("IF
(
G4384=""фізична особа""
,
VLOOKUP(H4384,IMPORTRANGE(""https://docs.google.com/spreadsheets/d/14Bd19lYaqBhU8_DElYkX7l4wRkHqqCUFNJY4AfY3kHU/edit?usp=sharing  #gid=0"",""фіз особи new!relations_name""),6,FALSE)
,
(IF
(
G4384=""юридична особа""
,
VLOOKUP"&amp;"(H4384,IMPORTRANGE(""https://docs.google.com/spreadsheets/d/14Bd19lYaqBhU8_DElYkX7l4wRkHqqCUFNJY4AfY3kHU/edit?usp=sharing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4383" s="7" t="s">
        <v>29</v>
      </c>
    </row>
    <row r="4384" spans="1:10" ht="13.2">
      <c r="A4384" s="7">
        <v>4383</v>
      </c>
      <c r="B4384" s="7">
        <v>1</v>
      </c>
      <c r="C4384" s="7" t="s">
        <v>10</v>
      </c>
      <c r="D4384" s="7">
        <v>3002</v>
      </c>
      <c r="E4384" s="7" t="s">
        <v>28</v>
      </c>
      <c r="F4384" s="8" t="str">
        <f ca="1">IFERROR(__xludf.DUMMYFUNCTION("IF
(
C4385=""фізична особа""
,
VLOOKUP(D4385,IMPORTRANGE(""https://docs.google.com/spreadsheets/d/14Bd19lYaqBhU8_DElYkX7l4wRkHqqCUFNJY4AfY3kHU/edit?usp=sharing  #gid=0"",""фіз особи new!relations_name""),6,FALSE)
,
(IF
(
C4385=""юридична особа""
,
VLOOKUP"&amp;"(D4385,IMPORTRANGE(""https://docs.google.com/spreadsheets/d/14Bd19lYaqBhU8_DElYkX7l4wRkHqqCUFNJY4AfY3kHU/edit?usp=sharing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G4384" s="7" t="s">
        <v>10</v>
      </c>
      <c r="H4384" s="7">
        <v>841</v>
      </c>
      <c r="I4384" s="8" t="str">
        <f ca="1">IFERROR(__xludf.DUMMYFUNCTION("IF
(
G4385=""фізична особа""
,
VLOOKUP(H4385,IMPORTRANGE(""https://docs.google.com/spreadsheets/d/14Bd19lYaqBhU8_DElYkX7l4wRkHqqCUFNJY4AfY3kHU/edit?usp=sharing  #gid=0"",""фіз особи new!relations_name""),6,FALSE)
,
(IF
(
G4385=""юридична особа""
,
VLOOKUP"&amp;"(H4385,IMPORTRANGE(""https://docs.google.com/spreadsheets/d/14Bd19lYaqBhU8_DElYkX7l4wRkHqqCUFNJY4AfY3kHU/edit?usp=sharing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4384" s="7" t="s">
        <v>29</v>
      </c>
    </row>
    <row r="4385" spans="1:10" ht="13.2">
      <c r="A4385" s="7">
        <v>4384</v>
      </c>
      <c r="B4385" s="7">
        <v>1</v>
      </c>
      <c r="C4385" s="7" t="s">
        <v>10</v>
      </c>
      <c r="D4385" s="7">
        <v>3003</v>
      </c>
      <c r="E4385" s="7" t="s">
        <v>28</v>
      </c>
      <c r="F4385" s="8" t="str">
        <f ca="1">IFERROR(__xludf.DUMMYFUNCTION("IF
(
C4386=""фізична особа""
,
VLOOKUP(D4386,IMPORTRANGE(""https://docs.google.com/spreadsheets/d/14Bd19lYaqBhU8_DElYkX7l4wRkHqqCUFNJY4AfY3kHU/edit?usp=sharing  #gid=0"",""фіз особи new!relations_name""),6,FALSE)
,
(IF
(
C4386=""юридична особа""
,
VLOOKUP"&amp;"(D4386,IMPORTRANGE(""https://docs.google.com/spreadsheets/d/14Bd19lYaqBhU8_DElYkX7l4wRkHqqCUFNJY4AfY3kHU/edit?usp=sharing  #gid=0"",""фіз особи new!relations_name_uo""),7,FALSE)
,
)
))"),"ІВАНОВ Олександр Олегович")</f>
        <v>ІВАНОВ Олександр Олегович</v>
      </c>
      <c r="G4385" s="7" t="s">
        <v>10</v>
      </c>
      <c r="H4385" s="7">
        <v>3002</v>
      </c>
      <c r="I4385" s="8" t="str">
        <f ca="1">IFERROR(__xludf.DUMMYFUNCTION("IF
(
G4386=""фізична особа""
,
VLOOKUP(H4386,IMPORTRANGE(""https://docs.google.com/spreadsheets/d/14Bd19lYaqBhU8_DElYkX7l4wRkHqqCUFNJY4AfY3kHU/edit?usp=sharing  #gid=0"",""фіз особи new!relations_name""),6,FALSE)
,
(IF
(
G4386=""юридична особа""
,
VLOOKUP"&amp;"(H4386,IMPORTRANGE(""https://docs.google.com/spreadsheets/d/14Bd19lYaqBhU8_DElYkX7l4wRkHqqCUFNJY4AfY3kHU/edit?usp=sharing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4385" s="7" t="s">
        <v>29</v>
      </c>
    </row>
    <row r="4386" spans="1:10" ht="13.2">
      <c r="A4386" s="7">
        <v>4385</v>
      </c>
      <c r="B4386" s="7">
        <v>1</v>
      </c>
      <c r="C4386" s="7" t="s">
        <v>10</v>
      </c>
      <c r="D4386" s="7">
        <v>3004</v>
      </c>
      <c r="E4386" s="7" t="s">
        <v>28</v>
      </c>
      <c r="F4386" s="8" t="str">
        <f ca="1">IFERROR(__xludf.DUMMYFUNCTION("IF
(
C4387=""фізична особа""
,
VLOOKUP(D4387,IMPORTRANGE(""https://docs.google.com/spreadsheets/d/14Bd19lYaqBhU8_DElYkX7l4wRkHqqCUFNJY4AfY3kHU/edit?usp=sharing  #gid=0"",""фіз особи new!relations_name""),6,FALSE)
,
(IF
(
C4387=""юридична особа""
,
VLOOKUP"&amp;"(D4387,IMPORTRANGE(""https://docs.google.com/spreadsheets/d/14Bd19lYaqBhU8_DElYkX7l4wRkHqqCUFNJY4AfY3kHU/edit?usp=sharing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G4386" s="7" t="s">
        <v>10</v>
      </c>
      <c r="H4386" s="7">
        <v>841</v>
      </c>
      <c r="I4386" s="8" t="str">
        <f ca="1">IFERROR(__xludf.DUMMYFUNCTION("IF
(
G4387=""фізична особа""
,
VLOOKUP(H4387,IMPORTRANGE(""https://docs.google.com/spreadsheets/d/14Bd19lYaqBhU8_DElYkX7l4wRkHqqCUFNJY4AfY3kHU/edit?usp=sharing  #gid=0"",""фіз особи new!relations_name""),6,FALSE)
,
(IF
(
G4387=""юридична особа""
,
VLOOKUP"&amp;"(H4387,IMPORTRANGE(""https://docs.google.com/spreadsheets/d/14Bd19lYaqBhU8_DElYkX7l4wRkHqqCUFNJY4AfY3kHU/edit?usp=sharing  #gid=0"",""фіз особи new!relations_name_uo""),7,FALSE)
,
)
))"),"САВЕЛЬЄВ Віталій Геннадійович")</f>
        <v>САВЕЛЬЄВ Віталій Геннадійович</v>
      </c>
      <c r="J4386" s="7" t="s">
        <v>29</v>
      </c>
    </row>
    <row r="4387" spans="1:10" ht="13.2">
      <c r="A4387" s="7">
        <v>4386</v>
      </c>
      <c r="B4387" s="7">
        <v>1</v>
      </c>
      <c r="C4387" s="7" t="s">
        <v>10</v>
      </c>
      <c r="D4387" s="7">
        <v>3005</v>
      </c>
      <c r="E4387" s="7" t="s">
        <v>28</v>
      </c>
      <c r="F4387" s="8" t="str">
        <f ca="1">IFERROR(__xludf.DUMMYFUNCTION("IF
(
C4388=""фізична особа""
,
VLOOKUP(D4388,IMPORTRANGE(""https://docs.google.com/spreadsheets/d/14Bd19lYaqBhU8_DElYkX7l4wRkHqqCUFNJY4AfY3kHU/edit?usp=sharing  #gid=0"",""фіз особи new!relations_name""),6,FALSE)
,
(IF
(
C4388=""юридична особа""
,
VLOOKUP"&amp;"(D4388,IMPORTRANGE(""https://docs.google.com/spreadsheets/d/14Bd19lYaqBhU8_DElYkX7l4wRkHqqCUFNJY4AfY3kHU/edit?usp=sharing  #gid=0"",""фіз особи new!relations_name_uo""),7,FALSE)
,
)
))"),"АНІСІМОВ Костянтин Олегович")</f>
        <v>АНІСІМОВ Костянтин Олегович</v>
      </c>
      <c r="G4387" s="7" t="s">
        <v>10</v>
      </c>
      <c r="H4387" s="7">
        <v>3004</v>
      </c>
      <c r="I4387" s="8" t="str">
        <f ca="1">IFERROR(__xludf.DUMMYFUNCTION("IF
(
G4388=""фізична особа""
,
VLOOKUP(H4388,IMPORTRANGE(""https://docs.google.com/spreadsheets/d/14Bd19lYaqBhU8_DElYkX7l4wRkHqqCUFNJY4AfY3kHU/edit?usp=sharing  #gid=0"",""фіз особи new!relations_name""),6,FALSE)
,
(IF
(
G4388=""юридична особа""
,
VLOOKUP"&amp;"(H4388,IMPORTRANGE(""https://docs.google.com/spreadsheets/d/14Bd19lYaqBhU8_DElYkX7l4wRkHqqCUFNJY4AfY3kHU/edit?usp=sharing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4387" s="7" t="s">
        <v>29</v>
      </c>
    </row>
    <row r="4388" spans="1:10" ht="13.2">
      <c r="A4388" s="7">
        <v>4387</v>
      </c>
      <c r="B4388" s="7">
        <v>1</v>
      </c>
      <c r="C4388" s="7" t="s">
        <v>10</v>
      </c>
      <c r="D4388" s="7">
        <v>3006</v>
      </c>
      <c r="E4388" s="7" t="s">
        <v>28</v>
      </c>
      <c r="F4388" s="8" t="str">
        <f ca="1">IFERROR(__xludf.DUMMYFUNCTION("IF
(
C4389=""фізична особа""
,
VLOOKUP(D4389,IMPORTRANGE(""https://docs.google.com/spreadsheets/d/14Bd19lYaqBhU8_DElYkX7l4wRkHqqCUFNJY4AfY3kHU/edit?usp=sharing  #gid=0"",""фіз особи new!relations_name""),6,FALSE)
,
(IF
(
C4389=""юридична особа""
,
VLOOKUP"&amp;"(D4389,IMPORTRANGE(""https://docs.google.com/spreadsheets/d/14Bd19lYaqBhU8_DElYkX7l4wRkHqqCUFNJY4AfY3kHU/edit?usp=sharing  #gid=0"",""фіз особи new!relations_name_uo""),7,FALSE)
,
)
))"),"ДЖИОЄВ Захарій Тенгізович")</f>
        <v>ДЖИОЄВ Захарій Тенгізович</v>
      </c>
      <c r="G4388" s="7" t="s">
        <v>10</v>
      </c>
      <c r="H4388" s="7">
        <v>3004</v>
      </c>
      <c r="I4388" s="8" t="str">
        <f ca="1">IFERROR(__xludf.DUMMYFUNCTION("IF
(
G4389=""фізична особа""
,
VLOOKUP(H4389,IMPORTRANGE(""https://docs.google.com/spreadsheets/d/14Bd19lYaqBhU8_DElYkX7l4wRkHqqCUFNJY4AfY3kHU/edit?usp=sharing  #gid=0"",""фіз особи new!relations_name""),6,FALSE)
,
(IF
(
G4389=""юридична особа""
,
VLOOKUP"&amp;"(H4389,IMPORTRANGE(""https://docs.google.com/spreadsheets/d/14Bd19lYaqBhU8_DElYkX7l4wRkHqqCUFNJY4AfY3kHU/edit?usp=sharing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4388" s="7" t="s">
        <v>29</v>
      </c>
    </row>
    <row r="4389" spans="1:10" ht="13.2">
      <c r="A4389" s="7">
        <v>4388</v>
      </c>
      <c r="B4389" s="7">
        <v>1</v>
      </c>
      <c r="C4389" s="7" t="s">
        <v>10</v>
      </c>
      <c r="D4389" s="7">
        <v>3007</v>
      </c>
      <c r="E4389" s="7" t="s">
        <v>28</v>
      </c>
      <c r="F4389" s="8" t="str">
        <f ca="1">IFERROR(__xludf.DUMMYFUNCTION("IF
(
C4390=""фізична особа""
,
VLOOKUP(D4390,IMPORTRANGE(""https://docs.google.com/spreadsheets/d/14Bd19lYaqBhU8_DElYkX7l4wRkHqqCUFNJY4AfY3kHU/edit?usp=sharing  #gid=0"",""фіз особи new!relations_name""),6,FALSE)
,
(IF
(
C4390=""юридична особа""
,
VLOOKUP"&amp;"(D4390,IMPORTRANGE(""https://docs.google.com/spreadsheets/d/14Bd19lYaqBhU8_DElYkX7l4wRkHqqCUFNJY4AfY3kHU/edit?usp=sharing  #gid=0"",""фіз особи new!relations_name_uo""),7,FALSE)
,
)
))"),"СТАВИЦЬКИЙ Владислав Леонідович")</f>
        <v>СТАВИЦЬКИЙ Владислав Леонідович</v>
      </c>
      <c r="G4389" s="7" t="s">
        <v>10</v>
      </c>
      <c r="H4389" s="7">
        <v>3004</v>
      </c>
      <c r="I4389" s="8" t="str">
        <f ca="1">IFERROR(__xludf.DUMMYFUNCTION("IF
(
G4390=""фізична особа""
,
VLOOKUP(H4390,IMPORTRANGE(""https://docs.google.com/spreadsheets/d/14Bd19lYaqBhU8_DElYkX7l4wRkHqqCUFNJY4AfY3kHU/edit?usp=sharing  #gid=0"",""фіз особи new!relations_name""),6,FALSE)
,
(IF
(
G4390=""юридична особа""
,
VLOOKUP"&amp;"(H4390,IMPORTRANGE(""https://docs.google.com/spreadsheets/d/14Bd19lYaqBhU8_DElYkX7l4wRkHqqCUFNJY4AfY3kHU/edit?usp=sharing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4389" s="7" t="s">
        <v>29</v>
      </c>
    </row>
    <row r="4390" spans="1:10" ht="13.2">
      <c r="A4390" s="7">
        <v>4389</v>
      </c>
      <c r="B4390" s="7">
        <v>1</v>
      </c>
      <c r="C4390" s="7" t="s">
        <v>10</v>
      </c>
      <c r="D4390" s="7">
        <v>3008</v>
      </c>
      <c r="E4390" s="7" t="s">
        <v>28</v>
      </c>
      <c r="F4390" s="8" t="str">
        <f ca="1">IFERROR(__xludf.DUMMYFUNCTION("IF
(
C4391=""фізична особа""
,
VLOOKUP(D4391,IMPORTRANGE(""https://docs.google.com/spreadsheets/d/14Bd19lYaqBhU8_DElYkX7l4wRkHqqCUFNJY4AfY3kHU/edit?usp=sharing  #gid=0"",""фіз особи new!relations_name""),6,FALSE)
,
(IF
(
C4391=""юридична особа""
,
VLOOKUP"&amp;"(D4391,IMPORTRANGE(""https://docs.google.com/spreadsheets/d/14Bd19lYaqBhU8_DElYkX7l4wRkHqqCUFNJY4AfY3kHU/edit?usp=sharing  #gid=0"",""фіз особи new!relations_name_uo""),7,FALSE)
,
)
))"),"УШАКОВ Денис Володимирович")</f>
        <v>УШАКОВ Денис Володимирович</v>
      </c>
      <c r="G4390" s="7" t="s">
        <v>10</v>
      </c>
      <c r="H4390" s="7">
        <v>3004</v>
      </c>
      <c r="I4390" s="8" t="str">
        <f ca="1">IFERROR(__xludf.DUMMYFUNCTION("IF
(
G4391=""фізична особа""
,
VLOOKUP(H4391,IMPORTRANGE(""https://docs.google.com/spreadsheets/d/14Bd19lYaqBhU8_DElYkX7l4wRkHqqCUFNJY4AfY3kHU/edit?usp=sharing  #gid=0"",""фіз особи new!relations_name""),6,FALSE)
,
(IF
(
G4391=""юридична особа""
,
VLOOKUP"&amp;"(H4391,IMPORTRANGE(""https://docs.google.com/spreadsheets/d/14Bd19lYaqBhU8_DElYkX7l4wRkHqqCUFNJY4AfY3kHU/edit?usp=sharing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4390" s="7" t="s">
        <v>29</v>
      </c>
    </row>
    <row r="4391" spans="1:10" ht="13.2">
      <c r="A4391" s="7">
        <v>4390</v>
      </c>
      <c r="B4391" s="7">
        <v>1</v>
      </c>
      <c r="C4391" s="7" t="s">
        <v>10</v>
      </c>
      <c r="D4391" s="7">
        <v>3009</v>
      </c>
      <c r="E4391" s="7" t="s">
        <v>28</v>
      </c>
      <c r="F4391" s="8" t="str">
        <f ca="1">IFERROR(__xludf.DUMMYFUNCTION("IF
(
C4392=""фізична особа""
,
VLOOKUP(D4392,IMPORTRANGE(""https://docs.google.com/spreadsheets/d/14Bd19lYaqBhU8_DElYkX7l4wRkHqqCUFNJY4AfY3kHU/edit?usp=sharing  #gid=0"",""фіз особи new!relations_name""),6,FALSE)
,
(IF
(
C4392=""юридична особа""
,
VLOOKUP"&amp;"(D4392,IMPORTRANGE(""https://docs.google.com/spreadsheets/d/14Bd19lYaqBhU8_DElYkX7l4wRkHqqCUFNJY4AfY3kHU/edit?usp=sharing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G4391" s="7" t="s">
        <v>10</v>
      </c>
      <c r="H4391" s="7">
        <v>2346</v>
      </c>
      <c r="I4391" s="8" t="str">
        <f ca="1">IFERROR(__xludf.DUMMYFUNCTION("IF
(
G4392=""фізична особа""
,
VLOOKUP(H4392,IMPORTRANGE(""https://docs.google.com/spreadsheets/d/14Bd19lYaqBhU8_DElYkX7l4wRkHqqCUFNJY4AfY3kHU/edit?usp=sharing  #gid=0"",""фіз особи new!relations_name""),6,FALSE)
,
(IF
(
G4392=""юридична особа""
,
VLOOKUP"&amp;"(H4392,IMPORTRANGE(""https://docs.google.com/spreadsheets/d/14Bd19lYaqBhU8_DElYkX7l4wRkHqqCUFNJY4AfY3kHU/edit?usp=sharing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391" s="7" t="s">
        <v>29</v>
      </c>
    </row>
    <row r="4392" spans="1:10" ht="13.2">
      <c r="A4392" s="7">
        <v>4391</v>
      </c>
      <c r="B4392" s="7">
        <v>1</v>
      </c>
      <c r="C4392" s="7" t="s">
        <v>10</v>
      </c>
      <c r="D4392" s="7">
        <v>3010</v>
      </c>
      <c r="E4392" s="7" t="s">
        <v>28</v>
      </c>
      <c r="F4392" s="8" t="str">
        <f ca="1">IFERROR(__xludf.DUMMYFUNCTION("IF
(
C4393=""фізична особа""
,
VLOOKUP(D4393,IMPORTRANGE(""https://docs.google.com/spreadsheets/d/14Bd19lYaqBhU8_DElYkX7l4wRkHqqCUFNJY4AfY3kHU/edit?usp=sharing  #gid=0"",""фіз особи new!relations_name""),6,FALSE)
,
(IF
(
C4393=""юридична особа""
,
VLOOKUP"&amp;"(D4393,IMPORTRANGE(""https://docs.google.com/spreadsheets/d/14Bd19lYaqBhU8_DElYkX7l4wRkHqqCUFNJY4AfY3kHU/edit?usp=sharing  #gid=0"",""фіз особи new!relations_name_uo""),7,FALSE)
,
)
))"),"ЛОГУНОВ Володимир Вікторович")</f>
        <v>ЛОГУНОВ Володимир Вікторович</v>
      </c>
      <c r="G4392" s="7" t="s">
        <v>10</v>
      </c>
      <c r="H4392" s="7">
        <v>3009</v>
      </c>
      <c r="I4392" s="8" t="str">
        <f ca="1">IFERROR(__xludf.DUMMYFUNCTION("IF
(
G4393=""фізична особа""
,
VLOOKUP(H4393,IMPORTRANGE(""https://docs.google.com/spreadsheets/d/14Bd19lYaqBhU8_DElYkX7l4wRkHqqCUFNJY4AfY3kHU/edit?usp=sharing  #gid=0"",""фіз особи new!relations_name""),6,FALSE)
,
(IF
(
G4393=""юридична особа""
,
VLOOKUP"&amp;"(H4393,IMPORTRANGE(""https://docs.google.com/spreadsheets/d/14Bd19lYaqBhU8_DElYkX7l4wRkHqqCUFNJY4AfY3kHU/edit?usp=sharing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4392" s="7" t="s">
        <v>29</v>
      </c>
    </row>
    <row r="4393" spans="1:10" ht="13.2">
      <c r="A4393" s="7">
        <v>4392</v>
      </c>
      <c r="B4393" s="7">
        <v>1</v>
      </c>
      <c r="C4393" s="7" t="s">
        <v>10</v>
      </c>
      <c r="D4393" s="7">
        <v>3011</v>
      </c>
      <c r="E4393" s="7" t="s">
        <v>28</v>
      </c>
      <c r="F4393" s="8" t="str">
        <f ca="1">IFERROR(__xludf.DUMMYFUNCTION("IF
(
C4394=""фізична особа""
,
VLOOKUP(D4394,IMPORTRANGE(""https://docs.google.com/spreadsheets/d/14Bd19lYaqBhU8_DElYkX7l4wRkHqqCUFNJY4AfY3kHU/edit?usp=sharing  #gid=0"",""фіз особи new!relations_name""),6,FALSE)
,
(IF
(
C4394=""юридична особа""
,
VLOOKUP"&amp;"(D4394,IMPORTRANGE(""https://docs.google.com/spreadsheets/d/14Bd19lYaqBhU8_DElYkX7l4wRkHqqCUFNJY4AfY3kHU/edit?usp=sharing  #gid=0"",""фіз особи new!relations_name_uo""),7,FALSE)
,
)
))"),"СУББОТІН Вадим Олексійович")</f>
        <v>СУББОТІН Вадим Олексійович</v>
      </c>
      <c r="G4393" s="7" t="s">
        <v>10</v>
      </c>
      <c r="H4393" s="7">
        <v>3009</v>
      </c>
      <c r="I4393" s="8" t="str">
        <f ca="1">IFERROR(__xludf.DUMMYFUNCTION("IF
(
G4394=""фізична особа""
,
VLOOKUP(H4394,IMPORTRANGE(""https://docs.google.com/spreadsheets/d/14Bd19lYaqBhU8_DElYkX7l4wRkHqqCUFNJY4AfY3kHU/edit?usp=sharing  #gid=0"",""фіз особи new!relations_name""),6,FALSE)
,
(IF
(
G4394=""юридична особа""
,
VLOOKUP"&amp;"(H4394,IMPORTRANGE(""https://docs.google.com/spreadsheets/d/14Bd19lYaqBhU8_DElYkX7l4wRkHqqCUFNJY4AfY3kHU/edit?usp=sharing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4393" s="7" t="s">
        <v>29</v>
      </c>
    </row>
    <row r="4394" spans="1:10" ht="13.2">
      <c r="A4394" s="7">
        <v>4393</v>
      </c>
      <c r="B4394" s="7">
        <v>1</v>
      </c>
      <c r="C4394" s="7" t="s">
        <v>10</v>
      </c>
      <c r="D4394" s="7">
        <v>3012</v>
      </c>
      <c r="E4394" s="7" t="s">
        <v>28</v>
      </c>
      <c r="F4394" s="8" t="str">
        <f ca="1">IFERROR(__xludf.DUMMYFUNCTION("IF
(
C4395=""фізична особа""
,
VLOOKUP(D4395,IMPORTRANGE(""https://docs.google.com/spreadsheets/d/14Bd19lYaqBhU8_DElYkX7l4wRkHqqCUFNJY4AfY3kHU/edit?usp=sharing  #gid=0"",""фіз особи new!relations_name""),6,FALSE)
,
(IF
(
C4395=""юридична особа""
,
VLOOKUP"&amp;"(D4395,IMPORTRANGE(""https://docs.google.com/spreadsheets/d/14Bd19lYaqBhU8_DElYkX7l4wRkHqqCUFNJY4AfY3kHU/edit?usp=sharing  #gid=0"",""фіз особи new!relations_name_uo""),7,FALSE)
,
)
))"),"ТЕРЛЯКОВ Олег Олександрович")</f>
        <v>ТЕРЛЯКОВ Олег Олександрович</v>
      </c>
      <c r="G4394" s="7" t="s">
        <v>10</v>
      </c>
      <c r="H4394" s="7">
        <v>3009</v>
      </c>
      <c r="I4394" s="8" t="str">
        <f ca="1">IFERROR(__xludf.DUMMYFUNCTION("IF
(
G4395=""фізична особа""
,
VLOOKUP(H4395,IMPORTRANGE(""https://docs.google.com/spreadsheets/d/14Bd19lYaqBhU8_DElYkX7l4wRkHqqCUFNJY4AfY3kHU/edit?usp=sharing  #gid=0"",""фіз особи new!relations_name""),6,FALSE)
,
(IF
(
G4395=""юридична особа""
,
VLOOKUP"&amp;"(H4395,IMPORTRANGE(""https://docs.google.com/spreadsheets/d/14Bd19lYaqBhU8_DElYkX7l4wRkHqqCUFNJY4AfY3kHU/edit?usp=sharing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4394" s="7" t="s">
        <v>29</v>
      </c>
    </row>
    <row r="4395" spans="1:10" ht="13.2">
      <c r="A4395" s="7">
        <v>4394</v>
      </c>
      <c r="B4395" s="7">
        <v>1</v>
      </c>
      <c r="C4395" s="7" t="s">
        <v>10</v>
      </c>
      <c r="D4395" s="7">
        <v>3013</v>
      </c>
      <c r="E4395" s="7" t="s">
        <v>28</v>
      </c>
      <c r="F4395" s="8" t="str">
        <f ca="1">IFERROR(__xludf.DUMMYFUNCTION("IF
(
C4396=""фізична особа""
,
VLOOKUP(D4396,IMPORTRANGE(""https://docs.google.com/spreadsheets/d/14Bd19lYaqBhU8_DElYkX7l4wRkHqqCUFNJY4AfY3kHU/edit?usp=sharing  #gid=0"",""фіз особи new!relations_name""),6,FALSE)
,
(IF
(
C4396=""юридична особа""
,
VLOOKUP"&amp;"(D4396,IMPORTRANGE(""https://docs.google.com/spreadsheets/d/14Bd19lYaqBhU8_DElYkX7l4wRkHqqCUFNJY4AfY3kHU/edit?usp=sharing  #gid=0"",""фіз особи new!relations_name_uo""),7,FALSE)
,
)
))"),"ВАГНЕР Мілош Едуардович")</f>
        <v>ВАГНЕР Мілош Едуардович</v>
      </c>
      <c r="G4395" s="7" t="s">
        <v>10</v>
      </c>
      <c r="H4395" s="7">
        <v>3009</v>
      </c>
      <c r="I4395" s="8" t="str">
        <f ca="1">IFERROR(__xludf.DUMMYFUNCTION("IF
(
G4396=""фізична особа""
,
VLOOKUP(H4396,IMPORTRANGE(""https://docs.google.com/spreadsheets/d/14Bd19lYaqBhU8_DElYkX7l4wRkHqqCUFNJY4AfY3kHU/edit?usp=sharing  #gid=0"",""фіз особи new!relations_name""),6,FALSE)
,
(IF
(
G4396=""юридична особа""
,
VLOOKUP"&amp;"(H4396,IMPORTRANGE(""https://docs.google.com/spreadsheets/d/14Bd19lYaqBhU8_DElYkX7l4wRkHqqCUFNJY4AfY3kHU/edit?usp=sharing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4395" s="7" t="s">
        <v>29</v>
      </c>
    </row>
    <row r="4396" spans="1:10" ht="13.2">
      <c r="A4396" s="7">
        <v>4395</v>
      </c>
      <c r="B4396" s="7">
        <v>1</v>
      </c>
      <c r="C4396" s="7" t="s">
        <v>10</v>
      </c>
      <c r="D4396" s="7">
        <v>3014</v>
      </c>
      <c r="E4396" s="7" t="s">
        <v>28</v>
      </c>
      <c r="F4396" s="8" t="str">
        <f ca="1">IFERROR(__xludf.DUMMYFUNCTION("IF
(
C4397=""фізична особа""
,
VLOOKUP(D4397,IMPORTRANGE(""https://docs.google.com/spreadsheets/d/14Bd19lYaqBhU8_DElYkX7l4wRkHqqCUFNJY4AfY3kHU/edit?usp=sharing  #gid=0"",""фіз особи new!relations_name""),6,FALSE)
,
(IF
(
C4397=""юридична особа""
,
VLOOKUP"&amp;"(D4397,IMPORTRANGE(""https://docs.google.com/spreadsheets/d/14Bd19lYaqBhU8_DElYkX7l4wRkHqqCUFNJY4AfY3kHU/edit?usp=sharing  #gid=0"",""фіз особи new!relations_name_uo""),7,FALSE)
,
)
))"),"СИТЕНКО Георгій Ігорович")</f>
        <v>СИТЕНКО Георгій Ігорович</v>
      </c>
      <c r="G4396" s="7" t="s">
        <v>10</v>
      </c>
      <c r="H4396" s="7">
        <v>2377</v>
      </c>
      <c r="I4396" s="8" t="str">
        <f ca="1">IFERROR(__xludf.DUMMYFUNCTION("IF
(
G4397=""фізична особа""
,
VLOOKUP(H4397,IMPORTRANGE(""https://docs.google.com/spreadsheets/d/14Bd19lYaqBhU8_DElYkX7l4wRkHqqCUFNJY4AfY3kHU/edit?usp=sharing  #gid=0"",""фіз особи new!relations_name""),6,FALSE)
,
(IF
(
G4397=""юридична особа""
,
VLOOKUP"&amp;"(H4397,IMPORTRANGE(""https://docs.google.com/spreadsheets/d/14Bd19lYaqBhU8_DElYkX7l4wRkHqqCUFNJY4AfY3kHU/edit?usp=sharing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96" s="7" t="s">
        <v>29</v>
      </c>
    </row>
    <row r="4397" spans="1:10" ht="13.2">
      <c r="A4397" s="7">
        <v>4396</v>
      </c>
      <c r="B4397" s="7">
        <v>1</v>
      </c>
      <c r="C4397" s="7" t="s">
        <v>10</v>
      </c>
      <c r="D4397" s="7">
        <v>3015</v>
      </c>
      <c r="E4397" s="7" t="s">
        <v>28</v>
      </c>
      <c r="F4397" s="8" t="str">
        <f ca="1">IFERROR(__xludf.DUMMYFUNCTION("IF
(
C4398=""фізична особа""
,
VLOOKUP(D4398,IMPORTRANGE(""https://docs.google.com/spreadsheets/d/14Bd19lYaqBhU8_DElYkX7l4wRkHqqCUFNJY4AfY3kHU/edit?usp=sharing  #gid=0"",""фіз особи new!relations_name""),6,FALSE)
,
(IF
(
C4398=""юридична особа""
,
VLOOKUP"&amp;"(D4398,IMPORTRANGE(""https://docs.google.com/spreadsheets/d/14Bd19lYaqBhU8_DElYkX7l4wRkHqqCUFNJY4AfY3kHU/edit?usp=sharing  #gid=0"",""фіз особи new!relations_name_uo""),7,FALSE)
,
)
))"),"РИБАЛО Роман Олексійович")</f>
        <v>РИБАЛО Роман Олексійович</v>
      </c>
      <c r="G4397" s="7" t="s">
        <v>10</v>
      </c>
      <c r="H4397" s="7">
        <v>2377</v>
      </c>
      <c r="I4397" s="8" t="str">
        <f ca="1">IFERROR(__xludf.DUMMYFUNCTION("IF
(
G4398=""фізична особа""
,
VLOOKUP(H4398,IMPORTRANGE(""https://docs.google.com/spreadsheets/d/14Bd19lYaqBhU8_DElYkX7l4wRkHqqCUFNJY4AfY3kHU/edit?usp=sharing  #gid=0"",""фіз особи new!relations_name""),6,FALSE)
,
(IF
(
G4398=""юридична особа""
,
VLOOKUP"&amp;"(H4398,IMPORTRANGE(""https://docs.google.com/spreadsheets/d/14Bd19lYaqBhU8_DElYkX7l4wRkHqqCUFNJY4AfY3kHU/edit?usp=sharing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97" s="7" t="s">
        <v>29</v>
      </c>
    </row>
    <row r="4398" spans="1:10" ht="13.2">
      <c r="A4398" s="7">
        <v>4397</v>
      </c>
      <c r="B4398" s="7">
        <v>1</v>
      </c>
      <c r="C4398" s="7" t="s">
        <v>10</v>
      </c>
      <c r="D4398" s="7">
        <v>3016</v>
      </c>
      <c r="E4398" s="7" t="s">
        <v>28</v>
      </c>
      <c r="F4398" s="8" t="str">
        <f ca="1">IFERROR(__xludf.DUMMYFUNCTION("IF
(
C4399=""фізична особа""
,
VLOOKUP(D4399,IMPORTRANGE(""https://docs.google.com/spreadsheets/d/14Bd19lYaqBhU8_DElYkX7l4wRkHqqCUFNJY4AfY3kHU/edit?usp=sharing  #gid=0"",""фіз особи new!relations_name""),6,FALSE)
,
(IF
(
C4399=""юридична особа""
,
VLOOKUP"&amp;"(D4399,IMPORTRANGE(""https://docs.google.com/spreadsheets/d/14Bd19lYaqBhU8_DElYkX7l4wRkHqqCUFNJY4AfY3kHU/edit?usp=sharing  #gid=0"",""фіз особи new!relations_name_uo""),7,FALSE)
,
)
))"),"НИКИФОРОВ Микола Володимирович")</f>
        <v>НИКИФОРОВ Микола Володимирович</v>
      </c>
      <c r="G4398" s="7" t="s">
        <v>10</v>
      </c>
      <c r="H4398" s="7">
        <v>2377</v>
      </c>
      <c r="I4398" s="8" t="str">
        <f ca="1">IFERROR(__xludf.DUMMYFUNCTION("IF
(
G4399=""фізична особа""
,
VLOOKUP(H4399,IMPORTRANGE(""https://docs.google.com/spreadsheets/d/14Bd19lYaqBhU8_DElYkX7l4wRkHqqCUFNJY4AfY3kHU/edit?usp=sharing  #gid=0"",""фіз особи new!relations_name""),6,FALSE)
,
(IF
(
G4399=""юридична особа""
,
VLOOKUP"&amp;"(H4399,IMPORTRANGE(""https://docs.google.com/spreadsheets/d/14Bd19lYaqBhU8_DElYkX7l4wRkHqqCUFNJY4AfY3kHU/edit?usp=sharing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98" s="7" t="s">
        <v>29</v>
      </c>
    </row>
    <row r="4399" spans="1:10" ht="13.2">
      <c r="A4399" s="7">
        <v>4398</v>
      </c>
      <c r="B4399" s="7">
        <v>1</v>
      </c>
      <c r="C4399" s="7" t="s">
        <v>10</v>
      </c>
      <c r="D4399" s="7">
        <v>3017</v>
      </c>
      <c r="E4399" s="7" t="s">
        <v>28</v>
      </c>
      <c r="F4399" s="8" t="str">
        <f ca="1">IFERROR(__xludf.DUMMYFUNCTION("IF
(
C4400=""фізична особа""
,
VLOOKUP(D4400,IMPORTRANGE(""https://docs.google.com/spreadsheets/d/14Bd19lYaqBhU8_DElYkX7l4wRkHqqCUFNJY4AfY3kHU/edit?usp=sharing  #gid=0"",""фіз особи new!relations_name""),6,FALSE)
,
(IF
(
C4400=""юридична особа""
,
VLOOKUP"&amp;"(D4400,IMPORTRANGE(""https://docs.google.com/spreadsheets/d/14Bd19lYaqBhU8_DElYkX7l4wRkHqqCUFNJY4AfY3kHU/edit?usp=sharing  #gid=0"",""фіз особи new!relations_name_uo""),7,FALSE)
,
)
))"),"НОВИЦЬКИЙ Анатолій Михайлович")</f>
        <v>НОВИЦЬКИЙ Анатолій Михайлович</v>
      </c>
      <c r="G4399" s="7" t="s">
        <v>10</v>
      </c>
      <c r="H4399" s="7">
        <v>2377</v>
      </c>
      <c r="I4399" s="8" t="str">
        <f ca="1">IFERROR(__xludf.DUMMYFUNCTION("IF
(
G4400=""фізична особа""
,
VLOOKUP(H4400,IMPORTRANGE(""https://docs.google.com/spreadsheets/d/14Bd19lYaqBhU8_DElYkX7l4wRkHqqCUFNJY4AfY3kHU/edit?usp=sharing  #gid=0"",""фіз особи new!relations_name""),6,FALSE)
,
(IF
(
G4400=""юридична особа""
,
VLOOKUP"&amp;"(H4400,IMPORTRANGE(""https://docs.google.com/spreadsheets/d/14Bd19lYaqBhU8_DElYkX7l4wRkHqqCUFNJY4AfY3kHU/edit?usp=sharing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399" s="7" t="s">
        <v>29</v>
      </c>
    </row>
    <row r="4400" spans="1:10" ht="13.2">
      <c r="A4400" s="7">
        <v>4399</v>
      </c>
      <c r="B4400" s="7">
        <v>1</v>
      </c>
      <c r="C4400" s="7" t="s">
        <v>10</v>
      </c>
      <c r="D4400" s="7">
        <v>3018</v>
      </c>
      <c r="E4400" s="7" t="s">
        <v>28</v>
      </c>
      <c r="F4400" s="8" t="str">
        <f ca="1">IFERROR(__xludf.DUMMYFUNCTION("IF
(
C4401=""фізична особа""
,
VLOOKUP(D4401,IMPORTRANGE(""https://docs.google.com/spreadsheets/d/14Bd19lYaqBhU8_DElYkX7l4wRkHqqCUFNJY4AfY3kHU/edit?usp=sharing  #gid=0"",""фіз особи new!relations_name""),6,FALSE)
,
(IF
(
C4401=""юридична особа""
,
VLOOKUP"&amp;"(D4401,IMPORTRANGE(""https://docs.google.com/spreadsheets/d/14Bd19lYaqBhU8_DElYkX7l4wRkHqqCUFNJY4AfY3kHU/edit?usp=sharing  #gid=0"",""фіз особи new!relations_name_uo""),7,FALSE)
,
)
))"),"БАГАЄВ Олег Михайлович")</f>
        <v>БАГАЄВ Олег Михайлович</v>
      </c>
      <c r="G4400" s="7" t="s">
        <v>10</v>
      </c>
      <c r="H4400" s="7">
        <v>2377</v>
      </c>
      <c r="I4400" s="8" t="str">
        <f ca="1">IFERROR(__xludf.DUMMYFUNCTION("IF
(
G4401=""фізична особа""
,
VLOOKUP(H4401,IMPORTRANGE(""https://docs.google.com/spreadsheets/d/14Bd19lYaqBhU8_DElYkX7l4wRkHqqCUFNJY4AfY3kHU/edit?usp=sharing  #gid=0"",""фіз особи new!relations_name""),6,FALSE)
,
(IF
(
G4401=""юридична особа""
,
VLOOKUP"&amp;"(H4401,IMPORTRANGE(""https://docs.google.com/spreadsheets/d/14Bd19lYaqBhU8_DElYkX7l4wRkHqqCUFNJY4AfY3kHU/edit?usp=sharing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00" s="7" t="s">
        <v>29</v>
      </c>
    </row>
    <row r="4401" spans="1:10" ht="13.2">
      <c r="A4401" s="7">
        <v>4400</v>
      </c>
      <c r="B4401" s="7">
        <v>1</v>
      </c>
      <c r="C4401" s="7" t="s">
        <v>10</v>
      </c>
      <c r="D4401" s="7">
        <v>3019</v>
      </c>
      <c r="E4401" s="7" t="s">
        <v>28</v>
      </c>
      <c r="F4401" s="8" t="str">
        <f ca="1">IFERROR(__xludf.DUMMYFUNCTION("IF
(
C4402=""фізична особа""
,
VLOOKUP(D4402,IMPORTRANGE(""https://docs.google.com/spreadsheets/d/14Bd19lYaqBhU8_DElYkX7l4wRkHqqCUFNJY4AfY3kHU/edit?usp=sharing  #gid=0"",""фіз особи new!relations_name""),6,FALSE)
,
(IF
(
C4402=""юридична особа""
,
VLOOKUP"&amp;"(D4402,IMPORTRANGE(""https://docs.google.com/spreadsheets/d/14Bd19lYaqBhU8_DElYkX7l4wRkHqqCUFNJY4AfY3kHU/edit?usp=sharing  #gid=0"",""фіз особи new!relations_name_uo""),7,FALSE)
,
)
))"),"ВОРОНКО Олександр Миколайович")</f>
        <v>ВОРОНКО Олександр Миколайович</v>
      </c>
      <c r="G4401" s="7" t="s">
        <v>10</v>
      </c>
      <c r="H4401" s="7">
        <v>2377</v>
      </c>
      <c r="I4401" s="8" t="str">
        <f ca="1">IFERROR(__xludf.DUMMYFUNCTION("IF
(
G4402=""фізична особа""
,
VLOOKUP(H4402,IMPORTRANGE(""https://docs.google.com/spreadsheets/d/14Bd19lYaqBhU8_DElYkX7l4wRkHqqCUFNJY4AfY3kHU/edit?usp=sharing  #gid=0"",""фіз особи new!relations_name""),6,FALSE)
,
(IF
(
G4402=""юридична особа""
,
VLOOKUP"&amp;"(H4402,IMPORTRANGE(""https://docs.google.com/spreadsheets/d/14Bd19lYaqBhU8_DElYkX7l4wRkHqqCUFNJY4AfY3kHU/edit?usp=sharing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01" s="7" t="s">
        <v>29</v>
      </c>
    </row>
    <row r="4402" spans="1:10" ht="13.2">
      <c r="A4402" s="7">
        <v>4401</v>
      </c>
      <c r="B4402" s="7">
        <v>1</v>
      </c>
      <c r="C4402" s="7" t="s">
        <v>10</v>
      </c>
      <c r="D4402" s="7">
        <v>3020</v>
      </c>
      <c r="E4402" s="7" t="s">
        <v>40</v>
      </c>
      <c r="F4402" s="8" t="str">
        <f ca="1">IFERROR(__xludf.DUMMYFUNCTION("IF
(
C4403=""фізична особа""
,
VLOOKUP(D4403,IMPORTRANGE(""https://docs.google.com/spreadsheets/d/14Bd19lYaqBhU8_DElYkX7l4wRkHqqCUFNJY4AfY3kHU/edit?usp=sharing  #gid=0"",""фіз особи new!relations_name""),6,FALSE)
,
(IF
(
C4403=""юридична особа""
,
VLOOKUP"&amp;"(D4403,IMPORTRANGE(""https://docs.google.com/spreadsheets/d/14Bd19lYaqBhU8_DElYkX7l4wRkHqqCUFNJY4AfY3kHU/edit?usp=sharing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G4402" s="7" t="s">
        <v>10</v>
      </c>
      <c r="H4402" s="7">
        <v>468</v>
      </c>
      <c r="I4402" s="8" t="str">
        <f ca="1">IFERROR(__xludf.DUMMYFUNCTION("IF
(
G4403=""фізична особа""
,
VLOOKUP(H4403,IMPORTRANGE(""https://docs.google.com/spreadsheets/d/14Bd19lYaqBhU8_DElYkX7l4wRkHqqCUFNJY4AfY3kHU/edit?usp=sharing  #gid=0"",""фіз особи new!relations_name""),6,FALSE)
,
(IF
(
G4403=""юридична особа""
,
VLOOKUP"&amp;"(H4403,IMPORTRANGE(""https://docs.google.com/spreadsheets/d/14Bd19lYaqBhU8_DElYkX7l4wRkHqqCUFNJY4AfY3kHU/edit?usp=sharing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4402" s="7" t="s">
        <v>41</v>
      </c>
    </row>
    <row r="4403" spans="1:10" ht="13.2">
      <c r="A4403" s="7">
        <v>4402</v>
      </c>
      <c r="B4403" s="7">
        <v>1</v>
      </c>
      <c r="C4403" s="7" t="s">
        <v>10</v>
      </c>
      <c r="D4403" s="7">
        <v>3021</v>
      </c>
      <c r="E4403" s="7" t="s">
        <v>30</v>
      </c>
      <c r="F4403" s="8" t="str">
        <f ca="1">IFERROR(__xludf.DUMMYFUNCTION("IF
(
C4404=""фізична особа""
,
VLOOKUP(D4404,IMPORTRANGE(""https://docs.google.com/spreadsheets/d/14Bd19lYaqBhU8_DElYkX7l4wRkHqqCUFNJY4AfY3kHU/edit?usp=sharing  #gid=0"",""фіз особи new!relations_name""),6,FALSE)
,
(IF
(
C4404=""юридична особа""
,
VLOOKUP"&amp;"(D4404,IMPORTRANGE(""https://docs.google.com/spreadsheets/d/14Bd19lYaqBhU8_DElYkX7l4wRkHqqCUFNJY4AfY3kHU/edit?usp=sharing  #gid=0"",""фіз особи new!relations_name_uo""),7,FALSE)
,
)
))"),"ЦИГАНОВ Андрій Геннадійович")</f>
        <v>ЦИГАНОВ Андрій Геннадійович</v>
      </c>
      <c r="G4403" s="7" t="s">
        <v>10</v>
      </c>
      <c r="H4403" s="7">
        <v>23410</v>
      </c>
      <c r="I4403" s="8" t="str">
        <f ca="1">IFERROR(__xludf.DUMMYFUNCTION("IF
(
G4404=""фізична особа""
,
VLOOKUP(H4404,IMPORTRANGE(""https://docs.google.com/spreadsheets/d/14Bd19lYaqBhU8_DElYkX7l4wRkHqqCUFNJY4AfY3kHU/edit?usp=sharing  #gid=0"",""фіз особи new!relations_name""),6,FALSE)
,
(IF
(
G4404=""юридична особа""
,
VLOOKUP"&amp;"(H4404,IMPORTRANGE(""https://docs.google.com/spreadsheets/d/14Bd19lYaqBhU8_DElYkX7l4wRkHqqCUFNJY4AfY3kHU/edit?usp=sharing  #gid=0"",""фіз особи new!relations_name_uo""),7,FALSE)
,
)
))"),"АРТЕМ'ЄВ Ігор Юрійович")</f>
        <v>АРТЕМ'ЄВ Ігор Юрійович</v>
      </c>
      <c r="J4403" s="7" t="s">
        <v>30</v>
      </c>
    </row>
    <row r="4404" spans="1:10" ht="13.2">
      <c r="A4404" s="7">
        <v>4403</v>
      </c>
      <c r="B4404" s="7">
        <v>1</v>
      </c>
      <c r="C4404" s="7" t="s">
        <v>10</v>
      </c>
      <c r="D4404" s="7">
        <v>3022</v>
      </c>
      <c r="E4404" s="7" t="s">
        <v>14</v>
      </c>
      <c r="F4404" s="8" t="str">
        <f ca="1">IFERROR(__xludf.DUMMYFUNCTION("IF
(
C4405=""фізична особа""
,
VLOOKUP(D4405,IMPORTRANGE(""https://docs.google.com/spreadsheets/d/14Bd19lYaqBhU8_DElYkX7l4wRkHqqCUFNJY4AfY3kHU/edit?usp=sharing  #gid=0"",""фіз особи new!relations_name""),6,FALSE)
,
(IF
(
C4405=""юридична особа""
,
VLOOKUP"&amp;"(D4405,IMPORTRANGE(""https://docs.google.com/spreadsheets/d/14Bd19lYaqBhU8_DElYkX7l4wRkHqqCUFNJY4AfY3kHU/edit?usp=sharing  #gid=0"",""фіз особи new!relations_name_uo""),7,FALSE)
,
)
))"),"ФЕСЮК Данило Валерійович")</f>
        <v>ФЕСЮК Данило Валерійович</v>
      </c>
      <c r="G4404" s="7" t="s">
        <v>10</v>
      </c>
      <c r="H4404" s="7">
        <v>0</v>
      </c>
      <c r="I4404" s="8" t="str">
        <f ca="1">IFERROR(__xludf.DUMMYFUNCTION("IF
(
G4405=""фізична особа""
,
VLOOKUP(H4405,IMPORTRANGE(""https://docs.google.com/spreadsheets/d/14Bd19lYaqBhU8_DElYkX7l4wRkHqqCUFNJY4AfY3kHU/edit?usp=sharing  #gid=0"",""фіз особи new!relations_name""),6,FALSE)
,
(IF
(
G4405=""юридична особа""
,
VLOOKUP"&amp;"(H4405,IMPORTRANGE(""https://docs.google.com/spreadsheets/d/14Bd19lYaqBhU8_DElYkX7l4wRkHqqCUFNJY4AfY3kHU/edit?usp=sharing  #gid=0"",""фіз особи new!relations_name_uo""),7,FALSE)
,
)
))"),"#N/A")</f>
        <v>#N/A</v>
      </c>
      <c r="J4404" s="7" t="s">
        <v>15</v>
      </c>
    </row>
    <row r="4405" spans="1:10" ht="13.2">
      <c r="A4405" s="7">
        <v>4404</v>
      </c>
      <c r="B4405" s="7">
        <v>1</v>
      </c>
      <c r="C4405" s="7" t="s">
        <v>10</v>
      </c>
      <c r="D4405" s="7">
        <v>3022</v>
      </c>
      <c r="E4405" s="7" t="s">
        <v>30</v>
      </c>
      <c r="F4405" s="8" t="str">
        <f ca="1">IFERROR(__xludf.DUMMYFUNCTION("IF
(
C4406=""фізична особа""
,
VLOOKUP(D4406,IMPORTRANGE(""https://docs.google.com/spreadsheets/d/14Bd19lYaqBhU8_DElYkX7l4wRkHqqCUFNJY4AfY3kHU/edit?usp=sharing  #gid=0"",""фіз особи new!relations_name""),6,FALSE)
,
(IF
(
C4406=""юридична особа""
,
VLOOKUP"&amp;"(D4406,IMPORTRANGE(""https://docs.google.com/spreadsheets/d/14Bd19lYaqBhU8_DElYkX7l4wRkHqqCUFNJY4AfY3kHU/edit?usp=sharing  #gid=0"",""фіз особи new!relations_name_uo""),7,FALSE)
,
)
))"),"ФЕСЮК Данило Валерійович")</f>
        <v>ФЕСЮК Данило Валерійович</v>
      </c>
      <c r="G4405" s="7" t="s">
        <v>10</v>
      </c>
      <c r="H4405" s="7">
        <v>23410</v>
      </c>
      <c r="I4405" s="8" t="str">
        <f ca="1">IFERROR(__xludf.DUMMYFUNCTION("IF
(
G4406=""фізична особа""
,
VLOOKUP(H4406,IMPORTRANGE(""https://docs.google.com/spreadsheets/d/14Bd19lYaqBhU8_DElYkX7l4wRkHqqCUFNJY4AfY3kHU/edit?usp=sharing  #gid=0"",""фіз особи new!relations_name""),6,FALSE)
,
(IF
(
G4406=""юридична особа""
,
VLOOKUP"&amp;"(H4406,IMPORTRANGE(""https://docs.google.com/spreadsheets/d/14Bd19lYaqBhU8_DElYkX7l4wRkHqqCUFNJY4AfY3kHU/edit?usp=sharing  #gid=0"",""фіз особи new!relations_name_uo""),7,FALSE)
,
)
))"),"АРТЕМ'ЄВ Ігор Юрійович")</f>
        <v>АРТЕМ'ЄВ Ігор Юрійович</v>
      </c>
      <c r="J4405" s="7" t="s">
        <v>30</v>
      </c>
    </row>
    <row r="4406" spans="1:10" ht="13.2">
      <c r="A4406" s="7">
        <v>4405</v>
      </c>
      <c r="B4406" s="7">
        <v>1</v>
      </c>
      <c r="C4406" s="7" t="s">
        <v>10</v>
      </c>
      <c r="D4406" s="7">
        <v>3023</v>
      </c>
      <c r="E4406" s="7" t="s">
        <v>30</v>
      </c>
      <c r="F4406" s="8" t="str">
        <f ca="1">IFERROR(__xludf.DUMMYFUNCTION("IF
(
C4407=""фізична особа""
,
VLOOKUP(D4407,IMPORTRANGE(""https://docs.google.com/spreadsheets/d/14Bd19lYaqBhU8_DElYkX7l4wRkHqqCUFNJY4AfY3kHU/edit?usp=sharing  #gid=0"",""фіз особи new!relations_name""),6,FALSE)
,
(IF
(
C4407=""юридична особа""
,
VLOOKUP"&amp;"(D4407,IMPORTRANGE(""https://docs.google.com/spreadsheets/d/14Bd19lYaqBhU8_DElYkX7l4wRkHqqCUFNJY4AfY3kHU/edit?usp=sharing  #gid=0"",""фіз особи new!relations_name_uo""),7,FALSE)
,
)
))"),"ПУЗИРЕВСЬКИЙ Сергій Анатолійович")</f>
        <v>ПУЗИРЕВСЬКИЙ Сергій Анатолійович</v>
      </c>
      <c r="G4406" s="7" t="s">
        <v>10</v>
      </c>
      <c r="H4406" s="7">
        <v>23410</v>
      </c>
      <c r="I4406" s="8" t="str">
        <f ca="1">IFERROR(__xludf.DUMMYFUNCTION("IF
(
G4407=""фізична особа""
,
VLOOKUP(H4407,IMPORTRANGE(""https://docs.google.com/spreadsheets/d/14Bd19lYaqBhU8_DElYkX7l4wRkHqqCUFNJY4AfY3kHU/edit?usp=sharing  #gid=0"",""фіз особи new!relations_name""),6,FALSE)
,
(IF
(
G4407=""юридична особа""
,
VLOOKUP"&amp;"(H4407,IMPORTRANGE(""https://docs.google.com/spreadsheets/d/14Bd19lYaqBhU8_DElYkX7l4wRkHqqCUFNJY4AfY3kHU/edit?usp=sharing  #gid=0"",""фіз особи new!relations_name_uo""),7,FALSE)
,
)
))"),"АРТЕМ'ЄВ Ігор Юрійович")</f>
        <v>АРТЕМ'ЄВ Ігор Юрійович</v>
      </c>
      <c r="J4406" s="7" t="s">
        <v>30</v>
      </c>
    </row>
    <row r="4407" spans="1:10" ht="13.2">
      <c r="A4407" s="7">
        <v>4406</v>
      </c>
      <c r="B4407" s="7">
        <v>1</v>
      </c>
      <c r="C4407" s="7" t="s">
        <v>10</v>
      </c>
      <c r="D4407" s="7">
        <v>3024</v>
      </c>
      <c r="E4407" s="7" t="s">
        <v>30</v>
      </c>
      <c r="F4407" s="8" t="str">
        <f ca="1">IFERROR(__xludf.DUMMYFUNCTION("IF
(
C4408=""фізична особа""
,
VLOOKUP(D4408,IMPORTRANGE(""https://docs.google.com/spreadsheets/d/14Bd19lYaqBhU8_DElYkX7l4wRkHqqCUFNJY4AfY3kHU/edit?usp=sharing  #gid=0"",""фіз особи new!relations_name""),6,FALSE)
,
(IF
(
C4408=""юридична особа""
,
VLOOKUP"&amp;"(D4408,IMPORTRANGE(""https://docs.google.com/spreadsheets/d/14Bd19lYaqBhU8_DElYkX7l4wRkHqqCUFNJY4AfY3kHU/edit?usp=sharing  #gid=0"",""фіз особи new!relations_name_uo""),7,FALSE)
,
)
))"),"НИЖЕГОРОДЦЕВ Тимофій Віталійович")</f>
        <v>НИЖЕГОРОДЦЕВ Тимофій Віталійович</v>
      </c>
      <c r="G4407" s="7" t="s">
        <v>10</v>
      </c>
      <c r="H4407" s="7">
        <v>23410</v>
      </c>
      <c r="I4407" s="8" t="str">
        <f ca="1">IFERROR(__xludf.DUMMYFUNCTION("IF
(
G4408=""фізична особа""
,
VLOOKUP(H4408,IMPORTRANGE(""https://docs.google.com/spreadsheets/d/14Bd19lYaqBhU8_DElYkX7l4wRkHqqCUFNJY4AfY3kHU/edit?usp=sharing  #gid=0"",""фіз особи new!relations_name""),6,FALSE)
,
(IF
(
G4408=""юридична особа""
,
VLOOKUP"&amp;"(H4408,IMPORTRANGE(""https://docs.google.com/spreadsheets/d/14Bd19lYaqBhU8_DElYkX7l4wRkHqqCUFNJY4AfY3kHU/edit?usp=sharing  #gid=0"",""фіз особи new!relations_name_uo""),7,FALSE)
,
)
))"),"АРТЕМ'ЄВ Ігор Юрійович")</f>
        <v>АРТЕМ'ЄВ Ігор Юрійович</v>
      </c>
      <c r="J4407" s="7" t="s">
        <v>30</v>
      </c>
    </row>
    <row r="4408" spans="1:10" ht="13.2">
      <c r="A4408" s="7">
        <v>4407</v>
      </c>
      <c r="B4408" s="7">
        <v>1</v>
      </c>
      <c r="C4408" s="7" t="s">
        <v>10</v>
      </c>
      <c r="D4408" s="7">
        <v>3024</v>
      </c>
      <c r="E4408" s="7" t="s">
        <v>30</v>
      </c>
      <c r="F4408" s="8" t="str">
        <f ca="1">IFERROR(__xludf.DUMMYFUNCTION("IF
(
C4409=""фізична особа""
,
VLOOKUP(D4409,IMPORTRANGE(""https://docs.google.com/spreadsheets/d/14Bd19lYaqBhU8_DElYkX7l4wRkHqqCUFNJY4AfY3kHU/edit?usp=sharing  #gid=0"",""фіз особи new!relations_name""),6,FALSE)
,
(IF
(
C4409=""юридична особа""
,
VLOOKUP"&amp;"(D4409,IMPORTRANGE(""https://docs.google.com/spreadsheets/d/14Bd19lYaqBhU8_DElYkX7l4wRkHqqCUFNJY4AfY3kHU/edit?usp=sharing  #gid=0"",""фіз особи new!relations_name_uo""),7,FALSE)
,
)
))"),"НИЖЕГОРОДЦЕВ Тимофій Віталійович")</f>
        <v>НИЖЕГОРОДЦЕВ Тимофій Віталійович</v>
      </c>
      <c r="G4408" s="7" t="s">
        <v>10</v>
      </c>
      <c r="H4408" s="7">
        <v>0</v>
      </c>
      <c r="I4408" s="8" t="str">
        <f ca="1">IFERROR(__xludf.DUMMYFUNCTION("IF
(
G4409=""фізична особа""
,
VLOOKUP(H4409,IMPORTRANGE(""https://docs.google.com/spreadsheets/d/14Bd19lYaqBhU8_DElYkX7l4wRkHqqCUFNJY4AfY3kHU/edit?usp=sharing  #gid=0"",""фіз особи new!relations_name""),6,FALSE)
,
(IF
(
G4409=""юридична особа""
,
VLOOKUP"&amp;"(H4409,IMPORTRANGE(""https://docs.google.com/spreadsheets/d/14Bd19lYaqBhU8_DElYkX7l4wRkHqqCUFNJY4AfY3kHU/edit?usp=sharing  #gid=0"",""фіз особи new!relations_name_uo""),7,FALSE)
,
)
))"),"#N/A")</f>
        <v>#N/A</v>
      </c>
      <c r="J4408" s="7" t="s">
        <v>30</v>
      </c>
    </row>
    <row r="4409" spans="1:10" ht="13.2">
      <c r="A4409" s="7">
        <v>4408</v>
      </c>
      <c r="B4409" s="7">
        <v>1</v>
      </c>
      <c r="C4409" s="7" t="s">
        <v>10</v>
      </c>
      <c r="D4409" s="7">
        <v>3024</v>
      </c>
      <c r="E4409" s="7" t="s">
        <v>30</v>
      </c>
      <c r="F4409" s="8" t="str">
        <f ca="1">IFERROR(__xludf.DUMMYFUNCTION("IF
(
C4410=""фізична особа""
,
VLOOKUP(D4410,IMPORTRANGE(""https://docs.google.com/spreadsheets/d/14Bd19lYaqBhU8_DElYkX7l4wRkHqqCUFNJY4AfY3kHU/edit?usp=sharing  #gid=0"",""фіз особи new!relations_name""),6,FALSE)
,
(IF
(
C4410=""юридична особа""
,
VLOOKUP"&amp;"(D4410,IMPORTRANGE(""https://docs.google.com/spreadsheets/d/14Bd19lYaqBhU8_DElYkX7l4wRkHqqCUFNJY4AfY3kHU/edit?usp=sharing  #gid=0"",""фіз особи new!relations_name_uo""),7,FALSE)
,
)
))"),"НИЖЕГОРОДЦЕВ Тимофій Віталійович")</f>
        <v>НИЖЕГОРОДЦЕВ Тимофій Віталійович</v>
      </c>
      <c r="G4409" s="7" t="s">
        <v>10</v>
      </c>
      <c r="H4409" s="7">
        <v>0</v>
      </c>
      <c r="I4409" s="8" t="str">
        <f ca="1">IFERROR(__xludf.DUMMYFUNCTION("IF
(
G4410=""фізична особа""
,
VLOOKUP(H4410,IMPORTRANGE(""https://docs.google.com/spreadsheets/d/14Bd19lYaqBhU8_DElYkX7l4wRkHqqCUFNJY4AfY3kHU/edit?usp=sharing  #gid=0"",""фіз особи new!relations_name""),6,FALSE)
,
(IF
(
G4410=""юридична особа""
,
VLOOKUP"&amp;"(H4410,IMPORTRANGE(""https://docs.google.com/spreadsheets/d/14Bd19lYaqBhU8_DElYkX7l4wRkHqqCUFNJY4AfY3kHU/edit?usp=sharing  #gid=0"",""фіз особи new!relations_name_uo""),7,FALSE)
,
)
))"),"#N/A")</f>
        <v>#N/A</v>
      </c>
      <c r="J4409" s="7" t="s">
        <v>30</v>
      </c>
    </row>
    <row r="4410" spans="1:10" ht="13.2">
      <c r="A4410" s="7">
        <v>4409</v>
      </c>
      <c r="B4410" s="7">
        <v>1</v>
      </c>
      <c r="C4410" s="7" t="s">
        <v>10</v>
      </c>
      <c r="D4410" s="7">
        <v>3025</v>
      </c>
      <c r="E4410" s="7" t="s">
        <v>30</v>
      </c>
      <c r="F4410" s="8" t="str">
        <f ca="1">IFERROR(__xludf.DUMMYFUNCTION("IF
(
C4411=""фізична особа""
,
VLOOKUP(D4411,IMPORTRANGE(""https://docs.google.com/spreadsheets/d/14Bd19lYaqBhU8_DElYkX7l4wRkHqqCUFNJY4AfY3kHU/edit?usp=sharing  #gid=0"",""фіз особи new!relations_name""),6,FALSE)
,
(IF
(
C4411=""юридична особа""
,
VLOOKUP"&amp;"(D4411,IMPORTRANGE(""https://docs.google.com/spreadsheets/d/14Bd19lYaqBhU8_DElYkX7l4wRkHqqCUFNJY4AfY3kHU/edit?usp=sharing  #gid=0"",""фіз особи new!relations_name_uo""),7,FALSE)
,
)
))"),"МАГАЗИНОВ Геннадій Геннадійович")</f>
        <v>МАГАЗИНОВ Геннадій Геннадійович</v>
      </c>
      <c r="G4410" s="7" t="s">
        <v>10</v>
      </c>
      <c r="H4410" s="7">
        <v>468</v>
      </c>
      <c r="I4410" s="8" t="str">
        <f ca="1">IFERROR(__xludf.DUMMYFUNCTION("IF
(
G4411=""фізична особа""
,
VLOOKUP(H4411,IMPORTRANGE(""https://docs.google.com/spreadsheets/d/14Bd19lYaqBhU8_DElYkX7l4wRkHqqCUFNJY4AfY3kHU/edit?usp=sharing  #gid=0"",""фіз особи new!relations_name""),6,FALSE)
,
(IF
(
G4411=""юридична особа""
,
VLOOKUP"&amp;"(H4411,IMPORTRANGE(""https://docs.google.com/spreadsheets/d/14Bd19lYaqBhU8_DElYkX7l4wRkHqqCUFNJY4AfY3kHU/edit?usp=sharing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4410" s="7" t="s">
        <v>30</v>
      </c>
    </row>
    <row r="4411" spans="1:10" ht="13.2">
      <c r="A4411" s="7">
        <v>4410</v>
      </c>
      <c r="B4411" s="7">
        <v>1</v>
      </c>
      <c r="C4411" s="7" t="s">
        <v>10</v>
      </c>
      <c r="D4411" s="7">
        <v>3025</v>
      </c>
      <c r="E4411" s="7" t="s">
        <v>28</v>
      </c>
      <c r="F4411" s="8" t="str">
        <f ca="1">IFERROR(__xludf.DUMMYFUNCTION("IF
(
C4412=""фізична особа""
,
VLOOKUP(D4412,IMPORTRANGE(""https://docs.google.com/spreadsheets/d/14Bd19lYaqBhU8_DElYkX7l4wRkHqqCUFNJY4AfY3kHU/edit?usp=sharing  #gid=0"",""фіз особи new!relations_name""),6,FALSE)
,
(IF
(
C4412=""юридична особа""
,
VLOOKUP"&amp;"(D4412,IMPORTRANGE(""https://docs.google.com/spreadsheets/d/14Bd19lYaqBhU8_DElYkX7l4wRkHqqCUFNJY4AfY3kHU/edit?usp=sharing  #gid=0"",""фіз особи new!relations_name_uo""),7,FALSE)
,
)
))"),"МАГАЗИНОВ Геннадій Геннадійович")</f>
        <v>МАГАЗИНОВ Геннадій Геннадійович</v>
      </c>
      <c r="G4411" s="7" t="s">
        <v>10</v>
      </c>
      <c r="H4411" s="7">
        <v>3020</v>
      </c>
      <c r="I4411" s="8" t="str">
        <f ca="1">IFERROR(__xludf.DUMMYFUNCTION("IF
(
G4412=""фізична особа""
,
VLOOKUP(H4412,IMPORTRANGE(""https://docs.google.com/spreadsheets/d/14Bd19lYaqBhU8_DElYkX7l4wRkHqqCUFNJY4AfY3kHU/edit?usp=sharing  #gid=0"",""фіз особи new!relations_name""),6,FALSE)
,
(IF
(
G4412=""юридична особа""
,
VLOOKUP"&amp;"(H4412,IMPORTRANGE(""https://docs.google.com/spreadsheets/d/14Bd19lYaqBhU8_DElYkX7l4wRkHqqCUFNJY4AfY3kHU/edit?usp=sharing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4411" s="7" t="s">
        <v>29</v>
      </c>
    </row>
    <row r="4412" spans="1:10" ht="13.2">
      <c r="A4412" s="7">
        <v>4411</v>
      </c>
      <c r="B4412" s="7">
        <v>1</v>
      </c>
      <c r="C4412" s="7" t="s">
        <v>10</v>
      </c>
      <c r="D4412" s="7">
        <v>3026</v>
      </c>
      <c r="E4412" s="7" t="s">
        <v>30</v>
      </c>
      <c r="F4412" s="8" t="str">
        <f ca="1">IFERROR(__xludf.DUMMYFUNCTION("IF
(
C4413=""фізична особа""
,
VLOOKUP(D4413,IMPORTRANGE(""https://docs.google.com/spreadsheets/d/14Bd19lYaqBhU8_DElYkX7l4wRkHqqCUFNJY4AfY3kHU/edit?usp=sharing  #gid=0"",""фіз особи new!relations_name""),6,FALSE)
,
(IF
(
C4413=""юридична особа""
,
VLOOKUP"&amp;"(D4413,IMPORTRANGE(""https://docs.google.com/spreadsheets/d/14Bd19lYaqBhU8_DElYkX7l4wRkHqqCUFNJY4AfY3kHU/edit?usp=sharing  #gid=0"",""фіз особи new!relations_name_uo""),7,FALSE)
,
)
))"),"КОРОЛЬОВ Віталій Геннадійович")</f>
        <v>КОРОЛЬОВ Віталій Геннадійович</v>
      </c>
      <c r="G4412" s="7" t="s">
        <v>10</v>
      </c>
      <c r="H4412" s="7">
        <v>468</v>
      </c>
      <c r="I4412" s="8" t="str">
        <f ca="1">IFERROR(__xludf.DUMMYFUNCTION("IF
(
G4413=""фізична особа""
,
VLOOKUP(H4413,IMPORTRANGE(""https://docs.google.com/spreadsheets/d/14Bd19lYaqBhU8_DElYkX7l4wRkHqqCUFNJY4AfY3kHU/edit?usp=sharing  #gid=0"",""фіз особи new!relations_name""),6,FALSE)
,
(IF
(
G4413=""юридична особа""
,
VLOOKUP"&amp;"(H4413,IMPORTRANGE(""https://docs.google.com/spreadsheets/d/14Bd19lYaqBhU8_DElYkX7l4wRkHqqCUFNJY4AfY3kHU/edit?usp=sharing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4412" s="7" t="s">
        <v>30</v>
      </c>
    </row>
    <row r="4413" spans="1:10" ht="13.2">
      <c r="A4413" s="7">
        <v>4412</v>
      </c>
      <c r="B4413" s="7">
        <v>1</v>
      </c>
      <c r="C4413" s="7" t="s">
        <v>10</v>
      </c>
      <c r="D4413" s="7">
        <v>3026</v>
      </c>
      <c r="E4413" s="7" t="s">
        <v>28</v>
      </c>
      <c r="F4413" s="8" t="str">
        <f ca="1">IFERROR(__xludf.DUMMYFUNCTION("IF
(
C4414=""фізична особа""
,
VLOOKUP(D4414,IMPORTRANGE(""https://docs.google.com/spreadsheets/d/14Bd19lYaqBhU8_DElYkX7l4wRkHqqCUFNJY4AfY3kHU/edit?usp=sharing  #gid=0"",""фіз особи new!relations_name""),6,FALSE)
,
(IF
(
C4414=""юридична особа""
,
VLOOKUP"&amp;"(D4414,IMPORTRANGE(""https://docs.google.com/spreadsheets/d/14Bd19lYaqBhU8_DElYkX7l4wRkHqqCUFNJY4AfY3kHU/edit?usp=sharing  #gid=0"",""фіз особи new!relations_name_uo""),7,FALSE)
,
)
))"),"КОРОЛЬОВ Віталій Геннадійович")</f>
        <v>КОРОЛЬОВ Віталій Геннадійович</v>
      </c>
      <c r="G4413" s="7" t="s">
        <v>10</v>
      </c>
      <c r="H4413" s="7">
        <v>3020</v>
      </c>
      <c r="I4413" s="8" t="str">
        <f ca="1">IFERROR(__xludf.DUMMYFUNCTION("IF
(
G4414=""фізична особа""
,
VLOOKUP(H4414,IMPORTRANGE(""https://docs.google.com/spreadsheets/d/14Bd19lYaqBhU8_DElYkX7l4wRkHqqCUFNJY4AfY3kHU/edit?usp=sharing  #gid=0"",""фіз особи new!relations_name""),6,FALSE)
,
(IF
(
G4414=""юридична особа""
,
VLOOKUP"&amp;"(H4414,IMPORTRANGE(""https://docs.google.com/spreadsheets/d/14Bd19lYaqBhU8_DElYkX7l4wRkHqqCUFNJY4AfY3kHU/edit?usp=sharing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4413" s="7" t="s">
        <v>29</v>
      </c>
    </row>
    <row r="4414" spans="1:10" ht="13.2">
      <c r="A4414" s="7">
        <v>4413</v>
      </c>
      <c r="B4414" s="7">
        <v>1</v>
      </c>
      <c r="C4414" s="7" t="s">
        <v>10</v>
      </c>
      <c r="D4414" s="7">
        <v>3027</v>
      </c>
      <c r="E4414" s="7" t="s">
        <v>30</v>
      </c>
      <c r="F4414" s="8" t="str">
        <f ca="1">IFERROR(__xludf.DUMMYFUNCTION("IF
(
C4415=""фізична особа""
,
VLOOKUP(D4415,IMPORTRANGE(""https://docs.google.com/spreadsheets/d/14Bd19lYaqBhU8_DElYkX7l4wRkHqqCUFNJY4AfY3kHU/edit?usp=sharing  #gid=0"",""фіз особи new!relations_name""),6,FALSE)
,
(IF
(
C4415=""юридична особа""
,
VLOOKUP"&amp;"(D4415,IMPORTRANGE(""https://docs.google.com/spreadsheets/d/14Bd19lYaqBhU8_DElYkX7l4wRkHqqCUFNJY4AfY3kHU/edit?usp=sharing  #gid=0"",""фіз особи new!relations_name_uo""),7,FALSE)
,
)
))"),"КАШЕВАРОВ Андрій Борисович")</f>
        <v>КАШЕВАРОВ Андрій Борисович</v>
      </c>
      <c r="G4414" s="7" t="s">
        <v>10</v>
      </c>
      <c r="H4414" s="7">
        <v>468</v>
      </c>
      <c r="I4414" s="8" t="str">
        <f ca="1">IFERROR(__xludf.DUMMYFUNCTION("IF
(
G4415=""фізична особа""
,
VLOOKUP(H4415,IMPORTRANGE(""https://docs.google.com/spreadsheets/d/14Bd19lYaqBhU8_DElYkX7l4wRkHqqCUFNJY4AfY3kHU/edit?usp=sharing  #gid=0"",""фіз особи new!relations_name""),6,FALSE)
,
(IF
(
G4415=""юридична особа""
,
VLOOKUP"&amp;"(H4415,IMPORTRANGE(""https://docs.google.com/spreadsheets/d/14Bd19lYaqBhU8_DElYkX7l4wRkHqqCUFNJY4AfY3kHU/edit?usp=sharing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4414" s="7" t="s">
        <v>30</v>
      </c>
    </row>
    <row r="4415" spans="1:10" ht="13.2">
      <c r="A4415" s="7">
        <v>4414</v>
      </c>
      <c r="B4415" s="7">
        <v>1</v>
      </c>
      <c r="C4415" s="7" t="s">
        <v>10</v>
      </c>
      <c r="D4415" s="7">
        <v>3027</v>
      </c>
      <c r="E4415" s="7" t="s">
        <v>28</v>
      </c>
      <c r="F4415" s="8" t="str">
        <f ca="1">IFERROR(__xludf.DUMMYFUNCTION("IF
(
C4416=""фізична особа""
,
VLOOKUP(D4416,IMPORTRANGE(""https://docs.google.com/spreadsheets/d/14Bd19lYaqBhU8_DElYkX7l4wRkHqqCUFNJY4AfY3kHU/edit?usp=sharing  #gid=0"",""фіз особи new!relations_name""),6,FALSE)
,
(IF
(
C4416=""юридична особа""
,
VLOOKUP"&amp;"(D4416,IMPORTRANGE(""https://docs.google.com/spreadsheets/d/14Bd19lYaqBhU8_DElYkX7l4wRkHqqCUFNJY4AfY3kHU/edit?usp=sharing  #gid=0"",""фіз особи new!relations_name_uo""),7,FALSE)
,
)
))"),"КАШЕВАРОВ Андрій Борисович")</f>
        <v>КАШЕВАРОВ Андрій Борисович</v>
      </c>
      <c r="G4415" s="7" t="s">
        <v>10</v>
      </c>
      <c r="H4415" s="7">
        <v>3020</v>
      </c>
      <c r="I4415" s="8" t="str">
        <f ca="1">IFERROR(__xludf.DUMMYFUNCTION("IF
(
G4416=""фізична особа""
,
VLOOKUP(H4416,IMPORTRANGE(""https://docs.google.com/spreadsheets/d/14Bd19lYaqBhU8_DElYkX7l4wRkHqqCUFNJY4AfY3kHU/edit?usp=sharing  #gid=0"",""фіз особи new!relations_name""),6,FALSE)
,
(IF
(
G4416=""юридична особа""
,
VLOOKUP"&amp;"(H4416,IMPORTRANGE(""https://docs.google.com/spreadsheets/d/14Bd19lYaqBhU8_DElYkX7l4wRkHqqCUFNJY4AfY3kHU/edit?usp=sharing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4415" s="7" t="s">
        <v>29</v>
      </c>
    </row>
    <row r="4416" spans="1:10" ht="13.2">
      <c r="A4416" s="7">
        <v>4415</v>
      </c>
      <c r="B4416" s="7">
        <v>1</v>
      </c>
      <c r="C4416" s="7" t="s">
        <v>10</v>
      </c>
      <c r="D4416" s="7">
        <v>3028</v>
      </c>
      <c r="E4416" s="7" t="s">
        <v>30</v>
      </c>
      <c r="F4416" s="8" t="str">
        <f ca="1">IFERROR(__xludf.DUMMYFUNCTION("IF
(
C4417=""фізична особа""
,
VLOOKUP(D4417,IMPORTRANGE(""https://docs.google.com/spreadsheets/d/14Bd19lYaqBhU8_DElYkX7l4wRkHqqCUFNJY4AfY3kHU/edit?usp=sharing  #gid=0"",""фіз особи new!relations_name""),6,FALSE)
,
(IF
(
C4417=""юридична особа""
,
VLOOKUP"&amp;"(D4417,IMPORTRANGE(""https://docs.google.com/spreadsheets/d/14Bd19lYaqBhU8_DElYkX7l4wRkHqqCUFNJY4AfY3kHU/edit?usp=sharing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G4416" s="7" t="s">
        <v>10</v>
      </c>
      <c r="H4416" s="7">
        <v>468</v>
      </c>
      <c r="I4416" s="8" t="str">
        <f ca="1">IFERROR(__xludf.DUMMYFUNCTION("IF
(
G4417=""фізична особа""
,
VLOOKUP(H4417,IMPORTRANGE(""https://docs.google.com/spreadsheets/d/14Bd19lYaqBhU8_DElYkX7l4wRkHqqCUFNJY4AfY3kHU/edit?usp=sharing  #gid=0"",""фіз особи new!relations_name""),6,FALSE)
,
(IF
(
G4417=""юридична особа""
,
VLOOKUP"&amp;"(H4417,IMPORTRANGE(""https://docs.google.com/spreadsheets/d/14Bd19lYaqBhU8_DElYkX7l4wRkHqqCUFNJY4AfY3kHU/edit?usp=sharing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4416" s="7" t="s">
        <v>30</v>
      </c>
    </row>
    <row r="4417" spans="1:10" ht="13.2">
      <c r="A4417" s="7">
        <v>4416</v>
      </c>
      <c r="B4417" s="7">
        <v>1</v>
      </c>
      <c r="C4417" s="7" t="s">
        <v>10</v>
      </c>
      <c r="D4417" s="7">
        <v>3028</v>
      </c>
      <c r="E4417" s="7" t="s">
        <v>28</v>
      </c>
      <c r="F4417" s="8" t="str">
        <f ca="1">IFERROR(__xludf.DUMMYFUNCTION("IF
(
C4418=""фізична особа""
,
VLOOKUP(D4418,IMPORTRANGE(""https://docs.google.com/spreadsheets/d/14Bd19lYaqBhU8_DElYkX7l4wRkHqqCUFNJY4AfY3kHU/edit?usp=sharing  #gid=0"",""фіз особи new!relations_name""),6,FALSE)
,
(IF
(
C4418=""юридична особа""
,
VLOOKUP"&amp;"(D4418,IMPORTRANGE(""https://docs.google.com/spreadsheets/d/14Bd19lYaqBhU8_DElYkX7l4wRkHqqCUFNJY4AfY3kHU/edit?usp=sharing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G4417" s="7" t="s">
        <v>10</v>
      </c>
      <c r="H4417" s="7">
        <v>3020</v>
      </c>
      <c r="I4417" s="8" t="str">
        <f ca="1">IFERROR(__xludf.DUMMYFUNCTION("IF
(
G4418=""фізична особа""
,
VLOOKUP(H4418,IMPORTRANGE(""https://docs.google.com/spreadsheets/d/14Bd19lYaqBhU8_DElYkX7l4wRkHqqCUFNJY4AfY3kHU/edit?usp=sharing  #gid=0"",""фіз особи new!relations_name""),6,FALSE)
,
(IF
(
G4418=""юридична особа""
,
VLOOKUP"&amp;"(H4418,IMPORTRANGE(""https://docs.google.com/spreadsheets/d/14Bd19lYaqBhU8_DElYkX7l4wRkHqqCUFNJY4AfY3kHU/edit?usp=sharing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4417" s="7" t="s">
        <v>29</v>
      </c>
    </row>
    <row r="4418" spans="1:10" ht="13.2">
      <c r="A4418" s="7">
        <v>4417</v>
      </c>
      <c r="B4418" s="7">
        <v>1</v>
      </c>
      <c r="C4418" s="7" t="s">
        <v>10</v>
      </c>
      <c r="D4418" s="7">
        <v>3029</v>
      </c>
      <c r="E4418" s="7" t="s">
        <v>14</v>
      </c>
      <c r="F4418" s="8" t="str">
        <f ca="1">IFERROR(__xludf.DUMMYFUNCTION("IF
(
C4419=""фізична особа""
,
VLOOKUP(D4419,IMPORTRANGE(""https://docs.google.com/spreadsheets/d/14Bd19lYaqBhU8_DElYkX7l4wRkHqqCUFNJY4AfY3kHU/edit?usp=sharing  #gid=0"",""фіз особи new!relations_name""),6,FALSE)
,
(IF
(
C4419=""юридична особа""
,
VLOOKUP"&amp;"(D4419,IMPORTRANGE(""https://docs.google.com/spreadsheets/d/14Bd19lYaqBhU8_DElYkX7l4wRkHqqCUFNJY4AfY3kHU/edit?usp=sharing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G4418" s="7" t="s">
        <v>10</v>
      </c>
      <c r="H4418" s="7">
        <v>0</v>
      </c>
      <c r="I4418" s="8" t="str">
        <f ca="1">IFERROR(__xludf.DUMMYFUNCTION("IF
(
G4419=""фізична особа""
,
VLOOKUP(H4419,IMPORTRANGE(""https://docs.google.com/spreadsheets/d/14Bd19lYaqBhU8_DElYkX7l4wRkHqqCUFNJY4AfY3kHU/edit?usp=sharing  #gid=0"",""фіз особи new!relations_name""),6,FALSE)
,
(IF
(
G4419=""юридична особа""
,
VLOOKUP"&amp;"(H4419,IMPORTRANGE(""https://docs.google.com/spreadsheets/d/14Bd19lYaqBhU8_DElYkX7l4wRkHqqCUFNJY4AfY3kHU/edit?usp=sharing  #gid=0"",""фіз особи new!relations_name_uo""),7,FALSE)
,
)
))"),"#N/A")</f>
        <v>#N/A</v>
      </c>
      <c r="J4418" s="7" t="s">
        <v>15</v>
      </c>
    </row>
    <row r="4419" spans="1:10" ht="13.2">
      <c r="A4419" s="7">
        <v>4418</v>
      </c>
      <c r="B4419" s="7">
        <v>1</v>
      </c>
      <c r="C4419" s="7" t="s">
        <v>10</v>
      </c>
      <c r="D4419" s="7">
        <v>3029</v>
      </c>
      <c r="E4419" s="7" t="s">
        <v>28</v>
      </c>
      <c r="F4419" s="8" t="str">
        <f ca="1">IFERROR(__xludf.DUMMYFUNCTION("IF
(
C4420=""фізична особа""
,
VLOOKUP(D4420,IMPORTRANGE(""https://docs.google.com/spreadsheets/d/14Bd19lYaqBhU8_DElYkX7l4wRkHqqCUFNJY4AfY3kHU/edit?usp=sharing  #gid=0"",""фіз особи new!relations_name""),6,FALSE)
,
(IF
(
C4420=""юридична особа""
,
VLOOKUP"&amp;"(D4420,IMPORTRANGE(""https://docs.google.com/spreadsheets/d/14Bd19lYaqBhU8_DElYkX7l4wRkHqqCUFNJY4AfY3kHU/edit?usp=sharing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G4419" s="7" t="s">
        <v>10</v>
      </c>
      <c r="H4419" s="7">
        <v>949</v>
      </c>
      <c r="I4419" s="8" t="str">
        <f ca="1">IFERROR(__xludf.DUMMYFUNCTION("IF
(
G4420=""фізична особа""
,
VLOOKUP(H4420,IMPORTRANGE(""https://docs.google.com/spreadsheets/d/14Bd19lYaqBhU8_DElYkX7l4wRkHqqCUFNJY4AfY3kHU/edit?usp=sharing  #gid=0"",""фіз особи new!relations_name""),6,FALSE)
,
(IF
(
G4420=""юридична особа""
,
VLOOKUP"&amp;"(H4420,IMPORTRANGE(""https://docs.google.com/spreadsheets/d/14Bd19lYaqBhU8_DElYkX7l4wRkHqqCUFNJY4AfY3kHU/edit?usp=sharing  #gid=0"",""фіз особи new!relations_name_uo""),7,FALSE)
,
)
))"),"ТРУТНЄВ Юрій Петрович")</f>
        <v>ТРУТНЄВ Юрій Петрович</v>
      </c>
      <c r="J4419" s="7" t="s">
        <v>29</v>
      </c>
    </row>
    <row r="4420" spans="1:10" ht="13.2">
      <c r="A4420" s="7">
        <v>4419</v>
      </c>
      <c r="B4420" s="7">
        <v>1</v>
      </c>
      <c r="C4420" s="7" t="s">
        <v>10</v>
      </c>
      <c r="D4420" s="7">
        <v>3029</v>
      </c>
      <c r="E4420" s="7" t="s">
        <v>30</v>
      </c>
      <c r="F4420" s="8" t="str">
        <f ca="1">IFERROR(__xludf.DUMMYFUNCTION("IF
(
C4421=""фізична особа""
,
VLOOKUP(D4421,IMPORTRANGE(""https://docs.google.com/spreadsheets/d/14Bd19lYaqBhU8_DElYkX7l4wRkHqqCUFNJY4AfY3kHU/edit?usp=sharing  #gid=0"",""фіз особи new!relations_name""),6,FALSE)
,
(IF
(
C4421=""юридична особа""
,
VLOOKUP"&amp;"(D4421,IMPORTRANGE(""https://docs.google.com/spreadsheets/d/14Bd19lYaqBhU8_DElYkX7l4wRkHqqCUFNJY4AfY3kHU/edit?usp=sharing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G4420" s="7" t="s">
        <v>10</v>
      </c>
      <c r="H4420" s="7">
        <v>0</v>
      </c>
      <c r="I4420" s="8" t="str">
        <f ca="1">IFERROR(__xludf.DUMMYFUNCTION("IF
(
G4421=""фізична особа""
,
VLOOKUP(H4421,IMPORTRANGE(""https://docs.google.com/spreadsheets/d/14Bd19lYaqBhU8_DElYkX7l4wRkHqqCUFNJY4AfY3kHU/edit?usp=sharing  #gid=0"",""фіз особи new!relations_name""),6,FALSE)
,
(IF
(
G4421=""юридична особа""
,
VLOOKUP"&amp;"(H4421,IMPORTRANGE(""https://docs.google.com/spreadsheets/d/14Bd19lYaqBhU8_DElYkX7l4wRkHqqCUFNJY4AfY3kHU/edit?usp=sharing  #gid=0"",""фіз особи new!relations_name_uo""),7,FALSE)
,
)
))"),"#N/A")</f>
        <v>#N/A</v>
      </c>
      <c r="J4420" s="7" t="s">
        <v>30</v>
      </c>
    </row>
    <row r="4421" spans="1:10" ht="13.2">
      <c r="A4421" s="7">
        <v>4420</v>
      </c>
      <c r="B4421" s="7">
        <v>1</v>
      </c>
      <c r="C4421" s="7" t="s">
        <v>10</v>
      </c>
      <c r="D4421" s="7">
        <v>3029</v>
      </c>
      <c r="E4421" s="7" t="s">
        <v>30</v>
      </c>
      <c r="F4421" s="8" t="str">
        <f ca="1">IFERROR(__xludf.DUMMYFUNCTION("IF
(
C4422=""фізична особа""
,
VLOOKUP(D4422,IMPORTRANGE(""https://docs.google.com/spreadsheets/d/14Bd19lYaqBhU8_DElYkX7l4wRkHqqCUFNJY4AfY3kHU/edit?usp=sharing  #gid=0"",""фіз особи new!relations_name""),6,FALSE)
,
(IF
(
C4422=""юридична особа""
,
VLOOKUP"&amp;"(D4422,IMPORTRANGE(""https://docs.google.com/spreadsheets/d/14Bd19lYaqBhU8_DElYkX7l4wRkHqqCUFNJY4AfY3kHU/edit?usp=sharing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G4421" s="7" t="s">
        <v>10</v>
      </c>
      <c r="H4421" s="7">
        <v>0</v>
      </c>
      <c r="I4421" s="8" t="str">
        <f ca="1">IFERROR(__xludf.DUMMYFUNCTION("IF
(
G4422=""фізична особа""
,
VLOOKUP(H4422,IMPORTRANGE(""https://docs.google.com/spreadsheets/d/14Bd19lYaqBhU8_DElYkX7l4wRkHqqCUFNJY4AfY3kHU/edit?usp=sharing  #gid=0"",""фіз особи new!relations_name""),6,FALSE)
,
(IF
(
G4422=""юридична особа""
,
VLOOKUP"&amp;"(H4422,IMPORTRANGE(""https://docs.google.com/spreadsheets/d/14Bd19lYaqBhU8_DElYkX7l4wRkHqqCUFNJY4AfY3kHU/edit?usp=sharing  #gid=0"",""фіз особи new!relations_name_uo""),7,FALSE)
,
)
))"),"#N/A")</f>
        <v>#N/A</v>
      </c>
      <c r="J4421" s="7" t="s">
        <v>30</v>
      </c>
    </row>
    <row r="4422" spans="1:10" ht="13.2">
      <c r="A4422" s="7">
        <v>4421</v>
      </c>
      <c r="B4422" s="7">
        <v>1</v>
      </c>
      <c r="C4422" s="7" t="s">
        <v>10</v>
      </c>
      <c r="D4422" s="7">
        <v>3029</v>
      </c>
      <c r="E4422" s="7" t="s">
        <v>28</v>
      </c>
      <c r="F4422" s="8" t="str">
        <f ca="1">IFERROR(__xludf.DUMMYFUNCTION("IF
(
C4423=""фізична особа""
,
VLOOKUP(D4423,IMPORTRANGE(""https://docs.google.com/spreadsheets/d/14Bd19lYaqBhU8_DElYkX7l4wRkHqqCUFNJY4AfY3kHU/edit?usp=sharing  #gid=0"",""фіз особи new!relations_name""),6,FALSE)
,
(IF
(
C4423=""юридична особа""
,
VLOOKUP"&amp;"(D4423,IMPORTRANGE(""https://docs.google.com/spreadsheets/d/14Bd19lYaqBhU8_DElYkX7l4wRkHqqCUFNJY4AfY3kHU/edit?usp=sharing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G4422" s="7" t="s">
        <v>10</v>
      </c>
      <c r="H4422" s="7">
        <v>2882</v>
      </c>
      <c r="I4422" s="8" t="str">
        <f ca="1">IFERROR(__xludf.DUMMYFUNCTION("IF
(
G4423=""фізична особа""
,
VLOOKUP(H4423,IMPORTRANGE(""https://docs.google.com/spreadsheets/d/14Bd19lYaqBhU8_DElYkX7l4wRkHqqCUFNJY4AfY3kHU/edit?usp=sharing  #gid=0"",""фіз особи new!relations_name""),6,FALSE)
,
(IF
(
G4423=""юридична особа""
,
VLOOKUP"&amp;"(H4423,IMPORTRANGE(""https://docs.google.com/spreadsheets/d/14Bd19lYaqBhU8_DElYkX7l4wRkHqqCUFNJY4AfY3kHU/edit?usp=sharing  #gid=0"",""фіз особи new!relations_name_uo""),7,FALSE)
,
)
))"),"АБРАМЧЕНКО Вікторія Валеріївна")</f>
        <v>АБРАМЧЕНКО Вікторія Валеріївна</v>
      </c>
      <c r="J4422" s="7" t="s">
        <v>29</v>
      </c>
    </row>
    <row r="4423" spans="1:10" ht="13.2">
      <c r="A4423" s="7">
        <v>4422</v>
      </c>
      <c r="B4423" s="7">
        <v>1</v>
      </c>
      <c r="C4423" s="7" t="s">
        <v>10</v>
      </c>
      <c r="D4423" s="7">
        <v>3030</v>
      </c>
      <c r="E4423" s="7" t="s">
        <v>28</v>
      </c>
      <c r="F4423" s="8" t="str">
        <f ca="1">IFERROR(__xludf.DUMMYFUNCTION("IF
(
C4424=""фізична особа""
,
VLOOKUP(D4424,IMPORTRANGE(""https://docs.google.com/spreadsheets/d/14Bd19lYaqBhU8_DElYkX7l4wRkHqqCUFNJY4AfY3kHU/edit?usp=sharing  #gid=0"",""фіз особи new!relations_name""),6,FALSE)
,
(IF
(
C4424=""юридична особа""
,
VLOOKUP"&amp;"(D4424,IMPORTRANGE(""https://docs.google.com/spreadsheets/d/14Bd19lYaqBhU8_DElYkX7l4wRkHqqCUFNJY4AfY3kHU/edit?usp=sharing  #gid=0"",""фіз особи new!relations_name_uo""),7,FALSE)
,
)
))"),"ЄЛІЗАРОВА Галина Юріївна")</f>
        <v>ЄЛІЗАРОВА Галина Юріївна</v>
      </c>
      <c r="G4423" s="7" t="s">
        <v>10</v>
      </c>
      <c r="H4423" s="7">
        <v>2460</v>
      </c>
      <c r="I4423" s="8" t="str">
        <f ca="1">IFERROR(__xludf.DUMMYFUNCTION("IF
(
G4424=""фізична особа""
,
VLOOKUP(H4424,IMPORTRANGE(""https://docs.google.com/spreadsheets/d/14Bd19lYaqBhU8_DElYkX7l4wRkHqqCUFNJY4AfY3kHU/edit?usp=sharing  #gid=0"",""фіз особи new!relations_name""),6,FALSE)
,
(IF
(
G4424=""юридична особа""
,
VLOOKUP"&amp;"(H4424,IMPORTRANGE(""https://docs.google.com/spreadsheets/d/14Bd19lYaqBhU8_DElYkX7l4wRkHqqCUFNJY4AfY3kHU/edit?usp=sharing  #gid=0"",""фіз особи new!relations_name_uo""),7,FALSE)
,
)
))"),"ОРЄШКІН Максим Станіславович")</f>
        <v>ОРЄШКІН Максим Станіславович</v>
      </c>
      <c r="J4423" s="7" t="s">
        <v>29</v>
      </c>
    </row>
    <row r="4424" spans="1:10" ht="13.2">
      <c r="A4424" s="7">
        <v>4423</v>
      </c>
      <c r="B4424" s="7">
        <v>1</v>
      </c>
      <c r="C4424" s="7" t="s">
        <v>10</v>
      </c>
      <c r="D4424" s="7">
        <v>3030</v>
      </c>
      <c r="E4424" s="7" t="s">
        <v>15</v>
      </c>
      <c r="F4424" s="8" t="str">
        <f ca="1">IFERROR(__xludf.DUMMYFUNCTION("IF
(
C4425=""фізична особа""
,
VLOOKUP(D4425,IMPORTRANGE(""https://docs.google.com/spreadsheets/d/14Bd19lYaqBhU8_DElYkX7l4wRkHqqCUFNJY4AfY3kHU/edit?usp=sharing  #gid=0"",""фіз особи new!relations_name""),6,FALSE)
,
(IF
(
C4425=""юридична особа""
,
VLOOKUP"&amp;"(D4425,IMPORTRANGE(""https://docs.google.com/spreadsheets/d/14Bd19lYaqBhU8_DElYkX7l4wRkHqqCUFNJY4AfY3kHU/edit?usp=sharing  #gid=0"",""фіз особи new!relations_name_uo""),7,FALSE)
,
)
))"),"ЄЛІЗАРОВА Галина Юріївна")</f>
        <v>ЄЛІЗАРОВА Галина Юріївна</v>
      </c>
      <c r="G4424" s="7" t="s">
        <v>10</v>
      </c>
      <c r="H4424" s="7">
        <v>0</v>
      </c>
      <c r="I4424" s="8" t="str">
        <f ca="1">IFERROR(__xludf.DUMMYFUNCTION("IF
(
G4425=""фізична особа""
,
VLOOKUP(H4425,IMPORTRANGE(""https://docs.google.com/spreadsheets/d/14Bd19lYaqBhU8_DElYkX7l4wRkHqqCUFNJY4AfY3kHU/edit?usp=sharing  #gid=0"",""фіз особи new!relations_name""),6,FALSE)
,
(IF
(
G4425=""юридична особа""
,
VLOOKUP"&amp;"(H4425,IMPORTRANGE(""https://docs.google.com/spreadsheets/d/14Bd19lYaqBhU8_DElYkX7l4wRkHqqCUFNJY4AfY3kHU/edit?usp=sharing  #gid=0"",""фіз особи new!relations_name_uo""),7,FALSE)
,
)
))"),"#N/A")</f>
        <v>#N/A</v>
      </c>
      <c r="J4424" s="7" t="s">
        <v>14</v>
      </c>
    </row>
    <row r="4425" spans="1:10" ht="13.2">
      <c r="A4425" s="7">
        <v>4424</v>
      </c>
      <c r="B4425" s="7">
        <v>1</v>
      </c>
      <c r="C4425" s="7" t="s">
        <v>10</v>
      </c>
      <c r="D4425" s="7">
        <v>3030</v>
      </c>
      <c r="E4425" s="7" t="s">
        <v>21</v>
      </c>
      <c r="F4425" s="8" t="str">
        <f ca="1">IFERROR(__xludf.DUMMYFUNCTION("IF
(
C4426=""фізична особа""
,
VLOOKUP(D4426,IMPORTRANGE(""https://docs.google.com/spreadsheets/d/14Bd19lYaqBhU8_DElYkX7l4wRkHqqCUFNJY4AfY3kHU/edit?usp=sharing  #gid=0"",""фіз особи new!relations_name""),6,FALSE)
,
(IF
(
C4426=""юридична особа""
,
VLOOKUP"&amp;"(D4426,IMPORTRANGE(""https://docs.google.com/spreadsheets/d/14Bd19lYaqBhU8_DElYkX7l4wRkHqqCUFNJY4AfY3kHU/edit?usp=sharing  #gid=0"",""фіз особи new!relations_name_uo""),7,FALSE)
,
)
))"),"ЄЛІЗАРОВА Галина Юріївна")</f>
        <v>ЄЛІЗАРОВА Галина Юріївна</v>
      </c>
      <c r="G4425" s="7" t="s">
        <v>10</v>
      </c>
      <c r="H4425" s="7">
        <v>0</v>
      </c>
      <c r="I4425" s="8" t="str">
        <f ca="1">IFERROR(__xludf.DUMMYFUNCTION("IF
(
G4426=""фізична особа""
,
VLOOKUP(H4426,IMPORTRANGE(""https://docs.google.com/spreadsheets/d/14Bd19lYaqBhU8_DElYkX7l4wRkHqqCUFNJY4AfY3kHU/edit?usp=sharing  #gid=0"",""фіз особи new!relations_name""),6,FALSE)
,
(IF
(
G4426=""юридична особа""
,
VLOOKUP"&amp;"(H4426,IMPORTRANGE(""https://docs.google.com/spreadsheets/d/14Bd19lYaqBhU8_DElYkX7l4wRkHqqCUFNJY4AfY3kHU/edit?usp=sharing  #gid=0"",""фіз особи new!relations_name_uo""),7,FALSE)
,
)
))"),"#N/A")</f>
        <v>#N/A</v>
      </c>
      <c r="J4425" s="7" t="s">
        <v>17</v>
      </c>
    </row>
    <row r="4426" spans="1:10" ht="13.2">
      <c r="A4426" s="7">
        <v>4425</v>
      </c>
      <c r="B4426" s="7">
        <v>1</v>
      </c>
      <c r="C4426" s="7" t="s">
        <v>10</v>
      </c>
      <c r="D4426" s="7">
        <v>3031</v>
      </c>
      <c r="E4426" s="7" t="s">
        <v>28</v>
      </c>
      <c r="F4426" s="8" t="str">
        <f ca="1">IFERROR(__xludf.DUMMYFUNCTION("IF
(
C4427=""фізична особа""
,
VLOOKUP(D4427,IMPORTRANGE(""https://docs.google.com/spreadsheets/d/14Bd19lYaqBhU8_DElYkX7l4wRkHqqCUFNJY4AfY3kHU/edit?usp=sharing  #gid=0"",""фіз особи new!relations_name""),6,FALSE)
,
(IF
(
C4427=""юридична особа""
,
VLOOKUP"&amp;"(D4427,IMPORTRANGE(""https://docs.google.com/spreadsheets/d/14Bd19lYaqBhU8_DElYkX7l4wRkHqqCUFNJY4AfY3kHU/edit?usp=sharing  #gid=0"",""фіз особи new!relations_name_uo""),7,FALSE)
,
)
))"),"СМІРНОВ Максим Сергійович")</f>
        <v>СМІРНОВ Максим Сергійович</v>
      </c>
      <c r="G4426" s="7" t="s">
        <v>10</v>
      </c>
      <c r="H4426" s="7">
        <v>3029</v>
      </c>
      <c r="I4426" s="8" t="str">
        <f ca="1">IFERROR(__xludf.DUMMYFUNCTION("IF
(
G4427=""фізична особа""
,
VLOOKUP(H4427,IMPORTRANGE(""https://docs.google.com/spreadsheets/d/14Bd19lYaqBhU8_DElYkX7l4wRkHqqCUFNJY4AfY3kHU/edit?usp=sharing  #gid=0"",""фіз особи new!relations_name""),6,FALSE)
,
(IF
(
G4427=""юридична особа""
,
VLOOKUP"&amp;"(H4427,IMPORTRANGE(""https://docs.google.com/spreadsheets/d/14Bd19lYaqBhU8_DElYkX7l4wRkHqqCUFNJY4AfY3kHU/edit?usp=sharing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4426" s="7" t="s">
        <v>29</v>
      </c>
    </row>
    <row r="4427" spans="1:10" ht="13.2">
      <c r="A4427" s="7">
        <v>4426</v>
      </c>
      <c r="B4427" s="7">
        <v>1</v>
      </c>
      <c r="C4427" s="7" t="s">
        <v>10</v>
      </c>
      <c r="D4427" s="7">
        <v>3032</v>
      </c>
      <c r="E4427" s="7" t="s">
        <v>28</v>
      </c>
      <c r="F4427" s="8" t="str">
        <f ca="1">IFERROR(__xludf.DUMMYFUNCTION("IF
(
C4428=""фізична особа""
,
VLOOKUP(D4428,IMPORTRANGE(""https://docs.google.com/spreadsheets/d/14Bd19lYaqBhU8_DElYkX7l4wRkHqqCUFNJY4AfY3kHU/edit?usp=sharing  #gid=0"",""фіз особи new!relations_name""),6,FALSE)
,
(IF
(
C4428=""юридична особа""
,
VLOOKUP"&amp;"(D4428,IMPORTRANGE(""https://docs.google.com/spreadsheets/d/14Bd19lYaqBhU8_DElYkX7l4wRkHqqCUFNJY4AfY3kHU/edit?usp=sharing  #gid=0"",""фіз особи new!relations_name_uo""),7,FALSE)
,
)
))"),"БУТОВЕЦЬКИЙ Олексій Ігорович")</f>
        <v>БУТОВЕЦЬКИЙ Олексій Ігорович</v>
      </c>
      <c r="G4427" s="7" t="s">
        <v>10</v>
      </c>
      <c r="H4427" s="7">
        <v>2460</v>
      </c>
      <c r="I4427" s="8" t="str">
        <f ca="1">IFERROR(__xludf.DUMMYFUNCTION("IF
(
G4428=""фізична особа""
,
VLOOKUP(H4428,IMPORTRANGE(""https://docs.google.com/spreadsheets/d/14Bd19lYaqBhU8_DElYkX7l4wRkHqqCUFNJY4AfY3kHU/edit?usp=sharing  #gid=0"",""фіз особи new!relations_name""),6,FALSE)
,
(IF
(
G4428=""юридична особа""
,
VLOOKUP"&amp;"(H4428,IMPORTRANGE(""https://docs.google.com/spreadsheets/d/14Bd19lYaqBhU8_DElYkX7l4wRkHqqCUFNJY4AfY3kHU/edit?usp=sharing  #gid=0"",""фіз особи new!relations_name_uo""),7,FALSE)
,
)
))"),"ОРЄШКІН Максим Станіславович")</f>
        <v>ОРЄШКІН Максим Станіславович</v>
      </c>
      <c r="J4427" s="7" t="s">
        <v>29</v>
      </c>
    </row>
    <row r="4428" spans="1:10" ht="13.2">
      <c r="A4428" s="7">
        <v>4427</v>
      </c>
      <c r="B4428" s="7">
        <v>1</v>
      </c>
      <c r="C4428" s="7" t="s">
        <v>10</v>
      </c>
      <c r="D4428" s="7">
        <v>3033</v>
      </c>
      <c r="E4428" s="7" t="s">
        <v>28</v>
      </c>
      <c r="F4428" s="8" t="str">
        <f ca="1">IFERROR(__xludf.DUMMYFUNCTION("IF
(
C4429=""фізична особа""
,
VLOOKUP(D4429,IMPORTRANGE(""https://docs.google.com/spreadsheets/d/14Bd19lYaqBhU8_DElYkX7l4wRkHqqCUFNJY4AfY3kHU/edit?usp=sharing  #gid=0"",""фіз особи new!relations_name""),6,FALSE)
,
(IF
(
C4429=""юридична особа""
,
VLOOKUP"&amp;"(D4429,IMPORTRANGE(""https://docs.google.com/spreadsheets/d/14Bd19lYaqBhU8_DElYkX7l4wRkHqqCUFNJY4AfY3kHU/edit?usp=sharing  #gid=0"",""фіз особи new!relations_name_uo""),7,FALSE)
,
)
))"),"БУРДАНОВА Наталія Валеріївна")</f>
        <v>БУРДАНОВА Наталія Валеріївна</v>
      </c>
      <c r="G4428" s="7" t="s">
        <v>10</v>
      </c>
      <c r="H4428" s="7">
        <v>3029</v>
      </c>
      <c r="I4428" s="8" t="str">
        <f ca="1">IFERROR(__xludf.DUMMYFUNCTION("IF
(
G4429=""фізична особа""
,
VLOOKUP(H4429,IMPORTRANGE(""https://docs.google.com/spreadsheets/d/14Bd19lYaqBhU8_DElYkX7l4wRkHqqCUFNJY4AfY3kHU/edit?usp=sharing  #gid=0"",""фіз особи new!relations_name""),6,FALSE)
,
(IF
(
G4429=""юридична особа""
,
VLOOKUP"&amp;"(H4429,IMPORTRANGE(""https://docs.google.com/spreadsheets/d/14Bd19lYaqBhU8_DElYkX7l4wRkHqqCUFNJY4AfY3kHU/edit?usp=sharing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4428" s="7" t="s">
        <v>29</v>
      </c>
    </row>
    <row r="4429" spans="1:10" ht="13.2">
      <c r="A4429" s="7">
        <v>4428</v>
      </c>
      <c r="B4429" s="7">
        <v>1</v>
      </c>
      <c r="C4429" s="7" t="s">
        <v>10</v>
      </c>
      <c r="D4429" s="7">
        <v>3034</v>
      </c>
      <c r="E4429" s="7" t="s">
        <v>28</v>
      </c>
      <c r="F4429" s="8" t="str">
        <f ca="1">IFERROR(__xludf.DUMMYFUNCTION("IF
(
C4430=""фізична особа""
,
VLOOKUP(D4430,IMPORTRANGE(""https://docs.google.com/spreadsheets/d/14Bd19lYaqBhU8_DElYkX7l4wRkHqqCUFNJY4AfY3kHU/edit?usp=sharing  #gid=0"",""фіз особи new!relations_name""),6,FALSE)
,
(IF
(
C4430=""юридична особа""
,
VLOOKUP"&amp;"(D4430,IMPORTRANGE(""https://docs.google.com/spreadsheets/d/14Bd19lYaqBhU8_DElYkX7l4wRkHqqCUFNJY4AfY3kHU/edit?usp=sharing  #gid=0"",""фіз особи new!relations_name_uo""),7,FALSE)
,
)
))"),"ГРОМОВА Тетяна Олексіївна")</f>
        <v>ГРОМОВА Тетяна Олексіївна</v>
      </c>
      <c r="G4429" s="7" t="s">
        <v>10</v>
      </c>
      <c r="H4429" s="7">
        <v>3029</v>
      </c>
      <c r="I4429" s="8" t="str">
        <f ca="1">IFERROR(__xludf.DUMMYFUNCTION("IF
(
G4430=""фізична особа""
,
VLOOKUP(H4430,IMPORTRANGE(""https://docs.google.com/spreadsheets/d/14Bd19lYaqBhU8_DElYkX7l4wRkHqqCUFNJY4AfY3kHU/edit?usp=sharing  #gid=0"",""фіз особи new!relations_name""),6,FALSE)
,
(IF
(
G4430=""юридична особа""
,
VLOOKUP"&amp;"(H4430,IMPORTRANGE(""https://docs.google.com/spreadsheets/d/14Bd19lYaqBhU8_DElYkX7l4wRkHqqCUFNJY4AfY3kHU/edit?usp=sharing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4429" s="7" t="s">
        <v>29</v>
      </c>
    </row>
    <row r="4430" spans="1:10" ht="13.2">
      <c r="A4430" s="7">
        <v>4429</v>
      </c>
      <c r="B4430" s="7">
        <v>1</v>
      </c>
      <c r="C4430" s="7" t="s">
        <v>10</v>
      </c>
      <c r="D4430" s="7">
        <v>3035</v>
      </c>
      <c r="E4430" s="7" t="s">
        <v>28</v>
      </c>
      <c r="F4430" s="8" t="str">
        <f ca="1">IFERROR(__xludf.DUMMYFUNCTION("IF
(
C4431=""фізична особа""
,
VLOOKUP(D4431,IMPORTRANGE(""https://docs.google.com/spreadsheets/d/14Bd19lYaqBhU8_DElYkX7l4wRkHqqCUFNJY4AfY3kHU/edit?usp=sharing  #gid=0"",""фіз особи new!relations_name""),6,FALSE)
,
(IF
(
C4431=""юридична особа""
,
VLOOKUP"&amp;"(D4431,IMPORTRANGE(""https://docs.google.com/spreadsheets/d/14Bd19lYaqBhU8_DElYkX7l4wRkHqqCUFNJY4AfY3kHU/edit?usp=sharing  #gid=0"",""фіз особи new!relations_name_uo""),7,FALSE)
,
)
))"),"МАРТИНОВА Олена Валеріївна")</f>
        <v>МАРТИНОВА Олена Валеріївна</v>
      </c>
      <c r="G4430" s="7" t="s">
        <v>10</v>
      </c>
      <c r="H4430" s="7">
        <v>3029</v>
      </c>
      <c r="I4430" s="8" t="str">
        <f ca="1">IFERROR(__xludf.DUMMYFUNCTION("IF
(
G4431=""фізична особа""
,
VLOOKUP(H4431,IMPORTRANGE(""https://docs.google.com/spreadsheets/d/14Bd19lYaqBhU8_DElYkX7l4wRkHqqCUFNJY4AfY3kHU/edit?usp=sharing  #gid=0"",""фіз особи new!relations_name""),6,FALSE)
,
(IF
(
G4431=""юридична особа""
,
VLOOKUP"&amp;"(H4431,IMPORTRANGE(""https://docs.google.com/spreadsheets/d/14Bd19lYaqBhU8_DElYkX7l4wRkHqqCUFNJY4AfY3kHU/edit?usp=sharing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4430" s="7" t="s">
        <v>29</v>
      </c>
    </row>
    <row r="4431" spans="1:10" ht="13.2">
      <c r="A4431" s="7">
        <v>4430</v>
      </c>
      <c r="B4431" s="7">
        <v>1</v>
      </c>
      <c r="C4431" s="7" t="s">
        <v>10</v>
      </c>
      <c r="D4431" s="7">
        <v>3036</v>
      </c>
      <c r="E4431" s="7" t="s">
        <v>12</v>
      </c>
      <c r="F4431" s="8" t="str">
        <f ca="1">IFERROR(__xludf.DUMMYFUNCTION("IF
(
C4432=""фізична особа""
,
VLOOKUP(D4432,IMPORTRANGE(""https://docs.google.com/spreadsheets/d/14Bd19lYaqBhU8_DElYkX7l4wRkHqqCUFNJY4AfY3kHU/edit?usp=sharing  #gid=0"",""фіз особи new!relations_name""),6,FALSE)
,
(IF
(
C4432=""юридична особа""
,
VLOOKUP"&amp;"(D4432,IMPORTRANGE(""https://docs.google.com/spreadsheets/d/14Bd19lYaqBhU8_DElYkX7l4wRkHqqCUFNJY4AfY3kHU/edit?usp=sharing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G4431" s="7" t="s">
        <v>10</v>
      </c>
      <c r="H4431" s="7">
        <v>0</v>
      </c>
      <c r="I4431" s="8" t="str">
        <f ca="1">IFERROR(__xludf.DUMMYFUNCTION("IF
(
G4432=""фізична особа""
,
VLOOKUP(H4432,IMPORTRANGE(""https://docs.google.com/spreadsheets/d/14Bd19lYaqBhU8_DElYkX7l4wRkHqqCUFNJY4AfY3kHU/edit?usp=sharing  #gid=0"",""фіз особи new!relations_name""),6,FALSE)
,
(IF
(
G4432=""юридична особа""
,
VLOOKUP"&amp;"(H4432,IMPORTRANGE(""https://docs.google.com/spreadsheets/d/14Bd19lYaqBhU8_DElYkX7l4wRkHqqCUFNJY4AfY3kHU/edit?usp=sharing  #gid=0"",""фіз особи new!relations_name_uo""),7,FALSE)
,
)
))"),"#N/A")</f>
        <v>#N/A</v>
      </c>
      <c r="J4431" s="7" t="s">
        <v>17</v>
      </c>
    </row>
    <row r="4432" spans="1:10" ht="13.2">
      <c r="A4432" s="7">
        <v>4431</v>
      </c>
      <c r="B4432" s="7">
        <v>1</v>
      </c>
      <c r="C4432" s="7" t="s">
        <v>10</v>
      </c>
      <c r="D4432" s="7">
        <v>3036</v>
      </c>
      <c r="E4432" s="7" t="s">
        <v>28</v>
      </c>
      <c r="F4432" s="8" t="str">
        <f ca="1">IFERROR(__xludf.DUMMYFUNCTION("IF
(
C4433=""фізична особа""
,
VLOOKUP(D4433,IMPORTRANGE(""https://docs.google.com/spreadsheets/d/14Bd19lYaqBhU8_DElYkX7l4wRkHqqCUFNJY4AfY3kHU/edit?usp=sharing  #gid=0"",""фіз особи new!relations_name""),6,FALSE)
,
(IF
(
C4433=""юридична особа""
,
VLOOKUP"&amp;"(D4433,IMPORTRANGE(""https://docs.google.com/spreadsheets/d/14Bd19lYaqBhU8_DElYkX7l4wRkHqqCUFNJY4AfY3kHU/edit?usp=sharing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G4432" s="7" t="s">
        <v>10</v>
      </c>
      <c r="H4432" s="7">
        <v>2520</v>
      </c>
      <c r="I4432" s="8" t="str">
        <f ca="1">IFERROR(__xludf.DUMMYFUNCTION("IF
(
G4433=""фізична особа""
,
VLOOKUP(H4433,IMPORTRANGE(""https://docs.google.com/spreadsheets/d/14Bd19lYaqBhU8_DElYkX7l4wRkHqqCUFNJY4AfY3kHU/edit?usp=sharing  #gid=0"",""фіз особи new!relations_name""),6,FALSE)
,
(IF
(
G4433=""юридична особа""
,
VLOOKUP"&amp;"(H4433,IMPORTRANGE(""https://docs.google.com/spreadsheets/d/14Bd19lYaqBhU8_DElYkX7l4wRkHqqCUFNJY4AfY3kHU/edit?usp=sharing  #gid=0"",""фіз особи new!relations_name_uo""),7,FALSE)
,
)
))"),"КОНДРАТЬЄВ Веніамін Іванович")</f>
        <v>КОНДРАТЬЄВ Веніамін Іванович</v>
      </c>
      <c r="J4432" s="7" t="s">
        <v>29</v>
      </c>
    </row>
    <row r="4433" spans="1:10" ht="13.2">
      <c r="A4433" s="7">
        <v>4432</v>
      </c>
      <c r="B4433" s="7">
        <v>1</v>
      </c>
      <c r="C4433" s="7" t="s">
        <v>10</v>
      </c>
      <c r="D4433" s="7">
        <v>3036</v>
      </c>
      <c r="E4433" s="7" t="s">
        <v>28</v>
      </c>
      <c r="F4433" s="8" t="str">
        <f ca="1">IFERROR(__xludf.DUMMYFUNCTION("IF
(
C4434=""фізична особа""
,
VLOOKUP(D4434,IMPORTRANGE(""https://docs.google.com/spreadsheets/d/14Bd19lYaqBhU8_DElYkX7l4wRkHqqCUFNJY4AfY3kHU/edit?usp=sharing  #gid=0"",""фіз особи new!relations_name""),6,FALSE)
,
(IF
(
C4434=""юридична особа""
,
VLOOKUP"&amp;"(D4434,IMPORTRANGE(""https://docs.google.com/spreadsheets/d/14Bd19lYaqBhU8_DElYkX7l4wRkHqqCUFNJY4AfY3kHU/edit?usp=sharing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G4433" s="7" t="s">
        <v>10</v>
      </c>
      <c r="H4433" s="7">
        <v>0</v>
      </c>
      <c r="I4433" s="8" t="str">
        <f ca="1">IFERROR(__xludf.DUMMYFUNCTION("IF
(
G4434=""фізична особа""
,
VLOOKUP(H4434,IMPORTRANGE(""https://docs.google.com/spreadsheets/d/14Bd19lYaqBhU8_DElYkX7l4wRkHqqCUFNJY4AfY3kHU/edit?usp=sharing  #gid=0"",""фіз особи new!relations_name""),6,FALSE)
,
(IF
(
G4434=""юридична особа""
,
VLOOKUP"&amp;"(H4434,IMPORTRANGE(""https://docs.google.com/spreadsheets/d/14Bd19lYaqBhU8_DElYkX7l4wRkHqqCUFNJY4AfY3kHU/edit?usp=sharing  #gid=0"",""фіз особи new!relations_name_uo""),7,FALSE)
,
)
))"),"#N/A")</f>
        <v>#N/A</v>
      </c>
      <c r="J4433" s="7" t="s">
        <v>29</v>
      </c>
    </row>
    <row r="4434" spans="1:10" ht="13.2">
      <c r="A4434" s="7">
        <v>4433</v>
      </c>
      <c r="B4434" s="7">
        <v>1</v>
      </c>
      <c r="C4434" s="7" t="s">
        <v>10</v>
      </c>
      <c r="D4434" s="7">
        <v>3037</v>
      </c>
      <c r="E4434" s="7" t="s">
        <v>18</v>
      </c>
      <c r="F4434" s="8" t="str">
        <f ca="1">IFERROR(__xludf.DUMMYFUNCTION("IF
(
C4435=""фізична особа""
,
VLOOKUP(D4435,IMPORTRANGE(""https://docs.google.com/spreadsheets/d/14Bd19lYaqBhU8_DElYkX7l4wRkHqqCUFNJY4AfY3kHU/edit?usp=sharing  #gid=0"",""фіз особи new!relations_name""),6,FALSE)
,
(IF
(
C4435=""юридична особа""
,
VLOOKUP"&amp;"(D4435,IMPORTRANGE(""https://docs.google.com/spreadsheets/d/14Bd19lYaqBhU8_DElYkX7l4wRkHqqCUFNJY4AfY3kHU/edit?usp=sharing  #gid=0"",""фіз особи new!relations_name_uo""),7,FALSE)
,
)
))"),"ГЕЛЛЕР Анатолій Якович")</f>
        <v>ГЕЛЛЕР Анатолій Якович</v>
      </c>
      <c r="G4434" s="7" t="s">
        <v>10</v>
      </c>
      <c r="H4434" s="7">
        <v>0</v>
      </c>
      <c r="I4434" s="8" t="str">
        <f ca="1">IFERROR(__xludf.DUMMYFUNCTION("IF
(
G4435=""фізична особа""
,
VLOOKUP(H4435,IMPORTRANGE(""https://docs.google.com/spreadsheets/d/14Bd19lYaqBhU8_DElYkX7l4wRkHqqCUFNJY4AfY3kHU/edit?usp=sharing  #gid=0"",""фіз особи new!relations_name""),6,FALSE)
,
(IF
(
G4435=""юридична особа""
,
VLOOKUP"&amp;"(H4435,IMPORTRANGE(""https://docs.google.com/spreadsheets/d/14Bd19lYaqBhU8_DElYkX7l4wRkHqqCUFNJY4AfY3kHU/edit?usp=sharing  #gid=0"",""фіз особи new!relations_name_uo""),7,FALSE)
,
)
))"),"#N/A")</f>
        <v>#N/A</v>
      </c>
      <c r="J4434" s="7" t="s">
        <v>18</v>
      </c>
    </row>
    <row r="4435" spans="1:10" ht="13.2">
      <c r="A4435" s="7">
        <v>4434</v>
      </c>
      <c r="B4435" s="7">
        <v>1</v>
      </c>
      <c r="C4435" s="7" t="s">
        <v>10</v>
      </c>
      <c r="D4435" s="7">
        <v>3037</v>
      </c>
      <c r="E4435" s="7" t="s">
        <v>17</v>
      </c>
      <c r="F4435" s="8" t="str">
        <f ca="1">IFERROR(__xludf.DUMMYFUNCTION("IF
(
C4436=""фізична особа""
,
VLOOKUP(D4436,IMPORTRANGE(""https://docs.google.com/spreadsheets/d/14Bd19lYaqBhU8_DElYkX7l4wRkHqqCUFNJY4AfY3kHU/edit?usp=sharing  #gid=0"",""фіз особи new!relations_name""),6,FALSE)
,
(IF
(
C4436=""юридична особа""
,
VLOOKUP"&amp;"(D4436,IMPORTRANGE(""https://docs.google.com/spreadsheets/d/14Bd19lYaqBhU8_DElYkX7l4wRkHqqCUFNJY4AfY3kHU/edit?usp=sharing  #gid=0"",""фіз особи new!relations_name_uo""),7,FALSE)
,
)
))"),"ГЕЛЛЕР Анатолій Якович")</f>
        <v>ГЕЛЛЕР Анатолій Якович</v>
      </c>
      <c r="G4435" s="7" t="s">
        <v>10</v>
      </c>
      <c r="H4435" s="7">
        <v>0</v>
      </c>
      <c r="I4435" s="8" t="str">
        <f ca="1">IFERROR(__xludf.DUMMYFUNCTION("IF
(
G4436=""фізична особа""
,
VLOOKUP(H4436,IMPORTRANGE(""https://docs.google.com/spreadsheets/d/14Bd19lYaqBhU8_DElYkX7l4wRkHqqCUFNJY4AfY3kHU/edit?usp=sharing  #gid=0"",""фіз особи new!relations_name""),6,FALSE)
,
(IF
(
G4436=""юридична особа""
,
VLOOKUP"&amp;"(H4436,IMPORTRANGE(""https://docs.google.com/spreadsheets/d/14Bd19lYaqBhU8_DElYkX7l4wRkHqqCUFNJY4AfY3kHU/edit?usp=sharing  #gid=0"",""фіз особи new!relations_name_uo""),7,FALSE)
,
)
))"),"#N/A")</f>
        <v>#N/A</v>
      </c>
      <c r="J4435" s="7" t="s">
        <v>12</v>
      </c>
    </row>
    <row r="4436" spans="1:10" ht="13.2">
      <c r="A4436" s="7">
        <v>4435</v>
      </c>
      <c r="B4436" s="7">
        <v>1</v>
      </c>
      <c r="C4436" s="7" t="s">
        <v>10</v>
      </c>
      <c r="D4436" s="7">
        <v>3037</v>
      </c>
      <c r="E4436" s="7" t="s">
        <v>101</v>
      </c>
      <c r="F4436" s="8" t="str">
        <f ca="1">IFERROR(__xludf.DUMMYFUNCTION("IF
(
C4437=""фізична особа""
,
VLOOKUP(D4437,IMPORTRANGE(""https://docs.google.com/spreadsheets/d/14Bd19lYaqBhU8_DElYkX7l4wRkHqqCUFNJY4AfY3kHU/edit?usp=sharing  #gid=0"",""фіз особи new!relations_name""),6,FALSE)
,
(IF
(
C4437=""юридична особа""
,
VLOOKUP"&amp;"(D4437,IMPORTRANGE(""https://docs.google.com/spreadsheets/d/14Bd19lYaqBhU8_DElYkX7l4wRkHqqCUFNJY4AfY3kHU/edit?usp=sharing  #gid=0"",""фіз особи new!relations_name_uo""),7,FALSE)
,
)
))"),"ГЕЛЛЕР Анатолій Якович")</f>
        <v>ГЕЛЛЕР Анатолій Якович</v>
      </c>
      <c r="G4436" s="7" t="s">
        <v>10</v>
      </c>
      <c r="H4436" s="7">
        <v>0</v>
      </c>
      <c r="I4436" s="8" t="str">
        <f ca="1">IFERROR(__xludf.DUMMYFUNCTION("IF
(
G4437=""фізична особа""
,
VLOOKUP(H4437,IMPORTRANGE(""https://docs.google.com/spreadsheets/d/14Bd19lYaqBhU8_DElYkX7l4wRkHqqCUFNJY4AfY3kHU/edit?usp=sharing  #gid=0"",""фіз особи new!relations_name""),6,FALSE)
,
(IF
(
G4437=""юридична особа""
,
VLOOKUP"&amp;"(H4437,IMPORTRANGE(""https://docs.google.com/spreadsheets/d/14Bd19lYaqBhU8_DElYkX7l4wRkHqqCUFNJY4AfY3kHU/edit?usp=sharing  #gid=0"",""фіз особи new!relations_name_uo""),7,FALSE)
,
)
))"),"#N/A")</f>
        <v>#N/A</v>
      </c>
      <c r="J4436" s="7" t="s">
        <v>101</v>
      </c>
    </row>
    <row r="4437" spans="1:10" ht="13.2">
      <c r="A4437" s="7">
        <v>4436</v>
      </c>
      <c r="B4437" s="7">
        <v>1</v>
      </c>
      <c r="C4437" s="7" t="s">
        <v>10</v>
      </c>
      <c r="D4437" s="7">
        <v>3038</v>
      </c>
      <c r="E4437" s="7" t="s">
        <v>28</v>
      </c>
      <c r="F4437" s="8" t="str">
        <f ca="1">IFERROR(__xludf.DUMMYFUNCTION("IF
(
C4438=""фізична особа""
,
VLOOKUP(D4438,IMPORTRANGE(""https://docs.google.com/spreadsheets/d/14Bd19lYaqBhU8_DElYkX7l4wRkHqqCUFNJY4AfY3kHU/edit?usp=sharing  #gid=0"",""фіз особи new!relations_name""),6,FALSE)
,
(IF
(
C4438=""юридична особа""
,
VLOOKUP"&amp;"(D4438,IMPORTRANGE(""https://docs.google.com/spreadsheets/d/14Bd19lYaqBhU8_DElYkX7l4wRkHqqCUFNJY4AfY3kHU/edit?usp=sharing  #gid=0"",""фіз особи new!relations_name_uo""),7,FALSE)
,
)
))"),"ДЬОМІН Олександр Вікторович")</f>
        <v>ДЬОМІН Олександр Вікторович</v>
      </c>
      <c r="G4437" s="7" t="s">
        <v>10</v>
      </c>
      <c r="H4437" s="7">
        <v>194</v>
      </c>
      <c r="I4437" s="8" t="str">
        <f ca="1">IFERROR(__xludf.DUMMYFUNCTION("IF
(
G4438=""фізична особа""
,
VLOOKUP(H4438,IMPORTRANGE(""https://docs.google.com/spreadsheets/d/14Bd19lYaqBhU8_DElYkX7l4wRkHqqCUFNJY4AfY3kHU/edit?usp=sharing  #gid=0"",""фіз особи new!relations_name""),6,FALSE)
,
(IF
(
G4438=""юридична особа""
,
VLOOKUP"&amp;"(H4438,IMPORTRANGE(""https://docs.google.com/spreadsheets/d/14Bd19lYaqBhU8_DElYkX7l4wRkHqqCUFNJY4AfY3kHU/edit?usp=sharing  #gid=0"",""фіз особи new!relations_name_uo""),7,FALSE)
,
)
))"),"КОЗАК Дмитро Миколайович")</f>
        <v>КОЗАК Дмитро Миколайович</v>
      </c>
      <c r="J4437" s="7" t="s">
        <v>29</v>
      </c>
    </row>
    <row r="4438" spans="1:10" ht="13.2">
      <c r="A4438" s="7">
        <v>4437</v>
      </c>
      <c r="B4438" s="7">
        <v>1</v>
      </c>
      <c r="C4438" s="7" t="s">
        <v>10</v>
      </c>
      <c r="D4438" s="7">
        <v>3038</v>
      </c>
      <c r="E4438" s="7" t="s">
        <v>28</v>
      </c>
      <c r="F4438" s="8" t="str">
        <f ca="1">IFERROR(__xludf.DUMMYFUNCTION("IF
(
C4439=""фізична особа""
,
VLOOKUP(D4439,IMPORTRANGE(""https://docs.google.com/spreadsheets/d/14Bd19lYaqBhU8_DElYkX7l4wRkHqqCUFNJY4AfY3kHU/edit?usp=sharing  #gid=0"",""фіз особи new!relations_name""),6,FALSE)
,
(IF
(
C4439=""юридична особа""
,
VLOOKUP"&amp;"(D4439,IMPORTRANGE(""https://docs.google.com/spreadsheets/d/14Bd19lYaqBhU8_DElYkX7l4wRkHqqCUFNJY4AfY3kHU/edit?usp=sharing  #gid=0"",""фіз особи new!relations_name_uo""),7,FALSE)
,
)
))"),"ДЬОМІН Олександр Вікторович")</f>
        <v>ДЬОМІН Олександр Вікторович</v>
      </c>
      <c r="G4438" s="7" t="s">
        <v>10</v>
      </c>
      <c r="H4438" s="7">
        <v>3036</v>
      </c>
      <c r="I4438" s="8" t="str">
        <f ca="1">IFERROR(__xludf.DUMMYFUNCTION("IF
(
G4439=""фізична особа""
,
VLOOKUP(H4439,IMPORTRANGE(""https://docs.google.com/spreadsheets/d/14Bd19lYaqBhU8_DElYkX7l4wRkHqqCUFNJY4AfY3kHU/edit?usp=sharing  #gid=0"",""фіз особи new!relations_name""),6,FALSE)
,
(IF
(
G4439=""юридична особа""
,
VLOOKUP"&amp;"(H4439,IMPORTRANGE(""https://docs.google.com/spreadsheets/d/14Bd19lYaqBhU8_DElYkX7l4wRkHqqCUFNJY4AfY3kHU/edit?usp=sharing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4438" s="7" t="s">
        <v>29</v>
      </c>
    </row>
    <row r="4439" spans="1:10" ht="13.2">
      <c r="A4439" s="7">
        <v>4438</v>
      </c>
      <c r="B4439" s="7">
        <v>1</v>
      </c>
      <c r="C4439" s="7" t="s">
        <v>10</v>
      </c>
      <c r="D4439" s="7">
        <v>3038</v>
      </c>
      <c r="E4439" s="7" t="s">
        <v>30</v>
      </c>
      <c r="F4439" s="8" t="str">
        <f ca="1">IFERROR(__xludf.DUMMYFUNCTION("IF
(
C4440=""фізична особа""
,
VLOOKUP(D4440,IMPORTRANGE(""https://docs.google.com/spreadsheets/d/14Bd19lYaqBhU8_DElYkX7l4wRkHqqCUFNJY4AfY3kHU/edit?usp=sharing  #gid=0"",""фіз особи new!relations_name""),6,FALSE)
,
(IF
(
C4440=""юридична особа""
,
VLOOKUP"&amp;"(D4440,IMPORTRANGE(""https://docs.google.com/spreadsheets/d/14Bd19lYaqBhU8_DElYkX7l4wRkHqqCUFNJY4AfY3kHU/edit?usp=sharing  #gid=0"",""фіз особи new!relations_name_uo""),7,FALSE)
,
)
))"),"ДЬОМІН Олександр Вікторович")</f>
        <v>ДЬОМІН Олександр Вікторович</v>
      </c>
      <c r="G4439" s="7" t="s">
        <v>10</v>
      </c>
      <c r="H4439" s="7">
        <v>1182</v>
      </c>
      <c r="I4439" s="8" t="str">
        <f ca="1">IFERROR(__xludf.DUMMYFUNCTION("IF
(
G4440=""фізична особа""
,
VLOOKUP(H4440,IMPORTRANGE(""https://docs.google.com/spreadsheets/d/14Bd19lYaqBhU8_DElYkX7l4wRkHqqCUFNJY4AfY3kHU/edit?usp=sharing  #gid=0"",""фіз особи new!relations_name""),6,FALSE)
,
(IF
(
G4440=""юридична особа""
,
VLOOKUP"&amp;"(H4440,IMPORTRANGE(""https://docs.google.com/spreadsheets/d/14Bd19lYaqBhU8_DElYkX7l4wRkHqqCUFNJY4AfY3kHU/edit?usp=sharing  #gid=0"",""фіз особи new!relations_name_uo""),7,FALSE)
,
)
))"),"АЛЬОШИН Олексій Владиславович")</f>
        <v>АЛЬОШИН Олексій Владиславович</v>
      </c>
      <c r="J4439" s="7" t="s">
        <v>30</v>
      </c>
    </row>
    <row r="4440" spans="1:10" ht="13.2">
      <c r="A4440" s="7">
        <v>4439</v>
      </c>
      <c r="B4440" s="7">
        <v>1</v>
      </c>
      <c r="C4440" s="7" t="s">
        <v>10</v>
      </c>
      <c r="D4440" s="7">
        <v>3039</v>
      </c>
      <c r="E4440" s="7" t="s">
        <v>12</v>
      </c>
      <c r="F4440" s="8" t="str">
        <f ca="1">IFERROR(__xludf.DUMMYFUNCTION("IF
(
C4441=""фізична особа""
,
VLOOKUP(D4441,IMPORTRANGE(""https://docs.google.com/spreadsheets/d/14Bd19lYaqBhU8_DElYkX7l4wRkHqqCUFNJY4AfY3kHU/edit?usp=sharing  #gid=0"",""фіз особи new!relations_name""),6,FALSE)
,
(IF
(
C4441=""юридична особа""
,
VLOOKUP"&amp;"(D4441,IMPORTRANGE(""https://docs.google.com/spreadsheets/d/14Bd19lYaqBhU8_DElYkX7l4wRkHqqCUFNJY4AfY3kHU/edit?usp=sharing  #gid=0"",""фіз особи new!relations_name_uo""),7,FALSE)
,
)
))"),"КОЗІВКІН Володимир Володимирович")</f>
        <v>КОЗІВКІН Володимир Володимирович</v>
      </c>
      <c r="G4440" s="7" t="s">
        <v>10</v>
      </c>
      <c r="H4440" s="7">
        <v>0</v>
      </c>
      <c r="I4440" s="8" t="str">
        <f ca="1">IFERROR(__xludf.DUMMYFUNCTION("IF
(
G4441=""фізична особа""
,
VLOOKUP(H4441,IMPORTRANGE(""https://docs.google.com/spreadsheets/d/14Bd19lYaqBhU8_DElYkX7l4wRkHqqCUFNJY4AfY3kHU/edit?usp=sharing  #gid=0"",""фіз особи new!relations_name""),6,FALSE)
,
(IF
(
G4441=""юридична особа""
,
VLOOKUP"&amp;"(H4441,IMPORTRANGE(""https://docs.google.com/spreadsheets/d/14Bd19lYaqBhU8_DElYkX7l4wRkHqqCUFNJY4AfY3kHU/edit?usp=sharing  #gid=0"",""фіз особи new!relations_name_uo""),7,FALSE)
,
)
))"),"#N/A")</f>
        <v>#N/A</v>
      </c>
      <c r="J4440" s="7" t="s">
        <v>17</v>
      </c>
    </row>
    <row r="4441" spans="1:10" ht="13.2">
      <c r="A4441" s="7">
        <v>4440</v>
      </c>
      <c r="B4441" s="7">
        <v>1</v>
      </c>
      <c r="C4441" s="7" t="s">
        <v>10</v>
      </c>
      <c r="D4441" s="7">
        <v>3039</v>
      </c>
      <c r="E4441" s="7" t="s">
        <v>65</v>
      </c>
      <c r="F4441" s="8" t="str">
        <f ca="1">IFERROR(__xludf.DUMMYFUNCTION("IF
(
C4442=""фізична особа""
,
VLOOKUP(D4442,IMPORTRANGE(""https://docs.google.com/spreadsheets/d/14Bd19lYaqBhU8_DElYkX7l4wRkHqqCUFNJY4AfY3kHU/edit?usp=sharing  #gid=0"",""фіз особи new!relations_name""),6,FALSE)
,
(IF
(
C4442=""юридична особа""
,
VLOOKUP"&amp;"(D4442,IMPORTRANGE(""https://docs.google.com/spreadsheets/d/14Bd19lYaqBhU8_DElYkX7l4wRkHqqCUFNJY4AfY3kHU/edit?usp=sharing  #gid=0"",""фіз особи new!relations_name_uo""),7,FALSE)
,
)
))"),"КОЗІВКІН Володимир Володимирович")</f>
        <v>КОЗІВКІН Володимир Володимирович</v>
      </c>
      <c r="G4441" s="7" t="s">
        <v>10</v>
      </c>
      <c r="H4441" s="7">
        <v>0</v>
      </c>
      <c r="I4441" s="8" t="str">
        <f ca="1">IFERROR(__xludf.DUMMYFUNCTION("IF
(
G4442=""фізична особа""
,
VLOOKUP(H4442,IMPORTRANGE(""https://docs.google.com/spreadsheets/d/14Bd19lYaqBhU8_DElYkX7l4wRkHqqCUFNJY4AfY3kHU/edit?usp=sharing  #gid=0"",""фіз особи new!relations_name""),6,FALSE)
,
(IF
(
G4442=""юридична особа""
,
VLOOKUP"&amp;"(H4442,IMPORTRANGE(""https://docs.google.com/spreadsheets/d/14Bd19lYaqBhU8_DElYkX7l4wRkHqqCUFNJY4AfY3kHU/edit?usp=sharing  #gid=0"",""фіз особи new!relations_name_uo""),7,FALSE)
,
)
))"),"#N/A")</f>
        <v>#N/A</v>
      </c>
      <c r="J4441" s="7" t="s">
        <v>64</v>
      </c>
    </row>
    <row r="4442" spans="1:10" ht="13.2">
      <c r="A4442" s="7">
        <v>4441</v>
      </c>
      <c r="B4442" s="7">
        <v>1</v>
      </c>
      <c r="C4442" s="7" t="s">
        <v>10</v>
      </c>
      <c r="D4442" s="7">
        <v>3039</v>
      </c>
      <c r="E4442" s="7" t="s">
        <v>30</v>
      </c>
      <c r="F4442" s="8" t="str">
        <f ca="1">IFERROR(__xludf.DUMMYFUNCTION("IF
(
C4443=""фізична особа""
,
VLOOKUP(D4443,IMPORTRANGE(""https://docs.google.com/spreadsheets/d/14Bd19lYaqBhU8_DElYkX7l4wRkHqqCUFNJY4AfY3kHU/edit?usp=sharing  #gid=0"",""фіз особи new!relations_name""),6,FALSE)
,
(IF
(
C4443=""юридична особа""
,
VLOOKUP"&amp;"(D4443,IMPORTRANGE(""https://docs.google.com/spreadsheets/d/14Bd19lYaqBhU8_DElYkX7l4wRkHqqCUFNJY4AfY3kHU/edit?usp=sharing  #gid=0"",""фіз особи new!relations_name_uo""),7,FALSE)
,
)
))"),"КОЗІВКІН Володимир Володимирович")</f>
        <v>КОЗІВКІН Володимир Володимирович</v>
      </c>
      <c r="G4442" s="7" t="s">
        <v>10</v>
      </c>
      <c r="H4442" s="7">
        <v>1182</v>
      </c>
      <c r="I4442" s="8" t="str">
        <f ca="1">IFERROR(__xludf.DUMMYFUNCTION("IF
(
G4443=""фізична особа""
,
VLOOKUP(H4443,IMPORTRANGE(""https://docs.google.com/spreadsheets/d/14Bd19lYaqBhU8_DElYkX7l4wRkHqqCUFNJY4AfY3kHU/edit?usp=sharing  #gid=0"",""фіз особи new!relations_name""),6,FALSE)
,
(IF
(
G4443=""юридична особа""
,
VLOOKUP"&amp;"(H4443,IMPORTRANGE(""https://docs.google.com/spreadsheets/d/14Bd19lYaqBhU8_DElYkX7l4wRkHqqCUFNJY4AfY3kHU/edit?usp=sharing  #gid=0"",""фіз особи new!relations_name_uo""),7,FALSE)
,
)
))"),"АЛЬОШИН Олексій Владиславович")</f>
        <v>АЛЬОШИН Олексій Владиславович</v>
      </c>
      <c r="J4442" s="7" t="s">
        <v>30</v>
      </c>
    </row>
    <row r="4443" spans="1:10" ht="13.2">
      <c r="A4443" s="7">
        <v>4442</v>
      </c>
      <c r="B4443" s="7">
        <v>1</v>
      </c>
      <c r="C4443" s="7" t="s">
        <v>10</v>
      </c>
      <c r="D4443" s="7">
        <v>3040</v>
      </c>
      <c r="E4443" s="7" t="s">
        <v>18</v>
      </c>
      <c r="F4443" s="8" t="str">
        <f ca="1">IFERROR(__xludf.DUMMYFUNCTION("IF
(
C4444=""фізична особа""
,
VLOOKUP(D4444,IMPORTRANGE(""https://docs.google.com/spreadsheets/d/14Bd19lYaqBhU8_DElYkX7l4wRkHqqCUFNJY4AfY3kHU/edit?usp=sharing  #gid=0"",""фіз особи new!relations_name""),6,FALSE)
,
(IF
(
C4444=""юридична особа""
,
VLOOKUP"&amp;"(D4444,IMPORTRANGE(""https://docs.google.com/spreadsheets/d/14Bd19lYaqBhU8_DElYkX7l4wRkHqqCUFNJY4AfY3kHU/edit?usp=sharing  #gid=0"",""фіз особи new!relations_name_uo""),7,FALSE)
,
)
))"),"ФЕРАПОНТОВ Олексій Вікторович")</f>
        <v>ФЕРАПОНТОВ Олексій Вікторович</v>
      </c>
      <c r="G4443" s="7" t="s">
        <v>10</v>
      </c>
      <c r="H4443" s="7">
        <v>0</v>
      </c>
      <c r="I4443" s="8" t="str">
        <f ca="1">IFERROR(__xludf.DUMMYFUNCTION("IF
(
G4444=""фізична особа""
,
VLOOKUP(H4444,IMPORTRANGE(""https://docs.google.com/spreadsheets/d/14Bd19lYaqBhU8_DElYkX7l4wRkHqqCUFNJY4AfY3kHU/edit?usp=sharing  #gid=0"",""фіз особи new!relations_name""),6,FALSE)
,
(IF
(
G4444=""юридична особа""
,
VLOOKUP"&amp;"(H4444,IMPORTRANGE(""https://docs.google.com/spreadsheets/d/14Bd19lYaqBhU8_DElYkX7l4wRkHqqCUFNJY4AfY3kHU/edit?usp=sharing  #gid=0"",""фіз особи new!relations_name_uo""),7,FALSE)
,
)
))"),"#N/A")</f>
        <v>#N/A</v>
      </c>
      <c r="J4443" s="7" t="s">
        <v>18</v>
      </c>
    </row>
    <row r="4444" spans="1:10" ht="13.2">
      <c r="A4444" s="7">
        <v>4443</v>
      </c>
      <c r="B4444" s="7">
        <v>1</v>
      </c>
      <c r="C4444" s="7" t="s">
        <v>10</v>
      </c>
      <c r="D4444" s="7">
        <v>3040</v>
      </c>
      <c r="E4444" s="7" t="s">
        <v>12</v>
      </c>
      <c r="F4444" s="8" t="str">
        <f ca="1">IFERROR(__xludf.DUMMYFUNCTION("IF
(
C4445=""фізична особа""
,
VLOOKUP(D4445,IMPORTRANGE(""https://docs.google.com/spreadsheets/d/14Bd19lYaqBhU8_DElYkX7l4wRkHqqCUFNJY4AfY3kHU/edit?usp=sharing  #gid=0"",""фіз особи new!relations_name""),6,FALSE)
,
(IF
(
C4445=""юридична особа""
,
VLOOKUP"&amp;"(D4445,IMPORTRANGE(""https://docs.google.com/spreadsheets/d/14Bd19lYaqBhU8_DElYkX7l4wRkHqqCUFNJY4AfY3kHU/edit?usp=sharing  #gid=0"",""фіз особи new!relations_name_uo""),7,FALSE)
,
)
))"),"ФЕРАПОНТОВ Олексій Вікторович")</f>
        <v>ФЕРАПОНТОВ Олексій Вікторович</v>
      </c>
      <c r="G4444" s="7" t="s">
        <v>10</v>
      </c>
      <c r="H4444" s="7">
        <v>0</v>
      </c>
      <c r="I4444" s="8" t="str">
        <f ca="1">IFERROR(__xludf.DUMMYFUNCTION("IF
(
G4445=""фізична особа""
,
VLOOKUP(H4445,IMPORTRANGE(""https://docs.google.com/spreadsheets/d/14Bd19lYaqBhU8_DElYkX7l4wRkHqqCUFNJY4AfY3kHU/edit?usp=sharing  #gid=0"",""фіз особи new!relations_name""),6,FALSE)
,
(IF
(
G4445=""юридична особа""
,
VLOOKUP"&amp;"(H4445,IMPORTRANGE(""https://docs.google.com/spreadsheets/d/14Bd19lYaqBhU8_DElYkX7l4wRkHqqCUFNJY4AfY3kHU/edit?usp=sharing  #gid=0"",""фіз особи new!relations_name_uo""),7,FALSE)
,
)
))"),"#N/A")</f>
        <v>#N/A</v>
      </c>
      <c r="J4444" s="7" t="s">
        <v>13</v>
      </c>
    </row>
    <row r="4445" spans="1:10" ht="13.2">
      <c r="A4445" s="7">
        <v>4444</v>
      </c>
      <c r="B4445" s="7">
        <v>1</v>
      </c>
      <c r="C4445" s="7" t="s">
        <v>10</v>
      </c>
      <c r="D4445" s="7">
        <v>3040</v>
      </c>
      <c r="E4445" s="7" t="s">
        <v>30</v>
      </c>
      <c r="F4445" s="8" t="str">
        <f ca="1">IFERROR(__xludf.DUMMYFUNCTION("IF
(
C4446=""фізична особа""
,
VLOOKUP(D4446,IMPORTRANGE(""https://docs.google.com/spreadsheets/d/14Bd19lYaqBhU8_DElYkX7l4wRkHqqCUFNJY4AfY3kHU/edit?usp=sharing  #gid=0"",""фіз особи new!relations_name""),6,FALSE)
,
(IF
(
C4446=""юридична особа""
,
VLOOKUP"&amp;"(D4446,IMPORTRANGE(""https://docs.google.com/spreadsheets/d/14Bd19lYaqBhU8_DElYkX7l4wRkHqqCUFNJY4AfY3kHU/edit?usp=sharing  #gid=0"",""фіз особи new!relations_name_uo""),7,FALSE)
,
)
))"),"ФЕРАПОНТОВ Олексій Вікторович")</f>
        <v>ФЕРАПОНТОВ Олексій Вікторович</v>
      </c>
      <c r="G4445" s="7" t="s">
        <v>10</v>
      </c>
      <c r="H4445" s="7">
        <v>1182</v>
      </c>
      <c r="I4445" s="8" t="str">
        <f ca="1">IFERROR(__xludf.DUMMYFUNCTION("IF
(
G4446=""фізична особа""
,
VLOOKUP(H4446,IMPORTRANGE(""https://docs.google.com/spreadsheets/d/14Bd19lYaqBhU8_DElYkX7l4wRkHqqCUFNJY4AfY3kHU/edit?usp=sharing  #gid=0"",""фіз особи new!relations_name""),6,FALSE)
,
(IF
(
G4446=""юридична особа""
,
VLOOKUP"&amp;"(H4446,IMPORTRANGE(""https://docs.google.com/spreadsheets/d/14Bd19lYaqBhU8_DElYkX7l4wRkHqqCUFNJY4AfY3kHU/edit?usp=sharing  #gid=0"",""фіз особи new!relations_name_uo""),7,FALSE)
,
)
))"),"АЛЬОШИН Олексій Владиславович")</f>
        <v>АЛЬОШИН Олексій Владиславович</v>
      </c>
      <c r="J4445" s="7" t="s">
        <v>30</v>
      </c>
    </row>
    <row r="4446" spans="1:10" ht="13.2">
      <c r="A4446" s="7">
        <v>4445</v>
      </c>
      <c r="B4446" s="7">
        <v>1</v>
      </c>
      <c r="C4446" s="7" t="s">
        <v>10</v>
      </c>
      <c r="D4446" s="7">
        <v>3041</v>
      </c>
      <c r="E4446" s="7" t="s">
        <v>28</v>
      </c>
      <c r="F4446" s="8" t="str">
        <f ca="1">IFERROR(__xludf.DUMMYFUNCTION("IF
(
C4447=""фізична особа""
,
VLOOKUP(D4447,IMPORTRANGE(""https://docs.google.com/spreadsheets/d/14Bd19lYaqBhU8_DElYkX7l4wRkHqqCUFNJY4AfY3kHU/edit?usp=sharing  #gid=0"",""фіз особи new!relations_name""),6,FALSE)
,
(IF
(
C4447=""юридична особа""
,
VLOOKUP"&amp;"(D4447,IMPORTRANGE(""https://docs.google.com/spreadsheets/d/14Bd19lYaqBhU8_DElYkX7l4wRkHqqCUFNJY4AfY3kHU/edit?usp=sharing  #gid=0"",""фіз особи new!relations_name_uo""),7,FALSE)
,
)
))"),"ФРОЛОВ Дмитро Іванович")</f>
        <v>ФРОЛОВ Дмитро Іванович</v>
      </c>
      <c r="G4446" s="7" t="s">
        <v>10</v>
      </c>
      <c r="H4446" s="7">
        <v>3036</v>
      </c>
      <c r="I4446" s="8" t="str">
        <f ca="1">IFERROR(__xludf.DUMMYFUNCTION("IF
(
G4447=""фізична особа""
,
VLOOKUP(H4447,IMPORTRANGE(""https://docs.google.com/spreadsheets/d/14Bd19lYaqBhU8_DElYkX7l4wRkHqqCUFNJY4AfY3kHU/edit?usp=sharing  #gid=0"",""фіз особи new!relations_name""),6,FALSE)
,
(IF
(
G4447=""юридична особа""
,
VLOOKUP"&amp;"(H4447,IMPORTRANGE(""https://docs.google.com/spreadsheets/d/14Bd19lYaqBhU8_DElYkX7l4wRkHqqCUFNJY4AfY3kHU/edit?usp=sharing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4446" s="7" t="s">
        <v>29</v>
      </c>
    </row>
    <row r="4447" spans="1:10" ht="13.2">
      <c r="A4447" s="7">
        <v>4446</v>
      </c>
      <c r="B4447" s="7">
        <v>1</v>
      </c>
      <c r="C4447" s="7" t="s">
        <v>10</v>
      </c>
      <c r="D4447" s="7">
        <v>3042</v>
      </c>
      <c r="E4447" s="7" t="s">
        <v>15</v>
      </c>
      <c r="F4447" s="8" t="str">
        <f ca="1">IFERROR(__xludf.DUMMYFUNCTION("IF
(
C4448=""фізична особа""
,
VLOOKUP(D4448,IMPORTRANGE(""https://docs.google.com/spreadsheets/d/14Bd19lYaqBhU8_DElYkX7l4wRkHqqCUFNJY4AfY3kHU/edit?usp=sharing  #gid=0"",""фіз особи new!relations_name""),6,FALSE)
,
(IF
(
C4448=""юридична особа""
,
VLOOKUP"&amp;"(D4448,IMPORTRANGE(""https://docs.google.com/spreadsheets/d/14Bd19lYaqBhU8_DElYkX7l4wRkHqqCUFNJY4AfY3kHU/edit?usp=sharing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G4447" s="7" t="s">
        <v>10</v>
      </c>
      <c r="H4447" s="7">
        <v>0</v>
      </c>
      <c r="I4447" s="8" t="str">
        <f ca="1">IFERROR(__xludf.DUMMYFUNCTION("IF
(
G4448=""фізична особа""
,
VLOOKUP(H4448,IMPORTRANGE(""https://docs.google.com/spreadsheets/d/14Bd19lYaqBhU8_DElYkX7l4wRkHqqCUFNJY4AfY3kHU/edit?usp=sharing  #gid=0"",""фіз особи new!relations_name""),6,FALSE)
,
(IF
(
G4448=""юридична особа""
,
VLOOKUP"&amp;"(H4448,IMPORTRANGE(""https://docs.google.com/spreadsheets/d/14Bd19lYaqBhU8_DElYkX7l4wRkHqqCUFNJY4AfY3kHU/edit?usp=sharing  #gid=0"",""фіз особи new!relations_name_uo""),7,FALSE)
,
)
))"),"#N/A")</f>
        <v>#N/A</v>
      </c>
      <c r="J4447" s="7" t="s">
        <v>14</v>
      </c>
    </row>
    <row r="4448" spans="1:10" ht="13.2">
      <c r="A4448" s="7">
        <v>4447</v>
      </c>
      <c r="B4448" s="7">
        <v>1</v>
      </c>
      <c r="C4448" s="7" t="s">
        <v>10</v>
      </c>
      <c r="D4448" s="7">
        <v>3042</v>
      </c>
      <c r="E4448" s="7" t="s">
        <v>29</v>
      </c>
      <c r="F4448" s="8" t="str">
        <f ca="1">IFERROR(__xludf.DUMMYFUNCTION("IF
(
C4449=""фізична особа""
,
VLOOKUP(D4449,IMPORTRANGE(""https://docs.google.com/spreadsheets/d/14Bd19lYaqBhU8_DElYkX7l4wRkHqqCUFNJY4AfY3kHU/edit?usp=sharing  #gid=0"",""фіз особи new!relations_name""),6,FALSE)
,
(IF
(
C4449=""юридична особа""
,
VLOOKUP"&amp;"(D4449,IMPORTRANGE(""https://docs.google.com/spreadsheets/d/14Bd19lYaqBhU8_DElYkX7l4wRkHqqCUFNJY4AfY3kHU/edit?usp=sharing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G4448" s="7" t="s">
        <v>10</v>
      </c>
      <c r="H4448" s="7">
        <v>3043</v>
      </c>
      <c r="I4448" s="8" t="str">
        <f ca="1">IFERROR(__xludf.DUMMYFUNCTION("IF
(
G4449=""фізична особа""
,
VLOOKUP(H4449,IMPORTRANGE(""https://docs.google.com/spreadsheets/d/14Bd19lYaqBhU8_DElYkX7l4wRkHqqCUFNJY4AfY3kHU/edit?usp=sharing  #gid=0"",""фіз особи new!relations_name""),6,FALSE)
,
(IF
(
G4449=""юридична особа""
,
VLOOKUP"&amp;"(H4449,IMPORTRANGE(""https://docs.google.com/spreadsheets/d/14Bd19lYaqBhU8_DElYkX7l4wRkHqqCUFNJY4AfY3kHU/edit?usp=sharing  #gid=0"",""фіз особи new!relations_name_uo""),7,FALSE)
,
)
))"),"БРАГІНА Ірина Вікторівна")</f>
        <v>БРАГІНА Ірина Вікторівна</v>
      </c>
      <c r="J4448" s="7" t="s">
        <v>28</v>
      </c>
    </row>
    <row r="4449" spans="1:10" ht="13.2">
      <c r="A4449" s="7">
        <v>4448</v>
      </c>
      <c r="B4449" s="7">
        <v>1</v>
      </c>
      <c r="C4449" s="7" t="s">
        <v>10</v>
      </c>
      <c r="D4449" s="7">
        <v>3042</v>
      </c>
      <c r="E4449" s="7" t="s">
        <v>29</v>
      </c>
      <c r="F4449" s="8" t="str">
        <f ca="1">IFERROR(__xludf.DUMMYFUNCTION("IF
(
C4450=""фізична особа""
,
VLOOKUP(D4450,IMPORTRANGE(""https://docs.google.com/spreadsheets/d/14Bd19lYaqBhU8_DElYkX7l4wRkHqqCUFNJY4AfY3kHU/edit?usp=sharing  #gid=0"",""фіз особи new!relations_name""),6,FALSE)
,
(IF
(
C4450=""юридична особа""
,
VLOOKUP"&amp;"(D4450,IMPORTRANGE(""https://docs.google.com/spreadsheets/d/14Bd19lYaqBhU8_DElYkX7l4wRkHqqCUFNJY4AfY3kHU/edit?usp=sharing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G4449" s="7" t="s">
        <v>10</v>
      </c>
      <c r="H4449" s="7">
        <v>3044</v>
      </c>
      <c r="I4449" s="8" t="str">
        <f ca="1">IFERROR(__xludf.DUMMYFUNCTION("IF
(
G4450=""фізична особа""
,
VLOOKUP(H4450,IMPORTRANGE(""https://docs.google.com/spreadsheets/d/14Bd19lYaqBhU8_DElYkX7l4wRkHqqCUFNJY4AfY3kHU/edit?usp=sharing  #gid=0"",""фіз особи new!relations_name""),6,FALSE)
,
(IF
(
G4450=""юридична особа""
,
VLOOKUP"&amp;"(H4450,IMPORTRANGE(""https://docs.google.com/spreadsheets/d/14Bd19lYaqBhU8_DElYkX7l4wRkHqqCUFNJY4AfY3kHU/edit?usp=sharing  #gid=0"",""фіз особи new!relations_name_uo""),7,FALSE)
,
)
))"),"ОРЛОВ Михайло Сергійович")</f>
        <v>ОРЛОВ Михайло Сергійович</v>
      </c>
      <c r="J4449" s="7" t="s">
        <v>28</v>
      </c>
    </row>
    <row r="4450" spans="1:10" ht="13.2">
      <c r="A4450" s="7">
        <v>4449</v>
      </c>
      <c r="B4450" s="7">
        <v>1</v>
      </c>
      <c r="C4450" s="7" t="s">
        <v>10</v>
      </c>
      <c r="D4450" s="7">
        <v>3042</v>
      </c>
      <c r="E4450" s="7" t="s">
        <v>29</v>
      </c>
      <c r="F4450" s="8" t="str">
        <f ca="1">IFERROR(__xludf.DUMMYFUNCTION("IF
(
C4451=""фізична особа""
,
VLOOKUP(D4451,IMPORTRANGE(""https://docs.google.com/spreadsheets/d/14Bd19lYaqBhU8_DElYkX7l4wRkHqqCUFNJY4AfY3kHU/edit?usp=sharing  #gid=0"",""фіз особи new!relations_name""),6,FALSE)
,
(IF
(
C4451=""юридична особа""
,
VLOOKUP"&amp;"(D4451,IMPORTRANGE(""https://docs.google.com/spreadsheets/d/14Bd19lYaqBhU8_DElYkX7l4wRkHqqCUFNJY4AfY3kHU/edit?usp=sharing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G4450" s="7" t="s">
        <v>10</v>
      </c>
      <c r="H4450" s="7">
        <v>3045</v>
      </c>
      <c r="I4450" s="8" t="str">
        <f ca="1">IFERROR(__xludf.DUMMYFUNCTION("IF
(
G4451=""фізична особа""
,
VLOOKUP(H4451,IMPORTRANGE(""https://docs.google.com/spreadsheets/d/14Bd19lYaqBhU8_DElYkX7l4wRkHqqCUFNJY4AfY3kHU/edit?usp=sharing  #gid=0"",""фіз особи new!relations_name""),6,FALSE)
,
(IF
(
G4451=""юридична особа""
,
VLOOKUP"&amp;"(H4451,IMPORTRANGE(""https://docs.google.com/spreadsheets/d/14Bd19lYaqBhU8_DElYkX7l4wRkHqqCUFNJY4AfY3kHU/edit?usp=sharing  #gid=0"",""фіз особи new!relations_name_uo""),7,FALSE)
,
)
))"),"ЄЖЛОВА Олена Борисівна")</f>
        <v>ЄЖЛОВА Олена Борисівна</v>
      </c>
      <c r="J4450" s="7" t="s">
        <v>28</v>
      </c>
    </row>
    <row r="4451" spans="1:10" ht="13.2">
      <c r="A4451" s="7">
        <v>4450</v>
      </c>
      <c r="B4451" s="7">
        <v>1</v>
      </c>
      <c r="C4451" s="7" t="s">
        <v>10</v>
      </c>
      <c r="D4451" s="7">
        <v>3042</v>
      </c>
      <c r="E4451" s="7" t="s">
        <v>29</v>
      </c>
      <c r="F4451" s="8" t="str">
        <f ca="1">IFERROR(__xludf.DUMMYFUNCTION("IF
(
C4452=""фізична особа""
,
VLOOKUP(D4452,IMPORTRANGE(""https://docs.google.com/spreadsheets/d/14Bd19lYaqBhU8_DElYkX7l4wRkHqqCUFNJY4AfY3kHU/edit?usp=sharing  #gid=0"",""фіз особи new!relations_name""),6,FALSE)
,
(IF
(
C4452=""юридична особа""
,
VLOOKUP"&amp;"(D4452,IMPORTRANGE(""https://docs.google.com/spreadsheets/d/14Bd19lYaqBhU8_DElYkX7l4wRkHqqCUFNJY4AfY3kHU/edit?usp=sharing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G4451" s="7" t="s">
        <v>10</v>
      </c>
      <c r="H4451" s="7">
        <v>3084</v>
      </c>
      <c r="I4451" s="8" t="str">
        <f ca="1">IFERROR(__xludf.DUMMYFUNCTION("IF
(
G4452=""фізична особа""
,
VLOOKUP(H4452,IMPORTRANGE(""https://docs.google.com/spreadsheets/d/14Bd19lYaqBhU8_DElYkX7l4wRkHqqCUFNJY4AfY3kHU/edit?usp=sharing  #gid=0"",""фіз особи new!relations_name""),6,FALSE)
,
(IF
(
G4452=""юридична особа""
,
VLOOKUP"&amp;"(H4452,IMPORTRANGE(""https://docs.google.com/spreadsheets/d/14Bd19lYaqBhU8_DElYkX7l4wRkHqqCUFNJY4AfY3kHU/edit?usp=sharing  #gid=0"",""фіз особи new!relations_name_uo""),7,FALSE)
,
)
))"),"СМОЛЕНСЬКИЙ В'ячеслав Юрійович")</f>
        <v>СМОЛЕНСЬКИЙ В'ячеслав Юрійович</v>
      </c>
      <c r="J4451" s="7" t="s">
        <v>28</v>
      </c>
    </row>
    <row r="4452" spans="1:10" ht="13.2">
      <c r="A4452" s="7">
        <v>4451</v>
      </c>
      <c r="B4452" s="7">
        <v>1</v>
      </c>
      <c r="C4452" s="7" t="s">
        <v>10</v>
      </c>
      <c r="D4452" s="7">
        <v>3043</v>
      </c>
      <c r="E4452" s="7" t="s">
        <v>28</v>
      </c>
      <c r="F4452" s="8" t="str">
        <f ca="1">IFERROR(__xludf.DUMMYFUNCTION("IF
(
C4453=""фізична особа""
,
VLOOKUP(D4453,IMPORTRANGE(""https://docs.google.com/spreadsheets/d/14Bd19lYaqBhU8_DElYkX7l4wRkHqqCUFNJY4AfY3kHU/edit?usp=sharing  #gid=0"",""фіз особи new!relations_name""),6,FALSE)
,
(IF
(
C4453=""юридична особа""
,
VLOOKUP"&amp;"(D4453,IMPORTRANGE(""https://docs.google.com/spreadsheets/d/14Bd19lYaqBhU8_DElYkX7l4wRkHqqCUFNJY4AfY3kHU/edit?usp=sharing  #gid=0"",""фіз особи new!relations_name_uo""),7,FALSE)
,
)
))"),"БРАГІНА Ірина Вікторівна")</f>
        <v>БРАГІНА Ірина Вікторівна</v>
      </c>
      <c r="G4452" s="7" t="s">
        <v>10</v>
      </c>
      <c r="H4452" s="7">
        <v>3042</v>
      </c>
      <c r="I4452" s="8" t="str">
        <f ca="1">IFERROR(__xludf.DUMMYFUNCTION("IF
(
G4453=""фізична особа""
,
VLOOKUP(H4453,IMPORTRANGE(""https://docs.google.com/spreadsheets/d/14Bd19lYaqBhU8_DElYkX7l4wRkHqqCUFNJY4AfY3kHU/edit?usp=sharing  #gid=0"",""фіз особи new!relations_name""),6,FALSE)
,
(IF
(
G4453=""юридична особа""
,
VLOOKUP"&amp;"(H4453,IMPORTRANGE(""https://docs.google.com/spreadsheets/d/14Bd19lYaqBhU8_DElYkX7l4wRkHqqCUFNJY4AfY3kHU/edit?usp=sharing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4452" s="7" t="s">
        <v>29</v>
      </c>
    </row>
    <row r="4453" spans="1:10" ht="13.2">
      <c r="A4453" s="7">
        <v>4452</v>
      </c>
      <c r="B4453" s="7">
        <v>1</v>
      </c>
      <c r="C4453" s="7" t="s">
        <v>10</v>
      </c>
      <c r="D4453" s="7">
        <v>3044</v>
      </c>
      <c r="E4453" s="7" t="s">
        <v>28</v>
      </c>
      <c r="F4453" s="8" t="str">
        <f ca="1">IFERROR(__xludf.DUMMYFUNCTION("IF
(
C4454=""фізична особа""
,
VLOOKUP(D4454,IMPORTRANGE(""https://docs.google.com/spreadsheets/d/14Bd19lYaqBhU8_DElYkX7l4wRkHqqCUFNJY4AfY3kHU/edit?usp=sharing  #gid=0"",""фіз особи new!relations_name""),6,FALSE)
,
(IF
(
C4454=""юридична особа""
,
VLOOKUP"&amp;"(D4454,IMPORTRANGE(""https://docs.google.com/spreadsheets/d/14Bd19lYaqBhU8_DElYkX7l4wRkHqqCUFNJY4AfY3kHU/edit?usp=sharing  #gid=0"",""фіз особи new!relations_name_uo""),7,FALSE)
,
)
))"),"ОРЛОВ Михайло Сергійович")</f>
        <v>ОРЛОВ Михайло Сергійович</v>
      </c>
      <c r="G4453" s="7" t="s">
        <v>10</v>
      </c>
      <c r="H4453" s="7">
        <v>3042</v>
      </c>
      <c r="I4453" s="8" t="str">
        <f ca="1">IFERROR(__xludf.DUMMYFUNCTION("IF
(
G4454=""фізична особа""
,
VLOOKUP(H4454,IMPORTRANGE(""https://docs.google.com/spreadsheets/d/14Bd19lYaqBhU8_DElYkX7l4wRkHqqCUFNJY4AfY3kHU/edit?usp=sharing  #gid=0"",""фіз особи new!relations_name""),6,FALSE)
,
(IF
(
G4454=""юридична особа""
,
VLOOKUP"&amp;"(H4454,IMPORTRANGE(""https://docs.google.com/spreadsheets/d/14Bd19lYaqBhU8_DElYkX7l4wRkHqqCUFNJY4AfY3kHU/edit?usp=sharing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4453" s="7" t="s">
        <v>29</v>
      </c>
    </row>
    <row r="4454" spans="1:10" ht="13.2">
      <c r="A4454" s="7">
        <v>4453</v>
      </c>
      <c r="B4454" s="7">
        <v>1</v>
      </c>
      <c r="C4454" s="7" t="s">
        <v>10</v>
      </c>
      <c r="D4454" s="7">
        <v>3045</v>
      </c>
      <c r="E4454" s="7" t="s">
        <v>28</v>
      </c>
      <c r="F4454" s="8" t="str">
        <f ca="1">IFERROR(__xludf.DUMMYFUNCTION("IF
(
C4455=""фізична особа""
,
VLOOKUP(D4455,IMPORTRANGE(""https://docs.google.com/spreadsheets/d/14Bd19lYaqBhU8_DElYkX7l4wRkHqqCUFNJY4AfY3kHU/edit?usp=sharing  #gid=0"",""фіз особи new!relations_name""),6,FALSE)
,
(IF
(
C4455=""юридична особа""
,
VLOOKUP"&amp;"(D4455,IMPORTRANGE(""https://docs.google.com/spreadsheets/d/14Bd19lYaqBhU8_DElYkX7l4wRkHqqCUFNJY4AfY3kHU/edit?usp=sharing  #gid=0"",""фіз особи new!relations_name_uo""),7,FALSE)
,
)
))"),"ЄЖЛОВА Олена Борисівна")</f>
        <v>ЄЖЛОВА Олена Борисівна</v>
      </c>
      <c r="G4454" s="7" t="s">
        <v>10</v>
      </c>
      <c r="H4454" s="7">
        <v>3042</v>
      </c>
      <c r="I4454" s="8" t="str">
        <f ca="1">IFERROR(__xludf.DUMMYFUNCTION("IF
(
G4455=""фізична особа""
,
VLOOKUP(H4455,IMPORTRANGE(""https://docs.google.com/spreadsheets/d/14Bd19lYaqBhU8_DElYkX7l4wRkHqqCUFNJY4AfY3kHU/edit?usp=sharing  #gid=0"",""фіз особи new!relations_name""),6,FALSE)
,
(IF
(
G4455=""юридична особа""
,
VLOOKUP"&amp;"(H4455,IMPORTRANGE(""https://docs.google.com/spreadsheets/d/14Bd19lYaqBhU8_DElYkX7l4wRkHqqCUFNJY4AfY3kHU/edit?usp=sharing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4454" s="7" t="s">
        <v>29</v>
      </c>
    </row>
    <row r="4455" spans="1:10" ht="13.2">
      <c r="A4455" s="7">
        <v>4454</v>
      </c>
      <c r="B4455" s="7">
        <v>1</v>
      </c>
      <c r="C4455" s="7" t="s">
        <v>10</v>
      </c>
      <c r="D4455" s="7">
        <v>3046</v>
      </c>
      <c r="E4455" s="7" t="s">
        <v>12</v>
      </c>
      <c r="F4455" s="8" t="str">
        <f ca="1">IFERROR(__xludf.DUMMYFUNCTION("IF
(
C4456=""фізична особа""
,
VLOOKUP(D4456,IMPORTRANGE(""https://docs.google.com/spreadsheets/d/14Bd19lYaqBhU8_DElYkX7l4wRkHqqCUFNJY4AfY3kHU/edit?usp=sharing  #gid=0"",""фіз особи new!relations_name""),6,FALSE)
,
(IF
(
C4456=""юридична особа""
,
VLOOKUP"&amp;"(D4456,IMPORTRANGE(""https://docs.google.com/spreadsheets/d/14Bd19lYaqBhU8_DElYkX7l4wRkHqqCUFNJY4AfY3kHU/edit?usp=sharing  #gid=0"",""фіз особи new!relations_name_uo""),7,FALSE)
,
)
))"),"РУКАВИШНІКОВ Сергій Михайлович")</f>
        <v>РУКАВИШНІКОВ Сергій Михайлович</v>
      </c>
      <c r="G4455" s="7" t="s">
        <v>10</v>
      </c>
      <c r="H4455" s="7">
        <v>0</v>
      </c>
      <c r="I4455" s="8" t="str">
        <f ca="1">IFERROR(__xludf.DUMMYFUNCTION("IF
(
G4456=""фізична особа""
,
VLOOKUP(H4456,IMPORTRANGE(""https://docs.google.com/spreadsheets/d/14Bd19lYaqBhU8_DElYkX7l4wRkHqqCUFNJY4AfY3kHU/edit?usp=sharing  #gid=0"",""фіз особи new!relations_name""),6,FALSE)
,
(IF
(
G4456=""юридична особа""
,
VLOOKUP"&amp;"(H4456,IMPORTRANGE(""https://docs.google.com/spreadsheets/d/14Bd19lYaqBhU8_DElYkX7l4wRkHqqCUFNJY4AfY3kHU/edit?usp=sharing  #gid=0"",""фіз особи new!relations_name_uo""),7,FALSE)
,
)
))"),"#N/A")</f>
        <v>#N/A</v>
      </c>
      <c r="J4455" s="7" t="s">
        <v>17</v>
      </c>
    </row>
    <row r="4456" spans="1:10" ht="13.2">
      <c r="A4456" s="7">
        <v>4455</v>
      </c>
      <c r="B4456" s="7">
        <v>1</v>
      </c>
      <c r="C4456" s="7" t="s">
        <v>10</v>
      </c>
      <c r="D4456" s="7">
        <v>3046</v>
      </c>
      <c r="E4456" s="7" t="s">
        <v>17</v>
      </c>
      <c r="F4456" s="8" t="str">
        <f ca="1">IFERROR(__xludf.DUMMYFUNCTION("IF
(
C4457=""фізична особа""
,
VLOOKUP(D4457,IMPORTRANGE(""https://docs.google.com/spreadsheets/d/14Bd19lYaqBhU8_DElYkX7l4wRkHqqCUFNJY4AfY3kHU/edit?usp=sharing  #gid=0"",""фіз особи new!relations_name""),6,FALSE)
,
(IF
(
C4457=""юридична особа""
,
VLOOKUP"&amp;"(D4457,IMPORTRANGE(""https://docs.google.com/spreadsheets/d/14Bd19lYaqBhU8_DElYkX7l4wRkHqqCUFNJY4AfY3kHU/edit?usp=sharing  #gid=0"",""фіз особи new!relations_name_uo""),7,FALSE)
,
)
))"),"РУКАВИШНІКОВ Сергій Михайлович")</f>
        <v>РУКАВИШНІКОВ Сергій Михайлович</v>
      </c>
      <c r="G4456" s="7" t="s">
        <v>10</v>
      </c>
      <c r="H4456" s="7">
        <v>0</v>
      </c>
      <c r="I4456" s="8" t="str">
        <f ca="1">IFERROR(__xludf.DUMMYFUNCTION("IF
(
G4457=""фізична особа""
,
VLOOKUP(H4457,IMPORTRANGE(""https://docs.google.com/spreadsheets/d/14Bd19lYaqBhU8_DElYkX7l4wRkHqqCUFNJY4AfY3kHU/edit?usp=sharing  #gid=0"",""фіз особи new!relations_name""),6,FALSE)
,
(IF
(
G4457=""юридична особа""
,
VLOOKUP"&amp;"(H4457,IMPORTRANGE(""https://docs.google.com/spreadsheets/d/14Bd19lYaqBhU8_DElYkX7l4wRkHqqCUFNJY4AfY3kHU/edit?usp=sharing  #gid=0"",""фіз особи new!relations_name_uo""),7,FALSE)
,
)
))"),"#N/A")</f>
        <v>#N/A</v>
      </c>
      <c r="J4456" s="7" t="s">
        <v>12</v>
      </c>
    </row>
    <row r="4457" spans="1:10" ht="13.2">
      <c r="A4457" s="7">
        <v>4456</v>
      </c>
      <c r="B4457" s="7">
        <v>1</v>
      </c>
      <c r="C4457" s="7" t="s">
        <v>10</v>
      </c>
      <c r="D4457" s="7">
        <v>3046</v>
      </c>
      <c r="E4457" s="7" t="s">
        <v>17</v>
      </c>
      <c r="F4457" s="8" t="str">
        <f ca="1">IFERROR(__xludf.DUMMYFUNCTION("IF
(
C4458=""фізична особа""
,
VLOOKUP(D4458,IMPORTRANGE(""https://docs.google.com/spreadsheets/d/14Bd19lYaqBhU8_DElYkX7l4wRkHqqCUFNJY4AfY3kHU/edit?usp=sharing  #gid=0"",""фіз особи new!relations_name""),6,FALSE)
,
(IF
(
C4458=""юридична особа""
,
VLOOKUP"&amp;"(D4458,IMPORTRANGE(""https://docs.google.com/spreadsheets/d/14Bd19lYaqBhU8_DElYkX7l4wRkHqqCUFNJY4AfY3kHU/edit?usp=sharing  #gid=0"",""фіз особи new!relations_name_uo""),7,FALSE)
,
)
))"),"РУКАВИШНІКОВ Сергій Михайлович")</f>
        <v>РУКАВИШНІКОВ Сергій Михайлович</v>
      </c>
      <c r="G4457" s="7" t="s">
        <v>10</v>
      </c>
      <c r="H4457" s="7">
        <v>0</v>
      </c>
      <c r="I4457" s="8" t="str">
        <f ca="1">IFERROR(__xludf.DUMMYFUNCTION("IF
(
G4458=""фізична особа""
,
VLOOKUP(H4458,IMPORTRANGE(""https://docs.google.com/spreadsheets/d/14Bd19lYaqBhU8_DElYkX7l4wRkHqqCUFNJY4AfY3kHU/edit?usp=sharing  #gid=0"",""фіз особи new!relations_name""),6,FALSE)
,
(IF
(
G4458=""юридична особа""
,
VLOOKUP"&amp;"(H4458,IMPORTRANGE(""https://docs.google.com/spreadsheets/d/14Bd19lYaqBhU8_DElYkX7l4wRkHqqCUFNJY4AfY3kHU/edit?usp=sharing  #gid=0"",""фіз особи new!relations_name_uo""),7,FALSE)
,
)
))"),"#N/A")</f>
        <v>#N/A</v>
      </c>
      <c r="J4457" s="7" t="s">
        <v>21</v>
      </c>
    </row>
    <row r="4458" spans="1:10" ht="13.2">
      <c r="A4458" s="7">
        <v>4457</v>
      </c>
      <c r="B4458" s="7">
        <v>1</v>
      </c>
      <c r="C4458" s="7" t="s">
        <v>10</v>
      </c>
      <c r="D4458" s="7">
        <v>3047</v>
      </c>
      <c r="E4458" s="7" t="s">
        <v>29</v>
      </c>
      <c r="F4458" s="8" t="str">
        <f ca="1">IFERROR(__xludf.DUMMYFUNCTION("IF
(
C4459=""фізична особа""
,
VLOOKUP(D4459,IMPORTRANGE(""https://docs.google.com/spreadsheets/d/14Bd19lYaqBhU8_DElYkX7l4wRkHqqCUFNJY4AfY3kHU/edit?usp=sharing  #gid=0"",""фіз особи new!relations_name""),6,FALSE)
,
(IF
(
C4459=""юридична особа""
,
VLOOKUP"&amp;"(D4459,IMPORTRANGE(""https://docs.google.com/spreadsheets/d/14Bd19lYaqBhU8_DElYkX7l4wRkHqqCUFNJY4AfY3kHU/edit?usp=sharing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G4458" s="7" t="s">
        <v>10</v>
      </c>
      <c r="H4458" s="7">
        <v>3046</v>
      </c>
      <c r="I4458" s="8" t="str">
        <f ca="1">IFERROR(__xludf.DUMMYFUNCTION("IF
(
G4459=""фізична особа""
,
VLOOKUP(H4459,IMPORTRANGE(""https://docs.google.com/spreadsheets/d/14Bd19lYaqBhU8_DElYkX7l4wRkHqqCUFNJY4AfY3kHU/edit?usp=sharing  #gid=0"",""фіз особи new!relations_name""),6,FALSE)
,
(IF
(
G4459=""юридична особа""
,
VLOOKUP"&amp;"(H4459,IMPORTRANGE(""https://docs.google.com/spreadsheets/d/14Bd19lYaqBhU8_DElYkX7l4wRkHqqCUFNJY4AfY3kHU/edit?usp=sharing  #gid=0"",""фіз особи new!relations_name_uo""),7,FALSE)
,
)
))"),"РУКАВИШНІКОВ Сергій Михайлович")</f>
        <v>РУКАВИШНІКОВ Сергій Михайлович</v>
      </c>
      <c r="J4458" s="7" t="s">
        <v>28</v>
      </c>
    </row>
    <row r="4459" spans="1:10" ht="13.2">
      <c r="A4459" s="7">
        <v>4458</v>
      </c>
      <c r="B4459" s="7">
        <v>1</v>
      </c>
      <c r="C4459" s="7" t="s">
        <v>10</v>
      </c>
      <c r="D4459" s="7">
        <v>3047</v>
      </c>
      <c r="E4459" s="7" t="s">
        <v>30</v>
      </c>
      <c r="F4459" s="8" t="str">
        <f ca="1">IFERROR(__xludf.DUMMYFUNCTION("IF
(
C4460=""фізична особа""
,
VLOOKUP(D4460,IMPORTRANGE(""https://docs.google.com/spreadsheets/d/14Bd19lYaqBhU8_DElYkX7l4wRkHqqCUFNJY4AfY3kHU/edit?usp=sharing  #gid=0"",""фіз особи new!relations_name""),6,FALSE)
,
(IF
(
C4460=""юридична особа""
,
VLOOKUP"&amp;"(D4460,IMPORTRANGE(""https://docs.google.com/spreadsheets/d/14Bd19lYaqBhU8_DElYkX7l4wRkHqqCUFNJY4AfY3kHU/edit?usp=sharing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G4459" s="7" t="s">
        <v>10</v>
      </c>
      <c r="H4459" s="7">
        <v>0</v>
      </c>
      <c r="I4459" s="8" t="str">
        <f ca="1">IFERROR(__xludf.DUMMYFUNCTION("IF
(
G4460=""фізична особа""
,
VLOOKUP(H4460,IMPORTRANGE(""https://docs.google.com/spreadsheets/d/14Bd19lYaqBhU8_DElYkX7l4wRkHqqCUFNJY4AfY3kHU/edit?usp=sharing  #gid=0"",""фіз особи new!relations_name""),6,FALSE)
,
(IF
(
G4460=""юридична особа""
,
VLOOKUP"&amp;"(H4460,IMPORTRANGE(""https://docs.google.com/spreadsheets/d/14Bd19lYaqBhU8_DElYkX7l4wRkHqqCUFNJY4AfY3kHU/edit?usp=sharing  #gid=0"",""фіз особи new!relations_name_uo""),7,FALSE)
,
)
))"),"#N/A")</f>
        <v>#N/A</v>
      </c>
      <c r="J4459" s="7" t="s">
        <v>30</v>
      </c>
    </row>
    <row r="4460" spans="1:10" ht="13.2">
      <c r="A4460" s="7">
        <v>4459</v>
      </c>
      <c r="B4460" s="7">
        <v>1</v>
      </c>
      <c r="C4460" s="7" t="s">
        <v>10</v>
      </c>
      <c r="D4460" s="7">
        <v>3047</v>
      </c>
      <c r="E4460" s="7" t="s">
        <v>30</v>
      </c>
      <c r="F4460" s="8" t="str">
        <f ca="1">IFERROR(__xludf.DUMMYFUNCTION("IF
(
C4461=""фізична особа""
,
VLOOKUP(D4461,IMPORTRANGE(""https://docs.google.com/spreadsheets/d/14Bd19lYaqBhU8_DElYkX7l4wRkHqqCUFNJY4AfY3kHU/edit?usp=sharing  #gid=0"",""фіз особи new!relations_name""),6,FALSE)
,
(IF
(
C4461=""юридична особа""
,
VLOOKUP"&amp;"(D4461,IMPORTRANGE(""https://docs.google.com/spreadsheets/d/14Bd19lYaqBhU8_DElYkX7l4wRkHqqCUFNJY4AfY3kHU/edit?usp=sharing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G4460" s="7" t="s">
        <v>10</v>
      </c>
      <c r="H4460" s="7">
        <v>23428</v>
      </c>
      <c r="I4460" s="8" t="str">
        <f ca="1">IFERROR(__xludf.DUMMYFUNCTION("IF
(
G4461=""фізична особа""
,
VLOOKUP(H4461,IMPORTRANGE(""https://docs.google.com/spreadsheets/d/14Bd19lYaqBhU8_DElYkX7l4wRkHqqCUFNJY4AfY3kHU/edit?usp=sharing  #gid=0"",""фіз особи new!relations_name""),6,FALSE)
,
(IF
(
G4461=""юридична особа""
,
VLOOKUP"&amp;"(H4461,IMPORTRANGE(""https://docs.google.com/spreadsheets/d/14Bd19lYaqBhU8_DElYkX7l4wRkHqqCUFNJY4AfY3kHU/edit?usp=sharing  #gid=0"",""фіз особи new!relations_name_uo""),7,FALSE)
,
)
))"),"ЕДІЛЬГІРІЄВ Амруді Ахмедович")</f>
        <v>ЕДІЛЬГІРІЄВ Амруді Ахмедович</v>
      </c>
      <c r="J4460" s="7" t="s">
        <v>30</v>
      </c>
    </row>
    <row r="4461" spans="1:10" ht="13.2">
      <c r="A4461" s="7">
        <v>4460</v>
      </c>
      <c r="B4461" s="7">
        <v>1</v>
      </c>
      <c r="C4461" s="7" t="s">
        <v>10</v>
      </c>
      <c r="D4461" s="7">
        <v>3047</v>
      </c>
      <c r="E4461" s="7" t="s">
        <v>30</v>
      </c>
      <c r="F4461" s="8" t="str">
        <f ca="1">IFERROR(__xludf.DUMMYFUNCTION("IF
(
C4462=""фізична особа""
,
VLOOKUP(D4462,IMPORTRANGE(""https://docs.google.com/spreadsheets/d/14Bd19lYaqBhU8_DElYkX7l4wRkHqqCUFNJY4AfY3kHU/edit?usp=sharing  #gid=0"",""фіз особи new!relations_name""),6,FALSE)
,
(IF
(
C4462=""юридична особа""
,
VLOOKUP"&amp;"(D4462,IMPORTRANGE(""https://docs.google.com/spreadsheets/d/14Bd19lYaqBhU8_DElYkX7l4wRkHqqCUFNJY4AfY3kHU/edit?usp=sharing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G4461" s="7" t="s">
        <v>10</v>
      </c>
      <c r="H4461" s="7">
        <v>0</v>
      </c>
      <c r="I4461" s="8" t="str">
        <f ca="1">IFERROR(__xludf.DUMMYFUNCTION("IF
(
G4462=""фізична особа""
,
VLOOKUP(H4462,IMPORTRANGE(""https://docs.google.com/spreadsheets/d/14Bd19lYaqBhU8_DElYkX7l4wRkHqqCUFNJY4AfY3kHU/edit?usp=sharing  #gid=0"",""фіз особи new!relations_name""),6,FALSE)
,
(IF
(
G4462=""юридична особа""
,
VLOOKUP"&amp;"(H4462,IMPORTRANGE(""https://docs.google.com/spreadsheets/d/14Bd19lYaqBhU8_DElYkX7l4wRkHqqCUFNJY4AfY3kHU/edit?usp=sharing  #gid=0"",""фіз особи new!relations_name_uo""),7,FALSE)
,
)
))"),"#N/A")</f>
        <v>#N/A</v>
      </c>
      <c r="J4461" s="7" t="s">
        <v>30</v>
      </c>
    </row>
    <row r="4462" spans="1:10" ht="13.2">
      <c r="A4462" s="7">
        <v>4461</v>
      </c>
      <c r="B4462" s="7">
        <v>1</v>
      </c>
      <c r="C4462" s="7" t="s">
        <v>10</v>
      </c>
      <c r="D4462" s="7">
        <v>3048</v>
      </c>
      <c r="E4462" s="7" t="s">
        <v>28</v>
      </c>
      <c r="F4462" s="8" t="str">
        <f ca="1">IFERROR(__xludf.DUMMYFUNCTION("IF
(
C4463=""фізична особа""
,
VLOOKUP(D4463,IMPORTRANGE(""https://docs.google.com/spreadsheets/d/14Bd19lYaqBhU8_DElYkX7l4wRkHqqCUFNJY4AfY3kHU/edit?usp=sharing  #gid=0"",""фіз особи new!relations_name""),6,FALSE)
,
(IF
(
C4463=""юридична особа""
,
VLOOKUP"&amp;"(D4463,IMPORTRANGE(""https://docs.google.com/spreadsheets/d/14Bd19lYaqBhU8_DElYkX7l4wRkHqqCUFNJY4AfY3kHU/edit?usp=sharing  #gid=0"",""фіз особи new!relations_name_uo""),7,FALSE)
,
)
))"),"КОЧЕТОВА Світлана Михайлівна")</f>
        <v>КОЧЕТОВА Світлана Михайлівна</v>
      </c>
      <c r="G4462" s="7" t="s">
        <v>10</v>
      </c>
      <c r="H4462" s="7">
        <v>3047</v>
      </c>
      <c r="I4462" s="8" t="str">
        <f ca="1">IFERROR(__xludf.DUMMYFUNCTION("IF
(
G4463=""фізична особа""
,
VLOOKUP(H4463,IMPORTRANGE(""https://docs.google.com/spreadsheets/d/14Bd19lYaqBhU8_DElYkX7l4wRkHqqCUFNJY4AfY3kHU/edit?usp=sharing  #gid=0"",""фіз особи new!relations_name""),6,FALSE)
,
(IF
(
G4463=""юридична особа""
,
VLOOKUP"&amp;"(H4463,IMPORTRANGE(""https://docs.google.com/spreadsheets/d/14Bd19lYaqBhU8_DElYkX7l4wRkHqqCUFNJY4AfY3kHU/edit?usp=sharing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4462" s="7" t="s">
        <v>29</v>
      </c>
    </row>
    <row r="4463" spans="1:10" ht="13.2">
      <c r="A4463" s="7">
        <v>4462</v>
      </c>
      <c r="B4463" s="7">
        <v>1</v>
      </c>
      <c r="C4463" s="7" t="s">
        <v>10</v>
      </c>
      <c r="D4463" s="7">
        <v>3049</v>
      </c>
      <c r="E4463" s="7" t="s">
        <v>28</v>
      </c>
      <c r="F4463" s="8" t="str">
        <f ca="1">IFERROR(__xludf.DUMMYFUNCTION("IF
(
C4464=""фізична особа""
,
VLOOKUP(D4464,IMPORTRANGE(""https://docs.google.com/spreadsheets/d/14Bd19lYaqBhU8_DElYkX7l4wRkHqqCUFNJY4AfY3kHU/edit?usp=sharing  #gid=0"",""фіз особи new!relations_name""),6,FALSE)
,
(IF
(
C4464=""юридична особа""
,
VLOOKUP"&amp;"(D4464,IMPORTRANGE(""https://docs.google.com/spreadsheets/d/14Bd19lYaqBhU8_DElYkX7l4wRkHqqCUFNJY4AfY3kHU/edit?usp=sharing  #gid=0"",""фіз особи new!relations_name_uo""),7,FALSE)
,
)
))"),"АБРАМОВА Олена Вікторівна")</f>
        <v>АБРАМОВА Олена Вікторівна</v>
      </c>
      <c r="G4463" s="7" t="s">
        <v>10</v>
      </c>
      <c r="H4463" s="7">
        <v>4553</v>
      </c>
      <c r="I4463" s="8" t="str">
        <f ca="1">IFERROR(__xludf.DUMMYFUNCTION("IF
(
G4464=""фізична особа""
,
VLOOKUP(H4464,IMPORTRANGE(""https://docs.google.com/spreadsheets/d/14Bd19lYaqBhU8_DElYkX7l4wRkHqqCUFNJY4AfY3kHU/edit?usp=sharing  #gid=0"",""фіз особи new!relations_name""),6,FALSE)
,
(IF
(
G4464=""юридична особа""
,
VLOOKUP"&amp;"(H4464,IMPORTRANGE(""https://docs.google.com/spreadsheets/d/14Bd19lYaqBhU8_DElYkX7l4wRkHqqCUFNJY4AfY3kHU/edit?usp=sharing  #gid=0"",""фіз особи new!relations_name_uo""),7,FALSE)
,
)
))"),"САВЕЛЬЄВ Олег Генріхович")</f>
        <v>САВЕЛЬЄВ Олег Генріхович</v>
      </c>
      <c r="J4463" s="7" t="s">
        <v>29</v>
      </c>
    </row>
    <row r="4464" spans="1:10" ht="13.2">
      <c r="A4464" s="7">
        <v>4463</v>
      </c>
      <c r="B4464" s="7">
        <v>1</v>
      </c>
      <c r="C4464" s="7" t="s">
        <v>10</v>
      </c>
      <c r="D4464" s="7">
        <v>3049</v>
      </c>
      <c r="E4464" s="7" t="s">
        <v>28</v>
      </c>
      <c r="F4464" s="8" t="str">
        <f ca="1">IFERROR(__xludf.DUMMYFUNCTION("IF
(
C4465=""фізична особа""
,
VLOOKUP(D4465,IMPORTRANGE(""https://docs.google.com/spreadsheets/d/14Bd19lYaqBhU8_DElYkX7l4wRkHqqCUFNJY4AfY3kHU/edit?usp=sharing  #gid=0"",""фіз особи new!relations_name""),6,FALSE)
,
(IF
(
C4465=""юридична особа""
,
VLOOKUP"&amp;"(D4465,IMPORTRANGE(""https://docs.google.com/spreadsheets/d/14Bd19lYaqBhU8_DElYkX7l4wRkHqqCUFNJY4AfY3kHU/edit?usp=sharing  #gid=0"",""фіз особи new!relations_name_uo""),7,FALSE)
,
)
))"),"АБРАМОВА Олена Вікторівна")</f>
        <v>АБРАМОВА Олена Вікторівна</v>
      </c>
      <c r="G4464" s="7" t="s">
        <v>10</v>
      </c>
      <c r="H4464" s="7">
        <v>1309</v>
      </c>
      <c r="I4464" s="8" t="str">
        <f ca="1">IFERROR(__xludf.DUMMYFUNCTION("IF
(
G4465=""фізична особа""
,
VLOOKUP(H4465,IMPORTRANGE(""https://docs.google.com/spreadsheets/d/14Bd19lYaqBhU8_DElYkX7l4wRkHqqCUFNJY4AfY3kHU/edit?usp=sharing  #gid=0"",""фіз особи new!relations_name""),6,FALSE)
,
(IF
(
G4465=""юридична особа""
,
VLOOKUP"&amp;"(H4465,IMPORTRANGE(""https://docs.google.com/spreadsheets/d/14Bd19lYaqBhU8_DElYkX7l4wRkHqqCUFNJY4AfY3kHU/edit?usp=sharing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4464" s="7" t="s">
        <v>29</v>
      </c>
    </row>
    <row r="4465" spans="1:10" ht="13.2">
      <c r="A4465" s="7">
        <v>4464</v>
      </c>
      <c r="B4465" s="7">
        <v>1</v>
      </c>
      <c r="C4465" s="7" t="s">
        <v>10</v>
      </c>
      <c r="D4465" s="7">
        <v>3050</v>
      </c>
      <c r="E4465" s="7" t="s">
        <v>28</v>
      </c>
      <c r="F4465" s="8" t="str">
        <f ca="1">IFERROR(__xludf.DUMMYFUNCTION("IF
(
C4466=""фізична особа""
,
VLOOKUP(D4466,IMPORTRANGE(""https://docs.google.com/spreadsheets/d/14Bd19lYaqBhU8_DElYkX7l4wRkHqqCUFNJY4AfY3kHU/edit?usp=sharing  #gid=0"",""фіз особи new!relations_name""),6,FALSE)
,
(IF
(
C4466=""юридична особа""
,
VLOOKUP"&amp;"(D4466,IMPORTRANGE(""https://docs.google.com/spreadsheets/d/14Bd19lYaqBhU8_DElYkX7l4wRkHqqCUFNJY4AfY3kHU/edit?usp=sharing  #gid=0"",""фіз особи new!relations_name_uo""),7,FALSE)
,
)
))"),"АВДОНІН Олексій Володимирович")</f>
        <v>АВДОНІН Олексій Володимирович</v>
      </c>
      <c r="G4465" s="7" t="s">
        <v>10</v>
      </c>
      <c r="H4465" s="7">
        <v>1309</v>
      </c>
      <c r="I4465" s="8" t="str">
        <f ca="1">IFERROR(__xludf.DUMMYFUNCTION("IF
(
G4466=""фізична особа""
,
VLOOKUP(H4466,IMPORTRANGE(""https://docs.google.com/spreadsheets/d/14Bd19lYaqBhU8_DElYkX7l4wRkHqqCUFNJY4AfY3kHU/edit?usp=sharing  #gid=0"",""фіз особи new!relations_name""),6,FALSE)
,
(IF
(
G4466=""юридична особа""
,
VLOOKUP"&amp;"(H4466,IMPORTRANGE(""https://docs.google.com/spreadsheets/d/14Bd19lYaqBhU8_DElYkX7l4wRkHqqCUFNJY4AfY3kHU/edit?usp=sharing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4465" s="7" t="s">
        <v>29</v>
      </c>
    </row>
    <row r="4466" spans="1:10" ht="13.2">
      <c r="A4466" s="7">
        <v>4465</v>
      </c>
      <c r="B4466" s="7">
        <v>1</v>
      </c>
      <c r="C4466" s="7" t="s">
        <v>10</v>
      </c>
      <c r="D4466" s="7">
        <v>3051</v>
      </c>
      <c r="E4466" s="7" t="s">
        <v>28</v>
      </c>
      <c r="F4466" s="8" t="str">
        <f ca="1">IFERROR(__xludf.DUMMYFUNCTION("IF
(
C4467=""фізична особа""
,
VLOOKUP(D4467,IMPORTRANGE(""https://docs.google.com/spreadsheets/d/14Bd19lYaqBhU8_DElYkX7l4wRkHqqCUFNJY4AfY3kHU/edit?usp=sharing  #gid=0"",""фіз особи new!relations_name""),6,FALSE)
,
(IF
(
C4467=""юридична особа""
,
VLOOKUP"&amp;"(D4467,IMPORTRANGE(""https://docs.google.com/spreadsheets/d/14Bd19lYaqBhU8_DElYkX7l4wRkHqqCUFNJY4AfY3kHU/edit?usp=sharing  #gid=0"",""фіз особи new!relations_name_uo""),7,FALSE)
,
)
))"),"ГУЧАС Ігор Вацлавасович")</f>
        <v>ГУЧАС Ігор Вацлавасович</v>
      </c>
      <c r="G4466" s="7" t="s">
        <v>10</v>
      </c>
      <c r="H4466" s="7">
        <v>1309</v>
      </c>
      <c r="I4466" s="8" t="str">
        <f ca="1">IFERROR(__xludf.DUMMYFUNCTION("IF
(
G4467=""фізична особа""
,
VLOOKUP(H4467,IMPORTRANGE(""https://docs.google.com/spreadsheets/d/14Bd19lYaqBhU8_DElYkX7l4wRkHqqCUFNJY4AfY3kHU/edit?usp=sharing  #gid=0"",""фіз особи new!relations_name""),6,FALSE)
,
(IF
(
G4467=""юридична особа""
,
VLOOKUP"&amp;"(H4467,IMPORTRANGE(""https://docs.google.com/spreadsheets/d/14Bd19lYaqBhU8_DElYkX7l4wRkHqqCUFNJY4AfY3kHU/edit?usp=sharing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4466" s="7" t="s">
        <v>29</v>
      </c>
    </row>
    <row r="4467" spans="1:10" ht="13.2">
      <c r="A4467" s="7">
        <v>4466</v>
      </c>
      <c r="B4467" s="7">
        <v>1</v>
      </c>
      <c r="C4467" s="7" t="s">
        <v>10</v>
      </c>
      <c r="D4467" s="7">
        <v>3052</v>
      </c>
      <c r="E4467" s="7" t="s">
        <v>28</v>
      </c>
      <c r="F4467" s="8" t="str">
        <f ca="1">IFERROR(__xludf.DUMMYFUNCTION("IF
(
C4468=""фізична особа""
,
VLOOKUP(D4468,IMPORTRANGE(""https://docs.google.com/spreadsheets/d/14Bd19lYaqBhU8_DElYkX7l4wRkHqqCUFNJY4AfY3kHU/edit?usp=sharing  #gid=0"",""фіз особи new!relations_name""),6,FALSE)
,
(IF
(
C4468=""юридична особа""
,
VLOOKUP"&amp;"(D4468,IMPORTRANGE(""https://docs.google.com/spreadsheets/d/14Bd19lYaqBhU8_DElYkX7l4wRkHqqCUFNJY4AfY3kHU/edit?usp=sharing  #gid=0"",""фіз особи new!relations_name_uo""),7,FALSE)
,
)
))"),"КІРЮХІН Олександр Вікторович")</f>
        <v>КІРЮХІН Олександр Вікторович</v>
      </c>
      <c r="G4467" s="7" t="s">
        <v>10</v>
      </c>
      <c r="H4467" s="7">
        <v>1309</v>
      </c>
      <c r="I4467" s="8" t="str">
        <f ca="1">IFERROR(__xludf.DUMMYFUNCTION("IF
(
G4468=""фізична особа""
,
VLOOKUP(H4468,IMPORTRANGE(""https://docs.google.com/spreadsheets/d/14Bd19lYaqBhU8_DElYkX7l4wRkHqqCUFNJY4AfY3kHU/edit?usp=sharing  #gid=0"",""фіз особи new!relations_name""),6,FALSE)
,
(IF
(
G4468=""юридична особа""
,
VLOOKUP"&amp;"(H4468,IMPORTRANGE(""https://docs.google.com/spreadsheets/d/14Bd19lYaqBhU8_DElYkX7l4wRkHqqCUFNJY4AfY3kHU/edit?usp=sharing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4467" s="7" t="s">
        <v>29</v>
      </c>
    </row>
    <row r="4468" spans="1:10" ht="13.2">
      <c r="A4468" s="7">
        <v>4467</v>
      </c>
      <c r="B4468" s="7">
        <v>1</v>
      </c>
      <c r="C4468" s="7" t="s">
        <v>10</v>
      </c>
      <c r="D4468" s="7">
        <v>3052</v>
      </c>
      <c r="E4468" s="7" t="s">
        <v>12</v>
      </c>
      <c r="F4468" s="8" t="str">
        <f ca="1">IFERROR(__xludf.DUMMYFUNCTION("IF
(
C4469=""фізична особа""
,
VLOOKUP(D4469,IMPORTRANGE(""https://docs.google.com/spreadsheets/d/14Bd19lYaqBhU8_DElYkX7l4wRkHqqCUFNJY4AfY3kHU/edit?usp=sharing  #gid=0"",""фіз особи new!relations_name""),6,FALSE)
,
(IF
(
C4469=""юридична особа""
,
VLOOKUP"&amp;"(D4469,IMPORTRANGE(""https://docs.google.com/spreadsheets/d/14Bd19lYaqBhU8_DElYkX7l4wRkHqqCUFNJY4AfY3kHU/edit?usp=sharing  #gid=0"",""фіз особи new!relations_name_uo""),7,FALSE)
,
)
))"),"КІРЮХІН Олександр Вікторович")</f>
        <v>КІРЮХІН Олександр Вікторович</v>
      </c>
      <c r="G4468" s="7" t="s">
        <v>10</v>
      </c>
      <c r="H4468" s="7">
        <v>0</v>
      </c>
      <c r="I4468" s="8" t="str">
        <f ca="1">IFERROR(__xludf.DUMMYFUNCTION("IF
(
G4469=""фізична особа""
,
VLOOKUP(H4469,IMPORTRANGE(""https://docs.google.com/spreadsheets/d/14Bd19lYaqBhU8_DElYkX7l4wRkHqqCUFNJY4AfY3kHU/edit?usp=sharing  #gid=0"",""фіз особи new!relations_name""),6,FALSE)
,
(IF
(
G4469=""юридична особа""
,
VLOOKUP"&amp;"(H4469,IMPORTRANGE(""https://docs.google.com/spreadsheets/d/14Bd19lYaqBhU8_DElYkX7l4wRkHqqCUFNJY4AfY3kHU/edit?usp=sharing  #gid=0"",""фіз особи new!relations_name_uo""),7,FALSE)
,
)
))"),"#N/A")</f>
        <v>#N/A</v>
      </c>
      <c r="J4468" s="7" t="s">
        <v>17</v>
      </c>
    </row>
    <row r="4469" spans="1:10" ht="13.2">
      <c r="A4469" s="7">
        <v>4468</v>
      </c>
      <c r="B4469" s="7">
        <v>1</v>
      </c>
      <c r="C4469" s="7" t="s">
        <v>10</v>
      </c>
      <c r="D4469" s="7">
        <v>3052</v>
      </c>
      <c r="E4469" s="7" t="s">
        <v>14</v>
      </c>
      <c r="F4469" s="8" t="str">
        <f ca="1">IFERROR(__xludf.DUMMYFUNCTION("IF
(
C4470=""фізична особа""
,
VLOOKUP(D4470,IMPORTRANGE(""https://docs.google.com/spreadsheets/d/14Bd19lYaqBhU8_DElYkX7l4wRkHqqCUFNJY4AfY3kHU/edit?usp=sharing  #gid=0"",""фіз особи new!relations_name""),6,FALSE)
,
(IF
(
C4470=""юридична особа""
,
VLOOKUP"&amp;"(D4470,IMPORTRANGE(""https://docs.google.com/spreadsheets/d/14Bd19lYaqBhU8_DElYkX7l4wRkHqqCUFNJY4AfY3kHU/edit?usp=sharing  #gid=0"",""фіз особи new!relations_name_uo""),7,FALSE)
,
)
))"),"КІРЮХІН Олександр Вікторович")</f>
        <v>КІРЮХІН Олександр Вікторович</v>
      </c>
      <c r="G4469" s="7" t="s">
        <v>10</v>
      </c>
      <c r="H4469" s="7">
        <v>0</v>
      </c>
      <c r="I4469" s="8" t="str">
        <f ca="1">IFERROR(__xludf.DUMMYFUNCTION("IF
(
G4470=""фізична особа""
,
VLOOKUP(H4470,IMPORTRANGE(""https://docs.google.com/spreadsheets/d/14Bd19lYaqBhU8_DElYkX7l4wRkHqqCUFNJY4AfY3kHU/edit?usp=sharing  #gid=0"",""фіз особи new!relations_name""),6,FALSE)
,
(IF
(
G4470=""юридична особа""
,
VLOOKUP"&amp;"(H4470,IMPORTRANGE(""https://docs.google.com/spreadsheets/d/14Bd19lYaqBhU8_DElYkX7l4wRkHqqCUFNJY4AfY3kHU/edit?usp=sharing  #gid=0"",""фіз особи new!relations_name_uo""),7,FALSE)
,
)
))"),"#N/A")</f>
        <v>#N/A</v>
      </c>
      <c r="J4469" s="7" t="s">
        <v>15</v>
      </c>
    </row>
    <row r="4470" spans="1:10" ht="13.2">
      <c r="A4470" s="7">
        <v>4469</v>
      </c>
      <c r="B4470" s="7">
        <v>1</v>
      </c>
      <c r="C4470" s="7" t="s">
        <v>10</v>
      </c>
      <c r="D4470" s="7">
        <v>3053</v>
      </c>
      <c r="E4470" s="7" t="s">
        <v>29</v>
      </c>
      <c r="F4470" s="8" t="str">
        <f ca="1">IFERROR(__xludf.DUMMYFUNCTION("IF
(
C4471=""фізична особа""
,
VLOOKUP(D4471,IMPORTRANGE(""https://docs.google.com/spreadsheets/d/14Bd19lYaqBhU8_DElYkX7l4wRkHqqCUFNJY4AfY3kHU/edit?usp=sharing  #gid=0"",""фіз особи new!relations_name""),6,FALSE)
,
(IF
(
C4471=""юридична особа""
,
VLOOKUP"&amp;"(D4471,IMPORTRANGE(""https://docs.google.com/spreadsheets/d/14Bd19lYaqBhU8_DElYkX7l4wRkHqqCUFNJY4AfY3kHU/edit?usp=sharing  #gid=0"",""фіз особи new!relations_name_uo""),7,FALSE)
,
)
))"),"ЯКОВЛЄВА Тетяна Володимирівна")</f>
        <v>ЯКОВЛЄВА Тетяна Володимирівна</v>
      </c>
      <c r="G4470" s="7" t="s">
        <v>10</v>
      </c>
      <c r="H4470" s="7">
        <v>1185</v>
      </c>
      <c r="I4470" s="8" t="str">
        <f ca="1">IFERROR(__xludf.DUMMYFUNCTION("IF
(
G4471=""фізична особа""
,
VLOOKUP(H4471,IMPORTRANGE(""https://docs.google.com/spreadsheets/d/14Bd19lYaqBhU8_DElYkX7l4wRkHqqCUFNJY4AfY3kHU/edit?usp=sharing  #gid=0"",""фіз особи new!relations_name""),6,FALSE)
,
(IF
(
G4471=""юридична особа""
,
VLOOKUP"&amp;"(H4471,IMPORTRANGE(""https://docs.google.com/spreadsheets/d/14Bd19lYaqBhU8_DElYkX7l4wRkHqqCUFNJY4AfY3kHU/edit?usp=sharing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4470" s="7" t="s">
        <v>28</v>
      </c>
    </row>
    <row r="4471" spans="1:10" ht="13.2">
      <c r="A4471" s="7">
        <v>4470</v>
      </c>
      <c r="B4471" s="7">
        <v>1</v>
      </c>
      <c r="C4471" s="7" t="s">
        <v>10</v>
      </c>
      <c r="D4471" s="7">
        <v>3054</v>
      </c>
      <c r="E4471" s="7" t="s">
        <v>29</v>
      </c>
      <c r="F4471" s="8" t="str">
        <f ca="1">IFERROR(__xludf.DUMMYFUNCTION("IF
(
C4472=""фізична особа""
,
VLOOKUP(D4472,IMPORTRANGE(""https://docs.google.com/spreadsheets/d/14Bd19lYaqBhU8_DElYkX7l4wRkHqqCUFNJY4AfY3kHU/edit?usp=sharing  #gid=0"",""фіз особи new!relations_name""),6,FALSE)
,
(IF
(
C4472=""юридична особа""
,
VLOOKUP"&amp;"(D4472,IMPORTRANGE(""https://docs.google.com/spreadsheets/d/14Bd19lYaqBhU8_DElYkX7l4wRkHqqCUFNJY4AfY3kHU/edit?usp=sharing  #gid=0"",""фіз особи new!relations_name_uo""),7,FALSE)
,
)
))"),"БОРИСЕВИЧ Ігор Володимирович")</f>
        <v>БОРИСЕВИЧ Ігор Володимирович</v>
      </c>
      <c r="G4471" s="7" t="s">
        <v>10</v>
      </c>
      <c r="H4471" s="7">
        <v>1185</v>
      </c>
      <c r="I4471" s="8" t="str">
        <f ca="1">IFERROR(__xludf.DUMMYFUNCTION("IF
(
G4472=""фізична особа""
,
VLOOKUP(H4472,IMPORTRANGE(""https://docs.google.com/spreadsheets/d/14Bd19lYaqBhU8_DElYkX7l4wRkHqqCUFNJY4AfY3kHU/edit?usp=sharing  #gid=0"",""фіз особи new!relations_name""),6,FALSE)
,
(IF
(
G4472=""юридична особа""
,
VLOOKUP"&amp;"(H4472,IMPORTRANGE(""https://docs.google.com/spreadsheets/d/14Bd19lYaqBhU8_DElYkX7l4wRkHqqCUFNJY4AfY3kHU/edit?usp=sharing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4471" s="7" t="s">
        <v>28</v>
      </c>
    </row>
    <row r="4472" spans="1:10" ht="13.2">
      <c r="A4472" s="7">
        <v>4471</v>
      </c>
      <c r="B4472" s="7">
        <v>1</v>
      </c>
      <c r="C4472" s="7" t="s">
        <v>10</v>
      </c>
      <c r="D4472" s="7">
        <v>3055</v>
      </c>
      <c r="E4472" s="7" t="s">
        <v>29</v>
      </c>
      <c r="F4472" s="8" t="str">
        <f ca="1">IFERROR(__xludf.DUMMYFUNCTION("IF
(
C4473=""фізична особа""
,
VLOOKUP(D4473,IMPORTRANGE(""https://docs.google.com/spreadsheets/d/14Bd19lYaqBhU8_DElYkX7l4wRkHqqCUFNJY4AfY3kHU/edit?usp=sharing  #gid=0"",""фіз особи new!relations_name""),6,FALSE)
,
(IF
(
C4473=""юридична особа""
,
VLOOKUP"&amp;"(D4473,IMPORTRANGE(""https://docs.google.com/spreadsheets/d/14Bd19lYaqBhU8_DElYkX7l4wRkHqqCUFNJY4AfY3kHU/edit?usp=sharing  #gid=0"",""фіз особи new!relations_name_uo""),7,FALSE)
,
)
))"),"СТАДЧЕНКО Наталія Миколаївна")</f>
        <v>СТАДЧЕНКО Наталія Миколаївна</v>
      </c>
      <c r="G4472" s="7" t="s">
        <v>10</v>
      </c>
      <c r="H4472" s="7">
        <v>1185</v>
      </c>
      <c r="I4472" s="8" t="str">
        <f ca="1">IFERROR(__xludf.DUMMYFUNCTION("IF
(
G4473=""фізична особа""
,
VLOOKUP(H4473,IMPORTRANGE(""https://docs.google.com/spreadsheets/d/14Bd19lYaqBhU8_DElYkX7l4wRkHqqCUFNJY4AfY3kHU/edit?usp=sharing  #gid=0"",""фіз особи new!relations_name""),6,FALSE)
,
(IF
(
G4473=""юридична особа""
,
VLOOKUP"&amp;"(H4473,IMPORTRANGE(""https://docs.google.com/spreadsheets/d/14Bd19lYaqBhU8_DElYkX7l4wRkHqqCUFNJY4AfY3kHU/edit?usp=sharing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4472" s="7" t="s">
        <v>28</v>
      </c>
    </row>
    <row r="4473" spans="1:10" ht="13.2">
      <c r="A4473" s="7">
        <v>4472</v>
      </c>
      <c r="B4473" s="7">
        <v>1</v>
      </c>
      <c r="C4473" s="7" t="s">
        <v>10</v>
      </c>
      <c r="D4473" s="7">
        <v>3056</v>
      </c>
      <c r="E4473" s="7" t="s">
        <v>29</v>
      </c>
      <c r="F4473" s="8" t="str">
        <f ca="1">IFERROR(__xludf.DUMMYFUNCTION("IF
(
C4474=""фізична особа""
,
VLOOKUP(D4474,IMPORTRANGE(""https://docs.google.com/spreadsheets/d/14Bd19lYaqBhU8_DElYkX7l4wRkHqqCUFNJY4AfY3kHU/edit?usp=sharing  #gid=0"",""фіз особи new!relations_name""),6,FALSE)
,
(IF
(
C4474=""юридична особа""
,
VLOOKUP"&amp;"(D4474,IMPORTRANGE(""https://docs.google.com/spreadsheets/d/14Bd19lYaqBhU8_DElYkX7l4wRkHqqCUFNJY4AfY3kHU/edit?usp=sharing  #gid=0"",""фіз особи new!relations_name_uo""),7,FALSE)
,
)
))"),"МИХАЙЛОВА Наталія Миколаївна")</f>
        <v>МИХАЙЛОВА Наталія Миколаївна</v>
      </c>
      <c r="G4473" s="7" t="s">
        <v>10</v>
      </c>
      <c r="H4473" s="7">
        <v>1185</v>
      </c>
      <c r="I4473" s="8" t="str">
        <f ca="1">IFERROR(__xludf.DUMMYFUNCTION("IF
(
G4474=""фізична особа""
,
VLOOKUP(H4474,IMPORTRANGE(""https://docs.google.com/spreadsheets/d/14Bd19lYaqBhU8_DElYkX7l4wRkHqqCUFNJY4AfY3kHU/edit?usp=sharing  #gid=0"",""фіз особи new!relations_name""),6,FALSE)
,
(IF
(
G4474=""юридична особа""
,
VLOOKUP"&amp;"(H4474,IMPORTRANGE(""https://docs.google.com/spreadsheets/d/14Bd19lYaqBhU8_DElYkX7l4wRkHqqCUFNJY4AfY3kHU/edit?usp=sharing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4473" s="7" t="s">
        <v>28</v>
      </c>
    </row>
    <row r="4474" spans="1:10" ht="13.2">
      <c r="A4474" s="7">
        <v>4473</v>
      </c>
      <c r="B4474" s="7">
        <v>1</v>
      </c>
      <c r="C4474" s="7" t="s">
        <v>10</v>
      </c>
      <c r="D4474" s="7">
        <v>3057</v>
      </c>
      <c r="E4474" s="7" t="s">
        <v>29</v>
      </c>
      <c r="F4474" s="8" t="str">
        <f ca="1">IFERROR(__xludf.DUMMYFUNCTION("IF
(
C4475=""фізична особа""
,
VLOOKUP(D4475,IMPORTRANGE(""https://docs.google.com/spreadsheets/d/14Bd19lYaqBhU8_DElYkX7l4wRkHqqCUFNJY4AfY3kHU/edit?usp=sharing  #gid=0"",""фіз особи new!relations_name""),6,FALSE)
,
(IF
(
C4475=""юридична особа""
,
VLOOKUP"&amp;"(D4475,IMPORTRANGE(""https://docs.google.com/spreadsheets/d/14Bd19lYaqBhU8_DElYkX7l4wRkHqqCUFNJY4AfY3kHU/edit?usp=sharing  #gid=0"",""фіз особи new!relations_name_uo""),7,FALSE)
,
)
))"),"ДИДИКІН Андрій Валерійович")</f>
        <v>ДИДИКІН Андрій Валерійович</v>
      </c>
      <c r="G4474" s="7" t="s">
        <v>10</v>
      </c>
      <c r="H4474" s="7">
        <v>1185</v>
      </c>
      <c r="I4474" s="8" t="str">
        <f ca="1">IFERROR(__xludf.DUMMYFUNCTION("IF
(
G4475=""фізична особа""
,
VLOOKUP(H4475,IMPORTRANGE(""https://docs.google.com/spreadsheets/d/14Bd19lYaqBhU8_DElYkX7l4wRkHqqCUFNJY4AfY3kHU/edit?usp=sharing  #gid=0"",""фіз особи new!relations_name""),6,FALSE)
,
(IF
(
G4475=""юридична особа""
,
VLOOKUP"&amp;"(H4475,IMPORTRANGE(""https://docs.google.com/spreadsheets/d/14Bd19lYaqBhU8_DElYkX7l4wRkHqqCUFNJY4AfY3kHU/edit?usp=sharing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4474" s="7" t="s">
        <v>28</v>
      </c>
    </row>
    <row r="4475" spans="1:10" ht="13.2">
      <c r="A4475" s="7">
        <v>4474</v>
      </c>
      <c r="B4475" s="7">
        <v>1</v>
      </c>
      <c r="C4475" s="7" t="s">
        <v>10</v>
      </c>
      <c r="D4475" s="7">
        <v>3058</v>
      </c>
      <c r="E4475" s="7" t="s">
        <v>15</v>
      </c>
      <c r="F4475" s="8" t="str">
        <f ca="1">IFERROR(__xludf.DUMMYFUNCTION("IF
(
C4476=""фізична особа""
,
VLOOKUP(D4476,IMPORTRANGE(""https://docs.google.com/spreadsheets/d/14Bd19lYaqBhU8_DElYkX7l4wRkHqqCUFNJY4AfY3kHU/edit?usp=sharing  #gid=0"",""фіз особи new!relations_name""),6,FALSE)
,
(IF
(
C4476=""юридична особа""
,
VLOOKUP"&amp;"(D4476,IMPORTRANGE(""https://docs.google.com/spreadsheets/d/14Bd19lYaqBhU8_DElYkX7l4wRkHqqCUFNJY4AfY3kHU/edit?usp=sharing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G4475" s="7" t="s">
        <v>10</v>
      </c>
      <c r="H4475" s="7">
        <v>0</v>
      </c>
      <c r="I4475" s="8" t="str">
        <f ca="1">IFERROR(__xludf.DUMMYFUNCTION("IF
(
G4476=""фізична особа""
,
VLOOKUP(H4476,IMPORTRANGE(""https://docs.google.com/spreadsheets/d/14Bd19lYaqBhU8_DElYkX7l4wRkHqqCUFNJY4AfY3kHU/edit?usp=sharing  #gid=0"",""фіз особи new!relations_name""),6,FALSE)
,
(IF
(
G4476=""юридична особа""
,
VLOOKUP"&amp;"(H4476,IMPORTRANGE(""https://docs.google.com/spreadsheets/d/14Bd19lYaqBhU8_DElYkX7l4wRkHqqCUFNJY4AfY3kHU/edit?usp=sharing  #gid=0"",""фіз особи new!relations_name_uo""),7,FALSE)
,
)
))"),"#N/A")</f>
        <v>#N/A</v>
      </c>
      <c r="J4475" s="7" t="s">
        <v>14</v>
      </c>
    </row>
    <row r="4476" spans="1:10" ht="13.2">
      <c r="A4476" s="7">
        <v>4475</v>
      </c>
      <c r="B4476" s="7">
        <v>1</v>
      </c>
      <c r="C4476" s="7" t="s">
        <v>10</v>
      </c>
      <c r="D4476" s="7">
        <v>3058</v>
      </c>
      <c r="E4476" s="7" t="s">
        <v>28</v>
      </c>
      <c r="F4476" s="8" t="str">
        <f ca="1">IFERROR(__xludf.DUMMYFUNCTION("IF
(
C4477=""фізична особа""
,
VLOOKUP(D4477,IMPORTRANGE(""https://docs.google.com/spreadsheets/d/14Bd19lYaqBhU8_DElYkX7l4wRkHqqCUFNJY4AfY3kHU/edit?usp=sharing  #gid=0"",""фіз особи new!relations_name""),6,FALSE)
,
(IF
(
C4477=""юридична особа""
,
VLOOKUP"&amp;"(D4477,IMPORTRANGE(""https://docs.google.com/spreadsheets/d/14Bd19lYaqBhU8_DElYkX7l4wRkHqqCUFNJY4AfY3kHU/edit?usp=sharing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G4476" s="7" t="s">
        <v>10</v>
      </c>
      <c r="H4476" s="7">
        <v>669</v>
      </c>
      <c r="I4476" s="8" t="str">
        <f ca="1">IFERROR(__xludf.DUMMYFUNCTION("IF
(
G4477=""фізична особа""
,
VLOOKUP(H4477,IMPORTRANGE(""https://docs.google.com/spreadsheets/d/14Bd19lYaqBhU8_DElYkX7l4wRkHqqCUFNJY4AfY3kHU/edit?usp=sharing  #gid=0"",""фіз особи new!relations_name""),6,FALSE)
,
(IF
(
G4477=""юридична особа""
,
VLOOKUP"&amp;"(H4477,IMPORTRANGE(""https://docs.google.com/spreadsheets/d/14Bd19lYaqBhU8_DElYkX7l4wRkHqqCUFNJY4AfY3kHU/edit?usp=sharing  #gid=0"",""фіз особи new!relations_name_uo""),7,FALSE)
,
)
))"),"КІРІЄНКО Сергій Владиленович")</f>
        <v>КІРІЄНКО Сергій Владиленович</v>
      </c>
      <c r="J4476" s="7" t="s">
        <v>29</v>
      </c>
    </row>
    <row r="4477" spans="1:10" ht="13.2">
      <c r="A4477" s="7">
        <v>4476</v>
      </c>
      <c r="B4477" s="7">
        <v>1</v>
      </c>
      <c r="C4477" s="7" t="s">
        <v>10</v>
      </c>
      <c r="D4477" s="7">
        <v>3059</v>
      </c>
      <c r="E4477" s="7" t="s">
        <v>28</v>
      </c>
      <c r="F4477" s="8" t="str">
        <f ca="1">IFERROR(__xludf.DUMMYFUNCTION("IF
(
C4478=""фізична особа""
,
VLOOKUP(D4478,IMPORTRANGE(""https://docs.google.com/spreadsheets/d/14Bd19lYaqBhU8_DElYkX7l4wRkHqqCUFNJY4AfY3kHU/edit?usp=sharing  #gid=0"",""фіз особи new!relations_name""),6,FALSE)
,
(IF
(
C4478=""юридична особа""
,
VLOOKUP"&amp;"(D4478,IMPORTRANGE(""https://docs.google.com/spreadsheets/d/14Bd19lYaqBhU8_DElYkX7l4wRkHqqCUFNJY4AfY3kHU/edit?usp=sharing  #gid=0"",""фіз особи new!relations_name_uo""),7,FALSE)
,
)
))"),"АБРАМОВ Павло Володимирович")</f>
        <v>АБРАМОВ Павло Володимирович</v>
      </c>
      <c r="G4477" s="7" t="s">
        <v>10</v>
      </c>
      <c r="H4477" s="7">
        <v>3058</v>
      </c>
      <c r="I4477" s="8" t="str">
        <f ca="1">IFERROR(__xludf.DUMMYFUNCTION("IF
(
G4478=""фізична особа""
,
VLOOKUP(H4478,IMPORTRANGE(""https://docs.google.com/spreadsheets/d/14Bd19lYaqBhU8_DElYkX7l4wRkHqqCUFNJY4AfY3kHU/edit?usp=sharing  #gid=0"",""фіз особи new!relations_name""),6,FALSE)
,
(IF
(
G4478=""юридична особа""
,
VLOOKUP"&amp;"(H4478,IMPORTRANGE(""https://docs.google.com/spreadsheets/d/14Bd19lYaqBhU8_DElYkX7l4wRkHqqCUFNJY4AfY3kHU/edit?usp=sharing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4477" s="7" t="s">
        <v>29</v>
      </c>
    </row>
    <row r="4478" spans="1:10" ht="13.2">
      <c r="A4478" s="7">
        <v>4477</v>
      </c>
      <c r="B4478" s="7">
        <v>1</v>
      </c>
      <c r="C4478" s="7" t="s">
        <v>10</v>
      </c>
      <c r="D4478" s="7">
        <v>3060</v>
      </c>
      <c r="E4478" s="7" t="s">
        <v>28</v>
      </c>
      <c r="F4478" s="8" t="str">
        <f ca="1">IFERROR(__xludf.DUMMYFUNCTION("IF
(
C4479=""фізична особа""
,
VLOOKUP(D4479,IMPORTRANGE(""https://docs.google.com/spreadsheets/d/14Bd19lYaqBhU8_DElYkX7l4wRkHqqCUFNJY4AfY3kHU/edit?usp=sharing  #gid=0"",""фіз особи new!relations_name""),6,FALSE)
,
(IF
(
C4479=""юридична особа""
,
VLOOKUP"&amp;"(D4479,IMPORTRANGE(""https://docs.google.com/spreadsheets/d/14Bd19lYaqBhU8_DElYkX7l4wRkHqqCUFNJY4AfY3kHU/edit?usp=sharing  #gid=0"",""фіз особи new!relations_name_uo""),7,FALSE)
,
)
))"),"ФАТТАХОВ Дамір Ільдусович")</f>
        <v>ФАТТАХОВ Дамір Ільдусович</v>
      </c>
      <c r="G4478" s="7" t="s">
        <v>10</v>
      </c>
      <c r="H4478" s="7">
        <v>3058</v>
      </c>
      <c r="I4478" s="8" t="str">
        <f ca="1">IFERROR(__xludf.DUMMYFUNCTION("IF
(
G4479=""фізична особа""
,
VLOOKUP(H4479,IMPORTRANGE(""https://docs.google.com/spreadsheets/d/14Bd19lYaqBhU8_DElYkX7l4wRkHqqCUFNJY4AfY3kHU/edit?usp=sharing  #gid=0"",""фіз особи new!relations_name""),6,FALSE)
,
(IF
(
G4479=""юридична особа""
,
VLOOKUP"&amp;"(H4479,IMPORTRANGE(""https://docs.google.com/spreadsheets/d/14Bd19lYaqBhU8_DElYkX7l4wRkHqqCUFNJY4AfY3kHU/edit?usp=sharing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4478" s="7" t="s">
        <v>29</v>
      </c>
    </row>
    <row r="4479" spans="1:10" ht="13.2">
      <c r="A4479" s="7">
        <v>4478</v>
      </c>
      <c r="B4479" s="7">
        <v>1</v>
      </c>
      <c r="C4479" s="7" t="s">
        <v>10</v>
      </c>
      <c r="D4479" s="7">
        <v>3061</v>
      </c>
      <c r="E4479" s="7" t="s">
        <v>28</v>
      </c>
      <c r="F4479" s="8" t="str">
        <f ca="1">IFERROR(__xludf.DUMMYFUNCTION("IF
(
C4480=""фізична особа""
,
VLOOKUP(D4480,IMPORTRANGE(""https://docs.google.com/spreadsheets/d/14Bd19lYaqBhU8_DElYkX7l4wRkHqqCUFNJY4AfY3kHU/edit?usp=sharing  #gid=0"",""фіз особи new!relations_name""),6,FALSE)
,
(IF
(
C4480=""юридична особа""
,
VLOOKUP"&amp;"(D4480,IMPORTRANGE(""https://docs.google.com/spreadsheets/d/14Bd19lYaqBhU8_DElYkX7l4wRkHqqCUFNJY4AfY3kHU/edit?usp=sharing  #gid=0"",""фіз особи new!relations_name_uo""),7,FALSE)
,
)
))"),"ПЛАТОНОВ Андрій Іванович")</f>
        <v>ПЛАТОНОВ Андрій Іванович</v>
      </c>
      <c r="G4479" s="7" t="s">
        <v>10</v>
      </c>
      <c r="H4479" s="7">
        <v>3058</v>
      </c>
      <c r="I4479" s="8" t="str">
        <f ca="1">IFERROR(__xludf.DUMMYFUNCTION("IF
(
G4480=""фізична особа""
,
VLOOKUP(H4480,IMPORTRANGE(""https://docs.google.com/spreadsheets/d/14Bd19lYaqBhU8_DElYkX7l4wRkHqqCUFNJY4AfY3kHU/edit?usp=sharing  #gid=0"",""фіз особи new!relations_name""),6,FALSE)
,
(IF
(
G4480=""юридична особа""
,
VLOOKUP"&amp;"(H4480,IMPORTRANGE(""https://docs.google.com/spreadsheets/d/14Bd19lYaqBhU8_DElYkX7l4wRkHqqCUFNJY4AfY3kHU/edit?usp=sharing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4479" s="7" t="s">
        <v>29</v>
      </c>
    </row>
    <row r="4480" spans="1:10" ht="13.2">
      <c r="A4480" s="7">
        <v>4479</v>
      </c>
      <c r="B4480" s="7">
        <v>1</v>
      </c>
      <c r="C4480" s="7" t="s">
        <v>10</v>
      </c>
      <c r="D4480" s="7">
        <v>3061</v>
      </c>
      <c r="E4480" s="7" t="s">
        <v>28</v>
      </c>
      <c r="F4480" s="8" t="str">
        <f ca="1">IFERROR(__xludf.DUMMYFUNCTION("IF
(
C4481=""фізична особа""
,
VLOOKUP(D4481,IMPORTRANGE(""https://docs.google.com/spreadsheets/d/14Bd19lYaqBhU8_DElYkX7l4wRkHqqCUFNJY4AfY3kHU/edit?usp=sharing  #gid=0"",""фіз особи new!relations_name""),6,FALSE)
,
(IF
(
C4481=""юридична особа""
,
VLOOKUP"&amp;"(D4481,IMPORTRANGE(""https://docs.google.com/spreadsheets/d/14Bd19lYaqBhU8_DElYkX7l4wRkHqqCUFNJY4AfY3kHU/edit?usp=sharing  #gid=0"",""фіз особи new!relations_name_uo""),7,FALSE)
,
)
))"),"ПЛАТОНОВ Андрій Іванович")</f>
        <v>ПЛАТОНОВ Андрій Іванович</v>
      </c>
      <c r="G4480" s="7" t="s">
        <v>10</v>
      </c>
      <c r="H4480" s="7">
        <v>2419</v>
      </c>
      <c r="I4480" s="8" t="str">
        <f ca="1">IFERROR(__xludf.DUMMYFUNCTION("IF
(
G4481=""фізична особа""
,
VLOOKUP(H4481,IMPORTRANGE(""https://docs.google.com/spreadsheets/d/14Bd19lYaqBhU8_DElYkX7l4wRkHqqCUFNJY4AfY3kHU/edit?usp=sharing  #gid=0"",""фіз особи new!relations_name""),6,FALSE)
,
(IF
(
G4481=""юридична особа""
,
VLOOKUP"&amp;"(H4481,IMPORTRANGE(""https://docs.google.com/spreadsheets/d/14Bd19lYaqBhU8_DElYkX7l4wRkHqqCUFNJY4AfY3kHU/edit?usp=sharing  #gid=0"",""фіз особи new!relations_name_uo""),7,FALSE)
,
)
))"),"БУГАЄВ Олександр В'ячеславович")</f>
        <v>БУГАЄВ Олександр В'ячеславович</v>
      </c>
      <c r="J4480" s="7" t="s">
        <v>29</v>
      </c>
    </row>
    <row r="4481" spans="1:10" ht="13.2">
      <c r="A4481" s="7">
        <v>4480</v>
      </c>
      <c r="B4481" s="7">
        <v>1</v>
      </c>
      <c r="C4481" s="7" t="s">
        <v>10</v>
      </c>
      <c r="D4481" s="7">
        <v>3062</v>
      </c>
      <c r="E4481" s="7" t="s">
        <v>28</v>
      </c>
      <c r="F4481" s="8" t="str">
        <f ca="1">IFERROR(__xludf.DUMMYFUNCTION("IF
(
C4482=""фізична особа""
,
VLOOKUP(D4482,IMPORTRANGE(""https://docs.google.com/spreadsheets/d/14Bd19lYaqBhU8_DElYkX7l4wRkHqqCUFNJY4AfY3kHU/edit?usp=sharing  #gid=0"",""фіз особи new!relations_name""),6,FALSE)
,
(IF
(
C4482=""юридична особа""
,
VLOOKUP"&amp;"(D4482,IMPORTRANGE(""https://docs.google.com/spreadsheets/d/14Bd19lYaqBhU8_DElYkX7l4wRkHqqCUFNJY4AfY3kHU/edit?usp=sharing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G4481" s="7" t="s">
        <v>10</v>
      </c>
      <c r="H4481" s="7">
        <v>431</v>
      </c>
      <c r="I4481" s="8" t="str">
        <f ca="1">IFERROR(__xludf.DUMMYFUNCTION("IF
(
G4482=""фізична особа""
,
VLOOKUP(H4482,IMPORTRANGE(""https://docs.google.com/spreadsheets/d/14Bd19lYaqBhU8_DElYkX7l4wRkHqqCUFNJY4AfY3kHU/edit?usp=sharing  #gid=0"",""фіз особи new!relations_name""),6,FALSE)
,
(IF
(
G4482=""юридична особа""
,
VLOOKUP"&amp;"(H4482,IMPORTRANGE(""https://docs.google.com/spreadsheets/d/14Bd19lYaqBhU8_DElYkX7l4wRkHqqCUFNJY4AfY3kHU/edit?usp=sharing  #gid=0"",""фіз особи new!relations_name_uo""),7,FALSE)
,
)
))"),"ІВАНОВ Максим Анатолійович")</f>
        <v>ІВАНОВ Максим Анатолійович</v>
      </c>
      <c r="J4481" s="7" t="s">
        <v>29</v>
      </c>
    </row>
    <row r="4482" spans="1:10" ht="13.2">
      <c r="A4482" s="7">
        <v>4481</v>
      </c>
      <c r="B4482" s="7">
        <v>1</v>
      </c>
      <c r="C4482" s="7" t="s">
        <v>10</v>
      </c>
      <c r="D4482" s="7">
        <v>3063</v>
      </c>
      <c r="E4482" s="7" t="s">
        <v>31</v>
      </c>
      <c r="F4482" s="8" t="str">
        <f ca="1">IFERROR(__xludf.DUMMYFUNCTION("IF
(
C4483=""фізична особа""
,
VLOOKUP(D4483,IMPORTRANGE(""https://docs.google.com/spreadsheets/d/14Bd19lYaqBhU8_DElYkX7l4wRkHqqCUFNJY4AfY3kHU/edit?usp=sharing  #gid=0"",""фіз особи new!relations_name""),6,FALSE)
,
(IF
(
C4483=""юридична особа""
,
VLOOKUP"&amp;"(D4483,IMPORTRANGE(""https://docs.google.com/spreadsheets/d/14Bd19lYaqBhU8_DElYkX7l4wRkHqqCUFNJY4AfY3kHU/edit?usp=sharing  #gid=0"",""фіз особи new!relations_name_uo""),7,FALSE)
,
)
))"),"КОТОВА Ганна Вікторівна")</f>
        <v>КОТОВА Ганна Вікторівна</v>
      </c>
      <c r="G4482" s="7" t="s">
        <v>10</v>
      </c>
      <c r="H4482" s="7">
        <v>0</v>
      </c>
      <c r="I4482" s="8" t="str">
        <f ca="1">IFERROR(__xludf.DUMMYFUNCTION("IF
(
G4483=""фізична особа""
,
VLOOKUP(H4483,IMPORTRANGE(""https://docs.google.com/spreadsheets/d/14Bd19lYaqBhU8_DElYkX7l4wRkHqqCUFNJY4AfY3kHU/edit?usp=sharing  #gid=0"",""фіз особи new!relations_name""),6,FALSE)
,
(IF
(
G4483=""юридична особа""
,
VLOOKUP"&amp;"(H4483,IMPORTRANGE(""https://docs.google.com/spreadsheets/d/14Bd19lYaqBhU8_DElYkX7l4wRkHqqCUFNJY4AfY3kHU/edit?usp=sharing  #gid=0"",""фіз особи new!relations_name_uo""),7,FALSE)
,
)
))"),"#N/A")</f>
        <v>#N/A</v>
      </c>
      <c r="J4482" s="7" t="s">
        <v>18</v>
      </c>
    </row>
    <row r="4483" spans="1:10" ht="13.2">
      <c r="A4483" s="7">
        <v>4482</v>
      </c>
      <c r="B4483" s="7">
        <v>1</v>
      </c>
      <c r="C4483" s="7" t="s">
        <v>10</v>
      </c>
      <c r="D4483" s="7">
        <v>3064</v>
      </c>
      <c r="E4483" s="7" t="s">
        <v>28</v>
      </c>
      <c r="F4483" s="8" t="str">
        <f ca="1">IFERROR(__xludf.DUMMYFUNCTION("IF
(
C4484=""фізична особа""
,
VLOOKUP(D4484,IMPORTRANGE(""https://docs.google.com/spreadsheets/d/14Bd19lYaqBhU8_DElYkX7l4wRkHqqCUFNJY4AfY3kHU/edit?usp=sharing  #gid=0"",""фіз особи new!relations_name""),6,FALSE)
,
(IF
(
C4484=""юридична особа""
,
VLOOKUP"&amp;"(D4484,IMPORTRANGE(""https://docs.google.com/spreadsheets/d/14Bd19lYaqBhU8_DElYkX7l4wRkHqqCUFNJY4AfY3kHU/edit?usp=sharing  #gid=0"",""фіз особи new!relations_name_uo""),7,FALSE)
,
)
))"),"БЄДКІН Станіслав Анатолійович")</f>
        <v>БЄДКІН Станіслав Анатолійович</v>
      </c>
      <c r="G4483" s="7" t="s">
        <v>10</v>
      </c>
      <c r="H4483" s="7">
        <v>3062</v>
      </c>
      <c r="I4483" s="8" t="str">
        <f ca="1">IFERROR(__xludf.DUMMYFUNCTION("IF
(
G4484=""фізична особа""
,
VLOOKUP(H4484,IMPORTRANGE(""https://docs.google.com/spreadsheets/d/14Bd19lYaqBhU8_DElYkX7l4wRkHqqCUFNJY4AfY3kHU/edit?usp=sharing  #gid=0"",""фіз особи new!relations_name""),6,FALSE)
,
(IF
(
G4484=""юридична особа""
,
VLOOKUP"&amp;"(H4484,IMPORTRANGE(""https://docs.google.com/spreadsheets/d/14Bd19lYaqBhU8_DElYkX7l4wRkHqqCUFNJY4AfY3kHU/edit?usp=sharing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4483" s="7" t="s">
        <v>29</v>
      </c>
    </row>
    <row r="4484" spans="1:10" ht="13.2">
      <c r="A4484" s="7">
        <v>4483</v>
      </c>
      <c r="B4484" s="7">
        <v>1</v>
      </c>
      <c r="C4484" s="7" t="s">
        <v>10</v>
      </c>
      <c r="D4484" s="7">
        <v>3065</v>
      </c>
      <c r="E4484" s="7" t="s">
        <v>29</v>
      </c>
      <c r="F4484" s="8" t="str">
        <f ca="1">IFERROR(__xludf.DUMMYFUNCTION("IF
(
C4485=""фізична особа""
,
VLOOKUP(D4485,IMPORTRANGE(""https://docs.google.com/spreadsheets/d/14Bd19lYaqBhU8_DElYkX7l4wRkHqqCUFNJY4AfY3kHU/edit?usp=sharing  #gid=0"",""фіз особи new!relations_name""),6,FALSE)
,
(IF
(
C4485=""юридична особа""
,
VLOOKUP"&amp;"(D4485,IMPORTRANGE(""https://docs.google.com/spreadsheets/d/14Bd19lYaqBhU8_DElYkX7l4wRkHqqCUFNJY4AfY3kHU/edit?usp=sharing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G4484" s="7" t="s">
        <v>10</v>
      </c>
      <c r="H4484" s="7">
        <v>0</v>
      </c>
      <c r="I4484" s="8" t="str">
        <f ca="1">IFERROR(__xludf.DUMMYFUNCTION("IF
(
G4485=""фізична особа""
,
VLOOKUP(H4485,IMPORTRANGE(""https://docs.google.com/spreadsheets/d/14Bd19lYaqBhU8_DElYkX7l4wRkHqqCUFNJY4AfY3kHU/edit?usp=sharing  #gid=0"",""фіз особи new!relations_name""),6,FALSE)
,
(IF
(
G4485=""юридична особа""
,
VLOOKUP"&amp;"(H4485,IMPORTRANGE(""https://docs.google.com/spreadsheets/d/14Bd19lYaqBhU8_DElYkX7l4wRkHqqCUFNJY4AfY3kHU/edit?usp=sharing  #gid=0"",""фіз особи new!relations_name_uo""),7,FALSE)
,
)
))"),"#N/A")</f>
        <v>#N/A</v>
      </c>
      <c r="J4484" s="7" t="s">
        <v>28</v>
      </c>
    </row>
    <row r="4485" spans="1:10" ht="13.2">
      <c r="A4485" s="7">
        <v>4484</v>
      </c>
      <c r="B4485" s="7">
        <v>1</v>
      </c>
      <c r="C4485" s="7" t="s">
        <v>10</v>
      </c>
      <c r="D4485" s="7">
        <v>3065</v>
      </c>
      <c r="E4485" s="7" t="s">
        <v>29</v>
      </c>
      <c r="F4485" s="8" t="str">
        <f ca="1">IFERROR(__xludf.DUMMYFUNCTION("IF
(
C4486=""фізична особа""
,
VLOOKUP(D4486,IMPORTRANGE(""https://docs.google.com/spreadsheets/d/14Bd19lYaqBhU8_DElYkX7l4wRkHqqCUFNJY4AfY3kHU/edit?usp=sharing  #gid=0"",""фіз особи new!relations_name""),6,FALSE)
,
(IF
(
C4486=""юридична особа""
,
VLOOKUP"&amp;"(D4486,IMPORTRANGE(""https://docs.google.com/spreadsheets/d/14Bd19lYaqBhU8_DElYkX7l4wRkHqqCUFNJY4AfY3kHU/edit?usp=sharing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G4485" s="7" t="s">
        <v>10</v>
      </c>
      <c r="H4485" s="7">
        <v>3066</v>
      </c>
      <c r="I4485" s="8" t="str">
        <f ca="1">IFERROR(__xludf.DUMMYFUNCTION("IF
(
G4486=""фізична особа""
,
VLOOKUP(H4486,IMPORTRANGE(""https://docs.google.com/spreadsheets/d/14Bd19lYaqBhU8_DElYkX7l4wRkHqqCUFNJY4AfY3kHU/edit?usp=sharing  #gid=0"",""фіз особи new!relations_name""),6,FALSE)
,
(IF
(
G4486=""юридична особа""
,
VLOOKUP"&amp;"(H4486,IMPORTRANGE(""https://docs.google.com/spreadsheets/d/14Bd19lYaqBhU8_DElYkX7l4wRkHqqCUFNJY4AfY3kHU/edit?usp=sharing  #gid=0"",""фіз особи new!relations_name_uo""),7,FALSE)
,
)
))"),"ЧУХНОВА Євгенія Леонідівна")</f>
        <v>ЧУХНОВА Євгенія Леонідівна</v>
      </c>
      <c r="J4485" s="7" t="s">
        <v>28</v>
      </c>
    </row>
    <row r="4486" spans="1:10" ht="13.2">
      <c r="A4486" s="7">
        <v>4485</v>
      </c>
      <c r="B4486" s="7">
        <v>1</v>
      </c>
      <c r="C4486" s="7" t="s">
        <v>10</v>
      </c>
      <c r="D4486" s="7">
        <v>3065</v>
      </c>
      <c r="E4486" s="7" t="s">
        <v>29</v>
      </c>
      <c r="F4486" s="8" t="str">
        <f ca="1">IFERROR(__xludf.DUMMYFUNCTION("IF
(
C4487=""фізична особа""
,
VLOOKUP(D4487,IMPORTRANGE(""https://docs.google.com/spreadsheets/d/14Bd19lYaqBhU8_DElYkX7l4wRkHqqCUFNJY4AfY3kHU/edit?usp=sharing  #gid=0"",""фіз особи new!relations_name""),6,FALSE)
,
(IF
(
C4487=""юридична особа""
,
VLOOKUP"&amp;"(D4487,IMPORTRANGE(""https://docs.google.com/spreadsheets/d/14Bd19lYaqBhU8_DElYkX7l4wRkHqqCUFNJY4AfY3kHU/edit?usp=sharing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G4486" s="7" t="s">
        <v>10</v>
      </c>
      <c r="H4486" s="7">
        <v>3068</v>
      </c>
      <c r="I4486" s="8" t="str">
        <f ca="1">IFERROR(__xludf.DUMMYFUNCTION("IF
(
G4487=""фізична особа""
,
VLOOKUP(H4487,IMPORTRANGE(""https://docs.google.com/spreadsheets/d/14Bd19lYaqBhU8_DElYkX7l4wRkHqqCUFNJY4AfY3kHU/edit?usp=sharing  #gid=0"",""фіз особи new!relations_name""),6,FALSE)
,
(IF
(
G4487=""юридична особа""
,
VLOOKUP"&amp;"(H4487,IMPORTRANGE(""https://docs.google.com/spreadsheets/d/14Bd19lYaqBhU8_DElYkX7l4wRkHqqCUFNJY4AfY3kHU/edit?usp=sharing  #gid=0"",""фіз особи new!relations_name_uo""),7,FALSE)
,
)
))"),"ПРОКУРОНОВ Григорій Володимирович")</f>
        <v>ПРОКУРОНОВ Григорій Володимирович</v>
      </c>
      <c r="J4486" s="7" t="s">
        <v>28</v>
      </c>
    </row>
    <row r="4487" spans="1:10" ht="13.2">
      <c r="A4487" s="7">
        <v>4486</v>
      </c>
      <c r="B4487" s="7">
        <v>1</v>
      </c>
      <c r="C4487" s="7" t="s">
        <v>10</v>
      </c>
      <c r="D4487" s="7">
        <v>3066</v>
      </c>
      <c r="E4487" s="7" t="s">
        <v>28</v>
      </c>
      <c r="F4487" s="8" t="str">
        <f ca="1">IFERROR(__xludf.DUMMYFUNCTION("IF
(
C4488=""фізична особа""
,
VLOOKUP(D4488,IMPORTRANGE(""https://docs.google.com/spreadsheets/d/14Bd19lYaqBhU8_DElYkX7l4wRkHqqCUFNJY4AfY3kHU/edit?usp=sharing  #gid=0"",""фіз особи new!relations_name""),6,FALSE)
,
(IF
(
C4488=""юридична особа""
,
VLOOKUP"&amp;"(D4488,IMPORTRANGE(""https://docs.google.com/spreadsheets/d/14Bd19lYaqBhU8_DElYkX7l4wRkHqqCUFNJY4AfY3kHU/edit?usp=sharing  #gid=0"",""фіз особи new!relations_name_uo""),7,FALSE)
,
)
))"),"ЧУХНОВА Євгенія Леонідівна")</f>
        <v>ЧУХНОВА Євгенія Леонідівна</v>
      </c>
      <c r="G4487" s="7" t="s">
        <v>10</v>
      </c>
      <c r="H4487" s="7">
        <v>3065</v>
      </c>
      <c r="I4487" s="8" t="str">
        <f ca="1">IFERROR(__xludf.DUMMYFUNCTION("IF
(
G4488=""фізична особа""
,
VLOOKUP(H4488,IMPORTRANGE(""https://docs.google.com/spreadsheets/d/14Bd19lYaqBhU8_DElYkX7l4wRkHqqCUFNJY4AfY3kHU/edit?usp=sharing  #gid=0"",""фіз особи new!relations_name""),6,FALSE)
,
(IF
(
G4488=""юридична особа""
,
VLOOKUP"&amp;"(H4488,IMPORTRANGE(""https://docs.google.com/spreadsheets/d/14Bd19lYaqBhU8_DElYkX7l4wRkHqqCUFNJY4AfY3kHU/edit?usp=sharing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4487" s="7" t="s">
        <v>29</v>
      </c>
    </row>
    <row r="4488" spans="1:10" ht="13.2">
      <c r="A4488" s="7">
        <v>4487</v>
      </c>
      <c r="B4488" s="7">
        <v>1</v>
      </c>
      <c r="C4488" s="7" t="s">
        <v>10</v>
      </c>
      <c r="D4488" s="7">
        <v>3067</v>
      </c>
      <c r="E4488" s="7" t="s">
        <v>28</v>
      </c>
      <c r="F4488" s="8" t="str">
        <f ca="1">IFERROR(__xludf.DUMMYFUNCTION("IF
(
C4489=""фізична особа""
,
VLOOKUP(D4489,IMPORTRANGE(""https://docs.google.com/spreadsheets/d/14Bd19lYaqBhU8_DElYkX7l4wRkHqqCUFNJY4AfY3kHU/edit?usp=sharing  #gid=0"",""фіз особи new!relations_name""),6,FALSE)
,
(IF
(
C4489=""юридична особа""
,
VLOOKUP"&amp;"(D4489,IMPORTRANGE(""https://docs.google.com/spreadsheets/d/14Bd19lYaqBhU8_DElYkX7l4wRkHqqCUFNJY4AfY3kHU/edit?usp=sharing  #gid=0"",""фіз особи new!relations_name_uo""),7,FALSE)
,
)
))"),"ЛИСЕНКОВА Олена В'ячеславівна")</f>
        <v>ЛИСЕНКОВА Олена В'ячеславівна</v>
      </c>
      <c r="G4488" s="7" t="s">
        <v>10</v>
      </c>
      <c r="H4488" s="7">
        <v>3065</v>
      </c>
      <c r="I4488" s="8" t="str">
        <f ca="1">IFERROR(__xludf.DUMMYFUNCTION("IF
(
G4489=""фізична особа""
,
VLOOKUP(H4489,IMPORTRANGE(""https://docs.google.com/spreadsheets/d/14Bd19lYaqBhU8_DElYkX7l4wRkHqqCUFNJY4AfY3kHU/edit?usp=sharing  #gid=0"",""фіз особи new!relations_name""),6,FALSE)
,
(IF
(
G4489=""юридична особа""
,
VLOOKUP"&amp;"(H4489,IMPORTRANGE(""https://docs.google.com/spreadsheets/d/14Bd19lYaqBhU8_DElYkX7l4wRkHqqCUFNJY4AfY3kHU/edit?usp=sharing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4488" s="7" t="s">
        <v>29</v>
      </c>
    </row>
    <row r="4489" spans="1:10" ht="13.2">
      <c r="A4489" s="7">
        <v>4488</v>
      </c>
      <c r="B4489" s="7">
        <v>1</v>
      </c>
      <c r="C4489" s="7" t="s">
        <v>10</v>
      </c>
      <c r="D4489" s="7">
        <v>3068</v>
      </c>
      <c r="E4489" s="7" t="s">
        <v>28</v>
      </c>
      <c r="F4489" s="8" t="str">
        <f ca="1">IFERROR(__xludf.DUMMYFUNCTION("IF
(
C4490=""фізична особа""
,
VLOOKUP(D4490,IMPORTRANGE(""https://docs.google.com/spreadsheets/d/14Bd19lYaqBhU8_DElYkX7l4wRkHqqCUFNJY4AfY3kHU/edit?usp=sharing  #gid=0"",""фіз особи new!relations_name""),6,FALSE)
,
(IF
(
C4490=""юридична особа""
,
VLOOKUP"&amp;"(D4490,IMPORTRANGE(""https://docs.google.com/spreadsheets/d/14Bd19lYaqBhU8_DElYkX7l4wRkHqqCUFNJY4AfY3kHU/edit?usp=sharing  #gid=0"",""фіз особи new!relations_name_uo""),7,FALSE)
,
)
))"),"ПРОКУРОНОВ Григорій Володимирович")</f>
        <v>ПРОКУРОНОВ Григорій Володимирович</v>
      </c>
      <c r="G4489" s="7" t="s">
        <v>10</v>
      </c>
      <c r="H4489" s="7">
        <v>3065</v>
      </c>
      <c r="I4489" s="8" t="str">
        <f ca="1">IFERROR(__xludf.DUMMYFUNCTION("IF
(
G4490=""фізична особа""
,
VLOOKUP(H4490,IMPORTRANGE(""https://docs.google.com/spreadsheets/d/14Bd19lYaqBhU8_DElYkX7l4wRkHqqCUFNJY4AfY3kHU/edit?usp=sharing  #gid=0"",""фіз особи new!relations_name""),6,FALSE)
,
(IF
(
G4490=""юридична особа""
,
VLOOKUP"&amp;"(H4490,IMPORTRANGE(""https://docs.google.com/spreadsheets/d/14Bd19lYaqBhU8_DElYkX7l4wRkHqqCUFNJY4AfY3kHU/edit?usp=sharing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4489" s="7" t="s">
        <v>29</v>
      </c>
    </row>
    <row r="4490" spans="1:10" ht="13.2">
      <c r="A4490" s="7">
        <v>4489</v>
      </c>
      <c r="B4490" s="7">
        <v>1</v>
      </c>
      <c r="C4490" s="7" t="s">
        <v>10</v>
      </c>
      <c r="D4490" s="7">
        <v>3068</v>
      </c>
      <c r="E4490" s="7" t="s">
        <v>35</v>
      </c>
      <c r="F4490" s="8" t="str">
        <f ca="1">IFERROR(__xludf.DUMMYFUNCTION("IF
(
C4491=""фізична особа""
,
VLOOKUP(D4491,IMPORTRANGE(""https://docs.google.com/spreadsheets/d/14Bd19lYaqBhU8_DElYkX7l4wRkHqqCUFNJY4AfY3kHU/edit?usp=sharing  #gid=0"",""фіз особи new!relations_name""),6,FALSE)
,
(IF
(
C4491=""юридична особа""
,
VLOOKUP"&amp;"(D4491,IMPORTRANGE(""https://docs.google.com/spreadsheets/d/14Bd19lYaqBhU8_DElYkX7l4wRkHqqCUFNJY4AfY3kHU/edit?usp=sharing  #gid=0"",""фіз особи new!relations_name_uo""),7,FALSE)
,
)
))"),"ПРОКУРОНОВ Григорій Володимирович")</f>
        <v>ПРОКУРОНОВ Григорій Володимирович</v>
      </c>
      <c r="G4490" s="7" t="s">
        <v>10</v>
      </c>
      <c r="H4490" s="7">
        <v>23353</v>
      </c>
      <c r="I4490" s="8" t="str">
        <f ca="1">IFERROR(__xludf.DUMMYFUNCTION("IF
(
G4491=""фізична особа""
,
VLOOKUP(H4491,IMPORTRANGE(""https://docs.google.com/spreadsheets/d/14Bd19lYaqBhU8_DElYkX7l4wRkHqqCUFNJY4AfY3kHU/edit?usp=sharing  #gid=0"",""фіз особи new!relations_name""),6,FALSE)
,
(IF
(
G4491=""юридична особа""
,
VLOOKUP"&amp;"(H4491,IMPORTRANGE(""https://docs.google.com/spreadsheets/d/14Bd19lYaqBhU8_DElYkX7l4wRkHqqCUFNJY4AfY3kHU/edit?usp=sharing  #gid=0"",""фіз особи new!relations_name_uo""),7,FALSE)
,
)
))"),"СОКОЛОВ Максим Юрійович")</f>
        <v>СОКОЛОВ Максим Юрійович</v>
      </c>
      <c r="J4490" s="7" t="s">
        <v>35</v>
      </c>
    </row>
    <row r="4491" spans="1:10" ht="13.2">
      <c r="A4491" s="7">
        <v>4490</v>
      </c>
      <c r="B4491" s="7">
        <v>1</v>
      </c>
      <c r="C4491" s="7" t="s">
        <v>10</v>
      </c>
      <c r="D4491" s="7">
        <v>3068</v>
      </c>
      <c r="E4491" s="7" t="s">
        <v>28</v>
      </c>
      <c r="F4491" s="8" t="str">
        <f ca="1">IFERROR(__xludf.DUMMYFUNCTION("IF
(
C4492=""фізична особа""
,
VLOOKUP(D4492,IMPORTRANGE(""https://docs.google.com/spreadsheets/d/14Bd19lYaqBhU8_DElYkX7l4wRkHqqCUFNJY4AfY3kHU/edit?usp=sharing  #gid=0"",""фіз особи new!relations_name""),6,FALSE)
,
(IF
(
C4492=""юридична особа""
,
VLOOKUP"&amp;"(D4492,IMPORTRANGE(""https://docs.google.com/spreadsheets/d/14Bd19lYaqBhU8_DElYkX7l4wRkHqqCUFNJY4AfY3kHU/edit?usp=sharing  #gid=0"",""фіз особи new!relations_name_uo""),7,FALSE)
,
)
))"),"ПРОКУРОНОВ Григорій Володимирович")</f>
        <v>ПРОКУРОНОВ Григорій Володимирович</v>
      </c>
      <c r="G4491" s="7" t="s">
        <v>10</v>
      </c>
      <c r="H4491" s="7">
        <v>2541</v>
      </c>
      <c r="I4491" s="8" t="str">
        <f ca="1">IFERROR(__xludf.DUMMYFUNCTION("IF
(
G4492=""фізична особа""
,
VLOOKUP(H4492,IMPORTRANGE(""https://docs.google.com/spreadsheets/d/14Bd19lYaqBhU8_DElYkX7l4wRkHqqCUFNJY4AfY3kHU/edit?usp=sharing  #gid=0"",""фіз особи new!relations_name""),6,FALSE)
,
(IF
(
G4492=""юридична особа""
,
VLOOKUP"&amp;"(H4492,IMPORTRANGE(""https://docs.google.com/spreadsheets/d/14Bd19lYaqBhU8_DElYkX7l4wRkHqqCUFNJY4AfY3kHU/edit?usp=sharing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J4491" s="7" t="s">
        <v>29</v>
      </c>
    </row>
    <row r="4492" spans="1:10" ht="13.2">
      <c r="A4492" s="7">
        <v>4491</v>
      </c>
      <c r="B4492" s="7">
        <v>1</v>
      </c>
      <c r="C4492" s="7" t="s">
        <v>10</v>
      </c>
      <c r="D4492" s="7">
        <v>3069</v>
      </c>
      <c r="E4492" s="7" t="s">
        <v>28</v>
      </c>
      <c r="F4492" s="8" t="str">
        <f ca="1">IFERROR(__xludf.DUMMYFUNCTION("IF
(
C4493=""фізична особа""
,
VLOOKUP(D4493,IMPORTRANGE(""https://docs.google.com/spreadsheets/d/14Bd19lYaqBhU8_DElYkX7l4wRkHqqCUFNJY4AfY3kHU/edit?usp=sharing  #gid=0"",""фіз особи new!relations_name""),6,FALSE)
,
(IF
(
C4493=""юридична особа""
,
VLOOKUP"&amp;"(D4493,IMPORTRANGE(""https://docs.google.com/spreadsheets/d/14Bd19lYaqBhU8_DElYkX7l4wRkHqqCUFNJY4AfY3kHU/edit?usp=sharing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G4492" s="7" t="s">
        <v>10</v>
      </c>
      <c r="H4492" s="7">
        <v>99</v>
      </c>
      <c r="I4492" s="8" t="str">
        <f ca="1">IFERROR(__xludf.DUMMYFUNCTION("IF
(
G4493=""фізична особа""
,
VLOOKUP(H4493,IMPORTRANGE(""https://docs.google.com/spreadsheets/d/14Bd19lYaqBhU8_DElYkX7l4wRkHqqCUFNJY4AfY3kHU/edit?usp=sharing  #gid=0"",""фіз особи new!relations_name""),6,FALSE)
,
(IF
(
G4493=""юридична особа""
,
VLOOKUP"&amp;"(H4493,IMPORTRANGE(""https://docs.google.com/spreadsheets/d/14Bd19lYaqBhU8_DElYkX7l4wRkHqqCUFNJY4AfY3kHU/edit?usp=sharing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492" s="7" t="s">
        <v>29</v>
      </c>
    </row>
    <row r="4493" spans="1:10" ht="13.2">
      <c r="A4493" s="7">
        <v>4492</v>
      </c>
      <c r="B4493" s="7">
        <v>1</v>
      </c>
      <c r="C4493" s="7" t="s">
        <v>10</v>
      </c>
      <c r="D4493" s="7">
        <v>3070</v>
      </c>
      <c r="E4493" s="7" t="s">
        <v>28</v>
      </c>
      <c r="F4493" s="8" t="str">
        <f ca="1">IFERROR(__xludf.DUMMYFUNCTION("IF
(
C4494=""фізична особа""
,
VLOOKUP(D4494,IMPORTRANGE(""https://docs.google.com/spreadsheets/d/14Bd19lYaqBhU8_DElYkX7l4wRkHqqCUFNJY4AfY3kHU/edit?usp=sharing  #gid=0"",""фіз особи new!relations_name""),6,FALSE)
,
(IF
(
C4494=""юридична особа""
,
VLOOKUP"&amp;"(D4494,IMPORTRANGE(""https://docs.google.com/spreadsheets/d/14Bd19lYaqBhU8_DElYkX7l4wRkHqqCUFNJY4AfY3kHU/edit?usp=sharing  #gid=0"",""фіз особи new!relations_name_uo""),7,FALSE)
,
)
))"),"КОСАРЄВА Оксана Валентинівна")</f>
        <v>КОСАРЄВА Оксана Валентинівна</v>
      </c>
      <c r="G4493" s="7" t="s">
        <v>10</v>
      </c>
      <c r="H4493" s="7">
        <v>2377</v>
      </c>
      <c r="I4493" s="8" t="str">
        <f ca="1">IFERROR(__xludf.DUMMYFUNCTION("IF
(
G4494=""фізична особа""
,
VLOOKUP(H4494,IMPORTRANGE(""https://docs.google.com/spreadsheets/d/14Bd19lYaqBhU8_DElYkX7l4wRkHqqCUFNJY4AfY3kHU/edit?usp=sharing  #gid=0"",""фіз особи new!relations_name""),6,FALSE)
,
(IF
(
G4494=""юридична особа""
,
VLOOKUP"&amp;"(H4494,IMPORTRANGE(""https://docs.google.com/spreadsheets/d/14Bd19lYaqBhU8_DElYkX7l4wRkHqqCUFNJY4AfY3kHU/edit?usp=sharing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93" s="7" t="s">
        <v>29</v>
      </c>
    </row>
    <row r="4494" spans="1:10" ht="13.2">
      <c r="A4494" s="7">
        <v>4493</v>
      </c>
      <c r="B4494" s="7">
        <v>1</v>
      </c>
      <c r="C4494" s="7" t="s">
        <v>10</v>
      </c>
      <c r="D4494" s="7">
        <v>3071</v>
      </c>
      <c r="E4494" s="7" t="s">
        <v>28</v>
      </c>
      <c r="F4494" s="8" t="str">
        <f ca="1">IFERROR(__xludf.DUMMYFUNCTION("IF
(
C4495=""фізична особа""
,
VLOOKUP(D4495,IMPORTRANGE(""https://docs.google.com/spreadsheets/d/14Bd19lYaqBhU8_DElYkX7l4wRkHqqCUFNJY4AfY3kHU/edit?usp=sharing  #gid=0"",""фіз особи new!relations_name""),6,FALSE)
,
(IF
(
C4495=""юридична особа""
,
VLOOKUP"&amp;"(D4495,IMPORTRANGE(""https://docs.google.com/spreadsheets/d/14Bd19lYaqBhU8_DElYkX7l4wRkHqqCUFNJY4AfY3kHU/edit?usp=sharing  #gid=0"",""фіз особи new!relations_name_uo""),7,FALSE)
,
)
))"),"ЄРМАКОВА Світлана Данилівна")</f>
        <v>ЄРМАКОВА Світлана Данилівна</v>
      </c>
      <c r="G4494" s="7" t="s">
        <v>10</v>
      </c>
      <c r="H4494" s="7">
        <v>2377</v>
      </c>
      <c r="I4494" s="8" t="str">
        <f ca="1">IFERROR(__xludf.DUMMYFUNCTION("IF
(
G4495=""фізична особа""
,
VLOOKUP(H4495,IMPORTRANGE(""https://docs.google.com/spreadsheets/d/14Bd19lYaqBhU8_DElYkX7l4wRkHqqCUFNJY4AfY3kHU/edit?usp=sharing  #gid=0"",""фіз особи new!relations_name""),6,FALSE)
,
(IF
(
G4495=""юридична особа""
,
VLOOKUP"&amp;"(H4495,IMPORTRANGE(""https://docs.google.com/spreadsheets/d/14Bd19lYaqBhU8_DElYkX7l4wRkHqqCUFNJY4AfY3kHU/edit?usp=sharing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94" s="7" t="s">
        <v>29</v>
      </c>
    </row>
    <row r="4495" spans="1:10" ht="13.2">
      <c r="A4495" s="7">
        <v>4494</v>
      </c>
      <c r="B4495" s="7">
        <v>1</v>
      </c>
      <c r="C4495" s="7" t="s">
        <v>10</v>
      </c>
      <c r="D4495" s="7">
        <v>3072</v>
      </c>
      <c r="E4495" s="7" t="s">
        <v>28</v>
      </c>
      <c r="F4495" s="8" t="str">
        <f ca="1">IFERROR(__xludf.DUMMYFUNCTION("IF
(
C4496=""фізична особа""
,
VLOOKUP(D4496,IMPORTRANGE(""https://docs.google.com/spreadsheets/d/14Bd19lYaqBhU8_DElYkX7l4wRkHqqCUFNJY4AfY3kHU/edit?usp=sharing  #gid=0"",""фіз особи new!relations_name""),6,FALSE)
,
(IF
(
C4496=""юридична особа""
,
VLOOKUP"&amp;"(D4496,IMPORTRANGE(""https://docs.google.com/spreadsheets/d/14Bd19lYaqBhU8_DElYkX7l4wRkHqqCUFNJY4AfY3kHU/edit?usp=sharing  #gid=0"",""фіз особи new!relations_name_uo""),7,FALSE)
,
)
))"),"ІСАЄВ Елі Абубакарович")</f>
        <v>ІСАЄВ Елі Абубакарович</v>
      </c>
      <c r="G4495" s="7" t="s">
        <v>10</v>
      </c>
      <c r="H4495" s="7">
        <v>3069</v>
      </c>
      <c r="I4495" s="8" t="str">
        <f ca="1">IFERROR(__xludf.DUMMYFUNCTION("IF
(
G4496=""фізична особа""
,
VLOOKUP(H4496,IMPORTRANGE(""https://docs.google.com/spreadsheets/d/14Bd19lYaqBhU8_DElYkX7l4wRkHqqCUFNJY4AfY3kHU/edit?usp=sharing  #gid=0"",""фіз особи new!relations_name""),6,FALSE)
,
(IF
(
G4496=""юридична особа""
,
VLOOKUP"&amp;"(H4496,IMPORTRANGE(""https://docs.google.com/spreadsheets/d/14Bd19lYaqBhU8_DElYkX7l4wRkHqqCUFNJY4AfY3kHU/edit?usp=sharing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495" s="7" t="s">
        <v>29</v>
      </c>
    </row>
    <row r="4496" spans="1:10" ht="13.2">
      <c r="A4496" s="7">
        <v>4495</v>
      </c>
      <c r="B4496" s="7">
        <v>1</v>
      </c>
      <c r="C4496" s="7" t="s">
        <v>10</v>
      </c>
      <c r="D4496" s="7">
        <v>3073</v>
      </c>
      <c r="E4496" s="7" t="s">
        <v>28</v>
      </c>
      <c r="F4496" s="8" t="str">
        <f ca="1">IFERROR(__xludf.DUMMYFUNCTION("IF
(
C4497=""фізична особа""
,
VLOOKUP(D4497,IMPORTRANGE(""https://docs.google.com/spreadsheets/d/14Bd19lYaqBhU8_DElYkX7l4wRkHqqCUFNJY4AfY3kHU/edit?usp=sharing  #gid=0"",""фіз особи new!relations_name""),6,FALSE)
,
(IF
(
C4497=""юридична особа""
,
VLOOKUP"&amp;"(D4497,IMPORTRANGE(""https://docs.google.com/spreadsheets/d/14Bd19lYaqBhU8_DElYkX7l4wRkHqqCUFNJY4AfY3kHU/edit?usp=sharing  #gid=0"",""фіз особи new!relations_name_uo""),7,FALSE)
,
)
))"),"АЛБИЧЕВ Олександр Сергійович")</f>
        <v>АЛБИЧЕВ Олександр Сергійович</v>
      </c>
      <c r="G4496" s="7" t="s">
        <v>10</v>
      </c>
      <c r="H4496" s="7">
        <v>3069</v>
      </c>
      <c r="I4496" s="8" t="str">
        <f ca="1">IFERROR(__xludf.DUMMYFUNCTION("IF
(
G4497=""фізична особа""
,
VLOOKUP(H4497,IMPORTRANGE(""https://docs.google.com/spreadsheets/d/14Bd19lYaqBhU8_DElYkX7l4wRkHqqCUFNJY4AfY3kHU/edit?usp=sharing  #gid=0"",""фіз особи new!relations_name""),6,FALSE)
,
(IF
(
G4497=""юридична особа""
,
VLOOKUP"&amp;"(H4497,IMPORTRANGE(""https://docs.google.com/spreadsheets/d/14Bd19lYaqBhU8_DElYkX7l4wRkHqqCUFNJY4AfY3kHU/edit?usp=sharing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496" s="7" t="s">
        <v>29</v>
      </c>
    </row>
    <row r="4497" spans="1:10" ht="13.2">
      <c r="A4497" s="7">
        <v>4496</v>
      </c>
      <c r="B4497" s="7">
        <v>1</v>
      </c>
      <c r="C4497" s="7" t="s">
        <v>10</v>
      </c>
      <c r="D4497" s="7">
        <v>3074</v>
      </c>
      <c r="E4497" s="7" t="s">
        <v>28</v>
      </c>
      <c r="F4497" s="8" t="str">
        <f ca="1">IFERROR(__xludf.DUMMYFUNCTION("IF
(
C4498=""фізична особа""
,
VLOOKUP(D4498,IMPORTRANGE(""https://docs.google.com/spreadsheets/d/14Bd19lYaqBhU8_DElYkX7l4wRkHqqCUFNJY4AfY3kHU/edit?usp=sharing  #gid=0"",""фіз особи new!relations_name""),6,FALSE)
,
(IF
(
C4498=""юридична особа""
,
VLOOKUP"&amp;"(D4498,IMPORTRANGE(""https://docs.google.com/spreadsheets/d/14Bd19lYaqBhU8_DElYkX7l4wRkHqqCUFNJY4AfY3kHU/edit?usp=sharing  #gid=0"",""фіз особи new!relations_name_uo""),7,FALSE)
,
)
))"),"ДЕМІДОВ Олександр Юрійович")</f>
        <v>ДЕМІДОВ Олександр Юрійович</v>
      </c>
      <c r="G4497" s="7" t="s">
        <v>10</v>
      </c>
      <c r="H4497" s="7">
        <v>3069</v>
      </c>
      <c r="I4497" s="8" t="str">
        <f ca="1">IFERROR(__xludf.DUMMYFUNCTION("IF
(
G4498=""фізична особа""
,
VLOOKUP(H4498,IMPORTRANGE(""https://docs.google.com/spreadsheets/d/14Bd19lYaqBhU8_DElYkX7l4wRkHqqCUFNJY4AfY3kHU/edit?usp=sharing  #gid=0"",""фіз особи new!relations_name""),6,FALSE)
,
(IF
(
G4498=""юридична особа""
,
VLOOKUP"&amp;"(H4498,IMPORTRANGE(""https://docs.google.com/spreadsheets/d/14Bd19lYaqBhU8_DElYkX7l4wRkHqqCUFNJY4AfY3kHU/edit?usp=sharing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497" s="7" t="s">
        <v>29</v>
      </c>
    </row>
    <row r="4498" spans="1:10" ht="13.2">
      <c r="A4498" s="7">
        <v>4497</v>
      </c>
      <c r="B4498" s="7">
        <v>1</v>
      </c>
      <c r="C4498" s="7" t="s">
        <v>10</v>
      </c>
      <c r="D4498" s="7">
        <v>3075</v>
      </c>
      <c r="E4498" s="7" t="s">
        <v>28</v>
      </c>
      <c r="F4498" s="8" t="str">
        <f ca="1">IFERROR(__xludf.DUMMYFUNCTION("IF
(
C4499=""фізична особа""
,
VLOOKUP(D4499,IMPORTRANGE(""https://docs.google.com/spreadsheets/d/14Bd19lYaqBhU8_DElYkX7l4wRkHqqCUFNJY4AfY3kHU/edit?usp=sharing  #gid=0"",""фіз особи new!relations_name""),6,FALSE)
,
(IF
(
C4499=""юридична особа""
,
VLOOKUP"&amp;"(D4499,IMPORTRANGE(""https://docs.google.com/spreadsheets/d/14Bd19lYaqBhU8_DElYkX7l4wRkHqqCUFNJY4AfY3kHU/edit?usp=sharing  #gid=0"",""фіз особи new!relations_name_uo""),7,FALSE)
,
)
))"),"МАКСИМЧЕНКО Світлана Борисівна")</f>
        <v>МАКСИМЧЕНКО Світлана Борисівна</v>
      </c>
      <c r="G4498" s="7" t="s">
        <v>10</v>
      </c>
      <c r="H4498" s="7">
        <v>2377</v>
      </c>
      <c r="I4498" s="8" t="str">
        <f ca="1">IFERROR(__xludf.DUMMYFUNCTION("IF
(
G4499=""фізична особа""
,
VLOOKUP(H4499,IMPORTRANGE(""https://docs.google.com/spreadsheets/d/14Bd19lYaqBhU8_DElYkX7l4wRkHqqCUFNJY4AfY3kHU/edit?usp=sharing  #gid=0"",""фіз особи new!relations_name""),6,FALSE)
,
(IF
(
G4499=""юридична особа""
,
VLOOKUP"&amp;"(H4499,IMPORTRANGE(""https://docs.google.com/spreadsheets/d/14Bd19lYaqBhU8_DElYkX7l4wRkHqqCUFNJY4AfY3kHU/edit?usp=sharing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98" s="7" t="s">
        <v>29</v>
      </c>
    </row>
    <row r="4499" spans="1:10" ht="13.2">
      <c r="A4499" s="7">
        <v>4498</v>
      </c>
      <c r="B4499" s="7">
        <v>1</v>
      </c>
      <c r="C4499" s="7" t="s">
        <v>10</v>
      </c>
      <c r="D4499" s="7">
        <v>3076</v>
      </c>
      <c r="E4499" s="7" t="s">
        <v>28</v>
      </c>
      <c r="F4499" s="8" t="str">
        <f ca="1">IFERROR(__xludf.DUMMYFUNCTION("IF
(
C4500=""фізична особа""
,
VLOOKUP(D4500,IMPORTRANGE(""https://docs.google.com/spreadsheets/d/14Bd19lYaqBhU8_DElYkX7l4wRkHqqCUFNJY4AfY3kHU/edit?usp=sharing  #gid=0"",""фіз особи new!relations_name""),6,FALSE)
,
(IF
(
C4500=""юридична особа""
,
VLOOKUP"&amp;"(D4500,IMPORTRANGE(""https://docs.google.com/spreadsheets/d/14Bd19lYaqBhU8_DElYkX7l4wRkHqqCUFNJY4AfY3kHU/edit?usp=sharing  #gid=0"",""фіз особи new!relations_name_uo""),7,FALSE)
,
)
))"),"ПРЕПОДОБНА Надія Олександрівна")</f>
        <v>ПРЕПОДОБНА Надія Олександрівна</v>
      </c>
      <c r="G4499" s="7" t="s">
        <v>10</v>
      </c>
      <c r="H4499" s="7">
        <v>2377</v>
      </c>
      <c r="I4499" s="8" t="str">
        <f ca="1">IFERROR(__xludf.DUMMYFUNCTION("IF
(
G4500=""фізична особа""
,
VLOOKUP(H4500,IMPORTRANGE(""https://docs.google.com/spreadsheets/d/14Bd19lYaqBhU8_DElYkX7l4wRkHqqCUFNJY4AfY3kHU/edit?usp=sharing  #gid=0"",""фіз особи new!relations_name""),6,FALSE)
,
(IF
(
G4500=""юридична особа""
,
VLOOKUP"&amp;"(H4500,IMPORTRANGE(""https://docs.google.com/spreadsheets/d/14Bd19lYaqBhU8_DElYkX7l4wRkHqqCUFNJY4AfY3kHU/edit?usp=sharing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499" s="7" t="s">
        <v>29</v>
      </c>
    </row>
    <row r="4500" spans="1:10" ht="13.2">
      <c r="A4500" s="7">
        <v>4499</v>
      </c>
      <c r="B4500" s="7">
        <v>1</v>
      </c>
      <c r="C4500" s="7" t="s">
        <v>10</v>
      </c>
      <c r="D4500" s="7">
        <v>3077</v>
      </c>
      <c r="E4500" s="7" t="s">
        <v>28</v>
      </c>
      <c r="F4500" s="8" t="str">
        <f ca="1">IFERROR(__xludf.DUMMYFUNCTION("IF
(
C4501=""фізична особа""
,
VLOOKUP(D4501,IMPORTRANGE(""https://docs.google.com/spreadsheets/d/14Bd19lYaqBhU8_DElYkX7l4wRkHqqCUFNJY4AfY3kHU/edit?usp=sharing  #gid=0"",""фіз особи new!relations_name""),6,FALSE)
,
(IF
(
C4501=""юридична особа""
,
VLOOKUP"&amp;"(D4501,IMPORTRANGE(""https://docs.google.com/spreadsheets/d/14Bd19lYaqBhU8_DElYkX7l4wRkHqqCUFNJY4AfY3kHU/edit?usp=sharing  #gid=0"",""фіз особи new!relations_name_uo""),7,FALSE)
,
)
))"),"СКРИПЧЕНКО Ольга Іванівна")</f>
        <v>СКРИПЧЕНКО Ольга Іванівна</v>
      </c>
      <c r="G4500" s="7" t="s">
        <v>10</v>
      </c>
      <c r="H4500" s="7">
        <v>2377</v>
      </c>
      <c r="I4500" s="8" t="str">
        <f ca="1">IFERROR(__xludf.DUMMYFUNCTION("IF
(
G4501=""фізична особа""
,
VLOOKUP(H4501,IMPORTRANGE(""https://docs.google.com/spreadsheets/d/14Bd19lYaqBhU8_DElYkX7l4wRkHqqCUFNJY4AfY3kHU/edit?usp=sharing  #gid=0"",""фіз особи new!relations_name""),6,FALSE)
,
(IF
(
G4501=""юридична особа""
,
VLOOKUP"&amp;"(H4501,IMPORTRANGE(""https://docs.google.com/spreadsheets/d/14Bd19lYaqBhU8_DElYkX7l4wRkHqqCUFNJY4AfY3kHU/edit?usp=sharing  #gid=0"",""фіз особи new!relations_name_uo""),7,FALSE)
,
)
))"),"ЛЮБІМОВА Ольга Борисівна")</f>
        <v>ЛЮБІМОВА Ольга Борисівна</v>
      </c>
      <c r="J4500" s="7" t="s">
        <v>29</v>
      </c>
    </row>
    <row r="4501" spans="1:10" ht="13.2">
      <c r="A4501" s="7">
        <v>4500</v>
      </c>
      <c r="B4501" s="7">
        <v>1</v>
      </c>
      <c r="C4501" s="7" t="s">
        <v>10</v>
      </c>
      <c r="D4501" s="7">
        <v>3078</v>
      </c>
      <c r="E4501" s="7" t="s">
        <v>28</v>
      </c>
      <c r="F4501" s="8" t="str">
        <f ca="1">IFERROR(__xludf.DUMMYFUNCTION("IF
(
C4502=""фізична особа""
,
VLOOKUP(D4502,IMPORTRANGE(""https://docs.google.com/spreadsheets/d/14Bd19lYaqBhU8_DElYkX7l4wRkHqqCUFNJY4AfY3kHU/edit?usp=sharing  #gid=0"",""фіз особи new!relations_name""),6,FALSE)
,
(IF
(
C4502=""юридична особа""
,
VLOOKUP"&amp;"(D4502,IMPORTRANGE(""https://docs.google.com/spreadsheets/d/14Bd19lYaqBhU8_DElYkX7l4wRkHqqCUFNJY4AfY3kHU/edit?usp=sharing  #gid=0"",""фіз особи new!relations_name_uo""),7,FALSE)
,
)
))"),"ГОРІНА Наталія Михайлівна")</f>
        <v>ГОРІНА Наталія Михайлівна</v>
      </c>
      <c r="G4501" s="7" t="s">
        <v>10</v>
      </c>
      <c r="H4501" s="7">
        <v>3069</v>
      </c>
      <c r="I4501" s="8" t="str">
        <f ca="1">IFERROR(__xludf.DUMMYFUNCTION("IF
(
G4502=""фізична особа""
,
VLOOKUP(H4502,IMPORTRANGE(""https://docs.google.com/spreadsheets/d/14Bd19lYaqBhU8_DElYkX7l4wRkHqqCUFNJY4AfY3kHU/edit?usp=sharing  #gid=0"",""фіз особи new!relations_name""),6,FALSE)
,
(IF
(
G4502=""юридична особа""
,
VLOOKUP"&amp;"(H4502,IMPORTRANGE(""https://docs.google.com/spreadsheets/d/14Bd19lYaqBhU8_DElYkX7l4wRkHqqCUFNJY4AfY3kHU/edit?usp=sharing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501" s="7" t="s">
        <v>29</v>
      </c>
    </row>
    <row r="4502" spans="1:10" ht="13.2">
      <c r="A4502" s="7">
        <v>4501</v>
      </c>
      <c r="B4502" s="7">
        <v>1</v>
      </c>
      <c r="C4502" s="7" t="s">
        <v>10</v>
      </c>
      <c r="D4502" s="7">
        <v>3079</v>
      </c>
      <c r="E4502" s="7" t="s">
        <v>28</v>
      </c>
      <c r="F4502" s="8" t="str">
        <f ca="1">IFERROR(__xludf.DUMMYFUNCTION("IF
(
C4503=""фізична особа""
,
VLOOKUP(D4503,IMPORTRANGE(""https://docs.google.com/spreadsheets/d/14Bd19lYaqBhU8_DElYkX7l4wRkHqqCUFNJY4AfY3kHU/edit?usp=sharing  #gid=0"",""фіз особи new!relations_name""),6,FALSE)
,
(IF
(
C4503=""юридична особа""
,
VLOOKUP"&amp;"(D4503,IMPORTRANGE(""https://docs.google.com/spreadsheets/d/14Bd19lYaqBhU8_DElYkX7l4wRkHqqCUFNJY4AfY3kHU/edit?usp=sharing  #gid=0"",""фіз особи new!relations_name_uo""),7,FALSE)
,
)
))"),"ДУБОВИК Антон Вікторович")</f>
        <v>ДУБОВИК Антон Вікторович</v>
      </c>
      <c r="G4502" s="7" t="s">
        <v>10</v>
      </c>
      <c r="H4502" s="7">
        <v>3069</v>
      </c>
      <c r="I4502" s="8" t="str">
        <f ca="1">IFERROR(__xludf.DUMMYFUNCTION("IF
(
G4503=""фізична особа""
,
VLOOKUP(H4503,IMPORTRANGE(""https://docs.google.com/spreadsheets/d/14Bd19lYaqBhU8_DElYkX7l4wRkHqqCUFNJY4AfY3kHU/edit?usp=sharing  #gid=0"",""фіз особи new!relations_name""),6,FALSE)
,
(IF
(
G4503=""юридична особа""
,
VLOOKUP"&amp;"(H4503,IMPORTRANGE(""https://docs.google.com/spreadsheets/d/14Bd19lYaqBhU8_DElYkX7l4wRkHqqCUFNJY4AfY3kHU/edit?usp=sharing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502" s="7" t="s">
        <v>29</v>
      </c>
    </row>
    <row r="4503" spans="1:10" ht="13.2">
      <c r="A4503" s="7">
        <v>4502</v>
      </c>
      <c r="B4503" s="7">
        <v>1</v>
      </c>
      <c r="C4503" s="7" t="s">
        <v>10</v>
      </c>
      <c r="D4503" s="7">
        <v>3080</v>
      </c>
      <c r="E4503" s="7" t="s">
        <v>28</v>
      </c>
      <c r="F4503" s="8" t="str">
        <f ca="1">IFERROR(__xludf.DUMMYFUNCTION("IF
(
C4504=""фізична особа""
,
VLOOKUP(D4504,IMPORTRANGE(""https://docs.google.com/spreadsheets/d/14Bd19lYaqBhU8_DElYkX7l4wRkHqqCUFNJY4AfY3kHU/edit?usp=sharing  #gid=0"",""фіз особи new!relations_name""),6,FALSE)
,
(IF
(
C4504=""юридична особа""
,
VLOOKUP"&amp;"(D4504,IMPORTRANGE(""https://docs.google.com/spreadsheets/d/14Bd19lYaqBhU8_DElYkX7l4wRkHqqCUFNJY4AfY3kHU/edit?usp=sharing  #gid=0"",""фіз особи new!relations_name_uo""),7,FALSE)
,
)
))"),"КАТАМАДЗЕ Ганна Теймуразівна")</f>
        <v>КАТАМАДЗЕ Ганна Теймуразівна</v>
      </c>
      <c r="G4503" s="7" t="s">
        <v>10</v>
      </c>
      <c r="H4503" s="7">
        <v>3069</v>
      </c>
      <c r="I4503" s="8" t="str">
        <f ca="1">IFERROR(__xludf.DUMMYFUNCTION("IF
(
G4504=""фізична особа""
,
VLOOKUP(H4504,IMPORTRANGE(""https://docs.google.com/spreadsheets/d/14Bd19lYaqBhU8_DElYkX7l4wRkHqqCUFNJY4AfY3kHU/edit?usp=sharing  #gid=0"",""фіз особи new!relations_name""),6,FALSE)
,
(IF
(
G4504=""юридична особа""
,
VLOOKUP"&amp;"(H4504,IMPORTRANGE(""https://docs.google.com/spreadsheets/d/14Bd19lYaqBhU8_DElYkX7l4wRkHqqCUFNJY4AfY3kHU/edit?usp=sharing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503" s="7" t="s">
        <v>29</v>
      </c>
    </row>
    <row r="4504" spans="1:10" ht="13.2">
      <c r="A4504" s="7">
        <v>4503</v>
      </c>
      <c r="B4504" s="7">
        <v>1</v>
      </c>
      <c r="C4504" s="7" t="s">
        <v>10</v>
      </c>
      <c r="D4504" s="7">
        <v>3081</v>
      </c>
      <c r="E4504" s="7" t="s">
        <v>28</v>
      </c>
      <c r="F4504" s="8" t="str">
        <f ca="1">IFERROR(__xludf.DUMMYFUNCTION("IF
(
C4505=""фізична особа""
,
VLOOKUP(D4505,IMPORTRANGE(""https://docs.google.com/spreadsheets/d/14Bd19lYaqBhU8_DElYkX7l4wRkHqqCUFNJY4AfY3kHU/edit?usp=sharing  #gid=0"",""фіз особи new!relations_name""),6,FALSE)
,
(IF
(
C4505=""юридична особа""
,
VLOOKUP"&amp;"(D4505,IMPORTRANGE(""https://docs.google.com/spreadsheets/d/14Bd19lYaqBhU8_DElYkX7l4wRkHqqCUFNJY4AfY3kHU/edit?usp=sharing  #gid=0"",""фіз особи new!relations_name_uo""),7,FALSE)
,
)
))"),"МИХАЙЛИК Олександр Георгійович")</f>
        <v>МИХАЙЛИК Олександр Георгійович</v>
      </c>
      <c r="G4504" s="7" t="s">
        <v>10</v>
      </c>
      <c r="H4504" s="7">
        <v>3069</v>
      </c>
      <c r="I4504" s="8" t="str">
        <f ca="1">IFERROR(__xludf.DUMMYFUNCTION("IF
(
G4505=""фізична особа""
,
VLOOKUP(H4505,IMPORTRANGE(""https://docs.google.com/spreadsheets/d/14Bd19lYaqBhU8_DElYkX7l4wRkHqqCUFNJY4AfY3kHU/edit?usp=sharing  #gid=0"",""фіз особи new!relations_name""),6,FALSE)
,
(IF
(
G4505=""юридична особа""
,
VLOOKUP"&amp;"(H4505,IMPORTRANGE(""https://docs.google.com/spreadsheets/d/14Bd19lYaqBhU8_DElYkX7l4wRkHqqCUFNJY4AfY3kHU/edit?usp=sharing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4504" s="7" t="s">
        <v>29</v>
      </c>
    </row>
    <row r="4505" spans="1:10" ht="13.2">
      <c r="A4505" s="7">
        <v>4504</v>
      </c>
      <c r="B4505" s="7">
        <v>1</v>
      </c>
      <c r="C4505" s="7" t="s">
        <v>10</v>
      </c>
      <c r="D4505" s="7">
        <v>3081</v>
      </c>
      <c r="E4505" s="7" t="s">
        <v>12</v>
      </c>
      <c r="F4505" s="8" t="str">
        <f ca="1">IFERROR(__xludf.DUMMYFUNCTION("IF
(
C4506=""фізична особа""
,
VLOOKUP(D4506,IMPORTRANGE(""https://docs.google.com/spreadsheets/d/14Bd19lYaqBhU8_DElYkX7l4wRkHqqCUFNJY4AfY3kHU/edit?usp=sharing  #gid=0"",""фіз особи new!relations_name""),6,FALSE)
,
(IF
(
C4506=""юридична особа""
,
VLOOKUP"&amp;"(D4506,IMPORTRANGE(""https://docs.google.com/spreadsheets/d/14Bd19lYaqBhU8_DElYkX7l4wRkHqqCUFNJY4AfY3kHU/edit?usp=sharing  #gid=0"",""фіз особи new!relations_name_uo""),7,FALSE)
,
)
))"),"МИХАЙЛИК Олександр Георгійович")</f>
        <v>МИХАЙЛИК Олександр Георгійович</v>
      </c>
      <c r="G4505" s="7" t="s">
        <v>10</v>
      </c>
      <c r="H4505" s="7">
        <v>2361</v>
      </c>
      <c r="I4505" s="8" t="str">
        <f ca="1">IFERROR(__xludf.DUMMYFUNCTION("IF
(
G4506=""фізична особа""
,
VLOOKUP(H4506,IMPORTRANGE(""https://docs.google.com/spreadsheets/d/14Bd19lYaqBhU8_DElYkX7l4wRkHqqCUFNJY4AfY3kHU/edit?usp=sharing  #gid=0"",""фіз особи new!relations_name""),6,FALSE)
,
(IF
(
G4506=""юридична особа""
,
VLOOKUP"&amp;"(H4506,IMPORTRANGE(""https://docs.google.com/spreadsheets/d/14Bd19lYaqBhU8_DElYkX7l4wRkHqqCUFNJY4AfY3kHU/edit?usp=sharing  #gid=0"",""фіз особи new!relations_name_uo""),7,FALSE)
,
)
))"),"МИХАЙЛИК Костянтин Олександрович")</f>
        <v>МИХАЙЛИК Костянтин Олександрович</v>
      </c>
      <c r="J4505" s="7" t="s">
        <v>17</v>
      </c>
    </row>
    <row r="4506" spans="1:10" ht="13.2">
      <c r="A4506" s="7">
        <v>4505</v>
      </c>
      <c r="B4506" s="7">
        <v>1</v>
      </c>
      <c r="C4506" s="7" t="s">
        <v>10</v>
      </c>
      <c r="D4506" s="7">
        <v>3083</v>
      </c>
      <c r="E4506" s="7" t="s">
        <v>28</v>
      </c>
      <c r="F4506" s="8" t="str">
        <f ca="1">IFERROR(__xludf.DUMMYFUNCTION("IF
(
C4507=""фізична особа""
,
VLOOKUP(D4507,IMPORTRANGE(""https://docs.google.com/spreadsheets/d/14Bd19lYaqBhU8_DElYkX7l4wRkHqqCUFNJY4AfY3kHU/edit?usp=sharing  #gid=0"",""фіз особи new!relations_name""),6,FALSE)
,
(IF
(
C4507=""юридична особа""
,
VLOOKUP"&amp;"(D4507,IMPORTRANGE(""https://docs.google.com/spreadsheets/d/14Bd19lYaqBhU8_DElYkX7l4wRkHqqCUFNJY4AfY3kHU/edit?usp=sharing  #gid=0"",""фіз особи new!relations_name_uo""),7,FALSE)
,
)
))"),"ГАЛІМХАНОВА Неллі Фідратівна")</f>
        <v>ГАЛІМХАНОВА Неллі Фідратівна</v>
      </c>
      <c r="G4506" s="7" t="s">
        <v>10</v>
      </c>
      <c r="H4506" s="7">
        <v>460</v>
      </c>
      <c r="I4506" s="8" t="str">
        <f ca="1">IFERROR(__xludf.DUMMYFUNCTION("IF
(
G4507=""фізична особа""
,
VLOOKUP(H4507,IMPORTRANGE(""https://docs.google.com/spreadsheets/d/14Bd19lYaqBhU8_DElYkX7l4wRkHqqCUFNJY4AfY3kHU/edit?usp=sharing  #gid=0"",""фіз особи new!relations_name""),6,FALSE)
,
(IF
(
G4507=""юридична особа""
,
VLOOKUP"&amp;"(H4507,IMPORTRANGE(""https://docs.google.com/spreadsheets/d/14Bd19lYaqBhU8_DElYkX7l4wRkHqqCUFNJY4AfY3kHU/edit?usp=sharing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4506" s="7" t="s">
        <v>29</v>
      </c>
    </row>
    <row r="4507" spans="1:10" ht="13.2">
      <c r="A4507" s="7">
        <v>4506</v>
      </c>
      <c r="B4507" s="7">
        <v>1</v>
      </c>
      <c r="C4507" s="7" t="s">
        <v>10</v>
      </c>
      <c r="D4507" s="7">
        <v>3084</v>
      </c>
      <c r="E4507" s="7" t="s">
        <v>28</v>
      </c>
      <c r="F4507" s="8" t="str">
        <f ca="1">IFERROR(__xludf.DUMMYFUNCTION("IF
(
C4508=""фізична особа""
,
VLOOKUP(D4508,IMPORTRANGE(""https://docs.google.com/spreadsheets/d/14Bd19lYaqBhU8_DElYkX7l4wRkHqqCUFNJY4AfY3kHU/edit?usp=sharing  #gid=0"",""фіз особи new!relations_name""),6,FALSE)
,
(IF
(
C4508=""юридична особа""
,
VLOOKUP"&amp;"(D4508,IMPORTRANGE(""https://docs.google.com/spreadsheets/d/14Bd19lYaqBhU8_DElYkX7l4wRkHqqCUFNJY4AfY3kHU/edit?usp=sharing  #gid=0"",""фіз особи new!relations_name_uo""),7,FALSE)
,
)
))"),"СМОЛЕНСЬКИЙ В'ячеслав Юрійович")</f>
        <v>СМОЛЕНСЬКИЙ В'ячеслав Юрійович</v>
      </c>
      <c r="G4507" s="7" t="s">
        <v>10</v>
      </c>
      <c r="H4507" s="7">
        <v>3042</v>
      </c>
      <c r="I4507" s="8" t="str">
        <f ca="1">IFERROR(__xludf.DUMMYFUNCTION("IF
(
G4508=""фізична особа""
,
VLOOKUP(H4508,IMPORTRANGE(""https://docs.google.com/spreadsheets/d/14Bd19lYaqBhU8_DElYkX7l4wRkHqqCUFNJY4AfY3kHU/edit?usp=sharing  #gid=0"",""фіз особи new!relations_name""),6,FALSE)
,
(IF
(
G4508=""юридична особа""
,
VLOOKUP"&amp;"(H4508,IMPORTRANGE(""https://docs.google.com/spreadsheets/d/14Bd19lYaqBhU8_DElYkX7l4wRkHqqCUFNJY4AfY3kHU/edit?usp=sharing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4507" s="7" t="s">
        <v>29</v>
      </c>
    </row>
    <row r="4508" spans="1:10" ht="13.2">
      <c r="A4508" s="7">
        <v>4507</v>
      </c>
      <c r="B4508" s="7">
        <v>1</v>
      </c>
      <c r="C4508" s="7" t="s">
        <v>10</v>
      </c>
      <c r="D4508" s="7">
        <v>3085</v>
      </c>
      <c r="E4508" s="7" t="s">
        <v>28</v>
      </c>
      <c r="F4508" s="8" t="str">
        <f ca="1">IFERROR(__xludf.DUMMYFUNCTION("IF
(
C4509=""фізична особа""
,
VLOOKUP(D4509,IMPORTRANGE(""https://docs.google.com/spreadsheets/d/14Bd19lYaqBhU8_DElYkX7l4wRkHqqCUFNJY4AfY3kHU/edit?usp=sharing  #gid=0"",""фіз особи new!relations_name""),6,FALSE)
,
(IF
(
C4509=""юридична особа""
,
VLOOKUP"&amp;"(D4509,IMPORTRANGE(""https://docs.google.com/spreadsheets/d/14Bd19lYaqBhU8_DElYkX7l4wRkHqqCUFNJY4AfY3kHU/edit?usp=sharing  #gid=0"",""фіз особи new!relations_name_uo""),7,FALSE)
,
)
))"),"КРУГЛИНСЬКИЙ Ігор Костянтинович")</f>
        <v>КРУГЛИНСЬКИЙ Ігор Костянтинович</v>
      </c>
      <c r="G4508" s="7" t="s">
        <v>10</v>
      </c>
      <c r="H4508" s="7">
        <v>3047</v>
      </c>
      <c r="I4508" s="8" t="str">
        <f ca="1">IFERROR(__xludf.DUMMYFUNCTION("IF
(
G4509=""фізична особа""
,
VLOOKUP(H4509,IMPORTRANGE(""https://docs.google.com/spreadsheets/d/14Bd19lYaqBhU8_DElYkX7l4wRkHqqCUFNJY4AfY3kHU/edit?usp=sharing  #gid=0"",""фіз особи new!relations_name""),6,FALSE)
,
(IF
(
G4509=""юридична особа""
,
VLOOKUP"&amp;"(H4509,IMPORTRANGE(""https://docs.google.com/spreadsheets/d/14Bd19lYaqBhU8_DElYkX7l4wRkHqqCUFNJY4AfY3kHU/edit?usp=sharing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4508" s="7" t="s">
        <v>29</v>
      </c>
    </row>
    <row r="4509" spans="1:10" ht="13.2">
      <c r="A4509" s="7">
        <v>4508</v>
      </c>
      <c r="B4509" s="7">
        <v>1</v>
      </c>
      <c r="C4509" s="7" t="s">
        <v>10</v>
      </c>
      <c r="D4509" s="7">
        <v>3086</v>
      </c>
      <c r="E4509" s="7" t="s">
        <v>28</v>
      </c>
      <c r="F4509" s="8" t="str">
        <f ca="1">IFERROR(__xludf.DUMMYFUNCTION("IF
(
C4510=""фізична особа""
,
VLOOKUP(D4510,IMPORTRANGE(""https://docs.google.com/spreadsheets/d/14Bd19lYaqBhU8_DElYkX7l4wRkHqqCUFNJY4AfY3kHU/edit?usp=sharing  #gid=0"",""фіз особи new!relations_name""),6,FALSE)
,
(IF
(
C4510=""юридична особа""
,
VLOOKUP"&amp;"(D4510,IMPORTRANGE(""https://docs.google.com/spreadsheets/d/14Bd19lYaqBhU8_DElYkX7l4wRkHqqCUFNJY4AfY3kHU/edit?usp=sharing  #gid=0"",""фіз особи new!relations_name_uo""),7,FALSE)
,
)
))"),"СЕМЧЕНКО Євгеній Євгенович")</f>
        <v>СЕМЧЕНКО Євгеній Євгенович</v>
      </c>
      <c r="G4509" s="7" t="s">
        <v>10</v>
      </c>
      <c r="H4509" s="7">
        <v>3047</v>
      </c>
      <c r="I4509" s="8" t="str">
        <f ca="1">IFERROR(__xludf.DUMMYFUNCTION("IF
(
G4510=""фізична особа""
,
VLOOKUP(H4510,IMPORTRANGE(""https://docs.google.com/spreadsheets/d/14Bd19lYaqBhU8_DElYkX7l4wRkHqqCUFNJY4AfY3kHU/edit?usp=sharing  #gid=0"",""фіз особи new!relations_name""),6,FALSE)
,
(IF
(
G4510=""юридична особа""
,
VLOOKUP"&amp;"(H4510,IMPORTRANGE(""https://docs.google.com/spreadsheets/d/14Bd19lYaqBhU8_DElYkX7l4wRkHqqCUFNJY4AfY3kHU/edit?usp=sharing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4509" s="7" t="s">
        <v>29</v>
      </c>
    </row>
    <row r="4510" spans="1:10" ht="13.2">
      <c r="A4510" s="7">
        <v>4509</v>
      </c>
      <c r="B4510" s="7">
        <v>1</v>
      </c>
      <c r="C4510" s="7" t="s">
        <v>10</v>
      </c>
      <c r="D4510" s="7">
        <v>3087</v>
      </c>
      <c r="E4510" s="7" t="s">
        <v>28</v>
      </c>
      <c r="F4510" s="8" t="str">
        <f ca="1">IFERROR(__xludf.DUMMYFUNCTION("IF
(
C4511=""фізична особа""
,
VLOOKUP(D4511,IMPORTRANGE(""https://docs.google.com/spreadsheets/d/14Bd19lYaqBhU8_DElYkX7l4wRkHqqCUFNJY4AfY3kHU/edit?usp=sharing  #gid=0"",""фіз особи new!relations_name""),6,FALSE)
,
(IF
(
C4511=""юридична особа""
,
VLOOKUP"&amp;"(D4511,IMPORTRANGE(""https://docs.google.com/spreadsheets/d/14Bd19lYaqBhU8_DElYkX7l4wRkHqqCUFNJY4AfY3kHU/edit?usp=sharing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G4510" s="7" t="s">
        <v>10</v>
      </c>
      <c r="H4510" s="7">
        <v>99</v>
      </c>
      <c r="I4510" s="8" t="str">
        <f ca="1">IFERROR(__xludf.DUMMYFUNCTION("IF
(
G4511=""фізична особа""
,
VLOOKUP(H4511,IMPORTRANGE(""https://docs.google.com/spreadsheets/d/14Bd19lYaqBhU8_DElYkX7l4wRkHqqCUFNJY4AfY3kHU/edit?usp=sharing  #gid=0"",""фіз особи new!relations_name""),6,FALSE)
,
(IF
(
G4511=""юридична особа""
,
VLOOKUP"&amp;"(H4511,IMPORTRANGE(""https://docs.google.com/spreadsheets/d/14Bd19lYaqBhU8_DElYkX7l4wRkHqqCUFNJY4AfY3kHU/edit?usp=sharing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510" s="7" t="s">
        <v>29</v>
      </c>
    </row>
    <row r="4511" spans="1:10" ht="13.2">
      <c r="A4511" s="7">
        <v>4510</v>
      </c>
      <c r="B4511" s="7">
        <v>1</v>
      </c>
      <c r="C4511" s="7" t="s">
        <v>10</v>
      </c>
      <c r="D4511" s="7">
        <v>3088</v>
      </c>
      <c r="E4511" s="7" t="s">
        <v>28</v>
      </c>
      <c r="F4511" s="8" t="str">
        <f ca="1">IFERROR(__xludf.DUMMYFUNCTION("IF
(
C4512=""фізична особа""
,
VLOOKUP(D4512,IMPORTRANGE(""https://docs.google.com/spreadsheets/d/14Bd19lYaqBhU8_DElYkX7l4wRkHqqCUFNJY4AfY3kHU/edit?usp=sharing  #gid=0"",""фіз особи new!relations_name""),6,FALSE)
,
(IF
(
C4512=""юридична особа""
,
VLOOKUP"&amp;"(D4512,IMPORTRANGE(""https://docs.google.com/spreadsheets/d/14Bd19lYaqBhU8_DElYkX7l4wRkHqqCUFNJY4AfY3kHU/edit?usp=sharing  #gid=0"",""фіз особи new!relations_name_uo""),7,FALSE)
,
)
))"),"БАЦИЄВ Віктор Валентинович")</f>
        <v>БАЦИЄВ Віктор Валентинович</v>
      </c>
      <c r="G4511" s="7" t="s">
        <v>10</v>
      </c>
      <c r="H4511" s="7">
        <v>3087</v>
      </c>
      <c r="I4511" s="8" t="str">
        <f ca="1">IFERROR(__xludf.DUMMYFUNCTION("IF
(
G4512=""фізична особа""
,
VLOOKUP(H4512,IMPORTRANGE(""https://docs.google.com/spreadsheets/d/14Bd19lYaqBhU8_DElYkX7l4wRkHqqCUFNJY4AfY3kHU/edit?usp=sharing  #gid=0"",""фіз особи new!relations_name""),6,FALSE)
,
(IF
(
G4512=""юридична особа""
,
VLOOKUP"&amp;"(H4512,IMPORTRANGE(""https://docs.google.com/spreadsheets/d/14Bd19lYaqBhU8_DElYkX7l4wRkHqqCUFNJY4AfY3kHU/edit?usp=sharing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11" s="7" t="s">
        <v>29</v>
      </c>
    </row>
    <row r="4512" spans="1:10" ht="13.2">
      <c r="A4512" s="7">
        <v>4511</v>
      </c>
      <c r="B4512" s="7">
        <v>1</v>
      </c>
      <c r="C4512" s="7" t="s">
        <v>10</v>
      </c>
      <c r="D4512" s="7">
        <v>3089</v>
      </c>
      <c r="E4512" s="7" t="s">
        <v>28</v>
      </c>
      <c r="F4512" s="8" t="str">
        <f ca="1">IFERROR(__xludf.DUMMYFUNCTION("IF
(
C4513=""фізична особа""
,
VLOOKUP(D4513,IMPORTRANGE(""https://docs.google.com/spreadsheets/d/14Bd19lYaqBhU8_DElYkX7l4wRkHqqCUFNJY4AfY3kHU/edit?usp=sharing  #gid=0"",""фіз особи new!relations_name""),6,FALSE)
,
(IF
(
C4513=""юридична особа""
,
VLOOKUP"&amp;"(D4513,IMPORTRANGE(""https://docs.google.com/spreadsheets/d/14Bd19lYaqBhU8_DElYkX7l4wRkHqqCUFNJY4AfY3kHU/edit?usp=sharing  #gid=0"",""фіз особи new!relations_name_uo""),7,FALSE)
,
)
))"),"БОНДАРЧУК Світлана Леонідівна")</f>
        <v>БОНДАРЧУК Світлана Леонідівна</v>
      </c>
      <c r="G4512" s="7" t="s">
        <v>10</v>
      </c>
      <c r="H4512" s="7">
        <v>3087</v>
      </c>
      <c r="I4512" s="8" t="str">
        <f ca="1">IFERROR(__xludf.DUMMYFUNCTION("IF
(
G4513=""фізична особа""
,
VLOOKUP(H4513,IMPORTRANGE(""https://docs.google.com/spreadsheets/d/14Bd19lYaqBhU8_DElYkX7l4wRkHqqCUFNJY4AfY3kHU/edit?usp=sharing  #gid=0"",""фіз особи new!relations_name""),6,FALSE)
,
(IF
(
G4513=""юридична особа""
,
VLOOKUP"&amp;"(H4513,IMPORTRANGE(""https://docs.google.com/spreadsheets/d/14Bd19lYaqBhU8_DElYkX7l4wRkHqqCUFNJY4AfY3kHU/edit?usp=sharing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12" s="7" t="s">
        <v>29</v>
      </c>
    </row>
    <row r="4513" spans="1:10" ht="13.2">
      <c r="A4513" s="7">
        <v>4512</v>
      </c>
      <c r="B4513" s="7">
        <v>1</v>
      </c>
      <c r="C4513" s="7" t="s">
        <v>10</v>
      </c>
      <c r="D4513" s="7">
        <v>3090</v>
      </c>
      <c r="E4513" s="7" t="s">
        <v>28</v>
      </c>
      <c r="F4513" s="8" t="str">
        <f ca="1">IFERROR(__xludf.DUMMYFUNCTION("IF
(
C4514=""фізична особа""
,
VLOOKUP(D4514,IMPORTRANGE(""https://docs.google.com/spreadsheets/d/14Bd19lYaqBhU8_DElYkX7l4wRkHqqCUFNJY4AfY3kHU/edit?usp=sharing  #gid=0"",""фіз особи new!relations_name""),6,FALSE)
,
(IF
(
C4514=""юридична особа""
,
VLOOKUP"&amp;"(D4514,IMPORTRANGE(""https://docs.google.com/spreadsheets/d/14Bd19lYaqBhU8_DElYkX7l4wRkHqqCUFNJY4AfY3kHU/edit?usp=sharing  #gid=0"",""фіз особи new!relations_name_uo""),7,FALSE)
,
)
))"),"ПАВЛЮЧЕНКО Олексій Миколайович")</f>
        <v>ПАВЛЮЧЕНКО Олексій Миколайович</v>
      </c>
      <c r="G4513" s="7" t="s">
        <v>10</v>
      </c>
      <c r="H4513" s="7">
        <v>199</v>
      </c>
      <c r="I4513" s="8" t="str">
        <f ca="1">IFERROR(__xludf.DUMMYFUNCTION("IF
(
G4514=""фізична особа""
,
VLOOKUP(H4514,IMPORTRANGE(""https://docs.google.com/spreadsheets/d/14Bd19lYaqBhU8_DElYkX7l4wRkHqqCUFNJY4AfY3kHU/edit?usp=sharing  #gid=0"",""фіз особи new!relations_name""),6,FALSE)
,
(IF
(
G4514=""юридична особа""
,
VLOOKUP"&amp;"(H4514,IMPORTRANGE(""https://docs.google.com/spreadsheets/d/14Bd19lYaqBhU8_DElYkX7l4wRkHqqCUFNJY4AfY3kHU/edit?usp=sharing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13" s="7" t="s">
        <v>29</v>
      </c>
    </row>
    <row r="4514" spans="1:10" ht="13.2">
      <c r="A4514" s="7">
        <v>4513</v>
      </c>
      <c r="B4514" s="7">
        <v>1</v>
      </c>
      <c r="C4514" s="7" t="s">
        <v>10</v>
      </c>
      <c r="D4514" s="7">
        <v>3091</v>
      </c>
      <c r="E4514" s="7" t="s">
        <v>28</v>
      </c>
      <c r="F4514" s="8" t="str">
        <f ca="1">IFERROR(__xludf.DUMMYFUNCTION("IF
(
C4515=""фізична особа""
,
VLOOKUP(D4515,IMPORTRANGE(""https://docs.google.com/spreadsheets/d/14Bd19lYaqBhU8_DElYkX7l4wRkHqqCUFNJY4AfY3kHU/edit?usp=sharing  #gid=0"",""фіз особи new!relations_name""),6,FALSE)
,
(IF
(
C4515=""юридична особа""
,
VLOOKUP"&amp;"(D4515,IMPORTRANGE(""https://docs.google.com/spreadsheets/d/14Bd19lYaqBhU8_DElYkX7l4wRkHqqCUFNJY4AfY3kHU/edit?usp=sharing  #gid=0"",""фіз особи new!relations_name_uo""),7,FALSE)
,
)
))"),"БУДАРИН Андрій Володимирович")</f>
        <v>БУДАРИН Андрій Володимирович</v>
      </c>
      <c r="G4514" s="7" t="s">
        <v>10</v>
      </c>
      <c r="H4514" s="7">
        <v>3087</v>
      </c>
      <c r="I4514" s="8" t="str">
        <f ca="1">IFERROR(__xludf.DUMMYFUNCTION("IF
(
G4515=""фізична особа""
,
VLOOKUP(H4515,IMPORTRANGE(""https://docs.google.com/spreadsheets/d/14Bd19lYaqBhU8_DElYkX7l4wRkHqqCUFNJY4AfY3kHU/edit?usp=sharing  #gid=0"",""фіз особи new!relations_name""),6,FALSE)
,
(IF
(
G4515=""юридична особа""
,
VLOOKUP"&amp;"(H4515,IMPORTRANGE(""https://docs.google.com/spreadsheets/d/14Bd19lYaqBhU8_DElYkX7l4wRkHqqCUFNJY4AfY3kHU/edit?usp=sharing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14" s="7" t="s">
        <v>29</v>
      </c>
    </row>
    <row r="4515" spans="1:10" ht="13.2">
      <c r="A4515" s="7">
        <v>4514</v>
      </c>
      <c r="B4515" s="7">
        <v>1</v>
      </c>
      <c r="C4515" s="7" t="s">
        <v>10</v>
      </c>
      <c r="D4515" s="7">
        <v>3092</v>
      </c>
      <c r="E4515" s="7" t="s">
        <v>28</v>
      </c>
      <c r="F4515" s="8" t="str">
        <f ca="1">IFERROR(__xludf.DUMMYFUNCTION("IF
(
C4516=""фізична особа""
,
VLOOKUP(D4516,IMPORTRANGE(""https://docs.google.com/spreadsheets/d/14Bd19lYaqBhU8_DElYkX7l4wRkHqqCUFNJY4AfY3kHU/edit?usp=sharing  #gid=0"",""фіз особи new!relations_name""),6,FALSE)
,
(IF
(
C4516=""юридична особа""
,
VLOOKUP"&amp;"(D4516,IMPORTRANGE(""https://docs.google.com/spreadsheets/d/14Bd19lYaqBhU8_DElYkX7l4wRkHqqCUFNJY4AfY3kHU/edit?usp=sharing  #gid=0"",""фіз особи new!relations_name_uo""),7,FALSE)
,
)
))"),"ЄГОРИЧЕВ Олександр Валерійович")</f>
        <v>ЄГОРИЧЕВ Олександр Валерійович</v>
      </c>
      <c r="G4515" s="7" t="s">
        <v>10</v>
      </c>
      <c r="H4515" s="7">
        <v>3087</v>
      </c>
      <c r="I4515" s="8" t="str">
        <f ca="1">IFERROR(__xludf.DUMMYFUNCTION("IF
(
G4516=""фізична особа""
,
VLOOKUP(H4516,IMPORTRANGE(""https://docs.google.com/spreadsheets/d/14Bd19lYaqBhU8_DElYkX7l4wRkHqqCUFNJY4AfY3kHU/edit?usp=sharing  #gid=0"",""фіз особи new!relations_name""),6,FALSE)
,
(IF
(
G4516=""юридична особа""
,
VLOOKUP"&amp;"(H4516,IMPORTRANGE(""https://docs.google.com/spreadsheets/d/14Bd19lYaqBhU8_DElYkX7l4wRkHqqCUFNJY4AfY3kHU/edit?usp=sharing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15" s="7" t="s">
        <v>29</v>
      </c>
    </row>
    <row r="4516" spans="1:10" ht="13.2">
      <c r="A4516" s="7">
        <v>4515</v>
      </c>
      <c r="B4516" s="7">
        <v>1</v>
      </c>
      <c r="C4516" s="7" t="s">
        <v>10</v>
      </c>
      <c r="D4516" s="7">
        <v>3093</v>
      </c>
      <c r="E4516" s="7" t="s">
        <v>28</v>
      </c>
      <c r="F4516" s="8" t="str">
        <f ca="1">IFERROR(__xludf.DUMMYFUNCTION("IF
(
C4517=""фізична особа""
,
VLOOKUP(D4517,IMPORTRANGE(""https://docs.google.com/spreadsheets/d/14Bd19lYaqBhU8_DElYkX7l4wRkHqqCUFNJY4AfY3kHU/edit?usp=sharing  #gid=0"",""фіз особи new!relations_name""),6,FALSE)
,
(IF
(
C4517=""юридична особа""
,
VLOOKUP"&amp;"(D4517,IMPORTRANGE(""https://docs.google.com/spreadsheets/d/14Bd19lYaqBhU8_DElYkX7l4wRkHqqCUFNJY4AfY3kHU/edit?usp=sharing  #gid=0"",""фіз особи new!relations_name_uo""),7,FALSE)
,
)
))"),"СОКОЛОВ Василь Ігорович")</f>
        <v>СОКОЛОВ Василь Ігорович</v>
      </c>
      <c r="G4516" s="7" t="s">
        <v>10</v>
      </c>
      <c r="H4516" s="7">
        <v>199</v>
      </c>
      <c r="I4516" s="8" t="str">
        <f ca="1">IFERROR(__xludf.DUMMYFUNCTION("IF
(
G4517=""фізична особа""
,
VLOOKUP(H4517,IMPORTRANGE(""https://docs.google.com/spreadsheets/d/14Bd19lYaqBhU8_DElYkX7l4wRkHqqCUFNJY4AfY3kHU/edit?usp=sharing  #gid=0"",""фіз особи new!relations_name""),6,FALSE)
,
(IF
(
G4517=""юридична особа""
,
VLOOKUP"&amp;"(H4517,IMPORTRANGE(""https://docs.google.com/spreadsheets/d/14Bd19lYaqBhU8_DElYkX7l4wRkHqqCUFNJY4AfY3kHU/edit?usp=sharing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16" s="7" t="s">
        <v>29</v>
      </c>
    </row>
    <row r="4517" spans="1:10" ht="13.2">
      <c r="A4517" s="7">
        <v>4516</v>
      </c>
      <c r="B4517" s="7">
        <v>1</v>
      </c>
      <c r="C4517" s="7" t="s">
        <v>10</v>
      </c>
      <c r="D4517" s="7">
        <v>3093</v>
      </c>
      <c r="E4517" s="7" t="s">
        <v>12</v>
      </c>
      <c r="F4517" s="8" t="str">
        <f ca="1">IFERROR(__xludf.DUMMYFUNCTION("IF
(
C4518=""фізична особа""
,
VLOOKUP(D4518,IMPORTRANGE(""https://docs.google.com/spreadsheets/d/14Bd19lYaqBhU8_DElYkX7l4wRkHqqCUFNJY4AfY3kHU/edit?usp=sharing  #gid=0"",""фіз особи new!relations_name""),6,FALSE)
,
(IF
(
C4518=""юридична особа""
,
VLOOKUP"&amp;"(D4518,IMPORTRANGE(""https://docs.google.com/spreadsheets/d/14Bd19lYaqBhU8_DElYkX7l4wRkHqqCUFNJY4AfY3kHU/edit?usp=sharing  #gid=0"",""фіз особи new!relations_name_uo""),7,FALSE)
,
)
))"),"СОКОЛОВ Василь Ігорович")</f>
        <v>СОКОЛОВ Василь Ігорович</v>
      </c>
      <c r="G4517" s="7" t="s">
        <v>10</v>
      </c>
      <c r="H4517" s="7">
        <v>0</v>
      </c>
      <c r="I4517" s="8" t="str">
        <f ca="1">IFERROR(__xludf.DUMMYFUNCTION("IF
(
G4518=""фізична особа""
,
VLOOKUP(H4518,IMPORTRANGE(""https://docs.google.com/spreadsheets/d/14Bd19lYaqBhU8_DElYkX7l4wRkHqqCUFNJY4AfY3kHU/edit?usp=sharing  #gid=0"",""фіз особи new!relations_name""),6,FALSE)
,
(IF
(
G4518=""юридична особа""
,
VLOOKUP"&amp;"(H4518,IMPORTRANGE(""https://docs.google.com/spreadsheets/d/14Bd19lYaqBhU8_DElYkX7l4wRkHqqCUFNJY4AfY3kHU/edit?usp=sharing  #gid=0"",""фіз особи new!relations_name_uo""),7,FALSE)
,
)
))"),"#N/A")</f>
        <v>#N/A</v>
      </c>
      <c r="J4517" s="7" t="s">
        <v>17</v>
      </c>
    </row>
    <row r="4518" spans="1:10" ht="13.2">
      <c r="A4518" s="7">
        <v>4517</v>
      </c>
      <c r="B4518" s="7">
        <v>1</v>
      </c>
      <c r="C4518" s="7" t="s">
        <v>10</v>
      </c>
      <c r="D4518" s="7">
        <v>3093</v>
      </c>
      <c r="E4518" s="7" t="s">
        <v>28</v>
      </c>
      <c r="F4518" s="8" t="str">
        <f ca="1">IFERROR(__xludf.DUMMYFUNCTION("IF
(
C4519=""фізична особа""
,
VLOOKUP(D4519,IMPORTRANGE(""https://docs.google.com/spreadsheets/d/14Bd19lYaqBhU8_DElYkX7l4wRkHqqCUFNJY4AfY3kHU/edit?usp=sharing  #gid=0"",""фіз особи new!relations_name""),6,FALSE)
,
(IF
(
C4519=""юридична особа""
,
VLOOKUP"&amp;"(D4519,IMPORTRANGE(""https://docs.google.com/spreadsheets/d/14Bd19lYaqBhU8_DElYkX7l4wRkHqqCUFNJY4AfY3kHU/edit?usp=sharing  #gid=0"",""фіз особи new!relations_name_uo""),7,FALSE)
,
)
))"),"СОКОЛОВ Василь Ігорович")</f>
        <v>СОКОЛОВ Василь Ігорович</v>
      </c>
      <c r="G4518" s="7" t="s">
        <v>10</v>
      </c>
      <c r="H4518" s="7">
        <v>2371</v>
      </c>
      <c r="I4518" s="8" t="str">
        <f ca="1">IFERROR(__xludf.DUMMYFUNCTION("IF
(
G4519=""фізична особа""
,
VLOOKUP(H4519,IMPORTRANGE(""https://docs.google.com/spreadsheets/d/14Bd19lYaqBhU8_DElYkX7l4wRkHqqCUFNJY4AfY3kHU/edit?usp=sharing  #gid=0"",""фіз особи new!relations_name""),6,FALSE)
,
(IF
(
G4519=""юридична особа""
,
VLOOKUP"&amp;"(H4519,IMPORTRANGE(""https://docs.google.com/spreadsheets/d/14Bd19lYaqBhU8_DElYkX7l4wRkHqqCUFNJY4AfY3kHU/edit?usp=sharing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4518" s="7" t="s">
        <v>29</v>
      </c>
    </row>
    <row r="4519" spans="1:10" ht="13.2">
      <c r="A4519" s="7">
        <v>4518</v>
      </c>
      <c r="B4519" s="7">
        <v>1</v>
      </c>
      <c r="C4519" s="7" t="s">
        <v>10</v>
      </c>
      <c r="D4519" s="7">
        <v>3094</v>
      </c>
      <c r="E4519" s="7" t="s">
        <v>28</v>
      </c>
      <c r="F4519" s="8" t="str">
        <f ca="1">IFERROR(__xludf.DUMMYFUNCTION("IF
(
C4520=""фізична особа""
,
VLOOKUP(D4520,IMPORTRANGE(""https://docs.google.com/spreadsheets/d/14Bd19lYaqBhU8_DElYkX7l4wRkHqqCUFNJY4AfY3kHU/edit?usp=sharing  #gid=0"",""фіз особи new!relations_name""),6,FALSE)
,
(IF
(
C4520=""юридична особа""
,
VLOOKUP"&amp;"(D4520,IMPORTRANGE(""https://docs.google.com/spreadsheets/d/14Bd19lYaqBhU8_DElYkX7l4wRkHqqCUFNJY4AfY3kHU/edit?usp=sharing  #gid=0"",""фіз особи new!relations_name_uo""),7,FALSE)
,
)
))"),"КОЛЕСНІКОВ Віталій Григорович")</f>
        <v>КОЛЕСНІКОВ Віталій Григорович</v>
      </c>
      <c r="G4519" s="7" t="s">
        <v>10</v>
      </c>
      <c r="H4519" s="7">
        <v>3087</v>
      </c>
      <c r="I4519" s="8" t="str">
        <f ca="1">IFERROR(__xludf.DUMMYFUNCTION("IF
(
G4520=""фізична особа""
,
VLOOKUP(H4520,IMPORTRANGE(""https://docs.google.com/spreadsheets/d/14Bd19lYaqBhU8_DElYkX7l4wRkHqqCUFNJY4AfY3kHU/edit?usp=sharing  #gid=0"",""фіз особи new!relations_name""),6,FALSE)
,
(IF
(
G4520=""юридична особа""
,
VLOOKUP"&amp;"(H4520,IMPORTRANGE(""https://docs.google.com/spreadsheets/d/14Bd19lYaqBhU8_DElYkX7l4wRkHqqCUFNJY4AfY3kHU/edit?usp=sharing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19" s="7" t="s">
        <v>29</v>
      </c>
    </row>
    <row r="4520" spans="1:10" ht="13.2">
      <c r="A4520" s="7">
        <v>4519</v>
      </c>
      <c r="B4520" s="7">
        <v>1</v>
      </c>
      <c r="C4520" s="7" t="s">
        <v>10</v>
      </c>
      <c r="D4520" s="7">
        <v>3095</v>
      </c>
      <c r="E4520" s="7" t="s">
        <v>28</v>
      </c>
      <c r="F4520" s="8" t="str">
        <f ca="1">IFERROR(__xludf.DUMMYFUNCTION("IF
(
C4521=""фізична особа""
,
VLOOKUP(D4521,IMPORTRANGE(""https://docs.google.com/spreadsheets/d/14Bd19lYaqBhU8_DElYkX7l4wRkHqqCUFNJY4AfY3kHU/edit?usp=sharing  #gid=0"",""фіз особи new!relations_name""),6,FALSE)
,
(IF
(
C4521=""юридична особа""
,
VLOOKUP"&amp;"(D4521,IMPORTRANGE(""https://docs.google.com/spreadsheets/d/14Bd19lYaqBhU8_DElYkX7l4wRkHqqCUFNJY4AfY3kHU/edit?usp=sharing  #gid=0"",""фіз особи new!relations_name_uo""),7,FALSE)
,
)
))"),"ПЕТРУШИН Андрій Станіславович")</f>
        <v>ПЕТРУШИН Андрій Станіславович</v>
      </c>
      <c r="G4520" s="7" t="s">
        <v>10</v>
      </c>
      <c r="H4520" s="7">
        <v>3087</v>
      </c>
      <c r="I4520" s="8" t="str">
        <f ca="1">IFERROR(__xludf.DUMMYFUNCTION("IF
(
G4521=""фізична особа""
,
VLOOKUP(H4521,IMPORTRANGE(""https://docs.google.com/spreadsheets/d/14Bd19lYaqBhU8_DElYkX7l4wRkHqqCUFNJY4AfY3kHU/edit?usp=sharing  #gid=0"",""фіз особи new!relations_name""),6,FALSE)
,
(IF
(
G4521=""юридична особа""
,
VLOOKUP"&amp;"(H4521,IMPORTRANGE(""https://docs.google.com/spreadsheets/d/14Bd19lYaqBhU8_DElYkX7l4wRkHqqCUFNJY4AfY3kHU/edit?usp=sharing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20" s="7" t="s">
        <v>29</v>
      </c>
    </row>
    <row r="4521" spans="1:10" ht="13.2">
      <c r="A4521" s="7">
        <v>4520</v>
      </c>
      <c r="B4521" s="7">
        <v>1</v>
      </c>
      <c r="C4521" s="7" t="s">
        <v>10</v>
      </c>
      <c r="D4521" s="7">
        <v>3096</v>
      </c>
      <c r="E4521" s="7" t="s">
        <v>28</v>
      </c>
      <c r="F4521" s="8" t="str">
        <f ca="1">IFERROR(__xludf.DUMMYFUNCTION("IF
(
C4522=""фізична особа""
,
VLOOKUP(D4522,IMPORTRANGE(""https://docs.google.com/spreadsheets/d/14Bd19lYaqBhU8_DElYkX7l4wRkHqqCUFNJY4AfY3kHU/edit?usp=sharing  #gid=0"",""фіз особи new!relations_name""),6,FALSE)
,
(IF
(
C4522=""юридична особа""
,
VLOOKUP"&amp;"(D4522,IMPORTRANGE(""https://docs.google.com/spreadsheets/d/14Bd19lYaqBhU8_DElYkX7l4wRkHqqCUFNJY4AfY3kHU/edit?usp=sharing  #gid=0"",""фіз особи new!relations_name_uo""),7,FALSE)
,
)
))"),"САТІН Дмитро Станіславович")</f>
        <v>САТІН Дмитро Станіславович</v>
      </c>
      <c r="G4521" s="7" t="s">
        <v>10</v>
      </c>
      <c r="H4521" s="7">
        <v>3087</v>
      </c>
      <c r="I4521" s="8" t="str">
        <f ca="1">IFERROR(__xludf.DUMMYFUNCTION("IF
(
G4522=""фізична особа""
,
VLOOKUP(H4522,IMPORTRANGE(""https://docs.google.com/spreadsheets/d/14Bd19lYaqBhU8_DElYkX7l4wRkHqqCUFNJY4AfY3kHU/edit?usp=sharing  #gid=0"",""фіз особи new!relations_name""),6,FALSE)
,
(IF
(
G4522=""юридична особа""
,
VLOOKUP"&amp;"(H4522,IMPORTRANGE(""https://docs.google.com/spreadsheets/d/14Bd19lYaqBhU8_DElYkX7l4wRkHqqCUFNJY4AfY3kHU/edit?usp=sharing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21" s="7" t="s">
        <v>29</v>
      </c>
    </row>
    <row r="4522" spans="1:10" ht="13.2">
      <c r="A4522" s="7">
        <v>4521</v>
      </c>
      <c r="B4522" s="7">
        <v>1</v>
      </c>
      <c r="C4522" s="7" t="s">
        <v>10</v>
      </c>
      <c r="D4522" s="7">
        <v>3097</v>
      </c>
      <c r="E4522" s="7" t="s">
        <v>28</v>
      </c>
      <c r="F4522" s="8" t="str">
        <f ca="1">IFERROR(__xludf.DUMMYFUNCTION("IF
(
C4523=""фізична особа""
,
VLOOKUP(D4523,IMPORTRANGE(""https://docs.google.com/spreadsheets/d/14Bd19lYaqBhU8_DElYkX7l4wRkHqqCUFNJY4AfY3kHU/edit?usp=sharing  #gid=0"",""фіз особи new!relations_name""),6,FALSE)
,
(IF
(
C4523=""юридична особа""
,
VLOOKUP"&amp;"(D4523,IMPORTRANGE(""https://docs.google.com/spreadsheets/d/14Bd19lYaqBhU8_DElYkX7l4wRkHqqCUFNJY4AfY3kHU/edit?usp=sharing  #gid=0"",""фіз особи new!relations_name_uo""),7,FALSE)
,
)
))"),"ЧЕКМИШЕВ Костянтин Миколайович")</f>
        <v>ЧЕКМИШЕВ Костянтин Миколайович</v>
      </c>
      <c r="G4522" s="7" t="s">
        <v>10</v>
      </c>
      <c r="H4522" s="7">
        <v>3087</v>
      </c>
      <c r="I4522" s="8" t="str">
        <f ca="1">IFERROR(__xludf.DUMMYFUNCTION("IF
(
G4523=""фізична особа""
,
VLOOKUP(H4523,IMPORTRANGE(""https://docs.google.com/spreadsheets/d/14Bd19lYaqBhU8_DElYkX7l4wRkHqqCUFNJY4AfY3kHU/edit?usp=sharing  #gid=0"",""фіз особи new!relations_name""),6,FALSE)
,
(IF
(
G4523=""юридична особа""
,
VLOOKUP"&amp;"(H4523,IMPORTRANGE(""https://docs.google.com/spreadsheets/d/14Bd19lYaqBhU8_DElYkX7l4wRkHqqCUFNJY4AfY3kHU/edit?usp=sharing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22" s="7" t="s">
        <v>29</v>
      </c>
    </row>
    <row r="4523" spans="1:10" ht="13.2">
      <c r="A4523" s="7">
        <v>4522</v>
      </c>
      <c r="B4523" s="7">
        <v>1</v>
      </c>
      <c r="C4523" s="7" t="s">
        <v>10</v>
      </c>
      <c r="D4523" s="7">
        <v>3098</v>
      </c>
      <c r="E4523" s="7" t="s">
        <v>28</v>
      </c>
      <c r="F4523" s="8" t="str">
        <f ca="1">IFERROR(__xludf.DUMMYFUNCTION("IF
(
C4524=""фізична особа""
,
VLOOKUP(D4524,IMPORTRANGE(""https://docs.google.com/spreadsheets/d/14Bd19lYaqBhU8_DElYkX7l4wRkHqqCUFNJY4AfY3kHU/edit?usp=sharing  #gid=0"",""фіз особи new!relations_name""),6,FALSE)
,
(IF
(
C4524=""юридична особа""
,
VLOOKUP"&amp;"(D4524,IMPORTRANGE(""https://docs.google.com/spreadsheets/d/14Bd19lYaqBhU8_DElYkX7l4wRkHqqCUFNJY4AfY3kHU/edit?usp=sharing  #gid=0"",""фіз особи new!relations_name_uo""),7,FALSE)
,
)
))"),"ШЕПЕЛЄВА Юлія В'ячеславівна")</f>
        <v>ШЕПЕЛЄВА Юлія В'ячеславівна</v>
      </c>
      <c r="G4523" s="7" t="s">
        <v>10</v>
      </c>
      <c r="H4523" s="7">
        <v>3087</v>
      </c>
      <c r="I4523" s="8" t="str">
        <f ca="1">IFERROR(__xludf.DUMMYFUNCTION("IF
(
G4524=""фізична особа""
,
VLOOKUP(H4524,IMPORTRANGE(""https://docs.google.com/spreadsheets/d/14Bd19lYaqBhU8_DElYkX7l4wRkHqqCUFNJY4AfY3kHU/edit?usp=sharing  #gid=0"",""фіз особи new!relations_name""),6,FALSE)
,
(IF
(
G4524=""юридична особа""
,
VLOOKUP"&amp;"(H4524,IMPORTRANGE(""https://docs.google.com/spreadsheets/d/14Bd19lYaqBhU8_DElYkX7l4wRkHqqCUFNJY4AfY3kHU/edit?usp=sharing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4523" s="7" t="s">
        <v>29</v>
      </c>
    </row>
    <row r="4524" spans="1:10" ht="13.2">
      <c r="A4524" s="7">
        <v>4523</v>
      </c>
      <c r="B4524" s="7">
        <v>1</v>
      </c>
      <c r="C4524" s="7" t="s">
        <v>10</v>
      </c>
      <c r="D4524" s="7">
        <v>3099</v>
      </c>
      <c r="E4524" s="7" t="s">
        <v>28</v>
      </c>
      <c r="F4524" s="8" t="str">
        <f ca="1">IFERROR(__xludf.DUMMYFUNCTION("IF
(
C4525=""фізична особа""
,
VLOOKUP(D4525,IMPORTRANGE(""https://docs.google.com/spreadsheets/d/14Bd19lYaqBhU8_DElYkX7l4wRkHqqCUFNJY4AfY3kHU/edit?usp=sharing  #gid=0"",""фіз особи new!relations_name""),6,FALSE)
,
(IF
(
C4525=""юридична особа""
,
VLOOKUP"&amp;"(D4525,IMPORTRANGE(""https://docs.google.com/spreadsheets/d/14Bd19lYaqBhU8_DElYkX7l4wRkHqqCUFNJY4AfY3kHU/edit?usp=sharing  #gid=0"",""фіз особи new!relations_name_uo""),7,FALSE)
,
)
))"),"САВЧУК Петро Степанович")</f>
        <v>САВЧУК Петро Степанович</v>
      </c>
      <c r="G4524" s="7" t="s">
        <v>10</v>
      </c>
      <c r="H4524" s="7">
        <v>199</v>
      </c>
      <c r="I4524" s="8" t="str">
        <f ca="1">IFERROR(__xludf.DUMMYFUNCTION("IF
(
G4525=""фізична особа""
,
VLOOKUP(H4525,IMPORTRANGE(""https://docs.google.com/spreadsheets/d/14Bd19lYaqBhU8_DElYkX7l4wRkHqqCUFNJY4AfY3kHU/edit?usp=sharing  #gid=0"",""фіз особи new!relations_name""),6,FALSE)
,
(IF
(
G4525=""юридична особа""
,
VLOOKUP"&amp;"(H4525,IMPORTRANGE(""https://docs.google.com/spreadsheets/d/14Bd19lYaqBhU8_DElYkX7l4wRkHqqCUFNJY4AfY3kHU/edit?usp=sharing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24" s="7" t="s">
        <v>29</v>
      </c>
    </row>
    <row r="4525" spans="1:10" ht="13.2">
      <c r="A4525" s="7">
        <v>4524</v>
      </c>
      <c r="B4525" s="7">
        <v>1</v>
      </c>
      <c r="C4525" s="7" t="s">
        <v>10</v>
      </c>
      <c r="D4525" s="7">
        <v>3099</v>
      </c>
      <c r="E4525" s="7" t="s">
        <v>28</v>
      </c>
      <c r="F4525" s="8" t="str">
        <f ca="1">IFERROR(__xludf.DUMMYFUNCTION("IF
(
C4526=""фізична особа""
,
VLOOKUP(D4526,IMPORTRANGE(""https://docs.google.com/spreadsheets/d/14Bd19lYaqBhU8_DElYkX7l4wRkHqqCUFNJY4AfY3kHU/edit?usp=sharing  #gid=0"",""фіз особи new!relations_name""),6,FALSE)
,
(IF
(
C4526=""юридична особа""
,
VLOOKUP"&amp;"(D4526,IMPORTRANGE(""https://docs.google.com/spreadsheets/d/14Bd19lYaqBhU8_DElYkX7l4wRkHqqCUFNJY4AfY3kHU/edit?usp=sharing  #gid=0"",""фіз особи new!relations_name_uo""),7,FALSE)
,
)
))"),"САВЧУК Петро Степанович")</f>
        <v>САВЧУК Петро Степанович</v>
      </c>
      <c r="G4525" s="7" t="s">
        <v>10</v>
      </c>
      <c r="H4525" s="7">
        <v>2371</v>
      </c>
      <c r="I4525" s="8" t="str">
        <f ca="1">IFERROR(__xludf.DUMMYFUNCTION("IF
(
G4526=""фізична особа""
,
VLOOKUP(H4526,IMPORTRANGE(""https://docs.google.com/spreadsheets/d/14Bd19lYaqBhU8_DElYkX7l4wRkHqqCUFNJY4AfY3kHU/edit?usp=sharing  #gid=0"",""фіз особи new!relations_name""),6,FALSE)
,
(IF
(
G4526=""юридична особа""
,
VLOOKUP"&amp;"(H4526,IMPORTRANGE(""https://docs.google.com/spreadsheets/d/14Bd19lYaqBhU8_DElYkX7l4wRkHqqCUFNJY4AfY3kHU/edit?usp=sharing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4525" s="7" t="s">
        <v>29</v>
      </c>
    </row>
    <row r="4526" spans="1:10" ht="13.2">
      <c r="A4526" s="7">
        <v>4525</v>
      </c>
      <c r="B4526" s="7">
        <v>1</v>
      </c>
      <c r="C4526" s="7" t="s">
        <v>10</v>
      </c>
      <c r="D4526" s="7">
        <v>3100</v>
      </c>
      <c r="E4526" s="7" t="s">
        <v>28</v>
      </c>
      <c r="F4526" s="8" t="str">
        <f ca="1">IFERROR(__xludf.DUMMYFUNCTION("IF
(
C4527=""фізична особа""
,
VLOOKUP(D4527,IMPORTRANGE(""https://docs.google.com/spreadsheets/d/14Bd19lYaqBhU8_DElYkX7l4wRkHqqCUFNJY4AfY3kHU/edit?usp=sharing  #gid=0"",""фіз особи new!relations_name""),6,FALSE)
,
(IF
(
C4527=""юридична особа""
,
VLOOKUP"&amp;"(D4527,IMPORTRANGE(""https://docs.google.com/spreadsheets/d/14Bd19lYaqBhU8_DElYkX7l4wRkHqqCUFNJY4AfY3kHU/edit?usp=sharing  #gid=0"",""фіз особи new!relations_name_uo""),7,FALSE)
,
)
))"),"ШУМКОВ Олексій Сергійович")</f>
        <v>ШУМКОВ Олексій Сергійович</v>
      </c>
      <c r="G4526" s="7" t="s">
        <v>10</v>
      </c>
      <c r="H4526" s="7">
        <v>2382</v>
      </c>
      <c r="I4526" s="8" t="str">
        <f ca="1">IFERROR(__xludf.DUMMYFUNCTION("IF
(
G4527=""фізична особа""
,
VLOOKUP(H4527,IMPORTRANGE(""https://docs.google.com/spreadsheets/d/14Bd19lYaqBhU8_DElYkX7l4wRkHqqCUFNJY4AfY3kHU/edit?usp=sharing  #gid=0"",""фіз особи new!relations_name""),6,FALSE)
,
(IF
(
G4527=""юридична особа""
,
VLOOKUP"&amp;"(H4527,IMPORTRANGE(""https://docs.google.com/spreadsheets/d/14Bd19lYaqBhU8_DElYkX7l4wRkHqqCUFNJY4AfY3kHU/edit?usp=sharing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26" s="7" t="s">
        <v>29</v>
      </c>
    </row>
    <row r="4527" spans="1:10" ht="13.2">
      <c r="A4527" s="7">
        <v>4526</v>
      </c>
      <c r="B4527" s="7">
        <v>1</v>
      </c>
      <c r="C4527" s="7" t="s">
        <v>10</v>
      </c>
      <c r="D4527" s="7">
        <v>3101</v>
      </c>
      <c r="E4527" s="7" t="s">
        <v>28</v>
      </c>
      <c r="F4527" s="8" t="str">
        <f ca="1">IFERROR(__xludf.DUMMYFUNCTION("IF
(
C4528=""фізична особа""
,
VLOOKUP(D4528,IMPORTRANGE(""https://docs.google.com/spreadsheets/d/14Bd19lYaqBhU8_DElYkX7l4wRkHqqCUFNJY4AfY3kHU/edit?usp=sharing  #gid=0"",""фіз особи new!relations_name""),6,FALSE)
,
(IF
(
C4528=""юридична особа""
,
VLOOKUP"&amp;"(D4528,IMPORTRANGE(""https://docs.google.com/spreadsheets/d/14Bd19lYaqBhU8_DElYkX7l4wRkHqqCUFNJY4AfY3kHU/edit?usp=sharing  #gid=0"",""фіз особи new!relations_name_uo""),7,FALSE)
,
)
))"),"ГАЛКІН Андрій Ігорович")</f>
        <v>ГАЛКІН Андрій Ігорович</v>
      </c>
      <c r="G4527" s="7" t="s">
        <v>10</v>
      </c>
      <c r="H4527" s="7">
        <v>2382</v>
      </c>
      <c r="I4527" s="8" t="str">
        <f ca="1">IFERROR(__xludf.DUMMYFUNCTION("IF
(
G4528=""фізична особа""
,
VLOOKUP(H4528,IMPORTRANGE(""https://docs.google.com/spreadsheets/d/14Bd19lYaqBhU8_DElYkX7l4wRkHqqCUFNJY4AfY3kHU/edit?usp=sharing  #gid=0"",""фіз особи new!relations_name""),6,FALSE)
,
(IF
(
G4528=""юридична особа""
,
VLOOKUP"&amp;"(H4528,IMPORTRANGE(""https://docs.google.com/spreadsheets/d/14Bd19lYaqBhU8_DElYkX7l4wRkHqqCUFNJY4AfY3kHU/edit?usp=sharing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27" s="7" t="s">
        <v>29</v>
      </c>
    </row>
    <row r="4528" spans="1:10" ht="13.2">
      <c r="A4528" s="7">
        <v>4527</v>
      </c>
      <c r="B4528" s="7">
        <v>1</v>
      </c>
      <c r="C4528" s="7" t="s">
        <v>10</v>
      </c>
      <c r="D4528" s="7">
        <v>3102</v>
      </c>
      <c r="E4528" s="7" t="s">
        <v>28</v>
      </c>
      <c r="F4528" s="8" t="str">
        <f ca="1">IFERROR(__xludf.DUMMYFUNCTION("IF
(
C4529=""фізична особа""
,
VLOOKUP(D4529,IMPORTRANGE(""https://docs.google.com/spreadsheets/d/14Bd19lYaqBhU8_DElYkX7l4wRkHqqCUFNJY4AfY3kHU/edit?usp=sharing  #gid=0"",""фіз особи new!relations_name""),6,FALSE)
,
(IF
(
C4529=""юридична особа""
,
VLOOKUP"&amp;"(D4529,IMPORTRANGE(""https://docs.google.com/spreadsheets/d/14Bd19lYaqBhU8_DElYkX7l4wRkHqqCUFNJY4AfY3kHU/edit?usp=sharing  #gid=0"",""фіз особи new!relations_name_uo""),7,FALSE)
,
)
))"),"ВАСЬКО Тарас Миколайович")</f>
        <v>ВАСЬКО Тарас Миколайович</v>
      </c>
      <c r="G4528" s="7" t="s">
        <v>10</v>
      </c>
      <c r="H4528" s="7">
        <v>2382</v>
      </c>
      <c r="I4528" s="8" t="str">
        <f ca="1">IFERROR(__xludf.DUMMYFUNCTION("IF
(
G4529=""фізична особа""
,
VLOOKUP(H4529,IMPORTRANGE(""https://docs.google.com/spreadsheets/d/14Bd19lYaqBhU8_DElYkX7l4wRkHqqCUFNJY4AfY3kHU/edit?usp=sharing  #gid=0"",""фіз особи new!relations_name""),6,FALSE)
,
(IF
(
G4529=""юридична особа""
,
VLOOKUP"&amp;"(H4529,IMPORTRANGE(""https://docs.google.com/spreadsheets/d/14Bd19lYaqBhU8_DElYkX7l4wRkHqqCUFNJY4AfY3kHU/edit?usp=sharing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28" s="7" t="s">
        <v>29</v>
      </c>
    </row>
    <row r="4529" spans="1:10" ht="13.2">
      <c r="A4529" s="7">
        <v>4528</v>
      </c>
      <c r="B4529" s="7">
        <v>1</v>
      </c>
      <c r="C4529" s="7" t="s">
        <v>10</v>
      </c>
      <c r="D4529" s="7">
        <v>3103</v>
      </c>
      <c r="E4529" s="7" t="s">
        <v>28</v>
      </c>
      <c r="F4529" s="8" t="str">
        <f ca="1">IFERROR(__xludf.DUMMYFUNCTION("IF
(
C4530=""фізична особа""
,
VLOOKUP(D4530,IMPORTRANGE(""https://docs.google.com/spreadsheets/d/14Bd19lYaqBhU8_DElYkX7l4wRkHqqCUFNJY4AfY3kHU/edit?usp=sharing  #gid=0"",""фіз особи new!relations_name""),6,FALSE)
,
(IF
(
C4530=""юридична особа""
,
VLOOKUP"&amp;"(D4530,IMPORTRANGE(""https://docs.google.com/spreadsheets/d/14Bd19lYaqBhU8_DElYkX7l4wRkHqqCUFNJY4AfY3kHU/edit?usp=sharing  #gid=0"",""фіз особи new!relations_name_uo""),7,FALSE)
,
)
))"),"ЛІГОМІНА Дмитро Віталійович")</f>
        <v>ЛІГОМІНА Дмитро Віталійович</v>
      </c>
      <c r="G4529" s="7" t="s">
        <v>10</v>
      </c>
      <c r="H4529" s="7">
        <v>2382</v>
      </c>
      <c r="I4529" s="8" t="str">
        <f ca="1">IFERROR(__xludf.DUMMYFUNCTION("IF
(
G4530=""фізична особа""
,
VLOOKUP(H4530,IMPORTRANGE(""https://docs.google.com/spreadsheets/d/14Bd19lYaqBhU8_DElYkX7l4wRkHqqCUFNJY4AfY3kHU/edit?usp=sharing  #gid=0"",""фіз особи new!relations_name""),6,FALSE)
,
(IF
(
G4530=""юридична особа""
,
VLOOKUP"&amp;"(H4530,IMPORTRANGE(""https://docs.google.com/spreadsheets/d/14Bd19lYaqBhU8_DElYkX7l4wRkHqqCUFNJY4AfY3kHU/edit?usp=sharing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29" s="7" t="s">
        <v>29</v>
      </c>
    </row>
    <row r="4530" spans="1:10" ht="13.2">
      <c r="A4530" s="7">
        <v>4529</v>
      </c>
      <c r="B4530" s="7">
        <v>1</v>
      </c>
      <c r="C4530" s="7" t="s">
        <v>10</v>
      </c>
      <c r="D4530" s="7">
        <v>3103</v>
      </c>
      <c r="E4530" s="7" t="s">
        <v>30</v>
      </c>
      <c r="F4530" s="8" t="str">
        <f ca="1">IFERROR(__xludf.DUMMYFUNCTION("IF
(
C4531=""фізична особа""
,
VLOOKUP(D4531,IMPORTRANGE(""https://docs.google.com/spreadsheets/d/14Bd19lYaqBhU8_DElYkX7l4wRkHqqCUFNJY4AfY3kHU/edit?usp=sharing  #gid=0"",""фіз особи new!relations_name""),6,FALSE)
,
(IF
(
C4531=""юридична особа""
,
VLOOKUP"&amp;"(D4531,IMPORTRANGE(""https://docs.google.com/spreadsheets/d/14Bd19lYaqBhU8_DElYkX7l4wRkHqqCUFNJY4AfY3kHU/edit?usp=sharing  #gid=0"",""фіз особи new!relations_name_uo""),7,FALSE)
,
)
))"),"ЛІГОМІНА Дмитро Віталійович")</f>
        <v>ЛІГОМІНА Дмитро Віталійович</v>
      </c>
      <c r="G4530" s="7" t="s">
        <v>10</v>
      </c>
      <c r="H4530" s="7">
        <v>0</v>
      </c>
      <c r="I4530" s="8" t="str">
        <f ca="1">IFERROR(__xludf.DUMMYFUNCTION("IF
(
G4531=""фізична особа""
,
VLOOKUP(H4531,IMPORTRANGE(""https://docs.google.com/spreadsheets/d/14Bd19lYaqBhU8_DElYkX7l4wRkHqqCUFNJY4AfY3kHU/edit?usp=sharing  #gid=0"",""фіз особи new!relations_name""),6,FALSE)
,
(IF
(
G4531=""юридична особа""
,
VLOOKUP"&amp;"(H4531,IMPORTRANGE(""https://docs.google.com/spreadsheets/d/14Bd19lYaqBhU8_DElYkX7l4wRkHqqCUFNJY4AfY3kHU/edit?usp=sharing  #gid=0"",""фіз особи new!relations_name_uo""),7,FALSE)
,
)
))"),"#N/A")</f>
        <v>#N/A</v>
      </c>
      <c r="J4530" s="7" t="s">
        <v>30</v>
      </c>
    </row>
    <row r="4531" spans="1:10" ht="13.2">
      <c r="A4531" s="7">
        <v>4530</v>
      </c>
      <c r="B4531" s="7">
        <v>1</v>
      </c>
      <c r="C4531" s="7" t="s">
        <v>10</v>
      </c>
      <c r="D4531" s="7">
        <v>3104</v>
      </c>
      <c r="E4531" s="7" t="s">
        <v>28</v>
      </c>
      <c r="F4531" s="8" t="str">
        <f ca="1">IFERROR(__xludf.DUMMYFUNCTION("IF
(
C4532=""фізична особа""
,
VLOOKUP(D4532,IMPORTRANGE(""https://docs.google.com/spreadsheets/d/14Bd19lYaqBhU8_DElYkX7l4wRkHqqCUFNJY4AfY3kHU/edit?usp=sharing  #gid=0"",""фіз особи new!relations_name""),6,FALSE)
,
(IF
(
C4532=""юридична особа""
,
VLOOKUP"&amp;"(D4532,IMPORTRANGE(""https://docs.google.com/spreadsheets/d/14Bd19lYaqBhU8_DElYkX7l4wRkHqqCUFNJY4AfY3kHU/edit?usp=sharing  #gid=0"",""фіз особи new!relations_name_uo""),7,FALSE)
,
)
))"),"МАСЛОВА Марина Сергіївна")</f>
        <v>МАСЛОВА Марина Сергіївна</v>
      </c>
      <c r="G4531" s="7" t="s">
        <v>10</v>
      </c>
      <c r="H4531" s="7">
        <v>2382</v>
      </c>
      <c r="I4531" s="8" t="str">
        <f ca="1">IFERROR(__xludf.DUMMYFUNCTION("IF
(
G4532=""фізична особа""
,
VLOOKUP(H4532,IMPORTRANGE(""https://docs.google.com/spreadsheets/d/14Bd19lYaqBhU8_DElYkX7l4wRkHqqCUFNJY4AfY3kHU/edit?usp=sharing  #gid=0"",""фіз особи new!relations_name""),6,FALSE)
,
(IF
(
G4532=""юридична особа""
,
VLOOKUP"&amp;"(H4532,IMPORTRANGE(""https://docs.google.com/spreadsheets/d/14Bd19lYaqBhU8_DElYkX7l4wRkHqqCUFNJY4AfY3kHU/edit?usp=sharing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1" s="7" t="s">
        <v>29</v>
      </c>
    </row>
    <row r="4532" spans="1:10" ht="13.2">
      <c r="A4532" s="7">
        <v>4531</v>
      </c>
      <c r="B4532" s="7">
        <v>1</v>
      </c>
      <c r="C4532" s="7" t="s">
        <v>10</v>
      </c>
      <c r="D4532" s="7">
        <v>3105</v>
      </c>
      <c r="E4532" s="7" t="s">
        <v>28</v>
      </c>
      <c r="F4532" s="8" t="str">
        <f ca="1">IFERROR(__xludf.DUMMYFUNCTION("IF
(
C4533=""фізична особа""
,
VLOOKUP(D4533,IMPORTRANGE(""https://docs.google.com/spreadsheets/d/14Bd19lYaqBhU8_DElYkX7l4wRkHqqCUFNJY4AfY3kHU/edit?usp=sharing  #gid=0"",""фіз особи new!relations_name""),6,FALSE)
,
(IF
(
C4533=""юридична особа""
,
VLOOKUP"&amp;"(D4533,IMPORTRANGE(""https://docs.google.com/spreadsheets/d/14Bd19lYaqBhU8_DElYkX7l4wRkHqqCUFNJY4AfY3kHU/edit?usp=sharing  #gid=0"",""фіз особи new!relations_name_uo""),7,FALSE)
,
)
))"),"МОЛЕБНОВ Георгій Володимирович")</f>
        <v>МОЛЕБНОВ Георгій Володимирович</v>
      </c>
      <c r="G4532" s="7" t="s">
        <v>10</v>
      </c>
      <c r="H4532" s="7">
        <v>2382</v>
      </c>
      <c r="I4532" s="8" t="str">
        <f ca="1">IFERROR(__xludf.DUMMYFUNCTION("IF
(
G4533=""фізична особа""
,
VLOOKUP(H4533,IMPORTRANGE(""https://docs.google.com/spreadsheets/d/14Bd19lYaqBhU8_DElYkX7l4wRkHqqCUFNJY4AfY3kHU/edit?usp=sharing  #gid=0"",""фіз особи new!relations_name""),6,FALSE)
,
(IF
(
G4533=""юридична особа""
,
VLOOKUP"&amp;"(H4533,IMPORTRANGE(""https://docs.google.com/spreadsheets/d/14Bd19lYaqBhU8_DElYkX7l4wRkHqqCUFNJY4AfY3kHU/edit?usp=sharing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2" s="7" t="s">
        <v>29</v>
      </c>
    </row>
    <row r="4533" spans="1:10" ht="13.2">
      <c r="A4533" s="7">
        <v>4532</v>
      </c>
      <c r="B4533" s="7">
        <v>1</v>
      </c>
      <c r="C4533" s="7" t="s">
        <v>10</v>
      </c>
      <c r="D4533" s="7">
        <v>3106</v>
      </c>
      <c r="E4533" s="7" t="s">
        <v>28</v>
      </c>
      <c r="F4533" s="8" t="str">
        <f ca="1">IFERROR(__xludf.DUMMYFUNCTION("IF
(
C4534=""фізична особа""
,
VLOOKUP(D4534,IMPORTRANGE(""https://docs.google.com/spreadsheets/d/14Bd19lYaqBhU8_DElYkX7l4wRkHqqCUFNJY4AfY3kHU/edit?usp=sharing  #gid=0"",""фіз особи new!relations_name""),6,FALSE)
,
(IF
(
C4534=""юридична особа""
,
VLOOKUP"&amp;"(D4534,IMPORTRANGE(""https://docs.google.com/spreadsheets/d/14Bd19lYaqBhU8_DElYkX7l4wRkHqqCUFNJY4AfY3kHU/edit?usp=sharing  #gid=0"",""фіз особи new!relations_name_uo""),7,FALSE)
,
)
))"),"КІРСАНОВ Михайло Володимирович")</f>
        <v>КІРСАНОВ Михайло Володимирович</v>
      </c>
      <c r="G4533" s="7" t="s">
        <v>10</v>
      </c>
      <c r="H4533" s="7">
        <v>2382</v>
      </c>
      <c r="I4533" s="8" t="str">
        <f ca="1">IFERROR(__xludf.DUMMYFUNCTION("IF
(
G4534=""фізична особа""
,
VLOOKUP(H4534,IMPORTRANGE(""https://docs.google.com/spreadsheets/d/14Bd19lYaqBhU8_DElYkX7l4wRkHqqCUFNJY4AfY3kHU/edit?usp=sharing  #gid=0"",""фіз особи new!relations_name""),6,FALSE)
,
(IF
(
G4534=""юридична особа""
,
VLOOKUP"&amp;"(H4534,IMPORTRANGE(""https://docs.google.com/spreadsheets/d/14Bd19lYaqBhU8_DElYkX7l4wRkHqqCUFNJY4AfY3kHU/edit?usp=sharing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3" s="7" t="s">
        <v>29</v>
      </c>
    </row>
    <row r="4534" spans="1:10" ht="13.2">
      <c r="A4534" s="7">
        <v>4533</v>
      </c>
      <c r="B4534" s="7">
        <v>1</v>
      </c>
      <c r="C4534" s="7" t="s">
        <v>10</v>
      </c>
      <c r="D4534" s="7">
        <v>3107</v>
      </c>
      <c r="E4534" s="7" t="s">
        <v>28</v>
      </c>
      <c r="F4534" s="8" t="str">
        <f ca="1">IFERROR(__xludf.DUMMYFUNCTION("IF
(
C4535=""фізична особа""
,
VLOOKUP(D4535,IMPORTRANGE(""https://docs.google.com/spreadsheets/d/14Bd19lYaqBhU8_DElYkX7l4wRkHqqCUFNJY4AfY3kHU/edit?usp=sharing  #gid=0"",""фіз особи new!relations_name""),6,FALSE)
,
(IF
(
C4535=""юридична особа""
,
VLOOKUP"&amp;"(D4535,IMPORTRANGE(""https://docs.google.com/spreadsheets/d/14Bd19lYaqBhU8_DElYkX7l4wRkHqqCUFNJY4AfY3kHU/edit?usp=sharing  #gid=0"",""фіз особи new!relations_name_uo""),7,FALSE)
,
)
))"),"ІГНАТЬЄВ Ігнат Михайлович")</f>
        <v>ІГНАТЬЄВ Ігнат Михайлович</v>
      </c>
      <c r="G4534" s="7" t="s">
        <v>10</v>
      </c>
      <c r="H4534" s="7">
        <v>2382</v>
      </c>
      <c r="I4534" s="8" t="str">
        <f ca="1">IFERROR(__xludf.DUMMYFUNCTION("IF
(
G4535=""фізична особа""
,
VLOOKUP(H4535,IMPORTRANGE(""https://docs.google.com/spreadsheets/d/14Bd19lYaqBhU8_DElYkX7l4wRkHqqCUFNJY4AfY3kHU/edit?usp=sharing  #gid=0"",""фіз особи new!relations_name""),6,FALSE)
,
(IF
(
G4535=""юридична особа""
,
VLOOKUP"&amp;"(H4535,IMPORTRANGE(""https://docs.google.com/spreadsheets/d/14Bd19lYaqBhU8_DElYkX7l4wRkHqqCUFNJY4AfY3kHU/edit?usp=sharing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4" s="7" t="s">
        <v>29</v>
      </c>
    </row>
    <row r="4535" spans="1:10" ht="13.2">
      <c r="A4535" s="7">
        <v>4534</v>
      </c>
      <c r="B4535" s="7">
        <v>1</v>
      </c>
      <c r="C4535" s="7" t="s">
        <v>10</v>
      </c>
      <c r="D4535" s="7">
        <v>3108</v>
      </c>
      <c r="E4535" s="7" t="s">
        <v>28</v>
      </c>
      <c r="F4535" s="8" t="str">
        <f ca="1">IFERROR(__xludf.DUMMYFUNCTION("IF
(
C4536=""фізична особа""
,
VLOOKUP(D4536,IMPORTRANGE(""https://docs.google.com/spreadsheets/d/14Bd19lYaqBhU8_DElYkX7l4wRkHqqCUFNJY4AfY3kHU/edit?usp=sharing  #gid=0"",""фіз особи new!relations_name""),6,FALSE)
,
(IF
(
C4536=""юридична особа""
,
VLOOKUP"&amp;"(D4536,IMPORTRANGE(""https://docs.google.com/spreadsheets/d/14Bd19lYaqBhU8_DElYkX7l4wRkHqqCUFNJY4AfY3kHU/edit?usp=sharing  #gid=0"",""фіз особи new!relations_name_uo""),7,FALSE)
,
)
))"),"ЧИКМАЧОВА Людмила Юріївна")</f>
        <v>ЧИКМАЧОВА Людмила Юріївна</v>
      </c>
      <c r="G4535" s="7" t="s">
        <v>10</v>
      </c>
      <c r="H4535" s="7">
        <v>2382</v>
      </c>
      <c r="I4535" s="8" t="str">
        <f ca="1">IFERROR(__xludf.DUMMYFUNCTION("IF
(
G4536=""фізична особа""
,
VLOOKUP(H4536,IMPORTRANGE(""https://docs.google.com/spreadsheets/d/14Bd19lYaqBhU8_DElYkX7l4wRkHqqCUFNJY4AfY3kHU/edit?usp=sharing  #gid=0"",""фіз особи new!relations_name""),6,FALSE)
,
(IF
(
G4536=""юридична особа""
,
VLOOKUP"&amp;"(H4536,IMPORTRANGE(""https://docs.google.com/spreadsheets/d/14Bd19lYaqBhU8_DElYkX7l4wRkHqqCUFNJY4AfY3kHU/edit?usp=sharing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5" s="7" t="s">
        <v>29</v>
      </c>
    </row>
    <row r="4536" spans="1:10" ht="13.2">
      <c r="A4536" s="7">
        <v>4535</v>
      </c>
      <c r="B4536" s="7">
        <v>1</v>
      </c>
      <c r="C4536" s="7" t="s">
        <v>10</v>
      </c>
      <c r="D4536" s="7">
        <v>3109</v>
      </c>
      <c r="E4536" s="7" t="s">
        <v>28</v>
      </c>
      <c r="F4536" s="8" t="str">
        <f ca="1">IFERROR(__xludf.DUMMYFUNCTION("IF
(
C4537=""фізична особа""
,
VLOOKUP(D4537,IMPORTRANGE(""https://docs.google.com/spreadsheets/d/14Bd19lYaqBhU8_DElYkX7l4wRkHqqCUFNJY4AfY3kHU/edit?usp=sharing  #gid=0"",""фіз особи new!relations_name""),6,FALSE)
,
(IF
(
C4537=""юридична особа""
,
VLOOKUP"&amp;"(D4537,IMPORTRANGE(""https://docs.google.com/spreadsheets/d/14Bd19lYaqBhU8_DElYkX7l4wRkHqqCUFNJY4AfY3kHU/edit?usp=sharing  #gid=0"",""фіз особи new!relations_name_uo""),7,FALSE)
,
)
))"),"БЕЗПРОЗВАННИХ Анастасія Юріївна")</f>
        <v>БЕЗПРОЗВАННИХ Анастасія Юріївна</v>
      </c>
      <c r="G4536" s="7" t="s">
        <v>10</v>
      </c>
      <c r="H4536" s="7">
        <v>2382</v>
      </c>
      <c r="I4536" s="8" t="str">
        <f ca="1">IFERROR(__xludf.DUMMYFUNCTION("IF
(
G4537=""фізична особа""
,
VLOOKUP(H4537,IMPORTRANGE(""https://docs.google.com/spreadsheets/d/14Bd19lYaqBhU8_DElYkX7l4wRkHqqCUFNJY4AfY3kHU/edit?usp=sharing  #gid=0"",""фіз особи new!relations_name""),6,FALSE)
,
(IF
(
G4537=""юридична особа""
,
VLOOKUP"&amp;"(H4537,IMPORTRANGE(""https://docs.google.com/spreadsheets/d/14Bd19lYaqBhU8_DElYkX7l4wRkHqqCUFNJY4AfY3kHU/edit?usp=sharing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6" s="7" t="s">
        <v>29</v>
      </c>
    </row>
    <row r="4537" spans="1:10" ht="13.2">
      <c r="A4537" s="7">
        <v>4536</v>
      </c>
      <c r="B4537" s="7">
        <v>1</v>
      </c>
      <c r="C4537" s="7" t="s">
        <v>10</v>
      </c>
      <c r="D4537" s="7">
        <v>3110</v>
      </c>
      <c r="E4537" s="7" t="s">
        <v>28</v>
      </c>
      <c r="F4537" s="8" t="str">
        <f ca="1">IFERROR(__xludf.DUMMYFUNCTION("IF
(
C4538=""фізична особа""
,
VLOOKUP(D4538,IMPORTRANGE(""https://docs.google.com/spreadsheets/d/14Bd19lYaqBhU8_DElYkX7l4wRkHqqCUFNJY4AfY3kHU/edit?usp=sharing  #gid=0"",""фіз особи new!relations_name""),6,FALSE)
,
(IF
(
C4538=""юридична особа""
,
VLOOKUP"&amp;"(D4538,IMPORTRANGE(""https://docs.google.com/spreadsheets/d/14Bd19lYaqBhU8_DElYkX7l4wRkHqqCUFNJY4AfY3kHU/edit?usp=sharing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G4537" s="7" t="s">
        <v>10</v>
      </c>
      <c r="H4537" s="7">
        <v>2382</v>
      </c>
      <c r="I4537" s="8" t="str">
        <f ca="1">IFERROR(__xludf.DUMMYFUNCTION("IF
(
G4538=""фізична особа""
,
VLOOKUP(H4538,IMPORTRANGE(""https://docs.google.com/spreadsheets/d/14Bd19lYaqBhU8_DElYkX7l4wRkHqqCUFNJY4AfY3kHU/edit?usp=sharing  #gid=0"",""фіз особи new!relations_name""),6,FALSE)
,
(IF
(
G4538=""юридична особа""
,
VLOOKUP"&amp;"(H4538,IMPORTRANGE(""https://docs.google.com/spreadsheets/d/14Bd19lYaqBhU8_DElYkX7l4wRkHqqCUFNJY4AfY3kHU/edit?usp=sharing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7" s="7" t="s">
        <v>29</v>
      </c>
    </row>
    <row r="4538" spans="1:10" ht="13.2">
      <c r="A4538" s="7">
        <v>4537</v>
      </c>
      <c r="B4538" s="7">
        <v>1</v>
      </c>
      <c r="C4538" s="7" t="s">
        <v>10</v>
      </c>
      <c r="D4538" s="7">
        <v>3111</v>
      </c>
      <c r="E4538" s="7" t="s">
        <v>28</v>
      </c>
      <c r="F4538" s="8" t="str">
        <f ca="1">IFERROR(__xludf.DUMMYFUNCTION("IF
(
C4539=""фізична особа""
,
VLOOKUP(D4539,IMPORTRANGE(""https://docs.google.com/spreadsheets/d/14Bd19lYaqBhU8_DElYkX7l4wRkHqqCUFNJY4AfY3kHU/edit?usp=sharing  #gid=0"",""фіз особи new!relations_name""),6,FALSE)
,
(IF
(
C4539=""юридична особа""
,
VLOOKUP"&amp;"(D4539,IMPORTRANGE(""https://docs.google.com/spreadsheets/d/14Bd19lYaqBhU8_DElYkX7l4wRkHqqCUFNJY4AfY3kHU/edit?usp=sharing  #gid=0"",""фіз особи new!relations_name_uo""),7,FALSE)
,
)
))"),"ПРИВЕЗЕНЦЕВА Світлана Вікторівна")</f>
        <v>ПРИВЕЗЕНЦЕВА Світлана Вікторівна</v>
      </c>
      <c r="G4538" s="7" t="s">
        <v>10</v>
      </c>
      <c r="H4538" s="7">
        <v>2382</v>
      </c>
      <c r="I4538" s="8" t="str">
        <f ca="1">IFERROR(__xludf.DUMMYFUNCTION("IF
(
G4539=""фізична особа""
,
VLOOKUP(H4539,IMPORTRANGE(""https://docs.google.com/spreadsheets/d/14Bd19lYaqBhU8_DElYkX7l4wRkHqqCUFNJY4AfY3kHU/edit?usp=sharing  #gid=0"",""фіз особи new!relations_name""),6,FALSE)
,
(IF
(
G4539=""юридична особа""
,
VLOOKUP"&amp;"(H4539,IMPORTRANGE(""https://docs.google.com/spreadsheets/d/14Bd19lYaqBhU8_DElYkX7l4wRkHqqCUFNJY4AfY3kHU/edit?usp=sharing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8" s="7" t="s">
        <v>29</v>
      </c>
    </row>
    <row r="4539" spans="1:10" ht="13.2">
      <c r="A4539" s="7">
        <v>4538</v>
      </c>
      <c r="B4539" s="7">
        <v>1</v>
      </c>
      <c r="C4539" s="7" t="s">
        <v>10</v>
      </c>
      <c r="D4539" s="7">
        <v>3112</v>
      </c>
      <c r="E4539" s="7" t="s">
        <v>28</v>
      </c>
      <c r="F4539" s="8" t="str">
        <f ca="1">IFERROR(__xludf.DUMMYFUNCTION("IF
(
C4540=""фізична особа""
,
VLOOKUP(D4540,IMPORTRANGE(""https://docs.google.com/spreadsheets/d/14Bd19lYaqBhU8_DElYkX7l4wRkHqqCUFNJY4AfY3kHU/edit?usp=sharing  #gid=0"",""фіз особи new!relations_name""),6,FALSE)
,
(IF
(
C4540=""юридична особа""
,
VLOOKUP"&amp;"(D4540,IMPORTRANGE(""https://docs.google.com/spreadsheets/d/14Bd19lYaqBhU8_DElYkX7l4wRkHqqCUFNJY4AfY3kHU/edit?usp=sharing  #gid=0"",""фіз особи new!relations_name_uo""),7,FALSE)
,
)
))"),"КЕСАЄВ Артур Хасанович")</f>
        <v>КЕСАЄВ Артур Хасанович</v>
      </c>
      <c r="G4539" s="7" t="s">
        <v>10</v>
      </c>
      <c r="H4539" s="7">
        <v>2382</v>
      </c>
      <c r="I4539" s="8" t="str">
        <f ca="1">IFERROR(__xludf.DUMMYFUNCTION("IF
(
G4540=""фізична особа""
,
VLOOKUP(H4540,IMPORTRANGE(""https://docs.google.com/spreadsheets/d/14Bd19lYaqBhU8_DElYkX7l4wRkHqqCUFNJY4AfY3kHU/edit?usp=sharing  #gid=0"",""фіз особи new!relations_name""),6,FALSE)
,
(IF
(
G4540=""юридична особа""
,
VLOOKUP"&amp;"(H4540,IMPORTRANGE(""https://docs.google.com/spreadsheets/d/14Bd19lYaqBhU8_DElYkX7l4wRkHqqCUFNJY4AfY3kHU/edit?usp=sharing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4539" s="7" t="s">
        <v>29</v>
      </c>
    </row>
    <row r="4540" spans="1:10" ht="13.2">
      <c r="A4540" s="7">
        <v>4539</v>
      </c>
      <c r="B4540" s="7">
        <v>1</v>
      </c>
      <c r="C4540" s="7" t="s">
        <v>10</v>
      </c>
      <c r="D4540" s="7">
        <v>3113</v>
      </c>
      <c r="E4540" s="7" t="s">
        <v>28</v>
      </c>
      <c r="F4540" s="8" t="str">
        <f ca="1">IFERROR(__xludf.DUMMYFUNCTION("IF
(
C4541=""фізична особа""
,
VLOOKUP(D4541,IMPORTRANGE(""https://docs.google.com/spreadsheets/d/14Bd19lYaqBhU8_DElYkX7l4wRkHqqCUFNJY4AfY3kHU/edit?usp=sharing  #gid=0"",""фіз особи new!relations_name""),6,FALSE)
,
(IF
(
C4541=""юридична особа""
,
VLOOKUP"&amp;"(D4541,IMPORTRANGE(""https://docs.google.com/spreadsheets/d/14Bd19lYaqBhU8_DElYkX7l4wRkHqqCUFNJY4AfY3kHU/edit?usp=sharing  #gid=0"",""фіз особи new!relations_name_uo""),7,FALSE)
,
)
))"),"ІВАНИК Михайло Степанович")</f>
        <v>ІВАНИК Михайло Степанович</v>
      </c>
      <c r="G4540" s="7" t="s">
        <v>10</v>
      </c>
      <c r="H4540" s="7">
        <v>199</v>
      </c>
      <c r="I4540" s="8" t="str">
        <f ca="1">IFERROR(__xludf.DUMMYFUNCTION("IF
(
G4541=""фізична особа""
,
VLOOKUP(H4541,IMPORTRANGE(""https://docs.google.com/spreadsheets/d/14Bd19lYaqBhU8_DElYkX7l4wRkHqqCUFNJY4AfY3kHU/edit?usp=sharing  #gid=0"",""фіз особи new!relations_name""),6,FALSE)
,
(IF
(
G4541=""юридична особа""
,
VLOOKUP"&amp;"(H4541,IMPORTRANGE(""https://docs.google.com/spreadsheets/d/14Bd19lYaqBhU8_DElYkX7l4wRkHqqCUFNJY4AfY3kHU/edit?usp=sharing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0" s="7" t="s">
        <v>29</v>
      </c>
    </row>
    <row r="4541" spans="1:10" ht="13.2">
      <c r="A4541" s="7">
        <v>4540</v>
      </c>
      <c r="B4541" s="7">
        <v>1</v>
      </c>
      <c r="C4541" s="7" t="s">
        <v>10</v>
      </c>
      <c r="D4541" s="7">
        <v>3113</v>
      </c>
      <c r="E4541" s="7" t="s">
        <v>28</v>
      </c>
      <c r="F4541" s="8" t="str">
        <f ca="1">IFERROR(__xludf.DUMMYFUNCTION("IF
(
C4542=""фізична особа""
,
VLOOKUP(D4542,IMPORTRANGE(""https://docs.google.com/spreadsheets/d/14Bd19lYaqBhU8_DElYkX7l4wRkHqqCUFNJY4AfY3kHU/edit?usp=sharing  #gid=0"",""фіз особи new!relations_name""),6,FALSE)
,
(IF
(
C4542=""юридична особа""
,
VLOOKUP"&amp;"(D4542,IMPORTRANGE(""https://docs.google.com/spreadsheets/d/14Bd19lYaqBhU8_DElYkX7l4wRkHqqCUFNJY4AfY3kHU/edit?usp=sharing  #gid=0"",""фіз особи new!relations_name_uo""),7,FALSE)
,
)
))"),"ІВАНИК Михайло Степанович")</f>
        <v>ІВАНИК Михайло Степанович</v>
      </c>
      <c r="G4541" s="7" t="s">
        <v>10</v>
      </c>
      <c r="H4541" s="7">
        <v>2371</v>
      </c>
      <c r="I4541" s="8" t="str">
        <f ca="1">IFERROR(__xludf.DUMMYFUNCTION("IF
(
G4542=""фізична особа""
,
VLOOKUP(H4542,IMPORTRANGE(""https://docs.google.com/spreadsheets/d/14Bd19lYaqBhU8_DElYkX7l4wRkHqqCUFNJY4AfY3kHU/edit?usp=sharing  #gid=0"",""фіз особи new!relations_name""),6,FALSE)
,
(IF
(
G4542=""юридична особа""
,
VLOOKUP"&amp;"(H4542,IMPORTRANGE(""https://docs.google.com/spreadsheets/d/14Bd19lYaqBhU8_DElYkX7l4wRkHqqCUFNJY4AfY3kHU/edit?usp=sharing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4541" s="7" t="s">
        <v>29</v>
      </c>
    </row>
    <row r="4542" spans="1:10" ht="13.2">
      <c r="A4542" s="7">
        <v>4541</v>
      </c>
      <c r="B4542" s="7">
        <v>1</v>
      </c>
      <c r="C4542" s="7" t="s">
        <v>10</v>
      </c>
      <c r="D4542" s="7">
        <v>3114</v>
      </c>
      <c r="E4542" s="7" t="s">
        <v>28</v>
      </c>
      <c r="F4542" s="8" t="str">
        <f ca="1">IFERROR(__xludf.DUMMYFUNCTION("IF
(
C4543=""фізична особа""
,
VLOOKUP(D4543,IMPORTRANGE(""https://docs.google.com/spreadsheets/d/14Bd19lYaqBhU8_DElYkX7l4wRkHqqCUFNJY4AfY3kHU/edit?usp=sharing  #gid=0"",""фіз особи new!relations_name""),6,FALSE)
,
(IF
(
C4543=""юридична особа""
,
VLOOKUP"&amp;"(D4543,IMPORTRANGE(""https://docs.google.com/spreadsheets/d/14Bd19lYaqBhU8_DElYkX7l4wRkHqqCUFNJY4AfY3kHU/edit?usp=sharing  #gid=0"",""фіз особи new!relations_name_uo""),7,FALSE)
,
)
))"),"ЛИХОВ Хасан Муштафаєвич")</f>
        <v>ЛИХОВ Хасан Муштафаєвич</v>
      </c>
      <c r="G4542" s="7" t="s">
        <v>10</v>
      </c>
      <c r="H4542" s="7">
        <v>199</v>
      </c>
      <c r="I4542" s="8" t="str">
        <f ca="1">IFERROR(__xludf.DUMMYFUNCTION("IF
(
G4543=""фізична особа""
,
VLOOKUP(H4543,IMPORTRANGE(""https://docs.google.com/spreadsheets/d/14Bd19lYaqBhU8_DElYkX7l4wRkHqqCUFNJY4AfY3kHU/edit?usp=sharing  #gid=0"",""фіз особи new!relations_name""),6,FALSE)
,
(IF
(
G4543=""юридична особа""
,
VLOOKUP"&amp;"(H4543,IMPORTRANGE(""https://docs.google.com/spreadsheets/d/14Bd19lYaqBhU8_DElYkX7l4wRkHqqCUFNJY4AfY3kHU/edit?usp=sharing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2" s="7" t="s">
        <v>29</v>
      </c>
    </row>
    <row r="4543" spans="1:10" ht="13.2">
      <c r="A4543" s="7">
        <v>4542</v>
      </c>
      <c r="B4543" s="7">
        <v>1</v>
      </c>
      <c r="C4543" s="7" t="s">
        <v>10</v>
      </c>
      <c r="D4543" s="7">
        <v>3114</v>
      </c>
      <c r="E4543" s="7" t="s">
        <v>28</v>
      </c>
      <c r="F4543" s="8" t="str">
        <f ca="1">IFERROR(__xludf.DUMMYFUNCTION("IF
(
C4544=""фізична особа""
,
VLOOKUP(D4544,IMPORTRANGE(""https://docs.google.com/spreadsheets/d/14Bd19lYaqBhU8_DElYkX7l4wRkHqqCUFNJY4AfY3kHU/edit?usp=sharing  #gid=0"",""фіз особи new!relations_name""),6,FALSE)
,
(IF
(
C4544=""юридична особа""
,
VLOOKUP"&amp;"(D4544,IMPORTRANGE(""https://docs.google.com/spreadsheets/d/14Bd19lYaqBhU8_DElYkX7l4wRkHqqCUFNJY4AfY3kHU/edit?usp=sharing  #gid=0"",""фіз особи new!relations_name_uo""),7,FALSE)
,
)
))"),"ЛИХОВ Хасан Муштафаєвич")</f>
        <v>ЛИХОВ Хасан Муштафаєвич</v>
      </c>
      <c r="G4543" s="7" t="s">
        <v>10</v>
      </c>
      <c r="H4543" s="7">
        <v>2371</v>
      </c>
      <c r="I4543" s="8" t="str">
        <f ca="1">IFERROR(__xludf.DUMMYFUNCTION("IF
(
G4544=""фізична особа""
,
VLOOKUP(H4544,IMPORTRANGE(""https://docs.google.com/spreadsheets/d/14Bd19lYaqBhU8_DElYkX7l4wRkHqqCUFNJY4AfY3kHU/edit?usp=sharing  #gid=0"",""фіз особи new!relations_name""),6,FALSE)
,
(IF
(
G4544=""юридична особа""
,
VLOOKUP"&amp;"(H4544,IMPORTRANGE(""https://docs.google.com/spreadsheets/d/14Bd19lYaqBhU8_DElYkX7l4wRkHqqCUFNJY4AfY3kHU/edit?usp=sharing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4543" s="7" t="s">
        <v>29</v>
      </c>
    </row>
    <row r="4544" spans="1:10" ht="13.2">
      <c r="A4544" s="7">
        <v>4543</v>
      </c>
      <c r="B4544" s="7">
        <v>1</v>
      </c>
      <c r="C4544" s="7" t="s">
        <v>10</v>
      </c>
      <c r="D4544" s="7">
        <v>3115</v>
      </c>
      <c r="E4544" s="7" t="s">
        <v>28</v>
      </c>
      <c r="F4544" s="8" t="str">
        <f ca="1">IFERROR(__xludf.DUMMYFUNCTION("IF
(
C4545=""фізична особа""
,
VLOOKUP(D4545,IMPORTRANGE(""https://docs.google.com/spreadsheets/d/14Bd19lYaqBhU8_DElYkX7l4wRkHqqCUFNJY4AfY3kHU/edit?usp=sharing  #gid=0"",""фіз особи new!relations_name""),6,FALSE)
,
(IF
(
C4545=""юридична особа""
,
VLOOKUP"&amp;"(D4545,IMPORTRANGE(""https://docs.google.com/spreadsheets/d/14Bd19lYaqBhU8_DElYkX7l4wRkHqqCUFNJY4AfY3kHU/edit?usp=sharing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G4544" s="7" t="s">
        <v>10</v>
      </c>
      <c r="H4544" s="7">
        <v>199</v>
      </c>
      <c r="I4544" s="8" t="str">
        <f ca="1">IFERROR(__xludf.DUMMYFUNCTION("IF
(
G4545=""фізична особа""
,
VLOOKUP(H4545,IMPORTRANGE(""https://docs.google.com/spreadsheets/d/14Bd19lYaqBhU8_DElYkX7l4wRkHqqCUFNJY4AfY3kHU/edit?usp=sharing  #gid=0"",""фіз особи new!relations_name""),6,FALSE)
,
(IF
(
G4545=""юридична особа""
,
VLOOKUP"&amp;"(H4545,IMPORTRANGE(""https://docs.google.com/spreadsheets/d/14Bd19lYaqBhU8_DElYkX7l4wRkHqqCUFNJY4AfY3kHU/edit?usp=sharing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4" s="7" t="s">
        <v>29</v>
      </c>
    </row>
    <row r="4545" spans="1:10" ht="13.2">
      <c r="A4545" s="7">
        <v>4544</v>
      </c>
      <c r="B4545" s="7">
        <v>1</v>
      </c>
      <c r="C4545" s="7" t="s">
        <v>10</v>
      </c>
      <c r="D4545" s="7">
        <v>3116</v>
      </c>
      <c r="E4545" s="7" t="s">
        <v>28</v>
      </c>
      <c r="F4545" s="8" t="str">
        <f ca="1">IFERROR(__xludf.DUMMYFUNCTION("IF
(
C4546=""фізична особа""
,
VLOOKUP(D4546,IMPORTRANGE(""https://docs.google.com/spreadsheets/d/14Bd19lYaqBhU8_DElYkX7l4wRkHqqCUFNJY4AfY3kHU/edit?usp=sharing  #gid=0"",""фіз особи new!relations_name""),6,FALSE)
,
(IF
(
C4546=""юридична особа""
,
VLOOKUP"&amp;"(D4546,IMPORTRANGE(""https://docs.google.com/spreadsheets/d/14Bd19lYaqBhU8_DElYkX7l4wRkHqqCUFNJY4AfY3kHU/edit?usp=sharing  #gid=0"",""фіз особи new!relations_name_uo""),7,FALSE)
,
)
))"),"АЛЕКСЄЄВА Світлана Олександрівна")</f>
        <v>АЛЕКСЄЄВА Світлана Олександрівна</v>
      </c>
      <c r="G4545" s="7" t="s">
        <v>10</v>
      </c>
      <c r="H4545" s="7">
        <v>199</v>
      </c>
      <c r="I4545" s="8" t="str">
        <f ca="1">IFERROR(__xludf.DUMMYFUNCTION("IF
(
G4546=""фізична особа""
,
VLOOKUP(H4546,IMPORTRANGE(""https://docs.google.com/spreadsheets/d/14Bd19lYaqBhU8_DElYkX7l4wRkHqqCUFNJY4AfY3kHU/edit?usp=sharing  #gid=0"",""фіз особи new!relations_name""),6,FALSE)
,
(IF
(
G4546=""юридична особа""
,
VLOOKUP"&amp;"(H4546,IMPORTRANGE(""https://docs.google.com/spreadsheets/d/14Bd19lYaqBhU8_DElYkX7l4wRkHqqCUFNJY4AfY3kHU/edit?usp=sharing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5" s="7" t="s">
        <v>29</v>
      </c>
    </row>
    <row r="4546" spans="1:10" ht="13.2">
      <c r="A4546" s="7">
        <v>4545</v>
      </c>
      <c r="B4546" s="7">
        <v>1</v>
      </c>
      <c r="C4546" s="7" t="s">
        <v>10</v>
      </c>
      <c r="D4546" s="7">
        <v>3117</v>
      </c>
      <c r="E4546" s="7" t="s">
        <v>28</v>
      </c>
      <c r="F4546" s="8" t="str">
        <f ca="1">IFERROR(__xludf.DUMMYFUNCTION("IF
(
C4547=""фізична особа""
,
VLOOKUP(D4547,IMPORTRANGE(""https://docs.google.com/spreadsheets/d/14Bd19lYaqBhU8_DElYkX7l4wRkHqqCUFNJY4AfY3kHU/edit?usp=sharing  #gid=0"",""фіз особи new!relations_name""),6,FALSE)
,
(IF
(
C4547=""юридична особа""
,
VLOOKUP"&amp;"(D4547,IMPORTRANGE(""https://docs.google.com/spreadsheets/d/14Bd19lYaqBhU8_DElYkX7l4wRkHqqCUFNJY4AfY3kHU/edit?usp=sharing  #gid=0"",""фіз особи new!relations_name_uo""),7,FALSE)
,
)
))"),"ШВАБАУСКЕНЕ Юлія Олександрівна")</f>
        <v>ШВАБАУСКЕНЕ Юлія Олександрівна</v>
      </c>
      <c r="G4546" s="7" t="s">
        <v>10</v>
      </c>
      <c r="H4546" s="7">
        <v>199</v>
      </c>
      <c r="I4546" s="8" t="str">
        <f ca="1">IFERROR(__xludf.DUMMYFUNCTION("IF
(
G4547=""фізична особа""
,
VLOOKUP(H4547,IMPORTRANGE(""https://docs.google.com/spreadsheets/d/14Bd19lYaqBhU8_DElYkX7l4wRkHqqCUFNJY4AfY3kHU/edit?usp=sharing  #gid=0"",""фіз особи new!relations_name""),6,FALSE)
,
(IF
(
G4547=""юридична особа""
,
VLOOKUP"&amp;"(H4547,IMPORTRANGE(""https://docs.google.com/spreadsheets/d/14Bd19lYaqBhU8_DElYkX7l4wRkHqqCUFNJY4AfY3kHU/edit?usp=sharing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6" s="7" t="s">
        <v>29</v>
      </c>
    </row>
    <row r="4547" spans="1:10" ht="13.2">
      <c r="A4547" s="7">
        <v>4546</v>
      </c>
      <c r="B4547" s="7">
        <v>1</v>
      </c>
      <c r="C4547" s="7" t="s">
        <v>10</v>
      </c>
      <c r="D4547" s="7">
        <v>3118</v>
      </c>
      <c r="E4547" s="7" t="s">
        <v>28</v>
      </c>
      <c r="F4547" s="8" t="str">
        <f ca="1">IFERROR(__xludf.DUMMYFUNCTION("IF
(
C4548=""фізична особа""
,
VLOOKUP(D4548,IMPORTRANGE(""https://docs.google.com/spreadsheets/d/14Bd19lYaqBhU8_DElYkX7l4wRkHqqCUFNJY4AfY3kHU/edit?usp=sharing  #gid=0"",""фіз особи new!relations_name""),6,FALSE)
,
(IF
(
C4548=""юридична особа""
,
VLOOKUP"&amp;"(D4548,IMPORTRANGE(""https://docs.google.com/spreadsheets/d/14Bd19lYaqBhU8_DElYkX7l4wRkHqqCUFNJY4AfY3kHU/edit?usp=sharing  #gid=0"",""фіз особи new!relations_name_uo""),7,FALSE)
,
)
))"),"САВЕНКОВ Костянтин Аркадійович")</f>
        <v>САВЕНКОВ Костянтин Аркадійович</v>
      </c>
      <c r="G4547" s="7" t="s">
        <v>10</v>
      </c>
      <c r="H4547" s="7">
        <v>199</v>
      </c>
      <c r="I4547" s="8" t="str">
        <f ca="1">IFERROR(__xludf.DUMMYFUNCTION("IF
(
G4548=""фізична особа""
,
VLOOKUP(H4548,IMPORTRANGE(""https://docs.google.com/spreadsheets/d/14Bd19lYaqBhU8_DElYkX7l4wRkHqqCUFNJY4AfY3kHU/edit?usp=sharing  #gid=0"",""фіз особи new!relations_name""),6,FALSE)
,
(IF
(
G4548=""юридична особа""
,
VLOOKUP"&amp;"(H4548,IMPORTRANGE(""https://docs.google.com/spreadsheets/d/14Bd19lYaqBhU8_DElYkX7l4wRkHqqCUFNJY4AfY3kHU/edit?usp=sharing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7" s="7" t="s">
        <v>29</v>
      </c>
    </row>
    <row r="4548" spans="1:10" ht="13.2">
      <c r="A4548" s="7">
        <v>4547</v>
      </c>
      <c r="B4548" s="7">
        <v>1</v>
      </c>
      <c r="C4548" s="7" t="s">
        <v>10</v>
      </c>
      <c r="D4548" s="7">
        <v>3119</v>
      </c>
      <c r="E4548" s="7" t="s">
        <v>28</v>
      </c>
      <c r="F4548" s="8" t="str">
        <f ca="1">IFERROR(__xludf.DUMMYFUNCTION("IF
(
C4549=""фізична особа""
,
VLOOKUP(D4549,IMPORTRANGE(""https://docs.google.com/spreadsheets/d/14Bd19lYaqBhU8_DElYkX7l4wRkHqqCUFNJY4AfY3kHU/edit?usp=sharing  #gid=0"",""фіз особи new!relations_name""),6,FALSE)
,
(IF
(
C4549=""юридична особа""
,
VLOOKUP"&amp;"(D4549,IMPORTRANGE(""https://docs.google.com/spreadsheets/d/14Bd19lYaqBhU8_DElYkX7l4wRkHqqCUFNJY4AfY3kHU/edit?usp=sharing  #gid=0"",""фіз особи new!relations_name_uo""),7,FALSE)
,
)
))"),"КАРМАЗІН Антон Павлович")</f>
        <v>КАРМАЗІН Антон Павлович</v>
      </c>
      <c r="G4548" s="7" t="s">
        <v>10</v>
      </c>
      <c r="H4548" s="7">
        <v>199</v>
      </c>
      <c r="I4548" s="8" t="str">
        <f ca="1">IFERROR(__xludf.DUMMYFUNCTION("IF
(
G4549=""фізична особа""
,
VLOOKUP(H4549,IMPORTRANGE(""https://docs.google.com/spreadsheets/d/14Bd19lYaqBhU8_DElYkX7l4wRkHqqCUFNJY4AfY3kHU/edit?usp=sharing  #gid=0"",""фіз особи new!relations_name""),6,FALSE)
,
(IF
(
G4549=""юридична особа""
,
VLOOKUP"&amp;"(H4549,IMPORTRANGE(""https://docs.google.com/spreadsheets/d/14Bd19lYaqBhU8_DElYkX7l4wRkHqqCUFNJY4AfY3kHU/edit?usp=sharing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48" s="7" t="s">
        <v>29</v>
      </c>
    </row>
    <row r="4549" spans="1:10" ht="13.2">
      <c r="A4549" s="7">
        <v>4548</v>
      </c>
      <c r="B4549" s="7">
        <v>1</v>
      </c>
      <c r="C4549" s="7" t="s">
        <v>10</v>
      </c>
      <c r="D4549" s="7">
        <v>3120</v>
      </c>
      <c r="E4549" s="7" t="s">
        <v>28</v>
      </c>
      <c r="F4549" s="8" t="str">
        <f ca="1">IFERROR(__xludf.DUMMYFUNCTION("IF
(
C4550=""фізична особа""
,
VLOOKUP(D4550,IMPORTRANGE(""https://docs.google.com/spreadsheets/d/14Bd19lYaqBhU8_DElYkX7l4wRkHqqCUFNJY4AfY3kHU/edit?usp=sharing  #gid=0"",""фіз особи new!relations_name""),6,FALSE)
,
(IF
(
C4550=""юридична особа""
,
VLOOKUP"&amp;"(D4550,IMPORTRANGE(""https://docs.google.com/spreadsheets/d/14Bd19lYaqBhU8_DElYkX7l4wRkHqqCUFNJY4AfY3kHU/edit?usp=sharing  #gid=0"",""фіз особи new!relations_name_uo""),7,FALSE)
,
)
))"),"КАЗАКОВА Тетяна В'ячеславівна")</f>
        <v>КАЗАКОВА Тетяна В'ячеславівна</v>
      </c>
      <c r="G4549" s="7" t="s">
        <v>10</v>
      </c>
      <c r="H4549" s="7">
        <v>4696</v>
      </c>
      <c r="I4549" s="8" t="str">
        <f ca="1">IFERROR(__xludf.DUMMYFUNCTION("IF
(
G4550=""фізична особа""
,
VLOOKUP(H4550,IMPORTRANGE(""https://docs.google.com/spreadsheets/d/14Bd19lYaqBhU8_DElYkX7l4wRkHqqCUFNJY4AfY3kHU/edit?usp=sharing  #gid=0"",""фіз особи new!relations_name""),6,FALSE)
,
(IF
(
G4550=""юридична особа""
,
VLOOKUP"&amp;"(H4550,IMPORTRANGE(""https://docs.google.com/spreadsheets/d/14Bd19lYaqBhU8_DElYkX7l4wRkHqqCUFNJY4AfY3kHU/edit?usp=sharing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49" s="7" t="s">
        <v>29</v>
      </c>
    </row>
    <row r="4550" spans="1:10" ht="13.2">
      <c r="A4550" s="7">
        <v>4549</v>
      </c>
      <c r="B4550" s="7">
        <v>1</v>
      </c>
      <c r="C4550" s="7" t="s">
        <v>10</v>
      </c>
      <c r="D4550" s="7">
        <v>3121</v>
      </c>
      <c r="E4550" s="7" t="s">
        <v>28</v>
      </c>
      <c r="F4550" s="8" t="str">
        <f ca="1">IFERROR(__xludf.DUMMYFUNCTION("IF
(
C4551=""фізична особа""
,
VLOOKUP(D4551,IMPORTRANGE(""https://docs.google.com/spreadsheets/d/14Bd19lYaqBhU8_DElYkX7l4wRkHqqCUFNJY4AfY3kHU/edit?usp=sharing  #gid=0"",""фіз особи new!relations_name""),6,FALSE)
,
(IF
(
C4551=""юридична особа""
,
VLOOKUP"&amp;"(D4551,IMPORTRANGE(""https://docs.google.com/spreadsheets/d/14Bd19lYaqBhU8_DElYkX7l4wRkHqqCUFNJY4AfY3kHU/edit?usp=sharing  #gid=0"",""фіз особи new!relations_name_uo""),7,FALSE)
,
)
))"),"ПАХОМОВ Сергій Іванович")</f>
        <v>ПАХОМОВ Сергій Іванович</v>
      </c>
      <c r="G4550" s="7" t="s">
        <v>10</v>
      </c>
      <c r="H4550" s="7">
        <v>4696</v>
      </c>
      <c r="I4550" s="8" t="str">
        <f ca="1">IFERROR(__xludf.DUMMYFUNCTION("IF
(
G4551=""фізична особа""
,
VLOOKUP(H4551,IMPORTRANGE(""https://docs.google.com/spreadsheets/d/14Bd19lYaqBhU8_DElYkX7l4wRkHqqCUFNJY4AfY3kHU/edit?usp=sharing  #gid=0"",""фіз особи new!relations_name""),6,FALSE)
,
(IF
(
G4551=""юридична особа""
,
VLOOKUP"&amp;"(H4551,IMPORTRANGE(""https://docs.google.com/spreadsheets/d/14Bd19lYaqBhU8_DElYkX7l4wRkHqqCUFNJY4AfY3kHU/edit?usp=sharing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0" s="7" t="s">
        <v>29</v>
      </c>
    </row>
    <row r="4551" spans="1:10" ht="13.2">
      <c r="A4551" s="7">
        <v>4550</v>
      </c>
      <c r="B4551" s="7">
        <v>1</v>
      </c>
      <c r="C4551" s="7" t="s">
        <v>10</v>
      </c>
      <c r="D4551" s="7">
        <v>3122</v>
      </c>
      <c r="E4551" s="7" t="s">
        <v>28</v>
      </c>
      <c r="F4551" s="8" t="str">
        <f ca="1">IFERROR(__xludf.DUMMYFUNCTION("IF
(
C4552=""фізична особа""
,
VLOOKUP(D4552,IMPORTRANGE(""https://docs.google.com/spreadsheets/d/14Bd19lYaqBhU8_DElYkX7l4wRkHqqCUFNJY4AfY3kHU/edit?usp=sharing  #gid=0"",""фіз особи new!relations_name""),6,FALSE)
,
(IF
(
C4552=""юридична особа""
,
VLOOKUP"&amp;"(D4552,IMPORTRANGE(""https://docs.google.com/spreadsheets/d/14Bd19lYaqBhU8_DElYkX7l4wRkHqqCUFNJY4AfY3kHU/edit?usp=sharing  #gid=0"",""фіз особи new!relations_name_uo""),7,FALSE)
,
)
))"),"ДАУТОВ Рустем Максудович")</f>
        <v>ДАУТОВ Рустем Максудович</v>
      </c>
      <c r="G4551" s="7" t="s">
        <v>10</v>
      </c>
      <c r="H4551" s="7">
        <v>4696</v>
      </c>
      <c r="I4551" s="8" t="str">
        <f ca="1">IFERROR(__xludf.DUMMYFUNCTION("IF
(
G4552=""фізична особа""
,
VLOOKUP(H4552,IMPORTRANGE(""https://docs.google.com/spreadsheets/d/14Bd19lYaqBhU8_DElYkX7l4wRkHqqCUFNJY4AfY3kHU/edit?usp=sharing  #gid=0"",""фіз особи new!relations_name""),6,FALSE)
,
(IF
(
G4552=""юридична особа""
,
VLOOKUP"&amp;"(H4552,IMPORTRANGE(""https://docs.google.com/spreadsheets/d/14Bd19lYaqBhU8_DElYkX7l4wRkHqqCUFNJY4AfY3kHU/edit?usp=sharing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1" s="7" t="s">
        <v>29</v>
      </c>
    </row>
    <row r="4552" spans="1:10" ht="13.2">
      <c r="A4552" s="7">
        <v>4551</v>
      </c>
      <c r="B4552" s="7">
        <v>1</v>
      </c>
      <c r="C4552" s="7" t="s">
        <v>10</v>
      </c>
      <c r="D4552" s="7">
        <v>3123</v>
      </c>
      <c r="E4552" s="7" t="s">
        <v>28</v>
      </c>
      <c r="F4552" s="8" t="str">
        <f ca="1">IFERROR(__xludf.DUMMYFUNCTION("IF
(
C4553=""фізична особа""
,
VLOOKUP(D4553,IMPORTRANGE(""https://docs.google.com/spreadsheets/d/14Bd19lYaqBhU8_DElYkX7l4wRkHqqCUFNJY4AfY3kHU/edit?usp=sharing  #gid=0"",""фіз особи new!relations_name""),6,FALSE)
,
(IF
(
C4553=""юридична особа""
,
VLOOKUP"&amp;"(D4553,IMPORTRANGE(""https://docs.google.com/spreadsheets/d/14Bd19lYaqBhU8_DElYkX7l4wRkHqqCUFNJY4AfY3kHU/edit?usp=sharing  #gid=0"",""фіз особи new!relations_name_uo""),7,FALSE)
,
)
))"),"АШИРОВ Денис Валерійович")</f>
        <v>АШИРОВ Денис Валерійович</v>
      </c>
      <c r="G4552" s="7" t="s">
        <v>10</v>
      </c>
      <c r="H4552" s="7">
        <v>4696</v>
      </c>
      <c r="I4552" s="8" t="str">
        <f ca="1">IFERROR(__xludf.DUMMYFUNCTION("IF
(
G4553=""фізична особа""
,
VLOOKUP(H4553,IMPORTRANGE(""https://docs.google.com/spreadsheets/d/14Bd19lYaqBhU8_DElYkX7l4wRkHqqCUFNJY4AfY3kHU/edit?usp=sharing  #gid=0"",""фіз особи new!relations_name""),6,FALSE)
,
(IF
(
G4553=""юридична особа""
,
VLOOKUP"&amp;"(H4553,IMPORTRANGE(""https://docs.google.com/spreadsheets/d/14Bd19lYaqBhU8_DElYkX7l4wRkHqqCUFNJY4AfY3kHU/edit?usp=sharing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2" s="7" t="s">
        <v>29</v>
      </c>
    </row>
    <row r="4553" spans="1:10" ht="13.2">
      <c r="A4553" s="7">
        <v>4552</v>
      </c>
      <c r="B4553" s="7">
        <v>1</v>
      </c>
      <c r="C4553" s="7" t="s">
        <v>10</v>
      </c>
      <c r="D4553" s="7">
        <v>3124</v>
      </c>
      <c r="E4553" s="7" t="s">
        <v>28</v>
      </c>
      <c r="F4553" s="8" t="str">
        <f ca="1">IFERROR(__xludf.DUMMYFUNCTION("IF
(
C4554=""фізична особа""
,
VLOOKUP(D4554,IMPORTRANGE(""https://docs.google.com/spreadsheets/d/14Bd19lYaqBhU8_DElYkX7l4wRkHqqCUFNJY4AfY3kHU/edit?usp=sharing  #gid=0"",""фіз особи new!relations_name""),6,FALSE)
,
(IF
(
C4554=""юридична особа""
,
VLOOKUP"&amp;"(D4554,IMPORTRANGE(""https://docs.google.com/spreadsheets/d/14Bd19lYaqBhU8_DElYkX7l4wRkHqqCUFNJY4AfY3kHU/edit?usp=sharing  #gid=0"",""фіз особи new!relations_name_uo""),7,FALSE)
,
)
))"),"ФОРШ Павло Анатолійович")</f>
        <v>ФОРШ Павло Анатолійович</v>
      </c>
      <c r="G4553" s="7" t="s">
        <v>10</v>
      </c>
      <c r="H4553" s="7">
        <v>4696</v>
      </c>
      <c r="I4553" s="8" t="str">
        <f ca="1">IFERROR(__xludf.DUMMYFUNCTION("IF
(
G4554=""фізична особа""
,
VLOOKUP(H4554,IMPORTRANGE(""https://docs.google.com/spreadsheets/d/14Bd19lYaqBhU8_DElYkX7l4wRkHqqCUFNJY4AfY3kHU/edit?usp=sharing  #gid=0"",""фіз особи new!relations_name""),6,FALSE)
,
(IF
(
G4554=""юридична особа""
,
VLOOKUP"&amp;"(H4554,IMPORTRANGE(""https://docs.google.com/spreadsheets/d/14Bd19lYaqBhU8_DElYkX7l4wRkHqqCUFNJY4AfY3kHU/edit?usp=sharing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3" s="7" t="s">
        <v>29</v>
      </c>
    </row>
    <row r="4554" spans="1:10" ht="13.2">
      <c r="A4554" s="7">
        <v>4553</v>
      </c>
      <c r="B4554" s="7">
        <v>1</v>
      </c>
      <c r="C4554" s="7" t="s">
        <v>10</v>
      </c>
      <c r="D4554" s="7">
        <v>3125</v>
      </c>
      <c r="E4554" s="7" t="s">
        <v>28</v>
      </c>
      <c r="F4554" s="8" t="str">
        <f ca="1">IFERROR(__xludf.DUMMYFUNCTION("IF
(
C4555=""фізична особа""
,
VLOOKUP(D4555,IMPORTRANGE(""https://docs.google.com/spreadsheets/d/14Bd19lYaqBhU8_DElYkX7l4wRkHqqCUFNJY4AfY3kHU/edit?usp=sharing  #gid=0"",""фіз особи new!relations_name""),6,FALSE)
,
(IF
(
C4555=""юридична особа""
,
VLOOKUP"&amp;"(D4555,IMPORTRANGE(""https://docs.google.com/spreadsheets/d/14Bd19lYaqBhU8_DElYkX7l4wRkHqqCUFNJY4AfY3kHU/edit?usp=sharing  #gid=0"",""фіз особи new!relations_name_uo""),7,FALSE)
,
)
))"),"РЯБКО Тетяна Василівна")</f>
        <v>РЯБКО Тетяна Василівна</v>
      </c>
      <c r="G4554" s="7" t="s">
        <v>10</v>
      </c>
      <c r="H4554" s="7">
        <v>4696</v>
      </c>
      <c r="I4554" s="8" t="str">
        <f ca="1">IFERROR(__xludf.DUMMYFUNCTION("IF
(
G4555=""фізична особа""
,
VLOOKUP(H4555,IMPORTRANGE(""https://docs.google.com/spreadsheets/d/14Bd19lYaqBhU8_DElYkX7l4wRkHqqCUFNJY4AfY3kHU/edit?usp=sharing  #gid=0"",""фіз особи new!relations_name""),6,FALSE)
,
(IF
(
G4555=""юридична особа""
,
VLOOKUP"&amp;"(H4555,IMPORTRANGE(""https://docs.google.com/spreadsheets/d/14Bd19lYaqBhU8_DElYkX7l4wRkHqqCUFNJY4AfY3kHU/edit?usp=sharing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4" s="7" t="s">
        <v>29</v>
      </c>
    </row>
    <row r="4555" spans="1:10" ht="13.2">
      <c r="A4555" s="7">
        <v>4554</v>
      </c>
      <c r="B4555" s="7">
        <v>1</v>
      </c>
      <c r="C4555" s="7" t="s">
        <v>10</v>
      </c>
      <c r="D4555" s="7">
        <v>3126</v>
      </c>
      <c r="E4555" s="7" t="s">
        <v>28</v>
      </c>
      <c r="F4555" s="8" t="str">
        <f ca="1">IFERROR(__xludf.DUMMYFUNCTION("IF
(
C4556=""фізична особа""
,
VLOOKUP(D4556,IMPORTRANGE(""https://docs.google.com/spreadsheets/d/14Bd19lYaqBhU8_DElYkX7l4wRkHqqCUFNJY4AfY3kHU/edit?usp=sharing  #gid=0"",""фіз особи new!relations_name""),6,FALSE)
,
(IF
(
C4556=""юридична особа""
,
VLOOKUP"&amp;"(D4556,IMPORTRANGE(""https://docs.google.com/spreadsheets/d/14Bd19lYaqBhU8_DElYkX7l4wRkHqqCUFNJY4AfY3kHU/edit?usp=sharing  #gid=0"",""фіз особи new!relations_name_uo""),7,FALSE)
,
)
))"),"СВИСТУНОВ Олексій Олександрович")</f>
        <v>СВИСТУНОВ Олексій Олександрович</v>
      </c>
      <c r="G4555" s="7" t="s">
        <v>10</v>
      </c>
      <c r="H4555" s="7">
        <v>4696</v>
      </c>
      <c r="I4555" s="8" t="str">
        <f ca="1">IFERROR(__xludf.DUMMYFUNCTION("IF
(
G4556=""фізична особа""
,
VLOOKUP(H4556,IMPORTRANGE(""https://docs.google.com/spreadsheets/d/14Bd19lYaqBhU8_DElYkX7l4wRkHqqCUFNJY4AfY3kHU/edit?usp=sharing  #gid=0"",""фіз особи new!relations_name""),6,FALSE)
,
(IF
(
G4556=""юридична особа""
,
VLOOKUP"&amp;"(H4556,IMPORTRANGE(""https://docs.google.com/spreadsheets/d/14Bd19lYaqBhU8_DElYkX7l4wRkHqqCUFNJY4AfY3kHU/edit?usp=sharing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5" s="7" t="s">
        <v>29</v>
      </c>
    </row>
    <row r="4556" spans="1:10" ht="13.2">
      <c r="A4556" s="7">
        <v>4555</v>
      </c>
      <c r="B4556" s="7">
        <v>1</v>
      </c>
      <c r="C4556" s="7" t="s">
        <v>10</v>
      </c>
      <c r="D4556" s="7">
        <v>3127</v>
      </c>
      <c r="E4556" s="7" t="s">
        <v>28</v>
      </c>
      <c r="F4556" s="8" t="str">
        <f ca="1">IFERROR(__xludf.DUMMYFUNCTION("IF
(
C4557=""фізична особа""
,
VLOOKUP(D4557,IMPORTRANGE(""https://docs.google.com/spreadsheets/d/14Bd19lYaqBhU8_DElYkX7l4wRkHqqCUFNJY4AfY3kHU/edit?usp=sharing  #gid=0"",""фіз особи new!relations_name""),6,FALSE)
,
(IF
(
C4557=""юридична особа""
,
VLOOKUP"&amp;"(D4557,IMPORTRANGE(""https://docs.google.com/spreadsheets/d/14Bd19lYaqBhU8_DElYkX7l4wRkHqqCUFNJY4AfY3kHU/edit?usp=sharing  #gid=0"",""фіз особи new!relations_name_uo""),7,FALSE)
,
)
))"),"ЧУРІЛОВ Олег Валерійович")</f>
        <v>ЧУРІЛОВ Олег Валерійович</v>
      </c>
      <c r="G4556" s="7" t="s">
        <v>10</v>
      </c>
      <c r="H4556" s="7">
        <v>4696</v>
      </c>
      <c r="I4556" s="8" t="str">
        <f ca="1">IFERROR(__xludf.DUMMYFUNCTION("IF
(
G4557=""фізична особа""
,
VLOOKUP(H4557,IMPORTRANGE(""https://docs.google.com/spreadsheets/d/14Bd19lYaqBhU8_DElYkX7l4wRkHqqCUFNJY4AfY3kHU/edit?usp=sharing  #gid=0"",""фіз особи new!relations_name""),6,FALSE)
,
(IF
(
G4557=""юридична особа""
,
VLOOKUP"&amp;"(H4557,IMPORTRANGE(""https://docs.google.com/spreadsheets/d/14Bd19lYaqBhU8_DElYkX7l4wRkHqqCUFNJY4AfY3kHU/edit?usp=sharing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6" s="7" t="s">
        <v>29</v>
      </c>
    </row>
    <row r="4557" spans="1:10" ht="13.2">
      <c r="A4557" s="7">
        <v>4556</v>
      </c>
      <c r="B4557" s="7">
        <v>1</v>
      </c>
      <c r="C4557" s="7" t="s">
        <v>10</v>
      </c>
      <c r="D4557" s="7">
        <v>3128</v>
      </c>
      <c r="E4557" s="7" t="s">
        <v>28</v>
      </c>
      <c r="F4557" s="8" t="str">
        <f ca="1">IFERROR(__xludf.DUMMYFUNCTION("IF
(
C4558=""фізична особа""
,
VLOOKUP(D4558,IMPORTRANGE(""https://docs.google.com/spreadsheets/d/14Bd19lYaqBhU8_DElYkX7l4wRkHqqCUFNJY4AfY3kHU/edit?usp=sharing  #gid=0"",""фіз особи new!relations_name""),6,FALSE)
,
(IF
(
C4558=""юридична особа""
,
VLOOKUP"&amp;"(D4558,IMPORTRANGE(""https://docs.google.com/spreadsheets/d/14Bd19lYaqBhU8_DElYkX7l4wRkHqqCUFNJY4AfY3kHU/edit?usp=sharing  #gid=0"",""фіз особи new!relations_name_uo""),7,FALSE)
,
)
))"),"ШВЕД Кіра Олексіївна")</f>
        <v>ШВЕД Кіра Олексіївна</v>
      </c>
      <c r="G4557" s="7" t="s">
        <v>10</v>
      </c>
      <c r="H4557" s="7">
        <v>4696</v>
      </c>
      <c r="I4557" s="8" t="str">
        <f ca="1">IFERROR(__xludf.DUMMYFUNCTION("IF
(
G4558=""фізична особа""
,
VLOOKUP(H4558,IMPORTRANGE(""https://docs.google.com/spreadsheets/d/14Bd19lYaqBhU8_DElYkX7l4wRkHqqCUFNJY4AfY3kHU/edit?usp=sharing  #gid=0"",""фіз особи new!relations_name""),6,FALSE)
,
(IF
(
G4558=""юридична особа""
,
VLOOKUP"&amp;"(H4558,IMPORTRANGE(""https://docs.google.com/spreadsheets/d/14Bd19lYaqBhU8_DElYkX7l4wRkHqqCUFNJY4AfY3kHU/edit?usp=sharing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7" s="7" t="s">
        <v>29</v>
      </c>
    </row>
    <row r="4558" spans="1:10" ht="13.2">
      <c r="A4558" s="7">
        <v>4557</v>
      </c>
      <c r="B4558" s="7">
        <v>1</v>
      </c>
      <c r="C4558" s="7" t="s">
        <v>10</v>
      </c>
      <c r="D4558" s="7">
        <v>3129</v>
      </c>
      <c r="E4558" s="7" t="s">
        <v>28</v>
      </c>
      <c r="F4558" s="8" t="str">
        <f ca="1">IFERROR(__xludf.DUMMYFUNCTION("IF
(
C4559=""фізична особа""
,
VLOOKUP(D4559,IMPORTRANGE(""https://docs.google.com/spreadsheets/d/14Bd19lYaqBhU8_DElYkX7l4wRkHqqCUFNJY4AfY3kHU/edit?usp=sharing  #gid=0"",""фіз особи new!relations_name""),6,FALSE)
,
(IF
(
C4559=""юридична особа""
,
VLOOKUP"&amp;"(D4559,IMPORTRANGE(""https://docs.google.com/spreadsheets/d/14Bd19lYaqBhU8_DElYkX7l4wRkHqqCUFNJY4AfY3kHU/edit?usp=sharing  #gid=0"",""фіз особи new!relations_name_uo""),7,FALSE)
,
)
))"),"ГРИШКІН Віталій Вікторович")</f>
        <v>ГРИШКІН Віталій Вікторович</v>
      </c>
      <c r="G4558" s="7" t="s">
        <v>10</v>
      </c>
      <c r="H4558" s="7">
        <v>4696</v>
      </c>
      <c r="I4558" s="8" t="str">
        <f ca="1">IFERROR(__xludf.DUMMYFUNCTION("IF
(
G4559=""фізична особа""
,
VLOOKUP(H4559,IMPORTRANGE(""https://docs.google.com/spreadsheets/d/14Bd19lYaqBhU8_DElYkX7l4wRkHqqCUFNJY4AfY3kHU/edit?usp=sharing  #gid=0"",""фіз особи new!relations_name""),6,FALSE)
,
(IF
(
G4559=""юридична особа""
,
VLOOKUP"&amp;"(H4559,IMPORTRANGE(""https://docs.google.com/spreadsheets/d/14Bd19lYaqBhU8_DElYkX7l4wRkHqqCUFNJY4AfY3kHU/edit?usp=sharing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8" s="7" t="s">
        <v>29</v>
      </c>
    </row>
    <row r="4559" spans="1:10" ht="13.2">
      <c r="A4559" s="7">
        <v>4558</v>
      </c>
      <c r="B4559" s="7">
        <v>1</v>
      </c>
      <c r="C4559" s="7" t="s">
        <v>10</v>
      </c>
      <c r="D4559" s="7">
        <v>3130</v>
      </c>
      <c r="E4559" s="7" t="s">
        <v>28</v>
      </c>
      <c r="F4559" s="8" t="str">
        <f ca="1">IFERROR(__xludf.DUMMYFUNCTION("IF
(
C4560=""фізична особа""
,
VLOOKUP(D4560,IMPORTRANGE(""https://docs.google.com/spreadsheets/d/14Bd19lYaqBhU8_DElYkX7l4wRkHqqCUFNJY4AfY3kHU/edit?usp=sharing  #gid=0"",""фіз особи new!relations_name""),6,FALSE)
,
(IF
(
C4560=""юридична особа""
,
VLOOKUP"&amp;"(D4560,IMPORTRANGE(""https://docs.google.com/spreadsheets/d/14Bd19lYaqBhU8_DElYkX7l4wRkHqqCUFNJY4AfY3kHU/edit?usp=sharing  #gid=0"",""фіз особи new!relations_name_uo""),7,FALSE)
,
)
))"),"БАГІРОВ Вугар Алійович")</f>
        <v>БАГІРОВ Вугар Алійович</v>
      </c>
      <c r="G4559" s="7" t="s">
        <v>10</v>
      </c>
      <c r="H4559" s="7">
        <v>4696</v>
      </c>
      <c r="I4559" s="8" t="str">
        <f ca="1">IFERROR(__xludf.DUMMYFUNCTION("IF
(
G4560=""фізична особа""
,
VLOOKUP(H4560,IMPORTRANGE(""https://docs.google.com/spreadsheets/d/14Bd19lYaqBhU8_DElYkX7l4wRkHqqCUFNJY4AfY3kHU/edit?usp=sharing  #gid=0"",""фіз особи new!relations_name""),6,FALSE)
,
(IF
(
G4560=""юридична особа""
,
VLOOKUP"&amp;"(H4560,IMPORTRANGE(""https://docs.google.com/spreadsheets/d/14Bd19lYaqBhU8_DElYkX7l4wRkHqqCUFNJY4AfY3kHU/edit?usp=sharing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59" s="7" t="s">
        <v>29</v>
      </c>
    </row>
    <row r="4560" spans="1:10" ht="13.2">
      <c r="A4560" s="7">
        <v>4559</v>
      </c>
      <c r="B4560" s="7">
        <v>1</v>
      </c>
      <c r="C4560" s="7" t="s">
        <v>10</v>
      </c>
      <c r="D4560" s="7">
        <v>3131</v>
      </c>
      <c r="E4560" s="7" t="s">
        <v>28</v>
      </c>
      <c r="F4560" s="8" t="str">
        <f ca="1">IFERROR(__xludf.DUMMYFUNCTION("IF
(
C4561=""фізична особа""
,
VLOOKUP(D4561,IMPORTRANGE(""https://docs.google.com/spreadsheets/d/14Bd19lYaqBhU8_DElYkX7l4wRkHqqCUFNJY4AfY3kHU/edit?usp=sharing  #gid=0"",""фіз особи new!relations_name""),6,FALSE)
,
(IF
(
C4561=""юридична особа""
,
VLOOKUP"&amp;"(D4561,IMPORTRANGE(""https://docs.google.com/spreadsheets/d/14Bd19lYaqBhU8_DElYkX7l4wRkHqqCUFNJY4AfY3kHU/edit?usp=sharing  #gid=0"",""фіз особи new!relations_name_uo""),7,FALSE)
,
)
))"),"ТОЛМАЧЕВ Андрій Анатолійович")</f>
        <v>ТОЛМАЧЕВ Андрій Анатолійович</v>
      </c>
      <c r="G4560" s="7" t="s">
        <v>10</v>
      </c>
      <c r="H4560" s="7">
        <v>4696</v>
      </c>
      <c r="I4560" s="8" t="str">
        <f ca="1">IFERROR(__xludf.DUMMYFUNCTION("IF
(
G4561=""фізична особа""
,
VLOOKUP(H4561,IMPORTRANGE(""https://docs.google.com/spreadsheets/d/14Bd19lYaqBhU8_DElYkX7l4wRkHqqCUFNJY4AfY3kHU/edit?usp=sharing  #gid=0"",""фіз особи new!relations_name""),6,FALSE)
,
(IF
(
G4561=""юридична особа""
,
VLOOKUP"&amp;"(H4561,IMPORTRANGE(""https://docs.google.com/spreadsheets/d/14Bd19lYaqBhU8_DElYkX7l4wRkHqqCUFNJY4AfY3kHU/edit?usp=sharing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0" s="7" t="s">
        <v>29</v>
      </c>
    </row>
    <row r="4561" spans="1:10" ht="13.2">
      <c r="A4561" s="7">
        <v>4560</v>
      </c>
      <c r="B4561" s="7">
        <v>1</v>
      </c>
      <c r="C4561" s="7" t="s">
        <v>10</v>
      </c>
      <c r="D4561" s="7">
        <v>3132</v>
      </c>
      <c r="E4561" s="7" t="s">
        <v>28</v>
      </c>
      <c r="F4561" s="8" t="str">
        <f ca="1">IFERROR(__xludf.DUMMYFUNCTION("IF
(
C4562=""фізична особа""
,
VLOOKUP(D4562,IMPORTRANGE(""https://docs.google.com/spreadsheets/d/14Bd19lYaqBhU8_DElYkX7l4wRkHqqCUFNJY4AfY3kHU/edit?usp=sharing  #gid=0"",""фіз особи new!relations_name""),6,FALSE)
,
(IF
(
C4562=""юридична особа""
,
VLOOKUP"&amp;"(D4562,IMPORTRANGE(""https://docs.google.com/spreadsheets/d/14Bd19lYaqBhU8_DElYkX7l4wRkHqqCUFNJY4AfY3kHU/edit?usp=sharing  #gid=0"",""фіз особи new!relations_name_uo""),7,FALSE)
,
)
))"),"СТАРЖЕНЕЦЬКИЙ Владислав Валерійович")</f>
        <v>СТАРЖЕНЕЦЬКИЙ Владислав Валерійович</v>
      </c>
      <c r="G4561" s="7" t="s">
        <v>10</v>
      </c>
      <c r="H4561" s="7">
        <v>4696</v>
      </c>
      <c r="I4561" s="8" t="str">
        <f ca="1">IFERROR(__xludf.DUMMYFUNCTION("IF
(
G4562=""фізична особа""
,
VLOOKUP(H4562,IMPORTRANGE(""https://docs.google.com/spreadsheets/d/14Bd19lYaqBhU8_DElYkX7l4wRkHqqCUFNJY4AfY3kHU/edit?usp=sharing  #gid=0"",""фіз особи new!relations_name""),6,FALSE)
,
(IF
(
G4562=""юридична особа""
,
VLOOKUP"&amp;"(H4562,IMPORTRANGE(""https://docs.google.com/spreadsheets/d/14Bd19lYaqBhU8_DElYkX7l4wRkHqqCUFNJY4AfY3kHU/edit?usp=sharing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1" s="7" t="s">
        <v>29</v>
      </c>
    </row>
    <row r="4562" spans="1:10" ht="13.2">
      <c r="A4562" s="7">
        <v>4561</v>
      </c>
      <c r="B4562" s="7">
        <v>1</v>
      </c>
      <c r="C4562" s="7" t="s">
        <v>10</v>
      </c>
      <c r="D4562" s="7">
        <v>3133</v>
      </c>
      <c r="E4562" s="7" t="s">
        <v>28</v>
      </c>
      <c r="F4562" s="8" t="str">
        <f ca="1">IFERROR(__xludf.DUMMYFUNCTION("IF
(
C4563=""фізична особа""
,
VLOOKUP(D4563,IMPORTRANGE(""https://docs.google.com/spreadsheets/d/14Bd19lYaqBhU8_DElYkX7l4wRkHqqCUFNJY4AfY3kHU/edit?usp=sharing  #gid=0"",""фіз особи new!relations_name""),6,FALSE)
,
(IF
(
C4563=""юридична особа""
,
VLOOKUP"&amp;"(D4563,IMPORTRANGE(""https://docs.google.com/spreadsheets/d/14Bd19lYaqBhU8_DElYkX7l4wRkHqqCUFNJY4AfY3kHU/edit?usp=sharing  #gid=0"",""фіз особи new!relations_name_uo""),7,FALSE)
,
)
))"),"ГВОЗДЄВА Наталія Михайлівна")</f>
        <v>ГВОЗДЄВА Наталія Михайлівна</v>
      </c>
      <c r="G4562" s="7" t="s">
        <v>10</v>
      </c>
      <c r="H4562" s="7">
        <v>4696</v>
      </c>
      <c r="I4562" s="8" t="str">
        <f ca="1">IFERROR(__xludf.DUMMYFUNCTION("IF
(
G4563=""фізична особа""
,
VLOOKUP(H4563,IMPORTRANGE(""https://docs.google.com/spreadsheets/d/14Bd19lYaqBhU8_DElYkX7l4wRkHqqCUFNJY4AfY3kHU/edit?usp=sharing  #gid=0"",""фіз особи new!relations_name""),6,FALSE)
,
(IF
(
G4563=""юридична особа""
,
VLOOKUP"&amp;"(H4563,IMPORTRANGE(""https://docs.google.com/spreadsheets/d/14Bd19lYaqBhU8_DElYkX7l4wRkHqqCUFNJY4AfY3kHU/edit?usp=sharing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2" s="7" t="s">
        <v>29</v>
      </c>
    </row>
    <row r="4563" spans="1:10" ht="13.2">
      <c r="A4563" s="7">
        <v>4562</v>
      </c>
      <c r="B4563" s="7">
        <v>1</v>
      </c>
      <c r="C4563" s="7" t="s">
        <v>10</v>
      </c>
      <c r="D4563" s="7">
        <v>3134</v>
      </c>
      <c r="E4563" s="7" t="s">
        <v>28</v>
      </c>
      <c r="F4563" s="8" t="str">
        <f ca="1">IFERROR(__xludf.DUMMYFUNCTION("IF
(
C4564=""фізична особа""
,
VLOOKUP(D4564,IMPORTRANGE(""https://docs.google.com/spreadsheets/d/14Bd19lYaqBhU8_DElYkX7l4wRkHqqCUFNJY4AfY3kHU/edit?usp=sharing  #gid=0"",""фіз особи new!relations_name""),6,FALSE)
,
(IF
(
C4564=""юридична особа""
,
VLOOKUP"&amp;"(D4564,IMPORTRANGE(""https://docs.google.com/spreadsheets/d/14Bd19lYaqBhU8_DElYkX7l4wRkHqqCUFNJY4AfY3kHU/edit?usp=sharing  #gid=0"",""фіз особи new!relations_name_uo""),7,FALSE)
,
)
))"),"КАЗАКОВ Юрій Євгенович")</f>
        <v>КАЗАКОВ Юрій Євгенович</v>
      </c>
      <c r="G4563" s="7" t="s">
        <v>10</v>
      </c>
      <c r="H4563" s="7">
        <v>4696</v>
      </c>
      <c r="I4563" s="8" t="str">
        <f ca="1">IFERROR(__xludf.DUMMYFUNCTION("IF
(
G4564=""фізична особа""
,
VLOOKUP(H4564,IMPORTRANGE(""https://docs.google.com/spreadsheets/d/14Bd19lYaqBhU8_DElYkX7l4wRkHqqCUFNJY4AfY3kHU/edit?usp=sharing  #gid=0"",""фіз особи new!relations_name""),6,FALSE)
,
(IF
(
G4564=""юридична особа""
,
VLOOKUP"&amp;"(H4564,IMPORTRANGE(""https://docs.google.com/spreadsheets/d/14Bd19lYaqBhU8_DElYkX7l4wRkHqqCUFNJY4AfY3kHU/edit?usp=sharing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3" s="7" t="s">
        <v>29</v>
      </c>
    </row>
    <row r="4564" spans="1:10" ht="13.2">
      <c r="A4564" s="7">
        <v>4563</v>
      </c>
      <c r="B4564" s="7">
        <v>1</v>
      </c>
      <c r="C4564" s="7" t="s">
        <v>10</v>
      </c>
      <c r="D4564" s="7">
        <v>3135</v>
      </c>
      <c r="E4564" s="7" t="s">
        <v>28</v>
      </c>
      <c r="F4564" s="8" t="str">
        <f ca="1">IFERROR(__xludf.DUMMYFUNCTION("IF
(
C4565=""фізична особа""
,
VLOOKUP(D4565,IMPORTRANGE(""https://docs.google.com/spreadsheets/d/14Bd19lYaqBhU8_DElYkX7l4wRkHqqCUFNJY4AfY3kHU/edit?usp=sharing  #gid=0"",""фіз особи new!relations_name""),6,FALSE)
,
(IF
(
C4565=""юридична особа""
,
VLOOKUP"&amp;"(D4565,IMPORTRANGE(""https://docs.google.com/spreadsheets/d/14Bd19lYaqBhU8_DElYkX7l4wRkHqqCUFNJY4AfY3kHU/edit?usp=sharing  #gid=0"",""фіз особи new!relations_name_uo""),7,FALSE)
,
)
))"),"УСОЛОВ Євгеній Вікторович")</f>
        <v>УСОЛОВ Євгеній Вікторович</v>
      </c>
      <c r="G4564" s="7" t="s">
        <v>10</v>
      </c>
      <c r="H4564" s="7">
        <v>4696</v>
      </c>
      <c r="I4564" s="8" t="str">
        <f ca="1">IFERROR(__xludf.DUMMYFUNCTION("IF
(
G4565=""фізична особа""
,
VLOOKUP(H4565,IMPORTRANGE(""https://docs.google.com/spreadsheets/d/14Bd19lYaqBhU8_DElYkX7l4wRkHqqCUFNJY4AfY3kHU/edit?usp=sharing  #gid=0"",""фіз особи new!relations_name""),6,FALSE)
,
(IF
(
G4565=""юридична особа""
,
VLOOKUP"&amp;"(H4565,IMPORTRANGE(""https://docs.google.com/spreadsheets/d/14Bd19lYaqBhU8_DElYkX7l4wRkHqqCUFNJY4AfY3kHU/edit?usp=sharing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4" s="7" t="s">
        <v>29</v>
      </c>
    </row>
    <row r="4565" spans="1:10" ht="13.2">
      <c r="A4565" s="7">
        <v>4564</v>
      </c>
      <c r="B4565" s="7">
        <v>1</v>
      </c>
      <c r="C4565" s="7" t="s">
        <v>10</v>
      </c>
      <c r="D4565" s="7">
        <v>3136</v>
      </c>
      <c r="E4565" s="7" t="s">
        <v>28</v>
      </c>
      <c r="F4565" s="8" t="str">
        <f ca="1">IFERROR(__xludf.DUMMYFUNCTION("IF
(
C4566=""фізична особа""
,
VLOOKUP(D4566,IMPORTRANGE(""https://docs.google.com/spreadsheets/d/14Bd19lYaqBhU8_DElYkX7l4wRkHqqCUFNJY4AfY3kHU/edit?usp=sharing  #gid=0"",""фіз особи new!relations_name""),6,FALSE)
,
(IF
(
C4566=""юридична особа""
,
VLOOKUP"&amp;"(D4566,IMPORTRANGE(""https://docs.google.com/spreadsheets/d/14Bd19lYaqBhU8_DElYkX7l4wRkHqqCUFNJY4AfY3kHU/edit?usp=sharing  #gid=0"",""фіз особи new!relations_name_uo""),7,FALSE)
,
)
))"),"ГРУДИНІНА Олена Михайлівна")</f>
        <v>ГРУДИНІНА Олена Михайлівна</v>
      </c>
      <c r="G4565" s="7" t="s">
        <v>10</v>
      </c>
      <c r="H4565" s="7">
        <v>4696</v>
      </c>
      <c r="I4565" s="8" t="str">
        <f ca="1">IFERROR(__xludf.DUMMYFUNCTION("IF
(
G4566=""фізична особа""
,
VLOOKUP(H4566,IMPORTRANGE(""https://docs.google.com/spreadsheets/d/14Bd19lYaqBhU8_DElYkX7l4wRkHqqCUFNJY4AfY3kHU/edit?usp=sharing  #gid=0"",""фіз особи new!relations_name""),6,FALSE)
,
(IF
(
G4566=""юридична особа""
,
VLOOKUP"&amp;"(H4566,IMPORTRANGE(""https://docs.google.com/spreadsheets/d/14Bd19lYaqBhU8_DElYkX7l4wRkHqqCUFNJY4AfY3kHU/edit?usp=sharing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5" s="7" t="s">
        <v>29</v>
      </c>
    </row>
    <row r="4566" spans="1:10" ht="13.2">
      <c r="A4566" s="7">
        <v>4565</v>
      </c>
      <c r="B4566" s="7">
        <v>1</v>
      </c>
      <c r="C4566" s="7" t="s">
        <v>10</v>
      </c>
      <c r="D4566" s="7">
        <v>3137</v>
      </c>
      <c r="E4566" s="7" t="s">
        <v>28</v>
      </c>
      <c r="F4566" s="8" t="str">
        <f ca="1">IFERROR(__xludf.DUMMYFUNCTION("IF
(
C4567=""фізична особа""
,
VLOOKUP(D4567,IMPORTRANGE(""https://docs.google.com/spreadsheets/d/14Bd19lYaqBhU8_DElYkX7l4wRkHqqCUFNJY4AfY3kHU/edit?usp=sharing  #gid=0"",""фіз особи new!relations_name""),6,FALSE)
,
(IF
(
C4567=""юридична особа""
,
VLOOKUP"&amp;"(D4567,IMPORTRANGE(""https://docs.google.com/spreadsheets/d/14Bd19lYaqBhU8_DElYkX7l4wRkHqqCUFNJY4AfY3kHU/edit?usp=sharing  #gid=0"",""фіз особи new!relations_name_uo""),7,FALSE)
,
)
))"),"САПУНОВ Михайло Андрійович")</f>
        <v>САПУНОВ Михайло Андрійович</v>
      </c>
      <c r="G4566" s="7" t="s">
        <v>10</v>
      </c>
      <c r="H4566" s="7">
        <v>4696</v>
      </c>
      <c r="I4566" s="8" t="str">
        <f ca="1">IFERROR(__xludf.DUMMYFUNCTION("IF
(
G4567=""фізична особа""
,
VLOOKUP(H4567,IMPORTRANGE(""https://docs.google.com/spreadsheets/d/14Bd19lYaqBhU8_DElYkX7l4wRkHqqCUFNJY4AfY3kHU/edit?usp=sharing  #gid=0"",""фіз особи new!relations_name""),6,FALSE)
,
(IF
(
G4567=""юридична особа""
,
VLOOKUP"&amp;"(H4567,IMPORTRANGE(""https://docs.google.com/spreadsheets/d/14Bd19lYaqBhU8_DElYkX7l4wRkHqqCUFNJY4AfY3kHU/edit?usp=sharing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6" s="7" t="s">
        <v>29</v>
      </c>
    </row>
    <row r="4567" spans="1:10" ht="13.2">
      <c r="A4567" s="7">
        <v>4566</v>
      </c>
      <c r="B4567" s="7">
        <v>1</v>
      </c>
      <c r="C4567" s="7" t="s">
        <v>10</v>
      </c>
      <c r="D4567" s="7">
        <v>3138</v>
      </c>
      <c r="E4567" s="7" t="s">
        <v>28</v>
      </c>
      <c r="F4567" s="8" t="str">
        <f ca="1">IFERROR(__xludf.DUMMYFUNCTION("IF
(
C4568=""фізична особа""
,
VLOOKUP(D4568,IMPORTRANGE(""https://docs.google.com/spreadsheets/d/14Bd19lYaqBhU8_DElYkX7l4wRkHqqCUFNJY4AfY3kHU/edit?usp=sharing  #gid=0"",""фіз особи new!relations_name""),6,FALSE)
,
(IF
(
C4568=""юридична особа""
,
VLOOKUP"&amp;"(D4568,IMPORTRANGE(""https://docs.google.com/spreadsheets/d/14Bd19lYaqBhU8_DElYkX7l4wRkHqqCUFNJY4AfY3kHU/edit?usp=sharing  #gid=0"",""фіз особи new!relations_name_uo""),7,FALSE)
,
)
))"),"КАНУКОЄВ Аслан Султанович")</f>
        <v>КАНУКОЄВ Аслан Султанович</v>
      </c>
      <c r="G4567" s="7" t="s">
        <v>10</v>
      </c>
      <c r="H4567" s="7">
        <v>4696</v>
      </c>
      <c r="I4567" s="8" t="str">
        <f ca="1">IFERROR(__xludf.DUMMYFUNCTION("IF
(
G4568=""фізична особа""
,
VLOOKUP(H4568,IMPORTRANGE(""https://docs.google.com/spreadsheets/d/14Bd19lYaqBhU8_DElYkX7l4wRkHqqCUFNJY4AfY3kHU/edit?usp=sharing  #gid=0"",""фіз особи new!relations_name""),6,FALSE)
,
(IF
(
G4568=""юридична особа""
,
VLOOKUP"&amp;"(H4568,IMPORTRANGE(""https://docs.google.com/spreadsheets/d/14Bd19lYaqBhU8_DElYkX7l4wRkHqqCUFNJY4AfY3kHU/edit?usp=sharing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7" s="7" t="s">
        <v>29</v>
      </c>
    </row>
    <row r="4568" spans="1:10" ht="13.2">
      <c r="A4568" s="7">
        <v>4567</v>
      </c>
      <c r="B4568" s="7">
        <v>1</v>
      </c>
      <c r="C4568" s="7" t="s">
        <v>10</v>
      </c>
      <c r="D4568" s="7">
        <v>3139</v>
      </c>
      <c r="E4568" s="7" t="s">
        <v>28</v>
      </c>
      <c r="F4568" s="8" t="str">
        <f ca="1">IFERROR(__xludf.DUMMYFUNCTION("IF
(
C4569=""фізична особа""
,
VLOOKUP(D4569,IMPORTRANGE(""https://docs.google.com/spreadsheets/d/14Bd19lYaqBhU8_DElYkX7l4wRkHqqCUFNJY4AfY3kHU/edit?usp=sharing  #gid=0"",""фіз особи new!relations_name""),6,FALSE)
,
(IF
(
C4569=""юридична особа""
,
VLOOKUP"&amp;"(D4569,IMPORTRANGE(""https://docs.google.com/spreadsheets/d/14Bd19lYaqBhU8_DElYkX7l4wRkHqqCUFNJY4AfY3kHU/edit?usp=sharing  #gid=0"",""фіз особи new!relations_name_uo""),7,FALSE)
,
)
))"),"ШАМШИНА Ольга Геннадіївна")</f>
        <v>ШАМШИНА Ольга Геннадіївна</v>
      </c>
      <c r="G4568" s="7" t="s">
        <v>10</v>
      </c>
      <c r="H4568" s="7">
        <v>4696</v>
      </c>
      <c r="I4568" s="8" t="str">
        <f ca="1">IFERROR(__xludf.DUMMYFUNCTION("IF
(
G4569=""фізична особа""
,
VLOOKUP(H4569,IMPORTRANGE(""https://docs.google.com/spreadsheets/d/14Bd19lYaqBhU8_DElYkX7l4wRkHqqCUFNJY4AfY3kHU/edit?usp=sharing  #gid=0"",""фіз особи new!relations_name""),6,FALSE)
,
(IF
(
G4569=""юридична особа""
,
VLOOKUP"&amp;"(H4569,IMPORTRANGE(""https://docs.google.com/spreadsheets/d/14Bd19lYaqBhU8_DElYkX7l4wRkHqqCUFNJY4AfY3kHU/edit?usp=sharing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8" s="7" t="s">
        <v>29</v>
      </c>
    </row>
    <row r="4569" spans="1:10" ht="13.2">
      <c r="A4569" s="7">
        <v>4568</v>
      </c>
      <c r="B4569" s="7">
        <v>1</v>
      </c>
      <c r="C4569" s="7" t="s">
        <v>10</v>
      </c>
      <c r="D4569" s="7">
        <v>3140</v>
      </c>
      <c r="E4569" s="7" t="s">
        <v>28</v>
      </c>
      <c r="F4569" s="8" t="str">
        <f ca="1">IFERROR(__xludf.DUMMYFUNCTION("IF
(
C4570=""фізична особа""
,
VLOOKUP(D4570,IMPORTRANGE(""https://docs.google.com/spreadsheets/d/14Bd19lYaqBhU8_DElYkX7l4wRkHqqCUFNJY4AfY3kHU/edit?usp=sharing  #gid=0"",""фіз особи new!relations_name""),6,FALSE)
,
(IF
(
C4570=""юридична особа""
,
VLOOKUP"&amp;"(D4570,IMPORTRANGE(""https://docs.google.com/spreadsheets/d/14Bd19lYaqBhU8_DElYkX7l4wRkHqqCUFNJY4AfY3kHU/edit?usp=sharing  #gid=0"",""фіз особи new!relations_name_uo""),7,FALSE)
,
)
))"),"МЕРЗЛЯКОВ Максим Анатолійович")</f>
        <v>МЕРЗЛЯКОВ Максим Анатолійович</v>
      </c>
      <c r="G4569" s="7" t="s">
        <v>10</v>
      </c>
      <c r="H4569" s="7">
        <v>4696</v>
      </c>
      <c r="I4569" s="8" t="str">
        <f ca="1">IFERROR(__xludf.DUMMYFUNCTION("IF
(
G4570=""фізична особа""
,
VLOOKUP(H4570,IMPORTRANGE(""https://docs.google.com/spreadsheets/d/14Bd19lYaqBhU8_DElYkX7l4wRkHqqCUFNJY4AfY3kHU/edit?usp=sharing  #gid=0"",""фіз особи new!relations_name""),6,FALSE)
,
(IF
(
G4570=""юридична особа""
,
VLOOKUP"&amp;"(H4570,IMPORTRANGE(""https://docs.google.com/spreadsheets/d/14Bd19lYaqBhU8_DElYkX7l4wRkHqqCUFNJY4AfY3kHU/edit?usp=sharing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69" s="7" t="s">
        <v>29</v>
      </c>
    </row>
    <row r="4570" spans="1:10" ht="13.2">
      <c r="A4570" s="7">
        <v>4569</v>
      </c>
      <c r="B4570" s="7">
        <v>1</v>
      </c>
      <c r="C4570" s="7" t="s">
        <v>10</v>
      </c>
      <c r="D4570" s="7">
        <v>3141</v>
      </c>
      <c r="E4570" s="7" t="s">
        <v>28</v>
      </c>
      <c r="F4570" s="8" t="str">
        <f ca="1">IFERROR(__xludf.DUMMYFUNCTION("IF
(
C4571=""фізична особа""
,
VLOOKUP(D4571,IMPORTRANGE(""https://docs.google.com/spreadsheets/d/14Bd19lYaqBhU8_DElYkX7l4wRkHqqCUFNJY4AfY3kHU/edit?usp=sharing  #gid=0"",""фіз особи new!relations_name""),6,FALSE)
,
(IF
(
C4571=""юридична особа""
,
VLOOKUP"&amp;"(D4571,IMPORTRANGE(""https://docs.google.com/spreadsheets/d/14Bd19lYaqBhU8_DElYkX7l4wRkHqqCUFNJY4AfY3kHU/edit?usp=sharing  #gid=0"",""фіз особи new!relations_name_uo""),7,FALSE)
,
)
))"),"СМІРНОВА Олеся Євгенівна")</f>
        <v>СМІРНОВА Олеся Євгенівна</v>
      </c>
      <c r="G4570" s="7" t="s">
        <v>10</v>
      </c>
      <c r="H4570" s="7">
        <v>4696</v>
      </c>
      <c r="I4570" s="8" t="str">
        <f ca="1">IFERROR(__xludf.DUMMYFUNCTION("IF
(
G4571=""фізична особа""
,
VLOOKUP(H4571,IMPORTRANGE(""https://docs.google.com/spreadsheets/d/14Bd19lYaqBhU8_DElYkX7l4wRkHqqCUFNJY4AfY3kHU/edit?usp=sharing  #gid=0"",""фіз особи new!relations_name""),6,FALSE)
,
(IF
(
G4571=""юридична особа""
,
VLOOKUP"&amp;"(H4571,IMPORTRANGE(""https://docs.google.com/spreadsheets/d/14Bd19lYaqBhU8_DElYkX7l4wRkHqqCUFNJY4AfY3kHU/edit?usp=sharing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4570" s="7" t="s">
        <v>29</v>
      </c>
    </row>
    <row r="4571" spans="1:10" ht="13.2">
      <c r="A4571" s="7">
        <v>4570</v>
      </c>
      <c r="B4571" s="7">
        <v>1</v>
      </c>
      <c r="C4571" s="7" t="s">
        <v>10</v>
      </c>
      <c r="D4571" s="7">
        <v>3142</v>
      </c>
      <c r="E4571" s="7" t="s">
        <v>28</v>
      </c>
      <c r="F4571" s="8" t="str">
        <f ca="1">IFERROR(__xludf.DUMMYFUNCTION("IF
(
C4572=""фізична особа""
,
VLOOKUP(D4572,IMPORTRANGE(""https://docs.google.com/spreadsheets/d/14Bd19lYaqBhU8_DElYkX7l4wRkHqqCUFNJY4AfY3kHU/edit?usp=sharing  #gid=0"",""фіз особи new!relations_name""),6,FALSE)
,
(IF
(
C4572=""юридична особа""
,
VLOOKUP"&amp;"(D4572,IMPORTRANGE(""https://docs.google.com/spreadsheets/d/14Bd19lYaqBhU8_DElYkX7l4wRkHqqCUFNJY4AfY3kHU/edit?usp=sharing  #gid=0"",""фіз особи new!relations_name_uo""),7,FALSE)
,
)
))"),"АФОНІНА Марина Ігорівна")</f>
        <v>АФОНІНА Марина Ігорівна</v>
      </c>
      <c r="G4571" s="7" t="s">
        <v>10</v>
      </c>
      <c r="H4571" s="7">
        <v>199</v>
      </c>
      <c r="I4571" s="8" t="str">
        <f ca="1">IFERROR(__xludf.DUMMYFUNCTION("IF
(
G4572=""фізична особа""
,
VLOOKUP(H4572,IMPORTRANGE(""https://docs.google.com/spreadsheets/d/14Bd19lYaqBhU8_DElYkX7l4wRkHqqCUFNJY4AfY3kHU/edit?usp=sharing  #gid=0"",""фіз особи new!relations_name""),6,FALSE)
,
(IF
(
G4572=""юридична особа""
,
VLOOKUP"&amp;"(H4572,IMPORTRANGE(""https://docs.google.com/spreadsheets/d/14Bd19lYaqBhU8_DElYkX7l4wRkHqqCUFNJY4AfY3kHU/edit?usp=sharing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71" s="7" t="s">
        <v>29</v>
      </c>
    </row>
    <row r="4572" spans="1:10" ht="13.2">
      <c r="A4572" s="7">
        <v>4571</v>
      </c>
      <c r="B4572" s="7">
        <v>1</v>
      </c>
      <c r="C4572" s="7" t="s">
        <v>10</v>
      </c>
      <c r="D4572" s="7">
        <v>3143</v>
      </c>
      <c r="E4572" s="7" t="s">
        <v>28</v>
      </c>
      <c r="F4572" s="8" t="str">
        <f ca="1">IFERROR(__xludf.DUMMYFUNCTION("IF
(
C4573=""фізична особа""
,
VLOOKUP(D4573,IMPORTRANGE(""https://docs.google.com/spreadsheets/d/14Bd19lYaqBhU8_DElYkX7l4wRkHqqCUFNJY4AfY3kHU/edit?usp=sharing  #gid=0"",""фіз особи new!relations_name""),6,FALSE)
,
(IF
(
C4573=""юридична особа""
,
VLOOKUP"&amp;"(D4573,IMPORTRANGE(""https://docs.google.com/spreadsheets/d/14Bd19lYaqBhU8_DElYkX7l4wRkHqqCUFNJY4AfY3kHU/edit?usp=sharing  #gid=0"",""фіз особи new!relations_name_uo""),7,FALSE)
,
)
))"),"БІРЮКОВА Вікторія Миколаївна")</f>
        <v>БІРЮКОВА Вікторія Миколаївна</v>
      </c>
      <c r="G4572" s="7" t="s">
        <v>10</v>
      </c>
      <c r="H4572" s="7">
        <v>199</v>
      </c>
      <c r="I4572" s="8" t="str">
        <f ca="1">IFERROR(__xludf.DUMMYFUNCTION("IF
(
G4573=""фізична особа""
,
VLOOKUP(H4573,IMPORTRANGE(""https://docs.google.com/spreadsheets/d/14Bd19lYaqBhU8_DElYkX7l4wRkHqqCUFNJY4AfY3kHU/edit?usp=sharing  #gid=0"",""фіз особи new!relations_name""),6,FALSE)
,
(IF
(
G4573=""юридична особа""
,
VLOOKUP"&amp;"(H4573,IMPORTRANGE(""https://docs.google.com/spreadsheets/d/14Bd19lYaqBhU8_DElYkX7l4wRkHqqCUFNJY4AfY3kHU/edit?usp=sharing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72" s="7" t="s">
        <v>29</v>
      </c>
    </row>
    <row r="4573" spans="1:10" ht="13.2">
      <c r="A4573" s="7">
        <v>4572</v>
      </c>
      <c r="B4573" s="7">
        <v>1</v>
      </c>
      <c r="C4573" s="7" t="s">
        <v>10</v>
      </c>
      <c r="D4573" s="7">
        <v>3144</v>
      </c>
      <c r="E4573" s="7" t="s">
        <v>28</v>
      </c>
      <c r="F4573" s="8" t="str">
        <f ca="1">IFERROR(__xludf.DUMMYFUNCTION("IF
(
C4574=""фізична особа""
,
VLOOKUP(D4574,IMPORTRANGE(""https://docs.google.com/spreadsheets/d/14Bd19lYaqBhU8_DElYkX7l4wRkHqqCUFNJY4AfY3kHU/edit?usp=sharing  #gid=0"",""фіз особи new!relations_name""),6,FALSE)
,
(IF
(
C4574=""юридична особа""
,
VLOOKUP"&amp;"(D4574,IMPORTRANGE(""https://docs.google.com/spreadsheets/d/14Bd19lYaqBhU8_DElYkX7l4wRkHqqCUFNJY4AfY3kHU/edit?usp=sharing  #gid=0"",""фіз особи new!relations_name_uo""),7,FALSE)
,
)
))"),"БУТУСОВ Дмитро Володимирович")</f>
        <v>БУТУСОВ Дмитро Володимирович</v>
      </c>
      <c r="G4573" s="7" t="s">
        <v>10</v>
      </c>
      <c r="H4573" s="7">
        <v>199</v>
      </c>
      <c r="I4573" s="8" t="str">
        <f ca="1">IFERROR(__xludf.DUMMYFUNCTION("IF
(
G4574=""фізична особа""
,
VLOOKUP(H4574,IMPORTRANGE(""https://docs.google.com/spreadsheets/d/14Bd19lYaqBhU8_DElYkX7l4wRkHqqCUFNJY4AfY3kHU/edit?usp=sharing  #gid=0"",""фіз особи new!relations_name""),6,FALSE)
,
(IF
(
G4574=""юридична особа""
,
VLOOKUP"&amp;"(H4574,IMPORTRANGE(""https://docs.google.com/spreadsheets/d/14Bd19lYaqBhU8_DElYkX7l4wRkHqqCUFNJY4AfY3kHU/edit?usp=sharing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73" s="7" t="s">
        <v>29</v>
      </c>
    </row>
    <row r="4574" spans="1:10" ht="13.2">
      <c r="A4574" s="7">
        <v>4573</v>
      </c>
      <c r="B4574" s="7">
        <v>1</v>
      </c>
      <c r="C4574" s="7" t="s">
        <v>10</v>
      </c>
      <c r="D4574" s="7">
        <v>3145</v>
      </c>
      <c r="E4574" s="7" t="s">
        <v>28</v>
      </c>
      <c r="F4574" s="8" t="str">
        <f ca="1">IFERROR(__xludf.DUMMYFUNCTION("IF
(
C4575=""фізична особа""
,
VLOOKUP(D4575,IMPORTRANGE(""https://docs.google.com/spreadsheets/d/14Bd19lYaqBhU8_DElYkX7l4wRkHqqCUFNJY4AfY3kHU/edit?usp=sharing  #gid=0"",""фіз особи new!relations_name""),6,FALSE)
,
(IF
(
C4575=""юридична особа""
,
VLOOKUP"&amp;"(D4575,IMPORTRANGE(""https://docs.google.com/spreadsheets/d/14Bd19lYaqBhU8_DElYkX7l4wRkHqqCUFNJY4AfY3kHU/edit?usp=sharing  #gid=0"",""фіз особи new!relations_name_uo""),7,FALSE)
,
)
))"),"ДАЦЬКОВСЬКА Наталія Олександрівна")</f>
        <v>ДАЦЬКОВСЬКА Наталія Олександрівна</v>
      </c>
      <c r="G4574" s="7" t="s">
        <v>10</v>
      </c>
      <c r="H4574" s="7">
        <v>199</v>
      </c>
      <c r="I4574" s="8" t="str">
        <f ca="1">IFERROR(__xludf.DUMMYFUNCTION("IF
(
G4575=""фізична особа""
,
VLOOKUP(H4575,IMPORTRANGE(""https://docs.google.com/spreadsheets/d/14Bd19lYaqBhU8_DElYkX7l4wRkHqqCUFNJY4AfY3kHU/edit?usp=sharing  #gid=0"",""фіз особи new!relations_name""),6,FALSE)
,
(IF
(
G4575=""юридична особа""
,
VLOOKUP"&amp;"(H4575,IMPORTRANGE(""https://docs.google.com/spreadsheets/d/14Bd19lYaqBhU8_DElYkX7l4wRkHqqCUFNJY4AfY3kHU/edit?usp=sharing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74" s="7" t="s">
        <v>29</v>
      </c>
    </row>
    <row r="4575" spans="1:10" ht="13.2">
      <c r="A4575" s="7">
        <v>4574</v>
      </c>
      <c r="B4575" s="7">
        <v>1</v>
      </c>
      <c r="C4575" s="7" t="s">
        <v>10</v>
      </c>
      <c r="D4575" s="7">
        <v>3146</v>
      </c>
      <c r="E4575" s="7" t="s">
        <v>28</v>
      </c>
      <c r="F4575" s="8" t="str">
        <f ca="1">IFERROR(__xludf.DUMMYFUNCTION("IF
(
C4576=""фізична особа""
,
VLOOKUP(D4576,IMPORTRANGE(""https://docs.google.com/spreadsheets/d/14Bd19lYaqBhU8_DElYkX7l4wRkHqqCUFNJY4AfY3kHU/edit?usp=sharing  #gid=0"",""фіз особи new!relations_name""),6,FALSE)
,
(IF
(
C4576=""юридична особа""
,
VLOOKUP"&amp;"(D4576,IMPORTRANGE(""https://docs.google.com/spreadsheets/d/14Bd19lYaqBhU8_DElYkX7l4wRkHqqCUFNJY4AfY3kHU/edit?usp=sharing  #gid=0"",""фіз особи new!relations_name_uo""),7,FALSE)
,
)
))"),"ГУБАЙДУЛІН Олег Галінурович")</f>
        <v>ГУБАЙДУЛІН Олег Галінурович</v>
      </c>
      <c r="G4575" s="7" t="s">
        <v>10</v>
      </c>
      <c r="H4575" s="7">
        <v>860</v>
      </c>
      <c r="I4575" s="8" t="str">
        <f ca="1">IFERROR(__xludf.DUMMYFUNCTION("IF
(
G4576=""фізична особа""
,
VLOOKUP(H4576,IMPORTRANGE(""https://docs.google.com/spreadsheets/d/14Bd19lYaqBhU8_DElYkX7l4wRkHqqCUFNJY4AfY3kHU/edit?usp=sharing  #gid=0"",""фіз особи new!relations_name""),6,FALSE)
,
(IF
(
G4576=""юридична особа""
,
VLOOKUP"&amp;"(H4576,IMPORTRANGE(""https://docs.google.com/spreadsheets/d/14Bd19lYaqBhU8_DElYkX7l4wRkHqqCUFNJY4AfY3kHU/edit?usp=sharing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75" s="7" t="s">
        <v>29</v>
      </c>
    </row>
    <row r="4576" spans="1:10" ht="13.2">
      <c r="A4576" s="7">
        <v>4575</v>
      </c>
      <c r="B4576" s="7">
        <v>1</v>
      </c>
      <c r="C4576" s="7" t="s">
        <v>10</v>
      </c>
      <c r="D4576" s="7">
        <v>3147</v>
      </c>
      <c r="E4576" s="7" t="s">
        <v>28</v>
      </c>
      <c r="F4576" s="8" t="str">
        <f ca="1">IFERROR(__xludf.DUMMYFUNCTION("IF
(
C4577=""фізична особа""
,
VLOOKUP(D4577,IMPORTRANGE(""https://docs.google.com/spreadsheets/d/14Bd19lYaqBhU8_DElYkX7l4wRkHqqCUFNJY4AfY3kHU/edit?usp=sharing  #gid=0"",""фіз особи new!relations_name""),6,FALSE)
,
(IF
(
C4577=""юридична особа""
,
VLOOKUP"&amp;"(D4577,IMPORTRANGE(""https://docs.google.com/spreadsheets/d/14Bd19lYaqBhU8_DElYkX7l4wRkHqqCUFNJY4AfY3kHU/edit?usp=sharing  #gid=0"",""фіз особи new!relations_name_uo""),7,FALSE)
,
)
))"),"ШКЛОВЕЦЬ Іван Іванович")</f>
        <v>ШКЛОВЕЦЬ Іван Іванович</v>
      </c>
      <c r="G4576" s="7" t="s">
        <v>10</v>
      </c>
      <c r="H4576" s="7">
        <v>11867</v>
      </c>
      <c r="I4576" s="8" t="str">
        <f ca="1">IFERROR(__xludf.DUMMYFUNCTION("IF
(
G4577=""фізична особа""
,
VLOOKUP(H4577,IMPORTRANGE(""https://docs.google.com/spreadsheets/d/14Bd19lYaqBhU8_DElYkX7l4wRkHqqCUFNJY4AfY3kHU/edit?usp=sharing  #gid=0"",""фіз особи new!relations_name""),6,FALSE)
,
(IF
(
G4577=""юридична особа""
,
VLOOKUP"&amp;"(H4577,IMPORTRANGE(""https://docs.google.com/spreadsheets/d/14Bd19lYaqBhU8_DElYkX7l4wRkHqqCUFNJY4AfY3kHU/edit?usp=sharing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4576" s="7" t="s">
        <v>29</v>
      </c>
    </row>
    <row r="4577" spans="1:10" ht="13.2">
      <c r="A4577" s="7">
        <v>4576</v>
      </c>
      <c r="B4577" s="7">
        <v>1</v>
      </c>
      <c r="C4577" s="7" t="s">
        <v>10</v>
      </c>
      <c r="D4577" s="7">
        <v>3148</v>
      </c>
      <c r="E4577" s="7" t="s">
        <v>28</v>
      </c>
      <c r="F4577" s="8" t="str">
        <f ca="1">IFERROR(__xludf.DUMMYFUNCTION("IF
(
C4578=""фізична особа""
,
VLOOKUP(D4578,IMPORTRANGE(""https://docs.google.com/spreadsheets/d/14Bd19lYaqBhU8_DElYkX7l4wRkHqqCUFNJY4AfY3kHU/edit?usp=sharing  #gid=0"",""фіз особи new!relations_name""),6,FALSE)
,
(IF
(
C4578=""юридична особа""
,
VLOOKUP"&amp;"(D4578,IMPORTRANGE(""https://docs.google.com/spreadsheets/d/14Bd19lYaqBhU8_DElYkX7l4wRkHqqCUFNJY4AfY3kHU/edit?usp=sharing  #gid=0"",""фіз особи new!relations_name_uo""),7,FALSE)
,
)
))"),"ВАСИЛЬЄВ Денис Олександрович")</f>
        <v>ВАСИЛЬЄВ Денис Олександрович</v>
      </c>
      <c r="G4577" s="7" t="s">
        <v>10</v>
      </c>
      <c r="H4577" s="7">
        <v>11867</v>
      </c>
      <c r="I4577" s="8" t="str">
        <f ca="1">IFERROR(__xludf.DUMMYFUNCTION("IF
(
G4578=""фізична особа""
,
VLOOKUP(H4578,IMPORTRANGE(""https://docs.google.com/spreadsheets/d/14Bd19lYaqBhU8_DElYkX7l4wRkHqqCUFNJY4AfY3kHU/edit?usp=sharing  #gid=0"",""фіз особи new!relations_name""),6,FALSE)
,
(IF
(
G4578=""юридична особа""
,
VLOOKUP"&amp;"(H4578,IMPORTRANGE(""https://docs.google.com/spreadsheets/d/14Bd19lYaqBhU8_DElYkX7l4wRkHqqCUFNJY4AfY3kHU/edit?usp=sharing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4577" s="7" t="s">
        <v>29</v>
      </c>
    </row>
    <row r="4578" spans="1:10" ht="13.2">
      <c r="A4578" s="7">
        <v>4577</v>
      </c>
      <c r="B4578" s="7">
        <v>1</v>
      </c>
      <c r="C4578" s="7" t="s">
        <v>10</v>
      </c>
      <c r="D4578" s="7">
        <v>3149</v>
      </c>
      <c r="E4578" s="7" t="s">
        <v>28</v>
      </c>
      <c r="F4578" s="8" t="str">
        <f ca="1">IFERROR(__xludf.DUMMYFUNCTION("IF
(
C4579=""фізична особа""
,
VLOOKUP(D4579,IMPORTRANGE(""https://docs.google.com/spreadsheets/d/14Bd19lYaqBhU8_DElYkX7l4wRkHqqCUFNJY4AfY3kHU/edit?usp=sharing  #gid=0"",""фіз особи new!relations_name""),6,FALSE)
,
(IF
(
C4579=""юридична особа""
,
VLOOKUP"&amp;"(D4579,IMPORTRANGE(""https://docs.google.com/spreadsheets/d/14Bd19lYaqBhU8_DElYkX7l4wRkHqqCUFNJY4AfY3kHU/edit?usp=sharing  #gid=0"",""фіз особи new!relations_name_uo""),7,FALSE)
,
)
))"),"ДАВИДОВ Руслан Валентинович")</f>
        <v>ДАВИДОВ Руслан Валентинович</v>
      </c>
      <c r="G4578" s="7" t="s">
        <v>10</v>
      </c>
      <c r="H4578" s="7">
        <v>860</v>
      </c>
      <c r="I4578" s="8" t="str">
        <f ca="1">IFERROR(__xludf.DUMMYFUNCTION("IF
(
G4579=""фізична особа""
,
VLOOKUP(H4579,IMPORTRANGE(""https://docs.google.com/spreadsheets/d/14Bd19lYaqBhU8_DElYkX7l4wRkHqqCUFNJY4AfY3kHU/edit?usp=sharing  #gid=0"",""фіз особи new!relations_name""),6,FALSE)
,
(IF
(
G4579=""юридична особа""
,
VLOOKUP"&amp;"(H4579,IMPORTRANGE(""https://docs.google.com/spreadsheets/d/14Bd19lYaqBhU8_DElYkX7l4wRkHqqCUFNJY4AfY3kHU/edit?usp=sharing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78" s="7" t="s">
        <v>29</v>
      </c>
    </row>
    <row r="4579" spans="1:10" ht="13.2">
      <c r="A4579" s="7">
        <v>4578</v>
      </c>
      <c r="B4579" s="7">
        <v>1</v>
      </c>
      <c r="C4579" s="7" t="s">
        <v>10</v>
      </c>
      <c r="D4579" s="7">
        <v>3150</v>
      </c>
      <c r="E4579" s="7" t="s">
        <v>28</v>
      </c>
      <c r="F4579" s="8" t="str">
        <f ca="1">IFERROR(__xludf.DUMMYFUNCTION("IF
(
C4580=""фізична особа""
,
VLOOKUP(D4580,IMPORTRANGE(""https://docs.google.com/spreadsheets/d/14Bd19lYaqBhU8_DElYkX7l4wRkHqqCUFNJY4AfY3kHU/edit?usp=sharing  #gid=0"",""фіз особи new!relations_name""),6,FALSE)
,
(IF
(
C4580=""юридична особа""
,
VLOOKUP"&amp;"(D4580,IMPORTRANGE(""https://docs.google.com/spreadsheets/d/14Bd19lYaqBhU8_DElYkX7l4wRkHqqCUFNJY4AfY3kHU/edit?usp=sharing  #gid=0"",""фіз особи new!relations_name_uo""),7,FALSE)
,
)
))"),"ІВІН Володимир Володимирович")</f>
        <v>ІВІН Володимир Володимирович</v>
      </c>
      <c r="G4579" s="7" t="s">
        <v>10</v>
      </c>
      <c r="H4579" s="7">
        <v>860</v>
      </c>
      <c r="I4579" s="8" t="str">
        <f ca="1">IFERROR(__xludf.DUMMYFUNCTION("IF
(
G4580=""фізична особа""
,
VLOOKUP(H4580,IMPORTRANGE(""https://docs.google.com/spreadsheets/d/14Bd19lYaqBhU8_DElYkX7l4wRkHqqCUFNJY4AfY3kHU/edit?usp=sharing  #gid=0"",""фіз особи new!relations_name""),6,FALSE)
,
(IF
(
G4580=""юридична особа""
,
VLOOKUP"&amp;"(H4580,IMPORTRANGE(""https://docs.google.com/spreadsheets/d/14Bd19lYaqBhU8_DElYkX7l4wRkHqqCUFNJY4AfY3kHU/edit?usp=sharing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79" s="7" t="s">
        <v>29</v>
      </c>
    </row>
    <row r="4580" spans="1:10" ht="13.2">
      <c r="A4580" s="7">
        <v>4579</v>
      </c>
      <c r="B4580" s="7">
        <v>1</v>
      </c>
      <c r="C4580" s="7" t="s">
        <v>10</v>
      </c>
      <c r="D4580" s="7">
        <v>3151</v>
      </c>
      <c r="E4580" s="7" t="s">
        <v>28</v>
      </c>
      <c r="F4580" s="8" t="str">
        <f ca="1">IFERROR(__xludf.DUMMYFUNCTION("IF
(
C4581=""фізична особа""
,
VLOOKUP(D4581,IMPORTRANGE(""https://docs.google.com/spreadsheets/d/14Bd19lYaqBhU8_DElYkX7l4wRkHqqCUFNJY4AfY3kHU/edit?usp=sharing  #gid=0"",""фіз особи new!relations_name""),6,FALSE)
,
(IF
(
C4581=""юридична особа""
,
VLOOKUP"&amp;"(D4581,IMPORTRANGE(""https://docs.google.com/spreadsheets/d/14Bd19lYaqBhU8_DElYkX7l4wRkHqqCUFNJY4AfY3kHU/edit?usp=sharing  #gid=0"",""фіз особи new!relations_name_uo""),7,FALSE)
,
)
))"),"МОСКАЛЕЦЬ Андрій Олександрович")</f>
        <v>МОСКАЛЕЦЬ Андрій Олександрович</v>
      </c>
      <c r="G4580" s="7" t="s">
        <v>10</v>
      </c>
      <c r="H4580" s="7">
        <v>860</v>
      </c>
      <c r="I4580" s="8" t="str">
        <f ca="1">IFERROR(__xludf.DUMMYFUNCTION("IF
(
G4581=""фізична особа""
,
VLOOKUP(H4581,IMPORTRANGE(""https://docs.google.com/spreadsheets/d/14Bd19lYaqBhU8_DElYkX7l4wRkHqqCUFNJY4AfY3kHU/edit?usp=sharing  #gid=0"",""фіз особи new!relations_name""),6,FALSE)
,
(IF
(
G4581=""юридична особа""
,
VLOOKUP"&amp;"(H4581,IMPORTRANGE(""https://docs.google.com/spreadsheets/d/14Bd19lYaqBhU8_DElYkX7l4wRkHqqCUFNJY4AfY3kHU/edit?usp=sharing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80" s="7" t="s">
        <v>29</v>
      </c>
    </row>
    <row r="4581" spans="1:10" ht="13.2">
      <c r="A4581" s="7">
        <v>4580</v>
      </c>
      <c r="B4581" s="7">
        <v>1</v>
      </c>
      <c r="C4581" s="7" t="s">
        <v>10</v>
      </c>
      <c r="D4581" s="7">
        <v>3152</v>
      </c>
      <c r="E4581" s="7" t="s">
        <v>28</v>
      </c>
      <c r="F4581" s="8" t="str">
        <f ca="1">IFERROR(__xludf.DUMMYFUNCTION("IF
(
C4582=""фізична особа""
,
VLOOKUP(D4582,IMPORTRANGE(""https://docs.google.com/spreadsheets/d/14Bd19lYaqBhU8_DElYkX7l4wRkHqqCUFNJY4AfY3kHU/edit?usp=sharing  #gid=0"",""фіз особи new!relations_name""),6,FALSE)
,
(IF
(
C4582=""юридична особа""
,
VLOOKUP"&amp;"(D4582,IMPORTRANGE(""https://docs.google.com/spreadsheets/d/14Bd19lYaqBhU8_DElYkX7l4wRkHqqCUFNJY4AfY3kHU/edit?usp=sharing  #gid=0"",""фіз особи new!relations_name_uo""),7,FALSE)
,
)
))"),"СТРУКОВ Андрій Борисович")</f>
        <v>СТРУКОВ Андрій Борисович</v>
      </c>
      <c r="G4581" s="7" t="s">
        <v>10</v>
      </c>
      <c r="H4581" s="7">
        <v>860</v>
      </c>
      <c r="I4581" s="8" t="str">
        <f ca="1">IFERROR(__xludf.DUMMYFUNCTION("IF
(
G4582=""фізична особа""
,
VLOOKUP(H4582,IMPORTRANGE(""https://docs.google.com/spreadsheets/d/14Bd19lYaqBhU8_DElYkX7l4wRkHqqCUFNJY4AfY3kHU/edit?usp=sharing  #gid=0"",""фіз особи new!relations_name""),6,FALSE)
,
(IF
(
G4582=""юридична особа""
,
VLOOKUP"&amp;"(H4582,IMPORTRANGE(""https://docs.google.com/spreadsheets/d/14Bd19lYaqBhU8_DElYkX7l4wRkHqqCUFNJY4AfY3kHU/edit?usp=sharing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81" s="7" t="s">
        <v>29</v>
      </c>
    </row>
    <row r="4582" spans="1:10" ht="13.2">
      <c r="A4582" s="7">
        <v>4581</v>
      </c>
      <c r="B4582" s="7">
        <v>1</v>
      </c>
      <c r="C4582" s="7" t="s">
        <v>10</v>
      </c>
      <c r="D4582" s="7">
        <v>3153</v>
      </c>
      <c r="E4582" s="7" t="s">
        <v>28</v>
      </c>
      <c r="F4582" s="8" t="str">
        <f ca="1">IFERROR(__xludf.DUMMYFUNCTION("IF
(
C4583=""фізична особа""
,
VLOOKUP(D4583,IMPORTRANGE(""https://docs.google.com/spreadsheets/d/14Bd19lYaqBhU8_DElYkX7l4wRkHqqCUFNJY4AfY3kHU/edit?usp=sharing  #gid=0"",""фіз особи new!relations_name""),6,FALSE)
,
(IF
(
C4583=""юридична особа""
,
VLOOKUP"&amp;"(D4583,IMPORTRANGE(""https://docs.google.com/spreadsheets/d/14Bd19lYaqBhU8_DElYkX7l4wRkHqqCUFNJY4AfY3kHU/edit?usp=sharing  #gid=0"",""фіз особи new!relations_name_uo""),7,FALSE)
,
)
))"),"ТЕРЕЩЕНКО Денис Вікторович")</f>
        <v>ТЕРЕЩЕНКО Денис Вікторович</v>
      </c>
      <c r="G4582" s="7" t="s">
        <v>10</v>
      </c>
      <c r="H4582" s="7">
        <v>860</v>
      </c>
      <c r="I4582" s="8" t="str">
        <f ca="1">IFERROR(__xludf.DUMMYFUNCTION("IF
(
G4583=""фізична особа""
,
VLOOKUP(H4583,IMPORTRANGE(""https://docs.google.com/spreadsheets/d/14Bd19lYaqBhU8_DElYkX7l4wRkHqqCUFNJY4AfY3kHU/edit?usp=sharing  #gid=0"",""фіз особи new!relations_name""),6,FALSE)
,
(IF
(
G4583=""юридична особа""
,
VLOOKUP"&amp;"(H4583,IMPORTRANGE(""https://docs.google.com/spreadsheets/d/14Bd19lYaqBhU8_DElYkX7l4wRkHqqCUFNJY4AfY3kHU/edit?usp=sharing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82" s="7" t="s">
        <v>29</v>
      </c>
    </row>
    <row r="4583" spans="1:10" ht="13.2">
      <c r="A4583" s="7">
        <v>4582</v>
      </c>
      <c r="B4583" s="7">
        <v>1</v>
      </c>
      <c r="C4583" s="7" t="s">
        <v>10</v>
      </c>
      <c r="D4583" s="7">
        <v>3154</v>
      </c>
      <c r="E4583" s="7" t="s">
        <v>28</v>
      </c>
      <c r="F4583" s="8" t="str">
        <f ca="1">IFERROR(__xludf.DUMMYFUNCTION("IF
(
C4584=""фізична особа""
,
VLOOKUP(D4584,IMPORTRANGE(""https://docs.google.com/spreadsheets/d/14Bd19lYaqBhU8_DElYkX7l4wRkHqqCUFNJY4AfY3kHU/edit?usp=sharing  #gid=0"",""фіз особи new!relations_name""),6,FALSE)
,
(IF
(
C4584=""юридична особа""
,
VLOOKUP"&amp;"(D4584,IMPORTRANGE(""https://docs.google.com/spreadsheets/d/14Bd19lYaqBhU8_DElYkX7l4wRkHqqCUFNJY4AfY3kHU/edit?usp=sharing  #gid=0"",""фіз особи new!relations_name_uo""),7,FALSE)
,
)
))"),"ЯГОДКІНА Олена Володимирівна")</f>
        <v>ЯГОДКІНА Олена Володимирівна</v>
      </c>
      <c r="G4583" s="7" t="s">
        <v>10</v>
      </c>
      <c r="H4583" s="7">
        <v>860</v>
      </c>
      <c r="I4583" s="8" t="str">
        <f ca="1">IFERROR(__xludf.DUMMYFUNCTION("IF
(
G4584=""фізична особа""
,
VLOOKUP(H4584,IMPORTRANGE(""https://docs.google.com/spreadsheets/d/14Bd19lYaqBhU8_DElYkX7l4wRkHqqCUFNJY4AfY3kHU/edit?usp=sharing  #gid=0"",""фіз особи new!relations_name""),6,FALSE)
,
(IF
(
G4584=""юридична особа""
,
VLOOKUP"&amp;"(H4584,IMPORTRANGE(""https://docs.google.com/spreadsheets/d/14Bd19lYaqBhU8_DElYkX7l4wRkHqqCUFNJY4AfY3kHU/edit?usp=sharing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4583" s="7" t="s">
        <v>29</v>
      </c>
    </row>
    <row r="4584" spans="1:10" ht="13.2">
      <c r="A4584" s="7">
        <v>4583</v>
      </c>
      <c r="B4584" s="7">
        <v>1</v>
      </c>
      <c r="C4584" s="7" t="s">
        <v>10</v>
      </c>
      <c r="D4584" s="7">
        <v>3155</v>
      </c>
      <c r="E4584" s="7" t="s">
        <v>28</v>
      </c>
      <c r="F4584" s="8" t="str">
        <f ca="1">IFERROR(__xludf.DUMMYFUNCTION("IF
(
C4585=""фізична особа""
,
VLOOKUP(D4585,IMPORTRANGE(""https://docs.google.com/spreadsheets/d/14Bd19lYaqBhU8_DElYkX7l4wRkHqqCUFNJY4AfY3kHU/edit?usp=sharing  #gid=0"",""фіз особи new!relations_name""),6,FALSE)
,
(IF
(
C4585=""юридична особа""
,
VLOOKUP"&amp;"(D4585,IMPORTRANGE(""https://docs.google.com/spreadsheets/d/14Bd19lYaqBhU8_DElYkX7l4wRkHqqCUFNJY4AfY3kHU/edit?usp=sharing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G4584" s="7" t="s">
        <v>10</v>
      </c>
      <c r="H4584" s="7">
        <v>99</v>
      </c>
      <c r="I4584" s="8" t="str">
        <f ca="1">IFERROR(__xludf.DUMMYFUNCTION("IF
(
G4585=""фізична особа""
,
VLOOKUP(H4585,IMPORTRANGE(""https://docs.google.com/spreadsheets/d/14Bd19lYaqBhU8_DElYkX7l4wRkHqqCUFNJY4AfY3kHU/edit?usp=sharing  #gid=0"",""фіз особи new!relations_name""),6,FALSE)
,
(IF
(
G4585=""юридична особа""
,
VLOOKUP"&amp;"(H4585,IMPORTRANGE(""https://docs.google.com/spreadsheets/d/14Bd19lYaqBhU8_DElYkX7l4wRkHqqCUFNJY4AfY3kHU/edit?usp=sharing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584" s="7" t="s">
        <v>29</v>
      </c>
    </row>
    <row r="4585" spans="1:10" ht="13.2">
      <c r="A4585" s="7">
        <v>4584</v>
      </c>
      <c r="B4585" s="7">
        <v>1</v>
      </c>
      <c r="C4585" s="7" t="s">
        <v>10</v>
      </c>
      <c r="D4585" s="7">
        <v>3156</v>
      </c>
      <c r="E4585" s="7" t="s">
        <v>28</v>
      </c>
      <c r="F4585" s="8" t="str">
        <f ca="1">IFERROR(__xludf.DUMMYFUNCTION("IF
(
C4586=""фізична особа""
,
VLOOKUP(D4586,IMPORTRANGE(""https://docs.google.com/spreadsheets/d/14Bd19lYaqBhU8_DElYkX7l4wRkHqqCUFNJY4AfY3kHU/edit?usp=sharing  #gid=0"",""фіз особи new!relations_name""),6,FALSE)
,
(IF
(
C4586=""юридична особа""
,
VLOOKUP"&amp;"(D4586,IMPORTRANGE(""https://docs.google.com/spreadsheets/d/14Bd19lYaqBhU8_DElYkX7l4wRkHqqCUFNJY4AfY3kHU/edit?usp=sharing  #gid=0"",""фіз особи new!relations_name_uo""),7,FALSE)
,
)
))"),"СІВАЄВ Сергій Борисович")</f>
        <v>СІВАЄВ Сергій Борисович</v>
      </c>
      <c r="G4585" s="7" t="s">
        <v>10</v>
      </c>
      <c r="H4585" s="7">
        <v>325</v>
      </c>
      <c r="I4585" s="8" t="str">
        <f ca="1">IFERROR(__xludf.DUMMYFUNCTION("IF
(
G4586=""фізична особа""
,
VLOOKUP(H4586,IMPORTRANGE(""https://docs.google.com/spreadsheets/d/14Bd19lYaqBhU8_DElYkX7l4wRkHqqCUFNJY4AfY3kHU/edit?usp=sharing  #gid=0"",""фіз особи new!relations_name""),6,FALSE)
,
(IF
(
G4586=""юридична особа""
,
VLOOKUP"&amp;"(H4586,IMPORTRANGE(""https://docs.google.com/spreadsheets/d/14Bd19lYaqBhU8_DElYkX7l4wRkHqqCUFNJY4AfY3kHU/edit?usp=sharing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585" s="7" t="s">
        <v>29</v>
      </c>
    </row>
    <row r="4586" spans="1:10" ht="13.2">
      <c r="A4586" s="7">
        <v>4585</v>
      </c>
      <c r="B4586" s="7">
        <v>1</v>
      </c>
      <c r="C4586" s="7" t="s">
        <v>10</v>
      </c>
      <c r="D4586" s="7">
        <v>3157</v>
      </c>
      <c r="E4586" s="7" t="s">
        <v>28</v>
      </c>
      <c r="F4586" s="8" t="str">
        <f ca="1">IFERROR(__xludf.DUMMYFUNCTION("IF
(
C4587=""фізична особа""
,
VLOOKUP(D4587,IMPORTRANGE(""https://docs.google.com/spreadsheets/d/14Bd19lYaqBhU8_DElYkX7l4wRkHqqCUFNJY4AfY3kHU/edit?usp=sharing  #gid=0"",""фіз особи new!relations_name""),6,FALSE)
,
(IF
(
C4587=""юридична особа""
,
VLOOKUP"&amp;"(D4587,IMPORTRANGE(""https://docs.google.com/spreadsheets/d/14Bd19lYaqBhU8_DElYkX7l4wRkHqqCUFNJY4AfY3kHU/edit?usp=sharing  #gid=0"",""фіз особи new!relations_name_uo""),7,FALSE)
,
)
))"),"НІКОЛАЄВА Олена Леонідівна")</f>
        <v>НІКОЛАЄВА Олена Леонідівна</v>
      </c>
      <c r="G4586" s="7" t="s">
        <v>10</v>
      </c>
      <c r="H4586" s="7">
        <v>325</v>
      </c>
      <c r="I4586" s="8" t="str">
        <f ca="1">IFERROR(__xludf.DUMMYFUNCTION("IF
(
G4587=""фізична особа""
,
VLOOKUP(H4587,IMPORTRANGE(""https://docs.google.com/spreadsheets/d/14Bd19lYaqBhU8_DElYkX7l4wRkHqqCUFNJY4AfY3kHU/edit?usp=sharing  #gid=0"",""фіз особи new!relations_name""),6,FALSE)
,
(IF
(
G4587=""юридична особа""
,
VLOOKUP"&amp;"(H4587,IMPORTRANGE(""https://docs.google.com/spreadsheets/d/14Bd19lYaqBhU8_DElYkX7l4wRkHqqCUFNJY4AfY3kHU/edit?usp=sharing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586" s="7" t="s">
        <v>29</v>
      </c>
    </row>
    <row r="4587" spans="1:10" ht="13.2">
      <c r="A4587" s="7">
        <v>4586</v>
      </c>
      <c r="B4587" s="7">
        <v>1</v>
      </c>
      <c r="C4587" s="7" t="s">
        <v>10</v>
      </c>
      <c r="D4587" s="7">
        <v>3158</v>
      </c>
      <c r="E4587" s="7" t="s">
        <v>28</v>
      </c>
      <c r="F4587" s="8" t="str">
        <f ca="1">IFERROR(__xludf.DUMMYFUNCTION("IF
(
C4588=""фізична особа""
,
VLOOKUP(D4588,IMPORTRANGE(""https://docs.google.com/spreadsheets/d/14Bd19lYaqBhU8_DElYkX7l4wRkHqqCUFNJY4AfY3kHU/edit?usp=sharing  #gid=0"",""фіз особи new!relations_name""),6,FALSE)
,
(IF
(
C4588=""юридична особа""
,
VLOOKUP"&amp;"(D4588,IMPORTRANGE(""https://docs.google.com/spreadsheets/d/14Bd19lYaqBhU8_DElYkX7l4wRkHqqCUFNJY4AfY3kHU/edit?usp=sharing  #gid=0"",""фіз особи new!relations_name_uo""),7,FALSE)
,
)
))"),"ІНЮЦИН Антон Юрійович")</f>
        <v>ІНЮЦИН Антон Юрійович</v>
      </c>
      <c r="G4587" s="7" t="s">
        <v>10</v>
      </c>
      <c r="H4587" s="7">
        <v>325</v>
      </c>
      <c r="I4587" s="8" t="str">
        <f ca="1">IFERROR(__xludf.DUMMYFUNCTION("IF
(
G4588=""фізична особа""
,
VLOOKUP(H4588,IMPORTRANGE(""https://docs.google.com/spreadsheets/d/14Bd19lYaqBhU8_DElYkX7l4wRkHqqCUFNJY4AfY3kHU/edit?usp=sharing  #gid=0"",""фіз особи new!relations_name""),6,FALSE)
,
(IF
(
G4588=""юридична особа""
,
VLOOKUP"&amp;"(H4588,IMPORTRANGE(""https://docs.google.com/spreadsheets/d/14Bd19lYaqBhU8_DElYkX7l4wRkHqqCUFNJY4AfY3kHU/edit?usp=sharing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587" s="7" t="s">
        <v>29</v>
      </c>
    </row>
    <row r="4588" spans="1:10" ht="13.2">
      <c r="A4588" s="7">
        <v>4587</v>
      </c>
      <c r="B4588" s="7">
        <v>1</v>
      </c>
      <c r="C4588" s="7" t="s">
        <v>10</v>
      </c>
      <c r="D4588" s="7">
        <v>3159</v>
      </c>
      <c r="E4588" s="7" t="s">
        <v>28</v>
      </c>
      <c r="F4588" s="8" t="str">
        <f ca="1">IFERROR(__xludf.DUMMYFUNCTION("IF
(
C4589=""фізична особа""
,
VLOOKUP(D4589,IMPORTRANGE(""https://docs.google.com/spreadsheets/d/14Bd19lYaqBhU8_DElYkX7l4wRkHqqCUFNJY4AfY3kHU/edit?usp=sharing  #gid=0"",""фіз особи new!relations_name""),6,FALSE)
,
(IF
(
C4589=""юридична особа""
,
VLOOKUP"&amp;"(D4589,IMPORTRANGE(""https://docs.google.com/spreadsheets/d/14Bd19lYaqBhU8_DElYkX7l4wRkHqqCUFNJY4AfY3kHU/edit?usp=sharing  #gid=0"",""фіз особи new!relations_name_uo""),7,FALSE)
,
)
))"),"БОГОДИСТ Дмитро Валерійович")</f>
        <v>БОГОДИСТ Дмитро Валерійович</v>
      </c>
      <c r="G4588" s="7" t="s">
        <v>10</v>
      </c>
      <c r="H4588" s="7">
        <v>3155</v>
      </c>
      <c r="I4588" s="8" t="str">
        <f ca="1">IFERROR(__xludf.DUMMYFUNCTION("IF
(
G4589=""фізична особа""
,
VLOOKUP(H4589,IMPORTRANGE(""https://docs.google.com/spreadsheets/d/14Bd19lYaqBhU8_DElYkX7l4wRkHqqCUFNJY4AfY3kHU/edit?usp=sharing  #gid=0"",""фіз особи new!relations_name""),6,FALSE)
,
(IF
(
G4589=""юридична особа""
,
VLOOKUP"&amp;"(H4589,IMPORTRANGE(""https://docs.google.com/spreadsheets/d/14Bd19lYaqBhU8_DElYkX7l4wRkHqqCUFNJY4AfY3kHU/edit?usp=sharing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4588" s="7" t="s">
        <v>29</v>
      </c>
    </row>
    <row r="4589" spans="1:10" ht="13.2">
      <c r="A4589" s="7">
        <v>4588</v>
      </c>
      <c r="B4589" s="7">
        <v>1</v>
      </c>
      <c r="C4589" s="7" t="s">
        <v>10</v>
      </c>
      <c r="D4589" s="7">
        <v>3160</v>
      </c>
      <c r="E4589" s="7" t="s">
        <v>28</v>
      </c>
      <c r="F4589" s="8" t="str">
        <f ca="1">IFERROR(__xludf.DUMMYFUNCTION("IF
(
C4590=""фізична особа""
,
VLOOKUP(D4590,IMPORTRANGE(""https://docs.google.com/spreadsheets/d/14Bd19lYaqBhU8_DElYkX7l4wRkHqqCUFNJY4AfY3kHU/edit?usp=sharing  #gid=0"",""фіз особи new!relations_name""),6,FALSE)
,
(IF
(
C4590=""юридична особа""
,
VLOOKUP"&amp;"(D4590,IMPORTRANGE(""https://docs.google.com/spreadsheets/d/14Bd19lYaqBhU8_DElYkX7l4wRkHqqCUFNJY4AfY3kHU/edit?usp=sharing  #gid=0"",""фіз особи new!relations_name_uo""),7,FALSE)
,
)
))"),"ЗАМИШЛЯЄВ Дмитро Володимирович")</f>
        <v>ЗАМИШЛЯЄВ Дмитро Володимирович</v>
      </c>
      <c r="G4589" s="7" t="s">
        <v>10</v>
      </c>
      <c r="H4589" s="7">
        <v>3155</v>
      </c>
      <c r="I4589" s="8" t="str">
        <f ca="1">IFERROR(__xludf.DUMMYFUNCTION("IF
(
G4590=""фізична особа""
,
VLOOKUP(H4590,IMPORTRANGE(""https://docs.google.com/spreadsheets/d/14Bd19lYaqBhU8_DElYkX7l4wRkHqqCUFNJY4AfY3kHU/edit?usp=sharing  #gid=0"",""фіз особи new!relations_name""),6,FALSE)
,
(IF
(
G4590=""юридична особа""
,
VLOOKUP"&amp;"(H4590,IMPORTRANGE(""https://docs.google.com/spreadsheets/d/14Bd19lYaqBhU8_DElYkX7l4wRkHqqCUFNJY4AfY3kHU/edit?usp=sharing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4589" s="7" t="s">
        <v>29</v>
      </c>
    </row>
    <row r="4590" spans="1:10" ht="13.2">
      <c r="A4590" s="7">
        <v>4589</v>
      </c>
      <c r="B4590" s="7">
        <v>1</v>
      </c>
      <c r="C4590" s="7" t="s">
        <v>10</v>
      </c>
      <c r="D4590" s="7">
        <v>3161</v>
      </c>
      <c r="E4590" s="7" t="s">
        <v>28</v>
      </c>
      <c r="F4590" s="8" t="str">
        <f ca="1">IFERROR(__xludf.DUMMYFUNCTION("IF
(
C4591=""фізична особа""
,
VLOOKUP(D4591,IMPORTRANGE(""https://docs.google.com/spreadsheets/d/14Bd19lYaqBhU8_DElYkX7l4wRkHqqCUFNJY4AfY3kHU/edit?usp=sharing  #gid=0"",""фіз особи new!relations_name""),6,FALSE)
,
(IF
(
C4591=""юридична особа""
,
VLOOKUP"&amp;"(D4591,IMPORTRANGE(""https://docs.google.com/spreadsheets/d/14Bd19lYaqBhU8_DElYkX7l4wRkHqqCUFNJY4AfY3kHU/edit?usp=sharing  #gid=0"",""фіз особи new!relations_name_uo""),7,FALSE)
,
)
))"),"ТРОЦЕНКО Світлана Анатоліївна")</f>
        <v>ТРОЦЕНКО Світлана Анатоліївна</v>
      </c>
      <c r="G4590" s="7" t="s">
        <v>10</v>
      </c>
      <c r="H4590" s="7">
        <v>3155</v>
      </c>
      <c r="I4590" s="8" t="str">
        <f ca="1">IFERROR(__xludf.DUMMYFUNCTION("IF
(
G4591=""фізична особа""
,
VLOOKUP(H4591,IMPORTRANGE(""https://docs.google.com/spreadsheets/d/14Bd19lYaqBhU8_DElYkX7l4wRkHqqCUFNJY4AfY3kHU/edit?usp=sharing  #gid=0"",""фіз особи new!relations_name""),6,FALSE)
,
(IF
(
G4591=""юридична особа""
,
VLOOKUP"&amp;"(H4591,IMPORTRANGE(""https://docs.google.com/spreadsheets/d/14Bd19lYaqBhU8_DElYkX7l4wRkHqqCUFNJY4AfY3kHU/edit?usp=sharing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4590" s="7" t="s">
        <v>29</v>
      </c>
    </row>
    <row r="4591" spans="1:10" ht="13.2">
      <c r="A4591" s="7">
        <v>4590</v>
      </c>
      <c r="B4591" s="7">
        <v>1</v>
      </c>
      <c r="C4591" s="7" t="s">
        <v>10</v>
      </c>
      <c r="D4591" s="7">
        <v>3162</v>
      </c>
      <c r="E4591" s="7" t="s">
        <v>28</v>
      </c>
      <c r="F4591" s="8" t="str">
        <f ca="1">IFERROR(__xludf.DUMMYFUNCTION("IF
(
C4592=""фізична особа""
,
VLOOKUP(D4592,IMPORTRANGE(""https://docs.google.com/spreadsheets/d/14Bd19lYaqBhU8_DElYkX7l4wRkHqqCUFNJY4AfY3kHU/edit?usp=sharing  #gid=0"",""фіз особи new!relations_name""),6,FALSE)
,
(IF
(
C4592=""юридична особа""
,
VLOOKUP"&amp;"(D4592,IMPORTRANGE(""https://docs.google.com/spreadsheets/d/14Bd19lYaqBhU8_DElYkX7l4wRkHqqCUFNJY4AfY3kHU/edit?usp=sharing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G4591" s="7" t="s">
        <v>10</v>
      </c>
      <c r="H4591" s="7">
        <v>99</v>
      </c>
      <c r="I4591" s="8" t="str">
        <f ca="1">IFERROR(__xludf.DUMMYFUNCTION("IF
(
G4592=""фізична особа""
,
VLOOKUP(H4592,IMPORTRANGE(""https://docs.google.com/spreadsheets/d/14Bd19lYaqBhU8_DElYkX7l4wRkHqqCUFNJY4AfY3kHU/edit?usp=sharing  #gid=0"",""фіз особи new!relations_name""),6,FALSE)
,
(IF
(
G4592=""юридична особа""
,
VLOOKUP"&amp;"(H4592,IMPORTRANGE(""https://docs.google.com/spreadsheets/d/14Bd19lYaqBhU8_DElYkX7l4wRkHqqCUFNJY4AfY3kHU/edit?usp=sharing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591" s="7" t="s">
        <v>29</v>
      </c>
    </row>
    <row r="4592" spans="1:10" ht="13.2">
      <c r="A4592" s="7">
        <v>4591</v>
      </c>
      <c r="B4592" s="7">
        <v>1</v>
      </c>
      <c r="C4592" s="7" t="s">
        <v>10</v>
      </c>
      <c r="D4592" s="7">
        <v>3163</v>
      </c>
      <c r="E4592" s="7" t="s">
        <v>28</v>
      </c>
      <c r="F4592" s="8" t="str">
        <f ca="1">IFERROR(__xludf.DUMMYFUNCTION("IF
(
C4593=""фізична особа""
,
VLOOKUP(D4593,IMPORTRANGE(""https://docs.google.com/spreadsheets/d/14Bd19lYaqBhU8_DElYkX7l4wRkHqqCUFNJY4AfY3kHU/edit?usp=sharing  #gid=0"",""фіз особи new!relations_name""),6,FALSE)
,
(IF
(
C4593=""юридична особа""
,
VLOOKUP"&amp;"(D4593,IMPORTRANGE(""https://docs.google.com/spreadsheets/d/14Bd19lYaqBhU8_DElYkX7l4wRkHqqCUFNJY4AfY3kHU/edit?usp=sharing  #gid=0"",""фіз особи new!relations_name_uo""),7,FALSE)
,
)
))"),"АФАНАСЕНКО Олена Григорівна")</f>
        <v>АФАНАСЕНКО Олена Григорівна</v>
      </c>
      <c r="G4592" s="7" t="s">
        <v>10</v>
      </c>
      <c r="H4592" s="7">
        <v>3162</v>
      </c>
      <c r="I4592" s="8" t="str">
        <f ca="1">IFERROR(__xludf.DUMMYFUNCTION("IF
(
G4593=""фізична особа""
,
VLOOKUP(H4593,IMPORTRANGE(""https://docs.google.com/spreadsheets/d/14Bd19lYaqBhU8_DElYkX7l4wRkHqqCUFNJY4AfY3kHU/edit?usp=sharing  #gid=0"",""фіз особи new!relations_name""),6,FALSE)
,
(IF
(
G4593=""юридична особа""
,
VLOOKUP"&amp;"(H4593,IMPORTRANGE(""https://docs.google.com/spreadsheets/d/14Bd19lYaqBhU8_DElYkX7l4wRkHqqCUFNJY4AfY3kHU/edit?usp=sharing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4592" s="7" t="s">
        <v>29</v>
      </c>
    </row>
    <row r="4593" spans="1:10" ht="13.2">
      <c r="A4593" s="7">
        <v>4592</v>
      </c>
      <c r="B4593" s="7">
        <v>1</v>
      </c>
      <c r="C4593" s="7" t="s">
        <v>10</v>
      </c>
      <c r="D4593" s="7">
        <v>3164</v>
      </c>
      <c r="E4593" s="7" t="s">
        <v>28</v>
      </c>
      <c r="F4593" s="8" t="str">
        <f ca="1">IFERROR(__xludf.DUMMYFUNCTION("IF
(
C4594=""фізична особа""
,
VLOOKUP(D4594,IMPORTRANGE(""https://docs.google.com/spreadsheets/d/14Bd19lYaqBhU8_DElYkX7l4wRkHqqCUFNJY4AfY3kHU/edit?usp=sharing  #gid=0"",""фіз особи new!relations_name""),6,FALSE)
,
(IF
(
C4594=""юридична особа""
,
VLOOKUP"&amp;"(D4594,IMPORTRANGE(""https://docs.google.com/spreadsheets/d/14Bd19lYaqBhU8_DElYkX7l4wRkHqqCUFNJY4AfY3kHU/edit?usp=sharing  #gid=0"",""фіз особи new!relations_name_uo""),7,FALSE)
,
)
))"),"ВАСИЛЬЧЕНКО Юрій Леонтійович")</f>
        <v>ВАСИЛЬЧЕНКО Юрій Леонтійович</v>
      </c>
      <c r="G4593" s="7" t="s">
        <v>10</v>
      </c>
      <c r="H4593" s="7">
        <v>3162</v>
      </c>
      <c r="I4593" s="8" t="str">
        <f ca="1">IFERROR(__xludf.DUMMYFUNCTION("IF
(
G4594=""фізична особа""
,
VLOOKUP(H4594,IMPORTRANGE(""https://docs.google.com/spreadsheets/d/14Bd19lYaqBhU8_DElYkX7l4wRkHqqCUFNJY4AfY3kHU/edit?usp=sharing  #gid=0"",""фіз особи new!relations_name""),6,FALSE)
,
(IF
(
G4594=""юридична особа""
,
VLOOKUP"&amp;"(H4594,IMPORTRANGE(""https://docs.google.com/spreadsheets/d/14Bd19lYaqBhU8_DElYkX7l4wRkHqqCUFNJY4AfY3kHU/edit?usp=sharing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4593" s="7" t="s">
        <v>29</v>
      </c>
    </row>
    <row r="4594" spans="1:10" ht="13.2">
      <c r="A4594" s="7">
        <v>4593</v>
      </c>
      <c r="B4594" s="7">
        <v>1</v>
      </c>
      <c r="C4594" s="7" t="s">
        <v>10</v>
      </c>
      <c r="D4594" s="7">
        <v>3165</v>
      </c>
      <c r="E4594" s="7" t="s">
        <v>28</v>
      </c>
      <c r="F4594" s="8" t="str">
        <f ca="1">IFERROR(__xludf.DUMMYFUNCTION("IF
(
C4595=""фізична особа""
,
VLOOKUP(D4595,IMPORTRANGE(""https://docs.google.com/spreadsheets/d/14Bd19lYaqBhU8_DElYkX7l4wRkHqqCUFNJY4AfY3kHU/edit?usp=sharing  #gid=0"",""фіз особи new!relations_name""),6,FALSE)
,
(IF
(
C4595=""юридична особа""
,
VLOOKUP"&amp;"(D4595,IMPORTRANGE(""https://docs.google.com/spreadsheets/d/14Bd19lYaqBhU8_DElYkX7l4wRkHqqCUFNJY4AfY3kHU/edit?usp=sharing  #gid=0"",""фіз особи new!relations_name_uo""),7,FALSE)
,
)
))"),"ГУЛЯЄВ Денис Рафісович")</f>
        <v>ГУЛЯЄВ Денис Рафісович</v>
      </c>
      <c r="G4594" s="7" t="s">
        <v>10</v>
      </c>
      <c r="H4594" s="7">
        <v>3162</v>
      </c>
      <c r="I4594" s="8" t="str">
        <f ca="1">IFERROR(__xludf.DUMMYFUNCTION("IF
(
G4595=""фізична особа""
,
VLOOKUP(H4595,IMPORTRANGE(""https://docs.google.com/spreadsheets/d/14Bd19lYaqBhU8_DElYkX7l4wRkHqqCUFNJY4AfY3kHU/edit?usp=sharing  #gid=0"",""фіз особи new!relations_name""),6,FALSE)
,
(IF
(
G4595=""юридична особа""
,
VLOOKUP"&amp;"(H4595,IMPORTRANGE(""https://docs.google.com/spreadsheets/d/14Bd19lYaqBhU8_DElYkX7l4wRkHqqCUFNJY4AfY3kHU/edit?usp=sharing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4594" s="7" t="s">
        <v>29</v>
      </c>
    </row>
    <row r="4595" spans="1:10" ht="13.2">
      <c r="A4595" s="7">
        <v>4594</v>
      </c>
      <c r="B4595" s="7">
        <v>1</v>
      </c>
      <c r="C4595" s="7" t="s">
        <v>10</v>
      </c>
      <c r="D4595" s="7">
        <v>3166</v>
      </c>
      <c r="E4595" s="7" t="s">
        <v>28</v>
      </c>
      <c r="F4595" s="8" t="str">
        <f ca="1">IFERROR(__xludf.DUMMYFUNCTION("IF
(
C4596=""фізична особа""
,
VLOOKUP(D4596,IMPORTRANGE(""https://docs.google.com/spreadsheets/d/14Bd19lYaqBhU8_DElYkX7l4wRkHqqCUFNJY4AfY3kHU/edit?usp=sharing  #gid=0"",""фіз особи new!relations_name""),6,FALSE)
,
(IF
(
C4596=""юридична особа""
,
VLOOKUP"&amp;"(D4596,IMPORTRANGE(""https://docs.google.com/spreadsheets/d/14Bd19lYaqBhU8_DElYkX7l4wRkHqqCUFNJY4AfY3kHU/edit?usp=sharing  #gid=0"",""фіз особи new!relations_name_uo""),7,FALSE)
,
)
))"),"КРУЖАЛІН Олексій Юрійович")</f>
        <v>КРУЖАЛІН Олексій Юрійович</v>
      </c>
      <c r="G4595" s="7" t="s">
        <v>10</v>
      </c>
      <c r="H4595" s="7">
        <v>3162</v>
      </c>
      <c r="I4595" s="8" t="str">
        <f ca="1">IFERROR(__xludf.DUMMYFUNCTION("IF
(
G4596=""фізична особа""
,
VLOOKUP(H4596,IMPORTRANGE(""https://docs.google.com/spreadsheets/d/14Bd19lYaqBhU8_DElYkX7l4wRkHqqCUFNJY4AfY3kHU/edit?usp=sharing  #gid=0"",""фіз особи new!relations_name""),6,FALSE)
,
(IF
(
G4596=""юридична особа""
,
VLOOKUP"&amp;"(H4596,IMPORTRANGE(""https://docs.google.com/spreadsheets/d/14Bd19lYaqBhU8_DElYkX7l4wRkHqqCUFNJY4AfY3kHU/edit?usp=sharing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4595" s="7" t="s">
        <v>29</v>
      </c>
    </row>
    <row r="4596" spans="1:10" ht="13.2">
      <c r="A4596" s="7">
        <v>4595</v>
      </c>
      <c r="B4596" s="7">
        <v>1</v>
      </c>
      <c r="C4596" s="7" t="s">
        <v>10</v>
      </c>
      <c r="D4596" s="7">
        <v>3167</v>
      </c>
      <c r="E4596" s="7" t="s">
        <v>28</v>
      </c>
      <c r="F4596" s="8" t="str">
        <f ca="1">IFERROR(__xludf.DUMMYFUNCTION("IF
(
C4597=""фізична особа""
,
VLOOKUP(D4597,IMPORTRANGE(""https://docs.google.com/spreadsheets/d/14Bd19lYaqBhU8_DElYkX7l4wRkHqqCUFNJY4AfY3kHU/edit?usp=sharing  #gid=0"",""фіз особи new!relations_name""),6,FALSE)
,
(IF
(
C4597=""юридична особа""
,
VLOOKUP"&amp;"(D4597,IMPORTRANGE(""https://docs.google.com/spreadsheets/d/14Bd19lYaqBhU8_DElYkX7l4wRkHqqCUFNJY4AfY3kHU/edit?usp=sharing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G4596" s="7" t="s">
        <v>10</v>
      </c>
      <c r="H4596" s="7">
        <v>99</v>
      </c>
      <c r="I4596" s="8" t="str">
        <f ca="1">IFERROR(__xludf.DUMMYFUNCTION("IF
(
G4597=""фізична особа""
,
VLOOKUP(H4597,IMPORTRANGE(""https://docs.google.com/spreadsheets/d/14Bd19lYaqBhU8_DElYkX7l4wRkHqqCUFNJY4AfY3kHU/edit?usp=sharing  #gid=0"",""фіз особи new!relations_name""),6,FALSE)
,
(IF
(
G4597=""юридична особа""
,
VLOOKUP"&amp;"(H4597,IMPORTRANGE(""https://docs.google.com/spreadsheets/d/14Bd19lYaqBhU8_DElYkX7l4wRkHqqCUFNJY4AfY3kHU/edit?usp=sharing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596" s="7" t="s">
        <v>29</v>
      </c>
    </row>
    <row r="4597" spans="1:10" ht="13.2">
      <c r="A4597" s="7">
        <v>4596</v>
      </c>
      <c r="B4597" s="7">
        <v>1</v>
      </c>
      <c r="C4597" s="7" t="s">
        <v>10</v>
      </c>
      <c r="D4597" s="7">
        <v>3168</v>
      </c>
      <c r="E4597" s="7" t="s">
        <v>28</v>
      </c>
      <c r="F4597" s="8" t="str">
        <f ca="1">IFERROR(__xludf.DUMMYFUNCTION("IF
(
C4598=""фізична особа""
,
VLOOKUP(D4598,IMPORTRANGE(""https://docs.google.com/spreadsheets/d/14Bd19lYaqBhU8_DElYkX7l4wRkHqqCUFNJY4AfY3kHU/edit?usp=sharing  #gid=0"",""фіз особи new!relations_name""),6,FALSE)
,
(IF
(
C4598=""юридична особа""
,
VLOOKUP"&amp;"(D4598,IMPORTRANGE(""https://docs.google.com/spreadsheets/d/14Bd19lYaqBhU8_DElYkX7l4wRkHqqCUFNJY4AfY3kHU/edit?usp=sharing  #gid=0"",""фіз особи new!relations_name_uo""),7,FALSE)
,
)
))"),"ЗЕЛЕНЬОВА Олена Іванівна")</f>
        <v>ЗЕЛЕНЬОВА Олена Іванівна</v>
      </c>
      <c r="G4597" s="7" t="s">
        <v>10</v>
      </c>
      <c r="H4597" s="7">
        <v>199</v>
      </c>
      <c r="I4597" s="8" t="str">
        <f ca="1">IFERROR(__xludf.DUMMYFUNCTION("IF
(
G4598=""фізична особа""
,
VLOOKUP(H4598,IMPORTRANGE(""https://docs.google.com/spreadsheets/d/14Bd19lYaqBhU8_DElYkX7l4wRkHqqCUFNJY4AfY3kHU/edit?usp=sharing  #gid=0"",""фіз особи new!relations_name""),6,FALSE)
,
(IF
(
G4598=""юридична особа""
,
VLOOKUP"&amp;"(H4598,IMPORTRANGE(""https://docs.google.com/spreadsheets/d/14Bd19lYaqBhU8_DElYkX7l4wRkHqqCUFNJY4AfY3kHU/edit?usp=sharing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97" s="7" t="s">
        <v>29</v>
      </c>
    </row>
    <row r="4598" spans="1:10" ht="13.2">
      <c r="A4598" s="7">
        <v>4597</v>
      </c>
      <c r="B4598" s="7">
        <v>1</v>
      </c>
      <c r="C4598" s="7" t="s">
        <v>10</v>
      </c>
      <c r="D4598" s="7">
        <v>3169</v>
      </c>
      <c r="E4598" s="7" t="s">
        <v>28</v>
      </c>
      <c r="F4598" s="8" t="str">
        <f ca="1">IFERROR(__xludf.DUMMYFUNCTION("IF
(
C4599=""фізична особа""
,
VLOOKUP(D4599,IMPORTRANGE(""https://docs.google.com/spreadsheets/d/14Bd19lYaqBhU8_DElYkX7l4wRkHqqCUFNJY4AfY3kHU/edit?usp=sharing  #gid=0"",""фіз особи new!relations_name""),6,FALSE)
,
(IF
(
C4599=""юридична особа""
,
VLOOKUP"&amp;"(D4599,IMPORTRANGE(""https://docs.google.com/spreadsheets/d/14Bd19lYaqBhU8_DElYkX7l4wRkHqqCUFNJY4AfY3kHU/edit?usp=sharing  #gid=0"",""фіз особи new!relations_name_uo""),7,FALSE)
,
)
))"),"ІВАНОВА Ніна Олександрівна")</f>
        <v>ІВАНОВА Ніна Олександрівна</v>
      </c>
      <c r="G4598" s="7" t="s">
        <v>10</v>
      </c>
      <c r="H4598" s="7">
        <v>199</v>
      </c>
      <c r="I4598" s="8" t="str">
        <f ca="1">IFERROR(__xludf.DUMMYFUNCTION("IF
(
G4599=""фізична особа""
,
VLOOKUP(H4599,IMPORTRANGE(""https://docs.google.com/spreadsheets/d/14Bd19lYaqBhU8_DElYkX7l4wRkHqqCUFNJY4AfY3kHU/edit?usp=sharing  #gid=0"",""фіз особи new!relations_name""),6,FALSE)
,
(IF
(
G4599=""юридична особа""
,
VLOOKUP"&amp;"(H4599,IMPORTRANGE(""https://docs.google.com/spreadsheets/d/14Bd19lYaqBhU8_DElYkX7l4wRkHqqCUFNJY4AfY3kHU/edit?usp=sharing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98" s="7" t="s">
        <v>29</v>
      </c>
    </row>
    <row r="4599" spans="1:10" ht="13.2">
      <c r="A4599" s="7">
        <v>4598</v>
      </c>
      <c r="B4599" s="7">
        <v>1</v>
      </c>
      <c r="C4599" s="7" t="s">
        <v>10</v>
      </c>
      <c r="D4599" s="7">
        <v>3170</v>
      </c>
      <c r="E4599" s="7" t="s">
        <v>28</v>
      </c>
      <c r="F4599" s="8" t="str">
        <f ca="1">IFERROR(__xludf.DUMMYFUNCTION("IF
(
C4600=""фізична особа""
,
VLOOKUP(D4600,IMPORTRANGE(""https://docs.google.com/spreadsheets/d/14Bd19lYaqBhU8_DElYkX7l4wRkHqqCUFNJY4AfY3kHU/edit?usp=sharing  #gid=0"",""фіз особи new!relations_name""),6,FALSE)
,
(IF
(
C4600=""юридична особа""
,
VLOOKUP"&amp;"(D4600,IMPORTRANGE(""https://docs.google.com/spreadsheets/d/14Bd19lYaqBhU8_DElYkX7l4wRkHqqCUFNJY4AfY3kHU/edit?usp=sharing  #gid=0"",""фіз особи new!relations_name_uo""),7,FALSE)
,
)
))"),"МАРКОВИЧ Максим Валерійович")</f>
        <v>МАРКОВИЧ Максим Валерійович</v>
      </c>
      <c r="G4599" s="7" t="s">
        <v>10</v>
      </c>
      <c r="H4599" s="7">
        <v>199</v>
      </c>
      <c r="I4599" s="8" t="str">
        <f ca="1">IFERROR(__xludf.DUMMYFUNCTION("IF
(
G4600=""фізична особа""
,
VLOOKUP(H4600,IMPORTRANGE(""https://docs.google.com/spreadsheets/d/14Bd19lYaqBhU8_DElYkX7l4wRkHqqCUFNJY4AfY3kHU/edit?usp=sharing  #gid=0"",""фіз особи new!relations_name""),6,FALSE)
,
(IF
(
G4600=""юридична особа""
,
VLOOKUP"&amp;"(H4600,IMPORTRANGE(""https://docs.google.com/spreadsheets/d/14Bd19lYaqBhU8_DElYkX7l4wRkHqqCUFNJY4AfY3kHU/edit?usp=sharing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599" s="7" t="s">
        <v>29</v>
      </c>
    </row>
    <row r="4600" spans="1:10" ht="13.2">
      <c r="A4600" s="7">
        <v>4599</v>
      </c>
      <c r="B4600" s="7">
        <v>1</v>
      </c>
      <c r="C4600" s="7" t="s">
        <v>10</v>
      </c>
      <c r="D4600" s="7">
        <v>3171</v>
      </c>
      <c r="E4600" s="7" t="s">
        <v>28</v>
      </c>
      <c r="F4600" s="8" t="str">
        <f ca="1">IFERROR(__xludf.DUMMYFUNCTION("IF
(
C4601=""фізична особа""
,
VLOOKUP(D4601,IMPORTRANGE(""https://docs.google.com/spreadsheets/d/14Bd19lYaqBhU8_DElYkX7l4wRkHqqCUFNJY4AfY3kHU/edit?usp=sharing  #gid=0"",""фіз особи new!relations_name""),6,FALSE)
,
(IF
(
C4601=""юридична особа""
,
VLOOKUP"&amp;"(D4601,IMPORTRANGE(""https://docs.google.com/spreadsheets/d/14Bd19lYaqBhU8_DElYkX7l4wRkHqqCUFNJY4AfY3kHU/edit?usp=sharing  #gid=0"",""фіз особи new!relations_name_uo""),7,FALSE)
,
)
))"),"НЕКРАСОВ Роман Володимирович")</f>
        <v>НЕКРАСОВ Роман Володимирович</v>
      </c>
      <c r="G4600" s="7" t="s">
        <v>10</v>
      </c>
      <c r="H4600" s="7">
        <v>199</v>
      </c>
      <c r="I4600" s="8" t="str">
        <f ca="1">IFERROR(__xludf.DUMMYFUNCTION("IF
(
G4601=""фізична особа""
,
VLOOKUP(H4601,IMPORTRANGE(""https://docs.google.com/spreadsheets/d/14Bd19lYaqBhU8_DElYkX7l4wRkHqqCUFNJY4AfY3kHU/edit?usp=sharing  #gid=0"",""фіз особи new!relations_name""),6,FALSE)
,
(IF
(
G4601=""юридична особа""
,
VLOOKUP"&amp;"(H4601,IMPORTRANGE(""https://docs.google.com/spreadsheets/d/14Bd19lYaqBhU8_DElYkX7l4wRkHqqCUFNJY4AfY3kHU/edit?usp=sharing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00" s="7" t="s">
        <v>29</v>
      </c>
    </row>
    <row r="4601" spans="1:10" ht="13.2">
      <c r="A4601" s="7">
        <v>4600</v>
      </c>
      <c r="B4601" s="7">
        <v>1</v>
      </c>
      <c r="C4601" s="7" t="s">
        <v>10</v>
      </c>
      <c r="D4601" s="7">
        <v>3172</v>
      </c>
      <c r="E4601" s="7" t="s">
        <v>28</v>
      </c>
      <c r="F4601" s="8" t="str">
        <f ca="1">IFERROR(__xludf.DUMMYFUNCTION("IF
(
C4602=""фізична особа""
,
VLOOKUP(D4602,IMPORTRANGE(""https://docs.google.com/spreadsheets/d/14Bd19lYaqBhU8_DElYkX7l4wRkHqqCUFNJY4AfY3kHU/edit?usp=sharing  #gid=0"",""фіз особи new!relations_name""),6,FALSE)
,
(IF
(
C4602=""юридична особа""
,
VLOOKUP"&amp;"(D4602,IMPORTRANGE(""https://docs.google.com/spreadsheets/d/14Bd19lYaqBhU8_DElYkX7l4wRkHqqCUFNJY4AfY3kHU/edit?usp=sharing  #gid=0"",""фіз особи new!relations_name_uo""),7,FALSE)
,
)
))"),"НОВІКОВА Марія Вікторівна")</f>
        <v>НОВІКОВА Марія Вікторівна</v>
      </c>
      <c r="G4601" s="7" t="s">
        <v>10</v>
      </c>
      <c r="H4601" s="7">
        <v>199</v>
      </c>
      <c r="I4601" s="8" t="str">
        <f ca="1">IFERROR(__xludf.DUMMYFUNCTION("IF
(
G4602=""фізична особа""
,
VLOOKUP(H4602,IMPORTRANGE(""https://docs.google.com/spreadsheets/d/14Bd19lYaqBhU8_DElYkX7l4wRkHqqCUFNJY4AfY3kHU/edit?usp=sharing  #gid=0"",""фіз особи new!relations_name""),6,FALSE)
,
(IF
(
G4602=""юридична особа""
,
VLOOKUP"&amp;"(H4602,IMPORTRANGE(""https://docs.google.com/spreadsheets/d/14Bd19lYaqBhU8_DElYkX7l4wRkHqqCUFNJY4AfY3kHU/edit?usp=sharing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01" s="7" t="s">
        <v>29</v>
      </c>
    </row>
    <row r="4602" spans="1:10" ht="13.2">
      <c r="A4602" s="7">
        <v>4601</v>
      </c>
      <c r="B4602" s="7">
        <v>1</v>
      </c>
      <c r="C4602" s="7" t="s">
        <v>10</v>
      </c>
      <c r="D4602" s="7">
        <v>3173</v>
      </c>
      <c r="E4602" s="7" t="s">
        <v>28</v>
      </c>
      <c r="F4602" s="8" t="str">
        <f ca="1">IFERROR(__xludf.DUMMYFUNCTION("IF
(
C4603=""фізична особа""
,
VLOOKUP(D4603,IMPORTRANGE(""https://docs.google.com/spreadsheets/d/14Bd19lYaqBhU8_DElYkX7l4wRkHqqCUFNJY4AfY3kHU/edit?usp=sharing  #gid=0"",""фіз особи new!relations_name""),6,FALSE)
,
(IF
(
C4603=""юридична особа""
,
VLOOKUP"&amp;"(D4603,IMPORTRANGE(""https://docs.google.com/spreadsheets/d/14Bd19lYaqBhU8_DElYkX7l4wRkHqqCUFNJY4AfY3kHU/edit?usp=sharing  #gid=0"",""фіз особи new!relations_name_uo""),7,FALSE)
,
)
))"),"БУЛАЄВ Микола Іванович")</f>
        <v>БУЛАЄВ Микола Іванович</v>
      </c>
      <c r="G4602" s="7" t="s">
        <v>10</v>
      </c>
      <c r="H4602" s="7">
        <v>234</v>
      </c>
      <c r="I4602" s="8" t="str">
        <f ca="1">IFERROR(__xludf.DUMMYFUNCTION("IF
(
G4603=""фізична особа""
,
VLOOKUP(H4603,IMPORTRANGE(""https://docs.google.com/spreadsheets/d/14Bd19lYaqBhU8_DElYkX7l4wRkHqqCUFNJY4AfY3kHU/edit?usp=sharing  #gid=0"",""фіз особи new!relations_name""),6,FALSE)
,
(IF
(
G4603=""юридична особа""
,
VLOOKUP"&amp;"(H4603,IMPORTRANGE(""https://docs.google.com/spreadsheets/d/14Bd19lYaqBhU8_DElYkX7l4wRkHqqCUFNJY4AfY3kHU/edit?usp=sharing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2" s="7" t="s">
        <v>29</v>
      </c>
    </row>
    <row r="4603" spans="1:10" ht="13.2">
      <c r="A4603" s="7">
        <v>4602</v>
      </c>
      <c r="B4603" s="7">
        <v>1</v>
      </c>
      <c r="C4603" s="7" t="s">
        <v>10</v>
      </c>
      <c r="D4603" s="7">
        <v>3174</v>
      </c>
      <c r="E4603" s="7" t="s">
        <v>28</v>
      </c>
      <c r="F4603" s="8" t="str">
        <f ca="1">IFERROR(__xludf.DUMMYFUNCTION("IF
(
C4604=""фізична особа""
,
VLOOKUP(D4604,IMPORTRANGE(""https://docs.google.com/spreadsheets/d/14Bd19lYaqBhU8_DElYkX7l4wRkHqqCUFNJY4AfY3kHU/edit?usp=sharing  #gid=0"",""фіз особи new!relations_name""),6,FALSE)
,
(IF
(
C4604=""юридична особа""
,
VLOOKUP"&amp;"(D4604,IMPORTRANGE(""https://docs.google.com/spreadsheets/d/14Bd19lYaqBhU8_DElYkX7l4wRkHqqCUFNJY4AfY3kHU/edit?usp=sharing  #gid=0"",""фіз особи new!relations_name_uo""),7,FALSE)
,
)
))"),"БУДАРІНА Наталія Олексіївна")</f>
        <v>БУДАРІНА Наталія Олексіївна</v>
      </c>
      <c r="G4603" s="7" t="s">
        <v>10</v>
      </c>
      <c r="H4603" s="7">
        <v>234</v>
      </c>
      <c r="I4603" s="8" t="str">
        <f ca="1">IFERROR(__xludf.DUMMYFUNCTION("IF
(
G4604=""фізична особа""
,
VLOOKUP(H4604,IMPORTRANGE(""https://docs.google.com/spreadsheets/d/14Bd19lYaqBhU8_DElYkX7l4wRkHqqCUFNJY4AfY3kHU/edit?usp=sharing  #gid=0"",""фіз особи new!relations_name""),6,FALSE)
,
(IF
(
G4604=""юридична особа""
,
VLOOKUP"&amp;"(H4604,IMPORTRANGE(""https://docs.google.com/spreadsheets/d/14Bd19lYaqBhU8_DElYkX7l4wRkHqqCUFNJY4AfY3kHU/edit?usp=sharing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3" s="7" t="s">
        <v>29</v>
      </c>
    </row>
    <row r="4604" spans="1:10" ht="13.2">
      <c r="A4604" s="7">
        <v>4603</v>
      </c>
      <c r="B4604" s="7">
        <v>1</v>
      </c>
      <c r="C4604" s="7" t="s">
        <v>10</v>
      </c>
      <c r="D4604" s="7">
        <v>3175</v>
      </c>
      <c r="E4604" s="7" t="s">
        <v>28</v>
      </c>
      <c r="F4604" s="8" t="str">
        <f ca="1">IFERROR(__xludf.DUMMYFUNCTION("IF
(
C4605=""фізична особа""
,
VLOOKUP(D4605,IMPORTRANGE(""https://docs.google.com/spreadsheets/d/14Bd19lYaqBhU8_DElYkX7l4wRkHqqCUFNJY4AfY3kHU/edit?usp=sharing  #gid=0"",""фіз особи new!relations_name""),6,FALSE)
,
(IF
(
C4605=""юридична особа""
,
VLOOKUP"&amp;"(D4605,IMPORTRANGE(""https://docs.google.com/spreadsheets/d/14Bd19lYaqBhU8_DElYkX7l4wRkHqqCUFNJY4AfY3kHU/edit?usp=sharing  #gid=0"",""фіз особи new!relations_name_uo""),7,FALSE)
,
)
))"),"АНДРЄЄВ Павло Вікторович")</f>
        <v>АНДРЄЄВ Павло Вікторович</v>
      </c>
      <c r="G4604" s="7" t="s">
        <v>10</v>
      </c>
      <c r="H4604" s="7">
        <v>234</v>
      </c>
      <c r="I4604" s="8" t="str">
        <f ca="1">IFERROR(__xludf.DUMMYFUNCTION("IF
(
G4605=""фізична особа""
,
VLOOKUP(H4605,IMPORTRANGE(""https://docs.google.com/spreadsheets/d/14Bd19lYaqBhU8_DElYkX7l4wRkHqqCUFNJY4AfY3kHU/edit?usp=sharing  #gid=0"",""фіз особи new!relations_name""),6,FALSE)
,
(IF
(
G4605=""юридична особа""
,
VLOOKUP"&amp;"(H4605,IMPORTRANGE(""https://docs.google.com/spreadsheets/d/14Bd19lYaqBhU8_DElYkX7l4wRkHqqCUFNJY4AfY3kHU/edit?usp=sharing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4" s="7" t="s">
        <v>29</v>
      </c>
    </row>
    <row r="4605" spans="1:10" ht="13.2">
      <c r="A4605" s="7">
        <v>4604</v>
      </c>
      <c r="B4605" s="7">
        <v>1</v>
      </c>
      <c r="C4605" s="7" t="s">
        <v>10</v>
      </c>
      <c r="D4605" s="7">
        <v>3175</v>
      </c>
      <c r="E4605" s="7" t="s">
        <v>26</v>
      </c>
      <c r="F4605" s="8" t="str">
        <f ca="1">IFERROR(__xludf.DUMMYFUNCTION("IF
(
C4606=""фізична особа""
,
VLOOKUP(D4606,IMPORTRANGE(""https://docs.google.com/spreadsheets/d/14Bd19lYaqBhU8_DElYkX7l4wRkHqqCUFNJY4AfY3kHU/edit?usp=sharing  #gid=0"",""фіз особи new!relations_name""),6,FALSE)
,
(IF
(
C4606=""юридична особа""
,
VLOOKUP"&amp;"(D4606,IMPORTRANGE(""https://docs.google.com/spreadsheets/d/14Bd19lYaqBhU8_DElYkX7l4wRkHqqCUFNJY4AfY3kHU/edit?usp=sharing  #gid=0"",""фіз особи new!relations_name_uo""),7,FALSE)
,
)
))"),"АНДРЄЄВ Павло Вікторович")</f>
        <v>АНДРЄЄВ Павло Вікторович</v>
      </c>
      <c r="G4605" s="7" t="s">
        <v>10</v>
      </c>
      <c r="H4605" s="7">
        <v>268</v>
      </c>
      <c r="I4605" s="8" t="str">
        <f ca="1">IFERROR(__xludf.DUMMYFUNCTION("IF
(
G4606=""фізична особа""
,
VLOOKUP(H4606,IMPORTRANGE(""https://docs.google.com/spreadsheets/d/14Bd19lYaqBhU8_DElYkX7l4wRkHqqCUFNJY4AfY3kHU/edit?usp=sharing  #gid=0"",""фіз особи new!relations_name""),6,FALSE)
,
(IF
(
G4606=""юридична особа""
,
VLOOKUP"&amp;"(H4606,IMPORTRANGE(""https://docs.google.com/spreadsheets/d/14Bd19lYaqBhU8_DElYkX7l4wRkHqqCUFNJY4AfY3kHU/edit?usp=sharing  #gid=0"",""фіз особи new!relations_name_uo""),7,FALSE)
,
)
))"),"ПУШКОВ Олексій Костянтинович")</f>
        <v>ПУШКОВ Олексій Костянтинович</v>
      </c>
      <c r="J4605" s="7" t="s">
        <v>24</v>
      </c>
    </row>
    <row r="4606" spans="1:10" ht="13.2">
      <c r="A4606" s="7">
        <v>4605</v>
      </c>
      <c r="B4606" s="7">
        <v>1</v>
      </c>
      <c r="C4606" s="7" t="s">
        <v>10</v>
      </c>
      <c r="D4606" s="7">
        <v>3175</v>
      </c>
      <c r="E4606" s="7" t="s">
        <v>14</v>
      </c>
      <c r="F4606" s="8" t="str">
        <f ca="1">IFERROR(__xludf.DUMMYFUNCTION("IF
(
C4607=""фізична особа""
,
VLOOKUP(D4607,IMPORTRANGE(""https://docs.google.com/spreadsheets/d/14Bd19lYaqBhU8_DElYkX7l4wRkHqqCUFNJY4AfY3kHU/edit?usp=sharing  #gid=0"",""фіз особи new!relations_name""),6,FALSE)
,
(IF
(
C4607=""юридична особа""
,
VLOOKUP"&amp;"(D4607,IMPORTRANGE(""https://docs.google.com/spreadsheets/d/14Bd19lYaqBhU8_DElYkX7l4wRkHqqCUFNJY4AfY3kHU/edit?usp=sharing  #gid=0"",""фіз особи new!relations_name_uo""),7,FALSE)
,
)
))"),"АНДРЄЄВ Павло Вікторович")</f>
        <v>АНДРЄЄВ Павло Вікторович</v>
      </c>
      <c r="G4606" s="7" t="s">
        <v>10</v>
      </c>
      <c r="H4606" s="7">
        <v>23378</v>
      </c>
      <c r="I4606" s="8" t="str">
        <f ca="1">IFERROR(__xludf.DUMMYFUNCTION("IF
(
G4607=""фізична особа""
,
VLOOKUP(H4607,IMPORTRANGE(""https://docs.google.com/spreadsheets/d/14Bd19lYaqBhU8_DElYkX7l4wRkHqqCUFNJY4AfY3kHU/edit?usp=sharing  #gid=0"",""фіз особи new!relations_name""),6,FALSE)
,
(IF
(
G4607=""юридична особа""
,
VLOOKUP"&amp;"(H4607,IMPORTRANGE(""https://docs.google.com/spreadsheets/d/14Bd19lYaqBhU8_DElYkX7l4wRkHqqCUFNJY4AfY3kHU/edit?usp=sharing  #gid=0"",""фіз особи new!relations_name_uo""),7,FALSE)
,
)
))"),"ПУШКОВА Дар'я Олексіївна")</f>
        <v>ПУШКОВА Дар'я Олексіївна</v>
      </c>
      <c r="J4606" s="7" t="s">
        <v>15</v>
      </c>
    </row>
    <row r="4607" spans="1:10" ht="13.2">
      <c r="A4607" s="7">
        <v>4606</v>
      </c>
      <c r="B4607" s="7">
        <v>1</v>
      </c>
      <c r="C4607" s="7" t="s">
        <v>10</v>
      </c>
      <c r="D4607" s="7">
        <v>3176</v>
      </c>
      <c r="E4607" s="7" t="s">
        <v>28</v>
      </c>
      <c r="F4607" s="8" t="str">
        <f ca="1">IFERROR(__xludf.DUMMYFUNCTION("IF
(
C4608=""фізична особа""
,
VLOOKUP(D4608,IMPORTRANGE(""https://docs.google.com/spreadsheets/d/14Bd19lYaqBhU8_DElYkX7l4wRkHqqCUFNJY4AfY3kHU/edit?usp=sharing  #gid=0"",""фіз особи new!relations_name""),6,FALSE)
,
(IF
(
C4608=""юридична особа""
,
VLOOKUP"&amp;"(D4608,IMPORTRANGE(""https://docs.google.com/spreadsheets/d/14Bd19lYaqBhU8_DElYkX7l4wRkHqqCUFNJY4AfY3kHU/edit?usp=sharing  #gid=0"",""фіз особи new!relations_name_uo""),7,FALSE)
,
)
))"),"БОРИСОВ Ігор Борисович")</f>
        <v>БОРИСОВ Ігор Борисович</v>
      </c>
      <c r="G4607" s="7" t="s">
        <v>10</v>
      </c>
      <c r="H4607" s="7">
        <v>234</v>
      </c>
      <c r="I4607" s="8" t="str">
        <f ca="1">IFERROR(__xludf.DUMMYFUNCTION("IF
(
G4608=""фізична особа""
,
VLOOKUP(H4608,IMPORTRANGE(""https://docs.google.com/spreadsheets/d/14Bd19lYaqBhU8_DElYkX7l4wRkHqqCUFNJY4AfY3kHU/edit?usp=sharing  #gid=0"",""фіз особи new!relations_name""),6,FALSE)
,
(IF
(
G4608=""юридична особа""
,
VLOOKUP"&amp;"(H4608,IMPORTRANGE(""https://docs.google.com/spreadsheets/d/14Bd19lYaqBhU8_DElYkX7l4wRkHqqCUFNJY4AfY3kHU/edit?usp=sharing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7" s="7" t="s">
        <v>29</v>
      </c>
    </row>
    <row r="4608" spans="1:10" ht="13.2">
      <c r="A4608" s="7">
        <v>4607</v>
      </c>
      <c r="B4608" s="7">
        <v>1</v>
      </c>
      <c r="C4608" s="7" t="s">
        <v>10</v>
      </c>
      <c r="D4608" s="7">
        <v>3177</v>
      </c>
      <c r="E4608" s="7" t="s">
        <v>28</v>
      </c>
      <c r="F4608" s="8" t="str">
        <f ca="1">IFERROR(__xludf.DUMMYFUNCTION("IF
(
C4609=""фізична особа""
,
VLOOKUP(D4609,IMPORTRANGE(""https://docs.google.com/spreadsheets/d/14Bd19lYaqBhU8_DElYkX7l4wRkHqqCUFNJY4AfY3kHU/edit?usp=sharing  #gid=0"",""фіз особи new!relations_name""),6,FALSE)
,
(IF
(
C4609=""юридична особа""
,
VLOOKUP"&amp;"(D4609,IMPORTRANGE(""https://docs.google.com/spreadsheets/d/14Bd19lYaqBhU8_DElYkX7l4wRkHqqCUFNJY4AfY3kHU/edit?usp=sharing  #gid=0"",""фіз особи new!relations_name_uo""),7,FALSE)
,
)
))"),"КОЛЮШИН Євген Іванович")</f>
        <v>КОЛЮШИН Євген Іванович</v>
      </c>
      <c r="G4608" s="7" t="s">
        <v>10</v>
      </c>
      <c r="H4608" s="7">
        <v>234</v>
      </c>
      <c r="I4608" s="8" t="str">
        <f ca="1">IFERROR(__xludf.DUMMYFUNCTION("IF
(
G4609=""фізична особа""
,
VLOOKUP(H4609,IMPORTRANGE(""https://docs.google.com/spreadsheets/d/14Bd19lYaqBhU8_DElYkX7l4wRkHqqCUFNJY4AfY3kHU/edit?usp=sharing  #gid=0"",""фіз особи new!relations_name""),6,FALSE)
,
(IF
(
G4609=""юридична особа""
,
VLOOKUP"&amp;"(H4609,IMPORTRANGE(""https://docs.google.com/spreadsheets/d/14Bd19lYaqBhU8_DElYkX7l4wRkHqqCUFNJY4AfY3kHU/edit?usp=sharing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8" s="7" t="s">
        <v>29</v>
      </c>
    </row>
    <row r="4609" spans="1:10" ht="13.2">
      <c r="A4609" s="7">
        <v>4608</v>
      </c>
      <c r="B4609" s="7">
        <v>1</v>
      </c>
      <c r="C4609" s="7" t="s">
        <v>10</v>
      </c>
      <c r="D4609" s="7">
        <v>3178</v>
      </c>
      <c r="E4609" s="7" t="s">
        <v>28</v>
      </c>
      <c r="F4609" s="8" t="str">
        <f ca="1">IFERROR(__xludf.DUMMYFUNCTION("IF
(
C4610=""фізична особа""
,
VLOOKUP(D4610,IMPORTRANGE(""https://docs.google.com/spreadsheets/d/14Bd19lYaqBhU8_DElYkX7l4wRkHqqCUFNJY4AfY3kHU/edit?usp=sharing  #gid=0"",""фіз особи new!relations_name""),6,FALSE)
,
(IF
(
C4610=""юридична особа""
,
VLOOKUP"&amp;"(D4610,IMPORTRANGE(""https://docs.google.com/spreadsheets/d/14Bd19lYaqBhU8_DElYkX7l4wRkHqqCUFNJY4AfY3kHU/edit?usp=sharing  #gid=0"",""фіз особи new!relations_name_uo""),7,FALSE)
,
)
))"),"КУРДЮМОВ Олександр Борисович")</f>
        <v>КУРДЮМОВ Олександр Борисович</v>
      </c>
      <c r="G4609" s="7" t="s">
        <v>10</v>
      </c>
      <c r="H4609" s="7">
        <v>234</v>
      </c>
      <c r="I4609" s="8" t="str">
        <f ca="1">IFERROR(__xludf.DUMMYFUNCTION("IF
(
G4610=""фізична особа""
,
VLOOKUP(H4610,IMPORTRANGE(""https://docs.google.com/spreadsheets/d/14Bd19lYaqBhU8_DElYkX7l4wRkHqqCUFNJY4AfY3kHU/edit?usp=sharing  #gid=0"",""фіз особи new!relations_name""),6,FALSE)
,
(IF
(
G4610=""юридична особа""
,
VLOOKUP"&amp;"(H4610,IMPORTRANGE(""https://docs.google.com/spreadsheets/d/14Bd19lYaqBhU8_DElYkX7l4wRkHqqCUFNJY4AfY3kHU/edit?usp=sharing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09" s="7" t="s">
        <v>29</v>
      </c>
    </row>
    <row r="4610" spans="1:10" ht="13.2">
      <c r="A4610" s="7">
        <v>4609</v>
      </c>
      <c r="B4610" s="7">
        <v>1</v>
      </c>
      <c r="C4610" s="7" t="s">
        <v>10</v>
      </c>
      <c r="D4610" s="7">
        <v>3178</v>
      </c>
      <c r="E4610" s="7" t="s">
        <v>30</v>
      </c>
      <c r="F4610" s="8" t="str">
        <f ca="1">IFERROR(__xludf.DUMMYFUNCTION("IF
(
C4611=""фізична особа""
,
VLOOKUP(D4611,IMPORTRANGE(""https://docs.google.com/spreadsheets/d/14Bd19lYaqBhU8_DElYkX7l4wRkHqqCUFNJY4AfY3kHU/edit?usp=sharing  #gid=0"",""фіз особи new!relations_name""),6,FALSE)
,
(IF
(
C4611=""юридична особа""
,
VLOOKUP"&amp;"(D4611,IMPORTRANGE(""https://docs.google.com/spreadsheets/d/14Bd19lYaqBhU8_DElYkX7l4wRkHqqCUFNJY4AfY3kHU/edit?usp=sharing  #gid=0"",""фіз особи new!relations_name_uo""),7,FALSE)
,
)
))"),"КУРДЮМОВ Олександр Борисович")</f>
        <v>КУРДЮМОВ Олександр Борисович</v>
      </c>
      <c r="G4610" s="7" t="s">
        <v>10</v>
      </c>
      <c r="H4610" s="7">
        <v>0</v>
      </c>
      <c r="I4610" s="8" t="str">
        <f ca="1">IFERROR(__xludf.DUMMYFUNCTION("IF
(
G4611=""фізична особа""
,
VLOOKUP(H4611,IMPORTRANGE(""https://docs.google.com/spreadsheets/d/14Bd19lYaqBhU8_DElYkX7l4wRkHqqCUFNJY4AfY3kHU/edit?usp=sharing  #gid=0"",""фіз особи new!relations_name""),6,FALSE)
,
(IF
(
G4611=""юридична особа""
,
VLOOKUP"&amp;"(H4611,IMPORTRANGE(""https://docs.google.com/spreadsheets/d/14Bd19lYaqBhU8_DElYkX7l4wRkHqqCUFNJY4AfY3kHU/edit?usp=sharing  #gid=0"",""фіз особи new!relations_name_uo""),7,FALSE)
,
)
))"),"#N/A")</f>
        <v>#N/A</v>
      </c>
      <c r="J4610" s="7" t="s">
        <v>30</v>
      </c>
    </row>
    <row r="4611" spans="1:10" ht="13.2">
      <c r="A4611" s="7">
        <v>4610</v>
      </c>
      <c r="B4611" s="7">
        <v>1</v>
      </c>
      <c r="C4611" s="7" t="s">
        <v>10</v>
      </c>
      <c r="D4611" s="7">
        <v>3178</v>
      </c>
      <c r="E4611" s="7" t="s">
        <v>30</v>
      </c>
      <c r="F4611" s="8" t="str">
        <f ca="1">IFERROR(__xludf.DUMMYFUNCTION("IF
(
C4612=""фізична особа""
,
VLOOKUP(D4612,IMPORTRANGE(""https://docs.google.com/spreadsheets/d/14Bd19lYaqBhU8_DElYkX7l4wRkHqqCUFNJY4AfY3kHU/edit?usp=sharing  #gid=0"",""фіз особи new!relations_name""),6,FALSE)
,
(IF
(
C4612=""юридична особа""
,
VLOOKUP"&amp;"(D4612,IMPORTRANGE(""https://docs.google.com/spreadsheets/d/14Bd19lYaqBhU8_DElYkX7l4wRkHqqCUFNJY4AfY3kHU/edit?usp=sharing  #gid=0"",""фіз особи new!relations_name_uo""),7,FALSE)
,
)
))"),"КУРДЮМОВ Олександр Борисович")</f>
        <v>КУРДЮМОВ Олександр Борисович</v>
      </c>
      <c r="G4611" s="7" t="s">
        <v>10</v>
      </c>
      <c r="H4611" s="7">
        <v>0</v>
      </c>
      <c r="I4611" s="8" t="str">
        <f ca="1">IFERROR(__xludf.DUMMYFUNCTION("IF
(
G4612=""фізична особа""
,
VLOOKUP(H4612,IMPORTRANGE(""https://docs.google.com/spreadsheets/d/14Bd19lYaqBhU8_DElYkX7l4wRkHqqCUFNJY4AfY3kHU/edit?usp=sharing  #gid=0"",""фіз особи new!relations_name""),6,FALSE)
,
(IF
(
G4612=""юридична особа""
,
VLOOKUP"&amp;"(H4612,IMPORTRANGE(""https://docs.google.com/spreadsheets/d/14Bd19lYaqBhU8_DElYkX7l4wRkHqqCUFNJY4AfY3kHU/edit?usp=sharing  #gid=0"",""фіз особи new!relations_name_uo""),7,FALSE)
,
)
))"),"#N/A")</f>
        <v>#N/A</v>
      </c>
      <c r="J4611" s="7" t="s">
        <v>30</v>
      </c>
    </row>
    <row r="4612" spans="1:10" ht="13.2">
      <c r="A4612" s="7">
        <v>4611</v>
      </c>
      <c r="B4612" s="7">
        <v>1</v>
      </c>
      <c r="C4612" s="7" t="s">
        <v>10</v>
      </c>
      <c r="D4612" s="7">
        <v>3179</v>
      </c>
      <c r="E4612" s="7" t="s">
        <v>28</v>
      </c>
      <c r="F4612" s="8" t="str">
        <f ca="1">IFERROR(__xludf.DUMMYFUNCTION("IF
(
C4613=""фізична особа""
,
VLOOKUP(D4613,IMPORTRANGE(""https://docs.google.com/spreadsheets/d/14Bd19lYaqBhU8_DElYkX7l4wRkHqqCUFNJY4AfY3kHU/edit?usp=sharing  #gid=0"",""фіз особи new!relations_name""),6,FALSE)
,
(IF
(
C4613=""юридична особа""
,
VLOOKUP"&amp;"(D4613,IMPORTRANGE(""https://docs.google.com/spreadsheets/d/14Bd19lYaqBhU8_DElYkX7l4wRkHqqCUFNJY4AfY3kHU/edit?usp=sharing  #gid=0"",""фіз особи new!relations_name_uo""),7,FALSE)
,
)
))"),"ЛОПАТІН Антон Ігорович")</f>
        <v>ЛОПАТІН Антон Ігорович</v>
      </c>
      <c r="G4612" s="7" t="s">
        <v>10</v>
      </c>
      <c r="H4612" s="7">
        <v>234</v>
      </c>
      <c r="I4612" s="8" t="str">
        <f ca="1">IFERROR(__xludf.DUMMYFUNCTION("IF
(
G4613=""фізична особа""
,
VLOOKUP(H4613,IMPORTRANGE(""https://docs.google.com/spreadsheets/d/14Bd19lYaqBhU8_DElYkX7l4wRkHqqCUFNJY4AfY3kHU/edit?usp=sharing  #gid=0"",""фіз особи new!relations_name""),6,FALSE)
,
(IF
(
G4613=""юридична особа""
,
VLOOKUP"&amp;"(H4613,IMPORTRANGE(""https://docs.google.com/spreadsheets/d/14Bd19lYaqBhU8_DElYkX7l4wRkHqqCUFNJY4AfY3kHU/edit?usp=sharing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2" s="7" t="s">
        <v>29</v>
      </c>
    </row>
    <row r="4613" spans="1:10" ht="13.2">
      <c r="A4613" s="7">
        <v>4612</v>
      </c>
      <c r="B4613" s="7">
        <v>1</v>
      </c>
      <c r="C4613" s="7" t="s">
        <v>10</v>
      </c>
      <c r="D4613" s="7">
        <v>3179</v>
      </c>
      <c r="E4613" s="7" t="s">
        <v>48</v>
      </c>
      <c r="F4613" s="8" t="str">
        <f ca="1">IFERROR(__xludf.DUMMYFUNCTION("IF
(
C4614=""фізична особа""
,
VLOOKUP(D4614,IMPORTRANGE(""https://docs.google.com/spreadsheets/d/14Bd19lYaqBhU8_DElYkX7l4wRkHqqCUFNJY4AfY3kHU/edit?usp=sharing  #gid=0"",""фіз особи new!relations_name""),6,FALSE)
,
(IF
(
C4614=""юридична особа""
,
VLOOKUP"&amp;"(D4614,IMPORTRANGE(""https://docs.google.com/spreadsheets/d/14Bd19lYaqBhU8_DElYkX7l4wRkHqqCUFNJY4AfY3kHU/edit?usp=sharing  #gid=0"",""фіз особи new!relations_name_uo""),7,FALSE)
,
)
))"),"ЛОПАТІН Антон Ігорович")</f>
        <v>ЛОПАТІН Антон Ігорович</v>
      </c>
      <c r="G4613" s="7" t="s">
        <v>10</v>
      </c>
      <c r="H4613" s="7">
        <v>899</v>
      </c>
      <c r="I4613" s="8" t="str">
        <f ca="1">IFERROR(__xludf.DUMMYFUNCTION("IF
(
G4614=""фізична особа""
,
VLOOKUP(H4614,IMPORTRANGE(""https://docs.google.com/spreadsheets/d/14Bd19lYaqBhU8_DElYkX7l4wRkHqqCUFNJY4AfY3kHU/edit?usp=sharing  #gid=0"",""фіз особи new!relations_name""),6,FALSE)
,
(IF
(
G4614=""юридична особа""
,
VLOOKUP"&amp;"(H4614,IMPORTRANGE(""https://docs.google.com/spreadsheets/d/14Bd19lYaqBhU8_DElYkX7l4wRkHqqCUFNJY4AfY3kHU/edit?usp=sharing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4613" s="7" t="s">
        <v>48</v>
      </c>
    </row>
    <row r="4614" spans="1:10" ht="13.2">
      <c r="A4614" s="7">
        <v>4613</v>
      </c>
      <c r="B4614" s="7">
        <v>1</v>
      </c>
      <c r="C4614" s="7" t="s">
        <v>10</v>
      </c>
      <c r="D4614" s="7">
        <v>3180</v>
      </c>
      <c r="E4614" s="7" t="s">
        <v>28</v>
      </c>
      <c r="F4614" s="8" t="str">
        <f ca="1">IFERROR(__xludf.DUMMYFUNCTION("IF
(
C4615=""фізична особа""
,
VLOOKUP(D4615,IMPORTRANGE(""https://docs.google.com/spreadsheets/d/14Bd19lYaqBhU8_DElYkX7l4wRkHqqCUFNJY4AfY3kHU/edit?usp=sharing  #gid=0"",""фіз особи new!relations_name""),6,FALSE)
,
(IF
(
C4615=""юридична особа""
,
VLOOKUP"&amp;"(D4615,IMPORTRANGE(""https://docs.google.com/spreadsheets/d/14Bd19lYaqBhU8_DElYkX7l4wRkHqqCUFNJY4AfY3kHU/edit?usp=sharing  #gid=0"",""фіз особи new!relations_name_uo""),7,FALSE)
,
)
))"),"МАЗУРЕВСЬКИЙ Костянтин Сергійович")</f>
        <v>МАЗУРЕВСЬКИЙ Костянтин Сергійович</v>
      </c>
      <c r="G4614" s="7" t="s">
        <v>10</v>
      </c>
      <c r="H4614" s="7">
        <v>234</v>
      </c>
      <c r="I4614" s="8" t="str">
        <f ca="1">IFERROR(__xludf.DUMMYFUNCTION("IF
(
G4615=""фізична особа""
,
VLOOKUP(H4615,IMPORTRANGE(""https://docs.google.com/spreadsheets/d/14Bd19lYaqBhU8_DElYkX7l4wRkHqqCUFNJY4AfY3kHU/edit?usp=sharing  #gid=0"",""фіз особи new!relations_name""),6,FALSE)
,
(IF
(
G4615=""юридична особа""
,
VLOOKUP"&amp;"(H4615,IMPORTRANGE(""https://docs.google.com/spreadsheets/d/14Bd19lYaqBhU8_DElYkX7l4wRkHqqCUFNJY4AfY3kHU/edit?usp=sharing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4" s="7" t="s">
        <v>29</v>
      </c>
    </row>
    <row r="4615" spans="1:10" ht="13.2">
      <c r="A4615" s="7">
        <v>4614</v>
      </c>
      <c r="B4615" s="7">
        <v>1</v>
      </c>
      <c r="C4615" s="7" t="s">
        <v>10</v>
      </c>
      <c r="D4615" s="7">
        <v>3181</v>
      </c>
      <c r="E4615" s="7" t="s">
        <v>28</v>
      </c>
      <c r="F4615" s="8" t="str">
        <f ca="1">IFERROR(__xludf.DUMMYFUNCTION("IF
(
C4616=""фізична особа""
,
VLOOKUP(D4616,IMPORTRANGE(""https://docs.google.com/spreadsheets/d/14Bd19lYaqBhU8_DElYkX7l4wRkHqqCUFNJY4AfY3kHU/edit?usp=sharing  #gid=0"",""фіз особи new!relations_name""),6,FALSE)
,
(IF
(
C4616=""юридична особа""
,
VLOOKUP"&amp;"(D4616,IMPORTRANGE(""https://docs.google.com/spreadsheets/d/14Bd19lYaqBhU8_DElYkX7l4wRkHqqCUFNJY4AfY3kHU/edit?usp=sharing  #gid=0"",""фіз особи new!relations_name_uo""),7,FALSE)
,
)
))"),"МАРКІНА Людмила Леонідівна")</f>
        <v>МАРКІНА Людмила Леонідівна</v>
      </c>
      <c r="G4615" s="7" t="s">
        <v>10</v>
      </c>
      <c r="H4615" s="7">
        <v>234</v>
      </c>
      <c r="I4615" s="8" t="str">
        <f ca="1">IFERROR(__xludf.DUMMYFUNCTION("IF
(
G4616=""фізична особа""
,
VLOOKUP(H4616,IMPORTRANGE(""https://docs.google.com/spreadsheets/d/14Bd19lYaqBhU8_DElYkX7l4wRkHqqCUFNJY4AfY3kHU/edit?usp=sharing  #gid=0"",""фіз особи new!relations_name""),6,FALSE)
,
(IF
(
G4616=""юридична особа""
,
VLOOKUP"&amp;"(H4616,IMPORTRANGE(""https://docs.google.com/spreadsheets/d/14Bd19lYaqBhU8_DElYkX7l4wRkHqqCUFNJY4AfY3kHU/edit?usp=sharing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5" s="7" t="s">
        <v>29</v>
      </c>
    </row>
    <row r="4616" spans="1:10" ht="13.2">
      <c r="A4616" s="7">
        <v>4615</v>
      </c>
      <c r="B4616" s="7">
        <v>1</v>
      </c>
      <c r="C4616" s="7" t="s">
        <v>10</v>
      </c>
      <c r="D4616" s="7">
        <v>3182</v>
      </c>
      <c r="E4616" s="7" t="s">
        <v>28</v>
      </c>
      <c r="F4616" s="8" t="str">
        <f ca="1">IFERROR(__xludf.DUMMYFUNCTION("IF
(
C4617=""фізична особа""
,
VLOOKUP(D4617,IMPORTRANGE(""https://docs.google.com/spreadsheets/d/14Bd19lYaqBhU8_DElYkX7l4wRkHqqCUFNJY4AfY3kHU/edit?usp=sharing  #gid=0"",""фіз особи new!relations_name""),6,FALSE)
,
(IF
(
C4617=""юридична особа""
,
VLOOKUP"&amp;"(D4617,IMPORTRANGE(""https://docs.google.com/spreadsheets/d/14Bd19lYaqBhU8_DElYkX7l4wRkHqqCUFNJY4AfY3kHU/edit?usp=sharing  #gid=0"",""фіз особи new!relations_name_uo""),7,FALSE)
,
)
))"),"ХАЙМУРЗІНА Ельміра Абдулбаріївна")</f>
        <v>ХАЙМУРЗІНА Ельміра Абдулбаріївна</v>
      </c>
      <c r="G4616" s="7" t="s">
        <v>10</v>
      </c>
      <c r="H4616" s="7">
        <v>234</v>
      </c>
      <c r="I4616" s="8" t="str">
        <f ca="1">IFERROR(__xludf.DUMMYFUNCTION("IF
(
G4617=""фізична особа""
,
VLOOKUP(H4617,IMPORTRANGE(""https://docs.google.com/spreadsheets/d/14Bd19lYaqBhU8_DElYkX7l4wRkHqqCUFNJY4AfY3kHU/edit?usp=sharing  #gid=0"",""фіз особи new!relations_name""),6,FALSE)
,
(IF
(
G4617=""юридична особа""
,
VLOOKUP"&amp;"(H4617,IMPORTRANGE(""https://docs.google.com/spreadsheets/d/14Bd19lYaqBhU8_DElYkX7l4wRkHqqCUFNJY4AfY3kHU/edit?usp=sharing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6" s="7" t="s">
        <v>29</v>
      </c>
    </row>
    <row r="4617" spans="1:10" ht="13.2">
      <c r="A4617" s="7">
        <v>4616</v>
      </c>
      <c r="B4617" s="7">
        <v>1</v>
      </c>
      <c r="C4617" s="7" t="s">
        <v>10</v>
      </c>
      <c r="D4617" s="7">
        <v>3183</v>
      </c>
      <c r="E4617" s="7" t="s">
        <v>28</v>
      </c>
      <c r="F4617" s="8" t="str">
        <f ca="1">IFERROR(__xludf.DUMMYFUNCTION("IF
(
C4618=""фізична особа""
,
VLOOKUP(D4618,IMPORTRANGE(""https://docs.google.com/spreadsheets/d/14Bd19lYaqBhU8_DElYkX7l4wRkHqqCUFNJY4AfY3kHU/edit?usp=sharing  #gid=0"",""фіз особи new!relations_name""),6,FALSE)
,
(IF
(
C4618=""юридична особа""
,
VLOOKUP"&amp;"(D4618,IMPORTRANGE(""https://docs.google.com/spreadsheets/d/14Bd19lYaqBhU8_DElYkX7l4wRkHqqCUFNJY4AfY3kHU/edit?usp=sharing  #gid=0"",""фіз особи new!relations_name_uo""),7,FALSE)
,
)
))"),"ШЕВЧЕНКО Євген Олександрович")</f>
        <v>ШЕВЧЕНКО Євген Олександрович</v>
      </c>
      <c r="G4617" s="7" t="s">
        <v>10</v>
      </c>
      <c r="H4617" s="7">
        <v>234</v>
      </c>
      <c r="I4617" s="8" t="str">
        <f ca="1">IFERROR(__xludf.DUMMYFUNCTION("IF
(
G4618=""фізична особа""
,
VLOOKUP(H4618,IMPORTRANGE(""https://docs.google.com/spreadsheets/d/14Bd19lYaqBhU8_DElYkX7l4wRkHqqCUFNJY4AfY3kHU/edit?usp=sharing  #gid=0"",""фіз особи new!relations_name""),6,FALSE)
,
(IF
(
G4618=""юридична особа""
,
VLOOKUP"&amp;"(H4618,IMPORTRANGE(""https://docs.google.com/spreadsheets/d/14Bd19lYaqBhU8_DElYkX7l4wRkHqqCUFNJY4AfY3kHU/edit?usp=sharing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7" s="7" t="s">
        <v>29</v>
      </c>
    </row>
    <row r="4618" spans="1:10" ht="13.2">
      <c r="A4618" s="7">
        <v>4617</v>
      </c>
      <c r="B4618" s="7">
        <v>1</v>
      </c>
      <c r="C4618" s="7" t="s">
        <v>10</v>
      </c>
      <c r="D4618" s="7">
        <v>3184</v>
      </c>
      <c r="E4618" s="7" t="s">
        <v>28</v>
      </c>
      <c r="F4618" s="8" t="str">
        <f ca="1">IFERROR(__xludf.DUMMYFUNCTION("IF
(
C4619=""фізична особа""
,
VLOOKUP(D4619,IMPORTRANGE(""https://docs.google.com/spreadsheets/d/14Bd19lYaqBhU8_DElYkX7l4wRkHqqCUFNJY4AfY3kHU/edit?usp=sharing  #gid=0"",""фіз особи new!relations_name""),6,FALSE)
,
(IF
(
C4619=""юридична особа""
,
VLOOKUP"&amp;"(D4619,IMPORTRANGE(""https://docs.google.com/spreadsheets/d/14Bd19lYaqBhU8_DElYkX7l4wRkHqqCUFNJY4AfY3kHU/edit?usp=sharing  #gid=0"",""фіз особи new!relations_name_uo""),7,FALSE)
,
)
))"),"ШУТОВ Андрій Юрійович")</f>
        <v>ШУТОВ Андрій Юрійович</v>
      </c>
      <c r="G4618" s="7" t="s">
        <v>10</v>
      </c>
      <c r="H4618" s="7">
        <v>234</v>
      </c>
      <c r="I4618" s="8" t="str">
        <f ca="1">IFERROR(__xludf.DUMMYFUNCTION("IF
(
G4619=""фізична особа""
,
VLOOKUP(H4619,IMPORTRANGE(""https://docs.google.com/spreadsheets/d/14Bd19lYaqBhU8_DElYkX7l4wRkHqqCUFNJY4AfY3kHU/edit?usp=sharing  #gid=0"",""фіз особи new!relations_name""),6,FALSE)
,
(IF
(
G4619=""юридична особа""
,
VLOOKUP"&amp;"(H4619,IMPORTRANGE(""https://docs.google.com/spreadsheets/d/14Bd19lYaqBhU8_DElYkX7l4wRkHqqCUFNJY4AfY3kHU/edit?usp=sharing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8" s="7" t="s">
        <v>29</v>
      </c>
    </row>
    <row r="4619" spans="1:10" ht="13.2">
      <c r="A4619" s="7">
        <v>4618</v>
      </c>
      <c r="B4619" s="7">
        <v>1</v>
      </c>
      <c r="C4619" s="7" t="s">
        <v>10</v>
      </c>
      <c r="D4619" s="7">
        <v>3185</v>
      </c>
      <c r="E4619" s="7" t="s">
        <v>28</v>
      </c>
      <c r="F4619" s="8" t="str">
        <f ca="1">IFERROR(__xludf.DUMMYFUNCTION("IF
(
C4620=""фізична особа""
,
VLOOKUP(D4620,IMPORTRANGE(""https://docs.google.com/spreadsheets/d/14Bd19lYaqBhU8_DElYkX7l4wRkHqqCUFNJY4AfY3kHU/edit?usp=sharing  #gid=0"",""фіз особи new!relations_name""),6,FALSE)
,
(IF
(
C4620=""юридична особа""
,
VLOOKUP"&amp;"(D4620,IMPORTRANGE(""https://docs.google.com/spreadsheets/d/14Bd19lYaqBhU8_DElYkX7l4wRkHqqCUFNJY4AfY3kHU/edit?usp=sharing  #gid=0"",""фіз особи new!relations_name_uo""),7,FALSE)
,
)
))"),"ЕБЗЄЄВ Борис Сафарович")</f>
        <v>ЕБЗЄЄВ Борис Сафарович</v>
      </c>
      <c r="G4619" s="7" t="s">
        <v>10</v>
      </c>
      <c r="H4619" s="7">
        <v>234</v>
      </c>
      <c r="I4619" s="8" t="str">
        <f ca="1">IFERROR(__xludf.DUMMYFUNCTION("IF
(
G4620=""фізична особа""
,
VLOOKUP(H4620,IMPORTRANGE(""https://docs.google.com/spreadsheets/d/14Bd19lYaqBhU8_DElYkX7l4wRkHqqCUFNJY4AfY3kHU/edit?usp=sharing  #gid=0"",""фіз особи new!relations_name""),6,FALSE)
,
(IF
(
G4620=""юридична особа""
,
VLOOKUP"&amp;"(H4620,IMPORTRANGE(""https://docs.google.com/spreadsheets/d/14Bd19lYaqBhU8_DElYkX7l4wRkHqqCUFNJY4AfY3kHU/edit?usp=sharing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19" s="7" t="s">
        <v>29</v>
      </c>
    </row>
    <row r="4620" spans="1:10" ht="13.2">
      <c r="A4620" s="7">
        <v>4619</v>
      </c>
      <c r="B4620" s="7">
        <v>1</v>
      </c>
      <c r="C4620" s="7" t="s">
        <v>10</v>
      </c>
      <c r="D4620" s="7">
        <v>3185</v>
      </c>
      <c r="E4620" s="7" t="s">
        <v>12</v>
      </c>
      <c r="F4620" s="8" t="str">
        <f ca="1">IFERROR(__xludf.DUMMYFUNCTION("IF
(
C4621=""фізична особа""
,
VLOOKUP(D4621,IMPORTRANGE(""https://docs.google.com/spreadsheets/d/14Bd19lYaqBhU8_DElYkX7l4wRkHqqCUFNJY4AfY3kHU/edit?usp=sharing  #gid=0"",""фіз особи new!relations_name""),6,FALSE)
,
(IF
(
C4621=""юридична особа""
,
VLOOKUP"&amp;"(D4621,IMPORTRANGE(""https://docs.google.com/spreadsheets/d/14Bd19lYaqBhU8_DElYkX7l4wRkHqqCUFNJY4AfY3kHU/edit?usp=sharing  #gid=0"",""фіз особи new!relations_name_uo""),7,FALSE)
,
)
))"),"ЕБЗЄЄВ Борис Сафарович")</f>
        <v>ЕБЗЄЄВ Борис Сафарович</v>
      </c>
      <c r="G4620" s="7" t="s">
        <v>10</v>
      </c>
      <c r="H4620" s="7">
        <v>0</v>
      </c>
      <c r="I4620" s="8" t="str">
        <f ca="1">IFERROR(__xludf.DUMMYFUNCTION("IF
(
G4621=""фізична особа""
,
VLOOKUP(H4621,IMPORTRANGE(""https://docs.google.com/spreadsheets/d/14Bd19lYaqBhU8_DElYkX7l4wRkHqqCUFNJY4AfY3kHU/edit?usp=sharing  #gid=0"",""фіз особи new!relations_name""),6,FALSE)
,
(IF
(
G4621=""юридична особа""
,
VLOOKUP"&amp;"(H4621,IMPORTRANGE(""https://docs.google.com/spreadsheets/d/14Bd19lYaqBhU8_DElYkX7l4wRkHqqCUFNJY4AfY3kHU/edit?usp=sharing  #gid=0"",""фіз особи new!relations_name_uo""),7,FALSE)
,
)
))"),"#N/A")</f>
        <v>#N/A</v>
      </c>
      <c r="J4620" s="7" t="s">
        <v>17</v>
      </c>
    </row>
    <row r="4621" spans="1:10" ht="13.2">
      <c r="A4621" s="7">
        <v>4620</v>
      </c>
      <c r="B4621" s="7">
        <v>1</v>
      </c>
      <c r="C4621" s="7" t="s">
        <v>10</v>
      </c>
      <c r="D4621" s="7">
        <v>3186</v>
      </c>
      <c r="E4621" s="7" t="s">
        <v>28</v>
      </c>
      <c r="F4621" s="8" t="str">
        <f ca="1">IFERROR(__xludf.DUMMYFUNCTION("IF
(
C4622=""фізична особа""
,
VLOOKUP(D4622,IMPORTRANGE(""https://docs.google.com/spreadsheets/d/14Bd19lYaqBhU8_DElYkX7l4wRkHqqCUFNJY4AfY3kHU/edit?usp=sharing  #gid=0"",""фіз особи new!relations_name""),6,FALSE)
,
(IF
(
C4622=""юридична особа""
,
VLOOKUP"&amp;"(D4622,IMPORTRANGE(""https://docs.google.com/spreadsheets/d/14Bd19lYaqBhU8_DElYkX7l4wRkHqqCUFNJY4AfY3kHU/edit?usp=sharing  #gid=0"",""фіз особи new!relations_name_uo""),7,FALSE)
,
)
))"),"СОРОКІН Дмитро В'ячеславович")</f>
        <v>СОРОКІН Дмитро В'ячеславович</v>
      </c>
      <c r="G4621" s="7" t="s">
        <v>10</v>
      </c>
      <c r="H4621" s="7">
        <v>199</v>
      </c>
      <c r="I4621" s="8" t="str">
        <f ca="1">IFERROR(__xludf.DUMMYFUNCTION("IF
(
G4622=""фізична особа""
,
VLOOKUP(H4622,IMPORTRANGE(""https://docs.google.com/spreadsheets/d/14Bd19lYaqBhU8_DElYkX7l4wRkHqqCUFNJY4AfY3kHU/edit?usp=sharing  #gid=0"",""фіз особи new!relations_name""),6,FALSE)
,
(IF
(
G4622=""юридична особа""
,
VLOOKUP"&amp;"(H4622,IMPORTRANGE(""https://docs.google.com/spreadsheets/d/14Bd19lYaqBhU8_DElYkX7l4wRkHqqCUFNJY4AfY3kHU/edit?usp=sharing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21" s="7" t="s">
        <v>29</v>
      </c>
    </row>
    <row r="4622" spans="1:10" ht="13.2">
      <c r="A4622" s="7">
        <v>4621</v>
      </c>
      <c r="B4622" s="7">
        <v>1</v>
      </c>
      <c r="C4622" s="7" t="s">
        <v>10</v>
      </c>
      <c r="D4622" s="7">
        <v>3187</v>
      </c>
      <c r="E4622" s="7" t="s">
        <v>28</v>
      </c>
      <c r="F4622" s="8" t="str">
        <f ca="1">IFERROR(__xludf.DUMMYFUNCTION("IF
(
C4623=""фізична особа""
,
VLOOKUP(D4623,IMPORTRANGE(""https://docs.google.com/spreadsheets/d/14Bd19lYaqBhU8_DElYkX7l4wRkHqqCUFNJY4AfY3kHU/edit?usp=sharing  #gid=0"",""фіз особи new!relations_name""),6,FALSE)
,
(IF
(
C4623=""юридична особа""
,
VLOOKUP"&amp;"(D4623,IMPORTRANGE(""https://docs.google.com/spreadsheets/d/14Bd19lYaqBhU8_DElYkX7l4wRkHqqCUFNJY4AfY3kHU/edit?usp=sharing  #gid=0"",""фіз особи new!relations_name_uo""),7,FALSE)
,
)
))"),"ТАРАСОВА Ірина Анатоліївна")</f>
        <v>ТАРАСОВА Ірина Анатоліївна</v>
      </c>
      <c r="G4622" s="7" t="s">
        <v>10</v>
      </c>
      <c r="H4622" s="7">
        <v>199</v>
      </c>
      <c r="I4622" s="8" t="str">
        <f ca="1">IFERROR(__xludf.DUMMYFUNCTION("IF
(
G4623=""фізична особа""
,
VLOOKUP(H4623,IMPORTRANGE(""https://docs.google.com/spreadsheets/d/14Bd19lYaqBhU8_DElYkX7l4wRkHqqCUFNJY4AfY3kHU/edit?usp=sharing  #gid=0"",""фіз особи new!relations_name""),6,FALSE)
,
(IF
(
G4623=""юридична особа""
,
VLOOKUP"&amp;"(H4623,IMPORTRANGE(""https://docs.google.com/spreadsheets/d/14Bd19lYaqBhU8_DElYkX7l4wRkHqqCUFNJY4AfY3kHU/edit?usp=sharing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22" s="7" t="s">
        <v>29</v>
      </c>
    </row>
    <row r="4623" spans="1:10" ht="13.2">
      <c r="A4623" s="7">
        <v>4622</v>
      </c>
      <c r="B4623" s="7">
        <v>1</v>
      </c>
      <c r="C4623" s="7" t="s">
        <v>10</v>
      </c>
      <c r="D4623" s="7">
        <v>3188</v>
      </c>
      <c r="E4623" s="7" t="s">
        <v>28</v>
      </c>
      <c r="F4623" s="8" t="str">
        <f ca="1">IFERROR(__xludf.DUMMYFUNCTION("IF
(
C4624=""фізична особа""
,
VLOOKUP(D4624,IMPORTRANGE(""https://docs.google.com/spreadsheets/d/14Bd19lYaqBhU8_DElYkX7l4wRkHqqCUFNJY4AfY3kHU/edit?usp=sharing  #gid=0"",""фіз особи new!relations_name""),6,FALSE)
,
(IF
(
C4624=""юридична особа""
,
VLOOKUP"&amp;"(D4624,IMPORTRANGE(""https://docs.google.com/spreadsheets/d/14Bd19lYaqBhU8_DElYkX7l4wRkHqqCUFNJY4AfY3kHU/edit?usp=sharing  #gid=0"",""фіз особи new!relations_name_uo""),7,FALSE)
,
)
))"),"ТІТОВ Максим Олександрович")</f>
        <v>ТІТОВ Максим Олександрович</v>
      </c>
      <c r="G4623" s="7" t="s">
        <v>10</v>
      </c>
      <c r="H4623" s="7">
        <v>199</v>
      </c>
      <c r="I4623" s="8" t="str">
        <f ca="1">IFERROR(__xludf.DUMMYFUNCTION("IF
(
G4624=""фізична особа""
,
VLOOKUP(H4624,IMPORTRANGE(""https://docs.google.com/spreadsheets/d/14Bd19lYaqBhU8_DElYkX7l4wRkHqqCUFNJY4AfY3kHU/edit?usp=sharing  #gid=0"",""фіз особи new!relations_name""),6,FALSE)
,
(IF
(
G4624=""юридична особа""
,
VLOOKUP"&amp;"(H4624,IMPORTRANGE(""https://docs.google.com/spreadsheets/d/14Bd19lYaqBhU8_DElYkX7l4wRkHqqCUFNJY4AfY3kHU/edit?usp=sharing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23" s="7" t="s">
        <v>29</v>
      </c>
    </row>
    <row r="4624" spans="1:10" ht="13.2">
      <c r="A4624" s="7">
        <v>4623</v>
      </c>
      <c r="B4624" s="7">
        <v>1</v>
      </c>
      <c r="C4624" s="7" t="s">
        <v>10</v>
      </c>
      <c r="D4624" s="7">
        <v>3189</v>
      </c>
      <c r="E4624" s="7" t="s">
        <v>28</v>
      </c>
      <c r="F4624" s="8" t="str">
        <f ca="1">IFERROR(__xludf.DUMMYFUNCTION("IF
(
C4625=""фізична особа""
,
VLOOKUP(D4625,IMPORTRANGE(""https://docs.google.com/spreadsheets/d/14Bd19lYaqBhU8_DElYkX7l4wRkHqqCUFNJY4AfY3kHU/edit?usp=sharing  #gid=0"",""фіз особи new!relations_name""),6,FALSE)
,
(IF
(
C4625=""юридична особа""
,
VLOOKUP"&amp;"(D4625,IMPORTRANGE(""https://docs.google.com/spreadsheets/d/14Bd19lYaqBhU8_DElYkX7l4wRkHqqCUFNJY4AfY3kHU/edit?usp=sharing  #gid=0"",""фіз особи new!relations_name_uo""),7,FALSE)
,
)
))"),"ФОМІНА Галина Леонідівна")</f>
        <v>ФОМІНА Галина Леонідівна</v>
      </c>
      <c r="G4624" s="7" t="s">
        <v>10</v>
      </c>
      <c r="H4624" s="7">
        <v>199</v>
      </c>
      <c r="I4624" s="8" t="str">
        <f ca="1">IFERROR(__xludf.DUMMYFUNCTION("IF
(
G4625=""фізична особа""
,
VLOOKUP(H4625,IMPORTRANGE(""https://docs.google.com/spreadsheets/d/14Bd19lYaqBhU8_DElYkX7l4wRkHqqCUFNJY4AfY3kHU/edit?usp=sharing  #gid=0"",""фіз особи new!relations_name""),6,FALSE)
,
(IF
(
G4625=""юридична особа""
,
VLOOKUP"&amp;"(H4625,IMPORTRANGE(""https://docs.google.com/spreadsheets/d/14Bd19lYaqBhU8_DElYkX7l4wRkHqqCUFNJY4AfY3kHU/edit?usp=sharing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24" s="7" t="s">
        <v>29</v>
      </c>
    </row>
    <row r="4625" spans="1:10" ht="13.2">
      <c r="A4625" s="7">
        <v>4624</v>
      </c>
      <c r="B4625" s="7">
        <v>1</v>
      </c>
      <c r="C4625" s="7" t="s">
        <v>10</v>
      </c>
      <c r="D4625" s="7">
        <v>3190</v>
      </c>
      <c r="E4625" s="7" t="s">
        <v>28</v>
      </c>
      <c r="F4625" s="8" t="str">
        <f ca="1">IFERROR(__xludf.DUMMYFUNCTION("IF
(
C4626=""фізична особа""
,
VLOOKUP(D4626,IMPORTRANGE(""https://docs.google.com/spreadsheets/d/14Bd19lYaqBhU8_DElYkX7l4wRkHqqCUFNJY4AfY3kHU/edit?usp=sharing  #gid=0"",""фіз особи new!relations_name""),6,FALSE)
,
(IF
(
C4626=""юридична особа""
,
VLOOKUP"&amp;"(D4626,IMPORTRANGE(""https://docs.google.com/spreadsheets/d/14Bd19lYaqBhU8_DElYkX7l4wRkHqqCUFNJY4AfY3kHU/edit?usp=sharing  #gid=0"",""фіз особи new!relations_name_uo""),7,FALSE)
,
)
))"),"ШЕВЬОЛКІНА Ксенія Леонідівна")</f>
        <v>ШЕВЬОЛКІНА Ксенія Леонідівна</v>
      </c>
      <c r="G4625" s="7" t="s">
        <v>10</v>
      </c>
      <c r="H4625" s="7">
        <v>199</v>
      </c>
      <c r="I4625" s="8" t="str">
        <f ca="1">IFERROR(__xludf.DUMMYFUNCTION("IF
(
G4626=""фізична особа""
,
VLOOKUP(H4626,IMPORTRANGE(""https://docs.google.com/spreadsheets/d/14Bd19lYaqBhU8_DElYkX7l4wRkHqqCUFNJY4AfY3kHU/edit?usp=sharing  #gid=0"",""фіз особи new!relations_name""),6,FALSE)
,
(IF
(
G4626=""юридична особа""
,
VLOOKUP"&amp;"(H4626,IMPORTRANGE(""https://docs.google.com/spreadsheets/d/14Bd19lYaqBhU8_DElYkX7l4wRkHqqCUFNJY4AfY3kHU/edit?usp=sharing  #gid=0"",""фіз особи new!relations_name_uo""),7,FALSE)
,
)
))"),"ПАТРУШЕВ Дмитро Миколайович")</f>
        <v>ПАТРУШЕВ Дмитро Миколайович</v>
      </c>
      <c r="J4625" s="7" t="s">
        <v>29</v>
      </c>
    </row>
    <row r="4626" spans="1:10" ht="13.2">
      <c r="A4626" s="7">
        <v>4625</v>
      </c>
      <c r="B4626" s="7">
        <v>1</v>
      </c>
      <c r="C4626" s="7" t="s">
        <v>10</v>
      </c>
      <c r="D4626" s="7">
        <v>3191</v>
      </c>
      <c r="E4626" s="7" t="s">
        <v>28</v>
      </c>
      <c r="F4626" s="8" t="str">
        <f ca="1">IFERROR(__xludf.DUMMYFUNCTION("IF
(
C4627=""фізична особа""
,
VLOOKUP(D4627,IMPORTRANGE(""https://docs.google.com/spreadsheets/d/14Bd19lYaqBhU8_DElYkX7l4wRkHqqCUFNJY4AfY3kHU/edit?usp=sharing  #gid=0"",""фіз особи new!relations_name""),6,FALSE)
,
(IF
(
C4627=""юридична особа""
,
VLOOKUP"&amp;"(D4627,IMPORTRANGE(""https://docs.google.com/spreadsheets/d/14Bd19lYaqBhU8_DElYkX7l4wRkHqqCUFNJY4AfY3kHU/edit?usp=sharing  #gid=0"",""фіз особи new!relations_name_uo""),7,FALSE)
,
)
))"),"СМОЛЯК Григорій Вікторович")</f>
        <v>СМОЛЯК Григорій Вікторович</v>
      </c>
      <c r="G4626" s="7" t="s">
        <v>10</v>
      </c>
      <c r="H4626" s="7">
        <v>2395</v>
      </c>
      <c r="I4626" s="8" t="str">
        <f ca="1">IFERROR(__xludf.DUMMYFUNCTION("IF
(
G4627=""фізична особа""
,
VLOOKUP(H4627,IMPORTRANGE(""https://docs.google.com/spreadsheets/d/14Bd19lYaqBhU8_DElYkX7l4wRkHqqCUFNJY4AfY3kHU/edit?usp=sharing  #gid=0"",""фіз особи new!relations_name""),6,FALSE)
,
(IF
(
G4627=""юридична особа""
,
VLOOKUP"&amp;"(H4627,IMPORTRANGE(""https://docs.google.com/spreadsheets/d/14Bd19lYaqBhU8_DElYkX7l4wRkHqqCUFNJY4AfY3kHU/edit?usp=sharing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26" s="7" t="s">
        <v>29</v>
      </c>
    </row>
    <row r="4627" spans="1:10" ht="13.2">
      <c r="A4627" s="7">
        <v>4626</v>
      </c>
      <c r="B4627" s="7">
        <v>1</v>
      </c>
      <c r="C4627" s="7" t="s">
        <v>10</v>
      </c>
      <c r="D4627" s="7">
        <v>3192</v>
      </c>
      <c r="E4627" s="7" t="s">
        <v>28</v>
      </c>
      <c r="F4627" s="8" t="str">
        <f ca="1">IFERROR(__xludf.DUMMYFUNCTION("IF
(
C4628=""фізична особа""
,
VLOOKUP(D4628,IMPORTRANGE(""https://docs.google.com/spreadsheets/d/14Bd19lYaqBhU8_DElYkX7l4wRkHqqCUFNJY4AfY3kHU/edit?usp=sharing  #gid=0"",""фіз особи new!relations_name""),6,FALSE)
,
(IF
(
C4628=""юридична особа""
,
VLOOKUP"&amp;"(D4628,IMPORTRANGE(""https://docs.google.com/spreadsheets/d/14Bd19lYaqBhU8_DElYkX7l4wRkHqqCUFNJY4AfY3kHU/edit?usp=sharing  #gid=0"",""фіз особи new!relations_name_uo""),7,FALSE)
,
)
))"),"ГУСЄВ Сергій Сергійович")</f>
        <v>ГУСЄВ Сергій Сергійович</v>
      </c>
      <c r="G4627" s="7" t="s">
        <v>10</v>
      </c>
      <c r="H4627" s="7">
        <v>234</v>
      </c>
      <c r="I4627" s="8" t="str">
        <f ca="1">IFERROR(__xludf.DUMMYFUNCTION("IF
(
G4628=""фізична особа""
,
VLOOKUP(H4628,IMPORTRANGE(""https://docs.google.com/spreadsheets/d/14Bd19lYaqBhU8_DElYkX7l4wRkHqqCUFNJY4AfY3kHU/edit?usp=sharing  #gid=0"",""фіз особи new!relations_name""),6,FALSE)
,
(IF
(
G4628=""юридична особа""
,
VLOOKUP"&amp;"(H4628,IMPORTRANGE(""https://docs.google.com/spreadsheets/d/14Bd19lYaqBhU8_DElYkX7l4wRkHqqCUFNJY4AfY3kHU/edit?usp=sharing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27" s="7" t="s">
        <v>29</v>
      </c>
    </row>
    <row r="4628" spans="1:10" ht="13.2">
      <c r="A4628" s="7">
        <v>4627</v>
      </c>
      <c r="B4628" s="7">
        <v>1</v>
      </c>
      <c r="C4628" s="7" t="s">
        <v>10</v>
      </c>
      <c r="D4628" s="7">
        <v>3193</v>
      </c>
      <c r="E4628" s="7" t="s">
        <v>28</v>
      </c>
      <c r="F4628" s="8" t="str">
        <f ca="1">IFERROR(__xludf.DUMMYFUNCTION("IF
(
C4629=""фізична особа""
,
VLOOKUP(D4629,IMPORTRANGE(""https://docs.google.com/spreadsheets/d/14Bd19lYaqBhU8_DElYkX7l4wRkHqqCUFNJY4AfY3kHU/edit?usp=sharing  #gid=0"",""фіз особи new!relations_name""),6,FALSE)
,
(IF
(
C4629=""юридична особа""
,
VLOOKUP"&amp;"(D4629,IMPORTRANGE(""https://docs.google.com/spreadsheets/d/14Bd19lYaqBhU8_DElYkX7l4wRkHqqCUFNJY4AfY3kHU/edit?usp=sharing  #gid=0"",""фіз особи new!relations_name_uo""),7,FALSE)
,
)
))"),"ЖАВОРОНКОВ Максим Костянтинович")</f>
        <v>ЖАВОРОНКОВ Максим Костянтинович</v>
      </c>
      <c r="G4628" s="7" t="s">
        <v>10</v>
      </c>
      <c r="H4628" s="7">
        <v>234</v>
      </c>
      <c r="I4628" s="8" t="str">
        <f ca="1">IFERROR(__xludf.DUMMYFUNCTION("IF
(
G4629=""фізична особа""
,
VLOOKUP(H4629,IMPORTRANGE(""https://docs.google.com/spreadsheets/d/14Bd19lYaqBhU8_DElYkX7l4wRkHqqCUFNJY4AfY3kHU/edit?usp=sharing  #gid=0"",""фіз особи new!relations_name""),6,FALSE)
,
(IF
(
G4629=""юридична особа""
,
VLOOKUP"&amp;"(H4629,IMPORTRANGE(""https://docs.google.com/spreadsheets/d/14Bd19lYaqBhU8_DElYkX7l4wRkHqqCUFNJY4AfY3kHU/edit?usp=sharing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28" s="7" t="s">
        <v>29</v>
      </c>
    </row>
    <row r="4629" spans="1:10" ht="13.2">
      <c r="A4629" s="7">
        <v>4628</v>
      </c>
      <c r="B4629" s="7">
        <v>1</v>
      </c>
      <c r="C4629" s="7" t="s">
        <v>10</v>
      </c>
      <c r="D4629" s="7">
        <v>3194</v>
      </c>
      <c r="E4629" s="7" t="s">
        <v>28</v>
      </c>
      <c r="F4629" s="8" t="str">
        <f ca="1">IFERROR(__xludf.DUMMYFUNCTION("IF
(
C4630=""фізична особа""
,
VLOOKUP(D4630,IMPORTRANGE(""https://docs.google.com/spreadsheets/d/14Bd19lYaqBhU8_DElYkX7l4wRkHqqCUFNJY4AfY3kHU/edit?usp=sharing  #gid=0"",""фіз особи new!relations_name""),6,FALSE)
,
(IF
(
C4630=""юридична особа""
,
VLOOKUP"&amp;"(D4630,IMPORTRANGE(""https://docs.google.com/spreadsheets/d/14Bd19lYaqBhU8_DElYkX7l4wRkHqqCUFNJY4AfY3kHU/edit?usp=sharing  #gid=0"",""фіз особи new!relations_name_uo""),7,FALSE)
,
)
))"),"КОГАН Данило Віталійович")</f>
        <v>КОГАН Данило Віталійович</v>
      </c>
      <c r="G4629" s="7" t="s">
        <v>10</v>
      </c>
      <c r="H4629" s="7">
        <v>234</v>
      </c>
      <c r="I4629" s="8" t="str">
        <f ca="1">IFERROR(__xludf.DUMMYFUNCTION("IF
(
G4630=""фізична особа""
,
VLOOKUP(H4630,IMPORTRANGE(""https://docs.google.com/spreadsheets/d/14Bd19lYaqBhU8_DElYkX7l4wRkHqqCUFNJY4AfY3kHU/edit?usp=sharing  #gid=0"",""фіз особи new!relations_name""),6,FALSE)
,
(IF
(
G4630=""юридична особа""
,
VLOOKUP"&amp;"(H4630,IMPORTRANGE(""https://docs.google.com/spreadsheets/d/14Bd19lYaqBhU8_DElYkX7l4wRkHqqCUFNJY4AfY3kHU/edit?usp=sharing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29" s="7" t="s">
        <v>29</v>
      </c>
    </row>
    <row r="4630" spans="1:10" ht="13.2">
      <c r="A4630" s="7">
        <v>4629</v>
      </c>
      <c r="B4630" s="7">
        <v>1</v>
      </c>
      <c r="C4630" s="7" t="s">
        <v>10</v>
      </c>
      <c r="D4630" s="7">
        <v>3195</v>
      </c>
      <c r="E4630" s="7" t="s">
        <v>28</v>
      </c>
      <c r="F4630" s="8" t="str">
        <f ca="1">IFERROR(__xludf.DUMMYFUNCTION("IF
(
C4631=""фізична особа""
,
VLOOKUP(D4631,IMPORTRANGE(""https://docs.google.com/spreadsheets/d/14Bd19lYaqBhU8_DElYkX7l4wRkHqqCUFNJY4AfY3kHU/edit?usp=sharing  #gid=0"",""фіз особи new!relations_name""),6,FALSE)
,
(IF
(
C4631=""юридична особа""
,
VLOOKUP"&amp;"(D4631,IMPORTRANGE(""https://docs.google.com/spreadsheets/d/14Bd19lYaqBhU8_DElYkX7l4wRkHqqCUFNJY4AfY3kHU/edit?usp=sharing  #gid=0"",""фіз особи new!relations_name_uo""),7,FALSE)
,
)
))"),"НОВІКОВ Дмитро Павлович")</f>
        <v>НОВІКОВ Дмитро Павлович</v>
      </c>
      <c r="G4630" s="7" t="s">
        <v>10</v>
      </c>
      <c r="H4630" s="7">
        <v>234</v>
      </c>
      <c r="I4630" s="8" t="str">
        <f ca="1">IFERROR(__xludf.DUMMYFUNCTION("IF
(
G4631=""фізична особа""
,
VLOOKUP(H4631,IMPORTRANGE(""https://docs.google.com/spreadsheets/d/14Bd19lYaqBhU8_DElYkX7l4wRkHqqCUFNJY4AfY3kHU/edit?usp=sharing  #gid=0"",""фіз особи new!relations_name""),6,FALSE)
,
(IF
(
G4631=""юридична особа""
,
VLOOKUP"&amp;"(H4631,IMPORTRANGE(""https://docs.google.com/spreadsheets/d/14Bd19lYaqBhU8_DElYkX7l4wRkHqqCUFNJY4AfY3kHU/edit?usp=sharing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30" s="7" t="s">
        <v>29</v>
      </c>
    </row>
    <row r="4631" spans="1:10" ht="13.2">
      <c r="A4631" s="7">
        <v>4630</v>
      </c>
      <c r="B4631" s="7">
        <v>1</v>
      </c>
      <c r="C4631" s="7" t="s">
        <v>10</v>
      </c>
      <c r="D4631" s="7">
        <v>3196</v>
      </c>
      <c r="E4631" s="7" t="s">
        <v>28</v>
      </c>
      <c r="F4631" s="8" t="str">
        <f ca="1">IFERROR(__xludf.DUMMYFUNCTION("IF
(
C4632=""фізична особа""
,
VLOOKUP(D4632,IMPORTRANGE(""https://docs.google.com/spreadsheets/d/14Bd19lYaqBhU8_DElYkX7l4wRkHqqCUFNJY4AfY3kHU/edit?usp=sharing  #gid=0"",""фіз особи new!relations_name""),6,FALSE)
,
(IF
(
C4632=""юридична особа""
,
VLOOKUP"&amp;"(D4632,IMPORTRANGE(""https://docs.google.com/spreadsheets/d/14Bd19lYaqBhU8_DElYkX7l4wRkHqqCUFNJY4AfY3kHU/edit?usp=sharing  #gid=0"",""фіз особи new!relations_name_uo""),7,FALSE)
,
)
))"),"ЧИКИРЕВ Сергій Олексійович")</f>
        <v>ЧИКИРЕВ Сергій Олексійович</v>
      </c>
      <c r="G4631" s="7" t="s">
        <v>10</v>
      </c>
      <c r="H4631" s="7">
        <v>234</v>
      </c>
      <c r="I4631" s="8" t="str">
        <f ca="1">IFERROR(__xludf.DUMMYFUNCTION("IF
(
G4632=""фізична особа""
,
VLOOKUP(H4632,IMPORTRANGE(""https://docs.google.com/spreadsheets/d/14Bd19lYaqBhU8_DElYkX7l4wRkHqqCUFNJY4AfY3kHU/edit?usp=sharing  #gid=0"",""фіз особи new!relations_name""),6,FALSE)
,
(IF
(
G4632=""юридична особа""
,
VLOOKUP"&amp;"(H4632,IMPORTRANGE(""https://docs.google.com/spreadsheets/d/14Bd19lYaqBhU8_DElYkX7l4wRkHqqCUFNJY4AfY3kHU/edit?usp=sharing  #gid=0"",""фіз особи new!relations_name_uo""),7,FALSE)
,
)
))"),"ПАМФІЛОВА Елла Олександрівна")</f>
        <v>ПАМФІЛОВА Елла Олександрівна</v>
      </c>
      <c r="J4631" s="7" t="s">
        <v>29</v>
      </c>
    </row>
    <row r="4632" spans="1:10" ht="13.2">
      <c r="A4632" s="7">
        <v>4631</v>
      </c>
      <c r="B4632" s="7">
        <v>1</v>
      </c>
      <c r="C4632" s="7" t="s">
        <v>10</v>
      </c>
      <c r="D4632" s="7">
        <v>3197</v>
      </c>
      <c r="E4632" s="7" t="s">
        <v>28</v>
      </c>
      <c r="F4632" s="8" t="str">
        <f ca="1">IFERROR(__xludf.DUMMYFUNCTION("IF
(
C4633=""фізична особа""
,
VLOOKUP(D4633,IMPORTRANGE(""https://docs.google.com/spreadsheets/d/14Bd19lYaqBhU8_DElYkX7l4wRkHqqCUFNJY4AfY3kHU/edit?usp=sharing  #gid=0"",""фіз особи new!relations_name""),6,FALSE)
,
(IF
(
C4633=""юридична особа""
,
VLOOKUP"&amp;"(D4633,IMPORTRANGE(""https://docs.google.com/spreadsheets/d/14Bd19lYaqBhU8_DElYkX7l4wRkHqqCUFNJY4AfY3kHU/edit?usp=sharing  #gid=0"",""фіз особи new!relations_name_uo""),7,FALSE)
,
)
))"),"АБІСАЛОВ Сослан Русланович")</f>
        <v>АБІСАЛОВ Сослан Русланович</v>
      </c>
      <c r="G4632" s="7" t="s">
        <v>10</v>
      </c>
      <c r="H4632" s="7">
        <v>2395</v>
      </c>
      <c r="I4632" s="8" t="str">
        <f ca="1">IFERROR(__xludf.DUMMYFUNCTION("IF
(
G4633=""фізична особа""
,
VLOOKUP(H4633,IMPORTRANGE(""https://docs.google.com/spreadsheets/d/14Bd19lYaqBhU8_DElYkX7l4wRkHqqCUFNJY4AfY3kHU/edit?usp=sharing  #gid=0"",""фіз особи new!relations_name""),6,FALSE)
,
(IF
(
G4633=""юридична особа""
,
VLOOKUP"&amp;"(H4633,IMPORTRANGE(""https://docs.google.com/spreadsheets/d/14Bd19lYaqBhU8_DElYkX7l4wRkHqqCUFNJY4AfY3kHU/edit?usp=sharing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32" s="7" t="s">
        <v>29</v>
      </c>
    </row>
    <row r="4633" spans="1:10" ht="13.2">
      <c r="A4633" s="7">
        <v>4632</v>
      </c>
      <c r="B4633" s="7">
        <v>1</v>
      </c>
      <c r="C4633" s="7" t="s">
        <v>10</v>
      </c>
      <c r="D4633" s="7">
        <v>3198</v>
      </c>
      <c r="E4633" s="7" t="s">
        <v>28</v>
      </c>
      <c r="F4633" s="8" t="str">
        <f ca="1">IFERROR(__xludf.DUMMYFUNCTION("IF
(
C4634=""фізична особа""
,
VLOOKUP(D4634,IMPORTRANGE(""https://docs.google.com/spreadsheets/d/14Bd19lYaqBhU8_DElYkX7l4wRkHqqCUFNJY4AfY3kHU/edit?usp=sharing  #gid=0"",""фіз особи new!relations_name""),6,FALSE)
,
(IF
(
C4634=""юридична особа""
,
VLOOKUP"&amp;"(D4634,IMPORTRANGE(""https://docs.google.com/spreadsheets/d/14Bd19lYaqBhU8_DElYkX7l4wRkHqqCUFNJY4AfY3kHU/edit?usp=sharing  #gid=0"",""фіз особи new!relations_name_uo""),7,FALSE)
,
)
))"),"НЕВЗОРОВ Денис Олексійович")</f>
        <v>НЕВЗОРОВ Денис Олексійович</v>
      </c>
      <c r="G4633" s="7" t="s">
        <v>10</v>
      </c>
      <c r="H4633" s="7">
        <v>2395</v>
      </c>
      <c r="I4633" s="8" t="str">
        <f ca="1">IFERROR(__xludf.DUMMYFUNCTION("IF
(
G4634=""фізична особа""
,
VLOOKUP(H4634,IMPORTRANGE(""https://docs.google.com/spreadsheets/d/14Bd19lYaqBhU8_DElYkX7l4wRkHqqCUFNJY4AfY3kHU/edit?usp=sharing  #gid=0"",""фіз особи new!relations_name""),6,FALSE)
,
(IF
(
G4634=""юридична особа""
,
VLOOKUP"&amp;"(H4634,IMPORTRANGE(""https://docs.google.com/spreadsheets/d/14Bd19lYaqBhU8_DElYkX7l4wRkHqqCUFNJY4AfY3kHU/edit?usp=sharing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33" s="7" t="s">
        <v>29</v>
      </c>
    </row>
    <row r="4634" spans="1:10" ht="13.2">
      <c r="A4634" s="7">
        <v>4633</v>
      </c>
      <c r="B4634" s="7">
        <v>1</v>
      </c>
      <c r="C4634" s="7" t="s">
        <v>10</v>
      </c>
      <c r="D4634" s="7">
        <v>3199</v>
      </c>
      <c r="E4634" s="7" t="s">
        <v>28</v>
      </c>
      <c r="F4634" s="8" t="str">
        <f ca="1">IFERROR(__xludf.DUMMYFUNCTION("IF
(
C4635=""фізична особа""
,
VLOOKUP(D4635,IMPORTRANGE(""https://docs.google.com/spreadsheets/d/14Bd19lYaqBhU8_DElYkX7l4wRkHqqCUFNJY4AfY3kHU/edit?usp=sharing  #gid=0"",""фіз особи new!relations_name""),6,FALSE)
,
(IF
(
C4635=""юридична особа""
,
VLOOKUP"&amp;"(D4635,IMPORTRANGE(""https://docs.google.com/spreadsheets/d/14Bd19lYaqBhU8_DElYkX7l4wRkHqqCUFNJY4AfY3kHU/edit?usp=sharing  #gid=0"",""фіз особи new!relations_name_uo""),7,FALSE)
,
)
))"),"АЛТАБАЄВ Віталій Володимирович")</f>
        <v>АЛТАБАЄВ Віталій Володимирович</v>
      </c>
      <c r="G4634" s="7" t="s">
        <v>10</v>
      </c>
      <c r="H4634" s="7">
        <v>2395</v>
      </c>
      <c r="I4634" s="8" t="str">
        <f ca="1">IFERROR(__xludf.DUMMYFUNCTION("IF
(
G4635=""фізична особа""
,
VLOOKUP(H4635,IMPORTRANGE(""https://docs.google.com/spreadsheets/d/14Bd19lYaqBhU8_DElYkX7l4wRkHqqCUFNJY4AfY3kHU/edit?usp=sharing  #gid=0"",""фіз особи new!relations_name""),6,FALSE)
,
(IF
(
G4635=""юридична особа""
,
VLOOKUP"&amp;"(H4635,IMPORTRANGE(""https://docs.google.com/spreadsheets/d/14Bd19lYaqBhU8_DElYkX7l4wRkHqqCUFNJY4AfY3kHU/edit?usp=sharing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34" s="7" t="s">
        <v>29</v>
      </c>
    </row>
    <row r="4635" spans="1:10" ht="13.2">
      <c r="A4635" s="7">
        <v>4634</v>
      </c>
      <c r="B4635" s="7">
        <v>1</v>
      </c>
      <c r="C4635" s="7" t="s">
        <v>10</v>
      </c>
      <c r="D4635" s="7">
        <v>3200</v>
      </c>
      <c r="E4635" s="7" t="s">
        <v>28</v>
      </c>
      <c r="F4635" s="8" t="str">
        <f ca="1">IFERROR(__xludf.DUMMYFUNCTION("IF
(
C4636=""фізична особа""
,
VLOOKUP(D4636,IMPORTRANGE(""https://docs.google.com/spreadsheets/d/14Bd19lYaqBhU8_DElYkX7l4wRkHqqCUFNJY4AfY3kHU/edit?usp=sharing  #gid=0"",""фіз особи new!relations_name""),6,FALSE)
,
(IF
(
C4636=""юридична особа""
,
VLOOKUP"&amp;"(D4636,IMPORTRANGE(""https://docs.google.com/spreadsheets/d/14Bd19lYaqBhU8_DElYkX7l4wRkHqqCUFNJY4AfY3kHU/edit?usp=sharing  #gid=0"",""фіз особи new!relations_name_uo""),7,FALSE)
,
)
))"),"БЄЛЯКОВА Зара Габдулівна")</f>
        <v>БЄЛЯКОВА Зара Габдулівна</v>
      </c>
      <c r="G4635" s="7" t="s">
        <v>10</v>
      </c>
      <c r="H4635" s="7">
        <v>99</v>
      </c>
      <c r="I4635" s="8" t="str">
        <f ca="1">IFERROR(__xludf.DUMMYFUNCTION("IF
(
G4636=""фізична особа""
,
VLOOKUP(H4636,IMPORTRANGE(""https://docs.google.com/spreadsheets/d/14Bd19lYaqBhU8_DElYkX7l4wRkHqqCUFNJY4AfY3kHU/edit?usp=sharing  #gid=0"",""фіз особи new!relations_name""),6,FALSE)
,
(IF
(
G4636=""юридична особа""
,
VLOOKUP"&amp;"(H4636,IMPORTRANGE(""https://docs.google.com/spreadsheets/d/14Bd19lYaqBhU8_DElYkX7l4wRkHqqCUFNJY4AfY3kHU/edit?usp=sharing  #gid=0"",""фіз особи new!relations_name_uo""),7,FALSE)
,
)
))"),"СІЛУАНОВ Антон Германович")</f>
        <v>СІЛУАНОВ Антон Германович</v>
      </c>
      <c r="J4635" s="7" t="s">
        <v>29</v>
      </c>
    </row>
    <row r="4636" spans="1:10" ht="13.2">
      <c r="A4636" s="7">
        <v>4635</v>
      </c>
      <c r="B4636" s="7">
        <v>1</v>
      </c>
      <c r="C4636" s="7" t="s">
        <v>10</v>
      </c>
      <c r="D4636" s="7">
        <v>3201</v>
      </c>
      <c r="E4636" s="7" t="s">
        <v>28</v>
      </c>
      <c r="F4636" s="8" t="str">
        <f ca="1">IFERROR(__xludf.DUMMYFUNCTION("IF
(
C4637=""фізична особа""
,
VLOOKUP(D4637,IMPORTRANGE(""https://docs.google.com/spreadsheets/d/14Bd19lYaqBhU8_DElYkX7l4wRkHqqCUFNJY4AfY3kHU/edit?usp=sharing  #gid=0"",""фіз особи new!relations_name""),6,FALSE)
,
(IF
(
C4637=""юридична особа""
,
VLOOKUP"&amp;"(D4637,IMPORTRANGE(""https://docs.google.com/spreadsheets/d/14Bd19lYaqBhU8_DElYkX7l4wRkHqqCUFNJY4AfY3kHU/edit?usp=sharing  #gid=0"",""фіз особи new!relations_name_uo""),7,FALSE)
,
)
))"),"КУЛІКОВА Інна Борисівна")</f>
        <v>КУЛІКОВА Інна Борисівна</v>
      </c>
      <c r="G4636" s="7" t="s">
        <v>10</v>
      </c>
      <c r="H4636" s="7">
        <v>439</v>
      </c>
      <c r="I4636" s="8" t="str">
        <f ca="1">IFERROR(__xludf.DUMMYFUNCTION("IF
(
G4637=""фізична особа""
,
VLOOKUP(H4637,IMPORTRANGE(""https://docs.google.com/spreadsheets/d/14Bd19lYaqBhU8_DElYkX7l4wRkHqqCUFNJY4AfY3kHU/edit?usp=sharing  #gid=0"",""фіз особи new!relations_name""),6,FALSE)
,
(IF
(
G4637=""юридична особа""
,
VLOOKUP"&amp;"(H4637,IMPORTRANGE(""https://docs.google.com/spreadsheets/d/14Bd19lYaqBhU8_DElYkX7l4wRkHqqCUFNJY4AfY3kHU/edit?usp=sharing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36" s="7" t="s">
        <v>29</v>
      </c>
    </row>
    <row r="4637" spans="1:10" ht="13.2">
      <c r="A4637" s="7">
        <v>4636</v>
      </c>
      <c r="B4637" s="7">
        <v>1</v>
      </c>
      <c r="C4637" s="7" t="s">
        <v>10</v>
      </c>
      <c r="D4637" s="7">
        <v>3202</v>
      </c>
      <c r="E4637" s="7" t="s">
        <v>28</v>
      </c>
      <c r="F4637" s="8" t="str">
        <f ca="1">IFERROR(__xludf.DUMMYFUNCTION("IF
(
C4638=""фізична особа""
,
VLOOKUP(D4638,IMPORTRANGE(""https://docs.google.com/spreadsheets/d/14Bd19lYaqBhU8_DElYkX7l4wRkHqqCUFNJY4AfY3kHU/edit?usp=sharing  #gid=0"",""фіз особи new!relations_name""),6,FALSE)
,
(IF
(
C4638=""юридична особа""
,
VLOOKUP"&amp;"(D4638,IMPORTRANGE(""https://docs.google.com/spreadsheets/d/14Bd19lYaqBhU8_DElYkX7l4wRkHqqCUFNJY4AfY3kHU/edit?usp=sharing  #gid=0"",""фіз особи new!relations_name_uo""),7,FALSE)
,
)
))"),"Д'ЯЧЕНКО Михайло Юрійович")</f>
        <v>Д'ЯЧЕНКО Михайло Юрійович</v>
      </c>
      <c r="G4637" s="7" t="s">
        <v>10</v>
      </c>
      <c r="H4637" s="7">
        <v>439</v>
      </c>
      <c r="I4637" s="8" t="str">
        <f ca="1">IFERROR(__xludf.DUMMYFUNCTION("IF
(
G4638=""фізична особа""
,
VLOOKUP(H4638,IMPORTRANGE(""https://docs.google.com/spreadsheets/d/14Bd19lYaqBhU8_DElYkX7l4wRkHqqCUFNJY4AfY3kHU/edit?usp=sharing  #gid=0"",""фіз особи new!relations_name""),6,FALSE)
,
(IF
(
G4638=""юридична особа""
,
VLOOKUP"&amp;"(H4638,IMPORTRANGE(""https://docs.google.com/spreadsheets/d/14Bd19lYaqBhU8_DElYkX7l4wRkHqqCUFNJY4AfY3kHU/edit?usp=sharing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37" s="7" t="s">
        <v>29</v>
      </c>
    </row>
    <row r="4638" spans="1:10" ht="13.2">
      <c r="A4638" s="7">
        <v>4637</v>
      </c>
      <c r="B4638" s="7">
        <v>1</v>
      </c>
      <c r="C4638" s="7" t="s">
        <v>10</v>
      </c>
      <c r="D4638" s="7">
        <v>3203</v>
      </c>
      <c r="E4638" s="7" t="s">
        <v>28</v>
      </c>
      <c r="F4638" s="8" t="str">
        <f ca="1">IFERROR(__xludf.DUMMYFUNCTION("IF
(
C4639=""фізична особа""
,
VLOOKUP(D4639,IMPORTRANGE(""https://docs.google.com/spreadsheets/d/14Bd19lYaqBhU8_DElYkX7l4wRkHqqCUFNJY4AfY3kHU/edit?usp=sharing  #gid=0"",""фіз особи new!relations_name""),6,FALSE)
,
(IF
(
C4639=""юридична особа""
,
VLOOKUP"&amp;"(D4639,IMPORTRANGE(""https://docs.google.com/spreadsheets/d/14Bd19lYaqBhU8_DElYkX7l4wRkHqqCUFNJY4AfY3kHU/edit?usp=sharing  #gid=0"",""фіз особи new!relations_name_uo""),7,FALSE)
,
)
))"),"КАРАКУЛІНА Катерина Валеріївна")</f>
        <v>КАРАКУЛІНА Катерина Валеріївна</v>
      </c>
      <c r="G4638" s="7" t="s">
        <v>10</v>
      </c>
      <c r="H4638" s="7">
        <v>439</v>
      </c>
      <c r="I4638" s="8" t="str">
        <f ca="1">IFERROR(__xludf.DUMMYFUNCTION("IF
(
G4639=""фізична особа""
,
VLOOKUP(H4639,IMPORTRANGE(""https://docs.google.com/spreadsheets/d/14Bd19lYaqBhU8_DElYkX7l4wRkHqqCUFNJY4AfY3kHU/edit?usp=sharing  #gid=0"",""фіз особи new!relations_name""),6,FALSE)
,
(IF
(
G4639=""юридична особа""
,
VLOOKUP"&amp;"(H4639,IMPORTRANGE(""https://docs.google.com/spreadsheets/d/14Bd19lYaqBhU8_DElYkX7l4wRkHqqCUFNJY4AfY3kHU/edit?usp=sharing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38" s="7" t="s">
        <v>29</v>
      </c>
    </row>
    <row r="4639" spans="1:10" ht="13.2">
      <c r="A4639" s="7">
        <v>4638</v>
      </c>
      <c r="B4639" s="7">
        <v>1</v>
      </c>
      <c r="C4639" s="7" t="s">
        <v>10</v>
      </c>
      <c r="D4639" s="7">
        <v>3204</v>
      </c>
      <c r="E4639" s="7" t="s">
        <v>28</v>
      </c>
      <c r="F4639" s="8" t="str">
        <f ca="1">IFERROR(__xludf.DUMMYFUNCTION("IF
(
C4640=""фізична особа""
,
VLOOKUP(D4640,IMPORTRANGE(""https://docs.google.com/spreadsheets/d/14Bd19lYaqBhU8_DElYkX7l4wRkHqqCUFNJY4AfY3kHU/edit?usp=sharing  #gid=0"",""фіз особи new!relations_name""),6,FALSE)
,
(IF
(
C4640=""юридична особа""
,
VLOOKUP"&amp;"(D4640,IMPORTRANGE(""https://docs.google.com/spreadsheets/d/14Bd19lYaqBhU8_DElYkX7l4wRkHqqCUFNJY4AfY3kHU/edit?usp=sharing  #gid=0"",""фіз особи new!relations_name_uo""),7,FALSE)
,
)
))"),"ШЕШКО Олена Леонідівна")</f>
        <v>ШЕШКО Олена Леонідівна</v>
      </c>
      <c r="G4639" s="7" t="s">
        <v>10</v>
      </c>
      <c r="H4639" s="7">
        <v>439</v>
      </c>
      <c r="I4639" s="8" t="str">
        <f ca="1">IFERROR(__xludf.DUMMYFUNCTION("IF
(
G4640=""фізична особа""
,
VLOOKUP(H4640,IMPORTRANGE(""https://docs.google.com/spreadsheets/d/14Bd19lYaqBhU8_DElYkX7l4wRkHqqCUFNJY4AfY3kHU/edit?usp=sharing  #gid=0"",""фіз особи new!relations_name""),6,FALSE)
,
(IF
(
G4640=""юридична особа""
,
VLOOKUP"&amp;"(H4640,IMPORTRANGE(""https://docs.google.com/spreadsheets/d/14Bd19lYaqBhU8_DElYkX7l4wRkHqqCUFNJY4AfY3kHU/edit?usp=sharing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39" s="7" t="s">
        <v>29</v>
      </c>
    </row>
    <row r="4640" spans="1:10" ht="13.2">
      <c r="A4640" s="7">
        <v>4639</v>
      </c>
      <c r="B4640" s="7">
        <v>1</v>
      </c>
      <c r="C4640" s="7" t="s">
        <v>10</v>
      </c>
      <c r="D4640" s="7">
        <v>3205</v>
      </c>
      <c r="E4640" s="7" t="s">
        <v>28</v>
      </c>
      <c r="F4640" s="8" t="str">
        <f ca="1">IFERROR(__xludf.DUMMYFUNCTION("IF
(
C4641=""фізична особа""
,
VLOOKUP(D4641,IMPORTRANGE(""https://docs.google.com/spreadsheets/d/14Bd19lYaqBhU8_DElYkX7l4wRkHqqCUFNJY4AfY3kHU/edit?usp=sharing  #gid=0"",""фіз особи new!relations_name""),6,FALSE)
,
(IF
(
C4641=""юридична особа""
,
VLOOKUP"&amp;"(D4641,IMPORTRANGE(""https://docs.google.com/spreadsheets/d/14Bd19lYaqBhU8_DElYkX7l4wRkHqqCUFNJY4AfY3kHU/edit?usp=sharing  #gid=0"",""фіз особи new!relations_name_uo""),7,FALSE)
,
)
))"),"ТИХОМИРОВ Олексій Петрович")</f>
        <v>ТИХОМИРОВ Олексій Петрович</v>
      </c>
      <c r="G4640" s="7" t="s">
        <v>10</v>
      </c>
      <c r="H4640" s="7">
        <v>325</v>
      </c>
      <c r="I4640" s="8" t="str">
        <f ca="1">IFERROR(__xludf.DUMMYFUNCTION("IF
(
G4641=""фізична особа""
,
VLOOKUP(H4641,IMPORTRANGE(""https://docs.google.com/spreadsheets/d/14Bd19lYaqBhU8_DElYkX7l4wRkHqqCUFNJY4AfY3kHU/edit?usp=sharing  #gid=0"",""фіз особи new!relations_name""),6,FALSE)
,
(IF
(
G4641=""юридична особа""
,
VLOOKUP"&amp;"(H4641,IMPORTRANGE(""https://docs.google.com/spreadsheets/d/14Bd19lYaqBhU8_DElYkX7l4wRkHqqCUFNJY4AfY3kHU/edit?usp=sharing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40" s="7" t="s">
        <v>29</v>
      </c>
    </row>
    <row r="4641" spans="1:10" ht="13.2">
      <c r="A4641" s="7">
        <v>4640</v>
      </c>
      <c r="B4641" s="7">
        <v>1</v>
      </c>
      <c r="C4641" s="7" t="s">
        <v>10</v>
      </c>
      <c r="D4641" s="7">
        <v>3206</v>
      </c>
      <c r="E4641" s="7" t="s">
        <v>28</v>
      </c>
      <c r="F4641" s="8" t="str">
        <f ca="1">IFERROR(__xludf.DUMMYFUNCTION("IF
(
C4642=""фізична особа""
,
VLOOKUP(D4642,IMPORTRANGE(""https://docs.google.com/spreadsheets/d/14Bd19lYaqBhU8_DElYkX7l4wRkHqqCUFNJY4AfY3kHU/edit?usp=sharing  #gid=0"",""фіз особи new!relations_name""),6,FALSE)
,
(IF
(
C4642=""юридична особа""
,
VLOOKUP"&amp;"(D4642,IMPORTRANGE(""https://docs.google.com/spreadsheets/d/14Bd19lYaqBhU8_DElYkX7l4wRkHqqCUFNJY4AfY3kHU/edit?usp=sharing  #gid=0"",""фіз особи new!relations_name_uo""),7,FALSE)
,
)
))"),"МУЦЕНЕК Юрій Петрович")</f>
        <v>МУЦЕНЕК Юрій Петрович</v>
      </c>
      <c r="G4641" s="7" t="s">
        <v>10</v>
      </c>
      <c r="H4641" s="7">
        <v>325</v>
      </c>
      <c r="I4641" s="8" t="str">
        <f ca="1">IFERROR(__xludf.DUMMYFUNCTION("IF
(
G4642=""фізична особа""
,
VLOOKUP(H4642,IMPORTRANGE(""https://docs.google.com/spreadsheets/d/14Bd19lYaqBhU8_DElYkX7l4wRkHqqCUFNJY4AfY3kHU/edit?usp=sharing  #gid=0"",""фіз особи new!relations_name""),6,FALSE)
,
(IF
(
G4642=""юридична особа""
,
VLOOKUP"&amp;"(H4642,IMPORTRANGE(""https://docs.google.com/spreadsheets/d/14Bd19lYaqBhU8_DElYkX7l4wRkHqqCUFNJY4AfY3kHU/edit?usp=sharing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41" s="7" t="s">
        <v>29</v>
      </c>
    </row>
    <row r="4642" spans="1:10" ht="13.2">
      <c r="A4642" s="7">
        <v>4641</v>
      </c>
      <c r="B4642" s="7">
        <v>1</v>
      </c>
      <c r="C4642" s="7" t="s">
        <v>10</v>
      </c>
      <c r="D4642" s="7">
        <v>3207</v>
      </c>
      <c r="E4642" s="7" t="s">
        <v>28</v>
      </c>
      <c r="F4642" s="8" t="str">
        <f ca="1">IFERROR(__xludf.DUMMYFUNCTION("IF
(
C4643=""фізична особа""
,
VLOOKUP(D4643,IMPORTRANGE(""https://docs.google.com/spreadsheets/d/14Bd19lYaqBhU8_DElYkX7l4wRkHqqCUFNJY4AfY3kHU/edit?usp=sharing  #gid=0"",""фіз особи new!relations_name""),6,FALSE)
,
(IF
(
C4643=""юридична особа""
,
VLOOKUP"&amp;"(D4643,IMPORTRANGE(""https://docs.google.com/spreadsheets/d/14Bd19lYaqBhU8_DElYkX7l4wRkHqqCUFNJY4AfY3kHU/edit?usp=sharing  #gid=0"",""фіз особи new!relations_name_uo""),7,FALSE)
,
)
))"),"САРАЄВА Людмила Анатоліївна")</f>
        <v>САРАЄВА Людмила Анатоліївна</v>
      </c>
      <c r="G4642" s="7" t="s">
        <v>10</v>
      </c>
      <c r="H4642" s="7">
        <v>2417</v>
      </c>
      <c r="I4642" s="8" t="str">
        <f ca="1">IFERROR(__xludf.DUMMYFUNCTION("IF
(
G4643=""фізична особа""
,
VLOOKUP(H4643,IMPORTRANGE(""https://docs.google.com/spreadsheets/d/14Bd19lYaqBhU8_DElYkX7l4wRkHqqCUFNJY4AfY3kHU/edit?usp=sharing  #gid=0"",""фіз особи new!relations_name""),6,FALSE)
,
(IF
(
G4643=""юридична особа""
,
VLOOKUP"&amp;"(H4643,IMPORTRANGE(""https://docs.google.com/spreadsheets/d/14Bd19lYaqBhU8_DElYkX7l4wRkHqqCUFNJY4AfY3kHU/edit?usp=sharing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2" s="7" t="s">
        <v>29</v>
      </c>
    </row>
    <row r="4643" spans="1:10" ht="13.2">
      <c r="A4643" s="7">
        <v>4642</v>
      </c>
      <c r="B4643" s="7">
        <v>1</v>
      </c>
      <c r="C4643" s="7" t="s">
        <v>10</v>
      </c>
      <c r="D4643" s="7">
        <v>3208</v>
      </c>
      <c r="E4643" s="7" t="s">
        <v>28</v>
      </c>
      <c r="F4643" s="8" t="str">
        <f ca="1">IFERROR(__xludf.DUMMYFUNCTION("IF
(
C4644=""фізична особа""
,
VLOOKUP(D4644,IMPORTRANGE(""https://docs.google.com/spreadsheets/d/14Bd19lYaqBhU8_DElYkX7l4wRkHqqCUFNJY4AfY3kHU/edit?usp=sharing  #gid=0"",""фіз особи new!relations_name""),6,FALSE)
,
(IF
(
C4644=""юридична особа""
,
VLOOKUP"&amp;"(D4644,IMPORTRANGE(""https://docs.google.com/spreadsheets/d/14Bd19lYaqBhU8_DElYkX7l4wRkHqqCUFNJY4AfY3kHU/edit?usp=sharing  #gid=0"",""фіз особи new!relations_name_uo""),7,FALSE)
,
)
))"),"ДРОЗДОВ Олексій Сергійович")</f>
        <v>ДРОЗДОВ Олексій Сергійович</v>
      </c>
      <c r="G4643" s="7" t="s">
        <v>10</v>
      </c>
      <c r="H4643" s="7">
        <v>2417</v>
      </c>
      <c r="I4643" s="8" t="str">
        <f ca="1">IFERROR(__xludf.DUMMYFUNCTION("IF
(
G4644=""фізична особа""
,
VLOOKUP(H4644,IMPORTRANGE(""https://docs.google.com/spreadsheets/d/14Bd19lYaqBhU8_DElYkX7l4wRkHqqCUFNJY4AfY3kHU/edit?usp=sharing  #gid=0"",""фіз особи new!relations_name""),6,FALSE)
,
(IF
(
G4644=""юридична особа""
,
VLOOKUP"&amp;"(H4644,IMPORTRANGE(""https://docs.google.com/spreadsheets/d/14Bd19lYaqBhU8_DElYkX7l4wRkHqqCUFNJY4AfY3kHU/edit?usp=sharing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3" s="7" t="s">
        <v>29</v>
      </c>
    </row>
    <row r="4644" spans="1:10" ht="13.2">
      <c r="A4644" s="7">
        <v>4643</v>
      </c>
      <c r="B4644" s="7">
        <v>1</v>
      </c>
      <c r="C4644" s="7" t="s">
        <v>10</v>
      </c>
      <c r="D4644" s="7">
        <v>3209</v>
      </c>
      <c r="E4644" s="7" t="s">
        <v>28</v>
      </c>
      <c r="F4644" s="8" t="str">
        <f ca="1">IFERROR(__xludf.DUMMYFUNCTION("IF
(
C4645=""фізична особа""
,
VLOOKUP(D4645,IMPORTRANGE(""https://docs.google.com/spreadsheets/d/14Bd19lYaqBhU8_DElYkX7l4wRkHqqCUFNJY4AfY3kHU/edit?usp=sharing  #gid=0"",""фіз особи new!relations_name""),6,FALSE)
,
(IF
(
C4645=""юридична особа""
,
VLOOKUP"&amp;"(D4645,IMPORTRANGE(""https://docs.google.com/spreadsheets/d/14Bd19lYaqBhU8_DElYkX7l4wRkHqqCUFNJY4AfY3kHU/edit?usp=sharing  #gid=0"",""фіз особи new!relations_name_uo""),7,FALSE)
,
)
))"),"УРАЗОВ Максим Сергійович")</f>
        <v>УРАЗОВ Максим Сергійович</v>
      </c>
      <c r="G4644" s="7" t="s">
        <v>10</v>
      </c>
      <c r="H4644" s="7">
        <v>2417</v>
      </c>
      <c r="I4644" s="8" t="str">
        <f ca="1">IFERROR(__xludf.DUMMYFUNCTION("IF
(
G4645=""фізична особа""
,
VLOOKUP(H4645,IMPORTRANGE(""https://docs.google.com/spreadsheets/d/14Bd19lYaqBhU8_DElYkX7l4wRkHqqCUFNJY4AfY3kHU/edit?usp=sharing  #gid=0"",""фіз особи new!relations_name""),6,FALSE)
,
(IF
(
G4645=""юридична особа""
,
VLOOKUP"&amp;"(H4645,IMPORTRANGE(""https://docs.google.com/spreadsheets/d/14Bd19lYaqBhU8_DElYkX7l4wRkHqqCUFNJY4AfY3kHU/edit?usp=sharing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4" s="7" t="s">
        <v>29</v>
      </c>
    </row>
    <row r="4645" spans="1:10" ht="13.2">
      <c r="A4645" s="7">
        <v>4644</v>
      </c>
      <c r="B4645" s="7">
        <v>1</v>
      </c>
      <c r="C4645" s="7" t="s">
        <v>10</v>
      </c>
      <c r="D4645" s="7">
        <v>3210</v>
      </c>
      <c r="E4645" s="7" t="s">
        <v>28</v>
      </c>
      <c r="F4645" s="8" t="str">
        <f ca="1">IFERROR(__xludf.DUMMYFUNCTION("IF
(
C4646=""фізична особа""
,
VLOOKUP(D4646,IMPORTRANGE(""https://docs.google.com/spreadsheets/d/14Bd19lYaqBhU8_DElYkX7l4wRkHqqCUFNJY4AfY3kHU/edit?usp=sharing  #gid=0"",""фіз особи new!relations_name""),6,FALSE)
,
(IF
(
C4646=""юридична особа""
,
VLOOKUP"&amp;"(D4646,IMPORTRANGE(""https://docs.google.com/spreadsheets/d/14Bd19lYaqBhU8_DElYkX7l4wRkHqqCUFNJY4AfY3kHU/edit?usp=sharing  #gid=0"",""фіз особи new!relations_name_uo""),7,FALSE)
,
)
))"),"ГОРБУНОВ Олексій Володимирович")</f>
        <v>ГОРБУНОВ Олексій Володимирович</v>
      </c>
      <c r="G4645" s="7" t="s">
        <v>10</v>
      </c>
      <c r="H4645" s="7">
        <v>2417</v>
      </c>
      <c r="I4645" s="8" t="str">
        <f ca="1">IFERROR(__xludf.DUMMYFUNCTION("IF
(
G4646=""фізична особа""
,
VLOOKUP(H4646,IMPORTRANGE(""https://docs.google.com/spreadsheets/d/14Bd19lYaqBhU8_DElYkX7l4wRkHqqCUFNJY4AfY3kHU/edit?usp=sharing  #gid=0"",""фіз особи new!relations_name""),6,FALSE)
,
(IF
(
G4646=""юридична особа""
,
VLOOKUP"&amp;"(H4646,IMPORTRANGE(""https://docs.google.com/spreadsheets/d/14Bd19lYaqBhU8_DElYkX7l4wRkHqqCUFNJY4AfY3kHU/edit?usp=sharing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5" s="7" t="s">
        <v>29</v>
      </c>
    </row>
    <row r="4646" spans="1:10" ht="13.2">
      <c r="A4646" s="7">
        <v>4645</v>
      </c>
      <c r="B4646" s="7">
        <v>1</v>
      </c>
      <c r="C4646" s="7" t="s">
        <v>10</v>
      </c>
      <c r="D4646" s="7">
        <v>3211</v>
      </c>
      <c r="E4646" s="7" t="s">
        <v>28</v>
      </c>
      <c r="F4646" s="8" t="str">
        <f ca="1">IFERROR(__xludf.DUMMYFUNCTION("IF
(
C4647=""фізична особа""
,
VLOOKUP(D4647,IMPORTRANGE(""https://docs.google.com/spreadsheets/d/14Bd19lYaqBhU8_DElYkX7l4wRkHqqCUFNJY4AfY3kHU/edit?usp=sharing  #gid=0"",""фіз особи new!relations_name""),6,FALSE)
,
(IF
(
C4647=""юридична особа""
,
VLOOKUP"&amp;"(D4647,IMPORTRANGE(""https://docs.google.com/spreadsheets/d/14Bd19lYaqBhU8_DElYkX7l4wRkHqqCUFNJY4AfY3kHU/edit?usp=sharing  #gid=0"",""фіз особи new!relations_name_uo""),7,FALSE)
,
)
))"),"ГАБДУЛЛІНА Луїза Римівна")</f>
        <v>ГАБДУЛЛІНА Луїза Римівна</v>
      </c>
      <c r="G4646" s="7" t="s">
        <v>10</v>
      </c>
      <c r="H4646" s="7">
        <v>2417</v>
      </c>
      <c r="I4646" s="8" t="str">
        <f ca="1">IFERROR(__xludf.DUMMYFUNCTION("IF
(
G4647=""фізична особа""
,
VLOOKUP(H4647,IMPORTRANGE(""https://docs.google.com/spreadsheets/d/14Bd19lYaqBhU8_DElYkX7l4wRkHqqCUFNJY4AfY3kHU/edit?usp=sharing  #gid=0"",""фіз особи new!relations_name""),6,FALSE)
,
(IF
(
G4647=""юридична особа""
,
VLOOKUP"&amp;"(H4647,IMPORTRANGE(""https://docs.google.com/spreadsheets/d/14Bd19lYaqBhU8_DElYkX7l4wRkHqqCUFNJY4AfY3kHU/edit?usp=sharing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6" s="7" t="s">
        <v>29</v>
      </c>
    </row>
    <row r="4647" spans="1:10" ht="13.2">
      <c r="A4647" s="7">
        <v>4646</v>
      </c>
      <c r="B4647" s="7">
        <v>1</v>
      </c>
      <c r="C4647" s="7" t="s">
        <v>10</v>
      </c>
      <c r="D4647" s="7">
        <v>3212</v>
      </c>
      <c r="E4647" s="7" t="s">
        <v>28</v>
      </c>
      <c r="F4647" s="8" t="str">
        <f ca="1">IFERROR(__xludf.DUMMYFUNCTION("IF
(
C4648=""фізична особа""
,
VLOOKUP(D4648,IMPORTRANGE(""https://docs.google.com/spreadsheets/d/14Bd19lYaqBhU8_DElYkX7l4wRkHqqCUFNJY4AfY3kHU/edit?usp=sharing  #gid=0"",""фіз особи new!relations_name""),6,FALSE)
,
(IF
(
C4648=""юридична особа""
,
VLOOKUP"&amp;"(D4648,IMPORTRANGE(""https://docs.google.com/spreadsheets/d/14Bd19lYaqBhU8_DElYkX7l4wRkHqqCUFNJY4AfY3kHU/edit?usp=sharing  #gid=0"",""фіз особи new!relations_name_uo""),7,FALSE)
,
)
))"),"АЛЕКСЄЄВ Володимир Геннадійович")</f>
        <v>АЛЕКСЄЄВ Володимир Геннадійович</v>
      </c>
      <c r="G4647" s="7" t="s">
        <v>10</v>
      </c>
      <c r="H4647" s="7">
        <v>2417</v>
      </c>
      <c r="I4647" s="8" t="str">
        <f ca="1">IFERROR(__xludf.DUMMYFUNCTION("IF
(
G4648=""фізична особа""
,
VLOOKUP(H4648,IMPORTRANGE(""https://docs.google.com/spreadsheets/d/14Bd19lYaqBhU8_DElYkX7l4wRkHqqCUFNJY4AfY3kHU/edit?usp=sharing  #gid=0"",""фіз особи new!relations_name""),6,FALSE)
,
(IF
(
G4648=""юридична особа""
,
VLOOKUP"&amp;"(H4648,IMPORTRANGE(""https://docs.google.com/spreadsheets/d/14Bd19lYaqBhU8_DElYkX7l4wRkHqqCUFNJY4AfY3kHU/edit?usp=sharing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7" s="7" t="s">
        <v>29</v>
      </c>
    </row>
    <row r="4648" spans="1:10" ht="13.2">
      <c r="A4648" s="7">
        <v>4647</v>
      </c>
      <c r="B4648" s="7">
        <v>1</v>
      </c>
      <c r="C4648" s="7" t="s">
        <v>10</v>
      </c>
      <c r="D4648" s="7">
        <v>3213</v>
      </c>
      <c r="E4648" s="7" t="s">
        <v>28</v>
      </c>
      <c r="F4648" s="8" t="str">
        <f ca="1">IFERROR(__xludf.DUMMYFUNCTION("IF
(
C4649=""фізична особа""
,
VLOOKUP(D4649,IMPORTRANGE(""https://docs.google.com/spreadsheets/d/14Bd19lYaqBhU8_DElYkX7l4wRkHqqCUFNJY4AfY3kHU/edit?usp=sharing  #gid=0"",""фіз особи new!relations_name""),6,FALSE)
,
(IF
(
C4649=""юридична особа""
,
VLOOKUP"&amp;"(D4649,IMPORTRANGE(""https://docs.google.com/spreadsheets/d/14Bd19lYaqBhU8_DElYkX7l4wRkHqqCUFNJY4AfY3kHU/edit?usp=sharing  #gid=0"",""фіз особи new!relations_name_uo""),7,FALSE)
,
)
))"),"РОСЛЯКОВ Олександр Валерійович")</f>
        <v>РОСЛЯКОВ Олександр Валерійович</v>
      </c>
      <c r="G4648" s="7" t="s">
        <v>10</v>
      </c>
      <c r="H4648" s="7">
        <v>2417</v>
      </c>
      <c r="I4648" s="8" t="str">
        <f ca="1">IFERROR(__xludf.DUMMYFUNCTION("IF
(
G4649=""фізична особа""
,
VLOOKUP(H4649,IMPORTRANGE(""https://docs.google.com/spreadsheets/d/14Bd19lYaqBhU8_DElYkX7l4wRkHqqCUFNJY4AfY3kHU/edit?usp=sharing  #gid=0"",""фіз особи new!relations_name""),6,FALSE)
,
(IF
(
G4649=""юридична особа""
,
VLOOKUP"&amp;"(H4649,IMPORTRANGE(""https://docs.google.com/spreadsheets/d/14Bd19lYaqBhU8_DElYkX7l4wRkHqqCUFNJY4AfY3kHU/edit?usp=sharing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8" s="7" t="s">
        <v>29</v>
      </c>
    </row>
    <row r="4649" spans="1:10" ht="13.2">
      <c r="A4649" s="7">
        <v>4648</v>
      </c>
      <c r="B4649" s="7">
        <v>1</v>
      </c>
      <c r="C4649" s="7" t="s">
        <v>10</v>
      </c>
      <c r="D4649" s="7">
        <v>3214</v>
      </c>
      <c r="E4649" s="7" t="s">
        <v>28</v>
      </c>
      <c r="F4649" s="8" t="str">
        <f ca="1">IFERROR(__xludf.DUMMYFUNCTION("IF
(
C4650=""фізична особа""
,
VLOOKUP(D4650,IMPORTRANGE(""https://docs.google.com/spreadsheets/d/14Bd19lYaqBhU8_DElYkX7l4wRkHqqCUFNJY4AfY3kHU/edit?usp=sharing  #gid=0"",""фіз особи new!relations_name""),6,FALSE)
,
(IF
(
C4650=""юридична особа""
,
VLOOKUP"&amp;"(D4650,IMPORTRANGE(""https://docs.google.com/spreadsheets/d/14Bd19lYaqBhU8_DElYkX7l4wRkHqqCUFNJY4AfY3kHU/edit?usp=sharing  #gid=0"",""фіз особи new!relations_name_uo""),7,FALSE)
,
)
))"),"ВЛАДІМІРСКАЯ Олена Володимирівна")</f>
        <v>ВЛАДІМІРСКАЯ Олена Володимирівна</v>
      </c>
      <c r="G4649" s="7" t="s">
        <v>10</v>
      </c>
      <c r="H4649" s="7">
        <v>2417</v>
      </c>
      <c r="I4649" s="8" t="str">
        <f ca="1">IFERROR(__xludf.DUMMYFUNCTION("IF
(
G4650=""фізична особа""
,
VLOOKUP(H4650,IMPORTRANGE(""https://docs.google.com/spreadsheets/d/14Bd19lYaqBhU8_DElYkX7l4wRkHqqCUFNJY4AfY3kHU/edit?usp=sharing  #gid=0"",""фіз особи new!relations_name""),6,FALSE)
,
(IF
(
G4650=""юридична особа""
,
VLOOKUP"&amp;"(H4650,IMPORTRANGE(""https://docs.google.com/spreadsheets/d/14Bd19lYaqBhU8_DElYkX7l4wRkHqqCUFNJY4AfY3kHU/edit?usp=sharing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49" s="7" t="s">
        <v>29</v>
      </c>
    </row>
    <row r="4650" spans="1:10" ht="13.2">
      <c r="A4650" s="7">
        <v>4649</v>
      </c>
      <c r="B4650" s="7">
        <v>1</v>
      </c>
      <c r="C4650" s="7" t="s">
        <v>10</v>
      </c>
      <c r="D4650" s="7">
        <v>3215</v>
      </c>
      <c r="E4650" s="7" t="s">
        <v>28</v>
      </c>
      <c r="F4650" s="8" t="str">
        <f ca="1">IFERROR(__xludf.DUMMYFUNCTION("IF
(
C4651=""фізична особа""
,
VLOOKUP(D4651,IMPORTRANGE(""https://docs.google.com/spreadsheets/d/14Bd19lYaqBhU8_DElYkX7l4wRkHqqCUFNJY4AfY3kHU/edit?usp=sharing  #gid=0"",""фіз особи new!relations_name""),6,FALSE)
,
(IF
(
C4651=""юридична особа""
,
VLOOKUP"&amp;"(D4651,IMPORTRANGE(""https://docs.google.com/spreadsheets/d/14Bd19lYaqBhU8_DElYkX7l4wRkHqqCUFNJY4AfY3kHU/edit?usp=sharing  #gid=0"",""фіз особи new!relations_name_uo""),7,FALSE)
,
)
))"),"НОВІКОВ Андрій Миколайович")</f>
        <v>НОВІКОВ Андрій Миколайович</v>
      </c>
      <c r="G4650" s="7" t="s">
        <v>10</v>
      </c>
      <c r="H4650" s="7">
        <v>2417</v>
      </c>
      <c r="I4650" s="8" t="str">
        <f ca="1">IFERROR(__xludf.DUMMYFUNCTION("IF
(
G4651=""фізична особа""
,
VLOOKUP(H4651,IMPORTRANGE(""https://docs.google.com/spreadsheets/d/14Bd19lYaqBhU8_DElYkX7l4wRkHqqCUFNJY4AfY3kHU/edit?usp=sharing  #gid=0"",""фіз особи new!relations_name""),6,FALSE)
,
(IF
(
G4651=""юридична особа""
,
VLOOKUP"&amp;"(H4651,IMPORTRANGE(""https://docs.google.com/spreadsheets/d/14Bd19lYaqBhU8_DElYkX7l4wRkHqqCUFNJY4AfY3kHU/edit?usp=sharing  #gid=0"",""фіз особи new!relations_name_uo""),7,FALSE)
,
)
))"),"МАТИЦИН Олег Васильович")</f>
        <v>МАТИЦИН Олег Васильович</v>
      </c>
      <c r="J4650" s="7" t="s">
        <v>29</v>
      </c>
    </row>
    <row r="4651" spans="1:10" ht="13.2">
      <c r="A4651" s="7">
        <v>4650</v>
      </c>
      <c r="B4651" s="7">
        <v>1</v>
      </c>
      <c r="C4651" s="7" t="s">
        <v>10</v>
      </c>
      <c r="D4651" s="7">
        <v>3216</v>
      </c>
      <c r="E4651" s="7" t="s">
        <v>28</v>
      </c>
      <c r="F4651" s="8" t="str">
        <f ca="1">IFERROR(__xludf.DUMMYFUNCTION("IF
(
C4652=""фізична особа""
,
VLOOKUP(D4652,IMPORTRANGE(""https://docs.google.com/spreadsheets/d/14Bd19lYaqBhU8_DElYkX7l4wRkHqqCUFNJY4AfY3kHU/edit?usp=sharing  #gid=0"",""фіз особи new!relations_name""),6,FALSE)
,
(IF
(
C4652=""юридична особа""
,
VLOOKUP"&amp;"(D4652,IMPORTRANGE(""https://docs.google.com/spreadsheets/d/14Bd19lYaqBhU8_DElYkX7l4wRkHqqCUFNJY4AfY3kHU/edit?usp=sharing  #gid=0"",""фіз особи new!relations_name_uo""),7,FALSE)
,
)
))"),"СПЕРАНСЬКИЙ Олег Вадимович")</f>
        <v>СПЕРАНСЬКИЙ Олег Вадимович</v>
      </c>
      <c r="G4651" s="7" t="s">
        <v>10</v>
      </c>
      <c r="H4651" s="7">
        <v>325</v>
      </c>
      <c r="I4651" s="8" t="str">
        <f ca="1">IFERROR(__xludf.DUMMYFUNCTION("IF
(
G4652=""фізична особа""
,
VLOOKUP(H4652,IMPORTRANGE(""https://docs.google.com/spreadsheets/d/14Bd19lYaqBhU8_DElYkX7l4wRkHqqCUFNJY4AfY3kHU/edit?usp=sharing  #gid=0"",""фіз особи new!relations_name""),6,FALSE)
,
(IF
(
G4652=""юридична особа""
,
VLOOKUP"&amp;"(H4652,IMPORTRANGE(""https://docs.google.com/spreadsheets/d/14Bd19lYaqBhU8_DElYkX7l4wRkHqqCUFNJY4AfY3kHU/edit?usp=sharing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1" s="7" t="s">
        <v>29</v>
      </c>
    </row>
    <row r="4652" spans="1:10" ht="13.2">
      <c r="A4652" s="7">
        <v>4651</v>
      </c>
      <c r="B4652" s="7">
        <v>1</v>
      </c>
      <c r="C4652" s="7" t="s">
        <v>10</v>
      </c>
      <c r="D4652" s="7">
        <v>3217</v>
      </c>
      <c r="E4652" s="7" t="s">
        <v>28</v>
      </c>
      <c r="F4652" s="8" t="str">
        <f ca="1">IFERROR(__xludf.DUMMYFUNCTION("IF
(
C4653=""фізична особа""
,
VLOOKUP(D4653,IMPORTRANGE(""https://docs.google.com/spreadsheets/d/14Bd19lYaqBhU8_DElYkX7l4wRkHqqCUFNJY4AfY3kHU/edit?usp=sharing  #gid=0"",""фіз особи new!relations_name""),6,FALSE)
,
(IF
(
C4653=""юридична особа""
,
VLOOKUP"&amp;"(D4653,IMPORTRANGE(""https://docs.google.com/spreadsheets/d/14Bd19lYaqBhU8_DElYkX7l4wRkHqqCUFNJY4AfY3kHU/edit?usp=sharing  #gid=0"",""фіз особи new!relations_name_uo""),7,FALSE)
,
)
))"),"БАРІНОВ Сергій В'ячеславович")</f>
        <v>БАРІНОВ Сергій В'ячеславович</v>
      </c>
      <c r="G4652" s="7" t="s">
        <v>10</v>
      </c>
      <c r="H4652" s="7">
        <v>325</v>
      </c>
      <c r="I4652" s="8" t="str">
        <f ca="1">IFERROR(__xludf.DUMMYFUNCTION("IF
(
G4653=""фізична особа""
,
VLOOKUP(H4653,IMPORTRANGE(""https://docs.google.com/spreadsheets/d/14Bd19lYaqBhU8_DElYkX7l4wRkHqqCUFNJY4AfY3kHU/edit?usp=sharing  #gid=0"",""фіз особи new!relations_name""),6,FALSE)
,
(IF
(
G4653=""юридична особа""
,
VLOOKUP"&amp;"(H4653,IMPORTRANGE(""https://docs.google.com/spreadsheets/d/14Bd19lYaqBhU8_DElYkX7l4wRkHqqCUFNJY4AfY3kHU/edit?usp=sharing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2" s="7" t="s">
        <v>29</v>
      </c>
    </row>
    <row r="4653" spans="1:10" ht="13.2">
      <c r="A4653" s="7">
        <v>4652</v>
      </c>
      <c r="B4653" s="7">
        <v>1</v>
      </c>
      <c r="C4653" s="7" t="s">
        <v>10</v>
      </c>
      <c r="D4653" s="7">
        <v>3218</v>
      </c>
      <c r="E4653" s="7" t="s">
        <v>28</v>
      </c>
      <c r="F4653" s="8" t="str">
        <f ca="1">IFERROR(__xludf.DUMMYFUNCTION("IF
(
C4654=""фізична особа""
,
VLOOKUP(D4654,IMPORTRANGE(""https://docs.google.com/spreadsheets/d/14Bd19lYaqBhU8_DElYkX7l4wRkHqqCUFNJY4AfY3kHU/edit?usp=sharing  #gid=0"",""фіз особи new!relations_name""),6,FALSE)
,
(IF
(
C4654=""юридична особа""
,
VLOOKUP"&amp;"(D4654,IMPORTRANGE(""https://docs.google.com/spreadsheets/d/14Bd19lYaqBhU8_DElYkX7l4wRkHqqCUFNJY4AfY3kHU/edit?usp=sharing  #gid=0"",""фіз особи new!relations_name_uo""),7,FALSE)
,
)
))"),"ГАЛЯМІН Сергій Олегович")</f>
        <v>ГАЛЯМІН Сергій Олегович</v>
      </c>
      <c r="G4653" s="7" t="s">
        <v>10</v>
      </c>
      <c r="H4653" s="7">
        <v>325</v>
      </c>
      <c r="I4653" s="8" t="str">
        <f ca="1">IFERROR(__xludf.DUMMYFUNCTION("IF
(
G4654=""фізична особа""
,
VLOOKUP(H4654,IMPORTRANGE(""https://docs.google.com/spreadsheets/d/14Bd19lYaqBhU8_DElYkX7l4wRkHqqCUFNJY4AfY3kHU/edit?usp=sharing  #gid=0"",""фіз особи new!relations_name""),6,FALSE)
,
(IF
(
G4654=""юридична особа""
,
VLOOKUP"&amp;"(H4654,IMPORTRANGE(""https://docs.google.com/spreadsheets/d/14Bd19lYaqBhU8_DElYkX7l4wRkHqqCUFNJY4AfY3kHU/edit?usp=sharing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3" s="7" t="s">
        <v>29</v>
      </c>
    </row>
    <row r="4654" spans="1:10" ht="13.2">
      <c r="A4654" s="7">
        <v>4653</v>
      </c>
      <c r="B4654" s="7">
        <v>1</v>
      </c>
      <c r="C4654" s="7" t="s">
        <v>10</v>
      </c>
      <c r="D4654" s="7">
        <v>3219</v>
      </c>
      <c r="E4654" s="7" t="s">
        <v>28</v>
      </c>
      <c r="F4654" s="8" t="str">
        <f ca="1">IFERROR(__xludf.DUMMYFUNCTION("IF
(
C4655=""фізична особа""
,
VLOOKUP(D4655,IMPORTRANGE(""https://docs.google.com/spreadsheets/d/14Bd19lYaqBhU8_DElYkX7l4wRkHqqCUFNJY4AfY3kHU/edit?usp=sharing  #gid=0"",""фіз особи new!relations_name""),6,FALSE)
,
(IF
(
C4655=""юридична особа""
,
VLOOKUP"&amp;"(D4655,IMPORTRANGE(""https://docs.google.com/spreadsheets/d/14Bd19lYaqBhU8_DElYkX7l4wRkHqqCUFNJY4AfY3kHU/edit?usp=sharing  #gid=0"",""фіз особи new!relations_name_uo""),7,FALSE)
,
)
))"),"СИНИЧИЧ Марія Володимирівна")</f>
        <v>СИНИЧИЧ Марія Володимирівна</v>
      </c>
      <c r="G4654" s="7" t="s">
        <v>10</v>
      </c>
      <c r="H4654" s="7">
        <v>325</v>
      </c>
      <c r="I4654" s="8" t="str">
        <f ca="1">IFERROR(__xludf.DUMMYFUNCTION("IF
(
G4655=""фізична особа""
,
VLOOKUP(H4655,IMPORTRANGE(""https://docs.google.com/spreadsheets/d/14Bd19lYaqBhU8_DElYkX7l4wRkHqqCUFNJY4AfY3kHU/edit?usp=sharing  #gid=0"",""фіз особи new!relations_name""),6,FALSE)
,
(IF
(
G4655=""юридична особа""
,
VLOOKUP"&amp;"(H4655,IMPORTRANGE(""https://docs.google.com/spreadsheets/d/14Bd19lYaqBhU8_DElYkX7l4wRkHqqCUFNJY4AfY3kHU/edit?usp=sharing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4" s="7" t="s">
        <v>29</v>
      </c>
    </row>
    <row r="4655" spans="1:10" ht="13.2">
      <c r="A4655" s="7">
        <v>4654</v>
      </c>
      <c r="B4655" s="7">
        <v>1</v>
      </c>
      <c r="C4655" s="7" t="s">
        <v>10</v>
      </c>
      <c r="D4655" s="7">
        <v>3220</v>
      </c>
      <c r="E4655" s="7" t="s">
        <v>28</v>
      </c>
      <c r="F4655" s="8" t="str">
        <f ca="1">IFERROR(__xludf.DUMMYFUNCTION("IF
(
C4656=""фізична особа""
,
VLOOKUP(D4656,IMPORTRANGE(""https://docs.google.com/spreadsheets/d/14Bd19lYaqBhU8_DElYkX7l4wRkHqqCUFNJY4AfY3kHU/edit?usp=sharing  #gid=0"",""фіз особи new!relations_name""),6,FALSE)
,
(IF
(
C4656=""юридична особа""
,
VLOOKUP"&amp;"(D4656,IMPORTRANGE(""https://docs.google.com/spreadsheets/d/14Bd19lYaqBhU8_DElYkX7l4wRkHqqCUFNJY4AfY3kHU/edit?usp=sharing  #gid=0"",""фіз особи new!relations_name_uo""),7,FALSE)
,
)
))"),"ВІЛЬДАНОВ Даніс Фанілович")</f>
        <v>ВІЛЬДАНОВ Даніс Фанілович</v>
      </c>
      <c r="G4655" s="7" t="s">
        <v>10</v>
      </c>
      <c r="H4655" s="7">
        <v>325</v>
      </c>
      <c r="I4655" s="8" t="str">
        <f ca="1">IFERROR(__xludf.DUMMYFUNCTION("IF
(
G4656=""фізична особа""
,
VLOOKUP(H4656,IMPORTRANGE(""https://docs.google.com/spreadsheets/d/14Bd19lYaqBhU8_DElYkX7l4wRkHqqCUFNJY4AfY3kHU/edit?usp=sharing  #gid=0"",""фіз особи new!relations_name""),6,FALSE)
,
(IF
(
G4656=""юридична особа""
,
VLOOKUP"&amp;"(H4656,IMPORTRANGE(""https://docs.google.com/spreadsheets/d/14Bd19lYaqBhU8_DElYkX7l4wRkHqqCUFNJY4AfY3kHU/edit?usp=sharing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5" s="7" t="s">
        <v>29</v>
      </c>
    </row>
    <row r="4656" spans="1:10" ht="13.2">
      <c r="A4656" s="7">
        <v>4655</v>
      </c>
      <c r="B4656" s="7">
        <v>1</v>
      </c>
      <c r="C4656" s="7" t="s">
        <v>10</v>
      </c>
      <c r="D4656" s="7">
        <v>3221</v>
      </c>
      <c r="E4656" s="7" t="s">
        <v>28</v>
      </c>
      <c r="F4656" s="8" t="str">
        <f ca="1">IFERROR(__xludf.DUMMYFUNCTION("IF
(
C4657=""фізична особа""
,
VLOOKUP(D4657,IMPORTRANGE(""https://docs.google.com/spreadsheets/d/14Bd19lYaqBhU8_DElYkX7l4wRkHqqCUFNJY4AfY3kHU/edit?usp=sharing  #gid=0"",""фіз особи new!relations_name""),6,FALSE)
,
(IF
(
C4657=""юридична особа""
,
VLOOKUP"&amp;"(D4657,IMPORTRANGE(""https://docs.google.com/spreadsheets/d/14Bd19lYaqBhU8_DElYkX7l4wRkHqqCUFNJY4AfY3kHU/edit?usp=sharing  #gid=0"",""фіз особи new!relations_name_uo""),7,FALSE)
,
)
))"),"ЧЕРНОВ Ілля Олександрович")</f>
        <v>ЧЕРНОВ Ілля Олександрович</v>
      </c>
      <c r="G4656" s="7" t="s">
        <v>10</v>
      </c>
      <c r="H4656" s="7">
        <v>2395</v>
      </c>
      <c r="I4656" s="8" t="str">
        <f ca="1">IFERROR(__xludf.DUMMYFUNCTION("IF
(
G4657=""фізична особа""
,
VLOOKUP(H4657,IMPORTRANGE(""https://docs.google.com/spreadsheets/d/14Bd19lYaqBhU8_DElYkX7l4wRkHqqCUFNJY4AfY3kHU/edit?usp=sharing  #gid=0"",""фіз особи new!relations_name""),6,FALSE)
,
(IF
(
G4657=""юридична особа""
,
VLOOKUP"&amp;"(H4657,IMPORTRANGE(""https://docs.google.com/spreadsheets/d/14Bd19lYaqBhU8_DElYkX7l4wRkHqqCUFNJY4AfY3kHU/edit?usp=sharing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56" s="7" t="s">
        <v>29</v>
      </c>
    </row>
    <row r="4657" spans="1:10" ht="13.2">
      <c r="A4657" s="7">
        <v>4656</v>
      </c>
      <c r="B4657" s="7">
        <v>1</v>
      </c>
      <c r="C4657" s="7" t="s">
        <v>10</v>
      </c>
      <c r="D4657" s="7">
        <v>3222</v>
      </c>
      <c r="E4657" s="7" t="s">
        <v>28</v>
      </c>
      <c r="F4657" s="8" t="str">
        <f ca="1">IFERROR(__xludf.DUMMYFUNCTION("IF
(
C4658=""фізична особа""
,
VLOOKUP(D4658,IMPORTRANGE(""https://docs.google.com/spreadsheets/d/14Bd19lYaqBhU8_DElYkX7l4wRkHqqCUFNJY4AfY3kHU/edit?usp=sharing  #gid=0"",""фіз особи new!relations_name""),6,FALSE)
,
(IF
(
C4658=""юридична особа""
,
VLOOKUP"&amp;"(D4658,IMPORTRANGE(""https://docs.google.com/spreadsheets/d/14Bd19lYaqBhU8_DElYkX7l4wRkHqqCUFNJY4AfY3kHU/edit?usp=sharing  #gid=0"",""фіз особи new!relations_name_uo""),7,FALSE)
,
)
))"),"ПАРФЕНТЬЄВ Микола Олександрович")</f>
        <v>ПАРФЕНТЬЄВ Микола Олександрович</v>
      </c>
      <c r="G4657" s="7" t="s">
        <v>10</v>
      </c>
      <c r="H4657" s="7">
        <v>325</v>
      </c>
      <c r="I4657" s="8" t="str">
        <f ca="1">IFERROR(__xludf.DUMMYFUNCTION("IF
(
G4658=""фізична особа""
,
VLOOKUP(H4658,IMPORTRANGE(""https://docs.google.com/spreadsheets/d/14Bd19lYaqBhU8_DElYkX7l4wRkHqqCUFNJY4AfY3kHU/edit?usp=sharing  #gid=0"",""фіз особи new!relations_name""),6,FALSE)
,
(IF
(
G4658=""юридична особа""
,
VLOOKUP"&amp;"(H4658,IMPORTRANGE(""https://docs.google.com/spreadsheets/d/14Bd19lYaqBhU8_DElYkX7l4wRkHqqCUFNJY4AfY3kHU/edit?usp=sharing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7" s="7" t="s">
        <v>29</v>
      </c>
    </row>
    <row r="4658" spans="1:10" ht="13.2">
      <c r="A4658" s="7">
        <v>4657</v>
      </c>
      <c r="B4658" s="7">
        <v>1</v>
      </c>
      <c r="C4658" s="7" t="s">
        <v>10</v>
      </c>
      <c r="D4658" s="7">
        <v>3223</v>
      </c>
      <c r="E4658" s="7" t="s">
        <v>28</v>
      </c>
      <c r="F4658" s="8" t="str">
        <f ca="1">IFERROR(__xludf.DUMMYFUNCTION("IF
(
C4659=""фізична особа""
,
VLOOKUP(D4659,IMPORTRANGE(""https://docs.google.com/spreadsheets/d/14Bd19lYaqBhU8_DElYkX7l4wRkHqqCUFNJY4AfY3kHU/edit?usp=sharing  #gid=0"",""фіз особи new!relations_name""),6,FALSE)
,
(IF
(
C4659=""юридична особа""
,
VLOOKUP"&amp;"(D4659,IMPORTRANGE(""https://docs.google.com/spreadsheets/d/14Bd19lYaqBhU8_DElYkX7l4wRkHqqCUFNJY4AfY3kHU/edit?usp=sharing  #gid=0"",""фіз особи new!relations_name_uo""),7,FALSE)
,
)
))"),"ТЮТМІНА Ірина Вікторівна")</f>
        <v>ТЮТМІНА Ірина Вікторівна</v>
      </c>
      <c r="G4658" s="7" t="s">
        <v>10</v>
      </c>
      <c r="H4658" s="7">
        <v>325</v>
      </c>
      <c r="I4658" s="8" t="str">
        <f ca="1">IFERROR(__xludf.DUMMYFUNCTION("IF
(
G4659=""фізична особа""
,
VLOOKUP(H4659,IMPORTRANGE(""https://docs.google.com/spreadsheets/d/14Bd19lYaqBhU8_DElYkX7l4wRkHqqCUFNJY4AfY3kHU/edit?usp=sharing  #gid=0"",""фіз особи new!relations_name""),6,FALSE)
,
(IF
(
G4659=""юридична особа""
,
VLOOKUP"&amp;"(H4659,IMPORTRANGE(""https://docs.google.com/spreadsheets/d/14Bd19lYaqBhU8_DElYkX7l4wRkHqqCUFNJY4AfY3kHU/edit?usp=sharing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8" s="7" t="s">
        <v>29</v>
      </c>
    </row>
    <row r="4659" spans="1:10" ht="13.2">
      <c r="A4659" s="7">
        <v>4658</v>
      </c>
      <c r="B4659" s="7">
        <v>1</v>
      </c>
      <c r="C4659" s="7" t="s">
        <v>10</v>
      </c>
      <c r="D4659" s="7">
        <v>3224</v>
      </c>
      <c r="E4659" s="7" t="s">
        <v>28</v>
      </c>
      <c r="F4659" s="8" t="str">
        <f ca="1">IFERROR(__xludf.DUMMYFUNCTION("IF
(
C4660=""фізична особа""
,
VLOOKUP(D4660,IMPORTRANGE(""https://docs.google.com/spreadsheets/d/14Bd19lYaqBhU8_DElYkX7l4wRkHqqCUFNJY4AfY3kHU/edit?usp=sharing  #gid=0"",""фіз особи new!relations_name""),6,FALSE)
,
(IF
(
C4660=""юридична особа""
,
VLOOKUP"&amp;"(D4660,IMPORTRANGE(""https://docs.google.com/spreadsheets/d/14Bd19lYaqBhU8_DElYkX7l4wRkHqqCUFNJY4AfY3kHU/edit?usp=sharing  #gid=0"",""фіз особи new!relations_name_uo""),7,FALSE)
,
)
))"),"КОРНІЄНКО Ольга Валеріївна")</f>
        <v>КОРНІЄНКО Ольга Валеріївна</v>
      </c>
      <c r="G4659" s="7" t="s">
        <v>10</v>
      </c>
      <c r="H4659" s="7">
        <v>325</v>
      </c>
      <c r="I4659" s="8" t="str">
        <f ca="1">IFERROR(__xludf.DUMMYFUNCTION("IF
(
G4660=""фізична особа""
,
VLOOKUP(H4660,IMPORTRANGE(""https://docs.google.com/spreadsheets/d/14Bd19lYaqBhU8_DElYkX7l4wRkHqqCUFNJY4AfY3kHU/edit?usp=sharing  #gid=0"",""фіз особи new!relations_name""),6,FALSE)
,
(IF
(
G4660=""юридична особа""
,
VLOOKUP"&amp;"(H4660,IMPORTRANGE(""https://docs.google.com/spreadsheets/d/14Bd19lYaqBhU8_DElYkX7l4wRkHqqCUFNJY4AfY3kHU/edit?usp=sharing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59" s="7" t="s">
        <v>29</v>
      </c>
    </row>
    <row r="4660" spans="1:10" ht="13.2">
      <c r="A4660" s="7">
        <v>4659</v>
      </c>
      <c r="B4660" s="7">
        <v>1</v>
      </c>
      <c r="C4660" s="7" t="s">
        <v>10</v>
      </c>
      <c r="D4660" s="7">
        <v>3225</v>
      </c>
      <c r="E4660" s="7" t="s">
        <v>28</v>
      </c>
      <c r="F4660" s="8" t="str">
        <f ca="1">IFERROR(__xludf.DUMMYFUNCTION("IF
(
C4661=""фізична особа""
,
VLOOKUP(D4661,IMPORTRANGE(""https://docs.google.com/spreadsheets/d/14Bd19lYaqBhU8_DElYkX7l4wRkHqqCUFNJY4AfY3kHU/edit?usp=sharing  #gid=0"",""фіз особи new!relations_name""),6,FALSE)
,
(IF
(
C4661=""юридична особа""
,
VLOOKUP"&amp;"(D4661,IMPORTRANGE(""https://docs.google.com/spreadsheets/d/14Bd19lYaqBhU8_DElYkX7l4wRkHqqCUFNJY4AfY3kHU/edit?usp=sharing  #gid=0"",""фіз особи new!relations_name_uo""),7,FALSE)
,
)
))"),"КАЛІНКІН Володимир Миколайович")</f>
        <v>КАЛІНКІН Володимир Миколайович</v>
      </c>
      <c r="G4660" s="7" t="s">
        <v>10</v>
      </c>
      <c r="H4660" s="7">
        <v>325</v>
      </c>
      <c r="I4660" s="8" t="str">
        <f ca="1">IFERROR(__xludf.DUMMYFUNCTION("IF
(
G4661=""фізична особа""
,
VLOOKUP(H4661,IMPORTRANGE(""https://docs.google.com/spreadsheets/d/14Bd19lYaqBhU8_DElYkX7l4wRkHqqCUFNJY4AfY3kHU/edit?usp=sharing  #gid=0"",""фіз особи new!relations_name""),6,FALSE)
,
(IF
(
G4661=""юридична особа""
,
VLOOKUP"&amp;"(H4661,IMPORTRANGE(""https://docs.google.com/spreadsheets/d/14Bd19lYaqBhU8_DElYkX7l4wRkHqqCUFNJY4AfY3kHU/edit?usp=sharing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60" s="7" t="s">
        <v>29</v>
      </c>
    </row>
    <row r="4661" spans="1:10" ht="13.2">
      <c r="A4661" s="7">
        <v>4660</v>
      </c>
      <c r="B4661" s="7">
        <v>1</v>
      </c>
      <c r="C4661" s="7" t="s">
        <v>10</v>
      </c>
      <c r="D4661" s="7">
        <v>3226</v>
      </c>
      <c r="E4661" s="7" t="s">
        <v>28</v>
      </c>
      <c r="F4661" s="8" t="str">
        <f ca="1">IFERROR(__xludf.DUMMYFUNCTION("IF
(
C4662=""фізична особа""
,
VLOOKUP(D4662,IMPORTRANGE(""https://docs.google.com/spreadsheets/d/14Bd19lYaqBhU8_DElYkX7l4wRkHqqCUFNJY4AfY3kHU/edit?usp=sharing  #gid=0"",""фіз особи new!relations_name""),6,FALSE)
,
(IF
(
C4662=""юридична особа""
,
VLOOKUP"&amp;"(D4662,IMPORTRANGE(""https://docs.google.com/spreadsheets/d/14Bd19lYaqBhU8_DElYkX7l4wRkHqqCUFNJY4AfY3kHU/edit?usp=sharing  #gid=0"",""фіз особи new!relations_name_uo""),7,FALSE)
,
)
))"),"ЛОГІНОВ Михайло Володимирович")</f>
        <v>ЛОГІНОВ Михайло Володимирович</v>
      </c>
      <c r="G4661" s="7" t="s">
        <v>10</v>
      </c>
      <c r="H4661" s="7">
        <v>2395</v>
      </c>
      <c r="I4661" s="8" t="str">
        <f ca="1">IFERROR(__xludf.DUMMYFUNCTION("IF
(
G4662=""фізична особа""
,
VLOOKUP(H4662,IMPORTRANGE(""https://docs.google.com/spreadsheets/d/14Bd19lYaqBhU8_DElYkX7l4wRkHqqCUFNJY4AfY3kHU/edit?usp=sharing  #gid=0"",""фіз особи new!relations_name""),6,FALSE)
,
(IF
(
G4662=""юридична особа""
,
VLOOKUP"&amp;"(H4662,IMPORTRANGE(""https://docs.google.com/spreadsheets/d/14Bd19lYaqBhU8_DElYkX7l4wRkHqqCUFNJY4AfY3kHU/edit?usp=sharing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61" s="7" t="s">
        <v>29</v>
      </c>
    </row>
    <row r="4662" spans="1:10" ht="13.2">
      <c r="A4662" s="7">
        <v>4661</v>
      </c>
      <c r="B4662" s="7">
        <v>1</v>
      </c>
      <c r="C4662" s="7" t="s">
        <v>10</v>
      </c>
      <c r="D4662" s="7">
        <v>3227</v>
      </c>
      <c r="E4662" s="7" t="s">
        <v>28</v>
      </c>
      <c r="F4662" s="8" t="str">
        <f ca="1">IFERROR(__xludf.DUMMYFUNCTION("IF
(
C4663=""фізична особа""
,
VLOOKUP(D4663,IMPORTRANGE(""https://docs.google.com/spreadsheets/d/14Bd19lYaqBhU8_DElYkX7l4wRkHqqCUFNJY4AfY3kHU/edit?usp=sharing  #gid=0"",""фіз особи new!relations_name""),6,FALSE)
,
(IF
(
C4663=""юридична особа""
,
VLOOKUP"&amp;"(D4663,IMPORTRANGE(""https://docs.google.com/spreadsheets/d/14Bd19lYaqBhU8_DElYkX7l4wRkHqqCUFNJY4AfY3kHU/edit?usp=sharing  #gid=0"",""фіз особи new!relations_name_uo""),7,FALSE)
,
)
))"),"ЛЕЩЕНКО Олеся Олексіївна")</f>
        <v>ЛЕЩЕНКО Олеся Олексіївна</v>
      </c>
      <c r="G4662" s="7" t="s">
        <v>10</v>
      </c>
      <c r="H4662" s="7">
        <v>325</v>
      </c>
      <c r="I4662" s="8" t="str">
        <f ca="1">IFERROR(__xludf.DUMMYFUNCTION("IF
(
G4663=""фізична особа""
,
VLOOKUP(H4663,IMPORTRANGE(""https://docs.google.com/spreadsheets/d/14Bd19lYaqBhU8_DElYkX7l4wRkHqqCUFNJY4AfY3kHU/edit?usp=sharing  #gid=0"",""фіз особи new!relations_name""),6,FALSE)
,
(IF
(
G4663=""юридична особа""
,
VLOOKUP"&amp;"(H4663,IMPORTRANGE(""https://docs.google.com/spreadsheets/d/14Bd19lYaqBhU8_DElYkX7l4wRkHqqCUFNJY4AfY3kHU/edit?usp=sharing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662" s="7" t="s">
        <v>29</v>
      </c>
    </row>
    <row r="4663" spans="1:10" ht="13.2">
      <c r="A4663" s="7">
        <v>4662</v>
      </c>
      <c r="B4663" s="7">
        <v>1</v>
      </c>
      <c r="C4663" s="7" t="s">
        <v>10</v>
      </c>
      <c r="D4663" s="7">
        <v>3228</v>
      </c>
      <c r="E4663" s="7" t="s">
        <v>28</v>
      </c>
      <c r="F4663" s="8" t="str">
        <f ca="1">IFERROR(__xludf.DUMMYFUNCTION("IF
(
C4664=""фізична особа""
,
VLOOKUP(D4664,IMPORTRANGE(""https://docs.google.com/spreadsheets/d/14Bd19lYaqBhU8_DElYkX7l4wRkHqqCUFNJY4AfY3kHU/edit?usp=sharing  #gid=0"",""фіз особи new!relations_name""),6,FALSE)
,
(IF
(
C4664=""юридична особа""
,
VLOOKUP"&amp;"(D4664,IMPORTRANGE(""https://docs.google.com/spreadsheets/d/14Bd19lYaqBhU8_DElYkX7l4wRkHqqCUFNJY4AfY3kHU/edit?usp=sharing  #gid=0"",""фіз особи new!relations_name_uo""),7,FALSE)
,
)
))"),"ЖДАНОВ Олексій Олексійович")</f>
        <v>ЖДАНОВ Олексій Олексійович</v>
      </c>
      <c r="G4663" s="7" t="s">
        <v>10</v>
      </c>
      <c r="H4663" s="7">
        <v>2395</v>
      </c>
      <c r="I4663" s="8" t="str">
        <f ca="1">IFERROR(__xludf.DUMMYFUNCTION("IF
(
G4664=""фізична особа""
,
VLOOKUP(H4664,IMPORTRANGE(""https://docs.google.com/spreadsheets/d/14Bd19lYaqBhU8_DElYkX7l4wRkHqqCUFNJY4AfY3kHU/edit?usp=sharing  #gid=0"",""фіз особи new!relations_name""),6,FALSE)
,
(IF
(
G4664=""юридична особа""
,
VLOOKUP"&amp;"(H4664,IMPORTRANGE(""https://docs.google.com/spreadsheets/d/14Bd19lYaqBhU8_DElYkX7l4wRkHqqCUFNJY4AfY3kHU/edit?usp=sharing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4663" s="7" t="s">
        <v>29</v>
      </c>
    </row>
    <row r="4664" spans="1:10" ht="13.2">
      <c r="A4664" s="7">
        <v>4663</v>
      </c>
      <c r="B4664" s="7">
        <v>1</v>
      </c>
      <c r="C4664" s="7" t="s">
        <v>10</v>
      </c>
      <c r="D4664" s="7">
        <v>3229</v>
      </c>
      <c r="E4664" s="7" t="s">
        <v>28</v>
      </c>
      <c r="F4664" s="8" t="str">
        <f ca="1">IFERROR(__xludf.DUMMYFUNCTION("IF
(
C4665=""фізична особа""
,
VLOOKUP(D4665,IMPORTRANGE(""https://docs.google.com/spreadsheets/d/14Bd19lYaqBhU8_DElYkX7l4wRkHqqCUFNJY4AfY3kHU/edit?usp=sharing  #gid=0"",""фіз особи new!relations_name""),6,FALSE)
,
(IF
(
C4665=""юридична особа""
,
VLOOKUP"&amp;"(D4665,IMPORTRANGE(""https://docs.google.com/spreadsheets/d/14Bd19lYaqBhU8_DElYkX7l4wRkHqqCUFNJY4AfY3kHU/edit?usp=sharing  #gid=0"",""фіз особи new!relations_name_uo""),7,FALSE)
,
)
))"),"ЛЄТНІКОВА Людмила Іванівна")</f>
        <v>ЛЄТНІКОВА Людмила Іванівна</v>
      </c>
      <c r="G4664" s="7" t="s">
        <v>10</v>
      </c>
      <c r="H4664" s="7">
        <v>439</v>
      </c>
      <c r="I4664" s="8" t="str">
        <f ca="1">IFERROR(__xludf.DUMMYFUNCTION("IF
(
G4665=""фізична особа""
,
VLOOKUP(H4665,IMPORTRANGE(""https://docs.google.com/spreadsheets/d/14Bd19lYaqBhU8_DElYkX7l4wRkHqqCUFNJY4AfY3kHU/edit?usp=sharing  #gid=0"",""фіз особи new!relations_name""),6,FALSE)
,
(IF
(
G4665=""юридична особа""
,
VLOOKUP"&amp;"(H4665,IMPORTRANGE(""https://docs.google.com/spreadsheets/d/14Bd19lYaqBhU8_DElYkX7l4wRkHqqCUFNJY4AfY3kHU/edit?usp=sharing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64" s="7" t="s">
        <v>29</v>
      </c>
    </row>
    <row r="4665" spans="1:10" ht="13.2">
      <c r="A4665" s="7">
        <v>4664</v>
      </c>
      <c r="B4665" s="7">
        <v>1</v>
      </c>
      <c r="C4665" s="7" t="s">
        <v>10</v>
      </c>
      <c r="D4665" s="7">
        <v>3230</v>
      </c>
      <c r="E4665" s="7" t="s">
        <v>28</v>
      </c>
      <c r="F4665" s="8" t="str">
        <f ca="1">IFERROR(__xludf.DUMMYFUNCTION("IF
(
C4666=""фізична особа""
,
VLOOKUP(D4666,IMPORTRANGE(""https://docs.google.com/spreadsheets/d/14Bd19lYaqBhU8_DElYkX7l4wRkHqqCUFNJY4AfY3kHU/edit?usp=sharing  #gid=0"",""фіз особи new!relations_name""),6,FALSE)
,
(IF
(
C4666=""юридична особа""
,
VLOOKUP"&amp;"(D4666,IMPORTRANGE(""https://docs.google.com/spreadsheets/d/14Bd19lYaqBhU8_DElYkX7l4wRkHqqCUFNJY4AfY3kHU/edit?usp=sharing  #gid=0"",""фіз особи new!relations_name_uo""),7,FALSE)
,
)
))"),"АСТАПЕНКО Олена Михайлівна")</f>
        <v>АСТАПЕНКО Олена Михайлівна</v>
      </c>
      <c r="G4665" s="7" t="s">
        <v>10</v>
      </c>
      <c r="H4665" s="7">
        <v>439</v>
      </c>
      <c r="I4665" s="8" t="str">
        <f ca="1">IFERROR(__xludf.DUMMYFUNCTION("IF
(
G4666=""фізична особа""
,
VLOOKUP(H4666,IMPORTRANGE(""https://docs.google.com/spreadsheets/d/14Bd19lYaqBhU8_DElYkX7l4wRkHqqCUFNJY4AfY3kHU/edit?usp=sharing  #gid=0"",""фіз особи new!relations_name""),6,FALSE)
,
(IF
(
G4666=""юридична особа""
,
VLOOKUP"&amp;"(H4666,IMPORTRANGE(""https://docs.google.com/spreadsheets/d/14Bd19lYaqBhU8_DElYkX7l4wRkHqqCUFNJY4AfY3kHU/edit?usp=sharing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65" s="7" t="s">
        <v>29</v>
      </c>
    </row>
    <row r="4666" spans="1:10" ht="13.2">
      <c r="A4666" s="7">
        <v>4665</v>
      </c>
      <c r="B4666" s="7">
        <v>1</v>
      </c>
      <c r="C4666" s="7" t="s">
        <v>10</v>
      </c>
      <c r="D4666" s="7">
        <v>3231</v>
      </c>
      <c r="E4666" s="7" t="s">
        <v>28</v>
      </c>
      <c r="F4666" s="8" t="str">
        <f ca="1">IFERROR(__xludf.DUMMYFUNCTION("IF
(
C4667=""фізична особа""
,
VLOOKUP(D4667,IMPORTRANGE(""https://docs.google.com/spreadsheets/d/14Bd19lYaqBhU8_DElYkX7l4wRkHqqCUFNJY4AfY3kHU/edit?usp=sharing  #gid=0"",""фіз особи new!relations_name""),6,FALSE)
,
(IF
(
C4667=""юридична особа""
,
VLOOKUP"&amp;"(D4667,IMPORTRANGE(""https://docs.google.com/spreadsheets/d/14Bd19lYaqBhU8_DElYkX7l4wRkHqqCUFNJY4AfY3kHU/edit?usp=sharing  #gid=0"",""фіз особи new!relations_name_uo""),7,FALSE)
,
)
))"),"КОТОВА Євгенія Григорівна")</f>
        <v>КОТОВА Євгенія Григорівна</v>
      </c>
      <c r="G4666" s="7" t="s">
        <v>10</v>
      </c>
      <c r="H4666" s="7">
        <v>439</v>
      </c>
      <c r="I4666" s="8" t="str">
        <f ca="1">IFERROR(__xludf.DUMMYFUNCTION("IF
(
G4667=""фізична особа""
,
VLOOKUP(H4667,IMPORTRANGE(""https://docs.google.com/spreadsheets/d/14Bd19lYaqBhU8_DElYkX7l4wRkHqqCUFNJY4AfY3kHU/edit?usp=sharing  #gid=0"",""фіз особи new!relations_name""),6,FALSE)
,
(IF
(
G4667=""юридична особа""
,
VLOOKUP"&amp;"(H4667,IMPORTRANGE(""https://docs.google.com/spreadsheets/d/14Bd19lYaqBhU8_DElYkX7l4wRkHqqCUFNJY4AfY3kHU/edit?usp=sharing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66" s="7" t="s">
        <v>29</v>
      </c>
    </row>
    <row r="4667" spans="1:10" ht="13.2">
      <c r="A4667" s="7">
        <v>4666</v>
      </c>
      <c r="B4667" s="7">
        <v>1</v>
      </c>
      <c r="C4667" s="7" t="s">
        <v>10</v>
      </c>
      <c r="D4667" s="7">
        <v>3232</v>
      </c>
      <c r="E4667" s="7" t="s">
        <v>28</v>
      </c>
      <c r="F4667" s="8" t="str">
        <f ca="1">IFERROR(__xludf.DUMMYFUNCTION("IF
(
C4668=""фізична особа""
,
VLOOKUP(D4668,IMPORTRANGE(""https://docs.google.com/spreadsheets/d/14Bd19lYaqBhU8_DElYkX7l4wRkHqqCUFNJY4AfY3kHU/edit?usp=sharing  #gid=0"",""фіз особи new!relations_name""),6,FALSE)
,
(IF
(
C4668=""юридична особа""
,
VLOOKUP"&amp;"(D4668,IMPORTRANGE(""https://docs.google.com/spreadsheets/d/14Bd19lYaqBhU8_DElYkX7l4wRkHqqCUFNJY4AfY3kHU/edit?usp=sharing  #gid=0"",""фіз особи new!relations_name_uo""),7,FALSE)
,
)
))"),"ТРУБНІКОВА Тетяна Миколаївна")</f>
        <v>ТРУБНІКОВА Тетяна Миколаївна</v>
      </c>
      <c r="G4667" s="7" t="s">
        <v>10</v>
      </c>
      <c r="H4667" s="7">
        <v>2346</v>
      </c>
      <c r="I4667" s="8" t="str">
        <f ca="1">IFERROR(__xludf.DUMMYFUNCTION("IF
(
G4668=""фізична особа""
,
VLOOKUP(H4668,IMPORTRANGE(""https://docs.google.com/spreadsheets/d/14Bd19lYaqBhU8_DElYkX7l4wRkHqqCUFNJY4AfY3kHU/edit?usp=sharing  #gid=0"",""фіз особи new!relations_name""),6,FALSE)
,
(IF
(
G4668=""юридична особа""
,
VLOOKUP"&amp;"(H4668,IMPORTRANGE(""https://docs.google.com/spreadsheets/d/14Bd19lYaqBhU8_DElYkX7l4wRkHqqCUFNJY4AfY3kHU/edit?usp=sharing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667" s="7" t="s">
        <v>29</v>
      </c>
    </row>
    <row r="4668" spans="1:10" ht="13.2">
      <c r="A4668" s="7">
        <v>4667</v>
      </c>
      <c r="B4668" s="7">
        <v>1</v>
      </c>
      <c r="C4668" s="7" t="s">
        <v>10</v>
      </c>
      <c r="D4668" s="7">
        <v>3233</v>
      </c>
      <c r="E4668" s="7" t="s">
        <v>28</v>
      </c>
      <c r="F4668" s="8" t="str">
        <f ca="1">IFERROR(__xludf.DUMMYFUNCTION("IF
(
C4669=""фізична особа""
,
VLOOKUP(D4669,IMPORTRANGE(""https://docs.google.com/spreadsheets/d/14Bd19lYaqBhU8_DElYkX7l4wRkHqqCUFNJY4AfY3kHU/edit?usp=sharing  #gid=0"",""фіз особи new!relations_name""),6,FALSE)
,
(IF
(
C4669=""юридична особа""
,
VLOOKUP"&amp;"(D4669,IMPORTRANGE(""https://docs.google.com/spreadsheets/d/14Bd19lYaqBhU8_DElYkX7l4wRkHqqCUFNJY4AfY3kHU/edit?usp=sharing  #gid=0"",""фіз особи new!relations_name_uo""),7,FALSE)
,
)
))"),"КОРОБКО Ігор Вікторович")</f>
        <v>КОРОБКО Ігор Вікторович</v>
      </c>
      <c r="G4668" s="7" t="s">
        <v>10</v>
      </c>
      <c r="H4668" s="7">
        <v>439</v>
      </c>
      <c r="I4668" s="8" t="str">
        <f ca="1">IFERROR(__xludf.DUMMYFUNCTION("IF
(
G4669=""фізична особа""
,
VLOOKUP(H4669,IMPORTRANGE(""https://docs.google.com/spreadsheets/d/14Bd19lYaqBhU8_DElYkX7l4wRkHqqCUFNJY4AfY3kHU/edit?usp=sharing  #gid=0"",""фіз особи new!relations_name""),6,FALSE)
,
(IF
(
G4669=""юридична особа""
,
VLOOKUP"&amp;"(H4669,IMPORTRANGE(""https://docs.google.com/spreadsheets/d/14Bd19lYaqBhU8_DElYkX7l4wRkHqqCUFNJY4AfY3kHU/edit?usp=sharing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668" s="7" t="s">
        <v>29</v>
      </c>
    </row>
    <row r="4669" spans="1:10" ht="13.2">
      <c r="A4669" s="7">
        <v>4668</v>
      </c>
      <c r="B4669" s="7">
        <v>1</v>
      </c>
      <c r="C4669" s="7" t="s">
        <v>10</v>
      </c>
      <c r="D4669" s="7">
        <v>3234</v>
      </c>
      <c r="E4669" s="7" t="s">
        <v>28</v>
      </c>
      <c r="F4669" s="8" t="str">
        <f ca="1">IFERROR(__xludf.DUMMYFUNCTION("IF
(
C4670=""фізична особа""
,
VLOOKUP(D4670,IMPORTRANGE(""https://docs.google.com/spreadsheets/d/14Bd19lYaqBhU8_DElYkX7l4wRkHqqCUFNJY4AfY3kHU/edit?usp=sharing  #gid=0"",""фіз особи new!relations_name""),6,FALSE)
,
(IF
(
C4670=""юридична особа""
,
VLOOKUP"&amp;"(D4670,IMPORTRANGE(""https://docs.google.com/spreadsheets/d/14Bd19lYaqBhU8_DElYkX7l4wRkHqqCUFNJY4AfY3kHU/edit?usp=sharing  #gid=0"",""фіз особи new!relations_name_uo""),7,FALSE)
,
)
))"),"ТИХОНОВ Рустам Сергійович")</f>
        <v>ТИХОНОВ Рустам Сергійович</v>
      </c>
      <c r="G4669" s="7" t="s">
        <v>10</v>
      </c>
      <c r="H4669" s="7">
        <v>435</v>
      </c>
      <c r="I4669" s="8" t="str">
        <f ca="1">IFERROR(__xludf.DUMMYFUNCTION("IF
(
G4670=""фізична особа""
,
VLOOKUP(H4670,IMPORTRANGE(""https://docs.google.com/spreadsheets/d/14Bd19lYaqBhU8_DElYkX7l4wRkHqqCUFNJY4AfY3kHU/edit?usp=sharing  #gid=0"",""фіз особи new!relations_name""),6,FALSE)
,
(IF
(
G4670=""юридична особа""
,
VLOOKUP"&amp;"(H4670,IMPORTRANGE(""https://docs.google.com/spreadsheets/d/14Bd19lYaqBhU8_DElYkX7l4wRkHqqCUFNJY4AfY3kHU/edit?usp=sharing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69" s="7" t="s">
        <v>29</v>
      </c>
    </row>
    <row r="4670" spans="1:10" ht="13.2">
      <c r="A4670" s="7">
        <v>4669</v>
      </c>
      <c r="B4670" s="7">
        <v>1</v>
      </c>
      <c r="C4670" s="7" t="s">
        <v>10</v>
      </c>
      <c r="D4670" s="7">
        <v>3235</v>
      </c>
      <c r="E4670" s="7" t="s">
        <v>28</v>
      </c>
      <c r="F4670" s="8" t="str">
        <f ca="1">IFERROR(__xludf.DUMMYFUNCTION("IF
(
C4671=""фізична особа""
,
VLOOKUP(D4671,IMPORTRANGE(""https://docs.google.com/spreadsheets/d/14Bd19lYaqBhU8_DElYkX7l4wRkHqqCUFNJY4AfY3kHU/edit?usp=sharing  #gid=0"",""фіз особи new!relations_name""),6,FALSE)
,
(IF
(
C4671=""юридична особа""
,
VLOOKUP"&amp;"(D4671,IMPORTRANGE(""https://docs.google.com/spreadsheets/d/14Bd19lYaqBhU8_DElYkX7l4wRkHqqCUFNJY4AfY3kHU/edit?usp=sharing  #gid=0"",""фіз особи new!relations_name_uo""),7,FALSE)
,
)
))"),"ГЕРШАНОК Лев Валентинович")</f>
        <v>ГЕРШАНОК Лев Валентинович</v>
      </c>
      <c r="G4670" s="7" t="s">
        <v>10</v>
      </c>
      <c r="H4670" s="7">
        <v>435</v>
      </c>
      <c r="I4670" s="8" t="str">
        <f ca="1">IFERROR(__xludf.DUMMYFUNCTION("IF
(
G4671=""фізична особа""
,
VLOOKUP(H4671,IMPORTRANGE(""https://docs.google.com/spreadsheets/d/14Bd19lYaqBhU8_DElYkX7l4wRkHqqCUFNJY4AfY3kHU/edit?usp=sharing  #gid=0"",""фіз особи new!relations_name""),6,FALSE)
,
(IF
(
G4671=""юридична особа""
,
VLOOKUP"&amp;"(H4671,IMPORTRANGE(""https://docs.google.com/spreadsheets/d/14Bd19lYaqBhU8_DElYkX7l4wRkHqqCUFNJY4AfY3kHU/edit?usp=sharing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0" s="7" t="s">
        <v>29</v>
      </c>
    </row>
    <row r="4671" spans="1:10" ht="13.2">
      <c r="A4671" s="7">
        <v>4670</v>
      </c>
      <c r="B4671" s="7">
        <v>1</v>
      </c>
      <c r="C4671" s="7" t="s">
        <v>10</v>
      </c>
      <c r="D4671" s="7">
        <v>3236</v>
      </c>
      <c r="E4671" s="7" t="s">
        <v>28</v>
      </c>
      <c r="F4671" s="8" t="str">
        <f ca="1">IFERROR(__xludf.DUMMYFUNCTION("IF
(
C4672=""фізична особа""
,
VLOOKUP(D4672,IMPORTRANGE(""https://docs.google.com/spreadsheets/d/14Bd19lYaqBhU8_DElYkX7l4wRkHqqCUFNJY4AfY3kHU/edit?usp=sharing  #gid=0"",""фіз особи new!relations_name""),6,FALSE)
,
(IF
(
C4672=""юридична особа""
,
VLOOKUP"&amp;"(D4672,IMPORTRANGE(""https://docs.google.com/spreadsheets/d/14Bd19lYaqBhU8_DElYkX7l4wRkHqqCUFNJY4AfY3kHU/edit?usp=sharing  #gid=0"",""фіз особи new!relations_name_uo""),7,FALSE)
,
)
))"),"ВЛАСОВА Катерина Олександрівна")</f>
        <v>ВЛАСОВА Катерина Олександрівна</v>
      </c>
      <c r="G4671" s="7" t="s">
        <v>10</v>
      </c>
      <c r="H4671" s="7">
        <v>435</v>
      </c>
      <c r="I4671" s="8" t="str">
        <f ca="1">IFERROR(__xludf.DUMMYFUNCTION("IF
(
G4672=""фізична особа""
,
VLOOKUP(H4672,IMPORTRANGE(""https://docs.google.com/spreadsheets/d/14Bd19lYaqBhU8_DElYkX7l4wRkHqqCUFNJY4AfY3kHU/edit?usp=sharing  #gid=0"",""фіз особи new!relations_name""),6,FALSE)
,
(IF
(
G4672=""юридична особа""
,
VLOOKUP"&amp;"(H4672,IMPORTRANGE(""https://docs.google.com/spreadsheets/d/14Bd19lYaqBhU8_DElYkX7l4wRkHqqCUFNJY4AfY3kHU/edit?usp=sharing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1" s="7" t="s">
        <v>29</v>
      </c>
    </row>
    <row r="4672" spans="1:10" ht="13.2">
      <c r="A4672" s="7">
        <v>4671</v>
      </c>
      <c r="B4672" s="7">
        <v>1</v>
      </c>
      <c r="C4672" s="7" t="s">
        <v>10</v>
      </c>
      <c r="D4672" s="7">
        <v>3237</v>
      </c>
      <c r="E4672" s="7" t="s">
        <v>28</v>
      </c>
      <c r="F4672" s="8" t="str">
        <f ca="1">IFERROR(__xludf.DUMMYFUNCTION("IF
(
C4673=""фізична особа""
,
VLOOKUP(D4673,IMPORTRANGE(""https://docs.google.com/spreadsheets/d/14Bd19lYaqBhU8_DElYkX7l4wRkHqqCUFNJY4AfY3kHU/edit?usp=sharing  #gid=0"",""фіз особи new!relations_name""),6,FALSE)
,
(IF
(
C4673=""юридична особа""
,
VLOOKUP"&amp;"(D4673,IMPORTRANGE(""https://docs.google.com/spreadsheets/d/14Bd19lYaqBhU8_DElYkX7l4wRkHqqCUFNJY4AfY3kHU/edit?usp=sharing  #gid=0"",""фіз особи new!relations_name_uo""),7,FALSE)
,
)
))"),"СОРОКІН Святослав Олегович")</f>
        <v>СОРОКІН Святослав Олегович</v>
      </c>
      <c r="G4672" s="7" t="s">
        <v>10</v>
      </c>
      <c r="H4672" s="7">
        <v>435</v>
      </c>
      <c r="I4672" s="8" t="str">
        <f ca="1">IFERROR(__xludf.DUMMYFUNCTION("IF
(
G4673=""фізична особа""
,
VLOOKUP(H4673,IMPORTRANGE(""https://docs.google.com/spreadsheets/d/14Bd19lYaqBhU8_DElYkX7l4wRkHqqCUFNJY4AfY3kHU/edit?usp=sharing  #gid=0"",""фіз особи new!relations_name""),6,FALSE)
,
(IF
(
G4673=""юридична особа""
,
VLOOKUP"&amp;"(H4673,IMPORTRANGE(""https://docs.google.com/spreadsheets/d/14Bd19lYaqBhU8_DElYkX7l4wRkHqqCUFNJY4AfY3kHU/edit?usp=sharing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2" s="7" t="s">
        <v>29</v>
      </c>
    </row>
    <row r="4673" spans="1:10" ht="13.2">
      <c r="A4673" s="7">
        <v>4672</v>
      </c>
      <c r="B4673" s="7">
        <v>1</v>
      </c>
      <c r="C4673" s="7" t="s">
        <v>10</v>
      </c>
      <c r="D4673" s="7">
        <v>3238</v>
      </c>
      <c r="E4673" s="7" t="s">
        <v>28</v>
      </c>
      <c r="F4673" s="8" t="str">
        <f ca="1">IFERROR(__xludf.DUMMYFUNCTION("IF
(
C4674=""фізична особа""
,
VLOOKUP(D4674,IMPORTRANGE(""https://docs.google.com/spreadsheets/d/14Bd19lYaqBhU8_DElYkX7l4wRkHqqCUFNJY4AfY3kHU/edit?usp=sharing  #gid=0"",""фіз особи new!relations_name""),6,FALSE)
,
(IF
(
C4674=""юридична особа""
,
VLOOKUP"&amp;"(D4674,IMPORTRANGE(""https://docs.google.com/spreadsheets/d/14Bd19lYaqBhU8_DElYkX7l4wRkHqqCUFNJY4AfY3kHU/edit?usp=sharing  #gid=0"",""фіз особи new!relations_name_uo""),7,FALSE)
,
)
))"),"ЦАХОЄВ Арсен Миколайович")</f>
        <v>ЦАХОЄВ Арсен Миколайович</v>
      </c>
      <c r="G4673" s="7" t="s">
        <v>10</v>
      </c>
      <c r="H4673" s="7">
        <v>435</v>
      </c>
      <c r="I4673" s="8" t="str">
        <f ca="1">IFERROR(__xludf.DUMMYFUNCTION("IF
(
G4674=""фізична особа""
,
VLOOKUP(H4674,IMPORTRANGE(""https://docs.google.com/spreadsheets/d/14Bd19lYaqBhU8_DElYkX7l4wRkHqqCUFNJY4AfY3kHU/edit?usp=sharing  #gid=0"",""фіз особи new!relations_name""),6,FALSE)
,
(IF
(
G4674=""юридична особа""
,
VLOOKUP"&amp;"(H4674,IMPORTRANGE(""https://docs.google.com/spreadsheets/d/14Bd19lYaqBhU8_DElYkX7l4wRkHqqCUFNJY4AfY3kHU/edit?usp=sharing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3" s="7" t="s">
        <v>29</v>
      </c>
    </row>
    <row r="4674" spans="1:10" ht="13.2">
      <c r="A4674" s="7">
        <v>4673</v>
      </c>
      <c r="B4674" s="7">
        <v>1</v>
      </c>
      <c r="C4674" s="7" t="s">
        <v>10</v>
      </c>
      <c r="D4674" s="7">
        <v>3239</v>
      </c>
      <c r="E4674" s="7" t="s">
        <v>28</v>
      </c>
      <c r="F4674" s="8" t="str">
        <f ca="1">IFERROR(__xludf.DUMMYFUNCTION("IF
(
C4675=""фізична особа""
,
VLOOKUP(D4675,IMPORTRANGE(""https://docs.google.com/spreadsheets/d/14Bd19lYaqBhU8_DElYkX7l4wRkHqqCUFNJY4AfY3kHU/edit?usp=sharing  #gid=0"",""фіз особи new!relations_name""),6,FALSE)
,
(IF
(
C4675=""юридична особа""
,
VLOOKUP"&amp;"(D4675,IMPORTRANGE(""https://docs.google.com/spreadsheets/d/14Bd19lYaqBhU8_DElYkX7l4wRkHqqCUFNJY4AfY3kHU/edit?usp=sharing  #gid=0"",""фіз особи new!relations_name_uo""),7,FALSE)
,
)
))"),"ГУДІН Віталій Васильович")</f>
        <v>ГУДІН Віталій Васильович</v>
      </c>
      <c r="G4674" s="7" t="s">
        <v>10</v>
      </c>
      <c r="H4674" s="7">
        <v>435</v>
      </c>
      <c r="I4674" s="8" t="str">
        <f ca="1">IFERROR(__xludf.DUMMYFUNCTION("IF
(
G4675=""фізична особа""
,
VLOOKUP(H4675,IMPORTRANGE(""https://docs.google.com/spreadsheets/d/14Bd19lYaqBhU8_DElYkX7l4wRkHqqCUFNJY4AfY3kHU/edit?usp=sharing  #gid=0"",""фіз особи new!relations_name""),6,FALSE)
,
(IF
(
G4675=""юридична особа""
,
VLOOKUP"&amp;"(H4675,IMPORTRANGE(""https://docs.google.com/spreadsheets/d/14Bd19lYaqBhU8_DElYkX7l4wRkHqqCUFNJY4AfY3kHU/edit?usp=sharing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4" s="7" t="s">
        <v>29</v>
      </c>
    </row>
    <row r="4675" spans="1:10" ht="13.2">
      <c r="A4675" s="7">
        <v>4674</v>
      </c>
      <c r="B4675" s="7">
        <v>1</v>
      </c>
      <c r="C4675" s="7" t="s">
        <v>10</v>
      </c>
      <c r="D4675" s="7">
        <v>3240</v>
      </c>
      <c r="E4675" s="7" t="s">
        <v>28</v>
      </c>
      <c r="F4675" s="8" t="str">
        <f ca="1">IFERROR(__xludf.DUMMYFUNCTION("IF
(
C4676=""фізична особа""
,
VLOOKUP(D4676,IMPORTRANGE(""https://docs.google.com/spreadsheets/d/14Bd19lYaqBhU8_DElYkX7l4wRkHqqCUFNJY4AfY3kHU/edit?usp=sharing  #gid=0"",""фіз особи new!relations_name""),6,FALSE)
,
(IF
(
C4676=""юридична особа""
,
VLOOKUP"&amp;"(D4676,IMPORTRANGE(""https://docs.google.com/spreadsheets/d/14Bd19lYaqBhU8_DElYkX7l4wRkHqqCUFNJY4AfY3kHU/edit?usp=sharing  #gid=0"",""фіз особи new!relations_name_uo""),7,FALSE)
,
)
))"),"ВАХРУКОВ Дмитро Сергійович")</f>
        <v>ВАХРУКОВ Дмитро Сергійович</v>
      </c>
      <c r="G4675" s="7" t="s">
        <v>10</v>
      </c>
      <c r="H4675" s="7">
        <v>435</v>
      </c>
      <c r="I4675" s="8" t="str">
        <f ca="1">IFERROR(__xludf.DUMMYFUNCTION("IF
(
G4676=""фізична особа""
,
VLOOKUP(H4676,IMPORTRANGE(""https://docs.google.com/spreadsheets/d/14Bd19lYaqBhU8_DElYkX7l4wRkHqqCUFNJY4AfY3kHU/edit?usp=sharing  #gid=0"",""фіз особи new!relations_name""),6,FALSE)
,
(IF
(
G4676=""юридична особа""
,
VLOOKUP"&amp;"(H4676,IMPORTRANGE(""https://docs.google.com/spreadsheets/d/14Bd19lYaqBhU8_DElYkX7l4wRkHqqCUFNJY4AfY3kHU/edit?usp=sharing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5" s="7" t="s">
        <v>29</v>
      </c>
    </row>
    <row r="4676" spans="1:10" ht="13.2">
      <c r="A4676" s="7">
        <v>4675</v>
      </c>
      <c r="B4676" s="7">
        <v>1</v>
      </c>
      <c r="C4676" s="7" t="s">
        <v>10</v>
      </c>
      <c r="D4676" s="7">
        <v>3241</v>
      </c>
      <c r="E4676" s="7" t="s">
        <v>28</v>
      </c>
      <c r="F4676" s="8" t="str">
        <f ca="1">IFERROR(__xludf.DUMMYFUNCTION("IF
(
C4677=""фізична особа""
,
VLOOKUP(D4677,IMPORTRANGE(""https://docs.google.com/spreadsheets/d/14Bd19lYaqBhU8_DElYkX7l4wRkHqqCUFNJY4AfY3kHU/edit?usp=sharing  #gid=0"",""фіз особи new!relations_name""),6,FALSE)
,
(IF
(
C4677=""юридична особа""
,
VLOOKUP"&amp;"(D4677,IMPORTRANGE(""https://docs.google.com/spreadsheets/d/14Bd19lYaqBhU8_DElYkX7l4wRkHqqCUFNJY4AfY3kHU/edit?usp=sharing  #gid=0"",""фіз особи new!relations_name_uo""),7,FALSE)
,
)
))"),"ПАВЛОВ Вадим Олексійович")</f>
        <v>ПАВЛОВ Вадим Олексійович</v>
      </c>
      <c r="G4676" s="7" t="s">
        <v>10</v>
      </c>
      <c r="H4676" s="7">
        <v>435</v>
      </c>
      <c r="I4676" s="8" t="str">
        <f ca="1">IFERROR(__xludf.DUMMYFUNCTION("IF
(
G4677=""фізична особа""
,
VLOOKUP(H4677,IMPORTRANGE(""https://docs.google.com/spreadsheets/d/14Bd19lYaqBhU8_DElYkX7l4wRkHqqCUFNJY4AfY3kHU/edit?usp=sharing  #gid=0"",""фіз особи new!relations_name""),6,FALSE)
,
(IF
(
G4677=""юридична особа""
,
VLOOKUP"&amp;"(H4677,IMPORTRANGE(""https://docs.google.com/spreadsheets/d/14Bd19lYaqBhU8_DElYkX7l4wRkHqqCUFNJY4AfY3kHU/edit?usp=sharing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6" s="7" t="s">
        <v>29</v>
      </c>
    </row>
    <row r="4677" spans="1:10" ht="13.2">
      <c r="A4677" s="7">
        <v>4676</v>
      </c>
      <c r="B4677" s="7">
        <v>1</v>
      </c>
      <c r="C4677" s="7" t="s">
        <v>10</v>
      </c>
      <c r="D4677" s="7">
        <v>3242</v>
      </c>
      <c r="E4677" s="7" t="s">
        <v>28</v>
      </c>
      <c r="F4677" s="8" t="str">
        <f ca="1">IFERROR(__xludf.DUMMYFUNCTION("IF
(
C4678=""фізична особа""
,
VLOOKUP(D4678,IMPORTRANGE(""https://docs.google.com/spreadsheets/d/14Bd19lYaqBhU8_DElYkX7l4wRkHqqCUFNJY4AfY3kHU/edit?usp=sharing  #gid=0"",""фіз особи new!relations_name""),6,FALSE)
,
(IF
(
C4678=""юридична особа""
,
VLOOKUP"&amp;"(D4678,IMPORTRANGE(""https://docs.google.com/spreadsheets/d/14Bd19lYaqBhU8_DElYkX7l4wRkHqqCUFNJY4AfY3kHU/edit?usp=sharing  #gid=0"",""фіз особи new!relations_name_uo""),7,FALSE)
,
)
))"),"КАЗМЕРЧУК Олена Вадимівна")</f>
        <v>КАЗМЕРЧУК Олена Вадимівна</v>
      </c>
      <c r="G4677" s="7" t="s">
        <v>10</v>
      </c>
      <c r="H4677" s="7">
        <v>435</v>
      </c>
      <c r="I4677" s="8" t="str">
        <f ca="1">IFERROR(__xludf.DUMMYFUNCTION("IF
(
G4678=""фізична особа""
,
VLOOKUP(H4678,IMPORTRANGE(""https://docs.google.com/spreadsheets/d/14Bd19lYaqBhU8_DElYkX7l4wRkHqqCUFNJY4AfY3kHU/edit?usp=sharing  #gid=0"",""фіз особи new!relations_name""),6,FALSE)
,
(IF
(
G4678=""юридична особа""
,
VLOOKUP"&amp;"(H4678,IMPORTRANGE(""https://docs.google.com/spreadsheets/d/14Bd19lYaqBhU8_DElYkX7l4wRkHqqCUFNJY4AfY3kHU/edit?usp=sharing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7" s="7" t="s">
        <v>29</v>
      </c>
    </row>
    <row r="4678" spans="1:10" ht="13.2">
      <c r="A4678" s="7">
        <v>4677</v>
      </c>
      <c r="B4678" s="7">
        <v>1</v>
      </c>
      <c r="C4678" s="7" t="s">
        <v>10</v>
      </c>
      <c r="D4678" s="7">
        <v>3243</v>
      </c>
      <c r="E4678" s="7" t="s">
        <v>28</v>
      </c>
      <c r="F4678" s="8" t="str">
        <f ca="1">IFERROR(__xludf.DUMMYFUNCTION("IF
(
C4679=""фізична особа""
,
VLOOKUP(D4679,IMPORTRANGE(""https://docs.google.com/spreadsheets/d/14Bd19lYaqBhU8_DElYkX7l4wRkHqqCUFNJY4AfY3kHU/edit?usp=sharing  #gid=0"",""фіз особи new!relations_name""),6,FALSE)
,
(IF
(
C4679=""юридична особа""
,
VLOOKUP"&amp;"(D4679,IMPORTRANGE(""https://docs.google.com/spreadsheets/d/14Bd19lYaqBhU8_DElYkX7l4wRkHqqCUFNJY4AfY3kHU/edit?usp=sharing  #gid=0"",""фіз особи new!relations_name_uo""),7,FALSE)
,
)
))"),"НЕСТЕРЧУК Юлія Миколаївна")</f>
        <v>НЕСТЕРЧУК Юлія Миколаївна</v>
      </c>
      <c r="G4678" s="7" t="s">
        <v>10</v>
      </c>
      <c r="H4678" s="7">
        <v>435</v>
      </c>
      <c r="I4678" s="8" t="str">
        <f ca="1">IFERROR(__xludf.DUMMYFUNCTION("IF
(
G4679=""фізична особа""
,
VLOOKUP(H4679,IMPORTRANGE(""https://docs.google.com/spreadsheets/d/14Bd19lYaqBhU8_DElYkX7l4wRkHqqCUFNJY4AfY3kHU/edit?usp=sharing  #gid=0"",""фіз особи new!relations_name""),6,FALSE)
,
(IF
(
G4679=""юридична особа""
,
VLOOKUP"&amp;"(H4679,IMPORTRANGE(""https://docs.google.com/spreadsheets/d/14Bd19lYaqBhU8_DElYkX7l4wRkHqqCUFNJY4AfY3kHU/edit?usp=sharing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8" s="7" t="s">
        <v>29</v>
      </c>
    </row>
    <row r="4679" spans="1:10" ht="13.2">
      <c r="A4679" s="7">
        <v>4678</v>
      </c>
      <c r="B4679" s="7">
        <v>1</v>
      </c>
      <c r="C4679" s="7" t="s">
        <v>10</v>
      </c>
      <c r="D4679" s="7">
        <v>3244</v>
      </c>
      <c r="E4679" s="7" t="s">
        <v>28</v>
      </c>
      <c r="F4679" s="8" t="str">
        <f ca="1">IFERROR(__xludf.DUMMYFUNCTION("IF
(
C4680=""фізична особа""
,
VLOOKUP(D4680,IMPORTRANGE(""https://docs.google.com/spreadsheets/d/14Bd19lYaqBhU8_DElYkX7l4wRkHqqCUFNJY4AfY3kHU/edit?usp=sharing  #gid=0"",""фіз особи new!relations_name""),6,FALSE)
,
(IF
(
C4680=""юридична особа""
,
VLOOKUP"&amp;"(D4680,IMPORTRANGE(""https://docs.google.com/spreadsheets/d/14Bd19lYaqBhU8_DElYkX7l4wRkHqqCUFNJY4AfY3kHU/edit?usp=sharing  #gid=0"",""фіз особи new!relations_name_uo""),7,FALSE)
,
)
))"),"МАЙОРОВА Катерина Євгенівна")</f>
        <v>МАЙОРОВА Катерина Євгенівна</v>
      </c>
      <c r="G4679" s="7" t="s">
        <v>10</v>
      </c>
      <c r="H4679" s="7">
        <v>435</v>
      </c>
      <c r="I4679" s="8" t="str">
        <f ca="1">IFERROR(__xludf.DUMMYFUNCTION("IF
(
G4680=""фізична особа""
,
VLOOKUP(H4680,IMPORTRANGE(""https://docs.google.com/spreadsheets/d/14Bd19lYaqBhU8_DElYkX7l4wRkHqqCUFNJY4AfY3kHU/edit?usp=sharing  #gid=0"",""фіз особи new!relations_name""),6,FALSE)
,
(IF
(
G4680=""юридична особа""
,
VLOOKUP"&amp;"(H4680,IMPORTRANGE(""https://docs.google.com/spreadsheets/d/14Bd19lYaqBhU8_DElYkX7l4wRkHqqCUFNJY4AfY3kHU/edit?usp=sharing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79" s="7" t="s">
        <v>29</v>
      </c>
    </row>
    <row r="4680" spans="1:10" ht="13.2">
      <c r="A4680" s="7">
        <v>4679</v>
      </c>
      <c r="B4680" s="7">
        <v>1</v>
      </c>
      <c r="C4680" s="7" t="s">
        <v>10</v>
      </c>
      <c r="D4680" s="7">
        <v>3245</v>
      </c>
      <c r="E4680" s="7" t="s">
        <v>28</v>
      </c>
      <c r="F4680" s="8" t="str">
        <f ca="1">IFERROR(__xludf.DUMMYFUNCTION("IF
(
C4681=""фізична особа""
,
VLOOKUP(D4681,IMPORTRANGE(""https://docs.google.com/spreadsheets/d/14Bd19lYaqBhU8_DElYkX7l4wRkHqqCUFNJY4AfY3kHU/edit?usp=sharing  #gid=0"",""фіз особи new!relations_name""),6,FALSE)
,
(IF
(
C4681=""юридична особа""
,
VLOOKUP"&amp;"(D4681,IMPORTRANGE(""https://docs.google.com/spreadsheets/d/14Bd19lYaqBhU8_DElYkX7l4wRkHqqCUFNJY4AfY3kHU/edit?usp=sharing  #gid=0"",""фіз особи new!relations_name_uo""),7,FALSE)
,
)
))"),"ЩУР-ТРУХАНОВИЧ Лілія Василівна")</f>
        <v>ЩУР-ТРУХАНОВИЧ Лілія Василівна</v>
      </c>
      <c r="G4680" s="7" t="s">
        <v>10</v>
      </c>
      <c r="H4680" s="7">
        <v>435</v>
      </c>
      <c r="I4680" s="8" t="str">
        <f ca="1">IFERROR(__xludf.DUMMYFUNCTION("IF
(
G4681=""фізична особа""
,
VLOOKUP(H4681,IMPORTRANGE(""https://docs.google.com/spreadsheets/d/14Bd19lYaqBhU8_DElYkX7l4wRkHqqCUFNJY4AfY3kHU/edit?usp=sharing  #gid=0"",""фіз особи new!relations_name""),6,FALSE)
,
(IF
(
G4681=""юридична особа""
,
VLOOKUP"&amp;"(H4681,IMPORTRANGE(""https://docs.google.com/spreadsheets/d/14Bd19lYaqBhU8_DElYkX7l4wRkHqqCUFNJY4AfY3kHU/edit?usp=sharing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0" s="7" t="s">
        <v>29</v>
      </c>
    </row>
    <row r="4681" spans="1:10" ht="13.2">
      <c r="A4681" s="7">
        <v>4680</v>
      </c>
      <c r="B4681" s="7">
        <v>1</v>
      </c>
      <c r="C4681" s="7" t="s">
        <v>10</v>
      </c>
      <c r="D4681" s="7">
        <v>3246</v>
      </c>
      <c r="E4681" s="7" t="s">
        <v>28</v>
      </c>
      <c r="F4681" s="8" t="str">
        <f ca="1">IFERROR(__xludf.DUMMYFUNCTION("IF
(
C4682=""фізична особа""
,
VLOOKUP(D4682,IMPORTRANGE(""https://docs.google.com/spreadsheets/d/14Bd19lYaqBhU8_DElYkX7l4wRkHqqCUFNJY4AfY3kHU/edit?usp=sharing  #gid=0"",""фіз особи new!relations_name""),6,FALSE)
,
(IF
(
C4682=""юридична особа""
,
VLOOKUP"&amp;"(D4682,IMPORTRANGE(""https://docs.google.com/spreadsheets/d/14Bd19lYaqBhU8_DElYkX7l4wRkHqqCUFNJY4AfY3kHU/edit?usp=sharing  #gid=0"",""фіз особи new!relations_name_uo""),7,FALSE)
,
)
))"),"ДАДАЯН Інна Валеріївна")</f>
        <v>ДАДАЯН Інна Валеріївна</v>
      </c>
      <c r="G4681" s="7" t="s">
        <v>10</v>
      </c>
      <c r="H4681" s="7">
        <v>435</v>
      </c>
      <c r="I4681" s="8" t="str">
        <f ca="1">IFERROR(__xludf.DUMMYFUNCTION("IF
(
G4682=""фізична особа""
,
VLOOKUP(H4682,IMPORTRANGE(""https://docs.google.com/spreadsheets/d/14Bd19lYaqBhU8_DElYkX7l4wRkHqqCUFNJY4AfY3kHU/edit?usp=sharing  #gid=0"",""фіз особи new!relations_name""),6,FALSE)
,
(IF
(
G4682=""юридична особа""
,
VLOOKUP"&amp;"(H4682,IMPORTRANGE(""https://docs.google.com/spreadsheets/d/14Bd19lYaqBhU8_DElYkX7l4wRkHqqCUFNJY4AfY3kHU/edit?usp=sharing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1" s="7" t="s">
        <v>29</v>
      </c>
    </row>
    <row r="4682" spans="1:10" ht="13.2">
      <c r="A4682" s="7">
        <v>4681</v>
      </c>
      <c r="B4682" s="7">
        <v>1</v>
      </c>
      <c r="C4682" s="7" t="s">
        <v>10</v>
      </c>
      <c r="D4682" s="7">
        <v>3247</v>
      </c>
      <c r="E4682" s="7" t="s">
        <v>28</v>
      </c>
      <c r="F4682" s="8" t="str">
        <f ca="1">IFERROR(__xludf.DUMMYFUNCTION("IF
(
C4683=""фізична особа""
,
VLOOKUP(D4683,IMPORTRANGE(""https://docs.google.com/spreadsheets/d/14Bd19lYaqBhU8_DElYkX7l4wRkHqqCUFNJY4AfY3kHU/edit?usp=sharing  #gid=0"",""фіз особи new!relations_name""),6,FALSE)
,
(IF
(
C4683=""юридична особа""
,
VLOOKUP"&amp;"(D4683,IMPORTRANGE(""https://docs.google.com/spreadsheets/d/14Bd19lYaqBhU8_DElYkX7l4wRkHqqCUFNJY4AfY3kHU/edit?usp=sharing  #gid=0"",""фіз особи new!relations_name_uo""),7,FALSE)
,
)
))"),"ЄГОРОВ Ігор Вікторович")</f>
        <v>ЄГОРОВ Ігор Вікторович</v>
      </c>
      <c r="G4682" s="7" t="s">
        <v>10</v>
      </c>
      <c r="H4682" s="7">
        <v>435</v>
      </c>
      <c r="I4682" s="8" t="str">
        <f ca="1">IFERROR(__xludf.DUMMYFUNCTION("IF
(
G4683=""фізична особа""
,
VLOOKUP(H4683,IMPORTRANGE(""https://docs.google.com/spreadsheets/d/14Bd19lYaqBhU8_DElYkX7l4wRkHqqCUFNJY4AfY3kHU/edit?usp=sharing  #gid=0"",""фіз особи new!relations_name""),6,FALSE)
,
(IF
(
G4683=""юридична особа""
,
VLOOKUP"&amp;"(H4683,IMPORTRANGE(""https://docs.google.com/spreadsheets/d/14Bd19lYaqBhU8_DElYkX7l4wRkHqqCUFNJY4AfY3kHU/edit?usp=sharing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2" s="7" t="s">
        <v>29</v>
      </c>
    </row>
    <row r="4683" spans="1:10" ht="13.2">
      <c r="A4683" s="7">
        <v>4682</v>
      </c>
      <c r="B4683" s="7">
        <v>1</v>
      </c>
      <c r="C4683" s="7" t="s">
        <v>10</v>
      </c>
      <c r="D4683" s="7">
        <v>3248</v>
      </c>
      <c r="E4683" s="7" t="s">
        <v>28</v>
      </c>
      <c r="F4683" s="8" t="str">
        <f ca="1">IFERROR(__xludf.DUMMYFUNCTION("IF
(
C4684=""фізична особа""
,
VLOOKUP(D4684,IMPORTRANGE(""https://docs.google.com/spreadsheets/d/14Bd19lYaqBhU8_DElYkX7l4wRkHqqCUFNJY4AfY3kHU/edit?usp=sharing  #gid=0"",""фіз особи new!relations_name""),6,FALSE)
,
(IF
(
C4684=""юридична особа""
,
VLOOKUP"&amp;"(D4684,IMPORTRANGE(""https://docs.google.com/spreadsheets/d/14Bd19lYaqBhU8_DElYkX7l4wRkHqqCUFNJY4AfY3kHU/edit?usp=sharing  #gid=0"",""фіз особи new!relations_name_uo""),7,FALSE)
,
)
))"),"СИМОНЕНКО Віра Юріївна")</f>
        <v>СИМОНЕНКО Віра Юріївна</v>
      </c>
      <c r="G4683" s="7" t="s">
        <v>10</v>
      </c>
      <c r="H4683" s="7">
        <v>435</v>
      </c>
      <c r="I4683" s="8" t="str">
        <f ca="1">IFERROR(__xludf.DUMMYFUNCTION("IF
(
G4684=""фізична особа""
,
VLOOKUP(H4684,IMPORTRANGE(""https://docs.google.com/spreadsheets/d/14Bd19lYaqBhU8_DElYkX7l4wRkHqqCUFNJY4AfY3kHU/edit?usp=sharing  #gid=0"",""фіз особи new!relations_name""),6,FALSE)
,
(IF
(
G4684=""юридична особа""
,
VLOOKUP"&amp;"(H4684,IMPORTRANGE(""https://docs.google.com/spreadsheets/d/14Bd19lYaqBhU8_DElYkX7l4wRkHqqCUFNJY4AfY3kHU/edit?usp=sharing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3" s="7" t="s">
        <v>29</v>
      </c>
    </row>
    <row r="4684" spans="1:10" ht="13.2">
      <c r="A4684" s="7">
        <v>4683</v>
      </c>
      <c r="B4684" s="7">
        <v>1</v>
      </c>
      <c r="C4684" s="7" t="s">
        <v>10</v>
      </c>
      <c r="D4684" s="7">
        <v>3249</v>
      </c>
      <c r="E4684" s="7" t="s">
        <v>28</v>
      </c>
      <c r="F4684" s="8" t="str">
        <f ca="1">IFERROR(__xludf.DUMMYFUNCTION("IF
(
C4685=""фізична особа""
,
VLOOKUP(D4685,IMPORTRANGE(""https://docs.google.com/spreadsheets/d/14Bd19lYaqBhU8_DElYkX7l4wRkHqqCUFNJY4AfY3kHU/edit?usp=sharing  #gid=0"",""фіз особи new!relations_name""),6,FALSE)
,
(IF
(
C4685=""юридична особа""
,
VLOOKUP"&amp;"(D4685,IMPORTRANGE(""https://docs.google.com/spreadsheets/d/14Bd19lYaqBhU8_DElYkX7l4wRkHqqCUFNJY4AfY3kHU/edit?usp=sharing  #gid=0"",""фіз особи new!relations_name_uo""),7,FALSE)
,
)
))"),"МЕЛЬНИКОВА Олена Геннадіївна")</f>
        <v>МЕЛЬНИКОВА Олена Геннадіївна</v>
      </c>
      <c r="G4684" s="7" t="s">
        <v>10</v>
      </c>
      <c r="H4684" s="7">
        <v>435</v>
      </c>
      <c r="I4684" s="8" t="str">
        <f ca="1">IFERROR(__xludf.DUMMYFUNCTION("IF
(
G4685=""фізична особа""
,
VLOOKUP(H4685,IMPORTRANGE(""https://docs.google.com/spreadsheets/d/14Bd19lYaqBhU8_DElYkX7l4wRkHqqCUFNJY4AfY3kHU/edit?usp=sharing  #gid=0"",""фіз особи new!relations_name""),6,FALSE)
,
(IF
(
G4685=""юридична особа""
,
VLOOKUP"&amp;"(H4685,IMPORTRANGE(""https://docs.google.com/spreadsheets/d/14Bd19lYaqBhU8_DElYkX7l4wRkHqqCUFNJY4AfY3kHU/edit?usp=sharing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4" s="7" t="s">
        <v>29</v>
      </c>
    </row>
    <row r="4685" spans="1:10" ht="13.2">
      <c r="A4685" s="7">
        <v>4684</v>
      </c>
      <c r="B4685" s="7">
        <v>1</v>
      </c>
      <c r="C4685" s="7" t="s">
        <v>10</v>
      </c>
      <c r="D4685" s="7">
        <v>3250</v>
      </c>
      <c r="E4685" s="7" t="s">
        <v>28</v>
      </c>
      <c r="F4685" s="8" t="str">
        <f ca="1">IFERROR(__xludf.DUMMYFUNCTION("IF
(
C4686=""фізична особа""
,
VLOOKUP(D4686,IMPORTRANGE(""https://docs.google.com/spreadsheets/d/14Bd19lYaqBhU8_DElYkX7l4wRkHqqCUFNJY4AfY3kHU/edit?usp=sharing  #gid=0"",""фіз особи new!relations_name""),6,FALSE)
,
(IF
(
C4686=""юридична особа""
,
VLOOKUP"&amp;"(D4686,IMPORTRANGE(""https://docs.google.com/spreadsheets/d/14Bd19lYaqBhU8_DElYkX7l4wRkHqqCUFNJY4AfY3kHU/edit?usp=sharing  #gid=0"",""фіз особи new!relations_name_uo""),7,FALSE)
,
)
))"),"КУРЕНКОВА Олеся Миколаївна")</f>
        <v>КУРЕНКОВА Олеся Миколаївна</v>
      </c>
      <c r="G4685" s="7" t="s">
        <v>10</v>
      </c>
      <c r="H4685" s="7">
        <v>435</v>
      </c>
      <c r="I4685" s="8" t="str">
        <f ca="1">IFERROR(__xludf.DUMMYFUNCTION("IF
(
G4686=""фізична особа""
,
VLOOKUP(H4686,IMPORTRANGE(""https://docs.google.com/spreadsheets/d/14Bd19lYaqBhU8_DElYkX7l4wRkHqqCUFNJY4AfY3kHU/edit?usp=sharing  #gid=0"",""фіз особи new!relations_name""),6,FALSE)
,
(IF
(
G4686=""юридична особа""
,
VLOOKUP"&amp;"(H4686,IMPORTRANGE(""https://docs.google.com/spreadsheets/d/14Bd19lYaqBhU8_DElYkX7l4wRkHqqCUFNJY4AfY3kHU/edit?usp=sharing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5" s="7" t="s">
        <v>29</v>
      </c>
    </row>
    <row r="4686" spans="1:10" ht="13.2">
      <c r="A4686" s="7">
        <v>4685</v>
      </c>
      <c r="B4686" s="7">
        <v>1</v>
      </c>
      <c r="C4686" s="7" t="s">
        <v>10</v>
      </c>
      <c r="D4686" s="7">
        <v>3251</v>
      </c>
      <c r="E4686" s="7" t="s">
        <v>28</v>
      </c>
      <c r="F4686" s="8" t="str">
        <f ca="1">IFERROR(__xludf.DUMMYFUNCTION("IF
(
C4687=""фізична особа""
,
VLOOKUP(D4687,IMPORTRANGE(""https://docs.google.com/spreadsheets/d/14Bd19lYaqBhU8_DElYkX7l4wRkHqqCUFNJY4AfY3kHU/edit?usp=sharing  #gid=0"",""фіз особи new!relations_name""),6,FALSE)
,
(IF
(
C4687=""юридична особа""
,
VLOOKUP"&amp;"(D4687,IMPORTRANGE(""https://docs.google.com/spreadsheets/d/14Bd19lYaqBhU8_DElYkX7l4wRkHqqCUFNJY4AfY3kHU/edit?usp=sharing  #gid=0"",""фіз особи new!relations_name_uo""),7,FALSE)
,
)
))"),"КОЛЕСНІКОВ Максим Андрійович")</f>
        <v>КОЛЕСНІКОВ Максим Андрійович</v>
      </c>
      <c r="G4686" s="7" t="s">
        <v>10</v>
      </c>
      <c r="H4686" s="7">
        <v>435</v>
      </c>
      <c r="I4686" s="8" t="str">
        <f ca="1">IFERROR(__xludf.DUMMYFUNCTION("IF
(
G4687=""фізична особа""
,
VLOOKUP(H4687,IMPORTRANGE(""https://docs.google.com/spreadsheets/d/14Bd19lYaqBhU8_DElYkX7l4wRkHqqCUFNJY4AfY3kHU/edit?usp=sharing  #gid=0"",""фіз особи new!relations_name""),6,FALSE)
,
(IF
(
G4687=""юридична особа""
,
VLOOKUP"&amp;"(H4687,IMPORTRANGE(""https://docs.google.com/spreadsheets/d/14Bd19lYaqBhU8_DElYkX7l4wRkHqqCUFNJY4AfY3kHU/edit?usp=sharing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6" s="7" t="s">
        <v>29</v>
      </c>
    </row>
    <row r="4687" spans="1:10" ht="13.2">
      <c r="A4687" s="7">
        <v>4686</v>
      </c>
      <c r="B4687" s="7">
        <v>1</v>
      </c>
      <c r="C4687" s="7" t="s">
        <v>10</v>
      </c>
      <c r="D4687" s="7">
        <v>3252</v>
      </c>
      <c r="E4687" s="7" t="s">
        <v>28</v>
      </c>
      <c r="F4687" s="8" t="str">
        <f ca="1">IFERROR(__xludf.DUMMYFUNCTION("IF
(
C4688=""фізична особа""
,
VLOOKUP(D4688,IMPORTRANGE(""https://docs.google.com/spreadsheets/d/14Bd19lYaqBhU8_DElYkX7l4wRkHqqCUFNJY4AfY3kHU/edit?usp=sharing  #gid=0"",""фіз особи new!relations_name""),6,FALSE)
,
(IF
(
C4688=""юридична особа""
,
VLOOKUP"&amp;"(D4688,IMPORTRANGE(""https://docs.google.com/spreadsheets/d/14Bd19lYaqBhU8_DElYkX7l4wRkHqqCUFNJY4AfY3kHU/edit?usp=sharing  #gid=0"",""фіз особи new!relations_name_uo""),7,FALSE)
,
)
))"),"ТЮПИШЕВ Денис Анатолійович")</f>
        <v>ТЮПИШЕВ Денис Анатолійович</v>
      </c>
      <c r="G4687" s="7" t="s">
        <v>10</v>
      </c>
      <c r="H4687" s="7">
        <v>435</v>
      </c>
      <c r="I4687" s="8" t="str">
        <f ca="1">IFERROR(__xludf.DUMMYFUNCTION("IF
(
G4688=""фізична особа""
,
VLOOKUP(H4688,IMPORTRANGE(""https://docs.google.com/spreadsheets/d/14Bd19lYaqBhU8_DElYkX7l4wRkHqqCUFNJY4AfY3kHU/edit?usp=sharing  #gid=0"",""фіз особи new!relations_name""),6,FALSE)
,
(IF
(
G4688=""юридична особа""
,
VLOOKUP"&amp;"(H4688,IMPORTRANGE(""https://docs.google.com/spreadsheets/d/14Bd19lYaqBhU8_DElYkX7l4wRkHqqCUFNJY4AfY3kHU/edit?usp=sharing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7" s="7" t="s">
        <v>29</v>
      </c>
    </row>
    <row r="4688" spans="1:10" ht="13.2">
      <c r="A4688" s="7">
        <v>4687</v>
      </c>
      <c r="B4688" s="7">
        <v>1</v>
      </c>
      <c r="C4688" s="7" t="s">
        <v>10</v>
      </c>
      <c r="D4688" s="7">
        <v>3253</v>
      </c>
      <c r="E4688" s="7" t="s">
        <v>28</v>
      </c>
      <c r="F4688" s="8" t="str">
        <f ca="1">IFERROR(__xludf.DUMMYFUNCTION("IF
(
C4689=""фізична особа""
,
VLOOKUP(D4689,IMPORTRANGE(""https://docs.google.com/spreadsheets/d/14Bd19lYaqBhU8_DElYkX7l4wRkHqqCUFNJY4AfY3kHU/edit?usp=sharing  #gid=0"",""фіз особи new!relations_name""),6,FALSE)
,
(IF
(
C4689=""юридична особа""
,
VLOOKUP"&amp;"(D4689,IMPORTRANGE(""https://docs.google.com/spreadsheets/d/14Bd19lYaqBhU8_DElYkX7l4wRkHqqCUFNJY4AfY3kHU/edit?usp=sharing  #gid=0"",""фіз особи new!relations_name_uo""),7,FALSE)
,
)
))"),"БЕШТОЄВ Михайло Ібрагімович")</f>
        <v>БЕШТОЄВ Михайло Ібрагімович</v>
      </c>
      <c r="G4688" s="7" t="s">
        <v>10</v>
      </c>
      <c r="H4688" s="7">
        <v>435</v>
      </c>
      <c r="I4688" s="8" t="str">
        <f ca="1">IFERROR(__xludf.DUMMYFUNCTION("IF
(
G4689=""фізична особа""
,
VLOOKUP(H4689,IMPORTRANGE(""https://docs.google.com/spreadsheets/d/14Bd19lYaqBhU8_DElYkX7l4wRkHqqCUFNJY4AfY3kHU/edit?usp=sharing  #gid=0"",""фіз особи new!relations_name""),6,FALSE)
,
(IF
(
G4689=""юридична особа""
,
VLOOKUP"&amp;"(H4689,IMPORTRANGE(""https://docs.google.com/spreadsheets/d/14Bd19lYaqBhU8_DElYkX7l4wRkHqqCUFNJY4AfY3kHU/edit?usp=sharing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8" s="7" t="s">
        <v>29</v>
      </c>
    </row>
    <row r="4689" spans="1:10" ht="13.2">
      <c r="A4689" s="7">
        <v>4688</v>
      </c>
      <c r="B4689" s="7">
        <v>1</v>
      </c>
      <c r="C4689" s="7" t="s">
        <v>10</v>
      </c>
      <c r="D4689" s="7">
        <v>3254</v>
      </c>
      <c r="E4689" s="7" t="s">
        <v>28</v>
      </c>
      <c r="F4689" s="8" t="str">
        <f ca="1">IFERROR(__xludf.DUMMYFUNCTION("IF
(
C4690=""фізична особа""
,
VLOOKUP(D4690,IMPORTRANGE(""https://docs.google.com/spreadsheets/d/14Bd19lYaqBhU8_DElYkX7l4wRkHqqCUFNJY4AfY3kHU/edit?usp=sharing  #gid=0"",""фіз особи new!relations_name""),6,FALSE)
,
(IF
(
C4690=""юридична особа""
,
VLOOKUP"&amp;"(D4690,IMPORTRANGE(""https://docs.google.com/spreadsheets/d/14Bd19lYaqBhU8_DElYkX7l4wRkHqqCUFNJY4AfY3kHU/edit?usp=sharing  #gid=0"",""фіз особи new!relations_name_uo""),7,FALSE)
,
)
))"),"ПУЧКО Дмитро Олександрович")</f>
        <v>ПУЧКО Дмитро Олександрович</v>
      </c>
      <c r="G4689" s="7" t="s">
        <v>10</v>
      </c>
      <c r="H4689" s="7">
        <v>435</v>
      </c>
      <c r="I4689" s="8" t="str">
        <f ca="1">IFERROR(__xludf.DUMMYFUNCTION("IF
(
G4690=""фізична особа""
,
VLOOKUP(H4690,IMPORTRANGE(""https://docs.google.com/spreadsheets/d/14Bd19lYaqBhU8_DElYkX7l4wRkHqqCUFNJY4AfY3kHU/edit?usp=sharing  #gid=0"",""фіз особи new!relations_name""),6,FALSE)
,
(IF
(
G4690=""юридична особа""
,
VLOOKUP"&amp;"(H4690,IMPORTRANGE(""https://docs.google.com/spreadsheets/d/14Bd19lYaqBhU8_DElYkX7l4wRkHqqCUFNJY4AfY3kHU/edit?usp=sharing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89" s="7" t="s">
        <v>29</v>
      </c>
    </row>
    <row r="4690" spans="1:10" ht="13.2">
      <c r="A4690" s="7">
        <v>4689</v>
      </c>
      <c r="B4690" s="7">
        <v>1</v>
      </c>
      <c r="C4690" s="7" t="s">
        <v>10</v>
      </c>
      <c r="D4690" s="7">
        <v>3255</v>
      </c>
      <c r="E4690" s="7" t="s">
        <v>28</v>
      </c>
      <c r="F4690" s="8" t="str">
        <f ca="1">IFERROR(__xludf.DUMMYFUNCTION("IF
(
C4691=""фізична особа""
,
VLOOKUP(D4691,IMPORTRANGE(""https://docs.google.com/spreadsheets/d/14Bd19lYaqBhU8_DElYkX7l4wRkHqqCUFNJY4AfY3kHU/edit?usp=sharing  #gid=0"",""фіз особи new!relations_name""),6,FALSE)
,
(IF
(
C4691=""юридична особа""
,
VLOOKUP"&amp;"(D4691,IMPORTRANGE(""https://docs.google.com/spreadsheets/d/14Bd19lYaqBhU8_DElYkX7l4wRkHqqCUFNJY4AfY3kHU/edit?usp=sharing  #gid=0"",""фіз особи new!relations_name_uo""),7,FALSE)
,
)
))"),"КІРЕВНІН Олександр Вікторович")</f>
        <v>КІРЕВНІН Олександр Вікторович</v>
      </c>
      <c r="G4690" s="7" t="s">
        <v>10</v>
      </c>
      <c r="H4690" s="7">
        <v>435</v>
      </c>
      <c r="I4690" s="8" t="str">
        <f ca="1">IFERROR(__xludf.DUMMYFUNCTION("IF
(
G4691=""фізична особа""
,
VLOOKUP(H4691,IMPORTRANGE(""https://docs.google.com/spreadsheets/d/14Bd19lYaqBhU8_DElYkX7l4wRkHqqCUFNJY4AfY3kHU/edit?usp=sharing  #gid=0"",""фіз особи new!relations_name""),6,FALSE)
,
(IF
(
G4691=""юридична особа""
,
VLOOKUP"&amp;"(H4691,IMPORTRANGE(""https://docs.google.com/spreadsheets/d/14Bd19lYaqBhU8_DElYkX7l4wRkHqqCUFNJY4AfY3kHU/edit?usp=sharing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0" s="7" t="s">
        <v>29</v>
      </c>
    </row>
    <row r="4691" spans="1:10" ht="13.2">
      <c r="A4691" s="7">
        <v>4690</v>
      </c>
      <c r="B4691" s="7">
        <v>1</v>
      </c>
      <c r="C4691" s="7" t="s">
        <v>10</v>
      </c>
      <c r="D4691" s="7">
        <v>3256</v>
      </c>
      <c r="E4691" s="7" t="s">
        <v>28</v>
      </c>
      <c r="F4691" s="8" t="str">
        <f ca="1">IFERROR(__xludf.DUMMYFUNCTION("IF
(
C4692=""фізична особа""
,
VLOOKUP(D4692,IMPORTRANGE(""https://docs.google.com/spreadsheets/d/14Bd19lYaqBhU8_DElYkX7l4wRkHqqCUFNJY4AfY3kHU/edit?usp=sharing  #gid=0"",""фіз особи new!relations_name""),6,FALSE)
,
(IF
(
C4692=""юридична особа""
,
VLOOKUP"&amp;"(D4692,IMPORTRANGE(""https://docs.google.com/spreadsheets/d/14Bd19lYaqBhU8_DElYkX7l4wRkHqqCUFNJY4AfY3kHU/edit?usp=sharing  #gid=0"",""фіз особи new!relations_name_uo""),7,FALSE)
,
)
))"),"БЕКСУЛТАНОВ Каміль Бексултанович")</f>
        <v>БЕКСУЛТАНОВ Каміль Бексултанович</v>
      </c>
      <c r="G4691" s="7" t="s">
        <v>10</v>
      </c>
      <c r="H4691" s="7">
        <v>435</v>
      </c>
      <c r="I4691" s="8" t="str">
        <f ca="1">IFERROR(__xludf.DUMMYFUNCTION("IF
(
G4692=""фізична особа""
,
VLOOKUP(H4692,IMPORTRANGE(""https://docs.google.com/spreadsheets/d/14Bd19lYaqBhU8_DElYkX7l4wRkHqqCUFNJY4AfY3kHU/edit?usp=sharing  #gid=0"",""фіз особи new!relations_name""),6,FALSE)
,
(IF
(
G4692=""юридична особа""
,
VLOOKUP"&amp;"(H4692,IMPORTRANGE(""https://docs.google.com/spreadsheets/d/14Bd19lYaqBhU8_DElYkX7l4wRkHqqCUFNJY4AfY3kHU/edit?usp=sharing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1" s="7" t="s">
        <v>29</v>
      </c>
    </row>
    <row r="4692" spans="1:10" ht="13.2">
      <c r="A4692" s="7">
        <v>4691</v>
      </c>
      <c r="B4692" s="7">
        <v>1</v>
      </c>
      <c r="C4692" s="7" t="s">
        <v>10</v>
      </c>
      <c r="D4692" s="7">
        <v>3257</v>
      </c>
      <c r="E4692" s="7" t="s">
        <v>28</v>
      </c>
      <c r="F4692" s="8" t="str">
        <f ca="1">IFERROR(__xludf.DUMMYFUNCTION("IF
(
C4693=""фізична особа""
,
VLOOKUP(D4693,IMPORTRANGE(""https://docs.google.com/spreadsheets/d/14Bd19lYaqBhU8_DElYkX7l4wRkHqqCUFNJY4AfY3kHU/edit?usp=sharing  #gid=0"",""фіз особи new!relations_name""),6,FALSE)
,
(IF
(
C4693=""юридична особа""
,
VLOOKUP"&amp;"(D4693,IMPORTRANGE(""https://docs.google.com/spreadsheets/d/14Bd19lYaqBhU8_DElYkX7l4wRkHqqCUFNJY4AfY3kHU/edit?usp=sharing  #gid=0"",""фіз особи new!relations_name_uo""),7,FALSE)
,
)
))"),"ВДОВІН Олександр Вікторович")</f>
        <v>ВДОВІН Олександр Вікторович</v>
      </c>
      <c r="G4692" s="7" t="s">
        <v>10</v>
      </c>
      <c r="H4692" s="7">
        <v>435</v>
      </c>
      <c r="I4692" s="8" t="str">
        <f ca="1">IFERROR(__xludf.DUMMYFUNCTION("IF
(
G4693=""фізична особа""
,
VLOOKUP(H4693,IMPORTRANGE(""https://docs.google.com/spreadsheets/d/14Bd19lYaqBhU8_DElYkX7l4wRkHqqCUFNJY4AfY3kHU/edit?usp=sharing  #gid=0"",""фіз особи new!relations_name""),6,FALSE)
,
(IF
(
G4693=""юридична особа""
,
VLOOKUP"&amp;"(H4693,IMPORTRANGE(""https://docs.google.com/spreadsheets/d/14Bd19lYaqBhU8_DElYkX7l4wRkHqqCUFNJY4AfY3kHU/edit?usp=sharing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2" s="7" t="s">
        <v>29</v>
      </c>
    </row>
    <row r="4693" spans="1:10" ht="13.2">
      <c r="A4693" s="7">
        <v>4692</v>
      </c>
      <c r="B4693" s="7">
        <v>1</v>
      </c>
      <c r="C4693" s="7" t="s">
        <v>10</v>
      </c>
      <c r="D4693" s="7">
        <v>3258</v>
      </c>
      <c r="E4693" s="7" t="s">
        <v>28</v>
      </c>
      <c r="F4693" s="8" t="str">
        <f ca="1">IFERROR(__xludf.DUMMYFUNCTION("IF
(
C4694=""фізична особа""
,
VLOOKUP(D4694,IMPORTRANGE(""https://docs.google.com/spreadsheets/d/14Bd19lYaqBhU8_DElYkX7l4wRkHqqCUFNJY4AfY3kHU/edit?usp=sharing  #gid=0"",""фіз особи new!relations_name""),6,FALSE)
,
(IF
(
C4694=""юридична особа""
,
VLOOKUP"&amp;"(D4694,IMPORTRANGE(""https://docs.google.com/spreadsheets/d/14Bd19lYaqBhU8_DElYkX7l4wRkHqqCUFNJY4AfY3kHU/edit?usp=sharing  #gid=0"",""фіз особи new!relations_name_uo""),7,FALSE)
,
)
))"),"ДІАНОВ Олександр Юрійович")</f>
        <v>ДІАНОВ Олександр Юрійович</v>
      </c>
      <c r="G4693" s="7" t="s">
        <v>10</v>
      </c>
      <c r="H4693" s="7">
        <v>435</v>
      </c>
      <c r="I4693" s="8" t="str">
        <f ca="1">IFERROR(__xludf.DUMMYFUNCTION("IF
(
G4694=""фізична особа""
,
VLOOKUP(H4694,IMPORTRANGE(""https://docs.google.com/spreadsheets/d/14Bd19lYaqBhU8_DElYkX7l4wRkHqqCUFNJY4AfY3kHU/edit?usp=sharing  #gid=0"",""фіз особи new!relations_name""),6,FALSE)
,
(IF
(
G4694=""юридична особа""
,
VLOOKUP"&amp;"(H4694,IMPORTRANGE(""https://docs.google.com/spreadsheets/d/14Bd19lYaqBhU8_DElYkX7l4wRkHqqCUFNJY4AfY3kHU/edit?usp=sharing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3" s="7" t="s">
        <v>29</v>
      </c>
    </row>
    <row r="4694" spans="1:10" ht="13.2">
      <c r="A4694" s="7">
        <v>4693</v>
      </c>
      <c r="B4694" s="7">
        <v>1</v>
      </c>
      <c r="C4694" s="7" t="s">
        <v>10</v>
      </c>
      <c r="D4694" s="7">
        <v>3259</v>
      </c>
      <c r="E4694" s="7" t="s">
        <v>28</v>
      </c>
      <c r="F4694" s="8" t="str">
        <f ca="1">IFERROR(__xludf.DUMMYFUNCTION("IF
(
C4695=""фізична особа""
,
VLOOKUP(D4695,IMPORTRANGE(""https://docs.google.com/spreadsheets/d/14Bd19lYaqBhU8_DElYkX7l4wRkHqqCUFNJY4AfY3kHU/edit?usp=sharing  #gid=0"",""фіз особи new!relations_name""),6,FALSE)
,
(IF
(
C4695=""юридична особа""
,
VLOOKUP"&amp;"(D4695,IMPORTRANGE(""https://docs.google.com/spreadsheets/d/14Bd19lYaqBhU8_DElYkX7l4wRkHqqCUFNJY4AfY3kHU/edit?usp=sharing  #gid=0"",""фіз особи new!relations_name_uo""),7,FALSE)
,
)
))"),"ЛИТВАК Олександр Геннадійович")</f>
        <v>ЛИТВАК Олександр Геннадійович</v>
      </c>
      <c r="G4694" s="7" t="s">
        <v>10</v>
      </c>
      <c r="H4694" s="7">
        <v>435</v>
      </c>
      <c r="I4694" s="8" t="str">
        <f ca="1">IFERROR(__xludf.DUMMYFUNCTION("IF
(
G4695=""фізична особа""
,
VLOOKUP(H4695,IMPORTRANGE(""https://docs.google.com/spreadsheets/d/14Bd19lYaqBhU8_DElYkX7l4wRkHqqCUFNJY4AfY3kHU/edit?usp=sharing  #gid=0"",""фіз особи new!relations_name""),6,FALSE)
,
(IF
(
G4695=""юридична особа""
,
VLOOKUP"&amp;"(H4695,IMPORTRANGE(""https://docs.google.com/spreadsheets/d/14Bd19lYaqBhU8_DElYkX7l4wRkHqqCUFNJY4AfY3kHU/edit?usp=sharing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4" s="7" t="s">
        <v>29</v>
      </c>
    </row>
    <row r="4695" spans="1:10" ht="13.2">
      <c r="A4695" s="7">
        <v>4694</v>
      </c>
      <c r="B4695" s="7">
        <v>1</v>
      </c>
      <c r="C4695" s="7" t="s">
        <v>10</v>
      </c>
      <c r="D4695" s="7">
        <v>3260</v>
      </c>
      <c r="E4695" s="7" t="s">
        <v>28</v>
      </c>
      <c r="F4695" s="8" t="str">
        <f ca="1">IFERROR(__xludf.DUMMYFUNCTION("IF
(
C4696=""фізична особа""
,
VLOOKUP(D4696,IMPORTRANGE(""https://docs.google.com/spreadsheets/d/14Bd19lYaqBhU8_DElYkX7l4wRkHqqCUFNJY4AfY3kHU/edit?usp=sharing  #gid=0"",""фіз особи new!relations_name""),6,FALSE)
,
(IF
(
C4696=""юридична особа""
,
VLOOKUP"&amp;"(D4696,IMPORTRANGE(""https://docs.google.com/spreadsheets/d/14Bd19lYaqBhU8_DElYkX7l4wRkHqqCUFNJY4AfY3kHU/edit?usp=sharing  #gid=0"",""фіз особи new!relations_name_uo""),7,FALSE)
,
)
))"),"СМІРНОВ Віктор Васильович")</f>
        <v>СМІРНОВ Віктор Васильович</v>
      </c>
      <c r="G4695" s="7" t="s">
        <v>10</v>
      </c>
      <c r="H4695" s="7">
        <v>435</v>
      </c>
      <c r="I4695" s="8" t="str">
        <f ca="1">IFERROR(__xludf.DUMMYFUNCTION("IF
(
G4696=""фізична особа""
,
VLOOKUP(H4696,IMPORTRANGE(""https://docs.google.com/spreadsheets/d/14Bd19lYaqBhU8_DElYkX7l4wRkHqqCUFNJY4AfY3kHU/edit?usp=sharing  #gid=0"",""фіз особи new!relations_name""),6,FALSE)
,
(IF
(
G4696=""юридична особа""
,
VLOOKUP"&amp;"(H4696,IMPORTRANGE(""https://docs.google.com/spreadsheets/d/14Bd19lYaqBhU8_DElYkX7l4wRkHqqCUFNJY4AfY3kHU/edit?usp=sharing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5" s="7" t="s">
        <v>29</v>
      </c>
    </row>
    <row r="4696" spans="1:10" ht="13.2">
      <c r="A4696" s="7">
        <v>4695</v>
      </c>
      <c r="B4696" s="7">
        <v>1</v>
      </c>
      <c r="C4696" s="7" t="s">
        <v>10</v>
      </c>
      <c r="D4696" s="7">
        <v>3261</v>
      </c>
      <c r="E4696" s="7" t="s">
        <v>28</v>
      </c>
      <c r="F4696" s="8" t="str">
        <f ca="1">IFERROR(__xludf.DUMMYFUNCTION("IF
(
C4697=""фізична особа""
,
VLOOKUP(D4697,IMPORTRANGE(""https://docs.google.com/spreadsheets/d/14Bd19lYaqBhU8_DElYkX7l4wRkHqqCUFNJY4AfY3kHU/edit?usp=sharing  #gid=0"",""фіз особи new!relations_name""),6,FALSE)
,
(IF
(
C4697=""юридична особа""
,
VLOOKUP"&amp;"(D4697,IMPORTRANGE(""https://docs.google.com/spreadsheets/d/14Bd19lYaqBhU8_DElYkX7l4wRkHqqCUFNJY4AfY3kHU/edit?usp=sharing  #gid=0"",""фіз особи new!relations_name_uo""),7,FALSE)
,
)
))"),"ШАТИБЕЛКО Ірина Олегівна")</f>
        <v>ШАТИБЕЛКО Ірина Олегівна</v>
      </c>
      <c r="G4696" s="7" t="s">
        <v>10</v>
      </c>
      <c r="H4696" s="7">
        <v>435</v>
      </c>
      <c r="I4696" s="8" t="str">
        <f ca="1">IFERROR(__xludf.DUMMYFUNCTION("IF
(
G4697=""фізична особа""
,
VLOOKUP(H4697,IMPORTRANGE(""https://docs.google.com/spreadsheets/d/14Bd19lYaqBhU8_DElYkX7l4wRkHqqCUFNJY4AfY3kHU/edit?usp=sharing  #gid=0"",""фіз особи new!relations_name""),6,FALSE)
,
(IF
(
G4697=""юридична особа""
,
VLOOKUP"&amp;"(H4697,IMPORTRANGE(""https://docs.google.com/spreadsheets/d/14Bd19lYaqBhU8_DElYkX7l4wRkHqqCUFNJY4AfY3kHU/edit?usp=sharing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6" s="7" t="s">
        <v>29</v>
      </c>
    </row>
    <row r="4697" spans="1:10" ht="13.2">
      <c r="A4697" s="7">
        <v>4696</v>
      </c>
      <c r="B4697" s="7">
        <v>1</v>
      </c>
      <c r="C4697" s="7" t="s">
        <v>10</v>
      </c>
      <c r="D4697" s="7">
        <v>3262</v>
      </c>
      <c r="E4697" s="7" t="s">
        <v>28</v>
      </c>
      <c r="F4697" s="8" t="str">
        <f ca="1">IFERROR(__xludf.DUMMYFUNCTION("IF
(
C4698=""фізична особа""
,
VLOOKUP(D4698,IMPORTRANGE(""https://docs.google.com/spreadsheets/d/14Bd19lYaqBhU8_DElYkX7l4wRkHqqCUFNJY4AfY3kHU/edit?usp=sharing  #gid=0"",""фіз особи new!relations_name""),6,FALSE)
,
(IF
(
C4698=""юридична особа""
,
VLOOKUP"&amp;"(D4698,IMPORTRANGE(""https://docs.google.com/spreadsheets/d/14Bd19lYaqBhU8_DElYkX7l4wRkHqqCUFNJY4AfY3kHU/edit?usp=sharing  #gid=0"",""фіз особи new!relations_name_uo""),7,FALSE)
,
)
))"),"МОЛОДЦОВ Олександр Віталійович")</f>
        <v>МОЛОДЦОВ Олександр Віталійович</v>
      </c>
      <c r="G4697" s="7" t="s">
        <v>10</v>
      </c>
      <c r="H4697" s="7">
        <v>435</v>
      </c>
      <c r="I4697" s="8" t="str">
        <f ca="1">IFERROR(__xludf.DUMMYFUNCTION("IF
(
G4698=""фізична особа""
,
VLOOKUP(H4698,IMPORTRANGE(""https://docs.google.com/spreadsheets/d/14Bd19lYaqBhU8_DElYkX7l4wRkHqqCUFNJY4AfY3kHU/edit?usp=sharing  #gid=0"",""фіз особи new!relations_name""),6,FALSE)
,
(IF
(
G4698=""юридична особа""
,
VLOOKUP"&amp;"(H4698,IMPORTRANGE(""https://docs.google.com/spreadsheets/d/14Bd19lYaqBhU8_DElYkX7l4wRkHqqCUFNJY4AfY3kHU/edit?usp=sharing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7" s="7" t="s">
        <v>29</v>
      </c>
    </row>
    <row r="4698" spans="1:10" ht="13.2">
      <c r="A4698" s="7">
        <v>4697</v>
      </c>
      <c r="B4698" s="7">
        <v>1</v>
      </c>
      <c r="C4698" s="7" t="s">
        <v>10</v>
      </c>
      <c r="D4698" s="7">
        <v>3263</v>
      </c>
      <c r="E4698" s="7" t="s">
        <v>28</v>
      </c>
      <c r="F4698" s="8" t="str">
        <f ca="1">IFERROR(__xludf.DUMMYFUNCTION("IF
(
C4699=""фізична особа""
,
VLOOKUP(D4699,IMPORTRANGE(""https://docs.google.com/spreadsheets/d/14Bd19lYaqBhU8_DElYkX7l4wRkHqqCUFNJY4AfY3kHU/edit?usp=sharing  #gid=0"",""фіз особи new!relations_name""),6,FALSE)
,
(IF
(
C4699=""юридична особа""
,
VLOOKUP"&amp;"(D4699,IMPORTRANGE(""https://docs.google.com/spreadsheets/d/14Bd19lYaqBhU8_DElYkX7l4wRkHqqCUFNJY4AfY3kHU/edit?usp=sharing  #gid=0"",""фіз особи new!relations_name_uo""),7,FALSE)
,
)
))"),"СТАПРАН Наталія Валеріївна")</f>
        <v>СТАПРАН Наталія Валеріївна</v>
      </c>
      <c r="G4698" s="7" t="s">
        <v>10</v>
      </c>
      <c r="H4698" s="7">
        <v>435</v>
      </c>
      <c r="I4698" s="8" t="str">
        <f ca="1">IFERROR(__xludf.DUMMYFUNCTION("IF
(
G4699=""фізична особа""
,
VLOOKUP(H4699,IMPORTRANGE(""https://docs.google.com/spreadsheets/d/14Bd19lYaqBhU8_DElYkX7l4wRkHqqCUFNJY4AfY3kHU/edit?usp=sharing  #gid=0"",""фіз особи new!relations_name""),6,FALSE)
,
(IF
(
G4699=""юридична особа""
,
VLOOKUP"&amp;"(H4699,IMPORTRANGE(""https://docs.google.com/spreadsheets/d/14Bd19lYaqBhU8_DElYkX7l4wRkHqqCUFNJY4AfY3kHU/edit?usp=sharing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8" s="7" t="s">
        <v>29</v>
      </c>
    </row>
    <row r="4699" spans="1:10" ht="13.2">
      <c r="A4699" s="7">
        <v>4698</v>
      </c>
      <c r="B4699" s="7">
        <v>1</v>
      </c>
      <c r="C4699" s="7" t="s">
        <v>10</v>
      </c>
      <c r="D4699" s="7">
        <v>3264</v>
      </c>
      <c r="E4699" s="7" t="s">
        <v>28</v>
      </c>
      <c r="F4699" s="8" t="str">
        <f ca="1">IFERROR(__xludf.DUMMYFUNCTION("IF
(
C4700=""фізична особа""
,
VLOOKUP(D4700,IMPORTRANGE(""https://docs.google.com/spreadsheets/d/14Bd19lYaqBhU8_DElYkX7l4wRkHqqCUFNJY4AfY3kHU/edit?usp=sharing  #gid=0"",""фіз особи new!relations_name""),6,FALSE)
,
(IF
(
C4700=""юридична особа""
,
VLOOKUP"&amp;"(D4700,IMPORTRANGE(""https://docs.google.com/spreadsheets/d/14Bd19lYaqBhU8_DElYkX7l4wRkHqqCUFNJY4AfY3kHU/edit?usp=sharing  #gid=0"",""фіз особи new!relations_name_uo""),7,FALSE)
,
)
))"),"ПУШКІН Василь Михайлович")</f>
        <v>ПУШКІН Василь Михайлович</v>
      </c>
      <c r="G4699" s="7" t="s">
        <v>10</v>
      </c>
      <c r="H4699" s="7">
        <v>435</v>
      </c>
      <c r="I4699" s="8" t="str">
        <f ca="1">IFERROR(__xludf.DUMMYFUNCTION("IF
(
G4700=""фізична особа""
,
VLOOKUP(H4700,IMPORTRANGE(""https://docs.google.com/spreadsheets/d/14Bd19lYaqBhU8_DElYkX7l4wRkHqqCUFNJY4AfY3kHU/edit?usp=sharing  #gid=0"",""фіз особи new!relations_name""),6,FALSE)
,
(IF
(
G4700=""юридична особа""
,
VLOOKUP"&amp;"(H4700,IMPORTRANGE(""https://docs.google.com/spreadsheets/d/14Bd19lYaqBhU8_DElYkX7l4wRkHqqCUFNJY4AfY3kHU/edit?usp=sharing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699" s="7" t="s">
        <v>29</v>
      </c>
    </row>
    <row r="4700" spans="1:10" ht="13.2">
      <c r="A4700" s="7">
        <v>4699</v>
      </c>
      <c r="B4700" s="7">
        <v>1</v>
      </c>
      <c r="C4700" s="7" t="s">
        <v>10</v>
      </c>
      <c r="D4700" s="7">
        <v>3265</v>
      </c>
      <c r="E4700" s="7" t="s">
        <v>28</v>
      </c>
      <c r="F4700" s="8" t="str">
        <f ca="1">IFERROR(__xludf.DUMMYFUNCTION("IF
(
C4701=""фізична особа""
,
VLOOKUP(D4701,IMPORTRANGE(""https://docs.google.com/spreadsheets/d/14Bd19lYaqBhU8_DElYkX7l4wRkHqqCUFNJY4AfY3kHU/edit?usp=sharing  #gid=0"",""фіз особи new!relations_name""),6,FALSE)
,
(IF
(
C4701=""юридична особа""
,
VLOOKUP"&amp;"(D4701,IMPORTRANGE(""https://docs.google.com/spreadsheets/d/14Bd19lYaqBhU8_DElYkX7l4wRkHqqCUFNJY4AfY3kHU/edit?usp=sharing  #gid=0"",""фіз особи new!relations_name_uo""),7,FALSE)
,
)
))"),"СУЛТАНОВ Назим Самедович")</f>
        <v>СУЛТАНОВ Назим Самедович</v>
      </c>
      <c r="G4700" s="7" t="s">
        <v>10</v>
      </c>
      <c r="H4700" s="7">
        <v>435</v>
      </c>
      <c r="I4700" s="8" t="str">
        <f ca="1">IFERROR(__xludf.DUMMYFUNCTION("IF
(
G4701=""фізична особа""
,
VLOOKUP(H4701,IMPORTRANGE(""https://docs.google.com/spreadsheets/d/14Bd19lYaqBhU8_DElYkX7l4wRkHqqCUFNJY4AfY3kHU/edit?usp=sharing  #gid=0"",""фіз особи new!relations_name""),6,FALSE)
,
(IF
(
G4701=""юридична особа""
,
VLOOKUP"&amp;"(H4701,IMPORTRANGE(""https://docs.google.com/spreadsheets/d/14Bd19lYaqBhU8_DElYkX7l4wRkHqqCUFNJY4AfY3kHU/edit?usp=sharing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0" s="7" t="s">
        <v>29</v>
      </c>
    </row>
    <row r="4701" spans="1:10" ht="13.2">
      <c r="A4701" s="7">
        <v>4700</v>
      </c>
      <c r="B4701" s="7">
        <v>1</v>
      </c>
      <c r="C4701" s="7" t="s">
        <v>10</v>
      </c>
      <c r="D4701" s="7">
        <v>3266</v>
      </c>
      <c r="E4701" s="7" t="s">
        <v>28</v>
      </c>
      <c r="F4701" s="8" t="str">
        <f ca="1">IFERROR(__xludf.DUMMYFUNCTION("IF
(
C4702=""фізична особа""
,
VLOOKUP(D4702,IMPORTRANGE(""https://docs.google.com/spreadsheets/d/14Bd19lYaqBhU8_DElYkX7l4wRkHqqCUFNJY4AfY3kHU/edit?usp=sharing  #gid=0"",""фіз особи new!relations_name""),6,FALSE)
,
(IF
(
C4702=""юридична особа""
,
VLOOKUP"&amp;"(D4702,IMPORTRANGE(""https://docs.google.com/spreadsheets/d/14Bd19lYaqBhU8_DElYkX7l4wRkHqqCUFNJY4AfY3kHU/edit?usp=sharing  #gid=0"",""фіз особи new!relations_name_uo""),7,FALSE)
,
)
))"),"ФЕДОРОВ Ілля В'ячеславович")</f>
        <v>ФЕДОРОВ Ілля В'ячеславович</v>
      </c>
      <c r="G4701" s="7" t="s">
        <v>10</v>
      </c>
      <c r="H4701" s="7">
        <v>435</v>
      </c>
      <c r="I4701" s="8" t="str">
        <f ca="1">IFERROR(__xludf.DUMMYFUNCTION("IF
(
G4702=""фізична особа""
,
VLOOKUP(H4702,IMPORTRANGE(""https://docs.google.com/spreadsheets/d/14Bd19lYaqBhU8_DElYkX7l4wRkHqqCUFNJY4AfY3kHU/edit?usp=sharing  #gid=0"",""фіз особи new!relations_name""),6,FALSE)
,
(IF
(
G4702=""юридична особа""
,
VLOOKUP"&amp;"(H4702,IMPORTRANGE(""https://docs.google.com/spreadsheets/d/14Bd19lYaqBhU8_DElYkX7l4wRkHqqCUFNJY4AfY3kHU/edit?usp=sharing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1" s="7" t="s">
        <v>29</v>
      </c>
    </row>
    <row r="4702" spans="1:10" ht="13.2">
      <c r="A4702" s="7">
        <v>4701</v>
      </c>
      <c r="B4702" s="7">
        <v>1</v>
      </c>
      <c r="C4702" s="7" t="s">
        <v>10</v>
      </c>
      <c r="D4702" s="7">
        <v>3267</v>
      </c>
      <c r="E4702" s="7" t="s">
        <v>28</v>
      </c>
      <c r="F4702" s="8" t="str">
        <f ca="1">IFERROR(__xludf.DUMMYFUNCTION("IF
(
C4703=""фізична особа""
,
VLOOKUP(D4703,IMPORTRANGE(""https://docs.google.com/spreadsheets/d/14Bd19lYaqBhU8_DElYkX7l4wRkHqqCUFNJY4AfY3kHU/edit?usp=sharing  #gid=0"",""фіз особи new!relations_name""),6,FALSE)
,
(IF
(
C4703=""юридична особа""
,
VLOOKUP"&amp;"(D4703,IMPORTRANGE(""https://docs.google.com/spreadsheets/d/14Bd19lYaqBhU8_DElYkX7l4wRkHqqCUFNJY4AfY3kHU/edit?usp=sharing  #gid=0"",""фіз особи new!relations_name_uo""),7,FALSE)
,
)
))"),"МАСЛОВ Олександр Миколайович")</f>
        <v>МАСЛОВ Олександр Миколайович</v>
      </c>
      <c r="G4702" s="7" t="s">
        <v>10</v>
      </c>
      <c r="H4702" s="7">
        <v>435</v>
      </c>
      <c r="I4702" s="8" t="str">
        <f ca="1">IFERROR(__xludf.DUMMYFUNCTION("IF
(
G4703=""фізична особа""
,
VLOOKUP(H4703,IMPORTRANGE(""https://docs.google.com/spreadsheets/d/14Bd19lYaqBhU8_DElYkX7l4wRkHqqCUFNJY4AfY3kHU/edit?usp=sharing  #gid=0"",""фіз особи new!relations_name""),6,FALSE)
,
(IF
(
G4703=""юридична особа""
,
VLOOKUP"&amp;"(H4703,IMPORTRANGE(""https://docs.google.com/spreadsheets/d/14Bd19lYaqBhU8_DElYkX7l4wRkHqqCUFNJY4AfY3kHU/edit?usp=sharing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2" s="7" t="s">
        <v>29</v>
      </c>
    </row>
    <row r="4703" spans="1:10" ht="13.2">
      <c r="A4703" s="7">
        <v>4702</v>
      </c>
      <c r="B4703" s="7">
        <v>1</v>
      </c>
      <c r="C4703" s="7" t="s">
        <v>10</v>
      </c>
      <c r="D4703" s="7">
        <v>3268</v>
      </c>
      <c r="E4703" s="7" t="s">
        <v>28</v>
      </c>
      <c r="F4703" s="8" t="str">
        <f ca="1">IFERROR(__xludf.DUMMYFUNCTION("IF
(
C4704=""фізична особа""
,
VLOOKUP(D4704,IMPORTRANGE(""https://docs.google.com/spreadsheets/d/14Bd19lYaqBhU8_DElYkX7l4wRkHqqCUFNJY4AfY3kHU/edit?usp=sharing  #gid=0"",""фіз особи new!relations_name""),6,FALSE)
,
(IF
(
C4704=""юридична особа""
,
VLOOKUP"&amp;"(D4704,IMPORTRANGE(""https://docs.google.com/spreadsheets/d/14Bd19lYaqBhU8_DElYkX7l4wRkHqqCUFNJY4AfY3kHU/edit?usp=sharing  #gid=0"",""фіз особи new!relations_name_uo""),7,FALSE)
,
)
))"),"ХРАПКОВ Олексій Анатолійович")</f>
        <v>ХРАПКОВ Олексій Анатолійович</v>
      </c>
      <c r="G4703" s="7" t="s">
        <v>10</v>
      </c>
      <c r="H4703" s="7">
        <v>435</v>
      </c>
      <c r="I4703" s="8" t="str">
        <f ca="1">IFERROR(__xludf.DUMMYFUNCTION("IF
(
G4704=""фізична особа""
,
VLOOKUP(H4704,IMPORTRANGE(""https://docs.google.com/spreadsheets/d/14Bd19lYaqBhU8_DElYkX7l4wRkHqqCUFNJY4AfY3kHU/edit?usp=sharing  #gid=0"",""фіз особи new!relations_name""),6,FALSE)
,
(IF
(
G4704=""юридична особа""
,
VLOOKUP"&amp;"(H4704,IMPORTRANGE(""https://docs.google.com/spreadsheets/d/14Bd19lYaqBhU8_DElYkX7l4wRkHqqCUFNJY4AfY3kHU/edit?usp=sharing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3" s="7" t="s">
        <v>29</v>
      </c>
    </row>
    <row r="4704" spans="1:10" ht="13.2">
      <c r="A4704" s="7">
        <v>4703</v>
      </c>
      <c r="B4704" s="7">
        <v>1</v>
      </c>
      <c r="C4704" s="7" t="s">
        <v>10</v>
      </c>
      <c r="D4704" s="7">
        <v>3269</v>
      </c>
      <c r="E4704" s="7" t="s">
        <v>28</v>
      </c>
      <c r="F4704" s="8" t="str">
        <f ca="1">IFERROR(__xludf.DUMMYFUNCTION("IF
(
C4705=""фізична особа""
,
VLOOKUP(D4705,IMPORTRANGE(""https://docs.google.com/spreadsheets/d/14Bd19lYaqBhU8_DElYkX7l4wRkHqqCUFNJY4AfY3kHU/edit?usp=sharing  #gid=0"",""фіз особи new!relations_name""),6,FALSE)
,
(IF
(
C4705=""юридична особа""
,
VLOOKUP"&amp;"(D4705,IMPORTRANGE(""https://docs.google.com/spreadsheets/d/14Bd19lYaqBhU8_DElYkX7l4wRkHqqCUFNJY4AfY3kHU/edit?usp=sharing  #gid=0"",""фіз особи new!relations_name_uo""),7,FALSE)
,
)
))"),"ХРАНОВСЬКИЙ Ігор Віталійович")</f>
        <v>ХРАНОВСЬКИЙ Ігор Віталійович</v>
      </c>
      <c r="G4704" s="7" t="s">
        <v>10</v>
      </c>
      <c r="H4704" s="7">
        <v>435</v>
      </c>
      <c r="I4704" s="8" t="str">
        <f ca="1">IFERROR(__xludf.DUMMYFUNCTION("IF
(
G4705=""фізична особа""
,
VLOOKUP(H4705,IMPORTRANGE(""https://docs.google.com/spreadsheets/d/14Bd19lYaqBhU8_DElYkX7l4wRkHqqCUFNJY4AfY3kHU/edit?usp=sharing  #gid=0"",""фіз особи new!relations_name""),6,FALSE)
,
(IF
(
G4705=""юридична особа""
,
VLOOKUP"&amp;"(H4705,IMPORTRANGE(""https://docs.google.com/spreadsheets/d/14Bd19lYaqBhU8_DElYkX7l4wRkHqqCUFNJY4AfY3kHU/edit?usp=sharing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4" s="7" t="s">
        <v>29</v>
      </c>
    </row>
    <row r="4705" spans="1:10" ht="13.2">
      <c r="A4705" s="7">
        <v>4704</v>
      </c>
      <c r="B4705" s="7">
        <v>1</v>
      </c>
      <c r="C4705" s="7" t="s">
        <v>10</v>
      </c>
      <c r="D4705" s="7">
        <v>3270</v>
      </c>
      <c r="E4705" s="7" t="s">
        <v>28</v>
      </c>
      <c r="F4705" s="8" t="str">
        <f ca="1">IFERROR(__xludf.DUMMYFUNCTION("IF
(
C4706=""фізична особа""
,
VLOOKUP(D4706,IMPORTRANGE(""https://docs.google.com/spreadsheets/d/14Bd19lYaqBhU8_DElYkX7l4wRkHqqCUFNJY4AfY3kHU/edit?usp=sharing  #gid=0"",""фіз особи new!relations_name""),6,FALSE)
,
(IF
(
C4706=""юридична особа""
,
VLOOKUP"&amp;"(D4706,IMPORTRANGE(""https://docs.google.com/spreadsheets/d/14Bd19lYaqBhU8_DElYkX7l4wRkHqqCUFNJY4AfY3kHU/edit?usp=sharing  #gid=0"",""фіз особи new!relations_name_uo""),7,FALSE)
,
)
))"),"ГРИГОР'ЄВ
ОЛЕКСІЙ Олексійович")</f>
        <v>ГРИГОР'ЄВ
ОЛЕКСІЙ Олексійович</v>
      </c>
      <c r="G4705" s="7" t="s">
        <v>10</v>
      </c>
      <c r="H4705" s="7">
        <v>435</v>
      </c>
      <c r="I4705" s="8" t="str">
        <f ca="1">IFERROR(__xludf.DUMMYFUNCTION("IF
(
G4706=""фізична особа""
,
VLOOKUP(H4706,IMPORTRANGE(""https://docs.google.com/spreadsheets/d/14Bd19lYaqBhU8_DElYkX7l4wRkHqqCUFNJY4AfY3kHU/edit?usp=sharing  #gid=0"",""фіз особи new!relations_name""),6,FALSE)
,
(IF
(
G4706=""юридична особа""
,
VLOOKUP"&amp;"(H4706,IMPORTRANGE(""https://docs.google.com/spreadsheets/d/14Bd19lYaqBhU8_DElYkX7l4wRkHqqCUFNJY4AfY3kHU/edit?usp=sharing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4705" s="7" t="s">
        <v>29</v>
      </c>
    </row>
    <row r="4706" spans="1:10" ht="13.2">
      <c r="A4706" s="7">
        <v>4705</v>
      </c>
      <c r="B4706" s="7">
        <v>1</v>
      </c>
      <c r="C4706" s="7" t="s">
        <v>10</v>
      </c>
      <c r="D4706" s="7">
        <v>3271</v>
      </c>
      <c r="E4706" s="7" t="s">
        <v>28</v>
      </c>
      <c r="F4706" s="8" t="str">
        <f ca="1">IFERROR(__xludf.DUMMYFUNCTION("IF
(
C4707=""фізична особа""
,
VLOOKUP(D4707,IMPORTRANGE(""https://docs.google.com/spreadsheets/d/14Bd19lYaqBhU8_DElYkX7l4wRkHqqCUFNJY4AfY3kHU/edit?usp=sharing  #gid=0"",""фіз особи new!relations_name""),6,FALSE)
,
(IF
(
C4707=""юридична особа""
,
VLOOKUP"&amp;"(D4707,IMPORTRANGE(""https://docs.google.com/spreadsheets/d/14Bd19lYaqBhU8_DElYkX7l4wRkHqqCUFNJY4AfY3kHU/edit?usp=sharing  #gid=0"",""фіз особи new!relations_name_uo""),7,FALSE)
,
)
))"),"КУЗНЄЦОВ Роман Валерійович")</f>
        <v>КУЗНЄЦОВ Роман Валерійович</v>
      </c>
      <c r="G4706" s="7" t="s">
        <v>10</v>
      </c>
      <c r="H4706" s="7">
        <v>2346</v>
      </c>
      <c r="I4706" s="8" t="str">
        <f ca="1">IFERROR(__xludf.DUMMYFUNCTION("IF
(
G4707=""фізична особа""
,
VLOOKUP(H4707,IMPORTRANGE(""https://docs.google.com/spreadsheets/d/14Bd19lYaqBhU8_DElYkX7l4wRkHqqCUFNJY4AfY3kHU/edit?usp=sharing  #gid=0"",""фіз особи new!relations_name""),6,FALSE)
,
(IF
(
G4707=""юридична особа""
,
VLOOKUP"&amp;"(H4707,IMPORTRANGE(""https://docs.google.com/spreadsheets/d/14Bd19lYaqBhU8_DElYkX7l4wRkHqqCUFNJY4AfY3kHU/edit?usp=sharing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706" s="7" t="s">
        <v>29</v>
      </c>
    </row>
    <row r="4707" spans="1:10" ht="13.2">
      <c r="A4707" s="7">
        <v>4706</v>
      </c>
      <c r="B4707" s="7">
        <v>1</v>
      </c>
      <c r="C4707" s="7" t="s">
        <v>10</v>
      </c>
      <c r="D4707" s="7">
        <v>3272</v>
      </c>
      <c r="E4707" s="7" t="s">
        <v>28</v>
      </c>
      <c r="F4707" s="8" t="str">
        <f ca="1">IFERROR(__xludf.DUMMYFUNCTION("IF
(
C4708=""фізична особа""
,
VLOOKUP(D4708,IMPORTRANGE(""https://docs.google.com/spreadsheets/d/14Bd19lYaqBhU8_DElYkX7l4wRkHqqCUFNJY4AfY3kHU/edit?usp=sharing  #gid=0"",""фіз особи new!relations_name""),6,FALSE)
,
(IF
(
C4708=""юридична особа""
,
VLOOKUP"&amp;"(D4708,IMPORTRANGE(""https://docs.google.com/spreadsheets/d/14Bd19lYaqBhU8_DElYkX7l4wRkHqqCUFNJY4AfY3kHU/edit?usp=sharing  #gid=0"",""фіз особи new!relations_name_uo""),7,FALSE)
,
)
))"),"ДОРОНКІН Олексій Сергійович")</f>
        <v>ДОРОНКІН Олексій Сергійович</v>
      </c>
      <c r="G4707" s="7" t="s">
        <v>10</v>
      </c>
      <c r="H4707" s="7">
        <v>2346</v>
      </c>
      <c r="I4707" s="8" t="str">
        <f ca="1">IFERROR(__xludf.DUMMYFUNCTION("IF
(
G4708=""фізична особа""
,
VLOOKUP(H4708,IMPORTRANGE(""https://docs.google.com/spreadsheets/d/14Bd19lYaqBhU8_DElYkX7l4wRkHqqCUFNJY4AfY3kHU/edit?usp=sharing  #gid=0"",""фіз особи new!relations_name""),6,FALSE)
,
(IF
(
G4708=""юридична особа""
,
VLOOKUP"&amp;"(H4708,IMPORTRANGE(""https://docs.google.com/spreadsheets/d/14Bd19lYaqBhU8_DElYkX7l4wRkHqqCUFNJY4AfY3kHU/edit?usp=sharing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707" s="7" t="s">
        <v>29</v>
      </c>
    </row>
    <row r="4708" spans="1:10" ht="13.2">
      <c r="A4708" s="7">
        <v>4707</v>
      </c>
      <c r="B4708" s="7">
        <v>1</v>
      </c>
      <c r="C4708" s="7" t="s">
        <v>10</v>
      </c>
      <c r="D4708" s="7">
        <v>3273</v>
      </c>
      <c r="E4708" s="7" t="s">
        <v>28</v>
      </c>
      <c r="F4708" s="8" t="str">
        <f ca="1">IFERROR(__xludf.DUMMYFUNCTION("IF
(
C4709=""фізична особа""
,
VLOOKUP(D4709,IMPORTRANGE(""https://docs.google.com/spreadsheets/d/14Bd19lYaqBhU8_DElYkX7l4wRkHqqCUFNJY4AfY3kHU/edit?usp=sharing  #gid=0"",""фіз особи new!relations_name""),6,FALSE)
,
(IF
(
C4709=""юридична особа""
,
VLOOKUP"&amp;"(D4709,IMPORTRANGE(""https://docs.google.com/spreadsheets/d/14Bd19lYaqBhU8_DElYkX7l4wRkHqqCUFNJY4AfY3kHU/edit?usp=sharing  #gid=0"",""фіз особи new!relations_name_uo""),7,FALSE)
,
)
))"),"ЛАРІНА Катерина Геннадіївна")</f>
        <v>ЛАРІНА Катерина Геннадіївна</v>
      </c>
      <c r="G4708" s="7" t="s">
        <v>10</v>
      </c>
      <c r="H4708" s="7">
        <v>2346</v>
      </c>
      <c r="I4708" s="8" t="str">
        <f ca="1">IFERROR(__xludf.DUMMYFUNCTION("IF
(
G4709=""фізична особа""
,
VLOOKUP(H4709,IMPORTRANGE(""https://docs.google.com/spreadsheets/d/14Bd19lYaqBhU8_DElYkX7l4wRkHqqCUFNJY4AfY3kHU/edit?usp=sharing  #gid=0"",""фіз особи new!relations_name""),6,FALSE)
,
(IF
(
G4709=""юридична особа""
,
VLOOKUP"&amp;"(H4709,IMPORTRANGE(""https://docs.google.com/spreadsheets/d/14Bd19lYaqBhU8_DElYkX7l4wRkHqqCUFNJY4AfY3kHU/edit?usp=sharing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708" s="7" t="s">
        <v>29</v>
      </c>
    </row>
    <row r="4709" spans="1:10" ht="13.2">
      <c r="A4709" s="7">
        <v>4708</v>
      </c>
      <c r="B4709" s="7">
        <v>1</v>
      </c>
      <c r="C4709" s="7" t="s">
        <v>10</v>
      </c>
      <c r="D4709" s="7">
        <v>3274</v>
      </c>
      <c r="E4709" s="7" t="s">
        <v>28</v>
      </c>
      <c r="F4709" s="8" t="str">
        <f ca="1">IFERROR(__xludf.DUMMYFUNCTION("IF
(
C4710=""фізична особа""
,
VLOOKUP(D4710,IMPORTRANGE(""https://docs.google.com/spreadsheets/d/14Bd19lYaqBhU8_DElYkX7l4wRkHqqCUFNJY4AfY3kHU/edit?usp=sharing  #gid=0"",""фіз особи new!relations_name""),6,FALSE)
,
(IF
(
C4710=""юридична особа""
,
VLOOKUP"&amp;"(D4710,IMPORTRANGE(""https://docs.google.com/spreadsheets/d/14Bd19lYaqBhU8_DElYkX7l4wRkHqqCUFNJY4AfY3kHU/edit?usp=sharing  #gid=0"",""фіз особи new!relations_name_uo""),7,FALSE)
,
)
))"),"ВАНЬКОВ Вадим Валерійович")</f>
        <v>ВАНЬКОВ Вадим Валерійович</v>
      </c>
      <c r="G4709" s="7" t="s">
        <v>10</v>
      </c>
      <c r="H4709" s="7">
        <v>439</v>
      </c>
      <c r="I4709" s="8" t="str">
        <f ca="1">IFERROR(__xludf.DUMMYFUNCTION("IF
(
G4710=""фізична особа""
,
VLOOKUP(H4710,IMPORTRANGE(""https://docs.google.com/spreadsheets/d/14Bd19lYaqBhU8_DElYkX7l4wRkHqqCUFNJY4AfY3kHU/edit?usp=sharing  #gid=0"",""фіз особи new!relations_name""),6,FALSE)
,
(IF
(
G4710=""юридична особа""
,
VLOOKUP"&amp;"(H4710,IMPORTRANGE(""https://docs.google.com/spreadsheets/d/14Bd19lYaqBhU8_DElYkX7l4wRkHqqCUFNJY4AfY3kHU/edit?usp=sharing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709" s="7" t="s">
        <v>29</v>
      </c>
    </row>
    <row r="4710" spans="1:10" ht="13.2">
      <c r="A4710" s="7">
        <v>4709</v>
      </c>
      <c r="B4710" s="7">
        <v>1</v>
      </c>
      <c r="C4710" s="7" t="s">
        <v>10</v>
      </c>
      <c r="D4710" s="7">
        <v>3275</v>
      </c>
      <c r="E4710" s="7" t="s">
        <v>28</v>
      </c>
      <c r="F4710" s="8" t="str">
        <f ca="1">IFERROR(__xludf.DUMMYFUNCTION("IF
(
C4711=""фізична особа""
,
VLOOKUP(D4711,IMPORTRANGE(""https://docs.google.com/spreadsheets/d/14Bd19lYaqBhU8_DElYkX7l4wRkHqqCUFNJY4AfY3kHU/edit?usp=sharing  #gid=0"",""фіз особи new!relations_name""),6,FALSE)
,
(IF
(
C4711=""юридична особа""
,
VLOOKUP"&amp;"(D4711,IMPORTRANGE(""https://docs.google.com/spreadsheets/d/14Bd19lYaqBhU8_DElYkX7l4wRkHqqCUFNJY4AfY3kHU/edit?usp=sharing  #gid=0"",""фіз особи new!relations_name_uo""),7,FALSE)
,
)
))"),"УСАЧЕВА Олександра Володимирівна")</f>
        <v>УСАЧЕВА Олександра Володимирівна</v>
      </c>
      <c r="G4710" s="7" t="s">
        <v>10</v>
      </c>
      <c r="H4710" s="7">
        <v>439</v>
      </c>
      <c r="I4710" s="8" t="str">
        <f ca="1">IFERROR(__xludf.DUMMYFUNCTION("IF
(
G4711=""фізична особа""
,
VLOOKUP(H4711,IMPORTRANGE(""https://docs.google.com/spreadsheets/d/14Bd19lYaqBhU8_DElYkX7l4wRkHqqCUFNJY4AfY3kHU/edit?usp=sharing  #gid=0"",""фіз особи new!relations_name""),6,FALSE)
,
(IF
(
G4711=""юридична особа""
,
VLOOKUP"&amp;"(H4711,IMPORTRANGE(""https://docs.google.com/spreadsheets/d/14Bd19lYaqBhU8_DElYkX7l4wRkHqqCUFNJY4AfY3kHU/edit?usp=sharing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710" s="7" t="s">
        <v>29</v>
      </c>
    </row>
    <row r="4711" spans="1:10" ht="13.2">
      <c r="A4711" s="7">
        <v>4710</v>
      </c>
      <c r="B4711" s="7">
        <v>1</v>
      </c>
      <c r="C4711" s="7" t="s">
        <v>10</v>
      </c>
      <c r="D4711" s="7">
        <v>3276</v>
      </c>
      <c r="E4711" s="7" t="s">
        <v>28</v>
      </c>
      <c r="F4711" s="8" t="str">
        <f ca="1">IFERROR(__xludf.DUMMYFUNCTION("IF
(
C4712=""фізична особа""
,
VLOOKUP(D4712,IMPORTRANGE(""https://docs.google.com/spreadsheets/d/14Bd19lYaqBhU8_DElYkX7l4wRkHqqCUFNJY4AfY3kHU/edit?usp=sharing  #gid=0"",""фіз особи new!relations_name""),6,FALSE)
,
(IF
(
C4712=""юридична особа""
,
VLOOKUP"&amp;"(D4712,IMPORTRANGE(""https://docs.google.com/spreadsheets/d/14Bd19lYaqBhU8_DElYkX7l4wRkHqqCUFNJY4AfY3kHU/edit?usp=sharing  #gid=0"",""фіз особи new!relations_name_uo""),7,FALSE)
,
)
))"),"СИБІРЯКОВА Наталія Віталіївна")</f>
        <v>СИБІРЯКОВА Наталія Віталіївна</v>
      </c>
      <c r="G4711" s="7" t="s">
        <v>10</v>
      </c>
      <c r="H4711" s="7">
        <v>439</v>
      </c>
      <c r="I4711" s="8" t="str">
        <f ca="1">IFERROR(__xludf.DUMMYFUNCTION("IF
(
G4712=""фізична особа""
,
VLOOKUP(H4712,IMPORTRANGE(""https://docs.google.com/spreadsheets/d/14Bd19lYaqBhU8_DElYkX7l4wRkHqqCUFNJY4AfY3kHU/edit?usp=sharing  #gid=0"",""фіз особи new!relations_name""),6,FALSE)
,
(IF
(
G4712=""юридична особа""
,
VLOOKUP"&amp;"(H4712,IMPORTRANGE(""https://docs.google.com/spreadsheets/d/14Bd19lYaqBhU8_DElYkX7l4wRkHqqCUFNJY4AfY3kHU/edit?usp=sharing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711" s="7" t="s">
        <v>29</v>
      </c>
    </row>
    <row r="4712" spans="1:10" ht="13.2">
      <c r="A4712" s="7">
        <v>4711</v>
      </c>
      <c r="B4712" s="7">
        <v>1</v>
      </c>
      <c r="C4712" s="7" t="s">
        <v>10</v>
      </c>
      <c r="D4712" s="7">
        <v>3277</v>
      </c>
      <c r="E4712" s="7" t="s">
        <v>28</v>
      </c>
      <c r="F4712" s="8" t="str">
        <f ca="1">IFERROR(__xludf.DUMMYFUNCTION("IF
(
C4713=""фізична особа""
,
VLOOKUP(D4713,IMPORTRANGE(""https://docs.google.com/spreadsheets/d/14Bd19lYaqBhU8_DElYkX7l4wRkHqqCUFNJY4AfY3kHU/edit?usp=sharing  #gid=0"",""фіз особи new!relations_name""),6,FALSE)
,
(IF
(
C4713=""юридична особа""
,
VLOOKUP"&amp;"(D4713,IMPORTRANGE(""https://docs.google.com/spreadsheets/d/14Bd19lYaqBhU8_DElYkX7l4wRkHqqCUFNJY4AfY3kHU/edit?usp=sharing  #gid=0"",""фіз особи new!relations_name_uo""),7,FALSE)
,
)
))"),"ЛИСОВОЙ Леонід Васильович")</f>
        <v>ЛИСОВОЙ Леонід Васильович</v>
      </c>
      <c r="G4712" s="7" t="s">
        <v>10</v>
      </c>
      <c r="H4712" s="7">
        <v>439</v>
      </c>
      <c r="I4712" s="8" t="str">
        <f ca="1">IFERROR(__xludf.DUMMYFUNCTION("IF
(
G4713=""фізична особа""
,
VLOOKUP(H4713,IMPORTRANGE(""https://docs.google.com/spreadsheets/d/14Bd19lYaqBhU8_DElYkX7l4wRkHqqCUFNJY4AfY3kHU/edit?usp=sharing  #gid=0"",""фіз особи new!relations_name""),6,FALSE)
,
(IF
(
G4713=""юридична особа""
,
VLOOKUP"&amp;"(H4713,IMPORTRANGE(""https://docs.google.com/spreadsheets/d/14Bd19lYaqBhU8_DElYkX7l4wRkHqqCUFNJY4AfY3kHU/edit?usp=sharing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712" s="7" t="s">
        <v>29</v>
      </c>
    </row>
    <row r="4713" spans="1:10" ht="13.2">
      <c r="A4713" s="7">
        <v>4712</v>
      </c>
      <c r="B4713" s="7">
        <v>1</v>
      </c>
      <c r="C4713" s="7" t="s">
        <v>10</v>
      </c>
      <c r="D4713" s="7">
        <v>3278</v>
      </c>
      <c r="E4713" s="7" t="s">
        <v>28</v>
      </c>
      <c r="F4713" s="8" t="str">
        <f ca="1">IFERROR(__xludf.DUMMYFUNCTION("IF
(
C4714=""фізична особа""
,
VLOOKUP(D4714,IMPORTRANGE(""https://docs.google.com/spreadsheets/d/14Bd19lYaqBhU8_DElYkX7l4wRkHqqCUFNJY4AfY3kHU/edit?usp=sharing  #gid=0"",""фіз особи new!relations_name""),6,FALSE)
,
(IF
(
C4714=""юридична особа""
,
VLOOKUP"&amp;"(D4714,IMPORTRANGE(""https://docs.google.com/spreadsheets/d/14Bd19lYaqBhU8_DElYkX7l4wRkHqqCUFNJY4AfY3kHU/edit?usp=sharing  #gid=0"",""фіз особи new!relations_name_uo""),7,FALSE)
,
)
))"),"ЛЄСНІКОВА Марина Миколаївна")</f>
        <v>ЛЄСНІКОВА Марина Миколаївна</v>
      </c>
      <c r="G4713" s="7" t="s">
        <v>10</v>
      </c>
      <c r="H4713" s="7">
        <v>439</v>
      </c>
      <c r="I4713" s="8" t="str">
        <f ca="1">IFERROR(__xludf.DUMMYFUNCTION("IF
(
G4714=""фізична особа""
,
VLOOKUP(H4714,IMPORTRANGE(""https://docs.google.com/spreadsheets/d/14Bd19lYaqBhU8_DElYkX7l4wRkHqqCUFNJY4AfY3kHU/edit?usp=sharing  #gid=0"",""фіз особи new!relations_name""),6,FALSE)
,
(IF
(
G4714=""юридична особа""
,
VLOOKUP"&amp;"(H4714,IMPORTRANGE(""https://docs.google.com/spreadsheets/d/14Bd19lYaqBhU8_DElYkX7l4wRkHqqCUFNJY4AfY3kHU/edit?usp=sharing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4713" s="7" t="s">
        <v>29</v>
      </c>
    </row>
    <row r="4714" spans="1:10" ht="13.2">
      <c r="A4714" s="7">
        <v>4713</v>
      </c>
      <c r="B4714" s="7">
        <v>1</v>
      </c>
      <c r="C4714" s="7" t="s">
        <v>10</v>
      </c>
      <c r="D4714" s="7">
        <v>3284</v>
      </c>
      <c r="E4714" s="7" t="s">
        <v>17</v>
      </c>
      <c r="F4714" s="8" t="str">
        <f ca="1">IFERROR(__xludf.DUMMYFUNCTION("IF
(
C4715=""фізична особа""
,
VLOOKUP(D4715,IMPORTRANGE(""https://docs.google.com/spreadsheets/d/14Bd19lYaqBhU8_DElYkX7l4wRkHqqCUFNJY4AfY3kHU/edit?usp=sharing  #gid=0"",""фіз особи new!relations_name""),6,FALSE)
,
(IF
(
C4715=""юридична особа""
,
VLOOKUP"&amp;"(D4715,IMPORTRANGE(""https://docs.google.com/spreadsheets/d/14Bd19lYaqBhU8_DElYkX7l4wRkHqqCUFNJY4AfY3kHU/edit?usp=sharing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G4714" s="7" t="s">
        <v>10</v>
      </c>
      <c r="H4714" s="7">
        <v>23515</v>
      </c>
      <c r="I4714" s="8" t="str">
        <f ca="1">IFERROR(__xludf.DUMMYFUNCTION("IF
(
G4715=""фізична особа""
,
VLOOKUP(H4715,IMPORTRANGE(""https://docs.google.com/spreadsheets/d/14Bd19lYaqBhU8_DElYkX7l4wRkHqqCUFNJY4AfY3kHU/edit?usp=sharing  #gid=0"",""фіз особи new!relations_name""),6,FALSE)
,
(IF
(
G4715=""юридична особа""
,
VLOOKUP"&amp;"(H4715,IMPORTRANGE(""https://docs.google.com/spreadsheets/d/14Bd19lYaqBhU8_DElYkX7l4wRkHqqCUFNJY4AfY3kHU/edit?usp=sharing  #gid=0"",""фіз особи new!relations_name_uo""),7,FALSE)
,
)
))"),"БЄЛОЗЬОРОВ Валентин Борисович")</f>
        <v>БЄЛОЗЬОРОВ Валентин Борисович</v>
      </c>
      <c r="J4714" s="7" t="s">
        <v>12</v>
      </c>
    </row>
    <row r="4715" spans="1:10" ht="13.2">
      <c r="A4715" s="7">
        <v>4714</v>
      </c>
      <c r="B4715" s="7">
        <v>1</v>
      </c>
      <c r="C4715" s="7" t="s">
        <v>10</v>
      </c>
      <c r="D4715" s="7">
        <v>3284</v>
      </c>
      <c r="E4715" s="7" t="s">
        <v>17</v>
      </c>
      <c r="F4715" s="8" t="str">
        <f ca="1">IFERROR(__xludf.DUMMYFUNCTION("IF
(
C4716=""фізична особа""
,
VLOOKUP(D4716,IMPORTRANGE(""https://docs.google.com/spreadsheets/d/14Bd19lYaqBhU8_DElYkX7l4wRkHqqCUFNJY4AfY3kHU/edit?usp=sharing  #gid=0"",""фіз особи new!relations_name""),6,FALSE)
,
(IF
(
C4716=""юридична особа""
,
VLOOKUP"&amp;"(D4716,IMPORTRANGE(""https://docs.google.com/spreadsheets/d/14Bd19lYaqBhU8_DElYkX7l4wRkHqqCUFNJY4AfY3kHU/edit?usp=sharing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G4715" s="7" t="s">
        <v>10</v>
      </c>
      <c r="H4715" s="7">
        <v>0</v>
      </c>
      <c r="I4715" s="8" t="str">
        <f ca="1">IFERROR(__xludf.DUMMYFUNCTION("IF
(
G4716=""фізична особа""
,
VLOOKUP(H4716,IMPORTRANGE(""https://docs.google.com/spreadsheets/d/14Bd19lYaqBhU8_DElYkX7l4wRkHqqCUFNJY4AfY3kHU/edit?usp=sharing  #gid=0"",""фіз особи new!relations_name""),6,FALSE)
,
(IF
(
G4716=""юридична особа""
,
VLOOKUP"&amp;"(H4716,IMPORTRANGE(""https://docs.google.com/spreadsheets/d/14Bd19lYaqBhU8_DElYkX7l4wRkHqqCUFNJY4AfY3kHU/edit?usp=sharing  #gid=0"",""фіз особи new!relations_name_uo""),7,FALSE)
,
)
))"),"#N/A")</f>
        <v>#N/A</v>
      </c>
      <c r="J4715" s="7" t="s">
        <v>21</v>
      </c>
    </row>
    <row r="4716" spans="1:10" ht="13.2">
      <c r="A4716" s="7">
        <v>4715</v>
      </c>
      <c r="B4716" s="7">
        <v>1</v>
      </c>
      <c r="C4716" s="7" t="s">
        <v>10</v>
      </c>
      <c r="D4716" s="7">
        <v>3284</v>
      </c>
      <c r="E4716" s="7" t="s">
        <v>14</v>
      </c>
      <c r="F4716" s="8" t="str">
        <f ca="1">IFERROR(__xludf.DUMMYFUNCTION("IF
(
C4717=""фізична особа""
,
VLOOKUP(D4717,IMPORTRANGE(""https://docs.google.com/spreadsheets/d/14Bd19lYaqBhU8_DElYkX7l4wRkHqqCUFNJY4AfY3kHU/edit?usp=sharing  #gid=0"",""фіз особи new!relations_name""),6,FALSE)
,
(IF
(
C4717=""юридична особа""
,
VLOOKUP"&amp;"(D4717,IMPORTRANGE(""https://docs.google.com/spreadsheets/d/14Bd19lYaqBhU8_DElYkX7l4wRkHqqCUFNJY4AfY3kHU/edit?usp=sharing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G4716" s="7" t="s">
        <v>10</v>
      </c>
      <c r="H4716" s="7">
        <v>0</v>
      </c>
      <c r="I4716" s="8" t="str">
        <f ca="1">IFERROR(__xludf.DUMMYFUNCTION("IF
(
G4717=""фізична особа""
,
VLOOKUP(H4717,IMPORTRANGE(""https://docs.google.com/spreadsheets/d/14Bd19lYaqBhU8_DElYkX7l4wRkHqqCUFNJY4AfY3kHU/edit?usp=sharing  #gid=0"",""фіз особи new!relations_name""),6,FALSE)
,
(IF
(
G4717=""юридична особа""
,
VLOOKUP"&amp;"(H4717,IMPORTRANGE(""https://docs.google.com/spreadsheets/d/14Bd19lYaqBhU8_DElYkX7l4wRkHqqCUFNJY4AfY3kHU/edit?usp=sharing  #gid=0"",""фіз особи new!relations_name_uo""),7,FALSE)
,
)
))"),"#N/A")</f>
        <v>#N/A</v>
      </c>
      <c r="J4716" s="7" t="s">
        <v>15</v>
      </c>
    </row>
    <row r="4717" spans="1:10" ht="13.2">
      <c r="A4717" s="7">
        <v>4716</v>
      </c>
      <c r="B4717" s="7">
        <v>1</v>
      </c>
      <c r="C4717" s="7" t="s">
        <v>10</v>
      </c>
      <c r="D4717" s="7">
        <v>3284</v>
      </c>
      <c r="E4717" s="7" t="s">
        <v>12</v>
      </c>
      <c r="F4717" s="8" t="str">
        <f ca="1">IFERROR(__xludf.DUMMYFUNCTION("IF
(
C4718=""фізична особа""
,
VLOOKUP(D4718,IMPORTRANGE(""https://docs.google.com/spreadsheets/d/14Bd19lYaqBhU8_DElYkX7l4wRkHqqCUFNJY4AfY3kHU/edit?usp=sharing  #gid=0"",""фіз особи new!relations_name""),6,FALSE)
,
(IF
(
C4718=""юридична особа""
,
VLOOKUP"&amp;"(D4718,IMPORTRANGE(""https://docs.google.com/spreadsheets/d/14Bd19lYaqBhU8_DElYkX7l4wRkHqqCUFNJY4AfY3kHU/edit?usp=sharing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G4717" s="7" t="s">
        <v>10</v>
      </c>
      <c r="H4717" s="7">
        <v>0</v>
      </c>
      <c r="I4717" s="8" t="str">
        <f ca="1">IFERROR(__xludf.DUMMYFUNCTION("IF
(
G4718=""фізична особа""
,
VLOOKUP(H4718,IMPORTRANGE(""https://docs.google.com/spreadsheets/d/14Bd19lYaqBhU8_DElYkX7l4wRkHqqCUFNJY4AfY3kHU/edit?usp=sharing  #gid=0"",""фіз особи new!relations_name""),6,FALSE)
,
(IF
(
G4718=""юридична особа""
,
VLOOKUP"&amp;"(H4718,IMPORTRANGE(""https://docs.google.com/spreadsheets/d/14Bd19lYaqBhU8_DElYkX7l4wRkHqqCUFNJY4AfY3kHU/edit?usp=sharing  #gid=0"",""фіз особи new!relations_name_uo""),7,FALSE)
,
)
))"),"#N/A")</f>
        <v>#N/A</v>
      </c>
      <c r="J4717" s="7" t="s">
        <v>17</v>
      </c>
    </row>
    <row r="4718" spans="1:10" ht="13.2">
      <c r="A4718" s="7">
        <v>4717</v>
      </c>
      <c r="B4718" s="7">
        <v>1</v>
      </c>
      <c r="C4718" s="7" t="s">
        <v>10</v>
      </c>
      <c r="D4718" s="7">
        <v>3284</v>
      </c>
      <c r="E4718" s="7" t="s">
        <v>12</v>
      </c>
      <c r="F4718" s="8" t="str">
        <f ca="1">IFERROR(__xludf.DUMMYFUNCTION("IF
(
C4719=""фізична особа""
,
VLOOKUP(D4719,IMPORTRANGE(""https://docs.google.com/spreadsheets/d/14Bd19lYaqBhU8_DElYkX7l4wRkHqqCUFNJY4AfY3kHU/edit?usp=sharing  #gid=0"",""фіз особи new!relations_name""),6,FALSE)
,
(IF
(
C4719=""юридична особа""
,
VLOOKUP"&amp;"(D4719,IMPORTRANGE(""https://docs.google.com/spreadsheets/d/14Bd19lYaqBhU8_DElYkX7l4wRkHqqCUFNJY4AfY3kHU/edit?usp=sharing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G4718" s="7" t="s">
        <v>10</v>
      </c>
      <c r="H4718" s="7">
        <v>0</v>
      </c>
      <c r="I4718" s="8" t="str">
        <f ca="1">IFERROR(__xludf.DUMMYFUNCTION("IF
(
G4719=""фізична особа""
,
VLOOKUP(H4719,IMPORTRANGE(""https://docs.google.com/spreadsheets/d/14Bd19lYaqBhU8_DElYkX7l4wRkHqqCUFNJY4AfY3kHU/edit?usp=sharing  #gid=0"",""фіз особи new!relations_name""),6,FALSE)
,
(IF
(
G4719=""юридична особа""
,
VLOOKUP"&amp;"(H4719,IMPORTRANGE(""https://docs.google.com/spreadsheets/d/14Bd19lYaqBhU8_DElYkX7l4wRkHqqCUFNJY4AfY3kHU/edit?usp=sharing  #gid=0"",""фіз особи new!relations_name_uo""),7,FALSE)
,
)
))"),"#N/A")</f>
        <v>#N/A</v>
      </c>
      <c r="J4718" s="7" t="s">
        <v>13</v>
      </c>
    </row>
    <row r="4719" spans="1:10" ht="13.2">
      <c r="A4719" s="7">
        <v>4718</v>
      </c>
      <c r="B4719" s="7">
        <v>1</v>
      </c>
      <c r="C4719" s="7" t="s">
        <v>10</v>
      </c>
      <c r="D4719" s="7">
        <v>3286</v>
      </c>
      <c r="E4719" s="7" t="s">
        <v>28</v>
      </c>
      <c r="F4719" s="8" t="str">
        <f ca="1">IFERROR(__xludf.DUMMYFUNCTION("IF
(
C4720=""фізична особа""
,
VLOOKUP(D4720,IMPORTRANGE(""https://docs.google.com/spreadsheets/d/14Bd19lYaqBhU8_DElYkX7l4wRkHqqCUFNJY4AfY3kHU/edit?usp=sharing  #gid=0"",""фіз особи new!relations_name""),6,FALSE)
,
(IF
(
C4720=""юридична особа""
,
VLOOKUP"&amp;"(D4720,IMPORTRANGE(""https://docs.google.com/spreadsheets/d/14Bd19lYaqBhU8_DElYkX7l4wRkHqqCUFNJY4AfY3kHU/edit?usp=sharing  #gid=0"",""фіз особи new!relations_name_uo""),7,FALSE)
,
)
))"),"КАШКА Мустафа Мамединович")</f>
        <v>КАШКА Мустафа Мамединович</v>
      </c>
      <c r="G4719" s="7" t="s">
        <v>10</v>
      </c>
      <c r="H4719" s="7">
        <v>0</v>
      </c>
      <c r="I4719" s="8" t="str">
        <f ca="1">IFERROR(__xludf.DUMMYFUNCTION("IF
(
G4720=""фізична особа""
,
VLOOKUP(H4720,IMPORTRANGE(""https://docs.google.com/spreadsheets/d/14Bd19lYaqBhU8_DElYkX7l4wRkHqqCUFNJY4AfY3kHU/edit?usp=sharing  #gid=0"",""фіз особи new!relations_name""),6,FALSE)
,
(IF
(
G4720=""юридична особа""
,
VLOOKUP"&amp;"(H4720,IMPORTRANGE(""https://docs.google.com/spreadsheets/d/14Bd19lYaqBhU8_DElYkX7l4wRkHqqCUFNJY4AfY3kHU/edit?usp=sharing  #gid=0"",""фіз особи new!relations_name_uo""),7,FALSE)
,
)
))"),"#N/A")</f>
        <v>#N/A</v>
      </c>
      <c r="J4719" s="7" t="s">
        <v>29</v>
      </c>
    </row>
    <row r="4720" spans="1:10" ht="13.2">
      <c r="A4720" s="7">
        <v>4719</v>
      </c>
      <c r="B4720" s="7">
        <v>1</v>
      </c>
      <c r="C4720" s="7" t="s">
        <v>10</v>
      </c>
      <c r="D4720" s="7">
        <v>3304</v>
      </c>
      <c r="E4720" s="7" t="s">
        <v>30</v>
      </c>
      <c r="F4720" s="8" t="str">
        <f ca="1">IFERROR(__xludf.DUMMYFUNCTION("IF
(
C4721=""фізична особа""
,
VLOOKUP(D4721,IMPORTRANGE(""https://docs.google.com/spreadsheets/d/14Bd19lYaqBhU8_DElYkX7l4wRkHqqCUFNJY4AfY3kHU/edit?usp=sharing  #gid=0"",""фіз особи new!relations_name""),6,FALSE)
,
(IF
(
C4721=""юридична особа""
,
VLOOKUP"&amp;"(D4721,IMPORTRANGE(""https://docs.google.com/spreadsheets/d/14Bd19lYaqBhU8_DElYkX7l4wRkHqqCUFNJY4AfY3kHU/edit?usp=sharing  #gid=0"",""фіз особи new!relations_name_uo""),7,FALSE)
,
)
))"),"ПАВЛЮТІН Андрій Володимирович")</f>
        <v>ПАВЛЮТІН Андрій Володимирович</v>
      </c>
      <c r="G4720" s="7" t="s">
        <v>10</v>
      </c>
      <c r="H4720" s="7">
        <v>0</v>
      </c>
      <c r="I4720" s="8" t="str">
        <f ca="1">IFERROR(__xludf.DUMMYFUNCTION("IF
(
G4721=""фізична особа""
,
VLOOKUP(H4721,IMPORTRANGE(""https://docs.google.com/spreadsheets/d/14Bd19lYaqBhU8_DElYkX7l4wRkHqqCUFNJY4AfY3kHU/edit?usp=sharing  #gid=0"",""фіз особи new!relations_name""),6,FALSE)
,
(IF
(
G4721=""юридична особа""
,
VLOOKUP"&amp;"(H4721,IMPORTRANGE(""https://docs.google.com/spreadsheets/d/14Bd19lYaqBhU8_DElYkX7l4wRkHqqCUFNJY4AfY3kHU/edit?usp=sharing  #gid=0"",""фіз особи new!relations_name_uo""),7,FALSE)
,
)
))"),"#N/A")</f>
        <v>#N/A</v>
      </c>
      <c r="J4720" s="7" t="s">
        <v>30</v>
      </c>
    </row>
    <row r="4721" spans="1:10" ht="13.2">
      <c r="A4721" s="7">
        <v>4720</v>
      </c>
      <c r="B4721" s="7">
        <v>1</v>
      </c>
      <c r="C4721" s="7" t="s">
        <v>10</v>
      </c>
      <c r="D4721" s="7">
        <v>3307</v>
      </c>
      <c r="E4721" s="7" t="s">
        <v>12</v>
      </c>
      <c r="F4721" s="8" t="str">
        <f ca="1">IFERROR(__xludf.DUMMYFUNCTION("IF
(
C4722=""фізична особа""
,
VLOOKUP(D4722,IMPORTRANGE(""https://docs.google.com/spreadsheets/d/14Bd19lYaqBhU8_DElYkX7l4wRkHqqCUFNJY4AfY3kHU/edit?usp=sharing  #gid=0"",""фіз особи new!relations_name""),6,FALSE)
,
(IF
(
C4722=""юридична особа""
,
VLOOKUP"&amp;"(D4722,IMPORTRANGE(""https://docs.google.com/spreadsheets/d/14Bd19lYaqBhU8_DElYkX7l4wRkHqqCUFNJY4AfY3kHU/edit?usp=sharing  #gid=0"",""фіз особи new!relations_name_uo""),7,FALSE)
,
)
))"),"ФРАНК Сергій Оттович")</f>
        <v>ФРАНК Сергій Оттович</v>
      </c>
      <c r="G4721" s="7" t="s">
        <v>10</v>
      </c>
      <c r="H4721" s="7">
        <v>984</v>
      </c>
      <c r="I4721" s="8" t="str">
        <f ca="1">IFERROR(__xludf.DUMMYFUNCTION("IF
(
G4722=""фізична особа""
,
VLOOKUP(H4722,IMPORTRANGE(""https://docs.google.com/spreadsheets/d/14Bd19lYaqBhU8_DElYkX7l4wRkHqqCUFNJY4AfY3kHU/edit?usp=sharing  #gid=0"",""фіз особи new!relations_name""),6,FALSE)
,
(IF
(
G4722=""юридична особа""
,
VLOOKUP"&amp;"(H4722,IMPORTRANGE(""https://docs.google.com/spreadsheets/d/14Bd19lYaqBhU8_DElYkX7l4wRkHqqCUFNJY4AfY3kHU/edit?usp=sharing  #gid=0"",""фіз особи new!relations_name_uo""),7,FALSE)
,
)
))"),"ФРАНК Гліб Сергійович")</f>
        <v>ФРАНК Гліб Сергійович</v>
      </c>
      <c r="J4721" s="7" t="s">
        <v>17</v>
      </c>
    </row>
    <row r="4722" spans="1:10" ht="13.2">
      <c r="A4722" s="7">
        <v>4721</v>
      </c>
      <c r="B4722" s="7">
        <v>1</v>
      </c>
      <c r="C4722" s="7" t="s">
        <v>10</v>
      </c>
      <c r="D4722" s="7">
        <v>3308</v>
      </c>
      <c r="E4722" s="7" t="s">
        <v>14</v>
      </c>
      <c r="F4722" s="8" t="str">
        <f ca="1">IFERROR(__xludf.DUMMYFUNCTION("IF
(
C4723=""фізична особа""
,
VLOOKUP(D4723,IMPORTRANGE(""https://docs.google.com/spreadsheets/d/14Bd19lYaqBhU8_DElYkX7l4wRkHqqCUFNJY4AfY3kHU/edit?usp=sharing  #gid=0"",""фіз особи new!relations_name""),6,FALSE)
,
(IF
(
C4723=""юридична особа""
,
VLOOKUP"&amp;"(D4723,IMPORTRANGE(""https://docs.google.com/spreadsheets/d/14Bd19lYaqBhU8_DElYkX7l4wRkHqqCUFNJY4AfY3kHU/edit?usp=sharing  #gid=0"",""фіз особи new!relations_name_uo""),7,FALSE)
,
)
))"),"СТЕПАШИН Сергій Вадимович")</f>
        <v>СТЕПАШИН Сергій Вадимович</v>
      </c>
      <c r="G4722" s="7" t="s">
        <v>10</v>
      </c>
      <c r="H4722" s="7">
        <v>0</v>
      </c>
      <c r="I4722" s="8" t="str">
        <f ca="1">IFERROR(__xludf.DUMMYFUNCTION("IF
(
G4723=""фізична особа""
,
VLOOKUP(H4723,IMPORTRANGE(""https://docs.google.com/spreadsheets/d/14Bd19lYaqBhU8_DElYkX7l4wRkHqqCUFNJY4AfY3kHU/edit?usp=sharing  #gid=0"",""фіз особи new!relations_name""),6,FALSE)
,
(IF
(
G4723=""юридична особа""
,
VLOOKUP"&amp;"(H4723,IMPORTRANGE(""https://docs.google.com/spreadsheets/d/14Bd19lYaqBhU8_DElYkX7l4wRkHqqCUFNJY4AfY3kHU/edit?usp=sharing  #gid=0"",""фіз особи new!relations_name_uo""),7,FALSE)
,
)
))"),"#N/A")</f>
        <v>#N/A</v>
      </c>
      <c r="J4722" s="7" t="s">
        <v>15</v>
      </c>
    </row>
    <row r="4723" spans="1:10" ht="13.2">
      <c r="A4723" s="7">
        <v>4722</v>
      </c>
      <c r="B4723" s="7">
        <v>1</v>
      </c>
      <c r="C4723" s="7" t="s">
        <v>10</v>
      </c>
      <c r="D4723" s="7">
        <v>3308</v>
      </c>
      <c r="E4723" s="7" t="s">
        <v>12</v>
      </c>
      <c r="F4723" s="8" t="str">
        <f ca="1">IFERROR(__xludf.DUMMYFUNCTION("IF
(
C4724=""фізична особа""
,
VLOOKUP(D4724,IMPORTRANGE(""https://docs.google.com/spreadsheets/d/14Bd19lYaqBhU8_DElYkX7l4wRkHqqCUFNJY4AfY3kHU/edit?usp=sharing  #gid=0"",""фіз особи new!relations_name""),6,FALSE)
,
(IF
(
C4724=""юридична особа""
,
VLOOKUP"&amp;"(D4724,IMPORTRANGE(""https://docs.google.com/spreadsheets/d/14Bd19lYaqBhU8_DElYkX7l4wRkHqqCUFNJY4AfY3kHU/edit?usp=sharing  #gid=0"",""фіз особи new!relations_name_uo""),7,FALSE)
,
)
))"),"СТЕПАШИН Сергій Вадимович")</f>
        <v>СТЕПАШИН Сергій Вадимович</v>
      </c>
      <c r="G4723" s="7" t="s">
        <v>10</v>
      </c>
      <c r="H4723" s="7">
        <v>0</v>
      </c>
      <c r="I4723" s="8" t="str">
        <f ca="1">IFERROR(__xludf.DUMMYFUNCTION("IF
(
G4724=""фізична особа""
,
VLOOKUP(H4724,IMPORTRANGE(""https://docs.google.com/spreadsheets/d/14Bd19lYaqBhU8_DElYkX7l4wRkHqqCUFNJY4AfY3kHU/edit?usp=sharing  #gid=0"",""фіз особи new!relations_name""),6,FALSE)
,
(IF
(
G4724=""юридична особа""
,
VLOOKUP"&amp;"(H4724,IMPORTRANGE(""https://docs.google.com/spreadsheets/d/14Bd19lYaqBhU8_DElYkX7l4wRkHqqCUFNJY4AfY3kHU/edit?usp=sharing  #gid=0"",""фіз особи new!relations_name_uo""),7,FALSE)
,
)
))"),"#N/A")</f>
        <v>#N/A</v>
      </c>
      <c r="J4723" s="7" t="s">
        <v>17</v>
      </c>
    </row>
    <row r="4724" spans="1:10" ht="13.2">
      <c r="A4724" s="7">
        <v>4723</v>
      </c>
      <c r="B4724" s="7">
        <v>1</v>
      </c>
      <c r="C4724" s="7" t="s">
        <v>10</v>
      </c>
      <c r="D4724" s="7">
        <v>3312</v>
      </c>
      <c r="E4724" s="7" t="s">
        <v>30</v>
      </c>
      <c r="F4724" s="8" t="str">
        <f ca="1">IFERROR(__xludf.DUMMYFUNCTION("IF
(
C4725=""фізична особа""
,
VLOOKUP(D4725,IMPORTRANGE(""https://docs.google.com/spreadsheets/d/14Bd19lYaqBhU8_DElYkX7l4wRkHqqCUFNJY4AfY3kHU/edit?usp=sharing  #gid=0"",""фіз особи new!relations_name""),6,FALSE)
,
(IF
(
C4725=""юридична особа""
,
VLOOKUP"&amp;"(D4725,IMPORTRANGE(""https://docs.google.com/spreadsheets/d/14Bd19lYaqBhU8_DElYkX7l4wRkHqqCUFNJY4AfY3kHU/edit?usp=sharing  #gid=0"",""фіз особи new!relations_name_uo""),7,FALSE)
,
)
))"),"БЄСЄДІН Іван Сергійович")</f>
        <v>БЄСЄДІН Іван Сергійович</v>
      </c>
      <c r="G4724" s="7" t="s">
        <v>10</v>
      </c>
      <c r="H4724" s="7">
        <v>3316</v>
      </c>
      <c r="I4724" s="8" t="str">
        <f ca="1">IFERROR(__xludf.DUMMYFUNCTION("IF
(
G4725=""фізична особа""
,
VLOOKUP(H4725,IMPORTRANGE(""https://docs.google.com/spreadsheets/d/14Bd19lYaqBhU8_DElYkX7l4wRkHqqCUFNJY4AfY3kHU/edit?usp=sharing  #gid=0"",""фіз особи new!relations_name""),6,FALSE)
,
(IF
(
G4725=""юридична особа""
,
VLOOKUP"&amp;"(H4725,IMPORTRANGE(""https://docs.google.com/spreadsheets/d/14Bd19lYaqBhU8_DElYkX7l4wRkHqqCUFNJY4AfY3kHU/edit?usp=sharing  #gid=0"",""фіз особи new!relations_name_uo""),7,FALSE)
,
)
))"),"ШИШКАРЬОВ Сергій Миколайович")</f>
        <v>ШИШКАРЬОВ Сергій Миколайович</v>
      </c>
      <c r="J4724" s="7" t="s">
        <v>30</v>
      </c>
    </row>
    <row r="4725" spans="1:10" ht="13.2">
      <c r="A4725" s="7">
        <v>4724</v>
      </c>
      <c r="B4725" s="7">
        <v>1</v>
      </c>
      <c r="C4725" s="7" t="s">
        <v>10</v>
      </c>
      <c r="D4725" s="7">
        <v>3352</v>
      </c>
      <c r="E4725" s="7" t="s">
        <v>30</v>
      </c>
      <c r="F4725" s="8" t="str">
        <f ca="1">IFERROR(__xludf.DUMMYFUNCTION("IF
(
C4726=""фізична особа""
,
VLOOKUP(D4726,IMPORTRANGE(""https://docs.google.com/spreadsheets/d/14Bd19lYaqBhU8_DElYkX7l4wRkHqqCUFNJY4AfY3kHU/edit?usp=sharing  #gid=0"",""фіз особи new!relations_name""),6,FALSE)
,
(IF
(
C4726=""юридична особа""
,
VLOOKUP"&amp;"(D4726,IMPORTRANGE(""https://docs.google.com/spreadsheets/d/14Bd19lYaqBhU8_DElYkX7l4wRkHqqCUFNJY4AfY3kHU/edit?usp=sharing  #gid=0"",""фіз особи new!relations_name_uo""),7,FALSE)
,
)
))"),"КЛЄБАНОВ Вадим Анатолійович")</f>
        <v>КЛЄБАНОВ Вадим Анатолійович</v>
      </c>
      <c r="G4725" s="7" t="s">
        <v>10</v>
      </c>
      <c r="H4725" s="7">
        <v>3353</v>
      </c>
      <c r="I4725" s="8" t="str">
        <f ca="1">IFERROR(__xludf.DUMMYFUNCTION("IF
(
G4726=""фізична особа""
,
VLOOKUP(H4726,IMPORTRANGE(""https://docs.google.com/spreadsheets/d/14Bd19lYaqBhU8_DElYkX7l4wRkHqqCUFNJY4AfY3kHU/edit?usp=sharing  #gid=0"",""фіз особи new!relations_name""),6,FALSE)
,
(IF
(
G4726=""юридична особа""
,
VLOOKUP"&amp;"(H4726,IMPORTRANGE(""https://docs.google.com/spreadsheets/d/14Bd19lYaqBhU8_DElYkX7l4wRkHqqCUFNJY4AfY3kHU/edit?usp=sharing  #gid=0"",""фіз особи new!relations_name_uo""),7,FALSE)
,
)
))"),"ФІЛЄВА Тетяна Владиславівна")</f>
        <v>ФІЛЄВА Тетяна Владиславівна</v>
      </c>
      <c r="J4725" s="7" t="s">
        <v>30</v>
      </c>
    </row>
    <row r="4726" spans="1:10" ht="13.2">
      <c r="A4726" s="7">
        <v>4725</v>
      </c>
      <c r="B4726" s="7">
        <v>1</v>
      </c>
      <c r="C4726" s="7" t="s">
        <v>10</v>
      </c>
      <c r="D4726" s="7">
        <v>3352</v>
      </c>
      <c r="E4726" s="7" t="s">
        <v>30</v>
      </c>
      <c r="F4726" s="8" t="str">
        <f ca="1">IFERROR(__xludf.DUMMYFUNCTION("IF
(
C4727=""фізична особа""
,
VLOOKUP(D4727,IMPORTRANGE(""https://docs.google.com/spreadsheets/d/14Bd19lYaqBhU8_DElYkX7l4wRkHqqCUFNJY4AfY3kHU/edit?usp=sharing  #gid=0"",""фіз особи new!relations_name""),6,FALSE)
,
(IF
(
C4727=""юридична особа""
,
VLOOKUP"&amp;"(D4727,IMPORTRANGE(""https://docs.google.com/spreadsheets/d/14Bd19lYaqBhU8_DElYkX7l4wRkHqqCUFNJY4AfY3kHU/edit?usp=sharing  #gid=0"",""фіз особи new!relations_name_uo""),7,FALSE)
,
)
))"),"КЛЄБАНОВ Вадим Анатолійович")</f>
        <v>КЛЄБАНОВ Вадим Анатолійович</v>
      </c>
      <c r="G4726" s="7" t="s">
        <v>10</v>
      </c>
      <c r="H4726" s="7">
        <v>23516</v>
      </c>
      <c r="I4726" s="8" t="str">
        <f ca="1">IFERROR(__xludf.DUMMYFUNCTION("IF
(
G4727=""фізична особа""
,
VLOOKUP(H4727,IMPORTRANGE(""https://docs.google.com/spreadsheets/d/14Bd19lYaqBhU8_DElYkX7l4wRkHqqCUFNJY4AfY3kHU/edit?usp=sharing  #gid=0"",""фіз особи new!relations_name""),6,FALSE)
,
(IF
(
G4727=""юридична особа""
,
VLOOKUP"&amp;"(H4727,IMPORTRANGE(""https://docs.google.com/spreadsheets/d/14Bd19lYaqBhU8_DElYkX7l4wRkHqqCUFNJY4AfY3kHU/edit?usp=sharing  #gid=0"",""фіз особи new!relations_name_uo""),7,FALSE)
,
)
))"),"ФІЛЄВ Владислав Феліксович")</f>
        <v>ФІЛЄВ Владислав Феліксович</v>
      </c>
      <c r="J4726" s="7" t="s">
        <v>30</v>
      </c>
    </row>
    <row r="4727" spans="1:10" ht="13.2">
      <c r="A4727" s="7">
        <v>4726</v>
      </c>
      <c r="B4727" s="7">
        <v>1</v>
      </c>
      <c r="C4727" s="7" t="s">
        <v>10</v>
      </c>
      <c r="D4727" s="7">
        <v>3353</v>
      </c>
      <c r="E4727" s="7" t="s">
        <v>13</v>
      </c>
      <c r="F4727" s="8" t="str">
        <f ca="1">IFERROR(__xludf.DUMMYFUNCTION("IF
(
C4728=""фізична особа""
,
VLOOKUP(D4728,IMPORTRANGE(""https://docs.google.com/spreadsheets/d/14Bd19lYaqBhU8_DElYkX7l4wRkHqqCUFNJY4AfY3kHU/edit?usp=sharing  #gid=0"",""фіз особи new!relations_name""),6,FALSE)
,
(IF
(
C4728=""юридична особа""
,
VLOOKUP"&amp;"(D4728,IMPORTRANGE(""https://docs.google.com/spreadsheets/d/14Bd19lYaqBhU8_DElYkX7l4wRkHqqCUFNJY4AfY3kHU/edit?usp=sharing  #gid=0"",""фіз особи new!relations_name_uo""),7,FALSE)
,
)
))"),"ФІЛЄВА Тетяна Владиславівна")</f>
        <v>ФІЛЄВА Тетяна Владиславівна</v>
      </c>
      <c r="G4727" s="7" t="s">
        <v>10</v>
      </c>
      <c r="H4727" s="7">
        <v>23516</v>
      </c>
      <c r="I4727" s="8" t="str">
        <f ca="1">IFERROR(__xludf.DUMMYFUNCTION("IF
(
G4728=""фізична особа""
,
VLOOKUP(H4728,IMPORTRANGE(""https://docs.google.com/spreadsheets/d/14Bd19lYaqBhU8_DElYkX7l4wRkHqqCUFNJY4AfY3kHU/edit?usp=sharing  #gid=0"",""фіз особи new!relations_name""),6,FALSE)
,
(IF
(
G4728=""юридична особа""
,
VLOOKUP"&amp;"(H4728,IMPORTRANGE(""https://docs.google.com/spreadsheets/d/14Bd19lYaqBhU8_DElYkX7l4wRkHqqCUFNJY4AfY3kHU/edit?usp=sharing  #gid=0"",""фіз особи new!relations_name_uo""),7,FALSE)
,
)
))"),"ФІЛЄВ Владислав Феліксович")</f>
        <v>ФІЛЄВ Владислав Феліксович</v>
      </c>
      <c r="J4727" s="7" t="s">
        <v>12</v>
      </c>
    </row>
    <row r="4728" spans="1:10" ht="13.2">
      <c r="A4728" s="7">
        <v>4727</v>
      </c>
      <c r="B4728" s="7">
        <v>1</v>
      </c>
      <c r="C4728" s="7" t="s">
        <v>10</v>
      </c>
      <c r="D4728" s="7">
        <v>3353</v>
      </c>
      <c r="E4728" s="7" t="s">
        <v>31</v>
      </c>
      <c r="F4728" s="8" t="str">
        <f ca="1">IFERROR(__xludf.DUMMYFUNCTION("IF
(
C4729=""фізична особа""
,
VLOOKUP(D4729,IMPORTRANGE(""https://docs.google.com/spreadsheets/d/14Bd19lYaqBhU8_DElYkX7l4wRkHqqCUFNJY4AfY3kHU/edit?usp=sharing  #gid=0"",""фіз особи new!relations_name""),6,FALSE)
,
(IF
(
C4729=""юридична особа""
,
VLOOKUP"&amp;"(D4729,IMPORTRANGE(""https://docs.google.com/spreadsheets/d/14Bd19lYaqBhU8_DElYkX7l4wRkHqqCUFNJY4AfY3kHU/edit?usp=sharing  #gid=0"",""фіз особи new!relations_name_uo""),7,FALSE)
,
)
))"),"ФІЛЄВА Тетяна Владиславівна")</f>
        <v>ФІЛЄВА Тетяна Владиславівна</v>
      </c>
      <c r="G4728" s="7" t="s">
        <v>10</v>
      </c>
      <c r="H4728" s="7">
        <v>0</v>
      </c>
      <c r="I4728" s="8" t="str">
        <f ca="1">IFERROR(__xludf.DUMMYFUNCTION("IF
(
G4729=""фізична особа""
,
VLOOKUP(H4729,IMPORTRANGE(""https://docs.google.com/spreadsheets/d/14Bd19lYaqBhU8_DElYkX7l4wRkHqqCUFNJY4AfY3kHU/edit?usp=sharing  #gid=0"",""фіз особи new!relations_name""),6,FALSE)
,
(IF
(
G4729=""юридична особа""
,
VLOOKUP"&amp;"(H4729,IMPORTRANGE(""https://docs.google.com/spreadsheets/d/14Bd19lYaqBhU8_DElYkX7l4wRkHqqCUFNJY4AfY3kHU/edit?usp=sharing  #gid=0"",""фіз особи new!relations_name_uo""),7,FALSE)
,
)
))"),"#N/A")</f>
        <v>#N/A</v>
      </c>
      <c r="J4728" s="7" t="s">
        <v>31</v>
      </c>
    </row>
    <row r="4729" spans="1:10" ht="13.2">
      <c r="A4729" s="7">
        <v>4728</v>
      </c>
      <c r="B4729" s="7">
        <v>1</v>
      </c>
      <c r="C4729" s="7" t="s">
        <v>10</v>
      </c>
      <c r="D4729" s="7">
        <v>3367</v>
      </c>
      <c r="E4729" s="7" t="s">
        <v>12</v>
      </c>
      <c r="F4729" s="8" t="str">
        <f ca="1">IFERROR(__xludf.DUMMYFUNCTION("IF
(
C4730=""фізична особа""
,
VLOOKUP(D4730,IMPORTRANGE(""https://docs.google.com/spreadsheets/d/14Bd19lYaqBhU8_DElYkX7l4wRkHqqCUFNJY4AfY3kHU/edit?usp=sharing  #gid=0"",""фіз особи new!relations_name""),6,FALSE)
,
(IF
(
C4730=""юридична особа""
,
VLOOKUP"&amp;"(D4730,IMPORTRANGE(""https://docs.google.com/spreadsheets/d/14Bd19lYaqBhU8_DElYkX7l4wRkHqqCUFNJY4AfY3kHU/edit?usp=sharing  #gid=0"",""фіз особи new!relations_name_uo""),7,FALSE)
,
)
))"),"КІРЄЄВ Сергій Георгійович")</f>
        <v>КІРЄЄВ Сергій Георгійович</v>
      </c>
      <c r="G4729" s="7" t="s">
        <v>10</v>
      </c>
      <c r="H4729" s="7">
        <v>2933</v>
      </c>
      <c r="I4729" s="8" t="str">
        <f ca="1">IFERROR(__xludf.DUMMYFUNCTION("IF
(
G4730=""фізична особа""
,
VLOOKUP(H4730,IMPORTRANGE(""https://docs.google.com/spreadsheets/d/14Bd19lYaqBhU8_DElYkX7l4wRkHqqCUFNJY4AfY3kHU/edit?usp=sharing  #gid=0"",""фіз особи new!relations_name""),6,FALSE)
,
(IF
(
G4730=""юридична особа""
,
VLOOKUP"&amp;"(H4730,IMPORTRANGE(""https://docs.google.com/spreadsheets/d/14Bd19lYaqBhU8_DElYkX7l4wRkHqqCUFNJY4AfY3kHU/edit?usp=sharing  #gid=0"",""фіз особи new!relations_name_uo""),7,FALSE)
,
)
))"),"КИРЕЄВ Євген Сергійович")</f>
        <v>КИРЕЄВ Євген Сергійович</v>
      </c>
      <c r="J4729" s="7" t="s">
        <v>17</v>
      </c>
    </row>
    <row r="4730" spans="1:10" ht="13.2">
      <c r="A4730" s="7">
        <v>4729</v>
      </c>
      <c r="B4730" s="7">
        <v>1</v>
      </c>
      <c r="C4730" s="7" t="s">
        <v>10</v>
      </c>
      <c r="D4730" s="7">
        <v>3367</v>
      </c>
      <c r="E4730" s="7" t="s">
        <v>62</v>
      </c>
      <c r="F4730" s="8" t="str">
        <f ca="1">IFERROR(__xludf.DUMMYFUNCTION("IF
(
C4731=""фізична особа""
,
VLOOKUP(D4731,IMPORTRANGE(""https://docs.google.com/spreadsheets/d/14Bd19lYaqBhU8_DElYkX7l4wRkHqqCUFNJY4AfY3kHU/edit?usp=sharing  #gid=0"",""фіз особи new!relations_name""),6,FALSE)
,
(IF
(
C4731=""юридична особа""
,
VLOOKUP"&amp;"(D4731,IMPORTRANGE(""https://docs.google.com/spreadsheets/d/14Bd19lYaqBhU8_DElYkX7l4wRkHqqCUFNJY4AfY3kHU/edit?usp=sharing  #gid=0"",""фіз особи new!relations_name_uo""),7,FALSE)
,
)
))"),"КІРЄЄВ Сергій Георгійович")</f>
        <v>КІРЄЄВ Сергій Георгійович</v>
      </c>
      <c r="G4730" s="7" t="s">
        <v>10</v>
      </c>
      <c r="H4730" s="7">
        <v>419</v>
      </c>
      <c r="I4730" s="8" t="str">
        <f ca="1">IFERROR(__xludf.DUMMYFUNCTION("IF
(
G4731=""фізична особа""
,
VLOOKUP(H4731,IMPORTRANGE(""https://docs.google.com/spreadsheets/d/14Bd19lYaqBhU8_DElYkX7l4wRkHqqCUFNJY4AfY3kHU/edit?usp=sharing  #gid=0"",""фіз особи new!relations_name""),6,FALSE)
,
(IF
(
G4731=""юридична особа""
,
VLOOKUP"&amp;"(H4731,IMPORTRANGE(""https://docs.google.com/spreadsheets/d/14Bd19lYaqBhU8_DElYkX7l4wRkHqqCUFNJY4AfY3kHU/edit?usp=sharing  #gid=0"",""фіз особи new!relations_name_uo""),7,FALSE)
,
)
))"),"ХУСНУЛЛІН Марат Шакирзянович")</f>
        <v>ХУСНУЛЛІН Марат Шакирзянович</v>
      </c>
      <c r="J4730" s="7" t="s">
        <v>62</v>
      </c>
    </row>
    <row r="4731" spans="1:10" ht="13.2">
      <c r="A4731" s="7">
        <v>4730</v>
      </c>
      <c r="B4731" s="7">
        <v>1</v>
      </c>
      <c r="C4731" s="7" t="s">
        <v>10</v>
      </c>
      <c r="D4731" s="7">
        <v>3367</v>
      </c>
      <c r="E4731" s="7" t="s">
        <v>34</v>
      </c>
      <c r="F4731" s="8" t="str">
        <f ca="1">IFERROR(__xludf.DUMMYFUNCTION("IF
(
C4732=""фізична особа""
,
VLOOKUP(D4732,IMPORTRANGE(""https://docs.google.com/spreadsheets/d/14Bd19lYaqBhU8_DElYkX7l4wRkHqqCUFNJY4AfY3kHU/edit?usp=sharing  #gid=0"",""фіз особи new!relations_name""),6,FALSE)
,
(IF
(
C4732=""юридична особа""
,
VLOOKUP"&amp;"(D4732,IMPORTRANGE(""https://docs.google.com/spreadsheets/d/14Bd19lYaqBhU8_DElYkX7l4wRkHqqCUFNJY4AfY3kHU/edit?usp=sharing  #gid=0"",""фіз особи new!relations_name_uo""),7,FALSE)
,
)
))"),"КІРЄЄВ Сергій Георгійович")</f>
        <v>КІРЄЄВ Сергій Георгійович</v>
      </c>
      <c r="G4731" s="7" t="s">
        <v>10</v>
      </c>
      <c r="H4731" s="7">
        <v>2932</v>
      </c>
      <c r="I4731" s="8" t="str">
        <f ca="1">IFERROR(__xludf.DUMMYFUNCTION("IF
(
G4732=""фізична особа""
,
VLOOKUP(H4732,IMPORTRANGE(""https://docs.google.com/spreadsheets/d/14Bd19lYaqBhU8_DElYkX7l4wRkHqqCUFNJY4AfY3kHU/edit?usp=sharing  #gid=0"",""фіз особи new!relations_name""),6,FALSE)
,
(IF
(
G4732=""юридична особа""
,
VLOOKUP"&amp;"(H4732,IMPORTRANGE(""https://docs.google.com/spreadsheets/d/14Bd19lYaqBhU8_DElYkX7l4wRkHqqCUFNJY4AfY3kHU/edit?usp=sharing  #gid=0"",""фіз особи new!relations_name_uo""),7,FALSE)
,
)
))"),"Кіреєва / Хуснулліна Аліна Маратівна")</f>
        <v>Кіреєва / Хуснулліна Аліна Маратівна</v>
      </c>
      <c r="J4731" s="7" t="s">
        <v>25</v>
      </c>
    </row>
    <row r="4732" spans="1:10" ht="13.2">
      <c r="A4732" s="7">
        <v>4731</v>
      </c>
      <c r="B4732" s="7">
        <v>1</v>
      </c>
      <c r="C4732" s="7" t="s">
        <v>10</v>
      </c>
      <c r="D4732" s="7">
        <v>3368</v>
      </c>
      <c r="E4732" s="7" t="s">
        <v>30</v>
      </c>
      <c r="F4732" s="8" t="str">
        <f ca="1">IFERROR(__xludf.DUMMYFUNCTION("IF
(
C4733=""фізична особа""
,
VLOOKUP(D4733,IMPORTRANGE(""https://docs.google.com/spreadsheets/d/14Bd19lYaqBhU8_DElYkX7l4wRkHqqCUFNJY4AfY3kHU/edit?usp=sharing  #gid=0"",""фіз особи new!relations_name""),6,FALSE)
,
(IF
(
C4733=""юридична особа""
,
VLOOKUP"&amp;"(D4733,IMPORTRANGE(""https://docs.google.com/spreadsheets/d/14Bd19lYaqBhU8_DElYkX7l4wRkHqqCUFNJY4AfY3kHU/edit?usp=sharing  #gid=0"",""фіз особи new!relations_name_uo""),7,FALSE)
,
)
))"),"КУЗНЄЦОВ Лев Володимирович")</f>
        <v>КУЗНЄЦОВ Лев Володимирович</v>
      </c>
      <c r="G4732" s="7" t="s">
        <v>10</v>
      </c>
      <c r="H4732" s="7">
        <v>4519</v>
      </c>
      <c r="I4732" s="8" t="str">
        <f ca="1">IFERROR(__xludf.DUMMYFUNCTION("IF
(
G4733=""фізична особа""
,
VLOOKUP(H4733,IMPORTRANGE(""https://docs.google.com/spreadsheets/d/14Bd19lYaqBhU8_DElYkX7l4wRkHqqCUFNJY4AfY3kHU/edit?usp=sharing  #gid=0"",""фіз особи new!relations_name""),6,FALSE)
,
(IF
(
G4733=""юридична особа""
,
VLOOKUP"&amp;"(H4733,IMPORTRANGE(""https://docs.google.com/spreadsheets/d/14Bd19lYaqBhU8_DElYkX7l4wRkHqqCUFNJY4AfY3kHU/edit?usp=sharing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J4732" s="7" t="s">
        <v>30</v>
      </c>
    </row>
    <row r="4733" spans="1:10" ht="13.2">
      <c r="A4733" s="7">
        <v>4732</v>
      </c>
      <c r="B4733" s="7">
        <v>1</v>
      </c>
      <c r="C4733" s="7" t="s">
        <v>10</v>
      </c>
      <c r="D4733" s="7">
        <v>3369</v>
      </c>
      <c r="E4733" s="7" t="s">
        <v>30</v>
      </c>
      <c r="F4733" s="8" t="str">
        <f ca="1">IFERROR(__xludf.DUMMYFUNCTION("IF
(
C4734=""фізична особа""
,
VLOOKUP(D4734,IMPORTRANGE(""https://docs.google.com/spreadsheets/d/14Bd19lYaqBhU8_DElYkX7l4wRkHqqCUFNJY4AfY3kHU/edit?usp=sharing  #gid=0"",""фіз особи new!relations_name""),6,FALSE)
,
(IF
(
C4734=""юридична особа""
,
VLOOKUP"&amp;"(D4734,IMPORTRANGE(""https://docs.google.com/spreadsheets/d/14Bd19lYaqBhU8_DElYkX7l4wRkHqqCUFNJY4AfY3kHU/edit?usp=sharing  #gid=0"",""фіз особи new!relations_name_uo""),7,FALSE)
,
)
))"),"ЦВЄТКОВ Юрій Олександрович")</f>
        <v>ЦВЄТКОВ Юрій Олександрович</v>
      </c>
      <c r="G4733" s="7" t="s">
        <v>10</v>
      </c>
      <c r="H4733" s="7">
        <v>0</v>
      </c>
      <c r="I4733" s="8" t="str">
        <f ca="1">IFERROR(__xludf.DUMMYFUNCTION("IF
(
G4734=""фізична особа""
,
VLOOKUP(H4734,IMPORTRANGE(""https://docs.google.com/spreadsheets/d/14Bd19lYaqBhU8_DElYkX7l4wRkHqqCUFNJY4AfY3kHU/edit?usp=sharing  #gid=0"",""фіз особи new!relations_name""),6,FALSE)
,
(IF
(
G4734=""юридична особа""
,
VLOOKUP"&amp;"(H4734,IMPORTRANGE(""https://docs.google.com/spreadsheets/d/14Bd19lYaqBhU8_DElYkX7l4wRkHqqCUFNJY4AfY3kHU/edit?usp=sharing  #gid=0"",""фіз особи new!relations_name_uo""),7,FALSE)
,
)
))"),"#N/A")</f>
        <v>#N/A</v>
      </c>
      <c r="J4733" s="7" t="s">
        <v>30</v>
      </c>
    </row>
    <row r="4734" spans="1:10" ht="13.2">
      <c r="A4734" s="7">
        <v>4733</v>
      </c>
      <c r="B4734" s="7">
        <v>1</v>
      </c>
      <c r="C4734" s="7" t="s">
        <v>10</v>
      </c>
      <c r="D4734" s="7">
        <v>3369</v>
      </c>
      <c r="E4734" s="7" t="s">
        <v>30</v>
      </c>
      <c r="F4734" s="8" t="str">
        <f ca="1">IFERROR(__xludf.DUMMYFUNCTION("IF
(
C4735=""фізична особа""
,
VLOOKUP(D4735,IMPORTRANGE(""https://docs.google.com/spreadsheets/d/14Bd19lYaqBhU8_DElYkX7l4wRkHqqCUFNJY4AfY3kHU/edit?usp=sharing  #gid=0"",""фіз особи new!relations_name""),6,FALSE)
,
(IF
(
C4735=""юридична особа""
,
VLOOKUP"&amp;"(D4735,IMPORTRANGE(""https://docs.google.com/spreadsheets/d/14Bd19lYaqBhU8_DElYkX7l4wRkHqqCUFNJY4AfY3kHU/edit?usp=sharing  #gid=0"",""фіз особи new!relations_name_uo""),7,FALSE)
,
)
))"),"ЦВЄТКОВ Юрій Олександрович")</f>
        <v>ЦВЄТКОВ Юрій Олександрович</v>
      </c>
      <c r="G4734" s="7" t="s">
        <v>10</v>
      </c>
      <c r="H4734" s="7">
        <v>0</v>
      </c>
      <c r="I4734" s="8" t="str">
        <f ca="1">IFERROR(__xludf.DUMMYFUNCTION("IF
(
G4735=""фізична особа""
,
VLOOKUP(H4735,IMPORTRANGE(""https://docs.google.com/spreadsheets/d/14Bd19lYaqBhU8_DElYkX7l4wRkHqqCUFNJY4AfY3kHU/edit?usp=sharing  #gid=0"",""фіз особи new!relations_name""),6,FALSE)
,
(IF
(
G4735=""юридична особа""
,
VLOOKUP"&amp;"(H4735,IMPORTRANGE(""https://docs.google.com/spreadsheets/d/14Bd19lYaqBhU8_DElYkX7l4wRkHqqCUFNJY4AfY3kHU/edit?usp=sharing  #gid=0"",""фіз особи new!relations_name_uo""),7,FALSE)
,
)
))"),"#N/A")</f>
        <v>#N/A</v>
      </c>
      <c r="J4734" s="7" t="s">
        <v>30</v>
      </c>
    </row>
    <row r="4735" spans="1:10" ht="13.2">
      <c r="A4735" s="7">
        <v>4734</v>
      </c>
      <c r="B4735" s="7">
        <v>1</v>
      </c>
      <c r="C4735" s="7" t="s">
        <v>10</v>
      </c>
      <c r="D4735" s="7">
        <v>3369</v>
      </c>
      <c r="E4735" s="7" t="s">
        <v>12</v>
      </c>
      <c r="F4735" s="8" t="str">
        <f ca="1">IFERROR(__xludf.DUMMYFUNCTION("IF
(
C4736=""фізична особа""
,
VLOOKUP(D4736,IMPORTRANGE(""https://docs.google.com/spreadsheets/d/14Bd19lYaqBhU8_DElYkX7l4wRkHqqCUFNJY4AfY3kHU/edit?usp=sharing  #gid=0"",""фіз особи new!relations_name""),6,FALSE)
,
(IF
(
C4736=""юридична особа""
,
VLOOKUP"&amp;"(D4736,IMPORTRANGE(""https://docs.google.com/spreadsheets/d/14Bd19lYaqBhU8_DElYkX7l4wRkHqqCUFNJY4AfY3kHU/edit?usp=sharing  #gid=0"",""фіз особи new!relations_name_uo""),7,FALSE)
,
)
))"),"ЦВЄТКОВ Юрій Олександрович")</f>
        <v>ЦВЄТКОВ Юрій Олександрович</v>
      </c>
      <c r="G4735" s="7" t="s">
        <v>10</v>
      </c>
      <c r="H4735" s="7">
        <v>0</v>
      </c>
      <c r="I4735" s="8" t="str">
        <f ca="1">IFERROR(__xludf.DUMMYFUNCTION("IF
(
G4736=""фізична особа""
,
VLOOKUP(H4736,IMPORTRANGE(""https://docs.google.com/spreadsheets/d/14Bd19lYaqBhU8_DElYkX7l4wRkHqqCUFNJY4AfY3kHU/edit?usp=sharing  #gid=0"",""фіз особи new!relations_name""),6,FALSE)
,
(IF
(
G4736=""юридична особа""
,
VLOOKUP"&amp;"(H4736,IMPORTRANGE(""https://docs.google.com/spreadsheets/d/14Bd19lYaqBhU8_DElYkX7l4wRkHqqCUFNJY4AfY3kHU/edit?usp=sharing  #gid=0"",""фіз особи new!relations_name_uo""),7,FALSE)
,
)
))"),"#N/A")</f>
        <v>#N/A</v>
      </c>
      <c r="J4735" s="7" t="s">
        <v>13</v>
      </c>
    </row>
    <row r="4736" spans="1:10" ht="13.2">
      <c r="A4736" s="7">
        <v>4735</v>
      </c>
      <c r="B4736" s="7">
        <v>1</v>
      </c>
      <c r="C4736" s="7" t="s">
        <v>10</v>
      </c>
      <c r="D4736" s="7">
        <v>3369</v>
      </c>
      <c r="E4736" s="7" t="s">
        <v>12</v>
      </c>
      <c r="F4736" s="8" t="str">
        <f ca="1">IFERROR(__xludf.DUMMYFUNCTION("IF
(
C4737=""фізична особа""
,
VLOOKUP(D4737,IMPORTRANGE(""https://docs.google.com/spreadsheets/d/14Bd19lYaqBhU8_DElYkX7l4wRkHqqCUFNJY4AfY3kHU/edit?usp=sharing  #gid=0"",""фіз особи new!relations_name""),6,FALSE)
,
(IF
(
C4737=""юридична особа""
,
VLOOKUP"&amp;"(D4737,IMPORTRANGE(""https://docs.google.com/spreadsheets/d/14Bd19lYaqBhU8_DElYkX7l4wRkHqqCUFNJY4AfY3kHU/edit?usp=sharing  #gid=0"",""фіз особи new!relations_name_uo""),7,FALSE)
,
)
))"),"ЦВЄТКОВ Юрій Олександрович")</f>
        <v>ЦВЄТКОВ Юрій Олександрович</v>
      </c>
      <c r="G4736" s="7" t="s">
        <v>10</v>
      </c>
      <c r="H4736" s="7">
        <v>3333</v>
      </c>
      <c r="I4736" s="8" t="str">
        <f ca="1">IFERROR(__xludf.DUMMYFUNCTION("IF
(
G4737=""фізична особа""
,
VLOOKUP(H4737,IMPORTRANGE(""https://docs.google.com/spreadsheets/d/14Bd19lYaqBhU8_DElYkX7l4wRkHqqCUFNJY4AfY3kHU/edit?usp=sharing  #gid=0"",""фіз особи new!relations_name""),6,FALSE)
,
(IF
(
G4737=""юридична особа""
,
VLOOKUP"&amp;"(H4737,IMPORTRANGE(""https://docs.google.com/spreadsheets/d/14Bd19lYaqBhU8_DElYkX7l4wRkHqqCUFNJY4AfY3kHU/edit?usp=sharing  #gid=0"",""фіз особи new!relations_name_uo""),7,FALSE)
,
)
))"),"ЦВЄТКОВА Катерина Юріївна")</f>
        <v>ЦВЄТКОВА Катерина Юріївна</v>
      </c>
      <c r="J4736" s="7" t="s">
        <v>13</v>
      </c>
    </row>
    <row r="4737" spans="1:10" ht="13.2">
      <c r="A4737" s="7">
        <v>4736</v>
      </c>
      <c r="B4737" s="7">
        <v>1</v>
      </c>
      <c r="C4737" s="7" t="s">
        <v>10</v>
      </c>
      <c r="D4737" s="7">
        <v>3383</v>
      </c>
      <c r="E4737" s="7" t="s">
        <v>12</v>
      </c>
      <c r="F4737" s="8" t="str">
        <f ca="1">IFERROR(__xludf.DUMMYFUNCTION("IF
(
C4738=""фізична особа""
,
VLOOKUP(D4738,IMPORTRANGE(""https://docs.google.com/spreadsheets/d/14Bd19lYaqBhU8_DElYkX7l4wRkHqqCUFNJY4AfY3kHU/edit?usp=sharing  #gid=0"",""фіз особи new!relations_name""),6,FALSE)
,
(IF
(
C4738=""юридична особа""
,
VLOOKUP"&amp;"(D4738,IMPORTRANGE(""https://docs.google.com/spreadsheets/d/14Bd19lYaqBhU8_DElYkX7l4wRkHqqCUFNJY4AfY3kHU/edit?usp=sharing  #gid=0"",""фіз особи new!relations_name_uo""),7,FALSE)
,
)
))"),"КІРІЛІЧЕВ Олександр Дмитрович")</f>
        <v>КІРІЛІЧЕВ Олександр Дмитрович</v>
      </c>
      <c r="G4737" s="7" t="s">
        <v>10</v>
      </c>
      <c r="H4737" s="7">
        <v>0</v>
      </c>
      <c r="I4737" s="8" t="str">
        <f ca="1">IFERROR(__xludf.DUMMYFUNCTION("IF
(
G4738=""фізична особа""
,
VLOOKUP(H4738,IMPORTRANGE(""https://docs.google.com/spreadsheets/d/14Bd19lYaqBhU8_DElYkX7l4wRkHqqCUFNJY4AfY3kHU/edit?usp=sharing  #gid=0"",""фіз особи new!relations_name""),6,FALSE)
,
(IF
(
G4738=""юридична особа""
,
VLOOKUP"&amp;"(H4738,IMPORTRANGE(""https://docs.google.com/spreadsheets/d/14Bd19lYaqBhU8_DElYkX7l4wRkHqqCUFNJY4AfY3kHU/edit?usp=sharing  #gid=0"",""фіз особи new!relations_name_uo""),7,FALSE)
,
)
))"),"#N/A")</f>
        <v>#N/A</v>
      </c>
      <c r="J4737" s="7" t="s">
        <v>17</v>
      </c>
    </row>
    <row r="4738" spans="1:10" ht="13.2">
      <c r="A4738" s="7">
        <v>4737</v>
      </c>
      <c r="B4738" s="7">
        <v>1</v>
      </c>
      <c r="C4738" s="7" t="s">
        <v>10</v>
      </c>
      <c r="D4738" s="7">
        <v>3450</v>
      </c>
      <c r="E4738" s="7" t="s">
        <v>17</v>
      </c>
      <c r="F4738" s="8" t="str">
        <f ca="1">IFERROR(__xludf.DUMMYFUNCTION("IF
(
C4739=""фізична особа""
,
VLOOKUP(D4739,IMPORTRANGE(""https://docs.google.com/spreadsheets/d/14Bd19lYaqBhU8_DElYkX7l4wRkHqqCUFNJY4AfY3kHU/edit?usp=sharing  #gid=0"",""фіз особи new!relations_name""),6,FALSE)
,
(IF
(
C4739=""юридична особа""
,
VLOOKUP"&amp;"(D4739,IMPORTRANGE(""https://docs.google.com/spreadsheets/d/14Bd19lYaqBhU8_DElYkX7l4wRkHqqCUFNJY4AfY3kHU/edit?usp=sharing  #gid=0"",""фіз особи new!relations_name_uo""),7,FALSE)
,
)
))"),"ТЯН Володимир Анатолійович")</f>
        <v>ТЯН Володимир Анатолійович</v>
      </c>
      <c r="G4738" s="7" t="s">
        <v>10</v>
      </c>
      <c r="H4738" s="7">
        <v>3451</v>
      </c>
      <c r="I4738" s="8" t="str">
        <f ca="1">IFERROR(__xludf.DUMMYFUNCTION("IF
(
G4739=""фізична особа""
,
VLOOKUP(H4739,IMPORTRANGE(""https://docs.google.com/spreadsheets/d/14Bd19lYaqBhU8_DElYkX7l4wRkHqqCUFNJY4AfY3kHU/edit?usp=sharing  #gid=0"",""фіз особи new!relations_name""),6,FALSE)
,
(IF
(
G4739=""юридична особа""
,
VLOOKUP"&amp;"(H4739,IMPORTRANGE(""https://docs.google.com/spreadsheets/d/14Bd19lYaqBhU8_DElYkX7l4wRkHqqCUFNJY4AfY3kHU/edit?usp=sharing  #gid=0"",""фіз особи new!relations_name_uo""),7,FALSE)
,
)
))"),"ТЯН Анатолій Дмитрович")</f>
        <v>ТЯН Анатолій Дмитрович</v>
      </c>
      <c r="J4738" s="7" t="s">
        <v>12</v>
      </c>
    </row>
    <row r="4739" spans="1:10" ht="13.2">
      <c r="A4739" s="7">
        <v>4738</v>
      </c>
      <c r="B4739" s="7">
        <v>1</v>
      </c>
      <c r="C4739" s="7" t="s">
        <v>10</v>
      </c>
      <c r="D4739" s="7">
        <v>3451</v>
      </c>
      <c r="E4739" s="7" t="s">
        <v>12</v>
      </c>
      <c r="F4739" s="8" t="str">
        <f ca="1">IFERROR(__xludf.DUMMYFUNCTION("IF
(
C4740=""фізична особа""
,
VLOOKUP(D4740,IMPORTRANGE(""https://docs.google.com/spreadsheets/d/14Bd19lYaqBhU8_DElYkX7l4wRkHqqCUFNJY4AfY3kHU/edit?usp=sharing  #gid=0"",""фіз особи new!relations_name""),6,FALSE)
,
(IF
(
C4740=""юридична особа""
,
VLOOKUP"&amp;"(D4740,IMPORTRANGE(""https://docs.google.com/spreadsheets/d/14Bd19lYaqBhU8_DElYkX7l4wRkHqqCUFNJY4AfY3kHU/edit?usp=sharing  #gid=0"",""фіз особи new!relations_name_uo""),7,FALSE)
,
)
))"),"ТЯН Анатолій Дмитрович")</f>
        <v>ТЯН Анатолій Дмитрович</v>
      </c>
      <c r="G4739" s="7" t="s">
        <v>10</v>
      </c>
      <c r="H4739" s="7">
        <v>3450</v>
      </c>
      <c r="I4739" s="8" t="str">
        <f ca="1">IFERROR(__xludf.DUMMYFUNCTION("IF
(
G4740=""фізична особа""
,
VLOOKUP(H4740,IMPORTRANGE(""https://docs.google.com/spreadsheets/d/14Bd19lYaqBhU8_DElYkX7l4wRkHqqCUFNJY4AfY3kHU/edit?usp=sharing  #gid=0"",""фіз особи new!relations_name""),6,FALSE)
,
(IF
(
G4740=""юридична особа""
,
VLOOKUP"&amp;"(H4740,IMPORTRANGE(""https://docs.google.com/spreadsheets/d/14Bd19lYaqBhU8_DElYkX7l4wRkHqqCUFNJY4AfY3kHU/edit?usp=sharing  #gid=0"",""фіз особи new!relations_name_uo""),7,FALSE)
,
)
))"),"ТЯН Володимир Анатолійович")</f>
        <v>ТЯН Володимир Анатолійович</v>
      </c>
      <c r="J4739" s="7" t="s">
        <v>17</v>
      </c>
    </row>
    <row r="4740" spans="1:10" ht="13.2">
      <c r="A4740" s="7">
        <v>4739</v>
      </c>
      <c r="B4740" s="7">
        <v>1</v>
      </c>
      <c r="C4740" s="7" t="s">
        <v>10</v>
      </c>
      <c r="D4740" s="7">
        <v>3451</v>
      </c>
      <c r="E4740" s="7" t="s">
        <v>30</v>
      </c>
      <c r="F4740" s="8" t="str">
        <f ca="1">IFERROR(__xludf.DUMMYFUNCTION("IF
(
C4741=""фізична особа""
,
VLOOKUP(D4741,IMPORTRANGE(""https://docs.google.com/spreadsheets/d/14Bd19lYaqBhU8_DElYkX7l4wRkHqqCUFNJY4AfY3kHU/edit?usp=sharing  #gid=0"",""фіз особи new!relations_name""),6,FALSE)
,
(IF
(
C4741=""юридична особа""
,
VLOOKUP"&amp;"(D4741,IMPORTRANGE(""https://docs.google.com/spreadsheets/d/14Bd19lYaqBhU8_DElYkX7l4wRkHqqCUFNJY4AfY3kHU/edit?usp=sharing  #gid=0"",""фіз особи new!relations_name_uo""),7,FALSE)
,
)
))"),"ТЯН Анатолій Дмитрович")</f>
        <v>ТЯН Анатолій Дмитрович</v>
      </c>
      <c r="G4740" s="7" t="s">
        <v>10</v>
      </c>
      <c r="H4740" s="7">
        <v>0</v>
      </c>
      <c r="I4740" s="8" t="str">
        <f ca="1">IFERROR(__xludf.DUMMYFUNCTION("IF
(
G4741=""фізична особа""
,
VLOOKUP(H4741,IMPORTRANGE(""https://docs.google.com/spreadsheets/d/14Bd19lYaqBhU8_DElYkX7l4wRkHqqCUFNJY4AfY3kHU/edit?usp=sharing  #gid=0"",""фіз особи new!relations_name""),6,FALSE)
,
(IF
(
G4741=""юридична особа""
,
VLOOKUP"&amp;"(H4741,IMPORTRANGE(""https://docs.google.com/spreadsheets/d/14Bd19lYaqBhU8_DElYkX7l4wRkHqqCUFNJY4AfY3kHU/edit?usp=sharing  #gid=0"",""фіз особи new!relations_name_uo""),7,FALSE)
,
)
))"),"#N/A")</f>
        <v>#N/A</v>
      </c>
      <c r="J4740" s="7" t="s">
        <v>30</v>
      </c>
    </row>
    <row r="4741" spans="1:10" ht="13.2">
      <c r="A4741" s="7">
        <v>4740</v>
      </c>
      <c r="B4741" s="7">
        <v>1</v>
      </c>
      <c r="C4741" s="7" t="s">
        <v>10</v>
      </c>
      <c r="D4741" s="7">
        <v>3451</v>
      </c>
      <c r="E4741" s="7" t="s">
        <v>30</v>
      </c>
      <c r="F4741" s="8" t="str">
        <f ca="1">IFERROR(__xludf.DUMMYFUNCTION("IF
(
C4742=""фізична особа""
,
VLOOKUP(D4742,IMPORTRANGE(""https://docs.google.com/spreadsheets/d/14Bd19lYaqBhU8_DElYkX7l4wRkHqqCUFNJY4AfY3kHU/edit?usp=sharing  #gid=0"",""фіз особи new!relations_name""),6,FALSE)
,
(IF
(
C4742=""юридична особа""
,
VLOOKUP"&amp;"(D4742,IMPORTRANGE(""https://docs.google.com/spreadsheets/d/14Bd19lYaqBhU8_DElYkX7l4wRkHqqCUFNJY4AfY3kHU/edit?usp=sharing  #gid=0"",""фіз особи new!relations_name_uo""),7,FALSE)
,
)
))"),"ТЯН Анатолій Дмитрович")</f>
        <v>ТЯН Анатолій Дмитрович</v>
      </c>
      <c r="G4741" s="7" t="s">
        <v>10</v>
      </c>
      <c r="H4741" s="7">
        <v>0</v>
      </c>
      <c r="I4741" s="8" t="str">
        <f ca="1">IFERROR(__xludf.DUMMYFUNCTION("IF
(
G4742=""фізична особа""
,
VLOOKUP(H4742,IMPORTRANGE(""https://docs.google.com/spreadsheets/d/14Bd19lYaqBhU8_DElYkX7l4wRkHqqCUFNJY4AfY3kHU/edit?usp=sharing  #gid=0"",""фіз особи new!relations_name""),6,FALSE)
,
(IF
(
G4742=""юридична особа""
,
VLOOKUP"&amp;"(H4742,IMPORTRANGE(""https://docs.google.com/spreadsheets/d/14Bd19lYaqBhU8_DElYkX7l4wRkHqqCUFNJY4AfY3kHU/edit?usp=sharing  #gid=0"",""фіз особи new!relations_name_uo""),7,FALSE)
,
)
))"),"#N/A")</f>
        <v>#N/A</v>
      </c>
      <c r="J4741" s="7" t="s">
        <v>30</v>
      </c>
    </row>
    <row r="4742" spans="1:10" ht="13.2">
      <c r="A4742" s="7">
        <v>4741</v>
      </c>
      <c r="B4742" s="7">
        <v>1</v>
      </c>
      <c r="C4742" s="7" t="s">
        <v>10</v>
      </c>
      <c r="D4742" s="7">
        <v>3451</v>
      </c>
      <c r="E4742" s="7" t="s">
        <v>30</v>
      </c>
      <c r="F4742" s="8" t="str">
        <f ca="1">IFERROR(__xludf.DUMMYFUNCTION("IF
(
C4743=""фізична особа""
,
VLOOKUP(D4743,IMPORTRANGE(""https://docs.google.com/spreadsheets/d/14Bd19lYaqBhU8_DElYkX7l4wRkHqqCUFNJY4AfY3kHU/edit?usp=sharing  #gid=0"",""фіз особи new!relations_name""),6,FALSE)
,
(IF
(
C4743=""юридична особа""
,
VLOOKUP"&amp;"(D4743,IMPORTRANGE(""https://docs.google.com/spreadsheets/d/14Bd19lYaqBhU8_DElYkX7l4wRkHqqCUFNJY4AfY3kHU/edit?usp=sharing  #gid=0"",""фіз особи new!relations_name_uo""),7,FALSE)
,
)
))"),"ТЯН Анатолій Дмитрович")</f>
        <v>ТЯН Анатолій Дмитрович</v>
      </c>
      <c r="G4742" s="7" t="s">
        <v>10</v>
      </c>
      <c r="H4742" s="7">
        <v>0</v>
      </c>
      <c r="I4742" s="8" t="str">
        <f ca="1">IFERROR(__xludf.DUMMYFUNCTION("IF
(
G4743=""фізична особа""
,
VLOOKUP(H4743,IMPORTRANGE(""https://docs.google.com/spreadsheets/d/14Bd19lYaqBhU8_DElYkX7l4wRkHqqCUFNJY4AfY3kHU/edit?usp=sharing  #gid=0"",""фіз особи new!relations_name""),6,FALSE)
,
(IF
(
G4743=""юридична особа""
,
VLOOKUP"&amp;"(H4743,IMPORTRANGE(""https://docs.google.com/spreadsheets/d/14Bd19lYaqBhU8_DElYkX7l4wRkHqqCUFNJY4AfY3kHU/edit?usp=sharing  #gid=0"",""фіз особи new!relations_name_uo""),7,FALSE)
,
)
))"),"#N/A")</f>
        <v>#N/A</v>
      </c>
      <c r="J4742" s="7" t="s">
        <v>30</v>
      </c>
    </row>
    <row r="4743" spans="1:10" ht="13.2">
      <c r="A4743" s="7">
        <v>4742</v>
      </c>
      <c r="B4743" s="7">
        <v>1</v>
      </c>
      <c r="C4743" s="7" t="s">
        <v>10</v>
      </c>
      <c r="D4743" s="7">
        <v>3454</v>
      </c>
      <c r="E4743" s="7" t="s">
        <v>14</v>
      </c>
      <c r="F4743" s="8" t="str">
        <f ca="1">IFERROR(__xludf.DUMMYFUNCTION("IF
(
C4744=""фізична особа""
,
VLOOKUP(D4744,IMPORTRANGE(""https://docs.google.com/spreadsheets/d/14Bd19lYaqBhU8_DElYkX7l4wRkHqqCUFNJY4AfY3kHU/edit?usp=sharing  #gid=0"",""фіз особи new!relations_name""),6,FALSE)
,
(IF
(
C4744=""юридична особа""
,
VLOOKUP"&amp;"(D4744,IMPORTRANGE(""https://docs.google.com/spreadsheets/d/14Bd19lYaqBhU8_DElYkX7l4wRkHqqCUFNJY4AfY3kHU/edit?usp=sharing  #gid=0"",""фіз особи new!relations_name_uo""),7,FALSE)
,
)
))"),"СКУРАТОВ Сергій Миколайович")</f>
        <v>СКУРАТОВ Сергій Миколайович</v>
      </c>
      <c r="G4743" s="7" t="s">
        <v>10</v>
      </c>
      <c r="H4743" s="7">
        <v>23517</v>
      </c>
      <c r="I4743" s="8" t="str">
        <f ca="1">IFERROR(__xludf.DUMMYFUNCTION("IF
(
G4744=""фізична особа""
,
VLOOKUP(H4744,IMPORTRANGE(""https://docs.google.com/spreadsheets/d/14Bd19lYaqBhU8_DElYkX7l4wRkHqqCUFNJY4AfY3kHU/edit?usp=sharing  #gid=0"",""фіз особи new!relations_name""),6,FALSE)
,
(IF
(
G4744=""юридична особа""
,
VLOOKUP"&amp;"(H4744,IMPORTRANGE(""https://docs.google.com/spreadsheets/d/14Bd19lYaqBhU8_DElYkX7l4wRkHqqCUFNJY4AfY3kHU/edit?usp=sharing  #gid=0"",""фіз особи new!relations_name_uo""),7,FALSE)
,
)
))"),"СКУРАТОВА Любов Соломонівна")</f>
        <v>СКУРАТОВА Любов Соломонівна</v>
      </c>
      <c r="J4743" s="7" t="s">
        <v>15</v>
      </c>
    </row>
    <row r="4744" spans="1:10" ht="13.2">
      <c r="A4744" s="7">
        <v>4743</v>
      </c>
      <c r="B4744" s="7">
        <v>1</v>
      </c>
      <c r="C4744" s="7" t="s">
        <v>10</v>
      </c>
      <c r="D4744" s="7">
        <v>3454</v>
      </c>
      <c r="E4744" s="7" t="s">
        <v>12</v>
      </c>
      <c r="F4744" s="8" t="str">
        <f ca="1">IFERROR(__xludf.DUMMYFUNCTION("IF
(
C4745=""фізична особа""
,
VLOOKUP(D4745,IMPORTRANGE(""https://docs.google.com/spreadsheets/d/14Bd19lYaqBhU8_DElYkX7l4wRkHqqCUFNJY4AfY3kHU/edit?usp=sharing  #gid=0"",""фіз особи new!relations_name""),6,FALSE)
,
(IF
(
C4745=""юридична особа""
,
VLOOKUP"&amp;"(D4745,IMPORTRANGE(""https://docs.google.com/spreadsheets/d/14Bd19lYaqBhU8_DElYkX7l4wRkHqqCUFNJY4AfY3kHU/edit?usp=sharing  #gid=0"",""фіз особи new!relations_name_uo""),7,FALSE)
,
)
))"),"СКУРАТОВ Сергій Миколайович")</f>
        <v>СКУРАТОВ Сергій Миколайович</v>
      </c>
      <c r="G4744" s="7" t="s">
        <v>10</v>
      </c>
      <c r="H4744" s="7">
        <v>3456</v>
      </c>
      <c r="I4744" s="8" t="str">
        <f ca="1">IFERROR(__xludf.DUMMYFUNCTION("IF
(
G4745=""фізична особа""
,
VLOOKUP(H4745,IMPORTRANGE(""https://docs.google.com/spreadsheets/d/14Bd19lYaqBhU8_DElYkX7l4wRkHqqCUFNJY4AfY3kHU/edit?usp=sharing  #gid=0"",""фіз особи new!relations_name""),6,FALSE)
,
(IF
(
G4745=""юридична особа""
,
VLOOKUP"&amp;"(H4745,IMPORTRANGE(""https://docs.google.com/spreadsheets/d/14Bd19lYaqBhU8_DElYkX7l4wRkHqqCUFNJY4AfY3kHU/edit?usp=sharing  #gid=0"",""фіз особи new!relations_name_uo""),7,FALSE)
,
)
))"),"СКУРАТОВ Кирило Сергійович")</f>
        <v>СКУРАТОВ Кирило Сергійович</v>
      </c>
      <c r="J4744" s="7" t="s">
        <v>17</v>
      </c>
    </row>
    <row r="4745" spans="1:10" ht="13.2">
      <c r="A4745" s="7">
        <v>4744</v>
      </c>
      <c r="B4745" s="7">
        <v>1</v>
      </c>
      <c r="C4745" s="7" t="s">
        <v>10</v>
      </c>
      <c r="D4745" s="7">
        <v>3456</v>
      </c>
      <c r="E4745" s="7" t="s">
        <v>17</v>
      </c>
      <c r="F4745" s="8" t="str">
        <f ca="1">IFERROR(__xludf.DUMMYFUNCTION("IF
(
C4746=""фізична особа""
,
VLOOKUP(D4746,IMPORTRANGE(""https://docs.google.com/spreadsheets/d/14Bd19lYaqBhU8_DElYkX7l4wRkHqqCUFNJY4AfY3kHU/edit?usp=sharing  #gid=0"",""фіз особи new!relations_name""),6,FALSE)
,
(IF
(
C4746=""юридична особа""
,
VLOOKUP"&amp;"(D4746,IMPORTRANGE(""https://docs.google.com/spreadsheets/d/14Bd19lYaqBhU8_DElYkX7l4wRkHqqCUFNJY4AfY3kHU/edit?usp=sharing  #gid=0"",""фіз особи new!relations_name_uo""),7,FALSE)
,
)
))"),"СКУРАТОВ Кирило Сергійович")</f>
        <v>СКУРАТОВ Кирило Сергійович</v>
      </c>
      <c r="G4745" s="7" t="s">
        <v>10</v>
      </c>
      <c r="H4745" s="7">
        <v>3454</v>
      </c>
      <c r="I4745" s="8" t="str">
        <f ca="1">IFERROR(__xludf.DUMMYFUNCTION("IF
(
G4746=""фізична особа""
,
VLOOKUP(H4746,IMPORTRANGE(""https://docs.google.com/spreadsheets/d/14Bd19lYaqBhU8_DElYkX7l4wRkHqqCUFNJY4AfY3kHU/edit?usp=sharing  #gid=0"",""фіз особи new!relations_name""),6,FALSE)
,
(IF
(
G4746=""юридична особа""
,
VLOOKUP"&amp;"(H4746,IMPORTRANGE(""https://docs.google.com/spreadsheets/d/14Bd19lYaqBhU8_DElYkX7l4wRkHqqCUFNJY4AfY3kHU/edit?usp=sharing  #gid=0"",""фіз особи new!relations_name_uo""),7,FALSE)
,
)
))"),"СКУРАТОВ Сергій Миколайович")</f>
        <v>СКУРАТОВ Сергій Миколайович</v>
      </c>
      <c r="J4745" s="7" t="s">
        <v>12</v>
      </c>
    </row>
    <row r="4746" spans="1:10" ht="13.2">
      <c r="A4746" s="7">
        <v>4745</v>
      </c>
      <c r="B4746" s="7">
        <v>1</v>
      </c>
      <c r="C4746" s="7" t="s">
        <v>10</v>
      </c>
      <c r="D4746" s="7">
        <v>3456</v>
      </c>
      <c r="E4746" s="7" t="s">
        <v>17</v>
      </c>
      <c r="F4746" s="8" t="str">
        <f ca="1">IFERROR(__xludf.DUMMYFUNCTION("IF
(
C4747=""фізична особа""
,
VLOOKUP(D4747,IMPORTRANGE(""https://docs.google.com/spreadsheets/d/14Bd19lYaqBhU8_DElYkX7l4wRkHqqCUFNJY4AfY3kHU/edit?usp=sharing  #gid=0"",""фіз особи new!relations_name""),6,FALSE)
,
(IF
(
C4747=""юридична особа""
,
VLOOKUP"&amp;"(D4747,IMPORTRANGE(""https://docs.google.com/spreadsheets/d/14Bd19lYaqBhU8_DElYkX7l4wRkHqqCUFNJY4AfY3kHU/edit?usp=sharing  #gid=0"",""фіз особи new!relations_name_uo""),7,FALSE)
,
)
))"),"СКУРАТОВ Кирило Сергійович")</f>
        <v>СКУРАТОВ Кирило Сергійович</v>
      </c>
      <c r="G4746" s="7" t="s">
        <v>10</v>
      </c>
      <c r="H4746" s="7">
        <v>23517</v>
      </c>
      <c r="I4746" s="8" t="str">
        <f ca="1">IFERROR(__xludf.DUMMYFUNCTION("IF
(
G4747=""фізична особа""
,
VLOOKUP(H4747,IMPORTRANGE(""https://docs.google.com/spreadsheets/d/14Bd19lYaqBhU8_DElYkX7l4wRkHqqCUFNJY4AfY3kHU/edit?usp=sharing  #gid=0"",""фіз особи new!relations_name""),6,FALSE)
,
(IF
(
G4747=""юридична особа""
,
VLOOKUP"&amp;"(H4747,IMPORTRANGE(""https://docs.google.com/spreadsheets/d/14Bd19lYaqBhU8_DElYkX7l4wRkHqqCUFNJY4AfY3kHU/edit?usp=sharing  #gid=0"",""фіз особи new!relations_name_uo""),7,FALSE)
,
)
))"),"СКУРАТОВА Любов Соломонівна")</f>
        <v>СКУРАТОВА Любов Соломонівна</v>
      </c>
      <c r="J4746" s="7" t="s">
        <v>21</v>
      </c>
    </row>
    <row r="4747" spans="1:10" ht="13.2">
      <c r="A4747" s="7">
        <v>4746</v>
      </c>
      <c r="B4747" s="7">
        <v>1</v>
      </c>
      <c r="C4747" s="7" t="s">
        <v>10</v>
      </c>
      <c r="D4747" s="7">
        <v>3528</v>
      </c>
      <c r="E4747" s="7" t="s">
        <v>30</v>
      </c>
      <c r="F4747" s="8" t="str">
        <f ca="1">IFERROR(__xludf.DUMMYFUNCTION("IF
(
C4748=""фізична особа""
,
VLOOKUP(D4748,IMPORTRANGE(""https://docs.google.com/spreadsheets/d/14Bd19lYaqBhU8_DElYkX7l4wRkHqqCUFNJY4AfY3kHU/edit?usp=sharing  #gid=0"",""фіз особи new!relations_name""),6,FALSE)
,
(IF
(
C4748=""юридична особа""
,
VLOOKUP"&amp;"(D4748,IMPORTRANGE(""https://docs.google.com/spreadsheets/d/14Bd19lYaqBhU8_DElYkX7l4wRkHqqCUFNJY4AfY3kHU/edit?usp=sharing  #gid=0"",""фіз особи new!relations_name_uo""),7,FALSE)
,
)
))"),"КУШНАРЬОВА Анастасія Олегівна")</f>
        <v>КУШНАРЬОВА Анастасія Олегівна</v>
      </c>
      <c r="G4747" s="7" t="s">
        <v>10</v>
      </c>
      <c r="H4747" s="7">
        <v>23518</v>
      </c>
      <c r="I4747" s="8" t="str">
        <f ca="1">IFERROR(__xludf.DUMMYFUNCTION("IF
(
G4748=""фізична особа""
,
VLOOKUP(H4748,IMPORTRANGE(""https://docs.google.com/spreadsheets/d/14Bd19lYaqBhU8_DElYkX7l4wRkHqqCUFNJY4AfY3kHU/edit?usp=sharing  #gid=0"",""фіз особи new!relations_name""),6,FALSE)
,
(IF
(
G4748=""юридична особа""
,
VLOOKUP"&amp;"(H4748,IMPORTRANGE(""https://docs.google.com/spreadsheets/d/14Bd19lYaqBhU8_DElYkX7l4wRkHqqCUFNJY4AfY3kHU/edit?usp=sharing  #gid=0"",""фіз особи new!relations_name_uo""),7,FALSE)
,
)
))"),"ОВЧІННІКОВ Олексій Борисович")</f>
        <v>ОВЧІННІКОВ Олексій Борисович</v>
      </c>
      <c r="J4747" s="7" t="s">
        <v>30</v>
      </c>
    </row>
    <row r="4748" spans="1:10" ht="13.2">
      <c r="A4748" s="7">
        <v>4747</v>
      </c>
      <c r="B4748" s="7">
        <v>1</v>
      </c>
      <c r="C4748" s="7" t="s">
        <v>10</v>
      </c>
      <c r="D4748" s="7">
        <v>3529</v>
      </c>
      <c r="E4748" s="7" t="s">
        <v>30</v>
      </c>
      <c r="F4748" s="8" t="str">
        <f ca="1">IFERROR(__xludf.DUMMYFUNCTION("IF
(
C4749=""фізична особа""
,
VLOOKUP(D4749,IMPORTRANGE(""https://docs.google.com/spreadsheets/d/14Bd19lYaqBhU8_DElYkX7l4wRkHqqCUFNJY4AfY3kHU/edit?usp=sharing  #gid=0"",""фіз особи new!relations_name""),6,FALSE)
,
(IF
(
C4749=""юридична особа""
,
VLOOKUP"&amp;"(D4749,IMPORTRANGE(""https://docs.google.com/spreadsheets/d/14Bd19lYaqBhU8_DElYkX7l4wRkHqqCUFNJY4AfY3kHU/edit?usp=sharing  #gid=0"",""фіз особи new!relations_name_uo""),7,FALSE)
,
)
))"),"СТЕПАНОВ Валерій Леонідович")</f>
        <v>СТЕПАНОВ Валерій Леонідович</v>
      </c>
      <c r="G4748" s="7" t="s">
        <v>10</v>
      </c>
      <c r="H4748" s="7">
        <v>23518</v>
      </c>
      <c r="I4748" s="8" t="str">
        <f ca="1">IFERROR(__xludf.DUMMYFUNCTION("IF
(
G4749=""фізична особа""
,
VLOOKUP(H4749,IMPORTRANGE(""https://docs.google.com/spreadsheets/d/14Bd19lYaqBhU8_DElYkX7l4wRkHqqCUFNJY4AfY3kHU/edit?usp=sharing  #gid=0"",""фіз особи new!relations_name""),6,FALSE)
,
(IF
(
G4749=""юридична особа""
,
VLOOKUP"&amp;"(H4749,IMPORTRANGE(""https://docs.google.com/spreadsheets/d/14Bd19lYaqBhU8_DElYkX7l4wRkHqqCUFNJY4AfY3kHU/edit?usp=sharing  #gid=0"",""фіз особи new!relations_name_uo""),7,FALSE)
,
)
))"),"ОВЧІННІКОВ Олексій Борисович")</f>
        <v>ОВЧІННІКОВ Олексій Борисович</v>
      </c>
      <c r="J4748" s="7" t="s">
        <v>30</v>
      </c>
    </row>
    <row r="4749" spans="1:10" ht="13.2">
      <c r="A4749" s="7">
        <v>4748</v>
      </c>
      <c r="B4749" s="7">
        <v>1</v>
      </c>
      <c r="C4749" s="7" t="s">
        <v>10</v>
      </c>
      <c r="D4749" s="7">
        <v>3592</v>
      </c>
      <c r="E4749" s="7" t="s">
        <v>30</v>
      </c>
      <c r="F4749" s="8" t="str">
        <f ca="1">IFERROR(__xludf.DUMMYFUNCTION("IF
(
C4750=""фізична особа""
,
VLOOKUP(D4750,IMPORTRANGE(""https://docs.google.com/spreadsheets/d/14Bd19lYaqBhU8_DElYkX7l4wRkHqqCUFNJY4AfY3kHU/edit?usp=sharing  #gid=0"",""фіз особи new!relations_name""),6,FALSE)
,
(IF
(
C4750=""юридична особа""
,
VLOOKUP"&amp;"(D4750,IMPORTRANGE(""https://docs.google.com/spreadsheets/d/14Bd19lYaqBhU8_DElYkX7l4wRkHqqCUFNJY4AfY3kHU/edit?usp=sharing  #gid=0"",""фіз особи new!relations_name_uo""),7,FALSE)
,
)
))"),"САХАРОВ Олександр Миколайович")</f>
        <v>САХАРОВ Олександр Миколайович</v>
      </c>
      <c r="G4749" s="7" t="s">
        <v>10</v>
      </c>
      <c r="H4749" s="7">
        <v>0</v>
      </c>
      <c r="I4749" s="8" t="str">
        <f ca="1">IFERROR(__xludf.DUMMYFUNCTION("IF
(
G4750=""фізична особа""
,
VLOOKUP(H4750,IMPORTRANGE(""https://docs.google.com/spreadsheets/d/14Bd19lYaqBhU8_DElYkX7l4wRkHqqCUFNJY4AfY3kHU/edit?usp=sharing  #gid=0"",""фіз особи new!relations_name""),6,FALSE)
,
(IF
(
G4750=""юридична особа""
,
VLOOKUP"&amp;"(H4750,IMPORTRANGE(""https://docs.google.com/spreadsheets/d/14Bd19lYaqBhU8_DElYkX7l4wRkHqqCUFNJY4AfY3kHU/edit?usp=sharing  #gid=0"",""фіз особи new!relations_name_uo""),7,FALSE)
,
)
))"),"#N/A")</f>
        <v>#N/A</v>
      </c>
      <c r="J4749" s="7" t="s">
        <v>30</v>
      </c>
    </row>
    <row r="4750" spans="1:10" ht="13.2">
      <c r="A4750" s="7">
        <v>4749</v>
      </c>
      <c r="B4750" s="7">
        <v>1</v>
      </c>
      <c r="C4750" s="7" t="s">
        <v>10</v>
      </c>
      <c r="D4750" s="7">
        <v>3592</v>
      </c>
      <c r="E4750" s="7" t="s">
        <v>30</v>
      </c>
      <c r="F4750" s="8" t="str">
        <f ca="1">IFERROR(__xludf.DUMMYFUNCTION("IF
(
C4751=""фізична особа""
,
VLOOKUP(D4751,IMPORTRANGE(""https://docs.google.com/spreadsheets/d/14Bd19lYaqBhU8_DElYkX7l4wRkHqqCUFNJY4AfY3kHU/edit?usp=sharing  #gid=0"",""фіз особи new!relations_name""),6,FALSE)
,
(IF
(
C4751=""юридична особа""
,
VLOOKUP"&amp;"(D4751,IMPORTRANGE(""https://docs.google.com/spreadsheets/d/14Bd19lYaqBhU8_DElYkX7l4wRkHqqCUFNJY4AfY3kHU/edit?usp=sharing  #gid=0"",""фіз особи new!relations_name_uo""),7,FALSE)
,
)
))"),"САХАРОВ Олександр Миколайович")</f>
        <v>САХАРОВ Олександр Миколайович</v>
      </c>
      <c r="G4750" s="7" t="s">
        <v>10</v>
      </c>
      <c r="H4750" s="7">
        <v>0</v>
      </c>
      <c r="I4750" s="8" t="str">
        <f ca="1">IFERROR(__xludf.DUMMYFUNCTION("IF
(
G4751=""фізична особа""
,
VLOOKUP(H4751,IMPORTRANGE(""https://docs.google.com/spreadsheets/d/14Bd19lYaqBhU8_DElYkX7l4wRkHqqCUFNJY4AfY3kHU/edit?usp=sharing  #gid=0"",""фіз особи new!relations_name""),6,FALSE)
,
(IF
(
G4751=""юридична особа""
,
VLOOKUP"&amp;"(H4751,IMPORTRANGE(""https://docs.google.com/spreadsheets/d/14Bd19lYaqBhU8_DElYkX7l4wRkHqqCUFNJY4AfY3kHU/edit?usp=sharing  #gid=0"",""фіз особи new!relations_name_uo""),7,FALSE)
,
)
))"),"#N/A")</f>
        <v>#N/A</v>
      </c>
      <c r="J4750" s="7" t="s">
        <v>30</v>
      </c>
    </row>
    <row r="4751" spans="1:10" ht="13.2">
      <c r="A4751" s="7">
        <v>4750</v>
      </c>
      <c r="B4751" s="7">
        <v>1</v>
      </c>
      <c r="C4751" s="7" t="s">
        <v>10</v>
      </c>
      <c r="D4751" s="7">
        <v>3611</v>
      </c>
      <c r="E4751" s="7" t="s">
        <v>30</v>
      </c>
      <c r="F4751" s="8" t="str">
        <f ca="1">IFERROR(__xludf.DUMMYFUNCTION("IF
(
C4752=""фізична особа""
,
VLOOKUP(D4752,IMPORTRANGE(""https://docs.google.com/spreadsheets/d/14Bd19lYaqBhU8_DElYkX7l4wRkHqqCUFNJY4AfY3kHU/edit?usp=sharing  #gid=0"",""фіз особи new!relations_name""),6,FALSE)
,
(IF
(
C4752=""юридична особа""
,
VLOOKUP"&amp;"(D4752,IMPORTRANGE(""https://docs.google.com/spreadsheets/d/14Bd19lYaqBhU8_DElYkX7l4wRkHqqCUFNJY4AfY3kHU/edit?usp=sharing  #gid=0"",""фіз особи new!relations_name_uo""),7,FALSE)
,
)
))"),"КРИВОНОСОВ Володимир Олексійович")</f>
        <v>КРИВОНОСОВ Володимир Олексійович</v>
      </c>
      <c r="G4751" s="7" t="s">
        <v>10</v>
      </c>
      <c r="H4751" s="7">
        <v>23519</v>
      </c>
      <c r="I4751" s="8" t="str">
        <f ca="1">IFERROR(__xludf.DUMMYFUNCTION("IF
(
G4752=""фізична особа""
,
VLOOKUP(H4752,IMPORTRANGE(""https://docs.google.com/spreadsheets/d/14Bd19lYaqBhU8_DElYkX7l4wRkHqqCUFNJY4AfY3kHU/edit?usp=sharing  #gid=0"",""фіз особи new!relations_name""),6,FALSE)
,
(IF
(
G4752=""юридична особа""
,
VLOOKUP"&amp;"(H4752,IMPORTRANGE(""https://docs.google.com/spreadsheets/d/14Bd19lYaqBhU8_DElYkX7l4wRkHqqCUFNJY4AfY3kHU/edit?usp=sharing  #gid=0"",""фіз особи new!relations_name_uo""),7,FALSE)
,
)
))"),"МАРКОВ Михайло Михайлович")</f>
        <v>МАРКОВ Михайло Михайлович</v>
      </c>
      <c r="J4751" s="7" t="s">
        <v>30</v>
      </c>
    </row>
    <row r="4752" spans="1:10" ht="13.2">
      <c r="A4752" s="7">
        <v>4751</v>
      </c>
      <c r="B4752" s="7">
        <v>1</v>
      </c>
      <c r="C4752" s="7" t="s">
        <v>10</v>
      </c>
      <c r="D4752" s="7">
        <v>3611</v>
      </c>
      <c r="E4752" s="7" t="s">
        <v>30</v>
      </c>
      <c r="F4752" s="8" t="str">
        <f ca="1">IFERROR(__xludf.DUMMYFUNCTION("IF
(
C4753=""фізична особа""
,
VLOOKUP(D4753,IMPORTRANGE(""https://docs.google.com/spreadsheets/d/14Bd19lYaqBhU8_DElYkX7l4wRkHqqCUFNJY4AfY3kHU/edit?usp=sharing  #gid=0"",""фіз особи new!relations_name""),6,FALSE)
,
(IF
(
C4753=""юридична особа""
,
VLOOKUP"&amp;"(D4753,IMPORTRANGE(""https://docs.google.com/spreadsheets/d/14Bd19lYaqBhU8_DElYkX7l4wRkHqqCUFNJY4AfY3kHU/edit?usp=sharing  #gid=0"",""фіз особи new!relations_name_uo""),7,FALSE)
,
)
))"),"КРИВОНОСОВ Володимир Олексійович")</f>
        <v>КРИВОНОСОВ Володимир Олексійович</v>
      </c>
      <c r="G4752" s="7" t="s">
        <v>10</v>
      </c>
      <c r="H4752" s="7">
        <v>23520</v>
      </c>
      <c r="I4752" s="8" t="str">
        <f ca="1">IFERROR(__xludf.DUMMYFUNCTION("IF
(
G4753=""фізична особа""
,
VLOOKUP(H4753,IMPORTRANGE(""https://docs.google.com/spreadsheets/d/14Bd19lYaqBhU8_DElYkX7l4wRkHqqCUFNJY4AfY3kHU/edit?usp=sharing  #gid=0"",""фіз особи new!relations_name""),6,FALSE)
,
(IF
(
G4753=""юридична особа""
,
VLOOKUP"&amp;"(H4753,IMPORTRANGE(""https://docs.google.com/spreadsheets/d/14Bd19lYaqBhU8_DElYkX7l4wRkHqqCUFNJY4AfY3kHU/edit?usp=sharing  #gid=0"",""фіз особи new!relations_name_uo""),7,FALSE)
,
)
))"),"КОШЕЛЄВ Артем Леонідович")</f>
        <v>КОШЕЛЄВ Артем Леонідович</v>
      </c>
      <c r="J4752" s="7" t="s">
        <v>30</v>
      </c>
    </row>
    <row r="4753" spans="1:10" ht="13.2">
      <c r="A4753" s="7">
        <v>4752</v>
      </c>
      <c r="B4753" s="7">
        <v>1</v>
      </c>
      <c r="C4753" s="7" t="s">
        <v>10</v>
      </c>
      <c r="D4753" s="7">
        <v>3612</v>
      </c>
      <c r="E4753" s="7" t="s">
        <v>30</v>
      </c>
      <c r="F4753" s="8" t="str">
        <f ca="1">IFERROR(__xludf.DUMMYFUNCTION("IF
(
C4754=""фізична особа""
,
VLOOKUP(D4754,IMPORTRANGE(""https://docs.google.com/spreadsheets/d/14Bd19lYaqBhU8_DElYkX7l4wRkHqqCUFNJY4AfY3kHU/edit?usp=sharing  #gid=0"",""фіз особи new!relations_name""),6,FALSE)
,
(IF
(
C4754=""юридична особа""
,
VLOOKUP"&amp;"(D4754,IMPORTRANGE(""https://docs.google.com/spreadsheets/d/14Bd19lYaqBhU8_DElYkX7l4wRkHqqCUFNJY4AfY3kHU/edit?usp=sharing  #gid=0"",""фіз особи new!relations_name_uo""),7,FALSE)
,
)
))"),"КОШЕЛЄВ Леонід Євгенійович")</f>
        <v>КОШЕЛЄВ Леонід Євгенійович</v>
      </c>
      <c r="G4753" s="7" t="s">
        <v>10</v>
      </c>
      <c r="H4753" s="7">
        <v>23519</v>
      </c>
      <c r="I4753" s="8" t="str">
        <f ca="1">IFERROR(__xludf.DUMMYFUNCTION("IF
(
G4754=""фізична особа""
,
VLOOKUP(H4754,IMPORTRANGE(""https://docs.google.com/spreadsheets/d/14Bd19lYaqBhU8_DElYkX7l4wRkHqqCUFNJY4AfY3kHU/edit?usp=sharing  #gid=0"",""фіз особи new!relations_name""),6,FALSE)
,
(IF
(
G4754=""юридична особа""
,
VLOOKUP"&amp;"(H4754,IMPORTRANGE(""https://docs.google.com/spreadsheets/d/14Bd19lYaqBhU8_DElYkX7l4wRkHqqCUFNJY4AfY3kHU/edit?usp=sharing  #gid=0"",""фіз особи new!relations_name_uo""),7,FALSE)
,
)
))"),"МАРКОВ Михайло Михайлович")</f>
        <v>МАРКОВ Михайло Михайлович</v>
      </c>
      <c r="J4753" s="7" t="s">
        <v>30</v>
      </c>
    </row>
    <row r="4754" spans="1:10" ht="13.2">
      <c r="A4754" s="7">
        <v>4753</v>
      </c>
      <c r="B4754" s="7">
        <v>1</v>
      </c>
      <c r="C4754" s="7" t="s">
        <v>10</v>
      </c>
      <c r="D4754" s="7">
        <v>3611</v>
      </c>
      <c r="E4754" s="7" t="s">
        <v>12</v>
      </c>
      <c r="F4754" s="8" t="str">
        <f ca="1">IFERROR(__xludf.DUMMYFUNCTION("IF
(
C4755=""фізична особа""
,
VLOOKUP(D4755,IMPORTRANGE(""https://docs.google.com/spreadsheets/d/14Bd19lYaqBhU8_DElYkX7l4wRkHqqCUFNJY4AfY3kHU/edit?usp=sharing  #gid=0"",""фіз особи new!relations_name""),6,FALSE)
,
(IF
(
C4755=""юридична особа""
,
VLOOKUP"&amp;"(D4755,IMPORTRANGE(""https://docs.google.com/spreadsheets/d/14Bd19lYaqBhU8_DElYkX7l4wRkHqqCUFNJY4AfY3kHU/edit?usp=sharing  #gid=0"",""фіз особи new!relations_name_uo""),7,FALSE)
,
)
))"),"КРИВОНОСОВ Володимир Олексійович")</f>
        <v>КРИВОНОСОВ Володимир Олексійович</v>
      </c>
      <c r="G4754" s="7" t="s">
        <v>10</v>
      </c>
      <c r="H4754" s="7">
        <v>23520</v>
      </c>
      <c r="I4754" s="8" t="str">
        <f ca="1">IFERROR(__xludf.DUMMYFUNCTION("IF
(
G4755=""фізична особа""
,
VLOOKUP(H4755,IMPORTRANGE(""https://docs.google.com/spreadsheets/d/14Bd19lYaqBhU8_DElYkX7l4wRkHqqCUFNJY4AfY3kHU/edit?usp=sharing  #gid=0"",""фіз особи new!relations_name""),6,FALSE)
,
(IF
(
G4755=""юридична особа""
,
VLOOKUP"&amp;"(H4755,IMPORTRANGE(""https://docs.google.com/spreadsheets/d/14Bd19lYaqBhU8_DElYkX7l4wRkHqqCUFNJY4AfY3kHU/edit?usp=sharing  #gid=0"",""фіз особи new!relations_name_uo""),7,FALSE)
,
)
))"),"КОШЕЛЄВ Артем Леонідович")</f>
        <v>КОШЕЛЄВ Артем Леонідович</v>
      </c>
      <c r="J4754" s="7" t="s">
        <v>17</v>
      </c>
    </row>
    <row r="4755" spans="1:10" ht="13.2">
      <c r="A4755" s="7">
        <v>4754</v>
      </c>
      <c r="B4755" s="7">
        <v>1</v>
      </c>
      <c r="C4755" s="7" t="s">
        <v>10</v>
      </c>
      <c r="D4755" s="7">
        <v>3620</v>
      </c>
      <c r="E4755" s="7" t="s">
        <v>14</v>
      </c>
      <c r="F4755" s="8" t="str">
        <f ca="1">IFERROR(__xludf.DUMMYFUNCTION("IF
(
C4756=""фізична особа""
,
VLOOKUP(D4756,IMPORTRANGE(""https://docs.google.com/spreadsheets/d/14Bd19lYaqBhU8_DElYkX7l4wRkHqqCUFNJY4AfY3kHU/edit?usp=sharing  #gid=0"",""фіз особи new!relations_name""),6,FALSE)
,
(IF
(
C4756=""юридична особа""
,
VLOOKUP"&amp;"(D4756,IMPORTRANGE(""https://docs.google.com/spreadsheets/d/14Bd19lYaqBhU8_DElYkX7l4wRkHqqCUFNJY4AfY3kHU/edit?usp=sharing  #gid=0"",""фіз особи new!relations_name_uo""),7,FALSE)
,
)
))"),"ЗЯБІРОВ Хасян Шаріфжанович")</f>
        <v>ЗЯБІРОВ Хасян Шаріфжанович</v>
      </c>
      <c r="G4755" s="7" t="s">
        <v>10</v>
      </c>
      <c r="H4755" s="7">
        <v>0</v>
      </c>
      <c r="I4755" s="8" t="str">
        <f ca="1">IFERROR(__xludf.DUMMYFUNCTION("IF
(
G4756=""фізична особа""
,
VLOOKUP(H4756,IMPORTRANGE(""https://docs.google.com/spreadsheets/d/14Bd19lYaqBhU8_DElYkX7l4wRkHqqCUFNJY4AfY3kHU/edit?usp=sharing  #gid=0"",""фіз особи new!relations_name""),6,FALSE)
,
(IF
(
G4756=""юридична особа""
,
VLOOKUP"&amp;"(H4756,IMPORTRANGE(""https://docs.google.com/spreadsheets/d/14Bd19lYaqBhU8_DElYkX7l4wRkHqqCUFNJY4AfY3kHU/edit?usp=sharing  #gid=0"",""фіз особи new!relations_name_uo""),7,FALSE)
,
)
))"),"#N/A")</f>
        <v>#N/A</v>
      </c>
      <c r="J4755" s="7" t="s">
        <v>15</v>
      </c>
    </row>
    <row r="4756" spans="1:10" ht="13.2">
      <c r="A4756" s="7">
        <v>4755</v>
      </c>
      <c r="B4756" s="7">
        <v>1</v>
      </c>
      <c r="C4756" s="7" t="s">
        <v>10</v>
      </c>
      <c r="D4756" s="7">
        <v>3620</v>
      </c>
      <c r="E4756" s="7" t="s">
        <v>12</v>
      </c>
      <c r="F4756" s="8" t="str">
        <f ca="1">IFERROR(__xludf.DUMMYFUNCTION("IF
(
C4757=""фізична особа""
,
VLOOKUP(D4757,IMPORTRANGE(""https://docs.google.com/spreadsheets/d/14Bd19lYaqBhU8_DElYkX7l4wRkHqqCUFNJY4AfY3kHU/edit?usp=sharing  #gid=0"",""фіз особи new!relations_name""),6,FALSE)
,
(IF
(
C4757=""юридична особа""
,
VLOOKUP"&amp;"(D4757,IMPORTRANGE(""https://docs.google.com/spreadsheets/d/14Bd19lYaqBhU8_DElYkX7l4wRkHqqCUFNJY4AfY3kHU/edit?usp=sharing  #gid=0"",""фіз особи new!relations_name_uo""),7,FALSE)
,
)
))"),"ЗЯБІРОВ Хасян Шаріфжанович")</f>
        <v>ЗЯБІРОВ Хасян Шаріфжанович</v>
      </c>
      <c r="G4756" s="7" t="s">
        <v>10</v>
      </c>
      <c r="H4756" s="7">
        <v>0</v>
      </c>
      <c r="I4756" s="8" t="str">
        <f ca="1">IFERROR(__xludf.DUMMYFUNCTION("IF
(
G4757=""фізична особа""
,
VLOOKUP(H4757,IMPORTRANGE(""https://docs.google.com/spreadsheets/d/14Bd19lYaqBhU8_DElYkX7l4wRkHqqCUFNJY4AfY3kHU/edit?usp=sharing  #gid=0"",""фіз особи new!relations_name""),6,FALSE)
,
(IF
(
G4757=""юридична особа""
,
VLOOKUP"&amp;"(H4757,IMPORTRANGE(""https://docs.google.com/spreadsheets/d/14Bd19lYaqBhU8_DElYkX7l4wRkHqqCUFNJY4AfY3kHU/edit?usp=sharing  #gid=0"",""фіз особи new!relations_name_uo""),7,FALSE)
,
)
))"),"#N/A")</f>
        <v>#N/A</v>
      </c>
      <c r="J4756" s="7" t="s">
        <v>17</v>
      </c>
    </row>
    <row r="4757" spans="1:10" ht="13.2">
      <c r="A4757" s="7">
        <v>4756</v>
      </c>
      <c r="B4757" s="7">
        <v>1</v>
      </c>
      <c r="C4757" s="7" t="s">
        <v>10</v>
      </c>
      <c r="D4757" s="7">
        <v>3629</v>
      </c>
      <c r="E4757" s="7" t="s">
        <v>17</v>
      </c>
      <c r="F4757" s="8" t="str">
        <f ca="1">IFERROR(__xludf.DUMMYFUNCTION("IF
(
C4758=""фізична особа""
,
VLOOKUP(D4758,IMPORTRANGE(""https://docs.google.com/spreadsheets/d/14Bd19lYaqBhU8_DElYkX7l4wRkHqqCUFNJY4AfY3kHU/edit?usp=sharing  #gid=0"",""фіз особи new!relations_name""),6,FALSE)
,
(IF
(
C4758=""юридична особа""
,
VLOOKUP"&amp;"(D4758,IMPORTRANGE(""https://docs.google.com/spreadsheets/d/14Bd19lYaqBhU8_DElYkX7l4wRkHqqCUFNJY4AfY3kHU/edit?usp=sharing  #gid=0"",""фіз особи new!relations_name_uo""),7,FALSE)
,
)
))"),"КРАЮШКІН Андрій Олександрович")</f>
        <v>КРАЮШКІН Андрій Олександрович</v>
      </c>
      <c r="G4757" s="7" t="s">
        <v>10</v>
      </c>
      <c r="H4757" s="7">
        <v>0</v>
      </c>
      <c r="I4757" s="8" t="str">
        <f ca="1">IFERROR(__xludf.DUMMYFUNCTION("IF
(
G4758=""фізична особа""
,
VLOOKUP(H4758,IMPORTRANGE(""https://docs.google.com/spreadsheets/d/14Bd19lYaqBhU8_DElYkX7l4wRkHqqCUFNJY4AfY3kHU/edit?usp=sharing  #gid=0"",""фіз особи new!relations_name""),6,FALSE)
,
(IF
(
G4758=""юридична особа""
,
VLOOKUP"&amp;"(H4758,IMPORTRANGE(""https://docs.google.com/spreadsheets/d/14Bd19lYaqBhU8_DElYkX7l4wRkHqqCUFNJY4AfY3kHU/edit?usp=sharing  #gid=0"",""фіз особи new!relations_name_uo""),7,FALSE)
,
)
))"),"#N/A")</f>
        <v>#N/A</v>
      </c>
      <c r="J4757" s="7" t="s">
        <v>12</v>
      </c>
    </row>
    <row r="4758" spans="1:10" ht="13.2">
      <c r="A4758" s="7">
        <v>4757</v>
      </c>
      <c r="B4758" s="7">
        <v>1</v>
      </c>
      <c r="C4758" s="7" t="s">
        <v>10</v>
      </c>
      <c r="D4758" s="7">
        <v>3629</v>
      </c>
      <c r="E4758" s="7" t="s">
        <v>17</v>
      </c>
      <c r="F4758" s="8" t="str">
        <f ca="1">IFERROR(__xludf.DUMMYFUNCTION("IF
(
C4759=""фізична особа""
,
VLOOKUP(D4759,IMPORTRANGE(""https://docs.google.com/spreadsheets/d/14Bd19lYaqBhU8_DElYkX7l4wRkHqqCUFNJY4AfY3kHU/edit?usp=sharing  #gid=0"",""фіз особи new!relations_name""),6,FALSE)
,
(IF
(
C4759=""юридична особа""
,
VLOOKUP"&amp;"(D4759,IMPORTRANGE(""https://docs.google.com/spreadsheets/d/14Bd19lYaqBhU8_DElYkX7l4wRkHqqCUFNJY4AfY3kHU/edit?usp=sharing  #gid=0"",""фіз особи new!relations_name_uo""),7,FALSE)
,
)
))"),"КРАЮШКІН Андрій Олександрович")</f>
        <v>КРАЮШКІН Андрій Олександрович</v>
      </c>
      <c r="G4758" s="7" t="s">
        <v>10</v>
      </c>
      <c r="H4758" s="7">
        <v>0</v>
      </c>
      <c r="I4758" s="8" t="str">
        <f ca="1">IFERROR(__xludf.DUMMYFUNCTION("IF
(
G4759=""фізична особа""
,
VLOOKUP(H4759,IMPORTRANGE(""https://docs.google.com/spreadsheets/d/14Bd19lYaqBhU8_DElYkX7l4wRkHqqCUFNJY4AfY3kHU/edit?usp=sharing  #gid=0"",""фіз особи new!relations_name""),6,FALSE)
,
(IF
(
G4759=""юридична особа""
,
VLOOKUP"&amp;"(H4759,IMPORTRANGE(""https://docs.google.com/spreadsheets/d/14Bd19lYaqBhU8_DElYkX7l4wRkHqqCUFNJY4AfY3kHU/edit?usp=sharing  #gid=0"",""фіз особи new!relations_name_uo""),7,FALSE)
,
)
))"),"#N/A")</f>
        <v>#N/A</v>
      </c>
      <c r="J4758" s="7" t="s">
        <v>21</v>
      </c>
    </row>
    <row r="4759" spans="1:10" ht="13.2">
      <c r="A4759" s="7">
        <v>4758</v>
      </c>
      <c r="B4759" s="7">
        <v>1</v>
      </c>
      <c r="C4759" s="7" t="s">
        <v>10</v>
      </c>
      <c r="D4759" s="7">
        <v>3653</v>
      </c>
      <c r="E4759" s="7" t="s">
        <v>23</v>
      </c>
      <c r="F4759" s="8" t="str">
        <f ca="1">IFERROR(__xludf.DUMMYFUNCTION("IF
(
C4760=""фізична особа""
,
VLOOKUP(D4760,IMPORTRANGE(""https://docs.google.com/spreadsheets/d/14Bd19lYaqBhU8_DElYkX7l4wRkHqqCUFNJY4AfY3kHU/edit?usp=sharing  #gid=0"",""фіз особи new!relations_name""),6,FALSE)
,
(IF
(
C4760=""юридична особа""
,
VLOOKUP"&amp;"(D4760,IMPORTRANGE(""https://docs.google.com/spreadsheets/d/14Bd19lYaqBhU8_DElYkX7l4wRkHqqCUFNJY4AfY3kHU/edit?usp=sharing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59" s="7" t="s">
        <v>10</v>
      </c>
      <c r="H4759" s="7">
        <v>17716</v>
      </c>
      <c r="I4759" s="8" t="str">
        <f ca="1">IFERROR(__xludf.DUMMYFUNCTION("IF
(
G4760=""фізична особа""
,
VLOOKUP(H4760,IMPORTRANGE(""https://docs.google.com/spreadsheets/d/14Bd19lYaqBhU8_DElYkX7l4wRkHqqCUFNJY4AfY3kHU/edit?usp=sharing  #gid=0"",""фіз особи new!relations_name""),6,FALSE)
,
(IF
(
G4760=""юридична особа""
,
VLOOKUP"&amp;"(H4760,IMPORTRANGE(""https://docs.google.com/spreadsheets/d/14Bd19lYaqBhU8_DElYkX7l4wRkHqqCUFNJY4AfY3kHU/edit?usp=sharing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4759" s="7" t="s">
        <v>23</v>
      </c>
    </row>
    <row r="4760" spans="1:10" ht="13.2">
      <c r="A4760" s="7">
        <v>4759</v>
      </c>
      <c r="B4760" s="7">
        <v>1</v>
      </c>
      <c r="C4760" s="7" t="s">
        <v>10</v>
      </c>
      <c r="D4760" s="7">
        <v>3653</v>
      </c>
      <c r="E4760" s="7" t="s">
        <v>23</v>
      </c>
      <c r="F4760" s="8" t="str">
        <f ca="1">IFERROR(__xludf.DUMMYFUNCTION("IF
(
C4761=""фізична особа""
,
VLOOKUP(D4761,IMPORTRANGE(""https://docs.google.com/spreadsheets/d/14Bd19lYaqBhU8_DElYkX7l4wRkHqqCUFNJY4AfY3kHU/edit?usp=sharing  #gid=0"",""фіз особи new!relations_name""),6,FALSE)
,
(IF
(
C4761=""юридична особа""
,
VLOOKUP"&amp;"(D4761,IMPORTRANGE(""https://docs.google.com/spreadsheets/d/14Bd19lYaqBhU8_DElYkX7l4wRkHqqCUFNJY4AfY3kHU/edit?usp=sharing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0" s="7" t="s">
        <v>10</v>
      </c>
      <c r="H4760" s="7">
        <v>8805</v>
      </c>
      <c r="I4760" s="8" t="str">
        <f ca="1">IFERROR(__xludf.DUMMYFUNCTION("IF
(
G4761=""фізична особа""
,
VLOOKUP(H4761,IMPORTRANGE(""https://docs.google.com/spreadsheets/d/14Bd19lYaqBhU8_DElYkX7l4wRkHqqCUFNJY4AfY3kHU/edit?usp=sharing  #gid=0"",""фіз особи new!relations_name""),6,FALSE)
,
(IF
(
G4761=""юридична особа""
,
VLOOKUP"&amp;"(H4761,IMPORTRANGE(""https://docs.google.com/spreadsheets/d/14Bd19lYaqBhU8_DElYkX7l4wRkHqqCUFNJY4AfY3kHU/edit?usp=sharing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4760" s="7" t="s">
        <v>23</v>
      </c>
    </row>
    <row r="4761" spans="1:10" ht="13.2">
      <c r="A4761" s="7">
        <v>4760</v>
      </c>
      <c r="B4761" s="7">
        <v>1</v>
      </c>
      <c r="C4761" s="7" t="s">
        <v>10</v>
      </c>
      <c r="D4761" s="7">
        <v>3653</v>
      </c>
      <c r="E4761" s="7" t="s">
        <v>23</v>
      </c>
      <c r="F4761" s="8" t="str">
        <f ca="1">IFERROR(__xludf.DUMMYFUNCTION("IF
(
C4762=""фізична особа""
,
VLOOKUP(D4762,IMPORTRANGE(""https://docs.google.com/spreadsheets/d/14Bd19lYaqBhU8_DElYkX7l4wRkHqqCUFNJY4AfY3kHU/edit?usp=sharing  #gid=0"",""фіз особи new!relations_name""),6,FALSE)
,
(IF
(
C4762=""юридична особа""
,
VLOOKUP"&amp;"(D4762,IMPORTRANGE(""https://docs.google.com/spreadsheets/d/14Bd19lYaqBhU8_DElYkX7l4wRkHqqCUFNJY4AfY3kHU/edit?usp=sharing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1" s="7" t="s">
        <v>10</v>
      </c>
      <c r="H4761" s="7">
        <v>17723</v>
      </c>
      <c r="I4761" s="8" t="str">
        <f ca="1">IFERROR(__xludf.DUMMYFUNCTION("IF
(
G4762=""фізична особа""
,
VLOOKUP(H4762,IMPORTRANGE(""https://docs.google.com/spreadsheets/d/14Bd19lYaqBhU8_DElYkX7l4wRkHqqCUFNJY4AfY3kHU/edit?usp=sharing  #gid=0"",""фіз особи new!relations_name""),6,FALSE)
,
(IF
(
G4762=""юридична особа""
,
VLOOKUP"&amp;"(H4762,IMPORTRANGE(""https://docs.google.com/spreadsheets/d/14Bd19lYaqBhU8_DElYkX7l4wRkHqqCUFNJY4AfY3kHU/edit?usp=sharing  #gid=0"",""фіз особи new!relations_name_uo""),7,FALSE)
,
)
))"),"СВЄТЛІКОВ Юрій Миколайович")</f>
        <v>СВЄТЛІКОВ Юрій Миколайович</v>
      </c>
      <c r="J4761" s="7" t="s">
        <v>23</v>
      </c>
    </row>
    <row r="4762" spans="1:10" ht="13.2">
      <c r="A4762" s="7">
        <v>4761</v>
      </c>
      <c r="B4762" s="7">
        <v>1</v>
      </c>
      <c r="C4762" s="7" t="s">
        <v>10</v>
      </c>
      <c r="D4762" s="7">
        <v>3653</v>
      </c>
      <c r="E4762" s="7" t="s">
        <v>23</v>
      </c>
      <c r="F4762" s="8" t="str">
        <f ca="1">IFERROR(__xludf.DUMMYFUNCTION("IF
(
C4763=""фізична особа""
,
VLOOKUP(D4763,IMPORTRANGE(""https://docs.google.com/spreadsheets/d/14Bd19lYaqBhU8_DElYkX7l4wRkHqqCUFNJY4AfY3kHU/edit?usp=sharing  #gid=0"",""фіз особи new!relations_name""),6,FALSE)
,
(IF
(
C4763=""юридична особа""
,
VLOOKUP"&amp;"(D4763,IMPORTRANGE(""https://docs.google.com/spreadsheets/d/14Bd19lYaqBhU8_DElYkX7l4wRkHqqCUFNJY4AfY3kHU/edit?usp=sharing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2" s="7" t="s">
        <v>10</v>
      </c>
      <c r="H4762" s="7">
        <v>0</v>
      </c>
      <c r="I4762" s="8" t="str">
        <f ca="1">IFERROR(__xludf.DUMMYFUNCTION("IF
(
G4763=""фізична особа""
,
VLOOKUP(H4763,IMPORTRANGE(""https://docs.google.com/spreadsheets/d/14Bd19lYaqBhU8_DElYkX7l4wRkHqqCUFNJY4AfY3kHU/edit?usp=sharing  #gid=0"",""фіз особи new!relations_name""),6,FALSE)
,
(IF
(
G4763=""юридична особа""
,
VLOOKUP"&amp;"(H4763,IMPORTRANGE(""https://docs.google.com/spreadsheets/d/14Bd19lYaqBhU8_DElYkX7l4wRkHqqCUFNJY4AfY3kHU/edit?usp=sharing  #gid=0"",""фіз особи new!relations_name_uo""),7,FALSE)
,
)
))"),"#N/A")</f>
        <v>#N/A</v>
      </c>
      <c r="J4762" s="7" t="s">
        <v>23</v>
      </c>
    </row>
    <row r="4763" spans="1:10" ht="13.2">
      <c r="A4763" s="7">
        <v>4762</v>
      </c>
      <c r="B4763" s="7">
        <v>1</v>
      </c>
      <c r="C4763" s="7" t="s">
        <v>10</v>
      </c>
      <c r="D4763" s="7">
        <v>3653</v>
      </c>
      <c r="E4763" s="7" t="s">
        <v>23</v>
      </c>
      <c r="F4763" s="8" t="str">
        <f ca="1">IFERROR(__xludf.DUMMYFUNCTION("IF
(
C4764=""фізична особа""
,
VLOOKUP(D4764,IMPORTRANGE(""https://docs.google.com/spreadsheets/d/14Bd19lYaqBhU8_DElYkX7l4wRkHqqCUFNJY4AfY3kHU/edit?usp=sharing  #gid=0"",""фіз особи new!relations_name""),6,FALSE)
,
(IF
(
C4764=""юридична особа""
,
VLOOKUP"&amp;"(D4764,IMPORTRANGE(""https://docs.google.com/spreadsheets/d/14Bd19lYaqBhU8_DElYkX7l4wRkHqqCUFNJY4AfY3kHU/edit?usp=sharing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3" s="7" t="s">
        <v>10</v>
      </c>
      <c r="H4763" s="7">
        <v>0</v>
      </c>
      <c r="I4763" s="8" t="str">
        <f ca="1">IFERROR(__xludf.DUMMYFUNCTION("IF
(
G4764=""фізична особа""
,
VLOOKUP(H4764,IMPORTRANGE(""https://docs.google.com/spreadsheets/d/14Bd19lYaqBhU8_DElYkX7l4wRkHqqCUFNJY4AfY3kHU/edit?usp=sharing  #gid=0"",""фіз особи new!relations_name""),6,FALSE)
,
(IF
(
G4764=""юридична особа""
,
VLOOKUP"&amp;"(H4764,IMPORTRANGE(""https://docs.google.com/spreadsheets/d/14Bd19lYaqBhU8_DElYkX7l4wRkHqqCUFNJY4AfY3kHU/edit?usp=sharing  #gid=0"",""фіз особи new!relations_name_uo""),7,FALSE)
,
)
))"),"#N/A")</f>
        <v>#N/A</v>
      </c>
      <c r="J4763" s="7" t="s">
        <v>23</v>
      </c>
    </row>
    <row r="4764" spans="1:10" ht="13.2">
      <c r="A4764" s="7">
        <v>4763</v>
      </c>
      <c r="B4764" s="7">
        <v>1</v>
      </c>
      <c r="C4764" s="7" t="s">
        <v>10</v>
      </c>
      <c r="D4764" s="7">
        <v>3653</v>
      </c>
      <c r="E4764" s="7" t="s">
        <v>23</v>
      </c>
      <c r="F4764" s="8" t="str">
        <f ca="1">IFERROR(__xludf.DUMMYFUNCTION("IF
(
C4765=""фізична особа""
,
VLOOKUP(D4765,IMPORTRANGE(""https://docs.google.com/spreadsheets/d/14Bd19lYaqBhU8_DElYkX7l4wRkHqqCUFNJY4AfY3kHU/edit?usp=sharing  #gid=0"",""фіз особи new!relations_name""),6,FALSE)
,
(IF
(
C4765=""юридична особа""
,
VLOOKUP"&amp;"(D4765,IMPORTRANGE(""https://docs.google.com/spreadsheets/d/14Bd19lYaqBhU8_DElYkX7l4wRkHqqCUFNJY4AfY3kHU/edit?usp=sharing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4" s="7" t="s">
        <v>10</v>
      </c>
      <c r="H4764" s="7">
        <v>0</v>
      </c>
      <c r="I4764" s="8" t="str">
        <f ca="1">IFERROR(__xludf.DUMMYFUNCTION("IF
(
G4765=""фізична особа""
,
VLOOKUP(H4765,IMPORTRANGE(""https://docs.google.com/spreadsheets/d/14Bd19lYaqBhU8_DElYkX7l4wRkHqqCUFNJY4AfY3kHU/edit?usp=sharing  #gid=0"",""фіз особи new!relations_name""),6,FALSE)
,
(IF
(
G4765=""юридична особа""
,
VLOOKUP"&amp;"(H4765,IMPORTRANGE(""https://docs.google.com/spreadsheets/d/14Bd19lYaqBhU8_DElYkX7l4wRkHqqCUFNJY4AfY3kHU/edit?usp=sharing  #gid=0"",""фіз особи new!relations_name_uo""),7,FALSE)
,
)
))"),"#N/A")</f>
        <v>#N/A</v>
      </c>
      <c r="J4764" s="7" t="s">
        <v>23</v>
      </c>
    </row>
    <row r="4765" spans="1:10" ht="13.2">
      <c r="A4765" s="7">
        <v>4764</v>
      </c>
      <c r="B4765" s="7">
        <v>1</v>
      </c>
      <c r="C4765" s="7" t="s">
        <v>10</v>
      </c>
      <c r="D4765" s="7">
        <v>3653</v>
      </c>
      <c r="E4765" s="7" t="s">
        <v>23</v>
      </c>
      <c r="F4765" s="8" t="str">
        <f ca="1">IFERROR(__xludf.DUMMYFUNCTION("IF
(
C4766=""фізична особа""
,
VLOOKUP(D4766,IMPORTRANGE(""https://docs.google.com/spreadsheets/d/14Bd19lYaqBhU8_DElYkX7l4wRkHqqCUFNJY4AfY3kHU/edit?usp=sharing  #gid=0"",""фіз особи new!relations_name""),6,FALSE)
,
(IF
(
C4766=""юридична особа""
,
VLOOKUP"&amp;"(D4766,IMPORTRANGE(""https://docs.google.com/spreadsheets/d/14Bd19lYaqBhU8_DElYkX7l4wRkHqqCUFNJY4AfY3kHU/edit?usp=sharing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5" s="7" t="s">
        <v>10</v>
      </c>
      <c r="H4765" s="7">
        <v>0</v>
      </c>
      <c r="I4765" s="8" t="str">
        <f ca="1">IFERROR(__xludf.DUMMYFUNCTION("IF
(
G4766=""фізична особа""
,
VLOOKUP(H4766,IMPORTRANGE(""https://docs.google.com/spreadsheets/d/14Bd19lYaqBhU8_DElYkX7l4wRkHqqCUFNJY4AfY3kHU/edit?usp=sharing  #gid=0"",""фіз особи new!relations_name""),6,FALSE)
,
(IF
(
G4766=""юридична особа""
,
VLOOKUP"&amp;"(H4766,IMPORTRANGE(""https://docs.google.com/spreadsheets/d/14Bd19lYaqBhU8_DElYkX7l4wRkHqqCUFNJY4AfY3kHU/edit?usp=sharing  #gid=0"",""фіз особи new!relations_name_uo""),7,FALSE)
,
)
))"),"#N/A")</f>
        <v>#N/A</v>
      </c>
      <c r="J4765" s="7" t="s">
        <v>23</v>
      </c>
    </row>
    <row r="4766" spans="1:10" ht="13.2">
      <c r="A4766" s="7">
        <v>4765</v>
      </c>
      <c r="B4766" s="7">
        <v>1</v>
      </c>
      <c r="C4766" s="7" t="s">
        <v>10</v>
      </c>
      <c r="D4766" s="7">
        <v>3653</v>
      </c>
      <c r="E4766" s="7" t="s">
        <v>23</v>
      </c>
      <c r="F4766" s="8" t="str">
        <f ca="1">IFERROR(__xludf.DUMMYFUNCTION("IF
(
C4767=""фізична особа""
,
VLOOKUP(D4767,IMPORTRANGE(""https://docs.google.com/spreadsheets/d/14Bd19lYaqBhU8_DElYkX7l4wRkHqqCUFNJY4AfY3kHU/edit?usp=sharing  #gid=0"",""фіз особи new!relations_name""),6,FALSE)
,
(IF
(
C4767=""юридична особа""
,
VLOOKUP"&amp;"(D4767,IMPORTRANGE(""https://docs.google.com/spreadsheets/d/14Bd19lYaqBhU8_DElYkX7l4wRkHqqCUFNJY4AfY3kHU/edit?usp=sharing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6" s="7" t="s">
        <v>10</v>
      </c>
      <c r="H4766" s="7">
        <v>0</v>
      </c>
      <c r="I4766" s="8" t="str">
        <f ca="1">IFERROR(__xludf.DUMMYFUNCTION("IF
(
G4767=""фізична особа""
,
VLOOKUP(H4767,IMPORTRANGE(""https://docs.google.com/spreadsheets/d/14Bd19lYaqBhU8_DElYkX7l4wRkHqqCUFNJY4AfY3kHU/edit?usp=sharing  #gid=0"",""фіз особи new!relations_name""),6,FALSE)
,
(IF
(
G4767=""юридична особа""
,
VLOOKUP"&amp;"(H4767,IMPORTRANGE(""https://docs.google.com/spreadsheets/d/14Bd19lYaqBhU8_DElYkX7l4wRkHqqCUFNJY4AfY3kHU/edit?usp=sharing  #gid=0"",""фіз особи new!relations_name_uo""),7,FALSE)
,
)
))"),"#N/A")</f>
        <v>#N/A</v>
      </c>
      <c r="J4766" s="7" t="s">
        <v>23</v>
      </c>
    </row>
    <row r="4767" spans="1:10" ht="13.2">
      <c r="A4767" s="7">
        <v>4766</v>
      </c>
      <c r="B4767" s="7">
        <v>1</v>
      </c>
      <c r="C4767" s="7" t="s">
        <v>10</v>
      </c>
      <c r="D4767" s="7">
        <v>3653</v>
      </c>
      <c r="E4767" s="7" t="s">
        <v>23</v>
      </c>
      <c r="F4767" s="8" t="str">
        <f ca="1">IFERROR(__xludf.DUMMYFUNCTION("IF
(
C4768=""фізична особа""
,
VLOOKUP(D4768,IMPORTRANGE(""https://docs.google.com/spreadsheets/d/14Bd19lYaqBhU8_DElYkX7l4wRkHqqCUFNJY4AfY3kHU/edit?usp=sharing  #gid=0"",""фіз особи new!relations_name""),6,FALSE)
,
(IF
(
C4768=""юридична особа""
,
VLOOKUP"&amp;"(D4768,IMPORTRANGE(""https://docs.google.com/spreadsheets/d/14Bd19lYaqBhU8_DElYkX7l4wRkHqqCUFNJY4AfY3kHU/edit?usp=sharing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7" s="7" t="s">
        <v>10</v>
      </c>
      <c r="H4767" s="7">
        <v>0</v>
      </c>
      <c r="I4767" s="8" t="str">
        <f ca="1">IFERROR(__xludf.DUMMYFUNCTION("IF
(
G4768=""фізична особа""
,
VLOOKUP(H4768,IMPORTRANGE(""https://docs.google.com/spreadsheets/d/14Bd19lYaqBhU8_DElYkX7l4wRkHqqCUFNJY4AfY3kHU/edit?usp=sharing  #gid=0"",""фіз особи new!relations_name""),6,FALSE)
,
(IF
(
G4768=""юридична особа""
,
VLOOKUP"&amp;"(H4768,IMPORTRANGE(""https://docs.google.com/spreadsheets/d/14Bd19lYaqBhU8_DElYkX7l4wRkHqqCUFNJY4AfY3kHU/edit?usp=sharing  #gid=0"",""фіз особи new!relations_name_uo""),7,FALSE)
,
)
))"),"#N/A")</f>
        <v>#N/A</v>
      </c>
      <c r="J4767" s="7" t="s">
        <v>23</v>
      </c>
    </row>
    <row r="4768" spans="1:10" ht="13.2">
      <c r="A4768" s="7">
        <v>4767</v>
      </c>
      <c r="B4768" s="7">
        <v>1</v>
      </c>
      <c r="C4768" s="7" t="s">
        <v>10</v>
      </c>
      <c r="D4768" s="7">
        <v>3653</v>
      </c>
      <c r="E4768" s="7" t="s">
        <v>23</v>
      </c>
      <c r="F4768" s="8" t="str">
        <f ca="1">IFERROR(__xludf.DUMMYFUNCTION("IF
(
C4769=""фізична особа""
,
VLOOKUP(D4769,IMPORTRANGE(""https://docs.google.com/spreadsheets/d/14Bd19lYaqBhU8_DElYkX7l4wRkHqqCUFNJY4AfY3kHU/edit?usp=sharing  #gid=0"",""фіз особи new!relations_name""),6,FALSE)
,
(IF
(
C4769=""юридична особа""
,
VLOOKUP"&amp;"(D4769,IMPORTRANGE(""https://docs.google.com/spreadsheets/d/14Bd19lYaqBhU8_DElYkX7l4wRkHqqCUFNJY4AfY3kHU/edit?usp=sharing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8" s="7" t="s">
        <v>10</v>
      </c>
      <c r="H4768" s="7">
        <v>0</v>
      </c>
      <c r="I4768" s="8" t="str">
        <f ca="1">IFERROR(__xludf.DUMMYFUNCTION("IF
(
G4769=""фізична особа""
,
VLOOKUP(H4769,IMPORTRANGE(""https://docs.google.com/spreadsheets/d/14Bd19lYaqBhU8_DElYkX7l4wRkHqqCUFNJY4AfY3kHU/edit?usp=sharing  #gid=0"",""фіз особи new!relations_name""),6,FALSE)
,
(IF
(
G4769=""юридична особа""
,
VLOOKUP"&amp;"(H4769,IMPORTRANGE(""https://docs.google.com/spreadsheets/d/14Bd19lYaqBhU8_DElYkX7l4wRkHqqCUFNJY4AfY3kHU/edit?usp=sharing  #gid=0"",""фіз особи new!relations_name_uo""),7,FALSE)
,
)
))"),"#N/A")</f>
        <v>#N/A</v>
      </c>
      <c r="J4768" s="7" t="s">
        <v>23</v>
      </c>
    </row>
    <row r="4769" spans="1:10" ht="13.2">
      <c r="A4769" s="7">
        <v>4768</v>
      </c>
      <c r="B4769" s="7">
        <v>1</v>
      </c>
      <c r="C4769" s="7" t="s">
        <v>10</v>
      </c>
      <c r="D4769" s="7">
        <v>3653</v>
      </c>
      <c r="E4769" s="7" t="s">
        <v>23</v>
      </c>
      <c r="F4769" s="8" t="str">
        <f ca="1">IFERROR(__xludf.DUMMYFUNCTION("IF
(
C4770=""фізична особа""
,
VLOOKUP(D4770,IMPORTRANGE(""https://docs.google.com/spreadsheets/d/14Bd19lYaqBhU8_DElYkX7l4wRkHqqCUFNJY4AfY3kHU/edit?usp=sharing  #gid=0"",""фіз особи new!relations_name""),6,FALSE)
,
(IF
(
C4770=""юридична особа""
,
VLOOKUP"&amp;"(D4770,IMPORTRANGE(""https://docs.google.com/spreadsheets/d/14Bd19lYaqBhU8_DElYkX7l4wRkHqqCUFNJY4AfY3kHU/edit?usp=sharing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69" s="7" t="s">
        <v>10</v>
      </c>
      <c r="H4769" s="7">
        <v>0</v>
      </c>
      <c r="I4769" s="8" t="str">
        <f ca="1">IFERROR(__xludf.DUMMYFUNCTION("IF
(
G4770=""фізична особа""
,
VLOOKUP(H4770,IMPORTRANGE(""https://docs.google.com/spreadsheets/d/14Bd19lYaqBhU8_DElYkX7l4wRkHqqCUFNJY4AfY3kHU/edit?usp=sharing  #gid=0"",""фіз особи new!relations_name""),6,FALSE)
,
(IF
(
G4770=""юридична особа""
,
VLOOKUP"&amp;"(H4770,IMPORTRANGE(""https://docs.google.com/spreadsheets/d/14Bd19lYaqBhU8_DElYkX7l4wRkHqqCUFNJY4AfY3kHU/edit?usp=sharing  #gid=0"",""фіз особи new!relations_name_uo""),7,FALSE)
,
)
))"),"#N/A")</f>
        <v>#N/A</v>
      </c>
      <c r="J4769" s="7" t="s">
        <v>23</v>
      </c>
    </row>
    <row r="4770" spans="1:10" ht="13.2">
      <c r="A4770" s="7">
        <v>4769</v>
      </c>
      <c r="B4770" s="7">
        <v>1</v>
      </c>
      <c r="C4770" s="7" t="s">
        <v>10</v>
      </c>
      <c r="D4770" s="7">
        <v>3653</v>
      </c>
      <c r="E4770" s="7" t="s">
        <v>23</v>
      </c>
      <c r="F4770" s="8" t="str">
        <f ca="1">IFERROR(__xludf.DUMMYFUNCTION("IF
(
C4771=""фізична особа""
,
VLOOKUP(D4771,IMPORTRANGE(""https://docs.google.com/spreadsheets/d/14Bd19lYaqBhU8_DElYkX7l4wRkHqqCUFNJY4AfY3kHU/edit?usp=sharing  #gid=0"",""фіз особи new!relations_name""),6,FALSE)
,
(IF
(
C4771=""юридична особа""
,
VLOOKUP"&amp;"(D4771,IMPORTRANGE(""https://docs.google.com/spreadsheets/d/14Bd19lYaqBhU8_DElYkX7l4wRkHqqCUFNJY4AfY3kHU/edit?usp=sharing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0" s="7" t="s">
        <v>10</v>
      </c>
      <c r="H4770" s="7">
        <v>0</v>
      </c>
      <c r="I4770" s="8" t="str">
        <f ca="1">IFERROR(__xludf.DUMMYFUNCTION("IF
(
G4771=""фізична особа""
,
VLOOKUP(H4771,IMPORTRANGE(""https://docs.google.com/spreadsheets/d/14Bd19lYaqBhU8_DElYkX7l4wRkHqqCUFNJY4AfY3kHU/edit?usp=sharing  #gid=0"",""фіз особи new!relations_name""),6,FALSE)
,
(IF
(
G4771=""юридична особа""
,
VLOOKUP"&amp;"(H4771,IMPORTRANGE(""https://docs.google.com/spreadsheets/d/14Bd19lYaqBhU8_DElYkX7l4wRkHqqCUFNJY4AfY3kHU/edit?usp=sharing  #gid=0"",""фіз особи new!relations_name_uo""),7,FALSE)
,
)
))"),"#N/A")</f>
        <v>#N/A</v>
      </c>
      <c r="J4770" s="7" t="s">
        <v>23</v>
      </c>
    </row>
    <row r="4771" spans="1:10" ht="13.2">
      <c r="A4771" s="7">
        <v>4770</v>
      </c>
      <c r="B4771" s="7">
        <v>1</v>
      </c>
      <c r="C4771" s="7" t="s">
        <v>10</v>
      </c>
      <c r="D4771" s="7">
        <v>3653</v>
      </c>
      <c r="E4771" s="7" t="s">
        <v>23</v>
      </c>
      <c r="F4771" s="8" t="str">
        <f ca="1">IFERROR(__xludf.DUMMYFUNCTION("IF
(
C4772=""фізична особа""
,
VLOOKUP(D4772,IMPORTRANGE(""https://docs.google.com/spreadsheets/d/14Bd19lYaqBhU8_DElYkX7l4wRkHqqCUFNJY4AfY3kHU/edit?usp=sharing  #gid=0"",""фіз особи new!relations_name""),6,FALSE)
,
(IF
(
C4772=""юридична особа""
,
VLOOKUP"&amp;"(D4772,IMPORTRANGE(""https://docs.google.com/spreadsheets/d/14Bd19lYaqBhU8_DElYkX7l4wRkHqqCUFNJY4AfY3kHU/edit?usp=sharing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1" s="7" t="s">
        <v>10</v>
      </c>
      <c r="H4771" s="7">
        <v>0</v>
      </c>
      <c r="I4771" s="8" t="str">
        <f ca="1">IFERROR(__xludf.DUMMYFUNCTION("IF
(
G4772=""фізична особа""
,
VLOOKUP(H4772,IMPORTRANGE(""https://docs.google.com/spreadsheets/d/14Bd19lYaqBhU8_DElYkX7l4wRkHqqCUFNJY4AfY3kHU/edit?usp=sharing  #gid=0"",""фіз особи new!relations_name""),6,FALSE)
,
(IF
(
G4772=""юридична особа""
,
VLOOKUP"&amp;"(H4772,IMPORTRANGE(""https://docs.google.com/spreadsheets/d/14Bd19lYaqBhU8_DElYkX7l4wRkHqqCUFNJY4AfY3kHU/edit?usp=sharing  #gid=0"",""фіз особи new!relations_name_uo""),7,FALSE)
,
)
))"),"#N/A")</f>
        <v>#N/A</v>
      </c>
      <c r="J4771" s="7" t="s">
        <v>23</v>
      </c>
    </row>
    <row r="4772" spans="1:10" ht="13.2">
      <c r="A4772" s="7">
        <v>4771</v>
      </c>
      <c r="B4772" s="7">
        <v>1</v>
      </c>
      <c r="C4772" s="7" t="s">
        <v>10</v>
      </c>
      <c r="D4772" s="7">
        <v>3653</v>
      </c>
      <c r="E4772" s="7" t="s">
        <v>23</v>
      </c>
      <c r="F4772" s="8" t="str">
        <f ca="1">IFERROR(__xludf.DUMMYFUNCTION("IF
(
C4773=""фізична особа""
,
VLOOKUP(D4773,IMPORTRANGE(""https://docs.google.com/spreadsheets/d/14Bd19lYaqBhU8_DElYkX7l4wRkHqqCUFNJY4AfY3kHU/edit?usp=sharing  #gid=0"",""фіз особи new!relations_name""),6,FALSE)
,
(IF
(
C4773=""юридична особа""
,
VLOOKUP"&amp;"(D4773,IMPORTRANGE(""https://docs.google.com/spreadsheets/d/14Bd19lYaqBhU8_DElYkX7l4wRkHqqCUFNJY4AfY3kHU/edit?usp=sharing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2" s="7" t="s">
        <v>10</v>
      </c>
      <c r="H4772" s="7">
        <v>0</v>
      </c>
      <c r="I4772" s="8" t="str">
        <f ca="1">IFERROR(__xludf.DUMMYFUNCTION("IF
(
G4773=""фізична особа""
,
VLOOKUP(H4773,IMPORTRANGE(""https://docs.google.com/spreadsheets/d/14Bd19lYaqBhU8_DElYkX7l4wRkHqqCUFNJY4AfY3kHU/edit?usp=sharing  #gid=0"",""фіз особи new!relations_name""),6,FALSE)
,
(IF
(
G4773=""юридична особа""
,
VLOOKUP"&amp;"(H4773,IMPORTRANGE(""https://docs.google.com/spreadsheets/d/14Bd19lYaqBhU8_DElYkX7l4wRkHqqCUFNJY4AfY3kHU/edit?usp=sharing  #gid=0"",""фіз особи new!relations_name_uo""),7,FALSE)
,
)
))"),"#N/A")</f>
        <v>#N/A</v>
      </c>
      <c r="J4772" s="7" t="s">
        <v>23</v>
      </c>
    </row>
    <row r="4773" spans="1:10" ht="13.2">
      <c r="A4773" s="7">
        <v>4772</v>
      </c>
      <c r="B4773" s="7">
        <v>1</v>
      </c>
      <c r="C4773" s="7" t="s">
        <v>10</v>
      </c>
      <c r="D4773" s="7">
        <v>3653</v>
      </c>
      <c r="E4773" s="7" t="s">
        <v>23</v>
      </c>
      <c r="F4773" s="8" t="str">
        <f ca="1">IFERROR(__xludf.DUMMYFUNCTION("IF
(
C4774=""фізична особа""
,
VLOOKUP(D4774,IMPORTRANGE(""https://docs.google.com/spreadsheets/d/14Bd19lYaqBhU8_DElYkX7l4wRkHqqCUFNJY4AfY3kHU/edit?usp=sharing  #gid=0"",""фіз особи new!relations_name""),6,FALSE)
,
(IF
(
C4774=""юридична особа""
,
VLOOKUP"&amp;"(D4774,IMPORTRANGE(""https://docs.google.com/spreadsheets/d/14Bd19lYaqBhU8_DElYkX7l4wRkHqqCUFNJY4AfY3kHU/edit?usp=sharing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3" s="7" t="s">
        <v>10</v>
      </c>
      <c r="H4773" s="7">
        <v>0</v>
      </c>
      <c r="I4773" s="8" t="str">
        <f ca="1">IFERROR(__xludf.DUMMYFUNCTION("IF
(
G4774=""фізична особа""
,
VLOOKUP(H4774,IMPORTRANGE(""https://docs.google.com/spreadsheets/d/14Bd19lYaqBhU8_DElYkX7l4wRkHqqCUFNJY4AfY3kHU/edit?usp=sharing  #gid=0"",""фіз особи new!relations_name""),6,FALSE)
,
(IF
(
G4774=""юридична особа""
,
VLOOKUP"&amp;"(H4774,IMPORTRANGE(""https://docs.google.com/spreadsheets/d/14Bd19lYaqBhU8_DElYkX7l4wRkHqqCUFNJY4AfY3kHU/edit?usp=sharing  #gid=0"",""фіз особи new!relations_name_uo""),7,FALSE)
,
)
))"),"#N/A")</f>
        <v>#N/A</v>
      </c>
      <c r="J4773" s="7" t="s">
        <v>23</v>
      </c>
    </row>
    <row r="4774" spans="1:10" ht="13.2">
      <c r="A4774" s="7">
        <v>4773</v>
      </c>
      <c r="B4774" s="7">
        <v>1</v>
      </c>
      <c r="C4774" s="7" t="s">
        <v>10</v>
      </c>
      <c r="D4774" s="7">
        <v>3653</v>
      </c>
      <c r="E4774" s="7" t="s">
        <v>23</v>
      </c>
      <c r="F4774" s="8" t="str">
        <f ca="1">IFERROR(__xludf.DUMMYFUNCTION("IF
(
C4775=""фізична особа""
,
VLOOKUP(D4775,IMPORTRANGE(""https://docs.google.com/spreadsheets/d/14Bd19lYaqBhU8_DElYkX7l4wRkHqqCUFNJY4AfY3kHU/edit?usp=sharing  #gid=0"",""фіз особи new!relations_name""),6,FALSE)
,
(IF
(
C4775=""юридична особа""
,
VLOOKUP"&amp;"(D4775,IMPORTRANGE(""https://docs.google.com/spreadsheets/d/14Bd19lYaqBhU8_DElYkX7l4wRkHqqCUFNJY4AfY3kHU/edit?usp=sharing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4" s="7" t="s">
        <v>10</v>
      </c>
      <c r="H4774" s="7">
        <v>0</v>
      </c>
      <c r="I4774" s="8" t="str">
        <f ca="1">IFERROR(__xludf.DUMMYFUNCTION("IF
(
G4775=""фізична особа""
,
VLOOKUP(H4775,IMPORTRANGE(""https://docs.google.com/spreadsheets/d/14Bd19lYaqBhU8_DElYkX7l4wRkHqqCUFNJY4AfY3kHU/edit?usp=sharing  #gid=0"",""фіз особи new!relations_name""),6,FALSE)
,
(IF
(
G4775=""юридична особа""
,
VLOOKUP"&amp;"(H4775,IMPORTRANGE(""https://docs.google.com/spreadsheets/d/14Bd19lYaqBhU8_DElYkX7l4wRkHqqCUFNJY4AfY3kHU/edit?usp=sharing  #gid=0"",""фіз особи new!relations_name_uo""),7,FALSE)
,
)
))"),"#N/A")</f>
        <v>#N/A</v>
      </c>
      <c r="J4774" s="7" t="s">
        <v>23</v>
      </c>
    </row>
    <row r="4775" spans="1:10" ht="13.2">
      <c r="A4775" s="7">
        <v>4774</v>
      </c>
      <c r="B4775" s="7">
        <v>1</v>
      </c>
      <c r="C4775" s="7" t="s">
        <v>10</v>
      </c>
      <c r="D4775" s="7">
        <v>3653</v>
      </c>
      <c r="E4775" s="7" t="s">
        <v>23</v>
      </c>
      <c r="F4775" s="8" t="str">
        <f ca="1">IFERROR(__xludf.DUMMYFUNCTION("IF
(
C4776=""фізична особа""
,
VLOOKUP(D4776,IMPORTRANGE(""https://docs.google.com/spreadsheets/d/14Bd19lYaqBhU8_DElYkX7l4wRkHqqCUFNJY4AfY3kHU/edit?usp=sharing  #gid=0"",""фіз особи new!relations_name""),6,FALSE)
,
(IF
(
C4776=""юридична особа""
,
VLOOKUP"&amp;"(D4776,IMPORTRANGE(""https://docs.google.com/spreadsheets/d/14Bd19lYaqBhU8_DElYkX7l4wRkHqqCUFNJY4AfY3kHU/edit?usp=sharing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5" s="7" t="s">
        <v>10</v>
      </c>
      <c r="H4775" s="7">
        <v>0</v>
      </c>
      <c r="I4775" s="8" t="str">
        <f ca="1">IFERROR(__xludf.DUMMYFUNCTION("IF
(
G4776=""фізична особа""
,
VLOOKUP(H4776,IMPORTRANGE(""https://docs.google.com/spreadsheets/d/14Bd19lYaqBhU8_DElYkX7l4wRkHqqCUFNJY4AfY3kHU/edit?usp=sharing  #gid=0"",""фіз особи new!relations_name""),6,FALSE)
,
(IF
(
G4776=""юридична особа""
,
VLOOKUP"&amp;"(H4776,IMPORTRANGE(""https://docs.google.com/spreadsheets/d/14Bd19lYaqBhU8_DElYkX7l4wRkHqqCUFNJY4AfY3kHU/edit?usp=sharing  #gid=0"",""фіз особи new!relations_name_uo""),7,FALSE)
,
)
))"),"#N/A")</f>
        <v>#N/A</v>
      </c>
      <c r="J4775" s="7" t="s">
        <v>23</v>
      </c>
    </row>
    <row r="4776" spans="1:10" ht="13.2">
      <c r="A4776" s="7">
        <v>4775</v>
      </c>
      <c r="B4776" s="7">
        <v>1</v>
      </c>
      <c r="C4776" s="7" t="s">
        <v>10</v>
      </c>
      <c r="D4776" s="7">
        <v>3653</v>
      </c>
      <c r="E4776" s="7" t="s">
        <v>23</v>
      </c>
      <c r="F4776" s="8" t="str">
        <f ca="1">IFERROR(__xludf.DUMMYFUNCTION("IF
(
C4777=""фізична особа""
,
VLOOKUP(D4777,IMPORTRANGE(""https://docs.google.com/spreadsheets/d/14Bd19lYaqBhU8_DElYkX7l4wRkHqqCUFNJY4AfY3kHU/edit?usp=sharing  #gid=0"",""фіз особи new!relations_name""),6,FALSE)
,
(IF
(
C4777=""юридична особа""
,
VLOOKUP"&amp;"(D4777,IMPORTRANGE(""https://docs.google.com/spreadsheets/d/14Bd19lYaqBhU8_DElYkX7l4wRkHqqCUFNJY4AfY3kHU/edit?usp=sharing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6" s="7" t="s">
        <v>10</v>
      </c>
      <c r="H4776" s="7">
        <v>0</v>
      </c>
      <c r="I4776" s="8" t="str">
        <f ca="1">IFERROR(__xludf.DUMMYFUNCTION("IF
(
G4777=""фізична особа""
,
VLOOKUP(H4777,IMPORTRANGE(""https://docs.google.com/spreadsheets/d/14Bd19lYaqBhU8_DElYkX7l4wRkHqqCUFNJY4AfY3kHU/edit?usp=sharing  #gid=0"",""фіз особи new!relations_name""),6,FALSE)
,
(IF
(
G4777=""юридична особа""
,
VLOOKUP"&amp;"(H4777,IMPORTRANGE(""https://docs.google.com/spreadsheets/d/14Bd19lYaqBhU8_DElYkX7l4wRkHqqCUFNJY4AfY3kHU/edit?usp=sharing  #gid=0"",""фіз особи new!relations_name_uo""),7,FALSE)
,
)
))"),"#N/A")</f>
        <v>#N/A</v>
      </c>
      <c r="J4776" s="7" t="s">
        <v>23</v>
      </c>
    </row>
    <row r="4777" spans="1:10" ht="13.2">
      <c r="A4777" s="7">
        <v>4776</v>
      </c>
      <c r="B4777" s="7">
        <v>1</v>
      </c>
      <c r="C4777" s="7" t="s">
        <v>10</v>
      </c>
      <c r="D4777" s="7">
        <v>3653</v>
      </c>
      <c r="E4777" s="7" t="s">
        <v>23</v>
      </c>
      <c r="F4777" s="8" t="str">
        <f ca="1">IFERROR(__xludf.DUMMYFUNCTION("IF
(
C4778=""фізична особа""
,
VLOOKUP(D4778,IMPORTRANGE(""https://docs.google.com/spreadsheets/d/14Bd19lYaqBhU8_DElYkX7l4wRkHqqCUFNJY4AfY3kHU/edit?usp=sharing  #gid=0"",""фіз особи new!relations_name""),6,FALSE)
,
(IF
(
C4778=""юридична особа""
,
VLOOKUP"&amp;"(D4778,IMPORTRANGE(""https://docs.google.com/spreadsheets/d/14Bd19lYaqBhU8_DElYkX7l4wRkHqqCUFNJY4AfY3kHU/edit?usp=sharing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7" s="7" t="s">
        <v>10</v>
      </c>
      <c r="H4777" s="7">
        <v>0</v>
      </c>
      <c r="I4777" s="8" t="str">
        <f ca="1">IFERROR(__xludf.DUMMYFUNCTION("IF
(
G4778=""фізична особа""
,
VLOOKUP(H4778,IMPORTRANGE(""https://docs.google.com/spreadsheets/d/14Bd19lYaqBhU8_DElYkX7l4wRkHqqCUFNJY4AfY3kHU/edit?usp=sharing  #gid=0"",""фіз особи new!relations_name""),6,FALSE)
,
(IF
(
G4778=""юридична особа""
,
VLOOKUP"&amp;"(H4778,IMPORTRANGE(""https://docs.google.com/spreadsheets/d/14Bd19lYaqBhU8_DElYkX7l4wRkHqqCUFNJY4AfY3kHU/edit?usp=sharing  #gid=0"",""фіз особи new!relations_name_uo""),7,FALSE)
,
)
))"),"#N/A")</f>
        <v>#N/A</v>
      </c>
      <c r="J4777" s="7" t="s">
        <v>23</v>
      </c>
    </row>
    <row r="4778" spans="1:10" ht="13.2">
      <c r="A4778" s="7">
        <v>4777</v>
      </c>
      <c r="B4778" s="7">
        <v>1</v>
      </c>
      <c r="C4778" s="7" t="s">
        <v>10</v>
      </c>
      <c r="D4778" s="7">
        <v>3653</v>
      </c>
      <c r="E4778" s="7" t="s">
        <v>23</v>
      </c>
      <c r="F4778" s="8" t="str">
        <f ca="1">IFERROR(__xludf.DUMMYFUNCTION("IF
(
C4779=""фізична особа""
,
VLOOKUP(D4779,IMPORTRANGE(""https://docs.google.com/spreadsheets/d/14Bd19lYaqBhU8_DElYkX7l4wRkHqqCUFNJY4AfY3kHU/edit?usp=sharing  #gid=0"",""фіз особи new!relations_name""),6,FALSE)
,
(IF
(
C4779=""юридична особа""
,
VLOOKUP"&amp;"(D4779,IMPORTRANGE(""https://docs.google.com/spreadsheets/d/14Bd19lYaqBhU8_DElYkX7l4wRkHqqCUFNJY4AfY3kHU/edit?usp=sharing  #gid=0"",""фіз особи new!relations_name_uo""),7,FALSE)
,
)
))"),"СУХОРЕБРИК Костянтин Петрович")</f>
        <v>СУХОРЕБРИК Костянтин Петрович</v>
      </c>
      <c r="G4778" s="7" t="s">
        <v>10</v>
      </c>
      <c r="H4778" s="7">
        <v>0</v>
      </c>
      <c r="I4778" s="8" t="str">
        <f ca="1">IFERROR(__xludf.DUMMYFUNCTION("IF
(
G4779=""фізична особа""
,
VLOOKUP(H4779,IMPORTRANGE(""https://docs.google.com/spreadsheets/d/14Bd19lYaqBhU8_DElYkX7l4wRkHqqCUFNJY4AfY3kHU/edit?usp=sharing  #gid=0"",""фіз особи new!relations_name""),6,FALSE)
,
(IF
(
G4779=""юридична особа""
,
VLOOKUP"&amp;"(H4779,IMPORTRANGE(""https://docs.google.com/spreadsheets/d/14Bd19lYaqBhU8_DElYkX7l4wRkHqqCUFNJY4AfY3kHU/edit?usp=sharing  #gid=0"",""фіз особи new!relations_name_uo""),7,FALSE)
,
)
))"),"#N/A")</f>
        <v>#N/A</v>
      </c>
      <c r="J4778" s="7" t="s">
        <v>23</v>
      </c>
    </row>
    <row r="4779" spans="1:10" ht="13.2">
      <c r="A4779" s="7">
        <v>4778</v>
      </c>
      <c r="B4779" s="7">
        <v>1</v>
      </c>
      <c r="C4779" s="7" t="s">
        <v>10</v>
      </c>
      <c r="D4779" s="7">
        <v>3724</v>
      </c>
      <c r="E4779" s="7" t="s">
        <v>14</v>
      </c>
      <c r="F4779" s="8" t="str">
        <f ca="1">IFERROR(__xludf.DUMMYFUNCTION("IF
(
C4780=""фізична особа""
,
VLOOKUP(D4780,IMPORTRANGE(""https://docs.google.com/spreadsheets/d/14Bd19lYaqBhU8_DElYkX7l4wRkHqqCUFNJY4AfY3kHU/edit?usp=sharing  #gid=0"",""фіз особи new!relations_name""),6,FALSE)
,
(IF
(
C4780=""юридична особа""
,
VLOOKUP"&amp;"(D4780,IMPORTRANGE(""https://docs.google.com/spreadsheets/d/14Bd19lYaqBhU8_DElYkX7l4wRkHqqCUFNJY4AfY3kHU/edit?usp=sharing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G4779" s="7" t="s">
        <v>10</v>
      </c>
      <c r="H4779" s="7">
        <v>0</v>
      </c>
      <c r="I4779" s="8" t="str">
        <f ca="1">IFERROR(__xludf.DUMMYFUNCTION("IF
(
G4780=""фізична особа""
,
VLOOKUP(H4780,IMPORTRANGE(""https://docs.google.com/spreadsheets/d/14Bd19lYaqBhU8_DElYkX7l4wRkHqqCUFNJY4AfY3kHU/edit?usp=sharing  #gid=0"",""фіз особи new!relations_name""),6,FALSE)
,
(IF
(
G4780=""юридична особа""
,
VLOOKUP"&amp;"(H4780,IMPORTRANGE(""https://docs.google.com/spreadsheets/d/14Bd19lYaqBhU8_DElYkX7l4wRkHqqCUFNJY4AfY3kHU/edit?usp=sharing  #gid=0"",""фіз особи new!relations_name_uo""),7,FALSE)
,
)
))"),"#N/A")</f>
        <v>#N/A</v>
      </c>
      <c r="J4779" s="7" t="s">
        <v>15</v>
      </c>
    </row>
    <row r="4780" spans="1:10" ht="13.2">
      <c r="A4780" s="7">
        <v>4779</v>
      </c>
      <c r="B4780" s="7">
        <v>1</v>
      </c>
      <c r="C4780" s="7" t="s">
        <v>10</v>
      </c>
      <c r="D4780" s="7">
        <v>3724</v>
      </c>
      <c r="E4780" s="7" t="s">
        <v>12</v>
      </c>
      <c r="F4780" s="8" t="str">
        <f ca="1">IFERROR(__xludf.DUMMYFUNCTION("IF
(
C4781=""фізична особа""
,
VLOOKUP(D4781,IMPORTRANGE(""https://docs.google.com/spreadsheets/d/14Bd19lYaqBhU8_DElYkX7l4wRkHqqCUFNJY4AfY3kHU/edit?usp=sharing  #gid=0"",""фіз особи new!relations_name""),6,FALSE)
,
(IF
(
C4781=""юридична особа""
,
VLOOKUP"&amp;"(D4781,IMPORTRANGE(""https://docs.google.com/spreadsheets/d/14Bd19lYaqBhU8_DElYkX7l4wRkHqqCUFNJY4AfY3kHU/edit?usp=sharing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G4780" s="7" t="s">
        <v>10</v>
      </c>
      <c r="H4780" s="7">
        <v>0</v>
      </c>
      <c r="I4780" s="8" t="str">
        <f ca="1">IFERROR(__xludf.DUMMYFUNCTION("IF
(
G4781=""фізична особа""
,
VLOOKUP(H4781,IMPORTRANGE(""https://docs.google.com/spreadsheets/d/14Bd19lYaqBhU8_DElYkX7l4wRkHqqCUFNJY4AfY3kHU/edit?usp=sharing  #gid=0"",""фіз особи new!relations_name""),6,FALSE)
,
(IF
(
G4781=""юридична особа""
,
VLOOKUP"&amp;"(H4781,IMPORTRANGE(""https://docs.google.com/spreadsheets/d/14Bd19lYaqBhU8_DElYkX7l4wRkHqqCUFNJY4AfY3kHU/edit?usp=sharing  #gid=0"",""фіз особи new!relations_name_uo""),7,FALSE)
,
)
))"),"#N/A")</f>
        <v>#N/A</v>
      </c>
      <c r="J4780" s="7" t="s">
        <v>17</v>
      </c>
    </row>
    <row r="4781" spans="1:10" ht="13.2">
      <c r="A4781" s="7">
        <v>4780</v>
      </c>
      <c r="B4781" s="7">
        <v>1</v>
      </c>
      <c r="C4781" s="7" t="s">
        <v>10</v>
      </c>
      <c r="D4781" s="7">
        <v>3724</v>
      </c>
      <c r="E4781" s="7" t="s">
        <v>18</v>
      </c>
      <c r="F4781" s="8" t="str">
        <f ca="1">IFERROR(__xludf.DUMMYFUNCTION("IF
(
C4782=""фізична особа""
,
VLOOKUP(D4782,IMPORTRANGE(""https://docs.google.com/spreadsheets/d/14Bd19lYaqBhU8_DElYkX7l4wRkHqqCUFNJY4AfY3kHU/edit?usp=sharing  #gid=0"",""фіз особи new!relations_name""),6,FALSE)
,
(IF
(
C4782=""юридична особа""
,
VLOOKUP"&amp;"(D4782,IMPORTRANGE(""https://docs.google.com/spreadsheets/d/14Bd19lYaqBhU8_DElYkX7l4wRkHqqCUFNJY4AfY3kHU/edit?usp=sharing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G4781" s="7" t="s">
        <v>10</v>
      </c>
      <c r="H4781" s="7">
        <v>0</v>
      </c>
      <c r="I4781" s="8" t="str">
        <f ca="1">IFERROR(__xludf.DUMMYFUNCTION("IF
(
G4782=""фізична особа""
,
VLOOKUP(H4782,IMPORTRANGE(""https://docs.google.com/spreadsheets/d/14Bd19lYaqBhU8_DElYkX7l4wRkHqqCUFNJY4AfY3kHU/edit?usp=sharing  #gid=0"",""фіз особи new!relations_name""),6,FALSE)
,
(IF
(
G4782=""юридична особа""
,
VLOOKUP"&amp;"(H4782,IMPORTRANGE(""https://docs.google.com/spreadsheets/d/14Bd19lYaqBhU8_DElYkX7l4wRkHqqCUFNJY4AfY3kHU/edit?usp=sharing  #gid=0"",""фіз особи new!relations_name_uo""),7,FALSE)
,
)
))"),"#N/A")</f>
        <v>#N/A</v>
      </c>
      <c r="J4781" s="7" t="s">
        <v>18</v>
      </c>
    </row>
    <row r="4782" spans="1:10" ht="13.2">
      <c r="A4782" s="7">
        <v>4781</v>
      </c>
      <c r="B4782" s="7">
        <v>1</v>
      </c>
      <c r="C4782" s="7" t="s">
        <v>10</v>
      </c>
      <c r="D4782" s="7">
        <v>3787</v>
      </c>
      <c r="E4782" s="7" t="s">
        <v>12</v>
      </c>
      <c r="F4782" s="8" t="str">
        <f ca="1">IFERROR(__xludf.DUMMYFUNCTION("IF
(
C4783=""фізична особа""
,
VLOOKUP(D4783,IMPORTRANGE(""https://docs.google.com/spreadsheets/d/14Bd19lYaqBhU8_DElYkX7l4wRkHqqCUFNJY4AfY3kHU/edit?usp=sharing  #gid=0"",""фіз особи new!relations_name""),6,FALSE)
,
(IF
(
C4783=""юридична особа""
,
VLOOKUP"&amp;"(D4783,IMPORTRANGE(""https://docs.google.com/spreadsheets/d/14Bd19lYaqBhU8_DElYkX7l4wRkHqqCUFNJY4AfY3kHU/edit?usp=sharing  #gid=0"",""фіз особи new!relations_name_uo""),7,FALSE)
,
)
))"),"ШИЛОВ Сергій Володимирович")</f>
        <v>ШИЛОВ Сергій Володимирович</v>
      </c>
      <c r="G4782" s="7" t="s">
        <v>10</v>
      </c>
      <c r="H4782" s="7">
        <v>0</v>
      </c>
      <c r="I4782" s="8" t="str">
        <f ca="1">IFERROR(__xludf.DUMMYFUNCTION("IF
(
G4783=""фізична особа""
,
VLOOKUP(H4783,IMPORTRANGE(""https://docs.google.com/spreadsheets/d/14Bd19lYaqBhU8_DElYkX7l4wRkHqqCUFNJY4AfY3kHU/edit?usp=sharing  #gid=0"",""фіз особи new!relations_name""),6,FALSE)
,
(IF
(
G4783=""юридична особа""
,
VLOOKUP"&amp;"(H4783,IMPORTRANGE(""https://docs.google.com/spreadsheets/d/14Bd19lYaqBhU8_DElYkX7l4wRkHqqCUFNJY4AfY3kHU/edit?usp=sharing  #gid=0"",""фіз особи new!relations_name_uo""),7,FALSE)
,
)
))"),"#N/A")</f>
        <v>#N/A</v>
      </c>
      <c r="J4782" s="7" t="s">
        <v>17</v>
      </c>
    </row>
    <row r="4783" spans="1:10" ht="13.2">
      <c r="A4783" s="7">
        <v>4782</v>
      </c>
      <c r="B4783" s="7">
        <v>1</v>
      </c>
      <c r="C4783" s="7" t="s">
        <v>10</v>
      </c>
      <c r="D4783" s="7">
        <v>3832</v>
      </c>
      <c r="E4783" s="7" t="s">
        <v>30</v>
      </c>
      <c r="F4783" s="8" t="str">
        <f ca="1">IFERROR(__xludf.DUMMYFUNCTION("IF
(
C4784=""фізична особа""
,
VLOOKUP(D4784,IMPORTRANGE(""https://docs.google.com/spreadsheets/d/14Bd19lYaqBhU8_DElYkX7l4wRkHqqCUFNJY4AfY3kHU/edit?usp=sharing  #gid=0"",""фіз особи new!relations_name""),6,FALSE)
,
(IF
(
C4784=""юридична особа""
,
VLOOKUP"&amp;"(D4784,IMPORTRANGE(""https://docs.google.com/spreadsheets/d/14Bd19lYaqBhU8_DElYkX7l4wRkHqqCUFNJY4AfY3kHU/edit?usp=sharing  #gid=0"",""фіз особи new!relations_name_uo""),7,FALSE)
,
)
))"),"СОЛОВЙОВ Петро Костянтинович")</f>
        <v>СОЛОВЙОВ Петро Костянтинович</v>
      </c>
      <c r="G4783" s="7" t="s">
        <v>10</v>
      </c>
      <c r="H4783" s="7">
        <v>0</v>
      </c>
      <c r="I4783" s="8" t="str">
        <f ca="1">IFERROR(__xludf.DUMMYFUNCTION("IF
(
G4784=""фізична особа""
,
VLOOKUP(H4784,IMPORTRANGE(""https://docs.google.com/spreadsheets/d/14Bd19lYaqBhU8_DElYkX7l4wRkHqqCUFNJY4AfY3kHU/edit?usp=sharing  #gid=0"",""фіз особи new!relations_name""),6,FALSE)
,
(IF
(
G4784=""юридична особа""
,
VLOOKUP"&amp;"(H4784,IMPORTRANGE(""https://docs.google.com/spreadsheets/d/14Bd19lYaqBhU8_DElYkX7l4wRkHqqCUFNJY4AfY3kHU/edit?usp=sharing  #gid=0"",""фіз особи new!relations_name_uo""),7,FALSE)
,
)
))"),"#N/A")</f>
        <v>#N/A</v>
      </c>
      <c r="J4783" s="7" t="s">
        <v>30</v>
      </c>
    </row>
    <row r="4784" spans="1:10" ht="13.2">
      <c r="A4784" s="7">
        <v>4783</v>
      </c>
      <c r="B4784" s="7">
        <v>1</v>
      </c>
      <c r="C4784" s="7" t="s">
        <v>10</v>
      </c>
      <c r="D4784" s="7">
        <v>3910</v>
      </c>
      <c r="E4784" s="7" t="s">
        <v>30</v>
      </c>
      <c r="F4784" s="8" t="str">
        <f ca="1">IFERROR(__xludf.DUMMYFUNCTION("IF
(
C4785=""фізична особа""
,
VLOOKUP(D4785,IMPORTRANGE(""https://docs.google.com/spreadsheets/d/14Bd19lYaqBhU8_DElYkX7l4wRkHqqCUFNJY4AfY3kHU/edit?usp=sharing  #gid=0"",""фіз особи new!relations_name""),6,FALSE)
,
(IF
(
C4785=""юридична особа""
,
VLOOKUP"&amp;"(D4785,IMPORTRANGE(""https://docs.google.com/spreadsheets/d/14Bd19lYaqBhU8_DElYkX7l4wRkHqqCUFNJY4AfY3kHU/edit?usp=sharing  #gid=0"",""фіз особи new!relations_name_uo""),7,FALSE)
,
)
))"),"ГУЦЕРІЄВ Михайло Сафарбекович")</f>
        <v>ГУЦЕРІЄВ Михайло Сафарбекович</v>
      </c>
      <c r="G4784" s="7" t="s">
        <v>10</v>
      </c>
      <c r="H4784" s="7">
        <v>0</v>
      </c>
      <c r="I4784" s="8" t="str">
        <f ca="1">IFERROR(__xludf.DUMMYFUNCTION("IF
(
G4785=""фізична особа""
,
VLOOKUP(H4785,IMPORTRANGE(""https://docs.google.com/spreadsheets/d/14Bd19lYaqBhU8_DElYkX7l4wRkHqqCUFNJY4AfY3kHU/edit?usp=sharing  #gid=0"",""фіз особи new!relations_name""),6,FALSE)
,
(IF
(
G4785=""юридична особа""
,
VLOOKUP"&amp;"(H4785,IMPORTRANGE(""https://docs.google.com/spreadsheets/d/14Bd19lYaqBhU8_DElYkX7l4wRkHqqCUFNJY4AfY3kHU/edit?usp=sharing  #gid=0"",""фіз особи new!relations_name_uo""),7,FALSE)
,
)
))"),"#N/A")</f>
        <v>#N/A</v>
      </c>
      <c r="J4784" s="7" t="s">
        <v>30</v>
      </c>
    </row>
    <row r="4785" spans="1:10" ht="13.2">
      <c r="A4785" s="7">
        <v>4784</v>
      </c>
      <c r="B4785" s="7">
        <v>1</v>
      </c>
      <c r="C4785" s="7" t="s">
        <v>10</v>
      </c>
      <c r="D4785" s="7">
        <v>3928</v>
      </c>
      <c r="E4785" s="7" t="s">
        <v>28</v>
      </c>
      <c r="F4785" s="8" t="str">
        <f ca="1">IFERROR(__xludf.DUMMYFUNCTION("IF
(
C4786=""фізична особа""
,
VLOOKUP(D4786,IMPORTRANGE(""https://docs.google.com/spreadsheets/d/14Bd19lYaqBhU8_DElYkX7l4wRkHqqCUFNJY4AfY3kHU/edit?usp=sharing  #gid=0"",""фіз особи new!relations_name""),6,FALSE)
,
(IF
(
C4786=""юридична особа""
,
VLOOKUP"&amp;"(D4786,IMPORTRANGE(""https://docs.google.com/spreadsheets/d/14Bd19lYaqBhU8_DElYkX7l4wRkHqqCUFNJY4AfY3kHU/edit?usp=sharing  #gid=0"",""фіз особи new!relations_name_uo""),7,FALSE)
,
)
))"),"КОЖЕБАТКІНА Надія Борисівна")</f>
        <v>КОЖЕБАТКІНА Надія Борисівна</v>
      </c>
      <c r="G4785" s="7" t="s">
        <v>10</v>
      </c>
      <c r="H4785" s="7">
        <v>2346</v>
      </c>
      <c r="I4785" s="8" t="str">
        <f ca="1">IFERROR(__xludf.DUMMYFUNCTION("IF
(
G4786=""фізична особа""
,
VLOOKUP(H4786,IMPORTRANGE(""https://docs.google.com/spreadsheets/d/14Bd19lYaqBhU8_DElYkX7l4wRkHqqCUFNJY4AfY3kHU/edit?usp=sharing  #gid=0"",""фіз особи new!relations_name""),6,FALSE)
,
(IF
(
G4786=""юридична особа""
,
VLOOKUP"&amp;"(H4786,IMPORTRANGE(""https://docs.google.com/spreadsheets/d/14Bd19lYaqBhU8_DElYkX7l4wRkHqqCUFNJY4AfY3kHU/edit?usp=sharing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785" s="7" t="s">
        <v>29</v>
      </c>
    </row>
    <row r="4786" spans="1:10" ht="13.2">
      <c r="A4786" s="7">
        <v>4785</v>
      </c>
      <c r="B4786" s="7">
        <v>1</v>
      </c>
      <c r="C4786" s="7" t="s">
        <v>10</v>
      </c>
      <c r="D4786" s="7">
        <v>3929</v>
      </c>
      <c r="E4786" s="7" t="s">
        <v>28</v>
      </c>
      <c r="F4786" s="8" t="str">
        <f ca="1">IFERROR(__xludf.DUMMYFUNCTION("IF
(
C4787=""фізична особа""
,
VLOOKUP(D4787,IMPORTRANGE(""https://docs.google.com/spreadsheets/d/14Bd19lYaqBhU8_DElYkX7l4wRkHqqCUFNJY4AfY3kHU/edit?usp=sharing  #gid=0"",""фіз особи new!relations_name""),6,FALSE)
,
(IF
(
C4787=""юридична особа""
,
VLOOKUP"&amp;"(D4787,IMPORTRANGE(""https://docs.google.com/spreadsheets/d/14Bd19lYaqBhU8_DElYkX7l4wRkHqqCUFNJY4AfY3kHU/edit?usp=sharing  #gid=0"",""фіз особи new!relations_name_uo""),7,FALSE)
,
)
))"),"ГІЛЬОВ Михайло Сергійович")</f>
        <v>ГІЛЬОВ Михайло Сергійович</v>
      </c>
      <c r="G4786" s="7" t="s">
        <v>10</v>
      </c>
      <c r="H4786" s="7">
        <v>325</v>
      </c>
      <c r="I4786" s="8" t="str">
        <f ca="1">IFERROR(__xludf.DUMMYFUNCTION("IF
(
G4787=""фізична особа""
,
VLOOKUP(H4787,IMPORTRANGE(""https://docs.google.com/spreadsheets/d/14Bd19lYaqBhU8_DElYkX7l4wRkHqqCUFNJY4AfY3kHU/edit?usp=sharing  #gid=0"",""фіз особи new!relations_name""),6,FALSE)
,
(IF
(
G4787=""юридична особа""
,
VLOOKUP"&amp;"(H4787,IMPORTRANGE(""https://docs.google.com/spreadsheets/d/14Bd19lYaqBhU8_DElYkX7l4wRkHqqCUFNJY4AfY3kHU/edit?usp=sharing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4786" s="7" t="s">
        <v>29</v>
      </c>
    </row>
    <row r="4787" spans="1:10" ht="13.2">
      <c r="A4787" s="7">
        <v>4786</v>
      </c>
      <c r="B4787" s="7">
        <v>1</v>
      </c>
      <c r="C4787" s="7" t="s">
        <v>10</v>
      </c>
      <c r="D4787" s="7">
        <v>3930</v>
      </c>
      <c r="E4787" s="7" t="s">
        <v>28</v>
      </c>
      <c r="F4787" s="8" t="str">
        <f ca="1">IFERROR(__xludf.DUMMYFUNCTION("IF
(
C4788=""фізична особа""
,
VLOOKUP(D4788,IMPORTRANGE(""https://docs.google.com/spreadsheets/d/14Bd19lYaqBhU8_DElYkX7l4wRkHqqCUFNJY4AfY3kHU/edit?usp=sharing  #gid=0"",""фіз особи new!relations_name""),6,FALSE)
,
(IF
(
C4788=""юридична особа""
,
VLOOKUP"&amp;"(D4788,IMPORTRANGE(""https://docs.google.com/spreadsheets/d/14Bd19lYaqBhU8_DElYkX7l4wRkHqqCUFNJY4AfY3kHU/edit?usp=sharing  #gid=0"",""фіз особи new!relations_name_uo""),7,FALSE)
,
)
))"),"ГРИГОР'ЄВ Володимир Вікторович")</f>
        <v>ГРИГОР'ЄВ Володимир Вікторович</v>
      </c>
      <c r="G4787" s="7" t="s">
        <v>10</v>
      </c>
      <c r="H4787" s="7">
        <v>2346</v>
      </c>
      <c r="I4787" s="8" t="str">
        <f ca="1">IFERROR(__xludf.DUMMYFUNCTION("IF
(
G4788=""фізична особа""
,
VLOOKUP(H4788,IMPORTRANGE(""https://docs.google.com/spreadsheets/d/14Bd19lYaqBhU8_DElYkX7l4wRkHqqCUFNJY4AfY3kHU/edit?usp=sharing  #gid=0"",""фіз особи new!relations_name""),6,FALSE)
,
(IF
(
G4788=""юридична особа""
,
VLOOKUP"&amp;"(H4788,IMPORTRANGE(""https://docs.google.com/spreadsheets/d/14Bd19lYaqBhU8_DElYkX7l4wRkHqqCUFNJY4AfY3kHU/edit?usp=sharing  #gid=0"",""фіз особи new!relations_name_uo""),7,FALSE)
,
)
))"),"ШАДАЄВ Максут Ігорович")</f>
        <v>ШАДАЄВ Максут Ігорович</v>
      </c>
      <c r="J4787" s="7" t="s">
        <v>29</v>
      </c>
    </row>
    <row r="4788" spans="1:10" ht="13.2">
      <c r="A4788" s="7">
        <v>4787</v>
      </c>
      <c r="B4788" s="7">
        <v>1</v>
      </c>
      <c r="C4788" s="7" t="s">
        <v>10</v>
      </c>
      <c r="D4788" s="7">
        <v>3931</v>
      </c>
      <c r="E4788" s="7" t="s">
        <v>28</v>
      </c>
      <c r="F4788" s="8" t="str">
        <f ca="1">IFERROR(__xludf.DUMMYFUNCTION("IF
(
C4789=""фізична особа""
,
VLOOKUP(D4789,IMPORTRANGE(""https://docs.google.com/spreadsheets/d/14Bd19lYaqBhU8_DElYkX7l4wRkHqqCUFNJY4AfY3kHU/edit?usp=sharing  #gid=0"",""фіз особи new!relations_name""),6,FALSE)
,
(IF
(
C4789=""юридична особа""
,
VLOOKUP"&amp;"(D4789,IMPORTRANGE(""https://docs.google.com/spreadsheets/d/14Bd19lYaqBhU8_DElYkX7l4wRkHqqCUFNJY4AfY3kHU/edit?usp=sharing  #gid=0"",""фіз особи new!relations_name_uo""),7,FALSE)
,
)
))"),"СОЛОВЙОВ Володимир Олександрович")</f>
        <v>СОЛОВЙОВ Володимир Олександрович</v>
      </c>
      <c r="G4788" s="7" t="s">
        <v>10</v>
      </c>
      <c r="H4788" s="7">
        <v>113</v>
      </c>
      <c r="I4788" s="8" t="str">
        <f ca="1">IFERROR(__xludf.DUMMYFUNCTION("IF
(
G4789=""фізична особа""
,
VLOOKUP(H4789,IMPORTRANGE(""https://docs.google.com/spreadsheets/d/14Bd19lYaqBhU8_DElYkX7l4wRkHqqCUFNJY4AfY3kHU/edit?usp=sharing  #gid=0"",""фіз особи new!relations_name""),6,FALSE)
,
(IF
(
G4789=""юридична особа""
,
VLOOKUP"&amp;"(H4789,IMPORTRANGE(""https://docs.google.com/spreadsheets/d/14Bd19lYaqBhU8_DElYkX7l4wRkHqqCUFNJY4AfY3kHU/edit?usp=sharing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88" s="7" t="s">
        <v>102</v>
      </c>
    </row>
    <row r="4789" spans="1:10" ht="13.2">
      <c r="A4789" s="7">
        <v>4788</v>
      </c>
      <c r="B4789" s="7">
        <v>1</v>
      </c>
      <c r="C4789" s="7" t="s">
        <v>10</v>
      </c>
      <c r="D4789" s="7">
        <v>3932</v>
      </c>
      <c r="E4789" s="7" t="s">
        <v>28</v>
      </c>
      <c r="F4789" s="8" t="str">
        <f ca="1">IFERROR(__xludf.DUMMYFUNCTION("IF
(
C4790=""фізична особа""
,
VLOOKUP(D4790,IMPORTRANGE(""https://docs.google.com/spreadsheets/d/14Bd19lYaqBhU8_DElYkX7l4wRkHqqCUFNJY4AfY3kHU/edit?usp=sharing  #gid=0"",""фіз особи new!relations_name""),6,FALSE)
,
(IF
(
C4790=""юридична особа""
,
VLOOKUP"&amp;"(D4790,IMPORTRANGE(""https://docs.google.com/spreadsheets/d/14Bd19lYaqBhU8_DElYkX7l4wRkHqqCUFNJY4AfY3kHU/edit?usp=sharing  #gid=0"",""фіз особи new!relations_name_uo""),7,FALSE)
,
)
))"),"ТЕРЕХОВА Жанна Михайлівна")</f>
        <v>ТЕРЕХОВА Жанна Михайлівна</v>
      </c>
      <c r="G4789" s="7" t="s">
        <v>10</v>
      </c>
      <c r="H4789" s="7">
        <v>113</v>
      </c>
      <c r="I4789" s="8" t="str">
        <f ca="1">IFERROR(__xludf.DUMMYFUNCTION("IF
(
G4790=""фізична особа""
,
VLOOKUP(H4790,IMPORTRANGE(""https://docs.google.com/spreadsheets/d/14Bd19lYaqBhU8_DElYkX7l4wRkHqqCUFNJY4AfY3kHU/edit?usp=sharing  #gid=0"",""фіз особи new!relations_name""),6,FALSE)
,
(IF
(
G4790=""юридична особа""
,
VLOOKUP"&amp;"(H4790,IMPORTRANGE(""https://docs.google.com/spreadsheets/d/14Bd19lYaqBhU8_DElYkX7l4wRkHqqCUFNJY4AfY3kHU/edit?usp=sharing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89" s="7" t="s">
        <v>102</v>
      </c>
    </row>
    <row r="4790" spans="1:10" ht="13.2">
      <c r="A4790" s="7">
        <v>4789</v>
      </c>
      <c r="B4790" s="7">
        <v>1</v>
      </c>
      <c r="C4790" s="7" t="s">
        <v>10</v>
      </c>
      <c r="D4790" s="7">
        <v>3933</v>
      </c>
      <c r="E4790" s="7" t="s">
        <v>28</v>
      </c>
      <c r="F4790" s="8" t="str">
        <f ca="1">IFERROR(__xludf.DUMMYFUNCTION("IF
(
C4791=""фізична особа""
,
VLOOKUP(D4791,IMPORTRANGE(""https://docs.google.com/spreadsheets/d/14Bd19lYaqBhU8_DElYkX7l4wRkHqqCUFNJY4AfY3kHU/edit?usp=sharing  #gid=0"",""фіз особи new!relations_name""),6,FALSE)
,
(IF
(
C4791=""юридична особа""
,
VLOOKUP"&amp;"(D4791,IMPORTRANGE(""https://docs.google.com/spreadsheets/d/14Bd19lYaqBhU8_DElYkX7l4wRkHqqCUFNJY4AfY3kHU/edit?usp=sharing  #gid=0"",""фіз особи new!relations_name_uo""),7,FALSE)
,
)
))"),"МОЩИК Григорій Миколайович")</f>
        <v>МОЩИК Григорій Миколайович</v>
      </c>
      <c r="G4790" s="7" t="s">
        <v>10</v>
      </c>
      <c r="H4790" s="7">
        <v>113</v>
      </c>
      <c r="I4790" s="8" t="str">
        <f ca="1">IFERROR(__xludf.DUMMYFUNCTION("IF
(
G4791=""фізична особа""
,
VLOOKUP(H4791,IMPORTRANGE(""https://docs.google.com/spreadsheets/d/14Bd19lYaqBhU8_DElYkX7l4wRkHqqCUFNJY4AfY3kHU/edit?usp=sharing  #gid=0"",""фіз особи new!relations_name""),6,FALSE)
,
(IF
(
G4791=""юридична особа""
,
VLOOKUP"&amp;"(H4791,IMPORTRANGE(""https://docs.google.com/spreadsheets/d/14Bd19lYaqBhU8_DElYkX7l4wRkHqqCUFNJY4AfY3kHU/edit?usp=sharing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0" s="7" t="s">
        <v>102</v>
      </c>
    </row>
    <row r="4791" spans="1:10" ht="13.2">
      <c r="A4791" s="7">
        <v>4790</v>
      </c>
      <c r="B4791" s="7">
        <v>1</v>
      </c>
      <c r="C4791" s="7" t="s">
        <v>10</v>
      </c>
      <c r="D4791" s="7">
        <v>3934</v>
      </c>
      <c r="E4791" s="7" t="s">
        <v>28</v>
      </c>
      <c r="F4791" s="8" t="str">
        <f ca="1">IFERROR(__xludf.DUMMYFUNCTION("IF
(
C4792=""фізична особа""
,
VLOOKUP(D4792,IMPORTRANGE(""https://docs.google.com/spreadsheets/d/14Bd19lYaqBhU8_DElYkX7l4wRkHqqCUFNJY4AfY3kHU/edit?usp=sharing  #gid=0"",""фіз особи new!relations_name""),6,FALSE)
,
(IF
(
C4792=""юридична особа""
,
VLOOKUP"&amp;"(D4792,IMPORTRANGE(""https://docs.google.com/spreadsheets/d/14Bd19lYaqBhU8_DElYkX7l4wRkHqqCUFNJY4AfY3kHU/edit?usp=sharing  #gid=0"",""фіз особи new!relations_name_uo""),7,FALSE)
,
)
))"),"БОНДАР Олександр Іванович")</f>
        <v>БОНДАР Олександр Іванович</v>
      </c>
      <c r="G4791" s="7" t="s">
        <v>10</v>
      </c>
      <c r="H4791" s="7">
        <v>113</v>
      </c>
      <c r="I4791" s="8" t="str">
        <f ca="1">IFERROR(__xludf.DUMMYFUNCTION("IF
(
G4792=""фізична особа""
,
VLOOKUP(H4792,IMPORTRANGE(""https://docs.google.com/spreadsheets/d/14Bd19lYaqBhU8_DElYkX7l4wRkHqqCUFNJY4AfY3kHU/edit?usp=sharing  #gid=0"",""фіз особи new!relations_name""),6,FALSE)
,
(IF
(
G4792=""юридична особа""
,
VLOOKUP"&amp;"(H4792,IMPORTRANGE(""https://docs.google.com/spreadsheets/d/14Bd19lYaqBhU8_DElYkX7l4wRkHqqCUFNJY4AfY3kHU/edit?usp=sharing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1" s="7" t="s">
        <v>102</v>
      </c>
    </row>
    <row r="4792" spans="1:10" ht="13.2">
      <c r="A4792" s="7">
        <v>4791</v>
      </c>
      <c r="B4792" s="7">
        <v>1</v>
      </c>
      <c r="C4792" s="7" t="s">
        <v>10</v>
      </c>
      <c r="D4792" s="7">
        <v>3935</v>
      </c>
      <c r="E4792" s="7" t="s">
        <v>28</v>
      </c>
      <c r="F4792" s="8" t="str">
        <f ca="1">IFERROR(__xludf.DUMMYFUNCTION("IF
(
C4793=""фізична особа""
,
VLOOKUP(D4793,IMPORTRANGE(""https://docs.google.com/spreadsheets/d/14Bd19lYaqBhU8_DElYkX7l4wRkHqqCUFNJY4AfY3kHU/edit?usp=sharing  #gid=0"",""фіз особи new!relations_name""),6,FALSE)
,
(IF
(
C4793=""юридична особа""
,
VLOOKUP"&amp;"(D4793,IMPORTRANGE(""https://docs.google.com/spreadsheets/d/14Bd19lYaqBhU8_DElYkX7l4wRkHqqCUFNJY4AfY3kHU/edit?usp=sharing  #gid=0"",""фіз особи new!relations_name_uo""),7,FALSE)
,
)
))"),"СИРОМОЛОТОВ Михайло Михайлович")</f>
        <v>СИРОМОЛОТОВ Михайло Михайлович</v>
      </c>
      <c r="G4792" s="7" t="s">
        <v>10</v>
      </c>
      <c r="H4792" s="7">
        <v>113</v>
      </c>
      <c r="I4792" s="8" t="str">
        <f ca="1">IFERROR(__xludf.DUMMYFUNCTION("IF
(
G4793=""фізична особа""
,
VLOOKUP(H4793,IMPORTRANGE(""https://docs.google.com/spreadsheets/d/14Bd19lYaqBhU8_DElYkX7l4wRkHqqCUFNJY4AfY3kHU/edit?usp=sharing  #gid=0"",""фіз особи new!relations_name""),6,FALSE)
,
(IF
(
G4793=""юридична особа""
,
VLOOKUP"&amp;"(H4793,IMPORTRANGE(""https://docs.google.com/spreadsheets/d/14Bd19lYaqBhU8_DElYkX7l4wRkHqqCUFNJY4AfY3kHU/edit?usp=sharing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2" s="7" t="s">
        <v>102</v>
      </c>
    </row>
    <row r="4793" spans="1:10" ht="13.2">
      <c r="A4793" s="7">
        <v>4792</v>
      </c>
      <c r="B4793" s="7">
        <v>1</v>
      </c>
      <c r="C4793" s="7" t="s">
        <v>10</v>
      </c>
      <c r="D4793" s="7">
        <v>3936</v>
      </c>
      <c r="E4793" s="7" t="s">
        <v>28</v>
      </c>
      <c r="F4793" s="8" t="str">
        <f ca="1">IFERROR(__xludf.DUMMYFUNCTION("IF
(
C4794=""фізична особа""
,
VLOOKUP(D4794,IMPORTRANGE(""https://docs.google.com/spreadsheets/d/14Bd19lYaqBhU8_DElYkX7l4wRkHqqCUFNJY4AfY3kHU/edit?usp=sharing  #gid=0"",""фіз особи new!relations_name""),6,FALSE)
,
(IF
(
C4794=""юридична особа""
,
VLOOKUP"&amp;"(D4794,IMPORTRANGE(""https://docs.google.com/spreadsheets/d/14Bd19lYaqBhU8_DElYkX7l4wRkHqqCUFNJY4AfY3kHU/edit?usp=sharing  #gid=0"",""фіз особи new!relations_name_uo""),7,FALSE)
,
)
))"),"ЯКОВЛЄВ Сергій Петрович")</f>
        <v>ЯКОВЛЄВ Сергій Петрович</v>
      </c>
      <c r="G4793" s="7" t="s">
        <v>10</v>
      </c>
      <c r="H4793" s="7">
        <v>113</v>
      </c>
      <c r="I4793" s="8" t="str">
        <f ca="1">IFERROR(__xludf.DUMMYFUNCTION("IF
(
G4794=""фізична особа""
,
VLOOKUP(H4794,IMPORTRANGE(""https://docs.google.com/spreadsheets/d/14Bd19lYaqBhU8_DElYkX7l4wRkHqqCUFNJY4AfY3kHU/edit?usp=sharing  #gid=0"",""фіз особи new!relations_name""),6,FALSE)
,
(IF
(
G4794=""юридична особа""
,
VLOOKUP"&amp;"(H4794,IMPORTRANGE(""https://docs.google.com/spreadsheets/d/14Bd19lYaqBhU8_DElYkX7l4wRkHqqCUFNJY4AfY3kHU/edit?usp=sharing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3" s="7" t="s">
        <v>102</v>
      </c>
    </row>
    <row r="4794" spans="1:10" ht="13.2">
      <c r="A4794" s="7">
        <v>4793</v>
      </c>
      <c r="B4794" s="7">
        <v>1</v>
      </c>
      <c r="C4794" s="7" t="s">
        <v>10</v>
      </c>
      <c r="D4794" s="7">
        <v>3937</v>
      </c>
      <c r="E4794" s="7" t="s">
        <v>28</v>
      </c>
      <c r="F4794" s="8" t="str">
        <f ca="1">IFERROR(__xludf.DUMMYFUNCTION("IF
(
C4795=""фізична особа""
,
VLOOKUP(D4795,IMPORTRANGE(""https://docs.google.com/spreadsheets/d/14Bd19lYaqBhU8_DElYkX7l4wRkHqqCUFNJY4AfY3kHU/edit?usp=sharing  #gid=0"",""фіз особи new!relations_name""),6,FALSE)
,
(IF
(
C4795=""юридична особа""
,
VLOOKUP"&amp;"(D4795,IMPORTRANGE(""https://docs.google.com/spreadsheets/d/14Bd19lYaqBhU8_DElYkX7l4wRkHqqCUFNJY4AfY3kHU/edit?usp=sharing  #gid=0"",""фіз особи new!relations_name_uo""),7,FALSE)
,
)
))"),"СЄРКО Олексій Михайлович")</f>
        <v>СЄРКО Олексій Михайлович</v>
      </c>
      <c r="G4794" s="7" t="s">
        <v>10</v>
      </c>
      <c r="H4794" s="7">
        <v>113</v>
      </c>
      <c r="I4794" s="8" t="str">
        <f ca="1">IFERROR(__xludf.DUMMYFUNCTION("IF
(
G4795=""фізична особа""
,
VLOOKUP(H4795,IMPORTRANGE(""https://docs.google.com/spreadsheets/d/14Bd19lYaqBhU8_DElYkX7l4wRkHqqCUFNJY4AfY3kHU/edit?usp=sharing  #gid=0"",""фіз особи new!relations_name""),6,FALSE)
,
(IF
(
G4795=""юридична особа""
,
VLOOKUP"&amp;"(H4795,IMPORTRANGE(""https://docs.google.com/spreadsheets/d/14Bd19lYaqBhU8_DElYkX7l4wRkHqqCUFNJY4AfY3kHU/edit?usp=sharing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4" s="7" t="s">
        <v>102</v>
      </c>
    </row>
    <row r="4795" spans="1:10" ht="13.2">
      <c r="A4795" s="7">
        <v>4794</v>
      </c>
      <c r="B4795" s="7">
        <v>1</v>
      </c>
      <c r="C4795" s="7" t="s">
        <v>10</v>
      </c>
      <c r="D4795" s="7">
        <v>3938</v>
      </c>
      <c r="E4795" s="7" t="s">
        <v>28</v>
      </c>
      <c r="F4795" s="8" t="str">
        <f ca="1">IFERROR(__xludf.DUMMYFUNCTION("IF
(
C4796=""фізична особа""
,
VLOOKUP(D4796,IMPORTRANGE(""https://docs.google.com/spreadsheets/d/14Bd19lYaqBhU8_DElYkX7l4wRkHqqCUFNJY4AfY3kHU/edit?usp=sharing  #gid=0"",""фіз особи new!relations_name""),6,FALSE)
,
(IF
(
C4796=""юридична особа""
,
VLOOKUP"&amp;"(D4796,IMPORTRANGE(""https://docs.google.com/spreadsheets/d/14Bd19lYaqBhU8_DElYkX7l4wRkHqqCUFNJY4AfY3kHU/edit?usp=sharing  #gid=0"",""фіз особи new!relations_name_uo""),7,FALSE)
,
)
))"),"ГУРОВИЧ Андрій Михайлович")</f>
        <v>ГУРОВИЧ Андрій Михайлович</v>
      </c>
      <c r="G4795" s="7" t="s">
        <v>10</v>
      </c>
      <c r="H4795" s="7">
        <v>113</v>
      </c>
      <c r="I4795" s="8" t="str">
        <f ca="1">IFERROR(__xludf.DUMMYFUNCTION("IF
(
G4796=""фізична особа""
,
VLOOKUP(H4796,IMPORTRANGE(""https://docs.google.com/spreadsheets/d/14Bd19lYaqBhU8_DElYkX7l4wRkHqqCUFNJY4AfY3kHU/edit?usp=sharing  #gid=0"",""фіз особи new!relations_name""),6,FALSE)
,
(IF
(
G4796=""юридична особа""
,
VLOOKUP"&amp;"(H4796,IMPORTRANGE(""https://docs.google.com/spreadsheets/d/14Bd19lYaqBhU8_DElYkX7l4wRkHqqCUFNJY4AfY3kHU/edit?usp=sharing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5" s="7" t="s">
        <v>102</v>
      </c>
    </row>
    <row r="4796" spans="1:10" ht="13.2">
      <c r="A4796" s="7">
        <v>4795</v>
      </c>
      <c r="B4796" s="7">
        <v>1</v>
      </c>
      <c r="C4796" s="7" t="s">
        <v>10</v>
      </c>
      <c r="D4796" s="7">
        <v>3939</v>
      </c>
      <c r="E4796" s="7" t="s">
        <v>28</v>
      </c>
      <c r="F4796" s="8" t="str">
        <f ca="1">IFERROR(__xludf.DUMMYFUNCTION("IF
(
C4797=""фізична особа""
,
VLOOKUP(D4797,IMPORTRANGE(""https://docs.google.com/spreadsheets/d/14Bd19lYaqBhU8_DElYkX7l4wRkHqqCUFNJY4AfY3kHU/edit?usp=sharing  #gid=0"",""фіз особи new!relations_name""),6,FALSE)
,
(IF
(
C4797=""юридична особа""
,
VLOOKUP"&amp;"(D4797,IMPORTRANGE(""https://docs.google.com/spreadsheets/d/14Bd19lYaqBhU8_DElYkX7l4wRkHqqCUFNJY4AfY3kHU/edit?usp=sharing  #gid=0"",""фіз особи new!relations_name_uo""),7,FALSE)
,
)
))"),"ГОЛІКОВА Надія В'ячеславівна")</f>
        <v>ГОЛІКОВА Надія В'ячеславівна</v>
      </c>
      <c r="G4796" s="7" t="s">
        <v>10</v>
      </c>
      <c r="H4796" s="7">
        <v>113</v>
      </c>
      <c r="I4796" s="8" t="str">
        <f ca="1">IFERROR(__xludf.DUMMYFUNCTION("IF
(
G4797=""фізична особа""
,
VLOOKUP(H4797,IMPORTRANGE(""https://docs.google.com/spreadsheets/d/14Bd19lYaqBhU8_DElYkX7l4wRkHqqCUFNJY4AfY3kHU/edit?usp=sharing  #gid=0"",""фіз особи new!relations_name""),6,FALSE)
,
(IF
(
G4797=""юридична особа""
,
VLOOKUP"&amp;"(H4797,IMPORTRANGE(""https://docs.google.com/spreadsheets/d/14Bd19lYaqBhU8_DElYkX7l4wRkHqqCUFNJY4AfY3kHU/edit?usp=sharing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6" s="7" t="s">
        <v>102</v>
      </c>
    </row>
    <row r="4797" spans="1:10" ht="13.2">
      <c r="A4797" s="7">
        <v>4796</v>
      </c>
      <c r="B4797" s="7">
        <v>1</v>
      </c>
      <c r="C4797" s="7" t="s">
        <v>10</v>
      </c>
      <c r="D4797" s="7">
        <v>3940</v>
      </c>
      <c r="E4797" s="7" t="s">
        <v>28</v>
      </c>
      <c r="F4797" s="8" t="str">
        <f ca="1">IFERROR(__xludf.DUMMYFUNCTION("IF
(
C4798=""фізична особа""
,
VLOOKUP(D4798,IMPORTRANGE(""https://docs.google.com/spreadsheets/d/14Bd19lYaqBhU8_DElYkX7l4wRkHqqCUFNJY4AfY3kHU/edit?usp=sharing  #gid=0"",""фіз особи new!relations_name""),6,FALSE)
,
(IF
(
C4798=""юридична особа""
,
VLOOKUP"&amp;"(D4798,IMPORTRANGE(""https://docs.google.com/spreadsheets/d/14Bd19lYaqBhU8_DElYkX7l4wRkHqqCUFNJY4AfY3kHU/edit?usp=sharing  #gid=0"",""фіз особи new!relations_name_uo""),7,FALSE)
,
)
))"),"ПАШНАНОВ Мерген Ерднієвич")</f>
        <v>ПАШНАНОВ Мерген Ерднієвич</v>
      </c>
      <c r="G4797" s="7" t="s">
        <v>10</v>
      </c>
      <c r="H4797" s="7">
        <v>113</v>
      </c>
      <c r="I4797" s="8" t="str">
        <f ca="1">IFERROR(__xludf.DUMMYFUNCTION("IF
(
G4798=""фізична особа""
,
VLOOKUP(H4798,IMPORTRANGE(""https://docs.google.com/spreadsheets/d/14Bd19lYaqBhU8_DElYkX7l4wRkHqqCUFNJY4AfY3kHU/edit?usp=sharing  #gid=0"",""фіз особи new!relations_name""),6,FALSE)
,
(IF
(
G4798=""юридична особа""
,
VLOOKUP"&amp;"(H4798,IMPORTRANGE(""https://docs.google.com/spreadsheets/d/14Bd19lYaqBhU8_DElYkX7l4wRkHqqCUFNJY4AfY3kHU/edit?usp=sharing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7" s="7" t="s">
        <v>102</v>
      </c>
    </row>
    <row r="4798" spans="1:10" ht="13.2">
      <c r="A4798" s="7">
        <v>4797</v>
      </c>
      <c r="B4798" s="7">
        <v>1</v>
      </c>
      <c r="C4798" s="7" t="s">
        <v>10</v>
      </c>
      <c r="D4798" s="7">
        <v>3941</v>
      </c>
      <c r="E4798" s="7" t="s">
        <v>28</v>
      </c>
      <c r="F4798" s="8" t="str">
        <f ca="1">IFERROR(__xludf.DUMMYFUNCTION("IF
(
C4799=""фізична особа""
,
VLOOKUP(D4799,IMPORTRANGE(""https://docs.google.com/spreadsheets/d/14Bd19lYaqBhU8_DElYkX7l4wRkHqqCUFNJY4AfY3kHU/edit?usp=sharing  #gid=0"",""фіз особи new!relations_name""),6,FALSE)
,
(IF
(
C4799=""юридична особа""
,
VLOOKUP"&amp;"(D4799,IMPORTRANGE(""https://docs.google.com/spreadsheets/d/14Bd19lYaqBhU8_DElYkX7l4wRkHqqCUFNJY4AfY3kHU/edit?usp=sharing  #gid=0"",""фіз особи new!relations_name_uo""),7,FALSE)
,
)
))"),"ЖУКОВ Юрій Олександрович")</f>
        <v>ЖУКОВ Юрій Олександрович</v>
      </c>
      <c r="G4798" s="7" t="s">
        <v>10</v>
      </c>
      <c r="H4798" s="7">
        <v>113</v>
      </c>
      <c r="I4798" s="8" t="str">
        <f ca="1">IFERROR(__xludf.DUMMYFUNCTION("IF
(
G4799=""фізична особа""
,
VLOOKUP(H4799,IMPORTRANGE(""https://docs.google.com/spreadsheets/d/14Bd19lYaqBhU8_DElYkX7l4wRkHqqCUFNJY4AfY3kHU/edit?usp=sharing  #gid=0"",""фіз особи new!relations_name""),6,FALSE)
,
(IF
(
G4799=""юридична особа""
,
VLOOKUP"&amp;"(H4799,IMPORTRANGE(""https://docs.google.com/spreadsheets/d/14Bd19lYaqBhU8_DElYkX7l4wRkHqqCUFNJY4AfY3kHU/edit?usp=sharing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8" s="7" t="s">
        <v>102</v>
      </c>
    </row>
    <row r="4799" spans="1:10" ht="13.2">
      <c r="A4799" s="7">
        <v>4798</v>
      </c>
      <c r="B4799" s="7">
        <v>1</v>
      </c>
      <c r="C4799" s="7" t="s">
        <v>10</v>
      </c>
      <c r="D4799" s="7">
        <v>3942</v>
      </c>
      <c r="E4799" s="7" t="s">
        <v>28</v>
      </c>
      <c r="F4799" s="8" t="str">
        <f ca="1">IFERROR(__xludf.DUMMYFUNCTION("IF
(
C4800=""фізична особа""
,
VLOOKUP(D4800,IMPORTRANGE(""https://docs.google.com/spreadsheets/d/14Bd19lYaqBhU8_DElYkX7l4wRkHqqCUFNJY4AfY3kHU/edit?usp=sharing  #gid=0"",""фіз особи new!relations_name""),6,FALSE)
,
(IF
(
C4800=""юридична особа""
,
VLOOKUP"&amp;"(D4800,IMPORTRANGE(""https://docs.google.com/spreadsheets/d/14Bd19lYaqBhU8_DElYkX7l4wRkHqqCUFNJY4AfY3kHU/edit?usp=sharing  #gid=0"",""фіз особи new!relations_name_uo""),7,FALSE)
,
)
))"),"ГРЕЧУШКІН Микола Миколайович")</f>
        <v>ГРЕЧУШКІН Микола Миколайович</v>
      </c>
      <c r="G4799" s="7" t="s">
        <v>10</v>
      </c>
      <c r="H4799" s="7">
        <v>113</v>
      </c>
      <c r="I4799" s="8" t="str">
        <f ca="1">IFERROR(__xludf.DUMMYFUNCTION("IF
(
G4800=""фізична особа""
,
VLOOKUP(H4800,IMPORTRANGE(""https://docs.google.com/spreadsheets/d/14Bd19lYaqBhU8_DElYkX7l4wRkHqqCUFNJY4AfY3kHU/edit?usp=sharing  #gid=0"",""фіз особи new!relations_name""),6,FALSE)
,
(IF
(
G4800=""юридична особа""
,
VLOOKUP"&amp;"(H4800,IMPORTRANGE(""https://docs.google.com/spreadsheets/d/14Bd19lYaqBhU8_DElYkX7l4wRkHqqCUFNJY4AfY3kHU/edit?usp=sharing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799" s="7" t="s">
        <v>102</v>
      </c>
    </row>
    <row r="4800" spans="1:10" ht="13.2">
      <c r="A4800" s="7">
        <v>4799</v>
      </c>
      <c r="B4800" s="7">
        <v>1</v>
      </c>
      <c r="C4800" s="7" t="s">
        <v>10</v>
      </c>
      <c r="D4800" s="7">
        <v>3943</v>
      </c>
      <c r="E4800" s="7" t="s">
        <v>28</v>
      </c>
      <c r="F4800" s="8" t="str">
        <f ca="1">IFERROR(__xludf.DUMMYFUNCTION("IF
(
C4801=""фізична особа""
,
VLOOKUP(D4801,IMPORTRANGE(""https://docs.google.com/spreadsheets/d/14Bd19lYaqBhU8_DElYkX7l4wRkHqqCUFNJY4AfY3kHU/edit?usp=sharing  #gid=0"",""фіз особи new!relations_name""),6,FALSE)
,
(IF
(
C4801=""юридична особа""
,
VLOOKUP"&amp;"(D4801,IMPORTRANGE(""https://docs.google.com/spreadsheets/d/14Bd19lYaqBhU8_DElYkX7l4wRkHqqCUFNJY4AfY3kHU/edit?usp=sharing  #gid=0"",""фіз особи new!relations_name_uo""),7,FALSE)
,
)
))"),"КУЗНЄЦОВ Валерій Іванович")</f>
        <v>КУЗНЄЦОВ Валерій Іванович</v>
      </c>
      <c r="G4800" s="7" t="s">
        <v>10</v>
      </c>
      <c r="H4800" s="7">
        <v>670</v>
      </c>
      <c r="I4800" s="8" t="str">
        <f ca="1">IFERROR(__xludf.DUMMYFUNCTION("IF
(
G4801=""фізична особа""
,
VLOOKUP(H4801,IMPORTRANGE(""https://docs.google.com/spreadsheets/d/14Bd19lYaqBhU8_DElYkX7l4wRkHqqCUFNJY4AfY3kHU/edit?usp=sharing  #gid=0"",""фіз особи new!relations_name""),6,FALSE)
,
(IF
(
G4801=""юридична особа""
,
VLOOKUP"&amp;"(H4801,IMPORTRANGE(""https://docs.google.com/spreadsheets/d/14Bd19lYaqBhU8_DElYkX7l4wRkHqqCUFNJY4AfY3kHU/edit?usp=sharing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00" s="7" t="s">
        <v>29</v>
      </c>
    </row>
    <row r="4801" spans="1:10" ht="13.2">
      <c r="A4801" s="7">
        <v>4800</v>
      </c>
      <c r="B4801" s="7">
        <v>1</v>
      </c>
      <c r="C4801" s="7" t="s">
        <v>10</v>
      </c>
      <c r="D4801" s="7">
        <v>3943</v>
      </c>
      <c r="E4801" s="7" t="s">
        <v>28</v>
      </c>
      <c r="F4801" s="8" t="str">
        <f ca="1">IFERROR(__xludf.DUMMYFUNCTION("IF
(
C4802=""фізична особа""
,
VLOOKUP(D4802,IMPORTRANGE(""https://docs.google.com/spreadsheets/d/14Bd19lYaqBhU8_DElYkX7l4wRkHqqCUFNJY4AfY3kHU/edit?usp=sharing  #gid=0"",""фіз особи new!relations_name""),6,FALSE)
,
(IF
(
C4802=""юридична особа""
,
VLOOKUP"&amp;"(D4802,IMPORTRANGE(""https://docs.google.com/spreadsheets/d/14Bd19lYaqBhU8_DElYkX7l4wRkHqqCUFNJY4AfY3kHU/edit?usp=sharing  #gid=0"",""фіз особи new!relations_name_uo""),7,FALSE)
,
)
))"),"КУЗНЄЦОВ Валерій Іванович")</f>
        <v>КУЗНЄЦОВ Валерій Іванович</v>
      </c>
      <c r="G4801" s="7" t="s">
        <v>10</v>
      </c>
      <c r="H4801" s="7">
        <v>211</v>
      </c>
      <c r="I4801" s="8" t="str">
        <f ca="1">IFERROR(__xludf.DUMMYFUNCTION("IF
(
G4802=""фізична особа""
,
VLOOKUP(H4802,IMPORTRANGE(""https://docs.google.com/spreadsheets/d/14Bd19lYaqBhU8_DElYkX7l4wRkHqqCUFNJY4AfY3kHU/edit?usp=sharing  #gid=0"",""фіз особи new!relations_name""),6,FALSE)
,
(IF
(
G4802=""юридична особа""
,
VLOOKUP"&amp;"(H4802,IMPORTRANGE(""https://docs.google.com/spreadsheets/d/14Bd19lYaqBhU8_DElYkX7l4wRkHqqCUFNJY4AfY3kHU/edit?usp=sharing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01" s="7" t="s">
        <v>102</v>
      </c>
    </row>
    <row r="4802" spans="1:10" ht="13.2">
      <c r="A4802" s="7">
        <v>4801</v>
      </c>
      <c r="B4802" s="7">
        <v>1</v>
      </c>
      <c r="C4802" s="7" t="s">
        <v>10</v>
      </c>
      <c r="D4802" s="7">
        <v>3944</v>
      </c>
      <c r="E4802" s="7" t="s">
        <v>28</v>
      </c>
      <c r="F4802" s="8" t="str">
        <f ca="1">IFERROR(__xludf.DUMMYFUNCTION("IF
(
C4803=""фізична особа""
,
VLOOKUP(D4803,IMPORTRANGE(""https://docs.google.com/spreadsheets/d/14Bd19lYaqBhU8_DElYkX7l4wRkHqqCUFNJY4AfY3kHU/edit?usp=sharing  #gid=0"",""фіз особи new!relations_name""),6,FALSE)
,
(IF
(
C4803=""юридична особа""
,
VLOOKUP"&amp;"(D4803,IMPORTRANGE(""https://docs.google.com/spreadsheets/d/14Bd19lYaqBhU8_DElYkX7l4wRkHqqCUFNJY4AfY3kHU/edit?usp=sharing  #gid=0"",""фіз особи new!relations_name_uo""),7,FALSE)
,
)
))"),"КУТРОВСЬКИЙ Ігор Володимирович")</f>
        <v>КУТРОВСЬКИЙ Ігор Володимирович</v>
      </c>
      <c r="G4802" s="7" t="s">
        <v>10</v>
      </c>
      <c r="H4802" s="7">
        <v>113</v>
      </c>
      <c r="I4802" s="8" t="str">
        <f ca="1">IFERROR(__xludf.DUMMYFUNCTION("IF
(
G4803=""фізична особа""
,
VLOOKUP(H4803,IMPORTRANGE(""https://docs.google.com/spreadsheets/d/14Bd19lYaqBhU8_DElYkX7l4wRkHqqCUFNJY4AfY3kHU/edit?usp=sharing  #gid=0"",""фіз особи new!relations_name""),6,FALSE)
,
(IF
(
G4803=""юридична особа""
,
VLOOKUP"&amp;"(H4803,IMPORTRANGE(""https://docs.google.com/spreadsheets/d/14Bd19lYaqBhU8_DElYkX7l4wRkHqqCUFNJY4AfY3kHU/edit?usp=sharing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2" s="7" t="s">
        <v>102</v>
      </c>
    </row>
    <row r="4803" spans="1:10" ht="13.2">
      <c r="A4803" s="7">
        <v>4802</v>
      </c>
      <c r="B4803" s="7">
        <v>1</v>
      </c>
      <c r="C4803" s="7" t="s">
        <v>10</v>
      </c>
      <c r="D4803" s="7">
        <v>3945</v>
      </c>
      <c r="E4803" s="7" t="s">
        <v>28</v>
      </c>
      <c r="F4803" s="8" t="str">
        <f ca="1">IFERROR(__xludf.DUMMYFUNCTION("IF
(
C4804=""фізична особа""
,
VLOOKUP(D4804,IMPORTRANGE(""https://docs.google.com/spreadsheets/d/14Bd19lYaqBhU8_DElYkX7l4wRkHqqCUFNJY4AfY3kHU/edit?usp=sharing  #gid=0"",""фіз особи new!relations_name""),6,FALSE)
,
(IF
(
C4804=""юридична особа""
,
VLOOKUP"&amp;"(D4804,IMPORTRANGE(""https://docs.google.com/spreadsheets/d/14Bd19lYaqBhU8_DElYkX7l4wRkHqqCUFNJY4AfY3kHU/edit?usp=sharing  #gid=0"",""фіз особи new!relations_name_uo""),7,FALSE)
,
)
))"),"МОІСЕЄВ Андрій Геннадійович")</f>
        <v>МОІСЕЄВ Андрій Геннадійович</v>
      </c>
      <c r="G4803" s="7" t="s">
        <v>10</v>
      </c>
      <c r="H4803" s="7">
        <v>113</v>
      </c>
      <c r="I4803" s="8" t="str">
        <f ca="1">IFERROR(__xludf.DUMMYFUNCTION("IF
(
G4804=""фізична особа""
,
VLOOKUP(H4804,IMPORTRANGE(""https://docs.google.com/spreadsheets/d/14Bd19lYaqBhU8_DElYkX7l4wRkHqqCUFNJY4AfY3kHU/edit?usp=sharing  #gid=0"",""фіз особи new!relations_name""),6,FALSE)
,
(IF
(
G4804=""юридична особа""
,
VLOOKUP"&amp;"(H4804,IMPORTRANGE(""https://docs.google.com/spreadsheets/d/14Bd19lYaqBhU8_DElYkX7l4wRkHqqCUFNJY4AfY3kHU/edit?usp=sharing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3" s="7" t="s">
        <v>102</v>
      </c>
    </row>
    <row r="4804" spans="1:10" ht="13.2">
      <c r="A4804" s="7">
        <v>4803</v>
      </c>
      <c r="B4804" s="7">
        <v>1</v>
      </c>
      <c r="C4804" s="7" t="s">
        <v>10</v>
      </c>
      <c r="D4804" s="7">
        <v>3946</v>
      </c>
      <c r="E4804" s="7" t="s">
        <v>28</v>
      </c>
      <c r="F4804" s="8" t="str">
        <f ca="1">IFERROR(__xludf.DUMMYFUNCTION("IF
(
C4805=""фізична особа""
,
VLOOKUP(D4805,IMPORTRANGE(""https://docs.google.com/spreadsheets/d/14Bd19lYaqBhU8_DElYkX7l4wRkHqqCUFNJY4AfY3kHU/edit?usp=sharing  #gid=0"",""фіз особи new!relations_name""),6,FALSE)
,
(IF
(
C4805=""юридична особа""
,
VLOOKUP"&amp;"(D4805,IMPORTRANGE(""https://docs.google.com/spreadsheets/d/14Bd19lYaqBhU8_DElYkX7l4wRkHqqCUFNJY4AfY3kHU/edit?usp=sharing  #gid=0"",""фіз особи new!relations_name_uo""),7,FALSE)
,
)
))"),"ВЕЛІЧЕВ Сергій Володимирович")</f>
        <v>ВЕЛІЧЕВ Сергій Володимирович</v>
      </c>
      <c r="G4804" s="7" t="s">
        <v>10</v>
      </c>
      <c r="H4804" s="7">
        <v>113</v>
      </c>
      <c r="I4804" s="8" t="str">
        <f ca="1">IFERROR(__xludf.DUMMYFUNCTION("IF
(
G4805=""фізична особа""
,
VLOOKUP(H4805,IMPORTRANGE(""https://docs.google.com/spreadsheets/d/14Bd19lYaqBhU8_DElYkX7l4wRkHqqCUFNJY4AfY3kHU/edit?usp=sharing  #gid=0"",""фіз особи new!relations_name""),6,FALSE)
,
(IF
(
G4805=""юридична особа""
,
VLOOKUP"&amp;"(H4805,IMPORTRANGE(""https://docs.google.com/spreadsheets/d/14Bd19lYaqBhU8_DElYkX7l4wRkHqqCUFNJY4AfY3kHU/edit?usp=sharing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4" s="7" t="s">
        <v>102</v>
      </c>
    </row>
    <row r="4805" spans="1:10" ht="13.2">
      <c r="A4805" s="7">
        <v>4804</v>
      </c>
      <c r="B4805" s="7">
        <v>1</v>
      </c>
      <c r="C4805" s="7" t="s">
        <v>10</v>
      </c>
      <c r="D4805" s="7">
        <v>3947</v>
      </c>
      <c r="E4805" s="7" t="s">
        <v>28</v>
      </c>
      <c r="F4805" s="8" t="str">
        <f ca="1">IFERROR(__xludf.DUMMYFUNCTION("IF
(
C4806=""фізична особа""
,
VLOOKUP(D4806,IMPORTRANGE(""https://docs.google.com/spreadsheets/d/14Bd19lYaqBhU8_DElYkX7l4wRkHqqCUFNJY4AfY3kHU/edit?usp=sharing  #gid=0"",""фіз особи new!relations_name""),6,FALSE)
,
(IF
(
C4806=""юридична особа""
,
VLOOKUP"&amp;"(D4806,IMPORTRANGE(""https://docs.google.com/spreadsheets/d/14Bd19lYaqBhU8_DElYkX7l4wRkHqqCUFNJY4AfY3kHU/edit?usp=sharing  #gid=0"",""фіз особи new!relations_name_uo""),7,FALSE)
,
)
))"),"НЕСТЕРЕНКО Наталія Володимирівна")</f>
        <v>НЕСТЕРЕНКО Наталія Володимирівна</v>
      </c>
      <c r="G4805" s="7" t="s">
        <v>10</v>
      </c>
      <c r="H4805" s="7">
        <v>113</v>
      </c>
      <c r="I4805" s="8" t="str">
        <f ca="1">IFERROR(__xludf.DUMMYFUNCTION("IF
(
G4806=""фізична особа""
,
VLOOKUP(H4806,IMPORTRANGE(""https://docs.google.com/spreadsheets/d/14Bd19lYaqBhU8_DElYkX7l4wRkHqqCUFNJY4AfY3kHU/edit?usp=sharing  #gid=0"",""фіз особи new!relations_name""),6,FALSE)
,
(IF
(
G4806=""юридична особа""
,
VLOOKUP"&amp;"(H4806,IMPORTRANGE(""https://docs.google.com/spreadsheets/d/14Bd19lYaqBhU8_DElYkX7l4wRkHqqCUFNJY4AfY3kHU/edit?usp=sharing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5" s="7" t="s">
        <v>102</v>
      </c>
    </row>
    <row r="4806" spans="1:10" ht="13.2">
      <c r="A4806" s="7">
        <v>4805</v>
      </c>
      <c r="B4806" s="7">
        <v>1</v>
      </c>
      <c r="C4806" s="7" t="s">
        <v>10</v>
      </c>
      <c r="D4806" s="7">
        <v>3948</v>
      </c>
      <c r="E4806" s="7" t="s">
        <v>28</v>
      </c>
      <c r="F4806" s="8" t="str">
        <f ca="1">IFERROR(__xludf.DUMMYFUNCTION("IF
(
C4807=""фізична особа""
,
VLOOKUP(D4807,IMPORTRANGE(""https://docs.google.com/spreadsheets/d/14Bd19lYaqBhU8_DElYkX7l4wRkHqqCUFNJY4AfY3kHU/edit?usp=sharing  #gid=0"",""фіз особи new!relations_name""),6,FALSE)
,
(IF
(
C4807=""юридична особа""
,
VLOOKUP"&amp;"(D4807,IMPORTRANGE(""https://docs.google.com/spreadsheets/d/14Bd19lYaqBhU8_DElYkX7l4wRkHqqCUFNJY4AfY3kHU/edit?usp=sharing  #gid=0"",""фіз особи new!relations_name_uo""),7,FALSE)
,
)
))"),"ЯЦУЦЕНКО Віктор Миколайович")</f>
        <v>ЯЦУЦЕНКО Віктор Миколайович</v>
      </c>
      <c r="G4806" s="7" t="s">
        <v>10</v>
      </c>
      <c r="H4806" s="7">
        <v>113</v>
      </c>
      <c r="I4806" s="8" t="str">
        <f ca="1">IFERROR(__xludf.DUMMYFUNCTION("IF
(
G4807=""фізична особа""
,
VLOOKUP(H4807,IMPORTRANGE(""https://docs.google.com/spreadsheets/d/14Bd19lYaqBhU8_DElYkX7l4wRkHqqCUFNJY4AfY3kHU/edit?usp=sharing  #gid=0"",""фіз особи new!relations_name""),6,FALSE)
,
(IF
(
G4807=""юридична особа""
,
VLOOKUP"&amp;"(H4807,IMPORTRANGE(""https://docs.google.com/spreadsheets/d/14Bd19lYaqBhU8_DElYkX7l4wRkHqqCUFNJY4AfY3kHU/edit?usp=sharing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6" s="7" t="s">
        <v>102</v>
      </c>
    </row>
    <row r="4807" spans="1:10" ht="13.2">
      <c r="A4807" s="7">
        <v>4806</v>
      </c>
      <c r="B4807" s="7">
        <v>1</v>
      </c>
      <c r="C4807" s="7" t="s">
        <v>10</v>
      </c>
      <c r="D4807" s="7">
        <v>3949</v>
      </c>
      <c r="E4807" s="7" t="s">
        <v>28</v>
      </c>
      <c r="F4807" s="8" t="str">
        <f ca="1">IFERROR(__xludf.DUMMYFUNCTION("IF
(
C4808=""фізична особа""
,
VLOOKUP(D4808,IMPORTRANGE(""https://docs.google.com/spreadsheets/d/14Bd19lYaqBhU8_DElYkX7l4wRkHqqCUFNJY4AfY3kHU/edit?usp=sharing  #gid=0"",""фіз особи new!relations_name""),6,FALSE)
,
(IF
(
C4808=""юридична особа""
,
VLOOKUP"&amp;"(D4808,IMPORTRANGE(""https://docs.google.com/spreadsheets/d/14Bd19lYaqBhU8_DElYkX7l4wRkHqqCUFNJY4AfY3kHU/edit?usp=sharing  #gid=0"",""фіз особи new!relations_name_uo""),7,FALSE)
,
)
))"),"ЛЕКОМЦЕВ Олександр Миколайович")</f>
        <v>ЛЕКОМЦЕВ Олександр Миколайович</v>
      </c>
      <c r="G4807" s="7" t="s">
        <v>10</v>
      </c>
      <c r="H4807" s="7">
        <v>113</v>
      </c>
      <c r="I4807" s="8" t="str">
        <f ca="1">IFERROR(__xludf.DUMMYFUNCTION("IF
(
G4808=""фізична особа""
,
VLOOKUP(H4808,IMPORTRANGE(""https://docs.google.com/spreadsheets/d/14Bd19lYaqBhU8_DElYkX7l4wRkHqqCUFNJY4AfY3kHU/edit?usp=sharing  #gid=0"",""фіз особи new!relations_name""),6,FALSE)
,
(IF
(
G4808=""юридична особа""
,
VLOOKUP"&amp;"(H4808,IMPORTRANGE(""https://docs.google.com/spreadsheets/d/14Bd19lYaqBhU8_DElYkX7l4wRkHqqCUFNJY4AfY3kHU/edit?usp=sharing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07" s="7" t="s">
        <v>102</v>
      </c>
    </row>
    <row r="4808" spans="1:10" ht="13.2">
      <c r="A4808" s="7">
        <v>4807</v>
      </c>
      <c r="B4808" s="7">
        <v>1</v>
      </c>
      <c r="C4808" s="7" t="s">
        <v>10</v>
      </c>
      <c r="D4808" s="7">
        <v>3950</v>
      </c>
      <c r="E4808" s="7" t="s">
        <v>28</v>
      </c>
      <c r="F4808" s="8" t="str">
        <f ca="1">IFERROR(__xludf.DUMMYFUNCTION("IF
(
C4809=""фізична особа""
,
VLOOKUP(D4809,IMPORTRANGE(""https://docs.google.com/spreadsheets/d/14Bd19lYaqBhU8_DElYkX7l4wRkHqqCUFNJY4AfY3kHU/edit?usp=sharing  #gid=0"",""фіз особи new!relations_name""),6,FALSE)
,
(IF
(
C4809=""юридична особа""
,
VLOOKUP"&amp;"(D4809,IMPORTRANGE(""https://docs.google.com/spreadsheets/d/14Bd19lYaqBhU8_DElYkX7l4wRkHqqCUFNJY4AfY3kHU/edit?usp=sharing  #gid=0"",""фіз особи new!relations_name_uo""),7,FALSE)
,
)
))"),"БАЛАКІРЄВА Марина Іванівна")</f>
        <v>БАЛАКІРЄВА Марина Іванівна</v>
      </c>
      <c r="G4808" s="7" t="s">
        <v>10</v>
      </c>
      <c r="H4808" s="7">
        <v>670</v>
      </c>
      <c r="I4808" s="8" t="str">
        <f ca="1">IFERROR(__xludf.DUMMYFUNCTION("IF
(
G4809=""фізична особа""
,
VLOOKUP(H4809,IMPORTRANGE(""https://docs.google.com/spreadsheets/d/14Bd19lYaqBhU8_DElYkX7l4wRkHqqCUFNJY4AfY3kHU/edit?usp=sharing  #gid=0"",""фіз особи new!relations_name""),6,FALSE)
,
(IF
(
G4809=""юридична особа""
,
VLOOKUP"&amp;"(H4809,IMPORTRANGE(""https://docs.google.com/spreadsheets/d/14Bd19lYaqBhU8_DElYkX7l4wRkHqqCUFNJY4AfY3kHU/edit?usp=sharing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08" s="7" t="s">
        <v>29</v>
      </c>
    </row>
    <row r="4809" spans="1:10" ht="13.2">
      <c r="A4809" s="7">
        <v>4808</v>
      </c>
      <c r="B4809" s="7">
        <v>1</v>
      </c>
      <c r="C4809" s="7" t="s">
        <v>10</v>
      </c>
      <c r="D4809" s="7">
        <v>3950</v>
      </c>
      <c r="E4809" s="7" t="s">
        <v>28</v>
      </c>
      <c r="F4809" s="8" t="str">
        <f ca="1">IFERROR(__xludf.DUMMYFUNCTION("IF
(
C4810=""фізична особа""
,
VLOOKUP(D4810,IMPORTRANGE(""https://docs.google.com/spreadsheets/d/14Bd19lYaqBhU8_DElYkX7l4wRkHqqCUFNJY4AfY3kHU/edit?usp=sharing  #gid=0"",""фіз особи new!relations_name""),6,FALSE)
,
(IF
(
C4810=""юридична особа""
,
VLOOKUP"&amp;"(D4810,IMPORTRANGE(""https://docs.google.com/spreadsheets/d/14Bd19lYaqBhU8_DElYkX7l4wRkHqqCUFNJY4AfY3kHU/edit?usp=sharing  #gid=0"",""фіз особи new!relations_name_uo""),7,FALSE)
,
)
))"),"БАЛАКІРЄВА Марина Іванівна")</f>
        <v>БАЛАКІРЄВА Марина Іванівна</v>
      </c>
      <c r="G4809" s="7" t="s">
        <v>10</v>
      </c>
      <c r="H4809" s="7">
        <v>211</v>
      </c>
      <c r="I4809" s="8" t="str">
        <f ca="1">IFERROR(__xludf.DUMMYFUNCTION("IF
(
G4810=""фізична особа""
,
VLOOKUP(H4810,IMPORTRANGE(""https://docs.google.com/spreadsheets/d/14Bd19lYaqBhU8_DElYkX7l4wRkHqqCUFNJY4AfY3kHU/edit?usp=sharing  #gid=0"",""фіз особи new!relations_name""),6,FALSE)
,
(IF
(
G4810=""юридична особа""
,
VLOOKUP"&amp;"(H4810,IMPORTRANGE(""https://docs.google.com/spreadsheets/d/14Bd19lYaqBhU8_DElYkX7l4wRkHqqCUFNJY4AfY3kHU/edit?usp=sharing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09" s="7" t="s">
        <v>102</v>
      </c>
    </row>
    <row r="4810" spans="1:10" ht="13.2">
      <c r="A4810" s="7">
        <v>4809</v>
      </c>
      <c r="B4810" s="7">
        <v>1</v>
      </c>
      <c r="C4810" s="7" t="s">
        <v>10</v>
      </c>
      <c r="D4810" s="7">
        <v>3951</v>
      </c>
      <c r="E4810" s="7" t="s">
        <v>28</v>
      </c>
      <c r="F4810" s="8" t="str">
        <f ca="1">IFERROR(__xludf.DUMMYFUNCTION("IF
(
C4811=""фізична особа""
,
VLOOKUP(D4811,IMPORTRANGE(""https://docs.google.com/spreadsheets/d/14Bd19lYaqBhU8_DElYkX7l4wRkHqqCUFNJY4AfY3kHU/edit?usp=sharing  #gid=0"",""фіз особи new!relations_name""),6,FALSE)
,
(IF
(
C4811=""юридична особа""
,
VLOOKUP"&amp;"(D4811,IMPORTRANGE(""https://docs.google.com/spreadsheets/d/14Bd19lYaqBhU8_DElYkX7l4wRkHqqCUFNJY4AfY3kHU/edit?usp=sharing  #gid=0"",""фіз особи new!relations_name_uo""),7,FALSE)
,
)
))"),"МАНУЙЛО Олег Леонідович")</f>
        <v>МАНУЙЛО Олег Леонідович</v>
      </c>
      <c r="G4810" s="7" t="s">
        <v>10</v>
      </c>
      <c r="H4810" s="7">
        <v>113</v>
      </c>
      <c r="I4810" s="8" t="str">
        <f ca="1">IFERROR(__xludf.DUMMYFUNCTION("IF
(
G4811=""фізична особа""
,
VLOOKUP(H4811,IMPORTRANGE(""https://docs.google.com/spreadsheets/d/14Bd19lYaqBhU8_DElYkX7l4wRkHqqCUFNJY4AfY3kHU/edit?usp=sharing  #gid=0"",""фіз особи new!relations_name""),6,FALSE)
,
(IF
(
G4811=""юридична особа""
,
VLOOKUP"&amp;"(H4811,IMPORTRANGE(""https://docs.google.com/spreadsheets/d/14Bd19lYaqBhU8_DElYkX7l4wRkHqqCUFNJY4AfY3kHU/edit?usp=sharing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0" s="7" t="s">
        <v>102</v>
      </c>
    </row>
    <row r="4811" spans="1:10" ht="13.2">
      <c r="A4811" s="7">
        <v>4810</v>
      </c>
      <c r="B4811" s="7">
        <v>1</v>
      </c>
      <c r="C4811" s="7" t="s">
        <v>10</v>
      </c>
      <c r="D4811" s="7">
        <v>3952</v>
      </c>
      <c r="E4811" s="7" t="s">
        <v>28</v>
      </c>
      <c r="F4811" s="8" t="str">
        <f ca="1">IFERROR(__xludf.DUMMYFUNCTION("IF
(
C4812=""фізична особа""
,
VLOOKUP(D4812,IMPORTRANGE(""https://docs.google.com/spreadsheets/d/14Bd19lYaqBhU8_DElYkX7l4wRkHqqCUFNJY4AfY3kHU/edit?usp=sharing  #gid=0"",""фіз особи new!relations_name""),6,FALSE)
,
(IF
(
C4812=""юридична особа""
,
VLOOKUP"&amp;"(D4812,IMPORTRANGE(""https://docs.google.com/spreadsheets/d/14Bd19lYaqBhU8_DElYkX7l4wRkHqqCUFNJY4AfY3kHU/edit?usp=sharing  #gid=0"",""фіз особи new!relations_name_uo""),7,FALSE)
,
)
))"),"ІВАНОВ Сергій Іванович")</f>
        <v>ІВАНОВ Сергій Іванович</v>
      </c>
      <c r="G4811" s="7" t="s">
        <v>10</v>
      </c>
      <c r="H4811" s="7">
        <v>670</v>
      </c>
      <c r="I4811" s="8" t="str">
        <f ca="1">IFERROR(__xludf.DUMMYFUNCTION("IF
(
G4812=""фізична особа""
,
VLOOKUP(H4812,IMPORTRANGE(""https://docs.google.com/spreadsheets/d/14Bd19lYaqBhU8_DElYkX7l4wRkHqqCUFNJY4AfY3kHU/edit?usp=sharing  #gid=0"",""фіз особи new!relations_name""),6,FALSE)
,
(IF
(
G4812=""юридична особа""
,
VLOOKUP"&amp;"(H4812,IMPORTRANGE(""https://docs.google.com/spreadsheets/d/14Bd19lYaqBhU8_DElYkX7l4wRkHqqCUFNJY4AfY3kHU/edit?usp=sharing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11" s="7" t="s">
        <v>29</v>
      </c>
    </row>
    <row r="4812" spans="1:10" ht="13.2">
      <c r="A4812" s="7">
        <v>4811</v>
      </c>
      <c r="B4812" s="7">
        <v>1</v>
      </c>
      <c r="C4812" s="7" t="s">
        <v>10</v>
      </c>
      <c r="D4812" s="7">
        <v>3952</v>
      </c>
      <c r="E4812" s="7" t="s">
        <v>28</v>
      </c>
      <c r="F4812" s="8" t="str">
        <f ca="1">IFERROR(__xludf.DUMMYFUNCTION("IF
(
C4813=""фізична особа""
,
VLOOKUP(D4813,IMPORTRANGE(""https://docs.google.com/spreadsheets/d/14Bd19lYaqBhU8_DElYkX7l4wRkHqqCUFNJY4AfY3kHU/edit?usp=sharing  #gid=0"",""фіз особи new!relations_name""),6,FALSE)
,
(IF
(
C4813=""юридична особа""
,
VLOOKUP"&amp;"(D4813,IMPORTRANGE(""https://docs.google.com/spreadsheets/d/14Bd19lYaqBhU8_DElYkX7l4wRkHqqCUFNJY4AfY3kHU/edit?usp=sharing  #gid=0"",""фіз особи new!relations_name_uo""),7,FALSE)
,
)
))"),"ІВАНОВ Сергій Іванович")</f>
        <v>ІВАНОВ Сергій Іванович</v>
      </c>
      <c r="G4812" s="7" t="s">
        <v>10</v>
      </c>
      <c r="H4812" s="7">
        <v>211</v>
      </c>
      <c r="I4812" s="8" t="str">
        <f ca="1">IFERROR(__xludf.DUMMYFUNCTION("IF
(
G4813=""фізична особа""
,
VLOOKUP(H4813,IMPORTRANGE(""https://docs.google.com/spreadsheets/d/14Bd19lYaqBhU8_DElYkX7l4wRkHqqCUFNJY4AfY3kHU/edit?usp=sharing  #gid=0"",""фіз особи new!relations_name""),6,FALSE)
,
(IF
(
G4813=""юридична особа""
,
VLOOKUP"&amp;"(H4813,IMPORTRANGE(""https://docs.google.com/spreadsheets/d/14Bd19lYaqBhU8_DElYkX7l4wRkHqqCUFNJY4AfY3kHU/edit?usp=sharing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12" s="7" t="s">
        <v>102</v>
      </c>
    </row>
    <row r="4813" spans="1:10" ht="13.2">
      <c r="A4813" s="7">
        <v>4812</v>
      </c>
      <c r="B4813" s="7">
        <v>1</v>
      </c>
      <c r="C4813" s="7" t="s">
        <v>10</v>
      </c>
      <c r="D4813" s="7">
        <v>3953</v>
      </c>
      <c r="E4813" s="7" t="s">
        <v>28</v>
      </c>
      <c r="F4813" s="8" t="str">
        <f ca="1">IFERROR(__xludf.DUMMYFUNCTION("IF
(
C4814=""фізична особа""
,
VLOOKUP(D4814,IMPORTRANGE(""https://docs.google.com/spreadsheets/d/14Bd19lYaqBhU8_DElYkX7l4wRkHqqCUFNJY4AfY3kHU/edit?usp=sharing  #gid=0"",""фіз особи new!relations_name""),6,FALSE)
,
(IF
(
C4814=""юридична особа""
,
VLOOKUP"&amp;"(D4814,IMPORTRANGE(""https://docs.google.com/spreadsheets/d/14Bd19lYaqBhU8_DElYkX7l4wRkHqqCUFNJY4AfY3kHU/edit?usp=sharing  #gid=0"",""фіз особи new!relations_name_uo""),7,FALSE)
,
)
))"),"ЄЛІЗАРОВ Анатолій Володимирович")</f>
        <v>ЄЛІЗАРОВ Анатолій Володимирович</v>
      </c>
      <c r="G4813" s="7" t="s">
        <v>10</v>
      </c>
      <c r="H4813" s="7">
        <v>113</v>
      </c>
      <c r="I4813" s="8" t="str">
        <f ca="1">IFERROR(__xludf.DUMMYFUNCTION("IF
(
G4814=""фізична особа""
,
VLOOKUP(H4814,IMPORTRANGE(""https://docs.google.com/spreadsheets/d/14Bd19lYaqBhU8_DElYkX7l4wRkHqqCUFNJY4AfY3kHU/edit?usp=sharing  #gid=0"",""фіз особи new!relations_name""),6,FALSE)
,
(IF
(
G4814=""юридична особа""
,
VLOOKUP"&amp;"(H4814,IMPORTRANGE(""https://docs.google.com/spreadsheets/d/14Bd19lYaqBhU8_DElYkX7l4wRkHqqCUFNJY4AfY3kHU/edit?usp=sharing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3" s="7" t="s">
        <v>102</v>
      </c>
    </row>
    <row r="4814" spans="1:10" ht="13.2">
      <c r="A4814" s="7">
        <v>4813</v>
      </c>
      <c r="B4814" s="7">
        <v>1</v>
      </c>
      <c r="C4814" s="7" t="s">
        <v>10</v>
      </c>
      <c r="D4814" s="7">
        <v>3954</v>
      </c>
      <c r="E4814" s="7" t="s">
        <v>28</v>
      </c>
      <c r="F4814" s="8" t="str">
        <f ca="1">IFERROR(__xludf.DUMMYFUNCTION("IF
(
C4815=""фізична особа""
,
VLOOKUP(D4815,IMPORTRANGE(""https://docs.google.com/spreadsheets/d/14Bd19lYaqBhU8_DElYkX7l4wRkHqqCUFNJY4AfY3kHU/edit?usp=sharing  #gid=0"",""фіз особи new!relations_name""),6,FALSE)
,
(IF
(
C4815=""юридична особа""
,
VLOOKUP"&amp;"(D4815,IMPORTRANGE(""https://docs.google.com/spreadsheets/d/14Bd19lYaqBhU8_DElYkX7l4wRkHqqCUFNJY4AfY3kHU/edit?usp=sharing  #gid=0"",""фіз особи new!relations_name_uo""),7,FALSE)
,
)
))"),"ПОПОВ Андрій Вікторович")</f>
        <v>ПОПОВ Андрій Вікторович</v>
      </c>
      <c r="G4814" s="7" t="s">
        <v>10</v>
      </c>
      <c r="H4814" s="7">
        <v>113</v>
      </c>
      <c r="I4814" s="8" t="str">
        <f ca="1">IFERROR(__xludf.DUMMYFUNCTION("IF
(
G4815=""фізична особа""
,
VLOOKUP(H4815,IMPORTRANGE(""https://docs.google.com/spreadsheets/d/14Bd19lYaqBhU8_DElYkX7l4wRkHqqCUFNJY4AfY3kHU/edit?usp=sharing  #gid=0"",""фіз особи new!relations_name""),6,FALSE)
,
(IF
(
G4815=""юридична особа""
,
VLOOKUP"&amp;"(H4815,IMPORTRANGE(""https://docs.google.com/spreadsheets/d/14Bd19lYaqBhU8_DElYkX7l4wRkHqqCUFNJY4AfY3kHU/edit?usp=sharing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4" s="7" t="s">
        <v>102</v>
      </c>
    </row>
    <row r="4815" spans="1:10" ht="13.2">
      <c r="A4815" s="7">
        <v>4814</v>
      </c>
      <c r="B4815" s="7">
        <v>1</v>
      </c>
      <c r="C4815" s="7" t="s">
        <v>10</v>
      </c>
      <c r="D4815" s="7">
        <v>3955</v>
      </c>
      <c r="E4815" s="7" t="s">
        <v>28</v>
      </c>
      <c r="F4815" s="8" t="str">
        <f ca="1">IFERROR(__xludf.DUMMYFUNCTION("IF
(
C4816=""фізична особа""
,
VLOOKUP(D4816,IMPORTRANGE(""https://docs.google.com/spreadsheets/d/14Bd19lYaqBhU8_DElYkX7l4wRkHqqCUFNJY4AfY3kHU/edit?usp=sharing  #gid=0"",""фіз особи new!relations_name""),6,FALSE)
,
(IF
(
C4816=""юридична особа""
,
VLOOKUP"&amp;"(D4816,IMPORTRANGE(""https://docs.google.com/spreadsheets/d/14Bd19lYaqBhU8_DElYkX7l4wRkHqqCUFNJY4AfY3kHU/edit?usp=sharing  #gid=0"",""фіз особи new!relations_name_uo""),7,FALSE)
,
)
))"),"СУПРУНОВСЬКИЙ Анатолій Михайлович")</f>
        <v>СУПРУНОВСЬКИЙ Анатолій Михайлович</v>
      </c>
      <c r="G4815" s="7" t="s">
        <v>10</v>
      </c>
      <c r="H4815" s="7">
        <v>113</v>
      </c>
      <c r="I4815" s="8" t="str">
        <f ca="1">IFERROR(__xludf.DUMMYFUNCTION("IF
(
G4816=""фізична особа""
,
VLOOKUP(H4816,IMPORTRANGE(""https://docs.google.com/spreadsheets/d/14Bd19lYaqBhU8_DElYkX7l4wRkHqqCUFNJY4AfY3kHU/edit?usp=sharing  #gid=0"",""фіз особи new!relations_name""),6,FALSE)
,
(IF
(
G4816=""юридична особа""
,
VLOOKUP"&amp;"(H4816,IMPORTRANGE(""https://docs.google.com/spreadsheets/d/14Bd19lYaqBhU8_DElYkX7l4wRkHqqCUFNJY4AfY3kHU/edit?usp=sharing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5" s="7" t="s">
        <v>102</v>
      </c>
    </row>
    <row r="4816" spans="1:10" ht="13.2">
      <c r="A4816" s="7">
        <v>4815</v>
      </c>
      <c r="B4816" s="7">
        <v>1</v>
      </c>
      <c r="C4816" s="7" t="s">
        <v>10</v>
      </c>
      <c r="D4816" s="7">
        <v>3956</v>
      </c>
      <c r="E4816" s="7" t="s">
        <v>28</v>
      </c>
      <c r="F4816" s="8" t="str">
        <f ca="1">IFERROR(__xludf.DUMMYFUNCTION("IF
(
C4817=""фізична особа""
,
VLOOKUP(D4817,IMPORTRANGE(""https://docs.google.com/spreadsheets/d/14Bd19lYaqBhU8_DElYkX7l4wRkHqqCUFNJY4AfY3kHU/edit?usp=sharing  #gid=0"",""фіз особи new!relations_name""),6,FALSE)
,
(IF
(
C4817=""юридична особа""
,
VLOOKUP"&amp;"(D4817,IMPORTRANGE(""https://docs.google.com/spreadsheets/d/14Bd19lYaqBhU8_DElYkX7l4wRkHqqCUFNJY4AfY3kHU/edit?usp=sharing  #gid=0"",""фіз особи new!relations_name_uo""),7,FALSE)
,
)
))"),"ЄНІКЄЄВ Рінат Шамилевич")</f>
        <v>ЄНІКЄЄВ Рінат Шамилевич</v>
      </c>
      <c r="G4816" s="7" t="s">
        <v>10</v>
      </c>
      <c r="H4816" s="7">
        <v>113</v>
      </c>
      <c r="I4816" s="8" t="str">
        <f ca="1">IFERROR(__xludf.DUMMYFUNCTION("IF
(
G4817=""фізична особа""
,
VLOOKUP(H4817,IMPORTRANGE(""https://docs.google.com/spreadsheets/d/14Bd19lYaqBhU8_DElYkX7l4wRkHqqCUFNJY4AfY3kHU/edit?usp=sharing  #gid=0"",""фіз особи new!relations_name""),6,FALSE)
,
(IF
(
G4817=""юридична особа""
,
VLOOKUP"&amp;"(H4817,IMPORTRANGE(""https://docs.google.com/spreadsheets/d/14Bd19lYaqBhU8_DElYkX7l4wRkHqqCUFNJY4AfY3kHU/edit?usp=sharing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6" s="7" t="s">
        <v>102</v>
      </c>
    </row>
    <row r="4817" spans="1:10" ht="13.2">
      <c r="A4817" s="7">
        <v>4816</v>
      </c>
      <c r="B4817" s="7">
        <v>1</v>
      </c>
      <c r="C4817" s="7" t="s">
        <v>10</v>
      </c>
      <c r="D4817" s="7">
        <v>3957</v>
      </c>
      <c r="E4817" s="7" t="s">
        <v>28</v>
      </c>
      <c r="F4817" s="8" t="str">
        <f ca="1">IFERROR(__xludf.DUMMYFUNCTION("IF
(
C4818=""фізична особа""
,
VLOOKUP(D4818,IMPORTRANGE(""https://docs.google.com/spreadsheets/d/14Bd19lYaqBhU8_DElYkX7l4wRkHqqCUFNJY4AfY3kHU/edit?usp=sharing  #gid=0"",""фіз особи new!relations_name""),6,FALSE)
,
(IF
(
C4818=""юридична особа""
,
VLOOKUP"&amp;"(D4818,IMPORTRANGE(""https://docs.google.com/spreadsheets/d/14Bd19lYaqBhU8_DElYkX7l4wRkHqqCUFNJY4AfY3kHU/edit?usp=sharing  #gid=0"",""фіз особи new!relations_name_uo""),7,FALSE)
,
)
))"),"ТАРАСОВ Дмитро Валерійович")</f>
        <v>ТАРАСОВ Дмитро Валерійович</v>
      </c>
      <c r="G4817" s="7" t="s">
        <v>10</v>
      </c>
      <c r="H4817" s="7">
        <v>113</v>
      </c>
      <c r="I4817" s="8" t="str">
        <f ca="1">IFERROR(__xludf.DUMMYFUNCTION("IF
(
G4818=""фізична особа""
,
VLOOKUP(H4818,IMPORTRANGE(""https://docs.google.com/spreadsheets/d/14Bd19lYaqBhU8_DElYkX7l4wRkHqqCUFNJY4AfY3kHU/edit?usp=sharing  #gid=0"",""фіз особи new!relations_name""),6,FALSE)
,
(IF
(
G4818=""юридична особа""
,
VLOOKUP"&amp;"(H4818,IMPORTRANGE(""https://docs.google.com/spreadsheets/d/14Bd19lYaqBhU8_DElYkX7l4wRkHqqCUFNJY4AfY3kHU/edit?usp=sharing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17" s="7" t="s">
        <v>102</v>
      </c>
    </row>
    <row r="4818" spans="1:10" ht="13.2">
      <c r="A4818" s="7">
        <v>4817</v>
      </c>
      <c r="B4818" s="7">
        <v>1</v>
      </c>
      <c r="C4818" s="7" t="s">
        <v>10</v>
      </c>
      <c r="D4818" s="7">
        <v>3958</v>
      </c>
      <c r="E4818" s="7" t="s">
        <v>28</v>
      </c>
      <c r="F4818" s="8" t="str">
        <f ca="1">IFERROR(__xludf.DUMMYFUNCTION("IF
(
C4819=""фізична особа""
,
VLOOKUP(D4819,IMPORTRANGE(""https://docs.google.com/spreadsheets/d/14Bd19lYaqBhU8_DElYkX7l4wRkHqqCUFNJY4AfY3kHU/edit?usp=sharing  #gid=0"",""фіз особи new!relations_name""),6,FALSE)
,
(IF
(
C4819=""юридична особа""
,
VLOOKUP"&amp;"(D4819,IMPORTRANGE(""https://docs.google.com/spreadsheets/d/14Bd19lYaqBhU8_DElYkX7l4wRkHqqCUFNJY4AfY3kHU/edit?usp=sharing  #gid=0"",""фіз особи new!relations_name_uo""),7,FALSE)
,
)
))"),"САПУНОВ Михайло Васильович")</f>
        <v>САПУНОВ Михайло Васильович</v>
      </c>
      <c r="G4818" s="7" t="s">
        <v>10</v>
      </c>
      <c r="H4818" s="7">
        <v>670</v>
      </c>
      <c r="I4818" s="8" t="str">
        <f ca="1">IFERROR(__xludf.DUMMYFUNCTION("IF
(
G4819=""фізична особа""
,
VLOOKUP(H4819,IMPORTRANGE(""https://docs.google.com/spreadsheets/d/14Bd19lYaqBhU8_DElYkX7l4wRkHqqCUFNJY4AfY3kHU/edit?usp=sharing  #gid=0"",""фіз особи new!relations_name""),6,FALSE)
,
(IF
(
G4819=""юридична особа""
,
VLOOKUP"&amp;"(H4819,IMPORTRANGE(""https://docs.google.com/spreadsheets/d/14Bd19lYaqBhU8_DElYkX7l4wRkHqqCUFNJY4AfY3kHU/edit?usp=sharing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18" s="7" t="s">
        <v>29</v>
      </c>
    </row>
    <row r="4819" spans="1:10" ht="13.2">
      <c r="A4819" s="7">
        <v>4818</v>
      </c>
      <c r="B4819" s="7">
        <v>1</v>
      </c>
      <c r="C4819" s="7" t="s">
        <v>10</v>
      </c>
      <c r="D4819" s="7">
        <v>3958</v>
      </c>
      <c r="E4819" s="7" t="s">
        <v>28</v>
      </c>
      <c r="F4819" s="8" t="str">
        <f ca="1">IFERROR(__xludf.DUMMYFUNCTION("IF
(
C4820=""фізична особа""
,
VLOOKUP(D4820,IMPORTRANGE(""https://docs.google.com/spreadsheets/d/14Bd19lYaqBhU8_DElYkX7l4wRkHqqCUFNJY4AfY3kHU/edit?usp=sharing  #gid=0"",""фіз особи new!relations_name""),6,FALSE)
,
(IF
(
C4820=""юридична особа""
,
VLOOKUP"&amp;"(D4820,IMPORTRANGE(""https://docs.google.com/spreadsheets/d/14Bd19lYaqBhU8_DElYkX7l4wRkHqqCUFNJY4AfY3kHU/edit?usp=sharing  #gid=0"",""фіз особи new!relations_name_uo""),7,FALSE)
,
)
))"),"САПУНОВ Михайло Васильович")</f>
        <v>САПУНОВ Михайло Васильович</v>
      </c>
      <c r="G4819" s="7" t="s">
        <v>10</v>
      </c>
      <c r="H4819" s="7">
        <v>211</v>
      </c>
      <c r="I4819" s="8" t="str">
        <f ca="1">IFERROR(__xludf.DUMMYFUNCTION("IF
(
G4820=""фізична особа""
,
VLOOKUP(H4820,IMPORTRANGE(""https://docs.google.com/spreadsheets/d/14Bd19lYaqBhU8_DElYkX7l4wRkHqqCUFNJY4AfY3kHU/edit?usp=sharing  #gid=0"",""фіз особи new!relations_name""),6,FALSE)
,
(IF
(
G4820=""юридична особа""
,
VLOOKUP"&amp;"(H4820,IMPORTRANGE(""https://docs.google.com/spreadsheets/d/14Bd19lYaqBhU8_DElYkX7l4wRkHqqCUFNJY4AfY3kHU/edit?usp=sharing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19" s="7" t="s">
        <v>102</v>
      </c>
    </row>
    <row r="4820" spans="1:10" ht="13.2">
      <c r="A4820" s="7">
        <v>4819</v>
      </c>
      <c r="B4820" s="7">
        <v>1</v>
      </c>
      <c r="C4820" s="7" t="s">
        <v>10</v>
      </c>
      <c r="D4820" s="7">
        <v>3959</v>
      </c>
      <c r="E4820" s="7" t="s">
        <v>28</v>
      </c>
      <c r="F4820" s="8" t="str">
        <f ca="1">IFERROR(__xludf.DUMMYFUNCTION("IF
(
C4821=""фізична особа""
,
VLOOKUP(D4821,IMPORTRANGE(""https://docs.google.com/spreadsheets/d/14Bd19lYaqBhU8_DElYkX7l4wRkHqqCUFNJY4AfY3kHU/edit?usp=sharing  #gid=0"",""фіз особи new!relations_name""),6,FALSE)
,
(IF
(
C4821=""юридична особа""
,
VLOOKUP"&amp;"(D4821,IMPORTRANGE(""https://docs.google.com/spreadsheets/d/14Bd19lYaqBhU8_DElYkX7l4wRkHqqCUFNJY4AfY3kHU/edit?usp=sharing  #gid=0"",""фіз особи new!relations_name_uo""),7,FALSE)
,
)
))"),"НИЧИПОРЧУК Віктор Михайлович")</f>
        <v>НИЧИПОРЧУК Віктор Михайлович</v>
      </c>
      <c r="G4820" s="7" t="s">
        <v>10</v>
      </c>
      <c r="H4820" s="7">
        <v>113</v>
      </c>
      <c r="I4820" s="8" t="str">
        <f ca="1">IFERROR(__xludf.DUMMYFUNCTION("IF
(
G4821=""фізична особа""
,
VLOOKUP(H4821,IMPORTRANGE(""https://docs.google.com/spreadsheets/d/14Bd19lYaqBhU8_DElYkX7l4wRkHqqCUFNJY4AfY3kHU/edit?usp=sharing  #gid=0"",""фіз особи new!relations_name""),6,FALSE)
,
(IF
(
G4821=""юридична особа""
,
VLOOKUP"&amp;"(H4821,IMPORTRANGE(""https://docs.google.com/spreadsheets/d/14Bd19lYaqBhU8_DElYkX7l4wRkHqqCUFNJY4AfY3kHU/edit?usp=sharing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20" s="7" t="s">
        <v>102</v>
      </c>
    </row>
    <row r="4821" spans="1:10" ht="13.2">
      <c r="A4821" s="7">
        <v>4820</v>
      </c>
      <c r="B4821" s="7">
        <v>1</v>
      </c>
      <c r="C4821" s="7" t="s">
        <v>10</v>
      </c>
      <c r="D4821" s="7">
        <v>3960</v>
      </c>
      <c r="E4821" s="7" t="s">
        <v>28</v>
      </c>
      <c r="F4821" s="8" t="str">
        <f ca="1">IFERROR(__xludf.DUMMYFUNCTION("IF
(
C4822=""фізична особа""
,
VLOOKUP(D4822,IMPORTRANGE(""https://docs.google.com/spreadsheets/d/14Bd19lYaqBhU8_DElYkX7l4wRkHqqCUFNJY4AfY3kHU/edit?usp=sharing  #gid=0"",""фіз особи new!relations_name""),6,FALSE)
,
(IF
(
C4822=""юридична особа""
,
VLOOKUP"&amp;"(D4822,IMPORTRANGE(""https://docs.google.com/spreadsheets/d/14Bd19lYaqBhU8_DElYkX7l4wRkHqqCUFNJY4AfY3kHU/edit?usp=sharing  #gid=0"",""фіз особи new!relations_name_uo""),7,FALSE)
,
)
))"),"ЄФИМЕНКО Сергій Віталійович")</f>
        <v>ЄФИМЕНКО Сергій Віталійович</v>
      </c>
      <c r="G4821" s="7" t="s">
        <v>10</v>
      </c>
      <c r="H4821" s="7">
        <v>113</v>
      </c>
      <c r="I4821" s="8" t="str">
        <f ca="1">IFERROR(__xludf.DUMMYFUNCTION("IF
(
G4822=""фізична особа""
,
VLOOKUP(H4822,IMPORTRANGE(""https://docs.google.com/spreadsheets/d/14Bd19lYaqBhU8_DElYkX7l4wRkHqqCUFNJY4AfY3kHU/edit?usp=sharing  #gid=0"",""фіз особи new!relations_name""),6,FALSE)
,
(IF
(
G4822=""юридична особа""
,
VLOOKUP"&amp;"(H4822,IMPORTRANGE(""https://docs.google.com/spreadsheets/d/14Bd19lYaqBhU8_DElYkX7l4wRkHqqCUFNJY4AfY3kHU/edit?usp=sharing  #gid=0"",""фіз особи new!relations_name_uo""),7,FALSE)
,
)
))"),"ЧУПРІЯН Олександр Петрович")</f>
        <v>ЧУПРІЯН Олександр Петрович</v>
      </c>
      <c r="J4821" s="7" t="s">
        <v>102</v>
      </c>
    </row>
    <row r="4822" spans="1:10" ht="13.2">
      <c r="A4822" s="7">
        <v>4821</v>
      </c>
      <c r="B4822" s="7">
        <v>1</v>
      </c>
      <c r="C4822" s="7" t="s">
        <v>10</v>
      </c>
      <c r="D4822" s="7">
        <v>3961</v>
      </c>
      <c r="E4822" s="7" t="s">
        <v>28</v>
      </c>
      <c r="F4822" s="8" t="str">
        <f ca="1">IFERROR(__xludf.DUMMYFUNCTION("IF
(
C4823=""фізична особа""
,
VLOOKUP(D4823,IMPORTRANGE(""https://docs.google.com/spreadsheets/d/14Bd19lYaqBhU8_DElYkX7l4wRkHqqCUFNJY4AfY3kHU/edit?usp=sharing  #gid=0"",""фіз особи new!relations_name""),6,FALSE)
,
(IF
(
C4823=""юридична особа""
,
VLOOKUP"&amp;"(D4823,IMPORTRANGE(""https://docs.google.com/spreadsheets/d/14Bd19lYaqBhU8_DElYkX7l4wRkHqqCUFNJY4AfY3kHU/edit?usp=sharing  #gid=0"",""фіз особи new!relations_name_uo""),7,FALSE)
,
)
))"),"НАЛІМОВ Олег Володимирович")</f>
        <v>НАЛІМОВ Олег Володимирович</v>
      </c>
      <c r="G4822" s="7" t="s">
        <v>10</v>
      </c>
      <c r="H4822" s="7">
        <v>670</v>
      </c>
      <c r="I4822" s="8" t="str">
        <f ca="1">IFERROR(__xludf.DUMMYFUNCTION("IF
(
G4823=""фізична особа""
,
VLOOKUP(H4823,IMPORTRANGE(""https://docs.google.com/spreadsheets/d/14Bd19lYaqBhU8_DElYkX7l4wRkHqqCUFNJY4AfY3kHU/edit?usp=sharing  #gid=0"",""фіз особи new!relations_name""),6,FALSE)
,
(IF
(
G4823=""юридична особа""
,
VLOOKUP"&amp;"(H4823,IMPORTRANGE(""https://docs.google.com/spreadsheets/d/14Bd19lYaqBhU8_DElYkX7l4wRkHqqCUFNJY4AfY3kHU/edit?usp=sharing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22" s="7" t="s">
        <v>29</v>
      </c>
    </row>
    <row r="4823" spans="1:10" ht="13.2">
      <c r="A4823" s="7">
        <v>4822</v>
      </c>
      <c r="B4823" s="7">
        <v>1</v>
      </c>
      <c r="C4823" s="7" t="s">
        <v>10</v>
      </c>
      <c r="D4823" s="7">
        <v>3961</v>
      </c>
      <c r="E4823" s="7" t="s">
        <v>28</v>
      </c>
      <c r="F4823" s="8" t="str">
        <f ca="1">IFERROR(__xludf.DUMMYFUNCTION("IF
(
C4824=""фізична особа""
,
VLOOKUP(D4824,IMPORTRANGE(""https://docs.google.com/spreadsheets/d/14Bd19lYaqBhU8_DElYkX7l4wRkHqqCUFNJY4AfY3kHU/edit?usp=sharing  #gid=0"",""фіз особи new!relations_name""),6,FALSE)
,
(IF
(
C4824=""юридична особа""
,
VLOOKUP"&amp;"(D4824,IMPORTRANGE(""https://docs.google.com/spreadsheets/d/14Bd19lYaqBhU8_DElYkX7l4wRkHqqCUFNJY4AfY3kHU/edit?usp=sharing  #gid=0"",""фіз особи new!relations_name_uo""),7,FALSE)
,
)
))"),"НАЛІМОВ Олег Володимирович")</f>
        <v>НАЛІМОВ Олег Володимирович</v>
      </c>
      <c r="G4823" s="7" t="s">
        <v>10</v>
      </c>
      <c r="H4823" s="7">
        <v>211</v>
      </c>
      <c r="I4823" s="8" t="str">
        <f ca="1">IFERROR(__xludf.DUMMYFUNCTION("IF
(
G4824=""фізична особа""
,
VLOOKUP(H4824,IMPORTRANGE(""https://docs.google.com/spreadsheets/d/14Bd19lYaqBhU8_DElYkX7l4wRkHqqCUFNJY4AfY3kHU/edit?usp=sharing  #gid=0"",""фіз особи new!relations_name""),6,FALSE)
,
(IF
(
G4824=""юридична особа""
,
VLOOKUP"&amp;"(H4824,IMPORTRANGE(""https://docs.google.com/spreadsheets/d/14Bd19lYaqBhU8_DElYkX7l4wRkHqqCUFNJY4AfY3kHU/edit?usp=sharing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23" s="7" t="s">
        <v>102</v>
      </c>
    </row>
    <row r="4824" spans="1:10" ht="13.2">
      <c r="A4824" s="7">
        <v>4823</v>
      </c>
      <c r="B4824" s="7">
        <v>1</v>
      </c>
      <c r="C4824" s="7" t="s">
        <v>10</v>
      </c>
      <c r="D4824" s="7">
        <v>3962</v>
      </c>
      <c r="E4824" s="7" t="s">
        <v>28</v>
      </c>
      <c r="F4824" s="8" t="str">
        <f ca="1">IFERROR(__xludf.DUMMYFUNCTION("IF
(
C4825=""фізична особа""
,
VLOOKUP(D4825,IMPORTRANGE(""https://docs.google.com/spreadsheets/d/14Bd19lYaqBhU8_DElYkX7l4wRkHqqCUFNJY4AfY3kHU/edit?usp=sharing  #gid=0"",""фіз особи new!relations_name""),6,FALSE)
,
(IF
(
C4825=""юридична особа""
,
VLOOKUP"&amp;"(D4825,IMPORTRANGE(""https://docs.google.com/spreadsheets/d/14Bd19lYaqBhU8_DElYkX7l4wRkHqqCUFNJY4AfY3kHU/edit?usp=sharing  #gid=0"",""фіз особи new!relations_name_uo""),7,FALSE)
,
)
))"),"СМУРОВ Кирило Валерійович")</f>
        <v>СМУРОВ Кирило Валерійович</v>
      </c>
      <c r="G4824" s="7" t="s">
        <v>10</v>
      </c>
      <c r="H4824" s="7">
        <v>849</v>
      </c>
      <c r="I4824" s="8" t="str">
        <f ca="1">IFERROR(__xludf.DUMMYFUNCTION("IF
(
G4825=""фізична особа""
,
VLOOKUP(H4825,IMPORTRANGE(""https://docs.google.com/spreadsheets/d/14Bd19lYaqBhU8_DElYkX7l4wRkHqqCUFNJY4AfY3kHU/edit?usp=sharing  #gid=0"",""фіз особи new!relations_name""),6,FALSE)
,
(IF
(
G4825=""юридична особа""
,
VLOOKUP"&amp;"(H4825,IMPORTRANGE(""https://docs.google.com/spreadsheets/d/14Bd19lYaqBhU8_DElYkX7l4wRkHqqCUFNJY4AfY3kHU/edit?usp=sharing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4" s="7" t="s">
        <v>29</v>
      </c>
    </row>
    <row r="4825" spans="1:10" ht="13.2">
      <c r="A4825" s="7">
        <v>4824</v>
      </c>
      <c r="B4825" s="7">
        <v>1</v>
      </c>
      <c r="C4825" s="7" t="s">
        <v>10</v>
      </c>
      <c r="D4825" s="7">
        <v>3963</v>
      </c>
      <c r="E4825" s="7" t="s">
        <v>28</v>
      </c>
      <c r="F4825" s="8" t="str">
        <f ca="1">IFERROR(__xludf.DUMMYFUNCTION("IF
(
C4826=""фізична особа""
,
VLOOKUP(D4826,IMPORTRANGE(""https://docs.google.com/spreadsheets/d/14Bd19lYaqBhU8_DElYkX7l4wRkHqqCUFNJY4AfY3kHU/edit?usp=sharing  #gid=0"",""фіз особи new!relations_name""),6,FALSE)
,
(IF
(
C4826=""юридична особа""
,
VLOOKUP"&amp;"(D4826,IMPORTRANGE(""https://docs.google.com/spreadsheets/d/14Bd19lYaqBhU8_DElYkX7l4wRkHqqCUFNJY4AfY3kHU/edit?usp=sharing  #gid=0"",""фіз особи new!relations_name_uo""),7,FALSE)
,
)
))"),"КУБИШКО Володимир Леонідович")</f>
        <v>КУБИШКО Володимир Леонідович</v>
      </c>
      <c r="G4825" s="7" t="s">
        <v>10</v>
      </c>
      <c r="H4825" s="7">
        <v>849</v>
      </c>
      <c r="I4825" s="8" t="str">
        <f ca="1">IFERROR(__xludf.DUMMYFUNCTION("IF
(
G4826=""фізична особа""
,
VLOOKUP(H4826,IMPORTRANGE(""https://docs.google.com/spreadsheets/d/14Bd19lYaqBhU8_DElYkX7l4wRkHqqCUFNJY4AfY3kHU/edit?usp=sharing  #gid=0"",""фіз особи new!relations_name""),6,FALSE)
,
(IF
(
G4826=""юридична особа""
,
VLOOKUP"&amp;"(H4826,IMPORTRANGE(""https://docs.google.com/spreadsheets/d/14Bd19lYaqBhU8_DElYkX7l4wRkHqqCUFNJY4AfY3kHU/edit?usp=sharing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5" s="7" t="s">
        <v>29</v>
      </c>
    </row>
    <row r="4826" spans="1:10" ht="13.2">
      <c r="A4826" s="7">
        <v>4825</v>
      </c>
      <c r="B4826" s="7">
        <v>1</v>
      </c>
      <c r="C4826" s="7" t="s">
        <v>10</v>
      </c>
      <c r="D4826" s="7">
        <v>3964</v>
      </c>
      <c r="E4826" s="7" t="s">
        <v>28</v>
      </c>
      <c r="F4826" s="8" t="str">
        <f ca="1">IFERROR(__xludf.DUMMYFUNCTION("IF
(
C4827=""фізична особа""
,
VLOOKUP(D4827,IMPORTRANGE(""https://docs.google.com/spreadsheets/d/14Bd19lYaqBhU8_DElYkX7l4wRkHqqCUFNJY4AfY3kHU/edit?usp=sharing  #gid=0"",""фіз особи new!relations_name""),6,FALSE)
,
(IF
(
C4827=""юридична особа""
,
VLOOKUP"&amp;"(D4827,IMPORTRANGE(""https://docs.google.com/spreadsheets/d/14Bd19lYaqBhU8_DElYkX7l4wRkHqqCUFNJY4AfY3kHU/edit?usp=sharing  #gid=0"",""фіз особи new!relations_name_uo""),7,FALSE)
,
)
))"),"ТЕРЕНТЬЄВ Роман Олександрович")</f>
        <v>ТЕРЕНТЬЄВ Роман Олександрович</v>
      </c>
      <c r="G4826" s="7" t="s">
        <v>10</v>
      </c>
      <c r="H4826" s="7">
        <v>849</v>
      </c>
      <c r="I4826" s="8" t="str">
        <f ca="1">IFERROR(__xludf.DUMMYFUNCTION("IF
(
G4827=""фізична особа""
,
VLOOKUP(H4827,IMPORTRANGE(""https://docs.google.com/spreadsheets/d/14Bd19lYaqBhU8_DElYkX7l4wRkHqqCUFNJY4AfY3kHU/edit?usp=sharing  #gid=0"",""фіз особи new!relations_name""),6,FALSE)
,
(IF
(
G4827=""юридична особа""
,
VLOOKUP"&amp;"(H4827,IMPORTRANGE(""https://docs.google.com/spreadsheets/d/14Bd19lYaqBhU8_DElYkX7l4wRkHqqCUFNJY4AfY3kHU/edit?usp=sharing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6" s="7" t="s">
        <v>29</v>
      </c>
    </row>
    <row r="4827" spans="1:10" ht="13.2">
      <c r="A4827" s="7">
        <v>4826</v>
      </c>
      <c r="B4827" s="7">
        <v>1</v>
      </c>
      <c r="C4827" s="7" t="s">
        <v>10</v>
      </c>
      <c r="D4827" s="7">
        <v>3965</v>
      </c>
      <c r="E4827" s="7" t="s">
        <v>28</v>
      </c>
      <c r="F4827" s="8" t="str">
        <f ca="1">IFERROR(__xludf.DUMMYFUNCTION("IF
(
C4828=""фізична особа""
,
VLOOKUP(D4828,IMPORTRANGE(""https://docs.google.com/spreadsheets/d/14Bd19lYaqBhU8_DElYkX7l4wRkHqqCUFNJY4AfY3kHU/edit?usp=sharing  #gid=0"",""фіз особи new!relations_name""),6,FALSE)
,
(IF
(
C4828=""юридична особа""
,
VLOOKUP"&amp;"(D4828,IMPORTRANGE(""https://docs.google.com/spreadsheets/d/14Bd19lYaqBhU8_DElYkX7l4wRkHqqCUFNJY4AfY3kHU/edit?usp=sharing  #gid=0"",""фіз особи new!relations_name_uo""),7,FALSE)
,
)
))"),"ЮРЧИН Олександр Олександрович")</f>
        <v>ЮРЧИН Олександр Олександрович</v>
      </c>
      <c r="G4827" s="7" t="s">
        <v>10</v>
      </c>
      <c r="H4827" s="7">
        <v>849</v>
      </c>
      <c r="I4827" s="8" t="str">
        <f ca="1">IFERROR(__xludf.DUMMYFUNCTION("IF
(
G4828=""фізична особа""
,
VLOOKUP(H4828,IMPORTRANGE(""https://docs.google.com/spreadsheets/d/14Bd19lYaqBhU8_DElYkX7l4wRkHqqCUFNJY4AfY3kHU/edit?usp=sharing  #gid=0"",""фіз особи new!relations_name""),6,FALSE)
,
(IF
(
G4828=""юридична особа""
,
VLOOKUP"&amp;"(H4828,IMPORTRANGE(""https://docs.google.com/spreadsheets/d/14Bd19lYaqBhU8_DElYkX7l4wRkHqqCUFNJY4AfY3kHU/edit?usp=sharing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7" s="7" t="s">
        <v>29</v>
      </c>
    </row>
    <row r="4828" spans="1:10" ht="13.2">
      <c r="A4828" s="7">
        <v>4827</v>
      </c>
      <c r="B4828" s="7">
        <v>1</v>
      </c>
      <c r="C4828" s="7" t="s">
        <v>10</v>
      </c>
      <c r="D4828" s="7">
        <v>3966</v>
      </c>
      <c r="E4828" s="7" t="s">
        <v>28</v>
      </c>
      <c r="F4828" s="8" t="str">
        <f ca="1">IFERROR(__xludf.DUMMYFUNCTION("IF
(
C4829=""фізична особа""
,
VLOOKUP(D4829,IMPORTRANGE(""https://docs.google.com/spreadsheets/d/14Bd19lYaqBhU8_DElYkX7l4wRkHqqCUFNJY4AfY3kHU/edit?usp=sharing  #gid=0"",""фіз особи new!relations_name""),6,FALSE)
,
(IF
(
C4829=""юридична особа""
,
VLOOKUP"&amp;"(D4829,IMPORTRANGE(""https://docs.google.com/spreadsheets/d/14Bd19lYaqBhU8_DElYkX7l4wRkHqqCUFNJY4AfY3kHU/edit?usp=sharing  #gid=0"",""фіз особи new!relations_name_uo""),7,FALSE)
,
)
))"),"ГОРЄЛОВ Олександр Петрович")</f>
        <v>ГОРЄЛОВ Олександр Петрович</v>
      </c>
      <c r="G4828" s="7" t="s">
        <v>10</v>
      </c>
      <c r="H4828" s="7">
        <v>849</v>
      </c>
      <c r="I4828" s="8" t="str">
        <f ca="1">IFERROR(__xludf.DUMMYFUNCTION("IF
(
G4829=""фізична особа""
,
VLOOKUP(H4829,IMPORTRANGE(""https://docs.google.com/spreadsheets/d/14Bd19lYaqBhU8_DElYkX7l4wRkHqqCUFNJY4AfY3kHU/edit?usp=sharing  #gid=0"",""фіз особи new!relations_name""),6,FALSE)
,
(IF
(
G4829=""юридична особа""
,
VLOOKUP"&amp;"(H4829,IMPORTRANGE(""https://docs.google.com/spreadsheets/d/14Bd19lYaqBhU8_DElYkX7l4wRkHqqCUFNJY4AfY3kHU/edit?usp=sharing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8" s="7" t="s">
        <v>29</v>
      </c>
    </row>
    <row r="4829" spans="1:10" ht="13.2">
      <c r="A4829" s="7">
        <v>4828</v>
      </c>
      <c r="B4829" s="7">
        <v>1</v>
      </c>
      <c r="C4829" s="7" t="s">
        <v>10</v>
      </c>
      <c r="D4829" s="7">
        <v>3967</v>
      </c>
      <c r="E4829" s="7" t="s">
        <v>28</v>
      </c>
      <c r="F4829" s="8" t="str">
        <f ca="1">IFERROR(__xludf.DUMMYFUNCTION("IF
(
C4830=""фізична особа""
,
VLOOKUP(D4830,IMPORTRANGE(""https://docs.google.com/spreadsheets/d/14Bd19lYaqBhU8_DElYkX7l4wRkHqqCUFNJY4AfY3kHU/edit?usp=sharing  #gid=0"",""фіз особи new!relations_name""),6,FALSE)
,
(IF
(
C4830=""юридична особа""
,
VLOOKUP"&amp;"(D4830,IMPORTRANGE(""https://docs.google.com/spreadsheets/d/14Bd19lYaqBhU8_DElYkX7l4wRkHqqCUFNJY4AfY3kHU/edit?usp=sharing  #gid=0"",""фіз особи new!relations_name_uo""),7,FALSE)
,
)
))"),"КАЗЬМІН Вадим Вікторович")</f>
        <v>КАЗЬМІН Вадим Вікторович</v>
      </c>
      <c r="G4829" s="7" t="s">
        <v>10</v>
      </c>
      <c r="H4829" s="7">
        <v>849</v>
      </c>
      <c r="I4829" s="8" t="str">
        <f ca="1">IFERROR(__xludf.DUMMYFUNCTION("IF
(
G4830=""фізична особа""
,
VLOOKUP(H4830,IMPORTRANGE(""https://docs.google.com/spreadsheets/d/14Bd19lYaqBhU8_DElYkX7l4wRkHqqCUFNJY4AfY3kHU/edit?usp=sharing  #gid=0"",""фіз особи new!relations_name""),6,FALSE)
,
(IF
(
G4830=""юридична особа""
,
VLOOKUP"&amp;"(H4830,IMPORTRANGE(""https://docs.google.com/spreadsheets/d/14Bd19lYaqBhU8_DElYkX7l4wRkHqqCUFNJY4AfY3kHU/edit?usp=sharing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29" s="7" t="s">
        <v>29</v>
      </c>
    </row>
    <row r="4830" spans="1:10" ht="13.2">
      <c r="A4830" s="7">
        <v>4829</v>
      </c>
      <c r="B4830" s="7">
        <v>1</v>
      </c>
      <c r="C4830" s="7" t="s">
        <v>10</v>
      </c>
      <c r="D4830" s="7">
        <v>3968</v>
      </c>
      <c r="E4830" s="7" t="s">
        <v>28</v>
      </c>
      <c r="F4830" s="8" t="str">
        <f ca="1">IFERROR(__xludf.DUMMYFUNCTION("IF
(
C4831=""фізична особа""
,
VLOOKUP(D4831,IMPORTRANGE(""https://docs.google.com/spreadsheets/d/14Bd19lYaqBhU8_DElYkX7l4wRkHqqCUFNJY4AfY3kHU/edit?usp=sharing  #gid=0"",""фіз особи new!relations_name""),6,FALSE)
,
(IF
(
C4831=""юридична особа""
,
VLOOKUP"&amp;"(D4831,IMPORTRANGE(""https://docs.google.com/spreadsheets/d/14Bd19lYaqBhU8_DElYkX7l4wRkHqqCUFNJY4AfY3kHU/edit?usp=sharing  #gid=0"",""фіз особи new!relations_name_uo""),7,FALSE)
,
)
))"),"КАЛАЧЕВ Валерій Анатолійович")</f>
        <v>КАЛАЧЕВ Валерій Анатолійович</v>
      </c>
      <c r="G4830" s="7" t="s">
        <v>10</v>
      </c>
      <c r="H4830" s="7">
        <v>849</v>
      </c>
      <c r="I4830" s="8" t="str">
        <f ca="1">IFERROR(__xludf.DUMMYFUNCTION("IF
(
G4831=""фізична особа""
,
VLOOKUP(H4831,IMPORTRANGE(""https://docs.google.com/spreadsheets/d/14Bd19lYaqBhU8_DElYkX7l4wRkHqqCUFNJY4AfY3kHU/edit?usp=sharing  #gid=0"",""фіз особи new!relations_name""),6,FALSE)
,
(IF
(
G4831=""юридична особа""
,
VLOOKUP"&amp;"(H4831,IMPORTRANGE(""https://docs.google.com/spreadsheets/d/14Bd19lYaqBhU8_DElYkX7l4wRkHqqCUFNJY4AfY3kHU/edit?usp=sharing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0" s="7" t="s">
        <v>29</v>
      </c>
    </row>
    <row r="4831" spans="1:10" ht="13.2">
      <c r="A4831" s="7">
        <v>4830</v>
      </c>
      <c r="B4831" s="7">
        <v>1</v>
      </c>
      <c r="C4831" s="7" t="s">
        <v>10</v>
      </c>
      <c r="D4831" s="7">
        <v>3969</v>
      </c>
      <c r="E4831" s="7" t="s">
        <v>28</v>
      </c>
      <c r="F4831" s="8" t="str">
        <f ca="1">IFERROR(__xludf.DUMMYFUNCTION("IF
(
C4832=""фізична особа""
,
VLOOKUP(D4832,IMPORTRANGE(""https://docs.google.com/spreadsheets/d/14Bd19lYaqBhU8_DElYkX7l4wRkHqqCUFNJY4AfY3kHU/edit?usp=sharing  #gid=0"",""фіз особи new!relations_name""),6,FALSE)
,
(IF
(
C4832=""юридична особа""
,
VLOOKUP"&amp;"(D4832,IMPORTRANGE(""https://docs.google.com/spreadsheets/d/14Bd19lYaqBhU8_DElYkX7l4wRkHqqCUFNJY4AfY3kHU/edit?usp=sharing  #gid=0"",""фіз особи new!relations_name_uo""),7,FALSE)
,
)
))"),"ПИЛЮГІН Микола Миколайович")</f>
        <v>ПИЛЮГІН Микола Миколайович</v>
      </c>
      <c r="G4831" s="7" t="s">
        <v>10</v>
      </c>
      <c r="H4831" s="7">
        <v>849</v>
      </c>
      <c r="I4831" s="8" t="str">
        <f ca="1">IFERROR(__xludf.DUMMYFUNCTION("IF
(
G4832=""фізична особа""
,
VLOOKUP(H4832,IMPORTRANGE(""https://docs.google.com/spreadsheets/d/14Bd19lYaqBhU8_DElYkX7l4wRkHqqCUFNJY4AfY3kHU/edit?usp=sharing  #gid=0"",""фіз особи new!relations_name""),6,FALSE)
,
(IF
(
G4832=""юридична особа""
,
VLOOKUP"&amp;"(H4832,IMPORTRANGE(""https://docs.google.com/spreadsheets/d/14Bd19lYaqBhU8_DElYkX7l4wRkHqqCUFNJY4AfY3kHU/edit?usp=sharing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1" s="7" t="s">
        <v>29</v>
      </c>
    </row>
    <row r="4832" spans="1:10" ht="13.2">
      <c r="A4832" s="7">
        <v>4831</v>
      </c>
      <c r="B4832" s="7">
        <v>1</v>
      </c>
      <c r="C4832" s="7" t="s">
        <v>10</v>
      </c>
      <c r="D4832" s="7">
        <v>3970</v>
      </c>
      <c r="E4832" s="7" t="s">
        <v>28</v>
      </c>
      <c r="F4832" s="8" t="str">
        <f ca="1">IFERROR(__xludf.DUMMYFUNCTION("IF
(
C4833=""фізична особа""
,
VLOOKUP(D4833,IMPORTRANGE(""https://docs.google.com/spreadsheets/d/14Bd19lYaqBhU8_DElYkX7l4wRkHqqCUFNJY4AfY3kHU/edit?usp=sharing  #gid=0"",""фіз особи new!relations_name""),6,FALSE)
,
(IF
(
C4833=""юридична особа""
,
VLOOKUP"&amp;"(D4833,IMPORTRANGE(""https://docs.google.com/spreadsheets/d/14Bd19lYaqBhU8_DElYkX7l4wRkHqqCUFNJY4AfY3kHU/edit?usp=sharing  #gid=0"",""фіз особи new!relations_name_uo""),7,FALSE)
,
)
))"),"ЛІТВІНОВ Михайло Юрійович")</f>
        <v>ЛІТВІНОВ Михайло Юрійович</v>
      </c>
      <c r="G4832" s="7" t="s">
        <v>10</v>
      </c>
      <c r="H4832" s="7">
        <v>849</v>
      </c>
      <c r="I4832" s="8" t="str">
        <f ca="1">IFERROR(__xludf.DUMMYFUNCTION("IF
(
G4833=""фізична особа""
,
VLOOKUP(H4833,IMPORTRANGE(""https://docs.google.com/spreadsheets/d/14Bd19lYaqBhU8_DElYkX7l4wRkHqqCUFNJY4AfY3kHU/edit?usp=sharing  #gid=0"",""фіз особи new!relations_name""),6,FALSE)
,
(IF
(
G4833=""юридична особа""
,
VLOOKUP"&amp;"(H4833,IMPORTRANGE(""https://docs.google.com/spreadsheets/d/14Bd19lYaqBhU8_DElYkX7l4wRkHqqCUFNJY4AfY3kHU/edit?usp=sharing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2" s="7" t="s">
        <v>29</v>
      </c>
    </row>
    <row r="4833" spans="1:10" ht="13.2">
      <c r="A4833" s="7">
        <v>4832</v>
      </c>
      <c r="B4833" s="7">
        <v>1</v>
      </c>
      <c r="C4833" s="7" t="s">
        <v>10</v>
      </c>
      <c r="D4833" s="7">
        <v>3971</v>
      </c>
      <c r="E4833" s="7" t="s">
        <v>28</v>
      </c>
      <c r="F4833" s="8" t="str">
        <f ca="1">IFERROR(__xludf.DUMMYFUNCTION("IF
(
C4834=""фізична особа""
,
VLOOKUP(D4834,IMPORTRANGE(""https://docs.google.com/spreadsheets/d/14Bd19lYaqBhU8_DElYkX7l4wRkHqqCUFNJY4AfY3kHU/edit?usp=sharing  #gid=0"",""фіз особи new!relations_name""),6,FALSE)
,
(IF
(
C4834=""юридична особа""
,
VLOOKUP"&amp;"(D4834,IMPORTRANGE(""https://docs.google.com/spreadsheets/d/14Bd19lYaqBhU8_DElYkX7l4wRkHqqCUFNJY4AfY3kHU/edit?usp=sharing  #gid=0"",""фіз особи new!relations_name_uo""),7,FALSE)
,
)
))"),"КОВАЛЬОВ Ігор Вікторович")</f>
        <v>КОВАЛЬОВ Ігор Вікторович</v>
      </c>
      <c r="G4833" s="7" t="s">
        <v>10</v>
      </c>
      <c r="H4833" s="7">
        <v>849</v>
      </c>
      <c r="I4833" s="8" t="str">
        <f ca="1">IFERROR(__xludf.DUMMYFUNCTION("IF
(
G4834=""фізична особа""
,
VLOOKUP(H4834,IMPORTRANGE(""https://docs.google.com/spreadsheets/d/14Bd19lYaqBhU8_DElYkX7l4wRkHqqCUFNJY4AfY3kHU/edit?usp=sharing  #gid=0"",""фіз особи new!relations_name""),6,FALSE)
,
(IF
(
G4834=""юридична особа""
,
VLOOKUP"&amp;"(H4834,IMPORTRANGE(""https://docs.google.com/spreadsheets/d/14Bd19lYaqBhU8_DElYkX7l4wRkHqqCUFNJY4AfY3kHU/edit?usp=sharing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3" s="7" t="s">
        <v>29</v>
      </c>
    </row>
    <row r="4834" spans="1:10" ht="13.2">
      <c r="A4834" s="7">
        <v>4833</v>
      </c>
      <c r="B4834" s="7">
        <v>1</v>
      </c>
      <c r="C4834" s="7" t="s">
        <v>10</v>
      </c>
      <c r="D4834" s="7">
        <v>3972</v>
      </c>
      <c r="E4834" s="7" t="s">
        <v>28</v>
      </c>
      <c r="F4834" s="8" t="str">
        <f ca="1">IFERROR(__xludf.DUMMYFUNCTION("IF
(
C4835=""фізична особа""
,
VLOOKUP(D4835,IMPORTRANGE(""https://docs.google.com/spreadsheets/d/14Bd19lYaqBhU8_DElYkX7l4wRkHqqCUFNJY4AfY3kHU/edit?usp=sharing  #gid=0"",""фіз особи new!relations_name""),6,FALSE)
,
(IF
(
C4835=""юридична особа""
,
VLOOKUP"&amp;"(D4835,IMPORTRANGE(""https://docs.google.com/spreadsheets/d/14Bd19lYaqBhU8_DElYkX7l4wRkHqqCUFNJY4AfY3kHU/edit?usp=sharing  #gid=0"",""фіз особи new!relations_name_uo""),7,FALSE)
,
)
))"),"КНЯЗЄВ Олександр Олександрович")</f>
        <v>КНЯЗЄВ Олександр Олександрович</v>
      </c>
      <c r="G4834" s="7" t="s">
        <v>10</v>
      </c>
      <c r="H4834" s="7">
        <v>849</v>
      </c>
      <c r="I4834" s="8" t="str">
        <f ca="1">IFERROR(__xludf.DUMMYFUNCTION("IF
(
G4835=""фізична особа""
,
VLOOKUP(H4835,IMPORTRANGE(""https://docs.google.com/spreadsheets/d/14Bd19lYaqBhU8_DElYkX7l4wRkHqqCUFNJY4AfY3kHU/edit?usp=sharing  #gid=0"",""фіз особи new!relations_name""),6,FALSE)
,
(IF
(
G4835=""юридична особа""
,
VLOOKUP"&amp;"(H4835,IMPORTRANGE(""https://docs.google.com/spreadsheets/d/14Bd19lYaqBhU8_DElYkX7l4wRkHqqCUFNJY4AfY3kHU/edit?usp=sharing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4" s="7" t="s">
        <v>29</v>
      </c>
    </row>
    <row r="4835" spans="1:10" ht="13.2">
      <c r="A4835" s="7">
        <v>4834</v>
      </c>
      <c r="B4835" s="7">
        <v>1</v>
      </c>
      <c r="C4835" s="7" t="s">
        <v>10</v>
      </c>
      <c r="D4835" s="7">
        <v>3973</v>
      </c>
      <c r="E4835" s="7" t="s">
        <v>28</v>
      </c>
      <c r="F4835" s="8" t="str">
        <f ca="1">IFERROR(__xludf.DUMMYFUNCTION("IF
(
C4836=""фізична особа""
,
VLOOKUP(D4836,IMPORTRANGE(""https://docs.google.com/spreadsheets/d/14Bd19lYaqBhU8_DElYkX7l4wRkHqqCUFNJY4AfY3kHU/edit?usp=sharing  #gid=0"",""фіз особи new!relations_name""),6,FALSE)
,
(IF
(
C4836=""юридична особа""
,
VLOOKUP"&amp;"(D4836,IMPORTRANGE(""https://docs.google.com/spreadsheets/d/14Bd19lYaqBhU8_DElYkX7l4wRkHqqCUFNJY4AfY3kHU/edit?usp=sharing  #gid=0"",""фіз особи new!relations_name_uo""),7,FALSE)
,
)
))"),"МИХАЛЬОВ Сергій Володимирович")</f>
        <v>МИХАЛЬОВ Сергій Володимирович</v>
      </c>
      <c r="G4835" s="7" t="s">
        <v>10</v>
      </c>
      <c r="H4835" s="7">
        <v>849</v>
      </c>
      <c r="I4835" s="8" t="str">
        <f ca="1">IFERROR(__xludf.DUMMYFUNCTION("IF
(
G4836=""фізична особа""
,
VLOOKUP(H4836,IMPORTRANGE(""https://docs.google.com/spreadsheets/d/14Bd19lYaqBhU8_DElYkX7l4wRkHqqCUFNJY4AfY3kHU/edit?usp=sharing  #gid=0"",""фіз особи new!relations_name""),6,FALSE)
,
(IF
(
G4836=""юридична особа""
,
VLOOKUP"&amp;"(H4836,IMPORTRANGE(""https://docs.google.com/spreadsheets/d/14Bd19lYaqBhU8_DElYkX7l4wRkHqqCUFNJY4AfY3kHU/edit?usp=sharing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5" s="7" t="s">
        <v>29</v>
      </c>
    </row>
    <row r="4836" spans="1:10" ht="13.2">
      <c r="A4836" s="7">
        <v>4835</v>
      </c>
      <c r="B4836" s="7">
        <v>1</v>
      </c>
      <c r="C4836" s="7" t="s">
        <v>10</v>
      </c>
      <c r="D4836" s="7">
        <v>3974</v>
      </c>
      <c r="E4836" s="7" t="s">
        <v>28</v>
      </c>
      <c r="F4836" s="8" t="str">
        <f ca="1">IFERROR(__xludf.DUMMYFUNCTION("IF
(
C4837=""фізична особа""
,
VLOOKUP(D4837,IMPORTRANGE(""https://docs.google.com/spreadsheets/d/14Bd19lYaqBhU8_DElYkX7l4wRkHqqCUFNJY4AfY3kHU/edit?usp=sharing  #gid=0"",""фіз особи new!relations_name""),6,FALSE)
,
(IF
(
C4837=""юридична особа""
,
VLOOKUP"&amp;"(D4837,IMPORTRANGE(""https://docs.google.com/spreadsheets/d/14Bd19lYaqBhU8_DElYkX7l4wRkHqqCUFNJY4AfY3kHU/edit?usp=sharing  #gid=0"",""фіз особи new!relations_name_uo""),7,FALSE)
,
)
))"),"ГЕРБАНОВСЬКИЙ Леонід Едуардович")</f>
        <v>ГЕРБАНОВСЬКИЙ Леонід Едуардович</v>
      </c>
      <c r="G4836" s="7" t="s">
        <v>10</v>
      </c>
      <c r="H4836" s="7">
        <v>849</v>
      </c>
      <c r="I4836" s="8" t="str">
        <f ca="1">IFERROR(__xludf.DUMMYFUNCTION("IF
(
G4837=""фізична особа""
,
VLOOKUP(H4837,IMPORTRANGE(""https://docs.google.com/spreadsheets/d/14Bd19lYaqBhU8_DElYkX7l4wRkHqqCUFNJY4AfY3kHU/edit?usp=sharing  #gid=0"",""фіз особи new!relations_name""),6,FALSE)
,
(IF
(
G4837=""юридична особа""
,
VLOOKUP"&amp;"(H4837,IMPORTRANGE(""https://docs.google.com/spreadsheets/d/14Bd19lYaqBhU8_DElYkX7l4wRkHqqCUFNJY4AfY3kHU/edit?usp=sharing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6" s="7" t="s">
        <v>29</v>
      </c>
    </row>
    <row r="4837" spans="1:10" ht="13.2">
      <c r="A4837" s="7">
        <v>4836</v>
      </c>
      <c r="B4837" s="7">
        <v>1</v>
      </c>
      <c r="C4837" s="7" t="s">
        <v>10</v>
      </c>
      <c r="D4837" s="7">
        <v>3975</v>
      </c>
      <c r="E4837" s="7" t="s">
        <v>28</v>
      </c>
      <c r="F4837" s="8" t="str">
        <f ca="1">IFERROR(__xludf.DUMMYFUNCTION("IF
(
C4838=""фізична особа""
,
VLOOKUP(D4838,IMPORTRANGE(""https://docs.google.com/spreadsheets/d/14Bd19lYaqBhU8_DElYkX7l4wRkHqqCUFNJY4AfY3kHU/edit?usp=sharing  #gid=0"",""фіз особи new!relations_name""),6,FALSE)
,
(IF
(
C4838=""юридична особа""
,
VLOOKUP"&amp;"(D4838,IMPORTRANGE(""https://docs.google.com/spreadsheets/d/14Bd19lYaqBhU8_DElYkX7l4wRkHqqCUFNJY4AfY3kHU/edit?usp=sharing  #gid=0"",""фіз особи new!relations_name_uo""),7,FALSE)
,
)
))"),"МАНАХОВ Сергій Анатолійович")</f>
        <v>МАНАХОВ Сергій Анатолійович</v>
      </c>
      <c r="G4837" s="7" t="s">
        <v>10</v>
      </c>
      <c r="H4837" s="7">
        <v>849</v>
      </c>
      <c r="I4837" s="8" t="str">
        <f ca="1">IFERROR(__xludf.DUMMYFUNCTION("IF
(
G4838=""фізична особа""
,
VLOOKUP(H4838,IMPORTRANGE(""https://docs.google.com/spreadsheets/d/14Bd19lYaqBhU8_DElYkX7l4wRkHqqCUFNJY4AfY3kHU/edit?usp=sharing  #gid=0"",""фіз особи new!relations_name""),6,FALSE)
,
(IF
(
G4838=""юридична особа""
,
VLOOKUP"&amp;"(H4838,IMPORTRANGE(""https://docs.google.com/spreadsheets/d/14Bd19lYaqBhU8_DElYkX7l4wRkHqqCUFNJY4AfY3kHU/edit?usp=sharing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7" s="7" t="s">
        <v>29</v>
      </c>
    </row>
    <row r="4838" spans="1:10" ht="13.2">
      <c r="A4838" s="7">
        <v>4837</v>
      </c>
      <c r="B4838" s="7">
        <v>1</v>
      </c>
      <c r="C4838" s="7" t="s">
        <v>10</v>
      </c>
      <c r="D4838" s="7">
        <v>3976</v>
      </c>
      <c r="E4838" s="7" t="s">
        <v>28</v>
      </c>
      <c r="F4838" s="8" t="str">
        <f ca="1">IFERROR(__xludf.DUMMYFUNCTION("IF
(
C4839=""фізична особа""
,
VLOOKUP(D4839,IMPORTRANGE(""https://docs.google.com/spreadsheets/d/14Bd19lYaqBhU8_DElYkX7l4wRkHqqCUFNJY4AfY3kHU/edit?usp=sharing  #gid=0"",""фіз особи new!relations_name""),6,FALSE)
,
(IF
(
C4839=""юридична особа""
,
VLOOKUP"&amp;"(D4839,IMPORTRANGE(""https://docs.google.com/spreadsheets/d/14Bd19lYaqBhU8_DElYkX7l4wRkHqqCUFNJY4AfY3kHU/edit?usp=sharing  #gid=0"",""фіз особи new!relations_name_uo""),7,FALSE)
,
)
))"),"КОЖОКАР Валерій Васильович")</f>
        <v>КОЖОКАР Валерій Васильович</v>
      </c>
      <c r="G4838" s="7" t="s">
        <v>10</v>
      </c>
      <c r="H4838" s="7">
        <v>849</v>
      </c>
      <c r="I4838" s="8" t="str">
        <f ca="1">IFERROR(__xludf.DUMMYFUNCTION("IF
(
G4839=""фізична особа""
,
VLOOKUP(H4839,IMPORTRANGE(""https://docs.google.com/spreadsheets/d/14Bd19lYaqBhU8_DElYkX7l4wRkHqqCUFNJY4AfY3kHU/edit?usp=sharing  #gid=0"",""фіз особи new!relations_name""),6,FALSE)
,
(IF
(
G4839=""юридична особа""
,
VLOOKUP"&amp;"(H4839,IMPORTRANGE(""https://docs.google.com/spreadsheets/d/14Bd19lYaqBhU8_DElYkX7l4wRkHqqCUFNJY4AfY3kHU/edit?usp=sharing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8" s="7" t="s">
        <v>29</v>
      </c>
    </row>
    <row r="4839" spans="1:10" ht="13.2">
      <c r="A4839" s="7">
        <v>4838</v>
      </c>
      <c r="B4839" s="7">
        <v>1</v>
      </c>
      <c r="C4839" s="7" t="s">
        <v>10</v>
      </c>
      <c r="D4839" s="7">
        <v>3977</v>
      </c>
      <c r="E4839" s="7" t="s">
        <v>28</v>
      </c>
      <c r="F4839" s="8" t="str">
        <f ca="1">IFERROR(__xludf.DUMMYFUNCTION("IF
(
C4840=""фізична особа""
,
VLOOKUP(D4840,IMPORTRANGE(""https://docs.google.com/spreadsheets/d/14Bd19lYaqBhU8_DElYkX7l4wRkHqqCUFNJY4AfY3kHU/edit?usp=sharing  #gid=0"",""фіз особи new!relations_name""),6,FALSE)
,
(IF
(
C4840=""юридична особа""
,
VLOOKUP"&amp;"(D4840,IMPORTRANGE(""https://docs.google.com/spreadsheets/d/14Bd19lYaqBhU8_DElYkX7l4wRkHqqCUFNJY4AfY3kHU/edit?usp=sharing  #gid=0"",""фіз особи new!relations_name_uo""),7,FALSE)
,
)
))"),"САФІУЛЛІН Ільдар Рашидович")</f>
        <v>САФІУЛЛІН Ільдар Рашидович</v>
      </c>
      <c r="G4839" s="7" t="s">
        <v>10</v>
      </c>
      <c r="H4839" s="7">
        <v>849</v>
      </c>
      <c r="I4839" s="8" t="str">
        <f ca="1">IFERROR(__xludf.DUMMYFUNCTION("IF
(
G4840=""фізична особа""
,
VLOOKUP(H4840,IMPORTRANGE(""https://docs.google.com/spreadsheets/d/14Bd19lYaqBhU8_DElYkX7l4wRkHqqCUFNJY4AfY3kHU/edit?usp=sharing  #gid=0"",""фіз особи new!relations_name""),6,FALSE)
,
(IF
(
G4840=""юридична особа""
,
VLOOKUP"&amp;"(H4840,IMPORTRANGE(""https://docs.google.com/spreadsheets/d/14Bd19lYaqBhU8_DElYkX7l4wRkHqqCUFNJY4AfY3kHU/edit?usp=sharing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39" s="7" t="s">
        <v>29</v>
      </c>
    </row>
    <row r="4840" spans="1:10" ht="13.2">
      <c r="A4840" s="7">
        <v>4839</v>
      </c>
      <c r="B4840" s="7">
        <v>1</v>
      </c>
      <c r="C4840" s="7" t="s">
        <v>10</v>
      </c>
      <c r="D4840" s="7">
        <v>3978</v>
      </c>
      <c r="E4840" s="7" t="s">
        <v>28</v>
      </c>
      <c r="F4840" s="8" t="str">
        <f ca="1">IFERROR(__xludf.DUMMYFUNCTION("IF
(
C4841=""фізична особа""
,
VLOOKUP(D4841,IMPORTRANGE(""https://docs.google.com/spreadsheets/d/14Bd19lYaqBhU8_DElYkX7l4wRkHqqCUFNJY4AfY3kHU/edit?usp=sharing  #gid=0"",""фіз особи new!relations_name""),6,FALSE)
,
(IF
(
C4841=""юридична особа""
,
VLOOKUP"&amp;"(D4841,IMPORTRANGE(""https://docs.google.com/spreadsheets/d/14Bd19lYaqBhU8_DElYkX7l4wRkHqqCUFNJY4AfY3kHU/edit?usp=sharing  #gid=0"",""фіз особи new!relations_name_uo""),7,FALSE)
,
)
))"),"МЕДВЕДЄВ Дмитро Валентинович")</f>
        <v>МЕДВЕДЄВ Дмитро Валентинович</v>
      </c>
      <c r="G4840" s="7" t="s">
        <v>10</v>
      </c>
      <c r="H4840" s="7">
        <v>849</v>
      </c>
      <c r="I4840" s="8" t="str">
        <f ca="1">IFERROR(__xludf.DUMMYFUNCTION("IF
(
G4841=""фізична особа""
,
VLOOKUP(H4841,IMPORTRANGE(""https://docs.google.com/spreadsheets/d/14Bd19lYaqBhU8_DElYkX7l4wRkHqqCUFNJY4AfY3kHU/edit?usp=sharing  #gid=0"",""фіз особи new!relations_name""),6,FALSE)
,
(IF
(
G4841=""юридична особа""
,
VLOOKUP"&amp;"(H4841,IMPORTRANGE(""https://docs.google.com/spreadsheets/d/14Bd19lYaqBhU8_DElYkX7l4wRkHqqCUFNJY4AfY3kHU/edit?usp=sharing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40" s="7" t="s">
        <v>29</v>
      </c>
    </row>
    <row r="4841" spans="1:10" ht="13.2">
      <c r="A4841" s="7">
        <v>4840</v>
      </c>
      <c r="B4841" s="7">
        <v>1</v>
      </c>
      <c r="C4841" s="7" t="s">
        <v>10</v>
      </c>
      <c r="D4841" s="7">
        <v>3979</v>
      </c>
      <c r="E4841" s="7" t="s">
        <v>28</v>
      </c>
      <c r="F4841" s="8" t="str">
        <f ca="1">IFERROR(__xludf.DUMMYFUNCTION("IF
(
C4842=""фізична особа""
,
VLOOKUP(D4842,IMPORTRANGE(""https://docs.google.com/spreadsheets/d/14Bd19lYaqBhU8_DElYkX7l4wRkHqqCUFNJY4AfY3kHU/edit?usp=sharing  #gid=0"",""фіз особи new!relations_name""),6,FALSE)
,
(IF
(
C4842=""юридична особа""
,
VLOOKUP"&amp;"(D4842,IMPORTRANGE(""https://docs.google.com/spreadsheets/d/14Bd19lYaqBhU8_DElYkX7l4wRkHqqCUFNJY4AfY3kHU/edit?usp=sharing  #gid=0"",""фіз особи new!relations_name_uo""),7,FALSE)
,
)
))"),"КЛАПОЦЬКИЙ Євген Федорович")</f>
        <v>КЛАПОЦЬКИЙ Євген Федорович</v>
      </c>
      <c r="G4841" s="7" t="s">
        <v>10</v>
      </c>
      <c r="H4841" s="7">
        <v>849</v>
      </c>
      <c r="I4841" s="8" t="str">
        <f ca="1">IFERROR(__xludf.DUMMYFUNCTION("IF
(
G4842=""фізична особа""
,
VLOOKUP(H4842,IMPORTRANGE(""https://docs.google.com/spreadsheets/d/14Bd19lYaqBhU8_DElYkX7l4wRkHqqCUFNJY4AfY3kHU/edit?usp=sharing  #gid=0"",""фіз особи new!relations_name""),6,FALSE)
,
(IF
(
G4842=""юридична особа""
,
VLOOKUP"&amp;"(H4842,IMPORTRANGE(""https://docs.google.com/spreadsheets/d/14Bd19lYaqBhU8_DElYkX7l4wRkHqqCUFNJY4AfY3kHU/edit?usp=sharing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41" s="7" t="s">
        <v>29</v>
      </c>
    </row>
    <row r="4842" spans="1:10" ht="13.2">
      <c r="A4842" s="7">
        <v>4841</v>
      </c>
      <c r="B4842" s="7">
        <v>1</v>
      </c>
      <c r="C4842" s="7" t="s">
        <v>10</v>
      </c>
      <c r="D4842" s="7">
        <v>3980</v>
      </c>
      <c r="E4842" s="7" t="s">
        <v>28</v>
      </c>
      <c r="F4842" s="8" t="str">
        <f ca="1">IFERROR(__xludf.DUMMYFUNCTION("IF
(
C4843=""фізична особа""
,
VLOOKUP(D4843,IMPORTRANGE(""https://docs.google.com/spreadsheets/d/14Bd19lYaqBhU8_DElYkX7l4wRkHqqCUFNJY4AfY3kHU/edit?usp=sharing  #gid=0"",""фіз особи new!relations_name""),6,FALSE)
,
(IF
(
C4843=""юридична особа""
,
VLOOKUP"&amp;"(D4843,IMPORTRANGE(""https://docs.google.com/spreadsheets/d/14Bd19lYaqBhU8_DElYkX7l4wRkHqqCUFNJY4AfY3kHU/edit?usp=sharing  #gid=0"",""фіз особи new!relations_name_uo""),7,FALSE)
,
)
))"),"МАРКОВ Антон Юрійович")</f>
        <v>МАРКОВ Антон Юрійович</v>
      </c>
      <c r="G4842" s="7" t="s">
        <v>10</v>
      </c>
      <c r="H4842" s="7">
        <v>849</v>
      </c>
      <c r="I4842" s="8" t="str">
        <f ca="1">IFERROR(__xludf.DUMMYFUNCTION("IF
(
G4843=""фізична особа""
,
VLOOKUP(H4843,IMPORTRANGE(""https://docs.google.com/spreadsheets/d/14Bd19lYaqBhU8_DElYkX7l4wRkHqqCUFNJY4AfY3kHU/edit?usp=sharing  #gid=0"",""фіз особи new!relations_name""),6,FALSE)
,
(IF
(
G4843=""юридична особа""
,
VLOOKUP"&amp;"(H4843,IMPORTRANGE(""https://docs.google.com/spreadsheets/d/14Bd19lYaqBhU8_DElYkX7l4wRkHqqCUFNJY4AfY3kHU/edit?usp=sharing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42" s="7" t="s">
        <v>29</v>
      </c>
    </row>
    <row r="4843" spans="1:10" ht="13.2">
      <c r="A4843" s="7">
        <v>4842</v>
      </c>
      <c r="B4843" s="7">
        <v>1</v>
      </c>
      <c r="C4843" s="7" t="s">
        <v>10</v>
      </c>
      <c r="D4843" s="7">
        <v>3981</v>
      </c>
      <c r="E4843" s="7" t="s">
        <v>28</v>
      </c>
      <c r="F4843" s="8" t="str">
        <f ca="1">IFERROR(__xludf.DUMMYFUNCTION("IF
(
C4844=""фізична особа""
,
VLOOKUP(D4844,IMPORTRANGE(""https://docs.google.com/spreadsheets/d/14Bd19lYaqBhU8_DElYkX7l4wRkHqqCUFNJY4AfY3kHU/edit?usp=sharing  #gid=0"",""фіз особи new!relations_name""),6,FALSE)
,
(IF
(
C4844=""юридична особа""
,
VLOOKUP"&amp;"(D4844,IMPORTRANGE(""https://docs.google.com/spreadsheets/d/14Bd19lYaqBhU8_DElYkX7l4wRkHqqCUFNJY4AfY3kHU/edit?usp=sharing  #gid=0"",""фіз особи new!relations_name_uo""),7,FALSE)
,
)
))"),"УДОВЕНКО Олександр Іванович")</f>
        <v>УДОВЕНКО Олександр Іванович</v>
      </c>
      <c r="G4843" s="7" t="s">
        <v>10</v>
      </c>
      <c r="H4843" s="7">
        <v>849</v>
      </c>
      <c r="I4843" s="8" t="str">
        <f ca="1">IFERROR(__xludf.DUMMYFUNCTION("IF
(
G4844=""фізична особа""
,
VLOOKUP(H4844,IMPORTRANGE(""https://docs.google.com/spreadsheets/d/14Bd19lYaqBhU8_DElYkX7l4wRkHqqCUFNJY4AfY3kHU/edit?usp=sharing  #gid=0"",""фіз особи new!relations_name""),6,FALSE)
,
(IF
(
G4844=""юридична особа""
,
VLOOKUP"&amp;"(H4844,IMPORTRANGE(""https://docs.google.com/spreadsheets/d/14Bd19lYaqBhU8_DElYkX7l4wRkHqqCUFNJY4AfY3kHU/edit?usp=sharing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43" s="7" t="s">
        <v>29</v>
      </c>
    </row>
    <row r="4844" spans="1:10" ht="13.2">
      <c r="A4844" s="7">
        <v>4843</v>
      </c>
      <c r="B4844" s="7">
        <v>1</v>
      </c>
      <c r="C4844" s="7" t="s">
        <v>10</v>
      </c>
      <c r="D4844" s="7">
        <v>3982</v>
      </c>
      <c r="E4844" s="7" t="s">
        <v>28</v>
      </c>
      <c r="F4844" s="8" t="str">
        <f ca="1">IFERROR(__xludf.DUMMYFUNCTION("IF
(
C4845=""фізична особа""
,
VLOOKUP(D4845,IMPORTRANGE(""https://docs.google.com/spreadsheets/d/14Bd19lYaqBhU8_DElYkX7l4wRkHqqCUFNJY4AfY3kHU/edit?usp=sharing  #gid=0"",""фіз особи new!relations_name""),6,FALSE)
,
(IF
(
C4845=""юридична особа""
,
VLOOKUP"&amp;"(D4845,IMPORTRANGE(""https://docs.google.com/spreadsheets/d/14Bd19lYaqBhU8_DElYkX7l4wRkHqqCUFNJY4AfY3kHU/edit?usp=sharing  #gid=0"",""фіз особи new!relations_name_uo""),7,FALSE)
,
)
))"),"БУГЛАК Сергій Вікторович")</f>
        <v>БУГЛАК Сергій Вікторович</v>
      </c>
      <c r="G4844" s="7" t="s">
        <v>10</v>
      </c>
      <c r="H4844" s="7">
        <v>670</v>
      </c>
      <c r="I4844" s="8" t="str">
        <f ca="1">IFERROR(__xludf.DUMMYFUNCTION("IF
(
G4845=""фізична особа""
,
VLOOKUP(H4845,IMPORTRANGE(""https://docs.google.com/spreadsheets/d/14Bd19lYaqBhU8_DElYkX7l4wRkHqqCUFNJY4AfY3kHU/edit?usp=sharing  #gid=0"",""фіз особи new!relations_name""),6,FALSE)
,
(IF
(
G4845=""юридична особа""
,
VLOOKUP"&amp;"(H4845,IMPORTRANGE(""https://docs.google.com/spreadsheets/d/14Bd19lYaqBhU8_DElYkX7l4wRkHqqCUFNJY4AfY3kHU/edit?usp=sharing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44" s="7" t="s">
        <v>29</v>
      </c>
    </row>
    <row r="4845" spans="1:10" ht="13.2">
      <c r="A4845" s="7">
        <v>4844</v>
      </c>
      <c r="B4845" s="7">
        <v>1</v>
      </c>
      <c r="C4845" s="7" t="s">
        <v>10</v>
      </c>
      <c r="D4845" s="7">
        <v>3982</v>
      </c>
      <c r="E4845" s="7" t="s">
        <v>28</v>
      </c>
      <c r="F4845" s="8" t="str">
        <f ca="1">IFERROR(__xludf.DUMMYFUNCTION("IF
(
C4846=""фізична особа""
,
VLOOKUP(D4846,IMPORTRANGE(""https://docs.google.com/spreadsheets/d/14Bd19lYaqBhU8_DElYkX7l4wRkHqqCUFNJY4AfY3kHU/edit?usp=sharing  #gid=0"",""фіз особи new!relations_name""),6,FALSE)
,
(IF
(
C4846=""юридична особа""
,
VLOOKUP"&amp;"(D4846,IMPORTRANGE(""https://docs.google.com/spreadsheets/d/14Bd19lYaqBhU8_DElYkX7l4wRkHqqCUFNJY4AfY3kHU/edit?usp=sharing  #gid=0"",""фіз особи new!relations_name_uo""),7,FALSE)
,
)
))"),"БУГЛАК Сергій Вікторович")</f>
        <v>БУГЛАК Сергій Вікторович</v>
      </c>
      <c r="G4845" s="7" t="s">
        <v>10</v>
      </c>
      <c r="H4845" s="7">
        <v>211</v>
      </c>
      <c r="I4845" s="8" t="str">
        <f ca="1">IFERROR(__xludf.DUMMYFUNCTION("IF
(
G4846=""фізична особа""
,
VLOOKUP(H4846,IMPORTRANGE(""https://docs.google.com/spreadsheets/d/14Bd19lYaqBhU8_DElYkX7l4wRkHqqCUFNJY4AfY3kHU/edit?usp=sharing  #gid=0"",""фіз особи new!relations_name""),6,FALSE)
,
(IF
(
G4846=""юридична особа""
,
VLOOKUP"&amp;"(H4846,IMPORTRANGE(""https://docs.google.com/spreadsheets/d/14Bd19lYaqBhU8_DElYkX7l4wRkHqqCUFNJY4AfY3kHU/edit?usp=sharing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45" s="7" t="s">
        <v>102</v>
      </c>
    </row>
    <row r="4846" spans="1:10" ht="13.2">
      <c r="A4846" s="7">
        <v>4845</v>
      </c>
      <c r="B4846" s="7">
        <v>1</v>
      </c>
      <c r="C4846" s="7" t="s">
        <v>10</v>
      </c>
      <c r="D4846" s="7">
        <v>3983</v>
      </c>
      <c r="E4846" s="7" t="s">
        <v>28</v>
      </c>
      <c r="F4846" s="8" t="str">
        <f ca="1">IFERROR(__xludf.DUMMYFUNCTION("IF
(
C4847=""фізична особа""
,
VLOOKUP(D4847,IMPORTRANGE(""https://docs.google.com/spreadsheets/d/14Bd19lYaqBhU8_DElYkX7l4wRkHqqCUFNJY4AfY3kHU/edit?usp=sharing  #gid=0"",""фіз особи new!relations_name""),6,FALSE)
,
(IF
(
C4847=""юридична особа""
,
VLOOKUP"&amp;"(D4847,IMPORTRANGE(""https://docs.google.com/spreadsheets/d/14Bd19lYaqBhU8_DElYkX7l4wRkHqqCUFNJY4AfY3kHU/edit?usp=sharing  #gid=0"",""фіз особи new!relations_name_uo""),7,FALSE)
,
)
))"),"ЧИСТЯКОВ Артур Едуардович")</f>
        <v>ЧИСТЯКОВ Артур Едуардович</v>
      </c>
      <c r="G4846" s="7" t="s">
        <v>10</v>
      </c>
      <c r="H4846" s="7">
        <v>670</v>
      </c>
      <c r="I4846" s="8" t="str">
        <f ca="1">IFERROR(__xludf.DUMMYFUNCTION("IF
(
G4847=""фізична особа""
,
VLOOKUP(H4847,IMPORTRANGE(""https://docs.google.com/spreadsheets/d/14Bd19lYaqBhU8_DElYkX7l4wRkHqqCUFNJY4AfY3kHU/edit?usp=sharing  #gid=0"",""фіз особи new!relations_name""),6,FALSE)
,
(IF
(
G4847=""юридична особа""
,
VLOOKUP"&amp;"(H4847,IMPORTRANGE(""https://docs.google.com/spreadsheets/d/14Bd19lYaqBhU8_DElYkX7l4wRkHqqCUFNJY4AfY3kHU/edit?usp=sharing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46" s="7" t="s">
        <v>29</v>
      </c>
    </row>
    <row r="4847" spans="1:10" ht="13.2">
      <c r="A4847" s="7">
        <v>4846</v>
      </c>
      <c r="B4847" s="7">
        <v>1</v>
      </c>
      <c r="C4847" s="7" t="s">
        <v>10</v>
      </c>
      <c r="D4847" s="7">
        <v>3983</v>
      </c>
      <c r="E4847" s="7" t="s">
        <v>28</v>
      </c>
      <c r="F4847" s="8" t="str">
        <f ca="1">IFERROR(__xludf.DUMMYFUNCTION("IF
(
C4848=""фізична особа""
,
VLOOKUP(D4848,IMPORTRANGE(""https://docs.google.com/spreadsheets/d/14Bd19lYaqBhU8_DElYkX7l4wRkHqqCUFNJY4AfY3kHU/edit?usp=sharing  #gid=0"",""фіз особи new!relations_name""),6,FALSE)
,
(IF
(
C4848=""юридична особа""
,
VLOOKUP"&amp;"(D4848,IMPORTRANGE(""https://docs.google.com/spreadsheets/d/14Bd19lYaqBhU8_DElYkX7l4wRkHqqCUFNJY4AfY3kHU/edit?usp=sharing  #gid=0"",""фіз особи new!relations_name_uo""),7,FALSE)
,
)
))"),"ЧИСТЯКОВ Артур Едуардович")</f>
        <v>ЧИСТЯКОВ Артур Едуардович</v>
      </c>
      <c r="G4847" s="7" t="s">
        <v>10</v>
      </c>
      <c r="H4847" s="7">
        <v>211</v>
      </c>
      <c r="I4847" s="8" t="str">
        <f ca="1">IFERROR(__xludf.DUMMYFUNCTION("IF
(
G4848=""фізична особа""
,
VLOOKUP(H4848,IMPORTRANGE(""https://docs.google.com/spreadsheets/d/14Bd19lYaqBhU8_DElYkX7l4wRkHqqCUFNJY4AfY3kHU/edit?usp=sharing  #gid=0"",""фіз особи new!relations_name""),6,FALSE)
,
(IF
(
G4848=""юридична особа""
,
VLOOKUP"&amp;"(H4848,IMPORTRANGE(""https://docs.google.com/spreadsheets/d/14Bd19lYaqBhU8_DElYkX7l4wRkHqqCUFNJY4AfY3kHU/edit?usp=sharing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47" s="7" t="s">
        <v>102</v>
      </c>
    </row>
    <row r="4848" spans="1:10" ht="13.2">
      <c r="A4848" s="7">
        <v>4847</v>
      </c>
      <c r="B4848" s="7">
        <v>1</v>
      </c>
      <c r="C4848" s="7" t="s">
        <v>10</v>
      </c>
      <c r="D4848" s="7">
        <v>3984</v>
      </c>
      <c r="E4848" s="7" t="s">
        <v>28</v>
      </c>
      <c r="F4848" s="8" t="str">
        <f ca="1">IFERROR(__xludf.DUMMYFUNCTION("IF
(
C4849=""фізична особа""
,
VLOOKUP(D4849,IMPORTRANGE(""https://docs.google.com/spreadsheets/d/14Bd19lYaqBhU8_DElYkX7l4wRkHqqCUFNJY4AfY3kHU/edit?usp=sharing  #gid=0"",""фіз особи new!relations_name""),6,FALSE)
,
(IF
(
C4849=""юридична особа""
,
VLOOKUP"&amp;"(D4849,IMPORTRANGE(""https://docs.google.com/spreadsheets/d/14Bd19lYaqBhU8_DElYkX7l4wRkHqqCUFNJY4AfY3kHU/edit?usp=sharing  #gid=0"",""фіз особи new!relations_name_uo""),7,FALSE)
,
)
))"),"ЯРКОЄВА Юлія Володимирівна")</f>
        <v>ЯРКОЄВА Юлія Володимирівна</v>
      </c>
      <c r="G4848" s="7" t="s">
        <v>10</v>
      </c>
      <c r="H4848" s="7">
        <v>670</v>
      </c>
      <c r="I4848" s="8" t="str">
        <f ca="1">IFERROR(__xludf.DUMMYFUNCTION("IF
(
G4849=""фізична особа""
,
VLOOKUP(H4849,IMPORTRANGE(""https://docs.google.com/spreadsheets/d/14Bd19lYaqBhU8_DElYkX7l4wRkHqqCUFNJY4AfY3kHU/edit?usp=sharing  #gid=0"",""фіз особи new!relations_name""),6,FALSE)
,
(IF
(
G4849=""юридична особа""
,
VLOOKUP"&amp;"(H4849,IMPORTRANGE(""https://docs.google.com/spreadsheets/d/14Bd19lYaqBhU8_DElYkX7l4wRkHqqCUFNJY4AfY3kHU/edit?usp=sharing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48" s="7" t="s">
        <v>29</v>
      </c>
    </row>
    <row r="4849" spans="1:10" ht="13.2">
      <c r="A4849" s="7">
        <v>4848</v>
      </c>
      <c r="B4849" s="7">
        <v>1</v>
      </c>
      <c r="C4849" s="7" t="s">
        <v>10</v>
      </c>
      <c r="D4849" s="7">
        <v>3984</v>
      </c>
      <c r="E4849" s="7" t="s">
        <v>28</v>
      </c>
      <c r="F4849" s="8" t="str">
        <f ca="1">IFERROR(__xludf.DUMMYFUNCTION("IF
(
C4850=""фізична особа""
,
VLOOKUP(D4850,IMPORTRANGE(""https://docs.google.com/spreadsheets/d/14Bd19lYaqBhU8_DElYkX7l4wRkHqqCUFNJY4AfY3kHU/edit?usp=sharing  #gid=0"",""фіз особи new!relations_name""),6,FALSE)
,
(IF
(
C4850=""юридична особа""
,
VLOOKUP"&amp;"(D4850,IMPORTRANGE(""https://docs.google.com/spreadsheets/d/14Bd19lYaqBhU8_DElYkX7l4wRkHqqCUFNJY4AfY3kHU/edit?usp=sharing  #gid=0"",""фіз особи new!relations_name_uo""),7,FALSE)
,
)
))"),"ЯРКОЄВА Юлія Володимирівна")</f>
        <v>ЯРКОЄВА Юлія Володимирівна</v>
      </c>
      <c r="G4849" s="7" t="s">
        <v>10</v>
      </c>
      <c r="H4849" s="7">
        <v>211</v>
      </c>
      <c r="I4849" s="8" t="str">
        <f ca="1">IFERROR(__xludf.DUMMYFUNCTION("IF
(
G4850=""фізична особа""
,
VLOOKUP(H4850,IMPORTRANGE(""https://docs.google.com/spreadsheets/d/14Bd19lYaqBhU8_DElYkX7l4wRkHqqCUFNJY4AfY3kHU/edit?usp=sharing  #gid=0"",""фіз особи new!relations_name""),6,FALSE)
,
(IF
(
G4850=""юридична особа""
,
VLOOKUP"&amp;"(H4850,IMPORTRANGE(""https://docs.google.com/spreadsheets/d/14Bd19lYaqBhU8_DElYkX7l4wRkHqqCUFNJY4AfY3kHU/edit?usp=sharing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49" s="7" t="s">
        <v>102</v>
      </c>
    </row>
    <row r="4850" spans="1:10" ht="13.2">
      <c r="A4850" s="7">
        <v>4849</v>
      </c>
      <c r="B4850" s="7">
        <v>1</v>
      </c>
      <c r="C4850" s="7" t="s">
        <v>10</v>
      </c>
      <c r="D4850" s="7">
        <v>3985</v>
      </c>
      <c r="E4850" s="7" t="s">
        <v>28</v>
      </c>
      <c r="F4850" s="8" t="str">
        <f ca="1">IFERROR(__xludf.DUMMYFUNCTION("IF
(
C4851=""фізична особа""
,
VLOOKUP(D4851,IMPORTRANGE(""https://docs.google.com/spreadsheets/d/14Bd19lYaqBhU8_DElYkX7l4wRkHqqCUFNJY4AfY3kHU/edit?usp=sharing  #gid=0"",""фіз особи new!relations_name""),6,FALSE)
,
(IF
(
C4851=""юридична особа""
,
VLOOKUP"&amp;"(D4851,IMPORTRANGE(""https://docs.google.com/spreadsheets/d/14Bd19lYaqBhU8_DElYkX7l4wRkHqqCUFNJY4AfY3kHU/edit?usp=sharing  #gid=0"",""фіз особи new!relations_name_uo""),7,FALSE)
,
)
))"),"МАРКОВСЬКА Россіяна Володимирівна")</f>
        <v>МАРКОВСЬКА Россіяна Володимирівна</v>
      </c>
      <c r="G4850" s="7" t="s">
        <v>10</v>
      </c>
      <c r="H4850" s="7">
        <v>670</v>
      </c>
      <c r="I4850" s="8" t="str">
        <f ca="1">IFERROR(__xludf.DUMMYFUNCTION("IF
(
G4851=""фізична особа""
,
VLOOKUP(H4851,IMPORTRANGE(""https://docs.google.com/spreadsheets/d/14Bd19lYaqBhU8_DElYkX7l4wRkHqqCUFNJY4AfY3kHU/edit?usp=sharing  #gid=0"",""фіз особи new!relations_name""),6,FALSE)
,
(IF
(
G4851=""юридична особа""
,
VLOOKUP"&amp;"(H4851,IMPORTRANGE(""https://docs.google.com/spreadsheets/d/14Bd19lYaqBhU8_DElYkX7l4wRkHqqCUFNJY4AfY3kHU/edit?usp=sharing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50" s="7" t="s">
        <v>29</v>
      </c>
    </row>
    <row r="4851" spans="1:10" ht="13.2">
      <c r="A4851" s="7">
        <v>4850</v>
      </c>
      <c r="B4851" s="7">
        <v>1</v>
      </c>
      <c r="C4851" s="7" t="s">
        <v>10</v>
      </c>
      <c r="D4851" s="7">
        <v>3985</v>
      </c>
      <c r="E4851" s="7" t="s">
        <v>28</v>
      </c>
      <c r="F4851" s="8" t="str">
        <f ca="1">IFERROR(__xludf.DUMMYFUNCTION("IF
(
C4852=""фізична особа""
,
VLOOKUP(D4852,IMPORTRANGE(""https://docs.google.com/spreadsheets/d/14Bd19lYaqBhU8_DElYkX7l4wRkHqqCUFNJY4AfY3kHU/edit?usp=sharing  #gid=0"",""фіз особи new!relations_name""),6,FALSE)
,
(IF
(
C4852=""юридична особа""
,
VLOOKUP"&amp;"(D4852,IMPORTRANGE(""https://docs.google.com/spreadsheets/d/14Bd19lYaqBhU8_DElYkX7l4wRkHqqCUFNJY4AfY3kHU/edit?usp=sharing  #gid=0"",""фіз особи new!relations_name_uo""),7,FALSE)
,
)
))"),"МАРКОВСЬКА Россіяна Володимирівна")</f>
        <v>МАРКОВСЬКА Россіяна Володимирівна</v>
      </c>
      <c r="G4851" s="7" t="s">
        <v>10</v>
      </c>
      <c r="H4851" s="7">
        <v>211</v>
      </c>
      <c r="I4851" s="8" t="str">
        <f ca="1">IFERROR(__xludf.DUMMYFUNCTION("IF
(
G4852=""фізична особа""
,
VLOOKUP(H4852,IMPORTRANGE(""https://docs.google.com/spreadsheets/d/14Bd19lYaqBhU8_DElYkX7l4wRkHqqCUFNJY4AfY3kHU/edit?usp=sharing  #gid=0"",""фіз особи new!relations_name""),6,FALSE)
,
(IF
(
G4852=""юридична особа""
,
VLOOKUP"&amp;"(H4852,IMPORTRANGE(""https://docs.google.com/spreadsheets/d/14Bd19lYaqBhU8_DElYkX7l4wRkHqqCUFNJY4AfY3kHU/edit?usp=sharing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51" s="7" t="s">
        <v>102</v>
      </c>
    </row>
    <row r="4852" spans="1:10" ht="13.2">
      <c r="A4852" s="7">
        <v>4851</v>
      </c>
      <c r="B4852" s="7">
        <v>1</v>
      </c>
      <c r="C4852" s="7" t="s">
        <v>10</v>
      </c>
      <c r="D4852" s="7">
        <v>3986</v>
      </c>
      <c r="E4852" s="7" t="s">
        <v>28</v>
      </c>
      <c r="F4852" s="8" t="str">
        <f ca="1">IFERROR(__xludf.DUMMYFUNCTION("IF
(
C4853=""фізична особа""
,
VLOOKUP(D4853,IMPORTRANGE(""https://docs.google.com/spreadsheets/d/14Bd19lYaqBhU8_DElYkX7l4wRkHqqCUFNJY4AfY3kHU/edit?usp=sharing  #gid=0"",""фіз особи new!relations_name""),6,FALSE)
,
(IF
(
C4853=""юридична особа""
,
VLOOKUP"&amp;"(D4853,IMPORTRANGE(""https://docs.google.com/spreadsheets/d/14Bd19lYaqBhU8_DElYkX7l4wRkHqqCUFNJY4AfY3kHU/edit?usp=sharing  #gid=0"",""фіз особи new!relations_name_uo""),7,FALSE)
,
)
))"),"ГУСЄВА Жанна В'ячеславівна")</f>
        <v>ГУСЄВА Жанна В'ячеславівна</v>
      </c>
      <c r="G4852" s="7" t="s">
        <v>10</v>
      </c>
      <c r="H4852" s="7">
        <v>670</v>
      </c>
      <c r="I4852" s="8" t="str">
        <f ca="1">IFERROR(__xludf.DUMMYFUNCTION("IF
(
G4853=""фізична особа""
,
VLOOKUP(H4853,IMPORTRANGE(""https://docs.google.com/spreadsheets/d/14Bd19lYaqBhU8_DElYkX7l4wRkHqqCUFNJY4AfY3kHU/edit?usp=sharing  #gid=0"",""фіз особи new!relations_name""),6,FALSE)
,
(IF
(
G4853=""юридична особа""
,
VLOOKUP"&amp;"(H4853,IMPORTRANGE(""https://docs.google.com/spreadsheets/d/14Bd19lYaqBhU8_DElYkX7l4wRkHqqCUFNJY4AfY3kHU/edit?usp=sharing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52" s="7" t="s">
        <v>29</v>
      </c>
    </row>
    <row r="4853" spans="1:10" ht="13.2">
      <c r="A4853" s="7">
        <v>4852</v>
      </c>
      <c r="B4853" s="7">
        <v>1</v>
      </c>
      <c r="C4853" s="7" t="s">
        <v>10</v>
      </c>
      <c r="D4853" s="7">
        <v>3986</v>
      </c>
      <c r="E4853" s="7" t="s">
        <v>28</v>
      </c>
      <c r="F4853" s="8" t="str">
        <f ca="1">IFERROR(__xludf.DUMMYFUNCTION("IF
(
C4854=""фізична особа""
,
VLOOKUP(D4854,IMPORTRANGE(""https://docs.google.com/spreadsheets/d/14Bd19lYaqBhU8_DElYkX7l4wRkHqqCUFNJY4AfY3kHU/edit?usp=sharing  #gid=0"",""фіз особи new!relations_name""),6,FALSE)
,
(IF
(
C4854=""юридична особа""
,
VLOOKUP"&amp;"(D4854,IMPORTRANGE(""https://docs.google.com/spreadsheets/d/14Bd19lYaqBhU8_DElYkX7l4wRkHqqCUFNJY4AfY3kHU/edit?usp=sharing  #gid=0"",""фіз особи new!relations_name_uo""),7,FALSE)
,
)
))"),"ГУСЄВА Жанна В'ячеславівна")</f>
        <v>ГУСЄВА Жанна В'ячеславівна</v>
      </c>
      <c r="G4853" s="7" t="s">
        <v>10</v>
      </c>
      <c r="H4853" s="7">
        <v>211</v>
      </c>
      <c r="I4853" s="8" t="str">
        <f ca="1">IFERROR(__xludf.DUMMYFUNCTION("IF
(
G4854=""фізична особа""
,
VLOOKUP(H4854,IMPORTRANGE(""https://docs.google.com/spreadsheets/d/14Bd19lYaqBhU8_DElYkX7l4wRkHqqCUFNJY4AfY3kHU/edit?usp=sharing  #gid=0"",""фіз особи new!relations_name""),6,FALSE)
,
(IF
(
G4854=""юридична особа""
,
VLOOKUP"&amp;"(H4854,IMPORTRANGE(""https://docs.google.com/spreadsheets/d/14Bd19lYaqBhU8_DElYkX7l4wRkHqqCUFNJY4AfY3kHU/edit?usp=sharing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53" s="7" t="s">
        <v>102</v>
      </c>
    </row>
    <row r="4854" spans="1:10" ht="13.2">
      <c r="A4854" s="7">
        <v>4853</v>
      </c>
      <c r="B4854" s="7">
        <v>1</v>
      </c>
      <c r="C4854" s="7" t="s">
        <v>10</v>
      </c>
      <c r="D4854" s="7">
        <v>3987</v>
      </c>
      <c r="E4854" s="7" t="s">
        <v>28</v>
      </c>
      <c r="F4854" s="8" t="str">
        <f ca="1">IFERROR(__xludf.DUMMYFUNCTION("IF
(
C4855=""фізична особа""
,
VLOOKUP(D4855,IMPORTRANGE(""https://docs.google.com/spreadsheets/d/14Bd19lYaqBhU8_DElYkX7l4wRkHqqCUFNJY4AfY3kHU/edit?usp=sharing  #gid=0"",""фіз особи new!relations_name""),6,FALSE)
,
(IF
(
C4855=""юридична особа""
,
VLOOKUP"&amp;"(D4855,IMPORTRANGE(""https://docs.google.com/spreadsheets/d/14Bd19lYaqBhU8_DElYkX7l4wRkHqqCUFNJY4AfY3kHU/edit?usp=sharing  #gid=0"",""фіз особи new!relations_name_uo""),7,FALSE)
,
)
))"),"КРАВЦОВА Наталія Олександрівна")</f>
        <v>КРАВЦОВА Наталія Олександрівна</v>
      </c>
      <c r="G4854" s="7" t="s">
        <v>10</v>
      </c>
      <c r="H4854" s="7">
        <v>670</v>
      </c>
      <c r="I4854" s="8" t="str">
        <f ca="1">IFERROR(__xludf.DUMMYFUNCTION("IF
(
G4855=""фізична особа""
,
VLOOKUP(H4855,IMPORTRANGE(""https://docs.google.com/spreadsheets/d/14Bd19lYaqBhU8_DElYkX7l4wRkHqqCUFNJY4AfY3kHU/edit?usp=sharing  #gid=0"",""фіз особи new!relations_name""),6,FALSE)
,
(IF
(
G4855=""юридична особа""
,
VLOOKUP"&amp;"(H4855,IMPORTRANGE(""https://docs.google.com/spreadsheets/d/14Bd19lYaqBhU8_DElYkX7l4wRkHqqCUFNJY4AfY3kHU/edit?usp=sharing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54" s="7" t="s">
        <v>29</v>
      </c>
    </row>
    <row r="4855" spans="1:10" ht="13.2">
      <c r="A4855" s="7">
        <v>4854</v>
      </c>
      <c r="B4855" s="7">
        <v>1</v>
      </c>
      <c r="C4855" s="7" t="s">
        <v>10</v>
      </c>
      <c r="D4855" s="7">
        <v>3987</v>
      </c>
      <c r="E4855" s="7" t="s">
        <v>28</v>
      </c>
      <c r="F4855" s="8" t="str">
        <f ca="1">IFERROR(__xludf.DUMMYFUNCTION("IF
(
C4856=""фізична особа""
,
VLOOKUP(D4856,IMPORTRANGE(""https://docs.google.com/spreadsheets/d/14Bd19lYaqBhU8_DElYkX7l4wRkHqqCUFNJY4AfY3kHU/edit?usp=sharing  #gid=0"",""фіз особи new!relations_name""),6,FALSE)
,
(IF
(
C4856=""юридична особа""
,
VLOOKUP"&amp;"(D4856,IMPORTRANGE(""https://docs.google.com/spreadsheets/d/14Bd19lYaqBhU8_DElYkX7l4wRkHqqCUFNJY4AfY3kHU/edit?usp=sharing  #gid=0"",""фіз особи new!relations_name_uo""),7,FALSE)
,
)
))"),"КРАВЦОВА Наталія Олександрівна")</f>
        <v>КРАВЦОВА Наталія Олександрівна</v>
      </c>
      <c r="G4855" s="7" t="s">
        <v>10</v>
      </c>
      <c r="H4855" s="7">
        <v>211</v>
      </c>
      <c r="I4855" s="8" t="str">
        <f ca="1">IFERROR(__xludf.DUMMYFUNCTION("IF
(
G4856=""фізична особа""
,
VLOOKUP(H4856,IMPORTRANGE(""https://docs.google.com/spreadsheets/d/14Bd19lYaqBhU8_DElYkX7l4wRkHqqCUFNJY4AfY3kHU/edit?usp=sharing  #gid=0"",""фіз особи new!relations_name""),6,FALSE)
,
(IF
(
G4856=""юридична особа""
,
VLOOKUP"&amp;"(H4856,IMPORTRANGE(""https://docs.google.com/spreadsheets/d/14Bd19lYaqBhU8_DElYkX7l4wRkHqqCUFNJY4AfY3kHU/edit?usp=sharing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55" s="7" t="s">
        <v>102</v>
      </c>
    </row>
    <row r="4856" spans="1:10" ht="13.2">
      <c r="A4856" s="7">
        <v>4855</v>
      </c>
      <c r="B4856" s="7">
        <v>1</v>
      </c>
      <c r="C4856" s="7" t="s">
        <v>10</v>
      </c>
      <c r="D4856" s="7">
        <v>3988</v>
      </c>
      <c r="E4856" s="7" t="s">
        <v>28</v>
      </c>
      <c r="F4856" s="8" t="str">
        <f ca="1">IFERROR(__xludf.DUMMYFUNCTION("IF
(
C4857=""фізична особа""
,
VLOOKUP(D4857,IMPORTRANGE(""https://docs.google.com/spreadsheets/d/14Bd19lYaqBhU8_DElYkX7l4wRkHqqCUFNJY4AfY3kHU/edit?usp=sharing  #gid=0"",""фіз особи new!relations_name""),6,FALSE)
,
(IF
(
C4857=""юридична особа""
,
VLOOKUP"&amp;"(D4857,IMPORTRANGE(""https://docs.google.com/spreadsheets/d/14Bd19lYaqBhU8_DElYkX7l4wRkHqqCUFNJY4AfY3kHU/edit?usp=sharing  #gid=0"",""фіз особи new!relations_name_uo""),7,FALSE)
,
)
))"),"ЛОБАЧЕВ Андрій Леонідович")</f>
        <v>ЛОБАЧЕВ Андрій Леонідович</v>
      </c>
      <c r="G4856" s="7" t="s">
        <v>10</v>
      </c>
      <c r="H4856" s="7">
        <v>670</v>
      </c>
      <c r="I4856" s="8" t="str">
        <f ca="1">IFERROR(__xludf.DUMMYFUNCTION("IF
(
G4857=""фізична особа""
,
VLOOKUP(H4857,IMPORTRANGE(""https://docs.google.com/spreadsheets/d/14Bd19lYaqBhU8_DElYkX7l4wRkHqqCUFNJY4AfY3kHU/edit?usp=sharing  #gid=0"",""фіз особи new!relations_name""),6,FALSE)
,
(IF
(
G4857=""юридична особа""
,
VLOOKUP"&amp;"(H4857,IMPORTRANGE(""https://docs.google.com/spreadsheets/d/14Bd19lYaqBhU8_DElYkX7l4wRkHqqCUFNJY4AfY3kHU/edit?usp=sharing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56" s="7" t="s">
        <v>29</v>
      </c>
    </row>
    <row r="4857" spans="1:10" ht="13.2">
      <c r="A4857" s="7">
        <v>4856</v>
      </c>
      <c r="B4857" s="7">
        <v>1</v>
      </c>
      <c r="C4857" s="7" t="s">
        <v>10</v>
      </c>
      <c r="D4857" s="7">
        <v>3988</v>
      </c>
      <c r="E4857" s="7" t="s">
        <v>28</v>
      </c>
      <c r="F4857" s="8" t="str">
        <f ca="1">IFERROR(__xludf.DUMMYFUNCTION("IF
(
C4858=""фізична особа""
,
VLOOKUP(D4858,IMPORTRANGE(""https://docs.google.com/spreadsheets/d/14Bd19lYaqBhU8_DElYkX7l4wRkHqqCUFNJY4AfY3kHU/edit?usp=sharing  #gid=0"",""фіз особи new!relations_name""),6,FALSE)
,
(IF
(
C4858=""юридична особа""
,
VLOOKUP"&amp;"(D4858,IMPORTRANGE(""https://docs.google.com/spreadsheets/d/14Bd19lYaqBhU8_DElYkX7l4wRkHqqCUFNJY4AfY3kHU/edit?usp=sharing  #gid=0"",""фіз особи new!relations_name_uo""),7,FALSE)
,
)
))"),"ЛОБАЧЕВ Андрій Леонідович")</f>
        <v>ЛОБАЧЕВ Андрій Леонідович</v>
      </c>
      <c r="G4857" s="7" t="s">
        <v>10</v>
      </c>
      <c r="H4857" s="7">
        <v>211</v>
      </c>
      <c r="I4857" s="8" t="str">
        <f ca="1">IFERROR(__xludf.DUMMYFUNCTION("IF
(
G4858=""фізична особа""
,
VLOOKUP(H4858,IMPORTRANGE(""https://docs.google.com/spreadsheets/d/14Bd19lYaqBhU8_DElYkX7l4wRkHqqCUFNJY4AfY3kHU/edit?usp=sharing  #gid=0"",""фіз особи new!relations_name""),6,FALSE)
,
(IF
(
G4858=""юридична особа""
,
VLOOKUP"&amp;"(H4858,IMPORTRANGE(""https://docs.google.com/spreadsheets/d/14Bd19lYaqBhU8_DElYkX7l4wRkHqqCUFNJY4AfY3kHU/edit?usp=sharing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57" s="7" t="s">
        <v>102</v>
      </c>
    </row>
    <row r="4858" spans="1:10" ht="13.2">
      <c r="A4858" s="7">
        <v>4857</v>
      </c>
      <c r="B4858" s="7">
        <v>1</v>
      </c>
      <c r="C4858" s="7" t="s">
        <v>10</v>
      </c>
      <c r="D4858" s="7">
        <v>3989</v>
      </c>
      <c r="E4858" s="7" t="s">
        <v>28</v>
      </c>
      <c r="F4858" s="8" t="str">
        <f ca="1">IFERROR(__xludf.DUMMYFUNCTION("IF
(
C4859=""фізична особа""
,
VLOOKUP(D4859,IMPORTRANGE(""https://docs.google.com/spreadsheets/d/14Bd19lYaqBhU8_DElYkX7l4wRkHqqCUFNJY4AfY3kHU/edit?usp=sharing  #gid=0"",""фіз особи new!relations_name""),6,FALSE)
,
(IF
(
C4859=""юридична особа""
,
VLOOKUP"&amp;"(D4859,IMPORTRANGE(""https://docs.google.com/spreadsheets/d/14Bd19lYaqBhU8_DElYkX7l4wRkHqqCUFNJY4AfY3kHU/edit?usp=sharing  #gid=0"",""фіз особи new!relations_name_uo""),7,FALSE)
,
)
))"),"ГУДА Роман Миколайович")</f>
        <v>ГУДА Роман Миколайович</v>
      </c>
      <c r="G4858" s="7" t="s">
        <v>10</v>
      </c>
      <c r="H4858" s="7">
        <v>670</v>
      </c>
      <c r="I4858" s="8" t="str">
        <f ca="1">IFERROR(__xludf.DUMMYFUNCTION("IF
(
G4859=""фізична особа""
,
VLOOKUP(H4859,IMPORTRANGE(""https://docs.google.com/spreadsheets/d/14Bd19lYaqBhU8_DElYkX7l4wRkHqqCUFNJY4AfY3kHU/edit?usp=sharing  #gid=0"",""фіз особи new!relations_name""),6,FALSE)
,
(IF
(
G4859=""юридична особа""
,
VLOOKUP"&amp;"(H4859,IMPORTRANGE(""https://docs.google.com/spreadsheets/d/14Bd19lYaqBhU8_DElYkX7l4wRkHqqCUFNJY4AfY3kHU/edit?usp=sharing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58" s="7" t="s">
        <v>29</v>
      </c>
    </row>
    <row r="4859" spans="1:10" ht="13.2">
      <c r="A4859" s="7">
        <v>4858</v>
      </c>
      <c r="B4859" s="7">
        <v>1</v>
      </c>
      <c r="C4859" s="7" t="s">
        <v>10</v>
      </c>
      <c r="D4859" s="7">
        <v>3989</v>
      </c>
      <c r="E4859" s="7" t="s">
        <v>28</v>
      </c>
      <c r="F4859" s="8" t="str">
        <f ca="1">IFERROR(__xludf.DUMMYFUNCTION("IF
(
C4860=""фізична особа""
,
VLOOKUP(D4860,IMPORTRANGE(""https://docs.google.com/spreadsheets/d/14Bd19lYaqBhU8_DElYkX7l4wRkHqqCUFNJY4AfY3kHU/edit?usp=sharing  #gid=0"",""фіз особи new!relations_name""),6,FALSE)
,
(IF
(
C4860=""юридична особа""
,
VLOOKUP"&amp;"(D4860,IMPORTRANGE(""https://docs.google.com/spreadsheets/d/14Bd19lYaqBhU8_DElYkX7l4wRkHqqCUFNJY4AfY3kHU/edit?usp=sharing  #gid=0"",""фіз особи new!relations_name_uo""),7,FALSE)
,
)
))"),"ГУДА Роман Миколайович")</f>
        <v>ГУДА Роман Миколайович</v>
      </c>
      <c r="G4859" s="7" t="s">
        <v>10</v>
      </c>
      <c r="H4859" s="7">
        <v>211</v>
      </c>
      <c r="I4859" s="8" t="str">
        <f ca="1">IFERROR(__xludf.DUMMYFUNCTION("IF
(
G4860=""фізична особа""
,
VLOOKUP(H4860,IMPORTRANGE(""https://docs.google.com/spreadsheets/d/14Bd19lYaqBhU8_DElYkX7l4wRkHqqCUFNJY4AfY3kHU/edit?usp=sharing  #gid=0"",""фіз особи new!relations_name""),6,FALSE)
,
(IF
(
G4860=""юридична особа""
,
VLOOKUP"&amp;"(H4860,IMPORTRANGE(""https://docs.google.com/spreadsheets/d/14Bd19lYaqBhU8_DElYkX7l4wRkHqqCUFNJY4AfY3kHU/edit?usp=sharing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59" s="7" t="s">
        <v>102</v>
      </c>
    </row>
    <row r="4860" spans="1:10" ht="13.2">
      <c r="A4860" s="7">
        <v>4859</v>
      </c>
      <c r="B4860" s="7">
        <v>1</v>
      </c>
      <c r="C4860" s="7" t="s">
        <v>10</v>
      </c>
      <c r="D4860" s="7">
        <v>3990</v>
      </c>
      <c r="E4860" s="7" t="s">
        <v>28</v>
      </c>
      <c r="F4860" s="8" t="str">
        <f ca="1">IFERROR(__xludf.DUMMYFUNCTION("IF
(
C4861=""фізична особа""
,
VLOOKUP(D4861,IMPORTRANGE(""https://docs.google.com/spreadsheets/d/14Bd19lYaqBhU8_DElYkX7l4wRkHqqCUFNJY4AfY3kHU/edit?usp=sharing  #gid=0"",""фіз особи new!relations_name""),6,FALSE)
,
(IF
(
C4861=""юридична особа""
,
VLOOKUP"&amp;"(D4861,IMPORTRANGE(""https://docs.google.com/spreadsheets/d/14Bd19lYaqBhU8_DElYkX7l4wRkHqqCUFNJY4AfY3kHU/edit?usp=sharing  #gid=0"",""фіз особи new!relations_name_uo""),7,FALSE)
,
)
))"),"ЄФІМОВА Наталія В'ячеславівна")</f>
        <v>ЄФІМОВА Наталія В'ячеславівна</v>
      </c>
      <c r="G4860" s="7" t="s">
        <v>10</v>
      </c>
      <c r="H4860" s="7">
        <v>670</v>
      </c>
      <c r="I4860" s="8" t="str">
        <f ca="1">IFERROR(__xludf.DUMMYFUNCTION("IF
(
G4861=""фізична особа""
,
VLOOKUP(H4861,IMPORTRANGE(""https://docs.google.com/spreadsheets/d/14Bd19lYaqBhU8_DElYkX7l4wRkHqqCUFNJY4AfY3kHU/edit?usp=sharing  #gid=0"",""фіз особи new!relations_name""),6,FALSE)
,
(IF
(
G4861=""юридична особа""
,
VLOOKUP"&amp;"(H4861,IMPORTRANGE(""https://docs.google.com/spreadsheets/d/14Bd19lYaqBhU8_DElYkX7l4wRkHqqCUFNJY4AfY3kHU/edit?usp=sharing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60" s="7" t="s">
        <v>29</v>
      </c>
    </row>
    <row r="4861" spans="1:10" ht="13.2">
      <c r="A4861" s="7">
        <v>4860</v>
      </c>
      <c r="B4861" s="7">
        <v>1</v>
      </c>
      <c r="C4861" s="7" t="s">
        <v>10</v>
      </c>
      <c r="D4861" s="7">
        <v>3990</v>
      </c>
      <c r="E4861" s="7" t="s">
        <v>28</v>
      </c>
      <c r="F4861" s="8" t="str">
        <f ca="1">IFERROR(__xludf.DUMMYFUNCTION("IF
(
C4862=""фізична особа""
,
VLOOKUP(D4862,IMPORTRANGE(""https://docs.google.com/spreadsheets/d/14Bd19lYaqBhU8_DElYkX7l4wRkHqqCUFNJY4AfY3kHU/edit?usp=sharing  #gid=0"",""фіз особи new!relations_name""),6,FALSE)
,
(IF
(
C4862=""юридична особа""
,
VLOOKUP"&amp;"(D4862,IMPORTRANGE(""https://docs.google.com/spreadsheets/d/14Bd19lYaqBhU8_DElYkX7l4wRkHqqCUFNJY4AfY3kHU/edit?usp=sharing  #gid=0"",""фіз особи new!relations_name_uo""),7,FALSE)
,
)
))"),"ЄФІМОВА Наталія В'ячеславівна")</f>
        <v>ЄФІМОВА Наталія В'ячеславівна</v>
      </c>
      <c r="G4861" s="7" t="s">
        <v>10</v>
      </c>
      <c r="H4861" s="7">
        <v>211</v>
      </c>
      <c r="I4861" s="8" t="str">
        <f ca="1">IFERROR(__xludf.DUMMYFUNCTION("IF
(
G4862=""фізична особа""
,
VLOOKUP(H4862,IMPORTRANGE(""https://docs.google.com/spreadsheets/d/14Bd19lYaqBhU8_DElYkX7l4wRkHqqCUFNJY4AfY3kHU/edit?usp=sharing  #gid=0"",""фіз особи new!relations_name""),6,FALSE)
,
(IF
(
G4862=""юридична особа""
,
VLOOKUP"&amp;"(H4862,IMPORTRANGE(""https://docs.google.com/spreadsheets/d/14Bd19lYaqBhU8_DElYkX7l4wRkHqqCUFNJY4AfY3kHU/edit?usp=sharing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61" s="7" t="s">
        <v>102</v>
      </c>
    </row>
    <row r="4862" spans="1:10" ht="13.2">
      <c r="A4862" s="7">
        <v>4861</v>
      </c>
      <c r="B4862" s="7">
        <v>1</v>
      </c>
      <c r="C4862" s="7" t="s">
        <v>10</v>
      </c>
      <c r="D4862" s="7">
        <v>3991</v>
      </c>
      <c r="E4862" s="7" t="s">
        <v>28</v>
      </c>
      <c r="F4862" s="8" t="str">
        <f ca="1">IFERROR(__xludf.DUMMYFUNCTION("IF
(
C4863=""фізична особа""
,
VLOOKUP(D4863,IMPORTRANGE(""https://docs.google.com/spreadsheets/d/14Bd19lYaqBhU8_DElYkX7l4wRkHqqCUFNJY4AfY3kHU/edit?usp=sharing  #gid=0"",""фіз особи new!relations_name""),6,FALSE)
,
(IF
(
C4863=""юридична особа""
,
VLOOKUP"&amp;"(D4863,IMPORTRANGE(""https://docs.google.com/spreadsheets/d/14Bd19lYaqBhU8_DElYkX7l4wRkHqqCUFNJY4AfY3kHU/edit?usp=sharing  #gid=0"",""фіз особи new!relations_name_uo""),7,FALSE)
,
)
))"),"ОСАУЛЕНКО Ольга Віталіївна")</f>
        <v>ОСАУЛЕНКО Ольга Віталіївна</v>
      </c>
      <c r="G4862" s="7" t="s">
        <v>10</v>
      </c>
      <c r="H4862" s="7">
        <v>670</v>
      </c>
      <c r="I4862" s="8" t="str">
        <f ca="1">IFERROR(__xludf.DUMMYFUNCTION("IF
(
G4863=""фізична особа""
,
VLOOKUP(H4863,IMPORTRANGE(""https://docs.google.com/spreadsheets/d/14Bd19lYaqBhU8_DElYkX7l4wRkHqqCUFNJY4AfY3kHU/edit?usp=sharing  #gid=0"",""фіз особи new!relations_name""),6,FALSE)
,
(IF
(
G4863=""юридична особа""
,
VLOOKUP"&amp;"(H4863,IMPORTRANGE(""https://docs.google.com/spreadsheets/d/14Bd19lYaqBhU8_DElYkX7l4wRkHqqCUFNJY4AfY3kHU/edit?usp=sharing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62" s="7" t="s">
        <v>29</v>
      </c>
    </row>
    <row r="4863" spans="1:10" ht="13.2">
      <c r="A4863" s="7">
        <v>4862</v>
      </c>
      <c r="B4863" s="7">
        <v>1</v>
      </c>
      <c r="C4863" s="7" t="s">
        <v>10</v>
      </c>
      <c r="D4863" s="7">
        <v>3991</v>
      </c>
      <c r="E4863" s="7" t="s">
        <v>28</v>
      </c>
      <c r="F4863" s="8" t="str">
        <f ca="1">IFERROR(__xludf.DUMMYFUNCTION("IF
(
C4864=""фізична особа""
,
VLOOKUP(D4864,IMPORTRANGE(""https://docs.google.com/spreadsheets/d/14Bd19lYaqBhU8_DElYkX7l4wRkHqqCUFNJY4AfY3kHU/edit?usp=sharing  #gid=0"",""фіз особи new!relations_name""),6,FALSE)
,
(IF
(
C4864=""юридична особа""
,
VLOOKUP"&amp;"(D4864,IMPORTRANGE(""https://docs.google.com/spreadsheets/d/14Bd19lYaqBhU8_DElYkX7l4wRkHqqCUFNJY4AfY3kHU/edit?usp=sharing  #gid=0"",""фіз особи new!relations_name_uo""),7,FALSE)
,
)
))"),"ОСАУЛЕНКО Ольга Віталіївна")</f>
        <v>ОСАУЛЕНКО Ольга Віталіївна</v>
      </c>
      <c r="G4863" s="7" t="s">
        <v>10</v>
      </c>
      <c r="H4863" s="7">
        <v>211</v>
      </c>
      <c r="I4863" s="8" t="str">
        <f ca="1">IFERROR(__xludf.DUMMYFUNCTION("IF
(
G4864=""фізична особа""
,
VLOOKUP(H4864,IMPORTRANGE(""https://docs.google.com/spreadsheets/d/14Bd19lYaqBhU8_DElYkX7l4wRkHqqCUFNJY4AfY3kHU/edit?usp=sharing  #gid=0"",""фіз особи new!relations_name""),6,FALSE)
,
(IF
(
G4864=""юридична особа""
,
VLOOKUP"&amp;"(H4864,IMPORTRANGE(""https://docs.google.com/spreadsheets/d/14Bd19lYaqBhU8_DElYkX7l4wRkHqqCUFNJY4AfY3kHU/edit?usp=sharing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63" s="7" t="s">
        <v>102</v>
      </c>
    </row>
    <row r="4864" spans="1:10" ht="13.2">
      <c r="A4864" s="7">
        <v>4863</v>
      </c>
      <c r="B4864" s="7">
        <v>1</v>
      </c>
      <c r="C4864" s="7" t="s">
        <v>10</v>
      </c>
      <c r="D4864" s="7">
        <v>3992</v>
      </c>
      <c r="E4864" s="7" t="s">
        <v>28</v>
      </c>
      <c r="F4864" s="8" t="str">
        <f ca="1">IFERROR(__xludf.DUMMYFUNCTION("IF
(
C4865=""фізична особа""
,
VLOOKUP(D4865,IMPORTRANGE(""https://docs.google.com/spreadsheets/d/14Bd19lYaqBhU8_DElYkX7l4wRkHqqCUFNJY4AfY3kHU/edit?usp=sharing  #gid=0"",""фіз особи new!relations_name""),6,FALSE)
,
(IF
(
C4865=""юридична особа""
,
VLOOKUP"&amp;"(D4865,IMPORTRANGE(""https://docs.google.com/spreadsheets/d/14Bd19lYaqBhU8_DElYkX7l4wRkHqqCUFNJY4AfY3kHU/edit?usp=sharing  #gid=0"",""фіз особи new!relations_name_uo""),7,FALSE)
,
)
))"),"ГОРНИЙ Артем Володимирович")</f>
        <v>ГОРНИЙ Артем Володимирович</v>
      </c>
      <c r="G4864" s="7" t="s">
        <v>10</v>
      </c>
      <c r="H4864" s="7">
        <v>670</v>
      </c>
      <c r="I4864" s="8" t="str">
        <f ca="1">IFERROR(__xludf.DUMMYFUNCTION("IF
(
G4865=""фізична особа""
,
VLOOKUP(H4865,IMPORTRANGE(""https://docs.google.com/spreadsheets/d/14Bd19lYaqBhU8_DElYkX7l4wRkHqqCUFNJY4AfY3kHU/edit?usp=sharing  #gid=0"",""фіз особи new!relations_name""),6,FALSE)
,
(IF
(
G4865=""юридична особа""
,
VLOOKUP"&amp;"(H4865,IMPORTRANGE(""https://docs.google.com/spreadsheets/d/14Bd19lYaqBhU8_DElYkX7l4wRkHqqCUFNJY4AfY3kHU/edit?usp=sharing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64" s="7" t="s">
        <v>29</v>
      </c>
    </row>
    <row r="4865" spans="1:10" ht="13.2">
      <c r="A4865" s="7">
        <v>4864</v>
      </c>
      <c r="B4865" s="7">
        <v>1</v>
      </c>
      <c r="C4865" s="7" t="s">
        <v>10</v>
      </c>
      <c r="D4865" s="7">
        <v>3992</v>
      </c>
      <c r="E4865" s="7" t="s">
        <v>28</v>
      </c>
      <c r="F4865" s="8" t="str">
        <f ca="1">IFERROR(__xludf.DUMMYFUNCTION("IF
(
C4866=""фізична особа""
,
VLOOKUP(D4866,IMPORTRANGE(""https://docs.google.com/spreadsheets/d/14Bd19lYaqBhU8_DElYkX7l4wRkHqqCUFNJY4AfY3kHU/edit?usp=sharing  #gid=0"",""фіз особи new!relations_name""),6,FALSE)
,
(IF
(
C4866=""юридична особа""
,
VLOOKUP"&amp;"(D4866,IMPORTRANGE(""https://docs.google.com/spreadsheets/d/14Bd19lYaqBhU8_DElYkX7l4wRkHqqCUFNJY4AfY3kHU/edit?usp=sharing  #gid=0"",""фіз особи new!relations_name_uo""),7,FALSE)
,
)
))"),"ГОРНИЙ Артем Володимирович")</f>
        <v>ГОРНИЙ Артем Володимирович</v>
      </c>
      <c r="G4865" s="7" t="s">
        <v>10</v>
      </c>
      <c r="H4865" s="7">
        <v>211</v>
      </c>
      <c r="I4865" s="8" t="str">
        <f ca="1">IFERROR(__xludf.DUMMYFUNCTION("IF
(
G4866=""фізична особа""
,
VLOOKUP(H4866,IMPORTRANGE(""https://docs.google.com/spreadsheets/d/14Bd19lYaqBhU8_DElYkX7l4wRkHqqCUFNJY4AfY3kHU/edit?usp=sharing  #gid=0"",""фіз особи new!relations_name""),6,FALSE)
,
(IF
(
G4866=""юридична особа""
,
VLOOKUP"&amp;"(H4866,IMPORTRANGE(""https://docs.google.com/spreadsheets/d/14Bd19lYaqBhU8_DElYkX7l4wRkHqqCUFNJY4AfY3kHU/edit?usp=sharing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65" s="7" t="s">
        <v>102</v>
      </c>
    </row>
    <row r="4866" spans="1:10" ht="13.2">
      <c r="A4866" s="7">
        <v>4865</v>
      </c>
      <c r="B4866" s="7">
        <v>1</v>
      </c>
      <c r="C4866" s="7" t="s">
        <v>10</v>
      </c>
      <c r="D4866" s="7">
        <v>3993</v>
      </c>
      <c r="E4866" s="7" t="s">
        <v>28</v>
      </c>
      <c r="F4866" s="8" t="str">
        <f ca="1">IFERROR(__xludf.DUMMYFUNCTION("IF
(
C4867=""фізична особа""
,
VLOOKUP(D4867,IMPORTRANGE(""https://docs.google.com/spreadsheets/d/14Bd19lYaqBhU8_DElYkX7l4wRkHqqCUFNJY4AfY3kHU/edit?usp=sharing  #gid=0"",""фіз особи new!relations_name""),6,FALSE)
,
(IF
(
C4867=""юридична особа""
,
VLOOKUP"&amp;"(D4867,IMPORTRANGE(""https://docs.google.com/spreadsheets/d/14Bd19lYaqBhU8_DElYkX7l4wRkHqqCUFNJY4AfY3kHU/edit?usp=sharing  #gid=0"",""фіз особи new!relations_name_uo""),7,FALSE)
,
)
))"),"БАРАБАНЩИКОВА Валентина Володимирівна")</f>
        <v>БАРАБАНЩИКОВА Валентина Володимирівна</v>
      </c>
      <c r="G4866" s="7" t="s">
        <v>10</v>
      </c>
      <c r="H4866" s="7">
        <v>670</v>
      </c>
      <c r="I4866" s="8" t="str">
        <f ca="1">IFERROR(__xludf.DUMMYFUNCTION("IF
(
G4867=""фізична особа""
,
VLOOKUP(H4867,IMPORTRANGE(""https://docs.google.com/spreadsheets/d/14Bd19lYaqBhU8_DElYkX7l4wRkHqqCUFNJY4AfY3kHU/edit?usp=sharing  #gid=0"",""фіз особи new!relations_name""),6,FALSE)
,
(IF
(
G4867=""юридична особа""
,
VLOOKUP"&amp;"(H4867,IMPORTRANGE(""https://docs.google.com/spreadsheets/d/14Bd19lYaqBhU8_DElYkX7l4wRkHqqCUFNJY4AfY3kHU/edit?usp=sharing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4866" s="7" t="s">
        <v>29</v>
      </c>
    </row>
    <row r="4867" spans="1:10" ht="13.2">
      <c r="A4867" s="7">
        <v>4866</v>
      </c>
      <c r="B4867" s="7">
        <v>1</v>
      </c>
      <c r="C4867" s="7" t="s">
        <v>10</v>
      </c>
      <c r="D4867" s="7">
        <v>3993</v>
      </c>
      <c r="E4867" s="7" t="s">
        <v>28</v>
      </c>
      <c r="F4867" s="8" t="str">
        <f ca="1">IFERROR(__xludf.DUMMYFUNCTION("IF
(
C4868=""фізична особа""
,
VLOOKUP(D4868,IMPORTRANGE(""https://docs.google.com/spreadsheets/d/14Bd19lYaqBhU8_DElYkX7l4wRkHqqCUFNJY4AfY3kHU/edit?usp=sharing  #gid=0"",""фіз особи new!relations_name""),6,FALSE)
,
(IF
(
C4868=""юридична особа""
,
VLOOKUP"&amp;"(D4868,IMPORTRANGE(""https://docs.google.com/spreadsheets/d/14Bd19lYaqBhU8_DElYkX7l4wRkHqqCUFNJY4AfY3kHU/edit?usp=sharing  #gid=0"",""фіз особи new!relations_name_uo""),7,FALSE)
,
)
))"),"БАРАБАНЩИКОВА Валентина Володимирівна")</f>
        <v>БАРАБАНЩИКОВА Валентина Володимирівна</v>
      </c>
      <c r="G4867" s="7" t="s">
        <v>10</v>
      </c>
      <c r="H4867" s="7">
        <v>211</v>
      </c>
      <c r="I4867" s="8" t="str">
        <f ca="1">IFERROR(__xludf.DUMMYFUNCTION("IF
(
G4868=""фізична особа""
,
VLOOKUP(H4868,IMPORTRANGE(""https://docs.google.com/spreadsheets/d/14Bd19lYaqBhU8_DElYkX7l4wRkHqqCUFNJY4AfY3kHU/edit?usp=sharing  #gid=0"",""фіз особи new!relations_name""),6,FALSE)
,
(IF
(
G4868=""юридична особа""
,
VLOOKUP"&amp;"(H4868,IMPORTRANGE(""https://docs.google.com/spreadsheets/d/14Bd19lYaqBhU8_DElYkX7l4wRkHqqCUFNJY4AfY3kHU/edit?usp=sharing  #gid=0"",""фіз особи new!relations_name_uo""),7,FALSE)
,
)
))"),"БУЛГАКОВ Дмитро Віталійович")</f>
        <v>БУЛГАКОВ Дмитро Віталійович</v>
      </c>
      <c r="J4867" s="7" t="s">
        <v>102</v>
      </c>
    </row>
    <row r="4868" spans="1:10" ht="13.2">
      <c r="A4868" s="7">
        <v>4867</v>
      </c>
      <c r="B4868" s="7">
        <v>1</v>
      </c>
      <c r="C4868" s="7" t="s">
        <v>10</v>
      </c>
      <c r="D4868" s="7">
        <v>3994</v>
      </c>
      <c r="E4868" s="7" t="s">
        <v>28</v>
      </c>
      <c r="F4868" s="8" t="str">
        <f ca="1">IFERROR(__xludf.DUMMYFUNCTION("IF
(
C4869=""фізична особа""
,
VLOOKUP(D4869,IMPORTRANGE(""https://docs.google.com/spreadsheets/d/14Bd19lYaqBhU8_DElYkX7l4wRkHqqCUFNJY4AfY3kHU/edit?usp=sharing  #gid=0"",""фіз особи new!relations_name""),6,FALSE)
,
(IF
(
C4869=""юридична особа""
,
VLOOKUP"&amp;"(D4869,IMPORTRANGE(""https://docs.google.com/spreadsheets/d/14Bd19lYaqBhU8_DElYkX7l4wRkHqqCUFNJY4AfY3kHU/edit?usp=sharing  #gid=0"",""фіз особи new!relations_name_uo""),7,FALSE)
,
)
))"),"ГРИБЕННІКОВ Андрій Миколайович")</f>
        <v>ГРИБЕННІКОВ Андрій Миколайович</v>
      </c>
      <c r="G4868" s="7" t="s">
        <v>10</v>
      </c>
      <c r="H4868" s="7">
        <v>2304</v>
      </c>
      <c r="I4868" s="8" t="str">
        <f ca="1">IFERROR(__xludf.DUMMYFUNCTION("IF
(
G4869=""фізична особа""
,
VLOOKUP(H4869,IMPORTRANGE(""https://docs.google.com/spreadsheets/d/14Bd19lYaqBhU8_DElYkX7l4wRkHqqCUFNJY4AfY3kHU/edit?usp=sharing  #gid=0"",""фіз особи new!relations_name""),6,FALSE)
,
(IF
(
G4869=""юридична особа""
,
VLOOKUP"&amp;"(H4869,IMPORTRANGE(""https://docs.google.com/spreadsheets/d/14Bd19lYaqBhU8_DElYkX7l4wRkHqqCUFNJY4AfY3kHU/edit?usp=sharing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868" s="7" t="s">
        <v>29</v>
      </c>
    </row>
    <row r="4869" spans="1:10" ht="13.2">
      <c r="A4869" s="7">
        <v>4868</v>
      </c>
      <c r="B4869" s="7">
        <v>1</v>
      </c>
      <c r="C4869" s="7" t="s">
        <v>10</v>
      </c>
      <c r="D4869" s="7">
        <v>3995</v>
      </c>
      <c r="E4869" s="7" t="s">
        <v>28</v>
      </c>
      <c r="F4869" s="8" t="str">
        <f ca="1">IFERROR(__xludf.DUMMYFUNCTION("IF
(
C4870=""фізична особа""
,
VLOOKUP(D4870,IMPORTRANGE(""https://docs.google.com/spreadsheets/d/14Bd19lYaqBhU8_DElYkX7l4wRkHqqCUFNJY4AfY3kHU/edit?usp=sharing  #gid=0"",""фіз особи new!relations_name""),6,FALSE)
,
(IF
(
C4870=""юридична особа""
,
VLOOKUP"&amp;"(D4870,IMPORTRANGE(""https://docs.google.com/spreadsheets/d/14Bd19lYaqBhU8_DElYkX7l4wRkHqqCUFNJY4AfY3kHU/edit?usp=sharing  #gid=0"",""фіз особи new!relations_name_uo""),7,FALSE)
,
)
))"),"ГРИГОР'ЄВ Олексій Іванович")</f>
        <v>ГРИГОР'ЄВ Олексій Іванович</v>
      </c>
      <c r="G4869" s="7" t="s">
        <v>10</v>
      </c>
      <c r="H4869" s="7">
        <v>2304</v>
      </c>
      <c r="I4869" s="8" t="str">
        <f ca="1">IFERROR(__xludf.DUMMYFUNCTION("IF
(
G4870=""фізична особа""
,
VLOOKUP(H4870,IMPORTRANGE(""https://docs.google.com/spreadsheets/d/14Bd19lYaqBhU8_DElYkX7l4wRkHqqCUFNJY4AfY3kHU/edit?usp=sharing  #gid=0"",""фіз особи new!relations_name""),6,FALSE)
,
(IF
(
G4870=""юридична особа""
,
VLOOKUP"&amp;"(H4870,IMPORTRANGE(""https://docs.google.com/spreadsheets/d/14Bd19lYaqBhU8_DElYkX7l4wRkHqqCUFNJY4AfY3kHU/edit?usp=sharing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869" s="7" t="s">
        <v>29</v>
      </c>
    </row>
    <row r="4870" spans="1:10" ht="13.2">
      <c r="A4870" s="7">
        <v>4869</v>
      </c>
      <c r="B4870" s="7">
        <v>1</v>
      </c>
      <c r="C4870" s="7" t="s">
        <v>10</v>
      </c>
      <c r="D4870" s="7">
        <v>3996</v>
      </c>
      <c r="E4870" s="7" t="s">
        <v>28</v>
      </c>
      <c r="F4870" s="8" t="str">
        <f ca="1">IFERROR(__xludf.DUMMYFUNCTION("IF
(
C4871=""фізична особа""
,
VLOOKUP(D4871,IMPORTRANGE(""https://docs.google.com/spreadsheets/d/14Bd19lYaqBhU8_DElYkX7l4wRkHqqCUFNJY4AfY3kHU/edit?usp=sharing  #gid=0"",""фіз особи new!relations_name""),6,FALSE)
,
(IF
(
C4871=""юридична особа""
,
VLOOKUP"&amp;"(D4871,IMPORTRANGE(""https://docs.google.com/spreadsheets/d/14Bd19lYaqBhU8_DElYkX7l4wRkHqqCUFNJY4AfY3kHU/edit?usp=sharing  #gid=0"",""фіз особи new!relations_name_uo""),7,FALSE)
,
)
))"),"ЗЕМЦОВ Роман Геннадійович")</f>
        <v>ЗЕМЦОВ Роман Геннадійович</v>
      </c>
      <c r="G4870" s="7" t="s">
        <v>10</v>
      </c>
      <c r="H4870" s="7">
        <v>2304</v>
      </c>
      <c r="I4870" s="8" t="str">
        <f ca="1">IFERROR(__xludf.DUMMYFUNCTION("IF
(
G4871=""фізична особа""
,
VLOOKUP(H4871,IMPORTRANGE(""https://docs.google.com/spreadsheets/d/14Bd19lYaqBhU8_DElYkX7l4wRkHqqCUFNJY4AfY3kHU/edit?usp=sharing  #gid=0"",""фіз особи new!relations_name""),6,FALSE)
,
(IF
(
G4871=""юридична особа""
,
VLOOKUP"&amp;"(H4871,IMPORTRANGE(""https://docs.google.com/spreadsheets/d/14Bd19lYaqBhU8_DElYkX7l4wRkHqqCUFNJY4AfY3kHU/edit?usp=sharing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870" s="7" t="s">
        <v>29</v>
      </c>
    </row>
    <row r="4871" spans="1:10" ht="13.2">
      <c r="A4871" s="7">
        <v>4870</v>
      </c>
      <c r="B4871" s="7">
        <v>1</v>
      </c>
      <c r="C4871" s="7" t="s">
        <v>10</v>
      </c>
      <c r="D4871" s="7">
        <v>3997</v>
      </c>
      <c r="E4871" s="7" t="s">
        <v>28</v>
      </c>
      <c r="F4871" s="8" t="str">
        <f ca="1">IFERROR(__xludf.DUMMYFUNCTION("IF
(
C4872=""фізична особа""
,
VLOOKUP(D4872,IMPORTRANGE(""https://docs.google.com/spreadsheets/d/14Bd19lYaqBhU8_DElYkX7l4wRkHqqCUFNJY4AfY3kHU/edit?usp=sharing  #gid=0"",""фіз особи new!relations_name""),6,FALSE)
,
(IF
(
C4872=""юридична особа""
,
VLOOKUP"&amp;"(D4872,IMPORTRANGE(""https://docs.google.com/spreadsheets/d/14Bd19lYaqBhU8_DElYkX7l4wRkHqqCUFNJY4AfY3kHU/edit?usp=sharing  #gid=0"",""фіз особи new!relations_name_uo""),7,FALSE)
,
)
))"),"КРЮЧКОВ Павло Миколайович")</f>
        <v>КРЮЧКОВ Павло Миколайович</v>
      </c>
      <c r="G4871" s="7" t="s">
        <v>10</v>
      </c>
      <c r="H4871" s="7">
        <v>849</v>
      </c>
      <c r="I4871" s="8" t="str">
        <f ca="1">IFERROR(__xludf.DUMMYFUNCTION("IF
(
G4872=""фізична особа""
,
VLOOKUP(H4872,IMPORTRANGE(""https://docs.google.com/spreadsheets/d/14Bd19lYaqBhU8_DElYkX7l4wRkHqqCUFNJY4AfY3kHU/edit?usp=sharing  #gid=0"",""фіз особи new!relations_name""),6,FALSE)
,
(IF
(
G4872=""юридична особа""
,
VLOOKUP"&amp;"(H4872,IMPORTRANGE(""https://docs.google.com/spreadsheets/d/14Bd19lYaqBhU8_DElYkX7l4wRkHqqCUFNJY4AfY3kHU/edit?usp=sharing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1" s="7" t="s">
        <v>29</v>
      </c>
    </row>
    <row r="4872" spans="1:10" ht="13.2">
      <c r="A4872" s="7">
        <v>4871</v>
      </c>
      <c r="B4872" s="7">
        <v>1</v>
      </c>
      <c r="C4872" s="7" t="s">
        <v>10</v>
      </c>
      <c r="D4872" s="7">
        <v>3998</v>
      </c>
      <c r="E4872" s="7" t="s">
        <v>28</v>
      </c>
      <c r="F4872" s="8" t="str">
        <f ca="1">IFERROR(__xludf.DUMMYFUNCTION("IF
(
C4873=""фізична особа""
,
VLOOKUP(D4873,IMPORTRANGE(""https://docs.google.com/spreadsheets/d/14Bd19lYaqBhU8_DElYkX7l4wRkHqqCUFNJY4AfY3kHU/edit?usp=sharing  #gid=0"",""фіз особи new!relations_name""),6,FALSE)
,
(IF
(
C4873=""юридична особа""
,
VLOOKUP"&amp;"(D4873,IMPORTRANGE(""https://docs.google.com/spreadsheets/d/14Bd19lYaqBhU8_DElYkX7l4wRkHqqCUFNJY4AfY3kHU/edit?usp=sharing  #gid=0"",""фіз особи new!relations_name_uo""),7,FALSE)
,
)
))"),"МИТРОШИН Дмитро Вікторович")</f>
        <v>МИТРОШИН Дмитро Вікторович</v>
      </c>
      <c r="G4872" s="7" t="s">
        <v>10</v>
      </c>
      <c r="H4872" s="7">
        <v>849</v>
      </c>
      <c r="I4872" s="8" t="str">
        <f ca="1">IFERROR(__xludf.DUMMYFUNCTION("IF
(
G4873=""фізична особа""
,
VLOOKUP(H4873,IMPORTRANGE(""https://docs.google.com/spreadsheets/d/14Bd19lYaqBhU8_DElYkX7l4wRkHqqCUFNJY4AfY3kHU/edit?usp=sharing  #gid=0"",""фіз особи new!relations_name""),6,FALSE)
,
(IF
(
G4873=""юридична особа""
,
VLOOKUP"&amp;"(H4873,IMPORTRANGE(""https://docs.google.com/spreadsheets/d/14Bd19lYaqBhU8_DElYkX7l4wRkHqqCUFNJY4AfY3kHU/edit?usp=sharing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2" s="7" t="s">
        <v>29</v>
      </c>
    </row>
    <row r="4873" spans="1:10" ht="13.2">
      <c r="A4873" s="7">
        <v>4872</v>
      </c>
      <c r="B4873" s="7">
        <v>1</v>
      </c>
      <c r="C4873" s="7" t="s">
        <v>10</v>
      </c>
      <c r="D4873" s="7">
        <v>3999</v>
      </c>
      <c r="E4873" s="7" t="s">
        <v>28</v>
      </c>
      <c r="F4873" s="8" t="str">
        <f ca="1">IFERROR(__xludf.DUMMYFUNCTION("IF
(
C4874=""фізична особа""
,
VLOOKUP(D4874,IMPORTRANGE(""https://docs.google.com/spreadsheets/d/14Bd19lYaqBhU8_DElYkX7l4wRkHqqCUFNJY4AfY3kHU/edit?usp=sharing  #gid=0"",""фіз особи new!relations_name""),6,FALSE)
,
(IF
(
C4874=""юридична особа""
,
VLOOKUP"&amp;"(D4874,IMPORTRANGE(""https://docs.google.com/spreadsheets/d/14Bd19lYaqBhU8_DElYkX7l4wRkHqqCUFNJY4AfY3kHU/edit?usp=sharing  #gid=0"",""фіз особи new!relations_name_uo""),7,FALSE)
,
)
))"),"ЖЕБРОВСЬКИЙ Олександр Леонідович")</f>
        <v>ЖЕБРОВСЬКИЙ Олександр Леонідович</v>
      </c>
      <c r="G4873" s="7" t="s">
        <v>10</v>
      </c>
      <c r="H4873" s="7">
        <v>849</v>
      </c>
      <c r="I4873" s="8" t="str">
        <f ca="1">IFERROR(__xludf.DUMMYFUNCTION("IF
(
G4874=""фізична особа""
,
VLOOKUP(H4874,IMPORTRANGE(""https://docs.google.com/spreadsheets/d/14Bd19lYaqBhU8_DElYkX7l4wRkHqqCUFNJY4AfY3kHU/edit?usp=sharing  #gid=0"",""фіз особи new!relations_name""),6,FALSE)
,
(IF
(
G4874=""юридична особа""
,
VLOOKUP"&amp;"(H4874,IMPORTRANGE(""https://docs.google.com/spreadsheets/d/14Bd19lYaqBhU8_DElYkX7l4wRkHqqCUFNJY4AfY3kHU/edit?usp=sharing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3" s="7" t="s">
        <v>29</v>
      </c>
    </row>
    <row r="4874" spans="1:10" ht="13.2">
      <c r="A4874" s="7">
        <v>4873</v>
      </c>
      <c r="B4874" s="7">
        <v>1</v>
      </c>
      <c r="C4874" s="7" t="s">
        <v>10</v>
      </c>
      <c r="D4874" s="7">
        <v>4000</v>
      </c>
      <c r="E4874" s="7" t="s">
        <v>28</v>
      </c>
      <c r="F4874" s="8" t="str">
        <f ca="1">IFERROR(__xludf.DUMMYFUNCTION("IF
(
C4875=""фізична особа""
,
VLOOKUP(D4875,IMPORTRANGE(""https://docs.google.com/spreadsheets/d/14Bd19lYaqBhU8_DElYkX7l4wRkHqqCUFNJY4AfY3kHU/edit?usp=sharing  #gid=0"",""фіз особи new!relations_name""),6,FALSE)
,
(IF
(
C4875=""юридична особа""
,
VLOOKUP"&amp;"(D4875,IMPORTRANGE(""https://docs.google.com/spreadsheets/d/14Bd19lYaqBhU8_DElYkX7l4wRkHqqCUFNJY4AfY3kHU/edit?usp=sharing  #gid=0"",""фіз особи new!relations_name_uo""),7,FALSE)
,
)
))"),"КАЧКІН Сергій Анатолійович")</f>
        <v>КАЧКІН Сергій Анатолійович</v>
      </c>
      <c r="G4874" s="7" t="s">
        <v>10</v>
      </c>
      <c r="H4874" s="7">
        <v>849</v>
      </c>
      <c r="I4874" s="8" t="str">
        <f ca="1">IFERROR(__xludf.DUMMYFUNCTION("IF
(
G4875=""фізична особа""
,
VLOOKUP(H4875,IMPORTRANGE(""https://docs.google.com/spreadsheets/d/14Bd19lYaqBhU8_DElYkX7l4wRkHqqCUFNJY4AfY3kHU/edit?usp=sharing  #gid=0"",""фіз особи new!relations_name""),6,FALSE)
,
(IF
(
G4875=""юридична особа""
,
VLOOKUP"&amp;"(H4875,IMPORTRANGE(""https://docs.google.com/spreadsheets/d/14Bd19lYaqBhU8_DElYkX7l4wRkHqqCUFNJY4AfY3kHU/edit?usp=sharing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4" s="7" t="s">
        <v>29</v>
      </c>
    </row>
    <row r="4875" spans="1:10" ht="13.2">
      <c r="A4875" s="7">
        <v>4874</v>
      </c>
      <c r="B4875" s="7">
        <v>1</v>
      </c>
      <c r="C4875" s="7" t="s">
        <v>10</v>
      </c>
      <c r="D4875" s="7">
        <v>4001</v>
      </c>
      <c r="E4875" s="7" t="s">
        <v>28</v>
      </c>
      <c r="F4875" s="8" t="str">
        <f ca="1">IFERROR(__xludf.DUMMYFUNCTION("IF
(
C4876=""фізична особа""
,
VLOOKUP(D4876,IMPORTRANGE(""https://docs.google.com/spreadsheets/d/14Bd19lYaqBhU8_DElYkX7l4wRkHqqCUFNJY4AfY3kHU/edit?usp=sharing  #gid=0"",""фіз особи new!relations_name""),6,FALSE)
,
(IF
(
C4876=""юридична особа""
,
VLOOKUP"&amp;"(D4876,IMPORTRANGE(""https://docs.google.com/spreadsheets/d/14Bd19lYaqBhU8_DElYkX7l4wRkHqqCUFNJY4AfY3kHU/edit?usp=sharing  #gid=0"",""фіз особи new!relations_name_uo""),7,FALSE)
,
)
))"),"ТРОФІМОВ Василь Анатолійович")</f>
        <v>ТРОФІМОВ Василь Анатолійович</v>
      </c>
      <c r="G4875" s="7" t="s">
        <v>10</v>
      </c>
      <c r="H4875" s="7">
        <v>849</v>
      </c>
      <c r="I4875" s="8" t="str">
        <f ca="1">IFERROR(__xludf.DUMMYFUNCTION("IF
(
G4876=""фізична особа""
,
VLOOKUP(H4876,IMPORTRANGE(""https://docs.google.com/spreadsheets/d/14Bd19lYaqBhU8_DElYkX7l4wRkHqqCUFNJY4AfY3kHU/edit?usp=sharing  #gid=0"",""фіз особи new!relations_name""),6,FALSE)
,
(IF
(
G4876=""юридична особа""
,
VLOOKUP"&amp;"(H4876,IMPORTRANGE(""https://docs.google.com/spreadsheets/d/14Bd19lYaqBhU8_DElYkX7l4wRkHqqCUFNJY4AfY3kHU/edit?usp=sharing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5" s="7" t="s">
        <v>29</v>
      </c>
    </row>
    <row r="4876" spans="1:10" ht="13.2">
      <c r="A4876" s="7">
        <v>4875</v>
      </c>
      <c r="B4876" s="7">
        <v>1</v>
      </c>
      <c r="C4876" s="7" t="s">
        <v>10</v>
      </c>
      <c r="D4876" s="7">
        <v>4002</v>
      </c>
      <c r="E4876" s="7" t="s">
        <v>28</v>
      </c>
      <c r="F4876" s="8" t="str">
        <f ca="1">IFERROR(__xludf.DUMMYFUNCTION("IF
(
C4877=""фізична особа""
,
VLOOKUP(D4877,IMPORTRANGE(""https://docs.google.com/spreadsheets/d/14Bd19lYaqBhU8_DElYkX7l4wRkHqqCUFNJY4AfY3kHU/edit?usp=sharing  #gid=0"",""фіз особи new!relations_name""),6,FALSE)
,
(IF
(
C4877=""юридична особа""
,
VLOOKUP"&amp;"(D4877,IMPORTRANGE(""https://docs.google.com/spreadsheets/d/14Bd19lYaqBhU8_DElYkX7l4wRkHqqCUFNJY4AfY3kHU/edit?usp=sharing  #gid=0"",""фіз особи new!relations_name_uo""),7,FALSE)
,
)
))"),"ЄРМАКОВ Валерій Миколайович")</f>
        <v>ЄРМАКОВ Валерій Миколайович</v>
      </c>
      <c r="G4876" s="7" t="s">
        <v>10</v>
      </c>
      <c r="H4876" s="7">
        <v>849</v>
      </c>
      <c r="I4876" s="8" t="str">
        <f ca="1">IFERROR(__xludf.DUMMYFUNCTION("IF
(
G4877=""фізична особа""
,
VLOOKUP(H4877,IMPORTRANGE(""https://docs.google.com/spreadsheets/d/14Bd19lYaqBhU8_DElYkX7l4wRkHqqCUFNJY4AfY3kHU/edit?usp=sharing  #gid=0"",""фіз особи new!relations_name""),6,FALSE)
,
(IF
(
G4877=""юридична особа""
,
VLOOKUP"&amp;"(H4877,IMPORTRANGE(""https://docs.google.com/spreadsheets/d/14Bd19lYaqBhU8_DElYkX7l4wRkHqqCUFNJY4AfY3kHU/edit?usp=sharing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6" s="7" t="s">
        <v>29</v>
      </c>
    </row>
    <row r="4877" spans="1:10" ht="13.2">
      <c r="A4877" s="7">
        <v>4876</v>
      </c>
      <c r="B4877" s="7">
        <v>1</v>
      </c>
      <c r="C4877" s="7" t="s">
        <v>10</v>
      </c>
      <c r="D4877" s="7">
        <v>4003</v>
      </c>
      <c r="E4877" s="7" t="s">
        <v>28</v>
      </c>
      <c r="F4877" s="8" t="str">
        <f ca="1">IFERROR(__xludf.DUMMYFUNCTION("IF
(
C4878=""фізична особа""
,
VLOOKUP(D4878,IMPORTRANGE(""https://docs.google.com/spreadsheets/d/14Bd19lYaqBhU8_DElYkX7l4wRkHqqCUFNJY4AfY3kHU/edit?usp=sharing  #gid=0"",""фіз особи new!relations_name""),6,FALSE)
,
(IF
(
C4878=""юридична особа""
,
VLOOKUP"&amp;"(D4878,IMPORTRANGE(""https://docs.google.com/spreadsheets/d/14Bd19lYaqBhU8_DElYkX7l4wRkHqqCUFNJY4AfY3kHU/edit?usp=sharing  #gid=0"",""фіз особи new!relations_name_uo""),7,FALSE)
,
)
))"),"АЛЯБ'ЄВ Валерій В'ячеславович")</f>
        <v>АЛЯБ'ЄВ Валерій В'ячеславович</v>
      </c>
      <c r="G4877" s="7" t="s">
        <v>10</v>
      </c>
      <c r="H4877" s="7">
        <v>849</v>
      </c>
      <c r="I4877" s="8" t="str">
        <f ca="1">IFERROR(__xludf.DUMMYFUNCTION("IF
(
G4878=""фізична особа""
,
VLOOKUP(H4878,IMPORTRANGE(""https://docs.google.com/spreadsheets/d/14Bd19lYaqBhU8_DElYkX7l4wRkHqqCUFNJY4AfY3kHU/edit?usp=sharing  #gid=0"",""фіз особи new!relations_name""),6,FALSE)
,
(IF
(
G4878=""юридична особа""
,
VLOOKUP"&amp;"(H4878,IMPORTRANGE(""https://docs.google.com/spreadsheets/d/14Bd19lYaqBhU8_DElYkX7l4wRkHqqCUFNJY4AfY3kHU/edit?usp=sharing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4877" s="7" t="s">
        <v>29</v>
      </c>
    </row>
    <row r="4878" spans="1:10" ht="13.2">
      <c r="A4878" s="7">
        <v>4877</v>
      </c>
      <c r="B4878" s="7">
        <v>1</v>
      </c>
      <c r="C4878" s="7" t="s">
        <v>10</v>
      </c>
      <c r="D4878" s="7">
        <v>4004</v>
      </c>
      <c r="E4878" s="7" t="s">
        <v>28</v>
      </c>
      <c r="F4878" s="8" t="str">
        <f ca="1">IFERROR(__xludf.DUMMYFUNCTION("IF
(
C4879=""фізична особа""
,
VLOOKUP(D4879,IMPORTRANGE(""https://docs.google.com/spreadsheets/d/14Bd19lYaqBhU8_DElYkX7l4wRkHqqCUFNJY4AfY3kHU/edit?usp=sharing  #gid=0"",""фіз особи new!relations_name""),6,FALSE)
,
(IF
(
C4879=""юридична особа""
,
VLOOKUP"&amp;"(D4879,IMPORTRANGE(""https://docs.google.com/spreadsheets/d/14Bd19lYaqBhU8_DElYkX7l4wRkHqqCUFNJY4AfY3kHU/edit?usp=sharing  #gid=0"",""фіз особи new!relations_name_uo""),7,FALSE)
,
)
))"),"ІВАЧЕВ Ігор Володимирович")</f>
        <v>ІВАЧЕВ Ігор Володимирович</v>
      </c>
      <c r="G4878" s="7" t="s">
        <v>10</v>
      </c>
      <c r="H4878" s="7">
        <v>2304</v>
      </c>
      <c r="I4878" s="8" t="str">
        <f ca="1">IFERROR(__xludf.DUMMYFUNCTION("IF
(
G4879=""фізична особа""
,
VLOOKUP(H4879,IMPORTRANGE(""https://docs.google.com/spreadsheets/d/14Bd19lYaqBhU8_DElYkX7l4wRkHqqCUFNJY4AfY3kHU/edit?usp=sharing  #gid=0"",""фіз особи new!relations_name""),6,FALSE)
,
(IF
(
G4879=""юридична особа""
,
VLOOKUP"&amp;"(H4879,IMPORTRANGE(""https://docs.google.com/spreadsheets/d/14Bd19lYaqBhU8_DElYkX7l4wRkHqqCUFNJY4AfY3kHU/edit?usp=sharing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878" s="7" t="s">
        <v>29</v>
      </c>
    </row>
    <row r="4879" spans="1:10" ht="13.2">
      <c r="A4879" s="7">
        <v>4878</v>
      </c>
      <c r="B4879" s="7">
        <v>1</v>
      </c>
      <c r="C4879" s="7" t="s">
        <v>10</v>
      </c>
      <c r="D4879" s="7">
        <v>4005</v>
      </c>
      <c r="E4879" s="7" t="s">
        <v>28</v>
      </c>
      <c r="F4879" s="8" t="str">
        <f ca="1">IFERROR(__xludf.DUMMYFUNCTION("IF
(
C4880=""фізична особа""
,
VLOOKUP(D4880,IMPORTRANGE(""https://docs.google.com/spreadsheets/d/14Bd19lYaqBhU8_DElYkX7l4wRkHqqCUFNJY4AfY3kHU/edit?usp=sharing  #gid=0"",""фіз особи new!relations_name""),6,FALSE)
,
(IF
(
C4880=""юридична особа""
,
VLOOKUP"&amp;"(D4880,IMPORTRANGE(""https://docs.google.com/spreadsheets/d/14Bd19lYaqBhU8_DElYkX7l4wRkHqqCUFNJY4AfY3kHU/edit?usp=sharing  #gid=0"",""фіз особи new!relations_name_uo""),7,FALSE)
,
)
))"),"ІНАМОВ Нуритдін Рахманжанович")</f>
        <v>ІНАМОВ Нуритдін Рахманжанович</v>
      </c>
      <c r="G4879" s="7" t="s">
        <v>10</v>
      </c>
      <c r="H4879" s="7">
        <v>2304</v>
      </c>
      <c r="I4879" s="8" t="str">
        <f ca="1">IFERROR(__xludf.DUMMYFUNCTION("IF
(
G4880=""фізична особа""
,
VLOOKUP(H4880,IMPORTRANGE(""https://docs.google.com/spreadsheets/d/14Bd19lYaqBhU8_DElYkX7l4wRkHqqCUFNJY4AfY3kHU/edit?usp=sharing  #gid=0"",""фіз особи new!relations_name""),6,FALSE)
,
(IF
(
G4880=""юридична особа""
,
VLOOKUP"&amp;"(H4880,IMPORTRANGE(""https://docs.google.com/spreadsheets/d/14Bd19lYaqBhU8_DElYkX7l4wRkHqqCUFNJY4AfY3kHU/edit?usp=sharing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4879" s="7" t="s">
        <v>29</v>
      </c>
    </row>
    <row r="4880" spans="1:10" ht="13.2">
      <c r="A4880" s="7">
        <v>4879</v>
      </c>
      <c r="B4880" s="7">
        <v>1</v>
      </c>
      <c r="C4880" s="7" t="s">
        <v>10</v>
      </c>
      <c r="D4880" s="7">
        <v>4017</v>
      </c>
      <c r="E4880" s="7" t="s">
        <v>14</v>
      </c>
      <c r="F4880" s="8" t="str">
        <f ca="1">IFERROR(__xludf.DUMMYFUNCTION("IF
(
C4881=""фізична особа""
,
VLOOKUP(D4881,IMPORTRANGE(""https://docs.google.com/spreadsheets/d/14Bd19lYaqBhU8_DElYkX7l4wRkHqqCUFNJY4AfY3kHU/edit?usp=sharing  #gid=0"",""фіз особи new!relations_name""),6,FALSE)
,
(IF
(
C4881=""юридична особа""
,
VLOOKUP"&amp;"(D4881,IMPORTRANGE(""https://docs.google.com/spreadsheets/d/14Bd19lYaqBhU8_DElYkX7l4wRkHqqCUFNJY4AfY3kHU/edit?usp=sharing  #gid=0"",""фіз особи new!relations_name_uo""),7,FALSE)
,
)
))"),"КОГОГІН Сергій Анатолійович")</f>
        <v>КОГОГІН Сергій Анатолійович</v>
      </c>
      <c r="G4880" s="7" t="s">
        <v>10</v>
      </c>
      <c r="H4880" s="7">
        <v>17</v>
      </c>
      <c r="I4880" s="8" t="str">
        <f ca="1">IFERROR(__xludf.DUMMYFUNCTION("IF
(
G4881=""фізична особа""
,
VLOOKUP(H4881,IMPORTRANGE(""https://docs.google.com/spreadsheets/d/14Bd19lYaqBhU8_DElYkX7l4wRkHqqCUFNJY4AfY3kHU/edit?usp=sharing  #gid=0"",""фіз особи new!relations_name""),6,FALSE)
,
(IF
(
G4881=""юридична особа""
,
VLOOKUP"&amp;"(H4881,IMPORTRANGE(""https://docs.google.com/spreadsheets/d/14Bd19lYaqBhU8_DElYkX7l4wRkHqqCUFNJY4AfY3kHU/edit?usp=sharing  #gid=0"",""фіз особи new!relations_name_uo""),7,FALSE)
,
)
))"),"КОГОГІНА Альфія Гумарівна")</f>
        <v>КОГОГІНА Альфія Гумарівна</v>
      </c>
      <c r="J4880" s="7" t="s">
        <v>15</v>
      </c>
    </row>
    <row r="4881" spans="1:10" ht="13.2">
      <c r="A4881" s="7">
        <v>4880</v>
      </c>
      <c r="B4881" s="7">
        <v>1</v>
      </c>
      <c r="C4881" s="7" t="s">
        <v>10</v>
      </c>
      <c r="D4881" s="7">
        <v>4018</v>
      </c>
      <c r="E4881" s="7" t="s">
        <v>12</v>
      </c>
      <c r="F4881" s="8" t="str">
        <f ca="1">IFERROR(__xludf.DUMMYFUNCTION("IF
(
C4882=""фізична особа""
,
VLOOKUP(D4882,IMPORTRANGE(""https://docs.google.com/spreadsheets/d/14Bd19lYaqBhU8_DElYkX7l4wRkHqqCUFNJY4AfY3kHU/edit?usp=sharing  #gid=0"",""фіз особи new!relations_name""),6,FALSE)
,
(IF
(
C4882=""юридична особа""
,
VLOOKUP"&amp;"(D4882,IMPORTRANGE(""https://docs.google.com/spreadsheets/d/14Bd19lYaqBhU8_DElYkX7l4wRkHqqCUFNJY4AfY3kHU/edit?usp=sharing  #gid=0"",""фіз особи new!relations_name_uo""),7,FALSE)
,
)
))"),"ГУР'ЄВ Андрій Григорович")</f>
        <v>ГУР'ЄВ Андрій Григорович</v>
      </c>
      <c r="G4881" s="7" t="s">
        <v>10</v>
      </c>
      <c r="H4881" s="7">
        <v>1875</v>
      </c>
      <c r="I4881" s="8" t="str">
        <f ca="1">IFERROR(__xludf.DUMMYFUNCTION("IF
(
G4882=""фізична особа""
,
VLOOKUP(H4882,IMPORTRANGE(""https://docs.google.com/spreadsheets/d/14Bd19lYaqBhU8_DElYkX7l4wRkHqqCUFNJY4AfY3kHU/edit?usp=sharing  #gid=0"",""фіз особи new!relations_name""),6,FALSE)
,
(IF
(
G4882=""юридична особа""
,
VLOOKUP"&amp;"(H4882,IMPORTRANGE(""https://docs.google.com/spreadsheets/d/14Bd19lYaqBhU8_DElYkX7l4wRkHqqCUFNJY4AfY3kHU/edit?usp=sharing  #gid=0"",""фіз особи new!relations_name_uo""),7,FALSE)
,
)
))"),"ГУР'ЄВ Андрій Андрійович")</f>
        <v>ГУР'ЄВ Андрій Андрійович</v>
      </c>
      <c r="J4881" s="7" t="s">
        <v>17</v>
      </c>
    </row>
    <row r="4882" spans="1:10" ht="13.2">
      <c r="A4882" s="7">
        <v>4881</v>
      </c>
      <c r="B4882" s="7">
        <v>1</v>
      </c>
      <c r="C4882" s="7" t="s">
        <v>10</v>
      </c>
      <c r="D4882" s="7">
        <v>4034</v>
      </c>
      <c r="E4882" s="7" t="s">
        <v>31</v>
      </c>
      <c r="F4882" s="8" t="str">
        <f ca="1">IFERROR(__xludf.DUMMYFUNCTION("IF
(
C4883=""фізична особа""
,
VLOOKUP(D4883,IMPORTRANGE(""https://docs.google.com/spreadsheets/d/14Bd19lYaqBhU8_DElYkX7l4wRkHqqCUFNJY4AfY3kHU/edit?usp=sharing  #gid=0"",""фіз особи new!relations_name""),6,FALSE)
,
(IF
(
C4883=""юридична особа""
,
VLOOKUP"&amp;"(D4883,IMPORTRANGE(""https://docs.google.com/spreadsheets/d/14Bd19lYaqBhU8_DElYkX7l4wRkHqqCUFNJY4AfY3kHU/edit?usp=sharing  #gid=0"",""фіз особи new!relations_name_uo""),7,FALSE)
,
)
))"),"НАРЗІЄВА Саодат")</f>
        <v>НАРЗІЄВА Саодат</v>
      </c>
      <c r="G4882" s="7" t="s">
        <v>10</v>
      </c>
      <c r="H4882" s="7">
        <v>4368</v>
      </c>
      <c r="I4882" s="8" t="str">
        <f ca="1">IFERROR(__xludf.DUMMYFUNCTION("IF
(
G4883=""фізична особа""
,
VLOOKUP(H4883,IMPORTRANGE(""https://docs.google.com/spreadsheets/d/14Bd19lYaqBhU8_DElYkX7l4wRkHqqCUFNJY4AfY3kHU/edit?usp=sharing  #gid=0"",""фіз особи new!relations_name""),6,FALSE)
,
(IF
(
G4883=""юридична особа""
,
VLOOKUP"&amp;"(H4883,IMPORTRANGE(""https://docs.google.com/spreadsheets/d/14Bd19lYaqBhU8_DElYkX7l4wRkHqqCUFNJY4AfY3kHU/edit?usp=sharing  #gid=0"",""фіз особи new!relations_name_uo""),7,FALSE)
,
)
))"),"ІСМАІЛОВА Гульбахор")</f>
        <v>ІСМАІЛОВА Гульбахор</v>
      </c>
      <c r="J4882" s="7" t="s">
        <v>31</v>
      </c>
    </row>
    <row r="4883" spans="1:10" ht="13.2">
      <c r="A4883" s="7">
        <v>4882</v>
      </c>
      <c r="B4883" s="7">
        <v>1</v>
      </c>
      <c r="C4883" s="7" t="s">
        <v>10</v>
      </c>
      <c r="D4883" s="7">
        <v>4035</v>
      </c>
      <c r="E4883" s="7" t="s">
        <v>16</v>
      </c>
      <c r="F4883" s="8" t="str">
        <f ca="1">IFERROR(__xludf.DUMMYFUNCTION("IF
(
C4884=""фізична особа""
,
VLOOKUP(D4884,IMPORTRANGE(""https://docs.google.com/spreadsheets/d/14Bd19lYaqBhU8_DElYkX7l4wRkHqqCUFNJY4AfY3kHU/edit?usp=sharing  #gid=0"",""фіз особи new!relations_name""),6,FALSE)
,
(IF
(
C4884=""юридична особа""
,
VLOOKUP"&amp;"(D4884,IMPORTRANGE(""https://docs.google.com/spreadsheets/d/14Bd19lYaqBhU8_DElYkX7l4wRkHqqCUFNJY4AfY3kHU/edit?usp=sharing  #gid=0"",""фіз особи new!relations_name_uo""),7,FALSE)
,
)
))"),"МИХАЙЛОВ Олег Олексійович")</f>
        <v>МИХАЙЛОВ Олег Олексійович</v>
      </c>
      <c r="G4883" s="7" t="s">
        <v>10</v>
      </c>
      <c r="H4883" s="7">
        <v>0</v>
      </c>
      <c r="I4883" s="8" t="str">
        <f ca="1">IFERROR(__xludf.DUMMYFUNCTION("IF
(
G4884=""фізична особа""
,
VLOOKUP(H4884,IMPORTRANGE(""https://docs.google.com/spreadsheets/d/14Bd19lYaqBhU8_DElYkX7l4wRkHqqCUFNJY4AfY3kHU/edit?usp=sharing  #gid=0"",""фіз особи new!relations_name""),6,FALSE)
,
(IF
(
G4884=""юридична особа""
,
VLOOKUP"&amp;"(H4884,IMPORTRANGE(""https://docs.google.com/spreadsheets/d/14Bd19lYaqBhU8_DElYkX7l4wRkHqqCUFNJY4AfY3kHU/edit?usp=sharing  #gid=0"",""фіз особи new!relations_name_uo""),7,FALSE)
,
)
))"),"#N/A")</f>
        <v>#N/A</v>
      </c>
      <c r="J4883" s="7" t="s">
        <v>16</v>
      </c>
    </row>
    <row r="4884" spans="1:10" ht="13.2">
      <c r="A4884" s="7">
        <v>4883</v>
      </c>
      <c r="B4884" s="7">
        <v>1</v>
      </c>
      <c r="C4884" s="7" t="s">
        <v>10</v>
      </c>
      <c r="D4884" s="7">
        <v>4035</v>
      </c>
      <c r="E4884" s="7" t="s">
        <v>103</v>
      </c>
      <c r="F4884" s="8" t="str">
        <f ca="1">IFERROR(__xludf.DUMMYFUNCTION("IF
(
C4885=""фізична особа""
,
VLOOKUP(D4885,IMPORTRANGE(""https://docs.google.com/spreadsheets/d/14Bd19lYaqBhU8_DElYkX7l4wRkHqqCUFNJY4AfY3kHU/edit?usp=sharing  #gid=0"",""фіз особи new!relations_name""),6,FALSE)
,
(IF
(
C4885=""юридична особа""
,
VLOOKUP"&amp;"(D4885,IMPORTRANGE(""https://docs.google.com/spreadsheets/d/14Bd19lYaqBhU8_DElYkX7l4wRkHqqCUFNJY4AfY3kHU/edit?usp=sharing  #gid=0"",""фіз особи new!relations_name_uo""),7,FALSE)
,
)
))"),"МИХАЙЛОВ Олег Олексійович")</f>
        <v>МИХАЙЛОВ Олег Олексійович</v>
      </c>
      <c r="G4884" s="7" t="s">
        <v>10</v>
      </c>
      <c r="H4884" s="7">
        <v>0</v>
      </c>
      <c r="I4884" s="8" t="str">
        <f ca="1">IFERROR(__xludf.DUMMYFUNCTION("IF
(
G4885=""фізична особа""
,
VLOOKUP(H4885,IMPORTRANGE(""https://docs.google.com/spreadsheets/d/14Bd19lYaqBhU8_DElYkX7l4wRkHqqCUFNJY4AfY3kHU/edit?usp=sharing  #gid=0"",""фіз особи new!relations_name""),6,FALSE)
,
(IF
(
G4885=""юридична особа""
,
VLOOKUP"&amp;"(H4885,IMPORTRANGE(""https://docs.google.com/spreadsheets/d/14Bd19lYaqBhU8_DElYkX7l4wRkHqqCUFNJY4AfY3kHU/edit?usp=sharing  #gid=0"",""фіз особи new!relations_name_uo""),7,FALSE)
,
)
))"),"#N/A")</f>
        <v>#N/A</v>
      </c>
      <c r="J4884" s="7" t="s">
        <v>103</v>
      </c>
    </row>
    <row r="4885" spans="1:10" ht="13.2">
      <c r="A4885" s="7">
        <v>4884</v>
      </c>
      <c r="B4885" s="7">
        <v>1</v>
      </c>
      <c r="C4885" s="7" t="s">
        <v>10</v>
      </c>
      <c r="D4885" s="7">
        <v>4035</v>
      </c>
      <c r="E4885" s="7" t="s">
        <v>16</v>
      </c>
      <c r="F4885" s="8" t="str">
        <f ca="1">IFERROR(__xludf.DUMMYFUNCTION("IF
(
C4886=""фізична особа""
,
VLOOKUP(D4886,IMPORTRANGE(""https://docs.google.com/spreadsheets/d/14Bd19lYaqBhU8_DElYkX7l4wRkHqqCUFNJY4AfY3kHU/edit?usp=sharing  #gid=0"",""фіз особи new!relations_name""),6,FALSE)
,
(IF
(
C4886=""юридична особа""
,
VLOOKUP"&amp;"(D4886,IMPORTRANGE(""https://docs.google.com/spreadsheets/d/14Bd19lYaqBhU8_DElYkX7l4wRkHqqCUFNJY4AfY3kHU/edit?usp=sharing  #gid=0"",""фіз особи new!relations_name_uo""),7,FALSE)
,
)
))"),"МИХАЙЛОВ Олег Олексійович")</f>
        <v>МИХАЙЛОВ Олег Олексійович</v>
      </c>
      <c r="G4885" s="7" t="s">
        <v>10</v>
      </c>
      <c r="H4885" s="7">
        <v>0</v>
      </c>
      <c r="I4885" s="8" t="str">
        <f ca="1">IFERROR(__xludf.DUMMYFUNCTION("IF
(
G4886=""фізична особа""
,
VLOOKUP(H4886,IMPORTRANGE(""https://docs.google.com/spreadsheets/d/14Bd19lYaqBhU8_DElYkX7l4wRkHqqCUFNJY4AfY3kHU/edit?usp=sharing  #gid=0"",""фіз особи new!relations_name""),6,FALSE)
,
(IF
(
G4886=""юридична особа""
,
VLOOKUP"&amp;"(H4886,IMPORTRANGE(""https://docs.google.com/spreadsheets/d/14Bd19lYaqBhU8_DElYkX7l4wRkHqqCUFNJY4AfY3kHU/edit?usp=sharing  #gid=0"",""фіз особи new!relations_name_uo""),7,FALSE)
,
)
))"),"#N/A")</f>
        <v>#N/A</v>
      </c>
      <c r="J4885" s="7" t="s">
        <v>16</v>
      </c>
    </row>
    <row r="4886" spans="1:10" ht="13.2">
      <c r="A4886" s="7">
        <v>4885</v>
      </c>
      <c r="B4886" s="7">
        <v>1</v>
      </c>
      <c r="C4886" s="7" t="s">
        <v>10</v>
      </c>
      <c r="D4886" s="7">
        <v>4036</v>
      </c>
      <c r="E4886" s="7" t="s">
        <v>18</v>
      </c>
      <c r="F4886" s="8" t="str">
        <f ca="1">IFERROR(__xludf.DUMMYFUNCTION("IF
(
C4887=""фізична особа""
,
VLOOKUP(D4887,IMPORTRANGE(""https://docs.google.com/spreadsheets/d/14Bd19lYaqBhU8_DElYkX7l4wRkHqqCUFNJY4AfY3kHU/edit?usp=sharing  #gid=0"",""фіз особи new!relations_name""),6,FALSE)
,
(IF
(
C4887=""юридична особа""
,
VLOOKUP"&amp;"(D4887,IMPORTRANGE(""https://docs.google.com/spreadsheets/d/14Bd19lYaqBhU8_DElYkX7l4wRkHqqCUFNJY4AfY3kHU/edit?usp=sharing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86" s="7" t="s">
        <v>10</v>
      </c>
      <c r="H4886" s="7">
        <v>0</v>
      </c>
      <c r="I4886" s="8" t="str">
        <f ca="1">IFERROR(__xludf.DUMMYFUNCTION("IF
(
G4887=""фізична особа""
,
VLOOKUP(H4887,IMPORTRANGE(""https://docs.google.com/spreadsheets/d/14Bd19lYaqBhU8_DElYkX7l4wRkHqqCUFNJY4AfY3kHU/edit?usp=sharing  #gid=0"",""фіз особи new!relations_name""),6,FALSE)
,
(IF
(
G4887=""юридична особа""
,
VLOOKUP"&amp;"(H4887,IMPORTRANGE(""https://docs.google.com/spreadsheets/d/14Bd19lYaqBhU8_DElYkX7l4wRkHqqCUFNJY4AfY3kHU/edit?usp=sharing  #gid=0"",""фіз особи new!relations_name_uo""),7,FALSE)
,
)
))"),"#N/A")</f>
        <v>#N/A</v>
      </c>
      <c r="J4886" s="7" t="s">
        <v>18</v>
      </c>
    </row>
    <row r="4887" spans="1:10" ht="13.2">
      <c r="A4887" s="7">
        <v>4886</v>
      </c>
      <c r="B4887" s="7">
        <v>1</v>
      </c>
      <c r="C4887" s="7" t="s">
        <v>10</v>
      </c>
      <c r="D4887" s="7">
        <v>4036</v>
      </c>
      <c r="E4887" s="7" t="s">
        <v>12</v>
      </c>
      <c r="F4887" s="8" t="str">
        <f ca="1">IFERROR(__xludf.DUMMYFUNCTION("IF
(
C4888=""фізична особа""
,
VLOOKUP(D4888,IMPORTRANGE(""https://docs.google.com/spreadsheets/d/14Bd19lYaqBhU8_DElYkX7l4wRkHqqCUFNJY4AfY3kHU/edit?usp=sharing  #gid=0"",""фіз особи new!relations_name""),6,FALSE)
,
(IF
(
C4888=""юридична особа""
,
VLOOKUP"&amp;"(D4888,IMPORTRANGE(""https://docs.google.com/spreadsheets/d/14Bd19lYaqBhU8_DElYkX7l4wRkHqqCUFNJY4AfY3kHU/edit?usp=sharing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87" s="7" t="s">
        <v>10</v>
      </c>
      <c r="H4887" s="7">
        <v>0</v>
      </c>
      <c r="I4887" s="8" t="str">
        <f ca="1">IFERROR(__xludf.DUMMYFUNCTION("IF
(
G4888=""фізична особа""
,
VLOOKUP(H4888,IMPORTRANGE(""https://docs.google.com/spreadsheets/d/14Bd19lYaqBhU8_DElYkX7l4wRkHqqCUFNJY4AfY3kHU/edit?usp=sharing  #gid=0"",""фіз особи new!relations_name""),6,FALSE)
,
(IF
(
G4888=""юридична особа""
,
VLOOKUP"&amp;"(H4888,IMPORTRANGE(""https://docs.google.com/spreadsheets/d/14Bd19lYaqBhU8_DElYkX7l4wRkHqqCUFNJY4AfY3kHU/edit?usp=sharing  #gid=0"",""фіз особи new!relations_name_uo""),7,FALSE)
,
)
))"),"#N/A")</f>
        <v>#N/A</v>
      </c>
      <c r="J4887" s="7" t="s">
        <v>17</v>
      </c>
    </row>
    <row r="4888" spans="1:10" ht="13.2">
      <c r="A4888" s="7">
        <v>4887</v>
      </c>
      <c r="B4888" s="7">
        <v>1</v>
      </c>
      <c r="C4888" s="7" t="s">
        <v>10</v>
      </c>
      <c r="D4888" s="7">
        <v>4036</v>
      </c>
      <c r="E4888" s="7" t="s">
        <v>12</v>
      </c>
      <c r="F4888" s="8" t="str">
        <f ca="1">IFERROR(__xludf.DUMMYFUNCTION("IF
(
C4889=""фізична особа""
,
VLOOKUP(D4889,IMPORTRANGE(""https://docs.google.com/spreadsheets/d/14Bd19lYaqBhU8_DElYkX7l4wRkHqqCUFNJY4AfY3kHU/edit?usp=sharing  #gid=0"",""фіз особи new!relations_name""),6,FALSE)
,
(IF
(
C4889=""юридична особа""
,
VLOOKUP"&amp;"(D4889,IMPORTRANGE(""https://docs.google.com/spreadsheets/d/14Bd19lYaqBhU8_DElYkX7l4wRkHqqCUFNJY4AfY3kHU/edit?usp=sharing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88" s="7" t="s">
        <v>10</v>
      </c>
      <c r="H4888" s="7">
        <v>0</v>
      </c>
      <c r="I4888" s="8" t="str">
        <f ca="1">IFERROR(__xludf.DUMMYFUNCTION("IF
(
G4889=""фізична особа""
,
VLOOKUP(H4889,IMPORTRANGE(""https://docs.google.com/spreadsheets/d/14Bd19lYaqBhU8_DElYkX7l4wRkHqqCUFNJY4AfY3kHU/edit?usp=sharing  #gid=0"",""фіз особи new!relations_name""),6,FALSE)
,
(IF
(
G4889=""юридична особа""
,
VLOOKUP"&amp;"(H4889,IMPORTRANGE(""https://docs.google.com/spreadsheets/d/14Bd19lYaqBhU8_DElYkX7l4wRkHqqCUFNJY4AfY3kHU/edit?usp=sharing  #gid=0"",""фіз особи new!relations_name_uo""),7,FALSE)
,
)
))"),"#N/A")</f>
        <v>#N/A</v>
      </c>
      <c r="J4888" s="7" t="s">
        <v>17</v>
      </c>
    </row>
    <row r="4889" spans="1:10" ht="13.2">
      <c r="A4889" s="7">
        <v>4888</v>
      </c>
      <c r="B4889" s="7">
        <v>1</v>
      </c>
      <c r="C4889" s="7" t="s">
        <v>10</v>
      </c>
      <c r="D4889" s="7">
        <v>4036</v>
      </c>
      <c r="E4889" s="7" t="s">
        <v>12</v>
      </c>
      <c r="F4889" s="8" t="str">
        <f ca="1">IFERROR(__xludf.DUMMYFUNCTION("IF
(
C4890=""фізична особа""
,
VLOOKUP(D4890,IMPORTRANGE(""https://docs.google.com/spreadsheets/d/14Bd19lYaqBhU8_DElYkX7l4wRkHqqCUFNJY4AfY3kHU/edit?usp=sharing  #gid=0"",""фіз особи new!relations_name""),6,FALSE)
,
(IF
(
C4890=""юридична особа""
,
VLOOKUP"&amp;"(D4890,IMPORTRANGE(""https://docs.google.com/spreadsheets/d/14Bd19lYaqBhU8_DElYkX7l4wRkHqqCUFNJY4AfY3kHU/edit?usp=sharing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89" s="7" t="s">
        <v>10</v>
      </c>
      <c r="H4889" s="7">
        <v>0</v>
      </c>
      <c r="I4889" s="8" t="str">
        <f ca="1">IFERROR(__xludf.DUMMYFUNCTION("IF
(
G4890=""фізична особа""
,
VLOOKUP(H4890,IMPORTRANGE(""https://docs.google.com/spreadsheets/d/14Bd19lYaqBhU8_DElYkX7l4wRkHqqCUFNJY4AfY3kHU/edit?usp=sharing  #gid=0"",""фіз особи new!relations_name""),6,FALSE)
,
(IF
(
G4890=""юридична особа""
,
VLOOKUP"&amp;"(H4890,IMPORTRANGE(""https://docs.google.com/spreadsheets/d/14Bd19lYaqBhU8_DElYkX7l4wRkHqqCUFNJY4AfY3kHU/edit?usp=sharing  #gid=0"",""фіз особи new!relations_name_uo""),7,FALSE)
,
)
))"),"#N/A")</f>
        <v>#N/A</v>
      </c>
      <c r="J4889" s="7" t="s">
        <v>13</v>
      </c>
    </row>
    <row r="4890" spans="1:10" ht="13.2">
      <c r="A4890" s="7">
        <v>4889</v>
      </c>
      <c r="B4890" s="7">
        <v>1</v>
      </c>
      <c r="C4890" s="7" t="s">
        <v>10</v>
      </c>
      <c r="D4890" s="7">
        <v>4036</v>
      </c>
      <c r="E4890" s="7" t="s">
        <v>14</v>
      </c>
      <c r="F4890" s="8" t="str">
        <f ca="1">IFERROR(__xludf.DUMMYFUNCTION("IF
(
C4891=""фізична особа""
,
VLOOKUP(D4891,IMPORTRANGE(""https://docs.google.com/spreadsheets/d/14Bd19lYaqBhU8_DElYkX7l4wRkHqqCUFNJY4AfY3kHU/edit?usp=sharing  #gid=0"",""фіз особи new!relations_name""),6,FALSE)
,
(IF
(
C4891=""юридична особа""
,
VLOOKUP"&amp;"(D4891,IMPORTRANGE(""https://docs.google.com/spreadsheets/d/14Bd19lYaqBhU8_DElYkX7l4wRkHqqCUFNJY4AfY3kHU/edit?usp=sharing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90" s="7" t="s">
        <v>10</v>
      </c>
      <c r="H4890" s="7">
        <v>0</v>
      </c>
      <c r="I4890" s="8" t="str">
        <f ca="1">IFERROR(__xludf.DUMMYFUNCTION("IF
(
G4891=""фізична особа""
,
VLOOKUP(H4891,IMPORTRANGE(""https://docs.google.com/spreadsheets/d/14Bd19lYaqBhU8_DElYkX7l4wRkHqqCUFNJY4AfY3kHU/edit?usp=sharing  #gid=0"",""фіз особи new!relations_name""),6,FALSE)
,
(IF
(
G4891=""юридична особа""
,
VLOOKUP"&amp;"(H4891,IMPORTRANGE(""https://docs.google.com/spreadsheets/d/14Bd19lYaqBhU8_DElYkX7l4wRkHqqCUFNJY4AfY3kHU/edit?usp=sharing  #gid=0"",""фіз особи new!relations_name_uo""),7,FALSE)
,
)
))"),"#N/A")</f>
        <v>#N/A</v>
      </c>
      <c r="J4890" s="7" t="s">
        <v>15</v>
      </c>
    </row>
    <row r="4891" spans="1:10" ht="13.2">
      <c r="A4891" s="7">
        <v>4890</v>
      </c>
      <c r="B4891" s="7">
        <v>1</v>
      </c>
      <c r="C4891" s="7" t="s">
        <v>10</v>
      </c>
      <c r="D4891" s="7">
        <v>4036</v>
      </c>
      <c r="E4891" s="7" t="s">
        <v>42</v>
      </c>
      <c r="F4891" s="8" t="str">
        <f ca="1">IFERROR(__xludf.DUMMYFUNCTION("IF
(
C4892=""фізична особа""
,
VLOOKUP(D4892,IMPORTRANGE(""https://docs.google.com/spreadsheets/d/14Bd19lYaqBhU8_DElYkX7l4wRkHqqCUFNJY4AfY3kHU/edit?usp=sharing  #gid=0"",""фіз особи new!relations_name""),6,FALSE)
,
(IF
(
C4892=""юридична особа""
,
VLOOKUP"&amp;"(D4892,IMPORTRANGE(""https://docs.google.com/spreadsheets/d/14Bd19lYaqBhU8_DElYkX7l4wRkHqqCUFNJY4AfY3kHU/edit?usp=sharing  #gid=0"",""фіз особи new!relations_name_uo""),7,FALSE)
,
)
))"),"МУЦОЄВ Зелімхан Алікойович")</f>
        <v>МУЦОЄВ Зелімхан Алікойович</v>
      </c>
      <c r="G4891" s="7" t="s">
        <v>10</v>
      </c>
      <c r="H4891" s="7">
        <v>0</v>
      </c>
      <c r="I4891" s="8" t="str">
        <f ca="1">IFERROR(__xludf.DUMMYFUNCTION("IF
(
G4892=""фізична особа""
,
VLOOKUP(H4892,IMPORTRANGE(""https://docs.google.com/spreadsheets/d/14Bd19lYaqBhU8_DElYkX7l4wRkHqqCUFNJY4AfY3kHU/edit?usp=sharing  #gid=0"",""фіз особи new!relations_name""),6,FALSE)
,
(IF
(
G4892=""юридична особа""
,
VLOOKUP"&amp;"(H4892,IMPORTRANGE(""https://docs.google.com/spreadsheets/d/14Bd19lYaqBhU8_DElYkX7l4wRkHqqCUFNJY4AfY3kHU/edit?usp=sharing  #gid=0"",""фіз особи new!relations_name_uo""),7,FALSE)
,
)
))"),"#N/A")</f>
        <v>#N/A</v>
      </c>
      <c r="J4891" s="7" t="s">
        <v>43</v>
      </c>
    </row>
    <row r="4892" spans="1:10" ht="13.2">
      <c r="A4892" s="7">
        <v>4891</v>
      </c>
      <c r="B4892" s="7">
        <v>1</v>
      </c>
      <c r="C4892" s="7" t="s">
        <v>10</v>
      </c>
      <c r="D4892" s="7">
        <v>4037</v>
      </c>
      <c r="E4892" s="7" t="s">
        <v>12</v>
      </c>
      <c r="F4892" s="8" t="str">
        <f ca="1">IFERROR(__xludf.DUMMYFUNCTION("IF
(
C4893=""фізична особа""
,
VLOOKUP(D4893,IMPORTRANGE(""https://docs.google.com/spreadsheets/d/14Bd19lYaqBhU8_DElYkX7l4wRkHqqCUFNJY4AfY3kHU/edit?usp=sharing  #gid=0"",""фіз особи new!relations_name""),6,FALSE)
,
(IF
(
C4893=""юридична особа""
,
VLOOKUP"&amp;"(D4893,IMPORTRANGE(""https://docs.google.com/spreadsheets/d/14Bd19lYaqBhU8_DElYkX7l4wRkHqqCUFNJY4AfY3kHU/edit?usp=sharing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2" s="7" t="s">
        <v>10</v>
      </c>
      <c r="H4892" s="7">
        <v>0</v>
      </c>
      <c r="I4892" s="8" t="str">
        <f ca="1">IFERROR(__xludf.DUMMYFUNCTION("IF
(
G4893=""фізична особа""
,
VLOOKUP(H4893,IMPORTRANGE(""https://docs.google.com/spreadsheets/d/14Bd19lYaqBhU8_DElYkX7l4wRkHqqCUFNJY4AfY3kHU/edit?usp=sharing  #gid=0"",""фіз особи new!relations_name""),6,FALSE)
,
(IF
(
G4893=""юридична особа""
,
VLOOKUP"&amp;"(H4893,IMPORTRANGE(""https://docs.google.com/spreadsheets/d/14Bd19lYaqBhU8_DElYkX7l4wRkHqqCUFNJY4AfY3kHU/edit?usp=sharing  #gid=0"",""фіз особи new!relations_name_uo""),7,FALSE)
,
)
))"),"#N/A")</f>
        <v>#N/A</v>
      </c>
      <c r="J4892" s="7" t="s">
        <v>17</v>
      </c>
    </row>
    <row r="4893" spans="1:10" ht="13.2">
      <c r="A4893" s="7">
        <v>4892</v>
      </c>
      <c r="B4893" s="7">
        <v>1</v>
      </c>
      <c r="C4893" s="7" t="s">
        <v>10</v>
      </c>
      <c r="D4893" s="7">
        <v>4037</v>
      </c>
      <c r="E4893" s="7" t="s">
        <v>18</v>
      </c>
      <c r="F4893" s="8" t="str">
        <f ca="1">IFERROR(__xludf.DUMMYFUNCTION("IF
(
C4894=""фізична особа""
,
VLOOKUP(D4894,IMPORTRANGE(""https://docs.google.com/spreadsheets/d/14Bd19lYaqBhU8_DElYkX7l4wRkHqqCUFNJY4AfY3kHU/edit?usp=sharing  #gid=0"",""фіз особи new!relations_name""),6,FALSE)
,
(IF
(
C4894=""юридична особа""
,
VLOOKUP"&amp;"(D4894,IMPORTRANGE(""https://docs.google.com/spreadsheets/d/14Bd19lYaqBhU8_DElYkX7l4wRkHqqCUFNJY4AfY3kHU/edit?usp=sharing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3" s="7" t="s">
        <v>10</v>
      </c>
      <c r="H4893" s="7">
        <v>0</v>
      </c>
      <c r="I4893" s="8" t="str">
        <f ca="1">IFERROR(__xludf.DUMMYFUNCTION("IF
(
G4894=""фізична особа""
,
VLOOKUP(H4894,IMPORTRANGE(""https://docs.google.com/spreadsheets/d/14Bd19lYaqBhU8_DElYkX7l4wRkHqqCUFNJY4AfY3kHU/edit?usp=sharing  #gid=0"",""фіз особи new!relations_name""),6,FALSE)
,
(IF
(
G4894=""юридична особа""
,
VLOOKUP"&amp;"(H4894,IMPORTRANGE(""https://docs.google.com/spreadsheets/d/14Bd19lYaqBhU8_DElYkX7l4wRkHqqCUFNJY4AfY3kHU/edit?usp=sharing  #gid=0"",""фіз особи new!relations_name_uo""),7,FALSE)
,
)
))"),"#N/A")</f>
        <v>#N/A</v>
      </c>
      <c r="J4893" s="7" t="s">
        <v>18</v>
      </c>
    </row>
    <row r="4894" spans="1:10" ht="13.2">
      <c r="A4894" s="7">
        <v>4893</v>
      </c>
      <c r="B4894" s="7">
        <v>1</v>
      </c>
      <c r="C4894" s="7" t="s">
        <v>10</v>
      </c>
      <c r="D4894" s="7">
        <v>4037</v>
      </c>
      <c r="E4894" s="7" t="s">
        <v>12</v>
      </c>
      <c r="F4894" s="8" t="str">
        <f ca="1">IFERROR(__xludf.DUMMYFUNCTION("IF
(
C4895=""фізична особа""
,
VLOOKUP(D4895,IMPORTRANGE(""https://docs.google.com/spreadsheets/d/14Bd19lYaqBhU8_DElYkX7l4wRkHqqCUFNJY4AfY3kHU/edit?usp=sharing  #gid=0"",""фіз особи new!relations_name""),6,FALSE)
,
(IF
(
C4895=""юридична особа""
,
VLOOKUP"&amp;"(D4895,IMPORTRANGE(""https://docs.google.com/spreadsheets/d/14Bd19lYaqBhU8_DElYkX7l4wRkHqqCUFNJY4AfY3kHU/edit?usp=sharing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4" s="7" t="s">
        <v>10</v>
      </c>
      <c r="H4894" s="7">
        <v>0</v>
      </c>
      <c r="I4894" s="8" t="str">
        <f ca="1">IFERROR(__xludf.DUMMYFUNCTION("IF
(
G4895=""фізична особа""
,
VLOOKUP(H4895,IMPORTRANGE(""https://docs.google.com/spreadsheets/d/14Bd19lYaqBhU8_DElYkX7l4wRkHqqCUFNJY4AfY3kHU/edit?usp=sharing  #gid=0"",""фіз особи new!relations_name""),6,FALSE)
,
(IF
(
G4895=""юридична особа""
,
VLOOKUP"&amp;"(H4895,IMPORTRANGE(""https://docs.google.com/spreadsheets/d/14Bd19lYaqBhU8_DElYkX7l4wRkHqqCUFNJY4AfY3kHU/edit?usp=sharing  #gid=0"",""фіз особи new!relations_name_uo""),7,FALSE)
,
)
))"),"#N/A")</f>
        <v>#N/A</v>
      </c>
      <c r="J4894" s="7" t="s">
        <v>13</v>
      </c>
    </row>
    <row r="4895" spans="1:10" ht="13.2">
      <c r="A4895" s="7">
        <v>4894</v>
      </c>
      <c r="B4895" s="7">
        <v>1</v>
      </c>
      <c r="C4895" s="7" t="s">
        <v>10</v>
      </c>
      <c r="D4895" s="7">
        <v>4037</v>
      </c>
      <c r="E4895" s="7" t="s">
        <v>12</v>
      </c>
      <c r="F4895" s="8" t="str">
        <f ca="1">IFERROR(__xludf.DUMMYFUNCTION("IF
(
C4896=""фізична особа""
,
VLOOKUP(D4896,IMPORTRANGE(""https://docs.google.com/spreadsheets/d/14Bd19lYaqBhU8_DElYkX7l4wRkHqqCUFNJY4AfY3kHU/edit?usp=sharing  #gid=0"",""фіз особи new!relations_name""),6,FALSE)
,
(IF
(
C4896=""юридична особа""
,
VLOOKUP"&amp;"(D4896,IMPORTRANGE(""https://docs.google.com/spreadsheets/d/14Bd19lYaqBhU8_DElYkX7l4wRkHqqCUFNJY4AfY3kHU/edit?usp=sharing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5" s="7" t="s">
        <v>10</v>
      </c>
      <c r="H4895" s="7">
        <v>0</v>
      </c>
      <c r="I4895" s="8" t="str">
        <f ca="1">IFERROR(__xludf.DUMMYFUNCTION("IF
(
G4896=""фізична особа""
,
VLOOKUP(H4896,IMPORTRANGE(""https://docs.google.com/spreadsheets/d/14Bd19lYaqBhU8_DElYkX7l4wRkHqqCUFNJY4AfY3kHU/edit?usp=sharing  #gid=0"",""фіз особи new!relations_name""),6,FALSE)
,
(IF
(
G4896=""юридична особа""
,
VLOOKUP"&amp;"(H4896,IMPORTRANGE(""https://docs.google.com/spreadsheets/d/14Bd19lYaqBhU8_DElYkX7l4wRkHqqCUFNJY4AfY3kHU/edit?usp=sharing  #gid=0"",""фіз особи new!relations_name_uo""),7,FALSE)
,
)
))"),"#N/A")</f>
        <v>#N/A</v>
      </c>
      <c r="J4895" s="7" t="s">
        <v>13</v>
      </c>
    </row>
    <row r="4896" spans="1:10" ht="13.2">
      <c r="A4896" s="7">
        <v>4895</v>
      </c>
      <c r="B4896" s="7">
        <v>1</v>
      </c>
      <c r="C4896" s="7" t="s">
        <v>10</v>
      </c>
      <c r="D4896" s="7">
        <v>4037</v>
      </c>
      <c r="E4896" s="7" t="s">
        <v>29</v>
      </c>
      <c r="F4896" s="8" t="str">
        <f ca="1">IFERROR(__xludf.DUMMYFUNCTION("IF
(
C4897=""фізична особа""
,
VLOOKUP(D4897,IMPORTRANGE(""https://docs.google.com/spreadsheets/d/14Bd19lYaqBhU8_DElYkX7l4wRkHqqCUFNJY4AfY3kHU/edit?usp=sharing  #gid=0"",""фіз особи new!relations_name""),6,FALSE)
,
(IF
(
C4897=""юридична особа""
,
VLOOKUP"&amp;"(D4897,IMPORTRANGE(""https://docs.google.com/spreadsheets/d/14Bd19lYaqBhU8_DElYkX7l4wRkHqqCUFNJY4AfY3kHU/edit?usp=sharing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6" s="7" t="s">
        <v>10</v>
      </c>
      <c r="H4896" s="7">
        <v>0</v>
      </c>
      <c r="I4896" s="8" t="str">
        <f ca="1">IFERROR(__xludf.DUMMYFUNCTION("IF
(
G4897=""фізична особа""
,
VLOOKUP(H4897,IMPORTRANGE(""https://docs.google.com/spreadsheets/d/14Bd19lYaqBhU8_DElYkX7l4wRkHqqCUFNJY4AfY3kHU/edit?usp=sharing  #gid=0"",""фіз особи new!relations_name""),6,FALSE)
,
(IF
(
G4897=""юридична особа""
,
VLOOKUP"&amp;"(H4897,IMPORTRANGE(""https://docs.google.com/spreadsheets/d/14Bd19lYaqBhU8_DElYkX7l4wRkHqqCUFNJY4AfY3kHU/edit?usp=sharing  #gid=0"",""фіз особи new!relations_name_uo""),7,FALSE)
,
)
))"),"#N/A")</f>
        <v>#N/A</v>
      </c>
      <c r="J4896" s="7" t="s">
        <v>28</v>
      </c>
    </row>
    <row r="4897" spans="1:10" ht="13.2">
      <c r="A4897" s="7">
        <v>4896</v>
      </c>
      <c r="B4897" s="7">
        <v>1</v>
      </c>
      <c r="C4897" s="7" t="s">
        <v>10</v>
      </c>
      <c r="D4897" s="7">
        <v>4037</v>
      </c>
      <c r="E4897" s="7" t="s">
        <v>29</v>
      </c>
      <c r="F4897" s="8" t="str">
        <f ca="1">IFERROR(__xludf.DUMMYFUNCTION("IF
(
C4898=""фізична особа""
,
VLOOKUP(D4898,IMPORTRANGE(""https://docs.google.com/spreadsheets/d/14Bd19lYaqBhU8_DElYkX7l4wRkHqqCUFNJY4AfY3kHU/edit?usp=sharing  #gid=0"",""фіз особи new!relations_name""),6,FALSE)
,
(IF
(
C4898=""юридична особа""
,
VLOOKUP"&amp;"(D4898,IMPORTRANGE(""https://docs.google.com/spreadsheets/d/14Bd19lYaqBhU8_DElYkX7l4wRkHqqCUFNJY4AfY3kHU/edit?usp=sharing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7" s="7" t="s">
        <v>10</v>
      </c>
      <c r="H4897" s="7">
        <v>0</v>
      </c>
      <c r="I4897" s="8" t="str">
        <f ca="1">IFERROR(__xludf.DUMMYFUNCTION("IF
(
G4898=""фізична особа""
,
VLOOKUP(H4898,IMPORTRANGE(""https://docs.google.com/spreadsheets/d/14Bd19lYaqBhU8_DElYkX7l4wRkHqqCUFNJY4AfY3kHU/edit?usp=sharing  #gid=0"",""фіз особи new!relations_name""),6,FALSE)
,
(IF
(
G4898=""юридична особа""
,
VLOOKUP"&amp;"(H4898,IMPORTRANGE(""https://docs.google.com/spreadsheets/d/14Bd19lYaqBhU8_DElYkX7l4wRkHqqCUFNJY4AfY3kHU/edit?usp=sharing  #gid=0"",""фіз особи new!relations_name_uo""),7,FALSE)
,
)
))"),"#N/A")</f>
        <v>#N/A</v>
      </c>
      <c r="J4897" s="7" t="s">
        <v>95</v>
      </c>
    </row>
    <row r="4898" spans="1:10" ht="13.2">
      <c r="A4898" s="7">
        <v>4897</v>
      </c>
      <c r="B4898" s="7">
        <v>1</v>
      </c>
      <c r="C4898" s="7" t="s">
        <v>10</v>
      </c>
      <c r="D4898" s="7">
        <v>4037</v>
      </c>
      <c r="E4898" s="7" t="s">
        <v>29</v>
      </c>
      <c r="F4898" s="8" t="str">
        <f ca="1">IFERROR(__xludf.DUMMYFUNCTION("IF
(
C4899=""фізична особа""
,
VLOOKUP(D4899,IMPORTRANGE(""https://docs.google.com/spreadsheets/d/14Bd19lYaqBhU8_DElYkX7l4wRkHqqCUFNJY4AfY3kHU/edit?usp=sharing  #gid=0"",""фіз особи new!relations_name""),6,FALSE)
,
(IF
(
C4899=""юридична особа""
,
VLOOKUP"&amp;"(D4899,IMPORTRANGE(""https://docs.google.com/spreadsheets/d/14Bd19lYaqBhU8_DElYkX7l4wRkHqqCUFNJY4AfY3kHU/edit?usp=sharing  #gid=0"",""фіз особи new!relations_name_uo""),7,FALSE)
,
)
))"),"НОВІКОВ Володимир Михайлович")</f>
        <v>НОВІКОВ Володимир Михайлович</v>
      </c>
      <c r="G4898" s="7" t="s">
        <v>10</v>
      </c>
      <c r="H4898" s="7">
        <v>0</v>
      </c>
      <c r="I4898" s="8" t="str">
        <f ca="1">IFERROR(__xludf.DUMMYFUNCTION("IF
(
G4899=""фізична особа""
,
VLOOKUP(H4899,IMPORTRANGE(""https://docs.google.com/spreadsheets/d/14Bd19lYaqBhU8_DElYkX7l4wRkHqqCUFNJY4AfY3kHU/edit?usp=sharing  #gid=0"",""фіз особи new!relations_name""),6,FALSE)
,
(IF
(
G4899=""юридична особа""
,
VLOOKUP"&amp;"(H4899,IMPORTRANGE(""https://docs.google.com/spreadsheets/d/14Bd19lYaqBhU8_DElYkX7l4wRkHqqCUFNJY4AfY3kHU/edit?usp=sharing  #gid=0"",""фіз особи new!relations_name_uo""),7,FALSE)
,
)
))"),"#N/A")</f>
        <v>#N/A</v>
      </c>
      <c r="J4898" s="7" t="s">
        <v>95</v>
      </c>
    </row>
    <row r="4899" spans="1:10" ht="13.2">
      <c r="A4899" s="7">
        <v>4898</v>
      </c>
      <c r="B4899" s="7">
        <v>1</v>
      </c>
      <c r="C4899" s="7" t="s">
        <v>10</v>
      </c>
      <c r="D4899" s="7">
        <v>4038</v>
      </c>
      <c r="E4899" s="7" t="s">
        <v>12</v>
      </c>
      <c r="F4899" s="8" t="str">
        <f ca="1">IFERROR(__xludf.DUMMYFUNCTION("IF
(
C4900=""фізична особа""
,
VLOOKUP(D4900,IMPORTRANGE(""https://docs.google.com/spreadsheets/d/14Bd19lYaqBhU8_DElYkX7l4wRkHqqCUFNJY4AfY3kHU/edit?usp=sharing  #gid=0"",""фіз особи new!relations_name""),6,FALSE)
,
(IF
(
C4900=""юридична особа""
,
VLOOKUP"&amp;"(D4900,IMPORTRANGE(""https://docs.google.com/spreadsheets/d/14Bd19lYaqBhU8_DElYkX7l4wRkHqqCUFNJY4AfY3kHU/edit?usp=sharing  #gid=0"",""фіз особи new!relations_name_uo""),7,FALSE)
,
)
))"),"НУРІЄВ Марат Абдулхаєвич")</f>
        <v>НУРІЄВ Марат Абдулхаєвич</v>
      </c>
      <c r="G4899" s="7" t="s">
        <v>10</v>
      </c>
      <c r="H4899" s="7">
        <v>0</v>
      </c>
      <c r="I4899" s="8" t="str">
        <f ca="1">IFERROR(__xludf.DUMMYFUNCTION("IF
(
G4900=""фізична особа""
,
VLOOKUP(H4900,IMPORTRANGE(""https://docs.google.com/spreadsheets/d/14Bd19lYaqBhU8_DElYkX7l4wRkHqqCUFNJY4AfY3kHU/edit?usp=sharing  #gid=0"",""фіз особи new!relations_name""),6,FALSE)
,
(IF
(
G4900=""юридична особа""
,
VLOOKUP"&amp;"(H4900,IMPORTRANGE(""https://docs.google.com/spreadsheets/d/14Bd19lYaqBhU8_DElYkX7l4wRkHqqCUFNJY4AfY3kHU/edit?usp=sharing  #gid=0"",""фіз особи new!relations_name_uo""),7,FALSE)
,
)
))"),"#N/A")</f>
        <v>#N/A</v>
      </c>
      <c r="J4899" s="7" t="s">
        <v>17</v>
      </c>
    </row>
    <row r="4900" spans="1:10" ht="13.2">
      <c r="A4900" s="7">
        <v>4899</v>
      </c>
      <c r="B4900" s="7">
        <v>1</v>
      </c>
      <c r="C4900" s="7" t="s">
        <v>10</v>
      </c>
      <c r="D4900" s="7">
        <v>4039</v>
      </c>
      <c r="E4900" s="7" t="s">
        <v>17</v>
      </c>
      <c r="F4900" s="8" t="str">
        <f ca="1">IFERROR(__xludf.DUMMYFUNCTION("IF
(
C4901=""фізична особа""
,
VLOOKUP(D4901,IMPORTRANGE(""https://docs.google.com/spreadsheets/d/14Bd19lYaqBhU8_DElYkX7l4wRkHqqCUFNJY4AfY3kHU/edit?usp=sharing  #gid=0"",""фіз особи new!relations_name""),6,FALSE)
,
(IF
(
C4901=""юридична особа""
,
VLOOKUP"&amp;"(D4901,IMPORTRANGE(""https://docs.google.com/spreadsheets/d/14Bd19lYaqBhU8_DElYkX7l4wRkHqqCUFNJY4AfY3kHU/edit?usp=sharing  #gid=0"",""фіз особи new!relations_name_uo""),7,FALSE)
,
)
))"),"ПАВЛОВ Володимир Вікторович")</f>
        <v>ПАВЛОВ Володимир Вікторович</v>
      </c>
      <c r="G4900" s="7" t="s">
        <v>10</v>
      </c>
      <c r="H4900" s="7">
        <v>0</v>
      </c>
      <c r="I4900" s="8" t="str">
        <f ca="1">IFERROR(__xludf.DUMMYFUNCTION("IF
(
G4901=""фізична особа""
,
VLOOKUP(H4901,IMPORTRANGE(""https://docs.google.com/spreadsheets/d/14Bd19lYaqBhU8_DElYkX7l4wRkHqqCUFNJY4AfY3kHU/edit?usp=sharing  #gid=0"",""фіз особи new!relations_name""),6,FALSE)
,
(IF
(
G4901=""юридична особа""
,
VLOOKUP"&amp;"(H4901,IMPORTRANGE(""https://docs.google.com/spreadsheets/d/14Bd19lYaqBhU8_DElYkX7l4wRkHqqCUFNJY4AfY3kHU/edit?usp=sharing  #gid=0"",""фіз особи new!relations_name_uo""),7,FALSE)
,
)
))"),"#N/A")</f>
        <v>#N/A</v>
      </c>
      <c r="J4900" s="7" t="s">
        <v>12</v>
      </c>
    </row>
    <row r="4901" spans="1:10" ht="13.2">
      <c r="A4901" s="7">
        <v>4900</v>
      </c>
      <c r="B4901" s="7">
        <v>1</v>
      </c>
      <c r="C4901" s="7" t="s">
        <v>10</v>
      </c>
      <c r="D4901" s="7">
        <v>4040</v>
      </c>
      <c r="E4901" s="7" t="s">
        <v>12</v>
      </c>
      <c r="F4901" s="8" t="str">
        <f ca="1">IFERROR(__xludf.DUMMYFUNCTION("IF
(
C4902=""фізична особа""
,
VLOOKUP(D4902,IMPORTRANGE(""https://docs.google.com/spreadsheets/d/14Bd19lYaqBhU8_DElYkX7l4wRkHqqCUFNJY4AfY3kHU/edit?usp=sharing  #gid=0"",""фіз особи new!relations_name""),6,FALSE)
,
(IF
(
C4902=""юридична особа""
,
VLOOKUP"&amp;"(D4902,IMPORTRANGE(""https://docs.google.com/spreadsheets/d/14Bd19lYaqBhU8_DElYkX7l4wRkHqqCUFNJY4AfY3kHU/edit?usp=sharing  #gid=0"",""фіз особи new!relations_name_uo""),7,FALSE)
,
)
))"),"КОБИЛКІН Дмитро Миколайович")</f>
        <v>КОБИЛКІН Дмитро Миколайович</v>
      </c>
      <c r="G4901" s="7" t="s">
        <v>10</v>
      </c>
      <c r="H4901" s="7">
        <v>0</v>
      </c>
      <c r="I4901" s="8" t="str">
        <f ca="1">IFERROR(__xludf.DUMMYFUNCTION("IF
(
G4902=""фізична особа""
,
VLOOKUP(H4902,IMPORTRANGE(""https://docs.google.com/spreadsheets/d/14Bd19lYaqBhU8_DElYkX7l4wRkHqqCUFNJY4AfY3kHU/edit?usp=sharing  #gid=0"",""фіз особи new!relations_name""),6,FALSE)
,
(IF
(
G4902=""юридична особа""
,
VLOOKUP"&amp;"(H4902,IMPORTRANGE(""https://docs.google.com/spreadsheets/d/14Bd19lYaqBhU8_DElYkX7l4wRkHqqCUFNJY4AfY3kHU/edit?usp=sharing  #gid=0"",""фіз особи new!relations_name_uo""),7,FALSE)
,
)
))"),"#N/A")</f>
        <v>#N/A</v>
      </c>
      <c r="J4901" s="7" t="s">
        <v>17</v>
      </c>
    </row>
    <row r="4902" spans="1:10" ht="13.2">
      <c r="A4902" s="7">
        <v>4901</v>
      </c>
      <c r="B4902" s="7">
        <v>1</v>
      </c>
      <c r="C4902" s="7" t="s">
        <v>10</v>
      </c>
      <c r="D4902" s="7">
        <v>4040</v>
      </c>
      <c r="E4902" s="7" t="s">
        <v>12</v>
      </c>
      <c r="F4902" s="8" t="str">
        <f ca="1">IFERROR(__xludf.DUMMYFUNCTION("IF
(
C4903=""фізична особа""
,
VLOOKUP(D4903,IMPORTRANGE(""https://docs.google.com/spreadsheets/d/14Bd19lYaqBhU8_DElYkX7l4wRkHqqCUFNJY4AfY3kHU/edit?usp=sharing  #gid=0"",""фіз особи new!relations_name""),6,FALSE)
,
(IF
(
C4903=""юридична особа""
,
VLOOKUP"&amp;"(D4903,IMPORTRANGE(""https://docs.google.com/spreadsheets/d/14Bd19lYaqBhU8_DElYkX7l4wRkHqqCUFNJY4AfY3kHU/edit?usp=sharing  #gid=0"",""фіз особи new!relations_name_uo""),7,FALSE)
,
)
))"),"КОБИЛКІН Дмитро Миколайович")</f>
        <v>КОБИЛКІН Дмитро Миколайович</v>
      </c>
      <c r="G4902" s="7" t="s">
        <v>10</v>
      </c>
      <c r="H4902" s="7">
        <v>0</v>
      </c>
      <c r="I4902" s="8" t="str">
        <f ca="1">IFERROR(__xludf.DUMMYFUNCTION("IF
(
G4903=""фізична особа""
,
VLOOKUP(H4903,IMPORTRANGE(""https://docs.google.com/spreadsheets/d/14Bd19lYaqBhU8_DElYkX7l4wRkHqqCUFNJY4AfY3kHU/edit?usp=sharing  #gid=0"",""фіз особи new!relations_name""),6,FALSE)
,
(IF
(
G4903=""юридична особа""
,
VLOOKUP"&amp;"(H4903,IMPORTRANGE(""https://docs.google.com/spreadsheets/d/14Bd19lYaqBhU8_DElYkX7l4wRkHqqCUFNJY4AfY3kHU/edit?usp=sharing  #gid=0"",""фіз особи new!relations_name_uo""),7,FALSE)
,
)
))"),"#N/A")</f>
        <v>#N/A</v>
      </c>
      <c r="J4902" s="7" t="s">
        <v>13</v>
      </c>
    </row>
    <row r="4903" spans="1:10" ht="13.2">
      <c r="A4903" s="7">
        <v>4902</v>
      </c>
      <c r="B4903" s="7">
        <v>1</v>
      </c>
      <c r="C4903" s="7" t="s">
        <v>10</v>
      </c>
      <c r="D4903" s="7">
        <v>4040</v>
      </c>
      <c r="E4903" s="7" t="s">
        <v>12</v>
      </c>
      <c r="F4903" s="8" t="str">
        <f ca="1">IFERROR(__xludf.DUMMYFUNCTION("IF
(
C4904=""фізична особа""
,
VLOOKUP(D4904,IMPORTRANGE(""https://docs.google.com/spreadsheets/d/14Bd19lYaqBhU8_DElYkX7l4wRkHqqCUFNJY4AfY3kHU/edit?usp=sharing  #gid=0"",""фіз особи new!relations_name""),6,FALSE)
,
(IF
(
C4904=""юридична особа""
,
VLOOKUP"&amp;"(D4904,IMPORTRANGE(""https://docs.google.com/spreadsheets/d/14Bd19lYaqBhU8_DElYkX7l4wRkHqqCUFNJY4AfY3kHU/edit?usp=sharing  #gid=0"",""фіз особи new!relations_name_uo""),7,FALSE)
,
)
))"),"КОБИЛКІН Дмитро Миколайович")</f>
        <v>КОБИЛКІН Дмитро Миколайович</v>
      </c>
      <c r="G4903" s="7" t="s">
        <v>10</v>
      </c>
      <c r="H4903" s="7">
        <v>0</v>
      </c>
      <c r="I4903" s="8" t="str">
        <f ca="1">IFERROR(__xludf.DUMMYFUNCTION("IF
(
G4904=""фізична особа""
,
VLOOKUP(H4904,IMPORTRANGE(""https://docs.google.com/spreadsheets/d/14Bd19lYaqBhU8_DElYkX7l4wRkHqqCUFNJY4AfY3kHU/edit?usp=sharing  #gid=0"",""фіз особи new!relations_name""),6,FALSE)
,
(IF
(
G4904=""юридична особа""
,
VLOOKUP"&amp;"(H4904,IMPORTRANGE(""https://docs.google.com/spreadsheets/d/14Bd19lYaqBhU8_DElYkX7l4wRkHqqCUFNJY4AfY3kHU/edit?usp=sharing  #gid=0"",""фіз особи new!relations_name_uo""),7,FALSE)
,
)
))"),"#N/A")</f>
        <v>#N/A</v>
      </c>
      <c r="J4903" s="7" t="s">
        <v>13</v>
      </c>
    </row>
    <row r="4904" spans="1:10" ht="13.2">
      <c r="A4904" s="7">
        <v>4903</v>
      </c>
      <c r="B4904" s="7">
        <v>1</v>
      </c>
      <c r="C4904" s="7" t="s">
        <v>10</v>
      </c>
      <c r="D4904" s="7">
        <v>4040</v>
      </c>
      <c r="E4904" s="7" t="s">
        <v>14</v>
      </c>
      <c r="F4904" s="8" t="str">
        <f ca="1">IFERROR(__xludf.DUMMYFUNCTION("IF
(
C4905=""фізична особа""
,
VLOOKUP(D4905,IMPORTRANGE(""https://docs.google.com/spreadsheets/d/14Bd19lYaqBhU8_DElYkX7l4wRkHqqCUFNJY4AfY3kHU/edit?usp=sharing  #gid=0"",""фіз особи new!relations_name""),6,FALSE)
,
(IF
(
C4905=""юридична особа""
,
VLOOKUP"&amp;"(D4905,IMPORTRANGE(""https://docs.google.com/spreadsheets/d/14Bd19lYaqBhU8_DElYkX7l4wRkHqqCUFNJY4AfY3kHU/edit?usp=sharing  #gid=0"",""фіз особи new!relations_name_uo""),7,FALSE)
,
)
))"),"КОБИЛКІН Дмитро Миколайович")</f>
        <v>КОБИЛКІН Дмитро Миколайович</v>
      </c>
      <c r="G4904" s="7" t="s">
        <v>10</v>
      </c>
      <c r="H4904" s="7">
        <v>0</v>
      </c>
      <c r="I4904" s="8" t="str">
        <f ca="1">IFERROR(__xludf.DUMMYFUNCTION("IF
(
G4905=""фізична особа""
,
VLOOKUP(H4905,IMPORTRANGE(""https://docs.google.com/spreadsheets/d/14Bd19lYaqBhU8_DElYkX7l4wRkHqqCUFNJY4AfY3kHU/edit?usp=sharing  #gid=0"",""фіз особи new!relations_name""),6,FALSE)
,
(IF
(
G4905=""юридична особа""
,
VLOOKUP"&amp;"(H4905,IMPORTRANGE(""https://docs.google.com/spreadsheets/d/14Bd19lYaqBhU8_DElYkX7l4wRkHqqCUFNJY4AfY3kHU/edit?usp=sharing  #gid=0"",""фіз особи new!relations_name_uo""),7,FALSE)
,
)
))"),"#N/A")</f>
        <v>#N/A</v>
      </c>
      <c r="J4904" s="7" t="s">
        <v>15</v>
      </c>
    </row>
    <row r="4905" spans="1:10" ht="13.2">
      <c r="A4905" s="7">
        <v>4904</v>
      </c>
      <c r="B4905" s="7">
        <v>1</v>
      </c>
      <c r="C4905" s="7" t="s">
        <v>10</v>
      </c>
      <c r="D4905" s="7">
        <v>4043</v>
      </c>
      <c r="E4905" s="7" t="s">
        <v>104</v>
      </c>
      <c r="F4905" s="8" t="str">
        <f ca="1">IFERROR(__xludf.DUMMYFUNCTION("IF
(
C4906=""фізична особа""
,
VLOOKUP(D4906,IMPORTRANGE(""https://docs.google.com/spreadsheets/d/14Bd19lYaqBhU8_DElYkX7l4wRkHqqCUFNJY4AfY3kHU/edit?usp=sharing  #gid=0"",""фіз особи new!relations_name""),6,FALSE)
,
(IF
(
C4906=""юридична особа""
,
VLOOKUP"&amp;"(D4906,IMPORTRANGE(""https://docs.google.com/spreadsheets/d/14Bd19lYaqBhU8_DElYkX7l4wRkHqqCUFNJY4AfY3kHU/edit?usp=sharing  #gid=0"",""фіз особи new!relations_name_uo""),7,FALSE)
,
)
))"),"БУРАНОВА Лариса Миколаївна")</f>
        <v>БУРАНОВА Лариса Миколаївна</v>
      </c>
      <c r="G4905" s="7" t="s">
        <v>10</v>
      </c>
      <c r="H4905" s="7">
        <v>0</v>
      </c>
      <c r="I4905" s="8" t="str">
        <f ca="1">IFERROR(__xludf.DUMMYFUNCTION("IF
(
G4906=""фізична особа""
,
VLOOKUP(H4906,IMPORTRANGE(""https://docs.google.com/spreadsheets/d/14Bd19lYaqBhU8_DElYkX7l4wRkHqqCUFNJY4AfY3kHU/edit?usp=sharing  #gid=0"",""фіз особи new!relations_name""),6,FALSE)
,
(IF
(
G4906=""юридична особа""
,
VLOOKUP"&amp;"(H4906,IMPORTRANGE(""https://docs.google.com/spreadsheets/d/14Bd19lYaqBhU8_DElYkX7l4wRkHqqCUFNJY4AfY3kHU/edit?usp=sharing  #gid=0"",""фіз особи new!relations_name_uo""),7,FALSE)
,
)
))"),"#N/A")</f>
        <v>#N/A</v>
      </c>
      <c r="J4905" s="7" t="s">
        <v>29</v>
      </c>
    </row>
    <row r="4906" spans="1:10" ht="13.2">
      <c r="A4906" s="7">
        <v>4905</v>
      </c>
      <c r="B4906" s="7">
        <v>1</v>
      </c>
      <c r="C4906" s="7" t="s">
        <v>10</v>
      </c>
      <c r="D4906" s="7">
        <v>4044</v>
      </c>
      <c r="E4906" s="7" t="s">
        <v>14</v>
      </c>
      <c r="F4906" s="8" t="str">
        <f ca="1">IFERROR(__xludf.DUMMYFUNCTION("IF
(
C4907=""фізична особа""
,
VLOOKUP(D4907,IMPORTRANGE(""https://docs.google.com/spreadsheets/d/14Bd19lYaqBhU8_DElYkX7l4wRkHqqCUFNJY4AfY3kHU/edit?usp=sharing  #gid=0"",""фіз особи new!relations_name""),6,FALSE)
,
(IF
(
C4907=""юридична особа""
,
VLOOKUP"&amp;"(D4907,IMPORTRANGE(""https://docs.google.com/spreadsheets/d/14Bd19lYaqBhU8_DElYkX7l4wRkHqqCUFNJY4AfY3kHU/edit?usp=sharing  #gid=0"",""фіз особи new!relations_name_uo""),7,FALSE)
,
)
))"),"ВОЛОЦКОВ Олексій Анатолійович")</f>
        <v>ВОЛОЦКОВ Олексій Анатолійович</v>
      </c>
      <c r="G4906" s="7" t="s">
        <v>10</v>
      </c>
      <c r="H4906" s="7">
        <v>0</v>
      </c>
      <c r="I4906" s="8" t="str">
        <f ca="1">IFERROR(__xludf.DUMMYFUNCTION("IF
(
G4907=""фізична особа""
,
VLOOKUP(H4907,IMPORTRANGE(""https://docs.google.com/spreadsheets/d/14Bd19lYaqBhU8_DElYkX7l4wRkHqqCUFNJY4AfY3kHU/edit?usp=sharing  #gid=0"",""фіз особи new!relations_name""),6,FALSE)
,
(IF
(
G4907=""юридична особа""
,
VLOOKUP"&amp;"(H4907,IMPORTRANGE(""https://docs.google.com/spreadsheets/d/14Bd19lYaqBhU8_DElYkX7l4wRkHqqCUFNJY4AfY3kHU/edit?usp=sharing  #gid=0"",""фіз особи new!relations_name_uo""),7,FALSE)
,
)
))"),"#N/A")</f>
        <v>#N/A</v>
      </c>
      <c r="J4906" s="7" t="s">
        <v>15</v>
      </c>
    </row>
    <row r="4907" spans="1:10" ht="13.2">
      <c r="A4907" s="7">
        <v>4906</v>
      </c>
      <c r="B4907" s="7">
        <v>1</v>
      </c>
      <c r="C4907" s="7" t="s">
        <v>10</v>
      </c>
      <c r="D4907" s="7">
        <v>4044</v>
      </c>
      <c r="E4907" s="7" t="s">
        <v>12</v>
      </c>
      <c r="F4907" s="8" t="str">
        <f ca="1">IFERROR(__xludf.DUMMYFUNCTION("IF
(
C4908=""фізична особа""
,
VLOOKUP(D4908,IMPORTRANGE(""https://docs.google.com/spreadsheets/d/14Bd19lYaqBhU8_DElYkX7l4wRkHqqCUFNJY4AfY3kHU/edit?usp=sharing  #gid=0"",""фіз особи new!relations_name""),6,FALSE)
,
(IF
(
C4908=""юридична особа""
,
VLOOKUP"&amp;"(D4908,IMPORTRANGE(""https://docs.google.com/spreadsheets/d/14Bd19lYaqBhU8_DElYkX7l4wRkHqqCUFNJY4AfY3kHU/edit?usp=sharing  #gid=0"",""фіз особи new!relations_name_uo""),7,FALSE)
,
)
))"),"ВОЛОЦКОВ Олексій Анатолійович")</f>
        <v>ВОЛОЦКОВ Олексій Анатолійович</v>
      </c>
      <c r="G4907" s="7" t="s">
        <v>10</v>
      </c>
      <c r="H4907" s="7">
        <v>0</v>
      </c>
      <c r="I4907" s="8" t="str">
        <f ca="1">IFERROR(__xludf.DUMMYFUNCTION("IF
(
G4908=""фізична особа""
,
VLOOKUP(H4908,IMPORTRANGE(""https://docs.google.com/spreadsheets/d/14Bd19lYaqBhU8_DElYkX7l4wRkHqqCUFNJY4AfY3kHU/edit?usp=sharing  #gid=0"",""фіз особи new!relations_name""),6,FALSE)
,
(IF
(
G4908=""юридична особа""
,
VLOOKUP"&amp;"(H4908,IMPORTRANGE(""https://docs.google.com/spreadsheets/d/14Bd19lYaqBhU8_DElYkX7l4wRkHqqCUFNJY4AfY3kHU/edit?usp=sharing  #gid=0"",""фіз особи new!relations_name_uo""),7,FALSE)
,
)
))"),"#N/A")</f>
        <v>#N/A</v>
      </c>
      <c r="J4907" s="7" t="s">
        <v>17</v>
      </c>
    </row>
    <row r="4908" spans="1:10" ht="13.2">
      <c r="A4908" s="7">
        <v>4907</v>
      </c>
      <c r="B4908" s="7">
        <v>1</v>
      </c>
      <c r="C4908" s="7" t="s">
        <v>10</v>
      </c>
      <c r="D4908" s="7">
        <v>4044</v>
      </c>
      <c r="E4908" s="7" t="s">
        <v>12</v>
      </c>
      <c r="F4908" s="8" t="str">
        <f ca="1">IFERROR(__xludf.DUMMYFUNCTION("IF
(
C4909=""фізична особа""
,
VLOOKUP(D4909,IMPORTRANGE(""https://docs.google.com/spreadsheets/d/14Bd19lYaqBhU8_DElYkX7l4wRkHqqCUFNJY4AfY3kHU/edit?usp=sharing  #gid=0"",""фіз особи new!relations_name""),6,FALSE)
,
(IF
(
C4909=""юридична особа""
,
VLOOKUP"&amp;"(D4909,IMPORTRANGE(""https://docs.google.com/spreadsheets/d/14Bd19lYaqBhU8_DElYkX7l4wRkHqqCUFNJY4AfY3kHU/edit?usp=sharing  #gid=0"",""фіз особи new!relations_name_uo""),7,FALSE)
,
)
))"),"ВОЛОЦКОВ Олексій Анатолійович")</f>
        <v>ВОЛОЦКОВ Олексій Анатолійович</v>
      </c>
      <c r="G4908" s="7" t="s">
        <v>10</v>
      </c>
      <c r="H4908" s="7">
        <v>0</v>
      </c>
      <c r="I4908" s="8" t="str">
        <f ca="1">IFERROR(__xludf.DUMMYFUNCTION("IF
(
G4909=""фізична особа""
,
VLOOKUP(H4909,IMPORTRANGE(""https://docs.google.com/spreadsheets/d/14Bd19lYaqBhU8_DElYkX7l4wRkHqqCUFNJY4AfY3kHU/edit?usp=sharing  #gid=0"",""фіз особи new!relations_name""),6,FALSE)
,
(IF
(
G4909=""юридична особа""
,
VLOOKUP"&amp;"(H4909,IMPORTRANGE(""https://docs.google.com/spreadsheets/d/14Bd19lYaqBhU8_DElYkX7l4wRkHqqCUFNJY4AfY3kHU/edit?usp=sharing  #gid=0"",""фіз особи new!relations_name_uo""),7,FALSE)
,
)
))"),"#N/A")</f>
        <v>#N/A</v>
      </c>
      <c r="J4908" s="7" t="s">
        <v>13</v>
      </c>
    </row>
    <row r="4909" spans="1:10" ht="13.2">
      <c r="A4909" s="7">
        <v>4908</v>
      </c>
      <c r="B4909" s="7">
        <v>1</v>
      </c>
      <c r="C4909" s="7" t="s">
        <v>10</v>
      </c>
      <c r="D4909" s="7">
        <v>4045</v>
      </c>
      <c r="E4909" s="7" t="s">
        <v>12</v>
      </c>
      <c r="F4909" s="8" t="str">
        <f ca="1">IFERROR(__xludf.DUMMYFUNCTION("IF
(
C4910=""фізична особа""
,
VLOOKUP(D4910,IMPORTRANGE(""https://docs.google.com/spreadsheets/d/14Bd19lYaqBhU8_DElYkX7l4wRkHqqCUFNJY4AfY3kHU/edit?usp=sharing  #gid=0"",""фіз особи new!relations_name""),6,FALSE)
,
(IF
(
C4910=""юридична особа""
,
VLOOKUP"&amp;"(D4910,IMPORTRANGE(""https://docs.google.com/spreadsheets/d/14Bd19lYaqBhU8_DElYkX7l4wRkHqqCUFNJY4AfY3kHU/edit?usp=sharing  #gid=0"",""фіз особи new!relations_name_uo""),7,FALSE)
,
)
))"),"ГРЕШНЄВІКОВ Анатолій Миколайович")</f>
        <v>ГРЕШНЄВІКОВ Анатолій Миколайович</v>
      </c>
      <c r="G4909" s="7" t="s">
        <v>10</v>
      </c>
      <c r="H4909" s="7">
        <v>0</v>
      </c>
      <c r="I4909" s="8" t="str">
        <f ca="1">IFERROR(__xludf.DUMMYFUNCTION("IF
(
G4910=""фізична особа""
,
VLOOKUP(H4910,IMPORTRANGE(""https://docs.google.com/spreadsheets/d/14Bd19lYaqBhU8_DElYkX7l4wRkHqqCUFNJY4AfY3kHU/edit?usp=sharing  #gid=0"",""фіз особи new!relations_name""),6,FALSE)
,
(IF
(
G4910=""юридична особа""
,
VLOOKUP"&amp;"(H4910,IMPORTRANGE(""https://docs.google.com/spreadsheets/d/14Bd19lYaqBhU8_DElYkX7l4wRkHqqCUFNJY4AfY3kHU/edit?usp=sharing  #gid=0"",""фіз особи new!relations_name_uo""),7,FALSE)
,
)
))"),"#N/A")</f>
        <v>#N/A</v>
      </c>
      <c r="J4909" s="7" t="s">
        <v>17</v>
      </c>
    </row>
    <row r="4910" spans="1:10" ht="13.2">
      <c r="A4910" s="7">
        <v>4909</v>
      </c>
      <c r="B4910" s="7">
        <v>1</v>
      </c>
      <c r="C4910" s="7" t="s">
        <v>10</v>
      </c>
      <c r="D4910" s="7">
        <v>4045</v>
      </c>
      <c r="E4910" s="7" t="s">
        <v>12</v>
      </c>
      <c r="F4910" s="8" t="str">
        <f ca="1">IFERROR(__xludf.DUMMYFUNCTION("IF
(
C4911=""фізична особа""
,
VLOOKUP(D4911,IMPORTRANGE(""https://docs.google.com/spreadsheets/d/14Bd19lYaqBhU8_DElYkX7l4wRkHqqCUFNJY4AfY3kHU/edit?usp=sharing  #gid=0"",""фіз особи new!relations_name""),6,FALSE)
,
(IF
(
C4911=""юридична особа""
,
VLOOKUP"&amp;"(D4911,IMPORTRANGE(""https://docs.google.com/spreadsheets/d/14Bd19lYaqBhU8_DElYkX7l4wRkHqqCUFNJY4AfY3kHU/edit?usp=sharing  #gid=0"",""фіз особи new!relations_name_uo""),7,FALSE)
,
)
))"),"ГРЕШНЄВІКОВ Анатолій Миколайович")</f>
        <v>ГРЕШНЄВІКОВ Анатолій Миколайович</v>
      </c>
      <c r="G4910" s="7" t="s">
        <v>10</v>
      </c>
      <c r="H4910" s="7">
        <v>0</v>
      </c>
      <c r="I4910" s="8" t="str">
        <f ca="1">IFERROR(__xludf.DUMMYFUNCTION("IF
(
G4911=""фізична особа""
,
VLOOKUP(H4911,IMPORTRANGE(""https://docs.google.com/spreadsheets/d/14Bd19lYaqBhU8_DElYkX7l4wRkHqqCUFNJY4AfY3kHU/edit?usp=sharing  #gid=0"",""фіз особи new!relations_name""),6,FALSE)
,
(IF
(
G4911=""юридична особа""
,
VLOOKUP"&amp;"(H4911,IMPORTRANGE(""https://docs.google.com/spreadsheets/d/14Bd19lYaqBhU8_DElYkX7l4wRkHqqCUFNJY4AfY3kHU/edit?usp=sharing  #gid=0"",""фіз особи new!relations_name_uo""),7,FALSE)
,
)
))"),"#N/A")</f>
        <v>#N/A</v>
      </c>
      <c r="J4910" s="7" t="s">
        <v>17</v>
      </c>
    </row>
    <row r="4911" spans="1:10" ht="13.2">
      <c r="A4911" s="7">
        <v>4910</v>
      </c>
      <c r="B4911" s="7">
        <v>1</v>
      </c>
      <c r="C4911" s="7" t="s">
        <v>10</v>
      </c>
      <c r="D4911" s="7">
        <v>4045</v>
      </c>
      <c r="E4911" s="7" t="s">
        <v>14</v>
      </c>
      <c r="F4911" s="8" t="str">
        <f ca="1">IFERROR(__xludf.DUMMYFUNCTION("IF
(
C4912=""фізична особа""
,
VLOOKUP(D4912,IMPORTRANGE(""https://docs.google.com/spreadsheets/d/14Bd19lYaqBhU8_DElYkX7l4wRkHqqCUFNJY4AfY3kHU/edit?usp=sharing  #gid=0"",""фіз особи new!relations_name""),6,FALSE)
,
(IF
(
C4912=""юридична особа""
,
VLOOKUP"&amp;"(D4912,IMPORTRANGE(""https://docs.google.com/spreadsheets/d/14Bd19lYaqBhU8_DElYkX7l4wRkHqqCUFNJY4AfY3kHU/edit?usp=sharing  #gid=0"",""фіз особи new!relations_name_uo""),7,FALSE)
,
)
))"),"ГРЕШНЄВІКОВ Анатолій Миколайович")</f>
        <v>ГРЕШНЄВІКОВ Анатолій Миколайович</v>
      </c>
      <c r="G4911" s="7" t="s">
        <v>10</v>
      </c>
      <c r="H4911" s="7">
        <v>0</v>
      </c>
      <c r="I4911" s="8" t="str">
        <f ca="1">IFERROR(__xludf.DUMMYFUNCTION("IF
(
G4912=""фізична особа""
,
VLOOKUP(H4912,IMPORTRANGE(""https://docs.google.com/spreadsheets/d/14Bd19lYaqBhU8_DElYkX7l4wRkHqqCUFNJY4AfY3kHU/edit?usp=sharing  #gid=0"",""фіз особи new!relations_name""),6,FALSE)
,
(IF
(
G4912=""юридична особа""
,
VLOOKUP"&amp;"(H4912,IMPORTRANGE(""https://docs.google.com/spreadsheets/d/14Bd19lYaqBhU8_DElYkX7l4wRkHqqCUFNJY4AfY3kHU/edit?usp=sharing  #gid=0"",""фіз особи new!relations_name_uo""),7,FALSE)
,
)
))"),"#N/A")</f>
        <v>#N/A</v>
      </c>
      <c r="J4911" s="7" t="s">
        <v>15</v>
      </c>
    </row>
    <row r="4912" spans="1:10" ht="13.2">
      <c r="A4912" s="7">
        <v>4911</v>
      </c>
      <c r="B4912" s="7">
        <v>1</v>
      </c>
      <c r="C4912" s="7" t="s">
        <v>10</v>
      </c>
      <c r="D4912" s="7">
        <v>4047</v>
      </c>
      <c r="E4912" s="7" t="s">
        <v>46</v>
      </c>
      <c r="F4912" s="8" t="str">
        <f ca="1">IFERROR(__xludf.DUMMYFUNCTION("IF
(
C4913=""фізична особа""
,
VLOOKUP(D4913,IMPORTRANGE(""https://docs.google.com/spreadsheets/d/14Bd19lYaqBhU8_DElYkX7l4wRkHqqCUFNJY4AfY3kHU/edit?usp=sharing  #gid=0"",""фіз особи new!relations_name""),6,FALSE)
,
(IF
(
C4913=""юридична особа""
,
VLOOKUP"&amp;"(D4913,IMPORTRANGE(""https://docs.google.com/spreadsheets/d/14Bd19lYaqBhU8_DElYkX7l4wRkHqqCUFNJY4AfY3kHU/edit?usp=sharing  #gid=0"",""фіз особи new!relations_name_uo""),7,FALSE)
,
)
))"),"ГУЛІН Максим Олексійович")</f>
        <v>ГУЛІН Максим Олексійович</v>
      </c>
      <c r="G4912" s="7" t="s">
        <v>10</v>
      </c>
      <c r="H4912" s="7">
        <v>0</v>
      </c>
      <c r="I4912" s="8" t="str">
        <f ca="1">IFERROR(__xludf.DUMMYFUNCTION("IF
(
G4913=""фізична особа""
,
VLOOKUP(H4913,IMPORTRANGE(""https://docs.google.com/spreadsheets/d/14Bd19lYaqBhU8_DElYkX7l4wRkHqqCUFNJY4AfY3kHU/edit?usp=sharing  #gid=0"",""фіз особи new!relations_name""),6,FALSE)
,
(IF
(
G4913=""юридична особа""
,
VLOOKUP"&amp;"(H4913,IMPORTRANGE(""https://docs.google.com/spreadsheets/d/14Bd19lYaqBhU8_DElYkX7l4wRkHqqCUFNJY4AfY3kHU/edit?usp=sharing  #gid=0"",""фіз особи new!relations_name_uo""),7,FALSE)
,
)
))"),"#N/A")</f>
        <v>#N/A</v>
      </c>
      <c r="J4912" s="7" t="s">
        <v>47</v>
      </c>
    </row>
    <row r="4913" spans="1:10" ht="13.2">
      <c r="A4913" s="7">
        <v>4912</v>
      </c>
      <c r="B4913" s="7">
        <v>1</v>
      </c>
      <c r="C4913" s="7" t="s">
        <v>10</v>
      </c>
      <c r="D4913" s="7">
        <v>4049</v>
      </c>
      <c r="E4913" s="7" t="s">
        <v>14</v>
      </c>
      <c r="F4913" s="8" t="str">
        <f ca="1">IFERROR(__xludf.DUMMYFUNCTION("IF
(
C4914=""фізична особа""
,
VLOOKUP(D4914,IMPORTRANGE(""https://docs.google.com/spreadsheets/d/14Bd19lYaqBhU8_DElYkX7l4wRkHqqCUFNJY4AfY3kHU/edit?usp=sharing  #gid=0"",""фіз особи new!relations_name""),6,FALSE)
,
(IF
(
C4914=""юридична особа""
,
VLOOKUP"&amp;"(D4914,IMPORTRANGE(""https://docs.google.com/spreadsheets/d/14Bd19lYaqBhU8_DElYkX7l4wRkHqqCUFNJY4AfY3kHU/edit?usp=sharing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3" s="7" t="s">
        <v>10</v>
      </c>
      <c r="H4913" s="7">
        <v>0</v>
      </c>
      <c r="I4913" s="8" t="str">
        <f ca="1">IFERROR(__xludf.DUMMYFUNCTION("IF
(
G4914=""фізична особа""
,
VLOOKUP(H4914,IMPORTRANGE(""https://docs.google.com/spreadsheets/d/14Bd19lYaqBhU8_DElYkX7l4wRkHqqCUFNJY4AfY3kHU/edit?usp=sharing  #gid=0"",""фіз особи new!relations_name""),6,FALSE)
,
(IF
(
G4914=""юридична особа""
,
VLOOKUP"&amp;"(H4914,IMPORTRANGE(""https://docs.google.com/spreadsheets/d/14Bd19lYaqBhU8_DElYkX7l4wRkHqqCUFNJY4AfY3kHU/edit?usp=sharing  #gid=0"",""фіз особи new!relations_name_uo""),7,FALSE)
,
)
))"),"#N/A")</f>
        <v>#N/A</v>
      </c>
      <c r="J4913" s="7" t="s">
        <v>15</v>
      </c>
    </row>
    <row r="4914" spans="1:10" ht="13.2">
      <c r="A4914" s="7">
        <v>4913</v>
      </c>
      <c r="B4914" s="7">
        <v>1</v>
      </c>
      <c r="C4914" s="7" t="s">
        <v>10</v>
      </c>
      <c r="D4914" s="7">
        <v>4049</v>
      </c>
      <c r="E4914" s="7" t="s">
        <v>12</v>
      </c>
      <c r="F4914" s="8" t="str">
        <f ca="1">IFERROR(__xludf.DUMMYFUNCTION("IF
(
C4915=""фізична особа""
,
VLOOKUP(D4915,IMPORTRANGE(""https://docs.google.com/spreadsheets/d/14Bd19lYaqBhU8_DElYkX7l4wRkHqqCUFNJY4AfY3kHU/edit?usp=sharing  #gid=0"",""фіз особи new!relations_name""),6,FALSE)
,
(IF
(
C4915=""юридична особа""
,
VLOOKUP"&amp;"(D4915,IMPORTRANGE(""https://docs.google.com/spreadsheets/d/14Bd19lYaqBhU8_DElYkX7l4wRkHqqCUFNJY4AfY3kHU/edit?usp=sharing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4" s="7" t="s">
        <v>10</v>
      </c>
      <c r="H4914" s="7">
        <v>0</v>
      </c>
      <c r="I4914" s="8" t="str">
        <f ca="1">IFERROR(__xludf.DUMMYFUNCTION("IF
(
G4915=""фізична особа""
,
VLOOKUP(H4915,IMPORTRANGE(""https://docs.google.com/spreadsheets/d/14Bd19lYaqBhU8_DElYkX7l4wRkHqqCUFNJY4AfY3kHU/edit?usp=sharing  #gid=0"",""фіз особи new!relations_name""),6,FALSE)
,
(IF
(
G4915=""юридична особа""
,
VLOOKUP"&amp;"(H4915,IMPORTRANGE(""https://docs.google.com/spreadsheets/d/14Bd19lYaqBhU8_DElYkX7l4wRkHqqCUFNJY4AfY3kHU/edit?usp=sharing  #gid=0"",""фіз особи new!relations_name_uo""),7,FALSE)
,
)
))"),"#N/A")</f>
        <v>#N/A</v>
      </c>
      <c r="J4914" s="7" t="s">
        <v>17</v>
      </c>
    </row>
    <row r="4915" spans="1:10" ht="13.2">
      <c r="A4915" s="7">
        <v>4914</v>
      </c>
      <c r="B4915" s="7">
        <v>1</v>
      </c>
      <c r="C4915" s="7" t="s">
        <v>10</v>
      </c>
      <c r="D4915" s="7">
        <v>4049</v>
      </c>
      <c r="E4915" s="7" t="s">
        <v>12</v>
      </c>
      <c r="F4915" s="8" t="str">
        <f ca="1">IFERROR(__xludf.DUMMYFUNCTION("IF
(
C4916=""фізична особа""
,
VLOOKUP(D4916,IMPORTRANGE(""https://docs.google.com/spreadsheets/d/14Bd19lYaqBhU8_DElYkX7l4wRkHqqCUFNJY4AfY3kHU/edit?usp=sharing  #gid=0"",""фіз особи new!relations_name""),6,FALSE)
,
(IF
(
C4916=""юридична особа""
,
VLOOKUP"&amp;"(D4916,IMPORTRANGE(""https://docs.google.com/spreadsheets/d/14Bd19lYaqBhU8_DElYkX7l4wRkHqqCUFNJY4AfY3kHU/edit?usp=sharing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5" s="7" t="s">
        <v>10</v>
      </c>
      <c r="H4915" s="7">
        <v>0</v>
      </c>
      <c r="I4915" s="8" t="str">
        <f ca="1">IFERROR(__xludf.DUMMYFUNCTION("IF
(
G4916=""фізична особа""
,
VLOOKUP(H4916,IMPORTRANGE(""https://docs.google.com/spreadsheets/d/14Bd19lYaqBhU8_DElYkX7l4wRkHqqCUFNJY4AfY3kHU/edit?usp=sharing  #gid=0"",""фіз особи new!relations_name""),6,FALSE)
,
(IF
(
G4916=""юридична особа""
,
VLOOKUP"&amp;"(H4916,IMPORTRANGE(""https://docs.google.com/spreadsheets/d/14Bd19lYaqBhU8_DElYkX7l4wRkHqqCUFNJY4AfY3kHU/edit?usp=sharing  #gid=0"",""фіз особи new!relations_name_uo""),7,FALSE)
,
)
))"),"#N/A")</f>
        <v>#N/A</v>
      </c>
      <c r="J4915" s="7" t="s">
        <v>17</v>
      </c>
    </row>
    <row r="4916" spans="1:10" ht="13.2">
      <c r="A4916" s="7">
        <v>4915</v>
      </c>
      <c r="B4916" s="7">
        <v>1</v>
      </c>
      <c r="C4916" s="7" t="s">
        <v>10</v>
      </c>
      <c r="D4916" s="7">
        <v>4049</v>
      </c>
      <c r="E4916" s="7" t="s">
        <v>12</v>
      </c>
      <c r="F4916" s="8" t="str">
        <f ca="1">IFERROR(__xludf.DUMMYFUNCTION("IF
(
C4917=""фізична особа""
,
VLOOKUP(D4917,IMPORTRANGE(""https://docs.google.com/spreadsheets/d/14Bd19lYaqBhU8_DElYkX7l4wRkHqqCUFNJY4AfY3kHU/edit?usp=sharing  #gid=0"",""фіз особи new!relations_name""),6,FALSE)
,
(IF
(
C4917=""юридична особа""
,
VLOOKUP"&amp;"(D4917,IMPORTRANGE(""https://docs.google.com/spreadsheets/d/14Bd19lYaqBhU8_DElYkX7l4wRkHqqCUFNJY4AfY3kHU/edit?usp=sharing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6" s="7" t="s">
        <v>10</v>
      </c>
      <c r="H4916" s="7">
        <v>0</v>
      </c>
      <c r="I4916" s="8" t="str">
        <f ca="1">IFERROR(__xludf.DUMMYFUNCTION("IF
(
G4917=""фізична особа""
,
VLOOKUP(H4917,IMPORTRANGE(""https://docs.google.com/spreadsheets/d/14Bd19lYaqBhU8_DElYkX7l4wRkHqqCUFNJY4AfY3kHU/edit?usp=sharing  #gid=0"",""фіз особи new!relations_name""),6,FALSE)
,
(IF
(
G4917=""юридична особа""
,
VLOOKUP"&amp;"(H4917,IMPORTRANGE(""https://docs.google.com/spreadsheets/d/14Bd19lYaqBhU8_DElYkX7l4wRkHqqCUFNJY4AfY3kHU/edit?usp=sharing  #gid=0"",""фіз особи new!relations_name_uo""),7,FALSE)
,
)
))"),"#N/A")</f>
        <v>#N/A</v>
      </c>
      <c r="J4916" s="7" t="s">
        <v>17</v>
      </c>
    </row>
    <row r="4917" spans="1:10" ht="13.2">
      <c r="A4917" s="7">
        <v>4916</v>
      </c>
      <c r="B4917" s="7">
        <v>1</v>
      </c>
      <c r="C4917" s="7" t="s">
        <v>10</v>
      </c>
      <c r="D4917" s="7">
        <v>4049</v>
      </c>
      <c r="E4917" s="7" t="s">
        <v>12</v>
      </c>
      <c r="F4917" s="8" t="str">
        <f ca="1">IFERROR(__xludf.DUMMYFUNCTION("IF
(
C4918=""фізична особа""
,
VLOOKUP(D4918,IMPORTRANGE(""https://docs.google.com/spreadsheets/d/14Bd19lYaqBhU8_DElYkX7l4wRkHqqCUFNJY4AfY3kHU/edit?usp=sharing  #gid=0"",""фіз особи new!relations_name""),6,FALSE)
,
(IF
(
C4918=""юридична особа""
,
VLOOKUP"&amp;"(D4918,IMPORTRANGE(""https://docs.google.com/spreadsheets/d/14Bd19lYaqBhU8_DElYkX7l4wRkHqqCUFNJY4AfY3kHU/edit?usp=sharing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7" s="7" t="s">
        <v>10</v>
      </c>
      <c r="H4917" s="7">
        <v>0</v>
      </c>
      <c r="I4917" s="8" t="str">
        <f ca="1">IFERROR(__xludf.DUMMYFUNCTION("IF
(
G4918=""фізична особа""
,
VLOOKUP(H4918,IMPORTRANGE(""https://docs.google.com/spreadsheets/d/14Bd19lYaqBhU8_DElYkX7l4wRkHqqCUFNJY4AfY3kHU/edit?usp=sharing  #gid=0"",""фіз особи new!relations_name""),6,FALSE)
,
(IF
(
G4918=""юридична особа""
,
VLOOKUP"&amp;"(H4918,IMPORTRANGE(""https://docs.google.com/spreadsheets/d/14Bd19lYaqBhU8_DElYkX7l4wRkHqqCUFNJY4AfY3kHU/edit?usp=sharing  #gid=0"",""фіз особи new!relations_name_uo""),7,FALSE)
,
)
))"),"#N/A")</f>
        <v>#N/A</v>
      </c>
      <c r="J4917" s="7" t="s">
        <v>17</v>
      </c>
    </row>
    <row r="4918" spans="1:10" ht="13.2">
      <c r="A4918" s="7">
        <v>4917</v>
      </c>
      <c r="B4918" s="7">
        <v>1</v>
      </c>
      <c r="C4918" s="7" t="s">
        <v>10</v>
      </c>
      <c r="D4918" s="7">
        <v>4049</v>
      </c>
      <c r="E4918" s="7" t="s">
        <v>24</v>
      </c>
      <c r="F4918" s="8" t="str">
        <f ca="1">IFERROR(__xludf.DUMMYFUNCTION("IF
(
C4919=""фізична особа""
,
VLOOKUP(D4919,IMPORTRANGE(""https://docs.google.com/spreadsheets/d/14Bd19lYaqBhU8_DElYkX7l4wRkHqqCUFNJY4AfY3kHU/edit?usp=sharing  #gid=0"",""фіз особи new!relations_name""),6,FALSE)
,
(IF
(
C4919=""юридична особа""
,
VLOOKUP"&amp;"(D4919,IMPORTRANGE(""https://docs.google.com/spreadsheets/d/14Bd19lYaqBhU8_DElYkX7l4wRkHqqCUFNJY4AfY3kHU/edit?usp=sharing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8" s="7" t="s">
        <v>10</v>
      </c>
      <c r="H4918" s="7">
        <v>0</v>
      </c>
      <c r="I4918" s="8" t="str">
        <f ca="1">IFERROR(__xludf.DUMMYFUNCTION("IF
(
G4919=""фізична особа""
,
VLOOKUP(H4919,IMPORTRANGE(""https://docs.google.com/spreadsheets/d/14Bd19lYaqBhU8_DElYkX7l4wRkHqqCUFNJY4AfY3kHU/edit?usp=sharing  #gid=0"",""фіз особи new!relations_name""),6,FALSE)
,
(IF
(
G4919=""юридична особа""
,
VLOOKUP"&amp;"(H4919,IMPORTRANGE(""https://docs.google.com/spreadsheets/d/14Bd19lYaqBhU8_DElYkX7l4wRkHqqCUFNJY4AfY3kHU/edit?usp=sharing  #gid=0"",""фіз особи new!relations_name_uo""),7,FALSE)
,
)
))"),"#N/A")</f>
        <v>#N/A</v>
      </c>
      <c r="J4918" s="7" t="s">
        <v>26</v>
      </c>
    </row>
    <row r="4919" spans="1:10" ht="13.2">
      <c r="A4919" s="7">
        <v>4918</v>
      </c>
      <c r="B4919" s="7">
        <v>1</v>
      </c>
      <c r="C4919" s="7" t="s">
        <v>10</v>
      </c>
      <c r="D4919" s="7">
        <v>4049</v>
      </c>
      <c r="E4919" s="7" t="s">
        <v>18</v>
      </c>
      <c r="F4919" s="8" t="str">
        <f ca="1">IFERROR(__xludf.DUMMYFUNCTION("IF
(
C4920=""фізична особа""
,
VLOOKUP(D4920,IMPORTRANGE(""https://docs.google.com/spreadsheets/d/14Bd19lYaqBhU8_DElYkX7l4wRkHqqCUFNJY4AfY3kHU/edit?usp=sharing  #gid=0"",""фіз особи new!relations_name""),6,FALSE)
,
(IF
(
C4920=""юридична особа""
,
VLOOKUP"&amp;"(D4920,IMPORTRANGE(""https://docs.google.com/spreadsheets/d/14Bd19lYaqBhU8_DElYkX7l4wRkHqqCUFNJY4AfY3kHU/edit?usp=sharing  #gid=0"",""фіз особи new!relations_name_uo""),7,FALSE)
,
)
))"),"УМАХАНОВ Сайгідпаша Дарбішевич")</f>
        <v>УМАХАНОВ Сайгідпаша Дарбішевич</v>
      </c>
      <c r="G4919" s="7" t="s">
        <v>10</v>
      </c>
      <c r="H4919" s="7">
        <v>0</v>
      </c>
      <c r="I4919" s="8" t="str">
        <f ca="1">IFERROR(__xludf.DUMMYFUNCTION("IF
(
G4920=""фізична особа""
,
VLOOKUP(H4920,IMPORTRANGE(""https://docs.google.com/spreadsheets/d/14Bd19lYaqBhU8_DElYkX7l4wRkHqqCUFNJY4AfY3kHU/edit?usp=sharing  #gid=0"",""фіз особи new!relations_name""),6,FALSE)
,
(IF
(
G4920=""юридична особа""
,
VLOOKUP"&amp;"(H4920,IMPORTRANGE(""https://docs.google.com/spreadsheets/d/14Bd19lYaqBhU8_DElYkX7l4wRkHqqCUFNJY4AfY3kHU/edit?usp=sharing  #gid=0"",""фіз особи new!relations_name_uo""),7,FALSE)
,
)
))"),"#N/A")</f>
        <v>#N/A</v>
      </c>
      <c r="J4919" s="7" t="s">
        <v>18</v>
      </c>
    </row>
    <row r="4920" spans="1:10" ht="13.2">
      <c r="A4920" s="7">
        <v>4919</v>
      </c>
      <c r="B4920" s="7">
        <v>1</v>
      </c>
      <c r="C4920" s="7" t="s">
        <v>10</v>
      </c>
      <c r="D4920" s="7">
        <v>4050</v>
      </c>
      <c r="E4920" s="7" t="s">
        <v>15</v>
      </c>
      <c r="F4920" s="8" t="str">
        <f ca="1">IFERROR(__xludf.DUMMYFUNCTION("IF
(
C4921=""фізична особа""
,
VLOOKUP(D4921,IMPORTRANGE(""https://docs.google.com/spreadsheets/d/14Bd19lYaqBhU8_DElYkX7l4wRkHqqCUFNJY4AfY3kHU/edit?usp=sharing  #gid=0"",""фіз особи new!relations_name""),6,FALSE)
,
(IF
(
C4921=""юридична особа""
,
VLOOKUP"&amp;"(D4921,IMPORTRANGE(""https://docs.google.com/spreadsheets/d/14Bd19lYaqBhU8_DElYkX7l4wRkHqqCUFNJY4AfY3kHU/edit?usp=sharing  #gid=0"",""фіз особи new!relations_name_uo""),7,FALSE)
,
)
))"),"СОЛОМАТІНА Тетяна Василівна")</f>
        <v>СОЛОМАТІНА Тетяна Василівна</v>
      </c>
      <c r="G4920" s="7" t="s">
        <v>10</v>
      </c>
      <c r="H4920" s="7">
        <v>0</v>
      </c>
      <c r="I4920" s="8" t="str">
        <f ca="1">IFERROR(__xludf.DUMMYFUNCTION("IF
(
G4921=""фізична особа""
,
VLOOKUP(H4921,IMPORTRANGE(""https://docs.google.com/spreadsheets/d/14Bd19lYaqBhU8_DElYkX7l4wRkHqqCUFNJY4AfY3kHU/edit?usp=sharing  #gid=0"",""фіз особи new!relations_name""),6,FALSE)
,
(IF
(
G4921=""юридична особа""
,
VLOOKUP"&amp;"(H4921,IMPORTRANGE(""https://docs.google.com/spreadsheets/d/14Bd19lYaqBhU8_DElYkX7l4wRkHqqCUFNJY4AfY3kHU/edit?usp=sharing  #gid=0"",""фіз особи new!relations_name_uo""),7,FALSE)
,
)
))"),"#N/A")</f>
        <v>#N/A</v>
      </c>
      <c r="J4920" s="7" t="s">
        <v>14</v>
      </c>
    </row>
    <row r="4921" spans="1:10" ht="13.2">
      <c r="A4921" s="7">
        <v>4920</v>
      </c>
      <c r="B4921" s="7">
        <v>1</v>
      </c>
      <c r="C4921" s="7" t="s">
        <v>10</v>
      </c>
      <c r="D4921" s="7">
        <v>4050</v>
      </c>
      <c r="E4921" s="7" t="s">
        <v>21</v>
      </c>
      <c r="F4921" s="8" t="str">
        <f ca="1">IFERROR(__xludf.DUMMYFUNCTION("IF
(
C4922=""фізична особа""
,
VLOOKUP(D4922,IMPORTRANGE(""https://docs.google.com/spreadsheets/d/14Bd19lYaqBhU8_DElYkX7l4wRkHqqCUFNJY4AfY3kHU/edit?usp=sharing  #gid=0"",""фіз особи new!relations_name""),6,FALSE)
,
(IF
(
C4922=""юридична особа""
,
VLOOKUP"&amp;"(D4922,IMPORTRANGE(""https://docs.google.com/spreadsheets/d/14Bd19lYaqBhU8_DElYkX7l4wRkHqqCUFNJY4AfY3kHU/edit?usp=sharing  #gid=0"",""фіз особи new!relations_name_uo""),7,FALSE)
,
)
))"),"СОЛОМАТІНА Тетяна Василівна")</f>
        <v>СОЛОМАТІНА Тетяна Василівна</v>
      </c>
      <c r="G4921" s="7" t="s">
        <v>10</v>
      </c>
      <c r="H4921" s="7">
        <v>0</v>
      </c>
      <c r="I4921" s="8" t="str">
        <f ca="1">IFERROR(__xludf.DUMMYFUNCTION("IF
(
G4922=""фізична особа""
,
VLOOKUP(H4922,IMPORTRANGE(""https://docs.google.com/spreadsheets/d/14Bd19lYaqBhU8_DElYkX7l4wRkHqqCUFNJY4AfY3kHU/edit?usp=sharing  #gid=0"",""фіз особи new!relations_name""),6,FALSE)
,
(IF
(
G4922=""юридична особа""
,
VLOOKUP"&amp;"(H4922,IMPORTRANGE(""https://docs.google.com/spreadsheets/d/14Bd19lYaqBhU8_DElYkX7l4wRkHqqCUFNJY4AfY3kHU/edit?usp=sharing  #gid=0"",""фіз особи new!relations_name_uo""),7,FALSE)
,
)
))"),"#N/A")</f>
        <v>#N/A</v>
      </c>
      <c r="J4921" s="7" t="s">
        <v>13</v>
      </c>
    </row>
    <row r="4922" spans="1:10" ht="13.2">
      <c r="A4922" s="7">
        <v>4921</v>
      </c>
      <c r="B4922" s="7">
        <v>1</v>
      </c>
      <c r="C4922" s="7" t="s">
        <v>10</v>
      </c>
      <c r="D4922" s="7">
        <v>4050</v>
      </c>
      <c r="E4922" s="7" t="s">
        <v>27</v>
      </c>
      <c r="F4922" s="8" t="str">
        <f ca="1">IFERROR(__xludf.DUMMYFUNCTION("IF
(
C4923=""фізична особа""
,
VLOOKUP(D4923,IMPORTRANGE(""https://docs.google.com/spreadsheets/d/14Bd19lYaqBhU8_DElYkX7l4wRkHqqCUFNJY4AfY3kHU/edit?usp=sharing  #gid=0"",""фіз особи new!relations_name""),6,FALSE)
,
(IF
(
C4923=""юридична особа""
,
VLOOKUP"&amp;"(D4923,IMPORTRANGE(""https://docs.google.com/spreadsheets/d/14Bd19lYaqBhU8_DElYkX7l4wRkHqqCUFNJY4AfY3kHU/edit?usp=sharing  #gid=0"",""фіз особи new!relations_name_uo""),7,FALSE)
,
)
))"),"СОЛОМАТІНА Тетяна Василівна")</f>
        <v>СОЛОМАТІНА Тетяна Василівна</v>
      </c>
      <c r="G4922" s="7" t="s">
        <v>10</v>
      </c>
      <c r="H4922" s="7">
        <v>0</v>
      </c>
      <c r="I4922" s="8" t="str">
        <f ca="1">IFERROR(__xludf.DUMMYFUNCTION("IF
(
G4923=""фізична особа""
,
VLOOKUP(H4923,IMPORTRANGE(""https://docs.google.com/spreadsheets/d/14Bd19lYaqBhU8_DElYkX7l4wRkHqqCUFNJY4AfY3kHU/edit?usp=sharing  #gid=0"",""фіз особи new!relations_name""),6,FALSE)
,
(IF
(
G4923=""юридична особа""
,
VLOOKUP"&amp;"(H4923,IMPORTRANGE(""https://docs.google.com/spreadsheets/d/14Bd19lYaqBhU8_DElYkX7l4wRkHqqCUFNJY4AfY3kHU/edit?usp=sharing  #gid=0"",""фіз особи new!relations_name_uo""),7,FALSE)
,
)
))"),"#N/A")</f>
        <v>#N/A</v>
      </c>
      <c r="J4922" s="7" t="s">
        <v>26</v>
      </c>
    </row>
    <row r="4923" spans="1:10" ht="13.2">
      <c r="A4923" s="7">
        <v>4922</v>
      </c>
      <c r="B4923" s="7">
        <v>1</v>
      </c>
      <c r="C4923" s="7" t="s">
        <v>10</v>
      </c>
      <c r="D4923" s="7">
        <v>4051</v>
      </c>
      <c r="E4923" s="7" t="s">
        <v>12</v>
      </c>
      <c r="F4923" s="8" t="str">
        <f ca="1">IFERROR(__xludf.DUMMYFUNCTION("IF
(
C4924=""фізична особа""
,
VLOOKUP(D4924,IMPORTRANGE(""https://docs.google.com/spreadsheets/d/14Bd19lYaqBhU8_DElYkX7l4wRkHqqCUFNJY4AfY3kHU/edit?usp=sharing  #gid=0"",""фіз особи new!relations_name""),6,FALSE)
,
(IF
(
C4924=""юридична особа""
,
VLOOKUP"&amp;"(D4924,IMPORTRANGE(""https://docs.google.com/spreadsheets/d/14Bd19lYaqBhU8_DElYkX7l4wRkHqqCUFNJY4AfY3kHU/edit?usp=sharing  #gid=0"",""фіз особи new!relations_name_uo""),7,FALSE)
,
)
))"),"ГУТЕНЬОВ Володимир Володимирович")</f>
        <v>ГУТЕНЬОВ Володимир Володимирович</v>
      </c>
      <c r="G4923" s="7" t="s">
        <v>10</v>
      </c>
      <c r="H4923" s="7">
        <v>0</v>
      </c>
      <c r="I4923" s="8" t="str">
        <f ca="1">IFERROR(__xludf.DUMMYFUNCTION("IF
(
G4924=""фізична особа""
,
VLOOKUP(H4924,IMPORTRANGE(""https://docs.google.com/spreadsheets/d/14Bd19lYaqBhU8_DElYkX7l4wRkHqqCUFNJY4AfY3kHU/edit?usp=sharing  #gid=0"",""фіз особи new!relations_name""),6,FALSE)
,
(IF
(
G4924=""юридична особа""
,
VLOOKUP"&amp;"(H4924,IMPORTRANGE(""https://docs.google.com/spreadsheets/d/14Bd19lYaqBhU8_DElYkX7l4wRkHqqCUFNJY4AfY3kHU/edit?usp=sharing  #gid=0"",""фіз особи new!relations_name_uo""),7,FALSE)
,
)
))"),"#N/A")</f>
        <v>#N/A</v>
      </c>
      <c r="J4923" s="7" t="s">
        <v>17</v>
      </c>
    </row>
    <row r="4924" spans="1:10" ht="13.2">
      <c r="A4924" s="7">
        <v>4923</v>
      </c>
      <c r="B4924" s="7">
        <v>1</v>
      </c>
      <c r="C4924" s="7" t="s">
        <v>10</v>
      </c>
      <c r="D4924" s="7">
        <v>4051</v>
      </c>
      <c r="E4924" s="7" t="s">
        <v>14</v>
      </c>
      <c r="F4924" s="8" t="str">
        <f ca="1">IFERROR(__xludf.DUMMYFUNCTION("IF
(
C4925=""фізична особа""
,
VLOOKUP(D4925,IMPORTRANGE(""https://docs.google.com/spreadsheets/d/14Bd19lYaqBhU8_DElYkX7l4wRkHqqCUFNJY4AfY3kHU/edit?usp=sharing  #gid=0"",""фіз особи new!relations_name""),6,FALSE)
,
(IF
(
C4925=""юридична особа""
,
VLOOKUP"&amp;"(D4925,IMPORTRANGE(""https://docs.google.com/spreadsheets/d/14Bd19lYaqBhU8_DElYkX7l4wRkHqqCUFNJY4AfY3kHU/edit?usp=sharing  #gid=0"",""фіз особи new!relations_name_uo""),7,FALSE)
,
)
))"),"ГУТЕНЬОВ Володимир Володимирович")</f>
        <v>ГУТЕНЬОВ Володимир Володимирович</v>
      </c>
      <c r="G4924" s="7" t="s">
        <v>10</v>
      </c>
      <c r="H4924" s="7">
        <v>0</v>
      </c>
      <c r="I4924" s="8" t="str">
        <f ca="1">IFERROR(__xludf.DUMMYFUNCTION("IF
(
G4925=""фізична особа""
,
VLOOKUP(H4925,IMPORTRANGE(""https://docs.google.com/spreadsheets/d/14Bd19lYaqBhU8_DElYkX7l4wRkHqqCUFNJY4AfY3kHU/edit?usp=sharing  #gid=0"",""фіз особи new!relations_name""),6,FALSE)
,
(IF
(
G4925=""юридична особа""
,
VLOOKUP"&amp;"(H4925,IMPORTRANGE(""https://docs.google.com/spreadsheets/d/14Bd19lYaqBhU8_DElYkX7l4wRkHqqCUFNJY4AfY3kHU/edit?usp=sharing  #gid=0"",""фіз особи new!relations_name_uo""),7,FALSE)
,
)
))"),"#N/A")</f>
        <v>#N/A</v>
      </c>
      <c r="J4924" s="7" t="s">
        <v>15</v>
      </c>
    </row>
    <row r="4925" spans="1:10" ht="13.2">
      <c r="A4925" s="7">
        <v>4924</v>
      </c>
      <c r="B4925" s="7">
        <v>1</v>
      </c>
      <c r="C4925" s="7" t="s">
        <v>10</v>
      </c>
      <c r="D4925" s="7">
        <v>4052</v>
      </c>
      <c r="E4925" s="7" t="s">
        <v>21</v>
      </c>
      <c r="F4925" s="8" t="str">
        <f ca="1">IFERROR(__xludf.DUMMYFUNCTION("IF
(
C4926=""фізична особа""
,
VLOOKUP(D4926,IMPORTRANGE(""https://docs.google.com/spreadsheets/d/14Bd19lYaqBhU8_DElYkX7l4wRkHqqCUFNJY4AfY3kHU/edit?usp=sharing  #gid=0"",""фіз особи new!relations_name""),6,FALSE)
,
(IF
(
C4926=""юридична особа""
,
VLOOKUP"&amp;"(D4926,IMPORTRANGE(""https://docs.google.com/spreadsheets/d/14Bd19lYaqBhU8_DElYkX7l4wRkHqqCUFNJY4AfY3kHU/edit?usp=sharing  #gid=0"",""фіз особи new!relations_name_uo""),7,FALSE)
,
)
))"),"ТЄРЄШКОВА Валентина Володимирівна")</f>
        <v>ТЄРЄШКОВА Валентина Володимирівна</v>
      </c>
      <c r="G4925" s="7" t="s">
        <v>10</v>
      </c>
      <c r="H4925" s="7">
        <v>23433</v>
      </c>
      <c r="I4925" s="8" t="str">
        <f ca="1">IFERROR(__xludf.DUMMYFUNCTION("IF
(
G4926=""фізична особа""
,
VLOOKUP(H4926,IMPORTRANGE(""https://docs.google.com/spreadsheets/d/14Bd19lYaqBhU8_DElYkX7l4wRkHqqCUFNJY4AfY3kHU/edit?usp=sharing  #gid=0"",""фіз особи new!relations_name""),6,FALSE)
,
(IF
(
G4926=""юридична особа""
,
VLOOKUP"&amp;"(H4926,IMPORTRANGE(""https://docs.google.com/spreadsheets/d/14Bd19lYaqBhU8_DElYkX7l4wRkHqqCUFNJY4AfY3kHU/edit?usp=sharing  #gid=0"",""фіз особи new!relations_name_uo""),7,FALSE)
,
)
))"),"ТЕРЕШКОВА Олена Андріянівна")</f>
        <v>ТЕРЕШКОВА Олена Андріянівна</v>
      </c>
      <c r="J4925" s="7" t="s">
        <v>13</v>
      </c>
    </row>
    <row r="4926" spans="1:10" ht="13.2">
      <c r="A4926" s="7">
        <v>4925</v>
      </c>
      <c r="B4926" s="7">
        <v>1</v>
      </c>
      <c r="C4926" s="7" t="s">
        <v>10</v>
      </c>
      <c r="D4926" s="7">
        <v>4052</v>
      </c>
      <c r="E4926" s="7" t="s">
        <v>27</v>
      </c>
      <c r="F4926" s="8" t="str">
        <f ca="1">IFERROR(__xludf.DUMMYFUNCTION("IF
(
C4927=""фізична особа""
,
VLOOKUP(D4927,IMPORTRANGE(""https://docs.google.com/spreadsheets/d/14Bd19lYaqBhU8_DElYkX7l4wRkHqqCUFNJY4AfY3kHU/edit?usp=sharing  #gid=0"",""фіз особи new!relations_name""),6,FALSE)
,
(IF
(
C4927=""юридична особа""
,
VLOOKUP"&amp;"(D4927,IMPORTRANGE(""https://docs.google.com/spreadsheets/d/14Bd19lYaqBhU8_DElYkX7l4wRkHqqCUFNJY4AfY3kHU/edit?usp=sharing  #gid=0"",""фіз особи new!relations_name_uo""),7,FALSE)
,
)
))"),"ТЄРЄШКОВА Валентина Володимирівна")</f>
        <v>ТЄРЄШКОВА Валентина Володимирівна</v>
      </c>
      <c r="G4926" s="7" t="s">
        <v>10</v>
      </c>
      <c r="H4926" s="7">
        <v>0</v>
      </c>
      <c r="I4926" s="8" t="str">
        <f ca="1">IFERROR(__xludf.DUMMYFUNCTION("IF
(
G4927=""фізична особа""
,
VLOOKUP(H4927,IMPORTRANGE(""https://docs.google.com/spreadsheets/d/14Bd19lYaqBhU8_DElYkX7l4wRkHqqCUFNJY4AfY3kHU/edit?usp=sharing  #gid=0"",""фіз особи new!relations_name""),6,FALSE)
,
(IF
(
G4927=""юридична особа""
,
VLOOKUP"&amp;"(H4927,IMPORTRANGE(""https://docs.google.com/spreadsheets/d/14Bd19lYaqBhU8_DElYkX7l4wRkHqqCUFNJY4AfY3kHU/edit?usp=sharing  #gid=0"",""фіз особи new!relations_name_uo""),7,FALSE)
,
)
))"),"#N/A")</f>
        <v>#N/A</v>
      </c>
      <c r="J4926" s="7" t="s">
        <v>26</v>
      </c>
    </row>
    <row r="4927" spans="1:10" ht="13.2">
      <c r="A4927" s="7">
        <v>4926</v>
      </c>
      <c r="B4927" s="7">
        <v>1</v>
      </c>
      <c r="C4927" s="7" t="s">
        <v>10</v>
      </c>
      <c r="D4927" s="7">
        <v>4052</v>
      </c>
      <c r="E4927" s="7" t="s">
        <v>79</v>
      </c>
      <c r="F4927" s="8" t="str">
        <f ca="1">IFERROR(__xludf.DUMMYFUNCTION("IF
(
C4928=""фізична особа""
,
VLOOKUP(D4928,IMPORTRANGE(""https://docs.google.com/spreadsheets/d/14Bd19lYaqBhU8_DElYkX7l4wRkHqqCUFNJY4AfY3kHU/edit?usp=sharing  #gid=0"",""фіз особи new!relations_name""),6,FALSE)
,
(IF
(
C4928=""юридична особа""
,
VLOOKUP"&amp;"(D4928,IMPORTRANGE(""https://docs.google.com/spreadsheets/d/14Bd19lYaqBhU8_DElYkX7l4wRkHqqCUFNJY4AfY3kHU/edit?usp=sharing  #gid=0"",""фіз особи new!relations_name_uo""),7,FALSE)
,
)
))"),"ТЄРЄШКОВА Валентина Володимирівна")</f>
        <v>ТЄРЄШКОВА Валентина Володимирівна</v>
      </c>
      <c r="G4927" s="7" t="s">
        <v>10</v>
      </c>
      <c r="H4927" s="7">
        <v>0</v>
      </c>
      <c r="I4927" s="8" t="str">
        <f ca="1">IFERROR(__xludf.DUMMYFUNCTION("IF
(
G4928=""фізична особа""
,
VLOOKUP(H4928,IMPORTRANGE(""https://docs.google.com/spreadsheets/d/14Bd19lYaqBhU8_DElYkX7l4wRkHqqCUFNJY4AfY3kHU/edit?usp=sharing  #gid=0"",""фіз особи new!relations_name""),6,FALSE)
,
(IF
(
G4928=""юридична особа""
,
VLOOKUP"&amp;"(H4928,IMPORTRANGE(""https://docs.google.com/spreadsheets/d/14Bd19lYaqBhU8_DElYkX7l4wRkHqqCUFNJY4AfY3kHU/edit?usp=sharing  #gid=0"",""фіз особи new!relations_name_uo""),7,FALSE)
,
)
))"),"#N/A")</f>
        <v>#N/A</v>
      </c>
      <c r="J4927" s="7" t="s">
        <v>61</v>
      </c>
    </row>
    <row r="4928" spans="1:10" ht="13.2">
      <c r="A4928" s="7">
        <v>4927</v>
      </c>
      <c r="B4928" s="7">
        <v>1</v>
      </c>
      <c r="C4928" s="7" t="s">
        <v>10</v>
      </c>
      <c r="D4928" s="7">
        <v>4052</v>
      </c>
      <c r="E4928" s="7" t="s">
        <v>79</v>
      </c>
      <c r="F4928" s="8" t="str">
        <f ca="1">IFERROR(__xludf.DUMMYFUNCTION("IF
(
C4929=""фізична особа""
,
VLOOKUP(D4929,IMPORTRANGE(""https://docs.google.com/spreadsheets/d/14Bd19lYaqBhU8_DElYkX7l4wRkHqqCUFNJY4AfY3kHU/edit?usp=sharing  #gid=0"",""фіз особи new!relations_name""),6,FALSE)
,
(IF
(
C4929=""юридична особа""
,
VLOOKUP"&amp;"(D4929,IMPORTRANGE(""https://docs.google.com/spreadsheets/d/14Bd19lYaqBhU8_DElYkX7l4wRkHqqCUFNJY4AfY3kHU/edit?usp=sharing  #gid=0"",""фіз особи new!relations_name_uo""),7,FALSE)
,
)
))"),"ТЄРЄШКОВА Валентина Володимирівна")</f>
        <v>ТЄРЄШКОВА Валентина Володимирівна</v>
      </c>
      <c r="G4928" s="7" t="s">
        <v>10</v>
      </c>
      <c r="H4928" s="7">
        <v>0</v>
      </c>
      <c r="I4928" s="8" t="str">
        <f ca="1">IFERROR(__xludf.DUMMYFUNCTION("IF
(
G4929=""фізична особа""
,
VLOOKUP(H4929,IMPORTRANGE(""https://docs.google.com/spreadsheets/d/14Bd19lYaqBhU8_DElYkX7l4wRkHqqCUFNJY4AfY3kHU/edit?usp=sharing  #gid=0"",""фіз особи new!relations_name""),6,FALSE)
,
(IF
(
G4929=""юридична особа""
,
VLOOKUP"&amp;"(H4929,IMPORTRANGE(""https://docs.google.com/spreadsheets/d/14Bd19lYaqBhU8_DElYkX7l4wRkHqqCUFNJY4AfY3kHU/edit?usp=sharing  #gid=0"",""фіз особи new!relations_name_uo""),7,FALSE)
,
)
))"),"#N/A")</f>
        <v>#N/A</v>
      </c>
      <c r="J4928" s="7" t="s">
        <v>61</v>
      </c>
    </row>
    <row r="4929" spans="1:10" ht="13.2">
      <c r="A4929" s="7">
        <v>4928</v>
      </c>
      <c r="B4929" s="7">
        <v>1</v>
      </c>
      <c r="C4929" s="7" t="s">
        <v>10</v>
      </c>
      <c r="D4929" s="7">
        <v>4053</v>
      </c>
      <c r="E4929" s="7" t="s">
        <v>14</v>
      </c>
      <c r="F4929" s="8" t="str">
        <f ca="1">IFERROR(__xludf.DUMMYFUNCTION("IF
(
C4930=""фізична особа""
,
VLOOKUP(D4930,IMPORTRANGE(""https://docs.google.com/spreadsheets/d/14Bd19lYaqBhU8_DElYkX7l4wRkHqqCUFNJY4AfY3kHU/edit?usp=sharing  #gid=0"",""фіз особи new!relations_name""),6,FALSE)
,
(IF
(
C4930=""юридична особа""
,
VLOOKUP"&amp;"(D4930,IMPORTRANGE(""https://docs.google.com/spreadsheets/d/14Bd19lYaqBhU8_DElYkX7l4wRkHqqCUFNJY4AfY3kHU/edit?usp=sharing  #gid=0"",""фіз особи new!relations_name_uo""),7,FALSE)
,
)
))"),"ЧІЛІНГАРОВ Артур Миколайович")</f>
        <v>ЧІЛІНГАРОВ Артур Миколайович</v>
      </c>
      <c r="G4929" s="7" t="s">
        <v>10</v>
      </c>
      <c r="H4929" s="7">
        <v>0</v>
      </c>
      <c r="I4929" s="8" t="str">
        <f ca="1">IFERROR(__xludf.DUMMYFUNCTION("IF
(
G4930=""фізична особа""
,
VLOOKUP(H4930,IMPORTRANGE(""https://docs.google.com/spreadsheets/d/14Bd19lYaqBhU8_DElYkX7l4wRkHqqCUFNJY4AfY3kHU/edit?usp=sharing  #gid=0"",""фіз особи new!relations_name""),6,FALSE)
,
(IF
(
G4930=""юридична особа""
,
VLOOKUP"&amp;"(H4930,IMPORTRANGE(""https://docs.google.com/spreadsheets/d/14Bd19lYaqBhU8_DElYkX7l4wRkHqqCUFNJY4AfY3kHU/edit?usp=sharing  #gid=0"",""фіз особи new!relations_name_uo""),7,FALSE)
,
)
))"),"#N/A")</f>
        <v>#N/A</v>
      </c>
      <c r="J4929" s="7" t="s">
        <v>15</v>
      </c>
    </row>
    <row r="4930" spans="1:10" ht="13.2">
      <c r="A4930" s="7">
        <v>4929</v>
      </c>
      <c r="B4930" s="7">
        <v>1</v>
      </c>
      <c r="C4930" s="7" t="s">
        <v>10</v>
      </c>
      <c r="D4930" s="7">
        <v>4053</v>
      </c>
      <c r="E4930" s="7" t="s">
        <v>12</v>
      </c>
      <c r="F4930" s="8" t="str">
        <f ca="1">IFERROR(__xludf.DUMMYFUNCTION("IF
(
C4931=""фізична особа""
,
VLOOKUP(D4931,IMPORTRANGE(""https://docs.google.com/spreadsheets/d/14Bd19lYaqBhU8_DElYkX7l4wRkHqqCUFNJY4AfY3kHU/edit?usp=sharing  #gid=0"",""фіз особи new!relations_name""),6,FALSE)
,
(IF
(
C4931=""юридична особа""
,
VLOOKUP"&amp;"(D4931,IMPORTRANGE(""https://docs.google.com/spreadsheets/d/14Bd19lYaqBhU8_DElYkX7l4wRkHqqCUFNJY4AfY3kHU/edit?usp=sharing  #gid=0"",""фіз особи new!relations_name_uo""),7,FALSE)
,
)
))"),"ЧІЛІНГАРОВ Артур Миколайович")</f>
        <v>ЧІЛІНГАРОВ Артур Миколайович</v>
      </c>
      <c r="G4930" s="7" t="s">
        <v>10</v>
      </c>
      <c r="H4930" s="7">
        <v>0</v>
      </c>
      <c r="I4930" s="8" t="str">
        <f ca="1">IFERROR(__xludf.DUMMYFUNCTION("IF
(
G4931=""фізична особа""
,
VLOOKUP(H4931,IMPORTRANGE(""https://docs.google.com/spreadsheets/d/14Bd19lYaqBhU8_DElYkX7l4wRkHqqCUFNJY4AfY3kHU/edit?usp=sharing  #gid=0"",""фіз особи new!relations_name""),6,FALSE)
,
(IF
(
G4931=""юридична особа""
,
VLOOKUP"&amp;"(H4931,IMPORTRANGE(""https://docs.google.com/spreadsheets/d/14Bd19lYaqBhU8_DElYkX7l4wRkHqqCUFNJY4AfY3kHU/edit?usp=sharing  #gid=0"",""фіз особи new!relations_name_uo""),7,FALSE)
,
)
))"),"#N/A")</f>
        <v>#N/A</v>
      </c>
      <c r="J4930" s="7" t="s">
        <v>17</v>
      </c>
    </row>
    <row r="4931" spans="1:10" ht="13.2">
      <c r="A4931" s="7">
        <v>4930</v>
      </c>
      <c r="B4931" s="7">
        <v>1</v>
      </c>
      <c r="C4931" s="7" t="s">
        <v>10</v>
      </c>
      <c r="D4931" s="7">
        <v>4053</v>
      </c>
      <c r="E4931" s="7" t="s">
        <v>12</v>
      </c>
      <c r="F4931" s="8" t="str">
        <f ca="1">IFERROR(__xludf.DUMMYFUNCTION("IF
(
C4932=""фізична особа""
,
VLOOKUP(D4932,IMPORTRANGE(""https://docs.google.com/spreadsheets/d/14Bd19lYaqBhU8_DElYkX7l4wRkHqqCUFNJY4AfY3kHU/edit?usp=sharing  #gid=0"",""фіз особи new!relations_name""),6,FALSE)
,
(IF
(
C4932=""юридична особа""
,
VLOOKUP"&amp;"(D4932,IMPORTRANGE(""https://docs.google.com/spreadsheets/d/14Bd19lYaqBhU8_DElYkX7l4wRkHqqCUFNJY4AfY3kHU/edit?usp=sharing  #gid=0"",""фіз особи new!relations_name_uo""),7,FALSE)
,
)
))"),"ЧІЛІНГАРОВ Артур Миколайович")</f>
        <v>ЧІЛІНГАРОВ Артур Миколайович</v>
      </c>
      <c r="G4931" s="7" t="s">
        <v>10</v>
      </c>
      <c r="H4931" s="7">
        <v>0</v>
      </c>
      <c r="I4931" s="8" t="str">
        <f ca="1">IFERROR(__xludf.DUMMYFUNCTION("IF
(
G4932=""фізична особа""
,
VLOOKUP(H4932,IMPORTRANGE(""https://docs.google.com/spreadsheets/d/14Bd19lYaqBhU8_DElYkX7l4wRkHqqCUFNJY4AfY3kHU/edit?usp=sharing  #gid=0"",""фіз особи new!relations_name""),6,FALSE)
,
(IF
(
G4932=""юридична особа""
,
VLOOKUP"&amp;"(H4932,IMPORTRANGE(""https://docs.google.com/spreadsheets/d/14Bd19lYaqBhU8_DElYkX7l4wRkHqqCUFNJY4AfY3kHU/edit?usp=sharing  #gid=0"",""фіз особи new!relations_name_uo""),7,FALSE)
,
)
))"),"#N/A")</f>
        <v>#N/A</v>
      </c>
      <c r="J4931" s="7" t="s">
        <v>13</v>
      </c>
    </row>
    <row r="4932" spans="1:10" ht="13.2">
      <c r="A4932" s="7">
        <v>4931</v>
      </c>
      <c r="B4932" s="7">
        <v>1</v>
      </c>
      <c r="C4932" s="7" t="s">
        <v>10</v>
      </c>
      <c r="D4932" s="7">
        <v>4054</v>
      </c>
      <c r="E4932" s="7" t="s">
        <v>21</v>
      </c>
      <c r="F4932" s="8" t="str">
        <f ca="1">IFERROR(__xludf.DUMMYFUNCTION("IF
(
C4933=""фізична особа""
,
VLOOKUP(D4933,IMPORTRANGE(""https://docs.google.com/spreadsheets/d/14Bd19lYaqBhU8_DElYkX7l4wRkHqqCUFNJY4AfY3kHU/edit?usp=sharing  #gid=0"",""фіз особи new!relations_name""),6,FALSE)
,
(IF
(
C4933=""юридична особа""
,
VLOOKUP"&amp;"(D4933,IMPORTRANGE(""https://docs.google.com/spreadsheets/d/14Bd19lYaqBhU8_DElYkX7l4wRkHqqCUFNJY4AfY3kHU/edit?usp=sharing  #gid=0"",""фіз особи new!relations_name_uo""),7,FALSE)
,
)
))"),"ДРАПЕКО Олена Григорівна")</f>
        <v>ДРАПЕКО Олена Григорівна</v>
      </c>
      <c r="G4932" s="7" t="s">
        <v>10</v>
      </c>
      <c r="H4932" s="7">
        <v>0</v>
      </c>
      <c r="I4932" s="8" t="str">
        <f ca="1">IFERROR(__xludf.DUMMYFUNCTION("IF
(
G4933=""фізична особа""
,
VLOOKUP(H4933,IMPORTRANGE(""https://docs.google.com/spreadsheets/d/14Bd19lYaqBhU8_DElYkX7l4wRkHqqCUFNJY4AfY3kHU/edit?usp=sharing  #gid=0"",""фіз особи new!relations_name""),6,FALSE)
,
(IF
(
G4933=""юридична особа""
,
VLOOKUP"&amp;"(H4933,IMPORTRANGE(""https://docs.google.com/spreadsheets/d/14Bd19lYaqBhU8_DElYkX7l4wRkHqqCUFNJY4AfY3kHU/edit?usp=sharing  #gid=0"",""фіз особи new!relations_name_uo""),7,FALSE)
,
)
))"),"#N/A")</f>
        <v>#N/A</v>
      </c>
      <c r="J4932" s="7" t="s">
        <v>13</v>
      </c>
    </row>
    <row r="4933" spans="1:10" ht="13.2">
      <c r="A4933" s="7">
        <v>4932</v>
      </c>
      <c r="B4933" s="7">
        <v>1</v>
      </c>
      <c r="C4933" s="7" t="s">
        <v>10</v>
      </c>
      <c r="D4933" s="7">
        <v>4055</v>
      </c>
      <c r="E4933" s="7" t="s">
        <v>14</v>
      </c>
      <c r="F4933" s="8" t="str">
        <f ca="1">IFERROR(__xludf.DUMMYFUNCTION("IF
(
C4934=""фізична особа""
,
VLOOKUP(D4934,IMPORTRANGE(""https://docs.google.com/spreadsheets/d/14Bd19lYaqBhU8_DElYkX7l4wRkHqqCUFNJY4AfY3kHU/edit?usp=sharing  #gid=0"",""фіз особи new!relations_name""),6,FALSE)
,
(IF
(
C4934=""юридична особа""
,
VLOOKUP"&amp;"(D4934,IMPORTRANGE(""https://docs.google.com/spreadsheets/d/14Bd19lYaqBhU8_DElYkX7l4wRkHqqCUFNJY4AfY3kHU/edit?usp=sharing  #gid=0"",""фіз особи new!relations_name_uo""),7,FALSE)
,
)
))"),"ЗАВАЛЬНИЙ Павло Миколайович")</f>
        <v>ЗАВАЛЬНИЙ Павло Миколайович</v>
      </c>
      <c r="G4933" s="7" t="s">
        <v>10</v>
      </c>
      <c r="H4933" s="7">
        <v>0</v>
      </c>
      <c r="I4933" s="8" t="str">
        <f ca="1">IFERROR(__xludf.DUMMYFUNCTION("IF
(
G4934=""фізична особа""
,
VLOOKUP(H4934,IMPORTRANGE(""https://docs.google.com/spreadsheets/d/14Bd19lYaqBhU8_DElYkX7l4wRkHqqCUFNJY4AfY3kHU/edit?usp=sharing  #gid=0"",""фіз особи new!relations_name""),6,FALSE)
,
(IF
(
G4934=""юридична особа""
,
VLOOKUP"&amp;"(H4934,IMPORTRANGE(""https://docs.google.com/spreadsheets/d/14Bd19lYaqBhU8_DElYkX7l4wRkHqqCUFNJY4AfY3kHU/edit?usp=sharing  #gid=0"",""фіз особи new!relations_name_uo""),7,FALSE)
,
)
))"),"#N/A")</f>
        <v>#N/A</v>
      </c>
      <c r="J4933" s="7" t="s">
        <v>15</v>
      </c>
    </row>
    <row r="4934" spans="1:10" ht="13.2">
      <c r="A4934" s="7">
        <v>4933</v>
      </c>
      <c r="B4934" s="7">
        <v>1</v>
      </c>
      <c r="C4934" s="7" t="s">
        <v>10</v>
      </c>
      <c r="D4934" s="7">
        <v>4055</v>
      </c>
      <c r="E4934" s="7" t="s">
        <v>12</v>
      </c>
      <c r="F4934" s="8" t="str">
        <f ca="1">IFERROR(__xludf.DUMMYFUNCTION("IF
(
C4935=""фізична особа""
,
VLOOKUP(D4935,IMPORTRANGE(""https://docs.google.com/spreadsheets/d/14Bd19lYaqBhU8_DElYkX7l4wRkHqqCUFNJY4AfY3kHU/edit?usp=sharing  #gid=0"",""фіз особи new!relations_name""),6,FALSE)
,
(IF
(
C4935=""юридична особа""
,
VLOOKUP"&amp;"(D4935,IMPORTRANGE(""https://docs.google.com/spreadsheets/d/14Bd19lYaqBhU8_DElYkX7l4wRkHqqCUFNJY4AfY3kHU/edit?usp=sharing  #gid=0"",""фіз особи new!relations_name_uo""),7,FALSE)
,
)
))"),"ЗАВАЛЬНИЙ Павло Миколайович")</f>
        <v>ЗАВАЛЬНИЙ Павло Миколайович</v>
      </c>
      <c r="G4934" s="7" t="s">
        <v>10</v>
      </c>
      <c r="H4934" s="7">
        <v>0</v>
      </c>
      <c r="I4934" s="8" t="str">
        <f ca="1">IFERROR(__xludf.DUMMYFUNCTION("IF
(
G4935=""фізична особа""
,
VLOOKUP(H4935,IMPORTRANGE(""https://docs.google.com/spreadsheets/d/14Bd19lYaqBhU8_DElYkX7l4wRkHqqCUFNJY4AfY3kHU/edit?usp=sharing  #gid=0"",""фіз особи new!relations_name""),6,FALSE)
,
(IF
(
G4935=""юридична особа""
,
VLOOKUP"&amp;"(H4935,IMPORTRANGE(""https://docs.google.com/spreadsheets/d/14Bd19lYaqBhU8_DElYkX7l4wRkHqqCUFNJY4AfY3kHU/edit?usp=sharing  #gid=0"",""фіз особи new!relations_name_uo""),7,FALSE)
,
)
))"),"#N/A")</f>
        <v>#N/A</v>
      </c>
      <c r="J4934" s="7" t="s">
        <v>13</v>
      </c>
    </row>
    <row r="4935" spans="1:10" ht="13.2">
      <c r="A4935" s="7">
        <v>4934</v>
      </c>
      <c r="B4935" s="7">
        <v>1</v>
      </c>
      <c r="C4935" s="7" t="s">
        <v>10</v>
      </c>
      <c r="D4935" s="7">
        <v>4057</v>
      </c>
      <c r="E4935" s="7" t="s">
        <v>26</v>
      </c>
      <c r="F4935" s="8" t="str">
        <f ca="1">IFERROR(__xludf.DUMMYFUNCTION("IF
(
C4936=""фізична особа""
,
VLOOKUP(D4936,IMPORTRANGE(""https://docs.google.com/spreadsheets/d/14Bd19lYaqBhU8_DElYkX7l4wRkHqqCUFNJY4AfY3kHU/edit?usp=sharing  #gid=0"",""фіз особи new!relations_name""),6,FALSE)
,
(IF
(
C4936=""юридична особа""
,
VLOOKUP"&amp;"(D4936,IMPORTRANGE(""https://docs.google.com/spreadsheets/d/14Bd19lYaqBhU8_DElYkX7l4wRkHqqCUFNJY4AfY3kHU/edit?usp=sharing  #gid=0"",""фіз особи new!relations_name_uo""),7,FALSE)
,
)
))"),"ФААСЕН Йоррит Йост")</f>
        <v>ФААСЕН Йоррит Йост</v>
      </c>
      <c r="G4935" s="7" t="s">
        <v>10</v>
      </c>
      <c r="H4935" s="7">
        <v>880</v>
      </c>
      <c r="I4935" s="8" t="str">
        <f ca="1">IFERROR(__xludf.DUMMYFUNCTION("IF
(
G4936=""фізична особа""
,
VLOOKUP(H4936,IMPORTRANGE(""https://docs.google.com/spreadsheets/d/14Bd19lYaqBhU8_DElYkX7l4wRkHqqCUFNJY4AfY3kHU/edit?usp=sharing  #gid=0"",""фіз особи new!relations_name""),6,FALSE)
,
(IF
(
G4936=""юридична особа""
,
VLOOKUP"&amp;"(H4936,IMPORTRANGE(""https://docs.google.com/spreadsheets/d/14Bd19lYaqBhU8_DElYkX7l4wRkHqqCUFNJY4AfY3kHU/edit?usp=sharing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935" s="7" t="s">
        <v>24</v>
      </c>
    </row>
    <row r="4936" spans="1:10" ht="13.2">
      <c r="A4936" s="7">
        <v>4935</v>
      </c>
      <c r="B4936" s="7">
        <v>1</v>
      </c>
      <c r="C4936" s="7" t="s">
        <v>10</v>
      </c>
      <c r="D4936" s="7">
        <v>4058</v>
      </c>
      <c r="E4936" s="7" t="s">
        <v>72</v>
      </c>
      <c r="F4936" s="8" t="str">
        <f ca="1">IFERROR(__xludf.DUMMYFUNCTION("IF
(
C4937=""фізична особа""
,
VLOOKUP(D4937,IMPORTRANGE(""https://docs.google.com/spreadsheets/d/14Bd19lYaqBhU8_DElYkX7l4wRkHqqCUFNJY4AfY3kHU/edit?usp=sharing  #gid=0"",""фіз особи new!relations_name""),6,FALSE)
,
(IF
(
C4937=""юридична особа""
,
VLOOKUP"&amp;"(D4937,IMPORTRANGE(""https://docs.google.com/spreadsheets/d/14Bd19lYaqBhU8_DElYkX7l4wRkHqqCUFNJY4AfY3kHU/edit?usp=sharing  #gid=0"",""фіз особи new!relations_name_uo""),7,FALSE)
,
)
))"),"ПУТІНА / ПІДГУЗОВА Віра Олександрівна")</f>
        <v>ПУТІНА / ПІДГУЗОВА Віра Олександрівна</v>
      </c>
      <c r="G4936" s="7" t="s">
        <v>10</v>
      </c>
      <c r="H4936" s="7">
        <v>880</v>
      </c>
      <c r="I4936" s="8" t="str">
        <f ca="1">IFERROR(__xludf.DUMMYFUNCTION("IF
(
G4937=""фізична особа""
,
VLOOKUP(H4937,IMPORTRANGE(""https://docs.google.com/spreadsheets/d/14Bd19lYaqBhU8_DElYkX7l4wRkHqqCUFNJY4AfY3kHU/edit?usp=sharing  #gid=0"",""фіз особи new!relations_name""),6,FALSE)
,
(IF
(
G4937=""юридична особа""
,
VLOOKUP"&amp;"(H4937,IMPORTRANGE(""https://docs.google.com/spreadsheets/d/14Bd19lYaqBhU8_DElYkX7l4wRkHqqCUFNJY4AfY3kHU/edit?usp=sharing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4936" s="7" t="s">
        <v>71</v>
      </c>
    </row>
    <row r="4937" spans="1:10" ht="13.2">
      <c r="A4937" s="7">
        <v>4936</v>
      </c>
      <c r="B4937" s="7">
        <v>1</v>
      </c>
      <c r="C4937" s="7" t="s">
        <v>10</v>
      </c>
      <c r="D4937" s="7">
        <v>4058</v>
      </c>
      <c r="E4937" s="7" t="s">
        <v>22</v>
      </c>
      <c r="F4937" s="8" t="str">
        <f ca="1">IFERROR(__xludf.DUMMYFUNCTION("IF
(
C4938=""фізична особа""
,
VLOOKUP(D4938,IMPORTRANGE(""https://docs.google.com/spreadsheets/d/14Bd19lYaqBhU8_DElYkX7l4wRkHqqCUFNJY4AfY3kHU/edit?usp=sharing  #gid=0"",""фіз особи new!relations_name""),6,FALSE)
,
(IF
(
C4938=""юридична особа""
,
VLOOKUP"&amp;"(D4938,IMPORTRANGE(""https://docs.google.com/spreadsheets/d/14Bd19lYaqBhU8_DElYkX7l4wRkHqqCUFNJY4AfY3kHU/edit?usp=sharing  #gid=0"",""фіз особи new!relations_name_uo""),7,FALSE)
,
)
))"),"ПУТІНА / ПІДГУЗОВА Віра Олександрівна")</f>
        <v>ПУТІНА / ПІДГУЗОВА Віра Олександрівна</v>
      </c>
      <c r="G4937" s="7" t="s">
        <v>10</v>
      </c>
      <c r="H4937" s="7">
        <v>2282</v>
      </c>
      <c r="I4937" s="8" t="str">
        <f ca="1">IFERROR(__xludf.DUMMYFUNCTION("IF
(
G4938=""фізична особа""
,
VLOOKUP(H4938,IMPORTRANGE(""https://docs.google.com/spreadsheets/d/14Bd19lYaqBhU8_DElYkX7l4wRkHqqCUFNJY4AfY3kHU/edit?usp=sharing  #gid=0"",""фіз особи new!relations_name""),6,FALSE)
,
(IF
(
G4938=""юридична особа""
,
VLOOKUP"&amp;"(H4938,IMPORTRANGE(""https://docs.google.com/spreadsheets/d/14Bd19lYaqBhU8_DElYkX7l4wRkHqqCUFNJY4AfY3kHU/edit?usp=sharing  #gid=0"",""фіз особи new!relations_name_uo""),7,FALSE)
,
)
))"),"ПУТІН Ігор Олександрович")</f>
        <v>ПУТІН Ігор Олександрович</v>
      </c>
      <c r="J4937" s="7" t="s">
        <v>19</v>
      </c>
    </row>
    <row r="4938" spans="1:10" ht="13.2">
      <c r="A4938" s="7">
        <v>4937</v>
      </c>
      <c r="B4938" s="7">
        <v>1</v>
      </c>
      <c r="C4938" s="7" t="s">
        <v>10</v>
      </c>
      <c r="D4938" s="7">
        <v>4060</v>
      </c>
      <c r="E4938" s="7" t="s">
        <v>15</v>
      </c>
      <c r="F4938" s="8" t="str">
        <f ca="1">IFERROR(__xludf.DUMMYFUNCTION("IF
(
C4939=""фізична особа""
,
VLOOKUP(D4939,IMPORTRANGE(""https://docs.google.com/spreadsheets/d/14Bd19lYaqBhU8_DElYkX7l4wRkHqqCUFNJY4AfY3kHU/edit?usp=sharing  #gid=0"",""фіз особи new!relations_name""),6,FALSE)
,
(IF
(
C4939=""юридична особа""
,
VLOOKUP"&amp;"(D4939,IMPORTRANGE(""https://docs.google.com/spreadsheets/d/14Bd19lYaqBhU8_DElYkX7l4wRkHqqCUFNJY4AfY3kHU/edit?usp=sharing  #gid=0"",""фіз особи new!relations_name_uo""),7,FALSE)
,
)
))"),"СЛУЦЬКА Ірина Едуардівна")</f>
        <v>СЛУЦЬКА Ірина Едуардівна</v>
      </c>
      <c r="G4938" s="7" t="s">
        <v>10</v>
      </c>
      <c r="H4938" s="7">
        <v>3</v>
      </c>
      <c r="I4938" s="8" t="str">
        <f ca="1">IFERROR(__xludf.DUMMYFUNCTION("IF
(
G4939=""фізична особа""
,
VLOOKUP(H4939,IMPORTRANGE(""https://docs.google.com/spreadsheets/d/14Bd19lYaqBhU8_DElYkX7l4wRkHqqCUFNJY4AfY3kHU/edit?usp=sharing  #gid=0"",""фіз особи new!relations_name""),6,FALSE)
,
(IF
(
G4939=""юридична особа""
,
VLOOKUP"&amp;"(H4939,IMPORTRANGE(""https://docs.google.com/spreadsheets/d/14Bd19lYaqBhU8_DElYkX7l4wRkHqqCUFNJY4AfY3kHU/edit?usp=sharing  #gid=0"",""фіз особи new!relations_name_uo""),7,FALSE)
,
)
))"),"ГОВИРІН Олексій Борисович")</f>
        <v>ГОВИРІН Олексій Борисович</v>
      </c>
      <c r="J4938" s="7" t="s">
        <v>14</v>
      </c>
    </row>
    <row r="4939" spans="1:10" ht="13.2">
      <c r="A4939" s="7">
        <v>4938</v>
      </c>
      <c r="B4939" s="7">
        <v>1</v>
      </c>
      <c r="C4939" s="7" t="s">
        <v>10</v>
      </c>
      <c r="D4939" s="7">
        <v>4061</v>
      </c>
      <c r="E4939" s="7" t="s">
        <v>17</v>
      </c>
      <c r="F4939" s="8" t="str">
        <f ca="1">IFERROR(__xludf.DUMMYFUNCTION("IF
(
C4940=""фізична особа""
,
VLOOKUP(D4940,IMPORTRANGE(""https://docs.google.com/spreadsheets/d/14Bd19lYaqBhU8_DElYkX7l4wRkHqqCUFNJY4AfY3kHU/edit?usp=sharing  #gid=0"",""фіз особи new!relations_name""),6,FALSE)
,
(IF
(
C4940=""юридична особа""
,
VLOOKUP"&amp;"(D4940,IMPORTRANGE(""https://docs.google.com/spreadsheets/d/14Bd19lYaqBhU8_DElYkX7l4wRkHqqCUFNJY4AfY3kHU/edit?usp=sharing  #gid=0"",""фіз особи new!relations_name_uo""),7,FALSE)
,
)
))"),"ВЕЛЛЕР Михайло Олексійович")</f>
        <v>ВЕЛЛЕР Михайло Олексійович</v>
      </c>
      <c r="G4939" s="7" t="s">
        <v>10</v>
      </c>
      <c r="H4939" s="7">
        <v>5</v>
      </c>
      <c r="I4939" s="8" t="str">
        <f ca="1">IFERROR(__xludf.DUMMYFUNCTION("IF
(
G4940=""фізична особа""
,
VLOOKUP(H4940,IMPORTRANGE(""https://docs.google.com/spreadsheets/d/14Bd19lYaqBhU8_DElYkX7l4wRkHqqCUFNJY4AfY3kHU/edit?usp=sharing  #gid=0"",""фіз особи new!relations_name""),6,FALSE)
,
(IF
(
G4940=""юридична особа""
,
VLOOKUP"&amp;"(H4940,IMPORTRANGE(""https://docs.google.com/spreadsheets/d/14Bd19lYaqBhU8_DElYkX7l4wRkHqqCUFNJY4AfY3kHU/edit?usp=sharing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J4939" s="7" t="s">
        <v>12</v>
      </c>
    </row>
    <row r="4940" spans="1:10" ht="13.2">
      <c r="A4940" s="7">
        <v>4939</v>
      </c>
      <c r="B4940" s="7">
        <v>1</v>
      </c>
      <c r="C4940" s="7" t="s">
        <v>10</v>
      </c>
      <c r="D4940" s="7">
        <v>4062</v>
      </c>
      <c r="E4940" s="7" t="s">
        <v>18</v>
      </c>
      <c r="F4940" s="8" t="str">
        <f ca="1">IFERROR(__xludf.DUMMYFUNCTION("IF
(
C4941=""фізична особа""
,
VLOOKUP(D4941,IMPORTRANGE(""https://docs.google.com/spreadsheets/d/14Bd19lYaqBhU8_DElYkX7l4wRkHqqCUFNJY4AfY3kHU/edit?usp=sharing  #gid=0"",""фіз особи new!relations_name""),6,FALSE)
,
(IF
(
C4941=""юридична особа""
,
VLOOKUP"&amp;"(D4941,IMPORTRANGE(""https://docs.google.com/spreadsheets/d/14Bd19lYaqBhU8_DElYkX7l4wRkHqqCUFNJY4AfY3kHU/edit?usp=sharing  #gid=0"",""фіз особи new!relations_name_uo""),7,FALSE)
,
)
))"),"ВЕЛЛЕР Сергій Борисович")</f>
        <v>ВЕЛЛЕР Сергій Борисович</v>
      </c>
      <c r="G4940" s="7" t="s">
        <v>10</v>
      </c>
      <c r="H4940" s="7">
        <v>5</v>
      </c>
      <c r="I4940" s="8" t="str">
        <f ca="1">IFERROR(__xludf.DUMMYFUNCTION("IF
(
G4941=""фізична особа""
,
VLOOKUP(H4941,IMPORTRANGE(""https://docs.google.com/spreadsheets/d/14Bd19lYaqBhU8_DElYkX7l4wRkHqqCUFNJY4AfY3kHU/edit?usp=sharing  #gid=0"",""фіз особи new!relations_name""),6,FALSE)
,
(IF
(
G4941=""юридична особа""
,
VLOOKUP"&amp;"(H4941,IMPORTRANGE(""https://docs.google.com/spreadsheets/d/14Bd19lYaqBhU8_DElYkX7l4wRkHqqCUFNJY4AfY3kHU/edit?usp=sharing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J4940" s="7" t="s">
        <v>18</v>
      </c>
    </row>
    <row r="4941" spans="1:10" ht="13.2">
      <c r="A4941" s="7">
        <v>4940</v>
      </c>
      <c r="B4941" s="7">
        <v>1</v>
      </c>
      <c r="C4941" s="7" t="s">
        <v>10</v>
      </c>
      <c r="D4941" s="7">
        <v>4063</v>
      </c>
      <c r="E4941" s="7" t="s">
        <v>20</v>
      </c>
      <c r="F4941" s="8" t="str">
        <f ca="1">IFERROR(__xludf.DUMMYFUNCTION("IF
(
C4942=""фізична особа""
,
VLOOKUP(D4942,IMPORTRANGE(""https://docs.google.com/spreadsheets/d/14Bd19lYaqBhU8_DElYkX7l4wRkHqqCUFNJY4AfY3kHU/edit?usp=sharing  #gid=0"",""фіз особи new!relations_name""),6,FALSE)
,
(IF
(
C4942=""юридична особа""
,
VLOOKUP"&amp;"(D4942,IMPORTRANGE(""https://docs.google.com/spreadsheets/d/14Bd19lYaqBhU8_DElYkX7l4wRkHqqCUFNJY4AfY3kHU/edit?usp=sharing  #gid=0"",""фіз особи new!relations_name_uo""),7,FALSE)
,
)
))"),"ВЕЛЛЕР Андрій Сергійович")</f>
        <v>ВЕЛЛЕР Андрій Сергійович</v>
      </c>
      <c r="G4941" s="7" t="s">
        <v>10</v>
      </c>
      <c r="H4941" s="7">
        <v>5</v>
      </c>
      <c r="I4941" s="8" t="str">
        <f ca="1">IFERROR(__xludf.DUMMYFUNCTION("IF
(
G4942=""фізична особа""
,
VLOOKUP(H4942,IMPORTRANGE(""https://docs.google.com/spreadsheets/d/14Bd19lYaqBhU8_DElYkX7l4wRkHqqCUFNJY4AfY3kHU/edit?usp=sharing  #gid=0"",""фіз особи new!relations_name""),6,FALSE)
,
(IF
(
G4942=""юридична особа""
,
VLOOKUP"&amp;"(H4942,IMPORTRANGE(""https://docs.google.com/spreadsheets/d/14Bd19lYaqBhU8_DElYkX7l4wRkHqqCUFNJY4AfY3kHU/edit?usp=sharing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J4941" s="7" t="s">
        <v>19</v>
      </c>
    </row>
    <row r="4942" spans="1:10" ht="13.2">
      <c r="A4942" s="7">
        <v>4941</v>
      </c>
      <c r="B4942" s="7">
        <v>1</v>
      </c>
      <c r="C4942" s="7" t="s">
        <v>10</v>
      </c>
      <c r="D4942" s="7">
        <v>4064</v>
      </c>
      <c r="E4942" s="7" t="s">
        <v>20</v>
      </c>
      <c r="F4942" s="8" t="str">
        <f ca="1">IFERROR(__xludf.DUMMYFUNCTION("IF
(
C4943=""фізична особа""
,
VLOOKUP(D4943,IMPORTRANGE(""https://docs.google.com/spreadsheets/d/14Bd19lYaqBhU8_DElYkX7l4wRkHqqCUFNJY4AfY3kHU/edit?usp=sharing  #gid=0"",""фіз особи new!relations_name""),6,FALSE)
,
(IF
(
C4943=""юридична особа""
,
VLOOKUP"&amp;"(D4943,IMPORTRANGE(""https://docs.google.com/spreadsheets/d/14Bd19lYaqBhU8_DElYkX7l4wRkHqqCUFNJY4AfY3kHU/edit?usp=sharing  #gid=0"",""фіз особи new!relations_name_uo""),7,FALSE)
,
)
))"),"ВЕЛЛЕР Кирило Сергійович")</f>
        <v>ВЕЛЛЕР Кирило Сергійович</v>
      </c>
      <c r="G4942" s="7" t="s">
        <v>10</v>
      </c>
      <c r="H4942" s="7">
        <v>5</v>
      </c>
      <c r="I4942" s="8" t="str">
        <f ca="1">IFERROR(__xludf.DUMMYFUNCTION("IF
(
G4943=""фізична особа""
,
VLOOKUP(H4943,IMPORTRANGE(""https://docs.google.com/spreadsheets/d/14Bd19lYaqBhU8_DElYkX7l4wRkHqqCUFNJY4AfY3kHU/edit?usp=sharing  #gid=0"",""фіз особи new!relations_name""),6,FALSE)
,
(IF
(
G4943=""юридична особа""
,
VLOOKUP"&amp;"(H4943,IMPORTRANGE(""https://docs.google.com/spreadsheets/d/14Bd19lYaqBhU8_DElYkX7l4wRkHqqCUFNJY4AfY3kHU/edit?usp=sharing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J4942" s="7" t="s">
        <v>19</v>
      </c>
    </row>
    <row r="4943" spans="1:10" ht="13.2">
      <c r="A4943" s="7">
        <v>4942</v>
      </c>
      <c r="B4943" s="7">
        <v>1</v>
      </c>
      <c r="C4943" s="7" t="s">
        <v>10</v>
      </c>
      <c r="D4943" s="7">
        <v>4065</v>
      </c>
      <c r="E4943" s="7" t="s">
        <v>105</v>
      </c>
      <c r="F4943" s="8" t="str">
        <f ca="1">IFERROR(__xludf.DUMMYFUNCTION("IF
(
C4944=""фізична особа""
,
VLOOKUP(D4944,IMPORTRANGE(""https://docs.google.com/spreadsheets/d/14Bd19lYaqBhU8_DElYkX7l4wRkHqqCUFNJY4AfY3kHU/edit?usp=sharing  #gid=0"",""фіз особи new!relations_name""),6,FALSE)
,
(IF
(
C4944=""юридична особа""
,
VLOOKUP"&amp;"(D4944,IMPORTRANGE(""https://docs.google.com/spreadsheets/d/14Bd19lYaqBhU8_DElYkX7l4wRkHqqCUFNJY4AfY3kHU/edit?usp=sharing  #gid=0"",""фіз особи new!relations_name_uo""),7,FALSE)
,
)
))"),"ВЕЛЛЕР Марина Миколаївна")</f>
        <v>ВЕЛЛЕР Марина Миколаївна</v>
      </c>
      <c r="G4943" s="7" t="s">
        <v>10</v>
      </c>
      <c r="H4943" s="7">
        <v>5</v>
      </c>
      <c r="I4943" s="8" t="str">
        <f ca="1">IFERROR(__xludf.DUMMYFUNCTION("IF
(
G4944=""фізична особа""
,
VLOOKUP(H4944,IMPORTRANGE(""https://docs.google.com/spreadsheets/d/14Bd19lYaqBhU8_DElYkX7l4wRkHqqCUFNJY4AfY3kHU/edit?usp=sharing  #gid=0"",""фіз особи new!relations_name""),6,FALSE)
,
(IF
(
G4944=""юридична особа""
,
VLOOKUP"&amp;"(H4944,IMPORTRANGE(""https://docs.google.com/spreadsheets/d/14Bd19lYaqBhU8_DElYkX7l4wRkHqqCUFNJY4AfY3kHU/edit?usp=sharing  #gid=0"",""фіз особи new!relations_name_uo""),7,FALSE)
,
)
))"),"ВЄЛЛЄР Олексій Борисович")</f>
        <v>ВЄЛЛЄР Олексій Борисович</v>
      </c>
      <c r="J4943" s="7" t="s">
        <v>14</v>
      </c>
    </row>
    <row r="4944" spans="1:10" ht="13.2">
      <c r="A4944" s="7">
        <v>4943</v>
      </c>
      <c r="B4944" s="7">
        <v>1</v>
      </c>
      <c r="C4944" s="7" t="s">
        <v>10</v>
      </c>
      <c r="D4944" s="7">
        <v>4066</v>
      </c>
      <c r="E4944" s="7" t="s">
        <v>15</v>
      </c>
      <c r="F4944" s="8" t="str">
        <f ca="1">IFERROR(__xludf.DUMMYFUNCTION("IF
(
C4945=""фізична особа""
,
VLOOKUP(D4945,IMPORTRANGE(""https://docs.google.com/spreadsheets/d/14Bd19lYaqBhU8_DElYkX7l4wRkHqqCUFNJY4AfY3kHU/edit?usp=sharing  #gid=0"",""фіз особи new!relations_name""),6,FALSE)
,
(IF
(
C4945=""юридична особа""
,
VLOOKUP"&amp;"(D4945,IMPORTRANGE(""https://docs.google.com/spreadsheets/d/14Bd19lYaqBhU8_DElYkX7l4wRkHqqCUFNJY4AfY3kHU/edit?usp=sharing  #gid=0"",""фіз особи new!relations_name_uo""),7,FALSE)
,
)
))"),"НЕЧАЄВА Олена")</f>
        <v>НЕЧАЄВА Олена</v>
      </c>
      <c r="G4944" s="7" t="s">
        <v>10</v>
      </c>
      <c r="H4944" s="7">
        <v>7</v>
      </c>
      <c r="I4944" s="8" t="str">
        <f ca="1">IFERROR(__xludf.DUMMYFUNCTION("IF
(
G4945=""фізична особа""
,
VLOOKUP(H4945,IMPORTRANGE(""https://docs.google.com/spreadsheets/d/14Bd19lYaqBhU8_DElYkX7l4wRkHqqCUFNJY4AfY3kHU/edit?usp=sharing  #gid=0"",""фіз особи new!relations_name""),6,FALSE)
,
(IF
(
G4945=""юридична особа""
,
VLOOKUP"&amp;"(H4945,IMPORTRANGE(""https://docs.google.com/spreadsheets/d/14Bd19lYaqBhU8_DElYkX7l4wRkHqqCUFNJY4AfY3kHU/edit?usp=sharing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4944" s="7" t="s">
        <v>14</v>
      </c>
    </row>
    <row r="4945" spans="1:10" ht="13.2">
      <c r="A4945" s="7">
        <v>4944</v>
      </c>
      <c r="B4945" s="7">
        <v>1</v>
      </c>
      <c r="C4945" s="7" t="s">
        <v>10</v>
      </c>
      <c r="D4945" s="7">
        <v>4067</v>
      </c>
      <c r="E4945" s="7" t="s">
        <v>21</v>
      </c>
      <c r="F4945" s="8" t="str">
        <f ca="1">IFERROR(__xludf.DUMMYFUNCTION("IF
(
C4946=""фізична особа""
,
VLOOKUP(D4946,IMPORTRANGE(""https://docs.google.com/spreadsheets/d/14Bd19lYaqBhU8_DElYkX7l4wRkHqqCUFNJY4AfY3kHU/edit?usp=sharing  #gid=0"",""фіз особи new!relations_name""),6,FALSE)
,
(IF
(
C4946=""юридична особа""
,
VLOOKUP"&amp;"(D4946,IMPORTRANGE(""https://docs.google.com/spreadsheets/d/14Bd19lYaqBhU8_DElYkX7l4wRkHqqCUFNJY4AfY3kHU/edit?usp=sharing  #gid=0"",""фіз особи new!relations_name_uo""),7,FALSE)
,
)
))"),"БІНАТ Олена Василівна")</f>
        <v>БІНАТ Олена Василівна</v>
      </c>
      <c r="G4945" s="7" t="s">
        <v>10</v>
      </c>
      <c r="H4945" s="7">
        <v>7</v>
      </c>
      <c r="I4945" s="8" t="str">
        <f ca="1">IFERROR(__xludf.DUMMYFUNCTION("IF
(
G4946=""фізична особа""
,
VLOOKUP(H4946,IMPORTRANGE(""https://docs.google.com/spreadsheets/d/14Bd19lYaqBhU8_DElYkX7l4wRkHqqCUFNJY4AfY3kHU/edit?usp=sharing  #gid=0"",""фіз особи new!relations_name""),6,FALSE)
,
(IF
(
G4946=""юридична особа""
,
VLOOKUP"&amp;"(H4946,IMPORTRANGE(""https://docs.google.com/spreadsheets/d/14Bd19lYaqBhU8_DElYkX7l4wRkHqqCUFNJY4AfY3kHU/edit?usp=sharing  #gid=0"",""фіз особи new!relations_name_uo""),7,FALSE)
,
)
))"),"НЕЧАЄВ Олексій Геннадійович")</f>
        <v>НЕЧАЄВ Олексій Геннадійович</v>
      </c>
      <c r="J4945" s="7" t="s">
        <v>17</v>
      </c>
    </row>
    <row r="4946" spans="1:10" ht="13.2">
      <c r="A4946" s="7">
        <v>4945</v>
      </c>
      <c r="B4946" s="7">
        <v>1</v>
      </c>
      <c r="C4946" s="7" t="s">
        <v>10</v>
      </c>
      <c r="D4946" s="7">
        <v>4068</v>
      </c>
      <c r="E4946" s="7" t="s">
        <v>13</v>
      </c>
      <c r="F4946" s="8" t="str">
        <f ca="1">IFERROR(__xludf.DUMMYFUNCTION("IF
(
C4947=""фізична особа""
,
VLOOKUP(D4947,IMPORTRANGE(""https://docs.google.com/spreadsheets/d/14Bd19lYaqBhU8_DElYkX7l4wRkHqqCUFNJY4AfY3kHU/edit?usp=sharing  #gid=0"",""фіз особи new!relations_name""),6,FALSE)
,
(IF
(
C4947=""юридична особа""
,
VLOOKUP"&amp;"(D4947,IMPORTRANGE(""https://docs.google.com/spreadsheets/d/14Bd19lYaqBhU8_DElYkX7l4wRkHqqCUFNJY4AfY3kHU/edit?usp=sharing  #gid=0"",""фіз особи new!relations_name_uo""),7,FALSE)
,
)
))"),"КРАТТЛІ Анастасія Олексіївна")</f>
        <v>КРАТТЛІ Анастасія Олексіївна</v>
      </c>
      <c r="G4946" s="7" t="s">
        <v>10</v>
      </c>
      <c r="H4946" s="7">
        <v>8</v>
      </c>
      <c r="I4946" s="8" t="str">
        <f ca="1">IFERROR(__xludf.DUMMYFUNCTION("IF
(
G4947=""фізична особа""
,
VLOOKUP(H4947,IMPORTRANGE(""https://docs.google.com/spreadsheets/d/14Bd19lYaqBhU8_DElYkX7l4wRkHqqCUFNJY4AfY3kHU/edit?usp=sharing  #gid=0"",""фіз особи new!relations_name""),6,FALSE)
,
(IF
(
G4947=""юридична особа""
,
VLOOKUP"&amp;"(H4947,IMPORTRANGE(""https://docs.google.com/spreadsheets/d/14Bd19lYaqBhU8_DElYkX7l4wRkHqqCUFNJY4AfY3kHU/edit?usp=sharing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J4946" s="7" t="s">
        <v>12</v>
      </c>
    </row>
    <row r="4947" spans="1:10" ht="13.2">
      <c r="A4947" s="7">
        <v>4946</v>
      </c>
      <c r="B4947" s="7">
        <v>1</v>
      </c>
      <c r="C4947" s="7" t="s">
        <v>10</v>
      </c>
      <c r="D4947" s="7">
        <v>4069</v>
      </c>
      <c r="E4947" s="7" t="s">
        <v>22</v>
      </c>
      <c r="F4947" s="8" t="str">
        <f ca="1">IFERROR(__xludf.DUMMYFUNCTION("IF
(
C4948=""фізична особа""
,
VLOOKUP(D4948,IMPORTRANGE(""https://docs.google.com/spreadsheets/d/14Bd19lYaqBhU8_DElYkX7l4wRkHqqCUFNJY4AfY3kHU/edit?usp=sharing  #gid=0"",""фіз особи new!relations_name""),6,FALSE)
,
(IF
(
C4948=""юридична особа""
,
VLOOKUP"&amp;"(D4948,IMPORTRANGE(""https://docs.google.com/spreadsheets/d/14Bd19lYaqBhU8_DElYkX7l4wRkHqqCUFNJY4AfY3kHU/edit?usp=sharing  #gid=0"",""фіз особи new!relations_name_uo""),7,FALSE)
,
)
))"),"БАТАЛОВА Тетяна Олександрівна")</f>
        <v>БАТАЛОВА Тетяна Олександрівна</v>
      </c>
      <c r="G4947" s="7" t="s">
        <v>10</v>
      </c>
      <c r="H4947" s="7">
        <v>8</v>
      </c>
      <c r="I4947" s="8" t="str">
        <f ca="1">IFERROR(__xludf.DUMMYFUNCTION("IF
(
G4948=""фізична особа""
,
VLOOKUP(H4948,IMPORTRANGE(""https://docs.google.com/spreadsheets/d/14Bd19lYaqBhU8_DElYkX7l4wRkHqqCUFNJY4AfY3kHU/edit?usp=sharing  #gid=0"",""фіз особи new!relations_name""),6,FALSE)
,
(IF
(
G4948=""юридична особа""
,
VLOOKUP"&amp;"(H4948,IMPORTRANGE(""https://docs.google.com/spreadsheets/d/14Bd19lYaqBhU8_DElYkX7l4wRkHqqCUFNJY4AfY3kHU/edit?usp=sharing  #gid=0"",""фіз особи new!relations_name_uo""),7,FALSE)
,
)
))"),"ТКАЧОВ Олексій Миколайович")</f>
        <v>ТКАЧОВ Олексій Миколайович</v>
      </c>
      <c r="J4947" s="7" t="s">
        <v>19</v>
      </c>
    </row>
    <row r="4948" spans="1:10" ht="13.2">
      <c r="A4948" s="7">
        <v>4947</v>
      </c>
      <c r="B4948" s="7">
        <v>1</v>
      </c>
      <c r="C4948" s="7" t="s">
        <v>10</v>
      </c>
      <c r="D4948" s="7">
        <v>4070</v>
      </c>
      <c r="E4948" s="7" t="s">
        <v>15</v>
      </c>
      <c r="F4948" s="8" t="str">
        <f ca="1">IFERROR(__xludf.DUMMYFUNCTION("IF
(
C4949=""фізична особа""
,
VLOOKUP(D4949,IMPORTRANGE(""https://docs.google.com/spreadsheets/d/14Bd19lYaqBhU8_DElYkX7l4wRkHqqCUFNJY4AfY3kHU/edit?usp=sharing  #gid=0"",""фіз особи new!relations_name""),6,FALSE)
,
(IF
(
C4949=""юридична особа""
,
VLOOKUP"&amp;"(D4949,IMPORTRANGE(""https://docs.google.com/spreadsheets/d/14Bd19lYaqBhU8_DElYkX7l4wRkHqqCUFNJY4AfY3kHU/edit?usp=sharing  #gid=0"",""фіз особи new!relations_name_uo""),7,FALSE)
,
)
))"),"ЧЕПА Ірина Валентинівна")</f>
        <v>ЧЕПА Ірина Валентинівна</v>
      </c>
      <c r="G4948" s="7" t="s">
        <v>10</v>
      </c>
      <c r="H4948" s="7">
        <v>10</v>
      </c>
      <c r="I4948" s="8" t="str">
        <f ca="1">IFERROR(__xludf.DUMMYFUNCTION("IF
(
G4949=""фізична особа""
,
VLOOKUP(H4949,IMPORTRANGE(""https://docs.google.com/spreadsheets/d/14Bd19lYaqBhU8_DElYkX7l4wRkHqqCUFNJY4AfY3kHU/edit?usp=sharing  #gid=0"",""фіз особи new!relations_name""),6,FALSE)
,
(IF
(
G4949=""юридична особа""
,
VLOOKUP"&amp;"(H4949,IMPORTRANGE(""https://docs.google.com/spreadsheets/d/14Bd19lYaqBhU8_DElYkX7l4wRkHqqCUFNJY4AfY3kHU/edit?usp=sharing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J4948" s="7" t="s">
        <v>14</v>
      </c>
    </row>
    <row r="4949" spans="1:10" ht="13.2">
      <c r="A4949" s="7">
        <v>4948</v>
      </c>
      <c r="B4949" s="7">
        <v>1</v>
      </c>
      <c r="C4949" s="7" t="s">
        <v>10</v>
      </c>
      <c r="D4949" s="7">
        <v>4071</v>
      </c>
      <c r="E4949" s="7" t="s">
        <v>13</v>
      </c>
      <c r="F4949" s="8" t="str">
        <f ca="1">IFERROR(__xludf.DUMMYFUNCTION("IF
(
C4950=""фізична особа""
,
VLOOKUP(D4950,IMPORTRANGE(""https://docs.google.com/spreadsheets/d/14Bd19lYaqBhU8_DElYkX7l4wRkHqqCUFNJY4AfY3kHU/edit?usp=sharing  #gid=0"",""фіз особи new!relations_name""),6,FALSE)
,
(IF
(
C4950=""юридична особа""
,
VLOOKUP"&amp;"(D4950,IMPORTRANGE(""https://docs.google.com/spreadsheets/d/14Bd19lYaqBhU8_DElYkX7l4wRkHqqCUFNJY4AfY3kHU/edit?usp=sharing  #gid=0"",""фіз особи new!relations_name_uo""),7,FALSE)
,
)
))"),"ЧЕПА Анастасія Олексіївна")</f>
        <v>ЧЕПА Анастасія Олексіївна</v>
      </c>
      <c r="G4949" s="7" t="s">
        <v>10</v>
      </c>
      <c r="H4949" s="7">
        <v>10</v>
      </c>
      <c r="I4949" s="8" t="str">
        <f ca="1">IFERROR(__xludf.DUMMYFUNCTION("IF
(
G4950=""фізична особа""
,
VLOOKUP(H4950,IMPORTRANGE(""https://docs.google.com/spreadsheets/d/14Bd19lYaqBhU8_DElYkX7l4wRkHqqCUFNJY4AfY3kHU/edit?usp=sharing  #gid=0"",""фіз особи new!relations_name""),6,FALSE)
,
(IF
(
G4950=""юридична особа""
,
VLOOKUP"&amp;"(H4950,IMPORTRANGE(""https://docs.google.com/spreadsheets/d/14Bd19lYaqBhU8_DElYkX7l4wRkHqqCUFNJY4AfY3kHU/edit?usp=sharing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J4949" s="7" t="s">
        <v>12</v>
      </c>
    </row>
    <row r="4950" spans="1:10" ht="13.2">
      <c r="A4950" s="7">
        <v>4949</v>
      </c>
      <c r="B4950" s="7">
        <v>1</v>
      </c>
      <c r="C4950" s="7" t="s">
        <v>10</v>
      </c>
      <c r="D4950" s="7">
        <v>4071</v>
      </c>
      <c r="E4950" s="7" t="s">
        <v>31</v>
      </c>
      <c r="F4950" s="8" t="str">
        <f ca="1">IFERROR(__xludf.DUMMYFUNCTION("IF
(
C4951=""фізична особа""
,
VLOOKUP(D4951,IMPORTRANGE(""https://docs.google.com/spreadsheets/d/14Bd19lYaqBhU8_DElYkX7l4wRkHqqCUFNJY4AfY3kHU/edit?usp=sharing  #gid=0"",""фіз особи new!relations_name""),6,FALSE)
,
(IF
(
C4951=""юридична особа""
,
VLOOKUP"&amp;"(D4951,IMPORTRANGE(""https://docs.google.com/spreadsheets/d/14Bd19lYaqBhU8_DElYkX7l4wRkHqqCUFNJY4AfY3kHU/edit?usp=sharing  #gid=0"",""фіз особи new!relations_name_uo""),7,FALSE)
,
)
))"),"ЧЕПА Анастасія Олексіївна")</f>
        <v>ЧЕПА Анастасія Олексіївна</v>
      </c>
      <c r="G4950" s="7" t="s">
        <v>10</v>
      </c>
      <c r="H4950" s="7">
        <v>18053</v>
      </c>
      <c r="I4950" s="8" t="str">
        <f ca="1">IFERROR(__xludf.DUMMYFUNCTION("IF
(
G4951=""фізична особа""
,
VLOOKUP(H4951,IMPORTRANGE(""https://docs.google.com/spreadsheets/d/14Bd19lYaqBhU8_DElYkX7l4wRkHqqCUFNJY4AfY3kHU/edit?usp=sharing  #gid=0"",""фіз особи new!relations_name""),6,FALSE)
,
(IF
(
G4951=""юридична особа""
,
VLOOKUP"&amp;"(H4951,IMPORTRANGE(""https://docs.google.com/spreadsheets/d/14Bd19lYaqBhU8_DElYkX7l4wRkHqqCUFNJY4AfY3kHU/edit?usp=sharing  #gid=0"",""фіз особи new!relations_name_uo""),7,FALSE)
,
)
))"),"ЧЕПА Данило Олексійович")</f>
        <v>ЧЕПА Данило Олексійович</v>
      </c>
      <c r="J4950" s="7" t="s">
        <v>18</v>
      </c>
    </row>
    <row r="4951" spans="1:10" ht="13.2">
      <c r="A4951" s="7">
        <v>4950</v>
      </c>
      <c r="B4951" s="7">
        <v>1</v>
      </c>
      <c r="C4951" s="7" t="s">
        <v>10</v>
      </c>
      <c r="D4951" s="7">
        <v>4072</v>
      </c>
      <c r="E4951" s="7" t="s">
        <v>17</v>
      </c>
      <c r="F4951" s="8" t="str">
        <f ca="1">IFERROR(__xludf.DUMMYFUNCTION("IF
(
C4952=""фізична особа""
,
VLOOKUP(D4952,IMPORTRANGE(""https://docs.google.com/spreadsheets/d/14Bd19lYaqBhU8_DElYkX7l4wRkHqqCUFNJY4AfY3kHU/edit?usp=sharing  #gid=0"",""фіз особи new!relations_name""),6,FALSE)
,
(IF
(
C4952=""юридична особа""
,
VLOOKUP"&amp;"(D4952,IMPORTRANGE(""https://docs.google.com/spreadsheets/d/14Bd19lYaqBhU8_DElYkX7l4wRkHqqCUFNJY4AfY3kHU/edit?usp=sharing  #gid=0"",""фіз особи new!relations_name_uo""),7,FALSE)
,
)
))"),"ГОРДЄЄВ Микита Олексійович")</f>
        <v>ГОРДЄЄВ Микита Олексійович</v>
      </c>
      <c r="G4951" s="7" t="s">
        <v>10</v>
      </c>
      <c r="H4951" s="7">
        <v>11</v>
      </c>
      <c r="I4951" s="8" t="str">
        <f ca="1">IFERROR(__xludf.DUMMYFUNCTION("IF
(
G4952=""фізична особа""
,
VLOOKUP(H4952,IMPORTRANGE(""https://docs.google.com/spreadsheets/d/14Bd19lYaqBhU8_DElYkX7l4wRkHqqCUFNJY4AfY3kHU/edit?usp=sharing  #gid=0"",""фіз особи new!relations_name""),6,FALSE)
,
(IF
(
G4952=""юридична особа""
,
VLOOKUP"&amp;"(H4952,IMPORTRANGE(""https://docs.google.com/spreadsheets/d/14Bd19lYaqBhU8_DElYkX7l4wRkHqqCUFNJY4AfY3kHU/edit?usp=sharing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4951" s="7" t="s">
        <v>12</v>
      </c>
    </row>
    <row r="4952" spans="1:10" ht="13.2">
      <c r="A4952" s="7">
        <v>4951</v>
      </c>
      <c r="B4952" s="7">
        <v>1</v>
      </c>
      <c r="C4952" s="7" t="s">
        <v>10</v>
      </c>
      <c r="D4952" s="7">
        <v>4073</v>
      </c>
      <c r="E4952" s="7" t="s">
        <v>25</v>
      </c>
      <c r="F4952" s="8" t="str">
        <f ca="1">IFERROR(__xludf.DUMMYFUNCTION("IF
(
C4953=""фізична особа""
,
VLOOKUP(D4953,IMPORTRANGE(""https://docs.google.com/spreadsheets/d/14Bd19lYaqBhU8_DElYkX7l4wRkHqqCUFNJY4AfY3kHU/edit?usp=sharing  #gid=0"",""фіз особи new!relations_name""),6,FALSE)
,
(IF
(
C4953=""юридична особа""
,
VLOOKUP"&amp;"(D4953,IMPORTRANGE(""https://docs.google.com/spreadsheets/d/14Bd19lYaqBhU8_DElYkX7l4wRkHqqCUFNJY4AfY3kHU/edit?usp=sharing  #gid=0"",""фіз особи new!relations_name_uo""),7,FALSE)
,
)
))"),"ГОРДЄЄВА Аріна Ханувна")</f>
        <v>ГОРДЄЄВА Аріна Ханувна</v>
      </c>
      <c r="G4952" s="7" t="s">
        <v>10</v>
      </c>
      <c r="H4952" s="7">
        <v>11</v>
      </c>
      <c r="I4952" s="8" t="str">
        <f ca="1">IFERROR(__xludf.DUMMYFUNCTION("IF
(
G4953=""фізична особа""
,
VLOOKUP(H4953,IMPORTRANGE(""https://docs.google.com/spreadsheets/d/14Bd19lYaqBhU8_DElYkX7l4wRkHqqCUFNJY4AfY3kHU/edit?usp=sharing  #gid=0"",""фіз особи new!relations_name""),6,FALSE)
,
(IF
(
G4953=""юридична особа""
,
VLOOKUP"&amp;"(H4953,IMPORTRANGE(""https://docs.google.com/spreadsheets/d/14Bd19lYaqBhU8_DElYkX7l4wRkHqqCUFNJY4AfY3kHU/edit?usp=sharing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4952" s="7" t="s">
        <v>34</v>
      </c>
    </row>
    <row r="4953" spans="1:10" ht="13.2">
      <c r="A4953" s="7">
        <v>4952</v>
      </c>
      <c r="B4953" s="7">
        <v>1</v>
      </c>
      <c r="C4953" s="7" t="s">
        <v>10</v>
      </c>
      <c r="D4953" s="7">
        <v>4074</v>
      </c>
      <c r="E4953" s="7" t="s">
        <v>15</v>
      </c>
      <c r="F4953" s="8" t="str">
        <f ca="1">IFERROR(__xludf.DUMMYFUNCTION("IF
(
C4954=""фізична особа""
,
VLOOKUP(D4954,IMPORTRANGE(""https://docs.google.com/spreadsheets/d/14Bd19lYaqBhU8_DElYkX7l4wRkHqqCUFNJY4AfY3kHU/edit?usp=sharing  #gid=0"",""фіз особи new!relations_name""),6,FALSE)
,
(IF
(
C4954=""юридична особа""
,
VLOOKUP"&amp;"(D4954,IMPORTRANGE(""https://docs.google.com/spreadsheets/d/14Bd19lYaqBhU8_DElYkX7l4wRkHqqCUFNJY4AfY3kHU/edit?usp=sharing  #gid=0"",""фіз особи new!relations_name_uo""),7,FALSE)
,
)
))"),"ГОРДЄЄВА Тетяна Олександрівна")</f>
        <v>ГОРДЄЄВА Тетяна Олександрівна</v>
      </c>
      <c r="G4953" s="7" t="s">
        <v>10</v>
      </c>
      <c r="H4953" s="7">
        <v>11</v>
      </c>
      <c r="I4953" s="8" t="str">
        <f ca="1">IFERROR(__xludf.DUMMYFUNCTION("IF
(
G4954=""фізична особа""
,
VLOOKUP(H4954,IMPORTRANGE(""https://docs.google.com/spreadsheets/d/14Bd19lYaqBhU8_DElYkX7l4wRkHqqCUFNJY4AfY3kHU/edit?usp=sharing  #gid=0"",""фіз особи new!relations_name""),6,FALSE)
,
(IF
(
G4954=""юридична особа""
,
VLOOKUP"&amp;"(H4954,IMPORTRANGE(""https://docs.google.com/spreadsheets/d/14Bd19lYaqBhU8_DElYkX7l4wRkHqqCUFNJY4AfY3kHU/edit?usp=sharing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4953" s="7" t="s">
        <v>14</v>
      </c>
    </row>
    <row r="4954" spans="1:10" ht="13.2">
      <c r="A4954" s="7">
        <v>4953</v>
      </c>
      <c r="B4954" s="7">
        <v>1</v>
      </c>
      <c r="C4954" s="7" t="s">
        <v>10</v>
      </c>
      <c r="D4954" s="7">
        <v>4075</v>
      </c>
      <c r="E4954" s="7" t="s">
        <v>13</v>
      </c>
      <c r="F4954" s="8" t="str">
        <f ca="1">IFERROR(__xludf.DUMMYFUNCTION("IF
(
C4955=""фізична особа""
,
VLOOKUP(D4955,IMPORTRANGE(""https://docs.google.com/spreadsheets/d/14Bd19lYaqBhU8_DElYkX7l4wRkHqqCUFNJY4AfY3kHU/edit?usp=sharing  #gid=0"",""фіз особи new!relations_name""),6,FALSE)
,
(IF
(
C4955=""юридична особа""
,
VLOOKUP"&amp;"(D4955,IMPORTRANGE(""https://docs.google.com/spreadsheets/d/14Bd19lYaqBhU8_DElYkX7l4wRkHqqCUFNJY4AfY3kHU/edit?usp=sharing  #gid=0"",""фіз особи new!relations_name_uo""),7,FALSE)
,
)
))"),"МАСЛОВА Варвара Олексіївна")</f>
        <v>МАСЛОВА Варвара Олексіївна</v>
      </c>
      <c r="G4954" s="7" t="s">
        <v>10</v>
      </c>
      <c r="H4954" s="7">
        <v>11</v>
      </c>
      <c r="I4954" s="8" t="str">
        <f ca="1">IFERROR(__xludf.DUMMYFUNCTION("IF
(
G4955=""фізична особа""
,
VLOOKUP(H4955,IMPORTRANGE(""https://docs.google.com/spreadsheets/d/14Bd19lYaqBhU8_DElYkX7l4wRkHqqCUFNJY4AfY3kHU/edit?usp=sharing  #gid=0"",""фіз особи new!relations_name""),6,FALSE)
,
(IF
(
G4955=""юридична особа""
,
VLOOKUP"&amp;"(H4955,IMPORTRANGE(""https://docs.google.com/spreadsheets/d/14Bd19lYaqBhU8_DElYkX7l4wRkHqqCUFNJY4AfY3kHU/edit?usp=sharing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4954" s="7" t="s">
        <v>12</v>
      </c>
    </row>
    <row r="4955" spans="1:10" ht="13.2">
      <c r="A4955" s="7">
        <v>4954</v>
      </c>
      <c r="B4955" s="7">
        <v>1</v>
      </c>
      <c r="C4955" s="7" t="s">
        <v>10</v>
      </c>
      <c r="D4955" s="7">
        <v>4076</v>
      </c>
      <c r="E4955" s="7" t="s">
        <v>15</v>
      </c>
      <c r="F4955" s="8" t="str">
        <f ca="1">IFERROR(__xludf.DUMMYFUNCTION("IF
(
C4956=""фізична особа""
,
VLOOKUP(D4956,IMPORTRANGE(""https://docs.google.com/spreadsheets/d/14Bd19lYaqBhU8_DElYkX7l4wRkHqqCUFNJY4AfY3kHU/edit?usp=sharing  #gid=0"",""фіз особи new!relations_name""),6,FALSE)
,
(IF
(
C4956=""юридична особа""
,
VLOOKUP"&amp;"(D4956,IMPORTRANGE(""https://docs.google.com/spreadsheets/d/14Bd19lYaqBhU8_DElYkX7l4wRkHqqCUFNJY4AfY3kHU/edit?usp=sharing  #gid=0"",""фіз особи new!relations_name_uo""),7,FALSE)
,
)
))"),"КУРІННА Юлія Костянтинівна")</f>
        <v>КУРІННА Юлія Костянтинівна</v>
      </c>
      <c r="G4955" s="7" t="s">
        <v>10</v>
      </c>
      <c r="H4955" s="7">
        <v>14</v>
      </c>
      <c r="I4955" s="8" t="str">
        <f ca="1">IFERROR(__xludf.DUMMYFUNCTION("IF
(
G4956=""фізична особа""
,
VLOOKUP(H4956,IMPORTRANGE(""https://docs.google.com/spreadsheets/d/14Bd19lYaqBhU8_DElYkX7l4wRkHqqCUFNJY4AfY3kHU/edit?usp=sharing  #gid=0"",""фіз особи new!relations_name""),6,FALSE)
,
(IF
(
G4956=""юридична особа""
,
VLOOKUP"&amp;"(H4956,IMPORTRANGE(""https://docs.google.com/spreadsheets/d/14Bd19lYaqBhU8_DElYkX7l4wRkHqqCUFNJY4AfY3kHU/edit?usp=sharing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J4955" s="7" t="s">
        <v>14</v>
      </c>
    </row>
    <row r="4956" spans="1:10" ht="13.2">
      <c r="A4956" s="7">
        <v>4955</v>
      </c>
      <c r="B4956" s="7">
        <v>1</v>
      </c>
      <c r="C4956" s="7" t="s">
        <v>10</v>
      </c>
      <c r="D4956" s="7">
        <v>4077</v>
      </c>
      <c r="E4956" s="7" t="s">
        <v>13</v>
      </c>
      <c r="F4956" s="8" t="str">
        <f ca="1">IFERROR(__xludf.DUMMYFUNCTION("IF
(
C4957=""фізична особа""
,
VLOOKUP(D4957,IMPORTRANGE(""https://docs.google.com/spreadsheets/d/14Bd19lYaqBhU8_DElYkX7l4wRkHqqCUFNJY4AfY3kHU/edit?usp=sharing  #gid=0"",""фіз особи new!relations_name""),6,FALSE)
,
(IF
(
C4957=""юридична особа""
,
VLOOKUP"&amp;"(D4957,IMPORTRANGE(""https://docs.google.com/spreadsheets/d/14Bd19lYaqBhU8_DElYkX7l4wRkHqqCUFNJY4AfY3kHU/edit?usp=sharing  #gid=0"",""фіз особи new!relations_name_uo""),7,FALSE)
,
)
))"),"КУРІННА Дар'я Олексіївна")</f>
        <v>КУРІННА Дар'я Олексіївна</v>
      </c>
      <c r="G4956" s="7" t="s">
        <v>10</v>
      </c>
      <c r="H4956" s="7">
        <v>14</v>
      </c>
      <c r="I4956" s="8" t="str">
        <f ca="1">IFERROR(__xludf.DUMMYFUNCTION("IF
(
G4957=""фізична особа""
,
VLOOKUP(H4957,IMPORTRANGE(""https://docs.google.com/spreadsheets/d/14Bd19lYaqBhU8_DElYkX7l4wRkHqqCUFNJY4AfY3kHU/edit?usp=sharing  #gid=0"",""фіз особи new!relations_name""),6,FALSE)
,
(IF
(
G4957=""юридична особа""
,
VLOOKUP"&amp;"(H4957,IMPORTRANGE(""https://docs.google.com/spreadsheets/d/14Bd19lYaqBhU8_DElYkX7l4wRkHqqCUFNJY4AfY3kHU/edit?usp=sharing  #gid=0"",""фіз особи new!relations_name_uo""),7,FALSE)
,
)
))"),"КУРІННИЙ Олексій Володимирович")</f>
        <v>КУРІННИЙ Олексій Володимирович</v>
      </c>
      <c r="J4956" s="7" t="s">
        <v>12</v>
      </c>
    </row>
    <row r="4957" spans="1:10" ht="13.2">
      <c r="A4957" s="7">
        <v>4956</v>
      </c>
      <c r="B4957" s="7">
        <v>1</v>
      </c>
      <c r="C4957" s="7" t="s">
        <v>10</v>
      </c>
      <c r="D4957" s="7">
        <v>4078</v>
      </c>
      <c r="E4957" s="7" t="s">
        <v>17</v>
      </c>
      <c r="F4957" s="8" t="str">
        <f ca="1">IFERROR(__xludf.DUMMYFUNCTION("IF
(
C4958=""фізична особа""
,
VLOOKUP(D4958,IMPORTRANGE(""https://docs.google.com/spreadsheets/d/14Bd19lYaqBhU8_DElYkX7l4wRkHqqCUFNJY4AfY3kHU/edit?usp=sharing  #gid=0"",""фіз особи new!relations_name""),6,FALSE)
,
(IF
(
C4958=""юридична особа""
,
VLOOKUP"&amp;"(D4958,IMPORTRANGE(""https://docs.google.com/spreadsheets/d/14Bd19lYaqBhU8_DElYkX7l4wRkHqqCUFNJY4AfY3kHU/edit?usp=sharing  #gid=0"",""фіз особи new!relations_name_uo""),7,FALSE)
,
)
))"),"СИТНІКОВ Ілля Олексійович")</f>
        <v>СИТНІКОВ Ілля Олексійович</v>
      </c>
      <c r="G4957" s="7" t="s">
        <v>10</v>
      </c>
      <c r="H4957" s="7">
        <v>15</v>
      </c>
      <c r="I4957" s="8" t="str">
        <f ca="1">IFERROR(__xludf.DUMMYFUNCTION("IF
(
G4958=""фізична особа""
,
VLOOKUP(H4958,IMPORTRANGE(""https://docs.google.com/spreadsheets/d/14Bd19lYaqBhU8_DElYkX7l4wRkHqqCUFNJY4AfY3kHU/edit?usp=sharing  #gid=0"",""фіз особи new!relations_name""),6,FALSE)
,
(IF
(
G4958=""юридична особа""
,
VLOOKUP"&amp;"(H4958,IMPORTRANGE(""https://docs.google.com/spreadsheets/d/14Bd19lYaqBhU8_DElYkX7l4wRkHqqCUFNJY4AfY3kHU/edit?usp=sharing  #gid=0"",""фіз особи new!relations_name_uo""),7,FALSE)
,
)
))"),"СІТНІКОВ Олексій Володимирович")</f>
        <v>СІТНІКОВ Олексій Володимирович</v>
      </c>
      <c r="J4957" s="7" t="s">
        <v>12</v>
      </c>
    </row>
    <row r="4958" spans="1:10" ht="13.2">
      <c r="A4958" s="7">
        <v>4957</v>
      </c>
      <c r="B4958" s="7">
        <v>1</v>
      </c>
      <c r="C4958" s="7" t="s">
        <v>10</v>
      </c>
      <c r="D4958" s="7">
        <v>4079</v>
      </c>
      <c r="E4958" s="7" t="s">
        <v>15</v>
      </c>
      <c r="F4958" s="8" t="str">
        <f ca="1">IFERROR(__xludf.DUMMYFUNCTION("IF
(
C4959=""фізична особа""
,
VLOOKUP(D4959,IMPORTRANGE(""https://docs.google.com/spreadsheets/d/14Bd19lYaqBhU8_DElYkX7l4wRkHqqCUFNJY4AfY3kHU/edit?usp=sharing  #gid=0"",""фіз особи new!relations_name""),6,FALSE)
,
(IF
(
C4959=""юридична особа""
,
VLOOKUP"&amp;"(D4959,IMPORTRANGE(""https://docs.google.com/spreadsheets/d/14Bd19lYaqBhU8_DElYkX7l4wRkHqqCUFNJY4AfY3kHU/edit?usp=sharing  #gid=0"",""фіз особи new!relations_name_uo""),7,FALSE)
,
)
))"),"СИТНІКОВА Олена Олександрівна")</f>
        <v>СИТНІКОВА Олена Олександрівна</v>
      </c>
      <c r="G4958" s="7" t="s">
        <v>10</v>
      </c>
      <c r="H4958" s="7">
        <v>15</v>
      </c>
      <c r="I4958" s="8" t="str">
        <f ca="1">IFERROR(__xludf.DUMMYFUNCTION("IF
(
G4959=""фізична особа""
,
VLOOKUP(H4959,IMPORTRANGE(""https://docs.google.com/spreadsheets/d/14Bd19lYaqBhU8_DElYkX7l4wRkHqqCUFNJY4AfY3kHU/edit?usp=sharing  #gid=0"",""фіз особи new!relations_name""),6,FALSE)
,
(IF
(
G4959=""юридична особа""
,
VLOOKUP"&amp;"(H4959,IMPORTRANGE(""https://docs.google.com/spreadsheets/d/14Bd19lYaqBhU8_DElYkX7l4wRkHqqCUFNJY4AfY3kHU/edit?usp=sharing  #gid=0"",""фіз особи new!relations_name_uo""),7,FALSE)
,
)
))"),"СІТНІКОВ Олексій Володимирович")</f>
        <v>СІТНІКОВ Олексій Володимирович</v>
      </c>
      <c r="J4958" s="7" t="s">
        <v>14</v>
      </c>
    </row>
    <row r="4959" spans="1:10" ht="13.2">
      <c r="A4959" s="7">
        <v>4958</v>
      </c>
      <c r="B4959" s="7">
        <v>1</v>
      </c>
      <c r="C4959" s="7" t="s">
        <v>10</v>
      </c>
      <c r="D4959" s="7">
        <v>4017</v>
      </c>
      <c r="E4959" s="7" t="s">
        <v>14</v>
      </c>
      <c r="F4959" s="8" t="str">
        <f ca="1">IFERROR(__xludf.DUMMYFUNCTION("IF
(
C4960=""фізична особа""
,
VLOOKUP(D4960,IMPORTRANGE(""https://docs.google.com/spreadsheets/d/14Bd19lYaqBhU8_DElYkX7l4wRkHqqCUFNJY4AfY3kHU/edit?usp=sharing  #gid=0"",""фіз особи new!relations_name""),6,FALSE)
,
(IF
(
C4960=""юридична особа""
,
VLOOKUP"&amp;"(D4960,IMPORTRANGE(""https://docs.google.com/spreadsheets/d/14Bd19lYaqBhU8_DElYkX7l4wRkHqqCUFNJY4AfY3kHU/edit?usp=sharing  #gid=0"",""фіз особи new!relations_name_uo""),7,FALSE)
,
)
))"),"КОГОГІН Сергій Анатолійович")</f>
        <v>КОГОГІН Сергій Анатолійович</v>
      </c>
      <c r="G4959" s="7" t="s">
        <v>10</v>
      </c>
      <c r="H4959" s="7">
        <v>17</v>
      </c>
      <c r="I4959" s="8" t="str">
        <f ca="1">IFERROR(__xludf.DUMMYFUNCTION("IF
(
G4960=""фізична особа""
,
VLOOKUP(H4960,IMPORTRANGE(""https://docs.google.com/spreadsheets/d/14Bd19lYaqBhU8_DElYkX7l4wRkHqqCUFNJY4AfY3kHU/edit?usp=sharing  #gid=0"",""фіз особи new!relations_name""),6,FALSE)
,
(IF
(
G4960=""юридична особа""
,
VLOOKUP"&amp;"(H4960,IMPORTRANGE(""https://docs.google.com/spreadsheets/d/14Bd19lYaqBhU8_DElYkX7l4wRkHqqCUFNJY4AfY3kHU/edit?usp=sharing  #gid=0"",""фіз особи new!relations_name_uo""),7,FALSE)
,
)
))"),"КОГОГІНА Альфія Гумарівна")</f>
        <v>КОГОГІНА Альфія Гумарівна</v>
      </c>
      <c r="J4959" s="7" t="s">
        <v>15</v>
      </c>
    </row>
    <row r="4960" spans="1:10" ht="13.2">
      <c r="A4960" s="7">
        <v>4959</v>
      </c>
      <c r="B4960" s="7">
        <v>1</v>
      </c>
      <c r="C4960" s="7" t="s">
        <v>10</v>
      </c>
      <c r="D4960" s="7">
        <v>4081</v>
      </c>
      <c r="E4960" s="7" t="s">
        <v>17</v>
      </c>
      <c r="F4960" s="8" t="str">
        <f ca="1">IFERROR(__xludf.DUMMYFUNCTION("IF
(
C4961=""фізична особа""
,
VLOOKUP(D4961,IMPORTRANGE(""https://docs.google.com/spreadsheets/d/14Bd19lYaqBhU8_DElYkX7l4wRkHqqCUFNJY4AfY3kHU/edit?usp=sharing  #gid=0"",""фіз особи new!relations_name""),6,FALSE)
,
(IF
(
C4961=""юридична особа""
,
VLOOKUP"&amp;"(D4961,IMPORTRANGE(""https://docs.google.com/spreadsheets/d/14Bd19lYaqBhU8_DElYkX7l4wRkHqqCUFNJY4AfY3kHU/edit?usp=sharing  #gid=0"",""фіз особи new!relations_name_uo""),7,FALSE)
,
)
))"),"АКСАКОВ Дмитро Анатолійович")</f>
        <v>АКСАКОВ Дмитро Анатолійович</v>
      </c>
      <c r="G4960" s="7" t="s">
        <v>10</v>
      </c>
      <c r="H4960" s="7">
        <v>23</v>
      </c>
      <c r="I4960" s="8" t="str">
        <f ca="1">IFERROR(__xludf.DUMMYFUNCTION("IF
(
G4961=""фізична особа""
,
VLOOKUP(H4961,IMPORTRANGE(""https://docs.google.com/spreadsheets/d/14Bd19lYaqBhU8_DElYkX7l4wRkHqqCUFNJY4AfY3kHU/edit?usp=sharing  #gid=0"",""фіз особи new!relations_name""),6,FALSE)
,
(IF
(
G4961=""юридична особа""
,
VLOOKUP"&amp;"(H4961,IMPORTRANGE(""https://docs.google.com/spreadsheets/d/14Bd19lYaqBhU8_DElYkX7l4wRkHqqCUFNJY4AfY3kHU/edit?usp=sharing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J4960" s="7" t="s">
        <v>12</v>
      </c>
    </row>
    <row r="4961" spans="1:10" ht="13.2">
      <c r="A4961" s="7">
        <v>4960</v>
      </c>
      <c r="B4961" s="7">
        <v>1</v>
      </c>
      <c r="C4961" s="7" t="s">
        <v>10</v>
      </c>
      <c r="D4961" s="7">
        <v>4082</v>
      </c>
      <c r="E4961" s="7" t="s">
        <v>17</v>
      </c>
      <c r="F4961" s="8" t="str">
        <f ca="1">IFERROR(__xludf.DUMMYFUNCTION("IF
(
C4962=""фізична особа""
,
VLOOKUP(D4962,IMPORTRANGE(""https://docs.google.com/spreadsheets/d/14Bd19lYaqBhU8_DElYkX7l4wRkHqqCUFNJY4AfY3kHU/edit?usp=sharing  #gid=0"",""фіз особи new!relations_name""),6,FALSE)
,
(IF
(
C4962=""юридична особа""
,
VLOOKUP"&amp;"(D4962,IMPORTRANGE(""https://docs.google.com/spreadsheets/d/14Bd19lYaqBhU8_DElYkX7l4wRkHqqCUFNJY4AfY3kHU/edit?usp=sharing  #gid=0"",""фіз особи new!relations_name_uo""),7,FALSE)
,
)
))"),"АКСАКОВ Олександр Анатолійович")</f>
        <v>АКСАКОВ Олександр Анатолійович</v>
      </c>
      <c r="G4961" s="7" t="s">
        <v>10</v>
      </c>
      <c r="H4961" s="7">
        <v>23</v>
      </c>
      <c r="I4961" s="8" t="str">
        <f ca="1">IFERROR(__xludf.DUMMYFUNCTION("IF
(
G4962=""фізична особа""
,
VLOOKUP(H4962,IMPORTRANGE(""https://docs.google.com/spreadsheets/d/14Bd19lYaqBhU8_DElYkX7l4wRkHqqCUFNJY4AfY3kHU/edit?usp=sharing  #gid=0"",""фіз особи new!relations_name""),6,FALSE)
,
(IF
(
G4962=""юридична особа""
,
VLOOKUP"&amp;"(H4962,IMPORTRANGE(""https://docs.google.com/spreadsheets/d/14Bd19lYaqBhU8_DElYkX7l4wRkHqqCUFNJY4AfY3kHU/edit?usp=sharing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J4961" s="7" t="s">
        <v>12</v>
      </c>
    </row>
    <row r="4962" spans="1:10" ht="13.2">
      <c r="A4962" s="7">
        <v>4961</v>
      </c>
      <c r="B4962" s="7">
        <v>1</v>
      </c>
      <c r="C4962" s="7" t="s">
        <v>10</v>
      </c>
      <c r="D4962" s="7">
        <v>4083</v>
      </c>
      <c r="E4962" s="7" t="s">
        <v>15</v>
      </c>
      <c r="F4962" s="8" t="str">
        <f ca="1">IFERROR(__xludf.DUMMYFUNCTION("IF
(
C4963=""фізична особа""
,
VLOOKUP(D4963,IMPORTRANGE(""https://docs.google.com/spreadsheets/d/14Bd19lYaqBhU8_DElYkX7l4wRkHqqCUFNJY4AfY3kHU/edit?usp=sharing  #gid=0"",""фіз особи new!relations_name""),6,FALSE)
,
(IF
(
C4963=""юридична особа""
,
VLOOKUP"&amp;"(D4963,IMPORTRANGE(""https://docs.google.com/spreadsheets/d/14Bd19lYaqBhU8_DElYkX7l4wRkHqqCUFNJY4AfY3kHU/edit?usp=sharing  #gid=0"",""фіз особи new!relations_name_uo""),7,FALSE)
,
)
))"),"АКСАКОВА Тетяна Олександрівна")</f>
        <v>АКСАКОВА Тетяна Олександрівна</v>
      </c>
      <c r="G4962" s="7" t="s">
        <v>10</v>
      </c>
      <c r="H4962" s="7">
        <v>23</v>
      </c>
      <c r="I4962" s="8" t="str">
        <f ca="1">IFERROR(__xludf.DUMMYFUNCTION("IF
(
G4963=""фізична особа""
,
VLOOKUP(H4963,IMPORTRANGE(""https://docs.google.com/spreadsheets/d/14Bd19lYaqBhU8_DElYkX7l4wRkHqqCUFNJY4AfY3kHU/edit?usp=sharing  #gid=0"",""фіз особи new!relations_name""),6,FALSE)
,
(IF
(
G4963=""юридична особа""
,
VLOOKUP"&amp;"(H4963,IMPORTRANGE(""https://docs.google.com/spreadsheets/d/14Bd19lYaqBhU8_DElYkX7l4wRkHqqCUFNJY4AfY3kHU/edit?usp=sharing  #gid=0"",""фіз особи new!relations_name_uo""),7,FALSE)
,
)
))"),"АКСАКОВ Анатолій Геннадійович")</f>
        <v>АКСАКОВ Анатолій Геннадійович</v>
      </c>
      <c r="J4962" s="7" t="s">
        <v>14</v>
      </c>
    </row>
    <row r="4963" spans="1:10" ht="13.2">
      <c r="A4963" s="7">
        <v>4962</v>
      </c>
      <c r="B4963" s="7">
        <v>1</v>
      </c>
      <c r="C4963" s="7" t="s">
        <v>10</v>
      </c>
      <c r="D4963" s="7">
        <v>4084</v>
      </c>
      <c r="E4963" s="7" t="s">
        <v>18</v>
      </c>
      <c r="F4963" s="8" t="str">
        <f ca="1">IFERROR(__xludf.DUMMYFUNCTION("IF
(
C4964=""фізична особа""
,
VLOOKUP(D4964,IMPORTRANGE(""https://docs.google.com/spreadsheets/d/14Bd19lYaqBhU8_DElYkX7l4wRkHqqCUFNJY4AfY3kHU/edit?usp=sharing  #gid=0"",""фіз особи new!relations_name""),6,FALSE)
,
(IF
(
C4964=""юридична особа""
,
VLOOKUP"&amp;"(D4964,IMPORTRANGE(""https://docs.google.com/spreadsheets/d/14Bd19lYaqBhU8_DElYkX7l4wRkHqqCUFNJY4AfY3kHU/edit?usp=sharing  #gid=0"",""фіз особи new!relations_name_uo""),7,FALSE)
,
)
))"),"ВАССЕРМАН Володимир Олександрович")</f>
        <v>ВАССЕРМАН Володимир Олександрович</v>
      </c>
      <c r="G4963" s="7" t="s">
        <v>10</v>
      </c>
      <c r="H4963" s="7">
        <v>29</v>
      </c>
      <c r="I4963" s="8" t="str">
        <f ca="1">IFERROR(__xludf.DUMMYFUNCTION("IF
(
G4964=""фізична особа""
,
VLOOKUP(H4964,IMPORTRANGE(""https://docs.google.com/spreadsheets/d/14Bd19lYaqBhU8_DElYkX7l4wRkHqqCUFNJY4AfY3kHU/edit?usp=sharing  #gid=0"",""фіз особи new!relations_name""),6,FALSE)
,
(IF
(
G4964=""юридична особа""
,
VLOOKUP"&amp;"(H4964,IMPORTRANGE(""https://docs.google.com/spreadsheets/d/14Bd19lYaqBhU8_DElYkX7l4wRkHqqCUFNJY4AfY3kHU/edit?usp=sharing  #gid=0"",""фіз особи new!relations_name_uo""),7,FALSE)
,
)
))"),"ВАССЕРМАН Анатолiй Олександрович")</f>
        <v>ВАССЕРМАН Анатолiй Олександрович</v>
      </c>
      <c r="J4963" s="7" t="s">
        <v>18</v>
      </c>
    </row>
    <row r="4964" spans="1:10" ht="13.2">
      <c r="A4964" s="7">
        <v>4963</v>
      </c>
      <c r="B4964" s="7">
        <v>1</v>
      </c>
      <c r="C4964" s="7" t="s">
        <v>10</v>
      </c>
      <c r="D4964" s="7">
        <v>4085</v>
      </c>
      <c r="E4964" s="7" t="s">
        <v>13</v>
      </c>
      <c r="F4964" s="8" t="str">
        <f ca="1">IFERROR(__xludf.DUMMYFUNCTION("IF
(
C4965=""фізична особа""
,
VLOOKUP(D4965,IMPORTRANGE(""https://docs.google.com/spreadsheets/d/14Bd19lYaqBhU8_DElYkX7l4wRkHqqCUFNJY4AfY3kHU/edit?usp=sharing  #gid=0"",""фіз особи new!relations_name""),6,FALSE)
,
(IF
(
C4965=""юридична особа""
,
VLOOKUP"&amp;"(D4965,IMPORTRANGE(""https://docs.google.com/spreadsheets/d/14Bd19lYaqBhU8_DElYkX7l4wRkHqqCUFNJY4AfY3kHU/edit?usp=sharing  #gid=0"",""фіз особи new!relations_name_uo""),7,FALSE)
,
)
))"),"ВИБОРНА Ольга")</f>
        <v>ВИБОРНА Ольга</v>
      </c>
      <c r="G4964" s="7" t="s">
        <v>10</v>
      </c>
      <c r="H4964" s="7">
        <v>31</v>
      </c>
      <c r="I4964" s="8" t="str">
        <f ca="1">IFERROR(__xludf.DUMMYFUNCTION("IF
(
G4965=""фізична особа""
,
VLOOKUP(H4965,IMPORTRANGE(""https://docs.google.com/spreadsheets/d/14Bd19lYaqBhU8_DElYkX7l4wRkHqqCUFNJY4AfY3kHU/edit?usp=sharing  #gid=0"",""фіз особи new!relations_name""),6,FALSE)
,
(IF
(
G4965=""юридична особа""
,
VLOOKUP"&amp;"(H4965,IMPORTRANGE(""https://docs.google.com/spreadsheets/d/14Bd19lYaqBhU8_DElYkX7l4wRkHqqCUFNJY4AfY3kHU/edit?usp=sharing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J4964" s="7" t="s">
        <v>12</v>
      </c>
    </row>
    <row r="4965" spans="1:10" ht="13.2">
      <c r="A4965" s="7">
        <v>4964</v>
      </c>
      <c r="B4965" s="7">
        <v>1</v>
      </c>
      <c r="C4965" s="7" t="s">
        <v>10</v>
      </c>
      <c r="D4965" s="7">
        <v>4086</v>
      </c>
      <c r="E4965" s="7" t="s">
        <v>15</v>
      </c>
      <c r="F4965" s="8" t="str">
        <f ca="1">IFERROR(__xludf.DUMMYFUNCTION("IF
(
C4966=""фізична особа""
,
VLOOKUP(D4966,IMPORTRANGE(""https://docs.google.com/spreadsheets/d/14Bd19lYaqBhU8_DElYkX7l4wRkHqqCUFNJY4AfY3kHU/edit?usp=sharing  #gid=0"",""фіз особи new!relations_name""),6,FALSE)
,
(IF
(
C4966=""юридична особа""
,
VLOOKUP"&amp;"(D4966,IMPORTRANGE(""https://docs.google.com/spreadsheets/d/14Bd19lYaqBhU8_DElYkX7l4wRkHqqCUFNJY4AfY3kHU/edit?usp=sharing  #gid=0"",""фіз особи new!relations_name_uo""),7,FALSE)
,
)
))"),"ВИБОРНА Світлана Степанівна")</f>
        <v>ВИБОРНА Світлана Степанівна</v>
      </c>
      <c r="G4965" s="7" t="s">
        <v>10</v>
      </c>
      <c r="H4965" s="7">
        <v>31</v>
      </c>
      <c r="I4965" s="8" t="str">
        <f ca="1">IFERROR(__xludf.DUMMYFUNCTION("IF
(
G4966=""фізична особа""
,
VLOOKUP(H4966,IMPORTRANGE(""https://docs.google.com/spreadsheets/d/14Bd19lYaqBhU8_DElYkX7l4wRkHqqCUFNJY4AfY3kHU/edit?usp=sharing  #gid=0"",""фіз особи new!relations_name""),6,FALSE)
,
(IF
(
G4966=""юридична особа""
,
VLOOKUP"&amp;"(H4966,IMPORTRANGE(""https://docs.google.com/spreadsheets/d/14Bd19lYaqBhU8_DElYkX7l4wRkHqqCUFNJY4AfY3kHU/edit?usp=sharing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J4965" s="7" t="s">
        <v>14</v>
      </c>
    </row>
    <row r="4966" spans="1:10" ht="13.2">
      <c r="A4966" s="7">
        <v>4965</v>
      </c>
      <c r="B4966" s="7">
        <v>1</v>
      </c>
      <c r="C4966" s="7" t="s">
        <v>10</v>
      </c>
      <c r="D4966" s="7">
        <v>4087</v>
      </c>
      <c r="E4966" s="7" t="s">
        <v>18</v>
      </c>
      <c r="F4966" s="8" t="str">
        <f ca="1">IFERROR(__xludf.DUMMYFUNCTION("IF
(
C4967=""фізична особа""
,
VLOOKUP(D4967,IMPORTRANGE(""https://docs.google.com/spreadsheets/d/14Bd19lYaqBhU8_DElYkX7l4wRkHqqCUFNJY4AfY3kHU/edit?usp=sharing  #gid=0"",""фіз особи new!relations_name""),6,FALSE)
,
(IF
(
C4967=""юридична особа""
,
VLOOKUP"&amp;"(D4967,IMPORTRANGE(""https://docs.google.com/spreadsheets/d/14Bd19lYaqBhU8_DElYkX7l4wRkHqqCUFNJY4AfY3kHU/edit?usp=sharing  #gid=0"",""фіз особи new!relations_name_uo""),7,FALSE)
,
)
))"),"ВИБОРНИЙ Володимир Борисович")</f>
        <v>ВИБОРНИЙ Володимир Борисович</v>
      </c>
      <c r="G4966" s="7" t="s">
        <v>10</v>
      </c>
      <c r="H4966" s="7">
        <v>31</v>
      </c>
      <c r="I4966" s="8" t="str">
        <f ca="1">IFERROR(__xludf.DUMMYFUNCTION("IF
(
G4967=""фізична особа""
,
VLOOKUP(H4967,IMPORTRANGE(""https://docs.google.com/spreadsheets/d/14Bd19lYaqBhU8_DElYkX7l4wRkHqqCUFNJY4AfY3kHU/edit?usp=sharing  #gid=0"",""фіз особи new!relations_name""),6,FALSE)
,
(IF
(
G4967=""юридична особа""
,
VLOOKUP"&amp;"(H4967,IMPORTRANGE(""https://docs.google.com/spreadsheets/d/14Bd19lYaqBhU8_DElYkX7l4wRkHqqCUFNJY4AfY3kHU/edit?usp=sharing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J4966" s="7" t="s">
        <v>18</v>
      </c>
    </row>
    <row r="4967" spans="1:10" ht="13.2">
      <c r="A4967" s="7">
        <v>4966</v>
      </c>
      <c r="B4967" s="7">
        <v>1</v>
      </c>
      <c r="C4967" s="7" t="s">
        <v>10</v>
      </c>
      <c r="D4967" s="7">
        <v>4088</v>
      </c>
      <c r="E4967" s="7" t="s">
        <v>17</v>
      </c>
      <c r="F4967" s="8" t="str">
        <f ca="1">IFERROR(__xludf.DUMMYFUNCTION("IF
(
C4968=""фізична особа""
,
VLOOKUP(D4968,IMPORTRANGE(""https://docs.google.com/spreadsheets/d/14Bd19lYaqBhU8_DElYkX7l4wRkHqqCUFNJY4AfY3kHU/edit?usp=sharing  #gid=0"",""фіз особи new!relations_name""),6,FALSE)
,
(IF
(
C4968=""юридична особа""
,
VLOOKUP"&amp;"(D4968,IMPORTRANGE(""https://docs.google.com/spreadsheets/d/14Bd19lYaqBhU8_DElYkX7l4wRkHqqCUFNJY4AfY3kHU/edit?usp=sharing  #gid=0"",""фіз особи new!relations_name_uo""),7,FALSE)
,
)
))"),"ВИБОРНИЙ Олександр Анатолійович")</f>
        <v>ВИБОРНИЙ Олександр Анатолійович</v>
      </c>
      <c r="G4967" s="7" t="s">
        <v>10</v>
      </c>
      <c r="H4967" s="7">
        <v>31</v>
      </c>
      <c r="I4967" s="8" t="str">
        <f ca="1">IFERROR(__xludf.DUMMYFUNCTION("IF
(
G4968=""фізична особа""
,
VLOOKUP(H4968,IMPORTRANGE(""https://docs.google.com/spreadsheets/d/14Bd19lYaqBhU8_DElYkX7l4wRkHqqCUFNJY4AfY3kHU/edit?usp=sharing  #gid=0"",""фіз особи new!relations_name""),6,FALSE)
,
(IF
(
G4968=""юридична особа""
,
VLOOKUP"&amp;"(H4968,IMPORTRANGE(""https://docs.google.com/spreadsheets/d/14Bd19lYaqBhU8_DElYkX7l4wRkHqqCUFNJY4AfY3kHU/edit?usp=sharing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J4967" s="7" t="s">
        <v>12</v>
      </c>
    </row>
    <row r="4968" spans="1:10" ht="13.2">
      <c r="A4968" s="7">
        <v>4967</v>
      </c>
      <c r="B4968" s="7">
        <v>1</v>
      </c>
      <c r="C4968" s="7" t="s">
        <v>10</v>
      </c>
      <c r="D4968" s="7">
        <v>4089</v>
      </c>
      <c r="E4968" s="7" t="s">
        <v>17</v>
      </c>
      <c r="F4968" s="8" t="str">
        <f ca="1">IFERROR(__xludf.DUMMYFUNCTION("IF
(
C4969=""фізична особа""
,
VLOOKUP(D4969,IMPORTRANGE(""https://docs.google.com/spreadsheets/d/14Bd19lYaqBhU8_DElYkX7l4wRkHqqCUFNJY4AfY3kHU/edit?usp=sharing  #gid=0"",""фіз особи new!relations_name""),6,FALSE)
,
(IF
(
C4969=""юридична особа""
,
VLOOKUP"&amp;"(D4969,IMPORTRANGE(""https://docs.google.com/spreadsheets/d/14Bd19lYaqBhU8_DElYkX7l4wRkHqqCUFNJY4AfY3kHU/edit?usp=sharing  #gid=0"",""фіз особи new!relations_name_uo""),7,FALSE)
,
)
))"),"ВИБОРНИЙ Віталій Анатолійович")</f>
        <v>ВИБОРНИЙ Віталій Анатолійович</v>
      </c>
      <c r="G4968" s="7" t="s">
        <v>10</v>
      </c>
      <c r="H4968" s="7">
        <v>31</v>
      </c>
      <c r="I4968" s="8" t="str">
        <f ca="1">IFERROR(__xludf.DUMMYFUNCTION("IF
(
G4969=""фізична особа""
,
VLOOKUP(H4969,IMPORTRANGE(""https://docs.google.com/spreadsheets/d/14Bd19lYaqBhU8_DElYkX7l4wRkHqqCUFNJY4AfY3kHU/edit?usp=sharing  #gid=0"",""фіз особи new!relations_name""),6,FALSE)
,
(IF
(
G4969=""юридична особа""
,
VLOOKUP"&amp;"(H4969,IMPORTRANGE(""https://docs.google.com/spreadsheets/d/14Bd19lYaqBhU8_DElYkX7l4wRkHqqCUFNJY4AfY3kHU/edit?usp=sharing  #gid=0"",""фіз особи new!relations_name_uo""),7,FALSE)
,
)
))"),"ВИБОРНИЙ Анатолій Борисович")</f>
        <v>ВИБОРНИЙ Анатолій Борисович</v>
      </c>
      <c r="J4968" s="7" t="s">
        <v>12</v>
      </c>
    </row>
    <row r="4969" spans="1:10" ht="13.2">
      <c r="A4969" s="7">
        <v>4968</v>
      </c>
      <c r="B4969" s="7">
        <v>1</v>
      </c>
      <c r="C4969" s="7" t="s">
        <v>10</v>
      </c>
      <c r="D4969" s="7">
        <v>4090</v>
      </c>
      <c r="E4969" s="7" t="s">
        <v>15</v>
      </c>
      <c r="F4969" s="8" t="str">
        <f ca="1">IFERROR(__xludf.DUMMYFUNCTION("IF
(
C4970=""фізична особа""
,
VLOOKUP(D4970,IMPORTRANGE(""https://docs.google.com/spreadsheets/d/14Bd19lYaqBhU8_DElYkX7l4wRkHqqCUFNJY4AfY3kHU/edit?usp=sharing  #gid=0"",""фіз особи new!relations_name""),6,FALSE)
,
(IF
(
C4970=""юридична особа""
,
VLOOKUP"&amp;"(D4970,IMPORTRANGE(""https://docs.google.com/spreadsheets/d/14Bd19lYaqBhU8_DElYkX7l4wRkHqqCUFNJY4AfY3kHU/edit?usp=sharing  #gid=0"",""фіз особи new!relations_name_uo""),7,FALSE)
,
)
))"),"БУЛАНОВА Наталія Володимирівна")</f>
        <v>БУЛАНОВА Наталія Володимирівна</v>
      </c>
      <c r="G4969" s="7" t="s">
        <v>10</v>
      </c>
      <c r="H4969" s="7">
        <v>33</v>
      </c>
      <c r="I4969" s="8" t="str">
        <f ca="1">IFERROR(__xludf.DUMMYFUNCTION("IF
(
G4970=""фізична особа""
,
VLOOKUP(H4970,IMPORTRANGE(""https://docs.google.com/spreadsheets/d/14Bd19lYaqBhU8_DElYkX7l4wRkHqqCUFNJY4AfY3kHU/edit?usp=sharing  #gid=0"",""фіз особи new!relations_name""),6,FALSE)
,
(IF
(
G4970=""юридична особа""
,
VLOOKUP"&amp;"(H4970,IMPORTRANGE(""https://docs.google.com/spreadsheets/d/14Bd19lYaqBhU8_DElYkX7l4wRkHqqCUFNJY4AfY3kHU/edit?usp=sharing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J4969" s="7" t="s">
        <v>14</v>
      </c>
    </row>
    <row r="4970" spans="1:10" ht="13.2">
      <c r="A4970" s="7">
        <v>4969</v>
      </c>
      <c r="B4970" s="7">
        <v>1</v>
      </c>
      <c r="C4970" s="7" t="s">
        <v>10</v>
      </c>
      <c r="D4970" s="7">
        <v>4091</v>
      </c>
      <c r="E4970" s="7" t="s">
        <v>17</v>
      </c>
      <c r="F4970" s="8" t="str">
        <f ca="1">IFERROR(__xludf.DUMMYFUNCTION("IF
(
C4971=""фізична особа""
,
VLOOKUP(D4971,IMPORTRANGE(""https://docs.google.com/spreadsheets/d/14Bd19lYaqBhU8_DElYkX7l4wRkHqqCUFNJY4AfY3kHU/edit?usp=sharing  #gid=0"",""фіз особи new!relations_name""),6,FALSE)
,
(IF
(
C4971=""юридична особа""
,
VLOOKUP"&amp;"(D4971,IMPORTRANGE(""https://docs.google.com/spreadsheets/d/14Bd19lYaqBhU8_DElYkX7l4wRkHqqCUFNJY4AfY3kHU/edit?usp=sharing  #gid=0"",""фіз особи new!relations_name_uo""),7,FALSE)
,
)
))"),"КАРПОВ Анатолій Анатолійович")</f>
        <v>КАРПОВ Анатолій Анатолійович</v>
      </c>
      <c r="G4970" s="7" t="s">
        <v>10</v>
      </c>
      <c r="H4970" s="7">
        <v>33</v>
      </c>
      <c r="I4970" s="8" t="str">
        <f ca="1">IFERROR(__xludf.DUMMYFUNCTION("IF
(
G4971=""фізична особа""
,
VLOOKUP(H4971,IMPORTRANGE(""https://docs.google.com/spreadsheets/d/14Bd19lYaqBhU8_DElYkX7l4wRkHqqCUFNJY4AfY3kHU/edit?usp=sharing  #gid=0"",""фіз особи new!relations_name""),6,FALSE)
,
(IF
(
G4971=""юридична особа""
,
VLOOKUP"&amp;"(H4971,IMPORTRANGE(""https://docs.google.com/spreadsheets/d/14Bd19lYaqBhU8_DElYkX7l4wRkHqqCUFNJY4AfY3kHU/edit?usp=sharing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J4970" s="7" t="s">
        <v>12</v>
      </c>
    </row>
    <row r="4971" spans="1:10" ht="13.2">
      <c r="A4971" s="7">
        <v>4970</v>
      </c>
      <c r="B4971" s="7">
        <v>1</v>
      </c>
      <c r="C4971" s="7" t="s">
        <v>10</v>
      </c>
      <c r="D4971" s="7">
        <v>4092</v>
      </c>
      <c r="E4971" s="7" t="s">
        <v>13</v>
      </c>
      <c r="F4971" s="8" t="str">
        <f ca="1">IFERROR(__xludf.DUMMYFUNCTION("IF
(
C4972=""фізична особа""
,
VLOOKUP(D4972,IMPORTRANGE(""https://docs.google.com/spreadsheets/d/14Bd19lYaqBhU8_DElYkX7l4wRkHqqCUFNJY4AfY3kHU/edit?usp=sharing  #gid=0"",""фіз особи new!relations_name""),6,FALSE)
,
(IF
(
C4972=""юридична особа""
,
VLOOKUP"&amp;"(D4972,IMPORTRANGE(""https://docs.google.com/spreadsheets/d/14Bd19lYaqBhU8_DElYkX7l4wRkHqqCUFNJY4AfY3kHU/edit?usp=sharing  #gid=0"",""фіз особи new!relations_name_uo""),7,FALSE)
,
)
))"),"КАРПОВА Софія Анатоліївна")</f>
        <v>КАРПОВА Софія Анатоліївна</v>
      </c>
      <c r="G4971" s="7" t="s">
        <v>10</v>
      </c>
      <c r="H4971" s="7">
        <v>33</v>
      </c>
      <c r="I4971" s="8" t="str">
        <f ca="1">IFERROR(__xludf.DUMMYFUNCTION("IF
(
G4972=""фізична особа""
,
VLOOKUP(H4972,IMPORTRANGE(""https://docs.google.com/spreadsheets/d/14Bd19lYaqBhU8_DElYkX7l4wRkHqqCUFNJY4AfY3kHU/edit?usp=sharing  #gid=0"",""фіз особи new!relations_name""),6,FALSE)
,
(IF
(
G4972=""юридична особа""
,
VLOOKUP"&amp;"(H4972,IMPORTRANGE(""https://docs.google.com/spreadsheets/d/14Bd19lYaqBhU8_DElYkX7l4wRkHqqCUFNJY4AfY3kHU/edit?usp=sharing  #gid=0"",""фіз особи new!relations_name_uo""),7,FALSE)
,
)
))"),"КАРПОВ Анатолій Євгенович")</f>
        <v>КАРПОВ Анатолій Євгенович</v>
      </c>
      <c r="J4971" s="7" t="s">
        <v>12</v>
      </c>
    </row>
    <row r="4972" spans="1:10" ht="13.2">
      <c r="A4972" s="7">
        <v>4971</v>
      </c>
      <c r="B4972" s="7">
        <v>1</v>
      </c>
      <c r="C4972" s="7" t="s">
        <v>10</v>
      </c>
      <c r="D4972" s="7">
        <v>4093</v>
      </c>
      <c r="E4972" s="7" t="s">
        <v>15</v>
      </c>
      <c r="F4972" s="8" t="str">
        <f ca="1">IFERROR(__xludf.DUMMYFUNCTION("IF
(
C4973=""фізична особа""
,
VLOOKUP(D4973,IMPORTRANGE(""https://docs.google.com/spreadsheets/d/14Bd19lYaqBhU8_DElYkX7l4wRkHqqCUFNJY4AfY3kHU/edit?usp=sharing  #gid=0"",""фіз особи new!relations_name""),6,FALSE)
,
(IF
(
C4973=""юридична особа""
,
VLOOKUP"&amp;"(D4973,IMPORTRANGE(""https://docs.google.com/spreadsheets/d/14Bd19lYaqBhU8_DElYkX7l4wRkHqqCUFNJY4AfY3kHU/edit?usp=sharing  #gid=0"",""фіз особи new!relations_name_uo""),7,FALSE)
,
)
))"),"ЛІСІЦИНА Раїса Леонідівна")</f>
        <v>ЛІСІЦИНА Раїса Леонідівна</v>
      </c>
      <c r="G4972" s="7" t="s">
        <v>10</v>
      </c>
      <c r="H4972" s="7">
        <v>36</v>
      </c>
      <c r="I4972" s="8" t="str">
        <f ca="1">IFERROR(__xludf.DUMMYFUNCTION("IF
(
G4973=""фізична особа""
,
VLOOKUP(H4973,IMPORTRANGE(""https://docs.google.com/spreadsheets/d/14Bd19lYaqBhU8_DElYkX7l4wRkHqqCUFNJY4AfY3kHU/edit?usp=sharing  #gid=0"",""фіз особи new!relations_name""),6,FALSE)
,
(IF
(
G4973=""юридична особа""
,
VLOOKUP"&amp;"(H4973,IMPORTRANGE(""https://docs.google.com/spreadsheets/d/14Bd19lYaqBhU8_DElYkX7l4wRkHqqCUFNJY4AfY3kHU/edit?usp=sharing  #gid=0"",""фіз особи new!relations_name_uo""),7,FALSE)
,
)
))"),"ЛІСІЦИН Анатолій Іванович")</f>
        <v>ЛІСІЦИН Анатолій Іванович</v>
      </c>
      <c r="J4972" s="7" t="s">
        <v>14</v>
      </c>
    </row>
    <row r="4973" spans="1:10" ht="13.2">
      <c r="A4973" s="7">
        <v>4972</v>
      </c>
      <c r="B4973" s="7">
        <v>1</v>
      </c>
      <c r="C4973" s="7" t="s">
        <v>10</v>
      </c>
      <c r="D4973" s="7">
        <v>4094</v>
      </c>
      <c r="E4973" s="7" t="s">
        <v>13</v>
      </c>
      <c r="F4973" s="8" t="str">
        <f ca="1">IFERROR(__xludf.DUMMYFUNCTION("IF
(
C4974=""фізична особа""
,
VLOOKUP(D4974,IMPORTRANGE(""https://docs.google.com/spreadsheets/d/14Bd19lYaqBhU8_DElYkX7l4wRkHqqCUFNJY4AfY3kHU/edit?usp=sharing  #gid=0"",""фіз особи new!relations_name""),6,FALSE)
,
(IF
(
C4974=""юридична особа""
,
VLOOKUP"&amp;"(D4974,IMPORTRANGE(""https://docs.google.com/spreadsheets/d/14Bd19lYaqBhU8_DElYkX7l4wRkHqqCUFNJY4AfY3kHU/edit?usp=sharing  #gid=0"",""фіз особи new!relations_name_uo""),7,FALSE)
,
)
))"),"ЛІСІЦИНА Ольга Анатоліївна")</f>
        <v>ЛІСІЦИНА Ольга Анатоліївна</v>
      </c>
      <c r="G4973" s="7" t="s">
        <v>10</v>
      </c>
      <c r="H4973" s="7">
        <v>36</v>
      </c>
      <c r="I4973" s="8" t="str">
        <f ca="1">IFERROR(__xludf.DUMMYFUNCTION("IF
(
G4974=""фізична особа""
,
VLOOKUP(H4974,IMPORTRANGE(""https://docs.google.com/spreadsheets/d/14Bd19lYaqBhU8_DElYkX7l4wRkHqqCUFNJY4AfY3kHU/edit?usp=sharing  #gid=0"",""фіз особи new!relations_name""),6,FALSE)
,
(IF
(
G4974=""юридична особа""
,
VLOOKUP"&amp;"(H4974,IMPORTRANGE(""https://docs.google.com/spreadsheets/d/14Bd19lYaqBhU8_DElYkX7l4wRkHqqCUFNJY4AfY3kHU/edit?usp=sharing  #gid=0"",""фіз особи new!relations_name_uo""),7,FALSE)
,
)
))"),"ЛІСІЦИН Анатолій Іванович")</f>
        <v>ЛІСІЦИН Анатолій Іванович</v>
      </c>
      <c r="J4973" s="7" t="s">
        <v>12</v>
      </c>
    </row>
    <row r="4974" spans="1:10" ht="13.2">
      <c r="A4974" s="7">
        <v>4973</v>
      </c>
      <c r="B4974" s="7">
        <v>1</v>
      </c>
      <c r="C4974" s="7" t="s">
        <v>10</v>
      </c>
      <c r="D4974" s="7">
        <v>4095</v>
      </c>
      <c r="E4974" s="7" t="s">
        <v>15</v>
      </c>
      <c r="F4974" s="8" t="str">
        <f ca="1">IFERROR(__xludf.DUMMYFUNCTION("IF
(
C4975=""фізична особа""
,
VLOOKUP(D4975,IMPORTRANGE(""https://docs.google.com/spreadsheets/d/14Bd19lYaqBhU8_DElYkX7l4wRkHqqCUFNJY4AfY3kHU/edit?usp=sharing  #gid=0"",""фіз особи new!relations_name""),6,FALSE)
,
(IF
(
C4975=""юридична особа""
,
VLOOKUP"&amp;"(D4975,IMPORTRANGE(""https://docs.google.com/spreadsheets/d/14Bd19lYaqBhU8_DElYkX7l4wRkHqqCUFNJY4AfY3kHU/edit?usp=sharing  #gid=0"",""фіз особи new!relations_name_uo""),7,FALSE)
,
)
))"),"ВОРОНОВСЬКА Олена Василівна")</f>
        <v>ВОРОНОВСЬКА Олена Василівна</v>
      </c>
      <c r="G4974" s="7" t="s">
        <v>10</v>
      </c>
      <c r="H4974" s="7">
        <v>39</v>
      </c>
      <c r="I4974" s="8" t="str">
        <f ca="1">IFERROR(__xludf.DUMMYFUNCTION("IF
(
G4975=""фізична особа""
,
VLOOKUP(H4975,IMPORTRANGE(""https://docs.google.com/spreadsheets/d/14Bd19lYaqBhU8_DElYkX7l4wRkHqqCUFNJY4AfY3kHU/edit?usp=sharing  #gid=0"",""фіз особи new!relations_name""),6,FALSE)
,
(IF
(
G4975=""юридична особа""
,
VLOOKUP"&amp;"(H4975,IMPORTRANGE(""https://docs.google.com/spreadsheets/d/14Bd19lYaqBhU8_DElYkX7l4wRkHqqCUFNJY4AfY3kHU/edit?usp=sharing  #gid=0"",""фіз особи new!relations_name_uo""),7,FALSE)
,
)
))"),"ВОРОНОВСЬКИЙ Анатолій Володимирович")</f>
        <v>ВОРОНОВСЬКИЙ Анатолій Володимирович</v>
      </c>
      <c r="J4974" s="7" t="s">
        <v>14</v>
      </c>
    </row>
    <row r="4975" spans="1:10" ht="13.2">
      <c r="A4975" s="7">
        <v>4974</v>
      </c>
      <c r="B4975" s="7">
        <v>1</v>
      </c>
      <c r="C4975" s="7" t="s">
        <v>10</v>
      </c>
      <c r="D4975" s="7">
        <v>4096</v>
      </c>
      <c r="E4975" s="7" t="s">
        <v>17</v>
      </c>
      <c r="F4975" s="8" t="str">
        <f ca="1">IFERROR(__xludf.DUMMYFUNCTION("IF
(
C4976=""фізична особа""
,
VLOOKUP(D4976,IMPORTRANGE(""https://docs.google.com/spreadsheets/d/14Bd19lYaqBhU8_DElYkX7l4wRkHqqCUFNJY4AfY3kHU/edit?usp=sharing  #gid=0"",""фіз особи new!relations_name""),6,FALSE)
,
(IF
(
C4976=""юридична особа""
,
VLOOKUP"&amp;"(D4976,IMPORTRANGE(""https://docs.google.com/spreadsheets/d/14Bd19lYaqBhU8_DElYkX7l4wRkHqqCUFNJY4AfY3kHU/edit?usp=sharing  #gid=0"",""фіз особи new!relations_name_uo""),7,FALSE)
,
)
))"),"ВОРОНОВСЬКИЙ Антон Анатолійович")</f>
        <v>ВОРОНОВСЬКИЙ Антон Анатолійович</v>
      </c>
      <c r="G4975" s="7" t="s">
        <v>10</v>
      </c>
      <c r="H4975" s="7">
        <v>39</v>
      </c>
      <c r="I4975" s="8" t="str">
        <f ca="1">IFERROR(__xludf.DUMMYFUNCTION("IF
(
G4976=""фізична особа""
,
VLOOKUP(H4976,IMPORTRANGE(""https://docs.google.com/spreadsheets/d/14Bd19lYaqBhU8_DElYkX7l4wRkHqqCUFNJY4AfY3kHU/edit?usp=sharing  #gid=0"",""фіз особи new!relations_name""),6,FALSE)
,
(IF
(
G4976=""юридична особа""
,
VLOOKUP"&amp;"(H4976,IMPORTRANGE(""https://docs.google.com/spreadsheets/d/14Bd19lYaqBhU8_DElYkX7l4wRkHqqCUFNJY4AfY3kHU/edit?usp=sharing  #gid=0"",""фіз особи new!relations_name_uo""),7,FALSE)
,
)
))"),"ВОРОНОВСЬКИЙ Анатолій Володимирович")</f>
        <v>ВОРОНОВСЬКИЙ Анатолій Володимирович</v>
      </c>
      <c r="J4975" s="7" t="s">
        <v>12</v>
      </c>
    </row>
    <row r="4976" spans="1:10" ht="13.2">
      <c r="A4976" s="7">
        <v>4975</v>
      </c>
      <c r="B4976" s="7">
        <v>1</v>
      </c>
      <c r="C4976" s="7" t="s">
        <v>10</v>
      </c>
      <c r="D4976" s="7">
        <v>4097</v>
      </c>
      <c r="E4976" s="7" t="s">
        <v>15</v>
      </c>
      <c r="F4976" s="8" t="str">
        <f ca="1">IFERROR(__xludf.DUMMYFUNCTION("IF
(
C4977=""фізична особа""
,
VLOOKUP(D4977,IMPORTRANGE(""https://docs.google.com/spreadsheets/d/14Bd19lYaqBhU8_DElYkX7l4wRkHqqCUFNJY4AfY3kHU/edit?usp=sharing  #gid=0"",""фіз особи new!relations_name""),6,FALSE)
,
(IF
(
C4977=""юридична особа""
,
VLOOKUP"&amp;"(D4977,IMPORTRANGE(""https://docs.google.com/spreadsheets/d/14Bd19lYaqBhU8_DElYkX7l4wRkHqqCUFNJY4AfY3kHU/edit?usp=sharing  #gid=0"",""фіз особи new!relations_name_uo""),7,FALSE)
,
)
))"),"БІФОВА Ірина Теміржановна")</f>
        <v>БІФОВА Ірина Теміржановна</v>
      </c>
      <c r="G4976" s="7" t="s">
        <v>10</v>
      </c>
      <c r="H4976" s="7">
        <v>40</v>
      </c>
      <c r="I4976" s="8" t="str">
        <f ca="1">IFERROR(__xludf.DUMMYFUNCTION("IF
(
G4977=""фізична особа""
,
VLOOKUP(H4977,IMPORTRANGE(""https://docs.google.com/spreadsheets/d/14Bd19lYaqBhU8_DElYkX7l4wRkHqqCUFNJY4AfY3kHU/edit?usp=sharing  #gid=0"",""фіз особи new!relations_name""),6,FALSE)
,
(IF
(
G4977=""юридична особа""
,
VLOOKUP"&amp;"(H4977,IMPORTRANGE(""https://docs.google.com/spreadsheets/d/14Bd19lYaqBhU8_DElYkX7l4wRkHqqCUFNJY4AfY3kHU/edit?usp=sharing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76" s="7" t="s">
        <v>14</v>
      </c>
    </row>
    <row r="4977" spans="1:10" ht="13.2">
      <c r="A4977" s="7">
        <v>4976</v>
      </c>
      <c r="B4977" s="7">
        <v>1</v>
      </c>
      <c r="C4977" s="7" t="s">
        <v>10</v>
      </c>
      <c r="D4977" s="7">
        <v>4098</v>
      </c>
      <c r="E4977" s="7" t="s">
        <v>18</v>
      </c>
      <c r="F4977" s="8" t="str">
        <f ca="1">IFERROR(__xludf.DUMMYFUNCTION("IF
(
C4978=""фізична особа""
,
VLOOKUP(D4978,IMPORTRANGE(""https://docs.google.com/spreadsheets/d/14Bd19lYaqBhU8_DElYkX7l4wRkHqqCUFNJY4AfY3kHU/edit?usp=sharing  #gid=0"",""фіз особи new!relations_name""),6,FALSE)
,
(IF
(
C4978=""юридична особа""
,
VLOOKUP"&amp;"(D4978,IMPORTRANGE(""https://docs.google.com/spreadsheets/d/14Bd19lYaqBhU8_DElYkX7l4wRkHqqCUFNJY4AfY3kHU/edit?usp=sharing  #gid=0"",""фіз особи new!relations_name_uo""),7,FALSE)
,
)
))"),"БІФОВ Заур Жамалович")</f>
        <v>БІФОВ Заур Жамалович</v>
      </c>
      <c r="G4977" s="7" t="s">
        <v>10</v>
      </c>
      <c r="H4977" s="7">
        <v>40</v>
      </c>
      <c r="I4977" s="8" t="str">
        <f ca="1">IFERROR(__xludf.DUMMYFUNCTION("IF
(
G4978=""фізична особа""
,
VLOOKUP(H4978,IMPORTRANGE(""https://docs.google.com/spreadsheets/d/14Bd19lYaqBhU8_DElYkX7l4wRkHqqCUFNJY4AfY3kHU/edit?usp=sharing  #gid=0"",""фіз особи new!relations_name""),6,FALSE)
,
(IF
(
G4978=""юридична особа""
,
VLOOKUP"&amp;"(H4978,IMPORTRANGE(""https://docs.google.com/spreadsheets/d/14Bd19lYaqBhU8_DElYkX7l4wRkHqqCUFNJY4AfY3kHU/edit?usp=sharing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77" s="7" t="s">
        <v>18</v>
      </c>
    </row>
    <row r="4978" spans="1:10" ht="13.2">
      <c r="A4978" s="7">
        <v>4977</v>
      </c>
      <c r="B4978" s="7">
        <v>1</v>
      </c>
      <c r="C4978" s="7" t="s">
        <v>10</v>
      </c>
      <c r="D4978" s="7">
        <v>4099</v>
      </c>
      <c r="E4978" s="7" t="s">
        <v>18</v>
      </c>
      <c r="F4978" s="8" t="str">
        <f ca="1">IFERROR(__xludf.DUMMYFUNCTION("IF
(
C4979=""фізична особа""
,
VLOOKUP(D4979,IMPORTRANGE(""https://docs.google.com/spreadsheets/d/14Bd19lYaqBhU8_DElYkX7l4wRkHqqCUFNJY4AfY3kHU/edit?usp=sharing  #gid=0"",""фіз особи new!relations_name""),6,FALSE)
,
(IF
(
C4979=""юридична особа""
,
VLOOKUP"&amp;"(D4979,IMPORTRANGE(""https://docs.google.com/spreadsheets/d/14Bd19lYaqBhU8_DElYkX7l4wRkHqqCUFNJY4AfY3kHU/edit?usp=sharing  #gid=0"",""фіз особи new!relations_name_uo""),7,FALSE)
,
)
))"),"БІФОВ Аслан Жамолович")</f>
        <v>БІФОВ Аслан Жамолович</v>
      </c>
      <c r="G4978" s="7" t="s">
        <v>10</v>
      </c>
      <c r="H4978" s="7">
        <v>40</v>
      </c>
      <c r="I4978" s="8" t="str">
        <f ca="1">IFERROR(__xludf.DUMMYFUNCTION("IF
(
G4979=""фізична особа""
,
VLOOKUP(H4979,IMPORTRANGE(""https://docs.google.com/spreadsheets/d/14Bd19lYaqBhU8_DElYkX7l4wRkHqqCUFNJY4AfY3kHU/edit?usp=sharing  #gid=0"",""фіз особи new!relations_name""),6,FALSE)
,
(IF
(
G4979=""юридична особа""
,
VLOOKUP"&amp;"(H4979,IMPORTRANGE(""https://docs.google.com/spreadsheets/d/14Bd19lYaqBhU8_DElYkX7l4wRkHqqCUFNJY4AfY3kHU/edit?usp=sharing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78" s="7" t="s">
        <v>18</v>
      </c>
    </row>
    <row r="4979" spans="1:10" ht="13.2">
      <c r="A4979" s="7">
        <v>4978</v>
      </c>
      <c r="B4979" s="7">
        <v>1</v>
      </c>
      <c r="C4979" s="7" t="s">
        <v>10</v>
      </c>
      <c r="D4979" s="7">
        <v>4100</v>
      </c>
      <c r="E4979" s="7" t="s">
        <v>17</v>
      </c>
      <c r="F4979" s="8" t="str">
        <f ca="1">IFERROR(__xludf.DUMMYFUNCTION("IF
(
C4980=""фізична особа""
,
VLOOKUP(D4980,IMPORTRANGE(""https://docs.google.com/spreadsheets/d/14Bd19lYaqBhU8_DElYkX7l4wRkHqqCUFNJY4AfY3kHU/edit?usp=sharing  #gid=0"",""фіз особи new!relations_name""),6,FALSE)
,
(IF
(
C4980=""юридична особа""
,
VLOOKUP"&amp;"(D4980,IMPORTRANGE(""https://docs.google.com/spreadsheets/d/14Bd19lYaqBhU8_DElYkX7l4wRkHqqCUFNJY4AfY3kHU/edit?usp=sharing  #gid=0"",""фіз особи new!relations_name_uo""),7,FALSE)
,
)
))"),"БІФОВ Анзор Анатолійович")</f>
        <v>БІФОВ Анзор Анатолійович</v>
      </c>
      <c r="G4979" s="7" t="s">
        <v>10</v>
      </c>
      <c r="H4979" s="7">
        <v>40</v>
      </c>
      <c r="I4979" s="8" t="str">
        <f ca="1">IFERROR(__xludf.DUMMYFUNCTION("IF
(
G4980=""фізична особа""
,
VLOOKUP(H4980,IMPORTRANGE(""https://docs.google.com/spreadsheets/d/14Bd19lYaqBhU8_DElYkX7l4wRkHqqCUFNJY4AfY3kHU/edit?usp=sharing  #gid=0"",""фіз особи new!relations_name""),6,FALSE)
,
(IF
(
G4980=""юридична особа""
,
VLOOKUP"&amp;"(H4980,IMPORTRANGE(""https://docs.google.com/spreadsheets/d/14Bd19lYaqBhU8_DElYkX7l4wRkHqqCUFNJY4AfY3kHU/edit?usp=sharing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79" s="7" t="s">
        <v>12</v>
      </c>
    </row>
    <row r="4980" spans="1:10" ht="13.2">
      <c r="A4980" s="7">
        <v>4979</v>
      </c>
      <c r="B4980" s="7">
        <v>1</v>
      </c>
      <c r="C4980" s="7" t="s">
        <v>10</v>
      </c>
      <c r="D4980" s="7">
        <v>4101</v>
      </c>
      <c r="E4980" s="7" t="s">
        <v>17</v>
      </c>
      <c r="F4980" s="8" t="str">
        <f ca="1">IFERROR(__xludf.DUMMYFUNCTION("IF
(
C4981=""фізична особа""
,
VLOOKUP(D4981,IMPORTRANGE(""https://docs.google.com/spreadsheets/d/14Bd19lYaqBhU8_DElYkX7l4wRkHqqCUFNJY4AfY3kHU/edit?usp=sharing  #gid=0"",""фіз особи new!relations_name""),6,FALSE)
,
(IF
(
C4981=""юридична особа""
,
VLOOKUP"&amp;"(D4981,IMPORTRANGE(""https://docs.google.com/spreadsheets/d/14Bd19lYaqBhU8_DElYkX7l4wRkHqqCUFNJY4AfY3kHU/edit?usp=sharing  #gid=0"",""фіз особи new!relations_name_uo""),7,FALSE)
,
)
))"),"БІФОВ Аскер Анатолійович")</f>
        <v>БІФОВ Аскер Анатолійович</v>
      </c>
      <c r="G4980" s="7" t="s">
        <v>10</v>
      </c>
      <c r="H4980" s="7">
        <v>40</v>
      </c>
      <c r="I4980" s="8" t="str">
        <f ca="1">IFERROR(__xludf.DUMMYFUNCTION("IF
(
G4981=""фізична особа""
,
VLOOKUP(H4981,IMPORTRANGE(""https://docs.google.com/spreadsheets/d/14Bd19lYaqBhU8_DElYkX7l4wRkHqqCUFNJY4AfY3kHU/edit?usp=sharing  #gid=0"",""фіз особи new!relations_name""),6,FALSE)
,
(IF
(
G4981=""юридична особа""
,
VLOOKUP"&amp;"(H4981,IMPORTRANGE(""https://docs.google.com/spreadsheets/d/14Bd19lYaqBhU8_DElYkX7l4wRkHqqCUFNJY4AfY3kHU/edit?usp=sharing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80" s="7" t="s">
        <v>12</v>
      </c>
    </row>
    <row r="4981" spans="1:10" ht="13.2">
      <c r="A4981" s="7">
        <v>4980</v>
      </c>
      <c r="B4981" s="7">
        <v>1</v>
      </c>
      <c r="C4981" s="7" t="s">
        <v>10</v>
      </c>
      <c r="D4981" s="7">
        <v>4102</v>
      </c>
      <c r="E4981" s="7" t="s">
        <v>13</v>
      </c>
      <c r="F4981" s="8" t="str">
        <f ca="1">IFERROR(__xludf.DUMMYFUNCTION("IF
(
C4982=""фізична особа""
,
VLOOKUP(D4982,IMPORTRANGE(""https://docs.google.com/spreadsheets/d/14Bd19lYaqBhU8_DElYkX7l4wRkHqqCUFNJY4AfY3kHU/edit?usp=sharing  #gid=0"",""фіз особи new!relations_name""),6,FALSE)
,
(IF
(
C4982=""юридична особа""
,
VLOOKUP"&amp;"(D4982,IMPORTRANGE(""https://docs.google.com/spreadsheets/d/14Bd19lYaqBhU8_DElYkX7l4wRkHqqCUFNJY4AfY3kHU/edit?usp=sharing  #gid=0"",""фіз особи new!relations_name_uo""),7,FALSE)
,
)
))"),"БІФОВА Алія Анатоліївна")</f>
        <v>БІФОВА Алія Анатоліївна</v>
      </c>
      <c r="G4981" s="7" t="s">
        <v>10</v>
      </c>
      <c r="H4981" s="7">
        <v>40</v>
      </c>
      <c r="I4981" s="8" t="str">
        <f ca="1">IFERROR(__xludf.DUMMYFUNCTION("IF
(
G4982=""фізична особа""
,
VLOOKUP(H4982,IMPORTRANGE(""https://docs.google.com/spreadsheets/d/14Bd19lYaqBhU8_DElYkX7l4wRkHqqCUFNJY4AfY3kHU/edit?usp=sharing  #gid=0"",""фіз особи new!relations_name""),6,FALSE)
,
(IF
(
G4982=""юридична особа""
,
VLOOKUP"&amp;"(H4982,IMPORTRANGE(""https://docs.google.com/spreadsheets/d/14Bd19lYaqBhU8_DElYkX7l4wRkHqqCUFNJY4AfY3kHU/edit?usp=sharing  #gid=0"",""фіз особи new!relations_name_uo""),7,FALSE)
,
)
))"),"БІФОВ Анатолій Жамалович")</f>
        <v>БІФОВ Анатолій Жамалович</v>
      </c>
      <c r="J4981" s="7" t="s">
        <v>12</v>
      </c>
    </row>
    <row r="4982" spans="1:10" ht="13.2">
      <c r="A4982" s="7">
        <v>4981</v>
      </c>
      <c r="B4982" s="7">
        <v>1</v>
      </c>
      <c r="C4982" s="7" t="s">
        <v>10</v>
      </c>
      <c r="D4982" s="7">
        <v>4103</v>
      </c>
      <c r="E4982" s="7" t="s">
        <v>15</v>
      </c>
      <c r="F4982" s="8" t="str">
        <f ca="1">IFERROR(__xludf.DUMMYFUNCTION("IF
(
C4983=""фізична особа""
,
VLOOKUP(D4983,IMPORTRANGE(""https://docs.google.com/spreadsheets/d/14Bd19lYaqBhU8_DElYkX7l4wRkHqqCUFNJY4AfY3kHU/edit?usp=sharing  #gid=0"",""фіз особи new!relations_name""),6,FALSE)
,
(IF
(
C4983=""юридична особа""
,
VLOOKUP"&amp;"(D4983,IMPORTRANGE(""https://docs.google.com/spreadsheets/d/14Bd19lYaqBhU8_DElYkX7l4wRkHqqCUFNJY4AfY3kHU/edit?usp=sharing  #gid=0"",""фіз особи new!relations_name_uo""),7,FALSE)
,
)
))"),"ЛУГОВА Ксенія Олексіївна")</f>
        <v>ЛУГОВА Ксенія Олексіївна</v>
      </c>
      <c r="G4982" s="7" t="s">
        <v>10</v>
      </c>
      <c r="H4982" s="7">
        <v>47</v>
      </c>
      <c r="I4982" s="8" t="str">
        <f ca="1">IFERROR(__xludf.DUMMYFUNCTION("IF
(
G4983=""фізична особа""
,
VLOOKUP(H4983,IMPORTRANGE(""https://docs.google.com/spreadsheets/d/14Bd19lYaqBhU8_DElYkX7l4wRkHqqCUFNJY4AfY3kHU/edit?usp=sharing  #gid=0"",""фіз особи new!relations_name""),6,FALSE)
,
(IF
(
G4983=""юридична особа""
,
VLOOKUP"&amp;"(H4983,IMPORTRANGE(""https://docs.google.com/spreadsheets/d/14Bd19lYaqBhU8_DElYkX7l4wRkHqqCUFNJY4AfY3kHU/edit?usp=sharing  #gid=0"",""фіз особи new!relations_name_uo""),7,FALSE)
,
)
))"),"ЛУГОВИЙ Андрій Костянтинович")</f>
        <v>ЛУГОВИЙ Андрій Костянтинович</v>
      </c>
      <c r="J4982" s="7" t="s">
        <v>14</v>
      </c>
    </row>
    <row r="4983" spans="1:10" ht="13.2">
      <c r="A4983" s="7">
        <v>4982</v>
      </c>
      <c r="B4983" s="7">
        <v>1</v>
      </c>
      <c r="C4983" s="7" t="s">
        <v>10</v>
      </c>
      <c r="D4983" s="7">
        <v>4104</v>
      </c>
      <c r="E4983" s="7" t="s">
        <v>43</v>
      </c>
      <c r="F4983" s="8" t="str">
        <f ca="1">IFERROR(__xludf.DUMMYFUNCTION("IF
(
C4984=""фізична особа""
,
VLOOKUP(D4984,IMPORTRANGE(""https://docs.google.com/spreadsheets/d/14Bd19lYaqBhU8_DElYkX7l4wRkHqqCUFNJY4AfY3kHU/edit?usp=sharing  #gid=0"",""фіз особи new!relations_name""),6,FALSE)
,
(IF
(
C4984=""юридична особа""
,
VLOOKUP"&amp;"(D4984,IMPORTRANGE(""https://docs.google.com/spreadsheets/d/14Bd19lYaqBhU8_DElYkX7l4wRkHqqCUFNJY4AfY3kHU/edit?usp=sharing  #gid=0"",""фіз особи new!relations_name_uo""),7,FALSE)
,
)
))"),"ЛІХАЧ Олена Олександрівна")</f>
        <v>ЛІХАЧ Олена Олександрівна</v>
      </c>
      <c r="G4983" s="7" t="s">
        <v>10</v>
      </c>
      <c r="H4983" s="7">
        <v>56</v>
      </c>
      <c r="I4983" s="8" t="str">
        <f ca="1">IFERROR(__xludf.DUMMYFUNCTION("IF
(
G4984=""фізична особа""
,
VLOOKUP(H4984,IMPORTRANGE(""https://docs.google.com/spreadsheets/d/14Bd19lYaqBhU8_DElYkX7l4wRkHqqCUFNJY4AfY3kHU/edit?usp=sharing  #gid=0"",""фіз особи new!relations_name""),6,FALSE)
,
(IF
(
G4984=""юридична особа""
,
VLOOKUP"&amp;"(H4984,IMPORTRANGE(""https://docs.google.com/spreadsheets/d/14Bd19lYaqBhU8_DElYkX7l4wRkHqqCUFNJY4AfY3kHU/edit?usp=sharing  #gid=0"",""фіз особи new!relations_name_uo""),7,FALSE)
,
)
))"),"СКОЧ Андрій Володимирович")</f>
        <v>СКОЧ Андрій Володимирович</v>
      </c>
      <c r="J4983" s="7" t="s">
        <v>42</v>
      </c>
    </row>
    <row r="4984" spans="1:10" ht="13.2">
      <c r="A4984" s="7">
        <v>4983</v>
      </c>
      <c r="B4984" s="7">
        <v>1</v>
      </c>
      <c r="C4984" s="7" t="s">
        <v>10</v>
      </c>
      <c r="D4984" s="7">
        <v>4105</v>
      </c>
      <c r="E4984" s="7" t="s">
        <v>18</v>
      </c>
      <c r="F4984" s="8" t="str">
        <f ca="1">IFERROR(__xludf.DUMMYFUNCTION("IF
(
C4985=""фізична особа""
,
VLOOKUP(D4985,IMPORTRANGE(""https://docs.google.com/spreadsheets/d/14Bd19lYaqBhU8_DElYkX7l4wRkHqqCUFNJY4AfY3kHU/edit?usp=sharing  #gid=0"",""фіз особи new!relations_name""),6,FALSE)
,
(IF
(
C4985=""юридична особа""
,
VLOOKUP"&amp;"(D4985,IMPORTRANGE(""https://docs.google.com/spreadsheets/d/14Bd19lYaqBhU8_DElYkX7l4wRkHqqCUFNJY4AfY3kHU/edit?usp=sharing  #gid=0"",""фіз особи new!relations_name_uo""),7,FALSE)
,
)
))"),"КЛІМОВ Сергій Аркадійович")</f>
        <v>КЛІМОВ Сергій Аркадійович</v>
      </c>
      <c r="G4984" s="7" t="s">
        <v>10</v>
      </c>
      <c r="H4984" s="7">
        <v>59</v>
      </c>
      <c r="I4984" s="8" t="str">
        <f ca="1">IFERROR(__xludf.DUMMYFUNCTION("IF
(
G4985=""фізична особа""
,
VLOOKUP(H4985,IMPORTRANGE(""https://docs.google.com/spreadsheets/d/14Bd19lYaqBhU8_DElYkX7l4wRkHqqCUFNJY4AfY3kHU/edit?usp=sharing  #gid=0"",""фіз особи new!relations_name""),6,FALSE)
,
(IF
(
G4985=""юридична особа""
,
VLOOKUP"&amp;"(H4985,IMPORTRANGE(""https://docs.google.com/spreadsheets/d/14Bd19lYaqBhU8_DElYkX7l4wRkHqqCUFNJY4AfY3kHU/edit?usp=sharing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J4984" s="7" t="s">
        <v>18</v>
      </c>
    </row>
    <row r="4985" spans="1:10" ht="13.2">
      <c r="A4985" s="7">
        <v>4984</v>
      </c>
      <c r="B4985" s="7">
        <v>1</v>
      </c>
      <c r="C4985" s="7" t="s">
        <v>10</v>
      </c>
      <c r="D4985" s="7">
        <v>4106</v>
      </c>
      <c r="E4985" s="7" t="s">
        <v>15</v>
      </c>
      <c r="F4985" s="8" t="str">
        <f ca="1">IFERROR(__xludf.DUMMYFUNCTION("IF
(
C4986=""фізична особа""
,
VLOOKUP(D4986,IMPORTRANGE(""https://docs.google.com/spreadsheets/d/14Bd19lYaqBhU8_DElYkX7l4wRkHqqCUFNJY4AfY3kHU/edit?usp=sharing  #gid=0"",""фіз особи new!relations_name""),6,FALSE)
,
(IF
(
C4986=""юридична особа""
,
VLOOKUP"&amp;"(D4986,IMPORTRANGE(""https://docs.google.com/spreadsheets/d/14Bd19lYaqBhU8_DElYkX7l4wRkHqqCUFNJY4AfY3kHU/edit?usp=sharing  #gid=0"",""фіз особи new!relations_name_uo""),7,FALSE)
,
)
))"),"КЛІМОВА Ольга Олександрівна")</f>
        <v>КЛІМОВА Ольга Олександрівна</v>
      </c>
      <c r="G4985" s="7" t="s">
        <v>10</v>
      </c>
      <c r="H4985" s="7">
        <v>59</v>
      </c>
      <c r="I4985" s="8" t="str">
        <f ca="1">IFERROR(__xludf.DUMMYFUNCTION("IF
(
G4986=""фізична особа""
,
VLOOKUP(H4986,IMPORTRANGE(""https://docs.google.com/spreadsheets/d/14Bd19lYaqBhU8_DElYkX7l4wRkHqqCUFNJY4AfY3kHU/edit?usp=sharing  #gid=0"",""фіз особи new!relations_name""),6,FALSE)
,
(IF
(
G4986=""юридична особа""
,
VLOOKUP"&amp;"(H4986,IMPORTRANGE(""https://docs.google.com/spreadsheets/d/14Bd19lYaqBhU8_DElYkX7l4wRkHqqCUFNJY4AfY3kHU/edit?usp=sharing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J4985" s="7" t="s">
        <v>14</v>
      </c>
    </row>
    <row r="4986" spans="1:10" ht="13.2">
      <c r="A4986" s="7">
        <v>4985</v>
      </c>
      <c r="B4986" s="7">
        <v>1</v>
      </c>
      <c r="C4986" s="7" t="s">
        <v>10</v>
      </c>
      <c r="D4986" s="7">
        <v>4107</v>
      </c>
      <c r="E4986" s="7" t="s">
        <v>17</v>
      </c>
      <c r="F4986" s="8" t="str">
        <f ca="1">IFERROR(__xludf.DUMMYFUNCTION("IF
(
C4987=""фізична особа""
,
VLOOKUP(D4987,IMPORTRANGE(""https://docs.google.com/spreadsheets/d/14Bd19lYaqBhU8_DElYkX7l4wRkHqqCUFNJY4AfY3kHU/edit?usp=sharing  #gid=0"",""фіз особи new!relations_name""),6,FALSE)
,
(IF
(
C4987=""юридична особа""
,
VLOOKUP"&amp;"(D4987,IMPORTRANGE(""https://docs.google.com/spreadsheets/d/14Bd19lYaqBhU8_DElYkX7l4wRkHqqCUFNJY4AfY3kHU/edit?usp=sharing  #gid=0"",""фіз особи new!relations_name_uo""),7,FALSE)
,
)
))"),"ТРИФОНОВ Владислав Андрійович")</f>
        <v>ТРИФОНОВ Владислав Андрійович</v>
      </c>
      <c r="G4986" s="7" t="s">
        <v>10</v>
      </c>
      <c r="H4986" s="7">
        <v>66</v>
      </c>
      <c r="I4986" s="8" t="str">
        <f ca="1">IFERROR(__xludf.DUMMYFUNCTION("IF
(
G4987=""фізична особа""
,
VLOOKUP(H4987,IMPORTRANGE(""https://docs.google.com/spreadsheets/d/14Bd19lYaqBhU8_DElYkX7l4wRkHqqCUFNJY4AfY3kHU/edit?usp=sharing  #gid=0"",""фіз особи new!relations_name""),6,FALSE)
,
(IF
(
G4987=""юридична особа""
,
VLOOKUP"&amp;"(H4987,IMPORTRANGE(""https://docs.google.com/spreadsheets/d/14Bd19lYaqBhU8_DElYkX7l4wRkHqqCUFNJY4AfY3kHU/edit?usp=sharing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4986" s="7" t="s">
        <v>12</v>
      </c>
    </row>
    <row r="4987" spans="1:10" ht="13.2">
      <c r="A4987" s="7">
        <v>4986</v>
      </c>
      <c r="B4987" s="7">
        <v>1</v>
      </c>
      <c r="C4987" s="7" t="s">
        <v>10</v>
      </c>
      <c r="D4987" s="7">
        <v>4108</v>
      </c>
      <c r="E4987" s="7" t="s">
        <v>18</v>
      </c>
      <c r="F4987" s="8" t="str">
        <f ca="1">IFERROR(__xludf.DUMMYFUNCTION("IF
(
C4988=""фізична особа""
,
VLOOKUP(D4988,IMPORTRANGE(""https://docs.google.com/spreadsheets/d/14Bd19lYaqBhU8_DElYkX7l4wRkHqqCUFNJY4AfY3kHU/edit?usp=sharing  #gid=0"",""фіз особи new!relations_name""),6,FALSE)
,
(IF
(
C4988=""юридична особа""
,
VLOOKUP"&amp;"(D4988,IMPORTRANGE(""https://docs.google.com/spreadsheets/d/14Bd19lYaqBhU8_DElYkX7l4wRkHqqCUFNJY4AfY3kHU/edit?usp=sharing  #gid=0"",""фіз особи new!relations_name_uo""),7,FALSE)
,
)
))"),"ТРИФОНОВ Сергій Федорович")</f>
        <v>ТРИФОНОВ Сергій Федорович</v>
      </c>
      <c r="G4987" s="7" t="s">
        <v>10</v>
      </c>
      <c r="H4987" s="7">
        <v>66</v>
      </c>
      <c r="I4987" s="8" t="str">
        <f ca="1">IFERROR(__xludf.DUMMYFUNCTION("IF
(
G4988=""фізична особа""
,
VLOOKUP(H4988,IMPORTRANGE(""https://docs.google.com/spreadsheets/d/14Bd19lYaqBhU8_DElYkX7l4wRkHqqCUFNJY4AfY3kHU/edit?usp=sharing  #gid=0"",""фіз особи new!relations_name""),6,FALSE)
,
(IF
(
G4988=""юридична особа""
,
VLOOKUP"&amp;"(H4988,IMPORTRANGE(""https://docs.google.com/spreadsheets/d/14Bd19lYaqBhU8_DElYkX7l4wRkHqqCUFNJY4AfY3kHU/edit?usp=sharing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4987" s="7" t="s">
        <v>18</v>
      </c>
    </row>
    <row r="4988" spans="1:10" ht="13.2">
      <c r="A4988" s="7">
        <v>4987</v>
      </c>
      <c r="B4988" s="7">
        <v>1</v>
      </c>
      <c r="C4988" s="7" t="s">
        <v>10</v>
      </c>
      <c r="D4988" s="7">
        <v>4109</v>
      </c>
      <c r="E4988" s="7" t="s">
        <v>20</v>
      </c>
      <c r="F4988" s="8" t="str">
        <f ca="1">IFERROR(__xludf.DUMMYFUNCTION("IF
(
C4989=""фізична особа""
,
VLOOKUP(D4989,IMPORTRANGE(""https://docs.google.com/spreadsheets/d/14Bd19lYaqBhU8_DElYkX7l4wRkHqqCUFNJY4AfY3kHU/edit?usp=sharing  #gid=0"",""фіз особи new!relations_name""),6,FALSE)
,
(IF
(
C4989=""юридична особа""
,
VLOOKUP"&amp;"(D4989,IMPORTRANGE(""https://docs.google.com/spreadsheets/d/14Bd19lYaqBhU8_DElYkX7l4wRkHqqCUFNJY4AfY3kHU/edit?usp=sharing  #gid=0"",""фіз особи new!relations_name_uo""),7,FALSE)
,
)
))"),"ТРИФОНОВ Дмитро Сергійович")</f>
        <v>ТРИФОНОВ Дмитро Сергійович</v>
      </c>
      <c r="G4988" s="7" t="s">
        <v>10</v>
      </c>
      <c r="H4988" s="7">
        <v>66</v>
      </c>
      <c r="I4988" s="8" t="str">
        <f ca="1">IFERROR(__xludf.DUMMYFUNCTION("IF
(
G4989=""фізична особа""
,
VLOOKUP(H4989,IMPORTRANGE(""https://docs.google.com/spreadsheets/d/14Bd19lYaqBhU8_DElYkX7l4wRkHqqCUFNJY4AfY3kHU/edit?usp=sharing  #gid=0"",""фіз особи new!relations_name""),6,FALSE)
,
(IF
(
G4989=""юридична особа""
,
VLOOKUP"&amp;"(H4989,IMPORTRANGE(""https://docs.google.com/spreadsheets/d/14Bd19lYaqBhU8_DElYkX7l4wRkHqqCUFNJY4AfY3kHU/edit?usp=sharing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4988" s="7" t="s">
        <v>19</v>
      </c>
    </row>
    <row r="4989" spans="1:10" ht="13.2">
      <c r="A4989" s="7">
        <v>4988</v>
      </c>
      <c r="B4989" s="7">
        <v>1</v>
      </c>
      <c r="C4989" s="7" t="s">
        <v>10</v>
      </c>
      <c r="D4989" s="7">
        <v>4110</v>
      </c>
      <c r="E4989" s="7" t="s">
        <v>20</v>
      </c>
      <c r="F4989" s="8" t="str">
        <f ca="1">IFERROR(__xludf.DUMMYFUNCTION("IF
(
C4990=""фізична особа""
,
VLOOKUP(D4990,IMPORTRANGE(""https://docs.google.com/spreadsheets/d/14Bd19lYaqBhU8_DElYkX7l4wRkHqqCUFNJY4AfY3kHU/edit?usp=sharing  #gid=0"",""фіз особи new!relations_name""),6,FALSE)
,
(IF
(
C4990=""юридична особа""
,
VLOOKUP"&amp;"(D4990,IMPORTRANGE(""https://docs.google.com/spreadsheets/d/14Bd19lYaqBhU8_DElYkX7l4wRkHqqCUFNJY4AfY3kHU/edit?usp=sharing  #gid=0"",""фіз особи new!relations_name_uo""),7,FALSE)
,
)
))"),"ТРИФОНОВ Євгеній Сергійович")</f>
        <v>ТРИФОНОВ Євгеній Сергійович</v>
      </c>
      <c r="G4989" s="7" t="s">
        <v>10</v>
      </c>
      <c r="H4989" s="7">
        <v>66</v>
      </c>
      <c r="I4989" s="8" t="str">
        <f ca="1">IFERROR(__xludf.DUMMYFUNCTION("IF
(
G4990=""фізична особа""
,
VLOOKUP(H4990,IMPORTRANGE(""https://docs.google.com/spreadsheets/d/14Bd19lYaqBhU8_DElYkX7l4wRkHqqCUFNJY4AfY3kHU/edit?usp=sharing  #gid=0"",""фіз особи new!relations_name""),6,FALSE)
,
(IF
(
G4990=""юридична особа""
,
VLOOKUP"&amp;"(H4990,IMPORTRANGE(""https://docs.google.com/spreadsheets/d/14Bd19lYaqBhU8_DElYkX7l4wRkHqqCUFNJY4AfY3kHU/edit?usp=sharing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4989" s="7" t="s">
        <v>19</v>
      </c>
    </row>
    <row r="4990" spans="1:10" ht="13.2">
      <c r="A4990" s="7">
        <v>4989</v>
      </c>
      <c r="B4990" s="7">
        <v>1</v>
      </c>
      <c r="C4990" s="7" t="s">
        <v>10</v>
      </c>
      <c r="D4990" s="7">
        <v>4111</v>
      </c>
      <c r="E4990" s="7" t="s">
        <v>18</v>
      </c>
      <c r="F4990" s="8" t="str">
        <f ca="1">IFERROR(__xludf.DUMMYFUNCTION("IF
(
C4991=""фізична особа""
,
VLOOKUP(D4991,IMPORTRANGE(""https://docs.google.com/spreadsheets/d/14Bd19lYaqBhU8_DElYkX7l4wRkHqqCUFNJY4AfY3kHU/edit?usp=sharing  #gid=0"",""фіз особи new!relations_name""),6,FALSE)
,
(IF
(
C4991=""юридична особа""
,
VLOOKUP"&amp;"(D4991,IMPORTRANGE(""https://docs.google.com/spreadsheets/d/14Bd19lYaqBhU8_DElYkX7l4wRkHqqCUFNJY4AfY3kHU/edit?usp=sharing  #gid=0"",""фіз особи new!relations_name_uo""),7,FALSE)
,
)
))"),"АЛЬШЕВСЬКИХ Володимир Геннадійович")</f>
        <v>АЛЬШЕВСЬКИХ Володимир Геннадійович</v>
      </c>
      <c r="G4990" s="7" t="s">
        <v>10</v>
      </c>
      <c r="H4990" s="7">
        <v>67</v>
      </c>
      <c r="I4990" s="8" t="str">
        <f ca="1">IFERROR(__xludf.DUMMYFUNCTION("IF
(
G4991=""фізична особа""
,
VLOOKUP(H4991,IMPORTRANGE(""https://docs.google.com/spreadsheets/d/14Bd19lYaqBhU8_DElYkX7l4wRkHqqCUFNJY4AfY3kHU/edit?usp=sharing  #gid=0"",""фіз особи new!relations_name""),6,FALSE)
,
(IF
(
G4991=""юридична особа""
,
VLOOKUP"&amp;"(H4991,IMPORTRANGE(""https://docs.google.com/spreadsheets/d/14Bd19lYaqBhU8_DElYkX7l4wRkHqqCUFNJY4AfY3kHU/edit?usp=sharing  #gid=0"",""фіз особи new!relations_name_uo""),7,FALSE)
,
)
))"),"АЛЬШЕВСЬКИХ Андрій Геннадійович")</f>
        <v>АЛЬШЕВСЬКИХ Андрій Геннадійович</v>
      </c>
      <c r="J4990" s="7" t="s">
        <v>18</v>
      </c>
    </row>
    <row r="4991" spans="1:10" ht="13.2">
      <c r="A4991" s="7">
        <v>4990</v>
      </c>
      <c r="B4991" s="7">
        <v>1</v>
      </c>
      <c r="C4991" s="7" t="s">
        <v>10</v>
      </c>
      <c r="D4991" s="7">
        <v>4112</v>
      </c>
      <c r="E4991" s="7" t="s">
        <v>17</v>
      </c>
      <c r="F4991" s="8" t="str">
        <f ca="1">IFERROR(__xludf.DUMMYFUNCTION("IF
(
C4992=""фізична особа""
,
VLOOKUP(D4992,IMPORTRANGE(""https://docs.google.com/spreadsheets/d/14Bd19lYaqBhU8_DElYkX7l4wRkHqqCUFNJY4AfY3kHU/edit?usp=sharing  #gid=0"",""фіз особи new!relations_name""),6,FALSE)
,
(IF
(
C4992=""юридична особа""
,
VLOOKUP"&amp;"(D4992,IMPORTRANGE(""https://docs.google.com/spreadsheets/d/14Bd19lYaqBhU8_DElYkX7l4wRkHqqCUFNJY4AfY3kHU/edit?usp=sharing  #gid=0"",""фіз особи new!relations_name_uo""),7,FALSE)
,
)
))"),"АЛЬШЕВСЬКИХ Олександр Андрійович")</f>
        <v>АЛЬШЕВСЬКИХ Олександр Андрійович</v>
      </c>
      <c r="G4991" s="7" t="s">
        <v>10</v>
      </c>
      <c r="H4991" s="7">
        <v>67</v>
      </c>
      <c r="I4991" s="8" t="str">
        <f ca="1">IFERROR(__xludf.DUMMYFUNCTION("IF
(
G4992=""фізична особа""
,
VLOOKUP(H4992,IMPORTRANGE(""https://docs.google.com/spreadsheets/d/14Bd19lYaqBhU8_DElYkX7l4wRkHqqCUFNJY4AfY3kHU/edit?usp=sharing  #gid=0"",""фіз особи new!relations_name""),6,FALSE)
,
(IF
(
G4992=""юридична особа""
,
VLOOKUP"&amp;"(H4992,IMPORTRANGE(""https://docs.google.com/spreadsheets/d/14Bd19lYaqBhU8_DElYkX7l4wRkHqqCUFNJY4AfY3kHU/edit?usp=sharing  #gid=0"",""фіз особи new!relations_name_uo""),7,FALSE)
,
)
))"),"АЛЬШЕВСЬКИХ Андрій Геннадійович")</f>
        <v>АЛЬШЕВСЬКИХ Андрій Геннадійович</v>
      </c>
      <c r="J4991" s="7" t="s">
        <v>12</v>
      </c>
    </row>
    <row r="4992" spans="1:10" ht="13.2">
      <c r="A4992" s="7">
        <v>4991</v>
      </c>
      <c r="B4992" s="7">
        <v>1</v>
      </c>
      <c r="C4992" s="7" t="s">
        <v>10</v>
      </c>
      <c r="D4992" s="7">
        <v>4113</v>
      </c>
      <c r="E4992" s="7" t="s">
        <v>17</v>
      </c>
      <c r="F4992" s="8" t="str">
        <f ca="1">IFERROR(__xludf.DUMMYFUNCTION("IF
(
C4993=""фізична особа""
,
VLOOKUP(D4993,IMPORTRANGE(""https://docs.google.com/spreadsheets/d/14Bd19lYaqBhU8_DElYkX7l4wRkHqqCUFNJY4AfY3kHU/edit?usp=sharing  #gid=0"",""фіз особи new!relations_name""),6,FALSE)
,
(IF
(
C4993=""юридична особа""
,
VLOOKUP"&amp;"(D4993,IMPORTRANGE(""https://docs.google.com/spreadsheets/d/14Bd19lYaqBhU8_DElYkX7l4wRkHqqCUFNJY4AfY3kHU/edit?usp=sharing  #gid=0"",""фіз особи new!relations_name_uo""),7,FALSE)
,
)
))"),"ІСАЄВ Микита Андрійович")</f>
        <v>ІСАЄВ Микита Андрійович</v>
      </c>
      <c r="G4992" s="7" t="s">
        <v>10</v>
      </c>
      <c r="H4992" s="7">
        <v>74</v>
      </c>
      <c r="I4992" s="8" t="str">
        <f ca="1">IFERROR(__xludf.DUMMYFUNCTION("IF
(
G4993=""фізична особа""
,
VLOOKUP(H4993,IMPORTRANGE(""https://docs.google.com/spreadsheets/d/14Bd19lYaqBhU8_DElYkX7l4wRkHqqCUFNJY4AfY3kHU/edit?usp=sharing  #gid=0"",""фіз особи new!relations_name""),6,FALSE)
,
(IF
(
G4993=""юридична особа""
,
VLOOKUP"&amp;"(H4993,IMPORTRANGE(""https://docs.google.com/spreadsheets/d/14Bd19lYaqBhU8_DElYkX7l4wRkHqqCUFNJY4AfY3kHU/edit?usp=sharing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J4992" s="7" t="s">
        <v>12</v>
      </c>
    </row>
    <row r="4993" spans="1:10" ht="13.2">
      <c r="A4993" s="7">
        <v>4992</v>
      </c>
      <c r="B4993" s="7">
        <v>1</v>
      </c>
      <c r="C4993" s="7" t="s">
        <v>10</v>
      </c>
      <c r="D4993" s="7">
        <v>4114</v>
      </c>
      <c r="E4993" s="7" t="s">
        <v>13</v>
      </c>
      <c r="F4993" s="8" t="str">
        <f ca="1">IFERROR(__xludf.DUMMYFUNCTION("IF
(
C4994=""фізична особа""
,
VLOOKUP(D4994,IMPORTRANGE(""https://docs.google.com/spreadsheets/d/14Bd19lYaqBhU8_DElYkX7l4wRkHqqCUFNJY4AfY3kHU/edit?usp=sharing  #gid=0"",""фіз особи new!relations_name""),6,FALSE)
,
(IF
(
C4994=""юридична особа""
,
VLOOKUP"&amp;"(D4994,IMPORTRANGE(""https://docs.google.com/spreadsheets/d/14Bd19lYaqBhU8_DElYkX7l4wRkHqqCUFNJY4AfY3kHU/edit?usp=sharing  #gid=0"",""фіз особи new!relations_name_uo""),7,FALSE)
,
)
))"),"МАКАРОВА Юлія Андріївна")</f>
        <v>МАКАРОВА Юлія Андріївна</v>
      </c>
      <c r="G4993" s="7" t="s">
        <v>10</v>
      </c>
      <c r="H4993" s="7">
        <v>76</v>
      </c>
      <c r="I4993" s="8" t="str">
        <f ca="1">IFERROR(__xludf.DUMMYFUNCTION("IF
(
G4994=""фізична особа""
,
VLOOKUP(H4994,IMPORTRANGE(""https://docs.google.com/spreadsheets/d/14Bd19lYaqBhU8_DElYkX7l4wRkHqqCUFNJY4AfY3kHU/edit?usp=sharing  #gid=0"",""фіз особи new!relations_name""),6,FALSE)
,
(IF
(
G4994=""юридична особа""
,
VLOOKUP"&amp;"(H4994,IMPORTRANGE(""https://docs.google.com/spreadsheets/d/14Bd19lYaqBhU8_DElYkX7l4wRkHqqCUFNJY4AfY3kHU/edit?usp=sharing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4993" s="7" t="s">
        <v>12</v>
      </c>
    </row>
    <row r="4994" spans="1:10" ht="13.2">
      <c r="A4994" s="7">
        <v>4993</v>
      </c>
      <c r="B4994" s="7">
        <v>1</v>
      </c>
      <c r="C4994" s="7" t="s">
        <v>10</v>
      </c>
      <c r="D4994" s="7">
        <v>4115</v>
      </c>
      <c r="E4994" s="7" t="s">
        <v>13</v>
      </c>
      <c r="F4994" s="8" t="str">
        <f ca="1">IFERROR(__xludf.DUMMYFUNCTION("IF
(
C4995=""фізична особа""
,
VLOOKUP(D4995,IMPORTRANGE(""https://docs.google.com/spreadsheets/d/14Bd19lYaqBhU8_DElYkX7l4wRkHqqCUFNJY4AfY3kHU/edit?usp=sharing  #gid=0"",""фіз особи new!relations_name""),6,FALSE)
,
(IF
(
C4995=""юридична особа""
,
VLOOKUP"&amp;"(D4995,IMPORTRANGE(""https://docs.google.com/spreadsheets/d/14Bd19lYaqBhU8_DElYkX7l4wRkHqqCUFNJY4AfY3kHU/edit?usp=sharing  #gid=0"",""фіз особи new!relations_name_uo""),7,FALSE)
,
)
))"),"МАКАРОВА Олександра Андріївна")</f>
        <v>МАКАРОВА Олександра Андріївна</v>
      </c>
      <c r="G4994" s="7" t="s">
        <v>10</v>
      </c>
      <c r="H4994" s="7">
        <v>76</v>
      </c>
      <c r="I4994" s="8" t="str">
        <f ca="1">IFERROR(__xludf.DUMMYFUNCTION("IF
(
G4995=""фізична особа""
,
VLOOKUP(H4995,IMPORTRANGE(""https://docs.google.com/spreadsheets/d/14Bd19lYaqBhU8_DElYkX7l4wRkHqqCUFNJY4AfY3kHU/edit?usp=sharing  #gid=0"",""фіз особи new!relations_name""),6,FALSE)
,
(IF
(
G4995=""юридична особа""
,
VLOOKUP"&amp;"(H4995,IMPORTRANGE(""https://docs.google.com/spreadsheets/d/14Bd19lYaqBhU8_DElYkX7l4wRkHqqCUFNJY4AfY3kHU/edit?usp=sharing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4994" s="7" t="s">
        <v>12</v>
      </c>
    </row>
    <row r="4995" spans="1:10" ht="13.2">
      <c r="A4995" s="7">
        <v>4994</v>
      </c>
      <c r="B4995" s="7">
        <v>1</v>
      </c>
      <c r="C4995" s="7" t="s">
        <v>10</v>
      </c>
      <c r="D4995" s="7">
        <v>4116</v>
      </c>
      <c r="E4995" s="7" t="s">
        <v>43</v>
      </c>
      <c r="F4995" s="8" t="str">
        <f ca="1">IFERROR(__xludf.DUMMYFUNCTION("IF
(
C4996=""фізична особа""
,
VLOOKUP(D4996,IMPORTRANGE(""https://docs.google.com/spreadsheets/d/14Bd19lYaqBhU8_DElYkX7l4wRkHqqCUFNJY4AfY3kHU/edit?usp=sharing  #gid=0"",""фіз особи new!relations_name""),6,FALSE)
,
(IF
(
C4996=""юридична особа""
,
VLOOKUP"&amp;"(D4996,IMPORTRANGE(""https://docs.google.com/spreadsheets/d/14Bd19lYaqBhU8_DElYkX7l4wRkHqqCUFNJY4AfY3kHU/edit?usp=sharing  #gid=0"",""фіз особи new!relations_name_uo""),7,FALSE)
,
)
))"),"МАКАРОВА Олена Іванівна")</f>
        <v>МАКАРОВА Олена Іванівна</v>
      </c>
      <c r="G4995" s="7" t="s">
        <v>10</v>
      </c>
      <c r="H4995" s="7">
        <v>76</v>
      </c>
      <c r="I4995" s="8" t="str">
        <f ca="1">IFERROR(__xludf.DUMMYFUNCTION("IF
(
G4996=""фізична особа""
,
VLOOKUP(H4996,IMPORTRANGE(""https://docs.google.com/spreadsheets/d/14Bd19lYaqBhU8_DElYkX7l4wRkHqqCUFNJY4AfY3kHU/edit?usp=sharing  #gid=0"",""фіз особи new!relations_name""),6,FALSE)
,
(IF
(
G4996=""юридична особа""
,
VLOOKUP"&amp;"(H4996,IMPORTRANGE(""https://docs.google.com/spreadsheets/d/14Bd19lYaqBhU8_DElYkX7l4wRkHqqCUFNJY4AfY3kHU/edit?usp=sharing  #gid=0"",""фіз особи new!relations_name_uo""),7,FALSE)
,
)
))"),"МАКАРОВ Андрій Михайлович")</f>
        <v>МАКАРОВ Андрій Михайлович</v>
      </c>
      <c r="J4995" s="7" t="s">
        <v>42</v>
      </c>
    </row>
    <row r="4996" spans="1:10" ht="13.2">
      <c r="A4996" s="7">
        <v>4995</v>
      </c>
      <c r="B4996" s="7">
        <v>1</v>
      </c>
      <c r="C4996" s="7" t="s">
        <v>10</v>
      </c>
      <c r="D4996" s="7">
        <v>4117</v>
      </c>
      <c r="E4996" s="7" t="s">
        <v>15</v>
      </c>
      <c r="F4996" s="8" t="str">
        <f ca="1">IFERROR(__xludf.DUMMYFUNCTION("IF
(
C4997=""фізична особа""
,
VLOOKUP(D4997,IMPORTRANGE(""https://docs.google.com/spreadsheets/d/14Bd19lYaqBhU8_DElYkX7l4wRkHqqCUFNJY4AfY3kHU/edit?usp=sharing  #gid=0"",""фіз особи new!relations_name""),6,FALSE)
,
(IF
(
C4997=""юридична особа""
,
VLOOKUP"&amp;"(D4997,IMPORTRANGE(""https://docs.google.com/spreadsheets/d/14Bd19lYaqBhU8_DElYkX7l4wRkHqqCUFNJY4AfY3kHU/edit?usp=sharing  #gid=0"",""фіз особи new!relations_name_uo""),7,FALSE)
,
)
))"),"МАРКОВА Світлана Анатоліївна")</f>
        <v>МАРКОВА Світлана Анатоліївна</v>
      </c>
      <c r="G4996" s="7" t="s">
        <v>10</v>
      </c>
      <c r="H4996" s="7">
        <v>80</v>
      </c>
      <c r="I4996" s="8" t="str">
        <f ca="1">IFERROR(__xludf.DUMMYFUNCTION("IF
(
G4997=""фізична особа""
,
VLOOKUP(H4997,IMPORTRANGE(""https://docs.google.com/spreadsheets/d/14Bd19lYaqBhU8_DElYkX7l4wRkHqqCUFNJY4AfY3kHU/edit?usp=sharing  #gid=0"",""фіз особи new!relations_name""),6,FALSE)
,
(IF
(
G4997=""юридична особа""
,
VLOOKUP"&amp;"(H4997,IMPORTRANGE(""https://docs.google.com/spreadsheets/d/14Bd19lYaqBhU8_DElYkX7l4wRkHqqCUFNJY4AfY3kHU/edit?usp=sharing  #gid=0"",""фіз особи new!relations_name_uo""),7,FALSE)
,
)
))"),"МАРКОВ Андрій Павлович")</f>
        <v>МАРКОВ Андрій Павлович</v>
      </c>
      <c r="J4996" s="7" t="s">
        <v>14</v>
      </c>
    </row>
    <row r="4997" spans="1:10" ht="13.2">
      <c r="A4997" s="7">
        <v>4996</v>
      </c>
      <c r="B4997" s="7">
        <v>1</v>
      </c>
      <c r="C4997" s="7" t="s">
        <v>10</v>
      </c>
      <c r="D4997" s="7">
        <v>4118</v>
      </c>
      <c r="E4997" s="7" t="s">
        <v>12</v>
      </c>
      <c r="F4997" s="8" t="str">
        <f ca="1">IFERROR(__xludf.DUMMYFUNCTION("IF
(
C4998=""фізична особа""
,
VLOOKUP(D4998,IMPORTRANGE(""https://docs.google.com/spreadsheets/d/14Bd19lYaqBhU8_DElYkX7l4wRkHqqCUFNJY4AfY3kHU/edit?usp=sharing  #gid=0"",""фіз особи new!relations_name""),6,FALSE)
,
(IF
(
C4998=""юридична особа""
,
VLOOKUP"&amp;"(D4998,IMPORTRANGE(""https://docs.google.com/spreadsheets/d/14Bd19lYaqBhU8_DElYkX7l4wRkHqqCUFNJY4AfY3kHU/edit?usp=sharing  #gid=0"",""фіз особи new!relations_name_uo""),7,FALSE)
,
)
))"),"ГІМБАТОВ Петро Дмитрович")</f>
        <v>ГІМБАТОВ Петро Дмитрович</v>
      </c>
      <c r="G4997" s="7" t="s">
        <v>10</v>
      </c>
      <c r="H4997" s="7">
        <v>81</v>
      </c>
      <c r="I4997" s="8" t="str">
        <f ca="1">IFERROR(__xludf.DUMMYFUNCTION("IF
(
G4998=""фізична особа""
,
VLOOKUP(H4998,IMPORTRANGE(""https://docs.google.com/spreadsheets/d/14Bd19lYaqBhU8_DElYkX7l4wRkHqqCUFNJY4AfY3kHU/edit?usp=sharing  #gid=0"",""фіз особи new!relations_name""),6,FALSE)
,
(IF
(
G4998=""юридична особа""
,
VLOOKUP"&amp;"(H4998,IMPORTRANGE(""https://docs.google.com/spreadsheets/d/14Bd19lYaqBhU8_DElYkX7l4wRkHqqCUFNJY4AfY3kHU/edit?usp=sharing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J4997" s="7" t="s">
        <v>17</v>
      </c>
    </row>
    <row r="4998" spans="1:10" ht="13.2">
      <c r="A4998" s="7">
        <v>4997</v>
      </c>
      <c r="B4998" s="7">
        <v>1</v>
      </c>
      <c r="C4998" s="7" t="s">
        <v>10</v>
      </c>
      <c r="D4998" s="7">
        <v>4119</v>
      </c>
      <c r="E4998" s="7" t="s">
        <v>21</v>
      </c>
      <c r="F4998" s="8" t="str">
        <f ca="1">IFERROR(__xludf.DUMMYFUNCTION("IF
(
C4999=""фізична особа""
,
VLOOKUP(D4999,IMPORTRANGE(""https://docs.google.com/spreadsheets/d/14Bd19lYaqBhU8_DElYkX7l4wRkHqqCUFNJY4AfY3kHU/edit?usp=sharing  #gid=0"",""фіз особи new!relations_name""),6,FALSE)
,
(IF
(
C4999=""юридична особа""
,
VLOOKUP"&amp;"(D4999,IMPORTRANGE(""https://docs.google.com/spreadsheets/d/14Bd19lYaqBhU8_DElYkX7l4wRkHqqCUFNJY4AfY3kHU/edit?usp=sharing  #gid=0"",""фіз особи new!relations_name_uo""),7,FALSE)
,
)
))"),"ГІМБАТОВА Тетяна Володимирівна")</f>
        <v>ГІМБАТОВА Тетяна Володимирівна</v>
      </c>
      <c r="G4998" s="7" t="s">
        <v>10</v>
      </c>
      <c r="H4998" s="7">
        <v>81</v>
      </c>
      <c r="I4998" s="8" t="str">
        <f ca="1">IFERROR(__xludf.DUMMYFUNCTION("IF
(
G4999=""фізична особа""
,
VLOOKUP(H4999,IMPORTRANGE(""https://docs.google.com/spreadsheets/d/14Bd19lYaqBhU8_DElYkX7l4wRkHqqCUFNJY4AfY3kHU/edit?usp=sharing  #gid=0"",""фіз особи new!relations_name""),6,FALSE)
,
(IF
(
G4999=""юридична особа""
,
VLOOKUP"&amp;"(H4999,IMPORTRANGE(""https://docs.google.com/spreadsheets/d/14Bd19lYaqBhU8_DElYkX7l4wRkHqqCUFNJY4AfY3kHU/edit?usp=sharing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J4998" s="7" t="s">
        <v>17</v>
      </c>
    </row>
    <row r="4999" spans="1:10" ht="13.2">
      <c r="A4999" s="7">
        <v>4998</v>
      </c>
      <c r="B4999" s="7">
        <v>1</v>
      </c>
      <c r="C4999" s="7" t="s">
        <v>10</v>
      </c>
      <c r="D4999" s="7">
        <v>4120</v>
      </c>
      <c r="E4999" s="7" t="s">
        <v>15</v>
      </c>
      <c r="F4999" s="8" t="str">
        <f ca="1">IFERROR(__xludf.DUMMYFUNCTION("IF
(
C5000=""фізична особа""
,
VLOOKUP(D5000,IMPORTRANGE(""https://docs.google.com/spreadsheets/d/14Bd19lYaqBhU8_DElYkX7l4wRkHqqCUFNJY4AfY3kHU/edit?usp=sharing  #gid=0"",""фіз особи new!relations_name""),6,FALSE)
,
(IF
(
C5000=""юридична особа""
,
VLOOKUP"&amp;"(D5000,IMPORTRANGE(""https://docs.google.com/spreadsheets/d/14Bd19lYaqBhU8_DElYkX7l4wRkHqqCUFNJY4AfY3kHU/edit?usp=sharing  #gid=0"",""фіз особи new!relations_name_uo""),7,FALSE)
,
)
))"),"ГІМБАТОВА Світлана Юріївна")</f>
        <v>ГІМБАТОВА Світлана Юріївна</v>
      </c>
      <c r="G4999" s="7" t="s">
        <v>10</v>
      </c>
      <c r="H4999" s="7">
        <v>81</v>
      </c>
      <c r="I4999" s="8" t="str">
        <f ca="1">IFERROR(__xludf.DUMMYFUNCTION("IF
(
G5000=""фізична особа""
,
VLOOKUP(H5000,IMPORTRANGE(""https://docs.google.com/spreadsheets/d/14Bd19lYaqBhU8_DElYkX7l4wRkHqqCUFNJY4AfY3kHU/edit?usp=sharing  #gid=0"",""фіз особи new!relations_name""),6,FALSE)
,
(IF
(
G5000=""юридична особа""
,
VLOOKUP"&amp;"(H5000,IMPORTRANGE(""https://docs.google.com/spreadsheets/d/14Bd19lYaqBhU8_DElYkX7l4wRkHqqCUFNJY4AfY3kHU/edit?usp=sharing  #gid=0"",""фіз особи new!relations_name_uo""),7,FALSE)
,
)
))"),"ГІМБАТОВ Андрій Петрович")</f>
        <v>ГІМБАТОВ Андрій Петрович</v>
      </c>
      <c r="J4999" s="7" t="s">
        <v>14</v>
      </c>
    </row>
    <row r="5000" spans="1:10" ht="13.2">
      <c r="A5000" s="7">
        <v>4999</v>
      </c>
      <c r="B5000" s="7">
        <v>1</v>
      </c>
      <c r="C5000" s="7" t="s">
        <v>10</v>
      </c>
      <c r="D5000" s="7">
        <v>4121</v>
      </c>
      <c r="E5000" s="7" t="s">
        <v>13</v>
      </c>
      <c r="F5000" s="8" t="str">
        <f ca="1">IFERROR(__xludf.DUMMYFUNCTION("IF
(
C5001=""фізична особа""
,
VLOOKUP(D5001,IMPORTRANGE(""https://docs.google.com/spreadsheets/d/14Bd19lYaqBhU8_DElYkX7l4wRkHqqCUFNJY4AfY3kHU/edit?usp=sharing  #gid=0"",""фіз особи new!relations_name""),6,FALSE)
,
(IF
(
C5001=""юридична особа""
,
VLOOKUP"&amp;"(D5001,IMPORTRANGE(""https://docs.google.com/spreadsheets/d/14Bd19lYaqBhU8_DElYkX7l4wRkHqqCUFNJY4AfY3kHU/edit?usp=sharing  #gid=0"",""фіз особи new!relations_name_uo""),7,FALSE)
,
)
))"),"ГУР'ЯНОВА Варвара Андріївна")</f>
        <v>ГУР'ЯНОВА Варвара Андріївна</v>
      </c>
      <c r="G5000" s="7" t="s">
        <v>10</v>
      </c>
      <c r="H5000" s="7">
        <v>82</v>
      </c>
      <c r="I5000" s="8" t="str">
        <f ca="1">IFERROR(__xludf.DUMMYFUNCTION("IF
(
G5001=""фізична особа""
,
VLOOKUP(H5001,IMPORTRANGE(""https://docs.google.com/spreadsheets/d/14Bd19lYaqBhU8_DElYkX7l4wRkHqqCUFNJY4AfY3kHU/edit?usp=sharing  #gid=0"",""фіз особи new!relations_name""),6,FALSE)
,
(IF
(
G5001=""юридична особа""
,
VLOOKUP"&amp;"(H5001,IMPORTRANGE(""https://docs.google.com/spreadsheets/d/14Bd19lYaqBhU8_DElYkX7l4wRkHqqCUFNJY4AfY3kHU/edit?usp=sharing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J5000" s="7" t="s">
        <v>12</v>
      </c>
    </row>
    <row r="5001" spans="1:10" ht="13.2">
      <c r="A5001" s="7">
        <v>5000</v>
      </c>
      <c r="B5001" s="7">
        <v>1</v>
      </c>
      <c r="C5001" s="7" t="s">
        <v>10</v>
      </c>
      <c r="D5001" s="7">
        <v>4122</v>
      </c>
      <c r="E5001" s="7" t="s">
        <v>15</v>
      </c>
      <c r="F5001" s="8" t="str">
        <f ca="1">IFERROR(__xludf.DUMMYFUNCTION("IF
(
C5002=""фізична особа""
,
VLOOKUP(D5002,IMPORTRANGE(""https://docs.google.com/spreadsheets/d/14Bd19lYaqBhU8_DElYkX7l4wRkHqqCUFNJY4AfY3kHU/edit?usp=sharing  #gid=0"",""фіз особи new!relations_name""),6,FALSE)
,
(IF
(
C5002=""юридична особа""
,
VLOOKUP"&amp;"(D5002,IMPORTRANGE(""https://docs.google.com/spreadsheets/d/14Bd19lYaqBhU8_DElYkX7l4wRkHqqCUFNJY4AfY3kHU/edit?usp=sharing  #gid=0"",""фіз особи new!relations_name_uo""),7,FALSE)
,
)
))"),"КАРТАПОЛОВА Ірина Альбертівна")</f>
        <v>КАРТАПОЛОВА Ірина Альбертівна</v>
      </c>
      <c r="G5001" s="7" t="s">
        <v>10</v>
      </c>
      <c r="H5001" s="7">
        <v>82</v>
      </c>
      <c r="I5001" s="8" t="str">
        <f ca="1">IFERROR(__xludf.DUMMYFUNCTION("IF
(
G5002=""фізична особа""
,
VLOOKUP(H5002,IMPORTRANGE(""https://docs.google.com/spreadsheets/d/14Bd19lYaqBhU8_DElYkX7l4wRkHqqCUFNJY4AfY3kHU/edit?usp=sharing  #gid=0"",""фіз особи new!relations_name""),6,FALSE)
,
(IF
(
G5002=""юридична особа""
,
VLOOKUP"&amp;"(H5002,IMPORTRANGE(""https://docs.google.com/spreadsheets/d/14Bd19lYaqBhU8_DElYkX7l4wRkHqqCUFNJY4AfY3kHU/edit?usp=sharing  #gid=0"",""фіз особи new!relations_name_uo""),7,FALSE)
,
)
))"),"КАРТАПОЛОВ Андрій Валерійович")</f>
        <v>КАРТАПОЛОВ Андрій Валерійович</v>
      </c>
      <c r="J5001" s="7" t="s">
        <v>14</v>
      </c>
    </row>
    <row r="5002" spans="1:10" ht="13.2">
      <c r="A5002" s="7">
        <v>5001</v>
      </c>
      <c r="B5002" s="7">
        <v>1</v>
      </c>
      <c r="C5002" s="7" t="s">
        <v>10</v>
      </c>
      <c r="D5002" s="7">
        <v>4123</v>
      </c>
      <c r="E5002" s="7" t="s">
        <v>13</v>
      </c>
      <c r="F5002" s="8" t="str">
        <f ca="1">IFERROR(__xludf.DUMMYFUNCTION("IF
(
C5003=""фізична особа""
,
VLOOKUP(D5003,IMPORTRANGE(""https://docs.google.com/spreadsheets/d/14Bd19lYaqBhU8_DElYkX7l4wRkHqqCUFNJY4AfY3kHU/edit?usp=sharing  #gid=0"",""фіз особи new!relations_name""),6,FALSE)
,
(IF
(
C5003=""юридична особа""
,
VLOOKUP"&amp;"(D5003,IMPORTRANGE(""https://docs.google.com/spreadsheets/d/14Bd19lYaqBhU8_DElYkX7l4wRkHqqCUFNJY4AfY3kHU/edit?usp=sharing  #gid=0"",""фіз особи new!relations_name_uo""),7,FALSE)
,
)
))"),"ГУРУЛЬОВА Євгенія Андріївна")</f>
        <v>ГУРУЛЬОВА Євгенія Андріївна</v>
      </c>
      <c r="G5002" s="7" t="s">
        <v>10</v>
      </c>
      <c r="H5002" s="7">
        <v>84</v>
      </c>
      <c r="I5002" s="8" t="str">
        <f ca="1">IFERROR(__xludf.DUMMYFUNCTION("IF
(
G5003=""фізична особа""
,
VLOOKUP(H5003,IMPORTRANGE(""https://docs.google.com/spreadsheets/d/14Bd19lYaqBhU8_DElYkX7l4wRkHqqCUFNJY4AfY3kHU/edit?usp=sharing  #gid=0"",""фіз особи new!relations_name""),6,FALSE)
,
(IF
(
G5003=""юридична особа""
,
VLOOKUP"&amp;"(H5003,IMPORTRANGE(""https://docs.google.com/spreadsheets/d/14Bd19lYaqBhU8_DElYkX7l4wRkHqqCUFNJY4AfY3kHU/edit?usp=sharing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J5002" s="7" t="s">
        <v>12</v>
      </c>
    </row>
    <row r="5003" spans="1:10" ht="13.2">
      <c r="A5003" s="7">
        <v>5002</v>
      </c>
      <c r="B5003" s="7">
        <v>1</v>
      </c>
      <c r="C5003" s="7" t="s">
        <v>10</v>
      </c>
      <c r="D5003" s="7">
        <v>4124</v>
      </c>
      <c r="E5003" s="7" t="s">
        <v>17</v>
      </c>
      <c r="F5003" s="8" t="str">
        <f ca="1">IFERROR(__xludf.DUMMYFUNCTION("IF
(
C5004=""фізична особа""
,
VLOOKUP(D5004,IMPORTRANGE(""https://docs.google.com/spreadsheets/d/14Bd19lYaqBhU8_DElYkX7l4wRkHqqCUFNJY4AfY3kHU/edit?usp=sharing  #gid=0"",""фіз особи new!relations_name""),6,FALSE)
,
(IF
(
C5004=""юридична особа""
,
VLOOKUP"&amp;"(D5004,IMPORTRANGE(""https://docs.google.com/spreadsheets/d/14Bd19lYaqBhU8_DElYkX7l4wRkHqqCUFNJY4AfY3kHU/edit?usp=sharing  #gid=0"",""фіз особи new!relations_name_uo""),7,FALSE)
,
)
))"),"ГУРУЛЬОВ Віктор Андрійович")</f>
        <v>ГУРУЛЬОВ Віктор Андрійович</v>
      </c>
      <c r="G5003" s="7" t="s">
        <v>10</v>
      </c>
      <c r="H5003" s="7">
        <v>84</v>
      </c>
      <c r="I5003" s="8" t="str">
        <f ca="1">IFERROR(__xludf.DUMMYFUNCTION("IF
(
G5004=""фізична особа""
,
VLOOKUP(H5004,IMPORTRANGE(""https://docs.google.com/spreadsheets/d/14Bd19lYaqBhU8_DElYkX7l4wRkHqqCUFNJY4AfY3kHU/edit?usp=sharing  #gid=0"",""фіз особи new!relations_name""),6,FALSE)
,
(IF
(
G5004=""юридична особа""
,
VLOOKUP"&amp;"(H5004,IMPORTRANGE(""https://docs.google.com/spreadsheets/d/14Bd19lYaqBhU8_DElYkX7l4wRkHqqCUFNJY4AfY3kHU/edit?usp=sharing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J5003" s="7" t="s">
        <v>12</v>
      </c>
    </row>
    <row r="5004" spans="1:10" ht="13.2">
      <c r="A5004" s="7">
        <v>5003</v>
      </c>
      <c r="B5004" s="7">
        <v>1</v>
      </c>
      <c r="C5004" s="7" t="s">
        <v>10</v>
      </c>
      <c r="D5004" s="7">
        <v>4125</v>
      </c>
      <c r="E5004" s="7" t="s">
        <v>17</v>
      </c>
      <c r="F5004" s="8" t="str">
        <f ca="1">IFERROR(__xludf.DUMMYFUNCTION("IF
(
C5005=""фізична особа""
,
VLOOKUP(D5005,IMPORTRANGE(""https://docs.google.com/spreadsheets/d/14Bd19lYaqBhU8_DElYkX7l4wRkHqqCUFNJY4AfY3kHU/edit?usp=sharing  #gid=0"",""фіз особи new!relations_name""),6,FALSE)
,
(IF
(
C5005=""юридична особа""
,
VLOOKUP"&amp;"(D5005,IMPORTRANGE(""https://docs.google.com/spreadsheets/d/14Bd19lYaqBhU8_DElYkX7l4wRkHqqCUFNJY4AfY3kHU/edit?usp=sharing  #gid=0"",""фіз особи new!relations_name_uo""),7,FALSE)
,
)
))"),"ГУРУЛЬОВ Василь Андрійович")</f>
        <v>ГУРУЛЬОВ Василь Андрійович</v>
      </c>
      <c r="G5004" s="7" t="s">
        <v>10</v>
      </c>
      <c r="H5004" s="7">
        <v>84</v>
      </c>
      <c r="I5004" s="8" t="str">
        <f ca="1">IFERROR(__xludf.DUMMYFUNCTION("IF
(
G5005=""фізична особа""
,
VLOOKUP(H5005,IMPORTRANGE(""https://docs.google.com/spreadsheets/d/14Bd19lYaqBhU8_DElYkX7l4wRkHqqCUFNJY4AfY3kHU/edit?usp=sharing  #gid=0"",""фіз особи new!relations_name""),6,FALSE)
,
(IF
(
G5005=""юридична особа""
,
VLOOKUP"&amp;"(H5005,IMPORTRANGE(""https://docs.google.com/spreadsheets/d/14Bd19lYaqBhU8_DElYkX7l4wRkHqqCUFNJY4AfY3kHU/edit?usp=sharing  #gid=0"",""фіз особи new!relations_name_uo""),7,FALSE)
,
)
))"),"ГУРУЛЬОВ Андрій Вікторович")</f>
        <v>ГУРУЛЬОВ Андрій Вікторович</v>
      </c>
      <c r="J5004" s="7" t="s">
        <v>12</v>
      </c>
    </row>
    <row r="5005" spans="1:10" ht="13.2">
      <c r="A5005" s="7">
        <v>5004</v>
      </c>
      <c r="B5005" s="7">
        <v>1</v>
      </c>
      <c r="C5005" s="7" t="s">
        <v>10</v>
      </c>
      <c r="D5005" s="7">
        <v>4126</v>
      </c>
      <c r="E5005" s="7" t="s">
        <v>15</v>
      </c>
      <c r="F5005" s="8" t="str">
        <f ca="1">IFERROR(__xludf.DUMMYFUNCTION("IF
(
C5006=""фізична особа""
,
VLOOKUP(D5006,IMPORTRANGE(""https://docs.google.com/spreadsheets/d/14Bd19lYaqBhU8_DElYkX7l4wRkHqqCUFNJY4AfY3kHU/edit?usp=sharing  #gid=0"",""фіз особи new!relations_name""),6,FALSE)
,
(IF
(
C5006=""юридична особа""
,
VLOOKUP"&amp;"(D5006,IMPORTRANGE(""https://docs.google.com/spreadsheets/d/14Bd19lYaqBhU8_DElYkX7l4wRkHqqCUFNJY4AfY3kHU/edit?usp=sharing  #gid=0"",""фіз особи new!relations_name_uo""),7,FALSE)
,
)
))"),"ЗІМІНА / ВОРОБЙОВА Аліна Михайлівна")</f>
        <v>ЗІМІНА / ВОРОБЙОВА Аліна Михайлівна</v>
      </c>
      <c r="G5005" s="7" t="s">
        <v>10</v>
      </c>
      <c r="H5005" s="7">
        <v>86</v>
      </c>
      <c r="I5005" s="8" t="str">
        <f ca="1">IFERROR(__xludf.DUMMYFUNCTION("IF
(
G5006=""фізична особа""
,
VLOOKUP(H5006,IMPORTRANGE(""https://docs.google.com/spreadsheets/d/14Bd19lYaqBhU8_DElYkX7l4wRkHqqCUFNJY4AfY3kHU/edit?usp=sharing  #gid=0"",""фіз особи new!relations_name""),6,FALSE)
,
(IF
(
G5006=""юридична особа""
,
VLOOKUP"&amp;"(H5006,IMPORTRANGE(""https://docs.google.com/spreadsheets/d/14Bd19lYaqBhU8_DElYkX7l4wRkHqqCUFNJY4AfY3kHU/edit?usp=sharing  #gid=0"",""фіз особи new!relations_name_uo""),7,FALSE)
,
)
))"),"ВОРОБЙОВ Андрій Вікторович")</f>
        <v>ВОРОБЙОВ Андрій Вікторович</v>
      </c>
      <c r="J5005" s="7" t="s">
        <v>14</v>
      </c>
    </row>
    <row r="5006" spans="1:10" ht="13.2">
      <c r="A5006" s="7">
        <v>5005</v>
      </c>
      <c r="B5006" s="7">
        <v>1</v>
      </c>
      <c r="C5006" s="7" t="s">
        <v>10</v>
      </c>
      <c r="D5006" s="7">
        <v>4127</v>
      </c>
      <c r="E5006" s="7" t="s">
        <v>17</v>
      </c>
      <c r="F5006" s="8" t="str">
        <f ca="1">IFERROR(__xludf.DUMMYFUNCTION("IF
(
C5007=""фізична особа""
,
VLOOKUP(D5007,IMPORTRANGE(""https://docs.google.com/spreadsheets/d/14Bd19lYaqBhU8_DElYkX7l4wRkHqqCUFNJY4AfY3kHU/edit?usp=sharing  #gid=0"",""фіз особи new!relations_name""),6,FALSE)
,
(IF
(
C5007=""юридична особа""
,
VLOOKUP"&amp;"(D5007,IMPORTRANGE(""https://docs.google.com/spreadsheets/d/14Bd19lYaqBhU8_DElYkX7l4wRkHqqCUFNJY4AfY3kHU/edit?usp=sharing  #gid=0"",""фіз особи new!relations_name_uo""),7,FALSE)
,
)
))"),"ГОРОХОВ Євгеній Андрійович")</f>
        <v>ГОРОХОВ Євгеній Андрійович</v>
      </c>
      <c r="G5006" s="7" t="s">
        <v>10</v>
      </c>
      <c r="H5006" s="7">
        <v>91</v>
      </c>
      <c r="I5006" s="8" t="str">
        <f ca="1">IFERROR(__xludf.DUMMYFUNCTION("IF
(
G5007=""фізична особа""
,
VLOOKUP(H5007,IMPORTRANGE(""https://docs.google.com/spreadsheets/d/14Bd19lYaqBhU8_DElYkX7l4wRkHqqCUFNJY4AfY3kHU/edit?usp=sharing  #gid=0"",""фіз особи new!relations_name""),6,FALSE)
,
(IF
(
G5007=""юридична особа""
,
VLOOKUP"&amp;"(H5007,IMPORTRANGE(""https://docs.google.com/spreadsheets/d/14Bd19lYaqBhU8_DElYkX7l4wRkHqqCUFNJY4AfY3kHU/edit?usp=sharing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J5006" s="7" t="s">
        <v>12</v>
      </c>
    </row>
    <row r="5007" spans="1:10" ht="13.2">
      <c r="A5007" s="7">
        <v>5006</v>
      </c>
      <c r="B5007" s="7">
        <v>1</v>
      </c>
      <c r="C5007" s="7" t="s">
        <v>10</v>
      </c>
      <c r="D5007" s="7">
        <v>4128</v>
      </c>
      <c r="E5007" s="7" t="s">
        <v>17</v>
      </c>
      <c r="F5007" s="8" t="str">
        <f ca="1">IFERROR(__xludf.DUMMYFUNCTION("IF
(
C5008=""фізична особа""
,
VLOOKUP(D5008,IMPORTRANGE(""https://docs.google.com/spreadsheets/d/14Bd19lYaqBhU8_DElYkX7l4wRkHqqCUFNJY4AfY3kHU/edit?usp=sharing  #gid=0"",""фіз особи new!relations_name""),6,FALSE)
,
(IF
(
C5008=""юридична особа""
,
VLOOKUP"&amp;"(D5008,IMPORTRANGE(""https://docs.google.com/spreadsheets/d/14Bd19lYaqBhU8_DElYkX7l4wRkHqqCUFNJY4AfY3kHU/edit?usp=sharing  #gid=0"",""фіз особи new!relations_name_uo""),7,FALSE)
,
)
))"),"ГОРОХОВ Дмитро Андрійович")</f>
        <v>ГОРОХОВ Дмитро Андрійович</v>
      </c>
      <c r="G5007" s="7" t="s">
        <v>10</v>
      </c>
      <c r="H5007" s="7">
        <v>91</v>
      </c>
      <c r="I5007" s="8" t="str">
        <f ca="1">IFERROR(__xludf.DUMMYFUNCTION("IF
(
G5008=""фізична особа""
,
VLOOKUP(H5008,IMPORTRANGE(""https://docs.google.com/spreadsheets/d/14Bd19lYaqBhU8_DElYkX7l4wRkHqqCUFNJY4AfY3kHU/edit?usp=sharing  #gid=0"",""фіз особи new!relations_name""),6,FALSE)
,
(IF
(
G5008=""юридична особа""
,
VLOOKUP"&amp;"(H5008,IMPORTRANGE(""https://docs.google.com/spreadsheets/d/14Bd19lYaqBhU8_DElYkX7l4wRkHqqCUFNJY4AfY3kHU/edit?usp=sharing  #gid=0"",""фіз особи new!relations_name_uo""),7,FALSE)
,
)
))"),"ГОРОХОВ Андрій Юрійович")</f>
        <v>ГОРОХОВ Андрій Юрійович</v>
      </c>
      <c r="J5007" s="7" t="s">
        <v>12</v>
      </c>
    </row>
    <row r="5008" spans="1:10" ht="13.2">
      <c r="A5008" s="7">
        <v>5007</v>
      </c>
      <c r="B5008" s="7">
        <v>1</v>
      </c>
      <c r="C5008" s="7" t="s">
        <v>10</v>
      </c>
      <c r="D5008" s="7">
        <v>4129</v>
      </c>
      <c r="E5008" s="7" t="s">
        <v>18</v>
      </c>
      <c r="F5008" s="8" t="str">
        <f ca="1">IFERROR(__xludf.DUMMYFUNCTION("IF
(
C5009=""фізична особа""
,
VLOOKUP(D5009,IMPORTRANGE(""https://docs.google.com/spreadsheets/d/14Bd19lYaqBhU8_DElYkX7l4wRkHqqCUFNJY4AfY3kHU/edit?usp=sharing  #gid=0"",""фіз особи new!relations_name""),6,FALSE)
,
(IF
(
C5009=""юридична особа""
,
VLOOKUP"&amp;"(D5009,IMPORTRANGE(""https://docs.google.com/spreadsheets/d/14Bd19lYaqBhU8_DElYkX7l4wRkHqqCUFNJY4AfY3kHU/edit?usp=sharing  #gid=0"",""фіз особи new!relations_name_uo""),7,FALSE)
,
)
))"),"БУЛАЄВ Костянтин Юрійович")</f>
        <v>БУЛАЄВ Костянтин Юрійович</v>
      </c>
      <c r="G5008" s="7" t="s">
        <v>10</v>
      </c>
      <c r="H5008" s="7">
        <v>94</v>
      </c>
      <c r="I5008" s="8" t="str">
        <f ca="1">IFERROR(__xludf.DUMMYFUNCTION("IF
(
G5009=""фізична особа""
,
VLOOKUP(H5009,IMPORTRANGE(""https://docs.google.com/spreadsheets/d/14Bd19lYaqBhU8_DElYkX7l4wRkHqqCUFNJY4AfY3kHU/edit?usp=sharing  #gid=0"",""фіз особи new!relations_name""),6,FALSE)
,
(IF
(
G5009=""юридична особа""
,
VLOOKUP"&amp;"(H5009,IMPORTRANGE(""https://docs.google.com/spreadsheets/d/14Bd19lYaqBhU8_DElYkX7l4wRkHqqCUFNJY4AfY3kHU/edit?usp=sharing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08" s="7" t="s">
        <v>31</v>
      </c>
    </row>
    <row r="5009" spans="1:10" ht="13.2">
      <c r="A5009" s="7">
        <v>5008</v>
      </c>
      <c r="B5009" s="7">
        <v>1</v>
      </c>
      <c r="C5009" s="7" t="s">
        <v>10</v>
      </c>
      <c r="D5009" s="7">
        <v>4130</v>
      </c>
      <c r="E5009" s="7" t="s">
        <v>14</v>
      </c>
      <c r="F5009" s="8" t="str">
        <f ca="1">IFERROR(__xludf.DUMMYFUNCTION("IF
(
C5010=""фізична особа""
,
VLOOKUP(D5010,IMPORTRANGE(""https://docs.google.com/spreadsheets/d/14Bd19lYaqBhU8_DElYkX7l4wRkHqqCUFNJY4AfY3kHU/edit?usp=sharing  #gid=0"",""фіз особи new!relations_name""),6,FALSE)
,
(IF
(
C5010=""юридична особа""
,
VLOOKUP"&amp;"(D5010,IMPORTRANGE(""https://docs.google.com/spreadsheets/d/14Bd19lYaqBhU8_DElYkX7l4wRkHqqCUFNJY4AfY3kHU/edit?usp=sharing  #gid=0"",""фіз особи new!relations_name_uo""),7,FALSE)
,
)
))"),"КУЗНЄЦОВ Олексій Андрійович")</f>
        <v>КУЗНЄЦОВ Олексій Андрійович</v>
      </c>
      <c r="G5009" s="7" t="s">
        <v>10</v>
      </c>
      <c r="H5009" s="7">
        <v>94</v>
      </c>
      <c r="I5009" s="8" t="str">
        <f ca="1">IFERROR(__xludf.DUMMYFUNCTION("IF
(
G5010=""фізична особа""
,
VLOOKUP(H5010,IMPORTRANGE(""https://docs.google.com/spreadsheets/d/14Bd19lYaqBhU8_DElYkX7l4wRkHqqCUFNJY4AfY3kHU/edit?usp=sharing  #gid=0"",""фіз особи new!relations_name""),6,FALSE)
,
(IF
(
G5010=""юридична особа""
,
VLOOKUP"&amp;"(H5010,IMPORTRANGE(""https://docs.google.com/spreadsheets/d/14Bd19lYaqBhU8_DElYkX7l4wRkHqqCUFNJY4AfY3kHU/edit?usp=sharing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09" s="7" t="s">
        <v>15</v>
      </c>
    </row>
    <row r="5010" spans="1:10" ht="13.2">
      <c r="A5010" s="7">
        <v>5009</v>
      </c>
      <c r="B5010" s="7">
        <v>1</v>
      </c>
      <c r="C5010" s="7" t="s">
        <v>10</v>
      </c>
      <c r="D5010" s="7">
        <v>4131</v>
      </c>
      <c r="E5010" s="7" t="s">
        <v>17</v>
      </c>
      <c r="F5010" s="8" t="str">
        <f ca="1">IFERROR(__xludf.DUMMYFUNCTION("IF
(
C5011=""фізична особа""
,
VLOOKUP(D5011,IMPORTRANGE(""https://docs.google.com/spreadsheets/d/14Bd19lYaqBhU8_DElYkX7l4wRkHqqCUFNJY4AfY3kHU/edit?usp=sharing  #gid=0"",""фіз особи new!relations_name""),6,FALSE)
,
(IF
(
C5011=""юридична особа""
,
VLOOKUP"&amp;"(D5011,IMPORTRANGE(""https://docs.google.com/spreadsheets/d/14Bd19lYaqBhU8_DElYkX7l4wRkHqqCUFNJY4AfY3kHU/edit?usp=sharing  #gid=0"",""фіз особи new!relations_name_uo""),7,FALSE)
,
)
))"),"КУЗНЕЦОВ Іван Олексійович")</f>
        <v>КУЗНЕЦОВ Іван Олексійович</v>
      </c>
      <c r="G5010" s="7" t="s">
        <v>10</v>
      </c>
      <c r="H5010" s="7">
        <v>94</v>
      </c>
      <c r="I5010" s="8" t="str">
        <f ca="1">IFERROR(__xludf.DUMMYFUNCTION("IF
(
G5011=""фізична особа""
,
VLOOKUP(H5011,IMPORTRANGE(""https://docs.google.com/spreadsheets/d/14Bd19lYaqBhU8_DElYkX7l4wRkHqqCUFNJY4AfY3kHU/edit?usp=sharing  #gid=0"",""фіз особи new!relations_name""),6,FALSE)
,
(IF
(
G5011=""юридична особа""
,
VLOOKUP"&amp;"(H5011,IMPORTRANGE(""https://docs.google.com/spreadsheets/d/14Bd19lYaqBhU8_DElYkX7l4wRkHqqCUFNJY4AfY3kHU/edit?usp=sharing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0" s="7" t="s">
        <v>21</v>
      </c>
    </row>
    <row r="5011" spans="1:10" ht="13.2">
      <c r="A5011" s="7">
        <v>5010</v>
      </c>
      <c r="B5011" s="7">
        <v>1</v>
      </c>
      <c r="C5011" s="7" t="s">
        <v>10</v>
      </c>
      <c r="D5011" s="7">
        <v>4132</v>
      </c>
      <c r="E5011" s="7" t="s">
        <v>17</v>
      </c>
      <c r="F5011" s="8" t="str">
        <f ca="1">IFERROR(__xludf.DUMMYFUNCTION("IF
(
C5012=""фізична особа""
,
VLOOKUP(D5012,IMPORTRANGE(""https://docs.google.com/spreadsheets/d/14Bd19lYaqBhU8_DElYkX7l4wRkHqqCUFNJY4AfY3kHU/edit?usp=sharing  #gid=0"",""фіз особи new!relations_name""),6,FALSE)
,
(IF
(
C5012=""юридична особа""
,
VLOOKUP"&amp;"(D5012,IMPORTRANGE(""https://docs.google.com/spreadsheets/d/14Bd19lYaqBhU8_DElYkX7l4wRkHqqCUFNJY4AfY3kHU/edit?usp=sharing  #gid=0"",""фіз особи new!relations_name_uo""),7,FALSE)
,
)
))"),"КУЗНЄЦОВ Микола Олексійович")</f>
        <v>КУЗНЄЦОВ Микола Олексійович</v>
      </c>
      <c r="G5011" s="7" t="s">
        <v>10</v>
      </c>
      <c r="H5011" s="7">
        <v>94</v>
      </c>
      <c r="I5011" s="8" t="str">
        <f ca="1">IFERROR(__xludf.DUMMYFUNCTION("IF
(
G5012=""фізична особа""
,
VLOOKUP(H5012,IMPORTRANGE(""https://docs.google.com/spreadsheets/d/14Bd19lYaqBhU8_DElYkX7l4wRkHqqCUFNJY4AfY3kHU/edit?usp=sharing  #gid=0"",""фіз особи new!relations_name""),6,FALSE)
,
(IF
(
G5012=""юридична особа""
,
VLOOKUP"&amp;"(H5012,IMPORTRANGE(""https://docs.google.com/spreadsheets/d/14Bd19lYaqBhU8_DElYkX7l4wRkHqqCUFNJY4AfY3kHU/edit?usp=sharing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1" s="7" t="s">
        <v>21</v>
      </c>
    </row>
    <row r="5012" spans="1:10" ht="13.2">
      <c r="A5012" s="7">
        <v>5011</v>
      </c>
      <c r="B5012" s="7">
        <v>1</v>
      </c>
      <c r="C5012" s="7" t="s">
        <v>10</v>
      </c>
      <c r="D5012" s="7">
        <v>4133</v>
      </c>
      <c r="E5012" s="7" t="s">
        <v>17</v>
      </c>
      <c r="F5012" s="8" t="str">
        <f ca="1">IFERROR(__xludf.DUMMYFUNCTION("IF
(
C5013=""фізична особа""
,
VLOOKUP(D5013,IMPORTRANGE(""https://docs.google.com/spreadsheets/d/14Bd19lYaqBhU8_DElYkX7l4wRkHqqCUFNJY4AfY3kHU/edit?usp=sharing  #gid=0"",""фіз особи new!relations_name""),6,FALSE)
,
(IF
(
C5013=""юридична особа""
,
VLOOKUP"&amp;"(D5013,IMPORTRANGE(""https://docs.google.com/spreadsheets/d/14Bd19lYaqBhU8_DElYkX7l4wRkHqqCUFNJY4AfY3kHU/edit?usp=sharing  #gid=0"",""фіз особи new!relations_name_uo""),7,FALSE)
,
)
))"),"КУЗНЄЦОВ Тимофій Олексійович")</f>
        <v>КУЗНЄЦОВ Тимофій Олексійович</v>
      </c>
      <c r="G5012" s="7" t="s">
        <v>10</v>
      </c>
      <c r="H5012" s="7">
        <v>94</v>
      </c>
      <c r="I5012" s="8" t="str">
        <f ca="1">IFERROR(__xludf.DUMMYFUNCTION("IF
(
G5013=""фізична особа""
,
VLOOKUP(H5013,IMPORTRANGE(""https://docs.google.com/spreadsheets/d/14Bd19lYaqBhU8_DElYkX7l4wRkHqqCUFNJY4AfY3kHU/edit?usp=sharing  #gid=0"",""фіз особи new!relations_name""),6,FALSE)
,
(IF
(
G5013=""юридична особа""
,
VLOOKUP"&amp;"(H5013,IMPORTRANGE(""https://docs.google.com/spreadsheets/d/14Bd19lYaqBhU8_DElYkX7l4wRkHqqCUFNJY4AfY3kHU/edit?usp=sharing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2" s="7" t="s">
        <v>21</v>
      </c>
    </row>
    <row r="5013" spans="1:10" ht="13.2">
      <c r="A5013" s="7">
        <v>5012</v>
      </c>
      <c r="B5013" s="7">
        <v>1</v>
      </c>
      <c r="C5013" s="7" t="s">
        <v>10</v>
      </c>
      <c r="D5013" s="7">
        <v>4134</v>
      </c>
      <c r="E5013" s="7" t="s">
        <v>17</v>
      </c>
      <c r="F5013" s="8" t="str">
        <f ca="1">IFERROR(__xludf.DUMMYFUNCTION("IF
(
C5014=""фізична особа""
,
VLOOKUP(D5014,IMPORTRANGE(""https://docs.google.com/spreadsheets/d/14Bd19lYaqBhU8_DElYkX7l4wRkHqqCUFNJY4AfY3kHU/edit?usp=sharing  #gid=0"",""фіз особи new!relations_name""),6,FALSE)
,
(IF
(
C5014=""юридична особа""
,
VLOOKUP"&amp;"(D5014,IMPORTRANGE(""https://docs.google.com/spreadsheets/d/14Bd19lYaqBhU8_DElYkX7l4wRkHqqCUFNJY4AfY3kHU/edit?usp=sharing  #gid=0"",""фіз особи new!relations_name_uo""),7,FALSE)
,
)
))"),"КУЗНЄЦОВ Лев Олексійович")</f>
        <v>КУЗНЄЦОВ Лев Олексійович</v>
      </c>
      <c r="G5013" s="7" t="s">
        <v>10</v>
      </c>
      <c r="H5013" s="7">
        <v>94</v>
      </c>
      <c r="I5013" s="8" t="str">
        <f ca="1">IFERROR(__xludf.DUMMYFUNCTION("IF
(
G5014=""фізична особа""
,
VLOOKUP(H5014,IMPORTRANGE(""https://docs.google.com/spreadsheets/d/14Bd19lYaqBhU8_DElYkX7l4wRkHqqCUFNJY4AfY3kHU/edit?usp=sharing  #gid=0"",""фіз особи new!relations_name""),6,FALSE)
,
(IF
(
G5014=""юридична особа""
,
VLOOKUP"&amp;"(H5014,IMPORTRANGE(""https://docs.google.com/spreadsheets/d/14Bd19lYaqBhU8_DElYkX7l4wRkHqqCUFNJY4AfY3kHU/edit?usp=sharing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3" s="7" t="s">
        <v>21</v>
      </c>
    </row>
    <row r="5014" spans="1:10" ht="13.2">
      <c r="A5014" s="7">
        <v>5013</v>
      </c>
      <c r="B5014" s="7">
        <v>1</v>
      </c>
      <c r="C5014" s="7" t="s">
        <v>10</v>
      </c>
      <c r="D5014" s="7">
        <v>4135</v>
      </c>
      <c r="E5014" s="7" t="s">
        <v>13</v>
      </c>
      <c r="F5014" s="8" t="str">
        <f ca="1">IFERROR(__xludf.DUMMYFUNCTION("IF
(
C5015=""фізична особа""
,
VLOOKUP(D5015,IMPORTRANGE(""https://docs.google.com/spreadsheets/d/14Bd19lYaqBhU8_DElYkX7l4wRkHqqCUFNJY4AfY3kHU/edit?usp=sharing  #gid=0"",""фіз особи new!relations_name""),6,FALSE)
,
(IF
(
C5015=""юридична особа""
,
VLOOKUP"&amp;"(D5015,IMPORTRANGE(""https://docs.google.com/spreadsheets/d/14Bd19lYaqBhU8_DElYkX7l4wRkHqqCUFNJY4AfY3kHU/edit?usp=sharing  #gid=0"",""фіз особи new!relations_name_uo""),7,FALSE)
,
)
))"),"КУЗНЄЦОВА Марія Олексіївна")</f>
        <v>КУЗНЄЦОВА Марія Олексіївна</v>
      </c>
      <c r="G5014" s="7" t="s">
        <v>10</v>
      </c>
      <c r="H5014" s="7">
        <v>94</v>
      </c>
      <c r="I5014" s="8" t="str">
        <f ca="1">IFERROR(__xludf.DUMMYFUNCTION("IF
(
G5015=""фізична особа""
,
VLOOKUP(H5015,IMPORTRANGE(""https://docs.google.com/spreadsheets/d/14Bd19lYaqBhU8_DElYkX7l4wRkHqqCUFNJY4AfY3kHU/edit?usp=sharing  #gid=0"",""фіз особи new!relations_name""),6,FALSE)
,
(IF
(
G5015=""юридична особа""
,
VLOOKUP"&amp;"(H5015,IMPORTRANGE(""https://docs.google.com/spreadsheets/d/14Bd19lYaqBhU8_DElYkX7l4wRkHqqCUFNJY4AfY3kHU/edit?usp=sharing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4" s="7" t="s">
        <v>21</v>
      </c>
    </row>
    <row r="5015" spans="1:10" ht="13.2">
      <c r="A5015" s="7">
        <v>5014</v>
      </c>
      <c r="B5015" s="7">
        <v>1</v>
      </c>
      <c r="C5015" s="7" t="s">
        <v>10</v>
      </c>
      <c r="D5015" s="7">
        <v>4136</v>
      </c>
      <c r="E5015" s="7" t="s">
        <v>13</v>
      </c>
      <c r="F5015" s="8" t="str">
        <f ca="1">IFERROR(__xludf.DUMMYFUNCTION("IF
(
C5016=""фізична особа""
,
VLOOKUP(D5016,IMPORTRANGE(""https://docs.google.com/spreadsheets/d/14Bd19lYaqBhU8_DElYkX7l4wRkHqqCUFNJY4AfY3kHU/edit?usp=sharing  #gid=0"",""фіз особи new!relations_name""),6,FALSE)
,
(IF
(
C5016=""юридична особа""
,
VLOOKUP"&amp;"(D5016,IMPORTRANGE(""https://docs.google.com/spreadsheets/d/14Bd19lYaqBhU8_DElYkX7l4wRkHqqCUFNJY4AfY3kHU/edit?usp=sharing  #gid=0"",""фіз особи new!relations_name_uo""),7,FALSE)
,
)
))"),"КУЗНЄЦОВА Дар'я Олексіївна")</f>
        <v>КУЗНЄЦОВА Дар'я Олексіївна</v>
      </c>
      <c r="G5015" s="7" t="s">
        <v>10</v>
      </c>
      <c r="H5015" s="7">
        <v>94</v>
      </c>
      <c r="I5015" s="8" t="str">
        <f ca="1">IFERROR(__xludf.DUMMYFUNCTION("IF
(
G5016=""фізична особа""
,
VLOOKUP(H5016,IMPORTRANGE(""https://docs.google.com/spreadsheets/d/14Bd19lYaqBhU8_DElYkX7l4wRkHqqCUFNJY4AfY3kHU/edit?usp=sharing  #gid=0"",""фіз особи new!relations_name""),6,FALSE)
,
(IF
(
G5016=""юридична особа""
,
VLOOKUP"&amp;"(H5016,IMPORTRANGE(""https://docs.google.com/spreadsheets/d/14Bd19lYaqBhU8_DElYkX7l4wRkHqqCUFNJY4AfY3kHU/edit?usp=sharing  #gid=0"",""фіз особи new!relations_name_uo""),7,FALSE)
,
)
))"),"КУЗНЄЦОВА Ганна Юріївна")</f>
        <v>КУЗНЄЦОВА Ганна Юріївна</v>
      </c>
      <c r="J5015" s="7" t="s">
        <v>21</v>
      </c>
    </row>
    <row r="5016" spans="1:10" ht="13.2">
      <c r="A5016" s="7">
        <v>5015</v>
      </c>
      <c r="B5016" s="7">
        <v>1</v>
      </c>
      <c r="C5016" s="7" t="s">
        <v>10</v>
      </c>
      <c r="D5016" s="7">
        <v>4137</v>
      </c>
      <c r="E5016" s="7" t="s">
        <v>18</v>
      </c>
      <c r="F5016" s="8" t="str">
        <f ca="1">IFERROR(__xludf.DUMMYFUNCTION("IF
(
C5017=""фізична особа""
,
VLOOKUP(D5017,IMPORTRANGE(""https://docs.google.com/spreadsheets/d/14Bd19lYaqBhU8_DElYkX7l4wRkHqqCUFNJY4AfY3kHU/edit?usp=sharing  #gid=0"",""фіз особи new!relations_name""),6,FALSE)
,
(IF
(
C5017=""юридична особа""
,
VLOOKUP"&amp;"(D5017,IMPORTRANGE(""https://docs.google.com/spreadsheets/d/14Bd19lYaqBhU8_DElYkX7l4wRkHqqCUFNJY4AfY3kHU/edit?usp=sharing  #gid=0"",""фіз особи new!relations_name_uo""),7,FALSE)
,
)
))"),"КРАСНОШТАНОВ Дмитро Олексійович")</f>
        <v>КРАСНОШТАНОВ Дмитро Олексійович</v>
      </c>
      <c r="G5016" s="7" t="s">
        <v>10</v>
      </c>
      <c r="H5016" s="7">
        <v>95</v>
      </c>
      <c r="I5016" s="8" t="str">
        <f ca="1">IFERROR(__xludf.DUMMYFUNCTION("IF
(
G5017=""фізична особа""
,
VLOOKUP(H5017,IMPORTRANGE(""https://docs.google.com/spreadsheets/d/14Bd19lYaqBhU8_DElYkX7l4wRkHqqCUFNJY4AfY3kHU/edit?usp=sharing  #gid=0"",""фіз особи new!relations_name""),6,FALSE)
,
(IF
(
G5017=""юридична особа""
,
VLOOKUP"&amp;"(H5017,IMPORTRANGE(""https://docs.google.com/spreadsheets/d/14Bd19lYaqBhU8_DElYkX7l4wRkHqqCUFNJY4AfY3kHU/edit?usp=sharing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J5016" s="7" t="s">
        <v>18</v>
      </c>
    </row>
    <row r="5017" spans="1:10" ht="13.2">
      <c r="A5017" s="7">
        <v>5016</v>
      </c>
      <c r="B5017" s="7">
        <v>1</v>
      </c>
      <c r="C5017" s="7" t="s">
        <v>10</v>
      </c>
      <c r="D5017" s="7">
        <v>4138</v>
      </c>
      <c r="E5017" s="7" t="s">
        <v>12</v>
      </c>
      <c r="F5017" s="8" t="str">
        <f ca="1">IFERROR(__xludf.DUMMYFUNCTION("IF
(
C5018=""фізична особа""
,
VLOOKUP(D5018,IMPORTRANGE(""https://docs.google.com/spreadsheets/d/14Bd19lYaqBhU8_DElYkX7l4wRkHqqCUFNJY4AfY3kHU/edit?usp=sharing  #gid=0"",""фіз особи new!relations_name""),6,FALSE)
,
(IF
(
C5018=""юридична особа""
,
VLOOKUP"&amp;"(D5018,IMPORTRANGE(""https://docs.google.com/spreadsheets/d/14Bd19lYaqBhU8_DElYkX7l4wRkHqqCUFNJY4AfY3kHU/edit?usp=sharing  #gid=0"",""фіз особи new!relations_name_uo""),7,FALSE)
,
)
))"),"КРАСНОШТАНОВ Олексій Миколайович")</f>
        <v>КРАСНОШТАНОВ Олексій Миколайович</v>
      </c>
      <c r="G5017" s="7" t="s">
        <v>10</v>
      </c>
      <c r="H5017" s="7">
        <v>95</v>
      </c>
      <c r="I5017" s="8" t="str">
        <f ca="1">IFERROR(__xludf.DUMMYFUNCTION("IF
(
G5018=""фізична особа""
,
VLOOKUP(H5018,IMPORTRANGE(""https://docs.google.com/spreadsheets/d/14Bd19lYaqBhU8_DElYkX7l4wRkHqqCUFNJY4AfY3kHU/edit?usp=sharing  #gid=0"",""фіз особи new!relations_name""),6,FALSE)
,
(IF
(
G5018=""юридична особа""
,
VLOOKUP"&amp;"(H5018,IMPORTRANGE(""https://docs.google.com/spreadsheets/d/14Bd19lYaqBhU8_DElYkX7l4wRkHqqCUFNJY4AfY3kHU/edit?usp=sharing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J5017" s="7" t="s">
        <v>17</v>
      </c>
    </row>
    <row r="5018" spans="1:10" ht="13.2">
      <c r="A5018" s="7">
        <v>5017</v>
      </c>
      <c r="B5018" s="7">
        <v>1</v>
      </c>
      <c r="C5018" s="7" t="s">
        <v>10</v>
      </c>
      <c r="D5018" s="7">
        <v>4139</v>
      </c>
      <c r="E5018" s="7" t="s">
        <v>15</v>
      </c>
      <c r="F5018" s="8" t="str">
        <f ca="1">IFERROR(__xludf.DUMMYFUNCTION("IF
(
C5019=""фізична особа""
,
VLOOKUP(D5019,IMPORTRANGE(""https://docs.google.com/spreadsheets/d/14Bd19lYaqBhU8_DElYkX7l4wRkHqqCUFNJY4AfY3kHU/edit?usp=sharing  #gid=0"",""фіз особи new!relations_name""),6,FALSE)
,
(IF
(
C5019=""юридична особа""
,
VLOOKUP"&amp;"(D5019,IMPORTRANGE(""https://docs.google.com/spreadsheets/d/14Bd19lYaqBhU8_DElYkX7l4wRkHqqCUFNJY4AfY3kHU/edit?usp=sharing  #gid=0"",""фіз особи new!relations_name_uo""),7,FALSE)
,
)
))"),"КРАСНОШТАНОВА Анастасія Олександрівна")</f>
        <v>КРАСНОШТАНОВА Анастасія Олександрівна</v>
      </c>
      <c r="G5018" s="7" t="s">
        <v>10</v>
      </c>
      <c r="H5018" s="7">
        <v>95</v>
      </c>
      <c r="I5018" s="8" t="str">
        <f ca="1">IFERROR(__xludf.DUMMYFUNCTION("IF
(
G5019=""фізична особа""
,
VLOOKUP(H5019,IMPORTRANGE(""https://docs.google.com/spreadsheets/d/14Bd19lYaqBhU8_DElYkX7l4wRkHqqCUFNJY4AfY3kHU/edit?usp=sharing  #gid=0"",""фіз особи new!relations_name""),6,FALSE)
,
(IF
(
G5019=""юридична особа""
,
VLOOKUP"&amp;"(H5019,IMPORTRANGE(""https://docs.google.com/spreadsheets/d/14Bd19lYaqBhU8_DElYkX7l4wRkHqqCUFNJY4AfY3kHU/edit?usp=sharing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J5018" s="7" t="s">
        <v>14</v>
      </c>
    </row>
    <row r="5019" spans="1:10" ht="13.2">
      <c r="A5019" s="7">
        <v>5018</v>
      </c>
      <c r="B5019" s="7">
        <v>1</v>
      </c>
      <c r="C5019" s="7" t="s">
        <v>10</v>
      </c>
      <c r="D5019" s="7">
        <v>4139</v>
      </c>
      <c r="E5019" s="7" t="s">
        <v>25</v>
      </c>
      <c r="F5019" s="8" t="str">
        <f ca="1">IFERROR(__xludf.DUMMYFUNCTION("IF
(
C5020=""фізична особа""
,
VLOOKUP(D5020,IMPORTRANGE(""https://docs.google.com/spreadsheets/d/14Bd19lYaqBhU8_DElYkX7l4wRkHqqCUFNJY4AfY3kHU/edit?usp=sharing  #gid=0"",""фіз особи new!relations_name""),6,FALSE)
,
(IF
(
C5020=""юридична особа""
,
VLOOKUP"&amp;"(D5020,IMPORTRANGE(""https://docs.google.com/spreadsheets/d/14Bd19lYaqBhU8_DElYkX7l4wRkHqqCUFNJY4AfY3kHU/edit?usp=sharing  #gid=0"",""фіз особи new!relations_name_uo""),7,FALSE)
,
)
))"),"КРАСНОШТАНОВА Анастасія Олександрівна")</f>
        <v>КРАСНОШТАНОВА Анастасія Олександрівна</v>
      </c>
      <c r="G5019" s="7" t="s">
        <v>10</v>
      </c>
      <c r="H5019" s="7">
        <v>4138</v>
      </c>
      <c r="I5019" s="8" t="str">
        <f ca="1">IFERROR(__xludf.DUMMYFUNCTION("IF
(
G5020=""фізична особа""
,
VLOOKUP(H5020,IMPORTRANGE(""https://docs.google.com/spreadsheets/d/14Bd19lYaqBhU8_DElYkX7l4wRkHqqCUFNJY4AfY3kHU/edit?usp=sharing  #gid=0"",""фіз особи new!relations_name""),6,FALSE)
,
(IF
(
G5020=""юридична особа""
,
VLOOKUP"&amp;"(H5020,IMPORTRANGE(""https://docs.google.com/spreadsheets/d/14Bd19lYaqBhU8_DElYkX7l4wRkHqqCUFNJY4AfY3kHU/edit?usp=sharing  #gid=0"",""фіз особи new!relations_name_uo""),7,FALSE)
,
)
))"),"КРАСНОШТАНОВ Олексій Миколайович")</f>
        <v>КРАСНОШТАНОВ Олексій Миколайович</v>
      </c>
      <c r="J5019" s="7" t="s">
        <v>34</v>
      </c>
    </row>
    <row r="5020" spans="1:10" ht="13.2">
      <c r="A5020" s="7">
        <v>5019</v>
      </c>
      <c r="B5020" s="7">
        <v>1</v>
      </c>
      <c r="C5020" s="7" t="s">
        <v>10</v>
      </c>
      <c r="D5020" s="7">
        <v>4140</v>
      </c>
      <c r="E5020" s="7" t="s">
        <v>31</v>
      </c>
      <c r="F5020" s="8" t="str">
        <f ca="1">IFERROR(__xludf.DUMMYFUNCTION("IF
(
C5021=""фізична особа""
,
VLOOKUP(D5021,IMPORTRANGE(""https://docs.google.com/spreadsheets/d/14Bd19lYaqBhU8_DElYkX7l4wRkHqqCUFNJY4AfY3kHU/edit?usp=sharing  #gid=0"",""фіз особи new!relations_name""),6,FALSE)
,
(IF
(
C5021=""юридична особа""
,
VLOOKUP"&amp;"(D5021,IMPORTRANGE(""https://docs.google.com/spreadsheets/d/14Bd19lYaqBhU8_DElYkX7l4wRkHqqCUFNJY4AfY3kHU/edit?usp=sharing  #gid=0"",""фіз особи new!relations_name_uo""),7,FALSE)
,
)
))"),"КРАСНОШТАНОВА Тетяна Олексіївна")</f>
        <v>КРАСНОШТАНОВА Тетяна Олексіївна</v>
      </c>
      <c r="G5020" s="7" t="s">
        <v>10</v>
      </c>
      <c r="H5020" s="7">
        <v>95</v>
      </c>
      <c r="I5020" s="8" t="str">
        <f ca="1">IFERROR(__xludf.DUMMYFUNCTION("IF
(
G5021=""фізична особа""
,
VLOOKUP(H5021,IMPORTRANGE(""https://docs.google.com/spreadsheets/d/14Bd19lYaqBhU8_DElYkX7l4wRkHqqCUFNJY4AfY3kHU/edit?usp=sharing  #gid=0"",""фіз особи new!relations_name""),6,FALSE)
,
(IF
(
G5021=""юридична особа""
,
VLOOKUP"&amp;"(H5021,IMPORTRANGE(""https://docs.google.com/spreadsheets/d/14Bd19lYaqBhU8_DElYkX7l4wRkHqqCUFNJY4AfY3kHU/edit?usp=sharing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J5020" s="7" t="s">
        <v>18</v>
      </c>
    </row>
    <row r="5021" spans="1:10" ht="13.2">
      <c r="A5021" s="7">
        <v>5020</v>
      </c>
      <c r="B5021" s="7">
        <v>1</v>
      </c>
      <c r="C5021" s="7" t="s">
        <v>10</v>
      </c>
      <c r="D5021" s="7">
        <v>4140</v>
      </c>
      <c r="E5021" s="7" t="s">
        <v>13</v>
      </c>
      <c r="F5021" s="8" t="str">
        <f ca="1">IFERROR(__xludf.DUMMYFUNCTION("IF
(
C5022=""фізична особа""
,
VLOOKUP(D5022,IMPORTRANGE(""https://docs.google.com/spreadsheets/d/14Bd19lYaqBhU8_DElYkX7l4wRkHqqCUFNJY4AfY3kHU/edit?usp=sharing  #gid=0"",""фіз особи new!relations_name""),6,FALSE)
,
(IF
(
C5022=""юридична особа""
,
VLOOKUP"&amp;"(D5022,IMPORTRANGE(""https://docs.google.com/spreadsheets/d/14Bd19lYaqBhU8_DElYkX7l4wRkHqqCUFNJY4AfY3kHU/edit?usp=sharing  #gid=0"",""фіз особи new!relations_name_uo""),7,FALSE)
,
)
))"),"КРАСНОШТАНОВА Тетяна Олексіївна")</f>
        <v>КРАСНОШТАНОВА Тетяна Олексіївна</v>
      </c>
      <c r="G5021" s="7" t="s">
        <v>10</v>
      </c>
      <c r="H5021" s="7">
        <v>4138</v>
      </c>
      <c r="I5021" s="8" t="str">
        <f ca="1">IFERROR(__xludf.DUMMYFUNCTION("IF
(
G5022=""фізична особа""
,
VLOOKUP(H5022,IMPORTRANGE(""https://docs.google.com/spreadsheets/d/14Bd19lYaqBhU8_DElYkX7l4wRkHqqCUFNJY4AfY3kHU/edit?usp=sharing  #gid=0"",""фіз особи new!relations_name""),6,FALSE)
,
(IF
(
G5022=""юридична особа""
,
VLOOKUP"&amp;"(H5022,IMPORTRANGE(""https://docs.google.com/spreadsheets/d/14Bd19lYaqBhU8_DElYkX7l4wRkHqqCUFNJY4AfY3kHU/edit?usp=sharing  #gid=0"",""фіз особи new!relations_name_uo""),7,FALSE)
,
)
))"),"КРАСНОШТАНОВ Олексій Миколайович")</f>
        <v>КРАСНОШТАНОВ Олексій Миколайович</v>
      </c>
      <c r="J5021" s="7" t="s">
        <v>12</v>
      </c>
    </row>
    <row r="5022" spans="1:10" ht="13.2">
      <c r="A5022" s="7">
        <v>5021</v>
      </c>
      <c r="B5022" s="7">
        <v>1</v>
      </c>
      <c r="C5022" s="7" t="s">
        <v>10</v>
      </c>
      <c r="D5022" s="7">
        <v>4141</v>
      </c>
      <c r="E5022" s="7" t="s">
        <v>21</v>
      </c>
      <c r="F5022" s="8" t="str">
        <f ca="1">IFERROR(__xludf.DUMMYFUNCTION("IF
(
C5023=""фізична особа""
,
VLOOKUP(D5023,IMPORTRANGE(""https://docs.google.com/spreadsheets/d/14Bd19lYaqBhU8_DElYkX7l4wRkHqqCUFNJY4AfY3kHU/edit?usp=sharing  #gid=0"",""фіз особи new!relations_name""),6,FALSE)
,
(IF
(
C5023=""юридична особа""
,
VLOOKUP"&amp;"(D5023,IMPORTRANGE(""https://docs.google.com/spreadsheets/d/14Bd19lYaqBhU8_DElYkX7l4wRkHqqCUFNJY4AfY3kHU/edit?usp=sharing  #gid=0"",""фіз особи new!relations_name_uo""),7,FALSE)
,
)
))"),"КРАСНОШТАНОВА Людмила Іванівна")</f>
        <v>КРАСНОШТАНОВА Людмила Іванівна</v>
      </c>
      <c r="G5022" s="7" t="s">
        <v>10</v>
      </c>
      <c r="H5022" s="7">
        <v>95</v>
      </c>
      <c r="I5022" s="8" t="str">
        <f ca="1">IFERROR(__xludf.DUMMYFUNCTION("IF
(
G5023=""фізична особа""
,
VLOOKUP(H5023,IMPORTRANGE(""https://docs.google.com/spreadsheets/d/14Bd19lYaqBhU8_DElYkX7l4wRkHqqCUFNJY4AfY3kHU/edit?usp=sharing  #gid=0"",""фіз особи new!relations_name""),6,FALSE)
,
(IF
(
G5023=""юридична особа""
,
VLOOKUP"&amp;"(H5023,IMPORTRANGE(""https://docs.google.com/spreadsheets/d/14Bd19lYaqBhU8_DElYkX7l4wRkHqqCUFNJY4AfY3kHU/edit?usp=sharing  #gid=0"",""фіз особи new!relations_name_uo""),7,FALSE)
,
)
))"),"КРАСНОШТАНОВ Антон Олексійович")</f>
        <v>КРАСНОШТАНОВ Антон Олексійович</v>
      </c>
      <c r="J5022" s="7" t="s">
        <v>17</v>
      </c>
    </row>
    <row r="5023" spans="1:10" ht="13.2">
      <c r="A5023" s="7">
        <v>5022</v>
      </c>
      <c r="B5023" s="7">
        <v>1</v>
      </c>
      <c r="C5023" s="7" t="s">
        <v>10</v>
      </c>
      <c r="D5023" s="7">
        <v>4141</v>
      </c>
      <c r="E5023" s="7" t="s">
        <v>15</v>
      </c>
      <c r="F5023" s="8" t="str">
        <f ca="1">IFERROR(__xludf.DUMMYFUNCTION("IF
(
C5024=""фізична особа""
,
VLOOKUP(D5024,IMPORTRANGE(""https://docs.google.com/spreadsheets/d/14Bd19lYaqBhU8_DElYkX7l4wRkHqqCUFNJY4AfY3kHU/edit?usp=sharing  #gid=0"",""фіз особи new!relations_name""),6,FALSE)
,
(IF
(
C5024=""юридична особа""
,
VLOOKUP"&amp;"(D5024,IMPORTRANGE(""https://docs.google.com/spreadsheets/d/14Bd19lYaqBhU8_DElYkX7l4wRkHqqCUFNJY4AfY3kHU/edit?usp=sharing  #gid=0"",""фіз особи new!relations_name_uo""),7,FALSE)
,
)
))"),"КРАСНОШТАНОВА Людмила Іванівна")</f>
        <v>КРАСНОШТАНОВА Людмила Іванівна</v>
      </c>
      <c r="G5023" s="7" t="s">
        <v>10</v>
      </c>
      <c r="H5023" s="7">
        <v>4138</v>
      </c>
      <c r="I5023" s="8" t="str">
        <f ca="1">IFERROR(__xludf.DUMMYFUNCTION("IF
(
G5024=""фізична особа""
,
VLOOKUP(H5024,IMPORTRANGE(""https://docs.google.com/spreadsheets/d/14Bd19lYaqBhU8_DElYkX7l4wRkHqqCUFNJY4AfY3kHU/edit?usp=sharing  #gid=0"",""фіз особи new!relations_name""),6,FALSE)
,
(IF
(
G5024=""юридична особа""
,
VLOOKUP"&amp;"(H5024,IMPORTRANGE(""https://docs.google.com/spreadsheets/d/14Bd19lYaqBhU8_DElYkX7l4wRkHqqCUFNJY4AfY3kHU/edit?usp=sharing  #gid=0"",""фіз особи new!relations_name_uo""),7,FALSE)
,
)
))"),"КРАСНОШТАНОВ Олексій Миколайович")</f>
        <v>КРАСНОШТАНОВ Олексій Миколайович</v>
      </c>
      <c r="J5023" s="7" t="s">
        <v>14</v>
      </c>
    </row>
    <row r="5024" spans="1:10" ht="13.2">
      <c r="A5024" s="7">
        <v>5023</v>
      </c>
      <c r="B5024" s="7">
        <v>1</v>
      </c>
      <c r="C5024" s="7" t="s">
        <v>10</v>
      </c>
      <c r="D5024" s="7">
        <v>4142</v>
      </c>
      <c r="E5024" s="7" t="s">
        <v>12</v>
      </c>
      <c r="F5024" s="8" t="str">
        <f ca="1">IFERROR(__xludf.DUMMYFUNCTION("IF
(
C5025=""фізична особа""
,
VLOOKUP(D5025,IMPORTRANGE(""https://docs.google.com/spreadsheets/d/14Bd19lYaqBhU8_DElYkX7l4wRkHqqCUFNJY4AfY3kHU/edit?usp=sharing  #gid=0"",""фіз особи new!relations_name""),6,FALSE)
,
(IF
(
C5025=""юридична особа""
,
VLOOKUP"&amp;"(D5025,IMPORTRANGE(""https://docs.google.com/spreadsheets/d/14Bd19lYaqBhU8_DElYkX7l4wRkHqqCUFNJY4AfY3kHU/edit?usp=sharing  #gid=0"",""фіз особи new!relations_name_uo""),7,FALSE)
,
)
))"),"БАСАНСЬКИЙ Олександр Олександрович")</f>
        <v>БАСАНСЬКИЙ Олександр Олександрович</v>
      </c>
      <c r="G5024" s="7" t="s">
        <v>10</v>
      </c>
      <c r="H5024" s="7">
        <v>96</v>
      </c>
      <c r="I5024" s="8" t="str">
        <f ca="1">IFERROR(__xludf.DUMMYFUNCTION("IF
(
G5025=""фізична особа""
,
VLOOKUP(H5025,IMPORTRANGE(""https://docs.google.com/spreadsheets/d/14Bd19lYaqBhU8_DElYkX7l4wRkHqqCUFNJY4AfY3kHU/edit?usp=sharing  #gid=0"",""фіз особи new!relations_name""),6,FALSE)
,
(IF
(
G5025=""юридична особа""
,
VLOOKUP"&amp;"(H5025,IMPORTRANGE(""https://docs.google.com/spreadsheets/d/14Bd19lYaqBhU8_DElYkX7l4wRkHqqCUFNJY4AfY3kHU/edit?usp=sharing  #gid=0"",""фіз особи new!relations_name_uo""),7,FALSE)
,
)
))"),"БАСАНСЬКИЙ Антон Олександрович")</f>
        <v>БАСАНСЬКИЙ Антон Олександрович</v>
      </c>
      <c r="J5024" s="7" t="s">
        <v>17</v>
      </c>
    </row>
    <row r="5025" spans="1:10" ht="13.2">
      <c r="A5025" s="7">
        <v>5024</v>
      </c>
      <c r="B5025" s="7">
        <v>1</v>
      </c>
      <c r="C5025" s="7" t="s">
        <v>10</v>
      </c>
      <c r="D5025" s="7">
        <v>4143</v>
      </c>
      <c r="E5025" s="7" t="s">
        <v>15</v>
      </c>
      <c r="F5025" s="8" t="str">
        <f ca="1">IFERROR(__xludf.DUMMYFUNCTION("IF
(
C5026=""фізична особа""
,
VLOOKUP(D5026,IMPORTRANGE(""https://docs.google.com/spreadsheets/d/14Bd19lYaqBhU8_DElYkX7l4wRkHqqCUFNJY4AfY3kHU/edit?usp=sharing  #gid=0"",""фіз особи new!relations_name""),6,FALSE)
,
(IF
(
C5026=""юридична особа""
,
VLOOKUP"&amp;"(D5026,IMPORTRANGE(""https://docs.google.com/spreadsheets/d/14Bd19lYaqBhU8_DElYkX7l4wRkHqqCUFNJY4AfY3kHU/edit?usp=sharing  #gid=0"",""фіз особи new!relations_name_uo""),7,FALSE)
,
)
))"),"ГЕТТА Вікторія")</f>
        <v>ГЕТТА Вікторія</v>
      </c>
      <c r="G5025" s="7" t="s">
        <v>10</v>
      </c>
      <c r="H5025" s="7">
        <v>97</v>
      </c>
      <c r="I5025" s="8" t="str">
        <f ca="1">IFERROR(__xludf.DUMMYFUNCTION("IF
(
G5026=""фізична особа""
,
VLOOKUP(H5026,IMPORTRANGE(""https://docs.google.com/spreadsheets/d/14Bd19lYaqBhU8_DElYkX7l4wRkHqqCUFNJY4AfY3kHU/edit?usp=sharing  #gid=0"",""фіз особи new!relations_name""),6,FALSE)
,
(IF
(
G5026=""юридична особа""
,
VLOOKUP"&amp;"(H5026,IMPORTRANGE(""https://docs.google.com/spreadsheets/d/14Bd19lYaqBhU8_DElYkX7l4wRkHqqCUFNJY4AfY3kHU/edit?usp=sharing  #gid=0"",""фіз особи new!relations_name_uo""),7,FALSE)
,
)
))"),"ГЄТТА Антон Олександрович")</f>
        <v>ГЄТТА Антон Олександрович</v>
      </c>
      <c r="J5025" s="7" t="s">
        <v>14</v>
      </c>
    </row>
    <row r="5026" spans="1:10" ht="13.2">
      <c r="A5026" s="7">
        <v>5025</v>
      </c>
      <c r="B5026" s="7">
        <v>1</v>
      </c>
      <c r="C5026" s="7" t="s">
        <v>10</v>
      </c>
      <c r="D5026" s="7">
        <v>4144</v>
      </c>
      <c r="E5026" s="7" t="s">
        <v>15</v>
      </c>
      <c r="F5026" s="8" t="str">
        <f ca="1">IFERROR(__xludf.DUMMYFUNCTION("IF
(
C5027=""фізична особа""
,
VLOOKUP(D5027,IMPORTRANGE(""https://docs.google.com/spreadsheets/d/14Bd19lYaqBhU8_DElYkX7l4wRkHqqCUFNJY4AfY3kHU/edit?usp=sharing  #gid=0"",""фіз особи new!relations_name""),6,FALSE)
,
(IF
(
C5027=""юридична особа""
,
VLOOKUP"&amp;"(D5027,IMPORTRANGE(""https://docs.google.com/spreadsheets/d/14Bd19lYaqBhU8_DElYkX7l4wRkHqqCUFNJY4AfY3kHU/edit?usp=sharing  #gid=0"",""фіз особи new!relations_name_uo""),7,FALSE)
,
)
))"),"НЄМКІНА Олена")</f>
        <v>НЄМКІНА Олена</v>
      </c>
      <c r="G5026" s="7" t="s">
        <v>10</v>
      </c>
      <c r="H5026" s="7">
        <v>100</v>
      </c>
      <c r="I5026" s="8" t="str">
        <f ca="1">IFERROR(__xludf.DUMMYFUNCTION("IF
(
G5027=""фізична особа""
,
VLOOKUP(H5027,IMPORTRANGE(""https://docs.google.com/spreadsheets/d/14Bd19lYaqBhU8_DElYkX7l4wRkHqqCUFNJY4AfY3kHU/edit?usp=sharing  #gid=0"",""фіз особи new!relations_name""),6,FALSE)
,
(IF
(
G5027=""юридична особа""
,
VLOOKUP"&amp;"(H5027,IMPORTRANGE(""https://docs.google.com/spreadsheets/d/14Bd19lYaqBhU8_DElYkX7l4wRkHqqCUFNJY4AfY3kHU/edit?usp=sharing  #gid=0"",""фіз особи new!relations_name_uo""),7,FALSE)
,
)
))"),"НЄМКІН Антон Ігорович")</f>
        <v>НЄМКІН Антон Ігорович</v>
      </c>
      <c r="J5026" s="7" t="s">
        <v>14</v>
      </c>
    </row>
    <row r="5027" spans="1:10" ht="13.2">
      <c r="A5027" s="7">
        <v>5026</v>
      </c>
      <c r="B5027" s="7">
        <v>1</v>
      </c>
      <c r="C5027" s="7" t="s">
        <v>10</v>
      </c>
      <c r="D5027" s="7">
        <v>4145</v>
      </c>
      <c r="E5027" s="7" t="s">
        <v>15</v>
      </c>
      <c r="F5027" s="8" t="str">
        <f ca="1">IFERROR(__xludf.DUMMYFUNCTION("IF
(
C5028=""фізична особа""
,
VLOOKUP(D5028,IMPORTRANGE(""https://docs.google.com/spreadsheets/d/14Bd19lYaqBhU8_DElYkX7l4wRkHqqCUFNJY4AfY3kHU/edit?usp=sharing  #gid=0"",""фіз особи new!relations_name""),6,FALSE)
,
(IF
(
C5028=""юридична особа""
,
VLOOKUP"&amp;"(D5028,IMPORTRANGE(""https://docs.google.com/spreadsheets/d/14Bd19lYaqBhU8_DElYkX7l4wRkHqqCUFNJY4AfY3kHU/edit?usp=sharing  #gid=0"",""фіз особи new!relations_name_uo""),7,FALSE)
,
)
))"),"КАБАНОВА/ТЕТЕРДІНКО Катерина")</f>
        <v>КАБАНОВА/ТЕТЕРДІНКО Катерина</v>
      </c>
      <c r="G5027" s="7" t="s">
        <v>10</v>
      </c>
      <c r="H5027" s="7">
        <v>101</v>
      </c>
      <c r="I5027" s="8" t="str">
        <f ca="1">IFERROR(__xludf.DUMMYFUNCTION("IF
(
G5028=""фізична особа""
,
VLOOKUP(H5028,IMPORTRANGE(""https://docs.google.com/spreadsheets/d/14Bd19lYaqBhU8_DElYkX7l4wRkHqqCUFNJY4AfY3kHU/edit?usp=sharing  #gid=0"",""фіз особи new!relations_name""),6,FALSE)
,
(IF
(
G5028=""юридична особа""
,
VLOOKUP"&amp;"(H5028,IMPORTRANGE(""https://docs.google.com/spreadsheets/d/14Bd19lYaqBhU8_DElYkX7l4wRkHqqCUFNJY4AfY3kHU/edit?usp=sharing  #gid=0"",""фіз особи new!relations_name_uo""),7,FALSE)
,
)
))"),"ТЄТЄРДІНКО Олександр Павлович")</f>
        <v>ТЄТЄРДІНКО Олександр Павлович</v>
      </c>
      <c r="J5027" s="7" t="s">
        <v>14</v>
      </c>
    </row>
    <row r="5028" spans="1:10" ht="13.2">
      <c r="A5028" s="7">
        <v>5027</v>
      </c>
      <c r="B5028" s="7">
        <v>1</v>
      </c>
      <c r="C5028" s="7" t="s">
        <v>10</v>
      </c>
      <c r="D5028" s="7">
        <v>4146</v>
      </c>
      <c r="E5028" s="7" t="s">
        <v>27</v>
      </c>
      <c r="F5028" s="8" t="str">
        <f ca="1">IFERROR(__xludf.DUMMYFUNCTION("IF
(
C5029=""фізична особа""
,
VLOOKUP(D5029,IMPORTRANGE(""https://docs.google.com/spreadsheets/d/14Bd19lYaqBhU8_DElYkX7l4wRkHqqCUFNJY4AfY3kHU/edit?usp=sharing  #gid=0"",""фіз особи new!relations_name""),6,FALSE)
,
(IF
(
C5029=""юридична особа""
,
VLOOKUP"&amp;"(D5029,IMPORTRANGE(""https://docs.google.com/spreadsheets/d/14Bd19lYaqBhU8_DElYkX7l4wRkHqqCUFNJY4AfY3kHU/edit?usp=sharing  #gid=0"",""фіз особи new!relations_name_uo""),7,FALSE)
,
)
))"),"КАБАНОВА Людмила Іванівна")</f>
        <v>КАБАНОВА Людмила Іванівна</v>
      </c>
      <c r="G5028" s="7" t="s">
        <v>10</v>
      </c>
      <c r="H5028" s="7">
        <v>101</v>
      </c>
      <c r="I5028" s="8" t="str">
        <f ca="1">IFERROR(__xludf.DUMMYFUNCTION("IF
(
G5029=""фізична особа""
,
VLOOKUP(H5029,IMPORTRANGE(""https://docs.google.com/spreadsheets/d/14Bd19lYaqBhU8_DElYkX7l4wRkHqqCUFNJY4AfY3kHU/edit?usp=sharing  #gid=0"",""фіз особи new!relations_name""),6,FALSE)
,
(IF
(
G5029=""юридична особа""
,
VLOOKUP"&amp;"(H5029,IMPORTRANGE(""https://docs.google.com/spreadsheets/d/14Bd19lYaqBhU8_DElYkX7l4wRkHqqCUFNJY4AfY3kHU/edit?usp=sharing  #gid=0"",""фіз особи new!relations_name_uo""),7,FALSE)
,
)
))"),"ТЄТЄРДІНКО Олександр Павлович")</f>
        <v>ТЄТЄРДІНКО Олександр Павлович</v>
      </c>
      <c r="J5028" s="7" t="s">
        <v>26</v>
      </c>
    </row>
    <row r="5029" spans="1:10" ht="13.2">
      <c r="A5029" s="7">
        <v>5028</v>
      </c>
      <c r="B5029" s="7">
        <v>1</v>
      </c>
      <c r="C5029" s="7" t="s">
        <v>10</v>
      </c>
      <c r="D5029" s="7">
        <v>4147</v>
      </c>
      <c r="E5029" s="7" t="s">
        <v>12</v>
      </c>
      <c r="F5029" s="8" t="str">
        <f ca="1">IFERROR(__xludf.DUMMYFUNCTION("IF
(
C5030=""фізична особа""
,
VLOOKUP(D5030,IMPORTRANGE(""https://docs.google.com/spreadsheets/d/14Bd19lYaqBhU8_DElYkX7l4wRkHqqCUFNJY4AfY3kHU/edit?usp=sharing  #gid=0"",""фіз особи new!relations_name""),6,FALSE)
,
(IF
(
C5030=""юридична особа""
,
VLOOKUP"&amp;"(D5030,IMPORTRANGE(""https://docs.google.com/spreadsheets/d/14Bd19lYaqBhU8_DElYkX7l4wRkHqqCUFNJY4AfY3kHU/edit?usp=sharing  #gid=0"",""фіз особи new!relations_name_uo""),7,FALSE)
,
)
))"),"ГОРЄЛКІН Вадим Геннадійович")</f>
        <v>ГОРЄЛКІН Вадим Геннадійович</v>
      </c>
      <c r="G5029" s="7" t="s">
        <v>10</v>
      </c>
      <c r="H5029" s="7">
        <v>103</v>
      </c>
      <c r="I5029" s="8" t="str">
        <f ca="1">IFERROR(__xludf.DUMMYFUNCTION("IF
(
G5030=""фізична особа""
,
VLOOKUP(H5030,IMPORTRANGE(""https://docs.google.com/spreadsheets/d/14Bd19lYaqBhU8_DElYkX7l4wRkHqqCUFNJY4AfY3kHU/edit?usp=sharing  #gid=0"",""фіз особи new!relations_name""),6,FALSE)
,
(IF
(
G5030=""юридична особа""
,
VLOOKUP"&amp;"(H5030,IMPORTRANGE(""https://docs.google.com/spreadsheets/d/14Bd19lYaqBhU8_DElYkX7l4wRkHqqCUFNJY4AfY3kHU/edit?usp=sharing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J5029" s="7" t="s">
        <v>17</v>
      </c>
    </row>
    <row r="5030" spans="1:10" ht="13.2">
      <c r="A5030" s="7">
        <v>5029</v>
      </c>
      <c r="B5030" s="7">
        <v>1</v>
      </c>
      <c r="C5030" s="7" t="s">
        <v>10</v>
      </c>
      <c r="D5030" s="7">
        <v>4148</v>
      </c>
      <c r="E5030" s="7" t="s">
        <v>15</v>
      </c>
      <c r="F5030" s="8" t="str">
        <f ca="1">IFERROR(__xludf.DUMMYFUNCTION("IF
(
C5031=""фізична особа""
,
VLOOKUP(D5031,IMPORTRANGE(""https://docs.google.com/spreadsheets/d/14Bd19lYaqBhU8_DElYkX7l4wRkHqqCUFNJY4AfY3kHU/edit?usp=sharing  #gid=0"",""фіз особи new!relations_name""),6,FALSE)
,
(IF
(
C5031=""юридична особа""
,
VLOOKUP"&amp;"(D5031,IMPORTRANGE(""https://docs.google.com/spreadsheets/d/14Bd19lYaqBhU8_DElYkX7l4wRkHqqCUFNJY4AfY3kHU/edit?usp=sharing  #gid=0"",""фіз особи new!relations_name_uo""),7,FALSE)
,
)
))"),"ГОРЄЛКІНА Анастасія Вікторівна")</f>
        <v>ГОРЄЛКІНА Анастасія Вікторівна</v>
      </c>
      <c r="G5030" s="7" t="s">
        <v>10</v>
      </c>
      <c r="H5030" s="7">
        <v>103</v>
      </c>
      <c r="I5030" s="8" t="str">
        <f ca="1">IFERROR(__xludf.DUMMYFUNCTION("IF
(
G5031=""фізична особа""
,
VLOOKUP(H5031,IMPORTRANGE(""https://docs.google.com/spreadsheets/d/14Bd19lYaqBhU8_DElYkX7l4wRkHqqCUFNJY4AfY3kHU/edit?usp=sharing  #gid=0"",""фіз особи new!relations_name""),6,FALSE)
,
(IF
(
G5031=""юридична особа""
,
VLOOKUP"&amp;"(H5031,IMPORTRANGE(""https://docs.google.com/spreadsheets/d/14Bd19lYaqBhU8_DElYkX7l4wRkHqqCUFNJY4AfY3kHU/edit?usp=sharing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J5030" s="7" t="s">
        <v>14</v>
      </c>
    </row>
    <row r="5031" spans="1:10" ht="13.2">
      <c r="A5031" s="7">
        <v>5030</v>
      </c>
      <c r="B5031" s="7">
        <v>1</v>
      </c>
      <c r="C5031" s="7" t="s">
        <v>10</v>
      </c>
      <c r="D5031" s="7">
        <v>4149</v>
      </c>
      <c r="E5031" s="7" t="s">
        <v>31</v>
      </c>
      <c r="F5031" s="8" t="str">
        <f ca="1">IFERROR(__xludf.DUMMYFUNCTION("IF
(
C5032=""фізична особа""
,
VLOOKUP(D5032,IMPORTRANGE(""https://docs.google.com/spreadsheets/d/14Bd19lYaqBhU8_DElYkX7l4wRkHqqCUFNJY4AfY3kHU/edit?usp=sharing  #gid=0"",""фіз особи new!relations_name""),6,FALSE)
,
(IF
(
C5032=""юридична особа""
,
VLOOKUP"&amp;"(D5032,IMPORTRANGE(""https://docs.google.com/spreadsheets/d/14Bd19lYaqBhU8_DElYkX7l4wRkHqqCUFNJY4AfY3kHU/edit?usp=sharing  #gid=0"",""фіз особи new!relations_name_uo""),7,FALSE)
,
)
))"),"КОСТЯКОВА Іннеса Вадимівна")</f>
        <v>КОСТЯКОВА Іннеса Вадимівна</v>
      </c>
      <c r="G5031" s="7" t="s">
        <v>10</v>
      </c>
      <c r="H5031" s="7">
        <v>103</v>
      </c>
      <c r="I5031" s="8" t="str">
        <f ca="1">IFERROR(__xludf.DUMMYFUNCTION("IF
(
G5032=""фізична особа""
,
VLOOKUP(H5032,IMPORTRANGE(""https://docs.google.com/spreadsheets/d/14Bd19lYaqBhU8_DElYkX7l4wRkHqqCUFNJY4AfY3kHU/edit?usp=sharing  #gid=0"",""фіз особи new!relations_name""),6,FALSE)
,
(IF
(
G5032=""юридична особа""
,
VLOOKUP"&amp;"(H5032,IMPORTRANGE(""https://docs.google.com/spreadsheets/d/14Bd19lYaqBhU8_DElYkX7l4wRkHqqCUFNJY4AfY3kHU/edit?usp=sharing  #gid=0"",""фіз особи new!relations_name_uo""),7,FALSE)
,
)
))"),"ГОРЄЛКІН Антон Вадимович")</f>
        <v>ГОРЄЛКІН Антон Вадимович</v>
      </c>
      <c r="J5031" s="7" t="s">
        <v>18</v>
      </c>
    </row>
    <row r="5032" spans="1:10" ht="13.2">
      <c r="A5032" s="7">
        <v>5031</v>
      </c>
      <c r="B5032" s="7">
        <v>1</v>
      </c>
      <c r="C5032" s="7" t="s">
        <v>10</v>
      </c>
      <c r="D5032" s="7">
        <v>4150</v>
      </c>
      <c r="E5032" s="7" t="s">
        <v>31</v>
      </c>
      <c r="F5032" s="8" t="str">
        <f ca="1">IFERROR(__xludf.DUMMYFUNCTION("IF
(
C5033=""фізична особа""
,
VLOOKUP(D5033,IMPORTRANGE(""https://docs.google.com/spreadsheets/d/14Bd19lYaqBhU8_DElYkX7l4wRkHqqCUFNJY4AfY3kHU/edit?usp=sharing  #gid=0"",""фіз особи new!relations_name""),6,FALSE)
,
(IF
(
C5033=""юридична особа""
,
VLOOKUP"&amp;"(D5033,IMPORTRANGE(""https://docs.google.com/spreadsheets/d/14Bd19lYaqBhU8_DElYkX7l4wRkHqqCUFNJY4AfY3kHU/edit?usp=sharing  #gid=0"",""фіз особи new!relations_name_uo""),7,FALSE)
,
)
))"),"КУЗЬМІНА Анастасія Володимирівна")</f>
        <v>КУЗЬМІНА Анастасія Володимирівна</v>
      </c>
      <c r="G5032" s="7" t="s">
        <v>10</v>
      </c>
      <c r="H5032" s="7">
        <v>104</v>
      </c>
      <c r="I5032" s="8" t="str">
        <f ca="1">IFERROR(__xludf.DUMMYFUNCTION("IF
(
G5033=""фізична особа""
,
VLOOKUP(H5033,IMPORTRANGE(""https://docs.google.com/spreadsheets/d/14Bd19lYaqBhU8_DElYkX7l4wRkHqqCUFNJY4AfY3kHU/edit?usp=sharing  #gid=0"",""фіз особи new!relations_name""),6,FALSE)
,
(IF
(
G5033=""юридична особа""
,
VLOOKUP"&amp;"(H5033,IMPORTRANGE(""https://docs.google.com/spreadsheets/d/14Bd19lYaqBhU8_DElYkX7l4wRkHqqCUFNJY4AfY3kHU/edit?usp=sharing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J5032" s="7" t="s">
        <v>18</v>
      </c>
    </row>
    <row r="5033" spans="1:10" ht="13.2">
      <c r="A5033" s="7">
        <v>5032</v>
      </c>
      <c r="B5033" s="7">
        <v>1</v>
      </c>
      <c r="C5033" s="7" t="s">
        <v>10</v>
      </c>
      <c r="D5033" s="7">
        <v>4151</v>
      </c>
      <c r="E5033" s="7" t="s">
        <v>31</v>
      </c>
      <c r="F5033" s="8" t="str">
        <f ca="1">IFERROR(__xludf.DUMMYFUNCTION("IF
(
C5034=""фізична особа""
,
VLOOKUP(D5034,IMPORTRANGE(""https://docs.google.com/spreadsheets/d/14Bd19lYaqBhU8_DElYkX7l4wRkHqqCUFNJY4AfY3kHU/edit?usp=sharing  #gid=0"",""фіз особи new!relations_name""),6,FALSE)
,
(IF
(
C5034=""юридична особа""
,
VLOOKUP"&amp;"(D5034,IMPORTRANGE(""https://docs.google.com/spreadsheets/d/14Bd19lYaqBhU8_DElYkX7l4wRkHqqCUFNJY4AfY3kHU/edit?usp=sharing  #gid=0"",""фіз особи new!relations_name_uo""),7,FALSE)
,
)
))"),"МАСЛОВА Ганна Володимирівна")</f>
        <v>МАСЛОВА Ганна Володимирівна</v>
      </c>
      <c r="G5033" s="7" t="s">
        <v>10</v>
      </c>
      <c r="H5033" s="7">
        <v>104</v>
      </c>
      <c r="I5033" s="8" t="str">
        <f ca="1">IFERROR(__xludf.DUMMYFUNCTION("IF
(
G5034=""фізична особа""
,
VLOOKUP(H5034,IMPORTRANGE(""https://docs.google.com/spreadsheets/d/14Bd19lYaqBhU8_DElYkX7l4wRkHqqCUFNJY4AfY3kHU/edit?usp=sharing  #gid=0"",""фіз особи new!relations_name""),6,FALSE)
,
(IF
(
G5034=""юридична особа""
,
VLOOKUP"&amp;"(H5034,IMPORTRANGE(""https://docs.google.com/spreadsheets/d/14Bd19lYaqBhU8_DElYkX7l4wRkHqqCUFNJY4AfY3kHU/edit?usp=sharing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J5033" s="7" t="s">
        <v>18</v>
      </c>
    </row>
    <row r="5034" spans="1:10" ht="13.2">
      <c r="A5034" s="7">
        <v>5033</v>
      </c>
      <c r="B5034" s="7">
        <v>1</v>
      </c>
      <c r="C5034" s="7" t="s">
        <v>10</v>
      </c>
      <c r="D5034" s="7">
        <v>4152</v>
      </c>
      <c r="E5034" s="7" t="s">
        <v>12</v>
      </c>
      <c r="F5034" s="8" t="str">
        <f ca="1">IFERROR(__xludf.DUMMYFUNCTION("IF
(
C5035=""фізична особа""
,
VLOOKUP(D5035,IMPORTRANGE(""https://docs.google.com/spreadsheets/d/14Bd19lYaqBhU8_DElYkX7l4wRkHqqCUFNJY4AfY3kHU/edit?usp=sharing  #gid=0"",""фіз особи new!relations_name""),6,FALSE)
,
(IF
(
C5035=""юридична особа""
,
VLOOKUP"&amp;"(D5035,IMPORTRANGE(""https://docs.google.com/spreadsheets/d/14Bd19lYaqBhU8_DElYkX7l4wRkHqqCUFNJY4AfY3kHU/edit?usp=sharing  #gid=0"",""фіз особи new!relations_name_uo""),7,FALSE)
,
)
))"),"ШИПУЛІН Володимир Іванович")</f>
        <v>ШИПУЛІН Володимир Іванович</v>
      </c>
      <c r="G5034" s="7" t="s">
        <v>10</v>
      </c>
      <c r="H5034" s="7">
        <v>104</v>
      </c>
      <c r="I5034" s="8" t="str">
        <f ca="1">IFERROR(__xludf.DUMMYFUNCTION("IF
(
G5035=""фізична особа""
,
VLOOKUP(H5035,IMPORTRANGE(""https://docs.google.com/spreadsheets/d/14Bd19lYaqBhU8_DElYkX7l4wRkHqqCUFNJY4AfY3kHU/edit?usp=sharing  #gid=0"",""фіз особи new!relations_name""),6,FALSE)
,
(IF
(
G5035=""юридична особа""
,
VLOOKUP"&amp;"(H5035,IMPORTRANGE(""https://docs.google.com/spreadsheets/d/14Bd19lYaqBhU8_DElYkX7l4wRkHqqCUFNJY4AfY3kHU/edit?usp=sharing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J5034" s="7" t="s">
        <v>17</v>
      </c>
    </row>
    <row r="5035" spans="1:10" ht="13.2">
      <c r="A5035" s="7">
        <v>5034</v>
      </c>
      <c r="B5035" s="7">
        <v>1</v>
      </c>
      <c r="C5035" s="7" t="s">
        <v>10</v>
      </c>
      <c r="D5035" s="7">
        <v>4153</v>
      </c>
      <c r="E5035" s="7" t="s">
        <v>15</v>
      </c>
      <c r="F5035" s="8" t="str">
        <f ca="1">IFERROR(__xludf.DUMMYFUNCTION("IF
(
C5036=""фізична особа""
,
VLOOKUP(D5036,IMPORTRANGE(""https://docs.google.com/spreadsheets/d/14Bd19lYaqBhU8_DElYkX7l4wRkHqqCUFNJY4AfY3kHU/edit?usp=sharing  #gid=0"",""фіз особи new!relations_name""),6,FALSE)
,
(IF
(
C5036=""юридична особа""
,
VLOOKUP"&amp;"(D5036,IMPORTRANGE(""https://docs.google.com/spreadsheets/d/14Bd19lYaqBhU8_DElYkX7l4wRkHqqCUFNJY4AfY3kHU/edit?usp=sharing  #gid=0"",""фіз особи new!relations_name_uo""),7,FALSE)
,
)
))"),"ШИПУЛІНА Луїза Таїровна")</f>
        <v>ШИПУЛІНА Луїза Таїровна</v>
      </c>
      <c r="G5035" s="7" t="s">
        <v>10</v>
      </c>
      <c r="H5035" s="7">
        <v>104</v>
      </c>
      <c r="I5035" s="8" t="str">
        <f ca="1">IFERROR(__xludf.DUMMYFUNCTION("IF
(
G5036=""фізична особа""
,
VLOOKUP(H5036,IMPORTRANGE(""https://docs.google.com/spreadsheets/d/14Bd19lYaqBhU8_DElYkX7l4wRkHqqCUFNJY4AfY3kHU/edit?usp=sharing  #gid=0"",""фіз особи new!relations_name""),6,FALSE)
,
(IF
(
G5036=""юридична особа""
,
VLOOKUP"&amp;"(H5036,IMPORTRANGE(""https://docs.google.com/spreadsheets/d/14Bd19lYaqBhU8_DElYkX7l4wRkHqqCUFNJY4AfY3kHU/edit?usp=sharing  #gid=0"",""фіз особи new!relations_name_uo""),7,FALSE)
,
)
))"),"ШИПУЛІН Антон Володимирович")</f>
        <v>ШИПУЛІН Антон Володимирович</v>
      </c>
      <c r="J5035" s="7" t="s">
        <v>14</v>
      </c>
    </row>
    <row r="5036" spans="1:10" ht="13.2">
      <c r="A5036" s="7">
        <v>5035</v>
      </c>
      <c r="B5036" s="7">
        <v>1</v>
      </c>
      <c r="C5036" s="7" t="s">
        <v>10</v>
      </c>
      <c r="D5036" s="7">
        <v>4154</v>
      </c>
      <c r="E5036" s="7" t="s">
        <v>14</v>
      </c>
      <c r="F5036" s="8" t="str">
        <f ca="1">IFERROR(__xludf.DUMMYFUNCTION("IF
(
C5037=""фізична особа""
,
VLOOKUP(D5037,IMPORTRANGE(""https://docs.google.com/spreadsheets/d/14Bd19lYaqBhU8_DElYkX7l4wRkHqqCUFNJY4AfY3kHU/edit?usp=sharing  #gid=0"",""фіз особи new!relations_name""),6,FALSE)
,
(IF
(
C5037=""юридична особа""
,
VLOOKUP"&amp;"(D5037,IMPORTRANGE(""https://docs.google.com/spreadsheets/d/14Bd19lYaqBhU8_DElYkX7l4wRkHqqCUFNJY4AfY3kHU/edit?usp=sharing  #gid=0"",""фіз особи new!relations_name_uo""),7,FALSE)
,
)
))"),"ПЛАТОШКІН Микола Миколайович")</f>
        <v>ПЛАТОШКІН Микола Миколайович</v>
      </c>
      <c r="G5036" s="7" t="s">
        <v>10</v>
      </c>
      <c r="H5036" s="7">
        <v>106</v>
      </c>
      <c r="I5036" s="8" t="str">
        <f ca="1">IFERROR(__xludf.DUMMYFUNCTION("IF
(
G5037=""фізична особа""
,
VLOOKUP(H5037,IMPORTRANGE(""https://docs.google.com/spreadsheets/d/14Bd19lYaqBhU8_DElYkX7l4wRkHqqCUFNJY4AfY3kHU/edit?usp=sharing  #gid=0"",""фіз особи new!relations_name""),6,FALSE)
,
(IF
(
G5037=""юридична особа""
,
VLOOKUP"&amp;"(H5037,IMPORTRANGE(""https://docs.google.com/spreadsheets/d/14Bd19lYaqBhU8_DElYkX7l4wRkHqqCUFNJY4AfY3kHU/edit?usp=sharing  #gid=0"",""фіз особи new!relations_name_uo""),7,FALSE)
,
)
))"),"ГЛАЗКОВА Анжеліка Єгорівна")</f>
        <v>ГЛАЗКОВА Анжеліка Єгорівна</v>
      </c>
      <c r="J5036" s="7" t="s">
        <v>15</v>
      </c>
    </row>
    <row r="5037" spans="1:10" ht="13.2">
      <c r="A5037" s="7">
        <v>5036</v>
      </c>
      <c r="B5037" s="7">
        <v>1</v>
      </c>
      <c r="C5037" s="7" t="s">
        <v>10</v>
      </c>
      <c r="D5037" s="7">
        <v>4155</v>
      </c>
      <c r="E5037" s="7" t="s">
        <v>15</v>
      </c>
      <c r="F5037" s="8" t="str">
        <f ca="1">IFERROR(__xludf.DUMMYFUNCTION("IF
(
C5038=""фізична особа""
,
VLOOKUP(D5038,IMPORTRANGE(""https://docs.google.com/spreadsheets/d/14Bd19lYaqBhU8_DElYkX7l4wRkHqqCUFNJY4AfY3kHU/edit?usp=sharing  #gid=0"",""фіз особи new!relations_name""),6,FALSE)
,
(IF
(
C5038=""юридична особа""
,
VLOOKUP"&amp;"(D5038,IMPORTRANGE(""https://docs.google.com/spreadsheets/d/14Bd19lYaqBhU8_DElYkX7l4wRkHqqCUFNJY4AfY3kHU/edit?usp=sharing  #gid=0"",""фіз особи new!relations_name_uo""),7,FALSE)
,
)
))"),"ПОНОМАРЬОВА Неля Валеріївна")</f>
        <v>ПОНОМАРЬОВА Неля Валеріївна</v>
      </c>
      <c r="G5037" s="7" t="s">
        <v>10</v>
      </c>
      <c r="H5037" s="7">
        <v>107</v>
      </c>
      <c r="I5037" s="8" t="str">
        <f ca="1">IFERROR(__xludf.DUMMYFUNCTION("IF
(
G5038=""фізична особа""
,
VLOOKUP(H5038,IMPORTRANGE(""https://docs.google.com/spreadsheets/d/14Bd19lYaqBhU8_DElYkX7l4wRkHqqCUFNJY4AfY3kHU/edit?usp=sharing  #gid=0"",""фіз особи new!relations_name""),6,FALSE)
,
(IF
(
G5038=""юридична особа""
,
VLOOKUP"&amp;"(H5038,IMPORTRANGE(""https://docs.google.com/spreadsheets/d/14Bd19lYaqBhU8_DElYkX7l4wRkHqqCUFNJY4AfY3kHU/edit?usp=sharing  #gid=0"",""фіз особи new!relations_name_uo""),7,FALSE)
,
)
))"),"ПОНОМАРЬОВ Аркадій Миколайович")</f>
        <v>ПОНОМАРЬОВ Аркадій Миколайович</v>
      </c>
      <c r="J5037" s="7" t="s">
        <v>14</v>
      </c>
    </row>
    <row r="5038" spans="1:10" ht="13.2">
      <c r="A5038" s="7">
        <v>5037</v>
      </c>
      <c r="B5038" s="7">
        <v>1</v>
      </c>
      <c r="C5038" s="7" t="s">
        <v>10</v>
      </c>
      <c r="D5038" s="7">
        <v>4156</v>
      </c>
      <c r="E5038" s="7" t="s">
        <v>15</v>
      </c>
      <c r="F5038" s="8" t="str">
        <f ca="1">IFERROR(__xludf.DUMMYFUNCTION("IF
(
C5039=""фізична особа""
,
VLOOKUP(D5039,IMPORTRANGE(""https://docs.google.com/spreadsheets/d/14Bd19lYaqBhU8_DElYkX7l4wRkHqqCUFNJY4AfY3kHU/edit?usp=sharing  #gid=0"",""фіз особи new!relations_name""),6,FALSE)
,
(IF
(
C5039=""юридична особа""
,
VLOOKUP"&amp;"(D5039,IMPORTRANGE(""https://docs.google.com/spreadsheets/d/14Bd19lYaqBhU8_DElYkX7l4wRkHqqCUFNJY4AfY3kHU/edit?usp=sharing  #gid=0"",""фіз особи new!relations_name_uo""),7,FALSE)
,
)
))"),"КАВІНОВА Юлія Володимирівна")</f>
        <v>КАВІНОВА Юлія Володимирівна</v>
      </c>
      <c r="G5038" s="7" t="s">
        <v>10</v>
      </c>
      <c r="H5038" s="7">
        <v>115</v>
      </c>
      <c r="I5038" s="8" t="str">
        <f ca="1">IFERROR(__xludf.DUMMYFUNCTION("IF
(
G5039=""фізична особа""
,
VLOOKUP(H5039,IMPORTRANGE(""https://docs.google.com/spreadsheets/d/14Bd19lYaqBhU8_DElYkX7l4wRkHqqCUFNJY4AfY3kHU/edit?usp=sharing  #gid=0"",""фіз особи new!relations_name""),6,FALSE)
,
(IF
(
G5039=""юридична особа""
,
VLOOKUP"&amp;"(H5039,IMPORTRANGE(""https://docs.google.com/spreadsheets/d/14Bd19lYaqBhU8_DElYkX7l4wRkHqqCUFNJY4AfY3kHU/edit?usp=sharing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J5038" s="7" t="s">
        <v>14</v>
      </c>
    </row>
    <row r="5039" spans="1:10" ht="13.2">
      <c r="A5039" s="7">
        <v>5038</v>
      </c>
      <c r="B5039" s="7">
        <v>1</v>
      </c>
      <c r="C5039" s="7" t="s">
        <v>10</v>
      </c>
      <c r="D5039" s="7">
        <v>4157</v>
      </c>
      <c r="E5039" s="7" t="s">
        <v>13</v>
      </c>
      <c r="F5039" s="8" t="str">
        <f ca="1">IFERROR(__xludf.DUMMYFUNCTION("IF
(
C5040=""фізична особа""
,
VLOOKUP(D5040,IMPORTRANGE(""https://docs.google.com/spreadsheets/d/14Bd19lYaqBhU8_DElYkX7l4wRkHqqCUFNJY4AfY3kHU/edit?usp=sharing  #gid=0"",""фіз особи new!relations_name""),6,FALSE)
,
(IF
(
C5040=""юридична особа""
,
VLOOKUP"&amp;"(D5040,IMPORTRANGE(""https://docs.google.com/spreadsheets/d/14Bd19lYaqBhU8_DElYkX7l4wRkHqqCUFNJY4AfY3kHU/edit?usp=sharing  #gid=0"",""фіз особи new!relations_name_uo""),7,FALSE)
,
)
))"),"КАВІНОВА Марія Артемівна")</f>
        <v>КАВІНОВА Марія Артемівна</v>
      </c>
      <c r="G5039" s="7" t="s">
        <v>10</v>
      </c>
      <c r="H5039" s="7">
        <v>115</v>
      </c>
      <c r="I5039" s="8" t="str">
        <f ca="1">IFERROR(__xludf.DUMMYFUNCTION("IF
(
G5040=""фізична особа""
,
VLOOKUP(H5040,IMPORTRANGE(""https://docs.google.com/spreadsheets/d/14Bd19lYaqBhU8_DElYkX7l4wRkHqqCUFNJY4AfY3kHU/edit?usp=sharing  #gid=0"",""фіз особи new!relations_name""),6,FALSE)
,
(IF
(
G5040=""юридична особа""
,
VLOOKUP"&amp;"(H5040,IMPORTRANGE(""https://docs.google.com/spreadsheets/d/14Bd19lYaqBhU8_DElYkX7l4wRkHqqCUFNJY4AfY3kHU/edit?usp=sharing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J5039" s="7" t="s">
        <v>12</v>
      </c>
    </row>
    <row r="5040" spans="1:10" ht="13.2">
      <c r="A5040" s="7">
        <v>5039</v>
      </c>
      <c r="B5040" s="7">
        <v>1</v>
      </c>
      <c r="C5040" s="7" t="s">
        <v>10</v>
      </c>
      <c r="D5040" s="7">
        <v>4158</v>
      </c>
      <c r="E5040" s="7" t="s">
        <v>13</v>
      </c>
      <c r="F5040" s="8" t="str">
        <f ca="1">IFERROR(__xludf.DUMMYFUNCTION("IF
(
C5041=""фізична особа""
,
VLOOKUP(D5041,IMPORTRANGE(""https://docs.google.com/spreadsheets/d/14Bd19lYaqBhU8_DElYkX7l4wRkHqqCUFNJY4AfY3kHU/edit?usp=sharing  #gid=0"",""фіз особи new!relations_name""),6,FALSE)
,
(IF
(
C5041=""юридична особа""
,
VLOOKUP"&amp;"(D5041,IMPORTRANGE(""https://docs.google.com/spreadsheets/d/14Bd19lYaqBhU8_DElYkX7l4wRkHqqCUFNJY4AfY3kHU/edit?usp=sharing  #gid=0"",""фіз особи new!relations_name_uo""),7,FALSE)
,
)
))"),"КАВІНОВА Любов Артемівна")</f>
        <v>КАВІНОВА Любов Артемівна</v>
      </c>
      <c r="G5040" s="7" t="s">
        <v>10</v>
      </c>
      <c r="H5040" s="7">
        <v>115</v>
      </c>
      <c r="I5040" s="8" t="str">
        <f ca="1">IFERROR(__xludf.DUMMYFUNCTION("IF
(
G5041=""фізична особа""
,
VLOOKUP(H5041,IMPORTRANGE(""https://docs.google.com/spreadsheets/d/14Bd19lYaqBhU8_DElYkX7l4wRkHqqCUFNJY4AfY3kHU/edit?usp=sharing  #gid=0"",""фіз особи new!relations_name""),6,FALSE)
,
(IF
(
G5041=""юридична особа""
,
VLOOKUP"&amp;"(H5041,IMPORTRANGE(""https://docs.google.com/spreadsheets/d/14Bd19lYaqBhU8_DElYkX7l4wRkHqqCUFNJY4AfY3kHU/edit?usp=sharing  #gid=0"",""фіз особи new!relations_name_uo""),7,FALSE)
,
)
))"),"КАВІНОВ Артем Олександрович")</f>
        <v>КАВІНОВ Артем Олександрович</v>
      </c>
      <c r="J5040" s="7" t="s">
        <v>12</v>
      </c>
    </row>
    <row r="5041" spans="1:10" ht="13.2">
      <c r="A5041" s="7">
        <v>5040</v>
      </c>
      <c r="B5041" s="7">
        <v>1</v>
      </c>
      <c r="C5041" s="7" t="s">
        <v>10</v>
      </c>
      <c r="D5041" s="7">
        <v>4159</v>
      </c>
      <c r="E5041" s="7" t="s">
        <v>13</v>
      </c>
      <c r="F5041" s="8" t="str">
        <f ca="1">IFERROR(__xludf.DUMMYFUNCTION("IF
(
C5042=""фізична особа""
,
VLOOKUP(D5042,IMPORTRANGE(""https://docs.google.com/spreadsheets/d/14Bd19lYaqBhU8_DElYkX7l4wRkHqqCUFNJY4AfY3kHU/edit?usp=sharing  #gid=0"",""фіз особи new!relations_name""),6,FALSE)
,
(IF
(
C5042=""юридична особа""
,
VLOOKUP"&amp;"(D5042,IMPORTRANGE(""https://docs.google.com/spreadsheets/d/14Bd19lYaqBhU8_DElYkX7l4wRkHqqCUFNJY4AfY3kHU/edit?usp=sharing  #gid=0"",""фіз особи new!relations_name_uo""),7,FALSE)
,
)
))"),"РИБОЛОВЛЄВА Катерина Дмитрівна")</f>
        <v>РИБОЛОВЛЄВА Катерина Дмитрівна</v>
      </c>
      <c r="G5041" s="7" t="s">
        <v>10</v>
      </c>
      <c r="H5041" s="7">
        <v>2284</v>
      </c>
      <c r="I5041" s="8" t="str">
        <f ca="1">IFERROR(__xludf.DUMMYFUNCTION("IF
(
G5042=""фізична особа""
,
VLOOKUP(H5042,IMPORTRANGE(""https://docs.google.com/spreadsheets/d/14Bd19lYaqBhU8_DElYkX7l4wRkHqqCUFNJY4AfY3kHU/edit?usp=sharing  #gid=0"",""фіз особи new!relations_name""),6,FALSE)
,
(IF
(
G5042=""юридична особа""
,
VLOOKUP"&amp;"(H5042,IMPORTRANGE(""https://docs.google.com/spreadsheets/d/14Bd19lYaqBhU8_DElYkX7l4wRkHqqCUFNJY4AfY3kHU/edit?usp=sharing  #gid=0"",""фіз особи new!relations_name_uo""),7,FALSE)
,
)
))"),"РИБОЛОВЛЄВ Дмитро Євгенович")</f>
        <v>РИБОЛОВЛЄВ Дмитро Євгенович</v>
      </c>
      <c r="J5041" s="7" t="s">
        <v>12</v>
      </c>
    </row>
    <row r="5042" spans="1:10" ht="13.2">
      <c r="A5042" s="7">
        <v>5041</v>
      </c>
      <c r="B5042" s="7">
        <v>1</v>
      </c>
      <c r="C5042" s="7" t="s">
        <v>10</v>
      </c>
      <c r="D5042" s="7">
        <v>4160</v>
      </c>
      <c r="E5042" s="7" t="s">
        <v>18</v>
      </c>
      <c r="F5042" s="8" t="str">
        <f ca="1">IFERROR(__xludf.DUMMYFUNCTION("IF
(
C5043=""фізична особа""
,
VLOOKUP(D5043,IMPORTRANGE(""https://docs.google.com/spreadsheets/d/14Bd19lYaqBhU8_DElYkX7l4wRkHqqCUFNJY4AfY3kHU/edit?usp=sharing  #gid=0"",""фіз особи new!relations_name""),6,FALSE)
,
(IF
(
C5043=""юридична особа""
,
VLOOKUP"&amp;"(D5043,IMPORTRANGE(""https://docs.google.com/spreadsheets/d/14Bd19lYaqBhU8_DElYkX7l4wRkHqqCUFNJY4AfY3kHU/edit?usp=sharing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2" s="7" t="s">
        <v>10</v>
      </c>
      <c r="H5042" s="7">
        <v>18978</v>
      </c>
      <c r="I5042" s="8" t="str">
        <f ca="1">IFERROR(__xludf.DUMMYFUNCTION("IF
(
G5043=""фізична особа""
,
VLOOKUP(H5043,IMPORTRANGE(""https://docs.google.com/spreadsheets/d/14Bd19lYaqBhU8_DElYkX7l4wRkHqqCUFNJY4AfY3kHU/edit?usp=sharing  #gid=0"",""фіз особи new!relations_name""),6,FALSE)
,
(IF
(
G5043=""юридична особа""
,
VLOOKUP"&amp;"(H5043,IMPORTRANGE(""https://docs.google.com/spreadsheets/d/14Bd19lYaqBhU8_DElYkX7l4wRkHqqCUFNJY4AfY3kHU/edit?usp=sharing  #gid=0"",""фіз особи new!relations_name_uo""),7,FALSE)
,
)
))"),"КЛЕБАНОВ Олександр Йосипович")</f>
        <v>КЛЕБАНОВ Олександр Йосипович</v>
      </c>
      <c r="J5042" s="7" t="s">
        <v>18</v>
      </c>
    </row>
    <row r="5043" spans="1:10" ht="13.2">
      <c r="A5043" s="7">
        <v>5042</v>
      </c>
      <c r="B5043" s="7">
        <v>1</v>
      </c>
      <c r="C5043" s="7" t="s">
        <v>10</v>
      </c>
      <c r="D5043" s="7">
        <v>4160</v>
      </c>
      <c r="E5043" s="7" t="s">
        <v>12</v>
      </c>
      <c r="F5043" s="8" t="str">
        <f ca="1">IFERROR(__xludf.DUMMYFUNCTION("IF
(
C5044=""фізична особа""
,
VLOOKUP(D5044,IMPORTRANGE(""https://docs.google.com/spreadsheets/d/14Bd19lYaqBhU8_DElYkX7l4wRkHqqCUFNJY4AfY3kHU/edit?usp=sharing  #gid=0"",""фіз особи new!relations_name""),6,FALSE)
,
(IF
(
C5044=""юридична особа""
,
VLOOKUP"&amp;"(D5044,IMPORTRANGE(""https://docs.google.com/spreadsheets/d/14Bd19lYaqBhU8_DElYkX7l4wRkHqqCUFNJY4AfY3kHU/edit?usp=sharing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3" s="7" t="s">
        <v>10</v>
      </c>
      <c r="H5043" s="7">
        <v>0</v>
      </c>
      <c r="I5043" s="8" t="str">
        <f ca="1">IFERROR(__xludf.DUMMYFUNCTION("IF
(
G5044=""фізична особа""
,
VLOOKUP(H5044,IMPORTRANGE(""https://docs.google.com/spreadsheets/d/14Bd19lYaqBhU8_DElYkX7l4wRkHqqCUFNJY4AfY3kHU/edit?usp=sharing  #gid=0"",""фіз особи new!relations_name""),6,FALSE)
,
(IF
(
G5044=""юридична особа""
,
VLOOKUP"&amp;"(H5044,IMPORTRANGE(""https://docs.google.com/spreadsheets/d/14Bd19lYaqBhU8_DElYkX7l4wRkHqqCUFNJY4AfY3kHU/edit?usp=sharing  #gid=0"",""фіз особи new!relations_name_uo""),7,FALSE)
,
)
))"),"#N/A")</f>
        <v>#N/A</v>
      </c>
      <c r="J5043" s="7" t="s">
        <v>17</v>
      </c>
    </row>
    <row r="5044" spans="1:10" ht="13.2">
      <c r="A5044" s="7">
        <v>5043</v>
      </c>
      <c r="B5044" s="7">
        <v>1</v>
      </c>
      <c r="C5044" s="7" t="s">
        <v>10</v>
      </c>
      <c r="D5044" s="7">
        <v>4160</v>
      </c>
      <c r="E5044" s="7" t="s">
        <v>12</v>
      </c>
      <c r="F5044" s="8" t="str">
        <f ca="1">IFERROR(__xludf.DUMMYFUNCTION("IF
(
C5045=""фізична особа""
,
VLOOKUP(D5045,IMPORTRANGE(""https://docs.google.com/spreadsheets/d/14Bd19lYaqBhU8_DElYkX7l4wRkHqqCUFNJY4AfY3kHU/edit?usp=sharing  #gid=0"",""фіз особи new!relations_name""),6,FALSE)
,
(IF
(
C5045=""юридична особа""
,
VLOOKUP"&amp;"(D5045,IMPORTRANGE(""https://docs.google.com/spreadsheets/d/14Bd19lYaqBhU8_DElYkX7l4wRkHqqCUFNJY4AfY3kHU/edit?usp=sharing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4" s="7" t="s">
        <v>10</v>
      </c>
      <c r="H5044" s="7">
        <v>18979</v>
      </c>
      <c r="I5044" s="8" t="str">
        <f ca="1">IFERROR(__xludf.DUMMYFUNCTION("IF
(
G5045=""фізична особа""
,
VLOOKUP(H5045,IMPORTRANGE(""https://docs.google.com/spreadsheets/d/14Bd19lYaqBhU8_DElYkX7l4wRkHqqCUFNJY4AfY3kHU/edit?usp=sharing  #gid=0"",""фіз особи new!relations_name""),6,FALSE)
,
(IF
(
G5045=""юридична особа""
,
VLOOKUP"&amp;"(H5045,IMPORTRANGE(""https://docs.google.com/spreadsheets/d/14Bd19lYaqBhU8_DElYkX7l4wRkHqqCUFNJY4AfY3kHU/edit?usp=sharing  #gid=0"",""фіз особи new!relations_name_uo""),7,FALSE)
,
)
))"),"КЛЕБАНОВА Катерина Іллівна")</f>
        <v>КЛЕБАНОВА Катерина Іллівна</v>
      </c>
      <c r="J5044" s="7" t="s">
        <v>13</v>
      </c>
    </row>
    <row r="5045" spans="1:10" ht="13.2">
      <c r="A5045" s="7">
        <v>5044</v>
      </c>
      <c r="B5045" s="7">
        <v>1</v>
      </c>
      <c r="C5045" s="7" t="s">
        <v>10</v>
      </c>
      <c r="D5045" s="7">
        <v>4160</v>
      </c>
      <c r="E5045" s="7" t="s">
        <v>14</v>
      </c>
      <c r="F5045" s="8" t="str">
        <f ca="1">IFERROR(__xludf.DUMMYFUNCTION("IF
(
C5046=""фізична особа""
,
VLOOKUP(D5046,IMPORTRANGE(""https://docs.google.com/spreadsheets/d/14Bd19lYaqBhU8_DElYkX7l4wRkHqqCUFNJY4AfY3kHU/edit?usp=sharing  #gid=0"",""фіз особи new!relations_name""),6,FALSE)
,
(IF
(
C5046=""юридична особа""
,
VLOOKUP"&amp;"(D5046,IMPORTRANGE(""https://docs.google.com/spreadsheets/d/14Bd19lYaqBhU8_DElYkX7l4wRkHqqCUFNJY4AfY3kHU/edit?usp=sharing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5" s="7" t="s">
        <v>10</v>
      </c>
      <c r="H5045" s="7">
        <v>0</v>
      </c>
      <c r="I5045" s="8" t="str">
        <f ca="1">IFERROR(__xludf.DUMMYFUNCTION("IF
(
G5046=""фізична особа""
,
VLOOKUP(H5046,IMPORTRANGE(""https://docs.google.com/spreadsheets/d/14Bd19lYaqBhU8_DElYkX7l4wRkHqqCUFNJY4AfY3kHU/edit?usp=sharing  #gid=0"",""фіз особи new!relations_name""),6,FALSE)
,
(IF
(
G5046=""юридична особа""
,
VLOOKUP"&amp;"(H5046,IMPORTRANGE(""https://docs.google.com/spreadsheets/d/14Bd19lYaqBhU8_DElYkX7l4wRkHqqCUFNJY4AfY3kHU/edit?usp=sharing  #gid=0"",""фіз особи new!relations_name_uo""),7,FALSE)
,
)
))"),"#N/A")</f>
        <v>#N/A</v>
      </c>
      <c r="J5045" s="7" t="s">
        <v>15</v>
      </c>
    </row>
    <row r="5046" spans="1:10" ht="13.2">
      <c r="A5046" s="7">
        <v>5045</v>
      </c>
      <c r="B5046" s="7">
        <v>1</v>
      </c>
      <c r="C5046" s="7" t="s">
        <v>10</v>
      </c>
      <c r="D5046" s="7">
        <v>4160</v>
      </c>
      <c r="E5046" s="7" t="s">
        <v>24</v>
      </c>
      <c r="F5046" s="8" t="str">
        <f ca="1">IFERROR(__xludf.DUMMYFUNCTION("IF
(
C5047=""фізична особа""
,
VLOOKUP(D5047,IMPORTRANGE(""https://docs.google.com/spreadsheets/d/14Bd19lYaqBhU8_DElYkX7l4wRkHqqCUFNJY4AfY3kHU/edit?usp=sharing  #gid=0"",""фіз особи new!relations_name""),6,FALSE)
,
(IF
(
C5047=""юридична особа""
,
VLOOKUP"&amp;"(D5047,IMPORTRANGE(""https://docs.google.com/spreadsheets/d/14Bd19lYaqBhU8_DElYkX7l4wRkHqqCUFNJY4AfY3kHU/edit?usp=sharing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6" s="7" t="s">
        <v>10</v>
      </c>
      <c r="H5046" s="7">
        <v>0</v>
      </c>
      <c r="I5046" s="8" t="str">
        <f ca="1">IFERROR(__xludf.DUMMYFUNCTION("IF
(
G5047=""фізична особа""
,
VLOOKUP(H5047,IMPORTRANGE(""https://docs.google.com/spreadsheets/d/14Bd19lYaqBhU8_DElYkX7l4wRkHqqCUFNJY4AfY3kHU/edit?usp=sharing  #gid=0"",""фіз особи new!relations_name""),6,FALSE)
,
(IF
(
G5047=""юридична особа""
,
VLOOKUP"&amp;"(H5047,IMPORTRANGE(""https://docs.google.com/spreadsheets/d/14Bd19lYaqBhU8_DElYkX7l4wRkHqqCUFNJY4AfY3kHU/edit?usp=sharing  #gid=0"",""фіз особи new!relations_name_uo""),7,FALSE)
,
)
))"),"#N/A")</f>
        <v>#N/A</v>
      </c>
      <c r="J5046" s="7" t="s">
        <v>54</v>
      </c>
    </row>
    <row r="5047" spans="1:10" ht="13.2">
      <c r="A5047" s="7">
        <v>5046</v>
      </c>
      <c r="B5047" s="7">
        <v>1</v>
      </c>
      <c r="C5047" s="7" t="s">
        <v>10</v>
      </c>
      <c r="D5047" s="7">
        <v>4160</v>
      </c>
      <c r="E5047" s="7" t="s">
        <v>11</v>
      </c>
      <c r="F5047" s="8" t="str">
        <f ca="1">IFERROR(__xludf.DUMMYFUNCTION("IF
(
C5048=""фізична особа""
,
VLOOKUP(D5048,IMPORTRANGE(""https://docs.google.com/spreadsheets/d/14Bd19lYaqBhU8_DElYkX7l4wRkHqqCUFNJY4AfY3kHU/edit?usp=sharing  #gid=0"",""фіз особи new!relations_name""),6,FALSE)
,
(IF
(
C5048=""юридична особа""
,
VLOOKUP"&amp;"(D5048,IMPORTRANGE(""https://docs.google.com/spreadsheets/d/14Bd19lYaqBhU8_DElYkX7l4wRkHqqCUFNJY4AfY3kHU/edit?usp=sharing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7" s="7" t="s">
        <v>10</v>
      </c>
      <c r="H5047" s="7">
        <v>0</v>
      </c>
      <c r="I5047" s="8" t="str">
        <f ca="1">IFERROR(__xludf.DUMMYFUNCTION("IF
(
G5048=""фізична особа""
,
VLOOKUP(H5048,IMPORTRANGE(""https://docs.google.com/spreadsheets/d/14Bd19lYaqBhU8_DElYkX7l4wRkHqqCUFNJY4AfY3kHU/edit?usp=sharing  #gid=0"",""фіз особи new!relations_name""),6,FALSE)
,
(IF
(
G5048=""юридична особа""
,
VLOOKUP"&amp;"(H5048,IMPORTRANGE(""https://docs.google.com/spreadsheets/d/14Bd19lYaqBhU8_DElYkX7l4wRkHqqCUFNJY4AfY3kHU/edit?usp=sharing  #gid=0"",""фіз особи new!relations_name_uo""),7,FALSE)
,
)
))"),"#N/A")</f>
        <v>#N/A</v>
      </c>
      <c r="J5047" s="7" t="s">
        <v>11</v>
      </c>
    </row>
    <row r="5048" spans="1:10" ht="13.2">
      <c r="A5048" s="7">
        <v>5047</v>
      </c>
      <c r="B5048" s="7">
        <v>1</v>
      </c>
      <c r="C5048" s="7" t="s">
        <v>10</v>
      </c>
      <c r="D5048" s="7">
        <v>4160</v>
      </c>
      <c r="E5048" s="7" t="s">
        <v>11</v>
      </c>
      <c r="F5048" s="8" t="str">
        <f ca="1">IFERROR(__xludf.DUMMYFUNCTION("IF
(
C5049=""фізична особа""
,
VLOOKUP(D5049,IMPORTRANGE(""https://docs.google.com/spreadsheets/d/14Bd19lYaqBhU8_DElYkX7l4wRkHqqCUFNJY4AfY3kHU/edit?usp=sharing  #gid=0"",""фіз особи new!relations_name""),6,FALSE)
,
(IF
(
C5049=""юридична особа""
,
VLOOKUP"&amp;"(D5049,IMPORTRANGE(""https://docs.google.com/spreadsheets/d/14Bd19lYaqBhU8_DElYkX7l4wRkHqqCUFNJY4AfY3kHU/edit?usp=sharing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8" s="7" t="s">
        <v>10</v>
      </c>
      <c r="H5048" s="7">
        <v>0</v>
      </c>
      <c r="I5048" s="8" t="str">
        <f ca="1">IFERROR(__xludf.DUMMYFUNCTION("IF
(
G5049=""фізична особа""
,
VLOOKUP(H5049,IMPORTRANGE(""https://docs.google.com/spreadsheets/d/14Bd19lYaqBhU8_DElYkX7l4wRkHqqCUFNJY4AfY3kHU/edit?usp=sharing  #gid=0"",""фіз особи new!relations_name""),6,FALSE)
,
(IF
(
G5049=""юридична особа""
,
VLOOKUP"&amp;"(H5049,IMPORTRANGE(""https://docs.google.com/spreadsheets/d/14Bd19lYaqBhU8_DElYkX7l4wRkHqqCUFNJY4AfY3kHU/edit?usp=sharing  #gid=0"",""фіз особи new!relations_name_uo""),7,FALSE)
,
)
))"),"#N/A")</f>
        <v>#N/A</v>
      </c>
      <c r="J5048" s="7" t="s">
        <v>11</v>
      </c>
    </row>
    <row r="5049" spans="1:10" ht="13.2">
      <c r="A5049" s="7">
        <v>5048</v>
      </c>
      <c r="B5049" s="7">
        <v>1</v>
      </c>
      <c r="C5049" s="7" t="s">
        <v>10</v>
      </c>
      <c r="D5049" s="7">
        <v>4160</v>
      </c>
      <c r="E5049" s="7" t="s">
        <v>11</v>
      </c>
      <c r="F5049" s="8" t="str">
        <f ca="1">IFERROR(__xludf.DUMMYFUNCTION("IF
(
C5050=""фізична особа""
,
VLOOKUP(D5050,IMPORTRANGE(""https://docs.google.com/spreadsheets/d/14Bd19lYaqBhU8_DElYkX7l4wRkHqqCUFNJY4AfY3kHU/edit?usp=sharing  #gid=0"",""фіз особи new!relations_name""),6,FALSE)
,
(IF
(
C5050=""юридична особа""
,
VLOOKUP"&amp;"(D5050,IMPORTRANGE(""https://docs.google.com/spreadsheets/d/14Bd19lYaqBhU8_DElYkX7l4wRkHqqCUFNJY4AfY3kHU/edit?usp=sharing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49" s="7" t="s">
        <v>10</v>
      </c>
      <c r="H5049" s="7">
        <v>23357</v>
      </c>
      <c r="I5049" s="8" t="str">
        <f ca="1">IFERROR(__xludf.DUMMYFUNCTION("IF
(
G5050=""фізична особа""
,
VLOOKUP(H5050,IMPORTRANGE(""https://docs.google.com/spreadsheets/d/14Bd19lYaqBhU8_DElYkX7l4wRkHqqCUFNJY4AfY3kHU/edit?usp=sharing  #gid=0"",""фіз особи new!relations_name""),6,FALSE)
,
(IF
(
G5050=""юридична особа""
,
VLOOKUP"&amp;"(H5050,IMPORTRANGE(""https://docs.google.com/spreadsheets/d/14Bd19lYaqBhU8_DElYkX7l4wRkHqqCUFNJY4AfY3kHU/edit?usp=sharing  #gid=0"",""фіз особи new!relations_name_uo""),7,FALSE)
,
)
))"),"КОЖАРСЬКИЙ Дмитро Германович")</f>
        <v>КОЖАРСЬКИЙ Дмитро Германович</v>
      </c>
      <c r="J5049" s="7" t="s">
        <v>11</v>
      </c>
    </row>
    <row r="5050" spans="1:10" ht="13.2">
      <c r="A5050" s="7">
        <v>5049</v>
      </c>
      <c r="B5050" s="7">
        <v>1</v>
      </c>
      <c r="C5050" s="7" t="s">
        <v>10</v>
      </c>
      <c r="D5050" s="7">
        <v>4160</v>
      </c>
      <c r="E5050" s="7" t="s">
        <v>35</v>
      </c>
      <c r="F5050" s="8" t="str">
        <f ca="1">IFERROR(__xludf.DUMMYFUNCTION("IF
(
C5051=""фізична особа""
,
VLOOKUP(D5051,IMPORTRANGE(""https://docs.google.com/spreadsheets/d/14Bd19lYaqBhU8_DElYkX7l4wRkHqqCUFNJY4AfY3kHU/edit?usp=sharing  #gid=0"",""фіз особи new!relations_name""),6,FALSE)
,
(IF
(
C5051=""юридична особа""
,
VLOOKUP"&amp;"(D5051,IMPORTRANGE(""https://docs.google.com/spreadsheets/d/14Bd19lYaqBhU8_DElYkX7l4wRkHqqCUFNJY4AfY3kHU/edit?usp=sharing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50" s="7" t="s">
        <v>10</v>
      </c>
      <c r="H5050" s="7">
        <v>880</v>
      </c>
      <c r="I5050" s="8" t="str">
        <f ca="1">IFERROR(__xludf.DUMMYFUNCTION("IF
(
G5051=""фізична особа""
,
VLOOKUP(H5051,IMPORTRANGE(""https://docs.google.com/spreadsheets/d/14Bd19lYaqBhU8_DElYkX7l4wRkHqqCUFNJY4AfY3kHU/edit?usp=sharing  #gid=0"",""фіз особи new!relations_name""),6,FALSE)
,
(IF
(
G5051=""юридична особа""
,
VLOOKUP"&amp;"(H5051,IMPORTRANGE(""https://docs.google.com/spreadsheets/d/14Bd19lYaqBhU8_DElYkX7l4wRkHqqCUFNJY4AfY3kHU/edit?usp=sharing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050" s="7" t="s">
        <v>35</v>
      </c>
    </row>
    <row r="5051" spans="1:10" ht="13.2">
      <c r="A5051" s="7">
        <v>5050</v>
      </c>
      <c r="B5051" s="7">
        <v>1</v>
      </c>
      <c r="C5051" s="7" t="s">
        <v>10</v>
      </c>
      <c r="D5051" s="7">
        <v>4160</v>
      </c>
      <c r="E5051" s="7" t="s">
        <v>35</v>
      </c>
      <c r="F5051" s="8" t="str">
        <f ca="1">IFERROR(__xludf.DUMMYFUNCTION("IF
(
C5052=""фізична особа""
,
VLOOKUP(D5052,IMPORTRANGE(""https://docs.google.com/spreadsheets/d/14Bd19lYaqBhU8_DElYkX7l4wRkHqqCUFNJY4AfY3kHU/edit?usp=sharing  #gid=0"",""фіз особи new!relations_name""),6,FALSE)
,
(IF
(
C5052=""юридична особа""
,
VLOOKUP"&amp;"(D5052,IMPORTRANGE(""https://docs.google.com/spreadsheets/d/14Bd19lYaqBhU8_DElYkX7l4wRkHqqCUFNJY4AfY3kHU/edit?usp=sharing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51" s="7" t="s">
        <v>10</v>
      </c>
      <c r="H5051" s="7">
        <v>0</v>
      </c>
      <c r="I5051" s="8" t="str">
        <f ca="1">IFERROR(__xludf.DUMMYFUNCTION("IF
(
G5052=""фізична особа""
,
VLOOKUP(H5052,IMPORTRANGE(""https://docs.google.com/spreadsheets/d/14Bd19lYaqBhU8_DElYkX7l4wRkHqqCUFNJY4AfY3kHU/edit?usp=sharing  #gid=0"",""фіз особи new!relations_name""),6,FALSE)
,
(IF
(
G5052=""юридична особа""
,
VLOOKUP"&amp;"(H5052,IMPORTRANGE(""https://docs.google.com/spreadsheets/d/14Bd19lYaqBhU8_DElYkX7l4wRkHqqCUFNJY4AfY3kHU/edit?usp=sharing  #gid=0"",""фіз особи new!relations_name_uo""),7,FALSE)
,
)
))"),"#N/A")</f>
        <v>#N/A</v>
      </c>
      <c r="J5051" s="7" t="s">
        <v>35</v>
      </c>
    </row>
    <row r="5052" spans="1:10" ht="13.2">
      <c r="A5052" s="7">
        <v>5051</v>
      </c>
      <c r="B5052" s="7">
        <v>1</v>
      </c>
      <c r="C5052" s="7" t="s">
        <v>10</v>
      </c>
      <c r="D5052" s="7">
        <v>4160</v>
      </c>
      <c r="E5052" s="7" t="s">
        <v>16</v>
      </c>
      <c r="F5052" s="8" t="str">
        <f ca="1">IFERROR(__xludf.DUMMYFUNCTION("IF
(
C5053=""фізична особа""
,
VLOOKUP(D5053,IMPORTRANGE(""https://docs.google.com/spreadsheets/d/14Bd19lYaqBhU8_DElYkX7l4wRkHqqCUFNJY4AfY3kHU/edit?usp=sharing  #gid=0"",""фіз особи new!relations_name""),6,FALSE)
,
(IF
(
C5053=""юридична особа""
,
VLOOKUP"&amp;"(D5053,IMPORTRANGE(""https://docs.google.com/spreadsheets/d/14Bd19lYaqBhU8_DElYkX7l4wRkHqqCUFNJY4AfY3kHU/edit?usp=sharing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52" s="7" t="s">
        <v>10</v>
      </c>
      <c r="H5052" s="7">
        <v>0</v>
      </c>
      <c r="I5052" s="8" t="str">
        <f ca="1">IFERROR(__xludf.DUMMYFUNCTION("IF
(
G5053=""фізична особа""
,
VLOOKUP(H5053,IMPORTRANGE(""https://docs.google.com/spreadsheets/d/14Bd19lYaqBhU8_DElYkX7l4wRkHqqCUFNJY4AfY3kHU/edit?usp=sharing  #gid=0"",""фіз особи new!relations_name""),6,FALSE)
,
(IF
(
G5053=""юридична особа""
,
VLOOKUP"&amp;"(H5053,IMPORTRANGE(""https://docs.google.com/spreadsheets/d/14Bd19lYaqBhU8_DElYkX7l4wRkHqqCUFNJY4AfY3kHU/edit?usp=sharing  #gid=0"",""фіз особи new!relations_name_uo""),7,FALSE)
,
)
))"),"#N/A")</f>
        <v>#N/A</v>
      </c>
      <c r="J5052" s="7" t="s">
        <v>16</v>
      </c>
    </row>
    <row r="5053" spans="1:10" ht="13.2">
      <c r="A5053" s="7">
        <v>5052</v>
      </c>
      <c r="B5053" s="7">
        <v>1</v>
      </c>
      <c r="C5053" s="7" t="s">
        <v>10</v>
      </c>
      <c r="D5053" s="7">
        <v>4160</v>
      </c>
      <c r="E5053" s="7" t="s">
        <v>16</v>
      </c>
      <c r="F5053" s="8" t="str">
        <f ca="1">IFERROR(__xludf.DUMMYFUNCTION("IF
(
C5054=""фізична особа""
,
VLOOKUP(D5054,IMPORTRANGE(""https://docs.google.com/spreadsheets/d/14Bd19lYaqBhU8_DElYkX7l4wRkHqqCUFNJY4AfY3kHU/edit?usp=sharing  #gid=0"",""фіз особи new!relations_name""),6,FALSE)
,
(IF
(
C5054=""юридична особа""
,
VLOOKUP"&amp;"(D5054,IMPORTRANGE(""https://docs.google.com/spreadsheets/d/14Bd19lYaqBhU8_DElYkX7l4wRkHqqCUFNJY4AfY3kHU/edit?usp=sharing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G5053" s="7" t="s">
        <v>10</v>
      </c>
      <c r="H5053" s="7">
        <v>0</v>
      </c>
      <c r="I5053" s="8" t="str">
        <f ca="1">IFERROR(__xludf.DUMMYFUNCTION("IF
(
G5054=""фізична особа""
,
VLOOKUP(H5054,IMPORTRANGE(""https://docs.google.com/spreadsheets/d/14Bd19lYaqBhU8_DElYkX7l4wRkHqqCUFNJY4AfY3kHU/edit?usp=sharing  #gid=0"",""фіз особи new!relations_name""),6,FALSE)
,
(IF
(
G5054=""юридична особа""
,
VLOOKUP"&amp;"(H5054,IMPORTRANGE(""https://docs.google.com/spreadsheets/d/14Bd19lYaqBhU8_DElYkX7l4wRkHqqCUFNJY4AfY3kHU/edit?usp=sharing  #gid=0"",""фіз особи new!relations_name_uo""),7,FALSE)
,
)
))"),"#N/A")</f>
        <v>#N/A</v>
      </c>
      <c r="J5053" s="7" t="s">
        <v>16</v>
      </c>
    </row>
    <row r="5054" spans="1:10" ht="13.2">
      <c r="A5054" s="7">
        <v>5053</v>
      </c>
      <c r="B5054" s="7">
        <v>1</v>
      </c>
      <c r="C5054" s="7" t="s">
        <v>10</v>
      </c>
      <c r="D5054" s="7">
        <v>4161</v>
      </c>
      <c r="E5054" s="7" t="s">
        <v>15</v>
      </c>
      <c r="F5054" s="8" t="str">
        <f ca="1">IFERROR(__xludf.DUMMYFUNCTION("IF
(
C5055=""фізична особа""
,
VLOOKUP(D5055,IMPORTRANGE(""https://docs.google.com/spreadsheets/d/14Bd19lYaqBhU8_DElYkX7l4wRkHqqCUFNJY4AfY3kHU/edit?usp=sharing  #gid=0"",""фіз особи new!relations_name""),6,FALSE)
,
(IF
(
C5055=""юридична особа""
,
VLOOKUP"&amp;"(D5055,IMPORTRANGE(""https://docs.google.com/spreadsheets/d/14Bd19lYaqBhU8_DElYkX7l4wRkHqqCUFNJY4AfY3kHU/edit?usp=sharing  #gid=0"",""фіз особи new!relations_name_uo""),7,FALSE)
,
)
))"),"РИБОЛОВЛЄВА Олена Анатоліївна")</f>
        <v>РИБОЛОВЛЄВА Олена Анатоліївна</v>
      </c>
      <c r="G5054" s="7" t="s">
        <v>10</v>
      </c>
      <c r="H5054" s="7">
        <v>2284</v>
      </c>
      <c r="I5054" s="8" t="str">
        <f ca="1">IFERROR(__xludf.DUMMYFUNCTION("IF
(
G5055=""фізична особа""
,
VLOOKUP(H5055,IMPORTRANGE(""https://docs.google.com/spreadsheets/d/14Bd19lYaqBhU8_DElYkX7l4wRkHqqCUFNJY4AfY3kHU/edit?usp=sharing  #gid=0"",""фіз особи new!relations_name""),6,FALSE)
,
(IF
(
G5055=""юридична особа""
,
VLOOKUP"&amp;"(H5055,IMPORTRANGE(""https://docs.google.com/spreadsheets/d/14Bd19lYaqBhU8_DElYkX7l4wRkHqqCUFNJY4AfY3kHU/edit?usp=sharing  #gid=0"",""фіз особи new!relations_name_uo""),7,FALSE)
,
)
))"),"РИБОЛОВЛЄВ Дмитро Євгенович")</f>
        <v>РИБОЛОВЛЄВ Дмитро Євгенович</v>
      </c>
      <c r="J5054" s="7" t="s">
        <v>42</v>
      </c>
    </row>
    <row r="5055" spans="1:10" ht="13.2">
      <c r="A5055" s="7">
        <v>5054</v>
      </c>
      <c r="B5055" s="7">
        <v>1</v>
      </c>
      <c r="C5055" s="7" t="s">
        <v>10</v>
      </c>
      <c r="D5055" s="7">
        <v>4162</v>
      </c>
      <c r="E5055" s="7" t="s">
        <v>26</v>
      </c>
      <c r="F5055" s="8" t="str">
        <f ca="1">IFERROR(__xludf.DUMMYFUNCTION("IF
(
C5056=""фізична особа""
,
VLOOKUP(D5056,IMPORTRANGE(""https://docs.google.com/spreadsheets/d/14Bd19lYaqBhU8_DElYkX7l4wRkHqqCUFNJY4AfY3kHU/edit?usp=sharing  #gid=0"",""фіз особи new!relations_name""),6,FALSE)
,
(IF
(
C5056=""юридична особа""
,
VLOOKUP"&amp;"(D5056,IMPORTRANGE(""https://docs.google.com/spreadsheets/d/14Bd19lYaqBhU8_DElYkX7l4wRkHqqCUFNJY4AfY3kHU/edit?usp=sharing  #gid=0"",""фіз особи new!relations_name_uo""),7,FALSE)
,
)
))"),"САРТОРІ Хуан")</f>
        <v>САРТОРІ Хуан</v>
      </c>
      <c r="G5055" s="7" t="s">
        <v>10</v>
      </c>
      <c r="H5055" s="7">
        <v>2284</v>
      </c>
      <c r="I5055" s="8" t="str">
        <f ca="1">IFERROR(__xludf.DUMMYFUNCTION("IF
(
G5056=""фізична особа""
,
VLOOKUP(H5056,IMPORTRANGE(""https://docs.google.com/spreadsheets/d/14Bd19lYaqBhU8_DElYkX7l4wRkHqqCUFNJY4AfY3kHU/edit?usp=sharing  #gid=0"",""фіз особи new!relations_name""),6,FALSE)
,
(IF
(
G5056=""юридична особа""
,
VLOOKUP"&amp;"(H5056,IMPORTRANGE(""https://docs.google.com/spreadsheets/d/14Bd19lYaqBhU8_DElYkX7l4wRkHqqCUFNJY4AfY3kHU/edit?usp=sharing  #gid=0"",""фіз особи new!relations_name_uo""),7,FALSE)
,
)
))"),"РИБОЛОВЛЄВ Дмитро Євгенович")</f>
        <v>РИБОЛОВЛЄВ Дмитро Євгенович</v>
      </c>
      <c r="J5055" s="7" t="s">
        <v>24</v>
      </c>
    </row>
    <row r="5056" spans="1:10" ht="13.2">
      <c r="A5056" s="7">
        <v>5055</v>
      </c>
      <c r="B5056" s="7">
        <v>1</v>
      </c>
      <c r="C5056" s="7" t="s">
        <v>10</v>
      </c>
      <c r="D5056" s="7">
        <v>4163</v>
      </c>
      <c r="E5056" s="7" t="s">
        <v>15</v>
      </c>
      <c r="F5056" s="8" t="str">
        <f ca="1">IFERROR(__xludf.DUMMYFUNCTION("IF
(
C5057=""фізична особа""
,
VLOOKUP(D5057,IMPORTRANGE(""https://docs.google.com/spreadsheets/d/14Bd19lYaqBhU8_DElYkX7l4wRkHqqCUFNJY4AfY3kHU/edit?usp=sharing  #gid=0"",""фіз особи new!relations_name""),6,FALSE)
,
(IF
(
C5057=""юридична особа""
,
VLOOKUP"&amp;"(D5057,IMPORTRANGE(""https://docs.google.com/spreadsheets/d/14Bd19lYaqBhU8_DElYkX7l4wRkHqqCUFNJY4AfY3kHU/edit?usp=sharing  #gid=0"",""фіз особи new!relations_name_uo""),7,FALSE)
,
)
))"),"КАНТОР Ганна")</f>
        <v>КАНТОР Ганна</v>
      </c>
      <c r="G5056" s="7" t="s">
        <v>10</v>
      </c>
      <c r="H5056" s="7">
        <v>1990</v>
      </c>
      <c r="I5056" s="8" t="str">
        <f ca="1">IFERROR(__xludf.DUMMYFUNCTION("IF
(
G5057=""фізична особа""
,
VLOOKUP(H5057,IMPORTRANGE(""https://docs.google.com/spreadsheets/d/14Bd19lYaqBhU8_DElYkX7l4wRkHqqCUFNJY4AfY3kHU/edit?usp=sharing  #gid=0"",""фіз особи new!relations_name""),6,FALSE)
,
(IF
(
G5057=""юридична особа""
,
VLOOKUP"&amp;"(H5057,IMPORTRANGE(""https://docs.google.com/spreadsheets/d/14Bd19lYaqBhU8_DElYkX7l4wRkHqqCUFNJY4AfY3kHU/edit?usp=sharing  #gid=0"",""фіз особи new!relations_name_uo""),7,FALSE)
,
)
))"),"КАНТОР В'ячеслав Володимирович")</f>
        <v>КАНТОР В'ячеслав Володимирович</v>
      </c>
      <c r="J5056" s="7" t="s">
        <v>14</v>
      </c>
    </row>
    <row r="5057" spans="1:10" ht="13.2">
      <c r="A5057" s="7">
        <v>5056</v>
      </c>
      <c r="B5057" s="7">
        <v>1</v>
      </c>
      <c r="C5057" s="7" t="s">
        <v>10</v>
      </c>
      <c r="D5057" s="7">
        <v>4164</v>
      </c>
      <c r="E5057" s="7" t="s">
        <v>13</v>
      </c>
      <c r="F5057" s="8" t="str">
        <f ca="1">IFERROR(__xludf.DUMMYFUNCTION("IF
(
C5058=""фізична особа""
,
VLOOKUP(D5058,IMPORTRANGE(""https://docs.google.com/spreadsheets/d/14Bd19lYaqBhU8_DElYkX7l4wRkHqqCUFNJY4AfY3kHU/edit?usp=sharing  #gid=0"",""фіз особи new!relations_name""),6,FALSE)
,
(IF
(
C5058=""юридична особа""
,
VLOOKUP"&amp;"(D5058,IMPORTRANGE(""https://docs.google.com/spreadsheets/d/14Bd19lYaqBhU8_DElYkX7l4wRkHqqCUFNJY4AfY3kHU/edit?usp=sharing  #gid=0"",""фіз особи new!relations_name_uo""),7,FALSE)
,
)
))"),"КАНТОР Катя")</f>
        <v>КАНТОР Катя</v>
      </c>
      <c r="G5057" s="7" t="s">
        <v>10</v>
      </c>
      <c r="H5057" s="7">
        <v>1990</v>
      </c>
      <c r="I5057" s="8" t="str">
        <f ca="1">IFERROR(__xludf.DUMMYFUNCTION("IF
(
G5058=""фізична особа""
,
VLOOKUP(H5058,IMPORTRANGE(""https://docs.google.com/spreadsheets/d/14Bd19lYaqBhU8_DElYkX7l4wRkHqqCUFNJY4AfY3kHU/edit?usp=sharing  #gid=0"",""фіз особи new!relations_name""),6,FALSE)
,
(IF
(
G5058=""юридична особа""
,
VLOOKUP"&amp;"(H5058,IMPORTRANGE(""https://docs.google.com/spreadsheets/d/14Bd19lYaqBhU8_DElYkX7l4wRkHqqCUFNJY4AfY3kHU/edit?usp=sharing  #gid=0"",""фіз особи new!relations_name_uo""),7,FALSE)
,
)
))"),"КАНТОР В'ячеслав Володимирович")</f>
        <v>КАНТОР В'ячеслав Володимирович</v>
      </c>
      <c r="J5057" s="7" t="s">
        <v>12</v>
      </c>
    </row>
    <row r="5058" spans="1:10" ht="13.2">
      <c r="A5058" s="7">
        <v>5057</v>
      </c>
      <c r="B5058" s="7">
        <v>1</v>
      </c>
      <c r="C5058" s="7" t="s">
        <v>10</v>
      </c>
      <c r="D5058" s="7">
        <v>4166</v>
      </c>
      <c r="E5058" s="7" t="s">
        <v>13</v>
      </c>
      <c r="F5058" s="8" t="str">
        <f ca="1">IFERROR(__xludf.DUMMYFUNCTION("IF
(
C5059=""фізична особа""
,
VLOOKUP(D5059,IMPORTRANGE(""https://docs.google.com/spreadsheets/d/14Bd19lYaqBhU8_DElYkX7l4wRkHqqCUFNJY4AfY3kHU/edit?usp=sharing  #gid=0"",""фіз особи new!relations_name""),6,FALSE)
,
(IF
(
C5059=""юридична особа""
,
VLOOKUP"&amp;"(D5059,IMPORTRANGE(""https://docs.google.com/spreadsheets/d/14Bd19lYaqBhU8_DElYkX7l4wRkHqqCUFNJY4AfY3kHU/edit?usp=sharing  #gid=0"",""фіз особи new!relations_name_uo""),7,FALSE)
,
)
))"),"КРУПЧАК Поліна Володимирівна")</f>
        <v>КРУПЧАК Поліна Володимирівна</v>
      </c>
      <c r="G5058" s="7" t="s">
        <v>10</v>
      </c>
      <c r="H5058" s="7">
        <v>4165</v>
      </c>
      <c r="I5058" s="8" t="str">
        <f ca="1">IFERROR(__xludf.DUMMYFUNCTION("IF
(
G5059=""фізична особа""
,
VLOOKUP(H5059,IMPORTRANGE(""https://docs.google.com/spreadsheets/d/14Bd19lYaqBhU8_DElYkX7l4wRkHqqCUFNJY4AfY3kHU/edit?usp=sharing  #gid=0"",""фіз особи new!relations_name""),6,FALSE)
,
(IF
(
G5059=""юридична особа""
,
VLOOKUP"&amp;"(H5059,IMPORTRANGE(""https://docs.google.com/spreadsheets/d/14Bd19lYaqBhU8_DElYkX7l4wRkHqqCUFNJY4AfY3kHU/edit?usp=sharing  #gid=0"",""фіз особи new!relations_name_uo""),7,FALSE)
,
)
))"),"КРУПЧАК Володимир Ярославович")</f>
        <v>КРУПЧАК Володимир Ярославович</v>
      </c>
      <c r="J5058" s="7" t="s">
        <v>12</v>
      </c>
    </row>
    <row r="5059" spans="1:10" ht="13.2">
      <c r="A5059" s="7">
        <v>5058</v>
      </c>
      <c r="B5059" s="7">
        <v>1</v>
      </c>
      <c r="C5059" s="7" t="s">
        <v>10</v>
      </c>
      <c r="D5059" s="7">
        <v>4168</v>
      </c>
      <c r="E5059" s="7" t="s">
        <v>13</v>
      </c>
      <c r="F5059" s="8" t="str">
        <f ca="1">IFERROR(__xludf.DUMMYFUNCTION("IF
(
C5060=""фізична особа""
,
VLOOKUP(D5060,IMPORTRANGE(""https://docs.google.com/spreadsheets/d/14Bd19lYaqBhU8_DElYkX7l4wRkHqqCUFNJY4AfY3kHU/edit?usp=sharing  #gid=0"",""фіз особи new!relations_name""),6,FALSE)
,
(IF
(
C5060=""юридична особа""
,
VLOOKUP"&amp;"(D5060,IMPORTRANGE(""https://docs.google.com/spreadsheets/d/14Bd19lYaqBhU8_DElYkX7l4wRkHqqCUFNJY4AfY3kHU/edit?usp=sharing  #gid=0"",""фіз особи new!relations_name_uo""),7,FALSE)
,
)
))"),"ГУР'ЄВА-МОТЛОХОВ Юлія Андріївна")</f>
        <v>ГУР'ЄВА-МОТЛОХОВ Юлія Андріївна</v>
      </c>
      <c r="G5059" s="7" t="s">
        <v>10</v>
      </c>
      <c r="H5059" s="7">
        <v>4018</v>
      </c>
      <c r="I5059" s="8" t="str">
        <f ca="1">IFERROR(__xludf.DUMMYFUNCTION("IF
(
G5060=""фізична особа""
,
VLOOKUP(H5060,IMPORTRANGE(""https://docs.google.com/spreadsheets/d/14Bd19lYaqBhU8_DElYkX7l4wRkHqqCUFNJY4AfY3kHU/edit?usp=sharing  #gid=0"",""фіз особи new!relations_name""),6,FALSE)
,
(IF
(
G5060=""юридична особа""
,
VLOOKUP"&amp;"(H5060,IMPORTRANGE(""https://docs.google.com/spreadsheets/d/14Bd19lYaqBhU8_DElYkX7l4wRkHqqCUFNJY4AfY3kHU/edit?usp=sharing  #gid=0"",""фіз особи new!relations_name_uo""),7,FALSE)
,
)
))"),"ГУР'ЄВ Андрій Григорович")</f>
        <v>ГУР'ЄВ Андрій Григорович</v>
      </c>
      <c r="J5059" s="7" t="s">
        <v>12</v>
      </c>
    </row>
    <row r="5060" spans="1:10" ht="13.2">
      <c r="A5060" s="7">
        <v>5059</v>
      </c>
      <c r="B5060" s="7">
        <v>1</v>
      </c>
      <c r="C5060" s="7" t="s">
        <v>10</v>
      </c>
      <c r="D5060" s="7">
        <v>4168</v>
      </c>
      <c r="E5060" s="7" t="s">
        <v>31</v>
      </c>
      <c r="F5060" s="8" t="str">
        <f ca="1">IFERROR(__xludf.DUMMYFUNCTION("IF
(
C5061=""фізична особа""
,
VLOOKUP(D5061,IMPORTRANGE(""https://docs.google.com/spreadsheets/d/14Bd19lYaqBhU8_DElYkX7l4wRkHqqCUFNJY4AfY3kHU/edit?usp=sharing  #gid=0"",""фіз особи new!relations_name""),6,FALSE)
,
(IF
(
C5061=""юридична особа""
,
VLOOKUP"&amp;"(D5061,IMPORTRANGE(""https://docs.google.com/spreadsheets/d/14Bd19lYaqBhU8_DElYkX7l4wRkHqqCUFNJY4AfY3kHU/edit?usp=sharing  #gid=0"",""фіз особи new!relations_name_uo""),7,FALSE)
,
)
))"),"ГУР'ЄВА-МОТЛОХОВ Юлія Андріївна")</f>
        <v>ГУР'ЄВА-МОТЛОХОВ Юлія Андріївна</v>
      </c>
      <c r="G5060" s="7" t="s">
        <v>10</v>
      </c>
      <c r="H5060" s="7">
        <v>1875</v>
      </c>
      <c r="I5060" s="8" t="str">
        <f ca="1">IFERROR(__xludf.DUMMYFUNCTION("IF
(
G5061=""фізична особа""
,
VLOOKUP(H5061,IMPORTRANGE(""https://docs.google.com/spreadsheets/d/14Bd19lYaqBhU8_DElYkX7l4wRkHqqCUFNJY4AfY3kHU/edit?usp=sharing  #gid=0"",""фіз особи new!relations_name""),6,FALSE)
,
(IF
(
G5061=""юридична особа""
,
VLOOKUP"&amp;"(H5061,IMPORTRANGE(""https://docs.google.com/spreadsheets/d/14Bd19lYaqBhU8_DElYkX7l4wRkHqqCUFNJY4AfY3kHU/edit?usp=sharing  #gid=0"",""фіз особи new!relations_name_uo""),7,FALSE)
,
)
))"),"ГУР'ЄВ Андрій Андрійович")</f>
        <v>ГУР'ЄВ Андрій Андрійович</v>
      </c>
      <c r="J5060" s="7" t="s">
        <v>18</v>
      </c>
    </row>
    <row r="5061" spans="1:10" ht="13.2">
      <c r="A5061" s="7">
        <v>5060</v>
      </c>
      <c r="B5061" s="7">
        <v>1</v>
      </c>
      <c r="C5061" s="7" t="s">
        <v>10</v>
      </c>
      <c r="D5061" s="7">
        <v>4169</v>
      </c>
      <c r="E5061" s="7" t="s">
        <v>15</v>
      </c>
      <c r="F5061" s="8" t="str">
        <f ca="1">IFERROR(__xludf.DUMMYFUNCTION("IF
(
C5062=""фізична особа""
,
VLOOKUP(D5062,IMPORTRANGE(""https://docs.google.com/spreadsheets/d/14Bd19lYaqBhU8_DElYkX7l4wRkHqqCUFNJY4AfY3kHU/edit?usp=sharing  #gid=0"",""фіз особи new!relations_name""),6,FALSE)
,
(IF
(
C5062=""юридична особа""
,
VLOOKUP"&amp;"(D5062,IMPORTRANGE(""https://docs.google.com/spreadsheets/d/14Bd19lYaqBhU8_DElYkX7l4wRkHqqCUFNJY4AfY3kHU/edit?usp=sharing  #gid=0"",""фіз особи new!relations_name_uo""),7,FALSE)
,
)
))"),"ГУР'ЄВА Євгенія Вікторівна")</f>
        <v>ГУР'ЄВА Євгенія Вікторівна</v>
      </c>
      <c r="G5061" s="7" t="s">
        <v>10</v>
      </c>
      <c r="H5061" s="7">
        <v>4018</v>
      </c>
      <c r="I5061" s="8" t="str">
        <f ca="1">IFERROR(__xludf.DUMMYFUNCTION("IF
(
G5062=""фізична особа""
,
VLOOKUP(H5062,IMPORTRANGE(""https://docs.google.com/spreadsheets/d/14Bd19lYaqBhU8_DElYkX7l4wRkHqqCUFNJY4AfY3kHU/edit?usp=sharing  #gid=0"",""фіз особи new!relations_name""),6,FALSE)
,
(IF
(
G5062=""юридична особа""
,
VLOOKUP"&amp;"(H5062,IMPORTRANGE(""https://docs.google.com/spreadsheets/d/14Bd19lYaqBhU8_DElYkX7l4wRkHqqCUFNJY4AfY3kHU/edit?usp=sharing  #gid=0"",""фіз особи new!relations_name_uo""),7,FALSE)
,
)
))"),"ГУР'ЄВ Андрій Григорович")</f>
        <v>ГУР'ЄВ Андрій Григорович</v>
      </c>
      <c r="J5061" s="7" t="s">
        <v>14</v>
      </c>
    </row>
    <row r="5062" spans="1:10" ht="13.2">
      <c r="A5062" s="7">
        <v>5061</v>
      </c>
      <c r="B5062" s="7">
        <v>1</v>
      </c>
      <c r="C5062" s="7" t="s">
        <v>10</v>
      </c>
      <c r="D5062" s="7">
        <v>4169</v>
      </c>
      <c r="E5062" s="7" t="s">
        <v>21</v>
      </c>
      <c r="F5062" s="8" t="str">
        <f ca="1">IFERROR(__xludf.DUMMYFUNCTION("IF
(
C5063=""фізична особа""
,
VLOOKUP(D5063,IMPORTRANGE(""https://docs.google.com/spreadsheets/d/14Bd19lYaqBhU8_DElYkX7l4wRkHqqCUFNJY4AfY3kHU/edit?usp=sharing  #gid=0"",""фіз особи new!relations_name""),6,FALSE)
,
(IF
(
C5063=""юридична особа""
,
VLOOKUP"&amp;"(D5063,IMPORTRANGE(""https://docs.google.com/spreadsheets/d/14Bd19lYaqBhU8_DElYkX7l4wRkHqqCUFNJY4AfY3kHU/edit?usp=sharing  #gid=0"",""фіз особи new!relations_name_uo""),7,FALSE)
,
)
))"),"ГУР'ЄВА Євгенія Вікторівна")</f>
        <v>ГУР'ЄВА Євгенія Вікторівна</v>
      </c>
      <c r="G5062" s="7" t="s">
        <v>10</v>
      </c>
      <c r="H5062" s="7">
        <v>1875</v>
      </c>
      <c r="I5062" s="8" t="str">
        <f ca="1">IFERROR(__xludf.DUMMYFUNCTION("IF
(
G5063=""фізична особа""
,
VLOOKUP(H5063,IMPORTRANGE(""https://docs.google.com/spreadsheets/d/14Bd19lYaqBhU8_DElYkX7l4wRkHqqCUFNJY4AfY3kHU/edit?usp=sharing  #gid=0"",""фіз особи new!relations_name""),6,FALSE)
,
(IF
(
G5063=""юридична особа""
,
VLOOKUP"&amp;"(H5063,IMPORTRANGE(""https://docs.google.com/spreadsheets/d/14Bd19lYaqBhU8_DElYkX7l4wRkHqqCUFNJY4AfY3kHU/edit?usp=sharing  #gid=0"",""фіз особи new!relations_name_uo""),7,FALSE)
,
)
))"),"ГУР'ЄВ Андрій Андрійович")</f>
        <v>ГУР'ЄВ Андрій Андрійович</v>
      </c>
      <c r="J5062" s="7" t="s">
        <v>17</v>
      </c>
    </row>
    <row r="5063" spans="1:10" ht="13.2">
      <c r="A5063" s="7">
        <v>5062</v>
      </c>
      <c r="B5063" s="7">
        <v>1</v>
      </c>
      <c r="C5063" s="7" t="s">
        <v>10</v>
      </c>
      <c r="D5063" s="7">
        <v>4187</v>
      </c>
      <c r="E5063" s="7" t="s">
        <v>30</v>
      </c>
      <c r="F5063" s="8" t="str">
        <f ca="1">IFERROR(__xludf.DUMMYFUNCTION("IF
(
C5064=""фізична особа""
,
VLOOKUP(D5064,IMPORTRANGE(""https://docs.google.com/spreadsheets/d/14Bd19lYaqBhU8_DElYkX7l4wRkHqqCUFNJY4AfY3kHU/edit?usp=sharing  #gid=0"",""фіз особи new!relations_name""),6,FALSE)
,
(IF
(
C5064=""юридична особа""
,
VLOOKUP"&amp;"(D5064,IMPORTRANGE(""https://docs.google.com/spreadsheets/d/14Bd19lYaqBhU8_DElYkX7l4wRkHqqCUFNJY4AfY3kHU/edit?usp=sharing  #gid=0"",""фіз особи new!relations_name_uo""),7,FALSE)
,
)
))"),"КАЗАНЦЕВА Ірина Володимирівна")</f>
        <v>КАЗАНЦЕВА Ірина Володимирівна</v>
      </c>
      <c r="G5063" s="7" t="s">
        <v>10</v>
      </c>
      <c r="H5063" s="7">
        <v>164</v>
      </c>
      <c r="I5063" s="8" t="str">
        <f ca="1">IFERROR(__xludf.DUMMYFUNCTION("IF
(
G5064=""фізична особа""
,
VLOOKUP(H5064,IMPORTRANGE(""https://docs.google.com/spreadsheets/d/14Bd19lYaqBhU8_DElYkX7l4wRkHqqCUFNJY4AfY3kHU/edit?usp=sharing  #gid=0"",""фіз особи new!relations_name""),6,FALSE)
,
(IF
(
G5064=""юридична особа""
,
VLOOKUP"&amp;"(H5064,IMPORTRANGE(""https://docs.google.com/spreadsheets/d/14Bd19lYaqBhU8_DElYkX7l4wRkHqqCUFNJY4AfY3kHU/edit?usp=sharing  #gid=0"",""фіз особи new!relations_name_uo""),7,FALSE)
,
)
))"),"ОЮН Діна Іванівна")</f>
        <v>ОЮН Діна Іванівна</v>
      </c>
      <c r="J5063" s="7" t="s">
        <v>30</v>
      </c>
    </row>
    <row r="5064" spans="1:10" ht="13.2">
      <c r="A5064" s="7">
        <v>5063</v>
      </c>
      <c r="B5064" s="7">
        <v>1</v>
      </c>
      <c r="C5064" s="7" t="s">
        <v>10</v>
      </c>
      <c r="D5064" s="7">
        <v>4187</v>
      </c>
      <c r="E5064" s="7" t="s">
        <v>14</v>
      </c>
      <c r="F5064" s="8" t="str">
        <f ca="1">IFERROR(__xludf.DUMMYFUNCTION("IF
(
C5065=""фізична особа""
,
VLOOKUP(D5065,IMPORTRANGE(""https://docs.google.com/spreadsheets/d/14Bd19lYaqBhU8_DElYkX7l4wRkHqqCUFNJY4AfY3kHU/edit?usp=sharing  #gid=0"",""фіз особи new!relations_name""),6,FALSE)
,
(IF
(
C5065=""юридична особа""
,
VLOOKUP"&amp;"(D5065,IMPORTRANGE(""https://docs.google.com/spreadsheets/d/14Bd19lYaqBhU8_DElYkX7l4wRkHqqCUFNJY4AfY3kHU/edit?usp=sharing  #gid=0"",""фіз особи new!relations_name_uo""),7,FALSE)
,
)
))"),"КАЗАНЦЕВА Ірина Володимирівна")</f>
        <v>КАЗАНЦЕВА Ірина Володимирівна</v>
      </c>
      <c r="G5064" s="7" t="s">
        <v>10</v>
      </c>
      <c r="H5064" s="7">
        <v>0</v>
      </c>
      <c r="I5064" s="8" t="str">
        <f ca="1">IFERROR(__xludf.DUMMYFUNCTION("IF
(
G5065=""фізична особа""
,
VLOOKUP(H5065,IMPORTRANGE(""https://docs.google.com/spreadsheets/d/14Bd19lYaqBhU8_DElYkX7l4wRkHqqCUFNJY4AfY3kHU/edit?usp=sharing  #gid=0"",""фіз особи new!relations_name""),6,FALSE)
,
(IF
(
G5065=""юридична особа""
,
VLOOKUP"&amp;"(H5065,IMPORTRANGE(""https://docs.google.com/spreadsheets/d/14Bd19lYaqBhU8_DElYkX7l4wRkHqqCUFNJY4AfY3kHU/edit?usp=sharing  #gid=0"",""фіз особи new!relations_name_uo""),7,FALSE)
,
)
))"),"#N/A")</f>
        <v>#N/A</v>
      </c>
      <c r="J5064" s="7" t="s">
        <v>15</v>
      </c>
    </row>
    <row r="5065" spans="1:10" ht="13.2">
      <c r="A5065" s="7">
        <v>5064</v>
      </c>
      <c r="B5065" s="7">
        <v>1</v>
      </c>
      <c r="C5065" s="7" t="s">
        <v>10</v>
      </c>
      <c r="D5065" s="7">
        <v>4195</v>
      </c>
      <c r="E5065" s="7" t="s">
        <v>28</v>
      </c>
      <c r="F5065" s="8" t="str">
        <f ca="1">IFERROR(__xludf.DUMMYFUNCTION("IF
(
C5066=""фізична особа""
,
VLOOKUP(D5066,IMPORTRANGE(""https://docs.google.com/spreadsheets/d/14Bd19lYaqBhU8_DElYkX7l4wRkHqqCUFNJY4AfY3kHU/edit?usp=sharing  #gid=0"",""фіз особи new!relations_name""),6,FALSE)
,
(IF
(
C5066=""юридична особа""
,
VLOOKUP"&amp;"(D5066,IMPORTRANGE(""https://docs.google.com/spreadsheets/d/14Bd19lYaqBhU8_DElYkX7l4wRkHqqCUFNJY4AfY3kHU/edit?usp=sharing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65" s="7" t="s">
        <v>10</v>
      </c>
      <c r="H5065" s="7">
        <v>2513</v>
      </c>
      <c r="I5065" s="8" t="str">
        <f ca="1">IFERROR(__xludf.DUMMYFUNCTION("IF
(
G5066=""фізична особа""
,
VLOOKUP(H5066,IMPORTRANGE(""https://docs.google.com/spreadsheets/d/14Bd19lYaqBhU8_DElYkX7l4wRkHqqCUFNJY4AfY3kHU/edit?usp=sharing  #gid=0"",""фіз особи new!relations_name""),6,FALSE)
,
(IF
(
G5066=""юридична особа""
,
VLOOKUP"&amp;"(H5066,IMPORTRANGE(""https://docs.google.com/spreadsheets/d/14Bd19lYaqBhU8_DElYkX7l4wRkHqqCUFNJY4AfY3kHU/edit?usp=sharing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5065" s="7" t="s">
        <v>29</v>
      </c>
    </row>
    <row r="5066" spans="1:10" ht="13.2">
      <c r="A5066" s="7">
        <v>5065</v>
      </c>
      <c r="B5066" s="7">
        <v>1</v>
      </c>
      <c r="C5066" s="7" t="s">
        <v>10</v>
      </c>
      <c r="D5066" s="7">
        <v>4195</v>
      </c>
      <c r="E5066" s="7" t="s">
        <v>30</v>
      </c>
      <c r="F5066" s="8" t="str">
        <f ca="1">IFERROR(__xludf.DUMMYFUNCTION("IF
(
C5067=""фізична особа""
,
VLOOKUP(D5067,IMPORTRANGE(""https://docs.google.com/spreadsheets/d/14Bd19lYaqBhU8_DElYkX7l4wRkHqqCUFNJY4AfY3kHU/edit?usp=sharing  #gid=0"",""фіз особи new!relations_name""),6,FALSE)
,
(IF
(
C5067=""юридична особа""
,
VLOOKUP"&amp;"(D5067,IMPORTRANGE(""https://docs.google.com/spreadsheets/d/14Bd19lYaqBhU8_DElYkX7l4wRkHqqCUFNJY4AfY3kHU/edit?usp=sharing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66" s="7" t="s">
        <v>10</v>
      </c>
      <c r="H5066" s="7">
        <v>0</v>
      </c>
      <c r="I5066" s="8" t="str">
        <f ca="1">IFERROR(__xludf.DUMMYFUNCTION("IF
(
G5067=""фізична особа""
,
VLOOKUP(H5067,IMPORTRANGE(""https://docs.google.com/spreadsheets/d/14Bd19lYaqBhU8_DElYkX7l4wRkHqqCUFNJY4AfY3kHU/edit?usp=sharing  #gid=0"",""фіз особи new!relations_name""),6,FALSE)
,
(IF
(
G5067=""юридична особа""
,
VLOOKUP"&amp;"(H5067,IMPORTRANGE(""https://docs.google.com/spreadsheets/d/14Bd19lYaqBhU8_DElYkX7l4wRkHqqCUFNJY4AfY3kHU/edit?usp=sharing  #gid=0"",""фіз особи new!relations_name_uo""),7,FALSE)
,
)
))"),"#N/A")</f>
        <v>#N/A</v>
      </c>
      <c r="J5066" s="7" t="s">
        <v>30</v>
      </c>
    </row>
    <row r="5067" spans="1:10" ht="13.2">
      <c r="A5067" s="7">
        <v>5066</v>
      </c>
      <c r="B5067" s="7">
        <v>1</v>
      </c>
      <c r="C5067" s="7" t="s">
        <v>10</v>
      </c>
      <c r="D5067" s="7">
        <v>4195</v>
      </c>
      <c r="E5067" s="7" t="s">
        <v>29</v>
      </c>
      <c r="F5067" s="8" t="str">
        <f ca="1">IFERROR(__xludf.DUMMYFUNCTION("IF
(
C5068=""фізична особа""
,
VLOOKUP(D5068,IMPORTRANGE(""https://docs.google.com/spreadsheets/d/14Bd19lYaqBhU8_DElYkX7l4wRkHqqCUFNJY4AfY3kHU/edit?usp=sharing  #gid=0"",""фіз особи new!relations_name""),6,FALSE)
,
(IF
(
C5068=""юридична особа""
,
VLOOKUP"&amp;"(D5068,IMPORTRANGE(""https://docs.google.com/spreadsheets/d/14Bd19lYaqBhU8_DElYkX7l4wRkHqqCUFNJY4AfY3kHU/edit?usp=sharing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67" s="7" t="s">
        <v>10</v>
      </c>
      <c r="H5067" s="7">
        <v>0</v>
      </c>
      <c r="I5067" s="8" t="str">
        <f ca="1">IFERROR(__xludf.DUMMYFUNCTION("IF
(
G5068=""фізична особа""
,
VLOOKUP(H5068,IMPORTRANGE(""https://docs.google.com/spreadsheets/d/14Bd19lYaqBhU8_DElYkX7l4wRkHqqCUFNJY4AfY3kHU/edit?usp=sharing  #gid=0"",""фіз особи new!relations_name""),6,FALSE)
,
(IF
(
G5068=""юридична особа""
,
VLOOKUP"&amp;"(H5068,IMPORTRANGE(""https://docs.google.com/spreadsheets/d/14Bd19lYaqBhU8_DElYkX7l4wRkHqqCUFNJY4AfY3kHU/edit?usp=sharing  #gid=0"",""фіз особи new!relations_name_uo""),7,FALSE)
,
)
))"),"#N/A")</f>
        <v>#N/A</v>
      </c>
      <c r="J5067" s="7" t="s">
        <v>28</v>
      </c>
    </row>
    <row r="5068" spans="1:10" ht="13.2">
      <c r="A5068" s="7">
        <v>5067</v>
      </c>
      <c r="B5068" s="7">
        <v>1</v>
      </c>
      <c r="C5068" s="7" t="s">
        <v>10</v>
      </c>
      <c r="D5068" s="7">
        <v>4195</v>
      </c>
      <c r="E5068" s="7" t="s">
        <v>29</v>
      </c>
      <c r="F5068" s="8" t="str">
        <f ca="1">IFERROR(__xludf.DUMMYFUNCTION("IF
(
C5069=""фізична особа""
,
VLOOKUP(D5069,IMPORTRANGE(""https://docs.google.com/spreadsheets/d/14Bd19lYaqBhU8_DElYkX7l4wRkHqqCUFNJY4AfY3kHU/edit?usp=sharing  #gid=0"",""фіз особи new!relations_name""),6,FALSE)
,
(IF
(
C5069=""юридична особа""
,
VLOOKUP"&amp;"(D5069,IMPORTRANGE(""https://docs.google.com/spreadsheets/d/14Bd19lYaqBhU8_DElYkX7l4wRkHqqCUFNJY4AfY3kHU/edit?usp=sharing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68" s="7" t="s">
        <v>10</v>
      </c>
      <c r="H5068" s="7">
        <v>0</v>
      </c>
      <c r="I5068" s="8" t="str">
        <f ca="1">IFERROR(__xludf.DUMMYFUNCTION("IF
(
G5069=""фізична особа""
,
VLOOKUP(H5069,IMPORTRANGE(""https://docs.google.com/spreadsheets/d/14Bd19lYaqBhU8_DElYkX7l4wRkHqqCUFNJY4AfY3kHU/edit?usp=sharing  #gid=0"",""фіз особи new!relations_name""),6,FALSE)
,
(IF
(
G5069=""юридична особа""
,
VLOOKUP"&amp;"(H5069,IMPORTRANGE(""https://docs.google.com/spreadsheets/d/14Bd19lYaqBhU8_DElYkX7l4wRkHqqCUFNJY4AfY3kHU/edit?usp=sharing  #gid=0"",""фіз особи new!relations_name_uo""),7,FALSE)
,
)
))"),"#N/A")</f>
        <v>#N/A</v>
      </c>
      <c r="J5068" s="7" t="s">
        <v>28</v>
      </c>
    </row>
    <row r="5069" spans="1:10" ht="13.2">
      <c r="A5069" s="7">
        <v>5068</v>
      </c>
      <c r="B5069" s="7">
        <v>1</v>
      </c>
      <c r="C5069" s="7" t="s">
        <v>10</v>
      </c>
      <c r="D5069" s="7">
        <v>4195</v>
      </c>
      <c r="E5069" s="7" t="s">
        <v>29</v>
      </c>
      <c r="F5069" s="8" t="str">
        <f ca="1">IFERROR(__xludf.DUMMYFUNCTION("IF
(
C5070=""фізична особа""
,
VLOOKUP(D5070,IMPORTRANGE(""https://docs.google.com/spreadsheets/d/14Bd19lYaqBhU8_DElYkX7l4wRkHqqCUFNJY4AfY3kHU/edit?usp=sharing  #gid=0"",""фіз особи new!relations_name""),6,FALSE)
,
(IF
(
C5070=""юридична особа""
,
VLOOKUP"&amp;"(D5070,IMPORTRANGE(""https://docs.google.com/spreadsheets/d/14Bd19lYaqBhU8_DElYkX7l4wRkHqqCUFNJY4AfY3kHU/edit?usp=sharing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69" s="7" t="s">
        <v>10</v>
      </c>
      <c r="H5069" s="7">
        <v>0</v>
      </c>
      <c r="I5069" s="8" t="str">
        <f ca="1">IFERROR(__xludf.DUMMYFUNCTION("IF
(
G5070=""фізична особа""
,
VLOOKUP(H5070,IMPORTRANGE(""https://docs.google.com/spreadsheets/d/14Bd19lYaqBhU8_DElYkX7l4wRkHqqCUFNJY4AfY3kHU/edit?usp=sharing  #gid=0"",""фіз особи new!relations_name""),6,FALSE)
,
(IF
(
G5070=""юридична особа""
,
VLOOKUP"&amp;"(H5070,IMPORTRANGE(""https://docs.google.com/spreadsheets/d/14Bd19lYaqBhU8_DElYkX7l4wRkHqqCUFNJY4AfY3kHU/edit?usp=sharing  #gid=0"",""фіз особи new!relations_name_uo""),7,FALSE)
,
)
))"),"#N/A")</f>
        <v>#N/A</v>
      </c>
      <c r="J5069" s="7" t="s">
        <v>28</v>
      </c>
    </row>
    <row r="5070" spans="1:10" ht="13.2">
      <c r="A5070" s="7">
        <v>5069</v>
      </c>
      <c r="B5070" s="7">
        <v>1</v>
      </c>
      <c r="C5070" s="7" t="s">
        <v>10</v>
      </c>
      <c r="D5070" s="7">
        <v>4195</v>
      </c>
      <c r="E5070" s="7" t="s">
        <v>29</v>
      </c>
      <c r="F5070" s="8" t="str">
        <f ca="1">IFERROR(__xludf.DUMMYFUNCTION("IF
(
C5071=""фізична особа""
,
VLOOKUP(D5071,IMPORTRANGE(""https://docs.google.com/spreadsheets/d/14Bd19lYaqBhU8_DElYkX7l4wRkHqqCUFNJY4AfY3kHU/edit?usp=sharing  #gid=0"",""фіз особи new!relations_name""),6,FALSE)
,
(IF
(
C5071=""юридична особа""
,
VLOOKUP"&amp;"(D5071,IMPORTRANGE(""https://docs.google.com/spreadsheets/d/14Bd19lYaqBhU8_DElYkX7l4wRkHqqCUFNJY4AfY3kHU/edit?usp=sharing  #gid=0"",""фіз особи new!relations_name_uo""),7,FALSE)
,
)
))"),"НАГУМАНОВ Тимур Дмитрович")</f>
        <v>НАГУМАНОВ Тимур Дмитрович</v>
      </c>
      <c r="G5070" s="7" t="s">
        <v>10</v>
      </c>
      <c r="H5070" s="7">
        <v>0</v>
      </c>
      <c r="I5070" s="8" t="str">
        <f ca="1">IFERROR(__xludf.DUMMYFUNCTION("IF
(
G5071=""фізична особа""
,
VLOOKUP(H5071,IMPORTRANGE(""https://docs.google.com/spreadsheets/d/14Bd19lYaqBhU8_DElYkX7l4wRkHqqCUFNJY4AfY3kHU/edit?usp=sharing  #gid=0"",""фіз особи new!relations_name""),6,FALSE)
,
(IF
(
G5071=""юридична особа""
,
VLOOKUP"&amp;"(H5071,IMPORTRANGE(""https://docs.google.com/spreadsheets/d/14Bd19lYaqBhU8_DElYkX7l4wRkHqqCUFNJY4AfY3kHU/edit?usp=sharing  #gid=0"",""фіз особи new!relations_name_uo""),7,FALSE)
,
)
))"),"#N/A")</f>
        <v>#N/A</v>
      </c>
      <c r="J5070" s="7" t="s">
        <v>28</v>
      </c>
    </row>
    <row r="5071" spans="1:10" ht="13.2">
      <c r="A5071" s="7">
        <v>5070</v>
      </c>
      <c r="B5071" s="7">
        <v>1</v>
      </c>
      <c r="C5071" s="7" t="s">
        <v>10</v>
      </c>
      <c r="D5071" s="7">
        <v>4196</v>
      </c>
      <c r="E5071" s="7" t="s">
        <v>28</v>
      </c>
      <c r="F5071" s="8" t="str">
        <f ca="1">IFERROR(__xludf.DUMMYFUNCTION("IF
(
C5072=""фізична особа""
,
VLOOKUP(D5072,IMPORTRANGE(""https://docs.google.com/spreadsheets/d/14Bd19lYaqBhU8_DElYkX7l4wRkHqqCUFNJY4AfY3kHU/edit?usp=sharing  #gid=0"",""фіз особи new!relations_name""),6,FALSE)
,
(IF
(
C5072=""юридична особа""
,
VLOOKUP"&amp;"(D5072,IMPORTRANGE(""https://docs.google.com/spreadsheets/d/14Bd19lYaqBhU8_DElYkX7l4wRkHqqCUFNJY4AfY3kHU/edit?usp=sharing  #gid=0"",""фіз особи new!relations_name_uo""),7,FALSE)
,
)
))"),"НІКОЛАЄВ Леонід Анатолійович")</f>
        <v>НІКОЛАЄВ Леонід Анатолійович</v>
      </c>
      <c r="G5071" s="7" t="s">
        <v>10</v>
      </c>
      <c r="H5071" s="7">
        <v>2569</v>
      </c>
      <c r="I5071" s="8" t="str">
        <f ca="1">IFERROR(__xludf.DUMMYFUNCTION("IF
(
G5072=""фізична особа""
,
VLOOKUP(H5072,IMPORTRANGE(""https://docs.google.com/spreadsheets/d/14Bd19lYaqBhU8_DElYkX7l4wRkHqqCUFNJY4AfY3kHU/edit?usp=sharing  #gid=0"",""фіз особи new!relations_name""),6,FALSE)
,
(IF
(
G5072=""юридична особа""
,
VLOOKUP"&amp;"(H5072,IMPORTRANGE(""https://docs.google.com/spreadsheets/d/14Bd19lYaqBhU8_DElYkX7l4wRkHqqCUFNJY4AfY3kHU/edit?usp=sharing  #gid=0"",""фіз особи new!relations_name_uo""),7,FALSE)
,
)
))"),"КОПІН Роман Валентинович")</f>
        <v>КОПІН Роман Валентинович</v>
      </c>
      <c r="J5071" s="7" t="s">
        <v>29</v>
      </c>
    </row>
    <row r="5072" spans="1:10" ht="13.2">
      <c r="A5072" s="7">
        <v>5071</v>
      </c>
      <c r="B5072" s="7">
        <v>1</v>
      </c>
      <c r="C5072" s="7" t="s">
        <v>10</v>
      </c>
      <c r="D5072" s="7">
        <v>4196</v>
      </c>
      <c r="E5072" s="7" t="s">
        <v>30</v>
      </c>
      <c r="F5072" s="8" t="str">
        <f ca="1">IFERROR(__xludf.DUMMYFUNCTION("IF
(
C5073=""фізична особа""
,
VLOOKUP(D5073,IMPORTRANGE(""https://docs.google.com/spreadsheets/d/14Bd19lYaqBhU8_DElYkX7l4wRkHqqCUFNJY4AfY3kHU/edit?usp=sharing  #gid=0"",""фіз особи new!relations_name""),6,FALSE)
,
(IF
(
C5073=""юридична особа""
,
VLOOKUP"&amp;"(D5073,IMPORTRANGE(""https://docs.google.com/spreadsheets/d/14Bd19lYaqBhU8_DElYkX7l4wRkHqqCUFNJY4AfY3kHU/edit?usp=sharing  #gid=0"",""фіз особи new!relations_name_uo""),7,FALSE)
,
)
))"),"НІКОЛАЄВ Леонід Анатолійович")</f>
        <v>НІКОЛАЄВ Леонід Анатолійович</v>
      </c>
      <c r="G5072" s="7" t="s">
        <v>10</v>
      </c>
      <c r="H5072" s="7">
        <v>0</v>
      </c>
      <c r="I5072" s="8" t="str">
        <f ca="1">IFERROR(__xludf.DUMMYFUNCTION("IF
(
G5073=""фізична особа""
,
VLOOKUP(H5073,IMPORTRANGE(""https://docs.google.com/spreadsheets/d/14Bd19lYaqBhU8_DElYkX7l4wRkHqqCUFNJY4AfY3kHU/edit?usp=sharing  #gid=0"",""фіз особи new!relations_name""),6,FALSE)
,
(IF
(
G5073=""юридична особа""
,
VLOOKUP"&amp;"(H5073,IMPORTRANGE(""https://docs.google.com/spreadsheets/d/14Bd19lYaqBhU8_DElYkX7l4wRkHqqCUFNJY4AfY3kHU/edit?usp=sharing  #gid=0"",""фіз особи new!relations_name_uo""),7,FALSE)
,
)
))"),"#N/A")</f>
        <v>#N/A</v>
      </c>
      <c r="J5072" s="7" t="s">
        <v>30</v>
      </c>
    </row>
    <row r="5073" spans="1:10" ht="13.2">
      <c r="A5073" s="7">
        <v>5072</v>
      </c>
      <c r="B5073" s="7">
        <v>1</v>
      </c>
      <c r="C5073" s="7" t="s">
        <v>10</v>
      </c>
      <c r="D5073" s="7">
        <v>4196</v>
      </c>
      <c r="E5073" s="7" t="s">
        <v>29</v>
      </c>
      <c r="F5073" s="8" t="str">
        <f ca="1">IFERROR(__xludf.DUMMYFUNCTION("IF
(
C5074=""фізична особа""
,
VLOOKUP(D5074,IMPORTRANGE(""https://docs.google.com/spreadsheets/d/14Bd19lYaqBhU8_DElYkX7l4wRkHqqCUFNJY4AfY3kHU/edit?usp=sharing  #gid=0"",""фіз особи new!relations_name""),6,FALSE)
,
(IF
(
C5074=""юридична особа""
,
VLOOKUP"&amp;"(D5074,IMPORTRANGE(""https://docs.google.com/spreadsheets/d/14Bd19lYaqBhU8_DElYkX7l4wRkHqqCUFNJY4AfY3kHU/edit?usp=sharing  #gid=0"",""фіз особи new!relations_name_uo""),7,FALSE)
,
)
))"),"НІКОЛАЄВ Леонід Анатолійович")</f>
        <v>НІКОЛАЄВ Леонід Анатолійович</v>
      </c>
      <c r="G5073" s="7" t="s">
        <v>10</v>
      </c>
      <c r="H5073" s="7">
        <v>0</v>
      </c>
      <c r="I5073" s="8" t="str">
        <f ca="1">IFERROR(__xludf.DUMMYFUNCTION("IF
(
G5074=""фізична особа""
,
VLOOKUP(H5074,IMPORTRANGE(""https://docs.google.com/spreadsheets/d/14Bd19lYaqBhU8_DElYkX7l4wRkHqqCUFNJY4AfY3kHU/edit?usp=sharing  #gid=0"",""фіз особи new!relations_name""),6,FALSE)
,
(IF
(
G5074=""юридична особа""
,
VLOOKUP"&amp;"(H5074,IMPORTRANGE(""https://docs.google.com/spreadsheets/d/14Bd19lYaqBhU8_DElYkX7l4wRkHqqCUFNJY4AfY3kHU/edit?usp=sharing  #gid=0"",""фіз особи new!relations_name_uo""),7,FALSE)
,
)
))"),"#N/A")</f>
        <v>#N/A</v>
      </c>
      <c r="J5073" s="7" t="s">
        <v>28</v>
      </c>
    </row>
    <row r="5074" spans="1:10" ht="13.2">
      <c r="A5074" s="7">
        <v>5073</v>
      </c>
      <c r="B5074" s="7">
        <v>1</v>
      </c>
      <c r="C5074" s="7" t="s">
        <v>10</v>
      </c>
      <c r="D5074" s="7">
        <v>4196</v>
      </c>
      <c r="E5074" s="7" t="s">
        <v>29</v>
      </c>
      <c r="F5074" s="8" t="str">
        <f ca="1">IFERROR(__xludf.DUMMYFUNCTION("IF
(
C5075=""фізична особа""
,
VLOOKUP(D5075,IMPORTRANGE(""https://docs.google.com/spreadsheets/d/14Bd19lYaqBhU8_DElYkX7l4wRkHqqCUFNJY4AfY3kHU/edit?usp=sharing  #gid=0"",""фіз особи new!relations_name""),6,FALSE)
,
(IF
(
C5075=""юридична особа""
,
VLOOKUP"&amp;"(D5075,IMPORTRANGE(""https://docs.google.com/spreadsheets/d/14Bd19lYaqBhU8_DElYkX7l4wRkHqqCUFNJY4AfY3kHU/edit?usp=sharing  #gid=0"",""фіз особи new!relations_name_uo""),7,FALSE)
,
)
))"),"НІКОЛАЄВ Леонід Анатолійович")</f>
        <v>НІКОЛАЄВ Леонід Анатолійович</v>
      </c>
      <c r="G5074" s="7" t="s">
        <v>10</v>
      </c>
      <c r="H5074" s="7">
        <v>0</v>
      </c>
      <c r="I5074" s="8" t="str">
        <f ca="1">IFERROR(__xludf.DUMMYFUNCTION("IF
(
G5075=""фізична особа""
,
VLOOKUP(H5075,IMPORTRANGE(""https://docs.google.com/spreadsheets/d/14Bd19lYaqBhU8_DElYkX7l4wRkHqqCUFNJY4AfY3kHU/edit?usp=sharing  #gid=0"",""фіз особи new!relations_name""),6,FALSE)
,
(IF
(
G5075=""юридична особа""
,
VLOOKUP"&amp;"(H5075,IMPORTRANGE(""https://docs.google.com/spreadsheets/d/14Bd19lYaqBhU8_DElYkX7l4wRkHqqCUFNJY4AfY3kHU/edit?usp=sharing  #gid=0"",""фіз особи new!relations_name_uo""),7,FALSE)
,
)
))"),"#N/A")</f>
        <v>#N/A</v>
      </c>
      <c r="J5074" s="7" t="s">
        <v>28</v>
      </c>
    </row>
    <row r="5075" spans="1:10" ht="13.2">
      <c r="A5075" s="7">
        <v>5074</v>
      </c>
      <c r="B5075" s="7">
        <v>1</v>
      </c>
      <c r="C5075" s="7" t="s">
        <v>10</v>
      </c>
      <c r="D5075" s="7">
        <v>4196</v>
      </c>
      <c r="E5075" s="7" t="s">
        <v>30</v>
      </c>
      <c r="F5075" s="8" t="str">
        <f ca="1">IFERROR(__xludf.DUMMYFUNCTION("IF
(
C5076=""фізична особа""
,
VLOOKUP(D5076,IMPORTRANGE(""https://docs.google.com/spreadsheets/d/14Bd19lYaqBhU8_DElYkX7l4wRkHqqCUFNJY4AfY3kHU/edit?usp=sharing  #gid=0"",""фіз особи new!relations_name""),6,FALSE)
,
(IF
(
C5076=""юридична особа""
,
VLOOKUP"&amp;"(D5076,IMPORTRANGE(""https://docs.google.com/spreadsheets/d/14Bd19lYaqBhU8_DElYkX7l4wRkHqqCUFNJY4AfY3kHU/edit?usp=sharing  #gid=0"",""фіз особи new!relations_name_uo""),7,FALSE)
,
)
))"),"НІКОЛАЄВ Леонід Анатолійович")</f>
        <v>НІКОЛАЄВ Леонід Анатолійович</v>
      </c>
      <c r="G5075" s="7" t="s">
        <v>10</v>
      </c>
      <c r="H5075" s="7">
        <v>0</v>
      </c>
      <c r="I5075" s="8" t="str">
        <f ca="1">IFERROR(__xludf.DUMMYFUNCTION("IF
(
G5076=""фізична особа""
,
VLOOKUP(H5076,IMPORTRANGE(""https://docs.google.com/spreadsheets/d/14Bd19lYaqBhU8_DElYkX7l4wRkHqqCUFNJY4AfY3kHU/edit?usp=sharing  #gid=0"",""фіз особи new!relations_name""),6,FALSE)
,
(IF
(
G5076=""юридична особа""
,
VLOOKUP"&amp;"(H5076,IMPORTRANGE(""https://docs.google.com/spreadsheets/d/14Bd19lYaqBhU8_DElYkX7l4wRkHqqCUFNJY4AfY3kHU/edit?usp=sharing  #gid=0"",""фіз особи new!relations_name_uo""),7,FALSE)
,
)
))"),"#N/A")</f>
        <v>#N/A</v>
      </c>
      <c r="J5075" s="7" t="s">
        <v>30</v>
      </c>
    </row>
    <row r="5076" spans="1:10" ht="13.2">
      <c r="A5076" s="7">
        <v>5075</v>
      </c>
      <c r="B5076" s="7">
        <v>1</v>
      </c>
      <c r="C5076" s="7" t="s">
        <v>10</v>
      </c>
      <c r="D5076" s="7">
        <v>4197</v>
      </c>
      <c r="E5076" s="7" t="s">
        <v>28</v>
      </c>
      <c r="F5076" s="8" t="str">
        <f ca="1">IFERROR(__xludf.DUMMYFUNCTION("IF
(
C5077=""фізична особа""
,
VLOOKUP(D5077,IMPORTRANGE(""https://docs.google.com/spreadsheets/d/14Bd19lYaqBhU8_DElYkX7l4wRkHqqCUFNJY4AfY3kHU/edit?usp=sharing  #gid=0"",""фіз особи new!relations_name""),6,FALSE)
,
(IF
(
C5077=""юридична особа""
,
VLOOKUP"&amp;"(D5077,IMPORTRANGE(""https://docs.google.com/spreadsheets/d/14Bd19lYaqBhU8_DElYkX7l4wRkHqqCUFNJY4AfY3kHU/edit?usp=sharing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G5076" s="7" t="s">
        <v>10</v>
      </c>
      <c r="H5076" s="7">
        <v>2534</v>
      </c>
      <c r="I5076" s="8" t="str">
        <f ca="1">IFERROR(__xludf.DUMMYFUNCTION("IF
(
G5077=""фізична особа""
,
VLOOKUP(H5077,IMPORTRANGE(""https://docs.google.com/spreadsheets/d/14Bd19lYaqBhU8_DElYkX7l4wRkHqqCUFNJY4AfY3kHU/edit?usp=sharing  #gid=0"",""фіз особи new!relations_name""),6,FALSE)
,
(IF
(
G5077=""юридична особа""
,
VLOOKUP"&amp;"(H5077,IMPORTRANGE(""https://docs.google.com/spreadsheets/d/14Bd19lYaqBhU8_DElYkX7l4wRkHqqCUFNJY4AfY3kHU/edit?usp=sharing  #gid=0"",""фіз особи new!relations_name_uo""),7,FALSE)
,
)
))"),"КОБЗЄВ Ігор Іванович")</f>
        <v>КОБЗЄВ Ігор Іванович</v>
      </c>
      <c r="J5076" s="7" t="s">
        <v>29</v>
      </c>
    </row>
    <row r="5077" spans="1:10" ht="13.2">
      <c r="A5077" s="7">
        <v>5076</v>
      </c>
      <c r="B5077" s="7">
        <v>1</v>
      </c>
      <c r="C5077" s="7" t="s">
        <v>10</v>
      </c>
      <c r="D5077" s="7">
        <v>4197</v>
      </c>
      <c r="E5077" s="7" t="s">
        <v>29</v>
      </c>
      <c r="F5077" s="8" t="str">
        <f ca="1">IFERROR(__xludf.DUMMYFUNCTION("IF
(
C5078=""фізична особа""
,
VLOOKUP(D5078,IMPORTRANGE(""https://docs.google.com/spreadsheets/d/14Bd19lYaqBhU8_DElYkX7l4wRkHqqCUFNJY4AfY3kHU/edit?usp=sharing  #gid=0"",""фіз особи new!relations_name""),6,FALSE)
,
(IF
(
C5078=""юридична особа""
,
VLOOKUP"&amp;"(D5078,IMPORTRANGE(""https://docs.google.com/spreadsheets/d/14Bd19lYaqBhU8_DElYkX7l4wRkHqqCUFNJY4AfY3kHU/edit?usp=sharing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G5077" s="7" t="s">
        <v>10</v>
      </c>
      <c r="H5077" s="7">
        <v>0</v>
      </c>
      <c r="I5077" s="8" t="str">
        <f ca="1">IFERROR(__xludf.DUMMYFUNCTION("IF
(
G5078=""фізична особа""
,
VLOOKUP(H5078,IMPORTRANGE(""https://docs.google.com/spreadsheets/d/14Bd19lYaqBhU8_DElYkX7l4wRkHqqCUFNJY4AfY3kHU/edit?usp=sharing  #gid=0"",""фіз особи new!relations_name""),6,FALSE)
,
(IF
(
G5078=""юридична особа""
,
VLOOKUP"&amp;"(H5078,IMPORTRANGE(""https://docs.google.com/spreadsheets/d/14Bd19lYaqBhU8_DElYkX7l4wRkHqqCUFNJY4AfY3kHU/edit?usp=sharing  #gid=0"",""фіз особи new!relations_name_uo""),7,FALSE)
,
)
))"),"#N/A")</f>
        <v>#N/A</v>
      </c>
      <c r="J5077" s="7" t="s">
        <v>28</v>
      </c>
    </row>
    <row r="5078" spans="1:10" ht="13.2">
      <c r="A5078" s="7">
        <v>5077</v>
      </c>
      <c r="B5078" s="7">
        <v>1</v>
      </c>
      <c r="C5078" s="7" t="s">
        <v>10</v>
      </c>
      <c r="D5078" s="7">
        <v>4197</v>
      </c>
      <c r="E5078" s="7" t="s">
        <v>29</v>
      </c>
      <c r="F5078" s="8" t="str">
        <f ca="1">IFERROR(__xludf.DUMMYFUNCTION("IF
(
C5079=""фізична особа""
,
VLOOKUP(D5079,IMPORTRANGE(""https://docs.google.com/spreadsheets/d/14Bd19lYaqBhU8_DElYkX7l4wRkHqqCUFNJY4AfY3kHU/edit?usp=sharing  #gid=0"",""фіз особи new!relations_name""),6,FALSE)
,
(IF
(
C5079=""юридична особа""
,
VLOOKUP"&amp;"(D5079,IMPORTRANGE(""https://docs.google.com/spreadsheets/d/14Bd19lYaqBhU8_DElYkX7l4wRkHqqCUFNJY4AfY3kHU/edit?usp=sharing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G5078" s="7" t="s">
        <v>10</v>
      </c>
      <c r="H5078" s="7">
        <v>0</v>
      </c>
      <c r="I5078" s="8" t="str">
        <f ca="1">IFERROR(__xludf.DUMMYFUNCTION("IF
(
G5079=""фізична особа""
,
VLOOKUP(H5079,IMPORTRANGE(""https://docs.google.com/spreadsheets/d/14Bd19lYaqBhU8_DElYkX7l4wRkHqqCUFNJY4AfY3kHU/edit?usp=sharing  #gid=0"",""фіз особи new!relations_name""),6,FALSE)
,
(IF
(
G5079=""юридична особа""
,
VLOOKUP"&amp;"(H5079,IMPORTRANGE(""https://docs.google.com/spreadsheets/d/14Bd19lYaqBhU8_DElYkX7l4wRkHqqCUFNJY4AfY3kHU/edit?usp=sharing  #gid=0"",""фіз особи new!relations_name_uo""),7,FALSE)
,
)
))"),"#N/A")</f>
        <v>#N/A</v>
      </c>
      <c r="J5078" s="7" t="s">
        <v>28</v>
      </c>
    </row>
    <row r="5079" spans="1:10" ht="13.2">
      <c r="A5079" s="7">
        <v>5078</v>
      </c>
      <c r="B5079" s="7">
        <v>1</v>
      </c>
      <c r="C5079" s="7" t="s">
        <v>10</v>
      </c>
      <c r="D5079" s="7">
        <v>4197</v>
      </c>
      <c r="E5079" s="7" t="s">
        <v>29</v>
      </c>
      <c r="F5079" s="8" t="str">
        <f ca="1">IFERROR(__xludf.DUMMYFUNCTION("IF
(
C5080=""фізична особа""
,
VLOOKUP(D5080,IMPORTRANGE(""https://docs.google.com/spreadsheets/d/14Bd19lYaqBhU8_DElYkX7l4wRkHqqCUFNJY4AfY3kHU/edit?usp=sharing  #gid=0"",""фіз особи new!relations_name""),6,FALSE)
,
(IF
(
C5080=""юридична особа""
,
VLOOKUP"&amp;"(D5080,IMPORTRANGE(""https://docs.google.com/spreadsheets/d/14Bd19lYaqBhU8_DElYkX7l4wRkHqqCUFNJY4AfY3kHU/edit?usp=sharing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G5079" s="7" t="s">
        <v>10</v>
      </c>
      <c r="H5079" s="7">
        <v>0</v>
      </c>
      <c r="I5079" s="8" t="str">
        <f ca="1">IFERROR(__xludf.DUMMYFUNCTION("IF
(
G5080=""фізична особа""
,
VLOOKUP(H5080,IMPORTRANGE(""https://docs.google.com/spreadsheets/d/14Bd19lYaqBhU8_DElYkX7l4wRkHqqCUFNJY4AfY3kHU/edit?usp=sharing  #gid=0"",""фіз особи new!relations_name""),6,FALSE)
,
(IF
(
G5080=""юридична особа""
,
VLOOKUP"&amp;"(H5080,IMPORTRANGE(""https://docs.google.com/spreadsheets/d/14Bd19lYaqBhU8_DElYkX7l4wRkHqqCUFNJY4AfY3kHU/edit?usp=sharing  #gid=0"",""фіз особи new!relations_name_uo""),7,FALSE)
,
)
))"),"#N/A")</f>
        <v>#N/A</v>
      </c>
      <c r="J5079" s="7" t="s">
        <v>28</v>
      </c>
    </row>
    <row r="5080" spans="1:10" ht="13.2">
      <c r="A5080" s="7">
        <v>5079</v>
      </c>
      <c r="B5080" s="7">
        <v>1</v>
      </c>
      <c r="C5080" s="7" t="s">
        <v>10</v>
      </c>
      <c r="D5080" s="7">
        <v>4197</v>
      </c>
      <c r="E5080" s="7" t="s">
        <v>29</v>
      </c>
      <c r="F5080" s="8" t="str">
        <f ca="1">IFERROR(__xludf.DUMMYFUNCTION("IF
(
C5081=""фізична особа""
,
VLOOKUP(D5081,IMPORTRANGE(""https://docs.google.com/spreadsheets/d/14Bd19lYaqBhU8_DElYkX7l4wRkHqqCUFNJY4AfY3kHU/edit?usp=sharing  #gid=0"",""фіз особи new!relations_name""),6,FALSE)
,
(IF
(
C5081=""юридична особа""
,
VLOOKUP"&amp;"(D5081,IMPORTRANGE(""https://docs.google.com/spreadsheets/d/14Bd19lYaqBhU8_DElYkX7l4wRkHqqCUFNJY4AfY3kHU/edit?usp=sharing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G5080" s="7" t="s">
        <v>10</v>
      </c>
      <c r="H5080" s="7">
        <v>0</v>
      </c>
      <c r="I5080" s="8" t="str">
        <f ca="1">IFERROR(__xludf.DUMMYFUNCTION("IF
(
G5081=""фізична особа""
,
VLOOKUP(H5081,IMPORTRANGE(""https://docs.google.com/spreadsheets/d/14Bd19lYaqBhU8_DElYkX7l4wRkHqqCUFNJY4AfY3kHU/edit?usp=sharing  #gid=0"",""фіз особи new!relations_name""),6,FALSE)
,
(IF
(
G5081=""юридична особа""
,
VLOOKUP"&amp;"(H5081,IMPORTRANGE(""https://docs.google.com/spreadsheets/d/14Bd19lYaqBhU8_DElYkX7l4wRkHqqCUFNJY4AfY3kHU/edit?usp=sharing  #gid=0"",""фіз особи new!relations_name_uo""),7,FALSE)
,
)
))"),"#N/A")</f>
        <v>#N/A</v>
      </c>
      <c r="J5080" s="7" t="s">
        <v>28</v>
      </c>
    </row>
    <row r="5081" spans="1:10" ht="13.2">
      <c r="A5081" s="7">
        <v>5080</v>
      </c>
      <c r="B5081" s="7">
        <v>1</v>
      </c>
      <c r="C5081" s="7" t="s">
        <v>10</v>
      </c>
      <c r="D5081" s="7">
        <v>4198</v>
      </c>
      <c r="E5081" s="7" t="s">
        <v>28</v>
      </c>
      <c r="F5081" s="8" t="str">
        <f ca="1">IFERROR(__xludf.DUMMYFUNCTION("IF
(
C5082=""фізична особа""
,
VLOOKUP(D5082,IMPORTRANGE(""https://docs.google.com/spreadsheets/d/14Bd19lYaqBhU8_DElYkX7l4wRkHqqCUFNJY4AfY3kHU/edit?usp=sharing  #gid=0"",""фіз особи new!relations_name""),6,FALSE)
,
(IF
(
C5082=""юридична особа""
,
VLOOKUP"&amp;"(D5082,IMPORTRANGE(""https://docs.google.com/spreadsheets/d/14Bd19lYaqBhU8_DElYkX7l4wRkHqqCUFNJY4AfY3kHU/edit?usp=sharing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1" s="7" t="s">
        <v>10</v>
      </c>
      <c r="H5081" s="7">
        <v>2521</v>
      </c>
      <c r="I5081" s="8" t="str">
        <f ca="1">IFERROR(__xludf.DUMMYFUNCTION("IF
(
G5082=""фізична особа""
,
VLOOKUP(H5082,IMPORTRANGE(""https://docs.google.com/spreadsheets/d/14Bd19lYaqBhU8_DElYkX7l4wRkHqqCUFNJY4AfY3kHU/edit?usp=sharing  #gid=0"",""фіз особи new!relations_name""),6,FALSE)
,
(IF
(
G5082=""юридична особа""
,
VLOOKUP"&amp;"(H5082,IMPORTRANGE(""https://docs.google.com/spreadsheets/d/14Bd19lYaqBhU8_DElYkX7l4wRkHqqCUFNJY4AfY3kHU/edit?usp=sharing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J5081" s="7" t="s">
        <v>29</v>
      </c>
    </row>
    <row r="5082" spans="1:10" ht="13.2">
      <c r="A5082" s="7">
        <v>5081</v>
      </c>
      <c r="B5082" s="7">
        <v>1</v>
      </c>
      <c r="C5082" s="7" t="s">
        <v>10</v>
      </c>
      <c r="D5082" s="7">
        <v>4198</v>
      </c>
      <c r="E5082" s="7" t="s">
        <v>29</v>
      </c>
      <c r="F5082" s="8" t="str">
        <f ca="1">IFERROR(__xludf.DUMMYFUNCTION("IF
(
C5083=""фізична особа""
,
VLOOKUP(D5083,IMPORTRANGE(""https://docs.google.com/spreadsheets/d/14Bd19lYaqBhU8_DElYkX7l4wRkHqqCUFNJY4AfY3kHU/edit?usp=sharing  #gid=0"",""фіз особи new!relations_name""),6,FALSE)
,
(IF
(
C5083=""юридична особа""
,
VLOOKUP"&amp;"(D5083,IMPORTRANGE(""https://docs.google.com/spreadsheets/d/14Bd19lYaqBhU8_DElYkX7l4wRkHqqCUFNJY4AfY3kHU/edit?usp=sharing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2" s="7" t="s">
        <v>10</v>
      </c>
      <c r="H5082" s="7">
        <v>0</v>
      </c>
      <c r="I5082" s="8" t="str">
        <f ca="1">IFERROR(__xludf.DUMMYFUNCTION("IF
(
G5083=""фізична особа""
,
VLOOKUP(H5083,IMPORTRANGE(""https://docs.google.com/spreadsheets/d/14Bd19lYaqBhU8_DElYkX7l4wRkHqqCUFNJY4AfY3kHU/edit?usp=sharing  #gid=0"",""фіз особи new!relations_name""),6,FALSE)
,
(IF
(
G5083=""юридична особа""
,
VLOOKUP"&amp;"(H5083,IMPORTRANGE(""https://docs.google.com/spreadsheets/d/14Bd19lYaqBhU8_DElYkX7l4wRkHqqCUFNJY4AfY3kHU/edit?usp=sharing  #gid=0"",""фіз особи new!relations_name_uo""),7,FALSE)
,
)
))"),"#N/A")</f>
        <v>#N/A</v>
      </c>
      <c r="J5082" s="7" t="s">
        <v>28</v>
      </c>
    </row>
    <row r="5083" spans="1:10" ht="13.2">
      <c r="A5083" s="7">
        <v>5082</v>
      </c>
      <c r="B5083" s="7">
        <v>1</v>
      </c>
      <c r="C5083" s="7" t="s">
        <v>10</v>
      </c>
      <c r="D5083" s="7">
        <v>4198</v>
      </c>
      <c r="E5083" s="7" t="s">
        <v>29</v>
      </c>
      <c r="F5083" s="8" t="str">
        <f ca="1">IFERROR(__xludf.DUMMYFUNCTION("IF
(
C5084=""фізична особа""
,
VLOOKUP(D5084,IMPORTRANGE(""https://docs.google.com/spreadsheets/d/14Bd19lYaqBhU8_DElYkX7l4wRkHqqCUFNJY4AfY3kHU/edit?usp=sharing  #gid=0"",""фіз особи new!relations_name""),6,FALSE)
,
(IF
(
C5084=""юридична особа""
,
VLOOKUP"&amp;"(D5084,IMPORTRANGE(""https://docs.google.com/spreadsheets/d/14Bd19lYaqBhU8_DElYkX7l4wRkHqqCUFNJY4AfY3kHU/edit?usp=sharing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3" s="7" t="s">
        <v>10</v>
      </c>
      <c r="H5083" s="7">
        <v>0</v>
      </c>
      <c r="I5083" s="8" t="str">
        <f ca="1">IFERROR(__xludf.DUMMYFUNCTION("IF
(
G5084=""фізична особа""
,
VLOOKUP(H5084,IMPORTRANGE(""https://docs.google.com/spreadsheets/d/14Bd19lYaqBhU8_DElYkX7l4wRkHqqCUFNJY4AfY3kHU/edit?usp=sharing  #gid=0"",""фіз особи new!relations_name""),6,FALSE)
,
(IF
(
G5084=""юридична особа""
,
VLOOKUP"&amp;"(H5084,IMPORTRANGE(""https://docs.google.com/spreadsheets/d/14Bd19lYaqBhU8_DElYkX7l4wRkHqqCUFNJY4AfY3kHU/edit?usp=sharing  #gid=0"",""фіз особи new!relations_name_uo""),7,FALSE)
,
)
))"),"#N/A")</f>
        <v>#N/A</v>
      </c>
      <c r="J5083" s="7" t="s">
        <v>28</v>
      </c>
    </row>
    <row r="5084" spans="1:10" ht="13.2">
      <c r="A5084" s="7">
        <v>5083</v>
      </c>
      <c r="B5084" s="7">
        <v>1</v>
      </c>
      <c r="C5084" s="7" t="s">
        <v>10</v>
      </c>
      <c r="D5084" s="7">
        <v>4198</v>
      </c>
      <c r="E5084" s="7" t="s">
        <v>29</v>
      </c>
      <c r="F5084" s="8" t="str">
        <f ca="1">IFERROR(__xludf.DUMMYFUNCTION("IF
(
C5085=""фізична особа""
,
VLOOKUP(D5085,IMPORTRANGE(""https://docs.google.com/spreadsheets/d/14Bd19lYaqBhU8_DElYkX7l4wRkHqqCUFNJY4AfY3kHU/edit?usp=sharing  #gid=0"",""фіз особи new!relations_name""),6,FALSE)
,
(IF
(
C5085=""юридична особа""
,
VLOOKUP"&amp;"(D5085,IMPORTRANGE(""https://docs.google.com/spreadsheets/d/14Bd19lYaqBhU8_DElYkX7l4wRkHqqCUFNJY4AfY3kHU/edit?usp=sharing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4" s="7" t="s">
        <v>10</v>
      </c>
      <c r="H5084" s="7">
        <v>0</v>
      </c>
      <c r="I5084" s="8" t="str">
        <f ca="1">IFERROR(__xludf.DUMMYFUNCTION("IF
(
G5085=""фізична особа""
,
VLOOKUP(H5085,IMPORTRANGE(""https://docs.google.com/spreadsheets/d/14Bd19lYaqBhU8_DElYkX7l4wRkHqqCUFNJY4AfY3kHU/edit?usp=sharing  #gid=0"",""фіз особи new!relations_name""),6,FALSE)
,
(IF
(
G5085=""юридична особа""
,
VLOOKUP"&amp;"(H5085,IMPORTRANGE(""https://docs.google.com/spreadsheets/d/14Bd19lYaqBhU8_DElYkX7l4wRkHqqCUFNJY4AfY3kHU/edit?usp=sharing  #gid=0"",""фіз особи new!relations_name_uo""),7,FALSE)
,
)
))"),"#N/A")</f>
        <v>#N/A</v>
      </c>
      <c r="J5084" s="7" t="s">
        <v>28</v>
      </c>
    </row>
    <row r="5085" spans="1:10" ht="13.2">
      <c r="A5085" s="7">
        <v>5084</v>
      </c>
      <c r="B5085" s="7">
        <v>1</v>
      </c>
      <c r="C5085" s="7" t="s">
        <v>10</v>
      </c>
      <c r="D5085" s="7">
        <v>4198</v>
      </c>
      <c r="E5085" s="7" t="s">
        <v>29</v>
      </c>
      <c r="F5085" s="8" t="str">
        <f ca="1">IFERROR(__xludf.DUMMYFUNCTION("IF
(
C5086=""фізична особа""
,
VLOOKUP(D5086,IMPORTRANGE(""https://docs.google.com/spreadsheets/d/14Bd19lYaqBhU8_DElYkX7l4wRkHqqCUFNJY4AfY3kHU/edit?usp=sharing  #gid=0"",""фіз особи new!relations_name""),6,FALSE)
,
(IF
(
C5086=""юридична особа""
,
VLOOKUP"&amp;"(D5086,IMPORTRANGE(""https://docs.google.com/spreadsheets/d/14Bd19lYaqBhU8_DElYkX7l4wRkHqqCUFNJY4AfY3kHU/edit?usp=sharing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5" s="7" t="s">
        <v>10</v>
      </c>
      <c r="H5085" s="7">
        <v>0</v>
      </c>
      <c r="I5085" s="8" t="str">
        <f ca="1">IFERROR(__xludf.DUMMYFUNCTION("IF
(
G5086=""фізична особа""
,
VLOOKUP(H5086,IMPORTRANGE(""https://docs.google.com/spreadsheets/d/14Bd19lYaqBhU8_DElYkX7l4wRkHqqCUFNJY4AfY3kHU/edit?usp=sharing  #gid=0"",""фіз особи new!relations_name""),6,FALSE)
,
(IF
(
G5086=""юридична особа""
,
VLOOKUP"&amp;"(H5086,IMPORTRANGE(""https://docs.google.com/spreadsheets/d/14Bd19lYaqBhU8_DElYkX7l4wRkHqqCUFNJY4AfY3kHU/edit?usp=sharing  #gid=0"",""фіз особи new!relations_name_uo""),7,FALSE)
,
)
))"),"#N/A")</f>
        <v>#N/A</v>
      </c>
      <c r="J5085" s="7" t="s">
        <v>28</v>
      </c>
    </row>
    <row r="5086" spans="1:10" ht="13.2">
      <c r="A5086" s="7">
        <v>5085</v>
      </c>
      <c r="B5086" s="7">
        <v>1</v>
      </c>
      <c r="C5086" s="7" t="s">
        <v>10</v>
      </c>
      <c r="D5086" s="7">
        <v>4198</v>
      </c>
      <c r="E5086" s="7" t="s">
        <v>29</v>
      </c>
      <c r="F5086" s="8" t="str">
        <f ca="1">IFERROR(__xludf.DUMMYFUNCTION("IF
(
C5087=""фізична особа""
,
VLOOKUP(D5087,IMPORTRANGE(""https://docs.google.com/spreadsheets/d/14Bd19lYaqBhU8_DElYkX7l4wRkHqqCUFNJY4AfY3kHU/edit?usp=sharing  #gid=0"",""фіз особи new!relations_name""),6,FALSE)
,
(IF
(
C5087=""юридична особа""
,
VLOOKUP"&amp;"(D5087,IMPORTRANGE(""https://docs.google.com/spreadsheets/d/14Bd19lYaqBhU8_DElYkX7l4wRkHqqCUFNJY4AfY3kHU/edit?usp=sharing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6" s="7" t="s">
        <v>10</v>
      </c>
      <c r="H5086" s="7">
        <v>0</v>
      </c>
      <c r="I5086" s="8" t="str">
        <f ca="1">IFERROR(__xludf.DUMMYFUNCTION("IF
(
G5087=""фізична особа""
,
VLOOKUP(H5087,IMPORTRANGE(""https://docs.google.com/spreadsheets/d/14Bd19lYaqBhU8_DElYkX7l4wRkHqqCUFNJY4AfY3kHU/edit?usp=sharing  #gid=0"",""фіз особи new!relations_name""),6,FALSE)
,
(IF
(
G5087=""юридична особа""
,
VLOOKUP"&amp;"(H5087,IMPORTRANGE(""https://docs.google.com/spreadsheets/d/14Bd19lYaqBhU8_DElYkX7l4wRkHqqCUFNJY4AfY3kHU/edit?usp=sharing  #gid=0"",""фіз особи new!relations_name_uo""),7,FALSE)
,
)
))"),"#N/A")</f>
        <v>#N/A</v>
      </c>
      <c r="J5086" s="7" t="s">
        <v>28</v>
      </c>
    </row>
    <row r="5087" spans="1:10" ht="13.2">
      <c r="A5087" s="7">
        <v>5086</v>
      </c>
      <c r="B5087" s="7">
        <v>1</v>
      </c>
      <c r="C5087" s="7" t="s">
        <v>10</v>
      </c>
      <c r="D5087" s="7">
        <v>4198</v>
      </c>
      <c r="E5087" s="7" t="s">
        <v>29</v>
      </c>
      <c r="F5087" s="8" t="str">
        <f ca="1">IFERROR(__xludf.DUMMYFUNCTION("IF
(
C5088=""фізична особа""
,
VLOOKUP(D5088,IMPORTRANGE(""https://docs.google.com/spreadsheets/d/14Bd19lYaqBhU8_DElYkX7l4wRkHqqCUFNJY4AfY3kHU/edit?usp=sharing  #gid=0"",""фіз особи new!relations_name""),6,FALSE)
,
(IF
(
C5088=""юридична особа""
,
VLOOKUP"&amp;"(D5088,IMPORTRANGE(""https://docs.google.com/spreadsheets/d/14Bd19lYaqBhU8_DElYkX7l4wRkHqqCUFNJY4AfY3kHU/edit?usp=sharing  #gid=0"",""фіз особи new!relations_name_uo""),7,FALSE)
,
)
))"),"ХАРЧЕНКО Андрій Юрійович")</f>
        <v>ХАРЧЕНКО Андрій Юрійович</v>
      </c>
      <c r="G5087" s="7" t="s">
        <v>10</v>
      </c>
      <c r="H5087" s="7">
        <v>0</v>
      </c>
      <c r="I5087" s="8" t="str">
        <f ca="1">IFERROR(__xludf.DUMMYFUNCTION("IF
(
G5088=""фізична особа""
,
VLOOKUP(H5088,IMPORTRANGE(""https://docs.google.com/spreadsheets/d/14Bd19lYaqBhU8_DElYkX7l4wRkHqqCUFNJY4AfY3kHU/edit?usp=sharing  #gid=0"",""фіз особи new!relations_name""),6,FALSE)
,
(IF
(
G5088=""юридична особа""
,
VLOOKUP"&amp;"(H5088,IMPORTRANGE(""https://docs.google.com/spreadsheets/d/14Bd19lYaqBhU8_DElYkX7l4wRkHqqCUFNJY4AfY3kHU/edit?usp=sharing  #gid=0"",""фіз особи new!relations_name_uo""),7,FALSE)
,
)
))"),"#N/A")</f>
        <v>#N/A</v>
      </c>
      <c r="J5087" s="7" t="s">
        <v>28</v>
      </c>
    </row>
    <row r="5088" spans="1:10" ht="13.2">
      <c r="A5088" s="7">
        <v>5087</v>
      </c>
      <c r="B5088" s="7">
        <v>1</v>
      </c>
      <c r="C5088" s="7" t="s">
        <v>10</v>
      </c>
      <c r="D5088" s="7">
        <v>4199</v>
      </c>
      <c r="E5088" s="7" t="s">
        <v>28</v>
      </c>
      <c r="F5088" s="8" t="str">
        <f ca="1">IFERROR(__xludf.DUMMYFUNCTION("IF
(
C5089=""фізична особа""
,
VLOOKUP(D5089,IMPORTRANGE(""https://docs.google.com/spreadsheets/d/14Bd19lYaqBhU8_DElYkX7l4wRkHqqCUFNJY4AfY3kHU/edit?usp=sharing  #gid=0"",""фіз особи new!relations_name""),6,FALSE)
,
(IF
(
C5089=""юридична особа""
,
VLOOKUP"&amp;"(D5089,IMPORTRANGE(""https://docs.google.com/spreadsheets/d/14Bd19lYaqBhU8_DElYkX7l4wRkHqqCUFNJY4AfY3kHU/edit?usp=sharing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88" s="7" t="s">
        <v>10</v>
      </c>
      <c r="H5088" s="7">
        <v>2558</v>
      </c>
      <c r="I5088" s="8" t="str">
        <f ca="1">IFERROR(__xludf.DUMMYFUNCTION("IF
(
G5089=""фізична особа""
,
VLOOKUP(H5089,IMPORTRANGE(""https://docs.google.com/spreadsheets/d/14Bd19lYaqBhU8_DElYkX7l4wRkHqqCUFNJY4AfY3kHU/edit?usp=sharing  #gid=0"",""фіз особи new!relations_name""),6,FALSE)
,
(IF
(
G5089=""юридична особа""
,
VLOOKUP"&amp;"(H5089,IMPORTRANGE(""https://docs.google.com/spreadsheets/d/14Bd19lYaqBhU8_DElYkX7l4wRkHqqCUFNJY4AfY3kHU/edit?usp=sharing  #gid=0"",""фіз особи new!relations_name_uo""),7,FALSE)
,
)
))"),"РАДАЄВ Валерій Васильович")</f>
        <v>РАДАЄВ Валерій Васильович</v>
      </c>
      <c r="J5088" s="7" t="s">
        <v>29</v>
      </c>
    </row>
    <row r="5089" spans="1:10" ht="13.2">
      <c r="A5089" s="7">
        <v>5088</v>
      </c>
      <c r="B5089" s="7">
        <v>1</v>
      </c>
      <c r="C5089" s="7" t="s">
        <v>10</v>
      </c>
      <c r="D5089" s="7">
        <v>4199</v>
      </c>
      <c r="E5089" s="7" t="s">
        <v>29</v>
      </c>
      <c r="F5089" s="8" t="str">
        <f ca="1">IFERROR(__xludf.DUMMYFUNCTION("IF
(
C5090=""фізична особа""
,
VLOOKUP(D5090,IMPORTRANGE(""https://docs.google.com/spreadsheets/d/14Bd19lYaqBhU8_DElYkX7l4wRkHqqCUFNJY4AfY3kHU/edit?usp=sharing  #gid=0"",""фіз особи new!relations_name""),6,FALSE)
,
(IF
(
C5090=""юридична особа""
,
VLOOKUP"&amp;"(D5090,IMPORTRANGE(""https://docs.google.com/spreadsheets/d/14Bd19lYaqBhU8_DElYkX7l4wRkHqqCUFNJY4AfY3kHU/edit?usp=sharing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89" s="7" t="s">
        <v>10</v>
      </c>
      <c r="H5089" s="7">
        <v>0</v>
      </c>
      <c r="I5089" s="8" t="str">
        <f ca="1">IFERROR(__xludf.DUMMYFUNCTION("IF
(
G5090=""фізична особа""
,
VLOOKUP(H5090,IMPORTRANGE(""https://docs.google.com/spreadsheets/d/14Bd19lYaqBhU8_DElYkX7l4wRkHqqCUFNJY4AfY3kHU/edit?usp=sharing  #gid=0"",""фіз особи new!relations_name""),6,FALSE)
,
(IF
(
G5090=""юридична особа""
,
VLOOKUP"&amp;"(H5090,IMPORTRANGE(""https://docs.google.com/spreadsheets/d/14Bd19lYaqBhU8_DElYkX7l4wRkHqqCUFNJY4AfY3kHU/edit?usp=sharing  #gid=0"",""фіз особи new!relations_name_uo""),7,FALSE)
,
)
))"),"#N/A")</f>
        <v>#N/A</v>
      </c>
      <c r="J5089" s="7" t="s">
        <v>28</v>
      </c>
    </row>
    <row r="5090" spans="1:10" ht="13.2">
      <c r="A5090" s="7">
        <v>5089</v>
      </c>
      <c r="B5090" s="7">
        <v>1</v>
      </c>
      <c r="C5090" s="7" t="s">
        <v>10</v>
      </c>
      <c r="D5090" s="7">
        <v>4199</v>
      </c>
      <c r="E5090" s="7" t="s">
        <v>29</v>
      </c>
      <c r="F5090" s="8" t="str">
        <f ca="1">IFERROR(__xludf.DUMMYFUNCTION("IF
(
C5091=""фізична особа""
,
VLOOKUP(D5091,IMPORTRANGE(""https://docs.google.com/spreadsheets/d/14Bd19lYaqBhU8_DElYkX7l4wRkHqqCUFNJY4AfY3kHU/edit?usp=sharing  #gid=0"",""фіз особи new!relations_name""),6,FALSE)
,
(IF
(
C5091=""юридична особа""
,
VLOOKUP"&amp;"(D5091,IMPORTRANGE(""https://docs.google.com/spreadsheets/d/14Bd19lYaqBhU8_DElYkX7l4wRkHqqCUFNJY4AfY3kHU/edit?usp=sharing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90" s="7" t="s">
        <v>10</v>
      </c>
      <c r="H5090" s="7">
        <v>0</v>
      </c>
      <c r="I5090" s="8" t="str">
        <f ca="1">IFERROR(__xludf.DUMMYFUNCTION("IF
(
G5091=""фізична особа""
,
VLOOKUP(H5091,IMPORTRANGE(""https://docs.google.com/spreadsheets/d/14Bd19lYaqBhU8_DElYkX7l4wRkHqqCUFNJY4AfY3kHU/edit?usp=sharing  #gid=0"",""фіз особи new!relations_name""),6,FALSE)
,
(IF
(
G5091=""юридична особа""
,
VLOOKUP"&amp;"(H5091,IMPORTRANGE(""https://docs.google.com/spreadsheets/d/14Bd19lYaqBhU8_DElYkX7l4wRkHqqCUFNJY4AfY3kHU/edit?usp=sharing  #gid=0"",""фіз особи new!relations_name_uo""),7,FALSE)
,
)
))"),"#N/A")</f>
        <v>#N/A</v>
      </c>
      <c r="J5090" s="7" t="s">
        <v>28</v>
      </c>
    </row>
    <row r="5091" spans="1:10" ht="13.2">
      <c r="A5091" s="7">
        <v>5090</v>
      </c>
      <c r="B5091" s="7">
        <v>1</v>
      </c>
      <c r="C5091" s="7" t="s">
        <v>10</v>
      </c>
      <c r="D5091" s="7">
        <v>4199</v>
      </c>
      <c r="E5091" s="7" t="s">
        <v>29</v>
      </c>
      <c r="F5091" s="8" t="str">
        <f ca="1">IFERROR(__xludf.DUMMYFUNCTION("IF
(
C5092=""фізична особа""
,
VLOOKUP(D5092,IMPORTRANGE(""https://docs.google.com/spreadsheets/d/14Bd19lYaqBhU8_DElYkX7l4wRkHqqCUFNJY4AfY3kHU/edit?usp=sharing  #gid=0"",""фіз особи new!relations_name""),6,FALSE)
,
(IF
(
C5092=""юридична особа""
,
VLOOKUP"&amp;"(D5092,IMPORTRANGE(""https://docs.google.com/spreadsheets/d/14Bd19lYaqBhU8_DElYkX7l4wRkHqqCUFNJY4AfY3kHU/edit?usp=sharing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91" s="7" t="s">
        <v>10</v>
      </c>
      <c r="H5091" s="7">
        <v>0</v>
      </c>
      <c r="I5091" s="8" t="str">
        <f ca="1">IFERROR(__xludf.DUMMYFUNCTION("IF
(
G5092=""фізична особа""
,
VLOOKUP(H5092,IMPORTRANGE(""https://docs.google.com/spreadsheets/d/14Bd19lYaqBhU8_DElYkX7l4wRkHqqCUFNJY4AfY3kHU/edit?usp=sharing  #gid=0"",""фіз особи new!relations_name""),6,FALSE)
,
(IF
(
G5092=""юридична особа""
,
VLOOKUP"&amp;"(H5092,IMPORTRANGE(""https://docs.google.com/spreadsheets/d/14Bd19lYaqBhU8_DElYkX7l4wRkHqqCUFNJY4AfY3kHU/edit?usp=sharing  #gid=0"",""фіз особи new!relations_name_uo""),7,FALSE)
,
)
))"),"#N/A")</f>
        <v>#N/A</v>
      </c>
      <c r="J5091" s="7" t="s">
        <v>28</v>
      </c>
    </row>
    <row r="5092" spans="1:10" ht="13.2">
      <c r="A5092" s="7">
        <v>5091</v>
      </c>
      <c r="B5092" s="7">
        <v>1</v>
      </c>
      <c r="C5092" s="7" t="s">
        <v>10</v>
      </c>
      <c r="D5092" s="7">
        <v>4199</v>
      </c>
      <c r="E5092" s="7" t="s">
        <v>29</v>
      </c>
      <c r="F5092" s="8" t="str">
        <f ca="1">IFERROR(__xludf.DUMMYFUNCTION("IF
(
C5093=""фізична особа""
,
VLOOKUP(D5093,IMPORTRANGE(""https://docs.google.com/spreadsheets/d/14Bd19lYaqBhU8_DElYkX7l4wRkHqqCUFNJY4AfY3kHU/edit?usp=sharing  #gid=0"",""фіз особи new!relations_name""),6,FALSE)
,
(IF
(
C5093=""юридична особа""
,
VLOOKUP"&amp;"(D5093,IMPORTRANGE(""https://docs.google.com/spreadsheets/d/14Bd19lYaqBhU8_DElYkX7l4wRkHqqCUFNJY4AfY3kHU/edit?usp=sharing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92" s="7" t="s">
        <v>10</v>
      </c>
      <c r="H5092" s="7">
        <v>0</v>
      </c>
      <c r="I5092" s="8" t="str">
        <f ca="1">IFERROR(__xludf.DUMMYFUNCTION("IF
(
G5093=""фізична особа""
,
VLOOKUP(H5093,IMPORTRANGE(""https://docs.google.com/spreadsheets/d/14Bd19lYaqBhU8_DElYkX7l4wRkHqqCUFNJY4AfY3kHU/edit?usp=sharing  #gid=0"",""фіз особи new!relations_name""),6,FALSE)
,
(IF
(
G5093=""юридична особа""
,
VLOOKUP"&amp;"(H5093,IMPORTRANGE(""https://docs.google.com/spreadsheets/d/14Bd19lYaqBhU8_DElYkX7l4wRkHqqCUFNJY4AfY3kHU/edit?usp=sharing  #gid=0"",""фіз особи new!relations_name_uo""),7,FALSE)
,
)
))"),"#N/A")</f>
        <v>#N/A</v>
      </c>
      <c r="J5092" s="7" t="s">
        <v>28</v>
      </c>
    </row>
    <row r="5093" spans="1:10" ht="13.2">
      <c r="A5093" s="7">
        <v>5092</v>
      </c>
      <c r="B5093" s="7">
        <v>1</v>
      </c>
      <c r="C5093" s="7" t="s">
        <v>10</v>
      </c>
      <c r="D5093" s="7">
        <v>4199</v>
      </c>
      <c r="E5093" s="7" t="s">
        <v>29</v>
      </c>
      <c r="F5093" s="8" t="str">
        <f ca="1">IFERROR(__xludf.DUMMYFUNCTION("IF
(
C5094=""фізична особа""
,
VLOOKUP(D5094,IMPORTRANGE(""https://docs.google.com/spreadsheets/d/14Bd19lYaqBhU8_DElYkX7l4wRkHqqCUFNJY4AfY3kHU/edit?usp=sharing  #gid=0"",""фіз особи new!relations_name""),6,FALSE)
,
(IF
(
C5094=""юридична особа""
,
VLOOKUP"&amp;"(D5094,IMPORTRANGE(""https://docs.google.com/spreadsheets/d/14Bd19lYaqBhU8_DElYkX7l4wRkHqqCUFNJY4AfY3kHU/edit?usp=sharing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93" s="7" t="s">
        <v>10</v>
      </c>
      <c r="H5093" s="7">
        <v>0</v>
      </c>
      <c r="I5093" s="8" t="str">
        <f ca="1">IFERROR(__xludf.DUMMYFUNCTION("IF
(
G5094=""фізична особа""
,
VLOOKUP(H5094,IMPORTRANGE(""https://docs.google.com/spreadsheets/d/14Bd19lYaqBhU8_DElYkX7l4wRkHqqCUFNJY4AfY3kHU/edit?usp=sharing  #gid=0"",""фіз особи new!relations_name""),6,FALSE)
,
(IF
(
G5094=""юридична особа""
,
VLOOKUP"&amp;"(H5094,IMPORTRANGE(""https://docs.google.com/spreadsheets/d/14Bd19lYaqBhU8_DElYkX7l4wRkHqqCUFNJY4AfY3kHU/edit?usp=sharing  #gid=0"",""фіз особи new!relations_name_uo""),7,FALSE)
,
)
))"),"#N/A")</f>
        <v>#N/A</v>
      </c>
      <c r="J5093" s="7" t="s">
        <v>28</v>
      </c>
    </row>
    <row r="5094" spans="1:10" ht="13.2">
      <c r="A5094" s="7">
        <v>5093</v>
      </c>
      <c r="B5094" s="7">
        <v>1</v>
      </c>
      <c r="C5094" s="7" t="s">
        <v>10</v>
      </c>
      <c r="D5094" s="7">
        <v>4199</v>
      </c>
      <c r="E5094" s="7" t="s">
        <v>30</v>
      </c>
      <c r="F5094" s="8" t="str">
        <f ca="1">IFERROR(__xludf.DUMMYFUNCTION("IF
(
C5095=""фізична особа""
,
VLOOKUP(D5095,IMPORTRANGE(""https://docs.google.com/spreadsheets/d/14Bd19lYaqBhU8_DElYkX7l4wRkHqqCUFNJY4AfY3kHU/edit?usp=sharing  #gid=0"",""фіз особи new!relations_name""),6,FALSE)
,
(IF
(
C5095=""юридична особа""
,
VLOOKUP"&amp;"(D5095,IMPORTRANGE(""https://docs.google.com/spreadsheets/d/14Bd19lYaqBhU8_DElYkX7l4wRkHqqCUFNJY4AfY3kHU/edit?usp=sharing  #gid=0"",""фіз особи new!relations_name_uo""),7,FALSE)
,
)
))"),"ГРАЧЕВ Сергій Євгенович")</f>
        <v>ГРАЧЕВ Сергій Євгенович</v>
      </c>
      <c r="G5094" s="7" t="s">
        <v>10</v>
      </c>
      <c r="H5094" s="7">
        <v>0</v>
      </c>
      <c r="I5094" s="8" t="str">
        <f ca="1">IFERROR(__xludf.DUMMYFUNCTION("IF
(
G5095=""фізична особа""
,
VLOOKUP(H5095,IMPORTRANGE(""https://docs.google.com/spreadsheets/d/14Bd19lYaqBhU8_DElYkX7l4wRkHqqCUFNJY4AfY3kHU/edit?usp=sharing  #gid=0"",""фіз особи new!relations_name""),6,FALSE)
,
(IF
(
G5095=""юридична особа""
,
VLOOKUP"&amp;"(H5095,IMPORTRANGE(""https://docs.google.com/spreadsheets/d/14Bd19lYaqBhU8_DElYkX7l4wRkHqqCUFNJY4AfY3kHU/edit?usp=sharing  #gid=0"",""фіз особи new!relations_name_uo""),7,FALSE)
,
)
))"),"#N/A")</f>
        <v>#N/A</v>
      </c>
      <c r="J5094" s="7" t="s">
        <v>30</v>
      </c>
    </row>
    <row r="5095" spans="1:10" ht="13.2">
      <c r="A5095" s="7">
        <v>5094</v>
      </c>
      <c r="B5095" s="7">
        <v>1</v>
      </c>
      <c r="C5095" s="7" t="s">
        <v>10</v>
      </c>
      <c r="D5095" s="7">
        <v>4200</v>
      </c>
      <c r="E5095" s="7" t="s">
        <v>28</v>
      </c>
      <c r="F5095" s="8" t="str">
        <f ca="1">IFERROR(__xludf.DUMMYFUNCTION("IF
(
C5096=""фізична особа""
,
VLOOKUP(D5096,IMPORTRANGE(""https://docs.google.com/spreadsheets/d/14Bd19lYaqBhU8_DElYkX7l4wRkHqqCUFNJY4AfY3kHU/edit?usp=sharing  #gid=0"",""фіз особи new!relations_name""),6,FALSE)
,
(IF
(
C5096=""юридична особа""
,
VLOOKUP"&amp;"(D5096,IMPORTRANGE(""https://docs.google.com/spreadsheets/d/14Bd19lYaqBhU8_DElYkX7l4wRkHqqCUFNJY4AfY3kHU/edit?usp=sharing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095" s="7" t="s">
        <v>10</v>
      </c>
      <c r="H5095" s="7">
        <v>2517</v>
      </c>
      <c r="I5095" s="8" t="str">
        <f ca="1">IFERROR(__xludf.DUMMYFUNCTION("IF
(
G5096=""фізична особа""
,
VLOOKUP(H5096,IMPORTRANGE(""https://docs.google.com/spreadsheets/d/14Bd19lYaqBhU8_DElYkX7l4wRkHqqCUFNJY4AfY3kHU/edit?usp=sharing  #gid=0"",""фіз особи new!relations_name""),6,FALSE)
,
(IF
(
G5096=""юридична особа""
,
VLOOKUP"&amp;"(H5096,IMPORTRANGE(""https://docs.google.com/spreadsheets/d/14Bd19lYaqBhU8_DElYkX7l4wRkHqqCUFNJY4AfY3kHU/edit?usp=sharing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J5095" s="7" t="s">
        <v>29</v>
      </c>
    </row>
    <row r="5096" spans="1:10" ht="13.2">
      <c r="A5096" s="7">
        <v>5095</v>
      </c>
      <c r="B5096" s="7">
        <v>1</v>
      </c>
      <c r="C5096" s="7" t="s">
        <v>10</v>
      </c>
      <c r="D5096" s="7">
        <v>4200</v>
      </c>
      <c r="E5096" s="7" t="s">
        <v>29</v>
      </c>
      <c r="F5096" s="8" t="str">
        <f ca="1">IFERROR(__xludf.DUMMYFUNCTION("IF
(
C5097=""фізична особа""
,
VLOOKUP(D5097,IMPORTRANGE(""https://docs.google.com/spreadsheets/d/14Bd19lYaqBhU8_DElYkX7l4wRkHqqCUFNJY4AfY3kHU/edit?usp=sharing  #gid=0"",""фіз особи new!relations_name""),6,FALSE)
,
(IF
(
C5097=""юридична особа""
,
VLOOKUP"&amp;"(D5097,IMPORTRANGE(""https://docs.google.com/spreadsheets/d/14Bd19lYaqBhU8_DElYkX7l4wRkHqqCUFNJY4AfY3kHU/edit?usp=sharing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096" s="7" t="s">
        <v>10</v>
      </c>
      <c r="H5096" s="7">
        <v>0</v>
      </c>
      <c r="I5096" s="8" t="str">
        <f ca="1">IFERROR(__xludf.DUMMYFUNCTION("IF
(
G5097=""фізична особа""
,
VLOOKUP(H5097,IMPORTRANGE(""https://docs.google.com/spreadsheets/d/14Bd19lYaqBhU8_DElYkX7l4wRkHqqCUFNJY4AfY3kHU/edit?usp=sharing  #gid=0"",""фіз особи new!relations_name""),6,FALSE)
,
(IF
(
G5097=""юридична особа""
,
VLOOKUP"&amp;"(H5097,IMPORTRANGE(""https://docs.google.com/spreadsheets/d/14Bd19lYaqBhU8_DElYkX7l4wRkHqqCUFNJY4AfY3kHU/edit?usp=sharing  #gid=0"",""фіз особи new!relations_name_uo""),7,FALSE)
,
)
))"),"#N/A")</f>
        <v>#N/A</v>
      </c>
      <c r="J5096" s="7" t="s">
        <v>28</v>
      </c>
    </row>
    <row r="5097" spans="1:10" ht="13.2">
      <c r="A5097" s="7">
        <v>5096</v>
      </c>
      <c r="B5097" s="7">
        <v>1</v>
      </c>
      <c r="C5097" s="7" t="s">
        <v>10</v>
      </c>
      <c r="D5097" s="7">
        <v>4200</v>
      </c>
      <c r="E5097" s="7" t="s">
        <v>29</v>
      </c>
      <c r="F5097" s="8" t="str">
        <f ca="1">IFERROR(__xludf.DUMMYFUNCTION("IF
(
C5098=""фізична особа""
,
VLOOKUP(D5098,IMPORTRANGE(""https://docs.google.com/spreadsheets/d/14Bd19lYaqBhU8_DElYkX7l4wRkHqqCUFNJY4AfY3kHU/edit?usp=sharing  #gid=0"",""фіз особи new!relations_name""),6,FALSE)
,
(IF
(
C5098=""юридична особа""
,
VLOOKUP"&amp;"(D5098,IMPORTRANGE(""https://docs.google.com/spreadsheets/d/14Bd19lYaqBhU8_DElYkX7l4wRkHqqCUFNJY4AfY3kHU/edit?usp=sharing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097" s="7" t="s">
        <v>10</v>
      </c>
      <c r="H5097" s="7">
        <v>0</v>
      </c>
      <c r="I5097" s="8" t="str">
        <f ca="1">IFERROR(__xludf.DUMMYFUNCTION("IF
(
G5098=""фізична особа""
,
VLOOKUP(H5098,IMPORTRANGE(""https://docs.google.com/spreadsheets/d/14Bd19lYaqBhU8_DElYkX7l4wRkHqqCUFNJY4AfY3kHU/edit?usp=sharing  #gid=0"",""фіз особи new!relations_name""),6,FALSE)
,
(IF
(
G5098=""юридична особа""
,
VLOOKUP"&amp;"(H5098,IMPORTRANGE(""https://docs.google.com/spreadsheets/d/14Bd19lYaqBhU8_DElYkX7l4wRkHqqCUFNJY4AfY3kHU/edit?usp=sharing  #gid=0"",""фіз особи new!relations_name_uo""),7,FALSE)
,
)
))"),"#N/A")</f>
        <v>#N/A</v>
      </c>
      <c r="J5097" s="7" t="s">
        <v>28</v>
      </c>
    </row>
    <row r="5098" spans="1:10" ht="13.2">
      <c r="A5098" s="7">
        <v>5097</v>
      </c>
      <c r="B5098" s="7">
        <v>1</v>
      </c>
      <c r="C5098" s="7" t="s">
        <v>10</v>
      </c>
      <c r="D5098" s="7">
        <v>4200</v>
      </c>
      <c r="E5098" s="7" t="s">
        <v>29</v>
      </c>
      <c r="F5098" s="8" t="str">
        <f ca="1">IFERROR(__xludf.DUMMYFUNCTION("IF
(
C5099=""фізична особа""
,
VLOOKUP(D5099,IMPORTRANGE(""https://docs.google.com/spreadsheets/d/14Bd19lYaqBhU8_DElYkX7l4wRkHqqCUFNJY4AfY3kHU/edit?usp=sharing  #gid=0"",""фіз особи new!relations_name""),6,FALSE)
,
(IF
(
C5099=""юридична особа""
,
VLOOKUP"&amp;"(D5099,IMPORTRANGE(""https://docs.google.com/spreadsheets/d/14Bd19lYaqBhU8_DElYkX7l4wRkHqqCUFNJY4AfY3kHU/edit?usp=sharing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098" s="7" t="s">
        <v>10</v>
      </c>
      <c r="H5098" s="7">
        <v>0</v>
      </c>
      <c r="I5098" s="8" t="str">
        <f ca="1">IFERROR(__xludf.DUMMYFUNCTION("IF
(
G5099=""фізична особа""
,
VLOOKUP(H5099,IMPORTRANGE(""https://docs.google.com/spreadsheets/d/14Bd19lYaqBhU8_DElYkX7l4wRkHqqCUFNJY4AfY3kHU/edit?usp=sharing  #gid=0"",""фіз особи new!relations_name""),6,FALSE)
,
(IF
(
G5099=""юридична особа""
,
VLOOKUP"&amp;"(H5099,IMPORTRANGE(""https://docs.google.com/spreadsheets/d/14Bd19lYaqBhU8_DElYkX7l4wRkHqqCUFNJY4AfY3kHU/edit?usp=sharing  #gid=0"",""фіз особи new!relations_name_uo""),7,FALSE)
,
)
))"),"#N/A")</f>
        <v>#N/A</v>
      </c>
      <c r="J5098" s="7" t="s">
        <v>28</v>
      </c>
    </row>
    <row r="5099" spans="1:10" ht="13.2">
      <c r="A5099" s="7">
        <v>5098</v>
      </c>
      <c r="B5099" s="7">
        <v>1</v>
      </c>
      <c r="C5099" s="7" t="s">
        <v>10</v>
      </c>
      <c r="D5099" s="7">
        <v>4200</v>
      </c>
      <c r="E5099" s="7" t="s">
        <v>29</v>
      </c>
      <c r="F5099" s="8" t="str">
        <f ca="1">IFERROR(__xludf.DUMMYFUNCTION("IF
(
C5100=""фізична особа""
,
VLOOKUP(D5100,IMPORTRANGE(""https://docs.google.com/spreadsheets/d/14Bd19lYaqBhU8_DElYkX7l4wRkHqqCUFNJY4AfY3kHU/edit?usp=sharing  #gid=0"",""фіз особи new!relations_name""),6,FALSE)
,
(IF
(
C5100=""юридична особа""
,
VLOOKUP"&amp;"(D5100,IMPORTRANGE(""https://docs.google.com/spreadsheets/d/14Bd19lYaqBhU8_DElYkX7l4wRkHqqCUFNJY4AfY3kHU/edit?usp=sharing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099" s="7" t="s">
        <v>10</v>
      </c>
      <c r="H5099" s="7">
        <v>0</v>
      </c>
      <c r="I5099" s="8" t="str">
        <f ca="1">IFERROR(__xludf.DUMMYFUNCTION("IF
(
G5100=""фізична особа""
,
VLOOKUP(H5100,IMPORTRANGE(""https://docs.google.com/spreadsheets/d/14Bd19lYaqBhU8_DElYkX7l4wRkHqqCUFNJY4AfY3kHU/edit?usp=sharing  #gid=0"",""фіз особи new!relations_name""),6,FALSE)
,
(IF
(
G5100=""юридична особа""
,
VLOOKUP"&amp;"(H5100,IMPORTRANGE(""https://docs.google.com/spreadsheets/d/14Bd19lYaqBhU8_DElYkX7l4wRkHqqCUFNJY4AfY3kHU/edit?usp=sharing  #gid=0"",""фіз особи new!relations_name_uo""),7,FALSE)
,
)
))"),"#N/A")</f>
        <v>#N/A</v>
      </c>
      <c r="J5099" s="7" t="s">
        <v>28</v>
      </c>
    </row>
    <row r="5100" spans="1:10" ht="13.2">
      <c r="A5100" s="7">
        <v>5099</v>
      </c>
      <c r="B5100" s="7">
        <v>1</v>
      </c>
      <c r="C5100" s="7" t="s">
        <v>10</v>
      </c>
      <c r="D5100" s="7">
        <v>4200</v>
      </c>
      <c r="E5100" s="7" t="s">
        <v>29</v>
      </c>
      <c r="F5100" s="8" t="str">
        <f ca="1">IFERROR(__xludf.DUMMYFUNCTION("IF
(
C5101=""фізична особа""
,
VLOOKUP(D5101,IMPORTRANGE(""https://docs.google.com/spreadsheets/d/14Bd19lYaqBhU8_DElYkX7l4wRkHqqCUFNJY4AfY3kHU/edit?usp=sharing  #gid=0"",""фіз особи new!relations_name""),6,FALSE)
,
(IF
(
C5101=""юридична особа""
,
VLOOKUP"&amp;"(D5101,IMPORTRANGE(""https://docs.google.com/spreadsheets/d/14Bd19lYaqBhU8_DElYkX7l4wRkHqqCUFNJY4AfY3kHU/edit?usp=sharing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0" s="7" t="s">
        <v>10</v>
      </c>
      <c r="H5100" s="7">
        <v>0</v>
      </c>
      <c r="I5100" s="8" t="str">
        <f ca="1">IFERROR(__xludf.DUMMYFUNCTION("IF
(
G5101=""фізична особа""
,
VLOOKUP(H5101,IMPORTRANGE(""https://docs.google.com/spreadsheets/d/14Bd19lYaqBhU8_DElYkX7l4wRkHqqCUFNJY4AfY3kHU/edit?usp=sharing  #gid=0"",""фіз особи new!relations_name""),6,FALSE)
,
(IF
(
G5101=""юридична особа""
,
VLOOKUP"&amp;"(H5101,IMPORTRANGE(""https://docs.google.com/spreadsheets/d/14Bd19lYaqBhU8_DElYkX7l4wRkHqqCUFNJY4AfY3kHU/edit?usp=sharing  #gid=0"",""фіз особи new!relations_name_uo""),7,FALSE)
,
)
))"),"#N/A")</f>
        <v>#N/A</v>
      </c>
      <c r="J5100" s="7" t="s">
        <v>28</v>
      </c>
    </row>
    <row r="5101" spans="1:10" ht="13.2">
      <c r="A5101" s="7">
        <v>5100</v>
      </c>
      <c r="B5101" s="7">
        <v>1</v>
      </c>
      <c r="C5101" s="7" t="s">
        <v>10</v>
      </c>
      <c r="D5101" s="7">
        <v>4200</v>
      </c>
      <c r="E5101" s="7" t="s">
        <v>29</v>
      </c>
      <c r="F5101" s="8" t="str">
        <f ca="1">IFERROR(__xludf.DUMMYFUNCTION("IF
(
C5102=""фізична особа""
,
VLOOKUP(D5102,IMPORTRANGE(""https://docs.google.com/spreadsheets/d/14Bd19lYaqBhU8_DElYkX7l4wRkHqqCUFNJY4AfY3kHU/edit?usp=sharing  #gid=0"",""фіз особи new!relations_name""),6,FALSE)
,
(IF
(
C5102=""юридична особа""
,
VLOOKUP"&amp;"(D5102,IMPORTRANGE(""https://docs.google.com/spreadsheets/d/14Bd19lYaqBhU8_DElYkX7l4wRkHqqCUFNJY4AfY3kHU/edit?usp=sharing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1" s="7" t="s">
        <v>10</v>
      </c>
      <c r="H5101" s="7">
        <v>0</v>
      </c>
      <c r="I5101" s="8" t="str">
        <f ca="1">IFERROR(__xludf.DUMMYFUNCTION("IF
(
G5102=""фізична особа""
,
VLOOKUP(H5102,IMPORTRANGE(""https://docs.google.com/spreadsheets/d/14Bd19lYaqBhU8_DElYkX7l4wRkHqqCUFNJY4AfY3kHU/edit?usp=sharing  #gid=0"",""фіз особи new!relations_name""),6,FALSE)
,
(IF
(
G5102=""юридична особа""
,
VLOOKUP"&amp;"(H5102,IMPORTRANGE(""https://docs.google.com/spreadsheets/d/14Bd19lYaqBhU8_DElYkX7l4wRkHqqCUFNJY4AfY3kHU/edit?usp=sharing  #gid=0"",""фіз особи new!relations_name_uo""),7,FALSE)
,
)
))"),"#N/A")</f>
        <v>#N/A</v>
      </c>
      <c r="J5101" s="7" t="s">
        <v>28</v>
      </c>
    </row>
    <row r="5102" spans="1:10" ht="13.2">
      <c r="A5102" s="7">
        <v>5101</v>
      </c>
      <c r="B5102" s="7">
        <v>1</v>
      </c>
      <c r="C5102" s="7" t="s">
        <v>10</v>
      </c>
      <c r="D5102" s="7">
        <v>4200</v>
      </c>
      <c r="E5102" s="7" t="s">
        <v>29</v>
      </c>
      <c r="F5102" s="8" t="str">
        <f ca="1">IFERROR(__xludf.DUMMYFUNCTION("IF
(
C5103=""фізична особа""
,
VLOOKUP(D5103,IMPORTRANGE(""https://docs.google.com/spreadsheets/d/14Bd19lYaqBhU8_DElYkX7l4wRkHqqCUFNJY4AfY3kHU/edit?usp=sharing  #gid=0"",""фіз особи new!relations_name""),6,FALSE)
,
(IF
(
C5103=""юридична особа""
,
VLOOKUP"&amp;"(D5103,IMPORTRANGE(""https://docs.google.com/spreadsheets/d/14Bd19lYaqBhU8_DElYkX7l4wRkHqqCUFNJY4AfY3kHU/edit?usp=sharing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2" s="7" t="s">
        <v>10</v>
      </c>
      <c r="H5102" s="7">
        <v>0</v>
      </c>
      <c r="I5102" s="8" t="str">
        <f ca="1">IFERROR(__xludf.DUMMYFUNCTION("IF
(
G5103=""фізична особа""
,
VLOOKUP(H5103,IMPORTRANGE(""https://docs.google.com/spreadsheets/d/14Bd19lYaqBhU8_DElYkX7l4wRkHqqCUFNJY4AfY3kHU/edit?usp=sharing  #gid=0"",""фіз особи new!relations_name""),6,FALSE)
,
(IF
(
G5103=""юридична особа""
,
VLOOKUP"&amp;"(H5103,IMPORTRANGE(""https://docs.google.com/spreadsheets/d/14Bd19lYaqBhU8_DElYkX7l4wRkHqqCUFNJY4AfY3kHU/edit?usp=sharing  #gid=0"",""фіз особи new!relations_name_uo""),7,FALSE)
,
)
))"),"#N/A")</f>
        <v>#N/A</v>
      </c>
      <c r="J5102" s="7" t="s">
        <v>28</v>
      </c>
    </row>
    <row r="5103" spans="1:10" ht="13.2">
      <c r="A5103" s="7">
        <v>5102</v>
      </c>
      <c r="B5103" s="7">
        <v>1</v>
      </c>
      <c r="C5103" s="7" t="s">
        <v>10</v>
      </c>
      <c r="D5103" s="7">
        <v>4200</v>
      </c>
      <c r="E5103" s="7" t="s">
        <v>29</v>
      </c>
      <c r="F5103" s="8" t="str">
        <f ca="1">IFERROR(__xludf.DUMMYFUNCTION("IF
(
C5104=""фізична особа""
,
VLOOKUP(D5104,IMPORTRANGE(""https://docs.google.com/spreadsheets/d/14Bd19lYaqBhU8_DElYkX7l4wRkHqqCUFNJY4AfY3kHU/edit?usp=sharing  #gid=0"",""фіз особи new!relations_name""),6,FALSE)
,
(IF
(
C5104=""юридична особа""
,
VLOOKUP"&amp;"(D5104,IMPORTRANGE(""https://docs.google.com/spreadsheets/d/14Bd19lYaqBhU8_DElYkX7l4wRkHqqCUFNJY4AfY3kHU/edit?usp=sharing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3" s="7" t="s">
        <v>10</v>
      </c>
      <c r="H5103" s="7">
        <v>0</v>
      </c>
      <c r="I5103" s="8" t="str">
        <f ca="1">IFERROR(__xludf.DUMMYFUNCTION("IF
(
G5104=""фізична особа""
,
VLOOKUP(H5104,IMPORTRANGE(""https://docs.google.com/spreadsheets/d/14Bd19lYaqBhU8_DElYkX7l4wRkHqqCUFNJY4AfY3kHU/edit?usp=sharing  #gid=0"",""фіз особи new!relations_name""),6,FALSE)
,
(IF
(
G5104=""юридична особа""
,
VLOOKUP"&amp;"(H5104,IMPORTRANGE(""https://docs.google.com/spreadsheets/d/14Bd19lYaqBhU8_DElYkX7l4wRkHqqCUFNJY4AfY3kHU/edit?usp=sharing  #gid=0"",""фіз особи new!relations_name_uo""),7,FALSE)
,
)
))"),"#N/A")</f>
        <v>#N/A</v>
      </c>
      <c r="J5103" s="7" t="s">
        <v>28</v>
      </c>
    </row>
    <row r="5104" spans="1:10" ht="13.2">
      <c r="A5104" s="7">
        <v>5103</v>
      </c>
      <c r="B5104" s="7">
        <v>1</v>
      </c>
      <c r="C5104" s="7" t="s">
        <v>10</v>
      </c>
      <c r="D5104" s="7">
        <v>4200</v>
      </c>
      <c r="E5104" s="7" t="s">
        <v>30</v>
      </c>
      <c r="F5104" s="8" t="str">
        <f ca="1">IFERROR(__xludf.DUMMYFUNCTION("IF
(
C5105=""фізична особа""
,
VLOOKUP(D5105,IMPORTRANGE(""https://docs.google.com/spreadsheets/d/14Bd19lYaqBhU8_DElYkX7l4wRkHqqCUFNJY4AfY3kHU/edit?usp=sharing  #gid=0"",""фіз особи new!relations_name""),6,FALSE)
,
(IF
(
C5105=""юридична особа""
,
VLOOKUP"&amp;"(D5105,IMPORTRANGE(""https://docs.google.com/spreadsheets/d/14Bd19lYaqBhU8_DElYkX7l4wRkHqqCUFNJY4AfY3kHU/edit?usp=sharing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4" s="7" t="s">
        <v>10</v>
      </c>
      <c r="H5104" s="7">
        <v>0</v>
      </c>
      <c r="I5104" s="8" t="str">
        <f ca="1">IFERROR(__xludf.DUMMYFUNCTION("IF
(
G5105=""фізична особа""
,
VLOOKUP(H5105,IMPORTRANGE(""https://docs.google.com/spreadsheets/d/14Bd19lYaqBhU8_DElYkX7l4wRkHqqCUFNJY4AfY3kHU/edit?usp=sharing  #gid=0"",""фіз особи new!relations_name""),6,FALSE)
,
(IF
(
G5105=""юридична особа""
,
VLOOKUP"&amp;"(H5105,IMPORTRANGE(""https://docs.google.com/spreadsheets/d/14Bd19lYaqBhU8_DElYkX7l4wRkHqqCUFNJY4AfY3kHU/edit?usp=sharing  #gid=0"",""фіз особи new!relations_name_uo""),7,FALSE)
,
)
))"),"#N/A")</f>
        <v>#N/A</v>
      </c>
      <c r="J5104" s="7" t="s">
        <v>30</v>
      </c>
    </row>
    <row r="5105" spans="1:10" ht="13.2">
      <c r="A5105" s="7">
        <v>5104</v>
      </c>
      <c r="B5105" s="7">
        <v>1</v>
      </c>
      <c r="C5105" s="7" t="s">
        <v>10</v>
      </c>
      <c r="D5105" s="7">
        <v>4200</v>
      </c>
      <c r="E5105" s="7" t="s">
        <v>30</v>
      </c>
      <c r="F5105" s="8" t="str">
        <f ca="1">IFERROR(__xludf.DUMMYFUNCTION("IF
(
C5106=""фізична особа""
,
VLOOKUP(D5106,IMPORTRANGE(""https://docs.google.com/spreadsheets/d/14Bd19lYaqBhU8_DElYkX7l4wRkHqqCUFNJY4AfY3kHU/edit?usp=sharing  #gid=0"",""фіз особи new!relations_name""),6,FALSE)
,
(IF
(
C5106=""юридична особа""
,
VLOOKUP"&amp;"(D5106,IMPORTRANGE(""https://docs.google.com/spreadsheets/d/14Bd19lYaqBhU8_DElYkX7l4wRkHqqCUFNJY4AfY3kHU/edit?usp=sharing  #gid=0"",""фіз особи new!relations_name_uo""),7,FALSE)
,
)
))"),"СТУДЕНІКІН Олександр Петрович")</f>
        <v>СТУДЕНІКІН Олександр Петрович</v>
      </c>
      <c r="G5105" s="7" t="s">
        <v>10</v>
      </c>
      <c r="H5105" s="7">
        <v>0</v>
      </c>
      <c r="I5105" s="8" t="str">
        <f ca="1">IFERROR(__xludf.DUMMYFUNCTION("IF
(
G5106=""фізична особа""
,
VLOOKUP(H5106,IMPORTRANGE(""https://docs.google.com/spreadsheets/d/14Bd19lYaqBhU8_DElYkX7l4wRkHqqCUFNJY4AfY3kHU/edit?usp=sharing  #gid=0"",""фіз особи new!relations_name""),6,FALSE)
,
(IF
(
G5106=""юридична особа""
,
VLOOKUP"&amp;"(H5106,IMPORTRANGE(""https://docs.google.com/spreadsheets/d/14Bd19lYaqBhU8_DElYkX7l4wRkHqqCUFNJY4AfY3kHU/edit?usp=sharing  #gid=0"",""фіз особи new!relations_name_uo""),7,FALSE)
,
)
))"),"#N/A")</f>
        <v>#N/A</v>
      </c>
      <c r="J5105" s="7" t="s">
        <v>30</v>
      </c>
    </row>
    <row r="5106" spans="1:10" ht="13.2">
      <c r="A5106" s="7">
        <v>5105</v>
      </c>
      <c r="B5106" s="7">
        <v>1</v>
      </c>
      <c r="C5106" s="7" t="s">
        <v>10</v>
      </c>
      <c r="D5106" s="7">
        <v>4201</v>
      </c>
      <c r="E5106" s="7" t="s">
        <v>28</v>
      </c>
      <c r="F5106" s="8" t="str">
        <f ca="1">IFERROR(__xludf.DUMMYFUNCTION("IF
(
C5107=""фізична особа""
,
VLOOKUP(D5107,IMPORTRANGE(""https://docs.google.com/spreadsheets/d/14Bd19lYaqBhU8_DElYkX7l4wRkHqqCUFNJY4AfY3kHU/edit?usp=sharing  #gid=0"",""фіз особи new!relations_name""),6,FALSE)
,
(IF
(
C5107=""юридична особа""
,
VLOOKUP"&amp;"(D5107,IMPORTRANGE(""https://docs.google.com/spreadsheets/d/14Bd19lYaqBhU8_DElYkX7l4wRkHqqCUFNJY4AfY3kHU/edit?usp=sharing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06" s="7" t="s">
        <v>10</v>
      </c>
      <c r="H5106" s="7">
        <v>2566</v>
      </c>
      <c r="I5106" s="8" t="str">
        <f ca="1">IFERROR(__xludf.DUMMYFUNCTION("IF
(
G5107=""фізична особа""
,
VLOOKUP(H5107,IMPORTRANGE(""https://docs.google.com/spreadsheets/d/14Bd19lYaqBhU8_DElYkX7l4wRkHqqCUFNJY4AfY3kHU/edit?usp=sharing  #gid=0"",""фіз особи new!relations_name""),6,FALSE)
,
(IF
(
G5107=""юридична особа""
,
VLOOKUP"&amp;"(H5107,IMPORTRANGE(""https://docs.google.com/spreadsheets/d/14Bd19lYaqBhU8_DElYkX7l4wRkHqqCUFNJY4AfY3kHU/edit?usp=sharing  #gid=0"",""фіз особи new!relations_name_uo""),7,FALSE)
,
)
))"),"ГОЛЬДШТЕЙН Ростислав Ернстович")</f>
        <v>ГОЛЬДШТЕЙН Ростислав Ернстович</v>
      </c>
      <c r="J5106" s="7" t="s">
        <v>29</v>
      </c>
    </row>
    <row r="5107" spans="1:10" ht="13.2">
      <c r="A5107" s="7">
        <v>5106</v>
      </c>
      <c r="B5107" s="7">
        <v>1</v>
      </c>
      <c r="C5107" s="7" t="s">
        <v>10</v>
      </c>
      <c r="D5107" s="7">
        <v>4201</v>
      </c>
      <c r="E5107" s="7" t="s">
        <v>29</v>
      </c>
      <c r="F5107" s="8" t="str">
        <f ca="1">IFERROR(__xludf.DUMMYFUNCTION("IF
(
C5108=""фізична особа""
,
VLOOKUP(D5108,IMPORTRANGE(""https://docs.google.com/spreadsheets/d/14Bd19lYaqBhU8_DElYkX7l4wRkHqqCUFNJY4AfY3kHU/edit?usp=sharing  #gid=0"",""фіз особи new!relations_name""),6,FALSE)
,
(IF
(
C5108=""юридична особа""
,
VLOOKUP"&amp;"(D5108,IMPORTRANGE(""https://docs.google.com/spreadsheets/d/14Bd19lYaqBhU8_DElYkX7l4wRkHqqCUFNJY4AfY3kHU/edit?usp=sharing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07" s="7" t="s">
        <v>10</v>
      </c>
      <c r="H5107" s="7">
        <v>0</v>
      </c>
      <c r="I5107" s="8" t="str">
        <f ca="1">IFERROR(__xludf.DUMMYFUNCTION("IF
(
G5108=""фізична особа""
,
VLOOKUP(H5108,IMPORTRANGE(""https://docs.google.com/spreadsheets/d/14Bd19lYaqBhU8_DElYkX7l4wRkHqqCUFNJY4AfY3kHU/edit?usp=sharing  #gid=0"",""фіз особи new!relations_name""),6,FALSE)
,
(IF
(
G5108=""юридична особа""
,
VLOOKUP"&amp;"(H5108,IMPORTRANGE(""https://docs.google.com/spreadsheets/d/14Bd19lYaqBhU8_DElYkX7l4wRkHqqCUFNJY4AfY3kHU/edit?usp=sharing  #gid=0"",""фіз особи new!relations_name_uo""),7,FALSE)
,
)
))"),"#N/A")</f>
        <v>#N/A</v>
      </c>
      <c r="J5107" s="7" t="s">
        <v>28</v>
      </c>
    </row>
    <row r="5108" spans="1:10" ht="13.2">
      <c r="A5108" s="7">
        <v>5107</v>
      </c>
      <c r="B5108" s="7">
        <v>1</v>
      </c>
      <c r="C5108" s="7" t="s">
        <v>10</v>
      </c>
      <c r="D5108" s="7">
        <v>4201</v>
      </c>
      <c r="E5108" s="7" t="s">
        <v>29</v>
      </c>
      <c r="F5108" s="8" t="str">
        <f ca="1">IFERROR(__xludf.DUMMYFUNCTION("IF
(
C5109=""фізична особа""
,
VLOOKUP(D5109,IMPORTRANGE(""https://docs.google.com/spreadsheets/d/14Bd19lYaqBhU8_DElYkX7l4wRkHqqCUFNJY4AfY3kHU/edit?usp=sharing  #gid=0"",""фіз особи new!relations_name""),6,FALSE)
,
(IF
(
C5109=""юридична особа""
,
VLOOKUP"&amp;"(D5109,IMPORTRANGE(""https://docs.google.com/spreadsheets/d/14Bd19lYaqBhU8_DElYkX7l4wRkHqqCUFNJY4AfY3kHU/edit?usp=sharing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08" s="7" t="s">
        <v>10</v>
      </c>
      <c r="H5108" s="7">
        <v>0</v>
      </c>
      <c r="I5108" s="8" t="str">
        <f ca="1">IFERROR(__xludf.DUMMYFUNCTION("IF
(
G5109=""фізична особа""
,
VLOOKUP(H5109,IMPORTRANGE(""https://docs.google.com/spreadsheets/d/14Bd19lYaqBhU8_DElYkX7l4wRkHqqCUFNJY4AfY3kHU/edit?usp=sharing  #gid=0"",""фіз особи new!relations_name""),6,FALSE)
,
(IF
(
G5109=""юридична особа""
,
VLOOKUP"&amp;"(H5109,IMPORTRANGE(""https://docs.google.com/spreadsheets/d/14Bd19lYaqBhU8_DElYkX7l4wRkHqqCUFNJY4AfY3kHU/edit?usp=sharing  #gid=0"",""фіз особи new!relations_name_uo""),7,FALSE)
,
)
))"),"#N/A")</f>
        <v>#N/A</v>
      </c>
      <c r="J5108" s="7" t="s">
        <v>28</v>
      </c>
    </row>
    <row r="5109" spans="1:10" ht="13.2">
      <c r="A5109" s="7">
        <v>5108</v>
      </c>
      <c r="B5109" s="7">
        <v>1</v>
      </c>
      <c r="C5109" s="7" t="s">
        <v>10</v>
      </c>
      <c r="D5109" s="7">
        <v>4201</v>
      </c>
      <c r="E5109" s="7" t="s">
        <v>29</v>
      </c>
      <c r="F5109" s="8" t="str">
        <f ca="1">IFERROR(__xludf.DUMMYFUNCTION("IF
(
C5110=""фізична особа""
,
VLOOKUP(D5110,IMPORTRANGE(""https://docs.google.com/spreadsheets/d/14Bd19lYaqBhU8_DElYkX7l4wRkHqqCUFNJY4AfY3kHU/edit?usp=sharing  #gid=0"",""фіз особи new!relations_name""),6,FALSE)
,
(IF
(
C5110=""юридична особа""
,
VLOOKUP"&amp;"(D5110,IMPORTRANGE(""https://docs.google.com/spreadsheets/d/14Bd19lYaqBhU8_DElYkX7l4wRkHqqCUFNJY4AfY3kHU/edit?usp=sharing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09" s="7" t="s">
        <v>10</v>
      </c>
      <c r="H5109" s="7">
        <v>0</v>
      </c>
      <c r="I5109" s="8" t="str">
        <f ca="1">IFERROR(__xludf.DUMMYFUNCTION("IF
(
G5110=""фізична особа""
,
VLOOKUP(H5110,IMPORTRANGE(""https://docs.google.com/spreadsheets/d/14Bd19lYaqBhU8_DElYkX7l4wRkHqqCUFNJY4AfY3kHU/edit?usp=sharing  #gid=0"",""фіз особи new!relations_name""),6,FALSE)
,
(IF
(
G5110=""юридична особа""
,
VLOOKUP"&amp;"(H5110,IMPORTRANGE(""https://docs.google.com/spreadsheets/d/14Bd19lYaqBhU8_DElYkX7l4wRkHqqCUFNJY4AfY3kHU/edit?usp=sharing  #gid=0"",""фіз особи new!relations_name_uo""),7,FALSE)
,
)
))"),"#N/A")</f>
        <v>#N/A</v>
      </c>
      <c r="J5109" s="7" t="s">
        <v>28</v>
      </c>
    </row>
    <row r="5110" spans="1:10" ht="13.2">
      <c r="A5110" s="7">
        <v>5109</v>
      </c>
      <c r="B5110" s="7">
        <v>1</v>
      </c>
      <c r="C5110" s="7" t="s">
        <v>10</v>
      </c>
      <c r="D5110" s="7">
        <v>4201</v>
      </c>
      <c r="E5110" s="7" t="s">
        <v>29</v>
      </c>
      <c r="F5110" s="8" t="str">
        <f ca="1">IFERROR(__xludf.DUMMYFUNCTION("IF
(
C5111=""фізична особа""
,
VLOOKUP(D5111,IMPORTRANGE(""https://docs.google.com/spreadsheets/d/14Bd19lYaqBhU8_DElYkX7l4wRkHqqCUFNJY4AfY3kHU/edit?usp=sharing  #gid=0"",""фіз особи new!relations_name""),6,FALSE)
,
(IF
(
C5111=""юридична особа""
,
VLOOKUP"&amp;"(D5111,IMPORTRANGE(""https://docs.google.com/spreadsheets/d/14Bd19lYaqBhU8_DElYkX7l4wRkHqqCUFNJY4AfY3kHU/edit?usp=sharing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10" s="7" t="s">
        <v>10</v>
      </c>
      <c r="H5110" s="7">
        <v>0</v>
      </c>
      <c r="I5110" s="8" t="str">
        <f ca="1">IFERROR(__xludf.DUMMYFUNCTION("IF
(
G5111=""фізична особа""
,
VLOOKUP(H5111,IMPORTRANGE(""https://docs.google.com/spreadsheets/d/14Bd19lYaqBhU8_DElYkX7l4wRkHqqCUFNJY4AfY3kHU/edit?usp=sharing  #gid=0"",""фіз особи new!relations_name""),6,FALSE)
,
(IF
(
G5111=""юридична особа""
,
VLOOKUP"&amp;"(H5111,IMPORTRANGE(""https://docs.google.com/spreadsheets/d/14Bd19lYaqBhU8_DElYkX7l4wRkHqqCUFNJY4AfY3kHU/edit?usp=sharing  #gid=0"",""фіз особи new!relations_name_uo""),7,FALSE)
,
)
))"),"#N/A")</f>
        <v>#N/A</v>
      </c>
      <c r="J5110" s="7" t="s">
        <v>28</v>
      </c>
    </row>
    <row r="5111" spans="1:10" ht="13.2">
      <c r="A5111" s="7">
        <v>5110</v>
      </c>
      <c r="B5111" s="7">
        <v>1</v>
      </c>
      <c r="C5111" s="7" t="s">
        <v>10</v>
      </c>
      <c r="D5111" s="7">
        <v>4201</v>
      </c>
      <c r="E5111" s="7" t="s">
        <v>29</v>
      </c>
      <c r="F5111" s="8" t="str">
        <f ca="1">IFERROR(__xludf.DUMMYFUNCTION("IF
(
C5112=""фізична особа""
,
VLOOKUP(D5112,IMPORTRANGE(""https://docs.google.com/spreadsheets/d/14Bd19lYaqBhU8_DElYkX7l4wRkHqqCUFNJY4AfY3kHU/edit?usp=sharing  #gid=0"",""фіз особи new!relations_name""),6,FALSE)
,
(IF
(
C5112=""юридична особа""
,
VLOOKUP"&amp;"(D5112,IMPORTRANGE(""https://docs.google.com/spreadsheets/d/14Bd19lYaqBhU8_DElYkX7l4wRkHqqCUFNJY4AfY3kHU/edit?usp=sharing  #gid=0"",""фіз особи new!relations_name_uo""),7,FALSE)
,
)
))"),"СЕМЕНОВ Максим Анатолійович")</f>
        <v>СЕМЕНОВ Максим Анатолійович</v>
      </c>
      <c r="G5111" s="7" t="s">
        <v>10</v>
      </c>
      <c r="H5111" s="7">
        <v>0</v>
      </c>
      <c r="I5111" s="8" t="str">
        <f ca="1">IFERROR(__xludf.DUMMYFUNCTION("IF
(
G5112=""фізична особа""
,
VLOOKUP(H5112,IMPORTRANGE(""https://docs.google.com/spreadsheets/d/14Bd19lYaqBhU8_DElYkX7l4wRkHqqCUFNJY4AfY3kHU/edit?usp=sharing  #gid=0"",""фіз особи new!relations_name""),6,FALSE)
,
(IF
(
G5112=""юридична особа""
,
VLOOKUP"&amp;"(H5112,IMPORTRANGE(""https://docs.google.com/spreadsheets/d/14Bd19lYaqBhU8_DElYkX7l4wRkHqqCUFNJY4AfY3kHU/edit?usp=sharing  #gid=0"",""фіз особи new!relations_name_uo""),7,FALSE)
,
)
))"),"#N/A")</f>
        <v>#N/A</v>
      </c>
      <c r="J5111" s="7" t="s">
        <v>28</v>
      </c>
    </row>
    <row r="5112" spans="1:10" ht="13.2">
      <c r="A5112" s="7">
        <v>5111</v>
      </c>
      <c r="B5112" s="7">
        <v>1</v>
      </c>
      <c r="C5112" s="7" t="s">
        <v>10</v>
      </c>
      <c r="D5112" s="7">
        <v>4214</v>
      </c>
      <c r="E5112" s="7" t="s">
        <v>14</v>
      </c>
      <c r="F5112" s="8" t="str">
        <f ca="1">IFERROR(__xludf.DUMMYFUNCTION("IF
(
C5113=""фізична особа""
,
VLOOKUP(D5113,IMPORTRANGE(""https://docs.google.com/spreadsheets/d/14Bd19lYaqBhU8_DElYkX7l4wRkHqqCUFNJY4AfY3kHU/edit?usp=sharing  #gid=0"",""фіз особи new!relations_name""),6,FALSE)
,
(IF
(
C5113=""юридична особа""
,
VLOOKUP"&amp;"(D5113,IMPORTRANGE(""https://docs.google.com/spreadsheets/d/14Bd19lYaqBhU8_DElYkX7l4wRkHqqCUFNJY4AfY3kHU/edit?usp=sharing  #gid=0"",""фіз особи new!relations_name_uo""),7,FALSE)
,
)
))"),"ЛОКОТЬ Анатолій Євгенович")</f>
        <v>ЛОКОТЬ Анатолій Євгенович</v>
      </c>
      <c r="G5112" s="7" t="s">
        <v>10</v>
      </c>
      <c r="H5112" s="7">
        <v>0</v>
      </c>
      <c r="I5112" s="8" t="str">
        <f ca="1">IFERROR(__xludf.DUMMYFUNCTION("IF
(
G5113=""фізична особа""
,
VLOOKUP(H5113,IMPORTRANGE(""https://docs.google.com/spreadsheets/d/14Bd19lYaqBhU8_DElYkX7l4wRkHqqCUFNJY4AfY3kHU/edit?usp=sharing  #gid=0"",""фіз особи new!relations_name""),6,FALSE)
,
(IF
(
G5113=""юридична особа""
,
VLOOKUP"&amp;"(H5113,IMPORTRANGE(""https://docs.google.com/spreadsheets/d/14Bd19lYaqBhU8_DElYkX7l4wRkHqqCUFNJY4AfY3kHU/edit?usp=sharing  #gid=0"",""фіз особи new!relations_name_uo""),7,FALSE)
,
)
))"),"#N/A")</f>
        <v>#N/A</v>
      </c>
      <c r="J5112" s="7" t="s">
        <v>15</v>
      </c>
    </row>
    <row r="5113" spans="1:10" ht="13.2">
      <c r="A5113" s="7">
        <v>5112</v>
      </c>
      <c r="B5113" s="7">
        <v>1</v>
      </c>
      <c r="C5113" s="7" t="s">
        <v>10</v>
      </c>
      <c r="D5113" s="7">
        <v>4214</v>
      </c>
      <c r="E5113" s="7" t="s">
        <v>106</v>
      </c>
      <c r="F5113" s="8" t="str">
        <f ca="1">IFERROR(__xludf.DUMMYFUNCTION("IF
(
C5114=""фізична особа""
,
VLOOKUP(D5114,IMPORTRANGE(""https://docs.google.com/spreadsheets/d/14Bd19lYaqBhU8_DElYkX7l4wRkHqqCUFNJY4AfY3kHU/edit?usp=sharing  #gid=0"",""фіз особи new!relations_name""),6,FALSE)
,
(IF
(
C5114=""юридична особа""
,
VLOOKUP"&amp;"(D5114,IMPORTRANGE(""https://docs.google.com/spreadsheets/d/14Bd19lYaqBhU8_DElYkX7l4wRkHqqCUFNJY4AfY3kHU/edit?usp=sharing  #gid=0"",""фіз особи new!relations_name_uo""),7,FALSE)
,
)
))"),"ЛОКОТЬ Анатолій Євгенович")</f>
        <v>ЛОКОТЬ Анатолій Євгенович</v>
      </c>
      <c r="G5113" s="7" t="s">
        <v>10</v>
      </c>
      <c r="H5113" s="7">
        <v>0</v>
      </c>
      <c r="I5113" s="8" t="str">
        <f ca="1">IFERROR(__xludf.DUMMYFUNCTION("IF
(
G5114=""фізична особа""
,
VLOOKUP(H5114,IMPORTRANGE(""https://docs.google.com/spreadsheets/d/14Bd19lYaqBhU8_DElYkX7l4wRkHqqCUFNJY4AfY3kHU/edit?usp=sharing  #gid=0"",""фіз особи new!relations_name""),6,FALSE)
,
(IF
(
G5114=""юридична особа""
,
VLOOKUP"&amp;"(H5114,IMPORTRANGE(""https://docs.google.com/spreadsheets/d/14Bd19lYaqBhU8_DElYkX7l4wRkHqqCUFNJY4AfY3kHU/edit?usp=sharing  #gid=0"",""фіз особи new!relations_name_uo""),7,FALSE)
,
)
))"),"#N/A")</f>
        <v>#N/A</v>
      </c>
      <c r="J5113" s="7" t="s">
        <v>13</v>
      </c>
    </row>
    <row r="5114" spans="1:10" ht="13.2">
      <c r="A5114" s="7">
        <v>5113</v>
      </c>
      <c r="B5114" s="7">
        <v>1</v>
      </c>
      <c r="C5114" s="7" t="s">
        <v>10</v>
      </c>
      <c r="D5114" s="7">
        <v>4214</v>
      </c>
      <c r="E5114" s="7" t="s">
        <v>106</v>
      </c>
      <c r="F5114" s="8" t="str">
        <f ca="1">IFERROR(__xludf.DUMMYFUNCTION("IF
(
C5115=""фізична особа""
,
VLOOKUP(D5115,IMPORTRANGE(""https://docs.google.com/spreadsheets/d/14Bd19lYaqBhU8_DElYkX7l4wRkHqqCUFNJY4AfY3kHU/edit?usp=sharing  #gid=0"",""фіз особи new!relations_name""),6,FALSE)
,
(IF
(
C5115=""юридична особа""
,
VLOOKUP"&amp;"(D5115,IMPORTRANGE(""https://docs.google.com/spreadsheets/d/14Bd19lYaqBhU8_DElYkX7l4wRkHqqCUFNJY4AfY3kHU/edit?usp=sharing  #gid=0"",""фіз особи new!relations_name_uo""),7,FALSE)
,
)
))"),"ЛОКОТЬ Анатолій Євгенович")</f>
        <v>ЛОКОТЬ Анатолій Євгенович</v>
      </c>
      <c r="G5114" s="7" t="s">
        <v>10</v>
      </c>
      <c r="H5114" s="7">
        <v>0</v>
      </c>
      <c r="I5114" s="8" t="str">
        <f ca="1">IFERROR(__xludf.DUMMYFUNCTION("IF
(
G5115=""фізична особа""
,
VLOOKUP(H5115,IMPORTRANGE(""https://docs.google.com/spreadsheets/d/14Bd19lYaqBhU8_DElYkX7l4wRkHqqCUFNJY4AfY3kHU/edit?usp=sharing  #gid=0"",""фіз особи new!relations_name""),6,FALSE)
,
(IF
(
G5115=""юридична особа""
,
VLOOKUP"&amp;"(H5115,IMPORTRANGE(""https://docs.google.com/spreadsheets/d/14Bd19lYaqBhU8_DElYkX7l4wRkHqqCUFNJY4AfY3kHU/edit?usp=sharing  #gid=0"",""фіз особи new!relations_name_uo""),7,FALSE)
,
)
))"),"#N/A")</f>
        <v>#N/A</v>
      </c>
      <c r="J5114" s="7" t="s">
        <v>17</v>
      </c>
    </row>
    <row r="5115" spans="1:10" ht="13.2">
      <c r="A5115" s="7">
        <v>5114</v>
      </c>
      <c r="B5115" s="7">
        <v>1</v>
      </c>
      <c r="C5115" s="7" t="s">
        <v>10</v>
      </c>
      <c r="D5115" s="7">
        <v>4230</v>
      </c>
      <c r="E5115" s="7" t="s">
        <v>18</v>
      </c>
      <c r="F5115" s="8" t="str">
        <f ca="1">IFERROR(__xludf.DUMMYFUNCTION("IF
(
C5116=""фізична особа""
,
VLOOKUP(D5116,IMPORTRANGE(""https://docs.google.com/spreadsheets/d/14Bd19lYaqBhU8_DElYkX7l4wRkHqqCUFNJY4AfY3kHU/edit?usp=sharing  #gid=0"",""фіз особи new!relations_name""),6,FALSE)
,
(IF
(
C5116=""юридична особа""
,
VLOOKUP"&amp;"(D5116,IMPORTRANGE(""https://docs.google.com/spreadsheets/d/14Bd19lYaqBhU8_DElYkX7l4wRkHqqCUFNJY4AfY3kHU/edit?usp=sharing  #gid=0"",""фіз особи new!relations_name_uo""),7,FALSE)
,
)
))"),"ДЬОМКІН Олексій Миколайович")</f>
        <v>ДЬОМКІН Олексій Миколайович</v>
      </c>
      <c r="G5115" s="7" t="s">
        <v>10</v>
      </c>
      <c r="H5115" s="7">
        <v>0</v>
      </c>
      <c r="I5115" s="8" t="str">
        <f ca="1">IFERROR(__xludf.DUMMYFUNCTION("IF
(
G5116=""фізична особа""
,
VLOOKUP(H5116,IMPORTRANGE(""https://docs.google.com/spreadsheets/d/14Bd19lYaqBhU8_DElYkX7l4wRkHqqCUFNJY4AfY3kHU/edit?usp=sharing  #gid=0"",""фіз особи new!relations_name""),6,FALSE)
,
(IF
(
G5116=""юридична особа""
,
VLOOKUP"&amp;"(H5116,IMPORTRANGE(""https://docs.google.com/spreadsheets/d/14Bd19lYaqBhU8_DElYkX7l4wRkHqqCUFNJY4AfY3kHU/edit?usp=sharing  #gid=0"",""фіз особи new!relations_name_uo""),7,FALSE)
,
)
))"),"#N/A")</f>
        <v>#N/A</v>
      </c>
      <c r="J5115" s="7" t="s">
        <v>18</v>
      </c>
    </row>
    <row r="5116" spans="1:10" ht="13.2">
      <c r="A5116" s="7">
        <v>5115</v>
      </c>
      <c r="B5116" s="7">
        <v>1</v>
      </c>
      <c r="C5116" s="7" t="s">
        <v>10</v>
      </c>
      <c r="D5116" s="7">
        <v>4233</v>
      </c>
      <c r="E5116" s="7" t="s">
        <v>14</v>
      </c>
      <c r="F5116" s="8" t="str">
        <f ca="1">IFERROR(__xludf.DUMMYFUNCTION("IF
(
C5117=""фізична особа""
,
VLOOKUP(D5117,IMPORTRANGE(""https://docs.google.com/spreadsheets/d/14Bd19lYaqBhU8_DElYkX7l4wRkHqqCUFNJY4AfY3kHU/edit?usp=sharing  #gid=0"",""фіз особи new!relations_name""),6,FALSE)
,
(IF
(
C5117=""юридична особа""
,
VLOOKUP"&amp;"(D5117,IMPORTRANGE(""https://docs.google.com/spreadsheets/d/14Bd19lYaqBhU8_DElYkX7l4wRkHqqCUFNJY4AfY3kHU/edit?usp=sharing  #gid=0"",""фіз особи new!relations_name_uo""),7,FALSE)
,
)
))"),"КЛЯЙН Іван Григорович")</f>
        <v>КЛЯЙН Іван Григорович</v>
      </c>
      <c r="G5116" s="7" t="s">
        <v>10</v>
      </c>
      <c r="H5116" s="7">
        <v>0</v>
      </c>
      <c r="I5116" s="8" t="str">
        <f ca="1">IFERROR(__xludf.DUMMYFUNCTION("IF
(
G5117=""фізична особа""
,
VLOOKUP(H5117,IMPORTRANGE(""https://docs.google.com/spreadsheets/d/14Bd19lYaqBhU8_DElYkX7l4wRkHqqCUFNJY4AfY3kHU/edit?usp=sharing  #gid=0"",""фіз особи new!relations_name""),6,FALSE)
,
(IF
(
G5117=""юридична особа""
,
VLOOKUP"&amp;"(H5117,IMPORTRANGE(""https://docs.google.com/spreadsheets/d/14Bd19lYaqBhU8_DElYkX7l4wRkHqqCUFNJY4AfY3kHU/edit?usp=sharing  #gid=0"",""фіз особи new!relations_name_uo""),7,FALSE)
,
)
))"),"#N/A")</f>
        <v>#N/A</v>
      </c>
      <c r="J5116" s="7" t="s">
        <v>15</v>
      </c>
    </row>
    <row r="5117" spans="1:10" ht="13.2">
      <c r="A5117" s="7">
        <v>5116</v>
      </c>
      <c r="B5117" s="7">
        <v>1</v>
      </c>
      <c r="C5117" s="7" t="s">
        <v>10</v>
      </c>
      <c r="D5117" s="7">
        <v>4237</v>
      </c>
      <c r="E5117" s="7" t="s">
        <v>17</v>
      </c>
      <c r="F5117" s="8" t="str">
        <f ca="1">IFERROR(__xludf.DUMMYFUNCTION("IF
(
C5118=""фізична особа""
,
VLOOKUP(D5118,IMPORTRANGE(""https://docs.google.com/spreadsheets/d/14Bd19lYaqBhU8_DElYkX7l4wRkHqqCUFNJY4AfY3kHU/edit?usp=sharing  #gid=0"",""фіз особи new!relations_name""),6,FALSE)
,
(IF
(
C5118=""юридична особа""
,
VLOOKUP"&amp;"(D5118,IMPORTRANGE(""https://docs.google.com/spreadsheets/d/14Bd19lYaqBhU8_DElYkX7l4wRkHqqCUFNJY4AfY3kHU/edit?usp=sharing  #gid=0"",""фіз особи new!relations_name_uo""),7,FALSE)
,
)
))"),"МАВЛІЄВ Ратмір Рафілович")</f>
        <v>МАВЛІЄВ Ратмір Рафілович</v>
      </c>
      <c r="G5117" s="7" t="s">
        <v>10</v>
      </c>
      <c r="H5117" s="7">
        <v>0</v>
      </c>
      <c r="I5117" s="8" t="str">
        <f ca="1">IFERROR(__xludf.DUMMYFUNCTION("IF
(
G5118=""фізична особа""
,
VLOOKUP(H5118,IMPORTRANGE(""https://docs.google.com/spreadsheets/d/14Bd19lYaqBhU8_DElYkX7l4wRkHqqCUFNJY4AfY3kHU/edit?usp=sharing  #gid=0"",""фіз особи new!relations_name""),6,FALSE)
,
(IF
(
G5118=""юридична особа""
,
VLOOKUP"&amp;"(H5118,IMPORTRANGE(""https://docs.google.com/spreadsheets/d/14Bd19lYaqBhU8_DElYkX7l4wRkHqqCUFNJY4AfY3kHU/edit?usp=sharing  #gid=0"",""фіз особи new!relations_name_uo""),7,FALSE)
,
)
))"),"#N/A")</f>
        <v>#N/A</v>
      </c>
      <c r="J5117" s="7" t="s">
        <v>12</v>
      </c>
    </row>
    <row r="5118" spans="1:10" ht="13.2">
      <c r="A5118" s="7">
        <v>5117</v>
      </c>
      <c r="B5118" s="7">
        <v>1</v>
      </c>
      <c r="C5118" s="7" t="s">
        <v>10</v>
      </c>
      <c r="D5118" s="7">
        <v>4237</v>
      </c>
      <c r="E5118" s="7" t="s">
        <v>18</v>
      </c>
      <c r="F5118" s="8" t="str">
        <f ca="1">IFERROR(__xludf.DUMMYFUNCTION("IF
(
C5119=""фізична особа""
,
VLOOKUP(D5119,IMPORTRANGE(""https://docs.google.com/spreadsheets/d/14Bd19lYaqBhU8_DElYkX7l4wRkHqqCUFNJY4AfY3kHU/edit?usp=sharing  #gid=0"",""фіз особи new!relations_name""),6,FALSE)
,
(IF
(
C5119=""юридична особа""
,
VLOOKUP"&amp;"(D5119,IMPORTRANGE(""https://docs.google.com/spreadsheets/d/14Bd19lYaqBhU8_DElYkX7l4wRkHqqCUFNJY4AfY3kHU/edit?usp=sharing  #gid=0"",""фіз особи new!relations_name_uo""),7,FALSE)
,
)
))"),"МАВЛІЄВ Ратмір Рафілович")</f>
        <v>МАВЛІЄВ Ратмір Рафілович</v>
      </c>
      <c r="G5118" s="7" t="s">
        <v>10</v>
      </c>
      <c r="H5118" s="7">
        <v>0</v>
      </c>
      <c r="I5118" s="8" t="str">
        <f ca="1">IFERROR(__xludf.DUMMYFUNCTION("IF
(
G5119=""фізична особа""
,
VLOOKUP(H5119,IMPORTRANGE(""https://docs.google.com/spreadsheets/d/14Bd19lYaqBhU8_DElYkX7l4wRkHqqCUFNJY4AfY3kHU/edit?usp=sharing  #gid=0"",""фіз особи new!relations_name""),6,FALSE)
,
(IF
(
G5119=""юридична особа""
,
VLOOKUP"&amp;"(H5119,IMPORTRANGE(""https://docs.google.com/spreadsheets/d/14Bd19lYaqBhU8_DElYkX7l4wRkHqqCUFNJY4AfY3kHU/edit?usp=sharing  #gid=0"",""фіз особи new!relations_name_uo""),7,FALSE)
,
)
))"),"#N/A")</f>
        <v>#N/A</v>
      </c>
      <c r="J5118" s="7" t="s">
        <v>18</v>
      </c>
    </row>
    <row r="5119" spans="1:10" ht="13.2">
      <c r="A5119" s="7">
        <v>5118</v>
      </c>
      <c r="B5119" s="7">
        <v>1</v>
      </c>
      <c r="C5119" s="7" t="s">
        <v>10</v>
      </c>
      <c r="D5119" s="7">
        <v>4237</v>
      </c>
      <c r="E5119" s="7" t="s">
        <v>17</v>
      </c>
      <c r="F5119" s="8" t="str">
        <f ca="1">IFERROR(__xludf.DUMMYFUNCTION("IF
(
C5120=""фізична особа""
,
VLOOKUP(D5120,IMPORTRANGE(""https://docs.google.com/spreadsheets/d/14Bd19lYaqBhU8_DElYkX7l4wRkHqqCUFNJY4AfY3kHU/edit?usp=sharing  #gid=0"",""фіз особи new!relations_name""),6,FALSE)
,
(IF
(
C5120=""юридична особа""
,
VLOOKUP"&amp;"(D5120,IMPORTRANGE(""https://docs.google.com/spreadsheets/d/14Bd19lYaqBhU8_DElYkX7l4wRkHqqCUFNJY4AfY3kHU/edit?usp=sharing  #gid=0"",""фіз особи new!relations_name_uo""),7,FALSE)
,
)
))"),"МАВЛІЄВ Ратмір Рафілович")</f>
        <v>МАВЛІЄВ Ратмір Рафілович</v>
      </c>
      <c r="G5119" s="7" t="s">
        <v>10</v>
      </c>
      <c r="H5119" s="7">
        <v>0</v>
      </c>
      <c r="I5119" s="8" t="str">
        <f ca="1">IFERROR(__xludf.DUMMYFUNCTION("IF
(
G5120=""фізична особа""
,
VLOOKUP(H5120,IMPORTRANGE(""https://docs.google.com/spreadsheets/d/14Bd19lYaqBhU8_DElYkX7l4wRkHqqCUFNJY4AfY3kHU/edit?usp=sharing  #gid=0"",""фіз особи new!relations_name""),6,FALSE)
,
(IF
(
G5120=""юридична особа""
,
VLOOKUP"&amp;"(H5120,IMPORTRANGE(""https://docs.google.com/spreadsheets/d/14Bd19lYaqBhU8_DElYkX7l4wRkHqqCUFNJY4AfY3kHU/edit?usp=sharing  #gid=0"",""фіз особи new!relations_name_uo""),7,FALSE)
,
)
))"),"#N/A")</f>
        <v>#N/A</v>
      </c>
      <c r="J5119" s="7" t="s">
        <v>21</v>
      </c>
    </row>
    <row r="5120" spans="1:10" ht="13.2">
      <c r="A5120" s="7">
        <v>5119</v>
      </c>
      <c r="B5120" s="7">
        <v>1</v>
      </c>
      <c r="C5120" s="7" t="s">
        <v>10</v>
      </c>
      <c r="D5120" s="7">
        <v>4237</v>
      </c>
      <c r="E5120" s="7" t="s">
        <v>14</v>
      </c>
      <c r="F5120" s="8" t="str">
        <f ca="1">IFERROR(__xludf.DUMMYFUNCTION("IF
(
C5121=""фізична особа""
,
VLOOKUP(D5121,IMPORTRANGE(""https://docs.google.com/spreadsheets/d/14Bd19lYaqBhU8_DElYkX7l4wRkHqqCUFNJY4AfY3kHU/edit?usp=sharing  #gid=0"",""фіз особи new!relations_name""),6,FALSE)
,
(IF
(
C5121=""юридична особа""
,
VLOOKUP"&amp;"(D5121,IMPORTRANGE(""https://docs.google.com/spreadsheets/d/14Bd19lYaqBhU8_DElYkX7l4wRkHqqCUFNJY4AfY3kHU/edit?usp=sharing  #gid=0"",""фіз особи new!relations_name_uo""),7,FALSE)
,
)
))"),"МАВЛІЄВ Ратмір Рафілович")</f>
        <v>МАВЛІЄВ Ратмір Рафілович</v>
      </c>
      <c r="G5120" s="7" t="s">
        <v>10</v>
      </c>
      <c r="H5120" s="7">
        <v>0</v>
      </c>
      <c r="I5120" s="8" t="str">
        <f ca="1">IFERROR(__xludf.DUMMYFUNCTION("IF
(
G5121=""фізична особа""
,
VLOOKUP(H5121,IMPORTRANGE(""https://docs.google.com/spreadsheets/d/14Bd19lYaqBhU8_DElYkX7l4wRkHqqCUFNJY4AfY3kHU/edit?usp=sharing  #gid=0"",""фіз особи new!relations_name""),6,FALSE)
,
(IF
(
G5121=""юридична особа""
,
VLOOKUP"&amp;"(H5121,IMPORTRANGE(""https://docs.google.com/spreadsheets/d/14Bd19lYaqBhU8_DElYkX7l4wRkHqqCUFNJY4AfY3kHU/edit?usp=sharing  #gid=0"",""фіз особи new!relations_name_uo""),7,FALSE)
,
)
))"),"#N/A")</f>
        <v>#N/A</v>
      </c>
      <c r="J5120" s="7" t="s">
        <v>15</v>
      </c>
    </row>
    <row r="5121" spans="1:10" ht="13.2">
      <c r="A5121" s="7">
        <v>5120</v>
      </c>
      <c r="B5121" s="7">
        <v>1</v>
      </c>
      <c r="C5121" s="7" t="s">
        <v>10</v>
      </c>
      <c r="D5121" s="7">
        <v>4239</v>
      </c>
      <c r="E5121" s="7" t="s">
        <v>17</v>
      </c>
      <c r="F5121" s="8" t="str">
        <f ca="1">IFERROR(__xludf.DUMMYFUNCTION("IF
(
C5122=""фізична особа""
,
VLOOKUP(D5122,IMPORTRANGE(""https://docs.google.com/spreadsheets/d/14Bd19lYaqBhU8_DElYkX7l4wRkHqqCUFNJY4AfY3kHU/edit?usp=sharing  #gid=0"",""фіз особи new!relations_name""),6,FALSE)
,
(IF
(
C5122=""юридична особа""
,
VLOOKUP"&amp;"(D5122,IMPORTRANGE(""https://docs.google.com/spreadsheets/d/14Bd19lYaqBhU8_DElYkX7l4wRkHqqCUFNJY4AfY3kHU/edit?usp=sharing  #gid=0"",""фіз особи new!relations_name_uo""),7,FALSE)
,
)
))"),"СПІРІН Денис Вадимович")</f>
        <v>СПІРІН Денис Вадимович</v>
      </c>
      <c r="G5121" s="7" t="s">
        <v>10</v>
      </c>
      <c r="H5121" s="7">
        <v>0</v>
      </c>
      <c r="I5121" s="8" t="str">
        <f ca="1">IFERROR(__xludf.DUMMYFUNCTION("IF
(
G5122=""фізична особа""
,
VLOOKUP(H5122,IMPORTRANGE(""https://docs.google.com/spreadsheets/d/14Bd19lYaqBhU8_DElYkX7l4wRkHqqCUFNJY4AfY3kHU/edit?usp=sharing  #gid=0"",""фіз особи new!relations_name""),6,FALSE)
,
(IF
(
G5122=""юридична особа""
,
VLOOKUP"&amp;"(H5122,IMPORTRANGE(""https://docs.google.com/spreadsheets/d/14Bd19lYaqBhU8_DElYkX7l4wRkHqqCUFNJY4AfY3kHU/edit?usp=sharing  #gid=0"",""фіз особи new!relations_name_uo""),7,FALSE)
,
)
))"),"#N/A")</f>
        <v>#N/A</v>
      </c>
      <c r="J5121" s="7" t="s">
        <v>12</v>
      </c>
    </row>
    <row r="5122" spans="1:10" ht="13.2">
      <c r="A5122" s="7">
        <v>5121</v>
      </c>
      <c r="B5122" s="7">
        <v>1</v>
      </c>
      <c r="C5122" s="7" t="s">
        <v>10</v>
      </c>
      <c r="D5122" s="7">
        <v>4241</v>
      </c>
      <c r="E5122" s="7" t="s">
        <v>14</v>
      </c>
      <c r="F5122" s="8" t="str">
        <f ca="1">IFERROR(__xludf.DUMMYFUNCTION("IF
(
C5123=""фізична особа""
,
VLOOKUP(D5123,IMPORTRANGE(""https://docs.google.com/spreadsheets/d/14Bd19lYaqBhU8_DElYkX7l4wRkHqqCUFNJY4AfY3kHU/edit?usp=sharing  #gid=0"",""фіз особи new!relations_name""),6,FALSE)
,
(IF
(
C5123=""юридична особа""
,
VLOOKUP"&amp;"(D5123,IMPORTRANGE(""https://docs.google.com/spreadsheets/d/14Bd19lYaqBhU8_DElYkX7l4wRkHqqCUFNJY4AfY3kHU/edit?usp=sharing  #gid=0"",""фіз особи new!relations_name_uo""),7,FALSE)
,
)
))"),"ВОЛКОВ Володимир Михайлович")</f>
        <v>ВОЛКОВ Володимир Михайлович</v>
      </c>
      <c r="G5122" s="7" t="s">
        <v>10</v>
      </c>
      <c r="H5122" s="7">
        <v>0</v>
      </c>
      <c r="I5122" s="8" t="str">
        <f ca="1">IFERROR(__xludf.DUMMYFUNCTION("IF
(
G5123=""фізична особа""
,
VLOOKUP(H5123,IMPORTRANGE(""https://docs.google.com/spreadsheets/d/14Bd19lYaqBhU8_DElYkX7l4wRkHqqCUFNJY4AfY3kHU/edit?usp=sharing  #gid=0"",""фіз особи new!relations_name""),6,FALSE)
,
(IF
(
G5123=""юридична особа""
,
VLOOKUP"&amp;"(H5123,IMPORTRANGE(""https://docs.google.com/spreadsheets/d/14Bd19lYaqBhU8_DElYkX7l4wRkHqqCUFNJY4AfY3kHU/edit?usp=sharing  #gid=0"",""фіз особи new!relations_name_uo""),7,FALSE)
,
)
))"),"#N/A")</f>
        <v>#N/A</v>
      </c>
      <c r="J5122" s="7" t="s">
        <v>15</v>
      </c>
    </row>
    <row r="5123" spans="1:10" ht="13.2">
      <c r="A5123" s="7">
        <v>5122</v>
      </c>
      <c r="B5123" s="7">
        <v>1</v>
      </c>
      <c r="C5123" s="7" t="s">
        <v>10</v>
      </c>
      <c r="D5123" s="7">
        <v>4250</v>
      </c>
      <c r="E5123" s="7" t="s">
        <v>13</v>
      </c>
      <c r="F5123" s="8" t="str">
        <f ca="1">IFERROR(__xludf.DUMMYFUNCTION("IF
(
C5124=""фізична особа""
,
VLOOKUP(D5124,IMPORTRANGE(""https://docs.google.com/spreadsheets/d/14Bd19lYaqBhU8_DElYkX7l4wRkHqqCUFNJY4AfY3kHU/edit?usp=sharing  #gid=0"",""фіз особи new!relations_name""),6,FALSE)
,
(IF
(
C5124=""юридична особа""
,
VLOOKUP"&amp;"(D5124,IMPORTRANGE(""https://docs.google.com/spreadsheets/d/14Bd19lYaqBhU8_DElYkX7l4wRkHqqCUFNJY4AfY3kHU/edit?usp=sharing  #gid=0"",""фіз особи new!relations_name_uo""),7,FALSE)
,
)
))"),"СИТНІКОВА Олена В'ячеславівна")</f>
        <v>СИТНІКОВА Олена В'ячеславівна</v>
      </c>
      <c r="G5123" s="7" t="s">
        <v>10</v>
      </c>
      <c r="H5123" s="7">
        <v>0</v>
      </c>
      <c r="I5123" s="8" t="str">
        <f ca="1">IFERROR(__xludf.DUMMYFUNCTION("IF
(
G5124=""фізична особа""
,
VLOOKUP(H5124,IMPORTRANGE(""https://docs.google.com/spreadsheets/d/14Bd19lYaqBhU8_DElYkX7l4wRkHqqCUFNJY4AfY3kHU/edit?usp=sharing  #gid=0"",""фіз особи new!relations_name""),6,FALSE)
,
(IF
(
G5124=""юридична особа""
,
VLOOKUP"&amp;"(H5124,IMPORTRANGE(""https://docs.google.com/spreadsheets/d/14Bd19lYaqBhU8_DElYkX7l4wRkHqqCUFNJY4AfY3kHU/edit?usp=sharing  #gid=0"",""фіз особи new!relations_name_uo""),7,FALSE)
,
)
))"),"#N/A")</f>
        <v>#N/A</v>
      </c>
      <c r="J5123" s="7" t="s">
        <v>12</v>
      </c>
    </row>
    <row r="5124" spans="1:10" ht="13.2">
      <c r="A5124" s="7">
        <v>5123</v>
      </c>
      <c r="B5124" s="7">
        <v>1</v>
      </c>
      <c r="C5124" s="7" t="s">
        <v>10</v>
      </c>
      <c r="D5124" s="7">
        <v>4250</v>
      </c>
      <c r="E5124" s="7" t="s">
        <v>13</v>
      </c>
      <c r="F5124" s="8" t="str">
        <f ca="1">IFERROR(__xludf.DUMMYFUNCTION("IF
(
C5125=""фізична особа""
,
VLOOKUP(D5125,IMPORTRANGE(""https://docs.google.com/spreadsheets/d/14Bd19lYaqBhU8_DElYkX7l4wRkHqqCUFNJY4AfY3kHU/edit?usp=sharing  #gid=0"",""фіз особи new!relations_name""),6,FALSE)
,
(IF
(
C5125=""юридична особа""
,
VLOOKUP"&amp;"(D5125,IMPORTRANGE(""https://docs.google.com/spreadsheets/d/14Bd19lYaqBhU8_DElYkX7l4wRkHqqCUFNJY4AfY3kHU/edit?usp=sharing  #gid=0"",""фіз особи new!relations_name_uo""),7,FALSE)
,
)
))"),"СИТНІКОВА Олена В'ячеславівна")</f>
        <v>СИТНІКОВА Олена В'ячеславівна</v>
      </c>
      <c r="G5124" s="7" t="s">
        <v>10</v>
      </c>
      <c r="H5124" s="7">
        <v>0</v>
      </c>
      <c r="I5124" s="8" t="str">
        <f ca="1">IFERROR(__xludf.DUMMYFUNCTION("IF
(
G5125=""фізична особа""
,
VLOOKUP(H5125,IMPORTRANGE(""https://docs.google.com/spreadsheets/d/14Bd19lYaqBhU8_DElYkX7l4wRkHqqCUFNJY4AfY3kHU/edit?usp=sharing  #gid=0"",""фіз особи new!relations_name""),6,FALSE)
,
(IF
(
G5125=""юридична особа""
,
VLOOKUP"&amp;"(H5125,IMPORTRANGE(""https://docs.google.com/spreadsheets/d/14Bd19lYaqBhU8_DElYkX7l4wRkHqqCUFNJY4AfY3kHU/edit?usp=sharing  #gid=0"",""фіз особи new!relations_name_uo""),7,FALSE)
,
)
))"),"#N/A")</f>
        <v>#N/A</v>
      </c>
      <c r="J5124" s="7" t="s">
        <v>21</v>
      </c>
    </row>
    <row r="5125" spans="1:10" ht="13.2">
      <c r="A5125" s="7">
        <v>5124</v>
      </c>
      <c r="B5125" s="7">
        <v>1</v>
      </c>
      <c r="C5125" s="7" t="s">
        <v>10</v>
      </c>
      <c r="D5125" s="7">
        <v>4250</v>
      </c>
      <c r="E5125" s="7" t="s">
        <v>31</v>
      </c>
      <c r="F5125" s="8" t="str">
        <f ca="1">IFERROR(__xludf.DUMMYFUNCTION("IF
(
C5126=""фізична особа""
,
VLOOKUP(D5126,IMPORTRANGE(""https://docs.google.com/spreadsheets/d/14Bd19lYaqBhU8_DElYkX7l4wRkHqqCUFNJY4AfY3kHU/edit?usp=sharing  #gid=0"",""фіз особи new!relations_name""),6,FALSE)
,
(IF
(
C5126=""юридична особа""
,
VLOOKUP"&amp;"(D5126,IMPORTRANGE(""https://docs.google.com/spreadsheets/d/14Bd19lYaqBhU8_DElYkX7l4wRkHqqCUFNJY4AfY3kHU/edit?usp=sharing  #gid=0"",""фіз особи new!relations_name_uo""),7,FALSE)
,
)
))"),"СИТНІКОВА Олена В'ячеславівна")</f>
        <v>СИТНІКОВА Олена В'ячеславівна</v>
      </c>
      <c r="G5125" s="7" t="s">
        <v>10</v>
      </c>
      <c r="H5125" s="7">
        <v>0</v>
      </c>
      <c r="I5125" s="8" t="str">
        <f ca="1">IFERROR(__xludf.DUMMYFUNCTION("IF
(
G5126=""фізична особа""
,
VLOOKUP(H5126,IMPORTRANGE(""https://docs.google.com/spreadsheets/d/14Bd19lYaqBhU8_DElYkX7l4wRkHqqCUFNJY4AfY3kHU/edit?usp=sharing  #gid=0"",""фіз особи new!relations_name""),6,FALSE)
,
(IF
(
G5126=""юридична особа""
,
VLOOKUP"&amp;"(H5126,IMPORTRANGE(""https://docs.google.com/spreadsheets/d/14Bd19lYaqBhU8_DElYkX7l4wRkHqqCUFNJY4AfY3kHU/edit?usp=sharing  #gid=0"",""фіз особи new!relations_name_uo""),7,FALSE)
,
)
))"),"#N/A")</f>
        <v>#N/A</v>
      </c>
      <c r="J5125" s="7" t="s">
        <v>18</v>
      </c>
    </row>
    <row r="5126" spans="1:10" ht="13.2">
      <c r="A5126" s="7">
        <v>5125</v>
      </c>
      <c r="B5126" s="7">
        <v>1</v>
      </c>
      <c r="C5126" s="7" t="s">
        <v>10</v>
      </c>
      <c r="D5126" s="7">
        <v>4253</v>
      </c>
      <c r="E5126" s="7" t="s">
        <v>28</v>
      </c>
      <c r="F5126" s="8" t="str">
        <f ca="1">IFERROR(__xludf.DUMMYFUNCTION("IF
(
C5127=""фізична особа""
,
VLOOKUP(D5127,IMPORTRANGE(""https://docs.google.com/spreadsheets/d/14Bd19lYaqBhU8_DElYkX7l4wRkHqqCUFNJY4AfY3kHU/edit?usp=sharing  #gid=0"",""фіз особи new!relations_name""),6,FALSE)
,
(IF
(
C5127=""юридична особа""
,
VLOOKUP"&amp;"(D5127,IMPORTRANGE(""https://docs.google.com/spreadsheets/d/14Bd19lYaqBhU8_DElYkX7l4wRkHqqCUFNJY4AfY3kHU/edit?usp=sharing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26" s="7" t="s">
        <v>10</v>
      </c>
      <c r="H5126" s="7">
        <v>2527</v>
      </c>
      <c r="I5126" s="8" t="str">
        <f ca="1">IFERROR(__xludf.DUMMYFUNCTION("IF
(
G5127=""фізична особа""
,
VLOOKUP(H5127,IMPORTRANGE(""https://docs.google.com/spreadsheets/d/14Bd19lYaqBhU8_DElYkX7l4wRkHqqCUFNJY4AfY3kHU/edit?usp=sharing  #gid=0"",""фіз особи new!relations_name""),6,FALSE)
,
(IF
(
G5127=""юридична особа""
,
VLOOKUP"&amp;"(H5127,IMPORTRANGE(""https://docs.google.com/spreadsheets/d/14Bd19lYaqBhU8_DElYkX7l4wRkHqqCUFNJY4AfY3kHU/edit?usp=sharing  #gid=0"",""фіз особи new!relations_name_uo""),7,FALSE)
,
)
))"),"БАБУШКІН Ігор Юрійович")</f>
        <v>БАБУШКІН Ігор Юрійович</v>
      </c>
      <c r="J5126" s="7" t="s">
        <v>29</v>
      </c>
    </row>
    <row r="5127" spans="1:10" ht="13.2">
      <c r="A5127" s="7">
        <v>5126</v>
      </c>
      <c r="B5127" s="7">
        <v>1</v>
      </c>
      <c r="C5127" s="7" t="s">
        <v>10</v>
      </c>
      <c r="D5127" s="7">
        <v>4253</v>
      </c>
      <c r="E5127" s="7" t="s">
        <v>29</v>
      </c>
      <c r="F5127" s="8" t="str">
        <f ca="1">IFERROR(__xludf.DUMMYFUNCTION("IF
(
C5128=""фізична особа""
,
VLOOKUP(D5128,IMPORTRANGE(""https://docs.google.com/spreadsheets/d/14Bd19lYaqBhU8_DElYkX7l4wRkHqqCUFNJY4AfY3kHU/edit?usp=sharing  #gid=0"",""фіз особи new!relations_name""),6,FALSE)
,
(IF
(
C5128=""юридична особа""
,
VLOOKUP"&amp;"(D5128,IMPORTRANGE(""https://docs.google.com/spreadsheets/d/14Bd19lYaqBhU8_DElYkX7l4wRkHqqCUFNJY4AfY3kHU/edit?usp=sharing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27" s="7" t="s">
        <v>10</v>
      </c>
      <c r="H5127" s="7">
        <v>0</v>
      </c>
      <c r="I5127" s="8" t="str">
        <f ca="1">IFERROR(__xludf.DUMMYFUNCTION("IF
(
G5128=""фізична особа""
,
VLOOKUP(H5128,IMPORTRANGE(""https://docs.google.com/spreadsheets/d/14Bd19lYaqBhU8_DElYkX7l4wRkHqqCUFNJY4AfY3kHU/edit?usp=sharing  #gid=0"",""фіз особи new!relations_name""),6,FALSE)
,
(IF
(
G5128=""юридична особа""
,
VLOOKUP"&amp;"(H5128,IMPORTRANGE(""https://docs.google.com/spreadsheets/d/14Bd19lYaqBhU8_DElYkX7l4wRkHqqCUFNJY4AfY3kHU/edit?usp=sharing  #gid=0"",""фіз особи new!relations_name_uo""),7,FALSE)
,
)
))"),"#N/A")</f>
        <v>#N/A</v>
      </c>
      <c r="J5127" s="7" t="s">
        <v>28</v>
      </c>
    </row>
    <row r="5128" spans="1:10" ht="13.2">
      <c r="A5128" s="7">
        <v>5127</v>
      </c>
      <c r="B5128" s="7">
        <v>1</v>
      </c>
      <c r="C5128" s="7" t="s">
        <v>10</v>
      </c>
      <c r="D5128" s="7">
        <v>4253</v>
      </c>
      <c r="E5128" s="7" t="s">
        <v>29</v>
      </c>
      <c r="F5128" s="8" t="str">
        <f ca="1">IFERROR(__xludf.DUMMYFUNCTION("IF
(
C5129=""фізична особа""
,
VLOOKUP(D5129,IMPORTRANGE(""https://docs.google.com/spreadsheets/d/14Bd19lYaqBhU8_DElYkX7l4wRkHqqCUFNJY4AfY3kHU/edit?usp=sharing  #gid=0"",""фіз особи new!relations_name""),6,FALSE)
,
(IF
(
C5129=""юридична особа""
,
VLOOKUP"&amp;"(D5129,IMPORTRANGE(""https://docs.google.com/spreadsheets/d/14Bd19lYaqBhU8_DElYkX7l4wRkHqqCUFNJY4AfY3kHU/edit?usp=sharing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28" s="7" t="s">
        <v>10</v>
      </c>
      <c r="H5128" s="7">
        <v>0</v>
      </c>
      <c r="I5128" s="8" t="str">
        <f ca="1">IFERROR(__xludf.DUMMYFUNCTION("IF
(
G5129=""фізична особа""
,
VLOOKUP(H5129,IMPORTRANGE(""https://docs.google.com/spreadsheets/d/14Bd19lYaqBhU8_DElYkX7l4wRkHqqCUFNJY4AfY3kHU/edit?usp=sharing  #gid=0"",""фіз особи new!relations_name""),6,FALSE)
,
(IF
(
G5129=""юридична особа""
,
VLOOKUP"&amp;"(H5129,IMPORTRANGE(""https://docs.google.com/spreadsheets/d/14Bd19lYaqBhU8_DElYkX7l4wRkHqqCUFNJY4AfY3kHU/edit?usp=sharing  #gid=0"",""фіз особи new!relations_name_uo""),7,FALSE)
,
)
))"),"#N/A")</f>
        <v>#N/A</v>
      </c>
      <c r="J5128" s="7" t="s">
        <v>28</v>
      </c>
    </row>
    <row r="5129" spans="1:10" ht="13.2">
      <c r="A5129" s="7">
        <v>5128</v>
      </c>
      <c r="B5129" s="7">
        <v>1</v>
      </c>
      <c r="C5129" s="7" t="s">
        <v>10</v>
      </c>
      <c r="D5129" s="7">
        <v>4253</v>
      </c>
      <c r="E5129" s="7" t="s">
        <v>29</v>
      </c>
      <c r="F5129" s="8" t="str">
        <f ca="1">IFERROR(__xludf.DUMMYFUNCTION("IF
(
C5130=""фізична особа""
,
VLOOKUP(D5130,IMPORTRANGE(""https://docs.google.com/spreadsheets/d/14Bd19lYaqBhU8_DElYkX7l4wRkHqqCUFNJY4AfY3kHU/edit?usp=sharing  #gid=0"",""фіз особи new!relations_name""),6,FALSE)
,
(IF
(
C5130=""юридична особа""
,
VLOOKUP"&amp;"(D5130,IMPORTRANGE(""https://docs.google.com/spreadsheets/d/14Bd19lYaqBhU8_DElYkX7l4wRkHqqCUFNJY4AfY3kHU/edit?usp=sharing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29" s="7" t="s">
        <v>10</v>
      </c>
      <c r="H5129" s="7">
        <v>0</v>
      </c>
      <c r="I5129" s="8" t="str">
        <f ca="1">IFERROR(__xludf.DUMMYFUNCTION("IF
(
G5130=""фізична особа""
,
VLOOKUP(H5130,IMPORTRANGE(""https://docs.google.com/spreadsheets/d/14Bd19lYaqBhU8_DElYkX7l4wRkHqqCUFNJY4AfY3kHU/edit?usp=sharing  #gid=0"",""фіз особи new!relations_name""),6,FALSE)
,
(IF
(
G5130=""юридична особа""
,
VLOOKUP"&amp;"(H5130,IMPORTRANGE(""https://docs.google.com/spreadsheets/d/14Bd19lYaqBhU8_DElYkX7l4wRkHqqCUFNJY4AfY3kHU/edit?usp=sharing  #gid=0"",""фіз особи new!relations_name_uo""),7,FALSE)
,
)
))"),"#N/A")</f>
        <v>#N/A</v>
      </c>
      <c r="J5129" s="7" t="s">
        <v>28</v>
      </c>
    </row>
    <row r="5130" spans="1:10" ht="13.2">
      <c r="A5130" s="7">
        <v>5129</v>
      </c>
      <c r="B5130" s="7">
        <v>1</v>
      </c>
      <c r="C5130" s="7" t="s">
        <v>10</v>
      </c>
      <c r="D5130" s="7">
        <v>4253</v>
      </c>
      <c r="E5130" s="7" t="s">
        <v>29</v>
      </c>
      <c r="F5130" s="8" t="str">
        <f ca="1">IFERROR(__xludf.DUMMYFUNCTION("IF
(
C5131=""фізична особа""
,
VLOOKUP(D5131,IMPORTRANGE(""https://docs.google.com/spreadsheets/d/14Bd19lYaqBhU8_DElYkX7l4wRkHqqCUFNJY4AfY3kHU/edit?usp=sharing  #gid=0"",""фіз особи new!relations_name""),6,FALSE)
,
(IF
(
C5131=""юридична особа""
,
VLOOKUP"&amp;"(D5131,IMPORTRANGE(""https://docs.google.com/spreadsheets/d/14Bd19lYaqBhU8_DElYkX7l4wRkHqqCUFNJY4AfY3kHU/edit?usp=sharing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30" s="7" t="s">
        <v>10</v>
      </c>
      <c r="H5130" s="7">
        <v>0</v>
      </c>
      <c r="I5130" s="8" t="str">
        <f ca="1">IFERROR(__xludf.DUMMYFUNCTION("IF
(
G5131=""фізична особа""
,
VLOOKUP(H5131,IMPORTRANGE(""https://docs.google.com/spreadsheets/d/14Bd19lYaqBhU8_DElYkX7l4wRkHqqCUFNJY4AfY3kHU/edit?usp=sharing  #gid=0"",""фіз особи new!relations_name""),6,FALSE)
,
(IF
(
G5131=""юридична особа""
,
VLOOKUP"&amp;"(H5131,IMPORTRANGE(""https://docs.google.com/spreadsheets/d/14Bd19lYaqBhU8_DElYkX7l4wRkHqqCUFNJY4AfY3kHU/edit?usp=sharing  #gid=0"",""фіз особи new!relations_name_uo""),7,FALSE)
,
)
))"),"#N/A")</f>
        <v>#N/A</v>
      </c>
      <c r="J5130" s="7" t="s">
        <v>28</v>
      </c>
    </row>
    <row r="5131" spans="1:10" ht="13.2">
      <c r="A5131" s="7">
        <v>5130</v>
      </c>
      <c r="B5131" s="7">
        <v>1</v>
      </c>
      <c r="C5131" s="7" t="s">
        <v>10</v>
      </c>
      <c r="D5131" s="7">
        <v>4253</v>
      </c>
      <c r="E5131" s="7" t="s">
        <v>29</v>
      </c>
      <c r="F5131" s="8" t="str">
        <f ca="1">IFERROR(__xludf.DUMMYFUNCTION("IF
(
C5132=""фізична особа""
,
VLOOKUP(D5132,IMPORTRANGE(""https://docs.google.com/spreadsheets/d/14Bd19lYaqBhU8_DElYkX7l4wRkHqqCUFNJY4AfY3kHU/edit?usp=sharing  #gid=0"",""фіз особи new!relations_name""),6,FALSE)
,
(IF
(
C5132=""юридична особа""
,
VLOOKUP"&amp;"(D5132,IMPORTRANGE(""https://docs.google.com/spreadsheets/d/14Bd19lYaqBhU8_DElYkX7l4wRkHqqCUFNJY4AfY3kHU/edit?usp=sharing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31" s="7" t="s">
        <v>10</v>
      </c>
      <c r="H5131" s="7">
        <v>0</v>
      </c>
      <c r="I5131" s="8" t="str">
        <f ca="1">IFERROR(__xludf.DUMMYFUNCTION("IF
(
G5132=""фізична особа""
,
VLOOKUP(H5132,IMPORTRANGE(""https://docs.google.com/spreadsheets/d/14Bd19lYaqBhU8_DElYkX7l4wRkHqqCUFNJY4AfY3kHU/edit?usp=sharing  #gid=0"",""фіз особи new!relations_name""),6,FALSE)
,
(IF
(
G5132=""юридична особа""
,
VLOOKUP"&amp;"(H5132,IMPORTRANGE(""https://docs.google.com/spreadsheets/d/14Bd19lYaqBhU8_DElYkX7l4wRkHqqCUFNJY4AfY3kHU/edit?usp=sharing  #gid=0"",""фіз особи new!relations_name_uo""),7,FALSE)
,
)
))"),"#N/A")</f>
        <v>#N/A</v>
      </c>
      <c r="J5131" s="7" t="s">
        <v>28</v>
      </c>
    </row>
    <row r="5132" spans="1:10" ht="13.2">
      <c r="A5132" s="7">
        <v>5131</v>
      </c>
      <c r="B5132" s="7">
        <v>1</v>
      </c>
      <c r="C5132" s="7" t="s">
        <v>10</v>
      </c>
      <c r="D5132" s="7">
        <v>4253</v>
      </c>
      <c r="E5132" s="7" t="s">
        <v>29</v>
      </c>
      <c r="F5132" s="8" t="str">
        <f ca="1">IFERROR(__xludf.DUMMYFUNCTION("IF
(
C5133=""фізична особа""
,
VLOOKUP(D5133,IMPORTRANGE(""https://docs.google.com/spreadsheets/d/14Bd19lYaqBhU8_DElYkX7l4wRkHqqCUFNJY4AfY3kHU/edit?usp=sharing  #gid=0"",""фіз особи new!relations_name""),6,FALSE)
,
(IF
(
C5133=""юридична особа""
,
VLOOKUP"&amp;"(D5133,IMPORTRANGE(""https://docs.google.com/spreadsheets/d/14Bd19lYaqBhU8_DElYkX7l4wRkHqqCUFNJY4AfY3kHU/edit?usp=sharing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32" s="7" t="s">
        <v>10</v>
      </c>
      <c r="H5132" s="7">
        <v>0</v>
      </c>
      <c r="I5132" s="8" t="str">
        <f ca="1">IFERROR(__xludf.DUMMYFUNCTION("IF
(
G5133=""фізична особа""
,
VLOOKUP(H5133,IMPORTRANGE(""https://docs.google.com/spreadsheets/d/14Bd19lYaqBhU8_DElYkX7l4wRkHqqCUFNJY4AfY3kHU/edit?usp=sharing  #gid=0"",""фіз особи new!relations_name""),6,FALSE)
,
(IF
(
G5133=""юридична особа""
,
VLOOKUP"&amp;"(H5133,IMPORTRANGE(""https://docs.google.com/spreadsheets/d/14Bd19lYaqBhU8_DElYkX7l4wRkHqqCUFNJY4AfY3kHU/edit?usp=sharing  #gid=0"",""фіз особи new!relations_name_uo""),7,FALSE)
,
)
))"),"#N/A")</f>
        <v>#N/A</v>
      </c>
      <c r="J5132" s="7" t="s">
        <v>28</v>
      </c>
    </row>
    <row r="5133" spans="1:10" ht="13.2">
      <c r="A5133" s="7">
        <v>5132</v>
      </c>
      <c r="B5133" s="7">
        <v>1</v>
      </c>
      <c r="C5133" s="7" t="s">
        <v>10</v>
      </c>
      <c r="D5133" s="7">
        <v>4253</v>
      </c>
      <c r="E5133" s="7" t="s">
        <v>29</v>
      </c>
      <c r="F5133" s="8" t="str">
        <f ca="1">IFERROR(__xludf.DUMMYFUNCTION("IF
(
C5134=""фізична особа""
,
VLOOKUP(D5134,IMPORTRANGE(""https://docs.google.com/spreadsheets/d/14Bd19lYaqBhU8_DElYkX7l4wRkHqqCUFNJY4AfY3kHU/edit?usp=sharing  #gid=0"",""фіз особи new!relations_name""),6,FALSE)
,
(IF
(
C5134=""юридична особа""
,
VLOOKUP"&amp;"(D5134,IMPORTRANGE(""https://docs.google.com/spreadsheets/d/14Bd19lYaqBhU8_DElYkX7l4wRkHqqCUFNJY4AfY3kHU/edit?usp=sharing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33" s="7" t="s">
        <v>10</v>
      </c>
      <c r="H5133" s="7">
        <v>15460</v>
      </c>
      <c r="I5133" s="8" t="str">
        <f ca="1">IFERROR(__xludf.DUMMYFUNCTION("IF
(
G5134=""фізична особа""
,
VLOOKUP(H5134,IMPORTRANGE(""https://docs.google.com/spreadsheets/d/14Bd19lYaqBhU8_DElYkX7l4wRkHqqCUFNJY4AfY3kHU/edit?usp=sharing  #gid=0"",""фіз особи new!relations_name""),6,FALSE)
,
(IF
(
G5134=""юридична особа""
,
VLOOKUP"&amp;"(H5134,IMPORTRANGE(""https://docs.google.com/spreadsheets/d/14Bd19lYaqBhU8_DElYkX7l4wRkHqqCUFNJY4AfY3kHU/edit?usp=sharing  #gid=0"",""фіз особи new!relations_name_uo""),7,FALSE)
,
)
))"),"МАРТИНОВ Ігор Олександрович")</f>
        <v>МАРТИНОВ Ігор Олександрович</v>
      </c>
      <c r="J5133" s="7" t="s">
        <v>28</v>
      </c>
    </row>
    <row r="5134" spans="1:10" ht="13.2">
      <c r="A5134" s="7">
        <v>5133</v>
      </c>
      <c r="B5134" s="7">
        <v>1</v>
      </c>
      <c r="C5134" s="7" t="s">
        <v>10</v>
      </c>
      <c r="D5134" s="7">
        <v>4253</v>
      </c>
      <c r="E5134" s="7" t="s">
        <v>29</v>
      </c>
      <c r="F5134" s="8" t="str">
        <f ca="1">IFERROR(__xludf.DUMMYFUNCTION("IF
(
C5135=""фізична особа""
,
VLOOKUP(D5135,IMPORTRANGE(""https://docs.google.com/spreadsheets/d/14Bd19lYaqBhU8_DElYkX7l4wRkHqqCUFNJY4AfY3kHU/edit?usp=sharing  #gid=0"",""фіз особи new!relations_name""),6,FALSE)
,
(IF
(
C5135=""юридична особа""
,
VLOOKUP"&amp;"(D5135,IMPORTRANGE(""https://docs.google.com/spreadsheets/d/14Bd19lYaqBhU8_DElYkX7l4wRkHqqCUFNJY4AfY3kHU/edit?usp=sharing  #gid=0"",""фіз особи new!relations_name_uo""),7,FALSE)
,
)
))"),"ПЕРМЯКОВА Марія Миколаївна")</f>
        <v>ПЕРМЯКОВА Марія Миколаївна</v>
      </c>
      <c r="G5134" s="7" t="s">
        <v>10</v>
      </c>
      <c r="H5134" s="7">
        <v>0</v>
      </c>
      <c r="I5134" s="8" t="str">
        <f ca="1">IFERROR(__xludf.DUMMYFUNCTION("IF
(
G5135=""фізична особа""
,
VLOOKUP(H5135,IMPORTRANGE(""https://docs.google.com/spreadsheets/d/14Bd19lYaqBhU8_DElYkX7l4wRkHqqCUFNJY4AfY3kHU/edit?usp=sharing  #gid=0"",""фіз особи new!relations_name""),6,FALSE)
,
(IF
(
G5135=""юридична особа""
,
VLOOKUP"&amp;"(H5135,IMPORTRANGE(""https://docs.google.com/spreadsheets/d/14Bd19lYaqBhU8_DElYkX7l4wRkHqqCUFNJY4AfY3kHU/edit?usp=sharing  #gid=0"",""фіз особи new!relations_name_uo""),7,FALSE)
,
)
))"),"#N/A")</f>
        <v>#N/A</v>
      </c>
      <c r="J5134" s="7" t="s">
        <v>28</v>
      </c>
    </row>
    <row r="5135" spans="1:10" ht="13.2">
      <c r="A5135" s="7">
        <v>5134</v>
      </c>
      <c r="B5135" s="7">
        <v>1</v>
      </c>
      <c r="C5135" s="7" t="s">
        <v>10</v>
      </c>
      <c r="D5135" s="7">
        <v>4254</v>
      </c>
      <c r="E5135" s="7" t="s">
        <v>30</v>
      </c>
      <c r="F5135" s="8" t="str">
        <f ca="1">IFERROR(__xludf.DUMMYFUNCTION("IF
(
C5136=""фізична особа""
,
VLOOKUP(D5136,IMPORTRANGE(""https://docs.google.com/spreadsheets/d/14Bd19lYaqBhU8_DElYkX7l4wRkHqqCUFNJY4AfY3kHU/edit?usp=sharing  #gid=0"",""фіз особи new!relations_name""),6,FALSE)
,
(IF
(
C5136=""юридична особа""
,
VLOOKUP"&amp;"(D5136,IMPORTRANGE(""https://docs.google.com/spreadsheets/d/14Bd19lYaqBhU8_DElYkX7l4wRkHqqCUFNJY4AfY3kHU/edit?usp=sharing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35" s="7" t="s">
        <v>10</v>
      </c>
      <c r="H5135" s="7">
        <v>0</v>
      </c>
      <c r="I5135" s="8" t="str">
        <f ca="1">IFERROR(__xludf.DUMMYFUNCTION("IF
(
G5136=""фізична особа""
,
VLOOKUP(H5136,IMPORTRANGE(""https://docs.google.com/spreadsheets/d/14Bd19lYaqBhU8_DElYkX7l4wRkHqqCUFNJY4AfY3kHU/edit?usp=sharing  #gid=0"",""фіз особи new!relations_name""),6,FALSE)
,
(IF
(
G5136=""юридична особа""
,
VLOOKUP"&amp;"(H5136,IMPORTRANGE(""https://docs.google.com/spreadsheets/d/14Bd19lYaqBhU8_DElYkX7l4wRkHqqCUFNJY4AfY3kHU/edit?usp=sharing  #gid=0"",""фіз особи new!relations_name_uo""),7,FALSE)
,
)
))"),"#N/A")</f>
        <v>#N/A</v>
      </c>
      <c r="J5135" s="7" t="s">
        <v>30</v>
      </c>
    </row>
    <row r="5136" spans="1:10" ht="13.2">
      <c r="A5136" s="7">
        <v>5135</v>
      </c>
      <c r="B5136" s="7">
        <v>1</v>
      </c>
      <c r="C5136" s="7" t="s">
        <v>10</v>
      </c>
      <c r="D5136" s="7">
        <v>4254</v>
      </c>
      <c r="E5136" s="7" t="s">
        <v>30</v>
      </c>
      <c r="F5136" s="8" t="str">
        <f ca="1">IFERROR(__xludf.DUMMYFUNCTION("IF
(
C5137=""фізична особа""
,
VLOOKUP(D5137,IMPORTRANGE(""https://docs.google.com/spreadsheets/d/14Bd19lYaqBhU8_DElYkX7l4wRkHqqCUFNJY4AfY3kHU/edit?usp=sharing  #gid=0"",""фіз особи new!relations_name""),6,FALSE)
,
(IF
(
C5137=""юридична особа""
,
VLOOKUP"&amp;"(D5137,IMPORTRANGE(""https://docs.google.com/spreadsheets/d/14Bd19lYaqBhU8_DElYkX7l4wRkHqqCUFNJY4AfY3kHU/edit?usp=sharing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36" s="7" t="s">
        <v>10</v>
      </c>
      <c r="H5136" s="7">
        <v>0</v>
      </c>
      <c r="I5136" s="8" t="str">
        <f ca="1">IFERROR(__xludf.DUMMYFUNCTION("IF
(
G5137=""фізична особа""
,
VLOOKUP(H5137,IMPORTRANGE(""https://docs.google.com/spreadsheets/d/14Bd19lYaqBhU8_DElYkX7l4wRkHqqCUFNJY4AfY3kHU/edit?usp=sharing  #gid=0"",""фіз особи new!relations_name""),6,FALSE)
,
(IF
(
G5137=""юридична особа""
,
VLOOKUP"&amp;"(H5137,IMPORTRANGE(""https://docs.google.com/spreadsheets/d/14Bd19lYaqBhU8_DElYkX7l4wRkHqqCUFNJY4AfY3kHU/edit?usp=sharing  #gid=0"",""фіз особи new!relations_name_uo""),7,FALSE)
,
)
))"),"#N/A")</f>
        <v>#N/A</v>
      </c>
      <c r="J5136" s="7" t="s">
        <v>30</v>
      </c>
    </row>
    <row r="5137" spans="1:10" ht="13.2">
      <c r="A5137" s="7">
        <v>5136</v>
      </c>
      <c r="B5137" s="7">
        <v>1</v>
      </c>
      <c r="C5137" s="7" t="s">
        <v>10</v>
      </c>
      <c r="D5137" s="7">
        <v>4254</v>
      </c>
      <c r="E5137" s="7" t="s">
        <v>30</v>
      </c>
      <c r="F5137" s="8" t="str">
        <f ca="1">IFERROR(__xludf.DUMMYFUNCTION("IF
(
C5138=""фізична особа""
,
VLOOKUP(D5138,IMPORTRANGE(""https://docs.google.com/spreadsheets/d/14Bd19lYaqBhU8_DElYkX7l4wRkHqqCUFNJY4AfY3kHU/edit?usp=sharing  #gid=0"",""фіз особи new!relations_name""),6,FALSE)
,
(IF
(
C5138=""юридична особа""
,
VLOOKUP"&amp;"(D5138,IMPORTRANGE(""https://docs.google.com/spreadsheets/d/14Bd19lYaqBhU8_DElYkX7l4wRkHqqCUFNJY4AfY3kHU/edit?usp=sharing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37" s="7" t="s">
        <v>10</v>
      </c>
      <c r="H5137" s="7">
        <v>0</v>
      </c>
      <c r="I5137" s="8" t="str">
        <f ca="1">IFERROR(__xludf.DUMMYFUNCTION("IF
(
G5138=""фізична особа""
,
VLOOKUP(H5138,IMPORTRANGE(""https://docs.google.com/spreadsheets/d/14Bd19lYaqBhU8_DElYkX7l4wRkHqqCUFNJY4AfY3kHU/edit?usp=sharing  #gid=0"",""фіз особи new!relations_name""),6,FALSE)
,
(IF
(
G5138=""юридична особа""
,
VLOOKUP"&amp;"(H5138,IMPORTRANGE(""https://docs.google.com/spreadsheets/d/14Bd19lYaqBhU8_DElYkX7l4wRkHqqCUFNJY4AfY3kHU/edit?usp=sharing  #gid=0"",""фіз особи new!relations_name_uo""),7,FALSE)
,
)
))"),"#N/A")</f>
        <v>#N/A</v>
      </c>
      <c r="J5137" s="7" t="s">
        <v>30</v>
      </c>
    </row>
    <row r="5138" spans="1:10" ht="13.2">
      <c r="A5138" s="7">
        <v>5137</v>
      </c>
      <c r="B5138" s="7">
        <v>1</v>
      </c>
      <c r="C5138" s="7" t="s">
        <v>10</v>
      </c>
      <c r="D5138" s="7">
        <v>4254</v>
      </c>
      <c r="E5138" s="7" t="s">
        <v>29</v>
      </c>
      <c r="F5138" s="8" t="str">
        <f ca="1">IFERROR(__xludf.DUMMYFUNCTION("IF
(
C5139=""фізична особа""
,
VLOOKUP(D5139,IMPORTRANGE(""https://docs.google.com/spreadsheets/d/14Bd19lYaqBhU8_DElYkX7l4wRkHqqCUFNJY4AfY3kHU/edit?usp=sharing  #gid=0"",""фіз особи new!relations_name""),6,FALSE)
,
(IF
(
C5139=""юридична особа""
,
VLOOKUP"&amp;"(D5139,IMPORTRANGE(""https://docs.google.com/spreadsheets/d/14Bd19lYaqBhU8_DElYkX7l4wRkHqqCUFNJY4AfY3kHU/edit?usp=sharing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38" s="7" t="s">
        <v>10</v>
      </c>
      <c r="H5138" s="7">
        <v>0</v>
      </c>
      <c r="I5138" s="8" t="str">
        <f ca="1">IFERROR(__xludf.DUMMYFUNCTION("IF
(
G5139=""фізична особа""
,
VLOOKUP(H5139,IMPORTRANGE(""https://docs.google.com/spreadsheets/d/14Bd19lYaqBhU8_DElYkX7l4wRkHqqCUFNJY4AfY3kHU/edit?usp=sharing  #gid=0"",""фіз особи new!relations_name""),6,FALSE)
,
(IF
(
G5139=""юридична особа""
,
VLOOKUP"&amp;"(H5139,IMPORTRANGE(""https://docs.google.com/spreadsheets/d/14Bd19lYaqBhU8_DElYkX7l4wRkHqqCUFNJY4AfY3kHU/edit?usp=sharing  #gid=0"",""фіз особи new!relations_name_uo""),7,FALSE)
,
)
))"),"#N/A")</f>
        <v>#N/A</v>
      </c>
      <c r="J5138" s="7" t="s">
        <v>28</v>
      </c>
    </row>
    <row r="5139" spans="1:10" ht="13.2">
      <c r="A5139" s="7">
        <v>5138</v>
      </c>
      <c r="B5139" s="7">
        <v>1</v>
      </c>
      <c r="C5139" s="7" t="s">
        <v>10</v>
      </c>
      <c r="D5139" s="7">
        <v>4254</v>
      </c>
      <c r="E5139" s="7" t="s">
        <v>29</v>
      </c>
      <c r="F5139" s="8" t="str">
        <f ca="1">IFERROR(__xludf.DUMMYFUNCTION("IF
(
C5140=""фізична особа""
,
VLOOKUP(D5140,IMPORTRANGE(""https://docs.google.com/spreadsheets/d/14Bd19lYaqBhU8_DElYkX7l4wRkHqqCUFNJY4AfY3kHU/edit?usp=sharing  #gid=0"",""фіз особи new!relations_name""),6,FALSE)
,
(IF
(
C5140=""юридична особа""
,
VLOOKUP"&amp;"(D5140,IMPORTRANGE(""https://docs.google.com/spreadsheets/d/14Bd19lYaqBhU8_DElYkX7l4wRkHqqCUFNJY4AfY3kHU/edit?usp=sharing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39" s="7" t="s">
        <v>10</v>
      </c>
      <c r="H5139" s="7">
        <v>0</v>
      </c>
      <c r="I5139" s="8" t="str">
        <f ca="1">IFERROR(__xludf.DUMMYFUNCTION("IF
(
G5140=""фізична особа""
,
VLOOKUP(H5140,IMPORTRANGE(""https://docs.google.com/spreadsheets/d/14Bd19lYaqBhU8_DElYkX7l4wRkHqqCUFNJY4AfY3kHU/edit?usp=sharing  #gid=0"",""фіз особи new!relations_name""),6,FALSE)
,
(IF
(
G5140=""юридична особа""
,
VLOOKUP"&amp;"(H5140,IMPORTRANGE(""https://docs.google.com/spreadsheets/d/14Bd19lYaqBhU8_DElYkX7l4wRkHqqCUFNJY4AfY3kHU/edit?usp=sharing  #gid=0"",""фіз особи new!relations_name_uo""),7,FALSE)
,
)
))"),"#N/A")</f>
        <v>#N/A</v>
      </c>
      <c r="J5139" s="7" t="s">
        <v>28</v>
      </c>
    </row>
    <row r="5140" spans="1:10" ht="13.2">
      <c r="A5140" s="7">
        <v>5139</v>
      </c>
      <c r="B5140" s="7">
        <v>1</v>
      </c>
      <c r="C5140" s="7" t="s">
        <v>10</v>
      </c>
      <c r="D5140" s="7">
        <v>4254</v>
      </c>
      <c r="E5140" s="7" t="s">
        <v>29</v>
      </c>
      <c r="F5140" s="8" t="str">
        <f ca="1">IFERROR(__xludf.DUMMYFUNCTION("IF
(
C5141=""фізична особа""
,
VLOOKUP(D5141,IMPORTRANGE(""https://docs.google.com/spreadsheets/d/14Bd19lYaqBhU8_DElYkX7l4wRkHqqCUFNJY4AfY3kHU/edit?usp=sharing  #gid=0"",""фіз особи new!relations_name""),6,FALSE)
,
(IF
(
C5141=""юридична особа""
,
VLOOKUP"&amp;"(D5141,IMPORTRANGE(""https://docs.google.com/spreadsheets/d/14Bd19lYaqBhU8_DElYkX7l4wRkHqqCUFNJY4AfY3kHU/edit?usp=sharing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0" s="7" t="s">
        <v>10</v>
      </c>
      <c r="H5140" s="7">
        <v>0</v>
      </c>
      <c r="I5140" s="8" t="str">
        <f ca="1">IFERROR(__xludf.DUMMYFUNCTION("IF
(
G5141=""фізична особа""
,
VLOOKUP(H5141,IMPORTRANGE(""https://docs.google.com/spreadsheets/d/14Bd19lYaqBhU8_DElYkX7l4wRkHqqCUFNJY4AfY3kHU/edit?usp=sharing  #gid=0"",""фіз особи new!relations_name""),6,FALSE)
,
(IF
(
G5141=""юридична особа""
,
VLOOKUP"&amp;"(H5141,IMPORTRANGE(""https://docs.google.com/spreadsheets/d/14Bd19lYaqBhU8_DElYkX7l4wRkHqqCUFNJY4AfY3kHU/edit?usp=sharing  #gid=0"",""фіз особи new!relations_name_uo""),7,FALSE)
,
)
))"),"#N/A")</f>
        <v>#N/A</v>
      </c>
      <c r="J5140" s="7" t="s">
        <v>28</v>
      </c>
    </row>
    <row r="5141" spans="1:10" ht="13.2">
      <c r="A5141" s="7">
        <v>5140</v>
      </c>
      <c r="B5141" s="7">
        <v>1</v>
      </c>
      <c r="C5141" s="7" t="s">
        <v>10</v>
      </c>
      <c r="D5141" s="7">
        <v>4254</v>
      </c>
      <c r="E5141" s="7" t="s">
        <v>29</v>
      </c>
      <c r="F5141" s="8" t="str">
        <f ca="1">IFERROR(__xludf.DUMMYFUNCTION("IF
(
C5142=""фізична особа""
,
VLOOKUP(D5142,IMPORTRANGE(""https://docs.google.com/spreadsheets/d/14Bd19lYaqBhU8_DElYkX7l4wRkHqqCUFNJY4AfY3kHU/edit?usp=sharing  #gid=0"",""фіз особи new!relations_name""),6,FALSE)
,
(IF
(
C5142=""юридична особа""
,
VLOOKUP"&amp;"(D5142,IMPORTRANGE(""https://docs.google.com/spreadsheets/d/14Bd19lYaqBhU8_DElYkX7l4wRkHqqCUFNJY4AfY3kHU/edit?usp=sharing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1" s="7" t="s">
        <v>10</v>
      </c>
      <c r="H5141" s="7">
        <v>0</v>
      </c>
      <c r="I5141" s="8" t="str">
        <f ca="1">IFERROR(__xludf.DUMMYFUNCTION("IF
(
G5142=""фізична особа""
,
VLOOKUP(H5142,IMPORTRANGE(""https://docs.google.com/spreadsheets/d/14Bd19lYaqBhU8_DElYkX7l4wRkHqqCUFNJY4AfY3kHU/edit?usp=sharing  #gid=0"",""фіз особи new!relations_name""),6,FALSE)
,
(IF
(
G5142=""юридична особа""
,
VLOOKUP"&amp;"(H5142,IMPORTRANGE(""https://docs.google.com/spreadsheets/d/14Bd19lYaqBhU8_DElYkX7l4wRkHqqCUFNJY4AfY3kHU/edit?usp=sharing  #gid=0"",""фіз особи new!relations_name_uo""),7,FALSE)
,
)
))"),"#N/A")</f>
        <v>#N/A</v>
      </c>
      <c r="J5141" s="7" t="s">
        <v>28</v>
      </c>
    </row>
    <row r="5142" spans="1:10" ht="13.2">
      <c r="A5142" s="7">
        <v>5141</v>
      </c>
      <c r="B5142" s="7">
        <v>1</v>
      </c>
      <c r="C5142" s="7" t="s">
        <v>10</v>
      </c>
      <c r="D5142" s="7">
        <v>4254</v>
      </c>
      <c r="E5142" s="7" t="s">
        <v>29</v>
      </c>
      <c r="F5142" s="8" t="str">
        <f ca="1">IFERROR(__xludf.DUMMYFUNCTION("IF
(
C5143=""фізична особа""
,
VLOOKUP(D5143,IMPORTRANGE(""https://docs.google.com/spreadsheets/d/14Bd19lYaqBhU8_DElYkX7l4wRkHqqCUFNJY4AfY3kHU/edit?usp=sharing  #gid=0"",""фіз особи new!relations_name""),6,FALSE)
,
(IF
(
C5143=""юридична особа""
,
VLOOKUP"&amp;"(D5143,IMPORTRANGE(""https://docs.google.com/spreadsheets/d/14Bd19lYaqBhU8_DElYkX7l4wRkHqqCUFNJY4AfY3kHU/edit?usp=sharing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2" s="7" t="s">
        <v>10</v>
      </c>
      <c r="H5142" s="7">
        <v>0</v>
      </c>
      <c r="I5142" s="8" t="str">
        <f ca="1">IFERROR(__xludf.DUMMYFUNCTION("IF
(
G5143=""фізична особа""
,
VLOOKUP(H5143,IMPORTRANGE(""https://docs.google.com/spreadsheets/d/14Bd19lYaqBhU8_DElYkX7l4wRkHqqCUFNJY4AfY3kHU/edit?usp=sharing  #gid=0"",""фіз особи new!relations_name""),6,FALSE)
,
(IF
(
G5143=""юридична особа""
,
VLOOKUP"&amp;"(H5143,IMPORTRANGE(""https://docs.google.com/spreadsheets/d/14Bd19lYaqBhU8_DElYkX7l4wRkHqqCUFNJY4AfY3kHU/edit?usp=sharing  #gid=0"",""фіз особи new!relations_name_uo""),7,FALSE)
,
)
))"),"#N/A")</f>
        <v>#N/A</v>
      </c>
      <c r="J5142" s="7" t="s">
        <v>28</v>
      </c>
    </row>
    <row r="5143" spans="1:10" ht="13.2">
      <c r="A5143" s="7">
        <v>5142</v>
      </c>
      <c r="B5143" s="7">
        <v>1</v>
      </c>
      <c r="C5143" s="7" t="s">
        <v>10</v>
      </c>
      <c r="D5143" s="7">
        <v>4254</v>
      </c>
      <c r="E5143" s="7" t="s">
        <v>29</v>
      </c>
      <c r="F5143" s="8" t="str">
        <f ca="1">IFERROR(__xludf.DUMMYFUNCTION("IF
(
C5144=""фізична особа""
,
VLOOKUP(D5144,IMPORTRANGE(""https://docs.google.com/spreadsheets/d/14Bd19lYaqBhU8_DElYkX7l4wRkHqqCUFNJY4AfY3kHU/edit?usp=sharing  #gid=0"",""фіз особи new!relations_name""),6,FALSE)
,
(IF
(
C5144=""юридична особа""
,
VLOOKUP"&amp;"(D5144,IMPORTRANGE(""https://docs.google.com/spreadsheets/d/14Bd19lYaqBhU8_DElYkX7l4wRkHqqCUFNJY4AfY3kHU/edit?usp=sharing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3" s="7" t="s">
        <v>10</v>
      </c>
      <c r="H5143" s="7">
        <v>0</v>
      </c>
      <c r="I5143" s="8" t="str">
        <f ca="1">IFERROR(__xludf.DUMMYFUNCTION("IF
(
G5144=""фізична особа""
,
VLOOKUP(H5144,IMPORTRANGE(""https://docs.google.com/spreadsheets/d/14Bd19lYaqBhU8_DElYkX7l4wRkHqqCUFNJY4AfY3kHU/edit?usp=sharing  #gid=0"",""фіз особи new!relations_name""),6,FALSE)
,
(IF
(
G5144=""юридична особа""
,
VLOOKUP"&amp;"(H5144,IMPORTRANGE(""https://docs.google.com/spreadsheets/d/14Bd19lYaqBhU8_DElYkX7l4wRkHqqCUFNJY4AfY3kHU/edit?usp=sharing  #gid=0"",""фіз особи new!relations_name_uo""),7,FALSE)
,
)
))"),"#N/A")</f>
        <v>#N/A</v>
      </c>
      <c r="J5143" s="7" t="s">
        <v>28</v>
      </c>
    </row>
    <row r="5144" spans="1:10" ht="13.2">
      <c r="A5144" s="7">
        <v>5143</v>
      </c>
      <c r="B5144" s="7">
        <v>1</v>
      </c>
      <c r="C5144" s="7" t="s">
        <v>10</v>
      </c>
      <c r="D5144" s="7">
        <v>4254</v>
      </c>
      <c r="E5144" s="7" t="s">
        <v>29</v>
      </c>
      <c r="F5144" s="8" t="str">
        <f ca="1">IFERROR(__xludf.DUMMYFUNCTION("IF
(
C5145=""фізична особа""
,
VLOOKUP(D5145,IMPORTRANGE(""https://docs.google.com/spreadsheets/d/14Bd19lYaqBhU8_DElYkX7l4wRkHqqCUFNJY4AfY3kHU/edit?usp=sharing  #gid=0"",""фіз особи new!relations_name""),6,FALSE)
,
(IF
(
C5145=""юридична особа""
,
VLOOKUP"&amp;"(D5145,IMPORTRANGE(""https://docs.google.com/spreadsheets/d/14Bd19lYaqBhU8_DElYkX7l4wRkHqqCUFNJY4AfY3kHU/edit?usp=sharing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4" s="7" t="s">
        <v>10</v>
      </c>
      <c r="H5144" s="7">
        <v>0</v>
      </c>
      <c r="I5144" s="8" t="str">
        <f ca="1">IFERROR(__xludf.DUMMYFUNCTION("IF
(
G5145=""фізична особа""
,
VLOOKUP(H5145,IMPORTRANGE(""https://docs.google.com/spreadsheets/d/14Bd19lYaqBhU8_DElYkX7l4wRkHqqCUFNJY4AfY3kHU/edit?usp=sharing  #gid=0"",""фіз особи new!relations_name""),6,FALSE)
,
(IF
(
G5145=""юридична особа""
,
VLOOKUP"&amp;"(H5145,IMPORTRANGE(""https://docs.google.com/spreadsheets/d/14Bd19lYaqBhU8_DElYkX7l4wRkHqqCUFNJY4AfY3kHU/edit?usp=sharing  #gid=0"",""фіз особи new!relations_name_uo""),7,FALSE)
,
)
))"),"#N/A")</f>
        <v>#N/A</v>
      </c>
      <c r="J5144" s="7" t="s">
        <v>28</v>
      </c>
    </row>
    <row r="5145" spans="1:10" ht="13.2">
      <c r="A5145" s="7">
        <v>5144</v>
      </c>
      <c r="B5145" s="7">
        <v>1</v>
      </c>
      <c r="C5145" s="7" t="s">
        <v>10</v>
      </c>
      <c r="D5145" s="7">
        <v>4254</v>
      </c>
      <c r="E5145" s="7" t="s">
        <v>29</v>
      </c>
      <c r="F5145" s="8" t="str">
        <f ca="1">IFERROR(__xludf.DUMMYFUNCTION("IF
(
C5146=""фізична особа""
,
VLOOKUP(D5146,IMPORTRANGE(""https://docs.google.com/spreadsheets/d/14Bd19lYaqBhU8_DElYkX7l4wRkHqqCUFNJY4AfY3kHU/edit?usp=sharing  #gid=0"",""фіз особи new!relations_name""),6,FALSE)
,
(IF
(
C5146=""юридична особа""
,
VLOOKUP"&amp;"(D5146,IMPORTRANGE(""https://docs.google.com/spreadsheets/d/14Bd19lYaqBhU8_DElYkX7l4wRkHqqCUFNJY4AfY3kHU/edit?usp=sharing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5" s="7" t="s">
        <v>10</v>
      </c>
      <c r="H5145" s="7">
        <v>0</v>
      </c>
      <c r="I5145" s="8" t="str">
        <f ca="1">IFERROR(__xludf.DUMMYFUNCTION("IF
(
G5146=""фізична особа""
,
VLOOKUP(H5146,IMPORTRANGE(""https://docs.google.com/spreadsheets/d/14Bd19lYaqBhU8_DElYkX7l4wRkHqqCUFNJY4AfY3kHU/edit?usp=sharing  #gid=0"",""фіз особи new!relations_name""),6,FALSE)
,
(IF
(
G5146=""юридична особа""
,
VLOOKUP"&amp;"(H5146,IMPORTRANGE(""https://docs.google.com/spreadsheets/d/14Bd19lYaqBhU8_DElYkX7l4wRkHqqCUFNJY4AfY3kHU/edit?usp=sharing  #gid=0"",""фіз особи new!relations_name_uo""),7,FALSE)
,
)
))"),"#N/A")</f>
        <v>#N/A</v>
      </c>
      <c r="J5145" s="7" t="s">
        <v>28</v>
      </c>
    </row>
    <row r="5146" spans="1:10" ht="13.2">
      <c r="A5146" s="7">
        <v>5145</v>
      </c>
      <c r="B5146" s="7">
        <v>1</v>
      </c>
      <c r="C5146" s="7" t="s">
        <v>10</v>
      </c>
      <c r="D5146" s="7">
        <v>4254</v>
      </c>
      <c r="E5146" s="7" t="s">
        <v>29</v>
      </c>
      <c r="F5146" s="8" t="str">
        <f ca="1">IFERROR(__xludf.DUMMYFUNCTION("IF
(
C5147=""фізична особа""
,
VLOOKUP(D5147,IMPORTRANGE(""https://docs.google.com/spreadsheets/d/14Bd19lYaqBhU8_DElYkX7l4wRkHqqCUFNJY4AfY3kHU/edit?usp=sharing  #gid=0"",""фіз особи new!relations_name""),6,FALSE)
,
(IF
(
C5147=""юридична особа""
,
VLOOKUP"&amp;"(D5147,IMPORTRANGE(""https://docs.google.com/spreadsheets/d/14Bd19lYaqBhU8_DElYkX7l4wRkHqqCUFNJY4AfY3kHU/edit?usp=sharing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6" s="7" t="s">
        <v>10</v>
      </c>
      <c r="H5146" s="7">
        <v>0</v>
      </c>
      <c r="I5146" s="8" t="str">
        <f ca="1">IFERROR(__xludf.DUMMYFUNCTION("IF
(
G5147=""фізична особа""
,
VLOOKUP(H5147,IMPORTRANGE(""https://docs.google.com/spreadsheets/d/14Bd19lYaqBhU8_DElYkX7l4wRkHqqCUFNJY4AfY3kHU/edit?usp=sharing  #gid=0"",""фіз особи new!relations_name""),6,FALSE)
,
(IF
(
G5147=""юридична особа""
,
VLOOKUP"&amp;"(H5147,IMPORTRANGE(""https://docs.google.com/spreadsheets/d/14Bd19lYaqBhU8_DElYkX7l4wRkHqqCUFNJY4AfY3kHU/edit?usp=sharing  #gid=0"",""фіз особи new!relations_name_uo""),7,FALSE)
,
)
))"),"#N/A")</f>
        <v>#N/A</v>
      </c>
      <c r="J5146" s="7" t="s">
        <v>28</v>
      </c>
    </row>
    <row r="5147" spans="1:10" ht="13.2">
      <c r="A5147" s="7">
        <v>5146</v>
      </c>
      <c r="B5147" s="7">
        <v>1</v>
      </c>
      <c r="C5147" s="7" t="s">
        <v>10</v>
      </c>
      <c r="D5147" s="7">
        <v>4254</v>
      </c>
      <c r="E5147" s="7" t="s">
        <v>29</v>
      </c>
      <c r="F5147" s="8" t="str">
        <f ca="1">IFERROR(__xludf.DUMMYFUNCTION("IF
(
C5148=""фізична особа""
,
VLOOKUP(D5148,IMPORTRANGE(""https://docs.google.com/spreadsheets/d/14Bd19lYaqBhU8_DElYkX7l4wRkHqqCUFNJY4AfY3kHU/edit?usp=sharing  #gid=0"",""фіз особи new!relations_name""),6,FALSE)
,
(IF
(
C5148=""юридична особа""
,
VLOOKUP"&amp;"(D5148,IMPORTRANGE(""https://docs.google.com/spreadsheets/d/14Bd19lYaqBhU8_DElYkX7l4wRkHqqCUFNJY4AfY3kHU/edit?usp=sharing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7" s="7" t="s">
        <v>10</v>
      </c>
      <c r="H5147" s="7">
        <v>0</v>
      </c>
      <c r="I5147" s="8" t="str">
        <f ca="1">IFERROR(__xludf.DUMMYFUNCTION("IF
(
G5148=""фізична особа""
,
VLOOKUP(H5148,IMPORTRANGE(""https://docs.google.com/spreadsheets/d/14Bd19lYaqBhU8_DElYkX7l4wRkHqqCUFNJY4AfY3kHU/edit?usp=sharing  #gid=0"",""фіз особи new!relations_name""),6,FALSE)
,
(IF
(
G5148=""юридична особа""
,
VLOOKUP"&amp;"(H5148,IMPORTRANGE(""https://docs.google.com/spreadsheets/d/14Bd19lYaqBhU8_DElYkX7l4wRkHqqCUFNJY4AfY3kHU/edit?usp=sharing  #gid=0"",""фіз особи new!relations_name_uo""),7,FALSE)
,
)
))"),"#N/A")</f>
        <v>#N/A</v>
      </c>
      <c r="J5147" s="7" t="s">
        <v>28</v>
      </c>
    </row>
    <row r="5148" spans="1:10" ht="13.2">
      <c r="A5148" s="7">
        <v>5147</v>
      </c>
      <c r="B5148" s="7">
        <v>1</v>
      </c>
      <c r="C5148" s="7" t="s">
        <v>10</v>
      </c>
      <c r="D5148" s="7">
        <v>4254</v>
      </c>
      <c r="E5148" s="7" t="s">
        <v>29</v>
      </c>
      <c r="F5148" s="8" t="str">
        <f ca="1">IFERROR(__xludf.DUMMYFUNCTION("IF
(
C5149=""фізична особа""
,
VLOOKUP(D5149,IMPORTRANGE(""https://docs.google.com/spreadsheets/d/14Bd19lYaqBhU8_DElYkX7l4wRkHqqCUFNJY4AfY3kHU/edit?usp=sharing  #gid=0"",""фіз особи new!relations_name""),6,FALSE)
,
(IF
(
C5149=""юридична особа""
,
VLOOKUP"&amp;"(D5149,IMPORTRANGE(""https://docs.google.com/spreadsheets/d/14Bd19lYaqBhU8_DElYkX7l4wRkHqqCUFNJY4AfY3kHU/edit?usp=sharing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8" s="7" t="s">
        <v>10</v>
      </c>
      <c r="H5148" s="7">
        <v>0</v>
      </c>
      <c r="I5148" s="8" t="str">
        <f ca="1">IFERROR(__xludf.DUMMYFUNCTION("IF
(
G5149=""фізична особа""
,
VLOOKUP(H5149,IMPORTRANGE(""https://docs.google.com/spreadsheets/d/14Bd19lYaqBhU8_DElYkX7l4wRkHqqCUFNJY4AfY3kHU/edit?usp=sharing  #gid=0"",""фіз особи new!relations_name""),6,FALSE)
,
(IF
(
G5149=""юридична особа""
,
VLOOKUP"&amp;"(H5149,IMPORTRANGE(""https://docs.google.com/spreadsheets/d/14Bd19lYaqBhU8_DElYkX7l4wRkHqqCUFNJY4AfY3kHU/edit?usp=sharing  #gid=0"",""фіз особи new!relations_name_uo""),7,FALSE)
,
)
))"),"#N/A")</f>
        <v>#N/A</v>
      </c>
      <c r="J5148" s="7" t="s">
        <v>28</v>
      </c>
    </row>
    <row r="5149" spans="1:10" ht="13.2">
      <c r="A5149" s="7">
        <v>5148</v>
      </c>
      <c r="B5149" s="7">
        <v>1</v>
      </c>
      <c r="C5149" s="7" t="s">
        <v>10</v>
      </c>
      <c r="D5149" s="7">
        <v>4254</v>
      </c>
      <c r="E5149" s="7" t="s">
        <v>29</v>
      </c>
      <c r="F5149" s="8" t="str">
        <f ca="1">IFERROR(__xludf.DUMMYFUNCTION("IF
(
C5150=""фізична особа""
,
VLOOKUP(D5150,IMPORTRANGE(""https://docs.google.com/spreadsheets/d/14Bd19lYaqBhU8_DElYkX7l4wRkHqqCUFNJY4AfY3kHU/edit?usp=sharing  #gid=0"",""фіз особи new!relations_name""),6,FALSE)
,
(IF
(
C5150=""юридична особа""
,
VLOOKUP"&amp;"(D5150,IMPORTRANGE(""https://docs.google.com/spreadsheets/d/14Bd19lYaqBhU8_DElYkX7l4wRkHqqCUFNJY4AfY3kHU/edit?usp=sharing  #gid=0"",""фіз особи new!relations_name_uo""),7,FALSE)
,
)
))"),"ЮРОВ Сергій Геннадійович")</f>
        <v>ЮРОВ Сергій Геннадійович</v>
      </c>
      <c r="G5149" s="7" t="s">
        <v>10</v>
      </c>
      <c r="H5149" s="7">
        <v>0</v>
      </c>
      <c r="I5149" s="8" t="str">
        <f ca="1">IFERROR(__xludf.DUMMYFUNCTION("IF
(
G5150=""фізична особа""
,
VLOOKUP(H5150,IMPORTRANGE(""https://docs.google.com/spreadsheets/d/14Bd19lYaqBhU8_DElYkX7l4wRkHqqCUFNJY4AfY3kHU/edit?usp=sharing  #gid=0"",""фіз особи new!relations_name""),6,FALSE)
,
(IF
(
G5150=""юридична особа""
,
VLOOKUP"&amp;"(H5150,IMPORTRANGE(""https://docs.google.com/spreadsheets/d/14Bd19lYaqBhU8_DElYkX7l4wRkHqqCUFNJY4AfY3kHU/edit?usp=sharing  #gid=0"",""фіз особи new!relations_name_uo""),7,FALSE)
,
)
))"),"#N/A")</f>
        <v>#N/A</v>
      </c>
      <c r="J5149" s="7" t="s">
        <v>28</v>
      </c>
    </row>
    <row r="5150" spans="1:10" ht="13.2">
      <c r="A5150" s="7">
        <v>5149</v>
      </c>
      <c r="B5150" s="7">
        <v>1</v>
      </c>
      <c r="C5150" s="7" t="s">
        <v>10</v>
      </c>
      <c r="D5150" s="7">
        <v>4255</v>
      </c>
      <c r="E5150" s="7" t="s">
        <v>30</v>
      </c>
      <c r="F5150" s="8" t="str">
        <f ca="1">IFERROR(__xludf.DUMMYFUNCTION("IF
(
C5151=""фізична особа""
,
VLOOKUP(D5151,IMPORTRANGE(""https://docs.google.com/spreadsheets/d/14Bd19lYaqBhU8_DElYkX7l4wRkHqqCUFNJY4AfY3kHU/edit?usp=sharing  #gid=0"",""фіз особи new!relations_name""),6,FALSE)
,
(IF
(
C5151=""юридична особа""
,
VLOOKUP"&amp;"(D5151,IMPORTRANGE(""https://docs.google.com/spreadsheets/d/14Bd19lYaqBhU8_DElYkX7l4wRkHqqCUFNJY4AfY3kHU/edit?usp=sharing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0" s="7" t="s">
        <v>10</v>
      </c>
      <c r="H5150" s="7">
        <v>0</v>
      </c>
      <c r="I5150" s="8" t="str">
        <f ca="1">IFERROR(__xludf.DUMMYFUNCTION("IF
(
G5151=""фізична особа""
,
VLOOKUP(H5151,IMPORTRANGE(""https://docs.google.com/spreadsheets/d/14Bd19lYaqBhU8_DElYkX7l4wRkHqqCUFNJY4AfY3kHU/edit?usp=sharing  #gid=0"",""фіз особи new!relations_name""),6,FALSE)
,
(IF
(
G5151=""юридична особа""
,
VLOOKUP"&amp;"(H5151,IMPORTRANGE(""https://docs.google.com/spreadsheets/d/14Bd19lYaqBhU8_DElYkX7l4wRkHqqCUFNJY4AfY3kHU/edit?usp=sharing  #gid=0"",""фіз особи new!relations_name_uo""),7,FALSE)
,
)
))"),"#N/A")</f>
        <v>#N/A</v>
      </c>
      <c r="J5150" s="7" t="s">
        <v>30</v>
      </c>
    </row>
    <row r="5151" spans="1:10" ht="13.2">
      <c r="A5151" s="7">
        <v>5150</v>
      </c>
      <c r="B5151" s="7">
        <v>1</v>
      </c>
      <c r="C5151" s="7" t="s">
        <v>10</v>
      </c>
      <c r="D5151" s="7">
        <v>4255</v>
      </c>
      <c r="E5151" s="7" t="s">
        <v>30</v>
      </c>
      <c r="F5151" s="8" t="str">
        <f ca="1">IFERROR(__xludf.DUMMYFUNCTION("IF
(
C5152=""фізична особа""
,
VLOOKUP(D5152,IMPORTRANGE(""https://docs.google.com/spreadsheets/d/14Bd19lYaqBhU8_DElYkX7l4wRkHqqCUFNJY4AfY3kHU/edit?usp=sharing  #gid=0"",""фіз особи new!relations_name""),6,FALSE)
,
(IF
(
C5152=""юридична особа""
,
VLOOKUP"&amp;"(D5152,IMPORTRANGE(""https://docs.google.com/spreadsheets/d/14Bd19lYaqBhU8_DElYkX7l4wRkHqqCUFNJY4AfY3kHU/edit?usp=sharing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1" s="7" t="s">
        <v>10</v>
      </c>
      <c r="H5151" s="7">
        <v>0</v>
      </c>
      <c r="I5151" s="8" t="str">
        <f ca="1">IFERROR(__xludf.DUMMYFUNCTION("IF
(
G5152=""фізична особа""
,
VLOOKUP(H5152,IMPORTRANGE(""https://docs.google.com/spreadsheets/d/14Bd19lYaqBhU8_DElYkX7l4wRkHqqCUFNJY4AfY3kHU/edit?usp=sharing  #gid=0"",""фіз особи new!relations_name""),6,FALSE)
,
(IF
(
G5152=""юридична особа""
,
VLOOKUP"&amp;"(H5152,IMPORTRANGE(""https://docs.google.com/spreadsheets/d/14Bd19lYaqBhU8_DElYkX7l4wRkHqqCUFNJY4AfY3kHU/edit?usp=sharing  #gid=0"",""фіз особи new!relations_name_uo""),7,FALSE)
,
)
))"),"#N/A")</f>
        <v>#N/A</v>
      </c>
      <c r="J5151" s="7" t="s">
        <v>30</v>
      </c>
    </row>
    <row r="5152" spans="1:10" ht="13.2">
      <c r="A5152" s="7">
        <v>5151</v>
      </c>
      <c r="B5152" s="7">
        <v>1</v>
      </c>
      <c r="C5152" s="7" t="s">
        <v>10</v>
      </c>
      <c r="D5152" s="7">
        <v>4255</v>
      </c>
      <c r="E5152" s="7" t="s">
        <v>30</v>
      </c>
      <c r="F5152" s="8" t="str">
        <f ca="1">IFERROR(__xludf.DUMMYFUNCTION("IF
(
C5153=""фізична особа""
,
VLOOKUP(D5153,IMPORTRANGE(""https://docs.google.com/spreadsheets/d/14Bd19lYaqBhU8_DElYkX7l4wRkHqqCUFNJY4AfY3kHU/edit?usp=sharing  #gid=0"",""фіз особи new!relations_name""),6,FALSE)
,
(IF
(
C5153=""юридична особа""
,
VLOOKUP"&amp;"(D5153,IMPORTRANGE(""https://docs.google.com/spreadsheets/d/14Bd19lYaqBhU8_DElYkX7l4wRkHqqCUFNJY4AfY3kHU/edit?usp=sharing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2" s="7" t="s">
        <v>10</v>
      </c>
      <c r="H5152" s="7">
        <v>0</v>
      </c>
      <c r="I5152" s="8" t="str">
        <f ca="1">IFERROR(__xludf.DUMMYFUNCTION("IF
(
G5153=""фізична особа""
,
VLOOKUP(H5153,IMPORTRANGE(""https://docs.google.com/spreadsheets/d/14Bd19lYaqBhU8_DElYkX7l4wRkHqqCUFNJY4AfY3kHU/edit?usp=sharing  #gid=0"",""фіз особи new!relations_name""),6,FALSE)
,
(IF
(
G5153=""юридична особа""
,
VLOOKUP"&amp;"(H5153,IMPORTRANGE(""https://docs.google.com/spreadsheets/d/14Bd19lYaqBhU8_DElYkX7l4wRkHqqCUFNJY4AfY3kHU/edit?usp=sharing  #gid=0"",""фіз особи new!relations_name_uo""),7,FALSE)
,
)
))"),"#N/A")</f>
        <v>#N/A</v>
      </c>
      <c r="J5152" s="7" t="s">
        <v>30</v>
      </c>
    </row>
    <row r="5153" spans="1:10" ht="13.2">
      <c r="A5153" s="7">
        <v>5152</v>
      </c>
      <c r="B5153" s="7">
        <v>1</v>
      </c>
      <c r="C5153" s="7" t="s">
        <v>10</v>
      </c>
      <c r="D5153" s="7">
        <v>4255</v>
      </c>
      <c r="E5153" s="7" t="s">
        <v>29</v>
      </c>
      <c r="F5153" s="8" t="str">
        <f ca="1">IFERROR(__xludf.DUMMYFUNCTION("IF
(
C5154=""фізична особа""
,
VLOOKUP(D5154,IMPORTRANGE(""https://docs.google.com/spreadsheets/d/14Bd19lYaqBhU8_DElYkX7l4wRkHqqCUFNJY4AfY3kHU/edit?usp=sharing  #gid=0"",""фіз особи new!relations_name""),6,FALSE)
,
(IF
(
C5154=""юридична особа""
,
VLOOKUP"&amp;"(D5154,IMPORTRANGE(""https://docs.google.com/spreadsheets/d/14Bd19lYaqBhU8_DElYkX7l4wRkHqqCUFNJY4AfY3kHU/edit?usp=sharing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3" s="7" t="s">
        <v>10</v>
      </c>
      <c r="H5153" s="7">
        <v>0</v>
      </c>
      <c r="I5153" s="8" t="str">
        <f ca="1">IFERROR(__xludf.DUMMYFUNCTION("IF
(
G5154=""фізична особа""
,
VLOOKUP(H5154,IMPORTRANGE(""https://docs.google.com/spreadsheets/d/14Bd19lYaqBhU8_DElYkX7l4wRkHqqCUFNJY4AfY3kHU/edit?usp=sharing  #gid=0"",""фіз особи new!relations_name""),6,FALSE)
,
(IF
(
G5154=""юридична особа""
,
VLOOKUP"&amp;"(H5154,IMPORTRANGE(""https://docs.google.com/spreadsheets/d/14Bd19lYaqBhU8_DElYkX7l4wRkHqqCUFNJY4AfY3kHU/edit?usp=sharing  #gid=0"",""фіз особи new!relations_name_uo""),7,FALSE)
,
)
))"),"#N/A")</f>
        <v>#N/A</v>
      </c>
      <c r="J5153" s="7" t="s">
        <v>28</v>
      </c>
    </row>
    <row r="5154" spans="1:10" ht="13.2">
      <c r="A5154" s="7">
        <v>5153</v>
      </c>
      <c r="B5154" s="7">
        <v>1</v>
      </c>
      <c r="C5154" s="7" t="s">
        <v>10</v>
      </c>
      <c r="D5154" s="7">
        <v>4255</v>
      </c>
      <c r="E5154" s="7" t="s">
        <v>29</v>
      </c>
      <c r="F5154" s="8" t="str">
        <f ca="1">IFERROR(__xludf.DUMMYFUNCTION("IF
(
C5155=""фізична особа""
,
VLOOKUP(D5155,IMPORTRANGE(""https://docs.google.com/spreadsheets/d/14Bd19lYaqBhU8_DElYkX7l4wRkHqqCUFNJY4AfY3kHU/edit?usp=sharing  #gid=0"",""фіз особи new!relations_name""),6,FALSE)
,
(IF
(
C5155=""юридична особа""
,
VLOOKUP"&amp;"(D5155,IMPORTRANGE(""https://docs.google.com/spreadsheets/d/14Bd19lYaqBhU8_DElYkX7l4wRkHqqCUFNJY4AfY3kHU/edit?usp=sharing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4" s="7" t="s">
        <v>10</v>
      </c>
      <c r="H5154" s="7">
        <v>0</v>
      </c>
      <c r="I5154" s="8" t="str">
        <f ca="1">IFERROR(__xludf.DUMMYFUNCTION("IF
(
G5155=""фізична особа""
,
VLOOKUP(H5155,IMPORTRANGE(""https://docs.google.com/spreadsheets/d/14Bd19lYaqBhU8_DElYkX7l4wRkHqqCUFNJY4AfY3kHU/edit?usp=sharing  #gid=0"",""фіз особи new!relations_name""),6,FALSE)
,
(IF
(
G5155=""юридична особа""
,
VLOOKUP"&amp;"(H5155,IMPORTRANGE(""https://docs.google.com/spreadsheets/d/14Bd19lYaqBhU8_DElYkX7l4wRkHqqCUFNJY4AfY3kHU/edit?usp=sharing  #gid=0"",""фіз особи new!relations_name_uo""),7,FALSE)
,
)
))"),"#N/A")</f>
        <v>#N/A</v>
      </c>
      <c r="J5154" s="7" t="s">
        <v>28</v>
      </c>
    </row>
    <row r="5155" spans="1:10" ht="13.2">
      <c r="A5155" s="7">
        <v>5154</v>
      </c>
      <c r="B5155" s="7">
        <v>1</v>
      </c>
      <c r="C5155" s="7" t="s">
        <v>10</v>
      </c>
      <c r="D5155" s="7">
        <v>4255</v>
      </c>
      <c r="E5155" s="7" t="s">
        <v>29</v>
      </c>
      <c r="F5155" s="8" t="str">
        <f ca="1">IFERROR(__xludf.DUMMYFUNCTION("IF
(
C5156=""фізична особа""
,
VLOOKUP(D5156,IMPORTRANGE(""https://docs.google.com/spreadsheets/d/14Bd19lYaqBhU8_DElYkX7l4wRkHqqCUFNJY4AfY3kHU/edit?usp=sharing  #gid=0"",""фіз особи new!relations_name""),6,FALSE)
,
(IF
(
C5156=""юридична особа""
,
VLOOKUP"&amp;"(D5156,IMPORTRANGE(""https://docs.google.com/spreadsheets/d/14Bd19lYaqBhU8_DElYkX7l4wRkHqqCUFNJY4AfY3kHU/edit?usp=sharing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5" s="7" t="s">
        <v>10</v>
      </c>
      <c r="H5155" s="7">
        <v>0</v>
      </c>
      <c r="I5155" s="8" t="str">
        <f ca="1">IFERROR(__xludf.DUMMYFUNCTION("IF
(
G5156=""фізична особа""
,
VLOOKUP(H5156,IMPORTRANGE(""https://docs.google.com/spreadsheets/d/14Bd19lYaqBhU8_DElYkX7l4wRkHqqCUFNJY4AfY3kHU/edit?usp=sharing  #gid=0"",""фіз особи new!relations_name""),6,FALSE)
,
(IF
(
G5156=""юридична особа""
,
VLOOKUP"&amp;"(H5156,IMPORTRANGE(""https://docs.google.com/spreadsheets/d/14Bd19lYaqBhU8_DElYkX7l4wRkHqqCUFNJY4AfY3kHU/edit?usp=sharing  #gid=0"",""фіз особи new!relations_name_uo""),7,FALSE)
,
)
))"),"#N/A")</f>
        <v>#N/A</v>
      </c>
      <c r="J5155" s="7" t="s">
        <v>28</v>
      </c>
    </row>
    <row r="5156" spans="1:10" ht="13.2">
      <c r="A5156" s="7">
        <v>5155</v>
      </c>
      <c r="B5156" s="7">
        <v>1</v>
      </c>
      <c r="C5156" s="7" t="s">
        <v>10</v>
      </c>
      <c r="D5156" s="7">
        <v>4255</v>
      </c>
      <c r="E5156" s="7" t="s">
        <v>29</v>
      </c>
      <c r="F5156" s="8" t="str">
        <f ca="1">IFERROR(__xludf.DUMMYFUNCTION("IF
(
C5157=""фізична особа""
,
VLOOKUP(D5157,IMPORTRANGE(""https://docs.google.com/spreadsheets/d/14Bd19lYaqBhU8_DElYkX7l4wRkHqqCUFNJY4AfY3kHU/edit?usp=sharing  #gid=0"",""фіз особи new!relations_name""),6,FALSE)
,
(IF
(
C5157=""юридична особа""
,
VLOOKUP"&amp;"(D5157,IMPORTRANGE(""https://docs.google.com/spreadsheets/d/14Bd19lYaqBhU8_DElYkX7l4wRkHqqCUFNJY4AfY3kHU/edit?usp=sharing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6" s="7" t="s">
        <v>10</v>
      </c>
      <c r="H5156" s="7">
        <v>0</v>
      </c>
      <c r="I5156" s="8" t="str">
        <f ca="1">IFERROR(__xludf.DUMMYFUNCTION("IF
(
G5157=""фізична особа""
,
VLOOKUP(H5157,IMPORTRANGE(""https://docs.google.com/spreadsheets/d/14Bd19lYaqBhU8_DElYkX7l4wRkHqqCUFNJY4AfY3kHU/edit?usp=sharing  #gid=0"",""фіз особи new!relations_name""),6,FALSE)
,
(IF
(
G5157=""юридична особа""
,
VLOOKUP"&amp;"(H5157,IMPORTRANGE(""https://docs.google.com/spreadsheets/d/14Bd19lYaqBhU8_DElYkX7l4wRkHqqCUFNJY4AfY3kHU/edit?usp=sharing  #gid=0"",""фіз особи new!relations_name_uo""),7,FALSE)
,
)
))"),"#N/A")</f>
        <v>#N/A</v>
      </c>
      <c r="J5156" s="7" t="s">
        <v>28</v>
      </c>
    </row>
    <row r="5157" spans="1:10" ht="13.2">
      <c r="A5157" s="7">
        <v>5156</v>
      </c>
      <c r="B5157" s="7">
        <v>1</v>
      </c>
      <c r="C5157" s="7" t="s">
        <v>10</v>
      </c>
      <c r="D5157" s="7">
        <v>4255</v>
      </c>
      <c r="E5157" s="7" t="s">
        <v>29</v>
      </c>
      <c r="F5157" s="8" t="str">
        <f ca="1">IFERROR(__xludf.DUMMYFUNCTION("IF
(
C5158=""фізична особа""
,
VLOOKUP(D5158,IMPORTRANGE(""https://docs.google.com/spreadsheets/d/14Bd19lYaqBhU8_DElYkX7l4wRkHqqCUFNJY4AfY3kHU/edit?usp=sharing  #gid=0"",""фіз особи new!relations_name""),6,FALSE)
,
(IF
(
C5158=""юридична особа""
,
VLOOKUP"&amp;"(D5158,IMPORTRANGE(""https://docs.google.com/spreadsheets/d/14Bd19lYaqBhU8_DElYkX7l4wRkHqqCUFNJY4AfY3kHU/edit?usp=sharing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7" s="7" t="s">
        <v>10</v>
      </c>
      <c r="H5157" s="7">
        <v>0</v>
      </c>
      <c r="I5157" s="8" t="str">
        <f ca="1">IFERROR(__xludf.DUMMYFUNCTION("IF
(
G5158=""фізична особа""
,
VLOOKUP(H5158,IMPORTRANGE(""https://docs.google.com/spreadsheets/d/14Bd19lYaqBhU8_DElYkX7l4wRkHqqCUFNJY4AfY3kHU/edit?usp=sharing  #gid=0"",""фіз особи new!relations_name""),6,FALSE)
,
(IF
(
G5158=""юридична особа""
,
VLOOKUP"&amp;"(H5158,IMPORTRANGE(""https://docs.google.com/spreadsheets/d/14Bd19lYaqBhU8_DElYkX7l4wRkHqqCUFNJY4AfY3kHU/edit?usp=sharing  #gid=0"",""фіз особи new!relations_name_uo""),7,FALSE)
,
)
))"),"#N/A")</f>
        <v>#N/A</v>
      </c>
      <c r="J5157" s="7" t="s">
        <v>28</v>
      </c>
    </row>
    <row r="5158" spans="1:10" ht="13.2">
      <c r="A5158" s="7">
        <v>5157</v>
      </c>
      <c r="B5158" s="7">
        <v>1</v>
      </c>
      <c r="C5158" s="7" t="s">
        <v>10</v>
      </c>
      <c r="D5158" s="7">
        <v>4255</v>
      </c>
      <c r="E5158" s="7" t="s">
        <v>29</v>
      </c>
      <c r="F5158" s="8" t="str">
        <f ca="1">IFERROR(__xludf.DUMMYFUNCTION("IF
(
C5159=""фізична особа""
,
VLOOKUP(D5159,IMPORTRANGE(""https://docs.google.com/spreadsheets/d/14Bd19lYaqBhU8_DElYkX7l4wRkHqqCUFNJY4AfY3kHU/edit?usp=sharing  #gid=0"",""фіз особи new!relations_name""),6,FALSE)
,
(IF
(
C5159=""юридична особа""
,
VLOOKUP"&amp;"(D5159,IMPORTRANGE(""https://docs.google.com/spreadsheets/d/14Bd19lYaqBhU8_DElYkX7l4wRkHqqCUFNJY4AfY3kHU/edit?usp=sharing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8" s="7" t="s">
        <v>10</v>
      </c>
      <c r="H5158" s="7">
        <v>0</v>
      </c>
      <c r="I5158" s="8" t="str">
        <f ca="1">IFERROR(__xludf.DUMMYFUNCTION("IF
(
G5159=""фізична особа""
,
VLOOKUP(H5159,IMPORTRANGE(""https://docs.google.com/spreadsheets/d/14Bd19lYaqBhU8_DElYkX7l4wRkHqqCUFNJY4AfY3kHU/edit?usp=sharing  #gid=0"",""фіз особи new!relations_name""),6,FALSE)
,
(IF
(
G5159=""юридична особа""
,
VLOOKUP"&amp;"(H5159,IMPORTRANGE(""https://docs.google.com/spreadsheets/d/14Bd19lYaqBhU8_DElYkX7l4wRkHqqCUFNJY4AfY3kHU/edit?usp=sharing  #gid=0"",""фіз особи new!relations_name_uo""),7,FALSE)
,
)
))"),"#N/A")</f>
        <v>#N/A</v>
      </c>
      <c r="J5158" s="7" t="s">
        <v>28</v>
      </c>
    </row>
    <row r="5159" spans="1:10" ht="13.2">
      <c r="A5159" s="7">
        <v>5158</v>
      </c>
      <c r="B5159" s="7">
        <v>1</v>
      </c>
      <c r="C5159" s="7" t="s">
        <v>10</v>
      </c>
      <c r="D5159" s="7">
        <v>4255</v>
      </c>
      <c r="E5159" s="7" t="s">
        <v>29</v>
      </c>
      <c r="F5159" s="8" t="str">
        <f ca="1">IFERROR(__xludf.DUMMYFUNCTION("IF
(
C5160=""фізична особа""
,
VLOOKUP(D5160,IMPORTRANGE(""https://docs.google.com/spreadsheets/d/14Bd19lYaqBhU8_DElYkX7l4wRkHqqCUFNJY4AfY3kHU/edit?usp=sharing  #gid=0"",""фіз особи new!relations_name""),6,FALSE)
,
(IF
(
C5160=""юридична особа""
,
VLOOKUP"&amp;"(D5160,IMPORTRANGE(""https://docs.google.com/spreadsheets/d/14Bd19lYaqBhU8_DElYkX7l4wRkHqqCUFNJY4AfY3kHU/edit?usp=sharing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59" s="7" t="s">
        <v>10</v>
      </c>
      <c r="H5159" s="7">
        <v>0</v>
      </c>
      <c r="I5159" s="8" t="str">
        <f ca="1">IFERROR(__xludf.DUMMYFUNCTION("IF
(
G5160=""фізична особа""
,
VLOOKUP(H5160,IMPORTRANGE(""https://docs.google.com/spreadsheets/d/14Bd19lYaqBhU8_DElYkX7l4wRkHqqCUFNJY4AfY3kHU/edit?usp=sharing  #gid=0"",""фіз особи new!relations_name""),6,FALSE)
,
(IF
(
G5160=""юридична особа""
,
VLOOKUP"&amp;"(H5160,IMPORTRANGE(""https://docs.google.com/spreadsheets/d/14Bd19lYaqBhU8_DElYkX7l4wRkHqqCUFNJY4AfY3kHU/edit?usp=sharing  #gid=0"",""фіз особи new!relations_name_uo""),7,FALSE)
,
)
))"),"#N/A")</f>
        <v>#N/A</v>
      </c>
      <c r="J5159" s="7" t="s">
        <v>28</v>
      </c>
    </row>
    <row r="5160" spans="1:10" ht="13.2">
      <c r="A5160" s="7">
        <v>5159</v>
      </c>
      <c r="B5160" s="7">
        <v>1</v>
      </c>
      <c r="C5160" s="7" t="s">
        <v>10</v>
      </c>
      <c r="D5160" s="7">
        <v>4255</v>
      </c>
      <c r="E5160" s="7" t="s">
        <v>29</v>
      </c>
      <c r="F5160" s="8" t="str">
        <f ca="1">IFERROR(__xludf.DUMMYFUNCTION("IF
(
C5161=""фізична особа""
,
VLOOKUP(D5161,IMPORTRANGE(""https://docs.google.com/spreadsheets/d/14Bd19lYaqBhU8_DElYkX7l4wRkHqqCUFNJY4AfY3kHU/edit?usp=sharing  #gid=0"",""фіз особи new!relations_name""),6,FALSE)
,
(IF
(
C5161=""юридична особа""
,
VLOOKUP"&amp;"(D5161,IMPORTRANGE(""https://docs.google.com/spreadsheets/d/14Bd19lYaqBhU8_DElYkX7l4wRkHqqCUFNJY4AfY3kHU/edit?usp=sharing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60" s="7" t="s">
        <v>10</v>
      </c>
      <c r="H5160" s="7">
        <v>0</v>
      </c>
      <c r="I5160" s="8" t="str">
        <f ca="1">IFERROR(__xludf.DUMMYFUNCTION("IF
(
G5161=""фізична особа""
,
VLOOKUP(H5161,IMPORTRANGE(""https://docs.google.com/spreadsheets/d/14Bd19lYaqBhU8_DElYkX7l4wRkHqqCUFNJY4AfY3kHU/edit?usp=sharing  #gid=0"",""фіз особи new!relations_name""),6,FALSE)
,
(IF
(
G5161=""юридична особа""
,
VLOOKUP"&amp;"(H5161,IMPORTRANGE(""https://docs.google.com/spreadsheets/d/14Bd19lYaqBhU8_DElYkX7l4wRkHqqCUFNJY4AfY3kHU/edit?usp=sharing  #gid=0"",""фіз особи new!relations_name_uo""),7,FALSE)
,
)
))"),"#N/A")</f>
        <v>#N/A</v>
      </c>
      <c r="J5160" s="7" t="s">
        <v>28</v>
      </c>
    </row>
    <row r="5161" spans="1:10" ht="13.2">
      <c r="A5161" s="7">
        <v>5160</v>
      </c>
      <c r="B5161" s="7">
        <v>1</v>
      </c>
      <c r="C5161" s="7" t="s">
        <v>10</v>
      </c>
      <c r="D5161" s="7">
        <v>4255</v>
      </c>
      <c r="E5161" s="7" t="s">
        <v>28</v>
      </c>
      <c r="F5161" s="8" t="str">
        <f ca="1">IFERROR(__xludf.DUMMYFUNCTION("IF
(
C5162=""фізична особа""
,
VLOOKUP(D5162,IMPORTRANGE(""https://docs.google.com/spreadsheets/d/14Bd19lYaqBhU8_DElYkX7l4wRkHqqCUFNJY4AfY3kHU/edit?usp=sharing  #gid=0"",""фіз особи new!relations_name""),6,FALSE)
,
(IF
(
C5162=""юридична особа""
,
VLOOKUP"&amp;"(D5162,IMPORTRANGE(""https://docs.google.com/spreadsheets/d/14Bd19lYaqBhU8_DElYkX7l4wRkHqqCUFNJY4AfY3kHU/edit?usp=sharing  #gid=0"",""фіз особи new!relations_name_uo""),7,FALSE)
,
)
))"),"ФРАНК В'ячеслав Генріхович")</f>
        <v>ФРАНК В'ячеслав Генріхович</v>
      </c>
      <c r="G5161" s="7" t="s">
        <v>10</v>
      </c>
      <c r="H5161" s="7">
        <v>2517</v>
      </c>
      <c r="I5161" s="8" t="str">
        <f ca="1">IFERROR(__xludf.DUMMYFUNCTION("IF
(
G5162=""фізична особа""
,
VLOOKUP(H5162,IMPORTRANGE(""https://docs.google.com/spreadsheets/d/14Bd19lYaqBhU8_DElYkX7l4wRkHqqCUFNJY4AfY3kHU/edit?usp=sharing  #gid=0"",""фіз особи new!relations_name""),6,FALSE)
,
(IF
(
G5162=""юридична особа""
,
VLOOKUP"&amp;"(H5162,IMPORTRANGE(""https://docs.google.com/spreadsheets/d/14Bd19lYaqBhU8_DElYkX7l4wRkHqqCUFNJY4AfY3kHU/edit?usp=sharing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J5161" s="7" t="s">
        <v>29</v>
      </c>
    </row>
    <row r="5162" spans="1:10" ht="13.2">
      <c r="A5162" s="7">
        <v>5161</v>
      </c>
      <c r="B5162" s="7">
        <v>1</v>
      </c>
      <c r="C5162" s="7" t="s">
        <v>10</v>
      </c>
      <c r="D5162" s="7">
        <v>4256</v>
      </c>
      <c r="E5162" s="7" t="s">
        <v>28</v>
      </c>
      <c r="F5162" s="8" t="str">
        <f ca="1">IFERROR(__xludf.DUMMYFUNCTION("IF
(
C5163=""фізична особа""
,
VLOOKUP(D5163,IMPORTRANGE(""https://docs.google.com/spreadsheets/d/14Bd19lYaqBhU8_DElYkX7l4wRkHqqCUFNJY4AfY3kHU/edit?usp=sharing  #gid=0"",""фіз особи new!relations_name""),6,FALSE)
,
(IF
(
C5163=""юридична особа""
,
VLOOKUP"&amp;"(D5163,IMPORTRANGE(""https://docs.google.com/spreadsheets/d/14Bd19lYaqBhU8_DElYkX7l4wRkHqqCUFNJY4AfY3kHU/edit?usp=sharing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2" s="7" t="s">
        <v>10</v>
      </c>
      <c r="H5162" s="7">
        <v>2529</v>
      </c>
      <c r="I5162" s="8" t="str">
        <f ca="1">IFERROR(__xludf.DUMMYFUNCTION("IF
(
G5163=""фізична особа""
,
VLOOKUP(H5163,IMPORTRANGE(""https://docs.google.com/spreadsheets/d/14Bd19lYaqBhU8_DElYkX7l4wRkHqqCUFNJY4AfY3kHU/edit?usp=sharing  #gid=0"",""фіз особи new!relations_name""),6,FALSE)
,
(IF
(
G5163=""юридична особа""
,
VLOOKUP"&amp;"(H5163,IMPORTRANGE(""https://docs.google.com/spreadsheets/d/14Bd19lYaqBhU8_DElYkX7l4wRkHqqCUFNJY4AfY3kHU/edit?usp=sharing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5162" s="7" t="s">
        <v>29</v>
      </c>
    </row>
    <row r="5163" spans="1:10" ht="13.2">
      <c r="A5163" s="7">
        <v>5162</v>
      </c>
      <c r="B5163" s="7">
        <v>1</v>
      </c>
      <c r="C5163" s="7" t="s">
        <v>10</v>
      </c>
      <c r="D5163" s="7">
        <v>4256</v>
      </c>
      <c r="E5163" s="7" t="s">
        <v>29</v>
      </c>
      <c r="F5163" s="8" t="str">
        <f ca="1">IFERROR(__xludf.DUMMYFUNCTION("IF
(
C5164=""фізична особа""
,
VLOOKUP(D5164,IMPORTRANGE(""https://docs.google.com/spreadsheets/d/14Bd19lYaqBhU8_DElYkX7l4wRkHqqCUFNJY4AfY3kHU/edit?usp=sharing  #gid=0"",""фіз особи new!relations_name""),6,FALSE)
,
(IF
(
C5164=""юридична особа""
,
VLOOKUP"&amp;"(D5164,IMPORTRANGE(""https://docs.google.com/spreadsheets/d/14Bd19lYaqBhU8_DElYkX7l4wRkHqqCUFNJY4AfY3kHU/edit?usp=sharing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3" s="7" t="s">
        <v>10</v>
      </c>
      <c r="H5163" s="7">
        <v>23521</v>
      </c>
      <c r="I5163" s="8" t="str">
        <f ca="1">IFERROR(__xludf.DUMMYFUNCTION("IF
(
G5164=""фізична особа""
,
VLOOKUP(H5164,IMPORTRANGE(""https://docs.google.com/spreadsheets/d/14Bd19lYaqBhU8_DElYkX7l4wRkHqqCUFNJY4AfY3kHU/edit?usp=sharing  #gid=0"",""фіз особи new!relations_name""),6,FALSE)
,
(IF
(
G5164=""юридична особа""
,
VLOOKUP"&amp;"(H5164,IMPORTRANGE(""https://docs.google.com/spreadsheets/d/14Bd19lYaqBhU8_DElYkX7l4wRkHqqCUFNJY4AfY3kHU/edit?usp=sharing  #gid=0"",""фіз особи new!relations_name_uo""),7,FALSE)
,
)
))"),"СТАНІСЛАВ Миколайович Кошарний")</f>
        <v>СТАНІСЛАВ Миколайович Кошарний</v>
      </c>
      <c r="J5163" s="7" t="s">
        <v>28</v>
      </c>
    </row>
    <row r="5164" spans="1:10" ht="13.2">
      <c r="A5164" s="7">
        <v>5163</v>
      </c>
      <c r="B5164" s="7">
        <v>1</v>
      </c>
      <c r="C5164" s="7" t="s">
        <v>10</v>
      </c>
      <c r="D5164" s="7">
        <v>4256</v>
      </c>
      <c r="E5164" s="7" t="s">
        <v>29</v>
      </c>
      <c r="F5164" s="8" t="str">
        <f ca="1">IFERROR(__xludf.DUMMYFUNCTION("IF
(
C5165=""фізична особа""
,
VLOOKUP(D5165,IMPORTRANGE(""https://docs.google.com/spreadsheets/d/14Bd19lYaqBhU8_DElYkX7l4wRkHqqCUFNJY4AfY3kHU/edit?usp=sharing  #gid=0"",""фіз особи new!relations_name""),6,FALSE)
,
(IF
(
C5165=""юридична особа""
,
VLOOKUP"&amp;"(D5165,IMPORTRANGE(""https://docs.google.com/spreadsheets/d/14Bd19lYaqBhU8_DElYkX7l4wRkHqqCUFNJY4AfY3kHU/edit?usp=sharing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4" s="7" t="s">
        <v>10</v>
      </c>
      <c r="H5164" s="7">
        <v>23522</v>
      </c>
      <c r="I5164" s="8" t="str">
        <f ca="1">IFERROR(__xludf.DUMMYFUNCTION("IF
(
G5165=""фізична особа""
,
VLOOKUP(H5165,IMPORTRANGE(""https://docs.google.com/spreadsheets/d/14Bd19lYaqBhU8_DElYkX7l4wRkHqqCUFNJY4AfY3kHU/edit?usp=sharing  #gid=0"",""фіз особи new!relations_name""),6,FALSE)
,
(IF
(
G5165=""юридична особа""
,
VLOOKUP"&amp;"(H5165,IMPORTRANGE(""https://docs.google.com/spreadsheets/d/14Bd19lYaqBhU8_DElYkX7l4wRkHqqCUFNJY4AfY3kHU/edit?usp=sharing  #gid=0"",""фіз особи new!relations_name_uo""),7,FALSE)
,
)
))"),"ОЛЬГА Казимівна Астахова")</f>
        <v>ОЛЬГА Казимівна Астахова</v>
      </c>
      <c r="J5164" s="7" t="s">
        <v>28</v>
      </c>
    </row>
    <row r="5165" spans="1:10" ht="13.2">
      <c r="A5165" s="7">
        <v>5164</v>
      </c>
      <c r="B5165" s="7">
        <v>1</v>
      </c>
      <c r="C5165" s="7" t="s">
        <v>10</v>
      </c>
      <c r="D5165" s="7">
        <v>4256</v>
      </c>
      <c r="E5165" s="7" t="s">
        <v>29</v>
      </c>
      <c r="F5165" s="8" t="str">
        <f ca="1">IFERROR(__xludf.DUMMYFUNCTION("IF
(
C5166=""фізична особа""
,
VLOOKUP(D5166,IMPORTRANGE(""https://docs.google.com/spreadsheets/d/14Bd19lYaqBhU8_DElYkX7l4wRkHqqCUFNJY4AfY3kHU/edit?usp=sharing  #gid=0"",""фіз особи new!relations_name""),6,FALSE)
,
(IF
(
C5166=""юридична особа""
,
VLOOKUP"&amp;"(D5166,IMPORTRANGE(""https://docs.google.com/spreadsheets/d/14Bd19lYaqBhU8_DElYkX7l4wRkHqqCUFNJY4AfY3kHU/edit?usp=sharing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5" s="7" t="s">
        <v>10</v>
      </c>
      <c r="H5165" s="7">
        <v>23523</v>
      </c>
      <c r="I5165" s="8" t="str">
        <f ca="1">IFERROR(__xludf.DUMMYFUNCTION("IF
(
G5166=""фізична особа""
,
VLOOKUP(H5166,IMPORTRANGE(""https://docs.google.com/spreadsheets/d/14Bd19lYaqBhU8_DElYkX7l4wRkHqqCUFNJY4AfY3kHU/edit?usp=sharing  #gid=0"",""фіз особи new!relations_name""),6,FALSE)
,
(IF
(
G5166=""юридична особа""
,
VLOOKUP"&amp;"(H5166,IMPORTRANGE(""https://docs.google.com/spreadsheets/d/14Bd19lYaqBhU8_DElYkX7l4wRkHqqCUFNJY4AfY3kHU/edit?usp=sharing  #gid=0"",""фіз особи new!relations_name_uo""),7,FALSE)
,
)
))"),"МАКСИМ Вікторович Коньшаков")</f>
        <v>МАКСИМ Вікторович Коньшаков</v>
      </c>
      <c r="J5165" s="7" t="s">
        <v>28</v>
      </c>
    </row>
    <row r="5166" spans="1:10" ht="13.2">
      <c r="A5166" s="7">
        <v>5165</v>
      </c>
      <c r="B5166" s="7">
        <v>1</v>
      </c>
      <c r="C5166" s="7" t="s">
        <v>10</v>
      </c>
      <c r="D5166" s="7">
        <v>4256</v>
      </c>
      <c r="E5166" s="7" t="s">
        <v>29</v>
      </c>
      <c r="F5166" s="8" t="str">
        <f ca="1">IFERROR(__xludf.DUMMYFUNCTION("IF
(
C5167=""фізична особа""
,
VLOOKUP(D5167,IMPORTRANGE(""https://docs.google.com/spreadsheets/d/14Bd19lYaqBhU8_DElYkX7l4wRkHqqCUFNJY4AfY3kHU/edit?usp=sharing  #gid=0"",""фіз особи new!relations_name""),6,FALSE)
,
(IF
(
C5167=""юридична особа""
,
VLOOKUP"&amp;"(D5167,IMPORTRANGE(""https://docs.google.com/spreadsheets/d/14Bd19lYaqBhU8_DElYkX7l4wRkHqqCUFNJY4AfY3kHU/edit?usp=sharing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6" s="7" t="s">
        <v>10</v>
      </c>
      <c r="H5166" s="7">
        <v>23524</v>
      </c>
      <c r="I5166" s="8" t="str">
        <f ca="1">IFERROR(__xludf.DUMMYFUNCTION("IF
(
G5167=""фізична особа""
,
VLOOKUP(H5167,IMPORTRANGE(""https://docs.google.com/spreadsheets/d/14Bd19lYaqBhU8_DElYkX7l4wRkHqqCUFNJY4AfY3kHU/edit?usp=sharing  #gid=0"",""фіз особи new!relations_name""),6,FALSE)
,
(IF
(
G5167=""юридична особа""
,
VLOOKUP"&amp;"(H5167,IMPORTRANGE(""https://docs.google.com/spreadsheets/d/14Bd19lYaqBhU8_DElYkX7l4wRkHqqCUFNJY4AfY3kHU/edit?usp=sharing  #gid=0"",""фіз особи new!relations_name_uo""),7,FALSE)
,
)
))"),"МИКОЛА Іванович Голубокий")</f>
        <v>МИКОЛА Іванович Голубокий</v>
      </c>
      <c r="J5166" s="7" t="s">
        <v>28</v>
      </c>
    </row>
    <row r="5167" spans="1:10" ht="13.2">
      <c r="A5167" s="7">
        <v>5166</v>
      </c>
      <c r="B5167" s="7">
        <v>1</v>
      </c>
      <c r="C5167" s="7" t="s">
        <v>10</v>
      </c>
      <c r="D5167" s="7">
        <v>4256</v>
      </c>
      <c r="E5167" s="7" t="s">
        <v>29</v>
      </c>
      <c r="F5167" s="8" t="str">
        <f ca="1">IFERROR(__xludf.DUMMYFUNCTION("IF
(
C5168=""фізична особа""
,
VLOOKUP(D5168,IMPORTRANGE(""https://docs.google.com/spreadsheets/d/14Bd19lYaqBhU8_DElYkX7l4wRkHqqCUFNJY4AfY3kHU/edit?usp=sharing  #gid=0"",""фіз особи new!relations_name""),6,FALSE)
,
(IF
(
C5168=""юридична особа""
,
VLOOKUP"&amp;"(D5168,IMPORTRANGE(""https://docs.google.com/spreadsheets/d/14Bd19lYaqBhU8_DElYkX7l4wRkHqqCUFNJY4AfY3kHU/edit?usp=sharing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7" s="7" t="s">
        <v>10</v>
      </c>
      <c r="H5167" s="7">
        <v>23525</v>
      </c>
      <c r="I5167" s="8" t="str">
        <f ca="1">IFERROR(__xludf.DUMMYFUNCTION("IF
(
G5168=""фізична особа""
,
VLOOKUP(H5168,IMPORTRANGE(""https://docs.google.com/spreadsheets/d/14Bd19lYaqBhU8_DElYkX7l4wRkHqqCUFNJY4AfY3kHU/edit?usp=sharing  #gid=0"",""фіз особи new!relations_name""),6,FALSE)
,
(IF
(
G5168=""юридична особа""
,
VLOOKUP"&amp;"(H5168,IMPORTRANGE(""https://docs.google.com/spreadsheets/d/14Bd19lYaqBhU8_DElYkX7l4wRkHqqCUFNJY4AfY3kHU/edit?usp=sharing  #gid=0"",""фіз особи new!relations_name_uo""),7,FALSE)
,
)
))"),"ВАЛЕНТИНА Михайлівна Миронова")</f>
        <v>ВАЛЕНТИНА Михайлівна Миронова</v>
      </c>
      <c r="J5167" s="7" t="s">
        <v>28</v>
      </c>
    </row>
    <row r="5168" spans="1:10" ht="13.2">
      <c r="A5168" s="7">
        <v>5167</v>
      </c>
      <c r="B5168" s="7">
        <v>1</v>
      </c>
      <c r="C5168" s="7" t="s">
        <v>10</v>
      </c>
      <c r="D5168" s="7">
        <v>4256</v>
      </c>
      <c r="E5168" s="7" t="s">
        <v>29</v>
      </c>
      <c r="F5168" s="8" t="str">
        <f ca="1">IFERROR(__xludf.DUMMYFUNCTION("IF
(
C5169=""фізична особа""
,
VLOOKUP(D5169,IMPORTRANGE(""https://docs.google.com/spreadsheets/d/14Bd19lYaqBhU8_DElYkX7l4wRkHqqCUFNJY4AfY3kHU/edit?usp=sharing  #gid=0"",""фіз особи new!relations_name""),6,FALSE)
,
(IF
(
C5169=""юридична особа""
,
VLOOKUP"&amp;"(D5169,IMPORTRANGE(""https://docs.google.com/spreadsheets/d/14Bd19lYaqBhU8_DElYkX7l4wRkHqqCUFNJY4AfY3kHU/edit?usp=sharing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8" s="7" t="s">
        <v>10</v>
      </c>
      <c r="H5168" s="7">
        <v>23526</v>
      </c>
      <c r="I5168" s="8" t="str">
        <f ca="1">IFERROR(__xludf.DUMMYFUNCTION("IF
(
G5169=""фізична особа""
,
VLOOKUP(H5169,IMPORTRANGE(""https://docs.google.com/spreadsheets/d/14Bd19lYaqBhU8_DElYkX7l4wRkHqqCUFNJY4AfY3kHU/edit?usp=sharing  #gid=0"",""фіз особи new!relations_name""),6,FALSE)
,
(IF
(
G5169=""юридична особа""
,
VLOOKUP"&amp;"(H5169,IMPORTRANGE(""https://docs.google.com/spreadsheets/d/14Bd19lYaqBhU8_DElYkX7l4wRkHqqCUFNJY4AfY3kHU/edit?usp=sharing  #gid=0"",""фіз особи new!relations_name_uo""),7,FALSE)
,
)
))"),"АНДРЕЄВА Алевтина Олександрівна")</f>
        <v>АНДРЕЄВА Алевтина Олександрівна</v>
      </c>
      <c r="J5168" s="7" t="s">
        <v>28</v>
      </c>
    </row>
    <row r="5169" spans="1:10" ht="13.2">
      <c r="A5169" s="7">
        <v>5168</v>
      </c>
      <c r="B5169" s="7">
        <v>1</v>
      </c>
      <c r="C5169" s="7" t="s">
        <v>10</v>
      </c>
      <c r="D5169" s="7">
        <v>4256</v>
      </c>
      <c r="E5169" s="7" t="s">
        <v>29</v>
      </c>
      <c r="F5169" s="8" t="str">
        <f ca="1">IFERROR(__xludf.DUMMYFUNCTION("IF
(
C5170=""фізична особа""
,
VLOOKUP(D5170,IMPORTRANGE(""https://docs.google.com/spreadsheets/d/14Bd19lYaqBhU8_DElYkX7l4wRkHqqCUFNJY4AfY3kHU/edit?usp=sharing  #gid=0"",""фіз особи new!relations_name""),6,FALSE)
,
(IF
(
C5170=""юридична особа""
,
VLOOKUP"&amp;"(D5170,IMPORTRANGE(""https://docs.google.com/spreadsheets/d/14Bd19lYaqBhU8_DElYkX7l4wRkHqqCUFNJY4AfY3kHU/edit?usp=sharing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69" s="7" t="s">
        <v>10</v>
      </c>
      <c r="H5169" s="7">
        <v>15462</v>
      </c>
      <c r="I5169" s="8" t="str">
        <f ca="1">IFERROR(__xludf.DUMMYFUNCTION("IF
(
G5170=""фізична особа""
,
VLOOKUP(H5170,IMPORTRANGE(""https://docs.google.com/spreadsheets/d/14Bd19lYaqBhU8_DElYkX7l4wRkHqqCUFNJY4AfY3kHU/edit?usp=sharing  #gid=0"",""фіз особи new!relations_name""),6,FALSE)
,
(IF
(
G5170=""юридична особа""
,
VLOOKUP"&amp;"(H5170,IMPORTRANGE(""https://docs.google.com/spreadsheets/d/14Bd19lYaqBhU8_DElYkX7l4wRkHqqCUFNJY4AfY3kHU/edit?usp=sharing  #gid=0"",""фіз особи new!relations_name_uo""),7,FALSE)
,
)
))"),"СУББОТ Валентин Володимирович")</f>
        <v>СУББОТ Валентин Володимирович</v>
      </c>
      <c r="J5169" s="7" t="s">
        <v>28</v>
      </c>
    </row>
    <row r="5170" spans="1:10" ht="13.2">
      <c r="A5170" s="7">
        <v>5169</v>
      </c>
      <c r="B5170" s="7">
        <v>1</v>
      </c>
      <c r="C5170" s="7" t="s">
        <v>10</v>
      </c>
      <c r="D5170" s="7">
        <v>4256</v>
      </c>
      <c r="E5170" s="7" t="s">
        <v>29</v>
      </c>
      <c r="F5170" s="8" t="str">
        <f ca="1">IFERROR(__xludf.DUMMYFUNCTION("IF
(
C5171=""фізична особа""
,
VLOOKUP(D5171,IMPORTRANGE(""https://docs.google.com/spreadsheets/d/14Bd19lYaqBhU8_DElYkX7l4wRkHqqCUFNJY4AfY3kHU/edit?usp=sharing  #gid=0"",""фіз особи new!relations_name""),6,FALSE)
,
(IF
(
C5171=""юридична особа""
,
VLOOKUP"&amp;"(D5171,IMPORTRANGE(""https://docs.google.com/spreadsheets/d/14Bd19lYaqBhU8_DElYkX7l4wRkHqqCUFNJY4AfY3kHU/edit?usp=sharing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70" s="7" t="s">
        <v>10</v>
      </c>
      <c r="H5170" s="7">
        <v>21270</v>
      </c>
      <c r="I5170" s="8" t="str">
        <f ca="1">IFERROR(__xludf.DUMMYFUNCTION("IF
(
G5171=""фізична особа""
,
VLOOKUP(H5171,IMPORTRANGE(""https://docs.google.com/spreadsheets/d/14Bd19lYaqBhU8_DElYkX7l4wRkHqqCUFNJY4AfY3kHU/edit?usp=sharing  #gid=0"",""фіз особи new!relations_name""),6,FALSE)
,
(IF
(
G5171=""юридична особа""
,
VLOOKUP"&amp;"(H5171,IMPORTRANGE(""https://docs.google.com/spreadsheets/d/14Bd19lYaqBhU8_DElYkX7l4wRkHqqCUFNJY4AfY3kHU/edit?usp=sharing  #gid=0"",""фіз особи new!relations_name_uo""),7,FALSE)
,
)
))"),"АНТОШИН Сергій Сергійович")</f>
        <v>АНТОШИН Сергій Сергійович</v>
      </c>
      <c r="J5170" s="7" t="s">
        <v>28</v>
      </c>
    </row>
    <row r="5171" spans="1:10" ht="13.2">
      <c r="A5171" s="7">
        <v>5170</v>
      </c>
      <c r="B5171" s="7">
        <v>1</v>
      </c>
      <c r="C5171" s="7" t="s">
        <v>10</v>
      </c>
      <c r="D5171" s="7">
        <v>4256</v>
      </c>
      <c r="E5171" s="7" t="s">
        <v>29</v>
      </c>
      <c r="F5171" s="8" t="str">
        <f ca="1">IFERROR(__xludf.DUMMYFUNCTION("IF
(
C5172=""фізична особа""
,
VLOOKUP(D5172,IMPORTRANGE(""https://docs.google.com/spreadsheets/d/14Bd19lYaqBhU8_DElYkX7l4wRkHqqCUFNJY4AfY3kHU/edit?usp=sharing  #gid=0"",""фіз особи new!relations_name""),6,FALSE)
,
(IF
(
C5172=""юридична особа""
,
VLOOKUP"&amp;"(D5172,IMPORTRANGE(""https://docs.google.com/spreadsheets/d/14Bd19lYaqBhU8_DElYkX7l4wRkHqqCUFNJY4AfY3kHU/edit?usp=sharing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71" s="7" t="s">
        <v>10</v>
      </c>
      <c r="H5171" s="7">
        <v>19995</v>
      </c>
      <c r="I5171" s="8" t="str">
        <f ca="1">IFERROR(__xludf.DUMMYFUNCTION("IF
(
G5172=""фізична особа""
,
VLOOKUP(H5172,IMPORTRANGE(""https://docs.google.com/spreadsheets/d/14Bd19lYaqBhU8_DElYkX7l4wRkHqqCUFNJY4AfY3kHU/edit?usp=sharing  #gid=0"",""фіз особи new!relations_name""),6,FALSE)
,
(IF
(
G5172=""юридична особа""
,
VLOOKUP"&amp;"(H5172,IMPORTRANGE(""https://docs.google.com/spreadsheets/d/14Bd19lYaqBhU8_DElYkX7l4wRkHqqCUFNJY4AfY3kHU/edit?usp=sharing  #gid=0"",""фіз особи new!relations_name_uo""),7,FALSE)
,
)
))"),"БЄЛЯЙ Віталій Вікторович")</f>
        <v>БЄЛЯЙ Віталій Вікторович</v>
      </c>
      <c r="J5171" s="7" t="s">
        <v>28</v>
      </c>
    </row>
    <row r="5172" spans="1:10" ht="13.2">
      <c r="A5172" s="7">
        <v>5171</v>
      </c>
      <c r="B5172" s="7">
        <v>1</v>
      </c>
      <c r="C5172" s="7" t="s">
        <v>10</v>
      </c>
      <c r="D5172" s="7">
        <v>4256</v>
      </c>
      <c r="E5172" s="7" t="s">
        <v>29</v>
      </c>
      <c r="F5172" s="8" t="str">
        <f ca="1">IFERROR(__xludf.DUMMYFUNCTION("IF
(
C5173=""фізична особа""
,
VLOOKUP(D5173,IMPORTRANGE(""https://docs.google.com/spreadsheets/d/14Bd19lYaqBhU8_DElYkX7l4wRkHqqCUFNJY4AfY3kHU/edit?usp=sharing  #gid=0"",""фіз особи new!relations_name""),6,FALSE)
,
(IF
(
C5173=""юридична особа""
,
VLOOKUP"&amp;"(D5173,IMPORTRANGE(""https://docs.google.com/spreadsheets/d/14Bd19lYaqBhU8_DElYkX7l4wRkHqqCUFNJY4AfY3kHU/edit?usp=sharing  #gid=0"",""фіз особи new!relations_name_uo""),7,FALSE)
,
)
))"),"МАКАРОВ Олександр Миколайович")</f>
        <v>МАКАРОВ Олександр Миколайович</v>
      </c>
      <c r="G5172" s="7" t="s">
        <v>10</v>
      </c>
      <c r="H5172" s="7">
        <v>20004</v>
      </c>
      <c r="I5172" s="8" t="str">
        <f ca="1">IFERROR(__xludf.DUMMYFUNCTION("IF
(
G5173=""фізична особа""
,
VLOOKUP(H5173,IMPORTRANGE(""https://docs.google.com/spreadsheets/d/14Bd19lYaqBhU8_DElYkX7l4wRkHqqCUFNJY4AfY3kHU/edit?usp=sharing  #gid=0"",""фіз особи new!relations_name""),6,FALSE)
,
(IF
(
G5173=""юридична особа""
,
VLOOKUP"&amp;"(H5173,IMPORTRANGE(""https://docs.google.com/spreadsheets/d/14Bd19lYaqBhU8_DElYkX7l4wRkHqqCUFNJY4AfY3kHU/edit?usp=sharing  #gid=0"",""фіз особи new!relations_name_uo""),7,FALSE)
,
)
))"),"ПРОНІН Володимир Михайлович")</f>
        <v>ПРОНІН Володимир Михайлович</v>
      </c>
      <c r="J5172" s="7" t="s">
        <v>28</v>
      </c>
    </row>
    <row r="5173" spans="1:10" ht="13.2">
      <c r="A5173" s="7">
        <v>5172</v>
      </c>
      <c r="B5173" s="7">
        <v>1</v>
      </c>
      <c r="C5173" s="7" t="s">
        <v>10</v>
      </c>
      <c r="D5173" s="7">
        <v>4257</v>
      </c>
      <c r="E5173" s="7" t="s">
        <v>28</v>
      </c>
      <c r="F5173" s="8" t="str">
        <f ca="1">IFERROR(__xludf.DUMMYFUNCTION("IF
(
C5174=""фізична особа""
,
VLOOKUP(D5174,IMPORTRANGE(""https://docs.google.com/spreadsheets/d/14Bd19lYaqBhU8_DElYkX7l4wRkHqqCUFNJY4AfY3kHU/edit?usp=sharing  #gid=0"",""фіз особи new!relations_name""),6,FALSE)
,
(IF
(
C5174=""юридична особа""
,
VLOOKUP"&amp;"(D5174,IMPORTRANGE(""https://docs.google.com/spreadsheets/d/14Bd19lYaqBhU8_DElYkX7l4wRkHqqCUFNJY4AfY3kHU/edit?usp=sharing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3" s="7" t="s">
        <v>10</v>
      </c>
      <c r="H5173" s="7">
        <v>2529</v>
      </c>
      <c r="I5173" s="8" t="str">
        <f ca="1">IFERROR(__xludf.DUMMYFUNCTION("IF
(
G5174=""фізична особа""
,
VLOOKUP(H5174,IMPORTRANGE(""https://docs.google.com/spreadsheets/d/14Bd19lYaqBhU8_DElYkX7l4wRkHqqCUFNJY4AfY3kHU/edit?usp=sharing  #gid=0"",""фіз особи new!relations_name""),6,FALSE)
,
(IF
(
G5174=""юридична особа""
,
VLOOKUP"&amp;"(H5174,IMPORTRANGE(""https://docs.google.com/spreadsheets/d/14Bd19lYaqBhU8_DElYkX7l4wRkHqqCUFNJY4AfY3kHU/edit?usp=sharing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5173" s="7" t="s">
        <v>29</v>
      </c>
    </row>
    <row r="5174" spans="1:10" ht="13.2">
      <c r="A5174" s="7">
        <v>5173</v>
      </c>
      <c r="B5174" s="7">
        <v>1</v>
      </c>
      <c r="C5174" s="7" t="s">
        <v>10</v>
      </c>
      <c r="D5174" s="7">
        <v>4257</v>
      </c>
      <c r="E5174" s="7" t="s">
        <v>29</v>
      </c>
      <c r="F5174" s="8" t="str">
        <f ca="1">IFERROR(__xludf.DUMMYFUNCTION("IF
(
C5175=""фізична особа""
,
VLOOKUP(D5175,IMPORTRANGE(""https://docs.google.com/spreadsheets/d/14Bd19lYaqBhU8_DElYkX7l4wRkHqqCUFNJY4AfY3kHU/edit?usp=sharing  #gid=0"",""фіз особи new!relations_name""),6,FALSE)
,
(IF
(
C5175=""юридична особа""
,
VLOOKUP"&amp;"(D5175,IMPORTRANGE(""https://docs.google.com/spreadsheets/d/14Bd19lYaqBhU8_DElYkX7l4wRkHqqCUFNJY4AfY3kHU/edit?usp=sharing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4" s="7" t="s">
        <v>10</v>
      </c>
      <c r="H5174" s="7">
        <v>23521</v>
      </c>
      <c r="I5174" s="8" t="str">
        <f ca="1">IFERROR(__xludf.DUMMYFUNCTION("IF
(
G5175=""фізична особа""
,
VLOOKUP(H5175,IMPORTRANGE(""https://docs.google.com/spreadsheets/d/14Bd19lYaqBhU8_DElYkX7l4wRkHqqCUFNJY4AfY3kHU/edit?usp=sharing  #gid=0"",""фіз особи new!relations_name""),6,FALSE)
,
(IF
(
G5175=""юридична особа""
,
VLOOKUP"&amp;"(H5175,IMPORTRANGE(""https://docs.google.com/spreadsheets/d/14Bd19lYaqBhU8_DElYkX7l4wRkHqqCUFNJY4AfY3kHU/edit?usp=sharing  #gid=0"",""фіз особи new!relations_name_uo""),7,FALSE)
,
)
))"),"СТАНІСЛАВ Миколайович Кошарний")</f>
        <v>СТАНІСЛАВ Миколайович Кошарний</v>
      </c>
      <c r="J5174" s="7" t="s">
        <v>28</v>
      </c>
    </row>
    <row r="5175" spans="1:10" ht="13.2">
      <c r="A5175" s="7">
        <v>5174</v>
      </c>
      <c r="B5175" s="7">
        <v>1</v>
      </c>
      <c r="C5175" s="7" t="s">
        <v>10</v>
      </c>
      <c r="D5175" s="7">
        <v>4257</v>
      </c>
      <c r="E5175" s="7" t="s">
        <v>29</v>
      </c>
      <c r="F5175" s="8" t="str">
        <f ca="1">IFERROR(__xludf.DUMMYFUNCTION("IF
(
C5176=""фізична особа""
,
VLOOKUP(D5176,IMPORTRANGE(""https://docs.google.com/spreadsheets/d/14Bd19lYaqBhU8_DElYkX7l4wRkHqqCUFNJY4AfY3kHU/edit?usp=sharing  #gid=0"",""фіз особи new!relations_name""),6,FALSE)
,
(IF
(
C5176=""юридична особа""
,
VLOOKUP"&amp;"(D5176,IMPORTRANGE(""https://docs.google.com/spreadsheets/d/14Bd19lYaqBhU8_DElYkX7l4wRkHqqCUFNJY4AfY3kHU/edit?usp=sharing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5" s="7" t="s">
        <v>10</v>
      </c>
      <c r="H5175" s="7">
        <v>23522</v>
      </c>
      <c r="I5175" s="8" t="str">
        <f ca="1">IFERROR(__xludf.DUMMYFUNCTION("IF
(
G5176=""фізична особа""
,
VLOOKUP(H5176,IMPORTRANGE(""https://docs.google.com/spreadsheets/d/14Bd19lYaqBhU8_DElYkX7l4wRkHqqCUFNJY4AfY3kHU/edit?usp=sharing  #gid=0"",""фіз особи new!relations_name""),6,FALSE)
,
(IF
(
G5176=""юридична особа""
,
VLOOKUP"&amp;"(H5176,IMPORTRANGE(""https://docs.google.com/spreadsheets/d/14Bd19lYaqBhU8_DElYkX7l4wRkHqqCUFNJY4AfY3kHU/edit?usp=sharing  #gid=0"",""фіз особи new!relations_name_uo""),7,FALSE)
,
)
))"),"ОЛЬГА Казимівна Астахова")</f>
        <v>ОЛЬГА Казимівна Астахова</v>
      </c>
      <c r="J5175" s="7" t="s">
        <v>28</v>
      </c>
    </row>
    <row r="5176" spans="1:10" ht="13.2">
      <c r="A5176" s="7">
        <v>5175</v>
      </c>
      <c r="B5176" s="7">
        <v>1</v>
      </c>
      <c r="C5176" s="7" t="s">
        <v>10</v>
      </c>
      <c r="D5176" s="7">
        <v>4257</v>
      </c>
      <c r="E5176" s="7" t="s">
        <v>29</v>
      </c>
      <c r="F5176" s="8" t="str">
        <f ca="1">IFERROR(__xludf.DUMMYFUNCTION("IF
(
C5177=""фізична особа""
,
VLOOKUP(D5177,IMPORTRANGE(""https://docs.google.com/spreadsheets/d/14Bd19lYaqBhU8_DElYkX7l4wRkHqqCUFNJY4AfY3kHU/edit?usp=sharing  #gid=0"",""фіз особи new!relations_name""),6,FALSE)
,
(IF
(
C5177=""юридична особа""
,
VLOOKUP"&amp;"(D5177,IMPORTRANGE(""https://docs.google.com/spreadsheets/d/14Bd19lYaqBhU8_DElYkX7l4wRkHqqCUFNJY4AfY3kHU/edit?usp=sharing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6" s="7" t="s">
        <v>10</v>
      </c>
      <c r="H5176" s="7">
        <v>23523</v>
      </c>
      <c r="I5176" s="8" t="str">
        <f ca="1">IFERROR(__xludf.DUMMYFUNCTION("IF
(
G5177=""фізична особа""
,
VLOOKUP(H5177,IMPORTRANGE(""https://docs.google.com/spreadsheets/d/14Bd19lYaqBhU8_DElYkX7l4wRkHqqCUFNJY4AfY3kHU/edit?usp=sharing  #gid=0"",""фіз особи new!relations_name""),6,FALSE)
,
(IF
(
G5177=""юридична особа""
,
VLOOKUP"&amp;"(H5177,IMPORTRANGE(""https://docs.google.com/spreadsheets/d/14Bd19lYaqBhU8_DElYkX7l4wRkHqqCUFNJY4AfY3kHU/edit?usp=sharing  #gid=0"",""фіз особи new!relations_name_uo""),7,FALSE)
,
)
))"),"МАКСИМ Вікторович Коньшаков")</f>
        <v>МАКСИМ Вікторович Коньшаков</v>
      </c>
      <c r="J5176" s="7" t="s">
        <v>28</v>
      </c>
    </row>
    <row r="5177" spans="1:10" ht="13.2">
      <c r="A5177" s="7">
        <v>5176</v>
      </c>
      <c r="B5177" s="7">
        <v>1</v>
      </c>
      <c r="C5177" s="7" t="s">
        <v>10</v>
      </c>
      <c r="D5177" s="7">
        <v>4257</v>
      </c>
      <c r="E5177" s="7" t="s">
        <v>29</v>
      </c>
      <c r="F5177" s="8" t="str">
        <f ca="1">IFERROR(__xludf.DUMMYFUNCTION("IF
(
C5178=""фізична особа""
,
VLOOKUP(D5178,IMPORTRANGE(""https://docs.google.com/spreadsheets/d/14Bd19lYaqBhU8_DElYkX7l4wRkHqqCUFNJY4AfY3kHU/edit?usp=sharing  #gid=0"",""фіз особи new!relations_name""),6,FALSE)
,
(IF
(
C5178=""юридична особа""
,
VLOOKUP"&amp;"(D5178,IMPORTRANGE(""https://docs.google.com/spreadsheets/d/14Bd19lYaqBhU8_DElYkX7l4wRkHqqCUFNJY4AfY3kHU/edit?usp=sharing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7" s="7" t="s">
        <v>10</v>
      </c>
      <c r="H5177" s="7">
        <v>23524</v>
      </c>
      <c r="I5177" s="8" t="str">
        <f ca="1">IFERROR(__xludf.DUMMYFUNCTION("IF
(
G5178=""фізична особа""
,
VLOOKUP(H5178,IMPORTRANGE(""https://docs.google.com/spreadsheets/d/14Bd19lYaqBhU8_DElYkX7l4wRkHqqCUFNJY4AfY3kHU/edit?usp=sharing  #gid=0"",""фіз особи new!relations_name""),6,FALSE)
,
(IF
(
G5178=""юридична особа""
,
VLOOKUP"&amp;"(H5178,IMPORTRANGE(""https://docs.google.com/spreadsheets/d/14Bd19lYaqBhU8_DElYkX7l4wRkHqqCUFNJY4AfY3kHU/edit?usp=sharing  #gid=0"",""фіз особи new!relations_name_uo""),7,FALSE)
,
)
))"),"МИКОЛА Іванович Голубокий")</f>
        <v>МИКОЛА Іванович Голубокий</v>
      </c>
      <c r="J5177" s="7" t="s">
        <v>28</v>
      </c>
    </row>
    <row r="5178" spans="1:10" ht="13.2">
      <c r="A5178" s="7">
        <v>5177</v>
      </c>
      <c r="B5178" s="7">
        <v>1</v>
      </c>
      <c r="C5178" s="7" t="s">
        <v>10</v>
      </c>
      <c r="D5178" s="7">
        <v>4257</v>
      </c>
      <c r="E5178" s="7" t="s">
        <v>29</v>
      </c>
      <c r="F5178" s="8" t="str">
        <f ca="1">IFERROR(__xludf.DUMMYFUNCTION("IF
(
C5179=""фізична особа""
,
VLOOKUP(D5179,IMPORTRANGE(""https://docs.google.com/spreadsheets/d/14Bd19lYaqBhU8_DElYkX7l4wRkHqqCUFNJY4AfY3kHU/edit?usp=sharing  #gid=0"",""фіз особи new!relations_name""),6,FALSE)
,
(IF
(
C5179=""юридична особа""
,
VLOOKUP"&amp;"(D5179,IMPORTRANGE(""https://docs.google.com/spreadsheets/d/14Bd19lYaqBhU8_DElYkX7l4wRkHqqCUFNJY4AfY3kHU/edit?usp=sharing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8" s="7" t="s">
        <v>10</v>
      </c>
      <c r="H5178" s="7">
        <v>23525</v>
      </c>
      <c r="I5178" s="8" t="str">
        <f ca="1">IFERROR(__xludf.DUMMYFUNCTION("IF
(
G5179=""фізична особа""
,
VLOOKUP(H5179,IMPORTRANGE(""https://docs.google.com/spreadsheets/d/14Bd19lYaqBhU8_DElYkX7l4wRkHqqCUFNJY4AfY3kHU/edit?usp=sharing  #gid=0"",""фіз особи new!relations_name""),6,FALSE)
,
(IF
(
G5179=""юридична особа""
,
VLOOKUP"&amp;"(H5179,IMPORTRANGE(""https://docs.google.com/spreadsheets/d/14Bd19lYaqBhU8_DElYkX7l4wRkHqqCUFNJY4AfY3kHU/edit?usp=sharing  #gid=0"",""фіз особи new!relations_name_uo""),7,FALSE)
,
)
))"),"ВАЛЕНТИНА Михайлівна Миронова")</f>
        <v>ВАЛЕНТИНА Михайлівна Миронова</v>
      </c>
      <c r="J5178" s="7" t="s">
        <v>28</v>
      </c>
    </row>
    <row r="5179" spans="1:10" ht="13.2">
      <c r="A5179" s="7">
        <v>5178</v>
      </c>
      <c r="B5179" s="7">
        <v>1</v>
      </c>
      <c r="C5179" s="7" t="s">
        <v>10</v>
      </c>
      <c r="D5179" s="7">
        <v>4257</v>
      </c>
      <c r="E5179" s="7" t="s">
        <v>29</v>
      </c>
      <c r="F5179" s="8" t="str">
        <f ca="1">IFERROR(__xludf.DUMMYFUNCTION("IF
(
C5180=""фізична особа""
,
VLOOKUP(D5180,IMPORTRANGE(""https://docs.google.com/spreadsheets/d/14Bd19lYaqBhU8_DElYkX7l4wRkHqqCUFNJY4AfY3kHU/edit?usp=sharing  #gid=0"",""фіз особи new!relations_name""),6,FALSE)
,
(IF
(
C5180=""юридична особа""
,
VLOOKUP"&amp;"(D5180,IMPORTRANGE(""https://docs.google.com/spreadsheets/d/14Bd19lYaqBhU8_DElYkX7l4wRkHqqCUFNJY4AfY3kHU/edit?usp=sharing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79" s="7" t="s">
        <v>10</v>
      </c>
      <c r="H5179" s="7">
        <v>23526</v>
      </c>
      <c r="I5179" s="8" t="str">
        <f ca="1">IFERROR(__xludf.DUMMYFUNCTION("IF
(
G5180=""фізична особа""
,
VLOOKUP(H5180,IMPORTRANGE(""https://docs.google.com/spreadsheets/d/14Bd19lYaqBhU8_DElYkX7l4wRkHqqCUFNJY4AfY3kHU/edit?usp=sharing  #gid=0"",""фіз особи new!relations_name""),6,FALSE)
,
(IF
(
G5180=""юридична особа""
,
VLOOKUP"&amp;"(H5180,IMPORTRANGE(""https://docs.google.com/spreadsheets/d/14Bd19lYaqBhU8_DElYkX7l4wRkHqqCUFNJY4AfY3kHU/edit?usp=sharing  #gid=0"",""фіз особи new!relations_name_uo""),7,FALSE)
,
)
))"),"АНДРЕЄВА Алевтина Олександрівна")</f>
        <v>АНДРЕЄВА Алевтина Олександрівна</v>
      </c>
      <c r="J5179" s="7" t="s">
        <v>28</v>
      </c>
    </row>
    <row r="5180" spans="1:10" ht="13.2">
      <c r="A5180" s="7">
        <v>5179</v>
      </c>
      <c r="B5180" s="7">
        <v>1</v>
      </c>
      <c r="C5180" s="7" t="s">
        <v>10</v>
      </c>
      <c r="D5180" s="7">
        <v>4257</v>
      </c>
      <c r="E5180" s="7" t="s">
        <v>29</v>
      </c>
      <c r="F5180" s="8" t="str">
        <f ca="1">IFERROR(__xludf.DUMMYFUNCTION("IF
(
C5181=""фізична особа""
,
VLOOKUP(D5181,IMPORTRANGE(""https://docs.google.com/spreadsheets/d/14Bd19lYaqBhU8_DElYkX7l4wRkHqqCUFNJY4AfY3kHU/edit?usp=sharing  #gid=0"",""фіз особи new!relations_name""),6,FALSE)
,
(IF
(
C5181=""юридична особа""
,
VLOOKUP"&amp;"(D5181,IMPORTRANGE(""https://docs.google.com/spreadsheets/d/14Bd19lYaqBhU8_DElYkX7l4wRkHqqCUFNJY4AfY3kHU/edit?usp=sharing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80" s="7" t="s">
        <v>10</v>
      </c>
      <c r="H5180" s="7">
        <v>15462</v>
      </c>
      <c r="I5180" s="8" t="str">
        <f ca="1">IFERROR(__xludf.DUMMYFUNCTION("IF
(
G5181=""фізична особа""
,
VLOOKUP(H5181,IMPORTRANGE(""https://docs.google.com/spreadsheets/d/14Bd19lYaqBhU8_DElYkX7l4wRkHqqCUFNJY4AfY3kHU/edit?usp=sharing  #gid=0"",""фіз особи new!relations_name""),6,FALSE)
,
(IF
(
G5181=""юридична особа""
,
VLOOKUP"&amp;"(H5181,IMPORTRANGE(""https://docs.google.com/spreadsheets/d/14Bd19lYaqBhU8_DElYkX7l4wRkHqqCUFNJY4AfY3kHU/edit?usp=sharing  #gid=0"",""фіз особи new!relations_name_uo""),7,FALSE)
,
)
))"),"СУББОТ Валентин Володимирович")</f>
        <v>СУББОТ Валентин Володимирович</v>
      </c>
      <c r="J5180" s="7" t="s">
        <v>28</v>
      </c>
    </row>
    <row r="5181" spans="1:10" ht="13.2">
      <c r="A5181" s="7">
        <v>5180</v>
      </c>
      <c r="B5181" s="7">
        <v>1</v>
      </c>
      <c r="C5181" s="7" t="s">
        <v>10</v>
      </c>
      <c r="D5181" s="7">
        <v>4257</v>
      </c>
      <c r="E5181" s="7" t="s">
        <v>29</v>
      </c>
      <c r="F5181" s="8" t="str">
        <f ca="1">IFERROR(__xludf.DUMMYFUNCTION("IF
(
C5182=""фізична особа""
,
VLOOKUP(D5182,IMPORTRANGE(""https://docs.google.com/spreadsheets/d/14Bd19lYaqBhU8_DElYkX7l4wRkHqqCUFNJY4AfY3kHU/edit?usp=sharing  #gid=0"",""фіз особи new!relations_name""),6,FALSE)
,
(IF
(
C5182=""юридична особа""
,
VLOOKUP"&amp;"(D5182,IMPORTRANGE(""https://docs.google.com/spreadsheets/d/14Bd19lYaqBhU8_DElYkX7l4wRkHqqCUFNJY4AfY3kHU/edit?usp=sharing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81" s="7" t="s">
        <v>10</v>
      </c>
      <c r="H5181" s="7">
        <v>21270</v>
      </c>
      <c r="I5181" s="8" t="str">
        <f ca="1">IFERROR(__xludf.DUMMYFUNCTION("IF
(
G5182=""фізична особа""
,
VLOOKUP(H5182,IMPORTRANGE(""https://docs.google.com/spreadsheets/d/14Bd19lYaqBhU8_DElYkX7l4wRkHqqCUFNJY4AfY3kHU/edit?usp=sharing  #gid=0"",""фіз особи new!relations_name""),6,FALSE)
,
(IF
(
G5182=""юридична особа""
,
VLOOKUP"&amp;"(H5182,IMPORTRANGE(""https://docs.google.com/spreadsheets/d/14Bd19lYaqBhU8_DElYkX7l4wRkHqqCUFNJY4AfY3kHU/edit?usp=sharing  #gid=0"",""фіз особи new!relations_name_uo""),7,FALSE)
,
)
))"),"АНТОШИН Сергій Сергійович")</f>
        <v>АНТОШИН Сергій Сергійович</v>
      </c>
      <c r="J5181" s="7" t="s">
        <v>28</v>
      </c>
    </row>
    <row r="5182" spans="1:10" ht="13.2">
      <c r="A5182" s="7">
        <v>5181</v>
      </c>
      <c r="B5182" s="7">
        <v>1</v>
      </c>
      <c r="C5182" s="7" t="s">
        <v>10</v>
      </c>
      <c r="D5182" s="7">
        <v>4257</v>
      </c>
      <c r="E5182" s="7" t="s">
        <v>29</v>
      </c>
      <c r="F5182" s="8" t="str">
        <f ca="1">IFERROR(__xludf.DUMMYFUNCTION("IF
(
C5183=""фізична особа""
,
VLOOKUP(D5183,IMPORTRANGE(""https://docs.google.com/spreadsheets/d/14Bd19lYaqBhU8_DElYkX7l4wRkHqqCUFNJY4AfY3kHU/edit?usp=sharing  #gid=0"",""фіз особи new!relations_name""),6,FALSE)
,
(IF
(
C5183=""юридична особа""
,
VLOOKUP"&amp;"(D5183,IMPORTRANGE(""https://docs.google.com/spreadsheets/d/14Bd19lYaqBhU8_DElYkX7l4wRkHqqCUFNJY4AfY3kHU/edit?usp=sharing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82" s="7" t="s">
        <v>10</v>
      </c>
      <c r="H5182" s="7">
        <v>19995</v>
      </c>
      <c r="I5182" s="8" t="str">
        <f ca="1">IFERROR(__xludf.DUMMYFUNCTION("IF
(
G5183=""фізична особа""
,
VLOOKUP(H5183,IMPORTRANGE(""https://docs.google.com/spreadsheets/d/14Bd19lYaqBhU8_DElYkX7l4wRkHqqCUFNJY4AfY3kHU/edit?usp=sharing  #gid=0"",""фіз особи new!relations_name""),6,FALSE)
,
(IF
(
G5183=""юридична особа""
,
VLOOKUP"&amp;"(H5183,IMPORTRANGE(""https://docs.google.com/spreadsheets/d/14Bd19lYaqBhU8_DElYkX7l4wRkHqqCUFNJY4AfY3kHU/edit?usp=sharing  #gid=0"",""фіз особи new!relations_name_uo""),7,FALSE)
,
)
))"),"БЄЛЯЙ Віталій Вікторович")</f>
        <v>БЄЛЯЙ Віталій Вікторович</v>
      </c>
      <c r="J5182" s="7" t="s">
        <v>28</v>
      </c>
    </row>
    <row r="5183" spans="1:10" ht="13.2">
      <c r="A5183" s="7">
        <v>5182</v>
      </c>
      <c r="B5183" s="7">
        <v>1</v>
      </c>
      <c r="C5183" s="7" t="s">
        <v>10</v>
      </c>
      <c r="D5183" s="7">
        <v>4257</v>
      </c>
      <c r="E5183" s="7" t="s">
        <v>29</v>
      </c>
      <c r="F5183" s="8" t="str">
        <f ca="1">IFERROR(__xludf.DUMMYFUNCTION("IF
(
C5184=""фізична особа""
,
VLOOKUP(D5184,IMPORTRANGE(""https://docs.google.com/spreadsheets/d/14Bd19lYaqBhU8_DElYkX7l4wRkHqqCUFNJY4AfY3kHU/edit?usp=sharing  #gid=0"",""фіз особи new!relations_name""),6,FALSE)
,
(IF
(
C5184=""юридична особа""
,
VLOOKUP"&amp;"(D5184,IMPORTRANGE(""https://docs.google.com/spreadsheets/d/14Bd19lYaqBhU8_DElYkX7l4wRkHqqCUFNJY4AfY3kHU/edit?usp=sharing  #gid=0"",""фіз особи new!relations_name_uo""),7,FALSE)
,
)
))"),"ДБАР Марина Валентинівна")</f>
        <v>ДБАР Марина Валентинівна</v>
      </c>
      <c r="G5183" s="7" t="s">
        <v>10</v>
      </c>
      <c r="H5183" s="7">
        <v>20004</v>
      </c>
      <c r="I5183" s="8" t="str">
        <f ca="1">IFERROR(__xludf.DUMMYFUNCTION("IF
(
G5184=""фізична особа""
,
VLOOKUP(H5184,IMPORTRANGE(""https://docs.google.com/spreadsheets/d/14Bd19lYaqBhU8_DElYkX7l4wRkHqqCUFNJY4AfY3kHU/edit?usp=sharing  #gid=0"",""фіз особи new!relations_name""),6,FALSE)
,
(IF
(
G5184=""юридична особа""
,
VLOOKUP"&amp;"(H5184,IMPORTRANGE(""https://docs.google.com/spreadsheets/d/14Bd19lYaqBhU8_DElYkX7l4wRkHqqCUFNJY4AfY3kHU/edit?usp=sharing  #gid=0"",""фіз особи new!relations_name_uo""),7,FALSE)
,
)
))"),"ПРОНІН Володимир Михайлович")</f>
        <v>ПРОНІН Володимир Михайлович</v>
      </c>
      <c r="J5183" s="7" t="s">
        <v>28</v>
      </c>
    </row>
    <row r="5184" spans="1:10" ht="13.2">
      <c r="A5184" s="7">
        <v>5183</v>
      </c>
      <c r="B5184" s="7">
        <v>1</v>
      </c>
      <c r="C5184" s="7" t="s">
        <v>10</v>
      </c>
      <c r="D5184" s="7">
        <v>4258</v>
      </c>
      <c r="E5184" s="7" t="s">
        <v>28</v>
      </c>
      <c r="F5184" s="8" t="str">
        <f ca="1">IFERROR(__xludf.DUMMYFUNCTION("IF
(
C5185=""фізична особа""
,
VLOOKUP(D5185,IMPORTRANGE(""https://docs.google.com/spreadsheets/d/14Bd19lYaqBhU8_DElYkX7l4wRkHqqCUFNJY4AfY3kHU/edit?usp=sharing  #gid=0"",""фіз особи new!relations_name""),6,FALSE)
,
(IF
(
C5185=""юридична особа""
,
VLOOKUP"&amp;"(D5185,IMPORTRANGE(""https://docs.google.com/spreadsheets/d/14Bd19lYaqBhU8_DElYkX7l4wRkHqqCUFNJY4AfY3kHU/edit?usp=sharing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4" s="7" t="s">
        <v>10</v>
      </c>
      <c r="H5184" s="7">
        <v>2530</v>
      </c>
      <c r="I5184" s="8" t="str">
        <f ca="1">IFERROR(__xludf.DUMMYFUNCTION("IF
(
G5185=""фізична особа""
,
VLOOKUP(H5185,IMPORTRANGE(""https://docs.google.com/spreadsheets/d/14Bd19lYaqBhU8_DElYkX7l4wRkHqqCUFNJY4AfY3kHU/edit?usp=sharing  #gid=0"",""фіз особи new!relations_name""),6,FALSE)
,
(IF
(
G5185=""юридична особа""
,
VLOOKUP"&amp;"(H5185,IMPORTRANGE(""https://docs.google.com/spreadsheets/d/14Bd19lYaqBhU8_DElYkX7l4wRkHqqCUFNJY4AfY3kHU/edit?usp=sharing  #gid=0"",""фіз особи new!relations_name_uo""),7,FALSE)
,
)
))"),"БОЧАРОВ Андрій Іванович")</f>
        <v>БОЧАРОВ Андрій Іванович</v>
      </c>
      <c r="J5184" s="7" t="s">
        <v>29</v>
      </c>
    </row>
    <row r="5185" spans="1:10" ht="13.2">
      <c r="A5185" s="7">
        <v>5184</v>
      </c>
      <c r="B5185" s="7">
        <v>1</v>
      </c>
      <c r="C5185" s="7" t="s">
        <v>10</v>
      </c>
      <c r="D5185" s="7">
        <v>4258</v>
      </c>
      <c r="E5185" s="7" t="s">
        <v>30</v>
      </c>
      <c r="F5185" s="8" t="str">
        <f ca="1">IFERROR(__xludf.DUMMYFUNCTION("IF
(
C5186=""фізична особа""
,
VLOOKUP(D5186,IMPORTRANGE(""https://docs.google.com/spreadsheets/d/14Bd19lYaqBhU8_DElYkX7l4wRkHqqCUFNJY4AfY3kHU/edit?usp=sharing  #gid=0"",""фіз особи new!relations_name""),6,FALSE)
,
(IF
(
C5186=""юридична особа""
,
VLOOKUP"&amp;"(D5186,IMPORTRANGE(""https://docs.google.com/spreadsheets/d/14Bd19lYaqBhU8_DElYkX7l4wRkHqqCUFNJY4AfY3kHU/edit?usp=sharing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5" s="7" t="s">
        <v>10</v>
      </c>
      <c r="H5185" s="7">
        <v>0</v>
      </c>
      <c r="I5185" s="8" t="str">
        <f ca="1">IFERROR(__xludf.DUMMYFUNCTION("IF
(
G5186=""фізична особа""
,
VLOOKUP(H5186,IMPORTRANGE(""https://docs.google.com/spreadsheets/d/14Bd19lYaqBhU8_DElYkX7l4wRkHqqCUFNJY4AfY3kHU/edit?usp=sharing  #gid=0"",""фіз особи new!relations_name""),6,FALSE)
,
(IF
(
G5186=""юридична особа""
,
VLOOKUP"&amp;"(H5186,IMPORTRANGE(""https://docs.google.com/spreadsheets/d/14Bd19lYaqBhU8_DElYkX7l4wRkHqqCUFNJY4AfY3kHU/edit?usp=sharing  #gid=0"",""фіз особи new!relations_name_uo""),7,FALSE)
,
)
))"),"#N/A")</f>
        <v>#N/A</v>
      </c>
      <c r="J5185" s="7" t="s">
        <v>30</v>
      </c>
    </row>
    <row r="5186" spans="1:10" ht="13.2">
      <c r="A5186" s="7">
        <v>5185</v>
      </c>
      <c r="B5186" s="7">
        <v>1</v>
      </c>
      <c r="C5186" s="7" t="s">
        <v>10</v>
      </c>
      <c r="D5186" s="7">
        <v>4258</v>
      </c>
      <c r="E5186" s="7" t="s">
        <v>30</v>
      </c>
      <c r="F5186" s="8" t="str">
        <f ca="1">IFERROR(__xludf.DUMMYFUNCTION("IF
(
C5187=""фізична особа""
,
VLOOKUP(D5187,IMPORTRANGE(""https://docs.google.com/spreadsheets/d/14Bd19lYaqBhU8_DElYkX7l4wRkHqqCUFNJY4AfY3kHU/edit?usp=sharing  #gid=0"",""фіз особи new!relations_name""),6,FALSE)
,
(IF
(
C5187=""юридична особа""
,
VLOOKUP"&amp;"(D5187,IMPORTRANGE(""https://docs.google.com/spreadsheets/d/14Bd19lYaqBhU8_DElYkX7l4wRkHqqCUFNJY4AfY3kHU/edit?usp=sharing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6" s="7" t="s">
        <v>10</v>
      </c>
      <c r="H5186" s="7">
        <v>0</v>
      </c>
      <c r="I5186" s="8" t="str">
        <f ca="1">IFERROR(__xludf.DUMMYFUNCTION("IF
(
G5187=""фізична особа""
,
VLOOKUP(H5187,IMPORTRANGE(""https://docs.google.com/spreadsheets/d/14Bd19lYaqBhU8_DElYkX7l4wRkHqqCUFNJY4AfY3kHU/edit?usp=sharing  #gid=0"",""фіз особи new!relations_name""),6,FALSE)
,
(IF
(
G5187=""юридична особа""
,
VLOOKUP"&amp;"(H5187,IMPORTRANGE(""https://docs.google.com/spreadsheets/d/14Bd19lYaqBhU8_DElYkX7l4wRkHqqCUFNJY4AfY3kHU/edit?usp=sharing  #gid=0"",""фіз особи new!relations_name_uo""),7,FALSE)
,
)
))"),"#N/A")</f>
        <v>#N/A</v>
      </c>
      <c r="J5186" s="7" t="s">
        <v>30</v>
      </c>
    </row>
    <row r="5187" spans="1:10" ht="13.2">
      <c r="A5187" s="7">
        <v>5186</v>
      </c>
      <c r="B5187" s="7">
        <v>1</v>
      </c>
      <c r="C5187" s="7" t="s">
        <v>10</v>
      </c>
      <c r="D5187" s="7">
        <v>4258</v>
      </c>
      <c r="E5187" s="7" t="s">
        <v>14</v>
      </c>
      <c r="F5187" s="8" t="str">
        <f ca="1">IFERROR(__xludf.DUMMYFUNCTION("IF
(
C5188=""фізична особа""
,
VLOOKUP(D5188,IMPORTRANGE(""https://docs.google.com/spreadsheets/d/14Bd19lYaqBhU8_DElYkX7l4wRkHqqCUFNJY4AfY3kHU/edit?usp=sharing  #gid=0"",""фіз особи new!relations_name""),6,FALSE)
,
(IF
(
C5188=""юридична особа""
,
VLOOKUP"&amp;"(D5188,IMPORTRANGE(""https://docs.google.com/spreadsheets/d/14Bd19lYaqBhU8_DElYkX7l4wRkHqqCUFNJY4AfY3kHU/edit?usp=sharing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7" s="7" t="s">
        <v>10</v>
      </c>
      <c r="H5187" s="7">
        <v>0</v>
      </c>
      <c r="I5187" s="8" t="str">
        <f ca="1">IFERROR(__xludf.DUMMYFUNCTION("IF
(
G5188=""фізична особа""
,
VLOOKUP(H5188,IMPORTRANGE(""https://docs.google.com/spreadsheets/d/14Bd19lYaqBhU8_DElYkX7l4wRkHqqCUFNJY4AfY3kHU/edit?usp=sharing  #gid=0"",""фіз особи new!relations_name""),6,FALSE)
,
(IF
(
G5188=""юридична особа""
,
VLOOKUP"&amp;"(H5188,IMPORTRANGE(""https://docs.google.com/spreadsheets/d/14Bd19lYaqBhU8_DElYkX7l4wRkHqqCUFNJY4AfY3kHU/edit?usp=sharing  #gid=0"",""фіз особи new!relations_name_uo""),7,FALSE)
,
)
))"),"#N/A")</f>
        <v>#N/A</v>
      </c>
      <c r="J5187" s="7" t="s">
        <v>15</v>
      </c>
    </row>
    <row r="5188" spans="1:10" ht="13.2">
      <c r="A5188" s="7">
        <v>5187</v>
      </c>
      <c r="B5188" s="7">
        <v>1</v>
      </c>
      <c r="C5188" s="7" t="s">
        <v>10</v>
      </c>
      <c r="D5188" s="7">
        <v>4258</v>
      </c>
      <c r="E5188" s="7" t="s">
        <v>12</v>
      </c>
      <c r="F5188" s="8" t="str">
        <f ca="1">IFERROR(__xludf.DUMMYFUNCTION("IF
(
C5189=""фізична особа""
,
VLOOKUP(D5189,IMPORTRANGE(""https://docs.google.com/spreadsheets/d/14Bd19lYaqBhU8_DElYkX7l4wRkHqqCUFNJY4AfY3kHU/edit?usp=sharing  #gid=0"",""фіз особи new!relations_name""),6,FALSE)
,
(IF
(
C5189=""юридична особа""
,
VLOOKUP"&amp;"(D5189,IMPORTRANGE(""https://docs.google.com/spreadsheets/d/14Bd19lYaqBhU8_DElYkX7l4wRkHqqCUFNJY4AfY3kHU/edit?usp=sharing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8" s="7" t="s">
        <v>10</v>
      </c>
      <c r="H5188" s="7">
        <v>0</v>
      </c>
      <c r="I5188" s="8" t="str">
        <f ca="1">IFERROR(__xludf.DUMMYFUNCTION("IF
(
G5189=""фізична особа""
,
VLOOKUP(H5189,IMPORTRANGE(""https://docs.google.com/spreadsheets/d/14Bd19lYaqBhU8_DElYkX7l4wRkHqqCUFNJY4AfY3kHU/edit?usp=sharing  #gid=0"",""фіз особи new!relations_name""),6,FALSE)
,
(IF
(
G5189=""юридична особа""
,
VLOOKUP"&amp;"(H5189,IMPORTRANGE(""https://docs.google.com/spreadsheets/d/14Bd19lYaqBhU8_DElYkX7l4wRkHqqCUFNJY4AfY3kHU/edit?usp=sharing  #gid=0"",""фіз особи new!relations_name_uo""),7,FALSE)
,
)
))"),"#N/A")</f>
        <v>#N/A</v>
      </c>
      <c r="J5188" s="7" t="s">
        <v>17</v>
      </c>
    </row>
    <row r="5189" spans="1:10" ht="13.2">
      <c r="A5189" s="7">
        <v>5188</v>
      </c>
      <c r="B5189" s="7">
        <v>1</v>
      </c>
      <c r="C5189" s="7" t="s">
        <v>10</v>
      </c>
      <c r="D5189" s="7">
        <v>4258</v>
      </c>
      <c r="E5189" s="7" t="s">
        <v>29</v>
      </c>
      <c r="F5189" s="8" t="str">
        <f ca="1">IFERROR(__xludf.DUMMYFUNCTION("IF
(
C5190=""фізична особа""
,
VLOOKUP(D5190,IMPORTRANGE(""https://docs.google.com/spreadsheets/d/14Bd19lYaqBhU8_DElYkX7l4wRkHqqCUFNJY4AfY3kHU/edit?usp=sharing  #gid=0"",""фіз особи new!relations_name""),6,FALSE)
,
(IF
(
C5190=""юридична особа""
,
VLOOKUP"&amp;"(D5190,IMPORTRANGE(""https://docs.google.com/spreadsheets/d/14Bd19lYaqBhU8_DElYkX7l4wRkHqqCUFNJY4AfY3kHU/edit?usp=sharing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89" s="7" t="s">
        <v>10</v>
      </c>
      <c r="H5189" s="7">
        <v>0</v>
      </c>
      <c r="I5189" s="8" t="str">
        <f ca="1">IFERROR(__xludf.DUMMYFUNCTION("IF
(
G5190=""фізична особа""
,
VLOOKUP(H5190,IMPORTRANGE(""https://docs.google.com/spreadsheets/d/14Bd19lYaqBhU8_DElYkX7l4wRkHqqCUFNJY4AfY3kHU/edit?usp=sharing  #gid=0"",""фіз особи new!relations_name""),6,FALSE)
,
(IF
(
G5190=""юридична особа""
,
VLOOKUP"&amp;"(H5190,IMPORTRANGE(""https://docs.google.com/spreadsheets/d/14Bd19lYaqBhU8_DElYkX7l4wRkHqqCUFNJY4AfY3kHU/edit?usp=sharing  #gid=0"",""фіз особи new!relations_name_uo""),7,FALSE)
,
)
))"),"#N/A")</f>
        <v>#N/A</v>
      </c>
      <c r="J5189" s="7" t="s">
        <v>28</v>
      </c>
    </row>
    <row r="5190" spans="1:10" ht="13.2">
      <c r="A5190" s="7">
        <v>5189</v>
      </c>
      <c r="B5190" s="7">
        <v>1</v>
      </c>
      <c r="C5190" s="7" t="s">
        <v>10</v>
      </c>
      <c r="D5190" s="7">
        <v>4258</v>
      </c>
      <c r="E5190" s="7" t="s">
        <v>29</v>
      </c>
      <c r="F5190" s="8" t="str">
        <f ca="1">IFERROR(__xludf.DUMMYFUNCTION("IF
(
C5191=""фізична особа""
,
VLOOKUP(D5191,IMPORTRANGE(""https://docs.google.com/spreadsheets/d/14Bd19lYaqBhU8_DElYkX7l4wRkHqqCUFNJY4AfY3kHU/edit?usp=sharing  #gid=0"",""фіз особи new!relations_name""),6,FALSE)
,
(IF
(
C5191=""юридична особа""
,
VLOOKUP"&amp;"(D5191,IMPORTRANGE(""https://docs.google.com/spreadsheets/d/14Bd19lYaqBhU8_DElYkX7l4wRkHqqCUFNJY4AfY3kHU/edit?usp=sharing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0" s="7" t="s">
        <v>10</v>
      </c>
      <c r="H5190" s="7">
        <v>0</v>
      </c>
      <c r="I5190" s="8" t="str">
        <f ca="1">IFERROR(__xludf.DUMMYFUNCTION("IF
(
G5191=""фізична особа""
,
VLOOKUP(H5191,IMPORTRANGE(""https://docs.google.com/spreadsheets/d/14Bd19lYaqBhU8_DElYkX7l4wRkHqqCUFNJY4AfY3kHU/edit?usp=sharing  #gid=0"",""фіз особи new!relations_name""),6,FALSE)
,
(IF
(
G5191=""юридична особа""
,
VLOOKUP"&amp;"(H5191,IMPORTRANGE(""https://docs.google.com/spreadsheets/d/14Bd19lYaqBhU8_DElYkX7l4wRkHqqCUFNJY4AfY3kHU/edit?usp=sharing  #gid=0"",""фіз особи new!relations_name_uo""),7,FALSE)
,
)
))"),"#N/A")</f>
        <v>#N/A</v>
      </c>
      <c r="J5190" s="7" t="s">
        <v>28</v>
      </c>
    </row>
    <row r="5191" spans="1:10" ht="13.2">
      <c r="A5191" s="7">
        <v>5190</v>
      </c>
      <c r="B5191" s="7">
        <v>1</v>
      </c>
      <c r="C5191" s="7" t="s">
        <v>10</v>
      </c>
      <c r="D5191" s="7">
        <v>4258</v>
      </c>
      <c r="E5191" s="7" t="s">
        <v>29</v>
      </c>
      <c r="F5191" s="8" t="str">
        <f ca="1">IFERROR(__xludf.DUMMYFUNCTION("IF
(
C5192=""фізична особа""
,
VLOOKUP(D5192,IMPORTRANGE(""https://docs.google.com/spreadsheets/d/14Bd19lYaqBhU8_DElYkX7l4wRkHqqCUFNJY4AfY3kHU/edit?usp=sharing  #gid=0"",""фіз особи new!relations_name""),6,FALSE)
,
(IF
(
C5192=""юридична особа""
,
VLOOKUP"&amp;"(D5192,IMPORTRANGE(""https://docs.google.com/spreadsheets/d/14Bd19lYaqBhU8_DElYkX7l4wRkHqqCUFNJY4AfY3kHU/edit?usp=sharing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1" s="7" t="s">
        <v>10</v>
      </c>
      <c r="H5191" s="7">
        <v>0</v>
      </c>
      <c r="I5191" s="8" t="str">
        <f ca="1">IFERROR(__xludf.DUMMYFUNCTION("IF
(
G5192=""фізична особа""
,
VLOOKUP(H5192,IMPORTRANGE(""https://docs.google.com/spreadsheets/d/14Bd19lYaqBhU8_DElYkX7l4wRkHqqCUFNJY4AfY3kHU/edit?usp=sharing  #gid=0"",""фіз особи new!relations_name""),6,FALSE)
,
(IF
(
G5192=""юридична особа""
,
VLOOKUP"&amp;"(H5192,IMPORTRANGE(""https://docs.google.com/spreadsheets/d/14Bd19lYaqBhU8_DElYkX7l4wRkHqqCUFNJY4AfY3kHU/edit?usp=sharing  #gid=0"",""фіз особи new!relations_name_uo""),7,FALSE)
,
)
))"),"#N/A")</f>
        <v>#N/A</v>
      </c>
      <c r="J5191" s="7" t="s">
        <v>28</v>
      </c>
    </row>
    <row r="5192" spans="1:10" ht="13.2">
      <c r="A5192" s="7">
        <v>5191</v>
      </c>
      <c r="B5192" s="7">
        <v>1</v>
      </c>
      <c r="C5192" s="7" t="s">
        <v>10</v>
      </c>
      <c r="D5192" s="7">
        <v>4258</v>
      </c>
      <c r="E5192" s="7" t="s">
        <v>29</v>
      </c>
      <c r="F5192" s="8" t="str">
        <f ca="1">IFERROR(__xludf.DUMMYFUNCTION("IF
(
C5193=""фізична особа""
,
VLOOKUP(D5193,IMPORTRANGE(""https://docs.google.com/spreadsheets/d/14Bd19lYaqBhU8_DElYkX7l4wRkHqqCUFNJY4AfY3kHU/edit?usp=sharing  #gid=0"",""фіз особи new!relations_name""),6,FALSE)
,
(IF
(
C5193=""юридична особа""
,
VLOOKUP"&amp;"(D5193,IMPORTRANGE(""https://docs.google.com/spreadsheets/d/14Bd19lYaqBhU8_DElYkX7l4wRkHqqCUFNJY4AfY3kHU/edit?usp=sharing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2" s="7" t="s">
        <v>10</v>
      </c>
      <c r="H5192" s="7">
        <v>0</v>
      </c>
      <c r="I5192" s="8" t="str">
        <f ca="1">IFERROR(__xludf.DUMMYFUNCTION("IF
(
G5193=""фізична особа""
,
VLOOKUP(H5193,IMPORTRANGE(""https://docs.google.com/spreadsheets/d/14Bd19lYaqBhU8_DElYkX7l4wRkHqqCUFNJY4AfY3kHU/edit?usp=sharing  #gid=0"",""фіз особи new!relations_name""),6,FALSE)
,
(IF
(
G5193=""юридична особа""
,
VLOOKUP"&amp;"(H5193,IMPORTRANGE(""https://docs.google.com/spreadsheets/d/14Bd19lYaqBhU8_DElYkX7l4wRkHqqCUFNJY4AfY3kHU/edit?usp=sharing  #gid=0"",""фіз особи new!relations_name_uo""),7,FALSE)
,
)
))"),"#N/A")</f>
        <v>#N/A</v>
      </c>
      <c r="J5192" s="7" t="s">
        <v>28</v>
      </c>
    </row>
    <row r="5193" spans="1:10" ht="13.2">
      <c r="A5193" s="7">
        <v>5192</v>
      </c>
      <c r="B5193" s="7">
        <v>1</v>
      </c>
      <c r="C5193" s="7" t="s">
        <v>10</v>
      </c>
      <c r="D5193" s="7">
        <v>4258</v>
      </c>
      <c r="E5193" s="7" t="s">
        <v>29</v>
      </c>
      <c r="F5193" s="8" t="str">
        <f ca="1">IFERROR(__xludf.DUMMYFUNCTION("IF
(
C5194=""фізична особа""
,
VLOOKUP(D5194,IMPORTRANGE(""https://docs.google.com/spreadsheets/d/14Bd19lYaqBhU8_DElYkX7l4wRkHqqCUFNJY4AfY3kHU/edit?usp=sharing  #gid=0"",""фіз особи new!relations_name""),6,FALSE)
,
(IF
(
C5194=""юридична особа""
,
VLOOKUP"&amp;"(D5194,IMPORTRANGE(""https://docs.google.com/spreadsheets/d/14Bd19lYaqBhU8_DElYkX7l4wRkHqqCUFNJY4AfY3kHU/edit?usp=sharing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3" s="7" t="s">
        <v>10</v>
      </c>
      <c r="H5193" s="7">
        <v>0</v>
      </c>
      <c r="I5193" s="8" t="str">
        <f ca="1">IFERROR(__xludf.DUMMYFUNCTION("IF
(
G5194=""фізична особа""
,
VLOOKUP(H5194,IMPORTRANGE(""https://docs.google.com/spreadsheets/d/14Bd19lYaqBhU8_DElYkX7l4wRkHqqCUFNJY4AfY3kHU/edit?usp=sharing  #gid=0"",""фіз особи new!relations_name""),6,FALSE)
,
(IF
(
G5194=""юридична особа""
,
VLOOKUP"&amp;"(H5194,IMPORTRANGE(""https://docs.google.com/spreadsheets/d/14Bd19lYaqBhU8_DElYkX7l4wRkHqqCUFNJY4AfY3kHU/edit?usp=sharing  #gid=0"",""фіз особи new!relations_name_uo""),7,FALSE)
,
)
))"),"#N/A")</f>
        <v>#N/A</v>
      </c>
      <c r="J5193" s="7" t="s">
        <v>28</v>
      </c>
    </row>
    <row r="5194" spans="1:10" ht="13.2">
      <c r="A5194" s="7">
        <v>5193</v>
      </c>
      <c r="B5194" s="7">
        <v>1</v>
      </c>
      <c r="C5194" s="7" t="s">
        <v>10</v>
      </c>
      <c r="D5194" s="7">
        <v>4258</v>
      </c>
      <c r="E5194" s="7" t="s">
        <v>29</v>
      </c>
      <c r="F5194" s="8" t="str">
        <f ca="1">IFERROR(__xludf.DUMMYFUNCTION("IF
(
C5195=""фізична особа""
,
VLOOKUP(D5195,IMPORTRANGE(""https://docs.google.com/spreadsheets/d/14Bd19lYaqBhU8_DElYkX7l4wRkHqqCUFNJY4AfY3kHU/edit?usp=sharing  #gid=0"",""фіз особи new!relations_name""),6,FALSE)
,
(IF
(
C5195=""юридична особа""
,
VLOOKUP"&amp;"(D5195,IMPORTRANGE(""https://docs.google.com/spreadsheets/d/14Bd19lYaqBhU8_DElYkX7l4wRkHqqCUFNJY4AfY3kHU/edit?usp=sharing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4" s="7" t="s">
        <v>10</v>
      </c>
      <c r="H5194" s="7">
        <v>0</v>
      </c>
      <c r="I5194" s="8" t="str">
        <f ca="1">IFERROR(__xludf.DUMMYFUNCTION("IF
(
G5195=""фізична особа""
,
VLOOKUP(H5195,IMPORTRANGE(""https://docs.google.com/spreadsheets/d/14Bd19lYaqBhU8_DElYkX7l4wRkHqqCUFNJY4AfY3kHU/edit?usp=sharing  #gid=0"",""фіз особи new!relations_name""),6,FALSE)
,
(IF
(
G5195=""юридична особа""
,
VLOOKUP"&amp;"(H5195,IMPORTRANGE(""https://docs.google.com/spreadsheets/d/14Bd19lYaqBhU8_DElYkX7l4wRkHqqCUFNJY4AfY3kHU/edit?usp=sharing  #gid=0"",""фіз особи new!relations_name_uo""),7,FALSE)
,
)
))"),"#N/A")</f>
        <v>#N/A</v>
      </c>
      <c r="J5194" s="7" t="s">
        <v>28</v>
      </c>
    </row>
    <row r="5195" spans="1:10" ht="13.2">
      <c r="A5195" s="7">
        <v>5194</v>
      </c>
      <c r="B5195" s="7">
        <v>1</v>
      </c>
      <c r="C5195" s="7" t="s">
        <v>10</v>
      </c>
      <c r="D5195" s="7">
        <v>4258</v>
      </c>
      <c r="E5195" s="7" t="s">
        <v>29</v>
      </c>
      <c r="F5195" s="8" t="str">
        <f ca="1">IFERROR(__xludf.DUMMYFUNCTION("IF
(
C5196=""фізична особа""
,
VLOOKUP(D5196,IMPORTRANGE(""https://docs.google.com/spreadsheets/d/14Bd19lYaqBhU8_DElYkX7l4wRkHqqCUFNJY4AfY3kHU/edit?usp=sharing  #gid=0"",""фіз особи new!relations_name""),6,FALSE)
,
(IF
(
C5196=""юридична особа""
,
VLOOKUP"&amp;"(D5196,IMPORTRANGE(""https://docs.google.com/spreadsheets/d/14Bd19lYaqBhU8_DElYkX7l4wRkHqqCUFNJY4AfY3kHU/edit?usp=sharing  #gid=0"",""фіз особи new!relations_name_uo""),7,FALSE)
,
)
))"),"МАРЧЕНКО Володимир Васильович")</f>
        <v>МАРЧЕНКО Володимир Васильович</v>
      </c>
      <c r="G5195" s="7" t="s">
        <v>10</v>
      </c>
      <c r="H5195" s="7">
        <v>0</v>
      </c>
      <c r="I5195" s="8" t="str">
        <f ca="1">IFERROR(__xludf.DUMMYFUNCTION("IF
(
G5196=""фізична особа""
,
VLOOKUP(H5196,IMPORTRANGE(""https://docs.google.com/spreadsheets/d/14Bd19lYaqBhU8_DElYkX7l4wRkHqqCUFNJY4AfY3kHU/edit?usp=sharing  #gid=0"",""фіз особи new!relations_name""),6,FALSE)
,
(IF
(
G5196=""юридична особа""
,
VLOOKUP"&amp;"(H5196,IMPORTRANGE(""https://docs.google.com/spreadsheets/d/14Bd19lYaqBhU8_DElYkX7l4wRkHqqCUFNJY4AfY3kHU/edit?usp=sharing  #gid=0"",""фіз особи new!relations_name_uo""),7,FALSE)
,
)
))"),"#N/A")</f>
        <v>#N/A</v>
      </c>
      <c r="J5195" s="7" t="s">
        <v>28</v>
      </c>
    </row>
    <row r="5196" spans="1:10" ht="13.2">
      <c r="A5196" s="7">
        <v>5195</v>
      </c>
      <c r="B5196" s="7">
        <v>1</v>
      </c>
      <c r="C5196" s="7" t="s">
        <v>10</v>
      </c>
      <c r="D5196" s="7">
        <v>4259</v>
      </c>
      <c r="E5196" s="7" t="s">
        <v>30</v>
      </c>
      <c r="F5196" s="8" t="str">
        <f ca="1">IFERROR(__xludf.DUMMYFUNCTION("IF
(
C5197=""фізична особа""
,
VLOOKUP(D5197,IMPORTRANGE(""https://docs.google.com/spreadsheets/d/14Bd19lYaqBhU8_DElYkX7l4wRkHqqCUFNJY4AfY3kHU/edit?usp=sharing  #gid=0"",""фіз особи new!relations_name""),6,FALSE)
,
(IF
(
C5197=""юридична особа""
,
VLOOKUP"&amp;"(D5197,IMPORTRANGE(""https://docs.google.com/spreadsheets/d/14Bd19lYaqBhU8_DElYkX7l4wRkHqqCUFNJY4AfY3kHU/edit?usp=sharing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196" s="7" t="s">
        <v>10</v>
      </c>
      <c r="H5196" s="7">
        <v>0</v>
      </c>
      <c r="I5196" s="8" t="str">
        <f ca="1">IFERROR(__xludf.DUMMYFUNCTION("IF
(
G5197=""фізична особа""
,
VLOOKUP(H5197,IMPORTRANGE(""https://docs.google.com/spreadsheets/d/14Bd19lYaqBhU8_DElYkX7l4wRkHqqCUFNJY4AfY3kHU/edit?usp=sharing  #gid=0"",""фіз особи new!relations_name""),6,FALSE)
,
(IF
(
G5197=""юридична особа""
,
VLOOKUP"&amp;"(H5197,IMPORTRANGE(""https://docs.google.com/spreadsheets/d/14Bd19lYaqBhU8_DElYkX7l4wRkHqqCUFNJY4AfY3kHU/edit?usp=sharing  #gid=0"",""фіз особи new!relations_name_uo""),7,FALSE)
,
)
))"),"#N/A")</f>
        <v>#N/A</v>
      </c>
      <c r="J5196" s="7" t="s">
        <v>30</v>
      </c>
    </row>
    <row r="5197" spans="1:10" ht="13.2">
      <c r="A5197" s="7">
        <v>5196</v>
      </c>
      <c r="B5197" s="7">
        <v>1</v>
      </c>
      <c r="C5197" s="7" t="s">
        <v>10</v>
      </c>
      <c r="D5197" s="7">
        <v>4259</v>
      </c>
      <c r="E5197" s="7" t="s">
        <v>16</v>
      </c>
      <c r="F5197" s="8" t="str">
        <f ca="1">IFERROR(__xludf.DUMMYFUNCTION("IF
(
C5198=""фізична особа""
,
VLOOKUP(D5198,IMPORTRANGE(""https://docs.google.com/spreadsheets/d/14Bd19lYaqBhU8_DElYkX7l4wRkHqqCUFNJY4AfY3kHU/edit?usp=sharing  #gid=0"",""фіз особи new!relations_name""),6,FALSE)
,
(IF
(
C5198=""юридична особа""
,
VLOOKUP"&amp;"(D5198,IMPORTRANGE(""https://docs.google.com/spreadsheets/d/14Bd19lYaqBhU8_DElYkX7l4wRkHqqCUFNJY4AfY3kHU/edit?usp=sharing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197" s="7" t="s">
        <v>10</v>
      </c>
      <c r="H5197" s="7">
        <v>0</v>
      </c>
      <c r="I5197" s="8" t="str">
        <f ca="1">IFERROR(__xludf.DUMMYFUNCTION("IF
(
G5198=""фізична особа""
,
VLOOKUP(H5198,IMPORTRANGE(""https://docs.google.com/spreadsheets/d/14Bd19lYaqBhU8_DElYkX7l4wRkHqqCUFNJY4AfY3kHU/edit?usp=sharing  #gid=0"",""фіз особи new!relations_name""),6,FALSE)
,
(IF
(
G5198=""юридична особа""
,
VLOOKUP"&amp;"(H5198,IMPORTRANGE(""https://docs.google.com/spreadsheets/d/14Bd19lYaqBhU8_DElYkX7l4wRkHqqCUFNJY4AfY3kHU/edit?usp=sharing  #gid=0"",""фіз особи new!relations_name_uo""),7,FALSE)
,
)
))"),"#N/A")</f>
        <v>#N/A</v>
      </c>
      <c r="J5197" s="7" t="s">
        <v>16</v>
      </c>
    </row>
    <row r="5198" spans="1:10" ht="13.2">
      <c r="A5198" s="7">
        <v>5197</v>
      </c>
      <c r="B5198" s="7">
        <v>1</v>
      </c>
      <c r="C5198" s="7" t="s">
        <v>10</v>
      </c>
      <c r="D5198" s="7">
        <v>4259</v>
      </c>
      <c r="E5198" s="7" t="s">
        <v>30</v>
      </c>
      <c r="F5198" s="8" t="str">
        <f ca="1">IFERROR(__xludf.DUMMYFUNCTION("IF
(
C5199=""фізична особа""
,
VLOOKUP(D5199,IMPORTRANGE(""https://docs.google.com/spreadsheets/d/14Bd19lYaqBhU8_DElYkX7l4wRkHqqCUFNJY4AfY3kHU/edit?usp=sharing  #gid=0"",""фіз особи new!relations_name""),6,FALSE)
,
(IF
(
C5199=""юридична особа""
,
VLOOKUP"&amp;"(D5199,IMPORTRANGE(""https://docs.google.com/spreadsheets/d/14Bd19lYaqBhU8_DElYkX7l4wRkHqqCUFNJY4AfY3kHU/edit?usp=sharing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198" s="7" t="s">
        <v>10</v>
      </c>
      <c r="H5198" s="7">
        <v>0</v>
      </c>
      <c r="I5198" s="8" t="str">
        <f ca="1">IFERROR(__xludf.DUMMYFUNCTION("IF
(
G5199=""фізична особа""
,
VLOOKUP(H5199,IMPORTRANGE(""https://docs.google.com/spreadsheets/d/14Bd19lYaqBhU8_DElYkX7l4wRkHqqCUFNJY4AfY3kHU/edit?usp=sharing  #gid=0"",""фіз особи new!relations_name""),6,FALSE)
,
(IF
(
G5199=""юридична особа""
,
VLOOKUP"&amp;"(H5199,IMPORTRANGE(""https://docs.google.com/spreadsheets/d/14Bd19lYaqBhU8_DElYkX7l4wRkHqqCUFNJY4AfY3kHU/edit?usp=sharing  #gid=0"",""фіз особи new!relations_name_uo""),7,FALSE)
,
)
))"),"#N/A")</f>
        <v>#N/A</v>
      </c>
      <c r="J5198" s="7" t="s">
        <v>30</v>
      </c>
    </row>
    <row r="5199" spans="1:10" ht="13.2">
      <c r="A5199" s="7">
        <v>5198</v>
      </c>
      <c r="B5199" s="7">
        <v>1</v>
      </c>
      <c r="C5199" s="7" t="s">
        <v>10</v>
      </c>
      <c r="D5199" s="7">
        <v>4259</v>
      </c>
      <c r="E5199" s="7" t="s">
        <v>30</v>
      </c>
      <c r="F5199" s="8" t="str">
        <f ca="1">IFERROR(__xludf.DUMMYFUNCTION("IF
(
C5200=""фізична особа""
,
VLOOKUP(D5200,IMPORTRANGE(""https://docs.google.com/spreadsheets/d/14Bd19lYaqBhU8_DElYkX7l4wRkHqqCUFNJY4AfY3kHU/edit?usp=sharing  #gid=0"",""фіз особи new!relations_name""),6,FALSE)
,
(IF
(
C5200=""юридична особа""
,
VLOOKUP"&amp;"(D5200,IMPORTRANGE(""https://docs.google.com/spreadsheets/d/14Bd19lYaqBhU8_DElYkX7l4wRkHqqCUFNJY4AfY3kHU/edit?usp=sharing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199" s="7" t="s">
        <v>10</v>
      </c>
      <c r="H5199" s="7">
        <v>0</v>
      </c>
      <c r="I5199" s="8" t="str">
        <f ca="1">IFERROR(__xludf.DUMMYFUNCTION("IF
(
G5200=""фізична особа""
,
VLOOKUP(H5200,IMPORTRANGE(""https://docs.google.com/spreadsheets/d/14Bd19lYaqBhU8_DElYkX7l4wRkHqqCUFNJY4AfY3kHU/edit?usp=sharing  #gid=0"",""фіз особи new!relations_name""),6,FALSE)
,
(IF
(
G5200=""юридична особа""
,
VLOOKUP"&amp;"(H5200,IMPORTRANGE(""https://docs.google.com/spreadsheets/d/14Bd19lYaqBhU8_DElYkX7l4wRkHqqCUFNJY4AfY3kHU/edit?usp=sharing  #gid=0"",""фіз особи new!relations_name_uo""),7,FALSE)
,
)
))"),"#N/A")</f>
        <v>#N/A</v>
      </c>
      <c r="J5199" s="7" t="s">
        <v>30</v>
      </c>
    </row>
    <row r="5200" spans="1:10" ht="13.2">
      <c r="A5200" s="7">
        <v>5199</v>
      </c>
      <c r="B5200" s="7">
        <v>1</v>
      </c>
      <c r="C5200" s="7" t="s">
        <v>10</v>
      </c>
      <c r="D5200" s="7">
        <v>4259</v>
      </c>
      <c r="E5200" s="7" t="s">
        <v>30</v>
      </c>
      <c r="F5200" s="8" t="str">
        <f ca="1">IFERROR(__xludf.DUMMYFUNCTION("IF
(
C5201=""фізична особа""
,
VLOOKUP(D5201,IMPORTRANGE(""https://docs.google.com/spreadsheets/d/14Bd19lYaqBhU8_DElYkX7l4wRkHqqCUFNJY4AfY3kHU/edit?usp=sharing  #gid=0"",""фіз особи new!relations_name""),6,FALSE)
,
(IF
(
C5201=""юридична особа""
,
VLOOKUP"&amp;"(D5201,IMPORTRANGE(""https://docs.google.com/spreadsheets/d/14Bd19lYaqBhU8_DElYkX7l4wRkHqqCUFNJY4AfY3kHU/edit?usp=sharing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0" s="7" t="s">
        <v>10</v>
      </c>
      <c r="H5200" s="7">
        <v>11</v>
      </c>
      <c r="I5200" s="8" t="str">
        <f ca="1">IFERROR(__xludf.DUMMYFUNCTION("IF
(
G5201=""фізична особа""
,
VLOOKUP(H5201,IMPORTRANGE(""https://docs.google.com/spreadsheets/d/14Bd19lYaqBhU8_DElYkX7l4wRkHqqCUFNJY4AfY3kHU/edit?usp=sharing  #gid=0"",""фіз особи new!relations_name""),6,FALSE)
,
(IF
(
G5201=""юридична особа""
,
VLOOKUP"&amp;"(H5201,IMPORTRANGE(""https://docs.google.com/spreadsheets/d/14Bd19lYaqBhU8_DElYkX7l4wRkHqqCUFNJY4AfY3kHU/edit?usp=sharing  #gid=0"",""фіз особи new!relations_name_uo""),7,FALSE)
,
)
))"),"ГОРДЄЄВ Олексій Васильович")</f>
        <v>ГОРДЄЄВ Олексій Васильович</v>
      </c>
      <c r="J5200" s="7" t="s">
        <v>30</v>
      </c>
    </row>
    <row r="5201" spans="1:10" ht="13.2">
      <c r="A5201" s="7">
        <v>5200</v>
      </c>
      <c r="B5201" s="7">
        <v>1</v>
      </c>
      <c r="C5201" s="7" t="s">
        <v>10</v>
      </c>
      <c r="D5201" s="7">
        <v>4259</v>
      </c>
      <c r="E5201" s="7" t="s">
        <v>30</v>
      </c>
      <c r="F5201" s="8" t="str">
        <f ca="1">IFERROR(__xludf.DUMMYFUNCTION("IF
(
C5202=""фізична особа""
,
VLOOKUP(D5202,IMPORTRANGE(""https://docs.google.com/spreadsheets/d/14Bd19lYaqBhU8_DElYkX7l4wRkHqqCUFNJY4AfY3kHU/edit?usp=sharing  #gid=0"",""фіз особи new!relations_name""),6,FALSE)
,
(IF
(
C5202=""юридична особа""
,
VLOOKUP"&amp;"(D5202,IMPORTRANGE(""https://docs.google.com/spreadsheets/d/14Bd19lYaqBhU8_DElYkX7l4wRkHqqCUFNJY4AfY3kHU/edit?usp=sharing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1" s="7" t="s">
        <v>10</v>
      </c>
      <c r="H5201" s="7">
        <v>0</v>
      </c>
      <c r="I5201" s="8" t="str">
        <f ca="1">IFERROR(__xludf.DUMMYFUNCTION("IF
(
G5202=""фізична особа""
,
VLOOKUP(H5202,IMPORTRANGE(""https://docs.google.com/spreadsheets/d/14Bd19lYaqBhU8_DElYkX7l4wRkHqqCUFNJY4AfY3kHU/edit?usp=sharing  #gid=0"",""фіз особи new!relations_name""),6,FALSE)
,
(IF
(
G5202=""юридична особа""
,
VLOOKUP"&amp;"(H5202,IMPORTRANGE(""https://docs.google.com/spreadsheets/d/14Bd19lYaqBhU8_DElYkX7l4wRkHqqCUFNJY4AfY3kHU/edit?usp=sharing  #gid=0"",""фіз особи new!relations_name_uo""),7,FALSE)
,
)
))"),"#N/A")</f>
        <v>#N/A</v>
      </c>
      <c r="J5201" s="7" t="s">
        <v>30</v>
      </c>
    </row>
    <row r="5202" spans="1:10" ht="13.2">
      <c r="A5202" s="7">
        <v>5201</v>
      </c>
      <c r="B5202" s="7">
        <v>1</v>
      </c>
      <c r="C5202" s="7" t="s">
        <v>10</v>
      </c>
      <c r="D5202" s="7">
        <v>4259</v>
      </c>
      <c r="E5202" s="7" t="s">
        <v>28</v>
      </c>
      <c r="F5202" s="8" t="str">
        <f ca="1">IFERROR(__xludf.DUMMYFUNCTION("IF
(
C5203=""фізична особа""
,
VLOOKUP(D5203,IMPORTRANGE(""https://docs.google.com/spreadsheets/d/14Bd19lYaqBhU8_DElYkX7l4wRkHqqCUFNJY4AfY3kHU/edit?usp=sharing  #gid=0"",""фіз особи new!relations_name""),6,FALSE)
,
(IF
(
C5203=""юридична особа""
,
VLOOKUP"&amp;"(D5203,IMPORTRANGE(""https://docs.google.com/spreadsheets/d/14Bd19lYaqBhU8_DElYkX7l4wRkHqqCUFNJY4AfY3kHU/edit?usp=sharing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2" s="7" t="s">
        <v>10</v>
      </c>
      <c r="H5202" s="7">
        <v>2532</v>
      </c>
      <c r="I5202" s="8" t="str">
        <f ca="1">IFERROR(__xludf.DUMMYFUNCTION("IF
(
G5203=""фізична особа""
,
VLOOKUP(H5203,IMPORTRANGE(""https://docs.google.com/spreadsheets/d/14Bd19lYaqBhU8_DElYkX7l4wRkHqqCUFNJY4AfY3kHU/edit?usp=sharing  #gid=0"",""фіз особи new!relations_name""),6,FALSE)
,
(IF
(
G5203=""юридична особа""
,
VLOOKUP"&amp;"(H5203,IMPORTRANGE(""https://docs.google.com/spreadsheets/d/14Bd19lYaqBhU8_DElYkX7l4wRkHqqCUFNJY4AfY3kHU/edit?usp=sharing  #gid=0"",""фіз особи new!relations_name_uo""),7,FALSE)
,
)
))"),"ГУСЄВ Олександр Вікторович")</f>
        <v>ГУСЄВ Олександр Вікторович</v>
      </c>
      <c r="J5202" s="7" t="s">
        <v>29</v>
      </c>
    </row>
    <row r="5203" spans="1:10" ht="13.2">
      <c r="A5203" s="7">
        <v>5202</v>
      </c>
      <c r="B5203" s="7">
        <v>1</v>
      </c>
      <c r="C5203" s="7" t="s">
        <v>10</v>
      </c>
      <c r="D5203" s="7">
        <v>4259</v>
      </c>
      <c r="E5203" s="7" t="s">
        <v>29</v>
      </c>
      <c r="F5203" s="8" t="str">
        <f ca="1">IFERROR(__xludf.DUMMYFUNCTION("IF
(
C5204=""фізична особа""
,
VLOOKUP(D5204,IMPORTRANGE(""https://docs.google.com/spreadsheets/d/14Bd19lYaqBhU8_DElYkX7l4wRkHqqCUFNJY4AfY3kHU/edit?usp=sharing  #gid=0"",""фіз особи new!relations_name""),6,FALSE)
,
(IF
(
C5204=""юридична особа""
,
VLOOKUP"&amp;"(D5204,IMPORTRANGE(""https://docs.google.com/spreadsheets/d/14Bd19lYaqBhU8_DElYkX7l4wRkHqqCUFNJY4AfY3kHU/edit?usp=sharing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3" s="7" t="s">
        <v>10</v>
      </c>
      <c r="H5203" s="7">
        <v>0</v>
      </c>
      <c r="I5203" s="8" t="str">
        <f ca="1">IFERROR(__xludf.DUMMYFUNCTION("IF
(
G5204=""фізична особа""
,
VLOOKUP(H5204,IMPORTRANGE(""https://docs.google.com/spreadsheets/d/14Bd19lYaqBhU8_DElYkX7l4wRkHqqCUFNJY4AfY3kHU/edit?usp=sharing  #gid=0"",""фіз особи new!relations_name""),6,FALSE)
,
(IF
(
G5204=""юридична особа""
,
VLOOKUP"&amp;"(H5204,IMPORTRANGE(""https://docs.google.com/spreadsheets/d/14Bd19lYaqBhU8_DElYkX7l4wRkHqqCUFNJY4AfY3kHU/edit?usp=sharing  #gid=0"",""фіз особи new!relations_name_uo""),7,FALSE)
,
)
))"),"#N/A")</f>
        <v>#N/A</v>
      </c>
      <c r="J5203" s="7" t="s">
        <v>28</v>
      </c>
    </row>
    <row r="5204" spans="1:10" ht="13.2">
      <c r="A5204" s="7">
        <v>5203</v>
      </c>
      <c r="B5204" s="7">
        <v>1</v>
      </c>
      <c r="C5204" s="7" t="s">
        <v>10</v>
      </c>
      <c r="D5204" s="7">
        <v>4259</v>
      </c>
      <c r="E5204" s="7" t="s">
        <v>29</v>
      </c>
      <c r="F5204" s="8" t="str">
        <f ca="1">IFERROR(__xludf.DUMMYFUNCTION("IF
(
C5205=""фізична особа""
,
VLOOKUP(D5205,IMPORTRANGE(""https://docs.google.com/spreadsheets/d/14Bd19lYaqBhU8_DElYkX7l4wRkHqqCUFNJY4AfY3kHU/edit?usp=sharing  #gid=0"",""фіз особи new!relations_name""),6,FALSE)
,
(IF
(
C5205=""юридична особа""
,
VLOOKUP"&amp;"(D5205,IMPORTRANGE(""https://docs.google.com/spreadsheets/d/14Bd19lYaqBhU8_DElYkX7l4wRkHqqCUFNJY4AfY3kHU/edit?usp=sharing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4" s="7" t="s">
        <v>10</v>
      </c>
      <c r="H5204" s="7">
        <v>0</v>
      </c>
      <c r="I5204" s="8" t="str">
        <f ca="1">IFERROR(__xludf.DUMMYFUNCTION("IF
(
G5205=""фізична особа""
,
VLOOKUP(H5205,IMPORTRANGE(""https://docs.google.com/spreadsheets/d/14Bd19lYaqBhU8_DElYkX7l4wRkHqqCUFNJY4AfY3kHU/edit?usp=sharing  #gid=0"",""фіз особи new!relations_name""),6,FALSE)
,
(IF
(
G5205=""юридична особа""
,
VLOOKUP"&amp;"(H5205,IMPORTRANGE(""https://docs.google.com/spreadsheets/d/14Bd19lYaqBhU8_DElYkX7l4wRkHqqCUFNJY4AfY3kHU/edit?usp=sharing  #gid=0"",""фіз особи new!relations_name_uo""),7,FALSE)
,
)
))"),"#N/A")</f>
        <v>#N/A</v>
      </c>
      <c r="J5204" s="7" t="s">
        <v>28</v>
      </c>
    </row>
    <row r="5205" spans="1:10" ht="13.2">
      <c r="A5205" s="7">
        <v>5204</v>
      </c>
      <c r="B5205" s="7">
        <v>1</v>
      </c>
      <c r="C5205" s="7" t="s">
        <v>10</v>
      </c>
      <c r="D5205" s="7">
        <v>4259</v>
      </c>
      <c r="E5205" s="7" t="s">
        <v>29</v>
      </c>
      <c r="F5205" s="8" t="str">
        <f ca="1">IFERROR(__xludf.DUMMYFUNCTION("IF
(
C5206=""фізична особа""
,
VLOOKUP(D5206,IMPORTRANGE(""https://docs.google.com/spreadsheets/d/14Bd19lYaqBhU8_DElYkX7l4wRkHqqCUFNJY4AfY3kHU/edit?usp=sharing  #gid=0"",""фіз особи new!relations_name""),6,FALSE)
,
(IF
(
C5206=""юридична особа""
,
VLOOKUP"&amp;"(D5206,IMPORTRANGE(""https://docs.google.com/spreadsheets/d/14Bd19lYaqBhU8_DElYkX7l4wRkHqqCUFNJY4AfY3kHU/edit?usp=sharing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5" s="7" t="s">
        <v>10</v>
      </c>
      <c r="H5205" s="7">
        <v>0</v>
      </c>
      <c r="I5205" s="8" t="str">
        <f ca="1">IFERROR(__xludf.DUMMYFUNCTION("IF
(
G5206=""фізична особа""
,
VLOOKUP(H5206,IMPORTRANGE(""https://docs.google.com/spreadsheets/d/14Bd19lYaqBhU8_DElYkX7l4wRkHqqCUFNJY4AfY3kHU/edit?usp=sharing  #gid=0"",""фіз особи new!relations_name""),6,FALSE)
,
(IF
(
G5206=""юридична особа""
,
VLOOKUP"&amp;"(H5206,IMPORTRANGE(""https://docs.google.com/spreadsheets/d/14Bd19lYaqBhU8_DElYkX7l4wRkHqqCUFNJY4AfY3kHU/edit?usp=sharing  #gid=0"",""фіз особи new!relations_name_uo""),7,FALSE)
,
)
))"),"#N/A")</f>
        <v>#N/A</v>
      </c>
      <c r="J5205" s="7" t="s">
        <v>28</v>
      </c>
    </row>
    <row r="5206" spans="1:10" ht="13.2">
      <c r="A5206" s="7">
        <v>5205</v>
      </c>
      <c r="B5206" s="7">
        <v>1</v>
      </c>
      <c r="C5206" s="7" t="s">
        <v>10</v>
      </c>
      <c r="D5206" s="7">
        <v>4259</v>
      </c>
      <c r="E5206" s="7" t="s">
        <v>29</v>
      </c>
      <c r="F5206" s="8" t="str">
        <f ca="1">IFERROR(__xludf.DUMMYFUNCTION("IF
(
C5207=""фізична особа""
,
VLOOKUP(D5207,IMPORTRANGE(""https://docs.google.com/spreadsheets/d/14Bd19lYaqBhU8_DElYkX7l4wRkHqqCUFNJY4AfY3kHU/edit?usp=sharing  #gid=0"",""фіз особи new!relations_name""),6,FALSE)
,
(IF
(
C5207=""юридична особа""
,
VLOOKUP"&amp;"(D5207,IMPORTRANGE(""https://docs.google.com/spreadsheets/d/14Bd19lYaqBhU8_DElYkX7l4wRkHqqCUFNJY4AfY3kHU/edit?usp=sharing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6" s="7" t="s">
        <v>10</v>
      </c>
      <c r="H5206" s="7">
        <v>0</v>
      </c>
      <c r="I5206" s="8" t="str">
        <f ca="1">IFERROR(__xludf.DUMMYFUNCTION("IF
(
G5207=""фізична особа""
,
VLOOKUP(H5207,IMPORTRANGE(""https://docs.google.com/spreadsheets/d/14Bd19lYaqBhU8_DElYkX7l4wRkHqqCUFNJY4AfY3kHU/edit?usp=sharing  #gid=0"",""фіз особи new!relations_name""),6,FALSE)
,
(IF
(
G5207=""юридична особа""
,
VLOOKUP"&amp;"(H5207,IMPORTRANGE(""https://docs.google.com/spreadsheets/d/14Bd19lYaqBhU8_DElYkX7l4wRkHqqCUFNJY4AfY3kHU/edit?usp=sharing  #gid=0"",""фіз особи new!relations_name_uo""),7,FALSE)
,
)
))"),"#N/A")</f>
        <v>#N/A</v>
      </c>
      <c r="J5206" s="7" t="s">
        <v>28</v>
      </c>
    </row>
    <row r="5207" spans="1:10" ht="13.2">
      <c r="A5207" s="7">
        <v>5206</v>
      </c>
      <c r="B5207" s="7">
        <v>1</v>
      </c>
      <c r="C5207" s="7" t="s">
        <v>10</v>
      </c>
      <c r="D5207" s="7">
        <v>4259</v>
      </c>
      <c r="E5207" s="7" t="s">
        <v>29</v>
      </c>
      <c r="F5207" s="8" t="str">
        <f ca="1">IFERROR(__xludf.DUMMYFUNCTION("IF
(
C5208=""фізична особа""
,
VLOOKUP(D5208,IMPORTRANGE(""https://docs.google.com/spreadsheets/d/14Bd19lYaqBhU8_DElYkX7l4wRkHqqCUFNJY4AfY3kHU/edit?usp=sharing  #gid=0"",""фіз особи new!relations_name""),6,FALSE)
,
(IF
(
C5208=""юридична особа""
,
VLOOKUP"&amp;"(D5208,IMPORTRANGE(""https://docs.google.com/spreadsheets/d/14Bd19lYaqBhU8_DElYkX7l4wRkHqqCUFNJY4AfY3kHU/edit?usp=sharing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7" s="7" t="s">
        <v>10</v>
      </c>
      <c r="H5207" s="7">
        <v>0</v>
      </c>
      <c r="I5207" s="8" t="str">
        <f ca="1">IFERROR(__xludf.DUMMYFUNCTION("IF
(
G5208=""фізична особа""
,
VLOOKUP(H5208,IMPORTRANGE(""https://docs.google.com/spreadsheets/d/14Bd19lYaqBhU8_DElYkX7l4wRkHqqCUFNJY4AfY3kHU/edit?usp=sharing  #gid=0"",""фіз особи new!relations_name""),6,FALSE)
,
(IF
(
G5208=""юридична особа""
,
VLOOKUP"&amp;"(H5208,IMPORTRANGE(""https://docs.google.com/spreadsheets/d/14Bd19lYaqBhU8_DElYkX7l4wRkHqqCUFNJY4AfY3kHU/edit?usp=sharing  #gid=0"",""фіз особи new!relations_name_uo""),7,FALSE)
,
)
))"),"#N/A")</f>
        <v>#N/A</v>
      </c>
      <c r="J5207" s="7" t="s">
        <v>28</v>
      </c>
    </row>
    <row r="5208" spans="1:10" ht="13.2">
      <c r="A5208" s="7">
        <v>5207</v>
      </c>
      <c r="B5208" s="7">
        <v>1</v>
      </c>
      <c r="C5208" s="7" t="s">
        <v>10</v>
      </c>
      <c r="D5208" s="7">
        <v>4259</v>
      </c>
      <c r="E5208" s="7" t="s">
        <v>29</v>
      </c>
      <c r="F5208" s="8" t="str">
        <f ca="1">IFERROR(__xludf.DUMMYFUNCTION("IF
(
C5209=""фізична особа""
,
VLOOKUP(D5209,IMPORTRANGE(""https://docs.google.com/spreadsheets/d/14Bd19lYaqBhU8_DElYkX7l4wRkHqqCUFNJY4AfY3kHU/edit?usp=sharing  #gid=0"",""фіз особи new!relations_name""),6,FALSE)
,
(IF
(
C5209=""юридична особа""
,
VLOOKUP"&amp;"(D5209,IMPORTRANGE(""https://docs.google.com/spreadsheets/d/14Bd19lYaqBhU8_DElYkX7l4wRkHqqCUFNJY4AfY3kHU/edit?usp=sharing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8" s="7" t="s">
        <v>10</v>
      </c>
      <c r="H5208" s="7">
        <v>0</v>
      </c>
      <c r="I5208" s="8" t="str">
        <f ca="1">IFERROR(__xludf.DUMMYFUNCTION("IF
(
G5209=""фізична особа""
,
VLOOKUP(H5209,IMPORTRANGE(""https://docs.google.com/spreadsheets/d/14Bd19lYaqBhU8_DElYkX7l4wRkHqqCUFNJY4AfY3kHU/edit?usp=sharing  #gid=0"",""фіз особи new!relations_name""),6,FALSE)
,
(IF
(
G5209=""юридична особа""
,
VLOOKUP"&amp;"(H5209,IMPORTRANGE(""https://docs.google.com/spreadsheets/d/14Bd19lYaqBhU8_DElYkX7l4wRkHqqCUFNJY4AfY3kHU/edit?usp=sharing  #gid=0"",""фіз особи new!relations_name_uo""),7,FALSE)
,
)
))"),"#N/A")</f>
        <v>#N/A</v>
      </c>
      <c r="J5208" s="7" t="s">
        <v>28</v>
      </c>
    </row>
    <row r="5209" spans="1:10" ht="13.2">
      <c r="A5209" s="7">
        <v>5208</v>
      </c>
      <c r="B5209" s="7">
        <v>1</v>
      </c>
      <c r="C5209" s="7" t="s">
        <v>10</v>
      </c>
      <c r="D5209" s="7">
        <v>4259</v>
      </c>
      <c r="E5209" s="7" t="s">
        <v>29</v>
      </c>
      <c r="F5209" s="8" t="str">
        <f ca="1">IFERROR(__xludf.DUMMYFUNCTION("IF
(
C5210=""фізична особа""
,
VLOOKUP(D5210,IMPORTRANGE(""https://docs.google.com/spreadsheets/d/14Bd19lYaqBhU8_DElYkX7l4wRkHqqCUFNJY4AfY3kHU/edit?usp=sharing  #gid=0"",""фіз особи new!relations_name""),6,FALSE)
,
(IF
(
C5210=""юридична особа""
,
VLOOKUP"&amp;"(D5210,IMPORTRANGE(""https://docs.google.com/spreadsheets/d/14Bd19lYaqBhU8_DElYkX7l4wRkHqqCUFNJY4AfY3kHU/edit?usp=sharing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09" s="7" t="s">
        <v>10</v>
      </c>
      <c r="H5209" s="7">
        <v>0</v>
      </c>
      <c r="I5209" s="8" t="str">
        <f ca="1">IFERROR(__xludf.DUMMYFUNCTION("IF
(
G5210=""фізична особа""
,
VLOOKUP(H5210,IMPORTRANGE(""https://docs.google.com/spreadsheets/d/14Bd19lYaqBhU8_DElYkX7l4wRkHqqCUFNJY4AfY3kHU/edit?usp=sharing  #gid=0"",""фіз особи new!relations_name""),6,FALSE)
,
(IF
(
G5210=""юридична особа""
,
VLOOKUP"&amp;"(H5210,IMPORTRANGE(""https://docs.google.com/spreadsheets/d/14Bd19lYaqBhU8_DElYkX7l4wRkHqqCUFNJY4AfY3kHU/edit?usp=sharing  #gid=0"",""фіз особи new!relations_name_uo""),7,FALSE)
,
)
))"),"#N/A")</f>
        <v>#N/A</v>
      </c>
      <c r="J5209" s="7" t="s">
        <v>28</v>
      </c>
    </row>
    <row r="5210" spans="1:10" ht="13.2">
      <c r="A5210" s="7">
        <v>5209</v>
      </c>
      <c r="B5210" s="7">
        <v>1</v>
      </c>
      <c r="C5210" s="7" t="s">
        <v>10</v>
      </c>
      <c r="D5210" s="7">
        <v>4259</v>
      </c>
      <c r="E5210" s="7" t="s">
        <v>30</v>
      </c>
      <c r="F5210" s="8" t="str">
        <f ca="1">IFERROR(__xludf.DUMMYFUNCTION("IF
(
C5211=""фізична особа""
,
VLOOKUP(D5211,IMPORTRANGE(""https://docs.google.com/spreadsheets/d/14Bd19lYaqBhU8_DElYkX7l4wRkHqqCUFNJY4AfY3kHU/edit?usp=sharing  #gid=0"",""фіз особи new!relations_name""),6,FALSE)
,
(IF
(
C5211=""юридична особа""
,
VLOOKUP"&amp;"(D5211,IMPORTRANGE(""https://docs.google.com/spreadsheets/d/14Bd19lYaqBhU8_DElYkX7l4wRkHqqCUFNJY4AfY3kHU/edit?usp=sharing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10" s="7" t="s">
        <v>10</v>
      </c>
      <c r="H5210" s="7">
        <v>0</v>
      </c>
      <c r="I5210" s="8" t="str">
        <f ca="1">IFERROR(__xludf.DUMMYFUNCTION("IF
(
G5211=""фізична особа""
,
VLOOKUP(H5211,IMPORTRANGE(""https://docs.google.com/spreadsheets/d/14Bd19lYaqBhU8_DElYkX7l4wRkHqqCUFNJY4AfY3kHU/edit?usp=sharing  #gid=0"",""фіз особи new!relations_name""),6,FALSE)
,
(IF
(
G5211=""юридична особа""
,
VLOOKUP"&amp;"(H5211,IMPORTRANGE(""https://docs.google.com/spreadsheets/d/14Bd19lYaqBhU8_DElYkX7l4wRkHqqCUFNJY4AfY3kHU/edit?usp=sharing  #gid=0"",""фіз особи new!relations_name_uo""),7,FALSE)
,
)
))"),"#N/A")</f>
        <v>#N/A</v>
      </c>
      <c r="J5210" s="7" t="s">
        <v>30</v>
      </c>
    </row>
    <row r="5211" spans="1:10" ht="13.2">
      <c r="A5211" s="7">
        <v>5210</v>
      </c>
      <c r="B5211" s="7">
        <v>1</v>
      </c>
      <c r="C5211" s="7" t="s">
        <v>10</v>
      </c>
      <c r="D5211" s="7">
        <v>4259</v>
      </c>
      <c r="E5211" s="7" t="s">
        <v>30</v>
      </c>
      <c r="F5211" s="8" t="str">
        <f ca="1">IFERROR(__xludf.DUMMYFUNCTION("IF
(
C5212=""фізична особа""
,
VLOOKUP(D5212,IMPORTRANGE(""https://docs.google.com/spreadsheets/d/14Bd19lYaqBhU8_DElYkX7l4wRkHqqCUFNJY4AfY3kHU/edit?usp=sharing  #gid=0"",""фіз особи new!relations_name""),6,FALSE)
,
(IF
(
C5212=""юридична особа""
,
VLOOKUP"&amp;"(D5212,IMPORTRANGE(""https://docs.google.com/spreadsheets/d/14Bd19lYaqBhU8_DElYkX7l4wRkHqqCUFNJY4AfY3kHU/edit?usp=sharing  #gid=0"",""фіз особи new!relations_name_uo""),7,FALSE)
,
)
))"),"КСТЕНІН Вадим Юрійович")</f>
        <v>КСТЕНІН Вадим Юрійович</v>
      </c>
      <c r="G5211" s="7" t="s">
        <v>10</v>
      </c>
      <c r="H5211" s="7">
        <v>0</v>
      </c>
      <c r="I5211" s="8" t="str">
        <f ca="1">IFERROR(__xludf.DUMMYFUNCTION("IF
(
G5212=""фізична особа""
,
VLOOKUP(H5212,IMPORTRANGE(""https://docs.google.com/spreadsheets/d/14Bd19lYaqBhU8_DElYkX7l4wRkHqqCUFNJY4AfY3kHU/edit?usp=sharing  #gid=0"",""фіз особи new!relations_name""),6,FALSE)
,
(IF
(
G5212=""юридична особа""
,
VLOOKUP"&amp;"(H5212,IMPORTRANGE(""https://docs.google.com/spreadsheets/d/14Bd19lYaqBhU8_DElYkX7l4wRkHqqCUFNJY4AfY3kHU/edit?usp=sharing  #gid=0"",""фіз особи new!relations_name_uo""),7,FALSE)
,
)
))"),"#N/A")</f>
        <v>#N/A</v>
      </c>
      <c r="J5211" s="7" t="s">
        <v>30</v>
      </c>
    </row>
    <row r="5212" spans="1:10" ht="13.2">
      <c r="A5212" s="7">
        <v>5211</v>
      </c>
      <c r="B5212" s="7">
        <v>1</v>
      </c>
      <c r="C5212" s="7" t="s">
        <v>10</v>
      </c>
      <c r="D5212" s="7">
        <v>4260</v>
      </c>
      <c r="E5212" s="7" t="s">
        <v>28</v>
      </c>
      <c r="F5212" s="8" t="str">
        <f ca="1">IFERROR(__xludf.DUMMYFUNCTION("IF
(
C5213=""фізична особа""
,
VLOOKUP(D5213,IMPORTRANGE(""https://docs.google.com/spreadsheets/d/14Bd19lYaqBhU8_DElYkX7l4wRkHqqCUFNJY4AfY3kHU/edit?usp=sharing  #gid=0"",""фіз особи new!relations_name""),6,FALSE)
,
(IF
(
C5213=""юридична особа""
,
VLOOKUP"&amp;"(D5213,IMPORTRANGE(""https://docs.google.com/spreadsheets/d/14Bd19lYaqBhU8_DElYkX7l4wRkHqqCUFNJY4AfY3kHU/edit?usp=sharing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2" s="7" t="s">
        <v>10</v>
      </c>
      <c r="H5212" s="7">
        <v>2560</v>
      </c>
      <c r="I5212" s="8" t="str">
        <f ca="1">IFERROR(__xludf.DUMMYFUNCTION("IF
(
G5213=""фізична особа""
,
VLOOKUP(H5213,IMPORTRANGE(""https://docs.google.com/spreadsheets/d/14Bd19lYaqBhU8_DElYkX7l4wRkHqqCUFNJY4AfY3kHU/edit?usp=sharing  #gid=0"",""фіз особи new!relations_name""),6,FALSE)
,
(IF
(
G5213=""юридична особа""
,
VLOOKUP"&amp;"(H5213,IMPORTRANGE(""https://docs.google.com/spreadsheets/d/14Bd19lYaqBhU8_DElYkX7l4wRkHqqCUFNJY4AfY3kHU/edit?usp=sharing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J5212" s="7" t="s">
        <v>29</v>
      </c>
    </row>
    <row r="5213" spans="1:10" ht="13.2">
      <c r="A5213" s="7">
        <v>5212</v>
      </c>
      <c r="B5213" s="7">
        <v>1</v>
      </c>
      <c r="C5213" s="7" t="s">
        <v>10</v>
      </c>
      <c r="D5213" s="7">
        <v>4260</v>
      </c>
      <c r="E5213" s="7" t="s">
        <v>30</v>
      </c>
      <c r="F5213" s="8" t="str">
        <f ca="1">IFERROR(__xludf.DUMMYFUNCTION("IF
(
C5214=""фізична особа""
,
VLOOKUP(D5214,IMPORTRANGE(""https://docs.google.com/spreadsheets/d/14Bd19lYaqBhU8_DElYkX7l4wRkHqqCUFNJY4AfY3kHU/edit?usp=sharing  #gid=0"",""фіз особи new!relations_name""),6,FALSE)
,
(IF
(
C5214=""юридична особа""
,
VLOOKUP"&amp;"(D5214,IMPORTRANGE(""https://docs.google.com/spreadsheets/d/14Bd19lYaqBhU8_DElYkX7l4wRkHqqCUFNJY4AfY3kHU/edit?usp=sharing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3" s="7" t="s">
        <v>10</v>
      </c>
      <c r="H5213" s="7">
        <v>0</v>
      </c>
      <c r="I5213" s="8" t="str">
        <f ca="1">IFERROR(__xludf.DUMMYFUNCTION("IF
(
G5214=""фізична особа""
,
VLOOKUP(H5214,IMPORTRANGE(""https://docs.google.com/spreadsheets/d/14Bd19lYaqBhU8_DElYkX7l4wRkHqqCUFNJY4AfY3kHU/edit?usp=sharing  #gid=0"",""фіз особи new!relations_name""),6,FALSE)
,
(IF
(
G5214=""юридична особа""
,
VLOOKUP"&amp;"(H5214,IMPORTRANGE(""https://docs.google.com/spreadsheets/d/14Bd19lYaqBhU8_DElYkX7l4wRkHqqCUFNJY4AfY3kHU/edit?usp=sharing  #gid=0"",""фіз особи new!relations_name_uo""),7,FALSE)
,
)
))"),"#N/A")</f>
        <v>#N/A</v>
      </c>
      <c r="J5213" s="7" t="s">
        <v>30</v>
      </c>
    </row>
    <row r="5214" spans="1:10" ht="13.2">
      <c r="A5214" s="7">
        <v>5213</v>
      </c>
      <c r="B5214" s="7">
        <v>1</v>
      </c>
      <c r="C5214" s="7" t="s">
        <v>10</v>
      </c>
      <c r="D5214" s="7">
        <v>4260</v>
      </c>
      <c r="E5214" s="7" t="s">
        <v>30</v>
      </c>
      <c r="F5214" s="8" t="str">
        <f ca="1">IFERROR(__xludf.DUMMYFUNCTION("IF
(
C5215=""фізична особа""
,
VLOOKUP(D5215,IMPORTRANGE(""https://docs.google.com/spreadsheets/d/14Bd19lYaqBhU8_DElYkX7l4wRkHqqCUFNJY4AfY3kHU/edit?usp=sharing  #gid=0"",""фіз особи new!relations_name""),6,FALSE)
,
(IF
(
C5215=""юридична особа""
,
VLOOKUP"&amp;"(D5215,IMPORTRANGE(""https://docs.google.com/spreadsheets/d/14Bd19lYaqBhU8_DElYkX7l4wRkHqqCUFNJY4AfY3kHU/edit?usp=sharing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4" s="7" t="s">
        <v>10</v>
      </c>
      <c r="H5214" s="7">
        <v>0</v>
      </c>
      <c r="I5214" s="8" t="str">
        <f ca="1">IFERROR(__xludf.DUMMYFUNCTION("IF
(
G5215=""фізична особа""
,
VLOOKUP(H5215,IMPORTRANGE(""https://docs.google.com/spreadsheets/d/14Bd19lYaqBhU8_DElYkX7l4wRkHqqCUFNJY4AfY3kHU/edit?usp=sharing  #gid=0"",""фіз особи new!relations_name""),6,FALSE)
,
(IF
(
G5215=""юридична особа""
,
VLOOKUP"&amp;"(H5215,IMPORTRANGE(""https://docs.google.com/spreadsheets/d/14Bd19lYaqBhU8_DElYkX7l4wRkHqqCUFNJY4AfY3kHU/edit?usp=sharing  #gid=0"",""фіз особи new!relations_name_uo""),7,FALSE)
,
)
))"),"#N/A")</f>
        <v>#N/A</v>
      </c>
      <c r="J5214" s="7" t="s">
        <v>30</v>
      </c>
    </row>
    <row r="5215" spans="1:10" ht="13.2">
      <c r="A5215" s="7">
        <v>5214</v>
      </c>
      <c r="B5215" s="7">
        <v>1</v>
      </c>
      <c r="C5215" s="7" t="s">
        <v>10</v>
      </c>
      <c r="D5215" s="7">
        <v>4260</v>
      </c>
      <c r="E5215" s="7" t="s">
        <v>28</v>
      </c>
      <c r="F5215" s="8" t="str">
        <f ca="1">IFERROR(__xludf.DUMMYFUNCTION("IF
(
C5216=""фізична особа""
,
VLOOKUP(D5216,IMPORTRANGE(""https://docs.google.com/spreadsheets/d/14Bd19lYaqBhU8_DElYkX7l4wRkHqqCUFNJY4AfY3kHU/edit?usp=sharing  #gid=0"",""фіз особи new!relations_name""),6,FALSE)
,
(IF
(
C5216=""юридична особа""
,
VLOOKUP"&amp;"(D5216,IMPORTRANGE(""https://docs.google.com/spreadsheets/d/14Bd19lYaqBhU8_DElYkX7l4wRkHqqCUFNJY4AfY3kHU/edit?usp=sharing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5" s="7" t="s">
        <v>10</v>
      </c>
      <c r="H5215" s="7">
        <v>882</v>
      </c>
      <c r="I5215" s="8" t="str">
        <f ca="1">IFERROR(__xludf.DUMMYFUNCTION("IF
(
G5216=""фізична особа""
,
VLOOKUP(H5216,IMPORTRANGE(""https://docs.google.com/spreadsheets/d/14Bd19lYaqBhU8_DElYkX7l4wRkHqqCUFNJY4AfY3kHU/edit?usp=sharing  #gid=0"",""фіз особи new!relations_name""),6,FALSE)
,
(IF
(
G5216=""юридична особа""
,
VLOOKUP"&amp;"(H5216,IMPORTRANGE(""https://docs.google.com/spreadsheets/d/14Bd19lYaqBhU8_DElYkX7l4wRkHqqCUFNJY4AfY3kHU/edit?usp=sharing  #gid=0"",""фіз особи new!relations_name_uo""),7,FALSE)
,
)
))"),"ЯКУШЕВ Володимир Володимирович")</f>
        <v>ЯКУШЕВ Володимир Володимирович</v>
      </c>
      <c r="J5215" s="7" t="s">
        <v>29</v>
      </c>
    </row>
    <row r="5216" spans="1:10" ht="13.2">
      <c r="A5216" s="7">
        <v>5215</v>
      </c>
      <c r="B5216" s="7">
        <v>1</v>
      </c>
      <c r="C5216" s="7" t="s">
        <v>10</v>
      </c>
      <c r="D5216" s="7">
        <v>4260</v>
      </c>
      <c r="E5216" s="7" t="s">
        <v>30</v>
      </c>
      <c r="F5216" s="8" t="str">
        <f ca="1">IFERROR(__xludf.DUMMYFUNCTION("IF
(
C5217=""фізична особа""
,
VLOOKUP(D5217,IMPORTRANGE(""https://docs.google.com/spreadsheets/d/14Bd19lYaqBhU8_DElYkX7l4wRkHqqCUFNJY4AfY3kHU/edit?usp=sharing  #gid=0"",""фіз особи new!relations_name""),6,FALSE)
,
(IF
(
C5217=""юридична особа""
,
VLOOKUP"&amp;"(D5217,IMPORTRANGE(""https://docs.google.com/spreadsheets/d/14Bd19lYaqBhU8_DElYkX7l4wRkHqqCUFNJY4AfY3kHU/edit?usp=sharing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6" s="7" t="s">
        <v>10</v>
      </c>
      <c r="H5216" s="7">
        <v>490</v>
      </c>
      <c r="I5216" s="8" t="str">
        <f ca="1">IFERROR(__xludf.DUMMYFUNCTION("IF
(
G5217=""фізична особа""
,
VLOOKUP(H5217,IMPORTRANGE(""https://docs.google.com/spreadsheets/d/14Bd19lYaqBhU8_DElYkX7l4wRkHqqCUFNJY4AfY3kHU/edit?usp=sharing  #gid=0"",""фіз особи new!relations_name""),6,FALSE)
,
(IF
(
G5217=""юридична особа""
,
VLOOKUP"&amp;"(H5217,IMPORTRANGE(""https://docs.google.com/spreadsheets/d/14Bd19lYaqBhU8_DElYkX7l4wRkHqqCUFNJY4AfY3kHU/edit?usp=sharing  #gid=0"",""фіз особи new!relations_name_uo""),7,FALSE)
,
)
))"),"ВИСОКІНСЬКИЙ Олександр Геннадійович")</f>
        <v>ВИСОКІНСЬКИЙ Олександр Геннадійович</v>
      </c>
      <c r="J5216" s="7" t="s">
        <v>30</v>
      </c>
    </row>
    <row r="5217" spans="1:10" ht="13.2">
      <c r="A5217" s="7">
        <v>5216</v>
      </c>
      <c r="B5217" s="7">
        <v>1</v>
      </c>
      <c r="C5217" s="7" t="s">
        <v>10</v>
      </c>
      <c r="D5217" s="7">
        <v>4260</v>
      </c>
      <c r="E5217" s="7" t="s">
        <v>30</v>
      </c>
      <c r="F5217" s="8" t="str">
        <f ca="1">IFERROR(__xludf.DUMMYFUNCTION("IF
(
C5218=""фізична особа""
,
VLOOKUP(D5218,IMPORTRANGE(""https://docs.google.com/spreadsheets/d/14Bd19lYaqBhU8_DElYkX7l4wRkHqqCUFNJY4AfY3kHU/edit?usp=sharing  #gid=0"",""фіз особи new!relations_name""),6,FALSE)
,
(IF
(
C5218=""юридична особа""
,
VLOOKUP"&amp;"(D5218,IMPORTRANGE(""https://docs.google.com/spreadsheets/d/14Bd19lYaqBhU8_DElYkX7l4wRkHqqCUFNJY4AfY3kHU/edit?usp=sharing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7" s="7" t="s">
        <v>10</v>
      </c>
      <c r="H5217" s="7">
        <v>0</v>
      </c>
      <c r="I5217" s="8" t="str">
        <f ca="1">IFERROR(__xludf.DUMMYFUNCTION("IF
(
G5218=""фізична особа""
,
VLOOKUP(H5218,IMPORTRANGE(""https://docs.google.com/spreadsheets/d/14Bd19lYaqBhU8_DElYkX7l4wRkHqqCUFNJY4AfY3kHU/edit?usp=sharing  #gid=0"",""фіз особи new!relations_name""),6,FALSE)
,
(IF
(
G5218=""юридична особа""
,
VLOOKUP"&amp;"(H5218,IMPORTRANGE(""https://docs.google.com/spreadsheets/d/14Bd19lYaqBhU8_DElYkX7l4wRkHqqCUFNJY4AfY3kHU/edit?usp=sharing  #gid=0"",""фіз особи new!relations_name_uo""),7,FALSE)
,
)
))"),"#N/A")</f>
        <v>#N/A</v>
      </c>
      <c r="J5217" s="7" t="s">
        <v>30</v>
      </c>
    </row>
    <row r="5218" spans="1:10" ht="13.2">
      <c r="A5218" s="7">
        <v>5217</v>
      </c>
      <c r="B5218" s="7">
        <v>1</v>
      </c>
      <c r="C5218" s="7" t="s">
        <v>10</v>
      </c>
      <c r="D5218" s="7">
        <v>4260</v>
      </c>
      <c r="E5218" s="7" t="s">
        <v>30</v>
      </c>
      <c r="F5218" s="8" t="str">
        <f ca="1">IFERROR(__xludf.DUMMYFUNCTION("IF
(
C5219=""фізична особа""
,
VLOOKUP(D5219,IMPORTRANGE(""https://docs.google.com/spreadsheets/d/14Bd19lYaqBhU8_DElYkX7l4wRkHqqCUFNJY4AfY3kHU/edit?usp=sharing  #gid=0"",""фіз особи new!relations_name""),6,FALSE)
,
(IF
(
C5219=""юридична особа""
,
VLOOKUP"&amp;"(D5219,IMPORTRANGE(""https://docs.google.com/spreadsheets/d/14Bd19lYaqBhU8_DElYkX7l4wRkHqqCUFNJY4AfY3kHU/edit?usp=sharing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8" s="7" t="s">
        <v>10</v>
      </c>
      <c r="H5218" s="7">
        <v>1541</v>
      </c>
      <c r="I5218" s="8" t="str">
        <f ca="1">IFERROR(__xludf.DUMMYFUNCTION("IF
(
G5219=""фізична особа""
,
VLOOKUP(H5219,IMPORTRANGE(""https://docs.google.com/spreadsheets/d/14Bd19lYaqBhU8_DElYkX7l4wRkHqqCUFNJY4AfY3kHU/edit?usp=sharing  #gid=0"",""фіз особи new!relations_name""),6,FALSE)
,
(IF
(
G5219=""юридична особа""
,
VLOOKUP"&amp;"(H5219,IMPORTRANGE(""https://docs.google.com/spreadsheets/d/14Bd19lYaqBhU8_DElYkX7l4wRkHqqCUFNJY4AfY3kHU/edit?usp=sharing  #gid=0"",""фіз особи new!relations_name_uo""),7,FALSE)
,
)
))"),"СУТЯГІН Ігор Євгенійович")</f>
        <v>СУТЯГІН Ігор Євгенійович</v>
      </c>
      <c r="J5218" s="7" t="s">
        <v>30</v>
      </c>
    </row>
    <row r="5219" spans="1:10" ht="13.2">
      <c r="A5219" s="7">
        <v>5218</v>
      </c>
      <c r="B5219" s="7">
        <v>1</v>
      </c>
      <c r="C5219" s="7" t="s">
        <v>10</v>
      </c>
      <c r="D5219" s="7">
        <v>4260</v>
      </c>
      <c r="E5219" s="7" t="s">
        <v>107</v>
      </c>
      <c r="F5219" s="8" t="str">
        <f ca="1">IFERROR(__xludf.DUMMYFUNCTION("IF
(
C5220=""фізична особа""
,
VLOOKUP(D5220,IMPORTRANGE(""https://docs.google.com/spreadsheets/d/14Bd19lYaqBhU8_DElYkX7l4wRkHqqCUFNJY4AfY3kHU/edit?usp=sharing  #gid=0"",""фіз особи new!relations_name""),6,FALSE)
,
(IF
(
C5220=""юридична особа""
,
VLOOKUP"&amp;"(D5220,IMPORTRANGE(""https://docs.google.com/spreadsheets/d/14Bd19lYaqBhU8_DElYkX7l4wRkHqqCUFNJY4AfY3kHU/edit?usp=sharing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19" s="7" t="s">
        <v>10</v>
      </c>
      <c r="H5219" s="7">
        <v>0</v>
      </c>
      <c r="I5219" s="8" t="str">
        <f ca="1">IFERROR(__xludf.DUMMYFUNCTION("IF
(
G5220=""фізична особа""
,
VLOOKUP(H5220,IMPORTRANGE(""https://docs.google.com/spreadsheets/d/14Bd19lYaqBhU8_DElYkX7l4wRkHqqCUFNJY4AfY3kHU/edit?usp=sharing  #gid=0"",""фіз особи new!relations_name""),6,FALSE)
,
(IF
(
G5220=""юридична особа""
,
VLOOKUP"&amp;"(H5220,IMPORTRANGE(""https://docs.google.com/spreadsheets/d/14Bd19lYaqBhU8_DElYkX7l4wRkHqqCUFNJY4AfY3kHU/edit?usp=sharing  #gid=0"",""фіз особи new!relations_name_uo""),7,FALSE)
,
)
))"),"#N/A")</f>
        <v>#N/A</v>
      </c>
      <c r="J5219" s="7" t="s">
        <v>28</v>
      </c>
    </row>
    <row r="5220" spans="1:10" ht="13.2">
      <c r="A5220" s="7">
        <v>5219</v>
      </c>
      <c r="B5220" s="7">
        <v>1</v>
      </c>
      <c r="C5220" s="7" t="s">
        <v>10</v>
      </c>
      <c r="D5220" s="7">
        <v>4260</v>
      </c>
      <c r="E5220" s="7" t="s">
        <v>107</v>
      </c>
      <c r="F5220" s="8" t="str">
        <f ca="1">IFERROR(__xludf.DUMMYFUNCTION("IF
(
C5221=""фізична особа""
,
VLOOKUP(D5221,IMPORTRANGE(""https://docs.google.com/spreadsheets/d/14Bd19lYaqBhU8_DElYkX7l4wRkHqqCUFNJY4AfY3kHU/edit?usp=sharing  #gid=0"",""фіз особи new!relations_name""),6,FALSE)
,
(IF
(
C5221=""юридична особа""
,
VLOOKUP"&amp;"(D5221,IMPORTRANGE(""https://docs.google.com/spreadsheets/d/14Bd19lYaqBhU8_DElYkX7l4wRkHqqCUFNJY4AfY3kHU/edit?usp=sharing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0" s="7" t="s">
        <v>10</v>
      </c>
      <c r="H5220" s="7">
        <v>0</v>
      </c>
      <c r="I5220" s="8" t="str">
        <f ca="1">IFERROR(__xludf.DUMMYFUNCTION("IF
(
G5221=""фізична особа""
,
VLOOKUP(H5221,IMPORTRANGE(""https://docs.google.com/spreadsheets/d/14Bd19lYaqBhU8_DElYkX7l4wRkHqqCUFNJY4AfY3kHU/edit?usp=sharing  #gid=0"",""фіз особи new!relations_name""),6,FALSE)
,
(IF
(
G5221=""юридична особа""
,
VLOOKUP"&amp;"(H5221,IMPORTRANGE(""https://docs.google.com/spreadsheets/d/14Bd19lYaqBhU8_DElYkX7l4wRkHqqCUFNJY4AfY3kHU/edit?usp=sharing  #gid=0"",""фіз особи new!relations_name_uo""),7,FALSE)
,
)
))"),"#N/A")</f>
        <v>#N/A</v>
      </c>
      <c r="J5220" s="7" t="s">
        <v>28</v>
      </c>
    </row>
    <row r="5221" spans="1:10" ht="13.2">
      <c r="A5221" s="7">
        <v>5220</v>
      </c>
      <c r="B5221" s="7">
        <v>1</v>
      </c>
      <c r="C5221" s="7" t="s">
        <v>10</v>
      </c>
      <c r="D5221" s="7">
        <v>4260</v>
      </c>
      <c r="E5221" s="7" t="s">
        <v>107</v>
      </c>
      <c r="F5221" s="8" t="str">
        <f ca="1">IFERROR(__xludf.DUMMYFUNCTION("IF
(
C5222=""фізична особа""
,
VLOOKUP(D5222,IMPORTRANGE(""https://docs.google.com/spreadsheets/d/14Bd19lYaqBhU8_DElYkX7l4wRkHqqCUFNJY4AfY3kHU/edit?usp=sharing  #gid=0"",""фіз особи new!relations_name""),6,FALSE)
,
(IF
(
C5222=""юридична особа""
,
VLOOKUP"&amp;"(D5222,IMPORTRANGE(""https://docs.google.com/spreadsheets/d/14Bd19lYaqBhU8_DElYkX7l4wRkHqqCUFNJY4AfY3kHU/edit?usp=sharing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1" s="7" t="s">
        <v>10</v>
      </c>
      <c r="H5221" s="7">
        <v>0</v>
      </c>
      <c r="I5221" s="8" t="str">
        <f ca="1">IFERROR(__xludf.DUMMYFUNCTION("IF
(
G5222=""фізична особа""
,
VLOOKUP(H5222,IMPORTRANGE(""https://docs.google.com/spreadsheets/d/14Bd19lYaqBhU8_DElYkX7l4wRkHqqCUFNJY4AfY3kHU/edit?usp=sharing  #gid=0"",""фіз особи new!relations_name""),6,FALSE)
,
(IF
(
G5222=""юридична особа""
,
VLOOKUP"&amp;"(H5222,IMPORTRANGE(""https://docs.google.com/spreadsheets/d/14Bd19lYaqBhU8_DElYkX7l4wRkHqqCUFNJY4AfY3kHU/edit?usp=sharing  #gid=0"",""фіз особи new!relations_name_uo""),7,FALSE)
,
)
))"),"#N/A")</f>
        <v>#N/A</v>
      </c>
      <c r="J5221" s="7" t="s">
        <v>28</v>
      </c>
    </row>
    <row r="5222" spans="1:10" ht="13.2">
      <c r="A5222" s="7">
        <v>5221</v>
      </c>
      <c r="B5222" s="7">
        <v>1</v>
      </c>
      <c r="C5222" s="7" t="s">
        <v>10</v>
      </c>
      <c r="D5222" s="7">
        <v>4260</v>
      </c>
      <c r="E5222" s="7" t="s">
        <v>30</v>
      </c>
      <c r="F5222" s="8" t="str">
        <f ca="1">IFERROR(__xludf.DUMMYFUNCTION("IF
(
C5223=""фізична особа""
,
VLOOKUP(D5223,IMPORTRANGE(""https://docs.google.com/spreadsheets/d/14Bd19lYaqBhU8_DElYkX7l4wRkHqqCUFNJY4AfY3kHU/edit?usp=sharing  #gid=0"",""фіз особи new!relations_name""),6,FALSE)
,
(IF
(
C5223=""юридична особа""
,
VLOOKUP"&amp;"(D5223,IMPORTRANGE(""https://docs.google.com/spreadsheets/d/14Bd19lYaqBhU8_DElYkX7l4wRkHqqCUFNJY4AfY3kHU/edit?usp=sharing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2" s="7" t="s">
        <v>10</v>
      </c>
      <c r="H5222" s="7">
        <v>1536</v>
      </c>
      <c r="I5222" s="8" t="str">
        <f ca="1">IFERROR(__xludf.DUMMYFUNCTION("IF
(
G5223=""фізична особа""
,
VLOOKUP(H5223,IMPORTRANGE(""https://docs.google.com/spreadsheets/d/14Bd19lYaqBhU8_DElYkX7l4wRkHqqCUFNJY4AfY3kHU/edit?usp=sharing  #gid=0"",""фіз особи new!relations_name""),6,FALSE)
,
(IF
(
G5223=""юридична особа""
,
VLOOKUP"&amp;"(H5223,IMPORTRANGE(""https://docs.google.com/spreadsheets/d/14Bd19lYaqBhU8_DElYkX7l4wRkHqqCUFNJY4AfY3kHU/edit?usp=sharing  #gid=0"",""фіз особи new!relations_name_uo""),7,FALSE)
,
)
))"),"КОРЮКОВ Андрій Олександрович")</f>
        <v>КОРЮКОВ Андрій Олександрович</v>
      </c>
      <c r="J5222" s="7" t="s">
        <v>30</v>
      </c>
    </row>
    <row r="5223" spans="1:10" ht="13.2">
      <c r="A5223" s="7">
        <v>5222</v>
      </c>
      <c r="B5223" s="7">
        <v>1</v>
      </c>
      <c r="C5223" s="7" t="s">
        <v>10</v>
      </c>
      <c r="D5223" s="7">
        <v>4260</v>
      </c>
      <c r="E5223" s="7" t="s">
        <v>107</v>
      </c>
      <c r="F5223" s="8" t="str">
        <f ca="1">IFERROR(__xludf.DUMMYFUNCTION("IF
(
C5224=""фізична особа""
,
VLOOKUP(D5224,IMPORTRANGE(""https://docs.google.com/spreadsheets/d/14Bd19lYaqBhU8_DElYkX7l4wRkHqqCUFNJY4AfY3kHU/edit?usp=sharing  #gid=0"",""фіз особи new!relations_name""),6,FALSE)
,
(IF
(
C5224=""юридична особа""
,
VLOOKUP"&amp;"(D5224,IMPORTRANGE(""https://docs.google.com/spreadsheets/d/14Bd19lYaqBhU8_DElYkX7l4wRkHqqCUFNJY4AfY3kHU/edit?usp=sharing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3" s="7" t="s">
        <v>10</v>
      </c>
      <c r="H5223" s="7">
        <v>0</v>
      </c>
      <c r="I5223" s="8" t="str">
        <f ca="1">IFERROR(__xludf.DUMMYFUNCTION("IF
(
G5224=""фізична особа""
,
VLOOKUP(H5224,IMPORTRANGE(""https://docs.google.com/spreadsheets/d/14Bd19lYaqBhU8_DElYkX7l4wRkHqqCUFNJY4AfY3kHU/edit?usp=sharing  #gid=0"",""фіз особи new!relations_name""),6,FALSE)
,
(IF
(
G5224=""юридична особа""
,
VLOOKUP"&amp;"(H5224,IMPORTRANGE(""https://docs.google.com/spreadsheets/d/14Bd19lYaqBhU8_DElYkX7l4wRkHqqCUFNJY4AfY3kHU/edit?usp=sharing  #gid=0"",""фіз особи new!relations_name_uo""),7,FALSE)
,
)
))"),"#N/A")</f>
        <v>#N/A</v>
      </c>
      <c r="J5223" s="7" t="s">
        <v>28</v>
      </c>
    </row>
    <row r="5224" spans="1:10" ht="13.2">
      <c r="A5224" s="7">
        <v>5223</v>
      </c>
      <c r="B5224" s="7">
        <v>1</v>
      </c>
      <c r="C5224" s="7" t="s">
        <v>10</v>
      </c>
      <c r="D5224" s="7">
        <v>4260</v>
      </c>
      <c r="E5224" s="7" t="s">
        <v>107</v>
      </c>
      <c r="F5224" s="8" t="str">
        <f ca="1">IFERROR(__xludf.DUMMYFUNCTION("IF
(
C5225=""фізична особа""
,
VLOOKUP(D5225,IMPORTRANGE(""https://docs.google.com/spreadsheets/d/14Bd19lYaqBhU8_DElYkX7l4wRkHqqCUFNJY4AfY3kHU/edit?usp=sharing  #gid=0"",""фіз особи new!relations_name""),6,FALSE)
,
(IF
(
C5225=""юридична особа""
,
VLOOKUP"&amp;"(D5225,IMPORTRANGE(""https://docs.google.com/spreadsheets/d/14Bd19lYaqBhU8_DElYkX7l4wRkHqqCUFNJY4AfY3kHU/edit?usp=sharing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4" s="7" t="s">
        <v>10</v>
      </c>
      <c r="H5224" s="7">
        <v>0</v>
      </c>
      <c r="I5224" s="8" t="str">
        <f ca="1">IFERROR(__xludf.DUMMYFUNCTION("IF
(
G5225=""фізична особа""
,
VLOOKUP(H5225,IMPORTRANGE(""https://docs.google.com/spreadsheets/d/14Bd19lYaqBhU8_DElYkX7l4wRkHqqCUFNJY4AfY3kHU/edit?usp=sharing  #gid=0"",""фіз особи new!relations_name""),6,FALSE)
,
(IF
(
G5225=""юридична особа""
,
VLOOKUP"&amp;"(H5225,IMPORTRANGE(""https://docs.google.com/spreadsheets/d/14Bd19lYaqBhU8_DElYkX7l4wRkHqqCUFNJY4AfY3kHU/edit?usp=sharing  #gid=0"",""фіз особи new!relations_name_uo""),7,FALSE)
,
)
))"),"#N/A")</f>
        <v>#N/A</v>
      </c>
      <c r="J5224" s="7" t="s">
        <v>28</v>
      </c>
    </row>
    <row r="5225" spans="1:10" ht="13.2">
      <c r="A5225" s="7">
        <v>5224</v>
      </c>
      <c r="B5225" s="7">
        <v>1</v>
      </c>
      <c r="C5225" s="7" t="s">
        <v>10</v>
      </c>
      <c r="D5225" s="7">
        <v>4260</v>
      </c>
      <c r="E5225" s="7" t="s">
        <v>107</v>
      </c>
      <c r="F5225" s="8" t="str">
        <f ca="1">IFERROR(__xludf.DUMMYFUNCTION("IF
(
C5226=""фізична особа""
,
VLOOKUP(D5226,IMPORTRANGE(""https://docs.google.com/spreadsheets/d/14Bd19lYaqBhU8_DElYkX7l4wRkHqqCUFNJY4AfY3kHU/edit?usp=sharing  #gid=0"",""фіз особи new!relations_name""),6,FALSE)
,
(IF
(
C5226=""юридична особа""
,
VLOOKUP"&amp;"(D5226,IMPORTRANGE(""https://docs.google.com/spreadsheets/d/14Bd19lYaqBhU8_DElYkX7l4wRkHqqCUFNJY4AfY3kHU/edit?usp=sharing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5" s="7" t="s">
        <v>10</v>
      </c>
      <c r="H5225" s="7">
        <v>0</v>
      </c>
      <c r="I5225" s="8" t="str">
        <f ca="1">IFERROR(__xludf.DUMMYFUNCTION("IF
(
G5226=""фізична особа""
,
VLOOKUP(H5226,IMPORTRANGE(""https://docs.google.com/spreadsheets/d/14Bd19lYaqBhU8_DElYkX7l4wRkHqqCUFNJY4AfY3kHU/edit?usp=sharing  #gid=0"",""фіз особи new!relations_name""),6,FALSE)
,
(IF
(
G5226=""юридична особа""
,
VLOOKUP"&amp;"(H5226,IMPORTRANGE(""https://docs.google.com/spreadsheets/d/14Bd19lYaqBhU8_DElYkX7l4wRkHqqCUFNJY4AfY3kHU/edit?usp=sharing  #gid=0"",""фіз особи new!relations_name_uo""),7,FALSE)
,
)
))"),"#N/A")</f>
        <v>#N/A</v>
      </c>
      <c r="J5225" s="7" t="s">
        <v>28</v>
      </c>
    </row>
    <row r="5226" spans="1:10" ht="13.2">
      <c r="A5226" s="7">
        <v>5225</v>
      </c>
      <c r="B5226" s="7">
        <v>1</v>
      </c>
      <c r="C5226" s="7" t="s">
        <v>10</v>
      </c>
      <c r="D5226" s="7">
        <v>4260</v>
      </c>
      <c r="E5226" s="7" t="s">
        <v>107</v>
      </c>
      <c r="F5226" s="8" t="str">
        <f ca="1">IFERROR(__xludf.DUMMYFUNCTION("IF
(
C5227=""фізична особа""
,
VLOOKUP(D5227,IMPORTRANGE(""https://docs.google.com/spreadsheets/d/14Bd19lYaqBhU8_DElYkX7l4wRkHqqCUFNJY4AfY3kHU/edit?usp=sharing  #gid=0"",""фіз особи new!relations_name""),6,FALSE)
,
(IF
(
C5227=""юридична особа""
,
VLOOKUP"&amp;"(D5227,IMPORTRANGE(""https://docs.google.com/spreadsheets/d/14Bd19lYaqBhU8_DElYkX7l4wRkHqqCUFNJY4AfY3kHU/edit?usp=sharing  #gid=0"",""фіз особи new!relations_name_uo""),7,FALSE)
,
)
))"),"ОРЛОВ Олексій Валерійович")</f>
        <v>ОРЛОВ Олексій Валерійович</v>
      </c>
      <c r="G5226" s="7" t="s">
        <v>10</v>
      </c>
      <c r="H5226" s="7">
        <v>0</v>
      </c>
      <c r="I5226" s="8" t="str">
        <f ca="1">IFERROR(__xludf.DUMMYFUNCTION("IF
(
G5227=""фізична особа""
,
VLOOKUP(H5227,IMPORTRANGE(""https://docs.google.com/spreadsheets/d/14Bd19lYaqBhU8_DElYkX7l4wRkHqqCUFNJY4AfY3kHU/edit?usp=sharing  #gid=0"",""фіз особи new!relations_name""),6,FALSE)
,
(IF
(
G5227=""юридична особа""
,
VLOOKUP"&amp;"(H5227,IMPORTRANGE(""https://docs.google.com/spreadsheets/d/14Bd19lYaqBhU8_DElYkX7l4wRkHqqCUFNJY4AfY3kHU/edit?usp=sharing  #gid=0"",""фіз особи new!relations_name_uo""),7,FALSE)
,
)
))"),"#N/A")</f>
        <v>#N/A</v>
      </c>
      <c r="J5226" s="7" t="s">
        <v>28</v>
      </c>
    </row>
    <row r="5227" spans="1:10" ht="13.2">
      <c r="A5227" s="7">
        <v>5226</v>
      </c>
      <c r="B5227" s="7">
        <v>1</v>
      </c>
      <c r="C5227" s="7" t="s">
        <v>10</v>
      </c>
      <c r="D5227" s="7">
        <v>4261</v>
      </c>
      <c r="E5227" s="7" t="s">
        <v>29</v>
      </c>
      <c r="F5227" s="8" t="str">
        <f ca="1">IFERROR(__xludf.DUMMYFUNCTION("IF
(
C5228=""фізична особа""
,
VLOOKUP(D5228,IMPORTRANGE(""https://docs.google.com/spreadsheets/d/14Bd19lYaqBhU8_DElYkX7l4wRkHqqCUFNJY4AfY3kHU/edit?usp=sharing  #gid=0"",""фіз особи new!relations_name""),6,FALSE)
,
(IF
(
C5228=""юридична особа""
,
VLOOKUP"&amp;"(D5228,IMPORTRANGE(""https://docs.google.com/spreadsheets/d/14Bd19lYaqBhU8_DElYkX7l4wRkHqqCUFNJY4AfY3kHU/edit?usp=sharing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27" s="7" t="s">
        <v>10</v>
      </c>
      <c r="H5227" s="7">
        <v>0</v>
      </c>
      <c r="I5227" s="8" t="str">
        <f ca="1">IFERROR(__xludf.DUMMYFUNCTION("IF
(
G5228=""фізична особа""
,
VLOOKUP(H5228,IMPORTRANGE(""https://docs.google.com/spreadsheets/d/14Bd19lYaqBhU8_DElYkX7l4wRkHqqCUFNJY4AfY3kHU/edit?usp=sharing  #gid=0"",""фіз особи new!relations_name""),6,FALSE)
,
(IF
(
G5228=""юридична особа""
,
VLOOKUP"&amp;"(H5228,IMPORTRANGE(""https://docs.google.com/spreadsheets/d/14Bd19lYaqBhU8_DElYkX7l4wRkHqqCUFNJY4AfY3kHU/edit?usp=sharing  #gid=0"",""фіз особи new!relations_name_uo""),7,FALSE)
,
)
))"),"#N/A")</f>
        <v>#N/A</v>
      </c>
      <c r="J5227" s="7" t="s">
        <v>28</v>
      </c>
    </row>
    <row r="5228" spans="1:10" ht="13.2">
      <c r="A5228" s="7">
        <v>5227</v>
      </c>
      <c r="B5228" s="7">
        <v>1</v>
      </c>
      <c r="C5228" s="7" t="s">
        <v>10</v>
      </c>
      <c r="D5228" s="7">
        <v>4261</v>
      </c>
      <c r="E5228" s="7" t="s">
        <v>29</v>
      </c>
      <c r="F5228" s="8" t="str">
        <f ca="1">IFERROR(__xludf.DUMMYFUNCTION("IF
(
C5229=""фізична особа""
,
VLOOKUP(D5229,IMPORTRANGE(""https://docs.google.com/spreadsheets/d/14Bd19lYaqBhU8_DElYkX7l4wRkHqqCUFNJY4AfY3kHU/edit?usp=sharing  #gid=0"",""фіз особи new!relations_name""),6,FALSE)
,
(IF
(
C5229=""юридична особа""
,
VLOOKUP"&amp;"(D5229,IMPORTRANGE(""https://docs.google.com/spreadsheets/d/14Bd19lYaqBhU8_DElYkX7l4wRkHqqCUFNJY4AfY3kHU/edit?usp=sharing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28" s="7" t="s">
        <v>10</v>
      </c>
      <c r="H5228" s="7">
        <v>0</v>
      </c>
      <c r="I5228" s="8" t="str">
        <f ca="1">IFERROR(__xludf.DUMMYFUNCTION("IF
(
G5229=""фізична особа""
,
VLOOKUP(H5229,IMPORTRANGE(""https://docs.google.com/spreadsheets/d/14Bd19lYaqBhU8_DElYkX7l4wRkHqqCUFNJY4AfY3kHU/edit?usp=sharing  #gid=0"",""фіз особи new!relations_name""),6,FALSE)
,
(IF
(
G5229=""юридична особа""
,
VLOOKUP"&amp;"(H5229,IMPORTRANGE(""https://docs.google.com/spreadsheets/d/14Bd19lYaqBhU8_DElYkX7l4wRkHqqCUFNJY4AfY3kHU/edit?usp=sharing  #gid=0"",""фіз особи new!relations_name_uo""),7,FALSE)
,
)
))"),"#N/A")</f>
        <v>#N/A</v>
      </c>
      <c r="J5228" s="7" t="s">
        <v>28</v>
      </c>
    </row>
    <row r="5229" spans="1:10" ht="13.2">
      <c r="A5229" s="7">
        <v>5228</v>
      </c>
      <c r="B5229" s="7">
        <v>1</v>
      </c>
      <c r="C5229" s="7" t="s">
        <v>10</v>
      </c>
      <c r="D5229" s="7">
        <v>4261</v>
      </c>
      <c r="E5229" s="7" t="s">
        <v>29</v>
      </c>
      <c r="F5229" s="8" t="str">
        <f ca="1">IFERROR(__xludf.DUMMYFUNCTION("IF
(
C5230=""фізична особа""
,
VLOOKUP(D5230,IMPORTRANGE(""https://docs.google.com/spreadsheets/d/14Bd19lYaqBhU8_DElYkX7l4wRkHqqCUFNJY4AfY3kHU/edit?usp=sharing  #gid=0"",""фіз особи new!relations_name""),6,FALSE)
,
(IF
(
C5230=""юридична особа""
,
VLOOKUP"&amp;"(D5230,IMPORTRANGE(""https://docs.google.com/spreadsheets/d/14Bd19lYaqBhU8_DElYkX7l4wRkHqqCUFNJY4AfY3kHU/edit?usp=sharing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29" s="7" t="s">
        <v>10</v>
      </c>
      <c r="H5229" s="7">
        <v>0</v>
      </c>
      <c r="I5229" s="8" t="str">
        <f ca="1">IFERROR(__xludf.DUMMYFUNCTION("IF
(
G5230=""фізична особа""
,
VLOOKUP(H5230,IMPORTRANGE(""https://docs.google.com/spreadsheets/d/14Bd19lYaqBhU8_DElYkX7l4wRkHqqCUFNJY4AfY3kHU/edit?usp=sharing  #gid=0"",""фіз особи new!relations_name""),6,FALSE)
,
(IF
(
G5230=""юридична особа""
,
VLOOKUP"&amp;"(H5230,IMPORTRANGE(""https://docs.google.com/spreadsheets/d/14Bd19lYaqBhU8_DElYkX7l4wRkHqqCUFNJY4AfY3kHU/edit?usp=sharing  #gid=0"",""фіз особи new!relations_name_uo""),7,FALSE)
,
)
))"),"#N/A")</f>
        <v>#N/A</v>
      </c>
      <c r="J5229" s="7" t="s">
        <v>28</v>
      </c>
    </row>
    <row r="5230" spans="1:10" ht="13.2">
      <c r="A5230" s="7">
        <v>5229</v>
      </c>
      <c r="B5230" s="7">
        <v>1</v>
      </c>
      <c r="C5230" s="7" t="s">
        <v>10</v>
      </c>
      <c r="D5230" s="7">
        <v>4261</v>
      </c>
      <c r="E5230" s="7" t="s">
        <v>29</v>
      </c>
      <c r="F5230" s="8" t="str">
        <f ca="1">IFERROR(__xludf.DUMMYFUNCTION("IF
(
C5231=""фізична особа""
,
VLOOKUP(D5231,IMPORTRANGE(""https://docs.google.com/spreadsheets/d/14Bd19lYaqBhU8_DElYkX7l4wRkHqqCUFNJY4AfY3kHU/edit?usp=sharing  #gid=0"",""фіз особи new!relations_name""),6,FALSE)
,
(IF
(
C5231=""юридична особа""
,
VLOOKUP"&amp;"(D5231,IMPORTRANGE(""https://docs.google.com/spreadsheets/d/14Bd19lYaqBhU8_DElYkX7l4wRkHqqCUFNJY4AfY3kHU/edit?usp=sharing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30" s="7" t="s">
        <v>10</v>
      </c>
      <c r="H5230" s="7">
        <v>0</v>
      </c>
      <c r="I5230" s="8" t="str">
        <f ca="1">IFERROR(__xludf.DUMMYFUNCTION("IF
(
G5231=""фізична особа""
,
VLOOKUP(H5231,IMPORTRANGE(""https://docs.google.com/spreadsheets/d/14Bd19lYaqBhU8_DElYkX7l4wRkHqqCUFNJY4AfY3kHU/edit?usp=sharing  #gid=0"",""фіз особи new!relations_name""),6,FALSE)
,
(IF
(
G5231=""юридична особа""
,
VLOOKUP"&amp;"(H5231,IMPORTRANGE(""https://docs.google.com/spreadsheets/d/14Bd19lYaqBhU8_DElYkX7l4wRkHqqCUFNJY4AfY3kHU/edit?usp=sharing  #gid=0"",""фіз особи new!relations_name_uo""),7,FALSE)
,
)
))"),"#N/A")</f>
        <v>#N/A</v>
      </c>
      <c r="J5230" s="7" t="s">
        <v>28</v>
      </c>
    </row>
    <row r="5231" spans="1:10" ht="13.2">
      <c r="A5231" s="7">
        <v>5230</v>
      </c>
      <c r="B5231" s="7">
        <v>1</v>
      </c>
      <c r="C5231" s="7" t="s">
        <v>10</v>
      </c>
      <c r="D5231" s="7">
        <v>4261</v>
      </c>
      <c r="E5231" s="7" t="s">
        <v>29</v>
      </c>
      <c r="F5231" s="8" t="str">
        <f ca="1">IFERROR(__xludf.DUMMYFUNCTION("IF
(
C5232=""фізична особа""
,
VLOOKUP(D5232,IMPORTRANGE(""https://docs.google.com/spreadsheets/d/14Bd19lYaqBhU8_DElYkX7l4wRkHqqCUFNJY4AfY3kHU/edit?usp=sharing  #gid=0"",""фіз особи new!relations_name""),6,FALSE)
,
(IF
(
C5232=""юридична особа""
,
VLOOKUP"&amp;"(D5232,IMPORTRANGE(""https://docs.google.com/spreadsheets/d/14Bd19lYaqBhU8_DElYkX7l4wRkHqqCUFNJY4AfY3kHU/edit?usp=sharing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31" s="7" t="s">
        <v>10</v>
      </c>
      <c r="H5231" s="7">
        <v>0</v>
      </c>
      <c r="I5231" s="8" t="str">
        <f ca="1">IFERROR(__xludf.DUMMYFUNCTION("IF
(
G5232=""фізична особа""
,
VLOOKUP(H5232,IMPORTRANGE(""https://docs.google.com/spreadsheets/d/14Bd19lYaqBhU8_DElYkX7l4wRkHqqCUFNJY4AfY3kHU/edit?usp=sharing  #gid=0"",""фіз особи new!relations_name""),6,FALSE)
,
(IF
(
G5232=""юридична особа""
,
VLOOKUP"&amp;"(H5232,IMPORTRANGE(""https://docs.google.com/spreadsheets/d/14Bd19lYaqBhU8_DElYkX7l4wRkHqqCUFNJY4AfY3kHU/edit?usp=sharing  #gid=0"",""фіз особи new!relations_name_uo""),7,FALSE)
,
)
))"),"#N/A")</f>
        <v>#N/A</v>
      </c>
      <c r="J5231" s="7" t="s">
        <v>28</v>
      </c>
    </row>
    <row r="5232" spans="1:10" ht="13.2">
      <c r="A5232" s="7">
        <v>5231</v>
      </c>
      <c r="B5232" s="7">
        <v>1</v>
      </c>
      <c r="C5232" s="7" t="s">
        <v>10</v>
      </c>
      <c r="D5232" s="7">
        <v>4261</v>
      </c>
      <c r="E5232" s="7" t="s">
        <v>28</v>
      </c>
      <c r="F5232" s="8" t="str">
        <f ca="1">IFERROR(__xludf.DUMMYFUNCTION("IF
(
C5233=""фізична особа""
,
VLOOKUP(D5233,IMPORTRANGE(""https://docs.google.com/spreadsheets/d/14Bd19lYaqBhU8_DElYkX7l4wRkHqqCUFNJY4AfY3kHU/edit?usp=sharing  #gid=0"",""фіз особи new!relations_name""),6,FALSE)
,
(IF
(
C5233=""юридична особа""
,
VLOOKUP"&amp;"(D5233,IMPORTRANGE(""https://docs.google.com/spreadsheets/d/14Bd19lYaqBhU8_DElYkX7l4wRkHqqCUFNJY4AfY3kHU/edit?usp=sharing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32" s="7" t="s">
        <v>10</v>
      </c>
      <c r="H5232" s="7">
        <v>2533</v>
      </c>
      <c r="I5232" s="8" t="str">
        <f ca="1">IFERROR(__xludf.DUMMYFUNCTION("IF
(
G5233=""фізична особа""
,
VLOOKUP(H5233,IMPORTRANGE(""https://docs.google.com/spreadsheets/d/14Bd19lYaqBhU8_DElYkX7l4wRkHqqCUFNJY4AfY3kHU/edit?usp=sharing  #gid=0"",""фіз особи new!relations_name""),6,FALSE)
,
(IF
(
G5233=""юридична особа""
,
VLOOKUP"&amp;"(H5233,IMPORTRANGE(""https://docs.google.com/spreadsheets/d/14Bd19lYaqBhU8_DElYkX7l4wRkHqqCUFNJY4AfY3kHU/edit?usp=sharing  #gid=0"",""фіз особи new!relations_name_uo""),7,FALSE)
,
)
))"),"ВОСКРЕСЕНСЬКИЙ Станіслав Сергійович")</f>
        <v>ВОСКРЕСЕНСЬКИЙ Станіслав Сергійович</v>
      </c>
      <c r="J5232" s="7" t="s">
        <v>29</v>
      </c>
    </row>
    <row r="5233" spans="1:10" ht="13.2">
      <c r="A5233" s="7">
        <v>5232</v>
      </c>
      <c r="B5233" s="7">
        <v>1</v>
      </c>
      <c r="C5233" s="7" t="s">
        <v>10</v>
      </c>
      <c r="D5233" s="7">
        <v>4261</v>
      </c>
      <c r="E5233" s="7" t="s">
        <v>29</v>
      </c>
      <c r="F5233" s="8" t="str">
        <f ca="1">IFERROR(__xludf.DUMMYFUNCTION("IF
(
C5234=""фізична особа""
,
VLOOKUP(D5234,IMPORTRANGE(""https://docs.google.com/spreadsheets/d/14Bd19lYaqBhU8_DElYkX7l4wRkHqqCUFNJY4AfY3kHU/edit?usp=sharing  #gid=0"",""фіз особи new!relations_name""),6,FALSE)
,
(IF
(
C5234=""юридична особа""
,
VLOOKUP"&amp;"(D5234,IMPORTRANGE(""https://docs.google.com/spreadsheets/d/14Bd19lYaqBhU8_DElYkX7l4wRkHqqCUFNJY4AfY3kHU/edit?usp=sharing  #gid=0"",""фіз особи new!relations_name_uo""),7,FALSE)
,
)
))"),"ШАРИПОВ Володимир Миколайович")</f>
        <v>ШАРИПОВ Володимир Миколайович</v>
      </c>
      <c r="G5233" s="7" t="s">
        <v>10</v>
      </c>
      <c r="H5233" s="7">
        <v>0</v>
      </c>
      <c r="I5233" s="8" t="str">
        <f ca="1">IFERROR(__xludf.DUMMYFUNCTION("IF
(
G5234=""фізична особа""
,
VLOOKUP(H5234,IMPORTRANGE(""https://docs.google.com/spreadsheets/d/14Bd19lYaqBhU8_DElYkX7l4wRkHqqCUFNJY4AfY3kHU/edit?usp=sharing  #gid=0"",""фіз особи new!relations_name""),6,FALSE)
,
(IF
(
G5234=""юридична особа""
,
VLOOKUP"&amp;"(H5234,IMPORTRANGE(""https://docs.google.com/spreadsheets/d/14Bd19lYaqBhU8_DElYkX7l4wRkHqqCUFNJY4AfY3kHU/edit?usp=sharing  #gid=0"",""фіз особи new!relations_name_uo""),7,FALSE)
,
)
))"),"#N/A")</f>
        <v>#N/A</v>
      </c>
      <c r="J5233" s="7" t="s">
        <v>28</v>
      </c>
    </row>
    <row r="5234" spans="1:10" ht="13.2">
      <c r="A5234" s="7">
        <v>5233</v>
      </c>
      <c r="B5234" s="7">
        <v>1</v>
      </c>
      <c r="C5234" s="7" t="s">
        <v>10</v>
      </c>
      <c r="D5234" s="7">
        <v>4262</v>
      </c>
      <c r="E5234" s="7" t="s">
        <v>28</v>
      </c>
      <c r="F5234" s="8" t="str">
        <f ca="1">IFERROR(__xludf.DUMMYFUNCTION("IF
(
C5235=""фізична особа""
,
VLOOKUP(D5235,IMPORTRANGE(""https://docs.google.com/spreadsheets/d/14Bd19lYaqBhU8_DElYkX7l4wRkHqqCUFNJY4AfY3kHU/edit?usp=sharing  #gid=0"",""фіз особи new!relations_name""),6,FALSE)
,
(IF
(
C5235=""юридична особа""
,
VLOOKUP"&amp;"(D5235,IMPORTRANGE(""https://docs.google.com/spreadsheets/d/14Bd19lYaqBhU8_DElYkX7l4wRkHqqCUFNJY4AfY3kHU/edit?usp=sharing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4" s="7" t="s">
        <v>10</v>
      </c>
      <c r="H5234" s="7">
        <v>2572</v>
      </c>
      <c r="I5234" s="8" t="str">
        <f ca="1">IFERROR(__xludf.DUMMYFUNCTION("IF
(
G5235=""фізична особа""
,
VLOOKUP(H5235,IMPORTRANGE(""https://docs.google.com/spreadsheets/d/14Bd19lYaqBhU8_DElYkX7l4wRkHqqCUFNJY4AfY3kHU/edit?usp=sharing  #gid=0"",""фіз особи new!relations_name""),6,FALSE)
,
(IF
(
G5235=""юридична особа""
,
VLOOKUP"&amp;"(H5235,IMPORTRANGE(""https://docs.google.com/spreadsheets/d/14Bd19lYaqBhU8_DElYkX7l4wRkHqqCUFNJY4AfY3kHU/edit?usp=sharing  #gid=0"",""фіз особи new!relations_name_uo""),7,FALSE)
,
)
))"),"БРЕЧАЛОВ Олександр Володимирович")</f>
        <v>БРЕЧАЛОВ Олександр Володимирович</v>
      </c>
      <c r="J5234" s="7" t="s">
        <v>29</v>
      </c>
    </row>
    <row r="5235" spans="1:10" ht="13.2">
      <c r="A5235" s="7">
        <v>5234</v>
      </c>
      <c r="B5235" s="7">
        <v>1</v>
      </c>
      <c r="C5235" s="7" t="s">
        <v>10</v>
      </c>
      <c r="D5235" s="7">
        <v>4262</v>
      </c>
      <c r="E5235" s="7" t="s">
        <v>30</v>
      </c>
      <c r="F5235" s="8" t="str">
        <f ca="1">IFERROR(__xludf.DUMMYFUNCTION("IF
(
C5236=""фізична особа""
,
VLOOKUP(D5236,IMPORTRANGE(""https://docs.google.com/spreadsheets/d/14Bd19lYaqBhU8_DElYkX7l4wRkHqqCUFNJY4AfY3kHU/edit?usp=sharing  #gid=0"",""фіз особи new!relations_name""),6,FALSE)
,
(IF
(
C5236=""юридична особа""
,
VLOOKUP"&amp;"(D5236,IMPORTRANGE(""https://docs.google.com/spreadsheets/d/14Bd19lYaqBhU8_DElYkX7l4wRkHqqCUFNJY4AfY3kHU/edit?usp=sharing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5" s="7" t="s">
        <v>10</v>
      </c>
      <c r="H5235" s="7">
        <v>0</v>
      </c>
      <c r="I5235" s="8" t="str">
        <f ca="1">IFERROR(__xludf.DUMMYFUNCTION("IF
(
G5236=""фізична особа""
,
VLOOKUP(H5236,IMPORTRANGE(""https://docs.google.com/spreadsheets/d/14Bd19lYaqBhU8_DElYkX7l4wRkHqqCUFNJY4AfY3kHU/edit?usp=sharing  #gid=0"",""фіз особи new!relations_name""),6,FALSE)
,
(IF
(
G5236=""юридична особа""
,
VLOOKUP"&amp;"(H5236,IMPORTRANGE(""https://docs.google.com/spreadsheets/d/14Bd19lYaqBhU8_DElYkX7l4wRkHqqCUFNJY4AfY3kHU/edit?usp=sharing  #gid=0"",""фіз особи new!relations_name_uo""),7,FALSE)
,
)
))"),"#N/A")</f>
        <v>#N/A</v>
      </c>
      <c r="J5235" s="7" t="s">
        <v>30</v>
      </c>
    </row>
    <row r="5236" spans="1:10" ht="13.2">
      <c r="A5236" s="7">
        <v>5235</v>
      </c>
      <c r="B5236" s="7">
        <v>1</v>
      </c>
      <c r="C5236" s="7" t="s">
        <v>10</v>
      </c>
      <c r="D5236" s="7">
        <v>4262</v>
      </c>
      <c r="E5236" s="7" t="s">
        <v>29</v>
      </c>
      <c r="F5236" s="8" t="str">
        <f ca="1">IFERROR(__xludf.DUMMYFUNCTION("IF
(
C5237=""фізична особа""
,
VLOOKUP(D5237,IMPORTRANGE(""https://docs.google.com/spreadsheets/d/14Bd19lYaqBhU8_DElYkX7l4wRkHqqCUFNJY4AfY3kHU/edit?usp=sharing  #gid=0"",""фіз особи new!relations_name""),6,FALSE)
,
(IF
(
C5237=""юридична особа""
,
VLOOKUP"&amp;"(D5237,IMPORTRANGE(""https://docs.google.com/spreadsheets/d/14Bd19lYaqBhU8_DElYkX7l4wRkHqqCUFNJY4AfY3kHU/edit?usp=sharing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6" s="7" t="s">
        <v>10</v>
      </c>
      <c r="H5236" s="7">
        <v>0</v>
      </c>
      <c r="I5236" s="8" t="str">
        <f ca="1">IFERROR(__xludf.DUMMYFUNCTION("IF
(
G5237=""фізична особа""
,
VLOOKUP(H5237,IMPORTRANGE(""https://docs.google.com/spreadsheets/d/14Bd19lYaqBhU8_DElYkX7l4wRkHqqCUFNJY4AfY3kHU/edit?usp=sharing  #gid=0"",""фіз особи new!relations_name""),6,FALSE)
,
(IF
(
G5237=""юридична особа""
,
VLOOKUP"&amp;"(H5237,IMPORTRANGE(""https://docs.google.com/spreadsheets/d/14Bd19lYaqBhU8_DElYkX7l4wRkHqqCUFNJY4AfY3kHU/edit?usp=sharing  #gid=0"",""фіз особи new!relations_name_uo""),7,FALSE)
,
)
))"),"#N/A")</f>
        <v>#N/A</v>
      </c>
      <c r="J5236" s="7" t="s">
        <v>28</v>
      </c>
    </row>
    <row r="5237" spans="1:10" ht="13.2">
      <c r="A5237" s="7">
        <v>5236</v>
      </c>
      <c r="B5237" s="7">
        <v>1</v>
      </c>
      <c r="C5237" s="7" t="s">
        <v>10</v>
      </c>
      <c r="D5237" s="7">
        <v>4262</v>
      </c>
      <c r="E5237" s="7" t="s">
        <v>29</v>
      </c>
      <c r="F5237" s="8" t="str">
        <f ca="1">IFERROR(__xludf.DUMMYFUNCTION("IF
(
C5238=""фізична особа""
,
VLOOKUP(D5238,IMPORTRANGE(""https://docs.google.com/spreadsheets/d/14Bd19lYaqBhU8_DElYkX7l4wRkHqqCUFNJY4AfY3kHU/edit?usp=sharing  #gid=0"",""фіз особи new!relations_name""),6,FALSE)
,
(IF
(
C5238=""юридична особа""
,
VLOOKUP"&amp;"(D5238,IMPORTRANGE(""https://docs.google.com/spreadsheets/d/14Bd19lYaqBhU8_DElYkX7l4wRkHqqCUFNJY4AfY3kHU/edit?usp=sharing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7" s="7" t="s">
        <v>10</v>
      </c>
      <c r="H5237" s="7">
        <v>0</v>
      </c>
      <c r="I5237" s="8" t="str">
        <f ca="1">IFERROR(__xludf.DUMMYFUNCTION("IF
(
G5238=""фізична особа""
,
VLOOKUP(H5238,IMPORTRANGE(""https://docs.google.com/spreadsheets/d/14Bd19lYaqBhU8_DElYkX7l4wRkHqqCUFNJY4AfY3kHU/edit?usp=sharing  #gid=0"",""фіз особи new!relations_name""),6,FALSE)
,
(IF
(
G5238=""юридична особа""
,
VLOOKUP"&amp;"(H5238,IMPORTRANGE(""https://docs.google.com/spreadsheets/d/14Bd19lYaqBhU8_DElYkX7l4wRkHqqCUFNJY4AfY3kHU/edit?usp=sharing  #gid=0"",""фіз особи new!relations_name_uo""),7,FALSE)
,
)
))"),"#N/A")</f>
        <v>#N/A</v>
      </c>
      <c r="J5237" s="7" t="s">
        <v>28</v>
      </c>
    </row>
    <row r="5238" spans="1:10" ht="13.2">
      <c r="A5238" s="7">
        <v>5237</v>
      </c>
      <c r="B5238" s="7">
        <v>1</v>
      </c>
      <c r="C5238" s="7" t="s">
        <v>10</v>
      </c>
      <c r="D5238" s="7">
        <v>4262</v>
      </c>
      <c r="E5238" s="7" t="s">
        <v>29</v>
      </c>
      <c r="F5238" s="8" t="str">
        <f ca="1">IFERROR(__xludf.DUMMYFUNCTION("IF
(
C5239=""фізична особа""
,
VLOOKUP(D5239,IMPORTRANGE(""https://docs.google.com/spreadsheets/d/14Bd19lYaqBhU8_DElYkX7l4wRkHqqCUFNJY4AfY3kHU/edit?usp=sharing  #gid=0"",""фіз особи new!relations_name""),6,FALSE)
,
(IF
(
C5239=""юридична особа""
,
VLOOKUP"&amp;"(D5239,IMPORTRANGE(""https://docs.google.com/spreadsheets/d/14Bd19lYaqBhU8_DElYkX7l4wRkHqqCUFNJY4AfY3kHU/edit?usp=sharing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8" s="7" t="s">
        <v>10</v>
      </c>
      <c r="H5238" s="7">
        <v>0</v>
      </c>
      <c r="I5238" s="8" t="str">
        <f ca="1">IFERROR(__xludf.DUMMYFUNCTION("IF
(
G5239=""фізична особа""
,
VLOOKUP(H5239,IMPORTRANGE(""https://docs.google.com/spreadsheets/d/14Bd19lYaqBhU8_DElYkX7l4wRkHqqCUFNJY4AfY3kHU/edit?usp=sharing  #gid=0"",""фіз особи new!relations_name""),6,FALSE)
,
(IF
(
G5239=""юридична особа""
,
VLOOKUP"&amp;"(H5239,IMPORTRANGE(""https://docs.google.com/spreadsheets/d/14Bd19lYaqBhU8_DElYkX7l4wRkHqqCUFNJY4AfY3kHU/edit?usp=sharing  #gid=0"",""фіз особи new!relations_name_uo""),7,FALSE)
,
)
))"),"#N/A")</f>
        <v>#N/A</v>
      </c>
      <c r="J5238" s="7" t="s">
        <v>28</v>
      </c>
    </row>
    <row r="5239" spans="1:10" ht="13.2">
      <c r="A5239" s="7">
        <v>5238</v>
      </c>
      <c r="B5239" s="7">
        <v>1</v>
      </c>
      <c r="C5239" s="7" t="s">
        <v>10</v>
      </c>
      <c r="D5239" s="7">
        <v>4262</v>
      </c>
      <c r="E5239" s="7" t="s">
        <v>29</v>
      </c>
      <c r="F5239" s="8" t="str">
        <f ca="1">IFERROR(__xludf.DUMMYFUNCTION("IF
(
C5240=""фізична особа""
,
VLOOKUP(D5240,IMPORTRANGE(""https://docs.google.com/spreadsheets/d/14Bd19lYaqBhU8_DElYkX7l4wRkHqqCUFNJY4AfY3kHU/edit?usp=sharing  #gid=0"",""фіз особи new!relations_name""),6,FALSE)
,
(IF
(
C5240=""юридична особа""
,
VLOOKUP"&amp;"(D5240,IMPORTRANGE(""https://docs.google.com/spreadsheets/d/14Bd19lYaqBhU8_DElYkX7l4wRkHqqCUFNJY4AfY3kHU/edit?usp=sharing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39" s="7" t="s">
        <v>10</v>
      </c>
      <c r="H5239" s="7">
        <v>0</v>
      </c>
      <c r="I5239" s="8" t="str">
        <f ca="1">IFERROR(__xludf.DUMMYFUNCTION("IF
(
G5240=""фізична особа""
,
VLOOKUP(H5240,IMPORTRANGE(""https://docs.google.com/spreadsheets/d/14Bd19lYaqBhU8_DElYkX7l4wRkHqqCUFNJY4AfY3kHU/edit?usp=sharing  #gid=0"",""фіз особи new!relations_name""),6,FALSE)
,
(IF
(
G5240=""юридична особа""
,
VLOOKUP"&amp;"(H5240,IMPORTRANGE(""https://docs.google.com/spreadsheets/d/14Bd19lYaqBhU8_DElYkX7l4wRkHqqCUFNJY4AfY3kHU/edit?usp=sharing  #gid=0"",""фіз особи new!relations_name_uo""),7,FALSE)
,
)
))"),"#N/A")</f>
        <v>#N/A</v>
      </c>
      <c r="J5239" s="7" t="s">
        <v>28</v>
      </c>
    </row>
    <row r="5240" spans="1:10" ht="13.2">
      <c r="A5240" s="7">
        <v>5239</v>
      </c>
      <c r="B5240" s="7">
        <v>1</v>
      </c>
      <c r="C5240" s="7" t="s">
        <v>10</v>
      </c>
      <c r="D5240" s="7">
        <v>4262</v>
      </c>
      <c r="E5240" s="7" t="s">
        <v>29</v>
      </c>
      <c r="F5240" s="8" t="str">
        <f ca="1">IFERROR(__xludf.DUMMYFUNCTION("IF
(
C5241=""фізична особа""
,
VLOOKUP(D5241,IMPORTRANGE(""https://docs.google.com/spreadsheets/d/14Bd19lYaqBhU8_DElYkX7l4wRkHqqCUFNJY4AfY3kHU/edit?usp=sharing  #gid=0"",""фіз особи new!relations_name""),6,FALSE)
,
(IF
(
C5241=""юридична особа""
,
VLOOKUP"&amp;"(D5241,IMPORTRANGE(""https://docs.google.com/spreadsheets/d/14Bd19lYaqBhU8_DElYkX7l4wRkHqqCUFNJY4AfY3kHU/edit?usp=sharing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40" s="7" t="s">
        <v>10</v>
      </c>
      <c r="H5240" s="7">
        <v>0</v>
      </c>
      <c r="I5240" s="8" t="str">
        <f ca="1">IFERROR(__xludf.DUMMYFUNCTION("IF
(
G5241=""фізична особа""
,
VLOOKUP(H5241,IMPORTRANGE(""https://docs.google.com/spreadsheets/d/14Bd19lYaqBhU8_DElYkX7l4wRkHqqCUFNJY4AfY3kHU/edit?usp=sharing  #gid=0"",""фіз особи new!relations_name""),6,FALSE)
,
(IF
(
G5241=""юридична особа""
,
VLOOKUP"&amp;"(H5241,IMPORTRANGE(""https://docs.google.com/spreadsheets/d/14Bd19lYaqBhU8_DElYkX7l4wRkHqqCUFNJY4AfY3kHU/edit?usp=sharing  #gid=0"",""фіз особи new!relations_name_uo""),7,FALSE)
,
)
))"),"#N/A")</f>
        <v>#N/A</v>
      </c>
      <c r="J5240" s="7" t="s">
        <v>28</v>
      </c>
    </row>
    <row r="5241" spans="1:10" ht="13.2">
      <c r="A5241" s="7">
        <v>5240</v>
      </c>
      <c r="B5241" s="7">
        <v>1</v>
      </c>
      <c r="C5241" s="7" t="s">
        <v>10</v>
      </c>
      <c r="D5241" s="7">
        <v>4262</v>
      </c>
      <c r="E5241" s="7" t="s">
        <v>29</v>
      </c>
      <c r="F5241" s="8" t="str">
        <f ca="1">IFERROR(__xludf.DUMMYFUNCTION("IF
(
C5242=""фізична особа""
,
VLOOKUP(D5242,IMPORTRANGE(""https://docs.google.com/spreadsheets/d/14Bd19lYaqBhU8_DElYkX7l4wRkHqqCUFNJY4AfY3kHU/edit?usp=sharing  #gid=0"",""фіз особи new!relations_name""),6,FALSE)
,
(IF
(
C5242=""юридична особа""
,
VLOOKUP"&amp;"(D5242,IMPORTRANGE(""https://docs.google.com/spreadsheets/d/14Bd19lYaqBhU8_DElYkX7l4wRkHqqCUFNJY4AfY3kHU/edit?usp=sharing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41" s="7" t="s">
        <v>10</v>
      </c>
      <c r="H5241" s="7">
        <v>0</v>
      </c>
      <c r="I5241" s="8" t="str">
        <f ca="1">IFERROR(__xludf.DUMMYFUNCTION("IF
(
G5242=""фізична особа""
,
VLOOKUP(H5242,IMPORTRANGE(""https://docs.google.com/spreadsheets/d/14Bd19lYaqBhU8_DElYkX7l4wRkHqqCUFNJY4AfY3kHU/edit?usp=sharing  #gid=0"",""фіз особи new!relations_name""),6,FALSE)
,
(IF
(
G5242=""юридична особа""
,
VLOOKUP"&amp;"(H5242,IMPORTRANGE(""https://docs.google.com/spreadsheets/d/14Bd19lYaqBhU8_DElYkX7l4wRkHqqCUFNJY4AfY3kHU/edit?usp=sharing  #gid=0"",""фіз особи new!relations_name_uo""),7,FALSE)
,
)
))"),"#N/A")</f>
        <v>#N/A</v>
      </c>
      <c r="J5241" s="7" t="s">
        <v>28</v>
      </c>
    </row>
    <row r="5242" spans="1:10" ht="13.2">
      <c r="A5242" s="7">
        <v>5241</v>
      </c>
      <c r="B5242" s="7">
        <v>1</v>
      </c>
      <c r="C5242" s="7" t="s">
        <v>10</v>
      </c>
      <c r="D5242" s="7">
        <v>4262</v>
      </c>
      <c r="E5242" s="7" t="s">
        <v>29</v>
      </c>
      <c r="F5242" s="8" t="str">
        <f ca="1">IFERROR(__xludf.DUMMYFUNCTION("IF
(
C5243=""фізична особа""
,
VLOOKUP(D5243,IMPORTRANGE(""https://docs.google.com/spreadsheets/d/14Bd19lYaqBhU8_DElYkX7l4wRkHqqCUFNJY4AfY3kHU/edit?usp=sharing  #gid=0"",""фіз особи new!relations_name""),6,FALSE)
,
(IF
(
C5243=""юридична особа""
,
VLOOKUP"&amp;"(D5243,IMPORTRANGE(""https://docs.google.com/spreadsheets/d/14Bd19lYaqBhU8_DElYkX7l4wRkHqqCUFNJY4AfY3kHU/edit?usp=sharing  #gid=0"",""фіз особи new!relations_name_uo""),7,FALSE)
,
)
))"),"БЕКМЕМЕТЬЄВ Олег Миколайович")</f>
        <v>БЕКМЕМЕТЬЄВ Олег Миколайович</v>
      </c>
      <c r="G5242" s="7" t="s">
        <v>10</v>
      </c>
      <c r="H5242" s="7">
        <v>0</v>
      </c>
      <c r="I5242" s="8" t="str">
        <f ca="1">IFERROR(__xludf.DUMMYFUNCTION("IF
(
G5243=""фізична особа""
,
VLOOKUP(H5243,IMPORTRANGE(""https://docs.google.com/spreadsheets/d/14Bd19lYaqBhU8_DElYkX7l4wRkHqqCUFNJY4AfY3kHU/edit?usp=sharing  #gid=0"",""фіз особи new!relations_name""),6,FALSE)
,
(IF
(
G5243=""юридична особа""
,
VLOOKUP"&amp;"(H5243,IMPORTRANGE(""https://docs.google.com/spreadsheets/d/14Bd19lYaqBhU8_DElYkX7l4wRkHqqCUFNJY4AfY3kHU/edit?usp=sharing  #gid=0"",""фіз особи new!relations_name_uo""),7,FALSE)
,
)
))"),"#N/A")</f>
        <v>#N/A</v>
      </c>
      <c r="J5242" s="7" t="s">
        <v>28</v>
      </c>
    </row>
    <row r="5243" spans="1:10" ht="13.2">
      <c r="A5243" s="7">
        <v>5242</v>
      </c>
      <c r="B5243" s="7">
        <v>1</v>
      </c>
      <c r="C5243" s="7" t="s">
        <v>10</v>
      </c>
      <c r="D5243" s="7">
        <v>4263</v>
      </c>
      <c r="E5243" s="7" t="s">
        <v>29</v>
      </c>
      <c r="F5243" s="8" t="str">
        <f ca="1">IFERROR(__xludf.DUMMYFUNCTION("IF
(
C5244=""фізична особа""
,
VLOOKUP(D5244,IMPORTRANGE(""https://docs.google.com/spreadsheets/d/14Bd19lYaqBhU8_DElYkX7l4wRkHqqCUFNJY4AfY3kHU/edit?usp=sharing  #gid=0"",""фіз особи new!relations_name""),6,FALSE)
,
(IF
(
C5244=""юридична особа""
,
VLOOKUP"&amp;"(D5244,IMPORTRANGE(""https://docs.google.com/spreadsheets/d/14Bd19lYaqBhU8_DElYkX7l4wRkHqqCUFNJY4AfY3kHU/edit?usp=sharing  #gid=0"",""фіз особи new!relations_name_uo""),7,FALSE)
,
)
))"),"ЩЕЛОКОВ Олександр Олександрович")</f>
        <v>ЩЕЛОКОВ Олександр Олександрович</v>
      </c>
      <c r="G5243" s="7" t="s">
        <v>10</v>
      </c>
      <c r="H5243" s="7">
        <v>0</v>
      </c>
      <c r="I5243" s="8" t="str">
        <f ca="1">IFERROR(__xludf.DUMMYFUNCTION("IF
(
G5244=""фізична особа""
,
VLOOKUP(H5244,IMPORTRANGE(""https://docs.google.com/spreadsheets/d/14Bd19lYaqBhU8_DElYkX7l4wRkHqqCUFNJY4AfY3kHU/edit?usp=sharing  #gid=0"",""фіз особи new!relations_name""),6,FALSE)
,
(IF
(
G5244=""юридична особа""
,
VLOOKUP"&amp;"(H5244,IMPORTRANGE(""https://docs.google.com/spreadsheets/d/14Bd19lYaqBhU8_DElYkX7l4wRkHqqCUFNJY4AfY3kHU/edit?usp=sharing  #gid=0"",""фіз особи new!relations_name_uo""),7,FALSE)
,
)
))"),"#N/A")</f>
        <v>#N/A</v>
      </c>
      <c r="J5243" s="7" t="s">
        <v>28</v>
      </c>
    </row>
    <row r="5244" spans="1:10" ht="13.2">
      <c r="A5244" s="7">
        <v>5243</v>
      </c>
      <c r="B5244" s="7">
        <v>1</v>
      </c>
      <c r="C5244" s="7" t="s">
        <v>10</v>
      </c>
      <c r="D5244" s="7">
        <v>4263</v>
      </c>
      <c r="E5244" s="7" t="s">
        <v>29</v>
      </c>
      <c r="F5244" s="8" t="str">
        <f ca="1">IFERROR(__xludf.DUMMYFUNCTION("IF
(
C5245=""фізична особа""
,
VLOOKUP(D5245,IMPORTRANGE(""https://docs.google.com/spreadsheets/d/14Bd19lYaqBhU8_DElYkX7l4wRkHqqCUFNJY4AfY3kHU/edit?usp=sharing  #gid=0"",""фіз особи new!relations_name""),6,FALSE)
,
(IF
(
C5245=""юридична особа""
,
VLOOKUP"&amp;"(D5245,IMPORTRANGE(""https://docs.google.com/spreadsheets/d/14Bd19lYaqBhU8_DElYkX7l4wRkHqqCUFNJY4AfY3kHU/edit?usp=sharing  #gid=0"",""фіз особи new!relations_name_uo""),7,FALSE)
,
)
))"),"ЩЕЛОКОВ Олександр Олександрович")</f>
        <v>ЩЕЛОКОВ Олександр Олександрович</v>
      </c>
      <c r="G5244" s="7" t="s">
        <v>10</v>
      </c>
      <c r="H5244" s="7">
        <v>0</v>
      </c>
      <c r="I5244" s="8" t="str">
        <f ca="1">IFERROR(__xludf.DUMMYFUNCTION("IF
(
G5245=""фізична особа""
,
VLOOKUP(H5245,IMPORTRANGE(""https://docs.google.com/spreadsheets/d/14Bd19lYaqBhU8_DElYkX7l4wRkHqqCUFNJY4AfY3kHU/edit?usp=sharing  #gid=0"",""фіз особи new!relations_name""),6,FALSE)
,
(IF
(
G5245=""юридична особа""
,
VLOOKUP"&amp;"(H5245,IMPORTRANGE(""https://docs.google.com/spreadsheets/d/14Bd19lYaqBhU8_DElYkX7l4wRkHqqCUFNJY4AfY3kHU/edit?usp=sharing  #gid=0"",""фіз особи new!relations_name_uo""),7,FALSE)
,
)
))"),"#N/A")</f>
        <v>#N/A</v>
      </c>
      <c r="J5244" s="7" t="s">
        <v>28</v>
      </c>
    </row>
    <row r="5245" spans="1:10" ht="13.2">
      <c r="A5245" s="7">
        <v>5244</v>
      </c>
      <c r="B5245" s="7">
        <v>1</v>
      </c>
      <c r="C5245" s="7" t="s">
        <v>10</v>
      </c>
      <c r="D5245" s="7">
        <v>4263</v>
      </c>
      <c r="E5245" s="7" t="s">
        <v>29</v>
      </c>
      <c r="F5245" s="8" t="str">
        <f ca="1">IFERROR(__xludf.DUMMYFUNCTION("IF
(
C5246=""фізична особа""
,
VLOOKUP(D5246,IMPORTRANGE(""https://docs.google.com/spreadsheets/d/14Bd19lYaqBhU8_DElYkX7l4wRkHqqCUFNJY4AfY3kHU/edit?usp=sharing  #gid=0"",""фіз особи new!relations_name""),6,FALSE)
,
(IF
(
C5246=""юридична особа""
,
VLOOKUP"&amp;"(D5246,IMPORTRANGE(""https://docs.google.com/spreadsheets/d/14Bd19lYaqBhU8_DElYkX7l4wRkHqqCUFNJY4AfY3kHU/edit?usp=sharing  #gid=0"",""фіз особи new!relations_name_uo""),7,FALSE)
,
)
))"),"ЩЕЛОКОВ Олександр Олександрович")</f>
        <v>ЩЕЛОКОВ Олександр Олександрович</v>
      </c>
      <c r="G5245" s="7" t="s">
        <v>10</v>
      </c>
      <c r="H5245" s="7">
        <v>0</v>
      </c>
      <c r="I5245" s="8" t="str">
        <f ca="1">IFERROR(__xludf.DUMMYFUNCTION("IF
(
G5246=""фізична особа""
,
VLOOKUP(H5246,IMPORTRANGE(""https://docs.google.com/spreadsheets/d/14Bd19lYaqBhU8_DElYkX7l4wRkHqqCUFNJY4AfY3kHU/edit?usp=sharing  #gid=0"",""фіз особи new!relations_name""),6,FALSE)
,
(IF
(
G5246=""юридична особа""
,
VLOOKUP"&amp;"(H5246,IMPORTRANGE(""https://docs.google.com/spreadsheets/d/14Bd19lYaqBhU8_DElYkX7l4wRkHqqCUFNJY4AfY3kHU/edit?usp=sharing  #gid=0"",""фіз особи new!relations_name_uo""),7,FALSE)
,
)
))"),"#N/A")</f>
        <v>#N/A</v>
      </c>
      <c r="J5245" s="7" t="s">
        <v>28</v>
      </c>
    </row>
    <row r="5246" spans="1:10" ht="13.2">
      <c r="A5246" s="7">
        <v>5245</v>
      </c>
      <c r="B5246" s="7">
        <v>1</v>
      </c>
      <c r="C5246" s="7" t="s">
        <v>10</v>
      </c>
      <c r="D5246" s="7">
        <v>4263</v>
      </c>
      <c r="E5246" s="7" t="s">
        <v>29</v>
      </c>
      <c r="F5246" s="8" t="str">
        <f ca="1">IFERROR(__xludf.DUMMYFUNCTION("IF
(
C5247=""фізична особа""
,
VLOOKUP(D5247,IMPORTRANGE(""https://docs.google.com/spreadsheets/d/14Bd19lYaqBhU8_DElYkX7l4wRkHqqCUFNJY4AfY3kHU/edit?usp=sharing  #gid=0"",""фіз особи new!relations_name""),6,FALSE)
,
(IF
(
C5247=""юридична особа""
,
VLOOKUP"&amp;"(D5247,IMPORTRANGE(""https://docs.google.com/spreadsheets/d/14Bd19lYaqBhU8_DElYkX7l4wRkHqqCUFNJY4AfY3kHU/edit?usp=sharing  #gid=0"",""фіз особи new!relations_name_uo""),7,FALSE)
,
)
))"),"ЩЕЛОКОВ Олександр Олександрович")</f>
        <v>ЩЕЛОКОВ Олександр Олександрович</v>
      </c>
      <c r="G5246" s="7" t="s">
        <v>10</v>
      </c>
      <c r="H5246" s="7">
        <v>0</v>
      </c>
      <c r="I5246" s="8" t="str">
        <f ca="1">IFERROR(__xludf.DUMMYFUNCTION("IF
(
G5247=""фізична особа""
,
VLOOKUP(H5247,IMPORTRANGE(""https://docs.google.com/spreadsheets/d/14Bd19lYaqBhU8_DElYkX7l4wRkHqqCUFNJY4AfY3kHU/edit?usp=sharing  #gid=0"",""фіз особи new!relations_name""),6,FALSE)
,
(IF
(
G5247=""юридична особа""
,
VLOOKUP"&amp;"(H5247,IMPORTRANGE(""https://docs.google.com/spreadsheets/d/14Bd19lYaqBhU8_DElYkX7l4wRkHqqCUFNJY4AfY3kHU/edit?usp=sharing  #gid=0"",""фіз особи new!relations_name_uo""),7,FALSE)
,
)
))"),"#N/A")</f>
        <v>#N/A</v>
      </c>
      <c r="J5246" s="7" t="s">
        <v>28</v>
      </c>
    </row>
    <row r="5247" spans="1:10" ht="13.2">
      <c r="A5247" s="7">
        <v>5246</v>
      </c>
      <c r="B5247" s="7">
        <v>1</v>
      </c>
      <c r="C5247" s="7" t="s">
        <v>10</v>
      </c>
      <c r="D5247" s="7">
        <v>4263</v>
      </c>
      <c r="E5247" s="7" t="s">
        <v>28</v>
      </c>
      <c r="F5247" s="8" t="str">
        <f ca="1">IFERROR(__xludf.DUMMYFUNCTION("IF
(
C5248=""фізична особа""
,
VLOOKUP(D5248,IMPORTRANGE(""https://docs.google.com/spreadsheets/d/14Bd19lYaqBhU8_DElYkX7l4wRkHqqCUFNJY4AfY3kHU/edit?usp=sharing  #gid=0"",""фіз особи new!relations_name""),6,FALSE)
,
(IF
(
C5248=""юридична особа""
,
VLOOKUP"&amp;"(D5248,IMPORTRANGE(""https://docs.google.com/spreadsheets/d/14Bd19lYaqBhU8_DElYkX7l4wRkHqqCUFNJY4AfY3kHU/edit?usp=sharing  #gid=0"",""фіз особи new!relations_name_uo""),7,FALSE)
,
)
))"),"ЩЕЛОКОВ Олександр Олександрович")</f>
        <v>ЩЕЛОКОВ Олександр Олександрович</v>
      </c>
      <c r="G5247" s="7" t="s">
        <v>10</v>
      </c>
      <c r="H5247" s="7">
        <v>2547</v>
      </c>
      <c r="I5247" s="8" t="str">
        <f ca="1">IFERROR(__xludf.DUMMYFUNCTION("IF
(
G5248=""фізична особа""
,
VLOOKUP(H5248,IMPORTRANGE(""https://docs.google.com/spreadsheets/d/14Bd19lYaqBhU8_DElYkX7l4wRkHqqCUFNJY4AfY3kHU/edit?usp=sharing  #gid=0"",""фіз особи new!relations_name""),6,FALSE)
,
(IF
(
G5248=""юридична особа""
,
VLOOKUP"&amp;"(H5248,IMPORTRANGE(""https://docs.google.com/spreadsheets/d/14Bd19lYaqBhU8_DElYkX7l4wRkHqqCUFNJY4AfY3kHU/edit?usp=sharing  #gid=0"",""фіз особи new!relations_name_uo""),7,FALSE)
,
)
))"),"НІКІТІН Гліб Сергійович")</f>
        <v>НІКІТІН Гліб Сергійович</v>
      </c>
      <c r="J5247" s="7" t="s">
        <v>29</v>
      </c>
    </row>
    <row r="5248" spans="1:10" ht="13.2">
      <c r="A5248" s="7">
        <v>5247</v>
      </c>
      <c r="B5248" s="7">
        <v>1</v>
      </c>
      <c r="C5248" s="7" t="s">
        <v>10</v>
      </c>
      <c r="D5248" s="7">
        <v>4264</v>
      </c>
      <c r="E5248" s="7" t="s">
        <v>28</v>
      </c>
      <c r="F5248" s="8" t="str">
        <f ca="1">IFERROR(__xludf.DUMMYFUNCTION("IF
(
C5249=""фізична особа""
,
VLOOKUP(D5249,IMPORTRANGE(""https://docs.google.com/spreadsheets/d/14Bd19lYaqBhU8_DElYkX7l4wRkHqqCUFNJY4AfY3kHU/edit?usp=sharing  #gid=0"",""фіз особи new!relations_name""),6,FALSE)
,
(IF
(
C5249=""юридична особа""
,
VLOOKUP"&amp;"(D5249,IMPORTRANGE(""https://docs.google.com/spreadsheets/d/14Bd19lYaqBhU8_DElYkX7l4wRkHqqCUFNJY4AfY3kHU/edit?usp=sharing  #gid=0"",""фіз особи new!relations_name_uo""),7,FALSE)
,
)
))"),"МОРЄВ Дмитро Олександрович")</f>
        <v>МОРЄВ Дмитро Олександрович</v>
      </c>
      <c r="G5248" s="7" t="s">
        <v>10</v>
      </c>
      <c r="H5248" s="7">
        <v>2526</v>
      </c>
      <c r="I5248" s="8" t="str">
        <f ca="1">IFERROR(__xludf.DUMMYFUNCTION("IF
(
G5249=""фізична особа""
,
VLOOKUP(H5249,IMPORTRANGE(""https://docs.google.com/spreadsheets/d/14Bd19lYaqBhU8_DElYkX7l4wRkHqqCUFNJY4AfY3kHU/edit?usp=sharing  #gid=0"",""фіз особи new!relations_name""),6,FALSE)
,
(IF
(
G5249=""юридична особа""
,
VLOOKUP"&amp;"(H5249,IMPORTRANGE(""https://docs.google.com/spreadsheets/d/14Bd19lYaqBhU8_DElYkX7l4wRkHqqCUFNJY4AfY3kHU/edit?usp=sharing  #gid=0"",""фіз особи new!relations_name_uo""),7,FALSE)
,
)
))"),"ЦИБУЛЬСЬКИЙ Олександр Віталійович")</f>
        <v>ЦИБУЛЬСЬКИЙ Олександр Віталійович</v>
      </c>
      <c r="J5248" s="7" t="s">
        <v>29</v>
      </c>
    </row>
    <row r="5249" spans="1:10" ht="13.2">
      <c r="A5249" s="7">
        <v>5248</v>
      </c>
      <c r="B5249" s="7">
        <v>1</v>
      </c>
      <c r="C5249" s="7" t="s">
        <v>10</v>
      </c>
      <c r="D5249" s="7">
        <v>4264</v>
      </c>
      <c r="E5249" s="7" t="s">
        <v>30</v>
      </c>
      <c r="F5249" s="8" t="str">
        <f ca="1">IFERROR(__xludf.DUMMYFUNCTION("IF
(
C5250=""фізична особа""
,
VLOOKUP(D5250,IMPORTRANGE(""https://docs.google.com/spreadsheets/d/14Bd19lYaqBhU8_DElYkX7l4wRkHqqCUFNJY4AfY3kHU/edit?usp=sharing  #gid=0"",""фіз особи new!relations_name""),6,FALSE)
,
(IF
(
C5250=""юридична особа""
,
VLOOKUP"&amp;"(D5250,IMPORTRANGE(""https://docs.google.com/spreadsheets/d/14Bd19lYaqBhU8_DElYkX7l4wRkHqqCUFNJY4AfY3kHU/edit?usp=sharing  #gid=0"",""фіз особи new!relations_name_uo""),7,FALSE)
,
)
))"),"МОРЄВ Дмитро Олександрович")</f>
        <v>МОРЄВ Дмитро Олександрович</v>
      </c>
      <c r="G5249" s="7" t="s">
        <v>10</v>
      </c>
      <c r="H5249" s="7">
        <v>0</v>
      </c>
      <c r="I5249" s="8" t="str">
        <f ca="1">IFERROR(__xludf.DUMMYFUNCTION("IF
(
G5250=""фізична особа""
,
VLOOKUP(H5250,IMPORTRANGE(""https://docs.google.com/spreadsheets/d/14Bd19lYaqBhU8_DElYkX7l4wRkHqqCUFNJY4AfY3kHU/edit?usp=sharing  #gid=0"",""фіз особи new!relations_name""),6,FALSE)
,
(IF
(
G5250=""юридична особа""
,
VLOOKUP"&amp;"(H5250,IMPORTRANGE(""https://docs.google.com/spreadsheets/d/14Bd19lYaqBhU8_DElYkX7l4wRkHqqCUFNJY4AfY3kHU/edit?usp=sharing  #gid=0"",""фіз особи new!relations_name_uo""),7,FALSE)
,
)
))"),"#N/A")</f>
        <v>#N/A</v>
      </c>
      <c r="J5249" s="7" t="s">
        <v>30</v>
      </c>
    </row>
    <row r="5250" spans="1:10" ht="13.2">
      <c r="A5250" s="7">
        <v>5249</v>
      </c>
      <c r="B5250" s="7">
        <v>1</v>
      </c>
      <c r="C5250" s="7" t="s">
        <v>10</v>
      </c>
      <c r="D5250" s="7">
        <v>4264</v>
      </c>
      <c r="E5250" s="7" t="s">
        <v>29</v>
      </c>
      <c r="F5250" s="8" t="str">
        <f ca="1">IFERROR(__xludf.DUMMYFUNCTION("IF
(
C5251=""фізична особа""
,
VLOOKUP(D5251,IMPORTRANGE(""https://docs.google.com/spreadsheets/d/14Bd19lYaqBhU8_DElYkX7l4wRkHqqCUFNJY4AfY3kHU/edit?usp=sharing  #gid=0"",""фіз особи new!relations_name""),6,FALSE)
,
(IF
(
C5251=""юридична особа""
,
VLOOKUP"&amp;"(D5251,IMPORTRANGE(""https://docs.google.com/spreadsheets/d/14Bd19lYaqBhU8_DElYkX7l4wRkHqqCUFNJY4AfY3kHU/edit?usp=sharing  #gid=0"",""фіз особи new!relations_name_uo""),7,FALSE)
,
)
))"),"МОРЄВ Дмитро Олександрович")</f>
        <v>МОРЄВ Дмитро Олександрович</v>
      </c>
      <c r="G5250" s="7" t="s">
        <v>10</v>
      </c>
      <c r="H5250" s="7">
        <v>0</v>
      </c>
      <c r="I5250" s="8" t="str">
        <f ca="1">IFERROR(__xludf.DUMMYFUNCTION("IF
(
G5251=""фізична особа""
,
VLOOKUP(H5251,IMPORTRANGE(""https://docs.google.com/spreadsheets/d/14Bd19lYaqBhU8_DElYkX7l4wRkHqqCUFNJY4AfY3kHU/edit?usp=sharing  #gid=0"",""фіз особи new!relations_name""),6,FALSE)
,
(IF
(
G5251=""юридична особа""
,
VLOOKUP"&amp;"(H5251,IMPORTRANGE(""https://docs.google.com/spreadsheets/d/14Bd19lYaqBhU8_DElYkX7l4wRkHqqCUFNJY4AfY3kHU/edit?usp=sharing  #gid=0"",""фіз особи new!relations_name_uo""),7,FALSE)
,
)
))"),"#N/A")</f>
        <v>#N/A</v>
      </c>
      <c r="J5250" s="7" t="s">
        <v>28</v>
      </c>
    </row>
    <row r="5251" spans="1:10" ht="13.2">
      <c r="A5251" s="7">
        <v>5250</v>
      </c>
      <c r="B5251" s="7">
        <v>1</v>
      </c>
      <c r="C5251" s="7" t="s">
        <v>10</v>
      </c>
      <c r="D5251" s="7">
        <v>4264</v>
      </c>
      <c r="E5251" s="7" t="s">
        <v>29</v>
      </c>
      <c r="F5251" s="8" t="str">
        <f ca="1">IFERROR(__xludf.DUMMYFUNCTION("IF
(
C5252=""фізична особа""
,
VLOOKUP(D5252,IMPORTRANGE(""https://docs.google.com/spreadsheets/d/14Bd19lYaqBhU8_DElYkX7l4wRkHqqCUFNJY4AfY3kHU/edit?usp=sharing  #gid=0"",""фіз особи new!relations_name""),6,FALSE)
,
(IF
(
C5252=""юридична особа""
,
VLOOKUP"&amp;"(D5252,IMPORTRANGE(""https://docs.google.com/spreadsheets/d/14Bd19lYaqBhU8_DElYkX7l4wRkHqqCUFNJY4AfY3kHU/edit?usp=sharing  #gid=0"",""фіз особи new!relations_name_uo""),7,FALSE)
,
)
))"),"МОРЄВ Дмитро Олександрович")</f>
        <v>МОРЄВ Дмитро Олександрович</v>
      </c>
      <c r="G5251" s="7" t="s">
        <v>10</v>
      </c>
      <c r="H5251" s="7">
        <v>0</v>
      </c>
      <c r="I5251" s="8" t="str">
        <f ca="1">IFERROR(__xludf.DUMMYFUNCTION("IF
(
G5252=""фізична особа""
,
VLOOKUP(H5252,IMPORTRANGE(""https://docs.google.com/spreadsheets/d/14Bd19lYaqBhU8_DElYkX7l4wRkHqqCUFNJY4AfY3kHU/edit?usp=sharing  #gid=0"",""фіз особи new!relations_name""),6,FALSE)
,
(IF
(
G5252=""юридична особа""
,
VLOOKUP"&amp;"(H5252,IMPORTRANGE(""https://docs.google.com/spreadsheets/d/14Bd19lYaqBhU8_DElYkX7l4wRkHqqCUFNJY4AfY3kHU/edit?usp=sharing  #gid=0"",""фіз особи new!relations_name_uo""),7,FALSE)
,
)
))"),"#N/A")</f>
        <v>#N/A</v>
      </c>
      <c r="J5251" s="7" t="s">
        <v>28</v>
      </c>
    </row>
    <row r="5252" spans="1:10" ht="13.2">
      <c r="A5252" s="7">
        <v>5251</v>
      </c>
      <c r="B5252" s="7">
        <v>1</v>
      </c>
      <c r="C5252" s="7" t="s">
        <v>10</v>
      </c>
      <c r="D5252" s="7">
        <v>4264</v>
      </c>
      <c r="E5252" s="7" t="s">
        <v>29</v>
      </c>
      <c r="F5252" s="8" t="str">
        <f ca="1">IFERROR(__xludf.DUMMYFUNCTION("IF
(
C5253=""фізична особа""
,
VLOOKUP(D5253,IMPORTRANGE(""https://docs.google.com/spreadsheets/d/14Bd19lYaqBhU8_DElYkX7l4wRkHqqCUFNJY4AfY3kHU/edit?usp=sharing  #gid=0"",""фіз особи new!relations_name""),6,FALSE)
,
(IF
(
C5253=""юридична особа""
,
VLOOKUP"&amp;"(D5253,IMPORTRANGE(""https://docs.google.com/spreadsheets/d/14Bd19lYaqBhU8_DElYkX7l4wRkHqqCUFNJY4AfY3kHU/edit?usp=sharing  #gid=0"",""фіз особи new!relations_name_uo""),7,FALSE)
,
)
))"),"МОРЄВ Дмитро Олександрович")</f>
        <v>МОРЄВ Дмитро Олександрович</v>
      </c>
      <c r="G5252" s="7" t="s">
        <v>10</v>
      </c>
      <c r="H5252" s="7">
        <v>0</v>
      </c>
      <c r="I5252" s="8" t="str">
        <f ca="1">IFERROR(__xludf.DUMMYFUNCTION("IF
(
G5253=""фізична особа""
,
VLOOKUP(H5253,IMPORTRANGE(""https://docs.google.com/spreadsheets/d/14Bd19lYaqBhU8_DElYkX7l4wRkHqqCUFNJY4AfY3kHU/edit?usp=sharing  #gid=0"",""фіз особи new!relations_name""),6,FALSE)
,
(IF
(
G5253=""юридична особа""
,
VLOOKUP"&amp;"(H5253,IMPORTRANGE(""https://docs.google.com/spreadsheets/d/14Bd19lYaqBhU8_DElYkX7l4wRkHqqCUFNJY4AfY3kHU/edit?usp=sharing  #gid=0"",""фіз особи new!relations_name_uo""),7,FALSE)
,
)
))"),"#N/A")</f>
        <v>#N/A</v>
      </c>
      <c r="J5252" s="7" t="s">
        <v>28</v>
      </c>
    </row>
    <row r="5253" spans="1:10" ht="13.2">
      <c r="A5253" s="7">
        <v>5252</v>
      </c>
      <c r="B5253" s="7">
        <v>1</v>
      </c>
      <c r="C5253" s="7" t="s">
        <v>10</v>
      </c>
      <c r="D5253" s="7">
        <v>4265</v>
      </c>
      <c r="E5253" s="7" t="s">
        <v>29</v>
      </c>
      <c r="F5253" s="8" t="str">
        <f ca="1">IFERROR(__xludf.DUMMYFUNCTION("IF
(
C5254=""фізична особа""
,
VLOOKUP(D5254,IMPORTRANGE(""https://docs.google.com/spreadsheets/d/14Bd19lYaqBhU8_DElYkX7l4wRkHqqCUFNJY4AfY3kHU/edit?usp=sharing  #gid=0"",""фіз особи new!relations_name""),6,FALSE)
,
(IF
(
C5254=""юридична особа""
,
VLOOKUP"&amp;"(D5254,IMPORTRANGE(""https://docs.google.com/spreadsheets/d/14Bd19lYaqBhU8_DElYkX7l4wRkHqqCUFNJY4AfY3kHU/edit?usp=sharing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3" s="7" t="s">
        <v>10</v>
      </c>
      <c r="H5253" s="7">
        <v>0</v>
      </c>
      <c r="I5253" s="8" t="str">
        <f ca="1">IFERROR(__xludf.DUMMYFUNCTION("IF
(
G5254=""фізична особа""
,
VLOOKUP(H5254,IMPORTRANGE(""https://docs.google.com/spreadsheets/d/14Bd19lYaqBhU8_DElYkX7l4wRkHqqCUFNJY4AfY3kHU/edit?usp=sharing  #gid=0"",""фіз особи new!relations_name""),6,FALSE)
,
(IF
(
G5254=""юридична особа""
,
VLOOKUP"&amp;"(H5254,IMPORTRANGE(""https://docs.google.com/spreadsheets/d/14Bd19lYaqBhU8_DElYkX7l4wRkHqqCUFNJY4AfY3kHU/edit?usp=sharing  #gid=0"",""фіз особи new!relations_name_uo""),7,FALSE)
,
)
))"),"#N/A")</f>
        <v>#N/A</v>
      </c>
      <c r="J5253" s="7" t="s">
        <v>28</v>
      </c>
    </row>
    <row r="5254" spans="1:10" ht="13.2">
      <c r="A5254" s="7">
        <v>5253</v>
      </c>
      <c r="B5254" s="7">
        <v>1</v>
      </c>
      <c r="C5254" s="7" t="s">
        <v>10</v>
      </c>
      <c r="D5254" s="7">
        <v>4265</v>
      </c>
      <c r="E5254" s="7" t="s">
        <v>30</v>
      </c>
      <c r="F5254" s="8" t="str">
        <f ca="1">IFERROR(__xludf.DUMMYFUNCTION("IF
(
C5255=""фізична особа""
,
VLOOKUP(D5255,IMPORTRANGE(""https://docs.google.com/spreadsheets/d/14Bd19lYaqBhU8_DElYkX7l4wRkHqqCUFNJY4AfY3kHU/edit?usp=sharing  #gid=0"",""фіз особи new!relations_name""),6,FALSE)
,
(IF
(
C5255=""юридична особа""
,
VLOOKUP"&amp;"(D5255,IMPORTRANGE(""https://docs.google.com/spreadsheets/d/14Bd19lYaqBhU8_DElYkX7l4wRkHqqCUFNJY4AfY3kHU/edit?usp=sharing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4" s="7" t="s">
        <v>10</v>
      </c>
      <c r="H5254" s="7">
        <v>0</v>
      </c>
      <c r="I5254" s="8" t="str">
        <f ca="1">IFERROR(__xludf.DUMMYFUNCTION("IF
(
G5255=""фізична особа""
,
VLOOKUP(H5255,IMPORTRANGE(""https://docs.google.com/spreadsheets/d/14Bd19lYaqBhU8_DElYkX7l4wRkHqqCUFNJY4AfY3kHU/edit?usp=sharing  #gid=0"",""фіз особи new!relations_name""),6,FALSE)
,
(IF
(
G5255=""юридична особа""
,
VLOOKUP"&amp;"(H5255,IMPORTRANGE(""https://docs.google.com/spreadsheets/d/14Bd19lYaqBhU8_DElYkX7l4wRkHqqCUFNJY4AfY3kHU/edit?usp=sharing  #gid=0"",""фіз особи new!relations_name_uo""),7,FALSE)
,
)
))"),"#N/A")</f>
        <v>#N/A</v>
      </c>
      <c r="J5254" s="7" t="s">
        <v>30</v>
      </c>
    </row>
    <row r="5255" spans="1:10" ht="13.2">
      <c r="A5255" s="7">
        <v>5254</v>
      </c>
      <c r="B5255" s="7">
        <v>1</v>
      </c>
      <c r="C5255" s="7" t="s">
        <v>10</v>
      </c>
      <c r="D5255" s="7">
        <v>4265</v>
      </c>
      <c r="E5255" s="7" t="s">
        <v>30</v>
      </c>
      <c r="F5255" s="8" t="str">
        <f ca="1">IFERROR(__xludf.DUMMYFUNCTION("IF
(
C5256=""фізична особа""
,
VLOOKUP(D5256,IMPORTRANGE(""https://docs.google.com/spreadsheets/d/14Bd19lYaqBhU8_DElYkX7l4wRkHqqCUFNJY4AfY3kHU/edit?usp=sharing  #gid=0"",""фіз особи new!relations_name""),6,FALSE)
,
(IF
(
C5256=""юридична особа""
,
VLOOKUP"&amp;"(D5256,IMPORTRANGE(""https://docs.google.com/spreadsheets/d/14Bd19lYaqBhU8_DElYkX7l4wRkHqqCUFNJY4AfY3kHU/edit?usp=sharing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5" s="7" t="s">
        <v>10</v>
      </c>
      <c r="H5255" s="7">
        <v>0</v>
      </c>
      <c r="I5255" s="8" t="str">
        <f ca="1">IFERROR(__xludf.DUMMYFUNCTION("IF
(
G5256=""фізична особа""
,
VLOOKUP(H5256,IMPORTRANGE(""https://docs.google.com/spreadsheets/d/14Bd19lYaqBhU8_DElYkX7l4wRkHqqCUFNJY4AfY3kHU/edit?usp=sharing  #gid=0"",""фіз особи new!relations_name""),6,FALSE)
,
(IF
(
G5256=""юридична особа""
,
VLOOKUP"&amp;"(H5256,IMPORTRANGE(""https://docs.google.com/spreadsheets/d/14Bd19lYaqBhU8_DElYkX7l4wRkHqqCUFNJY4AfY3kHU/edit?usp=sharing  #gid=0"",""фіз особи new!relations_name_uo""),7,FALSE)
,
)
))"),"#N/A")</f>
        <v>#N/A</v>
      </c>
      <c r="J5255" s="7" t="s">
        <v>30</v>
      </c>
    </row>
    <row r="5256" spans="1:10" ht="13.2">
      <c r="A5256" s="7">
        <v>5255</v>
      </c>
      <c r="B5256" s="7">
        <v>1</v>
      </c>
      <c r="C5256" s="7" t="s">
        <v>10</v>
      </c>
      <c r="D5256" s="7">
        <v>4265</v>
      </c>
      <c r="E5256" s="7" t="s">
        <v>29</v>
      </c>
      <c r="F5256" s="8" t="str">
        <f ca="1">IFERROR(__xludf.DUMMYFUNCTION("IF
(
C5257=""фізична особа""
,
VLOOKUP(D5257,IMPORTRANGE(""https://docs.google.com/spreadsheets/d/14Bd19lYaqBhU8_DElYkX7l4wRkHqqCUFNJY4AfY3kHU/edit?usp=sharing  #gid=0"",""фіз особи new!relations_name""),6,FALSE)
,
(IF
(
C5257=""юридична особа""
,
VLOOKUP"&amp;"(D5257,IMPORTRANGE(""https://docs.google.com/spreadsheets/d/14Bd19lYaqBhU8_DElYkX7l4wRkHqqCUFNJY4AfY3kHU/edit?usp=sharing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6" s="7" t="s">
        <v>10</v>
      </c>
      <c r="H5256" s="7">
        <v>0</v>
      </c>
      <c r="I5256" s="8" t="str">
        <f ca="1">IFERROR(__xludf.DUMMYFUNCTION("IF
(
G5257=""фізична особа""
,
VLOOKUP(H5257,IMPORTRANGE(""https://docs.google.com/spreadsheets/d/14Bd19lYaqBhU8_DElYkX7l4wRkHqqCUFNJY4AfY3kHU/edit?usp=sharing  #gid=0"",""фіз особи new!relations_name""),6,FALSE)
,
(IF
(
G5257=""юридична особа""
,
VLOOKUP"&amp;"(H5257,IMPORTRANGE(""https://docs.google.com/spreadsheets/d/14Bd19lYaqBhU8_DElYkX7l4wRkHqqCUFNJY4AfY3kHU/edit?usp=sharing  #gid=0"",""фіз особи new!relations_name_uo""),7,FALSE)
,
)
))"),"#N/A")</f>
        <v>#N/A</v>
      </c>
      <c r="J5256" s="7" t="s">
        <v>28</v>
      </c>
    </row>
    <row r="5257" spans="1:10" ht="13.2">
      <c r="A5257" s="7">
        <v>5256</v>
      </c>
      <c r="B5257" s="7">
        <v>1</v>
      </c>
      <c r="C5257" s="7" t="s">
        <v>10</v>
      </c>
      <c r="D5257" s="7">
        <v>4265</v>
      </c>
      <c r="E5257" s="7" t="s">
        <v>29</v>
      </c>
      <c r="F5257" s="8" t="str">
        <f ca="1">IFERROR(__xludf.DUMMYFUNCTION("IF
(
C5258=""фізична особа""
,
VLOOKUP(D5258,IMPORTRANGE(""https://docs.google.com/spreadsheets/d/14Bd19lYaqBhU8_DElYkX7l4wRkHqqCUFNJY4AfY3kHU/edit?usp=sharing  #gid=0"",""фіз особи new!relations_name""),6,FALSE)
,
(IF
(
C5258=""юридична особа""
,
VLOOKUP"&amp;"(D5258,IMPORTRANGE(""https://docs.google.com/spreadsheets/d/14Bd19lYaqBhU8_DElYkX7l4wRkHqqCUFNJY4AfY3kHU/edit?usp=sharing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7" s="7" t="s">
        <v>10</v>
      </c>
      <c r="H5257" s="7">
        <v>0</v>
      </c>
      <c r="I5257" s="8" t="str">
        <f ca="1">IFERROR(__xludf.DUMMYFUNCTION("IF
(
G5258=""фізична особа""
,
VLOOKUP(H5258,IMPORTRANGE(""https://docs.google.com/spreadsheets/d/14Bd19lYaqBhU8_DElYkX7l4wRkHqqCUFNJY4AfY3kHU/edit?usp=sharing  #gid=0"",""фіз особи new!relations_name""),6,FALSE)
,
(IF
(
G5258=""юридична особа""
,
VLOOKUP"&amp;"(H5258,IMPORTRANGE(""https://docs.google.com/spreadsheets/d/14Bd19lYaqBhU8_DElYkX7l4wRkHqqCUFNJY4AfY3kHU/edit?usp=sharing  #gid=0"",""фіз особи new!relations_name_uo""),7,FALSE)
,
)
))"),"#N/A")</f>
        <v>#N/A</v>
      </c>
      <c r="J5257" s="7" t="s">
        <v>28</v>
      </c>
    </row>
    <row r="5258" spans="1:10" ht="13.2">
      <c r="A5258" s="7">
        <v>5257</v>
      </c>
      <c r="B5258" s="7">
        <v>1</v>
      </c>
      <c r="C5258" s="7" t="s">
        <v>10</v>
      </c>
      <c r="D5258" s="7">
        <v>4265</v>
      </c>
      <c r="E5258" s="7" t="s">
        <v>29</v>
      </c>
      <c r="F5258" s="8" t="str">
        <f ca="1">IFERROR(__xludf.DUMMYFUNCTION("IF
(
C5259=""фізична особа""
,
VLOOKUP(D5259,IMPORTRANGE(""https://docs.google.com/spreadsheets/d/14Bd19lYaqBhU8_DElYkX7l4wRkHqqCUFNJY4AfY3kHU/edit?usp=sharing  #gid=0"",""фіз особи new!relations_name""),6,FALSE)
,
(IF
(
C5259=""юридична особа""
,
VLOOKUP"&amp;"(D5259,IMPORTRANGE(""https://docs.google.com/spreadsheets/d/14Bd19lYaqBhU8_DElYkX7l4wRkHqqCUFNJY4AfY3kHU/edit?usp=sharing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8" s="7" t="s">
        <v>10</v>
      </c>
      <c r="H5258" s="7">
        <v>0</v>
      </c>
      <c r="I5258" s="8" t="str">
        <f ca="1">IFERROR(__xludf.DUMMYFUNCTION("IF
(
G5259=""фізична особа""
,
VLOOKUP(H5259,IMPORTRANGE(""https://docs.google.com/spreadsheets/d/14Bd19lYaqBhU8_DElYkX7l4wRkHqqCUFNJY4AfY3kHU/edit?usp=sharing  #gid=0"",""фіз особи new!relations_name""),6,FALSE)
,
(IF
(
G5259=""юридична особа""
,
VLOOKUP"&amp;"(H5259,IMPORTRANGE(""https://docs.google.com/spreadsheets/d/14Bd19lYaqBhU8_DElYkX7l4wRkHqqCUFNJY4AfY3kHU/edit?usp=sharing  #gid=0"",""фіз особи new!relations_name_uo""),7,FALSE)
,
)
))"),"#N/A")</f>
        <v>#N/A</v>
      </c>
      <c r="J5258" s="7" t="s">
        <v>28</v>
      </c>
    </row>
    <row r="5259" spans="1:10" ht="13.2">
      <c r="A5259" s="7">
        <v>5258</v>
      </c>
      <c r="B5259" s="7">
        <v>1</v>
      </c>
      <c r="C5259" s="7" t="s">
        <v>10</v>
      </c>
      <c r="D5259" s="7">
        <v>4265</v>
      </c>
      <c r="E5259" s="7" t="s">
        <v>29</v>
      </c>
      <c r="F5259" s="8" t="str">
        <f ca="1">IFERROR(__xludf.DUMMYFUNCTION("IF
(
C5260=""фізична особа""
,
VLOOKUP(D5260,IMPORTRANGE(""https://docs.google.com/spreadsheets/d/14Bd19lYaqBhU8_DElYkX7l4wRkHqqCUFNJY4AfY3kHU/edit?usp=sharing  #gid=0"",""фіз особи new!relations_name""),6,FALSE)
,
(IF
(
C5260=""юридична особа""
,
VLOOKUP"&amp;"(D5260,IMPORTRANGE(""https://docs.google.com/spreadsheets/d/14Bd19lYaqBhU8_DElYkX7l4wRkHqqCUFNJY4AfY3kHU/edit?usp=sharing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59" s="7" t="s">
        <v>10</v>
      </c>
      <c r="H5259" s="7">
        <v>0</v>
      </c>
      <c r="I5259" s="8" t="str">
        <f ca="1">IFERROR(__xludf.DUMMYFUNCTION("IF
(
G5260=""фізична особа""
,
VLOOKUP(H5260,IMPORTRANGE(""https://docs.google.com/spreadsheets/d/14Bd19lYaqBhU8_DElYkX7l4wRkHqqCUFNJY4AfY3kHU/edit?usp=sharing  #gid=0"",""фіз особи new!relations_name""),6,FALSE)
,
(IF
(
G5260=""юридична особа""
,
VLOOKUP"&amp;"(H5260,IMPORTRANGE(""https://docs.google.com/spreadsheets/d/14Bd19lYaqBhU8_DElYkX7l4wRkHqqCUFNJY4AfY3kHU/edit?usp=sharing  #gid=0"",""фіз особи new!relations_name_uo""),7,FALSE)
,
)
))"),"#N/A")</f>
        <v>#N/A</v>
      </c>
      <c r="J5259" s="7" t="s">
        <v>28</v>
      </c>
    </row>
    <row r="5260" spans="1:10" ht="13.2">
      <c r="A5260" s="7">
        <v>5259</v>
      </c>
      <c r="B5260" s="7">
        <v>1</v>
      </c>
      <c r="C5260" s="7" t="s">
        <v>10</v>
      </c>
      <c r="D5260" s="7">
        <v>4265</v>
      </c>
      <c r="E5260" s="7" t="s">
        <v>29</v>
      </c>
      <c r="F5260" s="8" t="str">
        <f ca="1">IFERROR(__xludf.DUMMYFUNCTION("IF
(
C5261=""фізична особа""
,
VLOOKUP(D5261,IMPORTRANGE(""https://docs.google.com/spreadsheets/d/14Bd19lYaqBhU8_DElYkX7l4wRkHqqCUFNJY4AfY3kHU/edit?usp=sharing  #gid=0"",""фіз особи new!relations_name""),6,FALSE)
,
(IF
(
C5261=""юридична особа""
,
VLOOKUP"&amp;"(D5261,IMPORTRANGE(""https://docs.google.com/spreadsheets/d/14Bd19lYaqBhU8_DElYkX7l4wRkHqqCUFNJY4AfY3kHU/edit?usp=sharing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60" s="7" t="s">
        <v>10</v>
      </c>
      <c r="H5260" s="7">
        <v>0</v>
      </c>
      <c r="I5260" s="8" t="str">
        <f ca="1">IFERROR(__xludf.DUMMYFUNCTION("IF
(
G5261=""фізична особа""
,
VLOOKUP(H5261,IMPORTRANGE(""https://docs.google.com/spreadsheets/d/14Bd19lYaqBhU8_DElYkX7l4wRkHqqCUFNJY4AfY3kHU/edit?usp=sharing  #gid=0"",""фіз особи new!relations_name""),6,FALSE)
,
(IF
(
G5261=""юридична особа""
,
VLOOKUP"&amp;"(H5261,IMPORTRANGE(""https://docs.google.com/spreadsheets/d/14Bd19lYaqBhU8_DElYkX7l4wRkHqqCUFNJY4AfY3kHU/edit?usp=sharing  #gid=0"",""фіз особи new!relations_name_uo""),7,FALSE)
,
)
))"),"#N/A")</f>
        <v>#N/A</v>
      </c>
      <c r="J5260" s="7" t="s">
        <v>28</v>
      </c>
    </row>
    <row r="5261" spans="1:10" ht="13.2">
      <c r="A5261" s="7">
        <v>5260</v>
      </c>
      <c r="B5261" s="7">
        <v>1</v>
      </c>
      <c r="C5261" s="7" t="s">
        <v>10</v>
      </c>
      <c r="D5261" s="7">
        <v>4265</v>
      </c>
      <c r="E5261" s="7" t="s">
        <v>29</v>
      </c>
      <c r="F5261" s="8" t="str">
        <f ca="1">IFERROR(__xludf.DUMMYFUNCTION("IF
(
C5262=""фізична особа""
,
VLOOKUP(D5262,IMPORTRANGE(""https://docs.google.com/spreadsheets/d/14Bd19lYaqBhU8_DElYkX7l4wRkHqqCUFNJY4AfY3kHU/edit?usp=sharing  #gid=0"",""фіз особи new!relations_name""),6,FALSE)
,
(IF
(
C5262=""юридична особа""
,
VLOOKUP"&amp;"(D5262,IMPORTRANGE(""https://docs.google.com/spreadsheets/d/14Bd19lYaqBhU8_DElYkX7l4wRkHqqCUFNJY4AfY3kHU/edit?usp=sharing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61" s="7" t="s">
        <v>10</v>
      </c>
      <c r="H5261" s="7">
        <v>0</v>
      </c>
      <c r="I5261" s="8" t="str">
        <f ca="1">IFERROR(__xludf.DUMMYFUNCTION("IF
(
G5262=""фізична особа""
,
VLOOKUP(H5262,IMPORTRANGE(""https://docs.google.com/spreadsheets/d/14Bd19lYaqBhU8_DElYkX7l4wRkHqqCUFNJY4AfY3kHU/edit?usp=sharing  #gid=0"",""фіз особи new!relations_name""),6,FALSE)
,
(IF
(
G5262=""юридична особа""
,
VLOOKUP"&amp;"(H5262,IMPORTRANGE(""https://docs.google.com/spreadsheets/d/14Bd19lYaqBhU8_DElYkX7l4wRkHqqCUFNJY4AfY3kHU/edit?usp=sharing  #gid=0"",""фіз особи new!relations_name_uo""),7,FALSE)
,
)
))"),"#N/A")</f>
        <v>#N/A</v>
      </c>
      <c r="J5261" s="7" t="s">
        <v>28</v>
      </c>
    </row>
    <row r="5262" spans="1:10" ht="13.2">
      <c r="A5262" s="7">
        <v>5261</v>
      </c>
      <c r="B5262" s="7">
        <v>1</v>
      </c>
      <c r="C5262" s="7" t="s">
        <v>10</v>
      </c>
      <c r="D5262" s="7">
        <v>4265</v>
      </c>
      <c r="E5262" s="7" t="s">
        <v>29</v>
      </c>
      <c r="F5262" s="8" t="str">
        <f ca="1">IFERROR(__xludf.DUMMYFUNCTION("IF
(
C5263=""фізична особа""
,
VLOOKUP(D5263,IMPORTRANGE(""https://docs.google.com/spreadsheets/d/14Bd19lYaqBhU8_DElYkX7l4wRkHqqCUFNJY4AfY3kHU/edit?usp=sharing  #gid=0"",""фіз особи new!relations_name""),6,FALSE)
,
(IF
(
C5263=""юридична особа""
,
VLOOKUP"&amp;"(D5263,IMPORTRANGE(""https://docs.google.com/spreadsheets/d/14Bd19lYaqBhU8_DElYkX7l4wRkHqqCUFNJY4AfY3kHU/edit?usp=sharing  #gid=0"",""фіз особи new!relations_name_uo""),7,FALSE)
,
)
))"),"ІВАНОВ Антон Олександрович")</f>
        <v>ІВАНОВ Антон Олександрович</v>
      </c>
      <c r="G5262" s="7" t="s">
        <v>10</v>
      </c>
      <c r="H5262" s="7">
        <v>0</v>
      </c>
      <c r="I5262" s="8" t="str">
        <f ca="1">IFERROR(__xludf.DUMMYFUNCTION("IF
(
G5263=""фізична особа""
,
VLOOKUP(H5263,IMPORTRANGE(""https://docs.google.com/spreadsheets/d/14Bd19lYaqBhU8_DElYkX7l4wRkHqqCUFNJY4AfY3kHU/edit?usp=sharing  #gid=0"",""фіз особи new!relations_name""),6,FALSE)
,
(IF
(
G5263=""юридична особа""
,
VLOOKUP"&amp;"(H5263,IMPORTRANGE(""https://docs.google.com/spreadsheets/d/14Bd19lYaqBhU8_DElYkX7l4wRkHqqCUFNJY4AfY3kHU/edit?usp=sharing  #gid=0"",""фіз особи new!relations_name_uo""),7,FALSE)
,
)
))"),"#N/A")</f>
        <v>#N/A</v>
      </c>
      <c r="J5262" s="7" t="s">
        <v>28</v>
      </c>
    </row>
    <row r="5263" spans="1:10" ht="13.2">
      <c r="A5263" s="7">
        <v>5262</v>
      </c>
      <c r="B5263" s="7">
        <v>1</v>
      </c>
      <c r="C5263" s="7" t="s">
        <v>10</v>
      </c>
      <c r="D5263" s="7">
        <v>4266</v>
      </c>
      <c r="E5263" s="7" t="s">
        <v>29</v>
      </c>
      <c r="F5263" s="8" t="str">
        <f ca="1">IFERROR(__xludf.DUMMYFUNCTION("IF
(
C5264=""фізична особа""
,
VLOOKUP(D5264,IMPORTRANGE(""https://docs.google.com/spreadsheets/d/14Bd19lYaqBhU8_DElYkX7l4wRkHqqCUFNJY4AfY3kHU/edit?usp=sharing  #gid=0"",""фіз особи new!relations_name""),6,FALSE)
,
(IF
(
C5264=""юридична особа""
,
VLOOKUP"&amp;"(D5264,IMPORTRANGE(""https://docs.google.com/spreadsheets/d/14Bd19lYaqBhU8_DElYkX7l4wRkHqqCUFNJY4AfY3kHU/edit?usp=sharing  #gid=0"",""фіз особи new!relations_name_uo""),7,FALSE)
,
)
))"),"ІМАМЄЄВ Олег Гатауллович")</f>
        <v>ІМАМЄЄВ Олег Гатауллович</v>
      </c>
      <c r="G5263" s="7" t="s">
        <v>10</v>
      </c>
      <c r="H5263" s="7">
        <v>0</v>
      </c>
      <c r="I5263" s="8" t="str">
        <f ca="1">IFERROR(__xludf.DUMMYFUNCTION("IF
(
G5264=""фізична особа""
,
VLOOKUP(H5264,IMPORTRANGE(""https://docs.google.com/spreadsheets/d/14Bd19lYaqBhU8_DElYkX7l4wRkHqqCUFNJY4AfY3kHU/edit?usp=sharing  #gid=0"",""фіз особи new!relations_name""),6,FALSE)
,
(IF
(
G5264=""юридична особа""
,
VLOOKUP"&amp;"(H5264,IMPORTRANGE(""https://docs.google.com/spreadsheets/d/14Bd19lYaqBhU8_DElYkX7l4wRkHqqCUFNJY4AfY3kHU/edit?usp=sharing  #gid=0"",""фіз особи new!relations_name_uo""),7,FALSE)
,
)
))"),"#N/A")</f>
        <v>#N/A</v>
      </c>
      <c r="J5263" s="7" t="s">
        <v>28</v>
      </c>
    </row>
    <row r="5264" spans="1:10" ht="13.2">
      <c r="A5264" s="7">
        <v>5263</v>
      </c>
      <c r="B5264" s="7">
        <v>1</v>
      </c>
      <c r="C5264" s="7" t="s">
        <v>10</v>
      </c>
      <c r="D5264" s="7">
        <v>4266</v>
      </c>
      <c r="E5264" s="7" t="s">
        <v>29</v>
      </c>
      <c r="F5264" s="8" t="str">
        <f ca="1">IFERROR(__xludf.DUMMYFUNCTION("IF
(
C5265=""фізична особа""
,
VLOOKUP(D5265,IMPORTRANGE(""https://docs.google.com/spreadsheets/d/14Bd19lYaqBhU8_DElYkX7l4wRkHqqCUFNJY4AfY3kHU/edit?usp=sharing  #gid=0"",""фіз особи new!relations_name""),6,FALSE)
,
(IF
(
C5265=""юридична особа""
,
VLOOKUP"&amp;"(D5265,IMPORTRANGE(""https://docs.google.com/spreadsheets/d/14Bd19lYaqBhU8_DElYkX7l4wRkHqqCUFNJY4AfY3kHU/edit?usp=sharing  #gid=0"",""фіз особи new!relations_name_uo""),7,FALSE)
,
)
))"),"ІМАМЄЄВ Олег Гатауллович")</f>
        <v>ІМАМЄЄВ Олег Гатауллович</v>
      </c>
      <c r="G5264" s="7" t="s">
        <v>10</v>
      </c>
      <c r="H5264" s="7">
        <v>0</v>
      </c>
      <c r="I5264" s="8" t="str">
        <f ca="1">IFERROR(__xludf.DUMMYFUNCTION("IF
(
G5265=""фізична особа""
,
VLOOKUP(H5265,IMPORTRANGE(""https://docs.google.com/spreadsheets/d/14Bd19lYaqBhU8_DElYkX7l4wRkHqqCUFNJY4AfY3kHU/edit?usp=sharing  #gid=0"",""фіз особи new!relations_name""),6,FALSE)
,
(IF
(
G5265=""юридична особа""
,
VLOOKUP"&amp;"(H5265,IMPORTRANGE(""https://docs.google.com/spreadsheets/d/14Bd19lYaqBhU8_DElYkX7l4wRkHqqCUFNJY4AfY3kHU/edit?usp=sharing  #gid=0"",""фіз особи new!relations_name_uo""),7,FALSE)
,
)
))"),"#N/A")</f>
        <v>#N/A</v>
      </c>
      <c r="J5264" s="7" t="s">
        <v>28</v>
      </c>
    </row>
    <row r="5265" spans="1:10" ht="13.2">
      <c r="A5265" s="7">
        <v>5264</v>
      </c>
      <c r="B5265" s="7">
        <v>1</v>
      </c>
      <c r="C5265" s="7" t="s">
        <v>10</v>
      </c>
      <c r="D5265" s="7">
        <v>4266</v>
      </c>
      <c r="E5265" s="7" t="s">
        <v>29</v>
      </c>
      <c r="F5265" s="8" t="str">
        <f ca="1">IFERROR(__xludf.DUMMYFUNCTION("IF
(
C5266=""фізична особа""
,
VLOOKUP(D5266,IMPORTRANGE(""https://docs.google.com/spreadsheets/d/14Bd19lYaqBhU8_DElYkX7l4wRkHqqCUFNJY4AfY3kHU/edit?usp=sharing  #gid=0"",""фіз особи new!relations_name""),6,FALSE)
,
(IF
(
C5266=""юридична особа""
,
VLOOKUP"&amp;"(D5266,IMPORTRANGE(""https://docs.google.com/spreadsheets/d/14Bd19lYaqBhU8_DElYkX7l4wRkHqqCUFNJY4AfY3kHU/edit?usp=sharing  #gid=0"",""фіз особи new!relations_name_uo""),7,FALSE)
,
)
))"),"ІМАМЄЄВ Олег Гатауллович")</f>
        <v>ІМАМЄЄВ Олег Гатауллович</v>
      </c>
      <c r="G5265" s="7" t="s">
        <v>10</v>
      </c>
      <c r="H5265" s="7">
        <v>0</v>
      </c>
      <c r="I5265" s="8" t="str">
        <f ca="1">IFERROR(__xludf.DUMMYFUNCTION("IF
(
G5266=""фізична особа""
,
VLOOKUP(H5266,IMPORTRANGE(""https://docs.google.com/spreadsheets/d/14Bd19lYaqBhU8_DElYkX7l4wRkHqqCUFNJY4AfY3kHU/edit?usp=sharing  #gid=0"",""фіз особи new!relations_name""),6,FALSE)
,
(IF
(
G5266=""юридична особа""
,
VLOOKUP"&amp;"(H5266,IMPORTRANGE(""https://docs.google.com/spreadsheets/d/14Bd19lYaqBhU8_DElYkX7l4wRkHqqCUFNJY4AfY3kHU/edit?usp=sharing  #gid=0"",""фіз особи new!relations_name_uo""),7,FALSE)
,
)
))"),"#N/A")</f>
        <v>#N/A</v>
      </c>
      <c r="J5265" s="7" t="s">
        <v>28</v>
      </c>
    </row>
    <row r="5266" spans="1:10" ht="13.2">
      <c r="A5266" s="7">
        <v>5265</v>
      </c>
      <c r="B5266" s="7">
        <v>1</v>
      </c>
      <c r="C5266" s="7" t="s">
        <v>10</v>
      </c>
      <c r="D5266" s="7">
        <v>4266</v>
      </c>
      <c r="E5266" s="7" t="s">
        <v>29</v>
      </c>
      <c r="F5266" s="8" t="str">
        <f ca="1">IFERROR(__xludf.DUMMYFUNCTION("IF
(
C5267=""фізична особа""
,
VLOOKUP(D5267,IMPORTRANGE(""https://docs.google.com/spreadsheets/d/14Bd19lYaqBhU8_DElYkX7l4wRkHqqCUFNJY4AfY3kHU/edit?usp=sharing  #gid=0"",""фіз особи new!relations_name""),6,FALSE)
,
(IF
(
C5267=""юридична особа""
,
VLOOKUP"&amp;"(D5267,IMPORTRANGE(""https://docs.google.com/spreadsheets/d/14Bd19lYaqBhU8_DElYkX7l4wRkHqqCUFNJY4AfY3kHU/edit?usp=sharing  #gid=0"",""фіз особи new!relations_name_uo""),7,FALSE)
,
)
))"),"ІМАМЄЄВ Олег Гатауллович")</f>
        <v>ІМАМЄЄВ Олег Гатауллович</v>
      </c>
      <c r="G5266" s="7" t="s">
        <v>10</v>
      </c>
      <c r="H5266" s="7">
        <v>0</v>
      </c>
      <c r="I5266" s="8" t="str">
        <f ca="1">IFERROR(__xludf.DUMMYFUNCTION("IF
(
G5267=""фізична особа""
,
VLOOKUP(H5267,IMPORTRANGE(""https://docs.google.com/spreadsheets/d/14Bd19lYaqBhU8_DElYkX7l4wRkHqqCUFNJY4AfY3kHU/edit?usp=sharing  #gid=0"",""фіз особи new!relations_name""),6,FALSE)
,
(IF
(
G5267=""юридична особа""
,
VLOOKUP"&amp;"(H5267,IMPORTRANGE(""https://docs.google.com/spreadsheets/d/14Bd19lYaqBhU8_DElYkX7l4wRkHqqCUFNJY4AfY3kHU/edit?usp=sharing  #gid=0"",""фіз особи new!relations_name_uo""),7,FALSE)
,
)
))"),"#N/A")</f>
        <v>#N/A</v>
      </c>
      <c r="J5266" s="7" t="s">
        <v>28</v>
      </c>
    </row>
    <row r="5267" spans="1:10" ht="13.2">
      <c r="A5267" s="7">
        <v>5266</v>
      </c>
      <c r="B5267" s="7">
        <v>1</v>
      </c>
      <c r="C5267" s="7" t="s">
        <v>10</v>
      </c>
      <c r="D5267" s="7">
        <v>4267</v>
      </c>
      <c r="E5267" s="7" t="s">
        <v>29</v>
      </c>
      <c r="F5267" s="8" t="str">
        <f ca="1">IFERROR(__xludf.DUMMYFUNCTION("IF
(
C5268=""фізична особа""
,
VLOOKUP(D5268,IMPORTRANGE(""https://docs.google.com/spreadsheets/d/14Bd19lYaqBhU8_DElYkX7l4wRkHqqCUFNJY4AfY3kHU/edit?usp=sharing  #gid=0"",""фіз особи new!relations_name""),6,FALSE)
,
(IF
(
C5268=""юридична особа""
,
VLOOKUP"&amp;"(D5268,IMPORTRANGE(""https://docs.google.com/spreadsheets/d/14Bd19lYaqBhU8_DElYkX7l4wRkHqqCUFNJY4AfY3kHU/edit?usp=sharing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67" s="7" t="s">
        <v>10</v>
      </c>
      <c r="H5267" s="7">
        <v>23527</v>
      </c>
      <c r="I5267" s="8" t="str">
        <f ca="1">IFERROR(__xludf.DUMMYFUNCTION("IF
(
G5268=""фізична особа""
,
VLOOKUP(H5268,IMPORTRANGE(""https://docs.google.com/spreadsheets/d/14Bd19lYaqBhU8_DElYkX7l4wRkHqqCUFNJY4AfY3kHU/edit?usp=sharing  #gid=0"",""фіз особи new!relations_name""),6,FALSE)
,
(IF
(
G5268=""юридична особа""
,
VLOOKUP"&amp;"(H5268,IMPORTRANGE(""https://docs.google.com/spreadsheets/d/14Bd19lYaqBhU8_DElYkX7l4wRkHqqCUFNJY4AfY3kHU/edit?usp=sharing  #gid=0"",""фіз особи new!relations_name_uo""),7,FALSE)
,
)
))"),"ТОМАЄВ Казбек Шамільєвич")</f>
        <v>ТОМАЄВ Казбек Шамільєвич</v>
      </c>
      <c r="J5267" s="7" t="s">
        <v>28</v>
      </c>
    </row>
    <row r="5268" spans="1:10" ht="13.2">
      <c r="A5268" s="7">
        <v>5267</v>
      </c>
      <c r="B5268" s="7">
        <v>1</v>
      </c>
      <c r="C5268" s="7" t="s">
        <v>10</v>
      </c>
      <c r="D5268" s="7">
        <v>4267</v>
      </c>
      <c r="E5268" s="7" t="s">
        <v>29</v>
      </c>
      <c r="F5268" s="8" t="str">
        <f ca="1">IFERROR(__xludf.DUMMYFUNCTION("IF
(
C5269=""фізична особа""
,
VLOOKUP(D5269,IMPORTRANGE(""https://docs.google.com/spreadsheets/d/14Bd19lYaqBhU8_DElYkX7l4wRkHqqCUFNJY4AfY3kHU/edit?usp=sharing  #gid=0"",""фіз особи new!relations_name""),6,FALSE)
,
(IF
(
C5269=""юридична особа""
,
VLOOKUP"&amp;"(D5269,IMPORTRANGE(""https://docs.google.com/spreadsheets/d/14Bd19lYaqBhU8_DElYkX7l4wRkHqqCUFNJY4AfY3kHU/edit?usp=sharing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68" s="7" t="s">
        <v>10</v>
      </c>
      <c r="H5268" s="7">
        <v>23528</v>
      </c>
      <c r="I5268" s="8" t="str">
        <f ca="1">IFERROR(__xludf.DUMMYFUNCTION("IF
(
G5269=""фізична особа""
,
VLOOKUP(H5269,IMPORTRANGE(""https://docs.google.com/spreadsheets/d/14Bd19lYaqBhU8_DElYkX7l4wRkHqqCUFNJY4AfY3kHU/edit?usp=sharing  #gid=0"",""фіз особи new!relations_name""),6,FALSE)
,
(IF
(
G5269=""юридична особа""
,
VLOOKUP"&amp;"(H5269,IMPORTRANGE(""https://docs.google.com/spreadsheets/d/14Bd19lYaqBhU8_DElYkX7l4wRkHqqCUFNJY4AfY3kHU/edit?usp=sharing  #gid=0"",""фіз особи new!relations_name_uo""),7,FALSE)
,
)
))"),"ЦОКОВ Казбек Вікторович")</f>
        <v>ЦОКОВ Казбек Вікторович</v>
      </c>
      <c r="J5268" s="7" t="s">
        <v>28</v>
      </c>
    </row>
    <row r="5269" spans="1:10" ht="13.2">
      <c r="A5269" s="7">
        <v>5268</v>
      </c>
      <c r="B5269" s="7">
        <v>1</v>
      </c>
      <c r="C5269" s="7" t="s">
        <v>10</v>
      </c>
      <c r="D5269" s="7">
        <v>4267</v>
      </c>
      <c r="E5269" s="7" t="s">
        <v>29</v>
      </c>
      <c r="F5269" s="8" t="str">
        <f ca="1">IFERROR(__xludf.DUMMYFUNCTION("IF
(
C5270=""фізична особа""
,
VLOOKUP(D5270,IMPORTRANGE(""https://docs.google.com/spreadsheets/d/14Bd19lYaqBhU8_DElYkX7l4wRkHqqCUFNJY4AfY3kHU/edit?usp=sharing  #gid=0"",""фіз особи new!relations_name""),6,FALSE)
,
(IF
(
C5270=""юридична особа""
,
VLOOKUP"&amp;"(D5270,IMPORTRANGE(""https://docs.google.com/spreadsheets/d/14Bd19lYaqBhU8_DElYkX7l4wRkHqqCUFNJY4AfY3kHU/edit?usp=sharing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69" s="7" t="s">
        <v>10</v>
      </c>
      <c r="H5269" s="7">
        <v>23529</v>
      </c>
      <c r="I5269" s="8" t="str">
        <f ca="1">IFERROR(__xludf.DUMMYFUNCTION("IF
(
G5270=""фізична особа""
,
VLOOKUP(H5270,IMPORTRANGE(""https://docs.google.com/spreadsheets/d/14Bd19lYaqBhU8_DElYkX7l4wRkHqqCUFNJY4AfY3kHU/edit?usp=sharing  #gid=0"",""фіз особи new!relations_name""),6,FALSE)
,
(IF
(
G5270=""юридична особа""
,
VLOOKUP"&amp;"(H5270,IMPORTRANGE(""https://docs.google.com/spreadsheets/d/14Bd19lYaqBhU8_DElYkX7l4wRkHqqCUFNJY4AfY3kHU/edit?usp=sharing  #gid=0"",""фіз особи new!relations_name_uo""),7,FALSE)
,
)
))"),"ХОДОВА Мадіна Тамерланівна")</f>
        <v>ХОДОВА Мадіна Тамерланівна</v>
      </c>
      <c r="J5269" s="7" t="s">
        <v>28</v>
      </c>
    </row>
    <row r="5270" spans="1:10" ht="13.2">
      <c r="A5270" s="7">
        <v>5269</v>
      </c>
      <c r="B5270" s="7">
        <v>1</v>
      </c>
      <c r="C5270" s="7" t="s">
        <v>10</v>
      </c>
      <c r="D5270" s="7">
        <v>4267</v>
      </c>
      <c r="E5270" s="7" t="s">
        <v>29</v>
      </c>
      <c r="F5270" s="8" t="str">
        <f ca="1">IFERROR(__xludf.DUMMYFUNCTION("IF
(
C5271=""фізична особа""
,
VLOOKUP(D5271,IMPORTRANGE(""https://docs.google.com/spreadsheets/d/14Bd19lYaqBhU8_DElYkX7l4wRkHqqCUFNJY4AfY3kHU/edit?usp=sharing  #gid=0"",""фіз особи new!relations_name""),6,FALSE)
,
(IF
(
C5271=""юридична особа""
,
VLOOKUP"&amp;"(D5271,IMPORTRANGE(""https://docs.google.com/spreadsheets/d/14Bd19lYaqBhU8_DElYkX7l4wRkHqqCUFNJY4AfY3kHU/edit?usp=sharing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70" s="7" t="s">
        <v>10</v>
      </c>
      <c r="H5270" s="7">
        <v>23530</v>
      </c>
      <c r="I5270" s="8" t="str">
        <f ca="1">IFERROR(__xludf.DUMMYFUNCTION("IF
(
G5271=""фізична особа""
,
VLOOKUP(H5271,IMPORTRANGE(""https://docs.google.com/spreadsheets/d/14Bd19lYaqBhU8_DElYkX7l4wRkHqqCUFNJY4AfY3kHU/edit?usp=sharing  #gid=0"",""фіз особи new!relations_name""),6,FALSE)
,
(IF
(
G5271=""юридична особа""
,
VLOOKUP"&amp;"(H5271,IMPORTRANGE(""https://docs.google.com/spreadsheets/d/14Bd19lYaqBhU8_DElYkX7l4wRkHqqCUFNJY4AfY3kHU/edit?usp=sharing  #gid=0"",""фіз особи new!relations_name_uo""),7,FALSE)
,
)
))"),"МАМАЄВ Казбек Миколайович")</f>
        <v>МАМАЄВ Казбек Миколайович</v>
      </c>
      <c r="J5270" s="7" t="s">
        <v>28</v>
      </c>
    </row>
    <row r="5271" spans="1:10" ht="13.2">
      <c r="A5271" s="7">
        <v>5270</v>
      </c>
      <c r="B5271" s="7">
        <v>1</v>
      </c>
      <c r="C5271" s="7" t="s">
        <v>10</v>
      </c>
      <c r="D5271" s="7">
        <v>4267</v>
      </c>
      <c r="E5271" s="7" t="s">
        <v>29</v>
      </c>
      <c r="F5271" s="8" t="str">
        <f ca="1">IFERROR(__xludf.DUMMYFUNCTION("IF
(
C5272=""фізична особа""
,
VLOOKUP(D5272,IMPORTRANGE(""https://docs.google.com/spreadsheets/d/14Bd19lYaqBhU8_DElYkX7l4wRkHqqCUFNJY4AfY3kHU/edit?usp=sharing  #gid=0"",""фіз особи new!relations_name""),6,FALSE)
,
(IF
(
C5272=""юридична особа""
,
VLOOKUP"&amp;"(D5272,IMPORTRANGE(""https://docs.google.com/spreadsheets/d/14Bd19lYaqBhU8_DElYkX7l4wRkHqqCUFNJY4AfY3kHU/edit?usp=sharing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71" s="7" t="s">
        <v>10</v>
      </c>
      <c r="H5271" s="7">
        <v>23531</v>
      </c>
      <c r="I5271" s="8" t="str">
        <f ca="1">IFERROR(__xludf.DUMMYFUNCTION("IF
(
G5272=""фізична особа""
,
VLOOKUP(H5272,IMPORTRANGE(""https://docs.google.com/spreadsheets/d/14Bd19lYaqBhU8_DElYkX7l4wRkHqqCUFNJY4AfY3kHU/edit?usp=sharing  #gid=0"",""фіз особи new!relations_name""),6,FALSE)
,
(IF
(
G5272=""юридична особа""
,
VLOOKUP"&amp;"(H5272,IMPORTRANGE(""https://docs.google.com/spreadsheets/d/14Bd19lYaqBhU8_DElYkX7l4wRkHqqCUFNJY4AfY3kHU/edit?usp=sharing  #gid=0"",""фіз особи new!relations_name_uo""),7,FALSE)
,
)
))"),"ГАБАРАЄВ Марат Таймуразович")</f>
        <v>ГАБАРАЄВ Марат Таймуразович</v>
      </c>
      <c r="J5271" s="7" t="s">
        <v>28</v>
      </c>
    </row>
    <row r="5272" spans="1:10" ht="13.2">
      <c r="A5272" s="7">
        <v>5271</v>
      </c>
      <c r="B5272" s="7">
        <v>1</v>
      </c>
      <c r="C5272" s="7" t="s">
        <v>10</v>
      </c>
      <c r="D5272" s="7">
        <v>4267</v>
      </c>
      <c r="E5272" s="7" t="s">
        <v>29</v>
      </c>
      <c r="F5272" s="8" t="str">
        <f ca="1">IFERROR(__xludf.DUMMYFUNCTION("IF
(
C5273=""фізична особа""
,
VLOOKUP(D5273,IMPORTRANGE(""https://docs.google.com/spreadsheets/d/14Bd19lYaqBhU8_DElYkX7l4wRkHqqCUFNJY4AfY3kHU/edit?usp=sharing  #gid=0"",""фіз особи new!relations_name""),6,FALSE)
,
(IF
(
C5273=""юридична особа""
,
VLOOKUP"&amp;"(D5273,IMPORTRANGE(""https://docs.google.com/spreadsheets/d/14Bd19lYaqBhU8_DElYkX7l4wRkHqqCUFNJY4AfY3kHU/edit?usp=sharing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72" s="7" t="s">
        <v>10</v>
      </c>
      <c r="H5272" s="7">
        <v>23532</v>
      </c>
      <c r="I5272" s="8" t="str">
        <f ca="1">IFERROR(__xludf.DUMMYFUNCTION("IF
(
G5273=""фізична особа""
,
VLOOKUP(H5273,IMPORTRANGE(""https://docs.google.com/spreadsheets/d/14Bd19lYaqBhU8_DElYkX7l4wRkHqqCUFNJY4AfY3kHU/edit?usp=sharing  #gid=0"",""фіз особи new!relations_name""),6,FALSE)
,
(IF
(
G5273=""юридична особа""
,
VLOOKUP"&amp;"(H5273,IMPORTRANGE(""https://docs.google.com/spreadsheets/d/14Bd19lYaqBhU8_DElYkX7l4wRkHqqCUFNJY4AfY3kHU/edit?usp=sharing  #gid=0"",""фіз особи new!relations_name_uo""),7,FALSE)
,
)
))"),"КАДОХОВ Віктор Ахсарбекович")</f>
        <v>КАДОХОВ Віктор Ахсарбекович</v>
      </c>
      <c r="J5272" s="7" t="s">
        <v>28</v>
      </c>
    </row>
    <row r="5273" spans="1:10" ht="13.2">
      <c r="A5273" s="7">
        <v>5272</v>
      </c>
      <c r="B5273" s="7">
        <v>1</v>
      </c>
      <c r="C5273" s="7" t="s">
        <v>10</v>
      </c>
      <c r="D5273" s="7">
        <v>4267</v>
      </c>
      <c r="E5273" s="7" t="s">
        <v>29</v>
      </c>
      <c r="F5273" s="8" t="str">
        <f ca="1">IFERROR(__xludf.DUMMYFUNCTION("IF
(
C5274=""фізична особа""
,
VLOOKUP(D5274,IMPORTRANGE(""https://docs.google.com/spreadsheets/d/14Bd19lYaqBhU8_DElYkX7l4wRkHqqCUFNJY4AfY3kHU/edit?usp=sharing  #gid=0"",""фіз особи new!relations_name""),6,FALSE)
,
(IF
(
C5274=""юридична особа""
,
VLOOKUP"&amp;"(D5274,IMPORTRANGE(""https://docs.google.com/spreadsheets/d/14Bd19lYaqBhU8_DElYkX7l4wRkHqqCUFNJY4AfY3kHU/edit?usp=sharing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73" s="7" t="s">
        <v>10</v>
      </c>
      <c r="H5273" s="7">
        <v>23528</v>
      </c>
      <c r="I5273" s="8" t="str">
        <f ca="1">IFERROR(__xludf.DUMMYFUNCTION("IF
(
G5274=""фізична особа""
,
VLOOKUP(H5274,IMPORTRANGE(""https://docs.google.com/spreadsheets/d/14Bd19lYaqBhU8_DElYkX7l4wRkHqqCUFNJY4AfY3kHU/edit?usp=sharing  #gid=0"",""фіз особи new!relations_name""),6,FALSE)
,
(IF
(
G5274=""юридична особа""
,
VLOOKUP"&amp;"(H5274,IMPORTRANGE(""https://docs.google.com/spreadsheets/d/14Bd19lYaqBhU8_DElYkX7l4wRkHqqCUFNJY4AfY3kHU/edit?usp=sharing  #gid=0"",""фіз особи new!relations_name_uo""),7,FALSE)
,
)
))"),"ЦОКОВ Казбек Вікторович")</f>
        <v>ЦОКОВ Казбек Вікторович</v>
      </c>
      <c r="J5273" s="7" t="s">
        <v>28</v>
      </c>
    </row>
    <row r="5274" spans="1:10" ht="13.2">
      <c r="A5274" s="7">
        <v>5273</v>
      </c>
      <c r="B5274" s="7">
        <v>1</v>
      </c>
      <c r="C5274" s="7" t="s">
        <v>10</v>
      </c>
      <c r="D5274" s="7">
        <v>4267</v>
      </c>
      <c r="E5274" s="7" t="s">
        <v>30</v>
      </c>
      <c r="F5274" s="8" t="str">
        <f ca="1">IFERROR(__xludf.DUMMYFUNCTION("IF
(
C5275=""фізична особа""
,
VLOOKUP(D5275,IMPORTRANGE(""https://docs.google.com/spreadsheets/d/14Bd19lYaqBhU8_DElYkX7l4wRkHqqCUFNJY4AfY3kHU/edit?usp=sharing  #gid=0"",""фіз особи new!relations_name""),6,FALSE)
,
(IF
(
C5275=""юридична особа""
,
VLOOKUP"&amp;"(D5275,IMPORTRANGE(""https://docs.google.com/spreadsheets/d/14Bd19lYaqBhU8_DElYkX7l4wRkHqqCUFNJY4AfY3kHU/edit?usp=sharing  #gid=0"",""фіз особи new!relations_name_uo""),7,FALSE)
,
)
))"),"МІЛЬДЗІХОВ В'ячеслав Ельбрусович")</f>
        <v>МІЛЬДЗІХОВ В'ячеслав Ельбрусович</v>
      </c>
      <c r="G5274" s="7" t="s">
        <v>10</v>
      </c>
      <c r="H5274" s="7">
        <v>23533</v>
      </c>
      <c r="I5274" s="8" t="str">
        <f ca="1">IFERROR(__xludf.DUMMYFUNCTION("IF
(
G5275=""фізична особа""
,
VLOOKUP(H5275,IMPORTRANGE(""https://docs.google.com/spreadsheets/d/14Bd19lYaqBhU8_DElYkX7l4wRkHqqCUFNJY4AfY3kHU/edit?usp=sharing  #gid=0"",""фіз особи new!relations_name""),6,FALSE)
,
(IF
(
G5275=""юридична особа""
,
VLOOKUP"&amp;"(H5275,IMPORTRANGE(""https://docs.google.com/spreadsheets/d/14Bd19lYaqBhU8_DElYkX7l4wRkHqqCUFNJY4AfY3kHU/edit?usp=sharing  #gid=0"",""фіз особи new!relations_name_uo""),7,FALSE)
,
)
))"),"КОДЗАЄВ Ельберт Елканович")</f>
        <v>КОДЗАЄВ Ельберт Елканович</v>
      </c>
      <c r="J5274" s="7" t="s">
        <v>30</v>
      </c>
    </row>
    <row r="5275" spans="1:10" ht="13.2">
      <c r="A5275" s="7">
        <v>5274</v>
      </c>
      <c r="B5275" s="7">
        <v>1</v>
      </c>
      <c r="C5275" s="7" t="s">
        <v>10</v>
      </c>
      <c r="D5275" s="7">
        <v>4268</v>
      </c>
      <c r="E5275" s="7" t="s">
        <v>29</v>
      </c>
      <c r="F5275" s="8" t="str">
        <f ca="1">IFERROR(__xludf.DUMMYFUNCTION("IF
(
C5276=""фізична особа""
,
VLOOKUP(D5276,IMPORTRANGE(""https://docs.google.com/spreadsheets/d/14Bd19lYaqBhU8_DElYkX7l4wRkHqqCUFNJY4AfY3kHU/edit?usp=sharing  #gid=0"",""фіз особи new!relations_name""),6,FALSE)
,
(IF
(
C5276=""юридична особа""
,
VLOOKUP"&amp;"(D5276,IMPORTRANGE(""https://docs.google.com/spreadsheets/d/14Bd19lYaqBhU8_DElYkX7l4wRkHqqCUFNJY4AfY3kHU/edit?usp=sharing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75" s="7" t="s">
        <v>10</v>
      </c>
      <c r="H5275" s="7">
        <v>0</v>
      </c>
      <c r="I5275" s="8" t="str">
        <f ca="1">IFERROR(__xludf.DUMMYFUNCTION("IF
(
G5276=""фізична особа""
,
VLOOKUP(H5276,IMPORTRANGE(""https://docs.google.com/spreadsheets/d/14Bd19lYaqBhU8_DElYkX7l4wRkHqqCUFNJY4AfY3kHU/edit?usp=sharing  #gid=0"",""фіз особи new!relations_name""),6,FALSE)
,
(IF
(
G5276=""юридична особа""
,
VLOOKUP"&amp;"(H5276,IMPORTRANGE(""https://docs.google.com/spreadsheets/d/14Bd19lYaqBhU8_DElYkX7l4wRkHqqCUFNJY4AfY3kHU/edit?usp=sharing  #gid=0"",""фіз особи new!relations_name_uo""),7,FALSE)
,
)
))"),"#N/A")</f>
        <v>#N/A</v>
      </c>
      <c r="J5275" s="7" t="s">
        <v>28</v>
      </c>
    </row>
    <row r="5276" spans="1:10" ht="13.2">
      <c r="A5276" s="7">
        <v>5275</v>
      </c>
      <c r="B5276" s="7">
        <v>1</v>
      </c>
      <c r="C5276" s="7" t="s">
        <v>10</v>
      </c>
      <c r="D5276" s="7">
        <v>4268</v>
      </c>
      <c r="E5276" s="7" t="s">
        <v>29</v>
      </c>
      <c r="F5276" s="8" t="str">
        <f ca="1">IFERROR(__xludf.DUMMYFUNCTION("IF
(
C5277=""фізична особа""
,
VLOOKUP(D5277,IMPORTRANGE(""https://docs.google.com/spreadsheets/d/14Bd19lYaqBhU8_DElYkX7l4wRkHqqCUFNJY4AfY3kHU/edit?usp=sharing  #gid=0"",""фіз особи new!relations_name""),6,FALSE)
,
(IF
(
C5277=""юридична особа""
,
VLOOKUP"&amp;"(D5277,IMPORTRANGE(""https://docs.google.com/spreadsheets/d/14Bd19lYaqBhU8_DElYkX7l4wRkHqqCUFNJY4AfY3kHU/edit?usp=sharing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76" s="7" t="s">
        <v>10</v>
      </c>
      <c r="H5276" s="7">
        <v>23527</v>
      </c>
      <c r="I5276" s="8" t="str">
        <f ca="1">IFERROR(__xludf.DUMMYFUNCTION("IF
(
G5277=""фізична особа""
,
VLOOKUP(H5277,IMPORTRANGE(""https://docs.google.com/spreadsheets/d/14Bd19lYaqBhU8_DElYkX7l4wRkHqqCUFNJY4AfY3kHU/edit?usp=sharing  #gid=0"",""фіз особи new!relations_name""),6,FALSE)
,
(IF
(
G5277=""юридична особа""
,
VLOOKUP"&amp;"(H5277,IMPORTRANGE(""https://docs.google.com/spreadsheets/d/14Bd19lYaqBhU8_DElYkX7l4wRkHqqCUFNJY4AfY3kHU/edit?usp=sharing  #gid=0"",""фіз особи new!relations_name_uo""),7,FALSE)
,
)
))"),"ТОМАЄВ Казбек Шамільєвич")</f>
        <v>ТОМАЄВ Казбек Шамільєвич</v>
      </c>
      <c r="J5276" s="7" t="s">
        <v>28</v>
      </c>
    </row>
    <row r="5277" spans="1:10" ht="13.2">
      <c r="A5277" s="7">
        <v>5276</v>
      </c>
      <c r="B5277" s="7">
        <v>1</v>
      </c>
      <c r="C5277" s="7" t="s">
        <v>10</v>
      </c>
      <c r="D5277" s="7">
        <v>4268</v>
      </c>
      <c r="E5277" s="7" t="s">
        <v>29</v>
      </c>
      <c r="F5277" s="8" t="str">
        <f ca="1">IFERROR(__xludf.DUMMYFUNCTION("IF
(
C5278=""фізична особа""
,
VLOOKUP(D5278,IMPORTRANGE(""https://docs.google.com/spreadsheets/d/14Bd19lYaqBhU8_DElYkX7l4wRkHqqCUFNJY4AfY3kHU/edit?usp=sharing  #gid=0"",""фіз особи new!relations_name""),6,FALSE)
,
(IF
(
C5278=""юридична особа""
,
VLOOKUP"&amp;"(D5278,IMPORTRANGE(""https://docs.google.com/spreadsheets/d/14Bd19lYaqBhU8_DElYkX7l4wRkHqqCUFNJY4AfY3kHU/edit?usp=sharing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77" s="7" t="s">
        <v>10</v>
      </c>
      <c r="H5277" s="7">
        <v>23528</v>
      </c>
      <c r="I5277" s="8" t="str">
        <f ca="1">IFERROR(__xludf.DUMMYFUNCTION("IF
(
G5278=""фізична особа""
,
VLOOKUP(H5278,IMPORTRANGE(""https://docs.google.com/spreadsheets/d/14Bd19lYaqBhU8_DElYkX7l4wRkHqqCUFNJY4AfY3kHU/edit?usp=sharing  #gid=0"",""фіз особи new!relations_name""),6,FALSE)
,
(IF
(
G5278=""юридична особа""
,
VLOOKUP"&amp;"(H5278,IMPORTRANGE(""https://docs.google.com/spreadsheets/d/14Bd19lYaqBhU8_DElYkX7l4wRkHqqCUFNJY4AfY3kHU/edit?usp=sharing  #gid=0"",""фіз особи new!relations_name_uo""),7,FALSE)
,
)
))"),"ЦОКОВ Казбек Вікторович")</f>
        <v>ЦОКОВ Казбек Вікторович</v>
      </c>
      <c r="J5277" s="7" t="s">
        <v>28</v>
      </c>
    </row>
    <row r="5278" spans="1:10" ht="13.2">
      <c r="A5278" s="7">
        <v>5277</v>
      </c>
      <c r="B5278" s="7">
        <v>1</v>
      </c>
      <c r="C5278" s="7" t="s">
        <v>10</v>
      </c>
      <c r="D5278" s="7">
        <v>4268</v>
      </c>
      <c r="E5278" s="7" t="s">
        <v>29</v>
      </c>
      <c r="F5278" s="8" t="str">
        <f ca="1">IFERROR(__xludf.DUMMYFUNCTION("IF
(
C5279=""фізична особа""
,
VLOOKUP(D5279,IMPORTRANGE(""https://docs.google.com/spreadsheets/d/14Bd19lYaqBhU8_DElYkX7l4wRkHqqCUFNJY4AfY3kHU/edit?usp=sharing  #gid=0"",""фіз особи new!relations_name""),6,FALSE)
,
(IF
(
C5279=""юридична особа""
,
VLOOKUP"&amp;"(D5279,IMPORTRANGE(""https://docs.google.com/spreadsheets/d/14Bd19lYaqBhU8_DElYkX7l4wRkHqqCUFNJY4AfY3kHU/edit?usp=sharing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78" s="7" t="s">
        <v>10</v>
      </c>
      <c r="H5278" s="7">
        <v>23529</v>
      </c>
      <c r="I5278" s="8" t="str">
        <f ca="1">IFERROR(__xludf.DUMMYFUNCTION("IF
(
G5279=""фізична особа""
,
VLOOKUP(H5279,IMPORTRANGE(""https://docs.google.com/spreadsheets/d/14Bd19lYaqBhU8_DElYkX7l4wRkHqqCUFNJY4AfY3kHU/edit?usp=sharing  #gid=0"",""фіз особи new!relations_name""),6,FALSE)
,
(IF
(
G5279=""юридична особа""
,
VLOOKUP"&amp;"(H5279,IMPORTRANGE(""https://docs.google.com/spreadsheets/d/14Bd19lYaqBhU8_DElYkX7l4wRkHqqCUFNJY4AfY3kHU/edit?usp=sharing  #gid=0"",""фіз особи new!relations_name_uo""),7,FALSE)
,
)
))"),"ХОДОВА Мадіна Тамерланівна")</f>
        <v>ХОДОВА Мадіна Тамерланівна</v>
      </c>
      <c r="J5278" s="7" t="s">
        <v>28</v>
      </c>
    </row>
    <row r="5279" spans="1:10" ht="13.2">
      <c r="A5279" s="7">
        <v>5278</v>
      </c>
      <c r="B5279" s="7">
        <v>1</v>
      </c>
      <c r="C5279" s="7" t="s">
        <v>10</v>
      </c>
      <c r="D5279" s="7">
        <v>4268</v>
      </c>
      <c r="E5279" s="7" t="s">
        <v>29</v>
      </c>
      <c r="F5279" s="8" t="str">
        <f ca="1">IFERROR(__xludf.DUMMYFUNCTION("IF
(
C5280=""фізична особа""
,
VLOOKUP(D5280,IMPORTRANGE(""https://docs.google.com/spreadsheets/d/14Bd19lYaqBhU8_DElYkX7l4wRkHqqCUFNJY4AfY3kHU/edit?usp=sharing  #gid=0"",""фіз особи new!relations_name""),6,FALSE)
,
(IF
(
C5280=""юридична особа""
,
VLOOKUP"&amp;"(D5280,IMPORTRANGE(""https://docs.google.com/spreadsheets/d/14Bd19lYaqBhU8_DElYkX7l4wRkHqqCUFNJY4AfY3kHU/edit?usp=sharing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79" s="7" t="s">
        <v>10</v>
      </c>
      <c r="H5279" s="7">
        <v>23530</v>
      </c>
      <c r="I5279" s="8" t="str">
        <f ca="1">IFERROR(__xludf.DUMMYFUNCTION("IF
(
G5280=""фізична особа""
,
VLOOKUP(H5280,IMPORTRANGE(""https://docs.google.com/spreadsheets/d/14Bd19lYaqBhU8_DElYkX7l4wRkHqqCUFNJY4AfY3kHU/edit?usp=sharing  #gid=0"",""фіз особи new!relations_name""),6,FALSE)
,
(IF
(
G5280=""юридична особа""
,
VLOOKUP"&amp;"(H5280,IMPORTRANGE(""https://docs.google.com/spreadsheets/d/14Bd19lYaqBhU8_DElYkX7l4wRkHqqCUFNJY4AfY3kHU/edit?usp=sharing  #gid=0"",""фіз особи new!relations_name_uo""),7,FALSE)
,
)
))"),"МАМАЄВ Казбек Миколайович")</f>
        <v>МАМАЄВ Казбек Миколайович</v>
      </c>
      <c r="J5279" s="7" t="s">
        <v>28</v>
      </c>
    </row>
    <row r="5280" spans="1:10" ht="13.2">
      <c r="A5280" s="7">
        <v>5279</v>
      </c>
      <c r="B5280" s="7">
        <v>1</v>
      </c>
      <c r="C5280" s="7" t="s">
        <v>10</v>
      </c>
      <c r="D5280" s="7">
        <v>4268</v>
      </c>
      <c r="E5280" s="7" t="s">
        <v>29</v>
      </c>
      <c r="F5280" s="8" t="str">
        <f ca="1">IFERROR(__xludf.DUMMYFUNCTION("IF
(
C5281=""фізична особа""
,
VLOOKUP(D5281,IMPORTRANGE(""https://docs.google.com/spreadsheets/d/14Bd19lYaqBhU8_DElYkX7l4wRkHqqCUFNJY4AfY3kHU/edit?usp=sharing  #gid=0"",""фіз особи new!relations_name""),6,FALSE)
,
(IF
(
C5281=""юридична особа""
,
VLOOKUP"&amp;"(D5281,IMPORTRANGE(""https://docs.google.com/spreadsheets/d/14Bd19lYaqBhU8_DElYkX7l4wRkHqqCUFNJY4AfY3kHU/edit?usp=sharing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80" s="7" t="s">
        <v>10</v>
      </c>
      <c r="H5280" s="7">
        <v>23531</v>
      </c>
      <c r="I5280" s="8" t="str">
        <f ca="1">IFERROR(__xludf.DUMMYFUNCTION("IF
(
G5281=""фізична особа""
,
VLOOKUP(H5281,IMPORTRANGE(""https://docs.google.com/spreadsheets/d/14Bd19lYaqBhU8_DElYkX7l4wRkHqqCUFNJY4AfY3kHU/edit?usp=sharing  #gid=0"",""фіз особи new!relations_name""),6,FALSE)
,
(IF
(
G5281=""юридична особа""
,
VLOOKUP"&amp;"(H5281,IMPORTRANGE(""https://docs.google.com/spreadsheets/d/14Bd19lYaqBhU8_DElYkX7l4wRkHqqCUFNJY4AfY3kHU/edit?usp=sharing  #gid=0"",""фіз особи new!relations_name_uo""),7,FALSE)
,
)
))"),"ГАБАРАЄВ Марат Таймуразович")</f>
        <v>ГАБАРАЄВ Марат Таймуразович</v>
      </c>
      <c r="J5280" s="7" t="s">
        <v>28</v>
      </c>
    </row>
    <row r="5281" spans="1:10" ht="13.2">
      <c r="A5281" s="7">
        <v>5280</v>
      </c>
      <c r="B5281" s="7">
        <v>1</v>
      </c>
      <c r="C5281" s="7" t="s">
        <v>10</v>
      </c>
      <c r="D5281" s="7">
        <v>4268</v>
      </c>
      <c r="E5281" s="7" t="s">
        <v>29</v>
      </c>
      <c r="F5281" s="8" t="str">
        <f ca="1">IFERROR(__xludf.DUMMYFUNCTION("IF
(
C5282=""фізична особа""
,
VLOOKUP(D5282,IMPORTRANGE(""https://docs.google.com/spreadsheets/d/14Bd19lYaqBhU8_DElYkX7l4wRkHqqCUFNJY4AfY3kHU/edit?usp=sharing  #gid=0"",""фіз особи new!relations_name""),6,FALSE)
,
(IF
(
C5282=""юридична особа""
,
VLOOKUP"&amp;"(D5282,IMPORTRANGE(""https://docs.google.com/spreadsheets/d/14Bd19lYaqBhU8_DElYkX7l4wRkHqqCUFNJY4AfY3kHU/edit?usp=sharing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81" s="7" t="s">
        <v>10</v>
      </c>
      <c r="H5281" s="7">
        <v>23532</v>
      </c>
      <c r="I5281" s="8" t="str">
        <f ca="1">IFERROR(__xludf.DUMMYFUNCTION("IF
(
G5282=""фізична особа""
,
VLOOKUP(H5282,IMPORTRANGE(""https://docs.google.com/spreadsheets/d/14Bd19lYaqBhU8_DElYkX7l4wRkHqqCUFNJY4AfY3kHU/edit?usp=sharing  #gid=0"",""фіз особи new!relations_name""),6,FALSE)
,
(IF
(
G5282=""юридична особа""
,
VLOOKUP"&amp;"(H5282,IMPORTRANGE(""https://docs.google.com/spreadsheets/d/14Bd19lYaqBhU8_DElYkX7l4wRkHqqCUFNJY4AfY3kHU/edit?usp=sharing  #gid=0"",""фіз особи new!relations_name_uo""),7,FALSE)
,
)
))"),"КАДОХОВ Віктор Ахсарбекович")</f>
        <v>КАДОХОВ Віктор Ахсарбекович</v>
      </c>
      <c r="J5281" s="7" t="s">
        <v>28</v>
      </c>
    </row>
    <row r="5282" spans="1:10" ht="13.2">
      <c r="A5282" s="7">
        <v>5281</v>
      </c>
      <c r="B5282" s="7">
        <v>1</v>
      </c>
      <c r="C5282" s="7" t="s">
        <v>10</v>
      </c>
      <c r="D5282" s="7">
        <v>4268</v>
      </c>
      <c r="E5282" s="7" t="s">
        <v>29</v>
      </c>
      <c r="F5282" s="8" t="str">
        <f ca="1">IFERROR(__xludf.DUMMYFUNCTION("IF
(
C5283=""фізична особа""
,
VLOOKUP(D5283,IMPORTRANGE(""https://docs.google.com/spreadsheets/d/14Bd19lYaqBhU8_DElYkX7l4wRkHqqCUFNJY4AfY3kHU/edit?usp=sharing  #gid=0"",""фіз особи new!relations_name""),6,FALSE)
,
(IF
(
C5283=""юридична особа""
,
VLOOKUP"&amp;"(D5283,IMPORTRANGE(""https://docs.google.com/spreadsheets/d/14Bd19lYaqBhU8_DElYkX7l4wRkHqqCUFNJY4AfY3kHU/edit?usp=sharing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82" s="7" t="s">
        <v>10</v>
      </c>
      <c r="H5282" s="7">
        <v>23528</v>
      </c>
      <c r="I5282" s="8" t="str">
        <f ca="1">IFERROR(__xludf.DUMMYFUNCTION("IF
(
G5283=""фізична особа""
,
VLOOKUP(H5283,IMPORTRANGE(""https://docs.google.com/spreadsheets/d/14Bd19lYaqBhU8_DElYkX7l4wRkHqqCUFNJY4AfY3kHU/edit?usp=sharing  #gid=0"",""фіз особи new!relations_name""),6,FALSE)
,
(IF
(
G5283=""юридична особа""
,
VLOOKUP"&amp;"(H5283,IMPORTRANGE(""https://docs.google.com/spreadsheets/d/14Bd19lYaqBhU8_DElYkX7l4wRkHqqCUFNJY4AfY3kHU/edit?usp=sharing  #gid=0"",""фіз особи new!relations_name_uo""),7,FALSE)
,
)
))"),"ЦОКОВ Казбек Вікторович")</f>
        <v>ЦОКОВ Казбек Вікторович</v>
      </c>
      <c r="J5282" s="7" t="s">
        <v>28</v>
      </c>
    </row>
    <row r="5283" spans="1:10" ht="13.2">
      <c r="A5283" s="7">
        <v>5282</v>
      </c>
      <c r="B5283" s="7">
        <v>1</v>
      </c>
      <c r="C5283" s="7" t="s">
        <v>10</v>
      </c>
      <c r="D5283" s="7">
        <v>4268</v>
      </c>
      <c r="E5283" s="7" t="s">
        <v>30</v>
      </c>
      <c r="F5283" s="8" t="str">
        <f ca="1">IFERROR(__xludf.DUMMYFUNCTION("IF
(
C5284=""фізична особа""
,
VLOOKUP(D5284,IMPORTRANGE(""https://docs.google.com/spreadsheets/d/14Bd19lYaqBhU8_DElYkX7l4wRkHqqCUFNJY4AfY3kHU/edit?usp=sharing  #gid=0"",""фіз особи new!relations_name""),6,FALSE)
,
(IF
(
C5284=""юридична особа""
,
VLOOKUP"&amp;"(D5284,IMPORTRANGE(""https://docs.google.com/spreadsheets/d/14Bd19lYaqBhU8_DElYkX7l4wRkHqqCUFNJY4AfY3kHU/edit?usp=sharing  #gid=0"",""фіз особи new!relations_name_uo""),7,FALSE)
,
)
))"),"ІКАЄВ Русланбек Кузьміч")</f>
        <v>ІКАЄВ Русланбек Кузьміч</v>
      </c>
      <c r="G5283" s="7" t="s">
        <v>10</v>
      </c>
      <c r="H5283" s="7">
        <v>23533</v>
      </c>
      <c r="I5283" s="8" t="str">
        <f ca="1">IFERROR(__xludf.DUMMYFUNCTION("IF
(
G5284=""фізична особа""
,
VLOOKUP(H5284,IMPORTRANGE(""https://docs.google.com/spreadsheets/d/14Bd19lYaqBhU8_DElYkX7l4wRkHqqCUFNJY4AfY3kHU/edit?usp=sharing  #gid=0"",""фіз особи new!relations_name""),6,FALSE)
,
(IF
(
G5284=""юридична особа""
,
VLOOKUP"&amp;"(H5284,IMPORTRANGE(""https://docs.google.com/spreadsheets/d/14Bd19lYaqBhU8_DElYkX7l4wRkHqqCUFNJY4AfY3kHU/edit?usp=sharing  #gid=0"",""фіз особи new!relations_name_uo""),7,FALSE)
,
)
))"),"КОДЗАЄВ Ельберт Елканович")</f>
        <v>КОДЗАЄВ Ельберт Елканович</v>
      </c>
      <c r="J5283" s="7" t="s">
        <v>30</v>
      </c>
    </row>
    <row r="5284" spans="1:10" ht="13.2">
      <c r="A5284" s="7">
        <v>5283</v>
      </c>
      <c r="B5284" s="7">
        <v>1</v>
      </c>
      <c r="C5284" s="7" t="s">
        <v>10</v>
      </c>
      <c r="D5284" s="7">
        <v>4269</v>
      </c>
      <c r="E5284" s="7" t="s">
        <v>28</v>
      </c>
      <c r="F5284" s="8" t="str">
        <f ca="1">IFERROR(__xludf.DUMMYFUNCTION("IF
(
C5285=""фізична особа""
,
VLOOKUP(D5285,IMPORTRANGE(""https://docs.google.com/spreadsheets/d/14Bd19lYaqBhU8_DElYkX7l4wRkHqqCUFNJY4AfY3kHU/edit?usp=sharing  #gid=0"",""фіз особи new!relations_name""),6,FALSE)
,
(IF
(
C5285=""юридична особа""
,
VLOOKUP"&amp;"(D5285,IMPORTRANGE(""https://docs.google.com/spreadsheets/d/14Bd19lYaqBhU8_DElYkX7l4wRkHqqCUFNJY4AfY3kHU/edit?usp=sharing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4" s="7" t="s">
        <v>10</v>
      </c>
      <c r="H5284" s="7">
        <v>2523</v>
      </c>
      <c r="I5284" s="8" t="str">
        <f ca="1">IFERROR(__xludf.DUMMYFUNCTION("IF
(
G5285=""фізична особа""
,
VLOOKUP(H5285,IMPORTRANGE(""https://docs.google.com/spreadsheets/d/14Bd19lYaqBhU8_DElYkX7l4wRkHqqCUFNJY4AfY3kHU/edit?usp=sharing  #gid=0"",""фіз особи new!relations_name""),6,FALSE)
,
(IF
(
G5285=""юридична особа""
,
VLOOKUP"&amp;"(H5285,IMPORTRANGE(""https://docs.google.com/spreadsheets/d/14Bd19lYaqBhU8_DElYkX7l4wRkHqqCUFNJY4AfY3kHU/edit?usp=sharing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J5284" s="7" t="s">
        <v>29</v>
      </c>
    </row>
    <row r="5285" spans="1:10" ht="13.2">
      <c r="A5285" s="7">
        <v>5284</v>
      </c>
      <c r="B5285" s="7">
        <v>1</v>
      </c>
      <c r="C5285" s="7" t="s">
        <v>10</v>
      </c>
      <c r="D5285" s="7">
        <v>4269</v>
      </c>
      <c r="E5285" s="7" t="s">
        <v>29</v>
      </c>
      <c r="F5285" s="8" t="str">
        <f ca="1">IFERROR(__xludf.DUMMYFUNCTION("IF
(
C5286=""фізична особа""
,
VLOOKUP(D5286,IMPORTRANGE(""https://docs.google.com/spreadsheets/d/14Bd19lYaqBhU8_DElYkX7l4wRkHqqCUFNJY4AfY3kHU/edit?usp=sharing  #gid=0"",""фіз особи new!relations_name""),6,FALSE)
,
(IF
(
C5286=""юридична особа""
,
VLOOKUP"&amp;"(D5286,IMPORTRANGE(""https://docs.google.com/spreadsheets/d/14Bd19lYaqBhU8_DElYkX7l4wRkHqqCUFNJY4AfY3kHU/edit?usp=sharing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5" s="7" t="s">
        <v>10</v>
      </c>
      <c r="H5285" s="7">
        <v>0</v>
      </c>
      <c r="I5285" s="8" t="str">
        <f ca="1">IFERROR(__xludf.DUMMYFUNCTION("IF
(
G5286=""фізична особа""
,
VLOOKUP(H5286,IMPORTRANGE(""https://docs.google.com/spreadsheets/d/14Bd19lYaqBhU8_DElYkX7l4wRkHqqCUFNJY4AfY3kHU/edit?usp=sharing  #gid=0"",""фіз особи new!relations_name""),6,FALSE)
,
(IF
(
G5286=""юридична особа""
,
VLOOKUP"&amp;"(H5286,IMPORTRANGE(""https://docs.google.com/spreadsheets/d/14Bd19lYaqBhU8_DElYkX7l4wRkHqqCUFNJY4AfY3kHU/edit?usp=sharing  #gid=0"",""фіз особи new!relations_name_uo""),7,FALSE)
,
)
))"),"#N/A")</f>
        <v>#N/A</v>
      </c>
      <c r="J5285" s="7" t="s">
        <v>28</v>
      </c>
    </row>
    <row r="5286" spans="1:10" ht="13.2">
      <c r="A5286" s="7">
        <v>5285</v>
      </c>
      <c r="B5286" s="7">
        <v>1</v>
      </c>
      <c r="C5286" s="7" t="s">
        <v>10</v>
      </c>
      <c r="D5286" s="7">
        <v>4269</v>
      </c>
      <c r="E5286" s="7" t="s">
        <v>29</v>
      </c>
      <c r="F5286" s="8" t="str">
        <f ca="1">IFERROR(__xludf.DUMMYFUNCTION("IF
(
C5287=""фізична особа""
,
VLOOKUP(D5287,IMPORTRANGE(""https://docs.google.com/spreadsheets/d/14Bd19lYaqBhU8_DElYkX7l4wRkHqqCUFNJY4AfY3kHU/edit?usp=sharing  #gid=0"",""фіз особи new!relations_name""),6,FALSE)
,
(IF
(
C5287=""юридична особа""
,
VLOOKUP"&amp;"(D5287,IMPORTRANGE(""https://docs.google.com/spreadsheets/d/14Bd19lYaqBhU8_DElYkX7l4wRkHqqCUFNJY4AfY3kHU/edit?usp=sharing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6" s="7" t="s">
        <v>10</v>
      </c>
      <c r="H5286" s="7">
        <v>0</v>
      </c>
      <c r="I5286" s="8" t="str">
        <f ca="1">IFERROR(__xludf.DUMMYFUNCTION("IF
(
G5287=""фізична особа""
,
VLOOKUP(H5287,IMPORTRANGE(""https://docs.google.com/spreadsheets/d/14Bd19lYaqBhU8_DElYkX7l4wRkHqqCUFNJY4AfY3kHU/edit?usp=sharing  #gid=0"",""фіз особи new!relations_name""),6,FALSE)
,
(IF
(
G5287=""юридична особа""
,
VLOOKUP"&amp;"(H5287,IMPORTRANGE(""https://docs.google.com/spreadsheets/d/14Bd19lYaqBhU8_DElYkX7l4wRkHqqCUFNJY4AfY3kHU/edit?usp=sharing  #gid=0"",""фіз особи new!relations_name_uo""),7,FALSE)
,
)
))"),"#N/A")</f>
        <v>#N/A</v>
      </c>
      <c r="J5286" s="7" t="s">
        <v>28</v>
      </c>
    </row>
    <row r="5287" spans="1:10" ht="13.2">
      <c r="A5287" s="7">
        <v>5286</v>
      </c>
      <c r="B5287" s="7">
        <v>1</v>
      </c>
      <c r="C5287" s="7" t="s">
        <v>10</v>
      </c>
      <c r="D5287" s="7">
        <v>4269</v>
      </c>
      <c r="E5287" s="7" t="s">
        <v>29</v>
      </c>
      <c r="F5287" s="8" t="str">
        <f ca="1">IFERROR(__xludf.DUMMYFUNCTION("IF
(
C5288=""фізична особа""
,
VLOOKUP(D5288,IMPORTRANGE(""https://docs.google.com/spreadsheets/d/14Bd19lYaqBhU8_DElYkX7l4wRkHqqCUFNJY4AfY3kHU/edit?usp=sharing  #gid=0"",""фіз особи new!relations_name""),6,FALSE)
,
(IF
(
C5288=""юридична особа""
,
VLOOKUP"&amp;"(D5288,IMPORTRANGE(""https://docs.google.com/spreadsheets/d/14Bd19lYaqBhU8_DElYkX7l4wRkHqqCUFNJY4AfY3kHU/edit?usp=sharing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7" s="7" t="s">
        <v>10</v>
      </c>
      <c r="H5287" s="7">
        <v>0</v>
      </c>
      <c r="I5287" s="8" t="str">
        <f ca="1">IFERROR(__xludf.DUMMYFUNCTION("IF
(
G5288=""фізична особа""
,
VLOOKUP(H5288,IMPORTRANGE(""https://docs.google.com/spreadsheets/d/14Bd19lYaqBhU8_DElYkX7l4wRkHqqCUFNJY4AfY3kHU/edit?usp=sharing  #gid=0"",""фіз особи new!relations_name""),6,FALSE)
,
(IF
(
G5288=""юридична особа""
,
VLOOKUP"&amp;"(H5288,IMPORTRANGE(""https://docs.google.com/spreadsheets/d/14Bd19lYaqBhU8_DElYkX7l4wRkHqqCUFNJY4AfY3kHU/edit?usp=sharing  #gid=0"",""фіз особи new!relations_name_uo""),7,FALSE)
,
)
))"),"#N/A")</f>
        <v>#N/A</v>
      </c>
      <c r="J5287" s="7" t="s">
        <v>28</v>
      </c>
    </row>
    <row r="5288" spans="1:10" ht="13.2">
      <c r="A5288" s="7">
        <v>5287</v>
      </c>
      <c r="B5288" s="7">
        <v>1</v>
      </c>
      <c r="C5288" s="7" t="s">
        <v>10</v>
      </c>
      <c r="D5288" s="7">
        <v>4269</v>
      </c>
      <c r="E5288" s="7" t="s">
        <v>29</v>
      </c>
      <c r="F5288" s="8" t="str">
        <f ca="1">IFERROR(__xludf.DUMMYFUNCTION("IF
(
C5289=""фізична особа""
,
VLOOKUP(D5289,IMPORTRANGE(""https://docs.google.com/spreadsheets/d/14Bd19lYaqBhU8_DElYkX7l4wRkHqqCUFNJY4AfY3kHU/edit?usp=sharing  #gid=0"",""фіз особи new!relations_name""),6,FALSE)
,
(IF
(
C5289=""юридична особа""
,
VLOOKUP"&amp;"(D5289,IMPORTRANGE(""https://docs.google.com/spreadsheets/d/14Bd19lYaqBhU8_DElYkX7l4wRkHqqCUFNJY4AfY3kHU/edit?usp=sharing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8" s="7" t="s">
        <v>10</v>
      </c>
      <c r="H5288" s="7">
        <v>0</v>
      </c>
      <c r="I5288" s="8" t="str">
        <f ca="1">IFERROR(__xludf.DUMMYFUNCTION("IF
(
G5289=""фізична особа""
,
VLOOKUP(H5289,IMPORTRANGE(""https://docs.google.com/spreadsheets/d/14Bd19lYaqBhU8_DElYkX7l4wRkHqqCUFNJY4AfY3kHU/edit?usp=sharing  #gid=0"",""фіз особи new!relations_name""),6,FALSE)
,
(IF
(
G5289=""юридична особа""
,
VLOOKUP"&amp;"(H5289,IMPORTRANGE(""https://docs.google.com/spreadsheets/d/14Bd19lYaqBhU8_DElYkX7l4wRkHqqCUFNJY4AfY3kHU/edit?usp=sharing  #gid=0"",""фіз особи new!relations_name_uo""),7,FALSE)
,
)
))"),"#N/A")</f>
        <v>#N/A</v>
      </c>
      <c r="J5288" s="7" t="s">
        <v>28</v>
      </c>
    </row>
    <row r="5289" spans="1:10" ht="13.2">
      <c r="A5289" s="7">
        <v>5288</v>
      </c>
      <c r="B5289" s="7">
        <v>1</v>
      </c>
      <c r="C5289" s="7" t="s">
        <v>10</v>
      </c>
      <c r="D5289" s="7">
        <v>4269</v>
      </c>
      <c r="E5289" s="7" t="s">
        <v>29</v>
      </c>
      <c r="F5289" s="8" t="str">
        <f ca="1">IFERROR(__xludf.DUMMYFUNCTION("IF
(
C5290=""фізична особа""
,
VLOOKUP(D5290,IMPORTRANGE(""https://docs.google.com/spreadsheets/d/14Bd19lYaqBhU8_DElYkX7l4wRkHqqCUFNJY4AfY3kHU/edit?usp=sharing  #gid=0"",""фіз особи new!relations_name""),6,FALSE)
,
(IF
(
C5290=""юридична особа""
,
VLOOKUP"&amp;"(D5290,IMPORTRANGE(""https://docs.google.com/spreadsheets/d/14Bd19lYaqBhU8_DElYkX7l4wRkHqqCUFNJY4AfY3kHU/edit?usp=sharing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89" s="7" t="s">
        <v>10</v>
      </c>
      <c r="H5289" s="7">
        <v>0</v>
      </c>
      <c r="I5289" s="8" t="str">
        <f ca="1">IFERROR(__xludf.DUMMYFUNCTION("IF
(
G5290=""фізична особа""
,
VLOOKUP(H5290,IMPORTRANGE(""https://docs.google.com/spreadsheets/d/14Bd19lYaqBhU8_DElYkX7l4wRkHqqCUFNJY4AfY3kHU/edit?usp=sharing  #gid=0"",""фіз особи new!relations_name""),6,FALSE)
,
(IF
(
G5290=""юридична особа""
,
VLOOKUP"&amp;"(H5290,IMPORTRANGE(""https://docs.google.com/spreadsheets/d/14Bd19lYaqBhU8_DElYkX7l4wRkHqqCUFNJY4AfY3kHU/edit?usp=sharing  #gid=0"",""фіз особи new!relations_name_uo""),7,FALSE)
,
)
))"),"#N/A")</f>
        <v>#N/A</v>
      </c>
      <c r="J5289" s="7" t="s">
        <v>28</v>
      </c>
    </row>
    <row r="5290" spans="1:10" ht="13.2">
      <c r="A5290" s="7">
        <v>5289</v>
      </c>
      <c r="B5290" s="7">
        <v>1</v>
      </c>
      <c r="C5290" s="7" t="s">
        <v>10</v>
      </c>
      <c r="D5290" s="7">
        <v>4269</v>
      </c>
      <c r="E5290" s="7" t="s">
        <v>29</v>
      </c>
      <c r="F5290" s="8" t="str">
        <f ca="1">IFERROR(__xludf.DUMMYFUNCTION("IF
(
C5291=""фізична особа""
,
VLOOKUP(D5291,IMPORTRANGE(""https://docs.google.com/spreadsheets/d/14Bd19lYaqBhU8_DElYkX7l4wRkHqqCUFNJY4AfY3kHU/edit?usp=sharing  #gid=0"",""фіз особи new!relations_name""),6,FALSE)
,
(IF
(
C5291=""юридична особа""
,
VLOOKUP"&amp;"(D5291,IMPORTRANGE(""https://docs.google.com/spreadsheets/d/14Bd19lYaqBhU8_DElYkX7l4wRkHqqCUFNJY4AfY3kHU/edit?usp=sharing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90" s="7" t="s">
        <v>10</v>
      </c>
      <c r="H5290" s="7">
        <v>0</v>
      </c>
      <c r="I5290" s="8" t="str">
        <f ca="1">IFERROR(__xludf.DUMMYFUNCTION("IF
(
G5291=""фізична особа""
,
VLOOKUP(H5291,IMPORTRANGE(""https://docs.google.com/spreadsheets/d/14Bd19lYaqBhU8_DElYkX7l4wRkHqqCUFNJY4AfY3kHU/edit?usp=sharing  #gid=0"",""фіз особи new!relations_name""),6,FALSE)
,
(IF
(
G5291=""юридична особа""
,
VLOOKUP"&amp;"(H5291,IMPORTRANGE(""https://docs.google.com/spreadsheets/d/14Bd19lYaqBhU8_DElYkX7l4wRkHqqCUFNJY4AfY3kHU/edit?usp=sharing  #gid=0"",""фіз особи new!relations_name_uo""),7,FALSE)
,
)
))"),"#N/A")</f>
        <v>#N/A</v>
      </c>
      <c r="J5290" s="7" t="s">
        <v>28</v>
      </c>
    </row>
    <row r="5291" spans="1:10" ht="13.2">
      <c r="A5291" s="7">
        <v>5290</v>
      </c>
      <c r="B5291" s="7">
        <v>1</v>
      </c>
      <c r="C5291" s="7" t="s">
        <v>10</v>
      </c>
      <c r="D5291" s="7">
        <v>4269</v>
      </c>
      <c r="E5291" s="7" t="s">
        <v>29</v>
      </c>
      <c r="F5291" s="8" t="str">
        <f ca="1">IFERROR(__xludf.DUMMYFUNCTION("IF
(
C5292=""фізична особа""
,
VLOOKUP(D5292,IMPORTRANGE(""https://docs.google.com/spreadsheets/d/14Bd19lYaqBhU8_DElYkX7l4wRkHqqCUFNJY4AfY3kHU/edit?usp=sharing  #gid=0"",""фіз особи new!relations_name""),6,FALSE)
,
(IF
(
C5292=""юридична особа""
,
VLOOKUP"&amp;"(D5292,IMPORTRANGE(""https://docs.google.com/spreadsheets/d/14Bd19lYaqBhU8_DElYkX7l4wRkHqqCUFNJY4AfY3kHU/edit?usp=sharing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91" s="7" t="s">
        <v>10</v>
      </c>
      <c r="H5291" s="7">
        <v>0</v>
      </c>
      <c r="I5291" s="8" t="str">
        <f ca="1">IFERROR(__xludf.DUMMYFUNCTION("IF
(
G5292=""фізична особа""
,
VLOOKUP(H5292,IMPORTRANGE(""https://docs.google.com/spreadsheets/d/14Bd19lYaqBhU8_DElYkX7l4wRkHqqCUFNJY4AfY3kHU/edit?usp=sharing  #gid=0"",""фіз особи new!relations_name""),6,FALSE)
,
(IF
(
G5292=""юридична особа""
,
VLOOKUP"&amp;"(H5292,IMPORTRANGE(""https://docs.google.com/spreadsheets/d/14Bd19lYaqBhU8_DElYkX7l4wRkHqqCUFNJY4AfY3kHU/edit?usp=sharing  #gid=0"",""фіз особи new!relations_name_uo""),7,FALSE)
,
)
))"),"#N/A")</f>
        <v>#N/A</v>
      </c>
      <c r="J5291" s="7" t="s">
        <v>28</v>
      </c>
    </row>
    <row r="5292" spans="1:10" ht="13.2">
      <c r="A5292" s="7">
        <v>5291</v>
      </c>
      <c r="B5292" s="7">
        <v>1</v>
      </c>
      <c r="C5292" s="7" t="s">
        <v>10</v>
      </c>
      <c r="D5292" s="7">
        <v>4269</v>
      </c>
      <c r="E5292" s="7" t="s">
        <v>29</v>
      </c>
      <c r="F5292" s="8" t="str">
        <f ca="1">IFERROR(__xludf.DUMMYFUNCTION("IF
(
C5293=""фізична особа""
,
VLOOKUP(D5293,IMPORTRANGE(""https://docs.google.com/spreadsheets/d/14Bd19lYaqBhU8_DElYkX7l4wRkHqqCUFNJY4AfY3kHU/edit?usp=sharing  #gid=0"",""фіз особи new!relations_name""),6,FALSE)
,
(IF
(
C5293=""юридична особа""
,
VLOOKUP"&amp;"(D5293,IMPORTRANGE(""https://docs.google.com/spreadsheets/d/14Bd19lYaqBhU8_DElYkX7l4wRkHqqCUFNJY4AfY3kHU/edit?usp=sharing  #gid=0"",""фіз особи new!relations_name_uo""),7,FALSE)
,
)
))"),"ШЕСТАКОВ Костянтин Володимирович")</f>
        <v>ШЕСТАКОВ Костянтин Володимирович</v>
      </c>
      <c r="G5292" s="7" t="s">
        <v>10</v>
      </c>
      <c r="H5292" s="7">
        <v>0</v>
      </c>
      <c r="I5292" s="8" t="str">
        <f ca="1">IFERROR(__xludf.DUMMYFUNCTION("IF
(
G5293=""фізична особа""
,
VLOOKUP(H5293,IMPORTRANGE(""https://docs.google.com/spreadsheets/d/14Bd19lYaqBhU8_DElYkX7l4wRkHqqCUFNJY4AfY3kHU/edit?usp=sharing  #gid=0"",""фіз особи new!relations_name""),6,FALSE)
,
(IF
(
G5293=""юридична особа""
,
VLOOKUP"&amp;"(H5293,IMPORTRANGE(""https://docs.google.com/spreadsheets/d/14Bd19lYaqBhU8_DElYkX7l4wRkHqqCUFNJY4AfY3kHU/edit?usp=sharing  #gid=0"",""фіз особи new!relations_name_uo""),7,FALSE)
,
)
))"),"#N/A")</f>
        <v>#N/A</v>
      </c>
      <c r="J5292" s="7" t="s">
        <v>28</v>
      </c>
    </row>
    <row r="5293" spans="1:10" ht="13.2">
      <c r="A5293" s="7">
        <v>5292</v>
      </c>
      <c r="B5293" s="7">
        <v>1</v>
      </c>
      <c r="C5293" s="7" t="s">
        <v>10</v>
      </c>
      <c r="D5293" s="7">
        <v>4270</v>
      </c>
      <c r="E5293" s="7" t="s">
        <v>28</v>
      </c>
      <c r="F5293" s="8" t="str">
        <f ca="1">IFERROR(__xludf.DUMMYFUNCTION("IF
(
C5294=""фізична особа""
,
VLOOKUP(D5294,IMPORTRANGE(""https://docs.google.com/spreadsheets/d/14Bd19lYaqBhU8_DElYkX7l4wRkHqqCUFNJY4AfY3kHU/edit?usp=sharing  #gid=0"",""фіз особи new!relations_name""),6,FALSE)
,
(IF
(
C5294=""юридична особа""
,
VLOOKUP"&amp;"(D5294,IMPORTRANGE(""https://docs.google.com/spreadsheets/d/14Bd19lYaqBhU8_DElYkX7l4wRkHqqCUFNJY4AfY3kHU/edit?usp=sharing  #gid=0"",""фіз особи new!relations_name_uo""),7,FALSE)
,
)
))"),"БІРЮЛІН Олексій Олексійович")</f>
        <v>БІРЮЛІН Олексій Олексійович</v>
      </c>
      <c r="G5293" s="7" t="s">
        <v>10</v>
      </c>
      <c r="H5293" s="7">
        <v>0</v>
      </c>
      <c r="I5293" s="8" t="str">
        <f ca="1">IFERROR(__xludf.DUMMYFUNCTION("IF
(
G5294=""фізична особа""
,
VLOOKUP(H5294,IMPORTRANGE(""https://docs.google.com/spreadsheets/d/14Bd19lYaqBhU8_DElYkX7l4wRkHqqCUFNJY4AfY3kHU/edit?usp=sharing  #gid=0"",""фіз особи new!relations_name""),6,FALSE)
,
(IF
(
G5294=""юридична особа""
,
VLOOKUP"&amp;"(H5294,IMPORTRANGE(""https://docs.google.com/spreadsheets/d/14Bd19lYaqBhU8_DElYkX7l4wRkHqqCUFNJY4AfY3kHU/edit?usp=sharing  #gid=0"",""фіз особи new!relations_name_uo""),7,FALSE)
,
)
))"),"#N/A")</f>
        <v>#N/A</v>
      </c>
      <c r="J5293" s="7" t="s">
        <v>29</v>
      </c>
    </row>
    <row r="5294" spans="1:10" ht="13.2">
      <c r="A5294" s="7">
        <v>5293</v>
      </c>
      <c r="B5294" s="7">
        <v>1</v>
      </c>
      <c r="C5294" s="7" t="s">
        <v>10</v>
      </c>
      <c r="D5294" s="7">
        <v>4271</v>
      </c>
      <c r="E5294" s="7" t="s">
        <v>28</v>
      </c>
      <c r="F5294" s="8" t="str">
        <f ca="1">IFERROR(__xludf.DUMMYFUNCTION("IF
(
C5295=""фізична особа""
,
VLOOKUP(D5295,IMPORTRANGE(""https://docs.google.com/spreadsheets/d/14Bd19lYaqBhU8_DElYkX7l4wRkHqqCUFNJY4AfY3kHU/edit?usp=sharing  #gid=0"",""фіз особи new!relations_name""),6,FALSE)
,
(IF
(
C5295=""юридична особа""
,
VLOOKUP"&amp;"(D5295,IMPORTRANGE(""https://docs.google.com/spreadsheets/d/14Bd19lYaqBhU8_DElYkX7l4wRkHqqCUFNJY4AfY3kHU/edit?usp=sharing  #gid=0"",""фіз особи new!relations_name_uo""),7,FALSE)
,
)
))"),"ЛОГВІНЕНКО Олексій Валентинович")</f>
        <v>ЛОГВІНЕНКО Олексій Валентинович</v>
      </c>
      <c r="G5294" s="7" t="s">
        <v>10</v>
      </c>
      <c r="H5294" s="7">
        <v>2555</v>
      </c>
      <c r="I5294" s="8" t="str">
        <f ca="1">IFERROR(__xludf.DUMMYFUNCTION("IF
(
G5295=""фізична особа""
,
VLOOKUP(H5295,IMPORTRANGE(""https://docs.google.com/spreadsheets/d/14Bd19lYaqBhU8_DElYkX7l4wRkHqqCUFNJY4AfY3kHU/edit?usp=sharing  #gid=0"",""фіз особи new!relations_name""),6,FALSE)
,
(IF
(
G5295=""юридична особа""
,
VLOOKUP"&amp;"(H5295,IMPORTRANGE(""https://docs.google.com/spreadsheets/d/14Bd19lYaqBhU8_DElYkX7l4wRkHqqCUFNJY4AfY3kHU/edit?usp=sharing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5294" s="7" t="s">
        <v>29</v>
      </c>
    </row>
    <row r="5295" spans="1:10" ht="13.2">
      <c r="A5295" s="7">
        <v>5294</v>
      </c>
      <c r="B5295" s="7">
        <v>1</v>
      </c>
      <c r="C5295" s="7" t="s">
        <v>10</v>
      </c>
      <c r="D5295" s="7">
        <v>4273</v>
      </c>
      <c r="E5295" s="7" t="s">
        <v>48</v>
      </c>
      <c r="F5295" s="8" t="str">
        <f ca="1">IFERROR(__xludf.DUMMYFUNCTION("IF
(
C5296=""фізична особа""
,
VLOOKUP(D5296,IMPORTRANGE(""https://docs.google.com/spreadsheets/d/14Bd19lYaqBhU8_DElYkX7l4wRkHqqCUFNJY4AfY3kHU/edit?usp=sharing  #gid=0"",""фіз особи new!relations_name""),6,FALSE)
,
(IF
(
C5296=""юридична особа""
,
VLOOKUP"&amp;"(D5296,IMPORTRANGE(""https://docs.google.com/spreadsheets/d/14Bd19lYaqBhU8_DElYkX7l4wRkHqqCUFNJY4AfY3kHU/edit?usp=sharing  #gid=0"",""фіз особи new!relations_name_uo""),7,FALSE)
,
)
))"),"ЄРЬОМІН Сергій Васильович")</f>
        <v>ЄРЬОМІН Сергій Васильович</v>
      </c>
      <c r="G5295" s="7" t="s">
        <v>10</v>
      </c>
      <c r="H5295" s="7">
        <v>185</v>
      </c>
      <c r="I5295" s="8" t="str">
        <f ca="1">IFERROR(__xludf.DUMMYFUNCTION("IF
(
G5296=""фізична особа""
,
VLOOKUP(H5296,IMPORTRANGE(""https://docs.google.com/spreadsheets/d/14Bd19lYaqBhU8_DElYkX7l4wRkHqqCUFNJY4AfY3kHU/edit?usp=sharing  #gid=0"",""фіз особи new!relations_name""),6,FALSE)
,
(IF
(
G5296=""юридична особа""
,
VLOOKUP"&amp;"(H5296,IMPORTRANGE(""https://docs.google.com/spreadsheets/d/14Bd19lYaqBhU8_DElYkX7l4wRkHqqCUFNJY4AfY3kHU/edit?usp=sharing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5295" s="7" t="s">
        <v>48</v>
      </c>
    </row>
    <row r="5296" spans="1:10" ht="13.2">
      <c r="A5296" s="7">
        <v>5295</v>
      </c>
      <c r="B5296" s="7">
        <v>1</v>
      </c>
      <c r="C5296" s="7" t="s">
        <v>10</v>
      </c>
      <c r="D5296" s="7">
        <v>4273</v>
      </c>
      <c r="E5296" s="7" t="s">
        <v>48</v>
      </c>
      <c r="F5296" s="8" t="str">
        <f ca="1">IFERROR(__xludf.DUMMYFUNCTION("IF
(
C5297=""фізична особа""
,
VLOOKUP(D5297,IMPORTRANGE(""https://docs.google.com/spreadsheets/d/14Bd19lYaqBhU8_DElYkX7l4wRkHqqCUFNJY4AfY3kHU/edit?usp=sharing  #gid=0"",""фіз особи new!relations_name""),6,FALSE)
,
(IF
(
C5297=""юридична особа""
,
VLOOKUP"&amp;"(D5297,IMPORTRANGE(""https://docs.google.com/spreadsheets/d/14Bd19lYaqBhU8_DElYkX7l4wRkHqqCUFNJY4AfY3kHU/edit?usp=sharing  #gid=0"",""фіз особи new!relations_name_uo""),7,FALSE)
,
)
))"),"ЄРЬОМІН Сергій Васильович")</f>
        <v>ЄРЬОМІН Сергій Васильович</v>
      </c>
      <c r="G5296" s="7" t="s">
        <v>10</v>
      </c>
      <c r="H5296" s="7">
        <v>2521</v>
      </c>
      <c r="I5296" s="8" t="str">
        <f ca="1">IFERROR(__xludf.DUMMYFUNCTION("IF
(
G5297=""фізична особа""
,
VLOOKUP(H5297,IMPORTRANGE(""https://docs.google.com/spreadsheets/d/14Bd19lYaqBhU8_DElYkX7l4wRkHqqCUFNJY4AfY3kHU/edit?usp=sharing  #gid=0"",""фіз особи new!relations_name""),6,FALSE)
,
(IF
(
G5297=""юридична особа""
,
VLOOKUP"&amp;"(H5297,IMPORTRANGE(""https://docs.google.com/spreadsheets/d/14Bd19lYaqBhU8_DElYkX7l4wRkHqqCUFNJY4AfY3kHU/edit?usp=sharing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J5296" s="7" t="s">
        <v>48</v>
      </c>
    </row>
    <row r="5297" spans="1:10" ht="13.2">
      <c r="A5297" s="7">
        <v>5296</v>
      </c>
      <c r="B5297" s="7">
        <v>1</v>
      </c>
      <c r="C5297" s="7" t="s">
        <v>10</v>
      </c>
      <c r="D5297" s="7">
        <v>4275</v>
      </c>
      <c r="E5297" s="7" t="s">
        <v>14</v>
      </c>
      <c r="F5297" s="8" t="str">
        <f ca="1">IFERROR(__xludf.DUMMYFUNCTION("IF
(
C5298=""фізична особа""
,
VLOOKUP(D5298,IMPORTRANGE(""https://docs.google.com/spreadsheets/d/14Bd19lYaqBhU8_DElYkX7l4wRkHqqCUFNJY4AfY3kHU/edit?usp=sharing  #gid=0"",""фіз особи new!relations_name""),6,FALSE)
,
(IF
(
C5298=""юридична особа""
,
VLOOKUP"&amp;"(D5298,IMPORTRANGE(""https://docs.google.com/spreadsheets/d/14Bd19lYaqBhU8_DElYkX7l4wRkHqqCUFNJY4AfY3kHU/edit?usp=sharing  #gid=0"",""фіз особи new!relations_name_uo""),7,FALSE)
,
)
))"),"АЛЕКСЄЄНКО Андрій Анатолійович")</f>
        <v>АЛЕКСЄЄНКО Андрій Анатолійович</v>
      </c>
      <c r="G5297" s="7" t="s">
        <v>10</v>
      </c>
      <c r="H5297" s="7">
        <v>0</v>
      </c>
      <c r="I5297" s="8" t="str">
        <f ca="1">IFERROR(__xludf.DUMMYFUNCTION("IF
(
G5298=""фізична особа""
,
VLOOKUP(H5298,IMPORTRANGE(""https://docs.google.com/spreadsheets/d/14Bd19lYaqBhU8_DElYkX7l4wRkHqqCUFNJY4AfY3kHU/edit?usp=sharing  #gid=0"",""фіз особи new!relations_name""),6,FALSE)
,
(IF
(
G5298=""юридична особа""
,
VLOOKUP"&amp;"(H5298,IMPORTRANGE(""https://docs.google.com/spreadsheets/d/14Bd19lYaqBhU8_DElYkX7l4wRkHqqCUFNJY4AfY3kHU/edit?usp=sharing  #gid=0"",""фіз особи new!relations_name_uo""),7,FALSE)
,
)
))"),"#N/A")</f>
        <v>#N/A</v>
      </c>
      <c r="J5297" s="7" t="s">
        <v>15</v>
      </c>
    </row>
    <row r="5298" spans="1:10" ht="13.2">
      <c r="A5298" s="7">
        <v>5297</v>
      </c>
      <c r="B5298" s="7">
        <v>1</v>
      </c>
      <c r="C5298" s="7" t="s">
        <v>10</v>
      </c>
      <c r="D5298" s="7">
        <v>4275</v>
      </c>
      <c r="E5298" s="7" t="s">
        <v>12</v>
      </c>
      <c r="F5298" s="8" t="str">
        <f ca="1">IFERROR(__xludf.DUMMYFUNCTION("IF
(
C5299=""фізична особа""
,
VLOOKUP(D5299,IMPORTRANGE(""https://docs.google.com/spreadsheets/d/14Bd19lYaqBhU8_DElYkX7l4wRkHqqCUFNJY4AfY3kHU/edit?usp=sharing  #gid=0"",""фіз особи new!relations_name""),6,FALSE)
,
(IF
(
C5299=""юридична особа""
,
VLOOKUP"&amp;"(D5299,IMPORTRANGE(""https://docs.google.com/spreadsheets/d/14Bd19lYaqBhU8_DElYkX7l4wRkHqqCUFNJY4AfY3kHU/edit?usp=sharing  #gid=0"",""фіз особи new!relations_name_uo""),7,FALSE)
,
)
))"),"АЛЕКСЄЄНКО Андрій Анатолійович")</f>
        <v>АЛЕКСЄЄНКО Андрій Анатолійович</v>
      </c>
      <c r="G5298" s="7" t="s">
        <v>10</v>
      </c>
      <c r="H5298" s="7">
        <v>0</v>
      </c>
      <c r="I5298" s="8" t="str">
        <f ca="1">IFERROR(__xludf.DUMMYFUNCTION("IF
(
G5299=""фізична особа""
,
VLOOKUP(H5299,IMPORTRANGE(""https://docs.google.com/spreadsheets/d/14Bd19lYaqBhU8_DElYkX7l4wRkHqqCUFNJY4AfY3kHU/edit?usp=sharing  #gid=0"",""фіз особи new!relations_name""),6,FALSE)
,
(IF
(
G5299=""юридична особа""
,
VLOOKUP"&amp;"(H5299,IMPORTRANGE(""https://docs.google.com/spreadsheets/d/14Bd19lYaqBhU8_DElYkX7l4wRkHqqCUFNJY4AfY3kHU/edit?usp=sharing  #gid=0"",""фіз особи new!relations_name_uo""),7,FALSE)
,
)
))"),"#N/A")</f>
        <v>#N/A</v>
      </c>
      <c r="J5298" s="7" t="s">
        <v>13</v>
      </c>
    </row>
    <row r="5299" spans="1:10" ht="13.2">
      <c r="A5299" s="7">
        <v>5298</v>
      </c>
      <c r="B5299" s="7">
        <v>1</v>
      </c>
      <c r="C5299" s="7" t="s">
        <v>10</v>
      </c>
      <c r="D5299" s="7">
        <v>4275</v>
      </c>
      <c r="E5299" s="7" t="s">
        <v>12</v>
      </c>
      <c r="F5299" s="8" t="str">
        <f ca="1">IFERROR(__xludf.DUMMYFUNCTION("IF
(
C5300=""фізична особа""
,
VLOOKUP(D5300,IMPORTRANGE(""https://docs.google.com/spreadsheets/d/14Bd19lYaqBhU8_DElYkX7l4wRkHqqCUFNJY4AfY3kHU/edit?usp=sharing  #gid=0"",""фіз особи new!relations_name""),6,FALSE)
,
(IF
(
C5300=""юридична особа""
,
VLOOKUP"&amp;"(D5300,IMPORTRANGE(""https://docs.google.com/spreadsheets/d/14Bd19lYaqBhU8_DElYkX7l4wRkHqqCUFNJY4AfY3kHU/edit?usp=sharing  #gid=0"",""фіз особи new!relations_name_uo""),7,FALSE)
,
)
))"),"АЛЕКСЄЄНКО Андрій Анатолійович")</f>
        <v>АЛЕКСЄЄНКО Андрій Анатолійович</v>
      </c>
      <c r="G5299" s="7" t="s">
        <v>10</v>
      </c>
      <c r="H5299" s="7">
        <v>0</v>
      </c>
      <c r="I5299" s="8" t="str">
        <f ca="1">IFERROR(__xludf.DUMMYFUNCTION("IF
(
G5300=""фізична особа""
,
VLOOKUP(H5300,IMPORTRANGE(""https://docs.google.com/spreadsheets/d/14Bd19lYaqBhU8_DElYkX7l4wRkHqqCUFNJY4AfY3kHU/edit?usp=sharing  #gid=0"",""фіз особи new!relations_name""),6,FALSE)
,
(IF
(
G5300=""юридична особа""
,
VLOOKUP"&amp;"(H5300,IMPORTRANGE(""https://docs.google.com/spreadsheets/d/14Bd19lYaqBhU8_DElYkX7l4wRkHqqCUFNJY4AfY3kHU/edit?usp=sharing  #gid=0"",""фіз особи new!relations_name_uo""),7,FALSE)
,
)
))"),"#N/A")</f>
        <v>#N/A</v>
      </c>
      <c r="J5299" s="7" t="s">
        <v>17</v>
      </c>
    </row>
    <row r="5300" spans="1:10" ht="13.2">
      <c r="A5300" s="7">
        <v>5299</v>
      </c>
      <c r="B5300" s="7">
        <v>1</v>
      </c>
      <c r="C5300" s="7" t="s">
        <v>10</v>
      </c>
      <c r="D5300" s="7">
        <v>4277</v>
      </c>
      <c r="E5300" s="7" t="s">
        <v>26</v>
      </c>
      <c r="F5300" s="8" t="str">
        <f ca="1">IFERROR(__xludf.DUMMYFUNCTION("IF
(
C5301=""фізична особа""
,
VLOOKUP(D5301,IMPORTRANGE(""https://docs.google.com/spreadsheets/d/14Bd19lYaqBhU8_DElYkX7l4wRkHqqCUFNJY4AfY3kHU/edit?usp=sharing  #gid=0"",""фіз особи new!relations_name""),6,FALSE)
,
(IF
(
C5301=""юридична особа""
,
VLOOKUP"&amp;"(D5301,IMPORTRANGE(""https://docs.google.com/spreadsheets/d/14Bd19lYaqBhU8_DElYkX7l4wRkHqqCUFNJY4AfY3kHU/edit?usp=sharing  #gid=0"",""фіз особи new!relations_name_uo""),7,FALSE)
,
)
))"),"АФАНАСЬЄВ Михайло Сергійович")</f>
        <v>АФАНАСЬЄВ Михайло Сергійович</v>
      </c>
      <c r="G5300" s="7" t="s">
        <v>10</v>
      </c>
      <c r="H5300" s="7">
        <v>0</v>
      </c>
      <c r="I5300" s="8" t="str">
        <f ca="1">IFERROR(__xludf.DUMMYFUNCTION("IF
(
G5301=""фізична особа""
,
VLOOKUP(H5301,IMPORTRANGE(""https://docs.google.com/spreadsheets/d/14Bd19lYaqBhU8_DElYkX7l4wRkHqqCUFNJY4AfY3kHU/edit?usp=sharing  #gid=0"",""фіз особи new!relations_name""),6,FALSE)
,
(IF
(
G5301=""юридична особа""
,
VLOOKUP"&amp;"(H5301,IMPORTRANGE(""https://docs.google.com/spreadsheets/d/14Bd19lYaqBhU8_DElYkX7l4wRkHqqCUFNJY4AfY3kHU/edit?usp=sharing  #gid=0"",""фіз особи new!relations_name_uo""),7,FALSE)
,
)
))"),"#N/A")</f>
        <v>#N/A</v>
      </c>
      <c r="J5300" s="7" t="s">
        <v>50</v>
      </c>
    </row>
    <row r="5301" spans="1:10" ht="13.2">
      <c r="A5301" s="7">
        <v>5300</v>
      </c>
      <c r="B5301" s="7">
        <v>1</v>
      </c>
      <c r="C5301" s="7" t="s">
        <v>10</v>
      </c>
      <c r="D5301" s="7">
        <v>4277</v>
      </c>
      <c r="E5301" s="7" t="s">
        <v>26</v>
      </c>
      <c r="F5301" s="8" t="str">
        <f ca="1">IFERROR(__xludf.DUMMYFUNCTION("IF
(
C5302=""фізична особа""
,
VLOOKUP(D5302,IMPORTRANGE(""https://docs.google.com/spreadsheets/d/14Bd19lYaqBhU8_DElYkX7l4wRkHqqCUFNJY4AfY3kHU/edit?usp=sharing  #gid=0"",""фіз особи new!relations_name""),6,FALSE)
,
(IF
(
C5302=""юридична особа""
,
VLOOKUP"&amp;"(D5302,IMPORTRANGE(""https://docs.google.com/spreadsheets/d/14Bd19lYaqBhU8_DElYkX7l4wRkHqqCUFNJY4AfY3kHU/edit?usp=sharing  #gid=0"",""фіз особи new!relations_name_uo""),7,FALSE)
,
)
))"),"АФАНАСЬЄВ Михайло Сергійович")</f>
        <v>АФАНАСЬЄВ Михайло Сергійович</v>
      </c>
      <c r="G5301" s="7" t="s">
        <v>10</v>
      </c>
      <c r="H5301" s="7">
        <v>0</v>
      </c>
      <c r="I5301" s="8" t="str">
        <f ca="1">IFERROR(__xludf.DUMMYFUNCTION("IF
(
G5302=""фізична особа""
,
VLOOKUP(H5302,IMPORTRANGE(""https://docs.google.com/spreadsheets/d/14Bd19lYaqBhU8_DElYkX7l4wRkHqqCUFNJY4AfY3kHU/edit?usp=sharing  #gid=0"",""фіз особи new!relations_name""),6,FALSE)
,
(IF
(
G5302=""юридична особа""
,
VLOOKUP"&amp;"(H5302,IMPORTRANGE(""https://docs.google.com/spreadsheets/d/14Bd19lYaqBhU8_DElYkX7l4wRkHqqCUFNJY4AfY3kHU/edit?usp=sharing  #gid=0"",""фіз особи new!relations_name_uo""),7,FALSE)
,
)
))"),"#N/A")</f>
        <v>#N/A</v>
      </c>
      <c r="J5301" s="7" t="s">
        <v>24</v>
      </c>
    </row>
    <row r="5302" spans="1:10" ht="13.2">
      <c r="A5302" s="7">
        <v>5301</v>
      </c>
      <c r="B5302" s="7">
        <v>1</v>
      </c>
      <c r="C5302" s="7" t="s">
        <v>10</v>
      </c>
      <c r="D5302" s="7">
        <v>4280</v>
      </c>
      <c r="E5302" s="7" t="s">
        <v>16</v>
      </c>
      <c r="F5302" s="8" t="str">
        <f ca="1">IFERROR(__xludf.DUMMYFUNCTION("IF
(
C5303=""фізична особа""
,
VLOOKUP(D5303,IMPORTRANGE(""https://docs.google.com/spreadsheets/d/14Bd19lYaqBhU8_DElYkX7l4wRkHqqCUFNJY4AfY3kHU/edit?usp=sharing  #gid=0"",""фіз особи new!relations_name""),6,FALSE)
,
(IF
(
C5303=""юридична особа""
,
VLOOKUP"&amp;"(D5303,IMPORTRANGE(""https://docs.google.com/spreadsheets/d/14Bd19lYaqBhU8_DElYkX7l4wRkHqqCUFNJY4AfY3kHU/edit?usp=sharing  #gid=0"",""фіз особи new!relations_name_uo""),7,FALSE)
,
)
))"),"ЛУКІЄНКО Анатолій Євгенович")</f>
        <v>ЛУКІЄНКО Анатолій Євгенович</v>
      </c>
      <c r="G5302" s="7" t="s">
        <v>10</v>
      </c>
      <c r="H5302" s="7">
        <v>66</v>
      </c>
      <c r="I5302" s="8" t="str">
        <f ca="1">IFERROR(__xludf.DUMMYFUNCTION("IF
(
G5303=""фізична особа""
,
VLOOKUP(H5303,IMPORTRANGE(""https://docs.google.com/spreadsheets/d/14Bd19lYaqBhU8_DElYkX7l4wRkHqqCUFNJY4AfY3kHU/edit?usp=sharing  #gid=0"",""фіз особи new!relations_name""),6,FALSE)
,
(IF
(
G5303=""юридична особа""
,
VLOOKUP"&amp;"(H5303,IMPORTRANGE(""https://docs.google.com/spreadsheets/d/14Bd19lYaqBhU8_DElYkX7l4wRkHqqCUFNJY4AfY3kHU/edit?usp=sharing  #gid=0"",""фіз особи new!relations_name_uo""),7,FALSE)
,
)
))"),"ТРИФОНОВ Андрій Федорович")</f>
        <v>ТРИФОНОВ Андрій Федорович</v>
      </c>
      <c r="J5302" s="7" t="s">
        <v>16</v>
      </c>
    </row>
    <row r="5303" spans="1:10" ht="13.2">
      <c r="A5303" s="7">
        <v>5302</v>
      </c>
      <c r="B5303" s="7">
        <v>1</v>
      </c>
      <c r="C5303" s="7" t="s">
        <v>10</v>
      </c>
      <c r="D5303" s="7">
        <v>4281</v>
      </c>
      <c r="E5303" s="7" t="s">
        <v>14</v>
      </c>
      <c r="F5303" s="8" t="str">
        <f ca="1">IFERROR(__xludf.DUMMYFUNCTION("IF
(
C5304=""фізична особа""
,
VLOOKUP(D5304,IMPORTRANGE(""https://docs.google.com/spreadsheets/d/14Bd19lYaqBhU8_DElYkX7l4wRkHqqCUFNJY4AfY3kHU/edit?usp=sharing  #gid=0"",""фіз особи new!relations_name""),6,FALSE)
,
(IF
(
C5304=""юридична особа""
,
VLOOKUP"&amp;"(D5304,IMPORTRANGE(""https://docs.google.com/spreadsheets/d/14Bd19lYaqBhU8_DElYkX7l4wRkHqqCUFNJY4AfY3kHU/edit?usp=sharing  #gid=0"",""фіз особи new!relations_name_uo""),7,FALSE)
,
)
))"),"КОСЕНКОВ Максим Юрійович")</f>
        <v>КОСЕНКОВ Максим Юрійович</v>
      </c>
      <c r="G5303" s="7" t="s">
        <v>10</v>
      </c>
      <c r="H5303" s="7">
        <v>0</v>
      </c>
      <c r="I5303" s="8" t="str">
        <f ca="1">IFERROR(__xludf.DUMMYFUNCTION("IF
(
G5304=""фізична особа""
,
VLOOKUP(H5304,IMPORTRANGE(""https://docs.google.com/spreadsheets/d/14Bd19lYaqBhU8_DElYkX7l4wRkHqqCUFNJY4AfY3kHU/edit?usp=sharing  #gid=0"",""фіз особи new!relations_name""),6,FALSE)
,
(IF
(
G5304=""юридична особа""
,
VLOOKUP"&amp;"(H5304,IMPORTRANGE(""https://docs.google.com/spreadsheets/d/14Bd19lYaqBhU8_DElYkX7l4wRkHqqCUFNJY4AfY3kHU/edit?usp=sharing  #gid=0"",""фіз особи new!relations_name_uo""),7,FALSE)
,
)
))"),"#N/A")</f>
        <v>#N/A</v>
      </c>
      <c r="J5303" s="7" t="s">
        <v>15</v>
      </c>
    </row>
    <row r="5304" spans="1:10" ht="13.2">
      <c r="A5304" s="7">
        <v>5303</v>
      </c>
      <c r="B5304" s="7">
        <v>1</v>
      </c>
      <c r="C5304" s="7" t="s">
        <v>10</v>
      </c>
      <c r="D5304" s="7">
        <v>4282</v>
      </c>
      <c r="E5304" s="7" t="s">
        <v>17</v>
      </c>
      <c r="F5304" s="8" t="str">
        <f ca="1">IFERROR(__xludf.DUMMYFUNCTION("IF
(
C5305=""фізична особа""
,
VLOOKUP(D5305,IMPORTRANGE(""https://docs.google.com/spreadsheets/d/14Bd19lYaqBhU8_DElYkX7l4wRkHqqCUFNJY4AfY3kHU/edit?usp=sharing  #gid=0"",""фіз особи new!relations_name""),6,FALSE)
,
(IF
(
C5305=""юридична особа""
,
VLOOKUP"&amp;"(D5305,IMPORTRANGE(""https://docs.google.com/spreadsheets/d/14Bd19lYaqBhU8_DElYkX7l4wRkHqqCUFNJY4AfY3kHU/edit?usp=sharing  #gid=0"",""фіз особи new!relations_name_uo""),7,FALSE)
,
)
))"),"КОРЖ Євгеній Євгенович")</f>
        <v>КОРЖ Євгеній Євгенович</v>
      </c>
      <c r="G5304" s="7" t="s">
        <v>10</v>
      </c>
      <c r="H5304" s="7">
        <v>0</v>
      </c>
      <c r="I5304" s="8" t="str">
        <f ca="1">IFERROR(__xludf.DUMMYFUNCTION("IF
(
G5305=""фізична особа""
,
VLOOKUP(H5305,IMPORTRANGE(""https://docs.google.com/spreadsheets/d/14Bd19lYaqBhU8_DElYkX7l4wRkHqqCUFNJY4AfY3kHU/edit?usp=sharing  #gid=0"",""фіз особи new!relations_name""),6,FALSE)
,
(IF
(
G5305=""юридична особа""
,
VLOOKUP"&amp;"(H5305,IMPORTRANGE(""https://docs.google.com/spreadsheets/d/14Bd19lYaqBhU8_DElYkX7l4wRkHqqCUFNJY4AfY3kHU/edit?usp=sharing  #gid=0"",""фіз особи new!relations_name_uo""),7,FALSE)
,
)
))"),"#N/A")</f>
        <v>#N/A</v>
      </c>
      <c r="J5304" s="7" t="s">
        <v>21</v>
      </c>
    </row>
    <row r="5305" spans="1:10" ht="13.2">
      <c r="A5305" s="7">
        <v>5304</v>
      </c>
      <c r="B5305" s="7">
        <v>1</v>
      </c>
      <c r="C5305" s="7" t="s">
        <v>10</v>
      </c>
      <c r="D5305" s="7">
        <v>4282</v>
      </c>
      <c r="E5305" s="7" t="s">
        <v>12</v>
      </c>
      <c r="F5305" s="8" t="str">
        <f ca="1">IFERROR(__xludf.DUMMYFUNCTION("IF
(
C5306=""фізична особа""
,
VLOOKUP(D5306,IMPORTRANGE(""https://docs.google.com/spreadsheets/d/14Bd19lYaqBhU8_DElYkX7l4wRkHqqCUFNJY4AfY3kHU/edit?usp=sharing  #gid=0"",""фіз особи new!relations_name""),6,FALSE)
,
(IF
(
C5306=""юридична особа""
,
VLOOKUP"&amp;"(D5306,IMPORTRANGE(""https://docs.google.com/spreadsheets/d/14Bd19lYaqBhU8_DElYkX7l4wRkHqqCUFNJY4AfY3kHU/edit?usp=sharing  #gid=0"",""фіз особи new!relations_name_uo""),7,FALSE)
,
)
))"),"КОРЖ Євгеній Євгенович")</f>
        <v>КОРЖ Євгеній Євгенович</v>
      </c>
      <c r="G5305" s="7" t="s">
        <v>10</v>
      </c>
      <c r="H5305" s="7">
        <v>0</v>
      </c>
      <c r="I5305" s="8" t="str">
        <f ca="1">IFERROR(__xludf.DUMMYFUNCTION("IF
(
G5306=""фізична особа""
,
VLOOKUP(H5306,IMPORTRANGE(""https://docs.google.com/spreadsheets/d/14Bd19lYaqBhU8_DElYkX7l4wRkHqqCUFNJY4AfY3kHU/edit?usp=sharing  #gid=0"",""фіз особи new!relations_name""),6,FALSE)
,
(IF
(
G5306=""юридична особа""
,
VLOOKUP"&amp;"(H5306,IMPORTRANGE(""https://docs.google.com/spreadsheets/d/14Bd19lYaqBhU8_DElYkX7l4wRkHqqCUFNJY4AfY3kHU/edit?usp=sharing  #gid=0"",""фіз особи new!relations_name_uo""),7,FALSE)
,
)
))"),"#N/A")</f>
        <v>#N/A</v>
      </c>
      <c r="J5305" s="7" t="s">
        <v>17</v>
      </c>
    </row>
    <row r="5306" spans="1:10" ht="13.2">
      <c r="A5306" s="7">
        <v>5305</v>
      </c>
      <c r="B5306" s="7">
        <v>1</v>
      </c>
      <c r="C5306" s="7" t="s">
        <v>10</v>
      </c>
      <c r="D5306" s="7">
        <v>4282</v>
      </c>
      <c r="E5306" s="7" t="s">
        <v>12</v>
      </c>
      <c r="F5306" s="8" t="str">
        <f ca="1">IFERROR(__xludf.DUMMYFUNCTION("IF
(
C5307=""фізична особа""
,
VLOOKUP(D5307,IMPORTRANGE(""https://docs.google.com/spreadsheets/d/14Bd19lYaqBhU8_DElYkX7l4wRkHqqCUFNJY4AfY3kHU/edit?usp=sharing  #gid=0"",""фіз особи new!relations_name""),6,FALSE)
,
(IF
(
C5307=""юридична особа""
,
VLOOKUP"&amp;"(D5307,IMPORTRANGE(""https://docs.google.com/spreadsheets/d/14Bd19lYaqBhU8_DElYkX7l4wRkHqqCUFNJY4AfY3kHU/edit?usp=sharing  #gid=0"",""фіз особи new!relations_name_uo""),7,FALSE)
,
)
))"),"КОРЖ Євгеній Євгенович")</f>
        <v>КОРЖ Євгеній Євгенович</v>
      </c>
      <c r="G5306" s="7" t="s">
        <v>10</v>
      </c>
      <c r="H5306" s="7">
        <v>0</v>
      </c>
      <c r="I5306" s="8" t="str">
        <f ca="1">IFERROR(__xludf.DUMMYFUNCTION("IF
(
G5307=""фізична особа""
,
VLOOKUP(H5307,IMPORTRANGE(""https://docs.google.com/spreadsheets/d/14Bd19lYaqBhU8_DElYkX7l4wRkHqqCUFNJY4AfY3kHU/edit?usp=sharing  #gid=0"",""фіз особи new!relations_name""),6,FALSE)
,
(IF
(
G5307=""юридична особа""
,
VLOOKUP"&amp;"(H5307,IMPORTRANGE(""https://docs.google.com/spreadsheets/d/14Bd19lYaqBhU8_DElYkX7l4wRkHqqCUFNJY4AfY3kHU/edit?usp=sharing  #gid=0"",""фіз особи new!relations_name_uo""),7,FALSE)
,
)
))"),"#N/A")</f>
        <v>#N/A</v>
      </c>
      <c r="J5306" s="7" t="s">
        <v>17</v>
      </c>
    </row>
    <row r="5307" spans="1:10" ht="13.2">
      <c r="A5307" s="7">
        <v>5306</v>
      </c>
      <c r="B5307" s="7">
        <v>1</v>
      </c>
      <c r="C5307" s="7" t="s">
        <v>10</v>
      </c>
      <c r="D5307" s="7">
        <v>4283</v>
      </c>
      <c r="E5307" s="7" t="s">
        <v>12</v>
      </c>
      <c r="F5307" s="8" t="str">
        <f ca="1">IFERROR(__xludf.DUMMYFUNCTION("IF
(
C5308=""фізична особа""
,
VLOOKUP(D5308,IMPORTRANGE(""https://docs.google.com/spreadsheets/d/14Bd19lYaqBhU8_DElYkX7l4wRkHqqCUFNJY4AfY3kHU/edit?usp=sharing  #gid=0"",""фіз особи new!relations_name""),6,FALSE)
,
(IF
(
C5308=""юридична особа""
,
VLOOKUP"&amp;"(D5308,IMPORTRANGE(""https://docs.google.com/spreadsheets/d/14Bd19lYaqBhU8_DElYkX7l4wRkHqqCUFNJY4AfY3kHU/edit?usp=sharing  #gid=0"",""фіз особи new!relations_name_uo""),7,FALSE)
,
)
))"),"ВОРОНІН Ігор Миколайович")</f>
        <v>ВОРОНІН Ігор Миколайович</v>
      </c>
      <c r="G5307" s="7" t="s">
        <v>10</v>
      </c>
      <c r="H5307" s="7">
        <v>0</v>
      </c>
      <c r="I5307" s="8" t="str">
        <f ca="1">IFERROR(__xludf.DUMMYFUNCTION("IF
(
G5308=""фізична особа""
,
VLOOKUP(H5308,IMPORTRANGE(""https://docs.google.com/spreadsheets/d/14Bd19lYaqBhU8_DElYkX7l4wRkHqqCUFNJY4AfY3kHU/edit?usp=sharing  #gid=0"",""фіз особи new!relations_name""),6,FALSE)
,
(IF
(
G5308=""юридична особа""
,
VLOOKUP"&amp;"(H5308,IMPORTRANGE(""https://docs.google.com/spreadsheets/d/14Bd19lYaqBhU8_DElYkX7l4wRkHqqCUFNJY4AfY3kHU/edit?usp=sharing  #gid=0"",""фіз особи new!relations_name_uo""),7,FALSE)
,
)
))"),"#N/A")</f>
        <v>#N/A</v>
      </c>
      <c r="J5307" s="7" t="s">
        <v>17</v>
      </c>
    </row>
    <row r="5308" spans="1:10" ht="13.2">
      <c r="A5308" s="7">
        <v>5307</v>
      </c>
      <c r="B5308" s="7">
        <v>1</v>
      </c>
      <c r="C5308" s="7" t="s">
        <v>10</v>
      </c>
      <c r="D5308" s="7">
        <v>4284</v>
      </c>
      <c r="E5308" s="7" t="s">
        <v>14</v>
      </c>
      <c r="F5308" s="8" t="str">
        <f ca="1">IFERROR(__xludf.DUMMYFUNCTION("IF
(
C5309=""фізична особа""
,
VLOOKUP(D5309,IMPORTRANGE(""https://docs.google.com/spreadsheets/d/14Bd19lYaqBhU8_DElYkX7l4wRkHqqCUFNJY4AfY3kHU/edit?usp=sharing  #gid=0"",""фіз особи new!relations_name""),6,FALSE)
,
(IF
(
C5309=""юридична особа""
,
VLOOKUP"&amp;"(D5309,IMPORTRANGE(""https://docs.google.com/spreadsheets/d/14Bd19lYaqBhU8_DElYkX7l4wRkHqqCUFNJY4AfY3kHU/edit?usp=sharing  #gid=0"",""фіз особи new!relations_name_uo""),7,FALSE)
,
)
))"),"ВОРОПАНОВ Сергій Олександрович")</f>
        <v>ВОРОПАНОВ Сергій Олександрович</v>
      </c>
      <c r="G5308" s="7" t="s">
        <v>10</v>
      </c>
      <c r="H5308" s="7">
        <v>0</v>
      </c>
      <c r="I5308" s="8" t="str">
        <f ca="1">IFERROR(__xludf.DUMMYFUNCTION("IF
(
G5309=""фізична особа""
,
VLOOKUP(H5309,IMPORTRANGE(""https://docs.google.com/spreadsheets/d/14Bd19lYaqBhU8_DElYkX7l4wRkHqqCUFNJY4AfY3kHU/edit?usp=sharing  #gid=0"",""фіз особи new!relations_name""),6,FALSE)
,
(IF
(
G5309=""юридична особа""
,
VLOOKUP"&amp;"(H5309,IMPORTRANGE(""https://docs.google.com/spreadsheets/d/14Bd19lYaqBhU8_DElYkX7l4wRkHqqCUFNJY4AfY3kHU/edit?usp=sharing  #gid=0"",""фіз особи new!relations_name_uo""),7,FALSE)
,
)
))"),"#N/A")</f>
        <v>#N/A</v>
      </c>
      <c r="J5308" s="7" t="s">
        <v>15</v>
      </c>
    </row>
    <row r="5309" spans="1:10" ht="13.2">
      <c r="A5309" s="7">
        <v>5308</v>
      </c>
      <c r="B5309" s="7">
        <v>1</v>
      </c>
      <c r="C5309" s="7" t="s">
        <v>10</v>
      </c>
      <c r="D5309" s="7">
        <v>4292</v>
      </c>
      <c r="E5309" s="7" t="s">
        <v>20</v>
      </c>
      <c r="F5309" s="8" t="str">
        <f ca="1">IFERROR(__xludf.DUMMYFUNCTION("IF
(
C5310=""фізична особа""
,
VLOOKUP(D5310,IMPORTRANGE(""https://docs.google.com/spreadsheets/d/14Bd19lYaqBhU8_DElYkX7l4wRkHqqCUFNJY4AfY3kHU/edit?usp=sharing  #gid=0"",""фіз особи new!relations_name""),6,FALSE)
,
(IF
(
C5310=""юридична особа""
,
VLOOKUP"&amp;"(D5310,IMPORTRANGE(""https://docs.google.com/spreadsheets/d/14Bd19lYaqBhU8_DElYkX7l4wRkHqqCUFNJY4AfY3kHU/edit?usp=sharing  #gid=0"",""фіз особи new!relations_name_uo""),7,FALSE)
,
)
))"),"КАДИРОВ Хас-Магомед Шахмомедович")</f>
        <v>КАДИРОВ Хас-Магомед Шахмомедович</v>
      </c>
      <c r="G5309" s="7" t="s">
        <v>10</v>
      </c>
      <c r="H5309" s="7">
        <v>609</v>
      </c>
      <c r="I5309" s="8" t="str">
        <f ca="1">IFERROR(__xludf.DUMMYFUNCTION("IF
(
G5310=""фізична особа""
,
VLOOKUP(H5310,IMPORTRANGE(""https://docs.google.com/spreadsheets/d/14Bd19lYaqBhU8_DElYkX7l4wRkHqqCUFNJY4AfY3kHU/edit?usp=sharing  #gid=0"",""фіз особи new!relations_name""),6,FALSE)
,
(IF
(
G5310=""юридична особа""
,
VLOOKUP"&amp;"(H5310,IMPORTRANGE(""https://docs.google.com/spreadsheets/d/14Bd19lYaqBhU8_DElYkX7l4wRkHqqCUFNJY4AfY3kHU/edit?usp=sharing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5309" s="7" t="s">
        <v>19</v>
      </c>
    </row>
    <row r="5310" spans="1:10" ht="13.2">
      <c r="A5310" s="7">
        <v>5309</v>
      </c>
      <c r="B5310" s="7">
        <v>1</v>
      </c>
      <c r="C5310" s="7" t="s">
        <v>10</v>
      </c>
      <c r="D5310" s="7">
        <v>4303</v>
      </c>
      <c r="E5310" s="7" t="s">
        <v>17</v>
      </c>
      <c r="F5310" s="8" t="str">
        <f ca="1">IFERROR(__xludf.DUMMYFUNCTION("IF
(
C5311=""фізична особа""
,
VLOOKUP(D5311,IMPORTRANGE(""https://docs.google.com/spreadsheets/d/14Bd19lYaqBhU8_DElYkX7l4wRkHqqCUFNJY4AfY3kHU/edit?usp=sharing  #gid=0"",""фіз особи new!relations_name""),6,FALSE)
,
(IF
(
C5311=""юридична особа""
,
VLOOKUP"&amp;"(D5311,IMPORTRANGE(""https://docs.google.com/spreadsheets/d/14Bd19lYaqBhU8_DElYkX7l4wRkHqqCUFNJY4AfY3kHU/edit?usp=sharing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G5310" s="7" t="s">
        <v>10</v>
      </c>
      <c r="H5310" s="7">
        <v>846</v>
      </c>
      <c r="I5310" s="8" t="str">
        <f ca="1">IFERROR(__xludf.DUMMYFUNCTION("IF
(
G5311=""фізична особа""
,
VLOOKUP(H5311,IMPORTRANGE(""https://docs.google.com/spreadsheets/d/14Bd19lYaqBhU8_DElYkX7l4wRkHqqCUFNJY4AfY3kHU/edit?usp=sharing  #gid=0"",""фіз особи new!relations_name""),6,FALSE)
,
(IF
(
G5311=""юридична особа""
,
VLOOKUP"&amp;"(H5311,IMPORTRANGE(""https://docs.google.com/spreadsheets/d/14Bd19lYaqBhU8_DElYkX7l4wRkHqqCUFNJY4AfY3kHU/edit?usp=sharing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J5310" s="7" t="s">
        <v>12</v>
      </c>
    </row>
    <row r="5311" spans="1:10" ht="13.2">
      <c r="A5311" s="7">
        <v>5310</v>
      </c>
      <c r="B5311" s="7">
        <v>1</v>
      </c>
      <c r="C5311" s="7" t="s">
        <v>10</v>
      </c>
      <c r="D5311" s="7">
        <v>4303</v>
      </c>
      <c r="E5311" s="7" t="s">
        <v>17</v>
      </c>
      <c r="F5311" s="8" t="str">
        <f ca="1">IFERROR(__xludf.DUMMYFUNCTION("IF
(
C5312=""фізична особа""
,
VLOOKUP(D5312,IMPORTRANGE(""https://docs.google.com/spreadsheets/d/14Bd19lYaqBhU8_DElYkX7l4wRkHqqCUFNJY4AfY3kHU/edit?usp=sharing  #gid=0"",""фіз особи new!relations_name""),6,FALSE)
,
(IF
(
C5312=""юридична особа""
,
VLOOKUP"&amp;"(D5312,IMPORTRANGE(""https://docs.google.com/spreadsheets/d/14Bd19lYaqBhU8_DElYkX7l4wRkHqqCUFNJY4AfY3kHU/edit?usp=sharing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G5311" s="7" t="s">
        <v>10</v>
      </c>
      <c r="H5311" s="7">
        <v>4304</v>
      </c>
      <c r="I5311" s="8" t="str">
        <f ca="1">IFERROR(__xludf.DUMMYFUNCTION("IF
(
G5312=""фізична особа""
,
VLOOKUP(H5312,IMPORTRANGE(""https://docs.google.com/spreadsheets/d/14Bd19lYaqBhU8_DElYkX7l4wRkHqqCUFNJY4AfY3kHU/edit?usp=sharing  #gid=0"",""фіз особи new!relations_name""),6,FALSE)
,
(IF
(
G5312=""юридична особа""
,
VLOOKUP"&amp;"(H5312,IMPORTRANGE(""https://docs.google.com/spreadsheets/d/14Bd19lYaqBhU8_DElYkX7l4wRkHqqCUFNJY4AfY3kHU/edit?usp=sharing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J5311" s="7" t="s">
        <v>21</v>
      </c>
    </row>
    <row r="5312" spans="1:10" ht="13.2">
      <c r="A5312" s="7">
        <v>5311</v>
      </c>
      <c r="B5312" s="7">
        <v>1</v>
      </c>
      <c r="C5312" s="7" t="s">
        <v>10</v>
      </c>
      <c r="D5312" s="7">
        <v>4303</v>
      </c>
      <c r="E5312" s="7" t="s">
        <v>18</v>
      </c>
      <c r="F5312" s="8" t="str">
        <f ca="1">IFERROR(__xludf.DUMMYFUNCTION("IF
(
C5313=""фізична особа""
,
VLOOKUP(D5313,IMPORTRANGE(""https://docs.google.com/spreadsheets/d/14Bd19lYaqBhU8_DElYkX7l4wRkHqqCUFNJY4AfY3kHU/edit?usp=sharing  #gid=0"",""фіз особи new!relations_name""),6,FALSE)
,
(IF
(
C5313=""юридична особа""
,
VLOOKUP"&amp;"(D5313,IMPORTRANGE(""https://docs.google.com/spreadsheets/d/14Bd19lYaqBhU8_DElYkX7l4wRkHqqCUFNJY4AfY3kHU/edit?usp=sharing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G5312" s="7" t="s">
        <v>10</v>
      </c>
      <c r="H5312" s="7">
        <v>4305</v>
      </c>
      <c r="I5312" s="8" t="str">
        <f ca="1">IFERROR(__xludf.DUMMYFUNCTION("IF
(
G5313=""фізична особа""
,
VLOOKUP(H5313,IMPORTRANGE(""https://docs.google.com/spreadsheets/d/14Bd19lYaqBhU8_DElYkX7l4wRkHqqCUFNJY4AfY3kHU/edit?usp=sharing  #gid=0"",""фіз особи new!relations_name""),6,FALSE)
,
(IF
(
G5313=""юридична особа""
,
VLOOKUP"&amp;"(H5313,IMPORTRANGE(""https://docs.google.com/spreadsheets/d/14Bd19lYaqBhU8_DElYkX7l4wRkHqqCUFNJY4AfY3kHU/edit?usp=sharing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J5312" s="7" t="s">
        <v>18</v>
      </c>
    </row>
    <row r="5313" spans="1:10" ht="13.2">
      <c r="A5313" s="7">
        <v>5312</v>
      </c>
      <c r="B5313" s="7">
        <v>1</v>
      </c>
      <c r="C5313" s="7" t="s">
        <v>10</v>
      </c>
      <c r="D5313" s="7">
        <v>4304</v>
      </c>
      <c r="E5313" s="7" t="s">
        <v>15</v>
      </c>
      <c r="F5313" s="8" t="str">
        <f ca="1">IFERROR(__xludf.DUMMYFUNCTION("IF
(
C5314=""фізична особа""
,
VLOOKUP(D5314,IMPORTRANGE(""https://docs.google.com/spreadsheets/d/14Bd19lYaqBhU8_DElYkX7l4wRkHqqCUFNJY4AfY3kHU/edit?usp=sharing  #gid=0"",""фіз особи new!relations_name""),6,FALSE)
,
(IF
(
C5314=""юридична особа""
,
VLOOKUP"&amp;"(D5314,IMPORTRANGE(""https://docs.google.com/spreadsheets/d/14Bd19lYaqBhU8_DElYkX7l4wRkHqqCUFNJY4AfY3kHU/edit?usp=sharing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G5313" s="7" t="s">
        <v>10</v>
      </c>
      <c r="H5313" s="7">
        <v>846</v>
      </c>
      <c r="I5313" s="8" t="str">
        <f ca="1">IFERROR(__xludf.DUMMYFUNCTION("IF
(
G5314=""фізична особа""
,
VLOOKUP(H5314,IMPORTRANGE(""https://docs.google.com/spreadsheets/d/14Bd19lYaqBhU8_DElYkX7l4wRkHqqCUFNJY4AfY3kHU/edit?usp=sharing  #gid=0"",""фіз особи new!relations_name""),6,FALSE)
,
(IF
(
G5314=""юридична особа""
,
VLOOKUP"&amp;"(H5314,IMPORTRANGE(""https://docs.google.com/spreadsheets/d/14Bd19lYaqBhU8_DElYkX7l4wRkHqqCUFNJY4AfY3kHU/edit?usp=sharing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J5313" s="7" t="s">
        <v>14</v>
      </c>
    </row>
    <row r="5314" spans="1:10" ht="13.2">
      <c r="A5314" s="7">
        <v>5313</v>
      </c>
      <c r="B5314" s="7">
        <v>1</v>
      </c>
      <c r="C5314" s="7" t="s">
        <v>10</v>
      </c>
      <c r="D5314" s="7">
        <v>4304</v>
      </c>
      <c r="E5314" s="7" t="s">
        <v>21</v>
      </c>
      <c r="F5314" s="8" t="str">
        <f ca="1">IFERROR(__xludf.DUMMYFUNCTION("IF
(
C5315=""фізична особа""
,
VLOOKUP(D5315,IMPORTRANGE(""https://docs.google.com/spreadsheets/d/14Bd19lYaqBhU8_DElYkX7l4wRkHqqCUFNJY4AfY3kHU/edit?usp=sharing  #gid=0"",""фіз особи new!relations_name""),6,FALSE)
,
(IF
(
C5315=""юридична особа""
,
VLOOKUP"&amp;"(D5315,IMPORTRANGE(""https://docs.google.com/spreadsheets/d/14Bd19lYaqBhU8_DElYkX7l4wRkHqqCUFNJY4AfY3kHU/edit?usp=sharing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G5314" s="7" t="s">
        <v>10</v>
      </c>
      <c r="H5314" s="7">
        <v>4303</v>
      </c>
      <c r="I5314" s="8" t="str">
        <f ca="1">IFERROR(__xludf.DUMMYFUNCTION("IF
(
G5315=""фізична особа""
,
VLOOKUP(H5315,IMPORTRANGE(""https://docs.google.com/spreadsheets/d/14Bd19lYaqBhU8_DElYkX7l4wRkHqqCUFNJY4AfY3kHU/edit?usp=sharing  #gid=0"",""фіз особи new!relations_name""),6,FALSE)
,
(IF
(
G5315=""юридична особа""
,
VLOOKUP"&amp;"(H5315,IMPORTRANGE(""https://docs.google.com/spreadsheets/d/14Bd19lYaqBhU8_DElYkX7l4wRkHqqCUFNJY4AfY3kHU/edit?usp=sharing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J5314" s="7" t="s">
        <v>17</v>
      </c>
    </row>
    <row r="5315" spans="1:10" ht="13.2">
      <c r="A5315" s="7">
        <v>5314</v>
      </c>
      <c r="B5315" s="7">
        <v>1</v>
      </c>
      <c r="C5315" s="7" t="s">
        <v>10</v>
      </c>
      <c r="D5315" s="7">
        <v>4304</v>
      </c>
      <c r="E5315" s="7" t="s">
        <v>21</v>
      </c>
      <c r="F5315" s="8" t="str">
        <f ca="1">IFERROR(__xludf.DUMMYFUNCTION("IF
(
C5316=""фізична особа""
,
VLOOKUP(D5316,IMPORTRANGE(""https://docs.google.com/spreadsheets/d/14Bd19lYaqBhU8_DElYkX7l4wRkHqqCUFNJY4AfY3kHU/edit?usp=sharing  #gid=0"",""фіз особи new!relations_name""),6,FALSE)
,
(IF
(
C5316=""юридична особа""
,
VLOOKUP"&amp;"(D5316,IMPORTRANGE(""https://docs.google.com/spreadsheets/d/14Bd19lYaqBhU8_DElYkX7l4wRkHqqCUFNJY4AfY3kHU/edit?usp=sharing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G5315" s="7" t="s">
        <v>10</v>
      </c>
      <c r="H5315" s="7">
        <v>4305</v>
      </c>
      <c r="I5315" s="8" t="str">
        <f ca="1">IFERROR(__xludf.DUMMYFUNCTION("IF
(
G5316=""фізична особа""
,
VLOOKUP(H5316,IMPORTRANGE(""https://docs.google.com/spreadsheets/d/14Bd19lYaqBhU8_DElYkX7l4wRkHqqCUFNJY4AfY3kHU/edit?usp=sharing  #gid=0"",""фіз особи new!relations_name""),6,FALSE)
,
(IF
(
G5316=""юридична особа""
,
VLOOKUP"&amp;"(H5316,IMPORTRANGE(""https://docs.google.com/spreadsheets/d/14Bd19lYaqBhU8_DElYkX7l4wRkHqqCUFNJY4AfY3kHU/edit?usp=sharing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J5315" s="7" t="s">
        <v>17</v>
      </c>
    </row>
    <row r="5316" spans="1:10" ht="13.2">
      <c r="A5316" s="7">
        <v>5315</v>
      </c>
      <c r="B5316" s="7">
        <v>1</v>
      </c>
      <c r="C5316" s="7" t="s">
        <v>10</v>
      </c>
      <c r="D5316" s="7">
        <v>4305</v>
      </c>
      <c r="E5316" s="7" t="s">
        <v>17</v>
      </c>
      <c r="F5316" s="8" t="str">
        <f ca="1">IFERROR(__xludf.DUMMYFUNCTION("IF
(
C5317=""фізична особа""
,
VLOOKUP(D5317,IMPORTRANGE(""https://docs.google.com/spreadsheets/d/14Bd19lYaqBhU8_DElYkX7l4wRkHqqCUFNJY4AfY3kHU/edit?usp=sharing  #gid=0"",""фіз особи new!relations_name""),6,FALSE)
,
(IF
(
C5317=""юридична особа""
,
VLOOKUP"&amp;"(D5317,IMPORTRANGE(""https://docs.google.com/spreadsheets/d/14Bd19lYaqBhU8_DElYkX7l4wRkHqqCUFNJY4AfY3kHU/edit?usp=sharing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G5316" s="7" t="s">
        <v>10</v>
      </c>
      <c r="H5316" s="7">
        <v>846</v>
      </c>
      <c r="I5316" s="8" t="str">
        <f ca="1">IFERROR(__xludf.DUMMYFUNCTION("IF
(
G5317=""фізична особа""
,
VLOOKUP(H5317,IMPORTRANGE(""https://docs.google.com/spreadsheets/d/14Bd19lYaqBhU8_DElYkX7l4wRkHqqCUFNJY4AfY3kHU/edit?usp=sharing  #gid=0"",""фіз особи new!relations_name""),6,FALSE)
,
(IF
(
G5317=""юридична особа""
,
VLOOKUP"&amp;"(H5317,IMPORTRANGE(""https://docs.google.com/spreadsheets/d/14Bd19lYaqBhU8_DElYkX7l4wRkHqqCUFNJY4AfY3kHU/edit?usp=sharing  #gid=0"",""фіз особи new!relations_name_uo""),7,FALSE)
,
)
))"),"ЛЕБЄДЄВ Володимир Альбертович")</f>
        <v>ЛЕБЄДЄВ Володимир Альбертович</v>
      </c>
      <c r="J5316" s="7" t="s">
        <v>12</v>
      </c>
    </row>
    <row r="5317" spans="1:10" ht="13.2">
      <c r="A5317" s="7">
        <v>5316</v>
      </c>
      <c r="B5317" s="7">
        <v>1</v>
      </c>
      <c r="C5317" s="7" t="s">
        <v>10</v>
      </c>
      <c r="D5317" s="7">
        <v>4305</v>
      </c>
      <c r="E5317" s="7" t="s">
        <v>17</v>
      </c>
      <c r="F5317" s="8" t="str">
        <f ca="1">IFERROR(__xludf.DUMMYFUNCTION("IF
(
C5318=""фізична особа""
,
VLOOKUP(D5318,IMPORTRANGE(""https://docs.google.com/spreadsheets/d/14Bd19lYaqBhU8_DElYkX7l4wRkHqqCUFNJY4AfY3kHU/edit?usp=sharing  #gid=0"",""фіз особи new!relations_name""),6,FALSE)
,
(IF
(
C5318=""юридична особа""
,
VLOOKUP"&amp;"(D5318,IMPORTRANGE(""https://docs.google.com/spreadsheets/d/14Bd19lYaqBhU8_DElYkX7l4wRkHqqCUFNJY4AfY3kHU/edit?usp=sharing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G5317" s="7" t="s">
        <v>10</v>
      </c>
      <c r="H5317" s="7">
        <v>4304</v>
      </c>
      <c r="I5317" s="8" t="str">
        <f ca="1">IFERROR(__xludf.DUMMYFUNCTION("IF
(
G5318=""фізична особа""
,
VLOOKUP(H5318,IMPORTRANGE(""https://docs.google.com/spreadsheets/d/14Bd19lYaqBhU8_DElYkX7l4wRkHqqCUFNJY4AfY3kHU/edit?usp=sharing  #gid=0"",""фіз особи new!relations_name""),6,FALSE)
,
(IF
(
G5318=""юридична особа""
,
VLOOKUP"&amp;"(H5318,IMPORTRANGE(""https://docs.google.com/spreadsheets/d/14Bd19lYaqBhU8_DElYkX7l4wRkHqqCUFNJY4AfY3kHU/edit?usp=sharing  #gid=0"",""фіз особи new!relations_name_uo""),7,FALSE)
,
)
))"),"ЛЕБЕДЄВА Наталія Вікторівна")</f>
        <v>ЛЕБЕДЄВА Наталія Вікторівна</v>
      </c>
      <c r="J5317" s="7" t="s">
        <v>21</v>
      </c>
    </row>
    <row r="5318" spans="1:10" ht="13.2">
      <c r="A5318" s="7">
        <v>5317</v>
      </c>
      <c r="B5318" s="7">
        <v>1</v>
      </c>
      <c r="C5318" s="7" t="s">
        <v>10</v>
      </c>
      <c r="D5318" s="7">
        <v>4305</v>
      </c>
      <c r="E5318" s="7" t="s">
        <v>18</v>
      </c>
      <c r="F5318" s="8" t="str">
        <f ca="1">IFERROR(__xludf.DUMMYFUNCTION("IF
(
C5319=""фізична особа""
,
VLOOKUP(D5319,IMPORTRANGE(""https://docs.google.com/spreadsheets/d/14Bd19lYaqBhU8_DElYkX7l4wRkHqqCUFNJY4AfY3kHU/edit?usp=sharing  #gid=0"",""фіз особи new!relations_name""),6,FALSE)
,
(IF
(
C5319=""юридична особа""
,
VLOOKUP"&amp;"(D5319,IMPORTRANGE(""https://docs.google.com/spreadsheets/d/14Bd19lYaqBhU8_DElYkX7l4wRkHqqCUFNJY4AfY3kHU/edit?usp=sharing  #gid=0"",""фіз особи new!relations_name_uo""),7,FALSE)
,
)
))"),"ЛЕБЕДЄВ Андрій Володимирович")</f>
        <v>ЛЕБЕДЄВ Андрій Володимирович</v>
      </c>
      <c r="G5318" s="7" t="s">
        <v>10</v>
      </c>
      <c r="H5318" s="7">
        <v>4303</v>
      </c>
      <c r="I5318" s="8" t="str">
        <f ca="1">IFERROR(__xludf.DUMMYFUNCTION("IF
(
G5319=""фізична особа""
,
VLOOKUP(H5319,IMPORTRANGE(""https://docs.google.com/spreadsheets/d/14Bd19lYaqBhU8_DElYkX7l4wRkHqqCUFNJY4AfY3kHU/edit?usp=sharing  #gid=0"",""фіз особи new!relations_name""),6,FALSE)
,
(IF
(
G5319=""юридична особа""
,
VLOOKUP"&amp;"(H5319,IMPORTRANGE(""https://docs.google.com/spreadsheets/d/14Bd19lYaqBhU8_DElYkX7l4wRkHqqCUFNJY4AfY3kHU/edit?usp=sharing  #gid=0"",""фіз особи new!relations_name_uo""),7,FALSE)
,
)
))"),"ЛЕБЕДЄВ Іван Володимирович")</f>
        <v>ЛЕБЕДЄВ Іван Володимирович</v>
      </c>
      <c r="J5318" s="7" t="s">
        <v>18</v>
      </c>
    </row>
    <row r="5319" spans="1:10" ht="13.2">
      <c r="A5319" s="7">
        <v>5318</v>
      </c>
      <c r="B5319" s="7">
        <v>1</v>
      </c>
      <c r="C5319" s="7" t="s">
        <v>10</v>
      </c>
      <c r="D5319" s="7">
        <v>4306</v>
      </c>
      <c r="E5319" s="7" t="s">
        <v>15</v>
      </c>
      <c r="F5319" s="8" t="str">
        <f ca="1">IFERROR(__xludf.DUMMYFUNCTION("IF
(
C5320=""фізична особа""
,
VLOOKUP(D5320,IMPORTRANGE(""https://docs.google.com/spreadsheets/d/14Bd19lYaqBhU8_DElYkX7l4wRkHqqCUFNJY4AfY3kHU/edit?usp=sharing  #gid=0"",""фіз особи new!relations_name""),6,FALSE)
,
(IF
(
C5320=""юридична особа""
,
VLOOKUP"&amp;"(D5320,IMPORTRANGE(""https://docs.google.com/spreadsheets/d/14Bd19lYaqBhU8_DElYkX7l4wRkHqqCUFNJY4AfY3kHU/edit?usp=sharing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G5319" s="7" t="s">
        <v>10</v>
      </c>
      <c r="H5319" s="7">
        <v>850</v>
      </c>
      <c r="I5319" s="8" t="str">
        <f ca="1">IFERROR(__xludf.DUMMYFUNCTION("IF
(
G5320=""фізична особа""
,
VLOOKUP(H5320,IMPORTRANGE(""https://docs.google.com/spreadsheets/d/14Bd19lYaqBhU8_DElYkX7l4wRkHqqCUFNJY4AfY3kHU/edit?usp=sharing  #gid=0"",""фіз особи new!relations_name""),6,FALSE)
,
(IF
(
G5320=""юридична особа""
,
VLOOKUP"&amp;"(H5320,IMPORTRANGE(""https://docs.google.com/spreadsheets/d/14Bd19lYaqBhU8_DElYkX7l4wRkHqqCUFNJY4AfY3kHU/edit?usp=sharing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J5319" s="7" t="s">
        <v>14</v>
      </c>
    </row>
    <row r="5320" spans="1:10" ht="13.2">
      <c r="A5320" s="7">
        <v>5319</v>
      </c>
      <c r="B5320" s="7">
        <v>1</v>
      </c>
      <c r="C5320" s="7" t="s">
        <v>10</v>
      </c>
      <c r="D5320" s="7">
        <v>4306</v>
      </c>
      <c r="E5320" s="7" t="s">
        <v>21</v>
      </c>
      <c r="F5320" s="8" t="str">
        <f ca="1">IFERROR(__xludf.DUMMYFUNCTION("IF
(
C5321=""фізична особа""
,
VLOOKUP(D5321,IMPORTRANGE(""https://docs.google.com/spreadsheets/d/14Bd19lYaqBhU8_DElYkX7l4wRkHqqCUFNJY4AfY3kHU/edit?usp=sharing  #gid=0"",""фіз особи new!relations_name""),6,FALSE)
,
(IF
(
C5321=""юридична особа""
,
VLOOKUP"&amp;"(D5321,IMPORTRANGE(""https://docs.google.com/spreadsheets/d/14Bd19lYaqBhU8_DElYkX7l4wRkHqqCUFNJY4AfY3kHU/edit?usp=sharing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G5320" s="7" t="s">
        <v>10</v>
      </c>
      <c r="H5320" s="7">
        <v>4307</v>
      </c>
      <c r="I5320" s="8" t="str">
        <f ca="1">IFERROR(__xludf.DUMMYFUNCTION("IF
(
G5321=""фізична особа""
,
VLOOKUP(H5321,IMPORTRANGE(""https://docs.google.com/spreadsheets/d/14Bd19lYaqBhU8_DElYkX7l4wRkHqqCUFNJY4AfY3kHU/edit?usp=sharing  #gid=0"",""фіз особи new!relations_name""),6,FALSE)
,
(IF
(
G5321=""юридична особа""
,
VLOOKUP"&amp;"(H5321,IMPORTRANGE(""https://docs.google.com/spreadsheets/d/14Bd19lYaqBhU8_DElYkX7l4wRkHqqCUFNJY4AfY3kHU/edit?usp=sharing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J5320" s="7" t="s">
        <v>13</v>
      </c>
    </row>
    <row r="5321" spans="1:10" ht="13.2">
      <c r="A5321" s="7">
        <v>5320</v>
      </c>
      <c r="B5321" s="7">
        <v>1</v>
      </c>
      <c r="C5321" s="7" t="s">
        <v>10</v>
      </c>
      <c r="D5321" s="7">
        <v>4306</v>
      </c>
      <c r="E5321" s="7" t="s">
        <v>21</v>
      </c>
      <c r="F5321" s="8" t="str">
        <f ca="1">IFERROR(__xludf.DUMMYFUNCTION("IF
(
C5322=""фізична особа""
,
VLOOKUP(D5322,IMPORTRANGE(""https://docs.google.com/spreadsheets/d/14Bd19lYaqBhU8_DElYkX7l4wRkHqqCUFNJY4AfY3kHU/edit?usp=sharing  #gid=0"",""фіз особи new!relations_name""),6,FALSE)
,
(IF
(
C5322=""юридична особа""
,
VLOOKUP"&amp;"(D5322,IMPORTRANGE(""https://docs.google.com/spreadsheets/d/14Bd19lYaqBhU8_DElYkX7l4wRkHqqCUFNJY4AfY3kHU/edit?usp=sharing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G5321" s="7" t="s">
        <v>10</v>
      </c>
      <c r="H5321" s="7">
        <v>4308</v>
      </c>
      <c r="I5321" s="8" t="str">
        <f ca="1">IFERROR(__xludf.DUMMYFUNCTION("IF
(
G5322=""фізична особа""
,
VLOOKUP(H5322,IMPORTRANGE(""https://docs.google.com/spreadsheets/d/14Bd19lYaqBhU8_DElYkX7l4wRkHqqCUFNJY4AfY3kHU/edit?usp=sharing  #gid=0"",""фіз особи new!relations_name""),6,FALSE)
,
(IF
(
G5322=""юридична особа""
,
VLOOKUP"&amp;"(H5322,IMPORTRANGE(""https://docs.google.com/spreadsheets/d/14Bd19lYaqBhU8_DElYkX7l4wRkHqqCUFNJY4AfY3kHU/edit?usp=sharing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J5321" s="7" t="s">
        <v>13</v>
      </c>
    </row>
    <row r="5322" spans="1:10" ht="13.2">
      <c r="A5322" s="7">
        <v>5321</v>
      </c>
      <c r="B5322" s="7">
        <v>1</v>
      </c>
      <c r="C5322" s="7" t="s">
        <v>10</v>
      </c>
      <c r="D5322" s="7">
        <v>4307</v>
      </c>
      <c r="E5322" s="7" t="s">
        <v>13</v>
      </c>
      <c r="F5322" s="8" t="str">
        <f ca="1">IFERROR(__xludf.DUMMYFUNCTION("IF
(
C5323=""фізична особа""
,
VLOOKUP(D5323,IMPORTRANGE(""https://docs.google.com/spreadsheets/d/14Bd19lYaqBhU8_DElYkX7l4wRkHqqCUFNJY4AfY3kHU/edit?usp=sharing  #gid=0"",""фіз особи new!relations_name""),6,FALSE)
,
(IF
(
C5323=""юридична особа""
,
VLOOKUP"&amp;"(D5323,IMPORTRANGE(""https://docs.google.com/spreadsheets/d/14Bd19lYaqBhU8_DElYkX7l4wRkHqqCUFNJY4AfY3kHU/edit?usp=sharing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G5322" s="7" t="s">
        <v>10</v>
      </c>
      <c r="H5322" s="7">
        <v>850</v>
      </c>
      <c r="I5322" s="8" t="str">
        <f ca="1">IFERROR(__xludf.DUMMYFUNCTION("IF
(
G5323=""фізична особа""
,
VLOOKUP(H5323,IMPORTRANGE(""https://docs.google.com/spreadsheets/d/14Bd19lYaqBhU8_DElYkX7l4wRkHqqCUFNJY4AfY3kHU/edit?usp=sharing  #gid=0"",""фіз особи new!relations_name""),6,FALSE)
,
(IF
(
G5323=""юридична особа""
,
VLOOKUP"&amp;"(H5323,IMPORTRANGE(""https://docs.google.com/spreadsheets/d/14Bd19lYaqBhU8_DElYkX7l4wRkHqqCUFNJY4AfY3kHU/edit?usp=sharing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J5322" s="7" t="s">
        <v>12</v>
      </c>
    </row>
    <row r="5323" spans="1:10" ht="13.2">
      <c r="A5323" s="7">
        <v>5322</v>
      </c>
      <c r="B5323" s="7">
        <v>1</v>
      </c>
      <c r="C5323" s="7" t="s">
        <v>10</v>
      </c>
      <c r="D5323" s="7">
        <v>4307</v>
      </c>
      <c r="E5323" s="7" t="s">
        <v>13</v>
      </c>
      <c r="F5323" s="8" t="str">
        <f ca="1">IFERROR(__xludf.DUMMYFUNCTION("IF
(
C5324=""фізична особа""
,
VLOOKUP(D5324,IMPORTRANGE(""https://docs.google.com/spreadsheets/d/14Bd19lYaqBhU8_DElYkX7l4wRkHqqCUFNJY4AfY3kHU/edit?usp=sharing  #gid=0"",""фіз особи new!relations_name""),6,FALSE)
,
(IF
(
C5324=""юридична особа""
,
VLOOKUP"&amp;"(D5324,IMPORTRANGE(""https://docs.google.com/spreadsheets/d/14Bd19lYaqBhU8_DElYkX7l4wRkHqqCUFNJY4AfY3kHU/edit?usp=sharing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G5323" s="7" t="s">
        <v>10</v>
      </c>
      <c r="H5323" s="7">
        <v>4306</v>
      </c>
      <c r="I5323" s="8" t="str">
        <f ca="1">IFERROR(__xludf.DUMMYFUNCTION("IF
(
G5324=""фізична особа""
,
VLOOKUP(H5324,IMPORTRANGE(""https://docs.google.com/spreadsheets/d/14Bd19lYaqBhU8_DElYkX7l4wRkHqqCUFNJY4AfY3kHU/edit?usp=sharing  #gid=0"",""фіз особи new!relations_name""),6,FALSE)
,
(IF
(
G5324=""юридична особа""
,
VLOOKUP"&amp;"(H5324,IMPORTRANGE(""https://docs.google.com/spreadsheets/d/14Bd19lYaqBhU8_DElYkX7l4wRkHqqCUFNJY4AfY3kHU/edit?usp=sharing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J5323" s="7" t="s">
        <v>21</v>
      </c>
    </row>
    <row r="5324" spans="1:10" ht="13.2">
      <c r="A5324" s="7">
        <v>5323</v>
      </c>
      <c r="B5324" s="7">
        <v>1</v>
      </c>
      <c r="C5324" s="7" t="s">
        <v>10</v>
      </c>
      <c r="D5324" s="7">
        <v>4307</v>
      </c>
      <c r="E5324" s="7" t="s">
        <v>31</v>
      </c>
      <c r="F5324" s="8" t="str">
        <f ca="1">IFERROR(__xludf.DUMMYFUNCTION("IF
(
C5325=""фізична особа""
,
VLOOKUP(D5325,IMPORTRANGE(""https://docs.google.com/spreadsheets/d/14Bd19lYaqBhU8_DElYkX7l4wRkHqqCUFNJY4AfY3kHU/edit?usp=sharing  #gid=0"",""фіз особи new!relations_name""),6,FALSE)
,
(IF
(
C5325=""юридична особа""
,
VLOOKUP"&amp;"(D5325,IMPORTRANGE(""https://docs.google.com/spreadsheets/d/14Bd19lYaqBhU8_DElYkX7l4wRkHqqCUFNJY4AfY3kHU/edit?usp=sharing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G5324" s="7" t="s">
        <v>10</v>
      </c>
      <c r="H5324" s="7">
        <v>4308</v>
      </c>
      <c r="I5324" s="8" t="str">
        <f ca="1">IFERROR(__xludf.DUMMYFUNCTION("IF
(
G5325=""фізична особа""
,
VLOOKUP(H5325,IMPORTRANGE(""https://docs.google.com/spreadsheets/d/14Bd19lYaqBhU8_DElYkX7l4wRkHqqCUFNJY4AfY3kHU/edit?usp=sharing  #gid=0"",""фіз особи new!relations_name""),6,FALSE)
,
(IF
(
G5325=""юридична особа""
,
VLOOKUP"&amp;"(H5325,IMPORTRANGE(""https://docs.google.com/spreadsheets/d/14Bd19lYaqBhU8_DElYkX7l4wRkHqqCUFNJY4AfY3kHU/edit?usp=sharing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J5324" s="7" t="s">
        <v>31</v>
      </c>
    </row>
    <row r="5325" spans="1:10" ht="13.2">
      <c r="A5325" s="7">
        <v>5324</v>
      </c>
      <c r="B5325" s="7">
        <v>1</v>
      </c>
      <c r="C5325" s="7" t="s">
        <v>10</v>
      </c>
      <c r="D5325" s="7">
        <v>4308</v>
      </c>
      <c r="E5325" s="7" t="s">
        <v>13</v>
      </c>
      <c r="F5325" s="8" t="str">
        <f ca="1">IFERROR(__xludf.DUMMYFUNCTION("IF
(
C5326=""фізична особа""
,
VLOOKUP(D5326,IMPORTRANGE(""https://docs.google.com/spreadsheets/d/14Bd19lYaqBhU8_DElYkX7l4wRkHqqCUFNJY4AfY3kHU/edit?usp=sharing  #gid=0"",""фіз особи new!relations_name""),6,FALSE)
,
(IF
(
C5326=""юридична особа""
,
VLOOKUP"&amp;"(D5326,IMPORTRANGE(""https://docs.google.com/spreadsheets/d/14Bd19lYaqBhU8_DElYkX7l4wRkHqqCUFNJY4AfY3kHU/edit?usp=sharing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G5325" s="7" t="s">
        <v>10</v>
      </c>
      <c r="H5325" s="7">
        <v>850</v>
      </c>
      <c r="I5325" s="8" t="str">
        <f ca="1">IFERROR(__xludf.DUMMYFUNCTION("IF
(
G5326=""фізична особа""
,
VLOOKUP(H5326,IMPORTRANGE(""https://docs.google.com/spreadsheets/d/14Bd19lYaqBhU8_DElYkX7l4wRkHqqCUFNJY4AfY3kHU/edit?usp=sharing  #gid=0"",""фіз особи new!relations_name""),6,FALSE)
,
(IF
(
G5326=""юридична особа""
,
VLOOKUP"&amp;"(H5326,IMPORTRANGE(""https://docs.google.com/spreadsheets/d/14Bd19lYaqBhU8_DElYkX7l4wRkHqqCUFNJY4AfY3kHU/edit?usp=sharing  #gid=0"",""фіз особи new!relations_name_uo""),7,FALSE)
,
)
))"),"БЕКЕТОВ Володимир Андрійович")</f>
        <v>БЕКЕТОВ Володимир Андрійович</v>
      </c>
      <c r="J5325" s="7" t="s">
        <v>12</v>
      </c>
    </row>
    <row r="5326" spans="1:10" ht="13.2">
      <c r="A5326" s="7">
        <v>5325</v>
      </c>
      <c r="B5326" s="7">
        <v>1</v>
      </c>
      <c r="C5326" s="7" t="s">
        <v>10</v>
      </c>
      <c r="D5326" s="7">
        <v>4308</v>
      </c>
      <c r="E5326" s="7" t="s">
        <v>13</v>
      </c>
      <c r="F5326" s="8" t="str">
        <f ca="1">IFERROR(__xludf.DUMMYFUNCTION("IF
(
C5327=""фізична особа""
,
VLOOKUP(D5327,IMPORTRANGE(""https://docs.google.com/spreadsheets/d/14Bd19lYaqBhU8_DElYkX7l4wRkHqqCUFNJY4AfY3kHU/edit?usp=sharing  #gid=0"",""фіз особи new!relations_name""),6,FALSE)
,
(IF
(
C5327=""юридична особа""
,
VLOOKUP"&amp;"(D5327,IMPORTRANGE(""https://docs.google.com/spreadsheets/d/14Bd19lYaqBhU8_DElYkX7l4wRkHqqCUFNJY4AfY3kHU/edit?usp=sharing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G5326" s="7" t="s">
        <v>10</v>
      </c>
      <c r="H5326" s="7">
        <v>4306</v>
      </c>
      <c r="I5326" s="8" t="str">
        <f ca="1">IFERROR(__xludf.DUMMYFUNCTION("IF
(
G5327=""фізична особа""
,
VLOOKUP(H5327,IMPORTRANGE(""https://docs.google.com/spreadsheets/d/14Bd19lYaqBhU8_DElYkX7l4wRkHqqCUFNJY4AfY3kHU/edit?usp=sharing  #gid=0"",""фіз особи new!relations_name""),6,FALSE)
,
(IF
(
G5327=""юридична особа""
,
VLOOKUP"&amp;"(H5327,IMPORTRANGE(""https://docs.google.com/spreadsheets/d/14Bd19lYaqBhU8_DElYkX7l4wRkHqqCUFNJY4AfY3kHU/edit?usp=sharing  #gid=0"",""фіз особи new!relations_name_uo""),7,FALSE)
,
)
))"),"БЕКЕТОВА Валентина Анатоліївна")</f>
        <v>БЕКЕТОВА Валентина Анатоліївна</v>
      </c>
      <c r="J5326" s="7" t="s">
        <v>21</v>
      </c>
    </row>
    <row r="5327" spans="1:10" ht="13.2">
      <c r="A5327" s="7">
        <v>5326</v>
      </c>
      <c r="B5327" s="7">
        <v>1</v>
      </c>
      <c r="C5327" s="7" t="s">
        <v>10</v>
      </c>
      <c r="D5327" s="7">
        <v>4308</v>
      </c>
      <c r="E5327" s="7" t="s">
        <v>31</v>
      </c>
      <c r="F5327" s="8" t="str">
        <f ca="1">IFERROR(__xludf.DUMMYFUNCTION("IF
(
C5328=""фізична особа""
,
VLOOKUP(D5328,IMPORTRANGE(""https://docs.google.com/spreadsheets/d/14Bd19lYaqBhU8_DElYkX7l4wRkHqqCUFNJY4AfY3kHU/edit?usp=sharing  #gid=0"",""фіз особи new!relations_name""),6,FALSE)
,
(IF
(
C5328=""юридична особа""
,
VLOOKUP"&amp;"(D5328,IMPORTRANGE(""https://docs.google.com/spreadsheets/d/14Bd19lYaqBhU8_DElYkX7l4wRkHqqCUFNJY4AfY3kHU/edit?usp=sharing  #gid=0"",""фіз особи new!relations_name_uo""),7,FALSE)
,
)
))"),"АРТЮХОВА Інна Володимирівна")</f>
        <v>АРТЮХОВА Інна Володимирівна</v>
      </c>
      <c r="G5327" s="7" t="s">
        <v>10</v>
      </c>
      <c r="H5327" s="7">
        <v>4307</v>
      </c>
      <c r="I5327" s="8" t="str">
        <f ca="1">IFERROR(__xludf.DUMMYFUNCTION("IF
(
G5328=""фізична особа""
,
VLOOKUP(H5328,IMPORTRANGE(""https://docs.google.com/spreadsheets/d/14Bd19lYaqBhU8_DElYkX7l4wRkHqqCUFNJY4AfY3kHU/edit?usp=sharing  #gid=0"",""фіз особи new!relations_name""),6,FALSE)
,
(IF
(
G5328=""юридична особа""
,
VLOOKUP"&amp;"(H5328,IMPORTRANGE(""https://docs.google.com/spreadsheets/d/14Bd19lYaqBhU8_DElYkX7l4wRkHqqCUFNJY4AfY3kHU/edit?usp=sharing  #gid=0"",""фіз особи new!relations_name_uo""),7,FALSE)
,
)
))"),"БЕКЕТОВА Вікторія Володимирівна")</f>
        <v>БЕКЕТОВА Вікторія Володимирівна</v>
      </c>
      <c r="J5327" s="7" t="s">
        <v>31</v>
      </c>
    </row>
    <row r="5328" spans="1:10" ht="13.2">
      <c r="A5328" s="7">
        <v>5327</v>
      </c>
      <c r="B5328" s="7">
        <v>1</v>
      </c>
      <c r="C5328" s="7" t="s">
        <v>10</v>
      </c>
      <c r="D5328" s="7">
        <v>4309</v>
      </c>
      <c r="E5328" s="7" t="s">
        <v>17</v>
      </c>
      <c r="F5328" s="8" t="str">
        <f ca="1">IFERROR(__xludf.DUMMYFUNCTION("IF
(
C5329=""фізична особа""
,
VLOOKUP(D5329,IMPORTRANGE(""https://docs.google.com/spreadsheets/d/14Bd19lYaqBhU8_DElYkX7l4wRkHqqCUFNJY4AfY3kHU/edit?usp=sharing  #gid=0"",""фіз особи new!relations_name""),6,FALSE)
,
(IF
(
C5329=""юридична особа""
,
VLOOKUP"&amp;"(D5329,IMPORTRANGE(""https://docs.google.com/spreadsheets/d/14Bd19lYaqBhU8_DElYkX7l4wRkHqqCUFNJY4AfY3kHU/edit?usp=sharing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G5328" s="7" t="s">
        <v>10</v>
      </c>
      <c r="H5328" s="7">
        <v>854</v>
      </c>
      <c r="I5328" s="8" t="str">
        <f ca="1">IFERROR(__xludf.DUMMYFUNCTION("IF
(
G5329=""фізична особа""
,
VLOOKUP(H5329,IMPORTRANGE(""https://docs.google.com/spreadsheets/d/14Bd19lYaqBhU8_DElYkX7l4wRkHqqCUFNJY4AfY3kHU/edit?usp=sharing  #gid=0"",""фіз особи new!relations_name""),6,FALSE)
,
(IF
(
G5329=""юридична особа""
,
VLOOKUP"&amp;"(H5329,IMPORTRANGE(""https://docs.google.com/spreadsheets/d/14Bd19lYaqBhU8_DElYkX7l4wRkHqqCUFNJY4AfY3kHU/edit?usp=sharing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J5328" s="7" t="s">
        <v>12</v>
      </c>
    </row>
    <row r="5329" spans="1:10" ht="13.2">
      <c r="A5329" s="7">
        <v>5328</v>
      </c>
      <c r="B5329" s="7">
        <v>1</v>
      </c>
      <c r="C5329" s="7" t="s">
        <v>10</v>
      </c>
      <c r="D5329" s="7">
        <v>4309</v>
      </c>
      <c r="E5329" s="7" t="s">
        <v>17</v>
      </c>
      <c r="F5329" s="8" t="str">
        <f ca="1">IFERROR(__xludf.DUMMYFUNCTION("IF
(
C5330=""фізична особа""
,
VLOOKUP(D5330,IMPORTRANGE(""https://docs.google.com/spreadsheets/d/14Bd19lYaqBhU8_DElYkX7l4wRkHqqCUFNJY4AfY3kHU/edit?usp=sharing  #gid=0"",""фіз особи new!relations_name""),6,FALSE)
,
(IF
(
C5330=""юридична особа""
,
VLOOKUP"&amp;"(D5330,IMPORTRANGE(""https://docs.google.com/spreadsheets/d/14Bd19lYaqBhU8_DElYkX7l4wRkHqqCUFNJY4AfY3kHU/edit?usp=sharing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G5329" s="7" t="s">
        <v>10</v>
      </c>
      <c r="H5329" s="7">
        <v>4310</v>
      </c>
      <c r="I5329" s="8" t="str">
        <f ca="1">IFERROR(__xludf.DUMMYFUNCTION("IF
(
G5330=""фізична особа""
,
VLOOKUP(H5330,IMPORTRANGE(""https://docs.google.com/spreadsheets/d/14Bd19lYaqBhU8_DElYkX7l4wRkHqqCUFNJY4AfY3kHU/edit?usp=sharing  #gid=0"",""фіз особи new!relations_name""),6,FALSE)
,
(IF
(
G5330=""юридична особа""
,
VLOOKUP"&amp;"(H5330,IMPORTRANGE(""https://docs.google.com/spreadsheets/d/14Bd19lYaqBhU8_DElYkX7l4wRkHqqCUFNJY4AfY3kHU/edit?usp=sharing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J5329" s="7" t="s">
        <v>21</v>
      </c>
    </row>
    <row r="5330" spans="1:10" ht="13.2">
      <c r="A5330" s="7">
        <v>5329</v>
      </c>
      <c r="B5330" s="7">
        <v>1</v>
      </c>
      <c r="C5330" s="7" t="s">
        <v>10</v>
      </c>
      <c r="D5330" s="7">
        <v>4309</v>
      </c>
      <c r="E5330" s="7" t="s">
        <v>18</v>
      </c>
      <c r="F5330" s="8" t="str">
        <f ca="1">IFERROR(__xludf.DUMMYFUNCTION("IF
(
C5331=""фізична особа""
,
VLOOKUP(D5331,IMPORTRANGE(""https://docs.google.com/spreadsheets/d/14Bd19lYaqBhU8_DElYkX7l4wRkHqqCUFNJY4AfY3kHU/edit?usp=sharing  #gid=0"",""фіз особи new!relations_name""),6,FALSE)
,
(IF
(
C5331=""юридична особа""
,
VLOOKUP"&amp;"(D5331,IMPORTRANGE(""https://docs.google.com/spreadsheets/d/14Bd19lYaqBhU8_DElYkX7l4wRkHqqCUFNJY4AfY3kHU/edit?usp=sharing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G5330" s="7" t="s">
        <v>10</v>
      </c>
      <c r="H5330" s="7">
        <v>4311</v>
      </c>
      <c r="I5330" s="8" t="str">
        <f ca="1">IFERROR(__xludf.DUMMYFUNCTION("IF
(
G5331=""фізична особа""
,
VLOOKUP(H5331,IMPORTRANGE(""https://docs.google.com/spreadsheets/d/14Bd19lYaqBhU8_DElYkX7l4wRkHqqCUFNJY4AfY3kHU/edit?usp=sharing  #gid=0"",""фіз особи new!relations_name""),6,FALSE)
,
(IF
(
G5331=""юридична особа""
,
VLOOKUP"&amp;"(H5331,IMPORTRANGE(""https://docs.google.com/spreadsheets/d/14Bd19lYaqBhU8_DElYkX7l4wRkHqqCUFNJY4AfY3kHU/edit?usp=sharing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J5330" s="7" t="s">
        <v>31</v>
      </c>
    </row>
    <row r="5331" spans="1:10" ht="13.2">
      <c r="A5331" s="7">
        <v>5330</v>
      </c>
      <c r="B5331" s="7">
        <v>1</v>
      </c>
      <c r="C5331" s="7" t="s">
        <v>10</v>
      </c>
      <c r="D5331" s="7">
        <v>4310</v>
      </c>
      <c r="E5331" s="7" t="s">
        <v>15</v>
      </c>
      <c r="F5331" s="8" t="str">
        <f ca="1">IFERROR(__xludf.DUMMYFUNCTION("IF
(
C5332=""фізична особа""
,
VLOOKUP(D5332,IMPORTRANGE(""https://docs.google.com/spreadsheets/d/14Bd19lYaqBhU8_DElYkX7l4wRkHqqCUFNJY4AfY3kHU/edit?usp=sharing  #gid=0"",""фіз особи new!relations_name""),6,FALSE)
,
(IF
(
C5332=""юридична особа""
,
VLOOKUP"&amp;"(D5332,IMPORTRANGE(""https://docs.google.com/spreadsheets/d/14Bd19lYaqBhU8_DElYkX7l4wRkHqqCUFNJY4AfY3kHU/edit?usp=sharing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G5331" s="7" t="s">
        <v>10</v>
      </c>
      <c r="H5331" s="7">
        <v>854</v>
      </c>
      <c r="I5331" s="8" t="str">
        <f ca="1">IFERROR(__xludf.DUMMYFUNCTION("IF
(
G5332=""фізична особа""
,
VLOOKUP(H5332,IMPORTRANGE(""https://docs.google.com/spreadsheets/d/14Bd19lYaqBhU8_DElYkX7l4wRkHqqCUFNJY4AfY3kHU/edit?usp=sharing  #gid=0"",""фіз особи new!relations_name""),6,FALSE)
,
(IF
(
G5332=""юридична особа""
,
VLOOKUP"&amp;"(H5332,IMPORTRANGE(""https://docs.google.com/spreadsheets/d/14Bd19lYaqBhU8_DElYkX7l4wRkHqqCUFNJY4AfY3kHU/edit?usp=sharing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J5331" s="7" t="s">
        <v>14</v>
      </c>
    </row>
    <row r="5332" spans="1:10" ht="13.2">
      <c r="A5332" s="7">
        <v>5331</v>
      </c>
      <c r="B5332" s="7">
        <v>1</v>
      </c>
      <c r="C5332" s="7" t="s">
        <v>10</v>
      </c>
      <c r="D5332" s="7">
        <v>4310</v>
      </c>
      <c r="E5332" s="7" t="s">
        <v>21</v>
      </c>
      <c r="F5332" s="8" t="str">
        <f ca="1">IFERROR(__xludf.DUMMYFUNCTION("IF
(
C5333=""фізична особа""
,
VLOOKUP(D5333,IMPORTRANGE(""https://docs.google.com/spreadsheets/d/14Bd19lYaqBhU8_DElYkX7l4wRkHqqCUFNJY4AfY3kHU/edit?usp=sharing  #gid=0"",""фіз особи new!relations_name""),6,FALSE)
,
(IF
(
C5333=""юридична особа""
,
VLOOKUP"&amp;"(D5333,IMPORTRANGE(""https://docs.google.com/spreadsheets/d/14Bd19lYaqBhU8_DElYkX7l4wRkHqqCUFNJY4AfY3kHU/edit?usp=sharing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G5332" s="7" t="s">
        <v>10</v>
      </c>
      <c r="H5332" s="7">
        <v>4309</v>
      </c>
      <c r="I5332" s="8" t="str">
        <f ca="1">IFERROR(__xludf.DUMMYFUNCTION("IF
(
G5333=""фізична особа""
,
VLOOKUP(H5333,IMPORTRANGE(""https://docs.google.com/spreadsheets/d/14Bd19lYaqBhU8_DElYkX7l4wRkHqqCUFNJY4AfY3kHU/edit?usp=sharing  #gid=0"",""фіз особи new!relations_name""),6,FALSE)
,
(IF
(
G5333=""юридична особа""
,
VLOOKUP"&amp;"(H5333,IMPORTRANGE(""https://docs.google.com/spreadsheets/d/14Bd19lYaqBhU8_DElYkX7l4wRkHqqCUFNJY4AfY3kHU/edit?usp=sharing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J5332" s="7" t="s">
        <v>17</v>
      </c>
    </row>
    <row r="5333" spans="1:10" ht="13.2">
      <c r="A5333" s="7">
        <v>5332</v>
      </c>
      <c r="B5333" s="7">
        <v>1</v>
      </c>
      <c r="C5333" s="7" t="s">
        <v>10</v>
      </c>
      <c r="D5333" s="7">
        <v>4310</v>
      </c>
      <c r="E5333" s="7" t="s">
        <v>21</v>
      </c>
      <c r="F5333" s="8" t="str">
        <f ca="1">IFERROR(__xludf.DUMMYFUNCTION("IF
(
C5334=""фізична особа""
,
VLOOKUP(D5334,IMPORTRANGE(""https://docs.google.com/spreadsheets/d/14Bd19lYaqBhU8_DElYkX7l4wRkHqqCUFNJY4AfY3kHU/edit?usp=sharing  #gid=0"",""фіз особи new!relations_name""),6,FALSE)
,
(IF
(
C5334=""юридична особа""
,
VLOOKUP"&amp;"(D5334,IMPORTRANGE(""https://docs.google.com/spreadsheets/d/14Bd19lYaqBhU8_DElYkX7l4wRkHqqCUFNJY4AfY3kHU/edit?usp=sharing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G5333" s="7" t="s">
        <v>10</v>
      </c>
      <c r="H5333" s="7">
        <v>4311</v>
      </c>
      <c r="I5333" s="8" t="str">
        <f ca="1">IFERROR(__xludf.DUMMYFUNCTION("IF
(
G5334=""фізична особа""
,
VLOOKUP(H5334,IMPORTRANGE(""https://docs.google.com/spreadsheets/d/14Bd19lYaqBhU8_DElYkX7l4wRkHqqCUFNJY4AfY3kHU/edit?usp=sharing  #gid=0"",""фіз особи new!relations_name""),6,FALSE)
,
(IF
(
G5334=""юридична особа""
,
VLOOKUP"&amp;"(H5334,IMPORTRANGE(""https://docs.google.com/spreadsheets/d/14Bd19lYaqBhU8_DElYkX7l4wRkHqqCUFNJY4AfY3kHU/edit?usp=sharing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J5333" s="7" t="s">
        <v>13</v>
      </c>
    </row>
    <row r="5334" spans="1:10" ht="13.2">
      <c r="A5334" s="7">
        <v>5333</v>
      </c>
      <c r="B5334" s="7">
        <v>1</v>
      </c>
      <c r="C5334" s="7" t="s">
        <v>10</v>
      </c>
      <c r="D5334" s="7">
        <v>4311</v>
      </c>
      <c r="E5334" s="7" t="s">
        <v>13</v>
      </c>
      <c r="F5334" s="8" t="str">
        <f ca="1">IFERROR(__xludf.DUMMYFUNCTION("IF
(
C5335=""фізична особа""
,
VLOOKUP(D5335,IMPORTRANGE(""https://docs.google.com/spreadsheets/d/14Bd19lYaqBhU8_DElYkX7l4wRkHqqCUFNJY4AfY3kHU/edit?usp=sharing  #gid=0"",""фіз особи new!relations_name""),6,FALSE)
,
(IF
(
C5335=""юридична особа""
,
VLOOKUP"&amp;"(D5335,IMPORTRANGE(""https://docs.google.com/spreadsheets/d/14Bd19lYaqBhU8_DElYkX7l4wRkHqqCUFNJY4AfY3kHU/edit?usp=sharing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G5334" s="7" t="s">
        <v>10</v>
      </c>
      <c r="H5334" s="7">
        <v>854</v>
      </c>
      <c r="I5334" s="8" t="str">
        <f ca="1">IFERROR(__xludf.DUMMYFUNCTION("IF
(
G5335=""фізична особа""
,
VLOOKUP(H5335,IMPORTRANGE(""https://docs.google.com/spreadsheets/d/14Bd19lYaqBhU8_DElYkX7l4wRkHqqCUFNJY4AfY3kHU/edit?usp=sharing  #gid=0"",""фіз особи new!relations_name""),6,FALSE)
,
(IF
(
G5335=""юридична особа""
,
VLOOKUP"&amp;"(H5335,IMPORTRANGE(""https://docs.google.com/spreadsheets/d/14Bd19lYaqBhU8_DElYkX7l4wRkHqqCUFNJY4AfY3kHU/edit?usp=sharing  #gid=0"",""фіз особи new!relations_name_uo""),7,FALSE)
,
)
))"),"ГОРОДЕЦЬКИЙ Володимир Пилипович")</f>
        <v>ГОРОДЕЦЬКИЙ Володимир Пилипович</v>
      </c>
      <c r="J5334" s="7" t="s">
        <v>12</v>
      </c>
    </row>
    <row r="5335" spans="1:10" ht="13.2">
      <c r="A5335" s="7">
        <v>5334</v>
      </c>
      <c r="B5335" s="7">
        <v>1</v>
      </c>
      <c r="C5335" s="7" t="s">
        <v>10</v>
      </c>
      <c r="D5335" s="7">
        <v>4311</v>
      </c>
      <c r="E5335" s="7" t="s">
        <v>13</v>
      </c>
      <c r="F5335" s="8" t="str">
        <f ca="1">IFERROR(__xludf.DUMMYFUNCTION("IF
(
C5336=""фізична особа""
,
VLOOKUP(D5336,IMPORTRANGE(""https://docs.google.com/spreadsheets/d/14Bd19lYaqBhU8_DElYkX7l4wRkHqqCUFNJY4AfY3kHU/edit?usp=sharing  #gid=0"",""фіз особи new!relations_name""),6,FALSE)
,
(IF
(
C5336=""юридична особа""
,
VLOOKUP"&amp;"(D5336,IMPORTRANGE(""https://docs.google.com/spreadsheets/d/14Bd19lYaqBhU8_DElYkX7l4wRkHqqCUFNJY4AfY3kHU/edit?usp=sharing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G5335" s="7" t="s">
        <v>10</v>
      </c>
      <c r="H5335" s="7">
        <v>4310</v>
      </c>
      <c r="I5335" s="8" t="str">
        <f ca="1">IFERROR(__xludf.DUMMYFUNCTION("IF
(
G5336=""фізична особа""
,
VLOOKUP(H5336,IMPORTRANGE(""https://docs.google.com/spreadsheets/d/14Bd19lYaqBhU8_DElYkX7l4wRkHqqCUFNJY4AfY3kHU/edit?usp=sharing  #gid=0"",""фіз особи new!relations_name""),6,FALSE)
,
(IF
(
G5336=""юридична особа""
,
VLOOKUP"&amp;"(H5336,IMPORTRANGE(""https://docs.google.com/spreadsheets/d/14Bd19lYaqBhU8_DElYkX7l4wRkHqqCUFNJY4AfY3kHU/edit?usp=sharing  #gid=0"",""фіз особи new!relations_name_uo""),7,FALSE)
,
)
))"),"ГОРОДЕЦЬКА Раїса Йосипівна")</f>
        <v>ГОРОДЕЦЬКА Раїса Йосипівна</v>
      </c>
      <c r="J5335" s="7" t="s">
        <v>21</v>
      </c>
    </row>
    <row r="5336" spans="1:10" ht="13.2">
      <c r="A5336" s="7">
        <v>5335</v>
      </c>
      <c r="B5336" s="7">
        <v>1</v>
      </c>
      <c r="C5336" s="7" t="s">
        <v>10</v>
      </c>
      <c r="D5336" s="7">
        <v>4311</v>
      </c>
      <c r="E5336" s="7" t="s">
        <v>31</v>
      </c>
      <c r="F5336" s="8" t="str">
        <f ca="1">IFERROR(__xludf.DUMMYFUNCTION("IF
(
C5337=""фізична особа""
,
VLOOKUP(D5337,IMPORTRANGE(""https://docs.google.com/spreadsheets/d/14Bd19lYaqBhU8_DElYkX7l4wRkHqqCUFNJY4AfY3kHU/edit?usp=sharing  #gid=0"",""фіз особи new!relations_name""),6,FALSE)
,
(IF
(
C5337=""юридична особа""
,
VLOOKUP"&amp;"(D5337,IMPORTRANGE(""https://docs.google.com/spreadsheets/d/14Bd19lYaqBhU8_DElYkX7l4wRkHqqCUFNJY4AfY3kHU/edit?usp=sharing  #gid=0"",""фіз особи new!relations_name_uo""),7,FALSE)
,
)
))"),"ГОРОДЕЦЬКА Олена Володимирівна")</f>
        <v>ГОРОДЕЦЬКА Олена Володимирівна</v>
      </c>
      <c r="G5336" s="7" t="s">
        <v>10</v>
      </c>
      <c r="H5336" s="7">
        <v>4309</v>
      </c>
      <c r="I5336" s="8" t="str">
        <f ca="1">IFERROR(__xludf.DUMMYFUNCTION("IF
(
G5337=""фізична особа""
,
VLOOKUP(H5337,IMPORTRANGE(""https://docs.google.com/spreadsheets/d/14Bd19lYaqBhU8_DElYkX7l4wRkHqqCUFNJY4AfY3kHU/edit?usp=sharing  #gid=0"",""фіз особи new!relations_name""),6,FALSE)
,
(IF
(
G5337=""юридична особа""
,
VLOOKUP"&amp;"(H5337,IMPORTRANGE(""https://docs.google.com/spreadsheets/d/14Bd19lYaqBhU8_DElYkX7l4wRkHqqCUFNJY4AfY3kHU/edit?usp=sharing  #gid=0"",""фіз особи new!relations_name_uo""),7,FALSE)
,
)
))"),"ГОРОДЕЦЬКИЙ Дмитро Володимирович")</f>
        <v>ГОРОДЕЦЬКИЙ Дмитро Володимирович</v>
      </c>
      <c r="J5336" s="7" t="s">
        <v>18</v>
      </c>
    </row>
    <row r="5337" spans="1:10" ht="13.2">
      <c r="A5337" s="7">
        <v>5336</v>
      </c>
      <c r="B5337" s="7">
        <v>1</v>
      </c>
      <c r="C5337" s="7" t="s">
        <v>10</v>
      </c>
      <c r="D5337" s="7">
        <v>4312</v>
      </c>
      <c r="E5337" s="7" t="s">
        <v>17</v>
      </c>
      <c r="F5337" s="8" t="str">
        <f ca="1">IFERROR(__xludf.DUMMYFUNCTION("IF
(
C5338=""фізична особа""
,
VLOOKUP(D5338,IMPORTRANGE(""https://docs.google.com/spreadsheets/d/14Bd19lYaqBhU8_DElYkX7l4wRkHqqCUFNJY4AfY3kHU/edit?usp=sharing  #gid=0"",""фіз особи new!relations_name""),6,FALSE)
,
(IF
(
C5338=""юридична особа""
,
VLOOKUP"&amp;"(D5338,IMPORTRANGE(""https://docs.google.com/spreadsheets/d/14Bd19lYaqBhU8_DElYkX7l4wRkHqqCUFNJY4AfY3kHU/edit?usp=sharing  #gid=0"",""фіз особи new!relations_name_uo""),7,FALSE)
,
)
))"),"КОЖИН Ігор Володимирович")</f>
        <v>КОЖИН Ігор Володимирович</v>
      </c>
      <c r="G5337" s="7" t="s">
        <v>10</v>
      </c>
      <c r="H5337" s="7">
        <v>855</v>
      </c>
      <c r="I5337" s="8" t="str">
        <f ca="1">IFERROR(__xludf.DUMMYFUNCTION("IF
(
G5338=""фізична особа""
,
VLOOKUP(H5338,IMPORTRANGE(""https://docs.google.com/spreadsheets/d/14Bd19lYaqBhU8_DElYkX7l4wRkHqqCUFNJY4AfY3kHU/edit?usp=sharing  #gid=0"",""фіз особи new!relations_name""),6,FALSE)
,
(IF
(
G5338=""юридична особа""
,
VLOOKUP"&amp;"(H5338,IMPORTRANGE(""https://docs.google.com/spreadsheets/d/14Bd19lYaqBhU8_DElYkX7l4wRkHqqCUFNJY4AfY3kHU/edit?usp=sharing  #gid=0"",""фіз особи new!relations_name_uo""),7,FALSE)
,
)
))"),"КОЖИН Володимир Ігорович")</f>
        <v>КОЖИН Володимир Ігорович</v>
      </c>
      <c r="J5337" s="7" t="s">
        <v>12</v>
      </c>
    </row>
    <row r="5338" spans="1:10" ht="13.2">
      <c r="A5338" s="7">
        <v>5337</v>
      </c>
      <c r="B5338" s="7">
        <v>1</v>
      </c>
      <c r="C5338" s="7" t="s">
        <v>10</v>
      </c>
      <c r="D5338" s="7">
        <v>4313</v>
      </c>
      <c r="E5338" s="7" t="s">
        <v>13</v>
      </c>
      <c r="F5338" s="8" t="str">
        <f ca="1">IFERROR(__xludf.DUMMYFUNCTION("IF
(
C5339=""фізична особа""
,
VLOOKUP(D5339,IMPORTRANGE(""https://docs.google.com/spreadsheets/d/14Bd19lYaqBhU8_DElYkX7l4wRkHqqCUFNJY4AfY3kHU/edit?usp=sharing  #gid=0"",""фіз особи new!relations_name""),6,FALSE)
,
(IF
(
C5339=""юридична особа""
,
VLOOKUP"&amp;"(D5339,IMPORTRANGE(""https://docs.google.com/spreadsheets/d/14Bd19lYaqBhU8_DElYkX7l4wRkHqqCUFNJY4AfY3kHU/edit?usp=sharing  #gid=0"",""фіз особи new!relations_name_uo""),7,FALSE)
,
)
))"),"КРУГЛА Ріна Володимирівна")</f>
        <v>КРУГЛА Ріна Володимирівна</v>
      </c>
      <c r="G5338" s="7" t="s">
        <v>10</v>
      </c>
      <c r="H5338" s="7">
        <v>857</v>
      </c>
      <c r="I5338" s="8" t="str">
        <f ca="1">IFERROR(__xludf.DUMMYFUNCTION("IF
(
G5339=""фізична особа""
,
VLOOKUP(H5339,IMPORTRANGE(""https://docs.google.com/spreadsheets/d/14Bd19lYaqBhU8_DElYkX7l4wRkHqqCUFNJY4AfY3kHU/edit?usp=sharing  #gid=0"",""фіз особи new!relations_name""),6,FALSE)
,
(IF
(
G5339=""юридична особа""
,
VLOOKUP"&amp;"(H5339,IMPORTRANGE(""https://docs.google.com/spreadsheets/d/14Bd19lYaqBhU8_DElYkX7l4wRkHqqCUFNJY4AfY3kHU/edit?usp=sharing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J5338" s="7" t="s">
        <v>12</v>
      </c>
    </row>
    <row r="5339" spans="1:10" ht="13.2">
      <c r="A5339" s="7">
        <v>5338</v>
      </c>
      <c r="B5339" s="7">
        <v>1</v>
      </c>
      <c r="C5339" s="7" t="s">
        <v>10</v>
      </c>
      <c r="D5339" s="7">
        <v>4313</v>
      </c>
      <c r="E5339" s="7" t="s">
        <v>31</v>
      </c>
      <c r="F5339" s="8" t="str">
        <f ca="1">IFERROR(__xludf.DUMMYFUNCTION("IF
(
C5340=""фізична особа""
,
VLOOKUP(D5340,IMPORTRANGE(""https://docs.google.com/spreadsheets/d/14Bd19lYaqBhU8_DElYkX7l4wRkHqqCUFNJY4AfY3kHU/edit?usp=sharing  #gid=0"",""фіз особи new!relations_name""),6,FALSE)
,
(IF
(
C5340=""юридична особа""
,
VLOOKUP"&amp;"(D5340,IMPORTRANGE(""https://docs.google.com/spreadsheets/d/14Bd19lYaqBhU8_DElYkX7l4wRkHqqCUFNJY4AfY3kHU/edit?usp=sharing  #gid=0"",""фіз особи new!relations_name_uo""),7,FALSE)
,
)
))"),"КРУГЛА Ріна Володимирівна")</f>
        <v>КРУГЛА Ріна Володимирівна</v>
      </c>
      <c r="G5339" s="7" t="s">
        <v>10</v>
      </c>
      <c r="H5339" s="7">
        <v>4314</v>
      </c>
      <c r="I5339" s="8" t="str">
        <f ca="1">IFERROR(__xludf.DUMMYFUNCTION("IF
(
G5340=""фізична особа""
,
VLOOKUP(H5340,IMPORTRANGE(""https://docs.google.com/spreadsheets/d/14Bd19lYaqBhU8_DElYkX7l4wRkHqqCUFNJY4AfY3kHU/edit?usp=sharing  #gid=0"",""фіз особи new!relations_name""),6,FALSE)
,
(IF
(
G5340=""юридична особа""
,
VLOOKUP"&amp;"(H5340,IMPORTRANGE(""https://docs.google.com/spreadsheets/d/14Bd19lYaqBhU8_DElYkX7l4wRkHqqCUFNJY4AfY3kHU/edit?usp=sharing  #gid=0"",""фіз особи new!relations_name_uo""),7,FALSE)
,
)
))"),"КРУГЛИЙ Ігор Володимирович")</f>
        <v>КРУГЛИЙ Ігор Володимирович</v>
      </c>
      <c r="J5339" s="7" t="s">
        <v>18</v>
      </c>
    </row>
    <row r="5340" spans="1:10" ht="13.2">
      <c r="A5340" s="7">
        <v>5339</v>
      </c>
      <c r="B5340" s="7">
        <v>1</v>
      </c>
      <c r="C5340" s="7" t="s">
        <v>10</v>
      </c>
      <c r="D5340" s="7">
        <v>4314</v>
      </c>
      <c r="E5340" s="7" t="s">
        <v>17</v>
      </c>
      <c r="F5340" s="8" t="str">
        <f ca="1">IFERROR(__xludf.DUMMYFUNCTION("IF
(
C5341=""фізична особа""
,
VLOOKUP(D5341,IMPORTRANGE(""https://docs.google.com/spreadsheets/d/14Bd19lYaqBhU8_DElYkX7l4wRkHqqCUFNJY4AfY3kHU/edit?usp=sharing  #gid=0"",""фіз особи new!relations_name""),6,FALSE)
,
(IF
(
C5341=""юридична особа""
,
VLOOKUP"&amp;"(D5341,IMPORTRANGE(""https://docs.google.com/spreadsheets/d/14Bd19lYaqBhU8_DElYkX7l4wRkHqqCUFNJY4AfY3kHU/edit?usp=sharing  #gid=0"",""фіз особи new!relations_name_uo""),7,FALSE)
,
)
))"),"КРУГЛИЙ Ігор Володимирович")</f>
        <v>КРУГЛИЙ Ігор Володимирович</v>
      </c>
      <c r="G5340" s="7" t="s">
        <v>10</v>
      </c>
      <c r="H5340" s="7">
        <v>857</v>
      </c>
      <c r="I5340" s="8" t="str">
        <f ca="1">IFERROR(__xludf.DUMMYFUNCTION("IF
(
G5341=""фізична особа""
,
VLOOKUP(H5341,IMPORTRANGE(""https://docs.google.com/spreadsheets/d/14Bd19lYaqBhU8_DElYkX7l4wRkHqqCUFNJY4AfY3kHU/edit?usp=sharing  #gid=0"",""фіз особи new!relations_name""),6,FALSE)
,
(IF
(
G5341=""юридична особа""
,
VLOOKUP"&amp;"(H5341,IMPORTRANGE(""https://docs.google.com/spreadsheets/d/14Bd19lYaqBhU8_DElYkX7l4wRkHqqCUFNJY4AfY3kHU/edit?usp=sharing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J5340" s="7" t="s">
        <v>12</v>
      </c>
    </row>
    <row r="5341" spans="1:10" ht="13.2">
      <c r="A5341" s="7">
        <v>5340</v>
      </c>
      <c r="B5341" s="7">
        <v>1</v>
      </c>
      <c r="C5341" s="7" t="s">
        <v>10</v>
      </c>
      <c r="D5341" s="7">
        <v>4314</v>
      </c>
      <c r="E5341" s="7" t="s">
        <v>18</v>
      </c>
      <c r="F5341" s="8" t="str">
        <f ca="1">IFERROR(__xludf.DUMMYFUNCTION("IF
(
C5342=""фізична особа""
,
VLOOKUP(D5342,IMPORTRANGE(""https://docs.google.com/spreadsheets/d/14Bd19lYaqBhU8_DElYkX7l4wRkHqqCUFNJY4AfY3kHU/edit?usp=sharing  #gid=0"",""фіз особи new!relations_name""),6,FALSE)
,
(IF
(
C5342=""юридична особа""
,
VLOOKUP"&amp;"(D5342,IMPORTRANGE(""https://docs.google.com/spreadsheets/d/14Bd19lYaqBhU8_DElYkX7l4wRkHqqCUFNJY4AfY3kHU/edit?usp=sharing  #gid=0"",""фіз особи new!relations_name_uo""),7,FALSE)
,
)
))"),"КРУГЛИЙ Ігор Володимирович")</f>
        <v>КРУГЛИЙ Ігор Володимирович</v>
      </c>
      <c r="G5341" s="7" t="s">
        <v>10</v>
      </c>
      <c r="H5341" s="7">
        <v>4313</v>
      </c>
      <c r="I5341" s="8" t="str">
        <f ca="1">IFERROR(__xludf.DUMMYFUNCTION("IF
(
G5342=""фізична особа""
,
VLOOKUP(H5342,IMPORTRANGE(""https://docs.google.com/spreadsheets/d/14Bd19lYaqBhU8_DElYkX7l4wRkHqqCUFNJY4AfY3kHU/edit?usp=sharing  #gid=0"",""фіз особи new!relations_name""),6,FALSE)
,
(IF
(
G5342=""юридична особа""
,
VLOOKUP"&amp;"(H5342,IMPORTRANGE(""https://docs.google.com/spreadsheets/d/14Bd19lYaqBhU8_DElYkX7l4wRkHqqCUFNJY4AfY3kHU/edit?usp=sharing  #gid=0"",""фіз особи new!relations_name_uo""),7,FALSE)
,
)
))"),"КРУГЛА Ріна Володимирівна")</f>
        <v>КРУГЛА Ріна Володимирівна</v>
      </c>
      <c r="J5341" s="7" t="s">
        <v>31</v>
      </c>
    </row>
    <row r="5342" spans="1:10" ht="13.2">
      <c r="A5342" s="7">
        <v>5341</v>
      </c>
      <c r="B5342" s="7">
        <v>1</v>
      </c>
      <c r="C5342" s="7" t="s">
        <v>10</v>
      </c>
      <c r="D5342" s="7">
        <v>4315</v>
      </c>
      <c r="E5342" s="7" t="s">
        <v>15</v>
      </c>
      <c r="F5342" s="8" t="str">
        <f ca="1">IFERROR(__xludf.DUMMYFUNCTION("IF
(
C5343=""фізична особа""
,
VLOOKUP(D5343,IMPORTRANGE(""https://docs.google.com/spreadsheets/d/14Bd19lYaqBhU8_DElYkX7l4wRkHqqCUFNJY4AfY3kHU/edit?usp=sharing  #gid=0"",""фіз особи new!relations_name""),6,FALSE)
,
(IF
(
C5343=""юридична особа""
,
VLOOKUP"&amp;"(D5343,IMPORTRANGE(""https://docs.google.com/spreadsheets/d/14Bd19lYaqBhU8_DElYkX7l4wRkHqqCUFNJY4AfY3kHU/edit?usp=sharing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G5342" s="7" t="s">
        <v>10</v>
      </c>
      <c r="H5342" s="7">
        <v>862</v>
      </c>
      <c r="I5342" s="8" t="str">
        <f ca="1">IFERROR(__xludf.DUMMYFUNCTION("IF
(
G5343=""фізична особа""
,
VLOOKUP(H5343,IMPORTRANGE(""https://docs.google.com/spreadsheets/d/14Bd19lYaqBhU8_DElYkX7l4wRkHqqCUFNJY4AfY3kHU/edit?usp=sharing  #gid=0"",""фіз особи new!relations_name""),6,FALSE)
,
(IF
(
G5343=""юридична особа""
,
VLOOKUP"&amp;"(H5343,IMPORTRANGE(""https://docs.google.com/spreadsheets/d/14Bd19lYaqBhU8_DElYkX7l4wRkHqqCUFNJY4AfY3kHU/edit?usp=sharing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J5342" s="7" t="s">
        <v>14</v>
      </c>
    </row>
    <row r="5343" spans="1:10" ht="13.2">
      <c r="A5343" s="7">
        <v>5342</v>
      </c>
      <c r="B5343" s="7">
        <v>1</v>
      </c>
      <c r="C5343" s="7" t="s">
        <v>10</v>
      </c>
      <c r="D5343" s="7">
        <v>4315</v>
      </c>
      <c r="E5343" s="7" t="s">
        <v>21</v>
      </c>
      <c r="F5343" s="8" t="str">
        <f ca="1">IFERROR(__xludf.DUMMYFUNCTION("IF
(
C5344=""фізична особа""
,
VLOOKUP(D5344,IMPORTRANGE(""https://docs.google.com/spreadsheets/d/14Bd19lYaqBhU8_DElYkX7l4wRkHqqCUFNJY4AfY3kHU/edit?usp=sharing  #gid=0"",""фіз особи new!relations_name""),6,FALSE)
,
(IF
(
C5344=""юридична особа""
,
VLOOKUP"&amp;"(D5344,IMPORTRANGE(""https://docs.google.com/spreadsheets/d/14Bd19lYaqBhU8_DElYkX7l4wRkHqqCUFNJY4AfY3kHU/edit?usp=sharing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G5343" s="7" t="s">
        <v>10</v>
      </c>
      <c r="H5343" s="7">
        <v>4316</v>
      </c>
      <c r="I5343" s="8" t="str">
        <f ca="1">IFERROR(__xludf.DUMMYFUNCTION("IF
(
G5344=""фізична особа""
,
VLOOKUP(H5344,IMPORTRANGE(""https://docs.google.com/spreadsheets/d/14Bd19lYaqBhU8_DElYkX7l4wRkHqqCUFNJY4AfY3kHU/edit?usp=sharing  #gid=0"",""фіз особи new!relations_name""),6,FALSE)
,
(IF
(
G5344=""юридична особа""
,
VLOOKUP"&amp;"(H5344,IMPORTRANGE(""https://docs.google.com/spreadsheets/d/14Bd19lYaqBhU8_DElYkX7l4wRkHqqCUFNJY4AfY3kHU/edit?usp=sharing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J5343" s="7" t="s">
        <v>13</v>
      </c>
    </row>
    <row r="5344" spans="1:10" ht="13.2">
      <c r="A5344" s="7">
        <v>5343</v>
      </c>
      <c r="B5344" s="7">
        <v>1</v>
      </c>
      <c r="C5344" s="7" t="s">
        <v>10</v>
      </c>
      <c r="D5344" s="7">
        <v>4315</v>
      </c>
      <c r="E5344" s="7" t="s">
        <v>21</v>
      </c>
      <c r="F5344" s="8" t="str">
        <f ca="1">IFERROR(__xludf.DUMMYFUNCTION("IF
(
C5345=""фізична особа""
,
VLOOKUP(D5345,IMPORTRANGE(""https://docs.google.com/spreadsheets/d/14Bd19lYaqBhU8_DElYkX7l4wRkHqqCUFNJY4AfY3kHU/edit?usp=sharing  #gid=0"",""фіз особи new!relations_name""),6,FALSE)
,
(IF
(
C5345=""юридична особа""
,
VLOOKUP"&amp;"(D5345,IMPORTRANGE(""https://docs.google.com/spreadsheets/d/14Bd19lYaqBhU8_DElYkX7l4wRkHqqCUFNJY4AfY3kHU/edit?usp=sharing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G5344" s="7" t="s">
        <v>10</v>
      </c>
      <c r="H5344" s="7">
        <v>4317</v>
      </c>
      <c r="I5344" s="8" t="str">
        <f ca="1">IFERROR(__xludf.DUMMYFUNCTION("IF
(
G5345=""фізична особа""
,
VLOOKUP(H5345,IMPORTRANGE(""https://docs.google.com/spreadsheets/d/14Bd19lYaqBhU8_DElYkX7l4wRkHqqCUFNJY4AfY3kHU/edit?usp=sharing  #gid=0"",""фіз особи new!relations_name""),6,FALSE)
,
(IF
(
G5345=""юридична особа""
,
VLOOKUP"&amp;"(H5345,IMPORTRANGE(""https://docs.google.com/spreadsheets/d/14Bd19lYaqBhU8_DElYkX7l4wRkHqqCUFNJY4AfY3kHU/edit?usp=sharing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J5344" s="7" t="s">
        <v>13</v>
      </c>
    </row>
    <row r="5345" spans="1:10" ht="13.2">
      <c r="A5345" s="7">
        <v>5344</v>
      </c>
      <c r="B5345" s="7">
        <v>1</v>
      </c>
      <c r="C5345" s="7" t="s">
        <v>10</v>
      </c>
      <c r="D5345" s="7">
        <v>4316</v>
      </c>
      <c r="E5345" s="7" t="s">
        <v>13</v>
      </c>
      <c r="F5345" s="8" t="str">
        <f ca="1">IFERROR(__xludf.DUMMYFUNCTION("IF
(
C5346=""фізична особа""
,
VLOOKUP(D5346,IMPORTRANGE(""https://docs.google.com/spreadsheets/d/14Bd19lYaqBhU8_DElYkX7l4wRkHqqCUFNJY4AfY3kHU/edit?usp=sharing  #gid=0"",""фіз особи new!relations_name""),6,FALSE)
,
(IF
(
C5346=""юридична особа""
,
VLOOKUP"&amp;"(D5346,IMPORTRANGE(""https://docs.google.com/spreadsheets/d/14Bd19lYaqBhU8_DElYkX7l4wRkHqqCUFNJY4AfY3kHU/edit?usp=sharing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G5345" s="7" t="s">
        <v>10</v>
      </c>
      <c r="H5345" s="7">
        <v>862</v>
      </c>
      <c r="I5345" s="8" t="str">
        <f ca="1">IFERROR(__xludf.DUMMYFUNCTION("IF
(
G5346=""фізична особа""
,
VLOOKUP(H5346,IMPORTRANGE(""https://docs.google.com/spreadsheets/d/14Bd19lYaqBhU8_DElYkX7l4wRkHqqCUFNJY4AfY3kHU/edit?usp=sharing  #gid=0"",""фіз особи new!relations_name""),6,FALSE)
,
(IF
(
G5346=""юридична особа""
,
VLOOKUP"&amp;"(H5346,IMPORTRANGE(""https://docs.google.com/spreadsheets/d/14Bd19lYaqBhU8_DElYkX7l4wRkHqqCUFNJY4AfY3kHU/edit?usp=sharing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J5345" s="7" t="s">
        <v>12</v>
      </c>
    </row>
    <row r="5346" spans="1:10" ht="13.2">
      <c r="A5346" s="7">
        <v>5345</v>
      </c>
      <c r="B5346" s="7">
        <v>1</v>
      </c>
      <c r="C5346" s="7" t="s">
        <v>10</v>
      </c>
      <c r="D5346" s="7">
        <v>4316</v>
      </c>
      <c r="E5346" s="7" t="s">
        <v>13</v>
      </c>
      <c r="F5346" s="8" t="str">
        <f ca="1">IFERROR(__xludf.DUMMYFUNCTION("IF
(
C5347=""фізична особа""
,
VLOOKUP(D5347,IMPORTRANGE(""https://docs.google.com/spreadsheets/d/14Bd19lYaqBhU8_DElYkX7l4wRkHqqCUFNJY4AfY3kHU/edit?usp=sharing  #gid=0"",""фіз особи new!relations_name""),6,FALSE)
,
(IF
(
C5347=""юридична особа""
,
VLOOKUP"&amp;"(D5347,IMPORTRANGE(""https://docs.google.com/spreadsheets/d/14Bd19lYaqBhU8_DElYkX7l4wRkHqqCUFNJY4AfY3kHU/edit?usp=sharing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G5346" s="7" t="s">
        <v>10</v>
      </c>
      <c r="H5346" s="7">
        <v>4315</v>
      </c>
      <c r="I5346" s="8" t="str">
        <f ca="1">IFERROR(__xludf.DUMMYFUNCTION("IF
(
G5347=""фізична особа""
,
VLOOKUP(H5347,IMPORTRANGE(""https://docs.google.com/spreadsheets/d/14Bd19lYaqBhU8_DElYkX7l4wRkHqqCUFNJY4AfY3kHU/edit?usp=sharing  #gid=0"",""фіз особи new!relations_name""),6,FALSE)
,
(IF
(
G5347=""юридична особа""
,
VLOOKUP"&amp;"(H5347,IMPORTRANGE(""https://docs.google.com/spreadsheets/d/14Bd19lYaqBhU8_DElYkX7l4wRkHqqCUFNJY4AfY3kHU/edit?usp=sharing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J5346" s="7" t="s">
        <v>21</v>
      </c>
    </row>
    <row r="5347" spans="1:10" ht="13.2">
      <c r="A5347" s="7">
        <v>5346</v>
      </c>
      <c r="B5347" s="7">
        <v>1</v>
      </c>
      <c r="C5347" s="7" t="s">
        <v>10</v>
      </c>
      <c r="D5347" s="7">
        <v>4316</v>
      </c>
      <c r="E5347" s="7" t="s">
        <v>31</v>
      </c>
      <c r="F5347" s="8" t="str">
        <f ca="1">IFERROR(__xludf.DUMMYFUNCTION("IF
(
C5348=""фізична особа""
,
VLOOKUP(D5348,IMPORTRANGE(""https://docs.google.com/spreadsheets/d/14Bd19lYaqBhU8_DElYkX7l4wRkHqqCUFNJY4AfY3kHU/edit?usp=sharing  #gid=0"",""фіз особи new!relations_name""),6,FALSE)
,
(IF
(
C5348=""юридична особа""
,
VLOOKUP"&amp;"(D5348,IMPORTRANGE(""https://docs.google.com/spreadsheets/d/14Bd19lYaqBhU8_DElYkX7l4wRkHqqCUFNJY4AfY3kHU/edit?usp=sharing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G5347" s="7" t="s">
        <v>10</v>
      </c>
      <c r="H5347" s="7">
        <v>4317</v>
      </c>
      <c r="I5347" s="8" t="str">
        <f ca="1">IFERROR(__xludf.DUMMYFUNCTION("IF
(
G5348=""фізична особа""
,
VLOOKUP(H5348,IMPORTRANGE(""https://docs.google.com/spreadsheets/d/14Bd19lYaqBhU8_DElYkX7l4wRkHqqCUFNJY4AfY3kHU/edit?usp=sharing  #gid=0"",""фіз особи new!relations_name""),6,FALSE)
,
(IF
(
G5348=""юридична особа""
,
VLOOKUP"&amp;"(H5348,IMPORTRANGE(""https://docs.google.com/spreadsheets/d/14Bd19lYaqBhU8_DElYkX7l4wRkHqqCUFNJY4AfY3kHU/edit?usp=sharing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J5347" s="7" t="s">
        <v>31</v>
      </c>
    </row>
    <row r="5348" spans="1:10" ht="13.2">
      <c r="A5348" s="7">
        <v>5347</v>
      </c>
      <c r="B5348" s="7">
        <v>1</v>
      </c>
      <c r="C5348" s="7" t="s">
        <v>10</v>
      </c>
      <c r="D5348" s="7">
        <v>4317</v>
      </c>
      <c r="E5348" s="7" t="s">
        <v>13</v>
      </c>
      <c r="F5348" s="8" t="str">
        <f ca="1">IFERROR(__xludf.DUMMYFUNCTION("IF
(
C5349=""фізична особа""
,
VLOOKUP(D5349,IMPORTRANGE(""https://docs.google.com/spreadsheets/d/14Bd19lYaqBhU8_DElYkX7l4wRkHqqCUFNJY4AfY3kHU/edit?usp=sharing  #gid=0"",""фіз особи new!relations_name""),6,FALSE)
,
(IF
(
C5349=""юридична особа""
,
VLOOKUP"&amp;"(D5349,IMPORTRANGE(""https://docs.google.com/spreadsheets/d/14Bd19lYaqBhU8_DElYkX7l4wRkHqqCUFNJY4AfY3kHU/edit?usp=sharing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G5348" s="7" t="s">
        <v>10</v>
      </c>
      <c r="H5348" s="7">
        <v>862</v>
      </c>
      <c r="I5348" s="8" t="str">
        <f ca="1">IFERROR(__xludf.DUMMYFUNCTION("IF
(
G5349=""фізична особа""
,
VLOOKUP(H5349,IMPORTRANGE(""https://docs.google.com/spreadsheets/d/14Bd19lYaqBhU8_DElYkX7l4wRkHqqCUFNJY4AfY3kHU/edit?usp=sharing  #gid=0"",""фіз особи new!relations_name""),6,FALSE)
,
(IF
(
G5349=""юридична особа""
,
VLOOKUP"&amp;"(H5349,IMPORTRANGE(""https://docs.google.com/spreadsheets/d/14Bd19lYaqBhU8_DElYkX7l4wRkHqqCUFNJY4AfY3kHU/edit?usp=sharing  #gid=0"",""фіз особи new!relations_name_uo""),7,FALSE)
,
)
))"),"КРАВЧЕНКО Владимир Казимирович")</f>
        <v>КРАВЧЕНКО Владимир Казимирович</v>
      </c>
      <c r="J5348" s="7" t="s">
        <v>12</v>
      </c>
    </row>
    <row r="5349" spans="1:10" ht="13.2">
      <c r="A5349" s="7">
        <v>5348</v>
      </c>
      <c r="B5349" s="7">
        <v>1</v>
      </c>
      <c r="C5349" s="7" t="s">
        <v>10</v>
      </c>
      <c r="D5349" s="7">
        <v>4317</v>
      </c>
      <c r="E5349" s="7" t="s">
        <v>13</v>
      </c>
      <c r="F5349" s="8" t="str">
        <f ca="1">IFERROR(__xludf.DUMMYFUNCTION("IF
(
C5350=""фізична особа""
,
VLOOKUP(D5350,IMPORTRANGE(""https://docs.google.com/spreadsheets/d/14Bd19lYaqBhU8_DElYkX7l4wRkHqqCUFNJY4AfY3kHU/edit?usp=sharing  #gid=0"",""фіз особи new!relations_name""),6,FALSE)
,
(IF
(
C5350=""юридична особа""
,
VLOOKUP"&amp;"(D5350,IMPORTRANGE(""https://docs.google.com/spreadsheets/d/14Bd19lYaqBhU8_DElYkX7l4wRkHqqCUFNJY4AfY3kHU/edit?usp=sharing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G5349" s="7" t="s">
        <v>10</v>
      </c>
      <c r="H5349" s="7">
        <v>4315</v>
      </c>
      <c r="I5349" s="8" t="str">
        <f ca="1">IFERROR(__xludf.DUMMYFUNCTION("IF
(
G5350=""фізична особа""
,
VLOOKUP(H5350,IMPORTRANGE(""https://docs.google.com/spreadsheets/d/14Bd19lYaqBhU8_DElYkX7l4wRkHqqCUFNJY4AfY3kHU/edit?usp=sharing  #gid=0"",""фіз особи new!relations_name""),6,FALSE)
,
(IF
(
G5350=""юридична особа""
,
VLOOKUP"&amp;"(H5350,IMPORTRANGE(""https://docs.google.com/spreadsheets/d/14Bd19lYaqBhU8_DElYkX7l4wRkHqqCUFNJY4AfY3kHU/edit?usp=sharing  #gid=0"",""фіз особи new!relations_name_uo""),7,FALSE)
,
)
))"),"КРАВЧЕНКО Оксана Іванівна")</f>
        <v>КРАВЧЕНКО Оксана Іванівна</v>
      </c>
      <c r="J5349" s="7" t="s">
        <v>21</v>
      </c>
    </row>
    <row r="5350" spans="1:10" ht="13.2">
      <c r="A5350" s="7">
        <v>5349</v>
      </c>
      <c r="B5350" s="7">
        <v>1</v>
      </c>
      <c r="C5350" s="7" t="s">
        <v>10</v>
      </c>
      <c r="D5350" s="7">
        <v>4317</v>
      </c>
      <c r="E5350" s="7" t="s">
        <v>31</v>
      </c>
      <c r="F5350" s="8" t="str">
        <f ca="1">IFERROR(__xludf.DUMMYFUNCTION("IF
(
C5351=""фізична особа""
,
VLOOKUP(D5351,IMPORTRANGE(""https://docs.google.com/spreadsheets/d/14Bd19lYaqBhU8_DElYkX7l4wRkHqqCUFNJY4AfY3kHU/edit?usp=sharing  #gid=0"",""фіз особи new!relations_name""),6,FALSE)
,
(IF
(
C5351=""юридична особа""
,
VLOOKUP"&amp;"(D5351,IMPORTRANGE(""https://docs.google.com/spreadsheets/d/14Bd19lYaqBhU8_DElYkX7l4wRkHqqCUFNJY4AfY3kHU/edit?usp=sharing  #gid=0"",""фіз особи new!relations_name_uo""),7,FALSE)
,
)
))"),"КРАВЧЕНКО Анастасія Володимирівна")</f>
        <v>КРАВЧЕНКО Анастасія Володимирівна</v>
      </c>
      <c r="G5350" s="7" t="s">
        <v>10</v>
      </c>
      <c r="H5350" s="7">
        <v>4316</v>
      </c>
      <c r="I5350" s="8" t="str">
        <f ca="1">IFERROR(__xludf.DUMMYFUNCTION("IF
(
G5351=""фізична особа""
,
VLOOKUP(H5351,IMPORTRANGE(""https://docs.google.com/spreadsheets/d/14Bd19lYaqBhU8_DElYkX7l4wRkHqqCUFNJY4AfY3kHU/edit?usp=sharing  #gid=0"",""фіз особи new!relations_name""),6,FALSE)
,
(IF
(
G5351=""юридична особа""
,
VLOOKUP"&amp;"(H5351,IMPORTRANGE(""https://docs.google.com/spreadsheets/d/14Bd19lYaqBhU8_DElYkX7l4wRkHqqCUFNJY4AfY3kHU/edit?usp=sharing  #gid=0"",""фіз особи new!relations_name_uo""),7,FALSE)
,
)
))"),"ОГНЄВА Софія Володимирівна")</f>
        <v>ОГНЄВА Софія Володимирівна</v>
      </c>
      <c r="J5350" s="7" t="s">
        <v>31</v>
      </c>
    </row>
    <row r="5351" spans="1:10" ht="13.2">
      <c r="A5351" s="7">
        <v>5350</v>
      </c>
      <c r="B5351" s="7">
        <v>1</v>
      </c>
      <c r="C5351" s="7" t="s">
        <v>10</v>
      </c>
      <c r="D5351" s="7">
        <v>4318</v>
      </c>
      <c r="E5351" s="7" t="s">
        <v>15</v>
      </c>
      <c r="F5351" s="8" t="str">
        <f ca="1">IFERROR(__xludf.DUMMYFUNCTION("IF
(
C5352=""фізична особа""
,
VLOOKUP(D5352,IMPORTRANGE(""https://docs.google.com/spreadsheets/d/14Bd19lYaqBhU8_DElYkX7l4wRkHqqCUFNJY4AfY3kHU/edit?usp=sharing  #gid=0"",""фіз особи new!relations_name""),6,FALSE)
,
(IF
(
C5352=""юридична особа""
,
VLOOKUP"&amp;"(D5352,IMPORTRANGE(""https://docs.google.com/spreadsheets/d/14Bd19lYaqBhU8_DElYkX7l4wRkHqqCUFNJY4AfY3kHU/edit?usp=sharing  #gid=0"",""фіз особи new!relations_name_uo""),7,FALSE)
,
)
))"),"ІКОННІКОВА Тетяна Павлівна")</f>
        <v>ІКОННІКОВА Тетяна Павлівна</v>
      </c>
      <c r="G5351" s="7" t="s">
        <v>10</v>
      </c>
      <c r="H5351" s="7">
        <v>806</v>
      </c>
      <c r="I5351" s="8" t="str">
        <f ca="1">IFERROR(__xludf.DUMMYFUNCTION("IF
(
G5352=""фізична особа""
,
VLOOKUP(H5352,IMPORTRANGE(""https://docs.google.com/spreadsheets/d/14Bd19lYaqBhU8_DElYkX7l4wRkHqqCUFNJY4AfY3kHU/edit?usp=sharing  #gid=0"",""фіз особи new!relations_name""),6,FALSE)
,
(IF
(
G5352=""юридична особа""
,
VLOOKUP"&amp;"(H5352,IMPORTRANGE(""https://docs.google.com/spreadsheets/d/14Bd19lYaqBhU8_DElYkX7l4wRkHqqCUFNJY4AfY3kHU/edit?usp=sharing  #gid=0"",""фіз особи new!relations_name_uo""),7,FALSE)
,
)
))"),"ІКОННІКОВ Василь Миколайович")</f>
        <v>ІКОННІКОВ Василь Миколайович</v>
      </c>
      <c r="J5351" s="7" t="s">
        <v>14</v>
      </c>
    </row>
    <row r="5352" spans="1:10" ht="13.2">
      <c r="A5352" s="7">
        <v>5351</v>
      </c>
      <c r="B5352" s="7">
        <v>1</v>
      </c>
      <c r="C5352" s="7" t="s">
        <v>10</v>
      </c>
      <c r="D5352" s="7">
        <v>4319</v>
      </c>
      <c r="E5352" s="7" t="s">
        <v>31</v>
      </c>
      <c r="F5352" s="8" t="str">
        <f ca="1">IFERROR(__xludf.DUMMYFUNCTION("IF
(
C5353=""фізична особа""
,
VLOOKUP(D5353,IMPORTRANGE(""https://docs.google.com/spreadsheets/d/14Bd19lYaqBhU8_DElYkX7l4wRkHqqCUFNJY4AfY3kHU/edit?usp=sharing  #gid=0"",""фіз особи new!relations_name""),6,FALSE)
,
(IF
(
C5353=""юридична особа""
,
VLOOKUP"&amp;"(D5353,IMPORTRANGE(""https://docs.google.com/spreadsheets/d/14Bd19lYaqBhU8_DElYkX7l4wRkHqqCUFNJY4AfY3kHU/edit?usp=sharing  #gid=0"",""фіз особи new!relations_name_uo""),7,FALSE)
,
)
))"),"КРУГЛА Софія Ігорівна")</f>
        <v>КРУГЛА Софія Ігорівна</v>
      </c>
      <c r="G5352" s="7" t="s">
        <v>10</v>
      </c>
      <c r="H5352" s="7">
        <v>857</v>
      </c>
      <c r="I5352" s="8" t="str">
        <f ca="1">IFERROR(__xludf.DUMMYFUNCTION("IF
(
G5353=""фізична особа""
,
VLOOKUP(H5353,IMPORTRANGE(""https://docs.google.com/spreadsheets/d/14Bd19lYaqBhU8_DElYkX7l4wRkHqqCUFNJY4AfY3kHU/edit?usp=sharing  #gid=0"",""фіз особи new!relations_name""),6,FALSE)
,
(IF
(
G5353=""юридична особа""
,
VLOOKUP"&amp;"(H5353,IMPORTRANGE(""https://docs.google.com/spreadsheets/d/14Bd19lYaqBhU8_DElYkX7l4wRkHqqCUFNJY4AfY3kHU/edit?usp=sharing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J5352" s="7" t="s">
        <v>18</v>
      </c>
    </row>
    <row r="5353" spans="1:10" ht="13.2">
      <c r="A5353" s="7">
        <v>5352</v>
      </c>
      <c r="B5353" s="7">
        <v>1</v>
      </c>
      <c r="C5353" s="7" t="s">
        <v>10</v>
      </c>
      <c r="D5353" s="7">
        <v>4320</v>
      </c>
      <c r="E5353" s="7" t="s">
        <v>18</v>
      </c>
      <c r="F5353" s="8" t="str">
        <f ca="1">IFERROR(__xludf.DUMMYFUNCTION("IF
(
C5354=""фізична особа""
,
VLOOKUP(D5354,IMPORTRANGE(""https://docs.google.com/spreadsheets/d/14Bd19lYaqBhU8_DElYkX7l4wRkHqqCUFNJY4AfY3kHU/edit?usp=sharing  #gid=0"",""фіз особи new!relations_name""),6,FALSE)
,
(IF
(
C5354=""юридична особа""
,
VLOOKUP"&amp;"(D5354,IMPORTRANGE(""https://docs.google.com/spreadsheets/d/14Bd19lYaqBhU8_DElYkX7l4wRkHqqCUFNJY4AfY3kHU/edit?usp=sharing  #gid=0"",""фіз особи new!relations_name_uo""),7,FALSE)
,
)
))"),"КРУГЛИЙ Борис Ігорович")</f>
        <v>КРУГЛИЙ Борис Ігорович</v>
      </c>
      <c r="G5353" s="7" t="s">
        <v>10</v>
      </c>
      <c r="H5353" s="7">
        <v>857</v>
      </c>
      <c r="I5353" s="8" t="str">
        <f ca="1">IFERROR(__xludf.DUMMYFUNCTION("IF
(
G5354=""фізична особа""
,
VLOOKUP(H5354,IMPORTRANGE(""https://docs.google.com/spreadsheets/d/14Bd19lYaqBhU8_DElYkX7l4wRkHqqCUFNJY4AfY3kHU/edit?usp=sharing  #gid=0"",""фіз особи new!relations_name""),6,FALSE)
,
(IF
(
G5354=""юридична особа""
,
VLOOKUP"&amp;"(H5354,IMPORTRANGE(""https://docs.google.com/spreadsheets/d/14Bd19lYaqBhU8_DElYkX7l4wRkHqqCUFNJY4AfY3kHU/edit?usp=sharing  #gid=0"",""фіз особи new!relations_name_uo""),7,FALSE)
,
)
))"),"КРУГЛИЙ Володимир Ігорович")</f>
        <v>КРУГЛИЙ Володимир Ігорович</v>
      </c>
      <c r="J5353" s="7" t="s">
        <v>18</v>
      </c>
    </row>
    <row r="5354" spans="1:10" ht="13.2">
      <c r="A5354" s="7">
        <v>5353</v>
      </c>
      <c r="B5354" s="7">
        <v>1</v>
      </c>
      <c r="C5354" s="7" t="s">
        <v>10</v>
      </c>
      <c r="D5354" s="7">
        <v>4321</v>
      </c>
      <c r="E5354" s="7" t="s">
        <v>15</v>
      </c>
      <c r="F5354" s="8" t="str">
        <f ca="1">IFERROR(__xludf.DUMMYFUNCTION("IF
(
C5355=""фізична особа""
,
VLOOKUP(D5355,IMPORTRANGE(""https://docs.google.com/spreadsheets/d/14Bd19lYaqBhU8_DElYkX7l4wRkHqqCUFNJY4AfY3kHU/edit?usp=sharing  #gid=0"",""фіз особи new!relations_name""),6,FALSE)
,
(IF
(
C5355=""юридична особа""
,
VLOOKUP"&amp;"(D5355,IMPORTRANGE(""https://docs.google.com/spreadsheets/d/14Bd19lYaqBhU8_DElYkX7l4wRkHqqCUFNJY4AfY3kHU/edit?usp=sharing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G5354" s="7" t="s">
        <v>10</v>
      </c>
      <c r="H5354" s="7">
        <v>32</v>
      </c>
      <c r="I5354" s="8" t="str">
        <f ca="1">IFERROR(__xludf.DUMMYFUNCTION("IF
(
G5355=""фізична особа""
,
VLOOKUP(H5355,IMPORTRANGE(""https://docs.google.com/spreadsheets/d/14Bd19lYaqBhU8_DElYkX7l4wRkHqqCUFNJY4AfY3kHU/edit?usp=sharing  #gid=0"",""фіз особи new!relations_name""),6,FALSE)
,
(IF
(
G5355=""юридична особа""
,
VLOOKUP"&amp;"(H5355,IMPORTRANGE(""https://docs.google.com/spreadsheets/d/14Bd19lYaqBhU8_DElYkX7l4wRkHqqCUFNJY4AfY3kHU/edit?usp=sharing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5354" s="7" t="s">
        <v>14</v>
      </c>
    </row>
    <row r="5355" spans="1:10" ht="13.2">
      <c r="A5355" s="7">
        <v>5354</v>
      </c>
      <c r="B5355" s="7">
        <v>1</v>
      </c>
      <c r="C5355" s="7" t="s">
        <v>10</v>
      </c>
      <c r="D5355" s="7">
        <v>4321</v>
      </c>
      <c r="E5355" s="7" t="s">
        <v>21</v>
      </c>
      <c r="F5355" s="8" t="str">
        <f ca="1">IFERROR(__xludf.DUMMYFUNCTION("IF
(
C5356=""фізична особа""
,
VLOOKUP(D5356,IMPORTRANGE(""https://docs.google.com/spreadsheets/d/14Bd19lYaqBhU8_DElYkX7l4wRkHqqCUFNJY4AfY3kHU/edit?usp=sharing  #gid=0"",""фіз особи new!relations_name""),6,FALSE)
,
(IF
(
C5356=""юридична особа""
,
VLOOKUP"&amp;"(D5356,IMPORTRANGE(""https://docs.google.com/spreadsheets/d/14Bd19lYaqBhU8_DElYkX7l4wRkHqqCUFNJY4AfY3kHU/edit?usp=sharing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G5355" s="7" t="s">
        <v>10</v>
      </c>
      <c r="H5355" s="7">
        <v>4322</v>
      </c>
      <c r="I5355" s="8" t="str">
        <f ca="1">IFERROR(__xludf.DUMMYFUNCTION("IF
(
G5356=""фізична особа""
,
VLOOKUP(H5356,IMPORTRANGE(""https://docs.google.com/spreadsheets/d/14Bd19lYaqBhU8_DElYkX7l4wRkHqqCUFNJY4AfY3kHU/edit?usp=sharing  #gid=0"",""фіз особи new!relations_name""),6,FALSE)
,
(IF
(
G5356=""юридична особа""
,
VLOOKUP"&amp;"(H5356,IMPORTRANGE(""https://docs.google.com/spreadsheets/d/14Bd19lYaqBhU8_DElYkX7l4wRkHqqCUFNJY4AfY3kHU/edit?usp=sharing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J5355" s="7" t="s">
        <v>13</v>
      </c>
    </row>
    <row r="5356" spans="1:10" ht="13.2">
      <c r="A5356" s="7">
        <v>5355</v>
      </c>
      <c r="B5356" s="7">
        <v>1</v>
      </c>
      <c r="C5356" s="7" t="s">
        <v>10</v>
      </c>
      <c r="D5356" s="7">
        <v>4321</v>
      </c>
      <c r="E5356" s="7" t="s">
        <v>21</v>
      </c>
      <c r="F5356" s="8" t="str">
        <f ca="1">IFERROR(__xludf.DUMMYFUNCTION("IF
(
C5357=""фізична особа""
,
VLOOKUP(D5357,IMPORTRANGE(""https://docs.google.com/spreadsheets/d/14Bd19lYaqBhU8_DElYkX7l4wRkHqqCUFNJY4AfY3kHU/edit?usp=sharing  #gid=0"",""фіз особи new!relations_name""),6,FALSE)
,
(IF
(
C5357=""юридична особа""
,
VLOOKUP"&amp;"(D5357,IMPORTRANGE(""https://docs.google.com/spreadsheets/d/14Bd19lYaqBhU8_DElYkX7l4wRkHqqCUFNJY4AfY3kHU/edit?usp=sharing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G5356" s="7" t="s">
        <v>10</v>
      </c>
      <c r="H5356" s="7">
        <v>4324</v>
      </c>
      <c r="I5356" s="8" t="str">
        <f ca="1">IFERROR(__xludf.DUMMYFUNCTION("IF
(
G5357=""фізична особа""
,
VLOOKUP(H5357,IMPORTRANGE(""https://docs.google.com/spreadsheets/d/14Bd19lYaqBhU8_DElYkX7l4wRkHqqCUFNJY4AfY3kHU/edit?usp=sharing  #gid=0"",""фіз особи new!relations_name""),6,FALSE)
,
(IF
(
G5357=""юридична особа""
,
VLOOKUP"&amp;"(H5357,IMPORTRANGE(""https://docs.google.com/spreadsheets/d/14Bd19lYaqBhU8_DElYkX7l4wRkHqqCUFNJY4AfY3kHU/edit?usp=sharing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J5356" s="7" t="s">
        <v>17</v>
      </c>
    </row>
    <row r="5357" spans="1:10" ht="13.2">
      <c r="A5357" s="7">
        <v>5356</v>
      </c>
      <c r="B5357" s="7">
        <v>1</v>
      </c>
      <c r="C5357" s="7" t="s">
        <v>10</v>
      </c>
      <c r="D5357" s="7">
        <v>4322</v>
      </c>
      <c r="E5357" s="7" t="s">
        <v>13</v>
      </c>
      <c r="F5357" s="8" t="str">
        <f ca="1">IFERROR(__xludf.DUMMYFUNCTION("IF
(
C5358=""фізична особа""
,
VLOOKUP(D5358,IMPORTRANGE(""https://docs.google.com/spreadsheets/d/14Bd19lYaqBhU8_DElYkX7l4wRkHqqCUFNJY4AfY3kHU/edit?usp=sharing  #gid=0"",""фіз особи new!relations_name""),6,FALSE)
,
(IF
(
C5358=""юридична особа""
,
VLOOKUP"&amp;"(D5358,IMPORTRANGE(""https://docs.google.com/spreadsheets/d/14Bd19lYaqBhU8_DElYkX7l4wRkHqqCUFNJY4AfY3kHU/edit?usp=sharing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G5357" s="7" t="s">
        <v>10</v>
      </c>
      <c r="H5357" s="7">
        <v>32</v>
      </c>
      <c r="I5357" s="8" t="str">
        <f ca="1">IFERROR(__xludf.DUMMYFUNCTION("IF
(
G5358=""фізична особа""
,
VLOOKUP(H5358,IMPORTRANGE(""https://docs.google.com/spreadsheets/d/14Bd19lYaqBhU8_DElYkX7l4wRkHqqCUFNJY4AfY3kHU/edit?usp=sharing  #gid=0"",""фіз особи new!relations_name""),6,FALSE)
,
(IF
(
G5358=""юридична особа""
,
VLOOKUP"&amp;"(H5358,IMPORTRANGE(""https://docs.google.com/spreadsheets/d/14Bd19lYaqBhU8_DElYkX7l4wRkHqqCUFNJY4AfY3kHU/edit?usp=sharing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5357" s="7" t="s">
        <v>12</v>
      </c>
    </row>
    <row r="5358" spans="1:10" ht="13.2">
      <c r="A5358" s="7">
        <v>5357</v>
      </c>
      <c r="B5358" s="7">
        <v>1</v>
      </c>
      <c r="C5358" s="7" t="s">
        <v>10</v>
      </c>
      <c r="D5358" s="7">
        <v>4322</v>
      </c>
      <c r="E5358" s="7" t="s">
        <v>13</v>
      </c>
      <c r="F5358" s="8" t="str">
        <f ca="1">IFERROR(__xludf.DUMMYFUNCTION("IF
(
C5359=""фізична особа""
,
VLOOKUP(D5359,IMPORTRANGE(""https://docs.google.com/spreadsheets/d/14Bd19lYaqBhU8_DElYkX7l4wRkHqqCUFNJY4AfY3kHU/edit?usp=sharing  #gid=0"",""фіз особи new!relations_name""),6,FALSE)
,
(IF
(
C5359=""юридична особа""
,
VLOOKUP"&amp;"(D5359,IMPORTRANGE(""https://docs.google.com/spreadsheets/d/14Bd19lYaqBhU8_DElYkX7l4wRkHqqCUFNJY4AfY3kHU/edit?usp=sharing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G5358" s="7" t="s">
        <v>10</v>
      </c>
      <c r="H5358" s="7">
        <v>4321</v>
      </c>
      <c r="I5358" s="8" t="str">
        <f ca="1">IFERROR(__xludf.DUMMYFUNCTION("IF
(
G5359=""фізична особа""
,
VLOOKUP(H5359,IMPORTRANGE(""https://docs.google.com/spreadsheets/d/14Bd19lYaqBhU8_DElYkX7l4wRkHqqCUFNJY4AfY3kHU/edit?usp=sharing  #gid=0"",""фіз особи new!relations_name""),6,FALSE)
,
(IF
(
G5359=""юридична особа""
,
VLOOKUP"&amp;"(H5359,IMPORTRANGE(""https://docs.google.com/spreadsheets/d/14Bd19lYaqBhU8_DElYkX7l4wRkHqqCUFNJY4AfY3kHU/edit?usp=sharing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J5358" s="7" t="s">
        <v>21</v>
      </c>
    </row>
    <row r="5359" spans="1:10" ht="13.2">
      <c r="A5359" s="7">
        <v>5358</v>
      </c>
      <c r="B5359" s="7">
        <v>1</v>
      </c>
      <c r="C5359" s="7" t="s">
        <v>10</v>
      </c>
      <c r="D5359" s="7">
        <v>4322</v>
      </c>
      <c r="E5359" s="7" t="s">
        <v>15</v>
      </c>
      <c r="F5359" s="8" t="str">
        <f ca="1">IFERROR(__xludf.DUMMYFUNCTION("IF
(
C5360=""фізична особа""
,
VLOOKUP(D5360,IMPORTRANGE(""https://docs.google.com/spreadsheets/d/14Bd19lYaqBhU8_DElYkX7l4wRkHqqCUFNJY4AfY3kHU/edit?usp=sharing  #gid=0"",""фіз особи new!relations_name""),6,FALSE)
,
(IF
(
C5360=""юридична особа""
,
VLOOKUP"&amp;"(D5360,IMPORTRANGE(""https://docs.google.com/spreadsheets/d/14Bd19lYaqBhU8_DElYkX7l4wRkHqqCUFNJY4AfY3kHU/edit?usp=sharing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G5359" s="7" t="s">
        <v>10</v>
      </c>
      <c r="H5359" s="7">
        <v>4323</v>
      </c>
      <c r="I5359" s="8" t="str">
        <f ca="1">IFERROR(__xludf.DUMMYFUNCTION("IF
(
G5360=""фізична особа""
,
VLOOKUP(H5360,IMPORTRANGE(""https://docs.google.com/spreadsheets/d/14Bd19lYaqBhU8_DElYkX7l4wRkHqqCUFNJY4AfY3kHU/edit?usp=sharing  #gid=0"",""фіз особи new!relations_name""),6,FALSE)
,
(IF
(
G5360=""юридична особа""
,
VLOOKUP"&amp;"(H5360,IMPORTRANGE(""https://docs.google.com/spreadsheets/d/14Bd19lYaqBhU8_DElYkX7l4wRkHqqCUFNJY4AfY3kHU/edit?usp=sharing  #gid=0"",""фіз особи new!relations_name_uo""),7,FALSE)
,
)
))"),"КОРХОВ Олег")</f>
        <v>КОРХОВ Олег</v>
      </c>
      <c r="J5359" s="7" t="s">
        <v>14</v>
      </c>
    </row>
    <row r="5360" spans="1:10" ht="13.2">
      <c r="A5360" s="7">
        <v>5359</v>
      </c>
      <c r="B5360" s="7">
        <v>1</v>
      </c>
      <c r="C5360" s="7" t="s">
        <v>10</v>
      </c>
      <c r="D5360" s="7">
        <v>4322</v>
      </c>
      <c r="E5360" s="7" t="s">
        <v>31</v>
      </c>
      <c r="F5360" s="8" t="str">
        <f ca="1">IFERROR(__xludf.DUMMYFUNCTION("IF
(
C5361=""фізична особа""
,
VLOOKUP(D5361,IMPORTRANGE(""https://docs.google.com/spreadsheets/d/14Bd19lYaqBhU8_DElYkX7l4wRkHqqCUFNJY4AfY3kHU/edit?usp=sharing  #gid=0"",""фіз особи new!relations_name""),6,FALSE)
,
(IF
(
C5361=""юридична особа""
,
VLOOKUP"&amp;"(D5361,IMPORTRANGE(""https://docs.google.com/spreadsheets/d/14Bd19lYaqBhU8_DElYkX7l4wRkHqqCUFNJY4AfY3kHU/edit?usp=sharing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G5360" s="7" t="s">
        <v>10</v>
      </c>
      <c r="H5360" s="7">
        <v>4324</v>
      </c>
      <c r="I5360" s="8" t="str">
        <f ca="1">IFERROR(__xludf.DUMMYFUNCTION("IF
(
G5361=""фізична особа""
,
VLOOKUP(H5361,IMPORTRANGE(""https://docs.google.com/spreadsheets/d/14Bd19lYaqBhU8_DElYkX7l4wRkHqqCUFNJY4AfY3kHU/edit?usp=sharing  #gid=0"",""фіз особи new!relations_name""),6,FALSE)
,
(IF
(
G5361=""юридична особа""
,
VLOOKUP"&amp;"(H5361,IMPORTRANGE(""https://docs.google.com/spreadsheets/d/14Bd19lYaqBhU8_DElYkX7l4wRkHqqCUFNJY4AfY3kHU/edit?usp=sharing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J5360" s="7" t="s">
        <v>18</v>
      </c>
    </row>
    <row r="5361" spans="1:10" ht="13.2">
      <c r="A5361" s="7">
        <v>5360</v>
      </c>
      <c r="B5361" s="7">
        <v>1</v>
      </c>
      <c r="C5361" s="7" t="s">
        <v>10</v>
      </c>
      <c r="D5361" s="7">
        <v>4323</v>
      </c>
      <c r="E5361" s="7" t="s">
        <v>26</v>
      </c>
      <c r="F5361" s="8" t="str">
        <f ca="1">IFERROR(__xludf.DUMMYFUNCTION("IF
(
C5362=""фізична особа""
,
VLOOKUP(D5362,IMPORTRANGE(""https://docs.google.com/spreadsheets/d/14Bd19lYaqBhU8_DElYkX7l4wRkHqqCUFNJY4AfY3kHU/edit?usp=sharing  #gid=0"",""фіз особи new!relations_name""),6,FALSE)
,
(IF
(
C5362=""юридична особа""
,
VLOOKUP"&amp;"(D5362,IMPORTRANGE(""https://docs.google.com/spreadsheets/d/14Bd19lYaqBhU8_DElYkX7l4wRkHqqCUFNJY4AfY3kHU/edit?usp=sharing  #gid=0"",""фіз особи new!relations_name_uo""),7,FALSE)
,
)
))"),"КОРХОВ Олег")</f>
        <v>КОРХОВ Олег</v>
      </c>
      <c r="G5361" s="7" t="s">
        <v>10</v>
      </c>
      <c r="H5361" s="7">
        <v>32</v>
      </c>
      <c r="I5361" s="8" t="str">
        <f ca="1">IFERROR(__xludf.DUMMYFUNCTION("IF
(
G5362=""фізична особа""
,
VLOOKUP(H5362,IMPORTRANGE(""https://docs.google.com/spreadsheets/d/14Bd19lYaqBhU8_DElYkX7l4wRkHqqCUFNJY4AfY3kHU/edit?usp=sharing  #gid=0"",""фіз особи new!relations_name""),6,FALSE)
,
(IF
(
G5362=""юридична особа""
,
VLOOKUP"&amp;"(H5362,IMPORTRANGE(""https://docs.google.com/spreadsheets/d/14Bd19lYaqBhU8_DElYkX7l4wRkHqqCUFNJY4AfY3kHU/edit?usp=sharing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5361" s="7" t="s">
        <v>24</v>
      </c>
    </row>
    <row r="5362" spans="1:10" ht="13.2">
      <c r="A5362" s="7">
        <v>5361</v>
      </c>
      <c r="B5362" s="7">
        <v>1</v>
      </c>
      <c r="C5362" s="7" t="s">
        <v>10</v>
      </c>
      <c r="D5362" s="7">
        <v>4323</v>
      </c>
      <c r="E5362" s="7" t="s">
        <v>26</v>
      </c>
      <c r="F5362" s="8" t="str">
        <f ca="1">IFERROR(__xludf.DUMMYFUNCTION("IF
(
C5363=""фізична особа""
,
VLOOKUP(D5363,IMPORTRANGE(""https://docs.google.com/spreadsheets/d/14Bd19lYaqBhU8_DElYkX7l4wRkHqqCUFNJY4AfY3kHU/edit?usp=sharing  #gid=0"",""фіз особи new!relations_name""),6,FALSE)
,
(IF
(
C5363=""юридична особа""
,
VLOOKUP"&amp;"(D5363,IMPORTRANGE(""https://docs.google.com/spreadsheets/d/14Bd19lYaqBhU8_DElYkX7l4wRkHqqCUFNJY4AfY3kHU/edit?usp=sharing  #gid=0"",""фіз особи new!relations_name_uo""),7,FALSE)
,
)
))"),"КОРХОВ Олег")</f>
        <v>КОРХОВ Олег</v>
      </c>
      <c r="G5362" s="7" t="s">
        <v>10</v>
      </c>
      <c r="H5362" s="7">
        <v>4321</v>
      </c>
      <c r="I5362" s="8" t="str">
        <f ca="1">IFERROR(__xludf.DUMMYFUNCTION("IF
(
G5363=""фізична особа""
,
VLOOKUP(H5363,IMPORTRANGE(""https://docs.google.com/spreadsheets/d/14Bd19lYaqBhU8_DElYkX7l4wRkHqqCUFNJY4AfY3kHU/edit?usp=sharing  #gid=0"",""фіз особи new!relations_name""),6,FALSE)
,
(IF
(
G5363=""юридична особа""
,
VLOOKUP"&amp;"(H5363,IMPORTRANGE(""https://docs.google.com/spreadsheets/d/14Bd19lYaqBhU8_DElYkX7l4wRkHqqCUFNJY4AfY3kHU/edit?usp=sharing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J5362" s="7" t="s">
        <v>27</v>
      </c>
    </row>
    <row r="5363" spans="1:10" ht="13.2">
      <c r="A5363" s="7">
        <v>5362</v>
      </c>
      <c r="B5363" s="7">
        <v>1</v>
      </c>
      <c r="C5363" s="7" t="s">
        <v>10</v>
      </c>
      <c r="D5363" s="7">
        <v>4323</v>
      </c>
      <c r="E5363" s="7" t="s">
        <v>14</v>
      </c>
      <c r="F5363" s="8" t="str">
        <f ca="1">IFERROR(__xludf.DUMMYFUNCTION("IF
(
C5364=""фізична особа""
,
VLOOKUP(D5364,IMPORTRANGE(""https://docs.google.com/spreadsheets/d/14Bd19lYaqBhU8_DElYkX7l4wRkHqqCUFNJY4AfY3kHU/edit?usp=sharing  #gid=0"",""фіз особи new!relations_name""),6,FALSE)
,
(IF
(
C5364=""юридична особа""
,
VLOOKUP"&amp;"(D5364,IMPORTRANGE(""https://docs.google.com/spreadsheets/d/14Bd19lYaqBhU8_DElYkX7l4wRkHqqCUFNJY4AfY3kHU/edit?usp=sharing  #gid=0"",""фіз особи new!relations_name_uo""),7,FALSE)
,
)
))"),"КОРХОВ Олег")</f>
        <v>КОРХОВ Олег</v>
      </c>
      <c r="G5363" s="7" t="s">
        <v>10</v>
      </c>
      <c r="H5363" s="7">
        <v>4322</v>
      </c>
      <c r="I5363" s="8" t="str">
        <f ca="1">IFERROR(__xludf.DUMMYFUNCTION("IF
(
G5364=""фізична особа""
,
VLOOKUP(H5364,IMPORTRANGE(""https://docs.google.com/spreadsheets/d/14Bd19lYaqBhU8_DElYkX7l4wRkHqqCUFNJY4AfY3kHU/edit?usp=sharing  #gid=0"",""фіз особи new!relations_name""),6,FALSE)
,
(IF
(
G5364=""юридична особа""
,
VLOOKUP"&amp;"(H5364,IMPORTRANGE(""https://docs.google.com/spreadsheets/d/14Bd19lYaqBhU8_DElYkX7l4wRkHqqCUFNJY4AfY3kHU/edit?usp=sharing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J5363" s="7" t="s">
        <v>15</v>
      </c>
    </row>
    <row r="5364" spans="1:10" ht="13.2">
      <c r="A5364" s="7">
        <v>5363</v>
      </c>
      <c r="B5364" s="7">
        <v>1</v>
      </c>
      <c r="C5364" s="7" t="s">
        <v>10</v>
      </c>
      <c r="D5364" s="7">
        <v>4324</v>
      </c>
      <c r="E5364" s="7" t="s">
        <v>17</v>
      </c>
      <c r="F5364" s="8" t="str">
        <f ca="1">IFERROR(__xludf.DUMMYFUNCTION("IF
(
C5365=""фізична особа""
,
VLOOKUP(D5365,IMPORTRANGE(""https://docs.google.com/spreadsheets/d/14Bd19lYaqBhU8_DElYkX7l4wRkHqqCUFNJY4AfY3kHU/edit?usp=sharing  #gid=0"",""фіз особи new!relations_name""),6,FALSE)
,
(IF
(
C5365=""юридична особа""
,
VLOOKUP"&amp;"(D5365,IMPORTRANGE(""https://docs.google.com/spreadsheets/d/14Bd19lYaqBhU8_DElYkX7l4wRkHqqCUFNJY4AfY3kHU/edit?usp=sharing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G5364" s="7" t="s">
        <v>10</v>
      </c>
      <c r="H5364" s="7">
        <v>32</v>
      </c>
      <c r="I5364" s="8" t="str">
        <f ca="1">IFERROR(__xludf.DUMMYFUNCTION("IF
(
G5365=""фізична особа""
,
VLOOKUP(H5365,IMPORTRANGE(""https://docs.google.com/spreadsheets/d/14Bd19lYaqBhU8_DElYkX7l4wRkHqqCUFNJY4AfY3kHU/edit?usp=sharing  #gid=0"",""фіз особи new!relations_name""),6,FALSE)
,
(IF
(
G5365=""юридична особа""
,
VLOOKUP"&amp;"(H5365,IMPORTRANGE(""https://docs.google.com/spreadsheets/d/14Bd19lYaqBhU8_DElYkX7l4wRkHqqCUFNJY4AfY3kHU/edit?usp=sharing  #gid=0"",""фіз особи new!relations_name_uo""),7,FALSE)
,
)
))"),"АРТАМОНОВ Анатолій Дмитрович")</f>
        <v>АРТАМОНОВ Анатолій Дмитрович</v>
      </c>
      <c r="J5364" s="7" t="s">
        <v>12</v>
      </c>
    </row>
    <row r="5365" spans="1:10" ht="13.2">
      <c r="A5365" s="7">
        <v>5364</v>
      </c>
      <c r="B5365" s="7">
        <v>1</v>
      </c>
      <c r="C5365" s="7" t="s">
        <v>10</v>
      </c>
      <c r="D5365" s="7">
        <v>4324</v>
      </c>
      <c r="E5365" s="7" t="s">
        <v>17</v>
      </c>
      <c r="F5365" s="8" t="str">
        <f ca="1">IFERROR(__xludf.DUMMYFUNCTION("IF
(
C5366=""фізична особа""
,
VLOOKUP(D5366,IMPORTRANGE(""https://docs.google.com/spreadsheets/d/14Bd19lYaqBhU8_DElYkX7l4wRkHqqCUFNJY4AfY3kHU/edit?usp=sharing  #gid=0"",""фіз особи new!relations_name""),6,FALSE)
,
(IF
(
C5366=""юридична особа""
,
VLOOKUP"&amp;"(D5366,IMPORTRANGE(""https://docs.google.com/spreadsheets/d/14Bd19lYaqBhU8_DElYkX7l4wRkHqqCUFNJY4AfY3kHU/edit?usp=sharing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G5365" s="7" t="s">
        <v>10</v>
      </c>
      <c r="H5365" s="7">
        <v>4321</v>
      </c>
      <c r="I5365" s="8" t="str">
        <f ca="1">IFERROR(__xludf.DUMMYFUNCTION("IF
(
G5366=""фізична особа""
,
VLOOKUP(H5366,IMPORTRANGE(""https://docs.google.com/spreadsheets/d/14Bd19lYaqBhU8_DElYkX7l4wRkHqqCUFNJY4AfY3kHU/edit?usp=sharing  #gid=0"",""фіз особи new!relations_name""),6,FALSE)
,
(IF
(
G5366=""юридична особа""
,
VLOOKUP"&amp;"(H5366,IMPORTRANGE(""https://docs.google.com/spreadsheets/d/14Bd19lYaqBhU8_DElYkX7l4wRkHqqCUFNJY4AfY3kHU/edit?usp=sharing  #gid=0"",""фіз особи new!relations_name_uo""),7,FALSE)
,
)
))"),"АРТАМОНОВА Зоя Йосипівна")</f>
        <v>АРТАМОНОВА Зоя Йосипівна</v>
      </c>
      <c r="J5365" s="7" t="s">
        <v>21</v>
      </c>
    </row>
    <row r="5366" spans="1:10" ht="13.2">
      <c r="A5366" s="7">
        <v>5365</v>
      </c>
      <c r="B5366" s="7">
        <v>1</v>
      </c>
      <c r="C5366" s="7" t="s">
        <v>10</v>
      </c>
      <c r="D5366" s="7">
        <v>4324</v>
      </c>
      <c r="E5366" s="7" t="s">
        <v>18</v>
      </c>
      <c r="F5366" s="8" t="str">
        <f ca="1">IFERROR(__xludf.DUMMYFUNCTION("IF
(
C5367=""фізична особа""
,
VLOOKUP(D5367,IMPORTRANGE(""https://docs.google.com/spreadsheets/d/14Bd19lYaqBhU8_DElYkX7l4wRkHqqCUFNJY4AfY3kHU/edit?usp=sharing  #gid=0"",""фіз особи new!relations_name""),6,FALSE)
,
(IF
(
C5367=""юридична особа""
,
VLOOKUP"&amp;"(D5367,IMPORTRANGE(""https://docs.google.com/spreadsheets/d/14Bd19lYaqBhU8_DElYkX7l4wRkHqqCUFNJY4AfY3kHU/edit?usp=sharing  #gid=0"",""фіз особи new!relations_name_uo""),7,FALSE)
,
)
))"),"АРТАМОНОВ Євгеній Анатолійович")</f>
        <v>АРТАМОНОВ Євгеній Анатолійович</v>
      </c>
      <c r="G5366" s="7" t="s">
        <v>10</v>
      </c>
      <c r="H5366" s="7">
        <v>4322</v>
      </c>
      <c r="I5366" s="8" t="str">
        <f ca="1">IFERROR(__xludf.DUMMYFUNCTION("IF
(
G5367=""фізична особа""
,
VLOOKUP(H5367,IMPORTRANGE(""https://docs.google.com/spreadsheets/d/14Bd19lYaqBhU8_DElYkX7l4wRkHqqCUFNJY4AfY3kHU/edit?usp=sharing  #gid=0"",""фіз особи new!relations_name""),6,FALSE)
,
(IF
(
G5367=""юридична особа""
,
VLOOKUP"&amp;"(H5367,IMPORTRANGE(""https://docs.google.com/spreadsheets/d/14Bd19lYaqBhU8_DElYkX7l4wRkHqqCUFNJY4AfY3kHU/edit?usp=sharing  #gid=0"",""фіз особи new!relations_name_uo""),7,FALSE)
,
)
))"),"КОРХОВА Олена Анатоліївна")</f>
        <v>КОРХОВА Олена Анатоліївна</v>
      </c>
      <c r="J5366" s="7" t="s">
        <v>31</v>
      </c>
    </row>
    <row r="5367" spans="1:10" ht="13.2">
      <c r="A5367" s="7">
        <v>5366</v>
      </c>
      <c r="B5367" s="7">
        <v>1</v>
      </c>
      <c r="C5367" s="7" t="s">
        <v>10</v>
      </c>
      <c r="D5367" s="7">
        <v>4325</v>
      </c>
      <c r="E5367" s="7" t="s">
        <v>13</v>
      </c>
      <c r="F5367" s="8" t="str">
        <f ca="1">IFERROR(__xludf.DUMMYFUNCTION("IF
(
C5368=""фізична особа""
,
VLOOKUP(D5368,IMPORTRANGE(""https://docs.google.com/spreadsheets/d/14Bd19lYaqBhU8_DElYkX7l4wRkHqqCUFNJY4AfY3kHU/edit?usp=sharing  #gid=0"",""фіз особи new!relations_name""),6,FALSE)
,
(IF
(
C5368=""юридична особа""
,
VLOOKUP"&amp;"(D5368,IMPORTRANGE(""https://docs.google.com/spreadsheets/d/14Bd19lYaqBhU8_DElYkX7l4wRkHqqCUFNJY4AfY3kHU/edit?usp=sharing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G5367" s="7" t="s">
        <v>10</v>
      </c>
      <c r="H5367" s="7">
        <v>37</v>
      </c>
      <c r="I5367" s="8" t="str">
        <f ca="1">IFERROR(__xludf.DUMMYFUNCTION("IF
(
G5368=""фізична особа""
,
VLOOKUP(H5368,IMPORTRANGE(""https://docs.google.com/spreadsheets/d/14Bd19lYaqBhU8_DElYkX7l4wRkHqqCUFNJY4AfY3kHU/edit?usp=sharing  #gid=0"",""фіз особи new!relations_name""),6,FALSE)
,
(IF
(
G5368=""юридична особа""
,
VLOOKUP"&amp;"(H5368,IMPORTRANGE(""https://docs.google.com/spreadsheets/d/14Bd19lYaqBhU8_DElYkX7l4wRkHqqCUFNJY4AfY3kHU/edit?usp=sharing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J5367" s="7" t="s">
        <v>12</v>
      </c>
    </row>
    <row r="5368" spans="1:10" ht="13.2">
      <c r="A5368" s="7">
        <v>5367</v>
      </c>
      <c r="B5368" s="7">
        <v>1</v>
      </c>
      <c r="C5368" s="7" t="s">
        <v>10</v>
      </c>
      <c r="D5368" s="7">
        <v>4325</v>
      </c>
      <c r="E5368" s="7" t="s">
        <v>31</v>
      </c>
      <c r="F5368" s="8" t="str">
        <f ca="1">IFERROR(__xludf.DUMMYFUNCTION("IF
(
C5369=""фізична особа""
,
VLOOKUP(D5369,IMPORTRANGE(""https://docs.google.com/spreadsheets/d/14Bd19lYaqBhU8_DElYkX7l4wRkHqqCUFNJY4AfY3kHU/edit?usp=sharing  #gid=0"",""фіз особи new!relations_name""),6,FALSE)
,
(IF
(
C5369=""юридична особа""
,
VLOOKUP"&amp;"(D5369,IMPORTRANGE(""https://docs.google.com/spreadsheets/d/14Bd19lYaqBhU8_DElYkX7l4wRkHqqCUFNJY4AfY3kHU/edit?usp=sharing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G5368" s="7" t="s">
        <v>10</v>
      </c>
      <c r="H5368" s="7">
        <v>4326</v>
      </c>
      <c r="I5368" s="8" t="str">
        <f ca="1">IFERROR(__xludf.DUMMYFUNCTION("IF
(
G5369=""фізична особа""
,
VLOOKUP(H5369,IMPORTRANGE(""https://docs.google.com/spreadsheets/d/14Bd19lYaqBhU8_DElYkX7l4wRkHqqCUFNJY4AfY3kHU/edit?usp=sharing  #gid=0"",""фіз особи new!relations_name""),6,FALSE)
,
(IF
(
G5369=""юридична особа""
,
VLOOKUP"&amp;"(H5369,IMPORTRANGE(""https://docs.google.com/spreadsheets/d/14Bd19lYaqBhU8_DElYkX7l4wRkHqqCUFNJY4AfY3kHU/edit?usp=sharing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J5368" s="7" t="s">
        <v>18</v>
      </c>
    </row>
    <row r="5369" spans="1:10" ht="13.2">
      <c r="A5369" s="7">
        <v>5368</v>
      </c>
      <c r="B5369" s="7">
        <v>1</v>
      </c>
      <c r="C5369" s="7" t="s">
        <v>10</v>
      </c>
      <c r="D5369" s="7">
        <v>4325</v>
      </c>
      <c r="E5369" s="7" t="s">
        <v>31</v>
      </c>
      <c r="F5369" s="8" t="str">
        <f ca="1">IFERROR(__xludf.DUMMYFUNCTION("IF
(
C5370=""фізична особа""
,
VLOOKUP(D5370,IMPORTRANGE(""https://docs.google.com/spreadsheets/d/14Bd19lYaqBhU8_DElYkX7l4wRkHqqCUFNJY4AfY3kHU/edit?usp=sharing  #gid=0"",""фіз особи new!relations_name""),6,FALSE)
,
(IF
(
C5370=""юридична особа""
,
VLOOKUP"&amp;"(D5370,IMPORTRANGE(""https://docs.google.com/spreadsheets/d/14Bd19lYaqBhU8_DElYkX7l4wRkHqqCUFNJY4AfY3kHU/edit?usp=sharing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G5369" s="7" t="s">
        <v>10</v>
      </c>
      <c r="H5369" s="7">
        <v>4327</v>
      </c>
      <c r="I5369" s="8" t="str">
        <f ca="1">IFERROR(__xludf.DUMMYFUNCTION("IF
(
G5370=""фізична особа""
,
VLOOKUP(H5370,IMPORTRANGE(""https://docs.google.com/spreadsheets/d/14Bd19lYaqBhU8_DElYkX7l4wRkHqqCUFNJY4AfY3kHU/edit?usp=sharing  #gid=0"",""фіз особи new!relations_name""),6,FALSE)
,
(IF
(
G5370=""юридична особа""
,
VLOOKUP"&amp;"(H5370,IMPORTRANGE(""https://docs.google.com/spreadsheets/d/14Bd19lYaqBhU8_DElYkX7l4wRkHqqCUFNJY4AfY3kHU/edit?usp=sharing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J5369" s="7" t="s">
        <v>31</v>
      </c>
    </row>
    <row r="5370" spans="1:10" ht="13.2">
      <c r="A5370" s="7">
        <v>5369</v>
      </c>
      <c r="B5370" s="7">
        <v>1</v>
      </c>
      <c r="C5370" s="7" t="s">
        <v>10</v>
      </c>
      <c r="D5370" s="7">
        <v>4326</v>
      </c>
      <c r="E5370" s="7" t="s">
        <v>17</v>
      </c>
      <c r="F5370" s="8" t="str">
        <f ca="1">IFERROR(__xludf.DUMMYFUNCTION("IF
(
C5371=""фізична особа""
,
VLOOKUP(D5371,IMPORTRANGE(""https://docs.google.com/spreadsheets/d/14Bd19lYaqBhU8_DElYkX7l4wRkHqqCUFNJY4AfY3kHU/edit?usp=sharing  #gid=0"",""фіз особи new!relations_name""),6,FALSE)
,
(IF
(
C5371=""юридична особа""
,
VLOOKUP"&amp;"(D5371,IMPORTRANGE(""https://docs.google.com/spreadsheets/d/14Bd19lYaqBhU8_DElYkX7l4wRkHqqCUFNJY4AfY3kHU/edit?usp=sharing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G5370" s="7" t="s">
        <v>10</v>
      </c>
      <c r="H5370" s="7">
        <v>37</v>
      </c>
      <c r="I5370" s="8" t="str">
        <f ca="1">IFERROR(__xludf.DUMMYFUNCTION("IF
(
G5371=""фізична особа""
,
VLOOKUP(H5371,IMPORTRANGE(""https://docs.google.com/spreadsheets/d/14Bd19lYaqBhU8_DElYkX7l4wRkHqqCUFNJY4AfY3kHU/edit?usp=sharing  #gid=0"",""фіз особи new!relations_name""),6,FALSE)
,
(IF
(
G5371=""юридична особа""
,
VLOOKUP"&amp;"(H5371,IMPORTRANGE(""https://docs.google.com/spreadsheets/d/14Bd19lYaqBhU8_DElYkX7l4wRkHqqCUFNJY4AfY3kHU/edit?usp=sharing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J5370" s="7" t="s">
        <v>12</v>
      </c>
    </row>
    <row r="5371" spans="1:10" ht="13.2">
      <c r="A5371" s="7">
        <v>5370</v>
      </c>
      <c r="B5371" s="7">
        <v>1</v>
      </c>
      <c r="C5371" s="7" t="s">
        <v>10</v>
      </c>
      <c r="D5371" s="7">
        <v>4326</v>
      </c>
      <c r="E5371" s="7" t="s">
        <v>18</v>
      </c>
      <c r="F5371" s="8" t="str">
        <f ca="1">IFERROR(__xludf.DUMMYFUNCTION("IF
(
C5372=""фізична особа""
,
VLOOKUP(D5372,IMPORTRANGE(""https://docs.google.com/spreadsheets/d/14Bd19lYaqBhU8_DElYkX7l4wRkHqqCUFNJY4AfY3kHU/edit?usp=sharing  #gid=0"",""фіз особи new!relations_name""),6,FALSE)
,
(IF
(
C5372=""юридична особа""
,
VLOOKUP"&amp;"(D5372,IMPORTRANGE(""https://docs.google.com/spreadsheets/d/14Bd19lYaqBhU8_DElYkX7l4wRkHqqCUFNJY4AfY3kHU/edit?usp=sharing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G5371" s="7" t="s">
        <v>10</v>
      </c>
      <c r="H5371" s="7">
        <v>4327</v>
      </c>
      <c r="I5371" s="8" t="str">
        <f ca="1">IFERROR(__xludf.DUMMYFUNCTION("IF
(
G5372=""фізична особа""
,
VLOOKUP(H5372,IMPORTRANGE(""https://docs.google.com/spreadsheets/d/14Bd19lYaqBhU8_DElYkX7l4wRkHqqCUFNJY4AfY3kHU/edit?usp=sharing  #gid=0"",""фіз особи new!relations_name""),6,FALSE)
,
(IF
(
G5372=""юридична особа""
,
VLOOKUP"&amp;"(H5372,IMPORTRANGE(""https://docs.google.com/spreadsheets/d/14Bd19lYaqBhU8_DElYkX7l4wRkHqqCUFNJY4AfY3kHU/edit?usp=sharing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J5371" s="7" t="s">
        <v>31</v>
      </c>
    </row>
    <row r="5372" spans="1:10" ht="13.2">
      <c r="A5372" s="7">
        <v>5371</v>
      </c>
      <c r="B5372" s="7">
        <v>1</v>
      </c>
      <c r="C5372" s="7" t="s">
        <v>10</v>
      </c>
      <c r="D5372" s="7">
        <v>4326</v>
      </c>
      <c r="E5372" s="7" t="s">
        <v>18</v>
      </c>
      <c r="F5372" s="8" t="str">
        <f ca="1">IFERROR(__xludf.DUMMYFUNCTION("IF
(
C5373=""фізична особа""
,
VLOOKUP(D5373,IMPORTRANGE(""https://docs.google.com/spreadsheets/d/14Bd19lYaqBhU8_DElYkX7l4wRkHqqCUFNJY4AfY3kHU/edit?usp=sharing  #gid=0"",""фіз особи new!relations_name""),6,FALSE)
,
(IF
(
C5373=""юридична особа""
,
VLOOKUP"&amp;"(D5373,IMPORTRANGE(""https://docs.google.com/spreadsheets/d/14Bd19lYaqBhU8_DElYkX7l4wRkHqqCUFNJY4AfY3kHU/edit?usp=sharing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G5372" s="7" t="s">
        <v>10</v>
      </c>
      <c r="H5372" s="7">
        <v>4325</v>
      </c>
      <c r="I5372" s="8" t="str">
        <f ca="1">IFERROR(__xludf.DUMMYFUNCTION("IF
(
G5373=""фізична особа""
,
VLOOKUP(H5373,IMPORTRANGE(""https://docs.google.com/spreadsheets/d/14Bd19lYaqBhU8_DElYkX7l4wRkHqqCUFNJY4AfY3kHU/edit?usp=sharing  #gid=0"",""фіз особи new!relations_name""),6,FALSE)
,
(IF
(
G5373=""юридична особа""
,
VLOOKUP"&amp;"(H5373,IMPORTRANGE(""https://docs.google.com/spreadsheets/d/14Bd19lYaqBhU8_DElYkX7l4wRkHqqCUFNJY4AfY3kHU/edit?usp=sharing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J5372" s="7" t="s">
        <v>31</v>
      </c>
    </row>
    <row r="5373" spans="1:10" ht="13.2">
      <c r="A5373" s="7">
        <v>5372</v>
      </c>
      <c r="B5373" s="7">
        <v>1</v>
      </c>
      <c r="C5373" s="7" t="s">
        <v>10</v>
      </c>
      <c r="D5373" s="7">
        <v>4327</v>
      </c>
      <c r="E5373" s="7" t="s">
        <v>13</v>
      </c>
      <c r="F5373" s="8" t="str">
        <f ca="1">IFERROR(__xludf.DUMMYFUNCTION("IF
(
C5374=""фізична особа""
,
VLOOKUP(D5374,IMPORTRANGE(""https://docs.google.com/spreadsheets/d/14Bd19lYaqBhU8_DElYkX7l4wRkHqqCUFNJY4AfY3kHU/edit?usp=sharing  #gid=0"",""фіз особи new!relations_name""),6,FALSE)
,
(IF
(
C5374=""юридична особа""
,
VLOOKUP"&amp;"(D5374,IMPORTRANGE(""https://docs.google.com/spreadsheets/d/14Bd19lYaqBhU8_DElYkX7l4wRkHqqCUFNJY4AfY3kHU/edit?usp=sharing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G5373" s="7" t="s">
        <v>10</v>
      </c>
      <c r="H5373" s="7">
        <v>37</v>
      </c>
      <c r="I5373" s="8" t="str">
        <f ca="1">IFERROR(__xludf.DUMMYFUNCTION("IF
(
G5374=""фізична особа""
,
VLOOKUP(H5374,IMPORTRANGE(""https://docs.google.com/spreadsheets/d/14Bd19lYaqBhU8_DElYkX7l4wRkHqqCUFNJY4AfY3kHU/edit?usp=sharing  #gid=0"",""фіз особи new!relations_name""),6,FALSE)
,
(IF
(
G5374=""юридична особа""
,
VLOOKUP"&amp;"(H5374,IMPORTRANGE(""https://docs.google.com/spreadsheets/d/14Bd19lYaqBhU8_DElYkX7l4wRkHqqCUFNJY4AfY3kHU/edit?usp=sharing  #gid=0"",""фіз особи new!relations_name_uo""),7,FALSE)
,
)
))"),"ШИРОКОВ Анатолій Іванович")</f>
        <v>ШИРОКОВ Анатолій Іванович</v>
      </c>
      <c r="J5373" s="7" t="s">
        <v>12</v>
      </c>
    </row>
    <row r="5374" spans="1:10" ht="13.2">
      <c r="A5374" s="7">
        <v>5373</v>
      </c>
      <c r="B5374" s="7">
        <v>1</v>
      </c>
      <c r="C5374" s="7" t="s">
        <v>10</v>
      </c>
      <c r="D5374" s="7">
        <v>4327</v>
      </c>
      <c r="E5374" s="7" t="s">
        <v>31</v>
      </c>
      <c r="F5374" s="8" t="str">
        <f ca="1">IFERROR(__xludf.DUMMYFUNCTION("IF
(
C5375=""фізична особа""
,
VLOOKUP(D5375,IMPORTRANGE(""https://docs.google.com/spreadsheets/d/14Bd19lYaqBhU8_DElYkX7l4wRkHqqCUFNJY4AfY3kHU/edit?usp=sharing  #gid=0"",""фіз особи new!relations_name""),6,FALSE)
,
(IF
(
C5375=""юридична особа""
,
VLOOKUP"&amp;"(D5375,IMPORTRANGE(""https://docs.google.com/spreadsheets/d/14Bd19lYaqBhU8_DElYkX7l4wRkHqqCUFNJY4AfY3kHU/edit?usp=sharing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G5374" s="7" t="s">
        <v>10</v>
      </c>
      <c r="H5374" s="7">
        <v>4326</v>
      </c>
      <c r="I5374" s="8" t="str">
        <f ca="1">IFERROR(__xludf.DUMMYFUNCTION("IF
(
G5375=""фізична особа""
,
VLOOKUP(H5375,IMPORTRANGE(""https://docs.google.com/spreadsheets/d/14Bd19lYaqBhU8_DElYkX7l4wRkHqqCUFNJY4AfY3kHU/edit?usp=sharing  #gid=0"",""фіз особи new!relations_name""),6,FALSE)
,
(IF
(
G5375=""юридична особа""
,
VLOOKUP"&amp;"(H5375,IMPORTRANGE(""https://docs.google.com/spreadsheets/d/14Bd19lYaqBhU8_DElYkX7l4wRkHqqCUFNJY4AfY3kHU/edit?usp=sharing  #gid=0"",""фіз особи new!relations_name_uo""),7,FALSE)
,
)
))"),"ШИРОКОВ Георгій Анатолійович")</f>
        <v>ШИРОКОВ Георгій Анатолійович</v>
      </c>
      <c r="J5374" s="7" t="s">
        <v>18</v>
      </c>
    </row>
    <row r="5375" spans="1:10" ht="13.2">
      <c r="A5375" s="7">
        <v>5374</v>
      </c>
      <c r="B5375" s="7">
        <v>1</v>
      </c>
      <c r="C5375" s="7" t="s">
        <v>10</v>
      </c>
      <c r="D5375" s="7">
        <v>4327</v>
      </c>
      <c r="E5375" s="7" t="s">
        <v>31</v>
      </c>
      <c r="F5375" s="8" t="str">
        <f ca="1">IFERROR(__xludf.DUMMYFUNCTION("IF
(
C5376=""фізична особа""
,
VLOOKUP(D5376,IMPORTRANGE(""https://docs.google.com/spreadsheets/d/14Bd19lYaqBhU8_DElYkX7l4wRkHqqCUFNJY4AfY3kHU/edit?usp=sharing  #gid=0"",""фіз особи new!relations_name""),6,FALSE)
,
(IF
(
C5376=""юридична особа""
,
VLOOKUP"&amp;"(D5376,IMPORTRANGE(""https://docs.google.com/spreadsheets/d/14Bd19lYaqBhU8_DElYkX7l4wRkHqqCUFNJY4AfY3kHU/edit?usp=sharing  #gid=0"",""фіз особи new!relations_name_uo""),7,FALSE)
,
)
))"),"ШИРОКОВА Марія Анатоліївна")</f>
        <v>ШИРОКОВА Марія Анатоліївна</v>
      </c>
      <c r="G5375" s="7" t="s">
        <v>10</v>
      </c>
      <c r="H5375" s="7">
        <v>4325</v>
      </c>
      <c r="I5375" s="8" t="str">
        <f ca="1">IFERROR(__xludf.DUMMYFUNCTION("IF
(
G5376=""фізична особа""
,
VLOOKUP(H5376,IMPORTRANGE(""https://docs.google.com/spreadsheets/d/14Bd19lYaqBhU8_DElYkX7l4wRkHqqCUFNJY4AfY3kHU/edit?usp=sharing  #gid=0"",""фіз особи new!relations_name""),6,FALSE)
,
(IF
(
G5376=""юридична особа""
,
VLOOKUP"&amp;"(H5376,IMPORTRANGE(""https://docs.google.com/spreadsheets/d/14Bd19lYaqBhU8_DElYkX7l4wRkHqqCUFNJY4AfY3kHU/edit?usp=sharing  #gid=0"",""фіз особи new!relations_name_uo""),7,FALSE)
,
)
))"),"ШИРОКОВА Олена Анатоліївна")</f>
        <v>ШИРОКОВА Олена Анатоліївна</v>
      </c>
      <c r="J5375" s="7" t="s">
        <v>31</v>
      </c>
    </row>
    <row r="5376" spans="1:10" ht="13.2">
      <c r="A5376" s="7">
        <v>5375</v>
      </c>
      <c r="B5376" s="7">
        <v>1</v>
      </c>
      <c r="C5376" s="7" t="s">
        <v>10</v>
      </c>
      <c r="D5376" s="7">
        <v>4328</v>
      </c>
      <c r="E5376" s="7" t="s">
        <v>15</v>
      </c>
      <c r="F5376" s="8" t="str">
        <f ca="1">IFERROR(__xludf.DUMMYFUNCTION("IF
(
C5377=""фізична особа""
,
VLOOKUP(D5377,IMPORTRANGE(""https://docs.google.com/spreadsheets/d/14Bd19lYaqBhU8_DElYkX7l4wRkHqqCUFNJY4AfY3kHU/edit?usp=sharing  #gid=0"",""фіз особи new!relations_name""),6,FALSE)
,
(IF
(
C5377=""юридична особа""
,
VLOOKUP"&amp;"(D5377,IMPORTRANGE(""https://docs.google.com/spreadsheets/d/14Bd19lYaqBhU8_DElYkX7l4wRkHqqCUFNJY4AfY3kHU/edit?usp=sharing  #gid=0"",""фіз особи new!relations_name_uo""),7,FALSE)
,
)
))"),"ЄПІШИНА Мария")</f>
        <v>ЄПІШИНА Мария</v>
      </c>
      <c r="G5376" s="7" t="s">
        <v>10</v>
      </c>
      <c r="H5376" s="7">
        <v>51</v>
      </c>
      <c r="I5376" s="8" t="str">
        <f ca="1">IFERROR(__xludf.DUMMYFUNCTION("IF
(
G5377=""фізична особа""
,
VLOOKUP(H5377,IMPORTRANGE(""https://docs.google.com/spreadsheets/d/14Bd19lYaqBhU8_DElYkX7l4wRkHqqCUFNJY4AfY3kHU/edit?usp=sharing  #gid=0"",""фіз особи new!relations_name""),6,FALSE)
,
(IF
(
G5377=""юридична особа""
,
VLOOKUP"&amp;"(H5377,IMPORTRANGE(""https://docs.google.com/spreadsheets/d/14Bd19lYaqBhU8_DElYkX7l4wRkHqqCUFNJY4AfY3kHU/edit?usp=sharing  #gid=0"",""фіз особи new!relations_name_uo""),7,FALSE)
,
)
))"),"ЄПІШИН Андрій Миколайович")</f>
        <v>ЄПІШИН Андрій Миколайович</v>
      </c>
      <c r="J5376" s="7" t="s">
        <v>14</v>
      </c>
    </row>
    <row r="5377" spans="1:10" ht="13.2">
      <c r="A5377" s="7">
        <v>5376</v>
      </c>
      <c r="B5377" s="7">
        <v>1</v>
      </c>
      <c r="C5377" s="7" t="s">
        <v>10</v>
      </c>
      <c r="D5377" s="7">
        <v>4328</v>
      </c>
      <c r="E5377" s="7" t="s">
        <v>21</v>
      </c>
      <c r="F5377" s="8" t="str">
        <f ca="1">IFERROR(__xludf.DUMMYFUNCTION("IF
(
C5378=""фізична особа""
,
VLOOKUP(D5378,IMPORTRANGE(""https://docs.google.com/spreadsheets/d/14Bd19lYaqBhU8_DElYkX7l4wRkHqqCUFNJY4AfY3kHU/edit?usp=sharing  #gid=0"",""фіз особи new!relations_name""),6,FALSE)
,
(IF
(
C5378=""юридична особа""
,
VLOOKUP"&amp;"(D5378,IMPORTRANGE(""https://docs.google.com/spreadsheets/d/14Bd19lYaqBhU8_DElYkX7l4wRkHqqCUFNJY4AfY3kHU/edit?usp=sharing  #gid=0"",""фіз особи new!relations_name_uo""),7,FALSE)
,
)
))"),"ЄПІШИНА Мария")</f>
        <v>ЄПІШИНА Мария</v>
      </c>
      <c r="G5377" s="7" t="s">
        <v>10</v>
      </c>
      <c r="H5377" s="7">
        <v>23361</v>
      </c>
      <c r="I5377" s="8" t="str">
        <f ca="1">IFERROR(__xludf.DUMMYFUNCTION("IF
(
G5378=""фізична особа""
,
VLOOKUP(H5378,IMPORTRANGE(""https://docs.google.com/spreadsheets/d/14Bd19lYaqBhU8_DElYkX7l4wRkHqqCUFNJY4AfY3kHU/edit?usp=sharing  #gid=0"",""фіз особи new!relations_name""),6,FALSE)
,
(IF
(
G5378=""юридична особа""
,
VLOOKUP"&amp;"(H5378,IMPORTRANGE(""https://docs.google.com/spreadsheets/d/14Bd19lYaqBhU8_DElYkX7l4wRkHqqCUFNJY4AfY3kHU/edit?usp=sharing  #gid=0"",""фіз особи new!relations_name_uo""),7,FALSE)
,
)
))"),"ЄПІШИНА Наталія Андріївна")</f>
        <v>ЄПІШИНА Наталія Андріївна</v>
      </c>
      <c r="J5377" s="7" t="s">
        <v>13</v>
      </c>
    </row>
    <row r="5378" spans="1:10" ht="13.2">
      <c r="A5378" s="7">
        <v>5377</v>
      </c>
      <c r="B5378" s="7">
        <v>1</v>
      </c>
      <c r="C5378" s="7" t="s">
        <v>10</v>
      </c>
      <c r="D5378" s="7">
        <v>4328</v>
      </c>
      <c r="E5378" s="7" t="s">
        <v>21</v>
      </c>
      <c r="F5378" s="8" t="str">
        <f ca="1">IFERROR(__xludf.DUMMYFUNCTION("IF
(
C5379=""фізична особа""
,
VLOOKUP(D5379,IMPORTRANGE(""https://docs.google.com/spreadsheets/d/14Bd19lYaqBhU8_DElYkX7l4wRkHqqCUFNJY4AfY3kHU/edit?usp=sharing  #gid=0"",""фіз особи new!relations_name""),6,FALSE)
,
(IF
(
C5379=""юридична особа""
,
VLOOKUP"&amp;"(D5379,IMPORTRANGE(""https://docs.google.com/spreadsheets/d/14Bd19lYaqBhU8_DElYkX7l4wRkHqqCUFNJY4AfY3kHU/edit?usp=sharing  #gid=0"",""фіз особи new!relations_name_uo""),7,FALSE)
,
)
))"),"ЄПІШИНА Мария")</f>
        <v>ЄПІШИНА Мария</v>
      </c>
      <c r="G5378" s="7" t="s">
        <v>10</v>
      </c>
      <c r="H5378" s="7">
        <v>23362</v>
      </c>
      <c r="I5378" s="8" t="str">
        <f ca="1">IFERROR(__xludf.DUMMYFUNCTION("IF
(
G5379=""фізична особа""
,
VLOOKUP(H5379,IMPORTRANGE(""https://docs.google.com/spreadsheets/d/14Bd19lYaqBhU8_DElYkX7l4wRkHqqCUFNJY4AfY3kHU/edit?usp=sharing  #gid=0"",""фіз особи new!relations_name""),6,FALSE)
,
(IF
(
G5379=""юридична особа""
,
VLOOKUP"&amp;"(H5379,IMPORTRANGE(""https://docs.google.com/spreadsheets/d/14Bd19lYaqBhU8_DElYkX7l4wRkHqqCUFNJY4AfY3kHU/edit?usp=sharing  #gid=0"",""фіз особи new!relations_name_uo""),7,FALSE)
,
)
))"),"ЄПІШИН Федір Андрійович")</f>
        <v>ЄПІШИН Федір Андрійович</v>
      </c>
      <c r="J5378" s="7" t="s">
        <v>17</v>
      </c>
    </row>
    <row r="5379" spans="1:10" ht="13.2">
      <c r="A5379" s="7">
        <v>5378</v>
      </c>
      <c r="B5379" s="7">
        <v>1</v>
      </c>
      <c r="C5379" s="7" t="s">
        <v>10</v>
      </c>
      <c r="D5379" s="7">
        <v>4328</v>
      </c>
      <c r="E5379" s="7" t="s">
        <v>21</v>
      </c>
      <c r="F5379" s="8" t="str">
        <f ca="1">IFERROR(__xludf.DUMMYFUNCTION("IF
(
C5380=""фізична особа""
,
VLOOKUP(D5380,IMPORTRANGE(""https://docs.google.com/spreadsheets/d/14Bd19lYaqBhU8_DElYkX7l4wRkHqqCUFNJY4AfY3kHU/edit?usp=sharing  #gid=0"",""фіз особи new!relations_name""),6,FALSE)
,
(IF
(
C5380=""юридична особа""
,
VLOOKUP"&amp;"(D5380,IMPORTRANGE(""https://docs.google.com/spreadsheets/d/14Bd19lYaqBhU8_DElYkX7l4wRkHqqCUFNJY4AfY3kHU/edit?usp=sharing  #gid=0"",""фіз особи new!relations_name_uo""),7,FALSE)
,
)
))"),"ЄПІШИНА Мария")</f>
        <v>ЄПІШИНА Мария</v>
      </c>
      <c r="G5379" s="7" t="s">
        <v>10</v>
      </c>
      <c r="H5379" s="7">
        <v>23363</v>
      </c>
      <c r="I5379" s="8" t="str">
        <f ca="1">IFERROR(__xludf.DUMMYFUNCTION("IF
(
G5380=""фізична особа""
,
VLOOKUP(H5380,IMPORTRANGE(""https://docs.google.com/spreadsheets/d/14Bd19lYaqBhU8_DElYkX7l4wRkHqqCUFNJY4AfY3kHU/edit?usp=sharing  #gid=0"",""фіз особи new!relations_name""),6,FALSE)
,
(IF
(
G5380=""юридична особа""
,
VLOOKUP"&amp;"(H5380,IMPORTRANGE(""https://docs.google.com/spreadsheets/d/14Bd19lYaqBhU8_DElYkX7l4wRkHqqCUFNJY4AfY3kHU/edit?usp=sharing  #gid=0"",""фіз особи new!relations_name_uo""),7,FALSE)
,
)
))"),"ЄПІШИНА Єлизавета Андріївна")</f>
        <v>ЄПІШИНА Єлизавета Андріївна</v>
      </c>
      <c r="J5379" s="7" t="s">
        <v>13</v>
      </c>
    </row>
    <row r="5380" spans="1:10" ht="13.2">
      <c r="A5380" s="7">
        <v>5379</v>
      </c>
      <c r="B5380" s="7">
        <v>1</v>
      </c>
      <c r="C5380" s="7" t="s">
        <v>10</v>
      </c>
      <c r="D5380" s="7">
        <v>4329</v>
      </c>
      <c r="E5380" s="7" t="s">
        <v>15</v>
      </c>
      <c r="F5380" s="8" t="str">
        <f ca="1">IFERROR(__xludf.DUMMYFUNCTION("IF
(
C5381=""фізична особа""
,
VLOOKUP(D5381,IMPORTRANGE(""https://docs.google.com/spreadsheets/d/14Bd19lYaqBhU8_DElYkX7l4wRkHqqCUFNJY4AfY3kHU/edit?usp=sharing  #gid=0"",""фіз особи new!relations_name""),6,FALSE)
,
(IF
(
C5381=""юридична особа""
,
VLOOKUP"&amp;"(D5381,IMPORTRANGE(""https://docs.google.com/spreadsheets/d/14Bd19lYaqBhU8_DElYkX7l4wRkHqqCUFNJY4AfY3kHU/edit?usp=sharing  #gid=0"",""фіз особи new!relations_name_uo""),7,FALSE)
,
)
))"),"КЛІМОВА / ТИМОФЄЄВА Ольга Олександрівна")</f>
        <v>КЛІМОВА / ТИМОФЄЄВА Ольга Олександрівна</v>
      </c>
      <c r="G5380" s="7" t="s">
        <v>10</v>
      </c>
      <c r="H5380" s="7">
        <v>59</v>
      </c>
      <c r="I5380" s="8" t="str">
        <f ca="1">IFERROR(__xludf.DUMMYFUNCTION("IF
(
G5381=""фізична особа""
,
VLOOKUP(H5381,IMPORTRANGE(""https://docs.google.com/spreadsheets/d/14Bd19lYaqBhU8_DElYkX7l4wRkHqqCUFNJY4AfY3kHU/edit?usp=sharing  #gid=0"",""фіз особи new!relations_name""),6,FALSE)
,
(IF
(
G5381=""юридична особа""
,
VLOOKUP"&amp;"(H5381,IMPORTRANGE(""https://docs.google.com/spreadsheets/d/14Bd19lYaqBhU8_DElYkX7l4wRkHqqCUFNJY4AfY3kHU/edit?usp=sharing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J5380" s="7" t="s">
        <v>14</v>
      </c>
    </row>
    <row r="5381" spans="1:10" ht="13.2">
      <c r="A5381" s="7">
        <v>5380</v>
      </c>
      <c r="B5381" s="7">
        <v>1</v>
      </c>
      <c r="C5381" s="7" t="s">
        <v>10</v>
      </c>
      <c r="D5381" s="7">
        <v>4330</v>
      </c>
      <c r="E5381" s="7" t="s">
        <v>15</v>
      </c>
      <c r="F5381" s="8" t="str">
        <f ca="1">IFERROR(__xludf.DUMMYFUNCTION("IF
(
C5382=""фізична особа""
,
VLOOKUP(D5382,IMPORTRANGE(""https://docs.google.com/spreadsheets/d/14Bd19lYaqBhU8_DElYkX7l4wRkHqqCUFNJY4AfY3kHU/edit?usp=sharing  #gid=0"",""фіз особи new!relations_name""),6,FALSE)
,
(IF
(
C5382=""юридична особа""
,
VLOOKUP"&amp;"(D5382,IMPORTRANGE(""https://docs.google.com/spreadsheets/d/14Bd19lYaqBhU8_DElYkX7l4wRkHqqCUFNJY4AfY3kHU/edit?usp=sharing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1" s="7" t="s">
        <v>10</v>
      </c>
      <c r="H5381" s="7">
        <v>64</v>
      </c>
      <c r="I5381" s="8" t="str">
        <f ca="1">IFERROR(__xludf.DUMMYFUNCTION("IF
(
G5382=""фізична особа""
,
VLOOKUP(H5382,IMPORTRANGE(""https://docs.google.com/spreadsheets/d/14Bd19lYaqBhU8_DElYkX7l4wRkHqqCUFNJY4AfY3kHU/edit?usp=sharing  #gid=0"",""фіз особи new!relations_name""),6,FALSE)
,
(IF
(
G5382=""юридична особа""
,
VLOOKUP"&amp;"(H5382,IMPORTRANGE(""https://docs.google.com/spreadsheets/d/14Bd19lYaqBhU8_DElYkX7l4wRkHqqCUFNJY4AfY3kHU/edit?usp=sharing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381" s="7" t="s">
        <v>14</v>
      </c>
    </row>
    <row r="5382" spans="1:10" ht="13.2">
      <c r="A5382" s="7">
        <v>5381</v>
      </c>
      <c r="B5382" s="7">
        <v>1</v>
      </c>
      <c r="C5382" s="7" t="s">
        <v>10</v>
      </c>
      <c r="D5382" s="7">
        <v>4330</v>
      </c>
      <c r="E5382" s="7" t="s">
        <v>21</v>
      </c>
      <c r="F5382" s="8" t="str">
        <f ca="1">IFERROR(__xludf.DUMMYFUNCTION("IF
(
C5383=""фізична особа""
,
VLOOKUP(D5383,IMPORTRANGE(""https://docs.google.com/spreadsheets/d/14Bd19lYaqBhU8_DElYkX7l4wRkHqqCUFNJY4AfY3kHU/edit?usp=sharing  #gid=0"",""фіз особи new!relations_name""),6,FALSE)
,
(IF
(
C5383=""юридична особа""
,
VLOOKUP"&amp;"(D5383,IMPORTRANGE(""https://docs.google.com/spreadsheets/d/14Bd19lYaqBhU8_DElYkX7l4wRkHqqCUFNJY4AfY3kHU/edit?usp=sharing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2" s="7" t="s">
        <v>10</v>
      </c>
      <c r="H5382" s="7">
        <v>4332</v>
      </c>
      <c r="I5382" s="8" t="str">
        <f ca="1">IFERROR(__xludf.DUMMYFUNCTION("IF
(
G5383=""фізична особа""
,
VLOOKUP(H5383,IMPORTRANGE(""https://docs.google.com/spreadsheets/d/14Bd19lYaqBhU8_DElYkX7l4wRkHqqCUFNJY4AfY3kHU/edit?usp=sharing  #gid=0"",""фіз особи new!relations_name""),6,FALSE)
,
(IF
(
G5383=""юридична особа""
,
VLOOKUP"&amp;"(H5383,IMPORTRANGE(""https://docs.google.com/spreadsheets/d/14Bd19lYaqBhU8_DElYkX7l4wRkHqqCUFNJY4AfY3kHU/edit?usp=sharing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5382" s="7" t="s">
        <v>17</v>
      </c>
    </row>
    <row r="5383" spans="1:10" ht="13.2">
      <c r="A5383" s="7">
        <v>5382</v>
      </c>
      <c r="B5383" s="7">
        <v>1</v>
      </c>
      <c r="C5383" s="7" t="s">
        <v>10</v>
      </c>
      <c r="D5383" s="7">
        <v>4330</v>
      </c>
      <c r="E5383" s="7" t="s">
        <v>21</v>
      </c>
      <c r="F5383" s="8" t="str">
        <f ca="1">IFERROR(__xludf.DUMMYFUNCTION("IF
(
C5384=""фізична особа""
,
VLOOKUP(D5384,IMPORTRANGE(""https://docs.google.com/spreadsheets/d/14Bd19lYaqBhU8_DElYkX7l4wRkHqqCUFNJY4AfY3kHU/edit?usp=sharing  #gid=0"",""фіз особи new!relations_name""),6,FALSE)
,
(IF
(
C5384=""юридична особа""
,
VLOOKUP"&amp;"(D5384,IMPORTRANGE(""https://docs.google.com/spreadsheets/d/14Bd19lYaqBhU8_DElYkX7l4wRkHqqCUFNJY4AfY3kHU/edit?usp=sharing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3" s="7" t="s">
        <v>10</v>
      </c>
      <c r="H5383" s="7">
        <v>4334</v>
      </c>
      <c r="I5383" s="8" t="str">
        <f ca="1">IFERROR(__xludf.DUMMYFUNCTION("IF
(
G5384=""фізична особа""
,
VLOOKUP(H5384,IMPORTRANGE(""https://docs.google.com/spreadsheets/d/14Bd19lYaqBhU8_DElYkX7l4wRkHqqCUFNJY4AfY3kHU/edit?usp=sharing  #gid=0"",""фіз особи new!relations_name""),6,FALSE)
,
(IF
(
G5384=""юридична особа""
,
VLOOKUP"&amp;"(H5384,IMPORTRANGE(""https://docs.google.com/spreadsheets/d/14Bd19lYaqBhU8_DElYkX7l4wRkHqqCUFNJY4AfY3kHU/edit?usp=sharing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5383" s="7" t="s">
        <v>13</v>
      </c>
    </row>
    <row r="5384" spans="1:10" ht="13.2">
      <c r="A5384" s="7">
        <v>5383</v>
      </c>
      <c r="B5384" s="7">
        <v>1</v>
      </c>
      <c r="C5384" s="7" t="s">
        <v>10</v>
      </c>
      <c r="D5384" s="7">
        <v>4330</v>
      </c>
      <c r="E5384" s="7" t="s">
        <v>21</v>
      </c>
      <c r="F5384" s="8" t="str">
        <f ca="1">IFERROR(__xludf.DUMMYFUNCTION("IF
(
C5385=""фізична особа""
,
VLOOKUP(D5385,IMPORTRANGE(""https://docs.google.com/spreadsheets/d/14Bd19lYaqBhU8_DElYkX7l4wRkHqqCUFNJY4AfY3kHU/edit?usp=sharing  #gid=0"",""фіз особи new!relations_name""),6,FALSE)
,
(IF
(
C5385=""юридична особа""
,
VLOOKUP"&amp;"(D5385,IMPORTRANGE(""https://docs.google.com/spreadsheets/d/14Bd19lYaqBhU8_DElYkX7l4wRkHqqCUFNJY4AfY3kHU/edit?usp=sharing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4" s="7" t="s">
        <v>10</v>
      </c>
      <c r="H5384" s="7">
        <v>4333</v>
      </c>
      <c r="I5384" s="8" t="str">
        <f ca="1">IFERROR(__xludf.DUMMYFUNCTION("IF
(
G5385=""фізична особа""
,
VLOOKUP(H5385,IMPORTRANGE(""https://docs.google.com/spreadsheets/d/14Bd19lYaqBhU8_DElYkX7l4wRkHqqCUFNJY4AfY3kHU/edit?usp=sharing  #gid=0"",""фіз особи new!relations_name""),6,FALSE)
,
(IF
(
G5385=""юридична особа""
,
VLOOKUP"&amp;"(H5385,IMPORTRANGE(""https://docs.google.com/spreadsheets/d/14Bd19lYaqBhU8_DElYkX7l4wRkHqqCUFNJY4AfY3kHU/edit?usp=sharing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5384" s="7" t="s">
        <v>17</v>
      </c>
    </row>
    <row r="5385" spans="1:10" ht="13.2">
      <c r="A5385" s="7">
        <v>5384</v>
      </c>
      <c r="B5385" s="7">
        <v>1</v>
      </c>
      <c r="C5385" s="7" t="s">
        <v>10</v>
      </c>
      <c r="D5385" s="7">
        <v>4330</v>
      </c>
      <c r="E5385" s="7" t="s">
        <v>21</v>
      </c>
      <c r="F5385" s="8" t="str">
        <f ca="1">IFERROR(__xludf.DUMMYFUNCTION("IF
(
C5386=""фізична особа""
,
VLOOKUP(D5386,IMPORTRANGE(""https://docs.google.com/spreadsheets/d/14Bd19lYaqBhU8_DElYkX7l4wRkHqqCUFNJY4AfY3kHU/edit?usp=sharing  #gid=0"",""фіз особи new!relations_name""),6,FALSE)
,
(IF
(
C5386=""юридична особа""
,
VLOOKUP"&amp;"(D5386,IMPORTRANGE(""https://docs.google.com/spreadsheets/d/14Bd19lYaqBhU8_DElYkX7l4wRkHqqCUFNJY4AfY3kHU/edit?usp=sharing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5" s="7" t="s">
        <v>10</v>
      </c>
      <c r="H5385" s="7">
        <v>4335</v>
      </c>
      <c r="I5385" s="8" t="str">
        <f ca="1">IFERROR(__xludf.DUMMYFUNCTION("IF
(
G5386=""фізична особа""
,
VLOOKUP(H5386,IMPORTRANGE(""https://docs.google.com/spreadsheets/d/14Bd19lYaqBhU8_DElYkX7l4wRkHqqCUFNJY4AfY3kHU/edit?usp=sharing  #gid=0"",""фіз особи new!relations_name""),6,FALSE)
,
(IF
(
G5386=""юридична особа""
,
VLOOKUP"&amp;"(H5386,IMPORTRANGE(""https://docs.google.com/spreadsheets/d/14Bd19lYaqBhU8_DElYkX7l4wRkHqqCUFNJY4AfY3kHU/edit?usp=sharing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5385" s="7" t="s">
        <v>17</v>
      </c>
    </row>
    <row r="5386" spans="1:10" ht="13.2">
      <c r="A5386" s="7">
        <v>5385</v>
      </c>
      <c r="B5386" s="7">
        <v>1</v>
      </c>
      <c r="C5386" s="7" t="s">
        <v>10</v>
      </c>
      <c r="D5386" s="7">
        <v>4330</v>
      </c>
      <c r="E5386" s="7" t="s">
        <v>21</v>
      </c>
      <c r="F5386" s="8" t="str">
        <f ca="1">IFERROR(__xludf.DUMMYFUNCTION("IF
(
C5387=""фізична особа""
,
VLOOKUP(D5387,IMPORTRANGE(""https://docs.google.com/spreadsheets/d/14Bd19lYaqBhU8_DElYkX7l4wRkHqqCUFNJY4AfY3kHU/edit?usp=sharing  #gid=0"",""фіз особи new!relations_name""),6,FALSE)
,
(IF
(
C5387=""юридична особа""
,
VLOOKUP"&amp;"(D5387,IMPORTRANGE(""https://docs.google.com/spreadsheets/d/14Bd19lYaqBhU8_DElYkX7l4wRkHqqCUFNJY4AfY3kHU/edit?usp=sharing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G5386" s="7" t="s">
        <v>10</v>
      </c>
      <c r="H5386" s="7">
        <v>4331</v>
      </c>
      <c r="I5386" s="8" t="str">
        <f ca="1">IFERROR(__xludf.DUMMYFUNCTION("IF
(
G5387=""фізична особа""
,
VLOOKUP(H5387,IMPORTRANGE(""https://docs.google.com/spreadsheets/d/14Bd19lYaqBhU8_DElYkX7l4wRkHqqCUFNJY4AfY3kHU/edit?usp=sharing  #gid=0"",""фіз особи new!relations_name""),6,FALSE)
,
(IF
(
G5387=""юридична особа""
,
VLOOKUP"&amp;"(H5387,IMPORTRANGE(""https://docs.google.com/spreadsheets/d/14Bd19lYaqBhU8_DElYkX7l4wRkHqqCUFNJY4AfY3kHU/edit?usp=sharing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5386" s="7" t="s">
        <v>13</v>
      </c>
    </row>
    <row r="5387" spans="1:10" ht="13.2">
      <c r="A5387" s="7">
        <v>5386</v>
      </c>
      <c r="B5387" s="7">
        <v>1</v>
      </c>
      <c r="C5387" s="7" t="s">
        <v>10</v>
      </c>
      <c r="D5387" s="7">
        <v>4331</v>
      </c>
      <c r="E5387" s="7" t="s">
        <v>13</v>
      </c>
      <c r="F5387" s="8" t="str">
        <f ca="1">IFERROR(__xludf.DUMMYFUNCTION("IF
(
C5388=""фізична особа""
,
VLOOKUP(D5388,IMPORTRANGE(""https://docs.google.com/spreadsheets/d/14Bd19lYaqBhU8_DElYkX7l4wRkHqqCUFNJY4AfY3kHU/edit?usp=sharing  #gid=0"",""фіз особи new!relations_name""),6,FALSE)
,
(IF
(
C5388=""юридична особа""
,
VLOOKUP"&amp;"(D5388,IMPORTRANGE(""https://docs.google.com/spreadsheets/d/14Bd19lYaqBhU8_DElYkX7l4wRkHqqCUFNJY4AfY3kHU/edit?usp=sharing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87" s="7" t="s">
        <v>10</v>
      </c>
      <c r="H5387" s="7">
        <v>64</v>
      </c>
      <c r="I5387" s="8" t="str">
        <f ca="1">IFERROR(__xludf.DUMMYFUNCTION("IF
(
G5388=""фізична особа""
,
VLOOKUP(H5388,IMPORTRANGE(""https://docs.google.com/spreadsheets/d/14Bd19lYaqBhU8_DElYkX7l4wRkHqqCUFNJY4AfY3kHU/edit?usp=sharing  #gid=0"",""фіз особи new!relations_name""),6,FALSE)
,
(IF
(
G5388=""юридична особа""
,
VLOOKUP"&amp;"(H5388,IMPORTRANGE(""https://docs.google.com/spreadsheets/d/14Bd19lYaqBhU8_DElYkX7l4wRkHqqCUFNJY4AfY3kHU/edit?usp=sharing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387" s="7" t="s">
        <v>12</v>
      </c>
    </row>
    <row r="5388" spans="1:10" ht="13.2">
      <c r="A5388" s="7">
        <v>5387</v>
      </c>
      <c r="B5388" s="7">
        <v>1</v>
      </c>
      <c r="C5388" s="7" t="s">
        <v>10</v>
      </c>
      <c r="D5388" s="7">
        <v>4331</v>
      </c>
      <c r="E5388" s="7" t="s">
        <v>13</v>
      </c>
      <c r="F5388" s="8" t="str">
        <f ca="1">IFERROR(__xludf.DUMMYFUNCTION("IF
(
C5389=""фізична особа""
,
VLOOKUP(D5389,IMPORTRANGE(""https://docs.google.com/spreadsheets/d/14Bd19lYaqBhU8_DElYkX7l4wRkHqqCUFNJY4AfY3kHU/edit?usp=sharing  #gid=0"",""фіз особи new!relations_name""),6,FALSE)
,
(IF
(
C5389=""юридична особа""
,
VLOOKUP"&amp;"(D5389,IMPORTRANGE(""https://docs.google.com/spreadsheets/d/14Bd19lYaqBhU8_DElYkX7l4wRkHqqCUFNJY4AfY3kHU/edit?usp=sharing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88" s="7" t="s">
        <v>10</v>
      </c>
      <c r="H5388" s="7">
        <v>4330</v>
      </c>
      <c r="I5388" s="8" t="str">
        <f ca="1">IFERROR(__xludf.DUMMYFUNCTION("IF
(
G5389=""фізична особа""
,
VLOOKUP(H5389,IMPORTRANGE(""https://docs.google.com/spreadsheets/d/14Bd19lYaqBhU8_DElYkX7l4wRkHqqCUFNJY4AfY3kHU/edit?usp=sharing  #gid=0"",""фіз особи new!relations_name""),6,FALSE)
,
(IF
(
G5389=""юридична особа""
,
VLOOKUP"&amp;"(H5389,IMPORTRANGE(""https://docs.google.com/spreadsheets/d/14Bd19lYaqBhU8_DElYkX7l4wRkHqqCUFNJY4AfY3kHU/edit?usp=sharing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5388" s="7" t="s">
        <v>21</v>
      </c>
    </row>
    <row r="5389" spans="1:10" ht="13.2">
      <c r="A5389" s="7">
        <v>5388</v>
      </c>
      <c r="B5389" s="7">
        <v>1</v>
      </c>
      <c r="C5389" s="7" t="s">
        <v>10</v>
      </c>
      <c r="D5389" s="7">
        <v>4331</v>
      </c>
      <c r="E5389" s="7" t="s">
        <v>31</v>
      </c>
      <c r="F5389" s="8" t="str">
        <f ca="1">IFERROR(__xludf.DUMMYFUNCTION("IF
(
C5390=""фізична особа""
,
VLOOKUP(D5390,IMPORTRANGE(""https://docs.google.com/spreadsheets/d/14Bd19lYaqBhU8_DElYkX7l4wRkHqqCUFNJY4AfY3kHU/edit?usp=sharing  #gid=0"",""фіз особи new!relations_name""),6,FALSE)
,
(IF
(
C5390=""юридична особа""
,
VLOOKUP"&amp;"(D5390,IMPORTRANGE(""https://docs.google.com/spreadsheets/d/14Bd19lYaqBhU8_DElYkX7l4wRkHqqCUFNJY4AfY3kHU/edit?usp=sharing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89" s="7" t="s">
        <v>10</v>
      </c>
      <c r="H5389" s="7">
        <v>4332</v>
      </c>
      <c r="I5389" s="8" t="str">
        <f ca="1">IFERROR(__xludf.DUMMYFUNCTION("IF
(
G5390=""фізична особа""
,
VLOOKUP(H5390,IMPORTRANGE(""https://docs.google.com/spreadsheets/d/14Bd19lYaqBhU8_DElYkX7l4wRkHqqCUFNJY4AfY3kHU/edit?usp=sharing  #gid=0"",""фіз особи new!relations_name""),6,FALSE)
,
(IF
(
G5390=""юридична особа""
,
VLOOKUP"&amp;"(H5390,IMPORTRANGE(""https://docs.google.com/spreadsheets/d/14Bd19lYaqBhU8_DElYkX7l4wRkHqqCUFNJY4AfY3kHU/edit?usp=sharing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5389" s="7" t="s">
        <v>18</v>
      </c>
    </row>
    <row r="5390" spans="1:10" ht="13.2">
      <c r="A5390" s="7">
        <v>5389</v>
      </c>
      <c r="B5390" s="7">
        <v>1</v>
      </c>
      <c r="C5390" s="7" t="s">
        <v>10</v>
      </c>
      <c r="D5390" s="7">
        <v>4331</v>
      </c>
      <c r="E5390" s="7" t="s">
        <v>31</v>
      </c>
      <c r="F5390" s="8" t="str">
        <f ca="1">IFERROR(__xludf.DUMMYFUNCTION("IF
(
C5391=""фізична особа""
,
VLOOKUP(D5391,IMPORTRANGE(""https://docs.google.com/spreadsheets/d/14Bd19lYaqBhU8_DElYkX7l4wRkHqqCUFNJY4AfY3kHU/edit?usp=sharing  #gid=0"",""фіз особи new!relations_name""),6,FALSE)
,
(IF
(
C5391=""юридична особа""
,
VLOOKUP"&amp;"(D5391,IMPORTRANGE(""https://docs.google.com/spreadsheets/d/14Bd19lYaqBhU8_DElYkX7l4wRkHqqCUFNJY4AfY3kHU/edit?usp=sharing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90" s="7" t="s">
        <v>10</v>
      </c>
      <c r="H5390" s="7">
        <v>4334</v>
      </c>
      <c r="I5390" s="8" t="str">
        <f ca="1">IFERROR(__xludf.DUMMYFUNCTION("IF
(
G5391=""фізична особа""
,
VLOOKUP(H5391,IMPORTRANGE(""https://docs.google.com/spreadsheets/d/14Bd19lYaqBhU8_DElYkX7l4wRkHqqCUFNJY4AfY3kHU/edit?usp=sharing  #gid=0"",""фіз особи new!relations_name""),6,FALSE)
,
(IF
(
G5391=""юридична особа""
,
VLOOKUP"&amp;"(H5391,IMPORTRANGE(""https://docs.google.com/spreadsheets/d/14Bd19lYaqBhU8_DElYkX7l4wRkHqqCUFNJY4AfY3kHU/edit?usp=sharing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5390" s="7" t="s">
        <v>31</v>
      </c>
    </row>
    <row r="5391" spans="1:10" ht="13.2">
      <c r="A5391" s="7">
        <v>5390</v>
      </c>
      <c r="B5391" s="7">
        <v>1</v>
      </c>
      <c r="C5391" s="7" t="s">
        <v>10</v>
      </c>
      <c r="D5391" s="7">
        <v>4331</v>
      </c>
      <c r="E5391" s="7" t="s">
        <v>31</v>
      </c>
      <c r="F5391" s="8" t="str">
        <f ca="1">IFERROR(__xludf.DUMMYFUNCTION("IF
(
C5392=""фізична особа""
,
VLOOKUP(D5392,IMPORTRANGE(""https://docs.google.com/spreadsheets/d/14Bd19lYaqBhU8_DElYkX7l4wRkHqqCUFNJY4AfY3kHU/edit?usp=sharing  #gid=0"",""фіз особи new!relations_name""),6,FALSE)
,
(IF
(
C5392=""юридична особа""
,
VLOOKUP"&amp;"(D5392,IMPORTRANGE(""https://docs.google.com/spreadsheets/d/14Bd19lYaqBhU8_DElYkX7l4wRkHqqCUFNJY4AfY3kHU/edit?usp=sharing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91" s="7" t="s">
        <v>10</v>
      </c>
      <c r="H5391" s="7">
        <v>4333</v>
      </c>
      <c r="I5391" s="8" t="str">
        <f ca="1">IFERROR(__xludf.DUMMYFUNCTION("IF
(
G5392=""фізична особа""
,
VLOOKUP(H5392,IMPORTRANGE(""https://docs.google.com/spreadsheets/d/14Bd19lYaqBhU8_DElYkX7l4wRkHqqCUFNJY4AfY3kHU/edit?usp=sharing  #gid=0"",""фіз особи new!relations_name""),6,FALSE)
,
(IF
(
G5392=""юридична особа""
,
VLOOKUP"&amp;"(H5392,IMPORTRANGE(""https://docs.google.com/spreadsheets/d/14Bd19lYaqBhU8_DElYkX7l4wRkHqqCUFNJY4AfY3kHU/edit?usp=sharing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5391" s="7" t="s">
        <v>18</v>
      </c>
    </row>
    <row r="5392" spans="1:10" ht="13.2">
      <c r="A5392" s="7">
        <v>5391</v>
      </c>
      <c r="B5392" s="7">
        <v>1</v>
      </c>
      <c r="C5392" s="7" t="s">
        <v>10</v>
      </c>
      <c r="D5392" s="7">
        <v>4331</v>
      </c>
      <c r="E5392" s="7" t="s">
        <v>31</v>
      </c>
      <c r="F5392" s="8" t="str">
        <f ca="1">IFERROR(__xludf.DUMMYFUNCTION("IF
(
C5393=""фізична особа""
,
VLOOKUP(D5393,IMPORTRANGE(""https://docs.google.com/spreadsheets/d/14Bd19lYaqBhU8_DElYkX7l4wRkHqqCUFNJY4AfY3kHU/edit?usp=sharing  #gid=0"",""фіз особи new!relations_name""),6,FALSE)
,
(IF
(
C5393=""юридична особа""
,
VLOOKUP"&amp;"(D5393,IMPORTRANGE(""https://docs.google.com/spreadsheets/d/14Bd19lYaqBhU8_DElYkX7l4wRkHqqCUFNJY4AfY3kHU/edit?usp=sharing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G5392" s="7" t="s">
        <v>10</v>
      </c>
      <c r="H5392" s="7">
        <v>4335</v>
      </c>
      <c r="I5392" s="8" t="str">
        <f ca="1">IFERROR(__xludf.DUMMYFUNCTION("IF
(
G5393=""фізична особа""
,
VLOOKUP(H5393,IMPORTRANGE(""https://docs.google.com/spreadsheets/d/14Bd19lYaqBhU8_DElYkX7l4wRkHqqCUFNJY4AfY3kHU/edit?usp=sharing  #gid=0"",""фіз особи new!relations_name""),6,FALSE)
,
(IF
(
G5393=""юридична особа""
,
VLOOKUP"&amp;"(H5393,IMPORTRANGE(""https://docs.google.com/spreadsheets/d/14Bd19lYaqBhU8_DElYkX7l4wRkHqqCUFNJY4AfY3kHU/edit?usp=sharing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5392" s="7" t="s">
        <v>18</v>
      </c>
    </row>
    <row r="5393" spans="1:10" ht="13.2">
      <c r="A5393" s="7">
        <v>5392</v>
      </c>
      <c r="B5393" s="7">
        <v>1</v>
      </c>
      <c r="C5393" s="7" t="s">
        <v>10</v>
      </c>
      <c r="D5393" s="7">
        <v>4332</v>
      </c>
      <c r="E5393" s="7" t="s">
        <v>17</v>
      </c>
      <c r="F5393" s="8" t="str">
        <f ca="1">IFERROR(__xludf.DUMMYFUNCTION("IF
(
C5394=""фізична особа""
,
VLOOKUP(D5394,IMPORTRANGE(""https://docs.google.com/spreadsheets/d/14Bd19lYaqBhU8_DElYkX7l4wRkHqqCUFNJY4AfY3kHU/edit?usp=sharing  #gid=0"",""фіз особи new!relations_name""),6,FALSE)
,
(IF
(
C5394=""юридична особа""
,
VLOOKUP"&amp;"(D5394,IMPORTRANGE(""https://docs.google.com/spreadsheets/d/14Bd19lYaqBhU8_DElYkX7l4wRkHqqCUFNJY4AfY3kHU/edit?usp=sharing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3" s="7" t="s">
        <v>10</v>
      </c>
      <c r="H5393" s="7">
        <v>64</v>
      </c>
      <c r="I5393" s="8" t="str">
        <f ca="1">IFERROR(__xludf.DUMMYFUNCTION("IF
(
G5394=""фізична особа""
,
VLOOKUP(H5394,IMPORTRANGE(""https://docs.google.com/spreadsheets/d/14Bd19lYaqBhU8_DElYkX7l4wRkHqqCUFNJY4AfY3kHU/edit?usp=sharing  #gid=0"",""фіз особи new!relations_name""),6,FALSE)
,
(IF
(
G5394=""юридична особа""
,
VLOOKUP"&amp;"(H5394,IMPORTRANGE(""https://docs.google.com/spreadsheets/d/14Bd19lYaqBhU8_DElYkX7l4wRkHqqCUFNJY4AfY3kHU/edit?usp=sharing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393" s="7" t="s">
        <v>12</v>
      </c>
    </row>
    <row r="5394" spans="1:10" ht="13.2">
      <c r="A5394" s="7">
        <v>5393</v>
      </c>
      <c r="B5394" s="7">
        <v>1</v>
      </c>
      <c r="C5394" s="7" t="s">
        <v>10</v>
      </c>
      <c r="D5394" s="7">
        <v>4332</v>
      </c>
      <c r="E5394" s="7" t="s">
        <v>17</v>
      </c>
      <c r="F5394" s="8" t="str">
        <f ca="1">IFERROR(__xludf.DUMMYFUNCTION("IF
(
C5395=""фізична особа""
,
VLOOKUP(D5395,IMPORTRANGE(""https://docs.google.com/spreadsheets/d/14Bd19lYaqBhU8_DElYkX7l4wRkHqqCUFNJY4AfY3kHU/edit?usp=sharing  #gid=0"",""фіз особи new!relations_name""),6,FALSE)
,
(IF
(
C5395=""юридична особа""
,
VLOOKUP"&amp;"(D5395,IMPORTRANGE(""https://docs.google.com/spreadsheets/d/14Bd19lYaqBhU8_DElYkX7l4wRkHqqCUFNJY4AfY3kHU/edit?usp=sharing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4" s="7" t="s">
        <v>10</v>
      </c>
      <c r="H5394" s="7">
        <v>4330</v>
      </c>
      <c r="I5394" s="8" t="str">
        <f ca="1">IFERROR(__xludf.DUMMYFUNCTION("IF
(
G5395=""фізична особа""
,
VLOOKUP(H5395,IMPORTRANGE(""https://docs.google.com/spreadsheets/d/14Bd19lYaqBhU8_DElYkX7l4wRkHqqCUFNJY4AfY3kHU/edit?usp=sharing  #gid=0"",""фіз особи new!relations_name""),6,FALSE)
,
(IF
(
G5395=""юридична особа""
,
VLOOKUP"&amp;"(H5395,IMPORTRANGE(""https://docs.google.com/spreadsheets/d/14Bd19lYaqBhU8_DElYkX7l4wRkHqqCUFNJY4AfY3kHU/edit?usp=sharing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5394" s="7" t="s">
        <v>21</v>
      </c>
    </row>
    <row r="5395" spans="1:10" ht="13.2">
      <c r="A5395" s="7">
        <v>5394</v>
      </c>
      <c r="B5395" s="7">
        <v>1</v>
      </c>
      <c r="C5395" s="7" t="s">
        <v>10</v>
      </c>
      <c r="D5395" s="7">
        <v>4332</v>
      </c>
      <c r="E5395" s="7" t="s">
        <v>18</v>
      </c>
      <c r="F5395" s="8" t="str">
        <f ca="1">IFERROR(__xludf.DUMMYFUNCTION("IF
(
C5396=""фізична особа""
,
VLOOKUP(D5396,IMPORTRANGE(""https://docs.google.com/spreadsheets/d/14Bd19lYaqBhU8_DElYkX7l4wRkHqqCUFNJY4AfY3kHU/edit?usp=sharing  #gid=0"",""фіз особи new!relations_name""),6,FALSE)
,
(IF
(
C5396=""юридична особа""
,
VLOOKUP"&amp;"(D5396,IMPORTRANGE(""https://docs.google.com/spreadsheets/d/14Bd19lYaqBhU8_DElYkX7l4wRkHqqCUFNJY4AfY3kHU/edit?usp=sharing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5" s="7" t="s">
        <v>10</v>
      </c>
      <c r="H5395" s="7">
        <v>4331</v>
      </c>
      <c r="I5395" s="8" t="str">
        <f ca="1">IFERROR(__xludf.DUMMYFUNCTION("IF
(
G5396=""фізична особа""
,
VLOOKUP(H5396,IMPORTRANGE(""https://docs.google.com/spreadsheets/d/14Bd19lYaqBhU8_DElYkX7l4wRkHqqCUFNJY4AfY3kHU/edit?usp=sharing  #gid=0"",""фіз особи new!relations_name""),6,FALSE)
,
(IF
(
G5396=""юридична особа""
,
VLOOKUP"&amp;"(H5396,IMPORTRANGE(""https://docs.google.com/spreadsheets/d/14Bd19lYaqBhU8_DElYkX7l4wRkHqqCUFNJY4AfY3kHU/edit?usp=sharing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5395" s="7" t="s">
        <v>31</v>
      </c>
    </row>
    <row r="5396" spans="1:10" ht="13.2">
      <c r="A5396" s="7">
        <v>5395</v>
      </c>
      <c r="B5396" s="7">
        <v>1</v>
      </c>
      <c r="C5396" s="7" t="s">
        <v>10</v>
      </c>
      <c r="D5396" s="7">
        <v>4332</v>
      </c>
      <c r="E5396" s="7" t="s">
        <v>18</v>
      </c>
      <c r="F5396" s="8" t="str">
        <f ca="1">IFERROR(__xludf.DUMMYFUNCTION("IF
(
C5397=""фізична особа""
,
VLOOKUP(D5397,IMPORTRANGE(""https://docs.google.com/spreadsheets/d/14Bd19lYaqBhU8_DElYkX7l4wRkHqqCUFNJY4AfY3kHU/edit?usp=sharing  #gid=0"",""фіз особи new!relations_name""),6,FALSE)
,
(IF
(
C5397=""юридична особа""
,
VLOOKUP"&amp;"(D5397,IMPORTRANGE(""https://docs.google.com/spreadsheets/d/14Bd19lYaqBhU8_DElYkX7l4wRkHqqCUFNJY4AfY3kHU/edit?usp=sharing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6" s="7" t="s">
        <v>10</v>
      </c>
      <c r="H5396" s="7">
        <v>4334</v>
      </c>
      <c r="I5396" s="8" t="str">
        <f ca="1">IFERROR(__xludf.DUMMYFUNCTION("IF
(
G5397=""фізична особа""
,
VLOOKUP(H5397,IMPORTRANGE(""https://docs.google.com/spreadsheets/d/14Bd19lYaqBhU8_DElYkX7l4wRkHqqCUFNJY4AfY3kHU/edit?usp=sharing  #gid=0"",""фіз особи new!relations_name""),6,FALSE)
,
(IF
(
G5397=""юридична особа""
,
VLOOKUP"&amp;"(H5397,IMPORTRANGE(""https://docs.google.com/spreadsheets/d/14Bd19lYaqBhU8_DElYkX7l4wRkHqqCUFNJY4AfY3kHU/edit?usp=sharing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5396" s="7" t="s">
        <v>31</v>
      </c>
    </row>
    <row r="5397" spans="1:10" ht="13.2">
      <c r="A5397" s="7">
        <v>5396</v>
      </c>
      <c r="B5397" s="7">
        <v>1</v>
      </c>
      <c r="C5397" s="7" t="s">
        <v>10</v>
      </c>
      <c r="D5397" s="7">
        <v>4332</v>
      </c>
      <c r="E5397" s="7" t="s">
        <v>18</v>
      </c>
      <c r="F5397" s="8" t="str">
        <f ca="1">IFERROR(__xludf.DUMMYFUNCTION("IF
(
C5398=""фізична особа""
,
VLOOKUP(D5398,IMPORTRANGE(""https://docs.google.com/spreadsheets/d/14Bd19lYaqBhU8_DElYkX7l4wRkHqqCUFNJY4AfY3kHU/edit?usp=sharing  #gid=0"",""фіз особи new!relations_name""),6,FALSE)
,
(IF
(
C5398=""юридична особа""
,
VLOOKUP"&amp;"(D5398,IMPORTRANGE(""https://docs.google.com/spreadsheets/d/14Bd19lYaqBhU8_DElYkX7l4wRkHqqCUFNJY4AfY3kHU/edit?usp=sharing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7" s="7" t="s">
        <v>10</v>
      </c>
      <c r="H5397" s="7">
        <v>4333</v>
      </c>
      <c r="I5397" s="8" t="str">
        <f ca="1">IFERROR(__xludf.DUMMYFUNCTION("IF
(
G5398=""фізична особа""
,
VLOOKUP(H5398,IMPORTRANGE(""https://docs.google.com/spreadsheets/d/14Bd19lYaqBhU8_DElYkX7l4wRkHqqCUFNJY4AfY3kHU/edit?usp=sharing  #gid=0"",""фіз особи new!relations_name""),6,FALSE)
,
(IF
(
G5398=""юридична особа""
,
VLOOKUP"&amp;"(H5398,IMPORTRANGE(""https://docs.google.com/spreadsheets/d/14Bd19lYaqBhU8_DElYkX7l4wRkHqqCUFNJY4AfY3kHU/edit?usp=sharing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5397" s="7" t="s">
        <v>18</v>
      </c>
    </row>
    <row r="5398" spans="1:10" ht="13.2">
      <c r="A5398" s="7">
        <v>5397</v>
      </c>
      <c r="B5398" s="7">
        <v>1</v>
      </c>
      <c r="C5398" s="7" t="s">
        <v>10</v>
      </c>
      <c r="D5398" s="7">
        <v>4332</v>
      </c>
      <c r="E5398" s="7" t="s">
        <v>18</v>
      </c>
      <c r="F5398" s="8" t="str">
        <f ca="1">IFERROR(__xludf.DUMMYFUNCTION("IF
(
C5399=""фізична особа""
,
VLOOKUP(D5399,IMPORTRANGE(""https://docs.google.com/spreadsheets/d/14Bd19lYaqBhU8_DElYkX7l4wRkHqqCUFNJY4AfY3kHU/edit?usp=sharing  #gid=0"",""фіз особи new!relations_name""),6,FALSE)
,
(IF
(
C5399=""юридична особа""
,
VLOOKUP"&amp;"(D5399,IMPORTRANGE(""https://docs.google.com/spreadsheets/d/14Bd19lYaqBhU8_DElYkX7l4wRkHqqCUFNJY4AfY3kHU/edit?usp=sharing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G5398" s="7" t="s">
        <v>10</v>
      </c>
      <c r="H5398" s="7">
        <v>4335</v>
      </c>
      <c r="I5398" s="8" t="str">
        <f ca="1">IFERROR(__xludf.DUMMYFUNCTION("IF
(
G5399=""фізична особа""
,
VLOOKUP(H5399,IMPORTRANGE(""https://docs.google.com/spreadsheets/d/14Bd19lYaqBhU8_DElYkX7l4wRkHqqCUFNJY4AfY3kHU/edit?usp=sharing  #gid=0"",""фіз особи new!relations_name""),6,FALSE)
,
(IF
(
G5399=""юридична особа""
,
VLOOKUP"&amp;"(H5399,IMPORTRANGE(""https://docs.google.com/spreadsheets/d/14Bd19lYaqBhU8_DElYkX7l4wRkHqqCUFNJY4AfY3kHU/edit?usp=sharing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5398" s="7" t="s">
        <v>18</v>
      </c>
    </row>
    <row r="5399" spans="1:10" ht="13.2">
      <c r="A5399" s="7">
        <v>5398</v>
      </c>
      <c r="B5399" s="7">
        <v>1</v>
      </c>
      <c r="C5399" s="7" t="s">
        <v>10</v>
      </c>
      <c r="D5399" s="7">
        <v>4333</v>
      </c>
      <c r="E5399" s="7" t="s">
        <v>17</v>
      </c>
      <c r="F5399" s="8" t="str">
        <f ca="1">IFERROR(__xludf.DUMMYFUNCTION("IF
(
C5400=""фізична особа""
,
VLOOKUP(D5400,IMPORTRANGE(""https://docs.google.com/spreadsheets/d/14Bd19lYaqBhU8_DElYkX7l4wRkHqqCUFNJY4AfY3kHU/edit?usp=sharing  #gid=0"",""фіз особи new!relations_name""),6,FALSE)
,
(IF
(
C5400=""юридична особа""
,
VLOOKUP"&amp;"(D5400,IMPORTRANGE(""https://docs.google.com/spreadsheets/d/14Bd19lYaqBhU8_DElYkX7l4wRkHqqCUFNJY4AfY3kHU/edit?usp=sharing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399" s="7" t="s">
        <v>10</v>
      </c>
      <c r="H5399" s="7">
        <v>64</v>
      </c>
      <c r="I5399" s="8" t="str">
        <f ca="1">IFERROR(__xludf.DUMMYFUNCTION("IF
(
G5400=""фізична особа""
,
VLOOKUP(H5400,IMPORTRANGE(""https://docs.google.com/spreadsheets/d/14Bd19lYaqBhU8_DElYkX7l4wRkHqqCUFNJY4AfY3kHU/edit?usp=sharing  #gid=0"",""фіз особи new!relations_name""),6,FALSE)
,
(IF
(
G5400=""юридична особа""
,
VLOOKUP"&amp;"(H5400,IMPORTRANGE(""https://docs.google.com/spreadsheets/d/14Bd19lYaqBhU8_DElYkX7l4wRkHqqCUFNJY4AfY3kHU/edit?usp=sharing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399" s="7" t="s">
        <v>12</v>
      </c>
    </row>
    <row r="5400" spans="1:10" ht="13.2">
      <c r="A5400" s="7">
        <v>5399</v>
      </c>
      <c r="B5400" s="7">
        <v>1</v>
      </c>
      <c r="C5400" s="7" t="s">
        <v>10</v>
      </c>
      <c r="D5400" s="7">
        <v>4333</v>
      </c>
      <c r="E5400" s="7" t="s">
        <v>17</v>
      </c>
      <c r="F5400" s="8" t="str">
        <f ca="1">IFERROR(__xludf.DUMMYFUNCTION("IF
(
C5401=""фізична особа""
,
VLOOKUP(D5401,IMPORTRANGE(""https://docs.google.com/spreadsheets/d/14Bd19lYaqBhU8_DElYkX7l4wRkHqqCUFNJY4AfY3kHU/edit?usp=sharing  #gid=0"",""фіз особи new!relations_name""),6,FALSE)
,
(IF
(
C5401=""юридична особа""
,
VLOOKUP"&amp;"(D5401,IMPORTRANGE(""https://docs.google.com/spreadsheets/d/14Bd19lYaqBhU8_DElYkX7l4wRkHqqCUFNJY4AfY3kHU/edit?usp=sharing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400" s="7" t="s">
        <v>10</v>
      </c>
      <c r="H5400" s="7">
        <v>4330</v>
      </c>
      <c r="I5400" s="8" t="str">
        <f ca="1">IFERROR(__xludf.DUMMYFUNCTION("IF
(
G5401=""фізична особа""
,
VLOOKUP(H5401,IMPORTRANGE(""https://docs.google.com/spreadsheets/d/14Bd19lYaqBhU8_DElYkX7l4wRkHqqCUFNJY4AfY3kHU/edit?usp=sharing  #gid=0"",""фіз особи new!relations_name""),6,FALSE)
,
(IF
(
G5401=""юридична особа""
,
VLOOKUP"&amp;"(H5401,IMPORTRANGE(""https://docs.google.com/spreadsheets/d/14Bd19lYaqBhU8_DElYkX7l4wRkHqqCUFNJY4AfY3kHU/edit?usp=sharing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5400" s="7" t="s">
        <v>21</v>
      </c>
    </row>
    <row r="5401" spans="1:10" ht="13.2">
      <c r="A5401" s="7">
        <v>5400</v>
      </c>
      <c r="B5401" s="7">
        <v>1</v>
      </c>
      <c r="C5401" s="7" t="s">
        <v>10</v>
      </c>
      <c r="D5401" s="7">
        <v>4333</v>
      </c>
      <c r="E5401" s="7" t="s">
        <v>18</v>
      </c>
      <c r="F5401" s="8" t="str">
        <f ca="1">IFERROR(__xludf.DUMMYFUNCTION("IF
(
C5402=""фізична особа""
,
VLOOKUP(D5402,IMPORTRANGE(""https://docs.google.com/spreadsheets/d/14Bd19lYaqBhU8_DElYkX7l4wRkHqqCUFNJY4AfY3kHU/edit?usp=sharing  #gid=0"",""фіз особи new!relations_name""),6,FALSE)
,
(IF
(
C5402=""юридична особа""
,
VLOOKUP"&amp;"(D5402,IMPORTRANGE(""https://docs.google.com/spreadsheets/d/14Bd19lYaqBhU8_DElYkX7l4wRkHqqCUFNJY4AfY3kHU/edit?usp=sharing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401" s="7" t="s">
        <v>10</v>
      </c>
      <c r="H5401" s="7">
        <v>4331</v>
      </c>
      <c r="I5401" s="8" t="str">
        <f ca="1">IFERROR(__xludf.DUMMYFUNCTION("IF
(
G5402=""фізична особа""
,
VLOOKUP(H5402,IMPORTRANGE(""https://docs.google.com/spreadsheets/d/14Bd19lYaqBhU8_DElYkX7l4wRkHqqCUFNJY4AfY3kHU/edit?usp=sharing  #gid=0"",""фіз особи new!relations_name""),6,FALSE)
,
(IF
(
G5402=""юридична особа""
,
VLOOKUP"&amp;"(H5402,IMPORTRANGE(""https://docs.google.com/spreadsheets/d/14Bd19lYaqBhU8_DElYkX7l4wRkHqqCUFNJY4AfY3kHU/edit?usp=sharing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5401" s="7" t="s">
        <v>31</v>
      </c>
    </row>
    <row r="5402" spans="1:10" ht="13.2">
      <c r="A5402" s="7">
        <v>5401</v>
      </c>
      <c r="B5402" s="7">
        <v>1</v>
      </c>
      <c r="C5402" s="7" t="s">
        <v>10</v>
      </c>
      <c r="D5402" s="7">
        <v>4333</v>
      </c>
      <c r="E5402" s="7" t="s">
        <v>18</v>
      </c>
      <c r="F5402" s="8" t="str">
        <f ca="1">IFERROR(__xludf.DUMMYFUNCTION("IF
(
C5403=""фізична особа""
,
VLOOKUP(D5403,IMPORTRANGE(""https://docs.google.com/spreadsheets/d/14Bd19lYaqBhU8_DElYkX7l4wRkHqqCUFNJY4AfY3kHU/edit?usp=sharing  #gid=0"",""фіз особи new!relations_name""),6,FALSE)
,
(IF
(
C5403=""юридична особа""
,
VLOOKUP"&amp;"(D5403,IMPORTRANGE(""https://docs.google.com/spreadsheets/d/14Bd19lYaqBhU8_DElYkX7l4wRkHqqCUFNJY4AfY3kHU/edit?usp=sharing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402" s="7" t="s">
        <v>10</v>
      </c>
      <c r="H5402" s="7">
        <v>4334</v>
      </c>
      <c r="I5402" s="8" t="str">
        <f ca="1">IFERROR(__xludf.DUMMYFUNCTION("IF
(
G5403=""фізична особа""
,
VLOOKUP(H5403,IMPORTRANGE(""https://docs.google.com/spreadsheets/d/14Bd19lYaqBhU8_DElYkX7l4wRkHqqCUFNJY4AfY3kHU/edit?usp=sharing  #gid=0"",""фіз особи new!relations_name""),6,FALSE)
,
(IF
(
G5403=""юридична особа""
,
VLOOKUP"&amp;"(H5403,IMPORTRANGE(""https://docs.google.com/spreadsheets/d/14Bd19lYaqBhU8_DElYkX7l4wRkHqqCUFNJY4AfY3kHU/edit?usp=sharing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5402" s="7" t="s">
        <v>31</v>
      </c>
    </row>
    <row r="5403" spans="1:10" ht="13.2">
      <c r="A5403" s="7">
        <v>5402</v>
      </c>
      <c r="B5403" s="7">
        <v>1</v>
      </c>
      <c r="C5403" s="7" t="s">
        <v>10</v>
      </c>
      <c r="D5403" s="7">
        <v>4333</v>
      </c>
      <c r="E5403" s="7" t="s">
        <v>18</v>
      </c>
      <c r="F5403" s="8" t="str">
        <f ca="1">IFERROR(__xludf.DUMMYFUNCTION("IF
(
C5404=""фізична особа""
,
VLOOKUP(D5404,IMPORTRANGE(""https://docs.google.com/spreadsheets/d/14Bd19lYaqBhU8_DElYkX7l4wRkHqqCUFNJY4AfY3kHU/edit?usp=sharing  #gid=0"",""фіз особи new!relations_name""),6,FALSE)
,
(IF
(
C5404=""юридична особа""
,
VLOOKUP"&amp;"(D5404,IMPORTRANGE(""https://docs.google.com/spreadsheets/d/14Bd19lYaqBhU8_DElYkX7l4wRkHqqCUFNJY4AfY3kHU/edit?usp=sharing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403" s="7" t="s">
        <v>10</v>
      </c>
      <c r="H5403" s="7">
        <v>4332</v>
      </c>
      <c r="I5403" s="8" t="str">
        <f ca="1">IFERROR(__xludf.DUMMYFUNCTION("IF
(
G5404=""фізична особа""
,
VLOOKUP(H5404,IMPORTRANGE(""https://docs.google.com/spreadsheets/d/14Bd19lYaqBhU8_DElYkX7l4wRkHqqCUFNJY4AfY3kHU/edit?usp=sharing  #gid=0"",""фіз особи new!relations_name""),6,FALSE)
,
(IF
(
G5404=""юридична особа""
,
VLOOKUP"&amp;"(H5404,IMPORTRANGE(""https://docs.google.com/spreadsheets/d/14Bd19lYaqBhU8_DElYkX7l4wRkHqqCUFNJY4AfY3kHU/edit?usp=sharing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5403" s="7" t="s">
        <v>18</v>
      </c>
    </row>
    <row r="5404" spans="1:10" ht="13.2">
      <c r="A5404" s="7">
        <v>5403</v>
      </c>
      <c r="B5404" s="7">
        <v>1</v>
      </c>
      <c r="C5404" s="7" t="s">
        <v>10</v>
      </c>
      <c r="D5404" s="7">
        <v>4333</v>
      </c>
      <c r="E5404" s="7" t="s">
        <v>18</v>
      </c>
      <c r="F5404" s="8" t="str">
        <f ca="1">IFERROR(__xludf.DUMMYFUNCTION("IF
(
C5405=""фізична особа""
,
VLOOKUP(D5405,IMPORTRANGE(""https://docs.google.com/spreadsheets/d/14Bd19lYaqBhU8_DElYkX7l4wRkHqqCUFNJY4AfY3kHU/edit?usp=sharing  #gid=0"",""фіз особи new!relations_name""),6,FALSE)
,
(IF
(
C5405=""юридична особа""
,
VLOOKUP"&amp;"(D5405,IMPORTRANGE(""https://docs.google.com/spreadsheets/d/14Bd19lYaqBhU8_DElYkX7l4wRkHqqCUFNJY4AfY3kHU/edit?usp=sharing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G5404" s="7" t="s">
        <v>10</v>
      </c>
      <c r="H5404" s="7">
        <v>4335</v>
      </c>
      <c r="I5404" s="8" t="str">
        <f ca="1">IFERROR(__xludf.DUMMYFUNCTION("IF
(
G5405=""фізична особа""
,
VLOOKUP(H5405,IMPORTRANGE(""https://docs.google.com/spreadsheets/d/14Bd19lYaqBhU8_DElYkX7l4wRkHqqCUFNJY4AfY3kHU/edit?usp=sharing  #gid=0"",""фіз особи new!relations_name""),6,FALSE)
,
(IF
(
G5405=""юридична особа""
,
VLOOKUP"&amp;"(H5405,IMPORTRANGE(""https://docs.google.com/spreadsheets/d/14Bd19lYaqBhU8_DElYkX7l4wRkHqqCUFNJY4AfY3kHU/edit?usp=sharing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5404" s="7" t="s">
        <v>18</v>
      </c>
    </row>
    <row r="5405" spans="1:10" ht="13.2">
      <c r="A5405" s="7">
        <v>5404</v>
      </c>
      <c r="B5405" s="7">
        <v>1</v>
      </c>
      <c r="C5405" s="7" t="s">
        <v>10</v>
      </c>
      <c r="D5405" s="7">
        <v>4334</v>
      </c>
      <c r="E5405" s="7" t="s">
        <v>13</v>
      </c>
      <c r="F5405" s="8" t="str">
        <f ca="1">IFERROR(__xludf.DUMMYFUNCTION("IF
(
C5406=""фізична особа""
,
VLOOKUP(D5406,IMPORTRANGE(""https://docs.google.com/spreadsheets/d/14Bd19lYaqBhU8_DElYkX7l4wRkHqqCUFNJY4AfY3kHU/edit?usp=sharing  #gid=0"",""фіз особи new!relations_name""),6,FALSE)
,
(IF
(
C5406=""юридична особа""
,
VLOOKUP"&amp;"(D5406,IMPORTRANGE(""https://docs.google.com/spreadsheets/d/14Bd19lYaqBhU8_DElYkX7l4wRkHqqCUFNJY4AfY3kHU/edit?usp=sharing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05" s="7" t="s">
        <v>10</v>
      </c>
      <c r="H5405" s="7">
        <v>64</v>
      </c>
      <c r="I5405" s="8" t="str">
        <f ca="1">IFERROR(__xludf.DUMMYFUNCTION("IF
(
G5406=""фізична особа""
,
VLOOKUP(H5406,IMPORTRANGE(""https://docs.google.com/spreadsheets/d/14Bd19lYaqBhU8_DElYkX7l4wRkHqqCUFNJY4AfY3kHU/edit?usp=sharing  #gid=0"",""фіз особи new!relations_name""),6,FALSE)
,
(IF
(
G5406=""юридична особа""
,
VLOOKUP"&amp;"(H5406,IMPORTRANGE(""https://docs.google.com/spreadsheets/d/14Bd19lYaqBhU8_DElYkX7l4wRkHqqCUFNJY4AfY3kHU/edit?usp=sharing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405" s="7" t="s">
        <v>12</v>
      </c>
    </row>
    <row r="5406" spans="1:10" ht="13.2">
      <c r="A5406" s="7">
        <v>5405</v>
      </c>
      <c r="B5406" s="7">
        <v>1</v>
      </c>
      <c r="C5406" s="7" t="s">
        <v>10</v>
      </c>
      <c r="D5406" s="7">
        <v>4334</v>
      </c>
      <c r="E5406" s="7" t="s">
        <v>13</v>
      </c>
      <c r="F5406" s="8" t="str">
        <f ca="1">IFERROR(__xludf.DUMMYFUNCTION("IF
(
C5407=""фізична особа""
,
VLOOKUP(D5407,IMPORTRANGE(""https://docs.google.com/spreadsheets/d/14Bd19lYaqBhU8_DElYkX7l4wRkHqqCUFNJY4AfY3kHU/edit?usp=sharing  #gid=0"",""фіз особи new!relations_name""),6,FALSE)
,
(IF
(
C5407=""юридична особа""
,
VLOOKUP"&amp;"(D5407,IMPORTRANGE(""https://docs.google.com/spreadsheets/d/14Bd19lYaqBhU8_DElYkX7l4wRkHqqCUFNJY4AfY3kHU/edit?usp=sharing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06" s="7" t="s">
        <v>10</v>
      </c>
      <c r="H5406" s="7">
        <v>4330</v>
      </c>
      <c r="I5406" s="8" t="str">
        <f ca="1">IFERROR(__xludf.DUMMYFUNCTION("IF
(
G5407=""фізична особа""
,
VLOOKUP(H5407,IMPORTRANGE(""https://docs.google.com/spreadsheets/d/14Bd19lYaqBhU8_DElYkX7l4wRkHqqCUFNJY4AfY3kHU/edit?usp=sharing  #gid=0"",""фіз особи new!relations_name""),6,FALSE)
,
(IF
(
G5407=""юридична особа""
,
VLOOKUP"&amp;"(H5407,IMPORTRANGE(""https://docs.google.com/spreadsheets/d/14Bd19lYaqBhU8_DElYkX7l4wRkHqqCUFNJY4AfY3kHU/edit?usp=sharing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5406" s="7" t="s">
        <v>21</v>
      </c>
    </row>
    <row r="5407" spans="1:10" ht="13.2">
      <c r="A5407" s="7">
        <v>5406</v>
      </c>
      <c r="B5407" s="7">
        <v>1</v>
      </c>
      <c r="C5407" s="7" t="s">
        <v>10</v>
      </c>
      <c r="D5407" s="7">
        <v>4334</v>
      </c>
      <c r="E5407" s="7" t="s">
        <v>31</v>
      </c>
      <c r="F5407" s="8" t="str">
        <f ca="1">IFERROR(__xludf.DUMMYFUNCTION("IF
(
C5408=""фізична особа""
,
VLOOKUP(D5408,IMPORTRANGE(""https://docs.google.com/spreadsheets/d/14Bd19lYaqBhU8_DElYkX7l4wRkHqqCUFNJY4AfY3kHU/edit?usp=sharing  #gid=0"",""фіз особи new!relations_name""),6,FALSE)
,
(IF
(
C5408=""юридична особа""
,
VLOOKUP"&amp;"(D5408,IMPORTRANGE(""https://docs.google.com/spreadsheets/d/14Bd19lYaqBhU8_DElYkX7l4wRkHqqCUFNJY4AfY3kHU/edit?usp=sharing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07" s="7" t="s">
        <v>10</v>
      </c>
      <c r="H5407" s="7">
        <v>4332</v>
      </c>
      <c r="I5407" s="8" t="str">
        <f ca="1">IFERROR(__xludf.DUMMYFUNCTION("IF
(
G5408=""фізична особа""
,
VLOOKUP(H5408,IMPORTRANGE(""https://docs.google.com/spreadsheets/d/14Bd19lYaqBhU8_DElYkX7l4wRkHqqCUFNJY4AfY3kHU/edit?usp=sharing  #gid=0"",""фіз особи new!relations_name""),6,FALSE)
,
(IF
(
G5408=""юридична особа""
,
VLOOKUP"&amp;"(H5408,IMPORTRANGE(""https://docs.google.com/spreadsheets/d/14Bd19lYaqBhU8_DElYkX7l4wRkHqqCUFNJY4AfY3kHU/edit?usp=sharing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5407" s="7" t="s">
        <v>18</v>
      </c>
    </row>
    <row r="5408" spans="1:10" ht="13.2">
      <c r="A5408" s="7">
        <v>5407</v>
      </c>
      <c r="B5408" s="7">
        <v>1</v>
      </c>
      <c r="C5408" s="7" t="s">
        <v>10</v>
      </c>
      <c r="D5408" s="7">
        <v>4334</v>
      </c>
      <c r="E5408" s="7" t="s">
        <v>31</v>
      </c>
      <c r="F5408" s="8" t="str">
        <f ca="1">IFERROR(__xludf.DUMMYFUNCTION("IF
(
C5409=""фізична особа""
,
VLOOKUP(D5409,IMPORTRANGE(""https://docs.google.com/spreadsheets/d/14Bd19lYaqBhU8_DElYkX7l4wRkHqqCUFNJY4AfY3kHU/edit?usp=sharing  #gid=0"",""фіз особи new!relations_name""),6,FALSE)
,
(IF
(
C5409=""юридична особа""
,
VLOOKUP"&amp;"(D5409,IMPORTRANGE(""https://docs.google.com/spreadsheets/d/14Bd19lYaqBhU8_DElYkX7l4wRkHqqCUFNJY4AfY3kHU/edit?usp=sharing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08" s="7" t="s">
        <v>10</v>
      </c>
      <c r="H5408" s="7">
        <v>4331</v>
      </c>
      <c r="I5408" s="8" t="str">
        <f ca="1">IFERROR(__xludf.DUMMYFUNCTION("IF
(
G5409=""фізична особа""
,
VLOOKUP(H5409,IMPORTRANGE(""https://docs.google.com/spreadsheets/d/14Bd19lYaqBhU8_DElYkX7l4wRkHqqCUFNJY4AfY3kHU/edit?usp=sharing  #gid=0"",""фіз особи new!relations_name""),6,FALSE)
,
(IF
(
G5409=""юридична особа""
,
VLOOKUP"&amp;"(H5409,IMPORTRANGE(""https://docs.google.com/spreadsheets/d/14Bd19lYaqBhU8_DElYkX7l4wRkHqqCUFNJY4AfY3kHU/edit?usp=sharing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5408" s="7" t="s">
        <v>31</v>
      </c>
    </row>
    <row r="5409" spans="1:10" ht="13.2">
      <c r="A5409" s="7">
        <v>5408</v>
      </c>
      <c r="B5409" s="7">
        <v>1</v>
      </c>
      <c r="C5409" s="7" t="s">
        <v>10</v>
      </c>
      <c r="D5409" s="7">
        <v>4334</v>
      </c>
      <c r="E5409" s="7" t="s">
        <v>31</v>
      </c>
      <c r="F5409" s="8" t="str">
        <f ca="1">IFERROR(__xludf.DUMMYFUNCTION("IF
(
C5410=""фізична особа""
,
VLOOKUP(D5410,IMPORTRANGE(""https://docs.google.com/spreadsheets/d/14Bd19lYaqBhU8_DElYkX7l4wRkHqqCUFNJY4AfY3kHU/edit?usp=sharing  #gid=0"",""фіз особи new!relations_name""),6,FALSE)
,
(IF
(
C5410=""юридична особа""
,
VLOOKUP"&amp;"(D5410,IMPORTRANGE(""https://docs.google.com/spreadsheets/d/14Bd19lYaqBhU8_DElYkX7l4wRkHqqCUFNJY4AfY3kHU/edit?usp=sharing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09" s="7" t="s">
        <v>10</v>
      </c>
      <c r="H5409" s="7">
        <v>4333</v>
      </c>
      <c r="I5409" s="8" t="str">
        <f ca="1">IFERROR(__xludf.DUMMYFUNCTION("IF
(
G5410=""фізична особа""
,
VLOOKUP(H5410,IMPORTRANGE(""https://docs.google.com/spreadsheets/d/14Bd19lYaqBhU8_DElYkX7l4wRkHqqCUFNJY4AfY3kHU/edit?usp=sharing  #gid=0"",""фіз особи new!relations_name""),6,FALSE)
,
(IF
(
G5410=""юридична особа""
,
VLOOKUP"&amp;"(H5410,IMPORTRANGE(""https://docs.google.com/spreadsheets/d/14Bd19lYaqBhU8_DElYkX7l4wRkHqqCUFNJY4AfY3kHU/edit?usp=sharing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5409" s="7" t="s">
        <v>18</v>
      </c>
    </row>
    <row r="5410" spans="1:10" ht="13.2">
      <c r="A5410" s="7">
        <v>5409</v>
      </c>
      <c r="B5410" s="7">
        <v>1</v>
      </c>
      <c r="C5410" s="7" t="s">
        <v>10</v>
      </c>
      <c r="D5410" s="7">
        <v>4334</v>
      </c>
      <c r="E5410" s="7" t="s">
        <v>31</v>
      </c>
      <c r="F5410" s="8" t="str">
        <f ca="1">IFERROR(__xludf.DUMMYFUNCTION("IF
(
C5411=""фізична особа""
,
VLOOKUP(D5411,IMPORTRANGE(""https://docs.google.com/spreadsheets/d/14Bd19lYaqBhU8_DElYkX7l4wRkHqqCUFNJY4AfY3kHU/edit?usp=sharing  #gid=0"",""фіз особи new!relations_name""),6,FALSE)
,
(IF
(
C5411=""юридична особа""
,
VLOOKUP"&amp;"(D5411,IMPORTRANGE(""https://docs.google.com/spreadsheets/d/14Bd19lYaqBhU8_DElYkX7l4wRkHqqCUFNJY4AfY3kHU/edit?usp=sharing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G5410" s="7" t="s">
        <v>10</v>
      </c>
      <c r="H5410" s="7">
        <v>4335</v>
      </c>
      <c r="I5410" s="8" t="str">
        <f ca="1">IFERROR(__xludf.DUMMYFUNCTION("IF
(
G5411=""фізична особа""
,
VLOOKUP(H5411,IMPORTRANGE(""https://docs.google.com/spreadsheets/d/14Bd19lYaqBhU8_DElYkX7l4wRkHqqCUFNJY4AfY3kHU/edit?usp=sharing  #gid=0"",""фіз особи new!relations_name""),6,FALSE)
,
(IF
(
G5411=""юридична особа""
,
VLOOKUP"&amp;"(H5411,IMPORTRANGE(""https://docs.google.com/spreadsheets/d/14Bd19lYaqBhU8_DElYkX7l4wRkHqqCUFNJY4AfY3kHU/edit?usp=sharing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J5410" s="7" t="s">
        <v>18</v>
      </c>
    </row>
    <row r="5411" spans="1:10" ht="13.2">
      <c r="A5411" s="7">
        <v>5410</v>
      </c>
      <c r="B5411" s="7">
        <v>1</v>
      </c>
      <c r="C5411" s="7" t="s">
        <v>10</v>
      </c>
      <c r="D5411" s="7">
        <v>4335</v>
      </c>
      <c r="E5411" s="7" t="s">
        <v>17</v>
      </c>
      <c r="F5411" s="8" t="str">
        <f ca="1">IFERROR(__xludf.DUMMYFUNCTION("IF
(
C5412=""фізична особа""
,
VLOOKUP(D5412,IMPORTRANGE(""https://docs.google.com/spreadsheets/d/14Bd19lYaqBhU8_DElYkX7l4wRkHqqCUFNJY4AfY3kHU/edit?usp=sharing  #gid=0"",""фіз особи new!relations_name""),6,FALSE)
,
(IF
(
C5412=""юридична особа""
,
VLOOKUP"&amp;"(D5412,IMPORTRANGE(""https://docs.google.com/spreadsheets/d/14Bd19lYaqBhU8_DElYkX7l4wRkHqqCUFNJY4AfY3kHU/edit?usp=sharing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1" s="7" t="s">
        <v>10</v>
      </c>
      <c r="H5411" s="7">
        <v>64</v>
      </c>
      <c r="I5411" s="8" t="str">
        <f ca="1">IFERROR(__xludf.DUMMYFUNCTION("IF
(
G5412=""фізична особа""
,
VLOOKUP(H5412,IMPORTRANGE(""https://docs.google.com/spreadsheets/d/14Bd19lYaqBhU8_DElYkX7l4wRkHqqCUFNJY4AfY3kHU/edit?usp=sharing  #gid=0"",""фіз особи new!relations_name""),6,FALSE)
,
(IF
(
G5412=""юридична особа""
,
VLOOKUP"&amp;"(H5412,IMPORTRANGE(""https://docs.google.com/spreadsheets/d/14Bd19lYaqBhU8_DElYkX7l4wRkHqqCUFNJY4AfY3kHU/edit?usp=sharing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411" s="7" t="s">
        <v>12</v>
      </c>
    </row>
    <row r="5412" spans="1:10" ht="13.2">
      <c r="A5412" s="7">
        <v>5411</v>
      </c>
      <c r="B5412" s="7">
        <v>1</v>
      </c>
      <c r="C5412" s="7" t="s">
        <v>10</v>
      </c>
      <c r="D5412" s="7">
        <v>4335</v>
      </c>
      <c r="E5412" s="7" t="s">
        <v>17</v>
      </c>
      <c r="F5412" s="8" t="str">
        <f ca="1">IFERROR(__xludf.DUMMYFUNCTION("IF
(
C5413=""фізична особа""
,
VLOOKUP(D5413,IMPORTRANGE(""https://docs.google.com/spreadsheets/d/14Bd19lYaqBhU8_DElYkX7l4wRkHqqCUFNJY4AfY3kHU/edit?usp=sharing  #gid=0"",""фіз особи new!relations_name""),6,FALSE)
,
(IF
(
C5413=""юридична особа""
,
VLOOKUP"&amp;"(D5413,IMPORTRANGE(""https://docs.google.com/spreadsheets/d/14Bd19lYaqBhU8_DElYkX7l4wRkHqqCUFNJY4AfY3kHU/edit?usp=sharing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2" s="7" t="s">
        <v>10</v>
      </c>
      <c r="H5412" s="7">
        <v>4330</v>
      </c>
      <c r="I5412" s="8" t="str">
        <f ca="1">IFERROR(__xludf.DUMMYFUNCTION("IF
(
G5413=""фізична особа""
,
VLOOKUP(H5413,IMPORTRANGE(""https://docs.google.com/spreadsheets/d/14Bd19lYaqBhU8_DElYkX7l4wRkHqqCUFNJY4AfY3kHU/edit?usp=sharing  #gid=0"",""фіз особи new!relations_name""),6,FALSE)
,
(IF
(
G5413=""юридична особа""
,
VLOOKUP"&amp;"(H5413,IMPORTRANGE(""https://docs.google.com/spreadsheets/d/14Bd19lYaqBhU8_DElYkX7l4wRkHqqCUFNJY4AfY3kHU/edit?usp=sharing  #gid=0"",""фіз особи new!relations_name_uo""),7,FALSE)
,
)
))"),"ТУРЧАК Кіра Євгенівна")</f>
        <v>ТУРЧАК Кіра Євгенівна</v>
      </c>
      <c r="J5412" s="7" t="s">
        <v>21</v>
      </c>
    </row>
    <row r="5413" spans="1:10" ht="13.2">
      <c r="A5413" s="7">
        <v>5412</v>
      </c>
      <c r="B5413" s="7">
        <v>1</v>
      </c>
      <c r="C5413" s="7" t="s">
        <v>10</v>
      </c>
      <c r="D5413" s="7">
        <v>4335</v>
      </c>
      <c r="E5413" s="7" t="s">
        <v>18</v>
      </c>
      <c r="F5413" s="8" t="str">
        <f ca="1">IFERROR(__xludf.DUMMYFUNCTION("IF
(
C5414=""фізична особа""
,
VLOOKUP(D5414,IMPORTRANGE(""https://docs.google.com/spreadsheets/d/14Bd19lYaqBhU8_DElYkX7l4wRkHqqCUFNJY4AfY3kHU/edit?usp=sharing  #gid=0"",""фіз особи new!relations_name""),6,FALSE)
,
(IF
(
C5414=""юридична особа""
,
VLOOKUP"&amp;"(D5414,IMPORTRANGE(""https://docs.google.com/spreadsheets/d/14Bd19lYaqBhU8_DElYkX7l4wRkHqqCUFNJY4AfY3kHU/edit?usp=sharing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3" s="7" t="s">
        <v>10</v>
      </c>
      <c r="H5413" s="7">
        <v>4331</v>
      </c>
      <c r="I5413" s="8" t="str">
        <f ca="1">IFERROR(__xludf.DUMMYFUNCTION("IF
(
G5414=""фізична особа""
,
VLOOKUP(H5414,IMPORTRANGE(""https://docs.google.com/spreadsheets/d/14Bd19lYaqBhU8_DElYkX7l4wRkHqqCUFNJY4AfY3kHU/edit?usp=sharing  #gid=0"",""фіз особи new!relations_name""),6,FALSE)
,
(IF
(
G5414=""юридична особа""
,
VLOOKUP"&amp;"(H5414,IMPORTRANGE(""https://docs.google.com/spreadsheets/d/14Bd19lYaqBhU8_DElYkX7l4wRkHqqCUFNJY4AfY3kHU/edit?usp=sharing  #gid=0"",""фіз особи new!relations_name_uo""),7,FALSE)
,
)
))"),"ТУРЧАК Ольга Андріївна")</f>
        <v>ТУРЧАК Ольга Андріївна</v>
      </c>
      <c r="J5413" s="7" t="s">
        <v>31</v>
      </c>
    </row>
    <row r="5414" spans="1:10" ht="13.2">
      <c r="A5414" s="7">
        <v>5413</v>
      </c>
      <c r="B5414" s="7">
        <v>1</v>
      </c>
      <c r="C5414" s="7" t="s">
        <v>10</v>
      </c>
      <c r="D5414" s="7">
        <v>4335</v>
      </c>
      <c r="E5414" s="7" t="s">
        <v>18</v>
      </c>
      <c r="F5414" s="8" t="str">
        <f ca="1">IFERROR(__xludf.DUMMYFUNCTION("IF
(
C5415=""фізична особа""
,
VLOOKUP(D5415,IMPORTRANGE(""https://docs.google.com/spreadsheets/d/14Bd19lYaqBhU8_DElYkX7l4wRkHqqCUFNJY4AfY3kHU/edit?usp=sharing  #gid=0"",""фіз особи new!relations_name""),6,FALSE)
,
(IF
(
C5415=""юридична особа""
,
VLOOKUP"&amp;"(D5415,IMPORTRANGE(""https://docs.google.com/spreadsheets/d/14Bd19lYaqBhU8_DElYkX7l4wRkHqqCUFNJY4AfY3kHU/edit?usp=sharing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4" s="7" t="s">
        <v>10</v>
      </c>
      <c r="H5414" s="7">
        <v>4334</v>
      </c>
      <c r="I5414" s="8" t="str">
        <f ca="1">IFERROR(__xludf.DUMMYFUNCTION("IF
(
G5415=""фізична особа""
,
VLOOKUP(H5415,IMPORTRANGE(""https://docs.google.com/spreadsheets/d/14Bd19lYaqBhU8_DElYkX7l4wRkHqqCUFNJY4AfY3kHU/edit?usp=sharing  #gid=0"",""фіз особи new!relations_name""),6,FALSE)
,
(IF
(
G5415=""юридична особа""
,
VLOOKUP"&amp;"(H5415,IMPORTRANGE(""https://docs.google.com/spreadsheets/d/14Bd19lYaqBhU8_DElYkX7l4wRkHqqCUFNJY4AfY3kHU/edit?usp=sharing  #gid=0"",""фіз особи new!relations_name_uo""),7,FALSE)
,
)
))"),"ТУРЧАК Софія Андріївна")</f>
        <v>ТУРЧАК Софія Андріївна</v>
      </c>
      <c r="J5414" s="7" t="s">
        <v>31</v>
      </c>
    </row>
    <row r="5415" spans="1:10" ht="13.2">
      <c r="A5415" s="7">
        <v>5414</v>
      </c>
      <c r="B5415" s="7">
        <v>1</v>
      </c>
      <c r="C5415" s="7" t="s">
        <v>10</v>
      </c>
      <c r="D5415" s="7">
        <v>4335</v>
      </c>
      <c r="E5415" s="7" t="s">
        <v>18</v>
      </c>
      <c r="F5415" s="8" t="str">
        <f ca="1">IFERROR(__xludf.DUMMYFUNCTION("IF
(
C5416=""фізична особа""
,
VLOOKUP(D5416,IMPORTRANGE(""https://docs.google.com/spreadsheets/d/14Bd19lYaqBhU8_DElYkX7l4wRkHqqCUFNJY4AfY3kHU/edit?usp=sharing  #gid=0"",""фіз особи new!relations_name""),6,FALSE)
,
(IF
(
C5416=""юридична особа""
,
VLOOKUP"&amp;"(D5416,IMPORTRANGE(""https://docs.google.com/spreadsheets/d/14Bd19lYaqBhU8_DElYkX7l4wRkHqqCUFNJY4AfY3kHU/edit?usp=sharing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5" s="7" t="s">
        <v>10</v>
      </c>
      <c r="H5415" s="7">
        <v>4332</v>
      </c>
      <c r="I5415" s="8" t="str">
        <f ca="1">IFERROR(__xludf.DUMMYFUNCTION("IF
(
G5416=""фізична особа""
,
VLOOKUP(H5416,IMPORTRANGE(""https://docs.google.com/spreadsheets/d/14Bd19lYaqBhU8_DElYkX7l4wRkHqqCUFNJY4AfY3kHU/edit?usp=sharing  #gid=0"",""фіз особи new!relations_name""),6,FALSE)
,
(IF
(
G5416=""юридична особа""
,
VLOOKUP"&amp;"(H5416,IMPORTRANGE(""https://docs.google.com/spreadsheets/d/14Bd19lYaqBhU8_DElYkX7l4wRkHqqCUFNJY4AfY3kHU/edit?usp=sharing  #gid=0"",""фіз особи new!relations_name_uo""),7,FALSE)
,
)
))"),"ТУРЧАК Володимир Андрійович")</f>
        <v>ТУРЧАК Володимир Андрійович</v>
      </c>
      <c r="J5415" s="7" t="s">
        <v>18</v>
      </c>
    </row>
    <row r="5416" spans="1:10" ht="13.2">
      <c r="A5416" s="7">
        <v>5415</v>
      </c>
      <c r="B5416" s="7">
        <v>1</v>
      </c>
      <c r="C5416" s="7" t="s">
        <v>10</v>
      </c>
      <c r="D5416" s="7">
        <v>4335</v>
      </c>
      <c r="E5416" s="7" t="s">
        <v>18</v>
      </c>
      <c r="F5416" s="8" t="str">
        <f ca="1">IFERROR(__xludf.DUMMYFUNCTION("IF
(
C5417=""фізична особа""
,
VLOOKUP(D5417,IMPORTRANGE(""https://docs.google.com/spreadsheets/d/14Bd19lYaqBhU8_DElYkX7l4wRkHqqCUFNJY4AfY3kHU/edit?usp=sharing  #gid=0"",""фіз особи new!relations_name""),6,FALSE)
,
(IF
(
C5417=""юридична особа""
,
VLOOKUP"&amp;"(D5417,IMPORTRANGE(""https://docs.google.com/spreadsheets/d/14Bd19lYaqBhU8_DElYkX7l4wRkHqqCUFNJY4AfY3kHU/edit?usp=sharing  #gid=0"",""фіз особи new!relations_name_uo""),7,FALSE)
,
)
))"),"ТУРЧАК Анатолій Андрійович")</f>
        <v>ТУРЧАК Анатолій Андрійович</v>
      </c>
      <c r="G5416" s="7" t="s">
        <v>10</v>
      </c>
      <c r="H5416" s="7">
        <v>4333</v>
      </c>
      <c r="I5416" s="8" t="str">
        <f ca="1">IFERROR(__xludf.DUMMYFUNCTION("IF
(
G5417=""фізична особа""
,
VLOOKUP(H5417,IMPORTRANGE(""https://docs.google.com/spreadsheets/d/14Bd19lYaqBhU8_DElYkX7l4wRkHqqCUFNJY4AfY3kHU/edit?usp=sharing  #gid=0"",""фіз особи new!relations_name""),6,FALSE)
,
(IF
(
G5417=""юридична особа""
,
VLOOKUP"&amp;"(H5417,IMPORTRANGE(""https://docs.google.com/spreadsheets/d/14Bd19lYaqBhU8_DElYkX7l4wRkHqqCUFNJY4AfY3kHU/edit?usp=sharing  #gid=0"",""фіз особи new!relations_name_uo""),7,FALSE)
,
)
))"),"ТУРЧАК Філіп Андрійович")</f>
        <v>ТУРЧАК Філіп Андрійович</v>
      </c>
      <c r="J5416" s="7" t="s">
        <v>18</v>
      </c>
    </row>
    <row r="5417" spans="1:10" ht="13.2">
      <c r="A5417" s="7">
        <v>5416</v>
      </c>
      <c r="B5417" s="7">
        <v>1</v>
      </c>
      <c r="C5417" s="7" t="s">
        <v>10</v>
      </c>
      <c r="D5417" s="7">
        <v>4336</v>
      </c>
      <c r="E5417" s="7" t="s">
        <v>15</v>
      </c>
      <c r="F5417" s="8" t="str">
        <f ca="1">IFERROR(__xludf.DUMMYFUNCTION("IF
(
C5418=""фізична особа""
,
VLOOKUP(D5418,IMPORTRANGE(""https://docs.google.com/spreadsheets/d/14Bd19lYaqBhU8_DElYkX7l4wRkHqqCUFNJY4AfY3kHU/edit?usp=sharing  #gid=0"",""фіз особи new!relations_name""),6,FALSE)
,
(IF
(
C5418=""юридична особа""
,
VLOOKUP"&amp;"(D5418,IMPORTRANGE(""https://docs.google.com/spreadsheets/d/14Bd19lYaqBhU8_DElYkX7l4wRkHqqCUFNJY4AfY3kHU/edit?usp=sharing  #gid=0"",""фіз особи new!relations_name_uo""),7,FALSE)
,
)
))"),"КУТЄПОВА Оксана Адольфівна")</f>
        <v>КУТЄПОВА Оксана Адольфівна</v>
      </c>
      <c r="G5417" s="7" t="s">
        <v>10</v>
      </c>
      <c r="H5417" s="7">
        <v>85</v>
      </c>
      <c r="I5417" s="8" t="str">
        <f ca="1">IFERROR(__xludf.DUMMYFUNCTION("IF
(
G5418=""фізична особа""
,
VLOOKUP(H5418,IMPORTRANGE(""https://docs.google.com/spreadsheets/d/14Bd19lYaqBhU8_DElYkX7l4wRkHqqCUFNJY4AfY3kHU/edit?usp=sharing  #gid=0"",""фіз особи new!relations_name""),6,FALSE)
,
(IF
(
G5418=""юридична особа""
,
VLOOKUP"&amp;"(H5418,IMPORTRANGE(""https://docs.google.com/spreadsheets/d/14Bd19lYaqBhU8_DElYkX7l4wRkHqqCUFNJY4AfY3kHU/edit?usp=sharing  #gid=0"",""фіз особи new!relations_name_uo""),7,FALSE)
,
)
))"),"КУТЄПОВ Андрій Вікторович")</f>
        <v>КУТЄПОВ Андрій Вікторович</v>
      </c>
      <c r="J5417" s="7" t="s">
        <v>14</v>
      </c>
    </row>
    <row r="5418" spans="1:10" ht="13.2">
      <c r="A5418" s="7">
        <v>5417</v>
      </c>
      <c r="B5418" s="7">
        <v>1</v>
      </c>
      <c r="C5418" s="7" t="s">
        <v>10</v>
      </c>
      <c r="D5418" s="7">
        <v>4337</v>
      </c>
      <c r="E5418" s="7" t="s">
        <v>15</v>
      </c>
      <c r="F5418" s="8" t="str">
        <f ca="1">IFERROR(__xludf.DUMMYFUNCTION("IF
(
C5419=""фізична особа""
,
VLOOKUP(D5419,IMPORTRANGE(""https://docs.google.com/spreadsheets/d/14Bd19lYaqBhU8_DElYkX7l4wRkHqqCUFNJY4AfY3kHU/edit?usp=sharing  #gid=0"",""фіз особи new!relations_name""),6,FALSE)
,
(IF
(
C5419=""юридична особа""
,
VLOOKUP"&amp;"(D5419,IMPORTRANGE(""https://docs.google.com/spreadsheets/d/14Bd19lYaqBhU8_DElYkX7l4wRkHqqCUFNJY4AfY3kHU/edit?usp=sharing  #gid=0"",""фіз особи new!relations_name_uo""),7,FALSE)
,
)
))"),"ЧЕРНИШЕВА Наталія Михайлівна")</f>
        <v>ЧЕРНИШЕВА Наталія Михайлівна</v>
      </c>
      <c r="G5418" s="7" t="s">
        <v>10</v>
      </c>
      <c r="H5418" s="7">
        <v>87</v>
      </c>
      <c r="I5418" s="8" t="str">
        <f ca="1">IFERROR(__xludf.DUMMYFUNCTION("IF
(
G5419=""фізична особа""
,
VLOOKUP(H5419,IMPORTRANGE(""https://docs.google.com/spreadsheets/d/14Bd19lYaqBhU8_DElYkX7l4wRkHqqCUFNJY4AfY3kHU/edit?usp=sharing  #gid=0"",""фіз особи new!relations_name""),6,FALSE)
,
(IF
(
G5419=""юридична особа""
,
VLOOKUP"&amp;"(H5419,IMPORTRANGE(""https://docs.google.com/spreadsheets/d/14Bd19lYaqBhU8_DElYkX7l4wRkHqqCUFNJY4AfY3kHU/edit?usp=sharing  #gid=0"",""фіз особи new!relations_name_uo""),7,FALSE)
,
)
))"),"ЧЕРНИШОВ Андрій Володимирович")</f>
        <v>ЧЕРНИШОВ Андрій Володимирович</v>
      </c>
      <c r="J5418" s="7" t="s">
        <v>14</v>
      </c>
    </row>
    <row r="5419" spans="1:10" ht="13.2">
      <c r="A5419" s="7">
        <v>5418</v>
      </c>
      <c r="B5419" s="7">
        <v>1</v>
      </c>
      <c r="C5419" s="7" t="s">
        <v>10</v>
      </c>
      <c r="D5419" s="7">
        <v>4337</v>
      </c>
      <c r="E5419" s="7" t="s">
        <v>21</v>
      </c>
      <c r="F5419" s="8" t="str">
        <f ca="1">IFERROR(__xludf.DUMMYFUNCTION("IF
(
C5420=""фізична особа""
,
VLOOKUP(D5420,IMPORTRANGE(""https://docs.google.com/spreadsheets/d/14Bd19lYaqBhU8_DElYkX7l4wRkHqqCUFNJY4AfY3kHU/edit?usp=sharing  #gid=0"",""фіз особи new!relations_name""),6,FALSE)
,
(IF
(
C5420=""юридична особа""
,
VLOOKUP"&amp;"(D5420,IMPORTRANGE(""https://docs.google.com/spreadsheets/d/14Bd19lYaqBhU8_DElYkX7l4wRkHqqCUFNJY4AfY3kHU/edit?usp=sharing  #gid=0"",""фіз особи new!relations_name_uo""),7,FALSE)
,
)
))"),"ЧЕРНИШЕВА Наталія Михайлівна")</f>
        <v>ЧЕРНИШЕВА Наталія Михайлівна</v>
      </c>
      <c r="G5419" s="7" t="s">
        <v>10</v>
      </c>
      <c r="H5419" s="7">
        <v>4338</v>
      </c>
      <c r="I5419" s="8" t="str">
        <f ca="1">IFERROR(__xludf.DUMMYFUNCTION("IF
(
G5420=""фізична особа""
,
VLOOKUP(H5420,IMPORTRANGE(""https://docs.google.com/spreadsheets/d/14Bd19lYaqBhU8_DElYkX7l4wRkHqqCUFNJY4AfY3kHU/edit?usp=sharing  #gid=0"",""фіз особи new!relations_name""),6,FALSE)
,
(IF
(
G5420=""юридична особа""
,
VLOOKUP"&amp;"(H5420,IMPORTRANGE(""https://docs.google.com/spreadsheets/d/14Bd19lYaqBhU8_DElYkX7l4wRkHqqCUFNJY4AfY3kHU/edit?usp=sharing  #gid=0"",""фіз особи new!relations_name_uo""),7,FALSE)
,
)
))"),"ЧЕРНИШЕВА Анастасія Андріївна")</f>
        <v>ЧЕРНИШЕВА Анастасія Андріївна</v>
      </c>
      <c r="J5419" s="7" t="s">
        <v>13</v>
      </c>
    </row>
    <row r="5420" spans="1:10" ht="13.2">
      <c r="A5420" s="7">
        <v>5419</v>
      </c>
      <c r="B5420" s="7">
        <v>1</v>
      </c>
      <c r="C5420" s="7" t="s">
        <v>10</v>
      </c>
      <c r="D5420" s="7">
        <v>4338</v>
      </c>
      <c r="E5420" s="7" t="s">
        <v>13</v>
      </c>
      <c r="F5420" s="8" t="str">
        <f ca="1">IFERROR(__xludf.DUMMYFUNCTION("IF
(
C5421=""фізична особа""
,
VLOOKUP(D5421,IMPORTRANGE(""https://docs.google.com/spreadsheets/d/14Bd19lYaqBhU8_DElYkX7l4wRkHqqCUFNJY4AfY3kHU/edit?usp=sharing  #gid=0"",""фіз особи new!relations_name""),6,FALSE)
,
(IF
(
C5421=""юридична особа""
,
VLOOKUP"&amp;"(D5421,IMPORTRANGE(""https://docs.google.com/spreadsheets/d/14Bd19lYaqBhU8_DElYkX7l4wRkHqqCUFNJY4AfY3kHU/edit?usp=sharing  #gid=0"",""фіз особи new!relations_name_uo""),7,FALSE)
,
)
))"),"ЧЕРНИШЕВА Анастасія Андріївна")</f>
        <v>ЧЕРНИШЕВА Анастасія Андріївна</v>
      </c>
      <c r="G5420" s="7" t="s">
        <v>10</v>
      </c>
      <c r="H5420" s="7">
        <v>87</v>
      </c>
      <c r="I5420" s="8" t="str">
        <f ca="1">IFERROR(__xludf.DUMMYFUNCTION("IF
(
G5421=""фізична особа""
,
VLOOKUP(H5421,IMPORTRANGE(""https://docs.google.com/spreadsheets/d/14Bd19lYaqBhU8_DElYkX7l4wRkHqqCUFNJY4AfY3kHU/edit?usp=sharing  #gid=0"",""фіз особи new!relations_name""),6,FALSE)
,
(IF
(
G5421=""юридична особа""
,
VLOOKUP"&amp;"(H5421,IMPORTRANGE(""https://docs.google.com/spreadsheets/d/14Bd19lYaqBhU8_DElYkX7l4wRkHqqCUFNJY4AfY3kHU/edit?usp=sharing  #gid=0"",""фіз особи new!relations_name_uo""),7,FALSE)
,
)
))"),"ЧЕРНИШОВ Андрій Володимирович")</f>
        <v>ЧЕРНИШОВ Андрій Володимирович</v>
      </c>
      <c r="J5420" s="7" t="s">
        <v>12</v>
      </c>
    </row>
    <row r="5421" spans="1:10" ht="13.2">
      <c r="A5421" s="7">
        <v>5420</v>
      </c>
      <c r="B5421" s="7">
        <v>1</v>
      </c>
      <c r="C5421" s="7" t="s">
        <v>10</v>
      </c>
      <c r="D5421" s="7">
        <v>4338</v>
      </c>
      <c r="E5421" s="7" t="s">
        <v>13</v>
      </c>
      <c r="F5421" s="8" t="str">
        <f ca="1">IFERROR(__xludf.DUMMYFUNCTION("IF
(
C5422=""фізична особа""
,
VLOOKUP(D5422,IMPORTRANGE(""https://docs.google.com/spreadsheets/d/14Bd19lYaqBhU8_DElYkX7l4wRkHqqCUFNJY4AfY3kHU/edit?usp=sharing  #gid=0"",""фіз особи new!relations_name""),6,FALSE)
,
(IF
(
C5422=""юридична особа""
,
VLOOKUP"&amp;"(D5422,IMPORTRANGE(""https://docs.google.com/spreadsheets/d/14Bd19lYaqBhU8_DElYkX7l4wRkHqqCUFNJY4AfY3kHU/edit?usp=sharing  #gid=0"",""фіз особи new!relations_name_uo""),7,FALSE)
,
)
))"),"ЧЕРНИШЕВА Анастасія Андріївна")</f>
        <v>ЧЕРНИШЕВА Анастасія Андріївна</v>
      </c>
      <c r="G5421" s="7" t="s">
        <v>10</v>
      </c>
      <c r="H5421" s="7">
        <v>4337</v>
      </c>
      <c r="I5421" s="8" t="str">
        <f ca="1">IFERROR(__xludf.DUMMYFUNCTION("IF
(
G5422=""фізична особа""
,
VLOOKUP(H5422,IMPORTRANGE(""https://docs.google.com/spreadsheets/d/14Bd19lYaqBhU8_DElYkX7l4wRkHqqCUFNJY4AfY3kHU/edit?usp=sharing  #gid=0"",""фіз особи new!relations_name""),6,FALSE)
,
(IF
(
G5422=""юридична особа""
,
VLOOKUP"&amp;"(H5422,IMPORTRANGE(""https://docs.google.com/spreadsheets/d/14Bd19lYaqBhU8_DElYkX7l4wRkHqqCUFNJY4AfY3kHU/edit?usp=sharing  #gid=0"",""фіз особи new!relations_name_uo""),7,FALSE)
,
)
))"),"ЧЕРНИШЕВА Наталія Михайлівна")</f>
        <v>ЧЕРНИШЕВА Наталія Михайлівна</v>
      </c>
      <c r="J5421" s="7" t="s">
        <v>21</v>
      </c>
    </row>
    <row r="5422" spans="1:10" ht="13.2">
      <c r="A5422" s="7">
        <v>5421</v>
      </c>
      <c r="B5422" s="7">
        <v>1</v>
      </c>
      <c r="C5422" s="7" t="s">
        <v>10</v>
      </c>
      <c r="D5422" s="7">
        <v>4339</v>
      </c>
      <c r="E5422" s="7" t="s">
        <v>17</v>
      </c>
      <c r="F5422" s="8" t="str">
        <f ca="1">IFERROR(__xludf.DUMMYFUNCTION("IF
(
C5423=""фізична особа""
,
VLOOKUP(D5423,IMPORTRANGE(""https://docs.google.com/spreadsheets/d/14Bd19lYaqBhU8_DElYkX7l4wRkHqqCUFNJY4AfY3kHU/edit?usp=sharing  #gid=0"",""фіз особи new!relations_name""),6,FALSE)
,
(IF
(
C5423=""юридична особа""
,
VLOOKUP"&amp;"(D5423,IMPORTRANGE(""https://docs.google.com/spreadsheets/d/14Bd19lYaqBhU8_DElYkX7l4wRkHqqCUFNJY4AfY3kHU/edit?usp=sharing  #gid=0"",""фіз особи new!relations_name_uo""),7,FALSE)
,
)
))"),"ФАДЗАЄВ Алан Арсенович")</f>
        <v>ФАДЗАЄВ Алан Арсенович</v>
      </c>
      <c r="G5422" s="7" t="s">
        <v>10</v>
      </c>
      <c r="H5422" s="7">
        <v>114</v>
      </c>
      <c r="I5422" s="8" t="str">
        <f ca="1">IFERROR(__xludf.DUMMYFUNCTION("IF
(
G5423=""фізична особа""
,
VLOOKUP(H5423,IMPORTRANGE(""https://docs.google.com/spreadsheets/d/14Bd19lYaqBhU8_DElYkX7l4wRkHqqCUFNJY4AfY3kHU/edit?usp=sharing  #gid=0"",""фіз особи new!relations_name""),6,FALSE)
,
(IF
(
G5423=""юридична особа""
,
VLOOKUP"&amp;"(H5423,IMPORTRANGE(""https://docs.google.com/spreadsheets/d/14Bd19lYaqBhU8_DElYkX7l4wRkHqqCUFNJY4AfY3kHU/edit?usp=sharing  #gid=0"",""фіз особи new!relations_name_uo""),7,FALSE)
,
)
))"),"ФАДЗАЄВ Арсен Сулейманович")</f>
        <v>ФАДЗАЄВ Арсен Сулейманович</v>
      </c>
      <c r="J5422" s="7" t="s">
        <v>12</v>
      </c>
    </row>
    <row r="5423" spans="1:10" ht="13.2">
      <c r="A5423" s="7">
        <v>5422</v>
      </c>
      <c r="B5423" s="7">
        <v>1</v>
      </c>
      <c r="C5423" s="7" t="s">
        <v>10</v>
      </c>
      <c r="D5423" s="7">
        <v>4340</v>
      </c>
      <c r="E5423" s="7" t="s">
        <v>17</v>
      </c>
      <c r="F5423" s="8" t="str">
        <f ca="1">IFERROR(__xludf.DUMMYFUNCTION("IF
(
C5424=""фізична особа""
,
VLOOKUP(D5424,IMPORTRANGE(""https://docs.google.com/spreadsheets/d/14Bd19lYaqBhU8_DElYkX7l4wRkHqqCUFNJY4AfY3kHU/edit?usp=sharing  #gid=0"",""фіз особи new!relations_name""),6,FALSE)
,
(IF
(
C5424=""юридична особа""
,
VLOOKUP"&amp;"(D5424,IMPORTRANGE(""https://docs.google.com/spreadsheets/d/14Bd19lYaqBhU8_DElYkX7l4wRkHqqCUFNJY4AfY3kHU/edit?usp=sharing  #gid=0"",""фіз особи new!relations_name_uo""),7,FALSE)
,
)
))"),"ЖАМСУЄВ Цирен Баірович")</f>
        <v>ЖАМСУЄВ Цирен Баірович</v>
      </c>
      <c r="G5423" s="7" t="s">
        <v>10</v>
      </c>
      <c r="H5423" s="7">
        <v>129</v>
      </c>
      <c r="I5423" s="8" t="str">
        <f ca="1">IFERROR(__xludf.DUMMYFUNCTION("IF
(
G5424=""фізична особа""
,
VLOOKUP(H5424,IMPORTRANGE(""https://docs.google.com/spreadsheets/d/14Bd19lYaqBhU8_DElYkX7l4wRkHqqCUFNJY4AfY3kHU/edit?usp=sharing  #gid=0"",""фіз особи new!relations_name""),6,FALSE)
,
(IF
(
G5424=""юридична особа""
,
VLOOKUP"&amp;"(H5424,IMPORTRANGE(""https://docs.google.com/spreadsheets/d/14Bd19lYaqBhU8_DElYkX7l4wRkHqqCUFNJY4AfY3kHU/edit?usp=sharing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J5423" s="7" t="s">
        <v>12</v>
      </c>
    </row>
    <row r="5424" spans="1:10" ht="13.2">
      <c r="A5424" s="7">
        <v>5423</v>
      </c>
      <c r="B5424" s="7">
        <v>1</v>
      </c>
      <c r="C5424" s="7" t="s">
        <v>10</v>
      </c>
      <c r="D5424" s="7">
        <v>4340</v>
      </c>
      <c r="E5424" s="7" t="s">
        <v>17</v>
      </c>
      <c r="F5424" s="8" t="str">
        <f ca="1">IFERROR(__xludf.DUMMYFUNCTION("IF
(
C5425=""фізична особа""
,
VLOOKUP(D5425,IMPORTRANGE(""https://docs.google.com/spreadsheets/d/14Bd19lYaqBhU8_DElYkX7l4wRkHqqCUFNJY4AfY3kHU/edit?usp=sharing  #gid=0"",""фіз особи new!relations_name""),6,FALSE)
,
(IF
(
C5425=""юридична особа""
,
VLOOKUP"&amp;"(D5425,IMPORTRANGE(""https://docs.google.com/spreadsheets/d/14Bd19lYaqBhU8_DElYkX7l4wRkHqqCUFNJY4AfY3kHU/edit?usp=sharing  #gid=0"",""фіз особи new!relations_name_uo""),7,FALSE)
,
)
))"),"ЖАМСУЄВ Цирен Баірович")</f>
        <v>ЖАМСУЄВ Цирен Баірович</v>
      </c>
      <c r="G5424" s="7" t="s">
        <v>10</v>
      </c>
      <c r="H5424" s="7">
        <v>23368</v>
      </c>
      <c r="I5424" s="8" t="str">
        <f ca="1">IFERROR(__xludf.DUMMYFUNCTION("IF
(
G5425=""фізична особа""
,
VLOOKUP(H5425,IMPORTRANGE(""https://docs.google.com/spreadsheets/d/14Bd19lYaqBhU8_DElYkX7l4wRkHqqCUFNJY4AfY3kHU/edit?usp=sharing  #gid=0"",""фіз особи new!relations_name""),6,FALSE)
,
(IF
(
G5425=""юридична особа""
,
VLOOKUP"&amp;"(H5425,IMPORTRANGE(""https://docs.google.com/spreadsheets/d/14Bd19lYaqBhU8_DElYkX7l4wRkHqqCUFNJY4AfY3kHU/edit?usp=sharing  #gid=0"",""фіз особи new!relations_name_uo""),7,FALSE)
,
)
))"),"ЖАМСУЄВА Марина")</f>
        <v>ЖАМСУЄВА Марина</v>
      </c>
      <c r="J5424" s="7" t="s">
        <v>21</v>
      </c>
    </row>
    <row r="5425" spans="1:10" ht="13.2">
      <c r="A5425" s="7">
        <v>5424</v>
      </c>
      <c r="B5425" s="7">
        <v>1</v>
      </c>
      <c r="C5425" s="7" t="s">
        <v>10</v>
      </c>
      <c r="D5425" s="7">
        <v>4340</v>
      </c>
      <c r="E5425" s="7" t="s">
        <v>18</v>
      </c>
      <c r="F5425" s="8" t="str">
        <f ca="1">IFERROR(__xludf.DUMMYFUNCTION("IF
(
C5426=""фізична особа""
,
VLOOKUP(D5426,IMPORTRANGE(""https://docs.google.com/spreadsheets/d/14Bd19lYaqBhU8_DElYkX7l4wRkHqqCUFNJY4AfY3kHU/edit?usp=sharing  #gid=0"",""фіз особи new!relations_name""),6,FALSE)
,
(IF
(
C5426=""юридична особа""
,
VLOOKUP"&amp;"(D5426,IMPORTRANGE(""https://docs.google.com/spreadsheets/d/14Bd19lYaqBhU8_DElYkX7l4wRkHqqCUFNJY4AfY3kHU/edit?usp=sharing  #gid=0"",""фіз особи new!relations_name_uo""),7,FALSE)
,
)
))"),"ЖАМСУЄВ Цирен Баірович")</f>
        <v>ЖАМСУЄВ Цирен Баірович</v>
      </c>
      <c r="G5425" s="7" t="s">
        <v>10</v>
      </c>
      <c r="H5425" s="7">
        <v>4341</v>
      </c>
      <c r="I5425" s="8" t="str">
        <f ca="1">IFERROR(__xludf.DUMMYFUNCTION("IF
(
G5426=""фізична особа""
,
VLOOKUP(H5426,IMPORTRANGE(""https://docs.google.com/spreadsheets/d/14Bd19lYaqBhU8_DElYkX7l4wRkHqqCUFNJY4AfY3kHU/edit?usp=sharing  #gid=0"",""фіз особи new!relations_name""),6,FALSE)
,
(IF
(
G5426=""юридична особа""
,
VLOOKUP"&amp;"(H5426,IMPORTRANGE(""https://docs.google.com/spreadsheets/d/14Bd19lYaqBhU8_DElYkX7l4wRkHqqCUFNJY4AfY3kHU/edit?usp=sharing  #gid=0"",""фіз особи new!relations_name_uo""),7,FALSE)
,
)
))"),"ЖАМСУЄВ Тумен Баірович")</f>
        <v>ЖАМСУЄВ Тумен Баірович</v>
      </c>
      <c r="J5425" s="7" t="s">
        <v>18</v>
      </c>
    </row>
    <row r="5426" spans="1:10" ht="13.2">
      <c r="A5426" s="7">
        <v>5425</v>
      </c>
      <c r="B5426" s="7">
        <v>1</v>
      </c>
      <c r="C5426" s="7" t="s">
        <v>10</v>
      </c>
      <c r="D5426" s="7">
        <v>4341</v>
      </c>
      <c r="E5426" s="7" t="s">
        <v>17</v>
      </c>
      <c r="F5426" s="8" t="str">
        <f ca="1">IFERROR(__xludf.DUMMYFUNCTION("IF
(
C5427=""фізична особа""
,
VLOOKUP(D5427,IMPORTRANGE(""https://docs.google.com/spreadsheets/d/14Bd19lYaqBhU8_DElYkX7l4wRkHqqCUFNJY4AfY3kHU/edit?usp=sharing  #gid=0"",""фіз особи new!relations_name""),6,FALSE)
,
(IF
(
C5427=""юридична особа""
,
VLOOKUP"&amp;"(D5427,IMPORTRANGE(""https://docs.google.com/spreadsheets/d/14Bd19lYaqBhU8_DElYkX7l4wRkHqqCUFNJY4AfY3kHU/edit?usp=sharing  #gid=0"",""фіз особи new!relations_name_uo""),7,FALSE)
,
)
))"),"ЖАМСУЄВ Тумен Баірович")</f>
        <v>ЖАМСУЄВ Тумен Баірович</v>
      </c>
      <c r="G5426" s="7" t="s">
        <v>10</v>
      </c>
      <c r="H5426" s="7">
        <v>129</v>
      </c>
      <c r="I5426" s="8" t="str">
        <f ca="1">IFERROR(__xludf.DUMMYFUNCTION("IF
(
G5427=""фізична особа""
,
VLOOKUP(H5427,IMPORTRANGE(""https://docs.google.com/spreadsheets/d/14Bd19lYaqBhU8_DElYkX7l4wRkHqqCUFNJY4AfY3kHU/edit?usp=sharing  #gid=0"",""фіз особи new!relations_name""),6,FALSE)
,
(IF
(
G5427=""юридична особа""
,
VLOOKUP"&amp;"(H5427,IMPORTRANGE(""https://docs.google.com/spreadsheets/d/14Bd19lYaqBhU8_DElYkX7l4wRkHqqCUFNJY4AfY3kHU/edit?usp=sharing  #gid=0"",""фіз особи new!relations_name_uo""),7,FALSE)
,
)
))"),"ЖАМСУЄВ Баїр Баясхаланович")</f>
        <v>ЖАМСУЄВ Баїр Баясхаланович</v>
      </c>
      <c r="J5426" s="7" t="s">
        <v>12</v>
      </c>
    </row>
    <row r="5427" spans="1:10" ht="13.2">
      <c r="A5427" s="7">
        <v>5426</v>
      </c>
      <c r="B5427" s="7">
        <v>1</v>
      </c>
      <c r="C5427" s="7" t="s">
        <v>10</v>
      </c>
      <c r="D5427" s="7">
        <v>4341</v>
      </c>
      <c r="E5427" s="7" t="s">
        <v>17</v>
      </c>
      <c r="F5427" s="8" t="str">
        <f ca="1">IFERROR(__xludf.DUMMYFUNCTION("IF
(
C5428=""фізична особа""
,
VLOOKUP(D5428,IMPORTRANGE(""https://docs.google.com/spreadsheets/d/14Bd19lYaqBhU8_DElYkX7l4wRkHqqCUFNJY4AfY3kHU/edit?usp=sharing  #gid=0"",""фіз особи new!relations_name""),6,FALSE)
,
(IF
(
C5428=""юридична особа""
,
VLOOKUP"&amp;"(D5428,IMPORTRANGE(""https://docs.google.com/spreadsheets/d/14Bd19lYaqBhU8_DElYkX7l4wRkHqqCUFNJY4AfY3kHU/edit?usp=sharing  #gid=0"",""фіз особи new!relations_name_uo""),7,FALSE)
,
)
))"),"ЖАМСУЄВ Тумен Баірович")</f>
        <v>ЖАМСУЄВ Тумен Баірович</v>
      </c>
      <c r="G5427" s="7" t="s">
        <v>10</v>
      </c>
      <c r="H5427" s="7">
        <v>23368</v>
      </c>
      <c r="I5427" s="8" t="str">
        <f ca="1">IFERROR(__xludf.DUMMYFUNCTION("IF
(
G5428=""фізична особа""
,
VLOOKUP(H5428,IMPORTRANGE(""https://docs.google.com/spreadsheets/d/14Bd19lYaqBhU8_DElYkX7l4wRkHqqCUFNJY4AfY3kHU/edit?usp=sharing  #gid=0"",""фіз особи new!relations_name""),6,FALSE)
,
(IF
(
G5428=""юридична особа""
,
VLOOKUP"&amp;"(H5428,IMPORTRANGE(""https://docs.google.com/spreadsheets/d/14Bd19lYaqBhU8_DElYkX7l4wRkHqqCUFNJY4AfY3kHU/edit?usp=sharing  #gid=0"",""фіз особи new!relations_name_uo""),7,FALSE)
,
)
))"),"ЖАМСУЄВА Марина")</f>
        <v>ЖАМСУЄВА Марина</v>
      </c>
      <c r="J5427" s="7" t="s">
        <v>21</v>
      </c>
    </row>
    <row r="5428" spans="1:10" ht="13.2">
      <c r="A5428" s="7">
        <v>5427</v>
      </c>
      <c r="B5428" s="7">
        <v>1</v>
      </c>
      <c r="C5428" s="7" t="s">
        <v>10</v>
      </c>
      <c r="D5428" s="7">
        <v>4341</v>
      </c>
      <c r="E5428" s="7" t="s">
        <v>18</v>
      </c>
      <c r="F5428" s="8" t="str">
        <f ca="1">IFERROR(__xludf.DUMMYFUNCTION("IF
(
C5429=""фізична особа""
,
VLOOKUP(D5429,IMPORTRANGE(""https://docs.google.com/spreadsheets/d/14Bd19lYaqBhU8_DElYkX7l4wRkHqqCUFNJY4AfY3kHU/edit?usp=sharing  #gid=0"",""фіз особи new!relations_name""),6,FALSE)
,
(IF
(
C5429=""юридична особа""
,
VLOOKUP"&amp;"(D5429,IMPORTRANGE(""https://docs.google.com/spreadsheets/d/14Bd19lYaqBhU8_DElYkX7l4wRkHqqCUFNJY4AfY3kHU/edit?usp=sharing  #gid=0"",""фіз особи new!relations_name_uo""),7,FALSE)
,
)
))"),"ЖАМСУЄВ Тумен Баірович")</f>
        <v>ЖАМСУЄВ Тумен Баірович</v>
      </c>
      <c r="G5428" s="7" t="s">
        <v>10</v>
      </c>
      <c r="H5428" s="7">
        <v>4340</v>
      </c>
      <c r="I5428" s="8" t="str">
        <f ca="1">IFERROR(__xludf.DUMMYFUNCTION("IF
(
G5429=""фізична особа""
,
VLOOKUP(H5429,IMPORTRANGE(""https://docs.google.com/spreadsheets/d/14Bd19lYaqBhU8_DElYkX7l4wRkHqqCUFNJY4AfY3kHU/edit?usp=sharing  #gid=0"",""фіз особи new!relations_name""),6,FALSE)
,
(IF
(
G5429=""юридична особа""
,
VLOOKUP"&amp;"(H5429,IMPORTRANGE(""https://docs.google.com/spreadsheets/d/14Bd19lYaqBhU8_DElYkX7l4wRkHqqCUFNJY4AfY3kHU/edit?usp=sharing  #gid=0"",""фіз особи new!relations_name_uo""),7,FALSE)
,
)
))"),"ЖАМСУЄВ Цирен Баірович")</f>
        <v>ЖАМСУЄВ Цирен Баірович</v>
      </c>
      <c r="J5428" s="7" t="s">
        <v>18</v>
      </c>
    </row>
    <row r="5429" spans="1:10" ht="13.2">
      <c r="A5429" s="7">
        <v>5428</v>
      </c>
      <c r="B5429" s="7">
        <v>1</v>
      </c>
      <c r="C5429" s="7" t="s">
        <v>10</v>
      </c>
      <c r="D5429" s="7">
        <v>4342</v>
      </c>
      <c r="E5429" s="7" t="s">
        <v>15</v>
      </c>
      <c r="F5429" s="8" t="str">
        <f ca="1">IFERROR(__xludf.DUMMYFUNCTION("IF
(
C5430=""фізична особа""
,
VLOOKUP(D5430,IMPORTRANGE(""https://docs.google.com/spreadsheets/d/14Bd19lYaqBhU8_DElYkX7l4wRkHqqCUFNJY4AfY3kHU/edit?usp=sharing  #gid=0"",""фіз особи new!relations_name""),6,FALSE)
,
(IF
(
C5430=""юридична особа""
,
VLOOKUP"&amp;"(D5430,IMPORTRANGE(""https://docs.google.com/spreadsheets/d/14Bd19lYaqBhU8_DElYkX7l4wRkHqqCUFNJY4AfY3kHU/edit?usp=sharing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G5429" s="7" t="s">
        <v>10</v>
      </c>
      <c r="H5429" s="7">
        <v>133</v>
      </c>
      <c r="I5429" s="8" t="str">
        <f ca="1">IFERROR(__xludf.DUMMYFUNCTION("IF
(
G5430=""фізична особа""
,
VLOOKUP(H5430,IMPORTRANGE(""https://docs.google.com/spreadsheets/d/14Bd19lYaqBhU8_DElYkX7l4wRkHqqCUFNJY4AfY3kHU/edit?usp=sharing  #gid=0"",""фіз особи new!relations_name""),6,FALSE)
,
(IF
(
G5430=""юридична особа""
,
VLOOKUP"&amp;"(H5430,IMPORTRANGE(""https://docs.google.com/spreadsheets/d/14Bd19lYaqBhU8_DElYkX7l4wRkHqqCUFNJY4AfY3kHU/edit?usp=sharing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5429" s="7" t="s">
        <v>14</v>
      </c>
    </row>
    <row r="5430" spans="1:10" ht="13.2">
      <c r="A5430" s="7">
        <v>5429</v>
      </c>
      <c r="B5430" s="7">
        <v>1</v>
      </c>
      <c r="C5430" s="7" t="s">
        <v>10</v>
      </c>
      <c r="D5430" s="7">
        <v>4342</v>
      </c>
      <c r="E5430" s="7" t="s">
        <v>21</v>
      </c>
      <c r="F5430" s="8" t="str">
        <f ca="1">IFERROR(__xludf.DUMMYFUNCTION("IF
(
C5431=""фізична особа""
,
VLOOKUP(D5431,IMPORTRANGE(""https://docs.google.com/spreadsheets/d/14Bd19lYaqBhU8_DElYkX7l4wRkHqqCUFNJY4AfY3kHU/edit?usp=sharing  #gid=0"",""фіз особи new!relations_name""),6,FALSE)
,
(IF
(
C5431=""юридична особа""
,
VLOOKUP"&amp;"(D5431,IMPORTRANGE(""https://docs.google.com/spreadsheets/d/14Bd19lYaqBhU8_DElYkX7l4wRkHqqCUFNJY4AfY3kHU/edit?usp=sharing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G5430" s="7" t="s">
        <v>10</v>
      </c>
      <c r="H5430" s="7">
        <v>4343</v>
      </c>
      <c r="I5430" s="8" t="str">
        <f ca="1">IFERROR(__xludf.DUMMYFUNCTION("IF
(
G5431=""фізична особа""
,
VLOOKUP(H5431,IMPORTRANGE(""https://docs.google.com/spreadsheets/d/14Bd19lYaqBhU8_DElYkX7l4wRkHqqCUFNJY4AfY3kHU/edit?usp=sharing  #gid=0"",""фіз особи new!relations_name""),6,FALSE)
,
(IF
(
G5431=""юридична особа""
,
VLOOKUP"&amp;"(H5431,IMPORTRANGE(""https://docs.google.com/spreadsheets/d/14Bd19lYaqBhU8_DElYkX7l4wRkHqqCUFNJY4AfY3kHU/edit?usp=sharing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J5430" s="7" t="s">
        <v>13</v>
      </c>
    </row>
    <row r="5431" spans="1:10" ht="13.2">
      <c r="A5431" s="7">
        <v>5430</v>
      </c>
      <c r="B5431" s="7">
        <v>1</v>
      </c>
      <c r="C5431" s="7" t="s">
        <v>10</v>
      </c>
      <c r="D5431" s="7">
        <v>4342</v>
      </c>
      <c r="E5431" s="7" t="s">
        <v>21</v>
      </c>
      <c r="F5431" s="8" t="str">
        <f ca="1">IFERROR(__xludf.DUMMYFUNCTION("IF
(
C5432=""фізична особа""
,
VLOOKUP(D5432,IMPORTRANGE(""https://docs.google.com/spreadsheets/d/14Bd19lYaqBhU8_DElYkX7l4wRkHqqCUFNJY4AfY3kHU/edit?usp=sharing  #gid=0"",""фіз особи new!relations_name""),6,FALSE)
,
(IF
(
C5432=""юридична особа""
,
VLOOKUP"&amp;"(D5432,IMPORTRANGE(""https://docs.google.com/spreadsheets/d/14Bd19lYaqBhU8_DElYkX7l4wRkHqqCUFNJY4AfY3kHU/edit?usp=sharing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G5431" s="7" t="s">
        <v>10</v>
      </c>
      <c r="H5431" s="7">
        <v>4344</v>
      </c>
      <c r="I5431" s="8" t="str">
        <f ca="1">IFERROR(__xludf.DUMMYFUNCTION("IF
(
G5432=""фізична особа""
,
VLOOKUP(H5432,IMPORTRANGE(""https://docs.google.com/spreadsheets/d/14Bd19lYaqBhU8_DElYkX7l4wRkHqqCUFNJY4AfY3kHU/edit?usp=sharing  #gid=0"",""фіз особи new!relations_name""),6,FALSE)
,
(IF
(
G5432=""юридична особа""
,
VLOOKUP"&amp;"(H5432,IMPORTRANGE(""https://docs.google.com/spreadsheets/d/14Bd19lYaqBhU8_DElYkX7l4wRkHqqCUFNJY4AfY3kHU/edit?usp=sharing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J5431" s="7" t="s">
        <v>17</v>
      </c>
    </row>
    <row r="5432" spans="1:10" ht="13.2">
      <c r="A5432" s="7">
        <v>5431</v>
      </c>
      <c r="B5432" s="7">
        <v>1</v>
      </c>
      <c r="C5432" s="7" t="s">
        <v>10</v>
      </c>
      <c r="D5432" s="7">
        <v>4342</v>
      </c>
      <c r="E5432" s="7" t="s">
        <v>21</v>
      </c>
      <c r="F5432" s="8" t="str">
        <f ca="1">IFERROR(__xludf.DUMMYFUNCTION("IF
(
C5433=""фізична особа""
,
VLOOKUP(D5433,IMPORTRANGE(""https://docs.google.com/spreadsheets/d/14Bd19lYaqBhU8_DElYkX7l4wRkHqqCUFNJY4AfY3kHU/edit?usp=sharing  #gid=0"",""фіз особи new!relations_name""),6,FALSE)
,
(IF
(
C5433=""юридична особа""
,
VLOOKUP"&amp;"(D5433,IMPORTRANGE(""https://docs.google.com/spreadsheets/d/14Bd19lYaqBhU8_DElYkX7l4wRkHqqCUFNJY4AfY3kHU/edit?usp=sharing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G5432" s="7" t="s">
        <v>10</v>
      </c>
      <c r="H5432" s="7">
        <v>4345</v>
      </c>
      <c r="I5432" s="8" t="str">
        <f ca="1">IFERROR(__xludf.DUMMYFUNCTION("IF
(
G5433=""фізична особа""
,
VLOOKUP(H5433,IMPORTRANGE(""https://docs.google.com/spreadsheets/d/14Bd19lYaqBhU8_DElYkX7l4wRkHqqCUFNJY4AfY3kHU/edit?usp=sharing  #gid=0"",""фіз особи new!relations_name""),6,FALSE)
,
(IF
(
G5433=""юридична особа""
,
VLOOKUP"&amp;"(H5433,IMPORTRANGE(""https://docs.google.com/spreadsheets/d/14Bd19lYaqBhU8_DElYkX7l4wRkHqqCUFNJY4AfY3kHU/edit?usp=sharing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J5432" s="7" t="s">
        <v>13</v>
      </c>
    </row>
    <row r="5433" spans="1:10" ht="13.2">
      <c r="A5433" s="7">
        <v>5432</v>
      </c>
      <c r="B5433" s="7">
        <v>1</v>
      </c>
      <c r="C5433" s="7" t="s">
        <v>10</v>
      </c>
      <c r="D5433" s="7">
        <v>4343</v>
      </c>
      <c r="E5433" s="7" t="s">
        <v>13</v>
      </c>
      <c r="F5433" s="8" t="str">
        <f ca="1">IFERROR(__xludf.DUMMYFUNCTION("IF
(
C5434=""фізична особа""
,
VLOOKUP(D5434,IMPORTRANGE(""https://docs.google.com/spreadsheets/d/14Bd19lYaqBhU8_DElYkX7l4wRkHqqCUFNJY4AfY3kHU/edit?usp=sharing  #gid=0"",""фіз особи new!relations_name""),6,FALSE)
,
(IF
(
C5434=""юридична особа""
,
VLOOKUP"&amp;"(D5434,IMPORTRANGE(""https://docs.google.com/spreadsheets/d/14Bd19lYaqBhU8_DElYkX7l4wRkHqqCUFNJY4AfY3kHU/edit?usp=sharing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G5433" s="7" t="s">
        <v>10</v>
      </c>
      <c r="H5433" s="7">
        <v>133</v>
      </c>
      <c r="I5433" s="8" t="str">
        <f ca="1">IFERROR(__xludf.DUMMYFUNCTION("IF
(
G5434=""фізична особа""
,
VLOOKUP(H5434,IMPORTRANGE(""https://docs.google.com/spreadsheets/d/14Bd19lYaqBhU8_DElYkX7l4wRkHqqCUFNJY4AfY3kHU/edit?usp=sharing  #gid=0"",""фіз особи new!relations_name""),6,FALSE)
,
(IF
(
G5434=""юридична особа""
,
VLOOKUP"&amp;"(H5434,IMPORTRANGE(""https://docs.google.com/spreadsheets/d/14Bd19lYaqBhU8_DElYkX7l4wRkHqqCUFNJY4AfY3kHU/edit?usp=sharing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5433" s="7" t="s">
        <v>12</v>
      </c>
    </row>
    <row r="5434" spans="1:10" ht="13.2">
      <c r="A5434" s="7">
        <v>5433</v>
      </c>
      <c r="B5434" s="7">
        <v>1</v>
      </c>
      <c r="C5434" s="7" t="s">
        <v>10</v>
      </c>
      <c r="D5434" s="7">
        <v>4343</v>
      </c>
      <c r="E5434" s="7" t="s">
        <v>13</v>
      </c>
      <c r="F5434" s="8" t="str">
        <f ca="1">IFERROR(__xludf.DUMMYFUNCTION("IF
(
C5435=""фізична особа""
,
VLOOKUP(D5435,IMPORTRANGE(""https://docs.google.com/spreadsheets/d/14Bd19lYaqBhU8_DElYkX7l4wRkHqqCUFNJY4AfY3kHU/edit?usp=sharing  #gid=0"",""фіз особи new!relations_name""),6,FALSE)
,
(IF
(
C5435=""юридична особа""
,
VLOOKUP"&amp;"(D5435,IMPORTRANGE(""https://docs.google.com/spreadsheets/d/14Bd19lYaqBhU8_DElYkX7l4wRkHqqCUFNJY4AfY3kHU/edit?usp=sharing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G5434" s="7" t="s">
        <v>10</v>
      </c>
      <c r="H5434" s="7">
        <v>4342</v>
      </c>
      <c r="I5434" s="8" t="str">
        <f ca="1">IFERROR(__xludf.DUMMYFUNCTION("IF
(
G5435=""фізична особа""
,
VLOOKUP(H5435,IMPORTRANGE(""https://docs.google.com/spreadsheets/d/14Bd19lYaqBhU8_DElYkX7l4wRkHqqCUFNJY4AfY3kHU/edit?usp=sharing  #gid=0"",""фіз особи new!relations_name""),6,FALSE)
,
(IF
(
G5435=""юридична особа""
,
VLOOKUP"&amp;"(H5435,IMPORTRANGE(""https://docs.google.com/spreadsheets/d/14Bd19lYaqBhU8_DElYkX7l4wRkHqqCUFNJY4AfY3kHU/edit?usp=sharing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J5434" s="7" t="s">
        <v>21</v>
      </c>
    </row>
    <row r="5435" spans="1:10" ht="13.2">
      <c r="A5435" s="7">
        <v>5434</v>
      </c>
      <c r="B5435" s="7">
        <v>1</v>
      </c>
      <c r="C5435" s="7" t="s">
        <v>10</v>
      </c>
      <c r="D5435" s="7">
        <v>4343</v>
      </c>
      <c r="E5435" s="7" t="s">
        <v>31</v>
      </c>
      <c r="F5435" s="8" t="str">
        <f ca="1">IFERROR(__xludf.DUMMYFUNCTION("IF
(
C5436=""фізична особа""
,
VLOOKUP(D5436,IMPORTRANGE(""https://docs.google.com/spreadsheets/d/14Bd19lYaqBhU8_DElYkX7l4wRkHqqCUFNJY4AfY3kHU/edit?usp=sharing  #gid=0"",""фіз особи new!relations_name""),6,FALSE)
,
(IF
(
C5436=""юридична особа""
,
VLOOKUP"&amp;"(D5436,IMPORTRANGE(""https://docs.google.com/spreadsheets/d/14Bd19lYaqBhU8_DElYkX7l4wRkHqqCUFNJY4AfY3kHU/edit?usp=sharing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G5435" s="7" t="s">
        <v>10</v>
      </c>
      <c r="H5435" s="7">
        <v>4344</v>
      </c>
      <c r="I5435" s="8" t="str">
        <f ca="1">IFERROR(__xludf.DUMMYFUNCTION("IF
(
G5436=""фізична особа""
,
VLOOKUP(H5436,IMPORTRANGE(""https://docs.google.com/spreadsheets/d/14Bd19lYaqBhU8_DElYkX7l4wRkHqqCUFNJY4AfY3kHU/edit?usp=sharing  #gid=0"",""фіз особи new!relations_name""),6,FALSE)
,
(IF
(
G5436=""юридична особа""
,
VLOOKUP"&amp;"(H5436,IMPORTRANGE(""https://docs.google.com/spreadsheets/d/14Bd19lYaqBhU8_DElYkX7l4wRkHqqCUFNJY4AfY3kHU/edit?usp=sharing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J5435" s="7" t="s">
        <v>18</v>
      </c>
    </row>
    <row r="5436" spans="1:10" ht="13.2">
      <c r="A5436" s="7">
        <v>5435</v>
      </c>
      <c r="B5436" s="7">
        <v>1</v>
      </c>
      <c r="C5436" s="7" t="s">
        <v>10</v>
      </c>
      <c r="D5436" s="7">
        <v>4343</v>
      </c>
      <c r="E5436" s="7" t="s">
        <v>31</v>
      </c>
      <c r="F5436" s="8" t="str">
        <f ca="1">IFERROR(__xludf.DUMMYFUNCTION("IF
(
C5437=""фізична особа""
,
VLOOKUP(D5437,IMPORTRANGE(""https://docs.google.com/spreadsheets/d/14Bd19lYaqBhU8_DElYkX7l4wRkHqqCUFNJY4AfY3kHU/edit?usp=sharing  #gid=0"",""фіз особи new!relations_name""),6,FALSE)
,
(IF
(
C5437=""юридична особа""
,
VLOOKUP"&amp;"(D5437,IMPORTRANGE(""https://docs.google.com/spreadsheets/d/14Bd19lYaqBhU8_DElYkX7l4wRkHqqCUFNJY4AfY3kHU/edit?usp=sharing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G5436" s="7" t="s">
        <v>10</v>
      </c>
      <c r="H5436" s="7">
        <v>4345</v>
      </c>
      <c r="I5436" s="8" t="str">
        <f ca="1">IFERROR(__xludf.DUMMYFUNCTION("IF
(
G5437=""фізична особа""
,
VLOOKUP(H5437,IMPORTRANGE(""https://docs.google.com/spreadsheets/d/14Bd19lYaqBhU8_DElYkX7l4wRkHqqCUFNJY4AfY3kHU/edit?usp=sharing  #gid=0"",""фіз особи new!relations_name""),6,FALSE)
,
(IF
(
G5437=""юридична особа""
,
VLOOKUP"&amp;"(H5437,IMPORTRANGE(""https://docs.google.com/spreadsheets/d/14Bd19lYaqBhU8_DElYkX7l4wRkHqqCUFNJY4AfY3kHU/edit?usp=sharing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J5436" s="7" t="s">
        <v>31</v>
      </c>
    </row>
    <row r="5437" spans="1:10" ht="13.2">
      <c r="A5437" s="7">
        <v>5436</v>
      </c>
      <c r="B5437" s="7">
        <v>1</v>
      </c>
      <c r="C5437" s="7" t="s">
        <v>10</v>
      </c>
      <c r="D5437" s="7">
        <v>4344</v>
      </c>
      <c r="E5437" s="7" t="s">
        <v>17</v>
      </c>
      <c r="F5437" s="8" t="str">
        <f ca="1">IFERROR(__xludf.DUMMYFUNCTION("IF
(
C5438=""фізична особа""
,
VLOOKUP(D5438,IMPORTRANGE(""https://docs.google.com/spreadsheets/d/14Bd19lYaqBhU8_DElYkX7l4wRkHqqCUFNJY4AfY3kHU/edit?usp=sharing  #gid=0"",""фіз особи new!relations_name""),6,FALSE)
,
(IF
(
C5438=""юридична особа""
,
VLOOKUP"&amp;"(D5438,IMPORTRANGE(""https://docs.google.com/spreadsheets/d/14Bd19lYaqBhU8_DElYkX7l4wRkHqqCUFNJY4AfY3kHU/edit?usp=sharing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G5437" s="7" t="s">
        <v>10</v>
      </c>
      <c r="H5437" s="7">
        <v>133</v>
      </c>
      <c r="I5437" s="8" t="str">
        <f ca="1">IFERROR(__xludf.DUMMYFUNCTION("IF
(
G5438=""фізична особа""
,
VLOOKUP(H5438,IMPORTRANGE(""https://docs.google.com/spreadsheets/d/14Bd19lYaqBhU8_DElYkX7l4wRkHqqCUFNJY4AfY3kHU/edit?usp=sharing  #gid=0"",""фіз особи new!relations_name""),6,FALSE)
,
(IF
(
G5438=""юридична особа""
,
VLOOKUP"&amp;"(H5438,IMPORTRANGE(""https://docs.google.com/spreadsheets/d/14Bd19lYaqBhU8_DElYkX7l4wRkHqqCUFNJY4AfY3kHU/edit?usp=sharing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5437" s="7" t="s">
        <v>12</v>
      </c>
    </row>
    <row r="5438" spans="1:10" ht="13.2">
      <c r="A5438" s="7">
        <v>5437</v>
      </c>
      <c r="B5438" s="7">
        <v>1</v>
      </c>
      <c r="C5438" s="7" t="s">
        <v>10</v>
      </c>
      <c r="D5438" s="7">
        <v>4344</v>
      </c>
      <c r="E5438" s="7" t="s">
        <v>17</v>
      </c>
      <c r="F5438" s="8" t="str">
        <f ca="1">IFERROR(__xludf.DUMMYFUNCTION("IF
(
C5439=""фізична особа""
,
VLOOKUP(D5439,IMPORTRANGE(""https://docs.google.com/spreadsheets/d/14Bd19lYaqBhU8_DElYkX7l4wRkHqqCUFNJY4AfY3kHU/edit?usp=sharing  #gid=0"",""фіз особи new!relations_name""),6,FALSE)
,
(IF
(
C5439=""юридична особа""
,
VLOOKUP"&amp;"(D5439,IMPORTRANGE(""https://docs.google.com/spreadsheets/d/14Bd19lYaqBhU8_DElYkX7l4wRkHqqCUFNJY4AfY3kHU/edit?usp=sharing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G5438" s="7" t="s">
        <v>10</v>
      </c>
      <c r="H5438" s="7">
        <v>4342</v>
      </c>
      <c r="I5438" s="8" t="str">
        <f ca="1">IFERROR(__xludf.DUMMYFUNCTION("IF
(
G5439=""фізична особа""
,
VLOOKUP(H5439,IMPORTRANGE(""https://docs.google.com/spreadsheets/d/14Bd19lYaqBhU8_DElYkX7l4wRkHqqCUFNJY4AfY3kHU/edit?usp=sharing  #gid=0"",""фіз особи new!relations_name""),6,FALSE)
,
(IF
(
G5439=""юридична особа""
,
VLOOKUP"&amp;"(H5439,IMPORTRANGE(""https://docs.google.com/spreadsheets/d/14Bd19lYaqBhU8_DElYkX7l4wRkHqqCUFNJY4AfY3kHU/edit?usp=sharing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J5438" s="7" t="s">
        <v>21</v>
      </c>
    </row>
    <row r="5439" spans="1:10" ht="13.2">
      <c r="A5439" s="7">
        <v>5438</v>
      </c>
      <c r="B5439" s="7">
        <v>1</v>
      </c>
      <c r="C5439" s="7" t="s">
        <v>10</v>
      </c>
      <c r="D5439" s="7">
        <v>4344</v>
      </c>
      <c r="E5439" s="7" t="s">
        <v>18</v>
      </c>
      <c r="F5439" s="8" t="str">
        <f ca="1">IFERROR(__xludf.DUMMYFUNCTION("IF
(
C5440=""фізична особа""
,
VLOOKUP(D5440,IMPORTRANGE(""https://docs.google.com/spreadsheets/d/14Bd19lYaqBhU8_DElYkX7l4wRkHqqCUFNJY4AfY3kHU/edit?usp=sharing  #gid=0"",""фіз особи new!relations_name""),6,FALSE)
,
(IF
(
C5440=""юридична особа""
,
VLOOKUP"&amp;"(D5440,IMPORTRANGE(""https://docs.google.com/spreadsheets/d/14Bd19lYaqBhU8_DElYkX7l4wRkHqqCUFNJY4AfY3kHU/edit?usp=sharing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G5439" s="7" t="s">
        <v>10</v>
      </c>
      <c r="H5439" s="7">
        <v>4343</v>
      </c>
      <c r="I5439" s="8" t="str">
        <f ca="1">IFERROR(__xludf.DUMMYFUNCTION("IF
(
G5440=""фізична особа""
,
VLOOKUP(H5440,IMPORTRANGE(""https://docs.google.com/spreadsheets/d/14Bd19lYaqBhU8_DElYkX7l4wRkHqqCUFNJY4AfY3kHU/edit?usp=sharing  #gid=0"",""фіз особи new!relations_name""),6,FALSE)
,
(IF
(
G5440=""юридична особа""
,
VLOOKUP"&amp;"(H5440,IMPORTRANGE(""https://docs.google.com/spreadsheets/d/14Bd19lYaqBhU8_DElYkX7l4wRkHqqCUFNJY4AfY3kHU/edit?usp=sharing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J5439" s="7" t="s">
        <v>31</v>
      </c>
    </row>
    <row r="5440" spans="1:10" ht="13.2">
      <c r="A5440" s="7">
        <v>5439</v>
      </c>
      <c r="B5440" s="7">
        <v>1</v>
      </c>
      <c r="C5440" s="7" t="s">
        <v>10</v>
      </c>
      <c r="D5440" s="7">
        <v>4344</v>
      </c>
      <c r="E5440" s="7" t="s">
        <v>18</v>
      </c>
      <c r="F5440" s="8" t="str">
        <f ca="1">IFERROR(__xludf.DUMMYFUNCTION("IF
(
C5441=""фізична особа""
,
VLOOKUP(D5441,IMPORTRANGE(""https://docs.google.com/spreadsheets/d/14Bd19lYaqBhU8_DElYkX7l4wRkHqqCUFNJY4AfY3kHU/edit?usp=sharing  #gid=0"",""фіз особи new!relations_name""),6,FALSE)
,
(IF
(
C5441=""юридична особа""
,
VLOOKUP"&amp;"(D5441,IMPORTRANGE(""https://docs.google.com/spreadsheets/d/14Bd19lYaqBhU8_DElYkX7l4wRkHqqCUFNJY4AfY3kHU/edit?usp=sharing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G5440" s="7" t="s">
        <v>10</v>
      </c>
      <c r="H5440" s="7">
        <v>4345</v>
      </c>
      <c r="I5440" s="8" t="str">
        <f ca="1">IFERROR(__xludf.DUMMYFUNCTION("IF
(
G5441=""фізична особа""
,
VLOOKUP(H5441,IMPORTRANGE(""https://docs.google.com/spreadsheets/d/14Bd19lYaqBhU8_DElYkX7l4wRkHqqCUFNJY4AfY3kHU/edit?usp=sharing  #gid=0"",""фіз особи new!relations_name""),6,FALSE)
,
(IF
(
G5441=""юридична особа""
,
VLOOKUP"&amp;"(H5441,IMPORTRANGE(""https://docs.google.com/spreadsheets/d/14Bd19lYaqBhU8_DElYkX7l4wRkHqqCUFNJY4AfY3kHU/edit?usp=sharing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J5440" s="7" t="s">
        <v>31</v>
      </c>
    </row>
    <row r="5441" spans="1:10" ht="13.2">
      <c r="A5441" s="7">
        <v>5440</v>
      </c>
      <c r="B5441" s="7">
        <v>1</v>
      </c>
      <c r="C5441" s="7" t="s">
        <v>10</v>
      </c>
      <c r="D5441" s="7">
        <v>4345</v>
      </c>
      <c r="E5441" s="7" t="s">
        <v>13</v>
      </c>
      <c r="F5441" s="8" t="str">
        <f ca="1">IFERROR(__xludf.DUMMYFUNCTION("IF
(
C5442=""фізична особа""
,
VLOOKUP(D5442,IMPORTRANGE(""https://docs.google.com/spreadsheets/d/14Bd19lYaqBhU8_DElYkX7l4wRkHqqCUFNJY4AfY3kHU/edit?usp=sharing  #gid=0"",""фіз особи new!relations_name""),6,FALSE)
,
(IF
(
C5442=""юридична особа""
,
VLOOKUP"&amp;"(D5442,IMPORTRANGE(""https://docs.google.com/spreadsheets/d/14Bd19lYaqBhU8_DElYkX7l4wRkHqqCUFNJY4AfY3kHU/edit?usp=sharing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G5441" s="7" t="s">
        <v>10</v>
      </c>
      <c r="H5441" s="7">
        <v>133</v>
      </c>
      <c r="I5441" s="8" t="str">
        <f ca="1">IFERROR(__xludf.DUMMYFUNCTION("IF
(
G5442=""фізична особа""
,
VLOOKUP(H5442,IMPORTRANGE(""https://docs.google.com/spreadsheets/d/14Bd19lYaqBhU8_DElYkX7l4wRkHqqCUFNJY4AfY3kHU/edit?usp=sharing  #gid=0"",""фіз особи new!relations_name""),6,FALSE)
,
(IF
(
G5442=""юридична особа""
,
VLOOKUP"&amp;"(H5442,IMPORTRANGE(""https://docs.google.com/spreadsheets/d/14Bd19lYaqBhU8_DElYkX7l4wRkHqqCUFNJY4AfY3kHU/edit?usp=sharing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5441" s="7" t="s">
        <v>12</v>
      </c>
    </row>
    <row r="5442" spans="1:10" ht="13.2">
      <c r="A5442" s="7">
        <v>5441</v>
      </c>
      <c r="B5442" s="7">
        <v>1</v>
      </c>
      <c r="C5442" s="7" t="s">
        <v>10</v>
      </c>
      <c r="D5442" s="7">
        <v>4345</v>
      </c>
      <c r="E5442" s="7" t="s">
        <v>13</v>
      </c>
      <c r="F5442" s="8" t="str">
        <f ca="1">IFERROR(__xludf.DUMMYFUNCTION("IF
(
C5443=""фізична особа""
,
VLOOKUP(D5443,IMPORTRANGE(""https://docs.google.com/spreadsheets/d/14Bd19lYaqBhU8_DElYkX7l4wRkHqqCUFNJY4AfY3kHU/edit?usp=sharing  #gid=0"",""фіз особи new!relations_name""),6,FALSE)
,
(IF
(
C5443=""юридична особа""
,
VLOOKUP"&amp;"(D5443,IMPORTRANGE(""https://docs.google.com/spreadsheets/d/14Bd19lYaqBhU8_DElYkX7l4wRkHqqCUFNJY4AfY3kHU/edit?usp=sharing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G5442" s="7" t="s">
        <v>10</v>
      </c>
      <c r="H5442" s="7">
        <v>4342</v>
      </c>
      <c r="I5442" s="8" t="str">
        <f ca="1">IFERROR(__xludf.DUMMYFUNCTION("IF
(
G5443=""фізична особа""
,
VLOOKUP(H5443,IMPORTRANGE(""https://docs.google.com/spreadsheets/d/14Bd19lYaqBhU8_DElYkX7l4wRkHqqCUFNJY4AfY3kHU/edit?usp=sharing  #gid=0"",""фіз особи new!relations_name""),6,FALSE)
,
(IF
(
G5443=""юридична особа""
,
VLOOKUP"&amp;"(H5443,IMPORTRANGE(""https://docs.google.com/spreadsheets/d/14Bd19lYaqBhU8_DElYkX7l4wRkHqqCUFNJY4AfY3kHU/edit?usp=sharing  #gid=0"",""фіз особи new!relations_name_uo""),7,FALSE)
,
)
))"),"ХАМЧІЄВА Разета Ібрагімівна")</f>
        <v>ХАМЧІЄВА Разета Ібрагімівна</v>
      </c>
      <c r="J5442" s="7" t="s">
        <v>21</v>
      </c>
    </row>
    <row r="5443" spans="1:10" ht="13.2">
      <c r="A5443" s="7">
        <v>5442</v>
      </c>
      <c r="B5443" s="7">
        <v>1</v>
      </c>
      <c r="C5443" s="7" t="s">
        <v>10</v>
      </c>
      <c r="D5443" s="7">
        <v>4345</v>
      </c>
      <c r="E5443" s="7" t="s">
        <v>31</v>
      </c>
      <c r="F5443" s="8" t="str">
        <f ca="1">IFERROR(__xludf.DUMMYFUNCTION("IF
(
C5444=""фізична особа""
,
VLOOKUP(D5444,IMPORTRANGE(""https://docs.google.com/spreadsheets/d/14Bd19lYaqBhU8_DElYkX7l4wRkHqqCUFNJY4AfY3kHU/edit?usp=sharing  #gid=0"",""фіз особи new!relations_name""),6,FALSE)
,
(IF
(
C5444=""юридична особа""
,
VLOOKUP"&amp;"(D5444,IMPORTRANGE(""https://docs.google.com/spreadsheets/d/14Bd19lYaqBhU8_DElYkX7l4wRkHqqCUFNJY4AfY3kHU/edit?usp=sharing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G5443" s="7" t="s">
        <v>10</v>
      </c>
      <c r="H5443" s="7">
        <v>4344</v>
      </c>
      <c r="I5443" s="8" t="str">
        <f ca="1">IFERROR(__xludf.DUMMYFUNCTION("IF
(
G5444=""фізична особа""
,
VLOOKUP(H5444,IMPORTRANGE(""https://docs.google.com/spreadsheets/d/14Bd19lYaqBhU8_DElYkX7l4wRkHqqCUFNJY4AfY3kHU/edit?usp=sharing  #gid=0"",""фіз особи new!relations_name""),6,FALSE)
,
(IF
(
G5444=""юридична особа""
,
VLOOKUP"&amp;"(H5444,IMPORTRANGE(""https://docs.google.com/spreadsheets/d/14Bd19lYaqBhU8_DElYkX7l4wRkHqqCUFNJY4AfY3kHU/edit?usp=sharing  #gid=0"",""фіз особи new!relations_name_uo""),7,FALSE)
,
)
))"),"ХАМЧІЄВ Асаб Бєланович")</f>
        <v>ХАМЧІЄВ Асаб Бєланович</v>
      </c>
      <c r="J5443" s="7" t="s">
        <v>18</v>
      </c>
    </row>
    <row r="5444" spans="1:10" ht="13.2">
      <c r="A5444" s="7">
        <v>5443</v>
      </c>
      <c r="B5444" s="7">
        <v>1</v>
      </c>
      <c r="C5444" s="7" t="s">
        <v>10</v>
      </c>
      <c r="D5444" s="7">
        <v>4345</v>
      </c>
      <c r="E5444" s="7" t="s">
        <v>31</v>
      </c>
      <c r="F5444" s="8" t="str">
        <f ca="1">IFERROR(__xludf.DUMMYFUNCTION("IF
(
C5445=""фізична особа""
,
VLOOKUP(D5445,IMPORTRANGE(""https://docs.google.com/spreadsheets/d/14Bd19lYaqBhU8_DElYkX7l4wRkHqqCUFNJY4AfY3kHU/edit?usp=sharing  #gid=0"",""фіз особи new!relations_name""),6,FALSE)
,
(IF
(
C5445=""юридична особа""
,
VLOOKUP"&amp;"(D5445,IMPORTRANGE(""https://docs.google.com/spreadsheets/d/14Bd19lYaqBhU8_DElYkX7l4wRkHqqCUFNJY4AfY3kHU/edit?usp=sharing  #gid=0"",""фіз особи new!relations_name_uo""),7,FALSE)
,
)
))"),"ХАМЧІЄВА Заліна Бєланівна")</f>
        <v>ХАМЧІЄВА Заліна Бєланівна</v>
      </c>
      <c r="G5444" s="7" t="s">
        <v>10</v>
      </c>
      <c r="H5444" s="7">
        <v>4343</v>
      </c>
      <c r="I5444" s="8" t="str">
        <f ca="1">IFERROR(__xludf.DUMMYFUNCTION("IF
(
G5445=""фізична особа""
,
VLOOKUP(H5445,IMPORTRANGE(""https://docs.google.com/spreadsheets/d/14Bd19lYaqBhU8_DElYkX7l4wRkHqqCUFNJY4AfY3kHU/edit?usp=sharing  #gid=0"",""фіз особи new!relations_name""),6,FALSE)
,
(IF
(
G5445=""юридична особа""
,
VLOOKUP"&amp;"(H5445,IMPORTRANGE(""https://docs.google.com/spreadsheets/d/14Bd19lYaqBhU8_DElYkX7l4wRkHqqCUFNJY4AfY3kHU/edit?usp=sharing  #gid=0"",""фіз особи new!relations_name_uo""),7,FALSE)
,
)
))"),"ХАМЧІЄВА Хакіма Бєланівна")</f>
        <v>ХАМЧІЄВА Хакіма Бєланівна</v>
      </c>
      <c r="J5444" s="7" t="s">
        <v>31</v>
      </c>
    </row>
    <row r="5445" spans="1:10" ht="13.2">
      <c r="A5445" s="7">
        <v>5444</v>
      </c>
      <c r="B5445" s="7">
        <v>1</v>
      </c>
      <c r="C5445" s="7" t="s">
        <v>10</v>
      </c>
      <c r="D5445" s="7">
        <v>4346</v>
      </c>
      <c r="E5445" s="7" t="s">
        <v>18</v>
      </c>
      <c r="F5445" s="8" t="str">
        <f ca="1">IFERROR(__xludf.DUMMYFUNCTION("IF
(
C5446=""фізична особа""
,
VLOOKUP(D5446,IMPORTRANGE(""https://docs.google.com/spreadsheets/d/14Bd19lYaqBhU8_DElYkX7l4wRkHqqCUFNJY4AfY3kHU/edit?usp=sharing  #gid=0"",""фіз особи new!relations_name""),6,FALSE)
,
(IF
(
C5446=""юридична особа""
,
VLOOKUP"&amp;"(D5446,IMPORTRANGE(""https://docs.google.com/spreadsheets/d/14Bd19lYaqBhU8_DElYkX7l4wRkHqqCUFNJY4AfY3kHU/edit?usp=sharing  #gid=0"",""фіз особи new!relations_name_uo""),7,FALSE)
,
)
))"),"ХАМЧІЄВ Бекхан Багаудінович")</f>
        <v>ХАМЧІЄВ Бекхан Багаудінович</v>
      </c>
      <c r="G5445" s="7" t="s">
        <v>10</v>
      </c>
      <c r="H5445" s="7">
        <v>133</v>
      </c>
      <c r="I5445" s="8" t="str">
        <f ca="1">IFERROR(__xludf.DUMMYFUNCTION("IF
(
G5446=""фізична особа""
,
VLOOKUP(H5446,IMPORTRANGE(""https://docs.google.com/spreadsheets/d/14Bd19lYaqBhU8_DElYkX7l4wRkHqqCUFNJY4AfY3kHU/edit?usp=sharing  #gid=0"",""фіз особи new!relations_name""),6,FALSE)
,
(IF
(
G5446=""юридична особа""
,
VLOOKUP"&amp;"(H5446,IMPORTRANGE(""https://docs.google.com/spreadsheets/d/14Bd19lYaqBhU8_DElYkX7l4wRkHqqCUFNJY4AfY3kHU/edit?usp=sharing  #gid=0"",""фіз особи new!relations_name_uo""),7,FALSE)
,
)
))"),"ХАМЧІЄВ Белан Багаудінович")</f>
        <v>ХАМЧІЄВ Белан Багаудінович</v>
      </c>
      <c r="J5445" s="7" t="s">
        <v>18</v>
      </c>
    </row>
    <row r="5446" spans="1:10" ht="13.2">
      <c r="A5446" s="7">
        <v>5445</v>
      </c>
      <c r="B5446" s="7">
        <v>1</v>
      </c>
      <c r="C5446" s="7" t="s">
        <v>10</v>
      </c>
      <c r="D5446" s="7">
        <v>4347</v>
      </c>
      <c r="E5446" s="7" t="s">
        <v>13</v>
      </c>
      <c r="F5446" s="8" t="str">
        <f ca="1">IFERROR(__xludf.DUMMYFUNCTION("IF
(
C5447=""фізична особа""
,
VLOOKUP(D5447,IMPORTRANGE(""https://docs.google.com/spreadsheets/d/14Bd19lYaqBhU8_DElYkX7l4wRkHqqCUFNJY4AfY3kHU/edit?usp=sharing  #gid=0"",""фіз особи new!relations_name""),6,FALSE)
,
(IF
(
C5447=""юридична особа""
,
VLOOKUP"&amp;"(D5447,IMPORTRANGE(""https://docs.google.com/spreadsheets/d/14Bd19lYaqBhU8_DElYkX7l4wRkHqqCUFNJY4AfY3kHU/edit?usp=sharing  #gid=0"",""фіз особи new!relations_name_uo""),7,FALSE)
,
)
))"),"НЕВЗОРОВА Олександра Борисівна")</f>
        <v>НЕВЗОРОВА Олександра Борисівна</v>
      </c>
      <c r="G5446" s="7" t="s">
        <v>10</v>
      </c>
      <c r="H5446" s="7">
        <v>139</v>
      </c>
      <c r="I5446" s="8" t="str">
        <f ca="1">IFERROR(__xludf.DUMMYFUNCTION("IF
(
G5447=""фізична особа""
,
VLOOKUP(H5447,IMPORTRANGE(""https://docs.google.com/spreadsheets/d/14Bd19lYaqBhU8_DElYkX7l4wRkHqqCUFNJY4AfY3kHU/edit?usp=sharing  #gid=0"",""фіз особи new!relations_name""),6,FALSE)
,
(IF
(
G5447=""юридична особа""
,
VLOOKUP"&amp;"(H5447,IMPORTRANGE(""https://docs.google.com/spreadsheets/d/14Bd19lYaqBhU8_DElYkX7l4wRkHqqCUFNJY4AfY3kHU/edit?usp=sharing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J5446" s="7" t="s">
        <v>12</v>
      </c>
    </row>
    <row r="5447" spans="1:10" ht="13.2">
      <c r="A5447" s="7">
        <v>5446</v>
      </c>
      <c r="B5447" s="7">
        <v>1</v>
      </c>
      <c r="C5447" s="7" t="s">
        <v>10</v>
      </c>
      <c r="D5447" s="7">
        <v>4347</v>
      </c>
      <c r="E5447" s="7" t="s">
        <v>31</v>
      </c>
      <c r="F5447" s="8" t="str">
        <f ca="1">IFERROR(__xludf.DUMMYFUNCTION("IF
(
C5448=""фізична особа""
,
VLOOKUP(D5448,IMPORTRANGE(""https://docs.google.com/spreadsheets/d/14Bd19lYaqBhU8_DElYkX7l4wRkHqqCUFNJY4AfY3kHU/edit?usp=sharing  #gid=0"",""фіз особи new!relations_name""),6,FALSE)
,
(IF
(
C5448=""юридична особа""
,
VLOOKUP"&amp;"(D5448,IMPORTRANGE(""https://docs.google.com/spreadsheets/d/14Bd19lYaqBhU8_DElYkX7l4wRkHqqCUFNJY4AfY3kHU/edit?usp=sharing  #gid=0"",""фіз особи new!relations_name_uo""),7,FALSE)
,
)
))"),"НЕВЗОРОВА Олександра Борисівна")</f>
        <v>НЕВЗОРОВА Олександра Борисівна</v>
      </c>
      <c r="G5447" s="7" t="s">
        <v>10</v>
      </c>
      <c r="H5447" s="7">
        <v>4348</v>
      </c>
      <c r="I5447" s="8" t="str">
        <f ca="1">IFERROR(__xludf.DUMMYFUNCTION("IF
(
G5448=""фізична особа""
,
VLOOKUP(H5448,IMPORTRANGE(""https://docs.google.com/spreadsheets/d/14Bd19lYaqBhU8_DElYkX7l4wRkHqqCUFNJY4AfY3kHU/edit?usp=sharing  #gid=0"",""фіз особи new!relations_name""),6,FALSE)
,
(IF
(
G5448=""юридична особа""
,
VLOOKUP"&amp;"(H5448,IMPORTRANGE(""https://docs.google.com/spreadsheets/d/14Bd19lYaqBhU8_DElYkX7l4wRkHqqCUFNJY4AfY3kHU/edit?usp=sharing  #gid=0"",""фіз особи new!relations_name_uo""),7,FALSE)
,
)
))"),"НЕВЗОРОВА Ганна Борисівна")</f>
        <v>НЕВЗОРОВА Ганна Борисівна</v>
      </c>
      <c r="J5447" s="7" t="s">
        <v>31</v>
      </c>
    </row>
    <row r="5448" spans="1:10" ht="13.2">
      <c r="A5448" s="7">
        <v>5447</v>
      </c>
      <c r="B5448" s="7">
        <v>1</v>
      </c>
      <c r="C5448" s="7" t="s">
        <v>10</v>
      </c>
      <c r="D5448" s="7">
        <v>4348</v>
      </c>
      <c r="E5448" s="7" t="s">
        <v>13</v>
      </c>
      <c r="F5448" s="8" t="str">
        <f ca="1">IFERROR(__xludf.DUMMYFUNCTION("IF
(
C5449=""фізична особа""
,
VLOOKUP(D5449,IMPORTRANGE(""https://docs.google.com/spreadsheets/d/14Bd19lYaqBhU8_DElYkX7l4wRkHqqCUFNJY4AfY3kHU/edit?usp=sharing  #gid=0"",""фіз особи new!relations_name""),6,FALSE)
,
(IF
(
C5449=""юридична особа""
,
VLOOKUP"&amp;"(D5449,IMPORTRANGE(""https://docs.google.com/spreadsheets/d/14Bd19lYaqBhU8_DElYkX7l4wRkHqqCUFNJY4AfY3kHU/edit?usp=sharing  #gid=0"",""фіз особи new!relations_name_uo""),7,FALSE)
,
)
))"),"НЕВЗОРОВА Ганна Борисівна")</f>
        <v>НЕВЗОРОВА Ганна Борисівна</v>
      </c>
      <c r="G5448" s="7" t="s">
        <v>10</v>
      </c>
      <c r="H5448" s="7">
        <v>139</v>
      </c>
      <c r="I5448" s="8" t="str">
        <f ca="1">IFERROR(__xludf.DUMMYFUNCTION("IF
(
G5449=""фізична особа""
,
VLOOKUP(H5449,IMPORTRANGE(""https://docs.google.com/spreadsheets/d/14Bd19lYaqBhU8_DElYkX7l4wRkHqqCUFNJY4AfY3kHU/edit?usp=sharing  #gid=0"",""фіз особи new!relations_name""),6,FALSE)
,
(IF
(
G5449=""юридична особа""
,
VLOOKUP"&amp;"(H5449,IMPORTRANGE(""https://docs.google.com/spreadsheets/d/14Bd19lYaqBhU8_DElYkX7l4wRkHqqCUFNJY4AfY3kHU/edit?usp=sharing  #gid=0"",""фіз особи new!relations_name_uo""),7,FALSE)
,
)
))"),"НЄВЗОРОВ Борис Олександрович")</f>
        <v>НЄВЗОРОВ Борис Олександрович</v>
      </c>
      <c r="J5448" s="7" t="s">
        <v>12</v>
      </c>
    </row>
    <row r="5449" spans="1:10" ht="13.2">
      <c r="A5449" s="7">
        <v>5448</v>
      </c>
      <c r="B5449" s="7">
        <v>1</v>
      </c>
      <c r="C5449" s="7" t="s">
        <v>10</v>
      </c>
      <c r="D5449" s="7">
        <v>4348</v>
      </c>
      <c r="E5449" s="7" t="s">
        <v>31</v>
      </c>
      <c r="F5449" s="8" t="str">
        <f ca="1">IFERROR(__xludf.DUMMYFUNCTION("IF
(
C5450=""фізична особа""
,
VLOOKUP(D5450,IMPORTRANGE(""https://docs.google.com/spreadsheets/d/14Bd19lYaqBhU8_DElYkX7l4wRkHqqCUFNJY4AfY3kHU/edit?usp=sharing  #gid=0"",""фіз особи new!relations_name""),6,FALSE)
,
(IF
(
C5450=""юридична особа""
,
VLOOKUP"&amp;"(D5450,IMPORTRANGE(""https://docs.google.com/spreadsheets/d/14Bd19lYaqBhU8_DElYkX7l4wRkHqqCUFNJY4AfY3kHU/edit?usp=sharing  #gid=0"",""фіз особи new!relations_name_uo""),7,FALSE)
,
)
))"),"НЕВЗОРОВА Ганна Борисівна")</f>
        <v>НЕВЗОРОВА Ганна Борисівна</v>
      </c>
      <c r="G5449" s="7" t="s">
        <v>10</v>
      </c>
      <c r="H5449" s="7">
        <v>4347</v>
      </c>
      <c r="I5449" s="8" t="str">
        <f ca="1">IFERROR(__xludf.DUMMYFUNCTION("IF
(
G5450=""фізична особа""
,
VLOOKUP(H5450,IMPORTRANGE(""https://docs.google.com/spreadsheets/d/14Bd19lYaqBhU8_DElYkX7l4wRkHqqCUFNJY4AfY3kHU/edit?usp=sharing  #gid=0"",""фіз особи new!relations_name""),6,FALSE)
,
(IF
(
G5450=""юридична особа""
,
VLOOKUP"&amp;"(H5450,IMPORTRANGE(""https://docs.google.com/spreadsheets/d/14Bd19lYaqBhU8_DElYkX7l4wRkHqqCUFNJY4AfY3kHU/edit?usp=sharing  #gid=0"",""фіз особи new!relations_name_uo""),7,FALSE)
,
)
))"),"НЕВЗОРОВА Олександра Борисівна")</f>
        <v>НЕВЗОРОВА Олександра Борисівна</v>
      </c>
      <c r="J5449" s="7" t="s">
        <v>31</v>
      </c>
    </row>
    <row r="5450" spans="1:10" ht="13.2">
      <c r="A5450" s="7">
        <v>5449</v>
      </c>
      <c r="B5450" s="7">
        <v>1</v>
      </c>
      <c r="C5450" s="7" t="s">
        <v>10</v>
      </c>
      <c r="D5450" s="7">
        <v>4349</v>
      </c>
      <c r="E5450" s="7" t="s">
        <v>21</v>
      </c>
      <c r="F5450" s="8" t="str">
        <f ca="1">IFERROR(__xludf.DUMMYFUNCTION("IF
(
C5451=""фізична особа""
,
VLOOKUP(D5451,IMPORTRANGE(""https://docs.google.com/spreadsheets/d/14Bd19lYaqBhU8_DElYkX7l4wRkHqqCUFNJY4AfY3kHU/edit?usp=sharing  #gid=0"",""фіз особи new!relations_name""),6,FALSE)
,
(IF
(
C5451=""юридична особа""
,
VLOOKUP"&amp;"(D5451,IMPORTRANGE(""https://docs.google.com/spreadsheets/d/14Bd19lYaqBhU8_DElYkX7l4wRkHqqCUFNJY4AfY3kHU/edit?usp=sharing  #gid=0"",""фіз особи new!relations_name_uo""),7,FALSE)
,
)
))"),"ГОРІЦЬКА Лідія Василівна")</f>
        <v>ГОРІЦЬКА Лідія Василівна</v>
      </c>
      <c r="G5450" s="7" t="s">
        <v>10</v>
      </c>
      <c r="H5450" s="7">
        <v>216</v>
      </c>
      <c r="I5450" s="8" t="str">
        <f ca="1">IFERROR(__xludf.DUMMYFUNCTION("IF
(
G5451=""фізична особа""
,
VLOOKUP(H5451,IMPORTRANGE(""https://docs.google.com/spreadsheets/d/14Bd19lYaqBhU8_DElYkX7l4wRkHqqCUFNJY4AfY3kHU/edit?usp=sharing  #gid=0"",""фіз особи new!relations_name""),6,FALSE)
,
(IF
(
G5451=""юридична особа""
,
VLOOKUP"&amp;"(H5451,IMPORTRANGE(""https://docs.google.com/spreadsheets/d/14Bd19lYaqBhU8_DElYkX7l4wRkHqqCUFNJY4AfY3kHU/edit?usp=sharing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J5450" s="7" t="s">
        <v>17</v>
      </c>
    </row>
    <row r="5451" spans="1:10" ht="13.2">
      <c r="A5451" s="7">
        <v>5450</v>
      </c>
      <c r="B5451" s="7">
        <v>1</v>
      </c>
      <c r="C5451" s="7" t="s">
        <v>10</v>
      </c>
      <c r="D5451" s="7">
        <v>4349</v>
      </c>
      <c r="E5451" s="7" t="s">
        <v>79</v>
      </c>
      <c r="F5451" s="8" t="str">
        <f ca="1">IFERROR(__xludf.DUMMYFUNCTION("IF
(
C5452=""фізична особа""
,
VLOOKUP(D5452,IMPORTRANGE(""https://docs.google.com/spreadsheets/d/14Bd19lYaqBhU8_DElYkX7l4wRkHqqCUFNJY4AfY3kHU/edit?usp=sharing  #gid=0"",""фіз особи new!relations_name""),6,FALSE)
,
(IF
(
C5452=""юридична особа""
,
VLOOKUP"&amp;"(D5452,IMPORTRANGE(""https://docs.google.com/spreadsheets/d/14Bd19lYaqBhU8_DElYkX7l4wRkHqqCUFNJY4AfY3kHU/edit?usp=sharing  #gid=0"",""фіз особи new!relations_name_uo""),7,FALSE)
,
)
))"),"ГОРІЦЬКА Лідія Василівна")</f>
        <v>ГОРІЦЬКА Лідія Василівна</v>
      </c>
      <c r="G5451" s="7" t="s">
        <v>10</v>
      </c>
      <c r="H5451" s="7">
        <v>4350</v>
      </c>
      <c r="I5451" s="8" t="str">
        <f ca="1">IFERROR(__xludf.DUMMYFUNCTION("IF
(
G5452=""фізична особа""
,
VLOOKUP(H5452,IMPORTRANGE(""https://docs.google.com/spreadsheets/d/14Bd19lYaqBhU8_DElYkX7l4wRkHqqCUFNJY4AfY3kHU/edit?usp=sharing  #gid=0"",""фіз особи new!relations_name""),6,FALSE)
,
(IF
(
G5452=""юридична особа""
,
VLOOKUP"&amp;"(H5452,IMPORTRANGE(""https://docs.google.com/spreadsheets/d/14Bd19lYaqBhU8_DElYkX7l4wRkHqqCUFNJY4AfY3kHU/edit?usp=sharing  #gid=0"",""фіз особи new!relations_name_uo""),7,FALSE)
,
)
))"),"ГОРІЦЬКА Анастасія Дмитрівна")</f>
        <v>ГОРІЦЬКА Анастасія Дмитрівна</v>
      </c>
      <c r="J5451" s="7" t="s">
        <v>60</v>
      </c>
    </row>
    <row r="5452" spans="1:10" ht="13.2">
      <c r="A5452" s="7">
        <v>5451</v>
      </c>
      <c r="B5452" s="7">
        <v>1</v>
      </c>
      <c r="C5452" s="7" t="s">
        <v>10</v>
      </c>
      <c r="D5452" s="7">
        <v>4350</v>
      </c>
      <c r="E5452" s="7" t="s">
        <v>13</v>
      </c>
      <c r="F5452" s="8" t="str">
        <f ca="1">IFERROR(__xludf.DUMMYFUNCTION("IF
(
C5453=""фізична особа""
,
VLOOKUP(D5453,IMPORTRANGE(""https://docs.google.com/spreadsheets/d/14Bd19lYaqBhU8_DElYkX7l4wRkHqqCUFNJY4AfY3kHU/edit?usp=sharing  #gid=0"",""фіз особи new!relations_name""),6,FALSE)
,
(IF
(
C5453=""юридична особа""
,
VLOOKUP"&amp;"(D5453,IMPORTRANGE(""https://docs.google.com/spreadsheets/d/14Bd19lYaqBhU8_DElYkX7l4wRkHqqCUFNJY4AfY3kHU/edit?usp=sharing  #gid=0"",""фіз особи new!relations_name_uo""),7,FALSE)
,
)
))"),"ГОРІЦЬКА Анастасія Дмитрівна")</f>
        <v>ГОРІЦЬКА Анастасія Дмитрівна</v>
      </c>
      <c r="G5452" s="7" t="s">
        <v>10</v>
      </c>
      <c r="H5452" s="7">
        <v>216</v>
      </c>
      <c r="I5452" s="8" t="str">
        <f ca="1">IFERROR(__xludf.DUMMYFUNCTION("IF
(
G5453=""фізична особа""
,
VLOOKUP(H5453,IMPORTRANGE(""https://docs.google.com/spreadsheets/d/14Bd19lYaqBhU8_DElYkX7l4wRkHqqCUFNJY4AfY3kHU/edit?usp=sharing  #gid=0"",""фіз особи new!relations_name""),6,FALSE)
,
(IF
(
G5453=""юридична особа""
,
VLOOKUP"&amp;"(H5453,IMPORTRANGE(""https://docs.google.com/spreadsheets/d/14Bd19lYaqBhU8_DElYkX7l4wRkHqqCUFNJY4AfY3kHU/edit?usp=sharing  #gid=0"",""фіз особи new!relations_name_uo""),7,FALSE)
,
)
))"),"ГОРІЦЬКИЙ Дмитро Юрійович")</f>
        <v>ГОРІЦЬКИЙ Дмитро Юрійович</v>
      </c>
      <c r="J5452" s="7" t="s">
        <v>12</v>
      </c>
    </row>
    <row r="5453" spans="1:10" ht="13.2">
      <c r="A5453" s="7">
        <v>5452</v>
      </c>
      <c r="B5453" s="7">
        <v>1</v>
      </c>
      <c r="C5453" s="7" t="s">
        <v>10</v>
      </c>
      <c r="D5453" s="7">
        <v>4350</v>
      </c>
      <c r="E5453" s="7" t="s">
        <v>60</v>
      </c>
      <c r="F5453" s="8" t="str">
        <f ca="1">IFERROR(__xludf.DUMMYFUNCTION("IF
(
C5454=""фізична особа""
,
VLOOKUP(D5454,IMPORTRANGE(""https://docs.google.com/spreadsheets/d/14Bd19lYaqBhU8_DElYkX7l4wRkHqqCUFNJY4AfY3kHU/edit?usp=sharing  #gid=0"",""фіз особи new!relations_name""),6,FALSE)
,
(IF
(
C5454=""юридична особа""
,
VLOOKUP"&amp;"(D5454,IMPORTRANGE(""https://docs.google.com/spreadsheets/d/14Bd19lYaqBhU8_DElYkX7l4wRkHqqCUFNJY4AfY3kHU/edit?usp=sharing  #gid=0"",""фіз особи new!relations_name_uo""),7,FALSE)
,
)
))"),"ГОРІЦЬКА Анастасія Дмитрівна")</f>
        <v>ГОРІЦЬКА Анастасія Дмитрівна</v>
      </c>
      <c r="G5453" s="7" t="s">
        <v>10</v>
      </c>
      <c r="H5453" s="7">
        <v>4349</v>
      </c>
      <c r="I5453" s="8" t="str">
        <f ca="1">IFERROR(__xludf.DUMMYFUNCTION("IF
(
G5454=""фізична особа""
,
VLOOKUP(H5454,IMPORTRANGE(""https://docs.google.com/spreadsheets/d/14Bd19lYaqBhU8_DElYkX7l4wRkHqqCUFNJY4AfY3kHU/edit?usp=sharing  #gid=0"",""фіз особи new!relations_name""),6,FALSE)
,
(IF
(
G5454=""юридична особа""
,
VLOOKUP"&amp;"(H5454,IMPORTRANGE(""https://docs.google.com/spreadsheets/d/14Bd19lYaqBhU8_DElYkX7l4wRkHqqCUFNJY4AfY3kHU/edit?usp=sharing  #gid=0"",""фіз особи new!relations_name_uo""),7,FALSE)
,
)
))"),"ГОРІЦЬКА Лідія Василівна")</f>
        <v>ГОРІЦЬКА Лідія Василівна</v>
      </c>
      <c r="J5453" s="7" t="s">
        <v>79</v>
      </c>
    </row>
    <row r="5454" spans="1:10" ht="13.2">
      <c r="A5454" s="7">
        <v>5453</v>
      </c>
      <c r="B5454" s="7">
        <v>1</v>
      </c>
      <c r="C5454" s="7" t="s">
        <v>10</v>
      </c>
      <c r="D5454" s="7">
        <v>4351</v>
      </c>
      <c r="E5454" s="7" t="s">
        <v>21</v>
      </c>
      <c r="F5454" s="8" t="str">
        <f ca="1">IFERROR(__xludf.DUMMYFUNCTION("IF
(
C5455=""фізична особа""
,
VLOOKUP(D5455,IMPORTRANGE(""https://docs.google.com/spreadsheets/d/14Bd19lYaqBhU8_DElYkX7l4wRkHqqCUFNJY4AfY3kHU/edit?usp=sharing  #gid=0"",""фіз особи new!relations_name""),6,FALSE)
,
(IF
(
C5455=""юридична особа""
,
VLOOKUP"&amp;"(D5455,IMPORTRANGE(""https://docs.google.com/spreadsheets/d/14Bd19lYaqBhU8_DElYkX7l4wRkHqqCUFNJY4AfY3kHU/edit?usp=sharing  #gid=0"",""фіз особи new!relations_name_uo""),7,FALSE)
,
)
))"),"ГОРІЦЬКА Гульнара Маратівна")</f>
        <v>ГОРІЦЬКА Гульнара Маратівна</v>
      </c>
      <c r="G5454" s="7" t="s">
        <v>10</v>
      </c>
      <c r="H5454" s="7">
        <v>4350</v>
      </c>
      <c r="I5454" s="8" t="str">
        <f ca="1">IFERROR(__xludf.DUMMYFUNCTION("IF
(
G5455=""фізична особа""
,
VLOOKUP(H5455,IMPORTRANGE(""https://docs.google.com/spreadsheets/d/14Bd19lYaqBhU8_DElYkX7l4wRkHqqCUFNJY4AfY3kHU/edit?usp=sharing  #gid=0"",""фіз особи new!relations_name""),6,FALSE)
,
(IF
(
G5455=""юридична особа""
,
VLOOKUP"&amp;"(H5455,IMPORTRANGE(""https://docs.google.com/spreadsheets/d/14Bd19lYaqBhU8_DElYkX7l4wRkHqqCUFNJY4AfY3kHU/edit?usp=sharing  #gid=0"",""фіз особи new!relations_name_uo""),7,FALSE)
,
)
))"),"ГОРІЦЬКА Анастасія Дмитрівна")</f>
        <v>ГОРІЦЬКА Анастасія Дмитрівна</v>
      </c>
      <c r="J5454" s="7" t="s">
        <v>13</v>
      </c>
    </row>
    <row r="5455" spans="1:10" ht="13.2">
      <c r="A5455" s="7">
        <v>5454</v>
      </c>
      <c r="B5455" s="7">
        <v>1</v>
      </c>
      <c r="C5455" s="7" t="s">
        <v>10</v>
      </c>
      <c r="D5455" s="7">
        <v>4352</v>
      </c>
      <c r="E5455" s="7" t="s">
        <v>15</v>
      </c>
      <c r="F5455" s="8" t="str">
        <f ca="1">IFERROR(__xludf.DUMMYFUNCTION("IF
(
C5456=""фізична особа""
,
VLOOKUP(D5456,IMPORTRANGE(""https://docs.google.com/spreadsheets/d/14Bd19lYaqBhU8_DElYkX7l4wRkHqqCUFNJY4AfY3kHU/edit?usp=sharing  #gid=0"",""фіз особи new!relations_name""),6,FALSE)
,
(IF
(
C5456=""юридична особа""
,
VLOOKUP"&amp;"(D5456,IMPORTRANGE(""https://docs.google.com/spreadsheets/d/14Bd19lYaqBhU8_DElYkX7l4wRkHqqCUFNJY4AfY3kHU/edit?usp=sharing  #gid=0"",""фіз особи new!relations_name_uo""),7,FALSE)
,
)
))"),"ІСАКОВА Альона")</f>
        <v>ІСАКОВА Альона</v>
      </c>
      <c r="G5455" s="7" t="s">
        <v>10</v>
      </c>
      <c r="H5455" s="7">
        <v>219</v>
      </c>
      <c r="I5455" s="8" t="str">
        <f ca="1">IFERROR(__xludf.DUMMYFUNCTION("IF
(
G5456=""фізична особа""
,
VLOOKUP(H5456,IMPORTRANGE(""https://docs.google.com/spreadsheets/d/14Bd19lYaqBhU8_DElYkX7l4wRkHqqCUFNJY4AfY3kHU/edit?usp=sharing  #gid=0"",""фіз особи new!relations_name""),6,FALSE)
,
(IF
(
G5456=""юридична особа""
,
VLOOKUP"&amp;"(H5456,IMPORTRANGE(""https://docs.google.com/spreadsheets/d/14Bd19lYaqBhU8_DElYkX7l4wRkHqqCUFNJY4AfY3kHU/edit?usp=sharing  #gid=0"",""фіз особи new!relations_name_uo""),7,FALSE)
,
)
))"),"ІСАКОВ Едуард Володимирович")</f>
        <v>ІСАКОВ Едуард Володимирович</v>
      </c>
      <c r="J5455" s="7" t="s">
        <v>14</v>
      </c>
    </row>
    <row r="5456" spans="1:10" ht="13.2">
      <c r="A5456" s="7">
        <v>5455</v>
      </c>
      <c r="B5456" s="7">
        <v>1</v>
      </c>
      <c r="C5456" s="7" t="s">
        <v>10</v>
      </c>
      <c r="D5456" s="7">
        <v>4353</v>
      </c>
      <c r="E5456" s="7" t="s">
        <v>15</v>
      </c>
      <c r="F5456" s="8" t="str">
        <f ca="1">IFERROR(__xludf.DUMMYFUNCTION("IF
(
C5457=""фізична особа""
,
VLOOKUP(D5457,IMPORTRANGE(""https://docs.google.com/spreadsheets/d/14Bd19lYaqBhU8_DElYkX7l4wRkHqqCUFNJY4AfY3kHU/edit?usp=sharing  #gid=0"",""фіз особи new!relations_name""),6,FALSE)
,
(IF
(
C5457=""юридична особа""
,
VLOOKUP"&amp;"(D5457,IMPORTRANGE(""https://docs.google.com/spreadsheets/d/14Bd19lYaqBhU8_DElYkX7l4wRkHqqCUFNJY4AfY3kHU/edit?usp=sharing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G5456" s="7" t="s">
        <v>10</v>
      </c>
      <c r="H5456" s="7">
        <v>248</v>
      </c>
      <c r="I5456" s="8" t="str">
        <f ca="1">IFERROR(__xludf.DUMMYFUNCTION("IF
(
G5457=""фізична особа""
,
VLOOKUP(H5457,IMPORTRANGE(""https://docs.google.com/spreadsheets/d/14Bd19lYaqBhU8_DElYkX7l4wRkHqqCUFNJY4AfY3kHU/edit?usp=sharing  #gid=0"",""фіз особи new!relations_name""),6,FALSE)
,
(IF
(
G5457=""юридична особа""
,
VLOOKUP"&amp;"(H5457,IMPORTRANGE(""https://docs.google.com/spreadsheets/d/14Bd19lYaqBhU8_DElYkX7l4wRkHqqCUFNJY4AfY3kHU/edit?usp=sharing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J5456" s="7" t="s">
        <v>14</v>
      </c>
    </row>
    <row r="5457" spans="1:10" ht="13.2">
      <c r="A5457" s="7">
        <v>5456</v>
      </c>
      <c r="B5457" s="7">
        <v>1</v>
      </c>
      <c r="C5457" s="7" t="s">
        <v>10</v>
      </c>
      <c r="D5457" s="7">
        <v>4353</v>
      </c>
      <c r="E5457" s="7" t="s">
        <v>21</v>
      </c>
      <c r="F5457" s="8" t="str">
        <f ca="1">IFERROR(__xludf.DUMMYFUNCTION("IF
(
C5458=""фізична особа""
,
VLOOKUP(D5458,IMPORTRANGE(""https://docs.google.com/spreadsheets/d/14Bd19lYaqBhU8_DElYkX7l4wRkHqqCUFNJY4AfY3kHU/edit?usp=sharing  #gid=0"",""фіз особи new!relations_name""),6,FALSE)
,
(IF
(
C5458=""юридична особа""
,
VLOOKUP"&amp;"(D5458,IMPORTRANGE(""https://docs.google.com/spreadsheets/d/14Bd19lYaqBhU8_DElYkX7l4wRkHqqCUFNJY4AfY3kHU/edit?usp=sharing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G5457" s="7" t="s">
        <v>10</v>
      </c>
      <c r="H5457" s="7">
        <v>4354</v>
      </c>
      <c r="I5457" s="8" t="str">
        <f ca="1">IFERROR(__xludf.DUMMYFUNCTION("IF
(
G5458=""фізична особа""
,
VLOOKUP(H5458,IMPORTRANGE(""https://docs.google.com/spreadsheets/d/14Bd19lYaqBhU8_DElYkX7l4wRkHqqCUFNJY4AfY3kHU/edit?usp=sharing  #gid=0"",""фіз особи new!relations_name""),6,FALSE)
,
(IF
(
G5458=""юридична особа""
,
VLOOKUP"&amp;"(H5458,IMPORTRANGE(""https://docs.google.com/spreadsheets/d/14Bd19lYaqBhU8_DElYkX7l4wRkHqqCUFNJY4AfY3kHU/edit?usp=sharing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J5457" s="7" t="s">
        <v>13</v>
      </c>
    </row>
    <row r="5458" spans="1:10" ht="13.2">
      <c r="A5458" s="7">
        <v>5457</v>
      </c>
      <c r="B5458" s="7">
        <v>1</v>
      </c>
      <c r="C5458" s="7" t="s">
        <v>10</v>
      </c>
      <c r="D5458" s="7">
        <v>4353</v>
      </c>
      <c r="E5458" s="7" t="s">
        <v>21</v>
      </c>
      <c r="F5458" s="8" t="str">
        <f ca="1">IFERROR(__xludf.DUMMYFUNCTION("IF
(
C5459=""фізична особа""
,
VLOOKUP(D5459,IMPORTRANGE(""https://docs.google.com/spreadsheets/d/14Bd19lYaqBhU8_DElYkX7l4wRkHqqCUFNJY4AfY3kHU/edit?usp=sharing  #gid=0"",""фіз особи new!relations_name""),6,FALSE)
,
(IF
(
C5459=""юридична особа""
,
VLOOKUP"&amp;"(D5459,IMPORTRANGE(""https://docs.google.com/spreadsheets/d/14Bd19lYaqBhU8_DElYkX7l4wRkHqqCUFNJY4AfY3kHU/edit?usp=sharing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G5458" s="7" t="s">
        <v>10</v>
      </c>
      <c r="H5458" s="7">
        <v>4355</v>
      </c>
      <c r="I5458" s="8" t="str">
        <f ca="1">IFERROR(__xludf.DUMMYFUNCTION("IF
(
G5459=""фізична особа""
,
VLOOKUP(H5459,IMPORTRANGE(""https://docs.google.com/spreadsheets/d/14Bd19lYaqBhU8_DElYkX7l4wRkHqqCUFNJY4AfY3kHU/edit?usp=sharing  #gid=0"",""фіз особи new!relations_name""),6,FALSE)
,
(IF
(
G5459=""юридична особа""
,
VLOOKUP"&amp;"(H5459,IMPORTRANGE(""https://docs.google.com/spreadsheets/d/14Bd19lYaqBhU8_DElYkX7l4wRkHqqCUFNJY4AfY3kHU/edit?usp=sharing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J5458" s="7" t="s">
        <v>13</v>
      </c>
    </row>
    <row r="5459" spans="1:10" ht="13.2">
      <c r="A5459" s="7">
        <v>5458</v>
      </c>
      <c r="B5459" s="7">
        <v>1</v>
      </c>
      <c r="C5459" s="7" t="s">
        <v>10</v>
      </c>
      <c r="D5459" s="7">
        <v>4353</v>
      </c>
      <c r="E5459" s="7" t="s">
        <v>45</v>
      </c>
      <c r="F5459" s="8" t="str">
        <f ca="1">IFERROR(__xludf.DUMMYFUNCTION("IF
(
C5460=""фізична особа""
,
VLOOKUP(D5460,IMPORTRANGE(""https://docs.google.com/spreadsheets/d/14Bd19lYaqBhU8_DElYkX7l4wRkHqqCUFNJY4AfY3kHU/edit?usp=sharing  #gid=0"",""фіз особи new!relations_name""),6,FALSE)
,
(IF
(
C5460=""юридична особа""
,
VLOOKUP"&amp;"(D5460,IMPORTRANGE(""https://docs.google.com/spreadsheets/d/14Bd19lYaqBhU8_DElYkX7l4wRkHqqCUFNJY4AfY3kHU/edit?usp=sharing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G5459" s="7" t="s">
        <v>10</v>
      </c>
      <c r="H5459" s="7">
        <v>4356</v>
      </c>
      <c r="I5459" s="8" t="str">
        <f ca="1">IFERROR(__xludf.DUMMYFUNCTION("IF
(
G5460=""фізична особа""
,
VLOOKUP(H5460,IMPORTRANGE(""https://docs.google.com/spreadsheets/d/14Bd19lYaqBhU8_DElYkX7l4wRkHqqCUFNJY4AfY3kHU/edit?usp=sharing  #gid=0"",""фіз особи new!relations_name""),6,FALSE)
,
(IF
(
G5460=""юридична особа""
,
VLOOKUP"&amp;"(H5460,IMPORTRANGE(""https://docs.google.com/spreadsheets/d/14Bd19lYaqBhU8_DElYkX7l4wRkHqqCUFNJY4AfY3kHU/edit?usp=sharing  #gid=0"",""фіз особи new!relations_name_uo""),7,FALSE)
,
)
))"),"САВЧЕНКО Михайло Олександрович")</f>
        <v>САВЧЕНКО Михайло Олександрович</v>
      </c>
      <c r="J5459" s="7" t="s">
        <v>20</v>
      </c>
    </row>
    <row r="5460" spans="1:10" ht="13.2">
      <c r="A5460" s="7">
        <v>5459</v>
      </c>
      <c r="B5460" s="7">
        <v>1</v>
      </c>
      <c r="C5460" s="7" t="s">
        <v>10</v>
      </c>
      <c r="D5460" s="7">
        <v>4354</v>
      </c>
      <c r="E5460" s="7" t="s">
        <v>13</v>
      </c>
      <c r="F5460" s="8" t="str">
        <f ca="1">IFERROR(__xludf.DUMMYFUNCTION("IF
(
C5461=""фізична особа""
,
VLOOKUP(D5461,IMPORTRANGE(""https://docs.google.com/spreadsheets/d/14Bd19lYaqBhU8_DElYkX7l4wRkHqqCUFNJY4AfY3kHU/edit?usp=sharing  #gid=0"",""фіз особи new!relations_name""),6,FALSE)
,
(IF
(
C5461=""юридична особа""
,
VLOOKUP"&amp;"(D5461,IMPORTRANGE(""https://docs.google.com/spreadsheets/d/14Bd19lYaqBhU8_DElYkX7l4wRkHqqCUFNJY4AfY3kHU/edit?usp=sharing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G5460" s="7" t="s">
        <v>10</v>
      </c>
      <c r="H5460" s="7">
        <v>248</v>
      </c>
      <c r="I5460" s="8" t="str">
        <f ca="1">IFERROR(__xludf.DUMMYFUNCTION("IF
(
G5461=""фізична особа""
,
VLOOKUP(H5461,IMPORTRANGE(""https://docs.google.com/spreadsheets/d/14Bd19lYaqBhU8_DElYkX7l4wRkHqqCUFNJY4AfY3kHU/edit?usp=sharing  #gid=0"",""фіз особи new!relations_name""),6,FALSE)
,
(IF
(
G5461=""юридична особа""
,
VLOOKUP"&amp;"(H5461,IMPORTRANGE(""https://docs.google.com/spreadsheets/d/14Bd19lYaqBhU8_DElYkX7l4wRkHqqCUFNJY4AfY3kHU/edit?usp=sharing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J5460" s="7" t="s">
        <v>12</v>
      </c>
    </row>
    <row r="5461" spans="1:10" ht="13.2">
      <c r="A5461" s="7">
        <v>5460</v>
      </c>
      <c r="B5461" s="7">
        <v>1</v>
      </c>
      <c r="C5461" s="7" t="s">
        <v>10</v>
      </c>
      <c r="D5461" s="7">
        <v>4354</v>
      </c>
      <c r="E5461" s="7" t="s">
        <v>13</v>
      </c>
      <c r="F5461" s="8" t="str">
        <f ca="1">IFERROR(__xludf.DUMMYFUNCTION("IF
(
C5462=""фізична особа""
,
VLOOKUP(D5462,IMPORTRANGE(""https://docs.google.com/spreadsheets/d/14Bd19lYaqBhU8_DElYkX7l4wRkHqqCUFNJY4AfY3kHU/edit?usp=sharing  #gid=0"",""фіз особи new!relations_name""),6,FALSE)
,
(IF
(
C5462=""юридична особа""
,
VLOOKUP"&amp;"(D5462,IMPORTRANGE(""https://docs.google.com/spreadsheets/d/14Bd19lYaqBhU8_DElYkX7l4wRkHqqCUFNJY4AfY3kHU/edit?usp=sharing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G5461" s="7" t="s">
        <v>10</v>
      </c>
      <c r="H5461" s="7">
        <v>4353</v>
      </c>
      <c r="I5461" s="8" t="str">
        <f ca="1">IFERROR(__xludf.DUMMYFUNCTION("IF
(
G5462=""фізична особа""
,
VLOOKUP(H5462,IMPORTRANGE(""https://docs.google.com/spreadsheets/d/14Bd19lYaqBhU8_DElYkX7l4wRkHqqCUFNJY4AfY3kHU/edit?usp=sharing  #gid=0"",""фіз особи new!relations_name""),6,FALSE)
,
(IF
(
G5462=""юридична особа""
,
VLOOKUP"&amp;"(H5462,IMPORTRANGE(""https://docs.google.com/spreadsheets/d/14Bd19lYaqBhU8_DElYkX7l4wRkHqqCUFNJY4AfY3kHU/edit?usp=sharing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J5461" s="7" t="s">
        <v>21</v>
      </c>
    </row>
    <row r="5462" spans="1:10" ht="13.2">
      <c r="A5462" s="7">
        <v>5461</v>
      </c>
      <c r="B5462" s="7">
        <v>1</v>
      </c>
      <c r="C5462" s="7" t="s">
        <v>10</v>
      </c>
      <c r="D5462" s="7">
        <v>4354</v>
      </c>
      <c r="E5462" s="7" t="s">
        <v>31</v>
      </c>
      <c r="F5462" s="8" t="str">
        <f ca="1">IFERROR(__xludf.DUMMYFUNCTION("IF
(
C5463=""фізична особа""
,
VLOOKUP(D5463,IMPORTRANGE(""https://docs.google.com/spreadsheets/d/14Bd19lYaqBhU8_DElYkX7l4wRkHqqCUFNJY4AfY3kHU/edit?usp=sharing  #gid=0"",""фіз особи new!relations_name""),6,FALSE)
,
(IF
(
C5463=""юридична особа""
,
VLOOKUP"&amp;"(D5463,IMPORTRANGE(""https://docs.google.com/spreadsheets/d/14Bd19lYaqBhU8_DElYkX7l4wRkHqqCUFNJY4AfY3kHU/edit?usp=sharing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G5462" s="7" t="s">
        <v>10</v>
      </c>
      <c r="H5462" s="7">
        <v>4355</v>
      </c>
      <c r="I5462" s="8" t="str">
        <f ca="1">IFERROR(__xludf.DUMMYFUNCTION("IF
(
G5463=""фізична особа""
,
VLOOKUP(H5463,IMPORTRANGE(""https://docs.google.com/spreadsheets/d/14Bd19lYaqBhU8_DElYkX7l4wRkHqqCUFNJY4AfY3kHU/edit?usp=sharing  #gid=0"",""фіз особи new!relations_name""),6,FALSE)
,
(IF
(
G5463=""юридична особа""
,
VLOOKUP"&amp;"(H5463,IMPORTRANGE(""https://docs.google.com/spreadsheets/d/14Bd19lYaqBhU8_DElYkX7l4wRkHqqCUFNJY4AfY3kHU/edit?usp=sharing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J5462" s="7" t="s">
        <v>31</v>
      </c>
    </row>
    <row r="5463" spans="1:10" ht="13.2">
      <c r="A5463" s="7">
        <v>5462</v>
      </c>
      <c r="B5463" s="7">
        <v>1</v>
      </c>
      <c r="C5463" s="7" t="s">
        <v>10</v>
      </c>
      <c r="D5463" s="7">
        <v>4355</v>
      </c>
      <c r="E5463" s="7" t="s">
        <v>13</v>
      </c>
      <c r="F5463" s="8" t="str">
        <f ca="1">IFERROR(__xludf.DUMMYFUNCTION("IF
(
C5464=""фізична особа""
,
VLOOKUP(D5464,IMPORTRANGE(""https://docs.google.com/spreadsheets/d/14Bd19lYaqBhU8_DElYkX7l4wRkHqqCUFNJY4AfY3kHU/edit?usp=sharing  #gid=0"",""фіз особи new!relations_name""),6,FALSE)
,
(IF
(
C5464=""юридична особа""
,
VLOOKUP"&amp;"(D5464,IMPORTRANGE(""https://docs.google.com/spreadsheets/d/14Bd19lYaqBhU8_DElYkX7l4wRkHqqCUFNJY4AfY3kHU/edit?usp=sharing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G5463" s="7" t="s">
        <v>10</v>
      </c>
      <c r="H5463" s="7">
        <v>248</v>
      </c>
      <c r="I5463" s="8" t="str">
        <f ca="1">IFERROR(__xludf.DUMMYFUNCTION("IF
(
G5464=""фізична особа""
,
VLOOKUP(H5464,IMPORTRANGE(""https://docs.google.com/spreadsheets/d/14Bd19lYaqBhU8_DElYkX7l4wRkHqqCUFNJY4AfY3kHU/edit?usp=sharing  #gid=0"",""фіз особи new!relations_name""),6,FALSE)
,
(IF
(
G5464=""юридична особа""
,
VLOOKUP"&amp;"(H5464,IMPORTRANGE(""https://docs.google.com/spreadsheets/d/14Bd19lYaqBhU8_DElYkX7l4wRkHqqCUFNJY4AfY3kHU/edit?usp=sharing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J5463" s="7" t="s">
        <v>12</v>
      </c>
    </row>
    <row r="5464" spans="1:10" ht="13.2">
      <c r="A5464" s="7">
        <v>5463</v>
      </c>
      <c r="B5464" s="7">
        <v>1</v>
      </c>
      <c r="C5464" s="7" t="s">
        <v>10</v>
      </c>
      <c r="D5464" s="7">
        <v>4355</v>
      </c>
      <c r="E5464" s="7" t="s">
        <v>13</v>
      </c>
      <c r="F5464" s="8" t="str">
        <f ca="1">IFERROR(__xludf.DUMMYFUNCTION("IF
(
C5465=""фізична особа""
,
VLOOKUP(D5465,IMPORTRANGE(""https://docs.google.com/spreadsheets/d/14Bd19lYaqBhU8_DElYkX7l4wRkHqqCUFNJY4AfY3kHU/edit?usp=sharing  #gid=0"",""фіз особи new!relations_name""),6,FALSE)
,
(IF
(
C5465=""юридична особа""
,
VLOOKUP"&amp;"(D5465,IMPORTRANGE(""https://docs.google.com/spreadsheets/d/14Bd19lYaqBhU8_DElYkX7l4wRkHqqCUFNJY4AfY3kHU/edit?usp=sharing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G5464" s="7" t="s">
        <v>10</v>
      </c>
      <c r="H5464" s="7">
        <v>4353</v>
      </c>
      <c r="I5464" s="8" t="str">
        <f ca="1">IFERROR(__xludf.DUMMYFUNCTION("IF
(
G5465=""фізична особа""
,
VLOOKUP(H5465,IMPORTRANGE(""https://docs.google.com/spreadsheets/d/14Bd19lYaqBhU8_DElYkX7l4wRkHqqCUFNJY4AfY3kHU/edit?usp=sharing  #gid=0"",""фіз особи new!relations_name""),6,FALSE)
,
(IF
(
G5465=""юридична особа""
,
VLOOKUP"&amp;"(H5465,IMPORTRANGE(""https://docs.google.com/spreadsheets/d/14Bd19lYaqBhU8_DElYkX7l4wRkHqqCUFNJY4AfY3kHU/edit?usp=sharing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J5464" s="7" t="s">
        <v>21</v>
      </c>
    </row>
    <row r="5465" spans="1:10" ht="13.2">
      <c r="A5465" s="7">
        <v>5464</v>
      </c>
      <c r="B5465" s="7">
        <v>1</v>
      </c>
      <c r="C5465" s="7" t="s">
        <v>10</v>
      </c>
      <c r="D5465" s="7">
        <v>4355</v>
      </c>
      <c r="E5465" s="7" t="s">
        <v>31</v>
      </c>
      <c r="F5465" s="8" t="str">
        <f ca="1">IFERROR(__xludf.DUMMYFUNCTION("IF
(
C5466=""фізична особа""
,
VLOOKUP(D5466,IMPORTRANGE(""https://docs.google.com/spreadsheets/d/14Bd19lYaqBhU8_DElYkX7l4wRkHqqCUFNJY4AfY3kHU/edit?usp=sharing  #gid=0"",""фіз особи new!relations_name""),6,FALSE)
,
(IF
(
C5466=""юридична особа""
,
VLOOKUP"&amp;"(D5466,IMPORTRANGE(""https://docs.google.com/spreadsheets/d/14Bd19lYaqBhU8_DElYkX7l4wRkHqqCUFNJY4AfY3kHU/edit?usp=sharing  #gid=0"",""фіз особи new!relations_name_uo""),7,FALSE)
,
)
))"),"САВЧЕНКО Тетяна Євгенівна")</f>
        <v>САВЧЕНКО Тетяна Євгенівна</v>
      </c>
      <c r="G5465" s="7" t="s">
        <v>10</v>
      </c>
      <c r="H5465" s="7">
        <v>4354</v>
      </c>
      <c r="I5465" s="8" t="str">
        <f ca="1">IFERROR(__xludf.DUMMYFUNCTION("IF
(
G5466=""фізична особа""
,
VLOOKUP(H5466,IMPORTRANGE(""https://docs.google.com/spreadsheets/d/14Bd19lYaqBhU8_DElYkX7l4wRkHqqCUFNJY4AfY3kHU/edit?usp=sharing  #gid=0"",""фіз особи new!relations_name""),6,FALSE)
,
(IF
(
G5466=""юридична особа""
,
VLOOKUP"&amp;"(H5466,IMPORTRANGE(""https://docs.google.com/spreadsheets/d/14Bd19lYaqBhU8_DElYkX7l4wRkHqqCUFNJY4AfY3kHU/edit?usp=sharing  #gid=0"",""фіз особи new!relations_name_uo""),7,FALSE)
,
)
))"),"САВЧЕНКО Ольга Євгенівна")</f>
        <v>САВЧЕНКО Ольга Євгенівна</v>
      </c>
      <c r="J5465" s="7" t="s">
        <v>31</v>
      </c>
    </row>
    <row r="5466" spans="1:10" ht="13.2">
      <c r="A5466" s="7">
        <v>5465</v>
      </c>
      <c r="B5466" s="7">
        <v>1</v>
      </c>
      <c r="C5466" s="7" t="s">
        <v>10</v>
      </c>
      <c r="D5466" s="7">
        <v>4356</v>
      </c>
      <c r="E5466" s="7" t="s">
        <v>20</v>
      </c>
      <c r="F5466" s="8" t="str">
        <f ca="1">IFERROR(__xludf.DUMMYFUNCTION("IF
(
C5467=""фізична особа""
,
VLOOKUP(D5467,IMPORTRANGE(""https://docs.google.com/spreadsheets/d/14Bd19lYaqBhU8_DElYkX7l4wRkHqqCUFNJY4AfY3kHU/edit?usp=sharing  #gid=0"",""фіз особи new!relations_name""),6,FALSE)
,
(IF
(
C5467=""юридична особа""
,
VLOOKUP"&amp;"(D5467,IMPORTRANGE(""https://docs.google.com/spreadsheets/d/14Bd19lYaqBhU8_DElYkX7l4wRkHqqCUFNJY4AfY3kHU/edit?usp=sharing  #gid=0"",""фіз особи new!relations_name_uo""),7,FALSE)
,
)
))"),"САВЧЕНКО Михайло Олександрович")</f>
        <v>САВЧЕНКО Михайло Олександрович</v>
      </c>
      <c r="G5466" s="7" t="s">
        <v>10</v>
      </c>
      <c r="H5466" s="7">
        <v>248</v>
      </c>
      <c r="I5466" s="8" t="str">
        <f ca="1">IFERROR(__xludf.DUMMYFUNCTION("IF
(
G5467=""фізична особа""
,
VLOOKUP(H5467,IMPORTRANGE(""https://docs.google.com/spreadsheets/d/14Bd19lYaqBhU8_DElYkX7l4wRkHqqCUFNJY4AfY3kHU/edit?usp=sharing  #gid=0"",""фіз особи new!relations_name""),6,FALSE)
,
(IF
(
G5467=""юридична особа""
,
VLOOKUP"&amp;"(H5467,IMPORTRANGE(""https://docs.google.com/spreadsheets/d/14Bd19lYaqBhU8_DElYkX7l4wRkHqqCUFNJY4AfY3kHU/edit?usp=sharing  #gid=0"",""фіз особи new!relations_name_uo""),7,FALSE)
,
)
))"),"САВЧЕНКО Євген Степанович")</f>
        <v>САВЧЕНКО Євген Степанович</v>
      </c>
      <c r="J5466" s="7" t="s">
        <v>19</v>
      </c>
    </row>
    <row r="5467" spans="1:10" ht="13.2">
      <c r="A5467" s="7">
        <v>5466</v>
      </c>
      <c r="B5467" s="7">
        <v>1</v>
      </c>
      <c r="C5467" s="7" t="s">
        <v>10</v>
      </c>
      <c r="D5467" s="7">
        <v>4356</v>
      </c>
      <c r="E5467" s="7" t="s">
        <v>20</v>
      </c>
      <c r="F5467" s="8" t="str">
        <f ca="1">IFERROR(__xludf.DUMMYFUNCTION("IF
(
C5468=""фізична особа""
,
VLOOKUP(D5468,IMPORTRANGE(""https://docs.google.com/spreadsheets/d/14Bd19lYaqBhU8_DElYkX7l4wRkHqqCUFNJY4AfY3kHU/edit?usp=sharing  #gid=0"",""фіз особи new!relations_name""),6,FALSE)
,
(IF
(
C5468=""юридична особа""
,
VLOOKUP"&amp;"(D5468,IMPORTRANGE(""https://docs.google.com/spreadsheets/d/14Bd19lYaqBhU8_DElYkX7l4wRkHqqCUFNJY4AfY3kHU/edit?usp=sharing  #gid=0"",""фіз особи new!relations_name_uo""),7,FALSE)
,
)
))"),"САВЧЕНКО Михайло Олександрович")</f>
        <v>САВЧЕНКО Михайло Олександрович</v>
      </c>
      <c r="G5467" s="7" t="s">
        <v>10</v>
      </c>
      <c r="H5467" s="7">
        <v>4353</v>
      </c>
      <c r="I5467" s="8" t="str">
        <f ca="1">IFERROR(__xludf.DUMMYFUNCTION("IF
(
G5468=""фізична особа""
,
VLOOKUP(H5468,IMPORTRANGE(""https://docs.google.com/spreadsheets/d/14Bd19lYaqBhU8_DElYkX7l4wRkHqqCUFNJY4AfY3kHU/edit?usp=sharing  #gid=0"",""фіз особи new!relations_name""),6,FALSE)
,
(IF
(
G5468=""юридична особа""
,
VLOOKUP"&amp;"(H5468,IMPORTRANGE(""https://docs.google.com/spreadsheets/d/14Bd19lYaqBhU8_DElYkX7l4wRkHqqCUFNJY4AfY3kHU/edit?usp=sharing  #gid=0"",""фіз особи new!relations_name_uo""),7,FALSE)
,
)
))"),"САВЧЕНКО Надія Миколаївна")</f>
        <v>САВЧЕНКО Надія Миколаївна</v>
      </c>
      <c r="J5467" s="7" t="s">
        <v>45</v>
      </c>
    </row>
    <row r="5468" spans="1:10" ht="13.2">
      <c r="A5468" s="7">
        <v>5467</v>
      </c>
      <c r="B5468" s="7">
        <v>1</v>
      </c>
      <c r="C5468" s="7" t="s">
        <v>10</v>
      </c>
      <c r="D5468" s="7">
        <v>4357</v>
      </c>
      <c r="E5468" s="7" t="s">
        <v>12</v>
      </c>
      <c r="F5468" s="8" t="str">
        <f ca="1">IFERROR(__xludf.DUMMYFUNCTION("IF
(
C5469=""фізична особа""
,
VLOOKUP(D5469,IMPORTRANGE(""https://docs.google.com/spreadsheets/d/14Bd19lYaqBhU8_DElYkX7l4wRkHqqCUFNJY4AfY3kHU/edit?usp=sharing  #gid=0"",""фіз особи new!relations_name""),6,FALSE)
,
(IF
(
C5469=""юридична особа""
,
VLOOKUP"&amp;"(D5469,IMPORTRANGE(""https://docs.google.com/spreadsheets/d/14Bd19lYaqBhU8_DElYkX7l4wRkHqqCUFNJY4AfY3kHU/edit?usp=sharing  #gid=0"",""фіз особи new!relations_name_uo""),7,FALSE)
,
)
))"),"МУХАМЕТШИН Марат Фарітович")</f>
        <v>МУХАМЕТШИН Марат Фарітович</v>
      </c>
      <c r="G5468" s="7" t="s">
        <v>10</v>
      </c>
      <c r="H5468" s="7">
        <v>252</v>
      </c>
      <c r="I5468" s="8" t="str">
        <f ca="1">IFERROR(__xludf.DUMMYFUNCTION("IF
(
G5469=""фізична особа""
,
VLOOKUP(H5469,IMPORTRANGE(""https://docs.google.com/spreadsheets/d/14Bd19lYaqBhU8_DElYkX7l4wRkHqqCUFNJY4AfY3kHU/edit?usp=sharing  #gid=0"",""фіз особи new!relations_name""),6,FALSE)
,
(IF
(
G5469=""юридична особа""
,
VLOOKUP"&amp;"(H5469,IMPORTRANGE(""https://docs.google.com/spreadsheets/d/14Bd19lYaqBhU8_DElYkX7l4wRkHqqCUFNJY4AfY3kHU/edit?usp=sharing  #gid=0"",""фіз особи new!relations_name_uo""),7,FALSE)
,
)
))"),"МУХАМЕТШИН Фаріт Мубаракшович")</f>
        <v>МУХАМЕТШИН Фаріт Мубаракшович</v>
      </c>
      <c r="J5468" s="7" t="s">
        <v>17</v>
      </c>
    </row>
    <row r="5469" spans="1:10" ht="13.2">
      <c r="A5469" s="7">
        <v>5468</v>
      </c>
      <c r="B5469" s="7">
        <v>1</v>
      </c>
      <c r="C5469" s="7" t="s">
        <v>10</v>
      </c>
      <c r="D5469" s="7">
        <v>4358</v>
      </c>
      <c r="E5469" s="7" t="s">
        <v>17</v>
      </c>
      <c r="F5469" s="8" t="str">
        <f ca="1">IFERROR(__xludf.DUMMYFUNCTION("IF
(
C5470=""фізична особа""
,
VLOOKUP(D5470,IMPORTRANGE(""https://docs.google.com/spreadsheets/d/14Bd19lYaqBhU8_DElYkX7l4wRkHqqCUFNJY4AfY3kHU/edit?usp=sharing  #gid=0"",""фіз особи new!relations_name""),6,FALSE)
,
(IF
(
C5470=""юридична особа""
,
VLOOKUP"&amp;"(D5470,IMPORTRANGE(""https://docs.google.com/spreadsheets/d/14Bd19lYaqBhU8_DElYkX7l4wRkHqqCUFNJY4AfY3kHU/edit?usp=sharing  #gid=0"",""фіз особи new!relations_name_uo""),7,FALSE)
,
)
))"),"КАРЕЛОВ Євгеній Олександрович")</f>
        <v>КАРЕЛОВ Євгеній Олександрович</v>
      </c>
      <c r="G5469" s="7" t="s">
        <v>10</v>
      </c>
      <c r="H5469" s="7">
        <v>261</v>
      </c>
      <c r="I5469" s="8" t="str">
        <f ca="1">IFERROR(__xludf.DUMMYFUNCTION("IF
(
G5470=""фізична особа""
,
VLOOKUP(H5470,IMPORTRANGE(""https://docs.google.com/spreadsheets/d/14Bd19lYaqBhU8_DElYkX7l4wRkHqqCUFNJY4AfY3kHU/edit?usp=sharing  #gid=0"",""фіз особи new!relations_name""),6,FALSE)
,
(IF
(
G5470=""юридична особа""
,
VLOOKUP"&amp;"(H5470,IMPORTRANGE(""https://docs.google.com/spreadsheets/d/14Bd19lYaqBhU8_DElYkX7l4wRkHqqCUFNJY4AfY3kHU/edit?usp=sharing  #gid=0"",""фіз особи new!relations_name_uo""),7,FALSE)
,
)
))"),"КАРЄЛОВА Галина Миколаївна")</f>
        <v>КАРЄЛОВА Галина Миколаївна</v>
      </c>
      <c r="J5469" s="7" t="s">
        <v>21</v>
      </c>
    </row>
    <row r="5470" spans="1:10" ht="13.2">
      <c r="A5470" s="7">
        <v>5469</v>
      </c>
      <c r="B5470" s="7">
        <v>1</v>
      </c>
      <c r="C5470" s="7" t="s">
        <v>10</v>
      </c>
      <c r="D5470" s="7">
        <v>4359</v>
      </c>
      <c r="E5470" s="7" t="s">
        <v>15</v>
      </c>
      <c r="F5470" s="8" t="str">
        <f ca="1">IFERROR(__xludf.DUMMYFUNCTION("IF
(
C5471=""фізична особа""
,
VLOOKUP(D5471,IMPORTRANGE(""https://docs.google.com/spreadsheets/d/14Bd19lYaqBhU8_DElYkX7l4wRkHqqCUFNJY4AfY3kHU/edit?usp=sharing  #gid=0"",""фіз особи new!relations_name""),6,FALSE)
,
(IF
(
C5471=""юридична особа""
,
VLOOKUP"&amp;"(D5471,IMPORTRANGE(""https://docs.google.com/spreadsheets/d/14Bd19lYaqBhU8_DElYkX7l4wRkHqqCUFNJY4AfY3kHU/edit?usp=sharing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G5470" s="7" t="s">
        <v>10</v>
      </c>
      <c r="H5470" s="7">
        <v>270</v>
      </c>
      <c r="I5470" s="8" t="str">
        <f ca="1">IFERROR(__xludf.DUMMYFUNCTION("IF
(
G5471=""фізична особа""
,
VLOOKUP(H5471,IMPORTRANGE(""https://docs.google.com/spreadsheets/d/14Bd19lYaqBhU8_DElYkX7l4wRkHqqCUFNJY4AfY3kHU/edit?usp=sharing  #gid=0"",""фіз особи new!relations_name""),6,FALSE)
,
(IF
(
G5471=""юридична особа""
,
VLOOKUP"&amp;"(H5471,IMPORTRANGE(""https://docs.google.com/spreadsheets/d/14Bd19lYaqBhU8_DElYkX7l4wRkHqqCUFNJY4AfY3kHU/edit?usp=sharing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J5470" s="7" t="s">
        <v>14</v>
      </c>
    </row>
    <row r="5471" spans="1:10" ht="13.2">
      <c r="A5471" s="7">
        <v>5470</v>
      </c>
      <c r="B5471" s="7">
        <v>1</v>
      </c>
      <c r="C5471" s="7" t="s">
        <v>10</v>
      </c>
      <c r="D5471" s="7">
        <v>4359</v>
      </c>
      <c r="E5471" s="7" t="s">
        <v>21</v>
      </c>
      <c r="F5471" s="8" t="str">
        <f ca="1">IFERROR(__xludf.DUMMYFUNCTION("IF
(
C5472=""фізична особа""
,
VLOOKUP(D5472,IMPORTRANGE(""https://docs.google.com/spreadsheets/d/14Bd19lYaqBhU8_DElYkX7l4wRkHqqCUFNJY4AfY3kHU/edit?usp=sharing  #gid=0"",""фіз особи new!relations_name""),6,FALSE)
,
(IF
(
C5472=""юридична особа""
,
VLOOKUP"&amp;"(D5472,IMPORTRANGE(""https://docs.google.com/spreadsheets/d/14Bd19lYaqBhU8_DElYkX7l4wRkHqqCUFNJY4AfY3kHU/edit?usp=sharing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G5471" s="7" t="s">
        <v>10</v>
      </c>
      <c r="H5471" s="7">
        <v>4360</v>
      </c>
      <c r="I5471" s="8" t="str">
        <f ca="1">IFERROR(__xludf.DUMMYFUNCTION("IF
(
G5472=""фізична особа""
,
VLOOKUP(H5472,IMPORTRANGE(""https://docs.google.com/spreadsheets/d/14Bd19lYaqBhU8_DElYkX7l4wRkHqqCUFNJY4AfY3kHU/edit?usp=sharing  #gid=0"",""фіз особи new!relations_name""),6,FALSE)
,
(IF
(
G5472=""юридична особа""
,
VLOOKUP"&amp;"(H5472,IMPORTRANGE(""https://docs.google.com/spreadsheets/d/14Bd19lYaqBhU8_DElYkX7l4wRkHqqCUFNJY4AfY3kHU/edit?usp=sharing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J5471" s="7" t="s">
        <v>17</v>
      </c>
    </row>
    <row r="5472" spans="1:10" ht="13.2">
      <c r="A5472" s="7">
        <v>5471</v>
      </c>
      <c r="B5472" s="7">
        <v>1</v>
      </c>
      <c r="C5472" s="7" t="s">
        <v>10</v>
      </c>
      <c r="D5472" s="7">
        <v>4359</v>
      </c>
      <c r="E5472" s="7" t="s">
        <v>21</v>
      </c>
      <c r="F5472" s="8" t="str">
        <f ca="1">IFERROR(__xludf.DUMMYFUNCTION("IF
(
C5473=""фізична особа""
,
VLOOKUP(D5473,IMPORTRANGE(""https://docs.google.com/spreadsheets/d/14Bd19lYaqBhU8_DElYkX7l4wRkHqqCUFNJY4AfY3kHU/edit?usp=sharing  #gid=0"",""фіз особи new!relations_name""),6,FALSE)
,
(IF
(
C5473=""юридична особа""
,
VLOOKUP"&amp;"(D5473,IMPORTRANGE(""https://docs.google.com/spreadsheets/d/14Bd19lYaqBhU8_DElYkX7l4wRkHqqCUFNJY4AfY3kHU/edit?usp=sharing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G5472" s="7" t="s">
        <v>10</v>
      </c>
      <c r="H5472" s="7">
        <v>4361</v>
      </c>
      <c r="I5472" s="8" t="str">
        <f ca="1">IFERROR(__xludf.DUMMYFUNCTION("IF
(
G5473=""фізична особа""
,
VLOOKUP(H5473,IMPORTRANGE(""https://docs.google.com/spreadsheets/d/14Bd19lYaqBhU8_DElYkX7l4wRkHqqCUFNJY4AfY3kHU/edit?usp=sharing  #gid=0"",""фіз особи new!relations_name""),6,FALSE)
,
(IF
(
G5473=""юридична особа""
,
VLOOKUP"&amp;"(H5473,IMPORTRANGE(""https://docs.google.com/spreadsheets/d/14Bd19lYaqBhU8_DElYkX7l4wRkHqqCUFNJY4AfY3kHU/edit?usp=sharing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J5472" s="7" t="s">
        <v>13</v>
      </c>
    </row>
    <row r="5473" spans="1:10" ht="13.2">
      <c r="A5473" s="7">
        <v>5472</v>
      </c>
      <c r="B5473" s="7">
        <v>1</v>
      </c>
      <c r="C5473" s="7" t="s">
        <v>10</v>
      </c>
      <c r="D5473" s="7">
        <v>4360</v>
      </c>
      <c r="E5473" s="7" t="s">
        <v>17</v>
      </c>
      <c r="F5473" s="8" t="str">
        <f ca="1">IFERROR(__xludf.DUMMYFUNCTION("IF
(
C5474=""фізична особа""
,
VLOOKUP(D5474,IMPORTRANGE(""https://docs.google.com/spreadsheets/d/14Bd19lYaqBhU8_DElYkX7l4wRkHqqCUFNJY4AfY3kHU/edit?usp=sharing  #gid=0"",""фіз особи new!relations_name""),6,FALSE)
,
(IF
(
C5474=""юридична особа""
,
VLOOKUP"&amp;"(D5474,IMPORTRANGE(""https://docs.google.com/spreadsheets/d/14Bd19lYaqBhU8_DElYkX7l4wRkHqqCUFNJY4AfY3kHU/edit?usp=sharing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G5473" s="7" t="s">
        <v>10</v>
      </c>
      <c r="H5473" s="7">
        <v>270</v>
      </c>
      <c r="I5473" s="8" t="str">
        <f ca="1">IFERROR(__xludf.DUMMYFUNCTION("IF
(
G5474=""фізична особа""
,
VLOOKUP(H5474,IMPORTRANGE(""https://docs.google.com/spreadsheets/d/14Bd19lYaqBhU8_DElYkX7l4wRkHqqCUFNJY4AfY3kHU/edit?usp=sharing  #gid=0"",""фіз особи new!relations_name""),6,FALSE)
,
(IF
(
G5474=""юридична особа""
,
VLOOKUP"&amp;"(H5474,IMPORTRANGE(""https://docs.google.com/spreadsheets/d/14Bd19lYaqBhU8_DElYkX7l4wRkHqqCUFNJY4AfY3kHU/edit?usp=sharing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J5473" s="7" t="s">
        <v>12</v>
      </c>
    </row>
    <row r="5474" spans="1:10" ht="13.2">
      <c r="A5474" s="7">
        <v>5473</v>
      </c>
      <c r="B5474" s="7">
        <v>1</v>
      </c>
      <c r="C5474" s="7" t="s">
        <v>10</v>
      </c>
      <c r="D5474" s="7">
        <v>4360</v>
      </c>
      <c r="E5474" s="7" t="s">
        <v>17</v>
      </c>
      <c r="F5474" s="8" t="str">
        <f ca="1">IFERROR(__xludf.DUMMYFUNCTION("IF
(
C5475=""фізична особа""
,
VLOOKUP(D5475,IMPORTRANGE(""https://docs.google.com/spreadsheets/d/14Bd19lYaqBhU8_DElYkX7l4wRkHqqCUFNJY4AfY3kHU/edit?usp=sharing  #gid=0"",""фіз особи new!relations_name""),6,FALSE)
,
(IF
(
C5475=""юридична особа""
,
VLOOKUP"&amp;"(D5475,IMPORTRANGE(""https://docs.google.com/spreadsheets/d/14Bd19lYaqBhU8_DElYkX7l4wRkHqqCUFNJY4AfY3kHU/edit?usp=sharing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G5474" s="7" t="s">
        <v>10</v>
      </c>
      <c r="H5474" s="7">
        <v>4359</v>
      </c>
      <c r="I5474" s="8" t="str">
        <f ca="1">IFERROR(__xludf.DUMMYFUNCTION("IF
(
G5475=""фізична особа""
,
VLOOKUP(H5475,IMPORTRANGE(""https://docs.google.com/spreadsheets/d/14Bd19lYaqBhU8_DElYkX7l4wRkHqqCUFNJY4AfY3kHU/edit?usp=sharing  #gid=0"",""фіз особи new!relations_name""),6,FALSE)
,
(IF
(
G5475=""юридична особа""
,
VLOOKUP"&amp;"(H5475,IMPORTRANGE(""https://docs.google.com/spreadsheets/d/14Bd19lYaqBhU8_DElYkX7l4wRkHqqCUFNJY4AfY3kHU/edit?usp=sharing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J5474" s="7" t="s">
        <v>21</v>
      </c>
    </row>
    <row r="5475" spans="1:10" ht="13.2">
      <c r="A5475" s="7">
        <v>5474</v>
      </c>
      <c r="B5475" s="7">
        <v>1</v>
      </c>
      <c r="C5475" s="7" t="s">
        <v>10</v>
      </c>
      <c r="D5475" s="7">
        <v>4360</v>
      </c>
      <c r="E5475" s="7" t="s">
        <v>18</v>
      </c>
      <c r="F5475" s="8" t="str">
        <f ca="1">IFERROR(__xludf.DUMMYFUNCTION("IF
(
C5476=""фізична особа""
,
VLOOKUP(D5476,IMPORTRANGE(""https://docs.google.com/spreadsheets/d/14Bd19lYaqBhU8_DElYkX7l4wRkHqqCUFNJY4AfY3kHU/edit?usp=sharing  #gid=0"",""фіз особи new!relations_name""),6,FALSE)
,
(IF
(
C5476=""юридична особа""
,
VLOOKUP"&amp;"(D5476,IMPORTRANGE(""https://docs.google.com/spreadsheets/d/14Bd19lYaqBhU8_DElYkX7l4wRkHqqCUFNJY4AfY3kHU/edit?usp=sharing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G5475" s="7" t="s">
        <v>10</v>
      </c>
      <c r="H5475" s="7">
        <v>4361</v>
      </c>
      <c r="I5475" s="8" t="str">
        <f ca="1">IFERROR(__xludf.DUMMYFUNCTION("IF
(
G5476=""фізична особа""
,
VLOOKUP(H5476,IMPORTRANGE(""https://docs.google.com/spreadsheets/d/14Bd19lYaqBhU8_DElYkX7l4wRkHqqCUFNJY4AfY3kHU/edit?usp=sharing  #gid=0"",""фіз особи new!relations_name""),6,FALSE)
,
(IF
(
G5476=""юридична особа""
,
VLOOKUP"&amp;"(H5476,IMPORTRANGE(""https://docs.google.com/spreadsheets/d/14Bd19lYaqBhU8_DElYkX7l4wRkHqqCUFNJY4AfY3kHU/edit?usp=sharing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J5475" s="7" t="s">
        <v>31</v>
      </c>
    </row>
    <row r="5476" spans="1:10" ht="13.2">
      <c r="A5476" s="7">
        <v>5475</v>
      </c>
      <c r="B5476" s="7">
        <v>1</v>
      </c>
      <c r="C5476" s="7" t="s">
        <v>10</v>
      </c>
      <c r="D5476" s="7">
        <v>4361</v>
      </c>
      <c r="E5476" s="7" t="s">
        <v>108</v>
      </c>
      <c r="F5476" s="8" t="str">
        <f ca="1">IFERROR(__xludf.DUMMYFUNCTION("IF
(
C5477=""фізична особа""
,
VLOOKUP(D5477,IMPORTRANGE(""https://docs.google.com/spreadsheets/d/14Bd19lYaqBhU8_DElYkX7l4wRkHqqCUFNJY4AfY3kHU/edit?usp=sharing  #gid=0"",""фіз особи new!relations_name""),6,FALSE)
,
(IF
(
C5477=""юридична особа""
,
VLOOKUP"&amp;"(D5477,IMPORTRANGE(""https://docs.google.com/spreadsheets/d/14Bd19lYaqBhU8_DElYkX7l4wRkHqqCUFNJY4AfY3kHU/edit?usp=sharing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G5476" s="7" t="s">
        <v>10</v>
      </c>
      <c r="H5476" s="7">
        <v>270</v>
      </c>
      <c r="I5476" s="8" t="str">
        <f ca="1">IFERROR(__xludf.DUMMYFUNCTION("IF
(
G5477=""фізична особа""
,
VLOOKUP(H5477,IMPORTRANGE(""https://docs.google.com/spreadsheets/d/14Bd19lYaqBhU8_DElYkX7l4wRkHqqCUFNJY4AfY3kHU/edit?usp=sharing  #gid=0"",""фіз особи new!relations_name""),6,FALSE)
,
(IF
(
G5477=""юридична особа""
,
VLOOKUP"&amp;"(H5477,IMPORTRANGE(""https://docs.google.com/spreadsheets/d/14Bd19lYaqBhU8_DElYkX7l4wRkHqqCUFNJY4AfY3kHU/edit?usp=sharing  #gid=0"",""фіз особи new!relations_name_uo""),7,FALSE)
,
)
))"),"ОРДЄНОВ Геннадій Іванович")</f>
        <v>ОРДЄНОВ Геннадій Іванович</v>
      </c>
      <c r="J5476" s="7" t="s">
        <v>12</v>
      </c>
    </row>
    <row r="5477" spans="1:10" ht="13.2">
      <c r="A5477" s="7">
        <v>5476</v>
      </c>
      <c r="B5477" s="7">
        <v>1</v>
      </c>
      <c r="C5477" s="7" t="s">
        <v>10</v>
      </c>
      <c r="D5477" s="7">
        <v>4361</v>
      </c>
      <c r="E5477" s="7" t="s">
        <v>13</v>
      </c>
      <c r="F5477" s="8" t="str">
        <f ca="1">IFERROR(__xludf.DUMMYFUNCTION("IF
(
C5478=""фізична особа""
,
VLOOKUP(D5478,IMPORTRANGE(""https://docs.google.com/spreadsheets/d/14Bd19lYaqBhU8_DElYkX7l4wRkHqqCUFNJY4AfY3kHU/edit?usp=sharing  #gid=0"",""фіз особи new!relations_name""),6,FALSE)
,
(IF
(
C5478=""юридична особа""
,
VLOOKUP"&amp;"(D5478,IMPORTRANGE(""https://docs.google.com/spreadsheets/d/14Bd19lYaqBhU8_DElYkX7l4wRkHqqCUFNJY4AfY3kHU/edit?usp=sharing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G5477" s="7" t="s">
        <v>10</v>
      </c>
      <c r="H5477" s="7">
        <v>4359</v>
      </c>
      <c r="I5477" s="8" t="str">
        <f ca="1">IFERROR(__xludf.DUMMYFUNCTION("IF
(
G5478=""фізична особа""
,
VLOOKUP(H5478,IMPORTRANGE(""https://docs.google.com/spreadsheets/d/14Bd19lYaqBhU8_DElYkX7l4wRkHqqCUFNJY4AfY3kHU/edit?usp=sharing  #gid=0"",""фіз особи new!relations_name""),6,FALSE)
,
(IF
(
G5478=""юридична особа""
,
VLOOKUP"&amp;"(H5478,IMPORTRANGE(""https://docs.google.com/spreadsheets/d/14Bd19lYaqBhU8_DElYkX7l4wRkHqqCUFNJY4AfY3kHU/edit?usp=sharing  #gid=0"",""фіз особи new!relations_name_uo""),7,FALSE)
,
)
))"),"ОРДЕНОВА Марина")</f>
        <v>ОРДЕНОВА Марина</v>
      </c>
      <c r="J5477" s="7" t="s">
        <v>21</v>
      </c>
    </row>
    <row r="5478" spans="1:10" ht="13.2">
      <c r="A5478" s="7">
        <v>5477</v>
      </c>
      <c r="B5478" s="7">
        <v>1</v>
      </c>
      <c r="C5478" s="7" t="s">
        <v>10</v>
      </c>
      <c r="D5478" s="7">
        <v>4361</v>
      </c>
      <c r="E5478" s="7" t="s">
        <v>31</v>
      </c>
      <c r="F5478" s="8" t="str">
        <f ca="1">IFERROR(__xludf.DUMMYFUNCTION("IF
(
C5479=""фізична особа""
,
VLOOKUP(D5479,IMPORTRANGE(""https://docs.google.com/spreadsheets/d/14Bd19lYaqBhU8_DElYkX7l4wRkHqqCUFNJY4AfY3kHU/edit?usp=sharing  #gid=0"",""фіз особи new!relations_name""),6,FALSE)
,
(IF
(
C5479=""юридична особа""
,
VLOOKUP"&amp;"(D5479,IMPORTRANGE(""https://docs.google.com/spreadsheets/d/14Bd19lYaqBhU8_DElYkX7l4wRkHqqCUFNJY4AfY3kHU/edit?usp=sharing  #gid=0"",""фіз особи new!relations_name_uo""),7,FALSE)
,
)
))"),"ОРДЕНОВА Ольга Геннадіївна")</f>
        <v>ОРДЕНОВА Ольга Геннадіївна</v>
      </c>
      <c r="G5478" s="7" t="s">
        <v>10</v>
      </c>
      <c r="H5478" s="7">
        <v>4360</v>
      </c>
      <c r="I5478" s="8" t="str">
        <f ca="1">IFERROR(__xludf.DUMMYFUNCTION("IF
(
G5479=""фізична особа""
,
VLOOKUP(H5479,IMPORTRANGE(""https://docs.google.com/spreadsheets/d/14Bd19lYaqBhU8_DElYkX7l4wRkHqqCUFNJY4AfY3kHU/edit?usp=sharing  #gid=0"",""фіз особи new!relations_name""),6,FALSE)
,
(IF
(
G5479=""юридична особа""
,
VLOOKUP"&amp;"(H5479,IMPORTRANGE(""https://docs.google.com/spreadsheets/d/14Bd19lYaqBhU8_DElYkX7l4wRkHqqCUFNJY4AfY3kHU/edit?usp=sharing  #gid=0"",""фіз особи new!relations_name_uo""),7,FALSE)
,
)
))"),"ОРДЕНОВ Денис Геннадійович")</f>
        <v>ОРДЕНОВ Денис Геннадійович</v>
      </c>
      <c r="J5478" s="7" t="s">
        <v>18</v>
      </c>
    </row>
    <row r="5479" spans="1:10" ht="13.2">
      <c r="A5479" s="7">
        <v>5478</v>
      </c>
      <c r="B5479" s="7">
        <v>1</v>
      </c>
      <c r="C5479" s="7" t="s">
        <v>10</v>
      </c>
      <c r="D5479" s="7">
        <v>4362</v>
      </c>
      <c r="E5479" s="7" t="s">
        <v>15</v>
      </c>
      <c r="F5479" s="8" t="str">
        <f ca="1">IFERROR(__xludf.DUMMYFUNCTION("IF
(
C5480=""фізична особа""
,
VLOOKUP(D5480,IMPORTRANGE(""https://docs.google.com/spreadsheets/d/14Bd19lYaqBhU8_DElYkX7l4wRkHqqCUFNJY4AfY3kHU/edit?usp=sharing  #gid=0"",""фіз особи new!relations_name""),6,FALSE)
,
(IF
(
C5480=""юридична особа""
,
VLOOKUP"&amp;"(D5480,IMPORTRANGE(""https://docs.google.com/spreadsheets/d/14Bd19lYaqBhU8_DElYkX7l4wRkHqqCUFNJY4AfY3kHU/edit?usp=sharing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G5479" s="7" t="s">
        <v>10</v>
      </c>
      <c r="H5479" s="7">
        <v>281</v>
      </c>
      <c r="I5479" s="8" t="str">
        <f ca="1">IFERROR(__xludf.DUMMYFUNCTION("IF
(
G5480=""фізична особа""
,
VLOOKUP(H5480,IMPORTRANGE(""https://docs.google.com/spreadsheets/d/14Bd19lYaqBhU8_DElYkX7l4wRkHqqCUFNJY4AfY3kHU/edit?usp=sharing  #gid=0"",""фіз особи new!relations_name""),6,FALSE)
,
(IF
(
G5480=""юридична особа""
,
VLOOKUP"&amp;"(H5480,IMPORTRANGE(""https://docs.google.com/spreadsheets/d/14Bd19lYaqBhU8_DElYkX7l4wRkHqqCUFNJY4AfY3kHU/edit?usp=sharing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J5479" s="7" t="s">
        <v>14</v>
      </c>
    </row>
    <row r="5480" spans="1:10" ht="13.2">
      <c r="A5480" s="7">
        <v>5479</v>
      </c>
      <c r="B5480" s="7">
        <v>1</v>
      </c>
      <c r="C5480" s="7" t="s">
        <v>10</v>
      </c>
      <c r="D5480" s="7">
        <v>4362</v>
      </c>
      <c r="E5480" s="7" t="s">
        <v>21</v>
      </c>
      <c r="F5480" s="8" t="str">
        <f ca="1">IFERROR(__xludf.DUMMYFUNCTION("IF
(
C5481=""фізична особа""
,
VLOOKUP(D5481,IMPORTRANGE(""https://docs.google.com/spreadsheets/d/14Bd19lYaqBhU8_DElYkX7l4wRkHqqCUFNJY4AfY3kHU/edit?usp=sharing  #gid=0"",""фіз особи new!relations_name""),6,FALSE)
,
(IF
(
C5481=""юридична особа""
,
VLOOKUP"&amp;"(D5481,IMPORTRANGE(""https://docs.google.com/spreadsheets/d/14Bd19lYaqBhU8_DElYkX7l4wRkHqqCUFNJY4AfY3kHU/edit?usp=sharing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G5480" s="7" t="s">
        <v>10</v>
      </c>
      <c r="H5480" s="7">
        <v>4363</v>
      </c>
      <c r="I5480" s="8" t="str">
        <f ca="1">IFERROR(__xludf.DUMMYFUNCTION("IF
(
G5481=""фізична особа""
,
VLOOKUP(H5481,IMPORTRANGE(""https://docs.google.com/spreadsheets/d/14Bd19lYaqBhU8_DElYkX7l4wRkHqqCUFNJY4AfY3kHU/edit?usp=sharing  #gid=0"",""фіз особи new!relations_name""),6,FALSE)
,
(IF
(
G5481=""юридична особа""
,
VLOOKUP"&amp;"(H5481,IMPORTRANGE(""https://docs.google.com/spreadsheets/d/14Bd19lYaqBhU8_DElYkX7l4wRkHqqCUFNJY4AfY3kHU/edit?usp=sharing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J5480" s="7" t="s">
        <v>17</v>
      </c>
    </row>
    <row r="5481" spans="1:10" ht="13.2">
      <c r="A5481" s="7">
        <v>5480</v>
      </c>
      <c r="B5481" s="7">
        <v>1</v>
      </c>
      <c r="C5481" s="7" t="s">
        <v>10</v>
      </c>
      <c r="D5481" s="7">
        <v>4362</v>
      </c>
      <c r="E5481" s="7" t="s">
        <v>79</v>
      </c>
      <c r="F5481" s="8" t="str">
        <f ca="1">IFERROR(__xludf.DUMMYFUNCTION("IF
(
C5482=""фізична особа""
,
VLOOKUP(D5482,IMPORTRANGE(""https://docs.google.com/spreadsheets/d/14Bd19lYaqBhU8_DElYkX7l4wRkHqqCUFNJY4AfY3kHU/edit?usp=sharing  #gid=0"",""фіз особи new!relations_name""),6,FALSE)
,
(IF
(
C5482=""юридична особа""
,
VLOOKUP"&amp;"(D5482,IMPORTRANGE(""https://docs.google.com/spreadsheets/d/14Bd19lYaqBhU8_DElYkX7l4wRkHqqCUFNJY4AfY3kHU/edit?usp=sharing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G5481" s="7" t="s">
        <v>10</v>
      </c>
      <c r="H5481" s="7">
        <v>4364</v>
      </c>
      <c r="I5481" s="8" t="str">
        <f ca="1">IFERROR(__xludf.DUMMYFUNCTION("IF
(
G5482=""фізична особа""
,
VLOOKUP(H5482,IMPORTRANGE(""https://docs.google.com/spreadsheets/d/14Bd19lYaqBhU8_DElYkX7l4wRkHqqCUFNJY4AfY3kHU/edit?usp=sharing  #gid=0"",""фіз особи new!relations_name""),6,FALSE)
,
(IF
(
G5482=""юридична особа""
,
VLOOKUP"&amp;"(H5482,IMPORTRANGE(""https://docs.google.com/spreadsheets/d/14Bd19lYaqBhU8_DElYkX7l4wRkHqqCUFNJY4AfY3kHU/edit?usp=sharing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J5481" s="7" t="s">
        <v>60</v>
      </c>
    </row>
    <row r="5482" spans="1:10" ht="13.2">
      <c r="A5482" s="7">
        <v>5481</v>
      </c>
      <c r="B5482" s="7">
        <v>1</v>
      </c>
      <c r="C5482" s="7" t="s">
        <v>10</v>
      </c>
      <c r="D5482" s="7">
        <v>4363</v>
      </c>
      <c r="E5482" s="7" t="s">
        <v>17</v>
      </c>
      <c r="F5482" s="8" t="str">
        <f ca="1">IFERROR(__xludf.DUMMYFUNCTION("IF
(
C5483=""фізична особа""
,
VLOOKUP(D5483,IMPORTRANGE(""https://docs.google.com/spreadsheets/d/14Bd19lYaqBhU8_DElYkX7l4wRkHqqCUFNJY4AfY3kHU/edit?usp=sharing  #gid=0"",""фіз особи new!relations_name""),6,FALSE)
,
(IF
(
C5483=""юридична особа""
,
VLOOKUP"&amp;"(D5483,IMPORTRANGE(""https://docs.google.com/spreadsheets/d/14Bd19lYaqBhU8_DElYkX7l4wRkHqqCUFNJY4AfY3kHU/edit?usp=sharing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G5482" s="7" t="s">
        <v>10</v>
      </c>
      <c r="H5482" s="7">
        <v>281</v>
      </c>
      <c r="I5482" s="8" t="str">
        <f ca="1">IFERROR(__xludf.DUMMYFUNCTION("IF
(
G5483=""фізична особа""
,
VLOOKUP(H5483,IMPORTRANGE(""https://docs.google.com/spreadsheets/d/14Bd19lYaqBhU8_DElYkX7l4wRkHqqCUFNJY4AfY3kHU/edit?usp=sharing  #gid=0"",""фіз особи new!relations_name""),6,FALSE)
,
(IF
(
G5483=""юридична особа""
,
VLOOKUP"&amp;"(H5483,IMPORTRANGE(""https://docs.google.com/spreadsheets/d/14Bd19lYaqBhU8_DElYkX7l4wRkHqqCUFNJY4AfY3kHU/edit?usp=sharing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J5482" s="7" t="s">
        <v>12</v>
      </c>
    </row>
    <row r="5483" spans="1:10" ht="13.2">
      <c r="A5483" s="7">
        <v>5482</v>
      </c>
      <c r="B5483" s="7">
        <v>1</v>
      </c>
      <c r="C5483" s="7" t="s">
        <v>10</v>
      </c>
      <c r="D5483" s="7">
        <v>4363</v>
      </c>
      <c r="E5483" s="7" t="s">
        <v>17</v>
      </c>
      <c r="F5483" s="8" t="str">
        <f ca="1">IFERROR(__xludf.DUMMYFUNCTION("IF
(
C5484=""фізична особа""
,
VLOOKUP(D5484,IMPORTRANGE(""https://docs.google.com/spreadsheets/d/14Bd19lYaqBhU8_DElYkX7l4wRkHqqCUFNJY4AfY3kHU/edit?usp=sharing  #gid=0"",""фіз особи new!relations_name""),6,FALSE)
,
(IF
(
C5484=""юридична особа""
,
VLOOKUP"&amp;"(D5484,IMPORTRANGE(""https://docs.google.com/spreadsheets/d/14Bd19lYaqBhU8_DElYkX7l4wRkHqqCUFNJY4AfY3kHU/edit?usp=sharing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G5483" s="7" t="s">
        <v>10</v>
      </c>
      <c r="H5483" s="7">
        <v>4362</v>
      </c>
      <c r="I5483" s="8" t="str">
        <f ca="1">IFERROR(__xludf.DUMMYFUNCTION("IF
(
G5484=""фізична особа""
,
VLOOKUP(H5484,IMPORTRANGE(""https://docs.google.com/spreadsheets/d/14Bd19lYaqBhU8_DElYkX7l4wRkHqqCUFNJY4AfY3kHU/edit?usp=sharing  #gid=0"",""фіз особи new!relations_name""),6,FALSE)
,
(IF
(
G5484=""юридична особа""
,
VLOOKUP"&amp;"(H5484,IMPORTRANGE(""https://docs.google.com/spreadsheets/d/14Bd19lYaqBhU8_DElYkX7l4wRkHqqCUFNJY4AfY3kHU/edit?usp=sharing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J5483" s="7" t="s">
        <v>21</v>
      </c>
    </row>
    <row r="5484" spans="1:10" ht="13.2">
      <c r="A5484" s="7">
        <v>5483</v>
      </c>
      <c r="B5484" s="7">
        <v>1</v>
      </c>
      <c r="C5484" s="7" t="s">
        <v>10</v>
      </c>
      <c r="D5484" s="7">
        <v>4363</v>
      </c>
      <c r="E5484" s="7" t="s">
        <v>14</v>
      </c>
      <c r="F5484" s="8" t="str">
        <f ca="1">IFERROR(__xludf.DUMMYFUNCTION("IF
(
C5485=""фізична особа""
,
VLOOKUP(D5485,IMPORTRANGE(""https://docs.google.com/spreadsheets/d/14Bd19lYaqBhU8_DElYkX7l4wRkHqqCUFNJY4AfY3kHU/edit?usp=sharing  #gid=0"",""фіз особи new!relations_name""),6,FALSE)
,
(IF
(
C5485=""юридична особа""
,
VLOOKUP"&amp;"(D5485,IMPORTRANGE(""https://docs.google.com/spreadsheets/d/14Bd19lYaqBhU8_DElYkX7l4wRkHqqCUFNJY4AfY3kHU/edit?usp=sharing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G5484" s="7" t="s">
        <v>10</v>
      </c>
      <c r="H5484" s="7">
        <v>23379</v>
      </c>
      <c r="I5484" s="8" t="str">
        <f ca="1">IFERROR(__xludf.DUMMYFUNCTION("IF
(
G5485=""фізична особа""
,
VLOOKUP(H5485,IMPORTRANGE(""https://docs.google.com/spreadsheets/d/14Bd19lYaqBhU8_DElYkX7l4wRkHqqCUFNJY4AfY3kHU/edit?usp=sharing  #gid=0"",""фіз особи new!relations_name""),6,FALSE)
,
(IF
(
G5485=""юридична особа""
,
VLOOKUP"&amp;"(H5485,IMPORTRANGE(""https://docs.google.com/spreadsheets/d/14Bd19lYaqBhU8_DElYkX7l4wRkHqqCUFNJY4AfY3kHU/edit?usp=sharing  #gid=0"",""фіз особи new!relations_name_uo""),7,FALSE)
,
)
))"),"РАПОТА Віра Леонардівна")</f>
        <v>РАПОТА Віра Леонардівна</v>
      </c>
      <c r="J5484" s="7" t="s">
        <v>15</v>
      </c>
    </row>
    <row r="5485" spans="1:10" ht="13.2">
      <c r="A5485" s="7">
        <v>5484</v>
      </c>
      <c r="B5485" s="7">
        <v>1</v>
      </c>
      <c r="C5485" s="7" t="s">
        <v>10</v>
      </c>
      <c r="D5485" s="7">
        <v>4363</v>
      </c>
      <c r="E5485" s="7" t="s">
        <v>12</v>
      </c>
      <c r="F5485" s="8" t="str">
        <f ca="1">IFERROR(__xludf.DUMMYFUNCTION("IF
(
C5486=""фізична особа""
,
VLOOKUP(D5486,IMPORTRANGE(""https://docs.google.com/spreadsheets/d/14Bd19lYaqBhU8_DElYkX7l4wRkHqqCUFNJY4AfY3kHU/edit?usp=sharing  #gid=0"",""фіз особи new!relations_name""),6,FALSE)
,
(IF
(
C5486=""юридична особа""
,
VLOOKUP"&amp;"(D5486,IMPORTRANGE(""https://docs.google.com/spreadsheets/d/14Bd19lYaqBhU8_DElYkX7l4wRkHqqCUFNJY4AfY3kHU/edit?usp=sharing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G5485" s="7" t="s">
        <v>10</v>
      </c>
      <c r="H5485" s="7">
        <v>4364</v>
      </c>
      <c r="I5485" s="8" t="str">
        <f ca="1">IFERROR(__xludf.DUMMYFUNCTION("IF
(
G5486=""фізична особа""
,
VLOOKUP(H5486,IMPORTRANGE(""https://docs.google.com/spreadsheets/d/14Bd19lYaqBhU8_DElYkX7l4wRkHqqCUFNJY4AfY3kHU/edit?usp=sharing  #gid=0"",""фіз особи new!relations_name""),6,FALSE)
,
(IF
(
G5486=""юридична особа""
,
VLOOKUP"&amp;"(H5486,IMPORTRANGE(""https://docs.google.com/spreadsheets/d/14Bd19lYaqBhU8_DElYkX7l4wRkHqqCUFNJY4AfY3kHU/edit?usp=sharing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J5485" s="7" t="s">
        <v>13</v>
      </c>
    </row>
    <row r="5486" spans="1:10" ht="13.2">
      <c r="A5486" s="7">
        <v>5485</v>
      </c>
      <c r="B5486" s="7">
        <v>1</v>
      </c>
      <c r="C5486" s="7" t="s">
        <v>10</v>
      </c>
      <c r="D5486" s="7">
        <v>4364</v>
      </c>
      <c r="E5486" s="7" t="s">
        <v>60</v>
      </c>
      <c r="F5486" s="8" t="str">
        <f ca="1">IFERROR(__xludf.DUMMYFUNCTION("IF
(
C5487=""фізична особа""
,
VLOOKUP(D5487,IMPORTRANGE(""https://docs.google.com/spreadsheets/d/14Bd19lYaqBhU8_DElYkX7l4wRkHqqCUFNJY4AfY3kHU/edit?usp=sharing  #gid=0"",""фіз особи new!relations_name""),6,FALSE)
,
(IF
(
C5487=""юридична особа""
,
VLOOKUP"&amp;"(D5487,IMPORTRANGE(""https://docs.google.com/spreadsheets/d/14Bd19lYaqBhU8_DElYkX7l4wRkHqqCUFNJY4AfY3kHU/edit?usp=sharing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G5486" s="7" t="s">
        <v>10</v>
      </c>
      <c r="H5486" s="7">
        <v>281</v>
      </c>
      <c r="I5486" s="8" t="str">
        <f ca="1">IFERROR(__xludf.DUMMYFUNCTION("IF
(
G5487=""фізична особа""
,
VLOOKUP(H5487,IMPORTRANGE(""https://docs.google.com/spreadsheets/d/14Bd19lYaqBhU8_DElYkX7l4wRkHqqCUFNJY4AfY3kHU/edit?usp=sharing  #gid=0"",""фіз особи new!relations_name""),6,FALSE)
,
(IF
(
G5487=""юридична особа""
,
VLOOKUP"&amp;"(H5487,IMPORTRANGE(""https://docs.google.com/spreadsheets/d/14Bd19lYaqBhU8_DElYkX7l4wRkHqqCUFNJY4AfY3kHU/edit?usp=sharing  #gid=0"",""фіз особи new!relations_name_uo""),7,FALSE)
,
)
))"),"РАПОТА Григорій Олексійович")</f>
        <v>РАПОТА Григорій Олексійович</v>
      </c>
      <c r="J5486" s="7" t="s">
        <v>109</v>
      </c>
    </row>
    <row r="5487" spans="1:10" ht="13.2">
      <c r="A5487" s="7">
        <v>5486</v>
      </c>
      <c r="B5487" s="7">
        <v>1</v>
      </c>
      <c r="C5487" s="7" t="s">
        <v>10</v>
      </c>
      <c r="D5487" s="7">
        <v>4364</v>
      </c>
      <c r="E5487" s="7" t="s">
        <v>60</v>
      </c>
      <c r="F5487" s="8" t="str">
        <f ca="1">IFERROR(__xludf.DUMMYFUNCTION("IF
(
C5488=""фізична особа""
,
VLOOKUP(D5488,IMPORTRANGE(""https://docs.google.com/spreadsheets/d/14Bd19lYaqBhU8_DElYkX7l4wRkHqqCUFNJY4AfY3kHU/edit?usp=sharing  #gid=0"",""фіз особи new!relations_name""),6,FALSE)
,
(IF
(
C5488=""юридична особа""
,
VLOOKUP"&amp;"(D5488,IMPORTRANGE(""https://docs.google.com/spreadsheets/d/14Bd19lYaqBhU8_DElYkX7l4wRkHqqCUFNJY4AfY3kHU/edit?usp=sharing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G5487" s="7" t="s">
        <v>10</v>
      </c>
      <c r="H5487" s="7">
        <v>4362</v>
      </c>
      <c r="I5487" s="8" t="str">
        <f ca="1">IFERROR(__xludf.DUMMYFUNCTION("IF
(
G5488=""фізична особа""
,
VLOOKUP(H5488,IMPORTRANGE(""https://docs.google.com/spreadsheets/d/14Bd19lYaqBhU8_DElYkX7l4wRkHqqCUFNJY4AfY3kHU/edit?usp=sharing  #gid=0"",""фіз особи new!relations_name""),6,FALSE)
,
(IF
(
G5488=""юридична особа""
,
VLOOKUP"&amp;"(H5488,IMPORTRANGE(""https://docs.google.com/spreadsheets/d/14Bd19lYaqBhU8_DElYkX7l4wRkHqqCUFNJY4AfY3kHU/edit?usp=sharing  #gid=0"",""фіз особи new!relations_name_uo""),7,FALSE)
,
)
))"),"САМОЛІС Тетяна Вікторівна")</f>
        <v>САМОЛІС Тетяна Вікторівна</v>
      </c>
      <c r="J5487" s="7" t="s">
        <v>79</v>
      </c>
    </row>
    <row r="5488" spans="1:10" ht="13.2">
      <c r="A5488" s="7">
        <v>5487</v>
      </c>
      <c r="B5488" s="7">
        <v>1</v>
      </c>
      <c r="C5488" s="7" t="s">
        <v>10</v>
      </c>
      <c r="D5488" s="7">
        <v>4364</v>
      </c>
      <c r="E5488" s="7" t="s">
        <v>13</v>
      </c>
      <c r="F5488" s="8" t="str">
        <f ca="1">IFERROR(__xludf.DUMMYFUNCTION("IF
(
C5489=""фізична особа""
,
VLOOKUP(D5489,IMPORTRANGE(""https://docs.google.com/spreadsheets/d/14Bd19lYaqBhU8_DElYkX7l4wRkHqqCUFNJY4AfY3kHU/edit?usp=sharing  #gid=0"",""фіз особи new!relations_name""),6,FALSE)
,
(IF
(
C5489=""юридична особа""
,
VLOOKUP"&amp;"(D5489,IMPORTRANGE(""https://docs.google.com/spreadsheets/d/14Bd19lYaqBhU8_DElYkX7l4wRkHqqCUFNJY4AfY3kHU/edit?usp=sharing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G5488" s="7" t="s">
        <v>10</v>
      </c>
      <c r="H5488" s="7">
        <v>4363</v>
      </c>
      <c r="I5488" s="8" t="str">
        <f ca="1">IFERROR(__xludf.DUMMYFUNCTION("IF
(
G5489=""фізична особа""
,
VLOOKUP(H5489,IMPORTRANGE(""https://docs.google.com/spreadsheets/d/14Bd19lYaqBhU8_DElYkX7l4wRkHqqCUFNJY4AfY3kHU/edit?usp=sharing  #gid=0"",""фіз особи new!relations_name""),6,FALSE)
,
(IF
(
G5489=""юридична особа""
,
VLOOKUP"&amp;"(H5489,IMPORTRANGE(""https://docs.google.com/spreadsheets/d/14Bd19lYaqBhU8_DElYkX7l4wRkHqqCUFNJY4AfY3kHU/edit?usp=sharing  #gid=0"",""фіз особи new!relations_name_uo""),7,FALSE)
,
)
))"),"РАПОТА Максим Григорович")</f>
        <v>РАПОТА Максим Григорович</v>
      </c>
      <c r="J5488" s="7" t="s">
        <v>12</v>
      </c>
    </row>
    <row r="5489" spans="1:10" ht="13.2">
      <c r="A5489" s="7">
        <v>5488</v>
      </c>
      <c r="B5489" s="7">
        <v>1</v>
      </c>
      <c r="C5489" s="7" t="s">
        <v>10</v>
      </c>
      <c r="D5489" s="7">
        <v>4364</v>
      </c>
      <c r="E5489" s="7" t="s">
        <v>13</v>
      </c>
      <c r="F5489" s="8" t="str">
        <f ca="1">IFERROR(__xludf.DUMMYFUNCTION("IF
(
C5490=""фізична особа""
,
VLOOKUP(D5490,IMPORTRANGE(""https://docs.google.com/spreadsheets/d/14Bd19lYaqBhU8_DElYkX7l4wRkHqqCUFNJY4AfY3kHU/edit?usp=sharing  #gid=0"",""фіз особи new!relations_name""),6,FALSE)
,
(IF
(
C5490=""юридична особа""
,
VLOOKUP"&amp;"(D5490,IMPORTRANGE(""https://docs.google.com/spreadsheets/d/14Bd19lYaqBhU8_DElYkX7l4wRkHqqCUFNJY4AfY3kHU/edit?usp=sharing  #gid=0"",""фіз особи new!relations_name_uo""),7,FALSE)
,
)
))"),"РАПОТА Аліна Максимівна")</f>
        <v>РАПОТА Аліна Максимівна</v>
      </c>
      <c r="G5489" s="7" t="s">
        <v>10</v>
      </c>
      <c r="H5489" s="7">
        <v>23379</v>
      </c>
      <c r="I5489" s="8" t="str">
        <f ca="1">IFERROR(__xludf.DUMMYFUNCTION("IF
(
G5490=""фізична особа""
,
VLOOKUP(H5490,IMPORTRANGE(""https://docs.google.com/spreadsheets/d/14Bd19lYaqBhU8_DElYkX7l4wRkHqqCUFNJY4AfY3kHU/edit?usp=sharing  #gid=0"",""фіз особи new!relations_name""),6,FALSE)
,
(IF
(
G5490=""юридична особа""
,
VLOOKUP"&amp;"(H5490,IMPORTRANGE(""https://docs.google.com/spreadsheets/d/14Bd19lYaqBhU8_DElYkX7l4wRkHqqCUFNJY4AfY3kHU/edit?usp=sharing  #gid=0"",""фіз особи new!relations_name_uo""),7,FALSE)
,
)
))"),"РАПОТА Віра Леонардівна")</f>
        <v>РАПОТА Віра Леонардівна</v>
      </c>
      <c r="J5489" s="7" t="s">
        <v>21</v>
      </c>
    </row>
    <row r="5490" spans="1:10" ht="13.2">
      <c r="A5490" s="7">
        <v>5489</v>
      </c>
      <c r="B5490" s="7">
        <v>1</v>
      </c>
      <c r="C5490" s="7" t="s">
        <v>10</v>
      </c>
      <c r="D5490" s="7">
        <v>4368</v>
      </c>
      <c r="E5490" s="7" t="s">
        <v>31</v>
      </c>
      <c r="F5490" s="8" t="str">
        <f ca="1">IFERROR(__xludf.DUMMYFUNCTION("IF
(
C5491=""фізична особа""
,
VLOOKUP(D5491,IMPORTRANGE(""https://docs.google.com/spreadsheets/d/14Bd19lYaqBhU8_DElYkX7l4wRkHqqCUFNJY4AfY3kHU/edit?usp=sharing  #gid=0"",""фіз особи new!relations_name""),6,FALSE)
,
(IF
(
C5491=""юридична особа""
,
VLOOKUP"&amp;"(D5491,IMPORTRANGE(""https://docs.google.com/spreadsheets/d/14Bd19lYaqBhU8_DElYkX7l4wRkHqqCUFNJY4AfY3kHU/edit?usp=sharing  #gid=0"",""фіз особи new!relations_name_uo""),7,FALSE)
,
)
))"),"ІСМАІЛОВА Гульбахор")</f>
        <v>ІСМАІЛОВА Гульбахор</v>
      </c>
      <c r="G5490" s="7" t="s">
        <v>10</v>
      </c>
      <c r="H5490" s="7">
        <v>4034</v>
      </c>
      <c r="I5490" s="8" t="str">
        <f ca="1">IFERROR(__xludf.DUMMYFUNCTION("IF
(
G5491=""фізична особа""
,
VLOOKUP(H5491,IMPORTRANGE(""https://docs.google.com/spreadsheets/d/14Bd19lYaqBhU8_DElYkX7l4wRkHqqCUFNJY4AfY3kHU/edit?usp=sharing  #gid=0"",""фіз особи new!relations_name""),6,FALSE)
,
(IF
(
G5491=""юридична особа""
,
VLOOKUP"&amp;"(H5491,IMPORTRANGE(""https://docs.google.com/spreadsheets/d/14Bd19lYaqBhU8_DElYkX7l4wRkHqqCUFNJY4AfY3kHU/edit?usp=sharing  #gid=0"",""фіз особи new!relations_name_uo""),7,FALSE)
,
)
))"),"НАРЗІЄВА Саодат")</f>
        <v>НАРЗІЄВА Саодат</v>
      </c>
      <c r="J5490" s="7" t="s">
        <v>31</v>
      </c>
    </row>
    <row r="5491" spans="1:10" ht="13.2">
      <c r="A5491" s="7">
        <v>5490</v>
      </c>
      <c r="B5491" s="7">
        <v>1</v>
      </c>
      <c r="C5491" s="7" t="s">
        <v>10</v>
      </c>
      <c r="D5491" s="7">
        <v>4368</v>
      </c>
      <c r="E5491" s="7" t="s">
        <v>21</v>
      </c>
      <c r="F5491" s="8" t="str">
        <f ca="1">IFERROR(__xludf.DUMMYFUNCTION("IF
(
C5492=""фізична особа""
,
VLOOKUP(D5492,IMPORTRANGE(""https://docs.google.com/spreadsheets/d/14Bd19lYaqBhU8_DElYkX7l4wRkHqqCUFNJY4AfY3kHU/edit?usp=sharing  #gid=0"",""фіз особи new!relations_name""),6,FALSE)
,
(IF
(
C5492=""юридична особа""
,
VLOOKUP"&amp;"(D5492,IMPORTRANGE(""https://docs.google.com/spreadsheets/d/14Bd19lYaqBhU8_DElYkX7l4wRkHqqCUFNJY4AfY3kHU/edit?usp=sharing  #gid=0"",""фіз особи new!relations_name_uo""),7,FALSE)
,
)
))"),"ІСМАІЛОВА Гульбахор")</f>
        <v>ІСМАІЛОВА Гульбахор</v>
      </c>
      <c r="G5491" s="7" t="s">
        <v>10</v>
      </c>
      <c r="H5491" s="7">
        <v>22864</v>
      </c>
      <c r="I5491" s="8" t="str">
        <f ca="1">IFERROR(__xludf.DUMMYFUNCTION("IF
(
G5492=""фізична особа""
,
VLOOKUP(H5492,IMPORTRANGE(""https://docs.google.com/spreadsheets/d/14Bd19lYaqBhU8_DElYkX7l4wRkHqqCUFNJY4AfY3kHU/edit?usp=sharing  #gid=0"",""фіз особи new!relations_name""),6,FALSE)
,
(IF
(
G5492=""юридична особа""
,
VLOOKUP"&amp;"(H5492,IMPORTRANGE(""https://docs.google.com/spreadsheets/d/14Bd19lYaqBhU8_DElYkX7l4wRkHqqCUFNJY4AfY3kHU/edit?usp=sharing  #gid=0"",""фіз особи new!relations_name_uo""),7,FALSE)
,
)
))"),"ІСМАЇЛОВ Санжар Зуннурович")</f>
        <v>ІСМАЇЛОВ Санжар Зуннурович</v>
      </c>
      <c r="J5491" s="7" t="s">
        <v>17</v>
      </c>
    </row>
    <row r="5492" spans="1:10" ht="13.2">
      <c r="A5492" s="7">
        <v>5491</v>
      </c>
      <c r="B5492" s="7">
        <v>1</v>
      </c>
      <c r="C5492" s="7" t="s">
        <v>10</v>
      </c>
      <c r="D5492" s="7">
        <v>4519</v>
      </c>
      <c r="E5492" s="7" t="s">
        <v>29</v>
      </c>
      <c r="F5492" s="8" t="str">
        <f ca="1">IFERROR(__xludf.DUMMYFUNCTION("IF
(
C5493=""фізична особа""
,
VLOOKUP(D5493,IMPORTRANGE(""https://docs.google.com/spreadsheets/d/14Bd19lYaqBhU8_DElYkX7l4wRkHqqCUFNJY4AfY3kHU/edit?usp=sharing  #gid=0"",""фіз особи new!relations_name""),6,FALSE)
,
(IF
(
C5493=""юридична особа""
,
VLOOKUP"&amp;"(D5493,IMPORTRANGE(""https://docs.google.com/spreadsheets/d/14Bd19lYaqBhU8_DElYkX7l4wRkHqqCUFNJY4AfY3kHU/edit?usp=sharing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G5492" s="7" t="s">
        <v>10</v>
      </c>
      <c r="H5492" s="7">
        <v>13179</v>
      </c>
      <c r="I5492" s="8" t="str">
        <f ca="1">IFERROR(__xludf.DUMMYFUNCTION("IF
(
G5493=""фізична особа""
,
VLOOKUP(H5493,IMPORTRANGE(""https://docs.google.com/spreadsheets/d/14Bd19lYaqBhU8_DElYkX7l4wRkHqqCUFNJY4AfY3kHU/edit?usp=sharing  #gid=0"",""фіз особи new!relations_name""),6,FALSE)
,
(IF
(
G5493=""юридична особа""
,
VLOOKUP"&amp;"(H5493,IMPORTRANGE(""https://docs.google.com/spreadsheets/d/14Bd19lYaqBhU8_DElYkX7l4wRkHqqCUFNJY4AfY3kHU/edit?usp=sharing  #gid=0"",""фіз особи new!relations_name_uo""),7,FALSE)
,
)
))"),"ТИМОФЄЄВА Ольга Леонідівна")</f>
        <v>ТИМОФЄЄВА Ольга Леонідівна</v>
      </c>
      <c r="J5492" s="7" t="s">
        <v>28</v>
      </c>
    </row>
    <row r="5493" spans="1:10" ht="13.2">
      <c r="A5493" s="7">
        <v>5492</v>
      </c>
      <c r="B5493" s="7">
        <v>1</v>
      </c>
      <c r="C5493" s="7" t="s">
        <v>10</v>
      </c>
      <c r="D5493" s="7">
        <v>4519</v>
      </c>
      <c r="E5493" s="7" t="s">
        <v>30</v>
      </c>
      <c r="F5493" s="8" t="str">
        <f ca="1">IFERROR(__xludf.DUMMYFUNCTION("IF
(
C5494=""фізична особа""
,
VLOOKUP(D5494,IMPORTRANGE(""https://docs.google.com/spreadsheets/d/14Bd19lYaqBhU8_DElYkX7l4wRkHqqCUFNJY4AfY3kHU/edit?usp=sharing  #gid=0"",""фіз особи new!relations_name""),6,FALSE)
,
(IF
(
C5494=""юридична особа""
,
VLOOKUP"&amp;"(D5494,IMPORTRANGE(""https://docs.google.com/spreadsheets/d/14Bd19lYaqBhU8_DElYkX7l4wRkHqqCUFNJY4AfY3kHU/edit?usp=sharing  #gid=0"",""фіз особи new!relations_name_uo""),7,FALSE)
,
)
))"),"РАЗВОЖАЄВ Михайло Володимирович")</f>
        <v>РАЗВОЖАЄВ Михайло Володимирович</v>
      </c>
      <c r="G5493" s="7" t="s">
        <v>10</v>
      </c>
      <c r="H5493" s="7">
        <v>3368</v>
      </c>
      <c r="I5493" s="8" t="str">
        <f ca="1">IFERROR(__xludf.DUMMYFUNCTION("IF
(
G5494=""фізична особа""
,
VLOOKUP(H5494,IMPORTRANGE(""https://docs.google.com/spreadsheets/d/14Bd19lYaqBhU8_DElYkX7l4wRkHqqCUFNJY4AfY3kHU/edit?usp=sharing  #gid=0"",""фіз особи new!relations_name""),6,FALSE)
,
(IF
(
G5494=""юридична особа""
,
VLOOKUP"&amp;"(H5494,IMPORTRANGE(""https://docs.google.com/spreadsheets/d/14Bd19lYaqBhU8_DElYkX7l4wRkHqqCUFNJY4AfY3kHU/edit?usp=sharing  #gid=0"",""фіз особи new!relations_name_uo""),7,FALSE)
,
)
))"),"КУЗНЄЦОВ Лев Володимирович")</f>
        <v>КУЗНЄЦОВ Лев Володимирович</v>
      </c>
      <c r="J5493" s="7" t="s">
        <v>30</v>
      </c>
    </row>
    <row r="5494" spans="1:10" ht="13.2">
      <c r="A5494" s="7">
        <v>5493</v>
      </c>
      <c r="B5494" s="7">
        <v>1</v>
      </c>
      <c r="C5494" s="7" t="s">
        <v>10</v>
      </c>
      <c r="D5494" s="7">
        <v>4614</v>
      </c>
      <c r="E5494" s="7" t="s">
        <v>50</v>
      </c>
      <c r="F5494" s="8" t="str">
        <f ca="1">IFERROR(__xludf.DUMMYFUNCTION("IF
(
C5495=""фізична особа""
,
VLOOKUP(D5495,IMPORTRANGE(""https://docs.google.com/spreadsheets/d/14Bd19lYaqBhU8_DElYkX7l4wRkHqqCUFNJY4AfY3kHU/edit?usp=sharing  #gid=0"",""фіз особи new!relations_name""),6,FALSE)
,
(IF
(
C5495=""юридична особа""
,
VLOOKUP"&amp;"(D5495,IMPORTRANGE(""https://docs.google.com/spreadsheets/d/14Bd19lYaqBhU8_DElYkX7l4wRkHqqCUFNJY4AfY3kHU/edit?usp=sharing  #gid=0"",""фіз особи new!relations_name_uo""),7,FALSE)
,
)
))"),"УДОДОВ Олександр Євгенійович")</f>
        <v>УДОДОВ Олександр Євгенійович</v>
      </c>
      <c r="G5494" s="7" t="s">
        <v>10</v>
      </c>
      <c r="H5494" s="7">
        <v>460</v>
      </c>
      <c r="I5494" s="8" t="str">
        <f ca="1">IFERROR(__xludf.DUMMYFUNCTION("IF
(
G5495=""фізична особа""
,
VLOOKUP(H5495,IMPORTRANGE(""https://docs.google.com/spreadsheets/d/14Bd19lYaqBhU8_DElYkX7l4wRkHqqCUFNJY4AfY3kHU/edit?usp=sharing  #gid=0"",""фіз особи new!relations_name""),6,FALSE)
,
(IF
(
G5495=""юридична особа""
,
VLOOKUP"&amp;"(H5495,IMPORTRANGE(""https://docs.google.com/spreadsheets/d/14Bd19lYaqBhU8_DElYkX7l4wRkHqqCUFNJY4AfY3kHU/edit?usp=sharing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5494" s="7" t="s">
        <v>26</v>
      </c>
    </row>
    <row r="5495" spans="1:10" ht="13.2">
      <c r="A5495" s="7">
        <v>5494</v>
      </c>
      <c r="B5495" s="7">
        <v>1</v>
      </c>
      <c r="C5495" s="7" t="s">
        <v>10</v>
      </c>
      <c r="D5495" s="7">
        <v>4615</v>
      </c>
      <c r="E5495" s="7" t="s">
        <v>11</v>
      </c>
      <c r="F5495" s="8" t="str">
        <f ca="1">IFERROR(__xludf.DUMMYFUNCTION("IF
(
C5496=""фізична особа""
,
VLOOKUP(D5496,IMPORTRANGE(""https://docs.google.com/spreadsheets/d/14Bd19lYaqBhU8_DElYkX7l4wRkHqqCUFNJY4AfY3kHU/edit?usp=sharing  #gid=0"",""фіз особи new!relations_name""),6,FALSE)
,
(IF
(
C5496=""юридична особа""
,
VLOOKUP"&amp;"(D5496,IMPORTRANGE(""https://docs.google.com/spreadsheets/d/14Bd19lYaqBhU8_DElYkX7l4wRkHqqCUFNJY4AfY3kHU/edit?usp=sharing  #gid=0"",""фіз особи new!relations_name_uo""),7,FALSE)
,
)
))"),"БАЄВСЬКИЙ Григорій Савельйович")</f>
        <v>БАЄВСЬКИЙ Григорій Савельйович</v>
      </c>
      <c r="G5495" s="7" t="s">
        <v>10</v>
      </c>
      <c r="H5495" s="7">
        <v>629</v>
      </c>
      <c r="I5495" s="8" t="str">
        <f ca="1">IFERROR(__xludf.DUMMYFUNCTION("IF
(
G5496=""фізична особа""
,
VLOOKUP(H5496,IMPORTRANGE(""https://docs.google.com/spreadsheets/d/14Bd19lYaqBhU8_DElYkX7l4wRkHqqCUFNJY4AfY3kHU/edit?usp=sharing  #gid=0"",""фіз особи new!relations_name""),6,FALSE)
,
(IF
(
G5496=""юридична особа""
,
VLOOKUP"&amp;"(H5496,IMPORTRANGE(""https://docs.google.com/spreadsheets/d/14Bd19lYaqBhU8_DElYkX7l4wRkHqqCUFNJY4AfY3kHU/edit?usp=sharing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5495" s="7" t="s">
        <v>11</v>
      </c>
    </row>
    <row r="5496" spans="1:10" ht="13.2">
      <c r="A5496" s="7">
        <v>5495</v>
      </c>
      <c r="B5496" s="7">
        <v>1</v>
      </c>
      <c r="C5496" s="7" t="s">
        <v>10</v>
      </c>
      <c r="D5496" s="7">
        <v>4615</v>
      </c>
      <c r="E5496" s="7" t="s">
        <v>11</v>
      </c>
      <c r="F5496" s="8" t="str">
        <f ca="1">IFERROR(__xludf.DUMMYFUNCTION("IF
(
C5497=""фізична особа""
,
VLOOKUP(D5497,IMPORTRANGE(""https://docs.google.com/spreadsheets/d/14Bd19lYaqBhU8_DElYkX7l4wRkHqqCUFNJY4AfY3kHU/edit?usp=sharing  #gid=0"",""фіз особи new!relations_name""),6,FALSE)
,
(IF
(
C5497=""юридична особа""
,
VLOOKUP"&amp;"(D5497,IMPORTRANGE(""https://docs.google.com/spreadsheets/d/14Bd19lYaqBhU8_DElYkX7l4wRkHqqCUFNJY4AfY3kHU/edit?usp=sharing  #gid=0"",""фіз особи new!relations_name_uo""),7,FALSE)
,
)
))"),"БАЄВСЬКИЙ Григорій Савельйович")</f>
        <v>БАЄВСЬКИЙ Григорій Савельйович</v>
      </c>
      <c r="G5496" s="7" t="s">
        <v>10</v>
      </c>
      <c r="H5496" s="7">
        <v>144</v>
      </c>
      <c r="I5496" s="8" t="str">
        <f ca="1">IFERROR(__xludf.DUMMYFUNCTION("IF
(
G5497=""фізична особа""
,
VLOOKUP(H5497,IMPORTRANGE(""https://docs.google.com/spreadsheets/d/14Bd19lYaqBhU8_DElYkX7l4wRkHqqCUFNJY4AfY3kHU/edit?usp=sharing  #gid=0"",""фіз особи new!relations_name""),6,FALSE)
,
(IF
(
G5497=""юридична особа""
,
VLOOKUP"&amp;"(H5497,IMPORTRANGE(""https://docs.google.com/spreadsheets/d/14Bd19lYaqBhU8_DElYkX7l4wRkHqqCUFNJY4AfY3kHU/edit?usp=sharing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5496" s="7" t="s">
        <v>11</v>
      </c>
    </row>
    <row r="5497" spans="1:10" ht="13.2">
      <c r="A5497" s="7">
        <v>5496</v>
      </c>
      <c r="B5497" s="7">
        <v>1</v>
      </c>
      <c r="C5497" s="7" t="s">
        <v>10</v>
      </c>
      <c r="D5497" s="7">
        <v>4616</v>
      </c>
      <c r="E5497" s="7" t="s">
        <v>16</v>
      </c>
      <c r="F5497" s="8" t="str">
        <f ca="1">IFERROR(__xludf.DUMMYFUNCTION("IF
(
C5498=""фізична особа""
,
VLOOKUP(D5498,IMPORTRANGE(""https://docs.google.com/spreadsheets/d/14Bd19lYaqBhU8_DElYkX7l4wRkHqqCUFNJY4AfY3kHU/edit?usp=sharing  #gid=0"",""фіз особи new!relations_name""),6,FALSE)
,
(IF
(
C5498=""юридична особа""
,
VLOOKUP"&amp;"(D5498,IMPORTRANGE(""https://docs.google.com/spreadsheets/d/14Bd19lYaqBhU8_DElYkX7l4wRkHqqCUFNJY4AfY3kHU/edit?usp=sharing  #gid=0"",""фіз особи new!relations_name_uo""),7,FALSE)
,
)
))"),"КОЛБІН Володимир Петрович")</f>
        <v>КОЛБІН Володимир Петрович</v>
      </c>
      <c r="G5497" s="7" t="s">
        <v>10</v>
      </c>
      <c r="H5497" s="7">
        <v>880</v>
      </c>
      <c r="I5497" s="8" t="str">
        <f ca="1">IFERROR(__xludf.DUMMYFUNCTION("IF
(
G5498=""фізична особа""
,
VLOOKUP(H5498,IMPORTRANGE(""https://docs.google.com/spreadsheets/d/14Bd19lYaqBhU8_DElYkX7l4wRkHqqCUFNJY4AfY3kHU/edit?usp=sharing  #gid=0"",""фіз особи new!relations_name""),6,FALSE)
,
(IF
(
G5498=""юридична особа""
,
VLOOKUP"&amp;"(H5498,IMPORTRANGE(""https://docs.google.com/spreadsheets/d/14Bd19lYaqBhU8_DElYkX7l4wRkHqqCUFNJY4AfY3kHU/edit?usp=sharing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497" s="7" t="s">
        <v>16</v>
      </c>
    </row>
    <row r="5498" spans="1:10" ht="13.2">
      <c r="A5498" s="7">
        <v>5497</v>
      </c>
      <c r="B5498" s="7">
        <v>1</v>
      </c>
      <c r="C5498" s="7" t="s">
        <v>10</v>
      </c>
      <c r="D5498" s="7">
        <v>4618</v>
      </c>
      <c r="E5498" s="7" t="s">
        <v>14</v>
      </c>
      <c r="F5498" s="8" t="str">
        <f ca="1">IFERROR(__xludf.DUMMYFUNCTION("IF
(
C5499=""фізична особа""
,
VLOOKUP(D5499,IMPORTRANGE(""https://docs.google.com/spreadsheets/d/14Bd19lYaqBhU8_DElYkX7l4wRkHqqCUFNJY4AfY3kHU/edit?usp=sharing  #gid=0"",""фіз особи new!relations_name""),6,FALSE)
,
(IF
(
C5499=""юридична особа""
,
VLOOKUP"&amp;"(D5499,IMPORTRANGE(""https://docs.google.com/spreadsheets/d/14Bd19lYaqBhU8_DElYkX7l4wRkHqqCUFNJY4AfY3kHU/edit?usp=sharing  #gid=0"",""фіз особи new!relations_name_uo""),7,FALSE)
,
)
))"),"УЗБЕКОВ Ільдар Фуадович")</f>
        <v>УЗБЕКОВ Ільдар Фуадович</v>
      </c>
      <c r="G5498" s="7" t="s">
        <v>10</v>
      </c>
      <c r="H5498" s="7">
        <v>4619</v>
      </c>
      <c r="I5498" s="8" t="str">
        <f ca="1">IFERROR(__xludf.DUMMYFUNCTION("IF
(
G5499=""фізична особа""
,
VLOOKUP(H5499,IMPORTRANGE(""https://docs.google.com/spreadsheets/d/14Bd19lYaqBhU8_DElYkX7l4wRkHqqCUFNJY4AfY3kHU/edit?usp=sharing  #gid=0"",""фіз особи new!relations_name""),6,FALSE)
,
(IF
(
G5499=""юридична особа""
,
VLOOKUP"&amp;"(H5499,IMPORTRANGE(""https://docs.google.com/spreadsheets/d/14Bd19lYaqBhU8_DElYkX7l4wRkHqqCUFNJY4AfY3kHU/edit?usp=sharing  #gid=0"",""фіз особи new!relations_name_uo""),7,FALSE)
,
)
))"),"ЩУКІНА / УЗБЕКОВА Олена Олександрівна")</f>
        <v>ЩУКІНА / УЗБЕКОВА Олена Олександрівна</v>
      </c>
      <c r="J5498" s="7" t="s">
        <v>15</v>
      </c>
    </row>
    <row r="5499" spans="1:10" ht="13.2">
      <c r="A5499" s="7">
        <v>5498</v>
      </c>
      <c r="B5499" s="7">
        <v>1</v>
      </c>
      <c r="C5499" s="7" t="s">
        <v>10</v>
      </c>
      <c r="D5499" s="7">
        <v>4618</v>
      </c>
      <c r="E5499" s="7" t="s">
        <v>26</v>
      </c>
      <c r="F5499" s="8" t="str">
        <f ca="1">IFERROR(__xludf.DUMMYFUNCTION("IF
(
C5500=""фізична особа""
,
VLOOKUP(D5500,IMPORTRANGE(""https://docs.google.com/spreadsheets/d/14Bd19lYaqBhU8_DElYkX7l4wRkHqqCUFNJY4AfY3kHU/edit?usp=sharing  #gid=0"",""фіз особи new!relations_name""),6,FALSE)
,
(IF
(
C5500=""юридична особа""
,
VLOOKUP"&amp;"(D5500,IMPORTRANGE(""https://docs.google.com/spreadsheets/d/14Bd19lYaqBhU8_DElYkX7l4wRkHqqCUFNJY4AfY3kHU/edit?usp=sharing  #gid=0"",""фіз особи new!relations_name_uo""),7,FALSE)
,
)
))"),"УЗБЕКОВ Ільдар Фуадович")</f>
        <v>УЗБЕКОВ Ільдар Фуадович</v>
      </c>
      <c r="G5499" s="7" t="s">
        <v>10</v>
      </c>
      <c r="H5499" s="7">
        <v>4620</v>
      </c>
      <c r="I5499" s="8" t="str">
        <f ca="1">IFERROR(__xludf.DUMMYFUNCTION("IF
(
G5500=""фізична особа""
,
VLOOKUP(H5500,IMPORTRANGE(""https://docs.google.com/spreadsheets/d/14Bd19lYaqBhU8_DElYkX7l4wRkHqqCUFNJY4AfY3kHU/edit?usp=sharing  #gid=0"",""фіз особи new!relations_name""),6,FALSE)
,
(IF
(
G5500=""юридична особа""
,
VLOOKUP"&amp;"(H5500,IMPORTRANGE(""https://docs.google.com/spreadsheets/d/14Bd19lYaqBhU8_DElYkX7l4wRkHqqCUFNJY4AfY3kHU/edit?usp=sharing  #gid=0"",""фіз особи new!relations_name_uo""),7,FALSE)
,
)
))"),"ЩУКІНА Євгенія Ілльвна")</f>
        <v>ЩУКІНА Євгенія Ілльвна</v>
      </c>
      <c r="J5499" s="7" t="s">
        <v>27</v>
      </c>
    </row>
    <row r="5500" spans="1:10" ht="13.2">
      <c r="A5500" s="7">
        <v>5499</v>
      </c>
      <c r="B5500" s="7">
        <v>1</v>
      </c>
      <c r="C5500" s="7" t="s">
        <v>10</v>
      </c>
      <c r="D5500" s="7">
        <v>4619</v>
      </c>
      <c r="E5500" s="7" t="s">
        <v>15</v>
      </c>
      <c r="F5500" s="8" t="str">
        <f ca="1">IFERROR(__xludf.DUMMYFUNCTION("IF
(
C5501=""фізична особа""
,
VLOOKUP(D5501,IMPORTRANGE(""https://docs.google.com/spreadsheets/d/14Bd19lYaqBhU8_DElYkX7l4wRkHqqCUFNJY4AfY3kHU/edit?usp=sharing  #gid=0"",""фіз особи new!relations_name""),6,FALSE)
,
(IF
(
C5501=""юридична особа""
,
VLOOKUP"&amp;"(D5501,IMPORTRANGE(""https://docs.google.com/spreadsheets/d/14Bd19lYaqBhU8_DElYkX7l4wRkHqqCUFNJY4AfY3kHU/edit?usp=sharing  #gid=0"",""фіз особи new!relations_name_uo""),7,FALSE)
,
)
))"),"ЩУКІНА / УЗБЕКОВА Олена Олександрівна")</f>
        <v>ЩУКІНА / УЗБЕКОВА Олена Олександрівна</v>
      </c>
      <c r="G5500" s="7" t="s">
        <v>10</v>
      </c>
      <c r="H5500" s="7">
        <v>4618</v>
      </c>
      <c r="I5500" s="8" t="str">
        <f ca="1">IFERROR(__xludf.DUMMYFUNCTION("IF
(
G5501=""фізична особа""
,
VLOOKUP(H5501,IMPORTRANGE(""https://docs.google.com/spreadsheets/d/14Bd19lYaqBhU8_DElYkX7l4wRkHqqCUFNJY4AfY3kHU/edit?usp=sharing  #gid=0"",""фіз особи new!relations_name""),6,FALSE)
,
(IF
(
G5501=""юридична особа""
,
VLOOKUP"&amp;"(H5501,IMPORTRANGE(""https://docs.google.com/spreadsheets/d/14Bd19lYaqBhU8_DElYkX7l4wRkHqqCUFNJY4AfY3kHU/edit?usp=sharing  #gid=0"",""фіз особи new!relations_name_uo""),7,FALSE)
,
)
))"),"УЗБЕКОВ Ільдар Фуадович")</f>
        <v>УЗБЕКОВ Ільдар Фуадович</v>
      </c>
      <c r="J5500" s="7" t="s">
        <v>14</v>
      </c>
    </row>
    <row r="5501" spans="1:10" ht="13.2">
      <c r="A5501" s="7">
        <v>5500</v>
      </c>
      <c r="B5501" s="7">
        <v>1</v>
      </c>
      <c r="C5501" s="7" t="s">
        <v>10</v>
      </c>
      <c r="D5501" s="7">
        <v>4619</v>
      </c>
      <c r="E5501" s="7" t="s">
        <v>13</v>
      </c>
      <c r="F5501" s="8" t="str">
        <f ca="1">IFERROR(__xludf.DUMMYFUNCTION("IF
(
C5502=""фізична особа""
,
VLOOKUP(D5502,IMPORTRANGE(""https://docs.google.com/spreadsheets/d/14Bd19lYaqBhU8_DElYkX7l4wRkHqqCUFNJY4AfY3kHU/edit?usp=sharing  #gid=0"",""фіз особи new!relations_name""),6,FALSE)
,
(IF
(
C5502=""юридична особа""
,
VLOOKUP"&amp;"(D5502,IMPORTRANGE(""https://docs.google.com/spreadsheets/d/14Bd19lYaqBhU8_DElYkX7l4wRkHqqCUFNJY4AfY3kHU/edit?usp=sharing  #gid=0"",""фіз особи new!relations_name_uo""),7,FALSE)
,
)
))"),"ЩУКІНА / УЗБЕКОВА Олена Олександрівна")</f>
        <v>ЩУКІНА / УЗБЕКОВА Олена Олександрівна</v>
      </c>
      <c r="G5501" s="7" t="s">
        <v>10</v>
      </c>
      <c r="H5501" s="7">
        <v>4620</v>
      </c>
      <c r="I5501" s="8" t="str">
        <f ca="1">IFERROR(__xludf.DUMMYFUNCTION("IF
(
G5502=""фізична особа""
,
VLOOKUP(H5502,IMPORTRANGE(""https://docs.google.com/spreadsheets/d/14Bd19lYaqBhU8_DElYkX7l4wRkHqqCUFNJY4AfY3kHU/edit?usp=sharing  #gid=0"",""фіз особи new!relations_name""),6,FALSE)
,
(IF
(
G5502=""юридична особа""
,
VLOOKUP"&amp;"(H5502,IMPORTRANGE(""https://docs.google.com/spreadsheets/d/14Bd19lYaqBhU8_DElYkX7l4wRkHqqCUFNJY4AfY3kHU/edit?usp=sharing  #gid=0"",""фіз особи new!relations_name_uo""),7,FALSE)
,
)
))"),"ЩУКІНА Євгенія Ілльвна")</f>
        <v>ЩУКІНА Євгенія Ілльвна</v>
      </c>
      <c r="J5501" s="7" t="s">
        <v>21</v>
      </c>
    </row>
    <row r="5502" spans="1:10" ht="13.2">
      <c r="A5502" s="7">
        <v>5501</v>
      </c>
      <c r="B5502" s="7">
        <v>1</v>
      </c>
      <c r="C5502" s="7" t="s">
        <v>10</v>
      </c>
      <c r="D5502" s="7">
        <v>4620</v>
      </c>
      <c r="E5502" s="7" t="s">
        <v>21</v>
      </c>
      <c r="F5502" s="8" t="str">
        <f ca="1">IFERROR(__xludf.DUMMYFUNCTION("IF
(
C5503=""фізична особа""
,
VLOOKUP(D5503,IMPORTRANGE(""https://docs.google.com/spreadsheets/d/14Bd19lYaqBhU8_DElYkX7l4wRkHqqCUFNJY4AfY3kHU/edit?usp=sharing  #gid=0"",""фіз особи new!relations_name""),6,FALSE)
,
(IF
(
C5503=""юридична особа""
,
VLOOKUP"&amp;"(D5503,IMPORTRANGE(""https://docs.google.com/spreadsheets/d/14Bd19lYaqBhU8_DElYkX7l4wRkHqqCUFNJY4AfY3kHU/edit?usp=sharing  #gid=0"",""фіз особи new!relations_name_uo""),7,FALSE)
,
)
))"),"ЩУКІНА Євгенія Ілльвна")</f>
        <v>ЩУКІНА Євгенія Ілльвна</v>
      </c>
      <c r="G5502" s="7" t="s">
        <v>10</v>
      </c>
      <c r="H5502" s="7">
        <v>4619</v>
      </c>
      <c r="I5502" s="8" t="str">
        <f ca="1">IFERROR(__xludf.DUMMYFUNCTION("IF
(
G5503=""фізична особа""
,
VLOOKUP(H5503,IMPORTRANGE(""https://docs.google.com/spreadsheets/d/14Bd19lYaqBhU8_DElYkX7l4wRkHqqCUFNJY4AfY3kHU/edit?usp=sharing  #gid=0"",""фіз особи new!relations_name""),6,FALSE)
,
(IF
(
G5503=""юридична особа""
,
VLOOKUP"&amp;"(H5503,IMPORTRANGE(""https://docs.google.com/spreadsheets/d/14Bd19lYaqBhU8_DElYkX7l4wRkHqqCUFNJY4AfY3kHU/edit?usp=sharing  #gid=0"",""фіз особи new!relations_name_uo""),7,FALSE)
,
)
))"),"ЩУКІНА / УЗБЕКОВА Олена Олександрівна")</f>
        <v>ЩУКІНА / УЗБЕКОВА Олена Олександрівна</v>
      </c>
      <c r="J5502" s="7" t="s">
        <v>13</v>
      </c>
    </row>
    <row r="5503" spans="1:10" ht="13.2">
      <c r="A5503" s="7">
        <v>5502</v>
      </c>
      <c r="B5503" s="7">
        <v>1</v>
      </c>
      <c r="C5503" s="7" t="s">
        <v>10</v>
      </c>
      <c r="D5503" s="7">
        <v>4620</v>
      </c>
      <c r="E5503" s="7" t="s">
        <v>27</v>
      </c>
      <c r="F5503" s="8" t="str">
        <f ca="1">IFERROR(__xludf.DUMMYFUNCTION("IF
(
C5504=""фізична особа""
,
VLOOKUP(D5504,IMPORTRANGE(""https://docs.google.com/spreadsheets/d/14Bd19lYaqBhU8_DElYkX7l4wRkHqqCUFNJY4AfY3kHU/edit?usp=sharing  #gid=0"",""фіз особи new!relations_name""),6,FALSE)
,
(IF
(
C5504=""юридична особа""
,
VLOOKUP"&amp;"(D5504,IMPORTRANGE(""https://docs.google.com/spreadsheets/d/14Bd19lYaqBhU8_DElYkX7l4wRkHqqCUFNJY4AfY3kHU/edit?usp=sharing  #gid=0"",""фіз особи new!relations_name_uo""),7,FALSE)
,
)
))"),"ЩУКІНА Євгенія Ілльвна")</f>
        <v>ЩУКІНА Євгенія Ілльвна</v>
      </c>
      <c r="G5503" s="7" t="s">
        <v>10</v>
      </c>
      <c r="H5503" s="7">
        <v>4618</v>
      </c>
      <c r="I5503" s="8" t="str">
        <f ca="1">IFERROR(__xludf.DUMMYFUNCTION("IF
(
G5504=""фізична особа""
,
VLOOKUP(H5504,IMPORTRANGE(""https://docs.google.com/spreadsheets/d/14Bd19lYaqBhU8_DElYkX7l4wRkHqqCUFNJY4AfY3kHU/edit?usp=sharing  #gid=0"",""фіз особи new!relations_name""),6,FALSE)
,
(IF
(
G5504=""юридична особа""
,
VLOOKUP"&amp;"(H5504,IMPORTRANGE(""https://docs.google.com/spreadsheets/d/14Bd19lYaqBhU8_DElYkX7l4wRkHqqCUFNJY4AfY3kHU/edit?usp=sharing  #gid=0"",""фіз особи new!relations_name_uo""),7,FALSE)
,
)
))"),"УЗБЕКОВ Ільдар Фуадович")</f>
        <v>УЗБЕКОВ Ільдар Фуадович</v>
      </c>
      <c r="J5503" s="7" t="s">
        <v>26</v>
      </c>
    </row>
    <row r="5504" spans="1:10" ht="13.2">
      <c r="A5504" s="7">
        <v>5503</v>
      </c>
      <c r="B5504" s="7">
        <v>1</v>
      </c>
      <c r="C5504" s="7" t="s">
        <v>10</v>
      </c>
      <c r="D5504" s="7">
        <v>4621</v>
      </c>
      <c r="E5504" s="7" t="s">
        <v>26</v>
      </c>
      <c r="F5504" s="8" t="str">
        <f ca="1">IFERROR(__xludf.DUMMYFUNCTION("IF
(
C5505=""фізична особа""
,
VLOOKUP(D5505,IMPORTRANGE(""https://docs.google.com/spreadsheets/d/14Bd19lYaqBhU8_DElYkX7l4wRkHqqCUFNJY4AfY3kHU/edit?usp=sharing  #gid=0"",""фіз особи new!relations_name""),6,FALSE)
,
(IF
(
C5505=""юридична особа""
,
VLOOKUP"&amp;"(D5505,IMPORTRANGE(""https://docs.google.com/spreadsheets/d/14Bd19lYaqBhU8_DElYkX7l4wRkHqqCUFNJY4AfY3kHU/edit?usp=sharing  #gid=0"",""фіз особи new!relations_name_uo""),7,FALSE)
,
)
))"),"ЦВЄТКОВ Дмитро Анатолійович")</f>
        <v>ЦВЄТКОВ Дмитро Анатолійович</v>
      </c>
      <c r="G5504" s="7" t="s">
        <v>10</v>
      </c>
      <c r="H5504" s="7">
        <v>0</v>
      </c>
      <c r="I5504" s="8" t="str">
        <f ca="1">IFERROR(__xludf.DUMMYFUNCTION("IF
(
G5505=""фізична особа""
,
VLOOKUP(H5505,IMPORTRANGE(""https://docs.google.com/spreadsheets/d/14Bd19lYaqBhU8_DElYkX7l4wRkHqqCUFNJY4AfY3kHU/edit?usp=sharing  #gid=0"",""фіз особи new!relations_name""),6,FALSE)
,
(IF
(
G5505=""юридична особа""
,
VLOOKUP"&amp;"(H5505,IMPORTRANGE(""https://docs.google.com/spreadsheets/d/14Bd19lYaqBhU8_DElYkX7l4wRkHqqCUFNJY4AfY3kHU/edit?usp=sharing  #gid=0"",""фіз особи new!relations_name_uo""),7,FALSE)
,
)
))"),"#N/A")</f>
        <v>#N/A</v>
      </c>
      <c r="J5504" s="7" t="s">
        <v>24</v>
      </c>
    </row>
    <row r="5505" spans="1:10" ht="13.2">
      <c r="A5505" s="7">
        <v>5504</v>
      </c>
      <c r="B5505" s="7">
        <v>1</v>
      </c>
      <c r="C5505" s="7" t="s">
        <v>10</v>
      </c>
      <c r="D5505" s="7">
        <v>4623</v>
      </c>
      <c r="E5505" s="7" t="s">
        <v>11</v>
      </c>
      <c r="F5505" s="8" t="str">
        <f ca="1">IFERROR(__xludf.DUMMYFUNCTION("IF
(
C5506=""фізична особа""
,
VLOOKUP(D5506,IMPORTRANGE(""https://docs.google.com/spreadsheets/d/14Bd19lYaqBhU8_DElYkX7l4wRkHqqCUFNJY4AfY3kHU/edit?usp=sharing  #gid=0"",""фіз особи new!relations_name""),6,FALSE)
,
(IF
(
C5506=""юридична особа""
,
VLOOKUP"&amp;"(D5506,IMPORTRANGE(""https://docs.google.com/spreadsheets/d/14Bd19lYaqBhU8_DElYkX7l4wRkHqqCUFNJY4AfY3kHU/edit?usp=sharing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G5505" s="7" t="s">
        <v>10</v>
      </c>
      <c r="H5505" s="7">
        <v>16966</v>
      </c>
      <c r="I5505" s="8" t="str">
        <f ca="1">IFERROR(__xludf.DUMMYFUNCTION("IF
(
G5506=""фізична особа""
,
VLOOKUP(H5506,IMPORTRANGE(""https://docs.google.com/spreadsheets/d/14Bd19lYaqBhU8_DElYkX7l4wRkHqqCUFNJY4AfY3kHU/edit?usp=sharing  #gid=0"",""фіз особи new!relations_name""),6,FALSE)
,
(IF
(
G5506=""юридична особа""
,
VLOOKUP"&amp;"(H5506,IMPORTRANGE(""https://docs.google.com/spreadsheets/d/14Bd19lYaqBhU8_DElYkX7l4wRkHqqCUFNJY4AfY3kHU/edit?usp=sharing  #gid=0"",""фіз особи new!relations_name_uo""),7,FALSE)
,
)
))"),"ЛУШНІКОВ Алан Валерійович")</f>
        <v>ЛУШНІКОВ Алан Валерійович</v>
      </c>
      <c r="J5505" s="7" t="s">
        <v>11</v>
      </c>
    </row>
    <row r="5506" spans="1:10" ht="13.2">
      <c r="A5506" s="7">
        <v>5505</v>
      </c>
      <c r="B5506" s="7">
        <v>1</v>
      </c>
      <c r="C5506" s="7" t="s">
        <v>10</v>
      </c>
      <c r="D5506" s="7">
        <v>4671</v>
      </c>
      <c r="E5506" s="7" t="s">
        <v>28</v>
      </c>
      <c r="F5506" s="8" t="str">
        <f ca="1">IFERROR(__xludf.DUMMYFUNCTION("IF
(
C5507=""фізична особа""
,
VLOOKUP(D5507,IMPORTRANGE(""https://docs.google.com/spreadsheets/d/14Bd19lYaqBhU8_DElYkX7l4wRkHqqCUFNJY4AfY3kHU/edit?usp=sharing  #gid=0"",""фіз особи new!relations_name""),6,FALSE)
,
(IF
(
C5507=""юридична особа""
,
VLOOKUP"&amp;"(D5507,IMPORTRANGE(""https://docs.google.com/spreadsheets/d/14Bd19lYaqBhU8_DElYkX7l4wRkHqqCUFNJY4AfY3kHU/edit?usp=sharing  #gid=0"",""фіз особи new!relations_name_uo""),7,FALSE)
,
)
))"),"РУДНЄВ Олексій В'ячеславович")</f>
        <v>РУДНЄВ Олексій В'ячеславович</v>
      </c>
      <c r="G5506" s="7" t="s">
        <v>10</v>
      </c>
      <c r="H5506" s="7">
        <v>2957</v>
      </c>
      <c r="I5506" s="8" t="str">
        <f ca="1">IFERROR(__xludf.DUMMYFUNCTION("IF
(
G5507=""фізична особа""
,
VLOOKUP(H5507,IMPORTRANGE(""https://docs.google.com/spreadsheets/d/14Bd19lYaqBhU8_DElYkX7l4wRkHqqCUFNJY4AfY3kHU/edit?usp=sharing  #gid=0"",""фіз особи new!relations_name""),6,FALSE)
,
(IF
(
G5507=""юридична особа""
,
VLOOKUP"&amp;"(H5507,IMPORTRANGE(""https://docs.google.com/spreadsheets/d/14Bd19lYaqBhU8_DElYkX7l4wRkHqqCUFNJY4AfY3kHU/edit?usp=sharing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06" s="7" t="s">
        <v>29</v>
      </c>
    </row>
    <row r="5507" spans="1:10" ht="13.2">
      <c r="A5507" s="7">
        <v>5506</v>
      </c>
      <c r="B5507" s="7">
        <v>1</v>
      </c>
      <c r="C5507" s="7" t="s">
        <v>10</v>
      </c>
      <c r="D5507" s="7">
        <v>4672</v>
      </c>
      <c r="E5507" s="7" t="s">
        <v>28</v>
      </c>
      <c r="F5507" s="8" t="str">
        <f ca="1">IFERROR(__xludf.DUMMYFUNCTION("IF
(
C5508=""фізична особа""
,
VLOOKUP(D5508,IMPORTRANGE(""https://docs.google.com/spreadsheets/d/14Bd19lYaqBhU8_DElYkX7l4wRkHqqCUFNJY4AfY3kHU/edit?usp=sharing  #gid=0"",""фіз особи new!relations_name""),6,FALSE)
,
(IF
(
C5508=""юридична особа""
,
VLOOKUP"&amp;"(D5508,IMPORTRANGE(""https://docs.google.com/spreadsheets/d/14Bd19lYaqBhU8_DElYkX7l4wRkHqqCUFNJY4AfY3kHU/edit?usp=sharing  #gid=0"",""фіз особи new!relations_name_uo""),7,FALSE)
,
)
))"),"АЙВАЗОВА Марина Анатоліївна")</f>
        <v>АЙВАЗОВА Марина Анатоліївна</v>
      </c>
      <c r="G5507" s="7" t="s">
        <v>10</v>
      </c>
      <c r="H5507" s="7">
        <v>2957</v>
      </c>
      <c r="I5507" s="8" t="str">
        <f ca="1">IFERROR(__xludf.DUMMYFUNCTION("IF
(
G5508=""фізична особа""
,
VLOOKUP(H5508,IMPORTRANGE(""https://docs.google.com/spreadsheets/d/14Bd19lYaqBhU8_DElYkX7l4wRkHqqCUFNJY4AfY3kHU/edit?usp=sharing  #gid=0"",""фіз особи new!relations_name""),6,FALSE)
,
(IF
(
G5508=""юридична особа""
,
VLOOKUP"&amp;"(H5508,IMPORTRANGE(""https://docs.google.com/spreadsheets/d/14Bd19lYaqBhU8_DElYkX7l4wRkHqqCUFNJY4AfY3kHU/edit?usp=sharing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07" s="7" t="s">
        <v>29</v>
      </c>
    </row>
    <row r="5508" spans="1:10" ht="13.2">
      <c r="A5508" s="7">
        <v>5507</v>
      </c>
      <c r="B5508" s="7">
        <v>1</v>
      </c>
      <c r="C5508" s="7" t="s">
        <v>10</v>
      </c>
      <c r="D5508" s="7">
        <v>4673</v>
      </c>
      <c r="E5508" s="7" t="s">
        <v>28</v>
      </c>
      <c r="F5508" s="8" t="str">
        <f ca="1">IFERROR(__xludf.DUMMYFUNCTION("IF
(
C5509=""фізична особа""
,
VLOOKUP(D5509,IMPORTRANGE(""https://docs.google.com/spreadsheets/d/14Bd19lYaqBhU8_DElYkX7l4wRkHqqCUFNJY4AfY3kHU/edit?usp=sharing  #gid=0"",""фіз особи new!relations_name""),6,FALSE)
,
(IF
(
C5509=""юридична особа""
,
VLOOKUP"&amp;"(D5509,IMPORTRANGE(""https://docs.google.com/spreadsheets/d/14Bd19lYaqBhU8_DElYkX7l4wRkHqqCUFNJY4AfY3kHU/edit?usp=sharing  #gid=0"",""фіз особи new!relations_name_uo""),7,FALSE)
,
)
))"),"КОРОНКЕВИЧ Костянтин Олександрович")</f>
        <v>КОРОНКЕВИЧ Костянтин Олександрович</v>
      </c>
      <c r="G5508" s="7" t="s">
        <v>10</v>
      </c>
      <c r="H5508" s="7">
        <v>2957</v>
      </c>
      <c r="I5508" s="8" t="str">
        <f ca="1">IFERROR(__xludf.DUMMYFUNCTION("IF
(
G5509=""фізична особа""
,
VLOOKUP(H5509,IMPORTRANGE(""https://docs.google.com/spreadsheets/d/14Bd19lYaqBhU8_DElYkX7l4wRkHqqCUFNJY4AfY3kHU/edit?usp=sharing  #gid=0"",""фіз особи new!relations_name""),6,FALSE)
,
(IF
(
G5509=""юридична особа""
,
VLOOKUP"&amp;"(H5509,IMPORTRANGE(""https://docs.google.com/spreadsheets/d/14Bd19lYaqBhU8_DElYkX7l4wRkHqqCUFNJY4AfY3kHU/edit?usp=sharing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08" s="7" t="s">
        <v>29</v>
      </c>
    </row>
    <row r="5509" spans="1:10" ht="13.2">
      <c r="A5509" s="7">
        <v>5508</v>
      </c>
      <c r="B5509" s="7">
        <v>1</v>
      </c>
      <c r="C5509" s="7" t="s">
        <v>10</v>
      </c>
      <c r="D5509" s="7">
        <v>4674</v>
      </c>
      <c r="E5509" s="7" t="s">
        <v>28</v>
      </c>
      <c r="F5509" s="8" t="str">
        <f ca="1">IFERROR(__xludf.DUMMYFUNCTION("IF
(
C5510=""фізична особа""
,
VLOOKUP(D5510,IMPORTRANGE(""https://docs.google.com/spreadsheets/d/14Bd19lYaqBhU8_DElYkX7l4wRkHqqCUFNJY4AfY3kHU/edit?usp=sharing  #gid=0"",""фіз особи new!relations_name""),6,FALSE)
,
(IF
(
C5510=""юридична особа""
,
VLOOKUP"&amp;"(D5510,IMPORTRANGE(""https://docs.google.com/spreadsheets/d/14Bd19lYaqBhU8_DElYkX7l4wRkHqqCUFNJY4AfY3kHU/edit?usp=sharing  #gid=0"",""фіз особи new!relations_name_uo""),7,FALSE)
,
)
))"),"ЧЕРНІТЕВИЧ Станіслав Ігорович")</f>
        <v>ЧЕРНІТЕВИЧ Станіслав Ігорович</v>
      </c>
      <c r="G5509" s="7" t="s">
        <v>10</v>
      </c>
      <c r="H5509" s="7">
        <v>2957</v>
      </c>
      <c r="I5509" s="8" t="str">
        <f ca="1">IFERROR(__xludf.DUMMYFUNCTION("IF
(
G5510=""фізична особа""
,
VLOOKUP(H5510,IMPORTRANGE(""https://docs.google.com/spreadsheets/d/14Bd19lYaqBhU8_DElYkX7l4wRkHqqCUFNJY4AfY3kHU/edit?usp=sharing  #gid=0"",""фіз особи new!relations_name""),6,FALSE)
,
(IF
(
G5510=""юридична особа""
,
VLOOKUP"&amp;"(H5510,IMPORTRANGE(""https://docs.google.com/spreadsheets/d/14Bd19lYaqBhU8_DElYkX7l4wRkHqqCUFNJY4AfY3kHU/edit?usp=sharing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09" s="7" t="s">
        <v>29</v>
      </c>
    </row>
    <row r="5510" spans="1:10" ht="13.2">
      <c r="A5510" s="7">
        <v>5509</v>
      </c>
      <c r="B5510" s="7">
        <v>1</v>
      </c>
      <c r="C5510" s="7" t="s">
        <v>10</v>
      </c>
      <c r="D5510" s="7">
        <v>4675</v>
      </c>
      <c r="E5510" s="7" t="s">
        <v>28</v>
      </c>
      <c r="F5510" s="8" t="str">
        <f ca="1">IFERROR(__xludf.DUMMYFUNCTION("IF
(
C5511=""фізична особа""
,
VLOOKUP(D5511,IMPORTRANGE(""https://docs.google.com/spreadsheets/d/14Bd19lYaqBhU8_DElYkX7l4wRkHqqCUFNJY4AfY3kHU/edit?usp=sharing  #gid=0"",""фіз особи new!relations_name""),6,FALSE)
,
(IF
(
C5511=""юридична особа""
,
VLOOKUP"&amp;"(D5511,IMPORTRANGE(""https://docs.google.com/spreadsheets/d/14Bd19lYaqBhU8_DElYkX7l4wRkHqqCUFNJY4AfY3kHU/edit?usp=sharing  #gid=0"",""фіз особи new!relations_name_uo""),7,FALSE)
,
)
))"),"РАСТРОГІН Артур Євгенович")</f>
        <v>РАСТРОГІН Артур Євгенович</v>
      </c>
      <c r="G5510" s="7" t="s">
        <v>10</v>
      </c>
      <c r="H5510" s="7">
        <v>2957</v>
      </c>
      <c r="I5510" s="8" t="str">
        <f ca="1">IFERROR(__xludf.DUMMYFUNCTION("IF
(
G5511=""фізична особа""
,
VLOOKUP(H5511,IMPORTRANGE(""https://docs.google.com/spreadsheets/d/14Bd19lYaqBhU8_DElYkX7l4wRkHqqCUFNJY4AfY3kHU/edit?usp=sharing  #gid=0"",""фіз особи new!relations_name""),6,FALSE)
,
(IF
(
G5511=""юридична особа""
,
VLOOKUP"&amp;"(H5511,IMPORTRANGE(""https://docs.google.com/spreadsheets/d/14Bd19lYaqBhU8_DElYkX7l4wRkHqqCUFNJY4AfY3kHU/edit?usp=sharing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0" s="7" t="s">
        <v>29</v>
      </c>
    </row>
    <row r="5511" spans="1:10" ht="13.2">
      <c r="A5511" s="7">
        <v>5510</v>
      </c>
      <c r="B5511" s="7">
        <v>1</v>
      </c>
      <c r="C5511" s="7" t="s">
        <v>10</v>
      </c>
      <c r="D5511" s="7">
        <v>4676</v>
      </c>
      <c r="E5511" s="7" t="s">
        <v>28</v>
      </c>
      <c r="F5511" s="8" t="str">
        <f ca="1">IFERROR(__xludf.DUMMYFUNCTION("IF
(
C5512=""фізична особа""
,
VLOOKUP(D5512,IMPORTRANGE(""https://docs.google.com/spreadsheets/d/14Bd19lYaqBhU8_DElYkX7l4wRkHqqCUFNJY4AfY3kHU/edit?usp=sharing  #gid=0"",""фіз особи new!relations_name""),6,FALSE)
,
(IF
(
C5512=""юридична особа""
,
VLOOKUP"&amp;"(D5512,IMPORTRANGE(""https://docs.google.com/spreadsheets/d/14Bd19lYaqBhU8_DElYkX7l4wRkHqqCUFNJY4AfY3kHU/edit?usp=sharing  #gid=0"",""фіз особи new!relations_name_uo""),7,FALSE)
,
)
))"),"КОЛОМЕНСЬКА Вікторія Глібівна")</f>
        <v>КОЛОМЕНСЬКА Вікторія Глібівна</v>
      </c>
      <c r="G5511" s="7" t="s">
        <v>10</v>
      </c>
      <c r="H5511" s="7">
        <v>2957</v>
      </c>
      <c r="I5511" s="8" t="str">
        <f ca="1">IFERROR(__xludf.DUMMYFUNCTION("IF
(
G5512=""фізична особа""
,
VLOOKUP(H5512,IMPORTRANGE(""https://docs.google.com/spreadsheets/d/14Bd19lYaqBhU8_DElYkX7l4wRkHqqCUFNJY4AfY3kHU/edit?usp=sharing  #gid=0"",""фіз особи new!relations_name""),6,FALSE)
,
(IF
(
G5512=""юридична особа""
,
VLOOKUP"&amp;"(H5512,IMPORTRANGE(""https://docs.google.com/spreadsheets/d/14Bd19lYaqBhU8_DElYkX7l4wRkHqqCUFNJY4AfY3kHU/edit?usp=sharing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1" s="7" t="s">
        <v>29</v>
      </c>
    </row>
    <row r="5512" spans="1:10" ht="13.2">
      <c r="A5512" s="7">
        <v>5511</v>
      </c>
      <c r="B5512" s="7">
        <v>1</v>
      </c>
      <c r="C5512" s="7" t="s">
        <v>10</v>
      </c>
      <c r="D5512" s="7">
        <v>4677</v>
      </c>
      <c r="E5512" s="7" t="s">
        <v>28</v>
      </c>
      <c r="F5512" s="8" t="str">
        <f ca="1">IFERROR(__xludf.DUMMYFUNCTION("IF
(
C5513=""фізична особа""
,
VLOOKUP(D5513,IMPORTRANGE(""https://docs.google.com/spreadsheets/d/14Bd19lYaqBhU8_DElYkX7l4wRkHqqCUFNJY4AfY3kHU/edit?usp=sharing  #gid=0"",""фіз особи new!relations_name""),6,FALSE)
,
(IF
(
C5513=""юридична особа""
,
VLOOKUP"&amp;"(D5513,IMPORTRANGE(""https://docs.google.com/spreadsheets/d/14Bd19lYaqBhU8_DElYkX7l4wRkHqqCUFNJY4AfY3kHU/edit?usp=sharing  #gid=0"",""фіз особи new!relations_name_uo""),7,FALSE)
,
)
))"),"ВЕРТІЙ Станіслав Миколайович")</f>
        <v>ВЕРТІЙ Станіслав Миколайович</v>
      </c>
      <c r="G5512" s="7" t="s">
        <v>10</v>
      </c>
      <c r="H5512" s="7">
        <v>2957</v>
      </c>
      <c r="I5512" s="8" t="str">
        <f ca="1">IFERROR(__xludf.DUMMYFUNCTION("IF
(
G5513=""фізична особа""
,
VLOOKUP(H5513,IMPORTRANGE(""https://docs.google.com/spreadsheets/d/14Bd19lYaqBhU8_DElYkX7l4wRkHqqCUFNJY4AfY3kHU/edit?usp=sharing  #gid=0"",""фіз особи new!relations_name""),6,FALSE)
,
(IF
(
G5513=""юридична особа""
,
VLOOKUP"&amp;"(H5513,IMPORTRANGE(""https://docs.google.com/spreadsheets/d/14Bd19lYaqBhU8_DElYkX7l4wRkHqqCUFNJY4AfY3kHU/edit?usp=sharing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2" s="7" t="s">
        <v>29</v>
      </c>
    </row>
    <row r="5513" spans="1:10" ht="13.2">
      <c r="A5513" s="7">
        <v>5512</v>
      </c>
      <c r="B5513" s="7">
        <v>1</v>
      </c>
      <c r="C5513" s="7" t="s">
        <v>10</v>
      </c>
      <c r="D5513" s="7">
        <v>4678</v>
      </c>
      <c r="E5513" s="7" t="s">
        <v>28</v>
      </c>
      <c r="F5513" s="8" t="str">
        <f ca="1">IFERROR(__xludf.DUMMYFUNCTION("IF
(
C5514=""фізична особа""
,
VLOOKUP(D5514,IMPORTRANGE(""https://docs.google.com/spreadsheets/d/14Bd19lYaqBhU8_DElYkX7l4wRkHqqCUFNJY4AfY3kHU/edit?usp=sharing  #gid=0"",""фіз особи new!relations_name""),6,FALSE)
,
(IF
(
C5514=""юридична особа""
,
VLOOKUP"&amp;"(D5514,IMPORTRANGE(""https://docs.google.com/spreadsheets/d/14Bd19lYaqBhU8_DElYkX7l4wRkHqqCUFNJY4AfY3kHU/edit?usp=sharing  #gid=0"",""фіз особи new!relations_name_uo""),7,FALSE)
,
)
))"),"ХАМІДУЛІН Володимир Валерійович")</f>
        <v>ХАМІДУЛІН Володимир Валерійович</v>
      </c>
      <c r="G5513" s="7" t="s">
        <v>10</v>
      </c>
      <c r="H5513" s="7">
        <v>2957</v>
      </c>
      <c r="I5513" s="8" t="str">
        <f ca="1">IFERROR(__xludf.DUMMYFUNCTION("IF
(
G5514=""фізична особа""
,
VLOOKUP(H5514,IMPORTRANGE(""https://docs.google.com/spreadsheets/d/14Bd19lYaqBhU8_DElYkX7l4wRkHqqCUFNJY4AfY3kHU/edit?usp=sharing  #gid=0"",""фіз особи new!relations_name""),6,FALSE)
,
(IF
(
G5514=""юридична особа""
,
VLOOKUP"&amp;"(H5514,IMPORTRANGE(""https://docs.google.com/spreadsheets/d/14Bd19lYaqBhU8_DElYkX7l4wRkHqqCUFNJY4AfY3kHU/edit?usp=sharing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3" s="7" t="s">
        <v>29</v>
      </c>
    </row>
    <row r="5514" spans="1:10" ht="13.2">
      <c r="A5514" s="7">
        <v>5513</v>
      </c>
      <c r="B5514" s="7">
        <v>1</v>
      </c>
      <c r="C5514" s="7" t="s">
        <v>10</v>
      </c>
      <c r="D5514" s="7">
        <v>4679</v>
      </c>
      <c r="E5514" s="7" t="s">
        <v>28</v>
      </c>
      <c r="F5514" s="8" t="str">
        <f ca="1">IFERROR(__xludf.DUMMYFUNCTION("IF
(
C5515=""фізична особа""
,
VLOOKUP(D5515,IMPORTRANGE(""https://docs.google.com/spreadsheets/d/14Bd19lYaqBhU8_DElYkX7l4wRkHqqCUFNJY4AfY3kHU/edit?usp=sharing  #gid=0"",""фіз особи new!relations_name""),6,FALSE)
,
(IF
(
C5515=""юридична особа""
,
VLOOKUP"&amp;"(D5515,IMPORTRANGE(""https://docs.google.com/spreadsheets/d/14Bd19lYaqBhU8_DElYkX7l4wRkHqqCUFNJY4AfY3kHU/edit?usp=sharing  #gid=0"",""фіз особи new!relations_name_uo""),7,FALSE)
,
)
))"),"БУЛАТОВ Олексій Михайлович")</f>
        <v>БУЛАТОВ Олексій Михайлович</v>
      </c>
      <c r="G5514" s="7" t="s">
        <v>10</v>
      </c>
      <c r="H5514" s="7">
        <v>2957</v>
      </c>
      <c r="I5514" s="8" t="str">
        <f ca="1">IFERROR(__xludf.DUMMYFUNCTION("IF
(
G5515=""фізична особа""
,
VLOOKUP(H5515,IMPORTRANGE(""https://docs.google.com/spreadsheets/d/14Bd19lYaqBhU8_DElYkX7l4wRkHqqCUFNJY4AfY3kHU/edit?usp=sharing  #gid=0"",""фіз особи new!relations_name""),6,FALSE)
,
(IF
(
G5515=""юридична особа""
,
VLOOKUP"&amp;"(H5515,IMPORTRANGE(""https://docs.google.com/spreadsheets/d/14Bd19lYaqBhU8_DElYkX7l4wRkHqqCUFNJY4AfY3kHU/edit?usp=sharing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4" s="7" t="s">
        <v>29</v>
      </c>
    </row>
    <row r="5515" spans="1:10" ht="13.2">
      <c r="A5515" s="7">
        <v>5514</v>
      </c>
      <c r="B5515" s="7">
        <v>1</v>
      </c>
      <c r="C5515" s="7" t="s">
        <v>10</v>
      </c>
      <c r="D5515" s="7">
        <v>4680</v>
      </c>
      <c r="E5515" s="7" t="s">
        <v>28</v>
      </c>
      <c r="F5515" s="8" t="str">
        <f ca="1">IFERROR(__xludf.DUMMYFUNCTION("IF
(
C5516=""фізична особа""
,
VLOOKUP(D5516,IMPORTRANGE(""https://docs.google.com/spreadsheets/d/14Bd19lYaqBhU8_DElYkX7l4wRkHqqCUFNJY4AfY3kHU/edit?usp=sharing  #gid=0"",""фіз особи new!relations_name""),6,FALSE)
,
(IF
(
C5516=""юридична особа""
,
VLOOKUP"&amp;"(D5516,IMPORTRANGE(""https://docs.google.com/spreadsheets/d/14Bd19lYaqBhU8_DElYkX7l4wRkHqqCUFNJY4AfY3kHU/edit?usp=sharing  #gid=0"",""фіз особи new!relations_name_uo""),7,FALSE)
,
)
))"),"ПАРТОЛІН Олексій Євгенович")</f>
        <v>ПАРТОЛІН Олексій Євгенович</v>
      </c>
      <c r="G5515" s="7" t="s">
        <v>10</v>
      </c>
      <c r="H5515" s="7">
        <v>2957</v>
      </c>
      <c r="I5515" s="8" t="str">
        <f ca="1">IFERROR(__xludf.DUMMYFUNCTION("IF
(
G5516=""фізична особа""
,
VLOOKUP(H5516,IMPORTRANGE(""https://docs.google.com/spreadsheets/d/14Bd19lYaqBhU8_DElYkX7l4wRkHqqCUFNJY4AfY3kHU/edit?usp=sharing  #gid=0"",""фіз особи new!relations_name""),6,FALSE)
,
(IF
(
G5516=""юридична особа""
,
VLOOKUP"&amp;"(H5516,IMPORTRANGE(""https://docs.google.com/spreadsheets/d/14Bd19lYaqBhU8_DElYkX7l4wRkHqqCUFNJY4AfY3kHU/edit?usp=sharing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5" s="7" t="s">
        <v>29</v>
      </c>
    </row>
    <row r="5516" spans="1:10" ht="13.2">
      <c r="A5516" s="7">
        <v>5515</v>
      </c>
      <c r="B5516" s="7">
        <v>1</v>
      </c>
      <c r="C5516" s="7" t="s">
        <v>10</v>
      </c>
      <c r="D5516" s="7">
        <v>4681</v>
      </c>
      <c r="E5516" s="7" t="s">
        <v>28</v>
      </c>
      <c r="F5516" s="8" t="str">
        <f ca="1">IFERROR(__xludf.DUMMYFUNCTION("IF
(
C5517=""фізична особа""
,
VLOOKUP(D5517,IMPORTRANGE(""https://docs.google.com/spreadsheets/d/14Bd19lYaqBhU8_DElYkX7l4wRkHqqCUFNJY4AfY3kHU/edit?usp=sharing  #gid=0"",""фіз особи new!relations_name""),6,FALSE)
,
(IF
(
C5517=""юридична особа""
,
VLOOKUP"&amp;"(D5517,IMPORTRANGE(""https://docs.google.com/spreadsheets/d/14Bd19lYaqBhU8_DElYkX7l4wRkHqqCUFNJY4AfY3kHU/edit?usp=sharing  #gid=0"",""фіз особи new!relations_name_uo""),7,FALSE)
,
)
))"),"ФІЛІПЦОВ Юрій Олексійович")</f>
        <v>ФІЛІПЦОВ Юрій Олексійович</v>
      </c>
      <c r="G5516" s="7" t="s">
        <v>10</v>
      </c>
      <c r="H5516" s="7">
        <v>2957</v>
      </c>
      <c r="I5516" s="8" t="str">
        <f ca="1">IFERROR(__xludf.DUMMYFUNCTION("IF
(
G5517=""фізична особа""
,
VLOOKUP(H5517,IMPORTRANGE(""https://docs.google.com/spreadsheets/d/14Bd19lYaqBhU8_DElYkX7l4wRkHqqCUFNJY4AfY3kHU/edit?usp=sharing  #gid=0"",""фіз особи new!relations_name""),6,FALSE)
,
(IF
(
G5517=""юридична особа""
,
VLOOKUP"&amp;"(H5517,IMPORTRANGE(""https://docs.google.com/spreadsheets/d/14Bd19lYaqBhU8_DElYkX7l4wRkHqqCUFNJY4AfY3kHU/edit?usp=sharing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6" s="7" t="s">
        <v>29</v>
      </c>
    </row>
    <row r="5517" spans="1:10" ht="13.2">
      <c r="A5517" s="7">
        <v>5516</v>
      </c>
      <c r="B5517" s="7">
        <v>1</v>
      </c>
      <c r="C5517" s="7" t="s">
        <v>10</v>
      </c>
      <c r="D5517" s="7">
        <v>4682</v>
      </c>
      <c r="E5517" s="7" t="s">
        <v>28</v>
      </c>
      <c r="F5517" s="8" t="str">
        <f ca="1">IFERROR(__xludf.DUMMYFUNCTION("IF
(
C5518=""фізична особа""
,
VLOOKUP(D5518,IMPORTRANGE(""https://docs.google.com/spreadsheets/d/14Bd19lYaqBhU8_DElYkX7l4wRkHqqCUFNJY4AfY3kHU/edit?usp=sharing  #gid=0"",""фіз особи new!relations_name""),6,FALSE)
,
(IF
(
C5518=""юридична особа""
,
VLOOKUP"&amp;"(D5518,IMPORTRANGE(""https://docs.google.com/spreadsheets/d/14Bd19lYaqBhU8_DElYkX7l4wRkHqqCUFNJY4AfY3kHU/edit?usp=sharing  #gid=0"",""фіз особи new!relations_name_uo""),7,FALSE)
,
)
))"),"ЦУКАНОВ Дмитро Володимирович")</f>
        <v>ЦУКАНОВ Дмитро Володимирович</v>
      </c>
      <c r="G5517" s="7" t="s">
        <v>10</v>
      </c>
      <c r="H5517" s="7">
        <v>2957</v>
      </c>
      <c r="I5517" s="8" t="str">
        <f ca="1">IFERROR(__xludf.DUMMYFUNCTION("IF
(
G5518=""фізична особа""
,
VLOOKUP(H5518,IMPORTRANGE(""https://docs.google.com/spreadsheets/d/14Bd19lYaqBhU8_DElYkX7l4wRkHqqCUFNJY4AfY3kHU/edit?usp=sharing  #gid=0"",""фіз особи new!relations_name""),6,FALSE)
,
(IF
(
G5518=""юридична особа""
,
VLOOKUP"&amp;"(H5518,IMPORTRANGE(""https://docs.google.com/spreadsheets/d/14Bd19lYaqBhU8_DElYkX7l4wRkHqqCUFNJY4AfY3kHU/edit?usp=sharing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7" s="7" t="s">
        <v>29</v>
      </c>
    </row>
    <row r="5518" spans="1:10" ht="13.2">
      <c r="A5518" s="7">
        <v>5517</v>
      </c>
      <c r="B5518" s="7">
        <v>1</v>
      </c>
      <c r="C5518" s="7" t="s">
        <v>10</v>
      </c>
      <c r="D5518" s="7">
        <v>4683</v>
      </c>
      <c r="E5518" s="7" t="s">
        <v>28</v>
      </c>
      <c r="F5518" s="8" t="str">
        <f ca="1">IFERROR(__xludf.DUMMYFUNCTION("IF
(
C5519=""фізична особа""
,
VLOOKUP(D5519,IMPORTRANGE(""https://docs.google.com/spreadsheets/d/14Bd19lYaqBhU8_DElYkX7l4wRkHqqCUFNJY4AfY3kHU/edit?usp=sharing  #gid=0"",""фіз особи new!relations_name""),6,FALSE)
,
(IF
(
C5519=""юридична особа""
,
VLOOKUP"&amp;"(D5519,IMPORTRANGE(""https://docs.google.com/spreadsheets/d/14Bd19lYaqBhU8_DElYkX7l4wRkHqqCUFNJY4AfY3kHU/edit?usp=sharing  #gid=0"",""фіз особи new!relations_name_uo""),7,FALSE)
,
)
))"),"ШЕПЕЛЄВ Микита Геннадійович")</f>
        <v>ШЕПЕЛЄВ Микита Геннадійович</v>
      </c>
      <c r="G5518" s="7" t="s">
        <v>10</v>
      </c>
      <c r="H5518" s="7">
        <v>2957</v>
      </c>
      <c r="I5518" s="8" t="str">
        <f ca="1">IFERROR(__xludf.DUMMYFUNCTION("IF
(
G5519=""фізична особа""
,
VLOOKUP(H5519,IMPORTRANGE(""https://docs.google.com/spreadsheets/d/14Bd19lYaqBhU8_DElYkX7l4wRkHqqCUFNJY4AfY3kHU/edit?usp=sharing  #gid=0"",""фіз особи new!relations_name""),6,FALSE)
,
(IF
(
G5519=""юридична особа""
,
VLOOKUP"&amp;"(H5519,IMPORTRANGE(""https://docs.google.com/spreadsheets/d/14Bd19lYaqBhU8_DElYkX7l4wRkHqqCUFNJY4AfY3kHU/edit?usp=sharing  #gid=0"",""фіз особи new!relations_name_uo""),7,FALSE)
,
)
))"),"ПЕТРОВ Євгеній Ігнатович")</f>
        <v>ПЕТРОВ Євгеній Ігнатович</v>
      </c>
      <c r="J5518" s="7" t="s">
        <v>29</v>
      </c>
    </row>
    <row r="5519" spans="1:10" ht="13.2">
      <c r="A5519" s="7">
        <v>5518</v>
      </c>
      <c r="B5519" s="7">
        <v>1</v>
      </c>
      <c r="C5519" s="7" t="s">
        <v>10</v>
      </c>
      <c r="D5519" s="7">
        <v>4684</v>
      </c>
      <c r="E5519" s="7" t="s">
        <v>44</v>
      </c>
      <c r="F5519" s="8" t="str">
        <f ca="1">IFERROR(__xludf.DUMMYFUNCTION("IF
(
C5520=""фізична особа""
,
VLOOKUP(D5520,IMPORTRANGE(""https://docs.google.com/spreadsheets/d/14Bd19lYaqBhU8_DElYkX7l4wRkHqqCUFNJY4AfY3kHU/edit?usp=sharing  #gid=0"",""фіз особи new!relations_name""),6,FALSE)
,
(IF
(
C5520=""юридична особа""
,
VLOOKUP"&amp;"(D5520,IMPORTRANGE(""https://docs.google.com/spreadsheets/d/14Bd19lYaqBhU8_DElYkX7l4wRkHqqCUFNJY4AfY3kHU/edit?usp=sharing  #gid=0"",""фіз особи new!relations_name_uo""),7,FALSE)
,
)
))"),"МЕДВЕДЄВ Андрій Васильович")</f>
        <v>МЕДВЕДЄВ Андрій Васильович</v>
      </c>
      <c r="G5519" s="7" t="s">
        <v>10</v>
      </c>
      <c r="H5519" s="7">
        <v>185</v>
      </c>
      <c r="I5519" s="8" t="str">
        <f ca="1">IFERROR(__xludf.DUMMYFUNCTION("IF
(
G5520=""фізична особа""
,
VLOOKUP(H5520,IMPORTRANGE(""https://docs.google.com/spreadsheets/d/14Bd19lYaqBhU8_DElYkX7l4wRkHqqCUFNJY4AfY3kHU/edit?usp=sharing  #gid=0"",""фіз особи new!relations_name""),6,FALSE)
,
(IF
(
G5520=""юридична особа""
,
VLOOKUP"&amp;"(H5520,IMPORTRANGE(""https://docs.google.com/spreadsheets/d/14Bd19lYaqBhU8_DElYkX7l4wRkHqqCUFNJY4AfY3kHU/edit?usp=sharing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5519" s="7" t="s">
        <v>44</v>
      </c>
    </row>
    <row r="5520" spans="1:10" ht="13.2">
      <c r="A5520" s="7">
        <v>5519</v>
      </c>
      <c r="B5520" s="7">
        <v>1</v>
      </c>
      <c r="C5520" s="7" t="s">
        <v>10</v>
      </c>
      <c r="D5520" s="7">
        <v>4685</v>
      </c>
      <c r="E5520" s="7" t="s">
        <v>21</v>
      </c>
      <c r="F5520" s="8" t="str">
        <f ca="1">IFERROR(__xludf.DUMMYFUNCTION("IF
(
C5521=""фізична особа""
,
VLOOKUP(D5521,IMPORTRANGE(""https://docs.google.com/spreadsheets/d/14Bd19lYaqBhU8_DElYkX7l4wRkHqqCUFNJY4AfY3kHU/edit?usp=sharing  #gid=0"",""фіз особи new!relations_name""),6,FALSE)
,
(IF
(
C5521=""юридична особа""
,
VLOOKUP"&amp;"(D5521,IMPORTRANGE(""https://docs.google.com/spreadsheets/d/14Bd19lYaqBhU8_DElYkX7l4wRkHqqCUFNJY4AfY3kHU/edit?usp=sharing  #gid=0"",""фіз особи new!relations_name_uo""),7,FALSE)
,
)
))"),"МЕДВЕДЄВА Юлія Веніамінівна")</f>
        <v>МЕДВЕДЄВА Юлія Веніамінівна</v>
      </c>
      <c r="G5520" s="7" t="s">
        <v>10</v>
      </c>
      <c r="H5520" s="7">
        <v>185</v>
      </c>
      <c r="I5520" s="8" t="str">
        <f ca="1">IFERROR(__xludf.DUMMYFUNCTION("IF
(
G5521=""фізична особа""
,
VLOOKUP(H5521,IMPORTRANGE(""https://docs.google.com/spreadsheets/d/14Bd19lYaqBhU8_DElYkX7l4wRkHqqCUFNJY4AfY3kHU/edit?usp=sharing  #gid=0"",""фіз особи new!relations_name""),6,FALSE)
,
(IF
(
G5521=""юридична особа""
,
VLOOKUP"&amp;"(H5521,IMPORTRANGE(""https://docs.google.com/spreadsheets/d/14Bd19lYaqBhU8_DElYkX7l4wRkHqqCUFNJY4AfY3kHU/edit?usp=sharing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5520" s="7" t="s">
        <v>17</v>
      </c>
    </row>
    <row r="5521" spans="1:10" ht="13.2">
      <c r="A5521" s="7">
        <v>5520</v>
      </c>
      <c r="B5521" s="7">
        <v>1</v>
      </c>
      <c r="C5521" s="7" t="s">
        <v>10</v>
      </c>
      <c r="D5521" s="7">
        <v>4686</v>
      </c>
      <c r="E5521" s="7" t="s">
        <v>14</v>
      </c>
      <c r="F5521" s="8" t="str">
        <f ca="1">IFERROR(__xludf.DUMMYFUNCTION("IF
(
C5522=""фізична особа""
,
VLOOKUP(D5522,IMPORTRANGE(""https://docs.google.com/spreadsheets/d/14Bd19lYaqBhU8_DElYkX7l4wRkHqqCUFNJY4AfY3kHU/edit?usp=sharing  #gid=0"",""фіз особи new!relations_name""),6,FALSE)
,
(IF
(
C5522=""юридична особа""
,
VLOOKUP"&amp;"(D5522,IMPORTRANGE(""https://docs.google.com/spreadsheets/d/14Bd19lYaqBhU8_DElYkX7l4wRkHqqCUFNJY4AfY3kHU/edit?usp=sharing  #gid=0"",""фіз особи new!relations_name_uo""),7,FALSE)
,
)
))"),"ГРИЗЛОВА Ада Вікторівна")</f>
        <v>ГРИЗЛОВА Ада Вікторівна</v>
      </c>
      <c r="G5521" s="7" t="s">
        <v>10</v>
      </c>
      <c r="H5521" s="7">
        <v>147</v>
      </c>
      <c r="I5521" s="8" t="str">
        <f ca="1">IFERROR(__xludf.DUMMYFUNCTION("IF
(
G5522=""фізична особа""
,
VLOOKUP(H5522,IMPORTRANGE(""https://docs.google.com/spreadsheets/d/14Bd19lYaqBhU8_DElYkX7l4wRkHqqCUFNJY4AfY3kHU/edit?usp=sharing  #gid=0"",""фіз особи new!relations_name""),6,FALSE)
,
(IF
(
G5522=""юридична особа""
,
VLOOKUP"&amp;"(H5522,IMPORTRANGE(""https://docs.google.com/spreadsheets/d/14Bd19lYaqBhU8_DElYkX7l4wRkHqqCUFNJY4AfY3kHU/edit?usp=sharing  #gid=0"",""фіз особи new!relations_name_uo""),7,FALSE)
,
)
))"),"ГРИЗЛОВ Борис В'ячеславович")</f>
        <v>ГРИЗЛОВ Борис В'ячеславович</v>
      </c>
      <c r="J5521" s="7" t="s">
        <v>15</v>
      </c>
    </row>
    <row r="5522" spans="1:10" ht="13.2">
      <c r="A5522" s="7">
        <v>5521</v>
      </c>
      <c r="B5522" s="7">
        <v>1</v>
      </c>
      <c r="C5522" s="7" t="s">
        <v>10</v>
      </c>
      <c r="D5522" s="7">
        <v>4686</v>
      </c>
      <c r="E5522" s="7" t="s">
        <v>30</v>
      </c>
      <c r="F5522" s="8" t="str">
        <f ca="1">IFERROR(__xludf.DUMMYFUNCTION("IF
(
C5523=""фізична особа""
,
VLOOKUP(D5523,IMPORTRANGE(""https://docs.google.com/spreadsheets/d/14Bd19lYaqBhU8_DElYkX7l4wRkHqqCUFNJY4AfY3kHU/edit?usp=sharing  #gid=0"",""фіз особи new!relations_name""),6,FALSE)
,
(IF
(
C5523=""юридична особа""
,
VLOOKUP"&amp;"(D5523,IMPORTRANGE(""https://docs.google.com/spreadsheets/d/14Bd19lYaqBhU8_DElYkX7l4wRkHqqCUFNJY4AfY3kHU/edit?usp=sharing  #gid=0"",""фіз особи new!relations_name_uo""),7,FALSE)
,
)
))"),"ГРИЗЛОВА Ада Вікторівна")</f>
        <v>ГРИЗЛОВА Ада Вікторівна</v>
      </c>
      <c r="G5522" s="7" t="s">
        <v>10</v>
      </c>
      <c r="H5522" s="7">
        <v>0</v>
      </c>
      <c r="I5522" s="8" t="str">
        <f ca="1">IFERROR(__xludf.DUMMYFUNCTION("IF
(
G5523=""фізична особа""
,
VLOOKUP(H5523,IMPORTRANGE(""https://docs.google.com/spreadsheets/d/14Bd19lYaqBhU8_DElYkX7l4wRkHqqCUFNJY4AfY3kHU/edit?usp=sharing  #gid=0"",""фіз особи new!relations_name""),6,FALSE)
,
(IF
(
G5523=""юридична особа""
,
VLOOKUP"&amp;"(H5523,IMPORTRANGE(""https://docs.google.com/spreadsheets/d/14Bd19lYaqBhU8_DElYkX7l4wRkHqqCUFNJY4AfY3kHU/edit?usp=sharing  #gid=0"",""фіз особи new!relations_name_uo""),7,FALSE)
,
)
))"),"#N/A")</f>
        <v>#N/A</v>
      </c>
      <c r="J5522" s="7" t="s">
        <v>30</v>
      </c>
    </row>
    <row r="5523" spans="1:10" ht="13.2">
      <c r="A5523" s="7">
        <v>5522</v>
      </c>
      <c r="B5523" s="7">
        <v>1</v>
      </c>
      <c r="C5523" s="7" t="s">
        <v>10</v>
      </c>
      <c r="D5523" s="7">
        <v>4687</v>
      </c>
      <c r="E5523" s="7" t="s">
        <v>17</v>
      </c>
      <c r="F5523" s="8" t="str">
        <f ca="1">IFERROR(__xludf.DUMMYFUNCTION("IF
(
C5524=""фізична особа""
,
VLOOKUP(D5524,IMPORTRANGE(""https://docs.google.com/spreadsheets/d/14Bd19lYaqBhU8_DElYkX7l4wRkHqqCUFNJY4AfY3kHU/edit?usp=sharing  #gid=0"",""фіз особи new!relations_name""),6,FALSE)
,
(IF
(
C5524=""юридична особа""
,
VLOOKUP"&amp;"(D5524,IMPORTRANGE(""https://docs.google.com/spreadsheets/d/14Bd19lYaqBhU8_DElYkX7l4wRkHqqCUFNJY4AfY3kHU/edit?usp=sharing  #gid=0"",""фіз особи new!relations_name_uo""),7,FALSE)
,
)
))"),"ГРИЗЛОВ Дмитро Борисович")</f>
        <v>ГРИЗЛОВ Дмитро Борисович</v>
      </c>
      <c r="G5523" s="7" t="s">
        <v>10</v>
      </c>
      <c r="H5523" s="7">
        <v>147</v>
      </c>
      <c r="I5523" s="8" t="str">
        <f ca="1">IFERROR(__xludf.DUMMYFUNCTION("IF
(
G5524=""фізична особа""
,
VLOOKUP(H5524,IMPORTRANGE(""https://docs.google.com/spreadsheets/d/14Bd19lYaqBhU8_DElYkX7l4wRkHqqCUFNJY4AfY3kHU/edit?usp=sharing  #gid=0"",""фіз особи new!relations_name""),6,FALSE)
,
(IF
(
G5524=""юридична особа""
,
VLOOKUP"&amp;"(H5524,IMPORTRANGE(""https://docs.google.com/spreadsheets/d/14Bd19lYaqBhU8_DElYkX7l4wRkHqqCUFNJY4AfY3kHU/edit?usp=sharing  #gid=0"",""фіз особи new!relations_name_uo""),7,FALSE)
,
)
))"),"ГРИЗЛОВ Борис В'ячеславович")</f>
        <v>ГРИЗЛОВ Борис В'ячеславович</v>
      </c>
      <c r="J5523" s="7" t="s">
        <v>12</v>
      </c>
    </row>
    <row r="5524" spans="1:10" ht="13.2">
      <c r="A5524" s="7">
        <v>5523</v>
      </c>
      <c r="B5524" s="7">
        <v>1</v>
      </c>
      <c r="C5524" s="7" t="s">
        <v>10</v>
      </c>
      <c r="D5524" s="7">
        <v>4688</v>
      </c>
      <c r="E5524" s="7" t="s">
        <v>15</v>
      </c>
      <c r="F5524" s="8" t="str">
        <f ca="1">IFERROR(__xludf.DUMMYFUNCTION("IF
(
C5525=""фізична особа""
,
VLOOKUP(D5525,IMPORTRANGE(""https://docs.google.com/spreadsheets/d/14Bd19lYaqBhU8_DElYkX7l4wRkHqqCUFNJY4AfY3kHU/edit?usp=sharing  #gid=0"",""фіз особи new!relations_name""),6,FALSE)
,
(IF
(
C5525=""юридична особа""
,
VLOOKUP"&amp;"(D5525,IMPORTRANGE(""https://docs.google.com/spreadsheets/d/14Bd19lYaqBhU8_DElYkX7l4wRkHqqCUFNJY4AfY3kHU/edit?usp=sharing  #gid=0"",""фіз особи new!relations_name_uo""),7,FALSE)
,
)
))"),"АЗАРОВА Елліна Вячеславівна")</f>
        <v>АЗАРОВА Елліна Вячеславівна</v>
      </c>
      <c r="G5524" s="7" t="s">
        <v>10</v>
      </c>
      <c r="H5524" s="7">
        <v>2557</v>
      </c>
      <c r="I5524" s="8" t="str">
        <f ca="1">IFERROR(__xludf.DUMMYFUNCTION("IF
(
G5525=""фізична особа""
,
VLOOKUP(H5525,IMPORTRANGE(""https://docs.google.com/spreadsheets/d/14Bd19lYaqBhU8_DElYkX7l4wRkHqqCUFNJY4AfY3kHU/edit?usp=sharing  #gid=0"",""фіз особи new!relations_name""),6,FALSE)
,
(IF
(
G5525=""юридична особа""
,
VLOOKUP"&amp;"(H5525,IMPORTRANGE(""https://docs.google.com/spreadsheets/d/14Bd19lYaqBhU8_DElYkX7l4wRkHqqCUFNJY4AfY3kHU/edit?usp=sharing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J5524" s="7" t="s">
        <v>14</v>
      </c>
    </row>
    <row r="5525" spans="1:10" ht="13.2">
      <c r="A5525" s="7">
        <v>5524</v>
      </c>
      <c r="B5525" s="7">
        <v>1</v>
      </c>
      <c r="C5525" s="7" t="s">
        <v>10</v>
      </c>
      <c r="D5525" s="7">
        <v>4688</v>
      </c>
      <c r="E5525" s="7" t="s">
        <v>30</v>
      </c>
      <c r="F5525" s="8" t="str">
        <f ca="1">IFERROR(__xludf.DUMMYFUNCTION("IF
(
C5526=""фізична особа""
,
VLOOKUP(D5526,IMPORTRANGE(""https://docs.google.com/spreadsheets/d/14Bd19lYaqBhU8_DElYkX7l4wRkHqqCUFNJY4AfY3kHU/edit?usp=sharing  #gid=0"",""фіз особи new!relations_name""),6,FALSE)
,
(IF
(
C5526=""юридична особа""
,
VLOOKUP"&amp;"(D5526,IMPORTRANGE(""https://docs.google.com/spreadsheets/d/14Bd19lYaqBhU8_DElYkX7l4wRkHqqCUFNJY4AfY3kHU/edit?usp=sharing  #gid=0"",""фіз особи new!relations_name_uo""),7,FALSE)
,
)
))"),"АЗАРОВА Елліна Вячеславівна")</f>
        <v>АЗАРОВА Елліна Вячеславівна</v>
      </c>
      <c r="G5525" s="7" t="s">
        <v>10</v>
      </c>
      <c r="H5525" s="7">
        <v>23534</v>
      </c>
      <c r="I5525" s="8" t="str">
        <f ca="1">IFERROR(__xludf.DUMMYFUNCTION("IF
(
G5526=""фізична особа""
,
VLOOKUP(H5526,IMPORTRANGE(""https://docs.google.com/spreadsheets/d/14Bd19lYaqBhU8_DElYkX7l4wRkHqqCUFNJY4AfY3kHU/edit?usp=sharing  #gid=0"",""фіз особи new!relations_name""),6,FALSE)
,
(IF
(
G5526=""юридична особа""
,
VLOOKUP"&amp;"(H5526,IMPORTRANGE(""https://docs.google.com/spreadsheets/d/14Bd19lYaqBhU8_DElYkX7l4wRkHqqCUFNJY4AfY3kHU/edit?usp=sharing  #gid=0"",""фіз особи new!relations_name_uo""),7,FALSE)
,
)
))"),"АКТОВА Людмила Михайлівна")</f>
        <v>АКТОВА Людмила Михайлівна</v>
      </c>
      <c r="J5525" s="7" t="s">
        <v>30</v>
      </c>
    </row>
    <row r="5526" spans="1:10" ht="13.2">
      <c r="A5526" s="7">
        <v>5525</v>
      </c>
      <c r="B5526" s="7">
        <v>1</v>
      </c>
      <c r="C5526" s="7" t="s">
        <v>10</v>
      </c>
      <c r="D5526" s="7">
        <v>4688</v>
      </c>
      <c r="E5526" s="7" t="s">
        <v>30</v>
      </c>
      <c r="F5526" s="8" t="str">
        <f ca="1">IFERROR(__xludf.DUMMYFUNCTION("IF
(
C5527=""фізична особа""
,
VLOOKUP(D5527,IMPORTRANGE(""https://docs.google.com/spreadsheets/d/14Bd19lYaqBhU8_DElYkX7l4wRkHqqCUFNJY4AfY3kHU/edit?usp=sharing  #gid=0"",""фіз особи new!relations_name""),6,FALSE)
,
(IF
(
C5527=""юридична особа""
,
VLOOKUP"&amp;"(D5527,IMPORTRANGE(""https://docs.google.com/spreadsheets/d/14Bd19lYaqBhU8_DElYkX7l4wRkHqqCUFNJY4AfY3kHU/edit?usp=sharing  #gid=0"",""фіз особи new!relations_name_uo""),7,FALSE)
,
)
))"),"АЗАРОВА Елліна Вячеславівна")</f>
        <v>АЗАРОВА Елліна Вячеславівна</v>
      </c>
      <c r="G5526" s="7" t="s">
        <v>10</v>
      </c>
      <c r="H5526" s="7">
        <v>23512</v>
      </c>
      <c r="I5526" s="8" t="str">
        <f ca="1">IFERROR(__xludf.DUMMYFUNCTION("IF
(
G5527=""фізична особа""
,
VLOOKUP(H5527,IMPORTRANGE(""https://docs.google.com/spreadsheets/d/14Bd19lYaqBhU8_DElYkX7l4wRkHqqCUFNJY4AfY3kHU/edit?usp=sharing  #gid=0"",""фіз особи new!relations_name""),6,FALSE)
,
(IF
(
G5527=""юридична особа""
,
VLOOKUP"&amp;"(H5527,IMPORTRANGE(""https://docs.google.com/spreadsheets/d/14Bd19lYaqBhU8_DElYkX7l4wRkHqqCUFNJY4AfY3kHU/edit?usp=sharing  #gid=0"",""фіз особи new!relations_name_uo""),7,FALSE)
,
)
))"),"АКАТОВ Вячеслав Михайлович")</f>
        <v>АКАТОВ Вячеслав Михайлович</v>
      </c>
      <c r="J5526" s="7" t="s">
        <v>30</v>
      </c>
    </row>
    <row r="5527" spans="1:10" ht="13.2">
      <c r="A5527" s="7">
        <v>5526</v>
      </c>
      <c r="B5527" s="7">
        <v>1</v>
      </c>
      <c r="C5527" s="7" t="s">
        <v>10</v>
      </c>
      <c r="D5527" s="7">
        <v>4688</v>
      </c>
      <c r="E5527" s="7" t="s">
        <v>30</v>
      </c>
      <c r="F5527" s="8" t="str">
        <f ca="1">IFERROR(__xludf.DUMMYFUNCTION("IF
(
C5528=""фізична особа""
,
VLOOKUP(D5528,IMPORTRANGE(""https://docs.google.com/spreadsheets/d/14Bd19lYaqBhU8_DElYkX7l4wRkHqqCUFNJY4AfY3kHU/edit?usp=sharing  #gid=0"",""фіз особи new!relations_name""),6,FALSE)
,
(IF
(
C5528=""юридична особа""
,
VLOOKUP"&amp;"(D5528,IMPORTRANGE(""https://docs.google.com/spreadsheets/d/14Bd19lYaqBhU8_DElYkX7l4wRkHqqCUFNJY4AfY3kHU/edit?usp=sharing  #gid=0"",""фіз особи new!relations_name_uo""),7,FALSE)
,
)
))"),"АЗАРОВА Елліна Вячеславівна")</f>
        <v>АЗАРОВА Елліна Вячеславівна</v>
      </c>
      <c r="G5527" s="7" t="s">
        <v>10</v>
      </c>
      <c r="H5527" s="7">
        <v>23535</v>
      </c>
      <c r="I5527" s="8" t="str">
        <f ca="1">IFERROR(__xludf.DUMMYFUNCTION("IF
(
G5528=""фізична особа""
,
VLOOKUP(H5528,IMPORTRANGE(""https://docs.google.com/spreadsheets/d/14Bd19lYaqBhU8_DElYkX7l4wRkHqqCUFNJY4AfY3kHU/edit?usp=sharing  #gid=0"",""фіз особи new!relations_name""),6,FALSE)
,
(IF
(
G5528=""юридична особа""
,
VLOOKUP"&amp;"(H5528,IMPORTRANGE(""https://docs.google.com/spreadsheets/d/14Bd19lYaqBhU8_DElYkX7l4wRkHqqCUFNJY4AfY3kHU/edit?usp=sharing  #gid=0"",""фіз особи new!relations_name_uo""),7,FALSE)
,
)
))"),"АКТОВА Ольга Вячеславівна")</f>
        <v>АКТОВА Ольга Вячеславівна</v>
      </c>
      <c r="J5527" s="7" t="s">
        <v>30</v>
      </c>
    </row>
    <row r="5528" spans="1:10" ht="13.2">
      <c r="A5528" s="7">
        <v>5527</v>
      </c>
      <c r="B5528" s="7">
        <v>1</v>
      </c>
      <c r="C5528" s="7" t="s">
        <v>10</v>
      </c>
      <c r="D5528" s="7">
        <v>4689</v>
      </c>
      <c r="E5528" s="7" t="s">
        <v>22</v>
      </c>
      <c r="F5528" s="8" t="str">
        <f ca="1">IFERROR(__xludf.DUMMYFUNCTION("IF
(
C5529=""фізична особа""
,
VLOOKUP(D5529,IMPORTRANGE(""https://docs.google.com/spreadsheets/d/14Bd19lYaqBhU8_DElYkX7l4wRkHqqCUFNJY4AfY3kHU/edit?usp=sharing  #gid=0"",""фіз особи new!relations_name""),6,FALSE)
,
(IF
(
C5529=""юридична особа""
,
VLOOKUP"&amp;"(D5529,IMPORTRANGE(""https://docs.google.com/spreadsheets/d/14Bd19lYaqBhU8_DElYkX7l4wRkHqqCUFNJY4AfY3kHU/edit?usp=sharing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G5528" s="7" t="s">
        <v>10</v>
      </c>
      <c r="H5528" s="7">
        <v>4691</v>
      </c>
      <c r="I5528" s="8" t="str">
        <f ca="1">IFERROR(__xludf.DUMMYFUNCTION("IF
(
G5529=""фізична особа""
,
VLOOKUP(H5529,IMPORTRANGE(""https://docs.google.com/spreadsheets/d/14Bd19lYaqBhU8_DElYkX7l4wRkHqqCUFNJY4AfY3kHU/edit?usp=sharing  #gid=0"",""фіз особи new!relations_name""),6,FALSE)
,
(IF
(
G5529=""юридична особа""
,
VLOOKUP"&amp;"(H5529,IMPORTRANGE(""https://docs.google.com/spreadsheets/d/14Bd19lYaqBhU8_DElYkX7l4wRkHqqCUFNJY4AfY3kHU/edit?usp=sharing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J5528" s="7" t="s">
        <v>19</v>
      </c>
    </row>
    <row r="5529" spans="1:10" ht="13.2">
      <c r="A5529" s="7">
        <v>5528</v>
      </c>
      <c r="B5529" s="7">
        <v>1</v>
      </c>
      <c r="C5529" s="7" t="s">
        <v>10</v>
      </c>
      <c r="D5529" s="7">
        <v>4689</v>
      </c>
      <c r="E5529" s="7" t="s">
        <v>13</v>
      </c>
      <c r="F5529" s="8" t="str">
        <f ca="1">IFERROR(__xludf.DUMMYFUNCTION("IF
(
C5530=""фізична особа""
,
VLOOKUP(D5530,IMPORTRANGE(""https://docs.google.com/spreadsheets/d/14Bd19lYaqBhU8_DElYkX7l4wRkHqqCUFNJY4AfY3kHU/edit?usp=sharing  #gid=0"",""фіз особи new!relations_name""),6,FALSE)
,
(IF
(
C5530=""юридична особа""
,
VLOOKUP"&amp;"(D5530,IMPORTRANGE(""https://docs.google.com/spreadsheets/d/14Bd19lYaqBhU8_DElYkX7l4wRkHqqCUFNJY4AfY3kHU/edit?usp=sharing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G5529" s="7" t="s">
        <v>10</v>
      </c>
      <c r="H5529" s="7">
        <v>2557</v>
      </c>
      <c r="I5529" s="8" t="str">
        <f ca="1">IFERROR(__xludf.DUMMYFUNCTION("IF
(
G5530=""фізична особа""
,
VLOOKUP(H5530,IMPORTRANGE(""https://docs.google.com/spreadsheets/d/14Bd19lYaqBhU8_DElYkX7l4wRkHqqCUFNJY4AfY3kHU/edit?usp=sharing  #gid=0"",""фіз особи new!relations_name""),6,FALSE)
,
(IF
(
G5530=""юридична особа""
,
VLOOKUP"&amp;"(H5530,IMPORTRANGE(""https://docs.google.com/spreadsheets/d/14Bd19lYaqBhU8_DElYkX7l4wRkHqqCUFNJY4AfY3kHU/edit?usp=sharing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J5529" s="7" t="s">
        <v>12</v>
      </c>
    </row>
    <row r="5530" spans="1:10" ht="13.2">
      <c r="A5530" s="7">
        <v>5529</v>
      </c>
      <c r="B5530" s="7">
        <v>1</v>
      </c>
      <c r="C5530" s="7" t="s">
        <v>10</v>
      </c>
      <c r="D5530" s="7">
        <v>4689</v>
      </c>
      <c r="E5530" s="7" t="s">
        <v>30</v>
      </c>
      <c r="F5530" s="8" t="str">
        <f ca="1">IFERROR(__xludf.DUMMYFUNCTION("IF
(
C5531=""фізична особа""
,
VLOOKUP(D5531,IMPORTRANGE(""https://docs.google.com/spreadsheets/d/14Bd19lYaqBhU8_DElYkX7l4wRkHqqCUFNJY4AfY3kHU/edit?usp=sharing  #gid=0"",""фіз особи new!relations_name""),6,FALSE)
,
(IF
(
C5531=""юридична особа""
,
VLOOKUP"&amp;"(D5531,IMPORTRANGE(""https://docs.google.com/spreadsheets/d/14Bd19lYaqBhU8_DElYkX7l4wRkHqqCUFNJY4AfY3kHU/edit?usp=sharing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G5530" s="7" t="s">
        <v>10</v>
      </c>
      <c r="H5530" s="7">
        <v>23534</v>
      </c>
      <c r="I5530" s="8" t="str">
        <f ca="1">IFERROR(__xludf.DUMMYFUNCTION("IF
(
G5531=""фізична особа""
,
VLOOKUP(H5531,IMPORTRANGE(""https://docs.google.com/spreadsheets/d/14Bd19lYaqBhU8_DElYkX7l4wRkHqqCUFNJY4AfY3kHU/edit?usp=sharing  #gid=0"",""фіз особи new!relations_name""),6,FALSE)
,
(IF
(
G5531=""юридична особа""
,
VLOOKUP"&amp;"(H5531,IMPORTRANGE(""https://docs.google.com/spreadsheets/d/14Bd19lYaqBhU8_DElYkX7l4wRkHqqCUFNJY4AfY3kHU/edit?usp=sharing  #gid=0"",""фіз особи new!relations_name_uo""),7,FALSE)
,
)
))"),"АКТОВА Людмила Михайлівна")</f>
        <v>АКТОВА Людмила Михайлівна</v>
      </c>
      <c r="J5530" s="7" t="s">
        <v>30</v>
      </c>
    </row>
    <row r="5531" spans="1:10" ht="13.2">
      <c r="A5531" s="7">
        <v>5530</v>
      </c>
      <c r="B5531" s="7">
        <v>1</v>
      </c>
      <c r="C5531" s="7" t="s">
        <v>10</v>
      </c>
      <c r="D5531" s="7">
        <v>4689</v>
      </c>
      <c r="E5531" s="7" t="s">
        <v>30</v>
      </c>
      <c r="F5531" s="8" t="str">
        <f ca="1">IFERROR(__xludf.DUMMYFUNCTION("IF
(
C5532=""фізична особа""
,
VLOOKUP(D5532,IMPORTRANGE(""https://docs.google.com/spreadsheets/d/14Bd19lYaqBhU8_DElYkX7l4wRkHqqCUFNJY4AfY3kHU/edit?usp=sharing  #gid=0"",""фіз особи new!relations_name""),6,FALSE)
,
(IF
(
C5532=""юридична особа""
,
VLOOKUP"&amp;"(D5532,IMPORTRANGE(""https://docs.google.com/spreadsheets/d/14Bd19lYaqBhU8_DElYkX7l4wRkHqqCUFNJY4AfY3kHU/edit?usp=sharing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G5531" s="7" t="s">
        <v>10</v>
      </c>
      <c r="H5531" s="7">
        <v>23512</v>
      </c>
      <c r="I5531" s="8" t="str">
        <f ca="1">IFERROR(__xludf.DUMMYFUNCTION("IF
(
G5532=""фізична особа""
,
VLOOKUP(H5532,IMPORTRANGE(""https://docs.google.com/spreadsheets/d/14Bd19lYaqBhU8_DElYkX7l4wRkHqqCUFNJY4AfY3kHU/edit?usp=sharing  #gid=0"",""фіз особи new!relations_name""),6,FALSE)
,
(IF
(
G5532=""юридична особа""
,
VLOOKUP"&amp;"(H5532,IMPORTRANGE(""https://docs.google.com/spreadsheets/d/14Bd19lYaqBhU8_DElYkX7l4wRkHqqCUFNJY4AfY3kHU/edit?usp=sharing  #gid=0"",""фіз особи new!relations_name_uo""),7,FALSE)
,
)
))"),"АКАТОВ Вячеслав Михайлович")</f>
        <v>АКАТОВ Вячеслав Михайлович</v>
      </c>
      <c r="J5531" s="7" t="s">
        <v>30</v>
      </c>
    </row>
    <row r="5532" spans="1:10" ht="13.2">
      <c r="A5532" s="7">
        <v>5531</v>
      </c>
      <c r="B5532" s="7">
        <v>1</v>
      </c>
      <c r="C5532" s="7" t="s">
        <v>10</v>
      </c>
      <c r="D5532" s="7">
        <v>4689</v>
      </c>
      <c r="E5532" s="7" t="s">
        <v>30</v>
      </c>
      <c r="F5532" s="8" t="str">
        <f ca="1">IFERROR(__xludf.DUMMYFUNCTION("IF
(
C5533=""фізична особа""
,
VLOOKUP(D5533,IMPORTRANGE(""https://docs.google.com/spreadsheets/d/14Bd19lYaqBhU8_DElYkX7l4wRkHqqCUFNJY4AfY3kHU/edit?usp=sharing  #gid=0"",""фіз особи new!relations_name""),6,FALSE)
,
(IF
(
C5533=""юридична особа""
,
VLOOKUP"&amp;"(D5533,IMPORTRANGE(""https://docs.google.com/spreadsheets/d/14Bd19lYaqBhU8_DElYkX7l4wRkHqqCUFNJY4AfY3kHU/edit?usp=sharing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G5532" s="7" t="s">
        <v>10</v>
      </c>
      <c r="H5532" s="7">
        <v>23535</v>
      </c>
      <c r="I5532" s="8" t="str">
        <f ca="1">IFERROR(__xludf.DUMMYFUNCTION("IF
(
G5533=""фізична особа""
,
VLOOKUP(H5533,IMPORTRANGE(""https://docs.google.com/spreadsheets/d/14Bd19lYaqBhU8_DElYkX7l4wRkHqqCUFNJY4AfY3kHU/edit?usp=sharing  #gid=0"",""фіз особи new!relations_name""),6,FALSE)
,
(IF
(
G5533=""юридична особа""
,
VLOOKUP"&amp;"(H5533,IMPORTRANGE(""https://docs.google.com/spreadsheets/d/14Bd19lYaqBhU8_DElYkX7l4wRkHqqCUFNJY4AfY3kHU/edit?usp=sharing  #gid=0"",""фіз особи new!relations_name_uo""),7,FALSE)
,
)
))"),"АКТОВА Ольга Вячеславівна")</f>
        <v>АКТОВА Ольга Вячеславівна</v>
      </c>
      <c r="J5532" s="7" t="s">
        <v>30</v>
      </c>
    </row>
    <row r="5533" spans="1:10" ht="13.2">
      <c r="A5533" s="7">
        <v>5532</v>
      </c>
      <c r="B5533" s="7">
        <v>1</v>
      </c>
      <c r="C5533" s="7" t="s">
        <v>10</v>
      </c>
      <c r="D5533" s="7">
        <v>4690</v>
      </c>
      <c r="E5533" s="7" t="s">
        <v>22</v>
      </c>
      <c r="F5533" s="8" t="str">
        <f ca="1">IFERROR(__xludf.DUMMYFUNCTION("IF
(
C5534=""фізична особа""
,
VLOOKUP(D5534,IMPORTRANGE(""https://docs.google.com/spreadsheets/d/14Bd19lYaqBhU8_DElYkX7l4wRkHqqCUFNJY4AfY3kHU/edit?usp=sharing  #gid=0"",""фіз особи new!relations_name""),6,FALSE)
,
(IF
(
C5534=""юридична особа""
,
VLOOKUP"&amp;"(D5534,IMPORTRANGE(""https://docs.google.com/spreadsheets/d/14Bd19lYaqBhU8_DElYkX7l4wRkHqqCUFNJY4AfY3kHU/edit?usp=sharing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G5533" s="7" t="s">
        <v>10</v>
      </c>
      <c r="H5533" s="7">
        <v>4691</v>
      </c>
      <c r="I5533" s="8" t="str">
        <f ca="1">IFERROR(__xludf.DUMMYFUNCTION("IF
(
G5534=""фізична особа""
,
VLOOKUP(H5534,IMPORTRANGE(""https://docs.google.com/spreadsheets/d/14Bd19lYaqBhU8_DElYkX7l4wRkHqqCUFNJY4AfY3kHU/edit?usp=sharing  #gid=0"",""фіз особи new!relations_name""),6,FALSE)
,
(IF
(
G5534=""юридична особа""
,
VLOOKUP"&amp;"(H5534,IMPORTRANGE(""https://docs.google.com/spreadsheets/d/14Bd19lYaqBhU8_DElYkX7l4wRkHqqCUFNJY4AfY3kHU/edit?usp=sharing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J5533" s="7" t="s">
        <v>19</v>
      </c>
    </row>
    <row r="5534" spans="1:10" ht="13.2">
      <c r="A5534" s="7">
        <v>5533</v>
      </c>
      <c r="B5534" s="7">
        <v>1</v>
      </c>
      <c r="C5534" s="7" t="s">
        <v>10</v>
      </c>
      <c r="D5534" s="7">
        <v>4690</v>
      </c>
      <c r="E5534" s="7" t="s">
        <v>13</v>
      </c>
      <c r="F5534" s="8" t="str">
        <f ca="1">IFERROR(__xludf.DUMMYFUNCTION("IF
(
C5535=""фізична особа""
,
VLOOKUP(D5535,IMPORTRANGE(""https://docs.google.com/spreadsheets/d/14Bd19lYaqBhU8_DElYkX7l4wRkHqqCUFNJY4AfY3kHU/edit?usp=sharing  #gid=0"",""фіз особи new!relations_name""),6,FALSE)
,
(IF
(
C5535=""юридична особа""
,
VLOOKUP"&amp;"(D5535,IMPORTRANGE(""https://docs.google.com/spreadsheets/d/14Bd19lYaqBhU8_DElYkX7l4wRkHqqCUFNJY4AfY3kHU/edit?usp=sharing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G5534" s="7" t="s">
        <v>10</v>
      </c>
      <c r="H5534" s="7">
        <v>2557</v>
      </c>
      <c r="I5534" s="8" t="str">
        <f ca="1">IFERROR(__xludf.DUMMYFUNCTION("IF
(
G5535=""фізична особа""
,
VLOOKUP(H5535,IMPORTRANGE(""https://docs.google.com/spreadsheets/d/14Bd19lYaqBhU8_DElYkX7l4wRkHqqCUFNJY4AfY3kHU/edit?usp=sharing  #gid=0"",""фіз особи new!relations_name""),6,FALSE)
,
(IF
(
G5535=""юридична особа""
,
VLOOKUP"&amp;"(H5535,IMPORTRANGE(""https://docs.google.com/spreadsheets/d/14Bd19lYaqBhU8_DElYkX7l4wRkHqqCUFNJY4AfY3kHU/edit?usp=sharing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J5534" s="7" t="s">
        <v>12</v>
      </c>
    </row>
    <row r="5535" spans="1:10" ht="13.2">
      <c r="A5535" s="7">
        <v>5534</v>
      </c>
      <c r="B5535" s="7">
        <v>1</v>
      </c>
      <c r="C5535" s="7" t="s">
        <v>10</v>
      </c>
      <c r="D5535" s="7">
        <v>4690</v>
      </c>
      <c r="E5535" s="7" t="s">
        <v>30</v>
      </c>
      <c r="F5535" s="8" t="str">
        <f ca="1">IFERROR(__xludf.DUMMYFUNCTION("IF
(
C5536=""фізична особа""
,
VLOOKUP(D5536,IMPORTRANGE(""https://docs.google.com/spreadsheets/d/14Bd19lYaqBhU8_DElYkX7l4wRkHqqCUFNJY4AfY3kHU/edit?usp=sharing  #gid=0"",""фіз особи new!relations_name""),6,FALSE)
,
(IF
(
C5536=""юридична особа""
,
VLOOKUP"&amp;"(D5536,IMPORTRANGE(""https://docs.google.com/spreadsheets/d/14Bd19lYaqBhU8_DElYkX7l4wRkHqqCUFNJY4AfY3kHU/edit?usp=sharing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G5535" s="7" t="s">
        <v>10</v>
      </c>
      <c r="H5535" s="7">
        <v>23534</v>
      </c>
      <c r="I5535" s="8" t="str">
        <f ca="1">IFERROR(__xludf.DUMMYFUNCTION("IF
(
G5536=""фізична особа""
,
VLOOKUP(H5536,IMPORTRANGE(""https://docs.google.com/spreadsheets/d/14Bd19lYaqBhU8_DElYkX7l4wRkHqqCUFNJY4AfY3kHU/edit?usp=sharing  #gid=0"",""фіз особи new!relations_name""),6,FALSE)
,
(IF
(
G5536=""юридична особа""
,
VLOOKUP"&amp;"(H5536,IMPORTRANGE(""https://docs.google.com/spreadsheets/d/14Bd19lYaqBhU8_DElYkX7l4wRkHqqCUFNJY4AfY3kHU/edit?usp=sharing  #gid=0"",""фіз особи new!relations_name_uo""),7,FALSE)
,
)
))"),"АКТОВА Людмила Михайлівна")</f>
        <v>АКТОВА Людмила Михайлівна</v>
      </c>
      <c r="J5535" s="7" t="s">
        <v>30</v>
      </c>
    </row>
    <row r="5536" spans="1:10" ht="13.2">
      <c r="A5536" s="7">
        <v>5535</v>
      </c>
      <c r="B5536" s="7">
        <v>1</v>
      </c>
      <c r="C5536" s="7" t="s">
        <v>10</v>
      </c>
      <c r="D5536" s="7">
        <v>4690</v>
      </c>
      <c r="E5536" s="7" t="s">
        <v>30</v>
      </c>
      <c r="F5536" s="8" t="str">
        <f ca="1">IFERROR(__xludf.DUMMYFUNCTION("IF
(
C5537=""фізична особа""
,
VLOOKUP(D5537,IMPORTRANGE(""https://docs.google.com/spreadsheets/d/14Bd19lYaqBhU8_DElYkX7l4wRkHqqCUFNJY4AfY3kHU/edit?usp=sharing  #gid=0"",""фіз особи new!relations_name""),6,FALSE)
,
(IF
(
C5537=""юридична особа""
,
VLOOKUP"&amp;"(D5537,IMPORTRANGE(""https://docs.google.com/spreadsheets/d/14Bd19lYaqBhU8_DElYkX7l4wRkHqqCUFNJY4AfY3kHU/edit?usp=sharing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G5536" s="7" t="s">
        <v>10</v>
      </c>
      <c r="H5536" s="7">
        <v>23512</v>
      </c>
      <c r="I5536" s="8" t="str">
        <f ca="1">IFERROR(__xludf.DUMMYFUNCTION("IF
(
G5537=""фізична особа""
,
VLOOKUP(H5537,IMPORTRANGE(""https://docs.google.com/spreadsheets/d/14Bd19lYaqBhU8_DElYkX7l4wRkHqqCUFNJY4AfY3kHU/edit?usp=sharing  #gid=0"",""фіз особи new!relations_name""),6,FALSE)
,
(IF
(
G5537=""юридична особа""
,
VLOOKUP"&amp;"(H5537,IMPORTRANGE(""https://docs.google.com/spreadsheets/d/14Bd19lYaqBhU8_DElYkX7l4wRkHqqCUFNJY4AfY3kHU/edit?usp=sharing  #gid=0"",""фіз особи new!relations_name_uo""),7,FALSE)
,
)
))"),"АКАТОВ Вячеслав Михайлович")</f>
        <v>АКАТОВ Вячеслав Михайлович</v>
      </c>
      <c r="J5536" s="7" t="s">
        <v>30</v>
      </c>
    </row>
    <row r="5537" spans="1:10" ht="13.2">
      <c r="A5537" s="7">
        <v>5536</v>
      </c>
      <c r="B5537" s="7">
        <v>1</v>
      </c>
      <c r="C5537" s="7" t="s">
        <v>10</v>
      </c>
      <c r="D5537" s="7">
        <v>4690</v>
      </c>
      <c r="E5537" s="7" t="s">
        <v>30</v>
      </c>
      <c r="F5537" s="8" t="str">
        <f ca="1">IFERROR(__xludf.DUMMYFUNCTION("IF
(
C5538=""фізична особа""
,
VLOOKUP(D5538,IMPORTRANGE(""https://docs.google.com/spreadsheets/d/14Bd19lYaqBhU8_DElYkX7l4wRkHqqCUFNJY4AfY3kHU/edit?usp=sharing  #gid=0"",""фіз особи new!relations_name""),6,FALSE)
,
(IF
(
C5538=""юридична особа""
,
VLOOKUP"&amp;"(D5538,IMPORTRANGE(""https://docs.google.com/spreadsheets/d/14Bd19lYaqBhU8_DElYkX7l4wRkHqqCUFNJY4AfY3kHU/edit?usp=sharing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G5537" s="7" t="s">
        <v>10</v>
      </c>
      <c r="H5537" s="7">
        <v>23535</v>
      </c>
      <c r="I5537" s="8" t="str">
        <f ca="1">IFERROR(__xludf.DUMMYFUNCTION("IF
(
G5538=""фізична особа""
,
VLOOKUP(H5538,IMPORTRANGE(""https://docs.google.com/spreadsheets/d/14Bd19lYaqBhU8_DElYkX7l4wRkHqqCUFNJY4AfY3kHU/edit?usp=sharing  #gid=0"",""фіз особи new!relations_name""),6,FALSE)
,
(IF
(
G5538=""юридична особа""
,
VLOOKUP"&amp;"(H5538,IMPORTRANGE(""https://docs.google.com/spreadsheets/d/14Bd19lYaqBhU8_DElYkX7l4wRkHqqCUFNJY4AfY3kHU/edit?usp=sharing  #gid=0"",""фіз особи new!relations_name_uo""),7,FALSE)
,
)
))"),"АКТОВА Ольга Вячеславівна")</f>
        <v>АКТОВА Ольга Вячеславівна</v>
      </c>
      <c r="J5537" s="7" t="s">
        <v>30</v>
      </c>
    </row>
    <row r="5538" spans="1:10" ht="13.2">
      <c r="A5538" s="7">
        <v>5537</v>
      </c>
      <c r="B5538" s="7">
        <v>1</v>
      </c>
      <c r="C5538" s="7" t="s">
        <v>10</v>
      </c>
      <c r="D5538" s="7">
        <v>4691</v>
      </c>
      <c r="E5538" s="7" t="s">
        <v>18</v>
      </c>
      <c r="F5538" s="8" t="str">
        <f ca="1">IFERROR(__xludf.DUMMYFUNCTION("IF
(
C5539=""фізична особа""
,
VLOOKUP(D5539,IMPORTRANGE(""https://docs.google.com/spreadsheets/d/14Bd19lYaqBhU8_DElYkX7l4wRkHqqCUFNJY4AfY3kHU/edit?usp=sharing  #gid=0"",""фіз особи new!relations_name""),6,FALSE)
,
(IF
(
C5539=""юридична особа""
,
VLOOKUP"&amp;"(D5539,IMPORTRANGE(""https://docs.google.com/spreadsheets/d/14Bd19lYaqBhU8_DElYkX7l4wRkHqqCUFNJY4AfY3kHU/edit?usp=sharing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G5538" s="7" t="s">
        <v>10</v>
      </c>
      <c r="H5538" s="7">
        <v>2557</v>
      </c>
      <c r="I5538" s="8" t="str">
        <f ca="1">IFERROR(__xludf.DUMMYFUNCTION("IF
(
G5539=""фізична особа""
,
VLOOKUP(H5539,IMPORTRANGE(""https://docs.google.com/spreadsheets/d/14Bd19lYaqBhU8_DElYkX7l4wRkHqqCUFNJY4AfY3kHU/edit?usp=sharing  #gid=0"",""фіз особи new!relations_name""),6,FALSE)
,
(IF
(
G5539=""юридична особа""
,
VLOOKUP"&amp;"(H5539,IMPORTRANGE(""https://docs.google.com/spreadsheets/d/14Bd19lYaqBhU8_DElYkX7l4wRkHqqCUFNJY4AfY3kHU/edit?usp=sharing  #gid=0"",""фіз особи new!relations_name_uo""),7,FALSE)
,
)
))"),"АЗАРОВ Дмитро Ігорович")</f>
        <v>АЗАРОВ Дмитро Ігорович</v>
      </c>
      <c r="J5538" s="7" t="s">
        <v>18</v>
      </c>
    </row>
    <row r="5539" spans="1:10" ht="13.2">
      <c r="A5539" s="7">
        <v>5538</v>
      </c>
      <c r="B5539" s="7">
        <v>1</v>
      </c>
      <c r="C5539" s="7" t="s">
        <v>10</v>
      </c>
      <c r="D5539" s="7">
        <v>4691</v>
      </c>
      <c r="E5539" s="7" t="s">
        <v>19</v>
      </c>
      <c r="F5539" s="8" t="str">
        <f ca="1">IFERROR(__xludf.DUMMYFUNCTION("IF
(
C5540=""фізична особа""
,
VLOOKUP(D5540,IMPORTRANGE(""https://docs.google.com/spreadsheets/d/14Bd19lYaqBhU8_DElYkX7l4wRkHqqCUFNJY4AfY3kHU/edit?usp=sharing  #gid=0"",""фіз особи new!relations_name""),6,FALSE)
,
(IF
(
C5540=""юридична особа""
,
VLOOKUP"&amp;"(D5540,IMPORTRANGE(""https://docs.google.com/spreadsheets/d/14Bd19lYaqBhU8_DElYkX7l4wRkHqqCUFNJY4AfY3kHU/edit?usp=sharing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G5539" s="7" t="s">
        <v>10</v>
      </c>
      <c r="H5539" s="7">
        <v>4689</v>
      </c>
      <c r="I5539" s="8" t="str">
        <f ca="1">IFERROR(__xludf.DUMMYFUNCTION("IF
(
G5540=""фізична особа""
,
VLOOKUP(H5540,IMPORTRANGE(""https://docs.google.com/spreadsheets/d/14Bd19lYaqBhU8_DElYkX7l4wRkHqqCUFNJY4AfY3kHU/edit?usp=sharing  #gid=0"",""фіз особи new!relations_name""),6,FALSE)
,
(IF
(
G5540=""юридична особа""
,
VLOOKUP"&amp;"(H5540,IMPORTRANGE(""https://docs.google.com/spreadsheets/d/14Bd19lYaqBhU8_DElYkX7l4wRkHqqCUFNJY4AfY3kHU/edit?usp=sharing  #gid=0"",""фіз особи new!relations_name_uo""),7,FALSE)
,
)
))"),"АЗАРОВА Альона Дмитрівна")</f>
        <v>АЗАРОВА Альона Дмитрівна</v>
      </c>
      <c r="J5539" s="7" t="s">
        <v>22</v>
      </c>
    </row>
    <row r="5540" spans="1:10" ht="13.2">
      <c r="A5540" s="7">
        <v>5539</v>
      </c>
      <c r="B5540" s="7">
        <v>1</v>
      </c>
      <c r="C5540" s="7" t="s">
        <v>10</v>
      </c>
      <c r="D5540" s="7">
        <v>4691</v>
      </c>
      <c r="E5540" s="7" t="s">
        <v>19</v>
      </c>
      <c r="F5540" s="8" t="str">
        <f ca="1">IFERROR(__xludf.DUMMYFUNCTION("IF
(
C5541=""фізична особа""
,
VLOOKUP(D5541,IMPORTRANGE(""https://docs.google.com/spreadsheets/d/14Bd19lYaqBhU8_DElYkX7l4wRkHqqCUFNJY4AfY3kHU/edit?usp=sharing  #gid=0"",""фіз особи new!relations_name""),6,FALSE)
,
(IF
(
C5541=""юридична особа""
,
VLOOKUP"&amp;"(D5541,IMPORTRANGE(""https://docs.google.com/spreadsheets/d/14Bd19lYaqBhU8_DElYkX7l4wRkHqqCUFNJY4AfY3kHU/edit?usp=sharing  #gid=0"",""фіз особи new!relations_name_uo""),7,FALSE)
,
)
))"),"АЗАРОВ Олег Ігорович")</f>
        <v>АЗАРОВ Олег Ігорович</v>
      </c>
      <c r="G5540" s="7" t="s">
        <v>10</v>
      </c>
      <c r="H5540" s="7">
        <v>4690</v>
      </c>
      <c r="I5540" s="8" t="str">
        <f ca="1">IFERROR(__xludf.DUMMYFUNCTION("IF
(
G5541=""фізична особа""
,
VLOOKUP(H5541,IMPORTRANGE(""https://docs.google.com/spreadsheets/d/14Bd19lYaqBhU8_DElYkX7l4wRkHqqCUFNJY4AfY3kHU/edit?usp=sharing  #gid=0"",""фіз особи new!relations_name""),6,FALSE)
,
(IF
(
G5541=""юридична особа""
,
VLOOKUP"&amp;"(H5541,IMPORTRANGE(""https://docs.google.com/spreadsheets/d/14Bd19lYaqBhU8_DElYkX7l4wRkHqqCUFNJY4AfY3kHU/edit?usp=sharing  #gid=0"",""фіз особи new!relations_name_uo""),7,FALSE)
,
)
))"),"АЗАРОВА Поліна Дмитрівна")</f>
        <v>АЗАРОВА Поліна Дмитрівна</v>
      </c>
      <c r="J5540" s="7" t="s">
        <v>22</v>
      </c>
    </row>
    <row r="5541" spans="1:10" ht="13.2">
      <c r="A5541" s="7">
        <v>5540</v>
      </c>
      <c r="B5541" s="7">
        <v>1</v>
      </c>
      <c r="C5541" s="7" t="s">
        <v>10</v>
      </c>
      <c r="D5541" s="7">
        <v>4692</v>
      </c>
      <c r="E5541" s="7" t="s">
        <v>17</v>
      </c>
      <c r="F5541" s="8" t="str">
        <f ca="1">IFERROR(__xludf.DUMMYFUNCTION("IF
(
C5542=""фізична особа""
,
VLOOKUP(D5542,IMPORTRANGE(""https://docs.google.com/spreadsheets/d/14Bd19lYaqBhU8_DElYkX7l4wRkHqqCUFNJY4AfY3kHU/edit?usp=sharing  #gid=0"",""фіз особи new!relations_name""),6,FALSE)
,
(IF
(
C5542=""юридична особа""
,
VLOOKUP"&amp;"(D5542,IMPORTRANGE(""https://docs.google.com/spreadsheets/d/14Bd19lYaqBhU8_DElYkX7l4wRkHqqCUFNJY4AfY3kHU/edit?usp=sharing  #gid=0"",""фіз особи new!relations_name_uo""),7,FALSE)
,
)
))"),"ФАЙЗУЛЛІН Алік Ірекович")</f>
        <v>ФАЙЗУЛЛІН Алік Ірекович</v>
      </c>
      <c r="G5541" s="7" t="s">
        <v>10</v>
      </c>
      <c r="H5541" s="7">
        <v>325</v>
      </c>
      <c r="I5541" s="8" t="str">
        <f ca="1">IFERROR(__xludf.DUMMYFUNCTION("IF
(
G5542=""фізична особа""
,
VLOOKUP(H5542,IMPORTRANGE(""https://docs.google.com/spreadsheets/d/14Bd19lYaqBhU8_DElYkX7l4wRkHqqCUFNJY4AfY3kHU/edit?usp=sharing  #gid=0"",""фіз особи new!relations_name""),6,FALSE)
,
(IF
(
G5542=""юридична особа""
,
VLOOKUP"&amp;"(H5542,IMPORTRANGE(""https://docs.google.com/spreadsheets/d/14Bd19lYaqBhU8_DElYkX7l4wRkHqqCUFNJY4AfY3kHU/edit?usp=sharing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5541" s="7" t="s">
        <v>12</v>
      </c>
    </row>
    <row r="5542" spans="1:10" ht="13.2">
      <c r="A5542" s="7">
        <v>5541</v>
      </c>
      <c r="B5542" s="7">
        <v>1</v>
      </c>
      <c r="C5542" s="7" t="s">
        <v>10</v>
      </c>
      <c r="D5542" s="7">
        <v>4693</v>
      </c>
      <c r="E5542" s="7" t="s">
        <v>25</v>
      </c>
      <c r="F5542" s="8" t="str">
        <f ca="1">IFERROR(__xludf.DUMMYFUNCTION("IF
(
C5543=""фізична особа""
,
VLOOKUP(D5543,IMPORTRANGE(""https://docs.google.com/spreadsheets/d/14Bd19lYaqBhU8_DElYkX7l4wRkHqqCUFNJY4AfY3kHU/edit?usp=sharing  #gid=0"",""фіз особи new!relations_name""),6,FALSE)
,
(IF
(
C5543=""юридична особа""
,
VLOOKUP"&amp;"(D5543,IMPORTRANGE(""https://docs.google.com/spreadsheets/d/14Bd19lYaqBhU8_DElYkX7l4wRkHqqCUFNJY4AfY3kHU/edit?usp=sharing  #gid=0"",""фіз особи new!relations_name_uo""),7,FALSE)
,
)
))"),"ФАЙЗУЛЛІНА Альбіна Ідрісівна")</f>
        <v>ФАЙЗУЛЛІНА Альбіна Ідрісівна</v>
      </c>
      <c r="G5542" s="7" t="s">
        <v>10</v>
      </c>
      <c r="H5542" s="7">
        <v>325</v>
      </c>
      <c r="I5542" s="8" t="str">
        <f ca="1">IFERROR(__xludf.DUMMYFUNCTION("IF
(
G5543=""фізична особа""
,
VLOOKUP(H5543,IMPORTRANGE(""https://docs.google.com/spreadsheets/d/14Bd19lYaqBhU8_DElYkX7l4wRkHqqCUFNJY4AfY3kHU/edit?usp=sharing  #gid=0"",""фіз особи new!relations_name""),6,FALSE)
,
(IF
(
G5543=""юридична особа""
,
VLOOKUP"&amp;"(H5543,IMPORTRANGE(""https://docs.google.com/spreadsheets/d/14Bd19lYaqBhU8_DElYkX7l4wRkHqqCUFNJY4AfY3kHU/edit?usp=sharing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5542" s="7" t="s">
        <v>34</v>
      </c>
    </row>
    <row r="5543" spans="1:10" ht="13.2">
      <c r="A5543" s="7">
        <v>5542</v>
      </c>
      <c r="B5543" s="7">
        <v>1</v>
      </c>
      <c r="C5543" s="7" t="s">
        <v>10</v>
      </c>
      <c r="D5543" s="7">
        <v>4694</v>
      </c>
      <c r="E5543" s="7" t="s">
        <v>13</v>
      </c>
      <c r="F5543" s="8" t="str">
        <f ca="1">IFERROR(__xludf.DUMMYFUNCTION("IF
(
C5544=""фізична особа""
,
VLOOKUP(D5544,IMPORTRANGE(""https://docs.google.com/spreadsheets/d/14Bd19lYaqBhU8_DElYkX7l4wRkHqqCUFNJY4AfY3kHU/edit?usp=sharing  #gid=0"",""фіз особи new!relations_name""),6,FALSE)
,
(IF
(
C5544=""юридична особа""
,
VLOOKUP"&amp;"(D5544,IMPORTRANGE(""https://docs.google.com/spreadsheets/d/14Bd19lYaqBhU8_DElYkX7l4wRkHqqCUFNJY4AfY3kHU/edit?usp=sharing  #gid=0"",""фіз особи new!relations_name_uo""),7,FALSE)
,
)
))"),"АЖІМОВА Лілія Ірековна")</f>
        <v>АЖІМОВА Лілія Ірековна</v>
      </c>
      <c r="G5543" s="7" t="s">
        <v>10</v>
      </c>
      <c r="H5543" s="7">
        <v>325</v>
      </c>
      <c r="I5543" s="8" t="str">
        <f ca="1">IFERROR(__xludf.DUMMYFUNCTION("IF
(
G5544=""фізична особа""
,
VLOOKUP(H5544,IMPORTRANGE(""https://docs.google.com/spreadsheets/d/14Bd19lYaqBhU8_DElYkX7l4wRkHqqCUFNJY4AfY3kHU/edit?usp=sharing  #gid=0"",""фіз особи new!relations_name""),6,FALSE)
,
(IF
(
G5544=""юридична особа""
,
VLOOKUP"&amp;"(H5544,IMPORTRANGE(""https://docs.google.com/spreadsheets/d/14Bd19lYaqBhU8_DElYkX7l4wRkHqqCUFNJY4AfY3kHU/edit?usp=sharing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5543" s="7" t="s">
        <v>12</v>
      </c>
    </row>
    <row r="5544" spans="1:10" ht="13.2">
      <c r="A5544" s="7">
        <v>5543</v>
      </c>
      <c r="B5544" s="7">
        <v>1</v>
      </c>
      <c r="C5544" s="7" t="s">
        <v>10</v>
      </c>
      <c r="D5544" s="7">
        <v>4695</v>
      </c>
      <c r="E5544" s="7" t="s">
        <v>26</v>
      </c>
      <c r="F5544" s="8" t="str">
        <f ca="1">IFERROR(__xludf.DUMMYFUNCTION("IF
(
C5545=""фізична особа""
,
VLOOKUP(D5545,IMPORTRANGE(""https://docs.google.com/spreadsheets/d/14Bd19lYaqBhU8_DElYkX7l4wRkHqqCUFNJY4AfY3kHU/edit?usp=sharing  #gid=0"",""фіз особи new!relations_name""),6,FALSE)
,
(IF
(
C5545=""юридична особа""
,
VLOOKUP"&amp;"(D5545,IMPORTRANGE(""https://docs.google.com/spreadsheets/d/14Bd19lYaqBhU8_DElYkX7l4wRkHqqCUFNJY4AfY3kHU/edit?usp=sharing  #gid=0"",""фіз особи new!relations_name_uo""),7,FALSE)
,
)
))"),"АЖИМОВ Тимур Загідович")</f>
        <v>АЖИМОВ Тимур Загідович</v>
      </c>
      <c r="G5544" s="7" t="s">
        <v>10</v>
      </c>
      <c r="H5544" s="7">
        <v>325</v>
      </c>
      <c r="I5544" s="8" t="str">
        <f ca="1">IFERROR(__xludf.DUMMYFUNCTION("IF
(
G5545=""фізична особа""
,
VLOOKUP(H5545,IMPORTRANGE(""https://docs.google.com/spreadsheets/d/14Bd19lYaqBhU8_DElYkX7l4wRkHqqCUFNJY4AfY3kHU/edit?usp=sharing  #gid=0"",""фіз особи new!relations_name""),6,FALSE)
,
(IF
(
G5545=""юридична особа""
,
VLOOKUP"&amp;"(H5545,IMPORTRANGE(""https://docs.google.com/spreadsheets/d/14Bd19lYaqBhU8_DElYkX7l4wRkHqqCUFNJY4AfY3kHU/edit?usp=sharing  #gid=0"",""фіз особи new!relations_name_uo""),7,FALSE)
,
)
))"),"ФАЙЗУЛЛІН Ірек Енварович")</f>
        <v>ФАЙЗУЛЛІН Ірек Енварович</v>
      </c>
      <c r="J5544" s="7" t="s">
        <v>24</v>
      </c>
    </row>
    <row r="5545" spans="1:10" ht="13.2">
      <c r="A5545" s="7">
        <v>5544</v>
      </c>
      <c r="B5545" s="7">
        <v>1</v>
      </c>
      <c r="C5545" s="7" t="s">
        <v>10</v>
      </c>
      <c r="D5545" s="7">
        <v>4696</v>
      </c>
      <c r="E5545" s="7" t="s">
        <v>28</v>
      </c>
      <c r="F5545" s="8" t="str">
        <f ca="1">IFERROR(__xludf.DUMMYFUNCTION("IF
(
C5546=""фізична особа""
,
VLOOKUP(D5546,IMPORTRANGE(""https://docs.google.com/spreadsheets/d/14Bd19lYaqBhU8_DElYkX7l4wRkHqqCUFNJY4AfY3kHU/edit?usp=sharing  #gid=0"",""фіз особи new!relations_name""),6,FALSE)
,
(IF
(
C5546=""юридична особа""
,
VLOOKUP"&amp;"(D5546,IMPORTRANGE(""https://docs.google.com/spreadsheets/d/14Bd19lYaqBhU8_DElYkX7l4wRkHqqCUFNJY4AfY3kHU/edit?usp=sharing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G5545" s="7" t="s">
        <v>10</v>
      </c>
      <c r="H5545" s="7">
        <v>460</v>
      </c>
      <c r="I5545" s="8" t="str">
        <f ca="1">IFERROR(__xludf.DUMMYFUNCTION("IF
(
G5546=""фізична особа""
,
VLOOKUP(H5546,IMPORTRANGE(""https://docs.google.com/spreadsheets/d/14Bd19lYaqBhU8_DElYkX7l4wRkHqqCUFNJY4AfY3kHU/edit?usp=sharing  #gid=0"",""фіз особи new!relations_name""),6,FALSE)
,
(IF
(
G5546=""юридична особа""
,
VLOOKUP"&amp;"(H5546,IMPORTRANGE(""https://docs.google.com/spreadsheets/d/14Bd19lYaqBhU8_DElYkX7l4wRkHqqCUFNJY4AfY3kHU/edit?usp=sharing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5545" s="7" t="s">
        <v>29</v>
      </c>
    </row>
    <row r="5546" spans="1:10" ht="13.2">
      <c r="A5546" s="7">
        <v>5545</v>
      </c>
      <c r="B5546" s="7">
        <v>1</v>
      </c>
      <c r="C5546" s="7" t="s">
        <v>10</v>
      </c>
      <c r="D5546" s="7">
        <v>4699</v>
      </c>
      <c r="E5546" s="7" t="s">
        <v>15</v>
      </c>
      <c r="F5546" s="8" t="str">
        <f ca="1">IFERROR(__xludf.DUMMYFUNCTION("IF
(
C5547=""фізична особа""
,
VLOOKUP(D5547,IMPORTRANGE(""https://docs.google.com/spreadsheets/d/14Bd19lYaqBhU8_DElYkX7l4wRkHqqCUFNJY4AfY3kHU/edit?usp=sharing  #gid=0"",""фіз особи new!relations_name""),6,FALSE)
,
(IF
(
C5547=""юридична особа""
,
VLOOKUP"&amp;"(D5547,IMPORTRANGE(""https://docs.google.com/spreadsheets/d/14Bd19lYaqBhU8_DElYkX7l4wRkHqqCUFNJY4AfY3kHU/edit?usp=sharing  #gid=0"",""фіз особи new!relations_name_uo""),7,FALSE)
,
)
))"),"КВІТКА Світлана Сергіївна")</f>
        <v>КВІТКА Світлана Сергіївна</v>
      </c>
      <c r="G5546" s="7" t="s">
        <v>10</v>
      </c>
      <c r="H5546" s="7">
        <v>343</v>
      </c>
      <c r="I5546" s="8" t="str">
        <f ca="1">IFERROR(__xludf.DUMMYFUNCTION("IF
(
G5547=""фізична особа""
,
VLOOKUP(H5547,IMPORTRANGE(""https://docs.google.com/spreadsheets/d/14Bd19lYaqBhU8_DElYkX7l4wRkHqqCUFNJY4AfY3kHU/edit?usp=sharing  #gid=0"",""фіз особи new!relations_name""),6,FALSE)
,
(IF
(
G5547=""юридична особа""
,
VLOOKUP"&amp;"(H5547,IMPORTRANGE(""https://docs.google.com/spreadsheets/d/14Bd19lYaqBhU8_DElYkX7l4wRkHqqCUFNJY4AfY3kHU/edit?usp=sharing  #gid=0"",""фіз особи new!relations_name_uo""),7,FALSE)
,
)
))"),"КВІТКА Іван Іванович")</f>
        <v>КВІТКА Іван Іванович</v>
      </c>
      <c r="J5546" s="7" t="s">
        <v>14</v>
      </c>
    </row>
    <row r="5547" spans="1:10" ht="13.2">
      <c r="A5547" s="7">
        <v>5546</v>
      </c>
      <c r="B5547" s="7">
        <v>1</v>
      </c>
      <c r="C5547" s="7" t="s">
        <v>10</v>
      </c>
      <c r="D5547" s="7">
        <v>4701</v>
      </c>
      <c r="E5547" s="7" t="s">
        <v>14</v>
      </c>
      <c r="F5547" s="8" t="str">
        <f ca="1">IFERROR(__xludf.DUMMYFUNCTION("IF
(
C5548=""фізична особа""
,
VLOOKUP(D5548,IMPORTRANGE(""https://docs.google.com/spreadsheets/d/14Bd19lYaqBhU8_DElYkX7l4wRkHqqCUFNJY4AfY3kHU/edit?usp=sharing  #gid=0"",""фіз особи new!relations_name""),6,FALSE)
,
(IF
(
C5548=""юридична особа""
,
VLOOKUP"&amp;"(D5548,IMPORTRANGE(""https://docs.google.com/spreadsheets/d/14Bd19lYaqBhU8_DElYkX7l4wRkHqqCUFNJY4AfY3kHU/edit?usp=sharing  #gid=0"",""фіз особи new!relations_name_uo""),7,FALSE)
,
)
))"),"КИСЛІНСЬКИЙ Сергій Олександрович")</f>
        <v>КИСЛІНСЬКИЙ Сергій Олександрович</v>
      </c>
      <c r="G5547" s="7" t="s">
        <v>10</v>
      </c>
      <c r="H5547" s="7">
        <v>0</v>
      </c>
      <c r="I5547" s="8" t="str">
        <f ca="1">IFERROR(__xludf.DUMMYFUNCTION("IF
(
G5548=""фізична особа""
,
VLOOKUP(H5548,IMPORTRANGE(""https://docs.google.com/spreadsheets/d/14Bd19lYaqBhU8_DElYkX7l4wRkHqqCUFNJY4AfY3kHU/edit?usp=sharing  #gid=0"",""фіз особи new!relations_name""),6,FALSE)
,
(IF
(
G5548=""юридична особа""
,
VLOOKUP"&amp;"(H5548,IMPORTRANGE(""https://docs.google.com/spreadsheets/d/14Bd19lYaqBhU8_DElYkX7l4wRkHqqCUFNJY4AfY3kHU/edit?usp=sharing  #gid=0"",""фіз особи new!relations_name_uo""),7,FALSE)
,
)
))"),"#N/A")</f>
        <v>#N/A</v>
      </c>
      <c r="J5547" s="7" t="s">
        <v>15</v>
      </c>
    </row>
    <row r="5548" spans="1:10" ht="13.2">
      <c r="A5548" s="7">
        <v>5547</v>
      </c>
      <c r="B5548" s="7">
        <v>1</v>
      </c>
      <c r="C5548" s="7" t="s">
        <v>10</v>
      </c>
      <c r="D5548" s="7">
        <v>4701</v>
      </c>
      <c r="E5548" s="7" t="s">
        <v>12</v>
      </c>
      <c r="F5548" s="8" t="str">
        <f ca="1">IFERROR(__xludf.DUMMYFUNCTION("IF
(
C5549=""фізична особа""
,
VLOOKUP(D5549,IMPORTRANGE(""https://docs.google.com/spreadsheets/d/14Bd19lYaqBhU8_DElYkX7l4wRkHqqCUFNJY4AfY3kHU/edit?usp=sharing  #gid=0"",""фіз особи new!relations_name""),6,FALSE)
,
(IF
(
C5549=""юридична особа""
,
VLOOKUP"&amp;"(D5549,IMPORTRANGE(""https://docs.google.com/spreadsheets/d/14Bd19lYaqBhU8_DElYkX7l4wRkHqqCUFNJY4AfY3kHU/edit?usp=sharing  #gid=0"",""фіз особи new!relations_name_uo""),7,FALSE)
,
)
))"),"КИСЛІНСЬКИЙ Сергій Олександрович")</f>
        <v>КИСЛІНСЬКИЙ Сергій Олександрович</v>
      </c>
      <c r="G5548" s="7" t="s">
        <v>10</v>
      </c>
      <c r="H5548" s="7">
        <v>0</v>
      </c>
      <c r="I5548" s="8" t="str">
        <f ca="1">IFERROR(__xludf.DUMMYFUNCTION("IF
(
G5549=""фізична особа""
,
VLOOKUP(H5549,IMPORTRANGE(""https://docs.google.com/spreadsheets/d/14Bd19lYaqBhU8_DElYkX7l4wRkHqqCUFNJY4AfY3kHU/edit?usp=sharing  #gid=0"",""фіз особи new!relations_name""),6,FALSE)
,
(IF
(
G5549=""юридична особа""
,
VLOOKUP"&amp;"(H5549,IMPORTRANGE(""https://docs.google.com/spreadsheets/d/14Bd19lYaqBhU8_DElYkX7l4wRkHqqCUFNJY4AfY3kHU/edit?usp=sharing  #gid=0"",""фіз особи new!relations_name_uo""),7,FALSE)
,
)
))"),"#N/A")</f>
        <v>#N/A</v>
      </c>
      <c r="J5548" s="7" t="s">
        <v>13</v>
      </c>
    </row>
    <row r="5549" spans="1:10" ht="13.2">
      <c r="A5549" s="7">
        <v>5548</v>
      </c>
      <c r="B5549" s="7">
        <v>1</v>
      </c>
      <c r="C5549" s="7" t="s">
        <v>10</v>
      </c>
      <c r="D5549" s="7">
        <v>4702</v>
      </c>
      <c r="E5549" s="7" t="s">
        <v>14</v>
      </c>
      <c r="F5549" s="8" t="str">
        <f ca="1">IFERROR(__xludf.DUMMYFUNCTION("IF
(
C5550=""фізична особа""
,
VLOOKUP(D5550,IMPORTRANGE(""https://docs.google.com/spreadsheets/d/14Bd19lYaqBhU8_DElYkX7l4wRkHqqCUFNJY4AfY3kHU/edit?usp=sharing  #gid=0"",""фіз особи new!relations_name""),6,FALSE)
,
(IF
(
C5550=""юридична особа""
,
VLOOKUP"&amp;"(D5550,IMPORTRANGE(""https://docs.google.com/spreadsheets/d/14Bd19lYaqBhU8_DElYkX7l4wRkHqqCUFNJY4AfY3kHU/edit?usp=sharing  #gid=0"",""фіз особи new!relations_name_uo""),7,FALSE)
,
)
))"),"КОЗІКОВ Андрій Вікторович")</f>
        <v>КОЗІКОВ Андрій Вікторович</v>
      </c>
      <c r="G5549" s="7" t="s">
        <v>10</v>
      </c>
      <c r="H5549" s="7">
        <v>0</v>
      </c>
      <c r="I5549" s="8" t="str">
        <f ca="1">IFERROR(__xludf.DUMMYFUNCTION("IF
(
G5550=""фізична особа""
,
VLOOKUP(H5550,IMPORTRANGE(""https://docs.google.com/spreadsheets/d/14Bd19lYaqBhU8_DElYkX7l4wRkHqqCUFNJY4AfY3kHU/edit?usp=sharing  #gid=0"",""фіз особи new!relations_name""),6,FALSE)
,
(IF
(
G5550=""юридична особа""
,
VLOOKUP"&amp;"(H5550,IMPORTRANGE(""https://docs.google.com/spreadsheets/d/14Bd19lYaqBhU8_DElYkX7l4wRkHqqCUFNJY4AfY3kHU/edit?usp=sharing  #gid=0"",""фіз особи new!relations_name_uo""),7,FALSE)
,
)
))"),"#N/A")</f>
        <v>#N/A</v>
      </c>
      <c r="J5549" s="7" t="s">
        <v>15</v>
      </c>
    </row>
    <row r="5550" spans="1:10" ht="13.2">
      <c r="A5550" s="7">
        <v>5549</v>
      </c>
      <c r="B5550" s="7">
        <v>1</v>
      </c>
      <c r="C5550" s="7" t="s">
        <v>10</v>
      </c>
      <c r="D5550" s="7">
        <v>4703</v>
      </c>
      <c r="E5550" s="7" t="s">
        <v>21</v>
      </c>
      <c r="F5550" s="8" t="str">
        <f ca="1">IFERROR(__xludf.DUMMYFUNCTION("IF
(
C5551=""фізична особа""
,
VLOOKUP(D5551,IMPORTRANGE(""https://docs.google.com/spreadsheets/d/14Bd19lYaqBhU8_DElYkX7l4wRkHqqCUFNJY4AfY3kHU/edit?usp=sharing  #gid=0"",""фіз особи new!relations_name""),6,FALSE)
,
(IF
(
C5551=""юридична особа""
,
VLOOKUP"&amp;"(D5551,IMPORTRANGE(""https://docs.google.com/spreadsheets/d/14Bd19lYaqBhU8_DElYkX7l4wRkHqqCUFNJY4AfY3kHU/edit?usp=sharing  #gid=0"",""фіз особи new!relations_name_uo""),7,FALSE)
,
)
))"),"КОЗЛОВА Ірина Володимирівна")</f>
        <v>КОЗЛОВА Ірина Володимирівна</v>
      </c>
      <c r="G5550" s="7" t="s">
        <v>10</v>
      </c>
      <c r="H5550" s="7">
        <v>2304</v>
      </c>
      <c r="I5550" s="8" t="str">
        <f ca="1">IFERROR(__xludf.DUMMYFUNCTION("IF
(
G5551=""фізична особа""
,
VLOOKUP(H5551,IMPORTRANGE(""https://docs.google.com/spreadsheets/d/14Bd19lYaqBhU8_DElYkX7l4wRkHqqCUFNJY4AfY3kHU/edit?usp=sharing  #gid=0"",""фіз особи new!relations_name""),6,FALSE)
,
(IF
(
G5551=""юридична особа""
,
VLOOKUP"&amp;"(H5551,IMPORTRANGE(""https://docs.google.com/spreadsheets/d/14Bd19lYaqBhU8_DElYkX7l4wRkHqqCUFNJY4AfY3kHU/edit?usp=sharing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50" s="7" t="s">
        <v>17</v>
      </c>
    </row>
    <row r="5551" spans="1:10" ht="13.2">
      <c r="A5551" s="7">
        <v>5550</v>
      </c>
      <c r="B5551" s="7">
        <v>1</v>
      </c>
      <c r="C5551" s="7" t="s">
        <v>10</v>
      </c>
      <c r="D5551" s="7">
        <v>4703</v>
      </c>
      <c r="E5551" s="7" t="s">
        <v>58</v>
      </c>
      <c r="F5551" s="8" t="str">
        <f ca="1">IFERROR(__xludf.DUMMYFUNCTION("IF
(
C5552=""фізична особа""
,
VLOOKUP(D5552,IMPORTRANGE(""https://docs.google.com/spreadsheets/d/14Bd19lYaqBhU8_DElYkX7l4wRkHqqCUFNJY4AfY3kHU/edit?usp=sharing  #gid=0"",""фіз особи new!relations_name""),6,FALSE)
,
(IF
(
C5552=""юридична особа""
,
VLOOKUP"&amp;"(D5552,IMPORTRANGE(""https://docs.google.com/spreadsheets/d/14Bd19lYaqBhU8_DElYkX7l4wRkHqqCUFNJY4AfY3kHU/edit?usp=sharing  #gid=0"",""фіз особи new!relations_name_uo""),7,FALSE)
,
)
))"),"КОЗЛОВА Ірина Володимирівна")</f>
        <v>КОЗЛОВА Ірина Володимирівна</v>
      </c>
      <c r="G5551" s="7" t="s">
        <v>10</v>
      </c>
      <c r="H5551" s="7">
        <v>4704</v>
      </c>
      <c r="I5551" s="8" t="str">
        <f ca="1">IFERROR(__xludf.DUMMYFUNCTION("IF
(
G5552=""фізична особа""
,
VLOOKUP(H5552,IMPORTRANGE(""https://docs.google.com/spreadsheets/d/14Bd19lYaqBhU8_DElYkX7l4wRkHqqCUFNJY4AfY3kHU/edit?usp=sharing  #gid=0"",""фіз особи new!relations_name""),6,FALSE)
,
(IF
(
G5552=""юридична особа""
,
VLOOKUP"&amp;"(H5552,IMPORTRANGE(""https://docs.google.com/spreadsheets/d/14Bd19lYaqBhU8_DElYkX7l4wRkHqqCUFNJY4AfY3kHU/edit?usp=sharing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51" s="7" t="s">
        <v>25</v>
      </c>
    </row>
    <row r="5552" spans="1:10" ht="13.2">
      <c r="A5552" s="7">
        <v>5551</v>
      </c>
      <c r="B5552" s="7">
        <v>1</v>
      </c>
      <c r="C5552" s="7" t="s">
        <v>10</v>
      </c>
      <c r="D5552" s="7">
        <v>4703</v>
      </c>
      <c r="E5552" s="7" t="s">
        <v>21</v>
      </c>
      <c r="F5552" s="8" t="str">
        <f ca="1">IFERROR(__xludf.DUMMYFUNCTION("IF
(
C5553=""фізична особа""
,
VLOOKUP(D5553,IMPORTRANGE(""https://docs.google.com/spreadsheets/d/14Bd19lYaqBhU8_DElYkX7l4wRkHqqCUFNJY4AfY3kHU/edit?usp=sharing  #gid=0"",""фіз особи new!relations_name""),6,FALSE)
,
(IF
(
C5553=""юридична особа""
,
VLOOKUP"&amp;"(D5553,IMPORTRANGE(""https://docs.google.com/spreadsheets/d/14Bd19lYaqBhU8_DElYkX7l4wRkHqqCUFNJY4AfY3kHU/edit?usp=sharing  #gid=0"",""фіз особи new!relations_name_uo""),7,FALSE)
,
)
))"),"КОЗЛОВА Ірина Володимирівна")</f>
        <v>КОЗЛОВА Ірина Володимирівна</v>
      </c>
      <c r="G5552" s="7" t="s">
        <v>10</v>
      </c>
      <c r="H5552" s="7">
        <v>4706</v>
      </c>
      <c r="I5552" s="8" t="str">
        <f ca="1">IFERROR(__xludf.DUMMYFUNCTION("IF
(
G5553=""фізична особа""
,
VLOOKUP(H5553,IMPORTRANGE(""https://docs.google.com/spreadsheets/d/14Bd19lYaqBhU8_DElYkX7l4wRkHqqCUFNJY4AfY3kHU/edit?usp=sharing  #gid=0"",""фіз особи new!relations_name""),6,FALSE)
,
(IF
(
G5553=""юридична особа""
,
VLOOKUP"&amp;"(H5553,IMPORTRANGE(""https://docs.google.com/spreadsheets/d/14Bd19lYaqBhU8_DElYkX7l4wRkHqqCUFNJY4AfY3kHU/edit?usp=sharing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J5552" s="7" t="s">
        <v>13</v>
      </c>
    </row>
    <row r="5553" spans="1:10" ht="13.2">
      <c r="A5553" s="7">
        <v>5552</v>
      </c>
      <c r="B5553" s="7">
        <v>1</v>
      </c>
      <c r="C5553" s="7" t="s">
        <v>10</v>
      </c>
      <c r="D5553" s="7">
        <v>4704</v>
      </c>
      <c r="E5553" s="7" t="s">
        <v>15</v>
      </c>
      <c r="F5553" s="8" t="str">
        <f ca="1">IFERROR(__xludf.DUMMYFUNCTION("IF
(
C5554=""фізична особа""
,
VLOOKUP(D5554,IMPORTRANGE(""https://docs.google.com/spreadsheets/d/14Bd19lYaqBhU8_DElYkX7l4wRkHqqCUFNJY4AfY3kHU/edit?usp=sharing  #gid=0"",""фіз особи new!relations_name""),6,FALSE)
,
(IF
(
C5554=""юридична особа""
,
VLOOKUP"&amp;"(D5554,IMPORTRANGE(""https://docs.google.com/spreadsheets/d/14Bd19lYaqBhU8_DElYkX7l4wRkHqqCUFNJY4AfY3kHU/edit?usp=sharing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G5553" s="7" t="s">
        <v>10</v>
      </c>
      <c r="H5553" s="7">
        <v>2304</v>
      </c>
      <c r="I5553" s="8" t="str">
        <f ca="1">IFERROR(__xludf.DUMMYFUNCTION("IF
(
G5554=""фізична особа""
,
VLOOKUP(H5554,IMPORTRANGE(""https://docs.google.com/spreadsheets/d/14Bd19lYaqBhU8_DElYkX7l4wRkHqqCUFNJY4AfY3kHU/edit?usp=sharing  #gid=0"",""фіз особи new!relations_name""),6,FALSE)
,
(IF
(
G5554=""юридична особа""
,
VLOOKUP"&amp;"(H5554,IMPORTRANGE(""https://docs.google.com/spreadsheets/d/14Bd19lYaqBhU8_DElYkX7l4wRkHqqCUFNJY4AfY3kHU/edit?usp=sharing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53" s="7" t="s">
        <v>14</v>
      </c>
    </row>
    <row r="5554" spans="1:10" ht="13.2">
      <c r="A5554" s="7">
        <v>5553</v>
      </c>
      <c r="B5554" s="7">
        <v>1</v>
      </c>
      <c r="C5554" s="7" t="s">
        <v>10</v>
      </c>
      <c r="D5554" s="7">
        <v>4704</v>
      </c>
      <c r="E5554" s="7" t="s">
        <v>21</v>
      </c>
      <c r="F5554" s="8" t="str">
        <f ca="1">IFERROR(__xludf.DUMMYFUNCTION("IF
(
C5555=""фізична особа""
,
VLOOKUP(D5555,IMPORTRANGE(""https://docs.google.com/spreadsheets/d/14Bd19lYaqBhU8_DElYkX7l4wRkHqqCUFNJY4AfY3kHU/edit?usp=sharing  #gid=0"",""фіз особи new!relations_name""),6,FALSE)
,
(IF
(
C5555=""юридична особа""
,
VLOOKUP"&amp;"(D5555,IMPORTRANGE(""https://docs.google.com/spreadsheets/d/14Bd19lYaqBhU8_DElYkX7l4wRkHqqCUFNJY4AfY3kHU/edit?usp=sharing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G5554" s="7" t="s">
        <v>10</v>
      </c>
      <c r="H5554" s="7">
        <v>4707</v>
      </c>
      <c r="I5554" s="8" t="str">
        <f ca="1">IFERROR(__xludf.DUMMYFUNCTION("IF
(
G5555=""фізична особа""
,
VLOOKUP(H5555,IMPORTRANGE(""https://docs.google.com/spreadsheets/d/14Bd19lYaqBhU8_DElYkX7l4wRkHqqCUFNJY4AfY3kHU/edit?usp=sharing  #gid=0"",""фіз особи new!relations_name""),6,FALSE)
,
(IF
(
G5555=""юридична особа""
,
VLOOKUP"&amp;"(H5555,IMPORTRANGE(""https://docs.google.com/spreadsheets/d/14Bd19lYaqBhU8_DElYkX7l4wRkHqqCUFNJY4AfY3kHU/edit?usp=sharing  #gid=0"",""фіз особи new!relations_name_uo""),7,FALSE)
,
)
))"),"КОЗЛОВА Аліса Олександрівна")</f>
        <v>КОЗЛОВА Аліса Олександрівна</v>
      </c>
      <c r="J5554" s="7" t="s">
        <v>13</v>
      </c>
    </row>
    <row r="5555" spans="1:10" ht="13.2">
      <c r="A5555" s="7">
        <v>5554</v>
      </c>
      <c r="B5555" s="7">
        <v>1</v>
      </c>
      <c r="C5555" s="7" t="s">
        <v>10</v>
      </c>
      <c r="D5555" s="7">
        <v>4704</v>
      </c>
      <c r="E5555" s="7" t="s">
        <v>13</v>
      </c>
      <c r="F5555" s="8" t="str">
        <f ca="1">IFERROR(__xludf.DUMMYFUNCTION("IF
(
C5556=""фізична особа""
,
VLOOKUP(D5556,IMPORTRANGE(""https://docs.google.com/spreadsheets/d/14Bd19lYaqBhU8_DElYkX7l4wRkHqqCUFNJY4AfY3kHU/edit?usp=sharing  #gid=0"",""фіз особи new!relations_name""),6,FALSE)
,
(IF
(
C5556=""юридична особа""
,
VLOOKUP"&amp;"(D5556,IMPORTRANGE(""https://docs.google.com/spreadsheets/d/14Bd19lYaqBhU8_DElYkX7l4wRkHqqCUFNJY4AfY3kHU/edit?usp=sharing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G5555" s="7" t="s">
        <v>10</v>
      </c>
      <c r="H5555" s="7">
        <v>4708</v>
      </c>
      <c r="I5555" s="8" t="str">
        <f ca="1">IFERROR(__xludf.DUMMYFUNCTION("IF
(
G5556=""фізична особа""
,
VLOOKUP(H5556,IMPORTRANGE(""https://docs.google.com/spreadsheets/d/14Bd19lYaqBhU8_DElYkX7l4wRkHqqCUFNJY4AfY3kHU/edit?usp=sharing  #gid=0"",""фіз особи new!relations_name""),6,FALSE)
,
(IF
(
G5556=""юридична особа""
,
VLOOKUP"&amp;"(H5556,IMPORTRANGE(""https://docs.google.com/spreadsheets/d/14Bd19lYaqBhU8_DElYkX7l4wRkHqqCUFNJY4AfY3kHU/edit?usp=sharing  #gid=0"",""фіз особи new!relations_name_uo""),7,FALSE)
,
)
))"),"ЛОГІНОВ Євгеній Петрович")</f>
        <v>ЛОГІНОВ Євгеній Петрович</v>
      </c>
      <c r="J5555" s="7" t="s">
        <v>12</v>
      </c>
    </row>
    <row r="5556" spans="1:10" ht="13.2">
      <c r="A5556" s="7">
        <v>5555</v>
      </c>
      <c r="B5556" s="7">
        <v>1</v>
      </c>
      <c r="C5556" s="7" t="s">
        <v>10</v>
      </c>
      <c r="D5556" s="7">
        <v>4704</v>
      </c>
      <c r="E5556" s="7" t="s">
        <v>31</v>
      </c>
      <c r="F5556" s="8" t="str">
        <f ca="1">IFERROR(__xludf.DUMMYFUNCTION("IF
(
C5557=""фізична особа""
,
VLOOKUP(D5557,IMPORTRANGE(""https://docs.google.com/spreadsheets/d/14Bd19lYaqBhU8_DElYkX7l4wRkHqqCUFNJY4AfY3kHU/edit?usp=sharing  #gid=0"",""фіз особи new!relations_name""),6,FALSE)
,
(IF
(
C5557=""юридична особа""
,
VLOOKUP"&amp;"(D5557,IMPORTRANGE(""https://docs.google.com/spreadsheets/d/14Bd19lYaqBhU8_DElYkX7l4wRkHqqCUFNJY4AfY3kHU/edit?usp=sharing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G5556" s="7" t="s">
        <v>10</v>
      </c>
      <c r="H5556" s="7">
        <v>4709</v>
      </c>
      <c r="I5556" s="8" t="str">
        <f ca="1">IFERROR(__xludf.DUMMYFUNCTION("IF
(
G5557=""фізична особа""
,
VLOOKUP(H5557,IMPORTRANGE(""https://docs.google.com/spreadsheets/d/14Bd19lYaqBhU8_DElYkX7l4wRkHqqCUFNJY4AfY3kHU/edit?usp=sharing  #gid=0"",""фіз особи new!relations_name""),6,FALSE)
,
(IF
(
G5557=""юридична особа""
,
VLOOKUP"&amp;"(H5557,IMPORTRANGE(""https://docs.google.com/spreadsheets/d/14Bd19lYaqBhU8_DElYkX7l4wRkHqqCUFNJY4AfY3kHU/edit?usp=sharing  #gid=0"",""фіз особи new!relations_name_uo""),7,FALSE)
,
)
))"),"ЛОГІНОВ Олексій Євгенійович")</f>
        <v>ЛОГІНОВ Олексій Євгенійович</v>
      </c>
      <c r="J5556" s="7" t="s">
        <v>18</v>
      </c>
    </row>
    <row r="5557" spans="1:10" ht="13.2">
      <c r="A5557" s="7">
        <v>5556</v>
      </c>
      <c r="B5557" s="7">
        <v>1</v>
      </c>
      <c r="C5557" s="7" t="s">
        <v>10</v>
      </c>
      <c r="D5557" s="7">
        <v>4705</v>
      </c>
      <c r="E5557" s="7" t="s">
        <v>31</v>
      </c>
      <c r="F5557" s="8" t="str">
        <f ca="1">IFERROR(__xludf.DUMMYFUNCTION("IF
(
C5558=""фізична особа""
,
VLOOKUP(D5558,IMPORTRANGE(""https://docs.google.com/spreadsheets/d/14Bd19lYaqBhU8_DElYkX7l4wRkHqqCUFNJY4AfY3kHU/edit?usp=sharing  #gid=0"",""фіз особи new!relations_name""),6,FALSE)
,
(IF
(
C5558=""юридична особа""
,
VLOOKUP"&amp;"(D5558,IMPORTRANGE(""https://docs.google.com/spreadsheets/d/14Bd19lYaqBhU8_DElYkX7l4wRkHqqCUFNJY4AfY3kHU/edit?usp=sharing  #gid=0"",""фіз особи new!relations_name_uo""),7,FALSE)
,
)
))"),"КОЗЛОВА Катерина Олександрівна")</f>
        <v>КОЗЛОВА Катерина Олександрівна</v>
      </c>
      <c r="G5557" s="7" t="s">
        <v>10</v>
      </c>
      <c r="H5557" s="7">
        <v>2304</v>
      </c>
      <c r="I5557" s="8" t="str">
        <f ca="1">IFERROR(__xludf.DUMMYFUNCTION("IF
(
G5558=""фізична особа""
,
VLOOKUP(H5558,IMPORTRANGE(""https://docs.google.com/spreadsheets/d/14Bd19lYaqBhU8_DElYkX7l4wRkHqqCUFNJY4AfY3kHU/edit?usp=sharing  #gid=0"",""фіз особи new!relations_name""),6,FALSE)
,
(IF
(
G5558=""юридична особа""
,
VLOOKUP"&amp;"(H5558,IMPORTRANGE(""https://docs.google.com/spreadsheets/d/14Bd19lYaqBhU8_DElYkX7l4wRkHqqCUFNJY4AfY3kHU/edit?usp=sharing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57" s="7" t="s">
        <v>18</v>
      </c>
    </row>
    <row r="5558" spans="1:10" ht="13.2">
      <c r="A5558" s="7">
        <v>5557</v>
      </c>
      <c r="B5558" s="7">
        <v>1</v>
      </c>
      <c r="C5558" s="7" t="s">
        <v>10</v>
      </c>
      <c r="D5558" s="7">
        <v>4705</v>
      </c>
      <c r="E5558" s="7" t="s">
        <v>110</v>
      </c>
      <c r="F5558" s="8" t="str">
        <f ca="1">IFERROR(__xludf.DUMMYFUNCTION("IF
(
C5559=""фізична особа""
,
VLOOKUP(D5559,IMPORTRANGE(""https://docs.google.com/spreadsheets/d/14Bd19lYaqBhU8_DElYkX7l4wRkHqqCUFNJY4AfY3kHU/edit?usp=sharing  #gid=0"",""фіз особи new!relations_name""),6,FALSE)
,
(IF
(
C5559=""юридична особа""
,
VLOOKUP"&amp;"(D5559,IMPORTRANGE(""https://docs.google.com/spreadsheets/d/14Bd19lYaqBhU8_DElYkX7l4wRkHqqCUFNJY4AfY3kHU/edit?usp=sharing  #gid=0"",""фіз особи new!relations_name_uo""),7,FALSE)
,
)
))"),"КОЗЛОВА Катерина Олександрівна")</f>
        <v>КОЗЛОВА Катерина Олександрівна</v>
      </c>
      <c r="G5558" s="7" t="s">
        <v>10</v>
      </c>
      <c r="H5558" s="7">
        <v>4704</v>
      </c>
      <c r="I5558" s="8" t="str">
        <f ca="1">IFERROR(__xludf.DUMMYFUNCTION("IF
(
G5559=""фізична особа""
,
VLOOKUP(H5559,IMPORTRANGE(""https://docs.google.com/spreadsheets/d/14Bd19lYaqBhU8_DElYkX7l4wRkHqqCUFNJY4AfY3kHU/edit?usp=sharing  #gid=0"",""фіз особи new!relations_name""),6,FALSE)
,
(IF
(
G5559=""юридична особа""
,
VLOOKUP"&amp;"(H5559,IMPORTRANGE(""https://docs.google.com/spreadsheets/d/14Bd19lYaqBhU8_DElYkX7l4wRkHqqCUFNJY4AfY3kHU/edit?usp=sharing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58" s="7" t="s">
        <v>25</v>
      </c>
    </row>
    <row r="5559" spans="1:10" ht="13.2">
      <c r="A5559" s="7">
        <v>5558</v>
      </c>
      <c r="B5559" s="7">
        <v>1</v>
      </c>
      <c r="C5559" s="7" t="s">
        <v>10</v>
      </c>
      <c r="D5559" s="7">
        <v>4705</v>
      </c>
      <c r="E5559" s="7" t="s">
        <v>31</v>
      </c>
      <c r="F5559" s="8" t="str">
        <f ca="1">IFERROR(__xludf.DUMMYFUNCTION("IF
(
C5560=""фізична особа""
,
VLOOKUP(D5560,IMPORTRANGE(""https://docs.google.com/spreadsheets/d/14Bd19lYaqBhU8_DElYkX7l4wRkHqqCUFNJY4AfY3kHU/edit?usp=sharing  #gid=0"",""фіз особи new!relations_name""),6,FALSE)
,
(IF
(
C5560=""юридична особа""
,
VLOOKUP"&amp;"(D5560,IMPORTRANGE(""https://docs.google.com/spreadsheets/d/14Bd19lYaqBhU8_DElYkX7l4wRkHqqCUFNJY4AfY3kHU/edit?usp=sharing  #gid=0"",""фіз особи new!relations_name_uo""),7,FALSE)
,
)
))"),"КОЗЛОВА Катерина Олександрівна")</f>
        <v>КОЗЛОВА Катерина Олександрівна</v>
      </c>
      <c r="G5559" s="7" t="s">
        <v>10</v>
      </c>
      <c r="H5559" s="7">
        <v>4706</v>
      </c>
      <c r="I5559" s="8" t="str">
        <f ca="1">IFERROR(__xludf.DUMMYFUNCTION("IF
(
G5560=""фізична особа""
,
VLOOKUP(H5560,IMPORTRANGE(""https://docs.google.com/spreadsheets/d/14Bd19lYaqBhU8_DElYkX7l4wRkHqqCUFNJY4AfY3kHU/edit?usp=sharing  #gid=0"",""фіз особи new!relations_name""),6,FALSE)
,
(IF
(
G5560=""юридична особа""
,
VLOOKUP"&amp;"(H5560,IMPORTRANGE(""https://docs.google.com/spreadsheets/d/14Bd19lYaqBhU8_DElYkX7l4wRkHqqCUFNJY4AfY3kHU/edit?usp=sharing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J5559" s="7" t="s">
        <v>31</v>
      </c>
    </row>
    <row r="5560" spans="1:10" ht="13.2">
      <c r="A5560" s="7">
        <v>5559</v>
      </c>
      <c r="B5560" s="7">
        <v>1</v>
      </c>
      <c r="C5560" s="7" t="s">
        <v>10</v>
      </c>
      <c r="D5560" s="7">
        <v>4706</v>
      </c>
      <c r="E5560" s="7" t="s">
        <v>31</v>
      </c>
      <c r="F5560" s="8" t="str">
        <f ca="1">IFERROR(__xludf.DUMMYFUNCTION("IF
(
C5561=""фізична особа""
,
VLOOKUP(D5561,IMPORTRANGE(""https://docs.google.com/spreadsheets/d/14Bd19lYaqBhU8_DElYkX7l4wRkHqqCUFNJY4AfY3kHU/edit?usp=sharing  #gid=0"",""фіз особи new!relations_name""),6,FALSE)
,
(IF
(
C5561=""юридична особа""
,
VLOOKUP"&amp;"(D5561,IMPORTRANGE(""https://docs.google.com/spreadsheets/d/14Bd19lYaqBhU8_DElYkX7l4wRkHqqCUFNJY4AfY3kHU/edit?usp=sharing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G5560" s="7" t="s">
        <v>10</v>
      </c>
      <c r="H5560" s="7">
        <v>2304</v>
      </c>
      <c r="I5560" s="8" t="str">
        <f ca="1">IFERROR(__xludf.DUMMYFUNCTION("IF
(
G5561=""фізична особа""
,
VLOOKUP(H5561,IMPORTRANGE(""https://docs.google.com/spreadsheets/d/14Bd19lYaqBhU8_DElYkX7l4wRkHqqCUFNJY4AfY3kHU/edit?usp=sharing  #gid=0"",""фіз особи new!relations_name""),6,FALSE)
,
(IF
(
G5561=""юридична особа""
,
VLOOKUP"&amp;"(H5561,IMPORTRANGE(""https://docs.google.com/spreadsheets/d/14Bd19lYaqBhU8_DElYkX7l4wRkHqqCUFNJY4AfY3kHU/edit?usp=sharing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60" s="7" t="s">
        <v>18</v>
      </c>
    </row>
    <row r="5561" spans="1:10" ht="13.2">
      <c r="A5561" s="7">
        <v>5560</v>
      </c>
      <c r="B5561" s="7">
        <v>1</v>
      </c>
      <c r="C5561" s="7" t="s">
        <v>10</v>
      </c>
      <c r="D5561" s="7">
        <v>4706</v>
      </c>
      <c r="E5561" s="7" t="s">
        <v>110</v>
      </c>
      <c r="F5561" s="8" t="str">
        <f ca="1">IFERROR(__xludf.DUMMYFUNCTION("IF
(
C5562=""фізична особа""
,
VLOOKUP(D5562,IMPORTRANGE(""https://docs.google.com/spreadsheets/d/14Bd19lYaqBhU8_DElYkX7l4wRkHqqCUFNJY4AfY3kHU/edit?usp=sharing  #gid=0"",""фіз особи new!relations_name""),6,FALSE)
,
(IF
(
C5562=""юридична особа""
,
VLOOKUP"&amp;"(D5562,IMPORTRANGE(""https://docs.google.com/spreadsheets/d/14Bd19lYaqBhU8_DElYkX7l4wRkHqqCUFNJY4AfY3kHU/edit?usp=sharing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G5561" s="7" t="s">
        <v>10</v>
      </c>
      <c r="H5561" s="7">
        <v>4704</v>
      </c>
      <c r="I5561" s="8" t="str">
        <f ca="1">IFERROR(__xludf.DUMMYFUNCTION("IF
(
G5562=""фізична особа""
,
VLOOKUP(H5562,IMPORTRANGE(""https://docs.google.com/spreadsheets/d/14Bd19lYaqBhU8_DElYkX7l4wRkHqqCUFNJY4AfY3kHU/edit?usp=sharing  #gid=0"",""фіз особи new!relations_name""),6,FALSE)
,
(IF
(
G5562=""юридична особа""
,
VLOOKUP"&amp;"(H5562,IMPORTRANGE(""https://docs.google.com/spreadsheets/d/14Bd19lYaqBhU8_DElYkX7l4wRkHqqCUFNJY4AfY3kHU/edit?usp=sharing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61" s="7" t="s">
        <v>25</v>
      </c>
    </row>
    <row r="5562" spans="1:10" ht="13.2">
      <c r="A5562" s="7">
        <v>5561</v>
      </c>
      <c r="B5562" s="7">
        <v>1</v>
      </c>
      <c r="C5562" s="7" t="s">
        <v>10</v>
      </c>
      <c r="D5562" s="7">
        <v>4706</v>
      </c>
      <c r="E5562" s="7" t="s">
        <v>31</v>
      </c>
      <c r="F5562" s="8" t="str">
        <f ca="1">IFERROR(__xludf.DUMMYFUNCTION("IF
(
C5563=""фізична особа""
,
VLOOKUP(D5563,IMPORTRANGE(""https://docs.google.com/spreadsheets/d/14Bd19lYaqBhU8_DElYkX7l4wRkHqqCUFNJY4AfY3kHU/edit?usp=sharing  #gid=0"",""фіз особи new!relations_name""),6,FALSE)
,
(IF
(
C5563=""юридична особа""
,
VLOOKUP"&amp;"(D5563,IMPORTRANGE(""https://docs.google.com/spreadsheets/d/14Bd19lYaqBhU8_DElYkX7l4wRkHqqCUFNJY4AfY3kHU/edit?usp=sharing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G5562" s="7" t="s">
        <v>10</v>
      </c>
      <c r="H5562" s="7">
        <v>4705</v>
      </c>
      <c r="I5562" s="8" t="str">
        <f ca="1">IFERROR(__xludf.DUMMYFUNCTION("IF
(
G5563=""фізична особа""
,
VLOOKUP(H5563,IMPORTRANGE(""https://docs.google.com/spreadsheets/d/14Bd19lYaqBhU8_DElYkX7l4wRkHqqCUFNJY4AfY3kHU/edit?usp=sharing  #gid=0"",""фіз особи new!relations_name""),6,FALSE)
,
(IF
(
G5563=""юридична особа""
,
VLOOKUP"&amp;"(H5563,IMPORTRANGE(""https://docs.google.com/spreadsheets/d/14Bd19lYaqBhU8_DElYkX7l4wRkHqqCUFNJY4AfY3kHU/edit?usp=sharing  #gid=0"",""фіз особи new!relations_name_uo""),7,FALSE)
,
)
))"),"КОЗЛОВА Катерина Олександрівна")</f>
        <v>КОЗЛОВА Катерина Олександрівна</v>
      </c>
      <c r="J5562" s="7" t="s">
        <v>31</v>
      </c>
    </row>
    <row r="5563" spans="1:10" ht="13.2">
      <c r="A5563" s="7">
        <v>5562</v>
      </c>
      <c r="B5563" s="7">
        <v>1</v>
      </c>
      <c r="C5563" s="7" t="s">
        <v>10</v>
      </c>
      <c r="D5563" s="7">
        <v>4706</v>
      </c>
      <c r="E5563" s="7" t="s">
        <v>13</v>
      </c>
      <c r="F5563" s="8" t="str">
        <f ca="1">IFERROR(__xludf.DUMMYFUNCTION("IF
(
C5564=""фізична особа""
,
VLOOKUP(D5564,IMPORTRANGE(""https://docs.google.com/spreadsheets/d/14Bd19lYaqBhU8_DElYkX7l4wRkHqqCUFNJY4AfY3kHU/edit?usp=sharing  #gid=0"",""фіз особи new!relations_name""),6,FALSE)
,
(IF
(
C5564=""юридична особа""
,
VLOOKUP"&amp;"(D5564,IMPORTRANGE(""https://docs.google.com/spreadsheets/d/14Bd19lYaqBhU8_DElYkX7l4wRkHqqCUFNJY4AfY3kHU/edit?usp=sharing  #gid=0"",""фіз особи new!relations_name_uo""),7,FALSE)
,
)
))"),"КОЗЛОВА / ФІЛАТОВА Євгенія Олександрівна")</f>
        <v>КОЗЛОВА / ФІЛАТОВА Євгенія Олександрівна</v>
      </c>
      <c r="G5563" s="7" t="s">
        <v>10</v>
      </c>
      <c r="H5563" s="7">
        <v>4703</v>
      </c>
      <c r="I5563" s="8" t="str">
        <f ca="1">IFERROR(__xludf.DUMMYFUNCTION("IF
(
G5564=""фізична особа""
,
VLOOKUP(H5564,IMPORTRANGE(""https://docs.google.com/spreadsheets/d/14Bd19lYaqBhU8_DElYkX7l4wRkHqqCUFNJY4AfY3kHU/edit?usp=sharing  #gid=0"",""фіз особи new!relations_name""),6,FALSE)
,
(IF
(
G5564=""юридична особа""
,
VLOOKUP"&amp;"(H5564,IMPORTRANGE(""https://docs.google.com/spreadsheets/d/14Bd19lYaqBhU8_DElYkX7l4wRkHqqCUFNJY4AfY3kHU/edit?usp=sharing  #gid=0"",""фіз особи new!relations_name_uo""),7,FALSE)
,
)
))"),"КОЗЛОВА Ірина Володимирівна")</f>
        <v>КОЗЛОВА Ірина Володимирівна</v>
      </c>
      <c r="J5563" s="7" t="s">
        <v>21</v>
      </c>
    </row>
    <row r="5564" spans="1:10" ht="13.2">
      <c r="A5564" s="7">
        <v>5563</v>
      </c>
      <c r="B5564" s="7">
        <v>1</v>
      </c>
      <c r="C5564" s="7" t="s">
        <v>10</v>
      </c>
      <c r="D5564" s="7">
        <v>4707</v>
      </c>
      <c r="E5564" s="7" t="s">
        <v>13</v>
      </c>
      <c r="F5564" s="8" t="str">
        <f ca="1">IFERROR(__xludf.DUMMYFUNCTION("IF
(
C5565=""фізична особа""
,
VLOOKUP(D5565,IMPORTRANGE(""https://docs.google.com/spreadsheets/d/14Bd19lYaqBhU8_DElYkX7l4wRkHqqCUFNJY4AfY3kHU/edit?usp=sharing  #gid=0"",""фіз особи new!relations_name""),6,FALSE)
,
(IF
(
C5565=""юридична особа""
,
VLOOKUP"&amp;"(D5565,IMPORTRANGE(""https://docs.google.com/spreadsheets/d/14Bd19lYaqBhU8_DElYkX7l4wRkHqqCUFNJY4AfY3kHU/edit?usp=sharing  #gid=0"",""фіз особи new!relations_name_uo""),7,FALSE)
,
)
))"),"КОЗЛОВА Аліса Олександрівна")</f>
        <v>КОЗЛОВА Аліса Олександрівна</v>
      </c>
      <c r="G5564" s="7" t="s">
        <v>10</v>
      </c>
      <c r="H5564" s="7">
        <v>4704</v>
      </c>
      <c r="I5564" s="8" t="str">
        <f ca="1">IFERROR(__xludf.DUMMYFUNCTION("IF
(
G5565=""фізична особа""
,
VLOOKUP(H5565,IMPORTRANGE(""https://docs.google.com/spreadsheets/d/14Bd19lYaqBhU8_DElYkX7l4wRkHqqCUFNJY4AfY3kHU/edit?usp=sharing  #gid=0"",""фіз особи new!relations_name""),6,FALSE)
,
(IF
(
G5565=""юридична особа""
,
VLOOKUP"&amp;"(H5565,IMPORTRANGE(""https://docs.google.com/spreadsheets/d/14Bd19lYaqBhU8_DElYkX7l4wRkHqqCUFNJY4AfY3kHU/edit?usp=sharing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64" s="7" t="s">
        <v>21</v>
      </c>
    </row>
    <row r="5565" spans="1:10" ht="13.2">
      <c r="A5565" s="7">
        <v>5564</v>
      </c>
      <c r="B5565" s="7">
        <v>1</v>
      </c>
      <c r="C5565" s="7" t="s">
        <v>10</v>
      </c>
      <c r="D5565" s="7">
        <v>4707</v>
      </c>
      <c r="E5565" s="7" t="s">
        <v>13</v>
      </c>
      <c r="F5565" s="8" t="str">
        <f ca="1">IFERROR(__xludf.DUMMYFUNCTION("IF
(
C5566=""фізична особа""
,
VLOOKUP(D5566,IMPORTRANGE(""https://docs.google.com/spreadsheets/d/14Bd19lYaqBhU8_DElYkX7l4wRkHqqCUFNJY4AfY3kHU/edit?usp=sharing  #gid=0"",""фіз особи new!relations_name""),6,FALSE)
,
(IF
(
C5566=""юридична особа""
,
VLOOKUP"&amp;"(D5566,IMPORTRANGE(""https://docs.google.com/spreadsheets/d/14Bd19lYaqBhU8_DElYkX7l4wRkHqqCUFNJY4AfY3kHU/edit?usp=sharing  #gid=0"",""фіз особи new!relations_name_uo""),7,FALSE)
,
)
))"),"КОЗЛОВА Аліса Олександрівна")</f>
        <v>КОЗЛОВА Аліса Олександрівна</v>
      </c>
      <c r="G5565" s="7" t="s">
        <v>10</v>
      </c>
      <c r="H5565" s="7">
        <v>2304</v>
      </c>
      <c r="I5565" s="8" t="str">
        <f ca="1">IFERROR(__xludf.DUMMYFUNCTION("IF
(
G5566=""фізична особа""
,
VLOOKUP(H5566,IMPORTRANGE(""https://docs.google.com/spreadsheets/d/14Bd19lYaqBhU8_DElYkX7l4wRkHqqCUFNJY4AfY3kHU/edit?usp=sharing  #gid=0"",""фіз особи new!relations_name""),6,FALSE)
,
(IF
(
G5566=""юридична особа""
,
VLOOKUP"&amp;"(H5566,IMPORTRANGE(""https://docs.google.com/spreadsheets/d/14Bd19lYaqBhU8_DElYkX7l4wRkHqqCUFNJY4AfY3kHU/edit?usp=sharing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65" s="7" t="s">
        <v>12</v>
      </c>
    </row>
    <row r="5566" spans="1:10" ht="13.2">
      <c r="A5566" s="7">
        <v>5565</v>
      </c>
      <c r="B5566" s="7">
        <v>1</v>
      </c>
      <c r="C5566" s="7" t="s">
        <v>10</v>
      </c>
      <c r="D5566" s="7">
        <v>4708</v>
      </c>
      <c r="E5566" s="7" t="s">
        <v>12</v>
      </c>
      <c r="F5566" s="8" t="str">
        <f ca="1">IFERROR(__xludf.DUMMYFUNCTION("IF
(
C5567=""фізична особа""
,
VLOOKUP(D5567,IMPORTRANGE(""https://docs.google.com/spreadsheets/d/14Bd19lYaqBhU8_DElYkX7l4wRkHqqCUFNJY4AfY3kHU/edit?usp=sharing  #gid=0"",""фіз особи new!relations_name""),6,FALSE)
,
(IF
(
C5567=""юридична особа""
,
VLOOKUP"&amp;"(D5567,IMPORTRANGE(""https://docs.google.com/spreadsheets/d/14Bd19lYaqBhU8_DElYkX7l4wRkHqqCUFNJY4AfY3kHU/edit?usp=sharing  #gid=0"",""фіз особи new!relations_name_uo""),7,FALSE)
,
)
))"),"ЛОГІНОВ Євгеній Петрович")</f>
        <v>ЛОГІНОВ Євгеній Петрович</v>
      </c>
      <c r="G5566" s="7" t="s">
        <v>10</v>
      </c>
      <c r="H5566" s="7">
        <v>4704</v>
      </c>
      <c r="I5566" s="8" t="str">
        <f ca="1">IFERROR(__xludf.DUMMYFUNCTION("IF
(
G5567=""фізична особа""
,
VLOOKUP(H5567,IMPORTRANGE(""https://docs.google.com/spreadsheets/d/14Bd19lYaqBhU8_DElYkX7l4wRkHqqCUFNJY4AfY3kHU/edit?usp=sharing  #gid=0"",""фіз особи new!relations_name""),6,FALSE)
,
(IF
(
G5567=""юридична особа""
,
VLOOKUP"&amp;"(H5567,IMPORTRANGE(""https://docs.google.com/spreadsheets/d/14Bd19lYaqBhU8_DElYkX7l4wRkHqqCUFNJY4AfY3kHU/edit?usp=sharing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66" s="7" t="s">
        <v>13</v>
      </c>
    </row>
    <row r="5567" spans="1:10" ht="13.2">
      <c r="A5567" s="7">
        <v>5566</v>
      </c>
      <c r="B5567" s="7">
        <v>1</v>
      </c>
      <c r="C5567" s="7" t="s">
        <v>10</v>
      </c>
      <c r="D5567" s="7">
        <v>4708</v>
      </c>
      <c r="E5567" s="7" t="s">
        <v>24</v>
      </c>
      <c r="F5567" s="8" t="str">
        <f ca="1">IFERROR(__xludf.DUMMYFUNCTION("IF
(
C5568=""фізична особа""
,
VLOOKUP(D5568,IMPORTRANGE(""https://docs.google.com/spreadsheets/d/14Bd19lYaqBhU8_DElYkX7l4wRkHqqCUFNJY4AfY3kHU/edit?usp=sharing  #gid=0"",""фіз особи new!relations_name""),6,FALSE)
,
(IF
(
C5568=""юридична особа""
,
VLOOKUP"&amp;"(D5568,IMPORTRANGE(""https://docs.google.com/spreadsheets/d/14Bd19lYaqBhU8_DElYkX7l4wRkHqqCUFNJY4AfY3kHU/edit?usp=sharing  #gid=0"",""фіз особи new!relations_name_uo""),7,FALSE)
,
)
))"),"ЛОГІНОВ Євгеній Петрович")</f>
        <v>ЛОГІНОВ Євгеній Петрович</v>
      </c>
      <c r="G5567" s="7" t="s">
        <v>10</v>
      </c>
      <c r="H5567" s="7">
        <v>2304</v>
      </c>
      <c r="I5567" s="8" t="str">
        <f ca="1">IFERROR(__xludf.DUMMYFUNCTION("IF
(
G5568=""фізична особа""
,
VLOOKUP(H5568,IMPORTRANGE(""https://docs.google.com/spreadsheets/d/14Bd19lYaqBhU8_DElYkX7l4wRkHqqCUFNJY4AfY3kHU/edit?usp=sharing  #gid=0"",""фіз особи new!relations_name""),6,FALSE)
,
(IF
(
G5568=""юридична особа""
,
VLOOKUP"&amp;"(H5568,IMPORTRANGE(""https://docs.google.com/spreadsheets/d/14Bd19lYaqBhU8_DElYkX7l4wRkHqqCUFNJY4AfY3kHU/edit?usp=sharing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67" s="7" t="s">
        <v>26</v>
      </c>
    </row>
    <row r="5568" spans="1:10" ht="13.2">
      <c r="A5568" s="7">
        <v>5567</v>
      </c>
      <c r="B5568" s="7">
        <v>1</v>
      </c>
      <c r="C5568" s="7" t="s">
        <v>10</v>
      </c>
      <c r="D5568" s="7">
        <v>4709</v>
      </c>
      <c r="E5568" s="7" t="s">
        <v>18</v>
      </c>
      <c r="F5568" s="8" t="str">
        <f ca="1">IFERROR(__xludf.DUMMYFUNCTION("IF
(
C5569=""фізична особа""
,
VLOOKUP(D5569,IMPORTRANGE(""https://docs.google.com/spreadsheets/d/14Bd19lYaqBhU8_DElYkX7l4wRkHqqCUFNJY4AfY3kHU/edit?usp=sharing  #gid=0"",""фіз особи new!relations_name""),6,FALSE)
,
(IF
(
C5569=""юридична особа""
,
VLOOKUP"&amp;"(D5569,IMPORTRANGE(""https://docs.google.com/spreadsheets/d/14Bd19lYaqBhU8_DElYkX7l4wRkHqqCUFNJY4AfY3kHU/edit?usp=sharing  #gid=0"",""фіз особи new!relations_name_uo""),7,FALSE)
,
)
))"),"ЛОГІНОВ Олексій Євгенійович")</f>
        <v>ЛОГІНОВ Олексій Євгенійович</v>
      </c>
      <c r="G5568" s="7" t="s">
        <v>10</v>
      </c>
      <c r="H5568" s="7">
        <v>4704</v>
      </c>
      <c r="I5568" s="8" t="str">
        <f ca="1">IFERROR(__xludf.DUMMYFUNCTION("IF
(
G5569=""фізична особа""
,
VLOOKUP(H5569,IMPORTRANGE(""https://docs.google.com/spreadsheets/d/14Bd19lYaqBhU8_DElYkX7l4wRkHqqCUFNJY4AfY3kHU/edit?usp=sharing  #gid=0"",""фіз особи new!relations_name""),6,FALSE)
,
(IF
(
G5569=""юридична особа""
,
VLOOKUP"&amp;"(H5569,IMPORTRANGE(""https://docs.google.com/spreadsheets/d/14Bd19lYaqBhU8_DElYkX7l4wRkHqqCUFNJY4AfY3kHU/edit?usp=sharing  #gid=0"",""фіз особи new!relations_name_uo""),7,FALSE)
,
)
))"),"Козлова / Логінова Ганна Євгенівна")</f>
        <v>Козлова / Логінова Ганна Євгенівна</v>
      </c>
      <c r="J5568" s="7" t="s">
        <v>31</v>
      </c>
    </row>
    <row r="5569" spans="1:10" ht="13.2">
      <c r="A5569" s="7">
        <v>5568</v>
      </c>
      <c r="B5569" s="7">
        <v>1</v>
      </c>
      <c r="C5569" s="7" t="s">
        <v>10</v>
      </c>
      <c r="D5569" s="7">
        <v>4709</v>
      </c>
      <c r="E5569" s="7" t="s">
        <v>17</v>
      </c>
      <c r="F5569" s="8" t="str">
        <f ca="1">IFERROR(__xludf.DUMMYFUNCTION("IF
(
C5570=""фізична особа""
,
VLOOKUP(D5570,IMPORTRANGE(""https://docs.google.com/spreadsheets/d/14Bd19lYaqBhU8_DElYkX7l4wRkHqqCUFNJY4AfY3kHU/edit?usp=sharing  #gid=0"",""фіз особи new!relations_name""),6,FALSE)
,
(IF
(
C5570=""юридична особа""
,
VLOOKUP"&amp;"(D5570,IMPORTRANGE(""https://docs.google.com/spreadsheets/d/14Bd19lYaqBhU8_DElYkX7l4wRkHqqCUFNJY4AfY3kHU/edit?usp=sharing  #gid=0"",""фіз особи new!relations_name_uo""),7,FALSE)
,
)
))"),"ЛОГІНОВ Олексій Євгенійович")</f>
        <v>ЛОГІНОВ Олексій Євгенійович</v>
      </c>
      <c r="G5569" s="7" t="s">
        <v>10</v>
      </c>
      <c r="H5569" s="7">
        <v>4708</v>
      </c>
      <c r="I5569" s="8" t="str">
        <f ca="1">IFERROR(__xludf.DUMMYFUNCTION("IF
(
G5570=""фізична особа""
,
VLOOKUP(H5570,IMPORTRANGE(""https://docs.google.com/spreadsheets/d/14Bd19lYaqBhU8_DElYkX7l4wRkHqqCUFNJY4AfY3kHU/edit?usp=sharing  #gid=0"",""фіз особи new!relations_name""),6,FALSE)
,
(IF
(
G5570=""юридична особа""
,
VLOOKUP"&amp;"(H5570,IMPORTRANGE(""https://docs.google.com/spreadsheets/d/14Bd19lYaqBhU8_DElYkX7l4wRkHqqCUFNJY4AfY3kHU/edit?usp=sharing  #gid=0"",""фіз особи new!relations_name_uo""),7,FALSE)
,
)
))"),"ЛОГІНОВ Євгеній Петрович")</f>
        <v>ЛОГІНОВ Євгеній Петрович</v>
      </c>
      <c r="J5569" s="7" t="s">
        <v>12</v>
      </c>
    </row>
    <row r="5570" spans="1:10" ht="13.2">
      <c r="A5570" s="7">
        <v>5569</v>
      </c>
      <c r="B5570" s="7">
        <v>1</v>
      </c>
      <c r="C5570" s="7" t="s">
        <v>10</v>
      </c>
      <c r="D5570" s="7">
        <v>4709</v>
      </c>
      <c r="E5570" s="7" t="s">
        <v>50</v>
      </c>
      <c r="F5570" s="8" t="str">
        <f ca="1">IFERROR(__xludf.DUMMYFUNCTION("IF
(
C5571=""фізична особа""
,
VLOOKUP(D5571,IMPORTRANGE(""https://docs.google.com/spreadsheets/d/14Bd19lYaqBhU8_DElYkX7l4wRkHqqCUFNJY4AfY3kHU/edit?usp=sharing  #gid=0"",""фіз особи new!relations_name""),6,FALSE)
,
(IF
(
C5571=""юридична особа""
,
VLOOKUP"&amp;"(D5571,IMPORTRANGE(""https://docs.google.com/spreadsheets/d/14Bd19lYaqBhU8_DElYkX7l4wRkHqqCUFNJY4AfY3kHU/edit?usp=sharing  #gid=0"",""фіз особи new!relations_name_uo""),7,FALSE)
,
)
))"),"ЛОГІНОВ Олексій Євгенійович")</f>
        <v>ЛОГІНОВ Олексій Євгенійович</v>
      </c>
      <c r="G5570" s="7" t="s">
        <v>10</v>
      </c>
      <c r="H5570" s="7">
        <v>2304</v>
      </c>
      <c r="I5570" s="8" t="str">
        <f ca="1">IFERROR(__xludf.DUMMYFUNCTION("IF
(
G5571=""фізична особа""
,
VLOOKUP(H5571,IMPORTRANGE(""https://docs.google.com/spreadsheets/d/14Bd19lYaqBhU8_DElYkX7l4wRkHqqCUFNJY4AfY3kHU/edit?usp=sharing  #gid=0"",""фіз особи new!relations_name""),6,FALSE)
,
(IF
(
G5571=""юридична особа""
,
VLOOKUP"&amp;"(H5571,IMPORTRANGE(""https://docs.google.com/spreadsheets/d/14Bd19lYaqBhU8_DElYkX7l4wRkHqqCUFNJY4AfY3kHU/edit?usp=sharing  #gid=0"",""фіз особи new!relations_name_uo""),7,FALSE)
,
)
))"),"КОЗЛОВ Олександр Олександрович")</f>
        <v>КОЗЛОВ Олександр Олександрович</v>
      </c>
      <c r="J5570" s="7" t="s">
        <v>26</v>
      </c>
    </row>
    <row r="5571" spans="1:10" ht="13.2">
      <c r="A5571" s="7">
        <v>5570</v>
      </c>
      <c r="B5571" s="7">
        <v>1</v>
      </c>
      <c r="C5571" s="7" t="s">
        <v>10</v>
      </c>
      <c r="D5571" s="7">
        <v>4711</v>
      </c>
      <c r="E5571" s="7" t="s">
        <v>15</v>
      </c>
      <c r="F5571" s="8" t="str">
        <f ca="1">IFERROR(__xludf.DUMMYFUNCTION("IF
(
C5572=""фізична особа""
,
VLOOKUP(D5572,IMPORTRANGE(""https://docs.google.com/spreadsheets/d/14Bd19lYaqBhU8_DElYkX7l4wRkHqqCUFNJY4AfY3kHU/edit?usp=sharing  #gid=0"",""фіз особи new!relations_name""),6,FALSE)
,
(IF
(
C5572=""юридична особа""
,
VLOOKUP"&amp;"(D5572,IMPORTRANGE(""https://docs.google.com/spreadsheets/d/14Bd19lYaqBhU8_DElYkX7l4wRkHqqCUFNJY4AfY3kHU/edit?usp=sharing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G5571" s="7" t="s">
        <v>10</v>
      </c>
      <c r="H5571" s="7">
        <v>890</v>
      </c>
      <c r="I5571" s="8" t="str">
        <f ca="1">IFERROR(__xludf.DUMMYFUNCTION("IF
(
G5572=""фізична особа""
,
VLOOKUP(H5572,IMPORTRANGE(""https://docs.google.com/spreadsheets/d/14Bd19lYaqBhU8_DElYkX7l4wRkHqqCUFNJY4AfY3kHU/edit?usp=sharing  #gid=0"",""фіз особи new!relations_name""),6,FALSE)
,
(IF
(
G5572=""юридична особа""
,
VLOOKUP"&amp;"(H5572,IMPORTRANGE(""https://docs.google.com/spreadsheets/d/14Bd19lYaqBhU8_DElYkX7l4wRkHqqCUFNJY4AfY3kHU/edit?usp=sharing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J5571" s="7" t="s">
        <v>14</v>
      </c>
    </row>
    <row r="5572" spans="1:10" ht="13.2">
      <c r="A5572" s="7">
        <v>5571</v>
      </c>
      <c r="B5572" s="7">
        <v>1</v>
      </c>
      <c r="C5572" s="7" t="s">
        <v>10</v>
      </c>
      <c r="D5572" s="7">
        <v>4711</v>
      </c>
      <c r="E5572" s="7" t="s">
        <v>25</v>
      </c>
      <c r="F5572" s="8" t="str">
        <f ca="1">IFERROR(__xludf.DUMMYFUNCTION("IF
(
C5573=""фізична особа""
,
VLOOKUP(D5573,IMPORTRANGE(""https://docs.google.com/spreadsheets/d/14Bd19lYaqBhU8_DElYkX7l4wRkHqqCUFNJY4AfY3kHU/edit?usp=sharing  #gid=0"",""фіз особи new!relations_name""),6,FALSE)
,
(IF
(
C5573=""юридична особа""
,
VLOOKUP"&amp;"(D5573,IMPORTRANGE(""https://docs.google.com/spreadsheets/d/14Bd19lYaqBhU8_DElYkX7l4wRkHqqCUFNJY4AfY3kHU/edit?usp=sharing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G5572" s="7" t="s">
        <v>10</v>
      </c>
      <c r="H5572" s="7">
        <v>4712</v>
      </c>
      <c r="I5572" s="8" t="str">
        <f ca="1">IFERROR(__xludf.DUMMYFUNCTION("IF
(
G5573=""фізична особа""
,
VLOOKUP(H5573,IMPORTRANGE(""https://docs.google.com/spreadsheets/d/14Bd19lYaqBhU8_DElYkX7l4wRkHqqCUFNJY4AfY3kHU/edit?usp=sharing  #gid=0"",""фіз особи new!relations_name""),6,FALSE)
,
(IF
(
G5573=""юридична особа""
,
VLOOKUP"&amp;"(H5573,IMPORTRANGE(""https://docs.google.com/spreadsheets/d/14Bd19lYaqBhU8_DElYkX7l4wRkHqqCUFNJY4AfY3kHU/edit?usp=sharing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J5572" s="7" t="s">
        <v>58</v>
      </c>
    </row>
    <row r="5573" spans="1:10" ht="13.2">
      <c r="A5573" s="7">
        <v>5572</v>
      </c>
      <c r="B5573" s="7">
        <v>1</v>
      </c>
      <c r="C5573" s="7" t="s">
        <v>10</v>
      </c>
      <c r="D5573" s="7">
        <v>4711</v>
      </c>
      <c r="E5573" s="7" t="s">
        <v>25</v>
      </c>
      <c r="F5573" s="8" t="str">
        <f ca="1">IFERROR(__xludf.DUMMYFUNCTION("IF
(
C5574=""фізична особа""
,
VLOOKUP(D5574,IMPORTRANGE(""https://docs.google.com/spreadsheets/d/14Bd19lYaqBhU8_DElYkX7l4wRkHqqCUFNJY4AfY3kHU/edit?usp=sharing  #gid=0"",""фіз особи new!relations_name""),6,FALSE)
,
(IF
(
C5574=""юридична особа""
,
VLOOKUP"&amp;"(D5574,IMPORTRANGE(""https://docs.google.com/spreadsheets/d/14Bd19lYaqBhU8_DElYkX7l4wRkHqqCUFNJY4AfY3kHU/edit?usp=sharing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G5573" s="7" t="s">
        <v>10</v>
      </c>
      <c r="H5573" s="7">
        <v>4797</v>
      </c>
      <c r="I5573" s="8" t="str">
        <f ca="1">IFERROR(__xludf.DUMMYFUNCTION("IF
(
G5574=""фізична особа""
,
VLOOKUP(H5574,IMPORTRANGE(""https://docs.google.com/spreadsheets/d/14Bd19lYaqBhU8_DElYkX7l4wRkHqqCUFNJY4AfY3kHU/edit?usp=sharing  #gid=0"",""фіз особи new!relations_name""),6,FALSE)
,
(IF
(
G5574=""юридична особа""
,
VLOOKUP"&amp;"(H5574,IMPORTRANGE(""https://docs.google.com/spreadsheets/d/14Bd19lYaqBhU8_DElYkX7l4wRkHqqCUFNJY4AfY3kHU/edit?usp=sharing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J5573" s="7" t="s">
        <v>34</v>
      </c>
    </row>
    <row r="5574" spans="1:10" ht="13.2">
      <c r="A5574" s="7">
        <v>5573</v>
      </c>
      <c r="B5574" s="7">
        <v>1</v>
      </c>
      <c r="C5574" s="7" t="s">
        <v>10</v>
      </c>
      <c r="D5574" s="7">
        <v>4712</v>
      </c>
      <c r="E5574" s="7" t="s">
        <v>21</v>
      </c>
      <c r="F5574" s="8" t="str">
        <f ca="1">IFERROR(__xludf.DUMMYFUNCTION("IF
(
C5575=""фізична особа""
,
VLOOKUP(D5575,IMPORTRANGE(""https://docs.google.com/spreadsheets/d/14Bd19lYaqBhU8_DElYkX7l4wRkHqqCUFNJY4AfY3kHU/edit?usp=sharing  #gid=0"",""фіз особи new!relations_name""),6,FALSE)
,
(IF
(
C5575=""юридична особа""
,
VLOOKUP"&amp;"(D5575,IMPORTRANGE(""https://docs.google.com/spreadsheets/d/14Bd19lYaqBhU8_DElYkX7l4wRkHqqCUFNJY4AfY3kHU/edit?usp=sharing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G5574" s="7" t="s">
        <v>10</v>
      </c>
      <c r="H5574" s="7">
        <v>890</v>
      </c>
      <c r="I5574" s="8" t="str">
        <f ca="1">IFERROR(__xludf.DUMMYFUNCTION("IF
(
G5575=""фізична особа""
,
VLOOKUP(H5575,IMPORTRANGE(""https://docs.google.com/spreadsheets/d/14Bd19lYaqBhU8_DElYkX7l4wRkHqqCUFNJY4AfY3kHU/edit?usp=sharing  #gid=0"",""фіз особи new!relations_name""),6,FALSE)
,
(IF
(
G5575=""юридична особа""
,
VLOOKUP"&amp;"(H5575,IMPORTRANGE(""https://docs.google.com/spreadsheets/d/14Bd19lYaqBhU8_DElYkX7l4wRkHqqCUFNJY4AfY3kHU/edit?usp=sharing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J5574" s="7" t="s">
        <v>17</v>
      </c>
    </row>
    <row r="5575" spans="1:10" ht="13.2">
      <c r="A5575" s="7">
        <v>5574</v>
      </c>
      <c r="B5575" s="7">
        <v>1</v>
      </c>
      <c r="C5575" s="7" t="s">
        <v>10</v>
      </c>
      <c r="D5575" s="7">
        <v>4712</v>
      </c>
      <c r="E5575" s="7" t="s">
        <v>21</v>
      </c>
      <c r="F5575" s="8" t="str">
        <f ca="1">IFERROR(__xludf.DUMMYFUNCTION("IF
(
C5576=""фізична особа""
,
VLOOKUP(D5576,IMPORTRANGE(""https://docs.google.com/spreadsheets/d/14Bd19lYaqBhU8_DElYkX7l4wRkHqqCUFNJY4AfY3kHU/edit?usp=sharing  #gid=0"",""фіз особи new!relations_name""),6,FALSE)
,
(IF
(
C5576=""юридична особа""
,
VLOOKUP"&amp;"(D5576,IMPORTRANGE(""https://docs.google.com/spreadsheets/d/14Bd19lYaqBhU8_DElYkX7l4wRkHqqCUFNJY4AfY3kHU/edit?usp=sharing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G5575" s="7" t="s">
        <v>10</v>
      </c>
      <c r="H5575" s="7">
        <v>4798</v>
      </c>
      <c r="I5575" s="8" t="str">
        <f ca="1">IFERROR(__xludf.DUMMYFUNCTION("IF
(
G5576=""фізична особа""
,
VLOOKUP(H5576,IMPORTRANGE(""https://docs.google.com/spreadsheets/d/14Bd19lYaqBhU8_DElYkX7l4wRkHqqCUFNJY4AfY3kHU/edit?usp=sharing  #gid=0"",""фіз особи new!relations_name""),6,FALSE)
,
(IF
(
G5576=""юридична особа""
,
VLOOKUP"&amp;"(H5576,IMPORTRANGE(""https://docs.google.com/spreadsheets/d/14Bd19lYaqBhU8_DElYkX7l4wRkHqqCUFNJY4AfY3kHU/edit?usp=sharing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J5575" s="7" t="s">
        <v>13</v>
      </c>
    </row>
    <row r="5576" spans="1:10" ht="13.2">
      <c r="A5576" s="7">
        <v>5575</v>
      </c>
      <c r="B5576" s="7">
        <v>1</v>
      </c>
      <c r="C5576" s="7" t="s">
        <v>10</v>
      </c>
      <c r="D5576" s="7">
        <v>4712</v>
      </c>
      <c r="E5576" s="7" t="s">
        <v>58</v>
      </c>
      <c r="F5576" s="8" t="str">
        <f ca="1">IFERROR(__xludf.DUMMYFUNCTION("IF
(
C5577=""фізична особа""
,
VLOOKUP(D5577,IMPORTRANGE(""https://docs.google.com/spreadsheets/d/14Bd19lYaqBhU8_DElYkX7l4wRkHqqCUFNJY4AfY3kHU/edit?usp=sharing  #gid=0"",""фіз особи new!relations_name""),6,FALSE)
,
(IF
(
C5577=""юридична особа""
,
VLOOKUP"&amp;"(D5577,IMPORTRANGE(""https://docs.google.com/spreadsheets/d/14Bd19lYaqBhU8_DElYkX7l4wRkHqqCUFNJY4AfY3kHU/edit?usp=sharing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G5576" s="7" t="s">
        <v>10</v>
      </c>
      <c r="H5576" s="7">
        <v>4711</v>
      </c>
      <c r="I5576" s="8" t="str">
        <f ca="1">IFERROR(__xludf.DUMMYFUNCTION("IF
(
G5577=""фізична особа""
,
VLOOKUP(H5577,IMPORTRANGE(""https://docs.google.com/spreadsheets/d/14Bd19lYaqBhU8_DElYkX7l4wRkHqqCUFNJY4AfY3kHU/edit?usp=sharing  #gid=0"",""фіз особи new!relations_name""),6,FALSE)
,
(IF
(
G5577=""юридична особа""
,
VLOOKUP"&amp;"(H5577,IMPORTRANGE(""https://docs.google.com/spreadsheets/d/14Bd19lYaqBhU8_DElYkX7l4wRkHqqCUFNJY4AfY3kHU/edit?usp=sharing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J5576" s="7" t="s">
        <v>25</v>
      </c>
    </row>
    <row r="5577" spans="1:10" ht="13.2">
      <c r="A5577" s="7">
        <v>5576</v>
      </c>
      <c r="B5577" s="7">
        <v>1</v>
      </c>
      <c r="C5577" s="7" t="s">
        <v>10</v>
      </c>
      <c r="D5577" s="7">
        <v>4712</v>
      </c>
      <c r="E5577" s="7" t="s">
        <v>15</v>
      </c>
      <c r="F5577" s="8" t="str">
        <f ca="1">IFERROR(__xludf.DUMMYFUNCTION("IF
(
C5578=""фізична особа""
,
VLOOKUP(D5578,IMPORTRANGE(""https://docs.google.com/spreadsheets/d/14Bd19lYaqBhU8_DElYkX7l4wRkHqqCUFNJY4AfY3kHU/edit?usp=sharing  #gid=0"",""фіз особи new!relations_name""),6,FALSE)
,
(IF
(
C5578=""юридична особа""
,
VLOOKUP"&amp;"(D5578,IMPORTRANGE(""https://docs.google.com/spreadsheets/d/14Bd19lYaqBhU8_DElYkX7l4wRkHqqCUFNJY4AfY3kHU/edit?usp=sharing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G5577" s="7" t="s">
        <v>10</v>
      </c>
      <c r="H5577" s="7">
        <v>4797</v>
      </c>
      <c r="I5577" s="8" t="str">
        <f ca="1">IFERROR(__xludf.DUMMYFUNCTION("IF
(
G5578=""фізична особа""
,
VLOOKUP(H5578,IMPORTRANGE(""https://docs.google.com/spreadsheets/d/14Bd19lYaqBhU8_DElYkX7l4wRkHqqCUFNJY4AfY3kHU/edit?usp=sharing  #gid=0"",""фіз особи new!relations_name""),6,FALSE)
,
(IF
(
G5578=""юридична особа""
,
VLOOKUP"&amp;"(H5578,IMPORTRANGE(""https://docs.google.com/spreadsheets/d/14Bd19lYaqBhU8_DElYkX7l4wRkHqqCUFNJY4AfY3kHU/edit?usp=sharing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J5577" s="7" t="s">
        <v>14</v>
      </c>
    </row>
    <row r="5578" spans="1:10" ht="13.2">
      <c r="A5578" s="7">
        <v>5577</v>
      </c>
      <c r="B5578" s="7">
        <v>1</v>
      </c>
      <c r="C5578" s="7" t="s">
        <v>10</v>
      </c>
      <c r="D5578" s="7">
        <v>4716</v>
      </c>
      <c r="E5578" s="7" t="s">
        <v>15</v>
      </c>
      <c r="F5578" s="8" t="str">
        <f ca="1">IFERROR(__xludf.DUMMYFUNCTION("IF
(
C5579=""фізична особа""
,
VLOOKUP(D5579,IMPORTRANGE(""https://docs.google.com/spreadsheets/d/14Bd19lYaqBhU8_DElYkX7l4wRkHqqCUFNJY4AfY3kHU/edit?usp=sharing  #gid=0"",""фіз особи new!relations_name""),6,FALSE)
,
(IF
(
C5579=""юридична особа""
,
VLOOKUP"&amp;"(D5579,IMPORTRANGE(""https://docs.google.com/spreadsheets/d/14Bd19lYaqBhU8_DElYkX7l4wRkHqqCUFNJY4AfY3kHU/edit?usp=sharing  #gid=0"",""фіз особи new!relations_name_uo""),7,FALSE)
,
)
))"),"ЛИСТОВА Єлизавета Леонідівна")</f>
        <v>ЛИСТОВА Єлизавета Леонідівна</v>
      </c>
      <c r="G5578" s="7" t="s">
        <v>10</v>
      </c>
      <c r="H5578" s="7">
        <v>249</v>
      </c>
      <c r="I5578" s="8" t="str">
        <f ca="1">IFERROR(__xludf.DUMMYFUNCTION("IF
(
G5579=""фізична особа""
,
VLOOKUP(H5579,IMPORTRANGE(""https://docs.google.com/spreadsheets/d/14Bd19lYaqBhU8_DElYkX7l4wRkHqqCUFNJY4AfY3kHU/edit?usp=sharing  #gid=0"",""фіз особи new!relations_name""),6,FALSE)
,
(IF
(
G5579=""юридична особа""
,
VLOOKUP"&amp;"(H5579,IMPORTRANGE(""https://docs.google.com/spreadsheets/d/14Bd19lYaqBhU8_DElYkX7l4wRkHqqCUFNJY4AfY3kHU/edit?usp=sharing  #gid=0"",""фіз особи new!relations_name_uo""),7,FALSE)
,
)
))"),"РЕВЕНКО Євген Васильович")</f>
        <v>РЕВЕНКО Євген Васильович</v>
      </c>
      <c r="J5578" s="7" t="s">
        <v>14</v>
      </c>
    </row>
    <row r="5579" spans="1:10" ht="13.2">
      <c r="A5579" s="7">
        <v>5578</v>
      </c>
      <c r="B5579" s="7">
        <v>1</v>
      </c>
      <c r="C5579" s="7" t="s">
        <v>10</v>
      </c>
      <c r="D5579" s="7">
        <v>4717</v>
      </c>
      <c r="E5579" s="7" t="s">
        <v>13</v>
      </c>
      <c r="F5579" s="8" t="str">
        <f ca="1">IFERROR(__xludf.DUMMYFUNCTION("IF
(
C5580=""фізична особа""
,
VLOOKUP(D5580,IMPORTRANGE(""https://docs.google.com/spreadsheets/d/14Bd19lYaqBhU8_DElYkX7l4wRkHqqCUFNJY4AfY3kHU/edit?usp=sharing  #gid=0"",""фіз особи new!relations_name""),6,FALSE)
,
(IF
(
C5580=""юридична особа""
,
VLOOKUP"&amp;"(D5580,IMPORTRANGE(""https://docs.google.com/spreadsheets/d/14Bd19lYaqBhU8_DElYkX7l4wRkHqqCUFNJY4AfY3kHU/edit?usp=sharing  #gid=0"",""фіз особи new!relations_name_uo""),7,FALSE)
,
)
))"),"РЕВЕНКО Віра Євгеніївна")</f>
        <v>РЕВЕНКО Віра Євгеніївна</v>
      </c>
      <c r="G5579" s="7" t="s">
        <v>10</v>
      </c>
      <c r="H5579" s="7">
        <v>249</v>
      </c>
      <c r="I5579" s="8" t="str">
        <f ca="1">IFERROR(__xludf.DUMMYFUNCTION("IF
(
G5580=""фізична особа""
,
VLOOKUP(H5580,IMPORTRANGE(""https://docs.google.com/spreadsheets/d/14Bd19lYaqBhU8_DElYkX7l4wRkHqqCUFNJY4AfY3kHU/edit?usp=sharing  #gid=0"",""фіз особи new!relations_name""),6,FALSE)
,
(IF
(
G5580=""юридична особа""
,
VLOOKUP"&amp;"(H5580,IMPORTRANGE(""https://docs.google.com/spreadsheets/d/14Bd19lYaqBhU8_DElYkX7l4wRkHqqCUFNJY4AfY3kHU/edit?usp=sharing  #gid=0"",""фіз особи new!relations_name_uo""),7,FALSE)
,
)
))"),"РЕВЕНКО Євген Васильович")</f>
        <v>РЕВЕНКО Євген Васильович</v>
      </c>
      <c r="J5579" s="7" t="s">
        <v>12</v>
      </c>
    </row>
    <row r="5580" spans="1:10" ht="13.2">
      <c r="A5580" s="7">
        <v>5579</v>
      </c>
      <c r="B5580" s="7">
        <v>1</v>
      </c>
      <c r="C5580" s="7" t="s">
        <v>10</v>
      </c>
      <c r="D5580" s="7">
        <v>4719</v>
      </c>
      <c r="E5580" s="7" t="s">
        <v>15</v>
      </c>
      <c r="F5580" s="8" t="str">
        <f ca="1">IFERROR(__xludf.DUMMYFUNCTION("IF
(
C5581=""фізична особа""
,
VLOOKUP(D5581,IMPORTRANGE(""https://docs.google.com/spreadsheets/d/14Bd19lYaqBhU8_DElYkX7l4wRkHqqCUFNJY4AfY3kHU/edit?usp=sharing  #gid=0"",""фіз особи new!relations_name""),6,FALSE)
,
(IF
(
C5581=""юридична особа""
,
VLOOKUP"&amp;"(D5581,IMPORTRANGE(""https://docs.google.com/spreadsheets/d/14Bd19lYaqBhU8_DElYkX7l4wRkHqqCUFNJY4AfY3kHU/edit?usp=sharing  #gid=0"",""фіз особи new!relations_name_uo""),7,FALSE)
,
)
))"),"НАЛЧА / САБЛІНА Алла Георгіївна")</f>
        <v>НАЛЧА / САБЛІНА Алла Георгіївна</v>
      </c>
      <c r="G5580" s="7" t="s">
        <v>10</v>
      </c>
      <c r="H5580" s="7">
        <v>13114</v>
      </c>
      <c r="I5580" s="8" t="str">
        <f ca="1">IFERROR(__xludf.DUMMYFUNCTION("IF
(
G5581=""фізична особа""
,
VLOOKUP(H5581,IMPORTRANGE(""https://docs.google.com/spreadsheets/d/14Bd19lYaqBhU8_DElYkX7l4wRkHqqCUFNJY4AfY3kHU/edit?usp=sharing  #gid=0"",""фіз особи new!relations_name""),6,FALSE)
,
(IF
(
G5581=""юридична особа""
,
VLOOKUP"&amp;"(H5581,IMPORTRANGE(""https://docs.google.com/spreadsheets/d/14Bd19lYaqBhU8_DElYkX7l4wRkHqqCUFNJY4AfY3kHU/edit?usp=sharing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5580" s="7" t="s">
        <v>14</v>
      </c>
    </row>
    <row r="5581" spans="1:10" ht="13.2">
      <c r="A5581" s="7">
        <v>5580</v>
      </c>
      <c r="B5581" s="7">
        <v>1</v>
      </c>
      <c r="C5581" s="7" t="s">
        <v>10</v>
      </c>
      <c r="D5581" s="7">
        <v>4721</v>
      </c>
      <c r="E5581" s="7" t="s">
        <v>14</v>
      </c>
      <c r="F5581" s="8" t="str">
        <f ca="1">IFERROR(__xludf.DUMMYFUNCTION("IF
(
C5582=""фізична особа""
,
VLOOKUP(D5582,IMPORTRANGE(""https://docs.google.com/spreadsheets/d/14Bd19lYaqBhU8_DElYkX7l4wRkHqqCUFNJY4AfY3kHU/edit?usp=sharing  #gid=0"",""фіз особи new!relations_name""),6,FALSE)
,
(IF
(
C5582=""юридична особа""
,
VLOOKUP"&amp;"(D5582,IMPORTRANGE(""https://docs.google.com/spreadsheets/d/14Bd19lYaqBhU8_DElYkX7l4wRkHqqCUFNJY4AfY3kHU/edit?usp=sharing  #gid=0"",""фіз особи new!relations_name_uo""),7,FALSE)
,
)
))"),"СВЯТЕНКО Кирило Віталійович")</f>
        <v>СВЯТЕНКО Кирило Віталійович</v>
      </c>
      <c r="G5581" s="7" t="s">
        <v>10</v>
      </c>
      <c r="H5581" s="7">
        <v>322</v>
      </c>
      <c r="I5581" s="8" t="str">
        <f ca="1">IFERROR(__xludf.DUMMYFUNCTION("IF
(
G5582=""фізична особа""
,
VLOOKUP(H5582,IMPORTRANGE(""https://docs.google.com/spreadsheets/d/14Bd19lYaqBhU8_DElYkX7l4wRkHqqCUFNJY4AfY3kHU/edit?usp=sharing  #gid=0"",""фіз особи new!relations_name""),6,FALSE)
,
(IF
(
G5582=""юридична особа""
,
VLOOKUP"&amp;"(H5582,IMPORTRANGE(""https://docs.google.com/spreadsheets/d/14Bd19lYaqBhU8_DElYkX7l4wRkHqqCUFNJY4AfY3kHU/edit?usp=sharing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J5581" s="7" t="s">
        <v>15</v>
      </c>
    </row>
    <row r="5582" spans="1:10" ht="13.2">
      <c r="A5582" s="7">
        <v>5581</v>
      </c>
      <c r="B5582" s="7">
        <v>1</v>
      </c>
      <c r="C5582" s="7" t="s">
        <v>10</v>
      </c>
      <c r="D5582" s="7">
        <v>4722</v>
      </c>
      <c r="E5582" s="7" t="s">
        <v>13</v>
      </c>
      <c r="F5582" s="8" t="str">
        <f ca="1">IFERROR(__xludf.DUMMYFUNCTION("IF
(
C5583=""фізична особа""
,
VLOOKUP(D5583,IMPORTRANGE(""https://docs.google.com/spreadsheets/d/14Bd19lYaqBhU8_DElYkX7l4wRkHqqCUFNJY4AfY3kHU/edit?usp=sharing  #gid=0"",""фіз особи new!relations_name""),6,FALSE)
,
(IF
(
C5583=""юридична особа""
,
VLOOKUP"&amp;"(D5583,IMPORTRANGE(""https://docs.google.com/spreadsheets/d/14Bd19lYaqBhU8_DElYkX7l4wRkHqqCUFNJY4AfY3kHU/edit?usp=sharing  #gid=0"",""фіз особи new!relations_name_uo""),7,FALSE)
,
)
))"),"СВЯТЕНКО / САВЧЕНКО Маргарита Кирилівна")</f>
        <v>СВЯТЕНКО / САВЧЕНКО Маргарита Кирилівна</v>
      </c>
      <c r="G5582" s="7" t="s">
        <v>10</v>
      </c>
      <c r="H5582" s="7">
        <v>322</v>
      </c>
      <c r="I5582" s="8" t="str">
        <f ca="1">IFERROR(__xludf.DUMMYFUNCTION("IF
(
G5583=""фізична особа""
,
VLOOKUP(H5583,IMPORTRANGE(""https://docs.google.com/spreadsheets/d/14Bd19lYaqBhU8_DElYkX7l4wRkHqqCUFNJY4AfY3kHU/edit?usp=sharing  #gid=0"",""фіз особи new!relations_name""),6,FALSE)
,
(IF
(
G5583=""юридична особа""
,
VLOOKUP"&amp;"(H5583,IMPORTRANGE(""https://docs.google.com/spreadsheets/d/14Bd19lYaqBhU8_DElYkX7l4wRkHqqCUFNJY4AfY3kHU/edit?usp=sharing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J5582" s="7" t="s">
        <v>21</v>
      </c>
    </row>
    <row r="5583" spans="1:10" ht="13.2">
      <c r="A5583" s="7">
        <v>5582</v>
      </c>
      <c r="B5583" s="7">
        <v>1</v>
      </c>
      <c r="C5583" s="7" t="s">
        <v>10</v>
      </c>
      <c r="D5583" s="7">
        <v>4723</v>
      </c>
      <c r="E5583" s="7" t="s">
        <v>13</v>
      </c>
      <c r="F5583" s="8" t="str">
        <f ca="1">IFERROR(__xludf.DUMMYFUNCTION("IF
(
C5584=""фізична особа""
,
VLOOKUP(D5584,IMPORTRANGE(""https://docs.google.com/spreadsheets/d/14Bd19lYaqBhU8_DElYkX7l4wRkHqqCUFNJY4AfY3kHU/edit?usp=sharing  #gid=0"",""фіз особи new!relations_name""),6,FALSE)
,
(IF
(
C5584=""юридична особа""
,
VLOOKUP"&amp;"(D5584,IMPORTRANGE(""https://docs.google.com/spreadsheets/d/14Bd19lYaqBhU8_DElYkX7l4wRkHqqCUFNJY4AfY3kHU/edit?usp=sharing  #gid=0"",""фіз особи new!relations_name_uo""),7,FALSE)
,
)
))"),"СВЯТЕНКО Дар'я Кирилівна")</f>
        <v>СВЯТЕНКО Дар'я Кирилівна</v>
      </c>
      <c r="G5583" s="7" t="s">
        <v>10</v>
      </c>
      <c r="H5583" s="7">
        <v>322</v>
      </c>
      <c r="I5583" s="8" t="str">
        <f ca="1">IFERROR(__xludf.DUMMYFUNCTION("IF
(
G5584=""фізична особа""
,
VLOOKUP(H5584,IMPORTRANGE(""https://docs.google.com/spreadsheets/d/14Bd19lYaqBhU8_DElYkX7l4wRkHqqCUFNJY4AfY3kHU/edit?usp=sharing  #gid=0"",""фіз особи new!relations_name""),6,FALSE)
,
(IF
(
G5584=""юридична особа""
,
VLOOKUP"&amp;"(H5584,IMPORTRANGE(""https://docs.google.com/spreadsheets/d/14Bd19lYaqBhU8_DElYkX7l4wRkHqqCUFNJY4AfY3kHU/edit?usp=sharing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J5583" s="7" t="s">
        <v>21</v>
      </c>
    </row>
    <row r="5584" spans="1:10" ht="13.2">
      <c r="A5584" s="7">
        <v>5583</v>
      </c>
      <c r="B5584" s="7">
        <v>1</v>
      </c>
      <c r="C5584" s="7" t="s">
        <v>10</v>
      </c>
      <c r="D5584" s="7">
        <v>4724</v>
      </c>
      <c r="E5584" s="7" t="s">
        <v>26</v>
      </c>
      <c r="F5584" s="8" t="str">
        <f ca="1">IFERROR(__xludf.DUMMYFUNCTION("IF
(
C5585=""фізична особа""
,
VLOOKUP(D5585,IMPORTRANGE(""https://docs.google.com/spreadsheets/d/14Bd19lYaqBhU8_DElYkX7l4wRkHqqCUFNJY4AfY3kHU/edit?usp=sharing  #gid=0"",""фіз особи new!relations_name""),6,FALSE)
,
(IF
(
C5585=""юридична особа""
,
VLOOKUP"&amp;"(D5585,IMPORTRANGE(""https://docs.google.com/spreadsheets/d/14Bd19lYaqBhU8_DElYkX7l4wRkHqqCUFNJY4AfY3kHU/edit?usp=sharing  #gid=0"",""фіз особи new!relations_name_uo""),7,FALSE)
,
)
))"),"САВЧЕНКО Георгій Євгенійович")</f>
        <v>САВЧЕНКО Георгій Євгенійович</v>
      </c>
      <c r="G5584" s="7" t="s">
        <v>10</v>
      </c>
      <c r="H5584" s="7">
        <v>322</v>
      </c>
      <c r="I5584" s="8" t="str">
        <f ca="1">IFERROR(__xludf.DUMMYFUNCTION("IF
(
G5585=""фізична особа""
,
VLOOKUP(H5585,IMPORTRANGE(""https://docs.google.com/spreadsheets/d/14Bd19lYaqBhU8_DElYkX7l4wRkHqqCUFNJY4AfY3kHU/edit?usp=sharing  #gid=0"",""фіз особи new!relations_name""),6,FALSE)
,
(IF
(
G5585=""юридична особа""
,
VLOOKUP"&amp;"(H5585,IMPORTRANGE(""https://docs.google.com/spreadsheets/d/14Bd19lYaqBhU8_DElYkX7l4wRkHqqCUFNJY4AfY3kHU/edit?usp=sharing  #gid=0"",""фіз особи new!relations_name_uo""),7,FALSE)
,
)
))"),"СВЯТЕНКО Інна Юріївна")</f>
        <v>СВЯТЕНКО Інна Юріївна</v>
      </c>
      <c r="J5584" s="7" t="s">
        <v>27</v>
      </c>
    </row>
    <row r="5585" spans="1:10" ht="13.2">
      <c r="A5585" s="7">
        <v>5584</v>
      </c>
      <c r="B5585" s="7">
        <v>1</v>
      </c>
      <c r="C5585" s="7" t="s">
        <v>10</v>
      </c>
      <c r="D5585" s="7">
        <v>4730</v>
      </c>
      <c r="E5585" s="7" t="s">
        <v>17</v>
      </c>
      <c r="F5585" s="8" t="str">
        <f ca="1">IFERROR(__xludf.DUMMYFUNCTION("IF
(
C5586=""фізична особа""
,
VLOOKUP(D5586,IMPORTRANGE(""https://docs.google.com/spreadsheets/d/14Bd19lYaqBhU8_DElYkX7l4wRkHqqCUFNJY4AfY3kHU/edit?usp=sharing  #gid=0"",""фіз особи new!relations_name""),6,FALSE)
,
(IF
(
C5586=""юридична особа""
,
VLOOKUP"&amp;"(D5586,IMPORTRANGE(""https://docs.google.com/spreadsheets/d/14Bd19lYaqBhU8_DElYkX7l4wRkHqqCUFNJY4AfY3kHU/edit?usp=sharing  #gid=0"",""фіз особи new!relations_name_uo""),7,FALSE)
,
)
))"),"СТАРШИНОВ Василь Михайлович")</f>
        <v>СТАРШИНОВ Василь Михайлович</v>
      </c>
      <c r="G5585" s="7" t="s">
        <v>10</v>
      </c>
      <c r="H5585" s="7">
        <v>444</v>
      </c>
      <c r="I5585" s="8" t="str">
        <f ca="1">IFERROR(__xludf.DUMMYFUNCTION("IF
(
G5586=""фізична особа""
,
VLOOKUP(H5586,IMPORTRANGE(""https://docs.google.com/spreadsheets/d/14Bd19lYaqBhU8_DElYkX7l4wRkHqqCUFNJY4AfY3kHU/edit?usp=sharing  #gid=0"",""фіз особи new!relations_name""),6,FALSE)
,
(IF
(
G5586=""юридична особа""
,
VLOOKUP"&amp;"(H5586,IMPORTRANGE(""https://docs.google.com/spreadsheets/d/14Bd19lYaqBhU8_DElYkX7l4wRkHqqCUFNJY4AfY3kHU/edit?usp=sharing  #gid=0"",""фіз особи new!relations_name_uo""),7,FALSE)
,
)
))"),"СТАРШИНОВ Михайло Євгенович")</f>
        <v>СТАРШИНОВ Михайло Євгенович</v>
      </c>
      <c r="J5585" s="7" t="s">
        <v>12</v>
      </c>
    </row>
    <row r="5586" spans="1:10" ht="13.2">
      <c r="A5586" s="7">
        <v>5585</v>
      </c>
      <c r="B5586" s="7">
        <v>1</v>
      </c>
      <c r="C5586" s="7" t="s">
        <v>10</v>
      </c>
      <c r="D5586" s="7">
        <v>4731</v>
      </c>
      <c r="E5586" s="7" t="s">
        <v>18</v>
      </c>
      <c r="F5586" s="8" t="str">
        <f ca="1">IFERROR(__xludf.DUMMYFUNCTION("IF
(
C5587=""фізична особа""
,
VLOOKUP(D5587,IMPORTRANGE(""https://docs.google.com/spreadsheets/d/14Bd19lYaqBhU8_DElYkX7l4wRkHqqCUFNJY4AfY3kHU/edit?usp=sharing  #gid=0"",""фіз особи new!relations_name""),6,FALSE)
,
(IF
(
C5587=""юридична особа""
,
VLOOKUP"&amp;"(D5587,IMPORTRANGE(""https://docs.google.com/spreadsheets/d/14Bd19lYaqBhU8_DElYkX7l4wRkHqqCUFNJY4AfY3kHU/edit?usp=sharing  #gid=0"",""фіз особи new!relations_name_uo""),7,FALSE)
,
)
))"),"ТАЙМАЗОВ Тимур Борисович")</f>
        <v>ТАЙМАЗОВ Тимур Борисович</v>
      </c>
      <c r="G5586" s="7" t="s">
        <v>10</v>
      </c>
      <c r="H5586" s="7">
        <v>119</v>
      </c>
      <c r="I5586" s="8" t="str">
        <f ca="1">IFERROR(__xludf.DUMMYFUNCTION("IF
(
G5587=""фізична особа""
,
VLOOKUP(H5587,IMPORTRANGE(""https://docs.google.com/spreadsheets/d/14Bd19lYaqBhU8_DElYkX7l4wRkHqqCUFNJY4AfY3kHU/edit?usp=sharing  #gid=0"",""фіз особи new!relations_name""),6,FALSE)
,
(IF
(
G5587=""юридична особа""
,
VLOOKUP"&amp;"(H5587,IMPORTRANGE(""https://docs.google.com/spreadsheets/d/14Bd19lYaqBhU8_DElYkX7l4wRkHqqCUFNJY4AfY3kHU/edit?usp=sharing  #gid=0"",""фіз особи new!relations_name_uo""),7,FALSE)
,
)
))"),"ТАЙМАЗОВ Артур Борисович")</f>
        <v>ТАЙМАЗОВ Артур Борисович</v>
      </c>
      <c r="J5586" s="7" t="s">
        <v>18</v>
      </c>
    </row>
    <row r="5587" spans="1:10" ht="13.2">
      <c r="A5587" s="7">
        <v>5586</v>
      </c>
      <c r="B5587" s="7">
        <v>1</v>
      </c>
      <c r="C5587" s="7" t="s">
        <v>10</v>
      </c>
      <c r="D5587" s="7">
        <v>4732</v>
      </c>
      <c r="E5587" s="7" t="s">
        <v>15</v>
      </c>
      <c r="F5587" s="8" t="str">
        <f ca="1">IFERROR(__xludf.DUMMYFUNCTION("IF
(
C5588=""фізична особа""
,
VLOOKUP(D5588,IMPORTRANGE(""https://docs.google.com/spreadsheets/d/14Bd19lYaqBhU8_DElYkX7l4wRkHqqCUFNJY4AfY3kHU/edit?usp=sharing  #gid=0"",""фіз особи new!relations_name""),6,FALSE)
,
(IF
(
C5588=""юридична особа""
,
VLOOKUP"&amp;"(D5588,IMPORTRANGE(""https://docs.google.com/spreadsheets/d/14Bd19lYaqBhU8_DElYkX7l4wRkHqqCUFNJY4AfY3kHU/edit?usp=sharing  #gid=0"",""фіз особи new!relations_name_uo""),7,FALSE)
,
)
))"),"ТІМЧЕНКО Марина Вячеславівна")</f>
        <v>ТІМЧЕНКО Марина Вячеславівна</v>
      </c>
      <c r="G5587" s="7" t="s">
        <v>10</v>
      </c>
      <c r="H5587" s="7">
        <v>896</v>
      </c>
      <c r="I5587" s="8" t="str">
        <f ca="1">IFERROR(__xludf.DUMMYFUNCTION("IF
(
G5588=""фізична особа""
,
VLOOKUP(H5588,IMPORTRANGE(""https://docs.google.com/spreadsheets/d/14Bd19lYaqBhU8_DElYkX7l4wRkHqqCUFNJY4AfY3kHU/edit?usp=sharing  #gid=0"",""фіз особи new!relations_name""),6,FALSE)
,
(IF
(
G5588=""юридична особа""
,
VLOOKUP"&amp;"(H5588,IMPORTRANGE(""https://docs.google.com/spreadsheets/d/14Bd19lYaqBhU8_DElYkX7l4wRkHqqCUFNJY4AfY3kHU/edit?usp=sharing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J5587" s="7" t="s">
        <v>14</v>
      </c>
    </row>
    <row r="5588" spans="1:10" ht="13.2">
      <c r="A5588" s="7">
        <v>5587</v>
      </c>
      <c r="B5588" s="7">
        <v>1</v>
      </c>
      <c r="C5588" s="7" t="s">
        <v>10</v>
      </c>
      <c r="D5588" s="7">
        <v>4732</v>
      </c>
      <c r="E5588" s="7" t="s">
        <v>21</v>
      </c>
      <c r="F5588" s="8" t="str">
        <f ca="1">IFERROR(__xludf.DUMMYFUNCTION("IF
(
C5589=""фізична особа""
,
VLOOKUP(D5589,IMPORTRANGE(""https://docs.google.com/spreadsheets/d/14Bd19lYaqBhU8_DElYkX7l4wRkHqqCUFNJY4AfY3kHU/edit?usp=sharing  #gid=0"",""фіз особи new!relations_name""),6,FALSE)
,
(IF
(
C5589=""юридична особа""
,
VLOOKUP"&amp;"(D5589,IMPORTRANGE(""https://docs.google.com/spreadsheets/d/14Bd19lYaqBhU8_DElYkX7l4wRkHqqCUFNJY4AfY3kHU/edit?usp=sharing  #gid=0"",""фіз особи new!relations_name_uo""),7,FALSE)
,
)
))"),"ТІМЧЕНКО Марина Вячеславівна")</f>
        <v>ТІМЧЕНКО Марина Вячеславівна</v>
      </c>
      <c r="G5588" s="7" t="s">
        <v>10</v>
      </c>
      <c r="H5588" s="7">
        <v>4733</v>
      </c>
      <c r="I5588" s="8" t="str">
        <f ca="1">IFERROR(__xludf.DUMMYFUNCTION("IF
(
G5589=""фізична особа""
,
VLOOKUP(H5589,IMPORTRANGE(""https://docs.google.com/spreadsheets/d/14Bd19lYaqBhU8_DElYkX7l4wRkHqqCUFNJY4AfY3kHU/edit?usp=sharing  #gid=0"",""фіз особи new!relations_name""),6,FALSE)
,
(IF
(
G5589=""юридична особа""
,
VLOOKUP"&amp;"(H5589,IMPORTRANGE(""https://docs.google.com/spreadsheets/d/14Bd19lYaqBhU8_DElYkX7l4wRkHqqCUFNJY4AfY3kHU/edit?usp=sharing  #gid=0"",""фіз особи new!relations_name_uo""),7,FALSE)
,
)
))"),"ТИМЧЕНКО / ЛОГІНОВА Катерина В'ячеславівна")</f>
        <v>ТИМЧЕНКО / ЛОГІНОВА Катерина В'ячеславівна</v>
      </c>
      <c r="J5588" s="7" t="s">
        <v>13</v>
      </c>
    </row>
    <row r="5589" spans="1:10" ht="13.2">
      <c r="A5589" s="7">
        <v>5588</v>
      </c>
      <c r="B5589" s="7">
        <v>1</v>
      </c>
      <c r="C5589" s="7" t="s">
        <v>10</v>
      </c>
      <c r="D5589" s="7">
        <v>4732</v>
      </c>
      <c r="E5589" s="7" t="s">
        <v>21</v>
      </c>
      <c r="F5589" s="8" t="str">
        <f ca="1">IFERROR(__xludf.DUMMYFUNCTION("IF
(
C5590=""фізична особа""
,
VLOOKUP(D5590,IMPORTRANGE(""https://docs.google.com/spreadsheets/d/14Bd19lYaqBhU8_DElYkX7l4wRkHqqCUFNJY4AfY3kHU/edit?usp=sharing  #gid=0"",""фіз особи new!relations_name""),6,FALSE)
,
(IF
(
C5590=""юридична особа""
,
VLOOKUP"&amp;"(D5590,IMPORTRANGE(""https://docs.google.com/spreadsheets/d/14Bd19lYaqBhU8_DElYkX7l4wRkHqqCUFNJY4AfY3kHU/edit?usp=sharing  #gid=0"",""фіз особи new!relations_name_uo""),7,FALSE)
,
)
))"),"ТІМЧЕНКО Марина Вячеславівна")</f>
        <v>ТІМЧЕНКО Марина Вячеславівна</v>
      </c>
      <c r="G5589" s="7" t="s">
        <v>10</v>
      </c>
      <c r="H5589" s="7">
        <v>4734</v>
      </c>
      <c r="I5589" s="8" t="str">
        <f ca="1">IFERROR(__xludf.DUMMYFUNCTION("IF
(
G5590=""фізична особа""
,
VLOOKUP(H5590,IMPORTRANGE(""https://docs.google.com/spreadsheets/d/14Bd19lYaqBhU8_DElYkX7l4wRkHqqCUFNJY4AfY3kHU/edit?usp=sharing  #gid=0"",""фіз особи new!relations_name""),6,FALSE)
,
(IF
(
G5590=""юридична особа""
,
VLOOKUP"&amp;"(H5590,IMPORTRANGE(""https://docs.google.com/spreadsheets/d/14Bd19lYaqBhU8_DElYkX7l4wRkHqqCUFNJY4AfY3kHU/edit?usp=sharing  #gid=0"",""фіз особи new!relations_name_uo""),7,FALSE)
,
)
))"),"ТИМЧЕНКО / МАКАРОВА Віра В'ячеславівна")</f>
        <v>ТИМЧЕНКО / МАКАРОВА Віра В'ячеславівна</v>
      </c>
      <c r="J5589" s="7" t="s">
        <v>13</v>
      </c>
    </row>
    <row r="5590" spans="1:10" ht="13.2">
      <c r="A5590" s="7">
        <v>5589</v>
      </c>
      <c r="B5590" s="7">
        <v>1</v>
      </c>
      <c r="C5590" s="7" t="s">
        <v>10</v>
      </c>
      <c r="D5590" s="7">
        <v>4733</v>
      </c>
      <c r="E5590" s="7" t="s">
        <v>13</v>
      </c>
      <c r="F5590" s="8" t="str">
        <f ca="1">IFERROR(__xludf.DUMMYFUNCTION("IF
(
C5591=""фізична особа""
,
VLOOKUP(D5591,IMPORTRANGE(""https://docs.google.com/spreadsheets/d/14Bd19lYaqBhU8_DElYkX7l4wRkHqqCUFNJY4AfY3kHU/edit?usp=sharing  #gid=0"",""фіз особи new!relations_name""),6,FALSE)
,
(IF
(
C5591=""юридична особа""
,
VLOOKUP"&amp;"(D5591,IMPORTRANGE(""https://docs.google.com/spreadsheets/d/14Bd19lYaqBhU8_DElYkX7l4wRkHqqCUFNJY4AfY3kHU/edit?usp=sharing  #gid=0"",""фіз особи new!relations_name_uo""),7,FALSE)
,
)
))"),"ТИМЧЕНКО / ЛОГІНОВА Катерина В'ячеславівна")</f>
        <v>ТИМЧЕНКО / ЛОГІНОВА Катерина В'ячеславівна</v>
      </c>
      <c r="G5590" s="7" t="s">
        <v>10</v>
      </c>
      <c r="H5590" s="7">
        <v>896</v>
      </c>
      <c r="I5590" s="8" t="str">
        <f ca="1">IFERROR(__xludf.DUMMYFUNCTION("IF
(
G5591=""фізична особа""
,
VLOOKUP(H5591,IMPORTRANGE(""https://docs.google.com/spreadsheets/d/14Bd19lYaqBhU8_DElYkX7l4wRkHqqCUFNJY4AfY3kHU/edit?usp=sharing  #gid=0"",""фіз особи new!relations_name""),6,FALSE)
,
(IF
(
G5591=""юридична особа""
,
VLOOKUP"&amp;"(H5591,IMPORTRANGE(""https://docs.google.com/spreadsheets/d/14Bd19lYaqBhU8_DElYkX7l4wRkHqqCUFNJY4AfY3kHU/edit?usp=sharing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J5590" s="7" t="s">
        <v>12</v>
      </c>
    </row>
    <row r="5591" spans="1:10" ht="13.2">
      <c r="A5591" s="7">
        <v>5590</v>
      </c>
      <c r="B5591" s="7">
        <v>1</v>
      </c>
      <c r="C5591" s="7" t="s">
        <v>10</v>
      </c>
      <c r="D5591" s="7">
        <v>4733</v>
      </c>
      <c r="E5591" s="7" t="s">
        <v>31</v>
      </c>
      <c r="F5591" s="8" t="str">
        <f ca="1">IFERROR(__xludf.DUMMYFUNCTION("IF
(
C5592=""фізична особа""
,
VLOOKUP(D5592,IMPORTRANGE(""https://docs.google.com/spreadsheets/d/14Bd19lYaqBhU8_DElYkX7l4wRkHqqCUFNJY4AfY3kHU/edit?usp=sharing  #gid=0"",""фіз особи new!relations_name""),6,FALSE)
,
(IF
(
C5592=""юридична особа""
,
VLOOKUP"&amp;"(D5592,IMPORTRANGE(""https://docs.google.com/spreadsheets/d/14Bd19lYaqBhU8_DElYkX7l4wRkHqqCUFNJY4AfY3kHU/edit?usp=sharing  #gid=0"",""фіз особи new!relations_name_uo""),7,FALSE)
,
)
))"),"ТИМЧЕНКО / ЛОГІНОВА Катерина В'ячеславівна")</f>
        <v>ТИМЧЕНКО / ЛОГІНОВА Катерина В'ячеславівна</v>
      </c>
      <c r="G5591" s="7" t="s">
        <v>10</v>
      </c>
      <c r="H5591" s="7">
        <v>4734</v>
      </c>
      <c r="I5591" s="8" t="str">
        <f ca="1">IFERROR(__xludf.DUMMYFUNCTION("IF
(
G5592=""фізична особа""
,
VLOOKUP(H5592,IMPORTRANGE(""https://docs.google.com/spreadsheets/d/14Bd19lYaqBhU8_DElYkX7l4wRkHqqCUFNJY4AfY3kHU/edit?usp=sharing  #gid=0"",""фіз особи new!relations_name""),6,FALSE)
,
(IF
(
G5592=""юридична особа""
,
VLOOKUP"&amp;"(H5592,IMPORTRANGE(""https://docs.google.com/spreadsheets/d/14Bd19lYaqBhU8_DElYkX7l4wRkHqqCUFNJY4AfY3kHU/edit?usp=sharing  #gid=0"",""фіз особи new!relations_name_uo""),7,FALSE)
,
)
))"),"ТИМЧЕНКО / МАКАРОВА Віра В'ячеславівна")</f>
        <v>ТИМЧЕНКО / МАКАРОВА Віра В'ячеславівна</v>
      </c>
      <c r="J5591" s="7" t="s">
        <v>31</v>
      </c>
    </row>
    <row r="5592" spans="1:10" ht="13.2">
      <c r="A5592" s="7">
        <v>5591</v>
      </c>
      <c r="B5592" s="7">
        <v>1</v>
      </c>
      <c r="C5592" s="7" t="s">
        <v>10</v>
      </c>
      <c r="D5592" s="7">
        <v>4734</v>
      </c>
      <c r="E5592" s="7" t="s">
        <v>13</v>
      </c>
      <c r="F5592" s="8" t="str">
        <f ca="1">IFERROR(__xludf.DUMMYFUNCTION("IF
(
C5593=""фізична особа""
,
VLOOKUP(D5593,IMPORTRANGE(""https://docs.google.com/spreadsheets/d/14Bd19lYaqBhU8_DElYkX7l4wRkHqqCUFNJY4AfY3kHU/edit?usp=sharing  #gid=0"",""фіз особи new!relations_name""),6,FALSE)
,
(IF
(
C5593=""юридична особа""
,
VLOOKUP"&amp;"(D5593,IMPORTRANGE(""https://docs.google.com/spreadsheets/d/14Bd19lYaqBhU8_DElYkX7l4wRkHqqCUFNJY4AfY3kHU/edit?usp=sharing  #gid=0"",""фіз особи new!relations_name_uo""),7,FALSE)
,
)
))"),"ТИМЧЕНКО / МАКАРОВА Віра В'ячеславівна")</f>
        <v>ТИМЧЕНКО / МАКАРОВА Віра В'ячеславівна</v>
      </c>
      <c r="G5592" s="7" t="s">
        <v>10</v>
      </c>
      <c r="H5592" s="7">
        <v>896</v>
      </c>
      <c r="I5592" s="8" t="str">
        <f ca="1">IFERROR(__xludf.DUMMYFUNCTION("IF
(
G5593=""фізична особа""
,
VLOOKUP(H5593,IMPORTRANGE(""https://docs.google.com/spreadsheets/d/14Bd19lYaqBhU8_DElYkX7l4wRkHqqCUFNJY4AfY3kHU/edit?usp=sharing  #gid=0"",""фіз особи new!relations_name""),6,FALSE)
,
(IF
(
G5593=""юридична особа""
,
VLOOKUP"&amp;"(H5593,IMPORTRANGE(""https://docs.google.com/spreadsheets/d/14Bd19lYaqBhU8_DElYkX7l4wRkHqqCUFNJY4AfY3kHU/edit?usp=sharing  #gid=0"",""фіз особи new!relations_name_uo""),7,FALSE)
,
)
))"),"ТИМЧЕНКО В'ячеслав Степанович")</f>
        <v>ТИМЧЕНКО В'ячеслав Степанович</v>
      </c>
      <c r="J5592" s="7" t="s">
        <v>12</v>
      </c>
    </row>
    <row r="5593" spans="1:10" ht="13.2">
      <c r="A5593" s="7">
        <v>5592</v>
      </c>
      <c r="B5593" s="7">
        <v>1</v>
      </c>
      <c r="C5593" s="7" t="s">
        <v>10</v>
      </c>
      <c r="D5593" s="7">
        <v>4736</v>
      </c>
      <c r="E5593" s="7" t="s">
        <v>28</v>
      </c>
      <c r="F5593" s="8" t="str">
        <f ca="1">IFERROR(__xludf.DUMMYFUNCTION("IF
(
C5594=""фізична особа""
,
VLOOKUP(D5594,IMPORTRANGE(""https://docs.google.com/spreadsheets/d/14Bd19lYaqBhU8_DElYkX7l4wRkHqqCUFNJY4AfY3kHU/edit?usp=sharing  #gid=0"",""фіз особи new!relations_name""),6,FALSE)
,
(IF
(
C5594=""юридична особа""
,
VLOOKUP"&amp;"(D5594,IMPORTRANGE(""https://docs.google.com/spreadsheets/d/14Bd19lYaqBhU8_DElYkX7l4wRkHqqCUFNJY4AfY3kHU/edit?usp=sharing  #gid=0"",""фіз особи new!relations_name_uo""),7,FALSE)
,
)
))"),"АКІМОВ Максим Олексійович")</f>
        <v>АКІМОВ Максим Олексійович</v>
      </c>
      <c r="G5593" s="7" t="s">
        <v>10</v>
      </c>
      <c r="H5593" s="7">
        <v>0</v>
      </c>
      <c r="I5593" s="8" t="str">
        <f ca="1">IFERROR(__xludf.DUMMYFUNCTION("IF
(
G5594=""фізична особа""
,
VLOOKUP(H5594,IMPORTRANGE(""https://docs.google.com/spreadsheets/d/14Bd19lYaqBhU8_DElYkX7l4wRkHqqCUFNJY4AfY3kHU/edit?usp=sharing  #gid=0"",""фіз особи new!relations_name""),6,FALSE)
,
(IF
(
G5594=""юридична особа""
,
VLOOKUP"&amp;"(H5594,IMPORTRANGE(""https://docs.google.com/spreadsheets/d/14Bd19lYaqBhU8_DElYkX7l4wRkHqqCUFNJY4AfY3kHU/edit?usp=sharing  #gid=0"",""фіз особи new!relations_name_uo""),7,FALSE)
,
)
))"),"#N/A")</f>
        <v>#N/A</v>
      </c>
      <c r="J5593" s="7" t="s">
        <v>29</v>
      </c>
    </row>
    <row r="5594" spans="1:10" ht="13.2">
      <c r="A5594" s="7">
        <v>5593</v>
      </c>
      <c r="B5594" s="7">
        <v>1</v>
      </c>
      <c r="C5594" s="7" t="s">
        <v>10</v>
      </c>
      <c r="D5594" s="7">
        <v>4736</v>
      </c>
      <c r="E5594" s="7" t="s">
        <v>30</v>
      </c>
      <c r="F5594" s="8" t="str">
        <f ca="1">IFERROR(__xludf.DUMMYFUNCTION("IF
(
C5595=""фізична особа""
,
VLOOKUP(D5595,IMPORTRANGE(""https://docs.google.com/spreadsheets/d/14Bd19lYaqBhU8_DElYkX7l4wRkHqqCUFNJY4AfY3kHU/edit?usp=sharing  #gid=0"",""фіз особи new!relations_name""),6,FALSE)
,
(IF
(
C5595=""юридична особа""
,
VLOOKUP"&amp;"(D5595,IMPORTRANGE(""https://docs.google.com/spreadsheets/d/14Bd19lYaqBhU8_DElYkX7l4wRkHqqCUFNJY4AfY3kHU/edit?usp=sharing  #gid=0"",""фіз особи new!relations_name_uo""),7,FALSE)
,
)
))"),"АКІМОВ Максим Олексійович")</f>
        <v>АКІМОВ Максим Олексійович</v>
      </c>
      <c r="G5594" s="7" t="s">
        <v>10</v>
      </c>
      <c r="H5594" s="7">
        <v>2556</v>
      </c>
      <c r="I5594" s="8" t="str">
        <f ca="1">IFERROR(__xludf.DUMMYFUNCTION("IF
(
G5595=""фізична особа""
,
VLOOKUP(H5595,IMPORTRANGE(""https://docs.google.com/spreadsheets/d/14Bd19lYaqBhU8_DElYkX7l4wRkHqqCUFNJY4AfY3kHU/edit?usp=sharing  #gid=0"",""фіз особи new!relations_name""),6,FALSE)
,
(IF
(
G5595=""юридична особа""
,
VLOOKUP"&amp;"(H5595,IMPORTRANGE(""https://docs.google.com/spreadsheets/d/14Bd19lYaqBhU8_DElYkX7l4wRkHqqCUFNJY4AfY3kHU/edit?usp=sharing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J5594" s="7" t="s">
        <v>30</v>
      </c>
    </row>
    <row r="5595" spans="1:10" ht="13.2">
      <c r="A5595" s="7">
        <v>5594</v>
      </c>
      <c r="B5595" s="7">
        <v>1</v>
      </c>
      <c r="C5595" s="7" t="s">
        <v>10</v>
      </c>
      <c r="D5595" s="7">
        <v>4737</v>
      </c>
      <c r="E5595" s="7" t="s">
        <v>15</v>
      </c>
      <c r="F5595" s="8" t="str">
        <f ca="1">IFERROR(__xludf.DUMMYFUNCTION("IF
(
C5596=""фізична особа""
,
VLOOKUP(D5596,IMPORTRANGE(""https://docs.google.com/spreadsheets/d/14Bd19lYaqBhU8_DElYkX7l4wRkHqqCUFNJY4AfY3kHU/edit?usp=sharing  #gid=0"",""фіз особи new!relations_name""),6,FALSE)
,
(IF
(
C5596=""юридична особа""
,
VLOOKUP"&amp;"(D5596,IMPORTRANGE(""https://docs.google.com/spreadsheets/d/14Bd19lYaqBhU8_DElYkX7l4wRkHqqCUFNJY4AfY3kHU/edit?usp=sharing  #gid=0"",""фіз особи new!relations_name_uo""),7,FALSE)
,
)
))"),"АКІМОВА Наталія Володимирівна")</f>
        <v>АКІМОВА Наталія Володимирівна</v>
      </c>
      <c r="G5595" s="7" t="s">
        <v>10</v>
      </c>
      <c r="H5595" s="7">
        <v>4736</v>
      </c>
      <c r="I5595" s="8" t="str">
        <f ca="1">IFERROR(__xludf.DUMMYFUNCTION("IF
(
G5596=""фізична особа""
,
VLOOKUP(H5596,IMPORTRANGE(""https://docs.google.com/spreadsheets/d/14Bd19lYaqBhU8_DElYkX7l4wRkHqqCUFNJY4AfY3kHU/edit?usp=sharing  #gid=0"",""фіз особи new!relations_name""),6,FALSE)
,
(IF
(
G5596=""юридична особа""
,
VLOOKUP"&amp;"(H5596,IMPORTRANGE(""https://docs.google.com/spreadsheets/d/14Bd19lYaqBhU8_DElYkX7l4wRkHqqCUFNJY4AfY3kHU/edit?usp=sharing  #gid=0"",""фіз особи new!relations_name_uo""),7,FALSE)
,
)
))"),"АКІМОВ Максим Олексійович")</f>
        <v>АКІМОВ Максим Олексійович</v>
      </c>
      <c r="J5595" s="7" t="s">
        <v>14</v>
      </c>
    </row>
    <row r="5596" spans="1:10" ht="13.2">
      <c r="A5596" s="7">
        <v>5595</v>
      </c>
      <c r="B5596" s="7">
        <v>1</v>
      </c>
      <c r="C5596" s="7" t="s">
        <v>10</v>
      </c>
      <c r="D5596" s="7">
        <v>4738</v>
      </c>
      <c r="E5596" s="7" t="s">
        <v>15</v>
      </c>
      <c r="F5596" s="8" t="str">
        <f ca="1">IFERROR(__xludf.DUMMYFUNCTION("IF
(
C5597=""фізична особа""
,
VLOOKUP(D5597,IMPORTRANGE(""https://docs.google.com/spreadsheets/d/14Bd19lYaqBhU8_DElYkX7l4wRkHqqCUFNJY4AfY3kHU/edit?usp=sharing  #gid=0"",""фіз особи new!relations_name""),6,FALSE)
,
(IF
(
C5597=""юридична особа""
,
VLOOKUP"&amp;"(D5597,IMPORTRANGE(""https://docs.google.com/spreadsheets/d/14Bd19lYaqBhU8_DElYkX7l4wRkHqqCUFNJY4AfY3kHU/edit?usp=sharing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596" s="7" t="s">
        <v>10</v>
      </c>
      <c r="H5596" s="7">
        <v>4558</v>
      </c>
      <c r="I5596" s="8" t="str">
        <f ca="1">IFERROR(__xludf.DUMMYFUNCTION("IF
(
G5597=""фізична особа""
,
VLOOKUP(H5597,IMPORTRANGE(""https://docs.google.com/spreadsheets/d/14Bd19lYaqBhU8_DElYkX7l4wRkHqqCUFNJY4AfY3kHU/edit?usp=sharing  #gid=0"",""фіз особи new!relations_name""),6,FALSE)
,
(IF
(
G5597=""юридична особа""
,
VLOOKUP"&amp;"(H5597,IMPORTRANGE(""https://docs.google.com/spreadsheets/d/14Bd19lYaqBhU8_DElYkX7l4wRkHqqCUFNJY4AfY3kHU/edit?usp=sharing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5596" s="7" t="s">
        <v>14</v>
      </c>
    </row>
    <row r="5597" spans="1:10" ht="13.2">
      <c r="A5597" s="7">
        <v>5596</v>
      </c>
      <c r="B5597" s="7">
        <v>1</v>
      </c>
      <c r="C5597" s="7" t="s">
        <v>10</v>
      </c>
      <c r="D5597" s="7">
        <v>4738</v>
      </c>
      <c r="E5597" s="7" t="s">
        <v>25</v>
      </c>
      <c r="F5597" s="8" t="str">
        <f ca="1">IFERROR(__xludf.DUMMYFUNCTION("IF
(
C5598=""фізична особа""
,
VLOOKUP(D5598,IMPORTRANGE(""https://docs.google.com/spreadsheets/d/14Bd19lYaqBhU8_DElYkX7l4wRkHqqCUFNJY4AfY3kHU/edit?usp=sharing  #gid=0"",""фіз особи new!relations_name""),6,FALSE)
,
(IF
(
C5598=""юридична особа""
,
VLOOKUP"&amp;"(D5598,IMPORTRANGE(""https://docs.google.com/spreadsheets/d/14Bd19lYaqBhU8_DElYkX7l4wRkHqqCUFNJY4AfY3kHU/edit?usp=sharing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597" s="7" t="s">
        <v>10</v>
      </c>
      <c r="H5597" s="7">
        <v>13225</v>
      </c>
      <c r="I5597" s="8" t="str">
        <f ca="1">IFERROR(__xludf.DUMMYFUNCTION("IF
(
G5598=""фізична особа""
,
VLOOKUP(H5598,IMPORTRANGE(""https://docs.google.com/spreadsheets/d/14Bd19lYaqBhU8_DElYkX7l4wRkHqqCUFNJY4AfY3kHU/edit?usp=sharing  #gid=0"",""фіз особи new!relations_name""),6,FALSE)
,
(IF
(
G5598=""юридична особа""
,
VLOOKUP"&amp;"(H5598,IMPORTRANGE(""https://docs.google.com/spreadsheets/d/14Bd19lYaqBhU8_DElYkX7l4wRkHqqCUFNJY4AfY3kHU/edit?usp=sharing  #gid=0"",""фіз особи new!relations_name_uo""),7,FALSE)
,
)
))"),"АКСЬОНОВ Валерій Миколайович")</f>
        <v>АКСЬОНОВ Валерій Миколайович</v>
      </c>
      <c r="J5597" s="7" t="s">
        <v>34</v>
      </c>
    </row>
    <row r="5598" spans="1:10" ht="13.2">
      <c r="A5598" s="7">
        <v>5597</v>
      </c>
      <c r="B5598" s="7">
        <v>1</v>
      </c>
      <c r="C5598" s="7" t="s">
        <v>10</v>
      </c>
      <c r="D5598" s="7">
        <v>4738</v>
      </c>
      <c r="E5598" s="7" t="s">
        <v>21</v>
      </c>
      <c r="F5598" s="8" t="str">
        <f ca="1">IFERROR(__xludf.DUMMYFUNCTION("IF
(
C5599=""фізична особа""
,
VLOOKUP(D5599,IMPORTRANGE(""https://docs.google.com/spreadsheets/d/14Bd19lYaqBhU8_DElYkX7l4wRkHqqCUFNJY4AfY3kHU/edit?usp=sharing  #gid=0"",""фіз особи new!relations_name""),6,FALSE)
,
(IF
(
C5599=""юридична особа""
,
VLOOKUP"&amp;"(D5599,IMPORTRANGE(""https://docs.google.com/spreadsheets/d/14Bd19lYaqBhU8_DElYkX7l4wRkHqqCUFNJY4AfY3kHU/edit?usp=sharing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598" s="7" t="s">
        <v>10</v>
      </c>
      <c r="H5598" s="7">
        <v>4739</v>
      </c>
      <c r="I5598" s="8" t="str">
        <f ca="1">IFERROR(__xludf.DUMMYFUNCTION("IF
(
G5599=""фізична особа""
,
VLOOKUP(H5599,IMPORTRANGE(""https://docs.google.com/spreadsheets/d/14Bd19lYaqBhU8_DElYkX7l4wRkHqqCUFNJY4AfY3kHU/edit?usp=sharing  #gid=0"",""фіз особи new!relations_name""),6,FALSE)
,
(IF
(
G5599=""юридична особа""
,
VLOOKUP"&amp;"(H5599,IMPORTRANGE(""https://docs.google.com/spreadsheets/d/14Bd19lYaqBhU8_DElYkX7l4wRkHqqCUFNJY4AfY3kHU/edit?usp=sharing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J5598" s="7" t="s">
        <v>17</v>
      </c>
    </row>
    <row r="5599" spans="1:10" ht="13.2">
      <c r="A5599" s="7">
        <v>5598</v>
      </c>
      <c r="B5599" s="7">
        <v>1</v>
      </c>
      <c r="C5599" s="7" t="s">
        <v>10</v>
      </c>
      <c r="D5599" s="7">
        <v>4738</v>
      </c>
      <c r="E5599" s="7" t="s">
        <v>13</v>
      </c>
      <c r="F5599" s="8" t="str">
        <f ca="1">IFERROR(__xludf.DUMMYFUNCTION("IF
(
C5600=""фізична особа""
,
VLOOKUP(D5600,IMPORTRANGE(""https://docs.google.com/spreadsheets/d/14Bd19lYaqBhU8_DElYkX7l4wRkHqqCUFNJY4AfY3kHU/edit?usp=sharing  #gid=0"",""фіз особи new!relations_name""),6,FALSE)
,
(IF
(
C5600=""юридична особа""
,
VLOOKUP"&amp;"(D5600,IMPORTRANGE(""https://docs.google.com/spreadsheets/d/14Bd19lYaqBhU8_DElYkX7l4wRkHqqCUFNJY4AfY3kHU/edit?usp=sharing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599" s="7" t="s">
        <v>10</v>
      </c>
      <c r="H5599" s="7">
        <v>23536</v>
      </c>
      <c r="I5599" s="8" t="str">
        <f ca="1">IFERROR(__xludf.DUMMYFUNCTION("IF
(
G5600=""фізична особа""
,
VLOOKUP(H5600,IMPORTRANGE(""https://docs.google.com/spreadsheets/d/14Bd19lYaqBhU8_DElYkX7l4wRkHqqCUFNJY4AfY3kHU/edit?usp=sharing  #gid=0"",""фіз особи new!relations_name""),6,FALSE)
,
(IF
(
G5600=""юридична особа""
,
VLOOKUP"&amp;"(H5600,IMPORTRANGE(""https://docs.google.com/spreadsheets/d/14Bd19lYaqBhU8_DElYkX7l4wRkHqqCUFNJY4AfY3kHU/edit?usp=sharing  #gid=0"",""фіз особи new!relations_name_uo""),7,FALSE)
,
)
))"),"ДОБРИНЯ Олександр Степанович")</f>
        <v>ДОБРИНЯ Олександр Степанович</v>
      </c>
      <c r="J5599" s="7" t="s">
        <v>12</v>
      </c>
    </row>
    <row r="5600" spans="1:10" ht="13.2">
      <c r="A5600" s="7">
        <v>5599</v>
      </c>
      <c r="B5600" s="7">
        <v>1</v>
      </c>
      <c r="C5600" s="7" t="s">
        <v>10</v>
      </c>
      <c r="D5600" s="7">
        <v>4738</v>
      </c>
      <c r="E5600" s="7" t="s">
        <v>13</v>
      </c>
      <c r="F5600" s="8" t="str">
        <f ca="1">IFERROR(__xludf.DUMMYFUNCTION("IF
(
C5601=""фізична особа""
,
VLOOKUP(D5601,IMPORTRANGE(""https://docs.google.com/spreadsheets/d/14Bd19lYaqBhU8_DElYkX7l4wRkHqqCUFNJY4AfY3kHU/edit?usp=sharing  #gid=0"",""фіз особи new!relations_name""),6,FALSE)
,
(IF
(
C5601=""юридична особа""
,
VLOOKUP"&amp;"(D5601,IMPORTRANGE(""https://docs.google.com/spreadsheets/d/14Bd19lYaqBhU8_DElYkX7l4wRkHqqCUFNJY4AfY3kHU/edit?usp=sharing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600" s="7" t="s">
        <v>10</v>
      </c>
      <c r="H5600" s="7">
        <v>23537</v>
      </c>
      <c r="I5600" s="8" t="str">
        <f ca="1">IFERROR(__xludf.DUMMYFUNCTION("IF
(
G5601=""фізична особа""
,
VLOOKUP(H5601,IMPORTRANGE(""https://docs.google.com/spreadsheets/d/14Bd19lYaqBhU8_DElYkX7l4wRkHqqCUFNJY4AfY3kHU/edit?usp=sharing  #gid=0"",""фіз особи new!relations_name""),6,FALSE)
,
(IF
(
G5601=""юридична особа""
,
VLOOKUP"&amp;"(H5601,IMPORTRANGE(""https://docs.google.com/spreadsheets/d/14Bd19lYaqBhU8_DElYkX7l4wRkHqqCUFNJY4AfY3kHU/edit?usp=sharing  #gid=0"",""фіз особи new!relations_name_uo""),7,FALSE)
,
)
))"),"ДОБРИНЯ Людмила Григорівна")</f>
        <v>ДОБРИНЯ Людмила Григорівна</v>
      </c>
      <c r="J5600" s="7" t="s">
        <v>21</v>
      </c>
    </row>
    <row r="5601" spans="1:10" ht="13.2">
      <c r="A5601" s="7">
        <v>5600</v>
      </c>
      <c r="B5601" s="7">
        <v>1</v>
      </c>
      <c r="C5601" s="7" t="s">
        <v>10</v>
      </c>
      <c r="D5601" s="7">
        <v>4738</v>
      </c>
      <c r="E5601" s="7" t="s">
        <v>27</v>
      </c>
      <c r="F5601" s="8" t="str">
        <f ca="1">IFERROR(__xludf.DUMMYFUNCTION("IF
(
C5602=""фізична особа""
,
VLOOKUP(D5602,IMPORTRANGE(""https://docs.google.com/spreadsheets/d/14Bd19lYaqBhU8_DElYkX7l4wRkHqqCUFNJY4AfY3kHU/edit?usp=sharing  #gid=0"",""фіз особи new!relations_name""),6,FALSE)
,
(IF
(
C5602=""юридична особа""
,
VLOOKUP"&amp;"(D5602,IMPORTRANGE(""https://docs.google.com/spreadsheets/d/14Bd19lYaqBhU8_DElYkX7l4wRkHqqCUFNJY4AfY3kHU/edit?usp=sharing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601" s="7" t="s">
        <v>10</v>
      </c>
      <c r="H5601" s="7">
        <v>23538</v>
      </c>
      <c r="I5601" s="8" t="str">
        <f ca="1">IFERROR(__xludf.DUMMYFUNCTION("IF
(
G5602=""фізична особа""
,
VLOOKUP(H5602,IMPORTRANGE(""https://docs.google.com/spreadsheets/d/14Bd19lYaqBhU8_DElYkX7l4wRkHqqCUFNJY4AfY3kHU/edit?usp=sharing  #gid=0"",""фіз особи new!relations_name""),6,FALSE)
,
(IF
(
G5602=""юридична особа""
,
VLOOKUP"&amp;"(H5602,IMPORTRANGE(""https://docs.google.com/spreadsheets/d/14Bd19lYaqBhU8_DElYkX7l4wRkHqqCUFNJY4AfY3kHU/edit?usp=sharing  #gid=0"",""фіз особи new!relations_name_uo""),7,FALSE)
,
)
))"),"МАНУСОВ Данило Романович")</f>
        <v>МАНУСОВ Данило Романович</v>
      </c>
      <c r="J5601" s="7" t="s">
        <v>26</v>
      </c>
    </row>
    <row r="5602" spans="1:10" ht="13.2">
      <c r="A5602" s="7">
        <v>5601</v>
      </c>
      <c r="B5602" s="7">
        <v>1</v>
      </c>
      <c r="C5602" s="7" t="s">
        <v>10</v>
      </c>
      <c r="D5602" s="7">
        <v>4738</v>
      </c>
      <c r="E5602" s="7" t="s">
        <v>21</v>
      </c>
      <c r="F5602" s="8" t="str">
        <f ca="1">IFERROR(__xludf.DUMMYFUNCTION("IF
(
C5603=""фізична особа""
,
VLOOKUP(D5603,IMPORTRANGE(""https://docs.google.com/spreadsheets/d/14Bd19lYaqBhU8_DElYkX7l4wRkHqqCUFNJY4AfY3kHU/edit?usp=sharing  #gid=0"",""фіз особи new!relations_name""),6,FALSE)
,
(IF
(
C5603=""юридична особа""
,
VLOOKUP"&amp;"(D5603,IMPORTRANGE(""https://docs.google.com/spreadsheets/d/14Bd19lYaqBhU8_DElYkX7l4wRkHqqCUFNJY4AfY3kHU/edit?usp=sharing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G5602" s="7" t="s">
        <v>10</v>
      </c>
      <c r="H5602" s="7">
        <v>4740</v>
      </c>
      <c r="I5602" s="8" t="str">
        <f ca="1">IFERROR(__xludf.DUMMYFUNCTION("IF
(
G5603=""фізична особа""
,
VLOOKUP(H5603,IMPORTRANGE(""https://docs.google.com/spreadsheets/d/14Bd19lYaqBhU8_DElYkX7l4wRkHqqCUFNJY4AfY3kHU/edit?usp=sharing  #gid=0"",""фіз особи new!relations_name""),6,FALSE)
,
(IF
(
G5603=""юридична особа""
,
VLOOKUP"&amp;"(H5603,IMPORTRANGE(""https://docs.google.com/spreadsheets/d/14Bd19lYaqBhU8_DElYkX7l4wRkHqqCUFNJY4AfY3kHU/edit?usp=sharing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J5602" s="7" t="s">
        <v>13</v>
      </c>
    </row>
    <row r="5603" spans="1:10" ht="13.2">
      <c r="A5603" s="7">
        <v>5602</v>
      </c>
      <c r="B5603" s="7">
        <v>1</v>
      </c>
      <c r="C5603" s="7" t="s">
        <v>10</v>
      </c>
      <c r="D5603" s="7">
        <v>4739</v>
      </c>
      <c r="E5603" s="7" t="s">
        <v>17</v>
      </c>
      <c r="F5603" s="8" t="str">
        <f ca="1">IFERROR(__xludf.DUMMYFUNCTION("IF
(
C5604=""фізична особа""
,
VLOOKUP(D5604,IMPORTRANGE(""https://docs.google.com/spreadsheets/d/14Bd19lYaqBhU8_DElYkX7l4wRkHqqCUFNJY4AfY3kHU/edit?usp=sharing  #gid=0"",""фіз особи new!relations_name""),6,FALSE)
,
(IF
(
C5604=""юридична особа""
,
VLOOKUP"&amp;"(D5604,IMPORTRANGE(""https://docs.google.com/spreadsheets/d/14Bd19lYaqBhU8_DElYkX7l4wRkHqqCUFNJY4AfY3kHU/edit?usp=sharing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3" s="7" t="s">
        <v>10</v>
      </c>
      <c r="H5603" s="7">
        <v>4558</v>
      </c>
      <c r="I5603" s="8" t="str">
        <f ca="1">IFERROR(__xludf.DUMMYFUNCTION("IF
(
G5604=""фізична особа""
,
VLOOKUP(H5604,IMPORTRANGE(""https://docs.google.com/spreadsheets/d/14Bd19lYaqBhU8_DElYkX7l4wRkHqqCUFNJY4AfY3kHU/edit?usp=sharing  #gid=0"",""фіз особи new!relations_name""),6,FALSE)
,
(IF
(
G5604=""юридична особа""
,
VLOOKUP"&amp;"(H5604,IMPORTRANGE(""https://docs.google.com/spreadsheets/d/14Bd19lYaqBhU8_DElYkX7l4wRkHqqCUFNJY4AfY3kHU/edit?usp=sharing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5603" s="7" t="s">
        <v>12</v>
      </c>
    </row>
    <row r="5604" spans="1:10" ht="13.2">
      <c r="A5604" s="7">
        <v>5603</v>
      </c>
      <c r="B5604" s="7">
        <v>1</v>
      </c>
      <c r="C5604" s="7" t="s">
        <v>10</v>
      </c>
      <c r="D5604" s="7">
        <v>4739</v>
      </c>
      <c r="E5604" s="7" t="s">
        <v>61</v>
      </c>
      <c r="F5604" s="8" t="str">
        <f ca="1">IFERROR(__xludf.DUMMYFUNCTION("IF
(
C5605=""фізична особа""
,
VLOOKUP(D5605,IMPORTRANGE(""https://docs.google.com/spreadsheets/d/14Bd19lYaqBhU8_DElYkX7l4wRkHqqCUFNJY4AfY3kHU/edit?usp=sharing  #gid=0"",""фіз особи new!relations_name""),6,FALSE)
,
(IF
(
C5605=""юридична особа""
,
VLOOKUP"&amp;"(D5605,IMPORTRANGE(""https://docs.google.com/spreadsheets/d/14Bd19lYaqBhU8_DElYkX7l4wRkHqqCUFNJY4AfY3kHU/edit?usp=sharing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4" s="7" t="s">
        <v>10</v>
      </c>
      <c r="H5604" s="7">
        <v>13225</v>
      </c>
      <c r="I5604" s="8" t="str">
        <f ca="1">IFERROR(__xludf.DUMMYFUNCTION("IF
(
G5605=""фізична особа""
,
VLOOKUP(H5605,IMPORTRANGE(""https://docs.google.com/spreadsheets/d/14Bd19lYaqBhU8_DElYkX7l4wRkHqqCUFNJY4AfY3kHU/edit?usp=sharing  #gid=0"",""фіз особи new!relations_name""),6,FALSE)
,
(IF
(
G5605=""юридична особа""
,
VLOOKUP"&amp;"(H5605,IMPORTRANGE(""https://docs.google.com/spreadsheets/d/14Bd19lYaqBhU8_DElYkX7l4wRkHqqCUFNJY4AfY3kHU/edit?usp=sharing  #gid=0"",""фіз особи new!relations_name_uo""),7,FALSE)
,
)
))"),"АКСЬОНОВ Валерій Миколайович")</f>
        <v>АКСЬОНОВ Валерій Миколайович</v>
      </c>
      <c r="J5604" s="7" t="s">
        <v>59</v>
      </c>
    </row>
    <row r="5605" spans="1:10" ht="13.2">
      <c r="A5605" s="7">
        <v>5604</v>
      </c>
      <c r="B5605" s="7">
        <v>1</v>
      </c>
      <c r="C5605" s="7" t="s">
        <v>10</v>
      </c>
      <c r="D5605" s="7">
        <v>4739</v>
      </c>
      <c r="E5605" s="7" t="s">
        <v>17</v>
      </c>
      <c r="F5605" s="8" t="str">
        <f ca="1">IFERROR(__xludf.DUMMYFUNCTION("IF
(
C5606=""фізична особа""
,
VLOOKUP(D5606,IMPORTRANGE(""https://docs.google.com/spreadsheets/d/14Bd19lYaqBhU8_DElYkX7l4wRkHqqCUFNJY4AfY3kHU/edit?usp=sharing  #gid=0"",""фіз особи new!relations_name""),6,FALSE)
,
(IF
(
C5606=""юридична особа""
,
VLOOKUP"&amp;"(D5606,IMPORTRANGE(""https://docs.google.com/spreadsheets/d/14Bd19lYaqBhU8_DElYkX7l4wRkHqqCUFNJY4AfY3kHU/edit?usp=sharing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5" s="7" t="s">
        <v>10</v>
      </c>
      <c r="H5605" s="7">
        <v>4738</v>
      </c>
      <c r="I5605" s="8" t="str">
        <f ca="1">IFERROR(__xludf.DUMMYFUNCTION("IF
(
G5606=""фізична особа""
,
VLOOKUP(H5606,IMPORTRANGE(""https://docs.google.com/spreadsheets/d/14Bd19lYaqBhU8_DElYkX7l4wRkHqqCUFNJY4AfY3kHU/edit?usp=sharing  #gid=0"",""фіз особи new!relations_name""),6,FALSE)
,
(IF
(
G5606=""юридична особа""
,
VLOOKUP"&amp;"(H5606,IMPORTRANGE(""https://docs.google.com/spreadsheets/d/14Bd19lYaqBhU8_DElYkX7l4wRkHqqCUFNJY4AfY3kHU/edit?usp=sharing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J5605" s="7" t="s">
        <v>21</v>
      </c>
    </row>
    <row r="5606" spans="1:10" ht="13.2">
      <c r="A5606" s="7">
        <v>5605</v>
      </c>
      <c r="B5606" s="7">
        <v>1</v>
      </c>
      <c r="C5606" s="7" t="s">
        <v>10</v>
      </c>
      <c r="D5606" s="7">
        <v>4739</v>
      </c>
      <c r="E5606" s="7" t="s">
        <v>61</v>
      </c>
      <c r="F5606" s="8" t="str">
        <f ca="1">IFERROR(__xludf.DUMMYFUNCTION("IF
(
C5607=""фізична особа""
,
VLOOKUP(D5607,IMPORTRANGE(""https://docs.google.com/spreadsheets/d/14Bd19lYaqBhU8_DElYkX7l4wRkHqqCUFNJY4AfY3kHU/edit?usp=sharing  #gid=0"",""фіз особи new!relations_name""),6,FALSE)
,
(IF
(
C5607=""юридична особа""
,
VLOOKUP"&amp;"(D5607,IMPORTRANGE(""https://docs.google.com/spreadsheets/d/14Bd19lYaqBhU8_DElYkX7l4wRkHqqCUFNJY4AfY3kHU/edit?usp=sharing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6" s="7" t="s">
        <v>10</v>
      </c>
      <c r="H5606" s="7">
        <v>23536</v>
      </c>
      <c r="I5606" s="8" t="str">
        <f ca="1">IFERROR(__xludf.DUMMYFUNCTION("IF
(
G5607=""фізична особа""
,
VLOOKUP(H5607,IMPORTRANGE(""https://docs.google.com/spreadsheets/d/14Bd19lYaqBhU8_DElYkX7l4wRkHqqCUFNJY4AfY3kHU/edit?usp=sharing  #gid=0"",""фіз особи new!relations_name""),6,FALSE)
,
(IF
(
G5607=""юридична особа""
,
VLOOKUP"&amp;"(H5607,IMPORTRANGE(""https://docs.google.com/spreadsheets/d/14Bd19lYaqBhU8_DElYkX7l4wRkHqqCUFNJY4AfY3kHU/edit?usp=sharing  #gid=0"",""фіз особи new!relations_name_uo""),7,FALSE)
,
)
))"),"ДОБРИНЯ Олександр Степанович")</f>
        <v>ДОБРИНЯ Олександр Степанович</v>
      </c>
      <c r="J5606" s="7" t="s">
        <v>59</v>
      </c>
    </row>
    <row r="5607" spans="1:10" ht="13.2">
      <c r="A5607" s="7">
        <v>5606</v>
      </c>
      <c r="B5607" s="7">
        <v>1</v>
      </c>
      <c r="C5607" s="7" t="s">
        <v>10</v>
      </c>
      <c r="D5607" s="7">
        <v>4739</v>
      </c>
      <c r="E5607" s="7" t="s">
        <v>61</v>
      </c>
      <c r="F5607" s="8" t="str">
        <f ca="1">IFERROR(__xludf.DUMMYFUNCTION("IF
(
C5608=""фізична особа""
,
VLOOKUP(D5608,IMPORTRANGE(""https://docs.google.com/spreadsheets/d/14Bd19lYaqBhU8_DElYkX7l4wRkHqqCUFNJY4AfY3kHU/edit?usp=sharing  #gid=0"",""фіз особи new!relations_name""),6,FALSE)
,
(IF
(
C5608=""юридична особа""
,
VLOOKUP"&amp;"(D5608,IMPORTRANGE(""https://docs.google.com/spreadsheets/d/14Bd19lYaqBhU8_DElYkX7l4wRkHqqCUFNJY4AfY3kHU/edit?usp=sharing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7" s="7" t="s">
        <v>10</v>
      </c>
      <c r="H5607" s="7">
        <v>23537</v>
      </c>
      <c r="I5607" s="8" t="str">
        <f ca="1">IFERROR(__xludf.DUMMYFUNCTION("IF
(
G5608=""фізична особа""
,
VLOOKUP(H5608,IMPORTRANGE(""https://docs.google.com/spreadsheets/d/14Bd19lYaqBhU8_DElYkX7l4wRkHqqCUFNJY4AfY3kHU/edit?usp=sharing  #gid=0"",""фіз особи new!relations_name""),6,FALSE)
,
(IF
(
G5608=""юридична особа""
,
VLOOKUP"&amp;"(H5608,IMPORTRANGE(""https://docs.google.com/spreadsheets/d/14Bd19lYaqBhU8_DElYkX7l4wRkHqqCUFNJY4AfY3kHU/edit?usp=sharing  #gid=0"",""фіз особи new!relations_name_uo""),7,FALSE)
,
)
))"),"ДОБРИНЯ Людмила Григорівна")</f>
        <v>ДОБРИНЯ Людмила Григорівна</v>
      </c>
      <c r="J5607" s="7" t="s">
        <v>79</v>
      </c>
    </row>
    <row r="5608" spans="1:10" ht="13.2">
      <c r="A5608" s="7">
        <v>5607</v>
      </c>
      <c r="B5608" s="7">
        <v>1</v>
      </c>
      <c r="C5608" s="7" t="s">
        <v>10</v>
      </c>
      <c r="D5608" s="7">
        <v>4739</v>
      </c>
      <c r="E5608" s="7" t="s">
        <v>50</v>
      </c>
      <c r="F5608" s="8" t="str">
        <f ca="1">IFERROR(__xludf.DUMMYFUNCTION("IF
(
C5609=""фізична особа""
,
VLOOKUP(D5609,IMPORTRANGE(""https://docs.google.com/spreadsheets/d/14Bd19lYaqBhU8_DElYkX7l4wRkHqqCUFNJY4AfY3kHU/edit?usp=sharing  #gid=0"",""фіз особи new!relations_name""),6,FALSE)
,
(IF
(
C5609=""юридична особа""
,
VLOOKUP"&amp;"(D5609,IMPORTRANGE(""https://docs.google.com/spreadsheets/d/14Bd19lYaqBhU8_DElYkX7l4wRkHqqCUFNJY4AfY3kHU/edit?usp=sharing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8" s="7" t="s">
        <v>10</v>
      </c>
      <c r="H5608" s="7">
        <v>23538</v>
      </c>
      <c r="I5608" s="8" t="str">
        <f ca="1">IFERROR(__xludf.DUMMYFUNCTION("IF
(
G5609=""фізична особа""
,
VLOOKUP(H5609,IMPORTRANGE(""https://docs.google.com/spreadsheets/d/14Bd19lYaqBhU8_DElYkX7l4wRkHqqCUFNJY4AfY3kHU/edit?usp=sharing  #gid=0"",""фіз особи new!relations_name""),6,FALSE)
,
(IF
(
G5609=""юридична особа""
,
VLOOKUP"&amp;"(H5609,IMPORTRANGE(""https://docs.google.com/spreadsheets/d/14Bd19lYaqBhU8_DElYkX7l4wRkHqqCUFNJY4AfY3kHU/edit?usp=sharing  #gid=0"",""фіз особи new!relations_name_uo""),7,FALSE)
,
)
))"),"МАНУСОВ Данило Романович")</f>
        <v>МАНУСОВ Данило Романович</v>
      </c>
      <c r="J5608" s="7" t="s">
        <v>26</v>
      </c>
    </row>
    <row r="5609" spans="1:10" ht="13.2">
      <c r="A5609" s="7">
        <v>5608</v>
      </c>
      <c r="B5609" s="7">
        <v>1</v>
      </c>
      <c r="C5609" s="7" t="s">
        <v>10</v>
      </c>
      <c r="D5609" s="7">
        <v>4739</v>
      </c>
      <c r="E5609" s="7" t="s">
        <v>18</v>
      </c>
      <c r="F5609" s="8" t="str">
        <f ca="1">IFERROR(__xludf.DUMMYFUNCTION("IF
(
C5610=""фізична особа""
,
VLOOKUP(D5610,IMPORTRANGE(""https://docs.google.com/spreadsheets/d/14Bd19lYaqBhU8_DElYkX7l4wRkHqqCUFNJY4AfY3kHU/edit?usp=sharing  #gid=0"",""фіз особи new!relations_name""),6,FALSE)
,
(IF
(
C5610=""юридична особа""
,
VLOOKUP"&amp;"(D5610,IMPORTRANGE(""https://docs.google.com/spreadsheets/d/14Bd19lYaqBhU8_DElYkX7l4wRkHqqCUFNJY4AfY3kHU/edit?usp=sharing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G5609" s="7" t="s">
        <v>10</v>
      </c>
      <c r="H5609" s="7">
        <v>4740</v>
      </c>
      <c r="I5609" s="8" t="str">
        <f ca="1">IFERROR(__xludf.DUMMYFUNCTION("IF
(
G5610=""фізична особа""
,
VLOOKUP(H5610,IMPORTRANGE(""https://docs.google.com/spreadsheets/d/14Bd19lYaqBhU8_DElYkX7l4wRkHqqCUFNJY4AfY3kHU/edit?usp=sharing  #gid=0"",""фіз особи new!relations_name""),6,FALSE)
,
(IF
(
G5610=""юридична особа""
,
VLOOKUP"&amp;"(H5610,IMPORTRANGE(""https://docs.google.com/spreadsheets/d/14Bd19lYaqBhU8_DElYkX7l4wRkHqqCUFNJY4AfY3kHU/edit?usp=sharing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J5609" s="7" t="s">
        <v>31</v>
      </c>
    </row>
    <row r="5610" spans="1:10" ht="13.2">
      <c r="A5610" s="7">
        <v>5609</v>
      </c>
      <c r="B5610" s="7">
        <v>1</v>
      </c>
      <c r="C5610" s="7" t="s">
        <v>10</v>
      </c>
      <c r="D5610" s="7">
        <v>4740</v>
      </c>
      <c r="E5610" s="7" t="s">
        <v>13</v>
      </c>
      <c r="F5610" s="8" t="str">
        <f ca="1">IFERROR(__xludf.DUMMYFUNCTION("IF
(
C5611=""фізична особа""
,
VLOOKUP(D5611,IMPORTRANGE(""https://docs.google.com/spreadsheets/d/14Bd19lYaqBhU8_DElYkX7l4wRkHqqCUFNJY4AfY3kHU/edit?usp=sharing  #gid=0"",""фіз особи new!relations_name""),6,FALSE)
,
(IF
(
C5611=""юридична особа""
,
VLOOKUP"&amp;"(D5611,IMPORTRANGE(""https://docs.google.com/spreadsheets/d/14Bd19lYaqBhU8_DElYkX7l4wRkHqqCUFNJY4AfY3kHU/edit?usp=sharing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0" s="7" t="s">
        <v>10</v>
      </c>
      <c r="H5610" s="7">
        <v>4558</v>
      </c>
      <c r="I5610" s="8" t="str">
        <f ca="1">IFERROR(__xludf.DUMMYFUNCTION("IF
(
G5611=""фізична особа""
,
VLOOKUP(H5611,IMPORTRANGE(""https://docs.google.com/spreadsheets/d/14Bd19lYaqBhU8_DElYkX7l4wRkHqqCUFNJY4AfY3kHU/edit?usp=sharing  #gid=0"",""фіз особи new!relations_name""),6,FALSE)
,
(IF
(
G5611=""юридична особа""
,
VLOOKUP"&amp;"(H5611,IMPORTRANGE(""https://docs.google.com/spreadsheets/d/14Bd19lYaqBhU8_DElYkX7l4wRkHqqCUFNJY4AfY3kHU/edit?usp=sharing  #gid=0"",""фіз особи new!relations_name_uo""),7,FALSE)
,
)
))"),"АКСЬОНОВ Сергій Валерійович")</f>
        <v>АКСЬОНОВ Сергій Валерійович</v>
      </c>
      <c r="J5610" s="7" t="s">
        <v>12</v>
      </c>
    </row>
    <row r="5611" spans="1:10" ht="13.2">
      <c r="A5611" s="7">
        <v>5610</v>
      </c>
      <c r="B5611" s="7">
        <v>1</v>
      </c>
      <c r="C5611" s="7" t="s">
        <v>10</v>
      </c>
      <c r="D5611" s="7">
        <v>4740</v>
      </c>
      <c r="E5611" s="7" t="s">
        <v>60</v>
      </c>
      <c r="F5611" s="8" t="str">
        <f ca="1">IFERROR(__xludf.DUMMYFUNCTION("IF
(
C5612=""фізична особа""
,
VLOOKUP(D5612,IMPORTRANGE(""https://docs.google.com/spreadsheets/d/14Bd19lYaqBhU8_DElYkX7l4wRkHqqCUFNJY4AfY3kHU/edit?usp=sharing  #gid=0"",""фіз особи new!relations_name""),6,FALSE)
,
(IF
(
C5612=""юридична особа""
,
VLOOKUP"&amp;"(D5612,IMPORTRANGE(""https://docs.google.com/spreadsheets/d/14Bd19lYaqBhU8_DElYkX7l4wRkHqqCUFNJY4AfY3kHU/edit?usp=sharing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1" s="7" t="s">
        <v>10</v>
      </c>
      <c r="H5611" s="7">
        <v>13225</v>
      </c>
      <c r="I5611" s="8" t="str">
        <f ca="1">IFERROR(__xludf.DUMMYFUNCTION("IF
(
G5612=""фізична особа""
,
VLOOKUP(H5612,IMPORTRANGE(""https://docs.google.com/spreadsheets/d/14Bd19lYaqBhU8_DElYkX7l4wRkHqqCUFNJY4AfY3kHU/edit?usp=sharing  #gid=0"",""фіз особи new!relations_name""),6,FALSE)
,
(IF
(
G5612=""юридична особа""
,
VLOOKUP"&amp;"(H5612,IMPORTRANGE(""https://docs.google.com/spreadsheets/d/14Bd19lYaqBhU8_DElYkX7l4wRkHqqCUFNJY4AfY3kHU/edit?usp=sharing  #gid=0"",""фіз особи new!relations_name_uo""),7,FALSE)
,
)
))"),"АКСЬОНОВ Валерій Миколайович")</f>
        <v>АКСЬОНОВ Валерій Миколайович</v>
      </c>
      <c r="J5611" s="7" t="s">
        <v>59</v>
      </c>
    </row>
    <row r="5612" spans="1:10" ht="13.2">
      <c r="A5612" s="7">
        <v>5611</v>
      </c>
      <c r="B5612" s="7">
        <v>1</v>
      </c>
      <c r="C5612" s="7" t="s">
        <v>10</v>
      </c>
      <c r="D5612" s="7">
        <v>4740</v>
      </c>
      <c r="E5612" s="7" t="s">
        <v>31</v>
      </c>
      <c r="F5612" s="8" t="str">
        <f ca="1">IFERROR(__xludf.DUMMYFUNCTION("IF
(
C5613=""фізична особа""
,
VLOOKUP(D5613,IMPORTRANGE(""https://docs.google.com/spreadsheets/d/14Bd19lYaqBhU8_DElYkX7l4wRkHqqCUFNJY4AfY3kHU/edit?usp=sharing  #gid=0"",""фіз особи new!relations_name""),6,FALSE)
,
(IF
(
C5613=""юридична особа""
,
VLOOKUP"&amp;"(D5613,IMPORTRANGE(""https://docs.google.com/spreadsheets/d/14Bd19lYaqBhU8_DElYkX7l4wRkHqqCUFNJY4AfY3kHU/edit?usp=sharing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2" s="7" t="s">
        <v>10</v>
      </c>
      <c r="H5612" s="7">
        <v>4739</v>
      </c>
      <c r="I5612" s="8" t="str">
        <f ca="1">IFERROR(__xludf.DUMMYFUNCTION("IF
(
G5613=""фізична особа""
,
VLOOKUP(H5613,IMPORTRANGE(""https://docs.google.com/spreadsheets/d/14Bd19lYaqBhU8_DElYkX7l4wRkHqqCUFNJY4AfY3kHU/edit?usp=sharing  #gid=0"",""фіз особи new!relations_name""),6,FALSE)
,
(IF
(
G5613=""юридична особа""
,
VLOOKUP"&amp;"(H5613,IMPORTRANGE(""https://docs.google.com/spreadsheets/d/14Bd19lYaqBhU8_DElYkX7l4wRkHqqCUFNJY4AfY3kHU/edit?usp=sharing  #gid=0"",""фіз особи new!relations_name_uo""),7,FALSE)
,
)
))"),"АКСЬОНОВ Олег Сергійович")</f>
        <v>АКСЬОНОВ Олег Сергійович</v>
      </c>
      <c r="J5612" s="7" t="s">
        <v>18</v>
      </c>
    </row>
    <row r="5613" spans="1:10" ht="13.2">
      <c r="A5613" s="7">
        <v>5612</v>
      </c>
      <c r="B5613" s="7">
        <v>1</v>
      </c>
      <c r="C5613" s="7" t="s">
        <v>10</v>
      </c>
      <c r="D5613" s="7">
        <v>4740</v>
      </c>
      <c r="E5613" s="7" t="s">
        <v>13</v>
      </c>
      <c r="F5613" s="8" t="str">
        <f ca="1">IFERROR(__xludf.DUMMYFUNCTION("IF
(
C5614=""фізична особа""
,
VLOOKUP(D5614,IMPORTRANGE(""https://docs.google.com/spreadsheets/d/14Bd19lYaqBhU8_DElYkX7l4wRkHqqCUFNJY4AfY3kHU/edit?usp=sharing  #gid=0"",""фіз особи new!relations_name""),6,FALSE)
,
(IF
(
C5614=""юридична особа""
,
VLOOKUP"&amp;"(D5614,IMPORTRANGE(""https://docs.google.com/spreadsheets/d/14Bd19lYaqBhU8_DElYkX7l4wRkHqqCUFNJY4AfY3kHU/edit?usp=sharing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3" s="7" t="s">
        <v>10</v>
      </c>
      <c r="H5613" s="7">
        <v>4738</v>
      </c>
      <c r="I5613" s="8" t="str">
        <f ca="1">IFERROR(__xludf.DUMMYFUNCTION("IF
(
G5614=""фізична особа""
,
VLOOKUP(H5614,IMPORTRANGE(""https://docs.google.com/spreadsheets/d/14Bd19lYaqBhU8_DElYkX7l4wRkHqqCUFNJY4AfY3kHU/edit?usp=sharing  #gid=0"",""фіз особи new!relations_name""),6,FALSE)
,
(IF
(
G5614=""юридична особа""
,
VLOOKUP"&amp;"(H5614,IMPORTRANGE(""https://docs.google.com/spreadsheets/d/14Bd19lYaqBhU8_DElYkX7l4wRkHqqCUFNJY4AfY3kHU/edit?usp=sharing  #gid=0"",""фіз особи new!relations_name_uo""),7,FALSE)
,
)
))"),"АКСЬОНОВА Олена Олександрівна")</f>
        <v>АКСЬОНОВА Олена Олександрівна</v>
      </c>
      <c r="J5613" s="7" t="s">
        <v>21</v>
      </c>
    </row>
    <row r="5614" spans="1:10" ht="13.2">
      <c r="A5614" s="7">
        <v>5613</v>
      </c>
      <c r="B5614" s="7">
        <v>1</v>
      </c>
      <c r="C5614" s="7" t="s">
        <v>10</v>
      </c>
      <c r="D5614" s="7">
        <v>4740</v>
      </c>
      <c r="E5614" s="7" t="s">
        <v>60</v>
      </c>
      <c r="F5614" s="8" t="str">
        <f ca="1">IFERROR(__xludf.DUMMYFUNCTION("IF
(
C5615=""фізична особа""
,
VLOOKUP(D5615,IMPORTRANGE(""https://docs.google.com/spreadsheets/d/14Bd19lYaqBhU8_DElYkX7l4wRkHqqCUFNJY4AfY3kHU/edit?usp=sharing  #gid=0"",""фіз особи new!relations_name""),6,FALSE)
,
(IF
(
C5615=""юридична особа""
,
VLOOKUP"&amp;"(D5615,IMPORTRANGE(""https://docs.google.com/spreadsheets/d/14Bd19lYaqBhU8_DElYkX7l4wRkHqqCUFNJY4AfY3kHU/edit?usp=sharing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4" s="7" t="s">
        <v>10</v>
      </c>
      <c r="H5614" s="7">
        <v>23536</v>
      </c>
      <c r="I5614" s="8" t="str">
        <f ca="1">IFERROR(__xludf.DUMMYFUNCTION("IF
(
G5615=""фізична особа""
,
VLOOKUP(H5615,IMPORTRANGE(""https://docs.google.com/spreadsheets/d/14Bd19lYaqBhU8_DElYkX7l4wRkHqqCUFNJY4AfY3kHU/edit?usp=sharing  #gid=0"",""фіз особи new!relations_name""),6,FALSE)
,
(IF
(
G5615=""юридична особа""
,
VLOOKUP"&amp;"(H5615,IMPORTRANGE(""https://docs.google.com/spreadsheets/d/14Bd19lYaqBhU8_DElYkX7l4wRkHqqCUFNJY4AfY3kHU/edit?usp=sharing  #gid=0"",""фіз особи new!relations_name_uo""),7,FALSE)
,
)
))"),"ДОБРИНЯ Олександр Степанович")</f>
        <v>ДОБРИНЯ Олександр Степанович</v>
      </c>
      <c r="J5614" s="7" t="s">
        <v>59</v>
      </c>
    </row>
    <row r="5615" spans="1:10" ht="13.2">
      <c r="A5615" s="7">
        <v>5614</v>
      </c>
      <c r="B5615" s="7">
        <v>1</v>
      </c>
      <c r="C5615" s="7" t="s">
        <v>10</v>
      </c>
      <c r="D5615" s="7">
        <v>4740</v>
      </c>
      <c r="E5615" s="7" t="s">
        <v>60</v>
      </c>
      <c r="F5615" s="8" t="str">
        <f ca="1">IFERROR(__xludf.DUMMYFUNCTION("IF
(
C5616=""фізична особа""
,
VLOOKUP(D5616,IMPORTRANGE(""https://docs.google.com/spreadsheets/d/14Bd19lYaqBhU8_DElYkX7l4wRkHqqCUFNJY4AfY3kHU/edit?usp=sharing  #gid=0"",""фіз особи new!relations_name""),6,FALSE)
,
(IF
(
C5616=""юридична особа""
,
VLOOKUP"&amp;"(D5616,IMPORTRANGE(""https://docs.google.com/spreadsheets/d/14Bd19lYaqBhU8_DElYkX7l4wRkHqqCUFNJY4AfY3kHU/edit?usp=sharing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5" s="7" t="s">
        <v>10</v>
      </c>
      <c r="H5615" s="7">
        <v>23537</v>
      </c>
      <c r="I5615" s="8" t="str">
        <f ca="1">IFERROR(__xludf.DUMMYFUNCTION("IF
(
G5616=""фізична особа""
,
VLOOKUP(H5616,IMPORTRANGE(""https://docs.google.com/spreadsheets/d/14Bd19lYaqBhU8_DElYkX7l4wRkHqqCUFNJY4AfY3kHU/edit?usp=sharing  #gid=0"",""фіз особи new!relations_name""),6,FALSE)
,
(IF
(
G5616=""юридична особа""
,
VLOOKUP"&amp;"(H5616,IMPORTRANGE(""https://docs.google.com/spreadsheets/d/14Bd19lYaqBhU8_DElYkX7l4wRkHqqCUFNJY4AfY3kHU/edit?usp=sharing  #gid=0"",""фіз особи new!relations_name_uo""),7,FALSE)
,
)
))"),"ДОБРИНЯ Людмила Григорівна")</f>
        <v>ДОБРИНЯ Людмила Григорівна</v>
      </c>
      <c r="J5615" s="7" t="s">
        <v>79</v>
      </c>
    </row>
    <row r="5616" spans="1:10" ht="13.2">
      <c r="A5616" s="7">
        <v>5615</v>
      </c>
      <c r="B5616" s="7">
        <v>1</v>
      </c>
      <c r="C5616" s="7" t="s">
        <v>10</v>
      </c>
      <c r="D5616" s="7">
        <v>4740</v>
      </c>
      <c r="E5616" s="7" t="s">
        <v>15</v>
      </c>
      <c r="F5616" s="8" t="str">
        <f ca="1">IFERROR(__xludf.DUMMYFUNCTION("IF
(
C5617=""фізична особа""
,
VLOOKUP(D5617,IMPORTRANGE(""https://docs.google.com/spreadsheets/d/14Bd19lYaqBhU8_DElYkX7l4wRkHqqCUFNJY4AfY3kHU/edit?usp=sharing  #gid=0"",""фіз особи new!relations_name""),6,FALSE)
,
(IF
(
C5617=""юридична особа""
,
VLOOKUP"&amp;"(D5617,IMPORTRANGE(""https://docs.google.com/spreadsheets/d/14Bd19lYaqBhU8_DElYkX7l4wRkHqqCUFNJY4AfY3kHU/edit?usp=sharing  #gid=0"",""фіз особи new!relations_name_uo""),7,FALSE)
,
)
))"),"МАНУСОВА / АКСЕНОВА Крістіна Сергіївна")</f>
        <v>МАНУСОВА / АКСЕНОВА Крістіна Сергіївна</v>
      </c>
      <c r="G5616" s="7" t="s">
        <v>10</v>
      </c>
      <c r="H5616" s="7">
        <v>23538</v>
      </c>
      <c r="I5616" s="8" t="str">
        <f ca="1">IFERROR(__xludf.DUMMYFUNCTION("IF
(
G5617=""фізична особа""
,
VLOOKUP(H5617,IMPORTRANGE(""https://docs.google.com/spreadsheets/d/14Bd19lYaqBhU8_DElYkX7l4wRkHqqCUFNJY4AfY3kHU/edit?usp=sharing  #gid=0"",""фіз особи new!relations_name""),6,FALSE)
,
(IF
(
G5617=""юридична особа""
,
VLOOKUP"&amp;"(H5617,IMPORTRANGE(""https://docs.google.com/spreadsheets/d/14Bd19lYaqBhU8_DElYkX7l4wRkHqqCUFNJY4AfY3kHU/edit?usp=sharing  #gid=0"",""фіз особи new!relations_name_uo""),7,FALSE)
,
)
))"),"МАНУСОВ Данило Романович")</f>
        <v>МАНУСОВ Данило Романович</v>
      </c>
      <c r="J5616" s="7" t="s">
        <v>14</v>
      </c>
    </row>
    <row r="5617" spans="1:10" ht="13.2">
      <c r="A5617" s="7">
        <v>5616</v>
      </c>
      <c r="B5617" s="7">
        <v>1</v>
      </c>
      <c r="C5617" s="7" t="s">
        <v>10</v>
      </c>
      <c r="D5617" s="7">
        <v>4741</v>
      </c>
      <c r="E5617" s="7" t="s">
        <v>15</v>
      </c>
      <c r="F5617" s="8" t="str">
        <f ca="1">IFERROR(__xludf.DUMMYFUNCTION("IF
(
C5618=""фізична особа""
,
VLOOKUP(D5618,IMPORTRANGE(""https://docs.google.com/spreadsheets/d/14Bd19lYaqBhU8_DElYkX7l4wRkHqqCUFNJY4AfY3kHU/edit?usp=sharing  #gid=0"",""фіз особи new!relations_name""),6,FALSE)
,
(IF
(
C5618=""юридична особа""
,
VLOOKUP"&amp;"(D5618,IMPORTRANGE(""https://docs.google.com/spreadsheets/d/14Bd19lYaqBhU8_DElYkX7l4wRkHqqCUFNJY4AfY3kHU/edit?usp=sharing  #gid=0"",""фіз особи new!relations_name_uo""),7,FALSE)
,
)
))"),"ЗЕНАІШВІЛІ Маріне Абесаломовна")</f>
        <v>ЗЕНАІШВІЛІ Маріне Абесаломовна</v>
      </c>
      <c r="G5617" s="7" t="s">
        <v>10</v>
      </c>
      <c r="H5617" s="7">
        <v>582</v>
      </c>
      <c r="I5617" s="8" t="str">
        <f ca="1">IFERROR(__xludf.DUMMYFUNCTION("IF
(
G5618=""фізична особа""
,
VLOOKUP(H5618,IMPORTRANGE(""https://docs.google.com/spreadsheets/d/14Bd19lYaqBhU8_DElYkX7l4wRkHqqCUFNJY4AfY3kHU/edit?usp=sharing  #gid=0"",""фіз особи new!relations_name""),6,FALSE)
,
(IF
(
G5618=""юридична особа""
,
VLOOKUP"&amp;"(H5618,IMPORTRANGE(""https://docs.google.com/spreadsheets/d/14Bd19lYaqBhU8_DElYkX7l4wRkHqqCUFNJY4AfY3kHU/edit?usp=sharing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J5617" s="7" t="s">
        <v>14</v>
      </c>
    </row>
    <row r="5618" spans="1:10" ht="13.2">
      <c r="A5618" s="7">
        <v>5617</v>
      </c>
      <c r="B5618" s="7">
        <v>1</v>
      </c>
      <c r="C5618" s="7" t="s">
        <v>10</v>
      </c>
      <c r="D5618" s="7">
        <v>4741</v>
      </c>
      <c r="E5618" s="7" t="s">
        <v>21</v>
      </c>
      <c r="F5618" s="8" t="str">
        <f ca="1">IFERROR(__xludf.DUMMYFUNCTION("IF
(
C5619=""фізична особа""
,
VLOOKUP(D5619,IMPORTRANGE(""https://docs.google.com/spreadsheets/d/14Bd19lYaqBhU8_DElYkX7l4wRkHqqCUFNJY4AfY3kHU/edit?usp=sharing  #gid=0"",""фіз особи new!relations_name""),6,FALSE)
,
(IF
(
C5619=""юридична особа""
,
VLOOKUP"&amp;"(D5619,IMPORTRANGE(""https://docs.google.com/spreadsheets/d/14Bd19lYaqBhU8_DElYkX7l4wRkHqqCUFNJY4AfY3kHU/edit?usp=sharing  #gid=0"",""фіз особи new!relations_name_uo""),7,FALSE)
,
)
))"),"ЗЕНАІШВІЛІ Маріне Абесаломовна")</f>
        <v>ЗЕНАІШВІЛІ Маріне Абесаломовна</v>
      </c>
      <c r="G5618" s="7" t="s">
        <v>10</v>
      </c>
      <c r="H5618" s="7">
        <v>4743</v>
      </c>
      <c r="I5618" s="8" t="str">
        <f ca="1">IFERROR(__xludf.DUMMYFUNCTION("IF
(
G5619=""фізична особа""
,
VLOOKUP(H5619,IMPORTRANGE(""https://docs.google.com/spreadsheets/d/14Bd19lYaqBhU8_DElYkX7l4wRkHqqCUFNJY4AfY3kHU/edit?usp=sharing  #gid=0"",""фіз особи new!relations_name""),6,FALSE)
,
(IF
(
G5619=""юридична особа""
,
VLOOKUP"&amp;"(H5619,IMPORTRANGE(""https://docs.google.com/spreadsheets/d/14Bd19lYaqBhU8_DElYkX7l4wRkHqqCUFNJY4AfY3kHU/edit?usp=sharing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J5618" s="7" t="s">
        <v>17</v>
      </c>
    </row>
    <row r="5619" spans="1:10" ht="13.2">
      <c r="A5619" s="7">
        <v>5618</v>
      </c>
      <c r="B5619" s="7">
        <v>1</v>
      </c>
      <c r="C5619" s="7" t="s">
        <v>10</v>
      </c>
      <c r="D5619" s="7">
        <v>4741</v>
      </c>
      <c r="E5619" s="7" t="s">
        <v>21</v>
      </c>
      <c r="F5619" s="8" t="str">
        <f ca="1">IFERROR(__xludf.DUMMYFUNCTION("IF
(
C5620=""фізична особа""
,
VLOOKUP(D5620,IMPORTRANGE(""https://docs.google.com/spreadsheets/d/14Bd19lYaqBhU8_DElYkX7l4wRkHqqCUFNJY4AfY3kHU/edit?usp=sharing  #gid=0"",""фіз особи new!relations_name""),6,FALSE)
,
(IF
(
C5620=""юридична особа""
,
VLOOKUP"&amp;"(D5620,IMPORTRANGE(""https://docs.google.com/spreadsheets/d/14Bd19lYaqBhU8_DElYkX7l4wRkHqqCUFNJY4AfY3kHU/edit?usp=sharing  #gid=0"",""фіз особи new!relations_name_uo""),7,FALSE)
,
)
))"),"ЗЕНАІШВІЛІ Маріне Абесаломовна")</f>
        <v>ЗЕНАІШВІЛІ Маріне Абесаломовна</v>
      </c>
      <c r="G5619" s="7" t="s">
        <v>10</v>
      </c>
      <c r="H5619" s="7">
        <v>4742</v>
      </c>
      <c r="I5619" s="8" t="str">
        <f ca="1">IFERROR(__xludf.DUMMYFUNCTION("IF
(
G5620=""фізична особа""
,
VLOOKUP(H5620,IMPORTRANGE(""https://docs.google.com/spreadsheets/d/14Bd19lYaqBhU8_DElYkX7l4wRkHqqCUFNJY4AfY3kHU/edit?usp=sharing  #gid=0"",""фіз особи new!relations_name""),6,FALSE)
,
(IF
(
G5620=""юридична особа""
,
VLOOKUP"&amp;"(H5620,IMPORTRANGE(""https://docs.google.com/spreadsheets/d/14Bd19lYaqBhU8_DElYkX7l4wRkHqqCUFNJY4AfY3kHU/edit?usp=sharing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J5619" s="7" t="s">
        <v>13</v>
      </c>
    </row>
    <row r="5620" spans="1:10" ht="13.2">
      <c r="A5620" s="7">
        <v>5619</v>
      </c>
      <c r="B5620" s="7">
        <v>1</v>
      </c>
      <c r="C5620" s="7" t="s">
        <v>10</v>
      </c>
      <c r="D5620" s="7">
        <v>4751</v>
      </c>
      <c r="E5620" s="7" t="s">
        <v>25</v>
      </c>
      <c r="F5620" s="8" t="str">
        <f ca="1">IFERROR(__xludf.DUMMYFUNCTION("IF
(
C5621=""фізична особа""
,
VLOOKUP(D5621,IMPORTRANGE(""https://docs.google.com/spreadsheets/d/14Bd19lYaqBhU8_DElYkX7l4wRkHqqCUFNJY4AfY3kHU/edit?usp=sharing  #gid=0"",""фіз особи new!relations_name""),6,FALSE)
,
(IF
(
C5621=""юридична особа""
,
VLOOKUP"&amp;"(D5621,IMPORTRANGE(""https://docs.google.com/spreadsheets/d/14Bd19lYaqBhU8_DElYkX7l4wRkHqqCUFNJY4AfY3kHU/edit?usp=sharing  #gid=0"",""фіз особи new!relations_name_uo""),7,FALSE)
,
)
))"),"ЦИВІЛЄВА Ганна Євгенівна")</f>
        <v>ЦИВІЛЄВА Ганна Євгенівна</v>
      </c>
      <c r="G5620" s="7" t="s">
        <v>10</v>
      </c>
      <c r="H5620" s="7">
        <v>23425</v>
      </c>
      <c r="I5620" s="8" t="str">
        <f ca="1">IFERROR(__xludf.DUMMYFUNCTION("IF
(
G5621=""фізична особа""
,
VLOOKUP(H5621,IMPORTRANGE(""https://docs.google.com/spreadsheets/d/14Bd19lYaqBhU8_DElYkX7l4wRkHqqCUFNJY4AfY3kHU/edit?usp=sharing  #gid=0"",""фіз особи new!relations_name""),6,FALSE)
,
(IF
(
G5621=""юридична особа""
,
VLOOKUP"&amp;"(H5621,IMPORTRANGE(""https://docs.google.com/spreadsheets/d/14Bd19lYaqBhU8_DElYkX7l4wRkHqqCUFNJY4AfY3kHU/edit?usp=sharing  #gid=0"",""фіз особи new!relations_name_uo""),7,FALSE)
,
)
))"),"АРШБА Олександр Іонович")</f>
        <v>АРШБА Олександр Іонович</v>
      </c>
      <c r="J5620" s="7" t="s">
        <v>73</v>
      </c>
    </row>
    <row r="5621" spans="1:10" ht="13.2">
      <c r="A5621" s="7">
        <v>5620</v>
      </c>
      <c r="B5621" s="7">
        <v>1</v>
      </c>
      <c r="C5621" s="7" t="s">
        <v>10</v>
      </c>
      <c r="D5621" s="7">
        <v>4742</v>
      </c>
      <c r="E5621" s="7" t="s">
        <v>13</v>
      </c>
      <c r="F5621" s="8" t="str">
        <f ca="1">IFERROR(__xludf.DUMMYFUNCTION("IF
(
C5622=""фізична особа""
,
VLOOKUP(D5622,IMPORTRANGE(""https://docs.google.com/spreadsheets/d/14Bd19lYaqBhU8_DElYkX7l4wRkHqqCUFNJY4AfY3kHU/edit?usp=sharing  #gid=0"",""фіз особи new!relations_name""),6,FALSE)
,
(IF
(
C5622=""юридична особа""
,
VLOOKUP"&amp;"(D5622,IMPORTRANGE(""https://docs.google.com/spreadsheets/d/14Bd19lYaqBhU8_DElYkX7l4wRkHqqCUFNJY4AfY3kHU/edit?usp=sharing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G5621" s="7" t="s">
        <v>10</v>
      </c>
      <c r="H5621" s="7">
        <v>582</v>
      </c>
      <c r="I5621" s="8" t="str">
        <f ca="1">IFERROR(__xludf.DUMMYFUNCTION("IF
(
G5622=""фізична особа""
,
VLOOKUP(H5622,IMPORTRANGE(""https://docs.google.com/spreadsheets/d/14Bd19lYaqBhU8_DElYkX7l4wRkHqqCUFNJY4AfY3kHU/edit?usp=sharing  #gid=0"",""фіз особи new!relations_name""),6,FALSE)
,
(IF
(
G5622=""юридична особа""
,
VLOOKUP"&amp;"(H5622,IMPORTRANGE(""https://docs.google.com/spreadsheets/d/14Bd19lYaqBhU8_DElYkX7l4wRkHqqCUFNJY4AfY3kHU/edit?usp=sharing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J5621" s="7" t="s">
        <v>12</v>
      </c>
    </row>
    <row r="5622" spans="1:10" ht="13.2">
      <c r="A5622" s="7">
        <v>5621</v>
      </c>
      <c r="B5622" s="7">
        <v>1</v>
      </c>
      <c r="C5622" s="7" t="s">
        <v>10</v>
      </c>
      <c r="D5622" s="7">
        <v>4742</v>
      </c>
      <c r="E5622" s="7" t="s">
        <v>31</v>
      </c>
      <c r="F5622" s="8" t="str">
        <f ca="1">IFERROR(__xludf.DUMMYFUNCTION("IF
(
C5623=""фізична особа""
,
VLOOKUP(D5623,IMPORTRANGE(""https://docs.google.com/spreadsheets/d/14Bd19lYaqBhU8_DElYkX7l4wRkHqqCUFNJY4AfY3kHU/edit?usp=sharing  #gid=0"",""фіз особи new!relations_name""),6,FALSE)
,
(IF
(
C5623=""юридична особа""
,
VLOOKUP"&amp;"(D5623,IMPORTRANGE(""https://docs.google.com/spreadsheets/d/14Bd19lYaqBhU8_DElYkX7l4wRkHqqCUFNJY4AfY3kHU/edit?usp=sharing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G5622" s="7" t="s">
        <v>10</v>
      </c>
      <c r="H5622" s="7">
        <v>4743</v>
      </c>
      <c r="I5622" s="8" t="str">
        <f ca="1">IFERROR(__xludf.DUMMYFUNCTION("IF
(
G5623=""фізична особа""
,
VLOOKUP(H5623,IMPORTRANGE(""https://docs.google.com/spreadsheets/d/14Bd19lYaqBhU8_DElYkX7l4wRkHqqCUFNJY4AfY3kHU/edit?usp=sharing  #gid=0"",""фіз особи new!relations_name""),6,FALSE)
,
(IF
(
G5623=""юридична особа""
,
VLOOKUP"&amp;"(H5623,IMPORTRANGE(""https://docs.google.com/spreadsheets/d/14Bd19lYaqBhU8_DElYkX7l4wRkHqqCUFNJY4AfY3kHU/edit?usp=sharing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J5622" s="7" t="s">
        <v>18</v>
      </c>
    </row>
    <row r="5623" spans="1:10" ht="13.2">
      <c r="A5623" s="7">
        <v>5622</v>
      </c>
      <c r="B5623" s="7">
        <v>1</v>
      </c>
      <c r="C5623" s="7" t="s">
        <v>10</v>
      </c>
      <c r="D5623" s="7">
        <v>4742</v>
      </c>
      <c r="E5623" s="7" t="s">
        <v>13</v>
      </c>
      <c r="F5623" s="8" t="str">
        <f ca="1">IFERROR(__xludf.DUMMYFUNCTION("IF
(
C5624=""фізична особа""
,
VLOOKUP(D5624,IMPORTRANGE(""https://docs.google.com/spreadsheets/d/14Bd19lYaqBhU8_DElYkX7l4wRkHqqCUFNJY4AfY3kHU/edit?usp=sharing  #gid=0"",""фіз особи new!relations_name""),6,FALSE)
,
(IF
(
C5624=""юридична особа""
,
VLOOKUP"&amp;"(D5624,IMPORTRANGE(""https://docs.google.com/spreadsheets/d/14Bd19lYaqBhU8_DElYkX7l4wRkHqqCUFNJY4AfY3kHU/edit?usp=sharing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G5623" s="7" t="s">
        <v>10</v>
      </c>
      <c r="H5623" s="7">
        <v>4741</v>
      </c>
      <c r="I5623" s="8" t="str">
        <f ca="1">IFERROR(__xludf.DUMMYFUNCTION("IF
(
G5624=""фізична особа""
,
VLOOKUP(H5624,IMPORTRANGE(""https://docs.google.com/spreadsheets/d/14Bd19lYaqBhU8_DElYkX7l4wRkHqqCUFNJY4AfY3kHU/edit?usp=sharing  #gid=0"",""фіз особи new!relations_name""),6,FALSE)
,
(IF
(
G5624=""юридична особа""
,
VLOOKUP"&amp;"(H5624,IMPORTRANGE(""https://docs.google.com/spreadsheets/d/14Bd19lYaqBhU8_DElYkX7l4wRkHqqCUFNJY4AfY3kHU/edit?usp=sharing  #gid=0"",""фіз особи new!relations_name_uo""),7,FALSE)
,
)
))"),"ЗЕНАІШВІЛІ Маріне Абесаломовна")</f>
        <v>ЗЕНАІШВІЛІ Маріне Абесаломовна</v>
      </c>
      <c r="J5623" s="7" t="s">
        <v>21</v>
      </c>
    </row>
    <row r="5624" spans="1:10" ht="13.2">
      <c r="A5624" s="7">
        <v>5623</v>
      </c>
      <c r="B5624" s="7">
        <v>1</v>
      </c>
      <c r="C5624" s="7" t="s">
        <v>10</v>
      </c>
      <c r="D5624" s="7">
        <v>4742</v>
      </c>
      <c r="E5624" s="7" t="s">
        <v>22</v>
      </c>
      <c r="F5624" s="8" t="str">
        <f ca="1">IFERROR(__xludf.DUMMYFUNCTION("IF
(
C5625=""фізична особа""
,
VLOOKUP(D5625,IMPORTRANGE(""https://docs.google.com/spreadsheets/d/14Bd19lYaqBhU8_DElYkX7l4wRkHqqCUFNJY4AfY3kHU/edit?usp=sharing  #gid=0"",""фіз особи new!relations_name""),6,FALSE)
,
(IF
(
C5625=""юридична особа""
,
VLOOKUP"&amp;"(D5625,IMPORTRANGE(""https://docs.google.com/spreadsheets/d/14Bd19lYaqBhU8_DElYkX7l4wRkHqqCUFNJY4AfY3kHU/edit?usp=sharing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G5624" s="7" t="s">
        <v>10</v>
      </c>
      <c r="H5624" s="7">
        <v>23425</v>
      </c>
      <c r="I5624" s="8" t="str">
        <f ca="1">IFERROR(__xludf.DUMMYFUNCTION("IF
(
G5625=""фізична особа""
,
VLOOKUP(H5625,IMPORTRANGE(""https://docs.google.com/spreadsheets/d/14Bd19lYaqBhU8_DElYkX7l4wRkHqqCUFNJY4AfY3kHU/edit?usp=sharing  #gid=0"",""фіз особи new!relations_name""),6,FALSE)
,
(IF
(
G5625=""юридична особа""
,
VLOOKUP"&amp;"(H5625,IMPORTRANGE(""https://docs.google.com/spreadsheets/d/14Bd19lYaqBhU8_DElYkX7l4wRkHqqCUFNJY4AfY3kHU/edit?usp=sharing  #gid=0"",""фіз особи new!relations_name_uo""),7,FALSE)
,
)
))"),"АРШБА Олександр Іонович")</f>
        <v>АРШБА Олександр Іонович</v>
      </c>
      <c r="J5624" s="7" t="s">
        <v>19</v>
      </c>
    </row>
    <row r="5625" spans="1:10" ht="13.2">
      <c r="A5625" s="7">
        <v>5624</v>
      </c>
      <c r="B5625" s="7">
        <v>1</v>
      </c>
      <c r="C5625" s="7" t="s">
        <v>10</v>
      </c>
      <c r="D5625" s="7">
        <v>4743</v>
      </c>
      <c r="E5625" s="7" t="s">
        <v>17</v>
      </c>
      <c r="F5625" s="8" t="str">
        <f ca="1">IFERROR(__xludf.DUMMYFUNCTION("IF
(
C5626=""фізична особа""
,
VLOOKUP(D5626,IMPORTRANGE(""https://docs.google.com/spreadsheets/d/14Bd19lYaqBhU8_DElYkX7l4wRkHqqCUFNJY4AfY3kHU/edit?usp=sharing  #gid=0"",""фіз особи new!relations_name""),6,FALSE)
,
(IF
(
C5626=""юридична особа""
,
VLOOKUP"&amp;"(D5626,IMPORTRANGE(""https://docs.google.com/spreadsheets/d/14Bd19lYaqBhU8_DElYkX7l4wRkHqqCUFNJY4AfY3kHU/edit?usp=sharing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G5625" s="7" t="s">
        <v>10</v>
      </c>
      <c r="H5625" s="7">
        <v>582</v>
      </c>
      <c r="I5625" s="8" t="str">
        <f ca="1">IFERROR(__xludf.DUMMYFUNCTION("IF
(
G5626=""фізична особа""
,
VLOOKUP(H5626,IMPORTRANGE(""https://docs.google.com/spreadsheets/d/14Bd19lYaqBhU8_DElYkX7l4wRkHqqCUFNJY4AfY3kHU/edit?usp=sharing  #gid=0"",""фіз особи new!relations_name""),6,FALSE)
,
(IF
(
G5626=""юридична особа""
,
VLOOKUP"&amp;"(H5626,IMPORTRANGE(""https://docs.google.com/spreadsheets/d/14Bd19lYaqBhU8_DElYkX7l4wRkHqqCUFNJY4AfY3kHU/edit?usp=sharing  #gid=0"",""фіз особи new!relations_name_uo""),7,FALSE)
,
)
))"),"АРШБА Отарі Йонович")</f>
        <v>АРШБА Отарі Йонович</v>
      </c>
      <c r="J5625" s="7" t="s">
        <v>12</v>
      </c>
    </row>
    <row r="5626" spans="1:10" ht="13.2">
      <c r="A5626" s="7">
        <v>5625</v>
      </c>
      <c r="B5626" s="7">
        <v>1</v>
      </c>
      <c r="C5626" s="7" t="s">
        <v>10</v>
      </c>
      <c r="D5626" s="7">
        <v>4743</v>
      </c>
      <c r="E5626" s="7" t="s">
        <v>18</v>
      </c>
      <c r="F5626" s="8" t="str">
        <f ca="1">IFERROR(__xludf.DUMMYFUNCTION("IF
(
C5627=""фізична особа""
,
VLOOKUP(D5627,IMPORTRANGE(""https://docs.google.com/spreadsheets/d/14Bd19lYaqBhU8_DElYkX7l4wRkHqqCUFNJY4AfY3kHU/edit?usp=sharing  #gid=0"",""фіз особи new!relations_name""),6,FALSE)
,
(IF
(
C5627=""юридична особа""
,
VLOOKUP"&amp;"(D5627,IMPORTRANGE(""https://docs.google.com/spreadsheets/d/14Bd19lYaqBhU8_DElYkX7l4wRkHqqCUFNJY4AfY3kHU/edit?usp=sharing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G5626" s="7" t="s">
        <v>10</v>
      </c>
      <c r="H5626" s="7">
        <v>4742</v>
      </c>
      <c r="I5626" s="8" t="str">
        <f ca="1">IFERROR(__xludf.DUMMYFUNCTION("IF
(
G5627=""фізична особа""
,
VLOOKUP(H5627,IMPORTRANGE(""https://docs.google.com/spreadsheets/d/14Bd19lYaqBhU8_DElYkX7l4wRkHqqCUFNJY4AfY3kHU/edit?usp=sharing  #gid=0"",""фіз особи new!relations_name""),6,FALSE)
,
(IF
(
G5627=""юридична особа""
,
VLOOKUP"&amp;"(H5627,IMPORTRANGE(""https://docs.google.com/spreadsheets/d/14Bd19lYaqBhU8_DElYkX7l4wRkHqqCUFNJY4AfY3kHU/edit?usp=sharing  #gid=0"",""фіз особи new!relations_name_uo""),7,FALSE)
,
)
))"),"АРШБА Інга Отарієвна")</f>
        <v>АРШБА Інга Отарієвна</v>
      </c>
      <c r="J5626" s="7" t="s">
        <v>31</v>
      </c>
    </row>
    <row r="5627" spans="1:10" ht="13.2">
      <c r="A5627" s="7">
        <v>5626</v>
      </c>
      <c r="B5627" s="7">
        <v>1</v>
      </c>
      <c r="C5627" s="7" t="s">
        <v>10</v>
      </c>
      <c r="D5627" s="7">
        <v>4743</v>
      </c>
      <c r="E5627" s="7" t="s">
        <v>17</v>
      </c>
      <c r="F5627" s="8" t="str">
        <f ca="1">IFERROR(__xludf.DUMMYFUNCTION("IF
(
C5628=""фізична особа""
,
VLOOKUP(D5628,IMPORTRANGE(""https://docs.google.com/spreadsheets/d/14Bd19lYaqBhU8_DElYkX7l4wRkHqqCUFNJY4AfY3kHU/edit?usp=sharing  #gid=0"",""фіз особи new!relations_name""),6,FALSE)
,
(IF
(
C5628=""юридична особа""
,
VLOOKUP"&amp;"(D5628,IMPORTRANGE(""https://docs.google.com/spreadsheets/d/14Bd19lYaqBhU8_DElYkX7l4wRkHqqCUFNJY4AfY3kHU/edit?usp=sharing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G5627" s="7" t="s">
        <v>10</v>
      </c>
      <c r="H5627" s="7">
        <v>4741</v>
      </c>
      <c r="I5627" s="8" t="str">
        <f ca="1">IFERROR(__xludf.DUMMYFUNCTION("IF
(
G5628=""фізична особа""
,
VLOOKUP(H5628,IMPORTRANGE(""https://docs.google.com/spreadsheets/d/14Bd19lYaqBhU8_DElYkX7l4wRkHqqCUFNJY4AfY3kHU/edit?usp=sharing  #gid=0"",""фіз особи new!relations_name""),6,FALSE)
,
(IF
(
G5628=""юридична особа""
,
VLOOKUP"&amp;"(H5628,IMPORTRANGE(""https://docs.google.com/spreadsheets/d/14Bd19lYaqBhU8_DElYkX7l4wRkHqqCUFNJY4AfY3kHU/edit?usp=sharing  #gid=0"",""фіз особи new!relations_name_uo""),7,FALSE)
,
)
))"),"ЗЕНАІШВІЛІ Маріне Абесаломовна")</f>
        <v>ЗЕНАІШВІЛІ Маріне Абесаломовна</v>
      </c>
      <c r="J5627" s="7" t="s">
        <v>21</v>
      </c>
    </row>
    <row r="5628" spans="1:10" ht="13.2">
      <c r="A5628" s="7">
        <v>5627</v>
      </c>
      <c r="B5628" s="7">
        <v>1</v>
      </c>
      <c r="C5628" s="7" t="s">
        <v>10</v>
      </c>
      <c r="D5628" s="7">
        <v>4743</v>
      </c>
      <c r="E5628" s="7" t="s">
        <v>20</v>
      </c>
      <c r="F5628" s="8" t="str">
        <f ca="1">IFERROR(__xludf.DUMMYFUNCTION("IF
(
C5629=""фізична особа""
,
VLOOKUP(D5629,IMPORTRANGE(""https://docs.google.com/spreadsheets/d/14Bd19lYaqBhU8_DElYkX7l4wRkHqqCUFNJY4AfY3kHU/edit?usp=sharing  #gid=0"",""фіз особи new!relations_name""),6,FALSE)
,
(IF
(
C5629=""юридична особа""
,
VLOOKUP"&amp;"(D5629,IMPORTRANGE(""https://docs.google.com/spreadsheets/d/14Bd19lYaqBhU8_DElYkX7l4wRkHqqCUFNJY4AfY3kHU/edit?usp=sharing  #gid=0"",""фіз особи new!relations_name_uo""),7,FALSE)
,
)
))"),"АРШБА Іраклій Отарієвич")</f>
        <v>АРШБА Іраклій Отарієвич</v>
      </c>
      <c r="G5628" s="7" t="s">
        <v>10</v>
      </c>
      <c r="H5628" s="7">
        <v>23425</v>
      </c>
      <c r="I5628" s="8" t="str">
        <f ca="1">IFERROR(__xludf.DUMMYFUNCTION("IF
(
G5629=""фізична особа""
,
VLOOKUP(H5629,IMPORTRANGE(""https://docs.google.com/spreadsheets/d/14Bd19lYaqBhU8_DElYkX7l4wRkHqqCUFNJY4AfY3kHU/edit?usp=sharing  #gid=0"",""фіз особи new!relations_name""),6,FALSE)
,
(IF
(
G5629=""юридична особа""
,
VLOOKUP"&amp;"(H5629,IMPORTRANGE(""https://docs.google.com/spreadsheets/d/14Bd19lYaqBhU8_DElYkX7l4wRkHqqCUFNJY4AfY3kHU/edit?usp=sharing  #gid=0"",""фіз особи new!relations_name_uo""),7,FALSE)
,
)
))"),"АРШБА Олександр Іонович")</f>
        <v>АРШБА Олександр Іонович</v>
      </c>
      <c r="J5628" s="7" t="s">
        <v>19</v>
      </c>
    </row>
    <row r="5629" spans="1:10" ht="13.2">
      <c r="A5629" s="7">
        <v>5628</v>
      </c>
      <c r="B5629" s="7">
        <v>1</v>
      </c>
      <c r="C5629" s="7" t="s">
        <v>10</v>
      </c>
      <c r="D5629" s="7">
        <v>4744</v>
      </c>
      <c r="E5629" s="7" t="s">
        <v>15</v>
      </c>
      <c r="F5629" s="8" t="str">
        <f ca="1">IFERROR(__xludf.DUMMYFUNCTION("IF
(
C5630=""фізична особа""
,
VLOOKUP(D5630,IMPORTRANGE(""https://docs.google.com/spreadsheets/d/14Bd19lYaqBhU8_DElYkX7l4wRkHqqCUFNJY4AfY3kHU/edit?usp=sharing  #gid=0"",""фіз особи new!relations_name""),6,FALSE)
,
(IF
(
C5630=""юридична особа""
,
VLOOKUP"&amp;"(D5630,IMPORTRANGE(""https://docs.google.com/spreadsheets/d/14Bd19lYaqBhU8_DElYkX7l4wRkHqqCUFNJY4AfY3kHU/edit?usp=sharing  #gid=0"",""фіз особи new!relations_name_uo""),7,FALSE)
,
)
))"),"БАБУШКІНА Марина Олександрівна")</f>
        <v>БАБУШКІНА Марина Олександрівна</v>
      </c>
      <c r="G5629" s="7" t="s">
        <v>10</v>
      </c>
      <c r="H5629" s="7">
        <v>2527</v>
      </c>
      <c r="I5629" s="8" t="str">
        <f ca="1">IFERROR(__xludf.DUMMYFUNCTION("IF
(
G5630=""фізична особа""
,
VLOOKUP(H5630,IMPORTRANGE(""https://docs.google.com/spreadsheets/d/14Bd19lYaqBhU8_DElYkX7l4wRkHqqCUFNJY4AfY3kHU/edit?usp=sharing  #gid=0"",""фіз особи new!relations_name""),6,FALSE)
,
(IF
(
G5630=""юридична особа""
,
VLOOKUP"&amp;"(H5630,IMPORTRANGE(""https://docs.google.com/spreadsheets/d/14Bd19lYaqBhU8_DElYkX7l4wRkHqqCUFNJY4AfY3kHU/edit?usp=sharing  #gid=0"",""фіз особи new!relations_name_uo""),7,FALSE)
,
)
))"),"БАБУШКІН Ігор Юрійович")</f>
        <v>БАБУШКІН Ігор Юрійович</v>
      </c>
      <c r="J5629" s="7" t="s">
        <v>14</v>
      </c>
    </row>
    <row r="5630" spans="1:10" ht="13.2">
      <c r="A5630" s="7">
        <v>5629</v>
      </c>
      <c r="B5630" s="7">
        <v>1</v>
      </c>
      <c r="C5630" s="7" t="s">
        <v>10</v>
      </c>
      <c r="D5630" s="7">
        <v>4744</v>
      </c>
      <c r="E5630" s="7" t="s">
        <v>21</v>
      </c>
      <c r="F5630" s="8" t="str">
        <f ca="1">IFERROR(__xludf.DUMMYFUNCTION("IF
(
C5631=""фізична особа""
,
VLOOKUP(D5631,IMPORTRANGE(""https://docs.google.com/spreadsheets/d/14Bd19lYaqBhU8_DElYkX7l4wRkHqqCUFNJY4AfY3kHU/edit?usp=sharing  #gid=0"",""фіз особи new!relations_name""),6,FALSE)
,
(IF
(
C5631=""юридична особа""
,
VLOOKUP"&amp;"(D5631,IMPORTRANGE(""https://docs.google.com/spreadsheets/d/14Bd19lYaqBhU8_DElYkX7l4wRkHqqCUFNJY4AfY3kHU/edit?usp=sharing  #gid=0"",""фіз особи new!relations_name_uo""),7,FALSE)
,
)
))"),"БАБУШКІНА Марина Олександрівна")</f>
        <v>БАБУШКІНА Марина Олександрівна</v>
      </c>
      <c r="G5630" s="7" t="s">
        <v>10</v>
      </c>
      <c r="H5630" s="7">
        <v>23496</v>
      </c>
      <c r="I5630" s="8" t="str">
        <f ca="1">IFERROR(__xludf.DUMMYFUNCTION("IF
(
G5631=""фізична особа""
,
VLOOKUP(H5631,IMPORTRANGE(""https://docs.google.com/spreadsheets/d/14Bd19lYaqBhU8_DElYkX7l4wRkHqqCUFNJY4AfY3kHU/edit?usp=sharing  #gid=0"",""фіз особи new!relations_name""),6,FALSE)
,
(IF
(
G5631=""юридична особа""
,
VLOOKUP"&amp;"(H5631,IMPORTRANGE(""https://docs.google.com/spreadsheets/d/14Bd19lYaqBhU8_DElYkX7l4wRkHqqCUFNJY4AfY3kHU/edit?usp=sharing  #gid=0"",""фіз особи new!relations_name_uo""),7,FALSE)
,
)
))"),"БАБУШКІНА Софія Ігорівна")</f>
        <v>БАБУШКІНА Софія Ігорівна</v>
      </c>
      <c r="J5630" s="7" t="s">
        <v>13</v>
      </c>
    </row>
    <row r="5631" spans="1:10" ht="13.2">
      <c r="A5631" s="7">
        <v>5630</v>
      </c>
      <c r="B5631" s="7">
        <v>1</v>
      </c>
      <c r="C5631" s="7" t="s">
        <v>10</v>
      </c>
      <c r="D5631" s="7">
        <v>4745</v>
      </c>
      <c r="E5631" s="7" t="s">
        <v>14</v>
      </c>
      <c r="F5631" s="8" t="str">
        <f ca="1">IFERROR(__xludf.DUMMYFUNCTION("IF
(
C5632=""фізична особа""
,
VLOOKUP(D5632,IMPORTRANGE(""https://docs.google.com/spreadsheets/d/14Bd19lYaqBhU8_DElYkX7l4wRkHqqCUFNJY4AfY3kHU/edit?usp=sharing  #gid=0"",""фіз особи new!relations_name""),6,FALSE)
,
(IF
(
C5632=""юридична особа""
,
VLOOKUP"&amp;"(D5632,IMPORTRANGE(""https://docs.google.com/spreadsheets/d/14Bd19lYaqBhU8_DElYkX7l4wRkHqqCUFNJY4AfY3kHU/edit?usp=sharing  #gid=0"",""фіз особи new!relations_name_uo""),7,FALSE)
,
)
))"),"БАТАЛІН Дмитро")</f>
        <v>БАТАЛІН Дмитро</v>
      </c>
      <c r="G5631" s="7" t="s">
        <v>10</v>
      </c>
      <c r="H5631" s="7">
        <v>2383</v>
      </c>
      <c r="I5631" s="8" t="str">
        <f ca="1">IFERROR(__xludf.DUMMYFUNCTION("IF
(
G5632=""фізична особа""
,
VLOOKUP(H5632,IMPORTRANGE(""https://docs.google.com/spreadsheets/d/14Bd19lYaqBhU8_DElYkX7l4wRkHqqCUFNJY4AfY3kHU/edit?usp=sharing  #gid=0"",""фіз особи new!relations_name""),6,FALSE)
,
(IF
(
G5632=""юридична особа""
,
VLOOKUP"&amp;"(H5632,IMPORTRANGE(""https://docs.google.com/spreadsheets/d/14Bd19lYaqBhU8_DElYkX7l4wRkHqqCUFNJY4AfY3kHU/edit?usp=sharing  #gid=0"",""фіз особи new!relations_name_uo""),7,FALSE)
,
)
))"),"БАТАЛІНА Ольга Юріївна")</f>
        <v>БАТАЛІНА Ольга Юріївна</v>
      </c>
      <c r="J5631" s="7" t="s">
        <v>15</v>
      </c>
    </row>
    <row r="5632" spans="1:10" ht="13.2">
      <c r="A5632" s="7">
        <v>5631</v>
      </c>
      <c r="B5632" s="7">
        <v>1</v>
      </c>
      <c r="C5632" s="7" t="s">
        <v>10</v>
      </c>
      <c r="D5632" s="7">
        <v>4750</v>
      </c>
      <c r="E5632" s="7" t="s">
        <v>30</v>
      </c>
      <c r="F5632" s="8" t="str">
        <f ca="1">IFERROR(__xludf.DUMMYFUNCTION("IF
(
C5633=""фізична особа""
,
VLOOKUP(D5633,IMPORTRANGE(""https://docs.google.com/spreadsheets/d/14Bd19lYaqBhU8_DElYkX7l4wRkHqqCUFNJY4AfY3kHU/edit?usp=sharing  #gid=0"",""фіз особи new!relations_name""),6,FALSE)
,
(IF
(
C5633=""юридична особа""
,
VLOOKUP"&amp;"(D5633,IMPORTRANGE(""https://docs.google.com/spreadsheets/d/14Bd19lYaqBhU8_DElYkX7l4wRkHqqCUFNJY4AfY3kHU/edit?usp=sharing  #gid=0"",""фіз особи new!relations_name_uo""),7,FALSE)
,
)
))"),"ХАЗІН Андрій Леонідович")</f>
        <v>ХАЗІН Андрій Леонідович</v>
      </c>
      <c r="G5632" s="7" t="s">
        <v>10</v>
      </c>
      <c r="H5632" s="7">
        <v>4975</v>
      </c>
      <c r="I5632" s="8" t="str">
        <f ca="1">IFERROR(__xludf.DUMMYFUNCTION("IF
(
G5633=""фізична особа""
,
VLOOKUP(H5633,IMPORTRANGE(""https://docs.google.com/spreadsheets/d/14Bd19lYaqBhU8_DElYkX7l4wRkHqqCUFNJY4AfY3kHU/edit?usp=sharing  #gid=0"",""фіз особи new!relations_name""),6,FALSE)
,
(IF
(
G5633=""юридична особа""
,
VLOOKUP"&amp;"(H5633,IMPORTRANGE(""https://docs.google.com/spreadsheets/d/14Bd19lYaqBhU8_DElYkX7l4wRkHqqCUFNJY4AfY3kHU/edit?usp=sharing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J5632" s="7" t="s">
        <v>30</v>
      </c>
    </row>
    <row r="5633" spans="1:10" ht="13.2">
      <c r="A5633" s="7">
        <v>5632</v>
      </c>
      <c r="B5633" s="7">
        <v>1</v>
      </c>
      <c r="C5633" s="7" t="s">
        <v>10</v>
      </c>
      <c r="D5633" s="7">
        <v>4750</v>
      </c>
      <c r="E5633" s="7" t="s">
        <v>30</v>
      </c>
      <c r="F5633" s="8" t="str">
        <f ca="1">IFERROR(__xludf.DUMMYFUNCTION("IF
(
C5634=""фізична особа""
,
VLOOKUP(D5634,IMPORTRANGE(""https://docs.google.com/spreadsheets/d/14Bd19lYaqBhU8_DElYkX7l4wRkHqqCUFNJY4AfY3kHU/edit?usp=sharing  #gid=0"",""фіз особи new!relations_name""),6,FALSE)
,
(IF
(
C5634=""юридична особа""
,
VLOOKUP"&amp;"(D5634,IMPORTRANGE(""https://docs.google.com/spreadsheets/d/14Bd19lYaqBhU8_DElYkX7l4wRkHqqCUFNJY4AfY3kHU/edit?usp=sharing  #gid=0"",""фіз особи new!relations_name_uo""),7,FALSE)
,
)
))"),"ХАЗІН Андрій Леонідович")</f>
        <v>ХАЗІН Андрій Леонідович</v>
      </c>
      <c r="G5633" s="7" t="s">
        <v>10</v>
      </c>
      <c r="H5633" s="7">
        <v>0</v>
      </c>
      <c r="I5633" s="8" t="str">
        <f ca="1">IFERROR(__xludf.DUMMYFUNCTION("IF
(
G5634=""фізична особа""
,
VLOOKUP(H5634,IMPORTRANGE(""https://docs.google.com/spreadsheets/d/14Bd19lYaqBhU8_DElYkX7l4wRkHqqCUFNJY4AfY3kHU/edit?usp=sharing  #gid=0"",""фіз особи new!relations_name""),6,FALSE)
,
(IF
(
G5634=""юридична особа""
,
VLOOKUP"&amp;"(H5634,IMPORTRANGE(""https://docs.google.com/spreadsheets/d/14Bd19lYaqBhU8_DElYkX7l4wRkHqqCUFNJY4AfY3kHU/edit?usp=sharing  #gid=0"",""фіз особи new!relations_name_uo""),7,FALSE)
,
)
))"),"#N/A")</f>
        <v>#N/A</v>
      </c>
      <c r="J5633" s="7" t="s">
        <v>30</v>
      </c>
    </row>
    <row r="5634" spans="1:10" ht="13.2">
      <c r="A5634" s="7">
        <v>5633</v>
      </c>
      <c r="B5634" s="7">
        <v>1</v>
      </c>
      <c r="C5634" s="7" t="s">
        <v>10</v>
      </c>
      <c r="D5634" s="7">
        <v>4751</v>
      </c>
      <c r="E5634" s="7" t="s">
        <v>15</v>
      </c>
      <c r="F5634" s="8" t="str">
        <f ca="1">IFERROR(__xludf.DUMMYFUNCTION("IF
(
C5635=""фізична особа""
,
VLOOKUP(D5635,IMPORTRANGE(""https://docs.google.com/spreadsheets/d/14Bd19lYaqBhU8_DElYkX7l4wRkHqqCUFNJY4AfY3kHU/edit?usp=sharing  #gid=0"",""фіз особи new!relations_name""),6,FALSE)
,
(IF
(
C5635=""юридична особа""
,
VLOOKUP"&amp;"(D5635,IMPORTRANGE(""https://docs.google.com/spreadsheets/d/14Bd19lYaqBhU8_DElYkX7l4wRkHqqCUFNJY4AfY3kHU/edit?usp=sharing  #gid=0"",""фіз особи new!relations_name_uo""),7,FALSE)
,
)
))"),"ЦИВІЛЄВА Ганна Євгенівна")</f>
        <v>ЦИВІЛЄВА Ганна Євгенівна</v>
      </c>
      <c r="G5634" s="7" t="s">
        <v>10</v>
      </c>
      <c r="H5634" s="7">
        <v>2081</v>
      </c>
      <c r="I5634" s="8" t="str">
        <f ca="1">IFERROR(__xludf.DUMMYFUNCTION("IF
(
G5635=""фізична особа""
,
VLOOKUP(H5635,IMPORTRANGE(""https://docs.google.com/spreadsheets/d/14Bd19lYaqBhU8_DElYkX7l4wRkHqqCUFNJY4AfY3kHU/edit?usp=sharing  #gid=0"",""фіз особи new!relations_name""),6,FALSE)
,
(IF
(
G5635=""юридична особа""
,
VLOOKUP"&amp;"(H5635,IMPORTRANGE(""https://docs.google.com/spreadsheets/d/14Bd19lYaqBhU8_DElYkX7l4wRkHqqCUFNJY4AfY3kHU/edit?usp=sharing  #gid=0"",""фіз особи new!relations_name_uo""),7,FALSE)
,
)
))"),"ЦИВІЛЬОВ Сергій Євгенович")</f>
        <v>ЦИВІЛЬОВ Сергій Євгенович</v>
      </c>
      <c r="J5634" s="7" t="s">
        <v>14</v>
      </c>
    </row>
    <row r="5635" spans="1:10" ht="13.2">
      <c r="A5635" s="7">
        <v>5634</v>
      </c>
      <c r="B5635" s="7">
        <v>1</v>
      </c>
      <c r="C5635" s="7" t="s">
        <v>10</v>
      </c>
      <c r="D5635" s="7">
        <v>4751</v>
      </c>
      <c r="E5635" s="7" t="s">
        <v>72</v>
      </c>
      <c r="F5635" s="8" t="str">
        <f ca="1">IFERROR(__xludf.DUMMYFUNCTION("IF
(
C5636=""фізична особа""
,
VLOOKUP(D5636,IMPORTRANGE(""https://docs.google.com/spreadsheets/d/14Bd19lYaqBhU8_DElYkX7l4wRkHqqCUFNJY4AfY3kHU/edit?usp=sharing  #gid=0"",""фіз особи new!relations_name""),6,FALSE)
,
(IF
(
C5636=""юридична особа""
,
VLOOKUP"&amp;"(D5636,IMPORTRANGE(""https://docs.google.com/spreadsheets/d/14Bd19lYaqBhU8_DElYkX7l4wRkHqqCUFNJY4AfY3kHU/edit?usp=sharing  #gid=0"",""фіз особи new!relations_name_uo""),7,FALSE)
,
)
))"),"ЦИВІЛЄВА Ганна Євгенівна")</f>
        <v>ЦИВІЛЄВА Ганна Євгенівна</v>
      </c>
      <c r="G5635" s="7" t="s">
        <v>10</v>
      </c>
      <c r="H5635" s="7">
        <v>880</v>
      </c>
      <c r="I5635" s="8" t="str">
        <f ca="1">IFERROR(__xludf.DUMMYFUNCTION("IF
(
G5636=""фізична особа""
,
VLOOKUP(H5636,IMPORTRANGE(""https://docs.google.com/spreadsheets/d/14Bd19lYaqBhU8_DElYkX7l4wRkHqqCUFNJY4AfY3kHU/edit?usp=sharing  #gid=0"",""фіз особи new!relations_name""),6,FALSE)
,
(IF
(
G5636=""юридична особа""
,
VLOOKUP"&amp;"(H5636,IMPORTRANGE(""https://docs.google.com/spreadsheets/d/14Bd19lYaqBhU8_DElYkX7l4wRkHqqCUFNJY4AfY3kHU/edit?usp=sharing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635" s="7" t="s">
        <v>71</v>
      </c>
    </row>
    <row r="5636" spans="1:10" ht="13.2">
      <c r="A5636" s="7">
        <v>5635</v>
      </c>
      <c r="B5636" s="7">
        <v>1</v>
      </c>
      <c r="C5636" s="7" t="s">
        <v>10</v>
      </c>
      <c r="D5636" s="7">
        <v>4752</v>
      </c>
      <c r="E5636" s="7" t="s">
        <v>18</v>
      </c>
      <c r="F5636" s="8" t="str">
        <f ca="1">IFERROR(__xludf.DUMMYFUNCTION("IF
(
C5637=""фізична особа""
,
VLOOKUP(D5637,IMPORTRANGE(""https://docs.google.com/spreadsheets/d/14Bd19lYaqBhU8_DElYkX7l4wRkHqqCUFNJY4AfY3kHU/edit?usp=sharing  #gid=0"",""фіз особи new!relations_name""),6,FALSE)
,
(IF
(
C5637=""юридична особа""
,
VLOOKUP"&amp;"(D5637,IMPORTRANGE(""https://docs.google.com/spreadsheets/d/14Bd19lYaqBhU8_DElYkX7l4wRkHqqCUFNJY4AfY3kHU/edit?usp=sharing  #gid=0"",""фіз особи new!relations_name_uo""),7,FALSE)
,
)
))"),"ЦИВІЛЄВ Валерій Євгенійович")</f>
        <v>ЦИВІЛЄВ Валерій Євгенійович</v>
      </c>
      <c r="G5636" s="7" t="s">
        <v>10</v>
      </c>
      <c r="H5636" s="7">
        <v>2081</v>
      </c>
      <c r="I5636" s="8" t="str">
        <f ca="1">IFERROR(__xludf.DUMMYFUNCTION("IF
(
G5637=""фізична особа""
,
VLOOKUP(H5637,IMPORTRANGE(""https://docs.google.com/spreadsheets/d/14Bd19lYaqBhU8_DElYkX7l4wRkHqqCUFNJY4AfY3kHU/edit?usp=sharing  #gid=0"",""фіз особи new!relations_name""),6,FALSE)
,
(IF
(
G5637=""юридична особа""
,
VLOOKUP"&amp;"(H5637,IMPORTRANGE(""https://docs.google.com/spreadsheets/d/14Bd19lYaqBhU8_DElYkX7l4wRkHqqCUFNJY4AfY3kHU/edit?usp=sharing  #gid=0"",""фіз особи new!relations_name_uo""),7,FALSE)
,
)
))"),"ЦИВІЛЬОВ Сергій Євгенович")</f>
        <v>ЦИВІЛЬОВ Сергій Євгенович</v>
      </c>
      <c r="J5636" s="7" t="s">
        <v>18</v>
      </c>
    </row>
    <row r="5637" spans="1:10" ht="13.2">
      <c r="A5637" s="7">
        <v>5636</v>
      </c>
      <c r="B5637" s="7">
        <v>1</v>
      </c>
      <c r="C5637" s="7" t="s">
        <v>10</v>
      </c>
      <c r="D5637" s="7">
        <v>4753</v>
      </c>
      <c r="E5637" s="7" t="s">
        <v>15</v>
      </c>
      <c r="F5637" s="8" t="str">
        <f ca="1">IFERROR(__xludf.DUMMYFUNCTION("IF
(
C5638=""фізична особа""
,
VLOOKUP(D5638,IMPORTRANGE(""https://docs.google.com/spreadsheets/d/14Bd19lYaqBhU8_DElYkX7l4wRkHqqCUFNJY4AfY3kHU/edit?usp=sharing  #gid=0"",""фіз особи new!relations_name""),6,FALSE)
,
(IF
(
C5638=""юридична особа""
,
VLOOKUP"&amp;"(D5638,IMPORTRANGE(""https://docs.google.com/spreadsheets/d/14Bd19lYaqBhU8_DElYkX7l4wRkHqqCUFNJY4AfY3kHU/edit?usp=sharing  #gid=0"",""фіз особи new!relations_name_uo""),7,FALSE)
,
)
))"),"ЦИДЕНОВА Ірина Вікторівна")</f>
        <v>ЦИДЕНОВА Ірина Вікторівна</v>
      </c>
      <c r="G5637" s="7" t="s">
        <v>10</v>
      </c>
      <c r="H5637" s="7">
        <v>2502</v>
      </c>
      <c r="I5637" s="8" t="str">
        <f ca="1">IFERROR(__xludf.DUMMYFUNCTION("IF
(
G5638=""фізична особа""
,
VLOOKUP(H5638,IMPORTRANGE(""https://docs.google.com/spreadsheets/d/14Bd19lYaqBhU8_DElYkX7l4wRkHqqCUFNJY4AfY3kHU/edit?usp=sharing  #gid=0"",""фіз особи new!relations_name""),6,FALSE)
,
(IF
(
G5638=""юридична особа""
,
VLOOKUP"&amp;"(H5638,IMPORTRANGE(""https://docs.google.com/spreadsheets/d/14Bd19lYaqBhU8_DElYkX7l4wRkHqqCUFNJY4AfY3kHU/edit?usp=sharing  #gid=0"",""фіз особи new!relations_name_uo""),7,FALSE)
,
)
))"),"ЦИДЕНОВ Олексій Самбуєвич")</f>
        <v>ЦИДЕНОВ Олексій Самбуєвич</v>
      </c>
      <c r="J5637" s="7" t="s">
        <v>14</v>
      </c>
    </row>
    <row r="5638" spans="1:10" ht="13.2">
      <c r="A5638" s="7">
        <v>5637</v>
      </c>
      <c r="B5638" s="7">
        <v>1</v>
      </c>
      <c r="C5638" s="7" t="s">
        <v>10</v>
      </c>
      <c r="D5638" s="7">
        <v>4758</v>
      </c>
      <c r="E5638" s="7" t="s">
        <v>15</v>
      </c>
      <c r="F5638" s="8" t="str">
        <f ca="1">IFERROR(__xludf.DUMMYFUNCTION("IF
(
C5639=""фізична особа""
,
VLOOKUP(D5639,IMPORTRANGE(""https://docs.google.com/spreadsheets/d/14Bd19lYaqBhU8_DElYkX7l4wRkHqqCUFNJY4AfY3kHU/edit?usp=sharing  #gid=0"",""фіз особи new!relations_name""),6,FALSE)
,
(IF
(
C5639=""юридична особа""
,
VLOOKUP"&amp;"(D5639,IMPORTRANGE(""https://docs.google.com/spreadsheets/d/14Bd19lYaqBhU8_DElYkX7l4wRkHqqCUFNJY4AfY3kHU/edit?usp=sharing  #gid=0"",""фіз особи new!relations_name_uo""),7,FALSE)
,
)
))"),"ШОЙГУ Ірина Олександрівна")</f>
        <v>ШОЙГУ Ірина Олександрівна</v>
      </c>
      <c r="G5638" s="7" t="s">
        <v>10</v>
      </c>
      <c r="H5638" s="7">
        <v>670</v>
      </c>
      <c r="I5638" s="8" t="str">
        <f ca="1">IFERROR(__xludf.DUMMYFUNCTION("IF
(
G5639=""фізична особа""
,
VLOOKUP(H5639,IMPORTRANGE(""https://docs.google.com/spreadsheets/d/14Bd19lYaqBhU8_DElYkX7l4wRkHqqCUFNJY4AfY3kHU/edit?usp=sharing  #gid=0"",""фіз особи new!relations_name""),6,FALSE)
,
(IF
(
G5639=""юридична особа""
,
VLOOKUP"&amp;"(H5639,IMPORTRANGE(""https://docs.google.com/spreadsheets/d/14Bd19lYaqBhU8_DElYkX7l4wRkHqqCUFNJY4AfY3kHU/edit?usp=sharing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5638" s="7" t="s">
        <v>14</v>
      </c>
    </row>
    <row r="5639" spans="1:10" ht="13.2">
      <c r="A5639" s="7">
        <v>5638</v>
      </c>
      <c r="B5639" s="7">
        <v>1</v>
      </c>
      <c r="C5639" s="7" t="s">
        <v>10</v>
      </c>
      <c r="D5639" s="7">
        <v>4758</v>
      </c>
      <c r="E5639" s="7" t="s">
        <v>21</v>
      </c>
      <c r="F5639" s="8" t="str">
        <f ca="1">IFERROR(__xludf.DUMMYFUNCTION("IF
(
C5640=""фізична особа""
,
VLOOKUP(D5640,IMPORTRANGE(""https://docs.google.com/spreadsheets/d/14Bd19lYaqBhU8_DElYkX7l4wRkHqqCUFNJY4AfY3kHU/edit?usp=sharing  #gid=0"",""фіз особи new!relations_name""),6,FALSE)
,
(IF
(
C5640=""юридична особа""
,
VLOOKUP"&amp;"(D5640,IMPORTRANGE(""https://docs.google.com/spreadsheets/d/14Bd19lYaqBhU8_DElYkX7l4wRkHqqCUFNJY4AfY3kHU/edit?usp=sharing  #gid=0"",""фіз особи new!relations_name_uo""),7,FALSE)
,
)
))"),"ШОЙГУ Ірина Олександрівна")</f>
        <v>ШОЙГУ Ірина Олександрівна</v>
      </c>
      <c r="G5639" s="7" t="s">
        <v>10</v>
      </c>
      <c r="H5639" s="7">
        <v>4760</v>
      </c>
      <c r="I5639" s="8" t="str">
        <f ca="1">IFERROR(__xludf.DUMMYFUNCTION("IF
(
G5640=""фізична особа""
,
VLOOKUP(H5640,IMPORTRANGE(""https://docs.google.com/spreadsheets/d/14Bd19lYaqBhU8_DElYkX7l4wRkHqqCUFNJY4AfY3kHU/edit?usp=sharing  #gid=0"",""фіз особи new!relations_name""),6,FALSE)
,
(IF
(
G5640=""юридична особа""
,
VLOOKUP"&amp;"(H5640,IMPORTRANGE(""https://docs.google.com/spreadsheets/d/14Bd19lYaqBhU8_DElYkX7l4wRkHqqCUFNJY4AfY3kHU/edit?usp=sharing  #gid=0"",""фіз особи new!relations_name_uo""),7,FALSE)
,
)
))"),"ШОЙГУ Ксенія Сергіївна")</f>
        <v>ШОЙГУ Ксенія Сергіївна</v>
      </c>
      <c r="J5639" s="7" t="s">
        <v>13</v>
      </c>
    </row>
    <row r="5640" spans="1:10" ht="13.2">
      <c r="A5640" s="7">
        <v>5639</v>
      </c>
      <c r="B5640" s="7">
        <v>1</v>
      </c>
      <c r="C5640" s="7" t="s">
        <v>10</v>
      </c>
      <c r="D5640" s="7">
        <v>4758</v>
      </c>
      <c r="E5640" s="7" t="s">
        <v>21</v>
      </c>
      <c r="F5640" s="8" t="str">
        <f ca="1">IFERROR(__xludf.DUMMYFUNCTION("IF
(
C5641=""фізична особа""
,
VLOOKUP(D5641,IMPORTRANGE(""https://docs.google.com/spreadsheets/d/14Bd19lYaqBhU8_DElYkX7l4wRkHqqCUFNJY4AfY3kHU/edit?usp=sharing  #gid=0"",""фіз особи new!relations_name""),6,FALSE)
,
(IF
(
C5641=""юридична особа""
,
VLOOKUP"&amp;"(D5641,IMPORTRANGE(""https://docs.google.com/spreadsheets/d/14Bd19lYaqBhU8_DElYkX7l4wRkHqqCUFNJY4AfY3kHU/edit?usp=sharing  #gid=0"",""фіз особи new!relations_name_uo""),7,FALSE)
,
)
))"),"ШОЙГУ Ірина Олександрівна")</f>
        <v>ШОЙГУ Ірина Олександрівна</v>
      </c>
      <c r="G5640" s="7" t="s">
        <v>10</v>
      </c>
      <c r="H5640" s="7">
        <v>4759</v>
      </c>
      <c r="I5640" s="8" t="str">
        <f ca="1">IFERROR(__xludf.DUMMYFUNCTION("IF
(
G5641=""фізична особа""
,
VLOOKUP(H5641,IMPORTRANGE(""https://docs.google.com/spreadsheets/d/14Bd19lYaqBhU8_DElYkX7l4wRkHqqCUFNJY4AfY3kHU/edit?usp=sharing  #gid=0"",""фіз особи new!relations_name""),6,FALSE)
,
(IF
(
G5641=""юридична особа""
,
VLOOKUP"&amp;"(H5641,IMPORTRANGE(""https://docs.google.com/spreadsheets/d/14Bd19lYaqBhU8_DElYkX7l4wRkHqqCUFNJY4AfY3kHU/edit?usp=sharing  #gid=0"",""фіз особи new!relations_name_uo""),7,FALSE)
,
)
))"),"ШОЙГУ Юлія Сергіївна")</f>
        <v>ШОЙГУ Юлія Сергіївна</v>
      </c>
      <c r="J5640" s="7" t="s">
        <v>13</v>
      </c>
    </row>
    <row r="5641" spans="1:10" ht="13.2">
      <c r="A5641" s="7">
        <v>5640</v>
      </c>
      <c r="B5641" s="7">
        <v>1</v>
      </c>
      <c r="C5641" s="7" t="s">
        <v>10</v>
      </c>
      <c r="D5641" s="7">
        <v>4759</v>
      </c>
      <c r="E5641" s="7" t="s">
        <v>13</v>
      </c>
      <c r="F5641" s="8" t="str">
        <f ca="1">IFERROR(__xludf.DUMMYFUNCTION("IF
(
C5642=""фізична особа""
,
VLOOKUP(D5642,IMPORTRANGE(""https://docs.google.com/spreadsheets/d/14Bd19lYaqBhU8_DElYkX7l4wRkHqqCUFNJY4AfY3kHU/edit?usp=sharing  #gid=0"",""фіз особи new!relations_name""),6,FALSE)
,
(IF
(
C5642=""юридична особа""
,
VLOOKUP"&amp;"(D5642,IMPORTRANGE(""https://docs.google.com/spreadsheets/d/14Bd19lYaqBhU8_DElYkX7l4wRkHqqCUFNJY4AfY3kHU/edit?usp=sharing  #gid=0"",""фіз особи new!relations_name_uo""),7,FALSE)
,
)
))"),"ШОЙГУ Юлія Сергіївна")</f>
        <v>ШОЙГУ Юлія Сергіївна</v>
      </c>
      <c r="G5641" s="7" t="s">
        <v>10</v>
      </c>
      <c r="H5641" s="7">
        <v>670</v>
      </c>
      <c r="I5641" s="8" t="str">
        <f ca="1">IFERROR(__xludf.DUMMYFUNCTION("IF
(
G5642=""фізична особа""
,
VLOOKUP(H5642,IMPORTRANGE(""https://docs.google.com/spreadsheets/d/14Bd19lYaqBhU8_DElYkX7l4wRkHqqCUFNJY4AfY3kHU/edit?usp=sharing  #gid=0"",""фіз особи new!relations_name""),6,FALSE)
,
(IF
(
G5642=""юридична особа""
,
VLOOKUP"&amp;"(H5642,IMPORTRANGE(""https://docs.google.com/spreadsheets/d/14Bd19lYaqBhU8_DElYkX7l4wRkHqqCUFNJY4AfY3kHU/edit?usp=sharing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5641" s="7" t="s">
        <v>12</v>
      </c>
    </row>
    <row r="5642" spans="1:10" ht="13.2">
      <c r="A5642" s="7">
        <v>5641</v>
      </c>
      <c r="B5642" s="7">
        <v>1</v>
      </c>
      <c r="C5642" s="7" t="s">
        <v>10</v>
      </c>
      <c r="D5642" s="7">
        <v>4759</v>
      </c>
      <c r="E5642" s="7" t="s">
        <v>31</v>
      </c>
      <c r="F5642" s="8" t="str">
        <f ca="1">IFERROR(__xludf.DUMMYFUNCTION("IF
(
C5643=""фізична особа""
,
VLOOKUP(D5643,IMPORTRANGE(""https://docs.google.com/spreadsheets/d/14Bd19lYaqBhU8_DElYkX7l4wRkHqqCUFNJY4AfY3kHU/edit?usp=sharing  #gid=0"",""фіз особи new!relations_name""),6,FALSE)
,
(IF
(
C5643=""юридична особа""
,
VLOOKUP"&amp;"(D5643,IMPORTRANGE(""https://docs.google.com/spreadsheets/d/14Bd19lYaqBhU8_DElYkX7l4wRkHqqCUFNJY4AfY3kHU/edit?usp=sharing  #gid=0"",""фіз особи new!relations_name_uo""),7,FALSE)
,
)
))"),"ШОЙГУ Юлія Сергіївна")</f>
        <v>ШОЙГУ Юлія Сергіївна</v>
      </c>
      <c r="G5642" s="7" t="s">
        <v>10</v>
      </c>
      <c r="H5642" s="7">
        <v>4760</v>
      </c>
      <c r="I5642" s="8" t="str">
        <f ca="1">IFERROR(__xludf.DUMMYFUNCTION("IF
(
G5643=""фізична особа""
,
VLOOKUP(H5643,IMPORTRANGE(""https://docs.google.com/spreadsheets/d/14Bd19lYaqBhU8_DElYkX7l4wRkHqqCUFNJY4AfY3kHU/edit?usp=sharing  #gid=0"",""фіз особи new!relations_name""),6,FALSE)
,
(IF
(
G5643=""юридична особа""
,
VLOOKUP"&amp;"(H5643,IMPORTRANGE(""https://docs.google.com/spreadsheets/d/14Bd19lYaqBhU8_DElYkX7l4wRkHqqCUFNJY4AfY3kHU/edit?usp=sharing  #gid=0"",""фіз особи new!relations_name_uo""),7,FALSE)
,
)
))"),"ШОЙГУ Ксенія Сергіївна")</f>
        <v>ШОЙГУ Ксенія Сергіївна</v>
      </c>
      <c r="J5642" s="7" t="s">
        <v>31</v>
      </c>
    </row>
    <row r="5643" spans="1:10" ht="13.2">
      <c r="A5643" s="7">
        <v>5642</v>
      </c>
      <c r="B5643" s="7">
        <v>1</v>
      </c>
      <c r="C5643" s="7" t="s">
        <v>10</v>
      </c>
      <c r="D5643" s="7">
        <v>4760</v>
      </c>
      <c r="E5643" s="7" t="s">
        <v>13</v>
      </c>
      <c r="F5643" s="8" t="str">
        <f ca="1">IFERROR(__xludf.DUMMYFUNCTION("IF
(
C5644=""фізична особа""
,
VLOOKUP(D5644,IMPORTRANGE(""https://docs.google.com/spreadsheets/d/14Bd19lYaqBhU8_DElYkX7l4wRkHqqCUFNJY4AfY3kHU/edit?usp=sharing  #gid=0"",""фіз особи new!relations_name""),6,FALSE)
,
(IF
(
C5644=""юридична особа""
,
VLOOKUP"&amp;"(D5644,IMPORTRANGE(""https://docs.google.com/spreadsheets/d/14Bd19lYaqBhU8_DElYkX7l4wRkHqqCUFNJY4AfY3kHU/edit?usp=sharing  #gid=0"",""фіз особи new!relations_name_uo""),7,FALSE)
,
)
))"),"ШОЙГУ Ксенія Сергіївна")</f>
        <v>ШОЙГУ Ксенія Сергіївна</v>
      </c>
      <c r="G5643" s="7" t="s">
        <v>10</v>
      </c>
      <c r="H5643" s="7">
        <v>670</v>
      </c>
      <c r="I5643" s="8" t="str">
        <f ca="1">IFERROR(__xludf.DUMMYFUNCTION("IF
(
G5644=""фізична особа""
,
VLOOKUP(H5644,IMPORTRANGE(""https://docs.google.com/spreadsheets/d/14Bd19lYaqBhU8_DElYkX7l4wRkHqqCUFNJY4AfY3kHU/edit?usp=sharing  #gid=0"",""фіз особи new!relations_name""),6,FALSE)
,
(IF
(
G5644=""юридична особа""
,
VLOOKUP"&amp;"(H5644,IMPORTRANGE(""https://docs.google.com/spreadsheets/d/14Bd19lYaqBhU8_DElYkX7l4wRkHqqCUFNJY4AfY3kHU/edit?usp=sharing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5643" s="7" t="s">
        <v>12</v>
      </c>
    </row>
    <row r="5644" spans="1:10" ht="13.2">
      <c r="A5644" s="7">
        <v>5643</v>
      </c>
      <c r="B5644" s="7">
        <v>1</v>
      </c>
      <c r="C5644" s="7" t="s">
        <v>10</v>
      </c>
      <c r="D5644" s="7">
        <v>4760</v>
      </c>
      <c r="E5644" s="7" t="s">
        <v>31</v>
      </c>
      <c r="F5644" s="8" t="str">
        <f ca="1">IFERROR(__xludf.DUMMYFUNCTION("IF
(
C5645=""фізична особа""
,
VLOOKUP(D5645,IMPORTRANGE(""https://docs.google.com/spreadsheets/d/14Bd19lYaqBhU8_DElYkX7l4wRkHqqCUFNJY4AfY3kHU/edit?usp=sharing  #gid=0"",""фіз особи new!relations_name""),6,FALSE)
,
(IF
(
C5645=""юридична особа""
,
VLOOKUP"&amp;"(D5645,IMPORTRANGE(""https://docs.google.com/spreadsheets/d/14Bd19lYaqBhU8_DElYkX7l4wRkHqqCUFNJY4AfY3kHU/edit?usp=sharing  #gid=0"",""фіз особи new!relations_name_uo""),7,FALSE)
,
)
))"),"ШОЙГУ Ксенія Сергіївна")</f>
        <v>ШОЙГУ Ксенія Сергіївна</v>
      </c>
      <c r="G5644" s="7" t="s">
        <v>10</v>
      </c>
      <c r="H5644" s="7">
        <v>4759</v>
      </c>
      <c r="I5644" s="8" t="str">
        <f ca="1">IFERROR(__xludf.DUMMYFUNCTION("IF
(
G5645=""фізична особа""
,
VLOOKUP(H5645,IMPORTRANGE(""https://docs.google.com/spreadsheets/d/14Bd19lYaqBhU8_DElYkX7l4wRkHqqCUFNJY4AfY3kHU/edit?usp=sharing  #gid=0"",""фіз особи new!relations_name""),6,FALSE)
,
(IF
(
G5645=""юридична особа""
,
VLOOKUP"&amp;"(H5645,IMPORTRANGE(""https://docs.google.com/spreadsheets/d/14Bd19lYaqBhU8_DElYkX7l4wRkHqqCUFNJY4AfY3kHU/edit?usp=sharing  #gid=0"",""фіз особи new!relations_name_uo""),7,FALSE)
,
)
))"),"ШОЙГУ Юлія Сергіївна")</f>
        <v>ШОЙГУ Юлія Сергіївна</v>
      </c>
      <c r="J5644" s="7" t="s">
        <v>31</v>
      </c>
    </row>
    <row r="5645" spans="1:10" ht="13.2">
      <c r="A5645" s="7">
        <v>5644</v>
      </c>
      <c r="B5645" s="7">
        <v>1</v>
      </c>
      <c r="C5645" s="7" t="s">
        <v>10</v>
      </c>
      <c r="D5645" s="7">
        <v>4761</v>
      </c>
      <c r="E5645" s="7" t="s">
        <v>15</v>
      </c>
      <c r="F5645" s="8" t="str">
        <f ca="1">IFERROR(__xludf.DUMMYFUNCTION("IF
(
C5646=""фізична особа""
,
VLOOKUP(D5646,IMPORTRANGE(""https://docs.google.com/spreadsheets/d/14Bd19lYaqBhU8_DElYkX7l4wRkHqqCUFNJY4AfY3kHU/edit?usp=sharing  #gid=0"",""фіз особи new!relations_name""),6,FALSE)
,
(IF
(
C5646=""юридична особа""
,
VLOOKUP"&amp;"(D5646,IMPORTRANGE(""https://docs.google.com/spreadsheets/d/14Bd19lYaqBhU8_DElYkX7l4wRkHqqCUFNJY4AfY3kHU/edit?usp=sharing  #gid=0"",""фіз особи new!relations_name_uo""),7,FALSE)
,
)
))"),"АВДЄЄВА Світлана Вячеславівна")</f>
        <v>АВДЄЄВА Світлана Вячеславівна</v>
      </c>
      <c r="G5645" s="7" t="s">
        <v>10</v>
      </c>
      <c r="H5645" s="7">
        <v>2575</v>
      </c>
      <c r="I5645" s="8" t="str">
        <f ca="1">IFERROR(__xludf.DUMMYFUNCTION("IF
(
G5646=""фізична особа""
,
VLOOKUP(H5646,IMPORTRANGE(""https://docs.google.com/spreadsheets/d/14Bd19lYaqBhU8_DElYkX7l4wRkHqqCUFNJY4AfY3kHU/edit?usp=sharing  #gid=0"",""фіз особи new!relations_name""),6,FALSE)
,
(IF
(
G5646=""юридична особа""
,
VLOOKUP"&amp;"(H5646,IMPORTRANGE(""https://docs.google.com/spreadsheets/d/14Bd19lYaqBhU8_DElYkX7l4wRkHqqCUFNJY4AfY3kHU/edit?usp=sharing  #gid=0"",""фіз особи new!relations_name_uo""),7,FALSE)
,
)
))"),"АВДЄЄВ Олександр Олександрович")</f>
        <v>АВДЄЄВ Олександр Олександрович</v>
      </c>
      <c r="J5645" s="7" t="s">
        <v>14</v>
      </c>
    </row>
    <row r="5646" spans="1:10" ht="13.2">
      <c r="A5646" s="7">
        <v>5645</v>
      </c>
      <c r="B5646" s="7">
        <v>1</v>
      </c>
      <c r="C5646" s="7" t="s">
        <v>10</v>
      </c>
      <c r="D5646" s="7">
        <v>4764</v>
      </c>
      <c r="E5646" s="7" t="s">
        <v>15</v>
      </c>
      <c r="F5646" s="8" t="str">
        <f ca="1">IFERROR(__xludf.DUMMYFUNCTION("IF
(
C5647=""фізична особа""
,
VLOOKUP(D5647,IMPORTRANGE(""https://docs.google.com/spreadsheets/d/14Bd19lYaqBhU8_DElYkX7l4wRkHqqCUFNJY4AfY3kHU/edit?usp=sharing  #gid=0"",""фіз особи new!relations_name""),6,FALSE)
,
(IF
(
C5647=""юридична особа""
,
VLOOKUP"&amp;"(D5647,IMPORTRANGE(""https://docs.google.com/spreadsheets/d/14Bd19lYaqBhU8_DElYkX7l4wRkHqqCUFNJY4AfY3kHU/edit?usp=sharing  #gid=0"",""фіз особи new!relations_name_uo""),7,FALSE)
,
)
))"),"АБРАМОВА Дар'я Вячеславівна")</f>
        <v>АБРАМОВА Дар'я Вячеславівна</v>
      </c>
      <c r="G5646" s="7" t="s">
        <v>10</v>
      </c>
      <c r="H5646" s="7">
        <v>2535</v>
      </c>
      <c r="I5646" s="8" t="str">
        <f ca="1">IFERROR(__xludf.DUMMYFUNCTION("IF
(
G5647=""фізична особа""
,
VLOOKUP(H5647,IMPORTRANGE(""https://docs.google.com/spreadsheets/d/14Bd19lYaqBhU8_DElYkX7l4wRkHqqCUFNJY4AfY3kHU/edit?usp=sharing  #gid=0"",""фіз особи new!relations_name""),6,FALSE)
,
(IF
(
G5647=""юридична особа""
,
VLOOKUP"&amp;"(H5647,IMPORTRANGE(""https://docs.google.com/spreadsheets/d/14Bd19lYaqBhU8_DElYkX7l4wRkHqqCUFNJY4AfY3kHU/edit?usp=sharing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J5646" s="7" t="s">
        <v>14</v>
      </c>
    </row>
    <row r="5647" spans="1:10" ht="13.2">
      <c r="A5647" s="7">
        <v>5646</v>
      </c>
      <c r="B5647" s="7">
        <v>1</v>
      </c>
      <c r="C5647" s="7" t="s">
        <v>10</v>
      </c>
      <c r="D5647" s="7">
        <v>4767</v>
      </c>
      <c r="E5647" s="7" t="s">
        <v>17</v>
      </c>
      <c r="F5647" s="8" t="str">
        <f ca="1">IFERROR(__xludf.DUMMYFUNCTION("IF
(
C5648=""фізична особа""
,
VLOOKUP(D5648,IMPORTRANGE(""https://docs.google.com/spreadsheets/d/14Bd19lYaqBhU8_DElYkX7l4wRkHqqCUFNJY4AfY3kHU/edit?usp=sharing  #gid=0"",""фіз особи new!relations_name""),6,FALSE)
,
(IF
(
C5648=""юридична особа""
,
VLOOKUP"&amp;"(D5648,IMPORTRANGE(""https://docs.google.com/spreadsheets/d/14Bd19lYaqBhU8_DElYkX7l4wRkHqqCUFNJY4AfY3kHU/edit?usp=sharing  #gid=0"",""фіз особи new!relations_name_uo""),7,FALSE)
,
)
))"),"АРТАМОНОВ Антон Ігорович")</f>
        <v>АРТАМОНОВ Антон Ігорович</v>
      </c>
      <c r="G5647" s="7" t="s">
        <v>10</v>
      </c>
      <c r="H5647" s="7">
        <v>2543</v>
      </c>
      <c r="I5647" s="8" t="str">
        <f ca="1">IFERROR(__xludf.DUMMYFUNCTION("IF
(
G5648=""фізична особа""
,
VLOOKUP(H5648,IMPORTRANGE(""https://docs.google.com/spreadsheets/d/14Bd19lYaqBhU8_DElYkX7l4wRkHqqCUFNJY4AfY3kHU/edit?usp=sharing  #gid=0"",""фіз особи new!relations_name""),6,FALSE)
,
(IF
(
G5648=""юридична особа""
,
VLOOKUP"&amp;"(H5648,IMPORTRANGE(""https://docs.google.com/spreadsheets/d/14Bd19lYaqBhU8_DElYkX7l4wRkHqqCUFNJY4AfY3kHU/edit?usp=sharing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J5647" s="7" t="s">
        <v>12</v>
      </c>
    </row>
    <row r="5648" spans="1:10" ht="13.2">
      <c r="A5648" s="7">
        <v>5647</v>
      </c>
      <c r="B5648" s="7">
        <v>1</v>
      </c>
      <c r="C5648" s="7" t="s">
        <v>10</v>
      </c>
      <c r="D5648" s="7">
        <v>4768</v>
      </c>
      <c r="E5648" s="7" t="s">
        <v>15</v>
      </c>
      <c r="F5648" s="8" t="str">
        <f ca="1">IFERROR(__xludf.DUMMYFUNCTION("IF
(
C5649=""фізична особа""
,
VLOOKUP(D5649,IMPORTRANGE(""https://docs.google.com/spreadsheets/d/14Bd19lYaqBhU8_DElYkX7l4wRkHqqCUFNJY4AfY3kHU/edit?usp=sharing  #gid=0"",""фіз особи new!relations_name""),6,FALSE)
,
(IF
(
C5649=""юридична особа""
,
VLOOKUP"&amp;"(D5649,IMPORTRANGE(""https://docs.google.com/spreadsheets/d/14Bd19lYaqBhU8_DElYkX7l4wRkHqqCUFNJY4AfY3kHU/edit?usp=sharing  #gid=0"",""фіз особи new!relations_name_uo""),7,FALSE)
,
)
))"),"АРТАМОНОВА Наталія Вячеславівна")</f>
        <v>АРТАМОНОВА Наталія Вячеславівна</v>
      </c>
      <c r="G5648" s="7" t="s">
        <v>10</v>
      </c>
      <c r="H5648" s="7">
        <v>2543</v>
      </c>
      <c r="I5648" s="8" t="str">
        <f ca="1">IFERROR(__xludf.DUMMYFUNCTION("IF
(
G5649=""фізична особа""
,
VLOOKUP(H5649,IMPORTRANGE(""https://docs.google.com/spreadsheets/d/14Bd19lYaqBhU8_DElYkX7l4wRkHqqCUFNJY4AfY3kHU/edit?usp=sharing  #gid=0"",""фіз особи new!relations_name""),6,FALSE)
,
(IF
(
G5649=""юридична особа""
,
VLOOKUP"&amp;"(H5649,IMPORTRANGE(""https://docs.google.com/spreadsheets/d/14Bd19lYaqBhU8_DElYkX7l4wRkHqqCUFNJY4AfY3kHU/edit?usp=sharing  #gid=0"",""фіз особи new!relations_name_uo""),7,FALSE)
,
)
))"),"АРТАМОНІВ Ігор Георгійович")</f>
        <v>АРТАМОНІВ Ігор Георгійович</v>
      </c>
      <c r="J5648" s="7" t="s">
        <v>14</v>
      </c>
    </row>
    <row r="5649" spans="1:10" ht="13.2">
      <c r="A5649" s="7">
        <v>5648</v>
      </c>
      <c r="B5649" s="7">
        <v>1</v>
      </c>
      <c r="C5649" s="7" t="s">
        <v>10</v>
      </c>
      <c r="D5649" s="7">
        <v>4768</v>
      </c>
      <c r="E5649" s="7" t="s">
        <v>15</v>
      </c>
      <c r="F5649" s="8" t="str">
        <f ca="1">IFERROR(__xludf.DUMMYFUNCTION("IF
(
C5650=""фізична особа""
,
VLOOKUP(D5650,IMPORTRANGE(""https://docs.google.com/spreadsheets/d/14Bd19lYaqBhU8_DElYkX7l4wRkHqqCUFNJY4AfY3kHU/edit?usp=sharing  #gid=0"",""фіз особи new!relations_name""),6,FALSE)
,
(IF
(
C5650=""юридична особа""
,
VLOOKUP"&amp;"(D5650,IMPORTRANGE(""https://docs.google.com/spreadsheets/d/14Bd19lYaqBhU8_DElYkX7l4wRkHqqCUFNJY4AfY3kHU/edit?usp=sharing  #gid=0"",""фіз особи new!relations_name_uo""),7,FALSE)
,
)
))"),"АРТАМОНОВА Наталія Вячеславівна")</f>
        <v>АРТАМОНОВА Наталія Вячеславівна</v>
      </c>
      <c r="G5649" s="7" t="s">
        <v>10</v>
      </c>
      <c r="H5649" s="7">
        <v>2570</v>
      </c>
      <c r="I5649" s="8" t="str">
        <f ca="1">IFERROR(__xludf.DUMMYFUNCTION("IF
(
G5650=""фізична особа""
,
VLOOKUP(H5650,IMPORTRANGE(""https://docs.google.com/spreadsheets/d/14Bd19lYaqBhU8_DElYkX7l4wRkHqqCUFNJY4AfY3kHU/edit?usp=sharing  #gid=0"",""фіз особи new!relations_name""),6,FALSE)
,
(IF
(
G5650=""юридична особа""
,
VLOOKUP"&amp;"(H5650,IMPORTRANGE(""https://docs.google.com/spreadsheets/d/14Bd19lYaqBhU8_DElYkX7l4wRkHqqCUFNJY4AfY3kHU/edit?usp=sharing  #gid=0"",""фіз особи new!relations_name_uo""),7,FALSE)
,
)
))"),"АРТЮХОВ Дмитро Андрійович")</f>
        <v>АРТЮХОВ Дмитро Андрійович</v>
      </c>
      <c r="J5649" s="7" t="s">
        <v>14</v>
      </c>
    </row>
    <row r="5650" spans="1:10" ht="13.2">
      <c r="A5650" s="7">
        <v>5649</v>
      </c>
      <c r="B5650" s="7">
        <v>1</v>
      </c>
      <c r="C5650" s="7" t="s">
        <v>10</v>
      </c>
      <c r="D5650" s="7">
        <v>4772</v>
      </c>
      <c r="E5650" s="7" t="s">
        <v>15</v>
      </c>
      <c r="F5650" s="8" t="str">
        <f ca="1">IFERROR(__xludf.DUMMYFUNCTION("IF
(
C5651=""фізична особа""
,
VLOOKUP(D5651,IMPORTRANGE(""https://docs.google.com/spreadsheets/d/14Bd19lYaqBhU8_DElYkX7l4wRkHqqCUFNJY4AfY3kHU/edit?usp=sharing  #gid=0"",""фіз особи new!relations_name""),6,FALSE)
,
(IF
(
C5651=""юридична особа""
,
VLOOKUP"&amp;"(D5651,IMPORTRANGE(""https://docs.google.com/spreadsheets/d/14Bd19lYaqBhU8_DElYkX7l4wRkHqqCUFNJY4AfY3kHU/edit?usp=sharing  #gid=0"",""фіз особи new!relations_name_uo""),7,FALSE)
,
)
))"),"ХАБІРОВА Карина Володимирівна")</f>
        <v>ХАБІРОВА Карина Володимирівна</v>
      </c>
      <c r="G5650" s="7" t="s">
        <v>10</v>
      </c>
      <c r="H5650" s="7">
        <v>2501</v>
      </c>
      <c r="I5650" s="8" t="str">
        <f ca="1">IFERROR(__xludf.DUMMYFUNCTION("IF
(
G5651=""фізична особа""
,
VLOOKUP(H5651,IMPORTRANGE(""https://docs.google.com/spreadsheets/d/14Bd19lYaqBhU8_DElYkX7l4wRkHqqCUFNJY4AfY3kHU/edit?usp=sharing  #gid=0"",""фіз особи new!relations_name""),6,FALSE)
,
(IF
(
G5651=""юридична особа""
,
VLOOKUP"&amp;"(H5651,IMPORTRANGE(""https://docs.google.com/spreadsheets/d/14Bd19lYaqBhU8_DElYkX7l4wRkHqqCUFNJY4AfY3kHU/edit?usp=sharing  #gid=0"",""фіз особи new!relations_name_uo""),7,FALSE)
,
)
))"),"ХАБІРОВ Радій Фаритович")</f>
        <v>ХАБІРОВ Радій Фаритович</v>
      </c>
      <c r="J5650" s="7" t="s">
        <v>14</v>
      </c>
    </row>
    <row r="5651" spans="1:10" ht="13.2">
      <c r="A5651" s="7">
        <v>5650</v>
      </c>
      <c r="B5651" s="7">
        <v>1</v>
      </c>
      <c r="C5651" s="7" t="s">
        <v>10</v>
      </c>
      <c r="D5651" s="7">
        <v>4773</v>
      </c>
      <c r="E5651" s="7" t="s">
        <v>13</v>
      </c>
      <c r="F5651" s="8" t="str">
        <f ca="1">IFERROR(__xludf.DUMMYFUNCTION("IF
(
C5652=""фізична особа""
,
VLOOKUP(D5652,IMPORTRANGE(""https://docs.google.com/spreadsheets/d/14Bd19lYaqBhU8_DElYkX7l4wRkHqqCUFNJY4AfY3kHU/edit?usp=sharing  #gid=0"",""фіз особи new!relations_name""),6,FALSE)
,
(IF
(
C5652=""юридична особа""
,
VLOOKUP"&amp;"(D5652,IMPORTRANGE(""https://docs.google.com/spreadsheets/d/14Bd19lYaqBhU8_DElYkX7l4wRkHqqCUFNJY4AfY3kHU/edit?usp=sharing  #gid=0"",""фіз особи new!relations_name_uo""),7,FALSE)
,
)
))"),"ХАБІРОВА рита Радієвна")</f>
        <v>ХАБІРОВА рита Радієвна</v>
      </c>
      <c r="G5651" s="7" t="s">
        <v>10</v>
      </c>
      <c r="H5651" s="7">
        <v>2501</v>
      </c>
      <c r="I5651" s="8" t="str">
        <f ca="1">IFERROR(__xludf.DUMMYFUNCTION("IF
(
G5652=""фізична особа""
,
VLOOKUP(H5652,IMPORTRANGE(""https://docs.google.com/spreadsheets/d/14Bd19lYaqBhU8_DElYkX7l4wRkHqqCUFNJY4AfY3kHU/edit?usp=sharing  #gid=0"",""фіз особи new!relations_name""),6,FALSE)
,
(IF
(
G5652=""юридична особа""
,
VLOOKUP"&amp;"(H5652,IMPORTRANGE(""https://docs.google.com/spreadsheets/d/14Bd19lYaqBhU8_DElYkX7l4wRkHqqCUFNJY4AfY3kHU/edit?usp=sharing  #gid=0"",""фіз особи new!relations_name_uo""),7,FALSE)
,
)
))"),"ХАБІРОВ Радій Фаритович")</f>
        <v>ХАБІРОВ Радій Фаритович</v>
      </c>
      <c r="J5651" s="7" t="s">
        <v>12</v>
      </c>
    </row>
    <row r="5652" spans="1:10" ht="13.2">
      <c r="A5652" s="7">
        <v>5651</v>
      </c>
      <c r="B5652" s="7">
        <v>1</v>
      </c>
      <c r="C5652" s="7" t="s">
        <v>10</v>
      </c>
      <c r="D5652" s="7">
        <v>4774</v>
      </c>
      <c r="E5652" s="7" t="s">
        <v>13</v>
      </c>
      <c r="F5652" s="8" t="str">
        <f ca="1">IFERROR(__xludf.DUMMYFUNCTION("IF
(
C5653=""фізична особа""
,
VLOOKUP(D5653,IMPORTRANGE(""https://docs.google.com/spreadsheets/d/14Bd19lYaqBhU8_DElYkX7l4wRkHqqCUFNJY4AfY3kHU/edit?usp=sharing  #gid=0"",""фіз особи new!relations_name""),6,FALSE)
,
(IF
(
C5653=""юридична особа""
,
VLOOKUP"&amp;"(D5653,IMPORTRANGE(""https://docs.google.com/spreadsheets/d/14Bd19lYaqBhU8_DElYkX7l4wRkHqqCUFNJY4AfY3kHU/edit?usp=sharing  #gid=0"",""фіз особи new!relations_name_uo""),7,FALSE)
,
)
))"),"ХАБІРОВА Світлана Радієвна")</f>
        <v>ХАБІРОВА Світлана Радієвна</v>
      </c>
      <c r="G5652" s="7" t="s">
        <v>10</v>
      </c>
      <c r="H5652" s="7">
        <v>2501</v>
      </c>
      <c r="I5652" s="8" t="str">
        <f ca="1">IFERROR(__xludf.DUMMYFUNCTION("IF
(
G5653=""фізична особа""
,
VLOOKUP(H5653,IMPORTRANGE(""https://docs.google.com/spreadsheets/d/14Bd19lYaqBhU8_DElYkX7l4wRkHqqCUFNJY4AfY3kHU/edit?usp=sharing  #gid=0"",""фіз особи new!relations_name""),6,FALSE)
,
(IF
(
G5653=""юридична особа""
,
VLOOKUP"&amp;"(H5653,IMPORTRANGE(""https://docs.google.com/spreadsheets/d/14Bd19lYaqBhU8_DElYkX7l4wRkHqqCUFNJY4AfY3kHU/edit?usp=sharing  #gid=0"",""фіз особи new!relations_name_uo""),7,FALSE)
,
)
))"),"ХАБІРОВ Радій Фаритович")</f>
        <v>ХАБІРОВ Радій Фаритович</v>
      </c>
      <c r="J5652" s="7" t="s">
        <v>12</v>
      </c>
    </row>
    <row r="5653" spans="1:10" ht="13.2">
      <c r="A5653" s="7">
        <v>5652</v>
      </c>
      <c r="B5653" s="7">
        <v>1</v>
      </c>
      <c r="C5653" s="7" t="s">
        <v>10</v>
      </c>
      <c r="D5653" s="7">
        <v>4775</v>
      </c>
      <c r="E5653" s="7" t="s">
        <v>15</v>
      </c>
      <c r="F5653" s="8" t="str">
        <f ca="1">IFERROR(__xludf.DUMMYFUNCTION("IF
(
C5654=""фізична особа""
,
VLOOKUP(D5654,IMPORTRANGE(""https://docs.google.com/spreadsheets/d/14Bd19lYaqBhU8_DElYkX7l4wRkHqqCUFNJY4AfY3kHU/edit?usp=sharing  #gid=0"",""фіз особи new!relations_name""),6,FALSE)
,
(IF
(
C5654=""юридична особа""
,
VLOOKUP"&amp;"(D5654,IMPORTRANGE(""https://docs.google.com/spreadsheets/d/14Bd19lYaqBhU8_DElYkX7l4wRkHqqCUFNJY4AfY3kHU/edit?usp=sharing  #gid=0"",""фіз особи new!relations_name_uo""),7,FALSE)
,
)
))"),"ПОЛЯКОВА Ольга Олександрівна")</f>
        <v>ПОЛЯКОВА Ольга Олександрівна</v>
      </c>
      <c r="G5653" s="7" t="s">
        <v>10</v>
      </c>
      <c r="H5653" s="7">
        <v>479</v>
      </c>
      <c r="I5653" s="8" t="str">
        <f ca="1">IFERROR(__xludf.DUMMYFUNCTION("IF
(
G5654=""фізична особа""
,
VLOOKUP(H5654,IMPORTRANGE(""https://docs.google.com/spreadsheets/d/14Bd19lYaqBhU8_DElYkX7l4wRkHqqCUFNJY4AfY3kHU/edit?usp=sharing  #gid=0"",""фіз особи new!relations_name""),6,FALSE)
,
(IF
(
G5654=""юридична особа""
,
VLOOKUP"&amp;"(H5654,IMPORTRANGE(""https://docs.google.com/spreadsheets/d/14Bd19lYaqBhU8_DElYkX7l4wRkHqqCUFNJY4AfY3kHU/edit?usp=sharing  #gid=0"",""фіз особи new!relations_name_uo""),7,FALSE)
,
)
))"),"ХІНШТЕЙН Олександр Євсійович")</f>
        <v>ХІНШТЕЙН Олександр Євсійович</v>
      </c>
      <c r="J5653" s="7" t="s">
        <v>14</v>
      </c>
    </row>
    <row r="5654" spans="1:10" ht="13.2">
      <c r="A5654" s="7">
        <v>5653</v>
      </c>
      <c r="B5654" s="7">
        <v>1</v>
      </c>
      <c r="C5654" s="7" t="s">
        <v>10</v>
      </c>
      <c r="D5654" s="7">
        <v>4776</v>
      </c>
      <c r="E5654" s="7" t="s">
        <v>15</v>
      </c>
      <c r="F5654" s="8" t="str">
        <f ca="1">IFERROR(__xludf.DUMMYFUNCTION("IF
(
C5655=""фізична особа""
,
VLOOKUP(D5655,IMPORTRANGE(""https://docs.google.com/spreadsheets/d/14Bd19lYaqBhU8_DElYkX7l4wRkHqqCUFNJY4AfY3kHU/edit?usp=sharing  #gid=0"",""фіз особи new!relations_name""),6,FALSE)
,
(IF
(
C5655=""юридична особа""
,
VLOOKUP"&amp;"(D5655,IMPORTRANGE(""https://docs.google.com/spreadsheets/d/14Bd19lYaqBhU8_DElYkX7l4wRkHqqCUFNJY4AfY3kHU/edit?usp=sharing  #gid=0"",""фіз особи new!relations_name_uo""),7,FALSE)
,
)
))"),"ХОВАЛИГ Айлана Чечей-ооловна")</f>
        <v>ХОВАЛИГ Айлана Чечей-ооловна</v>
      </c>
      <c r="G5654" s="7" t="s">
        <v>10</v>
      </c>
      <c r="H5654" s="7">
        <v>2514</v>
      </c>
      <c r="I5654" s="8" t="str">
        <f ca="1">IFERROR(__xludf.DUMMYFUNCTION("IF
(
G5655=""фізична особа""
,
VLOOKUP(H5655,IMPORTRANGE(""https://docs.google.com/spreadsheets/d/14Bd19lYaqBhU8_DElYkX7l4wRkHqqCUFNJY4AfY3kHU/edit?usp=sharing  #gid=0"",""фіз особи new!relations_name""),6,FALSE)
,
(IF
(
G5655=""юридична особа""
,
VLOOKUP"&amp;"(H5655,IMPORTRANGE(""https://docs.google.com/spreadsheets/d/14Bd19lYaqBhU8_DElYkX7l4wRkHqqCUFNJY4AfY3kHU/edit?usp=sharing  #gid=0"",""фіз особи new!relations_name_uo""),7,FALSE)
,
)
))"),"ХОВАЛИГ Владислав Товарищтайович")</f>
        <v>ХОВАЛИГ Владислав Товарищтайович</v>
      </c>
      <c r="J5654" s="7" t="s">
        <v>14</v>
      </c>
    </row>
    <row r="5655" spans="1:10" ht="13.2">
      <c r="A5655" s="7">
        <v>5654</v>
      </c>
      <c r="B5655" s="7">
        <v>1</v>
      </c>
      <c r="C5655" s="7" t="s">
        <v>10</v>
      </c>
      <c r="D5655" s="7">
        <v>4777</v>
      </c>
      <c r="E5655" s="7" t="s">
        <v>15</v>
      </c>
      <c r="F5655" s="8" t="str">
        <f ca="1">IFERROR(__xludf.DUMMYFUNCTION("IF
(
C5656=""фізична особа""
,
VLOOKUP(D5656,IMPORTRANGE(""https://docs.google.com/spreadsheets/d/14Bd19lYaqBhU8_DElYkX7l4wRkHqqCUFNJY4AfY3kHU/edit?usp=sharing  #gid=0"",""фіз особи new!relations_name""),6,FALSE)
,
(IF
(
C5656=""юридична особа""
,
VLOOKUP"&amp;"(D5656,IMPORTRANGE(""https://docs.google.com/spreadsheets/d/14Bd19lYaqBhU8_DElYkX7l4wRkHqqCUFNJY4AfY3kHU/edit?usp=sharing  #gid=0"",""фіз особи new!relations_name_uo""),7,FALSE)
,
)
))"),"ХУБЕЗОВА Ірина Євгеніївна")</f>
        <v>ХУБЕЗОВА Ірина Євгеніївна</v>
      </c>
      <c r="G5655" s="7" t="s">
        <v>10</v>
      </c>
      <c r="H5655" s="7">
        <v>183</v>
      </c>
      <c r="I5655" s="8" t="str">
        <f ca="1">IFERROR(__xludf.DUMMYFUNCTION("IF
(
G5656=""фізична особа""
,
VLOOKUP(H5656,IMPORTRANGE(""https://docs.google.com/spreadsheets/d/14Bd19lYaqBhU8_DElYkX7l4wRkHqqCUFNJY4AfY3kHU/edit?usp=sharing  #gid=0"",""фіз особи new!relations_name""),6,FALSE)
,
(IF
(
G5656=""юридична особа""
,
VLOOKUP"&amp;"(H5656,IMPORTRANGE(""https://docs.google.com/spreadsheets/d/14Bd19lYaqBhU8_DElYkX7l4wRkHqqCUFNJY4AfY3kHU/edit?usp=sharing  #gid=0"",""фіз особи new!relations_name_uo""),7,FALSE)
,
)
))"),"ХУБЕЗОВ Дмитро Анатолійович")</f>
        <v>ХУБЕЗОВ Дмитро Анатолійович</v>
      </c>
      <c r="J5655" s="7" t="s">
        <v>14</v>
      </c>
    </row>
    <row r="5656" spans="1:10" ht="13.2">
      <c r="A5656" s="7">
        <v>5655</v>
      </c>
      <c r="B5656" s="7">
        <v>1</v>
      </c>
      <c r="C5656" s="7" t="s">
        <v>10</v>
      </c>
      <c r="D5656" s="7">
        <v>4778</v>
      </c>
      <c r="E5656" s="7" t="s">
        <v>21</v>
      </c>
      <c r="F5656" s="8" t="str">
        <f ca="1">IFERROR(__xludf.DUMMYFUNCTION("IF
(
C5657=""фізична особа""
,
VLOOKUP(D5657,IMPORTRANGE(""https://docs.google.com/spreadsheets/d/14Bd19lYaqBhU8_DElYkX7l4wRkHqqCUFNJY4AfY3kHU/edit?usp=sharing  #gid=0"",""фіз особи new!relations_name""),6,FALSE)
,
(IF
(
C5657=""юридична особа""
,
VLOOKUP"&amp;"(D5657,IMPORTRANGE(""https://docs.google.com/spreadsheets/d/14Bd19lYaqBhU8_DElYkX7l4wRkHqqCUFNJY4AfY3kHU/edit?usp=sharing  #gid=0"",""фіз особи new!relations_name_uo""),7,FALSE)
,
)
))"),"ЦИБУЛЬСЬКА Олена Миколаївна")</f>
        <v>ЦИБУЛЬСЬКА Олена Миколаївна</v>
      </c>
      <c r="G5656" s="7" t="s">
        <v>10</v>
      </c>
      <c r="H5656" s="7">
        <v>2526</v>
      </c>
      <c r="I5656" s="8" t="str">
        <f ca="1">IFERROR(__xludf.DUMMYFUNCTION("IF
(
G5657=""фізична особа""
,
VLOOKUP(H5657,IMPORTRANGE(""https://docs.google.com/spreadsheets/d/14Bd19lYaqBhU8_DElYkX7l4wRkHqqCUFNJY4AfY3kHU/edit?usp=sharing  #gid=0"",""фіз особи new!relations_name""),6,FALSE)
,
(IF
(
G5657=""юридична особа""
,
VLOOKUP"&amp;"(H5657,IMPORTRANGE(""https://docs.google.com/spreadsheets/d/14Bd19lYaqBhU8_DElYkX7l4wRkHqqCUFNJY4AfY3kHU/edit?usp=sharing  #gid=0"",""фіз особи new!relations_name_uo""),7,FALSE)
,
)
))"),"ЦИБУЛЬСЬКИЙ Олександр Віталійович")</f>
        <v>ЦИБУЛЬСЬКИЙ Олександр Віталійович</v>
      </c>
      <c r="J5656" s="7" t="s">
        <v>17</v>
      </c>
    </row>
    <row r="5657" spans="1:10" ht="13.2">
      <c r="A5657" s="7">
        <v>5656</v>
      </c>
      <c r="B5657" s="7">
        <v>1</v>
      </c>
      <c r="C5657" s="7" t="s">
        <v>10</v>
      </c>
      <c r="D5657" s="7">
        <v>4779</v>
      </c>
      <c r="E5657" s="7" t="s">
        <v>12</v>
      </c>
      <c r="F5657" s="8" t="str">
        <f ca="1">IFERROR(__xludf.DUMMYFUNCTION("IF
(
C5658=""фізична особа""
,
VLOOKUP(D5658,IMPORTRANGE(""https://docs.google.com/spreadsheets/d/14Bd19lYaqBhU8_DElYkX7l4wRkHqqCUFNJY4AfY3kHU/edit?usp=sharing  #gid=0"",""фіз особи new!relations_name""),6,FALSE)
,
(IF
(
C5658=""юридична особа""
,
VLOOKUP"&amp;"(D5658,IMPORTRANGE(""https://docs.google.com/spreadsheets/d/14Bd19lYaqBhU8_DElYkX7l4wRkHqqCUFNJY4AfY3kHU/edit?usp=sharing  #gid=0"",""фіз особи new!relations_name_uo""),7,FALSE)
,
)
))"),"ЦИБУЛЬСЬКИЙ Віталій Григорович")</f>
        <v>ЦИБУЛЬСЬКИЙ Віталій Григорович</v>
      </c>
      <c r="G5657" s="7" t="s">
        <v>10</v>
      </c>
      <c r="H5657" s="7">
        <v>2526</v>
      </c>
      <c r="I5657" s="8" t="str">
        <f ca="1">IFERROR(__xludf.DUMMYFUNCTION("IF
(
G5658=""фізична особа""
,
VLOOKUP(H5658,IMPORTRANGE(""https://docs.google.com/spreadsheets/d/14Bd19lYaqBhU8_DElYkX7l4wRkHqqCUFNJY4AfY3kHU/edit?usp=sharing  #gid=0"",""фіз особи new!relations_name""),6,FALSE)
,
(IF
(
G5658=""юридична особа""
,
VLOOKUP"&amp;"(H5658,IMPORTRANGE(""https://docs.google.com/spreadsheets/d/14Bd19lYaqBhU8_DElYkX7l4wRkHqqCUFNJY4AfY3kHU/edit?usp=sharing  #gid=0"",""фіз особи new!relations_name_uo""),7,FALSE)
,
)
))"),"ЦИБУЛЬСЬКИЙ Олександр Віталійович")</f>
        <v>ЦИБУЛЬСЬКИЙ Олександр Віталійович</v>
      </c>
      <c r="J5657" s="7" t="s">
        <v>17</v>
      </c>
    </row>
    <row r="5658" spans="1:10" ht="13.2">
      <c r="A5658" s="7">
        <v>5657</v>
      </c>
      <c r="B5658" s="7">
        <v>1</v>
      </c>
      <c r="C5658" s="7" t="s">
        <v>10</v>
      </c>
      <c r="D5658" s="7">
        <v>4780</v>
      </c>
      <c r="E5658" s="7" t="s">
        <v>30</v>
      </c>
      <c r="F5658" s="8" t="str">
        <f ca="1">IFERROR(__xludf.DUMMYFUNCTION("IF
(
C5659=""фізична особа""
,
VLOOKUP(D5659,IMPORTRANGE(""https://docs.google.com/spreadsheets/d/14Bd19lYaqBhU8_DElYkX7l4wRkHqqCUFNJY4AfY3kHU/edit?usp=sharing  #gid=0"",""фіз особи new!relations_name""),6,FALSE)
,
(IF
(
C5659=""юридична особа""
,
VLOOKUP"&amp;"(D5659,IMPORTRANGE(""https://docs.google.com/spreadsheets/d/14Bd19lYaqBhU8_DElYkX7l4wRkHqqCUFNJY4AfY3kHU/edit?usp=sharing  #gid=0"",""фіз особи new!relations_name_uo""),7,FALSE)
,
)
))"),"ЧЕРКАСОВ Костянтин Костянтинович")</f>
        <v>ЧЕРКАСОВ Костянтин Костянтинович</v>
      </c>
      <c r="G5658" s="7" t="s">
        <v>10</v>
      </c>
      <c r="H5658" s="7">
        <v>23539</v>
      </c>
      <c r="I5658" s="8" t="str">
        <f ca="1">IFERROR(__xludf.DUMMYFUNCTION("IF
(
G5659=""фізична особа""
,
VLOOKUP(H5659,IMPORTRANGE(""https://docs.google.com/spreadsheets/d/14Bd19lYaqBhU8_DElYkX7l4wRkHqqCUFNJY4AfY3kHU/edit?usp=sharing  #gid=0"",""фіз особи new!relations_name""),6,FALSE)
,
(IF
(
G5659=""юридична особа""
,
VLOOKUP"&amp;"(H5659,IMPORTRANGE(""https://docs.google.com/spreadsheets/d/14Bd19lYaqBhU8_DElYkX7l4wRkHqqCUFNJY4AfY3kHU/edit?usp=sharing  #gid=0"",""фіз особи new!relations_name_uo""),7,FALSE)
,
)
))"),"СОЛОПОВ Євгеній Володимирович")</f>
        <v>СОЛОПОВ Євгеній Володимирович</v>
      </c>
      <c r="J5658" s="7" t="s">
        <v>30</v>
      </c>
    </row>
    <row r="5659" spans="1:10" ht="13.2">
      <c r="A5659" s="7">
        <v>5658</v>
      </c>
      <c r="B5659" s="7">
        <v>1</v>
      </c>
      <c r="C5659" s="7" t="s">
        <v>10</v>
      </c>
      <c r="D5659" s="7">
        <v>4780</v>
      </c>
      <c r="E5659" s="7" t="s">
        <v>30</v>
      </c>
      <c r="F5659" s="8" t="str">
        <f ca="1">IFERROR(__xludf.DUMMYFUNCTION("IF
(
C5660=""фізична особа""
,
VLOOKUP(D5660,IMPORTRANGE(""https://docs.google.com/spreadsheets/d/14Bd19lYaqBhU8_DElYkX7l4wRkHqqCUFNJY4AfY3kHU/edit?usp=sharing  #gid=0"",""фіз особи new!relations_name""),6,FALSE)
,
(IF
(
C5660=""юридична особа""
,
VLOOKUP"&amp;"(D5660,IMPORTRANGE(""https://docs.google.com/spreadsheets/d/14Bd19lYaqBhU8_DElYkX7l4wRkHqqCUFNJY4AfY3kHU/edit?usp=sharing  #gid=0"",""фіз особи new!relations_name_uo""),7,FALSE)
,
)
))"),"ЧЕРКАСОВ Костянтин Костянтинович")</f>
        <v>ЧЕРКАСОВ Костянтин Костянтинович</v>
      </c>
      <c r="G5659" s="7" t="s">
        <v>10</v>
      </c>
      <c r="H5659" s="7">
        <v>23540</v>
      </c>
      <c r="I5659" s="8" t="str">
        <f ca="1">IFERROR(__xludf.DUMMYFUNCTION("IF
(
G5660=""фізична особа""
,
VLOOKUP(H5660,IMPORTRANGE(""https://docs.google.com/spreadsheets/d/14Bd19lYaqBhU8_DElYkX7l4wRkHqqCUFNJY4AfY3kHU/edit?usp=sharing  #gid=0"",""фіз особи new!relations_name""),6,FALSE)
,
(IF
(
G5660=""юридична особа""
,
VLOOKUP"&amp;"(H5660,IMPORTRANGE(""https://docs.google.com/spreadsheets/d/14Bd19lYaqBhU8_DElYkX7l4wRkHqqCUFNJY4AfY3kHU/edit?usp=sharing  #gid=0"",""фіз особи new!relations_name_uo""),7,FALSE)
,
)
))"),"ЯСИНСЬКИЙ Микола Феліксович")</f>
        <v>ЯСИНСЬКИЙ Микола Феліксович</v>
      </c>
      <c r="J5659" s="7" t="s">
        <v>30</v>
      </c>
    </row>
    <row r="5660" spans="1:10" ht="13.2">
      <c r="A5660" s="7">
        <v>5659</v>
      </c>
      <c r="B5660" s="7">
        <v>1</v>
      </c>
      <c r="C5660" s="7" t="s">
        <v>10</v>
      </c>
      <c r="D5660" s="7">
        <v>4781</v>
      </c>
      <c r="E5660" s="7" t="s">
        <v>15</v>
      </c>
      <c r="F5660" s="8" t="str">
        <f ca="1">IFERROR(__xludf.DUMMYFUNCTION("IF
(
C5661=""фізична особа""
,
VLOOKUP(D5661,IMPORTRANGE(""https://docs.google.com/spreadsheets/d/14Bd19lYaqBhU8_DElYkX7l4wRkHqqCUFNJY4AfY3kHU/edit?usp=sharing  #gid=0"",""фіз особи new!relations_name""),6,FALSE)
,
(IF
(
C5661=""юридична особа""
,
VLOOKUP"&amp;"(D5661,IMPORTRANGE(""https://docs.google.com/spreadsheets/d/14Bd19lYaqBhU8_DElYkX7l4wRkHqqCUFNJY4AfY3kHU/edit?usp=sharing  #gid=0"",""фіз особи new!relations_name_uo""),7,FALSE)
,
)
))"),"ЧЕРКАСОВА Євгенія Юріївна")</f>
        <v>ЧЕРКАСОВА Євгенія Юріївна</v>
      </c>
      <c r="G5660" s="7" t="s">
        <v>10</v>
      </c>
      <c r="H5660" s="7">
        <v>4780</v>
      </c>
      <c r="I5660" s="8" t="str">
        <f ca="1">IFERROR(__xludf.DUMMYFUNCTION("IF
(
G5661=""фізична особа""
,
VLOOKUP(H5661,IMPORTRANGE(""https://docs.google.com/spreadsheets/d/14Bd19lYaqBhU8_DElYkX7l4wRkHqqCUFNJY4AfY3kHU/edit?usp=sharing  #gid=0"",""фіз особи new!relations_name""),6,FALSE)
,
(IF
(
G5661=""юридична особа""
,
VLOOKUP"&amp;"(H5661,IMPORTRANGE(""https://docs.google.com/spreadsheets/d/14Bd19lYaqBhU8_DElYkX7l4wRkHqqCUFNJY4AfY3kHU/edit?usp=sharing  #gid=0"",""фіз особи new!relations_name_uo""),7,FALSE)
,
)
))"),"ЧЕРКАСОВ Костянтин Костянтинович")</f>
        <v>ЧЕРКАСОВ Костянтин Костянтинович</v>
      </c>
      <c r="J5660" s="7" t="s">
        <v>14</v>
      </c>
    </row>
    <row r="5661" spans="1:10" ht="13.2">
      <c r="A5661" s="7">
        <v>5660</v>
      </c>
      <c r="B5661" s="7">
        <v>1</v>
      </c>
      <c r="C5661" s="7" t="s">
        <v>10</v>
      </c>
      <c r="D5661" s="7">
        <v>4781</v>
      </c>
      <c r="E5661" s="7" t="s">
        <v>30</v>
      </c>
      <c r="F5661" s="8" t="str">
        <f ca="1">IFERROR(__xludf.DUMMYFUNCTION("IF
(
C5662=""фізична особа""
,
VLOOKUP(D5662,IMPORTRANGE(""https://docs.google.com/spreadsheets/d/14Bd19lYaqBhU8_DElYkX7l4wRkHqqCUFNJY4AfY3kHU/edit?usp=sharing  #gid=0"",""фіз особи new!relations_name""),6,FALSE)
,
(IF
(
C5662=""юридична особа""
,
VLOOKUP"&amp;"(D5662,IMPORTRANGE(""https://docs.google.com/spreadsheets/d/14Bd19lYaqBhU8_DElYkX7l4wRkHqqCUFNJY4AfY3kHU/edit?usp=sharing  #gid=0"",""фіз особи new!relations_name_uo""),7,FALSE)
,
)
))"),"ЧЕРКАСОВА Євгенія Юріївна")</f>
        <v>ЧЕРКАСОВА Євгенія Юріївна</v>
      </c>
      <c r="G5661" s="7" t="s">
        <v>10</v>
      </c>
      <c r="H5661" s="7">
        <v>23539</v>
      </c>
      <c r="I5661" s="8" t="str">
        <f ca="1">IFERROR(__xludf.DUMMYFUNCTION("IF
(
G5662=""фізична особа""
,
VLOOKUP(H5662,IMPORTRANGE(""https://docs.google.com/spreadsheets/d/14Bd19lYaqBhU8_DElYkX7l4wRkHqqCUFNJY4AfY3kHU/edit?usp=sharing  #gid=0"",""фіз особи new!relations_name""),6,FALSE)
,
(IF
(
G5662=""юридична особа""
,
VLOOKUP"&amp;"(H5662,IMPORTRANGE(""https://docs.google.com/spreadsheets/d/14Bd19lYaqBhU8_DElYkX7l4wRkHqqCUFNJY4AfY3kHU/edit?usp=sharing  #gid=0"",""фіз особи new!relations_name_uo""),7,FALSE)
,
)
))"),"СОЛОПОВ Євгеній Володимирович")</f>
        <v>СОЛОПОВ Євгеній Володимирович</v>
      </c>
      <c r="J5661" s="7" t="s">
        <v>30</v>
      </c>
    </row>
    <row r="5662" spans="1:10" ht="13.2">
      <c r="A5662" s="7">
        <v>5661</v>
      </c>
      <c r="B5662" s="7">
        <v>1</v>
      </c>
      <c r="C5662" s="7" t="s">
        <v>10</v>
      </c>
      <c r="D5662" s="7">
        <v>4781</v>
      </c>
      <c r="E5662" s="7" t="s">
        <v>30</v>
      </c>
      <c r="F5662" s="8" t="str">
        <f ca="1">IFERROR(__xludf.DUMMYFUNCTION("IF
(
C5663=""фізична особа""
,
VLOOKUP(D5663,IMPORTRANGE(""https://docs.google.com/spreadsheets/d/14Bd19lYaqBhU8_DElYkX7l4wRkHqqCUFNJY4AfY3kHU/edit?usp=sharing  #gid=0"",""фіз особи new!relations_name""),6,FALSE)
,
(IF
(
C5663=""юридична особа""
,
VLOOKUP"&amp;"(D5663,IMPORTRANGE(""https://docs.google.com/spreadsheets/d/14Bd19lYaqBhU8_DElYkX7l4wRkHqqCUFNJY4AfY3kHU/edit?usp=sharing  #gid=0"",""фіз особи new!relations_name_uo""),7,FALSE)
,
)
))"),"ЧЕРКАСОВА Євгенія Юріївна")</f>
        <v>ЧЕРКАСОВА Євгенія Юріївна</v>
      </c>
      <c r="G5662" s="7" t="s">
        <v>10</v>
      </c>
      <c r="H5662" s="7">
        <v>23540</v>
      </c>
      <c r="I5662" s="8" t="str">
        <f ca="1">IFERROR(__xludf.DUMMYFUNCTION("IF
(
G5663=""фізична особа""
,
VLOOKUP(H5663,IMPORTRANGE(""https://docs.google.com/spreadsheets/d/14Bd19lYaqBhU8_DElYkX7l4wRkHqqCUFNJY4AfY3kHU/edit?usp=sharing  #gid=0"",""фіз особи new!relations_name""),6,FALSE)
,
(IF
(
G5663=""юридична особа""
,
VLOOKUP"&amp;"(H5663,IMPORTRANGE(""https://docs.google.com/spreadsheets/d/14Bd19lYaqBhU8_DElYkX7l4wRkHqqCUFNJY4AfY3kHU/edit?usp=sharing  #gid=0"",""фіз особи new!relations_name_uo""),7,FALSE)
,
)
))"),"ЯСИНСЬКИЙ Микола Феліксович")</f>
        <v>ЯСИНСЬКИЙ Микола Феліксович</v>
      </c>
      <c r="J5662" s="7" t="s">
        <v>30</v>
      </c>
    </row>
    <row r="5663" spans="1:10" ht="13.2">
      <c r="A5663" s="7">
        <v>5662</v>
      </c>
      <c r="B5663" s="7">
        <v>1</v>
      </c>
      <c r="C5663" s="7" t="s">
        <v>10</v>
      </c>
      <c r="D5663" s="7">
        <v>4782</v>
      </c>
      <c r="E5663" s="7" t="s">
        <v>15</v>
      </c>
      <c r="F5663" s="8" t="str">
        <f ca="1">IFERROR(__xludf.DUMMYFUNCTION("IF
(
C5664=""фізична особа""
,
VLOOKUP(D5664,IMPORTRANGE(""https://docs.google.com/spreadsheets/d/14Bd19lYaqBhU8_DElYkX7l4wRkHqqCUFNJY4AfY3kHU/edit?usp=sharing  #gid=0"",""фіз особи new!relations_name""),6,FALSE)
,
(IF
(
C5664=""юридична особа""
,
VLOOKUP"&amp;"(D5664,IMPORTRANGE(""https://docs.google.com/spreadsheets/d/14Bd19lYaqBhU8_DElYkX7l4wRkHqqCUFNJY4AfY3kHU/edit?usp=sharing  #gid=0"",""фіз особи new!relations_name_uo""),7,FALSE)
,
)
))"),"ЧІБІС / РОМАНОВА Євгенія Володимирівна")</f>
        <v>ЧІБІС / РОМАНОВА Євгенія Володимирівна</v>
      </c>
      <c r="G5663" s="7" t="s">
        <v>10</v>
      </c>
      <c r="H5663" s="7">
        <v>2546</v>
      </c>
      <c r="I5663" s="8" t="str">
        <f ca="1">IFERROR(__xludf.DUMMYFUNCTION("IF
(
G5664=""фізична особа""
,
VLOOKUP(H5664,IMPORTRANGE(""https://docs.google.com/spreadsheets/d/14Bd19lYaqBhU8_DElYkX7l4wRkHqqCUFNJY4AfY3kHU/edit?usp=sharing  #gid=0"",""фіз особи new!relations_name""),6,FALSE)
,
(IF
(
G5664=""юридична особа""
,
VLOOKUP"&amp;"(H5664,IMPORTRANGE(""https://docs.google.com/spreadsheets/d/14Bd19lYaqBhU8_DElYkX7l4wRkHqqCUFNJY4AfY3kHU/edit?usp=sharing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J5663" s="7" t="s">
        <v>14</v>
      </c>
    </row>
    <row r="5664" spans="1:10" ht="13.2">
      <c r="A5664" s="7">
        <v>5663</v>
      </c>
      <c r="B5664" s="7">
        <v>1</v>
      </c>
      <c r="C5664" s="7" t="s">
        <v>10</v>
      </c>
      <c r="D5664" s="7">
        <v>4783</v>
      </c>
      <c r="E5664" s="7" t="s">
        <v>12</v>
      </c>
      <c r="F5664" s="8" t="str">
        <f ca="1">IFERROR(__xludf.DUMMYFUNCTION("IF
(
C5665=""фізична особа""
,
VLOOKUP(D5665,IMPORTRANGE(""https://docs.google.com/spreadsheets/d/14Bd19lYaqBhU8_DElYkX7l4wRkHqqCUFNJY4AfY3kHU/edit?usp=sharing  #gid=0"",""фіз особи new!relations_name""),6,FALSE)
,
(IF
(
C5665=""юридична особа""
,
VLOOKUP"&amp;"(D5665,IMPORTRANGE(""https://docs.google.com/spreadsheets/d/14Bd19lYaqBhU8_DElYkX7l4wRkHqqCUFNJY4AfY3kHU/edit?usp=sharing  #gid=0"",""фіз особи new!relations_name_uo""),7,FALSE)
,
)
))"),"ЧІБІС Володимир Олександрович")</f>
        <v>ЧІБІС Володимир Олександрович</v>
      </c>
      <c r="G5664" s="7" t="s">
        <v>10</v>
      </c>
      <c r="H5664" s="7">
        <v>2546</v>
      </c>
      <c r="I5664" s="8" t="str">
        <f ca="1">IFERROR(__xludf.DUMMYFUNCTION("IF
(
G5665=""фізична особа""
,
VLOOKUP(H5665,IMPORTRANGE(""https://docs.google.com/spreadsheets/d/14Bd19lYaqBhU8_DElYkX7l4wRkHqqCUFNJY4AfY3kHU/edit?usp=sharing  #gid=0"",""фіз особи new!relations_name""),6,FALSE)
,
(IF
(
G5665=""юридична особа""
,
VLOOKUP"&amp;"(H5665,IMPORTRANGE(""https://docs.google.com/spreadsheets/d/14Bd19lYaqBhU8_DElYkX7l4wRkHqqCUFNJY4AfY3kHU/edit?usp=sharing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J5664" s="7" t="s">
        <v>17</v>
      </c>
    </row>
    <row r="5665" spans="1:10" ht="13.2">
      <c r="A5665" s="7">
        <v>5664</v>
      </c>
      <c r="B5665" s="7">
        <v>1</v>
      </c>
      <c r="C5665" s="7" t="s">
        <v>10</v>
      </c>
      <c r="D5665" s="7">
        <v>4784</v>
      </c>
      <c r="E5665" s="7" t="s">
        <v>31</v>
      </c>
      <c r="F5665" s="8" t="str">
        <f ca="1">IFERROR(__xludf.DUMMYFUNCTION("IF
(
C5666=""фізична особа""
,
VLOOKUP(D5666,IMPORTRANGE(""https://docs.google.com/spreadsheets/d/14Bd19lYaqBhU8_DElYkX7l4wRkHqqCUFNJY4AfY3kHU/edit?usp=sharing  #gid=0"",""фіз особи new!relations_name""),6,FALSE)
,
(IF
(
C5666=""юридична особа""
,
VLOOKUP"&amp;"(D5666,IMPORTRANGE(""https://docs.google.com/spreadsheets/d/14Bd19lYaqBhU8_DElYkX7l4wRkHqqCUFNJY4AfY3kHU/edit?usp=sharing  #gid=0"",""фіз особи new!relations_name_uo""),7,FALSE)
,
)
))"),"КРЕТОВА Тетяна Володимирівна")</f>
        <v>КРЕТОВА Тетяна Володимирівна</v>
      </c>
      <c r="G5665" s="7" t="s">
        <v>10</v>
      </c>
      <c r="H5665" s="7">
        <v>2546</v>
      </c>
      <c r="I5665" s="8" t="str">
        <f ca="1">IFERROR(__xludf.DUMMYFUNCTION("IF
(
G5666=""фізична особа""
,
VLOOKUP(H5666,IMPORTRANGE(""https://docs.google.com/spreadsheets/d/14Bd19lYaqBhU8_DElYkX7l4wRkHqqCUFNJY4AfY3kHU/edit?usp=sharing  #gid=0"",""фіз особи new!relations_name""),6,FALSE)
,
(IF
(
G5666=""юридична особа""
,
VLOOKUP"&amp;"(H5666,IMPORTRANGE(""https://docs.google.com/spreadsheets/d/14Bd19lYaqBhU8_DElYkX7l4wRkHqqCUFNJY4AfY3kHU/edit?usp=sharing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J5665" s="7" t="s">
        <v>18</v>
      </c>
    </row>
    <row r="5666" spans="1:10" ht="13.2">
      <c r="A5666" s="7">
        <v>5665</v>
      </c>
      <c r="B5666" s="7">
        <v>1</v>
      </c>
      <c r="C5666" s="7" t="s">
        <v>10</v>
      </c>
      <c r="D5666" s="7">
        <v>4784</v>
      </c>
      <c r="E5666" s="7" t="s">
        <v>104</v>
      </c>
      <c r="F5666" s="8" t="str">
        <f ca="1">IFERROR(__xludf.DUMMYFUNCTION("IF
(
C5667=""фізична особа""
,
VLOOKUP(D5667,IMPORTRANGE(""https://docs.google.com/spreadsheets/d/14Bd19lYaqBhU8_DElYkX7l4wRkHqqCUFNJY4AfY3kHU/edit?usp=sharing  #gid=0"",""фіз особи new!relations_name""),6,FALSE)
,
(IF
(
C5667=""юридична особа""
,
VLOOKUP"&amp;"(D5667,IMPORTRANGE(""https://docs.google.com/spreadsheets/d/14Bd19lYaqBhU8_DElYkX7l4wRkHqqCUFNJY4AfY3kHU/edit?usp=sharing  #gid=0"",""фіз особи new!relations_name_uo""),7,FALSE)
,
)
))"),"КРЕТОВА Тетяна Володимирівна")</f>
        <v>КРЕТОВА Тетяна Володимирівна</v>
      </c>
      <c r="G5666" s="7" t="s">
        <v>10</v>
      </c>
      <c r="H5666" s="7">
        <v>0</v>
      </c>
      <c r="I5666" s="8" t="str">
        <f ca="1">IFERROR(__xludf.DUMMYFUNCTION("IF
(
G5667=""фізична особа""
,
VLOOKUP(H5667,IMPORTRANGE(""https://docs.google.com/spreadsheets/d/14Bd19lYaqBhU8_DElYkX7l4wRkHqqCUFNJY4AfY3kHU/edit?usp=sharing  #gid=0"",""фіз особи new!relations_name""),6,FALSE)
,
(IF
(
G5667=""юридична особа""
,
VLOOKUP"&amp;"(H5667,IMPORTRANGE(""https://docs.google.com/spreadsheets/d/14Bd19lYaqBhU8_DElYkX7l4wRkHqqCUFNJY4AfY3kHU/edit?usp=sharing  #gid=0"",""фіз особи new!relations_name_uo""),7,FALSE)
,
)
))"),"#N/A")</f>
        <v>#N/A</v>
      </c>
      <c r="J5666" s="7" t="s">
        <v>29</v>
      </c>
    </row>
    <row r="5667" spans="1:10" ht="13.2">
      <c r="A5667" s="7">
        <v>5666</v>
      </c>
      <c r="B5667" s="7">
        <v>1</v>
      </c>
      <c r="C5667" s="7" t="s">
        <v>10</v>
      </c>
      <c r="D5667" s="7">
        <v>4785</v>
      </c>
      <c r="E5667" s="7" t="s">
        <v>20</v>
      </c>
      <c r="F5667" s="8" t="str">
        <f ca="1">IFERROR(__xludf.DUMMYFUNCTION("IF
(
C5668=""фізична особа""
,
VLOOKUP(D5668,IMPORTRANGE(""https://docs.google.com/spreadsheets/d/14Bd19lYaqBhU8_DElYkX7l4wRkHqqCUFNJY4AfY3kHU/edit?usp=sharing  #gid=0"",""фіз особи new!relations_name""),6,FALSE)
,
(IF
(
C5668=""юридична особа""
,
VLOOKUP"&amp;"(D5668,IMPORTRANGE(""https://docs.google.com/spreadsheets/d/14Bd19lYaqBhU8_DElYkX7l4wRkHqqCUFNJY4AfY3kHU/edit?usp=sharing  #gid=0"",""фіз особи new!relations_name_uo""),7,FALSE)
,
)
))"),"КРЕТОВ Микита Валерійович")</f>
        <v>КРЕТОВ Микита Валерійович</v>
      </c>
      <c r="G5667" s="7" t="s">
        <v>10</v>
      </c>
      <c r="H5667" s="7">
        <v>2546</v>
      </c>
      <c r="I5667" s="8" t="str">
        <f ca="1">IFERROR(__xludf.DUMMYFUNCTION("IF
(
G5668=""фізична особа""
,
VLOOKUP(H5668,IMPORTRANGE(""https://docs.google.com/spreadsheets/d/14Bd19lYaqBhU8_DElYkX7l4wRkHqqCUFNJY4AfY3kHU/edit?usp=sharing  #gid=0"",""фіз особи new!relations_name""),6,FALSE)
,
(IF
(
G5668=""юридична особа""
,
VLOOKUP"&amp;"(H5668,IMPORTRANGE(""https://docs.google.com/spreadsheets/d/14Bd19lYaqBhU8_DElYkX7l4wRkHqqCUFNJY4AfY3kHU/edit?usp=sharing  #gid=0"",""фіз особи new!relations_name_uo""),7,FALSE)
,
)
))"),"ЧИБІС Андрій Володимирович")</f>
        <v>ЧИБІС Андрій Володимирович</v>
      </c>
      <c r="J5667" s="7" t="s">
        <v>19</v>
      </c>
    </row>
    <row r="5668" spans="1:10" ht="13.2">
      <c r="A5668" s="7">
        <v>5667</v>
      </c>
      <c r="B5668" s="7">
        <v>1</v>
      </c>
      <c r="C5668" s="7" t="s">
        <v>10</v>
      </c>
      <c r="D5668" s="7">
        <v>4786</v>
      </c>
      <c r="E5668" s="7" t="s">
        <v>104</v>
      </c>
      <c r="F5668" s="8" t="str">
        <f ca="1">IFERROR(__xludf.DUMMYFUNCTION("IF
(
C5669=""фізична особа""
,
VLOOKUP(D5669,IMPORTRANGE(""https://docs.google.com/spreadsheets/d/14Bd19lYaqBhU8_DElYkX7l4wRkHqqCUFNJY4AfY3kHU/edit?usp=sharing  #gid=0"",""фіз особи new!relations_name""),6,FALSE)
,
(IF
(
C5669=""юридична особа""
,
VLOOKUP"&amp;"(D5669,IMPORTRANGE(""https://docs.google.com/spreadsheets/d/14Bd19lYaqBhU8_DElYkX7l4wRkHqqCUFNJY4AfY3kHU/edit?usp=sharing  #gid=0"",""фіз особи new!relations_name_uo""),7,FALSE)
,
)
))"),"ШАДРІН Юрій Анатолієвич")</f>
        <v>ШАДРІН Юрій Анатолієвич</v>
      </c>
      <c r="G5668" s="7" t="s">
        <v>10</v>
      </c>
      <c r="H5668" s="7">
        <v>0</v>
      </c>
      <c r="I5668" s="8" t="str">
        <f ca="1">IFERROR(__xludf.DUMMYFUNCTION("IF
(
G5669=""фізична особа""
,
VLOOKUP(H5669,IMPORTRANGE(""https://docs.google.com/spreadsheets/d/14Bd19lYaqBhU8_DElYkX7l4wRkHqqCUFNJY4AfY3kHU/edit?usp=sharing  #gid=0"",""фіз особи new!relations_name""),6,FALSE)
,
(IF
(
G5669=""юридична особа""
,
VLOOKUP"&amp;"(H5669,IMPORTRANGE(""https://docs.google.com/spreadsheets/d/14Bd19lYaqBhU8_DElYkX7l4wRkHqqCUFNJY4AfY3kHU/edit?usp=sharing  #gid=0"",""фіз особи new!relations_name_uo""),7,FALSE)
,
)
))"),"#N/A")</f>
        <v>#N/A</v>
      </c>
      <c r="J5668" s="7" t="s">
        <v>111</v>
      </c>
    </row>
    <row r="5669" spans="1:10" ht="13.2">
      <c r="A5669" s="7">
        <v>5668</v>
      </c>
      <c r="B5669" s="7">
        <v>1</v>
      </c>
      <c r="C5669" s="7" t="s">
        <v>10</v>
      </c>
      <c r="D5669" s="7">
        <v>4787</v>
      </c>
      <c r="E5669" s="7" t="s">
        <v>12</v>
      </c>
      <c r="F5669" s="8" t="str">
        <f ca="1">IFERROR(__xludf.DUMMYFUNCTION("IF
(
C5670=""фізична особа""
,
VLOOKUP(D5670,IMPORTRANGE(""https://docs.google.com/spreadsheets/d/14Bd19lYaqBhU8_DElYkX7l4wRkHqqCUFNJY4AfY3kHU/edit?usp=sharing  #gid=0"",""фіз особи new!relations_name""),6,FALSE)
,
(IF
(
C5670=""юридична особа""
,
VLOOKUP"&amp;"(D5670,IMPORTRANGE(""https://docs.google.com/spreadsheets/d/14Bd19lYaqBhU8_DElYkX7l4wRkHqqCUFNJY4AfY3kHU/edit?usp=sharing  #gid=0"",""фіз особи new!relations_name_uo""),7,FALSE)
,
)
))"),"ШАПША Валерій Федорович")</f>
        <v>ШАПША Валерій Федорович</v>
      </c>
      <c r="G5669" s="7" t="s">
        <v>10</v>
      </c>
      <c r="H5669" s="7">
        <v>2536</v>
      </c>
      <c r="I5669" s="8" t="str">
        <f ca="1">IFERROR(__xludf.DUMMYFUNCTION("IF
(
G5670=""фізична особа""
,
VLOOKUP(H5670,IMPORTRANGE(""https://docs.google.com/spreadsheets/d/14Bd19lYaqBhU8_DElYkX7l4wRkHqqCUFNJY4AfY3kHU/edit?usp=sharing  #gid=0"",""фіз особи new!relations_name""),6,FALSE)
,
(IF
(
G5670=""юридична особа""
,
VLOOKUP"&amp;"(H5670,IMPORTRANGE(""https://docs.google.com/spreadsheets/d/14Bd19lYaqBhU8_DElYkX7l4wRkHqqCUFNJY4AfY3kHU/edit?usp=sharing  #gid=0"",""фіз особи new!relations_name_uo""),7,FALSE)
,
)
))"),"ШАПША Владислав Валерійович")</f>
        <v>ШАПША Владислав Валерійович</v>
      </c>
      <c r="J5669" s="7" t="s">
        <v>17</v>
      </c>
    </row>
    <row r="5670" spans="1:10" ht="13.2">
      <c r="A5670" s="7">
        <v>5669</v>
      </c>
      <c r="B5670" s="7">
        <v>1</v>
      </c>
      <c r="C5670" s="7" t="s">
        <v>10</v>
      </c>
      <c r="D5670" s="7">
        <v>4789</v>
      </c>
      <c r="E5670" s="7" t="s">
        <v>28</v>
      </c>
      <c r="F5670" s="8" t="str">
        <f ca="1">IFERROR(__xludf.DUMMYFUNCTION("IF
(
C5671=""фізична особа""
,
VLOOKUP(D5671,IMPORTRANGE(""https://docs.google.com/spreadsheets/d/14Bd19lYaqBhU8_DElYkX7l4wRkHqqCUFNJY4AfY3kHU/edit?usp=sharing  #gid=0"",""фіз особи new!relations_name""),6,FALSE)
,
(IF
(
C5671=""юридична особа""
,
VLOOKUP"&amp;"(D5671,IMPORTRANGE(""https://docs.google.com/spreadsheets/d/14Bd19lYaqBhU8_DElYkX7l4wRkHqqCUFNJY4AfY3kHU/edit?usp=sharing  #gid=0"",""фіз особи new!relations_name_uo""),7,FALSE)
,
)
))"),"ГРИБОВ Олександр Сергійович")</f>
        <v>ГРИБОВ Олександр Сергійович</v>
      </c>
      <c r="G5670" s="7" t="s">
        <v>10</v>
      </c>
      <c r="H5670" s="7">
        <v>175</v>
      </c>
      <c r="I5670" s="8" t="str">
        <f ca="1">IFERROR(__xludf.DUMMYFUNCTION("IF
(
G5671=""фізична особа""
,
VLOOKUP(H5671,IMPORTRANGE(""https://docs.google.com/spreadsheets/d/14Bd19lYaqBhU8_DElYkX7l4wRkHqqCUFNJY4AfY3kHU/edit?usp=sharing  #gid=0"",""фіз особи new!relations_name""),6,FALSE)
,
(IF
(
G5671=""юридична особа""
,
VLOOKUP"&amp;"(H5671,IMPORTRANGE(""https://docs.google.com/spreadsheets/d/14Bd19lYaqBhU8_DElYkX7l4wRkHqqCUFNJY4AfY3kHU/edit?usp=sharing  #gid=0"",""фіз особи new!relations_name_uo""),7,FALSE)
,
)
))"),"ГРИГОРЕНКО Дмитро Юрійович")</f>
        <v>ГРИГОРЕНКО Дмитро Юрійович</v>
      </c>
      <c r="J5670" s="7" t="s">
        <v>29</v>
      </c>
    </row>
    <row r="5671" spans="1:10" ht="13.2">
      <c r="A5671" s="7">
        <v>5670</v>
      </c>
      <c r="B5671" s="7">
        <v>1</v>
      </c>
      <c r="C5671" s="7" t="s">
        <v>10</v>
      </c>
      <c r="D5671" s="7">
        <v>4796</v>
      </c>
      <c r="E5671" s="7" t="s">
        <v>17</v>
      </c>
      <c r="F5671" s="8" t="str">
        <f ca="1">IFERROR(__xludf.DUMMYFUNCTION("IF
(
C5672=""фізична особа""
,
VLOOKUP(D5672,IMPORTRANGE(""https://docs.google.com/spreadsheets/d/14Bd19lYaqBhU8_DElYkX7l4wRkHqqCUFNJY4AfY3kHU/edit?usp=sharing  #gid=0"",""фіз особи new!relations_name""),6,FALSE)
,
(IF
(
C5672=""юридична особа""
,
VLOOKUP"&amp;"(D5672,IMPORTRANGE(""https://docs.google.com/spreadsheets/d/14Bd19lYaqBhU8_DElYkX7l4wRkHqqCUFNJY4AfY3kHU/edit?usp=sharing  #gid=0"",""фіз особи new!relations_name_uo""),7,FALSE)
,
)
))"),"ЖУРАВЛЬОВ Василь Миколайович")</f>
        <v>ЖУРАВЛЬОВ Василь Миколайович</v>
      </c>
      <c r="G5671" s="7" t="s">
        <v>10</v>
      </c>
      <c r="H5671" s="7">
        <v>494</v>
      </c>
      <c r="I5671" s="8" t="str">
        <f ca="1">IFERROR(__xludf.DUMMYFUNCTION("IF
(
G5672=""фізична особа""
,
VLOOKUP(H5672,IMPORTRANGE(""https://docs.google.com/spreadsheets/d/14Bd19lYaqBhU8_DElYkX7l4wRkHqqCUFNJY4AfY3kHU/edit?usp=sharing  #gid=0"",""фіз особи new!relations_name""),6,FALSE)
,
(IF
(
G5672=""юридична особа""
,
VLOOKUP"&amp;"(H5672,IMPORTRANGE(""https://docs.google.com/spreadsheets/d/14Bd19lYaqBhU8_DElYkX7l4wRkHqqCUFNJY4AfY3kHU/edit?usp=sharing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J5671" s="7" t="s">
        <v>12</v>
      </c>
    </row>
    <row r="5672" spans="1:10" ht="13.2">
      <c r="A5672" s="7">
        <v>5671</v>
      </c>
      <c r="B5672" s="7">
        <v>1</v>
      </c>
      <c r="C5672" s="7" t="s">
        <v>10</v>
      </c>
      <c r="D5672" s="7">
        <v>4797</v>
      </c>
      <c r="E5672" s="7" t="s">
        <v>12</v>
      </c>
      <c r="F5672" s="8" t="str">
        <f ca="1">IFERROR(__xludf.DUMMYFUNCTION("IF
(
C5673=""фізична особа""
,
VLOOKUP(D5673,IMPORTRANGE(""https://docs.google.com/spreadsheets/d/14Bd19lYaqBhU8_DElYkX7l4wRkHqqCUFNJY4AfY3kHU/edit?usp=sharing  #gid=0"",""фіз особи new!relations_name""),6,FALSE)
,
(IF
(
C5673=""юридична особа""
,
VLOOKUP"&amp;"(D5673,IMPORTRANGE(""https://docs.google.com/spreadsheets/d/14Bd19lYaqBhU8_DElYkX7l4wRkHqqCUFNJY4AfY3kHU/edit?usp=sharing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G5672" s="7" t="s">
        <v>10</v>
      </c>
      <c r="H5672" s="7">
        <v>890</v>
      </c>
      <c r="I5672" s="8" t="str">
        <f ca="1">IFERROR(__xludf.DUMMYFUNCTION("IF
(
G5673=""фізична особа""
,
VLOOKUP(H5673,IMPORTRANGE(""https://docs.google.com/spreadsheets/d/14Bd19lYaqBhU8_DElYkX7l4wRkHqqCUFNJY4AfY3kHU/edit?usp=sharing  #gid=0"",""фіз особи new!relations_name""),6,FALSE)
,
(IF
(
G5673=""юридична особа""
,
VLOOKUP"&amp;"(H5673,IMPORTRANGE(""https://docs.google.com/spreadsheets/d/14Bd19lYaqBhU8_DElYkX7l4wRkHqqCUFNJY4AfY3kHU/edit?usp=sharing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J5672" s="7" t="s">
        <v>17</v>
      </c>
    </row>
    <row r="5673" spans="1:10" ht="13.2">
      <c r="A5673" s="7">
        <v>5672</v>
      </c>
      <c r="B5673" s="7">
        <v>1</v>
      </c>
      <c r="C5673" s="7" t="s">
        <v>10</v>
      </c>
      <c r="D5673" s="7">
        <v>4797</v>
      </c>
      <c r="E5673" s="7" t="s">
        <v>12</v>
      </c>
      <c r="F5673" s="8" t="str">
        <f ca="1">IFERROR(__xludf.DUMMYFUNCTION("IF
(
C5674=""фізична особа""
,
VLOOKUP(D5674,IMPORTRANGE(""https://docs.google.com/spreadsheets/d/14Bd19lYaqBhU8_DElYkX7l4wRkHqqCUFNJY4AfY3kHU/edit?usp=sharing  #gid=0"",""фіз особи new!relations_name""),6,FALSE)
,
(IF
(
C5674=""юридична особа""
,
VLOOKUP"&amp;"(D5674,IMPORTRANGE(""https://docs.google.com/spreadsheets/d/14Bd19lYaqBhU8_DElYkX7l4wRkHqqCUFNJY4AfY3kHU/edit?usp=sharing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G5673" s="7" t="s">
        <v>10</v>
      </c>
      <c r="H5673" s="7">
        <v>4798</v>
      </c>
      <c r="I5673" s="8" t="str">
        <f ca="1">IFERROR(__xludf.DUMMYFUNCTION("IF
(
G5674=""фізична особа""
,
VLOOKUP(H5674,IMPORTRANGE(""https://docs.google.com/spreadsheets/d/14Bd19lYaqBhU8_DElYkX7l4wRkHqqCUFNJY4AfY3kHU/edit?usp=sharing  #gid=0"",""фіз особи new!relations_name""),6,FALSE)
,
(IF
(
G5674=""юридична особа""
,
VLOOKUP"&amp;"(H5674,IMPORTRANGE(""https://docs.google.com/spreadsheets/d/14Bd19lYaqBhU8_DElYkX7l4wRkHqqCUFNJY4AfY3kHU/edit?usp=sharing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J5673" s="7" t="s">
        <v>13</v>
      </c>
    </row>
    <row r="5674" spans="1:10" ht="13.2">
      <c r="A5674" s="7">
        <v>5673</v>
      </c>
      <c r="B5674" s="7">
        <v>1</v>
      </c>
      <c r="C5674" s="7" t="s">
        <v>10</v>
      </c>
      <c r="D5674" s="7">
        <v>4797</v>
      </c>
      <c r="E5674" s="7" t="s">
        <v>34</v>
      </c>
      <c r="F5674" s="8" t="str">
        <f ca="1">IFERROR(__xludf.DUMMYFUNCTION("IF
(
C5675=""фізична особа""
,
VLOOKUP(D5675,IMPORTRANGE(""https://docs.google.com/spreadsheets/d/14Bd19lYaqBhU8_DElYkX7l4wRkHqqCUFNJY4AfY3kHU/edit?usp=sharing  #gid=0"",""фіз особи new!relations_name""),6,FALSE)
,
(IF
(
C5675=""юридична особа""
,
VLOOKUP"&amp;"(D5675,IMPORTRANGE(""https://docs.google.com/spreadsheets/d/14Bd19lYaqBhU8_DElYkX7l4wRkHqqCUFNJY4AfY3kHU/edit?usp=sharing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G5674" s="7" t="s">
        <v>10</v>
      </c>
      <c r="H5674" s="7">
        <v>4711</v>
      </c>
      <c r="I5674" s="8" t="str">
        <f ca="1">IFERROR(__xludf.DUMMYFUNCTION("IF
(
G5675=""фізична особа""
,
VLOOKUP(H5675,IMPORTRANGE(""https://docs.google.com/spreadsheets/d/14Bd19lYaqBhU8_DElYkX7l4wRkHqqCUFNJY4AfY3kHU/edit?usp=sharing  #gid=0"",""фіз особи new!relations_name""),6,FALSE)
,
(IF
(
G5675=""юридична особа""
,
VLOOKUP"&amp;"(H5675,IMPORTRANGE(""https://docs.google.com/spreadsheets/d/14Bd19lYaqBhU8_DElYkX7l4wRkHqqCUFNJY4AfY3kHU/edit?usp=sharing  #gid=0"",""фіз особи new!relations_name_uo""),7,FALSE)
,
)
))"),"КОЗЛОВСЬКА Жанна Вячеславівна")</f>
        <v>КОЗЛОВСЬКА Жанна Вячеславівна</v>
      </c>
      <c r="J5674" s="7" t="s">
        <v>25</v>
      </c>
    </row>
    <row r="5675" spans="1:10" ht="13.2">
      <c r="A5675" s="7">
        <v>5674</v>
      </c>
      <c r="B5675" s="7">
        <v>1</v>
      </c>
      <c r="C5675" s="7" t="s">
        <v>10</v>
      </c>
      <c r="D5675" s="7">
        <v>4797</v>
      </c>
      <c r="E5675" s="7" t="s">
        <v>14</v>
      </c>
      <c r="F5675" s="8" t="str">
        <f ca="1">IFERROR(__xludf.DUMMYFUNCTION("IF
(
C5676=""фізична особа""
,
VLOOKUP(D5676,IMPORTRANGE(""https://docs.google.com/spreadsheets/d/14Bd19lYaqBhU8_DElYkX7l4wRkHqqCUFNJY4AfY3kHU/edit?usp=sharing  #gid=0"",""фіз особи new!relations_name""),6,FALSE)
,
(IF
(
C5676=""юридична особа""
,
VLOOKUP"&amp;"(D5676,IMPORTRANGE(""https://docs.google.com/spreadsheets/d/14Bd19lYaqBhU8_DElYkX7l4wRkHqqCUFNJY4AfY3kHU/edit?usp=sharing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G5675" s="7" t="s">
        <v>10</v>
      </c>
      <c r="H5675" s="7">
        <v>4712</v>
      </c>
      <c r="I5675" s="8" t="str">
        <f ca="1">IFERROR(__xludf.DUMMYFUNCTION("IF
(
G5676=""фізична особа""
,
VLOOKUP(H5676,IMPORTRANGE(""https://docs.google.com/spreadsheets/d/14Bd19lYaqBhU8_DElYkX7l4wRkHqqCUFNJY4AfY3kHU/edit?usp=sharing  #gid=0"",""фіз особи new!relations_name""),6,FALSE)
,
(IF
(
G5676=""юридична особа""
,
VLOOKUP"&amp;"(H5676,IMPORTRANGE(""https://docs.google.com/spreadsheets/d/14Bd19lYaqBhU8_DElYkX7l4wRkHqqCUFNJY4AfY3kHU/edit?usp=sharing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J5675" s="7" t="s">
        <v>15</v>
      </c>
    </row>
    <row r="5676" spans="1:10" ht="13.2">
      <c r="A5676" s="7">
        <v>5675</v>
      </c>
      <c r="B5676" s="7">
        <v>1</v>
      </c>
      <c r="C5676" s="7" t="s">
        <v>10</v>
      </c>
      <c r="D5676" s="7">
        <v>4798</v>
      </c>
      <c r="E5676" s="7" t="s">
        <v>31</v>
      </c>
      <c r="F5676" s="8" t="str">
        <f ca="1">IFERROR(__xludf.DUMMYFUNCTION("IF
(
C5677=""фізична особа""
,
VLOOKUP(D5677,IMPORTRANGE(""https://docs.google.com/spreadsheets/d/14Bd19lYaqBhU8_DElYkX7l4wRkHqqCUFNJY4AfY3kHU/edit?usp=sharing  #gid=0"",""фіз особи new!relations_name""),6,FALSE)
,
(IF
(
C5677=""юридична особа""
,
VLOOKUP"&amp;"(D5677,IMPORTRANGE(""https://docs.google.com/spreadsheets/d/14Bd19lYaqBhU8_DElYkX7l4wRkHqqCUFNJY4AfY3kHU/edit?usp=sharing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G5676" s="7" t="s">
        <v>10</v>
      </c>
      <c r="H5676" s="7">
        <v>890</v>
      </c>
      <c r="I5676" s="8" t="str">
        <f ca="1">IFERROR(__xludf.DUMMYFUNCTION("IF
(
G5677=""фізична особа""
,
VLOOKUP(H5677,IMPORTRANGE(""https://docs.google.com/spreadsheets/d/14Bd19lYaqBhU8_DElYkX7l4wRkHqqCUFNJY4AfY3kHU/edit?usp=sharing  #gid=0"",""фіз особи new!relations_name""),6,FALSE)
,
(IF
(
G5677=""юридична особа""
,
VLOOKUP"&amp;"(H5677,IMPORTRANGE(""https://docs.google.com/spreadsheets/d/14Bd19lYaqBhU8_DElYkX7l4wRkHqqCUFNJY4AfY3kHU/edit?usp=sharing  #gid=0"",""фіз особи new!relations_name_uo""),7,FALSE)
,
)
))"),"КОЗЛОВСЬКИЙ Олександр Миколайович")</f>
        <v>КОЗЛОВСЬКИЙ Олександр Миколайович</v>
      </c>
      <c r="J5676" s="7" t="s">
        <v>18</v>
      </c>
    </row>
    <row r="5677" spans="1:10" ht="13.2">
      <c r="A5677" s="7">
        <v>5676</v>
      </c>
      <c r="B5677" s="7">
        <v>1</v>
      </c>
      <c r="C5677" s="7" t="s">
        <v>10</v>
      </c>
      <c r="D5677" s="7">
        <v>4798</v>
      </c>
      <c r="E5677" s="7" t="s">
        <v>13</v>
      </c>
      <c r="F5677" s="8" t="str">
        <f ca="1">IFERROR(__xludf.DUMMYFUNCTION("IF
(
C5678=""фізична особа""
,
VLOOKUP(D5678,IMPORTRANGE(""https://docs.google.com/spreadsheets/d/14Bd19lYaqBhU8_DElYkX7l4wRkHqqCUFNJY4AfY3kHU/edit?usp=sharing  #gid=0"",""фіз особи new!relations_name""),6,FALSE)
,
(IF
(
C5678=""юридична особа""
,
VLOOKUP"&amp;"(D5678,IMPORTRANGE(""https://docs.google.com/spreadsheets/d/14Bd19lYaqBhU8_DElYkX7l4wRkHqqCUFNJY4AfY3kHU/edit?usp=sharing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G5677" s="7" t="s">
        <v>10</v>
      </c>
      <c r="H5677" s="7">
        <v>4797</v>
      </c>
      <c r="I5677" s="8" t="str">
        <f ca="1">IFERROR(__xludf.DUMMYFUNCTION("IF
(
G5678=""фізична особа""
,
VLOOKUP(H5678,IMPORTRANGE(""https://docs.google.com/spreadsheets/d/14Bd19lYaqBhU8_DElYkX7l4wRkHqqCUFNJY4AfY3kHU/edit?usp=sharing  #gid=0"",""фіз особи new!relations_name""),6,FALSE)
,
(IF
(
G5678=""юридична особа""
,
VLOOKUP"&amp;"(H5678,IMPORTRANGE(""https://docs.google.com/spreadsheets/d/14Bd19lYaqBhU8_DElYkX7l4wRkHqqCUFNJY4AfY3kHU/edit?usp=sharing  #gid=0"",""фіз особи new!relations_name_uo""),7,FALSE)
,
)
))"),"КОЗЛОВСЬКИЙ Микола Миколайович")</f>
        <v>КОЗЛОВСЬКИЙ Микола Миколайович</v>
      </c>
      <c r="J5677" s="7" t="s">
        <v>12</v>
      </c>
    </row>
    <row r="5678" spans="1:10" ht="13.2">
      <c r="A5678" s="7">
        <v>5677</v>
      </c>
      <c r="B5678" s="7">
        <v>1</v>
      </c>
      <c r="C5678" s="7" t="s">
        <v>10</v>
      </c>
      <c r="D5678" s="7">
        <v>4798</v>
      </c>
      <c r="E5678" s="7" t="s">
        <v>13</v>
      </c>
      <c r="F5678" s="8" t="str">
        <f ca="1">IFERROR(__xludf.DUMMYFUNCTION("IF
(
C5679=""фізична особа""
,
VLOOKUP(D5679,IMPORTRANGE(""https://docs.google.com/spreadsheets/d/14Bd19lYaqBhU8_DElYkX7l4wRkHqqCUFNJY4AfY3kHU/edit?usp=sharing  #gid=0"",""фіз особи new!relations_name""),6,FALSE)
,
(IF
(
C5679=""юридична особа""
,
VLOOKUP"&amp;"(D5679,IMPORTRANGE(""https://docs.google.com/spreadsheets/d/14Bd19lYaqBhU8_DElYkX7l4wRkHqqCUFNJY4AfY3kHU/edit?usp=sharing  #gid=0"",""фіз особи new!relations_name_uo""),7,FALSE)
,
)
))"),"БОЙКОВА / КОЗЛОВСЬКА Євгенія Миколаївна")</f>
        <v>БОЙКОВА / КОЗЛОВСЬКА Євгенія Миколаївна</v>
      </c>
      <c r="G5678" s="7" t="s">
        <v>10</v>
      </c>
      <c r="H5678" s="7">
        <v>4712</v>
      </c>
      <c r="I5678" s="8" t="str">
        <f ca="1">IFERROR(__xludf.DUMMYFUNCTION("IF
(
G5679=""фізична особа""
,
VLOOKUP(H5679,IMPORTRANGE(""https://docs.google.com/spreadsheets/d/14Bd19lYaqBhU8_DElYkX7l4wRkHqqCUFNJY4AfY3kHU/edit?usp=sharing  #gid=0"",""фіз особи new!relations_name""),6,FALSE)
,
(IF
(
G5679=""юридична особа""
,
VLOOKUP"&amp;"(H5679,IMPORTRANGE(""https://docs.google.com/spreadsheets/d/14Bd19lYaqBhU8_DElYkX7l4wRkHqqCUFNJY4AfY3kHU/edit?usp=sharing  #gid=0"",""фіз особи new!relations_name_uo""),7,FALSE)
,
)
))"),"КОЗЛОВСЬКА Наталія Олександрівна")</f>
        <v>КОЗЛОВСЬКА Наталія Олександрівна</v>
      </c>
      <c r="J5678" s="7" t="s">
        <v>21</v>
      </c>
    </row>
    <row r="5679" spans="1:10" ht="13.2">
      <c r="A5679" s="7">
        <v>5678</v>
      </c>
      <c r="B5679" s="7">
        <v>1</v>
      </c>
      <c r="C5679" s="7" t="s">
        <v>10</v>
      </c>
      <c r="D5679" s="7">
        <v>4802</v>
      </c>
      <c r="E5679" s="7" t="s">
        <v>15</v>
      </c>
      <c r="F5679" s="8" t="str">
        <f ca="1">IFERROR(__xludf.DUMMYFUNCTION("IF
(
C5680=""фізична особа""
,
VLOOKUP(D5680,IMPORTRANGE(""https://docs.google.com/spreadsheets/d/14Bd19lYaqBhU8_DElYkX7l4wRkHqqCUFNJY4AfY3kHU/edit?usp=sharing  #gid=0"",""фіз особи new!relations_name""),6,FALSE)
,
(IF
(
C5680=""юридична особа""
,
VLOOKUP"&amp;"(D5680,IMPORTRANGE(""https://docs.google.com/spreadsheets/d/14Bd19lYaqBhU8_DElYkX7l4wRkHqqCUFNJY4AfY3kHU/edit?usp=sharing  #gid=0"",""фіз особи new!relations_name_uo""),7,FALSE)
,
)
))"),"КОНСТАНТІНОВА Олена Анатоліївна")</f>
        <v>КОНСТАНТІНОВА Олена Анатоліївна</v>
      </c>
      <c r="G5679" s="7" t="s">
        <v>10</v>
      </c>
      <c r="H5679" s="7">
        <v>380</v>
      </c>
      <c r="I5679" s="8" t="str">
        <f ca="1">IFERROR(__xludf.DUMMYFUNCTION("IF
(
G5680=""фізична особа""
,
VLOOKUP(H5680,IMPORTRANGE(""https://docs.google.com/spreadsheets/d/14Bd19lYaqBhU8_DElYkX7l4wRkHqqCUFNJY4AfY3kHU/edit?usp=sharing  #gid=0"",""фіз особи new!relations_name""),6,FALSE)
,
(IF
(
G5680=""юридична особа""
,
VLOOKUP"&amp;"(H5680,IMPORTRANGE(""https://docs.google.com/spreadsheets/d/14Bd19lYaqBhU8_DElYkX7l4wRkHqqCUFNJY4AfY3kHU/edit?usp=sharing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J5679" s="7" t="s">
        <v>14</v>
      </c>
    </row>
    <row r="5680" spans="1:10" ht="13.2">
      <c r="A5680" s="7">
        <v>5679</v>
      </c>
      <c r="B5680" s="7">
        <v>1</v>
      </c>
      <c r="C5680" s="7" t="s">
        <v>10</v>
      </c>
      <c r="D5680" s="7">
        <v>4803</v>
      </c>
      <c r="E5680" s="7" t="s">
        <v>17</v>
      </c>
      <c r="F5680" s="8" t="str">
        <f ca="1">IFERROR(__xludf.DUMMYFUNCTION("IF
(
C5681=""фізична особа""
,
VLOOKUP(D5681,IMPORTRANGE(""https://docs.google.com/spreadsheets/d/14Bd19lYaqBhU8_DElYkX7l4wRkHqqCUFNJY4AfY3kHU/edit?usp=sharing  #gid=0"",""фіз особи new!relations_name""),6,FALSE)
,
(IF
(
C5681=""юридична особа""
,
VLOOKUP"&amp;"(D5681,IMPORTRANGE(""https://docs.google.com/spreadsheets/d/14Bd19lYaqBhU8_DElYkX7l4wRkHqqCUFNJY4AfY3kHU/edit?usp=sharing  #gid=0"",""фіз особи new!relations_name_uo""),7,FALSE)
,
)
))"),"КОНСТАНТІНОВ Олег Володимирович")</f>
        <v>КОНСТАНТІНОВ Олег Володимирович</v>
      </c>
      <c r="G5680" s="7" t="s">
        <v>10</v>
      </c>
      <c r="H5680" s="7">
        <v>380</v>
      </c>
      <c r="I5680" s="8" t="str">
        <f ca="1">IFERROR(__xludf.DUMMYFUNCTION("IF
(
G5681=""фізична особа""
,
VLOOKUP(H5681,IMPORTRANGE(""https://docs.google.com/spreadsheets/d/14Bd19lYaqBhU8_DElYkX7l4wRkHqqCUFNJY4AfY3kHU/edit?usp=sharing  #gid=0"",""фіз особи new!relations_name""),6,FALSE)
,
(IF
(
G5681=""юридична особа""
,
VLOOKUP"&amp;"(H5681,IMPORTRANGE(""https://docs.google.com/spreadsheets/d/14Bd19lYaqBhU8_DElYkX7l4wRkHqqCUFNJY4AfY3kHU/edit?usp=sharing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J5680" s="7" t="s">
        <v>12</v>
      </c>
    </row>
    <row r="5681" spans="1:10" ht="13.2">
      <c r="A5681" s="7">
        <v>5680</v>
      </c>
      <c r="B5681" s="7">
        <v>1</v>
      </c>
      <c r="C5681" s="7" t="s">
        <v>10</v>
      </c>
      <c r="D5681" s="7">
        <v>4803</v>
      </c>
      <c r="E5681" s="7" t="s">
        <v>17</v>
      </c>
      <c r="F5681" s="8" t="str">
        <f ca="1">IFERROR(__xludf.DUMMYFUNCTION("IF
(
C5682=""фізична особа""
,
VLOOKUP(D5682,IMPORTRANGE(""https://docs.google.com/spreadsheets/d/14Bd19lYaqBhU8_DElYkX7l4wRkHqqCUFNJY4AfY3kHU/edit?usp=sharing  #gid=0"",""фіз особи new!relations_name""),6,FALSE)
,
(IF
(
C5682=""юридична особа""
,
VLOOKUP"&amp;"(D5682,IMPORTRANGE(""https://docs.google.com/spreadsheets/d/14Bd19lYaqBhU8_DElYkX7l4wRkHqqCUFNJY4AfY3kHU/edit?usp=sharing  #gid=0"",""фіз особи new!relations_name_uo""),7,FALSE)
,
)
))"),"КОНСТАНТІНОВ Олег Володимирович")</f>
        <v>КОНСТАНТІНОВ Олег Володимирович</v>
      </c>
      <c r="G5681" s="7" t="s">
        <v>10</v>
      </c>
      <c r="H5681" s="7">
        <v>4802</v>
      </c>
      <c r="I5681" s="8" t="str">
        <f ca="1">IFERROR(__xludf.DUMMYFUNCTION("IF
(
G5682=""фізична особа""
,
VLOOKUP(H5682,IMPORTRANGE(""https://docs.google.com/spreadsheets/d/14Bd19lYaqBhU8_DElYkX7l4wRkHqqCUFNJY4AfY3kHU/edit?usp=sharing  #gid=0"",""фіз особи new!relations_name""),6,FALSE)
,
(IF
(
G5682=""юридична особа""
,
VLOOKUP"&amp;"(H5682,IMPORTRANGE(""https://docs.google.com/spreadsheets/d/14Bd19lYaqBhU8_DElYkX7l4wRkHqqCUFNJY4AfY3kHU/edit?usp=sharing  #gid=0"",""фіз особи new!relations_name_uo""),7,FALSE)
,
)
))"),"КОНСТАНТІНОВА Олена Анатоліївна")</f>
        <v>КОНСТАНТІНОВА Олена Анатоліївна</v>
      </c>
      <c r="J5681" s="7" t="s">
        <v>21</v>
      </c>
    </row>
    <row r="5682" spans="1:10" ht="13.2">
      <c r="A5682" s="7">
        <v>5681</v>
      </c>
      <c r="B5682" s="7">
        <v>1</v>
      </c>
      <c r="C5682" s="7" t="s">
        <v>10</v>
      </c>
      <c r="D5682" s="7">
        <v>4804</v>
      </c>
      <c r="E5682" s="7" t="s">
        <v>13</v>
      </c>
      <c r="F5682" s="8" t="str">
        <f ca="1">IFERROR(__xludf.DUMMYFUNCTION("IF
(
C5683=""фізична особа""
,
VLOOKUP(D5683,IMPORTRANGE(""https://docs.google.com/spreadsheets/d/14Bd19lYaqBhU8_DElYkX7l4wRkHqqCUFNJY4AfY3kHU/edit?usp=sharing  #gid=0"",""фіз особи new!relations_name""),6,FALSE)
,
(IF
(
C5683=""юридична особа""
,
VLOOKUP"&amp;"(D5683,IMPORTRANGE(""https://docs.google.com/spreadsheets/d/14Bd19lYaqBhU8_DElYkX7l4wRkHqqCUFNJY4AfY3kHU/edit?usp=sharing  #gid=0"",""фіз особи new!relations_name_uo""),7,FALSE)
,
)
))"),"КОНСТАНТІНОВА Катерина Володимирівна")</f>
        <v>КОНСТАНТІНОВА Катерина Володимирівна</v>
      </c>
      <c r="G5682" s="7" t="s">
        <v>10</v>
      </c>
      <c r="H5682" s="7">
        <v>380</v>
      </c>
      <c r="I5682" s="8" t="str">
        <f ca="1">IFERROR(__xludf.DUMMYFUNCTION("IF
(
G5683=""фізична особа""
,
VLOOKUP(H5683,IMPORTRANGE(""https://docs.google.com/spreadsheets/d/14Bd19lYaqBhU8_DElYkX7l4wRkHqqCUFNJY4AfY3kHU/edit?usp=sharing  #gid=0"",""фіз особи new!relations_name""),6,FALSE)
,
(IF
(
G5683=""юридична особа""
,
VLOOKUP"&amp;"(H5683,IMPORTRANGE(""https://docs.google.com/spreadsheets/d/14Bd19lYaqBhU8_DElYkX7l4wRkHqqCUFNJY4AfY3kHU/edit?usp=sharing  #gid=0"",""фіз особи new!relations_name_uo""),7,FALSE)
,
)
))"),"КОНСТАНТИНОВ Володимир Андрійович")</f>
        <v>КОНСТАНТИНОВ Володимир Андрійович</v>
      </c>
      <c r="J5682" s="7" t="s">
        <v>12</v>
      </c>
    </row>
    <row r="5683" spans="1:10" ht="13.2">
      <c r="A5683" s="7">
        <v>5682</v>
      </c>
      <c r="B5683" s="7">
        <v>1</v>
      </c>
      <c r="C5683" s="7" t="s">
        <v>10</v>
      </c>
      <c r="D5683" s="7">
        <v>4804</v>
      </c>
      <c r="E5683" s="7" t="s">
        <v>13</v>
      </c>
      <c r="F5683" s="8" t="str">
        <f ca="1">IFERROR(__xludf.DUMMYFUNCTION("IF
(
C5684=""фізична особа""
,
VLOOKUP(D5684,IMPORTRANGE(""https://docs.google.com/spreadsheets/d/14Bd19lYaqBhU8_DElYkX7l4wRkHqqCUFNJY4AfY3kHU/edit?usp=sharing  #gid=0"",""фіз особи new!relations_name""),6,FALSE)
,
(IF
(
C5684=""юридична особа""
,
VLOOKUP"&amp;"(D5684,IMPORTRANGE(""https://docs.google.com/spreadsheets/d/14Bd19lYaqBhU8_DElYkX7l4wRkHqqCUFNJY4AfY3kHU/edit?usp=sharing  #gid=0"",""фіз особи new!relations_name_uo""),7,FALSE)
,
)
))"),"КОНСТАНТІНОВА Катерина Володимирівна")</f>
        <v>КОНСТАНТІНОВА Катерина Володимирівна</v>
      </c>
      <c r="G5683" s="7" t="s">
        <v>10</v>
      </c>
      <c r="H5683" s="7">
        <v>4802</v>
      </c>
      <c r="I5683" s="8" t="str">
        <f ca="1">IFERROR(__xludf.DUMMYFUNCTION("IF
(
G5684=""фізична особа""
,
VLOOKUP(H5684,IMPORTRANGE(""https://docs.google.com/spreadsheets/d/14Bd19lYaqBhU8_DElYkX7l4wRkHqqCUFNJY4AfY3kHU/edit?usp=sharing  #gid=0"",""фіз особи new!relations_name""),6,FALSE)
,
(IF
(
G5684=""юридична особа""
,
VLOOKUP"&amp;"(H5684,IMPORTRANGE(""https://docs.google.com/spreadsheets/d/14Bd19lYaqBhU8_DElYkX7l4wRkHqqCUFNJY4AfY3kHU/edit?usp=sharing  #gid=0"",""фіз особи new!relations_name_uo""),7,FALSE)
,
)
))"),"КОНСТАНТІНОВА Олена Анатоліївна")</f>
        <v>КОНСТАНТІНОВА Олена Анатоліївна</v>
      </c>
      <c r="J5683" s="7" t="s">
        <v>21</v>
      </c>
    </row>
    <row r="5684" spans="1:10" ht="13.2">
      <c r="A5684" s="7">
        <v>5683</v>
      </c>
      <c r="B5684" s="7">
        <v>1</v>
      </c>
      <c r="C5684" s="7" t="s">
        <v>10</v>
      </c>
      <c r="D5684" s="7">
        <v>4804</v>
      </c>
      <c r="E5684" s="7" t="s">
        <v>31</v>
      </c>
      <c r="F5684" s="8" t="str">
        <f ca="1">IFERROR(__xludf.DUMMYFUNCTION("IF
(
C5685=""фізична особа""
,
VLOOKUP(D5685,IMPORTRANGE(""https://docs.google.com/spreadsheets/d/14Bd19lYaqBhU8_DElYkX7l4wRkHqqCUFNJY4AfY3kHU/edit?usp=sharing  #gid=0"",""фіз особи new!relations_name""),6,FALSE)
,
(IF
(
C5685=""юридична особа""
,
VLOOKUP"&amp;"(D5685,IMPORTRANGE(""https://docs.google.com/spreadsheets/d/14Bd19lYaqBhU8_DElYkX7l4wRkHqqCUFNJY4AfY3kHU/edit?usp=sharing  #gid=0"",""фіз особи new!relations_name_uo""),7,FALSE)
,
)
))"),"КОНСТАНТІНОВА Катерина Володимирівна")</f>
        <v>КОНСТАНТІНОВА Катерина Володимирівна</v>
      </c>
      <c r="G5684" s="7" t="s">
        <v>10</v>
      </c>
      <c r="H5684" s="7">
        <v>4803</v>
      </c>
      <c r="I5684" s="8" t="str">
        <f ca="1">IFERROR(__xludf.DUMMYFUNCTION("IF
(
G5685=""фізична особа""
,
VLOOKUP(H5685,IMPORTRANGE(""https://docs.google.com/spreadsheets/d/14Bd19lYaqBhU8_DElYkX7l4wRkHqqCUFNJY4AfY3kHU/edit?usp=sharing  #gid=0"",""фіз особи new!relations_name""),6,FALSE)
,
(IF
(
G5685=""юридична особа""
,
VLOOKUP"&amp;"(H5685,IMPORTRANGE(""https://docs.google.com/spreadsheets/d/14Bd19lYaqBhU8_DElYkX7l4wRkHqqCUFNJY4AfY3kHU/edit?usp=sharing  #gid=0"",""фіз особи new!relations_name_uo""),7,FALSE)
,
)
))"),"КОНСТАНТІНОВ Олег Володимирович")</f>
        <v>КОНСТАНТІНОВ Олег Володимирович</v>
      </c>
      <c r="J5684" s="7" t="s">
        <v>18</v>
      </c>
    </row>
    <row r="5685" spans="1:10" ht="13.2">
      <c r="A5685" s="7">
        <v>5684</v>
      </c>
      <c r="B5685" s="7">
        <v>1</v>
      </c>
      <c r="C5685" s="7" t="s">
        <v>10</v>
      </c>
      <c r="D5685" s="7">
        <v>4805</v>
      </c>
      <c r="E5685" s="7" t="s">
        <v>12</v>
      </c>
      <c r="F5685" s="8" t="str">
        <f ca="1">IFERROR(__xludf.DUMMYFUNCTION("IF
(
C5686=""фізична особа""
,
VLOOKUP(D5686,IMPORTRANGE(""https://docs.google.com/spreadsheets/d/14Bd19lYaqBhU8_DElYkX7l4wRkHqqCUFNJY4AfY3kHU/edit?usp=sharing  #gid=0"",""фіз особи new!relations_name""),6,FALSE)
,
(IF
(
C5686=""юридична особа""
,
VLOOKUP"&amp;"(D5686,IMPORTRANGE(""https://docs.google.com/spreadsheets/d/14Bd19lYaqBhU8_DElYkX7l4wRkHqqCUFNJY4AfY3kHU/edit?usp=sharing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G5685" s="7" t="s">
        <v>10</v>
      </c>
      <c r="H5685" s="7">
        <v>2418</v>
      </c>
      <c r="I5685" s="8" t="str">
        <f ca="1">IFERROR(__xludf.DUMMYFUNCTION("IF
(
G5686=""фізична особа""
,
VLOOKUP(H5686,IMPORTRANGE(""https://docs.google.com/spreadsheets/d/14Bd19lYaqBhU8_DElYkX7l4wRkHqqCUFNJY4AfY3kHU/edit?usp=sharing  #gid=0"",""фіз особи new!relations_name""),6,FALSE)
,
(IF
(
G5686=""юридична особа""
,
VLOOKUP"&amp;"(H5686,IMPORTRANGE(""https://docs.google.com/spreadsheets/d/14Bd19lYaqBhU8_DElYkX7l4wRkHqqCUFNJY4AfY3kHU/edit?usp=sharing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J5685" s="7" t="s">
        <v>17</v>
      </c>
    </row>
    <row r="5686" spans="1:10" ht="13.2">
      <c r="A5686" s="7">
        <v>5685</v>
      </c>
      <c r="B5686" s="7">
        <v>1</v>
      </c>
      <c r="C5686" s="7" t="s">
        <v>10</v>
      </c>
      <c r="D5686" s="7">
        <v>4805</v>
      </c>
      <c r="E5686" s="7" t="s">
        <v>12</v>
      </c>
      <c r="F5686" s="8" t="str">
        <f ca="1">IFERROR(__xludf.DUMMYFUNCTION("IF
(
C5687=""фізична особа""
,
VLOOKUP(D5687,IMPORTRANGE(""https://docs.google.com/spreadsheets/d/14Bd19lYaqBhU8_DElYkX7l4wRkHqqCUFNJY4AfY3kHU/edit?usp=sharing  #gid=0"",""фіз особи new!relations_name""),6,FALSE)
,
(IF
(
C5687=""юридична особа""
,
VLOOKUP"&amp;"(D5687,IMPORTRANGE(""https://docs.google.com/spreadsheets/d/14Bd19lYaqBhU8_DElYkX7l4wRkHqqCUFNJY4AfY3kHU/edit?usp=sharing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G5686" s="7" t="s">
        <v>10</v>
      </c>
      <c r="H5686" s="7">
        <v>4806</v>
      </c>
      <c r="I5686" s="8" t="str">
        <f ca="1">IFERROR(__xludf.DUMMYFUNCTION("IF
(
G5687=""фізична особа""
,
VLOOKUP(H5687,IMPORTRANGE(""https://docs.google.com/spreadsheets/d/14Bd19lYaqBhU8_DElYkX7l4wRkHqqCUFNJY4AfY3kHU/edit?usp=sharing  #gid=0"",""фіз особи new!relations_name""),6,FALSE)
,
(IF
(
G5687=""юридична особа""
,
VLOOKUP"&amp;"(H5687,IMPORTRANGE(""https://docs.google.com/spreadsheets/d/14Bd19lYaqBhU8_DElYkX7l4wRkHqqCUFNJY4AfY3kHU/edit?usp=sharing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J5686" s="7" t="s">
        <v>17</v>
      </c>
    </row>
    <row r="5687" spans="1:10" ht="13.2">
      <c r="A5687" s="7">
        <v>5686</v>
      </c>
      <c r="B5687" s="7">
        <v>1</v>
      </c>
      <c r="C5687" s="7" t="s">
        <v>10</v>
      </c>
      <c r="D5687" s="7">
        <v>4805</v>
      </c>
      <c r="E5687" s="7" t="s">
        <v>14</v>
      </c>
      <c r="F5687" s="8" t="str">
        <f ca="1">IFERROR(__xludf.DUMMYFUNCTION("IF
(
C5688=""фізична особа""
,
VLOOKUP(D5688,IMPORTRANGE(""https://docs.google.com/spreadsheets/d/14Bd19lYaqBhU8_DElYkX7l4wRkHqqCUFNJY4AfY3kHU/edit?usp=sharing  #gid=0"",""фіз особи new!relations_name""),6,FALSE)
,
(IF
(
C5688=""юридична особа""
,
VLOOKUP"&amp;"(D5688,IMPORTRANGE(""https://docs.google.com/spreadsheets/d/14Bd19lYaqBhU8_DElYkX7l4wRkHqqCUFNJY4AfY3kHU/edit?usp=sharing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G5687" s="7" t="s">
        <v>10</v>
      </c>
      <c r="H5687" s="7">
        <v>4807</v>
      </c>
      <c r="I5687" s="8" t="str">
        <f ca="1">IFERROR(__xludf.DUMMYFUNCTION("IF
(
G5688=""фізична особа""
,
VLOOKUP(H5688,IMPORTRANGE(""https://docs.google.com/spreadsheets/d/14Bd19lYaqBhU8_DElYkX7l4wRkHqqCUFNJY4AfY3kHU/edit?usp=sharing  #gid=0"",""фіз особи new!relations_name""),6,FALSE)
,
(IF
(
G5688=""юридична особа""
,
VLOOKUP"&amp;"(H5688,IMPORTRANGE(""https://docs.google.com/spreadsheets/d/14Bd19lYaqBhU8_DElYkX7l4wRkHqqCUFNJY4AfY3kHU/edit?usp=sharing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J5687" s="7" t="s">
        <v>15</v>
      </c>
    </row>
    <row r="5688" spans="1:10" ht="13.2">
      <c r="A5688" s="7">
        <v>5687</v>
      </c>
      <c r="B5688" s="7">
        <v>1</v>
      </c>
      <c r="C5688" s="7" t="s">
        <v>10</v>
      </c>
      <c r="D5688" s="7">
        <v>4806</v>
      </c>
      <c r="E5688" s="7" t="s">
        <v>18</v>
      </c>
      <c r="F5688" s="8" t="str">
        <f ca="1">IFERROR(__xludf.DUMMYFUNCTION("IF
(
C5689=""фізична особа""
,
VLOOKUP(D5689,IMPORTRANGE(""https://docs.google.com/spreadsheets/d/14Bd19lYaqBhU8_DElYkX7l4wRkHqqCUFNJY4AfY3kHU/edit?usp=sharing  #gid=0"",""фіз особи new!relations_name""),6,FALSE)
,
(IF
(
C5689=""юридична особа""
,
VLOOKUP"&amp;"(D5689,IMPORTRANGE(""https://docs.google.com/spreadsheets/d/14Bd19lYaqBhU8_DElYkX7l4wRkHqqCUFNJY4AfY3kHU/edit?usp=sharing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G5688" s="7" t="s">
        <v>10</v>
      </c>
      <c r="H5688" s="7">
        <v>2418</v>
      </c>
      <c r="I5688" s="8" t="str">
        <f ca="1">IFERROR(__xludf.DUMMYFUNCTION("IF
(
G5689=""фізична особа""
,
VLOOKUP(H5689,IMPORTRANGE(""https://docs.google.com/spreadsheets/d/14Bd19lYaqBhU8_DElYkX7l4wRkHqqCUFNJY4AfY3kHU/edit?usp=sharing  #gid=0"",""фіз особи new!relations_name""),6,FALSE)
,
(IF
(
G5689=""юридична особа""
,
VLOOKUP"&amp;"(H5689,IMPORTRANGE(""https://docs.google.com/spreadsheets/d/14Bd19lYaqBhU8_DElYkX7l4wRkHqqCUFNJY4AfY3kHU/edit?usp=sharing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J5688" s="7" t="s">
        <v>18</v>
      </c>
    </row>
    <row r="5689" spans="1:10" ht="13.2">
      <c r="A5689" s="7">
        <v>5688</v>
      </c>
      <c r="B5689" s="7">
        <v>1</v>
      </c>
      <c r="C5689" s="7" t="s">
        <v>10</v>
      </c>
      <c r="D5689" s="7">
        <v>4806</v>
      </c>
      <c r="E5689" s="7" t="s">
        <v>17</v>
      </c>
      <c r="F5689" s="8" t="str">
        <f ca="1">IFERROR(__xludf.DUMMYFUNCTION("IF
(
C5690=""фізична особа""
,
VLOOKUP(D5690,IMPORTRANGE(""https://docs.google.com/spreadsheets/d/14Bd19lYaqBhU8_DElYkX7l4wRkHqqCUFNJY4AfY3kHU/edit?usp=sharing  #gid=0"",""фіз особи new!relations_name""),6,FALSE)
,
(IF
(
C5690=""юридична особа""
,
VLOOKUP"&amp;"(D5690,IMPORTRANGE(""https://docs.google.com/spreadsheets/d/14Bd19lYaqBhU8_DElYkX7l4wRkHqqCUFNJY4AfY3kHU/edit?usp=sharing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G5689" s="7" t="s">
        <v>10</v>
      </c>
      <c r="H5689" s="7">
        <v>4807</v>
      </c>
      <c r="I5689" s="8" t="str">
        <f ca="1">IFERROR(__xludf.DUMMYFUNCTION("IF
(
G5690=""фізична особа""
,
VLOOKUP(H5690,IMPORTRANGE(""https://docs.google.com/spreadsheets/d/14Bd19lYaqBhU8_DElYkX7l4wRkHqqCUFNJY4AfY3kHU/edit?usp=sharing  #gid=0"",""фіз особи new!relations_name""),6,FALSE)
,
(IF
(
G5690=""юридична особа""
,
VLOOKUP"&amp;"(H5690,IMPORTRANGE(""https://docs.google.com/spreadsheets/d/14Bd19lYaqBhU8_DElYkX7l4wRkHqqCUFNJY4AfY3kHU/edit?usp=sharing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J5689" s="7" t="s">
        <v>21</v>
      </c>
    </row>
    <row r="5690" spans="1:10" ht="13.2">
      <c r="A5690" s="7">
        <v>5689</v>
      </c>
      <c r="B5690" s="7">
        <v>1</v>
      </c>
      <c r="C5690" s="7" t="s">
        <v>10</v>
      </c>
      <c r="D5690" s="7">
        <v>4806</v>
      </c>
      <c r="E5690" s="7" t="s">
        <v>17</v>
      </c>
      <c r="F5690" s="8" t="str">
        <f ca="1">IFERROR(__xludf.DUMMYFUNCTION("IF
(
C5691=""фізична особа""
,
VLOOKUP(D5691,IMPORTRANGE(""https://docs.google.com/spreadsheets/d/14Bd19lYaqBhU8_DElYkX7l4wRkHqqCUFNJY4AfY3kHU/edit?usp=sharing  #gid=0"",""фіз особи new!relations_name""),6,FALSE)
,
(IF
(
C5691=""юридична особа""
,
VLOOKUP"&amp;"(D5691,IMPORTRANGE(""https://docs.google.com/spreadsheets/d/14Bd19lYaqBhU8_DElYkX7l4wRkHqqCUFNJY4AfY3kHU/edit?usp=sharing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G5690" s="7" t="s">
        <v>10</v>
      </c>
      <c r="H5690" s="7">
        <v>4805</v>
      </c>
      <c r="I5690" s="8" t="str">
        <f ca="1">IFERROR(__xludf.DUMMYFUNCTION("IF
(
G5691=""фізична особа""
,
VLOOKUP(H5691,IMPORTRANGE(""https://docs.google.com/spreadsheets/d/14Bd19lYaqBhU8_DElYkX7l4wRkHqqCUFNJY4AfY3kHU/edit?usp=sharing  #gid=0"",""фіз особи new!relations_name""),6,FALSE)
,
(IF
(
G5691=""юридична особа""
,
VLOOKUP"&amp;"(H5691,IMPORTRANGE(""https://docs.google.com/spreadsheets/d/14Bd19lYaqBhU8_DElYkX7l4wRkHqqCUFNJY4AfY3kHU/edit?usp=sharing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J5690" s="7" t="s">
        <v>12</v>
      </c>
    </row>
    <row r="5691" spans="1:10" ht="13.2">
      <c r="A5691" s="7">
        <v>5690</v>
      </c>
      <c r="B5691" s="7">
        <v>1</v>
      </c>
      <c r="C5691" s="7" t="s">
        <v>10</v>
      </c>
      <c r="D5691" s="7">
        <v>4807</v>
      </c>
      <c r="E5691" s="7" t="s">
        <v>21</v>
      </c>
      <c r="F5691" s="8" t="str">
        <f ca="1">IFERROR(__xludf.DUMMYFUNCTION("IF
(
C5692=""фізична особа""
,
VLOOKUP(D5692,IMPORTRANGE(""https://docs.google.com/spreadsheets/d/14Bd19lYaqBhU8_DElYkX7l4wRkHqqCUFNJY4AfY3kHU/edit?usp=sharing  #gid=0"",""фіз особи new!relations_name""),6,FALSE)
,
(IF
(
C5692=""юридична особа""
,
VLOOKUP"&amp;"(D5692,IMPORTRANGE(""https://docs.google.com/spreadsheets/d/14Bd19lYaqBhU8_DElYkX7l4wRkHqqCUFNJY4AfY3kHU/edit?usp=sharing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G5691" s="7" t="s">
        <v>10</v>
      </c>
      <c r="H5691" s="7">
        <v>2418</v>
      </c>
      <c r="I5691" s="8" t="str">
        <f ca="1">IFERROR(__xludf.DUMMYFUNCTION("IF
(
G5692=""фізична особа""
,
VLOOKUP(H5692,IMPORTRANGE(""https://docs.google.com/spreadsheets/d/14Bd19lYaqBhU8_DElYkX7l4wRkHqqCUFNJY4AfY3kHU/edit?usp=sharing  #gid=0"",""фіз особи new!relations_name""),6,FALSE)
,
(IF
(
G5692=""юридична особа""
,
VLOOKUP"&amp;"(H5692,IMPORTRANGE(""https://docs.google.com/spreadsheets/d/14Bd19lYaqBhU8_DElYkX7l4wRkHqqCUFNJY4AfY3kHU/edit?usp=sharing  #gid=0"",""фіз особи new!relations_name_uo""),7,FALSE)
,
)
))"),"КРАВЦОВ / БРАУН Сергій Сергійович")</f>
        <v>КРАВЦОВ / БРАУН Сергій Сергійович</v>
      </c>
      <c r="J5691" s="7" t="s">
        <v>17</v>
      </c>
    </row>
    <row r="5692" spans="1:10" ht="13.2">
      <c r="A5692" s="7">
        <v>5691</v>
      </c>
      <c r="B5692" s="7">
        <v>1</v>
      </c>
      <c r="C5692" s="7" t="s">
        <v>10</v>
      </c>
      <c r="D5692" s="7">
        <v>4807</v>
      </c>
      <c r="E5692" s="7" t="s">
        <v>21</v>
      </c>
      <c r="F5692" s="8" t="str">
        <f ca="1">IFERROR(__xludf.DUMMYFUNCTION("IF
(
C5693=""фізична особа""
,
VLOOKUP(D5693,IMPORTRANGE(""https://docs.google.com/spreadsheets/d/14Bd19lYaqBhU8_DElYkX7l4wRkHqqCUFNJY4AfY3kHU/edit?usp=sharing  #gid=0"",""фіз особи new!relations_name""),6,FALSE)
,
(IF
(
C5693=""юридична особа""
,
VLOOKUP"&amp;"(D5693,IMPORTRANGE(""https://docs.google.com/spreadsheets/d/14Bd19lYaqBhU8_DElYkX7l4wRkHqqCUFNJY4AfY3kHU/edit?usp=sharing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G5692" s="7" t="s">
        <v>10</v>
      </c>
      <c r="H5692" s="7">
        <v>4806</v>
      </c>
      <c r="I5692" s="8" t="str">
        <f ca="1">IFERROR(__xludf.DUMMYFUNCTION("IF
(
G5693=""фізична особа""
,
VLOOKUP(H5693,IMPORTRANGE(""https://docs.google.com/spreadsheets/d/14Bd19lYaqBhU8_DElYkX7l4wRkHqqCUFNJY4AfY3kHU/edit?usp=sharing  #gid=0"",""фіз особи new!relations_name""),6,FALSE)
,
(IF
(
G5693=""юридична особа""
,
VLOOKUP"&amp;"(H5693,IMPORTRANGE(""https://docs.google.com/spreadsheets/d/14Bd19lYaqBhU8_DElYkX7l4wRkHqqCUFNJY4AfY3kHU/edit?usp=sharing  #gid=0"",""фіз особи new!relations_name_uo""),7,FALSE)
,
)
))"),"БРАУН Юрій Сергійович")</f>
        <v>БРАУН Юрій Сергійович</v>
      </c>
      <c r="J5692" s="7" t="s">
        <v>17</v>
      </c>
    </row>
    <row r="5693" spans="1:10" ht="13.2">
      <c r="A5693" s="7">
        <v>5692</v>
      </c>
      <c r="B5693" s="7">
        <v>1</v>
      </c>
      <c r="C5693" s="7" t="s">
        <v>10</v>
      </c>
      <c r="D5693" s="7">
        <v>4807</v>
      </c>
      <c r="E5693" s="7" t="s">
        <v>15</v>
      </c>
      <c r="F5693" s="8" t="str">
        <f ca="1">IFERROR(__xludf.DUMMYFUNCTION("IF
(
C5694=""фізична особа""
,
VLOOKUP(D5694,IMPORTRANGE(""https://docs.google.com/spreadsheets/d/14Bd19lYaqBhU8_DElYkX7l4wRkHqqCUFNJY4AfY3kHU/edit?usp=sharing  #gid=0"",""фіз особи new!relations_name""),6,FALSE)
,
(IF
(
C5694=""юридична особа""
,
VLOOKUP"&amp;"(D5694,IMPORTRANGE(""https://docs.google.com/spreadsheets/d/14Bd19lYaqBhU8_DElYkX7l4wRkHqqCUFNJY4AfY3kHU/edit?usp=sharing  #gid=0"",""фіз особи new!relations_name_uo""),7,FALSE)
,
)
))"),"КРАВЦОВА Алла Юріївна")</f>
        <v>КРАВЦОВА Алла Юріївна</v>
      </c>
      <c r="G5693" s="7" t="s">
        <v>10</v>
      </c>
      <c r="H5693" s="7">
        <v>4805</v>
      </c>
      <c r="I5693" s="8" t="str">
        <f ca="1">IFERROR(__xludf.DUMMYFUNCTION("IF
(
G5694=""фізична особа""
,
VLOOKUP(H5694,IMPORTRANGE(""https://docs.google.com/spreadsheets/d/14Bd19lYaqBhU8_DElYkX7l4wRkHqqCUFNJY4AfY3kHU/edit?usp=sharing  #gid=0"",""фіз особи new!relations_name""),6,FALSE)
,
(IF
(
G5694=""юридична особа""
,
VLOOKUP"&amp;"(H5694,IMPORTRANGE(""https://docs.google.com/spreadsheets/d/14Bd19lYaqBhU8_DElYkX7l4wRkHqqCUFNJY4AfY3kHU/edit?usp=sharing  #gid=0"",""фіз особи new!relations_name_uo""),7,FALSE)
,
)
))"),"БРАУН Сергій Вікторович")</f>
        <v>БРАУН Сергій Вікторович</v>
      </c>
      <c r="J5693" s="7" t="s">
        <v>14</v>
      </c>
    </row>
    <row r="5694" spans="1:10" ht="13.2">
      <c r="A5694" s="7">
        <v>5693</v>
      </c>
      <c r="B5694" s="7">
        <v>1</v>
      </c>
      <c r="C5694" s="7" t="s">
        <v>10</v>
      </c>
      <c r="D5694" s="7">
        <v>4812</v>
      </c>
      <c r="E5694" s="7" t="s">
        <v>21</v>
      </c>
      <c r="F5694" s="8" t="str">
        <f ca="1">IFERROR(__xludf.DUMMYFUNCTION("IF
(
C5695=""фізична особа""
,
VLOOKUP(D5695,IMPORTRANGE(""https://docs.google.com/spreadsheets/d/14Bd19lYaqBhU8_DElYkX7l4wRkHqqCUFNJY4AfY3kHU/edit?usp=sharing  #gid=0"",""фіз особи new!relations_name""),6,FALSE)
,
(IF
(
C5695=""юридична особа""
,
VLOOKUP"&amp;"(D5695,IMPORTRANGE(""https://docs.google.com/spreadsheets/d/14Bd19lYaqBhU8_DElYkX7l4wRkHqqCUFNJY4AfY3kHU/edit?usp=sharing  #gid=0"",""фіз особи new!relations_name_uo""),7,FALSE)
,
)
))"),"БАСАНСЬКА Анжеліка Валеріївна")</f>
        <v>БАСАНСЬКА Анжеліка Валеріївна</v>
      </c>
      <c r="G5694" s="7" t="s">
        <v>10</v>
      </c>
      <c r="H5694" s="7">
        <v>96</v>
      </c>
      <c r="I5694" s="8" t="str">
        <f ca="1">IFERROR(__xludf.DUMMYFUNCTION("IF
(
G5695=""фізична особа""
,
VLOOKUP(H5695,IMPORTRANGE(""https://docs.google.com/spreadsheets/d/14Bd19lYaqBhU8_DElYkX7l4wRkHqqCUFNJY4AfY3kHU/edit?usp=sharing  #gid=0"",""фіз особи new!relations_name""),6,FALSE)
,
(IF
(
G5695=""юридична особа""
,
VLOOKUP"&amp;"(H5695,IMPORTRANGE(""https://docs.google.com/spreadsheets/d/14Bd19lYaqBhU8_DElYkX7l4wRkHqqCUFNJY4AfY3kHU/edit?usp=sharing  #gid=0"",""фіз особи new!relations_name_uo""),7,FALSE)
,
)
))"),"БАСАНСЬКИЙ Антон Олександрович")</f>
        <v>БАСАНСЬКИЙ Антон Олександрович</v>
      </c>
      <c r="J5694" s="7" t="s">
        <v>17</v>
      </c>
    </row>
    <row r="5695" spans="1:10" ht="13.2">
      <c r="A5695" s="7">
        <v>5694</v>
      </c>
      <c r="B5695" s="7">
        <v>1</v>
      </c>
      <c r="C5695" s="7" t="s">
        <v>10</v>
      </c>
      <c r="D5695" s="7">
        <v>4813</v>
      </c>
      <c r="E5695" s="7" t="s">
        <v>12</v>
      </c>
      <c r="F5695" s="8" t="str">
        <f ca="1">IFERROR(__xludf.DUMMYFUNCTION("IF
(
C5696=""фізична особа""
,
VLOOKUP(D5696,IMPORTRANGE(""https://docs.google.com/spreadsheets/d/14Bd19lYaqBhU8_DElYkX7l4wRkHqqCUFNJY4AfY3kHU/edit?usp=sharing  #gid=0"",""фіз особи new!relations_name""),6,FALSE)
,
(IF
(
C5696=""юридична особа""
,
VLOOKUP"&amp;"(D5696,IMPORTRANGE(""https://docs.google.com/spreadsheets/d/14Bd19lYaqBhU8_DElYkX7l4wRkHqqCUFNJY4AfY3kHU/edit?usp=sharing  #gid=0"",""фіз особи new!relations_name_uo""),7,FALSE)
,
)
))"),"БАХАРЄВ Михайло Олексійович")</f>
        <v>БАХАРЄВ Михайло Олексійович</v>
      </c>
      <c r="G5695" s="7" t="s">
        <v>10</v>
      </c>
      <c r="H5695" s="7">
        <v>130</v>
      </c>
      <c r="I5695" s="8" t="str">
        <f ca="1">IFERROR(__xludf.DUMMYFUNCTION("IF
(
G5696=""фізична особа""
,
VLOOKUP(H5696,IMPORTRANGE(""https://docs.google.com/spreadsheets/d/14Bd19lYaqBhU8_DElYkX7l4wRkHqqCUFNJY4AfY3kHU/edit?usp=sharing  #gid=0"",""фіз особи new!relations_name""),6,FALSE)
,
(IF
(
G5696=""юридична особа""
,
VLOOKUP"&amp;"(H5696,IMPORTRANGE(""https://docs.google.com/spreadsheets/d/14Bd19lYaqBhU8_DElYkX7l4wRkHqqCUFNJY4AfY3kHU/edit?usp=sharing  #gid=0"",""фіз особи new!relations_name_uo""),7,FALSE)
,
)
))"),"БАХАРЄВ Костянтин Михайлович")</f>
        <v>БАХАРЄВ Костянтин Михайлович</v>
      </c>
      <c r="J5695" s="7" t="s">
        <v>17</v>
      </c>
    </row>
    <row r="5696" spans="1:10" ht="13.2">
      <c r="A5696" s="7">
        <v>5695</v>
      </c>
      <c r="B5696" s="7">
        <v>1</v>
      </c>
      <c r="C5696" s="7" t="s">
        <v>10</v>
      </c>
      <c r="D5696" s="7">
        <v>4818</v>
      </c>
      <c r="E5696" s="7" t="s">
        <v>15</v>
      </c>
      <c r="F5696" s="8" t="str">
        <f ca="1">IFERROR(__xludf.DUMMYFUNCTION("IF
(
C5697=""фізична особа""
,
VLOOKUP(D5697,IMPORTRANGE(""https://docs.google.com/spreadsheets/d/14Bd19lYaqBhU8_DElYkX7l4wRkHqqCUFNJY4AfY3kHU/edit?usp=sharing  #gid=0"",""фіз особи new!relations_name""),6,FALSE)
,
(IF
(
C5697=""юридична особа""
,
VLOOKUP"&amp;"(D5697,IMPORTRANGE(""https://docs.google.com/spreadsheets/d/14Bd19lYaqBhU8_DElYkX7l4wRkHqqCUFNJY4AfY3kHU/edit?usp=sharing  #gid=0"",""фіз особи new!relations_name_uo""),7,FALSE)
,
)
))"),"БОЯРСЬКА Катерина")</f>
        <v>БОЯРСЬКА Катерина</v>
      </c>
      <c r="G5696" s="7" t="s">
        <v>10</v>
      </c>
      <c r="H5696" s="7">
        <v>700</v>
      </c>
      <c r="I5696" s="8" t="str">
        <f ca="1">IFERROR(__xludf.DUMMYFUNCTION("IF
(
G5697=""фізична особа""
,
VLOOKUP(H5697,IMPORTRANGE(""https://docs.google.com/spreadsheets/d/14Bd19lYaqBhU8_DElYkX7l4wRkHqqCUFNJY4AfY3kHU/edit?usp=sharing  #gid=0"",""фіз особи new!relations_name""),6,FALSE)
,
(IF
(
G5697=""юридична особа""
,
VLOOKUP"&amp;"(H5697,IMPORTRANGE(""https://docs.google.com/spreadsheets/d/14Bd19lYaqBhU8_DElYkX7l4wRkHqqCUFNJY4AfY3kHU/edit?usp=sharing  #gid=0"",""фіз особи new!relations_name_uo""),7,FALSE)
,
)
))"),"БОЯРСЬКИЙ Сергій Михайлович")</f>
        <v>БОЯРСЬКИЙ Сергій Михайлович</v>
      </c>
      <c r="J5696" s="7" t="s">
        <v>14</v>
      </c>
    </row>
    <row r="5697" spans="1:10" ht="13.2">
      <c r="A5697" s="7">
        <v>5696</v>
      </c>
      <c r="B5697" s="7">
        <v>1</v>
      </c>
      <c r="C5697" s="7" t="s">
        <v>10</v>
      </c>
      <c r="D5697" s="7">
        <v>4823</v>
      </c>
      <c r="E5697" s="7" t="s">
        <v>15</v>
      </c>
      <c r="F5697" s="8" t="str">
        <f ca="1">IFERROR(__xludf.DUMMYFUNCTION("IF
(
C5698=""фізична особа""
,
VLOOKUP(D5698,IMPORTRANGE(""https://docs.google.com/spreadsheets/d/14Bd19lYaqBhU8_DElYkX7l4wRkHqqCUFNJY4AfY3kHU/edit?usp=sharing  #gid=0"",""фіз особи new!relations_name""),6,FALSE)
,
(IF
(
C5698=""юридична особа""
,
VLOOKUP"&amp;"(D5698,IMPORTRANGE(""https://docs.google.com/spreadsheets/d/14Bd19lYaqBhU8_DElYkX7l4wRkHqqCUFNJY4AfY3kHU/edit?usp=sharing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G5697" s="7" t="s">
        <v>10</v>
      </c>
      <c r="H5697" s="7">
        <v>2100</v>
      </c>
      <c r="I5697" s="8" t="str">
        <f ca="1">IFERROR(__xludf.DUMMYFUNCTION("IF
(
G5698=""фізична особа""
,
VLOOKUP(H5698,IMPORTRANGE(""https://docs.google.com/spreadsheets/d/14Bd19lYaqBhU8_DElYkX7l4wRkHqqCUFNJY4AfY3kHU/edit?usp=sharing  #gid=0"",""фіз особи new!relations_name""),6,FALSE)
,
(IF
(
G5698=""юридична особа""
,
VLOOKUP"&amp;"(H5698,IMPORTRANGE(""https://docs.google.com/spreadsheets/d/14Bd19lYaqBhU8_DElYkX7l4wRkHqqCUFNJY4AfY3kHU/edit?usp=sharing  #gid=0"",""фіз особи new!relations_name_uo""),7,FALSE)
,
)
))"),"БЕЗРУКОВ Сергій Віталійович")</f>
        <v>БЕЗРУКОВ Сергій Віталійович</v>
      </c>
      <c r="J5697" s="7" t="s">
        <v>14</v>
      </c>
    </row>
    <row r="5698" spans="1:10" ht="13.2">
      <c r="A5698" s="7">
        <v>5697</v>
      </c>
      <c r="B5698" s="7">
        <v>1</v>
      </c>
      <c r="C5698" s="7" t="s">
        <v>10</v>
      </c>
      <c r="D5698" s="7">
        <v>4823</v>
      </c>
      <c r="E5698" s="7" t="s">
        <v>13</v>
      </c>
      <c r="F5698" s="8" t="str">
        <f ca="1">IFERROR(__xludf.DUMMYFUNCTION("IF
(
C5699=""фізична особа""
,
VLOOKUP(D5699,IMPORTRANGE(""https://docs.google.com/spreadsheets/d/14Bd19lYaqBhU8_DElYkX7l4wRkHqqCUFNJY4AfY3kHU/edit?usp=sharing  #gid=0"",""фіз особи new!relations_name""),6,FALSE)
,
(IF
(
C5699=""юридична особа""
,
VLOOKUP"&amp;"(D5699,IMPORTRANGE(""https://docs.google.com/spreadsheets/d/14Bd19lYaqBhU8_DElYkX7l4wRkHqqCUFNJY4AfY3kHU/edit?usp=sharing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G5698" s="7" t="s">
        <v>10</v>
      </c>
      <c r="H5698" s="7">
        <v>0</v>
      </c>
      <c r="I5698" s="8" t="str">
        <f ca="1">IFERROR(__xludf.DUMMYFUNCTION("IF
(
G5699=""фізична особа""
,
VLOOKUP(H5699,IMPORTRANGE(""https://docs.google.com/spreadsheets/d/14Bd19lYaqBhU8_DElYkX7l4wRkHqqCUFNJY4AfY3kHU/edit?usp=sharing  #gid=0"",""фіз особи new!relations_name""),6,FALSE)
,
(IF
(
G5699=""юридична особа""
,
VLOOKUP"&amp;"(H5699,IMPORTRANGE(""https://docs.google.com/spreadsheets/d/14Bd19lYaqBhU8_DElYkX7l4wRkHqqCUFNJY4AfY3kHU/edit?usp=sharing  #gid=0"",""фіз особи new!relations_name_uo""),7,FALSE)
,
)
))"),"#N/A")</f>
        <v>#N/A</v>
      </c>
      <c r="J5698" s="7" t="s">
        <v>12</v>
      </c>
    </row>
    <row r="5699" spans="1:10" ht="13.2">
      <c r="A5699" s="7">
        <v>5698</v>
      </c>
      <c r="B5699" s="7">
        <v>1</v>
      </c>
      <c r="C5699" s="7" t="s">
        <v>10</v>
      </c>
      <c r="D5699" s="7">
        <v>4823</v>
      </c>
      <c r="E5699" s="7" t="s">
        <v>13</v>
      </c>
      <c r="F5699" s="8" t="str">
        <f ca="1">IFERROR(__xludf.DUMMYFUNCTION("IF
(
C5700=""фізична особа""
,
VLOOKUP(D5700,IMPORTRANGE(""https://docs.google.com/spreadsheets/d/14Bd19lYaqBhU8_DElYkX7l4wRkHqqCUFNJY4AfY3kHU/edit?usp=sharing  #gid=0"",""фіз особи new!relations_name""),6,FALSE)
,
(IF
(
C5700=""юридична особа""
,
VLOOKUP"&amp;"(D5700,IMPORTRANGE(""https://docs.google.com/spreadsheets/d/14Bd19lYaqBhU8_DElYkX7l4wRkHqqCUFNJY4AfY3kHU/edit?usp=sharing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G5699" s="7" t="s">
        <v>10</v>
      </c>
      <c r="H5699" s="7">
        <v>0</v>
      </c>
      <c r="I5699" s="8" t="str">
        <f ca="1">IFERROR(__xludf.DUMMYFUNCTION("IF
(
G5700=""фізична особа""
,
VLOOKUP(H5700,IMPORTRANGE(""https://docs.google.com/spreadsheets/d/14Bd19lYaqBhU8_DElYkX7l4wRkHqqCUFNJY4AfY3kHU/edit?usp=sharing  #gid=0"",""фіз особи new!relations_name""),6,FALSE)
,
(IF
(
G5700=""юридична особа""
,
VLOOKUP"&amp;"(H5700,IMPORTRANGE(""https://docs.google.com/spreadsheets/d/14Bd19lYaqBhU8_DElYkX7l4wRkHqqCUFNJY4AfY3kHU/edit?usp=sharing  #gid=0"",""фіз особи new!relations_name_uo""),7,FALSE)
,
)
))"),"#N/A")</f>
        <v>#N/A</v>
      </c>
      <c r="J5699" s="7" t="s">
        <v>21</v>
      </c>
    </row>
    <row r="5700" spans="1:10" ht="13.2">
      <c r="A5700" s="7">
        <v>5699</v>
      </c>
      <c r="B5700" s="7">
        <v>1</v>
      </c>
      <c r="C5700" s="7" t="s">
        <v>10</v>
      </c>
      <c r="D5700" s="7">
        <v>4823</v>
      </c>
      <c r="E5700" s="7" t="s">
        <v>31</v>
      </c>
      <c r="F5700" s="8" t="str">
        <f ca="1">IFERROR(__xludf.DUMMYFUNCTION("IF
(
C5701=""фізична особа""
,
VLOOKUP(D5701,IMPORTRANGE(""https://docs.google.com/spreadsheets/d/14Bd19lYaqBhU8_DElYkX7l4wRkHqqCUFNJY4AfY3kHU/edit?usp=sharing  #gid=0"",""фіз особи new!relations_name""),6,FALSE)
,
(IF
(
C5701=""юридична особа""
,
VLOOKUP"&amp;"(D5701,IMPORTRANGE(""https://docs.google.com/spreadsheets/d/14Bd19lYaqBhU8_DElYkX7l4wRkHqqCUFNJY4AfY3kHU/edit?usp=sharing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G5700" s="7" t="s">
        <v>10</v>
      </c>
      <c r="H5700" s="7">
        <v>0</v>
      </c>
      <c r="I5700" s="8" t="str">
        <f ca="1">IFERROR(__xludf.DUMMYFUNCTION("IF
(
G5701=""фізична особа""
,
VLOOKUP(H5701,IMPORTRANGE(""https://docs.google.com/spreadsheets/d/14Bd19lYaqBhU8_DElYkX7l4wRkHqqCUFNJY4AfY3kHU/edit?usp=sharing  #gid=0"",""фіз особи new!relations_name""),6,FALSE)
,
(IF
(
G5701=""юридична особа""
,
VLOOKUP"&amp;"(H5701,IMPORTRANGE(""https://docs.google.com/spreadsheets/d/14Bd19lYaqBhU8_DElYkX7l4wRkHqqCUFNJY4AfY3kHU/edit?usp=sharing  #gid=0"",""фіз особи new!relations_name_uo""),7,FALSE)
,
)
))"),"#N/A")</f>
        <v>#N/A</v>
      </c>
      <c r="J5700" s="7" t="s">
        <v>18</v>
      </c>
    </row>
    <row r="5701" spans="1:10" ht="13.2">
      <c r="A5701" s="7">
        <v>5700</v>
      </c>
      <c r="B5701" s="7">
        <v>1</v>
      </c>
      <c r="C5701" s="7" t="s">
        <v>10</v>
      </c>
      <c r="D5701" s="7">
        <v>4823</v>
      </c>
      <c r="E5701" s="7" t="s">
        <v>31</v>
      </c>
      <c r="F5701" s="8" t="str">
        <f ca="1">IFERROR(__xludf.DUMMYFUNCTION("IF
(
C5702=""фізична особа""
,
VLOOKUP(D5702,IMPORTRANGE(""https://docs.google.com/spreadsheets/d/14Bd19lYaqBhU8_DElYkX7l4wRkHqqCUFNJY4AfY3kHU/edit?usp=sharing  #gid=0"",""фіз особи new!relations_name""),6,FALSE)
,
(IF
(
C5702=""юридична особа""
,
VLOOKUP"&amp;"(D5702,IMPORTRANGE(""https://docs.google.com/spreadsheets/d/14Bd19lYaqBhU8_DElYkX7l4wRkHqqCUFNJY4AfY3kHU/edit?usp=sharing  #gid=0"",""фіз особи new!relations_name_uo""),7,FALSE)
,
)
))"),"МАТІСОН Ганна Олегівна")</f>
        <v>МАТІСОН Ганна Олегівна</v>
      </c>
      <c r="G5701" s="7" t="s">
        <v>10</v>
      </c>
      <c r="H5701" s="7">
        <v>0</v>
      </c>
      <c r="I5701" s="8" t="str">
        <f ca="1">IFERROR(__xludf.DUMMYFUNCTION("IF
(
G5702=""фізична особа""
,
VLOOKUP(H5702,IMPORTRANGE(""https://docs.google.com/spreadsheets/d/14Bd19lYaqBhU8_DElYkX7l4wRkHqqCUFNJY4AfY3kHU/edit?usp=sharing  #gid=0"",""фіз особи new!relations_name""),6,FALSE)
,
(IF
(
G5702=""юридична особа""
,
VLOOKUP"&amp;"(H5702,IMPORTRANGE(""https://docs.google.com/spreadsheets/d/14Bd19lYaqBhU8_DElYkX7l4wRkHqqCUFNJY4AfY3kHU/edit?usp=sharing  #gid=0"",""фіз особи new!relations_name_uo""),7,FALSE)
,
)
))"),"#N/A")</f>
        <v>#N/A</v>
      </c>
      <c r="J5701" s="7" t="s">
        <v>18</v>
      </c>
    </row>
    <row r="5702" spans="1:10" ht="13.2">
      <c r="A5702" s="7">
        <v>5701</v>
      </c>
      <c r="B5702" s="7">
        <v>1</v>
      </c>
      <c r="C5702" s="7" t="s">
        <v>10</v>
      </c>
      <c r="D5702" s="7">
        <v>4824</v>
      </c>
      <c r="E5702" s="7" t="s">
        <v>15</v>
      </c>
      <c r="F5702" s="8" t="str">
        <f ca="1">IFERROR(__xludf.DUMMYFUNCTION("IF
(
C5703=""фізична особа""
,
VLOOKUP(D5703,IMPORTRANGE(""https://docs.google.com/spreadsheets/d/14Bd19lYaqBhU8_DElYkX7l4wRkHqqCUFNJY4AfY3kHU/edit?usp=sharing  #gid=0"",""фіз особи new!relations_name""),6,FALSE)
,
(IF
(
C5703=""юридична особа""
,
VLOOKUP"&amp;"(D5703,IMPORTRANGE(""https://docs.google.com/spreadsheets/d/14Bd19lYaqBhU8_DElYkX7l4wRkHqqCUFNJY4AfY3kHU/edit?usp=sharing  #gid=0"",""фіз особи new!relations_name_uo""),7,FALSE)
,
)
))"),"БЄЛОЗЄРОВА Ольга Олександрівна")</f>
        <v>БЄЛОЗЄРОВА Ольга Олександрівна</v>
      </c>
      <c r="G5702" s="7" t="s">
        <v>10</v>
      </c>
      <c r="H5702" s="7">
        <v>3284</v>
      </c>
      <c r="I5702" s="8" t="str">
        <f ca="1">IFERROR(__xludf.DUMMYFUNCTION("IF
(
G5703=""фізична особа""
,
VLOOKUP(H5703,IMPORTRANGE(""https://docs.google.com/spreadsheets/d/14Bd19lYaqBhU8_DElYkX7l4wRkHqqCUFNJY4AfY3kHU/edit?usp=sharing  #gid=0"",""фіз особи new!relations_name""),6,FALSE)
,
(IF
(
G5703=""юридична особа""
,
VLOOKUP"&amp;"(H5703,IMPORTRANGE(""https://docs.google.com/spreadsheets/d/14Bd19lYaqBhU8_DElYkX7l4wRkHqqCUFNJY4AfY3kHU/edit?usp=sharing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J5702" s="7" t="s">
        <v>14</v>
      </c>
    </row>
    <row r="5703" spans="1:10" ht="13.2">
      <c r="A5703" s="7">
        <v>5702</v>
      </c>
      <c r="B5703" s="7">
        <v>1</v>
      </c>
      <c r="C5703" s="7" t="s">
        <v>10</v>
      </c>
      <c r="D5703" s="7">
        <v>4824</v>
      </c>
      <c r="E5703" s="7" t="s">
        <v>25</v>
      </c>
      <c r="F5703" s="8" t="str">
        <f ca="1">IFERROR(__xludf.DUMMYFUNCTION("IF
(
C5704=""фізична особа""
,
VLOOKUP(D5704,IMPORTRANGE(""https://docs.google.com/spreadsheets/d/14Bd19lYaqBhU8_DElYkX7l4wRkHqqCUFNJY4AfY3kHU/edit?usp=sharing  #gid=0"",""фіз особи new!relations_name""),6,FALSE)
,
(IF
(
C5704=""юридична особа""
,
VLOOKUP"&amp;"(D5704,IMPORTRANGE(""https://docs.google.com/spreadsheets/d/14Bd19lYaqBhU8_DElYkX7l4wRkHqqCUFNJY4AfY3kHU/edit?usp=sharing  #gid=0"",""фіз особи new!relations_name_uo""),7,FALSE)
,
)
))"),"БЄЛОЗЄРОВА Ольга Олександрівна")</f>
        <v>БЄЛОЗЄРОВА Ольга Олександрівна</v>
      </c>
      <c r="G5703" s="7" t="s">
        <v>10</v>
      </c>
      <c r="H5703" s="7">
        <v>23515</v>
      </c>
      <c r="I5703" s="8" t="str">
        <f ca="1">IFERROR(__xludf.DUMMYFUNCTION("IF
(
G5704=""фізична особа""
,
VLOOKUP(H5704,IMPORTRANGE(""https://docs.google.com/spreadsheets/d/14Bd19lYaqBhU8_DElYkX7l4wRkHqqCUFNJY4AfY3kHU/edit?usp=sharing  #gid=0"",""фіз особи new!relations_name""),6,FALSE)
,
(IF
(
G5704=""юридична особа""
,
VLOOKUP"&amp;"(H5704,IMPORTRANGE(""https://docs.google.com/spreadsheets/d/14Bd19lYaqBhU8_DElYkX7l4wRkHqqCUFNJY4AfY3kHU/edit?usp=sharing  #gid=0"",""фіз особи new!relations_name_uo""),7,FALSE)
,
)
))"),"БЄЛОЗЬОРОВ Валентин Борисович")</f>
        <v>БЄЛОЗЬОРОВ Валентин Борисович</v>
      </c>
      <c r="J5703" s="7" t="s">
        <v>34</v>
      </c>
    </row>
    <row r="5704" spans="1:10" ht="13.2">
      <c r="A5704" s="7">
        <v>5703</v>
      </c>
      <c r="B5704" s="7">
        <v>1</v>
      </c>
      <c r="C5704" s="7" t="s">
        <v>10</v>
      </c>
      <c r="D5704" s="7">
        <v>4824</v>
      </c>
      <c r="E5704" s="7" t="s">
        <v>25</v>
      </c>
      <c r="F5704" s="8" t="str">
        <f ca="1">IFERROR(__xludf.DUMMYFUNCTION("IF
(
C5705=""фізична особа""
,
VLOOKUP(D5705,IMPORTRANGE(""https://docs.google.com/spreadsheets/d/14Bd19lYaqBhU8_DElYkX7l4wRkHqqCUFNJY4AfY3kHU/edit?usp=sharing  #gid=0"",""фіз особи new!relations_name""),6,FALSE)
,
(IF
(
C5705=""юридична особа""
,
VLOOKUP"&amp;"(D5705,IMPORTRANGE(""https://docs.google.com/spreadsheets/d/14Bd19lYaqBhU8_DElYkX7l4wRkHqqCUFNJY4AfY3kHU/edit?usp=sharing  #gid=0"",""фіз особи new!relations_name_uo""),7,FALSE)
,
)
))"),"БЄЛОЗЄРОВА Ольга Олександрівна")</f>
        <v>БЄЛОЗЄРОВА Ольга Олександрівна</v>
      </c>
      <c r="G5704" s="7" t="s">
        <v>10</v>
      </c>
      <c r="H5704" s="7">
        <v>23541</v>
      </c>
      <c r="I5704" s="8" t="str">
        <f ca="1">IFERROR(__xludf.DUMMYFUNCTION("IF
(
G5705=""фізична особа""
,
VLOOKUP(H5705,IMPORTRANGE(""https://docs.google.com/spreadsheets/d/14Bd19lYaqBhU8_DElYkX7l4wRkHqqCUFNJY4AfY3kHU/edit?usp=sharing  #gid=0"",""фіз особи new!relations_name""),6,FALSE)
,
(IF
(
G5705=""юридична особа""
,
VLOOKUP"&amp;"(H5705,IMPORTRANGE(""https://docs.google.com/spreadsheets/d/14Bd19lYaqBhU8_DElYkX7l4wRkHqqCUFNJY4AfY3kHU/edit?usp=sharing  #gid=0"",""фіз особи new!relations_name_uo""),7,FALSE)
,
)
))"),"БЄЛОЗЬОРОВА Леоніла Кирилівна")</f>
        <v>БЄЛОЗЬОРОВА Леоніла Кирилівна</v>
      </c>
      <c r="J5704" s="7" t="s">
        <v>58</v>
      </c>
    </row>
    <row r="5705" spans="1:10" ht="13.2">
      <c r="A5705" s="7">
        <v>5704</v>
      </c>
      <c r="B5705" s="7">
        <v>1</v>
      </c>
      <c r="C5705" s="7" t="s">
        <v>10</v>
      </c>
      <c r="D5705" s="7">
        <v>4824</v>
      </c>
      <c r="E5705" s="7" t="s">
        <v>21</v>
      </c>
      <c r="F5705" s="8" t="str">
        <f ca="1">IFERROR(__xludf.DUMMYFUNCTION("IF
(
C5706=""фізична особа""
,
VLOOKUP(D5706,IMPORTRANGE(""https://docs.google.com/spreadsheets/d/14Bd19lYaqBhU8_DElYkX7l4wRkHqqCUFNJY4AfY3kHU/edit?usp=sharing  #gid=0"",""фіз особи new!relations_name""),6,FALSE)
,
(IF
(
C5706=""юридична особа""
,
VLOOKUP"&amp;"(D5706,IMPORTRANGE(""https://docs.google.com/spreadsheets/d/14Bd19lYaqBhU8_DElYkX7l4wRkHqqCUFNJY4AfY3kHU/edit?usp=sharing  #gid=0"",""фіз особи new!relations_name_uo""),7,FALSE)
,
)
))"),"БЄЛОЗЄРОВА Ольга Олександрівна")</f>
        <v>БЄЛОЗЄРОВА Ольга Олександрівна</v>
      </c>
      <c r="G5705" s="7" t="s">
        <v>10</v>
      </c>
      <c r="H5705" s="7">
        <v>4825</v>
      </c>
      <c r="I5705" s="8" t="str">
        <f ca="1">IFERROR(__xludf.DUMMYFUNCTION("IF
(
G5706=""фізична особа""
,
VLOOKUP(H5706,IMPORTRANGE(""https://docs.google.com/spreadsheets/d/14Bd19lYaqBhU8_DElYkX7l4wRkHqqCUFNJY4AfY3kHU/edit?usp=sharing  #gid=0"",""фіз особи new!relations_name""),6,FALSE)
,
(IF
(
G5706=""юридична особа""
,
VLOOKUP"&amp;"(H5706,IMPORTRANGE(""https://docs.google.com/spreadsheets/d/14Bd19lYaqBhU8_DElYkX7l4wRkHqqCUFNJY4AfY3kHU/edit?usp=sharing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J5705" s="7" t="s">
        <v>17</v>
      </c>
    </row>
    <row r="5706" spans="1:10" ht="13.2">
      <c r="A5706" s="7">
        <v>5705</v>
      </c>
      <c r="B5706" s="7">
        <v>1</v>
      </c>
      <c r="C5706" s="7" t="s">
        <v>10</v>
      </c>
      <c r="D5706" s="7">
        <v>4824</v>
      </c>
      <c r="E5706" s="7" t="s">
        <v>21</v>
      </c>
      <c r="F5706" s="8" t="str">
        <f ca="1">IFERROR(__xludf.DUMMYFUNCTION("IF
(
C5707=""фізична особа""
,
VLOOKUP(D5707,IMPORTRANGE(""https://docs.google.com/spreadsheets/d/14Bd19lYaqBhU8_DElYkX7l4wRkHqqCUFNJY4AfY3kHU/edit?usp=sharing  #gid=0"",""фіз особи new!relations_name""),6,FALSE)
,
(IF
(
C5707=""юридична особа""
,
VLOOKUP"&amp;"(D5707,IMPORTRANGE(""https://docs.google.com/spreadsheets/d/14Bd19lYaqBhU8_DElYkX7l4wRkHqqCUFNJY4AfY3kHU/edit?usp=sharing  #gid=0"",""фіз особи new!relations_name_uo""),7,FALSE)
,
)
))"),"БЄЛОЗЄРОВА Ольга Олександрівна")</f>
        <v>БЄЛОЗЄРОВА Ольга Олександрівна</v>
      </c>
      <c r="G5706" s="7" t="s">
        <v>10</v>
      </c>
      <c r="H5706" s="7">
        <v>4826</v>
      </c>
      <c r="I5706" s="8" t="str">
        <f ca="1">IFERROR(__xludf.DUMMYFUNCTION("IF
(
G5707=""фізична особа""
,
VLOOKUP(H5707,IMPORTRANGE(""https://docs.google.com/spreadsheets/d/14Bd19lYaqBhU8_DElYkX7l4wRkHqqCUFNJY4AfY3kHU/edit?usp=sharing  #gid=0"",""фіз особи new!relations_name""),6,FALSE)
,
(IF
(
G5707=""юридична особа""
,
VLOOKUP"&amp;"(H5707,IMPORTRANGE(""https://docs.google.com/spreadsheets/d/14Bd19lYaqBhU8_DElYkX7l4wRkHqqCUFNJY4AfY3kHU/edit?usp=sharing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J5706" s="7" t="s">
        <v>13</v>
      </c>
    </row>
    <row r="5707" spans="1:10" ht="13.2">
      <c r="A5707" s="7">
        <v>5706</v>
      </c>
      <c r="B5707" s="7">
        <v>1</v>
      </c>
      <c r="C5707" s="7" t="s">
        <v>10</v>
      </c>
      <c r="D5707" s="7">
        <v>4825</v>
      </c>
      <c r="E5707" s="7" t="s">
        <v>17</v>
      </c>
      <c r="F5707" s="8" t="str">
        <f ca="1">IFERROR(__xludf.DUMMYFUNCTION("IF
(
C5708=""фізична особа""
,
VLOOKUP(D5708,IMPORTRANGE(""https://docs.google.com/spreadsheets/d/14Bd19lYaqBhU8_DElYkX7l4wRkHqqCUFNJY4AfY3kHU/edit?usp=sharing  #gid=0"",""фіз особи new!relations_name""),6,FALSE)
,
(IF
(
C5708=""юридична особа""
,
VLOOKUP"&amp;"(D5708,IMPORTRANGE(""https://docs.google.com/spreadsheets/d/14Bd19lYaqBhU8_DElYkX7l4wRkHqqCUFNJY4AfY3kHU/edit?usp=sharing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G5707" s="7" t="s">
        <v>10</v>
      </c>
      <c r="H5707" s="7">
        <v>3284</v>
      </c>
      <c r="I5707" s="8" t="str">
        <f ca="1">IFERROR(__xludf.DUMMYFUNCTION("IF
(
G5708=""фізична особа""
,
VLOOKUP(H5708,IMPORTRANGE(""https://docs.google.com/spreadsheets/d/14Bd19lYaqBhU8_DElYkX7l4wRkHqqCUFNJY4AfY3kHU/edit?usp=sharing  #gid=0"",""фіз особи new!relations_name""),6,FALSE)
,
(IF
(
G5708=""юридична особа""
,
VLOOKUP"&amp;"(H5708,IMPORTRANGE(""https://docs.google.com/spreadsheets/d/14Bd19lYaqBhU8_DElYkX7l4wRkHqqCUFNJY4AfY3kHU/edit?usp=sharing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J5707" s="7" t="s">
        <v>12</v>
      </c>
    </row>
    <row r="5708" spans="1:10" ht="13.2">
      <c r="A5708" s="7">
        <v>5707</v>
      </c>
      <c r="B5708" s="7">
        <v>1</v>
      </c>
      <c r="C5708" s="7" t="s">
        <v>10</v>
      </c>
      <c r="D5708" s="7">
        <v>4825</v>
      </c>
      <c r="E5708" s="7" t="s">
        <v>61</v>
      </c>
      <c r="F5708" s="8" t="str">
        <f ca="1">IFERROR(__xludf.DUMMYFUNCTION("IF
(
C5709=""фізична особа""
,
VLOOKUP(D5709,IMPORTRANGE(""https://docs.google.com/spreadsheets/d/14Bd19lYaqBhU8_DElYkX7l4wRkHqqCUFNJY4AfY3kHU/edit?usp=sharing  #gid=0"",""фіз особи new!relations_name""),6,FALSE)
,
(IF
(
C5709=""юридична особа""
,
VLOOKUP"&amp;"(D5709,IMPORTRANGE(""https://docs.google.com/spreadsheets/d/14Bd19lYaqBhU8_DElYkX7l4wRkHqqCUFNJY4AfY3kHU/edit?usp=sharing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G5708" s="7" t="s">
        <v>10</v>
      </c>
      <c r="H5708" s="7">
        <v>23515</v>
      </c>
      <c r="I5708" s="8" t="str">
        <f ca="1">IFERROR(__xludf.DUMMYFUNCTION("IF
(
G5709=""фізична особа""
,
VLOOKUP(H5709,IMPORTRANGE(""https://docs.google.com/spreadsheets/d/14Bd19lYaqBhU8_DElYkX7l4wRkHqqCUFNJY4AfY3kHU/edit?usp=sharing  #gid=0"",""фіз особи new!relations_name""),6,FALSE)
,
(IF
(
G5709=""юридична особа""
,
VLOOKUP"&amp;"(H5709,IMPORTRANGE(""https://docs.google.com/spreadsheets/d/14Bd19lYaqBhU8_DElYkX7l4wRkHqqCUFNJY4AfY3kHU/edit?usp=sharing  #gid=0"",""фіз особи new!relations_name_uo""),7,FALSE)
,
)
))"),"БЄЛОЗЬОРОВ Валентин Борисович")</f>
        <v>БЄЛОЗЬОРОВ Валентин Борисович</v>
      </c>
      <c r="J5708" s="7" t="s">
        <v>59</v>
      </c>
    </row>
    <row r="5709" spans="1:10" ht="13.2">
      <c r="A5709" s="7">
        <v>5708</v>
      </c>
      <c r="B5709" s="7">
        <v>1</v>
      </c>
      <c r="C5709" s="7" t="s">
        <v>10</v>
      </c>
      <c r="D5709" s="7">
        <v>4825</v>
      </c>
      <c r="E5709" s="7" t="s">
        <v>61</v>
      </c>
      <c r="F5709" s="8" t="str">
        <f ca="1">IFERROR(__xludf.DUMMYFUNCTION("IF
(
C5710=""фізична особа""
,
VLOOKUP(D5710,IMPORTRANGE(""https://docs.google.com/spreadsheets/d/14Bd19lYaqBhU8_DElYkX7l4wRkHqqCUFNJY4AfY3kHU/edit?usp=sharing  #gid=0"",""фіз особи new!relations_name""),6,FALSE)
,
(IF
(
C5710=""юридична особа""
,
VLOOKUP"&amp;"(D5710,IMPORTRANGE(""https://docs.google.com/spreadsheets/d/14Bd19lYaqBhU8_DElYkX7l4wRkHqqCUFNJY4AfY3kHU/edit?usp=sharing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G5709" s="7" t="s">
        <v>10</v>
      </c>
      <c r="H5709" s="7">
        <v>23541</v>
      </c>
      <c r="I5709" s="8" t="str">
        <f ca="1">IFERROR(__xludf.DUMMYFUNCTION("IF
(
G5710=""фізична особа""
,
VLOOKUP(H5710,IMPORTRANGE(""https://docs.google.com/spreadsheets/d/14Bd19lYaqBhU8_DElYkX7l4wRkHqqCUFNJY4AfY3kHU/edit?usp=sharing  #gid=0"",""фіз особи new!relations_name""),6,FALSE)
,
(IF
(
G5710=""юридична особа""
,
VLOOKUP"&amp;"(H5710,IMPORTRANGE(""https://docs.google.com/spreadsheets/d/14Bd19lYaqBhU8_DElYkX7l4wRkHqqCUFNJY4AfY3kHU/edit?usp=sharing  #gid=0"",""фіз особи new!relations_name_uo""),7,FALSE)
,
)
))"),"БЄЛОЗЬОРОВА Леоніла Кирилівна")</f>
        <v>БЄЛОЗЬОРОВА Леоніла Кирилівна</v>
      </c>
      <c r="J5709" s="7" t="s">
        <v>79</v>
      </c>
    </row>
    <row r="5710" spans="1:10" ht="13.2">
      <c r="A5710" s="7">
        <v>5709</v>
      </c>
      <c r="B5710" s="7">
        <v>1</v>
      </c>
      <c r="C5710" s="7" t="s">
        <v>10</v>
      </c>
      <c r="D5710" s="7">
        <v>4825</v>
      </c>
      <c r="E5710" s="7" t="s">
        <v>18</v>
      </c>
      <c r="F5710" s="8" t="str">
        <f ca="1">IFERROR(__xludf.DUMMYFUNCTION("IF
(
C5711=""фізична особа""
,
VLOOKUP(D5711,IMPORTRANGE(""https://docs.google.com/spreadsheets/d/14Bd19lYaqBhU8_DElYkX7l4wRkHqqCUFNJY4AfY3kHU/edit?usp=sharing  #gid=0"",""фіз особи new!relations_name""),6,FALSE)
,
(IF
(
C5711=""юридична особа""
,
VLOOKUP"&amp;"(D5711,IMPORTRANGE(""https://docs.google.com/spreadsheets/d/14Bd19lYaqBhU8_DElYkX7l4wRkHqqCUFNJY4AfY3kHU/edit?usp=sharing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G5710" s="7" t="s">
        <v>10</v>
      </c>
      <c r="H5710" s="7">
        <v>4826</v>
      </c>
      <c r="I5710" s="8" t="str">
        <f ca="1">IFERROR(__xludf.DUMMYFUNCTION("IF
(
G5711=""фізична особа""
,
VLOOKUP(H5711,IMPORTRANGE(""https://docs.google.com/spreadsheets/d/14Bd19lYaqBhU8_DElYkX7l4wRkHqqCUFNJY4AfY3kHU/edit?usp=sharing  #gid=0"",""фіз особи new!relations_name""),6,FALSE)
,
(IF
(
G5711=""юридична особа""
,
VLOOKUP"&amp;"(H5711,IMPORTRANGE(""https://docs.google.com/spreadsheets/d/14Bd19lYaqBhU8_DElYkX7l4wRkHqqCUFNJY4AfY3kHU/edit?usp=sharing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J5710" s="7" t="s">
        <v>31</v>
      </c>
    </row>
    <row r="5711" spans="1:10" ht="13.2">
      <c r="A5711" s="7">
        <v>5710</v>
      </c>
      <c r="B5711" s="7">
        <v>1</v>
      </c>
      <c r="C5711" s="7" t="s">
        <v>10</v>
      </c>
      <c r="D5711" s="7">
        <v>4826</v>
      </c>
      <c r="E5711" s="7" t="s">
        <v>13</v>
      </c>
      <c r="F5711" s="8" t="str">
        <f ca="1">IFERROR(__xludf.DUMMYFUNCTION("IF
(
C5712=""фізична особа""
,
VLOOKUP(D5712,IMPORTRANGE(""https://docs.google.com/spreadsheets/d/14Bd19lYaqBhU8_DElYkX7l4wRkHqqCUFNJY4AfY3kHU/edit?usp=sharing  #gid=0"",""фіз особи new!relations_name""),6,FALSE)
,
(IF
(
C5712=""юридична особа""
,
VLOOKUP"&amp;"(D5712,IMPORTRANGE(""https://docs.google.com/spreadsheets/d/14Bd19lYaqBhU8_DElYkX7l4wRkHqqCUFNJY4AfY3kHU/edit?usp=sharing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G5711" s="7" t="s">
        <v>10</v>
      </c>
      <c r="H5711" s="7">
        <v>3284</v>
      </c>
      <c r="I5711" s="8" t="str">
        <f ca="1">IFERROR(__xludf.DUMMYFUNCTION("IF
(
G5712=""фізична особа""
,
VLOOKUP(H5712,IMPORTRANGE(""https://docs.google.com/spreadsheets/d/14Bd19lYaqBhU8_DElYkX7l4wRkHqqCUFNJY4AfY3kHU/edit?usp=sharing  #gid=0"",""фіз особи new!relations_name""),6,FALSE)
,
(IF
(
G5712=""юридична особа""
,
VLOOKUP"&amp;"(H5712,IMPORTRANGE(""https://docs.google.com/spreadsheets/d/14Bd19lYaqBhU8_DElYkX7l4wRkHqqCUFNJY4AfY3kHU/edit?usp=sharing  #gid=0"",""фіз особи new!relations_name_uo""),7,FALSE)
,
)
))"),"БЄЛОЗЕРОВ Олег Валентинович")</f>
        <v>БЄЛОЗЕРОВ Олег Валентинович</v>
      </c>
      <c r="J5711" s="7" t="s">
        <v>12</v>
      </c>
    </row>
    <row r="5712" spans="1:10" ht="13.2">
      <c r="A5712" s="7">
        <v>5711</v>
      </c>
      <c r="B5712" s="7">
        <v>1</v>
      </c>
      <c r="C5712" s="7" t="s">
        <v>10</v>
      </c>
      <c r="D5712" s="7">
        <v>4826</v>
      </c>
      <c r="E5712" s="7" t="s">
        <v>60</v>
      </c>
      <c r="F5712" s="8" t="str">
        <f ca="1">IFERROR(__xludf.DUMMYFUNCTION("IF
(
C5713=""фізична особа""
,
VLOOKUP(D5713,IMPORTRANGE(""https://docs.google.com/spreadsheets/d/14Bd19lYaqBhU8_DElYkX7l4wRkHqqCUFNJY4AfY3kHU/edit?usp=sharing  #gid=0"",""фіз особи new!relations_name""),6,FALSE)
,
(IF
(
C5713=""юридична особа""
,
VLOOKUP"&amp;"(D5713,IMPORTRANGE(""https://docs.google.com/spreadsheets/d/14Bd19lYaqBhU8_DElYkX7l4wRkHqqCUFNJY4AfY3kHU/edit?usp=sharing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G5712" s="7" t="s">
        <v>10</v>
      </c>
      <c r="H5712" s="7">
        <v>23515</v>
      </c>
      <c r="I5712" s="8" t="str">
        <f ca="1">IFERROR(__xludf.DUMMYFUNCTION("IF
(
G5713=""фізична особа""
,
VLOOKUP(H5713,IMPORTRANGE(""https://docs.google.com/spreadsheets/d/14Bd19lYaqBhU8_DElYkX7l4wRkHqqCUFNJY4AfY3kHU/edit?usp=sharing  #gid=0"",""фіз особи new!relations_name""),6,FALSE)
,
(IF
(
G5713=""юридична особа""
,
VLOOKUP"&amp;"(H5713,IMPORTRANGE(""https://docs.google.com/spreadsheets/d/14Bd19lYaqBhU8_DElYkX7l4wRkHqqCUFNJY4AfY3kHU/edit?usp=sharing  #gid=0"",""фіз особи new!relations_name_uo""),7,FALSE)
,
)
))"),"БЄЛОЗЬОРОВ Валентин Борисович")</f>
        <v>БЄЛОЗЬОРОВ Валентин Борисович</v>
      </c>
      <c r="J5712" s="7" t="s">
        <v>59</v>
      </c>
    </row>
    <row r="5713" spans="1:10" ht="13.2">
      <c r="A5713" s="7">
        <v>5712</v>
      </c>
      <c r="B5713" s="7">
        <v>1</v>
      </c>
      <c r="C5713" s="7" t="s">
        <v>10</v>
      </c>
      <c r="D5713" s="7">
        <v>4826</v>
      </c>
      <c r="E5713" s="7" t="s">
        <v>60</v>
      </c>
      <c r="F5713" s="8" t="str">
        <f ca="1">IFERROR(__xludf.DUMMYFUNCTION("IF
(
C5714=""фізична особа""
,
VLOOKUP(D5714,IMPORTRANGE(""https://docs.google.com/spreadsheets/d/14Bd19lYaqBhU8_DElYkX7l4wRkHqqCUFNJY4AfY3kHU/edit?usp=sharing  #gid=0"",""фіз особи new!relations_name""),6,FALSE)
,
(IF
(
C5714=""юридична особа""
,
VLOOKUP"&amp;"(D5714,IMPORTRANGE(""https://docs.google.com/spreadsheets/d/14Bd19lYaqBhU8_DElYkX7l4wRkHqqCUFNJY4AfY3kHU/edit?usp=sharing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G5713" s="7" t="s">
        <v>10</v>
      </c>
      <c r="H5713" s="7">
        <v>23541</v>
      </c>
      <c r="I5713" s="8" t="str">
        <f ca="1">IFERROR(__xludf.DUMMYFUNCTION("IF
(
G5714=""фізична особа""
,
VLOOKUP(H5714,IMPORTRANGE(""https://docs.google.com/spreadsheets/d/14Bd19lYaqBhU8_DElYkX7l4wRkHqqCUFNJY4AfY3kHU/edit?usp=sharing  #gid=0"",""фіз особи new!relations_name""),6,FALSE)
,
(IF
(
G5714=""юридична особа""
,
VLOOKUP"&amp;"(H5714,IMPORTRANGE(""https://docs.google.com/spreadsheets/d/14Bd19lYaqBhU8_DElYkX7l4wRkHqqCUFNJY4AfY3kHU/edit?usp=sharing  #gid=0"",""фіз особи new!relations_name_uo""),7,FALSE)
,
)
))"),"БЄЛОЗЬОРОВА Леоніла Кирилівна")</f>
        <v>БЄЛОЗЬОРОВА Леоніла Кирилівна</v>
      </c>
      <c r="J5713" s="7" t="s">
        <v>79</v>
      </c>
    </row>
    <row r="5714" spans="1:10" ht="13.2">
      <c r="A5714" s="7">
        <v>5713</v>
      </c>
      <c r="B5714" s="7">
        <v>1</v>
      </c>
      <c r="C5714" s="7" t="s">
        <v>10</v>
      </c>
      <c r="D5714" s="7">
        <v>4826</v>
      </c>
      <c r="E5714" s="7" t="s">
        <v>31</v>
      </c>
      <c r="F5714" s="8" t="str">
        <f ca="1">IFERROR(__xludf.DUMMYFUNCTION("IF
(
C5715=""фізична особа""
,
VLOOKUP(D5715,IMPORTRANGE(""https://docs.google.com/spreadsheets/d/14Bd19lYaqBhU8_DElYkX7l4wRkHqqCUFNJY4AfY3kHU/edit?usp=sharing  #gid=0"",""фіз особи new!relations_name""),6,FALSE)
,
(IF
(
C5715=""юридична особа""
,
VLOOKUP"&amp;"(D5715,IMPORTRANGE(""https://docs.google.com/spreadsheets/d/14Bd19lYaqBhU8_DElYkX7l4wRkHqqCUFNJY4AfY3kHU/edit?usp=sharing  #gid=0"",""фіз особи new!relations_name_uo""),7,FALSE)
,
)
))"),"БЄЛОЗЄРОВА Вероніка Олегівна")</f>
        <v>БЄЛОЗЄРОВА Вероніка Олегівна</v>
      </c>
      <c r="G5714" s="7" t="s">
        <v>10</v>
      </c>
      <c r="H5714" s="7">
        <v>4825</v>
      </c>
      <c r="I5714" s="8" t="str">
        <f ca="1">IFERROR(__xludf.DUMMYFUNCTION("IF
(
G5715=""фізична особа""
,
VLOOKUP(H5715,IMPORTRANGE(""https://docs.google.com/spreadsheets/d/14Bd19lYaqBhU8_DElYkX7l4wRkHqqCUFNJY4AfY3kHU/edit?usp=sharing  #gid=0"",""фіз особи new!relations_name""),6,FALSE)
,
(IF
(
G5715=""юридична особа""
,
VLOOKUP"&amp;"(H5715,IMPORTRANGE(""https://docs.google.com/spreadsheets/d/14Bd19lYaqBhU8_DElYkX7l4wRkHqqCUFNJY4AfY3kHU/edit?usp=sharing  #gid=0"",""фіз особи new!relations_name_uo""),7,FALSE)
,
)
))"),"БЄЛОЗЄРОВ Матвій Олегович")</f>
        <v>БЄЛОЗЄРОВ Матвій Олегович</v>
      </c>
      <c r="J5714" s="7" t="s">
        <v>18</v>
      </c>
    </row>
    <row r="5715" spans="1:10" ht="13.2">
      <c r="A5715" s="7">
        <v>5714</v>
      </c>
      <c r="B5715" s="7">
        <v>1</v>
      </c>
      <c r="C5715" s="7" t="s">
        <v>10</v>
      </c>
      <c r="D5715" s="7">
        <v>4827</v>
      </c>
      <c r="E5715" s="7" t="s">
        <v>15</v>
      </c>
      <c r="F5715" s="8" t="str">
        <f ca="1">IFERROR(__xludf.DUMMYFUNCTION("IF
(
C5716=""фізична особа""
,
VLOOKUP(D5716,IMPORTRANGE(""https://docs.google.com/spreadsheets/d/14Bd19lYaqBhU8_DElYkX7l4wRkHqqCUFNJY4AfY3kHU/edit?usp=sharing  #gid=0"",""фіз особи new!relations_name""),6,FALSE)
,
(IF
(
C5716=""юридична особа""
,
VLOOKUP"&amp;"(D5716,IMPORTRANGE(""https://docs.google.com/spreadsheets/d/14Bd19lYaqBhU8_DElYkX7l4wRkHqqCUFNJY4AfY3kHU/edit?usp=sharing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15" s="7" t="s">
        <v>10</v>
      </c>
      <c r="H5715" s="7">
        <v>2529</v>
      </c>
      <c r="I5715" s="8" t="str">
        <f ca="1">IFERROR(__xludf.DUMMYFUNCTION("IF
(
G5716=""фізична особа""
,
VLOOKUP(H5716,IMPORTRANGE(""https://docs.google.com/spreadsheets/d/14Bd19lYaqBhU8_DElYkX7l4wRkHqqCUFNJY4AfY3kHU/edit?usp=sharing  #gid=0"",""фіз особи new!relations_name""),6,FALSE)
,
(IF
(
G5716=""юридична особа""
,
VLOOKUP"&amp;"(H5716,IMPORTRANGE(""https://docs.google.com/spreadsheets/d/14Bd19lYaqBhU8_DElYkX7l4wRkHqqCUFNJY4AfY3kHU/edit?usp=sharing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5715" s="7" t="s">
        <v>14</v>
      </c>
    </row>
    <row r="5716" spans="1:10" ht="13.2">
      <c r="A5716" s="7">
        <v>5715</v>
      </c>
      <c r="B5716" s="7">
        <v>1</v>
      </c>
      <c r="C5716" s="7" t="s">
        <v>10</v>
      </c>
      <c r="D5716" s="7">
        <v>4827</v>
      </c>
      <c r="E5716" s="7" t="s">
        <v>21</v>
      </c>
      <c r="F5716" s="8" t="str">
        <f ca="1">IFERROR(__xludf.DUMMYFUNCTION("IF
(
C5717=""фізична особа""
,
VLOOKUP(D5717,IMPORTRANGE(""https://docs.google.com/spreadsheets/d/14Bd19lYaqBhU8_DElYkX7l4wRkHqqCUFNJY4AfY3kHU/edit?usp=sharing  #gid=0"",""фіз особи new!relations_name""),6,FALSE)
,
(IF
(
C5717=""юридична особа""
,
VLOOKUP"&amp;"(D5717,IMPORTRANGE(""https://docs.google.com/spreadsheets/d/14Bd19lYaqBhU8_DElYkX7l4wRkHqqCUFNJY4AfY3kHU/edit?usp=sharing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16" s="7" t="s">
        <v>10</v>
      </c>
      <c r="H5716" s="7">
        <v>4829</v>
      </c>
      <c r="I5716" s="8" t="str">
        <f ca="1">IFERROR(__xludf.DUMMYFUNCTION("IF
(
G5717=""фізична особа""
,
VLOOKUP(H5717,IMPORTRANGE(""https://docs.google.com/spreadsheets/d/14Bd19lYaqBhU8_DElYkX7l4wRkHqqCUFNJY4AfY3kHU/edit?usp=sharing  #gid=0"",""фіз особи new!relations_name""),6,FALSE)
,
(IF
(
G5717=""юридична особа""
,
VLOOKUP"&amp;"(H5717,IMPORTRANGE(""https://docs.google.com/spreadsheets/d/14Bd19lYaqBhU8_DElYkX7l4wRkHqqCUFNJY4AfY3kHU/edit?usp=sharing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J5716" s="7" t="s">
        <v>17</v>
      </c>
    </row>
    <row r="5717" spans="1:10" ht="13.2">
      <c r="A5717" s="7">
        <v>5716</v>
      </c>
      <c r="B5717" s="7">
        <v>1</v>
      </c>
      <c r="C5717" s="7" t="s">
        <v>10</v>
      </c>
      <c r="D5717" s="7">
        <v>4827</v>
      </c>
      <c r="E5717" s="7" t="s">
        <v>21</v>
      </c>
      <c r="F5717" s="8" t="str">
        <f ca="1">IFERROR(__xludf.DUMMYFUNCTION("IF
(
C5718=""фізична особа""
,
VLOOKUP(D5718,IMPORTRANGE(""https://docs.google.com/spreadsheets/d/14Bd19lYaqBhU8_DElYkX7l4wRkHqqCUFNJY4AfY3kHU/edit?usp=sharing  #gid=0"",""фіз особи new!relations_name""),6,FALSE)
,
(IF
(
C5718=""юридична особа""
,
VLOOKUP"&amp;"(D5718,IMPORTRANGE(""https://docs.google.com/spreadsheets/d/14Bd19lYaqBhU8_DElYkX7l4wRkHqqCUFNJY4AfY3kHU/edit?usp=sharing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17" s="7" t="s">
        <v>10</v>
      </c>
      <c r="H5717" s="7">
        <v>4828</v>
      </c>
      <c r="I5717" s="8" t="str">
        <f ca="1">IFERROR(__xludf.DUMMYFUNCTION("IF
(
G5718=""фізична особа""
,
VLOOKUP(H5718,IMPORTRANGE(""https://docs.google.com/spreadsheets/d/14Bd19lYaqBhU8_DElYkX7l4wRkHqqCUFNJY4AfY3kHU/edit?usp=sharing  #gid=0"",""фіз особи new!relations_name""),6,FALSE)
,
(IF
(
G5718=""юридична особа""
,
VLOOKUP"&amp;"(H5718,IMPORTRANGE(""https://docs.google.com/spreadsheets/d/14Bd19lYaqBhU8_DElYkX7l4wRkHqqCUFNJY4AfY3kHU/edit?usp=sharing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J5717" s="7" t="s">
        <v>17</v>
      </c>
    </row>
    <row r="5718" spans="1:10" ht="13.2">
      <c r="A5718" s="7">
        <v>5717</v>
      </c>
      <c r="B5718" s="7">
        <v>1</v>
      </c>
      <c r="C5718" s="7" t="s">
        <v>10</v>
      </c>
      <c r="D5718" s="7">
        <v>4827</v>
      </c>
      <c r="E5718" s="7" t="s">
        <v>30</v>
      </c>
      <c r="F5718" s="8" t="str">
        <f ca="1">IFERROR(__xludf.DUMMYFUNCTION("IF
(
C5719=""фізична особа""
,
VLOOKUP(D5719,IMPORTRANGE(""https://docs.google.com/spreadsheets/d/14Bd19lYaqBhU8_DElYkX7l4wRkHqqCUFNJY4AfY3kHU/edit?usp=sharing  #gid=0"",""фіз особи new!relations_name""),6,FALSE)
,
(IF
(
C5719=""юридична особа""
,
VLOOKUP"&amp;"(D5719,IMPORTRANGE(""https://docs.google.com/spreadsheets/d/14Bd19lYaqBhU8_DElYkX7l4wRkHqqCUFNJY4AfY3kHU/edit?usp=sharing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18" s="7" t="s">
        <v>10</v>
      </c>
      <c r="H5718" s="7">
        <v>23542</v>
      </c>
      <c r="I5718" s="8" t="str">
        <f ca="1">IFERROR(__xludf.DUMMYFUNCTION("IF
(
G5719=""фізична особа""
,
VLOOKUP(H5719,IMPORTRANGE(""https://docs.google.com/spreadsheets/d/14Bd19lYaqBhU8_DElYkX7l4wRkHqqCUFNJY4AfY3kHU/edit?usp=sharing  #gid=0"",""фіз особи new!relations_name""),6,FALSE)
,
(IF
(
G5719=""юридична особа""
,
VLOOKUP"&amp;"(H5719,IMPORTRANGE(""https://docs.google.com/spreadsheets/d/14Bd19lYaqBhU8_DElYkX7l4wRkHqqCUFNJY4AfY3kHU/edit?usp=sharing  #gid=0"",""фіз особи new!relations_name_uo""),7,FALSE)
,
)
))"),"ПЕРЕПЕЧКО Василь Пилипович")</f>
        <v>ПЕРЕПЕЧКО Василь Пилипович</v>
      </c>
      <c r="J5718" s="7" t="s">
        <v>30</v>
      </c>
    </row>
    <row r="5719" spans="1:10" ht="13.2">
      <c r="A5719" s="7">
        <v>5718</v>
      </c>
      <c r="B5719" s="7">
        <v>1</v>
      </c>
      <c r="C5719" s="7" t="s">
        <v>10</v>
      </c>
      <c r="D5719" s="7">
        <v>4827</v>
      </c>
      <c r="E5719" s="7" t="s">
        <v>30</v>
      </c>
      <c r="F5719" s="8" t="str">
        <f ca="1">IFERROR(__xludf.DUMMYFUNCTION("IF
(
C5720=""фізична особа""
,
VLOOKUP(D5720,IMPORTRANGE(""https://docs.google.com/spreadsheets/d/14Bd19lYaqBhU8_DElYkX7l4wRkHqqCUFNJY4AfY3kHU/edit?usp=sharing  #gid=0"",""фіз особи new!relations_name""),6,FALSE)
,
(IF
(
C5720=""юридична особа""
,
VLOOKUP"&amp;"(D5720,IMPORTRANGE(""https://docs.google.com/spreadsheets/d/14Bd19lYaqBhU8_DElYkX7l4wRkHqqCUFNJY4AfY3kHU/edit?usp=sharing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19" s="7" t="s">
        <v>10</v>
      </c>
      <c r="H5719" s="7">
        <v>23543</v>
      </c>
      <c r="I5719" s="8" t="str">
        <f ca="1">IFERROR(__xludf.DUMMYFUNCTION("IF
(
G5720=""фізична особа""
,
VLOOKUP(H5720,IMPORTRANGE(""https://docs.google.com/spreadsheets/d/14Bd19lYaqBhU8_DElYkX7l4wRkHqqCUFNJY4AfY3kHU/edit?usp=sharing  #gid=0"",""фіз особи new!relations_name""),6,FALSE)
,
(IF
(
G5720=""юридична особа""
,
VLOOKUP"&amp;"(H5720,IMPORTRANGE(""https://docs.google.com/spreadsheets/d/14Bd19lYaqBhU8_DElYkX7l4wRkHqqCUFNJY4AfY3kHU/edit?usp=sharing  #gid=0"",""фіз особи new!relations_name_uo""),7,FALSE)
,
)
))"),"ПЕРЕПЕЧКО Світлана Альбертівна")</f>
        <v>ПЕРЕПЕЧКО Світлана Альбертівна</v>
      </c>
      <c r="J5719" s="7" t="s">
        <v>30</v>
      </c>
    </row>
    <row r="5720" spans="1:10" ht="13.2">
      <c r="A5720" s="7">
        <v>5719</v>
      </c>
      <c r="B5720" s="7">
        <v>1</v>
      </c>
      <c r="C5720" s="7" t="s">
        <v>10</v>
      </c>
      <c r="D5720" s="7">
        <v>4827</v>
      </c>
      <c r="E5720" s="7" t="s">
        <v>58</v>
      </c>
      <c r="F5720" s="8" t="str">
        <f ca="1">IFERROR(__xludf.DUMMYFUNCTION("IF
(
C5721=""фізична особа""
,
VLOOKUP(D5721,IMPORTRANGE(""https://docs.google.com/spreadsheets/d/14Bd19lYaqBhU8_DElYkX7l4wRkHqqCUFNJY4AfY3kHU/edit?usp=sharing  #gid=0"",""фіз особи new!relations_name""),6,FALSE)
,
(IF
(
C5721=""юридична особа""
,
VLOOKUP"&amp;"(D5721,IMPORTRANGE(""https://docs.google.com/spreadsheets/d/14Bd19lYaqBhU8_DElYkX7l4wRkHqqCUFNJY4AfY3kHU/edit?usp=sharing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G5720" s="7" t="s">
        <v>10</v>
      </c>
      <c r="H5720" s="7">
        <v>5034</v>
      </c>
      <c r="I5720" s="8" t="str">
        <f ca="1">IFERROR(__xludf.DUMMYFUNCTION("IF
(
G5721=""фізична особа""
,
VLOOKUP(H5721,IMPORTRANGE(""https://docs.google.com/spreadsheets/d/14Bd19lYaqBhU8_DElYkX7l4wRkHqqCUFNJY4AfY3kHU/edit?usp=sharing  #gid=0"",""фіз особи new!relations_name""),6,FALSE)
,
(IF
(
G5721=""юридична особа""
,
VLOOKUP"&amp;"(H5721,IMPORTRANGE(""https://docs.google.com/spreadsheets/d/14Bd19lYaqBhU8_DElYkX7l4wRkHqqCUFNJY4AfY3kHU/edit?usp=sharing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J5720" s="7" t="s">
        <v>25</v>
      </c>
    </row>
    <row r="5721" spans="1:10" ht="13.2">
      <c r="A5721" s="7">
        <v>5720</v>
      </c>
      <c r="B5721" s="7">
        <v>1</v>
      </c>
      <c r="C5721" s="7" t="s">
        <v>10</v>
      </c>
      <c r="D5721" s="7">
        <v>4828</v>
      </c>
      <c r="E5721" s="7" t="s">
        <v>17</v>
      </c>
      <c r="F5721" s="8" t="str">
        <f ca="1">IFERROR(__xludf.DUMMYFUNCTION("IF
(
C5722=""фізична особа""
,
VLOOKUP(D5722,IMPORTRANGE(""https://docs.google.com/spreadsheets/d/14Bd19lYaqBhU8_DElYkX7l4wRkHqqCUFNJY4AfY3kHU/edit?usp=sharing  #gid=0"",""фіз особи new!relations_name""),6,FALSE)
,
(IF
(
C5722=""юридична особа""
,
VLOOKUP"&amp;"(D5722,IMPORTRANGE(""https://docs.google.com/spreadsheets/d/14Bd19lYaqBhU8_DElYkX7l4wRkHqqCUFNJY4AfY3kHU/edit?usp=sharing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1" s="7" t="s">
        <v>10</v>
      </c>
      <c r="H5721" s="7">
        <v>2529</v>
      </c>
      <c r="I5721" s="8" t="str">
        <f ca="1">IFERROR(__xludf.DUMMYFUNCTION("IF
(
G5722=""фізична особа""
,
VLOOKUP(H5722,IMPORTRANGE(""https://docs.google.com/spreadsheets/d/14Bd19lYaqBhU8_DElYkX7l4wRkHqqCUFNJY4AfY3kHU/edit?usp=sharing  #gid=0"",""фіз особи new!relations_name""),6,FALSE)
,
(IF
(
G5722=""юридична особа""
,
VLOOKUP"&amp;"(H5722,IMPORTRANGE(""https://docs.google.com/spreadsheets/d/14Bd19lYaqBhU8_DElYkX7l4wRkHqqCUFNJY4AfY3kHU/edit?usp=sharing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5721" s="7" t="s">
        <v>12</v>
      </c>
    </row>
    <row r="5722" spans="1:10" ht="13.2">
      <c r="A5722" s="7">
        <v>5721</v>
      </c>
      <c r="B5722" s="7">
        <v>1</v>
      </c>
      <c r="C5722" s="7" t="s">
        <v>10</v>
      </c>
      <c r="D5722" s="7">
        <v>4828</v>
      </c>
      <c r="E5722" s="7" t="s">
        <v>18</v>
      </c>
      <c r="F5722" s="8" t="str">
        <f ca="1">IFERROR(__xludf.DUMMYFUNCTION("IF
(
C5723=""фізична особа""
,
VLOOKUP(D5723,IMPORTRANGE(""https://docs.google.com/spreadsheets/d/14Bd19lYaqBhU8_DElYkX7l4wRkHqqCUFNJY4AfY3kHU/edit?usp=sharing  #gid=0"",""фіз особи new!relations_name""),6,FALSE)
,
(IF
(
C5723=""юридична особа""
,
VLOOKUP"&amp;"(D5723,IMPORTRANGE(""https://docs.google.com/spreadsheets/d/14Bd19lYaqBhU8_DElYkX7l4wRkHqqCUFNJY4AfY3kHU/edit?usp=sharing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2" s="7" t="s">
        <v>10</v>
      </c>
      <c r="H5722" s="7">
        <v>4829</v>
      </c>
      <c r="I5722" s="8" t="str">
        <f ca="1">IFERROR(__xludf.DUMMYFUNCTION("IF
(
G5723=""фізична особа""
,
VLOOKUP(H5723,IMPORTRANGE(""https://docs.google.com/spreadsheets/d/14Bd19lYaqBhU8_DElYkX7l4wRkHqqCUFNJY4AfY3kHU/edit?usp=sharing  #gid=0"",""фіз особи new!relations_name""),6,FALSE)
,
(IF
(
G5723=""юридична особа""
,
VLOOKUP"&amp;"(H5723,IMPORTRANGE(""https://docs.google.com/spreadsheets/d/14Bd19lYaqBhU8_DElYkX7l4wRkHqqCUFNJY4AfY3kHU/edit?usp=sharing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J5722" s="7" t="s">
        <v>18</v>
      </c>
    </row>
    <row r="5723" spans="1:10" ht="13.2">
      <c r="A5723" s="7">
        <v>5722</v>
      </c>
      <c r="B5723" s="7">
        <v>1</v>
      </c>
      <c r="C5723" s="7" t="s">
        <v>10</v>
      </c>
      <c r="D5723" s="7">
        <v>4828</v>
      </c>
      <c r="E5723" s="7" t="s">
        <v>30</v>
      </c>
      <c r="F5723" s="8" t="str">
        <f ca="1">IFERROR(__xludf.DUMMYFUNCTION("IF
(
C5724=""фізична особа""
,
VLOOKUP(D5724,IMPORTRANGE(""https://docs.google.com/spreadsheets/d/14Bd19lYaqBhU8_DElYkX7l4wRkHqqCUFNJY4AfY3kHU/edit?usp=sharing  #gid=0"",""фіз особи new!relations_name""),6,FALSE)
,
(IF
(
C5724=""юридична особа""
,
VLOOKUP"&amp;"(D5724,IMPORTRANGE(""https://docs.google.com/spreadsheets/d/14Bd19lYaqBhU8_DElYkX7l4wRkHqqCUFNJY4AfY3kHU/edit?usp=sharing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3" s="7" t="s">
        <v>10</v>
      </c>
      <c r="H5723" s="7">
        <v>23542</v>
      </c>
      <c r="I5723" s="8" t="str">
        <f ca="1">IFERROR(__xludf.DUMMYFUNCTION("IF
(
G5724=""фізична особа""
,
VLOOKUP(H5724,IMPORTRANGE(""https://docs.google.com/spreadsheets/d/14Bd19lYaqBhU8_DElYkX7l4wRkHqqCUFNJY4AfY3kHU/edit?usp=sharing  #gid=0"",""фіз особи new!relations_name""),6,FALSE)
,
(IF
(
G5724=""юридична особа""
,
VLOOKUP"&amp;"(H5724,IMPORTRANGE(""https://docs.google.com/spreadsheets/d/14Bd19lYaqBhU8_DElYkX7l4wRkHqqCUFNJY4AfY3kHU/edit?usp=sharing  #gid=0"",""фіз особи new!relations_name_uo""),7,FALSE)
,
)
))"),"ПЕРЕПЕЧКО Василь Пилипович")</f>
        <v>ПЕРЕПЕЧКО Василь Пилипович</v>
      </c>
      <c r="J5723" s="7" t="s">
        <v>30</v>
      </c>
    </row>
    <row r="5724" spans="1:10" ht="13.2">
      <c r="A5724" s="7">
        <v>5723</v>
      </c>
      <c r="B5724" s="7">
        <v>1</v>
      </c>
      <c r="C5724" s="7" t="s">
        <v>10</v>
      </c>
      <c r="D5724" s="7">
        <v>4828</v>
      </c>
      <c r="E5724" s="7" t="s">
        <v>30</v>
      </c>
      <c r="F5724" s="8" t="str">
        <f ca="1">IFERROR(__xludf.DUMMYFUNCTION("IF
(
C5725=""фізична особа""
,
VLOOKUP(D5725,IMPORTRANGE(""https://docs.google.com/spreadsheets/d/14Bd19lYaqBhU8_DElYkX7l4wRkHqqCUFNJY4AfY3kHU/edit?usp=sharing  #gid=0"",""фіз особи new!relations_name""),6,FALSE)
,
(IF
(
C5725=""юридична особа""
,
VLOOKUP"&amp;"(D5725,IMPORTRANGE(""https://docs.google.com/spreadsheets/d/14Bd19lYaqBhU8_DElYkX7l4wRkHqqCUFNJY4AfY3kHU/edit?usp=sharing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4" s="7" t="s">
        <v>10</v>
      </c>
      <c r="H5724" s="7">
        <v>23543</v>
      </c>
      <c r="I5724" s="8" t="str">
        <f ca="1">IFERROR(__xludf.DUMMYFUNCTION("IF
(
G5725=""фізична особа""
,
VLOOKUP(H5725,IMPORTRANGE(""https://docs.google.com/spreadsheets/d/14Bd19lYaqBhU8_DElYkX7l4wRkHqqCUFNJY4AfY3kHU/edit?usp=sharing  #gid=0"",""фіз особи new!relations_name""),6,FALSE)
,
(IF
(
G5725=""юридична особа""
,
VLOOKUP"&amp;"(H5725,IMPORTRANGE(""https://docs.google.com/spreadsheets/d/14Bd19lYaqBhU8_DElYkX7l4wRkHqqCUFNJY4AfY3kHU/edit?usp=sharing  #gid=0"",""фіз особи new!relations_name_uo""),7,FALSE)
,
)
))"),"ПЕРЕПЕЧКО Світлана Альбертівна")</f>
        <v>ПЕРЕПЕЧКО Світлана Альбертівна</v>
      </c>
      <c r="J5724" s="7" t="s">
        <v>30</v>
      </c>
    </row>
    <row r="5725" spans="1:10" ht="13.2">
      <c r="A5725" s="7">
        <v>5724</v>
      </c>
      <c r="B5725" s="7">
        <v>1</v>
      </c>
      <c r="C5725" s="7" t="s">
        <v>10</v>
      </c>
      <c r="D5725" s="7">
        <v>4828</v>
      </c>
      <c r="E5725" s="7" t="s">
        <v>14</v>
      </c>
      <c r="F5725" s="8" t="str">
        <f ca="1">IFERROR(__xludf.DUMMYFUNCTION("IF
(
C5726=""фізична особа""
,
VLOOKUP(D5726,IMPORTRANGE(""https://docs.google.com/spreadsheets/d/14Bd19lYaqBhU8_DElYkX7l4wRkHqqCUFNJY4AfY3kHU/edit?usp=sharing  #gid=0"",""фіз особи new!relations_name""),6,FALSE)
,
(IF
(
C5726=""юридична особа""
,
VLOOKUP"&amp;"(D5726,IMPORTRANGE(""https://docs.google.com/spreadsheets/d/14Bd19lYaqBhU8_DElYkX7l4wRkHqqCUFNJY4AfY3kHU/edit?usp=sharing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5" s="7" t="s">
        <v>10</v>
      </c>
      <c r="H5725" s="7">
        <v>5034</v>
      </c>
      <c r="I5725" s="8" t="str">
        <f ca="1">IFERROR(__xludf.DUMMYFUNCTION("IF
(
G5726=""фізична особа""
,
VLOOKUP(H5726,IMPORTRANGE(""https://docs.google.com/spreadsheets/d/14Bd19lYaqBhU8_DElYkX7l4wRkHqqCUFNJY4AfY3kHU/edit?usp=sharing  #gid=0"",""фіз особи new!relations_name""),6,FALSE)
,
(IF
(
G5726=""юридична особа""
,
VLOOKUP"&amp;"(H5726,IMPORTRANGE(""https://docs.google.com/spreadsheets/d/14Bd19lYaqBhU8_DElYkX7l4wRkHqqCUFNJY4AfY3kHU/edit?usp=sharing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J5725" s="7" t="s">
        <v>15</v>
      </c>
    </row>
    <row r="5726" spans="1:10" ht="13.2">
      <c r="A5726" s="7">
        <v>5725</v>
      </c>
      <c r="B5726" s="7">
        <v>1</v>
      </c>
      <c r="C5726" s="7" t="s">
        <v>10</v>
      </c>
      <c r="D5726" s="7">
        <v>4828</v>
      </c>
      <c r="E5726" s="7" t="s">
        <v>17</v>
      </c>
      <c r="F5726" s="8" t="str">
        <f ca="1">IFERROR(__xludf.DUMMYFUNCTION("IF
(
C5727=""фізична особа""
,
VLOOKUP(D5727,IMPORTRANGE(""https://docs.google.com/spreadsheets/d/14Bd19lYaqBhU8_DElYkX7l4wRkHqqCUFNJY4AfY3kHU/edit?usp=sharing  #gid=0"",""фіз особи new!relations_name""),6,FALSE)
,
(IF
(
C5727=""юридична особа""
,
VLOOKUP"&amp;"(D5727,IMPORTRANGE(""https://docs.google.com/spreadsheets/d/14Bd19lYaqBhU8_DElYkX7l4wRkHqqCUFNJY4AfY3kHU/edit?usp=sharing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G5726" s="7" t="s">
        <v>10</v>
      </c>
      <c r="H5726" s="7">
        <v>4827</v>
      </c>
      <c r="I5726" s="8" t="str">
        <f ca="1">IFERROR(__xludf.DUMMYFUNCTION("IF
(
G5727=""фізична особа""
,
VLOOKUP(H5727,IMPORTRANGE(""https://docs.google.com/spreadsheets/d/14Bd19lYaqBhU8_DElYkX7l4wRkHqqCUFNJY4AfY3kHU/edit?usp=sharing  #gid=0"",""фіз особи new!relations_name""),6,FALSE)
,
(IF
(
G5727=""юридична особа""
,
VLOOKUP"&amp;"(H5727,IMPORTRANGE(""https://docs.google.com/spreadsheets/d/14Bd19lYaqBhU8_DElYkX7l4wRkHqqCUFNJY4AfY3kHU/edit?usp=sharing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J5726" s="7" t="s">
        <v>21</v>
      </c>
    </row>
    <row r="5727" spans="1:10" ht="13.2">
      <c r="A5727" s="7">
        <v>5726</v>
      </c>
      <c r="B5727" s="7">
        <v>1</v>
      </c>
      <c r="C5727" s="7" t="s">
        <v>10</v>
      </c>
      <c r="D5727" s="7">
        <v>4829</v>
      </c>
      <c r="E5727" s="7" t="s">
        <v>17</v>
      </c>
      <c r="F5727" s="8" t="str">
        <f ca="1">IFERROR(__xludf.DUMMYFUNCTION("IF
(
C5728=""фізична особа""
,
VLOOKUP(D5728,IMPORTRANGE(""https://docs.google.com/spreadsheets/d/14Bd19lYaqBhU8_DElYkX7l4wRkHqqCUFNJY4AfY3kHU/edit?usp=sharing  #gid=0"",""фіз особи new!relations_name""),6,FALSE)
,
(IF
(
C5728=""юридична особа""
,
VLOOKUP"&amp;"(D5728,IMPORTRANGE(""https://docs.google.com/spreadsheets/d/14Bd19lYaqBhU8_DElYkX7l4wRkHqqCUFNJY4AfY3kHU/edit?usp=sharing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G5727" s="7" t="s">
        <v>10</v>
      </c>
      <c r="H5727" s="7">
        <v>2529</v>
      </c>
      <c r="I5727" s="8" t="str">
        <f ca="1">IFERROR(__xludf.DUMMYFUNCTION("IF
(
G5728=""фізична особа""
,
VLOOKUP(H5728,IMPORTRANGE(""https://docs.google.com/spreadsheets/d/14Bd19lYaqBhU8_DElYkX7l4wRkHqqCUFNJY4AfY3kHU/edit?usp=sharing  #gid=0"",""фіз особи new!relations_name""),6,FALSE)
,
(IF
(
G5728=""юридична особа""
,
VLOOKUP"&amp;"(H5728,IMPORTRANGE(""https://docs.google.com/spreadsheets/d/14Bd19lYaqBhU8_DElYkX7l4wRkHqqCUFNJY4AfY3kHU/edit?usp=sharing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5727" s="7" t="s">
        <v>12</v>
      </c>
    </row>
    <row r="5728" spans="1:10" ht="13.2">
      <c r="A5728" s="7">
        <v>5727</v>
      </c>
      <c r="B5728" s="7">
        <v>1</v>
      </c>
      <c r="C5728" s="7" t="s">
        <v>10</v>
      </c>
      <c r="D5728" s="7">
        <v>4829</v>
      </c>
      <c r="E5728" s="7" t="s">
        <v>18</v>
      </c>
      <c r="F5728" s="8" t="str">
        <f ca="1">IFERROR(__xludf.DUMMYFUNCTION("IF
(
C5729=""фізична особа""
,
VLOOKUP(D5729,IMPORTRANGE(""https://docs.google.com/spreadsheets/d/14Bd19lYaqBhU8_DElYkX7l4wRkHqqCUFNJY4AfY3kHU/edit?usp=sharing  #gid=0"",""фіз особи new!relations_name""),6,FALSE)
,
(IF
(
C5729=""юридична особа""
,
VLOOKUP"&amp;"(D5729,IMPORTRANGE(""https://docs.google.com/spreadsheets/d/14Bd19lYaqBhU8_DElYkX7l4wRkHqqCUFNJY4AfY3kHU/edit?usp=sharing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G5728" s="7" t="s">
        <v>10</v>
      </c>
      <c r="H5728" s="7">
        <v>4828</v>
      </c>
      <c r="I5728" s="8" t="str">
        <f ca="1">IFERROR(__xludf.DUMMYFUNCTION("IF
(
G5729=""фізична особа""
,
VLOOKUP(H5729,IMPORTRANGE(""https://docs.google.com/spreadsheets/d/14Bd19lYaqBhU8_DElYkX7l4wRkHqqCUFNJY4AfY3kHU/edit?usp=sharing  #gid=0"",""фіз особи new!relations_name""),6,FALSE)
,
(IF
(
G5729=""юридична особа""
,
VLOOKUP"&amp;"(H5729,IMPORTRANGE(""https://docs.google.com/spreadsheets/d/14Bd19lYaqBhU8_DElYkX7l4wRkHqqCUFNJY4AfY3kHU/edit?usp=sharing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J5728" s="7" t="s">
        <v>18</v>
      </c>
    </row>
    <row r="5729" spans="1:10" ht="13.2">
      <c r="A5729" s="7">
        <v>5728</v>
      </c>
      <c r="B5729" s="7">
        <v>1</v>
      </c>
      <c r="C5729" s="7" t="s">
        <v>10</v>
      </c>
      <c r="D5729" s="7">
        <v>4829</v>
      </c>
      <c r="E5729" s="7" t="s">
        <v>17</v>
      </c>
      <c r="F5729" s="8" t="str">
        <f ca="1">IFERROR(__xludf.DUMMYFUNCTION("IF
(
C5730=""фізична особа""
,
VLOOKUP(D5730,IMPORTRANGE(""https://docs.google.com/spreadsheets/d/14Bd19lYaqBhU8_DElYkX7l4wRkHqqCUFNJY4AfY3kHU/edit?usp=sharing  #gid=0"",""фіз особи new!relations_name""),6,FALSE)
,
(IF
(
C5730=""юридична особа""
,
VLOOKUP"&amp;"(D5730,IMPORTRANGE(""https://docs.google.com/spreadsheets/d/14Bd19lYaqBhU8_DElYkX7l4wRkHqqCUFNJY4AfY3kHU/edit?usp=sharing  #gid=0"",""фіз особи new!relations_name_uo""),7,FALSE)
,
)
))"),"БОГОМАЗ Михайло Олександрович")</f>
        <v>БОГОМАЗ Михайло Олександрович</v>
      </c>
      <c r="G5729" s="7" t="s">
        <v>10</v>
      </c>
      <c r="H5729" s="7">
        <v>4827</v>
      </c>
      <c r="I5729" s="8" t="str">
        <f ca="1">IFERROR(__xludf.DUMMYFUNCTION("IF
(
G5730=""фізична особа""
,
VLOOKUP(H5730,IMPORTRANGE(""https://docs.google.com/spreadsheets/d/14Bd19lYaqBhU8_DElYkX7l4wRkHqqCUFNJY4AfY3kHU/edit?usp=sharing  #gid=0"",""фіз особи new!relations_name""),6,FALSE)
,
(IF
(
G5730=""юридична особа""
,
VLOOKUP"&amp;"(H5730,IMPORTRANGE(""https://docs.google.com/spreadsheets/d/14Bd19lYaqBhU8_DElYkX7l4wRkHqqCUFNJY4AfY3kHU/edit?usp=sharing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J5729" s="7" t="s">
        <v>21</v>
      </c>
    </row>
    <row r="5730" spans="1:10" ht="13.2">
      <c r="A5730" s="7">
        <v>5729</v>
      </c>
      <c r="B5730" s="7">
        <v>1</v>
      </c>
      <c r="C5730" s="7" t="s">
        <v>10</v>
      </c>
      <c r="D5730" s="7">
        <v>4830</v>
      </c>
      <c r="E5730" s="7" t="s">
        <v>18</v>
      </c>
      <c r="F5730" s="8" t="str">
        <f ca="1">IFERROR(__xludf.DUMMYFUNCTION("IF
(
C5731=""фізична особа""
,
VLOOKUP(D5731,IMPORTRANGE(""https://docs.google.com/spreadsheets/d/14Bd19lYaqBhU8_DElYkX7l4wRkHqqCUFNJY4AfY3kHU/edit?usp=sharing  #gid=0"",""фіз особи new!relations_name""),6,FALSE)
,
(IF
(
C5731=""юридична особа""
,
VLOOKUP"&amp;"(D5731,IMPORTRANGE(""https://docs.google.com/spreadsheets/d/14Bd19lYaqBhU8_DElYkX7l4wRkHqqCUFNJY4AfY3kHU/edit?usp=sharing  #gid=0"",""фіз особи new!relations_name_uo""),7,FALSE)
,
)
))"),"БУТМАН Ігор Михайлович")</f>
        <v>БУТМАН Ігор Михайлович</v>
      </c>
      <c r="G5730" s="7" t="s">
        <v>10</v>
      </c>
      <c r="H5730" s="7">
        <v>0</v>
      </c>
      <c r="I5730" s="8" t="str">
        <f ca="1">IFERROR(__xludf.DUMMYFUNCTION("IF
(
G5731=""фізична особа""
,
VLOOKUP(H5731,IMPORTRANGE(""https://docs.google.com/spreadsheets/d/14Bd19lYaqBhU8_DElYkX7l4wRkHqqCUFNJY4AfY3kHU/edit?usp=sharing  #gid=0"",""фіз особи new!relations_name""),6,FALSE)
,
(IF
(
G5731=""юридична особа""
,
VLOOKUP"&amp;"(H5731,IMPORTRANGE(""https://docs.google.com/spreadsheets/d/14Bd19lYaqBhU8_DElYkX7l4wRkHqqCUFNJY4AfY3kHU/edit?usp=sharing  #gid=0"",""фіз особи new!relations_name_uo""),7,FALSE)
,
)
))"),"#N/A")</f>
        <v>#N/A</v>
      </c>
      <c r="J5730" s="7" t="s">
        <v>18</v>
      </c>
    </row>
    <row r="5731" spans="1:10" ht="13.2">
      <c r="A5731" s="7">
        <v>5730</v>
      </c>
      <c r="B5731" s="7">
        <v>1</v>
      </c>
      <c r="C5731" s="7" t="s">
        <v>10</v>
      </c>
      <c r="D5731" s="7">
        <v>4831</v>
      </c>
      <c r="E5731" s="7" t="s">
        <v>15</v>
      </c>
      <c r="F5731" s="8" t="str">
        <f ca="1">IFERROR(__xludf.DUMMYFUNCTION("IF
(
C5732=""фізична особа""
,
VLOOKUP(D5732,IMPORTRANGE(""https://docs.google.com/spreadsheets/d/14Bd19lYaqBhU8_DElYkX7l4wRkHqqCUFNJY4AfY3kHU/edit?usp=sharing  #gid=0"",""фіз особи new!relations_name""),6,FALSE)
,
(IF
(
C5732=""юридична особа""
,
VLOOKUP"&amp;"(D5732,IMPORTRANGE(""https://docs.google.com/spreadsheets/d/14Bd19lYaqBhU8_DElYkX7l4wRkHqqCUFNJY4AfY3kHU/edit?usp=sharing  #gid=0"",""фіз особи new!relations_name_uo""),7,FALSE)
,
)
))"),"ЛЬВОВА Ганна Андріївна")</f>
        <v>ЛЬВОВА Ганна Андріївна</v>
      </c>
      <c r="G5731" s="7" t="s">
        <v>10</v>
      </c>
      <c r="H5731" s="7">
        <v>4830</v>
      </c>
      <c r="I5731" s="8" t="str">
        <f ca="1">IFERROR(__xludf.DUMMYFUNCTION("IF
(
G5732=""фізична особа""
,
VLOOKUP(H5732,IMPORTRANGE(""https://docs.google.com/spreadsheets/d/14Bd19lYaqBhU8_DElYkX7l4wRkHqqCUFNJY4AfY3kHU/edit?usp=sharing  #gid=0"",""фіз особи new!relations_name""),6,FALSE)
,
(IF
(
G5732=""юридична особа""
,
VLOOKUP"&amp;"(H5732,IMPORTRANGE(""https://docs.google.com/spreadsheets/d/14Bd19lYaqBhU8_DElYkX7l4wRkHqqCUFNJY4AfY3kHU/edit?usp=sharing  #gid=0"",""фіз особи new!relations_name_uo""),7,FALSE)
,
)
))"),"БУТМАН Ігор Михайлович")</f>
        <v>БУТМАН Ігор Михайлович</v>
      </c>
      <c r="J5731" s="7" t="s">
        <v>14</v>
      </c>
    </row>
    <row r="5732" spans="1:10" ht="13.2">
      <c r="A5732" s="7">
        <v>5731</v>
      </c>
      <c r="B5732" s="7">
        <v>1</v>
      </c>
      <c r="C5732" s="7" t="s">
        <v>10</v>
      </c>
      <c r="D5732" s="7">
        <v>4832</v>
      </c>
      <c r="E5732" s="7" t="s">
        <v>15</v>
      </c>
      <c r="F5732" s="8" t="str">
        <f ca="1">IFERROR(__xludf.DUMMYFUNCTION("IF
(
C5733=""фізична особа""
,
VLOOKUP(D5733,IMPORTRANGE(""https://docs.google.com/spreadsheets/d/14Bd19lYaqBhU8_DElYkX7l4wRkHqqCUFNJY4AfY3kHU/edit?usp=sharing  #gid=0"",""фіз особи new!relations_name""),6,FALSE)
,
(IF
(
C5733=""юридична особа""
,
VLOOKUP"&amp;"(D5733,IMPORTRANGE(""https://docs.google.com/spreadsheets/d/14Bd19lYaqBhU8_DElYkX7l4wRkHqqCUFNJY4AfY3kHU/edit?usp=sharing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G5732" s="7" t="s">
        <v>10</v>
      </c>
      <c r="H5732" s="7">
        <v>844</v>
      </c>
      <c r="I5732" s="8" t="str">
        <f ca="1">IFERROR(__xludf.DUMMYFUNCTION("IF
(
G5733=""фізична особа""
,
VLOOKUP(H5733,IMPORTRANGE(""https://docs.google.com/spreadsheets/d/14Bd19lYaqBhU8_DElYkX7l4wRkHqqCUFNJY4AfY3kHU/edit?usp=sharing  #gid=0"",""фіз особи new!relations_name""),6,FALSE)
,
(IF
(
G5733=""юридична особа""
,
VLOOKUP"&amp;"(H5733,IMPORTRANGE(""https://docs.google.com/spreadsheets/d/14Bd19lYaqBhU8_DElYkX7l4wRkHqqCUFNJY4AfY3kHU/edit?usp=sharing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732" s="7" t="s">
        <v>14</v>
      </c>
    </row>
    <row r="5733" spans="1:10" ht="13.2">
      <c r="A5733" s="7">
        <v>5732</v>
      </c>
      <c r="B5733" s="7">
        <v>1</v>
      </c>
      <c r="C5733" s="7" t="s">
        <v>10</v>
      </c>
      <c r="D5733" s="7">
        <v>4832</v>
      </c>
      <c r="E5733" s="7" t="s">
        <v>21</v>
      </c>
      <c r="F5733" s="8" t="str">
        <f ca="1">IFERROR(__xludf.DUMMYFUNCTION("IF
(
C5734=""фізична особа""
,
VLOOKUP(D5734,IMPORTRANGE(""https://docs.google.com/spreadsheets/d/14Bd19lYaqBhU8_DElYkX7l4wRkHqqCUFNJY4AfY3kHU/edit?usp=sharing  #gid=0"",""фіз особи new!relations_name""),6,FALSE)
,
(IF
(
C5734=""юридична особа""
,
VLOOKUP"&amp;"(D5734,IMPORTRANGE(""https://docs.google.com/spreadsheets/d/14Bd19lYaqBhU8_DElYkX7l4wRkHqqCUFNJY4AfY3kHU/edit?usp=sharing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G5733" s="7" t="s">
        <v>10</v>
      </c>
      <c r="H5733" s="7">
        <v>4833</v>
      </c>
      <c r="I5733" s="8" t="str">
        <f ca="1">IFERROR(__xludf.DUMMYFUNCTION("IF
(
G5734=""фізична особа""
,
VLOOKUP(H5734,IMPORTRANGE(""https://docs.google.com/spreadsheets/d/14Bd19lYaqBhU8_DElYkX7l4wRkHqqCUFNJY4AfY3kHU/edit?usp=sharing  #gid=0"",""фіз особи new!relations_name""),6,FALSE)
,
(IF
(
G5734=""юридична особа""
,
VLOOKUP"&amp;"(H5734,IMPORTRANGE(""https://docs.google.com/spreadsheets/d/14Bd19lYaqBhU8_DElYkX7l4wRkHqqCUFNJY4AfY3kHU/edit?usp=sharing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J5733" s="7" t="s">
        <v>13</v>
      </c>
    </row>
    <row r="5734" spans="1:10" ht="13.2">
      <c r="A5734" s="7">
        <v>5733</v>
      </c>
      <c r="B5734" s="7">
        <v>1</v>
      </c>
      <c r="C5734" s="7" t="s">
        <v>10</v>
      </c>
      <c r="D5734" s="7">
        <v>4832</v>
      </c>
      <c r="E5734" s="7" t="s">
        <v>27</v>
      </c>
      <c r="F5734" s="8" t="str">
        <f ca="1">IFERROR(__xludf.DUMMYFUNCTION("IF
(
C5735=""фізична особа""
,
VLOOKUP(D5735,IMPORTRANGE(""https://docs.google.com/spreadsheets/d/14Bd19lYaqBhU8_DElYkX7l4wRkHqqCUFNJY4AfY3kHU/edit?usp=sharing  #gid=0"",""фіз особи new!relations_name""),6,FALSE)
,
(IF
(
C5735=""юридична особа""
,
VLOOKUP"&amp;"(D5735,IMPORTRANGE(""https://docs.google.com/spreadsheets/d/14Bd19lYaqBhU8_DElYkX7l4wRkHqqCUFNJY4AfY3kHU/edit?usp=sharing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G5734" s="7" t="s">
        <v>10</v>
      </c>
      <c r="H5734" s="7">
        <v>4834</v>
      </c>
      <c r="I5734" s="8" t="str">
        <f ca="1">IFERROR(__xludf.DUMMYFUNCTION("IF
(
G5735=""фізична особа""
,
VLOOKUP(H5735,IMPORTRANGE(""https://docs.google.com/spreadsheets/d/14Bd19lYaqBhU8_DElYkX7l4wRkHqqCUFNJY4AfY3kHU/edit?usp=sharing  #gid=0"",""фіз особи new!relations_name""),6,FALSE)
,
(IF
(
G5735=""юридична особа""
,
VLOOKUP"&amp;"(H5735,IMPORTRANGE(""https://docs.google.com/spreadsheets/d/14Bd19lYaqBhU8_DElYkX7l4wRkHqqCUFNJY4AfY3kHU/edit?usp=sharing  #gid=0"",""фіз особи new!relations_name_uo""),7,FALSE)
,
)
))"),"ЛЄБЄДЄВ Володимир Вікторович")</f>
        <v>ЛЄБЄДЄВ Володимир Вікторович</v>
      </c>
      <c r="J5734" s="7" t="s">
        <v>26</v>
      </c>
    </row>
    <row r="5735" spans="1:10" ht="13.2">
      <c r="A5735" s="7">
        <v>5734</v>
      </c>
      <c r="B5735" s="7">
        <v>1</v>
      </c>
      <c r="C5735" s="7" t="s">
        <v>10</v>
      </c>
      <c r="D5735" s="7">
        <v>4833</v>
      </c>
      <c r="E5735" s="7" t="s">
        <v>13</v>
      </c>
      <c r="F5735" s="8" t="str">
        <f ca="1">IFERROR(__xludf.DUMMYFUNCTION("IF
(
C5736=""фізична особа""
,
VLOOKUP(D5736,IMPORTRANGE(""https://docs.google.com/spreadsheets/d/14Bd19lYaqBhU8_DElYkX7l4wRkHqqCUFNJY4AfY3kHU/edit?usp=sharing  #gid=0"",""фіз особи new!relations_name""),6,FALSE)
,
(IF
(
C5736=""юридична особа""
,
VLOOKUP"&amp;"(D5736,IMPORTRANGE(""https://docs.google.com/spreadsheets/d/14Bd19lYaqBhU8_DElYkX7l4wRkHqqCUFNJY4AfY3kHU/edit?usp=sharing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G5735" s="7" t="s">
        <v>10</v>
      </c>
      <c r="H5735" s="7">
        <v>844</v>
      </c>
      <c r="I5735" s="8" t="str">
        <f ca="1">IFERROR(__xludf.DUMMYFUNCTION("IF
(
G5736=""фізична особа""
,
VLOOKUP(H5736,IMPORTRANGE(""https://docs.google.com/spreadsheets/d/14Bd19lYaqBhU8_DElYkX7l4wRkHqqCUFNJY4AfY3kHU/edit?usp=sharing  #gid=0"",""фіз особи new!relations_name""),6,FALSE)
,
(IF
(
G5736=""юридична особа""
,
VLOOKUP"&amp;"(H5736,IMPORTRANGE(""https://docs.google.com/spreadsheets/d/14Bd19lYaqBhU8_DElYkX7l4wRkHqqCUFNJY4AfY3kHU/edit?usp=sharing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735" s="7" t="s">
        <v>12</v>
      </c>
    </row>
    <row r="5736" spans="1:10" ht="13.2">
      <c r="A5736" s="7">
        <v>5735</v>
      </c>
      <c r="B5736" s="7">
        <v>1</v>
      </c>
      <c r="C5736" s="7" t="s">
        <v>10</v>
      </c>
      <c r="D5736" s="7">
        <v>4833</v>
      </c>
      <c r="E5736" s="7" t="s">
        <v>15</v>
      </c>
      <c r="F5736" s="8" t="str">
        <f ca="1">IFERROR(__xludf.DUMMYFUNCTION("IF
(
C5737=""фізична особа""
,
VLOOKUP(D5737,IMPORTRANGE(""https://docs.google.com/spreadsheets/d/14Bd19lYaqBhU8_DElYkX7l4wRkHqqCUFNJY4AfY3kHU/edit?usp=sharing  #gid=0"",""фіз особи new!relations_name""),6,FALSE)
,
(IF
(
C5737=""юридична особа""
,
VLOOKUP"&amp;"(D5737,IMPORTRANGE(""https://docs.google.com/spreadsheets/d/14Bd19lYaqBhU8_DElYkX7l4wRkHqqCUFNJY4AfY3kHU/edit?usp=sharing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G5736" s="7" t="s">
        <v>10</v>
      </c>
      <c r="H5736" s="7">
        <v>4834</v>
      </c>
      <c r="I5736" s="8" t="str">
        <f ca="1">IFERROR(__xludf.DUMMYFUNCTION("IF
(
G5737=""фізична особа""
,
VLOOKUP(H5737,IMPORTRANGE(""https://docs.google.com/spreadsheets/d/14Bd19lYaqBhU8_DElYkX7l4wRkHqqCUFNJY4AfY3kHU/edit?usp=sharing  #gid=0"",""фіз особи new!relations_name""),6,FALSE)
,
(IF
(
G5737=""юридична особа""
,
VLOOKUP"&amp;"(H5737,IMPORTRANGE(""https://docs.google.com/spreadsheets/d/14Bd19lYaqBhU8_DElYkX7l4wRkHqqCUFNJY4AfY3kHU/edit?usp=sharing  #gid=0"",""фіз особи new!relations_name_uo""),7,FALSE)
,
)
))"),"ЛЄБЄДЄВ Володимир Вікторович")</f>
        <v>ЛЄБЄДЄВ Володимир Вікторович</v>
      </c>
      <c r="J5736" s="7" t="s">
        <v>14</v>
      </c>
    </row>
    <row r="5737" spans="1:10" ht="13.2">
      <c r="A5737" s="7">
        <v>5736</v>
      </c>
      <c r="B5737" s="7">
        <v>1</v>
      </c>
      <c r="C5737" s="7" t="s">
        <v>10</v>
      </c>
      <c r="D5737" s="7">
        <v>4833</v>
      </c>
      <c r="E5737" s="7" t="s">
        <v>13</v>
      </c>
      <c r="F5737" s="8" t="str">
        <f ca="1">IFERROR(__xludf.DUMMYFUNCTION("IF
(
C5738=""фізична особа""
,
VLOOKUP(D5738,IMPORTRANGE(""https://docs.google.com/spreadsheets/d/14Bd19lYaqBhU8_DElYkX7l4wRkHqqCUFNJY4AfY3kHU/edit?usp=sharing  #gid=0"",""фіз особи new!relations_name""),6,FALSE)
,
(IF
(
C5738=""юридична особа""
,
VLOOKUP"&amp;"(D5738,IMPORTRANGE(""https://docs.google.com/spreadsheets/d/14Bd19lYaqBhU8_DElYkX7l4wRkHqqCUFNJY4AfY3kHU/edit?usp=sharing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G5737" s="7" t="s">
        <v>10</v>
      </c>
      <c r="H5737" s="7">
        <v>4832</v>
      </c>
      <c r="I5737" s="8" t="str">
        <f ca="1">IFERROR(__xludf.DUMMYFUNCTION("IF
(
G5738=""фізична особа""
,
VLOOKUP(H5738,IMPORTRANGE(""https://docs.google.com/spreadsheets/d/14Bd19lYaqBhU8_DElYkX7l4wRkHqqCUFNJY4AfY3kHU/edit?usp=sharing  #gid=0"",""фіз особи new!relations_name""),6,FALSE)
,
(IF
(
G5738=""юридична особа""
,
VLOOKUP"&amp;"(H5738,IMPORTRANGE(""https://docs.google.com/spreadsheets/d/14Bd19lYaqBhU8_DElYkX7l4wRkHqqCUFNJY4AfY3kHU/edit?usp=sharing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J5737" s="7" t="s">
        <v>21</v>
      </c>
    </row>
    <row r="5738" spans="1:10" ht="13.2">
      <c r="A5738" s="7">
        <v>5737</v>
      </c>
      <c r="B5738" s="7">
        <v>1</v>
      </c>
      <c r="C5738" s="7" t="s">
        <v>10</v>
      </c>
      <c r="D5738" s="7">
        <v>4834</v>
      </c>
      <c r="E5738" s="7" t="s">
        <v>26</v>
      </c>
      <c r="F5738" s="8" t="str">
        <f ca="1">IFERROR(__xludf.DUMMYFUNCTION("IF
(
C5739=""фізична особа""
,
VLOOKUP(D5739,IMPORTRANGE(""https://docs.google.com/spreadsheets/d/14Bd19lYaqBhU8_DElYkX7l4wRkHqqCUFNJY4AfY3kHU/edit?usp=sharing  #gid=0"",""фіз особи new!relations_name""),6,FALSE)
,
(IF
(
C5739=""юридична особа""
,
VLOOKUP"&amp;"(D5739,IMPORTRANGE(""https://docs.google.com/spreadsheets/d/14Bd19lYaqBhU8_DElYkX7l4wRkHqqCUFNJY4AfY3kHU/edit?usp=sharing  #gid=0"",""фіз особи new!relations_name_uo""),7,FALSE)
,
)
))"),"ЛЄБЄДЄВ Володимир Вікторович")</f>
        <v>ЛЄБЄДЄВ Володимир Вікторович</v>
      </c>
      <c r="G5738" s="7" t="s">
        <v>10</v>
      </c>
      <c r="H5738" s="7">
        <v>844</v>
      </c>
      <c r="I5738" s="8" t="str">
        <f ca="1">IFERROR(__xludf.DUMMYFUNCTION("IF
(
G5739=""фізична особа""
,
VLOOKUP(H5739,IMPORTRANGE(""https://docs.google.com/spreadsheets/d/14Bd19lYaqBhU8_DElYkX7l4wRkHqqCUFNJY4AfY3kHU/edit?usp=sharing  #gid=0"",""фіз особи new!relations_name""),6,FALSE)
,
(IF
(
G5739=""юридична особа""
,
VLOOKUP"&amp;"(H5739,IMPORTRANGE(""https://docs.google.com/spreadsheets/d/14Bd19lYaqBhU8_DElYkX7l4wRkHqqCUFNJY4AfY3kHU/edit?usp=sharing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738" s="7" t="s">
        <v>24</v>
      </c>
    </row>
    <row r="5739" spans="1:10" ht="13.2">
      <c r="A5739" s="7">
        <v>5738</v>
      </c>
      <c r="B5739" s="7">
        <v>1</v>
      </c>
      <c r="C5739" s="7" t="s">
        <v>10</v>
      </c>
      <c r="D5739" s="7">
        <v>4834</v>
      </c>
      <c r="E5739" s="7" t="s">
        <v>15</v>
      </c>
      <c r="F5739" s="8" t="str">
        <f ca="1">IFERROR(__xludf.DUMMYFUNCTION("IF
(
C5740=""фізична особа""
,
VLOOKUP(D5740,IMPORTRANGE(""https://docs.google.com/spreadsheets/d/14Bd19lYaqBhU8_DElYkX7l4wRkHqqCUFNJY4AfY3kHU/edit?usp=sharing  #gid=0"",""фіз особи new!relations_name""),6,FALSE)
,
(IF
(
C5740=""юридична особа""
,
VLOOKUP"&amp;"(D5740,IMPORTRANGE(""https://docs.google.com/spreadsheets/d/14Bd19lYaqBhU8_DElYkX7l4wRkHqqCUFNJY4AfY3kHU/edit?usp=sharing  #gid=0"",""фіз особи new!relations_name_uo""),7,FALSE)
,
)
))"),"ЛЄБЄДЄВ Володимир Вікторович")</f>
        <v>ЛЄБЄДЄВ Володимир Вікторович</v>
      </c>
      <c r="G5739" s="7" t="s">
        <v>10</v>
      </c>
      <c r="H5739" s="7">
        <v>4833</v>
      </c>
      <c r="I5739" s="8" t="str">
        <f ca="1">IFERROR(__xludf.DUMMYFUNCTION("IF
(
G5740=""фізична особа""
,
VLOOKUP(H5740,IMPORTRANGE(""https://docs.google.com/spreadsheets/d/14Bd19lYaqBhU8_DElYkX7l4wRkHqqCUFNJY4AfY3kHU/edit?usp=sharing  #gid=0"",""фіз особи new!relations_name""),6,FALSE)
,
(IF
(
G5740=""юридична особа""
,
VLOOKUP"&amp;"(H5740,IMPORTRANGE(""https://docs.google.com/spreadsheets/d/14Bd19lYaqBhU8_DElYkX7l4wRkHqqCUFNJY4AfY3kHU/edit?usp=sharing  #gid=0"",""фіз особи new!relations_name_uo""),7,FALSE)
,
)
))"),"ВАСИЛЬЄВА / ЛЕБЕДЄВА Юлія Володимирівна")</f>
        <v>ВАСИЛЬЄВА / ЛЕБЕДЄВА Юлія Володимирівна</v>
      </c>
      <c r="J5739" s="7" t="s">
        <v>14</v>
      </c>
    </row>
    <row r="5740" spans="1:10" ht="13.2">
      <c r="A5740" s="7">
        <v>5739</v>
      </c>
      <c r="B5740" s="7">
        <v>1</v>
      </c>
      <c r="C5740" s="7" t="s">
        <v>10</v>
      </c>
      <c r="D5740" s="7">
        <v>4834</v>
      </c>
      <c r="E5740" s="7" t="s">
        <v>26</v>
      </c>
      <c r="F5740" s="8" t="str">
        <f ca="1">IFERROR(__xludf.DUMMYFUNCTION("IF
(
C5741=""фізична особа""
,
VLOOKUP(D5741,IMPORTRANGE(""https://docs.google.com/spreadsheets/d/14Bd19lYaqBhU8_DElYkX7l4wRkHqqCUFNJY4AfY3kHU/edit?usp=sharing  #gid=0"",""фіз особи new!relations_name""),6,FALSE)
,
(IF
(
C5741=""юридична особа""
,
VLOOKUP"&amp;"(D5741,IMPORTRANGE(""https://docs.google.com/spreadsheets/d/14Bd19lYaqBhU8_DElYkX7l4wRkHqqCUFNJY4AfY3kHU/edit?usp=sharing  #gid=0"",""фіз особи new!relations_name_uo""),7,FALSE)
,
)
))"),"ЛЄБЄДЄВ Володимир Вікторович")</f>
        <v>ЛЄБЄДЄВ Володимир Вікторович</v>
      </c>
      <c r="G5740" s="7" t="s">
        <v>10</v>
      </c>
      <c r="H5740" s="7">
        <v>4832</v>
      </c>
      <c r="I5740" s="8" t="str">
        <f ca="1">IFERROR(__xludf.DUMMYFUNCTION("IF
(
G5741=""фізична особа""
,
VLOOKUP(H5741,IMPORTRANGE(""https://docs.google.com/spreadsheets/d/14Bd19lYaqBhU8_DElYkX7l4wRkHqqCUFNJY4AfY3kHU/edit?usp=sharing  #gid=0"",""фіз особи new!relations_name""),6,FALSE)
,
(IF
(
G5741=""юридична особа""
,
VLOOKUP"&amp;"(H5741,IMPORTRANGE(""https://docs.google.com/spreadsheets/d/14Bd19lYaqBhU8_DElYkX7l4wRkHqqCUFNJY4AfY3kHU/edit?usp=sharing  #gid=0"",""фіз особи new!relations_name_uo""),7,FALSE)
,
)
))"),"ВАСИЛЬЄВА / ОДІНЦОВА Людмила Дмитрівна")</f>
        <v>ВАСИЛЬЄВА / ОДІНЦОВА Людмила Дмитрівна</v>
      </c>
      <c r="J5740" s="7" t="s">
        <v>27</v>
      </c>
    </row>
    <row r="5741" spans="1:10" ht="13.2">
      <c r="A5741" s="7">
        <v>5740</v>
      </c>
      <c r="B5741" s="7">
        <v>1</v>
      </c>
      <c r="C5741" s="7" t="s">
        <v>10</v>
      </c>
      <c r="D5741" s="7">
        <v>4835</v>
      </c>
      <c r="E5741" s="7" t="s">
        <v>15</v>
      </c>
      <c r="F5741" s="8" t="str">
        <f ca="1">IFERROR(__xludf.DUMMYFUNCTION("IF
(
C5742=""фізична особа""
,
VLOOKUP(D5742,IMPORTRANGE(""https://docs.google.com/spreadsheets/d/14Bd19lYaqBhU8_DElYkX7l4wRkHqqCUFNJY4AfY3kHU/edit?usp=sharing  #gid=0"",""фіз особи new!relations_name""),6,FALSE)
,
(IF
(
C5742=""юридична особа""
,
VLOOKUP"&amp;"(D5742,IMPORTRANGE(""https://docs.google.com/spreadsheets/d/14Bd19lYaqBhU8_DElYkX7l4wRkHqqCUFNJY4AfY3kHU/edit?usp=sharing  #gid=0"",""фіз особи new!relations_name_uo""),7,FALSE)
,
)
))"),"ВАСИЛЬЄВА Лілія Валентинівна")</f>
        <v>ВАСИЛЬЄВА Лілія Валентинівна</v>
      </c>
      <c r="G5741" s="7" t="s">
        <v>10</v>
      </c>
      <c r="H5741" s="7">
        <v>2538</v>
      </c>
      <c r="I5741" s="8" t="str">
        <f ca="1">IFERROR(__xludf.DUMMYFUNCTION("IF
(
G5742=""фізична особа""
,
VLOOKUP(H5742,IMPORTRANGE(""https://docs.google.com/spreadsheets/d/14Bd19lYaqBhU8_DElYkX7l4wRkHqqCUFNJY4AfY3kHU/edit?usp=sharing  #gid=0"",""фіз особи new!relations_name""),6,FALSE)
,
(IF
(
G5742=""юридична особа""
,
VLOOKUP"&amp;"(H5742,IMPORTRANGE(""https://docs.google.com/spreadsheets/d/14Bd19lYaqBhU8_DElYkX7l4wRkHqqCUFNJY4AfY3kHU/edit?usp=sharing  #gid=0"",""фіз особи new!relations_name_uo""),7,FALSE)
,
)
))"),"ВАСИЛЬЄВ Ігор Володимирович")</f>
        <v>ВАСИЛЬЄВ Ігор Володимирович</v>
      </c>
      <c r="J5741" s="7" t="s">
        <v>14</v>
      </c>
    </row>
    <row r="5742" spans="1:10" ht="13.2">
      <c r="A5742" s="7">
        <v>5741</v>
      </c>
      <c r="B5742" s="7">
        <v>1</v>
      </c>
      <c r="C5742" s="7" t="s">
        <v>10</v>
      </c>
      <c r="D5742" s="7">
        <v>4835</v>
      </c>
      <c r="E5742" s="7" t="s">
        <v>21</v>
      </c>
      <c r="F5742" s="8" t="str">
        <f ca="1">IFERROR(__xludf.DUMMYFUNCTION("IF
(
C5743=""фізична особа""
,
VLOOKUP(D5743,IMPORTRANGE(""https://docs.google.com/spreadsheets/d/14Bd19lYaqBhU8_DElYkX7l4wRkHqqCUFNJY4AfY3kHU/edit?usp=sharing  #gid=0"",""фіз особи new!relations_name""),6,FALSE)
,
(IF
(
C5743=""юридична особа""
,
VLOOKUP"&amp;"(D5743,IMPORTRANGE(""https://docs.google.com/spreadsheets/d/14Bd19lYaqBhU8_DElYkX7l4wRkHqqCUFNJY4AfY3kHU/edit?usp=sharing  #gid=0"",""фіз особи new!relations_name_uo""),7,FALSE)
,
)
))"),"ВАСИЛЬЄВА Лілія Валентинівна")</f>
        <v>ВАСИЛЬЄВА Лілія Валентинівна</v>
      </c>
      <c r="G5742" s="7" t="s">
        <v>10</v>
      </c>
      <c r="H5742" s="7">
        <v>4836</v>
      </c>
      <c r="I5742" s="8" t="str">
        <f ca="1">IFERROR(__xludf.DUMMYFUNCTION("IF
(
G5743=""фізична особа""
,
VLOOKUP(H5743,IMPORTRANGE(""https://docs.google.com/spreadsheets/d/14Bd19lYaqBhU8_DElYkX7l4wRkHqqCUFNJY4AfY3kHU/edit?usp=sharing  #gid=0"",""фіз особи new!relations_name""),6,FALSE)
,
(IF
(
G5743=""юридична особа""
,
VLOOKUP"&amp;"(H5743,IMPORTRANGE(""https://docs.google.com/spreadsheets/d/14Bd19lYaqBhU8_DElYkX7l4wRkHqqCUFNJY4AfY3kHU/edit?usp=sharing  #gid=0"",""фіз особи new!relations_name_uo""),7,FALSE)
,
)
))"),"ВАСИЛЬЄВА Ольга Ігорівна")</f>
        <v>ВАСИЛЬЄВА Ольга Ігорівна</v>
      </c>
      <c r="J5742" s="7" t="s">
        <v>13</v>
      </c>
    </row>
    <row r="5743" spans="1:10" ht="13.2">
      <c r="A5743" s="7">
        <v>5742</v>
      </c>
      <c r="B5743" s="7">
        <v>1</v>
      </c>
      <c r="C5743" s="7" t="s">
        <v>10</v>
      </c>
      <c r="D5743" s="7">
        <v>4836</v>
      </c>
      <c r="E5743" s="7" t="s">
        <v>13</v>
      </c>
      <c r="F5743" s="8" t="str">
        <f ca="1">IFERROR(__xludf.DUMMYFUNCTION("IF
(
C5744=""фізична особа""
,
VLOOKUP(D5744,IMPORTRANGE(""https://docs.google.com/spreadsheets/d/14Bd19lYaqBhU8_DElYkX7l4wRkHqqCUFNJY4AfY3kHU/edit?usp=sharing  #gid=0"",""фіз особи new!relations_name""),6,FALSE)
,
(IF
(
C5744=""юридична особа""
,
VLOOKUP"&amp;"(D5744,IMPORTRANGE(""https://docs.google.com/spreadsheets/d/14Bd19lYaqBhU8_DElYkX7l4wRkHqqCUFNJY4AfY3kHU/edit?usp=sharing  #gid=0"",""фіз особи new!relations_name_uo""),7,FALSE)
,
)
))"),"ВАСИЛЬЄВА Ольга Ігорівна")</f>
        <v>ВАСИЛЬЄВА Ольга Ігорівна</v>
      </c>
      <c r="G5743" s="7" t="s">
        <v>10</v>
      </c>
      <c r="H5743" s="7">
        <v>2538</v>
      </c>
      <c r="I5743" s="8" t="str">
        <f ca="1">IFERROR(__xludf.DUMMYFUNCTION("IF
(
G5744=""фізична особа""
,
VLOOKUP(H5744,IMPORTRANGE(""https://docs.google.com/spreadsheets/d/14Bd19lYaqBhU8_DElYkX7l4wRkHqqCUFNJY4AfY3kHU/edit?usp=sharing  #gid=0"",""фіз особи new!relations_name""),6,FALSE)
,
(IF
(
G5744=""юридична особа""
,
VLOOKUP"&amp;"(H5744,IMPORTRANGE(""https://docs.google.com/spreadsheets/d/14Bd19lYaqBhU8_DElYkX7l4wRkHqqCUFNJY4AfY3kHU/edit?usp=sharing  #gid=0"",""фіз особи new!relations_name_uo""),7,FALSE)
,
)
))"),"ВАСИЛЬЄВ Ігор Володимирович")</f>
        <v>ВАСИЛЬЄВ Ігор Володимирович</v>
      </c>
      <c r="J5743" s="7" t="s">
        <v>12</v>
      </c>
    </row>
    <row r="5744" spans="1:10" ht="13.2">
      <c r="A5744" s="7">
        <v>5743</v>
      </c>
      <c r="B5744" s="7">
        <v>1</v>
      </c>
      <c r="C5744" s="7" t="s">
        <v>10</v>
      </c>
      <c r="D5744" s="7">
        <v>4836</v>
      </c>
      <c r="E5744" s="7" t="s">
        <v>13</v>
      </c>
      <c r="F5744" s="8" t="str">
        <f ca="1">IFERROR(__xludf.DUMMYFUNCTION("IF
(
C5745=""фізична особа""
,
VLOOKUP(D5745,IMPORTRANGE(""https://docs.google.com/spreadsheets/d/14Bd19lYaqBhU8_DElYkX7l4wRkHqqCUFNJY4AfY3kHU/edit?usp=sharing  #gid=0"",""фіз особи new!relations_name""),6,FALSE)
,
(IF
(
C5745=""юридична особа""
,
VLOOKUP"&amp;"(D5745,IMPORTRANGE(""https://docs.google.com/spreadsheets/d/14Bd19lYaqBhU8_DElYkX7l4wRkHqqCUFNJY4AfY3kHU/edit?usp=sharing  #gid=0"",""фіз особи new!relations_name_uo""),7,FALSE)
,
)
))"),"ВАСИЛЬЄВА Ольга Ігорівна")</f>
        <v>ВАСИЛЬЄВА Ольга Ігорівна</v>
      </c>
      <c r="G5744" s="7" t="s">
        <v>10</v>
      </c>
      <c r="H5744" s="7">
        <v>4835</v>
      </c>
      <c r="I5744" s="8" t="str">
        <f ca="1">IFERROR(__xludf.DUMMYFUNCTION("IF
(
G5745=""фізична особа""
,
VLOOKUP(H5745,IMPORTRANGE(""https://docs.google.com/spreadsheets/d/14Bd19lYaqBhU8_DElYkX7l4wRkHqqCUFNJY4AfY3kHU/edit?usp=sharing  #gid=0"",""фіз особи new!relations_name""),6,FALSE)
,
(IF
(
G5745=""юридична особа""
,
VLOOKUP"&amp;"(H5745,IMPORTRANGE(""https://docs.google.com/spreadsheets/d/14Bd19lYaqBhU8_DElYkX7l4wRkHqqCUFNJY4AfY3kHU/edit?usp=sharing  #gid=0"",""фіз особи new!relations_name_uo""),7,FALSE)
,
)
))"),"ВАСИЛЬЄВА Лілія Валентинівна")</f>
        <v>ВАСИЛЬЄВА Лілія Валентинівна</v>
      </c>
      <c r="J5744" s="7" t="s">
        <v>21</v>
      </c>
    </row>
    <row r="5745" spans="1:10" ht="13.2">
      <c r="A5745" s="7">
        <v>5744</v>
      </c>
      <c r="B5745" s="7">
        <v>1</v>
      </c>
      <c r="C5745" s="7" t="s">
        <v>10</v>
      </c>
      <c r="D5745" s="7">
        <v>4837</v>
      </c>
      <c r="E5745" s="7" t="s">
        <v>33</v>
      </c>
      <c r="F5745" s="8" t="str">
        <f ca="1">IFERROR(__xludf.DUMMYFUNCTION("IF
(
C5746=""фізична особа""
,
VLOOKUP(D5746,IMPORTRANGE(""https://docs.google.com/spreadsheets/d/14Bd19lYaqBhU8_DElYkX7l4wRkHqqCUFNJY4AfY3kHU/edit?usp=sharing  #gid=0"",""фіз особи new!relations_name""),6,FALSE)
,
(IF
(
C5746=""юридична особа""
,
VLOOKUP"&amp;"(D5746,IMPORTRANGE(""https://docs.google.com/spreadsheets/d/14Bd19lYaqBhU8_DElYkX7l4wRkHqqCUFNJY4AfY3kHU/edit?usp=sharing  #gid=0"",""фіз особи new!relations_name_uo""),7,FALSE)
,
)
))"),"ВІНЕР Натан / Антон Ададієвич")</f>
        <v>ВІНЕР Натан / Антон Ададієвич</v>
      </c>
      <c r="G5745" s="7" t="s">
        <v>10</v>
      </c>
      <c r="H5745" s="7">
        <v>19</v>
      </c>
      <c r="I5745" s="8" t="str">
        <f ca="1">IFERROR(__xludf.DUMMYFUNCTION("IF
(
G5746=""фізична особа""
,
VLOOKUP(H5746,IMPORTRANGE(""https://docs.google.com/spreadsheets/d/14Bd19lYaqBhU8_DElYkX7l4wRkHqqCUFNJY4AfY3kHU/edit?usp=sharing  #gid=0"",""фіз особи new!relations_name""),6,FALSE)
,
(IF
(
G5746=""юридична особа""
,
VLOOKUP"&amp;"(H5746,IMPORTRANGE(""https://docs.google.com/spreadsheets/d/14Bd19lYaqBhU8_DElYkX7l4wRkHqqCUFNJY4AfY3kHU/edit?usp=sharing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J5745" s="7" t="s">
        <v>32</v>
      </c>
    </row>
    <row r="5746" spans="1:10" ht="13.2">
      <c r="A5746" s="7">
        <v>5745</v>
      </c>
      <c r="B5746" s="7">
        <v>1</v>
      </c>
      <c r="C5746" s="7" t="s">
        <v>10</v>
      </c>
      <c r="D5746" s="7">
        <v>4837</v>
      </c>
      <c r="E5746" s="7" t="s">
        <v>11</v>
      </c>
      <c r="F5746" s="8" t="str">
        <f ca="1">IFERROR(__xludf.DUMMYFUNCTION("IF
(
C5747=""фізична особа""
,
VLOOKUP(D5747,IMPORTRANGE(""https://docs.google.com/spreadsheets/d/14Bd19lYaqBhU8_DElYkX7l4wRkHqqCUFNJY4AfY3kHU/edit?usp=sharing  #gid=0"",""фіз особи new!relations_name""),6,FALSE)
,
(IF
(
C5747=""юридична особа""
,
VLOOKUP"&amp;"(D5747,IMPORTRANGE(""https://docs.google.com/spreadsheets/d/14Bd19lYaqBhU8_DElYkX7l4wRkHqqCUFNJY4AfY3kHU/edit?usp=sharing  #gid=0"",""фіз особи new!relations_name_uo""),7,FALSE)
,
)
))"),"ВІНЕР Натан / Антон Ададієвич")</f>
        <v>ВІНЕР Натан / Антон Ададієвич</v>
      </c>
      <c r="G5746" s="7" t="s">
        <v>10</v>
      </c>
      <c r="H5746" s="7">
        <v>23358</v>
      </c>
      <c r="I5746" s="8" t="str">
        <f ca="1">IFERROR(__xludf.DUMMYFUNCTION("IF
(
G5747=""фізична особа""
,
VLOOKUP(H5747,IMPORTRANGE(""https://docs.google.com/spreadsheets/d/14Bd19lYaqBhU8_DElYkX7l4wRkHqqCUFNJY4AfY3kHU/edit?usp=sharing  #gid=0"",""фіз особи new!relations_name""),6,FALSE)
,
(IF
(
G5747=""юридична особа""
,
VLOOKUP"&amp;"(H5747,IMPORTRANGE(""https://docs.google.com/spreadsheets/d/14Bd19lYaqBhU8_DElYkX7l4wRkHqqCUFNJY4AfY3kHU/edit?usp=sharing  #gid=0"",""фіз особи new!relations_name_uo""),7,FALSE)
,
)
))"),"БОРТНІКОВ Дмитро Михайлович")</f>
        <v>БОРТНІКОВ Дмитро Михайлович</v>
      </c>
      <c r="J5746" s="7" t="s">
        <v>11</v>
      </c>
    </row>
    <row r="5747" spans="1:10" ht="13.2">
      <c r="A5747" s="7">
        <v>5746</v>
      </c>
      <c r="B5747" s="7">
        <v>1</v>
      </c>
      <c r="C5747" s="7" t="s">
        <v>10</v>
      </c>
      <c r="D5747" s="7">
        <v>4838</v>
      </c>
      <c r="E5747" s="7" t="s">
        <v>15</v>
      </c>
      <c r="F5747" s="8" t="str">
        <f ca="1">IFERROR(__xludf.DUMMYFUNCTION("IF
(
C5748=""фізична особа""
,
VLOOKUP(D5748,IMPORTRANGE(""https://docs.google.com/spreadsheets/d/14Bd19lYaqBhU8_DElYkX7l4wRkHqqCUFNJY4AfY3kHU/edit?usp=sharing  #gid=0"",""фіз особи new!relations_name""),6,FALSE)
,
(IF
(
C5748=""юридична особа""
,
VLOOKUP"&amp;"(D5748,IMPORTRANGE(""https://docs.google.com/spreadsheets/d/14Bd19lYaqBhU8_DElYkX7l4wRkHqqCUFNJY4AfY3kHU/edit?usp=sharing  #gid=0"",""фіз особи new!relations_name_uo""),7,FALSE)
,
)
))"),"ВОЛОДІНА / ПОЛЯКІНА Яна Юріївна")</f>
        <v>ВОЛОДІНА / ПОЛЯКІНА Яна Юріївна</v>
      </c>
      <c r="G5747" s="7" t="s">
        <v>10</v>
      </c>
      <c r="H5747" s="7">
        <v>899</v>
      </c>
      <c r="I5747" s="8" t="str">
        <f ca="1">IFERROR(__xludf.DUMMYFUNCTION("IF
(
G5748=""фізична особа""
,
VLOOKUP(H5748,IMPORTRANGE(""https://docs.google.com/spreadsheets/d/14Bd19lYaqBhU8_DElYkX7l4wRkHqqCUFNJY4AfY3kHU/edit?usp=sharing  #gid=0"",""фіз особи new!relations_name""),6,FALSE)
,
(IF
(
G5748=""юридична особа""
,
VLOOKUP"&amp;"(H5748,IMPORTRANGE(""https://docs.google.com/spreadsheets/d/14Bd19lYaqBhU8_DElYkX7l4wRkHqqCUFNJY4AfY3kHU/edit?usp=sharing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5747" s="7" t="s">
        <v>14</v>
      </c>
    </row>
    <row r="5748" spans="1:10" ht="13.2">
      <c r="A5748" s="7">
        <v>5747</v>
      </c>
      <c r="B5748" s="7">
        <v>1</v>
      </c>
      <c r="C5748" s="7" t="s">
        <v>10</v>
      </c>
      <c r="D5748" s="7">
        <v>4838</v>
      </c>
      <c r="E5748" s="7" t="s">
        <v>30</v>
      </c>
      <c r="F5748" s="8" t="str">
        <f ca="1">IFERROR(__xludf.DUMMYFUNCTION("IF
(
C5749=""фізична особа""
,
VLOOKUP(D5749,IMPORTRANGE(""https://docs.google.com/spreadsheets/d/14Bd19lYaqBhU8_DElYkX7l4wRkHqqCUFNJY4AfY3kHU/edit?usp=sharing  #gid=0"",""фіз особи new!relations_name""),6,FALSE)
,
(IF
(
C5749=""юридична особа""
,
VLOOKUP"&amp;"(D5749,IMPORTRANGE(""https://docs.google.com/spreadsheets/d/14Bd19lYaqBhU8_DElYkX7l4wRkHqqCUFNJY4AfY3kHU/edit?usp=sharing  #gid=0"",""фіз особи new!relations_name_uo""),7,FALSE)
,
)
))"),"ВОЛОДІНА / ПОЛЯКІНА Яна Юріївна")</f>
        <v>ВОЛОДІНА / ПОЛЯКІНА Яна Юріївна</v>
      </c>
      <c r="G5748" s="7" t="s">
        <v>10</v>
      </c>
      <c r="H5748" s="7">
        <v>23459</v>
      </c>
      <c r="I5748" s="8" t="str">
        <f ca="1">IFERROR(__xludf.DUMMYFUNCTION("IF
(
G5749=""фізична особа""
,
VLOOKUP(H5749,IMPORTRANGE(""https://docs.google.com/spreadsheets/d/14Bd19lYaqBhU8_DElYkX7l4wRkHqqCUFNJY4AfY3kHU/edit?usp=sharing  #gid=0"",""фіз особи new!relations_name""),6,FALSE)
,
(IF
(
G5749=""юридична особа""
,
VLOOKUP"&amp;"(H5749,IMPORTRANGE(""https://docs.google.com/spreadsheets/d/14Bd19lYaqBhU8_DElYkX7l4wRkHqqCUFNJY4AfY3kHU/edit?usp=sharing  #gid=0"",""фіз особи new!relations_name_uo""),7,FALSE)
,
)
))"),"КІСТАНОВА Ніна Юріївна")</f>
        <v>КІСТАНОВА Ніна Юріївна</v>
      </c>
      <c r="J5748" s="7" t="s">
        <v>30</v>
      </c>
    </row>
    <row r="5749" spans="1:10" ht="13.2">
      <c r="A5749" s="7">
        <v>5748</v>
      </c>
      <c r="B5749" s="7">
        <v>1</v>
      </c>
      <c r="C5749" s="7" t="s">
        <v>10</v>
      </c>
      <c r="D5749" s="7">
        <v>4838</v>
      </c>
      <c r="E5749" s="7" t="s">
        <v>13</v>
      </c>
      <c r="F5749" s="8" t="str">
        <f ca="1">IFERROR(__xludf.DUMMYFUNCTION("IF
(
C5750=""фізична особа""
,
VLOOKUP(D5750,IMPORTRANGE(""https://docs.google.com/spreadsheets/d/14Bd19lYaqBhU8_DElYkX7l4wRkHqqCUFNJY4AfY3kHU/edit?usp=sharing  #gid=0"",""фіз особи new!relations_name""),6,FALSE)
,
(IF
(
C5750=""юридична особа""
,
VLOOKUP"&amp;"(D5750,IMPORTRANGE(""https://docs.google.com/spreadsheets/d/14Bd19lYaqBhU8_DElYkX7l4wRkHqqCUFNJY4AfY3kHU/edit?usp=sharing  #gid=0"",""фіз особи new!relations_name_uo""),7,FALSE)
,
)
))"),"ВОЛОДІНА / ПОЛЯКІНА Яна Юріївна")</f>
        <v>ВОЛОДІНА / ПОЛЯКІНА Яна Юріївна</v>
      </c>
      <c r="G5749" s="7" t="s">
        <v>10</v>
      </c>
      <c r="H5749" s="7">
        <v>23461</v>
      </c>
      <c r="I5749" s="8" t="str">
        <f ca="1">IFERROR(__xludf.DUMMYFUNCTION("IF
(
G5750=""фізична особа""
,
VLOOKUP(H5750,IMPORTRANGE(""https://docs.google.com/spreadsheets/d/14Bd19lYaqBhU8_DElYkX7l4wRkHqqCUFNJY4AfY3kHU/edit?usp=sharing  #gid=0"",""фіз особи new!relations_name""),6,FALSE)
,
(IF
(
G5750=""юридична особа""
,
VLOOKUP"&amp;"(H5750,IMPORTRANGE(""https://docs.google.com/spreadsheets/d/14Bd19lYaqBhU8_DElYkX7l4wRkHqqCUFNJY4AfY3kHU/edit?usp=sharing  #gid=0"",""фіз особи new!relations_name_uo""),7,FALSE)
,
)
))"),"ПОЛЯКІН Юрій Геннадійович")</f>
        <v>ПОЛЯКІН Юрій Геннадійович</v>
      </c>
      <c r="J5749" s="7" t="s">
        <v>12</v>
      </c>
    </row>
    <row r="5750" spans="1:10" ht="13.2">
      <c r="A5750" s="7">
        <v>5749</v>
      </c>
      <c r="B5750" s="7">
        <v>1</v>
      </c>
      <c r="C5750" s="7" t="s">
        <v>10</v>
      </c>
      <c r="D5750" s="7">
        <v>4839</v>
      </c>
      <c r="E5750" s="7" t="s">
        <v>13</v>
      </c>
      <c r="F5750" s="8" t="str">
        <f ca="1">IFERROR(__xludf.DUMMYFUNCTION("IF
(
C5751=""фізична особа""
,
VLOOKUP(D5751,IMPORTRANGE(""https://docs.google.com/spreadsheets/d/14Bd19lYaqBhU8_DElYkX7l4wRkHqqCUFNJY4AfY3kHU/edit?usp=sharing  #gid=0"",""фіз особи new!relations_name""),6,FALSE)
,
(IF
(
C5751=""юридична особа""
,
VLOOKUP"&amp;"(D5751,IMPORTRANGE(""https://docs.google.com/spreadsheets/d/14Bd19lYaqBhU8_DElYkX7l4wRkHqqCUFNJY4AfY3kHU/edit?usp=sharing  #gid=0"",""фіз особи new!relations_name_uo""),7,FALSE)
,
)
))"),"ВОЛОДІНА Світлана Вячеславівна")</f>
        <v>ВОЛОДІНА Світлана Вячеславівна</v>
      </c>
      <c r="G5750" s="7" t="s">
        <v>10</v>
      </c>
      <c r="H5750" s="7">
        <v>899</v>
      </c>
      <c r="I5750" s="8" t="str">
        <f ca="1">IFERROR(__xludf.DUMMYFUNCTION("IF
(
G5751=""фізична особа""
,
VLOOKUP(H5751,IMPORTRANGE(""https://docs.google.com/spreadsheets/d/14Bd19lYaqBhU8_DElYkX7l4wRkHqqCUFNJY4AfY3kHU/edit?usp=sharing  #gid=0"",""фіз особи new!relations_name""),6,FALSE)
,
(IF
(
G5751=""юридична особа""
,
VLOOKUP"&amp;"(H5751,IMPORTRANGE(""https://docs.google.com/spreadsheets/d/14Bd19lYaqBhU8_DElYkX7l4wRkHqqCUFNJY4AfY3kHU/edit?usp=sharing  #gid=0"",""фіз особи new!relations_name_uo""),7,FALSE)
,
)
))"),"ВОЛОДІН В'ячеслав Вікторович")</f>
        <v>ВОЛОДІН В'ячеслав Вікторович</v>
      </c>
      <c r="J5750" s="7" t="s">
        <v>12</v>
      </c>
    </row>
    <row r="5751" spans="1:10" ht="13.2">
      <c r="A5751" s="7">
        <v>5750</v>
      </c>
      <c r="B5751" s="7">
        <v>1</v>
      </c>
      <c r="C5751" s="7" t="s">
        <v>10</v>
      </c>
      <c r="D5751" s="7">
        <v>4839</v>
      </c>
      <c r="E5751" s="7" t="s">
        <v>13</v>
      </c>
      <c r="F5751" s="8" t="str">
        <f ca="1">IFERROR(__xludf.DUMMYFUNCTION("IF
(
C5752=""фізична особа""
,
VLOOKUP(D5752,IMPORTRANGE(""https://docs.google.com/spreadsheets/d/14Bd19lYaqBhU8_DElYkX7l4wRkHqqCUFNJY4AfY3kHU/edit?usp=sharing  #gid=0"",""фіз особи new!relations_name""),6,FALSE)
,
(IF
(
C5752=""юридична особа""
,
VLOOKUP"&amp;"(D5752,IMPORTRANGE(""https://docs.google.com/spreadsheets/d/14Bd19lYaqBhU8_DElYkX7l4wRkHqqCUFNJY4AfY3kHU/edit?usp=sharing  #gid=0"",""фіз особи new!relations_name_uo""),7,FALSE)
,
)
))"),"ВОЛОДІНА Світлана Вячеславівна")</f>
        <v>ВОЛОДІНА Світлана Вячеславівна</v>
      </c>
      <c r="G5751" s="7" t="s">
        <v>10</v>
      </c>
      <c r="H5751" s="7">
        <v>23460</v>
      </c>
      <c r="I5751" s="8" t="str">
        <f ca="1">IFERROR(__xludf.DUMMYFUNCTION("IF
(
G5752=""фізична особа""
,
VLOOKUP(H5752,IMPORTRANGE(""https://docs.google.com/spreadsheets/d/14Bd19lYaqBhU8_DElYkX7l4wRkHqqCUFNJY4AfY3kHU/edit?usp=sharing  #gid=0"",""фіз особи new!relations_name""),6,FALSE)
,
(IF
(
G5752=""юридична особа""
,
VLOOKUP"&amp;"(H5752,IMPORTRANGE(""https://docs.google.com/spreadsheets/d/14Bd19lYaqBhU8_DElYkX7l4wRkHqqCUFNJY4AfY3kHU/edit?usp=sharing  #gid=0"",""фіз особи new!relations_name_uo""),7,FALSE)
,
)
))"),"ВОЛОДІНА Вікторія Анатоліївна")</f>
        <v>ВОЛОДІНА Вікторія Анатоліївна</v>
      </c>
      <c r="J5751" s="7" t="s">
        <v>21</v>
      </c>
    </row>
    <row r="5752" spans="1:10" ht="13.2">
      <c r="A5752" s="7">
        <v>5751</v>
      </c>
      <c r="B5752" s="7">
        <v>1</v>
      </c>
      <c r="C5752" s="7" t="s">
        <v>10</v>
      </c>
      <c r="D5752" s="7">
        <v>4839</v>
      </c>
      <c r="E5752" s="7" t="s">
        <v>60</v>
      </c>
      <c r="F5752" s="8" t="str">
        <f ca="1">IFERROR(__xludf.DUMMYFUNCTION("IF
(
C5753=""фізична особа""
,
VLOOKUP(D5753,IMPORTRANGE(""https://docs.google.com/spreadsheets/d/14Bd19lYaqBhU8_DElYkX7l4wRkHqqCUFNJY4AfY3kHU/edit?usp=sharing  #gid=0"",""фіз особи new!relations_name""),6,FALSE)
,
(IF
(
C5753=""юридична особа""
,
VLOOKUP"&amp;"(D5753,IMPORTRANGE(""https://docs.google.com/spreadsheets/d/14Bd19lYaqBhU8_DElYkX7l4wRkHqqCUFNJY4AfY3kHU/edit?usp=sharing  #gid=0"",""фіз особи new!relations_name_uo""),7,FALSE)
,
)
))"),"ВОЛОДІНА Світлана Вячеславівна")</f>
        <v>ВОЛОДІНА Світлана Вячеславівна</v>
      </c>
      <c r="G5752" s="7" t="s">
        <v>10</v>
      </c>
      <c r="H5752" s="7">
        <v>23462</v>
      </c>
      <c r="I5752" s="8" t="str">
        <f ca="1">IFERROR(__xludf.DUMMYFUNCTION("IF
(
G5753=""фізична особа""
,
VLOOKUP(H5753,IMPORTRANGE(""https://docs.google.com/spreadsheets/d/14Bd19lYaqBhU8_DElYkX7l4wRkHqqCUFNJY4AfY3kHU/edit?usp=sharing  #gid=0"",""фіз особи new!relations_name""),6,FALSE)
,
(IF
(
G5753=""юридична особа""
,
VLOOKUP"&amp;"(H5753,IMPORTRANGE(""https://docs.google.com/spreadsheets/d/14Bd19lYaqBhU8_DElYkX7l4wRkHqqCUFNJY4AfY3kHU/edit?usp=sharing  #gid=0"",""фіз особи new!relations_name_uo""),7,FALSE)
,
)
))"),"БАРАБАНОВА Лідія Петрівна")</f>
        <v>БАРАБАНОВА Лідія Петрівна</v>
      </c>
      <c r="J5752" s="7" t="s">
        <v>79</v>
      </c>
    </row>
    <row r="5753" spans="1:10" ht="13.2">
      <c r="A5753" s="7">
        <v>5752</v>
      </c>
      <c r="B5753" s="7">
        <v>1</v>
      </c>
      <c r="C5753" s="7" t="s">
        <v>10</v>
      </c>
      <c r="D5753" s="7">
        <v>4840</v>
      </c>
      <c r="E5753" s="7" t="s">
        <v>15</v>
      </c>
      <c r="F5753" s="8" t="str">
        <f ca="1">IFERROR(__xludf.DUMMYFUNCTION("IF
(
C5754=""фізична особа""
,
VLOOKUP(D5754,IMPORTRANGE(""https://docs.google.com/spreadsheets/d/14Bd19lYaqBhU8_DElYkX7l4wRkHqqCUFNJY4AfY3kHU/edit?usp=sharing  #gid=0"",""фіз особи new!relations_name""),6,FALSE)
,
(IF
(
C5754=""юридична особа""
,
VLOOKUP"&amp;"(D5754,IMPORTRANGE(""https://docs.google.com/spreadsheets/d/14Bd19lYaqBhU8_DElYkX7l4wRkHqqCUFNJY4AfY3kHU/edit?usp=sharing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3" s="7" t="s">
        <v>10</v>
      </c>
      <c r="H5753" s="7">
        <v>2545</v>
      </c>
      <c r="I5753" s="8" t="str">
        <f ca="1">IFERROR(__xludf.DUMMYFUNCTION("IF
(
G5754=""фізична особа""
,
VLOOKUP(H5754,IMPORTRANGE(""https://docs.google.com/spreadsheets/d/14Bd19lYaqBhU8_DElYkX7l4wRkHqqCUFNJY4AfY3kHU/edit?usp=sharing  #gid=0"",""фіз особи new!relations_name""),6,FALSE)
,
(IF
(
G5754=""юридична особа""
,
VLOOKUP"&amp;"(H5754,IMPORTRANGE(""https://docs.google.com/spreadsheets/d/14Bd19lYaqBhU8_DElYkX7l4wRkHqqCUFNJY4AfY3kHU/edit?usp=sharing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5753" s="7" t="s">
        <v>14</v>
      </c>
    </row>
    <row r="5754" spans="1:10" ht="13.2">
      <c r="A5754" s="7">
        <v>5753</v>
      </c>
      <c r="B5754" s="7">
        <v>1</v>
      </c>
      <c r="C5754" s="7" t="s">
        <v>10</v>
      </c>
      <c r="D5754" s="7">
        <v>4840</v>
      </c>
      <c r="E5754" s="7" t="s">
        <v>21</v>
      </c>
      <c r="F5754" s="8" t="str">
        <f ca="1">IFERROR(__xludf.DUMMYFUNCTION("IF
(
C5755=""фізична особа""
,
VLOOKUP(D5755,IMPORTRANGE(""https://docs.google.com/spreadsheets/d/14Bd19lYaqBhU8_DElYkX7l4wRkHqqCUFNJY4AfY3kHU/edit?usp=sharing  #gid=0"",""фіз особи new!relations_name""),6,FALSE)
,
(IF
(
C5755=""юридична особа""
,
VLOOKUP"&amp;"(D5755,IMPORTRANGE(""https://docs.google.com/spreadsheets/d/14Bd19lYaqBhU8_DElYkX7l4wRkHqqCUFNJY4AfY3kHU/edit?usp=sharing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4" s="7" t="s">
        <v>10</v>
      </c>
      <c r="H5754" s="7">
        <v>23500</v>
      </c>
      <c r="I5754" s="8" t="str">
        <f ca="1">IFERROR(__xludf.DUMMYFUNCTION("IF
(
G5755=""фізична особа""
,
VLOOKUP(H5755,IMPORTRANGE(""https://docs.google.com/spreadsheets/d/14Bd19lYaqBhU8_DElYkX7l4wRkHqqCUFNJY4AfY3kHU/edit?usp=sharing  #gid=0"",""фіз особи new!relations_name""),6,FALSE)
,
(IF
(
G5755=""юридична особа""
,
VLOOKUP"&amp;"(H5755,IMPORTRANGE(""https://docs.google.com/spreadsheets/d/14Bd19lYaqBhU8_DElYkX7l4wRkHqqCUFNJY4AfY3kHU/edit?usp=sharing  #gid=0"",""фіз особи new!relations_name_uo""),7,FALSE)
,
)
))"),"БОГДАСАРОВА Софія")</f>
        <v>БОГДАСАРОВА Софія</v>
      </c>
      <c r="J5754" s="7" t="s">
        <v>13</v>
      </c>
    </row>
    <row r="5755" spans="1:10" ht="13.2">
      <c r="A5755" s="7">
        <v>5754</v>
      </c>
      <c r="B5755" s="7">
        <v>1</v>
      </c>
      <c r="C5755" s="7" t="s">
        <v>10</v>
      </c>
      <c r="D5755" s="7">
        <v>4840</v>
      </c>
      <c r="E5755" s="7" t="s">
        <v>25</v>
      </c>
      <c r="F5755" s="8" t="str">
        <f ca="1">IFERROR(__xludf.DUMMYFUNCTION("IF
(
C5756=""фізична особа""
,
VLOOKUP(D5756,IMPORTRANGE(""https://docs.google.com/spreadsheets/d/14Bd19lYaqBhU8_DElYkX7l4wRkHqqCUFNJY4AfY3kHU/edit?usp=sharing  #gid=0"",""фіз особи new!relations_name""),6,FALSE)
,
(IF
(
C5756=""юридична особа""
,
VLOOKUP"&amp;"(D5756,IMPORTRANGE(""https://docs.google.com/spreadsheets/d/14Bd19lYaqBhU8_DElYkX7l4wRkHqqCUFNJY4AfY3kHU/edit?usp=sharing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5" s="7" t="s">
        <v>10</v>
      </c>
      <c r="H5755" s="7">
        <v>946</v>
      </c>
      <c r="I5755" s="8" t="str">
        <f ca="1">IFERROR(__xludf.DUMMYFUNCTION("IF
(
G5756=""фізична особа""
,
VLOOKUP(H5756,IMPORTRANGE(""https://docs.google.com/spreadsheets/d/14Bd19lYaqBhU8_DElYkX7l4wRkHqqCUFNJY4AfY3kHU/edit?usp=sharing  #gid=0"",""фіз особи new!relations_name""),6,FALSE)
,
(IF
(
G5756=""юридична особа""
,
VLOOKUP"&amp;"(H5756,IMPORTRANGE(""https://docs.google.com/spreadsheets/d/14Bd19lYaqBhU8_DElYkX7l4wRkHqqCUFNJY4AfY3kHU/edit?usp=sharing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5755" s="7" t="s">
        <v>34</v>
      </c>
    </row>
    <row r="5756" spans="1:10" ht="13.2">
      <c r="A5756" s="7">
        <v>5755</v>
      </c>
      <c r="B5756" s="7">
        <v>1</v>
      </c>
      <c r="C5756" s="7" t="s">
        <v>10</v>
      </c>
      <c r="D5756" s="7">
        <v>4840</v>
      </c>
      <c r="E5756" s="7" t="s">
        <v>25</v>
      </c>
      <c r="F5756" s="8" t="str">
        <f ca="1">IFERROR(__xludf.DUMMYFUNCTION("IF
(
C5757=""фізична особа""
,
VLOOKUP(D5757,IMPORTRANGE(""https://docs.google.com/spreadsheets/d/14Bd19lYaqBhU8_DElYkX7l4wRkHqqCUFNJY4AfY3kHU/edit?usp=sharing  #gid=0"",""фіз особи new!relations_name""),6,FALSE)
,
(IF
(
C5757=""юридична особа""
,
VLOOKUP"&amp;"(D5757,IMPORTRANGE(""https://docs.google.com/spreadsheets/d/14Bd19lYaqBhU8_DElYkX7l4wRkHqqCUFNJY4AfY3kHU/edit?usp=sharing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6" s="7" t="s">
        <v>10</v>
      </c>
      <c r="H5756" s="7">
        <v>0</v>
      </c>
      <c r="I5756" s="8" t="str">
        <f ca="1">IFERROR(__xludf.DUMMYFUNCTION("IF
(
G5757=""фізична особа""
,
VLOOKUP(H5757,IMPORTRANGE(""https://docs.google.com/spreadsheets/d/14Bd19lYaqBhU8_DElYkX7l4wRkHqqCUFNJY4AfY3kHU/edit?usp=sharing  #gid=0"",""фіз особи new!relations_name""),6,FALSE)
,
(IF
(
G5757=""юридична особа""
,
VLOOKUP"&amp;"(H5757,IMPORTRANGE(""https://docs.google.com/spreadsheets/d/14Bd19lYaqBhU8_DElYkX7l4wRkHqqCUFNJY4AfY3kHU/edit?usp=sharing  #gid=0"",""фіз особи new!relations_name_uo""),7,FALSE)
,
)
))"),"#N/A")</f>
        <v>#N/A</v>
      </c>
      <c r="J5756" s="7" t="s">
        <v>58</v>
      </c>
    </row>
    <row r="5757" spans="1:10" ht="13.2">
      <c r="A5757" s="7">
        <v>5756</v>
      </c>
      <c r="B5757" s="7">
        <v>1</v>
      </c>
      <c r="C5757" s="7" t="s">
        <v>10</v>
      </c>
      <c r="D5757" s="7">
        <v>4840</v>
      </c>
      <c r="E5757" s="7" t="s">
        <v>21</v>
      </c>
      <c r="F5757" s="8" t="str">
        <f ca="1">IFERROR(__xludf.DUMMYFUNCTION("IF
(
C5758=""фізична особа""
,
VLOOKUP(D5758,IMPORTRANGE(""https://docs.google.com/spreadsheets/d/14Bd19lYaqBhU8_DElYkX7l4wRkHqqCUFNJY4AfY3kHU/edit?usp=sharing  #gid=0"",""фіз особи new!relations_name""),6,FALSE)
,
(IF
(
C5758=""юридична особа""
,
VLOOKUP"&amp;"(D5758,IMPORTRANGE(""https://docs.google.com/spreadsheets/d/14Bd19lYaqBhU8_DElYkX7l4wRkHqqCUFNJY4AfY3kHU/edit?usp=sharing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7" s="7" t="s">
        <v>10</v>
      </c>
      <c r="H5757" s="7">
        <v>23501</v>
      </c>
      <c r="I5757" s="8" t="str">
        <f ca="1">IFERROR(__xludf.DUMMYFUNCTION("IF
(
G5758=""фізична особа""
,
VLOOKUP(H5758,IMPORTRANGE(""https://docs.google.com/spreadsheets/d/14Bd19lYaqBhU8_DElYkX7l4wRkHqqCUFNJY4AfY3kHU/edit?usp=sharing  #gid=0"",""фіз особи new!relations_name""),6,FALSE)
,
(IF
(
G5758=""юридична особа""
,
VLOOKUP"&amp;"(H5758,IMPORTRANGE(""https://docs.google.com/spreadsheets/d/14Bd19lYaqBhU8_DElYkX7l4wRkHqqCUFNJY4AfY3kHU/edit?usp=sharing  #gid=0"",""фіз особи new!relations_name_uo""),7,FALSE)
,
)
))"),"ВОРОБЙОВ Георгій Андрійович")</f>
        <v>ВОРОБЙОВ Георгій Андрійович</v>
      </c>
      <c r="J5757" s="7" t="s">
        <v>17</v>
      </c>
    </row>
    <row r="5758" spans="1:10" ht="13.2">
      <c r="A5758" s="7">
        <v>5757</v>
      </c>
      <c r="B5758" s="7">
        <v>1</v>
      </c>
      <c r="C5758" s="7" t="s">
        <v>10</v>
      </c>
      <c r="D5758" s="7">
        <v>4840</v>
      </c>
      <c r="E5758" s="7" t="s">
        <v>21</v>
      </c>
      <c r="F5758" s="8" t="str">
        <f ca="1">IFERROR(__xludf.DUMMYFUNCTION("IF
(
C5759=""фізична особа""
,
VLOOKUP(D5759,IMPORTRANGE(""https://docs.google.com/spreadsheets/d/14Bd19lYaqBhU8_DElYkX7l4wRkHqqCUFNJY4AfY3kHU/edit?usp=sharing  #gid=0"",""фіз особи new!relations_name""),6,FALSE)
,
(IF
(
C5759=""юридична особа""
,
VLOOKUP"&amp;"(D5759,IMPORTRANGE(""https://docs.google.com/spreadsheets/d/14Bd19lYaqBhU8_DElYkX7l4wRkHqqCUFNJY4AfY3kHU/edit?usp=sharing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G5758" s="7" t="s">
        <v>10</v>
      </c>
      <c r="H5758" s="7">
        <v>23502</v>
      </c>
      <c r="I5758" s="8" t="str">
        <f ca="1">IFERROR(__xludf.DUMMYFUNCTION("IF
(
G5759=""фізична особа""
,
VLOOKUP(H5759,IMPORTRANGE(""https://docs.google.com/spreadsheets/d/14Bd19lYaqBhU8_DElYkX7l4wRkHqqCUFNJY4AfY3kHU/edit?usp=sharing  #gid=0"",""фіз особи new!relations_name""),6,FALSE)
,
(IF
(
G5759=""юридична особа""
,
VLOOKUP"&amp;"(H5759,IMPORTRANGE(""https://docs.google.com/spreadsheets/d/14Bd19lYaqBhU8_DElYkX7l4wRkHqqCUFNJY4AfY3kHU/edit?usp=sharing  #gid=0"",""фіз особи new!relations_name_uo""),7,FALSE)
,
)
))"),"ВОРОБЙОВ Михайло Андрійович")</f>
        <v>ВОРОБЙОВ Михайло Андрійович</v>
      </c>
      <c r="J5758" s="7" t="s">
        <v>17</v>
      </c>
    </row>
    <row r="5759" spans="1:10" ht="13.2">
      <c r="A5759" s="7">
        <v>5758</v>
      </c>
      <c r="B5759" s="7">
        <v>1</v>
      </c>
      <c r="C5759" s="7" t="s">
        <v>10</v>
      </c>
      <c r="D5759" s="7">
        <v>4843</v>
      </c>
      <c r="E5759" s="7" t="s">
        <v>17</v>
      </c>
      <c r="F5759" s="8" t="str">
        <f ca="1">IFERROR(__xludf.DUMMYFUNCTION("IF
(
C5760=""фізична особа""
,
VLOOKUP(D5760,IMPORTRANGE(""https://docs.google.com/spreadsheets/d/14Bd19lYaqBhU8_DElYkX7l4wRkHqqCUFNJY4AfY3kHU/edit?usp=sharing  #gid=0"",""фіз особи new!relations_name""),6,FALSE)
,
(IF
(
C5760=""юридична особа""
,
VLOOKUP"&amp;"(D5760,IMPORTRANGE(""https://docs.google.com/spreadsheets/d/14Bd19lYaqBhU8_DElYkX7l4wRkHqqCUFNJY4AfY3kHU/edit?usp=sharing  #gid=0"",""фіз особи new!relations_name_uo""),7,FALSE)
,
)
))"),"ШХАГОШЕВ Тембулат Адальбієвич")</f>
        <v>ШХАГОШЕВ Тембулат Адальбієвич</v>
      </c>
      <c r="G5759" s="7" t="s">
        <v>10</v>
      </c>
      <c r="H5759" s="7">
        <v>112</v>
      </c>
      <c r="I5759" s="8" t="str">
        <f ca="1">IFERROR(__xludf.DUMMYFUNCTION("IF
(
G5760=""фізична особа""
,
VLOOKUP(H5760,IMPORTRANGE(""https://docs.google.com/spreadsheets/d/14Bd19lYaqBhU8_DElYkX7l4wRkHqqCUFNJY4AfY3kHU/edit?usp=sharing  #gid=0"",""фіз особи new!relations_name""),6,FALSE)
,
(IF
(
G5760=""юридична особа""
,
VLOOKUP"&amp;"(H5760,IMPORTRANGE(""https://docs.google.com/spreadsheets/d/14Bd19lYaqBhU8_DElYkX7l4wRkHqqCUFNJY4AfY3kHU/edit?usp=sharing  #gid=0"",""фіз особи new!relations_name_uo""),7,FALSE)
,
)
))"),"ШХАГОШЕВ Адальбі Люлевич")</f>
        <v>ШХАГОШЕВ Адальбі Люлевич</v>
      </c>
      <c r="J5759" s="7" t="s">
        <v>12</v>
      </c>
    </row>
    <row r="5760" spans="1:10" ht="13.2">
      <c r="A5760" s="7">
        <v>5759</v>
      </c>
      <c r="B5760" s="7">
        <v>1</v>
      </c>
      <c r="C5760" s="7" t="s">
        <v>10</v>
      </c>
      <c r="D5760" s="7">
        <v>4844</v>
      </c>
      <c r="E5760" s="7" t="s">
        <v>15</v>
      </c>
      <c r="F5760" s="8" t="str">
        <f ca="1">IFERROR(__xludf.DUMMYFUNCTION("IF
(
C5761=""фізична особа""
,
VLOOKUP(D5761,IMPORTRANGE(""https://docs.google.com/spreadsheets/d/14Bd19lYaqBhU8_DElYkX7l4wRkHqqCUFNJY4AfY3kHU/edit?usp=sharing  #gid=0"",""фіз особи new!relations_name""),6,FALSE)
,
(IF
(
C5761=""юридична особа""
,
VLOOKUP"&amp;"(D5761,IMPORTRANGE(""https://docs.google.com/spreadsheets/d/14Bd19lYaqBhU8_DElYkX7l4wRkHqqCUFNJY4AfY3kHU/edit?usp=sharing  #gid=0"",""фіз особи new!relations_name_uo""),7,FALSE)
,
)
))"),"ЯКУБОВСЬКА Ольга Валеріївна")</f>
        <v>ЯКУБОВСЬКА Ольга Валеріївна</v>
      </c>
      <c r="G5760" s="7" t="s">
        <v>10</v>
      </c>
      <c r="H5760" s="7">
        <v>779</v>
      </c>
      <c r="I5760" s="8" t="str">
        <f ca="1">IFERROR(__xludf.DUMMYFUNCTION("IF
(
G5761=""фізична особа""
,
VLOOKUP(H5761,IMPORTRANGE(""https://docs.google.com/spreadsheets/d/14Bd19lYaqBhU8_DElYkX7l4wRkHqqCUFNJY4AfY3kHU/edit?usp=sharing  #gid=0"",""фіз особи new!relations_name""),6,FALSE)
,
(IF
(
G5761=""юридична особа""
,
VLOOKUP"&amp;"(H5761,IMPORTRANGE(""https://docs.google.com/spreadsheets/d/14Bd19lYaqBhU8_DElYkX7l4wRkHqqCUFNJY4AfY3kHU/edit?usp=sharing  #gid=0"",""фіз особи new!relations_name_uo""),7,FALSE)
,
)
))"),"ЯКУБОВСЬКИЙ Олександр Володимирович")</f>
        <v>ЯКУБОВСЬКИЙ Олександр Володимирович</v>
      </c>
      <c r="J5760" s="7" t="s">
        <v>14</v>
      </c>
    </row>
    <row r="5761" spans="1:10" ht="13.2">
      <c r="A5761" s="7">
        <v>5760</v>
      </c>
      <c r="B5761" s="7">
        <v>1</v>
      </c>
      <c r="C5761" s="7" t="s">
        <v>10</v>
      </c>
      <c r="D5761" s="7">
        <v>4845</v>
      </c>
      <c r="E5761" s="7" t="s">
        <v>12</v>
      </c>
      <c r="F5761" s="8" t="str">
        <f ca="1">IFERROR(__xludf.DUMMYFUNCTION("IF
(
C5762=""фізична особа""
,
VLOOKUP(D5762,IMPORTRANGE(""https://docs.google.com/spreadsheets/d/14Bd19lYaqBhU8_DElYkX7l4wRkHqqCUFNJY4AfY3kHU/edit?usp=sharing  #gid=0"",""фіз особи new!relations_name""),6,FALSE)
,
(IF
(
C5762=""юридична особа""
,
VLOOKUP"&amp;"(D5762,IMPORTRANGE(""https://docs.google.com/spreadsheets/d/14Bd19lYaqBhU8_DElYkX7l4wRkHqqCUFNJY4AfY3kHU/edit?usp=sharing  #gid=0"",""фіз особи new!relations_name_uo""),7,FALSE)
,
)
))"),"ТУРЧАК Анатолій Олександрович")</f>
        <v>ТУРЧАК Анатолій Олександрович</v>
      </c>
      <c r="G5761" s="7" t="s">
        <v>10</v>
      </c>
      <c r="H5761" s="7">
        <v>64</v>
      </c>
      <c r="I5761" s="8" t="str">
        <f ca="1">IFERROR(__xludf.DUMMYFUNCTION("IF
(
G5762=""фізична особа""
,
VLOOKUP(H5762,IMPORTRANGE(""https://docs.google.com/spreadsheets/d/14Bd19lYaqBhU8_DElYkX7l4wRkHqqCUFNJY4AfY3kHU/edit?usp=sharing  #gid=0"",""фіз особи new!relations_name""),6,FALSE)
,
(IF
(
G5762=""юридична особа""
,
VLOOKUP"&amp;"(H5762,IMPORTRANGE(""https://docs.google.com/spreadsheets/d/14Bd19lYaqBhU8_DElYkX7l4wRkHqqCUFNJY4AfY3kHU/edit?usp=sharing  #gid=0"",""фіз особи new!relations_name_uo""),7,FALSE)
,
)
))"),"ТУРЧАК Андрій Анатолійович")</f>
        <v>ТУРЧАК Андрій Анатолійович</v>
      </c>
      <c r="J5761" s="7" t="s">
        <v>17</v>
      </c>
    </row>
    <row r="5762" spans="1:10" ht="13.2">
      <c r="A5762" s="7">
        <v>5761</v>
      </c>
      <c r="B5762" s="7">
        <v>1</v>
      </c>
      <c r="C5762" s="7" t="s">
        <v>10</v>
      </c>
      <c r="D5762" s="7">
        <v>4847</v>
      </c>
      <c r="E5762" s="7" t="s">
        <v>13</v>
      </c>
      <c r="F5762" s="8" t="str">
        <f ca="1">IFERROR(__xludf.DUMMYFUNCTION("IF
(
C5763=""фізична особа""
,
VLOOKUP(D5763,IMPORTRANGE(""https://docs.google.com/spreadsheets/d/14Bd19lYaqBhU8_DElYkX7l4wRkHqqCUFNJY4AfY3kHU/edit?usp=sharing  #gid=0"",""фіз особи new!relations_name""),6,FALSE)
,
(IF
(
C5763=""юридична особа""
,
VLOOKUP"&amp;"(D5763,IMPORTRANGE(""https://docs.google.com/spreadsheets/d/14Bd19lYaqBhU8_DElYkX7l4wRkHqqCUFNJY4AfY3kHU/edit?usp=sharing  #gid=0"",""фіз особи new!relations_name_uo""),7,FALSE)
,
)
))"),"ЛЄБЄДЄВА Юлія Володимирівна")</f>
        <v>ЛЄБЄДЄВА Юлія Володимирівна</v>
      </c>
      <c r="G5762" s="7" t="s">
        <v>10</v>
      </c>
      <c r="H5762" s="7">
        <v>844</v>
      </c>
      <c r="I5762" s="8" t="str">
        <f ca="1">IFERROR(__xludf.DUMMYFUNCTION("IF
(
G5763=""фізична особа""
,
VLOOKUP(H5763,IMPORTRANGE(""https://docs.google.com/spreadsheets/d/14Bd19lYaqBhU8_DElYkX7l4wRkHqqCUFNJY4AfY3kHU/edit?usp=sharing  #gid=0"",""фіз особи new!relations_name""),6,FALSE)
,
(IF
(
G5763=""юридична особа""
,
VLOOKUP"&amp;"(H5763,IMPORTRANGE(""https://docs.google.com/spreadsheets/d/14Bd19lYaqBhU8_DElYkX7l4wRkHqqCUFNJY4AfY3kHU/edit?usp=sharing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5762" s="7" t="s">
        <v>12</v>
      </c>
    </row>
    <row r="5763" spans="1:10" ht="13.2">
      <c r="A5763" s="7">
        <v>5762</v>
      </c>
      <c r="B5763" s="7">
        <v>1</v>
      </c>
      <c r="C5763" s="7" t="s">
        <v>10</v>
      </c>
      <c r="D5763" s="7">
        <v>4848</v>
      </c>
      <c r="E5763" s="7" t="s">
        <v>17</v>
      </c>
      <c r="F5763" s="8" t="str">
        <f ca="1">IFERROR(__xludf.DUMMYFUNCTION("IF
(
C5764=""фізична особа""
,
VLOOKUP(D5764,IMPORTRANGE(""https://docs.google.com/spreadsheets/d/14Bd19lYaqBhU8_DElYkX7l4wRkHqqCUFNJY4AfY3kHU/edit?usp=sharing  #gid=0"",""фіз особи new!relations_name""),6,FALSE)
,
(IF
(
C5764=""юридична особа""
,
VLOOKUP"&amp;"(D5764,IMPORTRANGE(""https://docs.google.com/spreadsheets/d/14Bd19lYaqBhU8_DElYkX7l4wRkHqqCUFNJY4AfY3kHU/edit?usp=sharing  #gid=0"",""фіз особи new!relations_name_uo""),7,FALSE)
,
)
))"),"ФОМІН Василь Аркадійович")</f>
        <v>ФОМІН Василь Аркадійович</v>
      </c>
      <c r="G5763" s="7" t="s">
        <v>10</v>
      </c>
      <c r="H5763" s="7">
        <v>4697</v>
      </c>
      <c r="I5763" s="8" t="str">
        <f ca="1">IFERROR(__xludf.DUMMYFUNCTION("IF
(
G5764=""фізична особа""
,
VLOOKUP(H5764,IMPORTRANGE(""https://docs.google.com/spreadsheets/d/14Bd19lYaqBhU8_DElYkX7l4wRkHqqCUFNJY4AfY3kHU/edit?usp=sharing  #gid=0"",""фіз особи new!relations_name""),6,FALSE)
,
(IF
(
G5764=""юридична особа""
,
VLOOKUP"&amp;"(H5764,IMPORTRANGE(""https://docs.google.com/spreadsheets/d/14Bd19lYaqBhU8_DElYkX7l4wRkHqqCUFNJY4AfY3kHU/edit?usp=sharing  #gid=0"",""фіз особи new!relations_name_uo""),7,FALSE)
,
)
))"),"ФОМІН Аркадій Васильович")</f>
        <v>ФОМІН Аркадій Васильович</v>
      </c>
      <c r="J5763" s="7" t="s">
        <v>12</v>
      </c>
    </row>
    <row r="5764" spans="1:10" ht="13.2">
      <c r="A5764" s="7">
        <v>5763</v>
      </c>
      <c r="B5764" s="7">
        <v>1</v>
      </c>
      <c r="C5764" s="7" t="s">
        <v>10</v>
      </c>
      <c r="D5764" s="7">
        <v>4849</v>
      </c>
      <c r="E5764" s="7" t="s">
        <v>15</v>
      </c>
      <c r="F5764" s="8" t="str">
        <f ca="1">IFERROR(__xludf.DUMMYFUNCTION("IF
(
C5765=""фізична особа""
,
VLOOKUP(D5765,IMPORTRANGE(""https://docs.google.com/spreadsheets/d/14Bd19lYaqBhU8_DElYkX7l4wRkHqqCUFNJY4AfY3kHU/edit?usp=sharing  #gid=0"",""фіз особи new!relations_name""),6,FALSE)
,
(IF
(
C5765=""юридична особа""
,
VLOOKUP"&amp;"(D5765,IMPORTRANGE(""https://docs.google.com/spreadsheets/d/14Bd19lYaqBhU8_DElYkX7l4wRkHqqCUFNJY4AfY3kHU/edit?usp=sharing  #gid=0"",""фіз особи new!relations_name_uo""),7,FALSE)
,
)
))"),"ФОМІНА Жанна Олександрівна")</f>
        <v>ФОМІНА Жанна Олександрівна</v>
      </c>
      <c r="G5764" s="7" t="s">
        <v>10</v>
      </c>
      <c r="H5764" s="7">
        <v>4697</v>
      </c>
      <c r="I5764" s="8" t="str">
        <f ca="1">IFERROR(__xludf.DUMMYFUNCTION("IF
(
G5765=""фізична особа""
,
VLOOKUP(H5765,IMPORTRANGE(""https://docs.google.com/spreadsheets/d/14Bd19lYaqBhU8_DElYkX7l4wRkHqqCUFNJY4AfY3kHU/edit?usp=sharing  #gid=0"",""фіз особи new!relations_name""),6,FALSE)
,
(IF
(
G5765=""юридична особа""
,
VLOOKUP"&amp;"(H5765,IMPORTRANGE(""https://docs.google.com/spreadsheets/d/14Bd19lYaqBhU8_DElYkX7l4wRkHqqCUFNJY4AfY3kHU/edit?usp=sharing  #gid=0"",""фіз особи new!relations_name_uo""),7,FALSE)
,
)
))"),"ФОМІН Аркадій Васильович")</f>
        <v>ФОМІН Аркадій Васильович</v>
      </c>
      <c r="J5764" s="7" t="s">
        <v>14</v>
      </c>
    </row>
    <row r="5765" spans="1:10" ht="13.2">
      <c r="A5765" s="7">
        <v>5764</v>
      </c>
      <c r="B5765" s="7">
        <v>1</v>
      </c>
      <c r="C5765" s="7" t="s">
        <v>10</v>
      </c>
      <c r="D5765" s="7">
        <v>4850</v>
      </c>
      <c r="E5765" s="7" t="s">
        <v>12</v>
      </c>
      <c r="F5765" s="8" t="str">
        <f ca="1">IFERROR(__xludf.DUMMYFUNCTION("IF
(
C5766=""фізична особа""
,
VLOOKUP(D5766,IMPORTRANGE(""https://docs.google.com/spreadsheets/d/14Bd19lYaqBhU8_DElYkX7l4wRkHqqCUFNJY4AfY3kHU/edit?usp=sharing  #gid=0"",""фіз особи new!relations_name""),6,FALSE)
,
(IF
(
C5766=""юридична особа""
,
VLOOKUP"&amp;"(D5766,IMPORTRANGE(""https://docs.google.com/spreadsheets/d/14Bd19lYaqBhU8_DElYkX7l4wRkHqqCUFNJY4AfY3kHU/edit?usp=sharing  #gid=0"",""фіз особи new!relations_name_uo""),7,FALSE)
,
)
))"),"АРШИНОВ Ігор Андрійович")</f>
        <v>АРШИНОВ Ігор Андрійович</v>
      </c>
      <c r="G5765" s="7" t="s">
        <v>10</v>
      </c>
      <c r="H5765" s="7">
        <v>323</v>
      </c>
      <c r="I5765" s="8" t="str">
        <f ca="1">IFERROR(__xludf.DUMMYFUNCTION("IF
(
G5766=""фізична особа""
,
VLOOKUP(H5766,IMPORTRANGE(""https://docs.google.com/spreadsheets/d/14Bd19lYaqBhU8_DElYkX7l4wRkHqqCUFNJY4AfY3kHU/edit?usp=sharing  #gid=0"",""фіз особи new!relations_name""),6,FALSE)
,
(IF
(
G5766=""юридична особа""
,
VLOOKUP"&amp;"(H5766,IMPORTRANGE(""https://docs.google.com/spreadsheets/d/14Bd19lYaqBhU8_DElYkX7l4wRkHqqCUFNJY4AfY3kHU/edit?usp=sharing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J5765" s="7" t="s">
        <v>13</v>
      </c>
    </row>
    <row r="5766" spans="1:10" ht="13.2">
      <c r="A5766" s="7">
        <v>5765</v>
      </c>
      <c r="B5766" s="7">
        <v>1</v>
      </c>
      <c r="C5766" s="7" t="s">
        <v>10</v>
      </c>
      <c r="D5766" s="7">
        <v>4851</v>
      </c>
      <c r="E5766" s="7" t="s">
        <v>12</v>
      </c>
      <c r="F5766" s="8" t="str">
        <f ca="1">IFERROR(__xludf.DUMMYFUNCTION("IF
(
C5767=""фізична особа""
,
VLOOKUP(D5767,IMPORTRANGE(""https://docs.google.com/spreadsheets/d/14Bd19lYaqBhU8_DElYkX7l4wRkHqqCUFNJY4AfY3kHU/edit?usp=sharing  #gid=0"",""фіз особи new!relations_name""),6,FALSE)
,
(IF
(
C5767=""юридична особа""
,
VLOOKUP"&amp;"(D5767,IMPORTRANGE(""https://docs.google.com/spreadsheets/d/14Bd19lYaqBhU8_DElYkX7l4wRkHqqCUFNJY4AfY3kHU/edit?usp=sharing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66" s="7" t="s">
        <v>10</v>
      </c>
      <c r="H5766" s="7">
        <v>730</v>
      </c>
      <c r="I5766" s="8" t="str">
        <f ca="1">IFERROR(__xludf.DUMMYFUNCTION("IF
(
G5767=""фізична особа""
,
VLOOKUP(H5767,IMPORTRANGE(""https://docs.google.com/spreadsheets/d/14Bd19lYaqBhU8_DElYkX7l4wRkHqqCUFNJY4AfY3kHU/edit?usp=sharing  #gid=0"",""фіз особи new!relations_name""),6,FALSE)
,
(IF
(
G5767=""юридична особа""
,
VLOOKUP"&amp;"(H5767,IMPORTRANGE(""https://docs.google.com/spreadsheets/d/14Bd19lYaqBhU8_DElYkX7l4wRkHqqCUFNJY4AfY3kHU/edit?usp=sharing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766" s="7" t="s">
        <v>17</v>
      </c>
    </row>
    <row r="5767" spans="1:10" ht="13.2">
      <c r="A5767" s="7">
        <v>5766</v>
      </c>
      <c r="B5767" s="7">
        <v>1</v>
      </c>
      <c r="C5767" s="7" t="s">
        <v>10</v>
      </c>
      <c r="D5767" s="7">
        <v>4851</v>
      </c>
      <c r="E5767" s="7" t="s">
        <v>14</v>
      </c>
      <c r="F5767" s="8" t="str">
        <f ca="1">IFERROR(__xludf.DUMMYFUNCTION("IF
(
C5768=""фізична особа""
,
VLOOKUP(D5768,IMPORTRANGE(""https://docs.google.com/spreadsheets/d/14Bd19lYaqBhU8_DElYkX7l4wRkHqqCUFNJY4AfY3kHU/edit?usp=sharing  #gid=0"",""фіз особи new!relations_name""),6,FALSE)
,
(IF
(
C5768=""юридична особа""
,
VLOOKUP"&amp;"(D5768,IMPORTRANGE(""https://docs.google.com/spreadsheets/d/14Bd19lYaqBhU8_DElYkX7l4wRkHqqCUFNJY4AfY3kHU/edit?usp=sharing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67" s="7" t="s">
        <v>10</v>
      </c>
      <c r="H5767" s="7">
        <v>4852</v>
      </c>
      <c r="I5767" s="8" t="str">
        <f ca="1">IFERROR(__xludf.DUMMYFUNCTION("IF
(
G5768=""фізична особа""
,
VLOOKUP(H5768,IMPORTRANGE(""https://docs.google.com/spreadsheets/d/14Bd19lYaqBhU8_DElYkX7l4wRkHqqCUFNJY4AfY3kHU/edit?usp=sharing  #gid=0"",""фіз особи new!relations_name""),6,FALSE)
,
(IF
(
G5768=""юридична особа""
,
VLOOKUP"&amp;"(H5768,IMPORTRANGE(""https://docs.google.com/spreadsheets/d/14Bd19lYaqBhU8_DElYkX7l4wRkHqqCUFNJY4AfY3kHU/edit?usp=sharing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767" s="7" t="s">
        <v>15</v>
      </c>
    </row>
    <row r="5768" spans="1:10" ht="13.2">
      <c r="A5768" s="7">
        <v>5767</v>
      </c>
      <c r="B5768" s="7">
        <v>1</v>
      </c>
      <c r="C5768" s="7" t="s">
        <v>10</v>
      </c>
      <c r="D5768" s="7">
        <v>4851</v>
      </c>
      <c r="E5768" s="7" t="s">
        <v>12</v>
      </c>
      <c r="F5768" s="8" t="str">
        <f ca="1">IFERROR(__xludf.DUMMYFUNCTION("IF
(
C5769=""фізична особа""
,
VLOOKUP(D5769,IMPORTRANGE(""https://docs.google.com/spreadsheets/d/14Bd19lYaqBhU8_DElYkX7l4wRkHqqCUFNJY4AfY3kHU/edit?usp=sharing  #gid=0"",""фіз особи new!relations_name""),6,FALSE)
,
(IF
(
C5769=""юридична особа""
,
VLOOKUP"&amp;"(D5769,IMPORTRANGE(""https://docs.google.com/spreadsheets/d/14Bd19lYaqBhU8_DElYkX7l4wRkHqqCUFNJY4AfY3kHU/edit?usp=sharing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68" s="7" t="s">
        <v>10</v>
      </c>
      <c r="H5768" s="7">
        <v>4853</v>
      </c>
      <c r="I5768" s="8" t="str">
        <f ca="1">IFERROR(__xludf.DUMMYFUNCTION("IF
(
G5769=""фізична особа""
,
VLOOKUP(H5769,IMPORTRANGE(""https://docs.google.com/spreadsheets/d/14Bd19lYaqBhU8_DElYkX7l4wRkHqqCUFNJY4AfY3kHU/edit?usp=sharing  #gid=0"",""фіз особи new!relations_name""),6,FALSE)
,
(IF
(
G5769=""юридична особа""
,
VLOOKUP"&amp;"(H5769,IMPORTRANGE(""https://docs.google.com/spreadsheets/d/14Bd19lYaqBhU8_DElYkX7l4wRkHqqCUFNJY4AfY3kHU/edit?usp=sharing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768" s="7" t="s">
        <v>17</v>
      </c>
    </row>
    <row r="5769" spans="1:10" ht="13.2">
      <c r="A5769" s="7">
        <v>5768</v>
      </c>
      <c r="B5769" s="7">
        <v>1</v>
      </c>
      <c r="C5769" s="7" t="s">
        <v>10</v>
      </c>
      <c r="D5769" s="7">
        <v>4851</v>
      </c>
      <c r="E5769" s="7" t="s">
        <v>12</v>
      </c>
      <c r="F5769" s="8" t="str">
        <f ca="1">IFERROR(__xludf.DUMMYFUNCTION("IF
(
C5770=""фізична особа""
,
VLOOKUP(D5770,IMPORTRANGE(""https://docs.google.com/spreadsheets/d/14Bd19lYaqBhU8_DElYkX7l4wRkHqqCUFNJY4AfY3kHU/edit?usp=sharing  #gid=0"",""фіз особи new!relations_name""),6,FALSE)
,
(IF
(
C5770=""юридична особа""
,
VLOOKUP"&amp;"(D5770,IMPORTRANGE(""https://docs.google.com/spreadsheets/d/14Bd19lYaqBhU8_DElYkX7l4wRkHqqCUFNJY4AfY3kHU/edit?usp=sharing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69" s="7" t="s">
        <v>10</v>
      </c>
      <c r="H5769" s="7">
        <v>4854</v>
      </c>
      <c r="I5769" s="8" t="str">
        <f ca="1">IFERROR(__xludf.DUMMYFUNCTION("IF
(
G5770=""фізична особа""
,
VLOOKUP(H5770,IMPORTRANGE(""https://docs.google.com/spreadsheets/d/14Bd19lYaqBhU8_DElYkX7l4wRkHqqCUFNJY4AfY3kHU/edit?usp=sharing  #gid=0"",""фіз особи new!relations_name""),6,FALSE)
,
(IF
(
G5770=""юридична особа""
,
VLOOKUP"&amp;"(H5770,IMPORTRANGE(""https://docs.google.com/spreadsheets/d/14Bd19lYaqBhU8_DElYkX7l4wRkHqqCUFNJY4AfY3kHU/edit?usp=sharing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769" s="7" t="s">
        <v>17</v>
      </c>
    </row>
    <row r="5770" spans="1:10" ht="13.2">
      <c r="A5770" s="7">
        <v>5769</v>
      </c>
      <c r="B5770" s="7">
        <v>1</v>
      </c>
      <c r="C5770" s="7" t="s">
        <v>10</v>
      </c>
      <c r="D5770" s="7">
        <v>4851</v>
      </c>
      <c r="E5770" s="7" t="s">
        <v>34</v>
      </c>
      <c r="F5770" s="8" t="str">
        <f ca="1">IFERROR(__xludf.DUMMYFUNCTION("IF
(
C5771=""фізична особа""
,
VLOOKUP(D5771,IMPORTRANGE(""https://docs.google.com/spreadsheets/d/14Bd19lYaqBhU8_DElYkX7l4wRkHqqCUFNJY4AfY3kHU/edit?usp=sharing  #gid=0"",""фіз особи new!relations_name""),6,FALSE)
,
(IF
(
C5771=""юридична особа""
,
VLOOKUP"&amp;"(D5771,IMPORTRANGE(""https://docs.google.com/spreadsheets/d/14Bd19lYaqBhU8_DElYkX7l4wRkHqqCUFNJY4AfY3kHU/edit?usp=sharing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70" s="7" t="s">
        <v>10</v>
      </c>
      <c r="H5770" s="7">
        <v>4855</v>
      </c>
      <c r="I5770" s="8" t="str">
        <f ca="1">IFERROR(__xludf.DUMMYFUNCTION("IF
(
G5771=""фізична особа""
,
VLOOKUP(H5771,IMPORTRANGE(""https://docs.google.com/spreadsheets/d/14Bd19lYaqBhU8_DElYkX7l4wRkHqqCUFNJY4AfY3kHU/edit?usp=sharing  #gid=0"",""фіз особи new!relations_name""),6,FALSE)
,
(IF
(
G5771=""юридична особа""
,
VLOOKUP"&amp;"(H5771,IMPORTRANGE(""https://docs.google.com/spreadsheets/d/14Bd19lYaqBhU8_DElYkX7l4wRkHqqCUFNJY4AfY3kHU/edit?usp=sharing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770" s="7" t="s">
        <v>25</v>
      </c>
    </row>
    <row r="5771" spans="1:10" ht="13.2">
      <c r="A5771" s="7">
        <v>5770</v>
      </c>
      <c r="B5771" s="7">
        <v>1</v>
      </c>
      <c r="C5771" s="7" t="s">
        <v>10</v>
      </c>
      <c r="D5771" s="7">
        <v>4851</v>
      </c>
      <c r="E5771" s="7" t="s">
        <v>59</v>
      </c>
      <c r="F5771" s="8" t="str">
        <f ca="1">IFERROR(__xludf.DUMMYFUNCTION("IF
(
C5772=""фізична особа""
,
VLOOKUP(D5772,IMPORTRANGE(""https://docs.google.com/spreadsheets/d/14Bd19lYaqBhU8_DElYkX7l4wRkHqqCUFNJY4AfY3kHU/edit?usp=sharing  #gid=0"",""фіз особи new!relations_name""),6,FALSE)
,
(IF
(
C5772=""юридична особа""
,
VLOOKUP"&amp;"(D5772,IMPORTRANGE(""https://docs.google.com/spreadsheets/d/14Bd19lYaqBhU8_DElYkX7l4wRkHqqCUFNJY4AfY3kHU/edit?usp=sharing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71" s="7" t="s">
        <v>10</v>
      </c>
      <c r="H5771" s="7">
        <v>4856</v>
      </c>
      <c r="I5771" s="8" t="str">
        <f ca="1">IFERROR(__xludf.DUMMYFUNCTION("IF
(
G5772=""фізична особа""
,
VLOOKUP(H5772,IMPORTRANGE(""https://docs.google.com/spreadsheets/d/14Bd19lYaqBhU8_DElYkX7l4wRkHqqCUFNJY4AfY3kHU/edit?usp=sharing  #gid=0"",""фіз особи new!relations_name""),6,FALSE)
,
(IF
(
G5772=""юридична особа""
,
VLOOKUP"&amp;"(H5772,IMPORTRANGE(""https://docs.google.com/spreadsheets/d/14Bd19lYaqBhU8_DElYkX7l4wRkHqqCUFNJY4AfY3kHU/edit?usp=sharing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771" s="7" t="s">
        <v>60</v>
      </c>
    </row>
    <row r="5772" spans="1:10" ht="13.2">
      <c r="A5772" s="7">
        <v>5771</v>
      </c>
      <c r="B5772" s="7">
        <v>1</v>
      </c>
      <c r="C5772" s="7" t="s">
        <v>10</v>
      </c>
      <c r="D5772" s="7">
        <v>4851</v>
      </c>
      <c r="E5772" s="7" t="s">
        <v>59</v>
      </c>
      <c r="F5772" s="8" t="str">
        <f ca="1">IFERROR(__xludf.DUMMYFUNCTION("IF
(
C5773=""фізична особа""
,
VLOOKUP(D5773,IMPORTRANGE(""https://docs.google.com/spreadsheets/d/14Bd19lYaqBhU8_DElYkX7l4wRkHqqCUFNJY4AfY3kHU/edit?usp=sharing  #gid=0"",""фіз особи new!relations_name""),6,FALSE)
,
(IF
(
C5773=""юридична особа""
,
VLOOKUP"&amp;"(D5773,IMPORTRANGE(""https://docs.google.com/spreadsheets/d/14Bd19lYaqBhU8_DElYkX7l4wRkHqqCUFNJY4AfY3kHU/edit?usp=sharing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72" s="7" t="s">
        <v>10</v>
      </c>
      <c r="H5772" s="7">
        <v>4857</v>
      </c>
      <c r="I5772" s="8" t="str">
        <f ca="1">IFERROR(__xludf.DUMMYFUNCTION("IF
(
G5773=""фізична особа""
,
VLOOKUP(H5773,IMPORTRANGE(""https://docs.google.com/spreadsheets/d/14Bd19lYaqBhU8_DElYkX7l4wRkHqqCUFNJY4AfY3kHU/edit?usp=sharing  #gid=0"",""фіз особи new!relations_name""),6,FALSE)
,
(IF
(
G5773=""юридична особа""
,
VLOOKUP"&amp;"(H5773,IMPORTRANGE(""https://docs.google.com/spreadsheets/d/14Bd19lYaqBhU8_DElYkX7l4wRkHqqCUFNJY4AfY3kHU/edit?usp=sharing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772" s="7" t="s">
        <v>60</v>
      </c>
    </row>
    <row r="5773" spans="1:10" ht="13.2">
      <c r="A5773" s="7">
        <v>5772</v>
      </c>
      <c r="B5773" s="7">
        <v>1</v>
      </c>
      <c r="C5773" s="7" t="s">
        <v>10</v>
      </c>
      <c r="D5773" s="7">
        <v>4851</v>
      </c>
      <c r="E5773" s="7" t="s">
        <v>59</v>
      </c>
      <c r="F5773" s="8" t="str">
        <f ca="1">IFERROR(__xludf.DUMMYFUNCTION("IF
(
C5774=""фізична особа""
,
VLOOKUP(D5774,IMPORTRANGE(""https://docs.google.com/spreadsheets/d/14Bd19lYaqBhU8_DElYkX7l4wRkHqqCUFNJY4AfY3kHU/edit?usp=sharing  #gid=0"",""фіз особи new!relations_name""),6,FALSE)
,
(IF
(
C5774=""юридична особа""
,
VLOOKUP"&amp;"(D5774,IMPORTRANGE(""https://docs.google.com/spreadsheets/d/14Bd19lYaqBhU8_DElYkX7l4wRkHqqCUFNJY4AfY3kHU/edit?usp=sharing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G5773" s="7" t="s">
        <v>10</v>
      </c>
      <c r="H5773" s="7">
        <v>4858</v>
      </c>
      <c r="I5773" s="8" t="str">
        <f ca="1">IFERROR(__xludf.DUMMYFUNCTION("IF
(
G5774=""фізична особа""
,
VLOOKUP(H5774,IMPORTRANGE(""https://docs.google.com/spreadsheets/d/14Bd19lYaqBhU8_DElYkX7l4wRkHqqCUFNJY4AfY3kHU/edit?usp=sharing  #gid=0"",""фіз особи new!relations_name""),6,FALSE)
,
(IF
(
G5774=""юридична особа""
,
VLOOKUP"&amp;"(H5774,IMPORTRANGE(""https://docs.google.com/spreadsheets/d/14Bd19lYaqBhU8_DElYkX7l4wRkHqqCUFNJY4AfY3kHU/edit?usp=sharing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773" s="7" t="s">
        <v>61</v>
      </c>
    </row>
    <row r="5774" spans="1:10" ht="13.2">
      <c r="A5774" s="7">
        <v>5773</v>
      </c>
      <c r="B5774" s="7">
        <v>1</v>
      </c>
      <c r="C5774" s="7" t="s">
        <v>10</v>
      </c>
      <c r="D5774" s="7">
        <v>4852</v>
      </c>
      <c r="E5774" s="7" t="s">
        <v>21</v>
      </c>
      <c r="F5774" s="8" t="str">
        <f ca="1">IFERROR(__xludf.DUMMYFUNCTION("IF
(
C5775=""фізична особа""
,
VLOOKUP(D5775,IMPORTRANGE(""https://docs.google.com/spreadsheets/d/14Bd19lYaqBhU8_DElYkX7l4wRkHqqCUFNJY4AfY3kHU/edit?usp=sharing  #gid=0"",""фіз особи new!relations_name""),6,FALSE)
,
(IF
(
C5775=""юридична особа""
,
VLOOKUP"&amp;"(D5775,IMPORTRANGE(""https://docs.google.com/spreadsheets/d/14Bd19lYaqBhU8_DElYkX7l4wRkHqqCUFNJY4AfY3kHU/edit?usp=sharing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4" s="7" t="s">
        <v>10</v>
      </c>
      <c r="H5774" s="7">
        <v>730</v>
      </c>
      <c r="I5774" s="8" t="str">
        <f ca="1">IFERROR(__xludf.DUMMYFUNCTION("IF
(
G5775=""фізична особа""
,
VLOOKUP(H5775,IMPORTRANGE(""https://docs.google.com/spreadsheets/d/14Bd19lYaqBhU8_DElYkX7l4wRkHqqCUFNJY4AfY3kHU/edit?usp=sharing  #gid=0"",""фіз особи new!relations_name""),6,FALSE)
,
(IF
(
G5775=""юридична особа""
,
VLOOKUP"&amp;"(H5775,IMPORTRANGE(""https://docs.google.com/spreadsheets/d/14Bd19lYaqBhU8_DElYkX7l4wRkHqqCUFNJY4AfY3kHU/edit?usp=sharing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774" s="7" t="s">
        <v>17</v>
      </c>
    </row>
    <row r="5775" spans="1:10" ht="13.2">
      <c r="A5775" s="7">
        <v>5774</v>
      </c>
      <c r="B5775" s="7">
        <v>1</v>
      </c>
      <c r="C5775" s="7" t="s">
        <v>10</v>
      </c>
      <c r="D5775" s="7">
        <v>4852</v>
      </c>
      <c r="E5775" s="7" t="s">
        <v>15</v>
      </c>
      <c r="F5775" s="8" t="str">
        <f ca="1">IFERROR(__xludf.DUMMYFUNCTION("IF
(
C5776=""фізична особа""
,
VLOOKUP(D5776,IMPORTRANGE(""https://docs.google.com/spreadsheets/d/14Bd19lYaqBhU8_DElYkX7l4wRkHqqCUFNJY4AfY3kHU/edit?usp=sharing  #gid=0"",""фіз особи new!relations_name""),6,FALSE)
,
(IF
(
C5776=""юридична особа""
,
VLOOKUP"&amp;"(D5776,IMPORTRANGE(""https://docs.google.com/spreadsheets/d/14Bd19lYaqBhU8_DElYkX7l4wRkHqqCUFNJY4AfY3kHU/edit?usp=sharing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5" s="7" t="s">
        <v>10</v>
      </c>
      <c r="H5775" s="7">
        <v>4851</v>
      </c>
      <c r="I5775" s="8" t="str">
        <f ca="1">IFERROR(__xludf.DUMMYFUNCTION("IF
(
G5776=""фізична особа""
,
VLOOKUP(H5776,IMPORTRANGE(""https://docs.google.com/spreadsheets/d/14Bd19lYaqBhU8_DElYkX7l4wRkHqqCUFNJY4AfY3kHU/edit?usp=sharing  #gid=0"",""фіз особи new!relations_name""),6,FALSE)
,
(IF
(
G5776=""юридична особа""
,
VLOOKUP"&amp;"(H5776,IMPORTRANGE(""https://docs.google.com/spreadsheets/d/14Bd19lYaqBhU8_DElYkX7l4wRkHqqCUFNJY4AfY3kHU/edit?usp=sharing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775" s="7" t="s">
        <v>14</v>
      </c>
    </row>
    <row r="5776" spans="1:10" ht="13.2">
      <c r="A5776" s="7">
        <v>5775</v>
      </c>
      <c r="B5776" s="7">
        <v>1</v>
      </c>
      <c r="C5776" s="7" t="s">
        <v>10</v>
      </c>
      <c r="D5776" s="7">
        <v>4852</v>
      </c>
      <c r="E5776" s="7" t="s">
        <v>21</v>
      </c>
      <c r="F5776" s="8" t="str">
        <f ca="1">IFERROR(__xludf.DUMMYFUNCTION("IF
(
C5777=""фізична особа""
,
VLOOKUP(D5777,IMPORTRANGE(""https://docs.google.com/spreadsheets/d/14Bd19lYaqBhU8_DElYkX7l4wRkHqqCUFNJY4AfY3kHU/edit?usp=sharing  #gid=0"",""фіз особи new!relations_name""),6,FALSE)
,
(IF
(
C5777=""юридична особа""
,
VLOOKUP"&amp;"(D5777,IMPORTRANGE(""https://docs.google.com/spreadsheets/d/14Bd19lYaqBhU8_DElYkX7l4wRkHqqCUFNJY4AfY3kHU/edit?usp=sharing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6" s="7" t="s">
        <v>10</v>
      </c>
      <c r="H5776" s="7">
        <v>4853</v>
      </c>
      <c r="I5776" s="8" t="str">
        <f ca="1">IFERROR(__xludf.DUMMYFUNCTION("IF
(
G5777=""фізична особа""
,
VLOOKUP(H5777,IMPORTRANGE(""https://docs.google.com/spreadsheets/d/14Bd19lYaqBhU8_DElYkX7l4wRkHqqCUFNJY4AfY3kHU/edit?usp=sharing  #gid=0"",""фіз особи new!relations_name""),6,FALSE)
,
(IF
(
G5777=""юридична особа""
,
VLOOKUP"&amp;"(H5777,IMPORTRANGE(""https://docs.google.com/spreadsheets/d/14Bd19lYaqBhU8_DElYkX7l4wRkHqqCUFNJY4AfY3kHU/edit?usp=sharing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776" s="7" t="s">
        <v>17</v>
      </c>
    </row>
    <row r="5777" spans="1:10" ht="13.2">
      <c r="A5777" s="7">
        <v>5776</v>
      </c>
      <c r="B5777" s="7">
        <v>1</v>
      </c>
      <c r="C5777" s="7" t="s">
        <v>10</v>
      </c>
      <c r="D5777" s="7">
        <v>4852</v>
      </c>
      <c r="E5777" s="7" t="s">
        <v>21</v>
      </c>
      <c r="F5777" s="8" t="str">
        <f ca="1">IFERROR(__xludf.DUMMYFUNCTION("IF
(
C5778=""фізична особа""
,
VLOOKUP(D5778,IMPORTRANGE(""https://docs.google.com/spreadsheets/d/14Bd19lYaqBhU8_DElYkX7l4wRkHqqCUFNJY4AfY3kHU/edit?usp=sharing  #gid=0"",""фіз особи new!relations_name""),6,FALSE)
,
(IF
(
C5778=""юридична особа""
,
VLOOKUP"&amp;"(D5778,IMPORTRANGE(""https://docs.google.com/spreadsheets/d/14Bd19lYaqBhU8_DElYkX7l4wRkHqqCUFNJY4AfY3kHU/edit?usp=sharing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7" s="7" t="s">
        <v>10</v>
      </c>
      <c r="H5777" s="7">
        <v>4854</v>
      </c>
      <c r="I5777" s="8" t="str">
        <f ca="1">IFERROR(__xludf.DUMMYFUNCTION("IF
(
G5778=""фізична особа""
,
VLOOKUP(H5778,IMPORTRANGE(""https://docs.google.com/spreadsheets/d/14Bd19lYaqBhU8_DElYkX7l4wRkHqqCUFNJY4AfY3kHU/edit?usp=sharing  #gid=0"",""фіз особи new!relations_name""),6,FALSE)
,
(IF
(
G5778=""юридична особа""
,
VLOOKUP"&amp;"(H5778,IMPORTRANGE(""https://docs.google.com/spreadsheets/d/14Bd19lYaqBhU8_DElYkX7l4wRkHqqCUFNJY4AfY3kHU/edit?usp=sharing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777" s="7" t="s">
        <v>17</v>
      </c>
    </row>
    <row r="5778" spans="1:10" ht="13.2">
      <c r="A5778" s="7">
        <v>5777</v>
      </c>
      <c r="B5778" s="7">
        <v>1</v>
      </c>
      <c r="C5778" s="7" t="s">
        <v>10</v>
      </c>
      <c r="D5778" s="7">
        <v>4852</v>
      </c>
      <c r="E5778" s="7" t="s">
        <v>58</v>
      </c>
      <c r="F5778" s="8" t="str">
        <f ca="1">IFERROR(__xludf.DUMMYFUNCTION("IF
(
C5779=""фізична особа""
,
VLOOKUP(D5779,IMPORTRANGE(""https://docs.google.com/spreadsheets/d/14Bd19lYaqBhU8_DElYkX7l4wRkHqqCUFNJY4AfY3kHU/edit?usp=sharing  #gid=0"",""фіз особи new!relations_name""),6,FALSE)
,
(IF
(
C5779=""юридична особа""
,
VLOOKUP"&amp;"(D5779,IMPORTRANGE(""https://docs.google.com/spreadsheets/d/14Bd19lYaqBhU8_DElYkX7l4wRkHqqCUFNJY4AfY3kHU/edit?usp=sharing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8" s="7" t="s">
        <v>10</v>
      </c>
      <c r="H5778" s="7">
        <v>4855</v>
      </c>
      <c r="I5778" s="8" t="str">
        <f ca="1">IFERROR(__xludf.DUMMYFUNCTION("IF
(
G5779=""фізична особа""
,
VLOOKUP(H5779,IMPORTRANGE(""https://docs.google.com/spreadsheets/d/14Bd19lYaqBhU8_DElYkX7l4wRkHqqCUFNJY4AfY3kHU/edit?usp=sharing  #gid=0"",""фіз особи new!relations_name""),6,FALSE)
,
(IF
(
G5779=""юридична особа""
,
VLOOKUP"&amp;"(H5779,IMPORTRANGE(""https://docs.google.com/spreadsheets/d/14Bd19lYaqBhU8_DElYkX7l4wRkHqqCUFNJY4AfY3kHU/edit?usp=sharing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778" s="7" t="s">
        <v>25</v>
      </c>
    </row>
    <row r="5779" spans="1:10" ht="13.2">
      <c r="A5779" s="7">
        <v>5778</v>
      </c>
      <c r="B5779" s="7">
        <v>1</v>
      </c>
      <c r="C5779" s="7" t="s">
        <v>10</v>
      </c>
      <c r="D5779" s="7">
        <v>4852</v>
      </c>
      <c r="E5779" s="7" t="s">
        <v>79</v>
      </c>
      <c r="F5779" s="8" t="str">
        <f ca="1">IFERROR(__xludf.DUMMYFUNCTION("IF
(
C5780=""фізична особа""
,
VLOOKUP(D5780,IMPORTRANGE(""https://docs.google.com/spreadsheets/d/14Bd19lYaqBhU8_DElYkX7l4wRkHqqCUFNJY4AfY3kHU/edit?usp=sharing  #gid=0"",""фіз особи new!relations_name""),6,FALSE)
,
(IF
(
C5780=""юридична особа""
,
VLOOKUP"&amp;"(D5780,IMPORTRANGE(""https://docs.google.com/spreadsheets/d/14Bd19lYaqBhU8_DElYkX7l4wRkHqqCUFNJY4AfY3kHU/edit?usp=sharing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79" s="7" t="s">
        <v>10</v>
      </c>
      <c r="H5779" s="7">
        <v>4856</v>
      </c>
      <c r="I5779" s="8" t="str">
        <f ca="1">IFERROR(__xludf.DUMMYFUNCTION("IF
(
G5780=""фізична особа""
,
VLOOKUP(H5780,IMPORTRANGE(""https://docs.google.com/spreadsheets/d/14Bd19lYaqBhU8_DElYkX7l4wRkHqqCUFNJY4AfY3kHU/edit?usp=sharing  #gid=0"",""фіз особи new!relations_name""),6,FALSE)
,
(IF
(
G5780=""юридична особа""
,
VLOOKUP"&amp;"(H5780,IMPORTRANGE(""https://docs.google.com/spreadsheets/d/14Bd19lYaqBhU8_DElYkX7l4wRkHqqCUFNJY4AfY3kHU/edit?usp=sharing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779" s="7" t="s">
        <v>60</v>
      </c>
    </row>
    <row r="5780" spans="1:10" ht="13.2">
      <c r="A5780" s="7">
        <v>5779</v>
      </c>
      <c r="B5780" s="7">
        <v>1</v>
      </c>
      <c r="C5780" s="7" t="s">
        <v>10</v>
      </c>
      <c r="D5780" s="7">
        <v>4852</v>
      </c>
      <c r="E5780" s="7" t="s">
        <v>79</v>
      </c>
      <c r="F5780" s="8" t="str">
        <f ca="1">IFERROR(__xludf.DUMMYFUNCTION("IF
(
C5781=""фізична особа""
,
VLOOKUP(D5781,IMPORTRANGE(""https://docs.google.com/spreadsheets/d/14Bd19lYaqBhU8_DElYkX7l4wRkHqqCUFNJY4AfY3kHU/edit?usp=sharing  #gid=0"",""фіз особи new!relations_name""),6,FALSE)
,
(IF
(
C5781=""юридична особа""
,
VLOOKUP"&amp;"(D5781,IMPORTRANGE(""https://docs.google.com/spreadsheets/d/14Bd19lYaqBhU8_DElYkX7l4wRkHqqCUFNJY4AfY3kHU/edit?usp=sharing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80" s="7" t="s">
        <v>10</v>
      </c>
      <c r="H5780" s="7">
        <v>4857</v>
      </c>
      <c r="I5780" s="8" t="str">
        <f ca="1">IFERROR(__xludf.DUMMYFUNCTION("IF
(
G5781=""фізична особа""
,
VLOOKUP(H5781,IMPORTRANGE(""https://docs.google.com/spreadsheets/d/14Bd19lYaqBhU8_DElYkX7l4wRkHqqCUFNJY4AfY3kHU/edit?usp=sharing  #gid=0"",""фіз особи new!relations_name""),6,FALSE)
,
(IF
(
G5781=""юридична особа""
,
VLOOKUP"&amp;"(H5781,IMPORTRANGE(""https://docs.google.com/spreadsheets/d/14Bd19lYaqBhU8_DElYkX7l4wRkHqqCUFNJY4AfY3kHU/edit?usp=sharing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780" s="7" t="s">
        <v>60</v>
      </c>
    </row>
    <row r="5781" spans="1:10" ht="13.2">
      <c r="A5781" s="7">
        <v>5780</v>
      </c>
      <c r="B5781" s="7">
        <v>1</v>
      </c>
      <c r="C5781" s="7" t="s">
        <v>10</v>
      </c>
      <c r="D5781" s="7">
        <v>4852</v>
      </c>
      <c r="E5781" s="7" t="s">
        <v>79</v>
      </c>
      <c r="F5781" s="8" t="str">
        <f ca="1">IFERROR(__xludf.DUMMYFUNCTION("IF
(
C5782=""фізична особа""
,
VLOOKUP(D5782,IMPORTRANGE(""https://docs.google.com/spreadsheets/d/14Bd19lYaqBhU8_DElYkX7l4wRkHqqCUFNJY4AfY3kHU/edit?usp=sharing  #gid=0"",""фіз особи new!relations_name""),6,FALSE)
,
(IF
(
C5782=""юридична особа""
,
VLOOKUP"&amp;"(D5782,IMPORTRANGE(""https://docs.google.com/spreadsheets/d/14Bd19lYaqBhU8_DElYkX7l4wRkHqqCUFNJY4AfY3kHU/edit?usp=sharing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G5781" s="7" t="s">
        <v>10</v>
      </c>
      <c r="H5781" s="7">
        <v>4858</v>
      </c>
      <c r="I5781" s="8" t="str">
        <f ca="1">IFERROR(__xludf.DUMMYFUNCTION("IF
(
G5782=""фізична особа""
,
VLOOKUP(H5782,IMPORTRANGE(""https://docs.google.com/spreadsheets/d/14Bd19lYaqBhU8_DElYkX7l4wRkHqqCUFNJY4AfY3kHU/edit?usp=sharing  #gid=0"",""фіз особи new!relations_name""),6,FALSE)
,
(IF
(
G5782=""юридична особа""
,
VLOOKUP"&amp;"(H5782,IMPORTRANGE(""https://docs.google.com/spreadsheets/d/14Bd19lYaqBhU8_DElYkX7l4wRkHqqCUFNJY4AfY3kHU/edit?usp=sharing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781" s="7" t="s">
        <v>61</v>
      </c>
    </row>
    <row r="5782" spans="1:10" ht="13.2">
      <c r="A5782" s="7">
        <v>5781</v>
      </c>
      <c r="B5782" s="7">
        <v>1</v>
      </c>
      <c r="C5782" s="7" t="s">
        <v>10</v>
      </c>
      <c r="D5782" s="7">
        <v>4853</v>
      </c>
      <c r="E5782" s="7" t="s">
        <v>18</v>
      </c>
      <c r="F5782" s="8" t="str">
        <f ca="1">IFERROR(__xludf.DUMMYFUNCTION("IF
(
C5783=""фізична особа""
,
VLOOKUP(D5783,IMPORTRANGE(""https://docs.google.com/spreadsheets/d/14Bd19lYaqBhU8_DElYkX7l4wRkHqqCUFNJY4AfY3kHU/edit?usp=sharing  #gid=0"",""фіз особи new!relations_name""),6,FALSE)
,
(IF
(
C5783=""юридична особа""
,
VLOOKUP"&amp;"(D5783,IMPORTRANGE(""https://docs.google.com/spreadsheets/d/14Bd19lYaqBhU8_DElYkX7l4wRkHqqCUFNJY4AfY3kHU/edit?usp=sharing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2" s="7" t="s">
        <v>10</v>
      </c>
      <c r="H5782" s="7">
        <v>730</v>
      </c>
      <c r="I5782" s="8" t="str">
        <f ca="1">IFERROR(__xludf.DUMMYFUNCTION("IF
(
G5783=""фізична особа""
,
VLOOKUP(H5783,IMPORTRANGE(""https://docs.google.com/spreadsheets/d/14Bd19lYaqBhU8_DElYkX7l4wRkHqqCUFNJY4AfY3kHU/edit?usp=sharing  #gid=0"",""фіз особи new!relations_name""),6,FALSE)
,
(IF
(
G5783=""юридична особа""
,
VLOOKUP"&amp;"(H5783,IMPORTRANGE(""https://docs.google.com/spreadsheets/d/14Bd19lYaqBhU8_DElYkX7l4wRkHqqCUFNJY4AfY3kHU/edit?usp=sharing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782" s="7" t="s">
        <v>18</v>
      </c>
    </row>
    <row r="5783" spans="1:10" ht="13.2">
      <c r="A5783" s="7">
        <v>5782</v>
      </c>
      <c r="B5783" s="7">
        <v>1</v>
      </c>
      <c r="C5783" s="7" t="s">
        <v>10</v>
      </c>
      <c r="D5783" s="7">
        <v>4853</v>
      </c>
      <c r="E5783" s="7" t="s">
        <v>17</v>
      </c>
      <c r="F5783" s="8" t="str">
        <f ca="1">IFERROR(__xludf.DUMMYFUNCTION("IF
(
C5784=""фізична особа""
,
VLOOKUP(D5784,IMPORTRANGE(""https://docs.google.com/spreadsheets/d/14Bd19lYaqBhU8_DElYkX7l4wRkHqqCUFNJY4AfY3kHU/edit?usp=sharing  #gid=0"",""фіз особи new!relations_name""),6,FALSE)
,
(IF
(
C5784=""юридична особа""
,
VLOOKUP"&amp;"(D5784,IMPORTRANGE(""https://docs.google.com/spreadsheets/d/14Bd19lYaqBhU8_DElYkX7l4wRkHqqCUFNJY4AfY3kHU/edit?usp=sharing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3" s="7" t="s">
        <v>10</v>
      </c>
      <c r="H5783" s="7">
        <v>4851</v>
      </c>
      <c r="I5783" s="8" t="str">
        <f ca="1">IFERROR(__xludf.DUMMYFUNCTION("IF
(
G5784=""фізична особа""
,
VLOOKUP(H5784,IMPORTRANGE(""https://docs.google.com/spreadsheets/d/14Bd19lYaqBhU8_DElYkX7l4wRkHqqCUFNJY4AfY3kHU/edit?usp=sharing  #gid=0"",""фіз особи new!relations_name""),6,FALSE)
,
(IF
(
G5784=""юридична особа""
,
VLOOKUP"&amp;"(H5784,IMPORTRANGE(""https://docs.google.com/spreadsheets/d/14Bd19lYaqBhU8_DElYkX7l4wRkHqqCUFNJY4AfY3kHU/edit?usp=sharing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783" s="7" t="s">
        <v>12</v>
      </c>
    </row>
    <row r="5784" spans="1:10" ht="13.2">
      <c r="A5784" s="7">
        <v>5783</v>
      </c>
      <c r="B5784" s="7">
        <v>1</v>
      </c>
      <c r="C5784" s="7" t="s">
        <v>10</v>
      </c>
      <c r="D5784" s="7">
        <v>4853</v>
      </c>
      <c r="E5784" s="7" t="s">
        <v>17</v>
      </c>
      <c r="F5784" s="8" t="str">
        <f ca="1">IFERROR(__xludf.DUMMYFUNCTION("IF
(
C5785=""фізична особа""
,
VLOOKUP(D5785,IMPORTRANGE(""https://docs.google.com/spreadsheets/d/14Bd19lYaqBhU8_DElYkX7l4wRkHqqCUFNJY4AfY3kHU/edit?usp=sharing  #gid=0"",""фіз особи new!relations_name""),6,FALSE)
,
(IF
(
C5785=""юридична особа""
,
VLOOKUP"&amp;"(D5785,IMPORTRANGE(""https://docs.google.com/spreadsheets/d/14Bd19lYaqBhU8_DElYkX7l4wRkHqqCUFNJY4AfY3kHU/edit?usp=sharing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4" s="7" t="s">
        <v>10</v>
      </c>
      <c r="H5784" s="7">
        <v>4852</v>
      </c>
      <c r="I5784" s="8" t="str">
        <f ca="1">IFERROR(__xludf.DUMMYFUNCTION("IF
(
G5785=""фізична особа""
,
VLOOKUP(H5785,IMPORTRANGE(""https://docs.google.com/spreadsheets/d/14Bd19lYaqBhU8_DElYkX7l4wRkHqqCUFNJY4AfY3kHU/edit?usp=sharing  #gid=0"",""фіз особи new!relations_name""),6,FALSE)
,
(IF
(
G5785=""юридична особа""
,
VLOOKUP"&amp;"(H5785,IMPORTRANGE(""https://docs.google.com/spreadsheets/d/14Bd19lYaqBhU8_DElYkX7l4wRkHqqCUFNJY4AfY3kHU/edit?usp=sharing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784" s="7" t="s">
        <v>21</v>
      </c>
    </row>
    <row r="5785" spans="1:10" ht="13.2">
      <c r="A5785" s="7">
        <v>5784</v>
      </c>
      <c r="B5785" s="7">
        <v>1</v>
      </c>
      <c r="C5785" s="7" t="s">
        <v>10</v>
      </c>
      <c r="D5785" s="7">
        <v>4853</v>
      </c>
      <c r="E5785" s="7" t="s">
        <v>18</v>
      </c>
      <c r="F5785" s="8" t="str">
        <f ca="1">IFERROR(__xludf.DUMMYFUNCTION("IF
(
C5786=""фізична особа""
,
VLOOKUP(D5786,IMPORTRANGE(""https://docs.google.com/spreadsheets/d/14Bd19lYaqBhU8_DElYkX7l4wRkHqqCUFNJY4AfY3kHU/edit?usp=sharing  #gid=0"",""фіз особи new!relations_name""),6,FALSE)
,
(IF
(
C5786=""юридична особа""
,
VLOOKUP"&amp;"(D5786,IMPORTRANGE(""https://docs.google.com/spreadsheets/d/14Bd19lYaqBhU8_DElYkX7l4wRkHqqCUFNJY4AfY3kHU/edit?usp=sharing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5" s="7" t="s">
        <v>10</v>
      </c>
      <c r="H5785" s="7">
        <v>4854</v>
      </c>
      <c r="I5785" s="8" t="str">
        <f ca="1">IFERROR(__xludf.DUMMYFUNCTION("IF
(
G5786=""фізична особа""
,
VLOOKUP(H5786,IMPORTRANGE(""https://docs.google.com/spreadsheets/d/14Bd19lYaqBhU8_DElYkX7l4wRkHqqCUFNJY4AfY3kHU/edit?usp=sharing  #gid=0"",""фіз особи new!relations_name""),6,FALSE)
,
(IF
(
G5786=""юридична особа""
,
VLOOKUP"&amp;"(H5786,IMPORTRANGE(""https://docs.google.com/spreadsheets/d/14Bd19lYaqBhU8_DElYkX7l4wRkHqqCUFNJY4AfY3kHU/edit?usp=sharing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785" s="7" t="s">
        <v>18</v>
      </c>
    </row>
    <row r="5786" spans="1:10" ht="13.2">
      <c r="A5786" s="7">
        <v>5785</v>
      </c>
      <c r="B5786" s="7">
        <v>1</v>
      </c>
      <c r="C5786" s="7" t="s">
        <v>10</v>
      </c>
      <c r="D5786" s="7">
        <v>4853</v>
      </c>
      <c r="E5786" s="7" t="s">
        <v>73</v>
      </c>
      <c r="F5786" s="8" t="str">
        <f ca="1">IFERROR(__xludf.DUMMYFUNCTION("IF
(
C5787=""фізична особа""
,
VLOOKUP(D5787,IMPORTRANGE(""https://docs.google.com/spreadsheets/d/14Bd19lYaqBhU8_DElYkX7l4wRkHqqCUFNJY4AfY3kHU/edit?usp=sharing  #gid=0"",""фіз особи new!relations_name""),6,FALSE)
,
(IF
(
C5787=""юридична особа""
,
VLOOKUP"&amp;"(D5787,IMPORTRANGE(""https://docs.google.com/spreadsheets/d/14Bd19lYaqBhU8_DElYkX7l4wRkHqqCUFNJY4AfY3kHU/edit?usp=sharing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6" s="7" t="s">
        <v>10</v>
      </c>
      <c r="H5786" s="7">
        <v>4855</v>
      </c>
      <c r="I5786" s="8" t="str">
        <f ca="1">IFERROR(__xludf.DUMMYFUNCTION("IF
(
G5787=""фізична особа""
,
VLOOKUP(H5787,IMPORTRANGE(""https://docs.google.com/spreadsheets/d/14Bd19lYaqBhU8_DElYkX7l4wRkHqqCUFNJY4AfY3kHU/edit?usp=sharing  #gid=0"",""фіз особи new!relations_name""),6,FALSE)
,
(IF
(
G5787=""юридична особа""
,
VLOOKUP"&amp;"(H5787,IMPORTRANGE(""https://docs.google.com/spreadsheets/d/14Bd19lYaqBhU8_DElYkX7l4wRkHqqCUFNJY4AfY3kHU/edit?usp=sharing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786" s="7" t="s">
        <v>25</v>
      </c>
    </row>
    <row r="5787" spans="1:10" ht="13.2">
      <c r="A5787" s="7">
        <v>5786</v>
      </c>
      <c r="B5787" s="7">
        <v>1</v>
      </c>
      <c r="C5787" s="7" t="s">
        <v>10</v>
      </c>
      <c r="D5787" s="7">
        <v>4853</v>
      </c>
      <c r="E5787" s="7" t="s">
        <v>19</v>
      </c>
      <c r="F5787" s="8" t="str">
        <f ca="1">IFERROR(__xludf.DUMMYFUNCTION("IF
(
C5788=""фізична особа""
,
VLOOKUP(D5788,IMPORTRANGE(""https://docs.google.com/spreadsheets/d/14Bd19lYaqBhU8_DElYkX7l4wRkHqqCUFNJY4AfY3kHU/edit?usp=sharing  #gid=0"",""фіз особи new!relations_name""),6,FALSE)
,
(IF
(
C5788=""юридична особа""
,
VLOOKUP"&amp;"(D5788,IMPORTRANGE(""https://docs.google.com/spreadsheets/d/14Bd19lYaqBhU8_DElYkX7l4wRkHqqCUFNJY4AfY3kHU/edit?usp=sharing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7" s="7" t="s">
        <v>10</v>
      </c>
      <c r="H5787" s="7">
        <v>4856</v>
      </c>
      <c r="I5787" s="8" t="str">
        <f ca="1">IFERROR(__xludf.DUMMYFUNCTION("IF
(
G5788=""фізична особа""
,
VLOOKUP(H5788,IMPORTRANGE(""https://docs.google.com/spreadsheets/d/14Bd19lYaqBhU8_DElYkX7l4wRkHqqCUFNJY4AfY3kHU/edit?usp=sharing  #gid=0"",""фіз особи new!relations_name""),6,FALSE)
,
(IF
(
G5788=""юридична особа""
,
VLOOKUP"&amp;"(H5788,IMPORTRANGE(""https://docs.google.com/spreadsheets/d/14Bd19lYaqBhU8_DElYkX7l4wRkHqqCUFNJY4AfY3kHU/edit?usp=sharing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787" s="7" t="s">
        <v>22</v>
      </c>
    </row>
    <row r="5788" spans="1:10" ht="13.2">
      <c r="A5788" s="7">
        <v>5787</v>
      </c>
      <c r="B5788" s="7">
        <v>1</v>
      </c>
      <c r="C5788" s="7" t="s">
        <v>10</v>
      </c>
      <c r="D5788" s="7">
        <v>4853</v>
      </c>
      <c r="E5788" s="7" t="s">
        <v>19</v>
      </c>
      <c r="F5788" s="8" t="str">
        <f ca="1">IFERROR(__xludf.DUMMYFUNCTION("IF
(
C5789=""фізична особа""
,
VLOOKUP(D5789,IMPORTRANGE(""https://docs.google.com/spreadsheets/d/14Bd19lYaqBhU8_DElYkX7l4wRkHqqCUFNJY4AfY3kHU/edit?usp=sharing  #gid=0"",""фіз особи new!relations_name""),6,FALSE)
,
(IF
(
C5789=""юридична особа""
,
VLOOKUP"&amp;"(D5789,IMPORTRANGE(""https://docs.google.com/spreadsheets/d/14Bd19lYaqBhU8_DElYkX7l4wRkHqqCUFNJY4AfY3kHU/edit?usp=sharing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8" s="7" t="s">
        <v>10</v>
      </c>
      <c r="H5788" s="7">
        <v>4857</v>
      </c>
      <c r="I5788" s="8" t="str">
        <f ca="1">IFERROR(__xludf.DUMMYFUNCTION("IF
(
G5789=""фізична особа""
,
VLOOKUP(H5789,IMPORTRANGE(""https://docs.google.com/spreadsheets/d/14Bd19lYaqBhU8_DElYkX7l4wRkHqqCUFNJY4AfY3kHU/edit?usp=sharing  #gid=0"",""фіз особи new!relations_name""),6,FALSE)
,
(IF
(
G5789=""юридична особа""
,
VLOOKUP"&amp;"(H5789,IMPORTRANGE(""https://docs.google.com/spreadsheets/d/14Bd19lYaqBhU8_DElYkX7l4wRkHqqCUFNJY4AfY3kHU/edit?usp=sharing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788" s="7" t="s">
        <v>22</v>
      </c>
    </row>
    <row r="5789" spans="1:10" ht="13.2">
      <c r="A5789" s="7">
        <v>5788</v>
      </c>
      <c r="B5789" s="7">
        <v>1</v>
      </c>
      <c r="C5789" s="7" t="s">
        <v>10</v>
      </c>
      <c r="D5789" s="7">
        <v>4853</v>
      </c>
      <c r="E5789" s="7" t="s">
        <v>19</v>
      </c>
      <c r="F5789" s="8" t="str">
        <f ca="1">IFERROR(__xludf.DUMMYFUNCTION("IF
(
C5790=""фізична особа""
,
VLOOKUP(D5790,IMPORTRANGE(""https://docs.google.com/spreadsheets/d/14Bd19lYaqBhU8_DElYkX7l4wRkHqqCUFNJY4AfY3kHU/edit?usp=sharing  #gid=0"",""фіз особи new!relations_name""),6,FALSE)
,
(IF
(
C5790=""юридична особа""
,
VLOOKUP"&amp;"(D5790,IMPORTRANGE(""https://docs.google.com/spreadsheets/d/14Bd19lYaqBhU8_DElYkX7l4wRkHqqCUFNJY4AfY3kHU/edit?usp=sharing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G5789" s="7" t="s">
        <v>10</v>
      </c>
      <c r="H5789" s="7">
        <v>4858</v>
      </c>
      <c r="I5789" s="8" t="str">
        <f ca="1">IFERROR(__xludf.DUMMYFUNCTION("IF
(
G5790=""фізична особа""
,
VLOOKUP(H5790,IMPORTRANGE(""https://docs.google.com/spreadsheets/d/14Bd19lYaqBhU8_DElYkX7l4wRkHqqCUFNJY4AfY3kHU/edit?usp=sharing  #gid=0"",""фіз особи new!relations_name""),6,FALSE)
,
(IF
(
G5790=""юридична особа""
,
VLOOKUP"&amp;"(H5790,IMPORTRANGE(""https://docs.google.com/spreadsheets/d/14Bd19lYaqBhU8_DElYkX7l4wRkHqqCUFNJY4AfY3kHU/edit?usp=sharing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789" s="7" t="s">
        <v>20</v>
      </c>
    </row>
    <row r="5790" spans="1:10" ht="13.2">
      <c r="A5790" s="7">
        <v>5789</v>
      </c>
      <c r="B5790" s="7">
        <v>1</v>
      </c>
      <c r="C5790" s="7" t="s">
        <v>10</v>
      </c>
      <c r="D5790" s="7">
        <v>4854</v>
      </c>
      <c r="E5790" s="7" t="s">
        <v>18</v>
      </c>
      <c r="F5790" s="8" t="str">
        <f ca="1">IFERROR(__xludf.DUMMYFUNCTION("IF
(
C5791=""фізична особа""
,
VLOOKUP(D5791,IMPORTRANGE(""https://docs.google.com/spreadsheets/d/14Bd19lYaqBhU8_DElYkX7l4wRkHqqCUFNJY4AfY3kHU/edit?usp=sharing  #gid=0"",""фіз особи new!relations_name""),6,FALSE)
,
(IF
(
C5791=""юридична особа""
,
VLOOKUP"&amp;"(D5791,IMPORTRANGE(""https://docs.google.com/spreadsheets/d/14Bd19lYaqBhU8_DElYkX7l4wRkHqqCUFNJY4AfY3kHU/edit?usp=sharing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0" s="7" t="s">
        <v>10</v>
      </c>
      <c r="H5790" s="7">
        <v>730</v>
      </c>
      <c r="I5790" s="8" t="str">
        <f ca="1">IFERROR(__xludf.DUMMYFUNCTION("IF
(
G5791=""фізична особа""
,
VLOOKUP(H5791,IMPORTRANGE(""https://docs.google.com/spreadsheets/d/14Bd19lYaqBhU8_DElYkX7l4wRkHqqCUFNJY4AfY3kHU/edit?usp=sharing  #gid=0"",""фіз особи new!relations_name""),6,FALSE)
,
(IF
(
G5791=""юридична особа""
,
VLOOKUP"&amp;"(H5791,IMPORTRANGE(""https://docs.google.com/spreadsheets/d/14Bd19lYaqBhU8_DElYkX7l4wRkHqqCUFNJY4AfY3kHU/edit?usp=sharing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790" s="7" t="s">
        <v>18</v>
      </c>
    </row>
    <row r="5791" spans="1:10" ht="13.2">
      <c r="A5791" s="7">
        <v>5790</v>
      </c>
      <c r="B5791" s="7">
        <v>1</v>
      </c>
      <c r="C5791" s="7" t="s">
        <v>10</v>
      </c>
      <c r="D5791" s="7">
        <v>4854</v>
      </c>
      <c r="E5791" s="7" t="s">
        <v>17</v>
      </c>
      <c r="F5791" s="8" t="str">
        <f ca="1">IFERROR(__xludf.DUMMYFUNCTION("IF
(
C5792=""фізична особа""
,
VLOOKUP(D5792,IMPORTRANGE(""https://docs.google.com/spreadsheets/d/14Bd19lYaqBhU8_DElYkX7l4wRkHqqCUFNJY4AfY3kHU/edit?usp=sharing  #gid=0"",""фіз особи new!relations_name""),6,FALSE)
,
(IF
(
C5792=""юридична особа""
,
VLOOKUP"&amp;"(D5792,IMPORTRANGE(""https://docs.google.com/spreadsheets/d/14Bd19lYaqBhU8_DElYkX7l4wRkHqqCUFNJY4AfY3kHU/edit?usp=sharing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1" s="7" t="s">
        <v>10</v>
      </c>
      <c r="H5791" s="7">
        <v>4851</v>
      </c>
      <c r="I5791" s="8" t="str">
        <f ca="1">IFERROR(__xludf.DUMMYFUNCTION("IF
(
G5792=""фізична особа""
,
VLOOKUP(H5792,IMPORTRANGE(""https://docs.google.com/spreadsheets/d/14Bd19lYaqBhU8_DElYkX7l4wRkHqqCUFNJY4AfY3kHU/edit?usp=sharing  #gid=0"",""фіз особи new!relations_name""),6,FALSE)
,
(IF
(
G5792=""юридична особа""
,
VLOOKUP"&amp;"(H5792,IMPORTRANGE(""https://docs.google.com/spreadsheets/d/14Bd19lYaqBhU8_DElYkX7l4wRkHqqCUFNJY4AfY3kHU/edit?usp=sharing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791" s="7" t="s">
        <v>12</v>
      </c>
    </row>
    <row r="5792" spans="1:10" ht="13.2">
      <c r="A5792" s="7">
        <v>5791</v>
      </c>
      <c r="B5792" s="7">
        <v>1</v>
      </c>
      <c r="C5792" s="7" t="s">
        <v>10</v>
      </c>
      <c r="D5792" s="7">
        <v>4854</v>
      </c>
      <c r="E5792" s="7" t="s">
        <v>17</v>
      </c>
      <c r="F5792" s="8" t="str">
        <f ca="1">IFERROR(__xludf.DUMMYFUNCTION("IF
(
C5793=""фізична особа""
,
VLOOKUP(D5793,IMPORTRANGE(""https://docs.google.com/spreadsheets/d/14Bd19lYaqBhU8_DElYkX7l4wRkHqqCUFNJY4AfY3kHU/edit?usp=sharing  #gid=0"",""фіз особи new!relations_name""),6,FALSE)
,
(IF
(
C5793=""юридична особа""
,
VLOOKUP"&amp;"(D5793,IMPORTRANGE(""https://docs.google.com/spreadsheets/d/14Bd19lYaqBhU8_DElYkX7l4wRkHqqCUFNJY4AfY3kHU/edit?usp=sharing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2" s="7" t="s">
        <v>10</v>
      </c>
      <c r="H5792" s="7">
        <v>4852</v>
      </c>
      <c r="I5792" s="8" t="str">
        <f ca="1">IFERROR(__xludf.DUMMYFUNCTION("IF
(
G5793=""фізична особа""
,
VLOOKUP(H5793,IMPORTRANGE(""https://docs.google.com/spreadsheets/d/14Bd19lYaqBhU8_DElYkX7l4wRkHqqCUFNJY4AfY3kHU/edit?usp=sharing  #gid=0"",""фіз особи new!relations_name""),6,FALSE)
,
(IF
(
G5793=""юридична особа""
,
VLOOKUP"&amp;"(H5793,IMPORTRANGE(""https://docs.google.com/spreadsheets/d/14Bd19lYaqBhU8_DElYkX7l4wRkHqqCUFNJY4AfY3kHU/edit?usp=sharing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792" s="7" t="s">
        <v>21</v>
      </c>
    </row>
    <row r="5793" spans="1:10" ht="13.2">
      <c r="A5793" s="7">
        <v>5792</v>
      </c>
      <c r="B5793" s="7">
        <v>1</v>
      </c>
      <c r="C5793" s="7" t="s">
        <v>10</v>
      </c>
      <c r="D5793" s="7">
        <v>4854</v>
      </c>
      <c r="E5793" s="7" t="s">
        <v>18</v>
      </c>
      <c r="F5793" s="8" t="str">
        <f ca="1">IFERROR(__xludf.DUMMYFUNCTION("IF
(
C5794=""фізична особа""
,
VLOOKUP(D5794,IMPORTRANGE(""https://docs.google.com/spreadsheets/d/14Bd19lYaqBhU8_DElYkX7l4wRkHqqCUFNJY4AfY3kHU/edit?usp=sharing  #gid=0"",""фіз особи new!relations_name""),6,FALSE)
,
(IF
(
C5794=""юридична особа""
,
VLOOKUP"&amp;"(D5794,IMPORTRANGE(""https://docs.google.com/spreadsheets/d/14Bd19lYaqBhU8_DElYkX7l4wRkHqqCUFNJY4AfY3kHU/edit?usp=sharing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3" s="7" t="s">
        <v>10</v>
      </c>
      <c r="H5793" s="7">
        <v>4853</v>
      </c>
      <c r="I5793" s="8" t="str">
        <f ca="1">IFERROR(__xludf.DUMMYFUNCTION("IF
(
G5794=""фізична особа""
,
VLOOKUP(H5794,IMPORTRANGE(""https://docs.google.com/spreadsheets/d/14Bd19lYaqBhU8_DElYkX7l4wRkHqqCUFNJY4AfY3kHU/edit?usp=sharing  #gid=0"",""фіз особи new!relations_name""),6,FALSE)
,
(IF
(
G5794=""юридична особа""
,
VLOOKUP"&amp;"(H5794,IMPORTRANGE(""https://docs.google.com/spreadsheets/d/14Bd19lYaqBhU8_DElYkX7l4wRkHqqCUFNJY4AfY3kHU/edit?usp=sharing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793" s="7" t="s">
        <v>18</v>
      </c>
    </row>
    <row r="5794" spans="1:10" ht="13.2">
      <c r="A5794" s="7">
        <v>5793</v>
      </c>
      <c r="B5794" s="7">
        <v>1</v>
      </c>
      <c r="C5794" s="7" t="s">
        <v>10</v>
      </c>
      <c r="D5794" s="7">
        <v>4854</v>
      </c>
      <c r="E5794" s="7" t="s">
        <v>73</v>
      </c>
      <c r="F5794" s="8" t="str">
        <f ca="1">IFERROR(__xludf.DUMMYFUNCTION("IF
(
C5795=""фізична особа""
,
VLOOKUP(D5795,IMPORTRANGE(""https://docs.google.com/spreadsheets/d/14Bd19lYaqBhU8_DElYkX7l4wRkHqqCUFNJY4AfY3kHU/edit?usp=sharing  #gid=0"",""фіз особи new!relations_name""),6,FALSE)
,
(IF
(
C5795=""юридична особа""
,
VLOOKUP"&amp;"(D5795,IMPORTRANGE(""https://docs.google.com/spreadsheets/d/14Bd19lYaqBhU8_DElYkX7l4wRkHqqCUFNJY4AfY3kHU/edit?usp=sharing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4" s="7" t="s">
        <v>10</v>
      </c>
      <c r="H5794" s="7">
        <v>4855</v>
      </c>
      <c r="I5794" s="8" t="str">
        <f ca="1">IFERROR(__xludf.DUMMYFUNCTION("IF
(
G5795=""фізична особа""
,
VLOOKUP(H5795,IMPORTRANGE(""https://docs.google.com/spreadsheets/d/14Bd19lYaqBhU8_DElYkX7l4wRkHqqCUFNJY4AfY3kHU/edit?usp=sharing  #gid=0"",""фіз особи new!relations_name""),6,FALSE)
,
(IF
(
G5795=""юридична особа""
,
VLOOKUP"&amp;"(H5795,IMPORTRANGE(""https://docs.google.com/spreadsheets/d/14Bd19lYaqBhU8_DElYkX7l4wRkHqqCUFNJY4AfY3kHU/edit?usp=sharing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794" s="7" t="s">
        <v>25</v>
      </c>
    </row>
    <row r="5795" spans="1:10" ht="13.2">
      <c r="A5795" s="7">
        <v>5794</v>
      </c>
      <c r="B5795" s="7">
        <v>1</v>
      </c>
      <c r="C5795" s="7" t="s">
        <v>10</v>
      </c>
      <c r="D5795" s="7">
        <v>4854</v>
      </c>
      <c r="E5795" s="7" t="s">
        <v>19</v>
      </c>
      <c r="F5795" s="8" t="str">
        <f ca="1">IFERROR(__xludf.DUMMYFUNCTION("IF
(
C5796=""фізична особа""
,
VLOOKUP(D5796,IMPORTRANGE(""https://docs.google.com/spreadsheets/d/14Bd19lYaqBhU8_DElYkX7l4wRkHqqCUFNJY4AfY3kHU/edit?usp=sharing  #gid=0"",""фіз особи new!relations_name""),6,FALSE)
,
(IF
(
C5796=""юридична особа""
,
VLOOKUP"&amp;"(D5796,IMPORTRANGE(""https://docs.google.com/spreadsheets/d/14Bd19lYaqBhU8_DElYkX7l4wRkHqqCUFNJY4AfY3kHU/edit?usp=sharing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5" s="7" t="s">
        <v>10</v>
      </c>
      <c r="H5795" s="7">
        <v>4854</v>
      </c>
      <c r="I5795" s="8" t="str">
        <f ca="1">IFERROR(__xludf.DUMMYFUNCTION("IF
(
G5796=""фізична особа""
,
VLOOKUP(H5796,IMPORTRANGE(""https://docs.google.com/spreadsheets/d/14Bd19lYaqBhU8_DElYkX7l4wRkHqqCUFNJY4AfY3kHU/edit?usp=sharing  #gid=0"",""фіз особи new!relations_name""),6,FALSE)
,
(IF
(
G5796=""юридична особа""
,
VLOOKUP"&amp;"(H5796,IMPORTRANGE(""https://docs.google.com/spreadsheets/d/14Bd19lYaqBhU8_DElYkX7l4wRkHqqCUFNJY4AfY3kHU/edit?usp=sharing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795" s="7" t="s">
        <v>22</v>
      </c>
    </row>
    <row r="5796" spans="1:10" ht="13.2">
      <c r="A5796" s="7">
        <v>5795</v>
      </c>
      <c r="B5796" s="7">
        <v>1</v>
      </c>
      <c r="C5796" s="7" t="s">
        <v>10</v>
      </c>
      <c r="D5796" s="7">
        <v>4854</v>
      </c>
      <c r="E5796" s="7" t="s">
        <v>19</v>
      </c>
      <c r="F5796" s="8" t="str">
        <f ca="1">IFERROR(__xludf.DUMMYFUNCTION("IF
(
C5797=""фізична особа""
,
VLOOKUP(D5797,IMPORTRANGE(""https://docs.google.com/spreadsheets/d/14Bd19lYaqBhU8_DElYkX7l4wRkHqqCUFNJY4AfY3kHU/edit?usp=sharing  #gid=0"",""фіз особи new!relations_name""),6,FALSE)
,
(IF
(
C5797=""юридична особа""
,
VLOOKUP"&amp;"(D5797,IMPORTRANGE(""https://docs.google.com/spreadsheets/d/14Bd19lYaqBhU8_DElYkX7l4wRkHqqCUFNJY4AfY3kHU/edit?usp=sharing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6" s="7" t="s">
        <v>10</v>
      </c>
      <c r="H5796" s="7">
        <v>4857</v>
      </c>
      <c r="I5796" s="8" t="str">
        <f ca="1">IFERROR(__xludf.DUMMYFUNCTION("IF
(
G5797=""фізична особа""
,
VLOOKUP(H5797,IMPORTRANGE(""https://docs.google.com/spreadsheets/d/14Bd19lYaqBhU8_DElYkX7l4wRkHqqCUFNJY4AfY3kHU/edit?usp=sharing  #gid=0"",""фіз особи new!relations_name""),6,FALSE)
,
(IF
(
G5797=""юридична особа""
,
VLOOKUP"&amp;"(H5797,IMPORTRANGE(""https://docs.google.com/spreadsheets/d/14Bd19lYaqBhU8_DElYkX7l4wRkHqqCUFNJY4AfY3kHU/edit?usp=sharing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796" s="7" t="s">
        <v>22</v>
      </c>
    </row>
    <row r="5797" spans="1:10" ht="13.2">
      <c r="A5797" s="7">
        <v>5796</v>
      </c>
      <c r="B5797" s="7">
        <v>1</v>
      </c>
      <c r="C5797" s="7" t="s">
        <v>10</v>
      </c>
      <c r="D5797" s="7">
        <v>4854</v>
      </c>
      <c r="E5797" s="7" t="s">
        <v>19</v>
      </c>
      <c r="F5797" s="8" t="str">
        <f ca="1">IFERROR(__xludf.DUMMYFUNCTION("IF
(
C5798=""фізична особа""
,
VLOOKUP(D5798,IMPORTRANGE(""https://docs.google.com/spreadsheets/d/14Bd19lYaqBhU8_DElYkX7l4wRkHqqCUFNJY4AfY3kHU/edit?usp=sharing  #gid=0"",""фіз особи new!relations_name""),6,FALSE)
,
(IF
(
C5798=""юридична особа""
,
VLOOKUP"&amp;"(D5798,IMPORTRANGE(""https://docs.google.com/spreadsheets/d/14Bd19lYaqBhU8_DElYkX7l4wRkHqqCUFNJY4AfY3kHU/edit?usp=sharing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G5797" s="7" t="s">
        <v>10</v>
      </c>
      <c r="H5797" s="7">
        <v>4858</v>
      </c>
      <c r="I5797" s="8" t="str">
        <f ca="1">IFERROR(__xludf.DUMMYFUNCTION("IF
(
G5798=""фізична особа""
,
VLOOKUP(H5798,IMPORTRANGE(""https://docs.google.com/spreadsheets/d/14Bd19lYaqBhU8_DElYkX7l4wRkHqqCUFNJY4AfY3kHU/edit?usp=sharing  #gid=0"",""фіз особи new!relations_name""),6,FALSE)
,
(IF
(
G5798=""юридична особа""
,
VLOOKUP"&amp;"(H5798,IMPORTRANGE(""https://docs.google.com/spreadsheets/d/14Bd19lYaqBhU8_DElYkX7l4wRkHqqCUFNJY4AfY3kHU/edit?usp=sharing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797" s="7" t="s">
        <v>20</v>
      </c>
    </row>
    <row r="5798" spans="1:10" ht="13.2">
      <c r="A5798" s="7">
        <v>5797</v>
      </c>
      <c r="B5798" s="7">
        <v>1</v>
      </c>
      <c r="C5798" s="7" t="s">
        <v>10</v>
      </c>
      <c r="D5798" s="7">
        <v>4855</v>
      </c>
      <c r="E5798" s="7" t="s">
        <v>15</v>
      </c>
      <c r="F5798" s="8" t="str">
        <f ca="1">IFERROR(__xludf.DUMMYFUNCTION("IF
(
C5799=""фізична особа""
,
VLOOKUP(D5799,IMPORTRANGE(""https://docs.google.com/spreadsheets/d/14Bd19lYaqBhU8_DElYkX7l4wRkHqqCUFNJY4AfY3kHU/edit?usp=sharing  #gid=0"",""фіз особи new!relations_name""),6,FALSE)
,
(IF
(
C5799=""юридична особа""
,
VLOOKUP"&amp;"(D5799,IMPORTRANGE(""https://docs.google.com/spreadsheets/d/14Bd19lYaqBhU8_DElYkX7l4wRkHqqCUFNJY4AfY3kHU/edit?usp=sharing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798" s="7" t="s">
        <v>10</v>
      </c>
      <c r="H5798" s="7">
        <v>730</v>
      </c>
      <c r="I5798" s="8" t="str">
        <f ca="1">IFERROR(__xludf.DUMMYFUNCTION("IF
(
G5799=""фізична особа""
,
VLOOKUP(H5799,IMPORTRANGE(""https://docs.google.com/spreadsheets/d/14Bd19lYaqBhU8_DElYkX7l4wRkHqqCUFNJY4AfY3kHU/edit?usp=sharing  #gid=0"",""фіз особи new!relations_name""),6,FALSE)
,
(IF
(
G5799=""юридична особа""
,
VLOOKUP"&amp;"(H5799,IMPORTRANGE(""https://docs.google.com/spreadsheets/d/14Bd19lYaqBhU8_DElYkX7l4wRkHqqCUFNJY4AfY3kHU/edit?usp=sharing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798" s="7" t="s">
        <v>14</v>
      </c>
    </row>
    <row r="5799" spans="1:10" ht="13.2">
      <c r="A5799" s="7">
        <v>5798</v>
      </c>
      <c r="B5799" s="7">
        <v>1</v>
      </c>
      <c r="C5799" s="7" t="s">
        <v>10</v>
      </c>
      <c r="D5799" s="7">
        <v>4855</v>
      </c>
      <c r="E5799" s="7" t="s">
        <v>25</v>
      </c>
      <c r="F5799" s="8" t="str">
        <f ca="1">IFERROR(__xludf.DUMMYFUNCTION("IF
(
C5800=""фізична особа""
,
VLOOKUP(D5800,IMPORTRANGE(""https://docs.google.com/spreadsheets/d/14Bd19lYaqBhU8_DElYkX7l4wRkHqqCUFNJY4AfY3kHU/edit?usp=sharing  #gid=0"",""фіз особи new!relations_name""),6,FALSE)
,
(IF
(
C5800=""юридична особа""
,
VLOOKUP"&amp;"(D5800,IMPORTRANGE(""https://docs.google.com/spreadsheets/d/14Bd19lYaqBhU8_DElYkX7l4wRkHqqCUFNJY4AfY3kHU/edit?usp=sharing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799" s="7" t="s">
        <v>10</v>
      </c>
      <c r="H5799" s="7">
        <v>4851</v>
      </c>
      <c r="I5799" s="8" t="str">
        <f ca="1">IFERROR(__xludf.DUMMYFUNCTION("IF
(
G5800=""фізична особа""
,
VLOOKUP(H5800,IMPORTRANGE(""https://docs.google.com/spreadsheets/d/14Bd19lYaqBhU8_DElYkX7l4wRkHqqCUFNJY4AfY3kHU/edit?usp=sharing  #gid=0"",""фіз особи new!relations_name""),6,FALSE)
,
(IF
(
G5800=""юридична особа""
,
VLOOKUP"&amp;"(H5800,IMPORTRANGE(""https://docs.google.com/spreadsheets/d/14Bd19lYaqBhU8_DElYkX7l4wRkHqqCUFNJY4AfY3kHU/edit?usp=sharing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799" s="7" t="s">
        <v>34</v>
      </c>
    </row>
    <row r="5800" spans="1:10" ht="13.2">
      <c r="A5800" s="7">
        <v>5799</v>
      </c>
      <c r="B5800" s="7">
        <v>1</v>
      </c>
      <c r="C5800" s="7" t="s">
        <v>10</v>
      </c>
      <c r="D5800" s="7">
        <v>4855</v>
      </c>
      <c r="E5800" s="7" t="s">
        <v>25</v>
      </c>
      <c r="F5800" s="8" t="str">
        <f ca="1">IFERROR(__xludf.DUMMYFUNCTION("IF
(
C5801=""фізична особа""
,
VLOOKUP(D5801,IMPORTRANGE(""https://docs.google.com/spreadsheets/d/14Bd19lYaqBhU8_DElYkX7l4wRkHqqCUFNJY4AfY3kHU/edit?usp=sharing  #gid=0"",""фіз особи new!relations_name""),6,FALSE)
,
(IF
(
C5801=""юридична особа""
,
VLOOKUP"&amp;"(D5801,IMPORTRANGE(""https://docs.google.com/spreadsheets/d/14Bd19lYaqBhU8_DElYkX7l4wRkHqqCUFNJY4AfY3kHU/edit?usp=sharing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0" s="7" t="s">
        <v>10</v>
      </c>
      <c r="H5800" s="7">
        <v>4852</v>
      </c>
      <c r="I5800" s="8" t="str">
        <f ca="1">IFERROR(__xludf.DUMMYFUNCTION("IF
(
G5801=""фізична особа""
,
VLOOKUP(H5801,IMPORTRANGE(""https://docs.google.com/spreadsheets/d/14Bd19lYaqBhU8_DElYkX7l4wRkHqqCUFNJY4AfY3kHU/edit?usp=sharing  #gid=0"",""фіз особи new!relations_name""),6,FALSE)
,
(IF
(
G5801=""юридична особа""
,
VLOOKUP"&amp;"(H5801,IMPORTRANGE(""https://docs.google.com/spreadsheets/d/14Bd19lYaqBhU8_DElYkX7l4wRkHqqCUFNJY4AfY3kHU/edit?usp=sharing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800" s="7" t="s">
        <v>58</v>
      </c>
    </row>
    <row r="5801" spans="1:10" ht="13.2">
      <c r="A5801" s="7">
        <v>5800</v>
      </c>
      <c r="B5801" s="7">
        <v>1</v>
      </c>
      <c r="C5801" s="7" t="s">
        <v>10</v>
      </c>
      <c r="D5801" s="7">
        <v>4855</v>
      </c>
      <c r="E5801" s="7" t="s">
        <v>25</v>
      </c>
      <c r="F5801" s="8" t="str">
        <f ca="1">IFERROR(__xludf.DUMMYFUNCTION("IF
(
C5802=""фізична особа""
,
VLOOKUP(D5802,IMPORTRANGE(""https://docs.google.com/spreadsheets/d/14Bd19lYaqBhU8_DElYkX7l4wRkHqqCUFNJY4AfY3kHU/edit?usp=sharing  #gid=0"",""фіз особи new!relations_name""),6,FALSE)
,
(IF
(
C5802=""юридична особа""
,
VLOOKUP"&amp;"(D5802,IMPORTRANGE(""https://docs.google.com/spreadsheets/d/14Bd19lYaqBhU8_DElYkX7l4wRkHqqCUFNJY4AfY3kHU/edit?usp=sharing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1" s="7" t="s">
        <v>10</v>
      </c>
      <c r="H5801" s="7">
        <v>4853</v>
      </c>
      <c r="I5801" s="8" t="str">
        <f ca="1">IFERROR(__xludf.DUMMYFUNCTION("IF
(
G5802=""фізична особа""
,
VLOOKUP(H5802,IMPORTRANGE(""https://docs.google.com/spreadsheets/d/14Bd19lYaqBhU8_DElYkX7l4wRkHqqCUFNJY4AfY3kHU/edit?usp=sharing  #gid=0"",""фіз особи new!relations_name""),6,FALSE)
,
(IF
(
G5802=""юридична особа""
,
VLOOKUP"&amp;"(H5802,IMPORTRANGE(""https://docs.google.com/spreadsheets/d/14Bd19lYaqBhU8_DElYkX7l4wRkHqqCUFNJY4AfY3kHU/edit?usp=sharing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801" s="7" t="s">
        <v>73</v>
      </c>
    </row>
    <row r="5802" spans="1:10" ht="13.2">
      <c r="A5802" s="7">
        <v>5801</v>
      </c>
      <c r="B5802" s="7">
        <v>1</v>
      </c>
      <c r="C5802" s="7" t="s">
        <v>10</v>
      </c>
      <c r="D5802" s="7">
        <v>4855</v>
      </c>
      <c r="E5802" s="7" t="s">
        <v>25</v>
      </c>
      <c r="F5802" s="8" t="str">
        <f ca="1">IFERROR(__xludf.DUMMYFUNCTION("IF
(
C5803=""фізична особа""
,
VLOOKUP(D5803,IMPORTRANGE(""https://docs.google.com/spreadsheets/d/14Bd19lYaqBhU8_DElYkX7l4wRkHqqCUFNJY4AfY3kHU/edit?usp=sharing  #gid=0"",""фіз особи new!relations_name""),6,FALSE)
,
(IF
(
C5803=""юридична особа""
,
VLOOKUP"&amp;"(D5803,IMPORTRANGE(""https://docs.google.com/spreadsheets/d/14Bd19lYaqBhU8_DElYkX7l4wRkHqqCUFNJY4AfY3kHU/edit?usp=sharing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2" s="7" t="s">
        <v>10</v>
      </c>
      <c r="H5802" s="7">
        <v>4854</v>
      </c>
      <c r="I5802" s="8" t="str">
        <f ca="1">IFERROR(__xludf.DUMMYFUNCTION("IF
(
G5803=""фізична особа""
,
VLOOKUP(H5803,IMPORTRANGE(""https://docs.google.com/spreadsheets/d/14Bd19lYaqBhU8_DElYkX7l4wRkHqqCUFNJY4AfY3kHU/edit?usp=sharing  #gid=0"",""фіз особи new!relations_name""),6,FALSE)
,
(IF
(
G5803=""юридична особа""
,
VLOOKUP"&amp;"(H5803,IMPORTRANGE(""https://docs.google.com/spreadsheets/d/14Bd19lYaqBhU8_DElYkX7l4wRkHqqCUFNJY4AfY3kHU/edit?usp=sharing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802" s="7" t="s">
        <v>73</v>
      </c>
    </row>
    <row r="5803" spans="1:10" ht="13.2">
      <c r="A5803" s="7">
        <v>5802</v>
      </c>
      <c r="B5803" s="7">
        <v>1</v>
      </c>
      <c r="C5803" s="7" t="s">
        <v>10</v>
      </c>
      <c r="D5803" s="7">
        <v>4855</v>
      </c>
      <c r="E5803" s="7" t="s">
        <v>21</v>
      </c>
      <c r="F5803" s="8" t="str">
        <f ca="1">IFERROR(__xludf.DUMMYFUNCTION("IF
(
C5804=""фізична особа""
,
VLOOKUP(D5804,IMPORTRANGE(""https://docs.google.com/spreadsheets/d/14Bd19lYaqBhU8_DElYkX7l4wRkHqqCUFNJY4AfY3kHU/edit?usp=sharing  #gid=0"",""фіз особи new!relations_name""),6,FALSE)
,
(IF
(
C5804=""юридична особа""
,
VLOOKUP"&amp;"(D5804,IMPORTRANGE(""https://docs.google.com/spreadsheets/d/14Bd19lYaqBhU8_DElYkX7l4wRkHqqCUFNJY4AfY3kHU/edit?usp=sharing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3" s="7" t="s">
        <v>10</v>
      </c>
      <c r="H5803" s="7">
        <v>4856</v>
      </c>
      <c r="I5803" s="8" t="str">
        <f ca="1">IFERROR(__xludf.DUMMYFUNCTION("IF
(
G5804=""фізична особа""
,
VLOOKUP(H5804,IMPORTRANGE(""https://docs.google.com/spreadsheets/d/14Bd19lYaqBhU8_DElYkX7l4wRkHqqCUFNJY4AfY3kHU/edit?usp=sharing  #gid=0"",""фіз особи new!relations_name""),6,FALSE)
,
(IF
(
G5804=""юридична особа""
,
VLOOKUP"&amp;"(H5804,IMPORTRANGE(""https://docs.google.com/spreadsheets/d/14Bd19lYaqBhU8_DElYkX7l4wRkHqqCUFNJY4AfY3kHU/edit?usp=sharing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803" s="7" t="s">
        <v>13</v>
      </c>
    </row>
    <row r="5804" spans="1:10" ht="13.2">
      <c r="A5804" s="7">
        <v>5803</v>
      </c>
      <c r="B5804" s="7">
        <v>1</v>
      </c>
      <c r="C5804" s="7" t="s">
        <v>10</v>
      </c>
      <c r="D5804" s="7">
        <v>4855</v>
      </c>
      <c r="E5804" s="7" t="s">
        <v>21</v>
      </c>
      <c r="F5804" s="8" t="str">
        <f ca="1">IFERROR(__xludf.DUMMYFUNCTION("IF
(
C5805=""фізична особа""
,
VLOOKUP(D5805,IMPORTRANGE(""https://docs.google.com/spreadsheets/d/14Bd19lYaqBhU8_DElYkX7l4wRkHqqCUFNJY4AfY3kHU/edit?usp=sharing  #gid=0"",""фіз особи new!relations_name""),6,FALSE)
,
(IF
(
C5805=""юридична особа""
,
VLOOKUP"&amp;"(D5805,IMPORTRANGE(""https://docs.google.com/spreadsheets/d/14Bd19lYaqBhU8_DElYkX7l4wRkHqqCUFNJY4AfY3kHU/edit?usp=sharing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4" s="7" t="s">
        <v>10</v>
      </c>
      <c r="H5804" s="7">
        <v>4857</v>
      </c>
      <c r="I5804" s="8" t="str">
        <f ca="1">IFERROR(__xludf.DUMMYFUNCTION("IF
(
G5805=""фізична особа""
,
VLOOKUP(H5805,IMPORTRANGE(""https://docs.google.com/spreadsheets/d/14Bd19lYaqBhU8_DElYkX7l4wRkHqqCUFNJY4AfY3kHU/edit?usp=sharing  #gid=0"",""фіз особи new!relations_name""),6,FALSE)
,
(IF
(
G5805=""юридична особа""
,
VLOOKUP"&amp;"(H5805,IMPORTRANGE(""https://docs.google.com/spreadsheets/d/14Bd19lYaqBhU8_DElYkX7l4wRkHqqCUFNJY4AfY3kHU/edit?usp=sharing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804" s="7" t="s">
        <v>13</v>
      </c>
    </row>
    <row r="5805" spans="1:10" ht="13.2">
      <c r="A5805" s="7">
        <v>5804</v>
      </c>
      <c r="B5805" s="7">
        <v>1</v>
      </c>
      <c r="C5805" s="7" t="s">
        <v>10</v>
      </c>
      <c r="D5805" s="7">
        <v>4855</v>
      </c>
      <c r="E5805" s="7" t="s">
        <v>21</v>
      </c>
      <c r="F5805" s="8" t="str">
        <f ca="1">IFERROR(__xludf.DUMMYFUNCTION("IF
(
C5806=""фізична особа""
,
VLOOKUP(D5806,IMPORTRANGE(""https://docs.google.com/spreadsheets/d/14Bd19lYaqBhU8_DElYkX7l4wRkHqqCUFNJY4AfY3kHU/edit?usp=sharing  #gid=0"",""фіз особи new!relations_name""),6,FALSE)
,
(IF
(
C5806=""юридична особа""
,
VLOOKUP"&amp;"(D5806,IMPORTRANGE(""https://docs.google.com/spreadsheets/d/14Bd19lYaqBhU8_DElYkX7l4wRkHqqCUFNJY4AfY3kHU/edit?usp=sharing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G5805" s="7" t="s">
        <v>10</v>
      </c>
      <c r="H5805" s="7">
        <v>4858</v>
      </c>
      <c r="I5805" s="8" t="str">
        <f ca="1">IFERROR(__xludf.DUMMYFUNCTION("IF
(
G5806=""фізична особа""
,
VLOOKUP(H5806,IMPORTRANGE(""https://docs.google.com/spreadsheets/d/14Bd19lYaqBhU8_DElYkX7l4wRkHqqCUFNJY4AfY3kHU/edit?usp=sharing  #gid=0"",""фіз особи new!relations_name""),6,FALSE)
,
(IF
(
G5806=""юридична особа""
,
VLOOKUP"&amp;"(H5806,IMPORTRANGE(""https://docs.google.com/spreadsheets/d/14Bd19lYaqBhU8_DElYkX7l4wRkHqqCUFNJY4AfY3kHU/edit?usp=sharing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805" s="7" t="s">
        <v>17</v>
      </c>
    </row>
    <row r="5806" spans="1:10" ht="13.2">
      <c r="A5806" s="7">
        <v>5805</v>
      </c>
      <c r="B5806" s="7">
        <v>1</v>
      </c>
      <c r="C5806" s="7" t="s">
        <v>10</v>
      </c>
      <c r="D5806" s="7">
        <v>4856</v>
      </c>
      <c r="E5806" s="7" t="s">
        <v>13</v>
      </c>
      <c r="F5806" s="8" t="str">
        <f ca="1">IFERROR(__xludf.DUMMYFUNCTION("IF
(
C5807=""фізична особа""
,
VLOOKUP(D5807,IMPORTRANGE(""https://docs.google.com/spreadsheets/d/14Bd19lYaqBhU8_DElYkX7l4wRkHqqCUFNJY4AfY3kHU/edit?usp=sharing  #gid=0"",""фіз особи new!relations_name""),6,FALSE)
,
(IF
(
C5807=""юридична особа""
,
VLOOKUP"&amp;"(D5807,IMPORTRANGE(""https://docs.google.com/spreadsheets/d/14Bd19lYaqBhU8_DElYkX7l4wRkHqqCUFNJY4AfY3kHU/edit?usp=sharing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06" s="7" t="s">
        <v>10</v>
      </c>
      <c r="H5806" s="7">
        <v>730</v>
      </c>
      <c r="I5806" s="8" t="str">
        <f ca="1">IFERROR(__xludf.DUMMYFUNCTION("IF
(
G5807=""фізична особа""
,
VLOOKUP(H5807,IMPORTRANGE(""https://docs.google.com/spreadsheets/d/14Bd19lYaqBhU8_DElYkX7l4wRkHqqCUFNJY4AfY3kHU/edit?usp=sharing  #gid=0"",""фіз особи new!relations_name""),6,FALSE)
,
(IF
(
G5807=""юридична особа""
,
VLOOKUP"&amp;"(H5807,IMPORTRANGE(""https://docs.google.com/spreadsheets/d/14Bd19lYaqBhU8_DElYkX7l4wRkHqqCUFNJY4AfY3kHU/edit?usp=sharing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806" s="7" t="s">
        <v>12</v>
      </c>
    </row>
    <row r="5807" spans="1:10" ht="13.2">
      <c r="A5807" s="7">
        <v>5806</v>
      </c>
      <c r="B5807" s="7">
        <v>1</v>
      </c>
      <c r="C5807" s="7" t="s">
        <v>10</v>
      </c>
      <c r="D5807" s="7">
        <v>4856</v>
      </c>
      <c r="E5807" s="7" t="s">
        <v>60</v>
      </c>
      <c r="F5807" s="8" t="str">
        <f ca="1">IFERROR(__xludf.DUMMYFUNCTION("IF
(
C5808=""фізична особа""
,
VLOOKUP(D5808,IMPORTRANGE(""https://docs.google.com/spreadsheets/d/14Bd19lYaqBhU8_DElYkX7l4wRkHqqCUFNJY4AfY3kHU/edit?usp=sharing  #gid=0"",""фіз особи new!relations_name""),6,FALSE)
,
(IF
(
C5808=""юридична особа""
,
VLOOKUP"&amp;"(D5808,IMPORTRANGE(""https://docs.google.com/spreadsheets/d/14Bd19lYaqBhU8_DElYkX7l4wRkHqqCUFNJY4AfY3kHU/edit?usp=sharing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07" s="7" t="s">
        <v>10</v>
      </c>
      <c r="H5807" s="7">
        <v>4851</v>
      </c>
      <c r="I5807" s="8" t="str">
        <f ca="1">IFERROR(__xludf.DUMMYFUNCTION("IF
(
G5808=""фізична особа""
,
VLOOKUP(H5808,IMPORTRANGE(""https://docs.google.com/spreadsheets/d/14Bd19lYaqBhU8_DElYkX7l4wRkHqqCUFNJY4AfY3kHU/edit?usp=sharing  #gid=0"",""фіз особи new!relations_name""),6,FALSE)
,
(IF
(
G5808=""юридична особа""
,
VLOOKUP"&amp;"(H5808,IMPORTRANGE(""https://docs.google.com/spreadsheets/d/14Bd19lYaqBhU8_DElYkX7l4wRkHqqCUFNJY4AfY3kHU/edit?usp=sharing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807" s="7" t="s">
        <v>59</v>
      </c>
    </row>
    <row r="5808" spans="1:10" ht="13.2">
      <c r="A5808" s="7">
        <v>5807</v>
      </c>
      <c r="B5808" s="7">
        <v>1</v>
      </c>
      <c r="C5808" s="7" t="s">
        <v>10</v>
      </c>
      <c r="D5808" s="7">
        <v>4856</v>
      </c>
      <c r="E5808" s="7" t="s">
        <v>60</v>
      </c>
      <c r="F5808" s="8" t="str">
        <f ca="1">IFERROR(__xludf.DUMMYFUNCTION("IF
(
C5809=""фізична особа""
,
VLOOKUP(D5809,IMPORTRANGE(""https://docs.google.com/spreadsheets/d/14Bd19lYaqBhU8_DElYkX7l4wRkHqqCUFNJY4AfY3kHU/edit?usp=sharing  #gid=0"",""фіз особи new!relations_name""),6,FALSE)
,
(IF
(
C5809=""юридична особа""
,
VLOOKUP"&amp;"(D5809,IMPORTRANGE(""https://docs.google.com/spreadsheets/d/14Bd19lYaqBhU8_DElYkX7l4wRkHqqCUFNJY4AfY3kHU/edit?usp=sharing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08" s="7" t="s">
        <v>10</v>
      </c>
      <c r="H5808" s="7">
        <v>4852</v>
      </c>
      <c r="I5808" s="8" t="str">
        <f ca="1">IFERROR(__xludf.DUMMYFUNCTION("IF
(
G5809=""фізична особа""
,
VLOOKUP(H5809,IMPORTRANGE(""https://docs.google.com/spreadsheets/d/14Bd19lYaqBhU8_DElYkX7l4wRkHqqCUFNJY4AfY3kHU/edit?usp=sharing  #gid=0"",""фіз особи new!relations_name""),6,FALSE)
,
(IF
(
G5809=""юридична особа""
,
VLOOKUP"&amp;"(H5809,IMPORTRANGE(""https://docs.google.com/spreadsheets/d/14Bd19lYaqBhU8_DElYkX7l4wRkHqqCUFNJY4AfY3kHU/edit?usp=sharing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808" s="7" t="s">
        <v>79</v>
      </c>
    </row>
    <row r="5809" spans="1:10" ht="13.2">
      <c r="A5809" s="7">
        <v>5808</v>
      </c>
      <c r="B5809" s="7">
        <v>1</v>
      </c>
      <c r="C5809" s="7" t="s">
        <v>10</v>
      </c>
      <c r="D5809" s="7">
        <v>4856</v>
      </c>
      <c r="E5809" s="7" t="s">
        <v>22</v>
      </c>
      <c r="F5809" s="8" t="str">
        <f ca="1">IFERROR(__xludf.DUMMYFUNCTION("IF
(
C5810=""фізична особа""
,
VLOOKUP(D5810,IMPORTRANGE(""https://docs.google.com/spreadsheets/d/14Bd19lYaqBhU8_DElYkX7l4wRkHqqCUFNJY4AfY3kHU/edit?usp=sharing  #gid=0"",""фіз особи new!relations_name""),6,FALSE)
,
(IF
(
C5810=""юридична особа""
,
VLOOKUP"&amp;"(D5810,IMPORTRANGE(""https://docs.google.com/spreadsheets/d/14Bd19lYaqBhU8_DElYkX7l4wRkHqqCUFNJY4AfY3kHU/edit?usp=sharing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09" s="7" t="s">
        <v>10</v>
      </c>
      <c r="H5809" s="7">
        <v>4853</v>
      </c>
      <c r="I5809" s="8" t="str">
        <f ca="1">IFERROR(__xludf.DUMMYFUNCTION("IF
(
G5810=""фізична особа""
,
VLOOKUP(H5810,IMPORTRANGE(""https://docs.google.com/spreadsheets/d/14Bd19lYaqBhU8_DElYkX7l4wRkHqqCUFNJY4AfY3kHU/edit?usp=sharing  #gid=0"",""фіз особи new!relations_name""),6,FALSE)
,
(IF
(
G5810=""юридична особа""
,
VLOOKUP"&amp;"(H5810,IMPORTRANGE(""https://docs.google.com/spreadsheets/d/14Bd19lYaqBhU8_DElYkX7l4wRkHqqCUFNJY4AfY3kHU/edit?usp=sharing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809" s="7" t="s">
        <v>19</v>
      </c>
    </row>
    <row r="5810" spans="1:10" ht="13.2">
      <c r="A5810" s="7">
        <v>5809</v>
      </c>
      <c r="B5810" s="7">
        <v>1</v>
      </c>
      <c r="C5810" s="7" t="s">
        <v>10</v>
      </c>
      <c r="D5810" s="7">
        <v>4856</v>
      </c>
      <c r="E5810" s="7" t="s">
        <v>22</v>
      </c>
      <c r="F5810" s="8" t="str">
        <f ca="1">IFERROR(__xludf.DUMMYFUNCTION("IF
(
C5811=""фізична особа""
,
VLOOKUP(D5811,IMPORTRANGE(""https://docs.google.com/spreadsheets/d/14Bd19lYaqBhU8_DElYkX7l4wRkHqqCUFNJY4AfY3kHU/edit?usp=sharing  #gid=0"",""фіз особи new!relations_name""),6,FALSE)
,
(IF
(
C5811=""юридична особа""
,
VLOOKUP"&amp;"(D5811,IMPORTRANGE(""https://docs.google.com/spreadsheets/d/14Bd19lYaqBhU8_DElYkX7l4wRkHqqCUFNJY4AfY3kHU/edit?usp=sharing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10" s="7" t="s">
        <v>10</v>
      </c>
      <c r="H5810" s="7">
        <v>4854</v>
      </c>
      <c r="I5810" s="8" t="str">
        <f ca="1">IFERROR(__xludf.DUMMYFUNCTION("IF
(
G5811=""фізична особа""
,
VLOOKUP(H5811,IMPORTRANGE(""https://docs.google.com/spreadsheets/d/14Bd19lYaqBhU8_DElYkX7l4wRkHqqCUFNJY4AfY3kHU/edit?usp=sharing  #gid=0"",""фіз особи new!relations_name""),6,FALSE)
,
(IF
(
G5811=""юридична особа""
,
VLOOKUP"&amp;"(H5811,IMPORTRANGE(""https://docs.google.com/spreadsheets/d/14Bd19lYaqBhU8_DElYkX7l4wRkHqqCUFNJY4AfY3kHU/edit?usp=sharing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810" s="7" t="s">
        <v>19</v>
      </c>
    </row>
    <row r="5811" spans="1:10" ht="13.2">
      <c r="A5811" s="7">
        <v>5810</v>
      </c>
      <c r="B5811" s="7">
        <v>1</v>
      </c>
      <c r="C5811" s="7" t="s">
        <v>10</v>
      </c>
      <c r="D5811" s="7">
        <v>4856</v>
      </c>
      <c r="E5811" s="7" t="s">
        <v>13</v>
      </c>
      <c r="F5811" s="8" t="str">
        <f ca="1">IFERROR(__xludf.DUMMYFUNCTION("IF
(
C5812=""фізична особа""
,
VLOOKUP(D5812,IMPORTRANGE(""https://docs.google.com/spreadsheets/d/14Bd19lYaqBhU8_DElYkX7l4wRkHqqCUFNJY4AfY3kHU/edit?usp=sharing  #gid=0"",""фіз особи new!relations_name""),6,FALSE)
,
(IF
(
C5812=""юридична особа""
,
VLOOKUP"&amp;"(D5812,IMPORTRANGE(""https://docs.google.com/spreadsheets/d/14Bd19lYaqBhU8_DElYkX7l4wRkHqqCUFNJY4AfY3kHU/edit?usp=sharing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11" s="7" t="s">
        <v>10</v>
      </c>
      <c r="H5811" s="7">
        <v>4855</v>
      </c>
      <c r="I5811" s="8" t="str">
        <f ca="1">IFERROR(__xludf.DUMMYFUNCTION("IF
(
G5812=""фізична особа""
,
VLOOKUP(H5812,IMPORTRANGE(""https://docs.google.com/spreadsheets/d/14Bd19lYaqBhU8_DElYkX7l4wRkHqqCUFNJY4AfY3kHU/edit?usp=sharing  #gid=0"",""фіз особи new!relations_name""),6,FALSE)
,
(IF
(
G5812=""юридична особа""
,
VLOOKUP"&amp;"(H5812,IMPORTRANGE(""https://docs.google.com/spreadsheets/d/14Bd19lYaqBhU8_DElYkX7l4wRkHqqCUFNJY4AfY3kHU/edit?usp=sharing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811" s="7" t="s">
        <v>21</v>
      </c>
    </row>
    <row r="5812" spans="1:10" ht="13.2">
      <c r="A5812" s="7">
        <v>5811</v>
      </c>
      <c r="B5812" s="7">
        <v>1</v>
      </c>
      <c r="C5812" s="7" t="s">
        <v>10</v>
      </c>
      <c r="D5812" s="7">
        <v>4856</v>
      </c>
      <c r="E5812" s="7" t="s">
        <v>31</v>
      </c>
      <c r="F5812" s="8" t="str">
        <f ca="1">IFERROR(__xludf.DUMMYFUNCTION("IF
(
C5813=""фізична особа""
,
VLOOKUP(D5813,IMPORTRANGE(""https://docs.google.com/spreadsheets/d/14Bd19lYaqBhU8_DElYkX7l4wRkHqqCUFNJY4AfY3kHU/edit?usp=sharing  #gid=0"",""фіз особи new!relations_name""),6,FALSE)
,
(IF
(
C5813=""юридична особа""
,
VLOOKUP"&amp;"(D5813,IMPORTRANGE(""https://docs.google.com/spreadsheets/d/14Bd19lYaqBhU8_DElYkX7l4wRkHqqCUFNJY4AfY3kHU/edit?usp=sharing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12" s="7" t="s">
        <v>10</v>
      </c>
      <c r="H5812" s="7">
        <v>4857</v>
      </c>
      <c r="I5812" s="8" t="str">
        <f ca="1">IFERROR(__xludf.DUMMYFUNCTION("IF
(
G5813=""фізична особа""
,
VLOOKUP(H5813,IMPORTRANGE(""https://docs.google.com/spreadsheets/d/14Bd19lYaqBhU8_DElYkX7l4wRkHqqCUFNJY4AfY3kHU/edit?usp=sharing  #gid=0"",""фіз особи new!relations_name""),6,FALSE)
,
(IF
(
G5813=""юридична особа""
,
VLOOKUP"&amp;"(H5813,IMPORTRANGE(""https://docs.google.com/spreadsheets/d/14Bd19lYaqBhU8_DElYkX7l4wRkHqqCUFNJY4AfY3kHU/edit?usp=sharing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812" s="7" t="s">
        <v>31</v>
      </c>
    </row>
    <row r="5813" spans="1:10" ht="13.2">
      <c r="A5813" s="7">
        <v>5812</v>
      </c>
      <c r="B5813" s="7">
        <v>1</v>
      </c>
      <c r="C5813" s="7" t="s">
        <v>10</v>
      </c>
      <c r="D5813" s="7">
        <v>4856</v>
      </c>
      <c r="E5813" s="7" t="s">
        <v>31</v>
      </c>
      <c r="F5813" s="8" t="str">
        <f ca="1">IFERROR(__xludf.DUMMYFUNCTION("IF
(
C5814=""фізична особа""
,
VLOOKUP(D5814,IMPORTRANGE(""https://docs.google.com/spreadsheets/d/14Bd19lYaqBhU8_DElYkX7l4wRkHqqCUFNJY4AfY3kHU/edit?usp=sharing  #gid=0"",""фіз особи new!relations_name""),6,FALSE)
,
(IF
(
C5814=""юридична особа""
,
VLOOKUP"&amp;"(D5814,IMPORTRANGE(""https://docs.google.com/spreadsheets/d/14Bd19lYaqBhU8_DElYkX7l4wRkHqqCUFNJY4AfY3kHU/edit?usp=sharing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G5813" s="7" t="s">
        <v>10</v>
      </c>
      <c r="H5813" s="7">
        <v>4858</v>
      </c>
      <c r="I5813" s="8" t="str">
        <f ca="1">IFERROR(__xludf.DUMMYFUNCTION("IF
(
G5814=""фізична особа""
,
VLOOKUP(H5814,IMPORTRANGE(""https://docs.google.com/spreadsheets/d/14Bd19lYaqBhU8_DElYkX7l4wRkHqqCUFNJY4AfY3kHU/edit?usp=sharing  #gid=0"",""фіз особи new!relations_name""),6,FALSE)
,
(IF
(
G5814=""юридична особа""
,
VLOOKUP"&amp;"(H5814,IMPORTRANGE(""https://docs.google.com/spreadsheets/d/14Bd19lYaqBhU8_DElYkX7l4wRkHqqCUFNJY4AfY3kHU/edit?usp=sharing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813" s="7" t="s">
        <v>18</v>
      </c>
    </row>
    <row r="5814" spans="1:10" ht="13.2">
      <c r="A5814" s="7">
        <v>5813</v>
      </c>
      <c r="B5814" s="7">
        <v>1</v>
      </c>
      <c r="C5814" s="7" t="s">
        <v>10</v>
      </c>
      <c r="D5814" s="7">
        <v>4857</v>
      </c>
      <c r="E5814" s="7" t="s">
        <v>13</v>
      </c>
      <c r="F5814" s="8" t="str">
        <f ca="1">IFERROR(__xludf.DUMMYFUNCTION("IF
(
C5815=""фізична особа""
,
VLOOKUP(D5815,IMPORTRANGE(""https://docs.google.com/spreadsheets/d/14Bd19lYaqBhU8_DElYkX7l4wRkHqqCUFNJY4AfY3kHU/edit?usp=sharing  #gid=0"",""фіз особи new!relations_name""),6,FALSE)
,
(IF
(
C5815=""юридична особа""
,
VLOOKUP"&amp;"(D5815,IMPORTRANGE(""https://docs.google.com/spreadsheets/d/14Bd19lYaqBhU8_DElYkX7l4wRkHqqCUFNJY4AfY3kHU/edit?usp=sharing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4" s="7" t="s">
        <v>10</v>
      </c>
      <c r="H5814" s="7">
        <v>730</v>
      </c>
      <c r="I5814" s="8" t="str">
        <f ca="1">IFERROR(__xludf.DUMMYFUNCTION("IF
(
G5815=""фізична особа""
,
VLOOKUP(H5815,IMPORTRANGE(""https://docs.google.com/spreadsheets/d/14Bd19lYaqBhU8_DElYkX7l4wRkHqqCUFNJY4AfY3kHU/edit?usp=sharing  #gid=0"",""фіз особи new!relations_name""),6,FALSE)
,
(IF
(
G5815=""юридична особа""
,
VLOOKUP"&amp;"(H5815,IMPORTRANGE(""https://docs.google.com/spreadsheets/d/14Bd19lYaqBhU8_DElYkX7l4wRkHqqCUFNJY4AfY3kHU/edit?usp=sharing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814" s="7" t="s">
        <v>12</v>
      </c>
    </row>
    <row r="5815" spans="1:10" ht="13.2">
      <c r="A5815" s="7">
        <v>5814</v>
      </c>
      <c r="B5815" s="7">
        <v>1</v>
      </c>
      <c r="C5815" s="7" t="s">
        <v>10</v>
      </c>
      <c r="D5815" s="7">
        <v>4857</v>
      </c>
      <c r="E5815" s="7" t="s">
        <v>60</v>
      </c>
      <c r="F5815" s="8" t="str">
        <f ca="1">IFERROR(__xludf.DUMMYFUNCTION("IF
(
C5816=""фізична особа""
,
VLOOKUP(D5816,IMPORTRANGE(""https://docs.google.com/spreadsheets/d/14Bd19lYaqBhU8_DElYkX7l4wRkHqqCUFNJY4AfY3kHU/edit?usp=sharing  #gid=0"",""фіз особи new!relations_name""),6,FALSE)
,
(IF
(
C5816=""юридична особа""
,
VLOOKUP"&amp;"(D5816,IMPORTRANGE(""https://docs.google.com/spreadsheets/d/14Bd19lYaqBhU8_DElYkX7l4wRkHqqCUFNJY4AfY3kHU/edit?usp=sharing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5" s="7" t="s">
        <v>10</v>
      </c>
      <c r="H5815" s="7">
        <v>4851</v>
      </c>
      <c r="I5815" s="8" t="str">
        <f ca="1">IFERROR(__xludf.DUMMYFUNCTION("IF
(
G5816=""фізична особа""
,
VLOOKUP(H5816,IMPORTRANGE(""https://docs.google.com/spreadsheets/d/14Bd19lYaqBhU8_DElYkX7l4wRkHqqCUFNJY4AfY3kHU/edit?usp=sharing  #gid=0"",""фіз особи new!relations_name""),6,FALSE)
,
(IF
(
G5816=""юридична особа""
,
VLOOKUP"&amp;"(H5816,IMPORTRANGE(""https://docs.google.com/spreadsheets/d/14Bd19lYaqBhU8_DElYkX7l4wRkHqqCUFNJY4AfY3kHU/edit?usp=sharing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815" s="7" t="s">
        <v>59</v>
      </c>
    </row>
    <row r="5816" spans="1:10" ht="13.2">
      <c r="A5816" s="7">
        <v>5815</v>
      </c>
      <c r="B5816" s="7">
        <v>1</v>
      </c>
      <c r="C5816" s="7" t="s">
        <v>10</v>
      </c>
      <c r="D5816" s="7">
        <v>4857</v>
      </c>
      <c r="E5816" s="7" t="s">
        <v>60</v>
      </c>
      <c r="F5816" s="8" t="str">
        <f ca="1">IFERROR(__xludf.DUMMYFUNCTION("IF
(
C5817=""фізична особа""
,
VLOOKUP(D5817,IMPORTRANGE(""https://docs.google.com/spreadsheets/d/14Bd19lYaqBhU8_DElYkX7l4wRkHqqCUFNJY4AfY3kHU/edit?usp=sharing  #gid=0"",""фіз особи new!relations_name""),6,FALSE)
,
(IF
(
C5817=""юридична особа""
,
VLOOKUP"&amp;"(D5817,IMPORTRANGE(""https://docs.google.com/spreadsheets/d/14Bd19lYaqBhU8_DElYkX7l4wRkHqqCUFNJY4AfY3kHU/edit?usp=sharing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6" s="7" t="s">
        <v>10</v>
      </c>
      <c r="H5816" s="7">
        <v>4852</v>
      </c>
      <c r="I5816" s="8" t="str">
        <f ca="1">IFERROR(__xludf.DUMMYFUNCTION("IF
(
G5817=""фізична особа""
,
VLOOKUP(H5817,IMPORTRANGE(""https://docs.google.com/spreadsheets/d/14Bd19lYaqBhU8_DElYkX7l4wRkHqqCUFNJY4AfY3kHU/edit?usp=sharing  #gid=0"",""фіз особи new!relations_name""),6,FALSE)
,
(IF
(
G5817=""юридична особа""
,
VLOOKUP"&amp;"(H5817,IMPORTRANGE(""https://docs.google.com/spreadsheets/d/14Bd19lYaqBhU8_DElYkX7l4wRkHqqCUFNJY4AfY3kHU/edit?usp=sharing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816" s="7" t="s">
        <v>79</v>
      </c>
    </row>
    <row r="5817" spans="1:10" ht="13.2">
      <c r="A5817" s="7">
        <v>5816</v>
      </c>
      <c r="B5817" s="7">
        <v>1</v>
      </c>
      <c r="C5817" s="7" t="s">
        <v>10</v>
      </c>
      <c r="D5817" s="7">
        <v>4857</v>
      </c>
      <c r="E5817" s="7" t="s">
        <v>22</v>
      </c>
      <c r="F5817" s="8" t="str">
        <f ca="1">IFERROR(__xludf.DUMMYFUNCTION("IF
(
C5818=""фізична особа""
,
VLOOKUP(D5818,IMPORTRANGE(""https://docs.google.com/spreadsheets/d/14Bd19lYaqBhU8_DElYkX7l4wRkHqqCUFNJY4AfY3kHU/edit?usp=sharing  #gid=0"",""фіз особи new!relations_name""),6,FALSE)
,
(IF
(
C5818=""юридична особа""
,
VLOOKUP"&amp;"(D5818,IMPORTRANGE(""https://docs.google.com/spreadsheets/d/14Bd19lYaqBhU8_DElYkX7l4wRkHqqCUFNJY4AfY3kHU/edit?usp=sharing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7" s="7" t="s">
        <v>10</v>
      </c>
      <c r="H5817" s="7">
        <v>4853</v>
      </c>
      <c r="I5817" s="8" t="str">
        <f ca="1">IFERROR(__xludf.DUMMYFUNCTION("IF
(
G5818=""фізична особа""
,
VLOOKUP(H5818,IMPORTRANGE(""https://docs.google.com/spreadsheets/d/14Bd19lYaqBhU8_DElYkX7l4wRkHqqCUFNJY4AfY3kHU/edit?usp=sharing  #gid=0"",""фіз особи new!relations_name""),6,FALSE)
,
(IF
(
G5818=""юридична особа""
,
VLOOKUP"&amp;"(H5818,IMPORTRANGE(""https://docs.google.com/spreadsheets/d/14Bd19lYaqBhU8_DElYkX7l4wRkHqqCUFNJY4AfY3kHU/edit?usp=sharing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817" s="7" t="s">
        <v>19</v>
      </c>
    </row>
    <row r="5818" spans="1:10" ht="13.2">
      <c r="A5818" s="7">
        <v>5817</v>
      </c>
      <c r="B5818" s="7">
        <v>1</v>
      </c>
      <c r="C5818" s="7" t="s">
        <v>10</v>
      </c>
      <c r="D5818" s="7">
        <v>4857</v>
      </c>
      <c r="E5818" s="7" t="s">
        <v>22</v>
      </c>
      <c r="F5818" s="8" t="str">
        <f ca="1">IFERROR(__xludf.DUMMYFUNCTION("IF
(
C5819=""фізична особа""
,
VLOOKUP(D5819,IMPORTRANGE(""https://docs.google.com/spreadsheets/d/14Bd19lYaqBhU8_DElYkX7l4wRkHqqCUFNJY4AfY3kHU/edit?usp=sharing  #gid=0"",""фіз особи new!relations_name""),6,FALSE)
,
(IF
(
C5819=""юридична особа""
,
VLOOKUP"&amp;"(D5819,IMPORTRANGE(""https://docs.google.com/spreadsheets/d/14Bd19lYaqBhU8_DElYkX7l4wRkHqqCUFNJY4AfY3kHU/edit?usp=sharing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8" s="7" t="s">
        <v>10</v>
      </c>
      <c r="H5818" s="7">
        <v>4854</v>
      </c>
      <c r="I5818" s="8" t="str">
        <f ca="1">IFERROR(__xludf.DUMMYFUNCTION("IF
(
G5819=""фізична особа""
,
VLOOKUP(H5819,IMPORTRANGE(""https://docs.google.com/spreadsheets/d/14Bd19lYaqBhU8_DElYkX7l4wRkHqqCUFNJY4AfY3kHU/edit?usp=sharing  #gid=0"",""фіз особи new!relations_name""),6,FALSE)
,
(IF
(
G5819=""юридична особа""
,
VLOOKUP"&amp;"(H5819,IMPORTRANGE(""https://docs.google.com/spreadsheets/d/14Bd19lYaqBhU8_DElYkX7l4wRkHqqCUFNJY4AfY3kHU/edit?usp=sharing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818" s="7" t="s">
        <v>19</v>
      </c>
    </row>
    <row r="5819" spans="1:10" ht="13.2">
      <c r="A5819" s="7">
        <v>5818</v>
      </c>
      <c r="B5819" s="7">
        <v>1</v>
      </c>
      <c r="C5819" s="7" t="s">
        <v>10</v>
      </c>
      <c r="D5819" s="7">
        <v>4857</v>
      </c>
      <c r="E5819" s="7" t="s">
        <v>13</v>
      </c>
      <c r="F5819" s="8" t="str">
        <f ca="1">IFERROR(__xludf.DUMMYFUNCTION("IF
(
C5820=""фізична особа""
,
VLOOKUP(D5820,IMPORTRANGE(""https://docs.google.com/spreadsheets/d/14Bd19lYaqBhU8_DElYkX7l4wRkHqqCUFNJY4AfY3kHU/edit?usp=sharing  #gid=0"",""фіз особи new!relations_name""),6,FALSE)
,
(IF
(
C5820=""юридична особа""
,
VLOOKUP"&amp;"(D5820,IMPORTRANGE(""https://docs.google.com/spreadsheets/d/14Bd19lYaqBhU8_DElYkX7l4wRkHqqCUFNJY4AfY3kHU/edit?usp=sharing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19" s="7" t="s">
        <v>10</v>
      </c>
      <c r="H5819" s="7">
        <v>4855</v>
      </c>
      <c r="I5819" s="8" t="str">
        <f ca="1">IFERROR(__xludf.DUMMYFUNCTION("IF
(
G5820=""фізична особа""
,
VLOOKUP(H5820,IMPORTRANGE(""https://docs.google.com/spreadsheets/d/14Bd19lYaqBhU8_DElYkX7l4wRkHqqCUFNJY4AfY3kHU/edit?usp=sharing  #gid=0"",""фіз особи new!relations_name""),6,FALSE)
,
(IF
(
G5820=""юридична особа""
,
VLOOKUP"&amp;"(H5820,IMPORTRANGE(""https://docs.google.com/spreadsheets/d/14Bd19lYaqBhU8_DElYkX7l4wRkHqqCUFNJY4AfY3kHU/edit?usp=sharing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819" s="7" t="s">
        <v>21</v>
      </c>
    </row>
    <row r="5820" spans="1:10" ht="13.2">
      <c r="A5820" s="7">
        <v>5819</v>
      </c>
      <c r="B5820" s="7">
        <v>1</v>
      </c>
      <c r="C5820" s="7" t="s">
        <v>10</v>
      </c>
      <c r="D5820" s="7">
        <v>4857</v>
      </c>
      <c r="E5820" s="7" t="s">
        <v>31</v>
      </c>
      <c r="F5820" s="8" t="str">
        <f ca="1">IFERROR(__xludf.DUMMYFUNCTION("IF
(
C5821=""фізична особа""
,
VLOOKUP(D5821,IMPORTRANGE(""https://docs.google.com/spreadsheets/d/14Bd19lYaqBhU8_DElYkX7l4wRkHqqCUFNJY4AfY3kHU/edit?usp=sharing  #gid=0"",""фіз особи new!relations_name""),6,FALSE)
,
(IF
(
C5821=""юридична особа""
,
VLOOKUP"&amp;"(D5821,IMPORTRANGE(""https://docs.google.com/spreadsheets/d/14Bd19lYaqBhU8_DElYkX7l4wRkHqqCUFNJY4AfY3kHU/edit?usp=sharing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20" s="7" t="s">
        <v>10</v>
      </c>
      <c r="H5820" s="7">
        <v>4856</v>
      </c>
      <c r="I5820" s="8" t="str">
        <f ca="1">IFERROR(__xludf.DUMMYFUNCTION("IF
(
G5821=""фізична особа""
,
VLOOKUP(H5821,IMPORTRANGE(""https://docs.google.com/spreadsheets/d/14Bd19lYaqBhU8_DElYkX7l4wRkHqqCUFNJY4AfY3kHU/edit?usp=sharing  #gid=0"",""фіз особи new!relations_name""),6,FALSE)
,
(IF
(
G5821=""юридична особа""
,
VLOOKUP"&amp;"(H5821,IMPORTRANGE(""https://docs.google.com/spreadsheets/d/14Bd19lYaqBhU8_DElYkX7l4wRkHqqCUFNJY4AfY3kHU/edit?usp=sharing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820" s="7" t="s">
        <v>31</v>
      </c>
    </row>
    <row r="5821" spans="1:10" ht="13.2">
      <c r="A5821" s="7">
        <v>5820</v>
      </c>
      <c r="B5821" s="7">
        <v>1</v>
      </c>
      <c r="C5821" s="7" t="s">
        <v>10</v>
      </c>
      <c r="D5821" s="7">
        <v>4857</v>
      </c>
      <c r="E5821" s="7" t="s">
        <v>31</v>
      </c>
      <c r="F5821" s="8" t="str">
        <f ca="1">IFERROR(__xludf.DUMMYFUNCTION("IF
(
C5822=""фізична особа""
,
VLOOKUP(D5822,IMPORTRANGE(""https://docs.google.com/spreadsheets/d/14Bd19lYaqBhU8_DElYkX7l4wRkHqqCUFNJY4AfY3kHU/edit?usp=sharing  #gid=0"",""фіз особи new!relations_name""),6,FALSE)
,
(IF
(
C5822=""юридична особа""
,
VLOOKUP"&amp;"(D5822,IMPORTRANGE(""https://docs.google.com/spreadsheets/d/14Bd19lYaqBhU8_DElYkX7l4wRkHqqCUFNJY4AfY3kHU/edit?usp=sharing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G5821" s="7" t="s">
        <v>10</v>
      </c>
      <c r="H5821" s="7">
        <v>4858</v>
      </c>
      <c r="I5821" s="8" t="str">
        <f ca="1">IFERROR(__xludf.DUMMYFUNCTION("IF
(
G5822=""фізична особа""
,
VLOOKUP(H5822,IMPORTRANGE(""https://docs.google.com/spreadsheets/d/14Bd19lYaqBhU8_DElYkX7l4wRkHqqCUFNJY4AfY3kHU/edit?usp=sharing  #gid=0"",""фіз особи new!relations_name""),6,FALSE)
,
(IF
(
G5822=""юридична особа""
,
VLOOKUP"&amp;"(H5822,IMPORTRANGE(""https://docs.google.com/spreadsheets/d/14Bd19lYaqBhU8_DElYkX7l4wRkHqqCUFNJY4AfY3kHU/edit?usp=sharing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J5821" s="7" t="s">
        <v>18</v>
      </c>
    </row>
    <row r="5822" spans="1:10" ht="13.2">
      <c r="A5822" s="7">
        <v>5821</v>
      </c>
      <c r="B5822" s="7">
        <v>1</v>
      </c>
      <c r="C5822" s="7" t="s">
        <v>10</v>
      </c>
      <c r="D5822" s="7">
        <v>4858</v>
      </c>
      <c r="E5822" s="7" t="s">
        <v>17</v>
      </c>
      <c r="F5822" s="8" t="str">
        <f ca="1">IFERROR(__xludf.DUMMYFUNCTION("IF
(
C5823=""фізична особа""
,
VLOOKUP(D5823,IMPORTRANGE(""https://docs.google.com/spreadsheets/d/14Bd19lYaqBhU8_DElYkX7l4wRkHqqCUFNJY4AfY3kHU/edit?usp=sharing  #gid=0"",""фіз особи new!relations_name""),6,FALSE)
,
(IF
(
C5823=""юридична особа""
,
VLOOKUP"&amp;"(D5823,IMPORTRANGE(""https://docs.google.com/spreadsheets/d/14Bd19lYaqBhU8_DElYkX7l4wRkHqqCUFNJY4AfY3kHU/edit?usp=sharing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2" s="7" t="s">
        <v>10</v>
      </c>
      <c r="H5822" s="7">
        <v>730</v>
      </c>
      <c r="I5822" s="8" t="str">
        <f ca="1">IFERROR(__xludf.DUMMYFUNCTION("IF
(
G5823=""фізична особа""
,
VLOOKUP(H5823,IMPORTRANGE(""https://docs.google.com/spreadsheets/d/14Bd19lYaqBhU8_DElYkX7l4wRkHqqCUFNJY4AfY3kHU/edit?usp=sharing  #gid=0"",""фіз особи new!relations_name""),6,FALSE)
,
(IF
(
G5823=""юридична особа""
,
VLOOKUP"&amp;"(H5823,IMPORTRANGE(""https://docs.google.com/spreadsheets/d/14Bd19lYaqBhU8_DElYkX7l4wRkHqqCUFNJY4AfY3kHU/edit?usp=sharing  #gid=0"",""фіз особи new!relations_name_uo""),7,FALSE)
,
)
))"),"КАРА-ООЛ Шолбан Валерійович")</f>
        <v>КАРА-ООЛ Шолбан Валерійович</v>
      </c>
      <c r="J5822" s="7" t="s">
        <v>12</v>
      </c>
    </row>
    <row r="5823" spans="1:10" ht="13.2">
      <c r="A5823" s="7">
        <v>5822</v>
      </c>
      <c r="B5823" s="7">
        <v>1</v>
      </c>
      <c r="C5823" s="7" t="s">
        <v>10</v>
      </c>
      <c r="D5823" s="7">
        <v>4858</v>
      </c>
      <c r="E5823" s="7" t="s">
        <v>61</v>
      </c>
      <c r="F5823" s="8" t="str">
        <f ca="1">IFERROR(__xludf.DUMMYFUNCTION("IF
(
C5824=""фізична особа""
,
VLOOKUP(D5824,IMPORTRANGE(""https://docs.google.com/spreadsheets/d/14Bd19lYaqBhU8_DElYkX7l4wRkHqqCUFNJY4AfY3kHU/edit?usp=sharing  #gid=0"",""фіз особи new!relations_name""),6,FALSE)
,
(IF
(
C5824=""юридична особа""
,
VLOOKUP"&amp;"(D5824,IMPORTRANGE(""https://docs.google.com/spreadsheets/d/14Bd19lYaqBhU8_DElYkX7l4wRkHqqCUFNJY4AfY3kHU/edit?usp=sharing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3" s="7" t="s">
        <v>10</v>
      </c>
      <c r="H5823" s="7">
        <v>4851</v>
      </c>
      <c r="I5823" s="8" t="str">
        <f ca="1">IFERROR(__xludf.DUMMYFUNCTION("IF
(
G5824=""фізична особа""
,
VLOOKUP(H5824,IMPORTRANGE(""https://docs.google.com/spreadsheets/d/14Bd19lYaqBhU8_DElYkX7l4wRkHqqCUFNJY4AfY3kHU/edit?usp=sharing  #gid=0"",""фіз особи new!relations_name""),6,FALSE)
,
(IF
(
G5824=""юридична особа""
,
VLOOKUP"&amp;"(H5824,IMPORTRANGE(""https://docs.google.com/spreadsheets/d/14Bd19lYaqBhU8_DElYkX7l4wRkHqqCUFNJY4AfY3kHU/edit?usp=sharing  #gid=0"",""фіз особи new!relations_name_uo""),7,FALSE)
,
)
))"),"КАРА-ООЛ Валерій Ховалигович")</f>
        <v>КАРА-ООЛ Валерій Ховалигович</v>
      </c>
      <c r="J5823" s="7" t="s">
        <v>59</v>
      </c>
    </row>
    <row r="5824" spans="1:10" ht="13.2">
      <c r="A5824" s="7">
        <v>5823</v>
      </c>
      <c r="B5824" s="7">
        <v>1</v>
      </c>
      <c r="C5824" s="7" t="s">
        <v>10</v>
      </c>
      <c r="D5824" s="7">
        <v>4858</v>
      </c>
      <c r="E5824" s="7" t="s">
        <v>61</v>
      </c>
      <c r="F5824" s="8" t="str">
        <f ca="1">IFERROR(__xludf.DUMMYFUNCTION("IF
(
C5825=""фізична особа""
,
VLOOKUP(D5825,IMPORTRANGE(""https://docs.google.com/spreadsheets/d/14Bd19lYaqBhU8_DElYkX7l4wRkHqqCUFNJY4AfY3kHU/edit?usp=sharing  #gid=0"",""фіз особи new!relations_name""),6,FALSE)
,
(IF
(
C5825=""юридична особа""
,
VLOOKUP"&amp;"(D5825,IMPORTRANGE(""https://docs.google.com/spreadsheets/d/14Bd19lYaqBhU8_DElYkX7l4wRkHqqCUFNJY4AfY3kHU/edit?usp=sharing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4" s="7" t="s">
        <v>10</v>
      </c>
      <c r="H5824" s="7">
        <v>4852</v>
      </c>
      <c r="I5824" s="8" t="str">
        <f ca="1">IFERROR(__xludf.DUMMYFUNCTION("IF
(
G5825=""фізична особа""
,
VLOOKUP(H5825,IMPORTRANGE(""https://docs.google.com/spreadsheets/d/14Bd19lYaqBhU8_DElYkX7l4wRkHqqCUFNJY4AfY3kHU/edit?usp=sharing  #gid=0"",""фіз особи new!relations_name""),6,FALSE)
,
(IF
(
G5825=""юридична особа""
,
VLOOKUP"&amp;"(H5825,IMPORTRANGE(""https://docs.google.com/spreadsheets/d/14Bd19lYaqBhU8_DElYkX7l4wRkHqqCUFNJY4AfY3kHU/edit?usp=sharing  #gid=0"",""фіз особи new!relations_name_uo""),7,FALSE)
,
)
))"),"КАРА-ООЛ Анай Балчирівна")</f>
        <v>КАРА-ООЛ Анай Балчирівна</v>
      </c>
      <c r="J5824" s="7" t="s">
        <v>79</v>
      </c>
    </row>
    <row r="5825" spans="1:10" ht="13.2">
      <c r="A5825" s="7">
        <v>5824</v>
      </c>
      <c r="B5825" s="7">
        <v>1</v>
      </c>
      <c r="C5825" s="7" t="s">
        <v>10</v>
      </c>
      <c r="D5825" s="7">
        <v>4858</v>
      </c>
      <c r="E5825" s="7" t="s">
        <v>20</v>
      </c>
      <c r="F5825" s="8" t="str">
        <f ca="1">IFERROR(__xludf.DUMMYFUNCTION("IF
(
C5826=""фізична особа""
,
VLOOKUP(D5826,IMPORTRANGE(""https://docs.google.com/spreadsheets/d/14Bd19lYaqBhU8_DElYkX7l4wRkHqqCUFNJY4AfY3kHU/edit?usp=sharing  #gid=0"",""фіз особи new!relations_name""),6,FALSE)
,
(IF
(
C5826=""юридична особа""
,
VLOOKUP"&amp;"(D5826,IMPORTRANGE(""https://docs.google.com/spreadsheets/d/14Bd19lYaqBhU8_DElYkX7l4wRkHqqCUFNJY4AfY3kHU/edit?usp=sharing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5" s="7" t="s">
        <v>10</v>
      </c>
      <c r="H5825" s="7">
        <v>4853</v>
      </c>
      <c r="I5825" s="8" t="str">
        <f ca="1">IFERROR(__xludf.DUMMYFUNCTION("IF
(
G5826=""фізична особа""
,
VLOOKUP(H5826,IMPORTRANGE(""https://docs.google.com/spreadsheets/d/14Bd19lYaqBhU8_DElYkX7l4wRkHqqCUFNJY4AfY3kHU/edit?usp=sharing  #gid=0"",""фіз особи new!relations_name""),6,FALSE)
,
(IF
(
G5826=""юридична особа""
,
VLOOKUP"&amp;"(H5826,IMPORTRANGE(""https://docs.google.com/spreadsheets/d/14Bd19lYaqBhU8_DElYkX7l4wRkHqqCUFNJY4AfY3kHU/edit?usp=sharing  #gid=0"",""фіз особи new!relations_name_uo""),7,FALSE)
,
)
))"),"КАРА-ООЛ Леонід Валерійович")</f>
        <v>КАРА-ООЛ Леонід Валерійович</v>
      </c>
      <c r="J5825" s="7" t="s">
        <v>19</v>
      </c>
    </row>
    <row r="5826" spans="1:10" ht="13.2">
      <c r="A5826" s="7">
        <v>5825</v>
      </c>
      <c r="B5826" s="7">
        <v>1</v>
      </c>
      <c r="C5826" s="7" t="s">
        <v>10</v>
      </c>
      <c r="D5826" s="7">
        <v>4858</v>
      </c>
      <c r="E5826" s="7" t="s">
        <v>20</v>
      </c>
      <c r="F5826" s="8" t="str">
        <f ca="1">IFERROR(__xludf.DUMMYFUNCTION("IF
(
C5827=""фізична особа""
,
VLOOKUP(D5827,IMPORTRANGE(""https://docs.google.com/spreadsheets/d/14Bd19lYaqBhU8_DElYkX7l4wRkHqqCUFNJY4AfY3kHU/edit?usp=sharing  #gid=0"",""фіз особи new!relations_name""),6,FALSE)
,
(IF
(
C5827=""юридична особа""
,
VLOOKUP"&amp;"(D5827,IMPORTRANGE(""https://docs.google.com/spreadsheets/d/14Bd19lYaqBhU8_DElYkX7l4wRkHqqCUFNJY4AfY3kHU/edit?usp=sharing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6" s="7" t="s">
        <v>10</v>
      </c>
      <c r="H5826" s="7">
        <v>4854</v>
      </c>
      <c r="I5826" s="8" t="str">
        <f ca="1">IFERROR(__xludf.DUMMYFUNCTION("IF
(
G5827=""фізична особа""
,
VLOOKUP(H5827,IMPORTRANGE(""https://docs.google.com/spreadsheets/d/14Bd19lYaqBhU8_DElYkX7l4wRkHqqCUFNJY4AfY3kHU/edit?usp=sharing  #gid=0"",""фіз особи new!relations_name""),6,FALSE)
,
(IF
(
G5827=""юридична особа""
,
VLOOKUP"&amp;"(H5827,IMPORTRANGE(""https://docs.google.com/spreadsheets/d/14Bd19lYaqBhU8_DElYkX7l4wRkHqqCUFNJY4AfY3kHU/edit?usp=sharing  #gid=0"",""фіз особи new!relations_name_uo""),7,FALSE)
,
)
))"),"КАРА-ООЛ Юрій Валерійович")</f>
        <v>КАРА-ООЛ Юрій Валерійович</v>
      </c>
      <c r="J5826" s="7" t="s">
        <v>19</v>
      </c>
    </row>
    <row r="5827" spans="1:10" ht="13.2">
      <c r="A5827" s="7">
        <v>5826</v>
      </c>
      <c r="B5827" s="7">
        <v>1</v>
      </c>
      <c r="C5827" s="7" t="s">
        <v>10</v>
      </c>
      <c r="D5827" s="7">
        <v>4858</v>
      </c>
      <c r="E5827" s="7" t="s">
        <v>17</v>
      </c>
      <c r="F5827" s="8" t="str">
        <f ca="1">IFERROR(__xludf.DUMMYFUNCTION("IF
(
C5828=""фізична особа""
,
VLOOKUP(D5828,IMPORTRANGE(""https://docs.google.com/spreadsheets/d/14Bd19lYaqBhU8_DElYkX7l4wRkHqqCUFNJY4AfY3kHU/edit?usp=sharing  #gid=0"",""фіз особи new!relations_name""),6,FALSE)
,
(IF
(
C5828=""юридична особа""
,
VLOOKUP"&amp;"(D5828,IMPORTRANGE(""https://docs.google.com/spreadsheets/d/14Bd19lYaqBhU8_DElYkX7l4wRkHqqCUFNJY4AfY3kHU/edit?usp=sharing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7" s="7" t="s">
        <v>10</v>
      </c>
      <c r="H5827" s="7">
        <v>4855</v>
      </c>
      <c r="I5827" s="8" t="str">
        <f ca="1">IFERROR(__xludf.DUMMYFUNCTION("IF
(
G5828=""фізична особа""
,
VLOOKUP(H5828,IMPORTRANGE(""https://docs.google.com/spreadsheets/d/14Bd19lYaqBhU8_DElYkX7l4wRkHqqCUFNJY4AfY3kHU/edit?usp=sharing  #gid=0"",""фіз особи new!relations_name""),6,FALSE)
,
(IF
(
G5828=""юридична особа""
,
VLOOKUP"&amp;"(H5828,IMPORTRANGE(""https://docs.google.com/spreadsheets/d/14Bd19lYaqBhU8_DElYkX7l4wRkHqqCUFNJY4AfY3kHU/edit?usp=sharing  #gid=0"",""фіз особи new!relations_name_uo""),7,FALSE)
,
)
))"),"КАРА-ООЛ / СЕРЕН Лариса Саган-оолівна")</f>
        <v>КАРА-ООЛ / СЕРЕН Лариса Саган-оолівна</v>
      </c>
      <c r="J5827" s="7" t="s">
        <v>21</v>
      </c>
    </row>
    <row r="5828" spans="1:10" ht="13.2">
      <c r="A5828" s="7">
        <v>5827</v>
      </c>
      <c r="B5828" s="7">
        <v>1</v>
      </c>
      <c r="C5828" s="7" t="s">
        <v>10</v>
      </c>
      <c r="D5828" s="7">
        <v>4858</v>
      </c>
      <c r="E5828" s="7" t="s">
        <v>18</v>
      </c>
      <c r="F5828" s="8" t="str">
        <f ca="1">IFERROR(__xludf.DUMMYFUNCTION("IF
(
C5829=""фізична особа""
,
VLOOKUP(D5829,IMPORTRANGE(""https://docs.google.com/spreadsheets/d/14Bd19lYaqBhU8_DElYkX7l4wRkHqqCUFNJY4AfY3kHU/edit?usp=sharing  #gid=0"",""фіз особи new!relations_name""),6,FALSE)
,
(IF
(
C5829=""юридична особа""
,
VLOOKUP"&amp;"(D5829,IMPORTRANGE(""https://docs.google.com/spreadsheets/d/14Bd19lYaqBhU8_DElYkX7l4wRkHqqCUFNJY4AfY3kHU/edit?usp=sharing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8" s="7" t="s">
        <v>10</v>
      </c>
      <c r="H5828" s="7">
        <v>4856</v>
      </c>
      <c r="I5828" s="8" t="str">
        <f ca="1">IFERROR(__xludf.DUMMYFUNCTION("IF
(
G5829=""фізична особа""
,
VLOOKUP(H5829,IMPORTRANGE(""https://docs.google.com/spreadsheets/d/14Bd19lYaqBhU8_DElYkX7l4wRkHqqCUFNJY4AfY3kHU/edit?usp=sharing  #gid=0"",""фіз особи new!relations_name""),6,FALSE)
,
(IF
(
G5829=""юридична особа""
,
VLOOKUP"&amp;"(H5829,IMPORTRANGE(""https://docs.google.com/spreadsheets/d/14Bd19lYaqBhU8_DElYkX7l4wRkHqqCUFNJY4AfY3kHU/edit?usp=sharing  #gid=0"",""фіз особи new!relations_name_uo""),7,FALSE)
,
)
))"),"КАРА-ООЛ Долгармаа Шолбанівна")</f>
        <v>КАРА-ООЛ Долгармаа Шолбанівна</v>
      </c>
      <c r="J5828" s="7" t="s">
        <v>31</v>
      </c>
    </row>
    <row r="5829" spans="1:10" ht="13.2">
      <c r="A5829" s="7">
        <v>5828</v>
      </c>
      <c r="B5829" s="7">
        <v>1</v>
      </c>
      <c r="C5829" s="7" t="s">
        <v>10</v>
      </c>
      <c r="D5829" s="7">
        <v>4858</v>
      </c>
      <c r="E5829" s="7" t="s">
        <v>18</v>
      </c>
      <c r="F5829" s="8" t="str">
        <f ca="1">IFERROR(__xludf.DUMMYFUNCTION("IF
(
C5830=""фізична особа""
,
VLOOKUP(D5830,IMPORTRANGE(""https://docs.google.com/spreadsheets/d/14Bd19lYaqBhU8_DElYkX7l4wRkHqqCUFNJY4AfY3kHU/edit?usp=sharing  #gid=0"",""фіз особи new!relations_name""),6,FALSE)
,
(IF
(
C5830=""юридична особа""
,
VLOOKUP"&amp;"(D5830,IMPORTRANGE(""https://docs.google.com/spreadsheets/d/14Bd19lYaqBhU8_DElYkX7l4wRkHqqCUFNJY4AfY3kHU/edit?usp=sharing  #gid=0"",""фіз особи new!relations_name_uo""),7,FALSE)
,
)
))"),"КАРА-ООЛ Валерій Шолбанович")</f>
        <v>КАРА-ООЛ Валерій Шолбанович</v>
      </c>
      <c r="G5829" s="7" t="s">
        <v>10</v>
      </c>
      <c r="H5829" s="7">
        <v>4857</v>
      </c>
      <c r="I5829" s="8" t="str">
        <f ca="1">IFERROR(__xludf.DUMMYFUNCTION("IF
(
G5830=""фізична особа""
,
VLOOKUP(H5830,IMPORTRANGE(""https://docs.google.com/spreadsheets/d/14Bd19lYaqBhU8_DElYkX7l4wRkHqqCUFNJY4AfY3kHU/edit?usp=sharing  #gid=0"",""фіз особи new!relations_name""),6,FALSE)
,
(IF
(
G5830=""юридична особа""
,
VLOOKUP"&amp;"(H5830,IMPORTRANGE(""https://docs.google.com/spreadsheets/d/14Bd19lYaqBhU8_DElYkX7l4wRkHqqCUFNJY4AfY3kHU/edit?usp=sharing  #gid=0"",""фіз особи new!relations_name_uo""),7,FALSE)
,
)
))"),"КАРА-ООЛ Чінчілей Шолбанівна")</f>
        <v>КАРА-ООЛ Чінчілей Шолбанівна</v>
      </c>
      <c r="J5829" s="7" t="s">
        <v>31</v>
      </c>
    </row>
    <row r="5830" spans="1:10" ht="13.2">
      <c r="A5830" s="7">
        <v>5829</v>
      </c>
      <c r="B5830" s="7">
        <v>1</v>
      </c>
      <c r="C5830" s="7" t="s">
        <v>10</v>
      </c>
      <c r="D5830" s="7">
        <v>4859</v>
      </c>
      <c r="E5830" s="7" t="s">
        <v>48</v>
      </c>
      <c r="F5830" s="8" t="str">
        <f ca="1">IFERROR(__xludf.DUMMYFUNCTION("IF
(
C5831=""фізична особа""
,
VLOOKUP(D5831,IMPORTRANGE(""https://docs.google.com/spreadsheets/d/14Bd19lYaqBhU8_DElYkX7l4wRkHqqCUFNJY4AfY3kHU/edit?usp=sharing  #gid=0"",""фіз особи new!relations_name""),6,FALSE)
,
(IF
(
C5831=""юридична особа""
,
VLOOKUP"&amp;"(D5831,IMPORTRANGE(""https://docs.google.com/spreadsheets/d/14Bd19lYaqBhU8_DElYkX7l4wRkHqqCUFNJY4AfY3kHU/edit?usp=sharing  #gid=0"",""фіз особи new!relations_name_uo""),7,FALSE)
,
)
))"),"ЗАНКО Ольга Миколаївна")</f>
        <v>ЗАНКО Ольга Миколаївна</v>
      </c>
      <c r="G5830" s="7" t="s">
        <v>10</v>
      </c>
      <c r="H5830" s="7">
        <v>880</v>
      </c>
      <c r="I5830" s="8" t="str">
        <f ca="1">IFERROR(__xludf.DUMMYFUNCTION("IF
(
G5831=""фізична особа""
,
VLOOKUP(H5831,IMPORTRANGE(""https://docs.google.com/spreadsheets/d/14Bd19lYaqBhU8_DElYkX7l4wRkHqqCUFNJY4AfY3kHU/edit?usp=sharing  #gid=0"",""фіз особи new!relations_name""),6,FALSE)
,
(IF
(
G5831=""юридична особа""
,
VLOOKUP"&amp;"(H5831,IMPORTRANGE(""https://docs.google.com/spreadsheets/d/14Bd19lYaqBhU8_DElYkX7l4wRkHqqCUFNJY4AfY3kHU/edit?usp=sharing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5830" s="7" t="s">
        <v>48</v>
      </c>
    </row>
    <row r="5831" spans="1:10" ht="13.2">
      <c r="A5831" s="7">
        <v>5830</v>
      </c>
      <c r="B5831" s="7">
        <v>1</v>
      </c>
      <c r="C5831" s="7" t="s">
        <v>10</v>
      </c>
      <c r="D5831" s="7">
        <v>4864</v>
      </c>
      <c r="E5831" s="7" t="s">
        <v>25</v>
      </c>
      <c r="F5831" s="8" t="str">
        <f ca="1">IFERROR(__xludf.DUMMYFUNCTION("IF
(
C5832=""фізична особа""
,
VLOOKUP(D5832,IMPORTRANGE(""https://docs.google.com/spreadsheets/d/14Bd19lYaqBhU8_DElYkX7l4wRkHqqCUFNJY4AfY3kHU/edit?usp=sharing  #gid=0"",""фіз особи new!relations_name""),6,FALSE)
,
(IF
(
C5832=""юридична особа""
,
VLOOKUP"&amp;"(D5832,IMPORTRANGE(""https://docs.google.com/spreadsheets/d/14Bd19lYaqBhU8_DElYkX7l4wRkHqqCUFNJY4AfY3kHU/edit?usp=sharing  #gid=0"",""фіз особи new!relations_name_uo""),7,FALSE)
,
)
))"),"КАЧКАЄВА Сабіна Адельшівна")</f>
        <v>КАЧКАЄВА Сабіна Адельшівна</v>
      </c>
      <c r="G5831" s="7" t="s">
        <v>10</v>
      </c>
      <c r="H5831" s="7">
        <v>585</v>
      </c>
      <c r="I5831" s="8" t="str">
        <f ca="1">IFERROR(__xludf.DUMMYFUNCTION("IF
(
G5832=""фізична особа""
,
VLOOKUP(H5832,IMPORTRANGE(""https://docs.google.com/spreadsheets/d/14Bd19lYaqBhU8_DElYkX7l4wRkHqqCUFNJY4AfY3kHU/edit?usp=sharing  #gid=0"",""фіз особи new!relations_name""),6,FALSE)
,
(IF
(
G5832=""юридична особа""
,
VLOOKUP"&amp;"(H5832,IMPORTRANGE(""https://docs.google.com/spreadsheets/d/14Bd19lYaqBhU8_DElYkX7l4wRkHqqCUFNJY4AfY3kHU/edit?usp=sharing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J5831" s="7" t="s">
        <v>34</v>
      </c>
    </row>
    <row r="5832" spans="1:10" ht="13.2">
      <c r="A5832" s="7">
        <v>5831</v>
      </c>
      <c r="B5832" s="7">
        <v>1</v>
      </c>
      <c r="C5832" s="7" t="s">
        <v>10</v>
      </c>
      <c r="D5832" s="7">
        <v>4865</v>
      </c>
      <c r="E5832" s="7" t="s">
        <v>17</v>
      </c>
      <c r="F5832" s="8" t="str">
        <f ca="1">IFERROR(__xludf.DUMMYFUNCTION("IF
(
C5833=""фізична особа""
,
VLOOKUP(D5833,IMPORTRANGE(""https://docs.google.com/spreadsheets/d/14Bd19lYaqBhU8_DElYkX7l4wRkHqqCUFNJY4AfY3kHU/edit?usp=sharing  #gid=0"",""фіз особи new!relations_name""),6,FALSE)
,
(IF
(
C5833=""юридична особа""
,
VLOOKUP"&amp;"(D5833,IMPORTRANGE(""https://docs.google.com/spreadsheets/d/14Bd19lYaqBhU8_DElYkX7l4wRkHqqCUFNJY4AfY3kHU/edit?usp=sharing  #gid=0"",""фіз особи new!relations_name_uo""),7,FALSE)
,
)
))"),"КАЧКАЄВ Сергій Павлович")</f>
        <v>КАЧКАЄВ Сергій Павлович</v>
      </c>
      <c r="G5832" s="7" t="s">
        <v>10</v>
      </c>
      <c r="H5832" s="7">
        <v>585</v>
      </c>
      <c r="I5832" s="8" t="str">
        <f ca="1">IFERROR(__xludf.DUMMYFUNCTION("IF
(
G5833=""фізична особа""
,
VLOOKUP(H5833,IMPORTRANGE(""https://docs.google.com/spreadsheets/d/14Bd19lYaqBhU8_DElYkX7l4wRkHqqCUFNJY4AfY3kHU/edit?usp=sharing  #gid=0"",""фіз особи new!relations_name""),6,FALSE)
,
(IF
(
G5833=""юридична особа""
,
VLOOKUP"&amp;"(H5833,IMPORTRANGE(""https://docs.google.com/spreadsheets/d/14Bd19lYaqBhU8_DElYkX7l4wRkHqqCUFNJY4AfY3kHU/edit?usp=sharing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J5832" s="7" t="s">
        <v>12</v>
      </c>
    </row>
    <row r="5833" spans="1:10" ht="13.2">
      <c r="A5833" s="7">
        <v>5832</v>
      </c>
      <c r="B5833" s="7">
        <v>1</v>
      </c>
      <c r="C5833" s="7" t="s">
        <v>10</v>
      </c>
      <c r="D5833" s="7">
        <v>4866</v>
      </c>
      <c r="E5833" s="7" t="s">
        <v>13</v>
      </c>
      <c r="F5833" s="8" t="str">
        <f ca="1">IFERROR(__xludf.DUMMYFUNCTION("IF
(
C5834=""фізична особа""
,
VLOOKUP(D5834,IMPORTRANGE(""https://docs.google.com/spreadsheets/d/14Bd19lYaqBhU8_DElYkX7l4wRkHqqCUFNJY4AfY3kHU/edit?usp=sharing  #gid=0"",""фіз особи new!relations_name""),6,FALSE)
,
(IF
(
C5834=""юридична особа""
,
VLOOKUP"&amp;"(D5834,IMPORTRANGE(""https://docs.google.com/spreadsheets/d/14Bd19lYaqBhU8_DElYkX7l4wRkHqqCUFNJY4AfY3kHU/edit?usp=sharing  #gid=0"",""фіз особи new!relations_name_uo""),7,FALSE)
,
)
))"),"ІСАЄВА Анастасія Андрійвна")</f>
        <v>ІСАЄВА Анастасія Андрійвна</v>
      </c>
      <c r="G5833" s="7" t="s">
        <v>10</v>
      </c>
      <c r="H5833" s="7">
        <v>74</v>
      </c>
      <c r="I5833" s="8" t="str">
        <f ca="1">IFERROR(__xludf.DUMMYFUNCTION("IF
(
G5834=""фізична особа""
,
VLOOKUP(H5834,IMPORTRANGE(""https://docs.google.com/spreadsheets/d/14Bd19lYaqBhU8_DElYkX7l4wRkHqqCUFNJY4AfY3kHU/edit?usp=sharing  #gid=0"",""фіз особи new!relations_name""),6,FALSE)
,
(IF
(
G5834=""юридична особа""
,
VLOOKUP"&amp;"(H5834,IMPORTRANGE(""https://docs.google.com/spreadsheets/d/14Bd19lYaqBhU8_DElYkX7l4wRkHqqCUFNJY4AfY3kHU/edit?usp=sharing  #gid=0"",""фіз особи new!relations_name_uo""),7,FALSE)
,
)
))"),"ІСАЄВ Андрій Костянтинович")</f>
        <v>ІСАЄВ Андрій Костянтинович</v>
      </c>
      <c r="J5833" s="7" t="s">
        <v>12</v>
      </c>
    </row>
    <row r="5834" spans="1:10" ht="13.2">
      <c r="A5834" s="7">
        <v>5833</v>
      </c>
      <c r="B5834" s="7">
        <v>1</v>
      </c>
      <c r="C5834" s="7" t="s">
        <v>10</v>
      </c>
      <c r="D5834" s="7">
        <v>4868</v>
      </c>
      <c r="E5834" s="7" t="s">
        <v>15</v>
      </c>
      <c r="F5834" s="8" t="str">
        <f ca="1">IFERROR(__xludf.DUMMYFUNCTION("IF
(
C5835=""фізична особа""
,
VLOOKUP(D5835,IMPORTRANGE(""https://docs.google.com/spreadsheets/d/14Bd19lYaqBhU8_DElYkX7l4wRkHqqCUFNJY4AfY3kHU/edit?usp=sharing  #gid=0"",""фіз особи new!relations_name""),6,FALSE)
,
(IF
(
C5835=""юридична особа""
,
VLOOKUP"&amp;"(D5835,IMPORTRANGE(""https://docs.google.com/spreadsheets/d/14Bd19lYaqBhU8_DElYkX7l4wRkHqqCUFNJY4AfY3kHU/edit?usp=sharing  #gid=0"",""фіз особи new!relations_name_uo""),7,FALSE)
,
)
))"),"КУТЕПОВА / ГОЛОВІНА Оксана Адольфівна")</f>
        <v>КУТЕПОВА / ГОЛОВІНА Оксана Адольфівна</v>
      </c>
      <c r="G5834" s="7" t="s">
        <v>10</v>
      </c>
      <c r="H5834" s="7">
        <v>85</v>
      </c>
      <c r="I5834" s="8" t="str">
        <f ca="1">IFERROR(__xludf.DUMMYFUNCTION("IF
(
G5835=""фізична особа""
,
VLOOKUP(H5835,IMPORTRANGE(""https://docs.google.com/spreadsheets/d/14Bd19lYaqBhU8_DElYkX7l4wRkHqqCUFNJY4AfY3kHU/edit?usp=sharing  #gid=0"",""фіз особи new!relations_name""),6,FALSE)
,
(IF
(
G5835=""юридична особа""
,
VLOOKUP"&amp;"(H5835,IMPORTRANGE(""https://docs.google.com/spreadsheets/d/14Bd19lYaqBhU8_DElYkX7l4wRkHqqCUFNJY4AfY3kHU/edit?usp=sharing  #gid=0"",""фіз особи new!relations_name_uo""),7,FALSE)
,
)
))"),"КУТЄПОВ Андрій Вікторович")</f>
        <v>КУТЄПОВ Андрій Вікторович</v>
      </c>
      <c r="J5834" s="7" t="s">
        <v>14</v>
      </c>
    </row>
    <row r="5835" spans="1:10" ht="13.2">
      <c r="A5835" s="7">
        <v>5834</v>
      </c>
      <c r="B5835" s="7">
        <v>1</v>
      </c>
      <c r="C5835" s="7" t="s">
        <v>10</v>
      </c>
      <c r="D5835" s="7">
        <v>4876</v>
      </c>
      <c r="E5835" s="7" t="s">
        <v>18</v>
      </c>
      <c r="F5835" s="8" t="str">
        <f ca="1">IFERROR(__xludf.DUMMYFUNCTION("IF
(
C5836=""фізична особа""
,
VLOOKUP(D5836,IMPORTRANGE(""https://docs.google.com/spreadsheets/d/14Bd19lYaqBhU8_DElYkX7l4wRkHqqCUFNJY4AfY3kHU/edit?usp=sharing  #gid=0"",""фіз особи new!relations_name""),6,FALSE)
,
(IF
(
C5836=""юридична особа""
,
VLOOKUP"&amp;"(D5836,IMPORTRANGE(""https://docs.google.com/spreadsheets/d/14Bd19lYaqBhU8_DElYkX7l4wRkHqqCUFNJY4AfY3kHU/edit?usp=sharing  #gid=0"",""фіз особи new!relations_name_uo""),7,FALSE)
,
)
))"),"МАКАРОВ Василь Серафимович")</f>
        <v>МАКАРОВ Василь Серафимович</v>
      </c>
      <c r="G5835" s="7" t="s">
        <v>10</v>
      </c>
      <c r="H5835" s="7">
        <v>895</v>
      </c>
      <c r="I5835" s="8" t="str">
        <f ca="1">IFERROR(__xludf.DUMMYFUNCTION("IF
(
G5836=""фізична особа""
,
VLOOKUP(H5836,IMPORTRANGE(""https://docs.google.com/spreadsheets/d/14Bd19lYaqBhU8_DElYkX7l4wRkHqqCUFNJY4AfY3kHU/edit?usp=sharing  #gid=0"",""фіз особи new!relations_name""),6,FALSE)
,
(IF
(
G5836=""юридична особа""
,
VLOOKUP"&amp;"(H5836,IMPORTRANGE(""https://docs.google.com/spreadsheets/d/14Bd19lYaqBhU8_DElYkX7l4wRkHqqCUFNJY4AfY3kHU/edit?usp=sharing  #gid=0"",""фіз особи new!relations_name_uo""),7,FALSE)
,
)
))"),"МАКАРОВ В'ячеслав Серафимович")</f>
        <v>МАКАРОВ В'ячеслав Серафимович</v>
      </c>
      <c r="J5835" s="7" t="s">
        <v>18</v>
      </c>
    </row>
    <row r="5836" spans="1:10" ht="13.2">
      <c r="A5836" s="7">
        <v>5835</v>
      </c>
      <c r="B5836" s="7">
        <v>1</v>
      </c>
      <c r="C5836" s="7" t="s">
        <v>10</v>
      </c>
      <c r="D5836" s="7">
        <v>4877</v>
      </c>
      <c r="E5836" s="7" t="s">
        <v>12</v>
      </c>
      <c r="F5836" s="8" t="str">
        <f ca="1">IFERROR(__xludf.DUMMYFUNCTION("IF
(
C5837=""фізична особа""
,
VLOOKUP(D5837,IMPORTRANGE(""https://docs.google.com/spreadsheets/d/14Bd19lYaqBhU8_DElYkX7l4wRkHqqCUFNJY4AfY3kHU/edit?usp=sharing  #gid=0"",""фіз особи new!relations_name""),6,FALSE)
,
(IF
(
C5837=""юридична особа""
,
VLOOKUP"&amp;"(D5837,IMPORTRANGE(""https://docs.google.com/spreadsheets/d/14Bd19lYaqBhU8_DElYkX7l4wRkHqqCUFNJY4AfY3kHU/edit?usp=sharing  #gid=0"",""фіз особи new!relations_name_uo""),7,FALSE)
,
)
))"),"МАКІЄВ Гайоз Костянтинович")</f>
        <v>МАКІЄВ Гайоз Костянтинович</v>
      </c>
      <c r="G5836" s="7" t="s">
        <v>10</v>
      </c>
      <c r="H5836" s="7">
        <v>960</v>
      </c>
      <c r="I5836" s="8" t="str">
        <f ca="1">IFERROR(__xludf.DUMMYFUNCTION("IF
(
G5837=""фізична особа""
,
VLOOKUP(H5837,IMPORTRANGE(""https://docs.google.com/spreadsheets/d/14Bd19lYaqBhU8_DElYkX7l4wRkHqqCUFNJY4AfY3kHU/edit?usp=sharing  #gid=0"",""фіз особи new!relations_name""),6,FALSE)
,
(IF
(
G5837=""юридична особа""
,
VLOOKUP"&amp;"(H5837,IMPORTRANGE(""https://docs.google.com/spreadsheets/d/14Bd19lYaqBhU8_DElYkX7l4wRkHqqCUFNJY4AfY3kHU/edit?usp=sharing  #gid=0"",""фіз особи new!relations_name_uo""),7,FALSE)
,
)
))"),"МАКІЄВ Зураб Гайозович")</f>
        <v>МАКІЄВ Зураб Гайозович</v>
      </c>
      <c r="J5836" s="7" t="s">
        <v>17</v>
      </c>
    </row>
    <row r="5837" spans="1:10" ht="13.2">
      <c r="A5837" s="7">
        <v>5836</v>
      </c>
      <c r="B5837" s="7">
        <v>1</v>
      </c>
      <c r="C5837" s="7" t="s">
        <v>10</v>
      </c>
      <c r="D5837" s="7">
        <v>4879</v>
      </c>
      <c r="E5837" s="7" t="s">
        <v>15</v>
      </c>
      <c r="F5837" s="8" t="str">
        <f ca="1">IFERROR(__xludf.DUMMYFUNCTION("IF
(
C5838=""фізична особа""
,
VLOOKUP(D5838,IMPORTRANGE(""https://docs.google.com/spreadsheets/d/14Bd19lYaqBhU8_DElYkX7l4wRkHqqCUFNJY4AfY3kHU/edit?usp=sharing  #gid=0"",""фіз особи new!relations_name""),6,FALSE)
,
(IF
(
C5838=""юридична особа""
,
VLOOKUP"&amp;"(D5838,IMPORTRANGE(""https://docs.google.com/spreadsheets/d/14Bd19lYaqBhU8_DElYkX7l4wRkHqqCUFNJY4AfY3kHU/edit?usp=sharing  #gid=0"",""фіз особи new!relations_name_uo""),7,FALSE)
,
)
))"),"МЕЛІКОВА Галина Анатоліївна")</f>
        <v>МЕЛІКОВА Галина Анатоліївна</v>
      </c>
      <c r="G5837" s="7" t="s">
        <v>10</v>
      </c>
      <c r="H5837" s="7">
        <v>2503</v>
      </c>
      <c r="I5837" s="8" t="str">
        <f ca="1">IFERROR(__xludf.DUMMYFUNCTION("IF
(
G5838=""фізична особа""
,
VLOOKUP(H5838,IMPORTRANGE(""https://docs.google.com/spreadsheets/d/14Bd19lYaqBhU8_DElYkX7l4wRkHqqCUFNJY4AfY3kHU/edit?usp=sharing  #gid=0"",""фіз особи new!relations_name""),6,FALSE)
,
(IF
(
G5838=""юридична особа""
,
VLOOKUP"&amp;"(H5838,IMPORTRANGE(""https://docs.google.com/spreadsheets/d/14Bd19lYaqBhU8_DElYkX7l4wRkHqqCUFNJY4AfY3kHU/edit?usp=sharing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J5837" s="7" t="s">
        <v>14</v>
      </c>
    </row>
    <row r="5838" spans="1:10" ht="13.2">
      <c r="A5838" s="7">
        <v>5837</v>
      </c>
      <c r="B5838" s="7">
        <v>1</v>
      </c>
      <c r="C5838" s="7" t="s">
        <v>10</v>
      </c>
      <c r="D5838" s="7">
        <v>4879</v>
      </c>
      <c r="E5838" s="7" t="s">
        <v>21</v>
      </c>
      <c r="F5838" s="8" t="str">
        <f ca="1">IFERROR(__xludf.DUMMYFUNCTION("IF
(
C5839=""фізична особа""
,
VLOOKUP(D5839,IMPORTRANGE(""https://docs.google.com/spreadsheets/d/14Bd19lYaqBhU8_DElYkX7l4wRkHqqCUFNJY4AfY3kHU/edit?usp=sharing  #gid=0"",""фіз особи new!relations_name""),6,FALSE)
,
(IF
(
C5839=""юридична особа""
,
VLOOKUP"&amp;"(D5839,IMPORTRANGE(""https://docs.google.com/spreadsheets/d/14Bd19lYaqBhU8_DElYkX7l4wRkHqqCUFNJY4AfY3kHU/edit?usp=sharing  #gid=0"",""фіз особи new!relations_name_uo""),7,FALSE)
,
)
))"),"МЕЛІКОВА Галина Анатоліївна")</f>
        <v>МЕЛІКОВА Галина Анатоліївна</v>
      </c>
      <c r="G5838" s="7" t="s">
        <v>10</v>
      </c>
      <c r="H5838" s="7">
        <v>4881</v>
      </c>
      <c r="I5838" s="8" t="str">
        <f ca="1">IFERROR(__xludf.DUMMYFUNCTION("IF
(
G5839=""фізична особа""
,
VLOOKUP(H5839,IMPORTRANGE(""https://docs.google.com/spreadsheets/d/14Bd19lYaqBhU8_DElYkX7l4wRkHqqCUFNJY4AfY3kHU/edit?usp=sharing  #gid=0"",""фіз особи new!relations_name""),6,FALSE)
,
(IF
(
G5839=""юридична особа""
,
VLOOKUP"&amp;"(H5839,IMPORTRANGE(""https://docs.google.com/spreadsheets/d/14Bd19lYaqBhU8_DElYkX7l4wRkHqqCUFNJY4AfY3kHU/edit?usp=sharing  #gid=0"",""фіз особи new!relations_name_uo""),7,FALSE)
,
)
))"),"МЕЛІКОВ Михайло Сергійович")</f>
        <v>МЕЛІКОВ Михайло Сергійович</v>
      </c>
      <c r="J5838" s="7" t="s">
        <v>17</v>
      </c>
    </row>
    <row r="5839" spans="1:10" ht="13.2">
      <c r="A5839" s="7">
        <v>5838</v>
      </c>
      <c r="B5839" s="7">
        <v>1</v>
      </c>
      <c r="C5839" s="7" t="s">
        <v>10</v>
      </c>
      <c r="D5839" s="7">
        <v>4880</v>
      </c>
      <c r="E5839" s="7" t="s">
        <v>18</v>
      </c>
      <c r="F5839" s="8" t="str">
        <f ca="1">IFERROR(__xludf.DUMMYFUNCTION("IF
(
C5840=""фізична особа""
,
VLOOKUP(D5840,IMPORTRANGE(""https://docs.google.com/spreadsheets/d/14Bd19lYaqBhU8_DElYkX7l4wRkHqqCUFNJY4AfY3kHU/edit?usp=sharing  #gid=0"",""фіз особи new!relations_name""),6,FALSE)
,
(IF
(
C5840=""юридична особа""
,
VLOOKUP"&amp;"(D5840,IMPORTRANGE(""https://docs.google.com/spreadsheets/d/14Bd19lYaqBhU8_DElYkX7l4wRkHqqCUFNJY4AfY3kHU/edit?usp=sharing  #gid=0"",""фіз особи new!relations_name_uo""),7,FALSE)
,
)
))"),"МЕЛІКОВ Михайло Алімович")</f>
        <v>МЕЛІКОВ Михайло Алімович</v>
      </c>
      <c r="G5839" s="7" t="s">
        <v>10</v>
      </c>
      <c r="H5839" s="7">
        <v>2503</v>
      </c>
      <c r="I5839" s="8" t="str">
        <f ca="1">IFERROR(__xludf.DUMMYFUNCTION("IF
(
G5840=""фізична особа""
,
VLOOKUP(H5840,IMPORTRANGE(""https://docs.google.com/spreadsheets/d/14Bd19lYaqBhU8_DElYkX7l4wRkHqqCUFNJY4AfY3kHU/edit?usp=sharing  #gid=0"",""фіз особи new!relations_name""),6,FALSE)
,
(IF
(
G5840=""юридична особа""
,
VLOOKUP"&amp;"(H5840,IMPORTRANGE(""https://docs.google.com/spreadsheets/d/14Bd19lYaqBhU8_DElYkX7l4wRkHqqCUFNJY4AfY3kHU/edit?usp=sharing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J5839" s="7" t="s">
        <v>18</v>
      </c>
    </row>
    <row r="5840" spans="1:10" ht="13.2">
      <c r="A5840" s="7">
        <v>5839</v>
      </c>
      <c r="B5840" s="7">
        <v>1</v>
      </c>
      <c r="C5840" s="7" t="s">
        <v>10</v>
      </c>
      <c r="D5840" s="7">
        <v>4881</v>
      </c>
      <c r="E5840" s="7" t="s">
        <v>17</v>
      </c>
      <c r="F5840" s="8" t="str">
        <f ca="1">IFERROR(__xludf.DUMMYFUNCTION("IF
(
C5841=""фізична особа""
,
VLOOKUP(D5841,IMPORTRANGE(""https://docs.google.com/spreadsheets/d/14Bd19lYaqBhU8_DElYkX7l4wRkHqqCUFNJY4AfY3kHU/edit?usp=sharing  #gid=0"",""фіз особи new!relations_name""),6,FALSE)
,
(IF
(
C5841=""юридична особа""
,
VLOOKUP"&amp;"(D5841,IMPORTRANGE(""https://docs.google.com/spreadsheets/d/14Bd19lYaqBhU8_DElYkX7l4wRkHqqCUFNJY4AfY3kHU/edit?usp=sharing  #gid=0"",""фіз особи new!relations_name_uo""),7,FALSE)
,
)
))"),"МЕЛІКОВ Михайло Сергійович")</f>
        <v>МЕЛІКОВ Михайло Сергійович</v>
      </c>
      <c r="G5840" s="7" t="s">
        <v>10</v>
      </c>
      <c r="H5840" s="7">
        <v>2503</v>
      </c>
      <c r="I5840" s="8" t="str">
        <f ca="1">IFERROR(__xludf.DUMMYFUNCTION("IF
(
G5841=""фізична особа""
,
VLOOKUP(H5841,IMPORTRANGE(""https://docs.google.com/spreadsheets/d/14Bd19lYaqBhU8_DElYkX7l4wRkHqqCUFNJY4AfY3kHU/edit?usp=sharing  #gid=0"",""фіз особи new!relations_name""),6,FALSE)
,
(IF
(
G5841=""юридична особа""
,
VLOOKUP"&amp;"(H5841,IMPORTRANGE(""https://docs.google.com/spreadsheets/d/14Bd19lYaqBhU8_DElYkX7l4wRkHqqCUFNJY4AfY3kHU/edit?usp=sharing  #gid=0"",""фіз особи new!relations_name_uo""),7,FALSE)
,
)
))"),"МЕЛІКОВ Сергій Алімович")</f>
        <v>МЕЛІКОВ Сергій Алімович</v>
      </c>
      <c r="J5840" s="7" t="s">
        <v>12</v>
      </c>
    </row>
    <row r="5841" spans="1:10" ht="13.2">
      <c r="A5841" s="7">
        <v>5840</v>
      </c>
      <c r="B5841" s="7">
        <v>1</v>
      </c>
      <c r="C5841" s="7" t="s">
        <v>10</v>
      </c>
      <c r="D5841" s="7">
        <v>4882</v>
      </c>
      <c r="E5841" s="7" t="s">
        <v>17</v>
      </c>
      <c r="F5841" s="8" t="str">
        <f ca="1">IFERROR(__xludf.DUMMYFUNCTION("IF
(
C5842=""фізична особа""
,
VLOOKUP(D5842,IMPORTRANGE(""https://docs.google.com/spreadsheets/d/14Bd19lYaqBhU8_DElYkX7l4wRkHqqCUFNJY4AfY3kHU/edit?usp=sharing  #gid=0"",""фіз особи new!relations_name""),6,FALSE)
,
(IF
(
C5842=""юридична особа""
,
VLOOKUP"&amp;"(D5842,IMPORTRANGE(""https://docs.google.com/spreadsheets/d/14Bd19lYaqBhU8_DElYkX7l4wRkHqqCUFNJY4AfY3kHU/edit?usp=sharing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1" s="7" t="s">
        <v>10</v>
      </c>
      <c r="H5841" s="7">
        <v>0</v>
      </c>
      <c r="I5841" s="8" t="str">
        <f ca="1">IFERROR(__xludf.DUMMYFUNCTION("IF
(
G5842=""фізична особа""
,
VLOOKUP(H5842,IMPORTRANGE(""https://docs.google.com/spreadsheets/d/14Bd19lYaqBhU8_DElYkX7l4wRkHqqCUFNJY4AfY3kHU/edit?usp=sharing  #gid=0"",""фіз особи new!relations_name""),6,FALSE)
,
(IF
(
G5842=""юридична особа""
,
VLOOKUP"&amp;"(H5842,IMPORTRANGE(""https://docs.google.com/spreadsheets/d/14Bd19lYaqBhU8_DElYkX7l4wRkHqqCUFNJY4AfY3kHU/edit?usp=sharing  #gid=0"",""фіз особи new!relations_name_uo""),7,FALSE)
,
)
))"),"#N/A")</f>
        <v>#N/A</v>
      </c>
      <c r="J5841" s="7" t="s">
        <v>21</v>
      </c>
    </row>
    <row r="5842" spans="1:10" ht="13.2">
      <c r="A5842" s="7">
        <v>5841</v>
      </c>
      <c r="B5842" s="7">
        <v>1</v>
      </c>
      <c r="C5842" s="7" t="s">
        <v>10</v>
      </c>
      <c r="D5842" s="7">
        <v>4882</v>
      </c>
      <c r="E5842" s="7" t="s">
        <v>12</v>
      </c>
      <c r="F5842" s="8" t="str">
        <f ca="1">IFERROR(__xludf.DUMMYFUNCTION("IF
(
C5843=""фізична особа""
,
VLOOKUP(D5843,IMPORTRANGE(""https://docs.google.com/spreadsheets/d/14Bd19lYaqBhU8_DElYkX7l4wRkHqqCUFNJY4AfY3kHU/edit?usp=sharing  #gid=0"",""фіз особи new!relations_name""),6,FALSE)
,
(IF
(
C5843=""юридична особа""
,
VLOOKUP"&amp;"(D5843,IMPORTRANGE(""https://docs.google.com/spreadsheets/d/14Bd19lYaqBhU8_DElYkX7l4wRkHqqCUFNJY4AfY3kHU/edit?usp=sharing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2" s="7" t="s">
        <v>10</v>
      </c>
      <c r="H5842" s="7">
        <v>0</v>
      </c>
      <c r="I5842" s="8" t="str">
        <f ca="1">IFERROR(__xludf.DUMMYFUNCTION("IF
(
G5843=""фізична особа""
,
VLOOKUP(H5843,IMPORTRANGE(""https://docs.google.com/spreadsheets/d/14Bd19lYaqBhU8_DElYkX7l4wRkHqqCUFNJY4AfY3kHU/edit?usp=sharing  #gid=0"",""фіз особи new!relations_name""),6,FALSE)
,
(IF
(
G5843=""юридична особа""
,
VLOOKUP"&amp;"(H5843,IMPORTRANGE(""https://docs.google.com/spreadsheets/d/14Bd19lYaqBhU8_DElYkX7l4wRkHqqCUFNJY4AfY3kHU/edit?usp=sharing  #gid=0"",""фіз особи new!relations_name_uo""),7,FALSE)
,
)
))"),"#N/A")</f>
        <v>#N/A</v>
      </c>
      <c r="J5842" s="7" t="s">
        <v>17</v>
      </c>
    </row>
    <row r="5843" spans="1:10" ht="13.2">
      <c r="A5843" s="7">
        <v>5842</v>
      </c>
      <c r="B5843" s="7">
        <v>1</v>
      </c>
      <c r="C5843" s="7" t="s">
        <v>10</v>
      </c>
      <c r="D5843" s="7">
        <v>4882</v>
      </c>
      <c r="E5843" s="7" t="s">
        <v>14</v>
      </c>
      <c r="F5843" s="8" t="str">
        <f ca="1">IFERROR(__xludf.DUMMYFUNCTION("IF
(
C5844=""фізична особа""
,
VLOOKUP(D5844,IMPORTRANGE(""https://docs.google.com/spreadsheets/d/14Bd19lYaqBhU8_DElYkX7l4wRkHqqCUFNJY4AfY3kHU/edit?usp=sharing  #gid=0"",""фіз особи new!relations_name""),6,FALSE)
,
(IF
(
C5844=""юридична особа""
,
VLOOKUP"&amp;"(D5844,IMPORTRANGE(""https://docs.google.com/spreadsheets/d/14Bd19lYaqBhU8_DElYkX7l4wRkHqqCUFNJY4AfY3kHU/edit?usp=sharing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3" s="7" t="s">
        <v>10</v>
      </c>
      <c r="H5843" s="7">
        <v>0</v>
      </c>
      <c r="I5843" s="8" t="str">
        <f ca="1">IFERROR(__xludf.DUMMYFUNCTION("IF
(
G5844=""фізична особа""
,
VLOOKUP(H5844,IMPORTRANGE(""https://docs.google.com/spreadsheets/d/14Bd19lYaqBhU8_DElYkX7l4wRkHqqCUFNJY4AfY3kHU/edit?usp=sharing  #gid=0"",""фіз особи new!relations_name""),6,FALSE)
,
(IF
(
G5844=""юридична особа""
,
VLOOKUP"&amp;"(H5844,IMPORTRANGE(""https://docs.google.com/spreadsheets/d/14Bd19lYaqBhU8_DElYkX7l4wRkHqqCUFNJY4AfY3kHU/edit?usp=sharing  #gid=0"",""фіз особи new!relations_name_uo""),7,FALSE)
,
)
))"),"#N/A")</f>
        <v>#N/A</v>
      </c>
      <c r="J5843" s="7" t="s">
        <v>15</v>
      </c>
    </row>
    <row r="5844" spans="1:10" ht="13.2">
      <c r="A5844" s="7">
        <v>5843</v>
      </c>
      <c r="B5844" s="7">
        <v>1</v>
      </c>
      <c r="C5844" s="7" t="s">
        <v>10</v>
      </c>
      <c r="D5844" s="7">
        <v>4882</v>
      </c>
      <c r="E5844" s="7" t="s">
        <v>26</v>
      </c>
      <c r="F5844" s="8" t="str">
        <f ca="1">IFERROR(__xludf.DUMMYFUNCTION("IF
(
C5845=""фізична особа""
,
VLOOKUP(D5845,IMPORTRANGE(""https://docs.google.com/spreadsheets/d/14Bd19lYaqBhU8_DElYkX7l4wRkHqqCUFNJY4AfY3kHU/edit?usp=sharing  #gid=0"",""фіз особи new!relations_name""),6,FALSE)
,
(IF
(
C5845=""юридична особа""
,
VLOOKUP"&amp;"(D5845,IMPORTRANGE(""https://docs.google.com/spreadsheets/d/14Bd19lYaqBhU8_DElYkX7l4wRkHqqCUFNJY4AfY3kHU/edit?usp=sharing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4" s="7" t="s">
        <v>10</v>
      </c>
      <c r="H5844" s="7">
        <v>0</v>
      </c>
      <c r="I5844" s="8" t="str">
        <f ca="1">IFERROR(__xludf.DUMMYFUNCTION("IF
(
G5845=""фізична особа""
,
VLOOKUP(H5845,IMPORTRANGE(""https://docs.google.com/spreadsheets/d/14Bd19lYaqBhU8_DElYkX7l4wRkHqqCUFNJY4AfY3kHU/edit?usp=sharing  #gid=0"",""фіз особи new!relations_name""),6,FALSE)
,
(IF
(
G5845=""юридична особа""
,
VLOOKUP"&amp;"(H5845,IMPORTRANGE(""https://docs.google.com/spreadsheets/d/14Bd19lYaqBhU8_DElYkX7l4wRkHqqCUFNJY4AfY3kHU/edit?usp=sharing  #gid=0"",""фіз особи new!relations_name_uo""),7,FALSE)
,
)
))"),"#N/A")</f>
        <v>#N/A</v>
      </c>
      <c r="J5844" s="7" t="s">
        <v>27</v>
      </c>
    </row>
    <row r="5845" spans="1:10" ht="13.2">
      <c r="A5845" s="7">
        <v>5844</v>
      </c>
      <c r="B5845" s="7">
        <v>1</v>
      </c>
      <c r="C5845" s="7" t="s">
        <v>10</v>
      </c>
      <c r="D5845" s="7">
        <v>4882</v>
      </c>
      <c r="E5845" s="7" t="s">
        <v>14</v>
      </c>
      <c r="F5845" s="8" t="str">
        <f ca="1">IFERROR(__xludf.DUMMYFUNCTION("IF
(
C5846=""фізична особа""
,
VLOOKUP(D5846,IMPORTRANGE(""https://docs.google.com/spreadsheets/d/14Bd19lYaqBhU8_DElYkX7l4wRkHqqCUFNJY4AfY3kHU/edit?usp=sharing  #gid=0"",""фіз особи new!relations_name""),6,FALSE)
,
(IF
(
C5846=""юридична особа""
,
VLOOKUP"&amp;"(D5846,IMPORTRANGE(""https://docs.google.com/spreadsheets/d/14Bd19lYaqBhU8_DElYkX7l4wRkHqqCUFNJY4AfY3kHU/edit?usp=sharing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5" s="7" t="s">
        <v>10</v>
      </c>
      <c r="H5845" s="7">
        <v>0</v>
      </c>
      <c r="I5845" s="8" t="str">
        <f ca="1">IFERROR(__xludf.DUMMYFUNCTION("IF
(
G5846=""фізична особа""
,
VLOOKUP(H5846,IMPORTRANGE(""https://docs.google.com/spreadsheets/d/14Bd19lYaqBhU8_DElYkX7l4wRkHqqCUFNJY4AfY3kHU/edit?usp=sharing  #gid=0"",""фіз особи new!relations_name""),6,FALSE)
,
(IF
(
G5846=""юридична особа""
,
VLOOKUP"&amp;"(H5846,IMPORTRANGE(""https://docs.google.com/spreadsheets/d/14Bd19lYaqBhU8_DElYkX7l4wRkHqqCUFNJY4AfY3kHU/edit?usp=sharing  #gid=0"",""фіз особи new!relations_name_uo""),7,FALSE)
,
)
))"),"#N/A")</f>
        <v>#N/A</v>
      </c>
      <c r="J5845" s="7" t="s">
        <v>43</v>
      </c>
    </row>
    <row r="5846" spans="1:10" ht="13.2">
      <c r="A5846" s="7">
        <v>5845</v>
      </c>
      <c r="B5846" s="7">
        <v>1</v>
      </c>
      <c r="C5846" s="7" t="s">
        <v>10</v>
      </c>
      <c r="D5846" s="7">
        <v>4882</v>
      </c>
      <c r="E5846" s="7" t="s">
        <v>16</v>
      </c>
      <c r="F5846" s="8" t="str">
        <f ca="1">IFERROR(__xludf.DUMMYFUNCTION("IF
(
C5847=""фізична особа""
,
VLOOKUP(D5847,IMPORTRANGE(""https://docs.google.com/spreadsheets/d/14Bd19lYaqBhU8_DElYkX7l4wRkHqqCUFNJY4AfY3kHU/edit?usp=sharing  #gid=0"",""фіз особи new!relations_name""),6,FALSE)
,
(IF
(
C5847=""юридична особа""
,
VLOOKUP"&amp;"(D5847,IMPORTRANGE(""https://docs.google.com/spreadsheets/d/14Bd19lYaqBhU8_DElYkX7l4wRkHqqCUFNJY4AfY3kHU/edit?usp=sharing  #gid=0"",""фіз особи new!relations_name_uo""),7,FALSE)
,
)
))"),"МЕТЕЛЬСЬКИЙ Андрій Миколайович")</f>
        <v>МЕТЕЛЬСЬКИЙ Андрій Миколайович</v>
      </c>
      <c r="G5846" s="7" t="s">
        <v>10</v>
      </c>
      <c r="H5846" s="7">
        <v>0</v>
      </c>
      <c r="I5846" s="8" t="str">
        <f ca="1">IFERROR(__xludf.DUMMYFUNCTION("IF
(
G5847=""фізична особа""
,
VLOOKUP(H5847,IMPORTRANGE(""https://docs.google.com/spreadsheets/d/14Bd19lYaqBhU8_DElYkX7l4wRkHqqCUFNJY4AfY3kHU/edit?usp=sharing  #gid=0"",""фіз особи new!relations_name""),6,FALSE)
,
(IF
(
G5847=""юридична особа""
,
VLOOKUP"&amp;"(H5847,IMPORTRANGE(""https://docs.google.com/spreadsheets/d/14Bd19lYaqBhU8_DElYkX7l4wRkHqqCUFNJY4AfY3kHU/edit?usp=sharing  #gid=0"",""фіз особи new!relations_name_uo""),7,FALSE)
,
)
))"),"#N/A")</f>
        <v>#N/A</v>
      </c>
      <c r="J5846" s="7" t="s">
        <v>16</v>
      </c>
    </row>
    <row r="5847" spans="1:10" ht="13.2">
      <c r="A5847" s="7">
        <v>5846</v>
      </c>
      <c r="B5847" s="7">
        <v>1</v>
      </c>
      <c r="C5847" s="7" t="s">
        <v>10</v>
      </c>
      <c r="D5847" s="7">
        <v>4884</v>
      </c>
      <c r="E5847" s="7" t="s">
        <v>15</v>
      </c>
      <c r="F5847" s="8" t="str">
        <f ca="1">IFERROR(__xludf.DUMMYFUNCTION("IF
(
C5848=""фізична особа""
,
VLOOKUP(D5848,IMPORTRANGE(""https://docs.google.com/spreadsheets/d/14Bd19lYaqBhU8_DElYkX7l4wRkHqqCUFNJY4AfY3kHU/edit?usp=sharing  #gid=0"",""фіз особи new!relations_name""),6,FALSE)
,
(IF
(
C5848=""юридична особа""
,
VLOOKUP"&amp;"(D5848,IMPORTRANGE(""https://docs.google.com/spreadsheets/d/14Bd19lYaqBhU8_DElYkX7l4wRkHqqCUFNJY4AfY3kHU/edit?usp=sharing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G5847" s="7" t="s">
        <v>10</v>
      </c>
      <c r="H5847" s="7">
        <v>699</v>
      </c>
      <c r="I5847" s="8" t="str">
        <f ca="1">IFERROR(__xludf.DUMMYFUNCTION("IF
(
G5848=""фізична особа""
,
VLOOKUP(H5848,IMPORTRANGE(""https://docs.google.com/spreadsheets/d/14Bd19lYaqBhU8_DElYkX7l4wRkHqqCUFNJY4AfY3kHU/edit?usp=sharing  #gid=0"",""фіз особи new!relations_name""),6,FALSE)
,
(IF
(
G5848=""юридична особа""
,
VLOOKUP"&amp;"(H5848,IMPORTRANGE(""https://docs.google.com/spreadsheets/d/14Bd19lYaqBhU8_DElYkX7l4wRkHqqCUFNJY4AfY3kHU/edit?usp=sharing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5847" s="7" t="s">
        <v>14</v>
      </c>
    </row>
    <row r="5848" spans="1:10" ht="13.2">
      <c r="A5848" s="7">
        <v>5847</v>
      </c>
      <c r="B5848" s="7">
        <v>1</v>
      </c>
      <c r="C5848" s="7" t="s">
        <v>10</v>
      </c>
      <c r="D5848" s="7">
        <v>4884</v>
      </c>
      <c r="E5848" s="7" t="s">
        <v>13</v>
      </c>
      <c r="F5848" s="8" t="str">
        <f ca="1">IFERROR(__xludf.DUMMYFUNCTION("IF
(
C5849=""фізична особа""
,
VLOOKUP(D5849,IMPORTRANGE(""https://docs.google.com/spreadsheets/d/14Bd19lYaqBhU8_DElYkX7l4wRkHqqCUFNJY4AfY3kHU/edit?usp=sharing  #gid=0"",""фіз особи new!relations_name""),6,FALSE)
,
(IF
(
C5849=""юридична особа""
,
VLOOKUP"&amp;"(D5849,IMPORTRANGE(""https://docs.google.com/spreadsheets/d/14Bd19lYaqBhU8_DElYkX7l4wRkHqqCUFNJY4AfY3kHU/edit?usp=sharing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G5848" s="7" t="s">
        <v>10</v>
      </c>
      <c r="H5848" s="7">
        <v>0</v>
      </c>
      <c r="I5848" s="8" t="str">
        <f ca="1">IFERROR(__xludf.DUMMYFUNCTION("IF
(
G5849=""фізична особа""
,
VLOOKUP(H5849,IMPORTRANGE(""https://docs.google.com/spreadsheets/d/14Bd19lYaqBhU8_DElYkX7l4wRkHqqCUFNJY4AfY3kHU/edit?usp=sharing  #gid=0"",""фіз особи new!relations_name""),6,FALSE)
,
(IF
(
G5849=""юридична особа""
,
VLOOKUP"&amp;"(H5849,IMPORTRANGE(""https://docs.google.com/spreadsheets/d/14Bd19lYaqBhU8_DElYkX7l4wRkHqqCUFNJY4AfY3kHU/edit?usp=sharing  #gid=0"",""фіз особи new!relations_name_uo""),7,FALSE)
,
)
))"),"#N/A")</f>
        <v>#N/A</v>
      </c>
      <c r="J5848" s="7" t="s">
        <v>21</v>
      </c>
    </row>
    <row r="5849" spans="1:10" ht="13.2">
      <c r="A5849" s="7">
        <v>5848</v>
      </c>
      <c r="B5849" s="7">
        <v>1</v>
      </c>
      <c r="C5849" s="7" t="s">
        <v>10</v>
      </c>
      <c r="D5849" s="7">
        <v>4884</v>
      </c>
      <c r="E5849" s="7" t="s">
        <v>21</v>
      </c>
      <c r="F5849" s="8" t="str">
        <f ca="1">IFERROR(__xludf.DUMMYFUNCTION("IF
(
C5850=""фізична особа""
,
VLOOKUP(D5850,IMPORTRANGE(""https://docs.google.com/spreadsheets/d/14Bd19lYaqBhU8_DElYkX7l4wRkHqqCUFNJY4AfY3kHU/edit?usp=sharing  #gid=0"",""фіз особи new!relations_name""),6,FALSE)
,
(IF
(
C5850=""юридична особа""
,
VLOOKUP"&amp;"(D5850,IMPORTRANGE(""https://docs.google.com/spreadsheets/d/14Bd19lYaqBhU8_DElYkX7l4wRkHqqCUFNJY4AfY3kHU/edit?usp=sharing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G5849" s="7" t="s">
        <v>10</v>
      </c>
      <c r="H5849" s="7">
        <v>23446</v>
      </c>
      <c r="I5849" s="8" t="str">
        <f ca="1">IFERROR(__xludf.DUMMYFUNCTION("IF
(
G5850=""фізична особа""
,
VLOOKUP(H5850,IMPORTRANGE(""https://docs.google.com/spreadsheets/d/14Bd19lYaqBhU8_DElYkX7l4wRkHqqCUFNJY4AfY3kHU/edit?usp=sharing  #gid=0"",""фіз особи new!relations_name""),6,FALSE)
,
(IF
(
G5850=""юридична особа""
,
VLOOKUP"&amp;"(H5850,IMPORTRANGE(""https://docs.google.com/spreadsheets/d/14Bd19lYaqBhU8_DElYkX7l4wRkHqqCUFNJY4AfY3kHU/edit?usp=sharing  #gid=0"",""фіз особи new!relations_name_uo""),7,FALSE)
,
)
))"),"МОРОЗОВА Еліна Сергіївна")</f>
        <v>МОРОЗОВА Еліна Сергіївна</v>
      </c>
      <c r="J5849" s="7" t="s">
        <v>13</v>
      </c>
    </row>
    <row r="5850" spans="1:10" ht="13.2">
      <c r="A5850" s="7">
        <v>5849</v>
      </c>
      <c r="B5850" s="7">
        <v>1</v>
      </c>
      <c r="C5850" s="7" t="s">
        <v>10</v>
      </c>
      <c r="D5850" s="7">
        <v>4884</v>
      </c>
      <c r="E5850" s="7" t="s">
        <v>21</v>
      </c>
      <c r="F5850" s="8" t="str">
        <f ca="1">IFERROR(__xludf.DUMMYFUNCTION("IF
(
C5851=""фізична особа""
,
VLOOKUP(D5851,IMPORTRANGE(""https://docs.google.com/spreadsheets/d/14Bd19lYaqBhU8_DElYkX7l4wRkHqqCUFNJY4AfY3kHU/edit?usp=sharing  #gid=0"",""фіз особи new!relations_name""),6,FALSE)
,
(IF
(
C5851=""юридична особа""
,
VLOOKUP"&amp;"(D5851,IMPORTRANGE(""https://docs.google.com/spreadsheets/d/14Bd19lYaqBhU8_DElYkX7l4wRkHqqCUFNJY4AfY3kHU/edit?usp=sharing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G5850" s="7" t="s">
        <v>10</v>
      </c>
      <c r="H5850" s="7">
        <v>23444</v>
      </c>
      <c r="I5850" s="8" t="str">
        <f ca="1">IFERROR(__xludf.DUMMYFUNCTION("IF
(
G5851=""фізична особа""
,
VLOOKUP(H5851,IMPORTRANGE(""https://docs.google.com/spreadsheets/d/14Bd19lYaqBhU8_DElYkX7l4wRkHqqCUFNJY4AfY3kHU/edit?usp=sharing  #gid=0"",""фіз особи new!relations_name""),6,FALSE)
,
(IF
(
G5851=""юридична особа""
,
VLOOKUP"&amp;"(H5851,IMPORTRANGE(""https://docs.google.com/spreadsheets/d/14Bd19lYaqBhU8_DElYkX7l4wRkHqqCUFNJY4AfY3kHU/edit?usp=sharing  #gid=0"",""фіз особи new!relations_name_uo""),7,FALSE)
,
)
))"),"МОРОЗОВА Анфіса Сергіївна")</f>
        <v>МОРОЗОВА Анфіса Сергіївна</v>
      </c>
      <c r="J5850" s="7" t="s">
        <v>13</v>
      </c>
    </row>
    <row r="5851" spans="1:10" ht="13.2">
      <c r="A5851" s="7">
        <v>5850</v>
      </c>
      <c r="B5851" s="7">
        <v>1</v>
      </c>
      <c r="C5851" s="7" t="s">
        <v>10</v>
      </c>
      <c r="D5851" s="7">
        <v>4884</v>
      </c>
      <c r="E5851" s="7" t="s">
        <v>21</v>
      </c>
      <c r="F5851" s="8" t="str">
        <f ca="1">IFERROR(__xludf.DUMMYFUNCTION("IF
(
C5852=""фізична особа""
,
VLOOKUP(D5852,IMPORTRANGE(""https://docs.google.com/spreadsheets/d/14Bd19lYaqBhU8_DElYkX7l4wRkHqqCUFNJY4AfY3kHU/edit?usp=sharing  #gid=0"",""фіз особи new!relations_name""),6,FALSE)
,
(IF
(
C5852=""юридична особа""
,
VLOOKUP"&amp;"(D5852,IMPORTRANGE(""https://docs.google.com/spreadsheets/d/14Bd19lYaqBhU8_DElYkX7l4wRkHqqCUFNJY4AfY3kHU/edit?usp=sharing  #gid=0"",""фіз особи new!relations_name_uo""),7,FALSE)
,
)
))"),"МОРОЗОВА / ГІЛЬДІНА Олена Анатоліївна")</f>
        <v>МОРОЗОВА / ГІЛЬДІНА Олена Анатоліївна</v>
      </c>
      <c r="G5851" s="7" t="s">
        <v>10</v>
      </c>
      <c r="H5851" s="7">
        <v>23445</v>
      </c>
      <c r="I5851" s="8" t="str">
        <f ca="1">IFERROR(__xludf.DUMMYFUNCTION("IF
(
G5852=""фізична особа""
,
VLOOKUP(H5852,IMPORTRANGE(""https://docs.google.com/spreadsheets/d/14Bd19lYaqBhU8_DElYkX7l4wRkHqqCUFNJY4AfY3kHU/edit?usp=sharing  #gid=0"",""фіз особи new!relations_name""),6,FALSE)
,
(IF
(
G5852=""юридична особа""
,
VLOOKUP"&amp;"(H5852,IMPORTRANGE(""https://docs.google.com/spreadsheets/d/14Bd19lYaqBhU8_DElYkX7l4wRkHqqCUFNJY4AfY3kHU/edit?usp=sharing  #gid=0"",""фіз особи new!relations_name_uo""),7,FALSE)
,
)
))"),"МОРОЗОВА Дар'я Сергіївна")</f>
        <v>МОРОЗОВА Дар'я Сергіївна</v>
      </c>
      <c r="J5851" s="7" t="s">
        <v>13</v>
      </c>
    </row>
    <row r="5852" spans="1:10" ht="13.2">
      <c r="A5852" s="7">
        <v>5851</v>
      </c>
      <c r="B5852" s="7">
        <v>1</v>
      </c>
      <c r="C5852" s="7" t="s">
        <v>10</v>
      </c>
      <c r="D5852" s="7">
        <v>4885</v>
      </c>
      <c r="E5852" s="7" t="s">
        <v>17</v>
      </c>
      <c r="F5852" s="8" t="str">
        <f ca="1">IFERROR(__xludf.DUMMYFUNCTION("IF
(
C5853=""фізична особа""
,
VLOOKUP(D5853,IMPORTRANGE(""https://docs.google.com/spreadsheets/d/14Bd19lYaqBhU8_DElYkX7l4wRkHqqCUFNJY4AfY3kHU/edit?usp=sharing  #gid=0"",""фіз особи new!relations_name""),6,FALSE)
,
(IF
(
C5853=""юридична особа""
,
VLOOKUP"&amp;"(D5853,IMPORTRANGE(""https://docs.google.com/spreadsheets/d/14Bd19lYaqBhU8_DElYkX7l4wRkHqqCUFNJY4AfY3kHU/edit?usp=sharing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G5852" s="7" t="s">
        <v>10</v>
      </c>
      <c r="H5852" s="7">
        <v>699</v>
      </c>
      <c r="I5852" s="8" t="str">
        <f ca="1">IFERROR(__xludf.DUMMYFUNCTION("IF
(
G5853=""фізична особа""
,
VLOOKUP(H5853,IMPORTRANGE(""https://docs.google.com/spreadsheets/d/14Bd19lYaqBhU8_DElYkX7l4wRkHqqCUFNJY4AfY3kHU/edit?usp=sharing  #gid=0"",""фіз особи new!relations_name""),6,FALSE)
,
(IF
(
G5853=""юридична особа""
,
VLOOKUP"&amp;"(H5853,IMPORTRANGE(""https://docs.google.com/spreadsheets/d/14Bd19lYaqBhU8_DElYkX7l4wRkHqqCUFNJY4AfY3kHU/edit?usp=sharing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5852" s="7" t="s">
        <v>12</v>
      </c>
    </row>
    <row r="5853" spans="1:10" ht="13.2">
      <c r="A5853" s="7">
        <v>5852</v>
      </c>
      <c r="B5853" s="7">
        <v>1</v>
      </c>
      <c r="C5853" s="7" t="s">
        <v>10</v>
      </c>
      <c r="D5853" s="7">
        <v>4885</v>
      </c>
      <c r="E5853" s="7" t="s">
        <v>18</v>
      </c>
      <c r="F5853" s="8" t="str">
        <f ca="1">IFERROR(__xludf.DUMMYFUNCTION("IF
(
C5854=""фізична особа""
,
VLOOKUP(D5854,IMPORTRANGE(""https://docs.google.com/spreadsheets/d/14Bd19lYaqBhU8_DElYkX7l4wRkHqqCUFNJY4AfY3kHU/edit?usp=sharing  #gid=0"",""фіз особи new!relations_name""),6,FALSE)
,
(IF
(
C5854=""юридична особа""
,
VLOOKUP"&amp;"(D5854,IMPORTRANGE(""https://docs.google.com/spreadsheets/d/14Bd19lYaqBhU8_DElYkX7l4wRkHqqCUFNJY4AfY3kHU/edit?usp=sharing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G5853" s="7" t="s">
        <v>10</v>
      </c>
      <c r="H5853" s="7">
        <v>23445</v>
      </c>
      <c r="I5853" s="8" t="str">
        <f ca="1">IFERROR(__xludf.DUMMYFUNCTION("IF
(
G5854=""фізична особа""
,
VLOOKUP(H5854,IMPORTRANGE(""https://docs.google.com/spreadsheets/d/14Bd19lYaqBhU8_DElYkX7l4wRkHqqCUFNJY4AfY3kHU/edit?usp=sharing  #gid=0"",""фіз особи new!relations_name""),6,FALSE)
,
(IF
(
G5854=""юридична особа""
,
VLOOKUP"&amp;"(H5854,IMPORTRANGE(""https://docs.google.com/spreadsheets/d/14Bd19lYaqBhU8_DElYkX7l4wRkHqqCUFNJY4AfY3kHU/edit?usp=sharing  #gid=0"",""фіз особи new!relations_name_uo""),7,FALSE)
,
)
))"),"МОРОЗОВА Дар'я Сергіївна")</f>
        <v>МОРОЗОВА Дар'я Сергіївна</v>
      </c>
      <c r="J5853" s="7" t="s">
        <v>31</v>
      </c>
    </row>
    <row r="5854" spans="1:10" ht="13.2">
      <c r="A5854" s="7">
        <v>5853</v>
      </c>
      <c r="B5854" s="7">
        <v>1</v>
      </c>
      <c r="C5854" s="7" t="s">
        <v>10</v>
      </c>
      <c r="D5854" s="7">
        <v>4885</v>
      </c>
      <c r="E5854" s="7" t="s">
        <v>18</v>
      </c>
      <c r="F5854" s="8" t="str">
        <f ca="1">IFERROR(__xludf.DUMMYFUNCTION("IF
(
C5855=""фізична особа""
,
VLOOKUP(D5855,IMPORTRANGE(""https://docs.google.com/spreadsheets/d/14Bd19lYaqBhU8_DElYkX7l4wRkHqqCUFNJY4AfY3kHU/edit?usp=sharing  #gid=0"",""фіз особи new!relations_name""),6,FALSE)
,
(IF
(
C5855=""юридична особа""
,
VLOOKUP"&amp;"(D5855,IMPORTRANGE(""https://docs.google.com/spreadsheets/d/14Bd19lYaqBhU8_DElYkX7l4wRkHqqCUFNJY4AfY3kHU/edit?usp=sharing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G5854" s="7" t="s">
        <v>10</v>
      </c>
      <c r="H5854" s="7">
        <v>4886</v>
      </c>
      <c r="I5854" s="8" t="str">
        <f ca="1">IFERROR(__xludf.DUMMYFUNCTION("IF
(
G5855=""фізична особа""
,
VLOOKUP(H5855,IMPORTRANGE(""https://docs.google.com/spreadsheets/d/14Bd19lYaqBhU8_DElYkX7l4wRkHqqCUFNJY4AfY3kHU/edit?usp=sharing  #gid=0"",""фіз особи new!relations_name""),6,FALSE)
,
(IF
(
G5855=""юридична особа""
,
VLOOKUP"&amp;"(H5855,IMPORTRANGE(""https://docs.google.com/spreadsheets/d/14Bd19lYaqBhU8_DElYkX7l4wRkHqqCUFNJY4AfY3kHU/edit?usp=sharing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J5854" s="7" t="s">
        <v>18</v>
      </c>
    </row>
    <row r="5855" spans="1:10" ht="13.2">
      <c r="A5855" s="7">
        <v>5854</v>
      </c>
      <c r="B5855" s="7">
        <v>1</v>
      </c>
      <c r="C5855" s="7" t="s">
        <v>10</v>
      </c>
      <c r="D5855" s="7">
        <v>4885</v>
      </c>
      <c r="E5855" s="7" t="s">
        <v>17</v>
      </c>
      <c r="F5855" s="8" t="str">
        <f ca="1">IFERROR(__xludf.DUMMYFUNCTION("IF
(
C5856=""фізична особа""
,
VLOOKUP(D5856,IMPORTRANGE(""https://docs.google.com/spreadsheets/d/14Bd19lYaqBhU8_DElYkX7l4wRkHqqCUFNJY4AfY3kHU/edit?usp=sharing  #gid=0"",""фіз особи new!relations_name""),6,FALSE)
,
(IF
(
C5856=""юридична особа""
,
VLOOKUP"&amp;"(D5856,IMPORTRANGE(""https://docs.google.com/spreadsheets/d/14Bd19lYaqBhU8_DElYkX7l4wRkHqqCUFNJY4AfY3kHU/edit?usp=sharing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G5855" s="7" t="s">
        <v>10</v>
      </c>
      <c r="H5855" s="7">
        <v>23447</v>
      </c>
      <c r="I5855" s="8" t="str">
        <f ca="1">IFERROR(__xludf.DUMMYFUNCTION("IF
(
G5856=""фізична особа""
,
VLOOKUP(H5856,IMPORTRANGE(""https://docs.google.com/spreadsheets/d/14Bd19lYaqBhU8_DElYkX7l4wRkHqqCUFNJY4AfY3kHU/edit?usp=sharing  #gid=0"",""фіз особи new!relations_name""),6,FALSE)
,
(IF
(
G5856=""юридична особа""
,
VLOOKUP"&amp;"(H5856,IMPORTRANGE(""https://docs.google.com/spreadsheets/d/14Bd19lYaqBhU8_DElYkX7l4wRkHqqCUFNJY4AfY3kHU/edit?usp=sharing  #gid=0"",""фіз особи new!relations_name_uo""),7,FALSE)
,
)
))"),"МОРОЗОВА Людмила")</f>
        <v>МОРОЗОВА Людмила</v>
      </c>
      <c r="J5855" s="7" t="s">
        <v>21</v>
      </c>
    </row>
    <row r="5856" spans="1:10" ht="13.2">
      <c r="A5856" s="7">
        <v>5855</v>
      </c>
      <c r="B5856" s="7">
        <v>1</v>
      </c>
      <c r="C5856" s="7" t="s">
        <v>10</v>
      </c>
      <c r="D5856" s="7">
        <v>4885</v>
      </c>
      <c r="E5856" s="7" t="s">
        <v>18</v>
      </c>
      <c r="F5856" s="8" t="str">
        <f ca="1">IFERROR(__xludf.DUMMYFUNCTION("IF
(
C5857=""фізична особа""
,
VLOOKUP(D5857,IMPORTRANGE(""https://docs.google.com/spreadsheets/d/14Bd19lYaqBhU8_DElYkX7l4wRkHqqCUFNJY4AfY3kHU/edit?usp=sharing  #gid=0"",""фіз особи new!relations_name""),6,FALSE)
,
(IF
(
C5857=""юридична особа""
,
VLOOKUP"&amp;"(D5857,IMPORTRANGE(""https://docs.google.com/spreadsheets/d/14Bd19lYaqBhU8_DElYkX7l4wRkHqqCUFNJY4AfY3kHU/edit?usp=sharing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G5856" s="7" t="s">
        <v>10</v>
      </c>
      <c r="H5856" s="7">
        <v>23444</v>
      </c>
      <c r="I5856" s="8" t="str">
        <f ca="1">IFERROR(__xludf.DUMMYFUNCTION("IF
(
G5857=""фізична особа""
,
VLOOKUP(H5857,IMPORTRANGE(""https://docs.google.com/spreadsheets/d/14Bd19lYaqBhU8_DElYkX7l4wRkHqqCUFNJY4AfY3kHU/edit?usp=sharing  #gid=0"",""фіз особи new!relations_name""),6,FALSE)
,
(IF
(
G5857=""юридична особа""
,
VLOOKUP"&amp;"(H5857,IMPORTRANGE(""https://docs.google.com/spreadsheets/d/14Bd19lYaqBhU8_DElYkX7l4wRkHqqCUFNJY4AfY3kHU/edit?usp=sharing  #gid=0"",""фіз особи new!relations_name_uo""),7,FALSE)
,
)
))"),"МОРОЗОВА Анфіса Сергіївна")</f>
        <v>МОРОЗОВА Анфіса Сергіївна</v>
      </c>
      <c r="J5856" s="7" t="s">
        <v>31</v>
      </c>
    </row>
    <row r="5857" spans="1:10" ht="13.2">
      <c r="A5857" s="7">
        <v>5856</v>
      </c>
      <c r="B5857" s="7">
        <v>1</v>
      </c>
      <c r="C5857" s="7" t="s">
        <v>10</v>
      </c>
      <c r="D5857" s="7">
        <v>4886</v>
      </c>
      <c r="E5857" s="7" t="s">
        <v>17</v>
      </c>
      <c r="F5857" s="8" t="str">
        <f ca="1">IFERROR(__xludf.DUMMYFUNCTION("IF
(
C5858=""фізична особа""
,
VLOOKUP(D5858,IMPORTRANGE(""https://docs.google.com/spreadsheets/d/14Bd19lYaqBhU8_DElYkX7l4wRkHqqCUFNJY4AfY3kHU/edit?usp=sharing  #gid=0"",""фіз особи new!relations_name""),6,FALSE)
,
(IF
(
C5858=""юридична особа""
,
VLOOKUP"&amp;"(D5858,IMPORTRANGE(""https://docs.google.com/spreadsheets/d/14Bd19lYaqBhU8_DElYkX7l4wRkHqqCUFNJY4AfY3kHU/edit?usp=sharing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G5857" s="7" t="s">
        <v>10</v>
      </c>
      <c r="H5857" s="7">
        <v>699</v>
      </c>
      <c r="I5857" s="8" t="str">
        <f ca="1">IFERROR(__xludf.DUMMYFUNCTION("IF
(
G5858=""фізична особа""
,
VLOOKUP(H5858,IMPORTRANGE(""https://docs.google.com/spreadsheets/d/14Bd19lYaqBhU8_DElYkX7l4wRkHqqCUFNJY4AfY3kHU/edit?usp=sharing  #gid=0"",""фіз особи new!relations_name""),6,FALSE)
,
(IF
(
G5858=""юридична особа""
,
VLOOKUP"&amp;"(H5858,IMPORTRANGE(""https://docs.google.com/spreadsheets/d/14Bd19lYaqBhU8_DElYkX7l4wRkHqqCUFNJY4AfY3kHU/edit?usp=sharing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5857" s="7" t="s">
        <v>12</v>
      </c>
    </row>
    <row r="5858" spans="1:10" ht="13.2">
      <c r="A5858" s="7">
        <v>5857</v>
      </c>
      <c r="B5858" s="7">
        <v>1</v>
      </c>
      <c r="C5858" s="7" t="s">
        <v>10</v>
      </c>
      <c r="D5858" s="7">
        <v>4886</v>
      </c>
      <c r="E5858" s="7" t="s">
        <v>18</v>
      </c>
      <c r="F5858" s="8" t="str">
        <f ca="1">IFERROR(__xludf.DUMMYFUNCTION("IF
(
C5859=""фізична особа""
,
VLOOKUP(D5859,IMPORTRANGE(""https://docs.google.com/spreadsheets/d/14Bd19lYaqBhU8_DElYkX7l4wRkHqqCUFNJY4AfY3kHU/edit?usp=sharing  #gid=0"",""фіз особи new!relations_name""),6,FALSE)
,
(IF
(
C5859=""юридична особа""
,
VLOOKUP"&amp;"(D5859,IMPORTRANGE(""https://docs.google.com/spreadsheets/d/14Bd19lYaqBhU8_DElYkX7l4wRkHqqCUFNJY4AfY3kHU/edit?usp=sharing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G5858" s="7" t="s">
        <v>10</v>
      </c>
      <c r="H5858" s="7">
        <v>23445</v>
      </c>
      <c r="I5858" s="8" t="str">
        <f ca="1">IFERROR(__xludf.DUMMYFUNCTION("IF
(
G5859=""фізична особа""
,
VLOOKUP(H5859,IMPORTRANGE(""https://docs.google.com/spreadsheets/d/14Bd19lYaqBhU8_DElYkX7l4wRkHqqCUFNJY4AfY3kHU/edit?usp=sharing  #gid=0"",""фіз особи new!relations_name""),6,FALSE)
,
(IF
(
G5859=""юридична особа""
,
VLOOKUP"&amp;"(H5859,IMPORTRANGE(""https://docs.google.com/spreadsheets/d/14Bd19lYaqBhU8_DElYkX7l4wRkHqqCUFNJY4AfY3kHU/edit?usp=sharing  #gid=0"",""фіз особи new!relations_name_uo""),7,FALSE)
,
)
))"),"МОРОЗОВА Дар'я Сергіївна")</f>
        <v>МОРОЗОВА Дар'я Сергіївна</v>
      </c>
      <c r="J5858" s="7" t="s">
        <v>31</v>
      </c>
    </row>
    <row r="5859" spans="1:10" ht="13.2">
      <c r="A5859" s="7">
        <v>5858</v>
      </c>
      <c r="B5859" s="7">
        <v>1</v>
      </c>
      <c r="C5859" s="7" t="s">
        <v>10</v>
      </c>
      <c r="D5859" s="7">
        <v>4886</v>
      </c>
      <c r="E5859" s="7" t="s">
        <v>18</v>
      </c>
      <c r="F5859" s="8" t="str">
        <f ca="1">IFERROR(__xludf.DUMMYFUNCTION("IF
(
C5860=""фізична особа""
,
VLOOKUP(D5860,IMPORTRANGE(""https://docs.google.com/spreadsheets/d/14Bd19lYaqBhU8_DElYkX7l4wRkHqqCUFNJY4AfY3kHU/edit?usp=sharing  #gid=0"",""фіз особи new!relations_name""),6,FALSE)
,
(IF
(
C5860=""юридична особа""
,
VLOOKUP"&amp;"(D5860,IMPORTRANGE(""https://docs.google.com/spreadsheets/d/14Bd19lYaqBhU8_DElYkX7l4wRkHqqCUFNJY4AfY3kHU/edit?usp=sharing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G5859" s="7" t="s">
        <v>10</v>
      </c>
      <c r="H5859" s="7">
        <v>4885</v>
      </c>
      <c r="I5859" s="8" t="str">
        <f ca="1">IFERROR(__xludf.DUMMYFUNCTION("IF
(
G5860=""фізична особа""
,
VLOOKUP(H5860,IMPORTRANGE(""https://docs.google.com/spreadsheets/d/14Bd19lYaqBhU8_DElYkX7l4wRkHqqCUFNJY4AfY3kHU/edit?usp=sharing  #gid=0"",""фіз особи new!relations_name""),6,FALSE)
,
(IF
(
G5860=""юридична особа""
,
VLOOKUP"&amp;"(H5860,IMPORTRANGE(""https://docs.google.com/spreadsheets/d/14Bd19lYaqBhU8_DElYkX7l4wRkHqqCUFNJY4AfY3kHU/edit?usp=sharing  #gid=0"",""фіз особи new!relations_name_uo""),7,FALSE)
,
)
))"),"МОРОЗОВ Михайло Сергійович")</f>
        <v>МОРОЗОВ Михайло Сергійович</v>
      </c>
      <c r="J5859" s="7" t="s">
        <v>18</v>
      </c>
    </row>
    <row r="5860" spans="1:10" ht="13.2">
      <c r="A5860" s="7">
        <v>5859</v>
      </c>
      <c r="B5860" s="7">
        <v>1</v>
      </c>
      <c r="C5860" s="7" t="s">
        <v>10</v>
      </c>
      <c r="D5860" s="7">
        <v>4886</v>
      </c>
      <c r="E5860" s="7" t="s">
        <v>17</v>
      </c>
      <c r="F5860" s="8" t="str">
        <f ca="1">IFERROR(__xludf.DUMMYFUNCTION("IF
(
C5861=""фізична особа""
,
VLOOKUP(D5861,IMPORTRANGE(""https://docs.google.com/spreadsheets/d/14Bd19lYaqBhU8_DElYkX7l4wRkHqqCUFNJY4AfY3kHU/edit?usp=sharing  #gid=0"",""фіз особи new!relations_name""),6,FALSE)
,
(IF
(
C5861=""юридична особа""
,
VLOOKUP"&amp;"(D5861,IMPORTRANGE(""https://docs.google.com/spreadsheets/d/14Bd19lYaqBhU8_DElYkX7l4wRkHqqCUFNJY4AfY3kHU/edit?usp=sharing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G5860" s="7" t="s">
        <v>10</v>
      </c>
      <c r="H5860" s="7">
        <v>23447</v>
      </c>
      <c r="I5860" s="8" t="str">
        <f ca="1">IFERROR(__xludf.DUMMYFUNCTION("IF
(
G5861=""фізична особа""
,
VLOOKUP(H5861,IMPORTRANGE(""https://docs.google.com/spreadsheets/d/14Bd19lYaqBhU8_DElYkX7l4wRkHqqCUFNJY4AfY3kHU/edit?usp=sharing  #gid=0"",""фіз особи new!relations_name""),6,FALSE)
,
(IF
(
G5861=""юридична особа""
,
VLOOKUP"&amp;"(H5861,IMPORTRANGE(""https://docs.google.com/spreadsheets/d/14Bd19lYaqBhU8_DElYkX7l4wRkHqqCUFNJY4AfY3kHU/edit?usp=sharing  #gid=0"",""фіз особи new!relations_name_uo""),7,FALSE)
,
)
))"),"МОРОЗОВА Людмила")</f>
        <v>МОРОЗОВА Людмила</v>
      </c>
      <c r="J5860" s="7" t="s">
        <v>21</v>
      </c>
    </row>
    <row r="5861" spans="1:10" ht="13.2">
      <c r="A5861" s="7">
        <v>5860</v>
      </c>
      <c r="B5861" s="7">
        <v>1</v>
      </c>
      <c r="C5861" s="7" t="s">
        <v>10</v>
      </c>
      <c r="D5861" s="7">
        <v>4886</v>
      </c>
      <c r="E5861" s="7" t="s">
        <v>18</v>
      </c>
      <c r="F5861" s="8" t="str">
        <f ca="1">IFERROR(__xludf.DUMMYFUNCTION("IF
(
C5862=""фізична особа""
,
VLOOKUP(D5862,IMPORTRANGE(""https://docs.google.com/spreadsheets/d/14Bd19lYaqBhU8_DElYkX7l4wRkHqqCUFNJY4AfY3kHU/edit?usp=sharing  #gid=0"",""фіз особи new!relations_name""),6,FALSE)
,
(IF
(
C5862=""юридична особа""
,
VLOOKUP"&amp;"(D5862,IMPORTRANGE(""https://docs.google.com/spreadsheets/d/14Bd19lYaqBhU8_DElYkX7l4wRkHqqCUFNJY4AfY3kHU/edit?usp=sharing  #gid=0"",""фіз особи new!relations_name_uo""),7,FALSE)
,
)
))"),"МОРОЗОВ Євгеній Сергійович")</f>
        <v>МОРОЗОВ Євгеній Сергійович</v>
      </c>
      <c r="G5861" s="7" t="s">
        <v>10</v>
      </c>
      <c r="H5861" s="7">
        <v>23444</v>
      </c>
      <c r="I5861" s="8" t="str">
        <f ca="1">IFERROR(__xludf.DUMMYFUNCTION("IF
(
G5862=""фізична особа""
,
VLOOKUP(H5862,IMPORTRANGE(""https://docs.google.com/spreadsheets/d/14Bd19lYaqBhU8_DElYkX7l4wRkHqqCUFNJY4AfY3kHU/edit?usp=sharing  #gid=0"",""фіз особи new!relations_name""),6,FALSE)
,
(IF
(
G5862=""юридична особа""
,
VLOOKUP"&amp;"(H5862,IMPORTRANGE(""https://docs.google.com/spreadsheets/d/14Bd19lYaqBhU8_DElYkX7l4wRkHqqCUFNJY4AfY3kHU/edit?usp=sharing  #gid=0"",""фіз особи new!relations_name_uo""),7,FALSE)
,
)
))"),"МОРОЗОВА Анфіса Сергіївна")</f>
        <v>МОРОЗОВА Анфіса Сергіївна</v>
      </c>
      <c r="J5861" s="7" t="s">
        <v>31</v>
      </c>
    </row>
    <row r="5862" spans="1:10" ht="13.2">
      <c r="A5862" s="7">
        <v>5861</v>
      </c>
      <c r="B5862" s="7">
        <v>1</v>
      </c>
      <c r="C5862" s="7" t="s">
        <v>10</v>
      </c>
      <c r="D5862" s="7">
        <v>4887</v>
      </c>
      <c r="E5862" s="7" t="s">
        <v>26</v>
      </c>
      <c r="F5862" s="8" t="str">
        <f ca="1">IFERROR(__xludf.DUMMYFUNCTION("IF
(
C5863=""фізична особа""
,
VLOOKUP(D5863,IMPORTRANGE(""https://docs.google.com/spreadsheets/d/14Bd19lYaqBhU8_DElYkX7l4wRkHqqCUFNJY4AfY3kHU/edit?usp=sharing  #gid=0"",""фіз особи new!relations_name""),6,FALSE)
,
(IF
(
C5863=""юридична особа""
,
VLOOKUP"&amp;"(D5863,IMPORTRANGE(""https://docs.google.com/spreadsheets/d/14Bd19lYaqBhU8_DElYkX7l4wRkHqqCUFNJY4AfY3kHU/edit?usp=sharing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G5862" s="7" t="s">
        <v>10</v>
      </c>
      <c r="H5862" s="7">
        <v>2545</v>
      </c>
      <c r="I5862" s="8" t="str">
        <f ca="1">IFERROR(__xludf.DUMMYFUNCTION("IF
(
G5863=""фізична особа""
,
VLOOKUP(H5863,IMPORTRANGE(""https://docs.google.com/spreadsheets/d/14Bd19lYaqBhU8_DElYkX7l4wRkHqqCUFNJY4AfY3kHU/edit?usp=sharing  #gid=0"",""фіз особи new!relations_name""),6,FALSE)
,
(IF
(
G5863=""юридична особа""
,
VLOOKUP"&amp;"(H5863,IMPORTRANGE(""https://docs.google.com/spreadsheets/d/14Bd19lYaqBhU8_DElYkX7l4wRkHqqCUFNJY4AfY3kHU/edit?usp=sharing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5862" s="7" t="s">
        <v>24</v>
      </c>
    </row>
    <row r="5863" spans="1:10" ht="13.2">
      <c r="A5863" s="7">
        <v>5862</v>
      </c>
      <c r="B5863" s="7">
        <v>1</v>
      </c>
      <c r="C5863" s="7" t="s">
        <v>10</v>
      </c>
      <c r="D5863" s="7">
        <v>4887</v>
      </c>
      <c r="E5863" s="7" t="s">
        <v>14</v>
      </c>
      <c r="F5863" s="8" t="str">
        <f ca="1">IFERROR(__xludf.DUMMYFUNCTION("IF
(
C5864=""фізична особа""
,
VLOOKUP(D5864,IMPORTRANGE(""https://docs.google.com/spreadsheets/d/14Bd19lYaqBhU8_DElYkX7l4wRkHqqCUFNJY4AfY3kHU/edit?usp=sharing  #gid=0"",""фіз особи new!relations_name""),6,FALSE)
,
(IF
(
C5864=""юридична особа""
,
VLOOKUP"&amp;"(D5864,IMPORTRANGE(""https://docs.google.com/spreadsheets/d/14Bd19lYaqBhU8_DElYkX7l4wRkHqqCUFNJY4AfY3kHU/edit?usp=sharing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G5863" s="7" t="s">
        <v>10</v>
      </c>
      <c r="H5863" s="7">
        <v>4888</v>
      </c>
      <c r="I5863" s="8" t="str">
        <f ca="1">IFERROR(__xludf.DUMMYFUNCTION("IF
(
G5864=""фізична особа""
,
VLOOKUP(H5864,IMPORTRANGE(""https://docs.google.com/spreadsheets/d/14Bd19lYaqBhU8_DElYkX7l4wRkHqqCUFNJY4AfY3kHU/edit?usp=sharing  #gid=0"",""фіз особи new!relations_name""),6,FALSE)
,
(IF
(
G5864=""юридична особа""
,
VLOOKUP"&amp;"(H5864,IMPORTRANGE(""https://docs.google.com/spreadsheets/d/14Bd19lYaqBhU8_DElYkX7l4wRkHqqCUFNJY4AfY3kHU/edit?usp=sharing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J5863" s="7" t="s">
        <v>15</v>
      </c>
    </row>
    <row r="5864" spans="1:10" ht="13.2">
      <c r="A5864" s="7">
        <v>5863</v>
      </c>
      <c r="B5864" s="7">
        <v>1</v>
      </c>
      <c r="C5864" s="7" t="s">
        <v>10</v>
      </c>
      <c r="D5864" s="7">
        <v>4887</v>
      </c>
      <c r="E5864" s="7" t="s">
        <v>17</v>
      </c>
      <c r="F5864" s="8" t="str">
        <f ca="1">IFERROR(__xludf.DUMMYFUNCTION("IF
(
C5865=""фізична особа""
,
VLOOKUP(D5865,IMPORTRANGE(""https://docs.google.com/spreadsheets/d/14Bd19lYaqBhU8_DElYkX7l4wRkHqqCUFNJY4AfY3kHU/edit?usp=sharing  #gid=0"",""фіз особи new!relations_name""),6,FALSE)
,
(IF
(
C5865=""юридична особа""
,
VLOOKUP"&amp;"(D5865,IMPORTRANGE(""https://docs.google.com/spreadsheets/d/14Bd19lYaqBhU8_DElYkX7l4wRkHqqCUFNJY4AfY3kHU/edit?usp=sharing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G5864" s="7" t="s">
        <v>10</v>
      </c>
      <c r="H5864" s="7">
        <v>23463</v>
      </c>
      <c r="I5864" s="8" t="str">
        <f ca="1">IFERROR(__xludf.DUMMYFUNCTION("IF
(
G5865=""фізична особа""
,
VLOOKUP(H5865,IMPORTRANGE(""https://docs.google.com/spreadsheets/d/14Bd19lYaqBhU8_DElYkX7l4wRkHqqCUFNJY4AfY3kHU/edit?usp=sharing  #gid=0"",""фіз особи new!relations_name""),6,FALSE)
,
(IF
(
G5865=""юридична особа""
,
VLOOKUP"&amp;"(H5865,IMPORTRANGE(""https://docs.google.com/spreadsheets/d/14Bd19lYaqBhU8_DElYkX7l4wRkHqqCUFNJY4AfY3kHU/edit?usp=sharing  #gid=0"",""фіз особи new!relations_name_uo""),7,FALSE)
,
)
))"),"ТІПІКІН Павло Миколайович")</f>
        <v>ТІПІКІН Павло Миколайович</v>
      </c>
      <c r="J5864" s="7" t="s">
        <v>12</v>
      </c>
    </row>
    <row r="5865" spans="1:10" ht="13.2">
      <c r="A5865" s="7">
        <v>5864</v>
      </c>
      <c r="B5865" s="7">
        <v>1</v>
      </c>
      <c r="C5865" s="7" t="s">
        <v>10</v>
      </c>
      <c r="D5865" s="7">
        <v>4888</v>
      </c>
      <c r="E5865" s="7" t="s">
        <v>13</v>
      </c>
      <c r="F5865" s="8" t="str">
        <f ca="1">IFERROR(__xludf.DUMMYFUNCTION("IF
(
C5866=""фізична особа""
,
VLOOKUP(D5866,IMPORTRANGE(""https://docs.google.com/spreadsheets/d/14Bd19lYaqBhU8_DElYkX7l4wRkHqqCUFNJY4AfY3kHU/edit?usp=sharing  #gid=0"",""фіз особи new!relations_name""),6,FALSE)
,
(IF
(
C5866=""юридична особа""
,
VLOOKUP"&amp;"(D5866,IMPORTRANGE(""https://docs.google.com/spreadsheets/d/14Bd19lYaqBhU8_DElYkX7l4wRkHqqCUFNJY4AfY3kHU/edit?usp=sharing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65" s="7" t="s">
        <v>10</v>
      </c>
      <c r="H5865" s="7">
        <v>2545</v>
      </c>
      <c r="I5865" s="8" t="str">
        <f ca="1">IFERROR(__xludf.DUMMYFUNCTION("IF
(
G5866=""фізична особа""
,
VLOOKUP(H5866,IMPORTRANGE(""https://docs.google.com/spreadsheets/d/14Bd19lYaqBhU8_DElYkX7l4wRkHqqCUFNJY4AfY3kHU/edit?usp=sharing  #gid=0"",""фіз особи new!relations_name""),6,FALSE)
,
(IF
(
G5866=""юридична особа""
,
VLOOKUP"&amp;"(H5866,IMPORTRANGE(""https://docs.google.com/spreadsheets/d/14Bd19lYaqBhU8_DElYkX7l4wRkHqqCUFNJY4AfY3kHU/edit?usp=sharing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5865" s="7" t="s">
        <v>12</v>
      </c>
    </row>
    <row r="5866" spans="1:10" ht="13.2">
      <c r="A5866" s="7">
        <v>5865</v>
      </c>
      <c r="B5866" s="7">
        <v>1</v>
      </c>
      <c r="C5866" s="7" t="s">
        <v>10</v>
      </c>
      <c r="D5866" s="7">
        <v>4888</v>
      </c>
      <c r="E5866" s="7" t="s">
        <v>31</v>
      </c>
      <c r="F5866" s="8" t="str">
        <f ca="1">IFERROR(__xludf.DUMMYFUNCTION("IF
(
C5867=""фізична особа""
,
VLOOKUP(D5867,IMPORTRANGE(""https://docs.google.com/spreadsheets/d/14Bd19lYaqBhU8_DElYkX7l4wRkHqqCUFNJY4AfY3kHU/edit?usp=sharing  #gid=0"",""фіз особи new!relations_name""),6,FALSE)
,
(IF
(
C5867=""юридична особа""
,
VLOOKUP"&amp;"(D5867,IMPORTRANGE(""https://docs.google.com/spreadsheets/d/14Bd19lYaqBhU8_DElYkX7l4wRkHqqCUFNJY4AfY3kHU/edit?usp=sharing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66" s="7" t="s">
        <v>10</v>
      </c>
      <c r="H5866" s="7">
        <v>23501</v>
      </c>
      <c r="I5866" s="8" t="str">
        <f ca="1">IFERROR(__xludf.DUMMYFUNCTION("IF
(
G5867=""фізична особа""
,
VLOOKUP(H5867,IMPORTRANGE(""https://docs.google.com/spreadsheets/d/14Bd19lYaqBhU8_DElYkX7l4wRkHqqCUFNJY4AfY3kHU/edit?usp=sharing  #gid=0"",""фіз особи new!relations_name""),6,FALSE)
,
(IF
(
G5867=""юридична особа""
,
VLOOKUP"&amp;"(H5867,IMPORTRANGE(""https://docs.google.com/spreadsheets/d/14Bd19lYaqBhU8_DElYkX7l4wRkHqqCUFNJY4AfY3kHU/edit?usp=sharing  #gid=0"",""фіз особи new!relations_name_uo""),7,FALSE)
,
)
))"),"ВОРОБЙОВ Георгій Андрійович")</f>
        <v>ВОРОБЙОВ Георгій Андрійович</v>
      </c>
      <c r="J5866" s="7" t="s">
        <v>18</v>
      </c>
    </row>
    <row r="5867" spans="1:10" ht="13.2">
      <c r="A5867" s="7">
        <v>5866</v>
      </c>
      <c r="B5867" s="7">
        <v>1</v>
      </c>
      <c r="C5867" s="7" t="s">
        <v>10</v>
      </c>
      <c r="D5867" s="7">
        <v>4888</v>
      </c>
      <c r="E5867" s="7" t="s">
        <v>31</v>
      </c>
      <c r="F5867" s="8" t="str">
        <f ca="1">IFERROR(__xludf.DUMMYFUNCTION("IF
(
C5868=""фізична особа""
,
VLOOKUP(D5868,IMPORTRANGE(""https://docs.google.com/spreadsheets/d/14Bd19lYaqBhU8_DElYkX7l4wRkHqqCUFNJY4AfY3kHU/edit?usp=sharing  #gid=0"",""фіз особи new!relations_name""),6,FALSE)
,
(IF
(
C5868=""юридична особа""
,
VLOOKUP"&amp;"(D5868,IMPORTRANGE(""https://docs.google.com/spreadsheets/d/14Bd19lYaqBhU8_DElYkX7l4wRkHqqCUFNJY4AfY3kHU/edit?usp=sharing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67" s="7" t="s">
        <v>10</v>
      </c>
      <c r="H5867" s="7">
        <v>23502</v>
      </c>
      <c r="I5867" s="8" t="str">
        <f ca="1">IFERROR(__xludf.DUMMYFUNCTION("IF
(
G5868=""фізична особа""
,
VLOOKUP(H5868,IMPORTRANGE(""https://docs.google.com/spreadsheets/d/14Bd19lYaqBhU8_DElYkX7l4wRkHqqCUFNJY4AfY3kHU/edit?usp=sharing  #gid=0"",""фіз особи new!relations_name""),6,FALSE)
,
(IF
(
G5868=""юридична особа""
,
VLOOKUP"&amp;"(H5868,IMPORTRANGE(""https://docs.google.com/spreadsheets/d/14Bd19lYaqBhU8_DElYkX7l4wRkHqqCUFNJY4AfY3kHU/edit?usp=sharing  #gid=0"",""фіз особи new!relations_name_uo""),7,FALSE)
,
)
))"),"ВОРОБЙОВ Михайло Андрійович")</f>
        <v>ВОРОБЙОВ Михайло Андрійович</v>
      </c>
      <c r="J5867" s="7" t="s">
        <v>18</v>
      </c>
    </row>
    <row r="5868" spans="1:10" ht="13.2">
      <c r="A5868" s="7">
        <v>5867</v>
      </c>
      <c r="B5868" s="7">
        <v>1</v>
      </c>
      <c r="C5868" s="7" t="s">
        <v>10</v>
      </c>
      <c r="D5868" s="7">
        <v>4888</v>
      </c>
      <c r="E5868" s="7" t="s">
        <v>31</v>
      </c>
      <c r="F5868" s="8" t="str">
        <f ca="1">IFERROR(__xludf.DUMMYFUNCTION("IF
(
C5869=""фізична особа""
,
VLOOKUP(D5869,IMPORTRANGE(""https://docs.google.com/spreadsheets/d/14Bd19lYaqBhU8_DElYkX7l4wRkHqqCUFNJY4AfY3kHU/edit?usp=sharing  #gid=0"",""фіз особи new!relations_name""),6,FALSE)
,
(IF
(
C5869=""юридична особа""
,
VLOOKUP"&amp;"(D5869,IMPORTRANGE(""https://docs.google.com/spreadsheets/d/14Bd19lYaqBhU8_DElYkX7l4wRkHqqCUFNJY4AfY3kHU/edit?usp=sharing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68" s="7" t="s">
        <v>10</v>
      </c>
      <c r="H5868" s="7">
        <v>0</v>
      </c>
      <c r="I5868" s="8" t="str">
        <f ca="1">IFERROR(__xludf.DUMMYFUNCTION("IF
(
G5869=""фізична особа""
,
VLOOKUP(H5869,IMPORTRANGE(""https://docs.google.com/spreadsheets/d/14Bd19lYaqBhU8_DElYkX7l4wRkHqqCUFNJY4AfY3kHU/edit?usp=sharing  #gid=0"",""фіз особи new!relations_name""),6,FALSE)
,
(IF
(
G5869=""юридична особа""
,
VLOOKUP"&amp;"(H5869,IMPORTRANGE(""https://docs.google.com/spreadsheets/d/14Bd19lYaqBhU8_DElYkX7l4wRkHqqCUFNJY4AfY3kHU/edit?usp=sharing  #gid=0"",""фіз особи new!relations_name_uo""),7,FALSE)
,
)
))"),"#N/A")</f>
        <v>#N/A</v>
      </c>
      <c r="J5868" s="7" t="s">
        <v>31</v>
      </c>
    </row>
    <row r="5869" spans="1:10" ht="13.2">
      <c r="A5869" s="7">
        <v>5868</v>
      </c>
      <c r="B5869" s="7">
        <v>1</v>
      </c>
      <c r="C5869" s="7" t="s">
        <v>10</v>
      </c>
      <c r="D5869" s="7">
        <v>4888</v>
      </c>
      <c r="E5869" s="7" t="s">
        <v>15</v>
      </c>
      <c r="F5869" s="8" t="str">
        <f ca="1">IFERROR(__xludf.DUMMYFUNCTION("IF
(
C5870=""фізична особа""
,
VLOOKUP(D5870,IMPORTRANGE(""https://docs.google.com/spreadsheets/d/14Bd19lYaqBhU8_DElYkX7l4wRkHqqCUFNJY4AfY3kHU/edit?usp=sharing  #gid=0"",""фіз особи new!relations_name""),6,FALSE)
,
(IF
(
C5870=""юридична особа""
,
VLOOKUP"&amp;"(D5870,IMPORTRANGE(""https://docs.google.com/spreadsheets/d/14Bd19lYaqBhU8_DElYkX7l4wRkHqqCUFNJY4AfY3kHU/edit?usp=sharing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69" s="7" t="s">
        <v>10</v>
      </c>
      <c r="H5869" s="7">
        <v>4887</v>
      </c>
      <c r="I5869" s="8" t="str">
        <f ca="1">IFERROR(__xludf.DUMMYFUNCTION("IF
(
G5870=""фізична особа""
,
VLOOKUP(H5870,IMPORTRANGE(""https://docs.google.com/spreadsheets/d/14Bd19lYaqBhU8_DElYkX7l4wRkHqqCUFNJY4AfY3kHU/edit?usp=sharing  #gid=0"",""фіз особи new!relations_name""),6,FALSE)
,
(IF
(
G5870=""юридична особа""
,
VLOOKUP"&amp;"(H5870,IMPORTRANGE(""https://docs.google.com/spreadsheets/d/14Bd19lYaqBhU8_DElYkX7l4wRkHqqCUFNJY4AfY3kHU/edit?usp=sharing  #gid=0"",""фіз особи new!relations_name_uo""),7,FALSE)
,
)
))"),"ТІПІКІН Марк Павлович")</f>
        <v>ТІПІКІН Марк Павлович</v>
      </c>
      <c r="J5869" s="7" t="s">
        <v>14</v>
      </c>
    </row>
    <row r="5870" spans="1:10" ht="13.2">
      <c r="A5870" s="7">
        <v>5869</v>
      </c>
      <c r="B5870" s="7">
        <v>1</v>
      </c>
      <c r="C5870" s="7" t="s">
        <v>10</v>
      </c>
      <c r="D5870" s="7">
        <v>4888</v>
      </c>
      <c r="E5870" s="7" t="s">
        <v>25</v>
      </c>
      <c r="F5870" s="8" t="str">
        <f ca="1">IFERROR(__xludf.DUMMYFUNCTION("IF
(
C5871=""фізична особа""
,
VLOOKUP(D5871,IMPORTRANGE(""https://docs.google.com/spreadsheets/d/14Bd19lYaqBhU8_DElYkX7l4wRkHqqCUFNJY4AfY3kHU/edit?usp=sharing  #gid=0"",""фіз особи new!relations_name""),6,FALSE)
,
(IF
(
C5871=""юридична особа""
,
VLOOKUP"&amp;"(D5871,IMPORTRANGE(""https://docs.google.com/spreadsheets/d/14Bd19lYaqBhU8_DElYkX7l4wRkHqqCUFNJY4AfY3kHU/edit?usp=sharing  #gid=0"",""фіз особи new!relations_name_uo""),7,FALSE)
,
)
))"),"ВОРОБЙОВА Катерина Андріївна")</f>
        <v>ВОРОБЙОВА Катерина Андріївна</v>
      </c>
      <c r="G5870" s="7" t="s">
        <v>10</v>
      </c>
      <c r="H5870" s="7">
        <v>23463</v>
      </c>
      <c r="I5870" s="8" t="str">
        <f ca="1">IFERROR(__xludf.DUMMYFUNCTION("IF
(
G5871=""фізична особа""
,
VLOOKUP(H5871,IMPORTRANGE(""https://docs.google.com/spreadsheets/d/14Bd19lYaqBhU8_DElYkX7l4wRkHqqCUFNJY4AfY3kHU/edit?usp=sharing  #gid=0"",""фіз особи new!relations_name""),6,FALSE)
,
(IF
(
G5871=""юридична особа""
,
VLOOKUP"&amp;"(H5871,IMPORTRANGE(""https://docs.google.com/spreadsheets/d/14Bd19lYaqBhU8_DElYkX7l4wRkHqqCUFNJY4AfY3kHU/edit?usp=sharing  #gid=0"",""фіз особи new!relations_name_uo""),7,FALSE)
,
)
))"),"ТІПІКІН Павло Миколайович")</f>
        <v>ТІПІКІН Павло Миколайович</v>
      </c>
      <c r="J5870" s="7" t="s">
        <v>34</v>
      </c>
    </row>
    <row r="5871" spans="1:10" ht="13.2">
      <c r="A5871" s="7">
        <v>5870</v>
      </c>
      <c r="B5871" s="7">
        <v>1</v>
      </c>
      <c r="C5871" s="7" t="s">
        <v>10</v>
      </c>
      <c r="D5871" s="7">
        <v>4889</v>
      </c>
      <c r="E5871" s="7" t="s">
        <v>15</v>
      </c>
      <c r="F5871" s="8" t="str">
        <f ca="1">IFERROR(__xludf.DUMMYFUNCTION("IF
(
C5872=""фізична особа""
,
VLOOKUP(D5872,IMPORTRANGE(""https://docs.google.com/spreadsheets/d/14Bd19lYaqBhU8_DElYkX7l4wRkHqqCUFNJY4AfY3kHU/edit?usp=sharing  #gid=0"",""фіз особи new!relations_name""),6,FALSE)
,
(IF
(
C5872=""юридична особа""
,
VLOOKUP"&amp;"(D5872,IMPORTRANGE(""https://docs.google.com/spreadsheets/d/14Bd19lYaqBhU8_DElYkX7l4wRkHqqCUFNJY4AfY3kHU/edit?usp=sharing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1" s="7" t="s">
        <v>10</v>
      </c>
      <c r="H5871" s="7">
        <v>2555</v>
      </c>
      <c r="I5871" s="8" t="str">
        <f ca="1">IFERROR(__xludf.DUMMYFUNCTION("IF
(
G5872=""фізична особа""
,
VLOOKUP(H5872,IMPORTRANGE(""https://docs.google.com/spreadsheets/d/14Bd19lYaqBhU8_DElYkX7l4wRkHqqCUFNJY4AfY3kHU/edit?usp=sharing  #gid=0"",""фіз особи new!relations_name""),6,FALSE)
,
(IF
(
G5872=""юридична особа""
,
VLOOKUP"&amp;"(H5872,IMPORTRANGE(""https://docs.google.com/spreadsheets/d/14Bd19lYaqBhU8_DElYkX7l4wRkHqqCUFNJY4AfY3kHU/edit?usp=sharing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5871" s="7" t="s">
        <v>14</v>
      </c>
    </row>
    <row r="5872" spans="1:10" ht="13.2">
      <c r="A5872" s="7">
        <v>5871</v>
      </c>
      <c r="B5872" s="7">
        <v>1</v>
      </c>
      <c r="C5872" s="7" t="s">
        <v>10</v>
      </c>
      <c r="D5872" s="7">
        <v>4889</v>
      </c>
      <c r="E5872" s="7" t="s">
        <v>21</v>
      </c>
      <c r="F5872" s="8" t="str">
        <f ca="1">IFERROR(__xludf.DUMMYFUNCTION("IF
(
C5873=""фізична особа""
,
VLOOKUP(D5873,IMPORTRANGE(""https://docs.google.com/spreadsheets/d/14Bd19lYaqBhU8_DElYkX7l4wRkHqqCUFNJY4AfY3kHU/edit?usp=sharing  #gid=0"",""фіз особи new!relations_name""),6,FALSE)
,
(IF
(
C5873=""юридична особа""
,
VLOOKUP"&amp;"(D5873,IMPORTRANGE(""https://docs.google.com/spreadsheets/d/14Bd19lYaqBhU8_DElYkX7l4wRkHqqCUFNJY4AfY3kHU/edit?usp=sharing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2" s="7" t="s">
        <v>10</v>
      </c>
      <c r="H5872" s="7">
        <v>4891</v>
      </c>
      <c r="I5872" s="8" t="str">
        <f ca="1">IFERROR(__xludf.DUMMYFUNCTION("IF
(
G5873=""фізична особа""
,
VLOOKUP(H5873,IMPORTRANGE(""https://docs.google.com/spreadsheets/d/14Bd19lYaqBhU8_DElYkX7l4wRkHqqCUFNJY4AfY3kHU/edit?usp=sharing  #gid=0"",""фіз особи new!relations_name""),6,FALSE)
,
(IF
(
G5873=""юридична особа""
,
VLOOKUP"&amp;"(H5873,IMPORTRANGE(""https://docs.google.com/spreadsheets/d/14Bd19lYaqBhU8_DElYkX7l4wRkHqqCUFNJY4AfY3kHU/edit?usp=sharing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J5872" s="7" t="s">
        <v>17</v>
      </c>
    </row>
    <row r="5873" spans="1:10" ht="13.2">
      <c r="A5873" s="7">
        <v>5872</v>
      </c>
      <c r="B5873" s="7">
        <v>1</v>
      </c>
      <c r="C5873" s="7" t="s">
        <v>10</v>
      </c>
      <c r="D5873" s="7">
        <v>4889</v>
      </c>
      <c r="E5873" s="7" t="s">
        <v>21</v>
      </c>
      <c r="F5873" s="8" t="str">
        <f ca="1">IFERROR(__xludf.DUMMYFUNCTION("IF
(
C5874=""фізична особа""
,
VLOOKUP(D5874,IMPORTRANGE(""https://docs.google.com/spreadsheets/d/14Bd19lYaqBhU8_DElYkX7l4wRkHqqCUFNJY4AfY3kHU/edit?usp=sharing  #gid=0"",""фіз особи new!relations_name""),6,FALSE)
,
(IF
(
C5874=""юридична особа""
,
VLOOKUP"&amp;"(D5874,IMPORTRANGE(""https://docs.google.com/spreadsheets/d/14Bd19lYaqBhU8_DElYkX7l4wRkHqqCUFNJY4AfY3kHU/edit?usp=sharing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3" s="7" t="s">
        <v>10</v>
      </c>
      <c r="H5873" s="7">
        <v>4890</v>
      </c>
      <c r="I5873" s="8" t="str">
        <f ca="1">IFERROR(__xludf.DUMMYFUNCTION("IF
(
G5874=""фізична особа""
,
VLOOKUP(H5874,IMPORTRANGE(""https://docs.google.com/spreadsheets/d/14Bd19lYaqBhU8_DElYkX7l4wRkHqqCUFNJY4AfY3kHU/edit?usp=sharing  #gid=0"",""фіз особи new!relations_name""),6,FALSE)
,
(IF
(
G5874=""юридична особа""
,
VLOOKUP"&amp;"(H5874,IMPORTRANGE(""https://docs.google.com/spreadsheets/d/14Bd19lYaqBhU8_DElYkX7l4wRkHqqCUFNJY4AfY3kHU/edit?usp=sharing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J5873" s="7" t="s">
        <v>13</v>
      </c>
    </row>
    <row r="5874" spans="1:10" ht="13.2">
      <c r="A5874" s="7">
        <v>5873</v>
      </c>
      <c r="B5874" s="7">
        <v>1</v>
      </c>
      <c r="C5874" s="7" t="s">
        <v>10</v>
      </c>
      <c r="D5874" s="7">
        <v>4889</v>
      </c>
      <c r="E5874" s="7" t="s">
        <v>27</v>
      </c>
      <c r="F5874" s="8" t="str">
        <f ca="1">IFERROR(__xludf.DUMMYFUNCTION("IF
(
C5875=""фізична особа""
,
VLOOKUP(D5875,IMPORTRANGE(""https://docs.google.com/spreadsheets/d/14Bd19lYaqBhU8_DElYkX7l4wRkHqqCUFNJY4AfY3kHU/edit?usp=sharing  #gid=0"",""фіз особи new!relations_name""),6,FALSE)
,
(IF
(
C5875=""юридична особа""
,
VLOOKUP"&amp;"(D5875,IMPORTRANGE(""https://docs.google.com/spreadsheets/d/14Bd19lYaqBhU8_DElYkX7l4wRkHqqCUFNJY4AfY3kHU/edit?usp=sharing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4" s="7" t="s">
        <v>10</v>
      </c>
      <c r="H5874" s="7">
        <v>23510</v>
      </c>
      <c r="I5874" s="8" t="str">
        <f ca="1">IFERROR(__xludf.DUMMYFUNCTION("IF
(
G5875=""фізична особа""
,
VLOOKUP(H5875,IMPORTRANGE(""https://docs.google.com/spreadsheets/d/14Bd19lYaqBhU8_DElYkX7l4wRkHqqCUFNJY4AfY3kHU/edit?usp=sharing  #gid=0"",""фіз особи new!relations_name""),6,FALSE)
,
(IF
(
G5875=""юридична особа""
,
VLOOKUP"&amp;"(H5875,IMPORTRANGE(""https://docs.google.com/spreadsheets/d/14Bd19lYaqBhU8_DElYkX7l4wRkHqqCUFNJY4AfY3kHU/edit?usp=sharing  #gid=0"",""фіз особи new!relations_name_uo""),7,FALSE)
,
)
))"),"ЦИХІСЕЛІ Георгій Отарович")</f>
        <v>ЦИХІСЕЛІ Георгій Отарович</v>
      </c>
      <c r="J5874" s="7" t="s">
        <v>26</v>
      </c>
    </row>
    <row r="5875" spans="1:10" ht="13.2">
      <c r="A5875" s="7">
        <v>5874</v>
      </c>
      <c r="B5875" s="7">
        <v>1</v>
      </c>
      <c r="C5875" s="7" t="s">
        <v>10</v>
      </c>
      <c r="D5875" s="7">
        <v>4889</v>
      </c>
      <c r="E5875" s="7" t="s">
        <v>58</v>
      </c>
      <c r="F5875" s="8" t="str">
        <f ca="1">IFERROR(__xludf.DUMMYFUNCTION("IF
(
C5876=""фізична особа""
,
VLOOKUP(D5876,IMPORTRANGE(""https://docs.google.com/spreadsheets/d/14Bd19lYaqBhU8_DElYkX7l4wRkHqqCUFNJY4AfY3kHU/edit?usp=sharing  #gid=0"",""фіз особи new!relations_name""),6,FALSE)
,
(IF
(
C5876=""юридична особа""
,
VLOOKUP"&amp;"(D5876,IMPORTRANGE(""https://docs.google.com/spreadsheets/d/14Bd19lYaqBhU8_DElYkX7l4wRkHqqCUFNJY4AfY3kHU/edit?usp=sharing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5" s="7" t="s">
        <v>10</v>
      </c>
      <c r="H5875" s="7">
        <v>23511</v>
      </c>
      <c r="I5875" s="8" t="str">
        <f ca="1">IFERROR(__xludf.DUMMYFUNCTION("IF
(
G5876=""фізична особа""
,
VLOOKUP(H5876,IMPORTRANGE(""https://docs.google.com/spreadsheets/d/14Bd19lYaqBhU8_DElYkX7l4wRkHqqCUFNJY4AfY3kHU/edit?usp=sharing  #gid=0"",""фіз особи new!relations_name""),6,FALSE)
,
(IF
(
G5876=""юридична особа""
,
VLOOKUP"&amp;"(H5876,IMPORTRANGE(""https://docs.google.com/spreadsheets/d/14Bd19lYaqBhU8_DElYkX7l4wRkHqqCUFNJY4AfY3kHU/edit?usp=sharing  #gid=0"",""фіз особи new!relations_name_uo""),7,FALSE)
,
)
))"),"ШАРАПОВА Юлія")</f>
        <v>ШАРАПОВА Юлія</v>
      </c>
      <c r="J5875" s="7" t="s">
        <v>25</v>
      </c>
    </row>
    <row r="5876" spans="1:10" ht="13.2">
      <c r="A5876" s="7">
        <v>5875</v>
      </c>
      <c r="B5876" s="7">
        <v>1</v>
      </c>
      <c r="C5876" s="7" t="s">
        <v>10</v>
      </c>
      <c r="D5876" s="7">
        <v>4889</v>
      </c>
      <c r="E5876" s="7" t="s">
        <v>30</v>
      </c>
      <c r="F5876" s="8" t="str">
        <f ca="1">IFERROR(__xludf.DUMMYFUNCTION("IF
(
C5877=""фізична особа""
,
VLOOKUP(D5877,IMPORTRANGE(""https://docs.google.com/spreadsheets/d/14Bd19lYaqBhU8_DElYkX7l4wRkHqqCUFNJY4AfY3kHU/edit?usp=sharing  #gid=0"",""фіз особи new!relations_name""),6,FALSE)
,
(IF
(
C5877=""юридична особа""
,
VLOOKUP"&amp;"(D5877,IMPORTRANGE(""https://docs.google.com/spreadsheets/d/14Bd19lYaqBhU8_DElYkX7l4wRkHqqCUFNJY4AfY3kHU/edit?usp=sharing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6" s="7" t="s">
        <v>10</v>
      </c>
      <c r="H5876" s="7">
        <v>23509</v>
      </c>
      <c r="I5876" s="8" t="str">
        <f ca="1">IFERROR(__xludf.DUMMYFUNCTION("IF
(
G5877=""фізична особа""
,
VLOOKUP(H5877,IMPORTRANGE(""https://docs.google.com/spreadsheets/d/14Bd19lYaqBhU8_DElYkX7l4wRkHqqCUFNJY4AfY3kHU/edit?usp=sharing  #gid=0"",""фіз особи new!relations_name""),6,FALSE)
,
(IF
(
G5877=""юридична особа""
,
VLOOKUP"&amp;"(H5877,IMPORTRANGE(""https://docs.google.com/spreadsheets/d/14Bd19lYaqBhU8_DElYkX7l4wRkHqqCUFNJY4AfY3kHU/edit?usp=sharing  #gid=0"",""фіз особи new!relations_name_uo""),7,FALSE)
,
)
))"),"ГОЛУБЄВА Софія Олексіївна")</f>
        <v>ГОЛУБЄВА Софія Олексіївна</v>
      </c>
      <c r="J5876" s="7" t="s">
        <v>30</v>
      </c>
    </row>
    <row r="5877" spans="1:10" ht="13.2">
      <c r="A5877" s="7">
        <v>5876</v>
      </c>
      <c r="B5877" s="7">
        <v>1</v>
      </c>
      <c r="C5877" s="7" t="s">
        <v>10</v>
      </c>
      <c r="D5877" s="7">
        <v>4889</v>
      </c>
      <c r="E5877" s="7" t="s">
        <v>45</v>
      </c>
      <c r="F5877" s="8" t="str">
        <f ca="1">IFERROR(__xludf.DUMMYFUNCTION("IF
(
C5878=""фізична особа""
,
VLOOKUP(D5878,IMPORTRANGE(""https://docs.google.com/spreadsheets/d/14Bd19lYaqBhU8_DElYkX7l4wRkHqqCUFNJY4AfY3kHU/edit?usp=sharing  #gid=0"",""фіз особи new!relations_name""),6,FALSE)
,
(IF
(
C5878=""юридична особа""
,
VLOOKUP"&amp;"(D5878,IMPORTRANGE(""https://docs.google.com/spreadsheets/d/14Bd19lYaqBhU8_DElYkX7l4wRkHqqCUFNJY4AfY3kHU/edit?usp=sharing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G5877" s="7" t="s">
        <v>10</v>
      </c>
      <c r="H5877" s="7">
        <v>15569</v>
      </c>
      <c r="I5877" s="8" t="str">
        <f ca="1">IFERROR(__xludf.DUMMYFUNCTION("IF
(
G5878=""фізична особа""
,
VLOOKUP(H5878,IMPORTRANGE(""https://docs.google.com/spreadsheets/d/14Bd19lYaqBhU8_DElYkX7l4wRkHqqCUFNJY4AfY3kHU/edit?usp=sharing  #gid=0"",""фіз особи new!relations_name""),6,FALSE)
,
(IF
(
G5878=""юридична особа""
,
VLOOKUP"&amp;"(H5878,IMPORTRANGE(""https://docs.google.com/spreadsheets/d/14Bd19lYaqBhU8_DElYkX7l4wRkHqqCUFNJY4AfY3kHU/edit?usp=sharing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J5877" s="7" t="s">
        <v>20</v>
      </c>
    </row>
    <row r="5878" spans="1:10" ht="13.2">
      <c r="A5878" s="7">
        <v>5877</v>
      </c>
      <c r="B5878" s="7">
        <v>1</v>
      </c>
      <c r="C5878" s="7" t="s">
        <v>10</v>
      </c>
      <c r="D5878" s="7">
        <v>4890</v>
      </c>
      <c r="E5878" s="7" t="s">
        <v>13</v>
      </c>
      <c r="F5878" s="8" t="str">
        <f ca="1">IFERROR(__xludf.DUMMYFUNCTION("IF
(
C5879=""фізична особа""
,
VLOOKUP(D5879,IMPORTRANGE(""https://docs.google.com/spreadsheets/d/14Bd19lYaqBhU8_DElYkX7l4wRkHqqCUFNJY4AfY3kHU/edit?usp=sharing  #gid=0"",""фіз особи new!relations_name""),6,FALSE)
,
(IF
(
C5879=""юридична особа""
,
VLOOKUP"&amp;"(D5879,IMPORTRANGE(""https://docs.google.com/spreadsheets/d/14Bd19lYaqBhU8_DElYkX7l4wRkHqqCUFNJY4AfY3kHU/edit?usp=sharing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G5878" s="7" t="s">
        <v>10</v>
      </c>
      <c r="H5878" s="7">
        <v>2555</v>
      </c>
      <c r="I5878" s="8" t="str">
        <f ca="1">IFERROR(__xludf.DUMMYFUNCTION("IF
(
G5879=""фізична особа""
,
VLOOKUP(H5879,IMPORTRANGE(""https://docs.google.com/spreadsheets/d/14Bd19lYaqBhU8_DElYkX7l4wRkHqqCUFNJY4AfY3kHU/edit?usp=sharing  #gid=0"",""фіз особи new!relations_name""),6,FALSE)
,
(IF
(
G5879=""юридична особа""
,
VLOOKUP"&amp;"(H5879,IMPORTRANGE(""https://docs.google.com/spreadsheets/d/14Bd19lYaqBhU8_DElYkX7l4wRkHqqCUFNJY4AfY3kHU/edit?usp=sharing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5878" s="7" t="s">
        <v>12</v>
      </c>
    </row>
    <row r="5879" spans="1:10" ht="13.2">
      <c r="A5879" s="7">
        <v>5878</v>
      </c>
      <c r="B5879" s="7">
        <v>1</v>
      </c>
      <c r="C5879" s="7" t="s">
        <v>10</v>
      </c>
      <c r="D5879" s="7">
        <v>4890</v>
      </c>
      <c r="E5879" s="7" t="s">
        <v>15</v>
      </c>
      <c r="F5879" s="8" t="str">
        <f ca="1">IFERROR(__xludf.DUMMYFUNCTION("IF
(
C5880=""фізична особа""
,
VLOOKUP(D5880,IMPORTRANGE(""https://docs.google.com/spreadsheets/d/14Bd19lYaqBhU8_DElYkX7l4wRkHqqCUFNJY4AfY3kHU/edit?usp=sharing  #gid=0"",""фіз особи new!relations_name""),6,FALSE)
,
(IF
(
C5880=""юридична особа""
,
VLOOKUP"&amp;"(D5880,IMPORTRANGE(""https://docs.google.com/spreadsheets/d/14Bd19lYaqBhU8_DElYkX7l4wRkHqqCUFNJY4AfY3kHU/edit?usp=sharing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G5879" s="7" t="s">
        <v>10</v>
      </c>
      <c r="H5879" s="7">
        <v>23510</v>
      </c>
      <c r="I5879" s="8" t="str">
        <f ca="1">IFERROR(__xludf.DUMMYFUNCTION("IF
(
G5880=""фізична особа""
,
VLOOKUP(H5880,IMPORTRANGE(""https://docs.google.com/spreadsheets/d/14Bd19lYaqBhU8_DElYkX7l4wRkHqqCUFNJY4AfY3kHU/edit?usp=sharing  #gid=0"",""фіз особи new!relations_name""),6,FALSE)
,
(IF
(
G5880=""юридична особа""
,
VLOOKUP"&amp;"(H5880,IMPORTRANGE(""https://docs.google.com/spreadsheets/d/14Bd19lYaqBhU8_DElYkX7l4wRkHqqCUFNJY4AfY3kHU/edit?usp=sharing  #gid=0"",""фіз особи new!relations_name_uo""),7,FALSE)
,
)
))"),"ЦИХІСЕЛІ Георгій Отарович")</f>
        <v>ЦИХІСЕЛІ Георгій Отарович</v>
      </c>
      <c r="J5879" s="7" t="s">
        <v>14</v>
      </c>
    </row>
    <row r="5880" spans="1:10" ht="13.2">
      <c r="A5880" s="7">
        <v>5879</v>
      </c>
      <c r="B5880" s="7">
        <v>1</v>
      </c>
      <c r="C5880" s="7" t="s">
        <v>10</v>
      </c>
      <c r="D5880" s="7">
        <v>4890</v>
      </c>
      <c r="E5880" s="7" t="s">
        <v>110</v>
      </c>
      <c r="F5880" s="8" t="str">
        <f ca="1">IFERROR(__xludf.DUMMYFUNCTION("IF
(
C5881=""фізична особа""
,
VLOOKUP(D5881,IMPORTRANGE(""https://docs.google.com/spreadsheets/d/14Bd19lYaqBhU8_DElYkX7l4wRkHqqCUFNJY4AfY3kHU/edit?usp=sharing  #gid=0"",""фіз особи new!relations_name""),6,FALSE)
,
(IF
(
C5881=""юридична особа""
,
VLOOKUP"&amp;"(D5881,IMPORTRANGE(""https://docs.google.com/spreadsheets/d/14Bd19lYaqBhU8_DElYkX7l4wRkHqqCUFNJY4AfY3kHU/edit?usp=sharing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G5880" s="7" t="s">
        <v>10</v>
      </c>
      <c r="H5880" s="7">
        <v>23511</v>
      </c>
      <c r="I5880" s="8" t="str">
        <f ca="1">IFERROR(__xludf.DUMMYFUNCTION("IF
(
G5881=""фізична особа""
,
VLOOKUP(H5881,IMPORTRANGE(""https://docs.google.com/spreadsheets/d/14Bd19lYaqBhU8_DElYkX7l4wRkHqqCUFNJY4AfY3kHU/edit?usp=sharing  #gid=0"",""фіз особи new!relations_name""),6,FALSE)
,
(IF
(
G5881=""юридична особа""
,
VLOOKUP"&amp;"(H5881,IMPORTRANGE(""https://docs.google.com/spreadsheets/d/14Bd19lYaqBhU8_DElYkX7l4wRkHqqCUFNJY4AfY3kHU/edit?usp=sharing  #gid=0"",""фіз особи new!relations_name_uo""),7,FALSE)
,
)
))"),"ШАРАПОВА Юлія")</f>
        <v>ШАРАПОВА Юлія</v>
      </c>
      <c r="J5880" s="7" t="s">
        <v>25</v>
      </c>
    </row>
    <row r="5881" spans="1:10" ht="13.2">
      <c r="A5881" s="7">
        <v>5880</v>
      </c>
      <c r="B5881" s="7">
        <v>1</v>
      </c>
      <c r="C5881" s="7" t="s">
        <v>10</v>
      </c>
      <c r="D5881" s="7">
        <v>4890</v>
      </c>
      <c r="E5881" s="7" t="s">
        <v>30</v>
      </c>
      <c r="F5881" s="8" t="str">
        <f ca="1">IFERROR(__xludf.DUMMYFUNCTION("IF
(
C5882=""фізична особа""
,
VLOOKUP(D5882,IMPORTRANGE(""https://docs.google.com/spreadsheets/d/14Bd19lYaqBhU8_DElYkX7l4wRkHqqCUFNJY4AfY3kHU/edit?usp=sharing  #gid=0"",""фіз особи new!relations_name""),6,FALSE)
,
(IF
(
C5882=""юридична особа""
,
VLOOKUP"&amp;"(D5882,IMPORTRANGE(""https://docs.google.com/spreadsheets/d/14Bd19lYaqBhU8_DElYkX7l4wRkHqqCUFNJY4AfY3kHU/edit?usp=sharing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G5881" s="7" t="s">
        <v>10</v>
      </c>
      <c r="H5881" s="7">
        <v>23509</v>
      </c>
      <c r="I5881" s="8" t="str">
        <f ca="1">IFERROR(__xludf.DUMMYFUNCTION("IF
(
G5882=""фізична особа""
,
VLOOKUP(H5882,IMPORTRANGE(""https://docs.google.com/spreadsheets/d/14Bd19lYaqBhU8_DElYkX7l4wRkHqqCUFNJY4AfY3kHU/edit?usp=sharing  #gid=0"",""фіз особи new!relations_name""),6,FALSE)
,
(IF
(
G5882=""юридична особа""
,
VLOOKUP"&amp;"(H5882,IMPORTRANGE(""https://docs.google.com/spreadsheets/d/14Bd19lYaqBhU8_DElYkX7l4wRkHqqCUFNJY4AfY3kHU/edit?usp=sharing  #gid=0"",""фіз особи new!relations_name_uo""),7,FALSE)
,
)
))"),"ГОЛУБЄВА Софія Олексіївна")</f>
        <v>ГОЛУБЄВА Софія Олексіївна</v>
      </c>
      <c r="J5881" s="7" t="s">
        <v>30</v>
      </c>
    </row>
    <row r="5882" spans="1:10" ht="13.2">
      <c r="A5882" s="7">
        <v>5881</v>
      </c>
      <c r="B5882" s="7">
        <v>1</v>
      </c>
      <c r="C5882" s="7" t="s">
        <v>10</v>
      </c>
      <c r="D5882" s="7">
        <v>4890</v>
      </c>
      <c r="E5882" s="7" t="s">
        <v>112</v>
      </c>
      <c r="F5882" s="8" t="str">
        <f ca="1">IFERROR(__xludf.DUMMYFUNCTION("IF
(
C5883=""фізична особа""
,
VLOOKUP(D5883,IMPORTRANGE(""https://docs.google.com/spreadsheets/d/14Bd19lYaqBhU8_DElYkX7l4wRkHqqCUFNJY4AfY3kHU/edit?usp=sharing  #gid=0"",""фіз особи new!relations_name""),6,FALSE)
,
(IF
(
C5883=""юридична особа""
,
VLOOKUP"&amp;"(D5883,IMPORTRANGE(""https://docs.google.com/spreadsheets/d/14Bd19lYaqBhU8_DElYkX7l4wRkHqqCUFNJY4AfY3kHU/edit?usp=sharing  #gid=0"",""фіз особи new!relations_name_uo""),7,FALSE)
,
)
))"),"ГОЛУБЄВА Світлана Василівна")</f>
        <v>ГОЛУБЄВА Світлана Василівна</v>
      </c>
      <c r="G5882" s="7" t="s">
        <v>10</v>
      </c>
      <c r="H5882" s="7">
        <v>15569</v>
      </c>
      <c r="I5882" s="8" t="str">
        <f ca="1">IFERROR(__xludf.DUMMYFUNCTION("IF
(
G5883=""фізична особа""
,
VLOOKUP(H5883,IMPORTRANGE(""https://docs.google.com/spreadsheets/d/14Bd19lYaqBhU8_DElYkX7l4wRkHqqCUFNJY4AfY3kHU/edit?usp=sharing  #gid=0"",""фіз особи new!relations_name""),6,FALSE)
,
(IF
(
G5883=""юридична особа""
,
VLOOKUP"&amp;"(H5883,IMPORTRANGE(""https://docs.google.com/spreadsheets/d/14Bd19lYaqBhU8_DElYkX7l4wRkHqqCUFNJY4AfY3kHU/edit?usp=sharing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J5882" s="7" t="s">
        <v>44</v>
      </c>
    </row>
    <row r="5883" spans="1:10" ht="13.2">
      <c r="A5883" s="7">
        <v>5882</v>
      </c>
      <c r="B5883" s="7">
        <v>1</v>
      </c>
      <c r="C5883" s="7" t="s">
        <v>10</v>
      </c>
      <c r="D5883" s="7">
        <v>4891</v>
      </c>
      <c r="E5883" s="7" t="s">
        <v>17</v>
      </c>
      <c r="F5883" s="8" t="str">
        <f ca="1">IFERROR(__xludf.DUMMYFUNCTION("IF
(
C5884=""фізична особа""
,
VLOOKUP(D5884,IMPORTRANGE(""https://docs.google.com/spreadsheets/d/14Bd19lYaqBhU8_DElYkX7l4wRkHqqCUFNJY4AfY3kHU/edit?usp=sharing  #gid=0"",""фіз особи new!relations_name""),6,FALSE)
,
(IF
(
C5884=""юридична особа""
,
VLOOKUP"&amp;"(D5884,IMPORTRANGE(""https://docs.google.com/spreadsheets/d/14Bd19lYaqBhU8_DElYkX7l4wRkHqqCUFNJY4AfY3kHU/edit?usp=sharing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G5883" s="7" t="s">
        <v>10</v>
      </c>
      <c r="H5883" s="7">
        <v>2555</v>
      </c>
      <c r="I5883" s="8" t="str">
        <f ca="1">IFERROR(__xludf.DUMMYFUNCTION("IF
(
G5884=""фізична особа""
,
VLOOKUP(H5884,IMPORTRANGE(""https://docs.google.com/spreadsheets/d/14Bd19lYaqBhU8_DElYkX7l4wRkHqqCUFNJY4AfY3kHU/edit?usp=sharing  #gid=0"",""фіз особи new!relations_name""),6,FALSE)
,
(IF
(
G5884=""юридична особа""
,
VLOOKUP"&amp;"(H5884,IMPORTRANGE(""https://docs.google.com/spreadsheets/d/14Bd19lYaqBhU8_DElYkX7l4wRkHqqCUFNJY4AfY3kHU/edit?usp=sharing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5883" s="7" t="s">
        <v>12</v>
      </c>
    </row>
    <row r="5884" spans="1:10" ht="13.2">
      <c r="A5884" s="7">
        <v>5883</v>
      </c>
      <c r="B5884" s="7">
        <v>1</v>
      </c>
      <c r="C5884" s="7" t="s">
        <v>10</v>
      </c>
      <c r="D5884" s="7">
        <v>4891</v>
      </c>
      <c r="E5884" s="7" t="s">
        <v>50</v>
      </c>
      <c r="F5884" s="8" t="str">
        <f ca="1">IFERROR(__xludf.DUMMYFUNCTION("IF
(
C5885=""фізична особа""
,
VLOOKUP(D5885,IMPORTRANGE(""https://docs.google.com/spreadsheets/d/14Bd19lYaqBhU8_DElYkX7l4wRkHqqCUFNJY4AfY3kHU/edit?usp=sharing  #gid=0"",""фіз особи new!relations_name""),6,FALSE)
,
(IF
(
C5885=""юридична особа""
,
VLOOKUP"&amp;"(D5885,IMPORTRANGE(""https://docs.google.com/spreadsheets/d/14Bd19lYaqBhU8_DElYkX7l4wRkHqqCUFNJY4AfY3kHU/edit?usp=sharing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G5884" s="7" t="s">
        <v>10</v>
      </c>
      <c r="H5884" s="7">
        <v>23510</v>
      </c>
      <c r="I5884" s="8" t="str">
        <f ca="1">IFERROR(__xludf.DUMMYFUNCTION("IF
(
G5885=""фізична особа""
,
VLOOKUP(H5885,IMPORTRANGE(""https://docs.google.com/spreadsheets/d/14Bd19lYaqBhU8_DElYkX7l4wRkHqqCUFNJY4AfY3kHU/edit?usp=sharing  #gid=0"",""фіз особи new!relations_name""),6,FALSE)
,
(IF
(
G5885=""юридична особа""
,
VLOOKUP"&amp;"(H5885,IMPORTRANGE(""https://docs.google.com/spreadsheets/d/14Bd19lYaqBhU8_DElYkX7l4wRkHqqCUFNJY4AfY3kHU/edit?usp=sharing  #gid=0"",""фіз особи new!relations_name_uo""),7,FALSE)
,
)
))"),"ЦИХІСЕЛІ Георгій Отарович")</f>
        <v>ЦИХІСЕЛІ Георгій Отарович</v>
      </c>
      <c r="J5884" s="7" t="s">
        <v>26</v>
      </c>
    </row>
    <row r="5885" spans="1:10" ht="13.2">
      <c r="A5885" s="7">
        <v>5884</v>
      </c>
      <c r="B5885" s="7">
        <v>1</v>
      </c>
      <c r="C5885" s="7" t="s">
        <v>10</v>
      </c>
      <c r="D5885" s="7">
        <v>4891</v>
      </c>
      <c r="E5885" s="7" t="s">
        <v>42</v>
      </c>
      <c r="F5885" s="8" t="str">
        <f ca="1">IFERROR(__xludf.DUMMYFUNCTION("IF
(
C5886=""фізична особа""
,
VLOOKUP(D5886,IMPORTRANGE(""https://docs.google.com/spreadsheets/d/14Bd19lYaqBhU8_DElYkX7l4wRkHqqCUFNJY4AfY3kHU/edit?usp=sharing  #gid=0"",""фіз особи new!relations_name""),6,FALSE)
,
(IF
(
C5886=""юридична особа""
,
VLOOKUP"&amp;"(D5886,IMPORTRANGE(""https://docs.google.com/spreadsheets/d/14Bd19lYaqBhU8_DElYkX7l4wRkHqqCUFNJY4AfY3kHU/edit?usp=sharing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G5885" s="7" t="s">
        <v>10</v>
      </c>
      <c r="H5885" s="7">
        <v>23511</v>
      </c>
      <c r="I5885" s="8" t="str">
        <f ca="1">IFERROR(__xludf.DUMMYFUNCTION("IF
(
G5886=""фізична особа""
,
VLOOKUP(H5886,IMPORTRANGE(""https://docs.google.com/spreadsheets/d/14Bd19lYaqBhU8_DElYkX7l4wRkHqqCUFNJY4AfY3kHU/edit?usp=sharing  #gid=0"",""фіз особи new!relations_name""),6,FALSE)
,
(IF
(
G5886=""юридична особа""
,
VLOOKUP"&amp;"(H5886,IMPORTRANGE(""https://docs.google.com/spreadsheets/d/14Bd19lYaqBhU8_DElYkX7l4wRkHqqCUFNJY4AfY3kHU/edit?usp=sharing  #gid=0"",""фіз особи new!relations_name_uo""),7,FALSE)
,
)
))"),"ШАРАПОВА Юлія")</f>
        <v>ШАРАПОВА Юлія</v>
      </c>
      <c r="J5885" s="7" t="s">
        <v>43</v>
      </c>
    </row>
    <row r="5886" spans="1:10" ht="13.2">
      <c r="A5886" s="7">
        <v>5885</v>
      </c>
      <c r="B5886" s="7">
        <v>1</v>
      </c>
      <c r="C5886" s="7" t="s">
        <v>10</v>
      </c>
      <c r="D5886" s="7">
        <v>4891</v>
      </c>
      <c r="E5886" s="7" t="s">
        <v>30</v>
      </c>
      <c r="F5886" s="8" t="str">
        <f ca="1">IFERROR(__xludf.DUMMYFUNCTION("IF
(
C5887=""фізична особа""
,
VLOOKUP(D5887,IMPORTRANGE(""https://docs.google.com/spreadsheets/d/14Bd19lYaqBhU8_DElYkX7l4wRkHqqCUFNJY4AfY3kHU/edit?usp=sharing  #gid=0"",""фіз особи new!relations_name""),6,FALSE)
,
(IF
(
C5887=""юридична особа""
,
VLOOKUP"&amp;"(D5887,IMPORTRANGE(""https://docs.google.com/spreadsheets/d/14Bd19lYaqBhU8_DElYkX7l4wRkHqqCUFNJY4AfY3kHU/edit?usp=sharing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G5886" s="7" t="s">
        <v>10</v>
      </c>
      <c r="H5886" s="7">
        <v>23509</v>
      </c>
      <c r="I5886" s="8" t="str">
        <f ca="1">IFERROR(__xludf.DUMMYFUNCTION("IF
(
G5887=""фізична особа""
,
VLOOKUP(H5887,IMPORTRANGE(""https://docs.google.com/spreadsheets/d/14Bd19lYaqBhU8_DElYkX7l4wRkHqqCUFNJY4AfY3kHU/edit?usp=sharing  #gid=0"",""фіз особи new!relations_name""),6,FALSE)
,
(IF
(
G5887=""юридична особа""
,
VLOOKUP"&amp;"(H5887,IMPORTRANGE(""https://docs.google.com/spreadsheets/d/14Bd19lYaqBhU8_DElYkX7l4wRkHqqCUFNJY4AfY3kHU/edit?usp=sharing  #gid=0"",""фіз особи new!relations_name_uo""),7,FALSE)
,
)
))"),"ГОЛУБЄВА Софія Олексіївна")</f>
        <v>ГОЛУБЄВА Софія Олексіївна</v>
      </c>
      <c r="J5886" s="7" t="s">
        <v>30</v>
      </c>
    </row>
    <row r="5887" spans="1:10" ht="13.2">
      <c r="A5887" s="7">
        <v>5886</v>
      </c>
      <c r="B5887" s="7">
        <v>1</v>
      </c>
      <c r="C5887" s="7" t="s">
        <v>10</v>
      </c>
      <c r="D5887" s="7">
        <v>4891</v>
      </c>
      <c r="E5887" s="7" t="s">
        <v>44</v>
      </c>
      <c r="F5887" s="8" t="str">
        <f ca="1">IFERROR(__xludf.DUMMYFUNCTION("IF
(
C5888=""фізична особа""
,
VLOOKUP(D5888,IMPORTRANGE(""https://docs.google.com/spreadsheets/d/14Bd19lYaqBhU8_DElYkX7l4wRkHqqCUFNJY4AfY3kHU/edit?usp=sharing  #gid=0"",""фіз особи new!relations_name""),6,FALSE)
,
(IF
(
C5888=""юридична особа""
,
VLOOKUP"&amp;"(D5888,IMPORTRANGE(""https://docs.google.com/spreadsheets/d/14Bd19lYaqBhU8_DElYkX7l4wRkHqqCUFNJY4AfY3kHU/edit?usp=sharing  #gid=0"",""фіз особи new!relations_name_uo""),7,FALSE)
,
)
))"),"ГОЛУБЄВ Олексій Васильович")</f>
        <v>ГОЛУБЄВ Олексій Васильович</v>
      </c>
      <c r="G5887" s="7" t="s">
        <v>10</v>
      </c>
      <c r="H5887" s="7">
        <v>15569</v>
      </c>
      <c r="I5887" s="8" t="str">
        <f ca="1">IFERROR(__xludf.DUMMYFUNCTION("IF
(
G5888=""фізична особа""
,
VLOOKUP(H5888,IMPORTRANGE(""https://docs.google.com/spreadsheets/d/14Bd19lYaqBhU8_DElYkX7l4wRkHqqCUFNJY4AfY3kHU/edit?usp=sharing  #gid=0"",""фіз особи new!relations_name""),6,FALSE)
,
(IF
(
G5888=""юридична особа""
,
VLOOKUP"&amp;"(H5888,IMPORTRANGE(""https://docs.google.com/spreadsheets/d/14Bd19lYaqBhU8_DElYkX7l4wRkHqqCUFNJY4AfY3kHU/edit?usp=sharing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J5887" s="7" t="s">
        <v>44</v>
      </c>
    </row>
    <row r="5888" spans="1:10" ht="13.2">
      <c r="A5888" s="7">
        <v>5887</v>
      </c>
      <c r="B5888" s="7">
        <v>1</v>
      </c>
      <c r="C5888" s="7" t="s">
        <v>10</v>
      </c>
      <c r="D5888" s="7">
        <v>4894</v>
      </c>
      <c r="E5888" s="7" t="s">
        <v>14</v>
      </c>
      <c r="F5888" s="8" t="str">
        <f ca="1">IFERROR(__xludf.DUMMYFUNCTION("IF
(
C5889=""фізична особа""
,
VLOOKUP(D5889,IMPORTRANGE(""https://docs.google.com/spreadsheets/d/14Bd19lYaqBhU8_DElYkX7l4wRkHqqCUFNJY4AfY3kHU/edit?usp=sharing  #gid=0"",""фіз особи new!relations_name""),6,FALSE)
,
(IF
(
C5889=""юридична особа""
,
VLOOKUP"&amp;"(D5889,IMPORTRANGE(""https://docs.google.com/spreadsheets/d/14Bd19lYaqBhU8_DElYkX7l4wRkHqqCUFNJY4AfY3kHU/edit?usp=sharing  #gid=0"",""фіз особи new!relations_name_uo""),7,FALSE)
,
)
))"),"ГУМЕРОВ Рахім'ян Мухтарович")</f>
        <v>ГУМЕРОВ Рахім'ян Мухтарович</v>
      </c>
      <c r="G5888" s="7" t="s">
        <v>10</v>
      </c>
      <c r="H5888" s="7">
        <v>405</v>
      </c>
      <c r="I5888" s="8" t="str">
        <f ca="1">IFERROR(__xludf.DUMMYFUNCTION("IF
(
G5889=""фізична особа""
,
VLOOKUP(H5889,IMPORTRANGE(""https://docs.google.com/spreadsheets/d/14Bd19lYaqBhU8_DElYkX7l4wRkHqqCUFNJY4AfY3kHU/edit?usp=sharing  #gid=0"",""фіз особи new!relations_name""),6,FALSE)
,
(IF
(
G5889=""юридична особа""
,
VLOOKUP"&amp;"(H5889,IMPORTRANGE(""https://docs.google.com/spreadsheets/d/14Bd19lYaqBhU8_DElYkX7l4wRkHqqCUFNJY4AfY3kHU/edit?usp=sharing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J5888" s="7" t="s">
        <v>15</v>
      </c>
    </row>
    <row r="5889" spans="1:10" ht="13.2">
      <c r="A5889" s="7">
        <v>5888</v>
      </c>
      <c r="B5889" s="7">
        <v>1</v>
      </c>
      <c r="C5889" s="7" t="s">
        <v>10</v>
      </c>
      <c r="D5889" s="7">
        <v>4894</v>
      </c>
      <c r="E5889" s="7" t="s">
        <v>12</v>
      </c>
      <c r="F5889" s="8" t="str">
        <f ca="1">IFERROR(__xludf.DUMMYFUNCTION("IF
(
C5890=""фізична особа""
,
VLOOKUP(D5890,IMPORTRANGE(""https://docs.google.com/spreadsheets/d/14Bd19lYaqBhU8_DElYkX7l4wRkHqqCUFNJY4AfY3kHU/edit?usp=sharing  #gid=0"",""фіз особи new!relations_name""),6,FALSE)
,
(IF
(
C5890=""юридична особа""
,
VLOOKUP"&amp;"(D5890,IMPORTRANGE(""https://docs.google.com/spreadsheets/d/14Bd19lYaqBhU8_DElYkX7l4wRkHqqCUFNJY4AfY3kHU/edit?usp=sharing  #gid=0"",""фіз особи new!relations_name_uo""),7,FALSE)
,
)
))"),"ГУМЕРОВ Рахім'ян Мухтарович")</f>
        <v>ГУМЕРОВ Рахім'ян Мухтарович</v>
      </c>
      <c r="G5889" s="7" t="s">
        <v>10</v>
      </c>
      <c r="H5889" s="7">
        <v>4895</v>
      </c>
      <c r="I5889" s="8" t="str">
        <f ca="1">IFERROR(__xludf.DUMMYFUNCTION("IF
(
G5890=""фізична особа""
,
VLOOKUP(H5890,IMPORTRANGE(""https://docs.google.com/spreadsheets/d/14Bd19lYaqBhU8_DElYkX7l4wRkHqqCUFNJY4AfY3kHU/edit?usp=sharing  #gid=0"",""фіз особи new!relations_name""),6,FALSE)
,
(IF
(
G5890=""юридична особа""
,
VLOOKUP"&amp;"(H5890,IMPORTRANGE(""https://docs.google.com/spreadsheets/d/14Bd19lYaqBhU8_DElYkX7l4wRkHqqCUFNJY4AfY3kHU/edit?usp=sharing  #gid=0"",""фіз особи new!relations_name_uo""),7,FALSE)
,
)
))"),"ГУМЕРОВА Діна Рахім'янівна")</f>
        <v>ГУМЕРОВА Діна Рахім'янівна</v>
      </c>
      <c r="J5889" s="7" t="s">
        <v>13</v>
      </c>
    </row>
    <row r="5890" spans="1:10" ht="13.2">
      <c r="A5890" s="7">
        <v>5889</v>
      </c>
      <c r="B5890" s="7">
        <v>1</v>
      </c>
      <c r="C5890" s="7" t="s">
        <v>10</v>
      </c>
      <c r="D5890" s="7">
        <v>4895</v>
      </c>
      <c r="E5890" s="7" t="s">
        <v>13</v>
      </c>
      <c r="F5890" s="8" t="str">
        <f ca="1">IFERROR(__xludf.DUMMYFUNCTION("IF
(
C5891=""фізична особа""
,
VLOOKUP(D5891,IMPORTRANGE(""https://docs.google.com/spreadsheets/d/14Bd19lYaqBhU8_DElYkX7l4wRkHqqCUFNJY4AfY3kHU/edit?usp=sharing  #gid=0"",""фіз особи new!relations_name""),6,FALSE)
,
(IF
(
C5891=""юридична особа""
,
VLOOKUP"&amp;"(D5891,IMPORTRANGE(""https://docs.google.com/spreadsheets/d/14Bd19lYaqBhU8_DElYkX7l4wRkHqqCUFNJY4AfY3kHU/edit?usp=sharing  #gid=0"",""фіз особи new!relations_name_uo""),7,FALSE)
,
)
))"),"ГУМЕРОВА Діна Рахім'янівна")</f>
        <v>ГУМЕРОВА Діна Рахім'янівна</v>
      </c>
      <c r="G5890" s="7" t="s">
        <v>10</v>
      </c>
      <c r="H5890" s="7">
        <v>405</v>
      </c>
      <c r="I5890" s="8" t="str">
        <f ca="1">IFERROR(__xludf.DUMMYFUNCTION("IF
(
G5891=""фізична особа""
,
VLOOKUP(H5891,IMPORTRANGE(""https://docs.google.com/spreadsheets/d/14Bd19lYaqBhU8_DElYkX7l4wRkHqqCUFNJY4AfY3kHU/edit?usp=sharing  #gid=0"",""фіз особи new!relations_name""),6,FALSE)
,
(IF
(
G5891=""юридична особа""
,
VLOOKUP"&amp;"(H5891,IMPORTRANGE(""https://docs.google.com/spreadsheets/d/14Bd19lYaqBhU8_DElYkX7l4wRkHqqCUFNJY4AfY3kHU/edit?usp=sharing  #gid=0"",""фіз особи new!relations_name_uo""),7,FALSE)
,
)
))"),"ГУМЕРОВА Лілія Салаватівна")</f>
        <v>ГУМЕРОВА Лілія Салаватівна</v>
      </c>
      <c r="J5890" s="7" t="s">
        <v>21</v>
      </c>
    </row>
    <row r="5891" spans="1:10" ht="13.2">
      <c r="A5891" s="7">
        <v>5890</v>
      </c>
      <c r="B5891" s="7">
        <v>1</v>
      </c>
      <c r="C5891" s="7" t="s">
        <v>10</v>
      </c>
      <c r="D5891" s="7">
        <v>4895</v>
      </c>
      <c r="E5891" s="7" t="s">
        <v>13</v>
      </c>
      <c r="F5891" s="8" t="str">
        <f ca="1">IFERROR(__xludf.DUMMYFUNCTION("IF
(
C5892=""фізична особа""
,
VLOOKUP(D5892,IMPORTRANGE(""https://docs.google.com/spreadsheets/d/14Bd19lYaqBhU8_DElYkX7l4wRkHqqCUFNJY4AfY3kHU/edit?usp=sharing  #gid=0"",""фіз особи new!relations_name""),6,FALSE)
,
(IF
(
C5892=""юридична особа""
,
VLOOKUP"&amp;"(D5892,IMPORTRANGE(""https://docs.google.com/spreadsheets/d/14Bd19lYaqBhU8_DElYkX7l4wRkHqqCUFNJY4AfY3kHU/edit?usp=sharing  #gid=0"",""фіз особи new!relations_name_uo""),7,FALSE)
,
)
))"),"ГУМЕРОВА Діна Рахім'янівна")</f>
        <v>ГУМЕРОВА Діна Рахім'янівна</v>
      </c>
      <c r="G5891" s="7" t="s">
        <v>10</v>
      </c>
      <c r="H5891" s="7">
        <v>4894</v>
      </c>
      <c r="I5891" s="8" t="str">
        <f ca="1">IFERROR(__xludf.DUMMYFUNCTION("IF
(
G5892=""фізична особа""
,
VLOOKUP(H5892,IMPORTRANGE(""https://docs.google.com/spreadsheets/d/14Bd19lYaqBhU8_DElYkX7l4wRkHqqCUFNJY4AfY3kHU/edit?usp=sharing  #gid=0"",""фіз особи new!relations_name""),6,FALSE)
,
(IF
(
G5892=""юридична особа""
,
VLOOKUP"&amp;"(H5892,IMPORTRANGE(""https://docs.google.com/spreadsheets/d/14Bd19lYaqBhU8_DElYkX7l4wRkHqqCUFNJY4AfY3kHU/edit?usp=sharing  #gid=0"",""фіз особи new!relations_name_uo""),7,FALSE)
,
)
))"),"ГУМЕРОВ Рахім'ян Мухтарович")</f>
        <v>ГУМЕРОВ Рахім'ян Мухтарович</v>
      </c>
      <c r="J5891" s="7" t="s">
        <v>12</v>
      </c>
    </row>
    <row r="5892" spans="1:10" ht="13.2">
      <c r="A5892" s="7">
        <v>5891</v>
      </c>
      <c r="B5892" s="7">
        <v>1</v>
      </c>
      <c r="C5892" s="7" t="s">
        <v>10</v>
      </c>
      <c r="D5892" s="7">
        <v>4896</v>
      </c>
      <c r="E5892" s="7" t="s">
        <v>15</v>
      </c>
      <c r="F5892" s="8" t="str">
        <f ca="1">IFERROR(__xludf.DUMMYFUNCTION("IF
(
C5893=""фізична особа""
,
VLOOKUP(D5893,IMPORTRANGE(""https://docs.google.com/spreadsheets/d/14Bd19lYaqBhU8_DElYkX7l4wRkHqqCUFNJY4AfY3kHU/edit?usp=sharing  #gid=0"",""фіз особи new!relations_name""),6,FALSE)
,
(IF
(
C5893=""юридична особа""
,
VLOOKUP"&amp;"(D5893,IMPORTRANGE(""https://docs.google.com/spreadsheets/d/14Bd19lYaqBhU8_DElYkX7l4wRkHqqCUFNJY4AfY3kHU/edit?usp=sharing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G5892" s="7" t="s">
        <v>10</v>
      </c>
      <c r="H5892" s="7">
        <v>2542</v>
      </c>
      <c r="I5892" s="8" t="str">
        <f ca="1">IFERROR(__xludf.DUMMYFUNCTION("IF
(
G5893=""фізична особа""
,
VLOOKUP(H5893,IMPORTRANGE(""https://docs.google.com/spreadsheets/d/14Bd19lYaqBhU8_DElYkX7l4wRkHqqCUFNJY4AfY3kHU/edit?usp=sharing  #gid=0"",""фіз особи new!relations_name""),6,FALSE)
,
(IF
(
G5893=""юридична особа""
,
VLOOKUP"&amp;"(H5893,IMPORTRANGE(""https://docs.google.com/spreadsheets/d/14Bd19lYaqBhU8_DElYkX7l4wRkHqqCUFNJY4AfY3kHU/edit?usp=sharing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J5892" s="7" t="s">
        <v>14</v>
      </c>
    </row>
    <row r="5893" spans="1:10" ht="13.2">
      <c r="A5893" s="7">
        <v>5892</v>
      </c>
      <c r="B5893" s="7">
        <v>1</v>
      </c>
      <c r="C5893" s="7" t="s">
        <v>10</v>
      </c>
      <c r="D5893" s="7">
        <v>4896</v>
      </c>
      <c r="E5893" s="7" t="s">
        <v>21</v>
      </c>
      <c r="F5893" s="8" t="str">
        <f ca="1">IFERROR(__xludf.DUMMYFUNCTION("IF
(
C5894=""фізична особа""
,
VLOOKUP(D5894,IMPORTRANGE(""https://docs.google.com/spreadsheets/d/14Bd19lYaqBhU8_DElYkX7l4wRkHqqCUFNJY4AfY3kHU/edit?usp=sharing  #gid=0"",""фіз особи new!relations_name""),6,FALSE)
,
(IF
(
C5894=""юридична особа""
,
VLOOKUP"&amp;"(D5894,IMPORTRANGE(""https://docs.google.com/spreadsheets/d/14Bd19lYaqBhU8_DElYkX7l4wRkHqqCUFNJY4AfY3kHU/edit?usp=sharing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G5893" s="7" t="s">
        <v>10</v>
      </c>
      <c r="H5893" s="7">
        <v>4897</v>
      </c>
      <c r="I5893" s="8" t="str">
        <f ca="1">IFERROR(__xludf.DUMMYFUNCTION("IF
(
G5894=""фізична особа""
,
VLOOKUP(H5894,IMPORTRANGE(""https://docs.google.com/spreadsheets/d/14Bd19lYaqBhU8_DElYkX7l4wRkHqqCUFNJY4AfY3kHU/edit?usp=sharing  #gid=0"",""фіз особи new!relations_name""),6,FALSE)
,
(IF
(
G5894=""юридична особа""
,
VLOOKUP"&amp;"(H5894,IMPORTRANGE(""https://docs.google.com/spreadsheets/d/14Bd19lYaqBhU8_DElYkX7l4wRkHqqCUFNJY4AfY3kHU/edit?usp=sharing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J5893" s="7" t="s">
        <v>13</v>
      </c>
    </row>
    <row r="5894" spans="1:10" ht="13.2">
      <c r="A5894" s="7">
        <v>5893</v>
      </c>
      <c r="B5894" s="7">
        <v>1</v>
      </c>
      <c r="C5894" s="7" t="s">
        <v>10</v>
      </c>
      <c r="D5894" s="7">
        <v>4896</v>
      </c>
      <c r="E5894" s="7" t="s">
        <v>21</v>
      </c>
      <c r="F5894" s="8" t="str">
        <f ca="1">IFERROR(__xludf.DUMMYFUNCTION("IF
(
C5895=""фізична особа""
,
VLOOKUP(D5895,IMPORTRANGE(""https://docs.google.com/spreadsheets/d/14Bd19lYaqBhU8_DElYkX7l4wRkHqqCUFNJY4AfY3kHU/edit?usp=sharing  #gid=0"",""фіз особи new!relations_name""),6,FALSE)
,
(IF
(
C5895=""юридична особа""
,
VLOOKUP"&amp;"(D5895,IMPORTRANGE(""https://docs.google.com/spreadsheets/d/14Bd19lYaqBhU8_DElYkX7l4wRkHqqCUFNJY4AfY3kHU/edit?usp=sharing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G5894" s="7" t="s">
        <v>10</v>
      </c>
      <c r="H5894" s="7">
        <v>4898</v>
      </c>
      <c r="I5894" s="8" t="str">
        <f ca="1">IFERROR(__xludf.DUMMYFUNCTION("IF
(
G5895=""фізична особа""
,
VLOOKUP(H5895,IMPORTRANGE(""https://docs.google.com/spreadsheets/d/14Bd19lYaqBhU8_DElYkX7l4wRkHqqCUFNJY4AfY3kHU/edit?usp=sharing  #gid=0"",""фіз особи new!relations_name""),6,FALSE)
,
(IF
(
G5895=""юридична особа""
,
VLOOKUP"&amp;"(H5895,IMPORTRANGE(""https://docs.google.com/spreadsheets/d/14Bd19lYaqBhU8_DElYkX7l4wRkHqqCUFNJY4AfY3kHU/edit?usp=sharing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J5894" s="7" t="s">
        <v>13</v>
      </c>
    </row>
    <row r="5895" spans="1:10" ht="13.2">
      <c r="A5895" s="7">
        <v>5894</v>
      </c>
      <c r="B5895" s="7">
        <v>1</v>
      </c>
      <c r="C5895" s="7" t="s">
        <v>10</v>
      </c>
      <c r="D5895" s="7">
        <v>4896</v>
      </c>
      <c r="E5895" s="7" t="s">
        <v>27</v>
      </c>
      <c r="F5895" s="8" t="str">
        <f ca="1">IFERROR(__xludf.DUMMYFUNCTION("IF
(
C5896=""фізична особа""
,
VLOOKUP(D5896,IMPORTRANGE(""https://docs.google.com/spreadsheets/d/14Bd19lYaqBhU8_DElYkX7l4wRkHqqCUFNJY4AfY3kHU/edit?usp=sharing  #gid=0"",""фіз особи new!relations_name""),6,FALSE)
,
(IF
(
C5896=""юридична особа""
,
VLOOKUP"&amp;"(D5896,IMPORTRANGE(""https://docs.google.com/spreadsheets/d/14Bd19lYaqBhU8_DElYkX7l4wRkHqqCUFNJY4AfY3kHU/edit?usp=sharing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G5895" s="7" t="s">
        <v>10</v>
      </c>
      <c r="H5895" s="7">
        <v>4899</v>
      </c>
      <c r="I5895" s="8" t="str">
        <f ca="1">IFERROR(__xludf.DUMMYFUNCTION("IF
(
G5896=""фізична особа""
,
VLOOKUP(H5896,IMPORTRANGE(""https://docs.google.com/spreadsheets/d/14Bd19lYaqBhU8_DElYkX7l4wRkHqqCUFNJY4AfY3kHU/edit?usp=sharing  #gid=0"",""фіз особи new!relations_name""),6,FALSE)
,
(IF
(
G5896=""юридична особа""
,
VLOOKUP"&amp;"(H5896,IMPORTRANGE(""https://docs.google.com/spreadsheets/d/14Bd19lYaqBhU8_DElYkX7l4wRkHqqCUFNJY4AfY3kHU/edit?usp=sharing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J5895" s="7" t="s">
        <v>26</v>
      </c>
    </row>
    <row r="5896" spans="1:10" ht="13.2">
      <c r="A5896" s="7">
        <v>5895</v>
      </c>
      <c r="B5896" s="7">
        <v>1</v>
      </c>
      <c r="C5896" s="7" t="s">
        <v>10</v>
      </c>
      <c r="D5896" s="7">
        <v>4897</v>
      </c>
      <c r="E5896" s="7" t="s">
        <v>13</v>
      </c>
      <c r="F5896" s="8" t="str">
        <f ca="1">IFERROR(__xludf.DUMMYFUNCTION("IF
(
C5897=""фізична особа""
,
VLOOKUP(D5897,IMPORTRANGE(""https://docs.google.com/spreadsheets/d/14Bd19lYaqBhU8_DElYkX7l4wRkHqqCUFNJY4AfY3kHU/edit?usp=sharing  #gid=0"",""фіз особи new!relations_name""),6,FALSE)
,
(IF
(
C5897=""юридична особа""
,
VLOOKUP"&amp;"(D5897,IMPORTRANGE(""https://docs.google.com/spreadsheets/d/14Bd19lYaqBhU8_DElYkX7l4wRkHqqCUFNJY4AfY3kHU/edit?usp=sharing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G5896" s="7" t="s">
        <v>10</v>
      </c>
      <c r="H5896" s="7">
        <v>2542</v>
      </c>
      <c r="I5896" s="8" t="str">
        <f ca="1">IFERROR(__xludf.DUMMYFUNCTION("IF
(
G5897=""фізична особа""
,
VLOOKUP(H5897,IMPORTRANGE(""https://docs.google.com/spreadsheets/d/14Bd19lYaqBhU8_DElYkX7l4wRkHqqCUFNJY4AfY3kHU/edit?usp=sharing  #gid=0"",""фіз особи new!relations_name""),6,FALSE)
,
(IF
(
G5897=""юридична особа""
,
VLOOKUP"&amp;"(H5897,IMPORTRANGE(""https://docs.google.com/spreadsheets/d/14Bd19lYaqBhU8_DElYkX7l4wRkHqqCUFNJY4AfY3kHU/edit?usp=sharing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J5896" s="7" t="s">
        <v>12</v>
      </c>
    </row>
    <row r="5897" spans="1:10" ht="13.2">
      <c r="A5897" s="7">
        <v>5896</v>
      </c>
      <c r="B5897" s="7">
        <v>1</v>
      </c>
      <c r="C5897" s="7" t="s">
        <v>10</v>
      </c>
      <c r="D5897" s="7">
        <v>4897</v>
      </c>
      <c r="E5897" s="7" t="s">
        <v>13</v>
      </c>
      <c r="F5897" s="8" t="str">
        <f ca="1">IFERROR(__xludf.DUMMYFUNCTION("IF
(
C5898=""фізична особа""
,
VLOOKUP(D5898,IMPORTRANGE(""https://docs.google.com/spreadsheets/d/14Bd19lYaqBhU8_DElYkX7l4wRkHqqCUFNJY4AfY3kHU/edit?usp=sharing  #gid=0"",""фіз особи new!relations_name""),6,FALSE)
,
(IF
(
C5898=""юридична особа""
,
VLOOKUP"&amp;"(D5898,IMPORTRANGE(""https://docs.google.com/spreadsheets/d/14Bd19lYaqBhU8_DElYkX7l4wRkHqqCUFNJY4AfY3kHU/edit?usp=sharing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G5897" s="7" t="s">
        <v>10</v>
      </c>
      <c r="H5897" s="7">
        <v>4896</v>
      </c>
      <c r="I5897" s="8" t="str">
        <f ca="1">IFERROR(__xludf.DUMMYFUNCTION("IF
(
G5898=""фізична особа""
,
VLOOKUP(H5898,IMPORTRANGE(""https://docs.google.com/spreadsheets/d/14Bd19lYaqBhU8_DElYkX7l4wRkHqqCUFNJY4AfY3kHU/edit?usp=sharing  #gid=0"",""фіз особи new!relations_name""),6,FALSE)
,
(IF
(
G5898=""юридична особа""
,
VLOOKUP"&amp;"(H5898,IMPORTRANGE(""https://docs.google.com/spreadsheets/d/14Bd19lYaqBhU8_DElYkX7l4wRkHqqCUFNJY4AfY3kHU/edit?usp=sharing  #gid=0"",""фіз особи new!relations_name_uo""),7,FALSE)
,
)
))"),"ДРОЗДЕНКО Ірина Григорівна")</f>
        <v>ДРОЗДЕНКО Ірина Григорівна</v>
      </c>
      <c r="J5897" s="7" t="s">
        <v>21</v>
      </c>
    </row>
    <row r="5898" spans="1:10" ht="13.2">
      <c r="A5898" s="7">
        <v>5897</v>
      </c>
      <c r="B5898" s="7">
        <v>1</v>
      </c>
      <c r="C5898" s="7" t="s">
        <v>10</v>
      </c>
      <c r="D5898" s="7">
        <v>4897</v>
      </c>
      <c r="E5898" s="7" t="s">
        <v>31</v>
      </c>
      <c r="F5898" s="8" t="str">
        <f ca="1">IFERROR(__xludf.DUMMYFUNCTION("IF
(
C5899=""фізична особа""
,
VLOOKUP(D5899,IMPORTRANGE(""https://docs.google.com/spreadsheets/d/14Bd19lYaqBhU8_DElYkX7l4wRkHqqCUFNJY4AfY3kHU/edit?usp=sharing  #gid=0"",""фіз особи new!relations_name""),6,FALSE)
,
(IF
(
C5899=""юридична особа""
,
VLOOKUP"&amp;"(D5899,IMPORTRANGE(""https://docs.google.com/spreadsheets/d/14Bd19lYaqBhU8_DElYkX7l4wRkHqqCUFNJY4AfY3kHU/edit?usp=sharing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G5898" s="7" t="s">
        <v>10</v>
      </c>
      <c r="H5898" s="7">
        <v>4898</v>
      </c>
      <c r="I5898" s="8" t="str">
        <f ca="1">IFERROR(__xludf.DUMMYFUNCTION("IF
(
G5899=""фізична особа""
,
VLOOKUP(H5899,IMPORTRANGE(""https://docs.google.com/spreadsheets/d/14Bd19lYaqBhU8_DElYkX7l4wRkHqqCUFNJY4AfY3kHU/edit?usp=sharing  #gid=0"",""фіз особи new!relations_name""),6,FALSE)
,
(IF
(
G5899=""юридична особа""
,
VLOOKUP"&amp;"(H5899,IMPORTRANGE(""https://docs.google.com/spreadsheets/d/14Bd19lYaqBhU8_DElYkX7l4wRkHqqCUFNJY4AfY3kHU/edit?usp=sharing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J5898" s="7" t="s">
        <v>31</v>
      </c>
    </row>
    <row r="5899" spans="1:10" ht="13.2">
      <c r="A5899" s="7">
        <v>5898</v>
      </c>
      <c r="B5899" s="7">
        <v>1</v>
      </c>
      <c r="C5899" s="7" t="s">
        <v>10</v>
      </c>
      <c r="D5899" s="7">
        <v>4897</v>
      </c>
      <c r="E5899" s="7" t="s">
        <v>67</v>
      </c>
      <c r="F5899" s="8" t="str">
        <f ca="1">IFERROR(__xludf.DUMMYFUNCTION("IF
(
C5900=""фізична особа""
,
VLOOKUP(D5900,IMPORTRANGE(""https://docs.google.com/spreadsheets/d/14Bd19lYaqBhU8_DElYkX7l4wRkHqqCUFNJY4AfY3kHU/edit?usp=sharing  #gid=0"",""фіз особи new!relations_name""),6,FALSE)
,
(IF
(
C5900=""юридична особа""
,
VLOOKUP"&amp;"(D5900,IMPORTRANGE(""https://docs.google.com/spreadsheets/d/14Bd19lYaqBhU8_DElYkX7l4wRkHqqCUFNJY4AfY3kHU/edit?usp=sharing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G5899" s="7" t="s">
        <v>10</v>
      </c>
      <c r="H5899" s="7">
        <v>4899</v>
      </c>
      <c r="I5899" s="8" t="str">
        <f ca="1">IFERROR(__xludf.DUMMYFUNCTION("IF
(
G5900=""фізична особа""
,
VLOOKUP(H5900,IMPORTRANGE(""https://docs.google.com/spreadsheets/d/14Bd19lYaqBhU8_DElYkX7l4wRkHqqCUFNJY4AfY3kHU/edit?usp=sharing  #gid=0"",""фіз особи new!relations_name""),6,FALSE)
,
(IF
(
G5900=""юридична особа""
,
VLOOKUP"&amp;"(H5900,IMPORTRANGE(""https://docs.google.com/spreadsheets/d/14Bd19lYaqBhU8_DElYkX7l4wRkHqqCUFNJY4AfY3kHU/edit?usp=sharing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J5899" s="7" t="s">
        <v>26</v>
      </c>
    </row>
    <row r="5900" spans="1:10" ht="13.2">
      <c r="A5900" s="7">
        <v>5899</v>
      </c>
      <c r="B5900" s="7">
        <v>1</v>
      </c>
      <c r="C5900" s="7" t="s">
        <v>10</v>
      </c>
      <c r="D5900" s="7">
        <v>4898</v>
      </c>
      <c r="E5900" s="7" t="s">
        <v>13</v>
      </c>
      <c r="F5900" s="8" t="str">
        <f ca="1">IFERROR(__xludf.DUMMYFUNCTION("IF
(
C5901=""фізична особа""
,
VLOOKUP(D5901,IMPORTRANGE(""https://docs.google.com/spreadsheets/d/14Bd19lYaqBhU8_DElYkX7l4wRkHqqCUFNJY4AfY3kHU/edit?usp=sharing  #gid=0"",""фіз особи new!relations_name""),6,FALSE)
,
(IF
(
C5901=""юридична особа""
,
VLOOKUP"&amp;"(D5901,IMPORTRANGE(""https://docs.google.com/spreadsheets/d/14Bd19lYaqBhU8_DElYkX7l4wRkHqqCUFNJY4AfY3kHU/edit?usp=sharing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G5900" s="7" t="s">
        <v>10</v>
      </c>
      <c r="H5900" s="7">
        <v>2542</v>
      </c>
      <c r="I5900" s="8" t="str">
        <f ca="1">IFERROR(__xludf.DUMMYFUNCTION("IF
(
G5901=""фізична особа""
,
VLOOKUP(H5901,IMPORTRANGE(""https://docs.google.com/spreadsheets/d/14Bd19lYaqBhU8_DElYkX7l4wRkHqqCUFNJY4AfY3kHU/edit?usp=sharing  #gid=0"",""фіз особи new!relations_name""),6,FALSE)
,
(IF
(
G5901=""юридична особа""
,
VLOOKUP"&amp;"(H5901,IMPORTRANGE(""https://docs.google.com/spreadsheets/d/14Bd19lYaqBhU8_DElYkX7l4wRkHqqCUFNJY4AfY3kHU/edit?usp=sharing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J5900" s="7" t="s">
        <v>12</v>
      </c>
    </row>
    <row r="5901" spans="1:10" ht="13.2">
      <c r="A5901" s="7">
        <v>5900</v>
      </c>
      <c r="B5901" s="7">
        <v>1</v>
      </c>
      <c r="C5901" s="7" t="s">
        <v>10</v>
      </c>
      <c r="D5901" s="7">
        <v>4898</v>
      </c>
      <c r="E5901" s="7" t="s">
        <v>31</v>
      </c>
      <c r="F5901" s="8" t="str">
        <f ca="1">IFERROR(__xludf.DUMMYFUNCTION("IF
(
C5902=""фізична особа""
,
VLOOKUP(D5902,IMPORTRANGE(""https://docs.google.com/spreadsheets/d/14Bd19lYaqBhU8_DElYkX7l4wRkHqqCUFNJY4AfY3kHU/edit?usp=sharing  #gid=0"",""фіз особи new!relations_name""),6,FALSE)
,
(IF
(
C5902=""юридична особа""
,
VLOOKUP"&amp;"(D5902,IMPORTRANGE(""https://docs.google.com/spreadsheets/d/14Bd19lYaqBhU8_DElYkX7l4wRkHqqCUFNJY4AfY3kHU/edit?usp=sharing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G5901" s="7" t="s">
        <v>10</v>
      </c>
      <c r="H5901" s="7">
        <v>4897</v>
      </c>
      <c r="I5901" s="8" t="str">
        <f ca="1">IFERROR(__xludf.DUMMYFUNCTION("IF
(
G5902=""фізична особа""
,
VLOOKUP(H5902,IMPORTRANGE(""https://docs.google.com/spreadsheets/d/14Bd19lYaqBhU8_DElYkX7l4wRkHqqCUFNJY4AfY3kHU/edit?usp=sharing  #gid=0"",""фіз особи new!relations_name""),6,FALSE)
,
(IF
(
G5902=""юридична особа""
,
VLOOKUP"&amp;"(H5902,IMPORTRANGE(""https://docs.google.com/spreadsheets/d/14Bd19lYaqBhU8_DElYkX7l4wRkHqqCUFNJY4AfY3kHU/edit?usp=sharing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J5901" s="7" t="s">
        <v>31</v>
      </c>
    </row>
    <row r="5902" spans="1:10" ht="13.2">
      <c r="A5902" s="7">
        <v>5901</v>
      </c>
      <c r="B5902" s="7">
        <v>1</v>
      </c>
      <c r="C5902" s="7" t="s">
        <v>10</v>
      </c>
      <c r="D5902" s="7">
        <v>4898</v>
      </c>
      <c r="E5902" s="7" t="s">
        <v>15</v>
      </c>
      <c r="F5902" s="8" t="str">
        <f ca="1">IFERROR(__xludf.DUMMYFUNCTION("IF
(
C5903=""фізична особа""
,
VLOOKUP(D5903,IMPORTRANGE(""https://docs.google.com/spreadsheets/d/14Bd19lYaqBhU8_DElYkX7l4wRkHqqCUFNJY4AfY3kHU/edit?usp=sharing  #gid=0"",""фіз особи new!relations_name""),6,FALSE)
,
(IF
(
C5903=""юридична особа""
,
VLOOKUP"&amp;"(D5903,IMPORTRANGE(""https://docs.google.com/spreadsheets/d/14Bd19lYaqBhU8_DElYkX7l4wRkHqqCUFNJY4AfY3kHU/edit?usp=sharing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G5902" s="7" t="s">
        <v>10</v>
      </c>
      <c r="H5902" s="7">
        <v>4899</v>
      </c>
      <c r="I5902" s="8" t="str">
        <f ca="1">IFERROR(__xludf.DUMMYFUNCTION("IF
(
G5903=""фізична особа""
,
VLOOKUP(H5903,IMPORTRANGE(""https://docs.google.com/spreadsheets/d/14Bd19lYaqBhU8_DElYkX7l4wRkHqqCUFNJY4AfY3kHU/edit?usp=sharing  #gid=0"",""фіз особи new!relations_name""),6,FALSE)
,
(IF
(
G5903=""юридична особа""
,
VLOOKUP"&amp;"(H5903,IMPORTRANGE(""https://docs.google.com/spreadsheets/d/14Bd19lYaqBhU8_DElYkX7l4wRkHqqCUFNJY4AfY3kHU/edit?usp=sharing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J5902" s="7" t="s">
        <v>14</v>
      </c>
    </row>
    <row r="5903" spans="1:10" ht="13.2">
      <c r="A5903" s="7">
        <v>5902</v>
      </c>
      <c r="B5903" s="7">
        <v>1</v>
      </c>
      <c r="C5903" s="7" t="s">
        <v>10</v>
      </c>
      <c r="D5903" s="7">
        <v>4899</v>
      </c>
      <c r="E5903" s="7" t="s">
        <v>26</v>
      </c>
      <c r="F5903" s="8" t="str">
        <f ca="1">IFERROR(__xludf.DUMMYFUNCTION("IF
(
C5904=""фізична особа""
,
VLOOKUP(D5904,IMPORTRANGE(""https://docs.google.com/spreadsheets/d/14Bd19lYaqBhU8_DElYkX7l4wRkHqqCUFNJY4AfY3kHU/edit?usp=sharing  #gid=0"",""фіз особи new!relations_name""),6,FALSE)
,
(IF
(
C5904=""юридична особа""
,
VLOOKUP"&amp;"(D5904,IMPORTRANGE(""https://docs.google.com/spreadsheets/d/14Bd19lYaqBhU8_DElYkX7l4wRkHqqCUFNJY4AfY3kHU/edit?usp=sharing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G5903" s="7" t="s">
        <v>10</v>
      </c>
      <c r="H5903" s="7">
        <v>2542</v>
      </c>
      <c r="I5903" s="8" t="str">
        <f ca="1">IFERROR(__xludf.DUMMYFUNCTION("IF
(
G5904=""фізична особа""
,
VLOOKUP(H5904,IMPORTRANGE(""https://docs.google.com/spreadsheets/d/14Bd19lYaqBhU8_DElYkX7l4wRkHqqCUFNJY4AfY3kHU/edit?usp=sharing  #gid=0"",""фіз особи new!relations_name""),6,FALSE)
,
(IF
(
G5904=""юридична особа""
,
VLOOKUP"&amp;"(H5904,IMPORTRANGE(""https://docs.google.com/spreadsheets/d/14Bd19lYaqBhU8_DElYkX7l4wRkHqqCUFNJY4AfY3kHU/edit?usp=sharing  #gid=0"",""фіз особи new!relations_name_uo""),7,FALSE)
,
)
))"),"ДРОЗДЕНКО Олександр Юрійович")</f>
        <v>ДРОЗДЕНКО Олександр Юрійович</v>
      </c>
      <c r="J5903" s="7" t="s">
        <v>24</v>
      </c>
    </row>
    <row r="5904" spans="1:10" ht="13.2">
      <c r="A5904" s="7">
        <v>5903</v>
      </c>
      <c r="B5904" s="7">
        <v>1</v>
      </c>
      <c r="C5904" s="7" t="s">
        <v>10</v>
      </c>
      <c r="D5904" s="7">
        <v>4899</v>
      </c>
      <c r="E5904" s="7" t="s">
        <v>26</v>
      </c>
      <c r="F5904" s="8" t="str">
        <f ca="1">IFERROR(__xludf.DUMMYFUNCTION("IF
(
C5905=""фізична особа""
,
VLOOKUP(D5905,IMPORTRANGE(""https://docs.google.com/spreadsheets/d/14Bd19lYaqBhU8_DElYkX7l4wRkHqqCUFNJY4AfY3kHU/edit?usp=sharing  #gid=0"",""фіз особи new!relations_name""),6,FALSE)
,
(IF
(
C5905=""юридична особа""
,
VLOOKUP"&amp;"(D5905,IMPORTRANGE(""https://docs.google.com/spreadsheets/d/14Bd19lYaqBhU8_DElYkX7l4wRkHqqCUFNJY4AfY3kHU/edit?usp=sharing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G5904" s="7" t="s">
        <v>10</v>
      </c>
      <c r="H5904" s="7">
        <v>4897</v>
      </c>
      <c r="I5904" s="8" t="str">
        <f ca="1">IFERROR(__xludf.DUMMYFUNCTION("IF
(
G5905=""фізична особа""
,
VLOOKUP(H5905,IMPORTRANGE(""https://docs.google.com/spreadsheets/d/14Bd19lYaqBhU8_DElYkX7l4wRkHqqCUFNJY4AfY3kHU/edit?usp=sharing  #gid=0"",""фіз особи new!relations_name""),6,FALSE)
,
(IF
(
G5905=""юридична особа""
,
VLOOKUP"&amp;"(H5905,IMPORTRANGE(""https://docs.google.com/spreadsheets/d/14Bd19lYaqBhU8_DElYkX7l4wRkHqqCUFNJY4AfY3kHU/edit?usp=sharing  #gid=0"",""фіз особи new!relations_name_uo""),7,FALSE)
,
)
))"),"ДРОЗДЕНКО Софія Олександрівна")</f>
        <v>ДРОЗДЕНКО Софія Олександрівна</v>
      </c>
      <c r="J5904" s="7" t="s">
        <v>67</v>
      </c>
    </row>
    <row r="5905" spans="1:10" ht="13.2">
      <c r="A5905" s="7">
        <v>5904</v>
      </c>
      <c r="B5905" s="7">
        <v>1</v>
      </c>
      <c r="C5905" s="7" t="s">
        <v>10</v>
      </c>
      <c r="D5905" s="7">
        <v>4899</v>
      </c>
      <c r="E5905" s="7" t="s">
        <v>14</v>
      </c>
      <c r="F5905" s="8" t="str">
        <f ca="1">IFERROR(__xludf.DUMMYFUNCTION("IF
(
C5906=""фізична особа""
,
VLOOKUP(D5906,IMPORTRANGE(""https://docs.google.com/spreadsheets/d/14Bd19lYaqBhU8_DElYkX7l4wRkHqqCUFNJY4AfY3kHU/edit?usp=sharing  #gid=0"",""фіз особи new!relations_name""),6,FALSE)
,
(IF
(
C5906=""юридична особа""
,
VLOOKUP"&amp;"(D5906,IMPORTRANGE(""https://docs.google.com/spreadsheets/d/14Bd19lYaqBhU8_DElYkX7l4wRkHqqCUFNJY4AfY3kHU/edit?usp=sharing  #gid=0"",""фіз особи new!relations_name_uo""),7,FALSE)
,
)
))"),"РІШАР Баптіст Жан-Франкуа")</f>
        <v>РІШАР Баптіст Жан-Франкуа</v>
      </c>
      <c r="G5905" s="7" t="s">
        <v>10</v>
      </c>
      <c r="H5905" s="7">
        <v>4898</v>
      </c>
      <c r="I5905" s="8" t="str">
        <f ca="1">IFERROR(__xludf.DUMMYFUNCTION("IF
(
G5906=""фізична особа""
,
VLOOKUP(H5906,IMPORTRANGE(""https://docs.google.com/spreadsheets/d/14Bd19lYaqBhU8_DElYkX7l4wRkHqqCUFNJY4AfY3kHU/edit?usp=sharing  #gid=0"",""фіз особи new!relations_name""),6,FALSE)
,
(IF
(
G5906=""юридична особа""
,
VLOOKUP"&amp;"(H5906,IMPORTRANGE(""https://docs.google.com/spreadsheets/d/14Bd19lYaqBhU8_DElYkX7l4wRkHqqCUFNJY4AfY3kHU/edit?usp=sharing  #gid=0"",""фіз особи new!relations_name_uo""),7,FALSE)
,
)
))"),"ДРОЗДЕНКО / РІШАР Юлія Олександрівна")</f>
        <v>ДРОЗДЕНКО / РІШАР Юлія Олександрівна</v>
      </c>
      <c r="J5905" s="7" t="s">
        <v>15</v>
      </c>
    </row>
    <row r="5906" spans="1:10" ht="13.2">
      <c r="A5906" s="7">
        <v>5905</v>
      </c>
      <c r="B5906" s="7">
        <v>1</v>
      </c>
      <c r="C5906" s="7" t="s">
        <v>10</v>
      </c>
      <c r="D5906" s="7">
        <v>4900</v>
      </c>
      <c r="E5906" s="7" t="s">
        <v>15</v>
      </c>
      <c r="F5906" s="8" t="str">
        <f ca="1">IFERROR(__xludf.DUMMYFUNCTION("IF
(
C5907=""фізична особа""
,
VLOOKUP(D5907,IMPORTRANGE(""https://docs.google.com/spreadsheets/d/14Bd19lYaqBhU8_DElYkX7l4wRkHqqCUFNJY4AfY3kHU/edit?usp=sharing  #gid=0"",""фіз особи new!relations_name""),6,FALSE)
,
(IF
(
C5907=""юридична особа""
,
VLOOKUP"&amp;"(D5907,IMPORTRANGE(""https://docs.google.com/spreadsheets/d/14Bd19lYaqBhU8_DElYkX7l4wRkHqqCUFNJY4AfY3kHU/edit?usp=sharing  #gid=0"",""фіз особи new!relations_name_uo""),7,FALSE)
,
)
))"),"ЖУКОВА Катерина Володимирівна")</f>
        <v>ЖУКОВА Катерина Володимирівна</v>
      </c>
      <c r="G5906" s="7" t="s">
        <v>10</v>
      </c>
      <c r="H5906" s="7">
        <v>457</v>
      </c>
      <c r="I5906" s="8" t="str">
        <f ca="1">IFERROR(__xludf.DUMMYFUNCTION("IF
(
G5907=""фізична особа""
,
VLOOKUP(H5907,IMPORTRANGE(""https://docs.google.com/spreadsheets/d/14Bd19lYaqBhU8_DElYkX7l4wRkHqqCUFNJY4AfY3kHU/edit?usp=sharing  #gid=0"",""фіз особи new!relations_name""),6,FALSE)
,
(IF
(
G5907=""юридична особа""
,
VLOOKUP"&amp;"(H5907,IMPORTRANGE(""https://docs.google.com/spreadsheets/d/14Bd19lYaqBhU8_DElYkX7l4wRkHqqCUFNJY4AfY3kHU/edit?usp=sharing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J5906" s="7" t="s">
        <v>14</v>
      </c>
    </row>
    <row r="5907" spans="1:10" ht="13.2">
      <c r="A5907" s="7">
        <v>5906</v>
      </c>
      <c r="B5907" s="7">
        <v>1</v>
      </c>
      <c r="C5907" s="7" t="s">
        <v>10</v>
      </c>
      <c r="D5907" s="7">
        <v>4900</v>
      </c>
      <c r="E5907" s="7" t="s">
        <v>21</v>
      </c>
      <c r="F5907" s="8" t="str">
        <f ca="1">IFERROR(__xludf.DUMMYFUNCTION("IF
(
C5908=""фізична особа""
,
VLOOKUP(D5908,IMPORTRANGE(""https://docs.google.com/spreadsheets/d/14Bd19lYaqBhU8_DElYkX7l4wRkHqqCUFNJY4AfY3kHU/edit?usp=sharing  #gid=0"",""фіз особи new!relations_name""),6,FALSE)
,
(IF
(
C5908=""юридична особа""
,
VLOOKUP"&amp;"(D5908,IMPORTRANGE(""https://docs.google.com/spreadsheets/d/14Bd19lYaqBhU8_DElYkX7l4wRkHqqCUFNJY4AfY3kHU/edit?usp=sharing  #gid=0"",""фіз особи new!relations_name_uo""),7,FALSE)
,
)
))"),"ЖУКОВА Катерина Володимирівна")</f>
        <v>ЖУКОВА Катерина Володимирівна</v>
      </c>
      <c r="G5907" s="7" t="s">
        <v>10</v>
      </c>
      <c r="H5907" s="7">
        <v>4901</v>
      </c>
      <c r="I5907" s="8" t="str">
        <f ca="1">IFERROR(__xludf.DUMMYFUNCTION("IF
(
G5908=""фізична особа""
,
VLOOKUP(H5908,IMPORTRANGE(""https://docs.google.com/spreadsheets/d/14Bd19lYaqBhU8_DElYkX7l4wRkHqqCUFNJY4AfY3kHU/edit?usp=sharing  #gid=0"",""фіз особи new!relations_name""),6,FALSE)
,
(IF
(
G5908=""юридична особа""
,
VLOOKUP"&amp;"(H5908,IMPORTRANGE(""https://docs.google.com/spreadsheets/d/14Bd19lYaqBhU8_DElYkX7l4wRkHqqCUFNJY4AfY3kHU/edit?usp=sharing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J5907" s="7" t="s">
        <v>17</v>
      </c>
    </row>
    <row r="5908" spans="1:10" ht="13.2">
      <c r="A5908" s="7">
        <v>5907</v>
      </c>
      <c r="B5908" s="7">
        <v>1</v>
      </c>
      <c r="C5908" s="7" t="s">
        <v>10</v>
      </c>
      <c r="D5908" s="7">
        <v>4900</v>
      </c>
      <c r="E5908" s="7" t="s">
        <v>30</v>
      </c>
      <c r="F5908" s="8" t="str">
        <f ca="1">IFERROR(__xludf.DUMMYFUNCTION("IF
(
C5909=""фізична особа""
,
VLOOKUP(D5909,IMPORTRANGE(""https://docs.google.com/spreadsheets/d/14Bd19lYaqBhU8_DElYkX7l4wRkHqqCUFNJY4AfY3kHU/edit?usp=sharing  #gid=0"",""фіз особи new!relations_name""),6,FALSE)
,
(IF
(
C5909=""юридична особа""
,
VLOOKUP"&amp;"(D5909,IMPORTRANGE(""https://docs.google.com/spreadsheets/d/14Bd19lYaqBhU8_DElYkX7l4wRkHqqCUFNJY4AfY3kHU/edit?usp=sharing  #gid=0"",""фіз особи new!relations_name_uo""),7,FALSE)
,
)
))"),"ЖУКОВА Катерина Володимирівна")</f>
        <v>ЖУКОВА Катерина Володимирівна</v>
      </c>
      <c r="G5908" s="7" t="s">
        <v>10</v>
      </c>
      <c r="H5908" s="7">
        <v>23407</v>
      </c>
      <c r="I5908" s="8" t="str">
        <f ca="1">IFERROR(__xludf.DUMMYFUNCTION("IF
(
G5909=""фізична особа""
,
VLOOKUP(H5909,IMPORTRANGE(""https://docs.google.com/spreadsheets/d/14Bd19lYaqBhU8_DElYkX7l4wRkHqqCUFNJY4AfY3kHU/edit?usp=sharing  #gid=0"",""фіз особи new!relations_name""),6,FALSE)
,
(IF
(
G5909=""юридична особа""
,
VLOOKUP"&amp;"(H5909,IMPORTRANGE(""https://docs.google.com/spreadsheets/d/14Bd19lYaqBhU8_DElYkX7l4wRkHqqCUFNJY4AfY3kHU/edit?usp=sharing  #gid=0"",""фіз особи new!relations_name_uo""),7,FALSE)
,
)
))"),"ЖУКОВА Тетяна Дмитрівна")</f>
        <v>ЖУКОВА Тетяна Дмитрівна</v>
      </c>
      <c r="J5908" s="7" t="s">
        <v>30</v>
      </c>
    </row>
    <row r="5909" spans="1:10" ht="13.2">
      <c r="A5909" s="7">
        <v>5908</v>
      </c>
      <c r="B5909" s="7">
        <v>1</v>
      </c>
      <c r="C5909" s="7" t="s">
        <v>10</v>
      </c>
      <c r="D5909" s="7">
        <v>4901</v>
      </c>
      <c r="E5909" s="7" t="s">
        <v>17</v>
      </c>
      <c r="F5909" s="8" t="str">
        <f ca="1">IFERROR(__xludf.DUMMYFUNCTION("IF
(
C5910=""фізична особа""
,
VLOOKUP(D5910,IMPORTRANGE(""https://docs.google.com/spreadsheets/d/14Bd19lYaqBhU8_DElYkX7l4wRkHqqCUFNJY4AfY3kHU/edit?usp=sharing  #gid=0"",""фіз особи new!relations_name""),6,FALSE)
,
(IF
(
C5910=""юридична особа""
,
VLOOKUP"&amp;"(D5910,IMPORTRANGE(""https://docs.google.com/spreadsheets/d/14Bd19lYaqBhU8_DElYkX7l4wRkHqqCUFNJY4AfY3kHU/edit?usp=sharing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G5909" s="7" t="s">
        <v>10</v>
      </c>
      <c r="H5909" s="7">
        <v>457</v>
      </c>
      <c r="I5909" s="8" t="str">
        <f ca="1">IFERROR(__xludf.DUMMYFUNCTION("IF
(
G5910=""фізична особа""
,
VLOOKUP(H5910,IMPORTRANGE(""https://docs.google.com/spreadsheets/d/14Bd19lYaqBhU8_DElYkX7l4wRkHqqCUFNJY4AfY3kHU/edit?usp=sharing  #gid=0"",""фіз особи new!relations_name""),6,FALSE)
,
(IF
(
G5910=""юридична особа""
,
VLOOKUP"&amp;"(H5910,IMPORTRANGE(""https://docs.google.com/spreadsheets/d/14Bd19lYaqBhU8_DElYkX7l4wRkHqqCUFNJY4AfY3kHU/edit?usp=sharing  #gid=0"",""фіз особи new!relations_name_uo""),7,FALSE)
,
)
))"),"ЖУКОВ Олександр Дмитрович")</f>
        <v>ЖУКОВ Олександр Дмитрович</v>
      </c>
      <c r="J5909" s="7" t="s">
        <v>12</v>
      </c>
    </row>
    <row r="5910" spans="1:10" ht="13.2">
      <c r="A5910" s="7">
        <v>5909</v>
      </c>
      <c r="B5910" s="7">
        <v>1</v>
      </c>
      <c r="C5910" s="7" t="s">
        <v>10</v>
      </c>
      <c r="D5910" s="7">
        <v>4901</v>
      </c>
      <c r="E5910" s="7" t="s">
        <v>14</v>
      </c>
      <c r="F5910" s="8" t="str">
        <f ca="1">IFERROR(__xludf.DUMMYFUNCTION("IF
(
C5911=""фізична особа""
,
VLOOKUP(D5911,IMPORTRANGE(""https://docs.google.com/spreadsheets/d/14Bd19lYaqBhU8_DElYkX7l4wRkHqqCUFNJY4AfY3kHU/edit?usp=sharing  #gid=0"",""фіз особи new!relations_name""),6,FALSE)
,
(IF
(
C5911=""юридична особа""
,
VLOOKUP"&amp;"(D5911,IMPORTRANGE(""https://docs.google.com/spreadsheets/d/14Bd19lYaqBhU8_DElYkX7l4wRkHqqCUFNJY4AfY3kHU/edit?usp=sharing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G5910" s="7" t="s">
        <v>10</v>
      </c>
      <c r="H5910" s="7">
        <v>23407</v>
      </c>
      <c r="I5910" s="8" t="str">
        <f ca="1">IFERROR(__xludf.DUMMYFUNCTION("IF
(
G5911=""фізична особа""
,
VLOOKUP(H5911,IMPORTRANGE(""https://docs.google.com/spreadsheets/d/14Bd19lYaqBhU8_DElYkX7l4wRkHqqCUFNJY4AfY3kHU/edit?usp=sharing  #gid=0"",""фіз особи new!relations_name""),6,FALSE)
,
(IF
(
G5911=""юридична особа""
,
VLOOKUP"&amp;"(H5911,IMPORTRANGE(""https://docs.google.com/spreadsheets/d/14Bd19lYaqBhU8_DElYkX7l4wRkHqqCUFNJY4AfY3kHU/edit?usp=sharing  #gid=0"",""фіз особи new!relations_name_uo""),7,FALSE)
,
)
))"),"ЖУКОВА Тетяна Дмитрівна")</f>
        <v>ЖУКОВА Тетяна Дмитрівна</v>
      </c>
      <c r="J5910" s="7" t="s">
        <v>15</v>
      </c>
    </row>
    <row r="5911" spans="1:10" ht="13.2">
      <c r="A5911" s="7">
        <v>5910</v>
      </c>
      <c r="B5911" s="7">
        <v>1</v>
      </c>
      <c r="C5911" s="7" t="s">
        <v>10</v>
      </c>
      <c r="D5911" s="7">
        <v>4901</v>
      </c>
      <c r="E5911" s="7" t="s">
        <v>30</v>
      </c>
      <c r="F5911" s="8" t="str">
        <f ca="1">IFERROR(__xludf.DUMMYFUNCTION("IF
(
C5912=""фізична особа""
,
VLOOKUP(D5912,IMPORTRANGE(""https://docs.google.com/spreadsheets/d/14Bd19lYaqBhU8_DElYkX7l4wRkHqqCUFNJY4AfY3kHU/edit?usp=sharing  #gid=0"",""фіз особи new!relations_name""),6,FALSE)
,
(IF
(
C5912=""юридична особа""
,
VLOOKUP"&amp;"(D5912,IMPORTRANGE(""https://docs.google.com/spreadsheets/d/14Bd19lYaqBhU8_DElYkX7l4wRkHqqCUFNJY4AfY3kHU/edit?usp=sharing  #gid=0"",""фіз особи new!relations_name_uo""),7,FALSE)
,
)
))"),"ЖУКОВ Петро Олександрович")</f>
        <v>ЖУКОВ Петро Олександрович</v>
      </c>
      <c r="G5911" s="7" t="s">
        <v>10</v>
      </c>
      <c r="H5911" s="7">
        <v>656</v>
      </c>
      <c r="I5911" s="8" t="str">
        <f ca="1">IFERROR(__xludf.DUMMYFUNCTION("IF
(
G5912=""фізична особа""
,
VLOOKUP(H5912,IMPORTRANGE(""https://docs.google.com/spreadsheets/d/14Bd19lYaqBhU8_DElYkX7l4wRkHqqCUFNJY4AfY3kHU/edit?usp=sharing  #gid=0"",""фіз особи new!relations_name""),6,FALSE)
,
(IF
(
G5912=""юридична особа""
,
VLOOKUP"&amp;"(H5912,IMPORTRANGE(""https://docs.google.com/spreadsheets/d/14Bd19lYaqBhU8_DElYkX7l4wRkHqqCUFNJY4AfY3kHU/edit?usp=sharing  #gid=0"",""фіз особи new!relations_name_uo""),7,FALSE)
,
)
))"),"ВІНОКУРОВ Олександр Семенович")</f>
        <v>ВІНОКУРОВ Олександр Семенович</v>
      </c>
      <c r="J5911" s="7" t="s">
        <v>30</v>
      </c>
    </row>
    <row r="5912" spans="1:10" ht="13.2">
      <c r="A5912" s="7">
        <v>5911</v>
      </c>
      <c r="B5912" s="7">
        <v>1</v>
      </c>
      <c r="C5912" s="7" t="s">
        <v>10</v>
      </c>
      <c r="D5912" s="7">
        <v>4904</v>
      </c>
      <c r="E5912" s="7" t="s">
        <v>21</v>
      </c>
      <c r="F5912" s="8" t="str">
        <f ca="1">IFERROR(__xludf.DUMMYFUNCTION("IF
(
C5913=""фізична особа""
,
VLOOKUP(D5913,IMPORTRANGE(""https://docs.google.com/spreadsheets/d/14Bd19lYaqBhU8_DElYkX7l4wRkHqqCUFNJY4AfY3kHU/edit?usp=sharing  #gid=0"",""фіз особи new!relations_name""),6,FALSE)
,
(IF
(
C5913=""юридична особа""
,
VLOOKUP"&amp;"(D5913,IMPORTRANGE(""https://docs.google.com/spreadsheets/d/14Bd19lYaqBhU8_DElYkX7l4wRkHqqCUFNJY4AfY3kHU/edit?usp=sharing  #gid=0"",""фіз особи new!relations_name_uo""),7,FALSE)
,
)
))"),"АРШИНОВА Галина Іванівна")</f>
        <v>АРШИНОВА Галина Іванівна</v>
      </c>
      <c r="G5912" s="7" t="s">
        <v>10</v>
      </c>
      <c r="H5912" s="7">
        <v>323</v>
      </c>
      <c r="I5912" s="8" t="str">
        <f ca="1">IFERROR(__xludf.DUMMYFUNCTION("IF
(
G5913=""фізична особа""
,
VLOOKUP(H5913,IMPORTRANGE(""https://docs.google.com/spreadsheets/d/14Bd19lYaqBhU8_DElYkX7l4wRkHqqCUFNJY4AfY3kHU/edit?usp=sharing  #gid=0"",""фіз особи new!relations_name""),6,FALSE)
,
(IF
(
G5913=""юридична особа""
,
VLOOKUP"&amp;"(H5913,IMPORTRANGE(""https://docs.google.com/spreadsheets/d/14Bd19lYaqBhU8_DElYkX7l4wRkHqqCUFNJY4AfY3kHU/edit?usp=sharing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J5912" s="7" t="s">
        <v>13</v>
      </c>
    </row>
    <row r="5913" spans="1:10" ht="13.2">
      <c r="A5913" s="7">
        <v>5912</v>
      </c>
      <c r="B5913" s="7">
        <v>1</v>
      </c>
      <c r="C5913" s="7" t="s">
        <v>10</v>
      </c>
      <c r="D5913" s="7">
        <v>4905</v>
      </c>
      <c r="E5913" s="7" t="s">
        <v>31</v>
      </c>
      <c r="F5913" s="8" t="str">
        <f ca="1">IFERROR(__xludf.DUMMYFUNCTION("IF
(
C5914=""фізична особа""
,
VLOOKUP(D5914,IMPORTRANGE(""https://docs.google.com/spreadsheets/d/14Bd19lYaqBhU8_DElYkX7l4wRkHqqCUFNJY4AfY3kHU/edit?usp=sharing  #gid=0"",""фіз особи new!relations_name""),6,FALSE)
,
(IF
(
C5914=""юридична особа""
,
VLOOKUP"&amp;"(D5914,IMPORTRANGE(""https://docs.google.com/spreadsheets/d/14Bd19lYaqBhU8_DElYkX7l4wRkHqqCUFNJY4AfY3kHU/edit?usp=sharing  #gid=0"",""фіз особи new!relations_name_uo""),7,FALSE)
,
)
))"),"АРШИНОВ Олександра Ігорівна")</f>
        <v>АРШИНОВ Олександра Ігорівна</v>
      </c>
      <c r="G5913" s="7" t="s">
        <v>10</v>
      </c>
      <c r="H5913" s="7">
        <v>323</v>
      </c>
      <c r="I5913" s="8" t="str">
        <f ca="1">IFERROR(__xludf.DUMMYFUNCTION("IF
(
G5914=""фізична особа""
,
VLOOKUP(H5914,IMPORTRANGE(""https://docs.google.com/spreadsheets/d/14Bd19lYaqBhU8_DElYkX7l4wRkHqqCUFNJY4AfY3kHU/edit?usp=sharing  #gid=0"",""фіз особи new!relations_name""),6,FALSE)
,
(IF
(
G5914=""юридична особа""
,
VLOOKUP"&amp;"(H5914,IMPORTRANGE(""https://docs.google.com/spreadsheets/d/14Bd19lYaqBhU8_DElYkX7l4wRkHqqCUFNJY4AfY3kHU/edit?usp=sharing  #gid=0"",""фіз особи new!relations_name_uo""),7,FALSE)
,
)
))"),"АРШИНОВА Олена Ігорівна")</f>
        <v>АРШИНОВА Олена Ігорівна</v>
      </c>
      <c r="J5913" s="7" t="s">
        <v>31</v>
      </c>
    </row>
    <row r="5914" spans="1:10" ht="13.2">
      <c r="A5914" s="7">
        <v>5913</v>
      </c>
      <c r="B5914" s="7">
        <v>1</v>
      </c>
      <c r="C5914" s="7" t="s">
        <v>10</v>
      </c>
      <c r="D5914" s="7">
        <v>4906</v>
      </c>
      <c r="E5914" s="7" t="s">
        <v>28</v>
      </c>
      <c r="F5914" s="8" t="str">
        <f ca="1">IFERROR(__xludf.DUMMYFUNCTION("IF
(
C5915=""фізична особа""
,
VLOOKUP(D5915,IMPORTRANGE(""https://docs.google.com/spreadsheets/d/14Bd19lYaqBhU8_DElYkX7l4wRkHqqCUFNJY4AfY3kHU/edit?usp=sharing  #gid=0"",""фіз особи new!relations_name""),6,FALSE)
,
(IF
(
C5915=""юридична особа""
,
VLOOKUP"&amp;"(D5915,IMPORTRANGE(""https://docs.google.com/spreadsheets/d/14Bd19lYaqBhU8_DElYkX7l4wRkHqqCUFNJY4AfY3kHU/edit?usp=sharing  #gid=0"",""фіз особи new!relations_name_uo""),7,FALSE)
,
)
))"),"КАГРАМАНЯН Ігор Миколайович")</f>
        <v>КАГРАМАНЯН Ігор Миколайович</v>
      </c>
      <c r="G5914" s="7" t="s">
        <v>10</v>
      </c>
      <c r="H5914" s="7">
        <v>439</v>
      </c>
      <c r="I5914" s="8" t="str">
        <f ca="1">IFERROR(__xludf.DUMMYFUNCTION("IF
(
G5915=""фізична особа""
,
VLOOKUP(H5915,IMPORTRANGE(""https://docs.google.com/spreadsheets/d/14Bd19lYaqBhU8_DElYkX7l4wRkHqqCUFNJY4AfY3kHU/edit?usp=sharing  #gid=0"",""фіз особи new!relations_name""),6,FALSE)
,
(IF
(
G5915=""юридична особа""
,
VLOOKUP"&amp;"(H5915,IMPORTRANGE(""https://docs.google.com/spreadsheets/d/14Bd19lYaqBhU8_DElYkX7l4wRkHqqCUFNJY4AfY3kHU/edit?usp=sharing  #gid=0"",""фіз особи new!relations_name_uo""),7,FALSE)
,
)
))"),"МУРАШКО Михайло Альбертович")</f>
        <v>МУРАШКО Михайло Альбертович</v>
      </c>
      <c r="J5914" s="7" t="s">
        <v>29</v>
      </c>
    </row>
    <row r="5915" spans="1:10" ht="13.2">
      <c r="A5915" s="7">
        <v>5914</v>
      </c>
      <c r="B5915" s="7">
        <v>1</v>
      </c>
      <c r="C5915" s="7" t="s">
        <v>10</v>
      </c>
      <c r="D5915" s="7">
        <v>4907</v>
      </c>
      <c r="E5915" s="7" t="s">
        <v>18</v>
      </c>
      <c r="F5915" s="8" t="str">
        <f ca="1">IFERROR(__xludf.DUMMYFUNCTION("IF
(
C5916=""фізична особа""
,
VLOOKUP(D5916,IMPORTRANGE(""https://docs.google.com/spreadsheets/d/14Bd19lYaqBhU8_DElYkX7l4wRkHqqCUFNJY4AfY3kHU/edit?usp=sharing  #gid=0"",""фіз особи new!relations_name""),6,FALSE)
,
(IF
(
C5916=""юридична особа""
,
VLOOKUP"&amp;"(D5916,IMPORTRANGE(""https://docs.google.com/spreadsheets/d/14Bd19lYaqBhU8_DElYkX7l4wRkHqqCUFNJY4AfY3kHU/edit?usp=sharing  #gid=0"",""фіз особи new!relations_name_uo""),7,FALSE)
,
)
))"),"АСЄЄВ Володимир Михайлович")</f>
        <v>АСЄЄВ Володимир Михайлович</v>
      </c>
      <c r="G5915" s="7" t="s">
        <v>10</v>
      </c>
      <c r="H5915" s="7">
        <v>569</v>
      </c>
      <c r="I5915" s="8" t="str">
        <f ca="1">IFERROR(__xludf.DUMMYFUNCTION("IF
(
G5916=""фізична особа""
,
VLOOKUP(H5916,IMPORTRANGE(""https://docs.google.com/spreadsheets/d/14Bd19lYaqBhU8_DElYkX7l4wRkHqqCUFNJY4AfY3kHU/edit?usp=sharing  #gid=0"",""фіз особи new!relations_name""),6,FALSE)
,
(IF
(
G5916=""юридична особа""
,
VLOOKUP"&amp;"(H5916,IMPORTRANGE(""https://docs.google.com/spreadsheets/d/14Bd19lYaqBhU8_DElYkX7l4wRkHqqCUFNJY4AfY3kHU/edit?usp=sharing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J5915" s="7" t="s">
        <v>31</v>
      </c>
    </row>
    <row r="5916" spans="1:10" ht="13.2">
      <c r="A5916" s="7">
        <v>5915</v>
      </c>
      <c r="B5916" s="7">
        <v>1</v>
      </c>
      <c r="C5916" s="7" t="s">
        <v>10</v>
      </c>
      <c r="D5916" s="7">
        <v>4908</v>
      </c>
      <c r="E5916" s="7" t="s">
        <v>30</v>
      </c>
      <c r="F5916" s="8" t="str">
        <f ca="1">IFERROR(__xludf.DUMMYFUNCTION("IF
(
C5917=""фізична особа""
,
VLOOKUP(D5917,IMPORTRANGE(""https://docs.google.com/spreadsheets/d/14Bd19lYaqBhU8_DElYkX7l4wRkHqqCUFNJY4AfY3kHU/edit?usp=sharing  #gid=0"",""фіз особи new!relations_name""),6,FALSE)
,
(IF
(
C5917=""юридична особа""
,
VLOOKUP"&amp;"(D5917,IMPORTRANGE(""https://docs.google.com/spreadsheets/d/14Bd19lYaqBhU8_DElYkX7l4wRkHqqCUFNJY4AfY3kHU/edit?usp=sharing  #gid=0"",""фіз особи new!relations_name_uo""),7,FALSE)
,
)
))"),"ПОЛОЗОВ Олег Вікторович")</f>
        <v>ПОЛОЗОВ Олег Вікторович</v>
      </c>
      <c r="G5916" s="7" t="s">
        <v>10</v>
      </c>
      <c r="H5916" s="7">
        <v>0</v>
      </c>
      <c r="I5916" s="8" t="str">
        <f ca="1">IFERROR(__xludf.DUMMYFUNCTION("IF
(
G5917=""фізична особа""
,
VLOOKUP(H5917,IMPORTRANGE(""https://docs.google.com/spreadsheets/d/14Bd19lYaqBhU8_DElYkX7l4wRkHqqCUFNJY4AfY3kHU/edit?usp=sharing  #gid=0"",""фіз особи new!relations_name""),6,FALSE)
,
(IF
(
G5917=""юридична особа""
,
VLOOKUP"&amp;"(H5917,IMPORTRANGE(""https://docs.google.com/spreadsheets/d/14Bd19lYaqBhU8_DElYkX7l4wRkHqqCUFNJY4AfY3kHU/edit?usp=sharing  #gid=0"",""фіз особи new!relations_name_uo""),7,FALSE)
,
)
))"),"#N/A")</f>
        <v>#N/A</v>
      </c>
      <c r="J5916" s="7" t="s">
        <v>30</v>
      </c>
    </row>
    <row r="5917" spans="1:10" ht="13.2">
      <c r="A5917" s="7">
        <v>5916</v>
      </c>
      <c r="B5917" s="7">
        <v>1</v>
      </c>
      <c r="C5917" s="7" t="s">
        <v>10</v>
      </c>
      <c r="D5917" s="7">
        <v>4908</v>
      </c>
      <c r="E5917" s="7" t="s">
        <v>30</v>
      </c>
      <c r="F5917" s="8" t="str">
        <f ca="1">IFERROR(__xludf.DUMMYFUNCTION("IF
(
C5918=""фізична особа""
,
VLOOKUP(D5918,IMPORTRANGE(""https://docs.google.com/spreadsheets/d/14Bd19lYaqBhU8_DElYkX7l4wRkHqqCUFNJY4AfY3kHU/edit?usp=sharing  #gid=0"",""фіз особи new!relations_name""),6,FALSE)
,
(IF
(
C5918=""юридична особа""
,
VLOOKUP"&amp;"(D5918,IMPORTRANGE(""https://docs.google.com/spreadsheets/d/14Bd19lYaqBhU8_DElYkX7l4wRkHqqCUFNJY4AfY3kHU/edit?usp=sharing  #gid=0"",""фіз особи new!relations_name_uo""),7,FALSE)
,
)
))"),"ПОЛОЗОВ Олег Вікторович")</f>
        <v>ПОЛОЗОВ Олег Вікторович</v>
      </c>
      <c r="G5917" s="7" t="s">
        <v>10</v>
      </c>
      <c r="H5917" s="7">
        <v>0</v>
      </c>
      <c r="I5917" s="8" t="str">
        <f ca="1">IFERROR(__xludf.DUMMYFUNCTION("IF
(
G5918=""фізична особа""
,
VLOOKUP(H5918,IMPORTRANGE(""https://docs.google.com/spreadsheets/d/14Bd19lYaqBhU8_DElYkX7l4wRkHqqCUFNJY4AfY3kHU/edit?usp=sharing  #gid=0"",""фіз особи new!relations_name""),6,FALSE)
,
(IF
(
G5918=""юридична особа""
,
VLOOKUP"&amp;"(H5918,IMPORTRANGE(""https://docs.google.com/spreadsheets/d/14Bd19lYaqBhU8_DElYkX7l4wRkHqqCUFNJY4AfY3kHU/edit?usp=sharing  #gid=0"",""фіз особи new!relations_name_uo""),7,FALSE)
,
)
))"),"#N/A")</f>
        <v>#N/A</v>
      </c>
      <c r="J5917" s="7" t="s">
        <v>30</v>
      </c>
    </row>
    <row r="5918" spans="1:10" ht="13.2">
      <c r="A5918" s="7">
        <v>5917</v>
      </c>
      <c r="B5918" s="7">
        <v>1</v>
      </c>
      <c r="C5918" s="7" t="s">
        <v>10</v>
      </c>
      <c r="D5918" s="7">
        <v>4908</v>
      </c>
      <c r="E5918" s="7" t="s">
        <v>30</v>
      </c>
      <c r="F5918" s="8" t="str">
        <f ca="1">IFERROR(__xludf.DUMMYFUNCTION("IF
(
C5919=""фізична особа""
,
VLOOKUP(D5919,IMPORTRANGE(""https://docs.google.com/spreadsheets/d/14Bd19lYaqBhU8_DElYkX7l4wRkHqqCUFNJY4AfY3kHU/edit?usp=sharing  #gid=0"",""фіз особи new!relations_name""),6,FALSE)
,
(IF
(
C5919=""юридична особа""
,
VLOOKUP"&amp;"(D5919,IMPORTRANGE(""https://docs.google.com/spreadsheets/d/14Bd19lYaqBhU8_DElYkX7l4wRkHqqCUFNJY4AfY3kHU/edit?usp=sharing  #gid=0"",""фіз особи new!relations_name_uo""),7,FALSE)
,
)
))"),"ПОЛОЗОВ Олег Вікторович")</f>
        <v>ПОЛОЗОВ Олег Вікторович</v>
      </c>
      <c r="G5918" s="7" t="s">
        <v>10</v>
      </c>
      <c r="H5918" s="7">
        <v>0</v>
      </c>
      <c r="I5918" s="8" t="str">
        <f ca="1">IFERROR(__xludf.DUMMYFUNCTION("IF
(
G5919=""фізична особа""
,
VLOOKUP(H5919,IMPORTRANGE(""https://docs.google.com/spreadsheets/d/14Bd19lYaqBhU8_DElYkX7l4wRkHqqCUFNJY4AfY3kHU/edit?usp=sharing  #gid=0"",""фіз особи new!relations_name""),6,FALSE)
,
(IF
(
G5919=""юридична особа""
,
VLOOKUP"&amp;"(H5919,IMPORTRANGE(""https://docs.google.com/spreadsheets/d/14Bd19lYaqBhU8_DElYkX7l4wRkHqqCUFNJY4AfY3kHU/edit?usp=sharing  #gid=0"",""фіз особи new!relations_name_uo""),7,FALSE)
,
)
))"),"#N/A")</f>
        <v>#N/A</v>
      </c>
      <c r="J5918" s="7" t="s">
        <v>30</v>
      </c>
    </row>
    <row r="5919" spans="1:10" ht="13.2">
      <c r="A5919" s="7">
        <v>5918</v>
      </c>
      <c r="B5919" s="7">
        <v>1</v>
      </c>
      <c r="C5919" s="7" t="s">
        <v>10</v>
      </c>
      <c r="D5919" s="7">
        <v>4909</v>
      </c>
      <c r="E5919" s="7" t="s">
        <v>15</v>
      </c>
      <c r="F5919" s="8" t="str">
        <f ca="1">IFERROR(__xludf.DUMMYFUNCTION("IF
(
C5920=""фізична особа""
,
VLOOKUP(D5920,IMPORTRANGE(""https://docs.google.com/spreadsheets/d/14Bd19lYaqBhU8_DElYkX7l4wRkHqqCUFNJY4AfY3kHU/edit?usp=sharing  #gid=0"",""фіз особи new!relations_name""),6,FALSE)
,
(IF
(
C5920=""юридична особа""
,
VLOOKUP"&amp;"(D5920,IMPORTRANGE(""https://docs.google.com/spreadsheets/d/14Bd19lYaqBhU8_DElYkX7l4wRkHqqCUFNJY4AfY3kHU/edit?usp=sharing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19" s="7" t="s">
        <v>10</v>
      </c>
      <c r="H5919" s="7">
        <v>829</v>
      </c>
      <c r="I5919" s="8" t="str">
        <f ca="1">IFERROR(__xludf.DUMMYFUNCTION("IF
(
G5920=""фізична особа""
,
VLOOKUP(H5920,IMPORTRANGE(""https://docs.google.com/spreadsheets/d/14Bd19lYaqBhU8_DElYkX7l4wRkHqqCUFNJY4AfY3kHU/edit?usp=sharing  #gid=0"",""фіз особи new!relations_name""),6,FALSE)
,
(IF
(
G5920=""юридична особа""
,
VLOOKUP"&amp;"(H5920,IMPORTRANGE(""https://docs.google.com/spreadsheets/d/14Bd19lYaqBhU8_DElYkX7l4wRkHqqCUFNJY4AfY3kHU/edit?usp=sharing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J5919" s="7" t="s">
        <v>14</v>
      </c>
    </row>
    <row r="5920" spans="1:10" ht="13.2">
      <c r="A5920" s="7">
        <v>5919</v>
      </c>
      <c r="B5920" s="7">
        <v>1</v>
      </c>
      <c r="C5920" s="7" t="s">
        <v>10</v>
      </c>
      <c r="D5920" s="7">
        <v>4909</v>
      </c>
      <c r="E5920" s="7" t="s">
        <v>30</v>
      </c>
      <c r="F5920" s="8" t="str">
        <f ca="1">IFERROR(__xludf.DUMMYFUNCTION("IF
(
C5921=""фізична особа""
,
VLOOKUP(D5921,IMPORTRANGE(""https://docs.google.com/spreadsheets/d/14Bd19lYaqBhU8_DElYkX7l4wRkHqqCUFNJY4AfY3kHU/edit?usp=sharing  #gid=0"",""фіз особи new!relations_name""),6,FALSE)
,
(IF
(
C5921=""юридична особа""
,
VLOOKUP"&amp;"(D5921,IMPORTRANGE(""https://docs.google.com/spreadsheets/d/14Bd19lYaqBhU8_DElYkX7l4wRkHqqCUFNJY4AfY3kHU/edit?usp=sharing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20" s="7" t="s">
        <v>10</v>
      </c>
      <c r="H5920" s="7">
        <v>23544</v>
      </c>
      <c r="I5920" s="8" t="str">
        <f ca="1">IFERROR(__xludf.DUMMYFUNCTION("IF
(
G5921=""фізична особа""
,
VLOOKUP(H5921,IMPORTRANGE(""https://docs.google.com/spreadsheets/d/14Bd19lYaqBhU8_DElYkX7l4wRkHqqCUFNJY4AfY3kHU/edit?usp=sharing  #gid=0"",""фіз особи new!relations_name""),6,FALSE)
,
(IF
(
G5921=""юридична особа""
,
VLOOKUP"&amp;"(H5921,IMPORTRANGE(""https://docs.google.com/spreadsheets/d/14Bd19lYaqBhU8_DElYkX7l4wRkHqqCUFNJY4AfY3kHU/edit?usp=sharing  #gid=0"",""фіз особи new!relations_name_uo""),7,FALSE)
,
)
))"),"ІВАНОВ Микола Олександрович")</f>
        <v>ІВАНОВ Микола Олександрович</v>
      </c>
      <c r="J5920" s="7" t="s">
        <v>30</v>
      </c>
    </row>
    <row r="5921" spans="1:10" ht="13.2">
      <c r="A5921" s="7">
        <v>5920</v>
      </c>
      <c r="B5921" s="7">
        <v>1</v>
      </c>
      <c r="C5921" s="7" t="s">
        <v>10</v>
      </c>
      <c r="D5921" s="7">
        <v>4909</v>
      </c>
      <c r="E5921" s="7" t="s">
        <v>30</v>
      </c>
      <c r="F5921" s="8" t="str">
        <f ca="1">IFERROR(__xludf.DUMMYFUNCTION("IF
(
C5922=""фізична особа""
,
VLOOKUP(D5922,IMPORTRANGE(""https://docs.google.com/spreadsheets/d/14Bd19lYaqBhU8_DElYkX7l4wRkHqqCUFNJY4AfY3kHU/edit?usp=sharing  #gid=0"",""фіз особи new!relations_name""),6,FALSE)
,
(IF
(
C5922=""юридична особа""
,
VLOOKUP"&amp;"(D5922,IMPORTRANGE(""https://docs.google.com/spreadsheets/d/14Bd19lYaqBhU8_DElYkX7l4wRkHqqCUFNJY4AfY3kHU/edit?usp=sharing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21" s="7" t="s">
        <v>10</v>
      </c>
      <c r="H5921" s="7">
        <v>23545</v>
      </c>
      <c r="I5921" s="8" t="str">
        <f ca="1">IFERROR(__xludf.DUMMYFUNCTION("IF
(
G5922=""фізична особа""
,
VLOOKUP(H5922,IMPORTRANGE(""https://docs.google.com/spreadsheets/d/14Bd19lYaqBhU8_DElYkX7l4wRkHqqCUFNJY4AfY3kHU/edit?usp=sharing  #gid=0"",""фіз особи new!relations_name""),6,FALSE)
,
(IF
(
G5922=""юридична особа""
,
VLOOKUP"&amp;"(H5922,IMPORTRANGE(""https://docs.google.com/spreadsheets/d/14Bd19lYaqBhU8_DElYkX7l4wRkHqqCUFNJY4AfY3kHU/edit?usp=sharing  #gid=0"",""фіз особи new!relations_name_uo""),7,FALSE)
,
)
))"),"ІСАКОВ Володимир Володимирович")</f>
        <v>ІСАКОВ Володимир Володимирович</v>
      </c>
      <c r="J5921" s="7" t="s">
        <v>30</v>
      </c>
    </row>
    <row r="5922" spans="1:10" ht="13.2">
      <c r="A5922" s="7">
        <v>5921</v>
      </c>
      <c r="B5922" s="7">
        <v>1</v>
      </c>
      <c r="C5922" s="7" t="s">
        <v>10</v>
      </c>
      <c r="D5922" s="7">
        <v>4909</v>
      </c>
      <c r="E5922" s="7" t="s">
        <v>30</v>
      </c>
      <c r="F5922" s="8" t="str">
        <f ca="1">IFERROR(__xludf.DUMMYFUNCTION("IF
(
C5923=""фізична особа""
,
VLOOKUP(D5923,IMPORTRANGE(""https://docs.google.com/spreadsheets/d/14Bd19lYaqBhU8_DElYkX7l4wRkHqqCUFNJY4AfY3kHU/edit?usp=sharing  #gid=0"",""фіз особи new!relations_name""),6,FALSE)
,
(IF
(
C5923=""юридична особа""
,
VLOOKUP"&amp;"(D5923,IMPORTRANGE(""https://docs.google.com/spreadsheets/d/14Bd19lYaqBhU8_DElYkX7l4wRkHqqCUFNJY4AfY3kHU/edit?usp=sharing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22" s="7" t="s">
        <v>10</v>
      </c>
      <c r="H5922" s="7">
        <v>0</v>
      </c>
      <c r="I5922" s="8" t="str">
        <f ca="1">IFERROR(__xludf.DUMMYFUNCTION("IF
(
G5923=""фізична особа""
,
VLOOKUP(H5923,IMPORTRANGE(""https://docs.google.com/spreadsheets/d/14Bd19lYaqBhU8_DElYkX7l4wRkHqqCUFNJY4AfY3kHU/edit?usp=sharing  #gid=0"",""фіз особи new!relations_name""),6,FALSE)
,
(IF
(
G5923=""юридична особа""
,
VLOOKUP"&amp;"(H5923,IMPORTRANGE(""https://docs.google.com/spreadsheets/d/14Bd19lYaqBhU8_DElYkX7l4wRkHqqCUFNJY4AfY3kHU/edit?usp=sharing  #gid=0"",""фіз особи new!relations_name_uo""),7,FALSE)
,
)
))"),"#N/A")</f>
        <v>#N/A</v>
      </c>
      <c r="J5922" s="7" t="s">
        <v>30</v>
      </c>
    </row>
    <row r="5923" spans="1:10" ht="13.2">
      <c r="A5923" s="7">
        <v>5922</v>
      </c>
      <c r="B5923" s="7">
        <v>1</v>
      </c>
      <c r="C5923" s="7" t="s">
        <v>10</v>
      </c>
      <c r="D5923" s="7">
        <v>4909</v>
      </c>
      <c r="E5923" s="7" t="s">
        <v>30</v>
      </c>
      <c r="F5923" s="8" t="str">
        <f ca="1">IFERROR(__xludf.DUMMYFUNCTION("IF
(
C5924=""фізична особа""
,
VLOOKUP(D5924,IMPORTRANGE(""https://docs.google.com/spreadsheets/d/14Bd19lYaqBhU8_DElYkX7l4wRkHqqCUFNJY4AfY3kHU/edit?usp=sharing  #gid=0"",""фіз особи new!relations_name""),6,FALSE)
,
(IF
(
C5924=""юридична особа""
,
VLOOKUP"&amp;"(D5924,IMPORTRANGE(""https://docs.google.com/spreadsheets/d/14Bd19lYaqBhU8_DElYkX7l4wRkHqqCUFNJY4AfY3kHU/edit?usp=sharing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23" s="7" t="s">
        <v>10</v>
      </c>
      <c r="H5923" s="7">
        <v>23546</v>
      </c>
      <c r="I5923" s="8" t="str">
        <f ca="1">IFERROR(__xludf.DUMMYFUNCTION("IF
(
G5924=""фізична особа""
,
VLOOKUP(H5924,IMPORTRANGE(""https://docs.google.com/spreadsheets/d/14Bd19lYaqBhU8_DElYkX7l4wRkHqqCUFNJY4AfY3kHU/edit?usp=sharing  #gid=0"",""фіз особи new!relations_name""),6,FALSE)
,
(IF
(
G5924=""юридична особа""
,
VLOOKUP"&amp;"(H5924,IMPORTRANGE(""https://docs.google.com/spreadsheets/d/14Bd19lYaqBhU8_DElYkX7l4wRkHqqCUFNJY4AfY3kHU/edit?usp=sharing  #gid=0"",""фіз особи new!relations_name_uo""),7,FALSE)
,
)
))"),"САФРОНОВ Станіслав Вікторович")</f>
        <v>САФРОНОВ Станіслав Вікторович</v>
      </c>
      <c r="J5923" s="7" t="s">
        <v>30</v>
      </c>
    </row>
    <row r="5924" spans="1:10" ht="13.2">
      <c r="A5924" s="7">
        <v>5923</v>
      </c>
      <c r="B5924" s="7">
        <v>1</v>
      </c>
      <c r="C5924" s="7" t="s">
        <v>10</v>
      </c>
      <c r="D5924" s="7">
        <v>4909</v>
      </c>
      <c r="E5924" s="7" t="s">
        <v>30</v>
      </c>
      <c r="F5924" s="8" t="str">
        <f ca="1">IFERROR(__xludf.DUMMYFUNCTION("IF
(
C5925=""фізична особа""
,
VLOOKUP(D5925,IMPORTRANGE(""https://docs.google.com/spreadsheets/d/14Bd19lYaqBhU8_DElYkX7l4wRkHqqCUFNJY4AfY3kHU/edit?usp=sharing  #gid=0"",""фіз особи new!relations_name""),6,FALSE)
,
(IF
(
C5925=""юридична особа""
,
VLOOKUP"&amp;"(D5925,IMPORTRANGE(""https://docs.google.com/spreadsheets/d/14Bd19lYaqBhU8_DElYkX7l4wRkHqqCUFNJY4AfY3kHU/edit?usp=sharing  #gid=0"",""фіз особи new!relations_name_uo""),7,FALSE)
,
)
))"),"ПІНСЬКА Ірина Аполінаріївна")</f>
        <v>ПІНСЬКА Ірина Аполінаріївна</v>
      </c>
      <c r="G5924" s="7" t="s">
        <v>10</v>
      </c>
      <c r="H5924" s="7">
        <v>23547</v>
      </c>
      <c r="I5924" s="8" t="str">
        <f ca="1">IFERROR(__xludf.DUMMYFUNCTION("IF
(
G5925=""фізична особа""
,
VLOOKUP(H5925,IMPORTRANGE(""https://docs.google.com/spreadsheets/d/14Bd19lYaqBhU8_DElYkX7l4wRkHqqCUFNJY4AfY3kHU/edit?usp=sharing  #gid=0"",""фіз особи new!relations_name""),6,FALSE)
,
(IF
(
G5925=""юридична особа""
,
VLOOKUP"&amp;"(H5925,IMPORTRANGE(""https://docs.google.com/spreadsheets/d/14Bd19lYaqBhU8_DElYkX7l4wRkHqqCUFNJY4AfY3kHU/edit?usp=sharing  #gid=0"",""фіз особи new!relations_name_uo""),7,FALSE)
,
)
))"),"АЛЄКСЄЄНКО Ірина Василівна")</f>
        <v>АЛЄКСЄЄНКО Ірина Василівна</v>
      </c>
      <c r="J5924" s="7" t="s">
        <v>30</v>
      </c>
    </row>
    <row r="5925" spans="1:10" ht="13.2">
      <c r="A5925" s="7">
        <v>5924</v>
      </c>
      <c r="B5925" s="7">
        <v>1</v>
      </c>
      <c r="C5925" s="7" t="s">
        <v>10</v>
      </c>
      <c r="D5925" s="7">
        <v>4910</v>
      </c>
      <c r="E5925" s="7" t="s">
        <v>12</v>
      </c>
      <c r="F5925" s="8" t="str">
        <f ca="1">IFERROR(__xludf.DUMMYFUNCTION("IF
(
C5926=""фізична особа""
,
VLOOKUP(D5926,IMPORTRANGE(""https://docs.google.com/spreadsheets/d/14Bd19lYaqBhU8_DElYkX7l4wRkHqqCUFNJY4AfY3kHU/edit?usp=sharing  #gid=0"",""фіз особи new!relations_name""),6,FALSE)
,
(IF
(
C5926=""юридична особа""
,
VLOOKUP"&amp;"(D5926,IMPORTRANGE(""https://docs.google.com/spreadsheets/d/14Bd19lYaqBhU8_DElYkX7l4wRkHqqCUFNJY4AfY3kHU/edit?usp=sharing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25" s="7" t="s">
        <v>10</v>
      </c>
      <c r="H5925" s="7">
        <v>829</v>
      </c>
      <c r="I5925" s="8" t="str">
        <f ca="1">IFERROR(__xludf.DUMMYFUNCTION("IF
(
G5926=""фізична особа""
,
VLOOKUP(H5926,IMPORTRANGE(""https://docs.google.com/spreadsheets/d/14Bd19lYaqBhU8_DElYkX7l4wRkHqqCUFNJY4AfY3kHU/edit?usp=sharing  #gid=0"",""фіз особи new!relations_name""),6,FALSE)
,
(IF
(
G5926=""юридична особа""
,
VLOOKUP"&amp;"(H5926,IMPORTRANGE(""https://docs.google.com/spreadsheets/d/14Bd19lYaqBhU8_DElYkX7l4wRkHqqCUFNJY4AfY3kHU/edit?usp=sharing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J5925" s="7" t="s">
        <v>13</v>
      </c>
    </row>
    <row r="5926" spans="1:10" ht="13.2">
      <c r="A5926" s="7">
        <v>5925</v>
      </c>
      <c r="B5926" s="7">
        <v>1</v>
      </c>
      <c r="C5926" s="7" t="s">
        <v>10</v>
      </c>
      <c r="D5926" s="7">
        <v>4910</v>
      </c>
      <c r="E5926" s="7" t="s">
        <v>30</v>
      </c>
      <c r="F5926" s="8" t="str">
        <f ca="1">IFERROR(__xludf.DUMMYFUNCTION("IF
(
C5927=""фізична особа""
,
VLOOKUP(D5927,IMPORTRANGE(""https://docs.google.com/spreadsheets/d/14Bd19lYaqBhU8_DElYkX7l4wRkHqqCUFNJY4AfY3kHU/edit?usp=sharing  #gid=0"",""фіз особи new!relations_name""),6,FALSE)
,
(IF
(
C5927=""юридична особа""
,
VLOOKUP"&amp;"(D5927,IMPORTRANGE(""https://docs.google.com/spreadsheets/d/14Bd19lYaqBhU8_DElYkX7l4wRkHqqCUFNJY4AfY3kHU/edit?usp=sharing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26" s="7" t="s">
        <v>10</v>
      </c>
      <c r="H5926" s="7">
        <v>23546</v>
      </c>
      <c r="I5926" s="8" t="str">
        <f ca="1">IFERROR(__xludf.DUMMYFUNCTION("IF
(
G5927=""фізична особа""
,
VLOOKUP(H5927,IMPORTRANGE(""https://docs.google.com/spreadsheets/d/14Bd19lYaqBhU8_DElYkX7l4wRkHqqCUFNJY4AfY3kHU/edit?usp=sharing  #gid=0"",""фіз особи new!relations_name""),6,FALSE)
,
(IF
(
G5927=""юридична особа""
,
VLOOKUP"&amp;"(H5927,IMPORTRANGE(""https://docs.google.com/spreadsheets/d/14Bd19lYaqBhU8_DElYkX7l4wRkHqqCUFNJY4AfY3kHU/edit?usp=sharing  #gid=0"",""фіз особи new!relations_name_uo""),7,FALSE)
,
)
))"),"САФРОНОВ Станіслав Вікторович")</f>
        <v>САФРОНОВ Станіслав Вікторович</v>
      </c>
      <c r="J5926" s="7" t="s">
        <v>30</v>
      </c>
    </row>
    <row r="5927" spans="1:10" ht="13.2">
      <c r="A5927" s="7">
        <v>5926</v>
      </c>
      <c r="B5927" s="7">
        <v>1</v>
      </c>
      <c r="C5927" s="7" t="s">
        <v>10</v>
      </c>
      <c r="D5927" s="7">
        <v>4910</v>
      </c>
      <c r="E5927" s="7" t="s">
        <v>30</v>
      </c>
      <c r="F5927" s="8" t="str">
        <f ca="1">IFERROR(__xludf.DUMMYFUNCTION("IF
(
C5928=""фізична особа""
,
VLOOKUP(D5928,IMPORTRANGE(""https://docs.google.com/spreadsheets/d/14Bd19lYaqBhU8_DElYkX7l4wRkHqqCUFNJY4AfY3kHU/edit?usp=sharing  #gid=0"",""фіз особи new!relations_name""),6,FALSE)
,
(IF
(
C5928=""юридична особа""
,
VLOOKUP"&amp;"(D5928,IMPORTRANGE(""https://docs.google.com/spreadsheets/d/14Bd19lYaqBhU8_DElYkX7l4wRkHqqCUFNJY4AfY3kHU/edit?usp=sharing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27" s="7" t="s">
        <v>10</v>
      </c>
      <c r="H5927" s="7">
        <v>23547</v>
      </c>
      <c r="I5927" s="8" t="str">
        <f ca="1">IFERROR(__xludf.DUMMYFUNCTION("IF
(
G5928=""фізична особа""
,
VLOOKUP(H5928,IMPORTRANGE(""https://docs.google.com/spreadsheets/d/14Bd19lYaqBhU8_DElYkX7l4wRkHqqCUFNJY4AfY3kHU/edit?usp=sharing  #gid=0"",""фіз особи new!relations_name""),6,FALSE)
,
(IF
(
G5928=""юридична особа""
,
VLOOKUP"&amp;"(H5928,IMPORTRANGE(""https://docs.google.com/spreadsheets/d/14Bd19lYaqBhU8_DElYkX7l4wRkHqqCUFNJY4AfY3kHU/edit?usp=sharing  #gid=0"",""фіз особи new!relations_name_uo""),7,FALSE)
,
)
))"),"АЛЄКСЄЄНКО Ірина Василівна")</f>
        <v>АЛЄКСЄЄНКО Ірина Василівна</v>
      </c>
      <c r="J5927" s="7" t="s">
        <v>30</v>
      </c>
    </row>
    <row r="5928" spans="1:10" ht="13.2">
      <c r="A5928" s="7">
        <v>5927</v>
      </c>
      <c r="B5928" s="7">
        <v>1</v>
      </c>
      <c r="C5928" s="7" t="s">
        <v>10</v>
      </c>
      <c r="D5928" s="7">
        <v>4910</v>
      </c>
      <c r="E5928" s="7" t="s">
        <v>30</v>
      </c>
      <c r="F5928" s="8" t="str">
        <f ca="1">IFERROR(__xludf.DUMMYFUNCTION("IF
(
C5929=""фізична особа""
,
VLOOKUP(D5929,IMPORTRANGE(""https://docs.google.com/spreadsheets/d/14Bd19lYaqBhU8_DElYkX7l4wRkHqqCUFNJY4AfY3kHU/edit?usp=sharing  #gid=0"",""фіз особи new!relations_name""),6,FALSE)
,
(IF
(
C5929=""юридична особа""
,
VLOOKUP"&amp;"(D5929,IMPORTRANGE(""https://docs.google.com/spreadsheets/d/14Bd19lYaqBhU8_DElYkX7l4wRkHqqCUFNJY4AfY3kHU/edit?usp=sharing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28" s="7" t="s">
        <v>10</v>
      </c>
      <c r="H5928" s="7">
        <v>0</v>
      </c>
      <c r="I5928" s="8" t="str">
        <f ca="1">IFERROR(__xludf.DUMMYFUNCTION("IF
(
G5929=""фізична особа""
,
VLOOKUP(H5929,IMPORTRANGE(""https://docs.google.com/spreadsheets/d/14Bd19lYaqBhU8_DElYkX7l4wRkHqqCUFNJY4AfY3kHU/edit?usp=sharing  #gid=0"",""фіз особи new!relations_name""),6,FALSE)
,
(IF
(
G5929=""юридична особа""
,
VLOOKUP"&amp;"(H5929,IMPORTRANGE(""https://docs.google.com/spreadsheets/d/14Bd19lYaqBhU8_DElYkX7l4wRkHqqCUFNJY4AfY3kHU/edit?usp=sharing  #gid=0"",""фіз особи new!relations_name_uo""),7,FALSE)
,
)
))"),"#N/A")</f>
        <v>#N/A</v>
      </c>
      <c r="J5928" s="7" t="s">
        <v>30</v>
      </c>
    </row>
    <row r="5929" spans="1:10" ht="13.2">
      <c r="A5929" s="7">
        <v>5928</v>
      </c>
      <c r="B5929" s="7">
        <v>1</v>
      </c>
      <c r="C5929" s="7" t="s">
        <v>10</v>
      </c>
      <c r="D5929" s="7">
        <v>4910</v>
      </c>
      <c r="E5929" s="7" t="s">
        <v>30</v>
      </c>
      <c r="F5929" s="8" t="str">
        <f ca="1">IFERROR(__xludf.DUMMYFUNCTION("IF
(
C5930=""фізична особа""
,
VLOOKUP(D5930,IMPORTRANGE(""https://docs.google.com/spreadsheets/d/14Bd19lYaqBhU8_DElYkX7l4wRkHqqCUFNJY4AfY3kHU/edit?usp=sharing  #gid=0"",""фіз особи new!relations_name""),6,FALSE)
,
(IF
(
C5930=""юридична особа""
,
VLOOKUP"&amp;"(D5930,IMPORTRANGE(""https://docs.google.com/spreadsheets/d/14Bd19lYaqBhU8_DElYkX7l4wRkHqqCUFNJY4AfY3kHU/edit?usp=sharing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29" s="7" t="s">
        <v>10</v>
      </c>
      <c r="H5929" s="7">
        <v>23545</v>
      </c>
      <c r="I5929" s="8" t="str">
        <f ca="1">IFERROR(__xludf.DUMMYFUNCTION("IF
(
G5930=""фізична особа""
,
VLOOKUP(H5930,IMPORTRANGE(""https://docs.google.com/spreadsheets/d/14Bd19lYaqBhU8_DElYkX7l4wRkHqqCUFNJY4AfY3kHU/edit?usp=sharing  #gid=0"",""фіз особи new!relations_name""),6,FALSE)
,
(IF
(
G5930=""юридична особа""
,
VLOOKUP"&amp;"(H5930,IMPORTRANGE(""https://docs.google.com/spreadsheets/d/14Bd19lYaqBhU8_DElYkX7l4wRkHqqCUFNJY4AfY3kHU/edit?usp=sharing  #gid=0"",""фіз особи new!relations_name_uo""),7,FALSE)
,
)
))"),"ІСАКОВ Володимир Володимирович")</f>
        <v>ІСАКОВ Володимир Володимирович</v>
      </c>
      <c r="J5929" s="7" t="s">
        <v>30</v>
      </c>
    </row>
    <row r="5930" spans="1:10" ht="13.2">
      <c r="A5930" s="7">
        <v>5929</v>
      </c>
      <c r="B5930" s="7">
        <v>1</v>
      </c>
      <c r="C5930" s="7" t="s">
        <v>10</v>
      </c>
      <c r="D5930" s="7">
        <v>4910</v>
      </c>
      <c r="E5930" s="7" t="s">
        <v>30</v>
      </c>
      <c r="F5930" s="8" t="str">
        <f ca="1">IFERROR(__xludf.DUMMYFUNCTION("IF
(
C5931=""фізична особа""
,
VLOOKUP(D5931,IMPORTRANGE(""https://docs.google.com/spreadsheets/d/14Bd19lYaqBhU8_DElYkX7l4wRkHqqCUFNJY4AfY3kHU/edit?usp=sharing  #gid=0"",""фіз особи new!relations_name""),6,FALSE)
,
(IF
(
C5931=""юридична особа""
,
VLOOKUP"&amp;"(D5931,IMPORTRANGE(""https://docs.google.com/spreadsheets/d/14Bd19lYaqBhU8_DElYkX7l4wRkHqqCUFNJY4AfY3kHU/edit?usp=sharing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30" s="7" t="s">
        <v>10</v>
      </c>
      <c r="H5930" s="7">
        <v>23544</v>
      </c>
      <c r="I5930" s="8" t="str">
        <f ca="1">IFERROR(__xludf.DUMMYFUNCTION("IF
(
G5931=""фізична особа""
,
VLOOKUP(H5931,IMPORTRANGE(""https://docs.google.com/spreadsheets/d/14Bd19lYaqBhU8_DElYkX7l4wRkHqqCUFNJY4AfY3kHU/edit?usp=sharing  #gid=0"",""фіз особи new!relations_name""),6,FALSE)
,
(IF
(
G5931=""юридична особа""
,
VLOOKUP"&amp;"(H5931,IMPORTRANGE(""https://docs.google.com/spreadsheets/d/14Bd19lYaqBhU8_DElYkX7l4wRkHqqCUFNJY4AfY3kHU/edit?usp=sharing  #gid=0"",""фіз особи new!relations_name_uo""),7,FALSE)
,
)
))"),"ІВАНОВ Микола Олександрович")</f>
        <v>ІВАНОВ Микола Олександрович</v>
      </c>
      <c r="J5930" s="7" t="s">
        <v>30</v>
      </c>
    </row>
    <row r="5931" spans="1:10" ht="13.2">
      <c r="A5931" s="7">
        <v>5930</v>
      </c>
      <c r="B5931" s="7">
        <v>1</v>
      </c>
      <c r="C5931" s="7" t="s">
        <v>10</v>
      </c>
      <c r="D5931" s="7">
        <v>4910</v>
      </c>
      <c r="E5931" s="7" t="s">
        <v>15</v>
      </c>
      <c r="F5931" s="8" t="str">
        <f ca="1">IFERROR(__xludf.DUMMYFUNCTION("IF
(
C5932=""фізична особа""
,
VLOOKUP(D5932,IMPORTRANGE(""https://docs.google.com/spreadsheets/d/14Bd19lYaqBhU8_DElYkX7l4wRkHqqCUFNJY4AfY3kHU/edit?usp=sharing  #gid=0"",""фіз особи new!relations_name""),6,FALSE)
,
(IF
(
C5932=""юридична особа""
,
VLOOKUP"&amp;"(D5932,IMPORTRANGE(""https://docs.google.com/spreadsheets/d/14Bd19lYaqBhU8_DElYkX7l4wRkHqqCUFNJY4AfY3kHU/edit?usp=sharing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G5931" s="7" t="s">
        <v>10</v>
      </c>
      <c r="H5931" s="7">
        <v>4917</v>
      </c>
      <c r="I5931" s="8" t="str">
        <f ca="1">IFERROR(__xludf.DUMMYFUNCTION("IF
(
G5932=""фізична особа""
,
VLOOKUP(H5932,IMPORTRANGE(""https://docs.google.com/spreadsheets/d/14Bd19lYaqBhU8_DElYkX7l4wRkHqqCUFNJY4AfY3kHU/edit?usp=sharing  #gid=0"",""фіз особи new!relations_name""),6,FALSE)
,
(IF
(
G5932=""юридична особа""
,
VLOOKUP"&amp;"(H5932,IMPORTRANGE(""https://docs.google.com/spreadsheets/d/14Bd19lYaqBhU8_DElYkX7l4wRkHqqCUFNJY4AfY3kHU/edit?usp=sharing  #gid=0"",""фіз особи new!relations_name_uo""),7,FALSE)
,
)
))"),"ОЗЕРАНСЬКИЙ Дмитро Андрійович")</f>
        <v>ОЗЕРАНСЬКИЙ Дмитро Андрійович</v>
      </c>
      <c r="J5931" s="7" t="s">
        <v>14</v>
      </c>
    </row>
    <row r="5932" spans="1:10" ht="13.2">
      <c r="A5932" s="7">
        <v>5931</v>
      </c>
      <c r="B5932" s="7">
        <v>1</v>
      </c>
      <c r="C5932" s="7" t="s">
        <v>10</v>
      </c>
      <c r="D5932" s="7">
        <v>4913</v>
      </c>
      <c r="E5932" s="7" t="s">
        <v>15</v>
      </c>
      <c r="F5932" s="8" t="str">
        <f ca="1">IFERROR(__xludf.DUMMYFUNCTION("IF
(
C5933=""фізична особа""
,
VLOOKUP(D5933,IMPORTRANGE(""https://docs.google.com/spreadsheets/d/14Bd19lYaqBhU8_DElYkX7l4wRkHqqCUFNJY4AfY3kHU/edit?usp=sharing  #gid=0"",""фіз особи new!relations_name""),6,FALSE)
,
(IF
(
C5933=""юридична особа""
,
VLOOKUP"&amp;"(D5933,IMPORTRANGE(""https://docs.google.com/spreadsheets/d/14Bd19lYaqBhU8_DElYkX7l4wRkHqqCUFNJY4AfY3kHU/edit?usp=sharing  #gid=0"",""фіз особи new!relations_name_uo""),7,FALSE)
,
)
))"),"ВЛАДІМІРОВА Наталія Олександрівна")</f>
        <v>ВЛАДІМІРОВА Наталія Олександрівна</v>
      </c>
      <c r="G5932" s="7" t="s">
        <v>10</v>
      </c>
      <c r="H5932" s="7">
        <v>2524</v>
      </c>
      <c r="I5932" s="8" t="str">
        <f ca="1">IFERROR(__xludf.DUMMYFUNCTION("IF
(
G5933=""фізична особа""
,
VLOOKUP(H5933,IMPORTRANGE(""https://docs.google.com/spreadsheets/d/14Bd19lYaqBhU8_DElYkX7l4wRkHqqCUFNJY4AfY3kHU/edit?usp=sharing  #gid=0"",""фіз особи new!relations_name""),6,FALSE)
,
(IF
(
G5933=""юридична особа""
,
VLOOKUP"&amp;"(H5933,IMPORTRANGE(""https://docs.google.com/spreadsheets/d/14Bd19lYaqBhU8_DElYkX7l4wRkHqqCUFNJY4AfY3kHU/edit?usp=sharing  #gid=0"",""фіз особи new!relations_name_uo""),7,FALSE)
,
)
))"),"ВОЛОДИМИРОВ Володимир Володимирович")</f>
        <v>ВОЛОДИМИРОВ Володимир Володимирович</v>
      </c>
      <c r="J5932" s="7" t="s">
        <v>14</v>
      </c>
    </row>
    <row r="5933" spans="1:10" ht="13.2">
      <c r="A5933" s="7">
        <v>5932</v>
      </c>
      <c r="B5933" s="7">
        <v>1</v>
      </c>
      <c r="C5933" s="7" t="s">
        <v>10</v>
      </c>
      <c r="D5933" s="7">
        <v>4915</v>
      </c>
      <c r="E5933" s="7" t="s">
        <v>12</v>
      </c>
      <c r="F5933" s="8" t="str">
        <f ca="1">IFERROR(__xludf.DUMMYFUNCTION("IF
(
C5934=""фізична особа""
,
VLOOKUP(D5934,IMPORTRANGE(""https://docs.google.com/spreadsheets/d/14Bd19lYaqBhU8_DElYkX7l4wRkHqqCUFNJY4AfY3kHU/edit?usp=sharing  #gid=0"",""фіз особи new!relations_name""),6,FALSE)
,
(IF
(
C5934=""юридична особа""
,
VLOOKUP"&amp;"(D5934,IMPORTRANGE(""https://docs.google.com/spreadsheets/d/14Bd19lYaqBhU8_DElYkX7l4wRkHqqCUFNJY4AfY3kHU/edit?usp=sharing  #gid=0"",""фіз особи new!relations_name_uo""),7,FALSE)
,
)
))"),"ВЯТКІН Федір Михайлович")</f>
        <v>ВЯТКІН Федір Михайлович</v>
      </c>
      <c r="G5933" s="7" t="s">
        <v>10</v>
      </c>
      <c r="H5933" s="7">
        <v>187</v>
      </c>
      <c r="I5933" s="8" t="str">
        <f ca="1">IFERROR(__xludf.DUMMYFUNCTION("IF
(
G5934=""фізична особа""
,
VLOOKUP(H5934,IMPORTRANGE(""https://docs.google.com/spreadsheets/d/14Bd19lYaqBhU8_DElYkX7l4wRkHqqCUFNJY4AfY3kHU/edit?usp=sharing  #gid=0"",""фіз особи new!relations_name""),6,FALSE)
,
(IF
(
G5934=""юридична особа""
,
VLOOKUP"&amp;"(H5934,IMPORTRANGE(""https://docs.google.com/spreadsheets/d/14Bd19lYaqBhU8_DElYkX7l4wRkHqqCUFNJY4AfY3kHU/edit?usp=sharing  #gid=0"",""фіз особи new!relations_name_uo""),7,FALSE)
,
)
))"),"В'ЯТКІН Дмитро Федорович")</f>
        <v>В'ЯТКІН Дмитро Федорович</v>
      </c>
      <c r="J5933" s="7" t="s">
        <v>17</v>
      </c>
    </row>
    <row r="5934" spans="1:10" ht="13.2">
      <c r="A5934" s="7">
        <v>5933</v>
      </c>
      <c r="B5934" s="7">
        <v>1</v>
      </c>
      <c r="C5934" s="7" t="s">
        <v>10</v>
      </c>
      <c r="D5934" s="7">
        <v>4916</v>
      </c>
      <c r="E5934" s="7" t="s">
        <v>18</v>
      </c>
      <c r="F5934" s="8" t="str">
        <f ca="1">IFERROR(__xludf.DUMMYFUNCTION("IF
(
C5935=""фізична особа""
,
VLOOKUP(D5935,IMPORTRANGE(""https://docs.google.com/spreadsheets/d/14Bd19lYaqBhU8_DElYkX7l4wRkHqqCUFNJY4AfY3kHU/edit?usp=sharing  #gid=0"",""фіз особи new!relations_name""),6,FALSE)
,
(IF
(
C5935=""юридична особа""
,
VLOOKUP"&amp;"(D5935,IMPORTRANGE(""https://docs.google.com/spreadsheets/d/14Bd19lYaqBhU8_DElYkX7l4wRkHqqCUFNJY4AfY3kHU/edit?usp=sharing  #gid=0"",""фіз особи new!relations_name_uo""),7,FALSE)
,
)
))"),"ВЯТКІН Михайло Федорович")</f>
        <v>ВЯТКІН Михайло Федорович</v>
      </c>
      <c r="G5934" s="7" t="s">
        <v>10</v>
      </c>
      <c r="H5934" s="7">
        <v>187</v>
      </c>
      <c r="I5934" s="8" t="str">
        <f ca="1">IFERROR(__xludf.DUMMYFUNCTION("IF
(
G5935=""фізична особа""
,
VLOOKUP(H5935,IMPORTRANGE(""https://docs.google.com/spreadsheets/d/14Bd19lYaqBhU8_DElYkX7l4wRkHqqCUFNJY4AfY3kHU/edit?usp=sharing  #gid=0"",""фіз особи new!relations_name""),6,FALSE)
,
(IF
(
G5935=""юридична особа""
,
VLOOKUP"&amp;"(H5935,IMPORTRANGE(""https://docs.google.com/spreadsheets/d/14Bd19lYaqBhU8_DElYkX7l4wRkHqqCUFNJY4AfY3kHU/edit?usp=sharing  #gid=0"",""фіз особи new!relations_name_uo""),7,FALSE)
,
)
))"),"В'ЯТКІН Дмитро Федорович")</f>
        <v>В'ЯТКІН Дмитро Федорович</v>
      </c>
      <c r="J5934" s="7" t="s">
        <v>18</v>
      </c>
    </row>
    <row r="5935" spans="1:10" ht="13.2">
      <c r="A5935" s="7">
        <v>5934</v>
      </c>
      <c r="B5935" s="7">
        <v>1</v>
      </c>
      <c r="C5935" s="7" t="s">
        <v>10</v>
      </c>
      <c r="D5935" s="7">
        <v>4917</v>
      </c>
      <c r="E5935" s="7" t="s">
        <v>26</v>
      </c>
      <c r="F5935" s="8" t="str">
        <f ca="1">IFERROR(__xludf.DUMMYFUNCTION("IF
(
C5936=""фізична особа""
,
VLOOKUP(D5936,IMPORTRANGE(""https://docs.google.com/spreadsheets/d/14Bd19lYaqBhU8_DElYkX7l4wRkHqqCUFNJY4AfY3kHU/edit?usp=sharing  #gid=0"",""фіз особи new!relations_name""),6,FALSE)
,
(IF
(
C5936=""юридична особа""
,
VLOOKUP"&amp;"(D5936,IMPORTRANGE(""https://docs.google.com/spreadsheets/d/14Bd19lYaqBhU8_DElYkX7l4wRkHqqCUFNJY4AfY3kHU/edit?usp=sharing  #gid=0"",""фіз особи new!relations_name_uo""),7,FALSE)
,
)
))"),"ОЗЕРАНСЬКИЙ Дмитро Андрійович")</f>
        <v>ОЗЕРАНСЬКИЙ Дмитро Андрійович</v>
      </c>
      <c r="G5935" s="7" t="s">
        <v>10</v>
      </c>
      <c r="H5935" s="7">
        <v>829</v>
      </c>
      <c r="I5935" s="8" t="str">
        <f ca="1">IFERROR(__xludf.DUMMYFUNCTION("IF
(
G5936=""фізична особа""
,
VLOOKUP(H5936,IMPORTRANGE(""https://docs.google.com/spreadsheets/d/14Bd19lYaqBhU8_DElYkX7l4wRkHqqCUFNJY4AfY3kHU/edit?usp=sharing  #gid=0"",""фіз особи new!relations_name""),6,FALSE)
,
(IF
(
G5936=""юридична особа""
,
VLOOKUP"&amp;"(H5936,IMPORTRANGE(""https://docs.google.com/spreadsheets/d/14Bd19lYaqBhU8_DElYkX7l4wRkHqqCUFNJY4AfY3kHU/edit?usp=sharing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J5935" s="7" t="s">
        <v>24</v>
      </c>
    </row>
    <row r="5936" spans="1:10" ht="13.2">
      <c r="A5936" s="7">
        <v>5935</v>
      </c>
      <c r="B5936" s="7">
        <v>1</v>
      </c>
      <c r="C5936" s="7" t="s">
        <v>10</v>
      </c>
      <c r="D5936" s="7">
        <v>4917</v>
      </c>
      <c r="E5936" s="7" t="s">
        <v>14</v>
      </c>
      <c r="F5936" s="8" t="str">
        <f ca="1">IFERROR(__xludf.DUMMYFUNCTION("IF
(
C5937=""фізична особа""
,
VLOOKUP(D5937,IMPORTRANGE(""https://docs.google.com/spreadsheets/d/14Bd19lYaqBhU8_DElYkX7l4wRkHqqCUFNJY4AfY3kHU/edit?usp=sharing  #gid=0"",""фіз особи new!relations_name""),6,FALSE)
,
(IF
(
C5937=""юридична особа""
,
VLOOKUP"&amp;"(D5937,IMPORTRANGE(""https://docs.google.com/spreadsheets/d/14Bd19lYaqBhU8_DElYkX7l4wRkHqqCUFNJY4AfY3kHU/edit?usp=sharing  #gid=0"",""фіз особи new!relations_name_uo""),7,FALSE)
,
)
))"),"ОЗЕРАНСЬКИЙ Дмитро Андрійович")</f>
        <v>ОЗЕРАНСЬКИЙ Дмитро Андрійович</v>
      </c>
      <c r="G5936" s="7" t="s">
        <v>10</v>
      </c>
      <c r="H5936" s="7">
        <v>4910</v>
      </c>
      <c r="I5936" s="8" t="str">
        <f ca="1">IFERROR(__xludf.DUMMYFUNCTION("IF
(
G5937=""фізична особа""
,
VLOOKUP(H5937,IMPORTRANGE(""https://docs.google.com/spreadsheets/d/14Bd19lYaqBhU8_DElYkX7l4wRkHqqCUFNJY4AfY3kHU/edit?usp=sharing  #gid=0"",""фіз особи new!relations_name""),6,FALSE)
,
(IF
(
G5937=""юридична особа""
,
VLOOKUP"&amp;"(H5937,IMPORTRANGE(""https://docs.google.com/spreadsheets/d/14Bd19lYaqBhU8_DElYkX7l4wRkHqqCUFNJY4AfY3kHU/edit?usp=sharing  #gid=0"",""фіз особи new!relations_name_uo""),7,FALSE)
,
)
))"),"ОЗЕРАНСЬКА Аврора Вікторівна")</f>
        <v>ОЗЕРАНСЬКА Аврора Вікторівна</v>
      </c>
      <c r="J5936" s="7" t="s">
        <v>15</v>
      </c>
    </row>
    <row r="5937" spans="1:10" ht="13.2">
      <c r="A5937" s="7">
        <v>5936</v>
      </c>
      <c r="B5937" s="7">
        <v>1</v>
      </c>
      <c r="C5937" s="7" t="s">
        <v>10</v>
      </c>
      <c r="D5937" s="7">
        <v>4918</v>
      </c>
      <c r="E5937" s="7" t="s">
        <v>18</v>
      </c>
      <c r="F5937" s="8" t="str">
        <f ca="1">IFERROR(__xludf.DUMMYFUNCTION("IF
(
C5938=""фізична особа""
,
VLOOKUP(D5938,IMPORTRANGE(""https://docs.google.com/spreadsheets/d/14Bd19lYaqBhU8_DElYkX7l4wRkHqqCUFNJY4AfY3kHU/edit?usp=sharing  #gid=0"",""фіз особи new!relations_name""),6,FALSE)
,
(IF
(
C5938=""юридична особа""
,
VLOOKUP"&amp;"(D5938,IMPORTRANGE(""https://docs.google.com/spreadsheets/d/14Bd19lYaqBhU8_DElYkX7l4wRkHqqCUFNJY4AfY3kHU/edit?usp=sharing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G5937" s="7" t="s">
        <v>10</v>
      </c>
      <c r="H5937" s="7">
        <v>829</v>
      </c>
      <c r="I5937" s="8" t="str">
        <f ca="1">IFERROR(__xludf.DUMMYFUNCTION("IF
(
G5938=""фізична особа""
,
VLOOKUP(H5938,IMPORTRANGE(""https://docs.google.com/spreadsheets/d/14Bd19lYaqBhU8_DElYkX7l4wRkHqqCUFNJY4AfY3kHU/edit?usp=sharing  #gid=0"",""фіз особи new!relations_name""),6,FALSE)
,
(IF
(
G5938=""юридична особа""
,
VLOOKUP"&amp;"(H5938,IMPORTRANGE(""https://docs.google.com/spreadsheets/d/14Bd19lYaqBhU8_DElYkX7l4wRkHqqCUFNJY4AfY3kHU/edit?usp=sharing  #gid=0"",""фіз особи new!relations_name_uo""),7,FALSE)
,
)
))"),"ПІНСЬКИЙ Віктор Віталійович")</f>
        <v>ПІНСЬКИЙ Віктор Віталійович</v>
      </c>
      <c r="J5937" s="7" t="s">
        <v>18</v>
      </c>
    </row>
    <row r="5938" spans="1:10" ht="13.2">
      <c r="A5938" s="7">
        <v>5937</v>
      </c>
      <c r="B5938" s="7">
        <v>1</v>
      </c>
      <c r="C5938" s="7" t="s">
        <v>10</v>
      </c>
      <c r="D5938" s="7">
        <v>4918</v>
      </c>
      <c r="E5938" s="7" t="s">
        <v>30</v>
      </c>
      <c r="F5938" s="8" t="str">
        <f ca="1">IFERROR(__xludf.DUMMYFUNCTION("IF
(
C5939=""фізична особа""
,
VLOOKUP(D5939,IMPORTRANGE(""https://docs.google.com/spreadsheets/d/14Bd19lYaqBhU8_DElYkX7l4wRkHqqCUFNJY4AfY3kHU/edit?usp=sharing  #gid=0"",""фіз особи new!relations_name""),6,FALSE)
,
(IF
(
C5939=""юридична особа""
,
VLOOKUP"&amp;"(D5939,IMPORTRANGE(""https://docs.google.com/spreadsheets/d/14Bd19lYaqBhU8_DElYkX7l4wRkHqqCUFNJY4AfY3kHU/edit?usp=sharing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G5938" s="7" t="s">
        <v>10</v>
      </c>
      <c r="H5938" s="7">
        <v>0</v>
      </c>
      <c r="I5938" s="8" t="str">
        <f ca="1">IFERROR(__xludf.DUMMYFUNCTION("IF
(
G5939=""фізична особа""
,
VLOOKUP(H5939,IMPORTRANGE(""https://docs.google.com/spreadsheets/d/14Bd19lYaqBhU8_DElYkX7l4wRkHqqCUFNJY4AfY3kHU/edit?usp=sharing  #gid=0"",""фіз особи new!relations_name""),6,FALSE)
,
(IF
(
G5939=""юридична особа""
,
VLOOKUP"&amp;"(H5939,IMPORTRANGE(""https://docs.google.com/spreadsheets/d/14Bd19lYaqBhU8_DElYkX7l4wRkHqqCUFNJY4AfY3kHU/edit?usp=sharing  #gid=0"",""фіз особи new!relations_name_uo""),7,FALSE)
,
)
))"),"#N/A")</f>
        <v>#N/A</v>
      </c>
      <c r="J5938" s="7" t="s">
        <v>30</v>
      </c>
    </row>
    <row r="5939" spans="1:10" ht="13.2">
      <c r="A5939" s="7">
        <v>5938</v>
      </c>
      <c r="B5939" s="7">
        <v>1</v>
      </c>
      <c r="C5939" s="7" t="s">
        <v>10</v>
      </c>
      <c r="D5939" s="7">
        <v>4918</v>
      </c>
      <c r="E5939" s="7" t="s">
        <v>30</v>
      </c>
      <c r="F5939" s="8" t="str">
        <f ca="1">IFERROR(__xludf.DUMMYFUNCTION("IF
(
C5940=""фізична особа""
,
VLOOKUP(D5940,IMPORTRANGE(""https://docs.google.com/spreadsheets/d/14Bd19lYaqBhU8_DElYkX7l4wRkHqqCUFNJY4AfY3kHU/edit?usp=sharing  #gid=0"",""фіз особи new!relations_name""),6,FALSE)
,
(IF
(
C5940=""юридична особа""
,
VLOOKUP"&amp;"(D5940,IMPORTRANGE(""https://docs.google.com/spreadsheets/d/14Bd19lYaqBhU8_DElYkX7l4wRkHqqCUFNJY4AfY3kHU/edit?usp=sharing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G5939" s="7" t="s">
        <v>10</v>
      </c>
      <c r="H5939" s="7">
        <v>0</v>
      </c>
      <c r="I5939" s="8" t="str">
        <f ca="1">IFERROR(__xludf.DUMMYFUNCTION("IF
(
G5940=""фізична особа""
,
VLOOKUP(H5940,IMPORTRANGE(""https://docs.google.com/spreadsheets/d/14Bd19lYaqBhU8_DElYkX7l4wRkHqqCUFNJY4AfY3kHU/edit?usp=sharing  #gid=0"",""фіз особи new!relations_name""),6,FALSE)
,
(IF
(
G5940=""юридична особа""
,
VLOOKUP"&amp;"(H5940,IMPORTRANGE(""https://docs.google.com/spreadsheets/d/14Bd19lYaqBhU8_DElYkX7l4wRkHqqCUFNJY4AfY3kHU/edit?usp=sharing  #gid=0"",""фіз особи new!relations_name_uo""),7,FALSE)
,
)
))"),"#N/A")</f>
        <v>#N/A</v>
      </c>
      <c r="J5939" s="7" t="s">
        <v>30</v>
      </c>
    </row>
    <row r="5940" spans="1:10" ht="13.2">
      <c r="A5940" s="7">
        <v>5939</v>
      </c>
      <c r="B5940" s="7">
        <v>1</v>
      </c>
      <c r="C5940" s="7" t="s">
        <v>10</v>
      </c>
      <c r="D5940" s="7">
        <v>4918</v>
      </c>
      <c r="E5940" s="7" t="s">
        <v>30</v>
      </c>
      <c r="F5940" s="8" t="str">
        <f ca="1">IFERROR(__xludf.DUMMYFUNCTION("IF
(
C5941=""фізична особа""
,
VLOOKUP(D5941,IMPORTRANGE(""https://docs.google.com/spreadsheets/d/14Bd19lYaqBhU8_DElYkX7l4wRkHqqCUFNJY4AfY3kHU/edit?usp=sharing  #gid=0"",""фіз особи new!relations_name""),6,FALSE)
,
(IF
(
C5941=""юридична особа""
,
VLOOKUP"&amp;"(D5941,IMPORTRANGE(""https://docs.google.com/spreadsheets/d/14Bd19lYaqBhU8_DElYkX7l4wRkHqqCUFNJY4AfY3kHU/edit?usp=sharing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G5940" s="7" t="s">
        <v>10</v>
      </c>
      <c r="H5940" s="7">
        <v>0</v>
      </c>
      <c r="I5940" s="8" t="str">
        <f ca="1">IFERROR(__xludf.DUMMYFUNCTION("IF
(
G5941=""фізична особа""
,
VLOOKUP(H5941,IMPORTRANGE(""https://docs.google.com/spreadsheets/d/14Bd19lYaqBhU8_DElYkX7l4wRkHqqCUFNJY4AfY3kHU/edit?usp=sharing  #gid=0"",""фіз особи new!relations_name""),6,FALSE)
,
(IF
(
G5941=""юридична особа""
,
VLOOKUP"&amp;"(H5941,IMPORTRANGE(""https://docs.google.com/spreadsheets/d/14Bd19lYaqBhU8_DElYkX7l4wRkHqqCUFNJY4AfY3kHU/edit?usp=sharing  #gid=0"",""фіз особи new!relations_name_uo""),7,FALSE)
,
)
))"),"#N/A")</f>
        <v>#N/A</v>
      </c>
      <c r="J5940" s="7" t="s">
        <v>30</v>
      </c>
    </row>
    <row r="5941" spans="1:10" ht="13.2">
      <c r="A5941" s="7">
        <v>5940</v>
      </c>
      <c r="B5941" s="7">
        <v>1</v>
      </c>
      <c r="C5941" s="7" t="s">
        <v>10</v>
      </c>
      <c r="D5941" s="7">
        <v>4918</v>
      </c>
      <c r="E5941" s="7" t="s">
        <v>30</v>
      </c>
      <c r="F5941" s="8" t="str">
        <f ca="1">IFERROR(__xludf.DUMMYFUNCTION("IF
(
C5942=""фізична особа""
,
VLOOKUP(D5942,IMPORTRANGE(""https://docs.google.com/spreadsheets/d/14Bd19lYaqBhU8_DElYkX7l4wRkHqqCUFNJY4AfY3kHU/edit?usp=sharing  #gid=0"",""фіз особи new!relations_name""),6,FALSE)
,
(IF
(
C5942=""юридична особа""
,
VLOOKUP"&amp;"(D5942,IMPORTRANGE(""https://docs.google.com/spreadsheets/d/14Bd19lYaqBhU8_DElYkX7l4wRkHqqCUFNJY4AfY3kHU/edit?usp=sharing  #gid=0"",""фіз особи new!relations_name_uo""),7,FALSE)
,
)
))"),"ПІНСЬКИЙ Олег Віталійович")</f>
        <v>ПІНСЬКИЙ Олег Віталійович</v>
      </c>
      <c r="G5941" s="7" t="s">
        <v>10</v>
      </c>
      <c r="H5941" s="7">
        <v>0</v>
      </c>
      <c r="I5941" s="8" t="str">
        <f ca="1">IFERROR(__xludf.DUMMYFUNCTION("IF
(
G5942=""фізична особа""
,
VLOOKUP(H5942,IMPORTRANGE(""https://docs.google.com/spreadsheets/d/14Bd19lYaqBhU8_DElYkX7l4wRkHqqCUFNJY4AfY3kHU/edit?usp=sharing  #gid=0"",""фіз особи new!relations_name""),6,FALSE)
,
(IF
(
G5942=""юридична особа""
,
VLOOKUP"&amp;"(H5942,IMPORTRANGE(""https://docs.google.com/spreadsheets/d/14Bd19lYaqBhU8_DElYkX7l4wRkHqqCUFNJY4AfY3kHU/edit?usp=sharing  #gid=0"",""фіз особи new!relations_name_uo""),7,FALSE)
,
)
))"),"#N/A")</f>
        <v>#N/A</v>
      </c>
      <c r="J5941" s="7" t="s">
        <v>30</v>
      </c>
    </row>
    <row r="5942" spans="1:10" ht="13.2">
      <c r="A5942" s="7">
        <v>5941</v>
      </c>
      <c r="B5942" s="7">
        <v>1</v>
      </c>
      <c r="C5942" s="7" t="s">
        <v>10</v>
      </c>
      <c r="D5942" s="7">
        <v>4919</v>
      </c>
      <c r="E5942" s="7" t="s">
        <v>26</v>
      </c>
      <c r="F5942" s="8" t="str">
        <f ca="1">IFERROR(__xludf.DUMMYFUNCTION("IF
(
C5943=""фізична особа""
,
VLOOKUP(D5943,IMPORTRANGE(""https://docs.google.com/spreadsheets/d/14Bd19lYaqBhU8_DElYkX7l4wRkHqqCUFNJY4AfY3kHU/edit?usp=sharing  #gid=0"",""фіз особи new!relations_name""),6,FALSE)
,
(IF
(
C5943=""юридична особа""
,
VLOOKUP"&amp;"(D5943,IMPORTRANGE(""https://docs.google.com/spreadsheets/d/14Bd19lYaqBhU8_DElYkX7l4wRkHqqCUFNJY4AfY3kHU/edit?usp=sharing  #gid=0"",""фіз особи new!relations_name_uo""),7,FALSE)
,
)
))"),"ЖАЛНІН Ярослав Володимирович")</f>
        <v>ЖАЛНІН Ярослав Володимирович</v>
      </c>
      <c r="G5942" s="7" t="s">
        <v>10</v>
      </c>
      <c r="H5942" s="7">
        <v>569</v>
      </c>
      <c r="I5942" s="8" t="str">
        <f ca="1">IFERROR(__xludf.DUMMYFUNCTION("IF
(
G5943=""фізична особа""
,
VLOOKUP(H5943,IMPORTRANGE(""https://docs.google.com/spreadsheets/d/14Bd19lYaqBhU8_DElYkX7l4wRkHqqCUFNJY4AfY3kHU/edit?usp=sharing  #gid=0"",""фіз особи new!relations_name""),6,FALSE)
,
(IF
(
G5943=""юридична особа""
,
VLOOKUP"&amp;"(H5943,IMPORTRANGE(""https://docs.google.com/spreadsheets/d/14Bd19lYaqBhU8_DElYkX7l4wRkHqqCUFNJY4AfY3kHU/edit?usp=sharing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J5942" s="7" t="s">
        <v>27</v>
      </c>
    </row>
    <row r="5943" spans="1:10" ht="13.2">
      <c r="A5943" s="7">
        <v>5942</v>
      </c>
      <c r="B5943" s="7">
        <v>1</v>
      </c>
      <c r="C5943" s="7" t="s">
        <v>10</v>
      </c>
      <c r="D5943" s="7">
        <v>4920</v>
      </c>
      <c r="E5943" s="7" t="s">
        <v>13</v>
      </c>
      <c r="F5943" s="8" t="str">
        <f ca="1">IFERROR(__xludf.DUMMYFUNCTION("IF
(
C5944=""фізична особа""
,
VLOOKUP(D5944,IMPORTRANGE(""https://docs.google.com/spreadsheets/d/14Bd19lYaqBhU8_DElYkX7l4wRkHqqCUFNJY4AfY3kHU/edit?usp=sharing  #gid=0"",""фіз особи new!relations_name""),6,FALSE)
,
(IF
(
C5944=""юридична особа""
,
VLOOKUP"&amp;"(D5944,IMPORTRANGE(""https://docs.google.com/spreadsheets/d/14Bd19lYaqBhU8_DElYkX7l4wRkHqqCUFNJY4AfY3kHU/edit?usp=sharing  #gid=0"",""фіз особи new!relations_name_uo""),7,FALSE)
,
)
))"),"ЖАЛНІНА Ілона Вадимівна")</f>
        <v>ЖАЛНІНА Ілона Вадимівна</v>
      </c>
      <c r="G5943" s="7" t="s">
        <v>10</v>
      </c>
      <c r="H5943" s="7">
        <v>569</v>
      </c>
      <c r="I5943" s="8" t="str">
        <f ca="1">IFERROR(__xludf.DUMMYFUNCTION("IF
(
G5944=""фізична особа""
,
VLOOKUP(H5944,IMPORTRANGE(""https://docs.google.com/spreadsheets/d/14Bd19lYaqBhU8_DElYkX7l4wRkHqqCUFNJY4AfY3kHU/edit?usp=sharing  #gid=0"",""фіз особи new!relations_name""),6,FALSE)
,
(IF
(
G5944=""юридична особа""
,
VLOOKUP"&amp;"(H5944,IMPORTRANGE(""https://docs.google.com/spreadsheets/d/14Bd19lYaqBhU8_DElYkX7l4wRkHqqCUFNJY4AfY3kHU/edit?usp=sharing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J5943" s="7" t="s">
        <v>21</v>
      </c>
    </row>
    <row r="5944" spans="1:10" ht="13.2">
      <c r="A5944" s="7">
        <v>5943</v>
      </c>
      <c r="B5944" s="7">
        <v>1</v>
      </c>
      <c r="C5944" s="7" t="s">
        <v>10</v>
      </c>
      <c r="D5944" s="7">
        <v>4921</v>
      </c>
      <c r="E5944" s="7" t="s">
        <v>17</v>
      </c>
      <c r="F5944" s="8" t="str">
        <f ca="1">IFERROR(__xludf.DUMMYFUNCTION("IF
(
C5945=""фізична особа""
,
VLOOKUP(D5945,IMPORTRANGE(""https://docs.google.com/spreadsheets/d/14Bd19lYaqBhU8_DElYkX7l4wRkHqqCUFNJY4AfY3kHU/edit?usp=sharing  #gid=0"",""фіз особи new!relations_name""),6,FALSE)
,
(IF
(
C5945=""юридична особа""
,
VLOOKUP"&amp;"(D5945,IMPORTRANGE(""https://docs.google.com/spreadsheets/d/14Bd19lYaqBhU8_DElYkX7l4wRkHqqCUFNJY4AfY3kHU/edit?usp=sharing  #gid=0"",""фіз особи new!relations_name_uo""),7,FALSE)
,
)
))"),"КАЗАКОВ Михайло")</f>
        <v>КАЗАКОВ Михайло</v>
      </c>
      <c r="G5944" s="7" t="s">
        <v>10</v>
      </c>
      <c r="H5944" s="7">
        <v>569</v>
      </c>
      <c r="I5944" s="8" t="str">
        <f ca="1">IFERROR(__xludf.DUMMYFUNCTION("IF
(
G5945=""фізична особа""
,
VLOOKUP(H5945,IMPORTRANGE(""https://docs.google.com/spreadsheets/d/14Bd19lYaqBhU8_DElYkX7l4wRkHqqCUFNJY4AfY3kHU/edit?usp=sharing  #gid=0"",""фіз особи new!relations_name""),6,FALSE)
,
(IF
(
G5945=""юридична особа""
,
VLOOKUP"&amp;"(H5945,IMPORTRANGE(""https://docs.google.com/spreadsheets/d/14Bd19lYaqBhU8_DElYkX7l4wRkHqqCUFNJY4AfY3kHU/edit?usp=sharing  #gid=0"",""фіз особи new!relations_name_uo""),7,FALSE)
,
)
))"),"КАЗАКОВА Ольга Михайлівна")</f>
        <v>КАЗАКОВА Ольга Михайлівна</v>
      </c>
      <c r="J5944" s="7" t="s">
        <v>21</v>
      </c>
    </row>
    <row r="5945" spans="1:10" ht="13.2">
      <c r="A5945" s="7">
        <v>5944</v>
      </c>
      <c r="B5945" s="7">
        <v>1</v>
      </c>
      <c r="C5945" s="7" t="s">
        <v>10</v>
      </c>
      <c r="D5945" s="7">
        <v>4922</v>
      </c>
      <c r="E5945" s="7" t="s">
        <v>13</v>
      </c>
      <c r="F5945" s="8" t="str">
        <f ca="1">IFERROR(__xludf.DUMMYFUNCTION("IF
(
C5946=""фізична особа""
,
VLOOKUP(D5946,IMPORTRANGE(""https://docs.google.com/spreadsheets/d/14Bd19lYaqBhU8_DElYkX7l4wRkHqqCUFNJY4AfY3kHU/edit?usp=sharing  #gid=0"",""фіз особи new!relations_name""),6,FALSE)
,
(IF
(
C5946=""юридична особа""
,
VLOOKUP"&amp;"(D5946,IMPORTRANGE(""https://docs.google.com/spreadsheets/d/14Bd19lYaqBhU8_DElYkX7l4wRkHqqCUFNJY4AfY3kHU/edit?usp=sharing  #gid=0"",""фіз особи new!relations_name_uo""),7,FALSE)
,
)
))"),"МАКАРОВА / ЛИБАНЬОВА Марина В'ячеславівна")</f>
        <v>МАКАРОВА / ЛИБАНЬОВА Марина В'ячеславівна</v>
      </c>
      <c r="G5945" s="7" t="s">
        <v>10</v>
      </c>
      <c r="H5945" s="7">
        <v>895</v>
      </c>
      <c r="I5945" s="8" t="str">
        <f ca="1">IFERROR(__xludf.DUMMYFUNCTION("IF
(
G5946=""фізична особа""
,
VLOOKUP(H5946,IMPORTRANGE(""https://docs.google.com/spreadsheets/d/14Bd19lYaqBhU8_DElYkX7l4wRkHqqCUFNJY4AfY3kHU/edit?usp=sharing  #gid=0"",""фіз особи new!relations_name""),6,FALSE)
,
(IF
(
G5946=""юридична особа""
,
VLOOKUP"&amp;"(H5946,IMPORTRANGE(""https://docs.google.com/spreadsheets/d/14Bd19lYaqBhU8_DElYkX7l4wRkHqqCUFNJY4AfY3kHU/edit?usp=sharing  #gid=0"",""фіз особи new!relations_name_uo""),7,FALSE)
,
)
))"),"МАКАРОВ В'ячеслав Серафимович")</f>
        <v>МАКАРОВ В'ячеслав Серафимович</v>
      </c>
      <c r="J5945" s="7" t="s">
        <v>12</v>
      </c>
    </row>
    <row r="5946" spans="1:10" ht="13.2">
      <c r="A5946" s="7">
        <v>5945</v>
      </c>
      <c r="B5946" s="7">
        <v>1</v>
      </c>
      <c r="C5946" s="7" t="s">
        <v>10</v>
      </c>
      <c r="D5946" s="7">
        <v>4922</v>
      </c>
      <c r="E5946" s="7" t="s">
        <v>31</v>
      </c>
      <c r="F5946" s="8" t="str">
        <f ca="1">IFERROR(__xludf.DUMMYFUNCTION("IF
(
C5947=""фізична особа""
,
VLOOKUP(D5947,IMPORTRANGE(""https://docs.google.com/spreadsheets/d/14Bd19lYaqBhU8_DElYkX7l4wRkHqqCUFNJY4AfY3kHU/edit?usp=sharing  #gid=0"",""фіз особи new!relations_name""),6,FALSE)
,
(IF
(
C5947=""юридична особа""
,
VLOOKUP"&amp;"(D5947,IMPORTRANGE(""https://docs.google.com/spreadsheets/d/14Bd19lYaqBhU8_DElYkX7l4wRkHqqCUFNJY4AfY3kHU/edit?usp=sharing  #gid=0"",""фіз особи new!relations_name_uo""),7,FALSE)
,
)
))"),"МАКАРОВА / ЛИБАНЬОВА Марина В'ячеславівна")</f>
        <v>МАКАРОВА / ЛИБАНЬОВА Марина В'ячеславівна</v>
      </c>
      <c r="G5946" s="7" t="s">
        <v>10</v>
      </c>
      <c r="H5946" s="7">
        <v>4923</v>
      </c>
      <c r="I5946" s="8" t="str">
        <f ca="1">IFERROR(__xludf.DUMMYFUNCTION("IF
(
G5947=""фізична особа""
,
VLOOKUP(H5947,IMPORTRANGE(""https://docs.google.com/spreadsheets/d/14Bd19lYaqBhU8_DElYkX7l4wRkHqqCUFNJY4AfY3kHU/edit?usp=sharing  #gid=0"",""фіз особи new!relations_name""),6,FALSE)
,
(IF
(
G5947=""юридична особа""
,
VLOOKUP"&amp;"(H5947,IMPORTRANGE(""https://docs.google.com/spreadsheets/d/14Bd19lYaqBhU8_DElYkX7l4wRkHqqCUFNJY4AfY3kHU/edit?usp=sharing  #gid=0"",""фіз особи new!relations_name_uo""),7,FALSE)
,
)
))"),"СЕЛЕГЕНЬ / МАКАРОВА Ганна В'ячеславівна")</f>
        <v>СЕЛЕГЕНЬ / МАКАРОВА Ганна В'ячеславівна</v>
      </c>
      <c r="J5946" s="7" t="s">
        <v>31</v>
      </c>
    </row>
    <row r="5947" spans="1:10" ht="13.2">
      <c r="A5947" s="7">
        <v>5946</v>
      </c>
      <c r="B5947" s="7">
        <v>1</v>
      </c>
      <c r="C5947" s="7" t="s">
        <v>10</v>
      </c>
      <c r="D5947" s="7">
        <v>4923</v>
      </c>
      <c r="E5947" s="7" t="s">
        <v>13</v>
      </c>
      <c r="F5947" s="8" t="str">
        <f ca="1">IFERROR(__xludf.DUMMYFUNCTION("IF
(
C5948=""фізична особа""
,
VLOOKUP(D5948,IMPORTRANGE(""https://docs.google.com/spreadsheets/d/14Bd19lYaqBhU8_DElYkX7l4wRkHqqCUFNJY4AfY3kHU/edit?usp=sharing  #gid=0"",""фіз особи new!relations_name""),6,FALSE)
,
(IF
(
C5948=""юридична особа""
,
VLOOKUP"&amp;"(D5948,IMPORTRANGE(""https://docs.google.com/spreadsheets/d/14Bd19lYaqBhU8_DElYkX7l4wRkHqqCUFNJY4AfY3kHU/edit?usp=sharing  #gid=0"",""фіз особи new!relations_name_uo""),7,FALSE)
,
)
))"),"СЕЛЕГЕНЬ / МАКАРОВА Ганна В'ячеславівна")</f>
        <v>СЕЛЕГЕНЬ / МАКАРОВА Ганна В'ячеславівна</v>
      </c>
      <c r="G5947" s="7" t="s">
        <v>10</v>
      </c>
      <c r="H5947" s="7">
        <v>895</v>
      </c>
      <c r="I5947" s="8" t="str">
        <f ca="1">IFERROR(__xludf.DUMMYFUNCTION("IF
(
G5948=""фізична особа""
,
VLOOKUP(H5948,IMPORTRANGE(""https://docs.google.com/spreadsheets/d/14Bd19lYaqBhU8_DElYkX7l4wRkHqqCUFNJY4AfY3kHU/edit?usp=sharing  #gid=0"",""фіз особи new!relations_name""),6,FALSE)
,
(IF
(
G5948=""юридична особа""
,
VLOOKUP"&amp;"(H5948,IMPORTRANGE(""https://docs.google.com/spreadsheets/d/14Bd19lYaqBhU8_DElYkX7l4wRkHqqCUFNJY4AfY3kHU/edit?usp=sharing  #gid=0"",""фіз особи new!relations_name_uo""),7,FALSE)
,
)
))"),"МАКАРОВ В'ячеслав Серафимович")</f>
        <v>МАКАРОВ В'ячеслав Серафимович</v>
      </c>
      <c r="J5947" s="7" t="s">
        <v>12</v>
      </c>
    </row>
    <row r="5948" spans="1:10" ht="13.2">
      <c r="A5948" s="7">
        <v>5947</v>
      </c>
      <c r="B5948" s="7">
        <v>1</v>
      </c>
      <c r="C5948" s="7" t="s">
        <v>10</v>
      </c>
      <c r="D5948" s="7">
        <v>4923</v>
      </c>
      <c r="E5948" s="7" t="s">
        <v>31</v>
      </c>
      <c r="F5948" s="8" t="str">
        <f ca="1">IFERROR(__xludf.DUMMYFUNCTION("IF
(
C5949=""фізична особа""
,
VLOOKUP(D5949,IMPORTRANGE(""https://docs.google.com/spreadsheets/d/14Bd19lYaqBhU8_DElYkX7l4wRkHqqCUFNJY4AfY3kHU/edit?usp=sharing  #gid=0"",""фіз особи new!relations_name""),6,FALSE)
,
(IF
(
C5949=""юридична особа""
,
VLOOKUP"&amp;"(D5949,IMPORTRANGE(""https://docs.google.com/spreadsheets/d/14Bd19lYaqBhU8_DElYkX7l4wRkHqqCUFNJY4AfY3kHU/edit?usp=sharing  #gid=0"",""фіз особи new!relations_name_uo""),7,FALSE)
,
)
))"),"СЕЛЕГЕНЬ / МАКАРОВА Ганна В'ячеславівна")</f>
        <v>СЕЛЕГЕНЬ / МАКАРОВА Ганна В'ячеславівна</v>
      </c>
      <c r="G5948" s="7" t="s">
        <v>10</v>
      </c>
      <c r="H5948" s="7">
        <v>4922</v>
      </c>
      <c r="I5948" s="8" t="str">
        <f ca="1">IFERROR(__xludf.DUMMYFUNCTION("IF
(
G5949=""фізична особа""
,
VLOOKUP(H5949,IMPORTRANGE(""https://docs.google.com/spreadsheets/d/14Bd19lYaqBhU8_DElYkX7l4wRkHqqCUFNJY4AfY3kHU/edit?usp=sharing  #gid=0"",""фіз особи new!relations_name""),6,FALSE)
,
(IF
(
G5949=""юридична особа""
,
VLOOKUP"&amp;"(H5949,IMPORTRANGE(""https://docs.google.com/spreadsheets/d/14Bd19lYaqBhU8_DElYkX7l4wRkHqqCUFNJY4AfY3kHU/edit?usp=sharing  #gid=0"",""фіз особи new!relations_name_uo""),7,FALSE)
,
)
))"),"МАКАРОВА / ЛИБАНЬОВА Марина В'ячеславівна")</f>
        <v>МАКАРОВА / ЛИБАНЬОВА Марина В'ячеславівна</v>
      </c>
      <c r="J5948" s="7" t="s">
        <v>31</v>
      </c>
    </row>
    <row r="5949" spans="1:10" ht="13.2">
      <c r="A5949" s="7">
        <v>5948</v>
      </c>
      <c r="B5949" s="7">
        <v>1</v>
      </c>
      <c r="C5949" s="7" t="s">
        <v>10</v>
      </c>
      <c r="D5949" s="7">
        <v>4926</v>
      </c>
      <c r="E5949" s="7" t="s">
        <v>14</v>
      </c>
      <c r="F5949" s="8" t="str">
        <f ca="1">IFERROR(__xludf.DUMMYFUNCTION("IF
(
C5950=""фізична особа""
,
VLOOKUP(D5950,IMPORTRANGE(""https://docs.google.com/spreadsheets/d/14Bd19lYaqBhU8_DElYkX7l4wRkHqqCUFNJY4AfY3kHU/edit?usp=sharing  #gid=0"",""фіз особи new!relations_name""),6,FALSE)
,
(IF
(
C5950=""юридична особа""
,
VLOOKUP"&amp;"(D5950,IMPORTRANGE(""https://docs.google.com/spreadsheets/d/14Bd19lYaqBhU8_DElYkX7l4wRkHqqCUFNJY4AfY3kHU/edit?usp=sharing  #gid=0"",""фіз особи new!relations_name_uo""),7,FALSE)
,
)
))"),"МУЗАЛЄВСЬКИЙ Леонід Семенович")</f>
        <v>МУЗАЛЄВСЬКИЙ Леонід Семенович</v>
      </c>
      <c r="G5949" s="7" t="s">
        <v>10</v>
      </c>
      <c r="H5949" s="7">
        <v>0</v>
      </c>
      <c r="I5949" s="8" t="str">
        <f ca="1">IFERROR(__xludf.DUMMYFUNCTION("IF
(
G5950=""фізична особа""
,
VLOOKUP(H5950,IMPORTRANGE(""https://docs.google.com/spreadsheets/d/14Bd19lYaqBhU8_DElYkX7l4wRkHqqCUFNJY4AfY3kHU/edit?usp=sharing  #gid=0"",""фіз особи new!relations_name""),6,FALSE)
,
(IF
(
G5950=""юридична особа""
,
VLOOKUP"&amp;"(H5950,IMPORTRANGE(""https://docs.google.com/spreadsheets/d/14Bd19lYaqBhU8_DElYkX7l4wRkHqqCUFNJY4AfY3kHU/edit?usp=sharing  #gid=0"",""фіз особи new!relations_name_uo""),7,FALSE)
,
)
))"),"#N/A")</f>
        <v>#N/A</v>
      </c>
      <c r="J5949" s="7" t="s">
        <v>15</v>
      </c>
    </row>
    <row r="5950" spans="1:10" ht="13.2">
      <c r="A5950" s="7">
        <v>5949</v>
      </c>
      <c r="B5950" s="7">
        <v>1</v>
      </c>
      <c r="C5950" s="7" t="s">
        <v>10</v>
      </c>
      <c r="D5950" s="7">
        <v>4926</v>
      </c>
      <c r="E5950" s="7" t="s">
        <v>12</v>
      </c>
      <c r="F5950" s="8" t="str">
        <f ca="1">IFERROR(__xludf.DUMMYFUNCTION("IF
(
C5951=""фізична особа""
,
VLOOKUP(D5951,IMPORTRANGE(""https://docs.google.com/spreadsheets/d/14Bd19lYaqBhU8_DElYkX7l4wRkHqqCUFNJY4AfY3kHU/edit?usp=sharing  #gid=0"",""фіз особи new!relations_name""),6,FALSE)
,
(IF
(
C5951=""юридична особа""
,
VLOOKUP"&amp;"(D5951,IMPORTRANGE(""https://docs.google.com/spreadsheets/d/14Bd19lYaqBhU8_DElYkX7l4wRkHqqCUFNJY4AfY3kHU/edit?usp=sharing  #gid=0"",""фіз особи new!relations_name_uo""),7,FALSE)
,
)
))"),"МУЗАЛЄВСЬКИЙ Леонід Семенович")</f>
        <v>МУЗАЛЄВСЬКИЙ Леонід Семенович</v>
      </c>
      <c r="G5950" s="7" t="s">
        <v>10</v>
      </c>
      <c r="H5950" s="7">
        <v>0</v>
      </c>
      <c r="I5950" s="8" t="str">
        <f ca="1">IFERROR(__xludf.DUMMYFUNCTION("IF
(
G5951=""фізична особа""
,
VLOOKUP(H5951,IMPORTRANGE(""https://docs.google.com/spreadsheets/d/14Bd19lYaqBhU8_DElYkX7l4wRkHqqCUFNJY4AfY3kHU/edit?usp=sharing  #gid=0"",""фіз особи new!relations_name""),6,FALSE)
,
(IF
(
G5951=""юридична особа""
,
VLOOKUP"&amp;"(H5951,IMPORTRANGE(""https://docs.google.com/spreadsheets/d/14Bd19lYaqBhU8_DElYkX7l4wRkHqqCUFNJY4AfY3kHU/edit?usp=sharing  #gid=0"",""фіз особи new!relations_name_uo""),7,FALSE)
,
)
))"),"#N/A")</f>
        <v>#N/A</v>
      </c>
      <c r="J5950" s="7" t="s">
        <v>17</v>
      </c>
    </row>
    <row r="5951" spans="1:10" ht="13.2">
      <c r="A5951" s="7">
        <v>5950</v>
      </c>
      <c r="B5951" s="7">
        <v>1</v>
      </c>
      <c r="C5951" s="7" t="s">
        <v>10</v>
      </c>
      <c r="D5951" s="7">
        <v>4926</v>
      </c>
      <c r="E5951" s="7" t="s">
        <v>12</v>
      </c>
      <c r="F5951" s="8" t="str">
        <f ca="1">IFERROR(__xludf.DUMMYFUNCTION("IF
(
C5952=""фізична особа""
,
VLOOKUP(D5952,IMPORTRANGE(""https://docs.google.com/spreadsheets/d/14Bd19lYaqBhU8_DElYkX7l4wRkHqqCUFNJY4AfY3kHU/edit?usp=sharing  #gid=0"",""фіз особи new!relations_name""),6,FALSE)
,
(IF
(
C5952=""юридична особа""
,
VLOOKUP"&amp;"(D5952,IMPORTRANGE(""https://docs.google.com/spreadsheets/d/14Bd19lYaqBhU8_DElYkX7l4wRkHqqCUFNJY4AfY3kHU/edit?usp=sharing  #gid=0"",""фіз особи new!relations_name_uo""),7,FALSE)
,
)
))"),"МУЗАЛЄВСЬКИЙ Леонід Семенович")</f>
        <v>МУЗАЛЄВСЬКИЙ Леонід Семенович</v>
      </c>
      <c r="G5951" s="7" t="s">
        <v>10</v>
      </c>
      <c r="H5951" s="7">
        <v>0</v>
      </c>
      <c r="I5951" s="8" t="str">
        <f ca="1">IFERROR(__xludf.DUMMYFUNCTION("IF
(
G5952=""фізична особа""
,
VLOOKUP(H5952,IMPORTRANGE(""https://docs.google.com/spreadsheets/d/14Bd19lYaqBhU8_DElYkX7l4wRkHqqCUFNJY4AfY3kHU/edit?usp=sharing  #gid=0"",""фіз особи new!relations_name""),6,FALSE)
,
(IF
(
G5952=""юридична особа""
,
VLOOKUP"&amp;"(H5952,IMPORTRANGE(""https://docs.google.com/spreadsheets/d/14Bd19lYaqBhU8_DElYkX7l4wRkHqqCUFNJY4AfY3kHU/edit?usp=sharing  #gid=0"",""фіз особи new!relations_name_uo""),7,FALSE)
,
)
))"),"#N/A")</f>
        <v>#N/A</v>
      </c>
      <c r="J5951" s="7" t="s">
        <v>17</v>
      </c>
    </row>
    <row r="5952" spans="1:10" ht="13.2">
      <c r="A5952" s="7">
        <v>5951</v>
      </c>
      <c r="B5952" s="7">
        <v>1</v>
      </c>
      <c r="C5952" s="7" t="s">
        <v>10</v>
      </c>
      <c r="D5952" s="7">
        <v>4926</v>
      </c>
      <c r="E5952" s="7" t="s">
        <v>30</v>
      </c>
      <c r="F5952" s="8" t="str">
        <f ca="1">IFERROR(__xludf.DUMMYFUNCTION("IF
(
C5953=""фізична особа""
,
VLOOKUP(D5953,IMPORTRANGE(""https://docs.google.com/spreadsheets/d/14Bd19lYaqBhU8_DElYkX7l4wRkHqqCUFNJY4AfY3kHU/edit?usp=sharing  #gid=0"",""фіз особи new!relations_name""),6,FALSE)
,
(IF
(
C5953=""юридична особа""
,
VLOOKUP"&amp;"(D5953,IMPORTRANGE(""https://docs.google.com/spreadsheets/d/14Bd19lYaqBhU8_DElYkX7l4wRkHqqCUFNJY4AfY3kHU/edit?usp=sharing  #gid=0"",""фіз особи new!relations_name_uo""),7,FALSE)
,
)
))"),"МУЗАЛЄВСЬКИЙ Леонід Семенович")</f>
        <v>МУЗАЛЄВСЬКИЙ Леонід Семенович</v>
      </c>
      <c r="G5952" s="7" t="s">
        <v>10</v>
      </c>
      <c r="H5952" s="7">
        <v>0</v>
      </c>
      <c r="I5952" s="8" t="str">
        <f ca="1">IFERROR(__xludf.DUMMYFUNCTION("IF
(
G5953=""фізична особа""
,
VLOOKUP(H5953,IMPORTRANGE(""https://docs.google.com/spreadsheets/d/14Bd19lYaqBhU8_DElYkX7l4wRkHqqCUFNJY4AfY3kHU/edit?usp=sharing  #gid=0"",""фіз особи new!relations_name""),6,FALSE)
,
(IF
(
G5953=""юридична особа""
,
VLOOKUP"&amp;"(H5953,IMPORTRANGE(""https://docs.google.com/spreadsheets/d/14Bd19lYaqBhU8_DElYkX7l4wRkHqqCUFNJY4AfY3kHU/edit?usp=sharing  #gid=0"",""фіз особи new!relations_name_uo""),7,FALSE)
,
)
))"),"#N/A")</f>
        <v>#N/A</v>
      </c>
      <c r="J5952" s="7" t="s">
        <v>30</v>
      </c>
    </row>
    <row r="5953" spans="1:10" ht="13.2">
      <c r="A5953" s="7">
        <v>5952</v>
      </c>
      <c r="B5953" s="7">
        <v>1</v>
      </c>
      <c r="C5953" s="7" t="s">
        <v>10</v>
      </c>
      <c r="D5953" s="7">
        <v>4926</v>
      </c>
      <c r="E5953" s="7" t="s">
        <v>30</v>
      </c>
      <c r="F5953" s="8" t="str">
        <f ca="1">IFERROR(__xludf.DUMMYFUNCTION("IF
(
C5954=""фізична особа""
,
VLOOKUP(D5954,IMPORTRANGE(""https://docs.google.com/spreadsheets/d/14Bd19lYaqBhU8_DElYkX7l4wRkHqqCUFNJY4AfY3kHU/edit?usp=sharing  #gid=0"",""фіз особи new!relations_name""),6,FALSE)
,
(IF
(
C5954=""юридична особа""
,
VLOOKUP"&amp;"(D5954,IMPORTRANGE(""https://docs.google.com/spreadsheets/d/14Bd19lYaqBhU8_DElYkX7l4wRkHqqCUFNJY4AfY3kHU/edit?usp=sharing  #gid=0"",""фіз особи new!relations_name_uo""),7,FALSE)
,
)
))"),"МУЗАЛЄВСЬКИЙ Леонід Семенович")</f>
        <v>МУЗАЛЄВСЬКИЙ Леонід Семенович</v>
      </c>
      <c r="G5953" s="7" t="s">
        <v>10</v>
      </c>
      <c r="H5953" s="7">
        <v>0</v>
      </c>
      <c r="I5953" s="8" t="str">
        <f ca="1">IFERROR(__xludf.DUMMYFUNCTION("IF
(
G5954=""фізична особа""
,
VLOOKUP(H5954,IMPORTRANGE(""https://docs.google.com/spreadsheets/d/14Bd19lYaqBhU8_DElYkX7l4wRkHqqCUFNJY4AfY3kHU/edit?usp=sharing  #gid=0"",""фіз особи new!relations_name""),6,FALSE)
,
(IF
(
G5954=""юридична особа""
,
VLOOKUP"&amp;"(H5954,IMPORTRANGE(""https://docs.google.com/spreadsheets/d/14Bd19lYaqBhU8_DElYkX7l4wRkHqqCUFNJY4AfY3kHU/edit?usp=sharing  #gid=0"",""фіз особи new!relations_name_uo""),7,FALSE)
,
)
))"),"#N/A")</f>
        <v>#N/A</v>
      </c>
      <c r="J5953" s="7" t="s">
        <v>30</v>
      </c>
    </row>
    <row r="5954" spans="1:10" ht="13.2">
      <c r="A5954" s="7">
        <v>5953</v>
      </c>
      <c r="B5954" s="7">
        <v>1</v>
      </c>
      <c r="C5954" s="7" t="s">
        <v>10</v>
      </c>
      <c r="D5954" s="7">
        <v>4927</v>
      </c>
      <c r="E5954" s="7" t="s">
        <v>14</v>
      </c>
      <c r="F5954" s="8" t="str">
        <f ca="1">IFERROR(__xludf.DUMMYFUNCTION("IF
(
C5955=""фізична особа""
,
VLOOKUP(D5955,IMPORTRANGE(""https://docs.google.com/spreadsheets/d/14Bd19lYaqBhU8_DElYkX7l4wRkHqqCUFNJY4AfY3kHU/edit?usp=sharing  #gid=0"",""фіз особи new!relations_name""),6,FALSE)
,
(IF
(
C5955=""юридична особа""
,
VLOOKUP"&amp;"(D5955,IMPORTRANGE(""https://docs.google.com/spreadsheets/d/14Bd19lYaqBhU8_DElYkX7l4wRkHqqCUFNJY4AfY3kHU/edit?usp=sharing  #gid=0"",""фіз особи new!relations_name_uo""),7,FALSE)
,
)
))"),"МУШАЄВ Савр Григорович")</f>
        <v>МУШАЄВ Савр Григорович</v>
      </c>
      <c r="G5954" s="7" t="s">
        <v>10</v>
      </c>
      <c r="H5954" s="7">
        <v>0</v>
      </c>
      <c r="I5954" s="8" t="str">
        <f ca="1">IFERROR(__xludf.DUMMYFUNCTION("IF
(
G5955=""фізична особа""
,
VLOOKUP(H5955,IMPORTRANGE(""https://docs.google.com/spreadsheets/d/14Bd19lYaqBhU8_DElYkX7l4wRkHqqCUFNJY4AfY3kHU/edit?usp=sharing  #gid=0"",""фіз особи new!relations_name""),6,FALSE)
,
(IF
(
G5955=""юридична особа""
,
VLOOKUP"&amp;"(H5955,IMPORTRANGE(""https://docs.google.com/spreadsheets/d/14Bd19lYaqBhU8_DElYkX7l4wRkHqqCUFNJY4AfY3kHU/edit?usp=sharing  #gid=0"",""фіз особи new!relations_name_uo""),7,FALSE)
,
)
))"),"#N/A")</f>
        <v>#N/A</v>
      </c>
      <c r="J5954" s="7" t="s">
        <v>15</v>
      </c>
    </row>
    <row r="5955" spans="1:10" ht="13.2">
      <c r="A5955" s="7">
        <v>5954</v>
      </c>
      <c r="B5955" s="7">
        <v>1</v>
      </c>
      <c r="C5955" s="7" t="s">
        <v>10</v>
      </c>
      <c r="D5955" s="7">
        <v>4927</v>
      </c>
      <c r="E5955" s="7" t="s">
        <v>12</v>
      </c>
      <c r="F5955" s="8" t="str">
        <f ca="1">IFERROR(__xludf.DUMMYFUNCTION("IF
(
C5956=""фізична особа""
,
VLOOKUP(D5956,IMPORTRANGE(""https://docs.google.com/spreadsheets/d/14Bd19lYaqBhU8_DElYkX7l4wRkHqqCUFNJY4AfY3kHU/edit?usp=sharing  #gid=0"",""фіз особи new!relations_name""),6,FALSE)
,
(IF
(
C5956=""юридична особа""
,
VLOOKUP"&amp;"(D5956,IMPORTRANGE(""https://docs.google.com/spreadsheets/d/14Bd19lYaqBhU8_DElYkX7l4wRkHqqCUFNJY4AfY3kHU/edit?usp=sharing  #gid=0"",""фіз особи new!relations_name_uo""),7,FALSE)
,
)
))"),"МУШАЄВ Савр Григорович")</f>
        <v>МУШАЄВ Савр Григорович</v>
      </c>
      <c r="G5955" s="7" t="s">
        <v>10</v>
      </c>
      <c r="H5955" s="7">
        <v>0</v>
      </c>
      <c r="I5955" s="8" t="str">
        <f ca="1">IFERROR(__xludf.DUMMYFUNCTION("IF
(
G5956=""фізична особа""
,
VLOOKUP(H5956,IMPORTRANGE(""https://docs.google.com/spreadsheets/d/14Bd19lYaqBhU8_DElYkX7l4wRkHqqCUFNJY4AfY3kHU/edit?usp=sharing  #gid=0"",""фіз особи new!relations_name""),6,FALSE)
,
(IF
(
G5956=""юридична особа""
,
VLOOKUP"&amp;"(H5956,IMPORTRANGE(""https://docs.google.com/spreadsheets/d/14Bd19lYaqBhU8_DElYkX7l4wRkHqqCUFNJY4AfY3kHU/edit?usp=sharing  #gid=0"",""фіз особи new!relations_name_uo""),7,FALSE)
,
)
))"),"#N/A")</f>
        <v>#N/A</v>
      </c>
      <c r="J5955" s="7" t="s">
        <v>17</v>
      </c>
    </row>
    <row r="5956" spans="1:10" ht="13.2">
      <c r="A5956" s="7">
        <v>5955</v>
      </c>
      <c r="B5956" s="7">
        <v>1</v>
      </c>
      <c r="C5956" s="7" t="s">
        <v>10</v>
      </c>
      <c r="D5956" s="7">
        <v>4927</v>
      </c>
      <c r="E5956" s="7" t="s">
        <v>12</v>
      </c>
      <c r="F5956" s="8" t="str">
        <f ca="1">IFERROR(__xludf.DUMMYFUNCTION("IF
(
C5957=""фізична особа""
,
VLOOKUP(D5957,IMPORTRANGE(""https://docs.google.com/spreadsheets/d/14Bd19lYaqBhU8_DElYkX7l4wRkHqqCUFNJY4AfY3kHU/edit?usp=sharing  #gid=0"",""фіз особи new!relations_name""),6,FALSE)
,
(IF
(
C5957=""юридична особа""
,
VLOOKUP"&amp;"(D5957,IMPORTRANGE(""https://docs.google.com/spreadsheets/d/14Bd19lYaqBhU8_DElYkX7l4wRkHqqCUFNJY4AfY3kHU/edit?usp=sharing  #gid=0"",""фіз особи new!relations_name_uo""),7,FALSE)
,
)
))"),"МУШАЄВ Савр Григорович")</f>
        <v>МУШАЄВ Савр Григорович</v>
      </c>
      <c r="G5956" s="7" t="s">
        <v>10</v>
      </c>
      <c r="H5956" s="7">
        <v>0</v>
      </c>
      <c r="I5956" s="8" t="str">
        <f ca="1">IFERROR(__xludf.DUMMYFUNCTION("IF
(
G5957=""фізична особа""
,
VLOOKUP(H5957,IMPORTRANGE(""https://docs.google.com/spreadsheets/d/14Bd19lYaqBhU8_DElYkX7l4wRkHqqCUFNJY4AfY3kHU/edit?usp=sharing  #gid=0"",""фіз особи new!relations_name""),6,FALSE)
,
(IF
(
G5957=""юридична особа""
,
VLOOKUP"&amp;"(H5957,IMPORTRANGE(""https://docs.google.com/spreadsheets/d/14Bd19lYaqBhU8_DElYkX7l4wRkHqqCUFNJY4AfY3kHU/edit?usp=sharing  #gid=0"",""фіз особи new!relations_name_uo""),7,FALSE)
,
)
))"),"#N/A")</f>
        <v>#N/A</v>
      </c>
      <c r="J5956" s="7" t="s">
        <v>13</v>
      </c>
    </row>
    <row r="5957" spans="1:10" ht="13.2">
      <c r="A5957" s="7">
        <v>5956</v>
      </c>
      <c r="B5957" s="7">
        <v>1</v>
      </c>
      <c r="C5957" s="7" t="s">
        <v>10</v>
      </c>
      <c r="D5957" s="7">
        <v>4927</v>
      </c>
      <c r="E5957" s="7" t="s">
        <v>12</v>
      </c>
      <c r="F5957" s="8" t="str">
        <f ca="1">IFERROR(__xludf.DUMMYFUNCTION("IF
(
C5958=""фізична особа""
,
VLOOKUP(D5958,IMPORTRANGE(""https://docs.google.com/spreadsheets/d/14Bd19lYaqBhU8_DElYkX7l4wRkHqqCUFNJY4AfY3kHU/edit?usp=sharing  #gid=0"",""фіз особи new!relations_name""),6,FALSE)
,
(IF
(
C5958=""юридична особа""
,
VLOOKUP"&amp;"(D5958,IMPORTRANGE(""https://docs.google.com/spreadsheets/d/14Bd19lYaqBhU8_DElYkX7l4wRkHqqCUFNJY4AfY3kHU/edit?usp=sharing  #gid=0"",""фіз особи new!relations_name_uo""),7,FALSE)
,
)
))"),"МУШАЄВ Савр Григорович")</f>
        <v>МУШАЄВ Савр Григорович</v>
      </c>
      <c r="G5957" s="7" t="s">
        <v>10</v>
      </c>
      <c r="H5957" s="7">
        <v>0</v>
      </c>
      <c r="I5957" s="8" t="str">
        <f ca="1">IFERROR(__xludf.DUMMYFUNCTION("IF
(
G5958=""фізична особа""
,
VLOOKUP(H5958,IMPORTRANGE(""https://docs.google.com/spreadsheets/d/14Bd19lYaqBhU8_DElYkX7l4wRkHqqCUFNJY4AfY3kHU/edit?usp=sharing  #gid=0"",""фіз особи new!relations_name""),6,FALSE)
,
(IF
(
G5958=""юридична особа""
,
VLOOKUP"&amp;"(H5958,IMPORTRANGE(""https://docs.google.com/spreadsheets/d/14Bd19lYaqBhU8_DElYkX7l4wRkHqqCUFNJY4AfY3kHU/edit?usp=sharing  #gid=0"",""фіз особи new!relations_name_uo""),7,FALSE)
,
)
))"),"#N/A")</f>
        <v>#N/A</v>
      </c>
      <c r="J5957" s="7" t="s">
        <v>13</v>
      </c>
    </row>
    <row r="5958" spans="1:10" ht="13.2">
      <c r="A5958" s="7">
        <v>5957</v>
      </c>
      <c r="B5958" s="7">
        <v>1</v>
      </c>
      <c r="C5958" s="7" t="s">
        <v>10</v>
      </c>
      <c r="D5958" s="7">
        <v>4929</v>
      </c>
      <c r="E5958" s="7" t="s">
        <v>15</v>
      </c>
      <c r="F5958" s="8" t="str">
        <f ca="1">IFERROR(__xludf.DUMMYFUNCTION("IF
(
C5959=""фізична особа""
,
VLOOKUP(D5959,IMPORTRANGE(""https://docs.google.com/spreadsheets/d/14Bd19lYaqBhU8_DElYkX7l4wRkHqqCUFNJY4AfY3kHU/edit?usp=sharing  #gid=0"",""фіз особи new!relations_name""),6,FALSE)
,
(IF
(
C5959=""юридична особа""
,
VLOOKUP"&amp;"(D5959,IMPORTRANGE(""https://docs.google.com/spreadsheets/d/14Bd19lYaqBhU8_DElYkX7l4wRkHqqCUFNJY4AfY3kHU/edit?usp=sharing  #gid=0"",""фіз особи new!relations_name_uo""),7,FALSE)
,
)
))"),"ПАНКОВА Ірина Володимирівна")</f>
        <v>ПАНКОВА Ірина Володимирівна</v>
      </c>
      <c r="G5958" s="7" t="s">
        <v>10</v>
      </c>
      <c r="H5958" s="7">
        <v>524</v>
      </c>
      <c r="I5958" s="8" t="str">
        <f ca="1">IFERROR(__xludf.DUMMYFUNCTION("IF
(
G5959=""фізична особа""
,
VLOOKUP(H5959,IMPORTRANGE(""https://docs.google.com/spreadsheets/d/14Bd19lYaqBhU8_DElYkX7l4wRkHqqCUFNJY4AfY3kHU/edit?usp=sharing  #gid=0"",""фіз особи new!relations_name""),6,FALSE)
,
(IF
(
G5959=""юридична особа""
,
VLOOKUP"&amp;"(H5959,IMPORTRANGE(""https://docs.google.com/spreadsheets/d/14Bd19lYaqBhU8_DElYkX7l4wRkHqqCUFNJY4AfY3kHU/edit?usp=sharing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J5958" s="7" t="s">
        <v>14</v>
      </c>
    </row>
    <row r="5959" spans="1:10" ht="13.2">
      <c r="A5959" s="7">
        <v>5958</v>
      </c>
      <c r="B5959" s="7">
        <v>1</v>
      </c>
      <c r="C5959" s="7" t="s">
        <v>10</v>
      </c>
      <c r="D5959" s="7">
        <v>4929</v>
      </c>
      <c r="E5959" s="7" t="s">
        <v>25</v>
      </c>
      <c r="F5959" s="8" t="str">
        <f ca="1">IFERROR(__xludf.DUMMYFUNCTION("IF
(
C5960=""фізична особа""
,
VLOOKUP(D5960,IMPORTRANGE(""https://docs.google.com/spreadsheets/d/14Bd19lYaqBhU8_DElYkX7l4wRkHqqCUFNJY4AfY3kHU/edit?usp=sharing  #gid=0"",""фіз особи new!relations_name""),6,FALSE)
,
(IF
(
C5960=""юридична особа""
,
VLOOKUP"&amp;"(D5960,IMPORTRANGE(""https://docs.google.com/spreadsheets/d/14Bd19lYaqBhU8_DElYkX7l4wRkHqqCUFNJY4AfY3kHU/edit?usp=sharing  #gid=0"",""фіз особи new!relations_name_uo""),7,FALSE)
,
)
))"),"ПАНКОВА Ірина Володимирівна")</f>
        <v>ПАНКОВА Ірина Володимирівна</v>
      </c>
      <c r="G5959" s="7" t="s">
        <v>10</v>
      </c>
      <c r="H5959" s="7">
        <v>5170</v>
      </c>
      <c r="I5959" s="8" t="str">
        <f ca="1">IFERROR(__xludf.DUMMYFUNCTION("IF
(
G5960=""фізична особа""
,
VLOOKUP(H5960,IMPORTRANGE(""https://docs.google.com/spreadsheets/d/14Bd19lYaqBhU8_DElYkX7l4wRkHqqCUFNJY4AfY3kHU/edit?usp=sharing  #gid=0"",""фіз особи new!relations_name""),6,FALSE)
,
(IF
(
G5960=""юридична особа""
,
VLOOKUP"&amp;"(H5960,IMPORTRANGE(""https://docs.google.com/spreadsheets/d/14Bd19lYaqBhU8_DElYkX7l4wRkHqqCUFNJY4AfY3kHU/edit?usp=sharing  #gid=0"",""фіз особи new!relations_name_uo""),7,FALSE)
,
)
))"),"ПАНКОВА Ніна Олексіївна")</f>
        <v>ПАНКОВА Ніна Олексіївна</v>
      </c>
      <c r="J5959" s="7" t="s">
        <v>58</v>
      </c>
    </row>
    <row r="5960" spans="1:10" ht="13.2">
      <c r="A5960" s="7">
        <v>5959</v>
      </c>
      <c r="B5960" s="7">
        <v>1</v>
      </c>
      <c r="C5960" s="7" t="s">
        <v>10</v>
      </c>
      <c r="D5960" s="7">
        <v>4929</v>
      </c>
      <c r="E5960" s="7" t="s">
        <v>13</v>
      </c>
      <c r="F5960" s="8" t="str">
        <f ca="1">IFERROR(__xludf.DUMMYFUNCTION("IF
(
C5961=""фізична особа""
,
VLOOKUP(D5961,IMPORTRANGE(""https://docs.google.com/spreadsheets/d/14Bd19lYaqBhU8_DElYkX7l4wRkHqqCUFNJY4AfY3kHU/edit?usp=sharing  #gid=0"",""фіз особи new!relations_name""),6,FALSE)
,
(IF
(
C5961=""юридична особа""
,
VLOOKUP"&amp;"(D5961,IMPORTRANGE(""https://docs.google.com/spreadsheets/d/14Bd19lYaqBhU8_DElYkX7l4wRkHqqCUFNJY4AfY3kHU/edit?usp=sharing  #gid=0"",""фіз особи new!relations_name_uo""),7,FALSE)
,
)
))"),"ПАНКОВА Ірина Володимирівна")</f>
        <v>ПАНКОВА Ірина Володимирівна</v>
      </c>
      <c r="G5960" s="7" t="s">
        <v>10</v>
      </c>
      <c r="H5960" s="7">
        <v>5171</v>
      </c>
      <c r="I5960" s="8" t="str">
        <f ca="1">IFERROR(__xludf.DUMMYFUNCTION("IF
(
G5961=""фізична особа""
,
VLOOKUP(H5961,IMPORTRANGE(""https://docs.google.com/spreadsheets/d/14Bd19lYaqBhU8_DElYkX7l4wRkHqqCUFNJY4AfY3kHU/edit?usp=sharing  #gid=0"",""фіз особи new!relations_name""),6,FALSE)
,
(IF
(
G5961=""юридична особа""
,
VLOOKUP"&amp;"(H5961,IMPORTRANGE(""https://docs.google.com/spreadsheets/d/14Bd19lYaqBhU8_DElYkX7l4wRkHqqCUFNJY4AfY3kHU/edit?usp=sharing  #gid=0"",""фіз особи new!relations_name_uo""),7,FALSE)
,
)
))"),"НАЙДЕНОВА Клавдія Олексіївна")</f>
        <v>НАЙДЕНОВА Клавдія Олексіївна</v>
      </c>
      <c r="J5960" s="7" t="s">
        <v>21</v>
      </c>
    </row>
    <row r="5961" spans="1:10" ht="13.2">
      <c r="A5961" s="7">
        <v>5960</v>
      </c>
      <c r="B5961" s="7">
        <v>1</v>
      </c>
      <c r="C5961" s="7" t="s">
        <v>10</v>
      </c>
      <c r="D5961" s="7">
        <v>4930</v>
      </c>
      <c r="E5961" s="7" t="s">
        <v>15</v>
      </c>
      <c r="F5961" s="8" t="str">
        <f ca="1">IFERROR(__xludf.DUMMYFUNCTION("IF
(
C5962=""фізична особа""
,
VLOOKUP(D5962,IMPORTRANGE(""https://docs.google.com/spreadsheets/d/14Bd19lYaqBhU8_DElYkX7l4wRkHqqCUFNJY4AfY3kHU/edit?usp=sharing  #gid=0"",""фіз особи new!relations_name""),6,FALSE)
,
(IF
(
C5962=""юридична особа""
,
VLOOKUP"&amp;"(D5962,IMPORTRANGE(""https://docs.google.com/spreadsheets/d/14Bd19lYaqBhU8_DElYkX7l4wRkHqqCUFNJY4AfY3kHU/edit?usp=sharing  #gid=0"",""фіз особи new!relations_name_uo""),7,FALSE)
,
)
))"),"ОСЕЇВСЬКА / ОСІПОВА Наталія Андріївна")</f>
        <v>ОСЕЇВСЬКА / ОСІПОВА Наталія Андріївна</v>
      </c>
      <c r="G5961" s="7" t="s">
        <v>10</v>
      </c>
      <c r="H5961" s="7">
        <v>443</v>
      </c>
      <c r="I5961" s="8" t="str">
        <f ca="1">IFERROR(__xludf.DUMMYFUNCTION("IF
(
G5962=""фізична особа""
,
VLOOKUP(H5962,IMPORTRANGE(""https://docs.google.com/spreadsheets/d/14Bd19lYaqBhU8_DElYkX7l4wRkHqqCUFNJY4AfY3kHU/edit?usp=sharing  #gid=0"",""фіз особи new!relations_name""),6,FALSE)
,
(IF
(
G5962=""юридична особа""
,
VLOOKUP"&amp;"(H5962,IMPORTRANGE(""https://docs.google.com/spreadsheets/d/14Bd19lYaqBhU8_DElYkX7l4wRkHqqCUFNJY4AfY3kHU/edit?usp=sharing  #gid=0"",""фіз особи new!relations_name_uo""),7,FALSE)
,
)
))"),"ОСЕЄВСЬКИЙ Михайло Едуардович")</f>
        <v>ОСЕЄВСЬКИЙ Михайло Едуардович</v>
      </c>
      <c r="J5961" s="7" t="s">
        <v>14</v>
      </c>
    </row>
    <row r="5962" spans="1:10" ht="13.2">
      <c r="A5962" s="7">
        <v>5961</v>
      </c>
      <c r="B5962" s="7">
        <v>1</v>
      </c>
      <c r="C5962" s="7" t="s">
        <v>10</v>
      </c>
      <c r="D5962" s="7">
        <v>4930</v>
      </c>
      <c r="E5962" s="7" t="s">
        <v>21</v>
      </c>
      <c r="F5962" s="8" t="str">
        <f ca="1">IFERROR(__xludf.DUMMYFUNCTION("IF
(
C5963=""фізична особа""
,
VLOOKUP(D5963,IMPORTRANGE(""https://docs.google.com/spreadsheets/d/14Bd19lYaqBhU8_DElYkX7l4wRkHqqCUFNJY4AfY3kHU/edit?usp=sharing  #gid=0"",""фіз особи new!relations_name""),6,FALSE)
,
(IF
(
C5963=""юридична особа""
,
VLOOKUP"&amp;"(D5963,IMPORTRANGE(""https://docs.google.com/spreadsheets/d/14Bd19lYaqBhU8_DElYkX7l4wRkHqqCUFNJY4AfY3kHU/edit?usp=sharing  #gid=0"",""фіз особи new!relations_name_uo""),7,FALSE)
,
)
))"),"ОСЕЇВСЬКА / ОСІПОВА Наталія Андріївна")</f>
        <v>ОСЕЇВСЬКА / ОСІПОВА Наталія Андріївна</v>
      </c>
      <c r="G5962" s="7" t="s">
        <v>10</v>
      </c>
      <c r="H5962" s="7">
        <v>23405</v>
      </c>
      <c r="I5962" s="8" t="str">
        <f ca="1">IFERROR(__xludf.DUMMYFUNCTION("IF
(
G5963=""фізична особа""
,
VLOOKUP(H5963,IMPORTRANGE(""https://docs.google.com/spreadsheets/d/14Bd19lYaqBhU8_DElYkX7l4wRkHqqCUFNJY4AfY3kHU/edit?usp=sharing  #gid=0"",""фіз особи new!relations_name""),6,FALSE)
,
(IF
(
G5963=""юридична особа""
,
VLOOKUP"&amp;"(H5963,IMPORTRANGE(""https://docs.google.com/spreadsheets/d/14Bd19lYaqBhU8_DElYkX7l4wRkHqqCUFNJY4AfY3kHU/edit?usp=sharing  #gid=0"",""фіз особи new!relations_name_uo""),7,FALSE)
,
)
))"),"ОСЄЄВСЬКИЙ Олександр Михайлович")</f>
        <v>ОСЄЄВСЬКИЙ Олександр Михайлович</v>
      </c>
      <c r="J5962" s="7" t="s">
        <v>17</v>
      </c>
    </row>
    <row r="5963" spans="1:10" ht="13.2">
      <c r="A5963" s="7">
        <v>5962</v>
      </c>
      <c r="B5963" s="7">
        <v>1</v>
      </c>
      <c r="C5963" s="7" t="s">
        <v>10</v>
      </c>
      <c r="D5963" s="7">
        <v>4930</v>
      </c>
      <c r="E5963" s="7" t="s">
        <v>21</v>
      </c>
      <c r="F5963" s="8" t="str">
        <f ca="1">IFERROR(__xludf.DUMMYFUNCTION("IF
(
C5964=""фізична особа""
,
VLOOKUP(D5964,IMPORTRANGE(""https://docs.google.com/spreadsheets/d/14Bd19lYaqBhU8_DElYkX7l4wRkHqqCUFNJY4AfY3kHU/edit?usp=sharing  #gid=0"",""фіз особи new!relations_name""),6,FALSE)
,
(IF
(
C5964=""юридична особа""
,
VLOOKUP"&amp;"(D5964,IMPORTRANGE(""https://docs.google.com/spreadsheets/d/14Bd19lYaqBhU8_DElYkX7l4wRkHqqCUFNJY4AfY3kHU/edit?usp=sharing  #gid=0"",""фіз особи new!relations_name_uo""),7,FALSE)
,
)
))"),"ОСЕЇВСЬКА / ОСІПОВА Наталія Андріївна")</f>
        <v>ОСЕЇВСЬКА / ОСІПОВА Наталія Андріївна</v>
      </c>
      <c r="G5963" s="7" t="s">
        <v>10</v>
      </c>
      <c r="H5963" s="7">
        <v>23406</v>
      </c>
      <c r="I5963" s="8" t="str">
        <f ca="1">IFERROR(__xludf.DUMMYFUNCTION("IF
(
G5964=""фізична особа""
,
VLOOKUP(H5964,IMPORTRANGE(""https://docs.google.com/spreadsheets/d/14Bd19lYaqBhU8_DElYkX7l4wRkHqqCUFNJY4AfY3kHU/edit?usp=sharing  #gid=0"",""фіз особи new!relations_name""),6,FALSE)
,
(IF
(
G5964=""юридична особа""
,
VLOOKUP"&amp;"(H5964,IMPORTRANGE(""https://docs.google.com/spreadsheets/d/14Bd19lYaqBhU8_DElYkX7l4wRkHqqCUFNJY4AfY3kHU/edit?usp=sharing  #gid=0"",""фіз особи new!relations_name_uo""),7,FALSE)
,
)
))"),"ОСЄЄВСЬКИЙ Дмитро Михайлович")</f>
        <v>ОСЄЄВСЬКИЙ Дмитро Михайлович</v>
      </c>
      <c r="J5963" s="7" t="s">
        <v>17</v>
      </c>
    </row>
    <row r="5964" spans="1:10" ht="13.2">
      <c r="A5964" s="7">
        <v>5963</v>
      </c>
      <c r="B5964" s="7">
        <v>1</v>
      </c>
      <c r="C5964" s="7" t="s">
        <v>10</v>
      </c>
      <c r="D5964" s="7">
        <v>4931</v>
      </c>
      <c r="E5964" s="7" t="s">
        <v>30</v>
      </c>
      <c r="F5964" s="8" t="str">
        <f ca="1">IFERROR(__xludf.DUMMYFUNCTION("IF
(
C5965=""фізична особа""
,
VLOOKUP(D5965,IMPORTRANGE(""https://docs.google.com/spreadsheets/d/14Bd19lYaqBhU8_DElYkX7l4wRkHqqCUFNJY4AfY3kHU/edit?usp=sharing  #gid=0"",""фіз особи new!relations_name""),6,FALSE)
,
(IF
(
C5965=""юридична особа""
,
VLOOKUP"&amp;"(D5965,IMPORTRANGE(""https://docs.google.com/spreadsheets/d/14Bd19lYaqBhU8_DElYkX7l4wRkHqqCUFNJY4AfY3kHU/edit?usp=sharing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4" s="7" t="s">
        <v>10</v>
      </c>
      <c r="H5964" s="7">
        <v>0</v>
      </c>
      <c r="I5964" s="8" t="str">
        <f ca="1">IFERROR(__xludf.DUMMYFUNCTION("IF
(
G5965=""фізична особа""
,
VLOOKUP(H5965,IMPORTRANGE(""https://docs.google.com/spreadsheets/d/14Bd19lYaqBhU8_DElYkX7l4wRkHqqCUFNJY4AfY3kHU/edit?usp=sharing  #gid=0"",""фіз особи new!relations_name""),6,FALSE)
,
(IF
(
G5965=""юридична особа""
,
VLOOKUP"&amp;"(H5965,IMPORTRANGE(""https://docs.google.com/spreadsheets/d/14Bd19lYaqBhU8_DElYkX7l4wRkHqqCUFNJY4AfY3kHU/edit?usp=sharing  #gid=0"",""фіз особи new!relations_name_uo""),7,FALSE)
,
)
))"),"#N/A")</f>
        <v>#N/A</v>
      </c>
      <c r="J5964" s="7" t="s">
        <v>30</v>
      </c>
    </row>
    <row r="5965" spans="1:10" ht="13.2">
      <c r="A5965" s="7">
        <v>5964</v>
      </c>
      <c r="B5965" s="7">
        <v>1</v>
      </c>
      <c r="C5965" s="7" t="s">
        <v>10</v>
      </c>
      <c r="D5965" s="7">
        <v>4931</v>
      </c>
      <c r="E5965" s="7" t="s">
        <v>30</v>
      </c>
      <c r="F5965" s="8" t="str">
        <f ca="1">IFERROR(__xludf.DUMMYFUNCTION("IF
(
C5966=""фізична особа""
,
VLOOKUP(D5966,IMPORTRANGE(""https://docs.google.com/spreadsheets/d/14Bd19lYaqBhU8_DElYkX7l4wRkHqqCUFNJY4AfY3kHU/edit?usp=sharing  #gid=0"",""фіз особи new!relations_name""),6,FALSE)
,
(IF
(
C5966=""юридична особа""
,
VLOOKUP"&amp;"(D5966,IMPORTRANGE(""https://docs.google.com/spreadsheets/d/14Bd19lYaqBhU8_DElYkX7l4wRkHqqCUFNJY4AfY3kHU/edit?usp=sharing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5" s="7" t="s">
        <v>10</v>
      </c>
      <c r="H5965" s="7">
        <v>0</v>
      </c>
      <c r="I5965" s="8" t="str">
        <f ca="1">IFERROR(__xludf.DUMMYFUNCTION("IF
(
G5966=""фізична особа""
,
VLOOKUP(H5966,IMPORTRANGE(""https://docs.google.com/spreadsheets/d/14Bd19lYaqBhU8_DElYkX7l4wRkHqqCUFNJY4AfY3kHU/edit?usp=sharing  #gid=0"",""фіз особи new!relations_name""),6,FALSE)
,
(IF
(
G5966=""юридична особа""
,
VLOOKUP"&amp;"(H5966,IMPORTRANGE(""https://docs.google.com/spreadsheets/d/14Bd19lYaqBhU8_DElYkX7l4wRkHqqCUFNJY4AfY3kHU/edit?usp=sharing  #gid=0"",""фіз особи new!relations_name_uo""),7,FALSE)
,
)
))"),"#N/A")</f>
        <v>#N/A</v>
      </c>
      <c r="J5965" s="7" t="s">
        <v>30</v>
      </c>
    </row>
    <row r="5966" spans="1:10" ht="13.2">
      <c r="A5966" s="7">
        <v>5965</v>
      </c>
      <c r="B5966" s="7">
        <v>1</v>
      </c>
      <c r="C5966" s="7" t="s">
        <v>10</v>
      </c>
      <c r="D5966" s="7">
        <v>4931</v>
      </c>
      <c r="E5966" s="7" t="s">
        <v>30</v>
      </c>
      <c r="F5966" s="8" t="str">
        <f ca="1">IFERROR(__xludf.DUMMYFUNCTION("IF
(
C5967=""фізична особа""
,
VLOOKUP(D5967,IMPORTRANGE(""https://docs.google.com/spreadsheets/d/14Bd19lYaqBhU8_DElYkX7l4wRkHqqCUFNJY4AfY3kHU/edit?usp=sharing  #gid=0"",""фіз особи new!relations_name""),6,FALSE)
,
(IF
(
C5967=""юридична особа""
,
VLOOKUP"&amp;"(D5967,IMPORTRANGE(""https://docs.google.com/spreadsheets/d/14Bd19lYaqBhU8_DElYkX7l4wRkHqqCUFNJY4AfY3kHU/edit?usp=sharing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6" s="7" t="s">
        <v>10</v>
      </c>
      <c r="H5966" s="7">
        <v>0</v>
      </c>
      <c r="I5966" s="8" t="str">
        <f ca="1">IFERROR(__xludf.DUMMYFUNCTION("IF
(
G5967=""фізична особа""
,
VLOOKUP(H5967,IMPORTRANGE(""https://docs.google.com/spreadsheets/d/14Bd19lYaqBhU8_DElYkX7l4wRkHqqCUFNJY4AfY3kHU/edit?usp=sharing  #gid=0"",""фіз особи new!relations_name""),6,FALSE)
,
(IF
(
G5967=""юридична особа""
,
VLOOKUP"&amp;"(H5967,IMPORTRANGE(""https://docs.google.com/spreadsheets/d/14Bd19lYaqBhU8_DElYkX7l4wRkHqqCUFNJY4AfY3kHU/edit?usp=sharing  #gid=0"",""фіз особи new!relations_name_uo""),7,FALSE)
,
)
))"),"#N/A")</f>
        <v>#N/A</v>
      </c>
      <c r="J5966" s="7" t="s">
        <v>30</v>
      </c>
    </row>
    <row r="5967" spans="1:10" ht="13.2">
      <c r="A5967" s="7">
        <v>5966</v>
      </c>
      <c r="B5967" s="7">
        <v>1</v>
      </c>
      <c r="C5967" s="7" t="s">
        <v>10</v>
      </c>
      <c r="D5967" s="7">
        <v>4931</v>
      </c>
      <c r="E5967" s="7" t="s">
        <v>30</v>
      </c>
      <c r="F5967" s="8" t="str">
        <f ca="1">IFERROR(__xludf.DUMMYFUNCTION("IF
(
C5968=""фізична особа""
,
VLOOKUP(D5968,IMPORTRANGE(""https://docs.google.com/spreadsheets/d/14Bd19lYaqBhU8_DElYkX7l4wRkHqqCUFNJY4AfY3kHU/edit?usp=sharing  #gid=0"",""фіз особи new!relations_name""),6,FALSE)
,
(IF
(
C5968=""юридична особа""
,
VLOOKUP"&amp;"(D5968,IMPORTRANGE(""https://docs.google.com/spreadsheets/d/14Bd19lYaqBhU8_DElYkX7l4wRkHqqCUFNJY4AfY3kHU/edit?usp=sharing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7" s="7" t="s">
        <v>10</v>
      </c>
      <c r="H5967" s="7">
        <v>0</v>
      </c>
      <c r="I5967" s="8" t="str">
        <f ca="1">IFERROR(__xludf.DUMMYFUNCTION("IF
(
G5968=""фізична особа""
,
VLOOKUP(H5968,IMPORTRANGE(""https://docs.google.com/spreadsheets/d/14Bd19lYaqBhU8_DElYkX7l4wRkHqqCUFNJY4AfY3kHU/edit?usp=sharing  #gid=0"",""фіз особи new!relations_name""),6,FALSE)
,
(IF
(
G5968=""юридична особа""
,
VLOOKUP"&amp;"(H5968,IMPORTRANGE(""https://docs.google.com/spreadsheets/d/14Bd19lYaqBhU8_DElYkX7l4wRkHqqCUFNJY4AfY3kHU/edit?usp=sharing  #gid=0"",""фіз особи new!relations_name_uo""),7,FALSE)
,
)
))"),"#N/A")</f>
        <v>#N/A</v>
      </c>
      <c r="J5967" s="7" t="s">
        <v>30</v>
      </c>
    </row>
    <row r="5968" spans="1:10" ht="13.2">
      <c r="A5968" s="7">
        <v>5967</v>
      </c>
      <c r="B5968" s="7">
        <v>1</v>
      </c>
      <c r="C5968" s="7" t="s">
        <v>10</v>
      </c>
      <c r="D5968" s="7">
        <v>4931</v>
      </c>
      <c r="E5968" s="7" t="s">
        <v>30</v>
      </c>
      <c r="F5968" s="8" t="str">
        <f ca="1">IFERROR(__xludf.DUMMYFUNCTION("IF
(
C5969=""фізична особа""
,
VLOOKUP(D5969,IMPORTRANGE(""https://docs.google.com/spreadsheets/d/14Bd19lYaqBhU8_DElYkX7l4wRkHqqCUFNJY4AfY3kHU/edit?usp=sharing  #gid=0"",""фіз особи new!relations_name""),6,FALSE)
,
(IF
(
C5969=""юридична особа""
,
VLOOKUP"&amp;"(D5969,IMPORTRANGE(""https://docs.google.com/spreadsheets/d/14Bd19lYaqBhU8_DElYkX7l4wRkHqqCUFNJY4AfY3kHU/edit?usp=sharing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8" s="7" t="s">
        <v>10</v>
      </c>
      <c r="H5968" s="7">
        <v>0</v>
      </c>
      <c r="I5968" s="8" t="str">
        <f ca="1">IFERROR(__xludf.DUMMYFUNCTION("IF
(
G5969=""фізична особа""
,
VLOOKUP(H5969,IMPORTRANGE(""https://docs.google.com/spreadsheets/d/14Bd19lYaqBhU8_DElYkX7l4wRkHqqCUFNJY4AfY3kHU/edit?usp=sharing  #gid=0"",""фіз особи new!relations_name""),6,FALSE)
,
(IF
(
G5969=""юридична особа""
,
VLOOKUP"&amp;"(H5969,IMPORTRANGE(""https://docs.google.com/spreadsheets/d/14Bd19lYaqBhU8_DElYkX7l4wRkHqqCUFNJY4AfY3kHU/edit?usp=sharing  #gid=0"",""фіз особи new!relations_name_uo""),7,FALSE)
,
)
))"),"#N/A")</f>
        <v>#N/A</v>
      </c>
      <c r="J5968" s="7" t="s">
        <v>30</v>
      </c>
    </row>
    <row r="5969" spans="1:10" ht="13.2">
      <c r="A5969" s="7">
        <v>5968</v>
      </c>
      <c r="B5969" s="7">
        <v>1</v>
      </c>
      <c r="C5969" s="7" t="s">
        <v>10</v>
      </c>
      <c r="D5969" s="7">
        <v>4931</v>
      </c>
      <c r="E5969" s="7" t="s">
        <v>30</v>
      </c>
      <c r="F5969" s="8" t="str">
        <f ca="1">IFERROR(__xludf.DUMMYFUNCTION("IF
(
C5970=""фізична особа""
,
VLOOKUP(D5970,IMPORTRANGE(""https://docs.google.com/spreadsheets/d/14Bd19lYaqBhU8_DElYkX7l4wRkHqqCUFNJY4AfY3kHU/edit?usp=sharing  #gid=0"",""фіз особи new!relations_name""),6,FALSE)
,
(IF
(
C5970=""юридична особа""
,
VLOOKUP"&amp;"(D5970,IMPORTRANGE(""https://docs.google.com/spreadsheets/d/14Bd19lYaqBhU8_DElYkX7l4wRkHqqCUFNJY4AfY3kHU/edit?usp=sharing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69" s="7" t="s">
        <v>10</v>
      </c>
      <c r="H5969" s="7">
        <v>0</v>
      </c>
      <c r="I5969" s="8" t="str">
        <f ca="1">IFERROR(__xludf.DUMMYFUNCTION("IF
(
G5970=""фізична особа""
,
VLOOKUP(H5970,IMPORTRANGE(""https://docs.google.com/spreadsheets/d/14Bd19lYaqBhU8_DElYkX7l4wRkHqqCUFNJY4AfY3kHU/edit?usp=sharing  #gid=0"",""фіз особи new!relations_name""),6,FALSE)
,
(IF
(
G5970=""юридична особа""
,
VLOOKUP"&amp;"(H5970,IMPORTRANGE(""https://docs.google.com/spreadsheets/d/14Bd19lYaqBhU8_DElYkX7l4wRkHqqCUFNJY4AfY3kHU/edit?usp=sharing  #gid=0"",""фіз особи new!relations_name_uo""),7,FALSE)
,
)
))"),"#N/A")</f>
        <v>#N/A</v>
      </c>
      <c r="J5969" s="7" t="s">
        <v>30</v>
      </c>
    </row>
    <row r="5970" spans="1:10" ht="13.2">
      <c r="A5970" s="7">
        <v>5969</v>
      </c>
      <c r="B5970" s="7">
        <v>1</v>
      </c>
      <c r="C5970" s="7" t="s">
        <v>10</v>
      </c>
      <c r="D5970" s="7">
        <v>4931</v>
      </c>
      <c r="E5970" s="7" t="s">
        <v>30</v>
      </c>
      <c r="F5970" s="8" t="str">
        <f ca="1">IFERROR(__xludf.DUMMYFUNCTION("IF
(
C5971=""фізична особа""
,
VLOOKUP(D5971,IMPORTRANGE(""https://docs.google.com/spreadsheets/d/14Bd19lYaqBhU8_DElYkX7l4wRkHqqCUFNJY4AfY3kHU/edit?usp=sharing  #gid=0"",""фіз особи new!relations_name""),6,FALSE)
,
(IF
(
C5971=""юридична особа""
,
VLOOKUP"&amp;"(D5971,IMPORTRANGE(""https://docs.google.com/spreadsheets/d/14Bd19lYaqBhU8_DElYkX7l4wRkHqqCUFNJY4AfY3kHU/edit?usp=sharing  #gid=0"",""фіз особи new!relations_name_uo""),7,FALSE)
,
)
))"),"ОЛОВЯНІШНІКОВ Олександр Дмитрович")</f>
        <v>ОЛОВЯНІШНІКОВ Олександр Дмитрович</v>
      </c>
      <c r="G5970" s="7" t="s">
        <v>10</v>
      </c>
      <c r="H5970" s="7">
        <v>0</v>
      </c>
      <c r="I5970" s="8" t="str">
        <f ca="1">IFERROR(__xludf.DUMMYFUNCTION("IF
(
G5971=""фізична особа""
,
VLOOKUP(H5971,IMPORTRANGE(""https://docs.google.com/spreadsheets/d/14Bd19lYaqBhU8_DElYkX7l4wRkHqqCUFNJY4AfY3kHU/edit?usp=sharing  #gid=0"",""фіз особи new!relations_name""),6,FALSE)
,
(IF
(
G5971=""юридична особа""
,
VLOOKUP"&amp;"(H5971,IMPORTRANGE(""https://docs.google.com/spreadsheets/d/14Bd19lYaqBhU8_DElYkX7l4wRkHqqCUFNJY4AfY3kHU/edit?usp=sharing  #gid=0"",""фіз особи new!relations_name_uo""),7,FALSE)
,
)
))"),"#N/A")</f>
        <v>#N/A</v>
      </c>
      <c r="J5970" s="7" t="s">
        <v>30</v>
      </c>
    </row>
    <row r="5971" spans="1:10" ht="13.2">
      <c r="A5971" s="7">
        <v>5970</v>
      </c>
      <c r="B5971" s="7">
        <v>1</v>
      </c>
      <c r="C5971" s="7" t="s">
        <v>10</v>
      </c>
      <c r="D5971" s="7">
        <v>4932</v>
      </c>
      <c r="E5971" s="7" t="s">
        <v>30</v>
      </c>
      <c r="F5971" s="8" t="str">
        <f ca="1">IFERROR(__xludf.DUMMYFUNCTION("IF
(
C5972=""фізична особа""
,
VLOOKUP(D5972,IMPORTRANGE(""https://docs.google.com/spreadsheets/d/14Bd19lYaqBhU8_DElYkX7l4wRkHqqCUFNJY4AfY3kHU/edit?usp=sharing  #gid=0"",""фіз особи new!relations_name""),6,FALSE)
,
(IF
(
C5972=""юридична особа""
,
VLOOKUP"&amp;"(D5972,IMPORTRANGE(""https://docs.google.com/spreadsheets/d/14Bd19lYaqBhU8_DElYkX7l4wRkHqqCUFNJY4AfY3kHU/edit?usp=sharing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1" s="7" t="s">
        <v>10</v>
      </c>
      <c r="H5971" s="7">
        <v>0</v>
      </c>
      <c r="I5971" s="8" t="str">
        <f ca="1">IFERROR(__xludf.DUMMYFUNCTION("IF
(
G5972=""фізична особа""
,
VLOOKUP(H5972,IMPORTRANGE(""https://docs.google.com/spreadsheets/d/14Bd19lYaqBhU8_DElYkX7l4wRkHqqCUFNJY4AfY3kHU/edit?usp=sharing  #gid=0"",""фіз особи new!relations_name""),6,FALSE)
,
(IF
(
G5972=""юридична особа""
,
VLOOKUP"&amp;"(H5972,IMPORTRANGE(""https://docs.google.com/spreadsheets/d/14Bd19lYaqBhU8_DElYkX7l4wRkHqqCUFNJY4AfY3kHU/edit?usp=sharing  #gid=0"",""фіз особи new!relations_name_uo""),7,FALSE)
,
)
))"),"#N/A")</f>
        <v>#N/A</v>
      </c>
      <c r="J5971" s="7" t="s">
        <v>30</v>
      </c>
    </row>
    <row r="5972" spans="1:10" ht="13.2">
      <c r="A5972" s="7">
        <v>5971</v>
      </c>
      <c r="B5972" s="7">
        <v>1</v>
      </c>
      <c r="C5972" s="7" t="s">
        <v>10</v>
      </c>
      <c r="D5972" s="7">
        <v>4932</v>
      </c>
      <c r="E5972" s="7" t="s">
        <v>30</v>
      </c>
      <c r="F5972" s="8" t="str">
        <f ca="1">IFERROR(__xludf.DUMMYFUNCTION("IF
(
C5973=""фізична особа""
,
VLOOKUP(D5973,IMPORTRANGE(""https://docs.google.com/spreadsheets/d/14Bd19lYaqBhU8_DElYkX7l4wRkHqqCUFNJY4AfY3kHU/edit?usp=sharing  #gid=0"",""фіз особи new!relations_name""),6,FALSE)
,
(IF
(
C5973=""юридична особа""
,
VLOOKUP"&amp;"(D5973,IMPORTRANGE(""https://docs.google.com/spreadsheets/d/14Bd19lYaqBhU8_DElYkX7l4wRkHqqCUFNJY4AfY3kHU/edit?usp=sharing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2" s="7" t="s">
        <v>10</v>
      </c>
      <c r="H5972" s="7">
        <v>0</v>
      </c>
      <c r="I5972" s="8" t="str">
        <f ca="1">IFERROR(__xludf.DUMMYFUNCTION("IF
(
G5973=""фізична особа""
,
VLOOKUP(H5973,IMPORTRANGE(""https://docs.google.com/spreadsheets/d/14Bd19lYaqBhU8_DElYkX7l4wRkHqqCUFNJY4AfY3kHU/edit?usp=sharing  #gid=0"",""фіз особи new!relations_name""),6,FALSE)
,
(IF
(
G5973=""юридична особа""
,
VLOOKUP"&amp;"(H5973,IMPORTRANGE(""https://docs.google.com/spreadsheets/d/14Bd19lYaqBhU8_DElYkX7l4wRkHqqCUFNJY4AfY3kHU/edit?usp=sharing  #gid=0"",""фіз особи new!relations_name_uo""),7,FALSE)
,
)
))"),"#N/A")</f>
        <v>#N/A</v>
      </c>
      <c r="J5972" s="7" t="s">
        <v>30</v>
      </c>
    </row>
    <row r="5973" spans="1:10" ht="13.2">
      <c r="A5973" s="7">
        <v>5972</v>
      </c>
      <c r="B5973" s="7">
        <v>1</v>
      </c>
      <c r="C5973" s="7" t="s">
        <v>10</v>
      </c>
      <c r="D5973" s="7">
        <v>4932</v>
      </c>
      <c r="E5973" s="7" t="s">
        <v>30</v>
      </c>
      <c r="F5973" s="8" t="str">
        <f ca="1">IFERROR(__xludf.DUMMYFUNCTION("IF
(
C5974=""фізична особа""
,
VLOOKUP(D5974,IMPORTRANGE(""https://docs.google.com/spreadsheets/d/14Bd19lYaqBhU8_DElYkX7l4wRkHqqCUFNJY4AfY3kHU/edit?usp=sharing  #gid=0"",""фіз особи new!relations_name""),6,FALSE)
,
(IF
(
C5974=""юридична особа""
,
VLOOKUP"&amp;"(D5974,IMPORTRANGE(""https://docs.google.com/spreadsheets/d/14Bd19lYaqBhU8_DElYkX7l4wRkHqqCUFNJY4AfY3kHU/edit?usp=sharing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3" s="7" t="s">
        <v>10</v>
      </c>
      <c r="H5973" s="7">
        <v>0</v>
      </c>
      <c r="I5973" s="8" t="str">
        <f ca="1">IFERROR(__xludf.DUMMYFUNCTION("IF
(
G5974=""фізична особа""
,
VLOOKUP(H5974,IMPORTRANGE(""https://docs.google.com/spreadsheets/d/14Bd19lYaqBhU8_DElYkX7l4wRkHqqCUFNJY4AfY3kHU/edit?usp=sharing  #gid=0"",""фіз особи new!relations_name""),6,FALSE)
,
(IF
(
G5974=""юридична особа""
,
VLOOKUP"&amp;"(H5974,IMPORTRANGE(""https://docs.google.com/spreadsheets/d/14Bd19lYaqBhU8_DElYkX7l4wRkHqqCUFNJY4AfY3kHU/edit?usp=sharing  #gid=0"",""фіз особи new!relations_name_uo""),7,FALSE)
,
)
))"),"#N/A")</f>
        <v>#N/A</v>
      </c>
      <c r="J5973" s="7" t="s">
        <v>30</v>
      </c>
    </row>
    <row r="5974" spans="1:10" ht="13.2">
      <c r="A5974" s="7">
        <v>5973</v>
      </c>
      <c r="B5974" s="7">
        <v>1</v>
      </c>
      <c r="C5974" s="7" t="s">
        <v>10</v>
      </c>
      <c r="D5974" s="7">
        <v>4932</v>
      </c>
      <c r="E5974" s="7" t="s">
        <v>30</v>
      </c>
      <c r="F5974" s="8" t="str">
        <f ca="1">IFERROR(__xludf.DUMMYFUNCTION("IF
(
C5975=""фізична особа""
,
VLOOKUP(D5975,IMPORTRANGE(""https://docs.google.com/spreadsheets/d/14Bd19lYaqBhU8_DElYkX7l4wRkHqqCUFNJY4AfY3kHU/edit?usp=sharing  #gid=0"",""фіз особи new!relations_name""),6,FALSE)
,
(IF
(
C5975=""юридична особа""
,
VLOOKUP"&amp;"(D5975,IMPORTRANGE(""https://docs.google.com/spreadsheets/d/14Bd19lYaqBhU8_DElYkX7l4wRkHqqCUFNJY4AfY3kHU/edit?usp=sharing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4" s="7" t="s">
        <v>10</v>
      </c>
      <c r="H5974" s="7">
        <v>0</v>
      </c>
      <c r="I5974" s="8" t="str">
        <f ca="1">IFERROR(__xludf.DUMMYFUNCTION("IF
(
G5975=""фізична особа""
,
VLOOKUP(H5975,IMPORTRANGE(""https://docs.google.com/spreadsheets/d/14Bd19lYaqBhU8_DElYkX7l4wRkHqqCUFNJY4AfY3kHU/edit?usp=sharing  #gid=0"",""фіз особи new!relations_name""),6,FALSE)
,
(IF
(
G5975=""юридична особа""
,
VLOOKUP"&amp;"(H5975,IMPORTRANGE(""https://docs.google.com/spreadsheets/d/14Bd19lYaqBhU8_DElYkX7l4wRkHqqCUFNJY4AfY3kHU/edit?usp=sharing  #gid=0"",""фіз особи new!relations_name_uo""),7,FALSE)
,
)
))"),"#N/A")</f>
        <v>#N/A</v>
      </c>
      <c r="J5974" s="7" t="s">
        <v>30</v>
      </c>
    </row>
    <row r="5975" spans="1:10" ht="13.2">
      <c r="A5975" s="7">
        <v>5974</v>
      </c>
      <c r="B5975" s="7">
        <v>1</v>
      </c>
      <c r="C5975" s="7" t="s">
        <v>10</v>
      </c>
      <c r="D5975" s="7">
        <v>4932</v>
      </c>
      <c r="E5975" s="7" t="s">
        <v>30</v>
      </c>
      <c r="F5975" s="8" t="str">
        <f ca="1">IFERROR(__xludf.DUMMYFUNCTION("IF
(
C5976=""фізична особа""
,
VLOOKUP(D5976,IMPORTRANGE(""https://docs.google.com/spreadsheets/d/14Bd19lYaqBhU8_DElYkX7l4wRkHqqCUFNJY4AfY3kHU/edit?usp=sharing  #gid=0"",""фіз особи new!relations_name""),6,FALSE)
,
(IF
(
C5976=""юридична особа""
,
VLOOKUP"&amp;"(D5976,IMPORTRANGE(""https://docs.google.com/spreadsheets/d/14Bd19lYaqBhU8_DElYkX7l4wRkHqqCUFNJY4AfY3kHU/edit?usp=sharing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5" s="7" t="s">
        <v>10</v>
      </c>
      <c r="H5975" s="7">
        <v>0</v>
      </c>
      <c r="I5975" s="8" t="str">
        <f ca="1">IFERROR(__xludf.DUMMYFUNCTION("IF
(
G5976=""фізична особа""
,
VLOOKUP(H5976,IMPORTRANGE(""https://docs.google.com/spreadsheets/d/14Bd19lYaqBhU8_DElYkX7l4wRkHqqCUFNJY4AfY3kHU/edit?usp=sharing  #gid=0"",""фіз особи new!relations_name""),6,FALSE)
,
(IF
(
G5976=""юридична особа""
,
VLOOKUP"&amp;"(H5976,IMPORTRANGE(""https://docs.google.com/spreadsheets/d/14Bd19lYaqBhU8_DElYkX7l4wRkHqqCUFNJY4AfY3kHU/edit?usp=sharing  #gid=0"",""фіз особи new!relations_name_uo""),7,FALSE)
,
)
))"),"#N/A")</f>
        <v>#N/A</v>
      </c>
      <c r="J5975" s="7" t="s">
        <v>30</v>
      </c>
    </row>
    <row r="5976" spans="1:10" ht="13.2">
      <c r="A5976" s="7">
        <v>5975</v>
      </c>
      <c r="B5976" s="7">
        <v>1</v>
      </c>
      <c r="C5976" s="7" t="s">
        <v>10</v>
      </c>
      <c r="D5976" s="7">
        <v>4932</v>
      </c>
      <c r="E5976" s="7" t="s">
        <v>30</v>
      </c>
      <c r="F5976" s="8" t="str">
        <f ca="1">IFERROR(__xludf.DUMMYFUNCTION("IF
(
C5977=""фізична особа""
,
VLOOKUP(D5977,IMPORTRANGE(""https://docs.google.com/spreadsheets/d/14Bd19lYaqBhU8_DElYkX7l4wRkHqqCUFNJY4AfY3kHU/edit?usp=sharing  #gid=0"",""фіз особи new!relations_name""),6,FALSE)
,
(IF
(
C5977=""юридична особа""
,
VLOOKUP"&amp;"(D5977,IMPORTRANGE(""https://docs.google.com/spreadsheets/d/14Bd19lYaqBhU8_DElYkX7l4wRkHqqCUFNJY4AfY3kHU/edit?usp=sharing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6" s="7" t="s">
        <v>10</v>
      </c>
      <c r="H5976" s="7">
        <v>0</v>
      </c>
      <c r="I5976" s="8" t="str">
        <f ca="1">IFERROR(__xludf.DUMMYFUNCTION("IF
(
G5977=""фізична особа""
,
VLOOKUP(H5977,IMPORTRANGE(""https://docs.google.com/spreadsheets/d/14Bd19lYaqBhU8_DElYkX7l4wRkHqqCUFNJY4AfY3kHU/edit?usp=sharing  #gid=0"",""фіз особи new!relations_name""),6,FALSE)
,
(IF
(
G5977=""юридична особа""
,
VLOOKUP"&amp;"(H5977,IMPORTRANGE(""https://docs.google.com/spreadsheets/d/14Bd19lYaqBhU8_DElYkX7l4wRkHqqCUFNJY4AfY3kHU/edit?usp=sharing  #gid=0"",""фіз особи new!relations_name_uo""),7,FALSE)
,
)
))"),"#N/A")</f>
        <v>#N/A</v>
      </c>
      <c r="J5976" s="7" t="s">
        <v>30</v>
      </c>
    </row>
    <row r="5977" spans="1:10" ht="13.2">
      <c r="A5977" s="7">
        <v>5976</v>
      </c>
      <c r="B5977" s="7">
        <v>1</v>
      </c>
      <c r="C5977" s="7" t="s">
        <v>10</v>
      </c>
      <c r="D5977" s="7">
        <v>4932</v>
      </c>
      <c r="E5977" s="7" t="s">
        <v>30</v>
      </c>
      <c r="F5977" s="8" t="str">
        <f ca="1">IFERROR(__xludf.DUMMYFUNCTION("IF
(
C5978=""фізична особа""
,
VLOOKUP(D5978,IMPORTRANGE(""https://docs.google.com/spreadsheets/d/14Bd19lYaqBhU8_DElYkX7l4wRkHqqCUFNJY4AfY3kHU/edit?usp=sharing  #gid=0"",""фіз особи new!relations_name""),6,FALSE)
,
(IF
(
C5978=""юридична особа""
,
VLOOKUP"&amp;"(D5978,IMPORTRANGE(""https://docs.google.com/spreadsheets/d/14Bd19lYaqBhU8_DElYkX7l4wRkHqqCUFNJY4AfY3kHU/edit?usp=sharing  #gid=0"",""фіз особи new!relations_name_uo""),7,FALSE)
,
)
))"),"НОГОТИСАЯ Валентина Василівна")</f>
        <v>НОГОТИСАЯ Валентина Василівна</v>
      </c>
      <c r="G5977" s="7" t="s">
        <v>10</v>
      </c>
      <c r="H5977" s="7">
        <v>0</v>
      </c>
      <c r="I5977" s="8" t="str">
        <f ca="1">IFERROR(__xludf.DUMMYFUNCTION("IF
(
G5978=""фізична особа""
,
VLOOKUP(H5978,IMPORTRANGE(""https://docs.google.com/spreadsheets/d/14Bd19lYaqBhU8_DElYkX7l4wRkHqqCUFNJY4AfY3kHU/edit?usp=sharing  #gid=0"",""фіз особи new!relations_name""),6,FALSE)
,
(IF
(
G5978=""юридична особа""
,
VLOOKUP"&amp;"(H5978,IMPORTRANGE(""https://docs.google.com/spreadsheets/d/14Bd19lYaqBhU8_DElYkX7l4wRkHqqCUFNJY4AfY3kHU/edit?usp=sharing  #gid=0"",""фіз особи new!relations_name_uo""),7,FALSE)
,
)
))"),"#N/A")</f>
        <v>#N/A</v>
      </c>
      <c r="J5977" s="7" t="s">
        <v>30</v>
      </c>
    </row>
    <row r="5978" spans="1:10" ht="13.2">
      <c r="A5978" s="7">
        <v>5977</v>
      </c>
      <c r="B5978" s="7">
        <v>1</v>
      </c>
      <c r="C5978" s="7" t="s">
        <v>10</v>
      </c>
      <c r="D5978" s="7">
        <v>4934</v>
      </c>
      <c r="E5978" s="7" t="s">
        <v>15</v>
      </c>
      <c r="F5978" s="8" t="str">
        <f ca="1">IFERROR(__xludf.DUMMYFUNCTION("IF
(
C5979=""фізична особа""
,
VLOOKUP(D5979,IMPORTRANGE(""https://docs.google.com/spreadsheets/d/14Bd19lYaqBhU8_DElYkX7l4wRkHqqCUFNJY4AfY3kHU/edit?usp=sharing  #gid=0"",""фіз особи new!relations_name""),6,FALSE)
,
(IF
(
C5979=""юридична особа""
,
VLOOKUP"&amp;"(D5979,IMPORTRANGE(""https://docs.google.com/spreadsheets/d/14Bd19lYaqBhU8_DElYkX7l4wRkHqqCUFNJY4AfY3kHU/edit?usp=sharing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78" s="7" t="s">
        <v>10</v>
      </c>
      <c r="H5978" s="7">
        <v>2512</v>
      </c>
      <c r="I5978" s="8" t="str">
        <f ca="1">IFERROR(__xludf.DUMMYFUNCTION("IF
(
G5979=""фізична особа""
,
VLOOKUP(H5979,IMPORTRANGE(""https://docs.google.com/spreadsheets/d/14Bd19lYaqBhU8_DElYkX7l4wRkHqqCUFNJY4AfY3kHU/edit?usp=sharing  #gid=0"",""фіз особи new!relations_name""),6,FALSE)
,
(IF
(
G5979=""юридична особа""
,
VLOOKUP"&amp;"(H5979,IMPORTRANGE(""https://docs.google.com/spreadsheets/d/14Bd19lYaqBhU8_DElYkX7l4wRkHqqCUFNJY4AfY3kHU/edit?usp=sharing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J5978" s="7" t="s">
        <v>14</v>
      </c>
    </row>
    <row r="5979" spans="1:10" ht="13.2">
      <c r="A5979" s="7">
        <v>5978</v>
      </c>
      <c r="B5979" s="7">
        <v>1</v>
      </c>
      <c r="C5979" s="7" t="s">
        <v>10</v>
      </c>
      <c r="D5979" s="7">
        <v>4934</v>
      </c>
      <c r="E5979" s="7" t="s">
        <v>21</v>
      </c>
      <c r="F5979" s="8" t="str">
        <f ca="1">IFERROR(__xludf.DUMMYFUNCTION("IF
(
C5980=""фізична особа""
,
VLOOKUP(D5980,IMPORTRANGE(""https://docs.google.com/spreadsheets/d/14Bd19lYaqBhU8_DElYkX7l4wRkHqqCUFNJY4AfY3kHU/edit?usp=sharing  #gid=0"",""фіз особи new!relations_name""),6,FALSE)
,
(IF
(
C5980=""юридична особа""
,
VLOOKUP"&amp;"(D5980,IMPORTRANGE(""https://docs.google.com/spreadsheets/d/14Bd19lYaqBhU8_DElYkX7l4wRkHqqCUFNJY4AfY3kHU/edit?usp=sharing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79" s="7" t="s">
        <v>10</v>
      </c>
      <c r="H5979" s="7">
        <v>4935</v>
      </c>
      <c r="I5979" s="8" t="str">
        <f ca="1">IFERROR(__xludf.DUMMYFUNCTION("IF
(
G5980=""фізична особа""
,
VLOOKUP(H5980,IMPORTRANGE(""https://docs.google.com/spreadsheets/d/14Bd19lYaqBhU8_DElYkX7l4wRkHqqCUFNJY4AfY3kHU/edit?usp=sharing  #gid=0"",""фіз особи new!relations_name""),6,FALSE)
,
(IF
(
G5980=""юридична особа""
,
VLOOKUP"&amp;"(H5980,IMPORTRANGE(""https://docs.google.com/spreadsheets/d/14Bd19lYaqBhU8_DElYkX7l4wRkHqqCUFNJY4AfY3kHU/edit?usp=sharing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J5979" s="7" t="s">
        <v>13</v>
      </c>
    </row>
    <row r="5980" spans="1:10" ht="13.2">
      <c r="A5980" s="7">
        <v>5979</v>
      </c>
      <c r="B5980" s="7">
        <v>1</v>
      </c>
      <c r="C5980" s="7" t="s">
        <v>10</v>
      </c>
      <c r="D5980" s="7">
        <v>4934</v>
      </c>
      <c r="E5980" s="7" t="s">
        <v>27</v>
      </c>
      <c r="F5980" s="8" t="str">
        <f ca="1">IFERROR(__xludf.DUMMYFUNCTION("IF
(
C5981=""фізична особа""
,
VLOOKUP(D5981,IMPORTRANGE(""https://docs.google.com/spreadsheets/d/14Bd19lYaqBhU8_DElYkX7l4wRkHqqCUFNJY4AfY3kHU/edit?usp=sharing  #gid=0"",""фіз особи new!relations_name""),6,FALSE)
,
(IF
(
C5981=""юридична особа""
,
VLOOKUP"&amp;"(D5981,IMPORTRANGE(""https://docs.google.com/spreadsheets/d/14Bd19lYaqBhU8_DElYkX7l4wRkHqqCUFNJY4AfY3kHU/edit?usp=sharing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0" s="7" t="s">
        <v>10</v>
      </c>
      <c r="H5980" s="7">
        <v>23492</v>
      </c>
      <c r="I5980" s="8" t="str">
        <f ca="1">IFERROR(__xludf.DUMMYFUNCTION("IF
(
G5981=""фізична особа""
,
VLOOKUP(H5981,IMPORTRANGE(""https://docs.google.com/spreadsheets/d/14Bd19lYaqBhU8_DElYkX7l4wRkHqqCUFNJY4AfY3kHU/edit?usp=sharing  #gid=0"",""фіз особи new!relations_name""),6,FALSE)
,
(IF
(
G5981=""юридична особа""
,
VLOOKUP"&amp;"(H5981,IMPORTRANGE(""https://docs.google.com/spreadsheets/d/14Bd19lYaqBhU8_DElYkX7l4wRkHqqCUFNJY4AfY3kHU/edit?usp=sharing  #gid=0"",""фіз особи new!relations_name_uo""),7,FALSE)
,
)
))"),"СІМОНОВ Єфим Радієвич")</f>
        <v>СІМОНОВ Єфим Радієвич</v>
      </c>
      <c r="J5980" s="7" t="s">
        <v>26</v>
      </c>
    </row>
    <row r="5981" spans="1:10" ht="13.2">
      <c r="A5981" s="7">
        <v>5980</v>
      </c>
      <c r="B5981" s="7">
        <v>1</v>
      </c>
      <c r="C5981" s="7" t="s">
        <v>10</v>
      </c>
      <c r="D5981" s="7">
        <v>4934</v>
      </c>
      <c r="E5981" s="7" t="s">
        <v>63</v>
      </c>
      <c r="F5981" s="8" t="str">
        <f ca="1">IFERROR(__xludf.DUMMYFUNCTION("IF
(
C5982=""фізична особа""
,
VLOOKUP(D5982,IMPORTRANGE(""https://docs.google.com/spreadsheets/d/14Bd19lYaqBhU8_DElYkX7l4wRkHqqCUFNJY4AfY3kHU/edit?usp=sharing  #gid=0"",""фіз особи new!relations_name""),6,FALSE)
,
(IF
(
C5982=""юридична особа""
,
VLOOKUP"&amp;"(D5982,IMPORTRANGE(""https://docs.google.com/spreadsheets/d/14Bd19lYaqBhU8_DElYkX7l4wRkHqqCUFNJY4AfY3kHU/edit?usp=sharing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1" s="7" t="s">
        <v>10</v>
      </c>
      <c r="H5981" s="7">
        <v>23493</v>
      </c>
      <c r="I5981" s="8" t="str">
        <f ca="1">IFERROR(__xludf.DUMMYFUNCTION("IF
(
G5982=""фізична особа""
,
VLOOKUP(H5982,IMPORTRANGE(""https://docs.google.com/spreadsheets/d/14Bd19lYaqBhU8_DElYkX7l4wRkHqqCUFNJY4AfY3kHU/edit?usp=sharing  #gid=0"",""фіз особи new!relations_name""),6,FALSE)
,
(IF
(
G5982=""юридична особа""
,
VLOOKUP"&amp;"(H5982,IMPORTRANGE(""https://docs.google.com/spreadsheets/d/14Bd19lYaqBhU8_DElYkX7l4wRkHqqCUFNJY4AfY3kHU/edit?usp=sharing  #gid=0"",""фіз особи new!relations_name_uo""),7,FALSE)
,
)
))"),"СІМОНОВ Радій Єфімович")</f>
        <v>СІМОНОВ Радій Єфімович</v>
      </c>
      <c r="J5981" s="7" t="s">
        <v>62</v>
      </c>
    </row>
    <row r="5982" spans="1:10" ht="13.2">
      <c r="A5982" s="7">
        <v>5981</v>
      </c>
      <c r="B5982" s="7">
        <v>1</v>
      </c>
      <c r="C5982" s="7" t="s">
        <v>10</v>
      </c>
      <c r="D5982" s="7">
        <v>4934</v>
      </c>
      <c r="E5982" s="7" t="s">
        <v>30</v>
      </c>
      <c r="F5982" s="8" t="str">
        <f ca="1">IFERROR(__xludf.DUMMYFUNCTION("IF
(
C5983=""фізична особа""
,
VLOOKUP(D5983,IMPORTRANGE(""https://docs.google.com/spreadsheets/d/14Bd19lYaqBhU8_DElYkX7l4wRkHqqCUFNJY4AfY3kHU/edit?usp=sharing  #gid=0"",""фіз особи new!relations_name""),6,FALSE)
,
(IF
(
C5983=""юридична особа""
,
VLOOKUP"&amp;"(D5983,IMPORTRANGE(""https://docs.google.com/spreadsheets/d/14Bd19lYaqBhU8_DElYkX7l4wRkHqqCUFNJY4AfY3kHU/edit?usp=sharing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2" s="7" t="s">
        <v>10</v>
      </c>
      <c r="H5982" s="7">
        <v>0</v>
      </c>
      <c r="I5982" s="8" t="str">
        <f ca="1">IFERROR(__xludf.DUMMYFUNCTION("IF
(
G5983=""фізична особа""
,
VLOOKUP(H5983,IMPORTRANGE(""https://docs.google.com/spreadsheets/d/14Bd19lYaqBhU8_DElYkX7l4wRkHqqCUFNJY4AfY3kHU/edit?usp=sharing  #gid=0"",""фіз особи new!relations_name""),6,FALSE)
,
(IF
(
G5983=""юридична особа""
,
VLOOKUP"&amp;"(H5983,IMPORTRANGE(""https://docs.google.com/spreadsheets/d/14Bd19lYaqBhU8_DElYkX7l4wRkHqqCUFNJY4AfY3kHU/edit?usp=sharing  #gid=0"",""фіз особи new!relations_name_uo""),7,FALSE)
,
)
))"),"#N/A")</f>
        <v>#N/A</v>
      </c>
      <c r="J5982" s="7" t="s">
        <v>30</v>
      </c>
    </row>
    <row r="5983" spans="1:10" ht="13.2">
      <c r="A5983" s="7">
        <v>5982</v>
      </c>
      <c r="B5983" s="7">
        <v>1</v>
      </c>
      <c r="C5983" s="7" t="s">
        <v>10</v>
      </c>
      <c r="D5983" s="7">
        <v>4934</v>
      </c>
      <c r="E5983" s="7" t="s">
        <v>30</v>
      </c>
      <c r="F5983" s="8" t="str">
        <f ca="1">IFERROR(__xludf.DUMMYFUNCTION("IF
(
C5984=""фізична особа""
,
VLOOKUP(D5984,IMPORTRANGE(""https://docs.google.com/spreadsheets/d/14Bd19lYaqBhU8_DElYkX7l4wRkHqqCUFNJY4AfY3kHU/edit?usp=sharing  #gid=0"",""фіз особи new!relations_name""),6,FALSE)
,
(IF
(
C5984=""юридична особа""
,
VLOOKUP"&amp;"(D5984,IMPORTRANGE(""https://docs.google.com/spreadsheets/d/14Bd19lYaqBhU8_DElYkX7l4wRkHqqCUFNJY4AfY3kHU/edit?usp=sharing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3" s="7" t="s">
        <v>10</v>
      </c>
      <c r="H5983" s="7">
        <v>0</v>
      </c>
      <c r="I5983" s="8" t="str">
        <f ca="1">IFERROR(__xludf.DUMMYFUNCTION("IF
(
G5984=""фізична особа""
,
VLOOKUP(H5984,IMPORTRANGE(""https://docs.google.com/spreadsheets/d/14Bd19lYaqBhU8_DElYkX7l4wRkHqqCUFNJY4AfY3kHU/edit?usp=sharing  #gid=0"",""фіз особи new!relations_name""),6,FALSE)
,
(IF
(
G5984=""юридична особа""
,
VLOOKUP"&amp;"(H5984,IMPORTRANGE(""https://docs.google.com/spreadsheets/d/14Bd19lYaqBhU8_DElYkX7l4wRkHqqCUFNJY4AfY3kHU/edit?usp=sharing  #gid=0"",""фіз особи new!relations_name_uo""),7,FALSE)
,
)
))"),"#N/A")</f>
        <v>#N/A</v>
      </c>
      <c r="J5983" s="7" t="s">
        <v>30</v>
      </c>
    </row>
    <row r="5984" spans="1:10" ht="13.2">
      <c r="A5984" s="7">
        <v>5983</v>
      </c>
      <c r="B5984" s="7">
        <v>1</v>
      </c>
      <c r="C5984" s="7" t="s">
        <v>10</v>
      </c>
      <c r="D5984" s="7">
        <v>4934</v>
      </c>
      <c r="E5984" s="7" t="s">
        <v>30</v>
      </c>
      <c r="F5984" s="8" t="str">
        <f ca="1">IFERROR(__xludf.DUMMYFUNCTION("IF
(
C5985=""фізична особа""
,
VLOOKUP(D5985,IMPORTRANGE(""https://docs.google.com/spreadsheets/d/14Bd19lYaqBhU8_DElYkX7l4wRkHqqCUFNJY4AfY3kHU/edit?usp=sharing  #gid=0"",""фіз особи new!relations_name""),6,FALSE)
,
(IF
(
C5985=""юридична особа""
,
VLOOKUP"&amp;"(D5985,IMPORTRANGE(""https://docs.google.com/spreadsheets/d/14Bd19lYaqBhU8_DElYkX7l4wRkHqqCUFNJY4AfY3kHU/edit?usp=sharing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4" s="7" t="s">
        <v>10</v>
      </c>
      <c r="H5984" s="7">
        <v>0</v>
      </c>
      <c r="I5984" s="8" t="str">
        <f ca="1">IFERROR(__xludf.DUMMYFUNCTION("IF
(
G5985=""фізична особа""
,
VLOOKUP(H5985,IMPORTRANGE(""https://docs.google.com/spreadsheets/d/14Bd19lYaqBhU8_DElYkX7l4wRkHqqCUFNJY4AfY3kHU/edit?usp=sharing  #gid=0"",""фіз особи new!relations_name""),6,FALSE)
,
(IF
(
G5985=""юридична особа""
,
VLOOKUP"&amp;"(H5985,IMPORTRANGE(""https://docs.google.com/spreadsheets/d/14Bd19lYaqBhU8_DElYkX7l4wRkHqqCUFNJY4AfY3kHU/edit?usp=sharing  #gid=0"",""фіз особи new!relations_name_uo""),7,FALSE)
,
)
))"),"#N/A")</f>
        <v>#N/A</v>
      </c>
      <c r="J5984" s="7" t="s">
        <v>30</v>
      </c>
    </row>
    <row r="5985" spans="1:10" ht="13.2">
      <c r="A5985" s="7">
        <v>5984</v>
      </c>
      <c r="B5985" s="7">
        <v>1</v>
      </c>
      <c r="C5985" s="7" t="s">
        <v>10</v>
      </c>
      <c r="D5985" s="7">
        <v>4934</v>
      </c>
      <c r="E5985" s="7" t="s">
        <v>30</v>
      </c>
      <c r="F5985" s="8" t="str">
        <f ca="1">IFERROR(__xludf.DUMMYFUNCTION("IF
(
C5986=""фізична особа""
,
VLOOKUP(D5986,IMPORTRANGE(""https://docs.google.com/spreadsheets/d/14Bd19lYaqBhU8_DElYkX7l4wRkHqqCUFNJY4AfY3kHU/edit?usp=sharing  #gid=0"",""фіз особи new!relations_name""),6,FALSE)
,
(IF
(
C5986=""юридична особа""
,
VLOOKUP"&amp;"(D5986,IMPORTRANGE(""https://docs.google.com/spreadsheets/d/14Bd19lYaqBhU8_DElYkX7l4wRkHqqCUFNJY4AfY3kHU/edit?usp=sharing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5" s="7" t="s">
        <v>10</v>
      </c>
      <c r="H5985" s="7">
        <v>0</v>
      </c>
      <c r="I5985" s="8" t="str">
        <f ca="1">IFERROR(__xludf.DUMMYFUNCTION("IF
(
G5986=""фізична особа""
,
VLOOKUP(H5986,IMPORTRANGE(""https://docs.google.com/spreadsheets/d/14Bd19lYaqBhU8_DElYkX7l4wRkHqqCUFNJY4AfY3kHU/edit?usp=sharing  #gid=0"",""фіз особи new!relations_name""),6,FALSE)
,
(IF
(
G5986=""юридична особа""
,
VLOOKUP"&amp;"(H5986,IMPORTRANGE(""https://docs.google.com/spreadsheets/d/14Bd19lYaqBhU8_DElYkX7l4wRkHqqCUFNJY4AfY3kHU/edit?usp=sharing  #gid=0"",""фіз особи new!relations_name_uo""),7,FALSE)
,
)
))"),"#N/A")</f>
        <v>#N/A</v>
      </c>
      <c r="J5985" s="7" t="s">
        <v>30</v>
      </c>
    </row>
    <row r="5986" spans="1:10" ht="13.2">
      <c r="A5986" s="7">
        <v>5985</v>
      </c>
      <c r="B5986" s="7">
        <v>1</v>
      </c>
      <c r="C5986" s="7" t="s">
        <v>10</v>
      </c>
      <c r="D5986" s="7">
        <v>4934</v>
      </c>
      <c r="E5986" s="7" t="s">
        <v>30</v>
      </c>
      <c r="F5986" s="8" t="str">
        <f ca="1">IFERROR(__xludf.DUMMYFUNCTION("IF
(
C5987=""фізична особа""
,
VLOOKUP(D5987,IMPORTRANGE(""https://docs.google.com/spreadsheets/d/14Bd19lYaqBhU8_DElYkX7l4wRkHqqCUFNJY4AfY3kHU/edit?usp=sharing  #gid=0"",""фіз особи new!relations_name""),6,FALSE)
,
(IF
(
C5987=""юридична особа""
,
VLOOKUP"&amp;"(D5987,IMPORTRANGE(""https://docs.google.com/spreadsheets/d/14Bd19lYaqBhU8_DElYkX7l4wRkHqqCUFNJY4AfY3kHU/edit?usp=sharing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6" s="7" t="s">
        <v>10</v>
      </c>
      <c r="H5986" s="7">
        <v>0</v>
      </c>
      <c r="I5986" s="8" t="str">
        <f ca="1">IFERROR(__xludf.DUMMYFUNCTION("IF
(
G5987=""фізична особа""
,
VLOOKUP(H5987,IMPORTRANGE(""https://docs.google.com/spreadsheets/d/14Bd19lYaqBhU8_DElYkX7l4wRkHqqCUFNJY4AfY3kHU/edit?usp=sharing  #gid=0"",""фіз особи new!relations_name""),6,FALSE)
,
(IF
(
G5987=""юридична особа""
,
VLOOKUP"&amp;"(H5987,IMPORTRANGE(""https://docs.google.com/spreadsheets/d/14Bd19lYaqBhU8_DElYkX7l4wRkHqqCUFNJY4AfY3kHU/edit?usp=sharing  #gid=0"",""фіз особи new!relations_name_uo""),7,FALSE)
,
)
))"),"#N/A")</f>
        <v>#N/A</v>
      </c>
      <c r="J5986" s="7" t="s">
        <v>30</v>
      </c>
    </row>
    <row r="5987" spans="1:10" ht="13.2">
      <c r="A5987" s="7">
        <v>5986</v>
      </c>
      <c r="B5987" s="7">
        <v>1</v>
      </c>
      <c r="C5987" s="7" t="s">
        <v>10</v>
      </c>
      <c r="D5987" s="7">
        <v>4934</v>
      </c>
      <c r="E5987" s="7" t="s">
        <v>30</v>
      </c>
      <c r="F5987" s="8" t="str">
        <f ca="1">IFERROR(__xludf.DUMMYFUNCTION("IF
(
C5988=""фізична особа""
,
VLOOKUP(D5988,IMPORTRANGE(""https://docs.google.com/spreadsheets/d/14Bd19lYaqBhU8_DElYkX7l4wRkHqqCUFNJY4AfY3kHU/edit?usp=sharing  #gid=0"",""фіз особи new!relations_name""),6,FALSE)
,
(IF
(
C5988=""юридична особа""
,
VLOOKUP"&amp;"(D5988,IMPORTRANGE(""https://docs.google.com/spreadsheets/d/14Bd19lYaqBhU8_DElYkX7l4wRkHqqCUFNJY4AfY3kHU/edit?usp=sharing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G5987" s="7" t="s">
        <v>10</v>
      </c>
      <c r="H5987" s="7">
        <v>1029</v>
      </c>
      <c r="I5987" s="8" t="str">
        <f ca="1">IFERROR(__xludf.DUMMYFUNCTION("IF
(
G5988=""фізична особа""
,
VLOOKUP(H5988,IMPORTRANGE(""https://docs.google.com/spreadsheets/d/14Bd19lYaqBhU8_DElYkX7l4wRkHqqCUFNJY4AfY3kHU/edit?usp=sharing  #gid=0"",""фіз особи new!relations_name""),6,FALSE)
,
(IF
(
G5988=""юридична особа""
,
VLOOKUP"&amp;"(H5988,IMPORTRANGE(""https://docs.google.com/spreadsheets/d/14Bd19lYaqBhU8_DElYkX7l4wRkHqqCUFNJY4AfY3kHU/edit?usp=sharing  #gid=0"",""фіз особи new!relations_name_uo""),7,FALSE)
,
)
))"),"ДОЛГУНОВ Микола Миколайович")</f>
        <v>ДОЛГУНОВ Микола Миколайович</v>
      </c>
      <c r="J5987" s="7" t="s">
        <v>30</v>
      </c>
    </row>
    <row r="5988" spans="1:10" ht="13.2">
      <c r="A5988" s="7">
        <v>5987</v>
      </c>
      <c r="B5988" s="7">
        <v>1</v>
      </c>
      <c r="C5988" s="7" t="s">
        <v>10</v>
      </c>
      <c r="D5988" s="7">
        <v>4394</v>
      </c>
      <c r="E5988" s="7" t="s">
        <v>30</v>
      </c>
      <c r="F5988" s="8" t="str">
        <f ca="1">IFERROR(__xludf.DUMMYFUNCTION("IF
(
C5989=""фізична особа""
,
VLOOKUP(D5989,IMPORTRANGE(""https://docs.google.com/spreadsheets/d/14Bd19lYaqBhU8_DElYkX7l4wRkHqqCUFNJY4AfY3kHU/edit?usp=sharing  #gid=0"",""фіз особи new!relations_name""),6,FALSE)
,
(IF
(
C5989=""юридична особа""
,
VLOOKUP"&amp;"(D5989,IMPORTRANGE(""https://docs.google.com/spreadsheets/d/14Bd19lYaqBhU8_DElYkX7l4wRkHqqCUFNJY4AfY3kHU/edit?usp=sharing  #gid=0"",""фіз особи new!relations_name_uo""),7,FALSE)
,
)
))"),"ПОДТИННА Алла Аркадіївна")</f>
        <v>ПОДТИННА Алла Аркадіївна</v>
      </c>
      <c r="G5988" s="7" t="s">
        <v>10</v>
      </c>
      <c r="H5988" s="7">
        <v>23548</v>
      </c>
      <c r="I5988" s="8" t="str">
        <f ca="1">IFERROR(__xludf.DUMMYFUNCTION("IF
(
G5989=""фізична особа""
,
VLOOKUP(H5989,IMPORTRANGE(""https://docs.google.com/spreadsheets/d/14Bd19lYaqBhU8_DElYkX7l4wRkHqqCUFNJY4AfY3kHU/edit?usp=sharing  #gid=0"",""фіз особи new!relations_name""),6,FALSE)
,
(IF
(
G5989=""юридична особа""
,
VLOOKUP"&amp;"(H5989,IMPORTRANGE(""https://docs.google.com/spreadsheets/d/14Bd19lYaqBhU8_DElYkX7l4wRkHqqCUFNJY4AfY3kHU/edit?usp=sharing  #gid=0"",""фіз особи new!relations_name_uo""),7,FALSE)
,
)
))"),"ПЕСТРЯКОВА Альона Єгорівна")</f>
        <v>ПЕСТРЯКОВА Альона Єгорівна</v>
      </c>
      <c r="J5988" s="7" t="s">
        <v>30</v>
      </c>
    </row>
    <row r="5989" spans="1:10" ht="13.2">
      <c r="A5989" s="7">
        <v>5988</v>
      </c>
      <c r="B5989" s="7">
        <v>1</v>
      </c>
      <c r="C5989" s="7" t="s">
        <v>10</v>
      </c>
      <c r="D5989" s="7">
        <v>4935</v>
      </c>
      <c r="E5989" s="7" t="s">
        <v>13</v>
      </c>
      <c r="F5989" s="8" t="str">
        <f ca="1">IFERROR(__xludf.DUMMYFUNCTION("IF
(
C5990=""фізична особа""
,
VLOOKUP(D5990,IMPORTRANGE(""https://docs.google.com/spreadsheets/d/14Bd19lYaqBhU8_DElYkX7l4wRkHqqCUFNJY4AfY3kHU/edit?usp=sharing  #gid=0"",""фіз особи new!relations_name""),6,FALSE)
,
(IF
(
C5990=""юридична особа""
,
VLOOKUP"&amp;"(D5990,IMPORTRANGE(""https://docs.google.com/spreadsheets/d/14Bd19lYaqBhU8_DElYkX7l4wRkHqqCUFNJY4AfY3kHU/edit?usp=sharing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89" s="7" t="s">
        <v>10</v>
      </c>
      <c r="H5989" s="7">
        <v>2512</v>
      </c>
      <c r="I5989" s="8" t="str">
        <f ca="1">IFERROR(__xludf.DUMMYFUNCTION("IF
(
G5990=""фізична особа""
,
VLOOKUP(H5990,IMPORTRANGE(""https://docs.google.com/spreadsheets/d/14Bd19lYaqBhU8_DElYkX7l4wRkHqqCUFNJY4AfY3kHU/edit?usp=sharing  #gid=0"",""фіз особи new!relations_name""),6,FALSE)
,
(IF
(
G5990=""юридична особа""
,
VLOOKUP"&amp;"(H5990,IMPORTRANGE(""https://docs.google.com/spreadsheets/d/14Bd19lYaqBhU8_DElYkX7l4wRkHqqCUFNJY4AfY3kHU/edit?usp=sharing  #gid=0"",""фіз особи new!relations_name_uo""),7,FALSE)
,
)
))"),"Ніколаєв Айсен Сергійович")</f>
        <v>Ніколаєв Айсен Сергійович</v>
      </c>
      <c r="J5989" s="7" t="s">
        <v>12</v>
      </c>
    </row>
    <row r="5990" spans="1:10" ht="13.2">
      <c r="A5990" s="7">
        <v>5989</v>
      </c>
      <c r="B5990" s="7">
        <v>1</v>
      </c>
      <c r="C5990" s="7" t="s">
        <v>10</v>
      </c>
      <c r="D5990" s="7">
        <v>4935</v>
      </c>
      <c r="E5990" s="7" t="s">
        <v>13</v>
      </c>
      <c r="F5990" s="8" t="str">
        <f ca="1">IFERROR(__xludf.DUMMYFUNCTION("IF
(
C5991=""фізична особа""
,
VLOOKUP(D5991,IMPORTRANGE(""https://docs.google.com/spreadsheets/d/14Bd19lYaqBhU8_DElYkX7l4wRkHqqCUFNJY4AfY3kHU/edit?usp=sharing  #gid=0"",""фіз особи new!relations_name""),6,FALSE)
,
(IF
(
C5991=""юридична особа""
,
VLOOKUP"&amp;"(D5991,IMPORTRANGE(""https://docs.google.com/spreadsheets/d/14Bd19lYaqBhU8_DElYkX7l4wRkHqqCUFNJY4AfY3kHU/edit?usp=sharing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0" s="7" t="s">
        <v>10</v>
      </c>
      <c r="H5990" s="7">
        <v>4934</v>
      </c>
      <c r="I5990" s="8" t="str">
        <f ca="1">IFERROR(__xludf.DUMMYFUNCTION("IF
(
G5991=""фізична особа""
,
VLOOKUP(H5991,IMPORTRANGE(""https://docs.google.com/spreadsheets/d/14Bd19lYaqBhU8_DElYkX7l4wRkHqqCUFNJY4AfY3kHU/edit?usp=sharing  #gid=0"",""фіз особи new!relations_name""),6,FALSE)
,
(IF
(
G5991=""юридична особа""
,
VLOOKUP"&amp;"(H5991,IMPORTRANGE(""https://docs.google.com/spreadsheets/d/14Bd19lYaqBhU8_DElYkX7l4wRkHqqCUFNJY4AfY3kHU/edit?usp=sharing  #gid=0"",""фіз особи new!relations_name_uo""),7,FALSE)
,
)
))"),"НІКОЛАЄВА Людмила Валеріївна")</f>
        <v>НІКОЛАЄВА Людмила Валеріївна</v>
      </c>
      <c r="J5990" s="7" t="s">
        <v>21</v>
      </c>
    </row>
    <row r="5991" spans="1:10" ht="13.2">
      <c r="A5991" s="7">
        <v>5990</v>
      </c>
      <c r="B5991" s="7">
        <v>1</v>
      </c>
      <c r="C5991" s="7" t="s">
        <v>10</v>
      </c>
      <c r="D5991" s="7">
        <v>4935</v>
      </c>
      <c r="E5991" s="7" t="s">
        <v>31</v>
      </c>
      <c r="F5991" s="8" t="str">
        <f ca="1">IFERROR(__xludf.DUMMYFUNCTION("IF
(
C5992=""фізична особа""
,
VLOOKUP(D5992,IMPORTRANGE(""https://docs.google.com/spreadsheets/d/14Bd19lYaqBhU8_DElYkX7l4wRkHqqCUFNJY4AfY3kHU/edit?usp=sharing  #gid=0"",""фіз особи new!relations_name""),6,FALSE)
,
(IF
(
C5992=""юридична особа""
,
VLOOKUP"&amp;"(D5992,IMPORTRANGE(""https://docs.google.com/spreadsheets/d/14Bd19lYaqBhU8_DElYkX7l4wRkHqqCUFNJY4AfY3kHU/edit?usp=sharing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1" s="7" t="s">
        <v>10</v>
      </c>
      <c r="H5991" s="7">
        <v>0</v>
      </c>
      <c r="I5991" s="8" t="str">
        <f ca="1">IFERROR(__xludf.DUMMYFUNCTION("IF
(
G5992=""фізична особа""
,
VLOOKUP(H5992,IMPORTRANGE(""https://docs.google.com/spreadsheets/d/14Bd19lYaqBhU8_DElYkX7l4wRkHqqCUFNJY4AfY3kHU/edit?usp=sharing  #gid=0"",""фіз особи new!relations_name""),6,FALSE)
,
(IF
(
G5992=""юридична особа""
,
VLOOKUP"&amp;"(H5992,IMPORTRANGE(""https://docs.google.com/spreadsheets/d/14Bd19lYaqBhU8_DElYkX7l4wRkHqqCUFNJY4AfY3kHU/edit?usp=sharing  #gid=0"",""фіз особи new!relations_name_uo""),7,FALSE)
,
)
))"),"#N/A")</f>
        <v>#N/A</v>
      </c>
      <c r="J5991" s="7" t="s">
        <v>31</v>
      </c>
    </row>
    <row r="5992" spans="1:10" ht="13.2">
      <c r="A5992" s="7">
        <v>5991</v>
      </c>
      <c r="B5992" s="7">
        <v>1</v>
      </c>
      <c r="C5992" s="7" t="s">
        <v>10</v>
      </c>
      <c r="D5992" s="7">
        <v>4935</v>
      </c>
      <c r="E5992" s="7" t="s">
        <v>15</v>
      </c>
      <c r="F5992" s="8" t="str">
        <f ca="1">IFERROR(__xludf.DUMMYFUNCTION("IF
(
C5993=""фізична особа""
,
VLOOKUP(D5993,IMPORTRANGE(""https://docs.google.com/spreadsheets/d/14Bd19lYaqBhU8_DElYkX7l4wRkHqqCUFNJY4AfY3kHU/edit?usp=sharing  #gid=0"",""фіз особи new!relations_name""),6,FALSE)
,
(IF
(
C5993=""юридична особа""
,
VLOOKUP"&amp;"(D5993,IMPORTRANGE(""https://docs.google.com/spreadsheets/d/14Bd19lYaqBhU8_DElYkX7l4wRkHqqCUFNJY4AfY3kHU/edit?usp=sharing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2" s="7" t="s">
        <v>10</v>
      </c>
      <c r="H5992" s="7">
        <v>0</v>
      </c>
      <c r="I5992" s="8" t="str">
        <f ca="1">IFERROR(__xludf.DUMMYFUNCTION("IF
(
G5993=""фізична особа""
,
VLOOKUP(H5993,IMPORTRANGE(""https://docs.google.com/spreadsheets/d/14Bd19lYaqBhU8_DElYkX7l4wRkHqqCUFNJY4AfY3kHU/edit?usp=sharing  #gid=0"",""фіз особи new!relations_name""),6,FALSE)
,
(IF
(
G5993=""юридична особа""
,
VLOOKUP"&amp;"(H5993,IMPORTRANGE(""https://docs.google.com/spreadsheets/d/14Bd19lYaqBhU8_DElYkX7l4wRkHqqCUFNJY4AfY3kHU/edit?usp=sharing  #gid=0"",""фіз особи new!relations_name_uo""),7,FALSE)
,
)
))"),"#N/A")</f>
        <v>#N/A</v>
      </c>
      <c r="J5992" s="7" t="s">
        <v>14</v>
      </c>
    </row>
    <row r="5993" spans="1:10" ht="13.2">
      <c r="A5993" s="7">
        <v>5992</v>
      </c>
      <c r="B5993" s="7">
        <v>1</v>
      </c>
      <c r="C5993" s="7" t="s">
        <v>10</v>
      </c>
      <c r="D5993" s="7">
        <v>4935</v>
      </c>
      <c r="E5993" s="7" t="s">
        <v>25</v>
      </c>
      <c r="F5993" s="8" t="str">
        <f ca="1">IFERROR(__xludf.DUMMYFUNCTION("IF
(
C5994=""фізична особа""
,
VLOOKUP(D5994,IMPORTRANGE(""https://docs.google.com/spreadsheets/d/14Bd19lYaqBhU8_DElYkX7l4wRkHqqCUFNJY4AfY3kHU/edit?usp=sharing  #gid=0"",""фіз особи new!relations_name""),6,FALSE)
,
(IF
(
C5994=""юридична особа""
,
VLOOKUP"&amp;"(D5994,IMPORTRANGE(""https://docs.google.com/spreadsheets/d/14Bd19lYaqBhU8_DElYkX7l4wRkHqqCUFNJY4AfY3kHU/edit?usp=sharing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3" s="7" t="s">
        <v>10</v>
      </c>
      <c r="H5993" s="7">
        <v>0</v>
      </c>
      <c r="I5993" s="8" t="str">
        <f ca="1">IFERROR(__xludf.DUMMYFUNCTION("IF
(
G5994=""фізична особа""
,
VLOOKUP(H5994,IMPORTRANGE(""https://docs.google.com/spreadsheets/d/14Bd19lYaqBhU8_DElYkX7l4wRkHqqCUFNJY4AfY3kHU/edit?usp=sharing  #gid=0"",""фіз особи new!relations_name""),6,FALSE)
,
(IF
(
G5994=""юридична особа""
,
VLOOKUP"&amp;"(H5994,IMPORTRANGE(""https://docs.google.com/spreadsheets/d/14Bd19lYaqBhU8_DElYkX7l4wRkHqqCUFNJY4AfY3kHU/edit?usp=sharing  #gid=0"",""фіз особи new!relations_name_uo""),7,FALSE)
,
)
))"),"#N/A")</f>
        <v>#N/A</v>
      </c>
      <c r="J5993" s="7" t="s">
        <v>34</v>
      </c>
    </row>
    <row r="5994" spans="1:10" ht="13.2">
      <c r="A5994" s="7">
        <v>5993</v>
      </c>
      <c r="B5994" s="7">
        <v>1</v>
      </c>
      <c r="C5994" s="7" t="s">
        <v>10</v>
      </c>
      <c r="D5994" s="7">
        <v>4935</v>
      </c>
      <c r="E5994" s="7" t="s">
        <v>30</v>
      </c>
      <c r="F5994" s="8" t="str">
        <f ca="1">IFERROR(__xludf.DUMMYFUNCTION("IF
(
C5995=""фізична особа""
,
VLOOKUP(D5995,IMPORTRANGE(""https://docs.google.com/spreadsheets/d/14Bd19lYaqBhU8_DElYkX7l4wRkHqqCUFNJY4AfY3kHU/edit?usp=sharing  #gid=0"",""фіз особи new!relations_name""),6,FALSE)
,
(IF
(
C5995=""юридична особа""
,
VLOOKUP"&amp;"(D5995,IMPORTRANGE(""https://docs.google.com/spreadsheets/d/14Bd19lYaqBhU8_DElYkX7l4wRkHqqCUFNJY4AfY3kHU/edit?usp=sharing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4" s="7" t="s">
        <v>10</v>
      </c>
      <c r="H5994" s="7">
        <v>0</v>
      </c>
      <c r="I5994" s="8" t="str">
        <f ca="1">IFERROR(__xludf.DUMMYFUNCTION("IF
(
G5995=""фізична особа""
,
VLOOKUP(H5995,IMPORTRANGE(""https://docs.google.com/spreadsheets/d/14Bd19lYaqBhU8_DElYkX7l4wRkHqqCUFNJY4AfY3kHU/edit?usp=sharing  #gid=0"",""фіз особи new!relations_name""),6,FALSE)
,
(IF
(
G5995=""юридична особа""
,
VLOOKUP"&amp;"(H5995,IMPORTRANGE(""https://docs.google.com/spreadsheets/d/14Bd19lYaqBhU8_DElYkX7l4wRkHqqCUFNJY4AfY3kHU/edit?usp=sharing  #gid=0"",""фіз особи new!relations_name_uo""),7,FALSE)
,
)
))"),"#N/A")</f>
        <v>#N/A</v>
      </c>
      <c r="J5994" s="7" t="s">
        <v>30</v>
      </c>
    </row>
    <row r="5995" spans="1:10" ht="13.2">
      <c r="A5995" s="7">
        <v>5994</v>
      </c>
      <c r="B5995" s="7">
        <v>1</v>
      </c>
      <c r="C5995" s="7" t="s">
        <v>10</v>
      </c>
      <c r="D5995" s="7">
        <v>4935</v>
      </c>
      <c r="E5995" s="7" t="s">
        <v>30</v>
      </c>
      <c r="F5995" s="8" t="str">
        <f ca="1">IFERROR(__xludf.DUMMYFUNCTION("IF
(
C5996=""фізична особа""
,
VLOOKUP(D5996,IMPORTRANGE(""https://docs.google.com/spreadsheets/d/14Bd19lYaqBhU8_DElYkX7l4wRkHqqCUFNJY4AfY3kHU/edit?usp=sharing  #gid=0"",""фіз особи new!relations_name""),6,FALSE)
,
(IF
(
C5996=""юридична особа""
,
VLOOKUP"&amp;"(D5996,IMPORTRANGE(""https://docs.google.com/spreadsheets/d/14Bd19lYaqBhU8_DElYkX7l4wRkHqqCUFNJY4AfY3kHU/edit?usp=sharing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5" s="7" t="s">
        <v>10</v>
      </c>
      <c r="H5995" s="7">
        <v>23548</v>
      </c>
      <c r="I5995" s="8" t="str">
        <f ca="1">IFERROR(__xludf.DUMMYFUNCTION("IF
(
G5996=""фізична особа""
,
VLOOKUP(H5996,IMPORTRANGE(""https://docs.google.com/spreadsheets/d/14Bd19lYaqBhU8_DElYkX7l4wRkHqqCUFNJY4AfY3kHU/edit?usp=sharing  #gid=0"",""фіз особи new!relations_name""),6,FALSE)
,
(IF
(
G5996=""юридична особа""
,
VLOOKUP"&amp;"(H5996,IMPORTRANGE(""https://docs.google.com/spreadsheets/d/14Bd19lYaqBhU8_DElYkX7l4wRkHqqCUFNJY4AfY3kHU/edit?usp=sharing  #gid=0"",""фіз особи new!relations_name_uo""),7,FALSE)
,
)
))"),"ПЕСТРЯКОВА Альона Єгорівна")</f>
        <v>ПЕСТРЯКОВА Альона Єгорівна</v>
      </c>
      <c r="J5995" s="7" t="s">
        <v>30</v>
      </c>
    </row>
    <row r="5996" spans="1:10" ht="13.2">
      <c r="A5996" s="7">
        <v>5995</v>
      </c>
      <c r="B5996" s="7">
        <v>1</v>
      </c>
      <c r="C5996" s="7" t="s">
        <v>10</v>
      </c>
      <c r="D5996" s="7">
        <v>4935</v>
      </c>
      <c r="E5996" s="7" t="s">
        <v>30</v>
      </c>
      <c r="F5996" s="8" t="str">
        <f ca="1">IFERROR(__xludf.DUMMYFUNCTION("IF
(
C5997=""фізична особа""
,
VLOOKUP(D5997,IMPORTRANGE(""https://docs.google.com/spreadsheets/d/14Bd19lYaqBhU8_DElYkX7l4wRkHqqCUFNJY4AfY3kHU/edit?usp=sharing  #gid=0"",""фіз особи new!relations_name""),6,FALSE)
,
(IF
(
C5997=""юридична особа""
,
VLOOKUP"&amp;"(D5997,IMPORTRANGE(""https://docs.google.com/spreadsheets/d/14Bd19lYaqBhU8_DElYkX7l4wRkHqqCUFNJY4AfY3kHU/edit?usp=sharing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6" s="7" t="s">
        <v>10</v>
      </c>
      <c r="H5996" s="7">
        <v>0</v>
      </c>
      <c r="I5996" s="8" t="str">
        <f ca="1">IFERROR(__xludf.DUMMYFUNCTION("IF
(
G5997=""фізична особа""
,
VLOOKUP(H5997,IMPORTRANGE(""https://docs.google.com/spreadsheets/d/14Bd19lYaqBhU8_DElYkX7l4wRkHqqCUFNJY4AfY3kHU/edit?usp=sharing  #gid=0"",""фіз особи new!relations_name""),6,FALSE)
,
(IF
(
G5997=""юридична особа""
,
VLOOKUP"&amp;"(H5997,IMPORTRANGE(""https://docs.google.com/spreadsheets/d/14Bd19lYaqBhU8_DElYkX7l4wRkHqqCUFNJY4AfY3kHU/edit?usp=sharing  #gid=0"",""фіз особи new!relations_name_uo""),7,FALSE)
,
)
))"),"#N/A")</f>
        <v>#N/A</v>
      </c>
      <c r="J5996" s="7" t="s">
        <v>30</v>
      </c>
    </row>
    <row r="5997" spans="1:10" ht="13.2">
      <c r="A5997" s="7">
        <v>5996</v>
      </c>
      <c r="B5997" s="7">
        <v>1</v>
      </c>
      <c r="C5997" s="7" t="s">
        <v>10</v>
      </c>
      <c r="D5997" s="7">
        <v>4935</v>
      </c>
      <c r="E5997" s="7" t="s">
        <v>30</v>
      </c>
      <c r="F5997" s="8" t="str">
        <f ca="1">IFERROR(__xludf.DUMMYFUNCTION("IF
(
C5998=""фізична особа""
,
VLOOKUP(D5998,IMPORTRANGE(""https://docs.google.com/spreadsheets/d/14Bd19lYaqBhU8_DElYkX7l4wRkHqqCUFNJY4AfY3kHU/edit?usp=sharing  #gid=0"",""фіз особи new!relations_name""),6,FALSE)
,
(IF
(
C5998=""юридична особа""
,
VLOOKUP"&amp;"(D5998,IMPORTRANGE(""https://docs.google.com/spreadsheets/d/14Bd19lYaqBhU8_DElYkX7l4wRkHqqCUFNJY4AfY3kHU/edit?usp=sharing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7" s="7" t="s">
        <v>10</v>
      </c>
      <c r="H5997" s="7">
        <v>0</v>
      </c>
      <c r="I5997" s="8" t="str">
        <f ca="1">IFERROR(__xludf.DUMMYFUNCTION("IF
(
G5998=""фізична особа""
,
VLOOKUP(H5998,IMPORTRANGE(""https://docs.google.com/spreadsheets/d/14Bd19lYaqBhU8_DElYkX7l4wRkHqqCUFNJY4AfY3kHU/edit?usp=sharing  #gid=0"",""фіз особи new!relations_name""),6,FALSE)
,
(IF
(
G5998=""юридична особа""
,
VLOOKUP"&amp;"(H5998,IMPORTRANGE(""https://docs.google.com/spreadsheets/d/14Bd19lYaqBhU8_DElYkX7l4wRkHqqCUFNJY4AfY3kHU/edit?usp=sharing  #gid=0"",""фіз особи new!relations_name_uo""),7,FALSE)
,
)
))"),"#N/A")</f>
        <v>#N/A</v>
      </c>
      <c r="J5997" s="7" t="s">
        <v>30</v>
      </c>
    </row>
    <row r="5998" spans="1:10" ht="13.2">
      <c r="A5998" s="7">
        <v>5997</v>
      </c>
      <c r="B5998" s="7">
        <v>1</v>
      </c>
      <c r="C5998" s="7" t="s">
        <v>10</v>
      </c>
      <c r="D5998" s="7">
        <v>4935</v>
      </c>
      <c r="E5998" s="7" t="s">
        <v>30</v>
      </c>
      <c r="F5998" s="8" t="str">
        <f ca="1">IFERROR(__xludf.DUMMYFUNCTION("IF
(
C5999=""фізична особа""
,
VLOOKUP(D5999,IMPORTRANGE(""https://docs.google.com/spreadsheets/d/14Bd19lYaqBhU8_DElYkX7l4wRkHqqCUFNJY4AfY3kHU/edit?usp=sharing  #gid=0"",""фіз особи new!relations_name""),6,FALSE)
,
(IF
(
C5999=""юридична особа""
,
VLOOKUP"&amp;"(D5999,IMPORTRANGE(""https://docs.google.com/spreadsheets/d/14Bd19lYaqBhU8_DElYkX7l4wRkHqqCUFNJY4AfY3kHU/edit?usp=sharing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8" s="7" t="s">
        <v>10</v>
      </c>
      <c r="H5998" s="7">
        <v>0</v>
      </c>
      <c r="I5998" s="8" t="str">
        <f ca="1">IFERROR(__xludf.DUMMYFUNCTION("IF
(
G5999=""фізична особа""
,
VLOOKUP(H5999,IMPORTRANGE(""https://docs.google.com/spreadsheets/d/14Bd19lYaqBhU8_DElYkX7l4wRkHqqCUFNJY4AfY3kHU/edit?usp=sharing  #gid=0"",""фіз особи new!relations_name""),6,FALSE)
,
(IF
(
G5999=""юридична особа""
,
VLOOKUP"&amp;"(H5999,IMPORTRANGE(""https://docs.google.com/spreadsheets/d/14Bd19lYaqBhU8_DElYkX7l4wRkHqqCUFNJY4AfY3kHU/edit?usp=sharing  #gid=0"",""фіз особи new!relations_name_uo""),7,FALSE)
,
)
))"),"#N/A")</f>
        <v>#N/A</v>
      </c>
      <c r="J5998" s="7" t="s">
        <v>30</v>
      </c>
    </row>
    <row r="5999" spans="1:10" ht="13.2">
      <c r="A5999" s="7">
        <v>5998</v>
      </c>
      <c r="B5999" s="7">
        <v>1</v>
      </c>
      <c r="C5999" s="7" t="s">
        <v>10</v>
      </c>
      <c r="D5999" s="7">
        <v>4935</v>
      </c>
      <c r="E5999" s="7" t="s">
        <v>30</v>
      </c>
      <c r="F5999" s="8" t="str">
        <f ca="1">IFERROR(__xludf.DUMMYFUNCTION("IF
(
C6000=""фізична особа""
,
VLOOKUP(D6000,IMPORTRANGE(""https://docs.google.com/spreadsheets/d/14Bd19lYaqBhU8_DElYkX7l4wRkHqqCUFNJY4AfY3kHU/edit?usp=sharing  #gid=0"",""фіз особи new!relations_name""),6,FALSE)
,
(IF
(
C6000=""юридична особа""
,
VLOOKUP"&amp;"(D6000,IMPORTRANGE(""https://docs.google.com/spreadsheets/d/14Bd19lYaqBhU8_DElYkX7l4wRkHqqCUFNJY4AfY3kHU/edit?usp=sharing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5999" s="7" t="s">
        <v>10</v>
      </c>
      <c r="H5999" s="7">
        <v>0</v>
      </c>
      <c r="I5999" s="8" t="str">
        <f ca="1">IFERROR(__xludf.DUMMYFUNCTION("IF
(
G6000=""фізична особа""
,
VLOOKUP(H6000,IMPORTRANGE(""https://docs.google.com/spreadsheets/d/14Bd19lYaqBhU8_DElYkX7l4wRkHqqCUFNJY4AfY3kHU/edit?usp=sharing  #gid=0"",""фіз особи new!relations_name""),6,FALSE)
,
(IF
(
G6000=""юридична особа""
,
VLOOKUP"&amp;"(H6000,IMPORTRANGE(""https://docs.google.com/spreadsheets/d/14Bd19lYaqBhU8_DElYkX7l4wRkHqqCUFNJY4AfY3kHU/edit?usp=sharing  #gid=0"",""фіз особи new!relations_name_uo""),7,FALSE)
,
)
))"),"#N/A")</f>
        <v>#N/A</v>
      </c>
      <c r="J5999" s="7" t="s">
        <v>30</v>
      </c>
    </row>
    <row r="6000" spans="1:10" ht="13.2">
      <c r="A6000" s="7">
        <v>5999</v>
      </c>
      <c r="B6000" s="7">
        <v>1</v>
      </c>
      <c r="C6000" s="7" t="s">
        <v>10</v>
      </c>
      <c r="D6000" s="7">
        <v>4935</v>
      </c>
      <c r="E6000" s="7" t="s">
        <v>30</v>
      </c>
      <c r="F6000" s="8" t="str">
        <f ca="1">IFERROR(__xludf.DUMMYFUNCTION("IF
(
C6001=""фізична особа""
,
VLOOKUP(D6001,IMPORTRANGE(""https://docs.google.com/spreadsheets/d/14Bd19lYaqBhU8_DElYkX7l4wRkHqqCUFNJY4AfY3kHU/edit?usp=sharing  #gid=0"",""фіз особи new!relations_name""),6,FALSE)
,
(IF
(
C6001=""юридична особа""
,
VLOOKUP"&amp;"(D6001,IMPORTRANGE(""https://docs.google.com/spreadsheets/d/14Bd19lYaqBhU8_DElYkX7l4wRkHqqCUFNJY4AfY3kHU/edit?usp=sharing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6000" s="7" t="s">
        <v>10</v>
      </c>
      <c r="H6000" s="7">
        <v>0</v>
      </c>
      <c r="I6000" s="8" t="str">
        <f ca="1">IFERROR(__xludf.DUMMYFUNCTION("IF
(
G6001=""фізична особа""
,
VLOOKUP(H6001,IMPORTRANGE(""https://docs.google.com/spreadsheets/d/14Bd19lYaqBhU8_DElYkX7l4wRkHqqCUFNJY4AfY3kHU/edit?usp=sharing  #gid=0"",""фіз особи new!relations_name""),6,FALSE)
,
(IF
(
G6001=""юридична особа""
,
VLOOKUP"&amp;"(H6001,IMPORTRANGE(""https://docs.google.com/spreadsheets/d/14Bd19lYaqBhU8_DElYkX7l4wRkHqqCUFNJY4AfY3kHU/edit?usp=sharing  #gid=0"",""фіз особи new!relations_name_uo""),7,FALSE)
,
)
))"),"#N/A")</f>
        <v>#N/A</v>
      </c>
      <c r="J6000" s="7" t="s">
        <v>30</v>
      </c>
    </row>
    <row r="6001" spans="1:10" ht="13.2">
      <c r="A6001" s="7">
        <v>6000</v>
      </c>
      <c r="B6001" s="7">
        <v>1</v>
      </c>
      <c r="C6001" s="7" t="s">
        <v>10</v>
      </c>
      <c r="D6001" s="7">
        <v>4935</v>
      </c>
      <c r="E6001" s="7" t="s">
        <v>30</v>
      </c>
      <c r="F6001" s="8" t="str">
        <f ca="1">IFERROR(__xludf.DUMMYFUNCTION("IF
(
C6002=""фізична особа""
,
VLOOKUP(D6002,IMPORTRANGE(""https://docs.google.com/spreadsheets/d/14Bd19lYaqBhU8_DElYkX7l4wRkHqqCUFNJY4AfY3kHU/edit?usp=sharing  #gid=0"",""фіз особи new!relations_name""),6,FALSE)
,
(IF
(
C6002=""юридична особа""
,
VLOOKUP"&amp;"(D6002,IMPORTRANGE(""https://docs.google.com/spreadsheets/d/14Bd19lYaqBhU8_DElYkX7l4wRkHqqCUFNJY4AfY3kHU/edit?usp=sharing  #gid=0"",""фіз особи new!relations_name_uo""),7,FALSE)
,
)
))"),"НІКОЛАЄВА Ганна Айсенівна")</f>
        <v>НІКОЛАЄВА Ганна Айсенівна</v>
      </c>
      <c r="G6001" s="7" t="s">
        <v>10</v>
      </c>
      <c r="H6001" s="7">
        <v>0</v>
      </c>
      <c r="I6001" s="8" t="str">
        <f ca="1">IFERROR(__xludf.DUMMYFUNCTION("IF
(
G6002=""фізична особа""
,
VLOOKUP(H6002,IMPORTRANGE(""https://docs.google.com/spreadsheets/d/14Bd19lYaqBhU8_DElYkX7l4wRkHqqCUFNJY4AfY3kHU/edit?usp=sharing  #gid=0"",""фіз особи new!relations_name""),6,FALSE)
,
(IF
(
G6002=""юридична особа""
,
VLOOKUP"&amp;"(H6002,IMPORTRANGE(""https://docs.google.com/spreadsheets/d/14Bd19lYaqBhU8_DElYkX7l4wRkHqqCUFNJY4AfY3kHU/edit?usp=sharing  #gid=0"",""фіз особи new!relations_name_uo""),7,FALSE)
,
)
))"),"#N/A")</f>
        <v>#N/A</v>
      </c>
      <c r="J6001" s="7" t="s">
        <v>30</v>
      </c>
    </row>
    <row r="6002" spans="1:10" ht="13.2">
      <c r="A6002" s="7">
        <v>6001</v>
      </c>
      <c r="B6002" s="7">
        <v>1</v>
      </c>
      <c r="C6002" s="7" t="s">
        <v>10</v>
      </c>
      <c r="D6002" s="7">
        <v>4936</v>
      </c>
      <c r="E6002" s="7" t="s">
        <v>31</v>
      </c>
      <c r="F6002" s="8" t="str">
        <f ca="1">IFERROR(__xludf.DUMMYFUNCTION("IF
(
C6003=""фізична особа""
,
VLOOKUP(D6003,IMPORTRANGE(""https://docs.google.com/spreadsheets/d/14Bd19lYaqBhU8_DElYkX7l4wRkHqqCUFNJY4AfY3kHU/edit?usp=sharing  #gid=0"",""фіз особи new!relations_name""),6,FALSE)
,
(IF
(
C6003=""юридична особа""
,
VLOOKUP"&amp;"(D6003,IMPORTRANGE(""https://docs.google.com/spreadsheets/d/14Bd19lYaqBhU8_DElYkX7l4wRkHqqCUFNJY4AfY3kHU/edit?usp=sharing  #gid=0"",""фіз особи new!relations_name_uo""),7,FALSE)
,
)
))"),"НІКОЛАЄВА / КУЛАКОВСЬКА / ДМИТРІЄВА Аяна Сергіївна")</f>
        <v>НІКОЛАЄВА / КУЛАКОВСЬКА / ДМИТРІЄВА Аяна Сергіївна</v>
      </c>
      <c r="G6002" s="7" t="s">
        <v>10</v>
      </c>
      <c r="H6002" s="7">
        <v>0</v>
      </c>
      <c r="I6002" s="8" t="str">
        <f ca="1">IFERROR(__xludf.DUMMYFUNCTION("IF
(
G6003=""фізична особа""
,
VLOOKUP(H6003,IMPORTRANGE(""https://docs.google.com/spreadsheets/d/14Bd19lYaqBhU8_DElYkX7l4wRkHqqCUFNJY4AfY3kHU/edit?usp=sharing  #gid=0"",""фіз особи new!relations_name""),6,FALSE)
,
(IF
(
G6003=""юридична особа""
,
VLOOKUP"&amp;"(H6003,IMPORTRANGE(""https://docs.google.com/spreadsheets/d/14Bd19lYaqBhU8_DElYkX7l4wRkHqqCUFNJY4AfY3kHU/edit?usp=sharing  #gid=0"",""фіз особи new!relations_name_uo""),7,FALSE)
,
)
))"),"#N/A")</f>
        <v>#N/A</v>
      </c>
      <c r="J6002" s="7" t="s">
        <v>18</v>
      </c>
    </row>
    <row r="6003" spans="1:10" ht="13.2">
      <c r="A6003" s="7">
        <v>6002</v>
      </c>
      <c r="B6003" s="7">
        <v>1</v>
      </c>
      <c r="C6003" s="7" t="s">
        <v>10</v>
      </c>
      <c r="D6003" s="7">
        <v>4937</v>
      </c>
      <c r="E6003" s="7" t="s">
        <v>15</v>
      </c>
      <c r="F6003" s="8" t="str">
        <f ca="1">IFERROR(__xludf.DUMMYFUNCTION("IF
(
C6004=""фізична особа""
,
VLOOKUP(D6004,IMPORTRANGE(""https://docs.google.com/spreadsheets/d/14Bd19lYaqBhU8_DElYkX7l4wRkHqqCUFNJY4AfY3kHU/edit?usp=sharing  #gid=0"",""фіз особи new!relations_name""),6,FALSE)
,
(IF
(
C6004=""юридична особа""
,
VLOOKUP"&amp;"(D6004,IMPORTRANGE(""https://docs.google.com/spreadsheets/d/14Bd19lYaqBhU8_DElYkX7l4wRkHqqCUFNJY4AfY3kHU/edit?usp=sharing  #gid=0"",""фіз особи new!relations_name_uo""),7,FALSE)
,
)
))"),"НІКІТІНА Катерина Сергіївна")</f>
        <v>НІКІТІНА Катерина Сергіївна</v>
      </c>
      <c r="G6003" s="7" t="s">
        <v>10</v>
      </c>
      <c r="H6003" s="7">
        <v>2547</v>
      </c>
      <c r="I6003" s="8" t="str">
        <f ca="1">IFERROR(__xludf.DUMMYFUNCTION("IF
(
G6004=""фізична особа""
,
VLOOKUP(H6004,IMPORTRANGE(""https://docs.google.com/spreadsheets/d/14Bd19lYaqBhU8_DElYkX7l4wRkHqqCUFNJY4AfY3kHU/edit?usp=sharing  #gid=0"",""фіз особи new!relations_name""),6,FALSE)
,
(IF
(
G6004=""юридична особа""
,
VLOOKUP"&amp;"(H6004,IMPORTRANGE(""https://docs.google.com/spreadsheets/d/14Bd19lYaqBhU8_DElYkX7l4wRkHqqCUFNJY4AfY3kHU/edit?usp=sharing  #gid=0"",""фіз особи new!relations_name_uo""),7,FALSE)
,
)
))"),"НІКІТІН Гліб Сергійович")</f>
        <v>НІКІТІН Гліб Сергійович</v>
      </c>
      <c r="J6003" s="7" t="s">
        <v>14</v>
      </c>
    </row>
    <row r="6004" spans="1:10" ht="13.2">
      <c r="A6004" s="7">
        <v>6003</v>
      </c>
      <c r="B6004" s="7">
        <v>1</v>
      </c>
      <c r="C6004" s="7" t="s">
        <v>10</v>
      </c>
      <c r="D6004" s="7">
        <v>4937</v>
      </c>
      <c r="E6004" s="7" t="s">
        <v>21</v>
      </c>
      <c r="F6004" s="8" t="str">
        <f ca="1">IFERROR(__xludf.DUMMYFUNCTION("IF
(
C6005=""фізична особа""
,
VLOOKUP(D6005,IMPORTRANGE(""https://docs.google.com/spreadsheets/d/14Bd19lYaqBhU8_DElYkX7l4wRkHqqCUFNJY4AfY3kHU/edit?usp=sharing  #gid=0"",""фіз особи new!relations_name""),6,FALSE)
,
(IF
(
C6005=""юридична особа""
,
VLOOKUP"&amp;"(D6005,IMPORTRANGE(""https://docs.google.com/spreadsheets/d/14Bd19lYaqBhU8_DElYkX7l4wRkHqqCUFNJY4AfY3kHU/edit?usp=sharing  #gid=0"",""фіз особи new!relations_name_uo""),7,FALSE)
,
)
))"),"НІКІТІНА Катерина Сергіївна")</f>
        <v>НІКІТІНА Катерина Сергіївна</v>
      </c>
      <c r="G6004" s="7" t="s">
        <v>10</v>
      </c>
      <c r="H6004" s="7">
        <v>23505</v>
      </c>
      <c r="I6004" s="8" t="str">
        <f ca="1">IFERROR(__xludf.DUMMYFUNCTION("IF
(
G6005=""фізична особа""
,
VLOOKUP(H6005,IMPORTRANGE(""https://docs.google.com/spreadsheets/d/14Bd19lYaqBhU8_DElYkX7l4wRkHqqCUFNJY4AfY3kHU/edit?usp=sharing  #gid=0"",""фіз особи new!relations_name""),6,FALSE)
,
(IF
(
G6005=""юридична особа""
,
VLOOKUP"&amp;"(H6005,IMPORTRANGE(""https://docs.google.com/spreadsheets/d/14Bd19lYaqBhU8_DElYkX7l4wRkHqqCUFNJY4AfY3kHU/edit?usp=sharing  #gid=0"",""фіз особи new!relations_name_uo""),7,FALSE)
,
)
))"),"НІКІТІН Петро Глібович")</f>
        <v>НІКІТІН Петро Глібович</v>
      </c>
      <c r="J6004" s="7" t="s">
        <v>17</v>
      </c>
    </row>
    <row r="6005" spans="1:10" ht="13.2">
      <c r="A6005" s="7">
        <v>6004</v>
      </c>
      <c r="B6005" s="7">
        <v>1</v>
      </c>
      <c r="C6005" s="7" t="s">
        <v>10</v>
      </c>
      <c r="D6005" s="7">
        <v>4937</v>
      </c>
      <c r="E6005" s="7" t="s">
        <v>21</v>
      </c>
      <c r="F6005" s="8" t="str">
        <f ca="1">IFERROR(__xludf.DUMMYFUNCTION("IF
(
C6006=""фізична особа""
,
VLOOKUP(D6006,IMPORTRANGE(""https://docs.google.com/spreadsheets/d/14Bd19lYaqBhU8_DElYkX7l4wRkHqqCUFNJY4AfY3kHU/edit?usp=sharing  #gid=0"",""фіз особи new!relations_name""),6,FALSE)
,
(IF
(
C6006=""юридична особа""
,
VLOOKUP"&amp;"(D6006,IMPORTRANGE(""https://docs.google.com/spreadsheets/d/14Bd19lYaqBhU8_DElYkX7l4wRkHqqCUFNJY4AfY3kHU/edit?usp=sharing  #gid=0"",""фіз особи new!relations_name_uo""),7,FALSE)
,
)
))"),"НІКІТІНА Катерина Сергіївна")</f>
        <v>НІКІТІНА Катерина Сергіївна</v>
      </c>
      <c r="G6005" s="7" t="s">
        <v>10</v>
      </c>
      <c r="H6005" s="7">
        <v>23506</v>
      </c>
      <c r="I6005" s="8" t="str">
        <f ca="1">IFERROR(__xludf.DUMMYFUNCTION("IF
(
G6006=""фізична особа""
,
VLOOKUP(H6006,IMPORTRANGE(""https://docs.google.com/spreadsheets/d/14Bd19lYaqBhU8_DElYkX7l4wRkHqqCUFNJY4AfY3kHU/edit?usp=sharing  #gid=0"",""фіз особи new!relations_name""),6,FALSE)
,
(IF
(
G6006=""юридична особа""
,
VLOOKUP"&amp;"(H6006,IMPORTRANGE(""https://docs.google.com/spreadsheets/d/14Bd19lYaqBhU8_DElYkX7l4wRkHqqCUFNJY4AfY3kHU/edit?usp=sharing  #gid=0"",""фіз особи new!relations_name_uo""),7,FALSE)
,
)
))"),"НІКІТІНА Арина Глібівна")</f>
        <v>НІКІТІНА Арина Глібівна</v>
      </c>
      <c r="J6005" s="7" t="s">
        <v>13</v>
      </c>
    </row>
    <row r="6006" spans="1:10" ht="13.2">
      <c r="A6006" s="7">
        <v>6005</v>
      </c>
      <c r="B6006" s="7">
        <v>1</v>
      </c>
      <c r="C6006" s="7" t="s">
        <v>10</v>
      </c>
      <c r="D6006" s="7">
        <v>4938</v>
      </c>
      <c r="E6006" s="7" t="s">
        <v>14</v>
      </c>
      <c r="F6006" s="8" t="str">
        <f ca="1">IFERROR(__xludf.DUMMYFUNCTION("IF
(
C6007=""фізична особа""
,
VLOOKUP(D6007,IMPORTRANGE(""https://docs.google.com/spreadsheets/d/14Bd19lYaqBhU8_DElYkX7l4wRkHqqCUFNJY4AfY3kHU/edit?usp=sharing  #gid=0"",""фіз особи new!relations_name""),6,FALSE)
,
(IF
(
C6007=""юридична особа""
,
VLOOKUP"&amp;"(D6007,IMPORTRANGE(""https://docs.google.com/spreadsheets/d/14Bd19lYaqBhU8_DElYkX7l4wRkHqqCUFNJY4AfY3kHU/edit?usp=sharing  #gid=0"",""фіз особи new!relations_name_uo""),7,FALSE)
,
)
))"),"НЕТЬОСОВ Володимир Іванович")</f>
        <v>НЕТЬОСОВ Володимир Іванович</v>
      </c>
      <c r="G6006" s="7" t="s">
        <v>10</v>
      </c>
      <c r="H6006" s="7">
        <v>0</v>
      </c>
      <c r="I6006" s="8" t="str">
        <f ca="1">IFERROR(__xludf.DUMMYFUNCTION("IF
(
G6007=""фізична особа""
,
VLOOKUP(H6007,IMPORTRANGE(""https://docs.google.com/spreadsheets/d/14Bd19lYaqBhU8_DElYkX7l4wRkHqqCUFNJY4AfY3kHU/edit?usp=sharing  #gid=0"",""фіз особи new!relations_name""),6,FALSE)
,
(IF
(
G6007=""юридична особа""
,
VLOOKUP"&amp;"(H6007,IMPORTRANGE(""https://docs.google.com/spreadsheets/d/14Bd19lYaqBhU8_DElYkX7l4wRkHqqCUFNJY4AfY3kHU/edit?usp=sharing  #gid=0"",""фіз особи new!relations_name_uo""),7,FALSE)
,
)
))"),"#N/A")</f>
        <v>#N/A</v>
      </c>
      <c r="J6006" s="7" t="s">
        <v>15</v>
      </c>
    </row>
    <row r="6007" spans="1:10" ht="13.2">
      <c r="A6007" s="7">
        <v>6006</v>
      </c>
      <c r="B6007" s="7">
        <v>1</v>
      </c>
      <c r="C6007" s="7" t="s">
        <v>10</v>
      </c>
      <c r="D6007" s="7">
        <v>4939</v>
      </c>
      <c r="E6007" s="7" t="s">
        <v>20</v>
      </c>
      <c r="F6007" s="8" t="str">
        <f ca="1">IFERROR(__xludf.DUMMYFUNCTION("IF
(
C6008=""фізична особа""
,
VLOOKUP(D6008,IMPORTRANGE(""https://docs.google.com/spreadsheets/d/14Bd19lYaqBhU8_DElYkX7l4wRkHqqCUFNJY4AfY3kHU/edit?usp=sharing  #gid=0"",""фіз особи new!relations_name""),6,FALSE)
,
(IF
(
C6008=""юридична особа""
,
VLOOKUP"&amp;"(D6008,IMPORTRANGE(""https://docs.google.com/spreadsheets/d/14Bd19lYaqBhU8_DElYkX7l4wRkHqqCUFNJY4AfY3kHU/edit?usp=sharing  #gid=0"",""фіз особи new!relations_name_uo""),7,FALSE)
,
)
))"),"АЙДАМІРОВ Магомед Асламбекович")</f>
        <v>АЙДАМІРОВ Магомед Асламбекович</v>
      </c>
      <c r="G6007" s="7" t="s">
        <v>10</v>
      </c>
      <c r="H6007" s="7">
        <v>609</v>
      </c>
      <c r="I6007" s="8" t="str">
        <f ca="1">IFERROR(__xludf.DUMMYFUNCTION("IF
(
G6008=""фізична особа""
,
VLOOKUP(H6008,IMPORTRANGE(""https://docs.google.com/spreadsheets/d/14Bd19lYaqBhU8_DElYkX7l4wRkHqqCUFNJY4AfY3kHU/edit?usp=sharing  #gid=0"",""фіз особи new!relations_name""),6,FALSE)
,
(IF
(
G6008=""юридична особа""
,
VLOOKUP"&amp;"(H6008,IMPORTRANGE(""https://docs.google.com/spreadsheets/d/14Bd19lYaqBhU8_DElYkX7l4wRkHqqCUFNJY4AfY3kHU/edit?usp=sharing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07" s="7" t="s">
        <v>19</v>
      </c>
    </row>
    <row r="6008" spans="1:10" ht="13.2">
      <c r="A6008" s="7">
        <v>6007</v>
      </c>
      <c r="B6008" s="7">
        <v>1</v>
      </c>
      <c r="C6008" s="7" t="s">
        <v>10</v>
      </c>
      <c r="D6008" s="7">
        <v>4940</v>
      </c>
      <c r="E6008" s="7" t="s">
        <v>17</v>
      </c>
      <c r="F6008" s="8" t="str">
        <f ca="1">IFERROR(__xludf.DUMMYFUNCTION("IF
(
C6009=""фізична особа""
,
VLOOKUP(D6009,IMPORTRANGE(""https://docs.google.com/spreadsheets/d/14Bd19lYaqBhU8_DElYkX7l4wRkHqqCUFNJY4AfY3kHU/edit?usp=sharing  #gid=0"",""фіз особи new!relations_name""),6,FALSE)
,
(IF
(
C6009=""юридична особа""
,
VLOOKUP"&amp;"(D6009,IMPORTRANGE(""https://docs.google.com/spreadsheets/d/14Bd19lYaqBhU8_DElYkX7l4wRkHqqCUFNJY4AfY3kHU/edit?usp=sharing  #gid=0"",""фіз особи new!relations_name_uo""),7,FALSE)
,
)
))"),"КАДИРОВ Елі Рамзанович")</f>
        <v>КАДИРОВ Елі Рамзанович</v>
      </c>
      <c r="G6008" s="7" t="s">
        <v>10</v>
      </c>
      <c r="H6008" s="7">
        <v>609</v>
      </c>
      <c r="I6008" s="8" t="str">
        <f ca="1">IFERROR(__xludf.DUMMYFUNCTION("IF
(
G6009=""фізична особа""
,
VLOOKUP(H6009,IMPORTRANGE(""https://docs.google.com/spreadsheets/d/14Bd19lYaqBhU8_DElYkX7l4wRkHqqCUFNJY4AfY3kHU/edit?usp=sharing  #gid=0"",""фіз особи new!relations_name""),6,FALSE)
,
(IF
(
G6009=""юридична особа""
,
VLOOKUP"&amp;"(H6009,IMPORTRANGE(""https://docs.google.com/spreadsheets/d/14Bd19lYaqBhU8_DElYkX7l4wRkHqqCUFNJY4AfY3kHU/edit?usp=sharing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08" s="7" t="s">
        <v>12</v>
      </c>
    </row>
    <row r="6009" spans="1:10" ht="13.2">
      <c r="A6009" s="7">
        <v>6008</v>
      </c>
      <c r="B6009" s="7">
        <v>1</v>
      </c>
      <c r="C6009" s="7" t="s">
        <v>10</v>
      </c>
      <c r="D6009" s="7">
        <v>4941</v>
      </c>
      <c r="E6009" s="7" t="s">
        <v>20</v>
      </c>
      <c r="F6009" s="8" t="str">
        <f ca="1">IFERROR(__xludf.DUMMYFUNCTION("IF
(
C6010=""фізична особа""
,
VLOOKUP(D6010,IMPORTRANGE(""https://docs.google.com/spreadsheets/d/14Bd19lYaqBhU8_DElYkX7l4wRkHqqCUFNJY4AfY3kHU/edit?usp=sharing  #gid=0"",""фіз особи new!relations_name""),6,FALSE)
,
(IF
(
C6010=""юридична особа""
,
VLOOKUP"&amp;"(D6010,IMPORTRANGE(""https://docs.google.com/spreadsheets/d/14Bd19lYaqBhU8_DElYkX7l4wRkHqqCUFNJY4AfY3kHU/edit?usp=sharing  #gid=0"",""фіз особи new!relations_name_uo""),7,FALSE)
,
)
))"),"КАДИРОВ Аббас")</f>
        <v>КАДИРОВ Аббас</v>
      </c>
      <c r="G6009" s="7" t="s">
        <v>10</v>
      </c>
      <c r="H6009" s="7">
        <v>609</v>
      </c>
      <c r="I6009" s="8" t="str">
        <f ca="1">IFERROR(__xludf.DUMMYFUNCTION("IF
(
G6010=""фізична особа""
,
VLOOKUP(H6010,IMPORTRANGE(""https://docs.google.com/spreadsheets/d/14Bd19lYaqBhU8_DElYkX7l4wRkHqqCUFNJY4AfY3kHU/edit?usp=sharing  #gid=0"",""фіз особи new!relations_name""),6,FALSE)
,
(IF
(
G6010=""юридична особа""
,
VLOOKUP"&amp;"(H6010,IMPORTRANGE(""https://docs.google.com/spreadsheets/d/14Bd19lYaqBhU8_DElYkX7l4wRkHqqCUFNJY4AfY3kHU/edit?usp=sharing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09" s="7" t="s">
        <v>19</v>
      </c>
    </row>
    <row r="6010" spans="1:10" ht="13.2">
      <c r="A6010" s="7">
        <v>6009</v>
      </c>
      <c r="B6010" s="7">
        <v>1</v>
      </c>
      <c r="C6010" s="7" t="s">
        <v>10</v>
      </c>
      <c r="D6010" s="7">
        <v>4942</v>
      </c>
      <c r="E6010" s="7" t="s">
        <v>20</v>
      </c>
      <c r="F6010" s="8" t="str">
        <f ca="1">IFERROR(__xludf.DUMMYFUNCTION("IF
(
C6011=""фізична особа""
,
VLOOKUP(D6011,IMPORTRANGE(""https://docs.google.com/spreadsheets/d/14Bd19lYaqBhU8_DElYkX7l4wRkHqqCUFNJY4AfY3kHU/edit?usp=sharing  #gid=0"",""фіз особи new!relations_name""),6,FALSE)
,
(IF
(
C6011=""юридична особа""
,
VLOOKUP"&amp;"(D6011,IMPORTRANGE(""https://docs.google.com/spreadsheets/d/14Bd19lYaqBhU8_DElYkX7l4wRkHqqCUFNJY4AfY3kHU/edit?usp=sharing  #gid=0"",""фіз особи new!relations_name_uo""),7,FALSE)
,
)
))"),"КАДИРОВ Халід")</f>
        <v>КАДИРОВ Халід</v>
      </c>
      <c r="G6010" s="7" t="s">
        <v>10</v>
      </c>
      <c r="H6010" s="7">
        <v>609</v>
      </c>
      <c r="I6010" s="8" t="str">
        <f ca="1">IFERROR(__xludf.DUMMYFUNCTION("IF
(
G6011=""фізична особа""
,
VLOOKUP(H6011,IMPORTRANGE(""https://docs.google.com/spreadsheets/d/14Bd19lYaqBhU8_DElYkX7l4wRkHqqCUFNJY4AfY3kHU/edit?usp=sharing  #gid=0"",""фіз особи new!relations_name""),6,FALSE)
,
(IF
(
G6011=""юридична особа""
,
VLOOKUP"&amp;"(H6011,IMPORTRANGE(""https://docs.google.com/spreadsheets/d/14Bd19lYaqBhU8_DElYkX7l4wRkHqqCUFNJY4AfY3kHU/edit?usp=sharing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0" s="7" t="s">
        <v>19</v>
      </c>
    </row>
    <row r="6011" spans="1:10" ht="13.2">
      <c r="A6011" s="7">
        <v>6010</v>
      </c>
      <c r="B6011" s="7">
        <v>1</v>
      </c>
      <c r="C6011" s="7" t="s">
        <v>10</v>
      </c>
      <c r="D6011" s="7">
        <v>4943</v>
      </c>
      <c r="E6011" s="7" t="s">
        <v>19</v>
      </c>
      <c r="F6011" s="8" t="str">
        <f ca="1">IFERROR(__xludf.DUMMYFUNCTION("IF
(
C6012=""фізична особа""
,
VLOOKUP(D6012,IMPORTRANGE(""https://docs.google.com/spreadsheets/d/14Bd19lYaqBhU8_DElYkX7l4wRkHqqCUFNJY4AfY3kHU/edit?usp=sharing  #gid=0"",""фіз особи new!relations_name""),6,FALSE)
,
(IF
(
C6012=""юридична особа""
,
VLOOKUP"&amp;"(D6012,IMPORTRANGE(""https://docs.google.com/spreadsheets/d/14Bd19lYaqBhU8_DElYkX7l4wRkHqqCUFNJY4AfY3kHU/edit?usp=sharing  #gid=0"",""фіз особи new!relations_name_uo""),7,FALSE)
,
)
))"),"КАДИРОВ Хож-Ахмед-Хаджі Жабраілович")</f>
        <v>КАДИРОВ Хож-Ахмед-Хаджі Жабраілович</v>
      </c>
      <c r="G6011" s="7" t="s">
        <v>10</v>
      </c>
      <c r="H6011" s="7">
        <v>609</v>
      </c>
      <c r="I6011" s="8" t="str">
        <f ca="1">IFERROR(__xludf.DUMMYFUNCTION("IF
(
G6012=""фізична особа""
,
VLOOKUP(H6012,IMPORTRANGE(""https://docs.google.com/spreadsheets/d/14Bd19lYaqBhU8_DElYkX7l4wRkHqqCUFNJY4AfY3kHU/edit?usp=sharing  #gid=0"",""фіз особи new!relations_name""),6,FALSE)
,
(IF
(
G6012=""юридична особа""
,
VLOOKUP"&amp;"(H6012,IMPORTRANGE(""https://docs.google.com/spreadsheets/d/14Bd19lYaqBhU8_DElYkX7l4wRkHqqCUFNJY4AfY3kHU/edit?usp=sharing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1" s="7" t="s">
        <v>20</v>
      </c>
    </row>
    <row r="6012" spans="1:10" ht="13.2">
      <c r="A6012" s="7">
        <v>6011</v>
      </c>
      <c r="B6012" s="7">
        <v>1</v>
      </c>
      <c r="C6012" s="7" t="s">
        <v>10</v>
      </c>
      <c r="D6012" s="7">
        <v>4944</v>
      </c>
      <c r="E6012" s="7" t="s">
        <v>19</v>
      </c>
      <c r="F6012" s="8" t="str">
        <f ca="1">IFERROR(__xludf.DUMMYFUNCTION("IF
(
C6013=""фізична особа""
,
VLOOKUP(D6013,IMPORTRANGE(""https://docs.google.com/spreadsheets/d/14Bd19lYaqBhU8_DElYkX7l4wRkHqqCUFNJY4AfY3kHU/edit?usp=sharing  #gid=0"",""фіз особи new!relations_name""),6,FALSE)
,
(IF
(
C6013=""юридична особа""
,
VLOOKUP"&amp;"(D6013,IMPORTRANGE(""https://docs.google.com/spreadsheets/d/14Bd19lYaqBhU8_DElYkX7l4wRkHqqCUFNJY4AfY3kHU/edit?usp=sharing  #gid=0"",""фіз особи new!relations_name_uo""),7,FALSE)
,
)
))"),"КАДИРОВ Магомед Абдулхамідович")</f>
        <v>КАДИРОВ Магомед Абдулхамідович</v>
      </c>
      <c r="G6012" s="7" t="s">
        <v>10</v>
      </c>
      <c r="H6012" s="7">
        <v>609</v>
      </c>
      <c r="I6012" s="8" t="str">
        <f ca="1">IFERROR(__xludf.DUMMYFUNCTION("IF
(
G6013=""фізична особа""
,
VLOOKUP(H6013,IMPORTRANGE(""https://docs.google.com/spreadsheets/d/14Bd19lYaqBhU8_DElYkX7l4wRkHqqCUFNJY4AfY3kHU/edit?usp=sharing  #gid=0"",""фіз особи new!relations_name""),6,FALSE)
,
(IF
(
G6013=""юридична особа""
,
VLOOKUP"&amp;"(H6013,IMPORTRANGE(""https://docs.google.com/spreadsheets/d/14Bd19lYaqBhU8_DElYkX7l4wRkHqqCUFNJY4AfY3kHU/edit?usp=sharing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2" s="7" t="s">
        <v>20</v>
      </c>
    </row>
    <row r="6013" spans="1:10" ht="13.2">
      <c r="A6013" s="7">
        <v>6012</v>
      </c>
      <c r="B6013" s="7">
        <v>1</v>
      </c>
      <c r="C6013" s="7" t="s">
        <v>10</v>
      </c>
      <c r="D6013" s="7">
        <v>4945</v>
      </c>
      <c r="E6013" s="7" t="s">
        <v>17</v>
      </c>
      <c r="F6013" s="8" t="str">
        <f ca="1">IFERROR(__xludf.DUMMYFUNCTION("IF
(
C6014=""фізична особа""
,
VLOOKUP(D6014,IMPORTRANGE(""https://docs.google.com/spreadsheets/d/14Bd19lYaqBhU8_DElYkX7l4wRkHqqCUFNJY4AfY3kHU/edit?usp=sharing  #gid=0"",""фіз особи new!relations_name""),6,FALSE)
,
(IF
(
C6014=""юридична особа""
,
VLOOKUP"&amp;"(D6014,IMPORTRANGE(""https://docs.google.com/spreadsheets/d/14Bd19lYaqBhU8_DElYkX7l4wRkHqqCUFNJY4AfY3kHU/edit?usp=sharing  #gid=0"",""фіз особи new!relations_name_uo""),7,FALSE)
,
)
))"),"КАДИРОВ Ахмат Рамзанович")</f>
        <v>КАДИРОВ Ахмат Рамзанович</v>
      </c>
      <c r="G6013" s="7" t="s">
        <v>10</v>
      </c>
      <c r="H6013" s="7">
        <v>609</v>
      </c>
      <c r="I6013" s="8" t="str">
        <f ca="1">IFERROR(__xludf.DUMMYFUNCTION("IF
(
G6014=""фізична особа""
,
VLOOKUP(H6014,IMPORTRANGE(""https://docs.google.com/spreadsheets/d/14Bd19lYaqBhU8_DElYkX7l4wRkHqqCUFNJY4AfY3kHU/edit?usp=sharing  #gid=0"",""фіз особи new!relations_name""),6,FALSE)
,
(IF
(
G6014=""юридична особа""
,
VLOOKUP"&amp;"(H6014,IMPORTRANGE(""https://docs.google.com/spreadsheets/d/14Bd19lYaqBhU8_DElYkX7l4wRkHqqCUFNJY4AfY3kHU/edit?usp=sharing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3" s="7" t="s">
        <v>12</v>
      </c>
    </row>
    <row r="6014" spans="1:10" ht="13.2">
      <c r="A6014" s="7">
        <v>6013</v>
      </c>
      <c r="B6014" s="7">
        <v>1</v>
      </c>
      <c r="C6014" s="7" t="s">
        <v>10</v>
      </c>
      <c r="D6014" s="7">
        <v>4946</v>
      </c>
      <c r="E6014" s="7" t="s">
        <v>17</v>
      </c>
      <c r="F6014" s="8" t="str">
        <f ca="1">IFERROR(__xludf.DUMMYFUNCTION("IF
(
C6015=""фізична особа""
,
VLOOKUP(D6015,IMPORTRANGE(""https://docs.google.com/spreadsheets/d/14Bd19lYaqBhU8_DElYkX7l4wRkHqqCUFNJY4AfY3kHU/edit?usp=sharing  #gid=0"",""фіз особи new!relations_name""),6,FALSE)
,
(IF
(
C6015=""юридична особа""
,
VLOOKUP"&amp;"(D6015,IMPORTRANGE(""https://docs.google.com/spreadsheets/d/14Bd19lYaqBhU8_DElYkX7l4wRkHqqCUFNJY4AfY3kHU/edit?usp=sharing  #gid=0"",""фіз особи new!relations_name_uo""),7,FALSE)
,
)
))"),"КАДИРОВ Зелімхан Рамзанович")</f>
        <v>КАДИРОВ Зелімхан Рамзанович</v>
      </c>
      <c r="G6014" s="7" t="s">
        <v>10</v>
      </c>
      <c r="H6014" s="7">
        <v>609</v>
      </c>
      <c r="I6014" s="8" t="str">
        <f ca="1">IFERROR(__xludf.DUMMYFUNCTION("IF
(
G6015=""фізична особа""
,
VLOOKUP(H6015,IMPORTRANGE(""https://docs.google.com/spreadsheets/d/14Bd19lYaqBhU8_DElYkX7l4wRkHqqCUFNJY4AfY3kHU/edit?usp=sharing  #gid=0"",""фіз особи new!relations_name""),6,FALSE)
,
(IF
(
G6015=""юридична особа""
,
VLOOKUP"&amp;"(H6015,IMPORTRANGE(""https://docs.google.com/spreadsheets/d/14Bd19lYaqBhU8_DElYkX7l4wRkHqqCUFNJY4AfY3kHU/edit?usp=sharing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4" s="7" t="s">
        <v>12</v>
      </c>
    </row>
    <row r="6015" spans="1:10" ht="13.2">
      <c r="A6015" s="7">
        <v>6014</v>
      </c>
      <c r="B6015" s="7">
        <v>1</v>
      </c>
      <c r="C6015" s="7" t="s">
        <v>10</v>
      </c>
      <c r="D6015" s="7">
        <v>4947</v>
      </c>
      <c r="E6015" s="7" t="s">
        <v>17</v>
      </c>
      <c r="F6015" s="8" t="str">
        <f ca="1">IFERROR(__xludf.DUMMYFUNCTION("IF
(
C6016=""фізична особа""
,
VLOOKUP(D6016,IMPORTRANGE(""https://docs.google.com/spreadsheets/d/14Bd19lYaqBhU8_DElYkX7l4wRkHqqCUFNJY4AfY3kHU/edit?usp=sharing  #gid=0"",""фіз особи new!relations_name""),6,FALSE)
,
(IF
(
C6016=""юридична особа""
,
VLOOKUP"&amp;"(D6016,IMPORTRANGE(""https://docs.google.com/spreadsheets/d/14Bd19lYaqBhU8_DElYkX7l4wRkHqqCUFNJY4AfY3kHU/edit?usp=sharing  #gid=0"",""фіз особи new!relations_name_uo""),7,FALSE)
,
)
))"),"КАДИРОВ Адам Рамзанович")</f>
        <v>КАДИРОВ Адам Рамзанович</v>
      </c>
      <c r="G6015" s="7" t="s">
        <v>10</v>
      </c>
      <c r="H6015" s="7">
        <v>609</v>
      </c>
      <c r="I6015" s="8" t="str">
        <f ca="1">IFERROR(__xludf.DUMMYFUNCTION("IF
(
G6016=""фізична особа""
,
VLOOKUP(H6016,IMPORTRANGE(""https://docs.google.com/spreadsheets/d/14Bd19lYaqBhU8_DElYkX7l4wRkHqqCUFNJY4AfY3kHU/edit?usp=sharing  #gid=0"",""фіз особи new!relations_name""),6,FALSE)
,
(IF
(
G6016=""юридична особа""
,
VLOOKUP"&amp;"(H6016,IMPORTRANGE(""https://docs.google.com/spreadsheets/d/14Bd19lYaqBhU8_DElYkX7l4wRkHqqCUFNJY4AfY3kHU/edit?usp=sharing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5" s="7" t="s">
        <v>12</v>
      </c>
    </row>
    <row r="6016" spans="1:10" ht="13.2">
      <c r="A6016" s="7">
        <v>6015</v>
      </c>
      <c r="B6016" s="7">
        <v>1</v>
      </c>
      <c r="C6016" s="7" t="s">
        <v>10</v>
      </c>
      <c r="D6016" s="7">
        <v>4948</v>
      </c>
      <c r="E6016" s="7" t="s">
        <v>17</v>
      </c>
      <c r="F6016" s="8" t="str">
        <f ca="1">IFERROR(__xludf.DUMMYFUNCTION("IF
(
C6017=""фізична особа""
,
VLOOKUP(D6017,IMPORTRANGE(""https://docs.google.com/spreadsheets/d/14Bd19lYaqBhU8_DElYkX7l4wRkHqqCUFNJY4AfY3kHU/edit?usp=sharing  #gid=0"",""фіз особи new!relations_name""),6,FALSE)
,
(IF
(
C6017=""юридична особа""
,
VLOOKUP"&amp;"(D6017,IMPORTRANGE(""https://docs.google.com/spreadsheets/d/14Bd19lYaqBhU8_DElYkX7l4wRkHqqCUFNJY4AfY3kHU/edit?usp=sharing  #gid=0"",""фіз особи new!relations_name_uo""),7,FALSE)
,
)
))"),"КАДИРОВ Абдуллах Рамзанович")</f>
        <v>КАДИРОВ Абдуллах Рамзанович</v>
      </c>
      <c r="G6016" s="7" t="s">
        <v>10</v>
      </c>
      <c r="H6016" s="7">
        <v>609</v>
      </c>
      <c r="I6016" s="8" t="str">
        <f ca="1">IFERROR(__xludf.DUMMYFUNCTION("IF
(
G6017=""фізична особа""
,
VLOOKUP(H6017,IMPORTRANGE(""https://docs.google.com/spreadsheets/d/14Bd19lYaqBhU8_DElYkX7l4wRkHqqCUFNJY4AfY3kHU/edit?usp=sharing  #gid=0"",""фіз особи new!relations_name""),6,FALSE)
,
(IF
(
G6017=""юридична особа""
,
VLOOKUP"&amp;"(H6017,IMPORTRANGE(""https://docs.google.com/spreadsheets/d/14Bd19lYaqBhU8_DElYkX7l4wRkHqqCUFNJY4AfY3kHU/edit?usp=sharing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6" s="7" t="s">
        <v>12</v>
      </c>
    </row>
    <row r="6017" spans="1:10" ht="13.2">
      <c r="A6017" s="7">
        <v>6016</v>
      </c>
      <c r="B6017" s="7">
        <v>1</v>
      </c>
      <c r="C6017" s="7" t="s">
        <v>10</v>
      </c>
      <c r="D6017" s="7">
        <v>4949</v>
      </c>
      <c r="E6017" s="7" t="s">
        <v>19</v>
      </c>
      <c r="F6017" s="8" t="str">
        <f ca="1">IFERROR(__xludf.DUMMYFUNCTION("IF
(
C6018=""фізична особа""
,
VLOOKUP(D6018,IMPORTRANGE(""https://docs.google.com/spreadsheets/d/14Bd19lYaqBhU8_DElYkX7l4wRkHqqCUFNJY4AfY3kHU/edit?usp=sharing  #gid=0"",""фіз особи new!relations_name""),6,FALSE)
,
(IF
(
C6018=""юридична особа""
,
VLOOKUP"&amp;"(D6018,IMPORTRANGE(""https://docs.google.com/spreadsheets/d/14Bd19lYaqBhU8_DElYkX7l4wRkHqqCUFNJY4AfY3kHU/edit?usp=sharing  #gid=0"",""фіз особи new!relations_name_uo""),7,FALSE)
,
)
))"),"КАДИРОВ Хамід Абдулхамідович")</f>
        <v>КАДИРОВ Хамід Абдулхамідович</v>
      </c>
      <c r="G6017" s="7" t="s">
        <v>10</v>
      </c>
      <c r="H6017" s="7">
        <v>609</v>
      </c>
      <c r="I6017" s="8" t="str">
        <f ca="1">IFERROR(__xludf.DUMMYFUNCTION("IF
(
G6018=""фізична особа""
,
VLOOKUP(H6018,IMPORTRANGE(""https://docs.google.com/spreadsheets/d/14Bd19lYaqBhU8_DElYkX7l4wRkHqqCUFNJY4AfY3kHU/edit?usp=sharing  #gid=0"",""фіз особи new!relations_name""),6,FALSE)
,
(IF
(
G6018=""юридична особа""
,
VLOOKUP"&amp;"(H6018,IMPORTRANGE(""https://docs.google.com/spreadsheets/d/14Bd19lYaqBhU8_DElYkX7l4wRkHqqCUFNJY4AfY3kHU/edit?usp=sharing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7" s="7" t="s">
        <v>20</v>
      </c>
    </row>
    <row r="6018" spans="1:10" ht="13.2">
      <c r="A6018" s="7">
        <v>6017</v>
      </c>
      <c r="B6018" s="7">
        <v>1</v>
      </c>
      <c r="C6018" s="7" t="s">
        <v>10</v>
      </c>
      <c r="D6018" s="7">
        <v>4950</v>
      </c>
      <c r="E6018" s="7" t="s">
        <v>15</v>
      </c>
      <c r="F6018" s="8" t="str">
        <f ca="1">IFERROR(__xludf.DUMMYFUNCTION("IF
(
C6019=""фізична особа""
,
VLOOKUP(D6019,IMPORTRANGE(""https://docs.google.com/spreadsheets/d/14Bd19lYaqBhU8_DElYkX7l4wRkHqqCUFNJY4AfY3kHU/edit?usp=sharing  #gid=0"",""фіз особи new!relations_name""),6,FALSE)
,
(IF
(
C6019=""юридична особа""
,
VLOOKUP"&amp;"(D6019,IMPORTRANGE(""https://docs.google.com/spreadsheets/d/14Bd19lYaqBhU8_DElYkX7l4wRkHqqCUFNJY4AfY3kHU/edit?usp=sharing  #gid=0"",""фіз особи new!relations_name_uo""),7,FALSE)
,
)
))"),"КАДИРОВА Медні Мусаївна")</f>
        <v>КАДИРОВА Медні Мусаївна</v>
      </c>
      <c r="G6018" s="7" t="s">
        <v>10</v>
      </c>
      <c r="H6018" s="7">
        <v>609</v>
      </c>
      <c r="I6018" s="8" t="str">
        <f ca="1">IFERROR(__xludf.DUMMYFUNCTION("IF
(
G6019=""фізична особа""
,
VLOOKUP(H6019,IMPORTRANGE(""https://docs.google.com/spreadsheets/d/14Bd19lYaqBhU8_DElYkX7l4wRkHqqCUFNJY4AfY3kHU/edit?usp=sharing  #gid=0"",""фіз особи new!relations_name""),6,FALSE)
,
(IF
(
G6019=""юридична особа""
,
VLOOKUP"&amp;"(H6019,IMPORTRANGE(""https://docs.google.com/spreadsheets/d/14Bd19lYaqBhU8_DElYkX7l4wRkHqqCUFNJY4AfY3kHU/edit?usp=sharing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8" s="7" t="s">
        <v>14</v>
      </c>
    </row>
    <row r="6019" spans="1:10" ht="13.2">
      <c r="A6019" s="7">
        <v>6018</v>
      </c>
      <c r="B6019" s="7">
        <v>1</v>
      </c>
      <c r="C6019" s="7" t="s">
        <v>10</v>
      </c>
      <c r="D6019" s="7">
        <v>4951</v>
      </c>
      <c r="E6019" s="7" t="s">
        <v>13</v>
      </c>
      <c r="F6019" s="8" t="str">
        <f ca="1">IFERROR(__xludf.DUMMYFUNCTION("IF
(
C6020=""фізична особа""
,
VLOOKUP(D6020,IMPORTRANGE(""https://docs.google.com/spreadsheets/d/14Bd19lYaqBhU8_DElYkX7l4wRkHqqCUFNJY4AfY3kHU/edit?usp=sharing  #gid=0"",""фіз особи new!relations_name""),6,FALSE)
,
(IF
(
C6020=""юридична особа""
,
VLOOKUP"&amp;"(D6020,IMPORTRANGE(""https://docs.google.com/spreadsheets/d/14Bd19lYaqBhU8_DElYkX7l4wRkHqqCUFNJY4AfY3kHU/edit?usp=sharing  #gid=0"",""фіз особи new!relations_name_uo""),7,FALSE)
,
)
))"),"КАДИРОВА Айшат Рамзановна")</f>
        <v>КАДИРОВА Айшат Рамзановна</v>
      </c>
      <c r="G6019" s="7" t="s">
        <v>10</v>
      </c>
      <c r="H6019" s="7">
        <v>609</v>
      </c>
      <c r="I6019" s="8" t="str">
        <f ca="1">IFERROR(__xludf.DUMMYFUNCTION("IF
(
G6020=""фізична особа""
,
VLOOKUP(H6020,IMPORTRANGE(""https://docs.google.com/spreadsheets/d/14Bd19lYaqBhU8_DElYkX7l4wRkHqqCUFNJY4AfY3kHU/edit?usp=sharing  #gid=0"",""фіз особи new!relations_name""),6,FALSE)
,
(IF
(
G6020=""юридична особа""
,
VLOOKUP"&amp;"(H6020,IMPORTRANGE(""https://docs.google.com/spreadsheets/d/14Bd19lYaqBhU8_DElYkX7l4wRkHqqCUFNJY4AfY3kHU/edit?usp=sharing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19" s="7" t="s">
        <v>12</v>
      </c>
    </row>
    <row r="6020" spans="1:10" ht="13.2">
      <c r="A6020" s="7">
        <v>6019</v>
      </c>
      <c r="B6020" s="7">
        <v>1</v>
      </c>
      <c r="C6020" s="7" t="s">
        <v>10</v>
      </c>
      <c r="D6020" s="7">
        <v>4952</v>
      </c>
      <c r="E6020" s="7" t="s">
        <v>13</v>
      </c>
      <c r="F6020" s="8" t="str">
        <f ca="1">IFERROR(__xludf.DUMMYFUNCTION("IF
(
C6021=""фізична особа""
,
VLOOKUP(D6021,IMPORTRANGE(""https://docs.google.com/spreadsheets/d/14Bd19lYaqBhU8_DElYkX7l4wRkHqqCUFNJY4AfY3kHU/edit?usp=sharing  #gid=0"",""фіз особи new!relations_name""),6,FALSE)
,
(IF
(
C6021=""юридична особа""
,
VLOOKUP"&amp;"(D6021,IMPORTRANGE(""https://docs.google.com/spreadsheets/d/14Bd19lYaqBhU8_DElYkX7l4wRkHqqCUFNJY4AfY3kHU/edit?usp=sharing  #gid=0"",""фіз особи new!relations_name_uo""),7,FALSE)
,
)
))"),"КАДИРОВА Карина Рамзанівна")</f>
        <v>КАДИРОВА Карина Рамзанівна</v>
      </c>
      <c r="G6020" s="7" t="s">
        <v>10</v>
      </c>
      <c r="H6020" s="7">
        <v>609</v>
      </c>
      <c r="I6020" s="8" t="str">
        <f ca="1">IFERROR(__xludf.DUMMYFUNCTION("IF
(
G6021=""фізична особа""
,
VLOOKUP(H6021,IMPORTRANGE(""https://docs.google.com/spreadsheets/d/14Bd19lYaqBhU8_DElYkX7l4wRkHqqCUFNJY4AfY3kHU/edit?usp=sharing  #gid=0"",""фіз особи new!relations_name""),6,FALSE)
,
(IF
(
G6021=""юридична особа""
,
VLOOKUP"&amp;"(H6021,IMPORTRANGE(""https://docs.google.com/spreadsheets/d/14Bd19lYaqBhU8_DElYkX7l4wRkHqqCUFNJY4AfY3kHU/edit?usp=sharing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0" s="7" t="s">
        <v>12</v>
      </c>
    </row>
    <row r="6021" spans="1:10" ht="13.2">
      <c r="A6021" s="7">
        <v>6020</v>
      </c>
      <c r="B6021" s="7">
        <v>1</v>
      </c>
      <c r="C6021" s="7" t="s">
        <v>10</v>
      </c>
      <c r="D6021" s="7">
        <v>4953</v>
      </c>
      <c r="E6021" s="7" t="s">
        <v>13</v>
      </c>
      <c r="F6021" s="8" t="str">
        <f ca="1">IFERROR(__xludf.DUMMYFUNCTION("IF
(
C6022=""фізична особа""
,
VLOOKUP(D6022,IMPORTRANGE(""https://docs.google.com/spreadsheets/d/14Bd19lYaqBhU8_DElYkX7l4wRkHqqCUFNJY4AfY3kHU/edit?usp=sharing  #gid=0"",""фіз особи new!relations_name""),6,FALSE)
,
(IF
(
C6022=""юридична особа""
,
VLOOKUP"&amp;"(D6022,IMPORTRANGE(""https://docs.google.com/spreadsheets/d/14Bd19lYaqBhU8_DElYkX7l4wRkHqqCUFNJY4AfY3kHU/edit?usp=sharing  #gid=0"",""фіз особи new!relations_name_uo""),7,FALSE)
,
)
))"),"КАДИРОВА Хаджихат Рамзанівна")</f>
        <v>КАДИРОВА Хаджихат Рамзанівна</v>
      </c>
      <c r="G6021" s="7" t="s">
        <v>10</v>
      </c>
      <c r="H6021" s="7">
        <v>609</v>
      </c>
      <c r="I6021" s="8" t="str">
        <f ca="1">IFERROR(__xludf.DUMMYFUNCTION("IF
(
G6022=""фізична особа""
,
VLOOKUP(H6022,IMPORTRANGE(""https://docs.google.com/spreadsheets/d/14Bd19lYaqBhU8_DElYkX7l4wRkHqqCUFNJY4AfY3kHU/edit?usp=sharing  #gid=0"",""фіз особи new!relations_name""),6,FALSE)
,
(IF
(
G6022=""юридична особа""
,
VLOOKUP"&amp;"(H6022,IMPORTRANGE(""https://docs.google.com/spreadsheets/d/14Bd19lYaqBhU8_DElYkX7l4wRkHqqCUFNJY4AfY3kHU/edit?usp=sharing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1" s="7" t="s">
        <v>12</v>
      </c>
    </row>
    <row r="6022" spans="1:10" ht="13.2">
      <c r="A6022" s="7">
        <v>6021</v>
      </c>
      <c r="B6022" s="7">
        <v>1</v>
      </c>
      <c r="C6022" s="7" t="s">
        <v>10</v>
      </c>
      <c r="D6022" s="7">
        <v>4954</v>
      </c>
      <c r="E6022" s="7" t="s">
        <v>13</v>
      </c>
      <c r="F6022" s="8" t="str">
        <f ca="1">IFERROR(__xludf.DUMMYFUNCTION("IF
(
C6023=""фізична особа""
,
VLOOKUP(D6023,IMPORTRANGE(""https://docs.google.com/spreadsheets/d/14Bd19lYaqBhU8_DElYkX7l4wRkHqqCUFNJY4AfY3kHU/edit?usp=sharing  #gid=0"",""фіз особи new!relations_name""),6,FALSE)
,
(IF
(
C6023=""юридична особа""
,
VLOOKUP"&amp;"(D6023,IMPORTRANGE(""https://docs.google.com/spreadsheets/d/14Bd19lYaqBhU8_DElYkX7l4wRkHqqCUFNJY4AfY3kHU/edit?usp=sharing  #gid=0"",""фіз особи new!relations_name_uo""),7,FALSE)
,
)
))"),"КАДИРОВА Табарік Рамзанівна")</f>
        <v>КАДИРОВА Табарік Рамзанівна</v>
      </c>
      <c r="G6022" s="7" t="s">
        <v>10</v>
      </c>
      <c r="H6022" s="7">
        <v>609</v>
      </c>
      <c r="I6022" s="8" t="str">
        <f ca="1">IFERROR(__xludf.DUMMYFUNCTION("IF
(
G6023=""фізична особа""
,
VLOOKUP(H6023,IMPORTRANGE(""https://docs.google.com/spreadsheets/d/14Bd19lYaqBhU8_DElYkX7l4wRkHqqCUFNJY4AfY3kHU/edit?usp=sharing  #gid=0"",""фіз особи new!relations_name""),6,FALSE)
,
(IF
(
G6023=""юридична особа""
,
VLOOKUP"&amp;"(H6023,IMPORTRANGE(""https://docs.google.com/spreadsheets/d/14Bd19lYaqBhU8_DElYkX7l4wRkHqqCUFNJY4AfY3kHU/edit?usp=sharing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2" s="7" t="s">
        <v>12</v>
      </c>
    </row>
    <row r="6023" spans="1:10" ht="13.2">
      <c r="A6023" s="7">
        <v>6022</v>
      </c>
      <c r="B6023" s="7">
        <v>1</v>
      </c>
      <c r="C6023" s="7" t="s">
        <v>10</v>
      </c>
      <c r="D6023" s="7">
        <v>4955</v>
      </c>
      <c r="E6023" s="7" t="s">
        <v>13</v>
      </c>
      <c r="F6023" s="8" t="str">
        <f ca="1">IFERROR(__xludf.DUMMYFUNCTION("IF
(
C6024=""фізична особа""
,
VLOOKUP(D6024,IMPORTRANGE(""https://docs.google.com/spreadsheets/d/14Bd19lYaqBhU8_DElYkX7l4wRkHqqCUFNJY4AfY3kHU/edit?usp=sharing  #gid=0"",""фіз особи new!relations_name""),6,FALSE)
,
(IF
(
C6024=""юридична особа""
,
VLOOKUP"&amp;"(D6024,IMPORTRANGE(""https://docs.google.com/spreadsheets/d/14Bd19lYaqBhU8_DElYkX7l4wRkHqqCUFNJY4AfY3kHU/edit?usp=sharing  #gid=0"",""фіз особи new!relations_name_uo""),7,FALSE)
,
)
))"),"КАДИРОВА Ашура Рамзанівна")</f>
        <v>КАДИРОВА Ашура Рамзанівна</v>
      </c>
      <c r="G6023" s="7" t="s">
        <v>10</v>
      </c>
      <c r="H6023" s="7">
        <v>609</v>
      </c>
      <c r="I6023" s="8" t="str">
        <f ca="1">IFERROR(__xludf.DUMMYFUNCTION("IF
(
G6024=""фізична особа""
,
VLOOKUP(H6024,IMPORTRANGE(""https://docs.google.com/spreadsheets/d/14Bd19lYaqBhU8_DElYkX7l4wRkHqqCUFNJY4AfY3kHU/edit?usp=sharing  #gid=0"",""фіз особи new!relations_name""),6,FALSE)
,
(IF
(
G6024=""юридична особа""
,
VLOOKUP"&amp;"(H6024,IMPORTRANGE(""https://docs.google.com/spreadsheets/d/14Bd19lYaqBhU8_DElYkX7l4wRkHqqCUFNJY4AfY3kHU/edit?usp=sharing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3" s="7" t="s">
        <v>12</v>
      </c>
    </row>
    <row r="6024" spans="1:10" ht="13.2">
      <c r="A6024" s="7">
        <v>6023</v>
      </c>
      <c r="B6024" s="7">
        <v>1</v>
      </c>
      <c r="C6024" s="7" t="s">
        <v>10</v>
      </c>
      <c r="D6024" s="7">
        <v>4956</v>
      </c>
      <c r="E6024" s="7" t="s">
        <v>13</v>
      </c>
      <c r="F6024" s="8" t="str">
        <f ca="1">IFERROR(__xludf.DUMMYFUNCTION("IF
(
C6025=""фізична особа""
,
VLOOKUP(D6025,IMPORTRANGE(""https://docs.google.com/spreadsheets/d/14Bd19lYaqBhU8_DElYkX7l4wRkHqqCUFNJY4AfY3kHU/edit?usp=sharing  #gid=0"",""фіз особи new!relations_name""),6,FALSE)
,
(IF
(
C6025=""юридична особа""
,
VLOOKUP"&amp;"(D6025,IMPORTRANGE(""https://docs.google.com/spreadsheets/d/14Bd19lYaqBhU8_DElYkX7l4wRkHqqCUFNJY4AfY3kHU/edit?usp=sharing  #gid=0"",""фіз особи new!relations_name_uo""),7,FALSE)
,
)
))"),"КАДИРОВА Ейшат Рамзанівна")</f>
        <v>КАДИРОВА Ейшат Рамзанівна</v>
      </c>
      <c r="G6024" s="7" t="s">
        <v>10</v>
      </c>
      <c r="H6024" s="7">
        <v>609</v>
      </c>
      <c r="I6024" s="8" t="str">
        <f ca="1">IFERROR(__xludf.DUMMYFUNCTION("IF
(
G6025=""фізична особа""
,
VLOOKUP(H6025,IMPORTRANGE(""https://docs.google.com/spreadsheets/d/14Bd19lYaqBhU8_DElYkX7l4wRkHqqCUFNJY4AfY3kHU/edit?usp=sharing  #gid=0"",""фіз особи new!relations_name""),6,FALSE)
,
(IF
(
G6025=""юридична особа""
,
VLOOKUP"&amp;"(H6025,IMPORTRANGE(""https://docs.google.com/spreadsheets/d/14Bd19lYaqBhU8_DElYkX7l4wRkHqqCUFNJY4AfY3kHU/edit?usp=sharing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4" s="7" t="s">
        <v>12</v>
      </c>
    </row>
    <row r="6025" spans="1:10" ht="13.2">
      <c r="A6025" s="7">
        <v>6024</v>
      </c>
      <c r="B6025" s="7">
        <v>1</v>
      </c>
      <c r="C6025" s="7" t="s">
        <v>10</v>
      </c>
      <c r="D6025" s="7">
        <v>4957</v>
      </c>
      <c r="E6025" s="7" t="s">
        <v>21</v>
      </c>
      <c r="F6025" s="8" t="str">
        <f ca="1">IFERROR(__xludf.DUMMYFUNCTION("IF
(
C6026=""фізична особа""
,
VLOOKUP(D6026,IMPORTRANGE(""https://docs.google.com/spreadsheets/d/14Bd19lYaqBhU8_DElYkX7l4wRkHqqCUFNJY4AfY3kHU/edit?usp=sharing  #gid=0"",""фіз особи new!relations_name""),6,FALSE)
,
(IF
(
C6026=""юридична особа""
,
VLOOKUP"&amp;"(D6026,IMPORTRANGE(""https://docs.google.com/spreadsheets/d/14Bd19lYaqBhU8_DElYkX7l4wRkHqqCUFNJY4AfY3kHU/edit?usp=sharing  #gid=0"",""фіз особи new!relations_name_uo""),7,FALSE)
,
)
))"),"КАДИРОВА Аймані Несієвна")</f>
        <v>КАДИРОВА Аймані Несієвна</v>
      </c>
      <c r="G6025" s="7" t="s">
        <v>10</v>
      </c>
      <c r="H6025" s="7">
        <v>609</v>
      </c>
      <c r="I6025" s="8" t="str">
        <f ca="1">IFERROR(__xludf.DUMMYFUNCTION("IF
(
G6026=""фізична особа""
,
VLOOKUP(H6026,IMPORTRANGE(""https://docs.google.com/spreadsheets/d/14Bd19lYaqBhU8_DElYkX7l4wRkHqqCUFNJY4AfY3kHU/edit?usp=sharing  #gid=0"",""фіз особи new!relations_name""),6,FALSE)
,
(IF
(
G6026=""юридична особа""
,
VLOOKUP"&amp;"(H6026,IMPORTRANGE(""https://docs.google.com/spreadsheets/d/14Bd19lYaqBhU8_DElYkX7l4wRkHqqCUFNJY4AfY3kHU/edit?usp=sharing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5" s="7" t="s">
        <v>17</v>
      </c>
    </row>
    <row r="6026" spans="1:10" ht="13.2">
      <c r="A6026" s="7">
        <v>6025</v>
      </c>
      <c r="B6026" s="7">
        <v>1</v>
      </c>
      <c r="C6026" s="7" t="s">
        <v>10</v>
      </c>
      <c r="D6026" s="7">
        <v>4958</v>
      </c>
      <c r="E6026" s="7" t="s">
        <v>26</v>
      </c>
      <c r="F6026" s="8" t="str">
        <f ca="1">IFERROR(__xludf.DUMMYFUNCTION("IF
(
C6027=""фізична особа""
,
VLOOKUP(D6027,IMPORTRANGE(""https://docs.google.com/spreadsheets/d/14Bd19lYaqBhU8_DElYkX7l4wRkHqqCUFNJY4AfY3kHU/edit?usp=sharing  #gid=0"",""фіз особи new!relations_name""),6,FALSE)
,
(IF
(
C6027=""юридична особа""
,
VLOOKUP"&amp;"(D6027,IMPORTRANGE(""https://docs.google.com/spreadsheets/d/14Bd19lYaqBhU8_DElYkX7l4wRkHqqCUFNJY4AfY3kHU/edit?usp=sharing  #gid=0"",""фіз особи new!relations_name_uo""),7,FALSE)
,
)
))"),"МАЦУЄВ Вісхан Зелімхаєвич")</f>
        <v>МАЦУЄВ Вісхан Зелімхаєвич</v>
      </c>
      <c r="G6026" s="7" t="s">
        <v>10</v>
      </c>
      <c r="H6026" s="7">
        <v>609</v>
      </c>
      <c r="I6026" s="8" t="str">
        <f ca="1">IFERROR(__xludf.DUMMYFUNCTION("IF
(
G6027=""фізична особа""
,
VLOOKUP(H6027,IMPORTRANGE(""https://docs.google.com/spreadsheets/d/14Bd19lYaqBhU8_DElYkX7l4wRkHqqCUFNJY4AfY3kHU/edit?usp=sharing  #gid=0"",""фіз особи new!relations_name""),6,FALSE)
,
(IF
(
G6027=""юридична особа""
,
VLOOKUP"&amp;"(H6027,IMPORTRANGE(""https://docs.google.com/spreadsheets/d/14Bd19lYaqBhU8_DElYkX7l4wRkHqqCUFNJY4AfY3kHU/edit?usp=sharing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6" s="7" t="s">
        <v>34</v>
      </c>
    </row>
    <row r="6027" spans="1:10" ht="13.2">
      <c r="A6027" s="7">
        <v>6026</v>
      </c>
      <c r="B6027" s="7">
        <v>1</v>
      </c>
      <c r="C6027" s="7" t="s">
        <v>10</v>
      </c>
      <c r="D6027" s="7">
        <v>4959</v>
      </c>
      <c r="E6027" s="7" t="s">
        <v>15</v>
      </c>
      <c r="F6027" s="8" t="str">
        <f ca="1">IFERROR(__xludf.DUMMYFUNCTION("IF
(
C6028=""фізична особа""
,
VLOOKUP(D6028,IMPORTRANGE(""https://docs.google.com/spreadsheets/d/14Bd19lYaqBhU8_DElYkX7l4wRkHqqCUFNJY4AfY3kHU/edit?usp=sharing  #gid=0"",""фіз особи new!relations_name""),6,FALSE)
,
(IF
(
C6028=""юридична особа""
,
VLOOKUP"&amp;"(D6028,IMPORTRANGE(""https://docs.google.com/spreadsheets/d/14Bd19lYaqBhU8_DElYkX7l4wRkHqqCUFNJY4AfY3kHU/edit?usp=sharing  #gid=0"",""фіз особи new!relations_name_uo""),7,FALSE)
,
)
))"),"ХАЗУЄВА Фатіма Шайхіївна")</f>
        <v>ХАЗУЄВА Фатіма Шайхіївна</v>
      </c>
      <c r="G6027" s="7" t="s">
        <v>10</v>
      </c>
      <c r="H6027" s="7">
        <v>609</v>
      </c>
      <c r="I6027" s="8" t="str">
        <f ca="1">IFERROR(__xludf.DUMMYFUNCTION("IF
(
G6028=""фізична особа""
,
VLOOKUP(H6028,IMPORTRANGE(""https://docs.google.com/spreadsheets/d/14Bd19lYaqBhU8_DElYkX7l4wRkHqqCUFNJY4AfY3kHU/edit?usp=sharing  #gid=0"",""фіз особи new!relations_name""),6,FALSE)
,
(IF
(
G6028=""юридична особа""
,
VLOOKUP"&amp;"(H6028,IMPORTRANGE(""https://docs.google.com/spreadsheets/d/14Bd19lYaqBhU8_DElYkX7l4wRkHqqCUFNJY4AfY3kHU/edit?usp=sharing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7" s="7" t="s">
        <v>14</v>
      </c>
    </row>
    <row r="6028" spans="1:10" ht="13.2">
      <c r="A6028" s="7">
        <v>6027</v>
      </c>
      <c r="B6028" s="7">
        <v>1</v>
      </c>
      <c r="C6028" s="7" t="s">
        <v>10</v>
      </c>
      <c r="D6028" s="7">
        <v>4960</v>
      </c>
      <c r="E6028" s="7" t="s">
        <v>27</v>
      </c>
      <c r="F6028" s="8" t="str">
        <f ca="1">IFERROR(__xludf.DUMMYFUNCTION("IF
(
C6029=""фізична особа""
,
VLOOKUP(D6029,IMPORTRANGE(""https://docs.google.com/spreadsheets/d/14Bd19lYaqBhU8_DElYkX7l4wRkHqqCUFNJY4AfY3kHU/edit?usp=sharing  #gid=0"",""фіз особи new!relations_name""),6,FALSE)
,
(IF
(
C6029=""юридична особа""
,
VLOOKUP"&amp;"(D6029,IMPORTRANGE(""https://docs.google.com/spreadsheets/d/14Bd19lYaqBhU8_DElYkX7l4wRkHqqCUFNJY4AfY3kHU/edit?usp=sharing  #gid=0"",""фіз особи new!relations_name_uo""),7,FALSE)
,
)
))"),"ХАЗУЄВА Сацита Султанівна")</f>
        <v>ХАЗУЄВА Сацита Султанівна</v>
      </c>
      <c r="G6028" s="7" t="s">
        <v>10</v>
      </c>
      <c r="H6028" s="7">
        <v>609</v>
      </c>
      <c r="I6028" s="8" t="str">
        <f ca="1">IFERROR(__xludf.DUMMYFUNCTION("IF
(
G6029=""фізична особа""
,
VLOOKUP(H6029,IMPORTRANGE(""https://docs.google.com/spreadsheets/d/14Bd19lYaqBhU8_DElYkX7l4wRkHqqCUFNJY4AfY3kHU/edit?usp=sharing  #gid=0"",""фіз особи new!relations_name""),6,FALSE)
,
(IF
(
G6029=""юридична особа""
,
VLOOKUP"&amp;"(H6029,IMPORTRANGE(""https://docs.google.com/spreadsheets/d/14Bd19lYaqBhU8_DElYkX7l4wRkHqqCUFNJY4AfY3kHU/edit?usp=sharing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8" s="7" t="s">
        <v>26</v>
      </c>
    </row>
    <row r="6029" spans="1:10" ht="13.2">
      <c r="A6029" s="7">
        <v>6028</v>
      </c>
      <c r="B6029" s="7">
        <v>1</v>
      </c>
      <c r="C6029" s="7" t="s">
        <v>10</v>
      </c>
      <c r="D6029" s="7">
        <v>4961</v>
      </c>
      <c r="E6029" s="7" t="s">
        <v>45</v>
      </c>
      <c r="F6029" s="8" t="str">
        <f ca="1">IFERROR(__xludf.DUMMYFUNCTION("IF
(
C6030=""фізична особа""
,
VLOOKUP(D6030,IMPORTRANGE(""https://docs.google.com/spreadsheets/d/14Bd19lYaqBhU8_DElYkX7l4wRkHqqCUFNJY4AfY3kHU/edit?usp=sharing  #gid=0"",""фіз особи new!relations_name""),6,FALSE)
,
(IF
(
C6030=""юридична особа""
,
VLOOKUP"&amp;"(D6030,IMPORTRANGE(""https://docs.google.com/spreadsheets/d/14Bd19lYaqBhU8_DElYkX7l4wRkHqqCUFNJY4AfY3kHU/edit?usp=sharing  #gid=0"",""фіз особи new!relations_name_uo""),7,FALSE)
,
)
))"),"ДЕЛІМХАНОВА Мар'ям Юсупівна")</f>
        <v>ДЕЛІМХАНОВА Мар'ям Юсупівна</v>
      </c>
      <c r="G6029" s="7" t="s">
        <v>10</v>
      </c>
      <c r="H6029" s="7">
        <v>609</v>
      </c>
      <c r="I6029" s="8" t="str">
        <f ca="1">IFERROR(__xludf.DUMMYFUNCTION("IF
(
G6030=""фізична особа""
,
VLOOKUP(H6030,IMPORTRANGE(""https://docs.google.com/spreadsheets/d/14Bd19lYaqBhU8_DElYkX7l4wRkHqqCUFNJY4AfY3kHU/edit?usp=sharing  #gid=0"",""фіз особи new!relations_name""),6,FALSE)
,
(IF
(
G6030=""юридична особа""
,
VLOOKUP"&amp;"(H6030,IMPORTRANGE(""https://docs.google.com/spreadsheets/d/14Bd19lYaqBhU8_DElYkX7l4wRkHqqCUFNJY4AfY3kHU/edit?usp=sharing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6029" s="7" t="s">
        <v>20</v>
      </c>
    </row>
    <row r="6030" spans="1:10" ht="13.2">
      <c r="A6030" s="7">
        <v>6029</v>
      </c>
      <c r="B6030" s="7">
        <v>1</v>
      </c>
      <c r="C6030" s="7" t="s">
        <v>10</v>
      </c>
      <c r="D6030" s="7">
        <v>4962</v>
      </c>
      <c r="E6030" s="7" t="s">
        <v>17</v>
      </c>
      <c r="F6030" s="8" t="str">
        <f ca="1">IFERROR(__xludf.DUMMYFUNCTION("IF
(
C6031=""фізична особа""
,
VLOOKUP(D6031,IMPORTRANGE(""https://docs.google.com/spreadsheets/d/14Bd19lYaqBhU8_DElYkX7l4wRkHqqCUFNJY4AfY3kHU/edit?usp=sharing  #gid=0"",""фіз особи new!relations_name""),6,FALSE)
,
(IF
(
C6031=""юридична особа""
,
VLOOKUP"&amp;"(D6031,IMPORTRANGE(""https://docs.google.com/spreadsheets/d/14Bd19lYaqBhU8_DElYkX7l4wRkHqqCUFNJY4AfY3kHU/edit?usp=sharing  #gid=0"",""фіз особи new!relations_name_uo""),7,FALSE)
,
)
))"),"ЖУРАВЛЬОВ Іван Миколайович")</f>
        <v>ЖУРАВЛЬОВ Іван Миколайович</v>
      </c>
      <c r="G6030" s="7" t="s">
        <v>10</v>
      </c>
      <c r="H6030" s="7">
        <v>494</v>
      </c>
      <c r="I6030" s="8" t="str">
        <f ca="1">IFERROR(__xludf.DUMMYFUNCTION("IF
(
G6031=""фізична особа""
,
VLOOKUP(H6031,IMPORTRANGE(""https://docs.google.com/spreadsheets/d/14Bd19lYaqBhU8_DElYkX7l4wRkHqqCUFNJY4AfY3kHU/edit?usp=sharing  #gid=0"",""фіз особи new!relations_name""),6,FALSE)
,
(IF
(
G6031=""юридична особа""
,
VLOOKUP"&amp;"(H6031,IMPORTRANGE(""https://docs.google.com/spreadsheets/d/14Bd19lYaqBhU8_DElYkX7l4wRkHqqCUFNJY4AfY3kHU/edit?usp=sharing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J6030" s="7" t="s">
        <v>12</v>
      </c>
    </row>
    <row r="6031" spans="1:10" ht="13.2">
      <c r="A6031" s="7">
        <v>6030</v>
      </c>
      <c r="B6031" s="7">
        <v>1</v>
      </c>
      <c r="C6031" s="7" t="s">
        <v>10</v>
      </c>
      <c r="D6031" s="7">
        <v>4963</v>
      </c>
      <c r="E6031" s="7" t="s">
        <v>13</v>
      </c>
      <c r="F6031" s="8" t="str">
        <f ca="1">IFERROR(__xludf.DUMMYFUNCTION("IF
(
C6032=""фізична особа""
,
VLOOKUP(D6032,IMPORTRANGE(""https://docs.google.com/spreadsheets/d/14Bd19lYaqBhU8_DElYkX7l4wRkHqqCUFNJY4AfY3kHU/edit?usp=sharing  #gid=0"",""фіз особи new!relations_name""),6,FALSE)
,
(IF
(
C6032=""юридична особа""
,
VLOOKUP"&amp;"(D6032,IMPORTRANGE(""https://docs.google.com/spreadsheets/d/14Bd19lYaqBhU8_DElYkX7l4wRkHqqCUFNJY4AfY3kHU/edit?usp=sharing  #gid=0"",""фіз особи new!relations_name_uo""),7,FALSE)
,
)
))"),"ЖУРАВЛЬОВА Валерія Миколаївна")</f>
        <v>ЖУРАВЛЬОВА Валерія Миколаївна</v>
      </c>
      <c r="G6031" s="7" t="s">
        <v>10</v>
      </c>
      <c r="H6031" s="7">
        <v>494</v>
      </c>
      <c r="I6031" s="8" t="str">
        <f ca="1">IFERROR(__xludf.DUMMYFUNCTION("IF
(
G6032=""фізична особа""
,
VLOOKUP(H6032,IMPORTRANGE(""https://docs.google.com/spreadsheets/d/14Bd19lYaqBhU8_DElYkX7l4wRkHqqCUFNJY4AfY3kHU/edit?usp=sharing  #gid=0"",""фіз особи new!relations_name""),6,FALSE)
,
(IF
(
G6032=""юридична особа""
,
VLOOKUP"&amp;"(H6032,IMPORTRANGE(""https://docs.google.com/spreadsheets/d/14Bd19lYaqBhU8_DElYkX7l4wRkHqqCUFNJY4AfY3kHU/edit?usp=sharing  #gid=0"",""фіз особи new!relations_name_uo""),7,FALSE)
,
)
))"),"ЖУРАВЛЬОВ Микола Андрійович")</f>
        <v>ЖУРАВЛЬОВ Микола Андрійович</v>
      </c>
      <c r="J6031" s="7" t="s">
        <v>12</v>
      </c>
    </row>
    <row r="6032" spans="1:10" ht="13.2">
      <c r="A6032" s="7">
        <v>6031</v>
      </c>
      <c r="B6032" s="7">
        <v>1</v>
      </c>
      <c r="C6032" s="7" t="s">
        <v>10</v>
      </c>
      <c r="D6032" s="7">
        <v>4964</v>
      </c>
      <c r="E6032" s="7" t="s">
        <v>17</v>
      </c>
      <c r="F6032" s="8" t="str">
        <f ca="1">IFERROR(__xludf.DUMMYFUNCTION("IF
(
C6033=""фізична особа""
,
VLOOKUP(D6033,IMPORTRANGE(""https://docs.google.com/spreadsheets/d/14Bd19lYaqBhU8_DElYkX7l4wRkHqqCUFNJY4AfY3kHU/edit?usp=sharing  #gid=0"",""фіз особи new!relations_name""),6,FALSE)
,
(IF
(
C6033=""юридична особа""
,
VLOOKUP"&amp;"(D6033,IMPORTRANGE(""https://docs.google.com/spreadsheets/d/14Bd19lYaqBhU8_DElYkX7l4wRkHqqCUFNJY4AfY3kHU/edit?usp=sharing  #gid=0"",""фіз особи new!relations_name_uo""),7,FALSE)
,
)
))"),"КАЧКАЄВ Дмитро Павлович")</f>
        <v>КАЧКАЄВ Дмитро Павлович</v>
      </c>
      <c r="G6032" s="7" t="s">
        <v>10</v>
      </c>
      <c r="H6032" s="7">
        <v>585</v>
      </c>
      <c r="I6032" s="8" t="str">
        <f ca="1">IFERROR(__xludf.DUMMYFUNCTION("IF
(
G6033=""фізична особа""
,
VLOOKUP(H6033,IMPORTRANGE(""https://docs.google.com/spreadsheets/d/14Bd19lYaqBhU8_DElYkX7l4wRkHqqCUFNJY4AfY3kHU/edit?usp=sharing  #gid=0"",""фіз особи new!relations_name""),6,FALSE)
,
(IF
(
G6033=""юридична особа""
,
VLOOKUP"&amp;"(H6033,IMPORTRANGE(""https://docs.google.com/spreadsheets/d/14Bd19lYaqBhU8_DElYkX7l4wRkHqqCUFNJY4AfY3kHU/edit?usp=sharing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J6032" s="7" t="s">
        <v>12</v>
      </c>
    </row>
    <row r="6033" spans="1:10" ht="13.2">
      <c r="A6033" s="7">
        <v>6032</v>
      </c>
      <c r="B6033" s="7">
        <v>1</v>
      </c>
      <c r="C6033" s="7" t="s">
        <v>10</v>
      </c>
      <c r="D6033" s="7">
        <v>4965</v>
      </c>
      <c r="E6033" s="7" t="s">
        <v>15</v>
      </c>
      <c r="F6033" s="8" t="str">
        <f ca="1">IFERROR(__xludf.DUMMYFUNCTION("IF
(
C6034=""фізична особа""
,
VLOOKUP(D6034,IMPORTRANGE(""https://docs.google.com/spreadsheets/d/14Bd19lYaqBhU8_DElYkX7l4wRkHqqCUFNJY4AfY3kHU/edit?usp=sharing  #gid=0"",""фіз особи new!relations_name""),6,FALSE)
,
(IF
(
C6034=""юридична особа""
,
VLOOKUP"&amp;"(D6034,IMPORTRANGE(""https://docs.google.com/spreadsheets/d/14Bd19lYaqBhU8_DElYkX7l4wRkHqqCUFNJY4AfY3kHU/edit?usp=sharing  #gid=0"",""фіз особи new!relations_name_uo""),7,FALSE)
,
)
))"),"КАЧКАЄВА Галина Юріївна")</f>
        <v>КАЧКАЄВА Галина Юріївна</v>
      </c>
      <c r="G6033" s="7" t="s">
        <v>10</v>
      </c>
      <c r="H6033" s="7">
        <v>585</v>
      </c>
      <c r="I6033" s="8" t="str">
        <f ca="1">IFERROR(__xludf.DUMMYFUNCTION("IF
(
G6034=""фізична особа""
,
VLOOKUP(H6034,IMPORTRANGE(""https://docs.google.com/spreadsheets/d/14Bd19lYaqBhU8_DElYkX7l4wRkHqqCUFNJY4AfY3kHU/edit?usp=sharing  #gid=0"",""фіз особи new!relations_name""),6,FALSE)
,
(IF
(
G6034=""юридична особа""
,
VLOOKUP"&amp;"(H6034,IMPORTRANGE(""https://docs.google.com/spreadsheets/d/14Bd19lYaqBhU8_DElYkX7l4wRkHqqCUFNJY4AfY3kHU/edit?usp=sharing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J6033" s="7" t="s">
        <v>14</v>
      </c>
    </row>
    <row r="6034" spans="1:10" ht="13.2">
      <c r="A6034" s="7">
        <v>6033</v>
      </c>
      <c r="B6034" s="7">
        <v>1</v>
      </c>
      <c r="C6034" s="7" t="s">
        <v>10</v>
      </c>
      <c r="D6034" s="7">
        <v>4966</v>
      </c>
      <c r="E6034" s="7" t="s">
        <v>12</v>
      </c>
      <c r="F6034" s="8" t="str">
        <f ca="1">IFERROR(__xludf.DUMMYFUNCTION("IF
(
C6035=""фізична особа""
,
VLOOKUP(D6035,IMPORTRANGE(""https://docs.google.com/spreadsheets/d/14Bd19lYaqBhU8_DElYkX7l4wRkHqqCUFNJY4AfY3kHU/edit?usp=sharing  #gid=0"",""фіз особи new!relations_name""),6,FALSE)
,
(IF
(
C6035=""юридична особа""
,
VLOOKUP"&amp;"(D6035,IMPORTRANGE(""https://docs.google.com/spreadsheets/d/14Bd19lYaqBhU8_DElYkX7l4wRkHqqCUFNJY4AfY3kHU/edit?usp=sharing  #gid=0"",""фіз особи new!relations_name_uo""),7,FALSE)
,
)
))"),"МУХАМЕДШИН Фарид Хайруллович")</f>
        <v>МУХАМЕДШИН Фарид Хайруллович</v>
      </c>
      <c r="G6034" s="7" t="s">
        <v>10</v>
      </c>
      <c r="H6034" s="7">
        <v>0</v>
      </c>
      <c r="I6034" s="8" t="str">
        <f ca="1">IFERROR(__xludf.DUMMYFUNCTION("IF
(
G6035=""фізична особа""
,
VLOOKUP(H6035,IMPORTRANGE(""https://docs.google.com/spreadsheets/d/14Bd19lYaqBhU8_DElYkX7l4wRkHqqCUFNJY4AfY3kHU/edit?usp=sharing  #gid=0"",""фіз особи new!relations_name""),6,FALSE)
,
(IF
(
G6035=""юридична особа""
,
VLOOKUP"&amp;"(H6035,IMPORTRANGE(""https://docs.google.com/spreadsheets/d/14Bd19lYaqBhU8_DElYkX7l4wRkHqqCUFNJY4AfY3kHU/edit?usp=sharing  #gid=0"",""фіз особи new!relations_name_uo""),7,FALSE)
,
)
))"),"#N/A")</f>
        <v>#N/A</v>
      </c>
      <c r="J6034" s="7" t="s">
        <v>17</v>
      </c>
    </row>
    <row r="6035" spans="1:10" ht="13.2">
      <c r="A6035" s="7">
        <v>6034</v>
      </c>
      <c r="B6035" s="7">
        <v>1</v>
      </c>
      <c r="C6035" s="7" t="s">
        <v>10</v>
      </c>
      <c r="D6035" s="7">
        <v>4969</v>
      </c>
      <c r="E6035" s="7" t="s">
        <v>12</v>
      </c>
      <c r="F6035" s="8" t="str">
        <f ca="1">IFERROR(__xludf.DUMMYFUNCTION("IF
(
C6036=""фізична особа""
,
VLOOKUP(D6036,IMPORTRANGE(""https://docs.google.com/spreadsheets/d/14Bd19lYaqBhU8_DElYkX7l4wRkHqqCUFNJY4AfY3kHU/edit?usp=sharing  #gid=0"",""фіз особи new!relations_name""),6,FALSE)
,
(IF
(
C6036=""юридична особа""
,
VLOOKUP"&amp;"(D6036,IMPORTRANGE(""https://docs.google.com/spreadsheets/d/14Bd19lYaqBhU8_DElYkX7l4wRkHqqCUFNJY4AfY3kHU/edit?usp=sharing  #gid=0"",""фіз особи new!relations_name_uo""),7,FALSE)
,
)
))"),"ПОПОВ Сергій Олександрович")</f>
        <v>ПОПОВ Сергій Олександрович</v>
      </c>
      <c r="G6035" s="7" t="s">
        <v>10</v>
      </c>
      <c r="H6035" s="7">
        <v>0</v>
      </c>
      <c r="I6035" s="8" t="str">
        <f ca="1">IFERROR(__xludf.DUMMYFUNCTION("IF
(
G6036=""фізична особа""
,
VLOOKUP(H6036,IMPORTRANGE(""https://docs.google.com/spreadsheets/d/14Bd19lYaqBhU8_DElYkX7l4wRkHqqCUFNJY4AfY3kHU/edit?usp=sharing  #gid=0"",""фіз особи new!relations_name""),6,FALSE)
,
(IF
(
G6036=""юридична особа""
,
VLOOKUP"&amp;"(H6036,IMPORTRANGE(""https://docs.google.com/spreadsheets/d/14Bd19lYaqBhU8_DElYkX7l4wRkHqqCUFNJY4AfY3kHU/edit?usp=sharing  #gid=0"",""фіз особи new!relations_name_uo""),7,FALSE)
,
)
))"),"#N/A")</f>
        <v>#N/A</v>
      </c>
      <c r="J6035" s="7" t="s">
        <v>17</v>
      </c>
    </row>
    <row r="6036" spans="1:10" ht="13.2">
      <c r="A6036" s="7">
        <v>6035</v>
      </c>
      <c r="B6036" s="7">
        <v>1</v>
      </c>
      <c r="C6036" s="7" t="s">
        <v>10</v>
      </c>
      <c r="D6036" s="7">
        <v>4975</v>
      </c>
      <c r="E6036" s="7" t="s">
        <v>14</v>
      </c>
      <c r="F6036" s="8" t="str">
        <f ca="1">IFERROR(__xludf.DUMMYFUNCTION("IF
(
C6037=""фізична особа""
,
VLOOKUP(D6037,IMPORTRANGE(""https://docs.google.com/spreadsheets/d/14Bd19lYaqBhU8_DElYkX7l4wRkHqqCUFNJY4AfY3kHU/edit?usp=sharing  #gid=0"",""фіз особи new!relations_name""),6,FALSE)
,
(IF
(
C6037=""юридична особа""
,
VLOOKUP"&amp;"(D6037,IMPORTRANGE(""https://docs.google.com/spreadsheets/d/14Bd19lYaqBhU8_DElYkX7l4wRkHqqCUFNJY4AfY3kHU/edit?usp=sharing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G6036" s="7" t="s">
        <v>10</v>
      </c>
      <c r="H6036" s="7">
        <v>4976</v>
      </c>
      <c r="I6036" s="8" t="str">
        <f ca="1">IFERROR(__xludf.DUMMYFUNCTION("IF
(
G6037=""фізична особа""
,
VLOOKUP(H6037,IMPORTRANGE(""https://docs.google.com/spreadsheets/d/14Bd19lYaqBhU8_DElYkX7l4wRkHqqCUFNJY4AfY3kHU/edit?usp=sharing  #gid=0"",""фіз особи new!relations_name""),6,FALSE)
,
(IF
(
G6037=""юридична особа""
,
VLOOKUP"&amp;"(H6037,IMPORTRANGE(""https://docs.google.com/spreadsheets/d/14Bd19lYaqBhU8_DElYkX7l4wRkHqqCUFNJY4AfY3kHU/edit?usp=sharing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J6036" s="7" t="s">
        <v>15</v>
      </c>
    </row>
    <row r="6037" spans="1:10" ht="13.2">
      <c r="A6037" s="7">
        <v>6036</v>
      </c>
      <c r="B6037" s="7">
        <v>1</v>
      </c>
      <c r="C6037" s="7" t="s">
        <v>10</v>
      </c>
      <c r="D6037" s="7">
        <v>4975</v>
      </c>
      <c r="E6037" s="7" t="s">
        <v>12</v>
      </c>
      <c r="F6037" s="8" t="str">
        <f ca="1">IFERROR(__xludf.DUMMYFUNCTION("IF
(
C6038=""фізична особа""
,
VLOOKUP(D6038,IMPORTRANGE(""https://docs.google.com/spreadsheets/d/14Bd19lYaqBhU8_DElYkX7l4wRkHqqCUFNJY4AfY3kHU/edit?usp=sharing  #gid=0"",""фіз особи new!relations_name""),6,FALSE)
,
(IF
(
C6038=""юридична особа""
,
VLOOKUP"&amp;"(D6038,IMPORTRANGE(""https://docs.google.com/spreadsheets/d/14Bd19lYaqBhU8_DElYkX7l4wRkHqqCUFNJY4AfY3kHU/edit?usp=sharing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G6037" s="7" t="s">
        <v>10</v>
      </c>
      <c r="H6037" s="7">
        <v>4977</v>
      </c>
      <c r="I6037" s="8" t="str">
        <f ca="1">IFERROR(__xludf.DUMMYFUNCTION("IF
(
G6038=""фізична особа""
,
VLOOKUP(H6038,IMPORTRANGE(""https://docs.google.com/spreadsheets/d/14Bd19lYaqBhU8_DElYkX7l4wRkHqqCUFNJY4AfY3kHU/edit?usp=sharing  #gid=0"",""фіз особи new!relations_name""),6,FALSE)
,
(IF
(
G6038=""юридична особа""
,
VLOOKUP"&amp;"(H6038,IMPORTRANGE(""https://docs.google.com/spreadsheets/d/14Bd19lYaqBhU8_DElYkX7l4wRkHqqCUFNJY4AfY3kHU/edit?usp=sharing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J6037" s="7" t="s">
        <v>17</v>
      </c>
    </row>
    <row r="6038" spans="1:10" ht="13.2">
      <c r="A6038" s="7">
        <v>6037</v>
      </c>
      <c r="B6038" s="7">
        <v>1</v>
      </c>
      <c r="C6038" s="7" t="s">
        <v>10</v>
      </c>
      <c r="D6038" s="7">
        <v>4975</v>
      </c>
      <c r="E6038" s="7" t="s">
        <v>12</v>
      </c>
      <c r="F6038" s="8" t="str">
        <f ca="1">IFERROR(__xludf.DUMMYFUNCTION("IF
(
C6039=""фізична особа""
,
VLOOKUP(D6039,IMPORTRANGE(""https://docs.google.com/spreadsheets/d/14Bd19lYaqBhU8_DElYkX7l4wRkHqqCUFNJY4AfY3kHU/edit?usp=sharing  #gid=0"",""фіз особи new!relations_name""),6,FALSE)
,
(IF
(
C6039=""юридична особа""
,
VLOOKUP"&amp;"(D6039,IMPORTRANGE(""https://docs.google.com/spreadsheets/d/14Bd19lYaqBhU8_DElYkX7l4wRkHqqCUFNJY4AfY3kHU/edit?usp=sharing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G6038" s="7" t="s">
        <v>10</v>
      </c>
      <c r="H6038" s="7">
        <v>4978</v>
      </c>
      <c r="I6038" s="8" t="str">
        <f ca="1">IFERROR(__xludf.DUMMYFUNCTION("IF
(
G6039=""фізична особа""
,
VLOOKUP(H6039,IMPORTRANGE(""https://docs.google.com/spreadsheets/d/14Bd19lYaqBhU8_DElYkX7l4wRkHqqCUFNJY4AfY3kHU/edit?usp=sharing  #gid=0"",""фіз особи new!relations_name""),6,FALSE)
,
(IF
(
G6039=""юридична особа""
,
VLOOKUP"&amp;"(H6039,IMPORTRANGE(""https://docs.google.com/spreadsheets/d/14Bd19lYaqBhU8_DElYkX7l4wRkHqqCUFNJY4AfY3kHU/edit?usp=sharing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J6038" s="7" t="s">
        <v>13</v>
      </c>
    </row>
    <row r="6039" spans="1:10" ht="13.2">
      <c r="A6039" s="7">
        <v>6038</v>
      </c>
      <c r="B6039" s="7">
        <v>1</v>
      </c>
      <c r="C6039" s="7" t="s">
        <v>10</v>
      </c>
      <c r="D6039" s="7">
        <v>4976</v>
      </c>
      <c r="E6039" s="7" t="s">
        <v>15</v>
      </c>
      <c r="F6039" s="8" t="str">
        <f ca="1">IFERROR(__xludf.DUMMYFUNCTION("IF
(
C6040=""фізична особа""
,
VLOOKUP(D6040,IMPORTRANGE(""https://docs.google.com/spreadsheets/d/14Bd19lYaqBhU8_DElYkX7l4wRkHqqCUFNJY4AfY3kHU/edit?usp=sharing  #gid=0"",""фіз особи new!relations_name""),6,FALSE)
,
(IF
(
C6040=""юридична особа""
,
VLOOKUP"&amp;"(D6040,IMPORTRANGE(""https://docs.google.com/spreadsheets/d/14Bd19lYaqBhU8_DElYkX7l4wRkHqqCUFNJY4AfY3kHU/edit?usp=sharing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G6039" s="7" t="s">
        <v>10</v>
      </c>
      <c r="H6039" s="7">
        <v>4975</v>
      </c>
      <c r="I6039" s="8" t="str">
        <f ca="1">IFERROR(__xludf.DUMMYFUNCTION("IF
(
G6040=""фізична особа""
,
VLOOKUP(H6040,IMPORTRANGE(""https://docs.google.com/spreadsheets/d/14Bd19lYaqBhU8_DElYkX7l4wRkHqqCUFNJY4AfY3kHU/edit?usp=sharing  #gid=0"",""фіз особи new!relations_name""),6,FALSE)
,
(IF
(
G6040=""юридична особа""
,
VLOOKUP"&amp;"(H6040,IMPORTRANGE(""https://docs.google.com/spreadsheets/d/14Bd19lYaqBhU8_DElYkX7l4wRkHqqCUFNJY4AfY3kHU/edit?usp=sharing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J6039" s="7" t="s">
        <v>14</v>
      </c>
    </row>
    <row r="6040" spans="1:10" ht="13.2">
      <c r="A6040" s="7">
        <v>6039</v>
      </c>
      <c r="B6040" s="7">
        <v>1</v>
      </c>
      <c r="C6040" s="7" t="s">
        <v>10</v>
      </c>
      <c r="D6040" s="7">
        <v>4976</v>
      </c>
      <c r="E6040" s="7" t="s">
        <v>21</v>
      </c>
      <c r="F6040" s="8" t="str">
        <f ca="1">IFERROR(__xludf.DUMMYFUNCTION("IF
(
C6041=""фізична особа""
,
VLOOKUP(D6041,IMPORTRANGE(""https://docs.google.com/spreadsheets/d/14Bd19lYaqBhU8_DElYkX7l4wRkHqqCUFNJY4AfY3kHU/edit?usp=sharing  #gid=0"",""фіз особи new!relations_name""),6,FALSE)
,
(IF
(
C6041=""юридична особа""
,
VLOOKUP"&amp;"(D6041,IMPORTRANGE(""https://docs.google.com/spreadsheets/d/14Bd19lYaqBhU8_DElYkX7l4wRkHqqCUFNJY4AfY3kHU/edit?usp=sharing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G6040" s="7" t="s">
        <v>10</v>
      </c>
      <c r="H6040" s="7">
        <v>4977</v>
      </c>
      <c r="I6040" s="8" t="str">
        <f ca="1">IFERROR(__xludf.DUMMYFUNCTION("IF
(
G6041=""фізична особа""
,
VLOOKUP(H6041,IMPORTRANGE(""https://docs.google.com/spreadsheets/d/14Bd19lYaqBhU8_DElYkX7l4wRkHqqCUFNJY4AfY3kHU/edit?usp=sharing  #gid=0"",""фіз особи new!relations_name""),6,FALSE)
,
(IF
(
G6041=""юридична особа""
,
VLOOKUP"&amp;"(H6041,IMPORTRANGE(""https://docs.google.com/spreadsheets/d/14Bd19lYaqBhU8_DElYkX7l4wRkHqqCUFNJY4AfY3kHU/edit?usp=sharing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J6040" s="7" t="s">
        <v>17</v>
      </c>
    </row>
    <row r="6041" spans="1:10" ht="13.2">
      <c r="A6041" s="7">
        <v>6040</v>
      </c>
      <c r="B6041" s="7">
        <v>1</v>
      </c>
      <c r="C6041" s="7" t="s">
        <v>10</v>
      </c>
      <c r="D6041" s="7">
        <v>4976</v>
      </c>
      <c r="E6041" s="7" t="s">
        <v>21</v>
      </c>
      <c r="F6041" s="8" t="str">
        <f ca="1">IFERROR(__xludf.DUMMYFUNCTION("IF
(
C6042=""фізична особа""
,
VLOOKUP(D6042,IMPORTRANGE(""https://docs.google.com/spreadsheets/d/14Bd19lYaqBhU8_DElYkX7l4wRkHqqCUFNJY4AfY3kHU/edit?usp=sharing  #gid=0"",""фіз особи new!relations_name""),6,FALSE)
,
(IF
(
C6042=""юридична особа""
,
VLOOKUP"&amp;"(D6042,IMPORTRANGE(""https://docs.google.com/spreadsheets/d/14Bd19lYaqBhU8_DElYkX7l4wRkHqqCUFNJY4AfY3kHU/edit?usp=sharing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G6041" s="7" t="s">
        <v>10</v>
      </c>
      <c r="H6041" s="7">
        <v>4978</v>
      </c>
      <c r="I6041" s="8" t="str">
        <f ca="1">IFERROR(__xludf.DUMMYFUNCTION("IF
(
G6042=""фізична особа""
,
VLOOKUP(H6042,IMPORTRANGE(""https://docs.google.com/spreadsheets/d/14Bd19lYaqBhU8_DElYkX7l4wRkHqqCUFNJY4AfY3kHU/edit?usp=sharing  #gid=0"",""фіз особи new!relations_name""),6,FALSE)
,
(IF
(
G6042=""юридична особа""
,
VLOOKUP"&amp;"(H6042,IMPORTRANGE(""https://docs.google.com/spreadsheets/d/14Bd19lYaqBhU8_DElYkX7l4wRkHqqCUFNJY4AfY3kHU/edit?usp=sharing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J6041" s="7" t="s">
        <v>13</v>
      </c>
    </row>
    <row r="6042" spans="1:10" ht="13.2">
      <c r="A6042" s="7">
        <v>6041</v>
      </c>
      <c r="B6042" s="7">
        <v>1</v>
      </c>
      <c r="C6042" s="7" t="s">
        <v>10</v>
      </c>
      <c r="D6042" s="7">
        <v>4977</v>
      </c>
      <c r="E6042" s="7" t="s">
        <v>17</v>
      </c>
      <c r="F6042" s="8" t="str">
        <f ca="1">IFERROR(__xludf.DUMMYFUNCTION("IF
(
C6043=""фізична особа""
,
VLOOKUP(D6043,IMPORTRANGE(""https://docs.google.com/spreadsheets/d/14Bd19lYaqBhU8_DElYkX7l4wRkHqqCUFNJY4AfY3kHU/edit?usp=sharing  #gid=0"",""фіз особи new!relations_name""),6,FALSE)
,
(IF
(
C6043=""юридична особа""
,
VLOOKUP"&amp;"(D6043,IMPORTRANGE(""https://docs.google.com/spreadsheets/d/14Bd19lYaqBhU8_DElYkX7l4wRkHqqCUFNJY4AfY3kHU/edit?usp=sharing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G6042" s="7" t="s">
        <v>10</v>
      </c>
      <c r="H6042" s="7">
        <v>4975</v>
      </c>
      <c r="I6042" s="8" t="str">
        <f ca="1">IFERROR(__xludf.DUMMYFUNCTION("IF
(
G6043=""фізична особа""
,
VLOOKUP(H6043,IMPORTRANGE(""https://docs.google.com/spreadsheets/d/14Bd19lYaqBhU8_DElYkX7l4wRkHqqCUFNJY4AfY3kHU/edit?usp=sharing  #gid=0"",""фіз особи new!relations_name""),6,FALSE)
,
(IF
(
G6043=""юридична особа""
,
VLOOKUP"&amp;"(H6043,IMPORTRANGE(""https://docs.google.com/spreadsheets/d/14Bd19lYaqBhU8_DElYkX7l4wRkHqqCUFNJY4AfY3kHU/edit?usp=sharing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J6042" s="7" t="s">
        <v>12</v>
      </c>
    </row>
    <row r="6043" spans="1:10" ht="13.2">
      <c r="A6043" s="7">
        <v>6042</v>
      </c>
      <c r="B6043" s="7">
        <v>1</v>
      </c>
      <c r="C6043" s="7" t="s">
        <v>10</v>
      </c>
      <c r="D6043" s="7">
        <v>4977</v>
      </c>
      <c r="E6043" s="7" t="s">
        <v>17</v>
      </c>
      <c r="F6043" s="8" t="str">
        <f ca="1">IFERROR(__xludf.DUMMYFUNCTION("IF
(
C6044=""фізична особа""
,
VLOOKUP(D6044,IMPORTRANGE(""https://docs.google.com/spreadsheets/d/14Bd19lYaqBhU8_DElYkX7l4wRkHqqCUFNJY4AfY3kHU/edit?usp=sharing  #gid=0"",""фіз особи new!relations_name""),6,FALSE)
,
(IF
(
C6044=""юридична особа""
,
VLOOKUP"&amp;"(D6044,IMPORTRANGE(""https://docs.google.com/spreadsheets/d/14Bd19lYaqBhU8_DElYkX7l4wRkHqqCUFNJY4AfY3kHU/edit?usp=sharing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G6043" s="7" t="s">
        <v>10</v>
      </c>
      <c r="H6043" s="7">
        <v>4976</v>
      </c>
      <c r="I6043" s="8" t="str">
        <f ca="1">IFERROR(__xludf.DUMMYFUNCTION("IF
(
G6044=""фізична особа""
,
VLOOKUP(H6044,IMPORTRANGE(""https://docs.google.com/spreadsheets/d/14Bd19lYaqBhU8_DElYkX7l4wRkHqqCUFNJY4AfY3kHU/edit?usp=sharing  #gid=0"",""фіз особи new!relations_name""),6,FALSE)
,
(IF
(
G6044=""юридична особа""
,
VLOOKUP"&amp;"(H6044,IMPORTRANGE(""https://docs.google.com/spreadsheets/d/14Bd19lYaqBhU8_DElYkX7l4wRkHqqCUFNJY4AfY3kHU/edit?usp=sharing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J6043" s="7" t="s">
        <v>21</v>
      </c>
    </row>
    <row r="6044" spans="1:10" ht="13.2">
      <c r="A6044" s="7">
        <v>6043</v>
      </c>
      <c r="B6044" s="7">
        <v>1</v>
      </c>
      <c r="C6044" s="7" t="s">
        <v>10</v>
      </c>
      <c r="D6044" s="7">
        <v>4977</v>
      </c>
      <c r="E6044" s="7" t="s">
        <v>18</v>
      </c>
      <c r="F6044" s="8" t="str">
        <f ca="1">IFERROR(__xludf.DUMMYFUNCTION("IF
(
C6045=""фізична особа""
,
VLOOKUP(D6045,IMPORTRANGE(""https://docs.google.com/spreadsheets/d/14Bd19lYaqBhU8_DElYkX7l4wRkHqqCUFNJY4AfY3kHU/edit?usp=sharing  #gid=0"",""фіз особи new!relations_name""),6,FALSE)
,
(IF
(
C6045=""юридична особа""
,
VLOOKUP"&amp;"(D6045,IMPORTRANGE(""https://docs.google.com/spreadsheets/d/14Bd19lYaqBhU8_DElYkX7l4wRkHqqCUFNJY4AfY3kHU/edit?usp=sharing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G6044" s="7" t="s">
        <v>10</v>
      </c>
      <c r="H6044" s="7">
        <v>4978</v>
      </c>
      <c r="I6044" s="8" t="str">
        <f ca="1">IFERROR(__xludf.DUMMYFUNCTION("IF
(
G6045=""фізична особа""
,
VLOOKUP(H6045,IMPORTRANGE(""https://docs.google.com/spreadsheets/d/14Bd19lYaqBhU8_DElYkX7l4wRkHqqCUFNJY4AfY3kHU/edit?usp=sharing  #gid=0"",""фіз особи new!relations_name""),6,FALSE)
,
(IF
(
G6045=""юридична особа""
,
VLOOKUP"&amp;"(H6045,IMPORTRANGE(""https://docs.google.com/spreadsheets/d/14Bd19lYaqBhU8_DElYkX7l4wRkHqqCUFNJY4AfY3kHU/edit?usp=sharing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J6044" s="7" t="s">
        <v>31</v>
      </c>
    </row>
    <row r="6045" spans="1:10" ht="13.2">
      <c r="A6045" s="7">
        <v>6044</v>
      </c>
      <c r="B6045" s="7">
        <v>1</v>
      </c>
      <c r="C6045" s="7" t="s">
        <v>10</v>
      </c>
      <c r="D6045" s="7">
        <v>4978</v>
      </c>
      <c r="E6045" s="7" t="s">
        <v>13</v>
      </c>
      <c r="F6045" s="8" t="str">
        <f ca="1">IFERROR(__xludf.DUMMYFUNCTION("IF
(
C6046=""фізична особа""
,
VLOOKUP(D6046,IMPORTRANGE(""https://docs.google.com/spreadsheets/d/14Bd19lYaqBhU8_DElYkX7l4wRkHqqCUFNJY4AfY3kHU/edit?usp=sharing  #gid=0"",""фіз особи new!relations_name""),6,FALSE)
,
(IF
(
C6046=""юридична особа""
,
VLOOKUP"&amp;"(D6046,IMPORTRANGE(""https://docs.google.com/spreadsheets/d/14Bd19lYaqBhU8_DElYkX7l4wRkHqqCUFNJY4AfY3kHU/edit?usp=sharing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G6045" s="7" t="s">
        <v>10</v>
      </c>
      <c r="H6045" s="7">
        <v>4975</v>
      </c>
      <c r="I6045" s="8" t="str">
        <f ca="1">IFERROR(__xludf.DUMMYFUNCTION("IF
(
G6046=""фізична особа""
,
VLOOKUP(H6046,IMPORTRANGE(""https://docs.google.com/spreadsheets/d/14Bd19lYaqBhU8_DElYkX7l4wRkHqqCUFNJY4AfY3kHU/edit?usp=sharing  #gid=0"",""фіз особи new!relations_name""),6,FALSE)
,
(IF
(
G6046=""юридична особа""
,
VLOOKUP"&amp;"(H6046,IMPORTRANGE(""https://docs.google.com/spreadsheets/d/14Bd19lYaqBhU8_DElYkX7l4wRkHqqCUFNJY4AfY3kHU/edit?usp=sharing  #gid=0"",""фіз особи new!relations_name_uo""),7,FALSE)
,
)
))"),"КЛІНЦЕВИЧ Франц Адамович")</f>
        <v>КЛІНЦЕВИЧ Франц Адамович</v>
      </c>
      <c r="J6045" s="7" t="s">
        <v>12</v>
      </c>
    </row>
    <row r="6046" spans="1:10" ht="13.2">
      <c r="A6046" s="7">
        <v>6045</v>
      </c>
      <c r="B6046" s="7">
        <v>1</v>
      </c>
      <c r="C6046" s="7" t="s">
        <v>10</v>
      </c>
      <c r="D6046" s="7">
        <v>4978</v>
      </c>
      <c r="E6046" s="7" t="s">
        <v>13</v>
      </c>
      <c r="F6046" s="8" t="str">
        <f ca="1">IFERROR(__xludf.DUMMYFUNCTION("IF
(
C6047=""фізична особа""
,
VLOOKUP(D6047,IMPORTRANGE(""https://docs.google.com/spreadsheets/d/14Bd19lYaqBhU8_DElYkX7l4wRkHqqCUFNJY4AfY3kHU/edit?usp=sharing  #gid=0"",""фіз особи new!relations_name""),6,FALSE)
,
(IF
(
C6047=""юридична особа""
,
VLOOKUP"&amp;"(D6047,IMPORTRANGE(""https://docs.google.com/spreadsheets/d/14Bd19lYaqBhU8_DElYkX7l4wRkHqqCUFNJY4AfY3kHU/edit?usp=sharing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G6046" s="7" t="s">
        <v>10</v>
      </c>
      <c r="H6046" s="7">
        <v>4976</v>
      </c>
      <c r="I6046" s="8" t="str">
        <f ca="1">IFERROR(__xludf.DUMMYFUNCTION("IF
(
G6047=""фізична особа""
,
VLOOKUP(H6047,IMPORTRANGE(""https://docs.google.com/spreadsheets/d/14Bd19lYaqBhU8_DElYkX7l4wRkHqqCUFNJY4AfY3kHU/edit?usp=sharing  #gid=0"",""фіз особи new!relations_name""),6,FALSE)
,
(IF
(
G6047=""юридична особа""
,
VLOOKUP"&amp;"(H6047,IMPORTRANGE(""https://docs.google.com/spreadsheets/d/14Bd19lYaqBhU8_DElYkX7l4wRkHqqCUFNJY4AfY3kHU/edit?usp=sharing  #gid=0"",""фіз особи new!relations_name_uo""),7,FALSE)
,
)
))"),"КЛІНЦЕВИЧ Лариса Федорівна")</f>
        <v>КЛІНЦЕВИЧ Лариса Федорівна</v>
      </c>
      <c r="J6046" s="7" t="s">
        <v>21</v>
      </c>
    </row>
    <row r="6047" spans="1:10" ht="13.2">
      <c r="A6047" s="7">
        <v>6046</v>
      </c>
      <c r="B6047" s="7">
        <v>1</v>
      </c>
      <c r="C6047" s="7" t="s">
        <v>10</v>
      </c>
      <c r="D6047" s="7">
        <v>4978</v>
      </c>
      <c r="E6047" s="7" t="s">
        <v>31</v>
      </c>
      <c r="F6047" s="8" t="str">
        <f ca="1">IFERROR(__xludf.DUMMYFUNCTION("IF
(
C6048=""фізична особа""
,
VLOOKUP(D6048,IMPORTRANGE(""https://docs.google.com/spreadsheets/d/14Bd19lYaqBhU8_DElYkX7l4wRkHqqCUFNJY4AfY3kHU/edit?usp=sharing  #gid=0"",""фіз особи new!relations_name""),6,FALSE)
,
(IF
(
C6048=""юридична особа""
,
VLOOKUP"&amp;"(D6048,IMPORTRANGE(""https://docs.google.com/spreadsheets/d/14Bd19lYaqBhU8_DElYkX7l4wRkHqqCUFNJY4AfY3kHU/edit?usp=sharing  #gid=0"",""фіз особи new!relations_name_uo""),7,FALSE)
,
)
))"),"КЛІНЦЕВИЧ Анастасія Францівна")</f>
        <v>КЛІНЦЕВИЧ Анастасія Францівна</v>
      </c>
      <c r="G6047" s="7" t="s">
        <v>10</v>
      </c>
      <c r="H6047" s="7">
        <v>4977</v>
      </c>
      <c r="I6047" s="8" t="str">
        <f ca="1">IFERROR(__xludf.DUMMYFUNCTION("IF
(
G6048=""фізична особа""
,
VLOOKUP(H6048,IMPORTRANGE(""https://docs.google.com/spreadsheets/d/14Bd19lYaqBhU8_DElYkX7l4wRkHqqCUFNJY4AfY3kHU/edit?usp=sharing  #gid=0"",""фіз особи new!relations_name""),6,FALSE)
,
(IF
(
G6048=""юридична особа""
,
VLOOKUP"&amp;"(H6048,IMPORTRANGE(""https://docs.google.com/spreadsheets/d/14Bd19lYaqBhU8_DElYkX7l4wRkHqqCUFNJY4AfY3kHU/edit?usp=sharing  #gid=0"",""фіз особи new!relations_name_uo""),7,FALSE)
,
)
))"),"КЛІНЦЕВИЧ Андрій Францович")</f>
        <v>КЛІНЦЕВИЧ Андрій Францович</v>
      </c>
      <c r="J6047" s="7" t="s">
        <v>18</v>
      </c>
    </row>
    <row r="6048" spans="1:10" ht="13.2">
      <c r="A6048" s="7">
        <v>6047</v>
      </c>
      <c r="B6048" s="7">
        <v>1</v>
      </c>
      <c r="C6048" s="7" t="s">
        <v>10</v>
      </c>
      <c r="D6048" s="7">
        <v>4979</v>
      </c>
      <c r="E6048" s="7" t="s">
        <v>15</v>
      </c>
      <c r="F6048" s="8" t="str">
        <f ca="1">IFERROR(__xludf.DUMMYFUNCTION("IF
(
C6049=""фізична особа""
,
VLOOKUP(D6049,IMPORTRANGE(""https://docs.google.com/spreadsheets/d/14Bd19lYaqBhU8_DElYkX7l4wRkHqqCUFNJY4AfY3kHU/edit?usp=sharing  #gid=0"",""фіз особи new!relations_name""),6,FALSE)
,
(IF
(
C6049=""юридична особа""
,
VLOOKUP"&amp;"(D6049,IMPORTRANGE(""https://docs.google.com/spreadsheets/d/14Bd19lYaqBhU8_DElYkX7l4wRkHqqCUFNJY4AfY3kHU/edit?usp=sharing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G6048" s="7" t="s">
        <v>10</v>
      </c>
      <c r="H6048" s="7">
        <v>357</v>
      </c>
      <c r="I6048" s="8" t="str">
        <f ca="1">IFERROR(__xludf.DUMMYFUNCTION("IF
(
G6049=""фізична особа""
,
VLOOKUP(H6049,IMPORTRANGE(""https://docs.google.com/spreadsheets/d/14Bd19lYaqBhU8_DElYkX7l4wRkHqqCUFNJY4AfY3kHU/edit?usp=sharing  #gid=0"",""фіз особи new!relations_name""),6,FALSE)
,
(IF
(
G6049=""юридична особа""
,
VLOOKUP"&amp;"(H6049,IMPORTRANGE(""https://docs.google.com/spreadsheets/d/14Bd19lYaqBhU8_DElYkX7l4wRkHqqCUFNJY4AfY3kHU/edit?usp=sharing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J6048" s="7" t="s">
        <v>14</v>
      </c>
    </row>
    <row r="6049" spans="1:10" ht="13.2">
      <c r="A6049" s="7">
        <v>6048</v>
      </c>
      <c r="B6049" s="7">
        <v>1</v>
      </c>
      <c r="C6049" s="7" t="s">
        <v>10</v>
      </c>
      <c r="D6049" s="7">
        <v>4979</v>
      </c>
      <c r="E6049" s="7" t="s">
        <v>21</v>
      </c>
      <c r="F6049" s="8" t="str">
        <f ca="1">IFERROR(__xludf.DUMMYFUNCTION("IF
(
C6050=""фізична особа""
,
VLOOKUP(D6050,IMPORTRANGE(""https://docs.google.com/spreadsheets/d/14Bd19lYaqBhU8_DElYkX7l4wRkHqqCUFNJY4AfY3kHU/edit?usp=sharing  #gid=0"",""фіз особи new!relations_name""),6,FALSE)
,
(IF
(
C6050=""юридична особа""
,
VLOOKUP"&amp;"(D6050,IMPORTRANGE(""https://docs.google.com/spreadsheets/d/14Bd19lYaqBhU8_DElYkX7l4wRkHqqCUFNJY4AfY3kHU/edit?usp=sharing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G6049" s="7" t="s">
        <v>10</v>
      </c>
      <c r="H6049" s="7">
        <v>4980</v>
      </c>
      <c r="I6049" s="8" t="str">
        <f ca="1">IFERROR(__xludf.DUMMYFUNCTION("IF
(
G6050=""фізична особа""
,
VLOOKUP(H6050,IMPORTRANGE(""https://docs.google.com/spreadsheets/d/14Bd19lYaqBhU8_DElYkX7l4wRkHqqCUFNJY4AfY3kHU/edit?usp=sharing  #gid=0"",""фіз особи new!relations_name""),6,FALSE)
,
(IF
(
G6050=""юридична особа""
,
VLOOKUP"&amp;"(H6050,IMPORTRANGE(""https://docs.google.com/spreadsheets/d/14Bd19lYaqBhU8_DElYkX7l4wRkHqqCUFNJY4AfY3kHU/edit?usp=sharing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6049" s="7" t="s">
        <v>17</v>
      </c>
    </row>
    <row r="6050" spans="1:10" ht="13.2">
      <c r="A6050" s="7">
        <v>6049</v>
      </c>
      <c r="B6050" s="7">
        <v>1</v>
      </c>
      <c r="C6050" s="7" t="s">
        <v>10</v>
      </c>
      <c r="D6050" s="7">
        <v>4979</v>
      </c>
      <c r="E6050" s="7" t="s">
        <v>21</v>
      </c>
      <c r="F6050" s="8" t="str">
        <f ca="1">IFERROR(__xludf.DUMMYFUNCTION("IF
(
C6051=""фізична особа""
,
VLOOKUP(D6051,IMPORTRANGE(""https://docs.google.com/spreadsheets/d/14Bd19lYaqBhU8_DElYkX7l4wRkHqqCUFNJY4AfY3kHU/edit?usp=sharing  #gid=0"",""фіз особи new!relations_name""),6,FALSE)
,
(IF
(
C6051=""юридична особа""
,
VLOOKUP"&amp;"(D6051,IMPORTRANGE(""https://docs.google.com/spreadsheets/d/14Bd19lYaqBhU8_DElYkX7l4wRkHqqCUFNJY4AfY3kHU/edit?usp=sharing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G6050" s="7" t="s">
        <v>10</v>
      </c>
      <c r="H6050" s="7">
        <v>4981</v>
      </c>
      <c r="I6050" s="8" t="str">
        <f ca="1">IFERROR(__xludf.DUMMYFUNCTION("IF
(
G6051=""фізична особа""
,
VLOOKUP(H6051,IMPORTRANGE(""https://docs.google.com/spreadsheets/d/14Bd19lYaqBhU8_DElYkX7l4wRkHqqCUFNJY4AfY3kHU/edit?usp=sharing  #gid=0"",""фіз особи new!relations_name""),6,FALSE)
,
(IF
(
G6051=""юридична особа""
,
VLOOKUP"&amp;"(H6051,IMPORTRANGE(""https://docs.google.com/spreadsheets/d/14Bd19lYaqBhU8_DElYkX7l4wRkHqqCUFNJY4AfY3kHU/edit?usp=sharing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J6050" s="7" t="s">
        <v>17</v>
      </c>
    </row>
    <row r="6051" spans="1:10" ht="13.2">
      <c r="A6051" s="7">
        <v>6050</v>
      </c>
      <c r="B6051" s="7">
        <v>1</v>
      </c>
      <c r="C6051" s="7" t="s">
        <v>10</v>
      </c>
      <c r="D6051" s="7">
        <v>4979</v>
      </c>
      <c r="E6051" s="7" t="s">
        <v>21</v>
      </c>
      <c r="F6051" s="8" t="str">
        <f ca="1">IFERROR(__xludf.DUMMYFUNCTION("IF
(
C6052=""фізична особа""
,
VLOOKUP(D6052,IMPORTRANGE(""https://docs.google.com/spreadsheets/d/14Bd19lYaqBhU8_DElYkX7l4wRkHqqCUFNJY4AfY3kHU/edit?usp=sharing  #gid=0"",""фіз особи new!relations_name""),6,FALSE)
,
(IF
(
C6052=""юридична особа""
,
VLOOKUP"&amp;"(D6052,IMPORTRANGE(""https://docs.google.com/spreadsheets/d/14Bd19lYaqBhU8_DElYkX7l4wRkHqqCUFNJY4AfY3kHU/edit?usp=sharing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G6051" s="7" t="s">
        <v>10</v>
      </c>
      <c r="H6051" s="7">
        <v>4982</v>
      </c>
      <c r="I6051" s="8" t="str">
        <f ca="1">IFERROR(__xludf.DUMMYFUNCTION("IF
(
G6052=""фізична особа""
,
VLOOKUP(H6052,IMPORTRANGE(""https://docs.google.com/spreadsheets/d/14Bd19lYaqBhU8_DElYkX7l4wRkHqqCUFNJY4AfY3kHU/edit?usp=sharing  #gid=0"",""фіз особи new!relations_name""),6,FALSE)
,
(IF
(
G6052=""юридична особа""
,
VLOOKUP"&amp;"(H6052,IMPORTRANGE(""https://docs.google.com/spreadsheets/d/14Bd19lYaqBhU8_DElYkX7l4wRkHqqCUFNJY4AfY3kHU/edit?usp=sharing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J6051" s="7" t="s">
        <v>13</v>
      </c>
    </row>
    <row r="6052" spans="1:10" ht="13.2">
      <c r="A6052" s="7">
        <v>6051</v>
      </c>
      <c r="B6052" s="7">
        <v>1</v>
      </c>
      <c r="C6052" s="7" t="s">
        <v>10</v>
      </c>
      <c r="D6052" s="7">
        <v>4979</v>
      </c>
      <c r="E6052" s="7" t="s">
        <v>58</v>
      </c>
      <c r="F6052" s="8" t="str">
        <f ca="1">IFERROR(__xludf.DUMMYFUNCTION("IF
(
C6053=""фізична особа""
,
VLOOKUP(D6053,IMPORTRANGE(""https://docs.google.com/spreadsheets/d/14Bd19lYaqBhU8_DElYkX7l4wRkHqqCUFNJY4AfY3kHU/edit?usp=sharing  #gid=0"",""фіз особи new!relations_name""),6,FALSE)
,
(IF
(
C6053=""юридична особа""
,
VLOOKUP"&amp;"(D6053,IMPORTRANGE(""https://docs.google.com/spreadsheets/d/14Bd19lYaqBhU8_DElYkX7l4wRkHqqCUFNJY4AfY3kHU/edit?usp=sharing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G6052" s="7" t="s">
        <v>10</v>
      </c>
      <c r="H6052" s="7">
        <v>4983</v>
      </c>
      <c r="I6052" s="8" t="str">
        <f ca="1">IFERROR(__xludf.DUMMYFUNCTION("IF
(
G6053=""фізична особа""
,
VLOOKUP(H6053,IMPORTRANGE(""https://docs.google.com/spreadsheets/d/14Bd19lYaqBhU8_DElYkX7l4wRkHqqCUFNJY4AfY3kHU/edit?usp=sharing  #gid=0"",""фіз особи new!relations_name""),6,FALSE)
,
(IF
(
G6053=""юридична особа""
,
VLOOKUP"&amp;"(H6053,IMPORTRANGE(""https://docs.google.com/spreadsheets/d/14Bd19lYaqBhU8_DElYkX7l4wRkHqqCUFNJY4AfY3kHU/edit?usp=sharing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J6052" s="7" t="s">
        <v>25</v>
      </c>
    </row>
    <row r="6053" spans="1:10" ht="13.2">
      <c r="A6053" s="7">
        <v>6052</v>
      </c>
      <c r="B6053" s="7">
        <v>1</v>
      </c>
      <c r="C6053" s="7" t="s">
        <v>10</v>
      </c>
      <c r="D6053" s="7">
        <v>4980</v>
      </c>
      <c r="E6053" s="7" t="s">
        <v>17</v>
      </c>
      <c r="F6053" s="8" t="str">
        <f ca="1">IFERROR(__xludf.DUMMYFUNCTION("IF
(
C6054=""фізична особа""
,
VLOOKUP(D6054,IMPORTRANGE(""https://docs.google.com/spreadsheets/d/14Bd19lYaqBhU8_DElYkX7l4wRkHqqCUFNJY4AfY3kHU/edit?usp=sharing  #gid=0"",""фіз особи new!relations_name""),6,FALSE)
,
(IF
(
C6054=""юридична особа""
,
VLOOKUP"&amp;"(D6054,IMPORTRANGE(""https://docs.google.com/spreadsheets/d/14Bd19lYaqBhU8_DElYkX7l4wRkHqqCUFNJY4AfY3kHU/edit?usp=sharing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G6053" s="7" t="s">
        <v>10</v>
      </c>
      <c r="H6053" s="7">
        <v>357</v>
      </c>
      <c r="I6053" s="8" t="str">
        <f ca="1">IFERROR(__xludf.DUMMYFUNCTION("IF
(
G6054=""фізична особа""
,
VLOOKUP(H6054,IMPORTRANGE(""https://docs.google.com/spreadsheets/d/14Bd19lYaqBhU8_DElYkX7l4wRkHqqCUFNJY4AfY3kHU/edit?usp=sharing  #gid=0"",""фіз особи new!relations_name""),6,FALSE)
,
(IF
(
G6054=""юридична особа""
,
VLOOKUP"&amp;"(H6054,IMPORTRANGE(""https://docs.google.com/spreadsheets/d/14Bd19lYaqBhU8_DElYkX7l4wRkHqqCUFNJY4AfY3kHU/edit?usp=sharing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J6053" s="7" t="s">
        <v>12</v>
      </c>
    </row>
    <row r="6054" spans="1:10" ht="13.2">
      <c r="A6054" s="7">
        <v>6053</v>
      </c>
      <c r="B6054" s="7">
        <v>1</v>
      </c>
      <c r="C6054" s="7" t="s">
        <v>10</v>
      </c>
      <c r="D6054" s="7">
        <v>4980</v>
      </c>
      <c r="E6054" s="7" t="s">
        <v>17</v>
      </c>
      <c r="F6054" s="8" t="str">
        <f ca="1">IFERROR(__xludf.DUMMYFUNCTION("IF
(
C6055=""фізична особа""
,
VLOOKUP(D6055,IMPORTRANGE(""https://docs.google.com/spreadsheets/d/14Bd19lYaqBhU8_DElYkX7l4wRkHqqCUFNJY4AfY3kHU/edit?usp=sharing  #gid=0"",""фіз особи new!relations_name""),6,FALSE)
,
(IF
(
C6055=""юридична особа""
,
VLOOKUP"&amp;"(D6055,IMPORTRANGE(""https://docs.google.com/spreadsheets/d/14Bd19lYaqBhU8_DElYkX7l4wRkHqqCUFNJY4AfY3kHU/edit?usp=sharing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G6054" s="7" t="s">
        <v>10</v>
      </c>
      <c r="H6054" s="7">
        <v>4979</v>
      </c>
      <c r="I6054" s="8" t="str">
        <f ca="1">IFERROR(__xludf.DUMMYFUNCTION("IF
(
G6055=""фізична особа""
,
VLOOKUP(H6055,IMPORTRANGE(""https://docs.google.com/spreadsheets/d/14Bd19lYaqBhU8_DElYkX7l4wRkHqqCUFNJY4AfY3kHU/edit?usp=sharing  #gid=0"",""фіз особи new!relations_name""),6,FALSE)
,
(IF
(
G6055=""юридична особа""
,
VLOOKUP"&amp;"(H6055,IMPORTRANGE(""https://docs.google.com/spreadsheets/d/14Bd19lYaqBhU8_DElYkX7l4wRkHqqCUFNJY4AfY3kHU/edit?usp=sharing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J6054" s="7" t="s">
        <v>21</v>
      </c>
    </row>
    <row r="6055" spans="1:10" ht="13.2">
      <c r="A6055" s="7">
        <v>6054</v>
      </c>
      <c r="B6055" s="7">
        <v>1</v>
      </c>
      <c r="C6055" s="7" t="s">
        <v>10</v>
      </c>
      <c r="D6055" s="7">
        <v>4980</v>
      </c>
      <c r="E6055" s="7" t="s">
        <v>18</v>
      </c>
      <c r="F6055" s="8" t="str">
        <f ca="1">IFERROR(__xludf.DUMMYFUNCTION("IF
(
C6056=""фізична особа""
,
VLOOKUP(D6056,IMPORTRANGE(""https://docs.google.com/spreadsheets/d/14Bd19lYaqBhU8_DElYkX7l4wRkHqqCUFNJY4AfY3kHU/edit?usp=sharing  #gid=0"",""фіз особи new!relations_name""),6,FALSE)
,
(IF
(
C6056=""юридична особа""
,
VLOOKUP"&amp;"(D6056,IMPORTRANGE(""https://docs.google.com/spreadsheets/d/14Bd19lYaqBhU8_DElYkX7l4wRkHqqCUFNJY4AfY3kHU/edit?usp=sharing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G6055" s="7" t="s">
        <v>10</v>
      </c>
      <c r="H6055" s="7">
        <v>4981</v>
      </c>
      <c r="I6055" s="8" t="str">
        <f ca="1">IFERROR(__xludf.DUMMYFUNCTION("IF
(
G6056=""фізична особа""
,
VLOOKUP(H6056,IMPORTRANGE(""https://docs.google.com/spreadsheets/d/14Bd19lYaqBhU8_DElYkX7l4wRkHqqCUFNJY4AfY3kHU/edit?usp=sharing  #gid=0"",""фіз особи new!relations_name""),6,FALSE)
,
(IF
(
G6056=""юридична особа""
,
VLOOKUP"&amp;"(H6056,IMPORTRANGE(""https://docs.google.com/spreadsheets/d/14Bd19lYaqBhU8_DElYkX7l4wRkHqqCUFNJY4AfY3kHU/edit?usp=sharing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J6055" s="7" t="s">
        <v>18</v>
      </c>
    </row>
    <row r="6056" spans="1:10" ht="13.2">
      <c r="A6056" s="7">
        <v>6055</v>
      </c>
      <c r="B6056" s="7">
        <v>1</v>
      </c>
      <c r="C6056" s="7" t="s">
        <v>10</v>
      </c>
      <c r="D6056" s="7">
        <v>4980</v>
      </c>
      <c r="E6056" s="7" t="s">
        <v>18</v>
      </c>
      <c r="F6056" s="8" t="str">
        <f ca="1">IFERROR(__xludf.DUMMYFUNCTION("IF
(
C6057=""фізична особа""
,
VLOOKUP(D6057,IMPORTRANGE(""https://docs.google.com/spreadsheets/d/14Bd19lYaqBhU8_DElYkX7l4wRkHqqCUFNJY4AfY3kHU/edit?usp=sharing  #gid=0"",""фіз особи new!relations_name""),6,FALSE)
,
(IF
(
C6057=""юридична особа""
,
VLOOKUP"&amp;"(D6057,IMPORTRANGE(""https://docs.google.com/spreadsheets/d/14Bd19lYaqBhU8_DElYkX7l4wRkHqqCUFNJY4AfY3kHU/edit?usp=sharing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G6056" s="7" t="s">
        <v>10</v>
      </c>
      <c r="H6056" s="7">
        <v>4982</v>
      </c>
      <c r="I6056" s="8" t="str">
        <f ca="1">IFERROR(__xludf.DUMMYFUNCTION("IF
(
G6057=""фізична особа""
,
VLOOKUP(H6057,IMPORTRANGE(""https://docs.google.com/spreadsheets/d/14Bd19lYaqBhU8_DElYkX7l4wRkHqqCUFNJY4AfY3kHU/edit?usp=sharing  #gid=0"",""фіз особи new!relations_name""),6,FALSE)
,
(IF
(
G6057=""юридична особа""
,
VLOOKUP"&amp;"(H6057,IMPORTRANGE(""https://docs.google.com/spreadsheets/d/14Bd19lYaqBhU8_DElYkX7l4wRkHqqCUFNJY4AfY3kHU/edit?usp=sharing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J6056" s="7" t="s">
        <v>31</v>
      </c>
    </row>
    <row r="6057" spans="1:10" ht="13.2">
      <c r="A6057" s="7">
        <v>6056</v>
      </c>
      <c r="B6057" s="7">
        <v>1</v>
      </c>
      <c r="C6057" s="7" t="s">
        <v>10</v>
      </c>
      <c r="D6057" s="7">
        <v>4980</v>
      </c>
      <c r="E6057" s="7" t="s">
        <v>14</v>
      </c>
      <c r="F6057" s="8" t="str">
        <f ca="1">IFERROR(__xludf.DUMMYFUNCTION("IF
(
C6058=""фізична особа""
,
VLOOKUP(D6058,IMPORTRANGE(""https://docs.google.com/spreadsheets/d/14Bd19lYaqBhU8_DElYkX7l4wRkHqqCUFNJY4AfY3kHU/edit?usp=sharing  #gid=0"",""фіз особи new!relations_name""),6,FALSE)
,
(IF
(
C6058=""юридична особа""
,
VLOOKUP"&amp;"(D6058,IMPORTRANGE(""https://docs.google.com/spreadsheets/d/14Bd19lYaqBhU8_DElYkX7l4wRkHqqCUFNJY4AfY3kHU/edit?usp=sharing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G6057" s="7" t="s">
        <v>10</v>
      </c>
      <c r="H6057" s="7">
        <v>4983</v>
      </c>
      <c r="I6057" s="8" t="str">
        <f ca="1">IFERROR(__xludf.DUMMYFUNCTION("IF
(
G6058=""фізична особа""
,
VLOOKUP(H6058,IMPORTRANGE(""https://docs.google.com/spreadsheets/d/14Bd19lYaqBhU8_DElYkX7l4wRkHqqCUFNJY4AfY3kHU/edit?usp=sharing  #gid=0"",""фіз особи new!relations_name""),6,FALSE)
,
(IF
(
G6058=""юридична особа""
,
VLOOKUP"&amp;"(H6058,IMPORTRANGE(""https://docs.google.com/spreadsheets/d/14Bd19lYaqBhU8_DElYkX7l4wRkHqqCUFNJY4AfY3kHU/edit?usp=sharing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J6057" s="7" t="s">
        <v>15</v>
      </c>
    </row>
    <row r="6058" spans="1:10" ht="13.2">
      <c r="A6058" s="7">
        <v>6057</v>
      </c>
      <c r="B6058" s="7">
        <v>1</v>
      </c>
      <c r="C6058" s="7" t="s">
        <v>10</v>
      </c>
      <c r="D6058" s="7">
        <v>4981</v>
      </c>
      <c r="E6058" s="7" t="s">
        <v>17</v>
      </c>
      <c r="F6058" s="8" t="str">
        <f ca="1">IFERROR(__xludf.DUMMYFUNCTION("IF
(
C6059=""фізична особа""
,
VLOOKUP(D6059,IMPORTRANGE(""https://docs.google.com/spreadsheets/d/14Bd19lYaqBhU8_DElYkX7l4wRkHqqCUFNJY4AfY3kHU/edit?usp=sharing  #gid=0"",""фіз особи new!relations_name""),6,FALSE)
,
(IF
(
C6059=""юридична особа""
,
VLOOKUP"&amp;"(D6059,IMPORTRANGE(""https://docs.google.com/spreadsheets/d/14Bd19lYaqBhU8_DElYkX7l4wRkHqqCUFNJY4AfY3kHU/edit?usp=sharing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G6058" s="7" t="s">
        <v>10</v>
      </c>
      <c r="H6058" s="7">
        <v>357</v>
      </c>
      <c r="I6058" s="8" t="str">
        <f ca="1">IFERROR(__xludf.DUMMYFUNCTION("IF
(
G6059=""фізична особа""
,
VLOOKUP(H6059,IMPORTRANGE(""https://docs.google.com/spreadsheets/d/14Bd19lYaqBhU8_DElYkX7l4wRkHqqCUFNJY4AfY3kHU/edit?usp=sharing  #gid=0"",""фіз особи new!relations_name""),6,FALSE)
,
(IF
(
G6059=""юридична особа""
,
VLOOKUP"&amp;"(H6059,IMPORTRANGE(""https://docs.google.com/spreadsheets/d/14Bd19lYaqBhU8_DElYkX7l4wRkHqqCUFNJY4AfY3kHU/edit?usp=sharing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J6058" s="7" t="s">
        <v>12</v>
      </c>
    </row>
    <row r="6059" spans="1:10" ht="13.2">
      <c r="A6059" s="7">
        <v>6058</v>
      </c>
      <c r="B6059" s="7">
        <v>1</v>
      </c>
      <c r="C6059" s="7" t="s">
        <v>10</v>
      </c>
      <c r="D6059" s="7">
        <v>4981</v>
      </c>
      <c r="E6059" s="7" t="s">
        <v>17</v>
      </c>
      <c r="F6059" s="8" t="str">
        <f ca="1">IFERROR(__xludf.DUMMYFUNCTION("IF
(
C6060=""фізична особа""
,
VLOOKUP(D6060,IMPORTRANGE(""https://docs.google.com/spreadsheets/d/14Bd19lYaqBhU8_DElYkX7l4wRkHqqCUFNJY4AfY3kHU/edit?usp=sharing  #gid=0"",""фіз особи new!relations_name""),6,FALSE)
,
(IF
(
C6060=""юридична особа""
,
VLOOKUP"&amp;"(D6060,IMPORTRANGE(""https://docs.google.com/spreadsheets/d/14Bd19lYaqBhU8_DElYkX7l4wRkHqqCUFNJY4AfY3kHU/edit?usp=sharing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G6059" s="7" t="s">
        <v>10</v>
      </c>
      <c r="H6059" s="7">
        <v>4979</v>
      </c>
      <c r="I6059" s="8" t="str">
        <f ca="1">IFERROR(__xludf.DUMMYFUNCTION("IF
(
G6060=""фізична особа""
,
VLOOKUP(H6060,IMPORTRANGE(""https://docs.google.com/spreadsheets/d/14Bd19lYaqBhU8_DElYkX7l4wRkHqqCUFNJY4AfY3kHU/edit?usp=sharing  #gid=0"",""фіз особи new!relations_name""),6,FALSE)
,
(IF
(
G6060=""юридична особа""
,
VLOOKUP"&amp;"(H6060,IMPORTRANGE(""https://docs.google.com/spreadsheets/d/14Bd19lYaqBhU8_DElYkX7l4wRkHqqCUFNJY4AfY3kHU/edit?usp=sharing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J6059" s="7" t="s">
        <v>21</v>
      </c>
    </row>
    <row r="6060" spans="1:10" ht="13.2">
      <c r="A6060" s="7">
        <v>6059</v>
      </c>
      <c r="B6060" s="7">
        <v>1</v>
      </c>
      <c r="C6060" s="7" t="s">
        <v>10</v>
      </c>
      <c r="D6060" s="7">
        <v>4981</v>
      </c>
      <c r="E6060" s="7" t="s">
        <v>18</v>
      </c>
      <c r="F6060" s="8" t="str">
        <f ca="1">IFERROR(__xludf.DUMMYFUNCTION("IF
(
C6061=""фізична особа""
,
VLOOKUP(D6061,IMPORTRANGE(""https://docs.google.com/spreadsheets/d/14Bd19lYaqBhU8_DElYkX7l4wRkHqqCUFNJY4AfY3kHU/edit?usp=sharing  #gid=0"",""фіз особи new!relations_name""),6,FALSE)
,
(IF
(
C6061=""юридична особа""
,
VLOOKUP"&amp;"(D6061,IMPORTRANGE(""https://docs.google.com/spreadsheets/d/14Bd19lYaqBhU8_DElYkX7l4wRkHqqCUFNJY4AfY3kHU/edit?usp=sharing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G6060" s="7" t="s">
        <v>10</v>
      </c>
      <c r="H6060" s="7">
        <v>4980</v>
      </c>
      <c r="I6060" s="8" t="str">
        <f ca="1">IFERROR(__xludf.DUMMYFUNCTION("IF
(
G6061=""фізична особа""
,
VLOOKUP(H6061,IMPORTRANGE(""https://docs.google.com/spreadsheets/d/14Bd19lYaqBhU8_DElYkX7l4wRkHqqCUFNJY4AfY3kHU/edit?usp=sharing  #gid=0"",""фіз особи new!relations_name""),6,FALSE)
,
(IF
(
G6061=""юридична особа""
,
VLOOKUP"&amp;"(H6061,IMPORTRANGE(""https://docs.google.com/spreadsheets/d/14Bd19lYaqBhU8_DElYkX7l4wRkHqqCUFNJY4AfY3kHU/edit?usp=sharing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6060" s="7" t="s">
        <v>18</v>
      </c>
    </row>
    <row r="6061" spans="1:10" ht="13.2">
      <c r="A6061" s="7">
        <v>6060</v>
      </c>
      <c r="B6061" s="7">
        <v>1</v>
      </c>
      <c r="C6061" s="7" t="s">
        <v>10</v>
      </c>
      <c r="D6061" s="7">
        <v>4981</v>
      </c>
      <c r="E6061" s="7" t="s">
        <v>18</v>
      </c>
      <c r="F6061" s="8" t="str">
        <f ca="1">IFERROR(__xludf.DUMMYFUNCTION("IF
(
C6062=""фізична особа""
,
VLOOKUP(D6062,IMPORTRANGE(""https://docs.google.com/spreadsheets/d/14Bd19lYaqBhU8_DElYkX7l4wRkHqqCUFNJY4AfY3kHU/edit?usp=sharing  #gid=0"",""фіз особи new!relations_name""),6,FALSE)
,
(IF
(
C6062=""юридична особа""
,
VLOOKUP"&amp;"(D6062,IMPORTRANGE(""https://docs.google.com/spreadsheets/d/14Bd19lYaqBhU8_DElYkX7l4wRkHqqCUFNJY4AfY3kHU/edit?usp=sharing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G6061" s="7" t="s">
        <v>10</v>
      </c>
      <c r="H6061" s="7">
        <v>4982</v>
      </c>
      <c r="I6061" s="8" t="str">
        <f ca="1">IFERROR(__xludf.DUMMYFUNCTION("IF
(
G6062=""фізична особа""
,
VLOOKUP(H6062,IMPORTRANGE(""https://docs.google.com/spreadsheets/d/14Bd19lYaqBhU8_DElYkX7l4wRkHqqCUFNJY4AfY3kHU/edit?usp=sharing  #gid=0"",""фіз особи new!relations_name""),6,FALSE)
,
(IF
(
G6062=""юридична особа""
,
VLOOKUP"&amp;"(H6062,IMPORTRANGE(""https://docs.google.com/spreadsheets/d/14Bd19lYaqBhU8_DElYkX7l4wRkHqqCUFNJY4AfY3kHU/edit?usp=sharing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J6061" s="7" t="s">
        <v>31</v>
      </c>
    </row>
    <row r="6062" spans="1:10" ht="13.2">
      <c r="A6062" s="7">
        <v>6061</v>
      </c>
      <c r="B6062" s="7">
        <v>1</v>
      </c>
      <c r="C6062" s="7" t="s">
        <v>10</v>
      </c>
      <c r="D6062" s="7">
        <v>4981</v>
      </c>
      <c r="E6062" s="7" t="s">
        <v>73</v>
      </c>
      <c r="F6062" s="8" t="str">
        <f ca="1">IFERROR(__xludf.DUMMYFUNCTION("IF
(
C6063=""фізична особа""
,
VLOOKUP(D6063,IMPORTRANGE(""https://docs.google.com/spreadsheets/d/14Bd19lYaqBhU8_DElYkX7l4wRkHqqCUFNJY4AfY3kHU/edit?usp=sharing  #gid=0"",""фіз особи new!relations_name""),6,FALSE)
,
(IF
(
C6063=""юридична особа""
,
VLOOKUP"&amp;"(D6063,IMPORTRANGE(""https://docs.google.com/spreadsheets/d/14Bd19lYaqBhU8_DElYkX7l4wRkHqqCUFNJY4AfY3kHU/edit?usp=sharing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G6062" s="7" t="s">
        <v>10</v>
      </c>
      <c r="H6062" s="7">
        <v>4983</v>
      </c>
      <c r="I6062" s="8" t="str">
        <f ca="1">IFERROR(__xludf.DUMMYFUNCTION("IF
(
G6063=""фізична особа""
,
VLOOKUP(H6063,IMPORTRANGE(""https://docs.google.com/spreadsheets/d/14Bd19lYaqBhU8_DElYkX7l4wRkHqqCUFNJY4AfY3kHU/edit?usp=sharing  #gid=0"",""фіз особи new!relations_name""),6,FALSE)
,
(IF
(
G6063=""юридична особа""
,
VLOOKUP"&amp;"(H6063,IMPORTRANGE(""https://docs.google.com/spreadsheets/d/14Bd19lYaqBhU8_DElYkX7l4wRkHqqCUFNJY4AfY3kHU/edit?usp=sharing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J6062" s="7" t="s">
        <v>113</v>
      </c>
    </row>
    <row r="6063" spans="1:10" ht="13.2">
      <c r="A6063" s="7">
        <v>6062</v>
      </c>
      <c r="B6063" s="7">
        <v>1</v>
      </c>
      <c r="C6063" s="7" t="s">
        <v>10</v>
      </c>
      <c r="D6063" s="7">
        <v>4982</v>
      </c>
      <c r="E6063" s="7" t="s">
        <v>13</v>
      </c>
      <c r="F6063" s="8" t="str">
        <f ca="1">IFERROR(__xludf.DUMMYFUNCTION("IF
(
C6064=""фізична особа""
,
VLOOKUP(D6064,IMPORTRANGE(""https://docs.google.com/spreadsheets/d/14Bd19lYaqBhU8_DElYkX7l4wRkHqqCUFNJY4AfY3kHU/edit?usp=sharing  #gid=0"",""фіз особи new!relations_name""),6,FALSE)
,
(IF
(
C6064=""юридична особа""
,
VLOOKUP"&amp;"(D6064,IMPORTRANGE(""https://docs.google.com/spreadsheets/d/14Bd19lYaqBhU8_DElYkX7l4wRkHqqCUFNJY4AfY3kHU/edit?usp=sharing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G6063" s="7" t="s">
        <v>10</v>
      </c>
      <c r="H6063" s="7">
        <v>357</v>
      </c>
      <c r="I6063" s="8" t="str">
        <f ca="1">IFERROR(__xludf.DUMMYFUNCTION("IF
(
G6064=""фізична особа""
,
VLOOKUP(H6064,IMPORTRANGE(""https://docs.google.com/spreadsheets/d/14Bd19lYaqBhU8_DElYkX7l4wRkHqqCUFNJY4AfY3kHU/edit?usp=sharing  #gid=0"",""фіз особи new!relations_name""),6,FALSE)
,
(IF
(
G6064=""юридична особа""
,
VLOOKUP"&amp;"(H6064,IMPORTRANGE(""https://docs.google.com/spreadsheets/d/14Bd19lYaqBhU8_DElYkX7l4wRkHqqCUFNJY4AfY3kHU/edit?usp=sharing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J6063" s="7" t="s">
        <v>12</v>
      </c>
    </row>
    <row r="6064" spans="1:10" ht="13.2">
      <c r="A6064" s="7">
        <v>6063</v>
      </c>
      <c r="B6064" s="7">
        <v>1</v>
      </c>
      <c r="C6064" s="7" t="s">
        <v>10</v>
      </c>
      <c r="D6064" s="7">
        <v>4982</v>
      </c>
      <c r="E6064" s="7" t="s">
        <v>13</v>
      </c>
      <c r="F6064" s="8" t="str">
        <f ca="1">IFERROR(__xludf.DUMMYFUNCTION("IF
(
C6065=""фізична особа""
,
VLOOKUP(D6065,IMPORTRANGE(""https://docs.google.com/spreadsheets/d/14Bd19lYaqBhU8_DElYkX7l4wRkHqqCUFNJY4AfY3kHU/edit?usp=sharing  #gid=0"",""фіз особи new!relations_name""),6,FALSE)
,
(IF
(
C6065=""юридична особа""
,
VLOOKUP"&amp;"(D6065,IMPORTRANGE(""https://docs.google.com/spreadsheets/d/14Bd19lYaqBhU8_DElYkX7l4wRkHqqCUFNJY4AfY3kHU/edit?usp=sharing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G6064" s="7" t="s">
        <v>10</v>
      </c>
      <c r="H6064" s="7">
        <v>4979</v>
      </c>
      <c r="I6064" s="8" t="str">
        <f ca="1">IFERROR(__xludf.DUMMYFUNCTION("IF
(
G6065=""фізична особа""
,
VLOOKUP(H6065,IMPORTRANGE(""https://docs.google.com/spreadsheets/d/14Bd19lYaqBhU8_DElYkX7l4wRkHqqCUFNJY4AfY3kHU/edit?usp=sharing  #gid=0"",""фіз особи new!relations_name""),6,FALSE)
,
(IF
(
G6065=""юридична особа""
,
VLOOKUP"&amp;"(H6065,IMPORTRANGE(""https://docs.google.com/spreadsheets/d/14Bd19lYaqBhU8_DElYkX7l4wRkHqqCUFNJY4AfY3kHU/edit?usp=sharing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J6064" s="7" t="s">
        <v>21</v>
      </c>
    </row>
    <row r="6065" spans="1:10" ht="13.2">
      <c r="A6065" s="7">
        <v>6064</v>
      </c>
      <c r="B6065" s="7">
        <v>1</v>
      </c>
      <c r="C6065" s="7" t="s">
        <v>10</v>
      </c>
      <c r="D6065" s="7">
        <v>4982</v>
      </c>
      <c r="E6065" s="7" t="s">
        <v>31</v>
      </c>
      <c r="F6065" s="8" t="str">
        <f ca="1">IFERROR(__xludf.DUMMYFUNCTION("IF
(
C6066=""фізична особа""
,
VLOOKUP(D6066,IMPORTRANGE(""https://docs.google.com/spreadsheets/d/14Bd19lYaqBhU8_DElYkX7l4wRkHqqCUFNJY4AfY3kHU/edit?usp=sharing  #gid=0"",""фіз особи new!relations_name""),6,FALSE)
,
(IF
(
C6066=""юридична особа""
,
VLOOKUP"&amp;"(D6066,IMPORTRANGE(""https://docs.google.com/spreadsheets/d/14Bd19lYaqBhU8_DElYkX7l4wRkHqqCUFNJY4AfY3kHU/edit?usp=sharing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G6065" s="7" t="s">
        <v>10</v>
      </c>
      <c r="H6065" s="7">
        <v>4980</v>
      </c>
      <c r="I6065" s="8" t="str">
        <f ca="1">IFERROR(__xludf.DUMMYFUNCTION("IF
(
G6066=""фізична особа""
,
VLOOKUP(H6066,IMPORTRANGE(""https://docs.google.com/spreadsheets/d/14Bd19lYaqBhU8_DElYkX7l4wRkHqqCUFNJY4AfY3kHU/edit?usp=sharing  #gid=0"",""фіз особи new!relations_name""),6,FALSE)
,
(IF
(
G6066=""юридична особа""
,
VLOOKUP"&amp;"(H6066,IMPORTRANGE(""https://docs.google.com/spreadsheets/d/14Bd19lYaqBhU8_DElYkX7l4wRkHqqCUFNJY4AfY3kHU/edit?usp=sharing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6065" s="7" t="s">
        <v>18</v>
      </c>
    </row>
    <row r="6066" spans="1:10" ht="13.2">
      <c r="A6066" s="7">
        <v>6065</v>
      </c>
      <c r="B6066" s="7">
        <v>1</v>
      </c>
      <c r="C6066" s="7" t="s">
        <v>10</v>
      </c>
      <c r="D6066" s="7">
        <v>4982</v>
      </c>
      <c r="E6066" s="7" t="s">
        <v>31</v>
      </c>
      <c r="F6066" s="8" t="str">
        <f ca="1">IFERROR(__xludf.DUMMYFUNCTION("IF
(
C6067=""фізична особа""
,
VLOOKUP(D6067,IMPORTRANGE(""https://docs.google.com/spreadsheets/d/14Bd19lYaqBhU8_DElYkX7l4wRkHqqCUFNJY4AfY3kHU/edit?usp=sharing  #gid=0"",""фіз особи new!relations_name""),6,FALSE)
,
(IF
(
C6067=""юридична особа""
,
VLOOKUP"&amp;"(D6067,IMPORTRANGE(""https://docs.google.com/spreadsheets/d/14Bd19lYaqBhU8_DElYkX7l4wRkHqqCUFNJY4AfY3kHU/edit?usp=sharing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G6066" s="7" t="s">
        <v>10</v>
      </c>
      <c r="H6066" s="7">
        <v>4981</v>
      </c>
      <c r="I6066" s="8" t="str">
        <f ca="1">IFERROR(__xludf.DUMMYFUNCTION("IF
(
G6067=""фізична особа""
,
VLOOKUP(H6067,IMPORTRANGE(""https://docs.google.com/spreadsheets/d/14Bd19lYaqBhU8_DElYkX7l4wRkHqqCUFNJY4AfY3kHU/edit?usp=sharing  #gid=0"",""фіз особи new!relations_name""),6,FALSE)
,
(IF
(
G6067=""юридична особа""
,
VLOOKUP"&amp;"(H6067,IMPORTRANGE(""https://docs.google.com/spreadsheets/d/14Bd19lYaqBhU8_DElYkX7l4wRkHqqCUFNJY4AfY3kHU/edit?usp=sharing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J6066" s="7" t="s">
        <v>18</v>
      </c>
    </row>
    <row r="6067" spans="1:10" ht="13.2">
      <c r="A6067" s="7">
        <v>6066</v>
      </c>
      <c r="B6067" s="7">
        <v>1</v>
      </c>
      <c r="C6067" s="7" t="s">
        <v>10</v>
      </c>
      <c r="D6067" s="7">
        <v>4982</v>
      </c>
      <c r="E6067" s="7" t="s">
        <v>30</v>
      </c>
      <c r="F6067" s="8" t="str">
        <f ca="1">IFERROR(__xludf.DUMMYFUNCTION("IF
(
C6068=""фізична особа""
,
VLOOKUP(D6068,IMPORTRANGE(""https://docs.google.com/spreadsheets/d/14Bd19lYaqBhU8_DElYkX7l4wRkHqqCUFNJY4AfY3kHU/edit?usp=sharing  #gid=0"",""фіз особи new!relations_name""),6,FALSE)
,
(IF
(
C6068=""юридична особа""
,
VLOOKUP"&amp;"(D6068,IMPORTRANGE(""https://docs.google.com/spreadsheets/d/14Bd19lYaqBhU8_DElYkX7l4wRkHqqCUFNJY4AfY3kHU/edit?usp=sharing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G6067" s="7" t="s">
        <v>10</v>
      </c>
      <c r="H6067" s="7">
        <v>4983</v>
      </c>
      <c r="I6067" s="8" t="str">
        <f ca="1">IFERROR(__xludf.DUMMYFUNCTION("IF
(
G6068=""фізична особа""
,
VLOOKUP(H6068,IMPORTRANGE(""https://docs.google.com/spreadsheets/d/14Bd19lYaqBhU8_DElYkX7l4wRkHqqCUFNJY4AfY3kHU/edit?usp=sharing  #gid=0"",""фіз особи new!relations_name""),6,FALSE)
,
(IF
(
G6068=""юридична особа""
,
VLOOKUP"&amp;"(H6068,IMPORTRANGE(""https://docs.google.com/spreadsheets/d/14Bd19lYaqBhU8_DElYkX7l4wRkHqqCUFNJY4AfY3kHU/edit?usp=sharing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J6067" s="7" t="s">
        <v>30</v>
      </c>
    </row>
    <row r="6068" spans="1:10" ht="13.2">
      <c r="A6068" s="7">
        <v>6067</v>
      </c>
      <c r="B6068" s="7">
        <v>1</v>
      </c>
      <c r="C6068" s="7" t="s">
        <v>10</v>
      </c>
      <c r="D6068" s="7">
        <v>4983</v>
      </c>
      <c r="E6068" s="7" t="s">
        <v>25</v>
      </c>
      <c r="F6068" s="8" t="str">
        <f ca="1">IFERROR(__xludf.DUMMYFUNCTION("IF
(
C6069=""фізична особа""
,
VLOOKUP(D6069,IMPORTRANGE(""https://docs.google.com/spreadsheets/d/14Bd19lYaqBhU8_DElYkX7l4wRkHqqCUFNJY4AfY3kHU/edit?usp=sharing  #gid=0"",""фіз особи new!relations_name""),6,FALSE)
,
(IF
(
C6069=""юридична особа""
,
VLOOKUP"&amp;"(D6069,IMPORTRANGE(""https://docs.google.com/spreadsheets/d/14Bd19lYaqBhU8_DElYkX7l4wRkHqqCUFNJY4AfY3kHU/edit?usp=sharing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G6068" s="7" t="s">
        <v>10</v>
      </c>
      <c r="H6068" s="7">
        <v>357</v>
      </c>
      <c r="I6068" s="8" t="str">
        <f ca="1">IFERROR(__xludf.DUMMYFUNCTION("IF
(
G6069=""фізична особа""
,
VLOOKUP(H6069,IMPORTRANGE(""https://docs.google.com/spreadsheets/d/14Bd19lYaqBhU8_DElYkX7l4wRkHqqCUFNJY4AfY3kHU/edit?usp=sharing  #gid=0"",""фіз особи new!relations_name""),6,FALSE)
,
(IF
(
G6069=""юридична особа""
,
VLOOKUP"&amp;"(H6069,IMPORTRANGE(""https://docs.google.com/spreadsheets/d/14Bd19lYaqBhU8_DElYkX7l4wRkHqqCUFNJY4AfY3kHU/edit?usp=sharing  #gid=0"",""фіз особи new!relations_name_uo""),7,FALSE)
,
)
))"),"КАРЄЛІН Олександр Олександрович")</f>
        <v>КАРЄЛІН Олександр Олександрович</v>
      </c>
      <c r="J6068" s="7" t="s">
        <v>34</v>
      </c>
    </row>
    <row r="6069" spans="1:10" ht="13.2">
      <c r="A6069" s="7">
        <v>6068</v>
      </c>
      <c r="B6069" s="7">
        <v>1</v>
      </c>
      <c r="C6069" s="7" t="s">
        <v>10</v>
      </c>
      <c r="D6069" s="7">
        <v>4983</v>
      </c>
      <c r="E6069" s="7" t="s">
        <v>25</v>
      </c>
      <c r="F6069" s="8" t="str">
        <f ca="1">IFERROR(__xludf.DUMMYFUNCTION("IF
(
C6070=""фізична особа""
,
VLOOKUP(D6070,IMPORTRANGE(""https://docs.google.com/spreadsheets/d/14Bd19lYaqBhU8_DElYkX7l4wRkHqqCUFNJY4AfY3kHU/edit?usp=sharing  #gid=0"",""фіз особи new!relations_name""),6,FALSE)
,
(IF
(
C6070=""юридична особа""
,
VLOOKUP"&amp;"(D6070,IMPORTRANGE(""https://docs.google.com/spreadsheets/d/14Bd19lYaqBhU8_DElYkX7l4wRkHqqCUFNJY4AfY3kHU/edit?usp=sharing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G6069" s="7" t="s">
        <v>10</v>
      </c>
      <c r="H6069" s="7">
        <v>4979</v>
      </c>
      <c r="I6069" s="8" t="str">
        <f ca="1">IFERROR(__xludf.DUMMYFUNCTION("IF
(
G6070=""фізична особа""
,
VLOOKUP(H6070,IMPORTRANGE(""https://docs.google.com/spreadsheets/d/14Bd19lYaqBhU8_DElYkX7l4wRkHqqCUFNJY4AfY3kHU/edit?usp=sharing  #gid=0"",""фіз особи new!relations_name""),6,FALSE)
,
(IF
(
G6070=""юридична особа""
,
VLOOKUP"&amp;"(H6070,IMPORTRANGE(""https://docs.google.com/spreadsheets/d/14Bd19lYaqBhU8_DElYkX7l4wRkHqqCUFNJY4AfY3kHU/edit?usp=sharing  #gid=0"",""фіз особи new!relations_name_uo""),7,FALSE)
,
)
))"),"КАРЕЛІНА Ольга")</f>
        <v>КАРЕЛІНА Ольга</v>
      </c>
      <c r="J6069" s="7" t="s">
        <v>58</v>
      </c>
    </row>
    <row r="6070" spans="1:10" ht="13.2">
      <c r="A6070" s="7">
        <v>6069</v>
      </c>
      <c r="B6070" s="7">
        <v>1</v>
      </c>
      <c r="C6070" s="7" t="s">
        <v>10</v>
      </c>
      <c r="D6070" s="7">
        <v>4983</v>
      </c>
      <c r="E6070" s="7" t="s">
        <v>15</v>
      </c>
      <c r="F6070" s="8" t="str">
        <f ca="1">IFERROR(__xludf.DUMMYFUNCTION("IF
(
C6071=""фізична особа""
,
VLOOKUP(D6071,IMPORTRANGE(""https://docs.google.com/spreadsheets/d/14Bd19lYaqBhU8_DElYkX7l4wRkHqqCUFNJY4AfY3kHU/edit?usp=sharing  #gid=0"",""фіз особи new!relations_name""),6,FALSE)
,
(IF
(
C6071=""юридична особа""
,
VLOOKUP"&amp;"(D6071,IMPORTRANGE(""https://docs.google.com/spreadsheets/d/14Bd19lYaqBhU8_DElYkX7l4wRkHqqCUFNJY4AfY3kHU/edit?usp=sharing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G6070" s="7" t="s">
        <v>10</v>
      </c>
      <c r="H6070" s="7">
        <v>4980</v>
      </c>
      <c r="I6070" s="8" t="str">
        <f ca="1">IFERROR(__xludf.DUMMYFUNCTION("IF
(
G6071=""фізична особа""
,
VLOOKUP(H6071,IMPORTRANGE(""https://docs.google.com/spreadsheets/d/14Bd19lYaqBhU8_DElYkX7l4wRkHqqCUFNJY4AfY3kHU/edit?usp=sharing  #gid=0"",""фіз особи new!relations_name""),6,FALSE)
,
(IF
(
G6071=""юридична особа""
,
VLOOKUP"&amp;"(H6071,IMPORTRANGE(""https://docs.google.com/spreadsheets/d/14Bd19lYaqBhU8_DElYkX7l4wRkHqqCUFNJY4AfY3kHU/edit?usp=sharing  #gid=0"",""фіз особи new!relations_name_uo""),7,FALSE)
,
)
))"),"КАРЕЛІН Денис Олександрович")</f>
        <v>КАРЕЛІН Денис Олександрович</v>
      </c>
      <c r="J6070" s="7" t="s">
        <v>14</v>
      </c>
    </row>
    <row r="6071" spans="1:10" ht="13.2">
      <c r="A6071" s="7">
        <v>6070</v>
      </c>
      <c r="B6071" s="7">
        <v>1</v>
      </c>
      <c r="C6071" s="7" t="s">
        <v>10</v>
      </c>
      <c r="D6071" s="7">
        <v>4983</v>
      </c>
      <c r="E6071" s="7" t="s">
        <v>30</v>
      </c>
      <c r="F6071" s="8" t="str">
        <f ca="1">IFERROR(__xludf.DUMMYFUNCTION("IF
(
C6072=""фізична особа""
,
VLOOKUP(D6072,IMPORTRANGE(""https://docs.google.com/spreadsheets/d/14Bd19lYaqBhU8_DElYkX7l4wRkHqqCUFNJY4AfY3kHU/edit?usp=sharing  #gid=0"",""фіз особи new!relations_name""),6,FALSE)
,
(IF
(
C6072=""юридична особа""
,
VLOOKUP"&amp;"(D6072,IMPORTRANGE(""https://docs.google.com/spreadsheets/d/14Bd19lYaqBhU8_DElYkX7l4wRkHqqCUFNJY4AfY3kHU/edit?usp=sharing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G6071" s="7" t="s">
        <v>10</v>
      </c>
      <c r="H6071" s="7">
        <v>4981</v>
      </c>
      <c r="I6071" s="8" t="str">
        <f ca="1">IFERROR(__xludf.DUMMYFUNCTION("IF
(
G6072=""фізична особа""
,
VLOOKUP(H6072,IMPORTRANGE(""https://docs.google.com/spreadsheets/d/14Bd19lYaqBhU8_DElYkX7l4wRkHqqCUFNJY4AfY3kHU/edit?usp=sharing  #gid=0"",""фіз особи new!relations_name""),6,FALSE)
,
(IF
(
G6072=""юридична особа""
,
VLOOKUP"&amp;"(H6072,IMPORTRANGE(""https://docs.google.com/spreadsheets/d/14Bd19lYaqBhU8_DElYkX7l4wRkHqqCUFNJY4AfY3kHU/edit?usp=sharing  #gid=0"",""фіз особи new!relations_name_uo""),7,FALSE)
,
)
))"),"КАРЕЛІН Іван Олександрович")</f>
        <v>КАРЕЛІН Іван Олександрович</v>
      </c>
      <c r="J6071" s="7" t="s">
        <v>30</v>
      </c>
    </row>
    <row r="6072" spans="1:10" ht="13.2">
      <c r="A6072" s="7">
        <v>6071</v>
      </c>
      <c r="B6072" s="7">
        <v>1</v>
      </c>
      <c r="C6072" s="7" t="s">
        <v>10</v>
      </c>
      <c r="D6072" s="7">
        <v>4983</v>
      </c>
      <c r="E6072" s="7" t="s">
        <v>30</v>
      </c>
      <c r="F6072" s="8" t="str">
        <f ca="1">IFERROR(__xludf.DUMMYFUNCTION("IF
(
C6073=""фізична особа""
,
VLOOKUP(D6073,IMPORTRANGE(""https://docs.google.com/spreadsheets/d/14Bd19lYaqBhU8_DElYkX7l4wRkHqqCUFNJY4AfY3kHU/edit?usp=sharing  #gid=0"",""фіз особи new!relations_name""),6,FALSE)
,
(IF
(
C6073=""юридична особа""
,
VLOOKUP"&amp;"(D6073,IMPORTRANGE(""https://docs.google.com/spreadsheets/d/14Bd19lYaqBhU8_DElYkX7l4wRkHqqCUFNJY4AfY3kHU/edit?usp=sharing  #gid=0"",""фіз особи new!relations_name_uo""),7,FALSE)
,
)
))"),"КАРЕЛІНА / МИРОНЕНКО Наталія")</f>
        <v>КАРЕЛІНА / МИРОНЕНКО Наталія</v>
      </c>
      <c r="G6072" s="7" t="s">
        <v>10</v>
      </c>
      <c r="H6072" s="7">
        <v>4982</v>
      </c>
      <c r="I6072" s="8" t="str">
        <f ca="1">IFERROR(__xludf.DUMMYFUNCTION("IF
(
G6073=""фізична особа""
,
VLOOKUP(H6073,IMPORTRANGE(""https://docs.google.com/spreadsheets/d/14Bd19lYaqBhU8_DElYkX7l4wRkHqqCUFNJY4AfY3kHU/edit?usp=sharing  #gid=0"",""фіз особи new!relations_name""),6,FALSE)
,
(IF
(
G6073=""юридична особа""
,
VLOOKUP"&amp;"(H6073,IMPORTRANGE(""https://docs.google.com/spreadsheets/d/14Bd19lYaqBhU8_DElYkX7l4wRkHqqCUFNJY4AfY3kHU/edit?usp=sharing  #gid=0"",""фіз особи new!relations_name_uo""),7,FALSE)
,
)
))"),"КАРЕЛІНА Василиса Олександрівна")</f>
        <v>КАРЕЛІНА Василиса Олександрівна</v>
      </c>
      <c r="J6072" s="7" t="s">
        <v>30</v>
      </c>
    </row>
    <row r="6073" spans="1:10" ht="13.2">
      <c r="A6073" s="7">
        <v>6072</v>
      </c>
      <c r="B6073" s="7">
        <v>1</v>
      </c>
      <c r="C6073" s="7" t="s">
        <v>10</v>
      </c>
      <c r="D6073" s="7">
        <v>4988</v>
      </c>
      <c r="E6073" s="7" t="s">
        <v>15</v>
      </c>
      <c r="F6073" s="8" t="str">
        <f ca="1">IFERROR(__xludf.DUMMYFUNCTION("IF
(
C6074=""фізична особа""
,
VLOOKUP(D6074,IMPORTRANGE(""https://docs.google.com/spreadsheets/d/14Bd19lYaqBhU8_DElYkX7l4wRkHqqCUFNJY4AfY3kHU/edit?usp=sharing  #gid=0"",""фіз особи new!relations_name""),6,FALSE)
,
(IF
(
C6074=""юридична особа""
,
VLOOKUP"&amp;"(D6074,IMPORTRANGE(""https://docs.google.com/spreadsheets/d/14Bd19lYaqBhU8_DElYkX7l4wRkHqqCUFNJY4AfY3kHU/edit?usp=sharing  #gid=0"",""фіз особи new!relations_name_uo""),7,FALSE)
,
)
))"),"КЛІМОВА / ТИМОФЄЄВА Ольга Олександрівна")</f>
        <v>КЛІМОВА / ТИМОФЄЄВА Ольга Олександрівна</v>
      </c>
      <c r="G6073" s="7" t="s">
        <v>10</v>
      </c>
      <c r="H6073" s="7">
        <v>59</v>
      </c>
      <c r="I6073" s="8" t="str">
        <f ca="1">IFERROR(__xludf.DUMMYFUNCTION("IF
(
G6074=""фізична особа""
,
VLOOKUP(H6074,IMPORTRANGE(""https://docs.google.com/spreadsheets/d/14Bd19lYaqBhU8_DElYkX7l4wRkHqqCUFNJY4AfY3kHU/edit?usp=sharing  #gid=0"",""фіз особи new!relations_name""),6,FALSE)
,
(IF
(
G6074=""юридична особа""
,
VLOOKUP"&amp;"(H6074,IMPORTRANGE(""https://docs.google.com/spreadsheets/d/14Bd19lYaqBhU8_DElYkX7l4wRkHqqCUFNJY4AfY3kHU/edit?usp=sharing  #gid=0"",""фіз особи new!relations_name_uo""),7,FALSE)
,
)
))"),"КЛІМОВ Андрій Аркадійович")</f>
        <v>КЛІМОВ Андрій Аркадійович</v>
      </c>
      <c r="J6073" s="7" t="s">
        <v>14</v>
      </c>
    </row>
    <row r="6074" spans="1:10" ht="13.2">
      <c r="A6074" s="7">
        <v>6073</v>
      </c>
      <c r="B6074" s="7">
        <v>1</v>
      </c>
      <c r="C6074" s="7" t="s">
        <v>10</v>
      </c>
      <c r="D6074" s="7">
        <v>4988</v>
      </c>
      <c r="E6074" s="7" t="s">
        <v>30</v>
      </c>
      <c r="F6074" s="8" t="str">
        <f ca="1">IFERROR(__xludf.DUMMYFUNCTION("IF
(
C6075=""фізична особа""
,
VLOOKUP(D6075,IMPORTRANGE(""https://docs.google.com/spreadsheets/d/14Bd19lYaqBhU8_DElYkX7l4wRkHqqCUFNJY4AfY3kHU/edit?usp=sharing  #gid=0"",""фіз особи new!relations_name""),6,FALSE)
,
(IF
(
C6075=""юридична особа""
,
VLOOKUP"&amp;"(D6075,IMPORTRANGE(""https://docs.google.com/spreadsheets/d/14Bd19lYaqBhU8_DElYkX7l4wRkHqqCUFNJY4AfY3kHU/edit?usp=sharing  #gid=0"",""фіз особи new!relations_name_uo""),7,FALSE)
,
)
))"),"КЛІМОВА / ТИМОФЄЄВА Ольга Олександрівна")</f>
        <v>КЛІМОВА / ТИМОФЄЄВА Ольга Олександрівна</v>
      </c>
      <c r="G6074" s="7" t="s">
        <v>10</v>
      </c>
      <c r="H6074" s="7">
        <v>4105</v>
      </c>
      <c r="I6074" s="8" t="str">
        <f ca="1">IFERROR(__xludf.DUMMYFUNCTION("IF
(
G6075=""фізична особа""
,
VLOOKUP(H6075,IMPORTRANGE(""https://docs.google.com/spreadsheets/d/14Bd19lYaqBhU8_DElYkX7l4wRkHqqCUFNJY4AfY3kHU/edit?usp=sharing  #gid=0"",""фіз особи new!relations_name""),6,FALSE)
,
(IF
(
G6075=""юридична особа""
,
VLOOKUP"&amp;"(H6075,IMPORTRANGE(""https://docs.google.com/spreadsheets/d/14Bd19lYaqBhU8_DElYkX7l4wRkHqqCUFNJY4AfY3kHU/edit?usp=sharing  #gid=0"",""фіз особи new!relations_name_uo""),7,FALSE)
,
)
))"),"КЛІМОВ Сергій Аркадійович")</f>
        <v>КЛІМОВ Сергій Аркадійович</v>
      </c>
      <c r="J6074" s="7" t="s">
        <v>30</v>
      </c>
    </row>
    <row r="6075" spans="1:10" ht="13.2">
      <c r="A6075" s="7">
        <v>6074</v>
      </c>
      <c r="B6075" s="7">
        <v>1</v>
      </c>
      <c r="C6075" s="7" t="s">
        <v>10</v>
      </c>
      <c r="D6075" s="7">
        <v>4989</v>
      </c>
      <c r="E6075" s="7" t="s">
        <v>12</v>
      </c>
      <c r="F6075" s="8" t="str">
        <f ca="1">IFERROR(__xludf.DUMMYFUNCTION("IF
(
C6076=""фізична особа""
,
VLOOKUP(D6076,IMPORTRANGE(""https://docs.google.com/spreadsheets/d/14Bd19lYaqBhU8_DElYkX7l4wRkHqqCUFNJY4AfY3kHU/edit?usp=sharing  #gid=0"",""фіз особи new!relations_name""),6,FALSE)
,
(IF
(
C6076=""юридична особа""
,
VLOOKUP"&amp;"(D6076,IMPORTRANGE(""https://docs.google.com/spreadsheets/d/14Bd19lYaqBhU8_DElYkX7l4wRkHqqCUFNJY4AfY3kHU/edit?usp=sharing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G6075" s="7" t="s">
        <v>10</v>
      </c>
      <c r="H6075" s="7">
        <v>370</v>
      </c>
      <c r="I6075" s="8" t="str">
        <f ca="1">IFERROR(__xludf.DUMMYFUNCTION("IF
(
G6076=""фізична особа""
,
VLOOKUP(H6076,IMPORTRANGE(""https://docs.google.com/spreadsheets/d/14Bd19lYaqBhU8_DElYkX7l4wRkHqqCUFNJY4AfY3kHU/edit?usp=sharing  #gid=0"",""фіз особи new!relations_name""),6,FALSE)
,
(IF
(
G6076=""юридична особа""
,
VLOOKUP"&amp;"(H6076,IMPORTRANGE(""https://docs.google.com/spreadsheets/d/14Bd19lYaqBhU8_DElYkX7l4wRkHqqCUFNJY4AfY3kHU/edit?usp=sharing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6075" s="7" t="s">
        <v>17</v>
      </c>
    </row>
    <row r="6076" spans="1:10" ht="13.2">
      <c r="A6076" s="7">
        <v>6075</v>
      </c>
      <c r="B6076" s="7">
        <v>1</v>
      </c>
      <c r="C6076" s="7" t="s">
        <v>10</v>
      </c>
      <c r="D6076" s="7">
        <v>4989</v>
      </c>
      <c r="E6076" s="7" t="s">
        <v>14</v>
      </c>
      <c r="F6076" s="8" t="str">
        <f ca="1">IFERROR(__xludf.DUMMYFUNCTION("IF
(
C6077=""фізична особа""
,
VLOOKUP(D6077,IMPORTRANGE(""https://docs.google.com/spreadsheets/d/14Bd19lYaqBhU8_DElYkX7l4wRkHqqCUFNJY4AfY3kHU/edit?usp=sharing  #gid=0"",""фіз особи new!relations_name""),6,FALSE)
,
(IF
(
C6077=""юридична особа""
,
VLOOKUP"&amp;"(D6077,IMPORTRANGE(""https://docs.google.com/spreadsheets/d/14Bd19lYaqBhU8_DElYkX7l4wRkHqqCUFNJY4AfY3kHU/edit?usp=sharing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G6076" s="7" t="s">
        <v>10</v>
      </c>
      <c r="H6076" s="7">
        <v>4990</v>
      </c>
      <c r="I6076" s="8" t="str">
        <f ca="1">IFERROR(__xludf.DUMMYFUNCTION("IF
(
G6077=""фізична особа""
,
VLOOKUP(H6077,IMPORTRANGE(""https://docs.google.com/spreadsheets/d/14Bd19lYaqBhU8_DElYkX7l4wRkHqqCUFNJY4AfY3kHU/edit?usp=sharing  #gid=0"",""фіз особи new!relations_name""),6,FALSE)
,
(IF
(
G6077=""юридична особа""
,
VLOOKUP"&amp;"(H6077,IMPORTRANGE(""https://docs.google.com/spreadsheets/d/14Bd19lYaqBhU8_DElYkX7l4wRkHqqCUFNJY4AfY3kHU/edit?usp=sharing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J6076" s="7" t="s">
        <v>15</v>
      </c>
    </row>
    <row r="6077" spans="1:10" ht="13.2">
      <c r="A6077" s="7">
        <v>6076</v>
      </c>
      <c r="B6077" s="7">
        <v>1</v>
      </c>
      <c r="C6077" s="7" t="s">
        <v>10</v>
      </c>
      <c r="D6077" s="7">
        <v>4989</v>
      </c>
      <c r="E6077" s="7" t="s">
        <v>34</v>
      </c>
      <c r="F6077" s="8" t="str">
        <f ca="1">IFERROR(__xludf.DUMMYFUNCTION("IF
(
C6078=""фізична особа""
,
VLOOKUP(D6078,IMPORTRANGE(""https://docs.google.com/spreadsheets/d/14Bd19lYaqBhU8_DElYkX7l4wRkHqqCUFNJY4AfY3kHU/edit?usp=sharing  #gid=0"",""фіз особи new!relations_name""),6,FALSE)
,
(IF
(
C6078=""юридична особа""
,
VLOOKUP"&amp;"(D6078,IMPORTRANGE(""https://docs.google.com/spreadsheets/d/14Bd19lYaqBhU8_DElYkX7l4wRkHqqCUFNJY4AfY3kHU/edit?usp=sharing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G6077" s="7" t="s">
        <v>10</v>
      </c>
      <c r="H6077" s="7">
        <v>4991</v>
      </c>
      <c r="I6077" s="8" t="str">
        <f ca="1">IFERROR(__xludf.DUMMYFUNCTION("IF
(
G6078=""фізична особа""
,
VLOOKUP(H6078,IMPORTRANGE(""https://docs.google.com/spreadsheets/d/14Bd19lYaqBhU8_DElYkX7l4wRkHqqCUFNJY4AfY3kHU/edit?usp=sharing  #gid=0"",""фіз особи new!relations_name""),6,FALSE)
,
(IF
(
G6078=""юридична особа""
,
VLOOKUP"&amp;"(H6078,IMPORTRANGE(""https://docs.google.com/spreadsheets/d/14Bd19lYaqBhU8_DElYkX7l4wRkHqqCUFNJY4AfY3kHU/edit?usp=sharing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J6077" s="7" t="s">
        <v>25</v>
      </c>
    </row>
    <row r="6078" spans="1:10" ht="13.2">
      <c r="A6078" s="7">
        <v>6077</v>
      </c>
      <c r="B6078" s="7">
        <v>1</v>
      </c>
      <c r="C6078" s="7" t="s">
        <v>10</v>
      </c>
      <c r="D6078" s="7">
        <v>4989</v>
      </c>
      <c r="E6078" s="7" t="s">
        <v>59</v>
      </c>
      <c r="F6078" s="8" t="str">
        <f ca="1">IFERROR(__xludf.DUMMYFUNCTION("IF
(
C6079=""фізична особа""
,
VLOOKUP(D6079,IMPORTRANGE(""https://docs.google.com/spreadsheets/d/14Bd19lYaqBhU8_DElYkX7l4wRkHqqCUFNJY4AfY3kHU/edit?usp=sharing  #gid=0"",""фіз особи new!relations_name""),6,FALSE)
,
(IF
(
C6079=""юридична особа""
,
VLOOKUP"&amp;"(D6079,IMPORTRANGE(""https://docs.google.com/spreadsheets/d/14Bd19lYaqBhU8_DElYkX7l4wRkHqqCUFNJY4AfY3kHU/edit?usp=sharing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G6078" s="7" t="s">
        <v>10</v>
      </c>
      <c r="H6078" s="7">
        <v>4992</v>
      </c>
      <c r="I6078" s="8" t="str">
        <f ca="1">IFERROR(__xludf.DUMMYFUNCTION("IF
(
G6079=""фізична особа""
,
VLOOKUP(H6079,IMPORTRANGE(""https://docs.google.com/spreadsheets/d/14Bd19lYaqBhU8_DElYkX7l4wRkHqqCUFNJY4AfY3kHU/edit?usp=sharing  #gid=0"",""фіз особи new!relations_name""),6,FALSE)
,
(IF
(
G6079=""юридична особа""
,
VLOOKUP"&amp;"(H6079,IMPORTRANGE(""https://docs.google.com/spreadsheets/d/14Bd19lYaqBhU8_DElYkX7l4wRkHqqCUFNJY4AfY3kHU/edit?usp=sharing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J6078" s="7" t="s">
        <v>61</v>
      </c>
    </row>
    <row r="6079" spans="1:10" ht="13.2">
      <c r="A6079" s="7">
        <v>6078</v>
      </c>
      <c r="B6079" s="7">
        <v>1</v>
      </c>
      <c r="C6079" s="7" t="s">
        <v>10</v>
      </c>
      <c r="D6079" s="7">
        <v>4989</v>
      </c>
      <c r="E6079" s="7" t="s">
        <v>59</v>
      </c>
      <c r="F6079" s="8" t="str">
        <f ca="1">IFERROR(__xludf.DUMMYFUNCTION("IF
(
C6080=""фізична особа""
,
VLOOKUP(D6080,IMPORTRANGE(""https://docs.google.com/spreadsheets/d/14Bd19lYaqBhU8_DElYkX7l4wRkHqqCUFNJY4AfY3kHU/edit?usp=sharing  #gid=0"",""фіз особи new!relations_name""),6,FALSE)
,
(IF
(
C6080=""юридична особа""
,
VLOOKUP"&amp;"(D6080,IMPORTRANGE(""https://docs.google.com/spreadsheets/d/14Bd19lYaqBhU8_DElYkX7l4wRkHqqCUFNJY4AfY3kHU/edit?usp=sharing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G6079" s="7" t="s">
        <v>10</v>
      </c>
      <c r="H6079" s="7">
        <v>4993</v>
      </c>
      <c r="I6079" s="8" t="str">
        <f ca="1">IFERROR(__xludf.DUMMYFUNCTION("IF
(
G6080=""фізична особа""
,
VLOOKUP(H6080,IMPORTRANGE(""https://docs.google.com/spreadsheets/d/14Bd19lYaqBhU8_DElYkX7l4wRkHqqCUFNJY4AfY3kHU/edit?usp=sharing  #gid=0"",""фіз особи new!relations_name""),6,FALSE)
,
(IF
(
G6080=""юридична особа""
,
VLOOKUP"&amp;"(H6080,IMPORTRANGE(""https://docs.google.com/spreadsheets/d/14Bd19lYaqBhU8_DElYkX7l4wRkHqqCUFNJY4AfY3kHU/edit?usp=sharing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J6079" s="7" t="s">
        <v>60</v>
      </c>
    </row>
    <row r="6080" spans="1:10" ht="13.2">
      <c r="A6080" s="7">
        <v>6079</v>
      </c>
      <c r="B6080" s="7">
        <v>1</v>
      </c>
      <c r="C6080" s="7" t="s">
        <v>10</v>
      </c>
      <c r="D6080" s="7">
        <v>4990</v>
      </c>
      <c r="E6080" s="7" t="s">
        <v>21</v>
      </c>
      <c r="F6080" s="8" t="str">
        <f ca="1">IFERROR(__xludf.DUMMYFUNCTION("IF
(
C6081=""фізична особа""
,
VLOOKUP(D6081,IMPORTRANGE(""https://docs.google.com/spreadsheets/d/14Bd19lYaqBhU8_DElYkX7l4wRkHqqCUFNJY4AfY3kHU/edit?usp=sharing  #gid=0"",""фіз особи new!relations_name""),6,FALSE)
,
(IF
(
C6081=""юридична особа""
,
VLOOKUP"&amp;"(D6081,IMPORTRANGE(""https://docs.google.com/spreadsheets/d/14Bd19lYaqBhU8_DElYkX7l4wRkHqqCUFNJY4AfY3kHU/edit?usp=sharing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G6080" s="7" t="s">
        <v>10</v>
      </c>
      <c r="H6080" s="7">
        <v>370</v>
      </c>
      <c r="I6080" s="8" t="str">
        <f ca="1">IFERROR(__xludf.DUMMYFUNCTION("IF
(
G6081=""фізична особа""
,
VLOOKUP(H6081,IMPORTRANGE(""https://docs.google.com/spreadsheets/d/14Bd19lYaqBhU8_DElYkX7l4wRkHqqCUFNJY4AfY3kHU/edit?usp=sharing  #gid=0"",""фіз особи new!relations_name""),6,FALSE)
,
(IF
(
G6081=""юридична особа""
,
VLOOKUP"&amp;"(H6081,IMPORTRANGE(""https://docs.google.com/spreadsheets/d/14Bd19lYaqBhU8_DElYkX7l4wRkHqqCUFNJY4AfY3kHU/edit?usp=sharing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6080" s="7" t="s">
        <v>17</v>
      </c>
    </row>
    <row r="6081" spans="1:10" ht="13.2">
      <c r="A6081" s="7">
        <v>6080</v>
      </c>
      <c r="B6081" s="7">
        <v>1</v>
      </c>
      <c r="C6081" s="7" t="s">
        <v>10</v>
      </c>
      <c r="D6081" s="7">
        <v>4990</v>
      </c>
      <c r="E6081" s="7" t="s">
        <v>15</v>
      </c>
      <c r="F6081" s="8" t="str">
        <f ca="1">IFERROR(__xludf.DUMMYFUNCTION("IF
(
C6082=""фізична особа""
,
VLOOKUP(D6082,IMPORTRANGE(""https://docs.google.com/spreadsheets/d/14Bd19lYaqBhU8_DElYkX7l4wRkHqqCUFNJY4AfY3kHU/edit?usp=sharing  #gid=0"",""фіз особи new!relations_name""),6,FALSE)
,
(IF
(
C6082=""юридична особа""
,
VLOOKUP"&amp;"(D6082,IMPORTRANGE(""https://docs.google.com/spreadsheets/d/14Bd19lYaqBhU8_DElYkX7l4wRkHqqCUFNJY4AfY3kHU/edit?usp=sharing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G6081" s="7" t="s">
        <v>10</v>
      </c>
      <c r="H6081" s="7">
        <v>4989</v>
      </c>
      <c r="I6081" s="8" t="str">
        <f ca="1">IFERROR(__xludf.DUMMYFUNCTION("IF
(
G6082=""фізична особа""
,
VLOOKUP(H6082,IMPORTRANGE(""https://docs.google.com/spreadsheets/d/14Bd19lYaqBhU8_DElYkX7l4wRkHqqCUFNJY4AfY3kHU/edit?usp=sharing  #gid=0"",""фіз особи new!relations_name""),6,FALSE)
,
(IF
(
G6082=""юридична особа""
,
VLOOKUP"&amp;"(H6082,IMPORTRANGE(""https://docs.google.com/spreadsheets/d/14Bd19lYaqBhU8_DElYkX7l4wRkHqqCUFNJY4AfY3kHU/edit?usp=sharing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J6081" s="7" t="s">
        <v>14</v>
      </c>
    </row>
    <row r="6082" spans="1:10" ht="13.2">
      <c r="A6082" s="7">
        <v>6081</v>
      </c>
      <c r="B6082" s="7">
        <v>1</v>
      </c>
      <c r="C6082" s="7" t="s">
        <v>10</v>
      </c>
      <c r="D6082" s="7">
        <v>4990</v>
      </c>
      <c r="E6082" s="7" t="s">
        <v>58</v>
      </c>
      <c r="F6082" s="8" t="str">
        <f ca="1">IFERROR(__xludf.DUMMYFUNCTION("IF
(
C6083=""фізична особа""
,
VLOOKUP(D6083,IMPORTRANGE(""https://docs.google.com/spreadsheets/d/14Bd19lYaqBhU8_DElYkX7l4wRkHqqCUFNJY4AfY3kHU/edit?usp=sharing  #gid=0"",""фіз особи new!relations_name""),6,FALSE)
,
(IF
(
C6083=""юридична особа""
,
VLOOKUP"&amp;"(D6083,IMPORTRANGE(""https://docs.google.com/spreadsheets/d/14Bd19lYaqBhU8_DElYkX7l4wRkHqqCUFNJY4AfY3kHU/edit?usp=sharing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G6082" s="7" t="s">
        <v>10</v>
      </c>
      <c r="H6082" s="7">
        <v>4991</v>
      </c>
      <c r="I6082" s="8" t="str">
        <f ca="1">IFERROR(__xludf.DUMMYFUNCTION("IF
(
G6083=""фізична особа""
,
VLOOKUP(H6083,IMPORTRANGE(""https://docs.google.com/spreadsheets/d/14Bd19lYaqBhU8_DElYkX7l4wRkHqqCUFNJY4AfY3kHU/edit?usp=sharing  #gid=0"",""фіз особи new!relations_name""),6,FALSE)
,
(IF
(
G6083=""юридична особа""
,
VLOOKUP"&amp;"(H6083,IMPORTRANGE(""https://docs.google.com/spreadsheets/d/14Bd19lYaqBhU8_DElYkX7l4wRkHqqCUFNJY4AfY3kHU/edit?usp=sharing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J6082" s="7" t="s">
        <v>25</v>
      </c>
    </row>
    <row r="6083" spans="1:10" ht="13.2">
      <c r="A6083" s="7">
        <v>6082</v>
      </c>
      <c r="B6083" s="7">
        <v>1</v>
      </c>
      <c r="C6083" s="7" t="s">
        <v>10</v>
      </c>
      <c r="D6083" s="7">
        <v>4990</v>
      </c>
      <c r="E6083" s="7" t="s">
        <v>79</v>
      </c>
      <c r="F6083" s="8" t="str">
        <f ca="1">IFERROR(__xludf.DUMMYFUNCTION("IF
(
C6084=""фізична особа""
,
VLOOKUP(D6084,IMPORTRANGE(""https://docs.google.com/spreadsheets/d/14Bd19lYaqBhU8_DElYkX7l4wRkHqqCUFNJY4AfY3kHU/edit?usp=sharing  #gid=0"",""фіз особи new!relations_name""),6,FALSE)
,
(IF
(
C6084=""юридична особа""
,
VLOOKUP"&amp;"(D6084,IMPORTRANGE(""https://docs.google.com/spreadsheets/d/14Bd19lYaqBhU8_DElYkX7l4wRkHqqCUFNJY4AfY3kHU/edit?usp=sharing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G6083" s="7" t="s">
        <v>10</v>
      </c>
      <c r="H6083" s="7">
        <v>4992</v>
      </c>
      <c r="I6083" s="8" t="str">
        <f ca="1">IFERROR(__xludf.DUMMYFUNCTION("IF
(
G6084=""фізична особа""
,
VLOOKUP(H6084,IMPORTRANGE(""https://docs.google.com/spreadsheets/d/14Bd19lYaqBhU8_DElYkX7l4wRkHqqCUFNJY4AfY3kHU/edit?usp=sharing  #gid=0"",""фіз особи new!relations_name""),6,FALSE)
,
(IF
(
G6084=""юридична особа""
,
VLOOKUP"&amp;"(H6084,IMPORTRANGE(""https://docs.google.com/spreadsheets/d/14Bd19lYaqBhU8_DElYkX7l4wRkHqqCUFNJY4AfY3kHU/edit?usp=sharing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J6083" s="7" t="s">
        <v>61</v>
      </c>
    </row>
    <row r="6084" spans="1:10" ht="13.2">
      <c r="A6084" s="7">
        <v>6083</v>
      </c>
      <c r="B6084" s="7">
        <v>1</v>
      </c>
      <c r="C6084" s="7" t="s">
        <v>10</v>
      </c>
      <c r="D6084" s="7">
        <v>4990</v>
      </c>
      <c r="E6084" s="7" t="s">
        <v>79</v>
      </c>
      <c r="F6084" s="8" t="str">
        <f ca="1">IFERROR(__xludf.DUMMYFUNCTION("IF
(
C6085=""фізична особа""
,
VLOOKUP(D6085,IMPORTRANGE(""https://docs.google.com/spreadsheets/d/14Bd19lYaqBhU8_DElYkX7l4wRkHqqCUFNJY4AfY3kHU/edit?usp=sharing  #gid=0"",""фіз особи new!relations_name""),6,FALSE)
,
(IF
(
C6085=""юридична особа""
,
VLOOKUP"&amp;"(D6085,IMPORTRANGE(""https://docs.google.com/spreadsheets/d/14Bd19lYaqBhU8_DElYkX7l4wRkHqqCUFNJY4AfY3kHU/edit?usp=sharing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G6084" s="7" t="s">
        <v>10</v>
      </c>
      <c r="H6084" s="7">
        <v>4993</v>
      </c>
      <c r="I6084" s="8" t="str">
        <f ca="1">IFERROR(__xludf.DUMMYFUNCTION("IF
(
G6085=""фізична особа""
,
VLOOKUP(H6085,IMPORTRANGE(""https://docs.google.com/spreadsheets/d/14Bd19lYaqBhU8_DElYkX7l4wRkHqqCUFNJY4AfY3kHU/edit?usp=sharing  #gid=0"",""фіз особи new!relations_name""),6,FALSE)
,
(IF
(
G6085=""юридична особа""
,
VLOOKUP"&amp;"(H6085,IMPORTRANGE(""https://docs.google.com/spreadsheets/d/14Bd19lYaqBhU8_DElYkX7l4wRkHqqCUFNJY4AfY3kHU/edit?usp=sharing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J6084" s="7" t="s">
        <v>60</v>
      </c>
    </row>
    <row r="6085" spans="1:10" ht="13.2">
      <c r="A6085" s="7">
        <v>6084</v>
      </c>
      <c r="B6085" s="7">
        <v>1</v>
      </c>
      <c r="C6085" s="7" t="s">
        <v>10</v>
      </c>
      <c r="D6085" s="7">
        <v>4991</v>
      </c>
      <c r="E6085" s="7" t="s">
        <v>15</v>
      </c>
      <c r="F6085" s="8" t="str">
        <f ca="1">IFERROR(__xludf.DUMMYFUNCTION("IF
(
C6086=""фізична особа""
,
VLOOKUP(D6086,IMPORTRANGE(""https://docs.google.com/spreadsheets/d/14Bd19lYaqBhU8_DElYkX7l4wRkHqqCUFNJY4AfY3kHU/edit?usp=sharing  #gid=0"",""фіз особи new!relations_name""),6,FALSE)
,
(IF
(
C6086=""юридична особа""
,
VLOOKUP"&amp;"(D6086,IMPORTRANGE(""https://docs.google.com/spreadsheets/d/14Bd19lYaqBhU8_DElYkX7l4wRkHqqCUFNJY4AfY3kHU/edit?usp=sharing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G6085" s="7" t="s">
        <v>10</v>
      </c>
      <c r="H6085" s="7">
        <v>370</v>
      </c>
      <c r="I6085" s="8" t="str">
        <f ca="1">IFERROR(__xludf.DUMMYFUNCTION("IF
(
G6086=""фізична особа""
,
VLOOKUP(H6086,IMPORTRANGE(""https://docs.google.com/spreadsheets/d/14Bd19lYaqBhU8_DElYkX7l4wRkHqqCUFNJY4AfY3kHU/edit?usp=sharing  #gid=0"",""фіз особи new!relations_name""),6,FALSE)
,
(IF
(
G6086=""юридична особа""
,
VLOOKUP"&amp;"(H6086,IMPORTRANGE(""https://docs.google.com/spreadsheets/d/14Bd19lYaqBhU8_DElYkX7l4wRkHqqCUFNJY4AfY3kHU/edit?usp=sharing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6085" s="7" t="s">
        <v>14</v>
      </c>
    </row>
    <row r="6086" spans="1:10" ht="13.2">
      <c r="A6086" s="7">
        <v>6085</v>
      </c>
      <c r="B6086" s="7">
        <v>1</v>
      </c>
      <c r="C6086" s="7" t="s">
        <v>10</v>
      </c>
      <c r="D6086" s="7">
        <v>4991</v>
      </c>
      <c r="E6086" s="7" t="s">
        <v>25</v>
      </c>
      <c r="F6086" s="8" t="str">
        <f ca="1">IFERROR(__xludf.DUMMYFUNCTION("IF
(
C6087=""фізична особа""
,
VLOOKUP(D6087,IMPORTRANGE(""https://docs.google.com/spreadsheets/d/14Bd19lYaqBhU8_DElYkX7l4wRkHqqCUFNJY4AfY3kHU/edit?usp=sharing  #gid=0"",""фіз особи new!relations_name""),6,FALSE)
,
(IF
(
C6087=""юридична особа""
,
VLOOKUP"&amp;"(D6087,IMPORTRANGE(""https://docs.google.com/spreadsheets/d/14Bd19lYaqBhU8_DElYkX7l4wRkHqqCUFNJY4AfY3kHU/edit?usp=sharing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G6086" s="7" t="s">
        <v>10</v>
      </c>
      <c r="H6086" s="7">
        <v>4989</v>
      </c>
      <c r="I6086" s="8" t="str">
        <f ca="1">IFERROR(__xludf.DUMMYFUNCTION("IF
(
G6087=""фізична особа""
,
VLOOKUP(H6087,IMPORTRANGE(""https://docs.google.com/spreadsheets/d/14Bd19lYaqBhU8_DElYkX7l4wRkHqqCUFNJY4AfY3kHU/edit?usp=sharing  #gid=0"",""фіз особи new!relations_name""),6,FALSE)
,
(IF
(
G6087=""юридична особа""
,
VLOOKUP"&amp;"(H6087,IMPORTRANGE(""https://docs.google.com/spreadsheets/d/14Bd19lYaqBhU8_DElYkX7l4wRkHqqCUFNJY4AfY3kHU/edit?usp=sharing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J6086" s="7" t="s">
        <v>34</v>
      </c>
    </row>
    <row r="6087" spans="1:10" ht="13.2">
      <c r="A6087" s="7">
        <v>6086</v>
      </c>
      <c r="B6087" s="7">
        <v>1</v>
      </c>
      <c r="C6087" s="7" t="s">
        <v>10</v>
      </c>
      <c r="D6087" s="7">
        <v>4991</v>
      </c>
      <c r="E6087" s="7" t="s">
        <v>25</v>
      </c>
      <c r="F6087" s="8" t="str">
        <f ca="1">IFERROR(__xludf.DUMMYFUNCTION("IF
(
C6088=""фізична особа""
,
VLOOKUP(D6088,IMPORTRANGE(""https://docs.google.com/spreadsheets/d/14Bd19lYaqBhU8_DElYkX7l4wRkHqqCUFNJY4AfY3kHU/edit?usp=sharing  #gid=0"",""фіз особи new!relations_name""),6,FALSE)
,
(IF
(
C6088=""юридична особа""
,
VLOOKUP"&amp;"(D6088,IMPORTRANGE(""https://docs.google.com/spreadsheets/d/14Bd19lYaqBhU8_DElYkX7l4wRkHqqCUFNJY4AfY3kHU/edit?usp=sharing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G6087" s="7" t="s">
        <v>10</v>
      </c>
      <c r="H6087" s="7">
        <v>4990</v>
      </c>
      <c r="I6087" s="8" t="str">
        <f ca="1">IFERROR(__xludf.DUMMYFUNCTION("IF
(
G6088=""фізична особа""
,
VLOOKUP(H6088,IMPORTRANGE(""https://docs.google.com/spreadsheets/d/14Bd19lYaqBhU8_DElYkX7l4wRkHqqCUFNJY4AfY3kHU/edit?usp=sharing  #gid=0"",""фіз особи new!relations_name""),6,FALSE)
,
(IF
(
G6088=""юридична особа""
,
VLOOKUP"&amp;"(H6088,IMPORTRANGE(""https://docs.google.com/spreadsheets/d/14Bd19lYaqBhU8_DElYkX7l4wRkHqqCUFNJY4AfY3kHU/edit?usp=sharing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J6087" s="7" t="s">
        <v>58</v>
      </c>
    </row>
    <row r="6088" spans="1:10" ht="13.2">
      <c r="A6088" s="7">
        <v>6087</v>
      </c>
      <c r="B6088" s="7">
        <v>1</v>
      </c>
      <c r="C6088" s="7" t="s">
        <v>10</v>
      </c>
      <c r="D6088" s="7">
        <v>4991</v>
      </c>
      <c r="E6088" s="7" t="s">
        <v>21</v>
      </c>
      <c r="F6088" s="8" t="str">
        <f ca="1">IFERROR(__xludf.DUMMYFUNCTION("IF
(
C6089=""фізична особа""
,
VLOOKUP(D6089,IMPORTRANGE(""https://docs.google.com/spreadsheets/d/14Bd19lYaqBhU8_DElYkX7l4wRkHqqCUFNJY4AfY3kHU/edit?usp=sharing  #gid=0"",""фіз особи new!relations_name""),6,FALSE)
,
(IF
(
C6089=""юридична особа""
,
VLOOKUP"&amp;"(D6089,IMPORTRANGE(""https://docs.google.com/spreadsheets/d/14Bd19lYaqBhU8_DElYkX7l4wRkHqqCUFNJY4AfY3kHU/edit?usp=sharing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G6088" s="7" t="s">
        <v>10</v>
      </c>
      <c r="H6088" s="7">
        <v>4992</v>
      </c>
      <c r="I6088" s="8" t="str">
        <f ca="1">IFERROR(__xludf.DUMMYFUNCTION("IF
(
G6089=""фізична особа""
,
VLOOKUP(H6089,IMPORTRANGE(""https://docs.google.com/spreadsheets/d/14Bd19lYaqBhU8_DElYkX7l4wRkHqqCUFNJY4AfY3kHU/edit?usp=sharing  #gid=0"",""фіз особи new!relations_name""),6,FALSE)
,
(IF
(
G6089=""юридична особа""
,
VLOOKUP"&amp;"(H6089,IMPORTRANGE(""https://docs.google.com/spreadsheets/d/14Bd19lYaqBhU8_DElYkX7l4wRkHqqCUFNJY4AfY3kHU/edit?usp=sharing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J6088" s="7" t="s">
        <v>17</v>
      </c>
    </row>
    <row r="6089" spans="1:10" ht="13.2">
      <c r="A6089" s="7">
        <v>6088</v>
      </c>
      <c r="B6089" s="7">
        <v>1</v>
      </c>
      <c r="C6089" s="7" t="s">
        <v>10</v>
      </c>
      <c r="D6089" s="7">
        <v>4991</v>
      </c>
      <c r="E6089" s="7" t="s">
        <v>21</v>
      </c>
      <c r="F6089" s="8" t="str">
        <f ca="1">IFERROR(__xludf.DUMMYFUNCTION("IF
(
C6090=""фізична особа""
,
VLOOKUP(D6090,IMPORTRANGE(""https://docs.google.com/spreadsheets/d/14Bd19lYaqBhU8_DElYkX7l4wRkHqqCUFNJY4AfY3kHU/edit?usp=sharing  #gid=0"",""фіз особи new!relations_name""),6,FALSE)
,
(IF
(
C6090=""юридична особа""
,
VLOOKUP"&amp;"(D6090,IMPORTRANGE(""https://docs.google.com/spreadsheets/d/14Bd19lYaqBhU8_DElYkX7l4wRkHqqCUFNJY4AfY3kHU/edit?usp=sharing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G6089" s="7" t="s">
        <v>10</v>
      </c>
      <c r="H6089" s="7">
        <v>4993</v>
      </c>
      <c r="I6089" s="8" t="str">
        <f ca="1">IFERROR(__xludf.DUMMYFUNCTION("IF
(
G6090=""фізична особа""
,
VLOOKUP(H6090,IMPORTRANGE(""https://docs.google.com/spreadsheets/d/14Bd19lYaqBhU8_DElYkX7l4wRkHqqCUFNJY4AfY3kHU/edit?usp=sharing  #gid=0"",""фіз особи new!relations_name""),6,FALSE)
,
(IF
(
G6090=""юридична особа""
,
VLOOKUP"&amp;"(H6090,IMPORTRANGE(""https://docs.google.com/spreadsheets/d/14Bd19lYaqBhU8_DElYkX7l4wRkHqqCUFNJY4AfY3kHU/edit?usp=sharing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J6089" s="7" t="s">
        <v>13</v>
      </c>
    </row>
    <row r="6090" spans="1:10" ht="13.2">
      <c r="A6090" s="7">
        <v>6089</v>
      </c>
      <c r="B6090" s="7">
        <v>1</v>
      </c>
      <c r="C6090" s="7" t="s">
        <v>10</v>
      </c>
      <c r="D6090" s="7">
        <v>4992</v>
      </c>
      <c r="E6090" s="7" t="s">
        <v>17</v>
      </c>
      <c r="F6090" s="8" t="str">
        <f ca="1">IFERROR(__xludf.DUMMYFUNCTION("IF
(
C6091=""фізична особа""
,
VLOOKUP(D6091,IMPORTRANGE(""https://docs.google.com/spreadsheets/d/14Bd19lYaqBhU8_DElYkX7l4wRkHqqCUFNJY4AfY3kHU/edit?usp=sharing  #gid=0"",""фіз особи new!relations_name""),6,FALSE)
,
(IF
(
C6091=""юридична особа""
,
VLOOKUP"&amp;"(D6091,IMPORTRANGE(""https://docs.google.com/spreadsheets/d/14Bd19lYaqBhU8_DElYkX7l4wRkHqqCUFNJY4AfY3kHU/edit?usp=sharing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G6090" s="7" t="s">
        <v>10</v>
      </c>
      <c r="H6090" s="7">
        <v>370</v>
      </c>
      <c r="I6090" s="8" t="str">
        <f ca="1">IFERROR(__xludf.DUMMYFUNCTION("IF
(
G6091=""фізична особа""
,
VLOOKUP(H6091,IMPORTRANGE(""https://docs.google.com/spreadsheets/d/14Bd19lYaqBhU8_DElYkX7l4wRkHqqCUFNJY4AfY3kHU/edit?usp=sharing  #gid=0"",""фіз особи new!relations_name""),6,FALSE)
,
(IF
(
G6091=""юридична особа""
,
VLOOKUP"&amp;"(H6091,IMPORTRANGE(""https://docs.google.com/spreadsheets/d/14Bd19lYaqBhU8_DElYkX7l4wRkHqqCUFNJY4AfY3kHU/edit?usp=sharing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6090" s="7" t="s">
        <v>12</v>
      </c>
    </row>
    <row r="6091" spans="1:10" ht="13.2">
      <c r="A6091" s="7">
        <v>6090</v>
      </c>
      <c r="B6091" s="7">
        <v>1</v>
      </c>
      <c r="C6091" s="7" t="s">
        <v>10</v>
      </c>
      <c r="D6091" s="7">
        <v>4992</v>
      </c>
      <c r="E6091" s="7" t="s">
        <v>61</v>
      </c>
      <c r="F6091" s="8" t="str">
        <f ca="1">IFERROR(__xludf.DUMMYFUNCTION("IF
(
C6092=""фізична особа""
,
VLOOKUP(D6092,IMPORTRANGE(""https://docs.google.com/spreadsheets/d/14Bd19lYaqBhU8_DElYkX7l4wRkHqqCUFNJY4AfY3kHU/edit?usp=sharing  #gid=0"",""фіз особи new!relations_name""),6,FALSE)
,
(IF
(
C6092=""юридична особа""
,
VLOOKUP"&amp;"(D6092,IMPORTRANGE(""https://docs.google.com/spreadsheets/d/14Bd19lYaqBhU8_DElYkX7l4wRkHqqCUFNJY4AfY3kHU/edit?usp=sharing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G6091" s="7" t="s">
        <v>10</v>
      </c>
      <c r="H6091" s="7">
        <v>4989</v>
      </c>
      <c r="I6091" s="8" t="str">
        <f ca="1">IFERROR(__xludf.DUMMYFUNCTION("IF
(
G6092=""фізична особа""
,
VLOOKUP(H6092,IMPORTRANGE(""https://docs.google.com/spreadsheets/d/14Bd19lYaqBhU8_DElYkX7l4wRkHqqCUFNJY4AfY3kHU/edit?usp=sharing  #gid=0"",""фіз особи new!relations_name""),6,FALSE)
,
(IF
(
G6092=""юридична особа""
,
VLOOKUP"&amp;"(H6092,IMPORTRANGE(""https://docs.google.com/spreadsheets/d/14Bd19lYaqBhU8_DElYkX7l4wRkHqqCUFNJY4AfY3kHU/edit?usp=sharing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J6091" s="7" t="s">
        <v>59</v>
      </c>
    </row>
    <row r="6092" spans="1:10" ht="13.2">
      <c r="A6092" s="7">
        <v>6091</v>
      </c>
      <c r="B6092" s="7">
        <v>1</v>
      </c>
      <c r="C6092" s="7" t="s">
        <v>10</v>
      </c>
      <c r="D6092" s="7">
        <v>4992</v>
      </c>
      <c r="E6092" s="7" t="s">
        <v>61</v>
      </c>
      <c r="F6092" s="8" t="str">
        <f ca="1">IFERROR(__xludf.DUMMYFUNCTION("IF
(
C6093=""фізична особа""
,
VLOOKUP(D6093,IMPORTRANGE(""https://docs.google.com/spreadsheets/d/14Bd19lYaqBhU8_DElYkX7l4wRkHqqCUFNJY4AfY3kHU/edit?usp=sharing  #gid=0"",""фіз особи new!relations_name""),6,FALSE)
,
(IF
(
C6093=""юридична особа""
,
VLOOKUP"&amp;"(D6093,IMPORTRANGE(""https://docs.google.com/spreadsheets/d/14Bd19lYaqBhU8_DElYkX7l4wRkHqqCUFNJY4AfY3kHU/edit?usp=sharing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G6092" s="7" t="s">
        <v>10</v>
      </c>
      <c r="H6092" s="7">
        <v>4990</v>
      </c>
      <c r="I6092" s="8" t="str">
        <f ca="1">IFERROR(__xludf.DUMMYFUNCTION("IF
(
G6093=""фізична особа""
,
VLOOKUP(H6093,IMPORTRANGE(""https://docs.google.com/spreadsheets/d/14Bd19lYaqBhU8_DElYkX7l4wRkHqqCUFNJY4AfY3kHU/edit?usp=sharing  #gid=0"",""фіз особи new!relations_name""),6,FALSE)
,
(IF
(
G6093=""юридична особа""
,
VLOOKUP"&amp;"(H6093,IMPORTRANGE(""https://docs.google.com/spreadsheets/d/14Bd19lYaqBhU8_DElYkX7l4wRkHqqCUFNJY4AfY3kHU/edit?usp=sharing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J6092" s="7" t="s">
        <v>79</v>
      </c>
    </row>
    <row r="6093" spans="1:10" ht="13.2">
      <c r="A6093" s="7">
        <v>6092</v>
      </c>
      <c r="B6093" s="7">
        <v>1</v>
      </c>
      <c r="C6093" s="7" t="s">
        <v>10</v>
      </c>
      <c r="D6093" s="7">
        <v>4992</v>
      </c>
      <c r="E6093" s="7" t="s">
        <v>17</v>
      </c>
      <c r="F6093" s="8" t="str">
        <f ca="1">IFERROR(__xludf.DUMMYFUNCTION("IF
(
C6094=""фізична особа""
,
VLOOKUP(D6094,IMPORTRANGE(""https://docs.google.com/spreadsheets/d/14Bd19lYaqBhU8_DElYkX7l4wRkHqqCUFNJY4AfY3kHU/edit?usp=sharing  #gid=0"",""фіз особи new!relations_name""),6,FALSE)
,
(IF
(
C6094=""юридична особа""
,
VLOOKUP"&amp;"(D6094,IMPORTRANGE(""https://docs.google.com/spreadsheets/d/14Bd19lYaqBhU8_DElYkX7l4wRkHqqCUFNJY4AfY3kHU/edit?usp=sharing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G6093" s="7" t="s">
        <v>10</v>
      </c>
      <c r="H6093" s="7">
        <v>4991</v>
      </c>
      <c r="I6093" s="8" t="str">
        <f ca="1">IFERROR(__xludf.DUMMYFUNCTION("IF
(
G6094=""фізична особа""
,
VLOOKUP(H6094,IMPORTRANGE(""https://docs.google.com/spreadsheets/d/14Bd19lYaqBhU8_DElYkX7l4wRkHqqCUFNJY4AfY3kHU/edit?usp=sharing  #gid=0"",""фіз особи new!relations_name""),6,FALSE)
,
(IF
(
G6094=""юридична особа""
,
VLOOKUP"&amp;"(H6094,IMPORTRANGE(""https://docs.google.com/spreadsheets/d/14Bd19lYaqBhU8_DElYkX7l4wRkHqqCUFNJY4AfY3kHU/edit?usp=sharing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J6093" s="7" t="s">
        <v>21</v>
      </c>
    </row>
    <row r="6094" spans="1:10" ht="13.2">
      <c r="A6094" s="7">
        <v>6093</v>
      </c>
      <c r="B6094" s="7">
        <v>1</v>
      </c>
      <c r="C6094" s="7" t="s">
        <v>10</v>
      </c>
      <c r="D6094" s="7">
        <v>4992</v>
      </c>
      <c r="E6094" s="7" t="s">
        <v>18</v>
      </c>
      <c r="F6094" s="8" t="str">
        <f ca="1">IFERROR(__xludf.DUMMYFUNCTION("IF
(
C6095=""фізична особа""
,
VLOOKUP(D6095,IMPORTRANGE(""https://docs.google.com/spreadsheets/d/14Bd19lYaqBhU8_DElYkX7l4wRkHqqCUFNJY4AfY3kHU/edit?usp=sharing  #gid=0"",""фіз особи new!relations_name""),6,FALSE)
,
(IF
(
C6095=""юридична особа""
,
VLOOKUP"&amp;"(D6095,IMPORTRANGE(""https://docs.google.com/spreadsheets/d/14Bd19lYaqBhU8_DElYkX7l4wRkHqqCUFNJY4AfY3kHU/edit?usp=sharing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G6094" s="7" t="s">
        <v>10</v>
      </c>
      <c r="H6094" s="7">
        <v>4993</v>
      </c>
      <c r="I6094" s="8" t="str">
        <f ca="1">IFERROR(__xludf.DUMMYFUNCTION("IF
(
G6095=""фізична особа""
,
VLOOKUP(H6095,IMPORTRANGE(""https://docs.google.com/spreadsheets/d/14Bd19lYaqBhU8_DElYkX7l4wRkHqqCUFNJY4AfY3kHU/edit?usp=sharing  #gid=0"",""фіз особи new!relations_name""),6,FALSE)
,
(IF
(
G6095=""юридична особа""
,
VLOOKUP"&amp;"(H6095,IMPORTRANGE(""https://docs.google.com/spreadsheets/d/14Bd19lYaqBhU8_DElYkX7l4wRkHqqCUFNJY4AfY3kHU/edit?usp=sharing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J6094" s="7" t="s">
        <v>31</v>
      </c>
    </row>
    <row r="6095" spans="1:10" ht="13.2">
      <c r="A6095" s="7">
        <v>6094</v>
      </c>
      <c r="B6095" s="7">
        <v>1</v>
      </c>
      <c r="C6095" s="7" t="s">
        <v>10</v>
      </c>
      <c r="D6095" s="7">
        <v>4993</v>
      </c>
      <c r="E6095" s="7" t="s">
        <v>13</v>
      </c>
      <c r="F6095" s="8" t="str">
        <f ca="1">IFERROR(__xludf.DUMMYFUNCTION("IF
(
C6096=""фізична особа""
,
VLOOKUP(D6096,IMPORTRANGE(""https://docs.google.com/spreadsheets/d/14Bd19lYaqBhU8_DElYkX7l4wRkHqqCUFNJY4AfY3kHU/edit?usp=sharing  #gid=0"",""фіз особи new!relations_name""),6,FALSE)
,
(IF
(
C6096=""юридична особа""
,
VLOOKUP"&amp;"(D6096,IMPORTRANGE(""https://docs.google.com/spreadsheets/d/14Bd19lYaqBhU8_DElYkX7l4wRkHqqCUFNJY4AfY3kHU/edit?usp=sharing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G6095" s="7" t="s">
        <v>10</v>
      </c>
      <c r="H6095" s="7">
        <v>370</v>
      </c>
      <c r="I6095" s="8" t="str">
        <f ca="1">IFERROR(__xludf.DUMMYFUNCTION("IF
(
G6096=""фізична особа""
,
VLOOKUP(H6096,IMPORTRANGE(""https://docs.google.com/spreadsheets/d/14Bd19lYaqBhU8_DElYkX7l4wRkHqqCUFNJY4AfY3kHU/edit?usp=sharing  #gid=0"",""фіз особи new!relations_name""),6,FALSE)
,
(IF
(
G6096=""юридична особа""
,
VLOOKUP"&amp;"(H6096,IMPORTRANGE(""https://docs.google.com/spreadsheets/d/14Bd19lYaqBhU8_DElYkX7l4wRkHqqCUFNJY4AfY3kHU/edit?usp=sharing  #gid=0"",""фіз особи new!relations_name_uo""),7,FALSE)
,
)
))"),"КЛІШАС Андрій Олександрович")</f>
        <v>КЛІШАС Андрій Олександрович</v>
      </c>
      <c r="J6095" s="7" t="s">
        <v>12</v>
      </c>
    </row>
    <row r="6096" spans="1:10" ht="13.2">
      <c r="A6096" s="7">
        <v>6095</v>
      </c>
      <c r="B6096" s="7">
        <v>1</v>
      </c>
      <c r="C6096" s="7" t="s">
        <v>10</v>
      </c>
      <c r="D6096" s="7">
        <v>4993</v>
      </c>
      <c r="E6096" s="7" t="s">
        <v>60</v>
      </c>
      <c r="F6096" s="8" t="str">
        <f ca="1">IFERROR(__xludf.DUMMYFUNCTION("IF
(
C6097=""фізична особа""
,
VLOOKUP(D6097,IMPORTRANGE(""https://docs.google.com/spreadsheets/d/14Bd19lYaqBhU8_DElYkX7l4wRkHqqCUFNJY4AfY3kHU/edit?usp=sharing  #gid=0"",""фіз особи new!relations_name""),6,FALSE)
,
(IF
(
C6097=""юридична особа""
,
VLOOKUP"&amp;"(D6097,IMPORTRANGE(""https://docs.google.com/spreadsheets/d/14Bd19lYaqBhU8_DElYkX7l4wRkHqqCUFNJY4AfY3kHU/edit?usp=sharing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G6096" s="7" t="s">
        <v>10</v>
      </c>
      <c r="H6096" s="7">
        <v>4989</v>
      </c>
      <c r="I6096" s="8" t="str">
        <f ca="1">IFERROR(__xludf.DUMMYFUNCTION("IF
(
G6097=""фізична особа""
,
VLOOKUP(H6097,IMPORTRANGE(""https://docs.google.com/spreadsheets/d/14Bd19lYaqBhU8_DElYkX7l4wRkHqqCUFNJY4AfY3kHU/edit?usp=sharing  #gid=0"",""фіз особи new!relations_name""),6,FALSE)
,
(IF
(
G6097=""юридична особа""
,
VLOOKUP"&amp;"(H6097,IMPORTRANGE(""https://docs.google.com/spreadsheets/d/14Bd19lYaqBhU8_DElYkX7l4wRkHqqCUFNJY4AfY3kHU/edit?usp=sharing  #gid=0"",""фіз особи new!relations_name_uo""),7,FALSE)
,
)
))"),"КЛІШАС Олександр Геннадійович")</f>
        <v>КЛІШАС Олександр Геннадійович</v>
      </c>
      <c r="J6096" s="7" t="s">
        <v>59</v>
      </c>
    </row>
    <row r="6097" spans="1:10" ht="13.2">
      <c r="A6097" s="7">
        <v>6096</v>
      </c>
      <c r="B6097" s="7">
        <v>1</v>
      </c>
      <c r="C6097" s="7" t="s">
        <v>10</v>
      </c>
      <c r="D6097" s="7">
        <v>4993</v>
      </c>
      <c r="E6097" s="7" t="s">
        <v>60</v>
      </c>
      <c r="F6097" s="8" t="str">
        <f ca="1">IFERROR(__xludf.DUMMYFUNCTION("IF
(
C6098=""фізична особа""
,
VLOOKUP(D6098,IMPORTRANGE(""https://docs.google.com/spreadsheets/d/14Bd19lYaqBhU8_DElYkX7l4wRkHqqCUFNJY4AfY3kHU/edit?usp=sharing  #gid=0"",""фіз особи new!relations_name""),6,FALSE)
,
(IF
(
C6098=""юридична особа""
,
VLOOKUP"&amp;"(D6098,IMPORTRANGE(""https://docs.google.com/spreadsheets/d/14Bd19lYaqBhU8_DElYkX7l4wRkHqqCUFNJY4AfY3kHU/edit?usp=sharing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G6097" s="7" t="s">
        <v>10</v>
      </c>
      <c r="H6097" s="7">
        <v>4990</v>
      </c>
      <c r="I6097" s="8" t="str">
        <f ca="1">IFERROR(__xludf.DUMMYFUNCTION("IF
(
G6098=""фізична особа""
,
VLOOKUP(H6098,IMPORTRANGE(""https://docs.google.com/spreadsheets/d/14Bd19lYaqBhU8_DElYkX7l4wRkHqqCUFNJY4AfY3kHU/edit?usp=sharing  #gid=0"",""фіз особи new!relations_name""),6,FALSE)
,
(IF
(
G6098=""юридична особа""
,
VLOOKUP"&amp;"(H6098,IMPORTRANGE(""https://docs.google.com/spreadsheets/d/14Bd19lYaqBhU8_DElYkX7l4wRkHqqCUFNJY4AfY3kHU/edit?usp=sharing  #gid=0"",""фіз особи new!relations_name_uo""),7,FALSE)
,
)
))"),"КЛІШАС Віра Василівна")</f>
        <v>КЛІШАС Віра Василівна</v>
      </c>
      <c r="J6097" s="7" t="s">
        <v>79</v>
      </c>
    </row>
    <row r="6098" spans="1:10" ht="13.2">
      <c r="A6098" s="7">
        <v>6097</v>
      </c>
      <c r="B6098" s="7">
        <v>1</v>
      </c>
      <c r="C6098" s="7" t="s">
        <v>10</v>
      </c>
      <c r="D6098" s="7">
        <v>4993</v>
      </c>
      <c r="E6098" s="7" t="s">
        <v>13</v>
      </c>
      <c r="F6098" s="8" t="str">
        <f ca="1">IFERROR(__xludf.DUMMYFUNCTION("IF
(
C6099=""фізична особа""
,
VLOOKUP(D6099,IMPORTRANGE(""https://docs.google.com/spreadsheets/d/14Bd19lYaqBhU8_DElYkX7l4wRkHqqCUFNJY4AfY3kHU/edit?usp=sharing  #gid=0"",""фіз особи new!relations_name""),6,FALSE)
,
(IF
(
C6099=""юридична особа""
,
VLOOKUP"&amp;"(D6099,IMPORTRANGE(""https://docs.google.com/spreadsheets/d/14Bd19lYaqBhU8_DElYkX7l4wRkHqqCUFNJY4AfY3kHU/edit?usp=sharing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G6098" s="7" t="s">
        <v>10</v>
      </c>
      <c r="H6098" s="7">
        <v>4991</v>
      </c>
      <c r="I6098" s="8" t="str">
        <f ca="1">IFERROR(__xludf.DUMMYFUNCTION("IF
(
G6099=""фізична особа""
,
VLOOKUP(H6099,IMPORTRANGE(""https://docs.google.com/spreadsheets/d/14Bd19lYaqBhU8_DElYkX7l4wRkHqqCUFNJY4AfY3kHU/edit?usp=sharing  #gid=0"",""фіз особи new!relations_name""),6,FALSE)
,
(IF
(
G6099=""юридична особа""
,
VLOOKUP"&amp;"(H6099,IMPORTRANGE(""https://docs.google.com/spreadsheets/d/14Bd19lYaqBhU8_DElYkX7l4wRkHqqCUFNJY4AfY3kHU/edit?usp=sharing  #gid=0"",""фіз особи new!relations_name_uo""),7,FALSE)
,
)
))"),"КЛІШАС Ірина Володимирівна")</f>
        <v>КЛІШАС Ірина Володимирівна</v>
      </c>
      <c r="J6098" s="7" t="s">
        <v>21</v>
      </c>
    </row>
    <row r="6099" spans="1:10" ht="13.2">
      <c r="A6099" s="7">
        <v>6098</v>
      </c>
      <c r="B6099" s="7">
        <v>1</v>
      </c>
      <c r="C6099" s="7" t="s">
        <v>10</v>
      </c>
      <c r="D6099" s="7">
        <v>4993</v>
      </c>
      <c r="E6099" s="7" t="s">
        <v>31</v>
      </c>
      <c r="F6099" s="8" t="str">
        <f ca="1">IFERROR(__xludf.DUMMYFUNCTION("IF
(
C6100=""фізична особа""
,
VLOOKUP(D6100,IMPORTRANGE(""https://docs.google.com/spreadsheets/d/14Bd19lYaqBhU8_DElYkX7l4wRkHqqCUFNJY4AfY3kHU/edit?usp=sharing  #gid=0"",""фіз особи new!relations_name""),6,FALSE)
,
(IF
(
C6100=""юридична особа""
,
VLOOKUP"&amp;"(D6100,IMPORTRANGE(""https://docs.google.com/spreadsheets/d/14Bd19lYaqBhU8_DElYkX7l4wRkHqqCUFNJY4AfY3kHU/edit?usp=sharing  #gid=0"",""фіз особи new!relations_name_uo""),7,FALSE)
,
)
))"),"КЛІШАС Софія Андріївна")</f>
        <v>КЛІШАС Софія Андріївна</v>
      </c>
      <c r="G6099" s="7" t="s">
        <v>10</v>
      </c>
      <c r="H6099" s="7">
        <v>4992</v>
      </c>
      <c r="I6099" s="8" t="str">
        <f ca="1">IFERROR(__xludf.DUMMYFUNCTION("IF
(
G6100=""фізична особа""
,
VLOOKUP(H6100,IMPORTRANGE(""https://docs.google.com/spreadsheets/d/14Bd19lYaqBhU8_DElYkX7l4wRkHqqCUFNJY4AfY3kHU/edit?usp=sharing  #gid=0"",""фіз особи new!relations_name""),6,FALSE)
,
(IF
(
G6100=""юридична особа""
,
VLOOKUP"&amp;"(H6100,IMPORTRANGE(""https://docs.google.com/spreadsheets/d/14Bd19lYaqBhU8_DElYkX7l4wRkHqqCUFNJY4AfY3kHU/edit?usp=sharing  #gid=0"",""фіз особи new!relations_name_uo""),7,FALSE)
,
)
))"),"КЛІШАС Кирило Андрійович")</f>
        <v>КЛІШАС Кирило Андрійович</v>
      </c>
      <c r="J6099" s="7" t="s">
        <v>18</v>
      </c>
    </row>
    <row r="6100" spans="1:10" ht="13.2">
      <c r="A6100" s="7">
        <v>6099</v>
      </c>
      <c r="B6100" s="7">
        <v>1</v>
      </c>
      <c r="C6100" s="7" t="s">
        <v>10</v>
      </c>
      <c r="D6100" s="7">
        <v>4994</v>
      </c>
      <c r="E6100" s="7" t="s">
        <v>15</v>
      </c>
      <c r="F6100" s="8" t="str">
        <f ca="1">IFERROR(__xludf.DUMMYFUNCTION("IF
(
C6101=""фізична особа""
,
VLOOKUP(D6101,IMPORTRANGE(""https://docs.google.com/spreadsheets/d/14Bd19lYaqBhU8_DElYkX7l4wRkHqqCUFNJY4AfY3kHU/edit?usp=sharing  #gid=0"",""фіз особи new!relations_name""),6,FALSE)
,
(IF
(
C6101=""юридична особа""
,
VLOOKUP"&amp;"(D6101,IMPORTRANGE(""https://docs.google.com/spreadsheets/d/14Bd19lYaqBhU8_DElYkX7l4wRkHqqCUFNJY4AfY3kHU/edit?usp=sharing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G6100" s="7" t="s">
        <v>10</v>
      </c>
      <c r="H6100" s="7">
        <v>373</v>
      </c>
      <c r="I6100" s="8" t="str">
        <f ca="1">IFERROR(__xludf.DUMMYFUNCTION("IF
(
G6101=""фізична особа""
,
VLOOKUP(H6101,IMPORTRANGE(""https://docs.google.com/spreadsheets/d/14Bd19lYaqBhU8_DElYkX7l4wRkHqqCUFNJY4AfY3kHU/edit?usp=sharing  #gid=0"",""фіз особи new!relations_name""),6,FALSE)
,
(IF
(
G6101=""юридична особа""
,
VLOOKUP"&amp;"(H6101,IMPORTRANGE(""https://docs.google.com/spreadsheets/d/14Bd19lYaqBhU8_DElYkX7l4wRkHqqCUFNJY4AfY3kHU/edit?usp=sharing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6100" s="7" t="s">
        <v>14</v>
      </c>
    </row>
    <row r="6101" spans="1:10" ht="13.2">
      <c r="A6101" s="7">
        <v>6100</v>
      </c>
      <c r="B6101" s="7">
        <v>1</v>
      </c>
      <c r="C6101" s="7" t="s">
        <v>10</v>
      </c>
      <c r="D6101" s="7">
        <v>4994</v>
      </c>
      <c r="E6101" s="7" t="s">
        <v>21</v>
      </c>
      <c r="F6101" s="8" t="str">
        <f ca="1">IFERROR(__xludf.DUMMYFUNCTION("IF
(
C6102=""фізична особа""
,
VLOOKUP(D6102,IMPORTRANGE(""https://docs.google.com/spreadsheets/d/14Bd19lYaqBhU8_DElYkX7l4wRkHqqCUFNJY4AfY3kHU/edit?usp=sharing  #gid=0"",""фіз особи new!relations_name""),6,FALSE)
,
(IF
(
C6102=""юридична особа""
,
VLOOKUP"&amp;"(D6102,IMPORTRANGE(""https://docs.google.com/spreadsheets/d/14Bd19lYaqBhU8_DElYkX7l4wRkHqqCUFNJY4AfY3kHU/edit?usp=sharing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G6101" s="7" t="s">
        <v>10</v>
      </c>
      <c r="H6101" s="7">
        <v>4995</v>
      </c>
      <c r="I6101" s="8" t="str">
        <f ca="1">IFERROR(__xludf.DUMMYFUNCTION("IF
(
G6102=""фізична особа""
,
VLOOKUP(H6102,IMPORTRANGE(""https://docs.google.com/spreadsheets/d/14Bd19lYaqBhU8_DElYkX7l4wRkHqqCUFNJY4AfY3kHU/edit?usp=sharing  #gid=0"",""фіз особи new!relations_name""),6,FALSE)
,
(IF
(
G6102=""юридична особа""
,
VLOOKUP"&amp;"(H6102,IMPORTRANGE(""https://docs.google.com/spreadsheets/d/14Bd19lYaqBhU8_DElYkX7l4wRkHqqCUFNJY4AfY3kHU/edit?usp=sharing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J6101" s="7" t="s">
        <v>13</v>
      </c>
    </row>
    <row r="6102" spans="1:10" ht="13.2">
      <c r="A6102" s="7">
        <v>6101</v>
      </c>
      <c r="B6102" s="7">
        <v>1</v>
      </c>
      <c r="C6102" s="7" t="s">
        <v>10</v>
      </c>
      <c r="D6102" s="7">
        <v>4994</v>
      </c>
      <c r="E6102" s="7" t="s">
        <v>21</v>
      </c>
      <c r="F6102" s="8" t="str">
        <f ca="1">IFERROR(__xludf.DUMMYFUNCTION("IF
(
C6103=""фізична особа""
,
VLOOKUP(D6103,IMPORTRANGE(""https://docs.google.com/spreadsheets/d/14Bd19lYaqBhU8_DElYkX7l4wRkHqqCUFNJY4AfY3kHU/edit?usp=sharing  #gid=0"",""фіз особи new!relations_name""),6,FALSE)
,
(IF
(
C6103=""юридична особа""
,
VLOOKUP"&amp;"(D6103,IMPORTRANGE(""https://docs.google.com/spreadsheets/d/14Bd19lYaqBhU8_DElYkX7l4wRkHqqCUFNJY4AfY3kHU/edit?usp=sharing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G6102" s="7" t="s">
        <v>10</v>
      </c>
      <c r="H6102" s="7">
        <v>4996</v>
      </c>
      <c r="I6102" s="8" t="str">
        <f ca="1">IFERROR(__xludf.DUMMYFUNCTION("IF
(
G6103=""фізична особа""
,
VLOOKUP(H6103,IMPORTRANGE(""https://docs.google.com/spreadsheets/d/14Bd19lYaqBhU8_DElYkX7l4wRkHqqCUFNJY4AfY3kHU/edit?usp=sharing  #gid=0"",""фіз особи new!relations_name""),6,FALSE)
,
(IF
(
G6103=""юридична особа""
,
VLOOKUP"&amp;"(H6103,IMPORTRANGE(""https://docs.google.com/spreadsheets/d/14Bd19lYaqBhU8_DElYkX7l4wRkHqqCUFNJY4AfY3kHU/edit?usp=sharing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J6102" s="7" t="s">
        <v>13</v>
      </c>
    </row>
    <row r="6103" spans="1:10" ht="13.2">
      <c r="A6103" s="7">
        <v>6102</v>
      </c>
      <c r="B6103" s="7">
        <v>1</v>
      </c>
      <c r="C6103" s="7" t="s">
        <v>10</v>
      </c>
      <c r="D6103" s="7">
        <v>4994</v>
      </c>
      <c r="E6103" s="7" t="s">
        <v>21</v>
      </c>
      <c r="F6103" s="8" t="str">
        <f ca="1">IFERROR(__xludf.DUMMYFUNCTION("IF
(
C6104=""фізична особа""
,
VLOOKUP(D6104,IMPORTRANGE(""https://docs.google.com/spreadsheets/d/14Bd19lYaqBhU8_DElYkX7l4wRkHqqCUFNJY4AfY3kHU/edit?usp=sharing  #gid=0"",""фіз особи new!relations_name""),6,FALSE)
,
(IF
(
C6104=""юридична особа""
,
VLOOKUP"&amp;"(D6104,IMPORTRANGE(""https://docs.google.com/spreadsheets/d/14Bd19lYaqBhU8_DElYkX7l4wRkHqqCUFNJY4AfY3kHU/edit?usp=sharing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G6103" s="7" t="s">
        <v>10</v>
      </c>
      <c r="H6103" s="7">
        <v>4997</v>
      </c>
      <c r="I6103" s="8" t="str">
        <f ca="1">IFERROR(__xludf.DUMMYFUNCTION("IF
(
G6104=""фізична особа""
,
VLOOKUP(H6104,IMPORTRANGE(""https://docs.google.com/spreadsheets/d/14Bd19lYaqBhU8_DElYkX7l4wRkHqqCUFNJY4AfY3kHU/edit?usp=sharing  #gid=0"",""фіз особи new!relations_name""),6,FALSE)
,
(IF
(
G6104=""юридична особа""
,
VLOOKUP"&amp;"(H6104,IMPORTRANGE(""https://docs.google.com/spreadsheets/d/14Bd19lYaqBhU8_DElYkX7l4wRkHqqCUFNJY4AfY3kHU/edit?usp=sharing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J6103" s="7" t="s">
        <v>17</v>
      </c>
    </row>
    <row r="6104" spans="1:10" ht="13.2">
      <c r="A6104" s="7">
        <v>6103</v>
      </c>
      <c r="B6104" s="7">
        <v>1</v>
      </c>
      <c r="C6104" s="7" t="s">
        <v>10</v>
      </c>
      <c r="D6104" s="7">
        <v>4994</v>
      </c>
      <c r="E6104" s="7" t="s">
        <v>58</v>
      </c>
      <c r="F6104" s="8" t="str">
        <f ca="1">IFERROR(__xludf.DUMMYFUNCTION("IF
(
C6105=""фізична особа""
,
VLOOKUP(D6105,IMPORTRANGE(""https://docs.google.com/spreadsheets/d/14Bd19lYaqBhU8_DElYkX7l4wRkHqqCUFNJY4AfY3kHU/edit?usp=sharing  #gid=0"",""фіз особи new!relations_name""),6,FALSE)
,
(IF
(
C6105=""юридична особа""
,
VLOOKUP"&amp;"(D6105,IMPORTRANGE(""https://docs.google.com/spreadsheets/d/14Bd19lYaqBhU8_DElYkX7l4wRkHqqCUFNJY4AfY3kHU/edit?usp=sharing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G6104" s="7" t="s">
        <v>10</v>
      </c>
      <c r="H6104" s="7">
        <v>4998</v>
      </c>
      <c r="I6104" s="8" t="str">
        <f ca="1">IFERROR(__xludf.DUMMYFUNCTION("IF
(
G6105=""фізична особа""
,
VLOOKUP(H6105,IMPORTRANGE(""https://docs.google.com/spreadsheets/d/14Bd19lYaqBhU8_DElYkX7l4wRkHqqCUFNJY4AfY3kHU/edit?usp=sharing  #gid=0"",""фіз особи new!relations_name""),6,FALSE)
,
(IF
(
G6105=""юридична особа""
,
VLOOKUP"&amp;"(H6105,IMPORTRANGE(""https://docs.google.com/spreadsheets/d/14Bd19lYaqBhU8_DElYkX7l4wRkHqqCUFNJY4AfY3kHU/edit?usp=sharing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J6104" s="7" t="s">
        <v>25</v>
      </c>
    </row>
    <row r="6105" spans="1:10" ht="13.2">
      <c r="A6105" s="7">
        <v>6104</v>
      </c>
      <c r="B6105" s="7">
        <v>1</v>
      </c>
      <c r="C6105" s="7" t="s">
        <v>10</v>
      </c>
      <c r="D6105" s="7">
        <v>4995</v>
      </c>
      <c r="E6105" s="7" t="s">
        <v>13</v>
      </c>
      <c r="F6105" s="8" t="str">
        <f ca="1">IFERROR(__xludf.DUMMYFUNCTION("IF
(
C6106=""фізична особа""
,
VLOOKUP(D6106,IMPORTRANGE(""https://docs.google.com/spreadsheets/d/14Bd19lYaqBhU8_DElYkX7l4wRkHqqCUFNJY4AfY3kHU/edit?usp=sharing  #gid=0"",""фіз особи new!relations_name""),6,FALSE)
,
(IF
(
C6106=""юридична особа""
,
VLOOKUP"&amp;"(D6106,IMPORTRANGE(""https://docs.google.com/spreadsheets/d/14Bd19lYaqBhU8_DElYkX7l4wRkHqqCUFNJY4AfY3kHU/edit?usp=sharing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G6105" s="7" t="s">
        <v>10</v>
      </c>
      <c r="H6105" s="7">
        <v>373</v>
      </c>
      <c r="I6105" s="8" t="str">
        <f ca="1">IFERROR(__xludf.DUMMYFUNCTION("IF
(
G6106=""фізична особа""
,
VLOOKUP(H6106,IMPORTRANGE(""https://docs.google.com/spreadsheets/d/14Bd19lYaqBhU8_DElYkX7l4wRkHqqCUFNJY4AfY3kHU/edit?usp=sharing  #gid=0"",""фіз особи new!relations_name""),6,FALSE)
,
(IF
(
G6106=""юридична особа""
,
VLOOKUP"&amp;"(H6106,IMPORTRANGE(""https://docs.google.com/spreadsheets/d/14Bd19lYaqBhU8_DElYkX7l4wRkHqqCUFNJY4AfY3kHU/edit?usp=sharing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6105" s="7" t="s">
        <v>12</v>
      </c>
    </row>
    <row r="6106" spans="1:10" ht="13.2">
      <c r="A6106" s="7">
        <v>6105</v>
      </c>
      <c r="B6106" s="7">
        <v>1</v>
      </c>
      <c r="C6106" s="7" t="s">
        <v>10</v>
      </c>
      <c r="D6106" s="7">
        <v>4995</v>
      </c>
      <c r="E6106" s="7" t="s">
        <v>13</v>
      </c>
      <c r="F6106" s="8" t="str">
        <f ca="1">IFERROR(__xludf.DUMMYFUNCTION("IF
(
C6107=""фізична особа""
,
VLOOKUP(D6107,IMPORTRANGE(""https://docs.google.com/spreadsheets/d/14Bd19lYaqBhU8_DElYkX7l4wRkHqqCUFNJY4AfY3kHU/edit?usp=sharing  #gid=0"",""фіз особи new!relations_name""),6,FALSE)
,
(IF
(
C6107=""юридична особа""
,
VLOOKUP"&amp;"(D6107,IMPORTRANGE(""https://docs.google.com/spreadsheets/d/14Bd19lYaqBhU8_DElYkX7l4wRkHqqCUFNJY4AfY3kHU/edit?usp=sharing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G6106" s="7" t="s">
        <v>10</v>
      </c>
      <c r="H6106" s="7">
        <v>4994</v>
      </c>
      <c r="I6106" s="8" t="str">
        <f ca="1">IFERROR(__xludf.DUMMYFUNCTION("IF
(
G6107=""фізична особа""
,
VLOOKUP(H6107,IMPORTRANGE(""https://docs.google.com/spreadsheets/d/14Bd19lYaqBhU8_DElYkX7l4wRkHqqCUFNJY4AfY3kHU/edit?usp=sharing  #gid=0"",""фіз особи new!relations_name""),6,FALSE)
,
(IF
(
G6107=""юридична особа""
,
VLOOKUP"&amp;"(H6107,IMPORTRANGE(""https://docs.google.com/spreadsheets/d/14Bd19lYaqBhU8_DElYkX7l4wRkHqqCUFNJY4AfY3kHU/edit?usp=sharing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J6106" s="7" t="s">
        <v>21</v>
      </c>
    </row>
    <row r="6107" spans="1:10" ht="13.2">
      <c r="A6107" s="7">
        <v>6106</v>
      </c>
      <c r="B6107" s="7">
        <v>1</v>
      </c>
      <c r="C6107" s="7" t="s">
        <v>10</v>
      </c>
      <c r="D6107" s="7">
        <v>4995</v>
      </c>
      <c r="E6107" s="7" t="s">
        <v>31</v>
      </c>
      <c r="F6107" s="8" t="str">
        <f ca="1">IFERROR(__xludf.DUMMYFUNCTION("IF
(
C6108=""фізична особа""
,
VLOOKUP(D6108,IMPORTRANGE(""https://docs.google.com/spreadsheets/d/14Bd19lYaqBhU8_DElYkX7l4wRkHqqCUFNJY4AfY3kHU/edit?usp=sharing  #gid=0"",""фіз особи new!relations_name""),6,FALSE)
,
(IF
(
C6108=""юридична особа""
,
VLOOKUP"&amp;"(D6108,IMPORTRANGE(""https://docs.google.com/spreadsheets/d/14Bd19lYaqBhU8_DElYkX7l4wRkHqqCUFNJY4AfY3kHU/edit?usp=sharing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G6107" s="7" t="s">
        <v>10</v>
      </c>
      <c r="H6107" s="7">
        <v>4996</v>
      </c>
      <c r="I6107" s="8" t="str">
        <f ca="1">IFERROR(__xludf.DUMMYFUNCTION("IF
(
G6108=""фізична особа""
,
VLOOKUP(H6108,IMPORTRANGE(""https://docs.google.com/spreadsheets/d/14Bd19lYaqBhU8_DElYkX7l4wRkHqqCUFNJY4AfY3kHU/edit?usp=sharing  #gid=0"",""фіз особи new!relations_name""),6,FALSE)
,
(IF
(
G6108=""юридична особа""
,
VLOOKUP"&amp;"(H6108,IMPORTRANGE(""https://docs.google.com/spreadsheets/d/14Bd19lYaqBhU8_DElYkX7l4wRkHqqCUFNJY4AfY3kHU/edit?usp=sharing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J6107" s="7" t="s">
        <v>31</v>
      </c>
    </row>
    <row r="6108" spans="1:10" ht="13.2">
      <c r="A6108" s="7">
        <v>6107</v>
      </c>
      <c r="B6108" s="7">
        <v>1</v>
      </c>
      <c r="C6108" s="7" t="s">
        <v>10</v>
      </c>
      <c r="D6108" s="7">
        <v>4995</v>
      </c>
      <c r="E6108" s="7" t="s">
        <v>31</v>
      </c>
      <c r="F6108" s="8" t="str">
        <f ca="1">IFERROR(__xludf.DUMMYFUNCTION("IF
(
C6109=""фізична особа""
,
VLOOKUP(D6109,IMPORTRANGE(""https://docs.google.com/spreadsheets/d/14Bd19lYaqBhU8_DElYkX7l4wRkHqqCUFNJY4AfY3kHU/edit?usp=sharing  #gid=0"",""фіз особи new!relations_name""),6,FALSE)
,
(IF
(
C6109=""юридична особа""
,
VLOOKUP"&amp;"(D6109,IMPORTRANGE(""https://docs.google.com/spreadsheets/d/14Bd19lYaqBhU8_DElYkX7l4wRkHqqCUFNJY4AfY3kHU/edit?usp=sharing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G6108" s="7" t="s">
        <v>10</v>
      </c>
      <c r="H6108" s="7">
        <v>4997</v>
      </c>
      <c r="I6108" s="8" t="str">
        <f ca="1">IFERROR(__xludf.DUMMYFUNCTION("IF
(
G6109=""фізична особа""
,
VLOOKUP(H6109,IMPORTRANGE(""https://docs.google.com/spreadsheets/d/14Bd19lYaqBhU8_DElYkX7l4wRkHqqCUFNJY4AfY3kHU/edit?usp=sharing  #gid=0"",""фіз особи new!relations_name""),6,FALSE)
,
(IF
(
G6109=""юридична особа""
,
VLOOKUP"&amp;"(H6109,IMPORTRANGE(""https://docs.google.com/spreadsheets/d/14Bd19lYaqBhU8_DElYkX7l4wRkHqqCUFNJY4AfY3kHU/edit?usp=sharing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J6108" s="7" t="s">
        <v>18</v>
      </c>
    </row>
    <row r="6109" spans="1:10" ht="13.2">
      <c r="A6109" s="7">
        <v>6108</v>
      </c>
      <c r="B6109" s="7">
        <v>1</v>
      </c>
      <c r="C6109" s="7" t="s">
        <v>10</v>
      </c>
      <c r="D6109" s="7">
        <v>4995</v>
      </c>
      <c r="E6109" s="7" t="s">
        <v>30</v>
      </c>
      <c r="F6109" s="8" t="str">
        <f ca="1">IFERROR(__xludf.DUMMYFUNCTION("IF
(
C6110=""фізична особа""
,
VLOOKUP(D6110,IMPORTRANGE(""https://docs.google.com/spreadsheets/d/14Bd19lYaqBhU8_DElYkX7l4wRkHqqCUFNJY4AfY3kHU/edit?usp=sharing  #gid=0"",""фіз особи new!relations_name""),6,FALSE)
,
(IF
(
C6110=""юридична особа""
,
VLOOKUP"&amp;"(D6110,IMPORTRANGE(""https://docs.google.com/spreadsheets/d/14Bd19lYaqBhU8_DElYkX7l4wRkHqqCUFNJY4AfY3kHU/edit?usp=sharing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G6109" s="7" t="s">
        <v>10</v>
      </c>
      <c r="H6109" s="7">
        <v>4998</v>
      </c>
      <c r="I6109" s="8" t="str">
        <f ca="1">IFERROR(__xludf.DUMMYFUNCTION("IF
(
G6110=""фізична особа""
,
VLOOKUP(H6110,IMPORTRANGE(""https://docs.google.com/spreadsheets/d/14Bd19lYaqBhU8_DElYkX7l4wRkHqqCUFNJY4AfY3kHU/edit?usp=sharing  #gid=0"",""фіз особи new!relations_name""),6,FALSE)
,
(IF
(
G6110=""юридична особа""
,
VLOOKUP"&amp;"(H6110,IMPORTRANGE(""https://docs.google.com/spreadsheets/d/14Bd19lYaqBhU8_DElYkX7l4wRkHqqCUFNJY4AfY3kHU/edit?usp=sharing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J6109" s="7" t="s">
        <v>30</v>
      </c>
    </row>
    <row r="6110" spans="1:10" ht="13.2">
      <c r="A6110" s="7">
        <v>6109</v>
      </c>
      <c r="B6110" s="7">
        <v>1</v>
      </c>
      <c r="C6110" s="7" t="s">
        <v>10</v>
      </c>
      <c r="D6110" s="7">
        <v>4996</v>
      </c>
      <c r="E6110" s="7" t="s">
        <v>13</v>
      </c>
      <c r="F6110" s="8" t="str">
        <f ca="1">IFERROR(__xludf.DUMMYFUNCTION("IF
(
C6111=""фізична особа""
,
VLOOKUP(D6111,IMPORTRANGE(""https://docs.google.com/spreadsheets/d/14Bd19lYaqBhU8_DElYkX7l4wRkHqqCUFNJY4AfY3kHU/edit?usp=sharing  #gid=0"",""фіз особи new!relations_name""),6,FALSE)
,
(IF
(
C6111=""юридична особа""
,
VLOOKUP"&amp;"(D6111,IMPORTRANGE(""https://docs.google.com/spreadsheets/d/14Bd19lYaqBhU8_DElYkX7l4wRkHqqCUFNJY4AfY3kHU/edit?usp=sharing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G6110" s="7" t="s">
        <v>10</v>
      </c>
      <c r="H6110" s="7">
        <v>373</v>
      </c>
      <c r="I6110" s="8" t="str">
        <f ca="1">IFERROR(__xludf.DUMMYFUNCTION("IF
(
G6111=""фізична особа""
,
VLOOKUP(H6111,IMPORTRANGE(""https://docs.google.com/spreadsheets/d/14Bd19lYaqBhU8_DElYkX7l4wRkHqqCUFNJY4AfY3kHU/edit?usp=sharing  #gid=0"",""фіз особи new!relations_name""),6,FALSE)
,
(IF
(
G6111=""юридична особа""
,
VLOOKUP"&amp;"(H6111,IMPORTRANGE(""https://docs.google.com/spreadsheets/d/14Bd19lYaqBhU8_DElYkX7l4wRkHqqCUFNJY4AfY3kHU/edit?usp=sharing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6110" s="7" t="s">
        <v>12</v>
      </c>
    </row>
    <row r="6111" spans="1:10" ht="13.2">
      <c r="A6111" s="7">
        <v>6110</v>
      </c>
      <c r="B6111" s="7">
        <v>1</v>
      </c>
      <c r="C6111" s="7" t="s">
        <v>10</v>
      </c>
      <c r="D6111" s="7">
        <v>4996</v>
      </c>
      <c r="E6111" s="7" t="s">
        <v>13</v>
      </c>
      <c r="F6111" s="8" t="str">
        <f ca="1">IFERROR(__xludf.DUMMYFUNCTION("IF
(
C6112=""фізична особа""
,
VLOOKUP(D6112,IMPORTRANGE(""https://docs.google.com/spreadsheets/d/14Bd19lYaqBhU8_DElYkX7l4wRkHqqCUFNJY4AfY3kHU/edit?usp=sharing  #gid=0"",""фіз особи new!relations_name""),6,FALSE)
,
(IF
(
C6112=""юридична особа""
,
VLOOKUP"&amp;"(D6112,IMPORTRANGE(""https://docs.google.com/spreadsheets/d/14Bd19lYaqBhU8_DElYkX7l4wRkHqqCUFNJY4AfY3kHU/edit?usp=sharing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G6111" s="7" t="s">
        <v>10</v>
      </c>
      <c r="H6111" s="7">
        <v>4994</v>
      </c>
      <c r="I6111" s="8" t="str">
        <f ca="1">IFERROR(__xludf.DUMMYFUNCTION("IF
(
G6112=""фізична особа""
,
VLOOKUP(H6112,IMPORTRANGE(""https://docs.google.com/spreadsheets/d/14Bd19lYaqBhU8_DElYkX7l4wRkHqqCUFNJY4AfY3kHU/edit?usp=sharing  #gid=0"",""фіз особи new!relations_name""),6,FALSE)
,
(IF
(
G6112=""юридична особа""
,
VLOOKUP"&amp;"(H6112,IMPORTRANGE(""https://docs.google.com/spreadsheets/d/14Bd19lYaqBhU8_DElYkX7l4wRkHqqCUFNJY4AfY3kHU/edit?usp=sharing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J6111" s="7" t="s">
        <v>21</v>
      </c>
    </row>
    <row r="6112" spans="1:10" ht="13.2">
      <c r="A6112" s="7">
        <v>6111</v>
      </c>
      <c r="B6112" s="7">
        <v>1</v>
      </c>
      <c r="C6112" s="7" t="s">
        <v>10</v>
      </c>
      <c r="D6112" s="7">
        <v>4996</v>
      </c>
      <c r="E6112" s="7" t="s">
        <v>31</v>
      </c>
      <c r="F6112" s="8" t="str">
        <f ca="1">IFERROR(__xludf.DUMMYFUNCTION("IF
(
C6113=""фізична особа""
,
VLOOKUP(D6113,IMPORTRANGE(""https://docs.google.com/spreadsheets/d/14Bd19lYaqBhU8_DElYkX7l4wRkHqqCUFNJY4AfY3kHU/edit?usp=sharing  #gid=0"",""фіз особи new!relations_name""),6,FALSE)
,
(IF
(
C6113=""юридична особа""
,
VLOOKUP"&amp;"(D6113,IMPORTRANGE(""https://docs.google.com/spreadsheets/d/14Bd19lYaqBhU8_DElYkX7l4wRkHqqCUFNJY4AfY3kHU/edit?usp=sharing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G6112" s="7" t="s">
        <v>10</v>
      </c>
      <c r="H6112" s="7">
        <v>4995</v>
      </c>
      <c r="I6112" s="8" t="str">
        <f ca="1">IFERROR(__xludf.DUMMYFUNCTION("IF
(
G6113=""фізична особа""
,
VLOOKUP(H6113,IMPORTRANGE(""https://docs.google.com/spreadsheets/d/14Bd19lYaqBhU8_DElYkX7l4wRkHqqCUFNJY4AfY3kHU/edit?usp=sharing  #gid=0"",""фіз особи new!relations_name""),6,FALSE)
,
(IF
(
G6113=""юридична особа""
,
VLOOKUP"&amp;"(H6113,IMPORTRANGE(""https://docs.google.com/spreadsheets/d/14Bd19lYaqBhU8_DElYkX7l4wRkHqqCUFNJY4AfY3kHU/edit?usp=sharing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J6112" s="7" t="s">
        <v>31</v>
      </c>
    </row>
    <row r="6113" spans="1:10" ht="13.2">
      <c r="A6113" s="7">
        <v>6112</v>
      </c>
      <c r="B6113" s="7">
        <v>1</v>
      </c>
      <c r="C6113" s="7" t="s">
        <v>10</v>
      </c>
      <c r="D6113" s="7">
        <v>4996</v>
      </c>
      <c r="E6113" s="7" t="s">
        <v>31</v>
      </c>
      <c r="F6113" s="8" t="str">
        <f ca="1">IFERROR(__xludf.DUMMYFUNCTION("IF
(
C6114=""фізична особа""
,
VLOOKUP(D6114,IMPORTRANGE(""https://docs.google.com/spreadsheets/d/14Bd19lYaqBhU8_DElYkX7l4wRkHqqCUFNJY4AfY3kHU/edit?usp=sharing  #gid=0"",""фіз особи new!relations_name""),6,FALSE)
,
(IF
(
C6114=""юридична особа""
,
VLOOKUP"&amp;"(D6114,IMPORTRANGE(""https://docs.google.com/spreadsheets/d/14Bd19lYaqBhU8_DElYkX7l4wRkHqqCUFNJY4AfY3kHU/edit?usp=sharing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G6113" s="7" t="s">
        <v>10</v>
      </c>
      <c r="H6113" s="7">
        <v>4997</v>
      </c>
      <c r="I6113" s="8" t="str">
        <f ca="1">IFERROR(__xludf.DUMMYFUNCTION("IF
(
G6114=""фізична особа""
,
VLOOKUP(H6114,IMPORTRANGE(""https://docs.google.com/spreadsheets/d/14Bd19lYaqBhU8_DElYkX7l4wRkHqqCUFNJY4AfY3kHU/edit?usp=sharing  #gid=0"",""фіз особи new!relations_name""),6,FALSE)
,
(IF
(
G6114=""юридична особа""
,
VLOOKUP"&amp;"(H6114,IMPORTRANGE(""https://docs.google.com/spreadsheets/d/14Bd19lYaqBhU8_DElYkX7l4wRkHqqCUFNJY4AfY3kHU/edit?usp=sharing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J6113" s="7" t="s">
        <v>18</v>
      </c>
    </row>
    <row r="6114" spans="1:10" ht="13.2">
      <c r="A6114" s="7">
        <v>6113</v>
      </c>
      <c r="B6114" s="7">
        <v>1</v>
      </c>
      <c r="C6114" s="7" t="s">
        <v>10</v>
      </c>
      <c r="D6114" s="7">
        <v>4996</v>
      </c>
      <c r="E6114" s="7" t="s">
        <v>30</v>
      </c>
      <c r="F6114" s="8" t="str">
        <f ca="1">IFERROR(__xludf.DUMMYFUNCTION("IF
(
C6115=""фізична особа""
,
VLOOKUP(D6115,IMPORTRANGE(""https://docs.google.com/spreadsheets/d/14Bd19lYaqBhU8_DElYkX7l4wRkHqqCUFNJY4AfY3kHU/edit?usp=sharing  #gid=0"",""фіз особи new!relations_name""),6,FALSE)
,
(IF
(
C6115=""юридична особа""
,
VLOOKUP"&amp;"(D6115,IMPORTRANGE(""https://docs.google.com/spreadsheets/d/14Bd19lYaqBhU8_DElYkX7l4wRkHqqCUFNJY4AfY3kHU/edit?usp=sharing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G6114" s="7" t="s">
        <v>10</v>
      </c>
      <c r="H6114" s="7">
        <v>4998</v>
      </c>
      <c r="I6114" s="8" t="str">
        <f ca="1">IFERROR(__xludf.DUMMYFUNCTION("IF
(
G6115=""фізична особа""
,
VLOOKUP(H6115,IMPORTRANGE(""https://docs.google.com/spreadsheets/d/14Bd19lYaqBhU8_DElYkX7l4wRkHqqCUFNJY4AfY3kHU/edit?usp=sharing  #gid=0"",""фіз особи new!relations_name""),6,FALSE)
,
(IF
(
G6115=""юридична особа""
,
VLOOKUP"&amp;"(H6115,IMPORTRANGE(""https://docs.google.com/spreadsheets/d/14Bd19lYaqBhU8_DElYkX7l4wRkHqqCUFNJY4AfY3kHU/edit?usp=sharing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J6114" s="7" t="s">
        <v>30</v>
      </c>
    </row>
    <row r="6115" spans="1:10" ht="13.2">
      <c r="A6115" s="7">
        <v>6114</v>
      </c>
      <c r="B6115" s="7">
        <v>1</v>
      </c>
      <c r="C6115" s="7" t="s">
        <v>10</v>
      </c>
      <c r="D6115" s="7">
        <v>4997</v>
      </c>
      <c r="E6115" s="7" t="s">
        <v>17</v>
      </c>
      <c r="F6115" s="8" t="str">
        <f ca="1">IFERROR(__xludf.DUMMYFUNCTION("IF
(
C6116=""фізична особа""
,
VLOOKUP(D6116,IMPORTRANGE(""https://docs.google.com/spreadsheets/d/14Bd19lYaqBhU8_DElYkX7l4wRkHqqCUFNJY4AfY3kHU/edit?usp=sharing  #gid=0"",""фіз особи new!relations_name""),6,FALSE)
,
(IF
(
C6116=""юридична особа""
,
VLOOKUP"&amp;"(D6116,IMPORTRANGE(""https://docs.google.com/spreadsheets/d/14Bd19lYaqBhU8_DElYkX7l4wRkHqqCUFNJY4AfY3kHU/edit?usp=sharing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G6115" s="7" t="s">
        <v>10</v>
      </c>
      <c r="H6115" s="7">
        <v>373</v>
      </c>
      <c r="I6115" s="8" t="str">
        <f ca="1">IFERROR(__xludf.DUMMYFUNCTION("IF
(
G6116=""фізична особа""
,
VLOOKUP(H6116,IMPORTRANGE(""https://docs.google.com/spreadsheets/d/14Bd19lYaqBhU8_DElYkX7l4wRkHqqCUFNJY4AfY3kHU/edit?usp=sharing  #gid=0"",""фіз особи new!relations_name""),6,FALSE)
,
(IF
(
G6116=""юридична особа""
,
VLOOKUP"&amp;"(H6116,IMPORTRANGE(""https://docs.google.com/spreadsheets/d/14Bd19lYaqBhU8_DElYkX7l4wRkHqqCUFNJY4AfY3kHU/edit?usp=sharing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6115" s="7" t="s">
        <v>12</v>
      </c>
    </row>
    <row r="6116" spans="1:10" ht="13.2">
      <c r="A6116" s="7">
        <v>6115</v>
      </c>
      <c r="B6116" s="7">
        <v>1</v>
      </c>
      <c r="C6116" s="7" t="s">
        <v>10</v>
      </c>
      <c r="D6116" s="7">
        <v>4997</v>
      </c>
      <c r="E6116" s="7" t="s">
        <v>17</v>
      </c>
      <c r="F6116" s="8" t="str">
        <f ca="1">IFERROR(__xludf.DUMMYFUNCTION("IF
(
C6117=""фізична особа""
,
VLOOKUP(D6117,IMPORTRANGE(""https://docs.google.com/spreadsheets/d/14Bd19lYaqBhU8_DElYkX7l4wRkHqqCUFNJY4AfY3kHU/edit?usp=sharing  #gid=0"",""фіз особи new!relations_name""),6,FALSE)
,
(IF
(
C6117=""юридична особа""
,
VLOOKUP"&amp;"(D6117,IMPORTRANGE(""https://docs.google.com/spreadsheets/d/14Bd19lYaqBhU8_DElYkX7l4wRkHqqCUFNJY4AfY3kHU/edit?usp=sharing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G6116" s="7" t="s">
        <v>10</v>
      </c>
      <c r="H6116" s="7">
        <v>4994</v>
      </c>
      <c r="I6116" s="8" t="str">
        <f ca="1">IFERROR(__xludf.DUMMYFUNCTION("IF
(
G6117=""фізична особа""
,
VLOOKUP(H6117,IMPORTRANGE(""https://docs.google.com/spreadsheets/d/14Bd19lYaqBhU8_DElYkX7l4wRkHqqCUFNJY4AfY3kHU/edit?usp=sharing  #gid=0"",""фіз особи new!relations_name""),6,FALSE)
,
(IF
(
G6117=""юридична особа""
,
VLOOKUP"&amp;"(H6117,IMPORTRANGE(""https://docs.google.com/spreadsheets/d/14Bd19lYaqBhU8_DElYkX7l4wRkHqqCUFNJY4AfY3kHU/edit?usp=sharing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J6116" s="7" t="s">
        <v>21</v>
      </c>
    </row>
    <row r="6117" spans="1:10" ht="13.2">
      <c r="A6117" s="7">
        <v>6116</v>
      </c>
      <c r="B6117" s="7">
        <v>1</v>
      </c>
      <c r="C6117" s="7" t="s">
        <v>10</v>
      </c>
      <c r="D6117" s="7">
        <v>4997</v>
      </c>
      <c r="E6117" s="7" t="s">
        <v>18</v>
      </c>
      <c r="F6117" s="8" t="str">
        <f ca="1">IFERROR(__xludf.DUMMYFUNCTION("IF
(
C6118=""фізична особа""
,
VLOOKUP(D6118,IMPORTRANGE(""https://docs.google.com/spreadsheets/d/14Bd19lYaqBhU8_DElYkX7l4wRkHqqCUFNJY4AfY3kHU/edit?usp=sharing  #gid=0"",""фіз особи new!relations_name""),6,FALSE)
,
(IF
(
C6118=""юридична особа""
,
VLOOKUP"&amp;"(D6118,IMPORTRANGE(""https://docs.google.com/spreadsheets/d/14Bd19lYaqBhU8_DElYkX7l4wRkHqqCUFNJY4AfY3kHU/edit?usp=sharing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G6117" s="7" t="s">
        <v>10</v>
      </c>
      <c r="H6117" s="7">
        <v>4995</v>
      </c>
      <c r="I6117" s="8" t="str">
        <f ca="1">IFERROR(__xludf.DUMMYFUNCTION("IF
(
G6118=""фізична особа""
,
VLOOKUP(H6118,IMPORTRANGE(""https://docs.google.com/spreadsheets/d/14Bd19lYaqBhU8_DElYkX7l4wRkHqqCUFNJY4AfY3kHU/edit?usp=sharing  #gid=0"",""фіз особи new!relations_name""),6,FALSE)
,
(IF
(
G6118=""юридична особа""
,
VLOOKUP"&amp;"(H6118,IMPORTRANGE(""https://docs.google.com/spreadsheets/d/14Bd19lYaqBhU8_DElYkX7l4wRkHqqCUFNJY4AfY3kHU/edit?usp=sharing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J6117" s="7" t="s">
        <v>31</v>
      </c>
    </row>
    <row r="6118" spans="1:10" ht="13.2">
      <c r="A6118" s="7">
        <v>6117</v>
      </c>
      <c r="B6118" s="7">
        <v>1</v>
      </c>
      <c r="C6118" s="7" t="s">
        <v>10</v>
      </c>
      <c r="D6118" s="7">
        <v>4997</v>
      </c>
      <c r="E6118" s="7" t="s">
        <v>18</v>
      </c>
      <c r="F6118" s="8" t="str">
        <f ca="1">IFERROR(__xludf.DUMMYFUNCTION("IF
(
C6119=""фізична особа""
,
VLOOKUP(D6119,IMPORTRANGE(""https://docs.google.com/spreadsheets/d/14Bd19lYaqBhU8_DElYkX7l4wRkHqqCUFNJY4AfY3kHU/edit?usp=sharing  #gid=0"",""фіз особи new!relations_name""),6,FALSE)
,
(IF
(
C6119=""юридична особа""
,
VLOOKUP"&amp;"(D6119,IMPORTRANGE(""https://docs.google.com/spreadsheets/d/14Bd19lYaqBhU8_DElYkX7l4wRkHqqCUFNJY4AfY3kHU/edit?usp=sharing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G6118" s="7" t="s">
        <v>10</v>
      </c>
      <c r="H6118" s="7">
        <v>4996</v>
      </c>
      <c r="I6118" s="8" t="str">
        <f ca="1">IFERROR(__xludf.DUMMYFUNCTION("IF
(
G6119=""фізична особа""
,
VLOOKUP(H6119,IMPORTRANGE(""https://docs.google.com/spreadsheets/d/14Bd19lYaqBhU8_DElYkX7l4wRkHqqCUFNJY4AfY3kHU/edit?usp=sharing  #gid=0"",""фіз особи new!relations_name""),6,FALSE)
,
(IF
(
G6119=""юридична особа""
,
VLOOKUP"&amp;"(H6119,IMPORTRANGE(""https://docs.google.com/spreadsheets/d/14Bd19lYaqBhU8_DElYkX7l4wRkHqqCUFNJY4AfY3kHU/edit?usp=sharing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J6118" s="7" t="s">
        <v>31</v>
      </c>
    </row>
    <row r="6119" spans="1:10" ht="13.2">
      <c r="A6119" s="7">
        <v>6118</v>
      </c>
      <c r="B6119" s="7">
        <v>1</v>
      </c>
      <c r="C6119" s="7" t="s">
        <v>10</v>
      </c>
      <c r="D6119" s="7">
        <v>4997</v>
      </c>
      <c r="E6119" s="7" t="s">
        <v>14</v>
      </c>
      <c r="F6119" s="8" t="str">
        <f ca="1">IFERROR(__xludf.DUMMYFUNCTION("IF
(
C6120=""фізична особа""
,
VLOOKUP(D6120,IMPORTRANGE(""https://docs.google.com/spreadsheets/d/14Bd19lYaqBhU8_DElYkX7l4wRkHqqCUFNJY4AfY3kHU/edit?usp=sharing  #gid=0"",""фіз особи new!relations_name""),6,FALSE)
,
(IF
(
C6120=""юридична особа""
,
VLOOKUP"&amp;"(D6120,IMPORTRANGE(""https://docs.google.com/spreadsheets/d/14Bd19lYaqBhU8_DElYkX7l4wRkHqqCUFNJY4AfY3kHU/edit?usp=sharing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G6119" s="7" t="s">
        <v>10</v>
      </c>
      <c r="H6119" s="7">
        <v>4998</v>
      </c>
      <c r="I6119" s="8" t="str">
        <f ca="1">IFERROR(__xludf.DUMMYFUNCTION("IF
(
G6120=""фізична особа""
,
VLOOKUP(H6120,IMPORTRANGE(""https://docs.google.com/spreadsheets/d/14Bd19lYaqBhU8_DElYkX7l4wRkHqqCUFNJY4AfY3kHU/edit?usp=sharing  #gid=0"",""фіз особи new!relations_name""),6,FALSE)
,
(IF
(
G6120=""юридична особа""
,
VLOOKUP"&amp;"(H6120,IMPORTRANGE(""https://docs.google.com/spreadsheets/d/14Bd19lYaqBhU8_DElYkX7l4wRkHqqCUFNJY4AfY3kHU/edit?usp=sharing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J6119" s="7" t="s">
        <v>15</v>
      </c>
    </row>
    <row r="6120" spans="1:10" ht="13.2">
      <c r="A6120" s="7">
        <v>6119</v>
      </c>
      <c r="B6120" s="7">
        <v>1</v>
      </c>
      <c r="C6120" s="7" t="s">
        <v>10</v>
      </c>
      <c r="D6120" s="7">
        <v>4998</v>
      </c>
      <c r="E6120" s="7" t="s">
        <v>25</v>
      </c>
      <c r="F6120" s="8" t="str">
        <f ca="1">IFERROR(__xludf.DUMMYFUNCTION("IF
(
C6121=""фізична особа""
,
VLOOKUP(D6121,IMPORTRANGE(""https://docs.google.com/spreadsheets/d/14Bd19lYaqBhU8_DElYkX7l4wRkHqqCUFNJY4AfY3kHU/edit?usp=sharing  #gid=0"",""фіз особи new!relations_name""),6,FALSE)
,
(IF
(
C6121=""юридична особа""
,
VLOOKUP"&amp;"(D6121,IMPORTRANGE(""https://docs.google.com/spreadsheets/d/14Bd19lYaqBhU8_DElYkX7l4wRkHqqCUFNJY4AfY3kHU/edit?usp=sharing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G6120" s="7" t="s">
        <v>10</v>
      </c>
      <c r="H6120" s="7">
        <v>373</v>
      </c>
      <c r="I6120" s="8" t="str">
        <f ca="1">IFERROR(__xludf.DUMMYFUNCTION("IF
(
G6121=""фізична особа""
,
VLOOKUP(H6121,IMPORTRANGE(""https://docs.google.com/spreadsheets/d/14Bd19lYaqBhU8_DElYkX7l4wRkHqqCUFNJY4AfY3kHU/edit?usp=sharing  #gid=0"",""фіз особи new!relations_name""),6,FALSE)
,
(IF
(
G6121=""юридична особа""
,
VLOOKUP"&amp;"(H6121,IMPORTRANGE(""https://docs.google.com/spreadsheets/d/14Bd19lYaqBhU8_DElYkX7l4wRkHqqCUFNJY4AfY3kHU/edit?usp=sharing  #gid=0"",""фіз особи new!relations_name_uo""),7,FALSE)
,
)
))"),"КОСАЧОВ Костянтин Йосипович")</f>
        <v>КОСАЧОВ Костянтин Йосипович</v>
      </c>
      <c r="J6120" s="7" t="s">
        <v>34</v>
      </c>
    </row>
    <row r="6121" spans="1:10" ht="13.2">
      <c r="A6121" s="7">
        <v>6120</v>
      </c>
      <c r="B6121" s="7">
        <v>1</v>
      </c>
      <c r="C6121" s="7" t="s">
        <v>10</v>
      </c>
      <c r="D6121" s="7">
        <v>4998</v>
      </c>
      <c r="E6121" s="7" t="s">
        <v>25</v>
      </c>
      <c r="F6121" s="8" t="str">
        <f ca="1">IFERROR(__xludf.DUMMYFUNCTION("IF
(
C6122=""фізична особа""
,
VLOOKUP(D6122,IMPORTRANGE(""https://docs.google.com/spreadsheets/d/14Bd19lYaqBhU8_DElYkX7l4wRkHqqCUFNJY4AfY3kHU/edit?usp=sharing  #gid=0"",""фіз особи new!relations_name""),6,FALSE)
,
(IF
(
C6122=""юридична особа""
,
VLOOKUP"&amp;"(D6122,IMPORTRANGE(""https://docs.google.com/spreadsheets/d/14Bd19lYaqBhU8_DElYkX7l4wRkHqqCUFNJY4AfY3kHU/edit?usp=sharing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G6121" s="7" t="s">
        <v>10</v>
      </c>
      <c r="H6121" s="7">
        <v>4994</v>
      </c>
      <c r="I6121" s="8" t="str">
        <f ca="1">IFERROR(__xludf.DUMMYFUNCTION("IF
(
G6122=""фізична особа""
,
VLOOKUP(H6122,IMPORTRANGE(""https://docs.google.com/spreadsheets/d/14Bd19lYaqBhU8_DElYkX7l4wRkHqqCUFNJY4AfY3kHU/edit?usp=sharing  #gid=0"",""фіз особи new!relations_name""),6,FALSE)
,
(IF
(
G6122=""юридична особа""
,
VLOOKUP"&amp;"(H6122,IMPORTRANGE(""https://docs.google.com/spreadsheets/d/14Bd19lYaqBhU8_DElYkX7l4wRkHqqCUFNJY4AfY3kHU/edit?usp=sharing  #gid=0"",""фіз особи new!relations_name_uo""),7,FALSE)
,
)
))"),"КОСАЧОВА / МУРАНОВА Людмила Олексіївна")</f>
        <v>КОСАЧОВА / МУРАНОВА Людмила Олексіївна</v>
      </c>
      <c r="J6121" s="7" t="s">
        <v>58</v>
      </c>
    </row>
    <row r="6122" spans="1:10" ht="13.2">
      <c r="A6122" s="7">
        <v>6121</v>
      </c>
      <c r="B6122" s="7">
        <v>1</v>
      </c>
      <c r="C6122" s="7" t="s">
        <v>10</v>
      </c>
      <c r="D6122" s="7">
        <v>4998</v>
      </c>
      <c r="E6122" s="7" t="s">
        <v>30</v>
      </c>
      <c r="F6122" s="8" t="str">
        <f ca="1">IFERROR(__xludf.DUMMYFUNCTION("IF
(
C6123=""фізична особа""
,
VLOOKUP(D6123,IMPORTRANGE(""https://docs.google.com/spreadsheets/d/14Bd19lYaqBhU8_DElYkX7l4wRkHqqCUFNJY4AfY3kHU/edit?usp=sharing  #gid=0"",""фіз особи new!relations_name""),6,FALSE)
,
(IF
(
C6123=""юридична особа""
,
VLOOKUP"&amp;"(D6123,IMPORTRANGE(""https://docs.google.com/spreadsheets/d/14Bd19lYaqBhU8_DElYkX7l4wRkHqqCUFNJY4AfY3kHU/edit?usp=sharing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G6122" s="7" t="s">
        <v>10</v>
      </c>
      <c r="H6122" s="7">
        <v>4995</v>
      </c>
      <c r="I6122" s="8" t="str">
        <f ca="1">IFERROR(__xludf.DUMMYFUNCTION("IF
(
G6123=""фізична особа""
,
VLOOKUP(H6123,IMPORTRANGE(""https://docs.google.com/spreadsheets/d/14Bd19lYaqBhU8_DElYkX7l4wRkHqqCUFNJY4AfY3kHU/edit?usp=sharing  #gid=0"",""фіз особи new!relations_name""),6,FALSE)
,
(IF
(
G6123=""юридична особа""
,
VLOOKUP"&amp;"(H6123,IMPORTRANGE(""https://docs.google.com/spreadsheets/d/14Bd19lYaqBhU8_DElYkX7l4wRkHqqCUFNJY4AfY3kHU/edit?usp=sharing  #gid=0"",""фіз особи new!relations_name_uo""),7,FALSE)
,
)
))"),"КОСАЧОВА Марія Костянтинівна")</f>
        <v>КОСАЧОВА Марія Костянтинівна</v>
      </c>
      <c r="J6122" s="7" t="s">
        <v>30</v>
      </c>
    </row>
    <row r="6123" spans="1:10" ht="13.2">
      <c r="A6123" s="7">
        <v>6122</v>
      </c>
      <c r="B6123" s="7">
        <v>1</v>
      </c>
      <c r="C6123" s="7" t="s">
        <v>10</v>
      </c>
      <c r="D6123" s="7">
        <v>4998</v>
      </c>
      <c r="E6123" s="7" t="s">
        <v>30</v>
      </c>
      <c r="F6123" s="8" t="str">
        <f ca="1">IFERROR(__xludf.DUMMYFUNCTION("IF
(
C6124=""фізична особа""
,
VLOOKUP(D6124,IMPORTRANGE(""https://docs.google.com/spreadsheets/d/14Bd19lYaqBhU8_DElYkX7l4wRkHqqCUFNJY4AfY3kHU/edit?usp=sharing  #gid=0"",""фіз особи new!relations_name""),6,FALSE)
,
(IF
(
C6124=""юридична особа""
,
VLOOKUP"&amp;"(D6124,IMPORTRANGE(""https://docs.google.com/spreadsheets/d/14Bd19lYaqBhU8_DElYkX7l4wRkHqqCUFNJY4AfY3kHU/edit?usp=sharing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G6123" s="7" t="s">
        <v>10</v>
      </c>
      <c r="H6123" s="7">
        <v>4996</v>
      </c>
      <c r="I6123" s="8" t="str">
        <f ca="1">IFERROR(__xludf.DUMMYFUNCTION("IF
(
G6124=""фізична особа""
,
VLOOKUP(H6124,IMPORTRANGE(""https://docs.google.com/spreadsheets/d/14Bd19lYaqBhU8_DElYkX7l4wRkHqqCUFNJY4AfY3kHU/edit?usp=sharing  #gid=0"",""фіз особи new!relations_name""),6,FALSE)
,
(IF
(
G6124=""юридична особа""
,
VLOOKUP"&amp;"(H6124,IMPORTRANGE(""https://docs.google.com/spreadsheets/d/14Bd19lYaqBhU8_DElYkX7l4wRkHqqCUFNJY4AfY3kHU/edit?usp=sharing  #gid=0"",""фіз особи new!relations_name_uo""),7,FALSE)
,
)
))"),"КОСАЧОВА Ганна Костянтинівна")</f>
        <v>КОСАЧОВА Ганна Костянтинівна</v>
      </c>
      <c r="J6123" s="7" t="s">
        <v>30</v>
      </c>
    </row>
    <row r="6124" spans="1:10" ht="13.2">
      <c r="A6124" s="7">
        <v>6123</v>
      </c>
      <c r="B6124" s="7">
        <v>1</v>
      </c>
      <c r="C6124" s="7" t="s">
        <v>10</v>
      </c>
      <c r="D6124" s="7">
        <v>4998</v>
      </c>
      <c r="E6124" s="7" t="s">
        <v>15</v>
      </c>
      <c r="F6124" s="8" t="str">
        <f ca="1">IFERROR(__xludf.DUMMYFUNCTION("IF
(
C6125=""фізична особа""
,
VLOOKUP(D6125,IMPORTRANGE(""https://docs.google.com/spreadsheets/d/14Bd19lYaqBhU8_DElYkX7l4wRkHqqCUFNJY4AfY3kHU/edit?usp=sharing  #gid=0"",""фіз особи new!relations_name""),6,FALSE)
,
(IF
(
C6125=""юридична особа""
,
VLOOKUP"&amp;"(D6125,IMPORTRANGE(""https://docs.google.com/spreadsheets/d/14Bd19lYaqBhU8_DElYkX7l4wRkHqqCUFNJY4AfY3kHU/edit?usp=sharing  #gid=0"",""фіз особи new!relations_name_uo""),7,FALSE)
,
)
))"),"КОСАЧОВА / ЗАЙЦЕВА Ірина")</f>
        <v>КОСАЧОВА / ЗАЙЦЕВА Ірина</v>
      </c>
      <c r="G6124" s="7" t="s">
        <v>10</v>
      </c>
      <c r="H6124" s="7">
        <v>4997</v>
      </c>
      <c r="I6124" s="8" t="str">
        <f ca="1">IFERROR(__xludf.DUMMYFUNCTION("IF
(
G6125=""фізична особа""
,
VLOOKUP(H6125,IMPORTRANGE(""https://docs.google.com/spreadsheets/d/14Bd19lYaqBhU8_DElYkX7l4wRkHqqCUFNJY4AfY3kHU/edit?usp=sharing  #gid=0"",""фіз особи new!relations_name""),6,FALSE)
,
(IF
(
G6125=""юридична особа""
,
VLOOKUP"&amp;"(H6125,IMPORTRANGE(""https://docs.google.com/spreadsheets/d/14Bd19lYaqBhU8_DElYkX7l4wRkHqqCUFNJY4AfY3kHU/edit?usp=sharing  #gid=0"",""фіз особи new!relations_name_uo""),7,FALSE)
,
)
))"),"КОСАЧОВ Олександр Костянтинович")</f>
        <v>КОСАЧОВ Олександр Костянтинович</v>
      </c>
      <c r="J6124" s="7" t="s">
        <v>14</v>
      </c>
    </row>
    <row r="6125" spans="1:10" ht="13.2">
      <c r="A6125" s="7">
        <v>6124</v>
      </c>
      <c r="B6125" s="7">
        <v>1</v>
      </c>
      <c r="C6125" s="7" t="s">
        <v>10</v>
      </c>
      <c r="D6125" s="7">
        <v>4999</v>
      </c>
      <c r="E6125" s="7" t="s">
        <v>13</v>
      </c>
      <c r="F6125" s="8" t="str">
        <f ca="1">IFERROR(__xludf.DUMMYFUNCTION("IF
(
C6126=""фізична особа""
,
VLOOKUP(D6126,IMPORTRANGE(""https://docs.google.com/spreadsheets/d/14Bd19lYaqBhU8_DElYkX7l4wRkHqqCUFNJY4AfY3kHU/edit?usp=sharing  #gid=0"",""фіз особи new!relations_name""),6,FALSE)
,
(IF
(
C6126=""юридична особа""
,
VLOOKUP"&amp;"(D6126,IMPORTRANGE(""https://docs.google.com/spreadsheets/d/14Bd19lYaqBhU8_DElYkX7l4wRkHqqCUFNJY4AfY3kHU/edit?usp=sharing  #gid=0"",""фіз особи new!relations_name_uo""),7,FALSE)
,
)
))"),"КРАВЧЕНКО Ксенія Денисівна")</f>
        <v>КРАВЧЕНКО Ксенія Денисівна</v>
      </c>
      <c r="G6125" s="7" t="s">
        <v>10</v>
      </c>
      <c r="H6125" s="7">
        <v>159</v>
      </c>
      <c r="I6125" s="8" t="str">
        <f ca="1">IFERROR(__xludf.DUMMYFUNCTION("IF
(
G6126=""фізична особа""
,
VLOOKUP(H6126,IMPORTRANGE(""https://docs.google.com/spreadsheets/d/14Bd19lYaqBhU8_DElYkX7l4wRkHqqCUFNJY4AfY3kHU/edit?usp=sharing  #gid=0"",""фіз особи new!relations_name""),6,FALSE)
,
(IF
(
G6126=""юридична особа""
,
VLOOKUP"&amp;"(H6126,IMPORTRANGE(""https://docs.google.com/spreadsheets/d/14Bd19lYaqBhU8_DElYkX7l4wRkHqqCUFNJY4AfY3kHU/edit?usp=sharing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J6125" s="7" t="s">
        <v>12</v>
      </c>
    </row>
    <row r="6126" spans="1:10" ht="13.2">
      <c r="A6126" s="7">
        <v>6125</v>
      </c>
      <c r="B6126" s="7">
        <v>1</v>
      </c>
      <c r="C6126" s="7" t="s">
        <v>10</v>
      </c>
      <c r="D6126" s="7">
        <v>4999</v>
      </c>
      <c r="E6126" s="7" t="s">
        <v>13</v>
      </c>
      <c r="F6126" s="8" t="str">
        <f ca="1">IFERROR(__xludf.DUMMYFUNCTION("IF
(
C6127=""фізична особа""
,
VLOOKUP(D6127,IMPORTRANGE(""https://docs.google.com/spreadsheets/d/14Bd19lYaqBhU8_DElYkX7l4wRkHqqCUFNJY4AfY3kHU/edit?usp=sharing  #gid=0"",""фіз особи new!relations_name""),6,FALSE)
,
(IF
(
C6127=""юридична особа""
,
VLOOKUP"&amp;"(D6127,IMPORTRANGE(""https://docs.google.com/spreadsheets/d/14Bd19lYaqBhU8_DElYkX7l4wRkHqqCUFNJY4AfY3kHU/edit?usp=sharing  #gid=0"",""фіз особи new!relations_name_uo""),7,FALSE)
,
)
))"),"КРАВЧЕНКО Ксенія Денисівна")</f>
        <v>КРАВЧЕНКО Ксенія Денисівна</v>
      </c>
      <c r="G6126" s="7" t="s">
        <v>10</v>
      </c>
      <c r="H6126" s="7">
        <v>5089</v>
      </c>
      <c r="I6126" s="8" t="str">
        <f ca="1">IFERROR(__xludf.DUMMYFUNCTION("IF
(
G6127=""фізична особа""
,
VLOOKUP(H6127,IMPORTRANGE(""https://docs.google.com/spreadsheets/d/14Bd19lYaqBhU8_DElYkX7l4wRkHqqCUFNJY4AfY3kHU/edit?usp=sharing  #gid=0"",""фіз особи new!relations_name""),6,FALSE)
,
(IF
(
G6127=""юридична особа""
,
VLOOKUP"&amp;"(H6127,IMPORTRANGE(""https://docs.google.com/spreadsheets/d/14Bd19lYaqBhU8_DElYkX7l4wRkHqqCUFNJY4AfY3kHU/edit?usp=sharing  #gid=0"",""фіз особи new!relations_name_uo""),7,FALSE)
,
)
))"),"КРАВЧЕНКО Наталія Василівна")</f>
        <v>КРАВЧЕНКО Наталія Василівна</v>
      </c>
      <c r="J6126" s="7" t="s">
        <v>21</v>
      </c>
    </row>
    <row r="6127" spans="1:10" ht="13.2">
      <c r="A6127" s="7">
        <v>6126</v>
      </c>
      <c r="B6127" s="7">
        <v>1</v>
      </c>
      <c r="C6127" s="7" t="s">
        <v>10</v>
      </c>
      <c r="D6127" s="7">
        <v>4999</v>
      </c>
      <c r="E6127" s="7" t="s">
        <v>31</v>
      </c>
      <c r="F6127" s="8" t="str">
        <f ca="1">IFERROR(__xludf.DUMMYFUNCTION("IF
(
C6128=""фізична особа""
,
VLOOKUP(D6128,IMPORTRANGE(""https://docs.google.com/spreadsheets/d/14Bd19lYaqBhU8_DElYkX7l4wRkHqqCUFNJY4AfY3kHU/edit?usp=sharing  #gid=0"",""фіз особи new!relations_name""),6,FALSE)
,
(IF
(
C6128=""юридична особа""
,
VLOOKUP"&amp;"(D6128,IMPORTRANGE(""https://docs.google.com/spreadsheets/d/14Bd19lYaqBhU8_DElYkX7l4wRkHqqCUFNJY4AfY3kHU/edit?usp=sharing  #gid=0"",""фіз особи new!relations_name_uo""),7,FALSE)
,
)
))"),"КРАВЧЕНКО Ксенія Денисівна")</f>
        <v>КРАВЧЕНКО Ксенія Денисівна</v>
      </c>
      <c r="G6127" s="7" t="s">
        <v>10</v>
      </c>
      <c r="H6127" s="7">
        <v>5090</v>
      </c>
      <c r="I6127" s="8" t="str">
        <f ca="1">IFERROR(__xludf.DUMMYFUNCTION("IF
(
G6128=""фізична особа""
,
VLOOKUP(H6128,IMPORTRANGE(""https://docs.google.com/spreadsheets/d/14Bd19lYaqBhU8_DElYkX7l4wRkHqqCUFNJY4AfY3kHU/edit?usp=sharing  #gid=0"",""фіз особи new!relations_name""),6,FALSE)
,
(IF
(
G6128=""юридична особа""
,
VLOOKUP"&amp;"(H6128,IMPORTRANGE(""https://docs.google.com/spreadsheets/d/14Bd19lYaqBhU8_DElYkX7l4wRkHqqCUFNJY4AfY3kHU/edit?usp=sharing  #gid=0"",""фіз особи new!relations_name_uo""),7,FALSE)
,
)
))"),"КРАВЧЕНКО Кіра Денисівна")</f>
        <v>КРАВЧЕНКО Кіра Денисівна</v>
      </c>
      <c r="J6127" s="7" t="s">
        <v>31</v>
      </c>
    </row>
    <row r="6128" spans="1:10" ht="13.2">
      <c r="A6128" s="7">
        <v>6127</v>
      </c>
      <c r="B6128" s="7">
        <v>1</v>
      </c>
      <c r="C6128" s="7" t="s">
        <v>10</v>
      </c>
      <c r="D6128" s="7">
        <v>5000</v>
      </c>
      <c r="E6128" s="7" t="s">
        <v>15</v>
      </c>
      <c r="F6128" s="8" t="str">
        <f ca="1">IFERROR(__xludf.DUMMYFUNCTION("IF
(
C6129=""фізична особа""
,
VLOOKUP(D6129,IMPORTRANGE(""https://docs.google.com/spreadsheets/d/14Bd19lYaqBhU8_DElYkX7l4wRkHqqCUFNJY4AfY3kHU/edit?usp=sharing  #gid=0"",""фіз особи new!relations_name""),6,FALSE)
,
(IF
(
C6129=""юридична особа""
,
VLOOKUP"&amp;"(D6129,IMPORTRANGE(""https://docs.google.com/spreadsheets/d/14Bd19lYaqBhU8_DElYkX7l4wRkHqqCUFNJY4AfY3kHU/edit?usp=sharing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G6128" s="7" t="s">
        <v>10</v>
      </c>
      <c r="H6128" s="7">
        <v>587</v>
      </c>
      <c r="I6128" s="8" t="str">
        <f ca="1">IFERROR(__xludf.DUMMYFUNCTION("IF
(
G6129=""фізична особа""
,
VLOOKUP(H6129,IMPORTRANGE(""https://docs.google.com/spreadsheets/d/14Bd19lYaqBhU8_DElYkX7l4wRkHqqCUFNJY4AfY3kHU/edit?usp=sharing  #gid=0"",""фіз особи new!relations_name""),6,FALSE)
,
(IF
(
G6129=""юридична особа""
,
VLOOKUP"&amp;"(H6129,IMPORTRANGE(""https://docs.google.com/spreadsheets/d/14Bd19lYaqBhU8_DElYkX7l4wRkHqqCUFNJY4AfY3kHU/edit?usp=sharing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J6128" s="7" t="s">
        <v>14</v>
      </c>
    </row>
    <row r="6129" spans="1:10" ht="13.2">
      <c r="A6129" s="7">
        <v>6128</v>
      </c>
      <c r="B6129" s="7">
        <v>1</v>
      </c>
      <c r="C6129" s="7" t="s">
        <v>10</v>
      </c>
      <c r="D6129" s="7">
        <v>5000</v>
      </c>
      <c r="E6129" s="7" t="s">
        <v>21</v>
      </c>
      <c r="F6129" s="8" t="str">
        <f ca="1">IFERROR(__xludf.DUMMYFUNCTION("IF
(
C6130=""фізична особа""
,
VLOOKUP(D6130,IMPORTRANGE(""https://docs.google.com/spreadsheets/d/14Bd19lYaqBhU8_DElYkX7l4wRkHqqCUFNJY4AfY3kHU/edit?usp=sharing  #gid=0"",""фіз особи new!relations_name""),6,FALSE)
,
(IF
(
C6130=""юридична особа""
,
VLOOKUP"&amp;"(D6130,IMPORTRANGE(""https://docs.google.com/spreadsheets/d/14Bd19lYaqBhU8_DElYkX7l4wRkHqqCUFNJY4AfY3kHU/edit?usp=sharing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G6129" s="7" t="s">
        <v>10</v>
      </c>
      <c r="H6129" s="7">
        <v>5001</v>
      </c>
      <c r="I6129" s="8" t="str">
        <f ca="1">IFERROR(__xludf.DUMMYFUNCTION("IF
(
G6130=""фізична особа""
,
VLOOKUP(H6130,IMPORTRANGE(""https://docs.google.com/spreadsheets/d/14Bd19lYaqBhU8_DElYkX7l4wRkHqqCUFNJY4AfY3kHU/edit?usp=sharing  #gid=0"",""фіз особи new!relations_name""),6,FALSE)
,
(IF
(
G6130=""юридична особа""
,
VLOOKUP"&amp;"(H6130,IMPORTRANGE(""https://docs.google.com/spreadsheets/d/14Bd19lYaqBhU8_DElYkX7l4wRkHqqCUFNJY4AfY3kHU/edit?usp=sharing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J6129" s="7" t="s">
        <v>17</v>
      </c>
    </row>
    <row r="6130" spans="1:10" ht="13.2">
      <c r="A6130" s="7">
        <v>6129</v>
      </c>
      <c r="B6130" s="7">
        <v>1</v>
      </c>
      <c r="C6130" s="7" t="s">
        <v>10</v>
      </c>
      <c r="D6130" s="7">
        <v>5000</v>
      </c>
      <c r="E6130" s="7" t="s">
        <v>21</v>
      </c>
      <c r="F6130" s="8" t="str">
        <f ca="1">IFERROR(__xludf.DUMMYFUNCTION("IF
(
C6131=""фізична особа""
,
VLOOKUP(D6131,IMPORTRANGE(""https://docs.google.com/spreadsheets/d/14Bd19lYaqBhU8_DElYkX7l4wRkHqqCUFNJY4AfY3kHU/edit?usp=sharing  #gid=0"",""фіз особи new!relations_name""),6,FALSE)
,
(IF
(
C6131=""юридична особа""
,
VLOOKUP"&amp;"(D6131,IMPORTRANGE(""https://docs.google.com/spreadsheets/d/14Bd19lYaqBhU8_DElYkX7l4wRkHqqCUFNJY4AfY3kHU/edit?usp=sharing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G6130" s="7" t="s">
        <v>10</v>
      </c>
      <c r="H6130" s="7">
        <v>5002</v>
      </c>
      <c r="I6130" s="8" t="str">
        <f ca="1">IFERROR(__xludf.DUMMYFUNCTION("IF
(
G6131=""фізична особа""
,
VLOOKUP(H6131,IMPORTRANGE(""https://docs.google.com/spreadsheets/d/14Bd19lYaqBhU8_DElYkX7l4wRkHqqCUFNJY4AfY3kHU/edit?usp=sharing  #gid=0"",""фіз особи new!relations_name""),6,FALSE)
,
(IF
(
G6131=""юридична особа""
,
VLOOKUP"&amp;"(H6131,IMPORTRANGE(""https://docs.google.com/spreadsheets/d/14Bd19lYaqBhU8_DElYkX7l4wRkHqqCUFNJY4AfY3kHU/edit?usp=sharing  #gid=0"",""фіз особи new!relations_name_uo""),7,FALSE)
,
)
))"),"КРАШЕНІННІКОВА Марія Павлівна")</f>
        <v>КРАШЕНІННІКОВА Марія Павлівна</v>
      </c>
      <c r="J6130" s="7" t="s">
        <v>13</v>
      </c>
    </row>
    <row r="6131" spans="1:10" ht="13.2">
      <c r="A6131" s="7">
        <v>6130</v>
      </c>
      <c r="B6131" s="7">
        <v>1</v>
      </c>
      <c r="C6131" s="7" t="s">
        <v>10</v>
      </c>
      <c r="D6131" s="7">
        <v>5001</v>
      </c>
      <c r="E6131" s="7" t="s">
        <v>17</v>
      </c>
      <c r="F6131" s="8" t="str">
        <f ca="1">IFERROR(__xludf.DUMMYFUNCTION("IF
(
C6132=""фізична особа""
,
VLOOKUP(D6132,IMPORTRANGE(""https://docs.google.com/spreadsheets/d/14Bd19lYaqBhU8_DElYkX7l4wRkHqqCUFNJY4AfY3kHU/edit?usp=sharing  #gid=0"",""фіз особи new!relations_name""),6,FALSE)
,
(IF
(
C6132=""юридична особа""
,
VLOOKUP"&amp;"(D6132,IMPORTRANGE(""https://docs.google.com/spreadsheets/d/14Bd19lYaqBhU8_DElYkX7l4wRkHqqCUFNJY4AfY3kHU/edit?usp=sharing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G6131" s="7" t="s">
        <v>10</v>
      </c>
      <c r="H6131" s="7">
        <v>587</v>
      </c>
      <c r="I6131" s="8" t="str">
        <f ca="1">IFERROR(__xludf.DUMMYFUNCTION("IF
(
G6132=""фізична особа""
,
VLOOKUP(H6132,IMPORTRANGE(""https://docs.google.com/spreadsheets/d/14Bd19lYaqBhU8_DElYkX7l4wRkHqqCUFNJY4AfY3kHU/edit?usp=sharing  #gid=0"",""фіз особи new!relations_name""),6,FALSE)
,
(IF
(
G6132=""юридична особа""
,
VLOOKUP"&amp;"(H6132,IMPORTRANGE(""https://docs.google.com/spreadsheets/d/14Bd19lYaqBhU8_DElYkX7l4wRkHqqCUFNJY4AfY3kHU/edit?usp=sharing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J6131" s="7" t="s">
        <v>12</v>
      </c>
    </row>
    <row r="6132" spans="1:10" ht="13.2">
      <c r="A6132" s="7">
        <v>6131</v>
      </c>
      <c r="B6132" s="7">
        <v>1</v>
      </c>
      <c r="C6132" s="7" t="s">
        <v>10</v>
      </c>
      <c r="D6132" s="7">
        <v>5001</v>
      </c>
      <c r="E6132" s="7" t="s">
        <v>17</v>
      </c>
      <c r="F6132" s="8" t="str">
        <f ca="1">IFERROR(__xludf.DUMMYFUNCTION("IF
(
C6133=""фізична особа""
,
VLOOKUP(D6133,IMPORTRANGE(""https://docs.google.com/spreadsheets/d/14Bd19lYaqBhU8_DElYkX7l4wRkHqqCUFNJY4AfY3kHU/edit?usp=sharing  #gid=0"",""фіз особи new!relations_name""),6,FALSE)
,
(IF
(
C6133=""юридична особа""
,
VLOOKUP"&amp;"(D6133,IMPORTRANGE(""https://docs.google.com/spreadsheets/d/14Bd19lYaqBhU8_DElYkX7l4wRkHqqCUFNJY4AfY3kHU/edit?usp=sharing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G6132" s="7" t="s">
        <v>10</v>
      </c>
      <c r="H6132" s="7">
        <v>5000</v>
      </c>
      <c r="I6132" s="8" t="str">
        <f ca="1">IFERROR(__xludf.DUMMYFUNCTION("IF
(
G6133=""фізична особа""
,
VLOOKUP(H6133,IMPORTRANGE(""https://docs.google.com/spreadsheets/d/14Bd19lYaqBhU8_DElYkX7l4wRkHqqCUFNJY4AfY3kHU/edit?usp=sharing  #gid=0"",""фіз особи new!relations_name""),6,FALSE)
,
(IF
(
G6133=""юридична особа""
,
VLOOKUP"&amp;"(H6133,IMPORTRANGE(""https://docs.google.com/spreadsheets/d/14Bd19lYaqBhU8_DElYkX7l4wRkHqqCUFNJY4AfY3kHU/edit?usp=sharing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J6132" s="7" t="s">
        <v>21</v>
      </c>
    </row>
    <row r="6133" spans="1:10" ht="13.2">
      <c r="A6133" s="7">
        <v>6132</v>
      </c>
      <c r="B6133" s="7">
        <v>1</v>
      </c>
      <c r="C6133" s="7" t="s">
        <v>10</v>
      </c>
      <c r="D6133" s="7">
        <v>5001</v>
      </c>
      <c r="E6133" s="7" t="s">
        <v>18</v>
      </c>
      <c r="F6133" s="8" t="str">
        <f ca="1">IFERROR(__xludf.DUMMYFUNCTION("IF
(
C6134=""фізична особа""
,
VLOOKUP(D6134,IMPORTRANGE(""https://docs.google.com/spreadsheets/d/14Bd19lYaqBhU8_DElYkX7l4wRkHqqCUFNJY4AfY3kHU/edit?usp=sharing  #gid=0"",""фіз особи new!relations_name""),6,FALSE)
,
(IF
(
C6134=""юридична особа""
,
VLOOKUP"&amp;"(D6134,IMPORTRANGE(""https://docs.google.com/spreadsheets/d/14Bd19lYaqBhU8_DElYkX7l4wRkHqqCUFNJY4AfY3kHU/edit?usp=sharing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G6133" s="7" t="s">
        <v>10</v>
      </c>
      <c r="H6133" s="7">
        <v>5002</v>
      </c>
      <c r="I6133" s="8" t="str">
        <f ca="1">IFERROR(__xludf.DUMMYFUNCTION("IF
(
G6134=""фізична особа""
,
VLOOKUP(H6134,IMPORTRANGE(""https://docs.google.com/spreadsheets/d/14Bd19lYaqBhU8_DElYkX7l4wRkHqqCUFNJY4AfY3kHU/edit?usp=sharing  #gid=0"",""фіз особи new!relations_name""),6,FALSE)
,
(IF
(
G6134=""юридична особа""
,
VLOOKUP"&amp;"(H6134,IMPORTRANGE(""https://docs.google.com/spreadsheets/d/14Bd19lYaqBhU8_DElYkX7l4wRkHqqCUFNJY4AfY3kHU/edit?usp=sharing  #gid=0"",""фіз особи new!relations_name_uo""),7,FALSE)
,
)
))"),"КРАШЕНІННІКОВА Марія Павлівна")</f>
        <v>КРАШЕНІННІКОВА Марія Павлівна</v>
      </c>
      <c r="J6133" s="7" t="s">
        <v>31</v>
      </c>
    </row>
    <row r="6134" spans="1:10" ht="13.2">
      <c r="A6134" s="7">
        <v>6133</v>
      </c>
      <c r="B6134" s="7">
        <v>1</v>
      </c>
      <c r="C6134" s="7" t="s">
        <v>10</v>
      </c>
      <c r="D6134" s="7">
        <v>5002</v>
      </c>
      <c r="E6134" s="7" t="s">
        <v>13</v>
      </c>
      <c r="F6134" s="8" t="str">
        <f ca="1">IFERROR(__xludf.DUMMYFUNCTION("IF
(
C6135=""фізична особа""
,
VLOOKUP(D6135,IMPORTRANGE(""https://docs.google.com/spreadsheets/d/14Bd19lYaqBhU8_DElYkX7l4wRkHqqCUFNJY4AfY3kHU/edit?usp=sharing  #gid=0"",""фіз особи new!relations_name""),6,FALSE)
,
(IF
(
C6135=""юридична особа""
,
VLOOKUP"&amp;"(D6135,IMPORTRANGE(""https://docs.google.com/spreadsheets/d/14Bd19lYaqBhU8_DElYkX7l4wRkHqqCUFNJY4AfY3kHU/edit?usp=sharing  #gid=0"",""фіз особи new!relations_name_uo""),7,FALSE)
,
)
))"),"КРАШЕНІННІКОВА Марія Павлівна")</f>
        <v>КРАШЕНІННІКОВА Марія Павлівна</v>
      </c>
      <c r="G6134" s="7" t="s">
        <v>10</v>
      </c>
      <c r="H6134" s="7">
        <v>587</v>
      </c>
      <c r="I6134" s="8" t="str">
        <f ca="1">IFERROR(__xludf.DUMMYFUNCTION("IF
(
G6135=""фізична особа""
,
VLOOKUP(H6135,IMPORTRANGE(""https://docs.google.com/spreadsheets/d/14Bd19lYaqBhU8_DElYkX7l4wRkHqqCUFNJY4AfY3kHU/edit?usp=sharing  #gid=0"",""фіз особи new!relations_name""),6,FALSE)
,
(IF
(
G6135=""юридична особа""
,
VLOOKUP"&amp;"(H6135,IMPORTRANGE(""https://docs.google.com/spreadsheets/d/14Bd19lYaqBhU8_DElYkX7l4wRkHqqCUFNJY4AfY3kHU/edit?usp=sharing  #gid=0"",""фіз особи new!relations_name_uo""),7,FALSE)
,
)
))"),"КРАШЕНІННІКОВ Павло Володимирович")</f>
        <v>КРАШЕНІННІКОВ Павло Володимирович</v>
      </c>
      <c r="J6134" s="7" t="s">
        <v>12</v>
      </c>
    </row>
    <row r="6135" spans="1:10" ht="13.2">
      <c r="A6135" s="7">
        <v>6134</v>
      </c>
      <c r="B6135" s="7">
        <v>1</v>
      </c>
      <c r="C6135" s="7" t="s">
        <v>10</v>
      </c>
      <c r="D6135" s="7">
        <v>5002</v>
      </c>
      <c r="E6135" s="7" t="s">
        <v>13</v>
      </c>
      <c r="F6135" s="8" t="str">
        <f ca="1">IFERROR(__xludf.DUMMYFUNCTION("IF
(
C6136=""фізична особа""
,
VLOOKUP(D6136,IMPORTRANGE(""https://docs.google.com/spreadsheets/d/14Bd19lYaqBhU8_DElYkX7l4wRkHqqCUFNJY4AfY3kHU/edit?usp=sharing  #gid=0"",""фіз особи new!relations_name""),6,FALSE)
,
(IF
(
C6136=""юридична особа""
,
VLOOKUP"&amp;"(D6136,IMPORTRANGE(""https://docs.google.com/spreadsheets/d/14Bd19lYaqBhU8_DElYkX7l4wRkHqqCUFNJY4AfY3kHU/edit?usp=sharing  #gid=0"",""фіз особи new!relations_name_uo""),7,FALSE)
,
)
))"),"КРАШЕНІННІКОВА Марія Павлівна")</f>
        <v>КРАШЕНІННІКОВА Марія Павлівна</v>
      </c>
      <c r="G6135" s="7" t="s">
        <v>10</v>
      </c>
      <c r="H6135" s="7">
        <v>5000</v>
      </c>
      <c r="I6135" s="8" t="str">
        <f ca="1">IFERROR(__xludf.DUMMYFUNCTION("IF
(
G6136=""фізична особа""
,
VLOOKUP(H6136,IMPORTRANGE(""https://docs.google.com/spreadsheets/d/14Bd19lYaqBhU8_DElYkX7l4wRkHqqCUFNJY4AfY3kHU/edit?usp=sharing  #gid=0"",""фіз особи new!relations_name""),6,FALSE)
,
(IF
(
G6136=""юридична особа""
,
VLOOKUP"&amp;"(H6136,IMPORTRANGE(""https://docs.google.com/spreadsheets/d/14Bd19lYaqBhU8_DElYkX7l4wRkHqqCUFNJY4AfY3kHU/edit?usp=sharing  #gid=0"",""фіз особи new!relations_name_uo""),7,FALSE)
,
)
))"),"КРАШЕНІННІКОВА Катерина Вікторівна")</f>
        <v>КРАШЕНІННІКОВА Катерина Вікторівна</v>
      </c>
      <c r="J6135" s="7" t="s">
        <v>21</v>
      </c>
    </row>
    <row r="6136" spans="1:10" ht="13.2">
      <c r="A6136" s="7">
        <v>6135</v>
      </c>
      <c r="B6136" s="7">
        <v>1</v>
      </c>
      <c r="C6136" s="7" t="s">
        <v>10</v>
      </c>
      <c r="D6136" s="7">
        <v>5002</v>
      </c>
      <c r="E6136" s="7" t="s">
        <v>31</v>
      </c>
      <c r="F6136" s="8" t="str">
        <f ca="1">IFERROR(__xludf.DUMMYFUNCTION("IF
(
C6137=""фізична особа""
,
VLOOKUP(D6137,IMPORTRANGE(""https://docs.google.com/spreadsheets/d/14Bd19lYaqBhU8_DElYkX7l4wRkHqqCUFNJY4AfY3kHU/edit?usp=sharing  #gid=0"",""фіз особи new!relations_name""),6,FALSE)
,
(IF
(
C6137=""юридична особа""
,
VLOOKUP"&amp;"(D6137,IMPORTRANGE(""https://docs.google.com/spreadsheets/d/14Bd19lYaqBhU8_DElYkX7l4wRkHqqCUFNJY4AfY3kHU/edit?usp=sharing  #gid=0"",""фіз особи new!relations_name_uo""),7,FALSE)
,
)
))"),"КРАШЕНІННІКОВА Марія Павлівна")</f>
        <v>КРАШЕНІННІКОВА Марія Павлівна</v>
      </c>
      <c r="G6136" s="7" t="s">
        <v>10</v>
      </c>
      <c r="H6136" s="7">
        <v>5001</v>
      </c>
      <c r="I6136" s="8" t="str">
        <f ca="1">IFERROR(__xludf.DUMMYFUNCTION("IF
(
G6137=""фізична особа""
,
VLOOKUP(H6137,IMPORTRANGE(""https://docs.google.com/spreadsheets/d/14Bd19lYaqBhU8_DElYkX7l4wRkHqqCUFNJY4AfY3kHU/edit?usp=sharing  #gid=0"",""фіз особи new!relations_name""),6,FALSE)
,
(IF
(
G6137=""юридична особа""
,
VLOOKUP"&amp;"(H6137,IMPORTRANGE(""https://docs.google.com/spreadsheets/d/14Bd19lYaqBhU8_DElYkX7l4wRkHqqCUFNJY4AfY3kHU/edit?usp=sharing  #gid=0"",""фіз особи new!relations_name_uo""),7,FALSE)
,
)
))"),"КРАШЕНІННІКОВ Михайло Павлович")</f>
        <v>КРАШЕНІННІКОВ Михайло Павлович</v>
      </c>
      <c r="J6136" s="7" t="s">
        <v>18</v>
      </c>
    </row>
    <row r="6137" spans="1:10" ht="13.2">
      <c r="A6137" s="7">
        <v>6136</v>
      </c>
      <c r="B6137" s="7">
        <v>1</v>
      </c>
      <c r="C6137" s="7" t="s">
        <v>10</v>
      </c>
      <c r="D6137" s="7">
        <v>5003</v>
      </c>
      <c r="E6137" s="7" t="s">
        <v>15</v>
      </c>
      <c r="F6137" s="8" t="str">
        <f ca="1">IFERROR(__xludf.DUMMYFUNCTION("IF
(
C6138=""фізична особа""
,
VLOOKUP(D6138,IMPORTRANGE(""https://docs.google.com/spreadsheets/d/14Bd19lYaqBhU8_DElYkX7l4wRkHqqCUFNJY4AfY3kHU/edit?usp=sharing  #gid=0"",""фіз особи new!relations_name""),6,FALSE)
,
(IF
(
C6138=""юридична особа""
,
VLOOKUP"&amp;"(D6138,IMPORTRANGE(""https://docs.google.com/spreadsheets/d/14Bd19lYaqBhU8_DElYkX7l4wRkHqqCUFNJY4AfY3kHU/edit?usp=sharing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G6137" s="7" t="s">
        <v>10</v>
      </c>
      <c r="H6137" s="7">
        <v>666</v>
      </c>
      <c r="I6137" s="8" t="str">
        <f ca="1">IFERROR(__xludf.DUMMYFUNCTION("IF
(
G6138=""фізична особа""
,
VLOOKUP(H6138,IMPORTRANGE(""https://docs.google.com/spreadsheets/d/14Bd19lYaqBhU8_DElYkX7l4wRkHqqCUFNJY4AfY3kHU/edit?usp=sharing  #gid=0"",""фіз особи new!relations_name""),6,FALSE)
,
(IF
(
G6138=""юридична особа""
,
VLOOKUP"&amp;"(H6138,IMPORTRANGE(""https://docs.google.com/spreadsheets/d/14Bd19lYaqBhU8_DElYkX7l4wRkHqqCUFNJY4AfY3kHU/edit?usp=sharing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J6137" s="7" t="s">
        <v>14</v>
      </c>
    </row>
    <row r="6138" spans="1:10" ht="13.2">
      <c r="A6138" s="7">
        <v>6137</v>
      </c>
      <c r="B6138" s="7">
        <v>1</v>
      </c>
      <c r="C6138" s="7" t="s">
        <v>10</v>
      </c>
      <c r="D6138" s="7">
        <v>5003</v>
      </c>
      <c r="E6138" s="7" t="s">
        <v>21</v>
      </c>
      <c r="F6138" s="8" t="str">
        <f ca="1">IFERROR(__xludf.DUMMYFUNCTION("IF
(
C6139=""фізична особа""
,
VLOOKUP(D6139,IMPORTRANGE(""https://docs.google.com/spreadsheets/d/14Bd19lYaqBhU8_DElYkX7l4wRkHqqCUFNJY4AfY3kHU/edit?usp=sharing  #gid=0"",""фіз особи new!relations_name""),6,FALSE)
,
(IF
(
C6139=""юридична особа""
,
VLOOKUP"&amp;"(D6139,IMPORTRANGE(""https://docs.google.com/spreadsheets/d/14Bd19lYaqBhU8_DElYkX7l4wRkHqqCUFNJY4AfY3kHU/edit?usp=sharing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G6138" s="7" t="s">
        <v>10</v>
      </c>
      <c r="H6138" s="7">
        <v>5004</v>
      </c>
      <c r="I6138" s="8" t="str">
        <f ca="1">IFERROR(__xludf.DUMMYFUNCTION("IF
(
G6139=""фізична особа""
,
VLOOKUP(H6139,IMPORTRANGE(""https://docs.google.com/spreadsheets/d/14Bd19lYaqBhU8_DElYkX7l4wRkHqqCUFNJY4AfY3kHU/edit?usp=sharing  #gid=0"",""фіз особи new!relations_name""),6,FALSE)
,
(IF
(
G6139=""юридична особа""
,
VLOOKUP"&amp;"(H6139,IMPORTRANGE(""https://docs.google.com/spreadsheets/d/14Bd19lYaqBhU8_DElYkX7l4wRkHqqCUFNJY4AfY3kHU/edit?usp=sharing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J6138" s="7" t="s">
        <v>17</v>
      </c>
    </row>
    <row r="6139" spans="1:10" ht="13.2">
      <c r="A6139" s="7">
        <v>6138</v>
      </c>
      <c r="B6139" s="7">
        <v>1</v>
      </c>
      <c r="C6139" s="7" t="s">
        <v>10</v>
      </c>
      <c r="D6139" s="7">
        <v>5003</v>
      </c>
      <c r="E6139" s="7" t="s">
        <v>21</v>
      </c>
      <c r="F6139" s="8" t="str">
        <f ca="1">IFERROR(__xludf.DUMMYFUNCTION("IF
(
C6140=""фізична особа""
,
VLOOKUP(D6140,IMPORTRANGE(""https://docs.google.com/spreadsheets/d/14Bd19lYaqBhU8_DElYkX7l4wRkHqqCUFNJY4AfY3kHU/edit?usp=sharing  #gid=0"",""фіз особи new!relations_name""),6,FALSE)
,
(IF
(
C6140=""юридична особа""
,
VLOOKUP"&amp;"(D6140,IMPORTRANGE(""https://docs.google.com/spreadsheets/d/14Bd19lYaqBhU8_DElYkX7l4wRkHqqCUFNJY4AfY3kHU/edit?usp=sharing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G6139" s="7" t="s">
        <v>10</v>
      </c>
      <c r="H6139" s="7">
        <v>5005</v>
      </c>
      <c r="I6139" s="8" t="str">
        <f ca="1">IFERROR(__xludf.DUMMYFUNCTION("IF
(
G6140=""фізична особа""
,
VLOOKUP(H6140,IMPORTRANGE(""https://docs.google.com/spreadsheets/d/14Bd19lYaqBhU8_DElYkX7l4wRkHqqCUFNJY4AfY3kHU/edit?usp=sharing  #gid=0"",""фіз особи new!relations_name""),6,FALSE)
,
(IF
(
G6140=""юридична особа""
,
VLOOKUP"&amp;"(H6140,IMPORTRANGE(""https://docs.google.com/spreadsheets/d/14Bd19lYaqBhU8_DElYkX7l4wRkHqqCUFNJY4AfY3kHU/edit?usp=sharing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J6139" s="7" t="s">
        <v>17</v>
      </c>
    </row>
    <row r="6140" spans="1:10" ht="13.2">
      <c r="A6140" s="7">
        <v>6139</v>
      </c>
      <c r="B6140" s="7">
        <v>1</v>
      </c>
      <c r="C6140" s="7" t="s">
        <v>10</v>
      </c>
      <c r="D6140" s="7">
        <v>5003</v>
      </c>
      <c r="E6140" s="7" t="s">
        <v>58</v>
      </c>
      <c r="F6140" s="8" t="str">
        <f ca="1">IFERROR(__xludf.DUMMYFUNCTION("IF
(
C6141=""фізична особа""
,
VLOOKUP(D6141,IMPORTRANGE(""https://docs.google.com/spreadsheets/d/14Bd19lYaqBhU8_DElYkX7l4wRkHqqCUFNJY4AfY3kHU/edit?usp=sharing  #gid=0"",""фіз особи new!relations_name""),6,FALSE)
,
(IF
(
C6141=""юридична особа""
,
VLOOKUP"&amp;"(D6141,IMPORTRANGE(""https://docs.google.com/spreadsheets/d/14Bd19lYaqBhU8_DElYkX7l4wRkHqqCUFNJY4AfY3kHU/edit?usp=sharing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G6140" s="7" t="s">
        <v>10</v>
      </c>
      <c r="H6140" s="7">
        <v>5006</v>
      </c>
      <c r="I6140" s="8" t="str">
        <f ca="1">IFERROR(__xludf.DUMMYFUNCTION("IF
(
G6141=""фізична особа""
,
VLOOKUP(H6141,IMPORTRANGE(""https://docs.google.com/spreadsheets/d/14Bd19lYaqBhU8_DElYkX7l4wRkHqqCUFNJY4AfY3kHU/edit?usp=sharing  #gid=0"",""фіз особи new!relations_name""),6,FALSE)
,
(IF
(
G6141=""юридична особа""
,
VLOOKUP"&amp;"(H6141,IMPORTRANGE(""https://docs.google.com/spreadsheets/d/14Bd19lYaqBhU8_DElYkX7l4wRkHqqCUFNJY4AfY3kHU/edit?usp=sharing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J6140" s="7" t="s">
        <v>25</v>
      </c>
    </row>
    <row r="6141" spans="1:10" ht="13.2">
      <c r="A6141" s="7">
        <v>6140</v>
      </c>
      <c r="B6141" s="7">
        <v>1</v>
      </c>
      <c r="C6141" s="7" t="s">
        <v>10</v>
      </c>
      <c r="D6141" s="7">
        <v>5004</v>
      </c>
      <c r="E6141" s="7" t="s">
        <v>17</v>
      </c>
      <c r="F6141" s="8" t="str">
        <f ca="1">IFERROR(__xludf.DUMMYFUNCTION("IF
(
C6142=""фізична особа""
,
VLOOKUP(D6142,IMPORTRANGE(""https://docs.google.com/spreadsheets/d/14Bd19lYaqBhU8_DElYkX7l4wRkHqqCUFNJY4AfY3kHU/edit?usp=sharing  #gid=0"",""фіз особи new!relations_name""),6,FALSE)
,
(IF
(
C6142=""юридична особа""
,
VLOOKUP"&amp;"(D6142,IMPORTRANGE(""https://docs.google.com/spreadsheets/d/14Bd19lYaqBhU8_DElYkX7l4wRkHqqCUFNJY4AfY3kHU/edit?usp=sharing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G6141" s="7" t="s">
        <v>10</v>
      </c>
      <c r="H6141" s="7">
        <v>666</v>
      </c>
      <c r="I6141" s="8" t="str">
        <f ca="1">IFERROR(__xludf.DUMMYFUNCTION("IF
(
G6142=""фізична особа""
,
VLOOKUP(H6142,IMPORTRANGE(""https://docs.google.com/spreadsheets/d/14Bd19lYaqBhU8_DElYkX7l4wRkHqqCUFNJY4AfY3kHU/edit?usp=sharing  #gid=0"",""фіз особи new!relations_name""),6,FALSE)
,
(IF
(
G6142=""юридична особа""
,
VLOOKUP"&amp;"(H6142,IMPORTRANGE(""https://docs.google.com/spreadsheets/d/14Bd19lYaqBhU8_DElYkX7l4wRkHqqCUFNJY4AfY3kHU/edit?usp=sharing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J6141" s="7" t="s">
        <v>12</v>
      </c>
    </row>
    <row r="6142" spans="1:10" ht="13.2">
      <c r="A6142" s="7">
        <v>6141</v>
      </c>
      <c r="B6142" s="7">
        <v>1</v>
      </c>
      <c r="C6142" s="7" t="s">
        <v>10</v>
      </c>
      <c r="D6142" s="7">
        <v>5004</v>
      </c>
      <c r="E6142" s="7" t="s">
        <v>17</v>
      </c>
      <c r="F6142" s="8" t="str">
        <f ca="1">IFERROR(__xludf.DUMMYFUNCTION("IF
(
C6143=""фізична особа""
,
VLOOKUP(D6143,IMPORTRANGE(""https://docs.google.com/spreadsheets/d/14Bd19lYaqBhU8_DElYkX7l4wRkHqqCUFNJY4AfY3kHU/edit?usp=sharing  #gid=0"",""фіз особи new!relations_name""),6,FALSE)
,
(IF
(
C6143=""юридична особа""
,
VLOOKUP"&amp;"(D6143,IMPORTRANGE(""https://docs.google.com/spreadsheets/d/14Bd19lYaqBhU8_DElYkX7l4wRkHqqCUFNJY4AfY3kHU/edit?usp=sharing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G6142" s="7" t="s">
        <v>10</v>
      </c>
      <c r="H6142" s="7">
        <v>5003</v>
      </c>
      <c r="I6142" s="8" t="str">
        <f ca="1">IFERROR(__xludf.DUMMYFUNCTION("IF
(
G6143=""фізична особа""
,
VLOOKUP(H6143,IMPORTRANGE(""https://docs.google.com/spreadsheets/d/14Bd19lYaqBhU8_DElYkX7l4wRkHqqCUFNJY4AfY3kHU/edit?usp=sharing  #gid=0"",""фіз особи new!relations_name""),6,FALSE)
,
(IF
(
G6143=""юридична особа""
,
VLOOKUP"&amp;"(H6143,IMPORTRANGE(""https://docs.google.com/spreadsheets/d/14Bd19lYaqBhU8_DElYkX7l4wRkHqqCUFNJY4AfY3kHU/edit?usp=sharing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J6142" s="7" t="s">
        <v>21</v>
      </c>
    </row>
    <row r="6143" spans="1:10" ht="13.2">
      <c r="A6143" s="7">
        <v>6142</v>
      </c>
      <c r="B6143" s="7">
        <v>1</v>
      </c>
      <c r="C6143" s="7" t="s">
        <v>10</v>
      </c>
      <c r="D6143" s="7">
        <v>5004</v>
      </c>
      <c r="E6143" s="7" t="s">
        <v>18</v>
      </c>
      <c r="F6143" s="8" t="str">
        <f ca="1">IFERROR(__xludf.DUMMYFUNCTION("IF
(
C6144=""фізична особа""
,
VLOOKUP(D6144,IMPORTRANGE(""https://docs.google.com/spreadsheets/d/14Bd19lYaqBhU8_DElYkX7l4wRkHqqCUFNJY4AfY3kHU/edit?usp=sharing  #gid=0"",""фіз особи new!relations_name""),6,FALSE)
,
(IF
(
C6144=""юридична особа""
,
VLOOKUP"&amp;"(D6144,IMPORTRANGE(""https://docs.google.com/spreadsheets/d/14Bd19lYaqBhU8_DElYkX7l4wRkHqqCUFNJY4AfY3kHU/edit?usp=sharing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G6143" s="7" t="s">
        <v>10</v>
      </c>
      <c r="H6143" s="7">
        <v>5005</v>
      </c>
      <c r="I6143" s="8" t="str">
        <f ca="1">IFERROR(__xludf.DUMMYFUNCTION("IF
(
G6144=""фізична особа""
,
VLOOKUP(H6144,IMPORTRANGE(""https://docs.google.com/spreadsheets/d/14Bd19lYaqBhU8_DElYkX7l4wRkHqqCUFNJY4AfY3kHU/edit?usp=sharing  #gid=0"",""фіз особи new!relations_name""),6,FALSE)
,
(IF
(
G6144=""юридична особа""
,
VLOOKUP"&amp;"(H6144,IMPORTRANGE(""https://docs.google.com/spreadsheets/d/14Bd19lYaqBhU8_DElYkX7l4wRkHqqCUFNJY4AfY3kHU/edit?usp=sharing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J6143" s="7" t="s">
        <v>18</v>
      </c>
    </row>
    <row r="6144" spans="1:10" ht="13.2">
      <c r="A6144" s="7">
        <v>6143</v>
      </c>
      <c r="B6144" s="7">
        <v>1</v>
      </c>
      <c r="C6144" s="7" t="s">
        <v>10</v>
      </c>
      <c r="D6144" s="7">
        <v>5004</v>
      </c>
      <c r="E6144" s="7" t="s">
        <v>14</v>
      </c>
      <c r="F6144" s="8" t="str">
        <f ca="1">IFERROR(__xludf.DUMMYFUNCTION("IF
(
C6145=""фізична особа""
,
VLOOKUP(D6145,IMPORTRANGE(""https://docs.google.com/spreadsheets/d/14Bd19lYaqBhU8_DElYkX7l4wRkHqqCUFNJY4AfY3kHU/edit?usp=sharing  #gid=0"",""фіз особи new!relations_name""),6,FALSE)
,
(IF
(
C6145=""юридична особа""
,
VLOOKUP"&amp;"(D6145,IMPORTRANGE(""https://docs.google.com/spreadsheets/d/14Bd19lYaqBhU8_DElYkX7l4wRkHqqCUFNJY4AfY3kHU/edit?usp=sharing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G6144" s="7" t="s">
        <v>10</v>
      </c>
      <c r="H6144" s="7">
        <v>5006</v>
      </c>
      <c r="I6144" s="8" t="str">
        <f ca="1">IFERROR(__xludf.DUMMYFUNCTION("IF
(
G6145=""фізична особа""
,
VLOOKUP(H6145,IMPORTRANGE(""https://docs.google.com/spreadsheets/d/14Bd19lYaqBhU8_DElYkX7l4wRkHqqCUFNJY4AfY3kHU/edit?usp=sharing  #gid=0"",""фіз особи new!relations_name""),6,FALSE)
,
(IF
(
G6145=""юридична особа""
,
VLOOKUP"&amp;"(H6145,IMPORTRANGE(""https://docs.google.com/spreadsheets/d/14Bd19lYaqBhU8_DElYkX7l4wRkHqqCUFNJY4AfY3kHU/edit?usp=sharing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J6144" s="7" t="s">
        <v>15</v>
      </c>
    </row>
    <row r="6145" spans="1:10" ht="13.2">
      <c r="A6145" s="7">
        <v>6144</v>
      </c>
      <c r="B6145" s="7">
        <v>1</v>
      </c>
      <c r="C6145" s="7" t="s">
        <v>10</v>
      </c>
      <c r="D6145" s="7">
        <v>5005</v>
      </c>
      <c r="E6145" s="7" t="s">
        <v>17</v>
      </c>
      <c r="F6145" s="8" t="str">
        <f ca="1">IFERROR(__xludf.DUMMYFUNCTION("IF
(
C6146=""фізична особа""
,
VLOOKUP(D6146,IMPORTRANGE(""https://docs.google.com/spreadsheets/d/14Bd19lYaqBhU8_DElYkX7l4wRkHqqCUFNJY4AfY3kHU/edit?usp=sharing  #gid=0"",""фіз особи new!relations_name""),6,FALSE)
,
(IF
(
C6146=""юридична особа""
,
VLOOKUP"&amp;"(D6146,IMPORTRANGE(""https://docs.google.com/spreadsheets/d/14Bd19lYaqBhU8_DElYkX7l4wRkHqqCUFNJY4AfY3kHU/edit?usp=sharing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G6145" s="7" t="s">
        <v>10</v>
      </c>
      <c r="H6145" s="7">
        <v>666</v>
      </c>
      <c r="I6145" s="8" t="str">
        <f ca="1">IFERROR(__xludf.DUMMYFUNCTION("IF
(
G6146=""фізична особа""
,
VLOOKUP(H6146,IMPORTRANGE(""https://docs.google.com/spreadsheets/d/14Bd19lYaqBhU8_DElYkX7l4wRkHqqCUFNJY4AfY3kHU/edit?usp=sharing  #gid=0"",""фіз особи new!relations_name""),6,FALSE)
,
(IF
(
G6146=""юридична особа""
,
VLOOKUP"&amp;"(H6146,IMPORTRANGE(""https://docs.google.com/spreadsheets/d/14Bd19lYaqBhU8_DElYkX7l4wRkHqqCUFNJY4AfY3kHU/edit?usp=sharing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J6145" s="7" t="s">
        <v>12</v>
      </c>
    </row>
    <row r="6146" spans="1:10" ht="13.2">
      <c r="A6146" s="7">
        <v>6145</v>
      </c>
      <c r="B6146" s="7">
        <v>1</v>
      </c>
      <c r="C6146" s="7" t="s">
        <v>10</v>
      </c>
      <c r="D6146" s="7">
        <v>5005</v>
      </c>
      <c r="E6146" s="7" t="s">
        <v>17</v>
      </c>
      <c r="F6146" s="8" t="str">
        <f ca="1">IFERROR(__xludf.DUMMYFUNCTION("IF
(
C6147=""фізична особа""
,
VLOOKUP(D6147,IMPORTRANGE(""https://docs.google.com/spreadsheets/d/14Bd19lYaqBhU8_DElYkX7l4wRkHqqCUFNJY4AfY3kHU/edit?usp=sharing  #gid=0"",""фіз особи new!relations_name""),6,FALSE)
,
(IF
(
C6147=""юридична особа""
,
VLOOKUP"&amp;"(D6147,IMPORTRANGE(""https://docs.google.com/spreadsheets/d/14Bd19lYaqBhU8_DElYkX7l4wRkHqqCUFNJY4AfY3kHU/edit?usp=sharing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G6146" s="7" t="s">
        <v>10</v>
      </c>
      <c r="H6146" s="7">
        <v>5003</v>
      </c>
      <c r="I6146" s="8" t="str">
        <f ca="1">IFERROR(__xludf.DUMMYFUNCTION("IF
(
G6147=""фізична особа""
,
VLOOKUP(H6147,IMPORTRANGE(""https://docs.google.com/spreadsheets/d/14Bd19lYaqBhU8_DElYkX7l4wRkHqqCUFNJY4AfY3kHU/edit?usp=sharing  #gid=0"",""фіз особи new!relations_name""),6,FALSE)
,
(IF
(
G6147=""юридична особа""
,
VLOOKUP"&amp;"(H6147,IMPORTRANGE(""https://docs.google.com/spreadsheets/d/14Bd19lYaqBhU8_DElYkX7l4wRkHqqCUFNJY4AfY3kHU/edit?usp=sharing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J6146" s="7" t="s">
        <v>21</v>
      </c>
    </row>
    <row r="6147" spans="1:10" ht="13.2">
      <c r="A6147" s="7">
        <v>6146</v>
      </c>
      <c r="B6147" s="7">
        <v>1</v>
      </c>
      <c r="C6147" s="7" t="s">
        <v>10</v>
      </c>
      <c r="D6147" s="7">
        <v>5005</v>
      </c>
      <c r="E6147" s="7" t="s">
        <v>18</v>
      </c>
      <c r="F6147" s="8" t="str">
        <f ca="1">IFERROR(__xludf.DUMMYFUNCTION("IF
(
C6148=""фізична особа""
,
VLOOKUP(D6148,IMPORTRANGE(""https://docs.google.com/spreadsheets/d/14Bd19lYaqBhU8_DElYkX7l4wRkHqqCUFNJY4AfY3kHU/edit?usp=sharing  #gid=0"",""фіз особи new!relations_name""),6,FALSE)
,
(IF
(
C6148=""юридична особа""
,
VLOOKUP"&amp;"(D6148,IMPORTRANGE(""https://docs.google.com/spreadsheets/d/14Bd19lYaqBhU8_DElYkX7l4wRkHqqCUFNJY4AfY3kHU/edit?usp=sharing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G6147" s="7" t="s">
        <v>10</v>
      </c>
      <c r="H6147" s="7">
        <v>5004</v>
      </c>
      <c r="I6147" s="8" t="str">
        <f ca="1">IFERROR(__xludf.DUMMYFUNCTION("IF
(
G6148=""фізична особа""
,
VLOOKUP(H6148,IMPORTRANGE(""https://docs.google.com/spreadsheets/d/14Bd19lYaqBhU8_DElYkX7l4wRkHqqCUFNJY4AfY3kHU/edit?usp=sharing  #gid=0"",""фіз особи new!relations_name""),6,FALSE)
,
(IF
(
G6148=""юридична особа""
,
VLOOKUP"&amp;"(H6148,IMPORTRANGE(""https://docs.google.com/spreadsheets/d/14Bd19lYaqBhU8_DElYkX7l4wRkHqqCUFNJY4AfY3kHU/edit?usp=sharing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J6147" s="7" t="s">
        <v>18</v>
      </c>
    </row>
    <row r="6148" spans="1:10" ht="13.2">
      <c r="A6148" s="7">
        <v>6147</v>
      </c>
      <c r="B6148" s="7">
        <v>1</v>
      </c>
      <c r="C6148" s="7" t="s">
        <v>10</v>
      </c>
      <c r="D6148" s="7">
        <v>5005</v>
      </c>
      <c r="E6148" s="7" t="s">
        <v>73</v>
      </c>
      <c r="F6148" s="8" t="str">
        <f ca="1">IFERROR(__xludf.DUMMYFUNCTION("IF
(
C6149=""фізична особа""
,
VLOOKUP(D6149,IMPORTRANGE(""https://docs.google.com/spreadsheets/d/14Bd19lYaqBhU8_DElYkX7l4wRkHqqCUFNJY4AfY3kHU/edit?usp=sharing  #gid=0"",""фіз особи new!relations_name""),6,FALSE)
,
(IF
(
C6149=""юридична особа""
,
VLOOKUP"&amp;"(D6149,IMPORTRANGE(""https://docs.google.com/spreadsheets/d/14Bd19lYaqBhU8_DElYkX7l4wRkHqqCUFNJY4AfY3kHU/edit?usp=sharing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G6148" s="7" t="s">
        <v>10</v>
      </c>
      <c r="H6148" s="7">
        <v>5006</v>
      </c>
      <c r="I6148" s="8" t="str">
        <f ca="1">IFERROR(__xludf.DUMMYFUNCTION("IF
(
G6149=""фізична особа""
,
VLOOKUP(H6149,IMPORTRANGE(""https://docs.google.com/spreadsheets/d/14Bd19lYaqBhU8_DElYkX7l4wRkHqqCUFNJY4AfY3kHU/edit?usp=sharing  #gid=0"",""фіз особи new!relations_name""),6,FALSE)
,
(IF
(
G6149=""юридична особа""
,
VLOOKUP"&amp;"(H6149,IMPORTRANGE(""https://docs.google.com/spreadsheets/d/14Bd19lYaqBhU8_DElYkX7l4wRkHqqCUFNJY4AfY3kHU/edit?usp=sharing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J6148" s="7" t="s">
        <v>113</v>
      </c>
    </row>
    <row r="6149" spans="1:10" ht="13.2">
      <c r="A6149" s="7">
        <v>6148</v>
      </c>
      <c r="B6149" s="7">
        <v>1</v>
      </c>
      <c r="C6149" s="7" t="s">
        <v>10</v>
      </c>
      <c r="D6149" s="7">
        <v>5006</v>
      </c>
      <c r="E6149" s="7" t="s">
        <v>25</v>
      </c>
      <c r="F6149" s="8" t="str">
        <f ca="1">IFERROR(__xludf.DUMMYFUNCTION("IF
(
C6150=""фізична особа""
,
VLOOKUP(D6150,IMPORTRANGE(""https://docs.google.com/spreadsheets/d/14Bd19lYaqBhU8_DElYkX7l4wRkHqqCUFNJY4AfY3kHU/edit?usp=sharing  #gid=0"",""фіз особи new!relations_name""),6,FALSE)
,
(IF
(
C6150=""юридична особа""
,
VLOOKUP"&amp;"(D6150,IMPORTRANGE(""https://docs.google.com/spreadsheets/d/14Bd19lYaqBhU8_DElYkX7l4wRkHqqCUFNJY4AfY3kHU/edit?usp=sharing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G6149" s="7" t="s">
        <v>10</v>
      </c>
      <c r="H6149" s="7">
        <v>666</v>
      </c>
      <c r="I6149" s="8" t="str">
        <f ca="1">IFERROR(__xludf.DUMMYFUNCTION("IF
(
G6150=""фізична особа""
,
VLOOKUP(H6150,IMPORTRANGE(""https://docs.google.com/spreadsheets/d/14Bd19lYaqBhU8_DElYkX7l4wRkHqqCUFNJY4AfY3kHU/edit?usp=sharing  #gid=0"",""фіз особи new!relations_name""),6,FALSE)
,
(IF
(
G6150=""юридична особа""
,
VLOOKUP"&amp;"(H6150,IMPORTRANGE(""https://docs.google.com/spreadsheets/d/14Bd19lYaqBhU8_DElYkX7l4wRkHqqCUFNJY4AfY3kHU/edit?usp=sharing  #gid=0"",""фіз особи new!relations_name_uo""),7,FALSE)
,
)
))"),"МЄНЯЙЛО Сергій Іванович")</f>
        <v>МЄНЯЙЛО Сергій Іванович</v>
      </c>
      <c r="J6149" s="7" t="s">
        <v>34</v>
      </c>
    </row>
    <row r="6150" spans="1:10" ht="13.2">
      <c r="A6150" s="7">
        <v>6149</v>
      </c>
      <c r="B6150" s="7">
        <v>1</v>
      </c>
      <c r="C6150" s="7" t="s">
        <v>10</v>
      </c>
      <c r="D6150" s="7">
        <v>5006</v>
      </c>
      <c r="E6150" s="7" t="s">
        <v>25</v>
      </c>
      <c r="F6150" s="8" t="str">
        <f ca="1">IFERROR(__xludf.DUMMYFUNCTION("IF
(
C6151=""фізична особа""
,
VLOOKUP(D6151,IMPORTRANGE(""https://docs.google.com/spreadsheets/d/14Bd19lYaqBhU8_DElYkX7l4wRkHqqCUFNJY4AfY3kHU/edit?usp=sharing  #gid=0"",""фіз особи new!relations_name""),6,FALSE)
,
(IF
(
C6151=""юридична особа""
,
VLOOKUP"&amp;"(D6151,IMPORTRANGE(""https://docs.google.com/spreadsheets/d/14Bd19lYaqBhU8_DElYkX7l4wRkHqqCUFNJY4AfY3kHU/edit?usp=sharing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G6150" s="7" t="s">
        <v>10</v>
      </c>
      <c r="H6150" s="7">
        <v>5003</v>
      </c>
      <c r="I6150" s="8" t="str">
        <f ca="1">IFERROR(__xludf.DUMMYFUNCTION("IF
(
G6151=""фізична особа""
,
VLOOKUP(H6151,IMPORTRANGE(""https://docs.google.com/spreadsheets/d/14Bd19lYaqBhU8_DElYkX7l4wRkHqqCUFNJY4AfY3kHU/edit?usp=sharing  #gid=0"",""фіз особи new!relations_name""),6,FALSE)
,
(IF
(
G6151=""юридична особа""
,
VLOOKUP"&amp;"(H6151,IMPORTRANGE(""https://docs.google.com/spreadsheets/d/14Bd19lYaqBhU8_DElYkX7l4wRkHqqCUFNJY4AfY3kHU/edit?usp=sharing  #gid=0"",""фіз особи new!relations_name_uo""),7,FALSE)
,
)
))"),"МЄНЯЙЛО Ірина Вартанівна")</f>
        <v>МЄНЯЙЛО Ірина Вартанівна</v>
      </c>
      <c r="J6150" s="7" t="s">
        <v>58</v>
      </c>
    </row>
    <row r="6151" spans="1:10" ht="13.2">
      <c r="A6151" s="7">
        <v>6150</v>
      </c>
      <c r="B6151" s="7">
        <v>1</v>
      </c>
      <c r="C6151" s="7" t="s">
        <v>10</v>
      </c>
      <c r="D6151" s="7">
        <v>5006</v>
      </c>
      <c r="E6151" s="7" t="s">
        <v>15</v>
      </c>
      <c r="F6151" s="8" t="str">
        <f ca="1">IFERROR(__xludf.DUMMYFUNCTION("IF
(
C6152=""фізична особа""
,
VLOOKUP(D6152,IMPORTRANGE(""https://docs.google.com/spreadsheets/d/14Bd19lYaqBhU8_DElYkX7l4wRkHqqCUFNJY4AfY3kHU/edit?usp=sharing  #gid=0"",""фіз особи new!relations_name""),6,FALSE)
,
(IF
(
C6152=""юридична особа""
,
VLOOKUP"&amp;"(D6152,IMPORTRANGE(""https://docs.google.com/spreadsheets/d/14Bd19lYaqBhU8_DElYkX7l4wRkHqqCUFNJY4AfY3kHU/edit?usp=sharing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G6151" s="7" t="s">
        <v>10</v>
      </c>
      <c r="H6151" s="7">
        <v>5004</v>
      </c>
      <c r="I6151" s="8" t="str">
        <f ca="1">IFERROR(__xludf.DUMMYFUNCTION("IF
(
G6152=""фізична особа""
,
VLOOKUP(H6152,IMPORTRANGE(""https://docs.google.com/spreadsheets/d/14Bd19lYaqBhU8_DElYkX7l4wRkHqqCUFNJY4AfY3kHU/edit?usp=sharing  #gid=0"",""фіз особи new!relations_name""),6,FALSE)
,
(IF
(
G6152=""юридична особа""
,
VLOOKUP"&amp;"(H6152,IMPORTRANGE(""https://docs.google.com/spreadsheets/d/14Bd19lYaqBhU8_DElYkX7l4wRkHqqCUFNJY4AfY3kHU/edit?usp=sharing  #gid=0"",""фіз особи new!relations_name_uo""),7,FALSE)
,
)
))"),"МЄНЯЙЛО Сергій Сергійович")</f>
        <v>МЄНЯЙЛО Сергій Сергійович</v>
      </c>
      <c r="J6151" s="7" t="s">
        <v>14</v>
      </c>
    </row>
    <row r="6152" spans="1:10" ht="13.2">
      <c r="A6152" s="7">
        <v>6151</v>
      </c>
      <c r="B6152" s="7">
        <v>1</v>
      </c>
      <c r="C6152" s="7" t="s">
        <v>10</v>
      </c>
      <c r="D6152" s="7">
        <v>5006</v>
      </c>
      <c r="E6152" s="7" t="s">
        <v>113</v>
      </c>
      <c r="F6152" s="8" t="str">
        <f ca="1">IFERROR(__xludf.DUMMYFUNCTION("IF
(
C6153=""фізична особа""
,
VLOOKUP(D6153,IMPORTRANGE(""https://docs.google.com/spreadsheets/d/14Bd19lYaqBhU8_DElYkX7l4wRkHqqCUFNJY4AfY3kHU/edit?usp=sharing  #gid=0"",""фіз особи new!relations_name""),6,FALSE)
,
(IF
(
C6153=""юридична особа""
,
VLOOKUP"&amp;"(D6153,IMPORTRANGE(""https://docs.google.com/spreadsheets/d/14Bd19lYaqBhU8_DElYkX7l4wRkHqqCUFNJY4AfY3kHU/edit?usp=sharing  #gid=0"",""фіз особи new!relations_name_uo""),7,FALSE)
,
)
))"),"МЄНЯЙЛО / УЖЕГОВА Заліна")</f>
        <v>МЄНЯЙЛО / УЖЕГОВА Заліна</v>
      </c>
      <c r="G6152" s="7" t="s">
        <v>10</v>
      </c>
      <c r="H6152" s="7">
        <v>5005</v>
      </c>
      <c r="I6152" s="8" t="str">
        <f ca="1">IFERROR(__xludf.DUMMYFUNCTION("IF
(
G6153=""фізична особа""
,
VLOOKUP(H6153,IMPORTRANGE(""https://docs.google.com/spreadsheets/d/14Bd19lYaqBhU8_DElYkX7l4wRkHqqCUFNJY4AfY3kHU/edit?usp=sharing  #gid=0"",""фіз особи new!relations_name""),6,FALSE)
,
(IF
(
G6153=""юридична особа""
,
VLOOKUP"&amp;"(H6153,IMPORTRANGE(""https://docs.google.com/spreadsheets/d/14Bd19lYaqBhU8_DElYkX7l4wRkHqqCUFNJY4AfY3kHU/edit?usp=sharing  #gid=0"",""фіз особи new!relations_name_uo""),7,FALSE)
,
)
))"),"МЄНЯЙЛО Георгій Сергійович")</f>
        <v>МЄНЯЙЛО Георгій Сергійович</v>
      </c>
      <c r="J6152" s="7" t="s">
        <v>73</v>
      </c>
    </row>
    <row r="6153" spans="1:10" ht="13.2">
      <c r="A6153" s="7">
        <v>6152</v>
      </c>
      <c r="B6153" s="7">
        <v>1</v>
      </c>
      <c r="C6153" s="7" t="s">
        <v>10</v>
      </c>
      <c r="D6153" s="7">
        <v>5007</v>
      </c>
      <c r="E6153" s="7" t="s">
        <v>25</v>
      </c>
      <c r="F6153" s="8" t="str">
        <f ca="1">IFERROR(__xludf.DUMMYFUNCTION("IF
(
C6154=""фізична особа""
,
VLOOKUP(D6154,IMPORTRANGE(""https://docs.google.com/spreadsheets/d/14Bd19lYaqBhU8_DElYkX7l4wRkHqqCUFNJY4AfY3kHU/edit?usp=sharing  #gid=0"",""фіз особи new!relations_name""),6,FALSE)
,
(IF
(
C6154=""юридична особа""
,
VLOOKUP"&amp;"(D6154,IMPORTRANGE(""https://docs.google.com/spreadsheets/d/14Bd19lYaqBhU8_DElYkX7l4wRkHqqCUFNJY4AfY3kHU/edit?usp=sharing  #gid=0"",""фіз особи new!relations_name_uo""),7,FALSE)
,
)
))"),"КАЧКАЄВА Любов Михайлівна")</f>
        <v>КАЧКАЄВА Любов Михайлівна</v>
      </c>
      <c r="G6153" s="7" t="s">
        <v>10</v>
      </c>
      <c r="H6153" s="7">
        <v>585</v>
      </c>
      <c r="I6153" s="8" t="str">
        <f ca="1">IFERROR(__xludf.DUMMYFUNCTION("IF
(
G6154=""фізична особа""
,
VLOOKUP(H6154,IMPORTRANGE(""https://docs.google.com/spreadsheets/d/14Bd19lYaqBhU8_DElYkX7l4wRkHqqCUFNJY4AfY3kHU/edit?usp=sharing  #gid=0"",""фіз особи new!relations_name""),6,FALSE)
,
(IF
(
G6154=""юридична особа""
,
VLOOKUP"&amp;"(H6154,IMPORTRANGE(""https://docs.google.com/spreadsheets/d/14Bd19lYaqBhU8_DElYkX7l4wRkHqqCUFNJY4AfY3kHU/edit?usp=sharing  #gid=0"",""фіз особи new!relations_name_uo""),7,FALSE)
,
)
))"),"КАЧКАЄВ Павло Рюрикович")</f>
        <v>КАЧКАЄВ Павло Рюрикович</v>
      </c>
      <c r="J6153" s="7" t="s">
        <v>34</v>
      </c>
    </row>
    <row r="6154" spans="1:10" ht="13.2">
      <c r="A6154" s="7">
        <v>6153</v>
      </c>
      <c r="B6154" s="7">
        <v>1</v>
      </c>
      <c r="C6154" s="7" t="s">
        <v>10</v>
      </c>
      <c r="D6154" s="7">
        <v>5009</v>
      </c>
      <c r="E6154" s="7" t="s">
        <v>13</v>
      </c>
      <c r="F6154" s="8" t="str">
        <f ca="1">IFERROR(__xludf.DUMMYFUNCTION("IF
(
C6155=""фізична особа""
,
VLOOKUP(D6155,IMPORTRANGE(""https://docs.google.com/spreadsheets/d/14Bd19lYaqBhU8_DElYkX7l4wRkHqqCUFNJY4AfY3kHU/edit?usp=sharing  #gid=0"",""фіз особи new!relations_name""),6,FALSE)
,
(IF
(
C6155=""юридична особа""
,
VLOOKUP"&amp;"(D6155,IMPORTRANGE(""https://docs.google.com/spreadsheets/d/14Bd19lYaqBhU8_DElYkX7l4wRkHqqCUFNJY4AfY3kHU/edit?usp=sharing  #gid=0"",""фіз особи new!relations_name_uo""),7,FALSE)
,
)
))"),"ТОЛСТАЯ Олександра Петрівна")</f>
        <v>ТОЛСТАЯ Олександра Петрівна</v>
      </c>
      <c r="G6154" s="7" t="s">
        <v>10</v>
      </c>
      <c r="H6154" s="7">
        <v>605</v>
      </c>
      <c r="I6154" s="8" t="str">
        <f ca="1">IFERROR(__xludf.DUMMYFUNCTION("IF
(
G6155=""фізична особа""
,
VLOOKUP(H6155,IMPORTRANGE(""https://docs.google.com/spreadsheets/d/14Bd19lYaqBhU8_DElYkX7l4wRkHqqCUFNJY4AfY3kHU/edit?usp=sharing  #gid=0"",""фіз особи new!relations_name""),6,FALSE)
,
(IF
(
G6155=""юридична особа""
,
VLOOKUP"&amp;"(H6155,IMPORTRANGE(""https://docs.google.com/spreadsheets/d/14Bd19lYaqBhU8_DElYkX7l4wRkHqqCUFNJY4AfY3kHU/edit?usp=sharing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J6154" s="7" t="s">
        <v>12</v>
      </c>
    </row>
    <row r="6155" spans="1:10" ht="13.2">
      <c r="A6155" s="7">
        <v>6154</v>
      </c>
      <c r="B6155" s="7">
        <v>1</v>
      </c>
      <c r="C6155" s="7" t="s">
        <v>10</v>
      </c>
      <c r="D6155" s="7">
        <v>5010</v>
      </c>
      <c r="E6155" s="7" t="s">
        <v>31</v>
      </c>
      <c r="F6155" s="8" t="str">
        <f ca="1">IFERROR(__xludf.DUMMYFUNCTION("IF
(
C6156=""фізична особа""
,
VLOOKUP(D6156,IMPORTRANGE(""https://docs.google.com/spreadsheets/d/14Bd19lYaqBhU8_DElYkX7l4wRkHqqCUFNJY4AfY3kHU/edit?usp=sharing  #gid=0"",""фіз особи new!relations_name""),6,FALSE)
,
(IF
(
C6156=""юридична особа""
,
VLOOKUP"&amp;"(D6156,IMPORTRANGE(""https://docs.google.com/spreadsheets/d/14Bd19lYaqBhU8_DElYkX7l4wRkHqqCUFNJY4AfY3kHU/edit?usp=sharing  #gid=0"",""фіз особи new!relations_name_uo""),7,FALSE)
,
)
))"),"ТОЛСТАЯ Наталія Олегівна")</f>
        <v>ТОЛСТАЯ Наталія Олегівна</v>
      </c>
      <c r="G6155" s="7" t="s">
        <v>10</v>
      </c>
      <c r="H6155" s="7">
        <v>605</v>
      </c>
      <c r="I6155" s="8" t="str">
        <f ca="1">IFERROR(__xludf.DUMMYFUNCTION("IF
(
G6156=""фізична особа""
,
VLOOKUP(H6156,IMPORTRANGE(""https://docs.google.com/spreadsheets/d/14Bd19lYaqBhU8_DElYkX7l4wRkHqqCUFNJY4AfY3kHU/edit?usp=sharing  #gid=0"",""фіз особи new!relations_name""),6,FALSE)
,
(IF
(
G6156=""юридична особа""
,
VLOOKUP"&amp;"(H6156,IMPORTRANGE(""https://docs.google.com/spreadsheets/d/14Bd19lYaqBhU8_DElYkX7l4wRkHqqCUFNJY4AfY3kHU/edit?usp=sharing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J6155" s="7" t="s">
        <v>18</v>
      </c>
    </row>
    <row r="6156" spans="1:10" ht="13.2">
      <c r="A6156" s="7">
        <v>6155</v>
      </c>
      <c r="B6156" s="7">
        <v>1</v>
      </c>
      <c r="C6156" s="7" t="s">
        <v>10</v>
      </c>
      <c r="D6156" s="7">
        <v>5011</v>
      </c>
      <c r="E6156" s="7" t="s">
        <v>21</v>
      </c>
      <c r="F6156" s="8" t="str">
        <f ca="1">IFERROR(__xludf.DUMMYFUNCTION("IF
(
C6157=""фізична особа""
,
VLOOKUP(D6157,IMPORTRANGE(""https://docs.google.com/spreadsheets/d/14Bd19lYaqBhU8_DElYkX7l4wRkHqqCUFNJY4AfY3kHU/edit?usp=sharing  #gid=0"",""фіз особи new!relations_name""),6,FALSE)
,
(IF
(
C6157=""юридична особа""
,
VLOOKUP"&amp;"(D6157,IMPORTRANGE(""https://docs.google.com/spreadsheets/d/14Bd19lYaqBhU8_DElYkX7l4wRkHqqCUFNJY4AfY3kHU/edit?usp=sharing  #gid=0"",""фіз особи new!relations_name_uo""),7,FALSE)
,
)
))"),"ТОЛСТАЯ Ольга Олексіївна")</f>
        <v>ТОЛСТАЯ Ольга Олексіївна</v>
      </c>
      <c r="G6156" s="7" t="s">
        <v>10</v>
      </c>
      <c r="H6156" s="7">
        <v>605</v>
      </c>
      <c r="I6156" s="8" t="str">
        <f ca="1">IFERROR(__xludf.DUMMYFUNCTION("IF
(
G6157=""фізична особа""
,
VLOOKUP(H6157,IMPORTRANGE(""https://docs.google.com/spreadsheets/d/14Bd19lYaqBhU8_DElYkX7l4wRkHqqCUFNJY4AfY3kHU/edit?usp=sharing  #gid=0"",""фіз особи new!relations_name""),6,FALSE)
,
(IF
(
G6157=""юридична особа""
,
VLOOKUP"&amp;"(H6157,IMPORTRANGE(""https://docs.google.com/spreadsheets/d/14Bd19lYaqBhU8_DElYkX7l4wRkHqqCUFNJY4AfY3kHU/edit?usp=sharing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J6156" s="7" t="s">
        <v>17</v>
      </c>
    </row>
    <row r="6157" spans="1:10" ht="13.2">
      <c r="A6157" s="7">
        <v>6156</v>
      </c>
      <c r="B6157" s="7">
        <v>1</v>
      </c>
      <c r="C6157" s="7" t="s">
        <v>10</v>
      </c>
      <c r="D6157" s="7">
        <v>5012</v>
      </c>
      <c r="E6157" s="7" t="s">
        <v>14</v>
      </c>
      <c r="F6157" s="8" t="str">
        <f ca="1">IFERROR(__xludf.DUMMYFUNCTION("IF
(
C6158=""фізична особа""
,
VLOOKUP(D6158,IMPORTRANGE(""https://docs.google.com/spreadsheets/d/14Bd19lYaqBhU8_DElYkX7l4wRkHqqCUFNJY4AfY3kHU/edit?usp=sharing  #gid=0"",""фіз особи new!relations_name""),6,FALSE)
,
(IF
(
C6158=""юридична особа""
,
VLOOKUP"&amp;"(D6158,IMPORTRANGE(""https://docs.google.com/spreadsheets/d/14Bd19lYaqBhU8_DElYkX7l4wRkHqqCUFNJY4AfY3kHU/edit?usp=sharing  #gid=0"",""фіз особи new!relations_name_uo""),7,FALSE)
,
)
))"),"ХАПОЧКІН Андрій Олексійович")</f>
        <v>ХАПОЧКІН Андрій Олексійович</v>
      </c>
      <c r="G6157" s="7" t="s">
        <v>10</v>
      </c>
      <c r="H6157" s="7">
        <v>0</v>
      </c>
      <c r="I6157" s="8" t="str">
        <f ca="1">IFERROR(__xludf.DUMMYFUNCTION("IF
(
G6158=""фізична особа""
,
VLOOKUP(H6158,IMPORTRANGE(""https://docs.google.com/spreadsheets/d/14Bd19lYaqBhU8_DElYkX7l4wRkHqqCUFNJY4AfY3kHU/edit?usp=sharing  #gid=0"",""фіз особи new!relations_name""),6,FALSE)
,
(IF
(
G6158=""юридична особа""
,
VLOOKUP"&amp;"(H6158,IMPORTRANGE(""https://docs.google.com/spreadsheets/d/14Bd19lYaqBhU8_DElYkX7l4wRkHqqCUFNJY4AfY3kHU/edit?usp=sharing  #gid=0"",""фіз особи new!relations_name_uo""),7,FALSE)
,
)
))"),"#N/A")</f>
        <v>#N/A</v>
      </c>
      <c r="J6157" s="7" t="s">
        <v>15</v>
      </c>
    </row>
    <row r="6158" spans="1:10" ht="13.2">
      <c r="A6158" s="7">
        <v>6157</v>
      </c>
      <c r="B6158" s="7">
        <v>1</v>
      </c>
      <c r="C6158" s="7" t="s">
        <v>10</v>
      </c>
      <c r="D6158" s="7">
        <v>5014</v>
      </c>
      <c r="E6158" s="7" t="s">
        <v>12</v>
      </c>
      <c r="F6158" s="8" t="str">
        <f ca="1">IFERROR(__xludf.DUMMYFUNCTION("IF
(
C6159=""фізична особа""
,
VLOOKUP(D6159,IMPORTRANGE(""https://docs.google.com/spreadsheets/d/14Bd19lYaqBhU8_DElYkX7l4wRkHqqCUFNJY4AfY3kHU/edit?usp=sharing  #gid=0"",""фіз особи new!relations_name""),6,FALSE)
,
(IF
(
C6159=""юридична особа""
,
VLOOKUP"&amp;"(D6159,IMPORTRANGE(""https://docs.google.com/spreadsheets/d/14Bd19lYaqBhU8_DElYkX7l4wRkHqqCUFNJY4AfY3kHU/edit?usp=sharing  #gid=0"",""фіз особи new!relations_name_uo""),7,FALSE)
,
)
))"),"АРТЮХОВ Андрій Вікторович")</f>
        <v>АРТЮХОВ Андрій Вікторович</v>
      </c>
      <c r="G6158" s="7" t="s">
        <v>10</v>
      </c>
      <c r="H6158" s="7">
        <v>2570</v>
      </c>
      <c r="I6158" s="8" t="str">
        <f ca="1">IFERROR(__xludf.DUMMYFUNCTION("IF
(
G6159=""фізична особа""
,
VLOOKUP(H6159,IMPORTRANGE(""https://docs.google.com/spreadsheets/d/14Bd19lYaqBhU8_DElYkX7l4wRkHqqCUFNJY4AfY3kHU/edit?usp=sharing  #gid=0"",""фіз особи new!relations_name""),6,FALSE)
,
(IF
(
G6159=""юридична особа""
,
VLOOKUP"&amp;"(H6159,IMPORTRANGE(""https://docs.google.com/spreadsheets/d/14Bd19lYaqBhU8_DElYkX7l4wRkHqqCUFNJY4AfY3kHU/edit?usp=sharing  #gid=0"",""фіз особи new!relations_name_uo""),7,FALSE)
,
)
))"),"АРТЮХОВ Дмитро Андрійович")</f>
        <v>АРТЮХОВ Дмитро Андрійович</v>
      </c>
      <c r="J6158" s="7" t="s">
        <v>17</v>
      </c>
    </row>
    <row r="6159" spans="1:10" ht="13.2">
      <c r="A6159" s="7">
        <v>6158</v>
      </c>
      <c r="B6159" s="7">
        <v>1</v>
      </c>
      <c r="C6159" s="7" t="s">
        <v>10</v>
      </c>
      <c r="D6159" s="7">
        <v>4819</v>
      </c>
      <c r="E6159" s="7" t="s">
        <v>17</v>
      </c>
      <c r="F6159" s="8" t="str">
        <f ca="1">IFERROR(__xludf.DUMMYFUNCTION("IF
(
C6160=""фізична особа""
,
VLOOKUP(D6160,IMPORTRANGE(""https://docs.google.com/spreadsheets/d/14Bd19lYaqBhU8_DElYkX7l4wRkHqqCUFNJY4AfY3kHU/edit?usp=sharing  #gid=0"",""фіз особи new!relations_name""),6,FALSE)
,
(IF
(
C6160=""юридична особа""
,
VLOOKUP"&amp;"(D6160,IMPORTRANGE(""https://docs.google.com/spreadsheets/d/14Bd19lYaqBhU8_DElYkX7l4wRkHqqCUFNJY4AfY3kHU/edit?usp=sharing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59" s="7" t="s">
        <v>10</v>
      </c>
      <c r="H6159" s="7">
        <v>0</v>
      </c>
      <c r="I6159" s="8" t="str">
        <f ca="1">IFERROR(__xludf.DUMMYFUNCTION("IF
(
G6160=""фізична особа""
,
VLOOKUP(H6160,IMPORTRANGE(""https://docs.google.com/spreadsheets/d/14Bd19lYaqBhU8_DElYkX7l4wRkHqqCUFNJY4AfY3kHU/edit?usp=sharing  #gid=0"",""фіз особи new!relations_name""),6,FALSE)
,
(IF
(
G6160=""юридична особа""
,
VLOOKUP"&amp;"(H6160,IMPORTRANGE(""https://docs.google.com/spreadsheets/d/14Bd19lYaqBhU8_DElYkX7l4wRkHqqCUFNJY4AfY3kHU/edit?usp=sharing  #gid=0"",""фіз особи new!relations_name_uo""),7,FALSE)
,
)
))"),"#N/A")</f>
        <v>#N/A</v>
      </c>
      <c r="J6159" s="7" t="s">
        <v>12</v>
      </c>
    </row>
    <row r="6160" spans="1:10" ht="13.2">
      <c r="A6160" s="7">
        <v>6159</v>
      </c>
      <c r="B6160" s="7">
        <v>1</v>
      </c>
      <c r="C6160" s="7" t="s">
        <v>10</v>
      </c>
      <c r="D6160" s="7">
        <v>4819</v>
      </c>
      <c r="E6160" s="7" t="s">
        <v>20</v>
      </c>
      <c r="F6160" s="8" t="str">
        <f ca="1">IFERROR(__xludf.DUMMYFUNCTION("IF
(
C6161=""фізична особа""
,
VLOOKUP(D6161,IMPORTRANGE(""https://docs.google.com/spreadsheets/d/14Bd19lYaqBhU8_DElYkX7l4wRkHqqCUFNJY4AfY3kHU/edit?usp=sharing  #gid=0"",""фіз особи new!relations_name""),6,FALSE)
,
(IF
(
C6161=""юридична особа""
,
VLOOKUP"&amp;"(D6161,IMPORTRANGE(""https://docs.google.com/spreadsheets/d/14Bd19lYaqBhU8_DElYkX7l4wRkHqqCUFNJY4AfY3kHU/edit?usp=sharing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0" s="7" t="s">
        <v>10</v>
      </c>
      <c r="H6160" s="7">
        <v>5018</v>
      </c>
      <c r="I6160" s="8" t="str">
        <f ca="1">IFERROR(__xludf.DUMMYFUNCTION("IF
(
G6161=""фізична особа""
,
VLOOKUP(H6161,IMPORTRANGE(""https://docs.google.com/spreadsheets/d/14Bd19lYaqBhU8_DElYkX7l4wRkHqqCUFNJY4AfY3kHU/edit?usp=sharing  #gid=0"",""фіз особи new!relations_name""),6,FALSE)
,
(IF
(
G6161=""юридична особа""
,
VLOOKUP"&amp;"(H6161,IMPORTRANGE(""https://docs.google.com/spreadsheets/d/14Bd19lYaqBhU8_DElYkX7l4wRkHqqCUFNJY4AfY3kHU/edit?usp=sharing  #gid=0"",""фіз особи new!relations_name_uo""),7,FALSE)
,
)
))"),"БРИНЦАЛОВ Володимир Олексійович")</f>
        <v>БРИНЦАЛОВ Володимир Олексійович</v>
      </c>
      <c r="J6160" s="7" t="s">
        <v>19</v>
      </c>
    </row>
    <row r="6161" spans="1:10" ht="13.2">
      <c r="A6161" s="7">
        <v>6160</v>
      </c>
      <c r="B6161" s="7">
        <v>1</v>
      </c>
      <c r="C6161" s="7" t="s">
        <v>10</v>
      </c>
      <c r="D6161" s="7">
        <v>4819</v>
      </c>
      <c r="E6161" s="7" t="s">
        <v>30</v>
      </c>
      <c r="F6161" s="8" t="str">
        <f ca="1">IFERROR(__xludf.DUMMYFUNCTION("IF
(
C6162=""фізична особа""
,
VLOOKUP(D6162,IMPORTRANGE(""https://docs.google.com/spreadsheets/d/14Bd19lYaqBhU8_DElYkX7l4wRkHqqCUFNJY4AfY3kHU/edit?usp=sharing  #gid=0"",""фіз особи new!relations_name""),6,FALSE)
,
(IF
(
C6162=""юридична особа""
,
VLOOKUP"&amp;"(D6162,IMPORTRANGE(""https://docs.google.com/spreadsheets/d/14Bd19lYaqBhU8_DElYkX7l4wRkHqqCUFNJY4AfY3kHU/edit?usp=sharing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1" s="7" t="s">
        <v>10</v>
      </c>
      <c r="H6161" s="7">
        <v>0</v>
      </c>
      <c r="I6161" s="8" t="str">
        <f ca="1">IFERROR(__xludf.DUMMYFUNCTION("IF
(
G6162=""фізична особа""
,
VLOOKUP(H6162,IMPORTRANGE(""https://docs.google.com/spreadsheets/d/14Bd19lYaqBhU8_DElYkX7l4wRkHqqCUFNJY4AfY3kHU/edit?usp=sharing  #gid=0"",""фіз особи new!relations_name""),6,FALSE)
,
(IF
(
G6162=""юридична особа""
,
VLOOKUP"&amp;"(H6162,IMPORTRANGE(""https://docs.google.com/spreadsheets/d/14Bd19lYaqBhU8_DElYkX7l4wRkHqqCUFNJY4AfY3kHU/edit?usp=sharing  #gid=0"",""фіз особи new!relations_name_uo""),7,FALSE)
,
)
))"),"#N/A")</f>
        <v>#N/A</v>
      </c>
      <c r="J6161" s="7" t="s">
        <v>30</v>
      </c>
    </row>
    <row r="6162" spans="1:10" ht="13.2">
      <c r="A6162" s="7">
        <v>6161</v>
      </c>
      <c r="B6162" s="7">
        <v>1</v>
      </c>
      <c r="C6162" s="7" t="s">
        <v>10</v>
      </c>
      <c r="D6162" s="7">
        <v>4819</v>
      </c>
      <c r="E6162" s="7" t="s">
        <v>30</v>
      </c>
      <c r="F6162" s="8" t="str">
        <f ca="1">IFERROR(__xludf.DUMMYFUNCTION("IF
(
C6163=""фізична особа""
,
VLOOKUP(D6163,IMPORTRANGE(""https://docs.google.com/spreadsheets/d/14Bd19lYaqBhU8_DElYkX7l4wRkHqqCUFNJY4AfY3kHU/edit?usp=sharing  #gid=0"",""фіз особи new!relations_name""),6,FALSE)
,
(IF
(
C6163=""юридична особа""
,
VLOOKUP"&amp;"(D6163,IMPORTRANGE(""https://docs.google.com/spreadsheets/d/14Bd19lYaqBhU8_DElYkX7l4wRkHqqCUFNJY4AfY3kHU/edit?usp=sharing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2" s="7" t="s">
        <v>10</v>
      </c>
      <c r="H6162" s="7">
        <v>517</v>
      </c>
      <c r="I6162" s="8" t="str">
        <f ca="1">IFERROR(__xludf.DUMMYFUNCTION("IF
(
G6163=""фізична особа""
,
VLOOKUP(H6163,IMPORTRANGE(""https://docs.google.com/spreadsheets/d/14Bd19lYaqBhU8_DElYkX7l4wRkHqqCUFNJY4AfY3kHU/edit?usp=sharing  #gid=0"",""фіз особи new!relations_name""),6,FALSE)
,
(IF
(
G6163=""юридична особа""
,
VLOOKUP"&amp;"(H6163,IMPORTRANGE(""https://docs.google.com/spreadsheets/d/14Bd19lYaqBhU8_DElYkX7l4wRkHqqCUFNJY4AfY3kHU/edit?usp=sharing  #gid=0"",""фіз особи new!relations_name_uo""),7,FALSE)
,
)
))"),"ВАСИЛЬЄВ Микола Іванович")</f>
        <v>ВАСИЛЬЄВ Микола Іванович</v>
      </c>
      <c r="J6162" s="7" t="s">
        <v>30</v>
      </c>
    </row>
    <row r="6163" spans="1:10" ht="13.2">
      <c r="A6163" s="7">
        <v>6162</v>
      </c>
      <c r="B6163" s="7">
        <v>1</v>
      </c>
      <c r="C6163" s="7" t="s">
        <v>10</v>
      </c>
      <c r="D6163" s="7">
        <v>4819</v>
      </c>
      <c r="E6163" s="7" t="s">
        <v>30</v>
      </c>
      <c r="F6163" s="8" t="str">
        <f ca="1">IFERROR(__xludf.DUMMYFUNCTION("IF
(
C6164=""фізична особа""
,
VLOOKUP(D6164,IMPORTRANGE(""https://docs.google.com/spreadsheets/d/14Bd19lYaqBhU8_DElYkX7l4wRkHqqCUFNJY4AfY3kHU/edit?usp=sharing  #gid=0"",""фіз особи new!relations_name""),6,FALSE)
,
(IF
(
C6164=""юридична особа""
,
VLOOKUP"&amp;"(D6164,IMPORTRANGE(""https://docs.google.com/spreadsheets/d/14Bd19lYaqBhU8_DElYkX7l4wRkHqqCUFNJY4AfY3kHU/edit?usp=sharing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3" s="7" t="s">
        <v>10</v>
      </c>
      <c r="H6163" s="7">
        <v>0</v>
      </c>
      <c r="I6163" s="8" t="str">
        <f ca="1">IFERROR(__xludf.DUMMYFUNCTION("IF
(
G6164=""фізична особа""
,
VLOOKUP(H6164,IMPORTRANGE(""https://docs.google.com/spreadsheets/d/14Bd19lYaqBhU8_DElYkX7l4wRkHqqCUFNJY4AfY3kHU/edit?usp=sharing  #gid=0"",""фіз особи new!relations_name""),6,FALSE)
,
(IF
(
G6164=""юридична особа""
,
VLOOKUP"&amp;"(H6164,IMPORTRANGE(""https://docs.google.com/spreadsheets/d/14Bd19lYaqBhU8_DElYkX7l4wRkHqqCUFNJY4AfY3kHU/edit?usp=sharing  #gid=0"",""фіз особи new!relations_name_uo""),7,FALSE)
,
)
))"),"#N/A")</f>
        <v>#N/A</v>
      </c>
      <c r="J6163" s="7" t="s">
        <v>30</v>
      </c>
    </row>
    <row r="6164" spans="1:10" ht="13.2">
      <c r="A6164" s="7">
        <v>6163</v>
      </c>
      <c r="B6164" s="7">
        <v>1</v>
      </c>
      <c r="C6164" s="7" t="s">
        <v>10</v>
      </c>
      <c r="D6164" s="7">
        <v>4819</v>
      </c>
      <c r="E6164" s="7" t="s">
        <v>30</v>
      </c>
      <c r="F6164" s="8" t="str">
        <f ca="1">IFERROR(__xludf.DUMMYFUNCTION("IF
(
C6165=""фізична особа""
,
VLOOKUP(D6165,IMPORTRANGE(""https://docs.google.com/spreadsheets/d/14Bd19lYaqBhU8_DElYkX7l4wRkHqqCUFNJY4AfY3kHU/edit?usp=sharing  #gid=0"",""фіз особи new!relations_name""),6,FALSE)
,
(IF
(
C6165=""юридична особа""
,
VLOOKUP"&amp;"(D6165,IMPORTRANGE(""https://docs.google.com/spreadsheets/d/14Bd19lYaqBhU8_DElYkX7l4wRkHqqCUFNJY4AfY3kHU/edit?usp=sharing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4" s="7" t="s">
        <v>10</v>
      </c>
      <c r="H6164" s="7">
        <v>492</v>
      </c>
      <c r="I6164" s="8" t="str">
        <f ca="1">IFERROR(__xludf.DUMMYFUNCTION("IF
(
G6165=""фізична особа""
,
VLOOKUP(H6165,IMPORTRANGE(""https://docs.google.com/spreadsheets/d/14Bd19lYaqBhU8_DElYkX7l4wRkHqqCUFNJY4AfY3kHU/edit?usp=sharing  #gid=0"",""фіз особи new!relations_name""),6,FALSE)
,
(IF
(
G6165=""юридична особа""
,
VLOOKUP"&amp;"(H6165,IMPORTRANGE(""https://docs.google.com/spreadsheets/d/14Bd19lYaqBhU8_DElYkX7l4wRkHqqCUFNJY4AfY3kHU/edit?usp=sharing  #gid=0"",""фіз особи new!relations_name_uo""),7,FALSE)
,
)
))"),"ЧАПЛІН Микита Юрійович")</f>
        <v>ЧАПЛІН Микита Юрійович</v>
      </c>
      <c r="J6164" s="7" t="s">
        <v>30</v>
      </c>
    </row>
    <row r="6165" spans="1:10" ht="13.2">
      <c r="A6165" s="7">
        <v>6164</v>
      </c>
      <c r="B6165" s="7">
        <v>1</v>
      </c>
      <c r="C6165" s="7" t="s">
        <v>10</v>
      </c>
      <c r="D6165" s="7">
        <v>4819</v>
      </c>
      <c r="E6165" s="7" t="s">
        <v>30</v>
      </c>
      <c r="F6165" s="8" t="str">
        <f ca="1">IFERROR(__xludf.DUMMYFUNCTION("IF
(
C6166=""фізична особа""
,
VLOOKUP(D6166,IMPORTRANGE(""https://docs.google.com/spreadsheets/d/14Bd19lYaqBhU8_DElYkX7l4wRkHqqCUFNJY4AfY3kHU/edit?usp=sharing  #gid=0"",""фіз особи new!relations_name""),6,FALSE)
,
(IF
(
C6166=""юридична особа""
,
VLOOKUP"&amp;"(D6166,IMPORTRANGE(""https://docs.google.com/spreadsheets/d/14Bd19lYaqBhU8_DElYkX7l4wRkHqqCUFNJY4AfY3kHU/edit?usp=sharing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5" s="7" t="s">
        <v>10</v>
      </c>
      <c r="H6165" s="7">
        <v>0</v>
      </c>
      <c r="I6165" s="8" t="str">
        <f ca="1">IFERROR(__xludf.DUMMYFUNCTION("IF
(
G6166=""фізична особа""
,
VLOOKUP(H6166,IMPORTRANGE(""https://docs.google.com/spreadsheets/d/14Bd19lYaqBhU8_DElYkX7l4wRkHqqCUFNJY4AfY3kHU/edit?usp=sharing  #gid=0"",""фіз особи new!relations_name""),6,FALSE)
,
(IF
(
G6166=""юридична особа""
,
VLOOKUP"&amp;"(H6166,IMPORTRANGE(""https://docs.google.com/spreadsheets/d/14Bd19lYaqBhU8_DElYkX7l4wRkHqqCUFNJY4AfY3kHU/edit?usp=sharing  #gid=0"",""фіз особи new!relations_name_uo""),7,FALSE)
,
)
))"),"#N/A")</f>
        <v>#N/A</v>
      </c>
      <c r="J6165" s="7" t="s">
        <v>30</v>
      </c>
    </row>
    <row r="6166" spans="1:10" ht="13.2">
      <c r="A6166" s="7">
        <v>6165</v>
      </c>
      <c r="B6166" s="7">
        <v>1</v>
      </c>
      <c r="C6166" s="7" t="s">
        <v>10</v>
      </c>
      <c r="D6166" s="7">
        <v>4819</v>
      </c>
      <c r="E6166" s="7" t="s">
        <v>30</v>
      </c>
      <c r="F6166" s="8" t="str">
        <f ca="1">IFERROR(__xludf.DUMMYFUNCTION("IF
(
C6167=""фізична особа""
,
VLOOKUP(D6167,IMPORTRANGE(""https://docs.google.com/spreadsheets/d/14Bd19lYaqBhU8_DElYkX7l4wRkHqqCUFNJY4AfY3kHU/edit?usp=sharing  #gid=0"",""фіз особи new!relations_name""),6,FALSE)
,
(IF
(
C6167=""юридична особа""
,
VLOOKUP"&amp;"(D6167,IMPORTRANGE(""https://docs.google.com/spreadsheets/d/14Bd19lYaqBhU8_DElYkX7l4wRkHqqCUFNJY4AfY3kHU/edit?usp=sharing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G6166" s="7" t="s">
        <v>10</v>
      </c>
      <c r="H6166" s="7">
        <v>0</v>
      </c>
      <c r="I6166" s="8" t="str">
        <f ca="1">IFERROR(__xludf.DUMMYFUNCTION("IF
(
G6167=""фізична особа""
,
VLOOKUP(H6167,IMPORTRANGE(""https://docs.google.com/spreadsheets/d/14Bd19lYaqBhU8_DElYkX7l4wRkHqqCUFNJY4AfY3kHU/edit?usp=sharing  #gid=0"",""фіз особи new!relations_name""),6,FALSE)
,
(IF
(
G6167=""юридична особа""
,
VLOOKUP"&amp;"(H6167,IMPORTRANGE(""https://docs.google.com/spreadsheets/d/14Bd19lYaqBhU8_DElYkX7l4wRkHqqCUFNJY4AfY3kHU/edit?usp=sharing  #gid=0"",""фіз особи new!relations_name_uo""),7,FALSE)
,
)
))"),"#N/A")</f>
        <v>#N/A</v>
      </c>
      <c r="J6166" s="7" t="s">
        <v>30</v>
      </c>
    </row>
    <row r="6167" spans="1:10" ht="13.2">
      <c r="A6167" s="7">
        <v>6166</v>
      </c>
      <c r="B6167" s="7">
        <v>1</v>
      </c>
      <c r="C6167" s="7" t="s">
        <v>10</v>
      </c>
      <c r="D6167" s="7">
        <v>5018</v>
      </c>
      <c r="E6167" s="7" t="s">
        <v>19</v>
      </c>
      <c r="F6167" s="8" t="str">
        <f ca="1">IFERROR(__xludf.DUMMYFUNCTION("IF
(
C6168=""фізична особа""
,
VLOOKUP(D6168,IMPORTRANGE(""https://docs.google.com/spreadsheets/d/14Bd19lYaqBhU8_DElYkX7l4wRkHqqCUFNJY4AfY3kHU/edit?usp=sharing  #gid=0"",""фіз особи new!relations_name""),6,FALSE)
,
(IF
(
C6168=""юридична особа""
,
VLOOKUP"&amp;"(D6168,IMPORTRANGE(""https://docs.google.com/spreadsheets/d/14Bd19lYaqBhU8_DElYkX7l4wRkHqqCUFNJY4AfY3kHU/edit?usp=sharing  #gid=0"",""фіз особи new!relations_name_uo""),7,FALSE)
,
)
))"),"БРИНЦАЛОВ Володимир Олексійович")</f>
        <v>БРИНЦАЛОВ Володимир Олексійович</v>
      </c>
      <c r="G6167" s="7" t="s">
        <v>10</v>
      </c>
      <c r="H6167" s="7">
        <v>5017</v>
      </c>
      <c r="I6167" s="8" t="str">
        <f ca="1">IFERROR(__xludf.DUMMYFUNCTION("IF
(
G6168=""фізична особа""
,
VLOOKUP(H6168,IMPORTRANGE(""https://docs.google.com/spreadsheets/d/14Bd19lYaqBhU8_DElYkX7l4wRkHqqCUFNJY4AfY3kHU/edit?usp=sharing  #gid=0"",""фіз особи new!relations_name""),6,FALSE)
,
(IF
(
G6168=""юридична особа""
,
VLOOKUP"&amp;"(H6168,IMPORTRANGE(""https://docs.google.com/spreadsheets/d/14Bd19lYaqBhU8_DElYkX7l4wRkHqqCUFNJY4AfY3kHU/edit?usp=sharing  #gid=0"",""фіз особи new!relations_name_uo""),7,FALSE)
,
)
))"),"БРИНЦАЛОВ Ігор Юрійович")</f>
        <v>БРИНЦАЛОВ Ігор Юрійович</v>
      </c>
      <c r="J6167" s="7" t="s">
        <v>20</v>
      </c>
    </row>
    <row r="6168" spans="1:10" ht="13.2">
      <c r="A6168" s="7">
        <v>6167</v>
      </c>
      <c r="B6168" s="7">
        <v>1</v>
      </c>
      <c r="C6168" s="7" t="s">
        <v>10</v>
      </c>
      <c r="D6168" s="7">
        <v>5021</v>
      </c>
      <c r="E6168" s="7" t="s">
        <v>15</v>
      </c>
      <c r="F6168" s="8" t="str">
        <f ca="1">IFERROR(__xludf.DUMMYFUNCTION("IF
(
C6169=""фізична особа""
,
VLOOKUP(D6169,IMPORTRANGE(""https://docs.google.com/spreadsheets/d/14Bd19lYaqBhU8_DElYkX7l4wRkHqqCUFNJY4AfY3kHU/edit?usp=sharing  #gid=0"",""фіз особи new!relations_name""),6,FALSE)
,
(IF
(
C6169=""юридична особа""
,
VLOOKUP"&amp;"(D6169,IMPORTRANGE(""https://docs.google.com/spreadsheets/d/14Bd19lYaqBhU8_DElYkX7l4wRkHqqCUFNJY4AfY3kHU/edit?usp=sharing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68" s="7" t="s">
        <v>10</v>
      </c>
      <c r="H6168" s="7">
        <v>2505</v>
      </c>
      <c r="I6168" s="8" t="str">
        <f ca="1">IFERROR(__xludf.DUMMYFUNCTION("IF
(
G6169=""фізична особа""
,
VLOOKUP(H6169,IMPORTRANGE(""https://docs.google.com/spreadsheets/d/14Bd19lYaqBhU8_DElYkX7l4wRkHqqCUFNJY4AfY3kHU/edit?usp=sharing  #gid=0"",""фіз особи new!relations_name""),6,FALSE)
,
(IF
(
G6169=""юридична особа""
,
VLOOKUP"&amp;"(H6169,IMPORTRANGE(""https://docs.google.com/spreadsheets/d/14Bd19lYaqBhU8_DElYkX7l4wRkHqqCUFNJY4AfY3kHU/edit?usp=sharing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J6168" s="7" t="s">
        <v>14</v>
      </c>
    </row>
    <row r="6169" spans="1:10" ht="13.2">
      <c r="A6169" s="7">
        <v>6168</v>
      </c>
      <c r="B6169" s="7">
        <v>1</v>
      </c>
      <c r="C6169" s="7" t="s">
        <v>10</v>
      </c>
      <c r="D6169" s="7">
        <v>5021</v>
      </c>
      <c r="E6169" s="7" t="s">
        <v>21</v>
      </c>
      <c r="F6169" s="8" t="str">
        <f ca="1">IFERROR(__xludf.DUMMYFUNCTION("IF
(
C6170=""фізична особа""
,
VLOOKUP(D6170,IMPORTRANGE(""https://docs.google.com/spreadsheets/d/14Bd19lYaqBhU8_DElYkX7l4wRkHqqCUFNJY4AfY3kHU/edit?usp=sharing  #gid=0"",""фіз особи new!relations_name""),6,FALSE)
,
(IF
(
C6170=""юридична особа""
,
VLOOKUP"&amp;"(D6170,IMPORTRANGE(""https://docs.google.com/spreadsheets/d/14Bd19lYaqBhU8_DElYkX7l4wRkHqqCUFNJY4AfY3kHU/edit?usp=sharing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69" s="7" t="s">
        <v>10</v>
      </c>
      <c r="H6169" s="7">
        <v>23485</v>
      </c>
      <c r="I6169" s="8" t="str">
        <f ca="1">IFERROR(__xludf.DUMMYFUNCTION("IF
(
G6170=""фізична особа""
,
VLOOKUP(H6170,IMPORTRANGE(""https://docs.google.com/spreadsheets/d/14Bd19lYaqBhU8_DElYkX7l4wRkHqqCUFNJY4AfY3kHU/edit?usp=sharing  #gid=0"",""фіз особи new!relations_name""),6,FALSE)
,
(IF
(
G6170=""юридична особа""
,
VLOOKUP"&amp;"(H6170,IMPORTRANGE(""https://docs.google.com/spreadsheets/d/14Bd19lYaqBhU8_DElYkX7l4wRkHqqCUFNJY4AfY3kHU/edit?usp=sharing  #gid=0"",""фіз особи new!relations_name_uo""),7,FALSE)
,
)
))"),"КОКОВА Віолета Казбеківна")</f>
        <v>КОКОВА Віолета Казбеківна</v>
      </c>
      <c r="J6169" s="7" t="s">
        <v>13</v>
      </c>
    </row>
    <row r="6170" spans="1:10" ht="13.2">
      <c r="A6170" s="7">
        <v>6169</v>
      </c>
      <c r="B6170" s="7">
        <v>1</v>
      </c>
      <c r="C6170" s="7" t="s">
        <v>10</v>
      </c>
      <c r="D6170" s="7">
        <v>5021</v>
      </c>
      <c r="E6170" s="7" t="s">
        <v>45</v>
      </c>
      <c r="F6170" s="8" t="str">
        <f ca="1">IFERROR(__xludf.DUMMYFUNCTION("IF
(
C6171=""фізична особа""
,
VLOOKUP(D6171,IMPORTRANGE(""https://docs.google.com/spreadsheets/d/14Bd19lYaqBhU8_DElYkX7l4wRkHqqCUFNJY4AfY3kHU/edit?usp=sharing  #gid=0"",""фіз особи new!relations_name""),6,FALSE)
,
(IF
(
C6171=""юридична особа""
,
VLOOKUP"&amp;"(D6171,IMPORTRANGE(""https://docs.google.com/spreadsheets/d/14Bd19lYaqBhU8_DElYkX7l4wRkHqqCUFNJY4AfY3kHU/edit?usp=sharing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0" s="7" t="s">
        <v>10</v>
      </c>
      <c r="H6170" s="7">
        <v>23488</v>
      </c>
      <c r="I6170" s="8" t="str">
        <f ca="1">IFERROR(__xludf.DUMMYFUNCTION("IF
(
G6171=""фізична особа""
,
VLOOKUP(H6171,IMPORTRANGE(""https://docs.google.com/spreadsheets/d/14Bd19lYaqBhU8_DElYkX7l4wRkHqqCUFNJY4AfY3kHU/edit?usp=sharing  #gid=0"",""фіз особи new!relations_name""),6,FALSE)
,
(IF
(
G6171=""юридична особа""
,
VLOOKUP"&amp;"(H6171,IMPORTRANGE(""https://docs.google.com/spreadsheets/d/14Bd19lYaqBhU8_DElYkX7l4wRkHqqCUFNJY4AfY3kHU/edit?usp=sharing  #gid=0"",""фіз особи new!relations_name_uo""),7,FALSE)
,
)
))"),"ДАДОВ Тимур Едуардович")</f>
        <v>ДАДОВ Тимур Едуардович</v>
      </c>
      <c r="J6170" s="7" t="s">
        <v>20</v>
      </c>
    </row>
    <row r="6171" spans="1:10" ht="13.2">
      <c r="A6171" s="7">
        <v>6170</v>
      </c>
      <c r="B6171" s="7">
        <v>1</v>
      </c>
      <c r="C6171" s="7" t="s">
        <v>10</v>
      </c>
      <c r="D6171" s="7">
        <v>5021</v>
      </c>
      <c r="E6171" s="7" t="s">
        <v>45</v>
      </c>
      <c r="F6171" s="8" t="str">
        <f ca="1">IFERROR(__xludf.DUMMYFUNCTION("IF
(
C6172=""фізична особа""
,
VLOOKUP(D6172,IMPORTRANGE(""https://docs.google.com/spreadsheets/d/14Bd19lYaqBhU8_DElYkX7l4wRkHqqCUFNJY4AfY3kHU/edit?usp=sharing  #gid=0"",""фіз особи new!relations_name""),6,FALSE)
,
(IF
(
C6172=""юридична особа""
,
VLOOKUP"&amp;"(D6172,IMPORTRANGE(""https://docs.google.com/spreadsheets/d/14Bd19lYaqBhU8_DElYkX7l4wRkHqqCUFNJY4AfY3kHU/edit?usp=sharing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1" s="7" t="s">
        <v>10</v>
      </c>
      <c r="H6171" s="7">
        <v>23486</v>
      </c>
      <c r="I6171" s="8" t="str">
        <f ca="1">IFERROR(__xludf.DUMMYFUNCTION("IF
(
G6172=""фізична особа""
,
VLOOKUP(H6172,IMPORTRANGE(""https://docs.google.com/spreadsheets/d/14Bd19lYaqBhU8_DElYkX7l4wRkHqqCUFNJY4AfY3kHU/edit?usp=sharing  #gid=0"",""фіз особи new!relations_name""),6,FALSE)
,
(IF
(
G6172=""юридична особа""
,
VLOOKUP"&amp;"(H6172,IMPORTRANGE(""https://docs.google.com/spreadsheets/d/14Bd19lYaqBhU8_DElYkX7l4wRkHqqCUFNJY4AfY3kHU/edit?usp=sharing  #gid=0"",""фіз особи new!relations_name_uo""),7,FALSE)
,
)
))"),"ДАДОВА Фаріда Едуардівна")</f>
        <v>ДАДОВА Фаріда Едуардівна</v>
      </c>
      <c r="J6171" s="7" t="s">
        <v>22</v>
      </c>
    </row>
    <row r="6172" spans="1:10" ht="13.2">
      <c r="A6172" s="7">
        <v>6171</v>
      </c>
      <c r="B6172" s="7">
        <v>1</v>
      </c>
      <c r="C6172" s="7" t="s">
        <v>10</v>
      </c>
      <c r="D6172" s="7">
        <v>5021</v>
      </c>
      <c r="E6172" s="7" t="s">
        <v>30</v>
      </c>
      <c r="F6172" s="8" t="str">
        <f ca="1">IFERROR(__xludf.DUMMYFUNCTION("IF
(
C6173=""фізична особа""
,
VLOOKUP(D6173,IMPORTRANGE(""https://docs.google.com/spreadsheets/d/14Bd19lYaqBhU8_DElYkX7l4wRkHqqCUFNJY4AfY3kHU/edit?usp=sharing  #gid=0"",""фіз особи new!relations_name""),6,FALSE)
,
(IF
(
C6173=""юридична особа""
,
VLOOKUP"&amp;"(D6173,IMPORTRANGE(""https://docs.google.com/spreadsheets/d/14Bd19lYaqBhU8_DElYkX7l4wRkHqqCUFNJY4AfY3kHU/edit?usp=sharing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2" s="7" t="s">
        <v>10</v>
      </c>
      <c r="H6172" s="7">
        <v>23549</v>
      </c>
      <c r="I6172" s="8" t="str">
        <f ca="1">IFERROR(__xludf.DUMMYFUNCTION("IF
(
G6173=""фізична особа""
,
VLOOKUP(H6173,IMPORTRANGE(""https://docs.google.com/spreadsheets/d/14Bd19lYaqBhU8_DElYkX7l4wRkHqqCUFNJY4AfY3kHU/edit?usp=sharing  #gid=0"",""фіз особи new!relations_name""),6,FALSE)
,
(IF
(
G6173=""юридична особа""
,
VLOOKUP"&amp;"(H6173,IMPORTRANGE(""https://docs.google.com/spreadsheets/d/14Bd19lYaqBhU8_DElYkX7l4wRkHqqCUFNJY4AfY3kHU/edit?usp=sharing  #gid=0"",""фіз особи new!relations_name_uo""),7,FALSE)
,
)
))"),"БІТОКОВ Анзор Вілорович")</f>
        <v>БІТОКОВ Анзор Вілорович</v>
      </c>
      <c r="J6172" s="7" t="s">
        <v>30</v>
      </c>
    </row>
    <row r="6173" spans="1:10" ht="13.2">
      <c r="A6173" s="7">
        <v>6172</v>
      </c>
      <c r="B6173" s="7">
        <v>1</v>
      </c>
      <c r="C6173" s="7" t="s">
        <v>10</v>
      </c>
      <c r="D6173" s="7">
        <v>5021</v>
      </c>
      <c r="E6173" s="7" t="s">
        <v>30</v>
      </c>
      <c r="F6173" s="8" t="str">
        <f ca="1">IFERROR(__xludf.DUMMYFUNCTION("IF
(
C6174=""фізична особа""
,
VLOOKUP(D6174,IMPORTRANGE(""https://docs.google.com/spreadsheets/d/14Bd19lYaqBhU8_DElYkX7l4wRkHqqCUFNJY4AfY3kHU/edit?usp=sharing  #gid=0"",""фіз особи new!relations_name""),6,FALSE)
,
(IF
(
C6174=""юридична особа""
,
VLOOKUP"&amp;"(D6174,IMPORTRANGE(""https://docs.google.com/spreadsheets/d/14Bd19lYaqBhU8_DElYkX7l4wRkHqqCUFNJY4AfY3kHU/edit?usp=sharing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3" s="7" t="s">
        <v>10</v>
      </c>
      <c r="H6173" s="7">
        <v>0</v>
      </c>
      <c r="I6173" s="8" t="str">
        <f ca="1">IFERROR(__xludf.DUMMYFUNCTION("IF
(
G6174=""фізична особа""
,
VLOOKUP(H6174,IMPORTRANGE(""https://docs.google.com/spreadsheets/d/14Bd19lYaqBhU8_DElYkX7l4wRkHqqCUFNJY4AfY3kHU/edit?usp=sharing  #gid=0"",""фіз особи new!relations_name""),6,FALSE)
,
(IF
(
G6174=""юридична особа""
,
VLOOKUP"&amp;"(H6174,IMPORTRANGE(""https://docs.google.com/spreadsheets/d/14Bd19lYaqBhU8_DElYkX7l4wRkHqqCUFNJY4AfY3kHU/edit?usp=sharing  #gid=0"",""фіз особи new!relations_name_uo""),7,FALSE)
,
)
))"),"#N/A")</f>
        <v>#N/A</v>
      </c>
      <c r="J6173" s="7" t="s">
        <v>30</v>
      </c>
    </row>
    <row r="6174" spans="1:10" ht="13.2">
      <c r="A6174" s="7">
        <v>6173</v>
      </c>
      <c r="B6174" s="7">
        <v>1</v>
      </c>
      <c r="C6174" s="7" t="s">
        <v>10</v>
      </c>
      <c r="D6174" s="7">
        <v>5021</v>
      </c>
      <c r="E6174" s="7" t="s">
        <v>30</v>
      </c>
      <c r="F6174" s="8" t="str">
        <f ca="1">IFERROR(__xludf.DUMMYFUNCTION("IF
(
C6175=""фізична особа""
,
VLOOKUP(D6175,IMPORTRANGE(""https://docs.google.com/spreadsheets/d/14Bd19lYaqBhU8_DElYkX7l4wRkHqqCUFNJY4AfY3kHU/edit?usp=sharing  #gid=0"",""фіз особи new!relations_name""),6,FALSE)
,
(IF
(
C6175=""юридична особа""
,
VLOOKUP"&amp;"(D6175,IMPORTRANGE(""https://docs.google.com/spreadsheets/d/14Bd19lYaqBhU8_DElYkX7l4wRkHqqCUFNJY4AfY3kHU/edit?usp=sharing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4" s="7" t="s">
        <v>10</v>
      </c>
      <c r="H6174" s="7">
        <v>23489</v>
      </c>
      <c r="I6174" s="8" t="str">
        <f ca="1">IFERROR(__xludf.DUMMYFUNCTION("IF
(
G6175=""фізична особа""
,
VLOOKUP(H6175,IMPORTRANGE(""https://docs.google.com/spreadsheets/d/14Bd19lYaqBhU8_DElYkX7l4wRkHqqCUFNJY4AfY3kHU/edit?usp=sharing  #gid=0"",""фіз особи new!relations_name""),6,FALSE)
,
(IF
(
G6175=""юридична особа""
,
VLOOKUP"&amp;"(H6175,IMPORTRANGE(""https://docs.google.com/spreadsheets/d/14Bd19lYaqBhU8_DElYkX7l4wRkHqqCUFNJY4AfY3kHU/edit?usp=sharing  #gid=0"",""фіз особи new!relations_name_uo""),7,FALSE)
,
)
))"),"ДАДОВ Едуард Султанович")</f>
        <v>ДАДОВ Едуард Султанович</v>
      </c>
      <c r="J6174" s="7" t="s">
        <v>30</v>
      </c>
    </row>
    <row r="6175" spans="1:10" ht="13.2">
      <c r="A6175" s="7">
        <v>6174</v>
      </c>
      <c r="B6175" s="7">
        <v>1</v>
      </c>
      <c r="C6175" s="7" t="s">
        <v>10</v>
      </c>
      <c r="D6175" s="7">
        <v>5021</v>
      </c>
      <c r="E6175" s="7" t="s">
        <v>45</v>
      </c>
      <c r="F6175" s="8" t="str">
        <f ca="1">IFERROR(__xludf.DUMMYFUNCTION("IF
(
C6176=""фізична особа""
,
VLOOKUP(D6176,IMPORTRANGE(""https://docs.google.com/spreadsheets/d/14Bd19lYaqBhU8_DElYkX7l4wRkHqqCUFNJY4AfY3kHU/edit?usp=sharing  #gid=0"",""фіз особи new!relations_name""),6,FALSE)
,
(IF
(
C6176=""юридична особа""
,
VLOOKUP"&amp;"(D6176,IMPORTRANGE(""https://docs.google.com/spreadsheets/d/14Bd19lYaqBhU8_DElYkX7l4wRkHqqCUFNJY4AfY3kHU/edit?usp=sharing  #gid=0"",""фіз особи new!relations_name_uo""),7,FALSE)
,
)
))"),"КОКОВА / ГЯТОВА Ліана Русланівна")</f>
        <v>КОКОВА / ГЯТОВА Ліана Русланівна</v>
      </c>
      <c r="G6175" s="7" t="s">
        <v>10</v>
      </c>
      <c r="H6175" s="7">
        <v>23487</v>
      </c>
      <c r="I6175" s="8" t="str">
        <f ca="1">IFERROR(__xludf.DUMMYFUNCTION("IF
(
G6176=""фізична особа""
,
VLOOKUP(H6176,IMPORTRANGE(""https://docs.google.com/spreadsheets/d/14Bd19lYaqBhU8_DElYkX7l4wRkHqqCUFNJY4AfY3kHU/edit?usp=sharing  #gid=0"",""фіз особи new!relations_name""),6,FALSE)
,
(IF
(
G6176=""юридична особа""
,
VLOOKUP"&amp;"(H6176,IMPORTRANGE(""https://docs.google.com/spreadsheets/d/14Bd19lYaqBhU8_DElYkX7l4wRkHqqCUFNJY4AfY3kHU/edit?usp=sharing  #gid=0"",""фіз особи new!relations_name_uo""),7,FALSE)
,
)
))"),"ДАДОВ Ельдар Едуардович")</f>
        <v>ДАДОВ Ельдар Едуардович</v>
      </c>
      <c r="J6175" s="7" t="s">
        <v>20</v>
      </c>
    </row>
    <row r="6176" spans="1:10" ht="13.2">
      <c r="A6176" s="7">
        <v>6175</v>
      </c>
      <c r="B6176" s="7">
        <v>1</v>
      </c>
      <c r="C6176" s="7" t="s">
        <v>10</v>
      </c>
      <c r="D6176" s="7">
        <v>5022</v>
      </c>
      <c r="E6176" s="7" t="s">
        <v>31</v>
      </c>
      <c r="F6176" s="8" t="str">
        <f ca="1">IFERROR(__xludf.DUMMYFUNCTION("IF
(
C6177=""фізична особа""
,
VLOOKUP(D6177,IMPORTRANGE(""https://docs.google.com/spreadsheets/d/14Bd19lYaqBhU8_DElYkX7l4wRkHqqCUFNJY4AfY3kHU/edit?usp=sharing  #gid=0"",""фіз особи new!relations_name""),6,FALSE)
,
(IF
(
C6177=""юридична особа""
,
VLOOKUP"&amp;"(D6177,IMPORTRANGE(""https://docs.google.com/spreadsheets/d/14Bd19lYaqBhU8_DElYkX7l4wRkHqqCUFNJY4AfY3kHU/edit?usp=sharing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76" s="7" t="s">
        <v>10</v>
      </c>
      <c r="H6176" s="7">
        <v>2505</v>
      </c>
      <c r="I6176" s="8" t="str">
        <f ca="1">IFERROR(__xludf.DUMMYFUNCTION("IF
(
G6177=""фізична особа""
,
VLOOKUP(H6177,IMPORTRANGE(""https://docs.google.com/spreadsheets/d/14Bd19lYaqBhU8_DElYkX7l4wRkHqqCUFNJY4AfY3kHU/edit?usp=sharing  #gid=0"",""фіз особи new!relations_name""),6,FALSE)
,
(IF
(
G6177=""юридична особа""
,
VLOOKUP"&amp;"(H6177,IMPORTRANGE(""https://docs.google.com/spreadsheets/d/14Bd19lYaqBhU8_DElYkX7l4wRkHqqCUFNJY4AfY3kHU/edit?usp=sharing  #gid=0"",""фіз особи new!relations_name_uo""),7,FALSE)
,
)
))"),"КОКОВ Казбек Валерійович")</f>
        <v>КОКОВ Казбек Валерійович</v>
      </c>
      <c r="J6176" s="7" t="s">
        <v>18</v>
      </c>
    </row>
    <row r="6177" spans="1:10" ht="13.2">
      <c r="A6177" s="7">
        <v>6176</v>
      </c>
      <c r="B6177" s="7">
        <v>1</v>
      </c>
      <c r="C6177" s="7" t="s">
        <v>10</v>
      </c>
      <c r="D6177" s="7">
        <v>5022</v>
      </c>
      <c r="E6177" s="7" t="s">
        <v>15</v>
      </c>
      <c r="F6177" s="8" t="str">
        <f ca="1">IFERROR(__xludf.DUMMYFUNCTION("IF
(
C6178=""фізична особа""
,
VLOOKUP(D6178,IMPORTRANGE(""https://docs.google.com/spreadsheets/d/14Bd19lYaqBhU8_DElYkX7l4wRkHqqCUFNJY4AfY3kHU/edit?usp=sharing  #gid=0"",""фіз особи new!relations_name""),6,FALSE)
,
(IF
(
C6178=""юридична особа""
,
VLOOKUP"&amp;"(D6178,IMPORTRANGE(""https://docs.google.com/spreadsheets/d/14Bd19lYaqBhU8_DElYkX7l4wRkHqqCUFNJY4AfY3kHU/edit?usp=sharing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77" s="7" t="s">
        <v>10</v>
      </c>
      <c r="H6177" s="7">
        <v>23489</v>
      </c>
      <c r="I6177" s="8" t="str">
        <f ca="1">IFERROR(__xludf.DUMMYFUNCTION("IF
(
G6178=""фізична особа""
,
VLOOKUP(H6178,IMPORTRANGE(""https://docs.google.com/spreadsheets/d/14Bd19lYaqBhU8_DElYkX7l4wRkHqqCUFNJY4AfY3kHU/edit?usp=sharing  #gid=0"",""фіз особи new!relations_name""),6,FALSE)
,
(IF
(
G6178=""юридична особа""
,
VLOOKUP"&amp;"(H6178,IMPORTRANGE(""https://docs.google.com/spreadsheets/d/14Bd19lYaqBhU8_DElYkX7l4wRkHqqCUFNJY4AfY3kHU/edit?usp=sharing  #gid=0"",""фіз особи new!relations_name_uo""),7,FALSE)
,
)
))"),"ДАДОВ Едуард Султанович")</f>
        <v>ДАДОВ Едуард Султанович</v>
      </c>
      <c r="J6177" s="7" t="s">
        <v>14</v>
      </c>
    </row>
    <row r="6178" spans="1:10" ht="13.2">
      <c r="A6178" s="7">
        <v>6177</v>
      </c>
      <c r="B6178" s="7">
        <v>1</v>
      </c>
      <c r="C6178" s="7" t="s">
        <v>10</v>
      </c>
      <c r="D6178" s="7">
        <v>5022</v>
      </c>
      <c r="E6178" s="7" t="s">
        <v>21</v>
      </c>
      <c r="F6178" s="8" t="str">
        <f ca="1">IFERROR(__xludf.DUMMYFUNCTION("IF
(
C6179=""фізична особа""
,
VLOOKUP(D6179,IMPORTRANGE(""https://docs.google.com/spreadsheets/d/14Bd19lYaqBhU8_DElYkX7l4wRkHqqCUFNJY4AfY3kHU/edit?usp=sharing  #gid=0"",""фіз особи new!relations_name""),6,FALSE)
,
(IF
(
C6179=""юридична особа""
,
VLOOKUP"&amp;"(D6179,IMPORTRANGE(""https://docs.google.com/spreadsheets/d/14Bd19lYaqBhU8_DElYkX7l4wRkHqqCUFNJY4AfY3kHU/edit?usp=sharing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78" s="7" t="s">
        <v>10</v>
      </c>
      <c r="H6178" s="7">
        <v>23488</v>
      </c>
      <c r="I6178" s="8" t="str">
        <f ca="1">IFERROR(__xludf.DUMMYFUNCTION("IF
(
G6179=""фізична особа""
,
VLOOKUP(H6179,IMPORTRANGE(""https://docs.google.com/spreadsheets/d/14Bd19lYaqBhU8_DElYkX7l4wRkHqqCUFNJY4AfY3kHU/edit?usp=sharing  #gid=0"",""фіз особи new!relations_name""),6,FALSE)
,
(IF
(
G6179=""юридична особа""
,
VLOOKUP"&amp;"(H6179,IMPORTRANGE(""https://docs.google.com/spreadsheets/d/14Bd19lYaqBhU8_DElYkX7l4wRkHqqCUFNJY4AfY3kHU/edit?usp=sharing  #gid=0"",""фіз особи new!relations_name_uo""),7,FALSE)
,
)
))"),"ДАДОВ Тимур Едуардович")</f>
        <v>ДАДОВ Тимур Едуардович</v>
      </c>
      <c r="J6178" s="7" t="s">
        <v>17</v>
      </c>
    </row>
    <row r="6179" spans="1:10" ht="13.2">
      <c r="A6179" s="7">
        <v>6178</v>
      </c>
      <c r="B6179" s="7">
        <v>1</v>
      </c>
      <c r="C6179" s="7" t="s">
        <v>10</v>
      </c>
      <c r="D6179" s="7">
        <v>5022</v>
      </c>
      <c r="E6179" s="7" t="s">
        <v>21</v>
      </c>
      <c r="F6179" s="8" t="str">
        <f ca="1">IFERROR(__xludf.DUMMYFUNCTION("IF
(
C6180=""фізична особа""
,
VLOOKUP(D6180,IMPORTRANGE(""https://docs.google.com/spreadsheets/d/14Bd19lYaqBhU8_DElYkX7l4wRkHqqCUFNJY4AfY3kHU/edit?usp=sharing  #gid=0"",""фіз особи new!relations_name""),6,FALSE)
,
(IF
(
C6180=""юридична особа""
,
VLOOKUP"&amp;"(D6180,IMPORTRANGE(""https://docs.google.com/spreadsheets/d/14Bd19lYaqBhU8_DElYkX7l4wRkHqqCUFNJY4AfY3kHU/edit?usp=sharing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79" s="7" t="s">
        <v>10</v>
      </c>
      <c r="H6179" s="7">
        <v>0</v>
      </c>
      <c r="I6179" s="8" t="str">
        <f ca="1">IFERROR(__xludf.DUMMYFUNCTION("IF
(
G6180=""фізична особа""
,
VLOOKUP(H6180,IMPORTRANGE(""https://docs.google.com/spreadsheets/d/14Bd19lYaqBhU8_DElYkX7l4wRkHqqCUFNJY4AfY3kHU/edit?usp=sharing  #gid=0"",""фіз особи new!relations_name""),6,FALSE)
,
(IF
(
G6180=""юридична особа""
,
VLOOKUP"&amp;"(H6180,IMPORTRANGE(""https://docs.google.com/spreadsheets/d/14Bd19lYaqBhU8_DElYkX7l4wRkHqqCUFNJY4AfY3kHU/edit?usp=sharing  #gid=0"",""фіз особи new!relations_name_uo""),7,FALSE)
,
)
))"),"#N/A")</f>
        <v>#N/A</v>
      </c>
      <c r="J6179" s="7" t="s">
        <v>17</v>
      </c>
    </row>
    <row r="6180" spans="1:10" ht="13.2">
      <c r="A6180" s="7">
        <v>6179</v>
      </c>
      <c r="B6180" s="7">
        <v>1</v>
      </c>
      <c r="C6180" s="7" t="s">
        <v>10</v>
      </c>
      <c r="D6180" s="7">
        <v>5022</v>
      </c>
      <c r="E6180" s="7" t="s">
        <v>21</v>
      </c>
      <c r="F6180" s="8" t="str">
        <f ca="1">IFERROR(__xludf.DUMMYFUNCTION("IF
(
C6181=""фізична особа""
,
VLOOKUP(D6181,IMPORTRANGE(""https://docs.google.com/spreadsheets/d/14Bd19lYaqBhU8_DElYkX7l4wRkHqqCUFNJY4AfY3kHU/edit?usp=sharing  #gid=0"",""фіз особи new!relations_name""),6,FALSE)
,
(IF
(
C6181=""юридична особа""
,
VLOOKUP"&amp;"(D6181,IMPORTRANGE(""https://docs.google.com/spreadsheets/d/14Bd19lYaqBhU8_DElYkX7l4wRkHqqCUFNJY4AfY3kHU/edit?usp=sharing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0" s="7" t="s">
        <v>10</v>
      </c>
      <c r="H6180" s="7">
        <v>0</v>
      </c>
      <c r="I6180" s="8" t="str">
        <f ca="1">IFERROR(__xludf.DUMMYFUNCTION("IF
(
G6181=""фізична особа""
,
VLOOKUP(H6181,IMPORTRANGE(""https://docs.google.com/spreadsheets/d/14Bd19lYaqBhU8_DElYkX7l4wRkHqqCUFNJY4AfY3kHU/edit?usp=sharing  #gid=0"",""фіз особи new!relations_name""),6,FALSE)
,
(IF
(
G6181=""юридична особа""
,
VLOOKUP"&amp;"(H6181,IMPORTRANGE(""https://docs.google.com/spreadsheets/d/14Bd19lYaqBhU8_DElYkX7l4wRkHqqCUFNJY4AfY3kHU/edit?usp=sharing  #gid=0"",""фіз особи new!relations_name_uo""),7,FALSE)
,
)
))"),"#N/A")</f>
        <v>#N/A</v>
      </c>
      <c r="J6180" s="7" t="s">
        <v>13</v>
      </c>
    </row>
    <row r="6181" spans="1:10" ht="13.2">
      <c r="A6181" s="7">
        <v>6180</v>
      </c>
      <c r="B6181" s="7">
        <v>1</v>
      </c>
      <c r="C6181" s="7" t="s">
        <v>10</v>
      </c>
      <c r="D6181" s="7">
        <v>5022</v>
      </c>
      <c r="E6181" s="7" t="s">
        <v>30</v>
      </c>
      <c r="F6181" s="8" t="str">
        <f ca="1">IFERROR(__xludf.DUMMYFUNCTION("IF
(
C6182=""фізична особа""
,
VLOOKUP(D6182,IMPORTRANGE(""https://docs.google.com/spreadsheets/d/14Bd19lYaqBhU8_DElYkX7l4wRkHqqCUFNJY4AfY3kHU/edit?usp=sharing  #gid=0"",""фіз особи new!relations_name""),6,FALSE)
,
(IF
(
C6182=""юридична особа""
,
VLOOKUP"&amp;"(D6182,IMPORTRANGE(""https://docs.google.com/spreadsheets/d/14Bd19lYaqBhU8_DElYkX7l4wRkHqqCUFNJY4AfY3kHU/edit?usp=sharing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1" s="7" t="s">
        <v>10</v>
      </c>
      <c r="H6181" s="7">
        <v>23485</v>
      </c>
      <c r="I6181" s="8" t="str">
        <f ca="1">IFERROR(__xludf.DUMMYFUNCTION("IF
(
G6182=""фізична особа""
,
VLOOKUP(H6182,IMPORTRANGE(""https://docs.google.com/spreadsheets/d/14Bd19lYaqBhU8_DElYkX7l4wRkHqqCUFNJY4AfY3kHU/edit?usp=sharing  #gid=0"",""фіз особи new!relations_name""),6,FALSE)
,
(IF
(
G6182=""юридична особа""
,
VLOOKUP"&amp;"(H6182,IMPORTRANGE(""https://docs.google.com/spreadsheets/d/14Bd19lYaqBhU8_DElYkX7l4wRkHqqCUFNJY4AfY3kHU/edit?usp=sharing  #gid=0"",""фіз особи new!relations_name_uo""),7,FALSE)
,
)
))"),"КОКОВА Віолета Казбеківна")</f>
        <v>КОКОВА Віолета Казбеківна</v>
      </c>
      <c r="J6181" s="7" t="s">
        <v>30</v>
      </c>
    </row>
    <row r="6182" spans="1:10" ht="13.2">
      <c r="A6182" s="7">
        <v>6181</v>
      </c>
      <c r="B6182" s="7">
        <v>1</v>
      </c>
      <c r="C6182" s="7" t="s">
        <v>10</v>
      </c>
      <c r="D6182" s="7">
        <v>5022</v>
      </c>
      <c r="E6182" s="7" t="s">
        <v>30</v>
      </c>
      <c r="F6182" s="8" t="str">
        <f ca="1">IFERROR(__xludf.DUMMYFUNCTION("IF
(
C6183=""фізична особа""
,
VLOOKUP(D6183,IMPORTRANGE(""https://docs.google.com/spreadsheets/d/14Bd19lYaqBhU8_DElYkX7l4wRkHqqCUFNJY4AfY3kHU/edit?usp=sharing  #gid=0"",""фіз особи new!relations_name""),6,FALSE)
,
(IF
(
C6183=""юридична особа""
,
VLOOKUP"&amp;"(D6183,IMPORTRANGE(""https://docs.google.com/spreadsheets/d/14Bd19lYaqBhU8_DElYkX7l4wRkHqqCUFNJY4AfY3kHU/edit?usp=sharing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2" s="7" t="s">
        <v>10</v>
      </c>
      <c r="H6182" s="7">
        <v>0</v>
      </c>
      <c r="I6182" s="8" t="str">
        <f ca="1">IFERROR(__xludf.DUMMYFUNCTION("IF
(
G6183=""фізична особа""
,
VLOOKUP(H6183,IMPORTRANGE(""https://docs.google.com/spreadsheets/d/14Bd19lYaqBhU8_DElYkX7l4wRkHqqCUFNJY4AfY3kHU/edit?usp=sharing  #gid=0"",""фіз особи new!relations_name""),6,FALSE)
,
(IF
(
G6183=""юридична особа""
,
VLOOKUP"&amp;"(H6183,IMPORTRANGE(""https://docs.google.com/spreadsheets/d/14Bd19lYaqBhU8_DElYkX7l4wRkHqqCUFNJY4AfY3kHU/edit?usp=sharing  #gid=0"",""фіз особи new!relations_name_uo""),7,FALSE)
,
)
))"),"#N/A")</f>
        <v>#N/A</v>
      </c>
      <c r="J6182" s="7" t="s">
        <v>30</v>
      </c>
    </row>
    <row r="6183" spans="1:10" ht="13.2">
      <c r="A6183" s="7">
        <v>6182</v>
      </c>
      <c r="B6183" s="7">
        <v>1</v>
      </c>
      <c r="C6183" s="7" t="s">
        <v>10</v>
      </c>
      <c r="D6183" s="7">
        <v>5022</v>
      </c>
      <c r="E6183" s="7" t="s">
        <v>30</v>
      </c>
      <c r="F6183" s="8" t="str">
        <f ca="1">IFERROR(__xludf.DUMMYFUNCTION("IF
(
C6184=""фізична особа""
,
VLOOKUP(D6184,IMPORTRANGE(""https://docs.google.com/spreadsheets/d/14Bd19lYaqBhU8_DElYkX7l4wRkHqqCUFNJY4AfY3kHU/edit?usp=sharing  #gid=0"",""фіз особи new!relations_name""),6,FALSE)
,
(IF
(
C6184=""юридична особа""
,
VLOOKUP"&amp;"(D6184,IMPORTRANGE(""https://docs.google.com/spreadsheets/d/14Bd19lYaqBhU8_DElYkX7l4wRkHqqCUFNJY4AfY3kHU/edit?usp=sharing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3" s="7" t="s">
        <v>10</v>
      </c>
      <c r="H6183" s="7">
        <v>0</v>
      </c>
      <c r="I6183" s="8" t="str">
        <f ca="1">IFERROR(__xludf.DUMMYFUNCTION("IF
(
G6184=""фізична особа""
,
VLOOKUP(H6184,IMPORTRANGE(""https://docs.google.com/spreadsheets/d/14Bd19lYaqBhU8_DElYkX7l4wRkHqqCUFNJY4AfY3kHU/edit?usp=sharing  #gid=0"",""фіз особи new!relations_name""),6,FALSE)
,
(IF
(
G6184=""юридична особа""
,
VLOOKUP"&amp;"(H6184,IMPORTRANGE(""https://docs.google.com/spreadsheets/d/14Bd19lYaqBhU8_DElYkX7l4wRkHqqCUFNJY4AfY3kHU/edit?usp=sharing  #gid=0"",""фіз особи new!relations_name_uo""),7,FALSE)
,
)
))"),"#N/A")</f>
        <v>#N/A</v>
      </c>
      <c r="J6183" s="7" t="s">
        <v>30</v>
      </c>
    </row>
    <row r="6184" spans="1:10" ht="13.2">
      <c r="A6184" s="7">
        <v>6183</v>
      </c>
      <c r="B6184" s="7">
        <v>1</v>
      </c>
      <c r="C6184" s="7" t="s">
        <v>10</v>
      </c>
      <c r="D6184" s="7">
        <v>5022</v>
      </c>
      <c r="E6184" s="7" t="s">
        <v>30</v>
      </c>
      <c r="F6184" s="8" t="str">
        <f ca="1">IFERROR(__xludf.DUMMYFUNCTION("IF
(
C6185=""фізична особа""
,
VLOOKUP(D6185,IMPORTRANGE(""https://docs.google.com/spreadsheets/d/14Bd19lYaqBhU8_DElYkX7l4wRkHqqCUFNJY4AfY3kHU/edit?usp=sharing  #gid=0"",""фіз особи new!relations_name""),6,FALSE)
,
(IF
(
C6185=""юридична особа""
,
VLOOKUP"&amp;"(D6185,IMPORTRANGE(""https://docs.google.com/spreadsheets/d/14Bd19lYaqBhU8_DElYkX7l4wRkHqqCUFNJY4AfY3kHU/edit?usp=sharing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4" s="7" t="s">
        <v>10</v>
      </c>
      <c r="H6184" s="7">
        <v>23549</v>
      </c>
      <c r="I6184" s="8" t="str">
        <f ca="1">IFERROR(__xludf.DUMMYFUNCTION("IF
(
G6185=""фізична особа""
,
VLOOKUP(H6185,IMPORTRANGE(""https://docs.google.com/spreadsheets/d/14Bd19lYaqBhU8_DElYkX7l4wRkHqqCUFNJY4AfY3kHU/edit?usp=sharing  #gid=0"",""фіз особи new!relations_name""),6,FALSE)
,
(IF
(
G6185=""юридична особа""
,
VLOOKUP"&amp;"(H6185,IMPORTRANGE(""https://docs.google.com/spreadsheets/d/14Bd19lYaqBhU8_DElYkX7l4wRkHqqCUFNJY4AfY3kHU/edit?usp=sharing  #gid=0"",""фіз особи new!relations_name_uo""),7,FALSE)
,
)
))"),"БІТОКОВ Анзор Вілорович")</f>
        <v>БІТОКОВ Анзор Вілорович</v>
      </c>
      <c r="J6184" s="7" t="s">
        <v>30</v>
      </c>
    </row>
    <row r="6185" spans="1:10" ht="13.2">
      <c r="A6185" s="7">
        <v>6184</v>
      </c>
      <c r="B6185" s="7">
        <v>1</v>
      </c>
      <c r="C6185" s="7" t="s">
        <v>10</v>
      </c>
      <c r="D6185" s="7">
        <v>5022</v>
      </c>
      <c r="E6185" s="7" t="s">
        <v>30</v>
      </c>
      <c r="F6185" s="8" t="str">
        <f ca="1">IFERROR(__xludf.DUMMYFUNCTION("IF
(
C6186=""фізична особа""
,
VLOOKUP(D6186,IMPORTRANGE(""https://docs.google.com/spreadsheets/d/14Bd19lYaqBhU8_DElYkX7l4wRkHqqCUFNJY4AfY3kHU/edit?usp=sharing  #gid=0"",""фіз особи new!relations_name""),6,FALSE)
,
(IF
(
C6186=""юридична особа""
,
VLOOKUP"&amp;"(D6186,IMPORTRANGE(""https://docs.google.com/spreadsheets/d/14Bd19lYaqBhU8_DElYkX7l4wRkHqqCUFNJY4AfY3kHU/edit?usp=sharing  #gid=0"",""фіз особи new!relations_name_uo""),7,FALSE)
,
)
))"),"ДАДОВА / КОКОВА Лариса Валеріївна")</f>
        <v>ДАДОВА / КОКОВА Лариса Валеріївна</v>
      </c>
      <c r="G6185" s="7" t="s">
        <v>10</v>
      </c>
      <c r="H6185" s="7">
        <v>0</v>
      </c>
      <c r="I6185" s="8" t="str">
        <f ca="1">IFERROR(__xludf.DUMMYFUNCTION("IF
(
G6186=""фізична особа""
,
VLOOKUP(H6186,IMPORTRANGE(""https://docs.google.com/spreadsheets/d/14Bd19lYaqBhU8_DElYkX7l4wRkHqqCUFNJY4AfY3kHU/edit?usp=sharing  #gid=0"",""фіз особи new!relations_name""),6,FALSE)
,
(IF
(
G6186=""юридична особа""
,
VLOOKUP"&amp;"(H6186,IMPORTRANGE(""https://docs.google.com/spreadsheets/d/14Bd19lYaqBhU8_DElYkX7l4wRkHqqCUFNJY4AfY3kHU/edit?usp=sharing  #gid=0"",""фіз особи new!relations_name_uo""),7,FALSE)
,
)
))"),"#N/A")</f>
        <v>#N/A</v>
      </c>
      <c r="J6185" s="7" t="s">
        <v>30</v>
      </c>
    </row>
    <row r="6186" spans="1:10" ht="13.2">
      <c r="A6186" s="7">
        <v>6185</v>
      </c>
      <c r="B6186" s="7">
        <v>1</v>
      </c>
      <c r="C6186" s="7" t="s">
        <v>10</v>
      </c>
      <c r="D6186" s="7">
        <v>5023</v>
      </c>
      <c r="E6186" s="7" t="s">
        <v>17</v>
      </c>
      <c r="F6186" s="8" t="str">
        <f ca="1">IFERROR(__xludf.DUMMYFUNCTION("IF
(
C6187=""фізична особа""
,
VLOOKUP(D6187,IMPORTRANGE(""https://docs.google.com/spreadsheets/d/14Bd19lYaqBhU8_DElYkX7l4wRkHqqCUFNJY4AfY3kHU/edit?usp=sharing  #gid=0"",""фіз особи new!relations_name""),6,FALSE)
,
(IF
(
C6187=""юридична особа""
,
VLOOKUP"&amp;"(D6187,IMPORTRANGE(""https://docs.google.com/spreadsheets/d/14Bd19lYaqBhU8_DElYkX7l4wRkHqqCUFNJY4AfY3kHU/edit?usp=sharing  #gid=0"",""фіз особи new!relations_name_uo""),7,FALSE)
,
)
))"),"БЕЗДУДНИЙ Володимир Юрійович")</f>
        <v>БЕЗДУДНИЙ Володимир Юрійович</v>
      </c>
      <c r="G6186" s="7" t="s">
        <v>10</v>
      </c>
      <c r="H6186" s="7">
        <v>2567</v>
      </c>
      <c r="I6186" s="8" t="str">
        <f ca="1">IFERROR(__xludf.DUMMYFUNCTION("IF
(
G6187=""фізична особа""
,
VLOOKUP(H6187,IMPORTRANGE(""https://docs.google.com/spreadsheets/d/14Bd19lYaqBhU8_DElYkX7l4wRkHqqCUFNJY4AfY3kHU/edit?usp=sharing  #gid=0"",""фіз особи new!relations_name""),6,FALSE)
,
(IF
(
G6187=""юридична особа""
,
VLOOKUP"&amp;"(H6187,IMPORTRANGE(""https://docs.google.com/spreadsheets/d/14Bd19lYaqBhU8_DElYkX7l4wRkHqqCUFNJY4AfY3kHU/edit?usp=sharing  #gid=0"",""фіз особи new!relations_name_uo""),7,FALSE)
,
)
))"),"БЕЗДУДНИЙ Юрій Васильович")</f>
        <v>БЕЗДУДНИЙ Юрій Васильович</v>
      </c>
      <c r="J6186" s="7" t="s">
        <v>12</v>
      </c>
    </row>
    <row r="6187" spans="1:10" ht="13.2">
      <c r="A6187" s="7">
        <v>6186</v>
      </c>
      <c r="B6187" s="7">
        <v>1</v>
      </c>
      <c r="C6187" s="7" t="s">
        <v>10</v>
      </c>
      <c r="D6187" s="7">
        <v>5023</v>
      </c>
      <c r="E6187" s="7" t="s">
        <v>18</v>
      </c>
      <c r="F6187" s="8" t="str">
        <f ca="1">IFERROR(__xludf.DUMMYFUNCTION("IF
(
C6188=""фізична особа""
,
VLOOKUP(D6188,IMPORTRANGE(""https://docs.google.com/spreadsheets/d/14Bd19lYaqBhU8_DElYkX7l4wRkHqqCUFNJY4AfY3kHU/edit?usp=sharing  #gid=0"",""фіз особи new!relations_name""),6,FALSE)
,
(IF
(
C6188=""юридична особа""
,
VLOOKUP"&amp;"(D6188,IMPORTRANGE(""https://docs.google.com/spreadsheets/d/14Bd19lYaqBhU8_DElYkX7l4wRkHqqCUFNJY4AfY3kHU/edit?usp=sharing  #gid=0"",""фіз особи new!relations_name_uo""),7,FALSE)
,
)
))"),"БЕЗДУДНИЙ Володимир Юрійович")</f>
        <v>БЕЗДУДНИЙ Володимир Юрійович</v>
      </c>
      <c r="G6187" s="7" t="s">
        <v>10</v>
      </c>
      <c r="H6187" s="7">
        <v>23514</v>
      </c>
      <c r="I6187" s="8" t="str">
        <f ca="1">IFERROR(__xludf.DUMMYFUNCTION("IF
(
G6188=""фізична особа""
,
VLOOKUP(H6188,IMPORTRANGE(""https://docs.google.com/spreadsheets/d/14Bd19lYaqBhU8_DElYkX7l4wRkHqqCUFNJY4AfY3kHU/edit?usp=sharing  #gid=0"",""фіз особи new!relations_name""),6,FALSE)
,
(IF
(
G6188=""юридична особа""
,
VLOOKUP"&amp;"(H6188,IMPORTRANGE(""https://docs.google.com/spreadsheets/d/14Bd19lYaqBhU8_DElYkX7l4wRkHqqCUFNJY4AfY3kHU/edit?usp=sharing  #gid=0"",""фіз особи new!relations_name_uo""),7,FALSE)
,
)
))"),"БЕЗДУДНА Анастасія Юріївна")</f>
        <v>БЕЗДУДНА Анастасія Юріївна</v>
      </c>
      <c r="J6187" s="7" t="s">
        <v>31</v>
      </c>
    </row>
    <row r="6188" spans="1:10" ht="13.2">
      <c r="A6188" s="7">
        <v>6187</v>
      </c>
      <c r="B6188" s="7">
        <v>1</v>
      </c>
      <c r="C6188" s="7" t="s">
        <v>10</v>
      </c>
      <c r="D6188" s="7">
        <v>5023</v>
      </c>
      <c r="E6188" s="7" t="s">
        <v>30</v>
      </c>
      <c r="F6188" s="8" t="str">
        <f ca="1">IFERROR(__xludf.DUMMYFUNCTION("IF
(
C6189=""фізична особа""
,
VLOOKUP(D6189,IMPORTRANGE(""https://docs.google.com/spreadsheets/d/14Bd19lYaqBhU8_DElYkX7l4wRkHqqCUFNJY4AfY3kHU/edit?usp=sharing  #gid=0"",""фіз особи new!relations_name""),6,FALSE)
,
(IF
(
C6189=""юридична особа""
,
VLOOKUP"&amp;"(D6189,IMPORTRANGE(""https://docs.google.com/spreadsheets/d/14Bd19lYaqBhU8_DElYkX7l4wRkHqqCUFNJY4AfY3kHU/edit?usp=sharing  #gid=0"",""фіз особи new!relations_name_uo""),7,FALSE)
,
)
))"),"БЕЗДУДНИЙ Володимир Юрійович")</f>
        <v>БЕЗДУДНИЙ Володимир Юрійович</v>
      </c>
      <c r="G6188" s="7" t="s">
        <v>10</v>
      </c>
      <c r="H6188" s="7">
        <v>0</v>
      </c>
      <c r="I6188" s="8" t="str">
        <f ca="1">IFERROR(__xludf.DUMMYFUNCTION("IF
(
G6189=""фізична особа""
,
VLOOKUP(H6189,IMPORTRANGE(""https://docs.google.com/spreadsheets/d/14Bd19lYaqBhU8_DElYkX7l4wRkHqqCUFNJY4AfY3kHU/edit?usp=sharing  #gid=0"",""фіз особи new!relations_name""),6,FALSE)
,
(IF
(
G6189=""юридична особа""
,
VLOOKUP"&amp;"(H6189,IMPORTRANGE(""https://docs.google.com/spreadsheets/d/14Bd19lYaqBhU8_DElYkX7l4wRkHqqCUFNJY4AfY3kHU/edit?usp=sharing  #gid=0"",""фіз особи new!relations_name_uo""),7,FALSE)
,
)
))"),"#N/A")</f>
        <v>#N/A</v>
      </c>
      <c r="J6188" s="7" t="s">
        <v>30</v>
      </c>
    </row>
    <row r="6189" spans="1:10" ht="13.2">
      <c r="A6189" s="7">
        <v>6188</v>
      </c>
      <c r="B6189" s="7">
        <v>1</v>
      </c>
      <c r="C6189" s="7" t="s">
        <v>10</v>
      </c>
      <c r="D6189" s="7">
        <v>5023</v>
      </c>
      <c r="E6189" s="7" t="s">
        <v>30</v>
      </c>
      <c r="F6189" s="8" t="str">
        <f ca="1">IFERROR(__xludf.DUMMYFUNCTION("IF
(
C6190=""фізична особа""
,
VLOOKUP(D6190,IMPORTRANGE(""https://docs.google.com/spreadsheets/d/14Bd19lYaqBhU8_DElYkX7l4wRkHqqCUFNJY4AfY3kHU/edit?usp=sharing  #gid=0"",""фіз особи new!relations_name""),6,FALSE)
,
(IF
(
C6190=""юридична особа""
,
VLOOKUP"&amp;"(D6190,IMPORTRANGE(""https://docs.google.com/spreadsheets/d/14Bd19lYaqBhU8_DElYkX7l4wRkHqqCUFNJY4AfY3kHU/edit?usp=sharing  #gid=0"",""фіз особи new!relations_name_uo""),7,FALSE)
,
)
))"),"БЕЗДУДНИЙ Володимир Юрійович")</f>
        <v>БЕЗДУДНИЙ Володимир Юрійович</v>
      </c>
      <c r="G6189" s="7" t="s">
        <v>10</v>
      </c>
      <c r="H6189" s="7">
        <v>0</v>
      </c>
      <c r="I6189" s="8" t="str">
        <f ca="1">IFERROR(__xludf.DUMMYFUNCTION("IF
(
G6190=""фізична особа""
,
VLOOKUP(H6190,IMPORTRANGE(""https://docs.google.com/spreadsheets/d/14Bd19lYaqBhU8_DElYkX7l4wRkHqqCUFNJY4AfY3kHU/edit?usp=sharing  #gid=0"",""фіз особи new!relations_name""),6,FALSE)
,
(IF
(
G6190=""юридична особа""
,
VLOOKUP"&amp;"(H6190,IMPORTRANGE(""https://docs.google.com/spreadsheets/d/14Bd19lYaqBhU8_DElYkX7l4wRkHqqCUFNJY4AfY3kHU/edit?usp=sharing  #gid=0"",""фіз особи new!relations_name_uo""),7,FALSE)
,
)
))"),"#N/A")</f>
        <v>#N/A</v>
      </c>
      <c r="J6189" s="7" t="s">
        <v>30</v>
      </c>
    </row>
    <row r="6190" spans="1:10" ht="13.2">
      <c r="A6190" s="7">
        <v>6189</v>
      </c>
      <c r="B6190" s="7">
        <v>1</v>
      </c>
      <c r="C6190" s="7" t="s">
        <v>10</v>
      </c>
      <c r="D6190" s="7">
        <v>5024</v>
      </c>
      <c r="E6190" s="7" t="s">
        <v>15</v>
      </c>
      <c r="F6190" s="8" t="str">
        <f ca="1">IFERROR(__xludf.DUMMYFUNCTION("IF
(
C6191=""фізична особа""
,
VLOOKUP(D6191,IMPORTRANGE(""https://docs.google.com/spreadsheets/d/14Bd19lYaqBhU8_DElYkX7l4wRkHqqCUFNJY4AfY3kHU/edit?usp=sharing  #gid=0"",""фіз особи new!relations_name""),6,FALSE)
,
(IF
(
C6191=""юридична особа""
,
VLOOKUP"&amp;"(D6191,IMPORTRANGE(""https://docs.google.com/spreadsheets/d/14Bd19lYaqBhU8_DElYkX7l4wRkHqqCUFNJY4AfY3kHU/edit?usp=sharing  #gid=0"",""фіз особи new!relations_name_uo""),7,FALSE)
,
)
))"),"ІЛЬТЯКОВА Людмила Анатоліївна")</f>
        <v>ІЛЬТЯКОВА Людмила Анатоліївна</v>
      </c>
      <c r="G6190" s="7" t="s">
        <v>10</v>
      </c>
      <c r="H6190" s="7">
        <v>912</v>
      </c>
      <c r="I6190" s="8" t="str">
        <f ca="1">IFERROR(__xludf.DUMMYFUNCTION("IF
(
G6191=""фізична особа""
,
VLOOKUP(H6191,IMPORTRANGE(""https://docs.google.com/spreadsheets/d/14Bd19lYaqBhU8_DElYkX7l4wRkHqqCUFNJY4AfY3kHU/edit?usp=sharing  #gid=0"",""фіз особи new!relations_name""),6,FALSE)
,
(IF
(
G6191=""юридична особа""
,
VLOOKUP"&amp;"(H6191,IMPORTRANGE(""https://docs.google.com/spreadsheets/d/14Bd19lYaqBhU8_DElYkX7l4wRkHqqCUFNJY4AfY3kHU/edit?usp=sharing  #gid=0"",""фіз особи new!relations_name_uo""),7,FALSE)
,
)
))"),"ІЛЬТЯКОВ Олександр Володимирович")</f>
        <v>ІЛЬТЯКОВ Олександр Володимирович</v>
      </c>
      <c r="J6190" s="7" t="s">
        <v>14</v>
      </c>
    </row>
    <row r="6191" spans="1:10" ht="13.2">
      <c r="A6191" s="7">
        <v>6190</v>
      </c>
      <c r="B6191" s="7">
        <v>1</v>
      </c>
      <c r="C6191" s="7" t="s">
        <v>10</v>
      </c>
      <c r="D6191" s="7">
        <v>5025</v>
      </c>
      <c r="E6191" s="7" t="s">
        <v>18</v>
      </c>
      <c r="F6191" s="8" t="str">
        <f ca="1">IFERROR(__xludf.DUMMYFUNCTION("IF
(
C6192=""фізична особа""
,
VLOOKUP(D6192,IMPORTRANGE(""https://docs.google.com/spreadsheets/d/14Bd19lYaqBhU8_DElYkX7l4wRkHqqCUFNJY4AfY3kHU/edit?usp=sharing  #gid=0"",""фіз особи new!relations_name""),6,FALSE)
,
(IF
(
C6192=""юридична особа""
,
VLOOKUP"&amp;"(D6192,IMPORTRANGE(""https://docs.google.com/spreadsheets/d/14Bd19lYaqBhU8_DElYkX7l4wRkHqqCUFNJY4AfY3kHU/edit?usp=sharing  #gid=0"",""фіз особи new!relations_name_uo""),7,FALSE)
,
)
))"),"ІЛЬТЯКОВ Дмитро Володимирович")</f>
        <v>ІЛЬТЯКОВ Дмитро Володимирович</v>
      </c>
      <c r="G6191" s="7" t="s">
        <v>10</v>
      </c>
      <c r="H6191" s="7">
        <v>912</v>
      </c>
      <c r="I6191" s="8" t="str">
        <f ca="1">IFERROR(__xludf.DUMMYFUNCTION("IF
(
G6192=""фізична особа""
,
VLOOKUP(H6192,IMPORTRANGE(""https://docs.google.com/spreadsheets/d/14Bd19lYaqBhU8_DElYkX7l4wRkHqqCUFNJY4AfY3kHU/edit?usp=sharing  #gid=0"",""фіз особи new!relations_name""),6,FALSE)
,
(IF
(
G6192=""юридична особа""
,
VLOOKUP"&amp;"(H6192,IMPORTRANGE(""https://docs.google.com/spreadsheets/d/14Bd19lYaqBhU8_DElYkX7l4wRkHqqCUFNJY4AfY3kHU/edit?usp=sharing  #gid=0"",""фіз особи new!relations_name_uo""),7,FALSE)
,
)
))"),"ІЛЬТЯКОВ Олександр Володимирович")</f>
        <v>ІЛЬТЯКОВ Олександр Володимирович</v>
      </c>
      <c r="J6191" s="7" t="s">
        <v>18</v>
      </c>
    </row>
    <row r="6192" spans="1:10" ht="13.2">
      <c r="A6192" s="7">
        <v>6191</v>
      </c>
      <c r="B6192" s="7">
        <v>1</v>
      </c>
      <c r="C6192" s="7" t="s">
        <v>10</v>
      </c>
      <c r="D6192" s="7">
        <v>5025</v>
      </c>
      <c r="E6192" s="7" t="s">
        <v>30</v>
      </c>
      <c r="F6192" s="8" t="str">
        <f ca="1">IFERROR(__xludf.DUMMYFUNCTION("IF
(
C6193=""фізична особа""
,
VLOOKUP(D6193,IMPORTRANGE(""https://docs.google.com/spreadsheets/d/14Bd19lYaqBhU8_DElYkX7l4wRkHqqCUFNJY4AfY3kHU/edit?usp=sharing  #gid=0"",""фіз особи new!relations_name""),6,FALSE)
,
(IF
(
C6193=""юридична особа""
,
VLOOKUP"&amp;"(D6193,IMPORTRANGE(""https://docs.google.com/spreadsheets/d/14Bd19lYaqBhU8_DElYkX7l4wRkHqqCUFNJY4AfY3kHU/edit?usp=sharing  #gid=0"",""фіз особи new!relations_name_uo""),7,FALSE)
,
)
))"),"ІЛЬТЯКОВ Дмитро Володимирович")</f>
        <v>ІЛЬТЯКОВ Дмитро Володимирович</v>
      </c>
      <c r="G6192" s="7" t="s">
        <v>10</v>
      </c>
      <c r="H6192" s="7">
        <v>0</v>
      </c>
      <c r="I6192" s="8" t="str">
        <f ca="1">IFERROR(__xludf.DUMMYFUNCTION("IF
(
G6193=""фізична особа""
,
VLOOKUP(H6193,IMPORTRANGE(""https://docs.google.com/spreadsheets/d/14Bd19lYaqBhU8_DElYkX7l4wRkHqqCUFNJY4AfY3kHU/edit?usp=sharing  #gid=0"",""фіз особи new!relations_name""),6,FALSE)
,
(IF
(
G6193=""юридична особа""
,
VLOOKUP"&amp;"(H6193,IMPORTRANGE(""https://docs.google.com/spreadsheets/d/14Bd19lYaqBhU8_DElYkX7l4wRkHqqCUFNJY4AfY3kHU/edit?usp=sharing  #gid=0"",""фіз особи new!relations_name_uo""),7,FALSE)
,
)
))"),"#N/A")</f>
        <v>#N/A</v>
      </c>
      <c r="J6192" s="7" t="s">
        <v>30</v>
      </c>
    </row>
    <row r="6193" spans="1:10" ht="13.2">
      <c r="A6193" s="7">
        <v>6192</v>
      </c>
      <c r="B6193" s="7">
        <v>1</v>
      </c>
      <c r="C6193" s="7" t="s">
        <v>10</v>
      </c>
      <c r="D6193" s="7">
        <v>5026</v>
      </c>
      <c r="E6193" s="7" t="s">
        <v>30</v>
      </c>
      <c r="F6193" s="8" t="str">
        <f ca="1">IFERROR(__xludf.DUMMYFUNCTION("IF
(
C6194=""фізична особа""
,
VLOOKUP(D6194,IMPORTRANGE(""https://docs.google.com/spreadsheets/d/14Bd19lYaqBhU8_DElYkX7l4wRkHqqCUFNJY4AfY3kHU/edit?usp=sharing  #gid=0"",""фіз особи new!relations_name""),6,FALSE)
,
(IF
(
C6194=""юридична особа""
,
VLOOKUP"&amp;"(D6194,IMPORTRANGE(""https://docs.google.com/spreadsheets/d/14Bd19lYaqBhU8_DElYkX7l4wRkHqqCUFNJY4AfY3kHU/edit?usp=sharing  #gid=0"",""фіз особи new!relations_name_uo""),7,FALSE)
,
)
))"),"ЛЯХОВ Ігор Васильович")</f>
        <v>ЛЯХОВ Ігор Васильович</v>
      </c>
      <c r="G6193" s="7" t="s">
        <v>10</v>
      </c>
      <c r="H6193" s="7">
        <v>4244</v>
      </c>
      <c r="I6193" s="8" t="str">
        <f ca="1">IFERROR(__xludf.DUMMYFUNCTION("IF
(
G6194=""фізична особа""
,
VLOOKUP(H6194,IMPORTRANGE(""https://docs.google.com/spreadsheets/d/14Bd19lYaqBhU8_DElYkX7l4wRkHqqCUFNJY4AfY3kHU/edit?usp=sharing  #gid=0"",""фіз особи new!relations_name""),6,FALSE)
,
(IF
(
G6194=""юридична особа""
,
VLOOKUP"&amp;"(H6194,IMPORTRANGE(""https://docs.google.com/spreadsheets/d/14Bd19lYaqBhU8_DElYkX7l4wRkHqqCUFNJY4AfY3kHU/edit?usp=sharing  #gid=0"",""фіз особи new!relations_name_uo""),7,FALSE)
,
)
))"),"БОРИСОВ Андрій Олександрович")</f>
        <v>БОРИСОВ Андрій Олександрович</v>
      </c>
      <c r="J6193" s="7" t="s">
        <v>30</v>
      </c>
    </row>
    <row r="6194" spans="1:10" ht="13.2">
      <c r="A6194" s="7">
        <v>6193</v>
      </c>
      <c r="B6194" s="7">
        <v>1</v>
      </c>
      <c r="C6194" s="7" t="s">
        <v>10</v>
      </c>
      <c r="D6194" s="7">
        <v>5031</v>
      </c>
      <c r="E6194" s="7" t="s">
        <v>26</v>
      </c>
      <c r="F6194" s="8" t="str">
        <f ca="1">IFERROR(__xludf.DUMMYFUNCTION("IF
(
C6195=""фізична особа""
,
VLOOKUP(D6195,IMPORTRANGE(""https://docs.google.com/spreadsheets/d/14Bd19lYaqBhU8_DElYkX7l4wRkHqqCUFNJY4AfY3kHU/edit?usp=sharing  #gid=0"",""фіз особи new!relations_name""),6,FALSE)
,
(IF
(
C6195=""юридична особа""
,
VLOOKUP"&amp;"(D6195,IMPORTRANGE(""https://docs.google.com/spreadsheets/d/14Bd19lYaqBhU8_DElYkX7l4wRkHqqCUFNJY4AfY3kHU/edit?usp=sharing  #gid=0"",""фіз особи new!relations_name_uo""),7,FALSE)
,
)
))"),"РАДЖПУТ Пилип")</f>
        <v>РАДЖПУТ Пилип</v>
      </c>
      <c r="G6194" s="7" t="s">
        <v>10</v>
      </c>
      <c r="H6194" s="7">
        <v>605</v>
      </c>
      <c r="I6194" s="8" t="str">
        <f ca="1">IFERROR(__xludf.DUMMYFUNCTION("IF
(
G6195=""фізична особа""
,
VLOOKUP(H6195,IMPORTRANGE(""https://docs.google.com/spreadsheets/d/14Bd19lYaqBhU8_DElYkX7l4wRkHqqCUFNJY4AfY3kHU/edit?usp=sharing  #gid=0"",""фіз особи new!relations_name""),6,FALSE)
,
(IF
(
G6195=""юридична особа""
,
VLOOKUP"&amp;"(H6195,IMPORTRANGE(""https://docs.google.com/spreadsheets/d/14Bd19lYaqBhU8_DElYkX7l4wRkHqqCUFNJY4AfY3kHU/edit?usp=sharing  #gid=0"",""фіз особи new!relations_name_uo""),7,FALSE)
,
)
))"),"ТОЛСТОЙ Петро Олегович")</f>
        <v>ТОЛСТОЙ Петро Олегович</v>
      </c>
      <c r="J6194" s="7" t="s">
        <v>24</v>
      </c>
    </row>
    <row r="6195" spans="1:10" ht="13.2">
      <c r="A6195" s="7">
        <v>6194</v>
      </c>
      <c r="B6195" s="7">
        <v>1</v>
      </c>
      <c r="C6195" s="7" t="s">
        <v>10</v>
      </c>
      <c r="D6195" s="7">
        <v>5032</v>
      </c>
      <c r="E6195" s="7" t="s">
        <v>15</v>
      </c>
      <c r="F6195" s="8" t="str">
        <f ca="1">IFERROR(__xludf.DUMMYFUNCTION("IF
(
C6196=""фізична особа""
,
VLOOKUP(D6196,IMPORTRANGE(""https://docs.google.com/spreadsheets/d/14Bd19lYaqBhU8_DElYkX7l4wRkHqqCUFNJY4AfY3kHU/edit?usp=sharing  #gid=0"",""фіз особи new!relations_name""),6,FALSE)
,
(IF
(
C6196=""юридична особа""
,
VLOOKUP"&amp;"(D6196,IMPORTRANGE(""https://docs.google.com/spreadsheets/d/14Bd19lYaqBhU8_DElYkX7l4wRkHqqCUFNJY4AfY3kHU/edit?usp=sharing  #gid=0"",""фіз особи new!relations_name_uo""),7,FALSE)
,
)
))"),"ТЕКСЛЕР Ірина Миколаївна")</f>
        <v>ТЕКСЛЕР Ірина Миколаївна</v>
      </c>
      <c r="G6195" s="7" t="s">
        <v>10</v>
      </c>
      <c r="H6195" s="7">
        <v>2565</v>
      </c>
      <c r="I6195" s="8" t="str">
        <f ca="1">IFERROR(__xludf.DUMMYFUNCTION("IF
(
G6196=""фізична особа""
,
VLOOKUP(H6196,IMPORTRANGE(""https://docs.google.com/spreadsheets/d/14Bd19lYaqBhU8_DElYkX7l4wRkHqqCUFNJY4AfY3kHU/edit?usp=sharing  #gid=0"",""фіз особи new!relations_name""),6,FALSE)
,
(IF
(
G6196=""юридична особа""
,
VLOOKUP"&amp;"(H6196,IMPORTRANGE(""https://docs.google.com/spreadsheets/d/14Bd19lYaqBhU8_DElYkX7l4wRkHqqCUFNJY4AfY3kHU/edit?usp=sharing  #gid=0"",""фіз особи new!relations_name_uo""),7,FALSE)
,
)
))"),"ТЕКСЛЕР Олексій Леонідович")</f>
        <v>ТЕКСЛЕР Олексій Леонідович</v>
      </c>
      <c r="J6195" s="7" t="s">
        <v>14</v>
      </c>
    </row>
    <row r="6196" spans="1:10" ht="13.2">
      <c r="A6196" s="7">
        <v>6195</v>
      </c>
      <c r="B6196" s="7">
        <v>1</v>
      </c>
      <c r="C6196" s="7" t="s">
        <v>10</v>
      </c>
      <c r="D6196" s="7">
        <v>5033</v>
      </c>
      <c r="E6196" s="7" t="s">
        <v>17</v>
      </c>
      <c r="F6196" s="8" t="str">
        <f ca="1">IFERROR(__xludf.DUMMYFUNCTION("IF
(
C6197=""фізична особа""
,
VLOOKUP(D6197,IMPORTRANGE(""https://docs.google.com/spreadsheets/d/14Bd19lYaqBhU8_DElYkX7l4wRkHqqCUFNJY4AfY3kHU/edit?usp=sharing  #gid=0"",""фіз особи new!relations_name""),6,FALSE)
,
(IF
(
C6197=""юридична особа""
,
VLOOKUP"&amp;"(D6197,IMPORTRANGE(""https://docs.google.com/spreadsheets/d/14Bd19lYaqBhU8_DElYkX7l4wRkHqqCUFNJY4AfY3kHU/edit?usp=sharing  #gid=0"",""фіз особи new!relations_name_uo""),7,FALSE)
,
)
))"),"ТЕКСЛЕР Михайло Олексійович")</f>
        <v>ТЕКСЛЕР Михайло Олексійович</v>
      </c>
      <c r="G6196" s="7" t="s">
        <v>10</v>
      </c>
      <c r="H6196" s="7">
        <v>2565</v>
      </c>
      <c r="I6196" s="8" t="str">
        <f ca="1">IFERROR(__xludf.DUMMYFUNCTION("IF
(
G6197=""фізична особа""
,
VLOOKUP(H6197,IMPORTRANGE(""https://docs.google.com/spreadsheets/d/14Bd19lYaqBhU8_DElYkX7l4wRkHqqCUFNJY4AfY3kHU/edit?usp=sharing  #gid=0"",""фіз особи new!relations_name""),6,FALSE)
,
(IF
(
G6197=""юридична особа""
,
VLOOKUP"&amp;"(H6197,IMPORTRANGE(""https://docs.google.com/spreadsheets/d/14Bd19lYaqBhU8_DElYkX7l4wRkHqqCUFNJY4AfY3kHU/edit?usp=sharing  #gid=0"",""фіз особи new!relations_name_uo""),7,FALSE)
,
)
))"),"ТЕКСЛЕР Олексій Леонідович")</f>
        <v>ТЕКСЛЕР Олексій Леонідович</v>
      </c>
      <c r="J6196" s="7" t="s">
        <v>12</v>
      </c>
    </row>
    <row r="6197" spans="1:10" ht="13.2">
      <c r="A6197" s="7">
        <v>6196</v>
      </c>
      <c r="B6197" s="7">
        <v>1</v>
      </c>
      <c r="C6197" s="7" t="s">
        <v>10</v>
      </c>
      <c r="D6197" s="7">
        <v>5034</v>
      </c>
      <c r="E6197" s="7" t="s">
        <v>25</v>
      </c>
      <c r="F6197" s="8" t="str">
        <f ca="1">IFERROR(__xludf.DUMMYFUNCTION("IF
(
C6198=""фізична особа""
,
VLOOKUP(D6198,IMPORTRANGE(""https://docs.google.com/spreadsheets/d/14Bd19lYaqBhU8_DElYkX7l4wRkHqqCUFNJY4AfY3kHU/edit?usp=sharing  #gid=0"",""фіз особи new!relations_name""),6,FALSE)
,
(IF
(
C6198=""юридична особа""
,
VLOOKUP"&amp;"(D6198,IMPORTRANGE(""https://docs.google.com/spreadsheets/d/14Bd19lYaqBhU8_DElYkX7l4wRkHqqCUFNJY4AfY3kHU/edit?usp=sharing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197" s="7" t="s">
        <v>10</v>
      </c>
      <c r="H6197" s="7">
        <v>2529</v>
      </c>
      <c r="I6197" s="8" t="str">
        <f ca="1">IFERROR(__xludf.DUMMYFUNCTION("IF
(
G6198=""фізична особа""
,
VLOOKUP(H6198,IMPORTRANGE(""https://docs.google.com/spreadsheets/d/14Bd19lYaqBhU8_DElYkX7l4wRkHqqCUFNJY4AfY3kHU/edit?usp=sharing  #gid=0"",""фіз особи new!relations_name""),6,FALSE)
,
(IF
(
G6198=""юридична особа""
,
VLOOKUP"&amp;"(H6198,IMPORTRANGE(""https://docs.google.com/spreadsheets/d/14Bd19lYaqBhU8_DElYkX7l4wRkHqqCUFNJY4AfY3kHU/edit?usp=sharing  #gid=0"",""фіз особи new!relations_name_uo""),7,FALSE)
,
)
))"),"БОГОМАЗ Олександр Васильович")</f>
        <v>БОГОМАЗ Олександр Васильович</v>
      </c>
      <c r="J6197" s="7" t="s">
        <v>34</v>
      </c>
    </row>
    <row r="6198" spans="1:10" ht="13.2">
      <c r="A6198" s="7">
        <v>6197</v>
      </c>
      <c r="B6198" s="7">
        <v>1</v>
      </c>
      <c r="C6198" s="7" t="s">
        <v>10</v>
      </c>
      <c r="D6198" s="7">
        <v>5034</v>
      </c>
      <c r="E6198" s="7" t="s">
        <v>30</v>
      </c>
      <c r="F6198" s="8" t="str">
        <f ca="1">IFERROR(__xludf.DUMMYFUNCTION("IF
(
C6199=""фізична особа""
,
VLOOKUP(D6199,IMPORTRANGE(""https://docs.google.com/spreadsheets/d/14Bd19lYaqBhU8_DElYkX7l4wRkHqqCUFNJY4AfY3kHU/edit?usp=sharing  #gid=0"",""фіз особи new!relations_name""),6,FALSE)
,
(IF
(
C6199=""юридична особа""
,
VLOOKUP"&amp;"(D6199,IMPORTRANGE(""https://docs.google.com/spreadsheets/d/14Bd19lYaqBhU8_DElYkX7l4wRkHqqCUFNJY4AfY3kHU/edit?usp=sharing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198" s="7" t="s">
        <v>10</v>
      </c>
      <c r="H6198" s="7">
        <v>23542</v>
      </c>
      <c r="I6198" s="8" t="str">
        <f ca="1">IFERROR(__xludf.DUMMYFUNCTION("IF
(
G6199=""фізична особа""
,
VLOOKUP(H6199,IMPORTRANGE(""https://docs.google.com/spreadsheets/d/14Bd19lYaqBhU8_DElYkX7l4wRkHqqCUFNJY4AfY3kHU/edit?usp=sharing  #gid=0"",""фіз особи new!relations_name""),6,FALSE)
,
(IF
(
G6199=""юридична особа""
,
VLOOKUP"&amp;"(H6199,IMPORTRANGE(""https://docs.google.com/spreadsheets/d/14Bd19lYaqBhU8_DElYkX7l4wRkHqqCUFNJY4AfY3kHU/edit?usp=sharing  #gid=0"",""фіз особи new!relations_name_uo""),7,FALSE)
,
)
))"),"ПЕРЕПЕЧКО Василь Пилипович")</f>
        <v>ПЕРЕПЕЧКО Василь Пилипович</v>
      </c>
      <c r="J6198" s="7" t="s">
        <v>30</v>
      </c>
    </row>
    <row r="6199" spans="1:10" ht="13.2">
      <c r="A6199" s="7">
        <v>6198</v>
      </c>
      <c r="B6199" s="7">
        <v>1</v>
      </c>
      <c r="C6199" s="7" t="s">
        <v>10</v>
      </c>
      <c r="D6199" s="7">
        <v>5034</v>
      </c>
      <c r="E6199" s="7" t="s">
        <v>15</v>
      </c>
      <c r="F6199" s="8" t="str">
        <f ca="1">IFERROR(__xludf.DUMMYFUNCTION("IF
(
C6200=""фізична особа""
,
VLOOKUP(D6200,IMPORTRANGE(""https://docs.google.com/spreadsheets/d/14Bd19lYaqBhU8_DElYkX7l4wRkHqqCUFNJY4AfY3kHU/edit?usp=sharing  #gid=0"",""фіз особи new!relations_name""),6,FALSE)
,
(IF
(
C6200=""юридична особа""
,
VLOOKUP"&amp;"(D6200,IMPORTRANGE(""https://docs.google.com/spreadsheets/d/14Bd19lYaqBhU8_DElYkX7l4wRkHqqCUFNJY4AfY3kHU/edit?usp=sharing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199" s="7" t="s">
        <v>10</v>
      </c>
      <c r="H6199" s="7">
        <v>4828</v>
      </c>
      <c r="I6199" s="8" t="str">
        <f ca="1">IFERROR(__xludf.DUMMYFUNCTION("IF
(
G6200=""фізична особа""
,
VLOOKUP(H6200,IMPORTRANGE(""https://docs.google.com/spreadsheets/d/14Bd19lYaqBhU8_DElYkX7l4wRkHqqCUFNJY4AfY3kHU/edit?usp=sharing  #gid=0"",""фіз особи new!relations_name""),6,FALSE)
,
(IF
(
G6200=""юридична особа""
,
VLOOKUP"&amp;"(H6200,IMPORTRANGE(""https://docs.google.com/spreadsheets/d/14Bd19lYaqBhU8_DElYkX7l4wRkHqqCUFNJY4AfY3kHU/edit?usp=sharing  #gid=0"",""фіз особи new!relations_name_uo""),7,FALSE)
,
)
))"),"БОГОМАЗ Роман Олександрович")</f>
        <v>БОГОМАЗ Роман Олександрович</v>
      </c>
      <c r="J6199" s="7" t="s">
        <v>14</v>
      </c>
    </row>
    <row r="6200" spans="1:10" ht="13.2">
      <c r="A6200" s="7">
        <v>6199</v>
      </c>
      <c r="B6200" s="7">
        <v>1</v>
      </c>
      <c r="C6200" s="7" t="s">
        <v>10</v>
      </c>
      <c r="D6200" s="7">
        <v>5034</v>
      </c>
      <c r="E6200" s="7" t="s">
        <v>25</v>
      </c>
      <c r="F6200" s="8" t="str">
        <f ca="1">IFERROR(__xludf.DUMMYFUNCTION("IF
(
C6201=""фізична особа""
,
VLOOKUP(D6201,IMPORTRANGE(""https://docs.google.com/spreadsheets/d/14Bd19lYaqBhU8_DElYkX7l4wRkHqqCUFNJY4AfY3kHU/edit?usp=sharing  #gid=0"",""фіз особи new!relations_name""),6,FALSE)
,
(IF
(
C6201=""юридична особа""
,
VLOOKUP"&amp;"(D6201,IMPORTRANGE(""https://docs.google.com/spreadsheets/d/14Bd19lYaqBhU8_DElYkX7l4wRkHqqCUFNJY4AfY3kHU/edit?usp=sharing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200" s="7" t="s">
        <v>10</v>
      </c>
      <c r="H6200" s="7">
        <v>4827</v>
      </c>
      <c r="I6200" s="8" t="str">
        <f ca="1">IFERROR(__xludf.DUMMYFUNCTION("IF
(
G6201=""фізична особа""
,
VLOOKUP(H6201,IMPORTRANGE(""https://docs.google.com/spreadsheets/d/14Bd19lYaqBhU8_DElYkX7l4wRkHqqCUFNJY4AfY3kHU/edit?usp=sharing  #gid=0"",""фіз особи new!relations_name""),6,FALSE)
,
(IF
(
G6201=""юридична особа""
,
VLOOKUP"&amp;"(H6201,IMPORTRANGE(""https://docs.google.com/spreadsheets/d/14Bd19lYaqBhU8_DElYkX7l4wRkHqqCUFNJY4AfY3kHU/edit?usp=sharing  #gid=0"",""фіз особи new!relations_name_uo""),7,FALSE)
,
)
))"),"БОГОМАЗ Ольга Олександрівна")</f>
        <v>БОГОМАЗ Ольга Олександрівна</v>
      </c>
      <c r="J6200" s="7" t="s">
        <v>58</v>
      </c>
    </row>
    <row r="6201" spans="1:10" ht="13.2">
      <c r="A6201" s="7">
        <v>6200</v>
      </c>
      <c r="B6201" s="7">
        <v>1</v>
      </c>
      <c r="C6201" s="7" t="s">
        <v>10</v>
      </c>
      <c r="D6201" s="7">
        <v>5034</v>
      </c>
      <c r="E6201" s="7" t="s">
        <v>30</v>
      </c>
      <c r="F6201" s="8" t="str">
        <f ca="1">IFERROR(__xludf.DUMMYFUNCTION("IF
(
C6202=""фізична особа""
,
VLOOKUP(D6202,IMPORTRANGE(""https://docs.google.com/spreadsheets/d/14Bd19lYaqBhU8_DElYkX7l4wRkHqqCUFNJY4AfY3kHU/edit?usp=sharing  #gid=0"",""фіз особи new!relations_name""),6,FALSE)
,
(IF
(
C6202=""юридична особа""
,
VLOOKUP"&amp;"(D6202,IMPORTRANGE(""https://docs.google.com/spreadsheets/d/14Bd19lYaqBhU8_DElYkX7l4wRkHqqCUFNJY4AfY3kHU/edit?usp=sharing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201" s="7" t="s">
        <v>10</v>
      </c>
      <c r="H6201" s="7">
        <v>23543</v>
      </c>
      <c r="I6201" s="8" t="str">
        <f ca="1">IFERROR(__xludf.DUMMYFUNCTION("IF
(
G6202=""фізична особа""
,
VLOOKUP(H6202,IMPORTRANGE(""https://docs.google.com/spreadsheets/d/14Bd19lYaqBhU8_DElYkX7l4wRkHqqCUFNJY4AfY3kHU/edit?usp=sharing  #gid=0"",""фіз особи new!relations_name""),6,FALSE)
,
(IF
(
G6202=""юридична особа""
,
VLOOKUP"&amp;"(H6202,IMPORTRANGE(""https://docs.google.com/spreadsheets/d/14Bd19lYaqBhU8_DElYkX7l4wRkHqqCUFNJY4AfY3kHU/edit?usp=sharing  #gid=0"",""фіз особи new!relations_name_uo""),7,FALSE)
,
)
))"),"ПЕРЕПЕЧКО Світлана Альбертівна")</f>
        <v>ПЕРЕПЕЧКО Світлана Альбертівна</v>
      </c>
      <c r="J6201" s="7" t="s">
        <v>30</v>
      </c>
    </row>
    <row r="6202" spans="1:10" ht="13.2">
      <c r="A6202" s="7">
        <v>6201</v>
      </c>
      <c r="B6202" s="7">
        <v>1</v>
      </c>
      <c r="C6202" s="7" t="s">
        <v>10</v>
      </c>
      <c r="D6202" s="7">
        <v>5034</v>
      </c>
      <c r="E6202" s="7" t="s">
        <v>30</v>
      </c>
      <c r="F6202" s="8" t="str">
        <f ca="1">IFERROR(__xludf.DUMMYFUNCTION("IF
(
C6203=""фізична особа""
,
VLOOKUP(D6203,IMPORTRANGE(""https://docs.google.com/spreadsheets/d/14Bd19lYaqBhU8_DElYkX7l4wRkHqqCUFNJY4AfY3kHU/edit?usp=sharing  #gid=0"",""фіз особи new!relations_name""),6,FALSE)
,
(IF
(
C6203=""юридична особа""
,
VLOOKUP"&amp;"(D6203,IMPORTRANGE(""https://docs.google.com/spreadsheets/d/14Bd19lYaqBhU8_DElYkX7l4wRkHqqCUFNJY4AfY3kHU/edit?usp=sharing  #gid=0"",""фіз особи new!relations_name_uo""),7,FALSE)
,
)
))"),"БОГОМАЗ Вікторія Василівна")</f>
        <v>БОГОМАЗ Вікторія Василівна</v>
      </c>
      <c r="G6202" s="7" t="s">
        <v>10</v>
      </c>
      <c r="H6202" s="7">
        <v>0</v>
      </c>
      <c r="I6202" s="8" t="str">
        <f ca="1">IFERROR(__xludf.DUMMYFUNCTION("IF
(
G6203=""фізична особа""
,
VLOOKUP(H6203,IMPORTRANGE(""https://docs.google.com/spreadsheets/d/14Bd19lYaqBhU8_DElYkX7l4wRkHqqCUFNJY4AfY3kHU/edit?usp=sharing  #gid=0"",""фіз особи new!relations_name""),6,FALSE)
,
(IF
(
G6203=""юридична особа""
,
VLOOKUP"&amp;"(H6203,IMPORTRANGE(""https://docs.google.com/spreadsheets/d/14Bd19lYaqBhU8_DElYkX7l4wRkHqqCUFNJY4AfY3kHU/edit?usp=sharing  #gid=0"",""фіз особи new!relations_name_uo""),7,FALSE)
,
)
))"),"#N/A")</f>
        <v>#N/A</v>
      </c>
      <c r="J6202" s="7" t="s">
        <v>30</v>
      </c>
    </row>
    <row r="6203" spans="1:10" ht="13.2">
      <c r="A6203" s="7">
        <v>6202</v>
      </c>
      <c r="B6203" s="7">
        <v>1</v>
      </c>
      <c r="C6203" s="7" t="s">
        <v>10</v>
      </c>
      <c r="D6203" s="7">
        <v>5038</v>
      </c>
      <c r="E6203" s="7" t="s">
        <v>48</v>
      </c>
      <c r="F6203" s="8" t="str">
        <f ca="1">IFERROR(__xludf.DUMMYFUNCTION("IF
(
C6204=""фізична особа""
,
VLOOKUP(D6204,IMPORTRANGE(""https://docs.google.com/spreadsheets/d/14Bd19lYaqBhU8_DElYkX7l4wRkHqqCUFNJY4AfY3kHU/edit?usp=sharing  #gid=0"",""фіз особи new!relations_name""),6,FALSE)
,
(IF
(
C6204=""юридична особа""
,
VLOOKUP"&amp;"(D6204,IMPORTRANGE(""https://docs.google.com/spreadsheets/d/14Bd19lYaqBhU8_DElYkX7l4wRkHqqCUFNJY4AfY3kHU/edit?usp=sharing  #gid=0"",""фіз особи new!relations_name_uo""),7,FALSE)
,
)
))"),"РОМАНЕНКО Олександр Олексійович")</f>
        <v>РОМАНЕНКО Олександр Олексійович</v>
      </c>
      <c r="G6203" s="7" t="s">
        <v>10</v>
      </c>
      <c r="H6203" s="7">
        <v>185</v>
      </c>
      <c r="I6203" s="8" t="str">
        <f ca="1">IFERROR(__xludf.DUMMYFUNCTION("IF
(
G6204=""фізична особа""
,
VLOOKUP(H6204,IMPORTRANGE(""https://docs.google.com/spreadsheets/d/14Bd19lYaqBhU8_DElYkX7l4wRkHqqCUFNJY4AfY3kHU/edit?usp=sharing  #gid=0"",""фіз особи new!relations_name""),6,FALSE)
,
(IF
(
G6204=""юридична особа""
,
VLOOKUP"&amp;"(H6204,IMPORTRANGE(""https://docs.google.com/spreadsheets/d/14Bd19lYaqBhU8_DElYkX7l4wRkHqqCUFNJY4AfY3kHU/edit?usp=sharing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6203" s="7" t="s">
        <v>48</v>
      </c>
    </row>
    <row r="6204" spans="1:10" ht="13.2">
      <c r="A6204" s="7">
        <v>6203</v>
      </c>
      <c r="B6204" s="7">
        <v>1</v>
      </c>
      <c r="C6204" s="7" t="s">
        <v>10</v>
      </c>
      <c r="D6204" s="7">
        <v>5038</v>
      </c>
      <c r="E6204" s="7" t="s">
        <v>48</v>
      </c>
      <c r="F6204" s="8" t="str">
        <f ca="1">IFERROR(__xludf.DUMMYFUNCTION("IF
(
C6205=""фізична особа""
,
VLOOKUP(D6205,IMPORTRANGE(""https://docs.google.com/spreadsheets/d/14Bd19lYaqBhU8_DElYkX7l4wRkHqqCUFNJY4AfY3kHU/edit?usp=sharing  #gid=0"",""фіз особи new!relations_name""),6,FALSE)
,
(IF
(
C6205=""юридична особа""
,
VLOOKUP"&amp;"(D6205,IMPORTRANGE(""https://docs.google.com/spreadsheets/d/14Bd19lYaqBhU8_DElYkX7l4wRkHqqCUFNJY4AfY3kHU/edit?usp=sharing  #gid=0"",""фіз особи new!relations_name_uo""),7,FALSE)
,
)
))"),"РОМАНЕНКО Олександр Олексійович")</f>
        <v>РОМАНЕНКО Олександр Олексійович</v>
      </c>
      <c r="G6204" s="7" t="s">
        <v>10</v>
      </c>
      <c r="H6204" s="7">
        <v>2517</v>
      </c>
      <c r="I6204" s="8" t="str">
        <f ca="1">IFERROR(__xludf.DUMMYFUNCTION("IF
(
G6205=""фізична особа""
,
VLOOKUP(H6205,IMPORTRANGE(""https://docs.google.com/spreadsheets/d/14Bd19lYaqBhU8_DElYkX7l4wRkHqqCUFNJY4AfY3kHU/edit?usp=sharing  #gid=0"",""фіз особи new!relations_name""),6,FALSE)
,
(IF
(
G6205=""юридична особа""
,
VLOOKUP"&amp;"(H6205,IMPORTRANGE(""https://docs.google.com/spreadsheets/d/14Bd19lYaqBhU8_DElYkX7l4wRkHqqCUFNJY4AfY3kHU/edit?usp=sharing  #gid=0"",""фіз особи new!relations_name_uo""),7,FALSE)
,
)
))"),"ТОМЕНКО Віктор Петрович")</f>
        <v>ТОМЕНКО Віктор Петрович</v>
      </c>
      <c r="J6204" s="7" t="s">
        <v>48</v>
      </c>
    </row>
    <row r="6205" spans="1:10" ht="13.2">
      <c r="A6205" s="7">
        <v>6204</v>
      </c>
      <c r="B6205" s="7">
        <v>1</v>
      </c>
      <c r="C6205" s="7" t="s">
        <v>10</v>
      </c>
      <c r="D6205" s="7">
        <v>5039</v>
      </c>
      <c r="E6205" s="7" t="s">
        <v>17</v>
      </c>
      <c r="F6205" s="8" t="str">
        <f ca="1">IFERROR(__xludf.DUMMYFUNCTION("IF
(
C6206=""фізична особа""
,
VLOOKUP(D6206,IMPORTRANGE(""https://docs.google.com/spreadsheets/d/14Bd19lYaqBhU8_DElYkX7l4wRkHqqCUFNJY4AfY3kHU/edit?usp=sharing  #gid=0"",""фіз особи new!relations_name""),6,FALSE)
,
(IF
(
C6206=""юридична особа""
,
VLOOKUP"&amp;"(D6206,IMPORTRANGE(""https://docs.google.com/spreadsheets/d/14Bd19lYaqBhU8_DElYkX7l4wRkHqqCUFNJY4AfY3kHU/edit?usp=sharing  #gid=0"",""фіз особи new!relations_name_uo""),7,FALSE)
,
)
))"),"НАРИШКІН Андрій Сергійович")</f>
        <v>НАРИШКІН Андрій Сергійович</v>
      </c>
      <c r="G6205" s="7" t="s">
        <v>10</v>
      </c>
      <c r="H6205" s="7">
        <v>654</v>
      </c>
      <c r="I6205" s="8" t="str">
        <f ca="1">IFERROR(__xludf.DUMMYFUNCTION("IF
(
G6206=""фізична особа""
,
VLOOKUP(H6206,IMPORTRANGE(""https://docs.google.com/spreadsheets/d/14Bd19lYaqBhU8_DElYkX7l4wRkHqqCUFNJY4AfY3kHU/edit?usp=sharing  #gid=0"",""фіз особи new!relations_name""),6,FALSE)
,
(IF
(
G6206=""юридична особа""
,
VLOOKUP"&amp;"(H6206,IMPORTRANGE(""https://docs.google.com/spreadsheets/d/14Bd19lYaqBhU8_DElYkX7l4wRkHqqCUFNJY4AfY3kHU/edit?usp=sharing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6205" s="7" t="s">
        <v>12</v>
      </c>
    </row>
    <row r="6206" spans="1:10" ht="13.2">
      <c r="A6206" s="7">
        <v>6205</v>
      </c>
      <c r="B6206" s="7">
        <v>1</v>
      </c>
      <c r="C6206" s="7" t="s">
        <v>10</v>
      </c>
      <c r="D6206" s="7">
        <v>5040</v>
      </c>
      <c r="E6206" s="7" t="s">
        <v>13</v>
      </c>
      <c r="F6206" s="8" t="str">
        <f ca="1">IFERROR(__xludf.DUMMYFUNCTION("IF
(
C6207=""фізична особа""
,
VLOOKUP(D6207,IMPORTRANGE(""https://docs.google.com/spreadsheets/d/14Bd19lYaqBhU8_DElYkX7l4wRkHqqCUFNJY4AfY3kHU/edit?usp=sharing  #gid=0"",""фіз особи new!relations_name""),6,FALSE)
,
(IF
(
C6207=""юридична особа""
,
VLOOKUP"&amp;"(D6207,IMPORTRANGE(""https://docs.google.com/spreadsheets/d/14Bd19lYaqBhU8_DElYkX7l4wRkHqqCUFNJY4AfY3kHU/edit?usp=sharing  #gid=0"",""фіз особи new!relations_name_uo""),7,FALSE)
,
)
))"),"НАРИШКІНА Вероніка Сергіївна")</f>
        <v>НАРИШКІНА Вероніка Сергіївна</v>
      </c>
      <c r="G6206" s="7" t="s">
        <v>10</v>
      </c>
      <c r="H6206" s="7">
        <v>654</v>
      </c>
      <c r="I6206" s="8" t="str">
        <f ca="1">IFERROR(__xludf.DUMMYFUNCTION("IF
(
G6207=""фізична особа""
,
VLOOKUP(H6207,IMPORTRANGE(""https://docs.google.com/spreadsheets/d/14Bd19lYaqBhU8_DElYkX7l4wRkHqqCUFNJY4AfY3kHU/edit?usp=sharing  #gid=0"",""фіз особи new!relations_name""),6,FALSE)
,
(IF
(
G6207=""юридична особа""
,
VLOOKUP"&amp;"(H6207,IMPORTRANGE(""https://docs.google.com/spreadsheets/d/14Bd19lYaqBhU8_DElYkX7l4wRkHqqCUFNJY4AfY3kHU/edit?usp=sharing  #gid=0"",""фіз особи new!relations_name_uo""),7,FALSE)
,
)
))"),"НАРИШКІН Сергій Євгенович")</f>
        <v>НАРИШКІН Сергій Євгенович</v>
      </c>
      <c r="J6206" s="7" t="s">
        <v>12</v>
      </c>
    </row>
    <row r="6207" spans="1:10" ht="13.2">
      <c r="A6207" s="7">
        <v>6206</v>
      </c>
      <c r="B6207" s="7">
        <v>1</v>
      </c>
      <c r="C6207" s="7" t="s">
        <v>10</v>
      </c>
      <c r="D6207" s="7">
        <v>5041</v>
      </c>
      <c r="E6207" s="7" t="s">
        <v>15</v>
      </c>
      <c r="F6207" s="8" t="str">
        <f ca="1">IFERROR(__xludf.DUMMYFUNCTION("IF
(
C6208=""фізична особа""
,
VLOOKUP(D6208,IMPORTRANGE(""https://docs.google.com/spreadsheets/d/14Bd19lYaqBhU8_DElYkX7l4wRkHqqCUFNJY4AfY3kHU/edit?usp=sharing  #gid=0"",""фіз особи new!relations_name""),6,FALSE)
,
(IF
(
C6208=""юридична особа""
,
VLOOKUP"&amp;"(D6208,IMPORTRANGE(""https://docs.google.com/spreadsheets/d/14Bd19lYaqBhU8_DElYkX7l4wRkHqqCUFNJY4AfY3kHU/edit?usp=sharing  #gid=0"",""фіз особи new!relations_name_uo""),7,FALSE)
,
)
))"),"НЄВЄРОВА Ольга Вікторівна")</f>
        <v>НЄВЄРОВА Ольга Вікторівна</v>
      </c>
      <c r="G6207" s="7" t="s">
        <v>10</v>
      </c>
      <c r="H6207" s="7">
        <v>672</v>
      </c>
      <c r="I6207" s="8" t="str">
        <f ca="1">IFERROR(__xludf.DUMMYFUNCTION("IF
(
G6208=""фізична особа""
,
VLOOKUP(H6208,IMPORTRANGE(""https://docs.google.com/spreadsheets/d/14Bd19lYaqBhU8_DElYkX7l4wRkHqqCUFNJY4AfY3kHU/edit?usp=sharing  #gid=0"",""фіз особи new!relations_name""),6,FALSE)
,
(IF
(
G6208=""юридична особа""
,
VLOOKUP"&amp;"(H6208,IMPORTRANGE(""https://docs.google.com/spreadsheets/d/14Bd19lYaqBhU8_DElYkX7l4wRkHqqCUFNJY4AfY3kHU/edit?usp=sharing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6207" s="7" t="s">
        <v>14</v>
      </c>
    </row>
    <row r="6208" spans="1:10" ht="13.2">
      <c r="A6208" s="7">
        <v>6207</v>
      </c>
      <c r="B6208" s="7">
        <v>1</v>
      </c>
      <c r="C6208" s="7" t="s">
        <v>10</v>
      </c>
      <c r="D6208" s="7">
        <v>5042</v>
      </c>
      <c r="E6208" s="7" t="s">
        <v>13</v>
      </c>
      <c r="F6208" s="8" t="str">
        <f ca="1">IFERROR(__xludf.DUMMYFUNCTION("IF
(
C6209=""фізична особа""
,
VLOOKUP(D6209,IMPORTRANGE(""https://docs.google.com/spreadsheets/d/14Bd19lYaqBhU8_DElYkX7l4wRkHqqCUFNJY4AfY3kHU/edit?usp=sharing  #gid=0"",""фіз особи new!relations_name""),6,FALSE)
,
(IF
(
C6209=""юридична особа""
,
VLOOKUP"&amp;"(D6209,IMPORTRANGE(""https://docs.google.com/spreadsheets/d/14Bd19lYaqBhU8_DElYkX7l4wRkHqqCUFNJY4AfY3kHU/edit?usp=sharing  #gid=0"",""фіз особи new!relations_name_uo""),7,FALSE)
,
)
))"),"НЄВЄРОВА Ангеліна Сергіївна")</f>
        <v>НЄВЄРОВА Ангеліна Сергіївна</v>
      </c>
      <c r="G6208" s="7" t="s">
        <v>10</v>
      </c>
      <c r="H6208" s="7">
        <v>672</v>
      </c>
      <c r="I6208" s="8" t="str">
        <f ca="1">IFERROR(__xludf.DUMMYFUNCTION("IF
(
G6209=""фізична особа""
,
VLOOKUP(H6209,IMPORTRANGE(""https://docs.google.com/spreadsheets/d/14Bd19lYaqBhU8_DElYkX7l4wRkHqqCUFNJY4AfY3kHU/edit?usp=sharing  #gid=0"",""фіз особи new!relations_name""),6,FALSE)
,
(IF
(
G6209=""юридична особа""
,
VLOOKUP"&amp;"(H6209,IMPORTRANGE(""https://docs.google.com/spreadsheets/d/14Bd19lYaqBhU8_DElYkX7l4wRkHqqCUFNJY4AfY3kHU/edit?usp=sharing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6208" s="7" t="s">
        <v>12</v>
      </c>
    </row>
    <row r="6209" spans="1:10" ht="13.2">
      <c r="A6209" s="7">
        <v>6208</v>
      </c>
      <c r="B6209" s="7">
        <v>1</v>
      </c>
      <c r="C6209" s="7" t="s">
        <v>10</v>
      </c>
      <c r="D6209" s="7">
        <v>5043</v>
      </c>
      <c r="E6209" s="7" t="s">
        <v>17</v>
      </c>
      <c r="F6209" s="8" t="str">
        <f ca="1">IFERROR(__xludf.DUMMYFUNCTION("IF
(
C6210=""фізична особа""
,
VLOOKUP(D6210,IMPORTRANGE(""https://docs.google.com/spreadsheets/d/14Bd19lYaqBhU8_DElYkX7l4wRkHqqCUFNJY4AfY3kHU/edit?usp=sharing  #gid=0"",""фіз особи new!relations_name""),6,FALSE)
,
(IF
(
C6210=""юридична особа""
,
VLOOKUP"&amp;"(D6210,IMPORTRANGE(""https://docs.google.com/spreadsheets/d/14Bd19lYaqBhU8_DElYkX7l4wRkHqqCUFNJY4AfY3kHU/edit?usp=sharing  #gid=0"",""фіз особи new!relations_name_uo""),7,FALSE)
,
)
))"),"НЄВЄРОВ Гліб Сергійович")</f>
        <v>НЄВЄРОВ Гліб Сергійович</v>
      </c>
      <c r="G6209" s="7" t="s">
        <v>10</v>
      </c>
      <c r="H6209" s="7">
        <v>672</v>
      </c>
      <c r="I6209" s="8" t="str">
        <f ca="1">IFERROR(__xludf.DUMMYFUNCTION("IF
(
G6210=""фізична особа""
,
VLOOKUP(H6210,IMPORTRANGE(""https://docs.google.com/spreadsheets/d/14Bd19lYaqBhU8_DElYkX7l4wRkHqqCUFNJY4AfY3kHU/edit?usp=sharing  #gid=0"",""фіз особи new!relations_name""),6,FALSE)
,
(IF
(
G6210=""юридична особа""
,
VLOOKUP"&amp;"(H6210,IMPORTRANGE(""https://docs.google.com/spreadsheets/d/14Bd19lYaqBhU8_DElYkX7l4wRkHqqCUFNJY4AfY3kHU/edit?usp=sharing  #gid=0"",""фіз особи new!relations_name_uo""),7,FALSE)
,
)
))"),"НЄВЄРОВ Сергій Іванович")</f>
        <v>НЄВЄРОВ Сергій Іванович</v>
      </c>
      <c r="J6209" s="7" t="s">
        <v>12</v>
      </c>
    </row>
    <row r="6210" spans="1:10" ht="13.2">
      <c r="A6210" s="7">
        <v>6209</v>
      </c>
      <c r="B6210" s="7">
        <v>1</v>
      </c>
      <c r="C6210" s="7" t="s">
        <v>10</v>
      </c>
      <c r="D6210" s="7">
        <v>5044</v>
      </c>
      <c r="E6210" s="7" t="s">
        <v>15</v>
      </c>
      <c r="F6210" s="8" t="str">
        <f ca="1">IFERROR(__xludf.DUMMYFUNCTION("IF
(
C6211=""фізична особа""
,
VLOOKUP(D6211,IMPORTRANGE(""https://docs.google.com/spreadsheets/d/14Bd19lYaqBhU8_DElYkX7l4wRkHqqCUFNJY4AfY3kHU/edit?usp=sharing  #gid=0"",""фіз особи new!relations_name""),6,FALSE)
,
(IF
(
C6211=""юридична особа""
,
VLOOKUP"&amp;"(D6211,IMPORTRANGE(""https://docs.google.com/spreadsheets/d/14Bd19lYaqBhU8_DElYkX7l4wRkHqqCUFNJY4AfY3kHU/edit?usp=sharing  #gid=0"",""фіз особи new!relations_name_uo""),7,FALSE)
,
)
))"),"НОВІКОВА Лариса Олександрівна")</f>
        <v>НОВІКОВА Лариса Олександрівна</v>
      </c>
      <c r="G6210" s="7" t="s">
        <v>10</v>
      </c>
      <c r="H6210" s="7">
        <v>2131</v>
      </c>
      <c r="I6210" s="8" t="str">
        <f ca="1">IFERROR(__xludf.DUMMYFUNCTION("IF
(
G6211=""фізична особа""
,
VLOOKUP(H6211,IMPORTRANGE(""https://docs.google.com/spreadsheets/d/14Bd19lYaqBhU8_DElYkX7l4wRkHqqCUFNJY4AfY3kHU/edit?usp=sharing  #gid=0"",""фіз особи new!relations_name""),6,FALSE)
,
(IF
(
G6211=""юридична особа""
,
VLOOKUP"&amp;"(H6211,IMPORTRANGE(""https://docs.google.com/spreadsheets/d/14Bd19lYaqBhU8_DElYkX7l4wRkHqqCUFNJY4AfY3kHU/edit?usp=sharing  #gid=0"",""фіз особи new!relations_name_uo""),7,FALSE)
,
)
))"),"НОВІКОВ Ян Валентинович")</f>
        <v>НОВІКОВ Ян Валентинович</v>
      </c>
      <c r="J6210" s="7" t="s">
        <v>14</v>
      </c>
    </row>
    <row r="6211" spans="1:10" ht="13.2">
      <c r="A6211" s="7">
        <v>6210</v>
      </c>
      <c r="B6211" s="7">
        <v>1</v>
      </c>
      <c r="C6211" s="7" t="s">
        <v>10</v>
      </c>
      <c r="D6211" s="7">
        <v>5045</v>
      </c>
      <c r="E6211" s="7" t="s">
        <v>13</v>
      </c>
      <c r="F6211" s="8" t="str">
        <f ca="1">IFERROR(__xludf.DUMMYFUNCTION("IF
(
C6212=""фізична особа""
,
VLOOKUP(D6212,IMPORTRANGE(""https://docs.google.com/spreadsheets/d/14Bd19lYaqBhU8_DElYkX7l4wRkHqqCUFNJY4AfY3kHU/edit?usp=sharing  #gid=0"",""фіз особи new!relations_name""),6,FALSE)
,
(IF
(
C6212=""юридична особа""
,
VLOOKUP"&amp;"(D6212,IMPORTRANGE(""https://docs.google.com/spreadsheets/d/14Bd19lYaqBhU8_DElYkX7l4wRkHqqCUFNJY4AfY3kHU/edit?usp=sharing  #gid=0"",""фіз особи new!relations_name_uo""),7,FALSE)
,
)
))"),"НОВІКОВА Ксенія Янівна")</f>
        <v>НОВІКОВА Ксенія Янівна</v>
      </c>
      <c r="G6211" s="7" t="s">
        <v>10</v>
      </c>
      <c r="H6211" s="7">
        <v>2131</v>
      </c>
      <c r="I6211" s="8" t="str">
        <f ca="1">IFERROR(__xludf.DUMMYFUNCTION("IF
(
G6212=""фізична особа""
,
VLOOKUP(H6212,IMPORTRANGE(""https://docs.google.com/spreadsheets/d/14Bd19lYaqBhU8_DElYkX7l4wRkHqqCUFNJY4AfY3kHU/edit?usp=sharing  #gid=0"",""фіз особи new!relations_name""),6,FALSE)
,
(IF
(
G6212=""юридична особа""
,
VLOOKUP"&amp;"(H6212,IMPORTRANGE(""https://docs.google.com/spreadsheets/d/14Bd19lYaqBhU8_DElYkX7l4wRkHqqCUFNJY4AfY3kHU/edit?usp=sharing  #gid=0"",""фіз особи new!relations_name_uo""),7,FALSE)
,
)
))"),"НОВІКОВ Ян Валентинович")</f>
        <v>НОВІКОВ Ян Валентинович</v>
      </c>
      <c r="J6211" s="7" t="s">
        <v>12</v>
      </c>
    </row>
    <row r="6212" spans="1:10" ht="13.2">
      <c r="A6212" s="7">
        <v>6211</v>
      </c>
      <c r="B6212" s="7">
        <v>1</v>
      </c>
      <c r="C6212" s="7" t="s">
        <v>10</v>
      </c>
      <c r="D6212" s="7">
        <v>5046</v>
      </c>
      <c r="E6212" s="7" t="s">
        <v>21</v>
      </c>
      <c r="F6212" s="8" t="str">
        <f ca="1">IFERROR(__xludf.DUMMYFUNCTION("IF
(
C6213=""фізична особа""
,
VLOOKUP(D6213,IMPORTRANGE(""https://docs.google.com/spreadsheets/d/14Bd19lYaqBhU8_DElYkX7l4wRkHqqCUFNJY4AfY3kHU/edit?usp=sharing  #gid=0"",""фіз особи new!relations_name""),6,FALSE)
,
(IF
(
C6213=""юридична особа""
,
VLOOKUP"&amp;"(D6213,IMPORTRANGE(""https://docs.google.com/spreadsheets/d/14Bd19lYaqBhU8_DElYkX7l4wRkHqqCUFNJY4AfY3kHU/edit?usp=sharing  #gid=0"",""фіз особи new!relations_name_uo""),7,FALSE)
,
)
))"),"НОВІКОВА Анеля Вітольдівна")</f>
        <v>НОВІКОВА Анеля Вітольдівна</v>
      </c>
      <c r="G6212" s="7" t="s">
        <v>10</v>
      </c>
      <c r="H6212" s="7">
        <v>2131</v>
      </c>
      <c r="I6212" s="8" t="str">
        <f ca="1">IFERROR(__xludf.DUMMYFUNCTION("IF
(
G6213=""фізична особа""
,
VLOOKUP(H6213,IMPORTRANGE(""https://docs.google.com/spreadsheets/d/14Bd19lYaqBhU8_DElYkX7l4wRkHqqCUFNJY4AfY3kHU/edit?usp=sharing  #gid=0"",""фіз особи new!relations_name""),6,FALSE)
,
(IF
(
G6213=""юридична особа""
,
VLOOKUP"&amp;"(H6213,IMPORTRANGE(""https://docs.google.com/spreadsheets/d/14Bd19lYaqBhU8_DElYkX7l4wRkHqqCUFNJY4AfY3kHU/edit?usp=sharing  #gid=0"",""фіз особи new!relations_name_uo""),7,FALSE)
,
)
))"),"НОВІКОВ Ян Валентинович")</f>
        <v>НОВІКОВ Ян Валентинович</v>
      </c>
      <c r="J6212" s="7" t="s">
        <v>17</v>
      </c>
    </row>
    <row r="6213" spans="1:10" ht="13.2">
      <c r="A6213" s="7">
        <v>6212</v>
      </c>
      <c r="B6213" s="7">
        <v>1</v>
      </c>
      <c r="C6213" s="7" t="s">
        <v>10</v>
      </c>
      <c r="D6213" s="7">
        <v>5047</v>
      </c>
      <c r="E6213" s="7" t="s">
        <v>43</v>
      </c>
      <c r="F6213" s="8" t="str">
        <f ca="1">IFERROR(__xludf.DUMMYFUNCTION("IF
(
C6214=""фізична особа""
,
VLOOKUP(D6214,IMPORTRANGE(""https://docs.google.com/spreadsheets/d/14Bd19lYaqBhU8_DElYkX7l4wRkHqqCUFNJY4AfY3kHU/edit?usp=sharing  #gid=0"",""фіз особи new!relations_name""),6,FALSE)
,
(IF
(
C6214=""юридична особа""
,
VLOOKUP"&amp;"(D6214,IMPORTRANGE(""https://docs.google.com/spreadsheets/d/14Bd19lYaqBhU8_DElYkX7l4wRkHqqCUFNJY4AfY3kHU/edit?usp=sharing  #gid=0"",""фіз особи new!relations_name_uo""),7,FALSE)
,
)
))"),"НОСОВА Алла Сергіївна")</f>
        <v>НОСОВА Алла Сергіївна</v>
      </c>
      <c r="G6213" s="7" t="s">
        <v>10</v>
      </c>
      <c r="H6213" s="7">
        <v>2544</v>
      </c>
      <c r="I6213" s="8" t="str">
        <f ca="1">IFERROR(__xludf.DUMMYFUNCTION("IF
(
G6214=""фізична особа""
,
VLOOKUP(H6214,IMPORTRANGE(""https://docs.google.com/spreadsheets/d/14Bd19lYaqBhU8_DElYkX7l4wRkHqqCUFNJY4AfY3kHU/edit?usp=sharing  #gid=0"",""фіз особи new!relations_name""),6,FALSE)
,
(IF
(
G6214=""юридична особа""
,
VLOOKUP"&amp;"(H6214,IMPORTRANGE(""https://docs.google.com/spreadsheets/d/14Bd19lYaqBhU8_DElYkX7l4wRkHqqCUFNJY4AfY3kHU/edit?usp=sharing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J6213" s="7" t="s">
        <v>42</v>
      </c>
    </row>
    <row r="6214" spans="1:10" ht="13.2">
      <c r="A6214" s="7">
        <v>6213</v>
      </c>
      <c r="B6214" s="7">
        <v>1</v>
      </c>
      <c r="C6214" s="7" t="s">
        <v>10</v>
      </c>
      <c r="D6214" s="7">
        <v>5048</v>
      </c>
      <c r="E6214" s="7" t="s">
        <v>13</v>
      </c>
      <c r="F6214" s="8" t="str">
        <f ca="1">IFERROR(__xludf.DUMMYFUNCTION("IF
(
C6215=""фізична особа""
,
VLOOKUP(D6215,IMPORTRANGE(""https://docs.google.com/spreadsheets/d/14Bd19lYaqBhU8_DElYkX7l4wRkHqqCUFNJY4AfY3kHU/edit?usp=sharing  #gid=0"",""фіз особи new!relations_name""),6,FALSE)
,
(IF
(
C6215=""юридична особа""
,
VLOOKUP"&amp;"(D6215,IMPORTRANGE(""https://docs.google.com/spreadsheets/d/14Bd19lYaqBhU8_DElYkX7l4wRkHqqCUFNJY4AfY3kHU/edit?usp=sharing  #gid=0"",""фіз особи new!relations_name_uo""),7,FALSE)
,
)
))"),"НОСОВА Наталія Сергіївна")</f>
        <v>НОСОВА Наталія Сергіївна</v>
      </c>
      <c r="G6214" s="7" t="s">
        <v>10</v>
      </c>
      <c r="H6214" s="7">
        <v>2544</v>
      </c>
      <c r="I6214" s="8" t="str">
        <f ca="1">IFERROR(__xludf.DUMMYFUNCTION("IF
(
G6215=""фізична особа""
,
VLOOKUP(H6215,IMPORTRANGE(""https://docs.google.com/spreadsheets/d/14Bd19lYaqBhU8_DElYkX7l4wRkHqqCUFNJY4AfY3kHU/edit?usp=sharing  #gid=0"",""фіз особи new!relations_name""),6,FALSE)
,
(IF
(
G6215=""юридична особа""
,
VLOOKUP"&amp;"(H6215,IMPORTRANGE(""https://docs.google.com/spreadsheets/d/14Bd19lYaqBhU8_DElYkX7l4wRkHqqCUFNJY4AfY3kHU/edit?usp=sharing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J6214" s="7" t="s">
        <v>12</v>
      </c>
    </row>
    <row r="6215" spans="1:10" ht="13.2">
      <c r="A6215" s="7">
        <v>6214</v>
      </c>
      <c r="B6215" s="7">
        <v>1</v>
      </c>
      <c r="C6215" s="7" t="s">
        <v>10</v>
      </c>
      <c r="D6215" s="7">
        <v>5049</v>
      </c>
      <c r="E6215" s="7" t="s">
        <v>13</v>
      </c>
      <c r="F6215" s="8" t="str">
        <f ca="1">IFERROR(__xludf.DUMMYFUNCTION("IF
(
C6216=""фізична особа""
,
VLOOKUP(D6216,IMPORTRANGE(""https://docs.google.com/spreadsheets/d/14Bd19lYaqBhU8_DElYkX7l4wRkHqqCUFNJY4AfY3kHU/edit?usp=sharing  #gid=0"",""фіз особи new!relations_name""),6,FALSE)
,
(IF
(
C6216=""юридична особа""
,
VLOOKUP"&amp;"(D6216,IMPORTRANGE(""https://docs.google.com/spreadsheets/d/14Bd19lYaqBhU8_DElYkX7l4wRkHqqCUFNJY4AfY3kHU/edit?usp=sharing  #gid=0"",""фіз особи new!relations_name_uo""),7,FALSE)
,
)
))"),"НОСОВА Катерина Сергіївна")</f>
        <v>НОСОВА Катерина Сергіївна</v>
      </c>
      <c r="G6215" s="7" t="s">
        <v>10</v>
      </c>
      <c r="H6215" s="7">
        <v>2544</v>
      </c>
      <c r="I6215" s="8" t="str">
        <f ca="1">IFERROR(__xludf.DUMMYFUNCTION("IF
(
G6216=""фізична особа""
,
VLOOKUP(H6216,IMPORTRANGE(""https://docs.google.com/spreadsheets/d/14Bd19lYaqBhU8_DElYkX7l4wRkHqqCUFNJY4AfY3kHU/edit?usp=sharing  #gid=0"",""фіз особи new!relations_name""),6,FALSE)
,
(IF
(
G6216=""юридична особа""
,
VLOOKUP"&amp;"(H6216,IMPORTRANGE(""https://docs.google.com/spreadsheets/d/14Bd19lYaqBhU8_DElYkX7l4wRkHqqCUFNJY4AfY3kHU/edit?usp=sharing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J6215" s="7" t="s">
        <v>12</v>
      </c>
    </row>
    <row r="6216" spans="1:10" ht="13.2">
      <c r="A6216" s="7">
        <v>6215</v>
      </c>
      <c r="B6216" s="7">
        <v>1</v>
      </c>
      <c r="C6216" s="7" t="s">
        <v>10</v>
      </c>
      <c r="D6216" s="7">
        <v>5050</v>
      </c>
      <c r="E6216" s="7" t="s">
        <v>13</v>
      </c>
      <c r="F6216" s="8" t="str">
        <f ca="1">IFERROR(__xludf.DUMMYFUNCTION("IF
(
C6217=""фізична особа""
,
VLOOKUP(D6217,IMPORTRANGE(""https://docs.google.com/spreadsheets/d/14Bd19lYaqBhU8_DElYkX7l4wRkHqqCUFNJY4AfY3kHU/edit?usp=sharing  #gid=0"",""фіз особи new!relations_name""),6,FALSE)
,
(IF
(
C6217=""юридична особа""
,
VLOOKUP"&amp;"(D6217,IMPORTRANGE(""https://docs.google.com/spreadsheets/d/14Bd19lYaqBhU8_DElYkX7l4wRkHqqCUFNJY4AfY3kHU/edit?usp=sharing  #gid=0"",""фіз особи new!relations_name_uo""),7,FALSE)
,
)
))"),"НОСОВА Тетяна Сергіївна")</f>
        <v>НОСОВА Тетяна Сергіївна</v>
      </c>
      <c r="G6216" s="7" t="s">
        <v>10</v>
      </c>
      <c r="H6216" s="7">
        <v>2544</v>
      </c>
      <c r="I6216" s="8" t="str">
        <f ca="1">IFERROR(__xludf.DUMMYFUNCTION("IF
(
G6217=""фізична особа""
,
VLOOKUP(H6217,IMPORTRANGE(""https://docs.google.com/spreadsheets/d/14Bd19lYaqBhU8_DElYkX7l4wRkHqqCUFNJY4AfY3kHU/edit?usp=sharing  #gid=0"",""фіз особи new!relations_name""),6,FALSE)
,
(IF
(
G6217=""юридична особа""
,
VLOOKUP"&amp;"(H6217,IMPORTRANGE(""https://docs.google.com/spreadsheets/d/14Bd19lYaqBhU8_DElYkX7l4wRkHqqCUFNJY4AfY3kHU/edit?usp=sharing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J6216" s="7" t="s">
        <v>12</v>
      </c>
    </row>
    <row r="6217" spans="1:10" ht="13.2">
      <c r="A6217" s="7">
        <v>6216</v>
      </c>
      <c r="B6217" s="7">
        <v>1</v>
      </c>
      <c r="C6217" s="7" t="s">
        <v>10</v>
      </c>
      <c r="D6217" s="7">
        <v>5051</v>
      </c>
      <c r="E6217" s="7" t="s">
        <v>31</v>
      </c>
      <c r="F6217" s="8" t="str">
        <f ca="1">IFERROR(__xludf.DUMMYFUNCTION("IF
(
C6218=""фізична особа""
,
VLOOKUP(D6218,IMPORTRANGE(""https://docs.google.com/spreadsheets/d/14Bd19lYaqBhU8_DElYkX7l4wRkHqqCUFNJY4AfY3kHU/edit?usp=sharing  #gid=0"",""фіз особи new!relations_name""),6,FALSE)
,
(IF
(
C6218=""юридична особа""
,
VLOOKUP"&amp;"(D6218,IMPORTRANGE(""https://docs.google.com/spreadsheets/d/14Bd19lYaqBhU8_DElYkX7l4wRkHqqCUFNJY4AfY3kHU/edit?usp=sharing  #gid=0"",""фіз особи new!relations_name_uo""),7,FALSE)
,
)
))"),"НОСОВА Надія Костянтинівна")</f>
        <v>НОСОВА Надія Костянтинівна</v>
      </c>
      <c r="G6217" s="7" t="s">
        <v>10</v>
      </c>
      <c r="H6217" s="7">
        <v>2544</v>
      </c>
      <c r="I6217" s="8" t="str">
        <f ca="1">IFERROR(__xludf.DUMMYFUNCTION("IF
(
G6218=""фізична особа""
,
VLOOKUP(H6218,IMPORTRANGE(""https://docs.google.com/spreadsheets/d/14Bd19lYaqBhU8_DElYkX7l4wRkHqqCUFNJY4AfY3kHU/edit?usp=sharing  #gid=0"",""фіз особи new!relations_name""),6,FALSE)
,
(IF
(
G6218=""юридична особа""
,
VLOOKUP"&amp;"(H6218,IMPORTRANGE(""https://docs.google.com/spreadsheets/d/14Bd19lYaqBhU8_DElYkX7l4wRkHqqCUFNJY4AfY3kHU/edit?usp=sharing  #gid=0"",""фіз особи new!relations_name_uo""),7,FALSE)
,
)
))"),"НОСОВ Сергій Костянтинович")</f>
        <v>НОСОВ Сергій Костянтинович</v>
      </c>
      <c r="J6217" s="7" t="s">
        <v>18</v>
      </c>
    </row>
    <row r="6218" spans="1:10" ht="13.2">
      <c r="A6218" s="7">
        <v>6217</v>
      </c>
      <c r="B6218" s="7">
        <v>1</v>
      </c>
      <c r="C6218" s="7" t="s">
        <v>10</v>
      </c>
      <c r="D6218" s="7">
        <v>5052</v>
      </c>
      <c r="E6218" s="7" t="s">
        <v>15</v>
      </c>
      <c r="F6218" s="8" t="str">
        <f ca="1">IFERROR(__xludf.DUMMYFUNCTION("IF
(
C6219=""фізична особа""
,
VLOOKUP(D6219,IMPORTRANGE(""https://docs.google.com/spreadsheets/d/14Bd19lYaqBhU8_DElYkX7l4wRkHqqCUFNJY4AfY3kHU/edit?usp=sharing  #gid=0"",""фіз особи new!relations_name""),6,FALSE)
,
(IF
(
C6219=""юридична особа""
,
VLOOKUP"&amp;"(D6219,IMPORTRANGE(""https://docs.google.com/spreadsheets/d/14Bd19lYaqBhU8_DElYkX7l4wRkHqqCUFNJY4AfY3kHU/edit?usp=sharing  #gid=0"",""фіз особи new!relations_name_uo""),7,FALSE)
,
)
))"),"Решетнікова / Панькова Ганна Сергіївна")</f>
        <v>Решетнікова / Панькова Ганна Сергіївна</v>
      </c>
      <c r="G6218" s="7" t="s">
        <v>10</v>
      </c>
      <c r="H6218" s="7">
        <v>435</v>
      </c>
      <c r="I6218" s="8" t="str">
        <f ca="1">IFERROR(__xludf.DUMMYFUNCTION("IF
(
G6219=""фізична особа""
,
VLOOKUP(H6219,IMPORTRANGE(""https://docs.google.com/spreadsheets/d/14Bd19lYaqBhU8_DElYkX7l4wRkHqqCUFNJY4AfY3kHU/edit?usp=sharing  #gid=0"",""фіз особи new!relations_name""),6,FALSE)
,
(IF
(
G6219=""юридична особа""
,
VLOOKUP"&amp;"(H6219,IMPORTRANGE(""https://docs.google.com/spreadsheets/d/14Bd19lYaqBhU8_DElYkX7l4wRkHqqCUFNJY4AfY3kHU/edit?usp=sharing  #gid=0"",""фіз особи new!relations_name_uo""),7,FALSE)
,
)
))"),"РЕШЕТНІКОВ Максим Геннадійович")</f>
        <v>РЕШЕТНІКОВ Максим Геннадійович</v>
      </c>
      <c r="J6218" s="7" t="s">
        <v>14</v>
      </c>
    </row>
    <row r="6219" spans="1:10" ht="13.2">
      <c r="A6219" s="7">
        <v>6218</v>
      </c>
      <c r="B6219" s="7">
        <v>1</v>
      </c>
      <c r="C6219" s="7" t="s">
        <v>10</v>
      </c>
      <c r="D6219" s="7">
        <v>5053</v>
      </c>
      <c r="E6219" s="7" t="s">
        <v>17</v>
      </c>
      <c r="F6219" s="8" t="str">
        <f ca="1">IFERROR(__xludf.DUMMYFUNCTION("IF
(
C6220=""фізична особа""
,
VLOOKUP(D6220,IMPORTRANGE(""https://docs.google.com/spreadsheets/d/14Bd19lYaqBhU8_DElYkX7l4wRkHqqCUFNJY4AfY3kHU/edit?usp=sharing  #gid=0"",""фіз особи new!relations_name""),6,FALSE)
,
(IF
(
C6220=""юридична особа""
,
VLOOKUP"&amp;"(D6220,IMPORTRANGE(""https://docs.google.com/spreadsheets/d/14Bd19lYaqBhU8_DElYkX7l4wRkHqqCUFNJY4AfY3kHU/edit?usp=sharing  #gid=0"",""фіз особи new!relations_name_uo""),7,FALSE)
,
)
))"),"ЗАЙЦЕВ Олександр Олександрович")</f>
        <v>ЗАЙЦЕВ Олександр Олександрович</v>
      </c>
      <c r="G6219" s="7" t="s">
        <v>10</v>
      </c>
      <c r="H6219" s="7">
        <v>332</v>
      </c>
      <c r="I6219" s="8" t="str">
        <f ca="1">IFERROR(__xludf.DUMMYFUNCTION("IF
(
G6220=""фізична особа""
,
VLOOKUP(H6220,IMPORTRANGE(""https://docs.google.com/spreadsheets/d/14Bd19lYaqBhU8_DElYkX7l4wRkHqqCUFNJY4AfY3kHU/edit?usp=sharing  #gid=0"",""фіз особи new!relations_name""),6,FALSE)
,
(IF
(
G6220=""юридична особа""
,
VLOOKUP"&amp;"(H6220,IMPORTRANGE(""https://docs.google.com/spreadsheets/d/14Bd19lYaqBhU8_DElYkX7l4wRkHqqCUFNJY4AfY3kHU/edit?usp=sharing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J6219" s="7" t="s">
        <v>21</v>
      </c>
    </row>
    <row r="6220" spans="1:10" ht="13.2">
      <c r="A6220" s="7">
        <v>6219</v>
      </c>
      <c r="B6220" s="7">
        <v>1</v>
      </c>
      <c r="C6220" s="7" t="s">
        <v>10</v>
      </c>
      <c r="D6220" s="7">
        <v>5054</v>
      </c>
      <c r="E6220" s="7" t="s">
        <v>13</v>
      </c>
      <c r="F6220" s="8" t="str">
        <f ca="1">IFERROR(__xludf.DUMMYFUNCTION("IF
(
C6221=""фізична особа""
,
VLOOKUP(D6221,IMPORTRANGE(""https://docs.google.com/spreadsheets/d/14Bd19lYaqBhU8_DElYkX7l4wRkHqqCUFNJY4AfY3kHU/edit?usp=sharing  #gid=0"",""фіз особи new!relations_name""),6,FALSE)
,
(IF
(
C6221=""юридична особа""
,
VLOOKUP"&amp;"(D6221,IMPORTRANGE(""https://docs.google.com/spreadsheets/d/14Bd19lYaqBhU8_DElYkX7l4wRkHqqCUFNJY4AfY3kHU/edit?usp=sharing  #gid=0"",""фіз особи new!relations_name_uo""),7,FALSE)
,
)
))"),"МІНЬКОВСЬКА Альона Леонідівна")</f>
        <v>МІНЬКОВСЬКА Альона Леонідівна</v>
      </c>
      <c r="G6220" s="7" t="s">
        <v>10</v>
      </c>
      <c r="H6220" s="7">
        <v>332</v>
      </c>
      <c r="I6220" s="8" t="str">
        <f ca="1">IFERROR(__xludf.DUMMYFUNCTION("IF
(
G6221=""фізична особа""
,
VLOOKUP(H6221,IMPORTRANGE(""https://docs.google.com/spreadsheets/d/14Bd19lYaqBhU8_DElYkX7l4wRkHqqCUFNJY4AfY3kHU/edit?usp=sharing  #gid=0"",""фіз особи new!relations_name""),6,FALSE)
,
(IF
(
G6221=""юридична особа""
,
VLOOKUP"&amp;"(H6221,IMPORTRANGE(""https://docs.google.com/spreadsheets/d/14Bd19lYaqBhU8_DElYkX7l4wRkHqqCUFNJY4AfY3kHU/edit?usp=sharing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J6220" s="7" t="s">
        <v>21</v>
      </c>
    </row>
    <row r="6221" spans="1:10" ht="13.2">
      <c r="A6221" s="7">
        <v>6220</v>
      </c>
      <c r="B6221" s="7">
        <v>1</v>
      </c>
      <c r="C6221" s="7" t="s">
        <v>10</v>
      </c>
      <c r="D6221" s="7">
        <v>332</v>
      </c>
      <c r="E6221" s="7" t="s">
        <v>30</v>
      </c>
      <c r="F6221" s="8" t="str">
        <f ca="1">IFERROR(__xludf.DUMMYFUNCTION("IF
(
C6222=""фізична особа""
,
VLOOKUP(D6222,IMPORTRANGE(""https://docs.google.com/spreadsheets/d/14Bd19lYaqBhU8_DElYkX7l4wRkHqqCUFNJY4AfY3kHU/edit?usp=sharing  #gid=0"",""фіз особи new!relations_name""),6,FALSE)
,
(IF
(
C6222=""юридична особа""
,
VLOOKUP"&amp;"(D6222,IMPORTRANGE(""https://docs.google.com/spreadsheets/d/14Bd19lYaqBhU8_DElYkX7l4wRkHqqCUFNJY4AfY3kHU/edit?usp=sharing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G6221" s="7" t="s">
        <v>10</v>
      </c>
      <c r="H6221" s="7">
        <v>0</v>
      </c>
      <c r="I6221" s="8" t="str">
        <f ca="1">IFERROR(__xludf.DUMMYFUNCTION("IF
(
G6222=""фізична особа""
,
VLOOKUP(H6222,IMPORTRANGE(""https://docs.google.com/spreadsheets/d/14Bd19lYaqBhU8_DElYkX7l4wRkHqqCUFNJY4AfY3kHU/edit?usp=sharing  #gid=0"",""фіз особи new!relations_name""),6,FALSE)
,
(IF
(
G6222=""юридична особа""
,
VLOOKUP"&amp;"(H6222,IMPORTRANGE(""https://docs.google.com/spreadsheets/d/14Bd19lYaqBhU8_DElYkX7l4wRkHqqCUFNJY4AfY3kHU/edit?usp=sharing  #gid=0"",""фіз особи new!relations_name_uo""),7,FALSE)
,
)
))"),"#N/A")</f>
        <v>#N/A</v>
      </c>
      <c r="J6221" s="7" t="s">
        <v>30</v>
      </c>
    </row>
    <row r="6222" spans="1:10" ht="13.2">
      <c r="A6222" s="7">
        <v>6221</v>
      </c>
      <c r="B6222" s="7">
        <v>1</v>
      </c>
      <c r="C6222" s="7" t="s">
        <v>10</v>
      </c>
      <c r="D6222" s="7">
        <v>5055</v>
      </c>
      <c r="E6222" s="7" t="s">
        <v>15</v>
      </c>
      <c r="F6222" s="8" t="str">
        <f ca="1">IFERROR(__xludf.DUMMYFUNCTION("IF
(
C6223=""фізична особа""
,
VLOOKUP(D6223,IMPORTRANGE(""https://docs.google.com/spreadsheets/d/14Bd19lYaqBhU8_DElYkX7l4wRkHqqCUFNJY4AfY3kHU/edit?usp=sharing  #gid=0"",""фіз особи new!relations_name""),6,FALSE)
,
(IF
(
C6223=""юридична особа""
,
VLOOKUP"&amp;"(D6223,IMPORTRANGE(""https://docs.google.com/spreadsheets/d/14Bd19lYaqBhU8_DElYkX7l4wRkHqqCUFNJY4AfY3kHU/edit?usp=sharing  #gid=0"",""фіз особи new!relations_name_uo""),7,FALSE)
,
)
))"),"РУДЕНЯ Ольга")</f>
        <v>РУДЕНЯ Ольга</v>
      </c>
      <c r="G6222" s="7" t="s">
        <v>10</v>
      </c>
      <c r="H6222" s="7">
        <v>2562</v>
      </c>
      <c r="I6222" s="8" t="str">
        <f ca="1">IFERROR(__xludf.DUMMYFUNCTION("IF
(
G6223=""фізична особа""
,
VLOOKUP(H6223,IMPORTRANGE(""https://docs.google.com/spreadsheets/d/14Bd19lYaqBhU8_DElYkX7l4wRkHqqCUFNJY4AfY3kHU/edit?usp=sharing  #gid=0"",""фіз особи new!relations_name""),6,FALSE)
,
(IF
(
G6223=""юридична особа""
,
VLOOKUP"&amp;"(H6223,IMPORTRANGE(""https://docs.google.com/spreadsheets/d/14Bd19lYaqBhU8_DElYkX7l4wRkHqqCUFNJY4AfY3kHU/edit?usp=sharing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2" s="7" t="s">
        <v>14</v>
      </c>
    </row>
    <row r="6223" spans="1:10" ht="13.2">
      <c r="A6223" s="7">
        <v>6222</v>
      </c>
      <c r="B6223" s="7">
        <v>1</v>
      </c>
      <c r="C6223" s="7" t="s">
        <v>10</v>
      </c>
      <c r="D6223" s="7">
        <v>5056</v>
      </c>
      <c r="E6223" s="7" t="s">
        <v>17</v>
      </c>
      <c r="F6223" s="8" t="str">
        <f ca="1">IFERROR(__xludf.DUMMYFUNCTION("IF
(
C6224=""фізична особа""
,
VLOOKUP(D6224,IMPORTRANGE(""https://docs.google.com/spreadsheets/d/14Bd19lYaqBhU8_DElYkX7l4wRkHqqCUFNJY4AfY3kHU/edit?usp=sharing  #gid=0"",""фіз особи new!relations_name""),6,FALSE)
,
(IF
(
C6224=""юридична особа""
,
VLOOKUP"&amp;"(D6224,IMPORTRANGE(""https://docs.google.com/spreadsheets/d/14Bd19lYaqBhU8_DElYkX7l4wRkHqqCUFNJY4AfY3kHU/edit?usp=sharing  #gid=0"",""фіз особи new!relations_name_uo""),7,FALSE)
,
)
))"),"РУДЕНЯ Георгій Ігорович")</f>
        <v>РУДЕНЯ Георгій Ігорович</v>
      </c>
      <c r="G6223" s="7" t="s">
        <v>10</v>
      </c>
      <c r="H6223" s="7">
        <v>2562</v>
      </c>
      <c r="I6223" s="8" t="str">
        <f ca="1">IFERROR(__xludf.DUMMYFUNCTION("IF
(
G6224=""фізична особа""
,
VLOOKUP(H6224,IMPORTRANGE(""https://docs.google.com/spreadsheets/d/14Bd19lYaqBhU8_DElYkX7l4wRkHqqCUFNJY4AfY3kHU/edit?usp=sharing  #gid=0"",""фіз особи new!relations_name""),6,FALSE)
,
(IF
(
G6224=""юридична особа""
,
VLOOKUP"&amp;"(H6224,IMPORTRANGE(""https://docs.google.com/spreadsheets/d/14Bd19lYaqBhU8_DElYkX7l4wRkHqqCUFNJY4AfY3kHU/edit?usp=sharing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3" s="7" t="s">
        <v>12</v>
      </c>
    </row>
    <row r="6224" spans="1:10" ht="13.2">
      <c r="A6224" s="7">
        <v>6223</v>
      </c>
      <c r="B6224" s="7">
        <v>1</v>
      </c>
      <c r="C6224" s="7" t="s">
        <v>10</v>
      </c>
      <c r="D6224" s="7">
        <v>5057</v>
      </c>
      <c r="E6224" s="7" t="s">
        <v>17</v>
      </c>
      <c r="F6224" s="8" t="str">
        <f ca="1">IFERROR(__xludf.DUMMYFUNCTION("IF
(
C6225=""фізична особа""
,
VLOOKUP(D6225,IMPORTRANGE(""https://docs.google.com/spreadsheets/d/14Bd19lYaqBhU8_DElYkX7l4wRkHqqCUFNJY4AfY3kHU/edit?usp=sharing  #gid=0"",""фіз особи new!relations_name""),6,FALSE)
,
(IF
(
C6225=""юридична особа""
,
VLOOKUP"&amp;"(D6225,IMPORTRANGE(""https://docs.google.com/spreadsheets/d/14Bd19lYaqBhU8_DElYkX7l4wRkHqqCUFNJY4AfY3kHU/edit?usp=sharing  #gid=0"",""фіз особи new!relations_name_uo""),7,FALSE)
,
)
))"),"РУДЕНЯ Михайло Ігорович")</f>
        <v>РУДЕНЯ Михайло Ігорович</v>
      </c>
      <c r="G6224" s="7" t="s">
        <v>10</v>
      </c>
      <c r="H6224" s="7">
        <v>2562</v>
      </c>
      <c r="I6224" s="8" t="str">
        <f ca="1">IFERROR(__xludf.DUMMYFUNCTION("IF
(
G6225=""фізична особа""
,
VLOOKUP(H6225,IMPORTRANGE(""https://docs.google.com/spreadsheets/d/14Bd19lYaqBhU8_DElYkX7l4wRkHqqCUFNJY4AfY3kHU/edit?usp=sharing  #gid=0"",""фіз особи new!relations_name""),6,FALSE)
,
(IF
(
G6225=""юридична особа""
,
VLOOKUP"&amp;"(H6225,IMPORTRANGE(""https://docs.google.com/spreadsheets/d/14Bd19lYaqBhU8_DElYkX7l4wRkHqqCUFNJY4AfY3kHU/edit?usp=sharing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4" s="7" t="s">
        <v>12</v>
      </c>
    </row>
    <row r="6225" spans="1:10" ht="13.2">
      <c r="A6225" s="7">
        <v>6224</v>
      </c>
      <c r="B6225" s="7">
        <v>1</v>
      </c>
      <c r="C6225" s="7" t="s">
        <v>10</v>
      </c>
      <c r="D6225" s="7">
        <v>5058</v>
      </c>
      <c r="E6225" s="7" t="s">
        <v>17</v>
      </c>
      <c r="F6225" s="8" t="str">
        <f ca="1">IFERROR(__xludf.DUMMYFUNCTION("IF
(
C6226=""фізична особа""
,
VLOOKUP(D6226,IMPORTRANGE(""https://docs.google.com/spreadsheets/d/14Bd19lYaqBhU8_DElYkX7l4wRkHqqCUFNJY4AfY3kHU/edit?usp=sharing  #gid=0"",""фіз особи new!relations_name""),6,FALSE)
,
(IF
(
C6226=""юридична особа""
,
VLOOKUP"&amp;"(D6226,IMPORTRANGE(""https://docs.google.com/spreadsheets/d/14Bd19lYaqBhU8_DElYkX7l4wRkHqqCUFNJY4AfY3kHU/edit?usp=sharing  #gid=0"",""фіз особи new!relations_name_uo""),7,FALSE)
,
)
))"),"РУДЕНЯ Данило Ігорович")</f>
        <v>РУДЕНЯ Данило Ігорович</v>
      </c>
      <c r="G6225" s="7" t="s">
        <v>10</v>
      </c>
      <c r="H6225" s="7">
        <v>2562</v>
      </c>
      <c r="I6225" s="8" t="str">
        <f ca="1">IFERROR(__xludf.DUMMYFUNCTION("IF
(
G6226=""фізична особа""
,
VLOOKUP(H6226,IMPORTRANGE(""https://docs.google.com/spreadsheets/d/14Bd19lYaqBhU8_DElYkX7l4wRkHqqCUFNJY4AfY3kHU/edit?usp=sharing  #gid=0"",""фіз особи new!relations_name""),6,FALSE)
,
(IF
(
G6226=""юридична особа""
,
VLOOKUP"&amp;"(H6226,IMPORTRANGE(""https://docs.google.com/spreadsheets/d/14Bd19lYaqBhU8_DElYkX7l4wRkHqqCUFNJY4AfY3kHU/edit?usp=sharing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5" s="7" t="s">
        <v>12</v>
      </c>
    </row>
    <row r="6226" spans="1:10" ht="13.2">
      <c r="A6226" s="7">
        <v>6225</v>
      </c>
      <c r="B6226" s="7">
        <v>1</v>
      </c>
      <c r="C6226" s="7" t="s">
        <v>10</v>
      </c>
      <c r="D6226" s="7">
        <v>5059</v>
      </c>
      <c r="E6226" s="7" t="s">
        <v>13</v>
      </c>
      <c r="F6226" s="8" t="str">
        <f ca="1">IFERROR(__xludf.DUMMYFUNCTION("IF
(
C6227=""фізична особа""
,
VLOOKUP(D6227,IMPORTRANGE(""https://docs.google.com/spreadsheets/d/14Bd19lYaqBhU8_DElYkX7l4wRkHqqCUFNJY4AfY3kHU/edit?usp=sharing  #gid=0"",""фіз особи new!relations_name""),6,FALSE)
,
(IF
(
C6227=""юридична особа""
,
VLOOKUP"&amp;"(D6227,IMPORTRANGE(""https://docs.google.com/spreadsheets/d/14Bd19lYaqBhU8_DElYkX7l4wRkHqqCUFNJY4AfY3kHU/edit?usp=sharing  #gid=0"",""фіз особи new!relations_name_uo""),7,FALSE)
,
)
))"),"РУДЕНЯ Ганна Ігорівна")</f>
        <v>РУДЕНЯ Ганна Ігорівна</v>
      </c>
      <c r="G6226" s="7" t="s">
        <v>10</v>
      </c>
      <c r="H6226" s="7">
        <v>2562</v>
      </c>
      <c r="I6226" s="8" t="str">
        <f ca="1">IFERROR(__xludf.DUMMYFUNCTION("IF
(
G6227=""фізична особа""
,
VLOOKUP(H6227,IMPORTRANGE(""https://docs.google.com/spreadsheets/d/14Bd19lYaqBhU8_DElYkX7l4wRkHqqCUFNJY4AfY3kHU/edit?usp=sharing  #gid=0"",""фіз особи new!relations_name""),6,FALSE)
,
(IF
(
G6227=""юридична особа""
,
VLOOKUP"&amp;"(H6227,IMPORTRANGE(""https://docs.google.com/spreadsheets/d/14Bd19lYaqBhU8_DElYkX7l4wRkHqqCUFNJY4AfY3kHU/edit?usp=sharing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6" s="7" t="s">
        <v>12</v>
      </c>
    </row>
    <row r="6227" spans="1:10" ht="13.2">
      <c r="A6227" s="7">
        <v>6226</v>
      </c>
      <c r="B6227" s="7">
        <v>1</v>
      </c>
      <c r="C6227" s="7" t="s">
        <v>10</v>
      </c>
      <c r="D6227" s="7">
        <v>5060</v>
      </c>
      <c r="E6227" s="7" t="s">
        <v>21</v>
      </c>
      <c r="F6227" s="8" t="str">
        <f ca="1">IFERROR(__xludf.DUMMYFUNCTION("IF
(
C6228=""фізична особа""
,
VLOOKUP(D6228,IMPORTRANGE(""https://docs.google.com/spreadsheets/d/14Bd19lYaqBhU8_DElYkX7l4wRkHqqCUFNJY4AfY3kHU/edit?usp=sharing  #gid=0"",""фіз особи new!relations_name""),6,FALSE)
,
(IF
(
C6228=""юридична особа""
,
VLOOKUP"&amp;"(D6228,IMPORTRANGE(""https://docs.google.com/spreadsheets/d/14Bd19lYaqBhU8_DElYkX7l4wRkHqqCUFNJY4AfY3kHU/edit?usp=sharing  #gid=0"",""фіз особи new!relations_name_uo""),7,FALSE)
,
)
))"),"РУДЕНЯ Світлана Михайлівна")</f>
        <v>РУДЕНЯ Світлана Михайлівна</v>
      </c>
      <c r="G6227" s="7" t="s">
        <v>10</v>
      </c>
      <c r="H6227" s="7">
        <v>2562</v>
      </c>
      <c r="I6227" s="8" t="str">
        <f ca="1">IFERROR(__xludf.DUMMYFUNCTION("IF
(
G6228=""фізична особа""
,
VLOOKUP(H6228,IMPORTRANGE(""https://docs.google.com/spreadsheets/d/14Bd19lYaqBhU8_DElYkX7l4wRkHqqCUFNJY4AfY3kHU/edit?usp=sharing  #gid=0"",""фіз особи new!relations_name""),6,FALSE)
,
(IF
(
G6228=""юридична особа""
,
VLOOKUP"&amp;"(H6228,IMPORTRANGE(""https://docs.google.com/spreadsheets/d/14Bd19lYaqBhU8_DElYkX7l4wRkHqqCUFNJY4AfY3kHU/edit?usp=sharing  #gid=0"",""фіз особи new!relations_name_uo""),7,FALSE)
,
)
))"),"РУДЕНЯ Ігор Михайлович")</f>
        <v>РУДЕНЯ Ігор Михайлович</v>
      </c>
      <c r="J6227" s="7" t="s">
        <v>17</v>
      </c>
    </row>
    <row r="6228" spans="1:10" ht="13.2">
      <c r="A6228" s="7">
        <v>6227</v>
      </c>
      <c r="B6228" s="7">
        <v>1</v>
      </c>
      <c r="C6228" s="7" t="s">
        <v>10</v>
      </c>
      <c r="D6228" s="7">
        <v>5061</v>
      </c>
      <c r="E6228" s="7" t="s">
        <v>13</v>
      </c>
      <c r="F6228" s="8" t="str">
        <f ca="1">IFERROR(__xludf.DUMMYFUNCTION("IF
(
C6229=""фізична особа""
,
VLOOKUP(D6229,IMPORTRANGE(""https://docs.google.com/spreadsheets/d/14Bd19lYaqBhU8_DElYkX7l4wRkHqqCUFNJY4AfY3kHU/edit?usp=sharing  #gid=0"",""фіз особи new!relations_name""),6,FALSE)
,
(IF
(
C6229=""юридична особа""
,
VLOOKUP"&amp;"(D6229,IMPORTRANGE(""https://docs.google.com/spreadsheets/d/14Bd19lYaqBhU8_DElYkX7l4wRkHqqCUFNJY4AfY3kHU/edit?usp=sharing  #gid=0"",""фіз особи new!relations_name_uo""),7,FALSE)
,
)
))"),"САДОВНИЧА Інна Вікторівна")</f>
        <v>САДОВНИЧА Інна Вікторівна</v>
      </c>
      <c r="G6228" s="7" t="s">
        <v>10</v>
      </c>
      <c r="H6228" s="7">
        <v>23550</v>
      </c>
      <c r="I6228" s="8" t="str">
        <f ca="1">IFERROR(__xludf.DUMMYFUNCTION("IF
(
G6229=""фізична особа""
,
VLOOKUP(H6229,IMPORTRANGE(""https://docs.google.com/spreadsheets/d/14Bd19lYaqBhU8_DElYkX7l4wRkHqqCUFNJY4AfY3kHU/edit?usp=sharing  #gid=0"",""фіз особи new!relations_name""),6,FALSE)
,
(IF
(
G6229=""юридична особа""
,
VLOOKUP"&amp;"(H6229,IMPORTRANGE(""https://docs.google.com/spreadsheets/d/14Bd19lYaqBhU8_DElYkX7l4wRkHqqCUFNJY4AfY3kHU/edit?usp=sharing  #gid=0"",""фіз особи new!relations_name_uo""),7,FALSE)
,
)
))"),"САДОВНІЧЕВ Віктор Антонович")</f>
        <v>САДОВНІЧЕВ Віктор Антонович</v>
      </c>
      <c r="J6228" s="7" t="s">
        <v>12</v>
      </c>
    </row>
    <row r="6229" spans="1:10" ht="13.2">
      <c r="A6229" s="7">
        <v>6228</v>
      </c>
      <c r="B6229" s="7">
        <v>1</v>
      </c>
      <c r="C6229" s="7" t="s">
        <v>10</v>
      </c>
      <c r="D6229" s="7">
        <v>5062</v>
      </c>
      <c r="E6229" s="7" t="s">
        <v>13</v>
      </c>
      <c r="F6229" s="8" t="str">
        <f ca="1">IFERROR(__xludf.DUMMYFUNCTION("IF
(
C6230=""фізична особа""
,
VLOOKUP(D6230,IMPORTRANGE(""https://docs.google.com/spreadsheets/d/14Bd19lYaqBhU8_DElYkX7l4wRkHqqCUFNJY4AfY3kHU/edit?usp=sharing  #gid=0"",""фіз особи new!relations_name""),6,FALSE)
,
(IF
(
C6230=""юридична особа""
,
VLOOKUP"&amp;"(D6230,IMPORTRANGE(""https://docs.google.com/spreadsheets/d/14Bd19lYaqBhU8_DElYkX7l4wRkHqqCUFNJY4AfY3kHU/edit?usp=sharing  #gid=0"",""фіз особи new!relations_name_uo""),7,FALSE)
,
)
))"),"САДОВНИЧА Ганна Вікторівна")</f>
        <v>САДОВНИЧА Ганна Вікторівна</v>
      </c>
      <c r="G6229" s="7" t="s">
        <v>10</v>
      </c>
      <c r="H6229" s="7">
        <v>23550</v>
      </c>
      <c r="I6229" s="8" t="str">
        <f ca="1">IFERROR(__xludf.DUMMYFUNCTION("IF
(
G6230=""фізична особа""
,
VLOOKUP(H6230,IMPORTRANGE(""https://docs.google.com/spreadsheets/d/14Bd19lYaqBhU8_DElYkX7l4wRkHqqCUFNJY4AfY3kHU/edit?usp=sharing  #gid=0"",""фіз особи new!relations_name""),6,FALSE)
,
(IF
(
G6230=""юридична особа""
,
VLOOKUP"&amp;"(H6230,IMPORTRANGE(""https://docs.google.com/spreadsheets/d/14Bd19lYaqBhU8_DElYkX7l4wRkHqqCUFNJY4AfY3kHU/edit?usp=sharing  #gid=0"",""фіз особи new!relations_name_uo""),7,FALSE)
,
)
))"),"САДОВНІЧЕВ Віктор Антонович")</f>
        <v>САДОВНІЧЕВ Віктор Антонович</v>
      </c>
      <c r="J6229" s="7" t="s">
        <v>12</v>
      </c>
    </row>
    <row r="6230" spans="1:10" ht="13.2">
      <c r="A6230" s="7">
        <v>6229</v>
      </c>
      <c r="B6230" s="7">
        <v>1</v>
      </c>
      <c r="C6230" s="7" t="s">
        <v>10</v>
      </c>
      <c r="D6230" s="7">
        <v>5063</v>
      </c>
      <c r="E6230" s="7" t="s">
        <v>17</v>
      </c>
      <c r="F6230" s="8" t="str">
        <f ca="1">IFERROR(__xludf.DUMMYFUNCTION("IF
(
C6231=""фізична особа""
,
VLOOKUP(D6231,IMPORTRANGE(""https://docs.google.com/spreadsheets/d/14Bd19lYaqBhU8_DElYkX7l4wRkHqqCUFNJY4AfY3kHU/edit?usp=sharing  #gid=0"",""фіз особи new!relations_name""),6,FALSE)
,
(IF
(
C6231=""юридична особа""
,
VLOOKUP"&amp;"(D6231,IMPORTRANGE(""https://docs.google.com/spreadsheets/d/14Bd19lYaqBhU8_DElYkX7l4wRkHqqCUFNJY4AfY3kHU/edit?usp=sharing  #gid=0"",""фіз особи new!relations_name_uo""),7,FALSE)
,
)
))"),"САДОВНИЧИЙ Юрій Вікторович")</f>
        <v>САДОВНИЧИЙ Юрій Вікторович</v>
      </c>
      <c r="G6230" s="7" t="s">
        <v>10</v>
      </c>
      <c r="H6230" s="7">
        <v>23550</v>
      </c>
      <c r="I6230" s="8" t="str">
        <f ca="1">IFERROR(__xludf.DUMMYFUNCTION("IF
(
G6231=""фізична особа""
,
VLOOKUP(H6231,IMPORTRANGE(""https://docs.google.com/spreadsheets/d/14Bd19lYaqBhU8_DElYkX7l4wRkHqqCUFNJY4AfY3kHU/edit?usp=sharing  #gid=0"",""фіз особи new!relations_name""),6,FALSE)
,
(IF
(
G6231=""юридична особа""
,
VLOOKUP"&amp;"(H6231,IMPORTRANGE(""https://docs.google.com/spreadsheets/d/14Bd19lYaqBhU8_DElYkX7l4wRkHqqCUFNJY4AfY3kHU/edit?usp=sharing  #gid=0"",""фіз особи new!relations_name_uo""),7,FALSE)
,
)
))"),"САДОВНІЧЕВ Віктор Антонович")</f>
        <v>САДОВНІЧЕВ Віктор Антонович</v>
      </c>
      <c r="J6230" s="7" t="s">
        <v>12</v>
      </c>
    </row>
    <row r="6231" spans="1:10" ht="13.2">
      <c r="A6231" s="7">
        <v>6230</v>
      </c>
      <c r="B6231" s="7">
        <v>1</v>
      </c>
      <c r="C6231" s="7" t="s">
        <v>10</v>
      </c>
      <c r="D6231" s="7">
        <v>5064</v>
      </c>
      <c r="E6231" s="7" t="s">
        <v>15</v>
      </c>
      <c r="F6231" s="8" t="str">
        <f ca="1">IFERROR(__xludf.DUMMYFUNCTION("IF
(
C6232=""фізична особа""
,
VLOOKUP(D6232,IMPORTRANGE(""https://docs.google.com/spreadsheets/d/14Bd19lYaqBhU8_DElYkX7l4wRkHqqCUFNJY4AfY3kHU/edit?usp=sharing  #gid=0"",""фіз особи new!relations_name""),6,FALSE)
,
(IF
(
C6232=""юридична особа""
,
VLOOKUP"&amp;"(D6232,IMPORTRANGE(""https://docs.google.com/spreadsheets/d/14Bd19lYaqBhU8_DElYkX7l4wRkHqqCUFNJY4AfY3kHU/edit?usp=sharing  #gid=0"",""фіз особи new!relations_name_uo""),7,FALSE)
,
)
))"),"САДОВНИЧА Ада Петрівна")</f>
        <v>САДОВНИЧА Ада Петрівна</v>
      </c>
      <c r="G6231" s="7" t="s">
        <v>10</v>
      </c>
      <c r="H6231" s="7">
        <v>23550</v>
      </c>
      <c r="I6231" s="8" t="str">
        <f ca="1">IFERROR(__xludf.DUMMYFUNCTION("IF
(
G6232=""фізична особа""
,
VLOOKUP(H6232,IMPORTRANGE(""https://docs.google.com/spreadsheets/d/14Bd19lYaqBhU8_DElYkX7l4wRkHqqCUFNJY4AfY3kHU/edit?usp=sharing  #gid=0"",""фіз особи new!relations_name""),6,FALSE)
,
(IF
(
G6232=""юридична особа""
,
VLOOKUP"&amp;"(H6232,IMPORTRANGE(""https://docs.google.com/spreadsheets/d/14Bd19lYaqBhU8_DElYkX7l4wRkHqqCUFNJY4AfY3kHU/edit?usp=sharing  #gid=0"",""фіз особи new!relations_name_uo""),7,FALSE)
,
)
))"),"САДОВНІЧЕВ Віктор Антонович")</f>
        <v>САДОВНІЧЕВ Віктор Антонович</v>
      </c>
      <c r="J6231" s="7" t="s">
        <v>14</v>
      </c>
    </row>
    <row r="6232" spans="1:10" ht="13.2">
      <c r="A6232" s="7">
        <v>6231</v>
      </c>
      <c r="B6232" s="7">
        <v>1</v>
      </c>
      <c r="C6232" s="7" t="s">
        <v>10</v>
      </c>
      <c r="D6232" s="7">
        <v>5065</v>
      </c>
      <c r="E6232" s="7" t="s">
        <v>13</v>
      </c>
      <c r="F6232" s="8" t="str">
        <f ca="1">IFERROR(__xludf.DUMMYFUNCTION("IF
(
C6233=""фізична особа""
,
VLOOKUP(D6233,IMPORTRANGE(""https://docs.google.com/spreadsheets/d/14Bd19lYaqBhU8_DElYkX7l4wRkHqqCUFNJY4AfY3kHU/edit?usp=sharing  #gid=0"",""фіз особи new!relations_name""),6,FALSE)
,
(IF
(
C6233=""юридична особа""
,
VLOOKUP"&amp;"(D6233,IMPORTRANGE(""https://docs.google.com/spreadsheets/d/14Bd19lYaqBhU8_DElYkX7l4wRkHqqCUFNJY4AfY3kHU/edit?usp=sharing  #gid=0"",""фіз особи new!relations_name_uo""),7,FALSE)
,
)
))"),"СОБЯНІНА Ганна Сергіївна")</f>
        <v>СОБЯНІНА Ганна Сергіївна</v>
      </c>
      <c r="G6232" s="7" t="s">
        <v>10</v>
      </c>
      <c r="H6232" s="7">
        <v>677</v>
      </c>
      <c r="I6232" s="8" t="str">
        <f ca="1">IFERROR(__xludf.DUMMYFUNCTION("IF
(
G6233=""фізична особа""
,
VLOOKUP(H6233,IMPORTRANGE(""https://docs.google.com/spreadsheets/d/14Bd19lYaqBhU8_DElYkX7l4wRkHqqCUFNJY4AfY3kHU/edit?usp=sharing  #gid=0"",""фіз особи new!relations_name""),6,FALSE)
,
(IF
(
G6233=""юридична особа""
,
VLOOKUP"&amp;"(H6233,IMPORTRANGE(""https://docs.google.com/spreadsheets/d/14Bd19lYaqBhU8_DElYkX7l4wRkHqqCUFNJY4AfY3kHU/edit?usp=sharing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6232" s="7" t="s">
        <v>12</v>
      </c>
    </row>
    <row r="6233" spans="1:10" ht="13.2">
      <c r="A6233" s="7">
        <v>6232</v>
      </c>
      <c r="B6233" s="7">
        <v>1</v>
      </c>
      <c r="C6233" s="7" t="s">
        <v>10</v>
      </c>
      <c r="D6233" s="7">
        <v>5066</v>
      </c>
      <c r="E6233" s="7" t="s">
        <v>13</v>
      </c>
      <c r="F6233" s="8" t="str">
        <f ca="1">IFERROR(__xludf.DUMMYFUNCTION("IF
(
C6234=""фізична особа""
,
VLOOKUP(D6234,IMPORTRANGE(""https://docs.google.com/spreadsheets/d/14Bd19lYaqBhU8_DElYkX7l4wRkHqqCUFNJY4AfY3kHU/edit?usp=sharing  #gid=0"",""фіз особи new!relations_name""),6,FALSE)
,
(IF
(
C6234=""юридична особа""
,
VLOOKUP"&amp;"(D6234,IMPORTRANGE(""https://docs.google.com/spreadsheets/d/14Bd19lYaqBhU8_DElYkX7l4wRkHqqCUFNJY4AfY3kHU/edit?usp=sharing  #gid=0"",""фіз особи new!relations_name_uo""),7,FALSE)
,
)
))"),"СОБЯНІНА Ольга Сергіївна")</f>
        <v>СОБЯНІНА Ольга Сергіївна</v>
      </c>
      <c r="G6233" s="7" t="s">
        <v>10</v>
      </c>
      <c r="H6233" s="7">
        <v>677</v>
      </c>
      <c r="I6233" s="8" t="str">
        <f ca="1">IFERROR(__xludf.DUMMYFUNCTION("IF
(
G6234=""фізична особа""
,
VLOOKUP(H6234,IMPORTRANGE(""https://docs.google.com/spreadsheets/d/14Bd19lYaqBhU8_DElYkX7l4wRkHqqCUFNJY4AfY3kHU/edit?usp=sharing  #gid=0"",""фіз особи new!relations_name""),6,FALSE)
,
(IF
(
G6234=""юридична особа""
,
VLOOKUP"&amp;"(H6234,IMPORTRANGE(""https://docs.google.com/spreadsheets/d/14Bd19lYaqBhU8_DElYkX7l4wRkHqqCUFNJY4AfY3kHU/edit?usp=sharing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6233" s="7" t="s">
        <v>12</v>
      </c>
    </row>
    <row r="6234" spans="1:10" ht="13.2">
      <c r="A6234" s="7">
        <v>6233</v>
      </c>
      <c r="B6234" s="7">
        <v>1</v>
      </c>
      <c r="C6234" s="7" t="s">
        <v>10</v>
      </c>
      <c r="D6234" s="7">
        <v>5067</v>
      </c>
      <c r="E6234" s="7" t="s">
        <v>43</v>
      </c>
      <c r="F6234" s="8" t="str">
        <f ca="1">IFERROR(__xludf.DUMMYFUNCTION("IF
(
C6235=""фізична особа""
,
VLOOKUP(D6235,IMPORTRANGE(""https://docs.google.com/spreadsheets/d/14Bd19lYaqBhU8_DElYkX7l4wRkHqqCUFNJY4AfY3kHU/edit?usp=sharing  #gid=0"",""фіз особи new!relations_name""),6,FALSE)
,
(IF
(
C6235=""юридична особа""
,
VLOOKUP"&amp;"(D6235,IMPORTRANGE(""https://docs.google.com/spreadsheets/d/14Bd19lYaqBhU8_DElYkX7l4wRkHqqCUFNJY4AfY3kHU/edit?usp=sharing  #gid=0"",""фіз особи new!relations_name_uo""),7,FALSE)
,
)
))"),"СОБЯНІНА Ірина Йосипівна")</f>
        <v>СОБЯНІНА Ірина Йосипівна</v>
      </c>
      <c r="G6234" s="7" t="s">
        <v>10</v>
      </c>
      <c r="H6234" s="7">
        <v>677</v>
      </c>
      <c r="I6234" s="8" t="str">
        <f ca="1">IFERROR(__xludf.DUMMYFUNCTION("IF
(
G6235=""фізична особа""
,
VLOOKUP(H6235,IMPORTRANGE(""https://docs.google.com/spreadsheets/d/14Bd19lYaqBhU8_DElYkX7l4wRkHqqCUFNJY4AfY3kHU/edit?usp=sharing  #gid=0"",""фіз особи new!relations_name""),6,FALSE)
,
(IF
(
G6235=""юридична особа""
,
VLOOKUP"&amp;"(H6235,IMPORTRANGE(""https://docs.google.com/spreadsheets/d/14Bd19lYaqBhU8_DElYkX7l4wRkHqqCUFNJY4AfY3kHU/edit?usp=sharing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6234" s="7" t="s">
        <v>14</v>
      </c>
    </row>
    <row r="6235" spans="1:10" ht="13.2">
      <c r="A6235" s="7">
        <v>6234</v>
      </c>
      <c r="B6235" s="7">
        <v>1</v>
      </c>
      <c r="C6235" s="7" t="s">
        <v>10</v>
      </c>
      <c r="D6235" s="7">
        <v>5068</v>
      </c>
      <c r="E6235" s="7" t="s">
        <v>15</v>
      </c>
      <c r="F6235" s="8" t="str">
        <f ca="1">IFERROR(__xludf.DUMMYFUNCTION("IF
(
C6236=""фізична особа""
,
VLOOKUP(D6236,IMPORTRANGE(""https://docs.google.com/spreadsheets/d/14Bd19lYaqBhU8_DElYkX7l4wRkHqqCUFNJY4AfY3kHU/edit?usp=sharing  #gid=0"",""фіз особи new!relations_name""),6,FALSE)
,
(IF
(
C6236=""юридична особа""
,
VLOOKUP"&amp;"(D6236,IMPORTRANGE(""https://docs.google.com/spreadsheets/d/14Bd19lYaqBhU8_DElYkX7l4wRkHqqCUFNJY4AfY3kHU/edit?usp=sharing  #gid=0"",""фіз особи new!relations_name_uo""),7,FALSE)
,
)
))"),"ТЕМРЕЗОВА Ірина Вікторівна")</f>
        <v>ТЕМРЕЗОВА Ірина Вікторівна</v>
      </c>
      <c r="G6235" s="7" t="s">
        <v>10</v>
      </c>
      <c r="H6235" s="7">
        <v>2507</v>
      </c>
      <c r="I6235" s="8" t="str">
        <f ca="1">IFERROR(__xludf.DUMMYFUNCTION("IF
(
G6236=""фізична особа""
,
VLOOKUP(H6236,IMPORTRANGE(""https://docs.google.com/spreadsheets/d/14Bd19lYaqBhU8_DElYkX7l4wRkHqqCUFNJY4AfY3kHU/edit?usp=sharing  #gid=0"",""фіз особи new!relations_name""),6,FALSE)
,
(IF
(
G6236=""юридична особа""
,
VLOOKUP"&amp;"(H6236,IMPORTRANGE(""https://docs.google.com/spreadsheets/d/14Bd19lYaqBhU8_DElYkX7l4wRkHqqCUFNJY4AfY3kHU/edit?usp=sharing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35" s="7" t="s">
        <v>14</v>
      </c>
    </row>
    <row r="6236" spans="1:10" ht="13.2">
      <c r="A6236" s="7">
        <v>6235</v>
      </c>
      <c r="B6236" s="7">
        <v>1</v>
      </c>
      <c r="C6236" s="7" t="s">
        <v>10</v>
      </c>
      <c r="D6236" s="7">
        <v>5069</v>
      </c>
      <c r="E6236" s="7" t="s">
        <v>12</v>
      </c>
      <c r="F6236" s="8" t="str">
        <f ca="1">IFERROR(__xludf.DUMMYFUNCTION("IF
(
C6237=""фізична особа""
,
VLOOKUP(D6237,IMPORTRANGE(""https://docs.google.com/spreadsheets/d/14Bd19lYaqBhU8_DElYkX7l4wRkHqqCUFNJY4AfY3kHU/edit?usp=sharing  #gid=0"",""фіз особи new!relations_name""),6,FALSE)
,
(IF
(
C6237=""юридична особа""
,
VLOOKUP"&amp;"(D6237,IMPORTRANGE(""https://docs.google.com/spreadsheets/d/14Bd19lYaqBhU8_DElYkX7l4wRkHqqCUFNJY4AfY3kHU/edit?usp=sharing  #gid=0"",""фіз особи new!relations_name_uo""),7,FALSE)
,
)
))"),"ТЕМРЕЗОВ Бориспі Султан-Хамідович")</f>
        <v>ТЕМРЕЗОВ Бориспі Султан-Хамідович</v>
      </c>
      <c r="G6236" s="7" t="s">
        <v>10</v>
      </c>
      <c r="H6236" s="7">
        <v>2507</v>
      </c>
      <c r="I6236" s="8" t="str">
        <f ca="1">IFERROR(__xludf.DUMMYFUNCTION("IF
(
G6237=""фізична особа""
,
VLOOKUP(H6237,IMPORTRANGE(""https://docs.google.com/spreadsheets/d/14Bd19lYaqBhU8_DElYkX7l4wRkHqqCUFNJY4AfY3kHU/edit?usp=sharing  #gid=0"",""фіз особи new!relations_name""),6,FALSE)
,
(IF
(
G6237=""юридична особа""
,
VLOOKUP"&amp;"(H6237,IMPORTRANGE(""https://docs.google.com/spreadsheets/d/14Bd19lYaqBhU8_DElYkX7l4wRkHqqCUFNJY4AfY3kHU/edit?usp=sharing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36" s="7" t="s">
        <v>17</v>
      </c>
    </row>
    <row r="6237" spans="1:10" ht="13.2">
      <c r="A6237" s="7">
        <v>6236</v>
      </c>
      <c r="B6237" s="7">
        <v>1</v>
      </c>
      <c r="C6237" s="7" t="s">
        <v>10</v>
      </c>
      <c r="D6237" s="7">
        <v>5070</v>
      </c>
      <c r="E6237" s="7" t="s">
        <v>13</v>
      </c>
      <c r="F6237" s="8" t="str">
        <f ca="1">IFERROR(__xludf.DUMMYFUNCTION("IF
(
C6238=""фізична особа""
,
VLOOKUP(D6238,IMPORTRANGE(""https://docs.google.com/spreadsheets/d/14Bd19lYaqBhU8_DElYkX7l4wRkHqqCUFNJY4AfY3kHU/edit?usp=sharing  #gid=0"",""фіз особи new!relations_name""),6,FALSE)
,
(IF
(
C6238=""юридична особа""
,
VLOOKUP"&amp;"(D6238,IMPORTRANGE(""https://docs.google.com/spreadsheets/d/14Bd19lYaqBhU8_DElYkX7l4wRkHqqCUFNJY4AfY3kHU/edit?usp=sharing  #gid=0"",""фіз особи new!relations_name_uo""),7,FALSE)
,
)
))"),"ТЕМРЕЗОВА Мілана Рашидівна")</f>
        <v>ТЕМРЕЗОВА Мілана Рашидівна</v>
      </c>
      <c r="G6237" s="7" t="s">
        <v>10</v>
      </c>
      <c r="H6237" s="7">
        <v>2507</v>
      </c>
      <c r="I6237" s="8" t="str">
        <f ca="1">IFERROR(__xludf.DUMMYFUNCTION("IF
(
G6238=""фізична особа""
,
VLOOKUP(H6238,IMPORTRANGE(""https://docs.google.com/spreadsheets/d/14Bd19lYaqBhU8_DElYkX7l4wRkHqqCUFNJY4AfY3kHU/edit?usp=sharing  #gid=0"",""фіз особи new!relations_name""),6,FALSE)
,
(IF
(
G6238=""юридична особа""
,
VLOOKUP"&amp;"(H6238,IMPORTRANGE(""https://docs.google.com/spreadsheets/d/14Bd19lYaqBhU8_DElYkX7l4wRkHqqCUFNJY4AfY3kHU/edit?usp=sharing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37" s="7" t="s">
        <v>12</v>
      </c>
    </row>
    <row r="6238" spans="1:10" ht="13.2">
      <c r="A6238" s="7">
        <v>6237</v>
      </c>
      <c r="B6238" s="7">
        <v>1</v>
      </c>
      <c r="C6238" s="7" t="s">
        <v>10</v>
      </c>
      <c r="D6238" s="7">
        <v>5071</v>
      </c>
      <c r="E6238" s="7" t="s">
        <v>13</v>
      </c>
      <c r="F6238" s="8" t="str">
        <f ca="1">IFERROR(__xludf.DUMMYFUNCTION("IF
(
C6239=""фізична особа""
,
VLOOKUP(D6239,IMPORTRANGE(""https://docs.google.com/spreadsheets/d/14Bd19lYaqBhU8_DElYkX7l4wRkHqqCUFNJY4AfY3kHU/edit?usp=sharing  #gid=0"",""фіз особи new!relations_name""),6,FALSE)
,
(IF
(
C6239=""юридична особа""
,
VLOOKUP"&amp;"(D6239,IMPORTRANGE(""https://docs.google.com/spreadsheets/d/14Bd19lYaqBhU8_DElYkX7l4wRkHqqCUFNJY4AfY3kHU/edit?usp=sharing  #gid=0"",""фіз особи new!relations_name_uo""),7,FALSE)
,
)
))"),"ТЕМРЕЗОВА Софія Рашидівна")</f>
        <v>ТЕМРЕЗОВА Софія Рашидівна</v>
      </c>
      <c r="G6238" s="7" t="s">
        <v>10</v>
      </c>
      <c r="H6238" s="7">
        <v>2507</v>
      </c>
      <c r="I6238" s="8" t="str">
        <f ca="1">IFERROR(__xludf.DUMMYFUNCTION("IF
(
G6239=""фізична особа""
,
VLOOKUP(H6239,IMPORTRANGE(""https://docs.google.com/spreadsheets/d/14Bd19lYaqBhU8_DElYkX7l4wRkHqqCUFNJY4AfY3kHU/edit?usp=sharing  #gid=0"",""фіз особи new!relations_name""),6,FALSE)
,
(IF
(
G6239=""юридична особа""
,
VLOOKUP"&amp;"(H6239,IMPORTRANGE(""https://docs.google.com/spreadsheets/d/14Bd19lYaqBhU8_DElYkX7l4wRkHqqCUFNJY4AfY3kHU/edit?usp=sharing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38" s="7" t="s">
        <v>12</v>
      </c>
    </row>
    <row r="6239" spans="1:10" ht="13.2">
      <c r="A6239" s="7">
        <v>6238</v>
      </c>
      <c r="B6239" s="7">
        <v>1</v>
      </c>
      <c r="C6239" s="7" t="s">
        <v>10</v>
      </c>
      <c r="D6239" s="7">
        <v>5072</v>
      </c>
      <c r="E6239" s="7" t="s">
        <v>13</v>
      </c>
      <c r="F6239" s="8" t="str">
        <f ca="1">IFERROR(__xludf.DUMMYFUNCTION("IF
(
C6240=""фізична особа""
,
VLOOKUP(D6240,IMPORTRANGE(""https://docs.google.com/spreadsheets/d/14Bd19lYaqBhU8_DElYkX7l4wRkHqqCUFNJY4AfY3kHU/edit?usp=sharing  #gid=0"",""фіз особи new!relations_name""),6,FALSE)
,
(IF
(
C6240=""юридична особа""
,
VLOOKUP"&amp;"(D6240,IMPORTRANGE(""https://docs.google.com/spreadsheets/d/14Bd19lYaqBhU8_DElYkX7l4wRkHqqCUFNJY4AfY3kHU/edit?usp=sharing  #gid=0"",""фіз особи new!relations_name_uo""),7,FALSE)
,
)
))"),"ТЕМРЕЗОВА Світлана Рашидівна")</f>
        <v>ТЕМРЕЗОВА Світлана Рашидівна</v>
      </c>
      <c r="G6239" s="7" t="s">
        <v>10</v>
      </c>
      <c r="H6239" s="7">
        <v>2507</v>
      </c>
      <c r="I6239" s="8" t="str">
        <f ca="1">IFERROR(__xludf.DUMMYFUNCTION("IF
(
G6240=""фізична особа""
,
VLOOKUP(H6240,IMPORTRANGE(""https://docs.google.com/spreadsheets/d/14Bd19lYaqBhU8_DElYkX7l4wRkHqqCUFNJY4AfY3kHU/edit?usp=sharing  #gid=0"",""фіз особи new!relations_name""),6,FALSE)
,
(IF
(
G6240=""юридична особа""
,
VLOOKUP"&amp;"(H6240,IMPORTRANGE(""https://docs.google.com/spreadsheets/d/14Bd19lYaqBhU8_DElYkX7l4wRkHqqCUFNJY4AfY3kHU/edit?usp=sharing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39" s="7" t="s">
        <v>12</v>
      </c>
    </row>
    <row r="6240" spans="1:10" ht="13.2">
      <c r="A6240" s="7">
        <v>6239</v>
      </c>
      <c r="B6240" s="7">
        <v>1</v>
      </c>
      <c r="C6240" s="7" t="s">
        <v>10</v>
      </c>
      <c r="D6240" s="7">
        <v>5073</v>
      </c>
      <c r="E6240" s="7" t="s">
        <v>17</v>
      </c>
      <c r="F6240" s="8" t="str">
        <f ca="1">IFERROR(__xludf.DUMMYFUNCTION("IF
(
C6241=""фізична особа""
,
VLOOKUP(D6241,IMPORTRANGE(""https://docs.google.com/spreadsheets/d/14Bd19lYaqBhU8_DElYkX7l4wRkHqqCUFNJY4AfY3kHU/edit?usp=sharing  #gid=0"",""фіз особи new!relations_name""),6,FALSE)
,
(IF
(
C6241=""юридична особа""
,
VLOOKUP"&amp;"(D6241,IMPORTRANGE(""https://docs.google.com/spreadsheets/d/14Bd19lYaqBhU8_DElYkX7l4wRkHqqCUFNJY4AfY3kHU/edit?usp=sharing  #gid=0"",""фіз особи new!relations_name_uo""),7,FALSE)
,
)
))"),"ТЕМРЕЗОВ Марат Рашидович")</f>
        <v>ТЕМРЕЗОВ Марат Рашидович</v>
      </c>
      <c r="G6240" s="7" t="s">
        <v>10</v>
      </c>
      <c r="H6240" s="7">
        <v>2507</v>
      </c>
      <c r="I6240" s="8" t="str">
        <f ca="1">IFERROR(__xludf.DUMMYFUNCTION("IF
(
G6241=""фізична особа""
,
VLOOKUP(H6241,IMPORTRANGE(""https://docs.google.com/spreadsheets/d/14Bd19lYaqBhU8_DElYkX7l4wRkHqqCUFNJY4AfY3kHU/edit?usp=sharing  #gid=0"",""фіз особи new!relations_name""),6,FALSE)
,
(IF
(
G6241=""юридична особа""
,
VLOOKUP"&amp;"(H6241,IMPORTRANGE(""https://docs.google.com/spreadsheets/d/14Bd19lYaqBhU8_DElYkX7l4wRkHqqCUFNJY4AfY3kHU/edit?usp=sharing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40" s="7" t="s">
        <v>12</v>
      </c>
    </row>
    <row r="6241" spans="1:10" ht="13.2">
      <c r="A6241" s="7">
        <v>6240</v>
      </c>
      <c r="B6241" s="7">
        <v>1</v>
      </c>
      <c r="C6241" s="7" t="s">
        <v>10</v>
      </c>
      <c r="D6241" s="7">
        <v>5074</v>
      </c>
      <c r="E6241" s="7" t="s">
        <v>18</v>
      </c>
      <c r="F6241" s="8" t="str">
        <f ca="1">IFERROR(__xludf.DUMMYFUNCTION("IF
(
C6242=""фізична особа""
,
VLOOKUP(D6242,IMPORTRANGE(""https://docs.google.com/spreadsheets/d/14Bd19lYaqBhU8_DElYkX7l4wRkHqqCUFNJY4AfY3kHU/edit?usp=sharing  #gid=0"",""фіз особи new!relations_name""),6,FALSE)
,
(IF
(
C6242=""юридична особа""
,
VLOOKUP"&amp;"(D6242,IMPORTRANGE(""https://docs.google.com/spreadsheets/d/14Bd19lYaqBhU8_DElYkX7l4wRkHqqCUFNJY4AfY3kHU/edit?usp=sharing  #gid=0"",""фіз особи new!relations_name_uo""),7,FALSE)
,
)
))"),"ТЕМРЕЗОВ Теймураз Бориспієвич")</f>
        <v>ТЕМРЕЗОВ Теймураз Бориспієвич</v>
      </c>
      <c r="G6241" s="7" t="s">
        <v>10</v>
      </c>
      <c r="H6241" s="7">
        <v>2507</v>
      </c>
      <c r="I6241" s="8" t="str">
        <f ca="1">IFERROR(__xludf.DUMMYFUNCTION("IF
(
G6242=""фізична особа""
,
VLOOKUP(H6242,IMPORTRANGE(""https://docs.google.com/spreadsheets/d/14Bd19lYaqBhU8_DElYkX7l4wRkHqqCUFNJY4AfY3kHU/edit?usp=sharing  #gid=0"",""фіз особи new!relations_name""),6,FALSE)
,
(IF
(
G6242=""юридична особа""
,
VLOOKUP"&amp;"(H6242,IMPORTRANGE(""https://docs.google.com/spreadsheets/d/14Bd19lYaqBhU8_DElYkX7l4wRkHqqCUFNJY4AfY3kHU/edit?usp=sharing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41" s="7" t="s">
        <v>18</v>
      </c>
    </row>
    <row r="6242" spans="1:10" ht="13.2">
      <c r="A6242" s="7">
        <v>6241</v>
      </c>
      <c r="B6242" s="7">
        <v>1</v>
      </c>
      <c r="C6242" s="7" t="s">
        <v>10</v>
      </c>
      <c r="D6242" s="7">
        <v>5075</v>
      </c>
      <c r="E6242" s="7" t="s">
        <v>18</v>
      </c>
      <c r="F6242" s="8" t="str">
        <f ca="1">IFERROR(__xludf.DUMMYFUNCTION("IF
(
C6243=""фізична особа""
,
VLOOKUP(D6243,IMPORTRANGE(""https://docs.google.com/spreadsheets/d/14Bd19lYaqBhU8_DElYkX7l4wRkHqqCUFNJY4AfY3kHU/edit?usp=sharing  #gid=0"",""фіз особи new!relations_name""),6,FALSE)
,
(IF
(
C6243=""юридична особа""
,
VLOOKUP"&amp;"(D6243,IMPORTRANGE(""https://docs.google.com/spreadsheets/d/14Bd19lYaqBhU8_DElYkX7l4wRkHqqCUFNJY4AfY3kHU/edit?usp=sharing  #gid=0"",""фіз особи new!relations_name_uo""),7,FALSE)
,
)
))"),"ТЕМРЕЗОВ Марат Бориспієвич")</f>
        <v>ТЕМРЕЗОВ Марат Бориспієвич</v>
      </c>
      <c r="G6242" s="7" t="s">
        <v>10</v>
      </c>
      <c r="H6242" s="7">
        <v>2507</v>
      </c>
      <c r="I6242" s="8" t="str">
        <f ca="1">IFERROR(__xludf.DUMMYFUNCTION("IF
(
G6243=""фізична особа""
,
VLOOKUP(H6243,IMPORTRANGE(""https://docs.google.com/spreadsheets/d/14Bd19lYaqBhU8_DElYkX7l4wRkHqqCUFNJY4AfY3kHU/edit?usp=sharing  #gid=0"",""фіз особи new!relations_name""),6,FALSE)
,
(IF
(
G6243=""юридична особа""
,
VLOOKUP"&amp;"(H6243,IMPORTRANGE(""https://docs.google.com/spreadsheets/d/14Bd19lYaqBhU8_DElYkX7l4wRkHqqCUFNJY4AfY3kHU/edit?usp=sharing  #gid=0"",""фіз особи new!relations_name_uo""),7,FALSE)
,
)
))"),"Темрезов Рашид Бориспієвич")</f>
        <v>Темрезов Рашид Бориспієвич</v>
      </c>
      <c r="J6242" s="7" t="s">
        <v>18</v>
      </c>
    </row>
    <row r="6243" spans="1:10" ht="13.2">
      <c r="A6243" s="7">
        <v>6242</v>
      </c>
      <c r="B6243" s="7">
        <v>1</v>
      </c>
      <c r="C6243" s="7" t="s">
        <v>10</v>
      </c>
      <c r="D6243" s="7">
        <v>5076</v>
      </c>
      <c r="E6243" s="7" t="s">
        <v>17</v>
      </c>
      <c r="F6243" s="8" t="str">
        <f ca="1">IFERROR(__xludf.DUMMYFUNCTION("IF
(
C6244=""фізична особа""
,
VLOOKUP(D6244,IMPORTRANGE(""https://docs.google.com/spreadsheets/d/14Bd19lYaqBhU8_DElYkX7l4wRkHqqCUFNJY4AfY3kHU/edit?usp=sharing  #gid=0"",""фіз особи new!relations_name""),6,FALSE)
,
(IF
(
C6244=""юридична особа""
,
VLOOKUP"&amp;"(D6244,IMPORTRANGE(""https://docs.google.com/spreadsheets/d/14Bd19lYaqBhU8_DElYkX7l4wRkHqqCUFNJY4AfY3kHU/edit?usp=sharing  #gid=0"",""фіз особи new!relations_name_uo""),7,FALSE)
,
)
))"),"ТРАВНІКОВ Дмитро Андрійович")</f>
        <v>ТРАВНІКОВ Дмитро Андрійович</v>
      </c>
      <c r="G6243" s="7" t="s">
        <v>10</v>
      </c>
      <c r="H6243" s="7">
        <v>2549</v>
      </c>
      <c r="I6243" s="8" t="str">
        <f ca="1">IFERROR(__xludf.DUMMYFUNCTION("IF
(
G6244=""фізична особа""
,
VLOOKUP(H6244,IMPORTRANGE(""https://docs.google.com/spreadsheets/d/14Bd19lYaqBhU8_DElYkX7l4wRkHqqCUFNJY4AfY3kHU/edit?usp=sharing  #gid=0"",""фіз особи new!relations_name""),6,FALSE)
,
(IF
(
G6244=""юридична особа""
,
VLOOKUP"&amp;"(H6244,IMPORTRANGE(""https://docs.google.com/spreadsheets/d/14Bd19lYaqBhU8_DElYkX7l4wRkHqqCUFNJY4AfY3kHU/edit?usp=sharing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J6243" s="7" t="s">
        <v>12</v>
      </c>
    </row>
    <row r="6244" spans="1:10" ht="13.2">
      <c r="A6244" s="7">
        <v>6243</v>
      </c>
      <c r="B6244" s="7">
        <v>1</v>
      </c>
      <c r="C6244" s="7" t="s">
        <v>10</v>
      </c>
      <c r="D6244" s="7">
        <v>5077</v>
      </c>
      <c r="E6244" s="7" t="s">
        <v>13</v>
      </c>
      <c r="F6244" s="8" t="str">
        <f ca="1">IFERROR(__xludf.DUMMYFUNCTION("IF
(
C6245=""фізична особа""
,
VLOOKUP(D6245,IMPORTRANGE(""https://docs.google.com/spreadsheets/d/14Bd19lYaqBhU8_DElYkX7l4wRkHqqCUFNJY4AfY3kHU/edit?usp=sharing  #gid=0"",""фіз особи new!relations_name""),6,FALSE)
,
(IF
(
C6245=""юридична особа""
,
VLOOKUP"&amp;"(D6245,IMPORTRANGE(""https://docs.google.com/spreadsheets/d/14Bd19lYaqBhU8_DElYkX7l4wRkHqqCUFNJY4AfY3kHU/edit?usp=sharing  #gid=0"",""фіз особи new!relations_name_uo""),7,FALSE)
,
)
))"),"ТРАВНІКОВА Дар'я Андріївна")</f>
        <v>ТРАВНІКОВА Дар'я Андріївна</v>
      </c>
      <c r="G6244" s="7" t="s">
        <v>10</v>
      </c>
      <c r="H6244" s="7">
        <v>2549</v>
      </c>
      <c r="I6244" s="8" t="str">
        <f ca="1">IFERROR(__xludf.DUMMYFUNCTION("IF
(
G6245=""фізична особа""
,
VLOOKUP(H6245,IMPORTRANGE(""https://docs.google.com/spreadsheets/d/14Bd19lYaqBhU8_DElYkX7l4wRkHqqCUFNJY4AfY3kHU/edit?usp=sharing  #gid=0"",""фіз особи new!relations_name""),6,FALSE)
,
(IF
(
G6245=""юридична особа""
,
VLOOKUP"&amp;"(H6245,IMPORTRANGE(""https://docs.google.com/spreadsheets/d/14Bd19lYaqBhU8_DElYkX7l4wRkHqqCUFNJY4AfY3kHU/edit?usp=sharing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J6244" s="7" t="s">
        <v>12</v>
      </c>
    </row>
    <row r="6245" spans="1:10" ht="13.2">
      <c r="A6245" s="7">
        <v>6244</v>
      </c>
      <c r="B6245" s="7">
        <v>1</v>
      </c>
      <c r="C6245" s="7" t="s">
        <v>10</v>
      </c>
      <c r="D6245" s="7">
        <v>5078</v>
      </c>
      <c r="E6245" s="7" t="s">
        <v>15</v>
      </c>
      <c r="F6245" s="8" t="str">
        <f ca="1">IFERROR(__xludf.DUMMYFUNCTION("IF
(
C6246=""фізична особа""
,
VLOOKUP(D6246,IMPORTRANGE(""https://docs.google.com/spreadsheets/d/14Bd19lYaqBhU8_DElYkX7l4wRkHqqCUFNJY4AfY3kHU/edit?usp=sharing  #gid=0"",""фіз особи new!relations_name""),6,FALSE)
,
(IF
(
C6246=""юридична особа""
,
VLOOKUP"&amp;"(D6246,IMPORTRANGE(""https://docs.google.com/spreadsheets/d/14Bd19lYaqBhU8_DElYkX7l4wRkHqqCUFNJY4AfY3kHU/edit?usp=sharing  #gid=0"",""фіз особи new!relations_name_uo""),7,FALSE)
,
)
))"),"ТРАВНІКОВА Людмила Анатоліївна")</f>
        <v>ТРАВНІКОВА Людмила Анатоліївна</v>
      </c>
      <c r="G6245" s="7" t="s">
        <v>10</v>
      </c>
      <c r="H6245" s="7">
        <v>2549</v>
      </c>
      <c r="I6245" s="8" t="str">
        <f ca="1">IFERROR(__xludf.DUMMYFUNCTION("IF
(
G6246=""фізична особа""
,
VLOOKUP(H6246,IMPORTRANGE(""https://docs.google.com/spreadsheets/d/14Bd19lYaqBhU8_DElYkX7l4wRkHqqCUFNJY4AfY3kHU/edit?usp=sharing  #gid=0"",""фіз особи new!relations_name""),6,FALSE)
,
(IF
(
G6246=""юридична особа""
,
VLOOKUP"&amp;"(H6246,IMPORTRANGE(""https://docs.google.com/spreadsheets/d/14Bd19lYaqBhU8_DElYkX7l4wRkHqqCUFNJY4AfY3kHU/edit?usp=sharing  #gid=0"",""фіз особи new!relations_name_uo""),7,FALSE)
,
)
))"),"ТРАВНІКОВ Андрій Олександрович")</f>
        <v>ТРАВНІКОВ Андрій Олександрович</v>
      </c>
      <c r="J6245" s="7" t="s">
        <v>14</v>
      </c>
    </row>
    <row r="6246" spans="1:10" ht="13.2">
      <c r="A6246" s="7">
        <v>6245</v>
      </c>
      <c r="B6246" s="7">
        <v>1</v>
      </c>
      <c r="C6246" s="7" t="s">
        <v>10</v>
      </c>
      <c r="D6246" s="7">
        <v>5082</v>
      </c>
      <c r="E6246" s="7" t="s">
        <v>15</v>
      </c>
      <c r="F6246" s="8" t="str">
        <f ca="1">IFERROR(__xludf.DUMMYFUNCTION("IF
(
C6247=""фізична особа""
,
VLOOKUP(D6247,IMPORTRANGE(""https://docs.google.com/spreadsheets/d/14Bd19lYaqBhU8_DElYkX7l4wRkHqqCUFNJY4AfY3kHU/edit?usp=sharing  #gid=0"",""фіз особи new!relations_name""),6,FALSE)
,
(IF
(
C6247=""юридична особа""
,
VLOOKUP"&amp;"(D6247,IMPORTRANGE(""https://docs.google.com/spreadsheets/d/14Bd19lYaqBhU8_DElYkX7l4wRkHqqCUFNJY4AfY3kHU/edit?usp=sharing  #gid=0"",""фіз особи new!relations_name_uo""),7,FALSE)
,
)
))"),"МОЛОТКОВА Олена")</f>
        <v>МОЛОТКОВА Олена</v>
      </c>
      <c r="G6246" s="7" t="s">
        <v>10</v>
      </c>
      <c r="H6246" s="7">
        <v>123</v>
      </c>
      <c r="I6246" s="8" t="str">
        <f ca="1">IFERROR(__xludf.DUMMYFUNCTION("IF
(
G6247=""фізична особа""
,
VLOOKUP(H6247,IMPORTRANGE(""https://docs.google.com/spreadsheets/d/14Bd19lYaqBhU8_DElYkX7l4wRkHqqCUFNJY4AfY3kHU/edit?usp=sharing  #gid=0"",""фіз особи new!relations_name""),6,FALSE)
,
(IF
(
G6247=""юридична особа""
,
VLOOKUP"&amp;"(H6247,IMPORTRANGE(""https://docs.google.com/spreadsheets/d/14Bd19lYaqBhU8_DElYkX7l4wRkHqqCUFNJY4AfY3kHU/edit?usp=sharing  #gid=0"",""фіз особи new!relations_name_uo""),7,FALSE)
,
)
))"),"ТУРОВ Артем Вікторович")</f>
        <v>ТУРОВ Артем Вікторович</v>
      </c>
      <c r="J6246" s="7" t="s">
        <v>14</v>
      </c>
    </row>
    <row r="6247" spans="1:10" ht="13.2">
      <c r="A6247" s="7">
        <v>6246</v>
      </c>
      <c r="B6247" s="7">
        <v>1</v>
      </c>
      <c r="C6247" s="7" t="s">
        <v>10</v>
      </c>
      <c r="D6247" s="7">
        <v>5083</v>
      </c>
      <c r="E6247" s="7" t="s">
        <v>12</v>
      </c>
      <c r="F6247" s="8" t="str">
        <f ca="1">IFERROR(__xludf.DUMMYFUNCTION("IF
(
C6248=""фізична особа""
,
VLOOKUP(D6248,IMPORTRANGE(""https://docs.google.com/spreadsheets/d/14Bd19lYaqBhU8_DElYkX7l4wRkHqqCUFNJY4AfY3kHU/edit?usp=sharing  #gid=0"",""фіз особи new!relations_name""),6,FALSE)
,
(IF
(
C6248=""юридична особа""
,
VLOOKUP"&amp;"(D6248,IMPORTRANGE(""https://docs.google.com/spreadsheets/d/14Bd19lYaqBhU8_DElYkX7l4wRkHqqCUFNJY4AfY3kHU/edit?usp=sharing  #gid=0"",""фіз особи new!relations_name_uo""),7,FALSE)
,
)
))"),"БАШАНКАЄВ Микола Андрійович")</f>
        <v>БАШАНКАЄВ Микола Андрійович</v>
      </c>
      <c r="G6247" s="7" t="s">
        <v>10</v>
      </c>
      <c r="H6247" s="7">
        <v>128</v>
      </c>
      <c r="I6247" s="8" t="str">
        <f ca="1">IFERROR(__xludf.DUMMYFUNCTION("IF
(
G6248=""фізична особа""
,
VLOOKUP(H6248,IMPORTRANGE(""https://docs.google.com/spreadsheets/d/14Bd19lYaqBhU8_DElYkX7l4wRkHqqCUFNJY4AfY3kHU/edit?usp=sharing  #gid=0"",""фіз особи new!relations_name""),6,FALSE)
,
(IF
(
G6248=""юридична особа""
,
VLOOKUP"&amp;"(H6248,IMPORTRANGE(""https://docs.google.com/spreadsheets/d/14Bd19lYaqBhU8_DElYkX7l4wRkHqqCUFNJY4AfY3kHU/edit?usp=sharing  #gid=0"",""фіз особи new!relations_name_uo""),7,FALSE)
,
)
))"),"БАШАНКАЄВ Бадма Миколайович")</f>
        <v>БАШАНКАЄВ Бадма Миколайович</v>
      </c>
      <c r="J6247" s="7" t="s">
        <v>17</v>
      </c>
    </row>
    <row r="6248" spans="1:10" ht="13.2">
      <c r="A6248" s="7">
        <v>6247</v>
      </c>
      <c r="B6248" s="7">
        <v>1</v>
      </c>
      <c r="C6248" s="7" t="s">
        <v>10</v>
      </c>
      <c r="D6248" s="7">
        <v>5084</v>
      </c>
      <c r="E6248" s="7" t="s">
        <v>18</v>
      </c>
      <c r="F6248" s="8" t="str">
        <f ca="1">IFERROR(__xludf.DUMMYFUNCTION("IF
(
C6249=""фізична особа""
,
VLOOKUP(D6249,IMPORTRANGE(""https://docs.google.com/spreadsheets/d/14Bd19lYaqBhU8_DElYkX7l4wRkHqqCUFNJY4AfY3kHU/edit?usp=sharing  #gid=0"",""фіз особи new!relations_name""),6,FALSE)
,
(IF
(
C6249=""юридична особа""
,
VLOOKUP"&amp;"(D6249,IMPORTRANGE(""https://docs.google.com/spreadsheets/d/14Bd19lYaqBhU8_DElYkX7l4wRkHqqCUFNJY4AfY3kHU/edit?usp=sharing  #gid=0"",""фіз особи new!relations_name_uo""),7,FALSE)
,
)
))"),"АГАЄВ Батир Вахаєвич")</f>
        <v>АГАЄВ Батир Вахаєвич</v>
      </c>
      <c r="G6248" s="7" t="s">
        <v>10</v>
      </c>
      <c r="H6248" s="7">
        <v>132</v>
      </c>
      <c r="I6248" s="8" t="str">
        <f ca="1">IFERROR(__xludf.DUMMYFUNCTION("IF
(
G6249=""фізична особа""
,
VLOOKUP(H6249,IMPORTRANGE(""https://docs.google.com/spreadsheets/d/14Bd19lYaqBhU8_DElYkX7l4wRkHqqCUFNJY4AfY3kHU/edit?usp=sharing  #gid=0"",""фіз особи new!relations_name""),6,FALSE)
,
(IF
(
G6249=""юридична особа""
,
VLOOKUP"&amp;"(H6249,IMPORTRANGE(""https://docs.google.com/spreadsheets/d/14Bd19lYaqBhU8_DElYkX7l4wRkHqqCUFNJY4AfY3kHU/edit?usp=sharing  #gid=0"",""фіз особи new!relations_name_uo""),7,FALSE)
,
)
))"),"АГАЄВ Бекхан Вахаєвич")</f>
        <v>АГАЄВ Бекхан Вахаєвич</v>
      </c>
      <c r="J6248" s="7" t="s">
        <v>18</v>
      </c>
    </row>
    <row r="6249" spans="1:10" ht="13.2">
      <c r="A6249" s="7">
        <v>6248</v>
      </c>
      <c r="B6249" s="7">
        <v>1</v>
      </c>
      <c r="C6249" s="7" t="s">
        <v>10</v>
      </c>
      <c r="D6249" s="7">
        <v>5085</v>
      </c>
      <c r="E6249" s="7" t="s">
        <v>17</v>
      </c>
      <c r="F6249" s="8" t="str">
        <f ca="1">IFERROR(__xludf.DUMMYFUNCTION("IF
(
C6250=""фізична особа""
,
VLOOKUP(D6250,IMPORTRANGE(""https://docs.google.com/spreadsheets/d/14Bd19lYaqBhU8_DElYkX7l4wRkHqqCUFNJY4AfY3kHU/edit?usp=sharing  #gid=0"",""фіз особи new!relations_name""),6,FALSE)
,
(IF
(
C6250=""юридична особа""
,
VLOOKUP"&amp;"(D6250,IMPORTRANGE(""https://docs.google.com/spreadsheets/d/14Bd19lYaqBhU8_DElYkX7l4wRkHqqCUFNJY4AfY3kHU/edit?usp=sharing  #gid=0"",""фіз особи new!relations_name_uo""),7,FALSE)
,
)
))"),"АГАЄВ Руслан Бекханович")</f>
        <v>АГАЄВ Руслан Бекханович</v>
      </c>
      <c r="G6249" s="7" t="s">
        <v>10</v>
      </c>
      <c r="H6249" s="7">
        <v>132</v>
      </c>
      <c r="I6249" s="8" t="str">
        <f ca="1">IFERROR(__xludf.DUMMYFUNCTION("IF
(
G6250=""фізична особа""
,
VLOOKUP(H6250,IMPORTRANGE(""https://docs.google.com/spreadsheets/d/14Bd19lYaqBhU8_DElYkX7l4wRkHqqCUFNJY4AfY3kHU/edit?usp=sharing  #gid=0"",""фіз особи new!relations_name""),6,FALSE)
,
(IF
(
G6250=""юридична особа""
,
VLOOKUP"&amp;"(H6250,IMPORTRANGE(""https://docs.google.com/spreadsheets/d/14Bd19lYaqBhU8_DElYkX7l4wRkHqqCUFNJY4AfY3kHU/edit?usp=sharing  #gid=0"",""фіз особи new!relations_name_uo""),7,FALSE)
,
)
))"),"АГАЄВ Бекхан Вахаєвич")</f>
        <v>АГАЄВ Бекхан Вахаєвич</v>
      </c>
      <c r="J6249" s="7" t="s">
        <v>12</v>
      </c>
    </row>
    <row r="6250" spans="1:10" ht="13.2">
      <c r="A6250" s="7">
        <v>6249</v>
      </c>
      <c r="B6250" s="7">
        <v>1</v>
      </c>
      <c r="C6250" s="7" t="s">
        <v>10</v>
      </c>
      <c r="D6250" s="7">
        <v>5086</v>
      </c>
      <c r="E6250" s="7" t="s">
        <v>20</v>
      </c>
      <c r="F6250" s="8" t="str">
        <f ca="1">IFERROR(__xludf.DUMMYFUNCTION("IF
(
C6251=""фізична особа""
,
VLOOKUP(D6251,IMPORTRANGE(""https://docs.google.com/spreadsheets/d/14Bd19lYaqBhU8_DElYkX7l4wRkHqqCUFNJY4AfY3kHU/edit?usp=sharing  #gid=0"",""фіз особи new!relations_name""),6,FALSE)
,
(IF
(
C6251=""юридична особа""
,
VLOOKUP"&amp;"(D6251,IMPORTRANGE(""https://docs.google.com/spreadsheets/d/14Bd19lYaqBhU8_DElYkX7l4wRkHqqCUFNJY4AfY3kHU/edit?usp=sharing  #gid=0"",""фіз особи new!relations_name_uo""),7,FALSE)
,
)
))"),"ПАЙКІН Станіслав Олександрович")</f>
        <v>ПАЙКІН Станіслав Олександрович</v>
      </c>
      <c r="G6250" s="7" t="s">
        <v>10</v>
      </c>
      <c r="H6250" s="7">
        <v>143</v>
      </c>
      <c r="I6250" s="8" t="str">
        <f ca="1">IFERROR(__xludf.DUMMYFUNCTION("IF
(
G6251=""фізична особа""
,
VLOOKUP(H6251,IMPORTRANGE(""https://docs.google.com/spreadsheets/d/14Bd19lYaqBhU8_DElYkX7l4wRkHqqCUFNJY4AfY3kHU/edit?usp=sharing  #gid=0"",""фіз особи new!relations_name""),6,FALSE)
,
(IF
(
G6251=""юридична особа""
,
VLOOKUP"&amp;"(H6251,IMPORTRANGE(""https://docs.google.com/spreadsheets/d/14Bd19lYaqBhU8_DElYkX7l4wRkHqqCUFNJY4AfY3kHU/edit?usp=sharing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J6250" s="7" t="s">
        <v>19</v>
      </c>
    </row>
    <row r="6251" spans="1:10" ht="13.2">
      <c r="A6251" s="7">
        <v>6250</v>
      </c>
      <c r="B6251" s="7">
        <v>1</v>
      </c>
      <c r="C6251" s="7" t="s">
        <v>10</v>
      </c>
      <c r="D6251" s="7">
        <v>5087</v>
      </c>
      <c r="E6251" s="7" t="s">
        <v>15</v>
      </c>
      <c r="F6251" s="8" t="str">
        <f ca="1">IFERROR(__xludf.DUMMYFUNCTION("IF
(
C6252=""фізична особа""
,
VLOOKUP(D6252,IMPORTRANGE(""https://docs.google.com/spreadsheets/d/14Bd19lYaqBhU8_DElYkX7l4wRkHqqCUFNJY4AfY3kHU/edit?usp=sharing  #gid=0"",""фіз особи new!relations_name""),6,FALSE)
,
(IF
(
C6252=""юридична особа""
,
VLOOKUP"&amp;"(D6252,IMPORTRANGE(""https://docs.google.com/spreadsheets/d/14Bd19lYaqBhU8_DElYkX7l4wRkHqqCUFNJY4AfY3kHU/edit?usp=sharing  #gid=0"",""фіз особи new!relations_name_uo""),7,FALSE)
,
)
))"),"ПАЙКІНА Олена Вікторівна")</f>
        <v>ПАЙКІНА Олена Вікторівна</v>
      </c>
      <c r="G6251" s="7" t="s">
        <v>10</v>
      </c>
      <c r="H6251" s="7">
        <v>143</v>
      </c>
      <c r="I6251" s="8" t="str">
        <f ca="1">IFERROR(__xludf.DUMMYFUNCTION("IF
(
G6252=""фізична особа""
,
VLOOKUP(H6252,IMPORTRANGE(""https://docs.google.com/spreadsheets/d/14Bd19lYaqBhU8_DElYkX7l4wRkHqqCUFNJY4AfY3kHU/edit?usp=sharing  #gid=0"",""фіз особи new!relations_name""),6,FALSE)
,
(IF
(
G6252=""юридична особа""
,
VLOOKUP"&amp;"(H6252,IMPORTRANGE(""https://docs.google.com/spreadsheets/d/14Bd19lYaqBhU8_DElYkX7l4wRkHqqCUFNJY4AfY3kHU/edit?usp=sharing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J6251" s="7" t="s">
        <v>14</v>
      </c>
    </row>
    <row r="6252" spans="1:10" ht="13.2">
      <c r="A6252" s="7">
        <v>6251</v>
      </c>
      <c r="B6252" s="7">
        <v>1</v>
      </c>
      <c r="C6252" s="7" t="s">
        <v>10</v>
      </c>
      <c r="D6252" s="7">
        <v>5088</v>
      </c>
      <c r="E6252" s="7" t="s">
        <v>21</v>
      </c>
      <c r="F6252" s="8" t="str">
        <f ca="1">IFERROR(__xludf.DUMMYFUNCTION("IF
(
C6253=""фізична особа""
,
VLOOKUP(D6253,IMPORTRANGE(""https://docs.google.com/spreadsheets/d/14Bd19lYaqBhU8_DElYkX7l4wRkHqqCUFNJY4AfY3kHU/edit?usp=sharing  #gid=0"",""фіз особи new!relations_name""),6,FALSE)
,
(IF
(
C6253=""юридична особа""
,
VLOOKUP"&amp;"(D6253,IMPORTRANGE(""https://docs.google.com/spreadsheets/d/14Bd19lYaqBhU8_DElYkX7l4wRkHqqCUFNJY4AfY3kHU/edit?usp=sharing  #gid=0"",""фіз особи new!relations_name_uo""),7,FALSE)
,
)
))"),"ПАЙКІНА Тамара Львівна")</f>
        <v>ПАЙКІНА Тамара Львівна</v>
      </c>
      <c r="G6252" s="7" t="s">
        <v>10</v>
      </c>
      <c r="H6252" s="7">
        <v>143</v>
      </c>
      <c r="I6252" s="8" t="str">
        <f ca="1">IFERROR(__xludf.DUMMYFUNCTION("IF
(
G6253=""фізична особа""
,
VLOOKUP(H6253,IMPORTRANGE(""https://docs.google.com/spreadsheets/d/14Bd19lYaqBhU8_DElYkX7l4wRkHqqCUFNJY4AfY3kHU/edit?usp=sharing  #gid=0"",""фіз особи new!relations_name""),6,FALSE)
,
(IF
(
G6253=""юридична особа""
,
VLOOKUP"&amp;"(H6253,IMPORTRANGE(""https://docs.google.com/spreadsheets/d/14Bd19lYaqBhU8_DElYkX7l4wRkHqqCUFNJY4AfY3kHU/edit?usp=sharing  #gid=0"",""фіз особи new!relations_name_uo""),7,FALSE)
,
)
))"),"ПАЙКІН Борис Романович")</f>
        <v>ПАЙКІН Борис Романович</v>
      </c>
      <c r="J6252" s="7" t="s">
        <v>17</v>
      </c>
    </row>
    <row r="6253" spans="1:10" ht="13.2">
      <c r="A6253" s="7">
        <v>6252</v>
      </c>
      <c r="B6253" s="7">
        <v>1</v>
      </c>
      <c r="C6253" s="7" t="s">
        <v>10</v>
      </c>
      <c r="D6253" s="7">
        <v>5089</v>
      </c>
      <c r="E6253" s="7" t="s">
        <v>15</v>
      </c>
      <c r="F6253" s="8" t="str">
        <f ca="1">IFERROR(__xludf.DUMMYFUNCTION("IF
(
C6254=""фізична особа""
,
VLOOKUP(D6254,IMPORTRANGE(""https://docs.google.com/spreadsheets/d/14Bd19lYaqBhU8_DElYkX7l4wRkHqqCUFNJY4AfY3kHU/edit?usp=sharing  #gid=0"",""фіз особи new!relations_name""),6,FALSE)
,
(IF
(
C6254=""юридична особа""
,
VLOOKUP"&amp;"(D6254,IMPORTRANGE(""https://docs.google.com/spreadsheets/d/14Bd19lYaqBhU8_DElYkX7l4wRkHqqCUFNJY4AfY3kHU/edit?usp=sharing  #gid=0"",""фіз особи new!relations_name_uo""),7,FALSE)
,
)
))"),"КРАВЧЕНКО Наталія Василівна")</f>
        <v>КРАВЧЕНКО Наталія Василівна</v>
      </c>
      <c r="G6253" s="7" t="s">
        <v>10</v>
      </c>
      <c r="H6253" s="7">
        <v>159</v>
      </c>
      <c r="I6253" s="8" t="str">
        <f ca="1">IFERROR(__xludf.DUMMYFUNCTION("IF
(
G6254=""фізична особа""
,
VLOOKUP(H6254,IMPORTRANGE(""https://docs.google.com/spreadsheets/d/14Bd19lYaqBhU8_DElYkX7l4wRkHqqCUFNJY4AfY3kHU/edit?usp=sharing  #gid=0"",""фіз особи new!relations_name""),6,FALSE)
,
(IF
(
G6254=""юридична особа""
,
VLOOKUP"&amp;"(H6254,IMPORTRANGE(""https://docs.google.com/spreadsheets/d/14Bd19lYaqBhU8_DElYkX7l4wRkHqqCUFNJY4AfY3kHU/edit?usp=sharing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J6253" s="7" t="s">
        <v>14</v>
      </c>
    </row>
    <row r="6254" spans="1:10" ht="13.2">
      <c r="A6254" s="7">
        <v>6253</v>
      </c>
      <c r="B6254" s="7">
        <v>1</v>
      </c>
      <c r="C6254" s="7" t="s">
        <v>10</v>
      </c>
      <c r="D6254" s="7">
        <v>5090</v>
      </c>
      <c r="E6254" s="7" t="s">
        <v>13</v>
      </c>
      <c r="F6254" s="8" t="str">
        <f ca="1">IFERROR(__xludf.DUMMYFUNCTION("IF
(
C6255=""фізична особа""
,
VLOOKUP(D6255,IMPORTRANGE(""https://docs.google.com/spreadsheets/d/14Bd19lYaqBhU8_DElYkX7l4wRkHqqCUFNJY4AfY3kHU/edit?usp=sharing  #gid=0"",""фіз особи new!relations_name""),6,FALSE)
,
(IF
(
C6255=""юридична особа""
,
VLOOKUP"&amp;"(D6255,IMPORTRANGE(""https://docs.google.com/spreadsheets/d/14Bd19lYaqBhU8_DElYkX7l4wRkHqqCUFNJY4AfY3kHU/edit?usp=sharing  #gid=0"",""фіз особи new!relations_name_uo""),7,FALSE)
,
)
))"),"КРАВЧЕНКО Кіра Денисівна")</f>
        <v>КРАВЧЕНКО Кіра Денисівна</v>
      </c>
      <c r="G6254" s="7" t="s">
        <v>10</v>
      </c>
      <c r="H6254" s="7">
        <v>159</v>
      </c>
      <c r="I6254" s="8" t="str">
        <f ca="1">IFERROR(__xludf.DUMMYFUNCTION("IF
(
G6255=""фізична особа""
,
VLOOKUP(H6255,IMPORTRANGE(""https://docs.google.com/spreadsheets/d/14Bd19lYaqBhU8_DElYkX7l4wRkHqqCUFNJY4AfY3kHU/edit?usp=sharing  #gid=0"",""фіз особи new!relations_name""),6,FALSE)
,
(IF
(
G6255=""юридична особа""
,
VLOOKUP"&amp;"(H6255,IMPORTRANGE(""https://docs.google.com/spreadsheets/d/14Bd19lYaqBhU8_DElYkX7l4wRkHqqCUFNJY4AfY3kHU/edit?usp=sharing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J6254" s="7" t="s">
        <v>12</v>
      </c>
    </row>
    <row r="6255" spans="1:10" ht="13.2">
      <c r="A6255" s="7">
        <v>6254</v>
      </c>
      <c r="B6255" s="7">
        <v>1</v>
      </c>
      <c r="C6255" s="7" t="s">
        <v>10</v>
      </c>
      <c r="D6255" s="7">
        <v>5091</v>
      </c>
      <c r="E6255" s="7" t="s">
        <v>15</v>
      </c>
      <c r="F6255" s="8" t="str">
        <f ca="1">IFERROR(__xludf.DUMMYFUNCTION("IF
(
C6256=""фізична особа""
,
VLOOKUP(D6256,IMPORTRANGE(""https://docs.google.com/spreadsheets/d/14Bd19lYaqBhU8_DElYkX7l4wRkHqqCUFNJY4AfY3kHU/edit?usp=sharing  #gid=0"",""фіз особи new!relations_name""),6,FALSE)
,
(IF
(
C6256=""юридична особа""
,
VLOOKUP"&amp;"(D6256,IMPORTRANGE(""https://docs.google.com/spreadsheets/d/14Bd19lYaqBhU8_DElYkX7l4wRkHqqCUFNJY4AfY3kHU/edit?usp=sharing  #gid=0"",""фіз особи new!relations_name_uo""),7,FALSE)
,
)
))"),"МАЙДАНОВА Наталія Миколаївна")</f>
        <v>МАЙДАНОВА Наталія Миколаївна</v>
      </c>
      <c r="G6255" s="7" t="s">
        <v>10</v>
      </c>
      <c r="H6255" s="7">
        <v>161</v>
      </c>
      <c r="I6255" s="8" t="str">
        <f ca="1">IFERROR(__xludf.DUMMYFUNCTION("IF
(
G6256=""фізична особа""
,
VLOOKUP(H6256,IMPORTRANGE(""https://docs.google.com/spreadsheets/d/14Bd19lYaqBhU8_DElYkX7l4wRkHqqCUFNJY4AfY3kHU/edit?usp=sharing  #gid=0"",""фіз особи new!relations_name""),6,FALSE)
,
(IF
(
G6256=""юридична особа""
,
VLOOKUP"&amp;"(H6256,IMPORTRANGE(""https://docs.google.com/spreadsheets/d/14Bd19lYaqBhU8_DElYkX7l4wRkHqqCUFNJY4AfY3kHU/edit?usp=sharing  #gid=0"",""фіз особи new!relations_name_uo""),7,FALSE)
,
)
))"),"МАЙДАНОВ Денис Васильович")</f>
        <v>МАЙДАНОВ Денис Васильович</v>
      </c>
      <c r="J6255" s="7" t="s">
        <v>14</v>
      </c>
    </row>
    <row r="6256" spans="1:10" ht="13.2">
      <c r="A6256" s="7">
        <v>6255</v>
      </c>
      <c r="B6256" s="7">
        <v>1</v>
      </c>
      <c r="C6256" s="7" t="s">
        <v>10</v>
      </c>
      <c r="D6256" s="7">
        <v>5092</v>
      </c>
      <c r="E6256" s="7" t="s">
        <v>15</v>
      </c>
      <c r="F6256" s="8" t="str">
        <f ca="1">IFERROR(__xludf.DUMMYFUNCTION("IF
(
C6257=""фізична особа""
,
VLOOKUP(D6257,IMPORTRANGE(""https://docs.google.com/spreadsheets/d/14Bd19lYaqBhU8_DElYkX7l4wRkHqqCUFNJY4AfY3kHU/edit?usp=sharing  #gid=0"",""фіз особи new!relations_name""),6,FALSE)
,
(IF
(
C6257=""юридична особа""
,
VLOOKUP"&amp;"(D6257,IMPORTRANGE(""https://docs.google.com/spreadsheets/d/14Bd19lYaqBhU8_DElYkX7l4wRkHqqCUFNJY4AfY3kHU/edit?usp=sharing  #gid=0"",""фіз особи new!relations_name_uo""),7,FALSE)
,
)
))"),"ДРОЗДОВА Ольга Борисівна")</f>
        <v>ДРОЗДОВА Ольга Борисівна</v>
      </c>
      <c r="G6256" s="7" t="s">
        <v>10</v>
      </c>
      <c r="H6256" s="7">
        <v>173</v>
      </c>
      <c r="I6256" s="8" t="str">
        <f ca="1">IFERROR(__xludf.DUMMYFUNCTION("IF
(
G6257=""фізична особа""
,
VLOOKUP(H6257,IMPORTRANGE(""https://docs.google.com/spreadsheets/d/14Bd19lYaqBhU8_DElYkX7l4wRkHqqCUFNJY4AfY3kHU/edit?usp=sharing  #gid=0"",""фіз особи new!relations_name""),6,FALSE)
,
(IF
(
G6257=""юридична особа""
,
VLOOKUP"&amp;"(H6257,IMPORTRANGE(""https://docs.google.com/spreadsheets/d/14Bd19lYaqBhU8_DElYkX7l4wRkHqqCUFNJY4AfY3kHU/edit?usp=sharing  #gid=0"",""фіз особи new!relations_name_uo""),7,FALSE)
,
)
))"),"ПЄВЦОВ Дмитро Анатолійович")</f>
        <v>ПЄВЦОВ Дмитро Анатолійович</v>
      </c>
      <c r="J6256" s="7" t="s">
        <v>14</v>
      </c>
    </row>
    <row r="6257" spans="1:10" ht="13.2">
      <c r="A6257" s="7">
        <v>6256</v>
      </c>
      <c r="B6257" s="7">
        <v>1</v>
      </c>
      <c r="C6257" s="7" t="s">
        <v>10</v>
      </c>
      <c r="D6257" s="7">
        <v>5093</v>
      </c>
      <c r="E6257" s="7" t="s">
        <v>17</v>
      </c>
      <c r="F6257" s="8" t="str">
        <f ca="1">IFERROR(__xludf.DUMMYFUNCTION("IF
(
C6258=""фізична особа""
,
VLOOKUP(D6258,IMPORTRANGE(""https://docs.google.com/spreadsheets/d/14Bd19lYaqBhU8_DElYkX7l4wRkHqqCUFNJY4AfY3kHU/edit?usp=sharing  #gid=0"",""фіз особи new!relations_name""),6,FALSE)
,
(IF
(
C6258=""юридична особа""
,
VLOOKUP"&amp;"(D6258,IMPORTRANGE(""https://docs.google.com/spreadsheets/d/14Bd19lYaqBhU8_DElYkX7l4wRkHqqCUFNJY4AfY3kHU/edit?usp=sharing  #gid=0"",""фіз особи new!relations_name_uo""),7,FALSE)
,
)
))"),"ДАНЧИКОВ Євгеній Олександрович")</f>
        <v>ДАНЧИКОВ Євгеній Олександрович</v>
      </c>
      <c r="G6257" s="7" t="s">
        <v>10</v>
      </c>
      <c r="H6257" s="7">
        <v>260</v>
      </c>
      <c r="I6257" s="8" t="str">
        <f ca="1">IFERROR(__xludf.DUMMYFUNCTION("IF
(
G6258=""фізична особа""
,
VLOOKUP(H6258,IMPORTRANGE(""https://docs.google.com/spreadsheets/d/14Bd19lYaqBhU8_DElYkX7l4wRkHqqCUFNJY4AfY3kHU/edit?usp=sharing  #gid=0"",""фіз особи new!relations_name""),6,FALSE)
,
(IF
(
G6258=""юридична особа""
,
VLOOKUP"&amp;"(H6258,IMPORTRANGE(""https://docs.google.com/spreadsheets/d/14Bd19lYaqBhU8_DElYkX7l4wRkHqqCUFNJY4AfY3kHU/edit?usp=sharing  #gid=0"",""фіз особи new!relations_name_uo""),7,FALSE)
,
)
))"),"ДАНЧІКОВА Галина Інокентіївна")</f>
        <v>ДАНЧІКОВА Галина Інокентіївна</v>
      </c>
      <c r="J6257" s="7" t="s">
        <v>21</v>
      </c>
    </row>
    <row r="6258" spans="1:10" ht="13.2">
      <c r="A6258" s="7">
        <v>6257</v>
      </c>
      <c r="B6258" s="7">
        <v>1</v>
      </c>
      <c r="C6258" s="7" t="s">
        <v>10</v>
      </c>
      <c r="D6258" s="7">
        <v>5094</v>
      </c>
      <c r="E6258" s="7" t="s">
        <v>25</v>
      </c>
      <c r="F6258" s="8" t="str">
        <f ca="1">IFERROR(__xludf.DUMMYFUNCTION("IF
(
C6259=""фізична особа""
,
VLOOKUP(D6259,IMPORTRANGE(""https://docs.google.com/spreadsheets/d/14Bd19lYaqBhU8_DElYkX7l4wRkHqqCUFNJY4AfY3kHU/edit?usp=sharing  #gid=0"",""фіз особи new!relations_name""),6,FALSE)
,
(IF
(
C6259=""юридична особа""
,
VLOOKUP"&amp;"(D6259,IMPORTRANGE(""https://docs.google.com/spreadsheets/d/14Bd19lYaqBhU8_DElYkX7l4wRkHqqCUFNJY4AfY3kHU/edit?usp=sharing  #gid=0"",""фіз особи new!relations_name_uo""),7,FALSE)
,
)
))"),"ДАНЧИКОВА Наталія Юріївна")</f>
        <v>ДАНЧИКОВА Наталія Юріївна</v>
      </c>
      <c r="G6258" s="7" t="s">
        <v>10</v>
      </c>
      <c r="H6258" s="7">
        <v>260</v>
      </c>
      <c r="I6258" s="8" t="str">
        <f ca="1">IFERROR(__xludf.DUMMYFUNCTION("IF
(
G6259=""фізична особа""
,
VLOOKUP(H6259,IMPORTRANGE(""https://docs.google.com/spreadsheets/d/14Bd19lYaqBhU8_DElYkX7l4wRkHqqCUFNJY4AfY3kHU/edit?usp=sharing  #gid=0"",""фіз особи new!relations_name""),6,FALSE)
,
(IF
(
G6259=""юридична особа""
,
VLOOKUP"&amp;"(H6259,IMPORTRANGE(""https://docs.google.com/spreadsheets/d/14Bd19lYaqBhU8_DElYkX7l4wRkHqqCUFNJY4AfY3kHU/edit?usp=sharing  #gid=0"",""фіз особи new!relations_name_uo""),7,FALSE)
,
)
))"),"ДАНЧІКОВА Галина Інокентіївна")</f>
        <v>ДАНЧІКОВА Галина Інокентіївна</v>
      </c>
      <c r="J6258" s="7" t="s">
        <v>58</v>
      </c>
    </row>
    <row r="6259" spans="1:10" ht="13.2">
      <c r="A6259" s="7">
        <v>6258</v>
      </c>
      <c r="B6259" s="7">
        <v>1</v>
      </c>
      <c r="C6259" s="7" t="s">
        <v>10</v>
      </c>
      <c r="D6259" s="7">
        <v>5095</v>
      </c>
      <c r="E6259" s="7" t="s">
        <v>14</v>
      </c>
      <c r="F6259" s="8" t="str">
        <f ca="1">IFERROR(__xludf.DUMMYFUNCTION("IF
(
C6260=""фізична особа""
,
VLOOKUP(D6260,IMPORTRANGE(""https://docs.google.com/spreadsheets/d/14Bd19lYaqBhU8_DElYkX7l4wRkHqqCUFNJY4AfY3kHU/edit?usp=sharing  #gid=0"",""фіз особи new!relations_name""),6,FALSE)
,
(IF
(
C6260=""юридична особа""
,
VLOOKUP"&amp;"(D6260,IMPORTRANGE(""https://docs.google.com/spreadsheets/d/14Bd19lYaqBhU8_DElYkX7l4wRkHqqCUFNJY4AfY3kHU/edit?usp=sharing  #gid=0"",""фіз особи new!relations_name_uo""),7,FALSE)
,
)
))"),"ХОВАНСЬКИЙ Валерій Дмитрович")</f>
        <v>ХОВАНСЬКИЙ Валерій Дмитрович</v>
      </c>
      <c r="G6259" s="7" t="s">
        <v>10</v>
      </c>
      <c r="H6259" s="7">
        <v>264</v>
      </c>
      <c r="I6259" s="8" t="str">
        <f ca="1">IFERROR(__xludf.DUMMYFUNCTION("IF
(
G6260=""фізична особа""
,
VLOOKUP(H6260,IMPORTRANGE(""https://docs.google.com/spreadsheets/d/14Bd19lYaqBhU8_DElYkX7l4wRkHqqCUFNJY4AfY3kHU/edit?usp=sharing  #gid=0"",""фіз особи new!relations_name""),6,FALSE)
,
(IF
(
G6260=""юридична особа""
,
VLOOKUP"&amp;"(H6260,IMPORTRANGE(""https://docs.google.com/spreadsheets/d/14Bd19lYaqBhU8_DElYkX7l4wRkHqqCUFNJY4AfY3kHU/edit?usp=sharing  #gid=0"",""фіз особи new!relations_name_uo""),7,FALSE)
,
)
))"),"ХОВАНСЬКА Галина Петрівна")</f>
        <v>ХОВАНСЬКА Галина Петрівна</v>
      </c>
      <c r="J6259" s="7" t="s">
        <v>15</v>
      </c>
    </row>
    <row r="6260" spans="1:10" ht="13.2">
      <c r="A6260" s="7">
        <v>6259</v>
      </c>
      <c r="B6260" s="7">
        <v>1</v>
      </c>
      <c r="C6260" s="7" t="s">
        <v>10</v>
      </c>
      <c r="D6260" s="7">
        <v>5096</v>
      </c>
      <c r="E6260" s="7" t="s">
        <v>13</v>
      </c>
      <c r="F6260" s="8" t="str">
        <f ca="1">IFERROR(__xludf.DUMMYFUNCTION("IF
(
C6261=""фізична особа""
,
VLOOKUP(D6261,IMPORTRANGE(""https://docs.google.com/spreadsheets/d/14Bd19lYaqBhU8_DElYkX7l4wRkHqqCUFNJY4AfY3kHU/edit?usp=sharing  #gid=0"",""фіз особи new!relations_name""),6,FALSE)
,
(IF
(
C6261=""юридична особа""
,
VLOOKUP"&amp;"(D6261,IMPORTRANGE(""https://docs.google.com/spreadsheets/d/14Bd19lYaqBhU8_DElYkX7l4wRkHqqCUFNJY4AfY3kHU/edit?usp=sharing  #gid=0"",""фіз особи new!relations_name_uo""),7,FALSE)
,
)
))"),"СКЛЯР / РИБАЛКІНА Анастасія Геннадіївна")</f>
        <v>СКЛЯР / РИБАЛКІНА Анастасія Геннадіївна</v>
      </c>
      <c r="G6260" s="7" t="s">
        <v>10</v>
      </c>
      <c r="H6260" s="7">
        <v>266</v>
      </c>
      <c r="I6260" s="8" t="str">
        <f ca="1">IFERROR(__xludf.DUMMYFUNCTION("IF
(
G6261=""фізична особа""
,
VLOOKUP(H6261,IMPORTRANGE(""https://docs.google.com/spreadsheets/d/14Bd19lYaqBhU8_DElYkX7l4wRkHqqCUFNJY4AfY3kHU/edit?usp=sharing  #gid=0"",""фіз особи new!relations_name""),6,FALSE)
,
(IF
(
G6261=""юридична особа""
,
VLOOKUP"&amp;"(H6261,IMPORTRANGE(""https://docs.google.com/spreadsheets/d/14Bd19lYaqBhU8_DElYkX7l4wRkHqqCUFNJY4AfY3kHU/edit?usp=sharing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J6260" s="7" t="s">
        <v>12</v>
      </c>
    </row>
    <row r="6261" spans="1:10" ht="13.2">
      <c r="A6261" s="7">
        <v>6260</v>
      </c>
      <c r="B6261" s="7">
        <v>1</v>
      </c>
      <c r="C6261" s="7" t="s">
        <v>10</v>
      </c>
      <c r="D6261" s="7">
        <v>5097</v>
      </c>
      <c r="E6261" s="7" t="s">
        <v>26</v>
      </c>
      <c r="F6261" s="8" t="str">
        <f ca="1">IFERROR(__xludf.DUMMYFUNCTION("IF
(
C6262=""фізична особа""
,
VLOOKUP(D6262,IMPORTRANGE(""https://docs.google.com/spreadsheets/d/14Bd19lYaqBhU8_DElYkX7l4wRkHqqCUFNJY4AfY3kHU/edit?usp=sharing  #gid=0"",""фіз особи new!relations_name""),6,FALSE)
,
(IF
(
C6262=""юридична особа""
,
VLOOKUP"&amp;"(D6262,IMPORTRANGE(""https://docs.google.com/spreadsheets/d/14Bd19lYaqBhU8_DElYkX7l4wRkHqqCUFNJY4AfY3kHU/edit?usp=sharing  #gid=0"",""фіз особи new!relations_name_uo""),7,FALSE)
,
)
))"),"РИБАЛКІН Валерій Федорович")</f>
        <v>РИБАЛКІН Валерій Федорович</v>
      </c>
      <c r="G6261" s="7" t="s">
        <v>10</v>
      </c>
      <c r="H6261" s="7">
        <v>266</v>
      </c>
      <c r="I6261" s="8" t="str">
        <f ca="1">IFERROR(__xludf.DUMMYFUNCTION("IF
(
G6262=""фізична особа""
,
VLOOKUP(H6262,IMPORTRANGE(""https://docs.google.com/spreadsheets/d/14Bd19lYaqBhU8_DElYkX7l4wRkHqqCUFNJY4AfY3kHU/edit?usp=sharing  #gid=0"",""фіз особи new!relations_name""),6,FALSE)
,
(IF
(
G6262=""юридична особа""
,
VLOOKUP"&amp;"(H6262,IMPORTRANGE(""https://docs.google.com/spreadsheets/d/14Bd19lYaqBhU8_DElYkX7l4wRkHqqCUFNJY4AfY3kHU/edit?usp=sharing  #gid=0"",""фіз особи new!relations_name_uo""),7,FALSE)
,
)
))"),"СКЛЯР Геннадій Іванович")</f>
        <v>СКЛЯР Геннадій Іванович</v>
      </c>
      <c r="J6261" s="7" t="s">
        <v>24</v>
      </c>
    </row>
    <row r="6262" spans="1:10" ht="13.2">
      <c r="A6262" s="7">
        <v>6261</v>
      </c>
      <c r="B6262" s="7">
        <v>1</v>
      </c>
      <c r="C6262" s="7" t="s">
        <v>10</v>
      </c>
      <c r="D6262" s="7">
        <v>5098</v>
      </c>
      <c r="E6262" s="7" t="s">
        <v>13</v>
      </c>
      <c r="F6262" s="8" t="str">
        <f ca="1">IFERROR(__xludf.DUMMYFUNCTION("IF
(
C6263=""фізична особа""
,
VLOOKUP(D6263,IMPORTRANGE(""https://docs.google.com/spreadsheets/d/14Bd19lYaqBhU8_DElYkX7l4wRkHqqCUFNJY4AfY3kHU/edit?usp=sharing  #gid=0"",""фіз особи new!relations_name""),6,FALSE)
,
(IF
(
C6263=""юридична особа""
,
VLOOKUP"&amp;"(D6263,IMPORTRANGE(""https://docs.google.com/spreadsheets/d/14Bd19lYaqBhU8_DElYkX7l4wRkHqqCUFNJY4AfY3kHU/edit?usp=sharing  #gid=0"",""фіз особи new!relations_name_uo""),7,FALSE)
,
)
))"),"НІКІФОРОВА Тетяна Геннадіївна")</f>
        <v>НІКІФОРОВА Тетяна Геннадіївна</v>
      </c>
      <c r="G6262" s="7" t="s">
        <v>10</v>
      </c>
      <c r="H6262" s="7">
        <v>267</v>
      </c>
      <c r="I6262" s="8" t="str">
        <f ca="1">IFERROR(__xludf.DUMMYFUNCTION("IF
(
G6263=""фізична особа""
,
VLOOKUP(H6263,IMPORTRANGE(""https://docs.google.com/spreadsheets/d/14Bd19lYaqBhU8_DElYkX7l4wRkHqqCUFNJY4AfY3kHU/edit?usp=sharing  #gid=0"",""фіз особи new!relations_name""),6,FALSE)
,
(IF
(
G6263=""юридична особа""
,
VLOOKUP"&amp;"(H6263,IMPORTRANGE(""https://docs.google.com/spreadsheets/d/14Bd19lYaqBhU8_DElYkX7l4wRkHqqCUFNJY4AfY3kHU/edit?usp=sharing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2" s="7" t="s">
        <v>12</v>
      </c>
    </row>
    <row r="6263" spans="1:10" ht="13.2">
      <c r="A6263" s="7">
        <v>6262</v>
      </c>
      <c r="B6263" s="7">
        <v>1</v>
      </c>
      <c r="C6263" s="7" t="s">
        <v>10</v>
      </c>
      <c r="D6263" s="7">
        <v>5099</v>
      </c>
      <c r="E6263" s="7" t="s">
        <v>17</v>
      </c>
      <c r="F6263" s="8" t="str">
        <f ca="1">IFERROR(__xludf.DUMMYFUNCTION("IF
(
C6264=""фізична особа""
,
VLOOKUP(D6264,IMPORTRANGE(""https://docs.google.com/spreadsheets/d/14Bd19lYaqBhU8_DElYkX7l4wRkHqqCUFNJY4AfY3kHU/edit?usp=sharing  #gid=0"",""фіз особи new!relations_name""),6,FALSE)
,
(IF
(
C6264=""юридична особа""
,
VLOOKUP"&amp;"(D6264,IMPORTRANGE(""https://docs.google.com/spreadsheets/d/14Bd19lYaqBhU8_DElYkX7l4wRkHqqCUFNJY4AfY3kHU/edit?usp=sharing  #gid=0"",""фіз особи new!relations_name_uo""),7,FALSE)
,
)
))"),"ЗЮГАНОВ Андрій Геннадійович")</f>
        <v>ЗЮГАНОВ Андрій Геннадійович</v>
      </c>
      <c r="G6263" s="7" t="s">
        <v>10</v>
      </c>
      <c r="H6263" s="7">
        <v>267</v>
      </c>
      <c r="I6263" s="8" t="str">
        <f ca="1">IFERROR(__xludf.DUMMYFUNCTION("IF
(
G6264=""фізична особа""
,
VLOOKUP(H6264,IMPORTRANGE(""https://docs.google.com/spreadsheets/d/14Bd19lYaqBhU8_DElYkX7l4wRkHqqCUFNJY4AfY3kHU/edit?usp=sharing  #gid=0"",""фіз особи new!relations_name""),6,FALSE)
,
(IF
(
G6264=""юридична особа""
,
VLOOKUP"&amp;"(H6264,IMPORTRANGE(""https://docs.google.com/spreadsheets/d/14Bd19lYaqBhU8_DElYkX7l4wRkHqqCUFNJY4AfY3kHU/edit?usp=sharing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3" s="7" t="s">
        <v>12</v>
      </c>
    </row>
    <row r="6264" spans="1:10" ht="13.2">
      <c r="A6264" s="7">
        <v>6263</v>
      </c>
      <c r="B6264" s="7">
        <v>1</v>
      </c>
      <c r="C6264" s="7" t="s">
        <v>10</v>
      </c>
      <c r="D6264" s="7">
        <v>5100</v>
      </c>
      <c r="E6264" s="7" t="s">
        <v>26</v>
      </c>
      <c r="F6264" s="8" t="str">
        <f ca="1">IFERROR(__xludf.DUMMYFUNCTION("IF
(
C6265=""фізична особа""
,
VLOOKUP(D6265,IMPORTRANGE(""https://docs.google.com/spreadsheets/d/14Bd19lYaqBhU8_DElYkX7l4wRkHqqCUFNJY4AfY3kHU/edit?usp=sharing  #gid=0"",""фіз особи new!relations_name""),6,FALSE)
,
(IF
(
C6265=""юридична особа""
,
VLOOKUP"&amp;"(D6265,IMPORTRANGE(""https://docs.google.com/spreadsheets/d/14Bd19lYaqBhU8_DElYkX7l4wRkHqqCUFNJY4AfY3kHU/edit?usp=sharing  #gid=0"",""фіз особи new!relations_name_uo""),7,FALSE)
,
)
))"),"НІКОФОРІВ Сергій Владиславович")</f>
        <v>НІКОФОРІВ Сергій Владиславович</v>
      </c>
      <c r="G6264" s="7" t="s">
        <v>10</v>
      </c>
      <c r="H6264" s="7">
        <v>267</v>
      </c>
      <c r="I6264" s="8" t="str">
        <f ca="1">IFERROR(__xludf.DUMMYFUNCTION("IF
(
G6265=""фізична особа""
,
VLOOKUP(H6265,IMPORTRANGE(""https://docs.google.com/spreadsheets/d/14Bd19lYaqBhU8_DElYkX7l4wRkHqqCUFNJY4AfY3kHU/edit?usp=sharing  #gid=0"",""фіз особи new!relations_name""),6,FALSE)
,
(IF
(
G6265=""юридична особа""
,
VLOOKUP"&amp;"(H6265,IMPORTRANGE(""https://docs.google.com/spreadsheets/d/14Bd19lYaqBhU8_DElYkX7l4wRkHqqCUFNJY4AfY3kHU/edit?usp=sharing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4" s="7" t="s">
        <v>24</v>
      </c>
    </row>
    <row r="6265" spans="1:10" ht="13.2">
      <c r="A6265" s="7">
        <v>6264</v>
      </c>
      <c r="B6265" s="7">
        <v>1</v>
      </c>
      <c r="C6265" s="7" t="s">
        <v>10</v>
      </c>
      <c r="D6265" s="7">
        <v>5101</v>
      </c>
      <c r="E6265" s="7" t="s">
        <v>15</v>
      </c>
      <c r="F6265" s="8" t="str">
        <f ca="1">IFERROR(__xludf.DUMMYFUNCTION("IF
(
C6266=""фізична особа""
,
VLOOKUP(D6266,IMPORTRANGE(""https://docs.google.com/spreadsheets/d/14Bd19lYaqBhU8_DElYkX7l4wRkHqqCUFNJY4AfY3kHU/edit?usp=sharing  #gid=0"",""фіз особи new!relations_name""),6,FALSE)
,
(IF
(
C6266=""юридична особа""
,
VLOOKUP"&amp;"(D6266,IMPORTRANGE(""https://docs.google.com/spreadsheets/d/14Bd19lYaqBhU8_DElYkX7l4wRkHqqCUFNJY4AfY3kHU/edit?usp=sharing  #gid=0"",""фіз особи new!relations_name_uo""),7,FALSE)
,
)
))"),"ЗЮГАНОВА Надія Василівна")</f>
        <v>ЗЮГАНОВА Надія Василівна</v>
      </c>
      <c r="G6265" s="7" t="s">
        <v>10</v>
      </c>
      <c r="H6265" s="7">
        <v>267</v>
      </c>
      <c r="I6265" s="8" t="str">
        <f ca="1">IFERROR(__xludf.DUMMYFUNCTION("IF
(
G6266=""фізична особа""
,
VLOOKUP(H6266,IMPORTRANGE(""https://docs.google.com/spreadsheets/d/14Bd19lYaqBhU8_DElYkX7l4wRkHqqCUFNJY4AfY3kHU/edit?usp=sharing  #gid=0"",""фіз особи new!relations_name""),6,FALSE)
,
(IF
(
G6266=""юридична особа""
,
VLOOKUP"&amp;"(H6266,IMPORTRANGE(""https://docs.google.com/spreadsheets/d/14Bd19lYaqBhU8_DElYkX7l4wRkHqqCUFNJY4AfY3kHU/edit?usp=sharing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5" s="7" t="s">
        <v>14</v>
      </c>
    </row>
    <row r="6266" spans="1:10" ht="13.2">
      <c r="A6266" s="7">
        <v>6265</v>
      </c>
      <c r="B6266" s="7">
        <v>1</v>
      </c>
      <c r="C6266" s="7" t="s">
        <v>10</v>
      </c>
      <c r="D6266" s="7">
        <v>5102</v>
      </c>
      <c r="E6266" s="7" t="s">
        <v>60</v>
      </c>
      <c r="F6266" s="8" t="str">
        <f ca="1">IFERROR(__xludf.DUMMYFUNCTION("IF
(
C6267=""фізична особа""
,
VLOOKUP(D6267,IMPORTRANGE(""https://docs.google.com/spreadsheets/d/14Bd19lYaqBhU8_DElYkX7l4wRkHqqCUFNJY4AfY3kHU/edit?usp=sharing  #gid=0"",""фіз особи new!relations_name""),6,FALSE)
,
(IF
(
C6267=""юридична особа""
,
VLOOKUP"&amp;"(D6267,IMPORTRANGE(""https://docs.google.com/spreadsheets/d/14Bd19lYaqBhU8_DElYkX7l4wRkHqqCUFNJY4AfY3kHU/edit?usp=sharing  #gid=0"",""фіз особи new!relations_name_uo""),7,FALSE)
,
)
))"),"НІКІФОРОВА Марія Сергіївна")</f>
        <v>НІКІФОРОВА Марія Сергіївна</v>
      </c>
      <c r="G6266" s="7" t="s">
        <v>10</v>
      </c>
      <c r="H6266" s="7">
        <v>267</v>
      </c>
      <c r="I6266" s="8" t="str">
        <f ca="1">IFERROR(__xludf.DUMMYFUNCTION("IF
(
G6267=""фізична особа""
,
VLOOKUP(H6267,IMPORTRANGE(""https://docs.google.com/spreadsheets/d/14Bd19lYaqBhU8_DElYkX7l4wRkHqqCUFNJY4AfY3kHU/edit?usp=sharing  #gid=0"",""фіз особи new!relations_name""),6,FALSE)
,
(IF
(
G6267=""юридична особа""
,
VLOOKUP"&amp;"(H6267,IMPORTRANGE(""https://docs.google.com/spreadsheets/d/14Bd19lYaqBhU8_DElYkX7l4wRkHqqCUFNJY4AfY3kHU/edit?usp=sharing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6" s="7" t="s">
        <v>59</v>
      </c>
    </row>
    <row r="6267" spans="1:10" ht="13.2">
      <c r="A6267" s="7">
        <v>6266</v>
      </c>
      <c r="B6267" s="7">
        <v>1</v>
      </c>
      <c r="C6267" s="7" t="s">
        <v>10</v>
      </c>
      <c r="D6267" s="7">
        <v>5103</v>
      </c>
      <c r="E6267" s="7" t="s">
        <v>61</v>
      </c>
      <c r="F6267" s="8" t="str">
        <f ca="1">IFERROR(__xludf.DUMMYFUNCTION("IF
(
C6268=""фізична особа""
,
VLOOKUP(D6268,IMPORTRANGE(""https://docs.google.com/spreadsheets/d/14Bd19lYaqBhU8_DElYkX7l4wRkHqqCUFNJY4AfY3kHU/edit?usp=sharing  #gid=0"",""фіз особи new!relations_name""),6,FALSE)
,
(IF
(
C6268=""юридична особа""
,
VLOOKUP"&amp;"(D6268,IMPORTRANGE(""https://docs.google.com/spreadsheets/d/14Bd19lYaqBhU8_DElYkX7l4wRkHqqCUFNJY4AfY3kHU/edit?usp=sharing  #gid=0"",""фіз особи new!relations_name_uo""),7,FALSE)
,
)
))"),"НИКИФОРОВ Євгеній Сергійович")</f>
        <v>НИКИФОРОВ Євгеній Сергійович</v>
      </c>
      <c r="G6267" s="7" t="s">
        <v>10</v>
      </c>
      <c r="H6267" s="7">
        <v>267</v>
      </c>
      <c r="I6267" s="8" t="str">
        <f ca="1">IFERROR(__xludf.DUMMYFUNCTION("IF
(
G6268=""фізична особа""
,
VLOOKUP(H6268,IMPORTRANGE(""https://docs.google.com/spreadsheets/d/14Bd19lYaqBhU8_DElYkX7l4wRkHqqCUFNJY4AfY3kHU/edit?usp=sharing  #gid=0"",""фіз особи new!relations_name""),6,FALSE)
,
(IF
(
G6268=""юридична особа""
,
VLOOKUP"&amp;"(H6268,IMPORTRANGE(""https://docs.google.com/spreadsheets/d/14Bd19lYaqBhU8_DElYkX7l4wRkHqqCUFNJY4AfY3kHU/edit?usp=sharing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7" s="7" t="s">
        <v>59</v>
      </c>
    </row>
    <row r="6268" spans="1:10" ht="13.2">
      <c r="A6268" s="7">
        <v>6267</v>
      </c>
      <c r="B6268" s="7">
        <v>1</v>
      </c>
      <c r="C6268" s="7" t="s">
        <v>10</v>
      </c>
      <c r="D6268" s="7">
        <v>5104</v>
      </c>
      <c r="E6268" s="7" t="s">
        <v>25</v>
      </c>
      <c r="F6268" s="8" t="str">
        <f ca="1">IFERROR(__xludf.DUMMYFUNCTION("IF
(
C6269=""фізична особа""
,
VLOOKUP(D6269,IMPORTRANGE(""https://docs.google.com/spreadsheets/d/14Bd19lYaqBhU8_DElYkX7l4wRkHqqCUFNJY4AfY3kHU/edit?usp=sharing  #gid=0"",""фіз особи new!relations_name""),6,FALSE)
,
(IF
(
C6269=""юридична особа""
,
VLOOKUP"&amp;"(D6269,IMPORTRANGE(""https://docs.google.com/spreadsheets/d/14Bd19lYaqBhU8_DElYkX7l4wRkHqqCUFNJY4AfY3kHU/edit?usp=sharing  #gid=0"",""фіз особи new!relations_name_uo""),7,FALSE)
,
)
))"),"ЗЮГАНОВА Тетяна Юріївна")</f>
        <v>ЗЮГАНОВА Тетяна Юріївна</v>
      </c>
      <c r="G6268" s="7" t="s">
        <v>10</v>
      </c>
      <c r="H6268" s="7">
        <v>267</v>
      </c>
      <c r="I6268" s="8" t="str">
        <f ca="1">IFERROR(__xludf.DUMMYFUNCTION("IF
(
G6269=""фізична особа""
,
VLOOKUP(H6269,IMPORTRANGE(""https://docs.google.com/spreadsheets/d/14Bd19lYaqBhU8_DElYkX7l4wRkHqqCUFNJY4AfY3kHU/edit?usp=sharing  #gid=0"",""фіз особи new!relations_name""),6,FALSE)
,
(IF
(
G6269=""юридична особа""
,
VLOOKUP"&amp;"(H6269,IMPORTRANGE(""https://docs.google.com/spreadsheets/d/14Bd19lYaqBhU8_DElYkX7l4wRkHqqCUFNJY4AfY3kHU/edit?usp=sharing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8" s="7" t="s">
        <v>34</v>
      </c>
    </row>
    <row r="6269" spans="1:10" ht="13.2">
      <c r="A6269" s="7">
        <v>6268</v>
      </c>
      <c r="B6269" s="7">
        <v>1</v>
      </c>
      <c r="C6269" s="7" t="s">
        <v>10</v>
      </c>
      <c r="D6269" s="7">
        <v>5105</v>
      </c>
      <c r="E6269" s="7" t="s">
        <v>61</v>
      </c>
      <c r="F6269" s="8" t="str">
        <f ca="1">IFERROR(__xludf.DUMMYFUNCTION("IF
(
C6270=""фізична особа""
,
VLOOKUP(D6270,IMPORTRANGE(""https://docs.google.com/spreadsheets/d/14Bd19lYaqBhU8_DElYkX7l4wRkHqqCUFNJY4AfY3kHU/edit?usp=sharing  #gid=0"",""фіз особи new!relations_name""),6,FALSE)
,
(IF
(
C6270=""юридична особа""
,
VLOOKUP"&amp;"(D6270,IMPORTRANGE(""https://docs.google.com/spreadsheets/d/14Bd19lYaqBhU8_DElYkX7l4wRkHqqCUFNJY4AfY3kHU/edit?usp=sharing  #gid=0"",""фіз особи new!relations_name_uo""),7,FALSE)
,
)
))"),"ЗЮГАНОВ Михайло Андрійович")</f>
        <v>ЗЮГАНОВ Михайло Андрійович</v>
      </c>
      <c r="G6269" s="7" t="s">
        <v>10</v>
      </c>
      <c r="H6269" s="7">
        <v>267</v>
      </c>
      <c r="I6269" s="8" t="str">
        <f ca="1">IFERROR(__xludf.DUMMYFUNCTION("IF
(
G6270=""фізична особа""
,
VLOOKUP(H6270,IMPORTRANGE(""https://docs.google.com/spreadsheets/d/14Bd19lYaqBhU8_DElYkX7l4wRkHqqCUFNJY4AfY3kHU/edit?usp=sharing  #gid=0"",""фіз особи new!relations_name""),6,FALSE)
,
(IF
(
G6270=""юридична особа""
,
VLOOKUP"&amp;"(H6270,IMPORTRANGE(""https://docs.google.com/spreadsheets/d/14Bd19lYaqBhU8_DElYkX7l4wRkHqqCUFNJY4AfY3kHU/edit?usp=sharing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69" s="7" t="s">
        <v>59</v>
      </c>
    </row>
    <row r="6270" spans="1:10" ht="13.2">
      <c r="A6270" s="7">
        <v>6269</v>
      </c>
      <c r="B6270" s="7">
        <v>1</v>
      </c>
      <c r="C6270" s="7" t="s">
        <v>10</v>
      </c>
      <c r="D6270" s="7">
        <v>5106</v>
      </c>
      <c r="E6270" s="7" t="s">
        <v>61</v>
      </c>
      <c r="F6270" s="8" t="str">
        <f ca="1">IFERROR(__xludf.DUMMYFUNCTION("IF
(
C6271=""фізична особа""
,
VLOOKUP(D6271,IMPORTRANGE(""https://docs.google.com/spreadsheets/d/14Bd19lYaqBhU8_DElYkX7l4wRkHqqCUFNJY4AfY3kHU/edit?usp=sharing  #gid=0"",""фіз особи new!relations_name""),6,FALSE)
,
(IF
(
C6271=""юридична особа""
,
VLOOKUP"&amp;"(D6271,IMPORTRANGE(""https://docs.google.com/spreadsheets/d/14Bd19lYaqBhU8_DElYkX7l4wRkHqqCUFNJY4AfY3kHU/edit?usp=sharing  #gid=0"",""фіз особи new!relations_name_uo""),7,FALSE)
,
)
))"),"ЗЮГАНОВ Леонід Андрійович")</f>
        <v>ЗЮГАНОВ Леонід Андрійович</v>
      </c>
      <c r="G6270" s="7" t="s">
        <v>10</v>
      </c>
      <c r="H6270" s="7">
        <v>267</v>
      </c>
      <c r="I6270" s="8" t="str">
        <f ca="1">IFERROR(__xludf.DUMMYFUNCTION("IF
(
G6271=""фізична особа""
,
VLOOKUP(H6271,IMPORTRANGE(""https://docs.google.com/spreadsheets/d/14Bd19lYaqBhU8_DElYkX7l4wRkHqqCUFNJY4AfY3kHU/edit?usp=sharing  #gid=0"",""фіз особи new!relations_name""),6,FALSE)
,
(IF
(
G6271=""юридична особа""
,
VLOOKUP"&amp;"(H6271,IMPORTRANGE(""https://docs.google.com/spreadsheets/d/14Bd19lYaqBhU8_DElYkX7l4wRkHqqCUFNJY4AfY3kHU/edit?usp=sharing  #gid=0"",""фіз особи new!relations_name_uo""),7,FALSE)
,
)
))"),"ЗЮГАНОВ Геннадій Андрійович")</f>
        <v>ЗЮГАНОВ Геннадій Андрійович</v>
      </c>
      <c r="J6270" s="7" t="s">
        <v>59</v>
      </c>
    </row>
    <row r="6271" spans="1:10" ht="13.2">
      <c r="A6271" s="7">
        <v>6270</v>
      </c>
      <c r="B6271" s="7">
        <v>1</v>
      </c>
      <c r="C6271" s="7" t="s">
        <v>10</v>
      </c>
      <c r="D6271" s="7">
        <v>5107</v>
      </c>
      <c r="E6271" s="7" t="s">
        <v>15</v>
      </c>
      <c r="F6271" s="8" t="str">
        <f ca="1">IFERROR(__xludf.DUMMYFUNCTION("IF
(
C6272=""фізична особа""
,
VLOOKUP(D6272,IMPORTRANGE(""https://docs.google.com/spreadsheets/d/14Bd19lYaqBhU8_DElYkX7l4wRkHqqCUFNJY4AfY3kHU/edit?usp=sharing  #gid=0"",""фіз особи new!relations_name""),6,FALSE)
,
(IF
(
C6272=""юридична особа""
,
VLOOKUP"&amp;"(D6272,IMPORTRANGE(""https://docs.google.com/spreadsheets/d/14Bd19lYaqBhU8_DElYkX7l4wRkHqqCUFNJY4AfY3kHU/edit?usp=sharing  #gid=0"",""фіз особи new!relations_name_uo""),7,FALSE)
,
)
))"),"КАРЛОВА Юлія Анатоліївна")</f>
        <v>КАРЛОВА Юлія Анатоліївна</v>
      </c>
      <c r="G6271" s="7" t="s">
        <v>10</v>
      </c>
      <c r="H6271" s="7">
        <v>275</v>
      </c>
      <c r="I6271" s="8" t="str">
        <f ca="1">IFERROR(__xludf.DUMMYFUNCTION("IF
(
G6272=""фізична особа""
,
VLOOKUP(H6272,IMPORTRANGE(""https://docs.google.com/spreadsheets/d/14Bd19lYaqBhU8_DElYkX7l4wRkHqqCUFNJY4AfY3kHU/edit?usp=sharing  #gid=0"",""фіз особи new!relations_name""),6,FALSE)
,
(IF
(
G6272=""юридична особа""
,
VLOOKUP"&amp;"(H6272,IMPORTRANGE(""https://docs.google.com/spreadsheets/d/14Bd19lYaqBhU8_DElYkX7l4wRkHqqCUFNJY4AfY3kHU/edit?usp=sharing  #gid=0"",""фіз особи new!relations_name_uo""),7,FALSE)
,
)
))"),"КАРЛОВ Георгій Олександрович")</f>
        <v>КАРЛОВ Георгій Олександрович</v>
      </c>
      <c r="J6271" s="7" t="s">
        <v>14</v>
      </c>
    </row>
    <row r="6272" spans="1:10" ht="13.2">
      <c r="A6272" s="7">
        <v>6271</v>
      </c>
      <c r="B6272" s="7">
        <v>1</v>
      </c>
      <c r="C6272" s="7" t="s">
        <v>10</v>
      </c>
      <c r="D6272" s="7">
        <v>5108</v>
      </c>
      <c r="E6272" s="7" t="s">
        <v>12</v>
      </c>
      <c r="F6272" s="8" t="str">
        <f ca="1">IFERROR(__xludf.DUMMYFUNCTION("IF
(
C6273=""фізична особа""
,
VLOOKUP(D6273,IMPORTRANGE(""https://docs.google.com/spreadsheets/d/14Bd19lYaqBhU8_DElYkX7l4wRkHqqCUFNJY4AfY3kHU/edit?usp=sharing  #gid=0"",""фіз особи new!relations_name""),6,FALSE)
,
(IF
(
C6273=""юридична особа""
,
VLOOKUP"&amp;"(D6273,IMPORTRANGE(""https://docs.google.com/spreadsheets/d/14Bd19lYaqBhU8_DElYkX7l4wRkHqqCUFNJY4AfY3kHU/edit?usp=sharing  #gid=0"",""фіз особи new!relations_name_uo""),7,FALSE)
,
)
))"),"ХОР Яків Моісейович")</f>
        <v>ХОР Яків Моісейович</v>
      </c>
      <c r="G6272" s="7" t="s">
        <v>10</v>
      </c>
      <c r="H6272" s="7">
        <v>278</v>
      </c>
      <c r="I6272" s="8" t="str">
        <f ca="1">IFERROR(__xludf.DUMMYFUNCTION("IF
(
G6273=""фізична особа""
,
VLOOKUP(H6273,IMPORTRANGE(""https://docs.google.com/spreadsheets/d/14Bd19lYaqBhU8_DElYkX7l4wRkHqqCUFNJY4AfY3kHU/edit?usp=sharing  #gid=0"",""фіз особи new!relations_name""),6,FALSE)
,
(IF
(
G6273=""юридична особа""
,
VLOOKUP"&amp;"(H6273,IMPORTRANGE(""https://docs.google.com/spreadsheets/d/14Bd19lYaqBhU8_DElYkX7l4wRkHqqCUFNJY4AfY3kHU/edit?usp=sharing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J6272" s="7" t="s">
        <v>17</v>
      </c>
    </row>
    <row r="6273" spans="1:10" ht="13.2">
      <c r="A6273" s="7">
        <v>6272</v>
      </c>
      <c r="B6273" s="7">
        <v>1</v>
      </c>
      <c r="C6273" s="7" t="s">
        <v>10</v>
      </c>
      <c r="D6273" s="7">
        <v>5109</v>
      </c>
      <c r="E6273" s="7" t="s">
        <v>15</v>
      </c>
      <c r="F6273" s="8" t="str">
        <f ca="1">IFERROR(__xludf.DUMMYFUNCTION("IF
(
C6274=""фізична особа""
,
VLOOKUP(D6274,IMPORTRANGE(""https://docs.google.com/spreadsheets/d/14Bd19lYaqBhU8_DElYkX7l4wRkHqqCUFNJY4AfY3kHU/edit?usp=sharing  #gid=0"",""фіз особи new!relations_name""),6,FALSE)
,
(IF
(
C6274=""юридична особа""
,
VLOOKUP"&amp;"(D6274,IMPORTRANGE(""https://docs.google.com/spreadsheets/d/14Bd19lYaqBhU8_DElYkX7l4wRkHqqCUFNJY4AfY3kHU/edit?usp=sharing  #gid=0"",""фіз особи new!relations_name_uo""),7,FALSE)
,
)
))"),"ХОР Наталія Федорівна")</f>
        <v>ХОР Наталія Федорівна</v>
      </c>
      <c r="G6273" s="7" t="s">
        <v>10</v>
      </c>
      <c r="H6273" s="7">
        <v>278</v>
      </c>
      <c r="I6273" s="8" t="str">
        <f ca="1">IFERROR(__xludf.DUMMYFUNCTION("IF
(
G6274=""фізична особа""
,
VLOOKUP(H6274,IMPORTRANGE(""https://docs.google.com/spreadsheets/d/14Bd19lYaqBhU8_DElYkX7l4wRkHqqCUFNJY4AfY3kHU/edit?usp=sharing  #gid=0"",""фіз особи new!relations_name""),6,FALSE)
,
(IF
(
G6274=""юридична особа""
,
VLOOKUP"&amp;"(H6274,IMPORTRANGE(""https://docs.google.com/spreadsheets/d/14Bd19lYaqBhU8_DElYkX7l4wRkHqqCUFNJY4AfY3kHU/edit?usp=sharing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J6273" s="7" t="s">
        <v>14</v>
      </c>
    </row>
    <row r="6274" spans="1:10" ht="13.2">
      <c r="A6274" s="7">
        <v>6273</v>
      </c>
      <c r="B6274" s="7">
        <v>1</v>
      </c>
      <c r="C6274" s="7" t="s">
        <v>10</v>
      </c>
      <c r="D6274" s="7">
        <v>5110</v>
      </c>
      <c r="E6274" s="7" t="s">
        <v>13</v>
      </c>
      <c r="F6274" s="8" t="str">
        <f ca="1">IFERROR(__xludf.DUMMYFUNCTION("IF
(
C6275=""фізична особа""
,
VLOOKUP(D6275,IMPORTRANGE(""https://docs.google.com/spreadsheets/d/14Bd19lYaqBhU8_DElYkX7l4wRkHqqCUFNJY4AfY3kHU/edit?usp=sharing  #gid=0"",""фіз особи new!relations_name""),6,FALSE)
,
(IF
(
C6275=""юридична особа""
,
VLOOKUP"&amp;"(D6275,IMPORTRANGE(""https://docs.google.com/spreadsheets/d/14Bd19lYaqBhU8_DElYkX7l4wRkHqqCUFNJY4AfY3kHU/edit?usp=sharing  #gid=0"",""фіз особи new!relations_name_uo""),7,FALSE)
,
)
))"),"ХОР Ніла / Неоніла Глібівна")</f>
        <v>ХОР Ніла / Неоніла Глібівна</v>
      </c>
      <c r="G6274" s="7" t="s">
        <v>10</v>
      </c>
      <c r="H6274" s="7">
        <v>278</v>
      </c>
      <c r="I6274" s="8" t="str">
        <f ca="1">IFERROR(__xludf.DUMMYFUNCTION("IF
(
G6275=""фізична особа""
,
VLOOKUP(H6275,IMPORTRANGE(""https://docs.google.com/spreadsheets/d/14Bd19lYaqBhU8_DElYkX7l4wRkHqqCUFNJY4AfY3kHU/edit?usp=sharing  #gid=0"",""фіз особи new!relations_name""),6,FALSE)
,
(IF
(
G6275=""юридична особа""
,
VLOOKUP"&amp;"(H6275,IMPORTRANGE(""https://docs.google.com/spreadsheets/d/14Bd19lYaqBhU8_DElYkX7l4wRkHqqCUFNJY4AfY3kHU/edit?usp=sharing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J6274" s="7" t="s">
        <v>12</v>
      </c>
    </row>
    <row r="6275" spans="1:10" ht="13.2">
      <c r="A6275" s="7">
        <v>6274</v>
      </c>
      <c r="B6275" s="7">
        <v>1</v>
      </c>
      <c r="C6275" s="7" t="s">
        <v>10</v>
      </c>
      <c r="D6275" s="7">
        <v>5111</v>
      </c>
      <c r="E6275" s="7" t="s">
        <v>17</v>
      </c>
      <c r="F6275" s="8" t="str">
        <f ca="1">IFERROR(__xludf.DUMMYFUNCTION("IF
(
C6276=""фізична особа""
,
VLOOKUP(D6276,IMPORTRANGE(""https://docs.google.com/spreadsheets/d/14Bd19lYaqBhU8_DElYkX7l4wRkHqqCUFNJY4AfY3kHU/edit?usp=sharing  #gid=0"",""фіз особи new!relations_name""),6,FALSE)
,
(IF
(
C6276=""юридична особа""
,
VLOOKUP"&amp;"(D6276,IMPORTRANGE(""https://docs.google.com/spreadsheets/d/14Bd19lYaqBhU8_DElYkX7l4wRkHqqCUFNJY4AfY3kHU/edit?usp=sharing  #gid=0"",""фіз особи new!relations_name_uo""),7,FALSE)
,
)
))"),"ХОР Данило Глібович")</f>
        <v>ХОР Данило Глібович</v>
      </c>
      <c r="G6275" s="7" t="s">
        <v>10</v>
      </c>
      <c r="H6275" s="7">
        <v>278</v>
      </c>
      <c r="I6275" s="8" t="str">
        <f ca="1">IFERROR(__xludf.DUMMYFUNCTION("IF
(
G6276=""фізична особа""
,
VLOOKUP(H6276,IMPORTRANGE(""https://docs.google.com/spreadsheets/d/14Bd19lYaqBhU8_DElYkX7l4wRkHqqCUFNJY4AfY3kHU/edit?usp=sharing  #gid=0"",""фіз особи new!relations_name""),6,FALSE)
,
(IF
(
G6276=""юридична особа""
,
VLOOKUP"&amp;"(H6276,IMPORTRANGE(""https://docs.google.com/spreadsheets/d/14Bd19lYaqBhU8_DElYkX7l4wRkHqqCUFNJY4AfY3kHU/edit?usp=sharing  #gid=0"",""фіз особи new!relations_name_uo""),7,FALSE)
,
)
))"),"ХОР Гліб Якович")</f>
        <v>ХОР Гліб Якович</v>
      </c>
      <c r="J6275" s="7" t="s">
        <v>12</v>
      </c>
    </row>
    <row r="6276" spans="1:10" ht="13.2">
      <c r="A6276" s="7">
        <v>6275</v>
      </c>
      <c r="B6276" s="7">
        <v>1</v>
      </c>
      <c r="C6276" s="7" t="s">
        <v>10</v>
      </c>
      <c r="D6276" s="7">
        <v>5112</v>
      </c>
      <c r="E6276" s="7" t="s">
        <v>18</v>
      </c>
      <c r="F6276" s="8" t="str">
        <f ca="1">IFERROR(__xludf.DUMMYFUNCTION("IF
(
C6277=""фізична особа""
,
VLOOKUP(D6277,IMPORTRANGE(""https://docs.google.com/spreadsheets/d/14Bd19lYaqBhU8_DElYkX7l4wRkHqqCUFNJY4AfY3kHU/edit?usp=sharing  #gid=0"",""фіз особи new!relations_name""),6,FALSE)
,
(IF
(
C6277=""юридична особа""
,
VLOOKUP"&amp;"(D6277,IMPORTRANGE(""https://docs.google.com/spreadsheets/d/14Bd19lYaqBhU8_DElYkX7l4wRkHqqCUFNJY4AfY3kHU/edit?usp=sharing  #gid=0"",""фіз особи new!relations_name_uo""),7,FALSE)
,
)
))"),"АНІКЄЄВ Валерій Вікторович")</f>
        <v>АНІКЄЄВ Валерій Вікторович</v>
      </c>
      <c r="G6276" s="7" t="s">
        <v>10</v>
      </c>
      <c r="H6276" s="7">
        <v>284</v>
      </c>
      <c r="I6276" s="8" t="str">
        <f ca="1">IFERROR(__xludf.DUMMYFUNCTION("IF
(
G6277=""фізична особа""
,
VLOOKUP(H6277,IMPORTRANGE(""https://docs.google.com/spreadsheets/d/14Bd19lYaqBhU8_DElYkX7l4wRkHqqCUFNJY4AfY3kHU/edit?usp=sharing  #gid=0"",""фіз особи new!relations_name""),6,FALSE)
,
(IF
(
G6277=""юридична особа""
,
VLOOKUP"&amp;"(H6277,IMPORTRANGE(""https://docs.google.com/spreadsheets/d/14Bd19lYaqBhU8_DElYkX7l4wRkHqqCUFNJY4AfY3kHU/edit?usp=sharing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J6276" s="7" t="s">
        <v>18</v>
      </c>
    </row>
    <row r="6277" spans="1:10" ht="13.2">
      <c r="A6277" s="7">
        <v>6276</v>
      </c>
      <c r="B6277" s="7">
        <v>1</v>
      </c>
      <c r="C6277" s="7" t="s">
        <v>10</v>
      </c>
      <c r="D6277" s="7">
        <v>5113</v>
      </c>
      <c r="E6277" s="7" t="s">
        <v>17</v>
      </c>
      <c r="F6277" s="8" t="str">
        <f ca="1">IFERROR(__xludf.DUMMYFUNCTION("IF
(
C6278=""фізична особа""
,
VLOOKUP(D6278,IMPORTRANGE(""https://docs.google.com/spreadsheets/d/14Bd19lYaqBhU8_DElYkX7l4wRkHqqCUFNJY4AfY3kHU/edit?usp=sharing  #gid=0"",""фіз особи new!relations_name""),6,FALSE)
,
(IF
(
C6278=""юридична особа""
,
VLOOKUP"&amp;"(D6278,IMPORTRANGE(""https://docs.google.com/spreadsheets/d/14Bd19lYaqBhU8_DElYkX7l4wRkHqqCUFNJY4AfY3kHU/edit?usp=sharing  #gid=0"",""фіз особи new!relations_name_uo""),7,FALSE)
,
)
))"),"АНІКЄЄВ Артем Григорович")</f>
        <v>АНІКЄЄВ Артем Григорович</v>
      </c>
      <c r="G6277" s="7" t="s">
        <v>10</v>
      </c>
      <c r="H6277" s="7">
        <v>284</v>
      </c>
      <c r="I6277" s="8" t="str">
        <f ca="1">IFERROR(__xludf.DUMMYFUNCTION("IF
(
G6278=""фізична особа""
,
VLOOKUP(H6278,IMPORTRANGE(""https://docs.google.com/spreadsheets/d/14Bd19lYaqBhU8_DElYkX7l4wRkHqqCUFNJY4AfY3kHU/edit?usp=sharing  #gid=0"",""фіз особи new!relations_name""),6,FALSE)
,
(IF
(
G6278=""юридична особа""
,
VLOOKUP"&amp;"(H6278,IMPORTRANGE(""https://docs.google.com/spreadsheets/d/14Bd19lYaqBhU8_DElYkX7l4wRkHqqCUFNJY4AfY3kHU/edit?usp=sharing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J6277" s="7" t="s">
        <v>12</v>
      </c>
    </row>
    <row r="6278" spans="1:10" ht="13.2">
      <c r="A6278" s="7">
        <v>6277</v>
      </c>
      <c r="B6278" s="7">
        <v>1</v>
      </c>
      <c r="C6278" s="7" t="s">
        <v>10</v>
      </c>
      <c r="D6278" s="7">
        <v>5114</v>
      </c>
      <c r="E6278" s="7" t="s">
        <v>18</v>
      </c>
      <c r="F6278" s="8" t="str">
        <f ca="1">IFERROR(__xludf.DUMMYFUNCTION("IF
(
C6279=""фізична особа""
,
VLOOKUP(D6279,IMPORTRANGE(""https://docs.google.com/spreadsheets/d/14Bd19lYaqBhU8_DElYkX7l4wRkHqqCUFNJY4AfY3kHU/edit?usp=sharing  #gid=0"",""фіз особи new!relations_name""),6,FALSE)
,
(IF
(
C6279=""юридична особа""
,
VLOOKUP"&amp;"(D6279,IMPORTRANGE(""https://docs.google.com/spreadsheets/d/14Bd19lYaqBhU8_DElYkX7l4wRkHqqCUFNJY4AfY3kHU/edit?usp=sharing  #gid=0"",""фіз особи new!relations_name_uo""),7,FALSE)
,
)
))"),"АНІКЄЄВ Анатолій Вікторович")</f>
        <v>АНІКЄЄВ Анатолій Вікторович</v>
      </c>
      <c r="G6278" s="7" t="s">
        <v>10</v>
      </c>
      <c r="H6278" s="7">
        <v>284</v>
      </c>
      <c r="I6278" s="8" t="str">
        <f ca="1">IFERROR(__xludf.DUMMYFUNCTION("IF
(
G6279=""фізична особа""
,
VLOOKUP(H6279,IMPORTRANGE(""https://docs.google.com/spreadsheets/d/14Bd19lYaqBhU8_DElYkX7l4wRkHqqCUFNJY4AfY3kHU/edit?usp=sharing  #gid=0"",""фіз особи new!relations_name""),6,FALSE)
,
(IF
(
G6279=""юридична особа""
,
VLOOKUP"&amp;"(H6279,IMPORTRANGE(""https://docs.google.com/spreadsheets/d/14Bd19lYaqBhU8_DElYkX7l4wRkHqqCUFNJY4AfY3kHU/edit?usp=sharing  #gid=0"",""фіз особи new!relations_name_uo""),7,FALSE)
,
)
))"),"АНІКЄЄВ Григорій Вікторович")</f>
        <v>АНІКЄЄВ Григорій Вікторович</v>
      </c>
      <c r="J6278" s="7" t="s">
        <v>18</v>
      </c>
    </row>
    <row r="6279" spans="1:10" ht="13.2">
      <c r="A6279" s="7">
        <v>6278</v>
      </c>
      <c r="B6279" s="7">
        <v>1</v>
      </c>
      <c r="C6279" s="7" t="s">
        <v>10</v>
      </c>
      <c r="D6279" s="7">
        <v>5115</v>
      </c>
      <c r="E6279" s="7" t="s">
        <v>15</v>
      </c>
      <c r="F6279" s="8" t="str">
        <f ca="1">IFERROR(__xludf.DUMMYFUNCTION("IF
(
C6280=""фізична особа""
,
VLOOKUP(D6280,IMPORTRANGE(""https://docs.google.com/spreadsheets/d/14Bd19lYaqBhU8_DElYkX7l4wRkHqqCUFNJY4AfY3kHU/edit?usp=sharing  #gid=0"",""фіз особи new!relations_name""),6,FALSE)
,
(IF
(
C6280=""юридична особа""
,
VLOOKUP"&amp;"(D6280,IMPORTRANGE(""https://docs.google.com/spreadsheets/d/14Bd19lYaqBhU8_DElYkX7l4wRkHqqCUFNJY4AfY3kHU/edit?usp=sharing  #gid=0"",""фіз особи new!relations_name_uo""),7,FALSE)
,
)
))"),"АНАНСЬКИХ Алла Володимирівна")</f>
        <v>АНАНСЬКИХ Алла Володимирівна</v>
      </c>
      <c r="G6279" s="7" t="s">
        <v>10</v>
      </c>
      <c r="H6279" s="7">
        <v>289</v>
      </c>
      <c r="I6279" s="8" t="str">
        <f ca="1">IFERROR(__xludf.DUMMYFUNCTION("IF
(
G6280=""фізична особа""
,
VLOOKUP(H6280,IMPORTRANGE(""https://docs.google.com/spreadsheets/d/14Bd19lYaqBhU8_DElYkX7l4wRkHqqCUFNJY4AfY3kHU/edit?usp=sharing  #gid=0"",""фіз особи new!relations_name""),6,FALSE)
,
(IF
(
G6280=""юридична особа""
,
VLOOKUP"&amp;"(H6280,IMPORTRANGE(""https://docs.google.com/spreadsheets/d/14Bd19lYaqBhU8_DElYkX7l4wRkHqqCUFNJY4AfY3kHU/edit?usp=sharing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79" s="7" t="s">
        <v>14</v>
      </c>
    </row>
    <row r="6280" spans="1:10" ht="13.2">
      <c r="A6280" s="7">
        <v>6279</v>
      </c>
      <c r="B6280" s="7">
        <v>1</v>
      </c>
      <c r="C6280" s="7" t="s">
        <v>10</v>
      </c>
      <c r="D6280" s="7">
        <v>5116</v>
      </c>
      <c r="E6280" s="7" t="s">
        <v>17</v>
      </c>
      <c r="F6280" s="8" t="str">
        <f ca="1">IFERROR(__xludf.DUMMYFUNCTION("IF
(
C6281=""фізична особа""
,
VLOOKUP(D6281,IMPORTRANGE(""https://docs.google.com/spreadsheets/d/14Bd19lYaqBhU8_DElYkX7l4wRkHqqCUFNJY4AfY3kHU/edit?usp=sharing  #gid=0"",""фіз особи new!relations_name""),6,FALSE)
,
(IF
(
C6281=""юридична особа""
,
VLOOKUP"&amp;"(D6281,IMPORTRANGE(""https://docs.google.com/spreadsheets/d/14Bd19lYaqBhU8_DElYkX7l4wRkHqqCUFNJY4AfY3kHU/edit?usp=sharing  #gid=0"",""фіз особи new!relations_name_uo""),7,FALSE)
,
)
))"),"АНАНСЬКИХ Ігор Ігорович")</f>
        <v>АНАНСЬКИХ Ігор Ігорович</v>
      </c>
      <c r="G6280" s="7" t="s">
        <v>10</v>
      </c>
      <c r="H6280" s="7">
        <v>289</v>
      </c>
      <c r="I6280" s="8" t="str">
        <f ca="1">IFERROR(__xludf.DUMMYFUNCTION("IF
(
G6281=""фізична особа""
,
VLOOKUP(H6281,IMPORTRANGE(""https://docs.google.com/spreadsheets/d/14Bd19lYaqBhU8_DElYkX7l4wRkHqqCUFNJY4AfY3kHU/edit?usp=sharing  #gid=0"",""фіз особи new!relations_name""),6,FALSE)
,
(IF
(
G6281=""юридична особа""
,
VLOOKUP"&amp;"(H6281,IMPORTRANGE(""https://docs.google.com/spreadsheets/d/14Bd19lYaqBhU8_DElYkX7l4wRkHqqCUFNJY4AfY3kHU/edit?usp=sharing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80" s="7" t="s">
        <v>12</v>
      </c>
    </row>
    <row r="6281" spans="1:10" ht="13.2">
      <c r="A6281" s="7">
        <v>6280</v>
      </c>
      <c r="B6281" s="7">
        <v>1</v>
      </c>
      <c r="C6281" s="7" t="s">
        <v>10</v>
      </c>
      <c r="D6281" s="7">
        <v>5117</v>
      </c>
      <c r="E6281" s="7" t="s">
        <v>13</v>
      </c>
      <c r="F6281" s="8" t="str">
        <f ca="1">IFERROR(__xludf.DUMMYFUNCTION("IF
(
C6282=""фізична особа""
,
VLOOKUP(D6282,IMPORTRANGE(""https://docs.google.com/spreadsheets/d/14Bd19lYaqBhU8_DElYkX7l4wRkHqqCUFNJY4AfY3kHU/edit?usp=sharing  #gid=0"",""фіз особи new!relations_name""),6,FALSE)
,
(IF
(
C6282=""юридична особа""
,
VLOOKUP"&amp;"(D6282,IMPORTRANGE(""https://docs.google.com/spreadsheets/d/14Bd19lYaqBhU8_DElYkX7l4wRkHqqCUFNJY4AfY3kHU/edit?usp=sharing  #gid=0"",""фіз особи new!relations_name_uo""),7,FALSE)
,
)
))"),"АНАНСЬКИХ Тетяна Ігорівна")</f>
        <v>АНАНСЬКИХ Тетяна Ігорівна</v>
      </c>
      <c r="G6281" s="7" t="s">
        <v>10</v>
      </c>
      <c r="H6281" s="7">
        <v>289</v>
      </c>
      <c r="I6281" s="8" t="str">
        <f ca="1">IFERROR(__xludf.DUMMYFUNCTION("IF
(
G6282=""фізична особа""
,
VLOOKUP(H6282,IMPORTRANGE(""https://docs.google.com/spreadsheets/d/14Bd19lYaqBhU8_DElYkX7l4wRkHqqCUFNJY4AfY3kHU/edit?usp=sharing  #gid=0"",""фіз особи new!relations_name""),6,FALSE)
,
(IF
(
G6282=""юридична особа""
,
VLOOKUP"&amp;"(H6282,IMPORTRANGE(""https://docs.google.com/spreadsheets/d/14Bd19lYaqBhU8_DElYkX7l4wRkHqqCUFNJY4AfY3kHU/edit?usp=sharing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81" s="7" t="s">
        <v>12</v>
      </c>
    </row>
    <row r="6282" spans="1:10" ht="13.2">
      <c r="A6282" s="7">
        <v>6281</v>
      </c>
      <c r="B6282" s="7">
        <v>1</v>
      </c>
      <c r="C6282" s="7" t="s">
        <v>10</v>
      </c>
      <c r="D6282" s="7">
        <v>5118</v>
      </c>
      <c r="E6282" s="7" t="s">
        <v>12</v>
      </c>
      <c r="F6282" s="8" t="str">
        <f ca="1">IFERROR(__xludf.DUMMYFUNCTION("IF
(
C6283=""фізична особа""
,
VLOOKUP(D6283,IMPORTRANGE(""https://docs.google.com/spreadsheets/d/14Bd19lYaqBhU8_DElYkX7l4wRkHqqCUFNJY4AfY3kHU/edit?usp=sharing  #gid=0"",""фіз особи new!relations_name""),6,FALSE)
,
(IF
(
C6283=""юридична особа""
,
VLOOKUP"&amp;"(D6283,IMPORTRANGE(""https://docs.google.com/spreadsheets/d/14Bd19lYaqBhU8_DElYkX7l4wRkHqqCUFNJY4AfY3kHU/edit?usp=sharing  #gid=0"",""фіз особи new!relations_name_uo""),7,FALSE)
,
)
))"),"АНАНСЬКИХ Олександр Васильович")</f>
        <v>АНАНСЬКИХ Олександр Васильович</v>
      </c>
      <c r="G6282" s="7" t="s">
        <v>10</v>
      </c>
      <c r="H6282" s="7">
        <v>289</v>
      </c>
      <c r="I6282" s="8" t="str">
        <f ca="1">IFERROR(__xludf.DUMMYFUNCTION("IF
(
G6283=""фізична особа""
,
VLOOKUP(H6283,IMPORTRANGE(""https://docs.google.com/spreadsheets/d/14Bd19lYaqBhU8_DElYkX7l4wRkHqqCUFNJY4AfY3kHU/edit?usp=sharing  #gid=0"",""фіз особи new!relations_name""),6,FALSE)
,
(IF
(
G6283=""юридична особа""
,
VLOOKUP"&amp;"(H6283,IMPORTRANGE(""https://docs.google.com/spreadsheets/d/14Bd19lYaqBhU8_DElYkX7l4wRkHqqCUFNJY4AfY3kHU/edit?usp=sharing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82" s="7" t="s">
        <v>17</v>
      </c>
    </row>
    <row r="6283" spans="1:10" ht="13.2">
      <c r="A6283" s="7">
        <v>6282</v>
      </c>
      <c r="B6283" s="7">
        <v>1</v>
      </c>
      <c r="C6283" s="7" t="s">
        <v>10</v>
      </c>
      <c r="D6283" s="7">
        <v>5119</v>
      </c>
      <c r="E6283" s="7" t="s">
        <v>21</v>
      </c>
      <c r="F6283" s="8" t="str">
        <f ca="1">IFERROR(__xludf.DUMMYFUNCTION("IF
(
C6284=""фізична особа""
,
VLOOKUP(D6284,IMPORTRANGE(""https://docs.google.com/spreadsheets/d/14Bd19lYaqBhU8_DElYkX7l4wRkHqqCUFNJY4AfY3kHU/edit?usp=sharing  #gid=0"",""фіз особи new!relations_name""),6,FALSE)
,
(IF
(
C6284=""юридична особа""
,
VLOOKUP"&amp;"(D6284,IMPORTRANGE(""https://docs.google.com/spreadsheets/d/14Bd19lYaqBhU8_DElYkX7l4wRkHqqCUFNJY4AfY3kHU/edit?usp=sharing  #gid=0"",""фіз особи new!relations_name_uo""),7,FALSE)
,
)
))"),"АНАНСЬКИХ Галина Борисівна")</f>
        <v>АНАНСЬКИХ Галина Борисівна</v>
      </c>
      <c r="G6283" s="7" t="s">
        <v>10</v>
      </c>
      <c r="H6283" s="7">
        <v>289</v>
      </c>
      <c r="I6283" s="8" t="str">
        <f ca="1">IFERROR(__xludf.DUMMYFUNCTION("IF
(
G6284=""фізична особа""
,
VLOOKUP(H6284,IMPORTRANGE(""https://docs.google.com/spreadsheets/d/14Bd19lYaqBhU8_DElYkX7l4wRkHqqCUFNJY4AfY3kHU/edit?usp=sharing  #gid=0"",""фіз особи new!relations_name""),6,FALSE)
,
(IF
(
G6284=""юридична особа""
,
VLOOKUP"&amp;"(H6284,IMPORTRANGE(""https://docs.google.com/spreadsheets/d/14Bd19lYaqBhU8_DElYkX7l4wRkHqqCUFNJY4AfY3kHU/edit?usp=sharing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83" s="7" t="s">
        <v>17</v>
      </c>
    </row>
    <row r="6284" spans="1:10" ht="13.2">
      <c r="A6284" s="7">
        <v>6283</v>
      </c>
      <c r="B6284" s="7">
        <v>1</v>
      </c>
      <c r="C6284" s="7" t="s">
        <v>10</v>
      </c>
      <c r="D6284" s="7">
        <v>5120</v>
      </c>
      <c r="E6284" s="7" t="s">
        <v>18</v>
      </c>
      <c r="F6284" s="8" t="str">
        <f ca="1">IFERROR(__xludf.DUMMYFUNCTION("IF
(
C6285=""фізична особа""
,
VLOOKUP(D6285,IMPORTRANGE(""https://docs.google.com/spreadsheets/d/14Bd19lYaqBhU8_DElYkX7l4wRkHqqCUFNJY4AfY3kHU/edit?usp=sharing  #gid=0"",""фіз особи new!relations_name""),6,FALSE)
,
(IF
(
C6285=""юридична особа""
,
VLOOKUP"&amp;"(D6285,IMPORTRANGE(""https://docs.google.com/spreadsheets/d/14Bd19lYaqBhU8_DElYkX7l4wRkHqqCUFNJY4AfY3kHU/edit?usp=sharing  #gid=0"",""фіз особи new!relations_name_uo""),7,FALSE)
,
)
))"),"АНАНСЬКИХ В'ячеслав Олександрович")</f>
        <v>АНАНСЬКИХ В'ячеслав Олександрович</v>
      </c>
      <c r="G6284" s="7" t="s">
        <v>10</v>
      </c>
      <c r="H6284" s="7">
        <v>289</v>
      </c>
      <c r="I6284" s="8" t="str">
        <f ca="1">IFERROR(__xludf.DUMMYFUNCTION("IF
(
G6285=""фізична особа""
,
VLOOKUP(H6285,IMPORTRANGE(""https://docs.google.com/spreadsheets/d/14Bd19lYaqBhU8_DElYkX7l4wRkHqqCUFNJY4AfY3kHU/edit?usp=sharing  #gid=0"",""фіз особи new!relations_name""),6,FALSE)
,
(IF
(
G6285=""юридична особа""
,
VLOOKUP"&amp;"(H6285,IMPORTRANGE(""https://docs.google.com/spreadsheets/d/14Bd19lYaqBhU8_DElYkX7l4wRkHqqCUFNJY4AfY3kHU/edit?usp=sharing  #gid=0"",""фіз особи new!relations_name_uo""),7,FALSE)
,
)
))"),"АНАНСЬКИХ Ігор Олександрович")</f>
        <v>АНАНСЬКИХ Ігор Олександрович</v>
      </c>
      <c r="J6284" s="7" t="s">
        <v>18</v>
      </c>
    </row>
    <row r="6285" spans="1:10" ht="13.2">
      <c r="A6285" s="7">
        <v>6284</v>
      </c>
      <c r="B6285" s="7">
        <v>1</v>
      </c>
      <c r="C6285" s="7" t="s">
        <v>10</v>
      </c>
      <c r="D6285" s="7">
        <v>5121</v>
      </c>
      <c r="E6285" s="7" t="s">
        <v>21</v>
      </c>
      <c r="F6285" s="8" t="str">
        <f ca="1">IFERROR(__xludf.DUMMYFUNCTION("IF
(
C6286=""фізична особа""
,
VLOOKUP(D6286,IMPORTRANGE(""https://docs.google.com/spreadsheets/d/14Bd19lYaqBhU8_DElYkX7l4wRkHqqCUFNJY4AfY3kHU/edit?usp=sharing  #gid=0"",""фіз особи new!relations_name""),6,FALSE)
,
(IF
(
C6286=""юридична особа""
,
VLOOKUP"&amp;"(D6286,IMPORTRANGE(""https://docs.google.com/spreadsheets/d/14Bd19lYaqBhU8_DElYkX7l4wRkHqqCUFNJY4AfY3kHU/edit?usp=sharing  #gid=0"",""фіз особи new!relations_name_uo""),7,FALSE)
,
)
))"),"РУДЕНСЬКА Валентина Степанівна")</f>
        <v>РУДЕНСЬКА Валентина Степанівна</v>
      </c>
      <c r="G6285" s="7" t="s">
        <v>10</v>
      </c>
      <c r="H6285" s="7">
        <v>304</v>
      </c>
      <c r="I6285" s="8" t="str">
        <f ca="1">IFERROR(__xludf.DUMMYFUNCTION("IF
(
G6286=""фізична особа""
,
VLOOKUP(H6286,IMPORTRANGE(""https://docs.google.com/spreadsheets/d/14Bd19lYaqBhU8_DElYkX7l4wRkHqqCUFNJY4AfY3kHU/edit?usp=sharing  #gid=0"",""фіз особи new!relations_name""),6,FALSE)
,
(IF
(
G6286=""юридична особа""
,
VLOOKUP"&amp;"(H6286,IMPORTRANGE(""https://docs.google.com/spreadsheets/d/14Bd19lYaqBhU8_DElYkX7l4wRkHqqCUFNJY4AfY3kHU/edit?usp=sharing  #gid=0"",""фіз особи new!relations_name_uo""),7,FALSE)
,
)
))"),"РУДЕНСЬКИЙ Ігор Миколайович")</f>
        <v>РУДЕНСЬКИЙ Ігор Миколайович</v>
      </c>
      <c r="J6285" s="7" t="s">
        <v>17</v>
      </c>
    </row>
    <row r="6286" spans="1:10" ht="13.2">
      <c r="A6286" s="7">
        <v>6285</v>
      </c>
      <c r="B6286" s="7">
        <v>1</v>
      </c>
      <c r="C6286" s="7" t="s">
        <v>10</v>
      </c>
      <c r="D6286" s="7">
        <v>5122</v>
      </c>
      <c r="E6286" s="7" t="s">
        <v>15</v>
      </c>
      <c r="F6286" s="8" t="str">
        <f ca="1">IFERROR(__xludf.DUMMYFUNCTION("IF
(
C6287=""фізична особа""
,
VLOOKUP(D6287,IMPORTRANGE(""https://docs.google.com/spreadsheets/d/14Bd19lYaqBhU8_DElYkX7l4wRkHqqCUFNJY4AfY3kHU/edit?usp=sharing  #gid=0"",""фіз особи new!relations_name""),6,FALSE)
,
(IF
(
C6287=""юридична особа""
,
VLOOKUP"&amp;"(D6287,IMPORTRANGE(""https://docs.google.com/spreadsheets/d/14Bd19lYaqBhU8_DElYkX7l4wRkHqqCUFNJY4AfY3kHU/edit?usp=sharing  #gid=0"",""фіз особи new!relations_name_uo""),7,FALSE)
,
)
))"),"ШУБІНА Тетяна Геннадіївна")</f>
        <v>ШУБІНА Тетяна Геннадіївна</v>
      </c>
      <c r="G6286" s="7" t="s">
        <v>10</v>
      </c>
      <c r="H6286" s="7">
        <v>305</v>
      </c>
      <c r="I6286" s="8" t="str">
        <f ca="1">IFERROR(__xludf.DUMMYFUNCTION("IF
(
G6287=""фізична особа""
,
VLOOKUP(H6287,IMPORTRANGE(""https://docs.google.com/spreadsheets/d/14Bd19lYaqBhU8_DElYkX7l4wRkHqqCUFNJY4AfY3kHU/edit?usp=sharing  #gid=0"",""фіз особи new!relations_name""),6,FALSE)
,
(IF
(
G6287=""юридична особа""
,
VLOOKUP"&amp;"(H6287,IMPORTRANGE(""https://docs.google.com/spreadsheets/d/14Bd19lYaqBhU8_DElYkX7l4wRkHqqCUFNJY4AfY3kHU/edit?usp=sharing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J6286" s="7" t="s">
        <v>14</v>
      </c>
    </row>
    <row r="6287" spans="1:10" ht="13.2">
      <c r="A6287" s="7">
        <v>6286</v>
      </c>
      <c r="B6287" s="7">
        <v>1</v>
      </c>
      <c r="C6287" s="7" t="s">
        <v>10</v>
      </c>
      <c r="D6287" s="7">
        <v>5123</v>
      </c>
      <c r="E6287" s="7" t="s">
        <v>13</v>
      </c>
      <c r="F6287" s="8" t="str">
        <f ca="1">IFERROR(__xludf.DUMMYFUNCTION("IF
(
C6288=""фізична особа""
,
VLOOKUP(D6288,IMPORTRANGE(""https://docs.google.com/spreadsheets/d/14Bd19lYaqBhU8_DElYkX7l4wRkHqqCUFNJY4AfY3kHU/edit?usp=sharing  #gid=0"",""фіз особи new!relations_name""),6,FALSE)
,
(IF
(
C6288=""юридична особа""
,
VLOOKUP"&amp;"(D6288,IMPORTRANGE(""https://docs.google.com/spreadsheets/d/14Bd19lYaqBhU8_DElYkX7l4wRkHqqCUFNJY4AfY3kHU/edit?usp=sharing  #gid=0"",""фіз особи new!relations_name_uo""),7,FALSE)
,
)
))"),"ШУБІНА Ольга Ігорівна")</f>
        <v>ШУБІНА Ольга Ігорівна</v>
      </c>
      <c r="G6287" s="7" t="s">
        <v>10</v>
      </c>
      <c r="H6287" s="7">
        <v>305</v>
      </c>
      <c r="I6287" s="8" t="str">
        <f ca="1">IFERROR(__xludf.DUMMYFUNCTION("IF
(
G6288=""фізична особа""
,
VLOOKUP(H6288,IMPORTRANGE(""https://docs.google.com/spreadsheets/d/14Bd19lYaqBhU8_DElYkX7l4wRkHqqCUFNJY4AfY3kHU/edit?usp=sharing  #gid=0"",""фіз особи new!relations_name""),6,FALSE)
,
(IF
(
G6288=""юридична особа""
,
VLOOKUP"&amp;"(H6288,IMPORTRANGE(""https://docs.google.com/spreadsheets/d/14Bd19lYaqBhU8_DElYkX7l4wRkHqqCUFNJY4AfY3kHU/edit?usp=sharing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J6287" s="7" t="s">
        <v>12</v>
      </c>
    </row>
    <row r="6288" spans="1:10" ht="13.2">
      <c r="A6288" s="7">
        <v>6287</v>
      </c>
      <c r="B6288" s="7">
        <v>1</v>
      </c>
      <c r="C6288" s="7" t="s">
        <v>10</v>
      </c>
      <c r="D6288" s="7">
        <v>5124</v>
      </c>
      <c r="E6288" s="7" t="s">
        <v>17</v>
      </c>
      <c r="F6288" s="8" t="str">
        <f ca="1">IFERROR(__xludf.DUMMYFUNCTION("IF
(
C6289=""фізична особа""
,
VLOOKUP(D6289,IMPORTRANGE(""https://docs.google.com/spreadsheets/d/14Bd19lYaqBhU8_DElYkX7l4wRkHqqCUFNJY4AfY3kHU/edit?usp=sharing  #gid=0"",""фіз особи new!relations_name""),6,FALSE)
,
(IF
(
C6289=""юридична особа""
,
VLOOKUP"&amp;"(D6289,IMPORTRANGE(""https://docs.google.com/spreadsheets/d/14Bd19lYaqBhU8_DElYkX7l4wRkHqqCUFNJY4AfY3kHU/edit?usp=sharing  #gid=0"",""фіз особи new!relations_name_uo""),7,FALSE)
,
)
))"),"ШУБІН Олексій Ігорович")</f>
        <v>ШУБІН Олексій Ігорович</v>
      </c>
      <c r="G6288" s="7" t="s">
        <v>10</v>
      </c>
      <c r="H6288" s="7">
        <v>305</v>
      </c>
      <c r="I6288" s="8" t="str">
        <f ca="1">IFERROR(__xludf.DUMMYFUNCTION("IF
(
G6289=""фізична особа""
,
VLOOKUP(H6289,IMPORTRANGE(""https://docs.google.com/spreadsheets/d/14Bd19lYaqBhU8_DElYkX7l4wRkHqqCUFNJY4AfY3kHU/edit?usp=sharing  #gid=0"",""фіз особи new!relations_name""),6,FALSE)
,
(IF
(
G6289=""юридична особа""
,
VLOOKUP"&amp;"(H6289,IMPORTRANGE(""https://docs.google.com/spreadsheets/d/14Bd19lYaqBhU8_DElYkX7l4wRkHqqCUFNJY4AfY3kHU/edit?usp=sharing  #gid=0"",""фіз особи new!relations_name_uo""),7,FALSE)
,
)
))"),"ШУБІН Ігор Миколайович")</f>
        <v>ШУБІН Ігор Миколайович</v>
      </c>
      <c r="J6288" s="7" t="s">
        <v>12</v>
      </c>
    </row>
    <row r="6289" spans="1:10" ht="13.2">
      <c r="A6289" s="7">
        <v>6288</v>
      </c>
      <c r="B6289" s="7">
        <v>1</v>
      </c>
      <c r="C6289" s="7" t="s">
        <v>10</v>
      </c>
      <c r="D6289" s="7">
        <v>5125</v>
      </c>
      <c r="E6289" s="7" t="s">
        <v>17</v>
      </c>
      <c r="F6289" s="8" t="str">
        <f ca="1">IFERROR(__xludf.DUMMYFUNCTION("IF
(
C6290=""фізична особа""
,
VLOOKUP(D6290,IMPORTRANGE(""https://docs.google.com/spreadsheets/d/14Bd19lYaqBhU8_DElYkX7l4wRkHqqCUFNJY4AfY3kHU/edit?usp=sharing  #gid=0"",""фіз особи new!relations_name""),6,FALSE)
,
(IF
(
C6290=""юридична особа""
,
VLOOKUP"&amp;"(D6290,IMPORTRANGE(""https://docs.google.com/spreadsheets/d/14Bd19lYaqBhU8_DElYkX7l4wRkHqqCUFNJY4AfY3kHU/edit?usp=sharing  #gid=0"",""фіз особи new!relations_name_uo""),7,FALSE)
,
)
))"),"БОГУСЛАВСЬКИЙ Тимур Ірекович")</f>
        <v>БОГУСЛАВСЬКИЙ Тимур Ірекович</v>
      </c>
      <c r="G6289" s="7" t="s">
        <v>10</v>
      </c>
      <c r="H6289" s="7">
        <v>324</v>
      </c>
      <c r="I6289" s="8" t="str">
        <f ca="1">IFERROR(__xludf.DUMMYFUNCTION("IF
(
G6290=""фізична особа""
,
VLOOKUP(H6290,IMPORTRANGE(""https://docs.google.com/spreadsheets/d/14Bd19lYaqBhU8_DElYkX7l4wRkHqqCUFNJY4AfY3kHU/edit?usp=sharing  #gid=0"",""фіз особи new!relations_name""),6,FALSE)
,
(IF
(
G6290=""юридична особа""
,
VLOOKUP"&amp;"(H6290,IMPORTRANGE(""https://docs.google.com/spreadsheets/d/14Bd19lYaqBhU8_DElYkX7l4wRkHqqCUFNJY4AfY3kHU/edit?usp=sharing  #gid=0"",""фіз особи new!relations_name_uo""),7,FALSE)
,
)
))"),"БОГУСЛАВСЬКИЙ Ірек Борисович")</f>
        <v>БОГУСЛАВСЬКИЙ Ірек Борисович</v>
      </c>
      <c r="J6289" s="7" t="s">
        <v>12</v>
      </c>
    </row>
    <row r="6290" spans="1:10" ht="13.2">
      <c r="A6290" s="7">
        <v>6289</v>
      </c>
      <c r="B6290" s="7">
        <v>1</v>
      </c>
      <c r="C6290" s="7" t="s">
        <v>10</v>
      </c>
      <c r="D6290" s="7">
        <v>5126</v>
      </c>
      <c r="E6290" s="7" t="s">
        <v>13</v>
      </c>
      <c r="F6290" s="8" t="str">
        <f ca="1">IFERROR(__xludf.DUMMYFUNCTION("IF
(
C6291=""фізична особа""
,
VLOOKUP(D6291,IMPORTRANGE(""https://docs.google.com/spreadsheets/d/14Bd19lYaqBhU8_DElYkX7l4wRkHqqCUFNJY4AfY3kHU/edit?usp=sharing  #gid=0"",""фіз особи new!relations_name""),6,FALSE)
,
(IF
(
C6291=""юридична особа""
,
VLOOKUP"&amp;"(D6291,IMPORTRANGE(""https://docs.google.com/spreadsheets/d/14Bd19lYaqBhU8_DElYkX7l4wRkHqqCUFNJY4AfY3kHU/edit?usp=sharing  #gid=0"",""фіз особи new!relations_name_uo""),7,FALSE)
,
)
))"),"БОГУСЛАВСЬКА Карина Іреківна")</f>
        <v>БОГУСЛАВСЬКА Карина Іреківна</v>
      </c>
      <c r="G6290" s="7" t="s">
        <v>10</v>
      </c>
      <c r="H6290" s="7">
        <v>324</v>
      </c>
      <c r="I6290" s="8" t="str">
        <f ca="1">IFERROR(__xludf.DUMMYFUNCTION("IF
(
G6291=""фізична особа""
,
VLOOKUP(H6291,IMPORTRANGE(""https://docs.google.com/spreadsheets/d/14Bd19lYaqBhU8_DElYkX7l4wRkHqqCUFNJY4AfY3kHU/edit?usp=sharing  #gid=0"",""фіз особи new!relations_name""),6,FALSE)
,
(IF
(
G6291=""юридична особа""
,
VLOOKUP"&amp;"(H6291,IMPORTRANGE(""https://docs.google.com/spreadsheets/d/14Bd19lYaqBhU8_DElYkX7l4wRkHqqCUFNJY4AfY3kHU/edit?usp=sharing  #gid=0"",""фіз особи new!relations_name_uo""),7,FALSE)
,
)
))"),"БОГУСЛАВСЬКИЙ Ірек Борисович")</f>
        <v>БОГУСЛАВСЬКИЙ Ірек Борисович</v>
      </c>
      <c r="J6290" s="7" t="s">
        <v>12</v>
      </c>
    </row>
    <row r="6291" spans="1:10" ht="13.2">
      <c r="A6291" s="7">
        <v>6290</v>
      </c>
      <c r="B6291" s="7">
        <v>1</v>
      </c>
      <c r="C6291" s="7" t="s">
        <v>10</v>
      </c>
      <c r="D6291" s="7">
        <v>5127</v>
      </c>
      <c r="E6291" s="7" t="s">
        <v>14</v>
      </c>
      <c r="F6291" s="8" t="str">
        <f ca="1">IFERROR(__xludf.DUMMYFUNCTION("IF
(
C6292=""фізична особа""
,
VLOOKUP(D6292,IMPORTRANGE(""https://docs.google.com/spreadsheets/d/14Bd19lYaqBhU8_DElYkX7l4wRkHqqCUFNJY4AfY3kHU/edit?usp=sharing  #gid=0"",""фіз особи new!relations_name""),6,FALSE)
,
(IF
(
C6292=""юридична особа""
,
VLOOKUP"&amp;"(D6292,IMPORTRANGE(""https://docs.google.com/spreadsheets/d/14Bd19lYaqBhU8_DElYkX7l4wRkHqqCUFNJY4AfY3kHU/edit?usp=sharing  #gid=0"",""фіз особи new!relations_name_uo""),7,FALSE)
,
)
))"),"АЛЕКСЕЄНКО Віктор Олександрович")</f>
        <v>АЛЕКСЕЄНКО Віктор Олександрович</v>
      </c>
      <c r="G6291" s="7" t="s">
        <v>10</v>
      </c>
      <c r="H6291" s="7">
        <v>330</v>
      </c>
      <c r="I6291" s="8" t="str">
        <f ca="1">IFERROR(__xludf.DUMMYFUNCTION("IF
(
G6292=""фізична особа""
,
VLOOKUP(H6292,IMPORTRANGE(""https://docs.google.com/spreadsheets/d/14Bd19lYaqBhU8_DElYkX7l4wRkHqqCUFNJY4AfY3kHU/edit?usp=sharing  #gid=0"",""фіз особи new!relations_name""),6,FALSE)
,
(IF
(
G6292=""юридична особа""
,
VLOOKUP"&amp;"(H6292,IMPORTRANGE(""https://docs.google.com/spreadsheets/d/14Bd19lYaqBhU8_DElYkX7l4wRkHqqCUFNJY4AfY3kHU/edit?usp=sharing  #gid=0"",""фіз особи new!relations_name_uo""),7,FALSE)
,
)
))"),"ЯРОВА Ірина Анатоліївна")</f>
        <v>ЯРОВА Ірина Анатоліївна</v>
      </c>
      <c r="J6291" s="7" t="s">
        <v>15</v>
      </c>
    </row>
    <row r="6292" spans="1:10" ht="13.2">
      <c r="A6292" s="7">
        <v>6291</v>
      </c>
      <c r="B6292" s="7">
        <v>1</v>
      </c>
      <c r="C6292" s="7" t="s">
        <v>10</v>
      </c>
      <c r="D6292" s="7">
        <v>5128</v>
      </c>
      <c r="E6292" s="7" t="s">
        <v>13</v>
      </c>
      <c r="F6292" s="8" t="str">
        <f ca="1">IFERROR(__xludf.DUMMYFUNCTION("IF
(
C6293=""фізична особа""
,
VLOOKUP(D6293,IMPORTRANGE(""https://docs.google.com/spreadsheets/d/14Bd19lYaqBhU8_DElYkX7l4wRkHqqCUFNJY4AfY3kHU/edit?usp=sharing  #gid=0"",""фіз особи new!relations_name""),6,FALSE)
,
(IF
(
C6293=""юридична особа""
,
VLOOKUP"&amp;"(D6293,IMPORTRANGE(""https://docs.google.com/spreadsheets/d/14Bd19lYaqBhU8_DElYkX7l4wRkHqqCUFNJY4AfY3kHU/edit?usp=sharing  #gid=0"",""фіз особи new!relations_name_uo""),7,FALSE)
,
)
))"),"ЯРОВА Катерина Олександрівна")</f>
        <v>ЯРОВА Катерина Олександрівна</v>
      </c>
      <c r="G6292" s="7" t="s">
        <v>10</v>
      </c>
      <c r="H6292" s="7">
        <v>330</v>
      </c>
      <c r="I6292" s="8" t="str">
        <f ca="1">IFERROR(__xludf.DUMMYFUNCTION("IF
(
G6293=""фізична особа""
,
VLOOKUP(H6293,IMPORTRANGE(""https://docs.google.com/spreadsheets/d/14Bd19lYaqBhU8_DElYkX7l4wRkHqqCUFNJY4AfY3kHU/edit?usp=sharing  #gid=0"",""фіз особи new!relations_name""),6,FALSE)
,
(IF
(
G6293=""юридична особа""
,
VLOOKUP"&amp;"(H6293,IMPORTRANGE(""https://docs.google.com/spreadsheets/d/14Bd19lYaqBhU8_DElYkX7l4wRkHqqCUFNJY4AfY3kHU/edit?usp=sharing  #gid=0"",""фіз особи new!relations_name_uo""),7,FALSE)
,
)
))"),"ЯРОВА Ірина Анатоліївна")</f>
        <v>ЯРОВА Ірина Анатоліївна</v>
      </c>
      <c r="J6292" s="7" t="s">
        <v>21</v>
      </c>
    </row>
    <row r="6293" spans="1:10" ht="13.2">
      <c r="A6293" s="7">
        <v>6292</v>
      </c>
      <c r="B6293" s="7">
        <v>1</v>
      </c>
      <c r="C6293" s="7" t="s">
        <v>10</v>
      </c>
      <c r="D6293" s="7">
        <v>5129</v>
      </c>
      <c r="E6293" s="7" t="s">
        <v>26</v>
      </c>
      <c r="F6293" s="8" t="str">
        <f ca="1">IFERROR(__xludf.DUMMYFUNCTION("IF
(
C6294=""фізична особа""
,
VLOOKUP(D6294,IMPORTRANGE(""https://docs.google.com/spreadsheets/d/14Bd19lYaqBhU8_DElYkX7l4wRkHqqCUFNJY4AfY3kHU/edit?usp=sharing  #gid=0"",""фіз особи new!relations_name""),6,FALSE)
,
(IF
(
C6294=""юридична особа""
,
VLOOKUP"&amp;"(D6294,IMPORTRANGE(""https://docs.google.com/spreadsheets/d/14Bd19lYaqBhU8_DElYkX7l4wRkHqqCUFNJY4AfY3kHU/edit?usp=sharing  #gid=0"",""фіз особи new!relations_name_uo""),7,FALSE)
,
)
))"),"ХАРТМАН Джейк")</f>
        <v>ХАРТМАН Джейк</v>
      </c>
      <c r="G6293" s="7" t="s">
        <v>10</v>
      </c>
      <c r="H6293" s="7">
        <v>332</v>
      </c>
      <c r="I6293" s="8" t="str">
        <f ca="1">IFERROR(__xludf.DUMMYFUNCTION("IF
(
G6294=""фізична особа""
,
VLOOKUP(H6294,IMPORTRANGE(""https://docs.google.com/spreadsheets/d/14Bd19lYaqBhU8_DElYkX7l4wRkHqqCUFNJY4AfY3kHU/edit?usp=sharing  #gid=0"",""фіз особи new!relations_name""),6,FALSE)
,
(IF
(
G6294=""юридична особа""
,
VLOOKUP"&amp;"(H6294,IMPORTRANGE(""https://docs.google.com/spreadsheets/d/14Bd19lYaqBhU8_DElYkX7l4wRkHqqCUFNJY4AfY3kHU/edit?usp=sharing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J6293" s="7" t="s">
        <v>27</v>
      </c>
    </row>
    <row r="6294" spans="1:10" ht="13.2">
      <c r="A6294" s="7">
        <v>6293</v>
      </c>
      <c r="B6294" s="7">
        <v>1</v>
      </c>
      <c r="C6294" s="7" t="s">
        <v>10</v>
      </c>
      <c r="D6294" s="7">
        <v>5130</v>
      </c>
      <c r="E6294" s="7" t="s">
        <v>14</v>
      </c>
      <c r="F6294" s="8" t="str">
        <f ca="1">IFERROR(__xludf.DUMMYFUNCTION("IF
(
C6295=""фізична особа""
,
VLOOKUP(D6295,IMPORTRANGE(""https://docs.google.com/spreadsheets/d/14Bd19lYaqBhU8_DElYkX7l4wRkHqqCUFNJY4AfY3kHU/edit?usp=sharing  #gid=0"",""фіз особи new!relations_name""),6,FALSE)
,
(IF
(
C6295=""юридична особа""
,
VLOOKUP"&amp;"(D6295,IMPORTRANGE(""https://docs.google.com/spreadsheets/d/14Bd19lYaqBhU8_DElYkX7l4wRkHqqCUFNJY4AfY3kHU/edit?usp=sharing  #gid=0"",""фіз особи new!relations_name_uo""),7,FALSE)
,
)
))"),"МІНЬКОВСЬКИЙ Леонід Юхимович")</f>
        <v>МІНЬКОВСЬКИЙ Леонід Юхимович</v>
      </c>
      <c r="G6294" s="7" t="s">
        <v>10</v>
      </c>
      <c r="H6294" s="7">
        <v>332</v>
      </c>
      <c r="I6294" s="8" t="str">
        <f ca="1">IFERROR(__xludf.DUMMYFUNCTION("IF
(
G6295=""фізична особа""
,
VLOOKUP(H6295,IMPORTRANGE(""https://docs.google.com/spreadsheets/d/14Bd19lYaqBhU8_DElYkX7l4wRkHqqCUFNJY4AfY3kHU/edit?usp=sharing  #gid=0"",""фіз особи new!relations_name""),6,FALSE)
,
(IF
(
G6295=""юридична особа""
,
VLOOKUP"&amp;"(H6295,IMPORTRANGE(""https://docs.google.com/spreadsheets/d/14Bd19lYaqBhU8_DElYkX7l4wRkHqqCUFNJY4AfY3kHU/edit?usp=sharing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J6294" s="7" t="s">
        <v>43</v>
      </c>
    </row>
    <row r="6295" spans="1:10" ht="13.2">
      <c r="A6295" s="7">
        <v>6294</v>
      </c>
      <c r="B6295" s="7">
        <v>1</v>
      </c>
      <c r="C6295" s="7" t="s">
        <v>10</v>
      </c>
      <c r="D6295" s="7">
        <v>5131</v>
      </c>
      <c r="E6295" s="7" t="s">
        <v>14</v>
      </c>
      <c r="F6295" s="8" t="str">
        <f ca="1">IFERROR(__xludf.DUMMYFUNCTION("IF
(
C6296=""фізична особа""
,
VLOOKUP(D6296,IMPORTRANGE(""https://docs.google.com/spreadsheets/d/14Bd19lYaqBhU8_DElYkX7l4wRkHqqCUFNJY4AfY3kHU/edit?usp=sharing  #gid=0"",""фіз особи new!relations_name""),6,FALSE)
,
(IF
(
C6296=""юридична особа""
,
VLOOKUP"&amp;"(D6296,IMPORTRANGE(""https://docs.google.com/spreadsheets/d/14Bd19lYaqBhU8_DElYkX7l4wRkHqqCUFNJY4AfY3kHU/edit?usp=sharing  #gid=0"",""фіз особи new!relations_name_uo""),7,FALSE)
,
)
))"),"ЗАЙЦЕВ Олександр Геннадійович")</f>
        <v>ЗАЙЦЕВ Олександр Геннадійович</v>
      </c>
      <c r="G6295" s="7" t="s">
        <v>10</v>
      </c>
      <c r="H6295" s="7">
        <v>332</v>
      </c>
      <c r="I6295" s="8" t="str">
        <f ca="1">IFERROR(__xludf.DUMMYFUNCTION("IF
(
G6296=""фізична особа""
,
VLOOKUP(H6296,IMPORTRANGE(""https://docs.google.com/spreadsheets/d/14Bd19lYaqBhU8_DElYkX7l4wRkHqqCUFNJY4AfY3kHU/edit?usp=sharing  #gid=0"",""фіз особи new!relations_name""),6,FALSE)
,
(IF
(
G6296=""юридична особа""
,
VLOOKUP"&amp;"(H6296,IMPORTRANGE(""https://docs.google.com/spreadsheets/d/14Bd19lYaqBhU8_DElYkX7l4wRkHqqCUFNJY4AfY3kHU/edit?usp=sharing  #gid=0"",""фіз особи new!relations_name_uo""),7,FALSE)
,
)
))"),"РОДНІНА Ірина Костянтинівна")</f>
        <v>РОДНІНА Ірина Костянтинівна</v>
      </c>
      <c r="J6295" s="7" t="s">
        <v>15</v>
      </c>
    </row>
    <row r="6296" spans="1:10" ht="13.2">
      <c r="A6296" s="7">
        <v>6295</v>
      </c>
      <c r="B6296" s="7">
        <v>1</v>
      </c>
      <c r="C6296" s="7" t="s">
        <v>10</v>
      </c>
      <c r="D6296" s="7">
        <v>5132</v>
      </c>
      <c r="E6296" s="7" t="s">
        <v>15</v>
      </c>
      <c r="F6296" s="8" t="str">
        <f ca="1">IFERROR(__xludf.DUMMYFUNCTION("IF
(
C6297=""фізична особа""
,
VLOOKUP(D6297,IMPORTRANGE(""https://docs.google.com/spreadsheets/d/14Bd19lYaqBhU8_DElYkX7l4wRkHqqCUFNJY4AfY3kHU/edit?usp=sharing  #gid=0"",""фіз особи new!relations_name""),6,FALSE)
,
(IF
(
C6297=""юридична особа""
,
VLOOKUP"&amp;"(D6297,IMPORTRANGE(""https://docs.google.com/spreadsheets/d/14Bd19lYaqBhU8_DElYkX7l4wRkHqqCUFNJY4AfY3kHU/edit?usp=sharing  #gid=0"",""фіз особи new!relations_name_uo""),7,FALSE)
,
)
))"),"МЕТШИНА Наіля Камільєвна")</f>
        <v>МЕТШИНА Наіля Камільєвна</v>
      </c>
      <c r="G6296" s="7" t="s">
        <v>10</v>
      </c>
      <c r="H6296" s="7">
        <v>334</v>
      </c>
      <c r="I6296" s="8" t="str">
        <f ca="1">IFERROR(__xludf.DUMMYFUNCTION("IF
(
G6297=""фізична особа""
,
VLOOKUP(H6297,IMPORTRANGE(""https://docs.google.com/spreadsheets/d/14Bd19lYaqBhU8_DElYkX7l4wRkHqqCUFNJY4AfY3kHU/edit?usp=sharing  #gid=0"",""фіз особи new!relations_name""),6,FALSE)
,
(IF
(
G6297=""юридична особа""
,
VLOOKUP"&amp;"(H6297,IMPORTRANGE(""https://docs.google.com/spreadsheets/d/14Bd19lYaqBhU8_DElYkX7l4wRkHqqCUFNJY4AfY3kHU/edit?usp=sharing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J6296" s="7" t="s">
        <v>14</v>
      </c>
    </row>
    <row r="6297" spans="1:10" ht="13.2">
      <c r="A6297" s="7">
        <v>6296</v>
      </c>
      <c r="B6297" s="7">
        <v>1</v>
      </c>
      <c r="C6297" s="7" t="s">
        <v>10</v>
      </c>
      <c r="D6297" s="7">
        <v>5133</v>
      </c>
      <c r="E6297" s="7" t="s">
        <v>17</v>
      </c>
      <c r="F6297" s="8" t="str">
        <f ca="1">IFERROR(__xludf.DUMMYFUNCTION("IF
(
C6298=""фізична особа""
,
VLOOKUP(D6298,IMPORTRANGE(""https://docs.google.com/spreadsheets/d/14Bd19lYaqBhU8_DElYkX7l4wRkHqqCUFNJY4AfY3kHU/edit?usp=sharing  #gid=0"",""фіз особи new!relations_name""),6,FALSE)
,
(IF
(
C6298=""юридична особа""
,
VLOOKUP"&amp;"(D6298,IMPORTRANGE(""https://docs.google.com/spreadsheets/d/14Bd19lYaqBhU8_DElYkX7l4wRkHqqCUFNJY4AfY3kHU/edit?usp=sharing  #gid=0"",""фіз особи new!relations_name_uo""),7,FALSE)
,
)
))"),"МЕТШИН Мурат Айдарович")</f>
        <v>МЕТШИН Мурат Айдарович</v>
      </c>
      <c r="G6297" s="7" t="s">
        <v>10</v>
      </c>
      <c r="H6297" s="7">
        <v>334</v>
      </c>
      <c r="I6297" s="8" t="str">
        <f ca="1">IFERROR(__xludf.DUMMYFUNCTION("IF
(
G6298=""фізична особа""
,
VLOOKUP(H6298,IMPORTRANGE(""https://docs.google.com/spreadsheets/d/14Bd19lYaqBhU8_DElYkX7l4wRkHqqCUFNJY4AfY3kHU/edit?usp=sharing  #gid=0"",""фіз особи new!relations_name""),6,FALSE)
,
(IF
(
G6298=""юридична особа""
,
VLOOKUP"&amp;"(H6298,IMPORTRANGE(""https://docs.google.com/spreadsheets/d/14Bd19lYaqBhU8_DElYkX7l4wRkHqqCUFNJY4AfY3kHU/edit?usp=sharing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J6297" s="7" t="s">
        <v>12</v>
      </c>
    </row>
    <row r="6298" spans="1:10" ht="13.2">
      <c r="A6298" s="7">
        <v>6297</v>
      </c>
      <c r="B6298" s="7">
        <v>1</v>
      </c>
      <c r="C6298" s="7" t="s">
        <v>10</v>
      </c>
      <c r="D6298" s="7">
        <v>5134</v>
      </c>
      <c r="E6298" s="7" t="s">
        <v>18</v>
      </c>
      <c r="F6298" s="8" t="str">
        <f ca="1">IFERROR(__xludf.DUMMYFUNCTION("IF
(
C6299=""фізична особа""
,
VLOOKUP(D6299,IMPORTRANGE(""https://docs.google.com/spreadsheets/d/14Bd19lYaqBhU8_DElYkX7l4wRkHqqCUFNJY4AfY3kHU/edit?usp=sharing  #gid=0"",""фіз особи new!relations_name""),6,FALSE)
,
(IF
(
C6299=""юридична особа""
,
VLOOKUP"&amp;"(D6299,IMPORTRANGE(""https://docs.google.com/spreadsheets/d/14Bd19lYaqBhU8_DElYkX7l4wRkHqqCUFNJY4AfY3kHU/edit?usp=sharing  #gid=0"",""фіз особи new!relations_name_uo""),7,FALSE)
,
)
))"),"МЕТШИН Айрат Раісович")</f>
        <v>МЕТШИН Айрат Раісович</v>
      </c>
      <c r="G6298" s="7" t="s">
        <v>10</v>
      </c>
      <c r="H6298" s="7">
        <v>334</v>
      </c>
      <c r="I6298" s="8" t="str">
        <f ca="1">IFERROR(__xludf.DUMMYFUNCTION("IF
(
G6299=""фізична особа""
,
VLOOKUP(H6299,IMPORTRANGE(""https://docs.google.com/spreadsheets/d/14Bd19lYaqBhU8_DElYkX7l4wRkHqqCUFNJY4AfY3kHU/edit?usp=sharing  #gid=0"",""фіз особи new!relations_name""),6,FALSE)
,
(IF
(
G6299=""юридична особа""
,
VLOOKUP"&amp;"(H6299,IMPORTRANGE(""https://docs.google.com/spreadsheets/d/14Bd19lYaqBhU8_DElYkX7l4wRkHqqCUFNJY4AfY3kHU/edit?usp=sharing  #gid=0"",""фіз особи new!relations_name_uo""),7,FALSE)
,
)
))"),"МЕТШИН Айдар Раїсович")</f>
        <v>МЕТШИН Айдар Раїсович</v>
      </c>
      <c r="J6298" s="7" t="s">
        <v>18</v>
      </c>
    </row>
    <row r="6299" spans="1:10" ht="13.2">
      <c r="A6299" s="7">
        <v>6298</v>
      </c>
      <c r="B6299" s="7">
        <v>1</v>
      </c>
      <c r="C6299" s="7" t="s">
        <v>10</v>
      </c>
      <c r="D6299" s="7">
        <v>5135</v>
      </c>
      <c r="E6299" s="7" t="s">
        <v>17</v>
      </c>
      <c r="F6299" s="8" t="str">
        <f ca="1">IFERROR(__xludf.DUMMYFUNCTION("IF
(
C6300=""фізична особа""
,
VLOOKUP(D6300,IMPORTRANGE(""https://docs.google.com/spreadsheets/d/14Bd19lYaqBhU8_DElYkX7l4wRkHqqCUFNJY4AfY3kHU/edit?usp=sharing  #gid=0"",""фіз особи new!relations_name""),6,FALSE)
,
(IF
(
C6300=""юридична особа""
,
VLOOKUP"&amp;"(D6300,IMPORTRANGE(""https://docs.google.com/spreadsheets/d/14Bd19lYaqBhU8_DElYkX7l4wRkHqqCUFNJY4AfY3kHU/edit?usp=sharing  #gid=0"",""фіз особи new!relations_name_uo""),7,FALSE)
,
)
))"),"БЄЛИХ Денис Владиславович")</f>
        <v>БЄЛИХ Денис Владиславович</v>
      </c>
      <c r="G6299" s="7" t="s">
        <v>10</v>
      </c>
      <c r="H6299" s="7">
        <v>338</v>
      </c>
      <c r="I6299" s="8" t="str">
        <f ca="1">IFERROR(__xludf.DUMMYFUNCTION("IF
(
G6300=""фізична особа""
,
VLOOKUP(H6300,IMPORTRANGE(""https://docs.google.com/spreadsheets/d/14Bd19lYaqBhU8_DElYkX7l4wRkHqqCUFNJY4AfY3kHU/edit?usp=sharing  #gid=0"",""фіз особи new!relations_name""),6,FALSE)
,
(IF
(
G6300=""юридична особа""
,
VLOOKUP"&amp;"(H6300,IMPORTRANGE(""https://docs.google.com/spreadsheets/d/14Bd19lYaqBhU8_DElYkX7l4wRkHqqCUFNJY4AfY3kHU/edit?usp=sharing  #gid=0"",""фіз особи new!relations_name_uo""),7,FALSE)
,
)
))"),"БЄЛИХ Ірина Вікторівна")</f>
        <v>БЄЛИХ Ірина Вікторівна</v>
      </c>
      <c r="J6299" s="7" t="s">
        <v>21</v>
      </c>
    </row>
    <row r="6300" spans="1:10" ht="13.2">
      <c r="A6300" s="7">
        <v>6299</v>
      </c>
      <c r="B6300" s="7">
        <v>1</v>
      </c>
      <c r="C6300" s="7" t="s">
        <v>10</v>
      </c>
      <c r="D6300" s="7">
        <v>5136</v>
      </c>
      <c r="E6300" s="7" t="s">
        <v>17</v>
      </c>
      <c r="F6300" s="8" t="str">
        <f ca="1">IFERROR(__xludf.DUMMYFUNCTION("IF
(
C6301=""фізична особа""
,
VLOOKUP(D6301,IMPORTRANGE(""https://docs.google.com/spreadsheets/d/14Bd19lYaqBhU8_DElYkX7l4wRkHqqCUFNJY4AfY3kHU/edit?usp=sharing  #gid=0"",""фіз особи new!relations_name""),6,FALSE)
,
(IF
(
C6301=""юридична особа""
,
VLOOKUP"&amp;"(D6301,IMPORTRANGE(""https://docs.google.com/spreadsheets/d/14Bd19lYaqBhU8_DElYkX7l4wRkHqqCUFNJY4AfY3kHU/edit?usp=sharing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G6300" s="7" t="s">
        <v>10</v>
      </c>
      <c r="H6300" s="7">
        <v>341</v>
      </c>
      <c r="I6300" s="8" t="str">
        <f ca="1">IFERROR(__xludf.DUMMYFUNCTION("IF
(
G6301=""фізична особа""
,
VLOOKUP(H6301,IMPORTRANGE(""https://docs.google.com/spreadsheets/d/14Bd19lYaqBhU8_DElYkX7l4wRkHqqCUFNJY4AfY3kHU/edit?usp=sharing  #gid=0"",""фіз особи new!relations_name""),6,FALSE)
,
(IF
(
G6301=""юридична особа""
,
VLOOKUP"&amp;"(H6301,IMPORTRANGE(""https://docs.google.com/spreadsheets/d/14Bd19lYaqBhU8_DElYkX7l4wRkHqqCUFNJY4AfY3kHU/edit?usp=sharing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J6300" s="7" t="s">
        <v>12</v>
      </c>
    </row>
    <row r="6301" spans="1:10" ht="13.2">
      <c r="A6301" s="7">
        <v>6300</v>
      </c>
      <c r="B6301" s="7">
        <v>1</v>
      </c>
      <c r="C6301" s="7" t="s">
        <v>10</v>
      </c>
      <c r="D6301" s="7">
        <v>5137</v>
      </c>
      <c r="E6301" s="7" t="s">
        <v>13</v>
      </c>
      <c r="F6301" s="8" t="str">
        <f ca="1">IFERROR(__xludf.DUMMYFUNCTION("IF
(
C6302=""фізична особа""
,
VLOOKUP(D6302,IMPORTRANGE(""https://docs.google.com/spreadsheets/d/14Bd19lYaqBhU8_DElYkX7l4wRkHqqCUFNJY4AfY3kHU/edit?usp=sharing  #gid=0"",""фіз особи new!relations_name""),6,FALSE)
,
(IF
(
C6302=""юридична особа""
,
VLOOKUP"&amp;"(D6302,IMPORTRANGE(""https://docs.google.com/spreadsheets/d/14Bd19lYaqBhU8_DElYkX7l4wRkHqqCUFNJY4AfY3kHU/edit?usp=sharing  #gid=0"",""фіз особи new!relations_name_uo""),7,FALSE)
,
)
))"),"ВАНІНА Альона Іванівна")</f>
        <v>ВАНІНА Альона Іванівна</v>
      </c>
      <c r="G6301" s="7" t="s">
        <v>10</v>
      </c>
      <c r="H6301" s="7">
        <v>341</v>
      </c>
      <c r="I6301" s="8" t="str">
        <f ca="1">IFERROR(__xludf.DUMMYFUNCTION("IF
(
G6302=""фізична особа""
,
VLOOKUP(H6302,IMPORTRANGE(""https://docs.google.com/spreadsheets/d/14Bd19lYaqBhU8_DElYkX7l4wRkHqqCUFNJY4AfY3kHU/edit?usp=sharing  #gid=0"",""фіз особи new!relations_name""),6,FALSE)
,
(IF
(
G6302=""юридична особа""
,
VLOOKUP"&amp;"(H6302,IMPORTRANGE(""https://docs.google.com/spreadsheets/d/14Bd19lYaqBhU8_DElYkX7l4wRkHqqCUFNJY4AfY3kHU/edit?usp=sharing  #gid=0"",""фіз особи new!relations_name_uo""),7,FALSE)
,
)
))"),"ДЕМЧЕНКО Іван Іванович")</f>
        <v>ДЕМЧЕНКО Іван Іванович</v>
      </c>
      <c r="J6301" s="7" t="s">
        <v>12</v>
      </c>
    </row>
    <row r="6302" spans="1:10" ht="13.2">
      <c r="A6302" s="7">
        <v>6301</v>
      </c>
      <c r="B6302" s="7">
        <v>1</v>
      </c>
      <c r="C6302" s="7" t="s">
        <v>10</v>
      </c>
      <c r="D6302" s="7">
        <v>5138</v>
      </c>
      <c r="E6302" s="7" t="s">
        <v>15</v>
      </c>
      <c r="F6302" s="8" t="str">
        <f ca="1">IFERROR(__xludf.DUMMYFUNCTION("IF
(
C6303=""фізична особа""
,
VLOOKUP(D6303,IMPORTRANGE(""https://docs.google.com/spreadsheets/d/14Bd19lYaqBhU8_DElYkX7l4wRkHqqCUFNJY4AfY3kHU/edit?usp=sharing  #gid=0"",""фіз особи new!relations_name""),6,FALSE)
,
(IF
(
C6303=""юридична особа""
,
VLOOKUP"&amp;"(D6303,IMPORTRANGE(""https://docs.google.com/spreadsheets/d/14Bd19lYaqBhU8_DElYkX7l4wRkHqqCUFNJY4AfY3kHU/edit?usp=sharing  #gid=0"",""фіз особи new!relations_name_uo""),7,FALSE)
,
)
))"),"ЛООР Галина Федорівна")</f>
        <v>ЛООР Галина Федорівна</v>
      </c>
      <c r="G6302" s="7" t="s">
        <v>10</v>
      </c>
      <c r="H6302" s="7">
        <v>344</v>
      </c>
      <c r="I6302" s="8" t="str">
        <f ca="1">IFERROR(__xludf.DUMMYFUNCTION("IF
(
G6303=""фізична особа""
,
VLOOKUP(H6303,IMPORTRANGE(""https://docs.google.com/spreadsheets/d/14Bd19lYaqBhU8_DElYkX7l4wRkHqqCUFNJY4AfY3kHU/edit?usp=sharing  #gid=0"",""фіз особи new!relations_name""),6,FALSE)
,
(IF
(
G6303=""юридична особа""
,
VLOOKUP"&amp;"(H6303,IMPORTRANGE(""https://docs.google.com/spreadsheets/d/14Bd19lYaqBhU8_DElYkX7l4wRkHqqCUFNJY4AfY3kHU/edit?usp=sharing  #gid=0"",""фіз особи new!relations_name_uo""),7,FALSE)
,
)
))"),"ЛООР Іван Іванович")</f>
        <v>ЛООР Іван Іванович</v>
      </c>
      <c r="J6302" s="7" t="s">
        <v>14</v>
      </c>
    </row>
    <row r="6303" spans="1:10" ht="13.2">
      <c r="A6303" s="7">
        <v>6302</v>
      </c>
      <c r="B6303" s="7">
        <v>1</v>
      </c>
      <c r="C6303" s="7" t="s">
        <v>10</v>
      </c>
      <c r="D6303" s="7">
        <v>5139</v>
      </c>
      <c r="E6303" s="7" t="s">
        <v>12</v>
      </c>
      <c r="F6303" s="8" t="str">
        <f ca="1">IFERROR(__xludf.DUMMYFUNCTION("IF
(
C6304=""фізична особа""
,
VLOOKUP(D6304,IMPORTRANGE(""https://docs.google.com/spreadsheets/d/14Bd19lYaqBhU8_DElYkX7l4wRkHqqCUFNJY4AfY3kHU/edit?usp=sharing  #gid=0"",""фіз особи new!relations_name""),6,FALSE)
,
(IF
(
C6304=""юридична особа""
,
VLOOKUP"&amp;"(D6304,IMPORTRANGE(""https://docs.google.com/spreadsheets/d/14Bd19lYaqBhU8_DElYkX7l4wRkHqqCUFNJY4AfY3kHU/edit?usp=sharing  #gid=0"",""фіз особи new!relations_name_uo""),7,FALSE)
,
)
))"),"СУХАРЄВ Костянтин Костянтинович")</f>
        <v>СУХАРЄВ Костянтин Костянтинович</v>
      </c>
      <c r="G6303" s="7" t="s">
        <v>10</v>
      </c>
      <c r="H6303" s="7">
        <v>347</v>
      </c>
      <c r="I6303" s="8" t="str">
        <f ca="1">IFERROR(__xludf.DUMMYFUNCTION("IF
(
G6304=""фізична особа""
,
VLOOKUP(H6304,IMPORTRANGE(""https://docs.google.com/spreadsheets/d/14Bd19lYaqBhU8_DElYkX7l4wRkHqqCUFNJY4AfY3kHU/edit?usp=sharing  #gid=0"",""фіз особи new!relations_name""),6,FALSE)
,
(IF
(
G6304=""юридична особа""
,
VLOOKUP"&amp;"(H6304,IMPORTRANGE(""https://docs.google.com/spreadsheets/d/14Bd19lYaqBhU8_DElYkX7l4wRkHqqCUFNJY4AfY3kHU/edit?usp=sharing  #gid=0"",""фіз особи new!relations_name_uo""),7,FALSE)
,
)
))"),"СУХАРЄВ Іван Костянтинович")</f>
        <v>СУХАРЄВ Іван Костянтинович</v>
      </c>
      <c r="J6303" s="7" t="s">
        <v>17</v>
      </c>
    </row>
    <row r="6304" spans="1:10" ht="13.2">
      <c r="A6304" s="7">
        <v>6303</v>
      </c>
      <c r="B6304" s="7">
        <v>1</v>
      </c>
      <c r="C6304" s="7" t="s">
        <v>10</v>
      </c>
      <c r="D6304" s="7">
        <v>5140</v>
      </c>
      <c r="E6304" s="7" t="s">
        <v>12</v>
      </c>
      <c r="F6304" s="8" t="str">
        <f ca="1">IFERROR(__xludf.DUMMYFUNCTION("IF
(
C6305=""фізична особа""
,
VLOOKUP(D6305,IMPORTRANGE(""https://docs.google.com/spreadsheets/d/14Bd19lYaqBhU8_DElYkX7l4wRkHqqCUFNJY4AfY3kHU/edit?usp=sharing  #gid=0"",""фіз особи new!relations_name""),6,FALSE)
,
(IF
(
C6305=""юридична особа""
,
VLOOKUP"&amp;"(D6305,IMPORTRANGE(""https://docs.google.com/spreadsheets/d/14Bd19lYaqBhU8_DElYkX7l4wRkHqqCUFNJY4AfY3kHU/edit?usp=sharing  #gid=0"",""фіз особи new!relations_name_uo""),7,FALSE)
,
)
))"),"МУСАТОВ Михайло Іванович")</f>
        <v>МУСАТОВ Михайло Іванович</v>
      </c>
      <c r="G6304" s="7" t="s">
        <v>10</v>
      </c>
      <c r="H6304" s="7">
        <v>349</v>
      </c>
      <c r="I6304" s="8" t="str">
        <f ca="1">IFERROR(__xludf.DUMMYFUNCTION("IF
(
G6305=""фізична особа""
,
VLOOKUP(H6305,IMPORTRANGE(""https://docs.google.com/spreadsheets/d/14Bd19lYaqBhU8_DElYkX7l4wRkHqqCUFNJY4AfY3kHU/edit?usp=sharing  #gid=0"",""фіз особи new!relations_name""),6,FALSE)
,
(IF
(
G6305=""юридична особа""
,
VLOOKUP"&amp;"(H6305,IMPORTRANGE(""https://docs.google.com/spreadsheets/d/14Bd19lYaqBhU8_DElYkX7l4wRkHqqCUFNJY4AfY3kHU/edit?usp=sharing  #gid=0"",""фіз особи new!relations_name_uo""),7,FALSE)
,
)
))"),"МУСАТОВ Іван Михайлович")</f>
        <v>МУСАТОВ Іван Михайлович</v>
      </c>
      <c r="J6304" s="7" t="s">
        <v>17</v>
      </c>
    </row>
    <row r="6305" spans="1:10" ht="13.2">
      <c r="A6305" s="7">
        <v>6304</v>
      </c>
      <c r="B6305" s="7">
        <v>1</v>
      </c>
      <c r="C6305" s="7" t="s">
        <v>10</v>
      </c>
      <c r="D6305" s="7">
        <v>5141</v>
      </c>
      <c r="E6305" s="7" t="s">
        <v>15</v>
      </c>
      <c r="F6305" s="8" t="str">
        <f ca="1">IFERROR(__xludf.DUMMYFUNCTION("IF
(
C6306=""фізична особа""
,
VLOOKUP(D6306,IMPORTRANGE(""https://docs.google.com/spreadsheets/d/14Bd19lYaqBhU8_DElYkX7l4wRkHqqCUFNJY4AfY3kHU/edit?usp=sharing  #gid=0"",""фіз особи new!relations_name""),6,FALSE)
,
(IF
(
C6306=""юридична особа""
,
VLOOKUP"&amp;"(D6306,IMPORTRANGE(""https://docs.google.com/spreadsheets/d/14Bd19lYaqBhU8_DElYkX7l4wRkHqqCUFNJY4AfY3kHU/edit?usp=sharing  #gid=0"",""фіз особи new!relations_name_uo""),7,FALSE)
,
)
))"),"ТАЙСАЄВА Інна Лук'янівна")</f>
        <v>ТАЙСАЄВА Інна Лук'янівна</v>
      </c>
      <c r="G6305" s="7" t="s">
        <v>10</v>
      </c>
      <c r="H6305" s="7">
        <v>358</v>
      </c>
      <c r="I6305" s="8" t="str">
        <f ca="1">IFERROR(__xludf.DUMMYFUNCTION("IF
(
G6306=""фізична особа""
,
VLOOKUP(H6306,IMPORTRANGE(""https://docs.google.com/spreadsheets/d/14Bd19lYaqBhU8_DElYkX7l4wRkHqqCUFNJY4AfY3kHU/edit?usp=sharing  #gid=0"",""фіз особи new!relations_name""),6,FALSE)
,
(IF
(
G6306=""юридична особа""
,
VLOOKUP"&amp;"(H6306,IMPORTRANGE(""https://docs.google.com/spreadsheets/d/14Bd19lYaqBhU8_DElYkX7l4wRkHqqCUFNJY4AfY3kHU/edit?usp=sharing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J6305" s="7" t="s">
        <v>14</v>
      </c>
    </row>
    <row r="6306" spans="1:10" ht="13.2">
      <c r="A6306" s="7">
        <v>6305</v>
      </c>
      <c r="B6306" s="7">
        <v>1</v>
      </c>
      <c r="C6306" s="7" t="s">
        <v>10</v>
      </c>
      <c r="D6306" s="7">
        <v>5142</v>
      </c>
      <c r="E6306" s="7" t="s">
        <v>17</v>
      </c>
      <c r="F6306" s="8" t="str">
        <f ca="1">IFERROR(__xludf.DUMMYFUNCTION("IF
(
C6307=""фізична особа""
,
VLOOKUP(D6307,IMPORTRANGE(""https://docs.google.com/spreadsheets/d/14Bd19lYaqBhU8_DElYkX7l4wRkHqqCUFNJY4AfY3kHU/edit?usp=sharing  #gid=0"",""фіз особи new!relations_name""),6,FALSE)
,
(IF
(
C6307=""юридична особа""
,
VLOOKUP"&amp;"(D6307,IMPORTRANGE(""https://docs.google.com/spreadsheets/d/14Bd19lYaqBhU8_DElYkX7l4wRkHqqCUFNJY4AfY3kHU/edit?usp=sharing  #gid=0"",""фіз особи new!relations_name_uo""),7,FALSE)
,
)
))"),"ТАЙСАЄВ Куцук Казбекович")</f>
        <v>ТАЙСАЄВ Куцук Казбекович</v>
      </c>
      <c r="G6306" s="7" t="s">
        <v>10</v>
      </c>
      <c r="H6306" s="7">
        <v>358</v>
      </c>
      <c r="I6306" s="8" t="str">
        <f ca="1">IFERROR(__xludf.DUMMYFUNCTION("IF
(
G6307=""фізична особа""
,
VLOOKUP(H6307,IMPORTRANGE(""https://docs.google.com/spreadsheets/d/14Bd19lYaqBhU8_DElYkX7l4wRkHqqCUFNJY4AfY3kHU/edit?usp=sharing  #gid=0"",""фіз особи new!relations_name""),6,FALSE)
,
(IF
(
G6307=""юридична особа""
,
VLOOKUP"&amp;"(H6307,IMPORTRANGE(""https://docs.google.com/spreadsheets/d/14Bd19lYaqBhU8_DElYkX7l4wRkHqqCUFNJY4AfY3kHU/edit?usp=sharing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J6306" s="7" t="s">
        <v>12</v>
      </c>
    </row>
    <row r="6307" spans="1:10" ht="13.2">
      <c r="A6307" s="7">
        <v>6306</v>
      </c>
      <c r="B6307" s="7">
        <v>1</v>
      </c>
      <c r="C6307" s="7" t="s">
        <v>10</v>
      </c>
      <c r="D6307" s="7">
        <v>5143</v>
      </c>
      <c r="E6307" s="7" t="s">
        <v>13</v>
      </c>
      <c r="F6307" s="8" t="str">
        <f ca="1">IFERROR(__xludf.DUMMYFUNCTION("IF
(
C6308=""фізична особа""
,
VLOOKUP(D6308,IMPORTRANGE(""https://docs.google.com/spreadsheets/d/14Bd19lYaqBhU8_DElYkX7l4wRkHqqCUFNJY4AfY3kHU/edit?usp=sharing  #gid=0"",""фіз особи new!relations_name""),6,FALSE)
,
(IF
(
C6308=""юридична особа""
,
VLOOKUP"&amp;"(D6308,IMPORTRANGE(""https://docs.google.com/spreadsheets/d/14Bd19lYaqBhU8_DElYkX7l4wRkHqqCUFNJY4AfY3kHU/edit?usp=sharing  #gid=0"",""фіз особи new!relations_name_uo""),7,FALSE)
,
)
))"),"ТАЙСАЄВА Вікторія Казбеківна")</f>
        <v>ТАЙСАЄВА Вікторія Казбеківна</v>
      </c>
      <c r="G6307" s="7" t="s">
        <v>10</v>
      </c>
      <c r="H6307" s="7">
        <v>358</v>
      </c>
      <c r="I6307" s="8" t="str">
        <f ca="1">IFERROR(__xludf.DUMMYFUNCTION("IF
(
G6308=""фізична особа""
,
VLOOKUP(H6308,IMPORTRANGE(""https://docs.google.com/spreadsheets/d/14Bd19lYaqBhU8_DElYkX7l4wRkHqqCUFNJY4AfY3kHU/edit?usp=sharing  #gid=0"",""фіз особи new!relations_name""),6,FALSE)
,
(IF
(
G6308=""юридична особа""
,
VLOOKUP"&amp;"(H6308,IMPORTRANGE(""https://docs.google.com/spreadsheets/d/14Bd19lYaqBhU8_DElYkX7l4wRkHqqCUFNJY4AfY3kHU/edit?usp=sharing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J6307" s="7" t="s">
        <v>12</v>
      </c>
    </row>
    <row r="6308" spans="1:10" ht="13.2">
      <c r="A6308" s="7">
        <v>6307</v>
      </c>
      <c r="B6308" s="7">
        <v>1</v>
      </c>
      <c r="C6308" s="7" t="s">
        <v>10</v>
      </c>
      <c r="D6308" s="7">
        <v>5144</v>
      </c>
      <c r="E6308" s="7" t="s">
        <v>18</v>
      </c>
      <c r="F6308" s="8" t="str">
        <f ca="1">IFERROR(__xludf.DUMMYFUNCTION("IF
(
C6309=""фізична особа""
,
VLOOKUP(D6309,IMPORTRANGE(""https://docs.google.com/spreadsheets/d/14Bd19lYaqBhU8_DElYkX7l4wRkHqqCUFNJY4AfY3kHU/edit?usp=sharing  #gid=0"",""фіз особи new!relations_name""),6,FALSE)
,
(IF
(
C6309=""юридична особа""
,
VLOOKUP"&amp;"(D6309,IMPORTRANGE(""https://docs.google.com/spreadsheets/d/14Bd19lYaqBhU8_DElYkX7l4wRkHqqCUFNJY4AfY3kHU/edit?usp=sharing  #gid=0"",""фіз особи new!relations_name_uo""),7,FALSE)
,
)
))"),"ТАЙСАЄВ Ельбрус Куцукович")</f>
        <v>ТАЙСАЄВ Ельбрус Куцукович</v>
      </c>
      <c r="G6308" s="7" t="s">
        <v>10</v>
      </c>
      <c r="H6308" s="7">
        <v>358</v>
      </c>
      <c r="I6308" s="8" t="str">
        <f ca="1">IFERROR(__xludf.DUMMYFUNCTION("IF
(
G6309=""фізична особа""
,
VLOOKUP(H6309,IMPORTRANGE(""https://docs.google.com/spreadsheets/d/14Bd19lYaqBhU8_DElYkX7l4wRkHqqCUFNJY4AfY3kHU/edit?usp=sharing  #gid=0"",""фіз особи new!relations_name""),6,FALSE)
,
(IF
(
G6309=""юридична особа""
,
VLOOKUP"&amp;"(H6309,IMPORTRANGE(""https://docs.google.com/spreadsheets/d/14Bd19lYaqBhU8_DElYkX7l4wRkHqqCUFNJY4AfY3kHU/edit?usp=sharing  #gid=0"",""фіз особи new!relations_name_uo""),7,FALSE)
,
)
))"),"ТАЙСАЄВ Казбек Куцукович")</f>
        <v>ТАЙСАЄВ Казбек Куцукович</v>
      </c>
      <c r="J6308" s="7" t="s">
        <v>18</v>
      </c>
    </row>
    <row r="6309" spans="1:10" ht="13.2">
      <c r="A6309" s="7">
        <v>6308</v>
      </c>
      <c r="B6309" s="7">
        <v>1</v>
      </c>
      <c r="C6309" s="7" t="s">
        <v>10</v>
      </c>
      <c r="D6309" s="7">
        <v>5145</v>
      </c>
      <c r="E6309" s="7" t="s">
        <v>27</v>
      </c>
      <c r="F6309" s="8" t="str">
        <f ca="1">IFERROR(__xludf.DUMMYFUNCTION("IF
(
C6310=""фізична особа""
,
VLOOKUP(D6310,IMPORTRANGE(""https://docs.google.com/spreadsheets/d/14Bd19lYaqBhU8_DElYkX7l4wRkHqqCUFNJY4AfY3kHU/edit?usp=sharing  #gid=0"",""фіз особи new!relations_name""),6,FALSE)
,
(IF
(
C6310=""юридична особа""
,
VLOOKUP"&amp;"(D6310,IMPORTRANGE(""https://docs.google.com/spreadsheets/d/14Bd19lYaqBhU8_DElYkX7l4wRkHqqCUFNJY4AfY3kHU/edit?usp=sharing  #gid=0"",""фіз особи new!relations_name_uo""),7,FALSE)
,
)
))"),"БАРЛЕТ Людмила")</f>
        <v>БАРЛЕТ Людмила</v>
      </c>
      <c r="G6309" s="7" t="s">
        <v>10</v>
      </c>
      <c r="H6309" s="7">
        <v>379</v>
      </c>
      <c r="I6309" s="8" t="str">
        <f ca="1">IFERROR(__xludf.DUMMYFUNCTION("IF
(
G6310=""фізична особа""
,
VLOOKUP(H6310,IMPORTRANGE(""https://docs.google.com/spreadsheets/d/14Bd19lYaqBhU8_DElYkX7l4wRkHqqCUFNJY4AfY3kHU/edit?usp=sharing  #gid=0"",""фіз особи new!relations_name""),6,FALSE)
,
(IF
(
G6310=""юридична особа""
,
VLOOKUP"&amp;"(H6310,IMPORTRANGE(""https://docs.google.com/spreadsheets/d/14Bd19lYaqBhU8_DElYkX7l4wRkHqqCUFNJY4AfY3kHU/edit?usp=sharing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09" s="7" t="s">
        <v>26</v>
      </c>
    </row>
    <row r="6310" spans="1:10" ht="13.2">
      <c r="A6310" s="7">
        <v>6309</v>
      </c>
      <c r="B6310" s="7">
        <v>1</v>
      </c>
      <c r="C6310" s="7" t="s">
        <v>10</v>
      </c>
      <c r="D6310" s="7">
        <v>5146</v>
      </c>
      <c r="E6310" s="7" t="s">
        <v>17</v>
      </c>
      <c r="F6310" s="8" t="str">
        <f ca="1">IFERROR(__xludf.DUMMYFUNCTION("IF
(
C6311=""фізична особа""
,
VLOOKUP(D6311,IMPORTRANGE(""https://docs.google.com/spreadsheets/d/14Bd19lYaqBhU8_DElYkX7l4wRkHqqCUFNJY4AfY3kHU/edit?usp=sharing  #gid=0"",""фіз особи new!relations_name""),6,FALSE)
,
(IF
(
C6311=""юридична особа""
,
VLOOKUP"&amp;"(D6311,IMPORTRANGE(""https://docs.google.com/spreadsheets/d/14Bd19lYaqBhU8_DElYkX7l4wRkHqqCUFNJY4AfY3kHU/edit?usp=sharing  #gid=0"",""фіз особи new!relations_name_uo""),7,FALSE)
,
)
))"),"РЕМЕЗКОВ Степан Олександрович")</f>
        <v>РЕМЕЗКОВ Степан Олександрович</v>
      </c>
      <c r="G6310" s="7" t="s">
        <v>10</v>
      </c>
      <c r="H6310" s="7">
        <v>379</v>
      </c>
      <c r="I6310" s="8" t="str">
        <f ca="1">IFERROR(__xludf.DUMMYFUNCTION("IF
(
G6311=""фізична особа""
,
VLOOKUP(H6311,IMPORTRANGE(""https://docs.google.com/spreadsheets/d/14Bd19lYaqBhU8_DElYkX7l4wRkHqqCUFNJY4AfY3kHU/edit?usp=sharing  #gid=0"",""фіз особи new!relations_name""),6,FALSE)
,
(IF
(
G6311=""юридична особа""
,
VLOOKUP"&amp;"(H6311,IMPORTRANGE(""https://docs.google.com/spreadsheets/d/14Bd19lYaqBhU8_DElYkX7l4wRkHqqCUFNJY4AfY3kHU/edit?usp=sharing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0" s="7" t="s">
        <v>12</v>
      </c>
    </row>
    <row r="6311" spans="1:10" ht="13.2">
      <c r="A6311" s="7">
        <v>6310</v>
      </c>
      <c r="B6311" s="7">
        <v>1</v>
      </c>
      <c r="C6311" s="7" t="s">
        <v>10</v>
      </c>
      <c r="D6311" s="7">
        <v>5147</v>
      </c>
      <c r="E6311" s="7" t="s">
        <v>17</v>
      </c>
      <c r="F6311" s="8" t="str">
        <f ca="1">IFERROR(__xludf.DUMMYFUNCTION("IF
(
C6312=""фізична особа""
,
VLOOKUP(D6312,IMPORTRANGE(""https://docs.google.com/spreadsheets/d/14Bd19lYaqBhU8_DElYkX7l4wRkHqqCUFNJY4AfY3kHU/edit?usp=sharing  #gid=0"",""фіз особи new!relations_name""),6,FALSE)
,
(IF
(
C6312=""юридична особа""
,
VLOOKUP"&amp;"(D6312,IMPORTRANGE(""https://docs.google.com/spreadsheets/d/14Bd19lYaqBhU8_DElYkX7l4wRkHqqCUFNJY4AfY3kHU/edit?usp=sharing  #gid=0"",""фіз особи new!relations_name_uo""),7,FALSE)
,
)
))"),"РЕМЕЗКОВ Микола Олександрович")</f>
        <v>РЕМЕЗКОВ Микола Олександрович</v>
      </c>
      <c r="G6311" s="7" t="s">
        <v>10</v>
      </c>
      <c r="H6311" s="7">
        <v>379</v>
      </c>
      <c r="I6311" s="8" t="str">
        <f ca="1">IFERROR(__xludf.DUMMYFUNCTION("IF
(
G6312=""фізична особа""
,
VLOOKUP(H6312,IMPORTRANGE(""https://docs.google.com/spreadsheets/d/14Bd19lYaqBhU8_DElYkX7l4wRkHqqCUFNJY4AfY3kHU/edit?usp=sharing  #gid=0"",""фіз особи new!relations_name""),6,FALSE)
,
(IF
(
G6312=""юридична особа""
,
VLOOKUP"&amp;"(H6312,IMPORTRANGE(""https://docs.google.com/spreadsheets/d/14Bd19lYaqBhU8_DElYkX7l4wRkHqqCUFNJY4AfY3kHU/edit?usp=sharing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1" s="7" t="s">
        <v>12</v>
      </c>
    </row>
    <row r="6312" spans="1:10" ht="13.2">
      <c r="A6312" s="7">
        <v>6311</v>
      </c>
      <c r="B6312" s="7">
        <v>1</v>
      </c>
      <c r="C6312" s="7" t="s">
        <v>10</v>
      </c>
      <c r="D6312" s="7">
        <v>5148</v>
      </c>
      <c r="E6312" s="7" t="s">
        <v>13</v>
      </c>
      <c r="F6312" s="8" t="str">
        <f ca="1">IFERROR(__xludf.DUMMYFUNCTION("IF
(
C6313=""фізична особа""
,
VLOOKUP(D6313,IMPORTRANGE(""https://docs.google.com/spreadsheets/d/14Bd19lYaqBhU8_DElYkX7l4wRkHqqCUFNJY4AfY3kHU/edit?usp=sharing  #gid=0"",""фіз особи new!relations_name""),6,FALSE)
,
(IF
(
C6313=""юридична особа""
,
VLOOKUP"&amp;"(D6313,IMPORTRANGE(""https://docs.google.com/spreadsheets/d/14Bd19lYaqBhU8_DElYkX7l4wRkHqqCUFNJY4AfY3kHU/edit?usp=sharing  #gid=0"",""фіз особи new!relations_name_uo""),7,FALSE)
,
)
))"),"РЕМЕЗКОВА Марія Олександрівна")</f>
        <v>РЕМЕЗКОВА Марія Олександрівна</v>
      </c>
      <c r="G6312" s="7" t="s">
        <v>10</v>
      </c>
      <c r="H6312" s="7">
        <v>379</v>
      </c>
      <c r="I6312" s="8" t="str">
        <f ca="1">IFERROR(__xludf.DUMMYFUNCTION("IF
(
G6313=""фізична особа""
,
VLOOKUP(H6313,IMPORTRANGE(""https://docs.google.com/spreadsheets/d/14Bd19lYaqBhU8_DElYkX7l4wRkHqqCUFNJY4AfY3kHU/edit?usp=sharing  #gid=0"",""фіз особи new!relations_name""),6,FALSE)
,
(IF
(
G6313=""юридична особа""
,
VLOOKUP"&amp;"(H6313,IMPORTRANGE(""https://docs.google.com/spreadsheets/d/14Bd19lYaqBhU8_DElYkX7l4wRkHqqCUFNJY4AfY3kHU/edit?usp=sharing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2" s="7" t="s">
        <v>12</v>
      </c>
    </row>
    <row r="6313" spans="1:10" ht="13.2">
      <c r="A6313" s="7">
        <v>6312</v>
      </c>
      <c r="B6313" s="7">
        <v>1</v>
      </c>
      <c r="C6313" s="7" t="s">
        <v>10</v>
      </c>
      <c r="D6313" s="7">
        <v>5149</v>
      </c>
      <c r="E6313" s="7" t="s">
        <v>31</v>
      </c>
      <c r="F6313" s="8" t="str">
        <f ca="1">IFERROR(__xludf.DUMMYFUNCTION("IF
(
C6314=""фізична особа""
,
VLOOKUP(D6314,IMPORTRANGE(""https://docs.google.com/spreadsheets/d/14Bd19lYaqBhU8_DElYkX7l4wRkHqqCUFNJY4AfY3kHU/edit?usp=sharing  #gid=0"",""фіз особи new!relations_name""),6,FALSE)
,
(IF
(
C6314=""юридична особа""
,
VLOOKUP"&amp;"(D6314,IMPORTRANGE(""https://docs.google.com/spreadsheets/d/14Bd19lYaqBhU8_DElYkX7l4wRkHqqCUFNJY4AfY3kHU/edit?usp=sharing  #gid=0"",""фіз особи new!relations_name_uo""),7,FALSE)
,
)
))"),"АРЕФ'ЄВА Жанна Олександрівна")</f>
        <v>АРЕФ'ЄВА Жанна Олександрівна</v>
      </c>
      <c r="G6313" s="7" t="s">
        <v>10</v>
      </c>
      <c r="H6313" s="7">
        <v>379</v>
      </c>
      <c r="I6313" s="8" t="str">
        <f ca="1">IFERROR(__xludf.DUMMYFUNCTION("IF
(
G6314=""фізична особа""
,
VLOOKUP(H6314,IMPORTRANGE(""https://docs.google.com/spreadsheets/d/14Bd19lYaqBhU8_DElYkX7l4wRkHqqCUFNJY4AfY3kHU/edit?usp=sharing  #gid=0"",""фіз особи new!relations_name""),6,FALSE)
,
(IF
(
G6314=""юридична особа""
,
VLOOKUP"&amp;"(H6314,IMPORTRANGE(""https://docs.google.com/spreadsheets/d/14Bd19lYaqBhU8_DElYkX7l4wRkHqqCUFNJY4AfY3kHU/edit?usp=sharing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3" s="7" t="s">
        <v>18</v>
      </c>
    </row>
    <row r="6314" spans="1:10" ht="13.2">
      <c r="A6314" s="7">
        <v>6313</v>
      </c>
      <c r="B6314" s="7">
        <v>1</v>
      </c>
      <c r="C6314" s="7" t="s">
        <v>10</v>
      </c>
      <c r="D6314" s="7">
        <v>5150</v>
      </c>
      <c r="E6314" s="7" t="s">
        <v>20</v>
      </c>
      <c r="F6314" s="8" t="str">
        <f ca="1">IFERROR(__xludf.DUMMYFUNCTION("IF
(
C6315=""фізична особа""
,
VLOOKUP(D6315,IMPORTRANGE(""https://docs.google.com/spreadsheets/d/14Bd19lYaqBhU8_DElYkX7l4wRkHqqCUFNJY4AfY3kHU/edit?usp=sharing  #gid=0"",""фіз особи new!relations_name""),6,FALSE)
,
(IF
(
C6315=""юридична особа""
,
VLOOKUP"&amp;"(D6315,IMPORTRANGE(""https://docs.google.com/spreadsheets/d/14Bd19lYaqBhU8_DElYkX7l4wRkHqqCUFNJY4AfY3kHU/edit?usp=sharing  #gid=0"",""фіз особи new!relations_name_uo""),7,FALSE)
,
)
))"),"АРЕФ'ЄВ Андрій Сергійович")</f>
        <v>АРЕФ'ЄВ Андрій Сергійович</v>
      </c>
      <c r="G6314" s="7" t="s">
        <v>10</v>
      </c>
      <c r="H6314" s="7">
        <v>379</v>
      </c>
      <c r="I6314" s="8" t="str">
        <f ca="1">IFERROR(__xludf.DUMMYFUNCTION("IF
(
G6315=""фізична особа""
,
VLOOKUP(H6315,IMPORTRANGE(""https://docs.google.com/spreadsheets/d/14Bd19lYaqBhU8_DElYkX7l4wRkHqqCUFNJY4AfY3kHU/edit?usp=sharing  #gid=0"",""фіз особи new!relations_name""),6,FALSE)
,
(IF
(
G6315=""юридична особа""
,
VLOOKUP"&amp;"(H6315,IMPORTRANGE(""https://docs.google.com/spreadsheets/d/14Bd19lYaqBhU8_DElYkX7l4wRkHqqCUFNJY4AfY3kHU/edit?usp=sharing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4" s="7" t="s">
        <v>19</v>
      </c>
    </row>
    <row r="6315" spans="1:10" ht="13.2">
      <c r="A6315" s="7">
        <v>6314</v>
      </c>
      <c r="B6315" s="7">
        <v>1</v>
      </c>
      <c r="C6315" s="7" t="s">
        <v>10</v>
      </c>
      <c r="D6315" s="7">
        <v>5151</v>
      </c>
      <c r="E6315" s="7" t="s">
        <v>22</v>
      </c>
      <c r="F6315" s="8" t="str">
        <f ca="1">IFERROR(__xludf.DUMMYFUNCTION("IF
(
C6316=""фізична особа""
,
VLOOKUP(D6316,IMPORTRANGE(""https://docs.google.com/spreadsheets/d/14Bd19lYaqBhU8_DElYkX7l4wRkHqqCUFNJY4AfY3kHU/edit?usp=sharing  #gid=0"",""фіз особи new!relations_name""),6,FALSE)
,
(IF
(
C6316=""юридична особа""
,
VLOOKUP"&amp;"(D6316,IMPORTRANGE(""https://docs.google.com/spreadsheets/d/14Bd19lYaqBhU8_DElYkX7l4wRkHqqCUFNJY4AfY3kHU/edit?usp=sharing  #gid=0"",""фіз особи new!relations_name_uo""),7,FALSE)
,
)
))"),"МЯЧИНА Маргарита Сергіївна")</f>
        <v>МЯЧИНА Маргарита Сергіївна</v>
      </c>
      <c r="G6315" s="7" t="s">
        <v>10</v>
      </c>
      <c r="H6315" s="7">
        <v>379</v>
      </c>
      <c r="I6315" s="8" t="str">
        <f ca="1">IFERROR(__xludf.DUMMYFUNCTION("IF
(
G6316=""фізична особа""
,
VLOOKUP(H6316,IMPORTRANGE(""https://docs.google.com/spreadsheets/d/14Bd19lYaqBhU8_DElYkX7l4wRkHqqCUFNJY4AfY3kHU/edit?usp=sharing  #gid=0"",""фіз особи new!relations_name""),6,FALSE)
,
(IF
(
G6316=""юридична особа""
,
VLOOKUP"&amp;"(H6316,IMPORTRANGE(""https://docs.google.com/spreadsheets/d/14Bd19lYaqBhU8_DElYkX7l4wRkHqqCUFNJY4AfY3kHU/edit?usp=sharing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5" s="7" t="s">
        <v>19</v>
      </c>
    </row>
    <row r="6316" spans="1:10" ht="13.2">
      <c r="A6316" s="7">
        <v>6315</v>
      </c>
      <c r="B6316" s="7">
        <v>1</v>
      </c>
      <c r="C6316" s="7" t="s">
        <v>10</v>
      </c>
      <c r="D6316" s="7">
        <v>5152</v>
      </c>
      <c r="E6316" s="7" t="s">
        <v>64</v>
      </c>
      <c r="F6316" s="8" t="str">
        <f ca="1">IFERROR(__xludf.DUMMYFUNCTION("IF
(
C6317=""фізична особа""
,
VLOOKUP(D6317,IMPORTRANGE(""https://docs.google.com/spreadsheets/d/14Bd19lYaqBhU8_DElYkX7l4wRkHqqCUFNJY4AfY3kHU/edit?usp=sharing  #gid=0"",""фіз особи new!relations_name""),6,FALSE)
,
(IF
(
C6317=""юридична особа""
,
VLOOKUP"&amp;"(D6317,IMPORTRANGE(""https://docs.google.com/spreadsheets/d/14Bd19lYaqBhU8_DElYkX7l4wRkHqqCUFNJY4AfY3kHU/edit?usp=sharing  #gid=0"",""фіз особи new!relations_name_uo""),7,FALSE)
,
)
))"),"РЕМЕЗКОВА Євгенія Євгеніївна")</f>
        <v>РЕМЕЗКОВА Євгенія Євгеніївна</v>
      </c>
      <c r="G6316" s="7" t="s">
        <v>10</v>
      </c>
      <c r="H6316" s="7">
        <v>379</v>
      </c>
      <c r="I6316" s="8" t="str">
        <f ca="1">IFERROR(__xludf.DUMMYFUNCTION("IF
(
G6317=""фізична особа""
,
VLOOKUP(H6317,IMPORTRANGE(""https://docs.google.com/spreadsheets/d/14Bd19lYaqBhU8_DElYkX7l4wRkHqqCUFNJY4AfY3kHU/edit?usp=sharing  #gid=0"",""фіз особи new!relations_name""),6,FALSE)
,
(IF
(
G6317=""юридична особа""
,
VLOOKUP"&amp;"(H6317,IMPORTRANGE(""https://docs.google.com/spreadsheets/d/14Bd19lYaqBhU8_DElYkX7l4wRkHqqCUFNJY4AfY3kHU/edit?usp=sharing  #gid=0"",""фіз особи new!relations_name_uo""),7,FALSE)
,
)
))"),"РЕМЕЗКОВ Олександр Олександрович")</f>
        <v>РЕМЕЗКОВ Олександр Олександрович</v>
      </c>
      <c r="J6316" s="7" t="s">
        <v>65</v>
      </c>
    </row>
    <row r="6317" spans="1:10" ht="13.2">
      <c r="A6317" s="7">
        <v>6316</v>
      </c>
      <c r="B6317" s="7">
        <v>1</v>
      </c>
      <c r="C6317" s="7" t="s">
        <v>10</v>
      </c>
      <c r="D6317" s="7">
        <v>5153</v>
      </c>
      <c r="E6317" s="7" t="s">
        <v>17</v>
      </c>
      <c r="F6317" s="8" t="str">
        <f ca="1">IFERROR(__xludf.DUMMYFUNCTION("IF
(
C6318=""фізична особа""
,
VLOOKUP(D6318,IMPORTRANGE(""https://docs.google.com/spreadsheets/d/14Bd19lYaqBhU8_DElYkX7l4wRkHqqCUFNJY4AfY3kHU/edit?usp=sharing  #gid=0"",""фіз особи new!relations_name""),6,FALSE)
,
(IF
(
C6318=""юридична особа""
,
VLOOKUP"&amp;"(D6318,IMPORTRANGE(""https://docs.google.com/spreadsheets/d/14Bd19lYaqBhU8_DElYkX7l4wRkHqqCUFNJY4AfY3kHU/edit?usp=sharing  #gid=0"",""фіз особи new!relations_name_uo""),7,FALSE)
,
)
))"),"ІВЛЕВ Юрій Леонідович")</f>
        <v>ІВЛЕВ Юрій Леонідович</v>
      </c>
      <c r="G6317" s="7" t="s">
        <v>10</v>
      </c>
      <c r="H6317" s="7">
        <v>395</v>
      </c>
      <c r="I6317" s="8" t="str">
        <f ca="1">IFERROR(__xludf.DUMMYFUNCTION("IF
(
G6318=""фізична особа""
,
VLOOKUP(H6318,IMPORTRANGE(""https://docs.google.com/spreadsheets/d/14Bd19lYaqBhU8_DElYkX7l4wRkHqqCUFNJY4AfY3kHU/edit?usp=sharing  #gid=0"",""фіз особи new!relations_name""),6,FALSE)
,
(IF
(
G6318=""юридична особа""
,
VLOOKUP"&amp;"(H6318,IMPORTRANGE(""https://docs.google.com/spreadsheets/d/14Bd19lYaqBhU8_DElYkX7l4wRkHqqCUFNJY4AfY3kHU/edit?usp=sharing  #gid=0"",""фіз особи new!relations_name_uo""),7,FALSE)
,
)
))"),"ІВЛЄВ Леонід Григорович")</f>
        <v>ІВЛЄВ Леонід Григорович</v>
      </c>
      <c r="J6317" s="7" t="s">
        <v>12</v>
      </c>
    </row>
    <row r="6318" spans="1:10" ht="13.2">
      <c r="A6318" s="7">
        <v>6317</v>
      </c>
      <c r="B6318" s="7">
        <v>1</v>
      </c>
      <c r="C6318" s="7" t="s">
        <v>10</v>
      </c>
      <c r="D6318" s="7">
        <v>5154</v>
      </c>
      <c r="E6318" s="7" t="s">
        <v>17</v>
      </c>
      <c r="F6318" s="8" t="str">
        <f ca="1">IFERROR(__xludf.DUMMYFUNCTION("IF
(
C6319=""фізична особа""
,
VLOOKUP(D6319,IMPORTRANGE(""https://docs.google.com/spreadsheets/d/14Bd19lYaqBhU8_DElYkX7l4wRkHqqCUFNJY4AfY3kHU/edit?usp=sharing  #gid=0"",""фіз особи new!relations_name""),6,FALSE)
,
(IF
(
C6319=""юридична особа""
,
VLOOKUP"&amp;"(D6319,IMPORTRANGE(""https://docs.google.com/spreadsheets/d/14Bd19lYaqBhU8_DElYkX7l4wRkHqqCUFNJY4AfY3kHU/edit?usp=sharing  #gid=0"",""фіз особи new!relations_name_uo""),7,FALSE)
,
)
))"),"БАБАШОВ Артур Леонідович")</f>
        <v>БАБАШОВ Артур Леонідович</v>
      </c>
      <c r="G6318" s="7" t="s">
        <v>10</v>
      </c>
      <c r="H6318" s="7">
        <v>396</v>
      </c>
      <c r="I6318" s="8" t="str">
        <f ca="1">IFERROR(__xludf.DUMMYFUNCTION("IF
(
G6319=""фізична особа""
,
VLOOKUP(H6319,IMPORTRANGE(""https://docs.google.com/spreadsheets/d/14Bd19lYaqBhU8_DElYkX7l4wRkHqqCUFNJY4AfY3kHU/edit?usp=sharing  #gid=0"",""фіз особи new!relations_name""),6,FALSE)
,
(IF
(
G6319=""юридична особа""
,
VLOOKUP"&amp;"(H6319,IMPORTRANGE(""https://docs.google.com/spreadsheets/d/14Bd19lYaqBhU8_DElYkX7l4wRkHqqCUFNJY4AfY3kHU/edit?usp=sharing  #gid=0"",""фіз особи new!relations_name_uo""),7,FALSE)
,
)
))"),"БАБАШОВ Леонід Іванович")</f>
        <v>БАБАШОВ Леонід Іванович</v>
      </c>
      <c r="J6318" s="7" t="s">
        <v>12</v>
      </c>
    </row>
    <row r="6319" spans="1:10" ht="13.2">
      <c r="A6319" s="7">
        <v>6318</v>
      </c>
      <c r="B6319" s="7">
        <v>1</v>
      </c>
      <c r="C6319" s="7" t="s">
        <v>10</v>
      </c>
      <c r="D6319" s="7">
        <v>5155</v>
      </c>
      <c r="E6319" s="7" t="s">
        <v>13</v>
      </c>
      <c r="F6319" s="8" t="str">
        <f ca="1">IFERROR(__xludf.DUMMYFUNCTION("IF
(
C6320=""фізична особа""
,
VLOOKUP(D6320,IMPORTRANGE(""https://docs.google.com/spreadsheets/d/14Bd19lYaqBhU8_DElYkX7l4wRkHqqCUFNJY4AfY3kHU/edit?usp=sharing  #gid=0"",""фіз особи new!relations_name""),6,FALSE)
,
(IF
(
C6320=""юридична особа""
,
VLOOKUP"&amp;"(D6320,IMPORTRANGE(""https://docs.google.com/spreadsheets/d/14Bd19lYaqBhU8_DElYkX7l4wRkHqqCUFNJY4AfY3kHU/edit?usp=sharing  #gid=0"",""фіз особи new!relations_name_uo""),7,FALSE)
,
)
))"),"БАБАШОВА Алла Леонідівна")</f>
        <v>БАБАШОВА Алла Леонідівна</v>
      </c>
      <c r="G6319" s="7" t="s">
        <v>10</v>
      </c>
      <c r="H6319" s="7">
        <v>396</v>
      </c>
      <c r="I6319" s="8" t="str">
        <f ca="1">IFERROR(__xludf.DUMMYFUNCTION("IF
(
G6320=""фізична особа""
,
VLOOKUP(H6320,IMPORTRANGE(""https://docs.google.com/spreadsheets/d/14Bd19lYaqBhU8_DElYkX7l4wRkHqqCUFNJY4AfY3kHU/edit?usp=sharing  #gid=0"",""фіз особи new!relations_name""),6,FALSE)
,
(IF
(
G6320=""юридична особа""
,
VLOOKUP"&amp;"(H6320,IMPORTRANGE(""https://docs.google.com/spreadsheets/d/14Bd19lYaqBhU8_DElYkX7l4wRkHqqCUFNJY4AfY3kHU/edit?usp=sharing  #gid=0"",""фіз особи new!relations_name_uo""),7,FALSE)
,
)
))"),"БАБАШОВ Леонід Іванович")</f>
        <v>БАБАШОВ Леонід Іванович</v>
      </c>
      <c r="J6319" s="7" t="s">
        <v>12</v>
      </c>
    </row>
    <row r="6320" spans="1:10" ht="13.2">
      <c r="A6320" s="7">
        <v>6319</v>
      </c>
      <c r="B6320" s="7">
        <v>1</v>
      </c>
      <c r="C6320" s="7" t="s">
        <v>10</v>
      </c>
      <c r="D6320" s="7">
        <v>5156</v>
      </c>
      <c r="E6320" s="7" t="s">
        <v>61</v>
      </c>
      <c r="F6320" s="8" t="str">
        <f ca="1">IFERROR(__xludf.DUMMYFUNCTION("IF
(
C6321=""фізична особа""
,
VLOOKUP(D6321,IMPORTRANGE(""https://docs.google.com/spreadsheets/d/14Bd19lYaqBhU8_DElYkX7l4wRkHqqCUFNJY4AfY3kHU/edit?usp=sharing  #gid=0"",""фіз особи new!relations_name""),6,FALSE)
,
(IF
(
C6321=""юридична особа""
,
VLOOKUP"&amp;"(D6321,IMPORTRANGE(""https://docs.google.com/spreadsheets/d/14Bd19lYaqBhU8_DElYkX7l4wRkHqqCUFNJY4AfY3kHU/edit?usp=sharing  #gid=0"",""фіз особи new!relations_name_uo""),7,FALSE)
,
)
))"),"БОРЦОВ Микола Юрійович")</f>
        <v>БОРЦОВ Микола Юрійович</v>
      </c>
      <c r="G6320" s="7" t="s">
        <v>10</v>
      </c>
      <c r="H6320" s="7">
        <v>515</v>
      </c>
      <c r="I6320" s="8" t="str">
        <f ca="1">IFERROR(__xludf.DUMMYFUNCTION("IF
(
G6321=""фізична особа""
,
VLOOKUP(H6321,IMPORTRANGE(""https://docs.google.com/spreadsheets/d/14Bd19lYaqBhU8_DElYkX7l4wRkHqqCUFNJY4AfY3kHU/edit?usp=sharing  #gid=0"",""фіз особи new!relations_name""),6,FALSE)
,
(IF
(
G6321=""юридична особа""
,
VLOOKUP"&amp;"(H6321,IMPORTRANGE(""https://docs.google.com/spreadsheets/d/14Bd19lYaqBhU8_DElYkX7l4wRkHqqCUFNJY4AfY3kHU/edit?usp=sharing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0" s="7" t="s">
        <v>109</v>
      </c>
    </row>
    <row r="6321" spans="1:10" ht="13.2">
      <c r="A6321" s="7">
        <v>6320</v>
      </c>
      <c r="B6321" s="7">
        <v>1</v>
      </c>
      <c r="C6321" s="7" t="s">
        <v>10</v>
      </c>
      <c r="D6321" s="7">
        <v>5157</v>
      </c>
      <c r="E6321" s="7" t="s">
        <v>61</v>
      </c>
      <c r="F6321" s="8" t="str">
        <f ca="1">IFERROR(__xludf.DUMMYFUNCTION("IF
(
C6322=""фізична особа""
,
VLOOKUP(D6322,IMPORTRANGE(""https://docs.google.com/spreadsheets/d/14Bd19lYaqBhU8_DElYkX7l4wRkHqqCUFNJY4AfY3kHU/edit?usp=sharing  #gid=0"",""фіз особи new!relations_name""),6,FALSE)
,
(IF
(
C6322=""юридична особа""
,
VLOOKUP"&amp;"(D6322,IMPORTRANGE(""https://docs.google.com/spreadsheets/d/14Bd19lYaqBhU8_DElYkX7l4wRkHqqCUFNJY4AfY3kHU/edit?usp=sharing  #gid=0"",""фіз особи new!relations_name_uo""),7,FALSE)
,
)
))"),"БОРЦОВ Михайло Юрійович")</f>
        <v>БОРЦОВ Михайло Юрійович</v>
      </c>
      <c r="G6321" s="7" t="s">
        <v>10</v>
      </c>
      <c r="H6321" s="7">
        <v>515</v>
      </c>
      <c r="I6321" s="8" t="str">
        <f ca="1">IFERROR(__xludf.DUMMYFUNCTION("IF
(
G6322=""фізична особа""
,
VLOOKUP(H6322,IMPORTRANGE(""https://docs.google.com/spreadsheets/d/14Bd19lYaqBhU8_DElYkX7l4wRkHqqCUFNJY4AfY3kHU/edit?usp=sharing  #gid=0"",""фіз особи new!relations_name""),6,FALSE)
,
(IF
(
G6322=""юридична особа""
,
VLOOKUP"&amp;"(H6322,IMPORTRANGE(""https://docs.google.com/spreadsheets/d/14Bd19lYaqBhU8_DElYkX7l4wRkHqqCUFNJY4AfY3kHU/edit?usp=sharing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1" s="7" t="s">
        <v>109</v>
      </c>
    </row>
    <row r="6322" spans="1:10" ht="13.2">
      <c r="A6322" s="7">
        <v>6321</v>
      </c>
      <c r="B6322" s="7">
        <v>1</v>
      </c>
      <c r="C6322" s="7" t="s">
        <v>10</v>
      </c>
      <c r="D6322" s="7">
        <v>5158</v>
      </c>
      <c r="E6322" s="7" t="s">
        <v>61</v>
      </c>
      <c r="F6322" s="8" t="str">
        <f ca="1">IFERROR(__xludf.DUMMYFUNCTION("IF
(
C6323=""фізична особа""
,
VLOOKUP(D6323,IMPORTRANGE(""https://docs.google.com/spreadsheets/d/14Bd19lYaqBhU8_DElYkX7l4wRkHqqCUFNJY4AfY3kHU/edit?usp=sharing  #gid=0"",""фіз особи new!relations_name""),6,FALSE)
,
(IF
(
C6323=""юридична особа""
,
VLOOKUP"&amp;"(D6323,IMPORTRANGE(""https://docs.google.com/spreadsheets/d/14Bd19lYaqBhU8_DElYkX7l4wRkHqqCUFNJY4AfY3kHU/edit?usp=sharing  #gid=0"",""фіз особи new!relations_name_uo""),7,FALSE)
,
)
))"),"БОРЦОВ Святослав Юрійович")</f>
        <v>БОРЦОВ Святослав Юрійович</v>
      </c>
      <c r="G6322" s="7" t="s">
        <v>10</v>
      </c>
      <c r="H6322" s="7">
        <v>515</v>
      </c>
      <c r="I6322" s="8" t="str">
        <f ca="1">IFERROR(__xludf.DUMMYFUNCTION("IF
(
G6323=""фізична особа""
,
VLOOKUP(H6323,IMPORTRANGE(""https://docs.google.com/spreadsheets/d/14Bd19lYaqBhU8_DElYkX7l4wRkHqqCUFNJY4AfY3kHU/edit?usp=sharing  #gid=0"",""фіз особи new!relations_name""),6,FALSE)
,
(IF
(
G6323=""юридична особа""
,
VLOOKUP"&amp;"(H6323,IMPORTRANGE(""https://docs.google.com/spreadsheets/d/14Bd19lYaqBhU8_DElYkX7l4wRkHqqCUFNJY4AfY3kHU/edit?usp=sharing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2" s="7" t="s">
        <v>109</v>
      </c>
    </row>
    <row r="6323" spans="1:10" ht="13.2">
      <c r="A6323" s="7">
        <v>6322</v>
      </c>
      <c r="B6323" s="7">
        <v>1</v>
      </c>
      <c r="C6323" s="7" t="s">
        <v>10</v>
      </c>
      <c r="D6323" s="7">
        <v>5159</v>
      </c>
      <c r="E6323" s="7" t="s">
        <v>15</v>
      </c>
      <c r="F6323" s="8" t="str">
        <f ca="1">IFERROR(__xludf.DUMMYFUNCTION("IF
(
C6324=""фізична особа""
,
VLOOKUP(D6324,IMPORTRANGE(""https://docs.google.com/spreadsheets/d/14Bd19lYaqBhU8_DElYkX7l4wRkHqqCUFNJY4AfY3kHU/edit?usp=sharing  #gid=0"",""фіз особи new!relations_name""),6,FALSE)
,
(IF
(
C6324=""юридична особа""
,
VLOOKUP"&amp;"(D6324,IMPORTRANGE(""https://docs.google.com/spreadsheets/d/14Bd19lYaqBhU8_DElYkX7l4wRkHqqCUFNJY4AfY3kHU/edit?usp=sharing  #gid=0"",""фіз особи new!relations_name_uo""),7,FALSE)
,
)
))"),"БОРЦОВА Ніна Олексіївна")</f>
        <v>БОРЦОВА Ніна Олексіївна</v>
      </c>
      <c r="G6323" s="7" t="s">
        <v>10</v>
      </c>
      <c r="H6323" s="7">
        <v>515</v>
      </c>
      <c r="I6323" s="8" t="str">
        <f ca="1">IFERROR(__xludf.DUMMYFUNCTION("IF
(
G6324=""фізична особа""
,
VLOOKUP(H6324,IMPORTRANGE(""https://docs.google.com/spreadsheets/d/14Bd19lYaqBhU8_DElYkX7l4wRkHqqCUFNJY4AfY3kHU/edit?usp=sharing  #gid=0"",""фіз особи new!relations_name""),6,FALSE)
,
(IF
(
G6324=""юридична особа""
,
VLOOKUP"&amp;"(H6324,IMPORTRANGE(""https://docs.google.com/spreadsheets/d/14Bd19lYaqBhU8_DElYkX7l4wRkHqqCUFNJY4AfY3kHU/edit?usp=sharing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3" s="7" t="s">
        <v>14</v>
      </c>
    </row>
    <row r="6324" spans="1:10" ht="13.2">
      <c r="A6324" s="7">
        <v>6323</v>
      </c>
      <c r="B6324" s="7">
        <v>1</v>
      </c>
      <c r="C6324" s="7" t="s">
        <v>10</v>
      </c>
      <c r="D6324" s="7">
        <v>5160</v>
      </c>
      <c r="E6324" s="7" t="s">
        <v>13</v>
      </c>
      <c r="F6324" s="8" t="str">
        <f ca="1">IFERROR(__xludf.DUMMYFUNCTION("IF
(
C6325=""фізична особа""
,
VLOOKUP(D6325,IMPORTRANGE(""https://docs.google.com/spreadsheets/d/14Bd19lYaqBhU8_DElYkX7l4wRkHqqCUFNJY4AfY3kHU/edit?usp=sharing  #gid=0"",""фіз особи new!relations_name""),6,FALSE)
,
(IF
(
C6325=""юридична особа""
,
VLOOKUP"&amp;"(D6325,IMPORTRANGE(""https://docs.google.com/spreadsheets/d/14Bd19lYaqBhU8_DElYkX7l4wRkHqqCUFNJY4AfY3kHU/edit?usp=sharing  #gid=0"",""фіз особи new!relations_name_uo""),7,FALSE)
,
)
))"),"БОРЦОВА Наталія Миколаївна")</f>
        <v>БОРЦОВА Наталія Миколаївна</v>
      </c>
      <c r="G6324" s="7" t="s">
        <v>10</v>
      </c>
      <c r="H6324" s="7">
        <v>515</v>
      </c>
      <c r="I6324" s="8" t="str">
        <f ca="1">IFERROR(__xludf.DUMMYFUNCTION("IF
(
G6325=""фізична особа""
,
VLOOKUP(H6325,IMPORTRANGE(""https://docs.google.com/spreadsheets/d/14Bd19lYaqBhU8_DElYkX7l4wRkHqqCUFNJY4AfY3kHU/edit?usp=sharing  #gid=0"",""фіз особи new!relations_name""),6,FALSE)
,
(IF
(
G6325=""юридична особа""
,
VLOOKUP"&amp;"(H6325,IMPORTRANGE(""https://docs.google.com/spreadsheets/d/14Bd19lYaqBhU8_DElYkX7l4wRkHqqCUFNJY4AfY3kHU/edit?usp=sharing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4" s="7" t="s">
        <v>12</v>
      </c>
    </row>
    <row r="6325" spans="1:10" ht="13.2">
      <c r="A6325" s="7">
        <v>6324</v>
      </c>
      <c r="B6325" s="7">
        <v>1</v>
      </c>
      <c r="C6325" s="7" t="s">
        <v>10</v>
      </c>
      <c r="D6325" s="7">
        <v>5162</v>
      </c>
      <c r="E6325" s="7" t="s">
        <v>25</v>
      </c>
      <c r="F6325" s="8" t="str">
        <f ca="1">IFERROR(__xludf.DUMMYFUNCTION("IF
(
C6326=""фізична особа""
,
VLOOKUP(D6326,IMPORTRANGE(""https://docs.google.com/spreadsheets/d/14Bd19lYaqBhU8_DElYkX7l4wRkHqqCUFNJY4AfY3kHU/edit?usp=sharing  #gid=0"",""фіз особи new!relations_name""),6,FALSE)
,
(IF
(
C6326=""юридична особа""
,
VLOOKUP"&amp;"(D6326,IMPORTRANGE(""https://docs.google.com/spreadsheets/d/14Bd19lYaqBhU8_DElYkX7l4wRkHqqCUFNJY4AfY3kHU/edit?usp=sharing  #gid=0"",""фіз особи new!relations_name_uo""),7,FALSE)
,
)
))"),"БОРЦОВА Влада Юріївна")</f>
        <v>БОРЦОВА Влада Юріївна</v>
      </c>
      <c r="G6325" s="7" t="s">
        <v>10</v>
      </c>
      <c r="H6325" s="7">
        <v>515</v>
      </c>
      <c r="I6325" s="8" t="str">
        <f ca="1">IFERROR(__xludf.DUMMYFUNCTION("IF
(
G6326=""фізична особа""
,
VLOOKUP(H6326,IMPORTRANGE(""https://docs.google.com/spreadsheets/d/14Bd19lYaqBhU8_DElYkX7l4wRkHqqCUFNJY4AfY3kHU/edit?usp=sharing  #gid=0"",""фіз особи new!relations_name""),6,FALSE)
,
(IF
(
G6326=""юридична особа""
,
VLOOKUP"&amp;"(H6326,IMPORTRANGE(""https://docs.google.com/spreadsheets/d/14Bd19lYaqBhU8_DElYkX7l4wRkHqqCUFNJY4AfY3kHU/edit?usp=sharing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5" s="7" t="s">
        <v>34</v>
      </c>
    </row>
    <row r="6326" spans="1:10" ht="13.2">
      <c r="A6326" s="7">
        <v>6325</v>
      </c>
      <c r="B6326" s="7">
        <v>1</v>
      </c>
      <c r="C6326" s="7" t="s">
        <v>10</v>
      </c>
      <c r="D6326" s="7">
        <v>5162</v>
      </c>
      <c r="E6326" s="7" t="s">
        <v>60</v>
      </c>
      <c r="F6326" s="8" t="str">
        <f ca="1">IFERROR(__xludf.DUMMYFUNCTION("IF
(
C6327=""фізична особа""
,
VLOOKUP(D6327,IMPORTRANGE(""https://docs.google.com/spreadsheets/d/14Bd19lYaqBhU8_DElYkX7l4wRkHqqCUFNJY4AfY3kHU/edit?usp=sharing  #gid=0"",""фіз особи new!relations_name""),6,FALSE)
,
(IF
(
C6327=""юридична особа""
,
VLOOKUP"&amp;"(D6327,IMPORTRANGE(""https://docs.google.com/spreadsheets/d/14Bd19lYaqBhU8_DElYkX7l4wRkHqqCUFNJY4AfY3kHU/edit?usp=sharing  #gid=0"",""фіз особи new!relations_name_uo""),7,FALSE)
,
)
))"),"БОРЦОВА Влада Юріївна")</f>
        <v>БОРЦОВА Влада Юріївна</v>
      </c>
      <c r="G6326" s="7" t="s">
        <v>10</v>
      </c>
      <c r="H6326" s="7">
        <v>515</v>
      </c>
      <c r="I6326" s="8" t="str">
        <f ca="1">IFERROR(__xludf.DUMMYFUNCTION("IF
(
G6327=""фізична особа""
,
VLOOKUP(H6327,IMPORTRANGE(""https://docs.google.com/spreadsheets/d/14Bd19lYaqBhU8_DElYkX7l4wRkHqqCUFNJY4AfY3kHU/edit?usp=sharing  #gid=0"",""фіз особи new!relations_name""),6,FALSE)
,
(IF
(
G6327=""юридична особа""
,
VLOOKUP"&amp;"(H6327,IMPORTRANGE(""https://docs.google.com/spreadsheets/d/14Bd19lYaqBhU8_DElYkX7l4wRkHqqCUFNJY4AfY3kHU/edit?usp=sharing  #gid=0"",""фіз особи new!relations_name_uo""),7,FALSE)
,
)
))"),"БОРЦОВ Микола Іванович")</f>
        <v>БОРЦОВ Микола Іванович</v>
      </c>
      <c r="J6326" s="7" t="s">
        <v>109</v>
      </c>
    </row>
    <row r="6327" spans="1:10" ht="13.2">
      <c r="A6327" s="7">
        <v>6326</v>
      </c>
      <c r="B6327" s="7">
        <v>1</v>
      </c>
      <c r="C6327" s="7" t="s">
        <v>10</v>
      </c>
      <c r="D6327" s="7">
        <v>5163</v>
      </c>
      <c r="E6327" s="7" t="s">
        <v>15</v>
      </c>
      <c r="F6327" s="8" t="str">
        <f ca="1">IFERROR(__xludf.DUMMYFUNCTION("IF
(
C6328=""фізична особа""
,
VLOOKUP(D6328,IMPORTRANGE(""https://docs.google.com/spreadsheets/d/14Bd19lYaqBhU8_DElYkX7l4wRkHqqCUFNJY4AfY3kHU/edit?usp=sharing  #gid=0"",""фіз особи new!relations_name""),6,FALSE)
,
(IF
(
C6328=""юридична особа""
,
VLOOKUP"&amp;"(D6328,IMPORTRANGE(""https://docs.google.com/spreadsheets/d/14Bd19lYaqBhU8_DElYkX7l4wRkHqqCUFNJY4AfY3kHU/edit?usp=sharing  #gid=0"",""фіз особи new!relations_name_uo""),7,FALSE)
,
)
))"),"ХАРИТОНОВА Ніна Євгеніївна")</f>
        <v>ХАРИТОНОВА Ніна Євгеніївна</v>
      </c>
      <c r="G6327" s="7" t="s">
        <v>10</v>
      </c>
      <c r="H6327" s="7">
        <v>518</v>
      </c>
      <c r="I6327" s="8" t="str">
        <f ca="1">IFERROR(__xludf.DUMMYFUNCTION("IF
(
G6328=""фізична особа""
,
VLOOKUP(H6328,IMPORTRANGE(""https://docs.google.com/spreadsheets/d/14Bd19lYaqBhU8_DElYkX7l4wRkHqqCUFNJY4AfY3kHU/edit?usp=sharing  #gid=0"",""фіз особи new!relations_name""),6,FALSE)
,
(IF
(
G6328=""юридична особа""
,
VLOOKUP"&amp;"(H6328,IMPORTRANGE(""https://docs.google.com/spreadsheets/d/14Bd19lYaqBhU8_DElYkX7l4wRkHqqCUFNJY4AfY3kHU/edit?usp=sharing  #gid=0"",""фіз особи new!relations_name_uo""),7,FALSE)
,
)
))"),"ХАРИТОНОВ Микола Михайлович")</f>
        <v>ХАРИТОНОВ Микола Михайлович</v>
      </c>
      <c r="J6327" s="7" t="s">
        <v>14</v>
      </c>
    </row>
    <row r="6328" spans="1:10" ht="13.2">
      <c r="A6328" s="7">
        <v>6327</v>
      </c>
      <c r="B6328" s="7">
        <v>1</v>
      </c>
      <c r="C6328" s="7" t="s">
        <v>10</v>
      </c>
      <c r="D6328" s="7">
        <v>5164</v>
      </c>
      <c r="E6328" s="7" t="s">
        <v>13</v>
      </c>
      <c r="F6328" s="8" t="str">
        <f ca="1">IFERROR(__xludf.DUMMYFUNCTION("IF
(
C6329=""фізична особа""
,
VLOOKUP(D6329,IMPORTRANGE(""https://docs.google.com/spreadsheets/d/14Bd19lYaqBhU8_DElYkX7l4wRkHqqCUFNJY4AfY3kHU/edit?usp=sharing  #gid=0"",""фіз особи new!relations_name""),6,FALSE)
,
(IF
(
C6329=""юридична особа""
,
VLOOKUP"&amp;"(D6329,IMPORTRANGE(""https://docs.google.com/spreadsheets/d/14Bd19lYaqBhU8_DElYkX7l4wRkHqqCUFNJY4AfY3kHU/edit?usp=sharing  #gid=0"",""фіз особи new!relations_name_uo""),7,FALSE)
,
)
))"),"ХАРИТОНОВА Ніна Миколаївна")</f>
        <v>ХАРИТОНОВА Ніна Миколаївна</v>
      </c>
      <c r="G6328" s="7" t="s">
        <v>10</v>
      </c>
      <c r="H6328" s="7">
        <v>518</v>
      </c>
      <c r="I6328" s="8" t="str">
        <f ca="1">IFERROR(__xludf.DUMMYFUNCTION("IF
(
G6329=""фізична особа""
,
VLOOKUP(H6329,IMPORTRANGE(""https://docs.google.com/spreadsheets/d/14Bd19lYaqBhU8_DElYkX7l4wRkHqqCUFNJY4AfY3kHU/edit?usp=sharing  #gid=0"",""фіз особи new!relations_name""),6,FALSE)
,
(IF
(
G6329=""юридична особа""
,
VLOOKUP"&amp;"(H6329,IMPORTRANGE(""https://docs.google.com/spreadsheets/d/14Bd19lYaqBhU8_DElYkX7l4wRkHqqCUFNJY4AfY3kHU/edit?usp=sharing  #gid=0"",""фіз особи new!relations_name_uo""),7,FALSE)
,
)
))"),"ХАРИТОНОВ Микола Михайлович")</f>
        <v>ХАРИТОНОВ Микола Михайлович</v>
      </c>
      <c r="J6328" s="7" t="s">
        <v>12</v>
      </c>
    </row>
    <row r="6329" spans="1:10" ht="13.2">
      <c r="A6329" s="7">
        <v>6328</v>
      </c>
      <c r="B6329" s="7">
        <v>1</v>
      </c>
      <c r="C6329" s="7" t="s">
        <v>10</v>
      </c>
      <c r="D6329" s="7">
        <v>5165</v>
      </c>
      <c r="E6329" s="7" t="s">
        <v>15</v>
      </c>
      <c r="F6329" s="8" t="str">
        <f ca="1">IFERROR(__xludf.DUMMYFUNCTION("IF
(
C6330=""фізична особа""
,
VLOOKUP(D6330,IMPORTRANGE(""https://docs.google.com/spreadsheets/d/14Bd19lYaqBhU8_DElYkX7l4wRkHqqCUFNJY4AfY3kHU/edit?usp=sharing  #gid=0"",""фіз особи new!relations_name""),6,FALSE)
,
(IF
(
C6330=""юридична особа""
,
VLOOKUP"&amp;"(D6330,IMPORTRANGE(""https://docs.google.com/spreadsheets/d/14Bd19lYaqBhU8_DElYkX7l4wRkHqqCUFNJY4AfY3kHU/edit?usp=sharing  #gid=0"",""фіз особи new!relations_name_uo""),7,FALSE)
,
)
))"),"ЄЗЕРСЬКА / ГОРОДИЛОВА Ольга Миколаївна")</f>
        <v>ЄЗЕРСЬКА / ГОРОДИЛОВА Ольга Миколаївна</v>
      </c>
      <c r="G6329" s="7" t="s">
        <v>10</v>
      </c>
      <c r="H6329" s="7">
        <v>519</v>
      </c>
      <c r="I6329" s="8" t="str">
        <f ca="1">IFERROR(__xludf.DUMMYFUNCTION("IF
(
G6330=""фізична особа""
,
VLOOKUP(H6330,IMPORTRANGE(""https://docs.google.com/spreadsheets/d/14Bd19lYaqBhU8_DElYkX7l4wRkHqqCUFNJY4AfY3kHU/edit?usp=sharing  #gid=0"",""фіз особи new!relations_name""),6,FALSE)
,
(IF
(
G6330=""юридична особа""
,
VLOOKUP"&amp;"(H6330,IMPORTRANGE(""https://docs.google.com/spreadsheets/d/14Bd19lYaqBhU8_DElYkX7l4wRkHqqCUFNJY4AfY3kHU/edit?usp=sharing  #gid=0"",""фіз особи new!relations_name_uo""),7,FALSE)
,
)
))"),"ЄЗЕРСЬКИЙ Микола Миколайович")</f>
        <v>ЄЗЕРСЬКИЙ Микола Миколайович</v>
      </c>
      <c r="J6329" s="7" t="s">
        <v>14</v>
      </c>
    </row>
    <row r="6330" spans="1:10" ht="13.2">
      <c r="A6330" s="7">
        <v>6329</v>
      </c>
      <c r="B6330" s="7">
        <v>1</v>
      </c>
      <c r="C6330" s="7" t="s">
        <v>10</v>
      </c>
      <c r="D6330" s="7">
        <v>5166</v>
      </c>
      <c r="E6330" s="7" t="s">
        <v>13</v>
      </c>
      <c r="F6330" s="8" t="str">
        <f ca="1">IFERROR(__xludf.DUMMYFUNCTION("IF
(
C6331=""фізична особа""
,
VLOOKUP(D6331,IMPORTRANGE(""https://docs.google.com/spreadsheets/d/14Bd19lYaqBhU8_DElYkX7l4wRkHqqCUFNJY4AfY3kHU/edit?usp=sharing  #gid=0"",""фіз особи new!relations_name""),6,FALSE)
,
(IF
(
C6331=""юридична особа""
,
VLOOKUP"&amp;"(D6331,IMPORTRANGE(""https://docs.google.com/spreadsheets/d/14Bd19lYaqBhU8_DElYkX7l4wRkHqqCUFNJY4AfY3kHU/edit?usp=sharing  #gid=0"",""фіз особи new!relations_name_uo""),7,FALSE)
,
)
))"),"ЄЗЕРСЬКА Ксенія Миколаївна")</f>
        <v>ЄЗЕРСЬКА Ксенія Миколаївна</v>
      </c>
      <c r="G6330" s="7" t="s">
        <v>10</v>
      </c>
      <c r="H6330" s="7">
        <v>519</v>
      </c>
      <c r="I6330" s="8" t="str">
        <f ca="1">IFERROR(__xludf.DUMMYFUNCTION("IF
(
G6331=""фізична особа""
,
VLOOKUP(H6331,IMPORTRANGE(""https://docs.google.com/spreadsheets/d/14Bd19lYaqBhU8_DElYkX7l4wRkHqqCUFNJY4AfY3kHU/edit?usp=sharing  #gid=0"",""фіз особи new!relations_name""),6,FALSE)
,
(IF
(
G6331=""юридична особа""
,
VLOOKUP"&amp;"(H6331,IMPORTRANGE(""https://docs.google.com/spreadsheets/d/14Bd19lYaqBhU8_DElYkX7l4wRkHqqCUFNJY4AfY3kHU/edit?usp=sharing  #gid=0"",""фіз особи new!relations_name_uo""),7,FALSE)
,
)
))"),"ЄЗЕРСЬКИЙ Микола Миколайович")</f>
        <v>ЄЗЕРСЬКИЙ Микола Миколайович</v>
      </c>
      <c r="J6330" s="7" t="s">
        <v>12</v>
      </c>
    </row>
    <row r="6331" spans="1:10" ht="13.2">
      <c r="A6331" s="7">
        <v>6330</v>
      </c>
      <c r="B6331" s="7">
        <v>1</v>
      </c>
      <c r="C6331" s="7" t="s">
        <v>10</v>
      </c>
      <c r="D6331" s="7">
        <v>5167</v>
      </c>
      <c r="E6331" s="7" t="s">
        <v>15</v>
      </c>
      <c r="F6331" s="8" t="str">
        <f ca="1">IFERROR(__xludf.DUMMYFUNCTION("IF
(
C6332=""фізична особа""
,
VLOOKUP(D6332,IMPORTRANGE(""https://docs.google.com/spreadsheets/d/14Bd19lYaqBhU8_DElYkX7l4wRkHqqCUFNJY4AfY3kHU/edit?usp=sharing  #gid=0"",""фіз особи new!relations_name""),6,FALSE)
,
(IF
(
C6332=""юридична особа""
,
VLOOKUP"&amp;"(D6332,IMPORTRANGE(""https://docs.google.com/spreadsheets/d/14Bd19lYaqBhU8_DElYkX7l4wRkHqqCUFNJY4AfY3kHU/edit?usp=sharing  #gid=0"",""фіз особи new!relations_name_uo""),7,FALSE)
,
)
))"),"АРЕФ'ЄВА Надія Юріївна")</f>
        <v>АРЕФ'ЄВА Надія Юріївна</v>
      </c>
      <c r="G6331" s="7" t="s">
        <v>10</v>
      </c>
      <c r="H6331" s="7">
        <v>522</v>
      </c>
      <c r="I6331" s="8" t="str">
        <f ca="1">IFERROR(__xludf.DUMMYFUNCTION("IF
(
G6332=""фізична особа""
,
VLOOKUP(H6332,IMPORTRANGE(""https://docs.google.com/spreadsheets/d/14Bd19lYaqBhU8_DElYkX7l4wRkHqqCUFNJY4AfY3kHU/edit?usp=sharing  #gid=0"",""фіз особи new!relations_name""),6,FALSE)
,
(IF
(
G6332=""юридична особа""
,
VLOOKUP"&amp;"(H6332,IMPORTRANGE(""https://docs.google.com/spreadsheets/d/14Bd19lYaqBhU8_DElYkX7l4wRkHqqCUFNJY4AfY3kHU/edit?usp=sharing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J6331" s="7" t="s">
        <v>14</v>
      </c>
    </row>
    <row r="6332" spans="1:10" ht="13.2">
      <c r="A6332" s="7">
        <v>6331</v>
      </c>
      <c r="B6332" s="7">
        <v>1</v>
      </c>
      <c r="C6332" s="7" t="s">
        <v>10</v>
      </c>
      <c r="D6332" s="7">
        <v>5168</v>
      </c>
      <c r="E6332" s="7" t="s">
        <v>17</v>
      </c>
      <c r="F6332" s="8" t="str">
        <f ca="1">IFERROR(__xludf.DUMMYFUNCTION("IF
(
C6333=""фізична особа""
,
VLOOKUP(D6333,IMPORTRANGE(""https://docs.google.com/spreadsheets/d/14Bd19lYaqBhU8_DElYkX7l4wRkHqqCUFNJY4AfY3kHU/edit?usp=sharing  #gid=0"",""фіз особи new!relations_name""),6,FALSE)
,
(IF
(
C6333=""юридична особа""
,
VLOOKUP"&amp;"(D6333,IMPORTRANGE(""https://docs.google.com/spreadsheets/d/14Bd19lYaqBhU8_DElYkX7l4wRkHqqCUFNJY4AfY3kHU/edit?usp=sharing  #gid=0"",""фіз особи new!relations_name_uo""),7,FALSE)
,
)
))"),"АРЕФ'ЄВ Олександр Миколайович")</f>
        <v>АРЕФ'ЄВ Олександр Миколайович</v>
      </c>
      <c r="G6332" s="7" t="s">
        <v>10</v>
      </c>
      <c r="H6332" s="7">
        <v>522</v>
      </c>
      <c r="I6332" s="8" t="str">
        <f ca="1">IFERROR(__xludf.DUMMYFUNCTION("IF
(
G6333=""фізична особа""
,
VLOOKUP(H6333,IMPORTRANGE(""https://docs.google.com/spreadsheets/d/14Bd19lYaqBhU8_DElYkX7l4wRkHqqCUFNJY4AfY3kHU/edit?usp=sharing  #gid=0"",""фіз особи new!relations_name""),6,FALSE)
,
(IF
(
G6333=""юридична особа""
,
VLOOKUP"&amp;"(H6333,IMPORTRANGE(""https://docs.google.com/spreadsheets/d/14Bd19lYaqBhU8_DElYkX7l4wRkHqqCUFNJY4AfY3kHU/edit?usp=sharing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J6332" s="7" t="s">
        <v>12</v>
      </c>
    </row>
    <row r="6333" spans="1:10" ht="13.2">
      <c r="A6333" s="7">
        <v>6332</v>
      </c>
      <c r="B6333" s="7">
        <v>1</v>
      </c>
      <c r="C6333" s="7" t="s">
        <v>10</v>
      </c>
      <c r="D6333" s="7">
        <v>5169</v>
      </c>
      <c r="E6333" s="7" t="s">
        <v>17</v>
      </c>
      <c r="F6333" s="8" t="str">
        <f ca="1">IFERROR(__xludf.DUMMYFUNCTION("IF
(
C6334=""фізична особа""
,
VLOOKUP(D6334,IMPORTRANGE(""https://docs.google.com/spreadsheets/d/14Bd19lYaqBhU8_DElYkX7l4wRkHqqCUFNJY4AfY3kHU/edit?usp=sharing  #gid=0"",""фіз особи new!relations_name""),6,FALSE)
,
(IF
(
C6334=""юридична особа""
,
VLOOKUP"&amp;"(D6334,IMPORTRANGE(""https://docs.google.com/spreadsheets/d/14Bd19lYaqBhU8_DElYkX7l4wRkHqqCUFNJY4AfY3kHU/edit?usp=sharing  #gid=0"",""фіз особи new!relations_name_uo""),7,FALSE)
,
)
))"),"АРЕФ'ЄВ Володимир Миколайович")</f>
        <v>АРЕФ'ЄВ Володимир Миколайович</v>
      </c>
      <c r="G6333" s="7" t="s">
        <v>10</v>
      </c>
      <c r="H6333" s="7">
        <v>522</v>
      </c>
      <c r="I6333" s="8" t="str">
        <f ca="1">IFERROR(__xludf.DUMMYFUNCTION("IF
(
G6334=""фізична особа""
,
VLOOKUP(H6334,IMPORTRANGE(""https://docs.google.com/spreadsheets/d/14Bd19lYaqBhU8_DElYkX7l4wRkHqqCUFNJY4AfY3kHU/edit?usp=sharing  #gid=0"",""фіз особи new!relations_name""),6,FALSE)
,
(IF
(
G6334=""юридична особа""
,
VLOOKUP"&amp;"(H6334,IMPORTRANGE(""https://docs.google.com/spreadsheets/d/14Bd19lYaqBhU8_DElYkX7l4wRkHqqCUFNJY4AfY3kHU/edit?usp=sharing  #gid=0"",""фіз особи new!relations_name_uo""),7,FALSE)
,
)
))"),"АРЕФ'ЄВ Микола Васильович")</f>
        <v>АРЕФ'ЄВ Микола Васильович</v>
      </c>
      <c r="J6333" s="7" t="s">
        <v>12</v>
      </c>
    </row>
    <row r="6334" spans="1:10" ht="13.2">
      <c r="A6334" s="7">
        <v>6333</v>
      </c>
      <c r="B6334" s="7">
        <v>1</v>
      </c>
      <c r="C6334" s="7" t="s">
        <v>10</v>
      </c>
      <c r="D6334" s="7">
        <v>5170</v>
      </c>
      <c r="E6334" s="7" t="s">
        <v>21</v>
      </c>
      <c r="F6334" s="8" t="str">
        <f ca="1">IFERROR(__xludf.DUMMYFUNCTION("IF
(
C6335=""фізична особа""
,
VLOOKUP(D6335,IMPORTRANGE(""https://docs.google.com/spreadsheets/d/14Bd19lYaqBhU8_DElYkX7l4wRkHqqCUFNJY4AfY3kHU/edit?usp=sharing  #gid=0"",""фіз особи new!relations_name""),6,FALSE)
,
(IF
(
C6335=""юридична особа""
,
VLOOKUP"&amp;"(D6335,IMPORTRANGE(""https://docs.google.com/spreadsheets/d/14Bd19lYaqBhU8_DElYkX7l4wRkHqqCUFNJY4AfY3kHU/edit?usp=sharing  #gid=0"",""фіз особи new!relations_name_uo""),7,FALSE)
,
)
))"),"ПАНКОВА Ніна Олексіївна")</f>
        <v>ПАНКОВА Ніна Олексіївна</v>
      </c>
      <c r="G6334" s="7" t="s">
        <v>10</v>
      </c>
      <c r="H6334" s="7">
        <v>524</v>
      </c>
      <c r="I6334" s="8" t="str">
        <f ca="1">IFERROR(__xludf.DUMMYFUNCTION("IF
(
G6335=""фізична особа""
,
VLOOKUP(H6335,IMPORTRANGE(""https://docs.google.com/spreadsheets/d/14Bd19lYaqBhU8_DElYkX7l4wRkHqqCUFNJY4AfY3kHU/edit?usp=sharing  #gid=0"",""фіз особи new!relations_name""),6,FALSE)
,
(IF
(
G6335=""юридична особа""
,
VLOOKUP"&amp;"(H6335,IMPORTRANGE(""https://docs.google.com/spreadsheets/d/14Bd19lYaqBhU8_DElYkX7l4wRkHqqCUFNJY4AfY3kHU/edit?usp=sharing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J6334" s="7" t="s">
        <v>17</v>
      </c>
    </row>
    <row r="6335" spans="1:10" ht="13.2">
      <c r="A6335" s="7">
        <v>6334</v>
      </c>
      <c r="B6335" s="7">
        <v>1</v>
      </c>
      <c r="C6335" s="7" t="s">
        <v>10</v>
      </c>
      <c r="D6335" s="7">
        <v>5171</v>
      </c>
      <c r="E6335" s="7" t="s">
        <v>27</v>
      </c>
      <c r="F6335" s="8" t="str">
        <f ca="1">IFERROR(__xludf.DUMMYFUNCTION("IF
(
C6336=""фізична особа""
,
VLOOKUP(D6336,IMPORTRANGE(""https://docs.google.com/spreadsheets/d/14Bd19lYaqBhU8_DElYkX7l4wRkHqqCUFNJY4AfY3kHU/edit?usp=sharing  #gid=0"",""фіз особи new!relations_name""),6,FALSE)
,
(IF
(
C6336=""юридична особа""
,
VLOOKUP"&amp;"(D6336,IMPORTRANGE(""https://docs.google.com/spreadsheets/d/14Bd19lYaqBhU8_DElYkX7l4wRkHqqCUFNJY4AfY3kHU/edit?usp=sharing  #gid=0"",""фіз особи new!relations_name_uo""),7,FALSE)
,
)
))"),"НАЙДЕНОВА Клавдія Олексіївна")</f>
        <v>НАЙДЕНОВА Клавдія Олексіївна</v>
      </c>
      <c r="G6335" s="7" t="s">
        <v>10</v>
      </c>
      <c r="H6335" s="7">
        <v>524</v>
      </c>
      <c r="I6335" s="8" t="str">
        <f ca="1">IFERROR(__xludf.DUMMYFUNCTION("IF
(
G6336=""фізична особа""
,
VLOOKUP(H6336,IMPORTRANGE(""https://docs.google.com/spreadsheets/d/14Bd19lYaqBhU8_DElYkX7l4wRkHqqCUFNJY4AfY3kHU/edit?usp=sharing  #gid=0"",""фіз особи new!relations_name""),6,FALSE)
,
(IF
(
G6336=""юридична особа""
,
VLOOKUP"&amp;"(H6336,IMPORTRANGE(""https://docs.google.com/spreadsheets/d/14Bd19lYaqBhU8_DElYkX7l4wRkHqqCUFNJY4AfY3kHU/edit?usp=sharing  #gid=0"",""фіз особи new!relations_name_uo""),7,FALSE)
,
)
))"),"ПАНКОВ Микола Васильович")</f>
        <v>ПАНКОВ Микола Васильович</v>
      </c>
      <c r="J6335" s="7" t="s">
        <v>26</v>
      </c>
    </row>
    <row r="6336" spans="1:10" ht="13.2">
      <c r="A6336" s="7">
        <v>6335</v>
      </c>
      <c r="B6336" s="7">
        <v>1</v>
      </c>
      <c r="C6336" s="7" t="s">
        <v>10</v>
      </c>
      <c r="D6336" s="7">
        <v>5171</v>
      </c>
      <c r="E6336" s="7" t="s">
        <v>21</v>
      </c>
      <c r="F6336" s="8" t="str">
        <f ca="1">IFERROR(__xludf.DUMMYFUNCTION("IF
(
C6337=""фізична особа""
,
VLOOKUP(D6337,IMPORTRANGE(""https://docs.google.com/spreadsheets/d/14Bd19lYaqBhU8_DElYkX7l4wRkHqqCUFNJY4AfY3kHU/edit?usp=sharing  #gid=0"",""фіз особи new!relations_name""),6,FALSE)
,
(IF
(
C6337=""юридична особа""
,
VLOOKUP"&amp;"(D6337,IMPORTRANGE(""https://docs.google.com/spreadsheets/d/14Bd19lYaqBhU8_DElYkX7l4wRkHqqCUFNJY4AfY3kHU/edit?usp=sharing  #gid=0"",""фіз особи new!relations_name_uo""),7,FALSE)
,
)
))"),"НАЙДЕНОВА Клавдія Олексіївна")</f>
        <v>НАЙДЕНОВА Клавдія Олексіївна</v>
      </c>
      <c r="G6336" s="7" t="s">
        <v>10</v>
      </c>
      <c r="H6336" s="7">
        <v>4929</v>
      </c>
      <c r="I6336" s="8" t="str">
        <f ca="1">IFERROR(__xludf.DUMMYFUNCTION("IF
(
G6337=""фізична особа""
,
VLOOKUP(H6337,IMPORTRANGE(""https://docs.google.com/spreadsheets/d/14Bd19lYaqBhU8_DElYkX7l4wRkHqqCUFNJY4AfY3kHU/edit?usp=sharing  #gid=0"",""фіз особи new!relations_name""),6,FALSE)
,
(IF
(
G6337=""юридична особа""
,
VLOOKUP"&amp;"(H6337,IMPORTRANGE(""https://docs.google.com/spreadsheets/d/14Bd19lYaqBhU8_DElYkX7l4wRkHqqCUFNJY4AfY3kHU/edit?usp=sharing  #gid=0"",""фіз особи new!relations_name_uo""),7,FALSE)
,
)
))"),"ПАНКОВА Ірина Володимирівна")</f>
        <v>ПАНКОВА Ірина Володимирівна</v>
      </c>
      <c r="J6336" s="7" t="s">
        <v>13</v>
      </c>
    </row>
    <row r="6337" spans="1:10" ht="13.2">
      <c r="A6337" s="7">
        <v>6336</v>
      </c>
      <c r="B6337" s="7">
        <v>1</v>
      </c>
      <c r="C6337" s="7" t="s">
        <v>10</v>
      </c>
      <c r="D6337" s="7">
        <v>5263</v>
      </c>
      <c r="E6337" s="7" t="s">
        <v>30</v>
      </c>
      <c r="F6337" s="8" t="str">
        <f ca="1">IFERROR(__xludf.DUMMYFUNCTION("IF
(
C6338=""фізична особа""
,
VLOOKUP(D6338,IMPORTRANGE(""https://docs.google.com/spreadsheets/d/14Bd19lYaqBhU8_DElYkX7l4wRkHqqCUFNJY4AfY3kHU/edit?usp=sharing  #gid=0"",""фіз особи new!relations_name""),6,FALSE)
,
(IF
(
C6338=""юридична особа""
,
VLOOKUP"&amp;"(D6338,IMPORTRANGE(""https://docs.google.com/spreadsheets/d/14Bd19lYaqBhU8_DElYkX7l4wRkHqqCUFNJY4AfY3kHU/edit?usp=sharing  #gid=0"",""фіз особи new!relations_name_uo""),7,FALSE)
,
)
))"),"КОНОНЕНКО Петро Іванович")</f>
        <v>КОНОНЕНКО Петро Іванович</v>
      </c>
      <c r="G6337" s="7" t="s">
        <v>10</v>
      </c>
      <c r="H6337" s="7">
        <v>0</v>
      </c>
      <c r="I6337" s="8" t="str">
        <f ca="1">IFERROR(__xludf.DUMMYFUNCTION("IF
(
G6338=""фізична особа""
,
VLOOKUP(H6338,IMPORTRANGE(""https://docs.google.com/spreadsheets/d/14Bd19lYaqBhU8_DElYkX7l4wRkHqqCUFNJY4AfY3kHU/edit?usp=sharing  #gid=0"",""фіз особи new!relations_name""),6,FALSE)
,
(IF
(
G6338=""юридична особа""
,
VLOOKUP"&amp;"(H6338,IMPORTRANGE(""https://docs.google.com/spreadsheets/d/14Bd19lYaqBhU8_DElYkX7l4wRkHqqCUFNJY4AfY3kHU/edit?usp=sharing  #gid=0"",""фіз особи new!relations_name_uo""),7,FALSE)
,
)
))"),"#N/A")</f>
        <v>#N/A</v>
      </c>
      <c r="J6337" s="7" t="s">
        <v>30</v>
      </c>
    </row>
    <row r="6338" spans="1:10" ht="13.2">
      <c r="A6338" s="7">
        <v>6337</v>
      </c>
      <c r="B6338" s="7">
        <v>1</v>
      </c>
      <c r="C6338" s="7" t="s">
        <v>10</v>
      </c>
      <c r="D6338" s="7">
        <v>5263</v>
      </c>
      <c r="E6338" s="7" t="s">
        <v>30</v>
      </c>
      <c r="F6338" s="8" t="str">
        <f ca="1">IFERROR(__xludf.DUMMYFUNCTION("IF
(
C6339=""фізична особа""
,
VLOOKUP(D6339,IMPORTRANGE(""https://docs.google.com/spreadsheets/d/14Bd19lYaqBhU8_DElYkX7l4wRkHqqCUFNJY4AfY3kHU/edit?usp=sharing  #gid=0"",""фіз особи new!relations_name""),6,FALSE)
,
(IF
(
C6339=""юридична особа""
,
VLOOKUP"&amp;"(D6339,IMPORTRANGE(""https://docs.google.com/spreadsheets/d/14Bd19lYaqBhU8_DElYkX7l4wRkHqqCUFNJY4AfY3kHU/edit?usp=sharing  #gid=0"",""фіз особи new!relations_name_uo""),7,FALSE)
,
)
))"),"КОНОНЕНКО Петро Іванович")</f>
        <v>КОНОНЕНКО Петро Іванович</v>
      </c>
      <c r="G6338" s="7" t="s">
        <v>10</v>
      </c>
      <c r="H6338" s="7">
        <v>0</v>
      </c>
      <c r="I6338" s="8" t="str">
        <f ca="1">IFERROR(__xludf.DUMMYFUNCTION("IF
(
G6339=""фізична особа""
,
VLOOKUP(H6339,IMPORTRANGE(""https://docs.google.com/spreadsheets/d/14Bd19lYaqBhU8_DElYkX7l4wRkHqqCUFNJY4AfY3kHU/edit?usp=sharing  #gid=0"",""фіз особи new!relations_name""),6,FALSE)
,
(IF
(
G6339=""юридична особа""
,
VLOOKUP"&amp;"(H6339,IMPORTRANGE(""https://docs.google.com/spreadsheets/d/14Bd19lYaqBhU8_DElYkX7l4wRkHqqCUFNJY4AfY3kHU/edit?usp=sharing  #gid=0"",""фіз особи new!relations_name_uo""),7,FALSE)
,
)
))"),"#N/A")</f>
        <v>#N/A</v>
      </c>
      <c r="J6338" s="7" t="s">
        <v>30</v>
      </c>
    </row>
    <row r="6339" spans="1:10" ht="13.2">
      <c r="A6339" s="7">
        <v>6338</v>
      </c>
      <c r="B6339" s="7">
        <v>1</v>
      </c>
      <c r="C6339" s="7" t="s">
        <v>10</v>
      </c>
      <c r="D6339" s="7">
        <v>5263</v>
      </c>
      <c r="E6339" s="7" t="s">
        <v>30</v>
      </c>
      <c r="F6339" s="8" t="str">
        <f ca="1">IFERROR(__xludf.DUMMYFUNCTION("IF
(
C6340=""фізична особа""
,
VLOOKUP(D6340,IMPORTRANGE(""https://docs.google.com/spreadsheets/d/14Bd19lYaqBhU8_DElYkX7l4wRkHqqCUFNJY4AfY3kHU/edit?usp=sharing  #gid=0"",""фіз особи new!relations_name""),6,FALSE)
,
(IF
(
C6340=""юридична особа""
,
VLOOKUP"&amp;"(D6340,IMPORTRANGE(""https://docs.google.com/spreadsheets/d/14Bd19lYaqBhU8_DElYkX7l4wRkHqqCUFNJY4AfY3kHU/edit?usp=sharing  #gid=0"",""фіз особи new!relations_name_uo""),7,FALSE)
,
)
))"),"КОНОНЕНКО Петро Іванович")</f>
        <v>КОНОНЕНКО Петро Іванович</v>
      </c>
      <c r="G6339" s="7" t="s">
        <v>10</v>
      </c>
      <c r="H6339" s="7">
        <v>0</v>
      </c>
      <c r="I6339" s="8" t="str">
        <f ca="1">IFERROR(__xludf.DUMMYFUNCTION("IF
(
G6340=""фізична особа""
,
VLOOKUP(H6340,IMPORTRANGE(""https://docs.google.com/spreadsheets/d/14Bd19lYaqBhU8_DElYkX7l4wRkHqqCUFNJY4AfY3kHU/edit?usp=sharing  #gid=0"",""фіз особи new!relations_name""),6,FALSE)
,
(IF
(
G6340=""юридична особа""
,
VLOOKUP"&amp;"(H6340,IMPORTRANGE(""https://docs.google.com/spreadsheets/d/14Bd19lYaqBhU8_DElYkX7l4wRkHqqCUFNJY4AfY3kHU/edit?usp=sharing  #gid=0"",""фіз особи new!relations_name_uo""),7,FALSE)
,
)
))"),"#N/A")</f>
        <v>#N/A</v>
      </c>
      <c r="J6339" s="7" t="s">
        <v>30</v>
      </c>
    </row>
    <row r="6340" spans="1:10" ht="13.2">
      <c r="A6340" s="7">
        <v>6339</v>
      </c>
      <c r="B6340" s="7">
        <v>1</v>
      </c>
      <c r="C6340" s="7" t="s">
        <v>10</v>
      </c>
      <c r="D6340" s="7">
        <v>5275</v>
      </c>
      <c r="E6340" s="7" t="s">
        <v>11</v>
      </c>
      <c r="F6340" s="8" t="str">
        <f ca="1">IFERROR(__xludf.DUMMYFUNCTION("IF
(
C6341=""фізична особа""
,
VLOOKUP(D6341,IMPORTRANGE(""https://docs.google.com/spreadsheets/d/14Bd19lYaqBhU8_DElYkX7l4wRkHqqCUFNJY4AfY3kHU/edit?usp=sharing  #gid=0"",""фіз особи new!relations_name""),6,FALSE)
,
(IF
(
C6341=""юридична особа""
,
VLOOKUP"&amp;"(D6341,IMPORTRANGE(""https://docs.google.com/spreadsheets/d/14Bd19lYaqBhU8_DElYkX7l4wRkHqqCUFNJY4AfY3kHU/edit?usp=sharing  #gid=0"",""фіз особи new!relations_name_uo""),7,FALSE)
,
)
))"),"МАРІЧЕВ Сергій Юрійович")</f>
        <v>МАРІЧЕВ Сергій Юрійович</v>
      </c>
      <c r="G6340" s="7" t="s">
        <v>10</v>
      </c>
      <c r="H6340" s="7">
        <v>4023</v>
      </c>
      <c r="I6340" s="8" t="str">
        <f ca="1">IFERROR(__xludf.DUMMYFUNCTION("IF
(
G6341=""фізична особа""
,
VLOOKUP(H6341,IMPORTRANGE(""https://docs.google.com/spreadsheets/d/14Bd19lYaqBhU8_DElYkX7l4wRkHqqCUFNJY4AfY3kHU/edit?usp=sharing  #gid=0"",""фіз особи new!relations_name""),6,FALSE)
,
(IF
(
G6341=""юридична особа""
,
VLOOKUP"&amp;"(H6341,IMPORTRANGE(""https://docs.google.com/spreadsheets/d/14Bd19lYaqBhU8_DElYkX7l4wRkHqqCUFNJY4AfY3kHU/edit?usp=sharing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6340" s="7" t="s">
        <v>11</v>
      </c>
    </row>
    <row r="6341" spans="1:10" ht="13.2">
      <c r="A6341" s="7">
        <v>6340</v>
      </c>
      <c r="B6341" s="7">
        <v>1</v>
      </c>
      <c r="C6341" s="7" t="s">
        <v>10</v>
      </c>
      <c r="D6341" s="7">
        <v>5288</v>
      </c>
      <c r="E6341" s="7" t="s">
        <v>30</v>
      </c>
      <c r="F6341" s="8" t="str">
        <f ca="1">IFERROR(__xludf.DUMMYFUNCTION("IF
(
C6342=""фізична особа""
,
VLOOKUP(D6342,IMPORTRANGE(""https://docs.google.com/spreadsheets/d/14Bd19lYaqBhU8_DElYkX7l4wRkHqqCUFNJY4AfY3kHU/edit?usp=sharing  #gid=0"",""фіз особи new!relations_name""),6,FALSE)
,
(IF
(
C6342=""юридична особа""
,
VLOOKUP"&amp;"(D6342,IMPORTRANGE(""https://docs.google.com/spreadsheets/d/14Bd19lYaqBhU8_DElYkX7l4wRkHqqCUFNJY4AfY3kHU/edit?usp=sharing  #gid=0"",""фіз особи new!relations_name_uo""),7,FALSE)
,
)
))"),"ТЮЛЕНЄВ Юрій Васильович")</f>
        <v>ТЮЛЕНЄВ Юрій Васильович</v>
      </c>
      <c r="G6341" s="7" t="s">
        <v>10</v>
      </c>
      <c r="H6341" s="7">
        <v>5858</v>
      </c>
      <c r="I6341" s="8" t="str">
        <f ca="1">IFERROR(__xludf.DUMMYFUNCTION("IF
(
G6342=""фізична особа""
,
VLOOKUP(H6342,IMPORTRANGE(""https://docs.google.com/spreadsheets/d/14Bd19lYaqBhU8_DElYkX7l4wRkHqqCUFNJY4AfY3kHU/edit?usp=sharing  #gid=0"",""фіз особи new!relations_name""),6,FALSE)
,
(IF
(
G6342=""юридична особа""
,
VLOOKUP"&amp;"(H6342,IMPORTRANGE(""https://docs.google.com/spreadsheets/d/14Bd19lYaqBhU8_DElYkX7l4wRkHqqCUFNJY4AfY3kHU/edit?usp=sharing  #gid=0"",""фіз особи new!relations_name_uo""),7,FALSE)
,
)
))"),"АЛЕКСЄЄВ Сергій Юрійович")</f>
        <v>АЛЕКСЄЄВ Сергій Юрійович</v>
      </c>
      <c r="J6341" s="7" t="s">
        <v>30</v>
      </c>
    </row>
    <row r="6342" spans="1:10" ht="13.2">
      <c r="A6342" s="7">
        <v>6341</v>
      </c>
      <c r="B6342" s="7">
        <v>1</v>
      </c>
      <c r="C6342" s="7" t="s">
        <v>10</v>
      </c>
      <c r="D6342" s="7">
        <v>5289</v>
      </c>
      <c r="E6342" s="7" t="s">
        <v>30</v>
      </c>
      <c r="F6342" s="8" t="str">
        <f ca="1">IFERROR(__xludf.DUMMYFUNCTION("IF
(
C6343=""фізична особа""
,
VLOOKUP(D6343,IMPORTRANGE(""https://docs.google.com/spreadsheets/d/14Bd19lYaqBhU8_DElYkX7l4wRkHqqCUFNJY4AfY3kHU/edit?usp=sharing  #gid=0"",""фіз особи new!relations_name""),6,FALSE)
,
(IF
(
C6343=""юридична особа""
,
VLOOKUP"&amp;"(D6343,IMPORTRANGE(""https://docs.google.com/spreadsheets/d/14Bd19lYaqBhU8_DElYkX7l4wRkHqqCUFNJY4AfY3kHU/edit?usp=sharing  #gid=0"",""фіз особи new!relations_name_uo""),7,FALSE)
,
)
))"),"ВАРОЧКО Олексій Григорович")</f>
        <v>ВАРОЧКО Олексій Григорович</v>
      </c>
      <c r="G6342" s="7" t="s">
        <v>10</v>
      </c>
      <c r="H6342" s="7">
        <v>5290</v>
      </c>
      <c r="I6342" s="8" t="str">
        <f ca="1">IFERROR(__xludf.DUMMYFUNCTION("IF
(
G6343=""фізична особа""
,
VLOOKUP(H6343,IMPORTRANGE(""https://docs.google.com/spreadsheets/d/14Bd19lYaqBhU8_DElYkX7l4wRkHqqCUFNJY4AfY3kHU/edit?usp=sharing  #gid=0"",""фіз особи new!relations_name""),6,FALSE)
,
(IF
(
G6343=""юридична особа""
,
VLOOKUP"&amp;"(H6343,IMPORTRANGE(""https://docs.google.com/spreadsheets/d/14Bd19lYaqBhU8_DElYkX7l4wRkHqqCUFNJY4AfY3kHU/edit?usp=sharing  #gid=0"",""фіз особи new!relations_name_uo""),7,FALSE)
,
)
))"),"ПАНІН Ігор Геннадійович")</f>
        <v>ПАНІН Ігор Геннадійович</v>
      </c>
      <c r="J6342" s="7" t="s">
        <v>30</v>
      </c>
    </row>
    <row r="6343" spans="1:10" ht="13.2">
      <c r="A6343" s="7">
        <v>6342</v>
      </c>
      <c r="B6343" s="7">
        <v>1</v>
      </c>
      <c r="C6343" s="7" t="s">
        <v>10</v>
      </c>
      <c r="D6343" s="7">
        <v>5290</v>
      </c>
      <c r="E6343" s="7" t="s">
        <v>30</v>
      </c>
      <c r="F6343" s="8" t="str">
        <f ca="1">IFERROR(__xludf.DUMMYFUNCTION("IF
(
C6344=""фізична особа""
,
VLOOKUP(D6344,IMPORTRANGE(""https://docs.google.com/spreadsheets/d/14Bd19lYaqBhU8_DElYkX7l4wRkHqqCUFNJY4AfY3kHU/edit?usp=sharing  #gid=0"",""фіз особи new!relations_name""),6,FALSE)
,
(IF
(
C6344=""юридична особа""
,
VLOOKUP"&amp;"(D6344,IMPORTRANGE(""https://docs.google.com/spreadsheets/d/14Bd19lYaqBhU8_DElYkX7l4wRkHqqCUFNJY4AfY3kHU/edit?usp=sharing  #gid=0"",""фіз особи new!relations_name_uo""),7,FALSE)
,
)
))"),"ПАНІН Ігор Геннадійович")</f>
        <v>ПАНІН Ігор Геннадійович</v>
      </c>
      <c r="G6343" s="7" t="s">
        <v>10</v>
      </c>
      <c r="H6343" s="7">
        <v>5289</v>
      </c>
      <c r="I6343" s="8" t="str">
        <f ca="1">IFERROR(__xludf.DUMMYFUNCTION("IF
(
G6344=""фізична особа""
,
VLOOKUP(H6344,IMPORTRANGE(""https://docs.google.com/spreadsheets/d/14Bd19lYaqBhU8_DElYkX7l4wRkHqqCUFNJY4AfY3kHU/edit?usp=sharing  #gid=0"",""фіз особи new!relations_name""),6,FALSE)
,
(IF
(
G6344=""юридична особа""
,
VLOOKUP"&amp;"(H6344,IMPORTRANGE(""https://docs.google.com/spreadsheets/d/14Bd19lYaqBhU8_DElYkX7l4wRkHqqCUFNJY4AfY3kHU/edit?usp=sharing  #gid=0"",""фіз особи new!relations_name_uo""),7,FALSE)
,
)
))"),"ВАРОЧКО Олексій Григорович")</f>
        <v>ВАРОЧКО Олексій Григорович</v>
      </c>
      <c r="J6343" s="7" t="s">
        <v>30</v>
      </c>
    </row>
    <row r="6344" spans="1:10" ht="13.2">
      <c r="A6344" s="7">
        <v>6343</v>
      </c>
      <c r="B6344" s="7">
        <v>1</v>
      </c>
      <c r="C6344" s="7" t="s">
        <v>10</v>
      </c>
      <c r="D6344" s="7">
        <v>5297</v>
      </c>
      <c r="E6344" s="7" t="s">
        <v>14</v>
      </c>
      <c r="F6344" s="8" t="str">
        <f ca="1">IFERROR(__xludf.DUMMYFUNCTION("IF
(
C6345=""фізична особа""
,
VLOOKUP(D6345,IMPORTRANGE(""https://docs.google.com/spreadsheets/d/14Bd19lYaqBhU8_DElYkX7l4wRkHqqCUFNJY4AfY3kHU/edit?usp=sharing  #gid=0"",""фіз особи new!relations_name""),6,FALSE)
,
(IF
(
C6345=""юридична особа""
,
VLOOKUP"&amp;"(D6345,IMPORTRANGE(""https://docs.google.com/spreadsheets/d/14Bd19lYaqBhU8_DElYkX7l4wRkHqqCUFNJY4AfY3kHU/edit?usp=sharing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4" s="7" t="s">
        <v>10</v>
      </c>
      <c r="H6344" s="7">
        <v>0</v>
      </c>
      <c r="I6344" s="8" t="str">
        <f ca="1">IFERROR(__xludf.DUMMYFUNCTION("IF
(
G6345=""фізична особа""
,
VLOOKUP(H6345,IMPORTRANGE(""https://docs.google.com/spreadsheets/d/14Bd19lYaqBhU8_DElYkX7l4wRkHqqCUFNJY4AfY3kHU/edit?usp=sharing  #gid=0"",""фіз особи new!relations_name""),6,FALSE)
,
(IF
(
G6345=""юридична особа""
,
VLOOKUP"&amp;"(H6345,IMPORTRANGE(""https://docs.google.com/spreadsheets/d/14Bd19lYaqBhU8_DElYkX7l4wRkHqqCUFNJY4AfY3kHU/edit?usp=sharing  #gid=0"",""фіз особи new!relations_name_uo""),7,FALSE)
,
)
))"),"#N/A")</f>
        <v>#N/A</v>
      </c>
      <c r="J6344" s="7" t="s">
        <v>15</v>
      </c>
    </row>
    <row r="6345" spans="1:10" ht="13.2">
      <c r="A6345" s="7">
        <v>6344</v>
      </c>
      <c r="B6345" s="7">
        <v>1</v>
      </c>
      <c r="C6345" s="7" t="s">
        <v>10</v>
      </c>
      <c r="D6345" s="7">
        <v>5297</v>
      </c>
      <c r="E6345" s="7" t="s">
        <v>12</v>
      </c>
      <c r="F6345" s="8" t="str">
        <f ca="1">IFERROR(__xludf.DUMMYFUNCTION("IF
(
C6346=""фізична особа""
,
VLOOKUP(D6346,IMPORTRANGE(""https://docs.google.com/spreadsheets/d/14Bd19lYaqBhU8_DElYkX7l4wRkHqqCUFNJY4AfY3kHU/edit?usp=sharing  #gid=0"",""фіз особи new!relations_name""),6,FALSE)
,
(IF
(
C6346=""юридична особа""
,
VLOOKUP"&amp;"(D6346,IMPORTRANGE(""https://docs.google.com/spreadsheets/d/14Bd19lYaqBhU8_DElYkX7l4wRkHqqCUFNJY4AfY3kHU/edit?usp=sharing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5" s="7" t="s">
        <v>10</v>
      </c>
      <c r="H6345" s="7">
        <v>0</v>
      </c>
      <c r="I6345" s="8" t="str">
        <f ca="1">IFERROR(__xludf.DUMMYFUNCTION("IF
(
G6346=""фізична особа""
,
VLOOKUP(H6346,IMPORTRANGE(""https://docs.google.com/spreadsheets/d/14Bd19lYaqBhU8_DElYkX7l4wRkHqqCUFNJY4AfY3kHU/edit?usp=sharing  #gid=0"",""фіз особи new!relations_name""),6,FALSE)
,
(IF
(
G6346=""юридична особа""
,
VLOOKUP"&amp;"(H6346,IMPORTRANGE(""https://docs.google.com/spreadsheets/d/14Bd19lYaqBhU8_DElYkX7l4wRkHqqCUFNJY4AfY3kHU/edit?usp=sharing  #gid=0"",""фіз особи new!relations_name_uo""),7,FALSE)
,
)
))"),"#N/A")</f>
        <v>#N/A</v>
      </c>
      <c r="J6345" s="7" t="s">
        <v>17</v>
      </c>
    </row>
    <row r="6346" spans="1:10" ht="13.2">
      <c r="A6346" s="7">
        <v>6345</v>
      </c>
      <c r="B6346" s="7">
        <v>1</v>
      </c>
      <c r="C6346" s="7" t="s">
        <v>10</v>
      </c>
      <c r="D6346" s="7">
        <v>5297</v>
      </c>
      <c r="E6346" s="7" t="s">
        <v>12</v>
      </c>
      <c r="F6346" s="8" t="str">
        <f ca="1">IFERROR(__xludf.DUMMYFUNCTION("IF
(
C6347=""фізична особа""
,
VLOOKUP(D6347,IMPORTRANGE(""https://docs.google.com/spreadsheets/d/14Bd19lYaqBhU8_DElYkX7l4wRkHqqCUFNJY4AfY3kHU/edit?usp=sharing  #gid=0"",""фіз особи new!relations_name""),6,FALSE)
,
(IF
(
C6347=""юридична особа""
,
VLOOKUP"&amp;"(D6347,IMPORTRANGE(""https://docs.google.com/spreadsheets/d/14Bd19lYaqBhU8_DElYkX7l4wRkHqqCUFNJY4AfY3kHU/edit?usp=sharing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6" s="7" t="s">
        <v>10</v>
      </c>
      <c r="H6346" s="7">
        <v>0</v>
      </c>
      <c r="I6346" s="8" t="str">
        <f ca="1">IFERROR(__xludf.DUMMYFUNCTION("IF
(
G6347=""фізична особа""
,
VLOOKUP(H6347,IMPORTRANGE(""https://docs.google.com/spreadsheets/d/14Bd19lYaqBhU8_DElYkX7l4wRkHqqCUFNJY4AfY3kHU/edit?usp=sharing  #gid=0"",""фіз особи new!relations_name""),6,FALSE)
,
(IF
(
G6347=""юридична особа""
,
VLOOKUP"&amp;"(H6347,IMPORTRANGE(""https://docs.google.com/spreadsheets/d/14Bd19lYaqBhU8_DElYkX7l4wRkHqqCUFNJY4AfY3kHU/edit?usp=sharing  #gid=0"",""фіз особи new!relations_name_uo""),7,FALSE)
,
)
))"),"#N/A")</f>
        <v>#N/A</v>
      </c>
      <c r="J6346" s="7" t="s">
        <v>13</v>
      </c>
    </row>
    <row r="6347" spans="1:10" ht="13.2">
      <c r="A6347" s="7">
        <v>6346</v>
      </c>
      <c r="B6347" s="7">
        <v>1</v>
      </c>
      <c r="C6347" s="7" t="s">
        <v>10</v>
      </c>
      <c r="D6347" s="7">
        <v>5297</v>
      </c>
      <c r="E6347" s="7" t="s">
        <v>24</v>
      </c>
      <c r="F6347" s="8" t="str">
        <f ca="1">IFERROR(__xludf.DUMMYFUNCTION("IF
(
C6348=""фізична особа""
,
VLOOKUP(D6348,IMPORTRANGE(""https://docs.google.com/spreadsheets/d/14Bd19lYaqBhU8_DElYkX7l4wRkHqqCUFNJY4AfY3kHU/edit?usp=sharing  #gid=0"",""фіз особи new!relations_name""),6,FALSE)
,
(IF
(
C6348=""юридична особа""
,
VLOOKUP"&amp;"(D6348,IMPORTRANGE(""https://docs.google.com/spreadsheets/d/14Bd19lYaqBhU8_DElYkX7l4wRkHqqCUFNJY4AfY3kHU/edit?usp=sharing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7" s="7" t="s">
        <v>10</v>
      </c>
      <c r="H6347" s="7">
        <v>0</v>
      </c>
      <c r="I6347" s="8" t="str">
        <f ca="1">IFERROR(__xludf.DUMMYFUNCTION("IF
(
G6348=""фізична особа""
,
VLOOKUP(H6348,IMPORTRANGE(""https://docs.google.com/spreadsheets/d/14Bd19lYaqBhU8_DElYkX7l4wRkHqqCUFNJY4AfY3kHU/edit?usp=sharing  #gid=0"",""фіз особи new!relations_name""),6,FALSE)
,
(IF
(
G6348=""юридична особа""
,
VLOOKUP"&amp;"(H6348,IMPORTRANGE(""https://docs.google.com/spreadsheets/d/14Bd19lYaqBhU8_DElYkX7l4wRkHqqCUFNJY4AfY3kHU/edit?usp=sharing  #gid=0"",""фіз особи new!relations_name_uo""),7,FALSE)
,
)
))"),"#N/A")</f>
        <v>#N/A</v>
      </c>
      <c r="J6347" s="7" t="s">
        <v>26</v>
      </c>
    </row>
    <row r="6348" spans="1:10" ht="13.2">
      <c r="A6348" s="7">
        <v>6347</v>
      </c>
      <c r="B6348" s="7">
        <v>1</v>
      </c>
      <c r="C6348" s="7" t="s">
        <v>10</v>
      </c>
      <c r="D6348" s="7">
        <v>5297</v>
      </c>
      <c r="E6348" s="7" t="s">
        <v>28</v>
      </c>
      <c r="F6348" s="8" t="str">
        <f ca="1">IFERROR(__xludf.DUMMYFUNCTION("IF
(
C6349=""фізична особа""
,
VLOOKUP(D6349,IMPORTRANGE(""https://docs.google.com/spreadsheets/d/14Bd19lYaqBhU8_DElYkX7l4wRkHqqCUFNJY4AfY3kHU/edit?usp=sharing  #gid=0"",""фіз особи new!relations_name""),6,FALSE)
,
(IF
(
C6349=""юридична особа""
,
VLOOKUP"&amp;"(D6349,IMPORTRANGE(""https://docs.google.com/spreadsheets/d/14Bd19lYaqBhU8_DElYkX7l4wRkHqqCUFNJY4AfY3kHU/edit?usp=sharing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8" s="7" t="s">
        <v>10</v>
      </c>
      <c r="H6348" s="7">
        <v>5298</v>
      </c>
      <c r="I6348" s="8" t="str">
        <f ca="1">IFERROR(__xludf.DUMMYFUNCTION("IF
(
G6349=""фізична особа""
,
VLOOKUP(H6349,IMPORTRANGE(""https://docs.google.com/spreadsheets/d/14Bd19lYaqBhU8_DElYkX7l4wRkHqqCUFNJY4AfY3kHU/edit?usp=sharing  #gid=0"",""фіз особи new!relations_name""),6,FALSE)
,
(IF
(
G6349=""юридична особа""
,
VLOOKUP"&amp;"(H6349,IMPORTRANGE(""https://docs.google.com/spreadsheets/d/14Bd19lYaqBhU8_DElYkX7l4wRkHqqCUFNJY4AfY3kHU/edit?usp=sharing  #gid=0"",""фіз особи new!relations_name_uo""),7,FALSE)
,
)
))"),"КОРОЛЬОВ Володимир Іванович")</f>
        <v>КОРОЛЬОВ Володимир Іванович</v>
      </c>
      <c r="J6348" s="7" t="s">
        <v>29</v>
      </c>
    </row>
    <row r="6349" spans="1:10" ht="13.2">
      <c r="A6349" s="7">
        <v>6348</v>
      </c>
      <c r="B6349" s="7">
        <v>1</v>
      </c>
      <c r="C6349" s="7" t="s">
        <v>10</v>
      </c>
      <c r="D6349" s="7">
        <v>5297</v>
      </c>
      <c r="E6349" s="7" t="s">
        <v>11</v>
      </c>
      <c r="F6349" s="8" t="str">
        <f ca="1">IFERROR(__xludf.DUMMYFUNCTION("IF
(
C6350=""фізична особа""
,
VLOOKUP(D6350,IMPORTRANGE(""https://docs.google.com/spreadsheets/d/14Bd19lYaqBhU8_DElYkX7l4wRkHqqCUFNJY4AfY3kHU/edit?usp=sharing  #gid=0"",""фіз особи new!relations_name""),6,FALSE)
,
(IF
(
C6350=""юридична особа""
,
VLOOKUP"&amp;"(D6350,IMPORTRANGE(""https://docs.google.com/spreadsheets/d/14Bd19lYaqBhU8_DElYkX7l4wRkHqqCUFNJY4AfY3kHU/edit?usp=sharing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G6349" s="7" t="s">
        <v>10</v>
      </c>
      <c r="H6349" s="7">
        <v>4023</v>
      </c>
      <c r="I6349" s="8" t="str">
        <f ca="1">IFERROR(__xludf.DUMMYFUNCTION("IF
(
G6350=""фізична особа""
,
VLOOKUP(H6350,IMPORTRANGE(""https://docs.google.com/spreadsheets/d/14Bd19lYaqBhU8_DElYkX7l4wRkHqqCUFNJY4AfY3kHU/edit?usp=sharing  #gid=0"",""фіз особи new!relations_name""),6,FALSE)
,
(IF
(
G6350=""юридична особа""
,
VLOOKUP"&amp;"(H6350,IMPORTRANGE(""https://docs.google.com/spreadsheets/d/14Bd19lYaqBhU8_DElYkX7l4wRkHqqCUFNJY4AfY3kHU/edit?usp=sharing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6349" s="7" t="s">
        <v>11</v>
      </c>
    </row>
    <row r="6350" spans="1:10" ht="13.2">
      <c r="A6350" s="7">
        <v>6349</v>
      </c>
      <c r="B6350" s="7">
        <v>1</v>
      </c>
      <c r="C6350" s="7" t="s">
        <v>10</v>
      </c>
      <c r="D6350" s="7">
        <v>5298</v>
      </c>
      <c r="E6350" s="7" t="s">
        <v>29</v>
      </c>
      <c r="F6350" s="8" t="str">
        <f ca="1">IFERROR(__xludf.DUMMYFUNCTION("IF
(
C6351=""фізична особа""
,
VLOOKUP(D6351,IMPORTRANGE(""https://docs.google.com/spreadsheets/d/14Bd19lYaqBhU8_DElYkX7l4wRkHqqCUFNJY4AfY3kHU/edit?usp=sharing  #gid=0"",""фіз особи new!relations_name""),6,FALSE)
,
(IF
(
C6351=""юридична особа""
,
VLOOKUP"&amp;"(D6351,IMPORTRANGE(""https://docs.google.com/spreadsheets/d/14Bd19lYaqBhU8_DElYkX7l4wRkHqqCUFNJY4AfY3kHU/edit?usp=sharing  #gid=0"",""фіз особи new!relations_name_uo""),7,FALSE)
,
)
))"),"КОРОЛЬОВ Володимир Іванович")</f>
        <v>КОРОЛЬОВ Володимир Іванович</v>
      </c>
      <c r="G6350" s="7" t="s">
        <v>10</v>
      </c>
      <c r="H6350" s="7">
        <v>5297</v>
      </c>
      <c r="I6350" s="8" t="str">
        <f ca="1">IFERROR(__xludf.DUMMYFUNCTION("IF
(
G6351=""фізична особа""
,
VLOOKUP(H6351,IMPORTRANGE(""https://docs.google.com/spreadsheets/d/14Bd19lYaqBhU8_DElYkX7l4wRkHqqCUFNJY4AfY3kHU/edit?usp=sharing  #gid=0"",""фіз особи new!relations_name""),6,FALSE)
,
(IF
(
G6351=""юридична особа""
,
VLOOKUP"&amp;"(H6351,IMPORTRANGE(""https://docs.google.com/spreadsheets/d/14Bd19lYaqBhU8_DElYkX7l4wRkHqqCUFNJY4AfY3kHU/edit?usp=sharing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6350" s="7" t="s">
        <v>28</v>
      </c>
    </row>
    <row r="6351" spans="1:10" ht="13.2">
      <c r="A6351" s="7">
        <v>6350</v>
      </c>
      <c r="B6351" s="7">
        <v>1</v>
      </c>
      <c r="C6351" s="7" t="s">
        <v>10</v>
      </c>
      <c r="D6351" s="7">
        <v>5311</v>
      </c>
      <c r="E6351" s="7" t="s">
        <v>30</v>
      </c>
      <c r="F6351" s="8" t="str">
        <f ca="1">IFERROR(__xludf.DUMMYFUNCTION("IF
(
C6352=""фізична особа""
,
VLOOKUP(D6352,IMPORTRANGE(""https://docs.google.com/spreadsheets/d/14Bd19lYaqBhU8_DElYkX7l4wRkHqqCUFNJY4AfY3kHU/edit?usp=sharing  #gid=0"",""фіз особи new!relations_name""),6,FALSE)
,
(IF
(
C6352=""юридична особа""
,
VLOOKUP"&amp;"(D6352,IMPORTRANGE(""https://docs.google.com/spreadsheets/d/14Bd19lYaqBhU8_DElYkX7l4wRkHqqCUFNJY4AfY3kHU/edit?usp=sharing  #gid=0"",""фіз особи new!relations_name_uo""),7,FALSE)
,
)
))"),"ІВАНОВ Анатолій Григорович")</f>
        <v>ІВАНОВ Анатолій Григорович</v>
      </c>
      <c r="G6351" s="7" t="s">
        <v>10</v>
      </c>
      <c r="H6351" s="7">
        <v>0</v>
      </c>
      <c r="I6351" s="8" t="str">
        <f ca="1">IFERROR(__xludf.DUMMYFUNCTION("IF
(
G6352=""фізична особа""
,
VLOOKUP(H6352,IMPORTRANGE(""https://docs.google.com/spreadsheets/d/14Bd19lYaqBhU8_DElYkX7l4wRkHqqCUFNJY4AfY3kHU/edit?usp=sharing  #gid=0"",""фіз особи new!relations_name""),6,FALSE)
,
(IF
(
G6352=""юридична особа""
,
VLOOKUP"&amp;"(H6352,IMPORTRANGE(""https://docs.google.com/spreadsheets/d/14Bd19lYaqBhU8_DElYkX7l4wRkHqqCUFNJY4AfY3kHU/edit?usp=sharing  #gid=0"",""фіз особи new!relations_name_uo""),7,FALSE)
,
)
))"),"#N/A")</f>
        <v>#N/A</v>
      </c>
      <c r="J6351" s="7" t="s">
        <v>30</v>
      </c>
    </row>
    <row r="6352" spans="1:10" ht="13.2">
      <c r="A6352" s="7">
        <v>6351</v>
      </c>
      <c r="B6352" s="7">
        <v>1</v>
      </c>
      <c r="C6352" s="7" t="s">
        <v>10</v>
      </c>
      <c r="D6352" s="7">
        <v>5311</v>
      </c>
      <c r="E6352" s="7" t="s">
        <v>30</v>
      </c>
      <c r="F6352" s="8" t="str">
        <f ca="1">IFERROR(__xludf.DUMMYFUNCTION("IF
(
C6353=""фізична особа""
,
VLOOKUP(D6353,IMPORTRANGE(""https://docs.google.com/spreadsheets/d/14Bd19lYaqBhU8_DElYkX7l4wRkHqqCUFNJY4AfY3kHU/edit?usp=sharing  #gid=0"",""фіз особи new!relations_name""),6,FALSE)
,
(IF
(
C6353=""юридична особа""
,
VLOOKUP"&amp;"(D6353,IMPORTRANGE(""https://docs.google.com/spreadsheets/d/14Bd19lYaqBhU8_DElYkX7l4wRkHqqCUFNJY4AfY3kHU/edit?usp=sharing  #gid=0"",""фіз особи new!relations_name_uo""),7,FALSE)
,
)
))"),"ІВАНОВ Анатолій Григорович")</f>
        <v>ІВАНОВ Анатолій Григорович</v>
      </c>
      <c r="G6352" s="7" t="s">
        <v>10</v>
      </c>
      <c r="H6352" s="7">
        <v>431</v>
      </c>
      <c r="I6352" s="8" t="str">
        <f ca="1">IFERROR(__xludf.DUMMYFUNCTION("IF
(
G6353=""фізична особа""
,
VLOOKUP(H6353,IMPORTRANGE(""https://docs.google.com/spreadsheets/d/14Bd19lYaqBhU8_DElYkX7l4wRkHqqCUFNJY4AfY3kHU/edit?usp=sharing  #gid=0"",""фіз особи new!relations_name""),6,FALSE)
,
(IF
(
G6353=""юридична особа""
,
VLOOKUP"&amp;"(H6353,IMPORTRANGE(""https://docs.google.com/spreadsheets/d/14Bd19lYaqBhU8_DElYkX7l4wRkHqqCUFNJY4AfY3kHU/edit?usp=sharing  #gid=0"",""фіз особи new!relations_name_uo""),7,FALSE)
,
)
))"),"ІВАНОВ Максим Анатолійович")</f>
        <v>ІВАНОВ Максим Анатолійович</v>
      </c>
      <c r="J6352" s="7" t="s">
        <v>30</v>
      </c>
    </row>
    <row r="6353" spans="1:10" ht="13.2">
      <c r="A6353" s="7">
        <v>6352</v>
      </c>
      <c r="B6353" s="7">
        <v>1</v>
      </c>
      <c r="C6353" s="7" t="s">
        <v>10</v>
      </c>
      <c r="D6353" s="7">
        <v>5316</v>
      </c>
      <c r="E6353" s="7" t="s">
        <v>29</v>
      </c>
      <c r="F6353" s="8" t="str">
        <f ca="1">IFERROR(__xludf.DUMMYFUNCTION("IF
(
C6354=""фізична особа""
,
VLOOKUP(D6354,IMPORTRANGE(""https://docs.google.com/spreadsheets/d/14Bd19lYaqBhU8_DElYkX7l4wRkHqqCUFNJY4AfY3kHU/edit?usp=sharing  #gid=0"",""фіз особи new!relations_name""),6,FALSE)
,
(IF
(
C6354=""юридична особа""
,
VLOOKUP"&amp;"(D6354,IMPORTRANGE(""https://docs.google.com/spreadsheets/d/14Bd19lYaqBhU8_DElYkX7l4wRkHqqCUFNJY4AfY3kHU/edit?usp=sharing  #gid=0"",""фіз особи new!relations_name_uo""),7,FALSE)
,
)
))"),"АЛЬОШИН Борис Сергійович")</f>
        <v>АЛЬОШИН Борис Сергійович</v>
      </c>
      <c r="G6353" s="7" t="s">
        <v>10</v>
      </c>
      <c r="H6353" s="7">
        <v>5315</v>
      </c>
      <c r="I6353" s="8" t="str">
        <f ca="1">IFERROR(__xludf.DUMMYFUNCTION("IF
(
G6354=""фізична особа""
,
VLOOKUP(H6354,IMPORTRANGE(""https://docs.google.com/spreadsheets/d/14Bd19lYaqBhU8_DElYkX7l4wRkHqqCUFNJY4AfY3kHU/edit?usp=sharing  #gid=0"",""фіз особи new!relations_name""),6,FALSE)
,
(IF
(
G6354=""юридична особа""
,
VLOOKUP"&amp;"(H6354,IMPORTRANGE(""https://docs.google.com/spreadsheets/d/14Bd19lYaqBhU8_DElYkX7l4wRkHqqCUFNJY4AfY3kHU/edit?usp=sharing  #gid=0"",""фіз особи new!relations_name_uo""),7,FALSE)
,
)
))"),"ІГНАТЬЄВ Олександр Олександрович")</f>
        <v>ІГНАТЬЄВ Олександр Олександрович</v>
      </c>
      <c r="J6353" s="7" t="s">
        <v>28</v>
      </c>
    </row>
    <row r="6354" spans="1:10" ht="13.2">
      <c r="A6354" s="7">
        <v>6353</v>
      </c>
      <c r="B6354" s="7">
        <v>1</v>
      </c>
      <c r="C6354" s="7" t="s">
        <v>10</v>
      </c>
      <c r="D6354" s="7">
        <v>5320</v>
      </c>
      <c r="E6354" s="7" t="s">
        <v>28</v>
      </c>
      <c r="F6354" s="8" t="str">
        <f ca="1">IFERROR(__xludf.DUMMYFUNCTION("IF
(
C6355=""фізична особа""
,
VLOOKUP(D6355,IMPORTRANGE(""https://docs.google.com/spreadsheets/d/14Bd19lYaqBhU8_DElYkX7l4wRkHqqCUFNJY4AfY3kHU/edit?usp=sharing  #gid=0"",""фіз особи new!relations_name""),6,FALSE)
,
(IF
(
C6355=""юридична особа""
,
VLOOKUP"&amp;"(D6355,IMPORTRANGE(""https://docs.google.com/spreadsheets/d/14Bd19lYaqBhU8_DElYkX7l4wRkHqqCUFNJY4AfY3kHU/edit?usp=sharing  #gid=0"",""фіз особи new!relations_name_uo""),7,FALSE)
,
)
))"),"ЛЕВІН Олександр Іванович")</f>
        <v>ЛЕВІН Олександр Іванович</v>
      </c>
      <c r="G6354" s="7" t="s">
        <v>10</v>
      </c>
      <c r="H6354" s="7">
        <v>5319</v>
      </c>
      <c r="I6354" s="8" t="str">
        <f ca="1">IFERROR(__xludf.DUMMYFUNCTION("IF
(
G6355=""фізична особа""
,
VLOOKUP(H6355,IMPORTRANGE(""https://docs.google.com/spreadsheets/d/14Bd19lYaqBhU8_DElYkX7l4wRkHqqCUFNJY4AfY3kHU/edit?usp=sharing  #gid=0"",""фіз особи new!relations_name""),6,FALSE)
,
(IF
(
G6355=""юридична особа""
,
VLOOKUP"&amp;"(H6355,IMPORTRANGE(""https://docs.google.com/spreadsheets/d/14Bd19lYaqBhU8_DElYkX7l4wRkHqqCUFNJY4AfY3kHU/edit?usp=sharing  #gid=0"",""фіз особи new!relations_name_uo""),7,FALSE)
,
)
))"),"ЛЕБЕДЄВ Володимир В'ячеславович")</f>
        <v>ЛЕБЕДЄВ Володимир В'ячеславович</v>
      </c>
      <c r="J6354" s="7" t="s">
        <v>29</v>
      </c>
    </row>
    <row r="6355" spans="1:10" ht="13.2">
      <c r="A6355" s="7">
        <v>6354</v>
      </c>
      <c r="B6355" s="7">
        <v>1</v>
      </c>
      <c r="C6355" s="7" t="s">
        <v>10</v>
      </c>
      <c r="D6355" s="7">
        <v>5328</v>
      </c>
      <c r="E6355" s="7" t="s">
        <v>30</v>
      </c>
      <c r="F6355" s="8" t="str">
        <f ca="1">IFERROR(__xludf.DUMMYFUNCTION("IF
(
C6356=""фізична особа""
,
VLOOKUP(D6356,IMPORTRANGE(""https://docs.google.com/spreadsheets/d/14Bd19lYaqBhU8_DElYkX7l4wRkHqqCUFNJY4AfY3kHU/edit?usp=sharing  #gid=0"",""фіз особи new!relations_name""),6,FALSE)
,
(IF
(
C6356=""юридична особа""
,
VLOOKUP"&amp;"(D6356,IMPORTRANGE(""https://docs.google.com/spreadsheets/d/14Bd19lYaqBhU8_DElYkX7l4wRkHqqCUFNJY4AfY3kHU/edit?usp=sharing  #gid=0"",""фіз особи new!relations_name_uo""),7,FALSE)
,
)
))"),"СОРОКІН Володимир Олексійович")</f>
        <v>СОРОКІН Володимир Олексійович</v>
      </c>
      <c r="G6355" s="7" t="s">
        <v>10</v>
      </c>
      <c r="H6355" s="7">
        <v>975</v>
      </c>
      <c r="I6355" s="8" t="str">
        <f ca="1">IFERROR(__xludf.DUMMYFUNCTION("IF
(
G6356=""фізична особа""
,
VLOOKUP(H6356,IMPORTRANGE(""https://docs.google.com/spreadsheets/d/14Bd19lYaqBhU8_DElYkX7l4wRkHqqCUFNJY4AfY3kHU/edit?usp=sharing  #gid=0"",""фіз особи new!relations_name""),6,FALSE)
,
(IF
(
G6356=""юридична особа""
,
VLOOKUP"&amp;"(H6356,IMPORTRANGE(""https://docs.google.com/spreadsheets/d/14Bd19lYaqBhU8_DElYkX7l4wRkHqqCUFNJY4AfY3kHU/edit?usp=sharing  #gid=0"",""фіз особи new!relations_name_uo""),7,FALSE)
,
)
))"),"ОБНОСОВ Борис Вікторович")</f>
        <v>ОБНОСОВ Борис Вікторович</v>
      </c>
      <c r="J6355" s="7" t="s">
        <v>30</v>
      </c>
    </row>
    <row r="6356" spans="1:10" ht="13.2">
      <c r="A6356" s="7">
        <v>6355</v>
      </c>
      <c r="B6356" s="7">
        <v>1</v>
      </c>
      <c r="C6356" s="7" t="s">
        <v>10</v>
      </c>
      <c r="D6356" s="7">
        <v>5329</v>
      </c>
      <c r="E6356" s="7" t="s">
        <v>28</v>
      </c>
      <c r="F6356" s="8" t="str">
        <f ca="1">IFERROR(__xludf.DUMMYFUNCTION("IF
(
C6357=""фізична особа""
,
VLOOKUP(D6357,IMPORTRANGE(""https://docs.google.com/spreadsheets/d/14Bd19lYaqBhU8_DElYkX7l4wRkHqqCUFNJY4AfY3kHU/edit?usp=sharing  #gid=0"",""фіз особи new!relations_name""),6,FALSE)
,
(IF
(
C6357=""юридична особа""
,
VLOOKUP"&amp;"(D6357,IMPORTRANGE(""https://docs.google.com/spreadsheets/d/14Bd19lYaqBhU8_DElYkX7l4wRkHqqCUFNJY4AfY3kHU/edit?usp=sharing  #gid=0"",""фіз особи new!relations_name_uo""),7,FALSE)
,
)
))"),"ЯРМОЛЮК Володимир Миколайович")</f>
        <v>ЯРМОЛЮК Володимир Миколайович</v>
      </c>
      <c r="G6356" s="7" t="s">
        <v>10</v>
      </c>
      <c r="H6356" s="7">
        <v>975</v>
      </c>
      <c r="I6356" s="8" t="str">
        <f ca="1">IFERROR(__xludf.DUMMYFUNCTION("IF
(
G6357=""фізична особа""
,
VLOOKUP(H6357,IMPORTRANGE(""https://docs.google.com/spreadsheets/d/14Bd19lYaqBhU8_DElYkX7l4wRkHqqCUFNJY4AfY3kHU/edit?usp=sharing  #gid=0"",""фіз особи new!relations_name""),6,FALSE)
,
(IF
(
G6357=""юридична особа""
,
VLOOKUP"&amp;"(H6357,IMPORTRANGE(""https://docs.google.com/spreadsheets/d/14Bd19lYaqBhU8_DElYkX7l4wRkHqqCUFNJY4AfY3kHU/edit?usp=sharing  #gid=0"",""фіз особи new!relations_name_uo""),7,FALSE)
,
)
))"),"ОБНОСОВ Борис Вікторович")</f>
        <v>ОБНОСОВ Борис Вікторович</v>
      </c>
      <c r="J6356" s="7" t="s">
        <v>29</v>
      </c>
    </row>
    <row r="6357" spans="1:10" ht="13.2">
      <c r="A6357" s="7">
        <v>6356</v>
      </c>
      <c r="B6357" s="7">
        <v>1</v>
      </c>
      <c r="C6357" s="7" t="s">
        <v>10</v>
      </c>
      <c r="D6357" s="7">
        <v>5330</v>
      </c>
      <c r="E6357" s="7" t="s">
        <v>30</v>
      </c>
      <c r="F6357" s="8" t="str">
        <f ca="1">IFERROR(__xludf.DUMMYFUNCTION("IF
(
C6358=""фізична особа""
,
VLOOKUP(D6358,IMPORTRANGE(""https://docs.google.com/spreadsheets/d/14Bd19lYaqBhU8_DElYkX7l4wRkHqqCUFNJY4AfY3kHU/edit?usp=sharing  #gid=0"",""фіз особи new!relations_name""),6,FALSE)
,
(IF
(
C6358=""юридична особа""
,
VLOOKUP"&amp;"(D6358,IMPORTRANGE(""https://docs.google.com/spreadsheets/d/14Bd19lYaqBhU8_DElYkX7l4wRkHqqCUFNJY4AfY3kHU/edit?usp=sharing  #gid=0"",""фіз особи new!relations_name_uo""),7,FALSE)
,
)
))"),"КРИЛОВ Ігор Володимирович")</f>
        <v>КРИЛОВ Ігор Володимирович</v>
      </c>
      <c r="G6357" s="7" t="s">
        <v>10</v>
      </c>
      <c r="H6357" s="7">
        <v>975</v>
      </c>
      <c r="I6357" s="8" t="str">
        <f ca="1">IFERROR(__xludf.DUMMYFUNCTION("IF
(
G6358=""фізична особа""
,
VLOOKUP(H6358,IMPORTRANGE(""https://docs.google.com/spreadsheets/d/14Bd19lYaqBhU8_DElYkX7l4wRkHqqCUFNJY4AfY3kHU/edit?usp=sharing  #gid=0"",""фіз особи new!relations_name""),6,FALSE)
,
(IF
(
G6358=""юридична особа""
,
VLOOKUP"&amp;"(H6358,IMPORTRANGE(""https://docs.google.com/spreadsheets/d/14Bd19lYaqBhU8_DElYkX7l4wRkHqqCUFNJY4AfY3kHU/edit?usp=sharing  #gid=0"",""фіз особи new!relations_name_uo""),7,FALSE)
,
)
))"),"ОБНОСОВ Борис Вікторович")</f>
        <v>ОБНОСОВ Борис Вікторович</v>
      </c>
      <c r="J6357" s="7" t="s">
        <v>30</v>
      </c>
    </row>
    <row r="6358" spans="1:10" ht="13.2">
      <c r="A6358" s="7">
        <v>6357</v>
      </c>
      <c r="B6358" s="7">
        <v>1</v>
      </c>
      <c r="C6358" s="7" t="s">
        <v>10</v>
      </c>
      <c r="D6358" s="7">
        <v>5332</v>
      </c>
      <c r="E6358" s="7" t="s">
        <v>30</v>
      </c>
      <c r="F6358" s="8" t="str">
        <f ca="1">IFERROR(__xludf.DUMMYFUNCTION("IF
(
C6359=""фізична особа""
,
VLOOKUP(D6359,IMPORTRANGE(""https://docs.google.com/spreadsheets/d/14Bd19lYaqBhU8_DElYkX7l4wRkHqqCUFNJY4AfY3kHU/edit?usp=sharing  #gid=0"",""фіз особи new!relations_name""),6,FALSE)
,
(IF
(
C6359=""юридична особа""
,
VLOOKUP"&amp;"(D6359,IMPORTRANGE(""https://docs.google.com/spreadsheets/d/14Bd19lYaqBhU8_DElYkX7l4wRkHqqCUFNJY4AfY3kHU/edit?usp=sharing  #gid=0"",""фіз особи new!relations_name_uo""),7,FALSE)
,
)
))"),"ІВАНОВ Валерій Павлович")</f>
        <v>ІВАНОВ Валерій Павлович</v>
      </c>
      <c r="G6358" s="7" t="s">
        <v>10</v>
      </c>
      <c r="H6358" s="7">
        <v>5331</v>
      </c>
      <c r="I6358" s="8" t="str">
        <f ca="1">IFERROR(__xludf.DUMMYFUNCTION("IF
(
G6359=""фізична особа""
,
VLOOKUP(H6359,IMPORTRANGE(""https://docs.google.com/spreadsheets/d/14Bd19lYaqBhU8_DElYkX7l4wRkHqqCUFNJY4AfY3kHU/edit?usp=sharing  #gid=0"",""фіз особи new!relations_name""),6,FALSE)
,
(IF
(
G6359=""юридична особа""
,
VLOOKUP"&amp;"(H6359,IMPORTRANGE(""https://docs.google.com/spreadsheets/d/14Bd19lYaqBhU8_DElYkX7l4wRkHqqCUFNJY4AfY3kHU/edit?usp=sharing  #gid=0"",""фіз особи new!relations_name_uo""),7,FALSE)
,
)
))"),"ЖЕЛЄЗНОВ Михайло Євгенійович")</f>
        <v>ЖЕЛЄЗНОВ Михайло Євгенійович</v>
      </c>
      <c r="J6358" s="7" t="s">
        <v>30</v>
      </c>
    </row>
    <row r="6359" spans="1:10" ht="13.2">
      <c r="A6359" s="7">
        <v>6358</v>
      </c>
      <c r="B6359" s="7">
        <v>1</v>
      </c>
      <c r="C6359" s="7" t="s">
        <v>10</v>
      </c>
      <c r="D6359" s="7">
        <v>5333</v>
      </c>
      <c r="E6359" s="7" t="s">
        <v>30</v>
      </c>
      <c r="F6359" s="8" t="str">
        <f ca="1">IFERROR(__xludf.DUMMYFUNCTION("IF
(
C6360=""фізична особа""
,
VLOOKUP(D6360,IMPORTRANGE(""https://docs.google.com/spreadsheets/d/14Bd19lYaqBhU8_DElYkX7l4wRkHqqCUFNJY4AfY3kHU/edit?usp=sharing  #gid=0"",""фіз особи new!relations_name""),6,FALSE)
,
(IF
(
C6360=""юридична особа""
,
VLOOKUP"&amp;"(D6360,IMPORTRANGE(""https://docs.google.com/spreadsheets/d/14Bd19lYaqBhU8_DElYkX7l4wRkHqqCUFNJY4AfY3kHU/edit?usp=sharing  #gid=0"",""фіз особи new!relations_name_uo""),7,FALSE)
,
)
))"),"СИДОРОВ Володимир Олексійович")</f>
        <v>СИДОРОВ Володимир Олексійович</v>
      </c>
      <c r="G6359" s="7" t="s">
        <v>10</v>
      </c>
      <c r="H6359" s="7">
        <v>5331</v>
      </c>
      <c r="I6359" s="8" t="str">
        <f ca="1">IFERROR(__xludf.DUMMYFUNCTION("IF
(
G6360=""фізична особа""
,
VLOOKUP(H6360,IMPORTRANGE(""https://docs.google.com/spreadsheets/d/14Bd19lYaqBhU8_DElYkX7l4wRkHqqCUFNJY4AfY3kHU/edit?usp=sharing  #gid=0"",""фіз особи new!relations_name""),6,FALSE)
,
(IF
(
G6360=""юридична особа""
,
VLOOKUP"&amp;"(H6360,IMPORTRANGE(""https://docs.google.com/spreadsheets/d/14Bd19lYaqBhU8_DElYkX7l4wRkHqqCUFNJY4AfY3kHU/edit?usp=sharing  #gid=0"",""фіз особи new!relations_name_uo""),7,FALSE)
,
)
))"),"ЖЕЛЄЗНОВ Михайло Євгенійович")</f>
        <v>ЖЕЛЄЗНОВ Михайло Євгенійович</v>
      </c>
      <c r="J6359" s="7" t="s">
        <v>30</v>
      </c>
    </row>
    <row r="6360" spans="1:10" ht="13.2">
      <c r="A6360" s="7">
        <v>6359</v>
      </c>
      <c r="B6360" s="7">
        <v>1</v>
      </c>
      <c r="C6360" s="7" t="s">
        <v>10</v>
      </c>
      <c r="D6360" s="7">
        <v>5337</v>
      </c>
      <c r="E6360" s="7" t="s">
        <v>30</v>
      </c>
      <c r="F6360" s="8" t="str">
        <f ca="1">IFERROR(__xludf.DUMMYFUNCTION("IF
(
C6361=""фізична особа""
,
VLOOKUP(D6361,IMPORTRANGE(""https://docs.google.com/spreadsheets/d/14Bd19lYaqBhU8_DElYkX7l4wRkHqqCUFNJY4AfY3kHU/edit?usp=sharing  #gid=0"",""фіз особи new!relations_name""),6,FALSE)
,
(IF
(
C6361=""юридична особа""
,
VLOOKUP"&amp;"(D6361,IMPORTRANGE(""https://docs.google.com/spreadsheets/d/14Bd19lYaqBhU8_DElYkX7l4wRkHqqCUFNJY4AfY3kHU/edit?usp=sharing  #gid=0"",""фіз особи new!relations_name_uo""),7,FALSE)
,
)
))"),"ЗАХАРОВ Олександр В'ячеславович")</f>
        <v>ЗАХАРОВ Олександр В'ячеславович</v>
      </c>
      <c r="G6360" s="7" t="s">
        <v>10</v>
      </c>
      <c r="H6360" s="7">
        <v>0</v>
      </c>
      <c r="I6360" s="8" t="str">
        <f ca="1">IFERROR(__xludf.DUMMYFUNCTION("IF
(
G6361=""фізична особа""
,
VLOOKUP(H6361,IMPORTRANGE(""https://docs.google.com/spreadsheets/d/14Bd19lYaqBhU8_DElYkX7l4wRkHqqCUFNJY4AfY3kHU/edit?usp=sharing  #gid=0"",""фіз особи new!relations_name""),6,FALSE)
,
(IF
(
G6361=""юридична особа""
,
VLOOKUP"&amp;"(H6361,IMPORTRANGE(""https://docs.google.com/spreadsheets/d/14Bd19lYaqBhU8_DElYkX7l4wRkHqqCUFNJY4AfY3kHU/edit?usp=sharing  #gid=0"",""фіз особи new!relations_name_uo""),7,FALSE)
,
)
))"),"#N/A")</f>
        <v>#N/A</v>
      </c>
      <c r="J6360" s="7" t="s">
        <v>30</v>
      </c>
    </row>
    <row r="6361" spans="1:10" ht="13.2">
      <c r="A6361" s="7">
        <v>6360</v>
      </c>
      <c r="B6361" s="7">
        <v>1</v>
      </c>
      <c r="C6361" s="7" t="s">
        <v>10</v>
      </c>
      <c r="D6361" s="7">
        <v>5338</v>
      </c>
      <c r="E6361" s="7" t="s">
        <v>30</v>
      </c>
      <c r="F6361" s="8" t="str">
        <f ca="1">IFERROR(__xludf.DUMMYFUNCTION("IF
(
C6362=""фізична особа""
,
VLOOKUP(D6362,IMPORTRANGE(""https://docs.google.com/spreadsheets/d/14Bd19lYaqBhU8_DElYkX7l4wRkHqqCUFNJY4AfY3kHU/edit?usp=sharing  #gid=0"",""фіз особи new!relations_name""),6,FALSE)
,
(IF
(
C6362=""юридична особа""
,
VLOOKUP"&amp;"(D6362,IMPORTRANGE(""https://docs.google.com/spreadsheets/d/14Bd19lYaqBhU8_DElYkX7l4wRkHqqCUFNJY4AfY3kHU/edit?usp=sharing  #gid=0"",""фіз особи new!relations_name_uo""),7,FALSE)
,
)
))"),"ЗАХАРОВА Світлана Миколаївна")</f>
        <v>ЗАХАРОВА Світлана Миколаївна</v>
      </c>
      <c r="G6361" s="7" t="s">
        <v>10</v>
      </c>
      <c r="H6361" s="7">
        <v>0</v>
      </c>
      <c r="I6361" s="8" t="str">
        <f ca="1">IFERROR(__xludf.DUMMYFUNCTION("IF
(
G6362=""фізична особа""
,
VLOOKUP(H6362,IMPORTRANGE(""https://docs.google.com/spreadsheets/d/14Bd19lYaqBhU8_DElYkX7l4wRkHqqCUFNJY4AfY3kHU/edit?usp=sharing  #gid=0"",""фіз особи new!relations_name""),6,FALSE)
,
(IF
(
G6362=""юридична особа""
,
VLOOKUP"&amp;"(H6362,IMPORTRANGE(""https://docs.google.com/spreadsheets/d/14Bd19lYaqBhU8_DElYkX7l4wRkHqqCUFNJY4AfY3kHU/edit?usp=sharing  #gid=0"",""фіз особи new!relations_name_uo""),7,FALSE)
,
)
))"),"#N/A")</f>
        <v>#N/A</v>
      </c>
      <c r="J6361" s="7" t="s">
        <v>30</v>
      </c>
    </row>
    <row r="6362" spans="1:10" ht="13.2">
      <c r="A6362" s="7">
        <v>6361</v>
      </c>
      <c r="B6362" s="7">
        <v>1</v>
      </c>
      <c r="C6362" s="7" t="s">
        <v>10</v>
      </c>
      <c r="D6362" s="7">
        <v>5357</v>
      </c>
      <c r="E6362" s="7" t="s">
        <v>30</v>
      </c>
      <c r="F6362" s="8" t="str">
        <f ca="1">IFERROR(__xludf.DUMMYFUNCTION("IF
(
C6363=""фізична особа""
,
VLOOKUP(D6363,IMPORTRANGE(""https://docs.google.com/spreadsheets/d/14Bd19lYaqBhU8_DElYkX7l4wRkHqqCUFNJY4AfY3kHU/edit?usp=sharing  #gid=0"",""фіз особи new!relations_name""),6,FALSE)
,
(IF
(
C6363=""юридична особа""
,
VLOOKUP"&amp;"(D6363,IMPORTRANGE(""https://docs.google.com/spreadsheets/d/14Bd19lYaqBhU8_DElYkX7l4wRkHqqCUFNJY4AfY3kHU/edit?usp=sharing  #gid=0"",""фіз особи new!relations_name_uo""),7,FALSE)
,
)
))"),"ТИМОШИН Сергій Валентинович")</f>
        <v>ТИМОШИН Сергій Валентинович</v>
      </c>
      <c r="G6362" s="7" t="s">
        <v>10</v>
      </c>
      <c r="H6362" s="7">
        <v>0</v>
      </c>
      <c r="I6362" s="8" t="str">
        <f ca="1">IFERROR(__xludf.DUMMYFUNCTION("IF
(
G6363=""фізична особа""
,
VLOOKUP(H6363,IMPORTRANGE(""https://docs.google.com/spreadsheets/d/14Bd19lYaqBhU8_DElYkX7l4wRkHqqCUFNJY4AfY3kHU/edit?usp=sharing  #gid=0"",""фіз особи new!relations_name""),6,FALSE)
,
(IF
(
G6363=""юридична особа""
,
VLOOKUP"&amp;"(H6363,IMPORTRANGE(""https://docs.google.com/spreadsheets/d/14Bd19lYaqBhU8_DElYkX7l4wRkHqqCUFNJY4AfY3kHU/edit?usp=sharing  #gid=0"",""фіз особи new!relations_name_uo""),7,FALSE)
,
)
))"),"#N/A")</f>
        <v>#N/A</v>
      </c>
      <c r="J6362" s="7" t="s">
        <v>30</v>
      </c>
    </row>
    <row r="6363" spans="1:10" ht="13.2">
      <c r="A6363" s="7">
        <v>6362</v>
      </c>
      <c r="B6363" s="7">
        <v>1</v>
      </c>
      <c r="C6363" s="7" t="s">
        <v>10</v>
      </c>
      <c r="D6363" s="7">
        <v>5357</v>
      </c>
      <c r="E6363" s="7" t="s">
        <v>30</v>
      </c>
      <c r="F6363" s="8" t="str">
        <f ca="1">IFERROR(__xludf.DUMMYFUNCTION("IF
(
C6364=""фізична особа""
,
VLOOKUP(D6364,IMPORTRANGE(""https://docs.google.com/spreadsheets/d/14Bd19lYaqBhU8_DElYkX7l4wRkHqqCUFNJY4AfY3kHU/edit?usp=sharing  #gid=0"",""фіз особи new!relations_name""),6,FALSE)
,
(IF
(
C6364=""юридична особа""
,
VLOOKUP"&amp;"(D6364,IMPORTRANGE(""https://docs.google.com/spreadsheets/d/14Bd19lYaqBhU8_DElYkX7l4wRkHqqCUFNJY4AfY3kHU/edit?usp=sharing  #gid=0"",""фіз особи new!relations_name_uo""),7,FALSE)
,
)
))"),"ТИМОШИН Сергій Валентинович")</f>
        <v>ТИМОШИН Сергій Валентинович</v>
      </c>
      <c r="G6363" s="7" t="s">
        <v>10</v>
      </c>
      <c r="H6363" s="7">
        <v>0</v>
      </c>
      <c r="I6363" s="8" t="str">
        <f ca="1">IFERROR(__xludf.DUMMYFUNCTION("IF
(
G6364=""фізична особа""
,
VLOOKUP(H6364,IMPORTRANGE(""https://docs.google.com/spreadsheets/d/14Bd19lYaqBhU8_DElYkX7l4wRkHqqCUFNJY4AfY3kHU/edit?usp=sharing  #gid=0"",""фіз особи new!relations_name""),6,FALSE)
,
(IF
(
G6364=""юридична особа""
,
VLOOKUP"&amp;"(H6364,IMPORTRANGE(""https://docs.google.com/spreadsheets/d/14Bd19lYaqBhU8_DElYkX7l4wRkHqqCUFNJY4AfY3kHU/edit?usp=sharing  #gid=0"",""фіз особи new!relations_name_uo""),7,FALSE)
,
)
))"),"#N/A")</f>
        <v>#N/A</v>
      </c>
      <c r="J6363" s="7" t="s">
        <v>30</v>
      </c>
    </row>
    <row r="6364" spans="1:10" ht="13.2">
      <c r="A6364" s="7">
        <v>6363</v>
      </c>
      <c r="B6364" s="7">
        <v>1</v>
      </c>
      <c r="C6364" s="7" t="s">
        <v>10</v>
      </c>
      <c r="D6364" s="7">
        <v>5357</v>
      </c>
      <c r="E6364" s="7" t="s">
        <v>30</v>
      </c>
      <c r="F6364" s="8" t="str">
        <f ca="1">IFERROR(__xludf.DUMMYFUNCTION("IF
(
C6365=""фізична особа""
,
VLOOKUP(D6365,IMPORTRANGE(""https://docs.google.com/spreadsheets/d/14Bd19lYaqBhU8_DElYkX7l4wRkHqqCUFNJY4AfY3kHU/edit?usp=sharing  #gid=0"",""фіз особи new!relations_name""),6,FALSE)
,
(IF
(
C6365=""юридична особа""
,
VLOOKUP"&amp;"(D6365,IMPORTRANGE(""https://docs.google.com/spreadsheets/d/14Bd19lYaqBhU8_DElYkX7l4wRkHqqCUFNJY4AfY3kHU/edit?usp=sharing  #gid=0"",""фіз особи new!relations_name_uo""),7,FALSE)
,
)
))"),"ТИМОШИН Сергій Валентинович")</f>
        <v>ТИМОШИН Сергій Валентинович</v>
      </c>
      <c r="G6364" s="7" t="s">
        <v>10</v>
      </c>
      <c r="H6364" s="7">
        <v>0</v>
      </c>
      <c r="I6364" s="8" t="str">
        <f ca="1">IFERROR(__xludf.DUMMYFUNCTION("IF
(
G6365=""фізична особа""
,
VLOOKUP(H6365,IMPORTRANGE(""https://docs.google.com/spreadsheets/d/14Bd19lYaqBhU8_DElYkX7l4wRkHqqCUFNJY4AfY3kHU/edit?usp=sharing  #gid=0"",""фіз особи new!relations_name""),6,FALSE)
,
(IF
(
G6365=""юридична особа""
,
VLOOKUP"&amp;"(H6365,IMPORTRANGE(""https://docs.google.com/spreadsheets/d/14Bd19lYaqBhU8_DElYkX7l4wRkHqqCUFNJY4AfY3kHU/edit?usp=sharing  #gid=0"",""фіз особи new!relations_name_uo""),7,FALSE)
,
)
))"),"#N/A")</f>
        <v>#N/A</v>
      </c>
      <c r="J6364" s="7" t="s">
        <v>30</v>
      </c>
    </row>
    <row r="6365" spans="1:10" ht="13.2">
      <c r="A6365" s="7">
        <v>6364</v>
      </c>
      <c r="B6365" s="7">
        <v>1</v>
      </c>
      <c r="C6365" s="7" t="s">
        <v>10</v>
      </c>
      <c r="D6365" s="7">
        <v>5357</v>
      </c>
      <c r="E6365" s="7" t="s">
        <v>30</v>
      </c>
      <c r="F6365" s="8" t="str">
        <f ca="1">IFERROR(__xludf.DUMMYFUNCTION("IF
(
C6366=""фізична особа""
,
VLOOKUP(D6366,IMPORTRANGE(""https://docs.google.com/spreadsheets/d/14Bd19lYaqBhU8_DElYkX7l4wRkHqqCUFNJY4AfY3kHU/edit?usp=sharing  #gid=0"",""фіз особи new!relations_name""),6,FALSE)
,
(IF
(
C6366=""юридична особа""
,
VLOOKUP"&amp;"(D6366,IMPORTRANGE(""https://docs.google.com/spreadsheets/d/14Bd19lYaqBhU8_DElYkX7l4wRkHqqCUFNJY4AfY3kHU/edit?usp=sharing  #gid=0"",""фіз особи new!relations_name_uo""),7,FALSE)
,
)
))"),"ТИМОШИН Сергій Валентинович")</f>
        <v>ТИМОШИН Сергій Валентинович</v>
      </c>
      <c r="G6365" s="7" t="s">
        <v>10</v>
      </c>
      <c r="H6365" s="7">
        <v>0</v>
      </c>
      <c r="I6365" s="8" t="str">
        <f ca="1">IFERROR(__xludf.DUMMYFUNCTION("IF
(
G6366=""фізична особа""
,
VLOOKUP(H6366,IMPORTRANGE(""https://docs.google.com/spreadsheets/d/14Bd19lYaqBhU8_DElYkX7l4wRkHqqCUFNJY4AfY3kHU/edit?usp=sharing  #gid=0"",""фіз особи new!relations_name""),6,FALSE)
,
(IF
(
G6366=""юридична особа""
,
VLOOKUP"&amp;"(H6366,IMPORTRANGE(""https://docs.google.com/spreadsheets/d/14Bd19lYaqBhU8_DElYkX7l4wRkHqqCUFNJY4AfY3kHU/edit?usp=sharing  #gid=0"",""фіз особи new!relations_name_uo""),7,FALSE)
,
)
))"),"#N/A")</f>
        <v>#N/A</v>
      </c>
      <c r="J6365" s="7" t="s">
        <v>30</v>
      </c>
    </row>
    <row r="6366" spans="1:10" ht="13.2">
      <c r="A6366" s="7">
        <v>6365</v>
      </c>
      <c r="B6366" s="7">
        <v>1</v>
      </c>
      <c r="C6366" s="7" t="s">
        <v>10</v>
      </c>
      <c r="D6366" s="7">
        <v>5430</v>
      </c>
      <c r="E6366" s="7" t="s">
        <v>30</v>
      </c>
      <c r="F6366" s="8" t="str">
        <f ca="1">IFERROR(__xludf.DUMMYFUNCTION("IF
(
C6367=""фізична особа""
,
VLOOKUP(D6367,IMPORTRANGE(""https://docs.google.com/spreadsheets/d/14Bd19lYaqBhU8_DElYkX7l4wRkHqqCUFNJY4AfY3kHU/edit?usp=sharing  #gid=0"",""фіз особи new!relations_name""),6,FALSE)
,
(IF
(
C6367=""юридична особа""
,
VLOOKUP"&amp;"(D6367,IMPORTRANGE(""https://docs.google.com/spreadsheets/d/14Bd19lYaqBhU8_DElYkX7l4wRkHqqCUFNJY4AfY3kHU/edit?usp=sharing  #gid=0"",""фіз особи new!relations_name_uo""),7,FALSE)
,
)
))"),"СИЗОВ Веніамін Вікторович")</f>
        <v>СИЗОВ Веніамін Вікторович</v>
      </c>
      <c r="G6366" s="7" t="s">
        <v>10</v>
      </c>
      <c r="H6366" s="7">
        <v>4623</v>
      </c>
      <c r="I6366" s="8" t="str">
        <f ca="1">IFERROR(__xludf.DUMMYFUNCTION("IF
(
G6367=""фізична особа""
,
VLOOKUP(H6367,IMPORTRANGE(""https://docs.google.com/spreadsheets/d/14Bd19lYaqBhU8_DElYkX7l4wRkHqqCUFNJY4AfY3kHU/edit?usp=sharing  #gid=0"",""фіз особи new!relations_name""),6,FALSE)
,
(IF
(
G6367=""юридична особа""
,
VLOOKUP"&amp;"(H6367,IMPORTRANGE(""https://docs.google.com/spreadsheets/d/14Bd19lYaqBhU8_DElYkX7l4wRkHqqCUFNJY4AfY3kHU/edit?usp=sharing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66" s="7" t="s">
        <v>30</v>
      </c>
    </row>
    <row r="6367" spans="1:10" ht="13.2">
      <c r="A6367" s="7">
        <v>6366</v>
      </c>
      <c r="B6367" s="7">
        <v>1</v>
      </c>
      <c r="C6367" s="7" t="s">
        <v>10</v>
      </c>
      <c r="D6367" s="7">
        <v>5431</v>
      </c>
      <c r="E6367" s="7" t="s">
        <v>30</v>
      </c>
      <c r="F6367" s="8" t="str">
        <f ca="1">IFERROR(__xludf.DUMMYFUNCTION("IF
(
C6368=""фізична особа""
,
VLOOKUP(D6368,IMPORTRANGE(""https://docs.google.com/spreadsheets/d/14Bd19lYaqBhU8_DElYkX7l4wRkHqqCUFNJY4AfY3kHU/edit?usp=sharing  #gid=0"",""фіз особи new!relations_name""),6,FALSE)
,
(IF
(
C6368=""юридична особа""
,
VLOOKUP"&amp;"(D6368,IMPORTRANGE(""https://docs.google.com/spreadsheets/d/14Bd19lYaqBhU8_DElYkX7l4wRkHqqCUFNJY4AfY3kHU/edit?usp=sharing  #gid=0"",""фіз особи new!relations_name_uo""),7,FALSE)
,
)
))"),"МАСАСІН Євгеній Олександрович")</f>
        <v>МАСАСІН Євгеній Олександрович</v>
      </c>
      <c r="G6367" s="7" t="s">
        <v>10</v>
      </c>
      <c r="H6367" s="7">
        <v>4623</v>
      </c>
      <c r="I6367" s="8" t="str">
        <f ca="1">IFERROR(__xludf.DUMMYFUNCTION("IF
(
G6368=""фізична особа""
,
VLOOKUP(H6368,IMPORTRANGE(""https://docs.google.com/spreadsheets/d/14Bd19lYaqBhU8_DElYkX7l4wRkHqqCUFNJY4AfY3kHU/edit?usp=sharing  #gid=0"",""фіз особи new!relations_name""),6,FALSE)
,
(IF
(
G6368=""юридична особа""
,
VLOOKUP"&amp;"(H6368,IMPORTRANGE(""https://docs.google.com/spreadsheets/d/14Bd19lYaqBhU8_DElYkX7l4wRkHqqCUFNJY4AfY3kHU/edit?usp=sharing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67" s="7" t="s">
        <v>30</v>
      </c>
    </row>
    <row r="6368" spans="1:10" ht="13.2">
      <c r="A6368" s="7">
        <v>6367</v>
      </c>
      <c r="B6368" s="7">
        <v>1</v>
      </c>
      <c r="C6368" s="7" t="s">
        <v>10</v>
      </c>
      <c r="D6368" s="7">
        <v>5432</v>
      </c>
      <c r="E6368" s="7" t="s">
        <v>30</v>
      </c>
      <c r="F6368" s="8" t="str">
        <f ca="1">IFERROR(__xludf.DUMMYFUNCTION("IF
(
C6369=""фізична особа""
,
VLOOKUP(D6369,IMPORTRANGE(""https://docs.google.com/spreadsheets/d/14Bd19lYaqBhU8_DElYkX7l4wRkHqqCUFNJY4AfY3kHU/edit?usp=sharing  #gid=0"",""фіз особи new!relations_name""),6,FALSE)
,
(IF
(
C6369=""юридична особа""
,
VLOOKUP"&amp;"(D6369,IMPORTRANGE(""https://docs.google.com/spreadsheets/d/14Bd19lYaqBhU8_DElYkX7l4wRkHqqCUFNJY4AfY3kHU/edit?usp=sharing  #gid=0"",""фіз особи new!relations_name_uo""),7,FALSE)
,
)
))"),"РОЖИН Євгеній Олександрович")</f>
        <v>РОЖИН Євгеній Олександрович</v>
      </c>
      <c r="G6368" s="7" t="s">
        <v>10</v>
      </c>
      <c r="H6368" s="7">
        <v>4623</v>
      </c>
      <c r="I6368" s="8" t="str">
        <f ca="1">IFERROR(__xludf.DUMMYFUNCTION("IF
(
G6369=""фізична особа""
,
VLOOKUP(H6369,IMPORTRANGE(""https://docs.google.com/spreadsheets/d/14Bd19lYaqBhU8_DElYkX7l4wRkHqqCUFNJY4AfY3kHU/edit?usp=sharing  #gid=0"",""фіз особи new!relations_name""),6,FALSE)
,
(IF
(
G6369=""юридична особа""
,
VLOOKUP"&amp;"(H6369,IMPORTRANGE(""https://docs.google.com/spreadsheets/d/14Bd19lYaqBhU8_DElYkX7l4wRkHqqCUFNJY4AfY3kHU/edit?usp=sharing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68" s="7" t="s">
        <v>30</v>
      </c>
    </row>
    <row r="6369" spans="1:10" ht="13.2">
      <c r="A6369" s="7">
        <v>6368</v>
      </c>
      <c r="B6369" s="7">
        <v>1</v>
      </c>
      <c r="C6369" s="7" t="s">
        <v>10</v>
      </c>
      <c r="D6369" s="7">
        <v>5433</v>
      </c>
      <c r="E6369" s="7" t="s">
        <v>30</v>
      </c>
      <c r="F6369" s="8" t="str">
        <f ca="1">IFERROR(__xludf.DUMMYFUNCTION("IF
(
C6370=""фізична особа""
,
VLOOKUP(D6370,IMPORTRANGE(""https://docs.google.com/spreadsheets/d/14Bd19lYaqBhU8_DElYkX7l4wRkHqqCUFNJY4AfY3kHU/edit?usp=sharing  #gid=0"",""фіз особи new!relations_name""),6,FALSE)
,
(IF
(
C6370=""юридична особа""
,
VLOOKUP"&amp;"(D6370,IMPORTRANGE(""https://docs.google.com/spreadsheets/d/14Bd19lYaqBhU8_DElYkX7l4wRkHqqCUFNJY4AfY3kHU/edit?usp=sharing  #gid=0"",""фіз особи new!relations_name_uo""),7,FALSE)
,
)
))"),"ЛИСУНОВА Світлана Миколаївна")</f>
        <v>ЛИСУНОВА Світлана Миколаївна</v>
      </c>
      <c r="G6369" s="7" t="s">
        <v>10</v>
      </c>
      <c r="H6369" s="7">
        <v>4623</v>
      </c>
      <c r="I6369" s="8" t="str">
        <f ca="1">IFERROR(__xludf.DUMMYFUNCTION("IF
(
G6370=""фізична особа""
,
VLOOKUP(H6370,IMPORTRANGE(""https://docs.google.com/spreadsheets/d/14Bd19lYaqBhU8_DElYkX7l4wRkHqqCUFNJY4AfY3kHU/edit?usp=sharing  #gid=0"",""фіз особи new!relations_name""),6,FALSE)
,
(IF
(
G6370=""юридична особа""
,
VLOOKUP"&amp;"(H6370,IMPORTRANGE(""https://docs.google.com/spreadsheets/d/14Bd19lYaqBhU8_DElYkX7l4wRkHqqCUFNJY4AfY3kHU/edit?usp=sharing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69" s="7" t="s">
        <v>30</v>
      </c>
    </row>
    <row r="6370" spans="1:10" ht="13.2">
      <c r="A6370" s="7">
        <v>6369</v>
      </c>
      <c r="B6370" s="7">
        <v>1</v>
      </c>
      <c r="C6370" s="7" t="s">
        <v>10</v>
      </c>
      <c r="D6370" s="7">
        <v>5434</v>
      </c>
      <c r="E6370" s="7" t="s">
        <v>30</v>
      </c>
      <c r="F6370" s="8" t="str">
        <f ca="1">IFERROR(__xludf.DUMMYFUNCTION("IF
(
C6371=""фізична особа""
,
VLOOKUP(D6371,IMPORTRANGE(""https://docs.google.com/spreadsheets/d/14Bd19lYaqBhU8_DElYkX7l4wRkHqqCUFNJY4AfY3kHU/edit?usp=sharing  #gid=0"",""фіз особи new!relations_name""),6,FALSE)
,
(IF
(
C6371=""юридична особа""
,
VLOOKUP"&amp;"(D6371,IMPORTRANGE(""https://docs.google.com/spreadsheets/d/14Bd19lYaqBhU8_DElYkX7l4wRkHqqCUFNJY4AfY3kHU/edit?usp=sharing  #gid=0"",""фіз особи new!relations_name_uo""),7,FALSE)
,
)
))"),"СЄРОВ Олександр Олексійович")</f>
        <v>СЄРОВ Олександр Олексійович</v>
      </c>
      <c r="G6370" s="7" t="s">
        <v>10</v>
      </c>
      <c r="H6370" s="7">
        <v>4623</v>
      </c>
      <c r="I6370" s="8" t="str">
        <f ca="1">IFERROR(__xludf.DUMMYFUNCTION("IF
(
G6371=""фізична особа""
,
VLOOKUP(H6371,IMPORTRANGE(""https://docs.google.com/spreadsheets/d/14Bd19lYaqBhU8_DElYkX7l4wRkHqqCUFNJY4AfY3kHU/edit?usp=sharing  #gid=0"",""фіз особи new!relations_name""),6,FALSE)
,
(IF
(
G6371=""юридична особа""
,
VLOOKUP"&amp;"(H6371,IMPORTRANGE(""https://docs.google.com/spreadsheets/d/14Bd19lYaqBhU8_DElYkX7l4wRkHqqCUFNJY4AfY3kHU/edit?usp=sharing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0" s="7" t="s">
        <v>30</v>
      </c>
    </row>
    <row r="6371" spans="1:10" ht="13.2">
      <c r="A6371" s="7">
        <v>6370</v>
      </c>
      <c r="B6371" s="7">
        <v>1</v>
      </c>
      <c r="C6371" s="7" t="s">
        <v>10</v>
      </c>
      <c r="D6371" s="7">
        <v>5435</v>
      </c>
      <c r="E6371" s="7" t="s">
        <v>30</v>
      </c>
      <c r="F6371" s="8" t="str">
        <f ca="1">IFERROR(__xludf.DUMMYFUNCTION("IF
(
C6372=""фізична особа""
,
VLOOKUP(D6372,IMPORTRANGE(""https://docs.google.com/spreadsheets/d/14Bd19lYaqBhU8_DElYkX7l4wRkHqqCUFNJY4AfY3kHU/edit?usp=sharing  #gid=0"",""фіз особи new!relations_name""),6,FALSE)
,
(IF
(
C6372=""юридична особа""
,
VLOOKUP"&amp;"(D6372,IMPORTRANGE(""https://docs.google.com/spreadsheets/d/14Bd19lYaqBhU8_DElYkX7l4wRkHqqCUFNJY4AfY3kHU/edit?usp=sharing  #gid=0"",""фіз особи new!relations_name_uo""),7,FALSE)
,
)
))"),"БЄЛИХ Дмитро Іванович")</f>
        <v>БЄЛИХ Дмитро Іванович</v>
      </c>
      <c r="G6371" s="7" t="s">
        <v>10</v>
      </c>
      <c r="H6371" s="7">
        <v>4623</v>
      </c>
      <c r="I6371" s="8" t="str">
        <f ca="1">IFERROR(__xludf.DUMMYFUNCTION("IF
(
G6372=""фізична особа""
,
VLOOKUP(H6372,IMPORTRANGE(""https://docs.google.com/spreadsheets/d/14Bd19lYaqBhU8_DElYkX7l4wRkHqqCUFNJY4AfY3kHU/edit?usp=sharing  #gid=0"",""фіз особи new!relations_name""),6,FALSE)
,
(IF
(
G6372=""юридична особа""
,
VLOOKUP"&amp;"(H6372,IMPORTRANGE(""https://docs.google.com/spreadsheets/d/14Bd19lYaqBhU8_DElYkX7l4wRkHqqCUFNJY4AfY3kHU/edit?usp=sharing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1" s="7" t="s">
        <v>30</v>
      </c>
    </row>
    <row r="6372" spans="1:10" ht="13.2">
      <c r="A6372" s="7">
        <v>6371</v>
      </c>
      <c r="B6372" s="7">
        <v>1</v>
      </c>
      <c r="C6372" s="7" t="s">
        <v>10</v>
      </c>
      <c r="D6372" s="7">
        <v>5436</v>
      </c>
      <c r="E6372" s="7" t="s">
        <v>30</v>
      </c>
      <c r="F6372" s="8" t="str">
        <f ca="1">IFERROR(__xludf.DUMMYFUNCTION("IF
(
C6373=""фізична особа""
,
VLOOKUP(D6373,IMPORTRANGE(""https://docs.google.com/spreadsheets/d/14Bd19lYaqBhU8_DElYkX7l4wRkHqqCUFNJY4AfY3kHU/edit?usp=sharing  #gid=0"",""фіз особи new!relations_name""),6,FALSE)
,
(IF
(
C6373=""юридична особа""
,
VLOOKUP"&amp;"(D6373,IMPORTRANGE(""https://docs.google.com/spreadsheets/d/14Bd19lYaqBhU8_DElYkX7l4wRkHqqCUFNJY4AfY3kHU/edit?usp=sharing  #gid=0"",""фіз особи new!relations_name_uo""),7,FALSE)
,
)
))"),"ДАНЕЦЬ Андрій Володимирович")</f>
        <v>ДАНЕЦЬ Андрій Володимирович</v>
      </c>
      <c r="G6372" s="7" t="s">
        <v>10</v>
      </c>
      <c r="H6372" s="7">
        <v>4623</v>
      </c>
      <c r="I6372" s="8" t="str">
        <f ca="1">IFERROR(__xludf.DUMMYFUNCTION("IF
(
G6373=""фізична особа""
,
VLOOKUP(H6373,IMPORTRANGE(""https://docs.google.com/spreadsheets/d/14Bd19lYaqBhU8_DElYkX7l4wRkHqqCUFNJY4AfY3kHU/edit?usp=sharing  #gid=0"",""фіз особи new!relations_name""),6,FALSE)
,
(IF
(
G6373=""юридична особа""
,
VLOOKUP"&amp;"(H6373,IMPORTRANGE(""https://docs.google.com/spreadsheets/d/14Bd19lYaqBhU8_DElYkX7l4wRkHqqCUFNJY4AfY3kHU/edit?usp=sharing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2" s="7" t="s">
        <v>30</v>
      </c>
    </row>
    <row r="6373" spans="1:10" ht="13.2">
      <c r="A6373" s="7">
        <v>6372</v>
      </c>
      <c r="B6373" s="7">
        <v>1</v>
      </c>
      <c r="C6373" s="7" t="s">
        <v>10</v>
      </c>
      <c r="D6373" s="7">
        <v>5437</v>
      </c>
      <c r="E6373" s="7" t="s">
        <v>30</v>
      </c>
      <c r="F6373" s="8" t="str">
        <f ca="1">IFERROR(__xludf.DUMMYFUNCTION("IF
(
C6374=""фізична особа""
,
VLOOKUP(D6374,IMPORTRANGE(""https://docs.google.com/spreadsheets/d/14Bd19lYaqBhU8_DElYkX7l4wRkHqqCUFNJY4AfY3kHU/edit?usp=sharing  #gid=0"",""фіз особи new!relations_name""),6,FALSE)
,
(IF
(
C6374=""юридична особа""
,
VLOOKUP"&amp;"(D6374,IMPORTRANGE(""https://docs.google.com/spreadsheets/d/14Bd19lYaqBhU8_DElYkX7l4wRkHqqCUFNJY4AfY3kHU/edit?usp=sharing  #gid=0"",""фіз особи new!relations_name_uo""),7,FALSE)
,
)
))"),"ПОПОВ Євгеній Васильович")</f>
        <v>ПОПОВ Євгеній Васильович</v>
      </c>
      <c r="G6373" s="7" t="s">
        <v>10</v>
      </c>
      <c r="H6373" s="7">
        <v>4623</v>
      </c>
      <c r="I6373" s="8" t="str">
        <f ca="1">IFERROR(__xludf.DUMMYFUNCTION("IF
(
G6374=""фізична особа""
,
VLOOKUP(H6374,IMPORTRANGE(""https://docs.google.com/spreadsheets/d/14Bd19lYaqBhU8_DElYkX7l4wRkHqqCUFNJY4AfY3kHU/edit?usp=sharing  #gid=0"",""фіз особи new!relations_name""),6,FALSE)
,
(IF
(
G6374=""юридична особа""
,
VLOOKUP"&amp;"(H6374,IMPORTRANGE(""https://docs.google.com/spreadsheets/d/14Bd19lYaqBhU8_DElYkX7l4wRkHqqCUFNJY4AfY3kHU/edit?usp=sharing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3" s="7" t="s">
        <v>30</v>
      </c>
    </row>
    <row r="6374" spans="1:10" ht="13.2">
      <c r="A6374" s="7">
        <v>6373</v>
      </c>
      <c r="B6374" s="7">
        <v>1</v>
      </c>
      <c r="C6374" s="7" t="s">
        <v>10</v>
      </c>
      <c r="D6374" s="7">
        <v>5438</v>
      </c>
      <c r="E6374" s="7" t="s">
        <v>30</v>
      </c>
      <c r="F6374" s="8" t="str">
        <f ca="1">IFERROR(__xludf.DUMMYFUNCTION("IF
(
C6375=""фізична особа""
,
VLOOKUP(D6375,IMPORTRANGE(""https://docs.google.com/spreadsheets/d/14Bd19lYaqBhU8_DElYkX7l4wRkHqqCUFNJY4AfY3kHU/edit?usp=sharing  #gid=0"",""фіз особи new!relations_name""),6,FALSE)
,
(IF
(
C6375=""юридична особа""
,
VLOOKUP"&amp;"(D6375,IMPORTRANGE(""https://docs.google.com/spreadsheets/d/14Bd19lYaqBhU8_DElYkX7l4wRkHqqCUFNJY4AfY3kHU/edit?usp=sharing  #gid=0"",""фіз особи new!relations_name_uo""),7,FALSE)
,
)
))"),"ВОЛОЧАЄВ Дмитро Всеволодович")</f>
        <v>ВОЛОЧАЄВ Дмитро Всеволодович</v>
      </c>
      <c r="G6374" s="7" t="s">
        <v>10</v>
      </c>
      <c r="H6374" s="7">
        <v>4623</v>
      </c>
      <c r="I6374" s="8" t="str">
        <f ca="1">IFERROR(__xludf.DUMMYFUNCTION("IF
(
G6375=""фізична особа""
,
VLOOKUP(H6375,IMPORTRANGE(""https://docs.google.com/spreadsheets/d/14Bd19lYaqBhU8_DElYkX7l4wRkHqqCUFNJY4AfY3kHU/edit?usp=sharing  #gid=0"",""фіз особи new!relations_name""),6,FALSE)
,
(IF
(
G6375=""юридична особа""
,
VLOOKUP"&amp;"(H6375,IMPORTRANGE(""https://docs.google.com/spreadsheets/d/14Bd19lYaqBhU8_DElYkX7l4wRkHqqCUFNJY4AfY3kHU/edit?usp=sharing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4" s="7" t="s">
        <v>30</v>
      </c>
    </row>
    <row r="6375" spans="1:10" ht="13.2">
      <c r="A6375" s="7">
        <v>6374</v>
      </c>
      <c r="B6375" s="7">
        <v>1</v>
      </c>
      <c r="C6375" s="7" t="s">
        <v>10</v>
      </c>
      <c r="D6375" s="7">
        <v>5439</v>
      </c>
      <c r="E6375" s="7" t="s">
        <v>30</v>
      </c>
      <c r="F6375" s="8" t="str">
        <f ca="1">IFERROR(__xludf.DUMMYFUNCTION("IF
(
C6376=""фізична особа""
,
VLOOKUP(D6376,IMPORTRANGE(""https://docs.google.com/spreadsheets/d/14Bd19lYaqBhU8_DElYkX7l4wRkHqqCUFNJY4AfY3kHU/edit?usp=sharing  #gid=0"",""фіз особи new!relations_name""),6,FALSE)
,
(IF
(
C6376=""юридична особа""
,
VLOOKUP"&amp;"(D6376,IMPORTRANGE(""https://docs.google.com/spreadsheets/d/14Bd19lYaqBhU8_DElYkX7l4wRkHqqCUFNJY4AfY3kHU/edit?usp=sharing  #gid=0"",""фіз особи new!relations_name_uo""),7,FALSE)
,
)
))"),"БУРКОВ Єгор Олександрович")</f>
        <v>БУРКОВ Єгор Олександрович</v>
      </c>
      <c r="G6375" s="7" t="s">
        <v>10</v>
      </c>
      <c r="H6375" s="7">
        <v>4623</v>
      </c>
      <c r="I6375" s="8" t="str">
        <f ca="1">IFERROR(__xludf.DUMMYFUNCTION("IF
(
G6376=""фізична особа""
,
VLOOKUP(H6376,IMPORTRANGE(""https://docs.google.com/spreadsheets/d/14Bd19lYaqBhU8_DElYkX7l4wRkHqqCUFNJY4AfY3kHU/edit?usp=sharing  #gid=0"",""фіз особи new!relations_name""),6,FALSE)
,
(IF
(
G6376=""юридична особа""
,
VLOOKUP"&amp;"(H6376,IMPORTRANGE(""https://docs.google.com/spreadsheets/d/14Bd19lYaqBhU8_DElYkX7l4wRkHqqCUFNJY4AfY3kHU/edit?usp=sharing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6375" s="7" t="s">
        <v>30</v>
      </c>
    </row>
    <row r="6376" spans="1:10" ht="13.2">
      <c r="A6376" s="7">
        <v>6375</v>
      </c>
      <c r="B6376" s="7">
        <v>1</v>
      </c>
      <c r="C6376" s="7" t="s">
        <v>10</v>
      </c>
      <c r="D6376" s="7">
        <v>5455</v>
      </c>
      <c r="E6376" s="7" t="s">
        <v>28</v>
      </c>
      <c r="F6376" s="8" t="str">
        <f ca="1">IFERROR(__xludf.DUMMYFUNCTION("IF
(
C6377=""фізична особа""
,
VLOOKUP(D6377,IMPORTRANGE(""https://docs.google.com/spreadsheets/d/14Bd19lYaqBhU8_DElYkX7l4wRkHqqCUFNJY4AfY3kHU/edit?usp=sharing  #gid=0"",""фіз особи new!relations_name""),6,FALSE)
,
(IF
(
C6377=""юридична особа""
,
VLOOKUP"&amp;"(D6377,IMPORTRANGE(""https://docs.google.com/spreadsheets/d/14Bd19lYaqBhU8_DElYkX7l4wRkHqqCUFNJY4AfY3kHU/edit?usp=sharing  #gid=0"",""фіз особи new!relations_name_uo""),7,FALSE)
,
)
))"),"КОПТЄВ Юрій Миколайович")</f>
        <v>КОПТЄВ Юрій Миколайович</v>
      </c>
      <c r="G6376" s="7" t="s">
        <v>10</v>
      </c>
      <c r="H6376" s="7">
        <v>2145</v>
      </c>
      <c r="I6376" s="8" t="str">
        <f ca="1">IFERROR(__xludf.DUMMYFUNCTION("IF
(
G6377=""фізична особа""
,
VLOOKUP(H6377,IMPORTRANGE(""https://docs.google.com/spreadsheets/d/14Bd19lYaqBhU8_DElYkX7l4wRkHqqCUFNJY4AfY3kHU/edit?usp=sharing  #gid=0"",""фіз особи new!relations_name""),6,FALSE)
,
(IF
(
G6377=""юридична особа""
,
VLOOKUP"&amp;"(H6377,IMPORTRANGE(""https://docs.google.com/spreadsheets/d/14Bd19lYaqBhU8_DElYkX7l4wRkHqqCUFNJY4AfY3kHU/edit?usp=sharing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6376" s="7" t="s">
        <v>29</v>
      </c>
    </row>
    <row r="6377" spans="1:10" ht="13.2">
      <c r="A6377" s="7">
        <v>6376</v>
      </c>
      <c r="B6377" s="7">
        <v>1</v>
      </c>
      <c r="C6377" s="7" t="s">
        <v>10</v>
      </c>
      <c r="D6377" s="7">
        <v>5461</v>
      </c>
      <c r="E6377" s="7" t="s">
        <v>11</v>
      </c>
      <c r="F6377" s="8" t="str">
        <f ca="1">IFERROR(__xludf.DUMMYFUNCTION("IF
(
C6378=""фізична особа""
,
VLOOKUP(D6378,IMPORTRANGE(""https://docs.google.com/spreadsheets/d/14Bd19lYaqBhU8_DElYkX7l4wRkHqqCUFNJY4AfY3kHU/edit?usp=sharing  #gid=0"",""фіз особи new!relations_name""),6,FALSE)
,
(IF
(
C6378=""юридична особа""
,
VLOOKUP"&amp;"(D6378,IMPORTRANGE(""https://docs.google.com/spreadsheets/d/14Bd19lYaqBhU8_DElYkX7l4wRkHqqCUFNJY4AfY3kHU/edit?usp=sharing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G6377" s="7" t="s">
        <v>10</v>
      </c>
      <c r="H6377" s="7">
        <v>16949</v>
      </c>
      <c r="I6377" s="8" t="str">
        <f ca="1">IFERROR(__xludf.DUMMYFUNCTION("IF
(
G6378=""фізична особа""
,
VLOOKUP(H6378,IMPORTRANGE(""https://docs.google.com/spreadsheets/d/14Bd19lYaqBhU8_DElYkX7l4wRkHqqCUFNJY4AfY3kHU/edit?usp=sharing  #gid=0"",""фіз особи new!relations_name""),6,FALSE)
,
(IF
(
G6378=""юридична особа""
,
VLOOKUP"&amp;"(H6378,IMPORTRANGE(""https://docs.google.com/spreadsheets/d/14Bd19lYaqBhU8_DElYkX7l4wRkHqqCUFNJY4AfY3kHU/edit?usp=sharing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J6377" s="7" t="s">
        <v>11</v>
      </c>
    </row>
    <row r="6378" spans="1:10" ht="13.2">
      <c r="A6378" s="7">
        <v>6377</v>
      </c>
      <c r="B6378" s="7">
        <v>1</v>
      </c>
      <c r="C6378" s="7" t="s">
        <v>10</v>
      </c>
      <c r="D6378" s="7">
        <v>5461</v>
      </c>
      <c r="E6378" s="7" t="s">
        <v>11</v>
      </c>
      <c r="F6378" s="8" t="str">
        <f ca="1">IFERROR(__xludf.DUMMYFUNCTION("IF
(
C6379=""фізична особа""
,
VLOOKUP(D6379,IMPORTRANGE(""https://docs.google.com/spreadsheets/d/14Bd19lYaqBhU8_DElYkX7l4wRkHqqCUFNJY4AfY3kHU/edit?usp=sharing  #gid=0"",""фіз особи new!relations_name""),6,FALSE)
,
(IF
(
C6379=""юридична особа""
,
VLOOKUP"&amp;"(D6379,IMPORTRANGE(""https://docs.google.com/spreadsheets/d/14Bd19lYaqBhU8_DElYkX7l4wRkHqqCUFNJY4AfY3kHU/edit?usp=sharing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G6378" s="7" t="s">
        <v>10</v>
      </c>
      <c r="H6378" s="7">
        <v>16950</v>
      </c>
      <c r="I6378" s="8" t="str">
        <f ca="1">IFERROR(__xludf.DUMMYFUNCTION("IF
(
G6379=""фізична особа""
,
VLOOKUP(H6379,IMPORTRANGE(""https://docs.google.com/spreadsheets/d/14Bd19lYaqBhU8_DElYkX7l4wRkHqqCUFNJY4AfY3kHU/edit?usp=sharing  #gid=0"",""фіз особи new!relations_name""),6,FALSE)
,
(IF
(
G6379=""юридична особа""
,
VLOOKUP"&amp;"(H6379,IMPORTRANGE(""https://docs.google.com/spreadsheets/d/14Bd19lYaqBhU8_DElYkX7l4wRkHqqCUFNJY4AfY3kHU/edit?usp=sharing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J6378" s="7" t="s">
        <v>11</v>
      </c>
    </row>
    <row r="6379" spans="1:10" ht="13.2">
      <c r="A6379" s="7">
        <v>6378</v>
      </c>
      <c r="B6379" s="7">
        <v>1</v>
      </c>
      <c r="C6379" s="7" t="s">
        <v>10</v>
      </c>
      <c r="D6379" s="7">
        <v>5461</v>
      </c>
      <c r="E6379" s="7" t="s">
        <v>11</v>
      </c>
      <c r="F6379" s="8" t="str">
        <f ca="1">IFERROR(__xludf.DUMMYFUNCTION("IF
(
C6380=""фізична особа""
,
VLOOKUP(D6380,IMPORTRANGE(""https://docs.google.com/spreadsheets/d/14Bd19lYaqBhU8_DElYkX7l4wRkHqqCUFNJY4AfY3kHU/edit?usp=sharing  #gid=0"",""фіз особи new!relations_name""),6,FALSE)
,
(IF
(
C6380=""юридична особа""
,
VLOOKUP"&amp;"(D6380,IMPORTRANGE(""https://docs.google.com/spreadsheets/d/14Bd19lYaqBhU8_DElYkX7l4wRkHqqCUFNJY4AfY3kHU/edit?usp=sharing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G6379" s="7" t="s">
        <v>10</v>
      </c>
      <c r="H6379" s="7">
        <v>16951</v>
      </c>
      <c r="I6379" s="8" t="str">
        <f ca="1">IFERROR(__xludf.DUMMYFUNCTION("IF
(
G6380=""фізична особа""
,
VLOOKUP(H6380,IMPORTRANGE(""https://docs.google.com/spreadsheets/d/14Bd19lYaqBhU8_DElYkX7l4wRkHqqCUFNJY4AfY3kHU/edit?usp=sharing  #gid=0"",""фіз особи new!relations_name""),6,FALSE)
,
(IF
(
G6380=""юридична особа""
,
VLOOKUP"&amp;"(H6380,IMPORTRANGE(""https://docs.google.com/spreadsheets/d/14Bd19lYaqBhU8_DElYkX7l4wRkHqqCUFNJY4AfY3kHU/edit?usp=sharing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J6379" s="7" t="s">
        <v>11</v>
      </c>
    </row>
    <row r="6380" spans="1:10" ht="13.2">
      <c r="A6380" s="7">
        <v>6379</v>
      </c>
      <c r="B6380" s="7">
        <v>1</v>
      </c>
      <c r="C6380" s="7" t="s">
        <v>10</v>
      </c>
      <c r="D6380" s="7">
        <v>5461</v>
      </c>
      <c r="E6380" s="7" t="s">
        <v>11</v>
      </c>
      <c r="F6380" s="8" t="str">
        <f ca="1">IFERROR(__xludf.DUMMYFUNCTION("IF
(
C6381=""фізична особа""
,
VLOOKUP(D6381,IMPORTRANGE(""https://docs.google.com/spreadsheets/d/14Bd19lYaqBhU8_DElYkX7l4wRkHqqCUFNJY4AfY3kHU/edit?usp=sharing  #gid=0"",""фіз особи new!relations_name""),6,FALSE)
,
(IF
(
C6381=""юридична особа""
,
VLOOKUP"&amp;"(D6381,IMPORTRANGE(""https://docs.google.com/spreadsheets/d/14Bd19lYaqBhU8_DElYkX7l4wRkHqqCUFNJY4AfY3kHU/edit?usp=sharing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G6380" s="7" t="s">
        <v>10</v>
      </c>
      <c r="H6380" s="7">
        <v>0</v>
      </c>
      <c r="I6380" s="8" t="str">
        <f ca="1">IFERROR(__xludf.DUMMYFUNCTION("IF
(
G6381=""фізична особа""
,
VLOOKUP(H6381,IMPORTRANGE(""https://docs.google.com/spreadsheets/d/14Bd19lYaqBhU8_DElYkX7l4wRkHqqCUFNJY4AfY3kHU/edit?usp=sharing  #gid=0"",""фіз особи new!relations_name""),6,FALSE)
,
(IF
(
G6381=""юридична особа""
,
VLOOKUP"&amp;"(H6381,IMPORTRANGE(""https://docs.google.com/spreadsheets/d/14Bd19lYaqBhU8_DElYkX7l4wRkHqqCUFNJY4AfY3kHU/edit?usp=sharing  #gid=0"",""фіз особи new!relations_name_uo""),7,FALSE)
,
)
))"),"#N/A")</f>
        <v>#N/A</v>
      </c>
      <c r="J6380" s="7" t="s">
        <v>11</v>
      </c>
    </row>
    <row r="6381" spans="1:10" ht="13.2">
      <c r="A6381" s="7">
        <v>6380</v>
      </c>
      <c r="B6381" s="7">
        <v>1</v>
      </c>
      <c r="C6381" s="7" t="s">
        <v>10</v>
      </c>
      <c r="D6381" s="7">
        <v>5461</v>
      </c>
      <c r="E6381" s="7" t="s">
        <v>11</v>
      </c>
      <c r="F6381" s="8" t="str">
        <f ca="1">IFERROR(__xludf.DUMMYFUNCTION("IF
(
C6382=""фізична особа""
,
VLOOKUP(D6382,IMPORTRANGE(""https://docs.google.com/spreadsheets/d/14Bd19lYaqBhU8_DElYkX7l4wRkHqqCUFNJY4AfY3kHU/edit?usp=sharing  #gid=0"",""фіз особи new!relations_name""),6,FALSE)
,
(IF
(
C6382=""юридична особа""
,
VLOOKUP"&amp;"(D6382,IMPORTRANGE(""https://docs.google.com/spreadsheets/d/14Bd19lYaqBhU8_DElYkX7l4wRkHqqCUFNJY4AfY3kHU/edit?usp=sharing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G6381" s="7" t="s">
        <v>10</v>
      </c>
      <c r="H6381" s="7">
        <v>0</v>
      </c>
      <c r="I6381" s="8" t="str">
        <f ca="1">IFERROR(__xludf.DUMMYFUNCTION("IF
(
G6382=""фізична особа""
,
VLOOKUP(H6382,IMPORTRANGE(""https://docs.google.com/spreadsheets/d/14Bd19lYaqBhU8_DElYkX7l4wRkHqqCUFNJY4AfY3kHU/edit?usp=sharing  #gid=0"",""фіз особи new!relations_name""),6,FALSE)
,
(IF
(
G6382=""юридична особа""
,
VLOOKUP"&amp;"(H6382,IMPORTRANGE(""https://docs.google.com/spreadsheets/d/14Bd19lYaqBhU8_DElYkX7l4wRkHqqCUFNJY4AfY3kHU/edit?usp=sharing  #gid=0"",""фіз особи new!relations_name_uo""),7,FALSE)
,
)
))"),"#N/A")</f>
        <v>#N/A</v>
      </c>
      <c r="J6381" s="7" t="s">
        <v>11</v>
      </c>
    </row>
    <row r="6382" spans="1:10" ht="13.2">
      <c r="A6382" s="7">
        <v>6381</v>
      </c>
      <c r="B6382" s="7">
        <v>1</v>
      </c>
      <c r="C6382" s="7" t="s">
        <v>10</v>
      </c>
      <c r="D6382" s="7">
        <v>5480</v>
      </c>
      <c r="E6382" s="7" t="s">
        <v>12</v>
      </c>
      <c r="F6382" s="8" t="str">
        <f ca="1">IFERROR(__xludf.DUMMYFUNCTION("IF
(
C6383=""фізична особа""
,
VLOOKUP(D6383,IMPORTRANGE(""https://docs.google.com/spreadsheets/d/14Bd19lYaqBhU8_DElYkX7l4wRkHqqCUFNJY4AfY3kHU/edit?usp=sharing  #gid=0"",""фіз особи new!relations_name""),6,FALSE)
,
(IF
(
C6383=""юридична особа""
,
VLOOKUP"&amp;"(D6383,IMPORTRANGE(""https://docs.google.com/spreadsheets/d/14Bd19lYaqBhU8_DElYkX7l4wRkHqqCUFNJY4AfY3kHU/edit?usp=sharing  #gid=0"",""фіз особи new!relations_name_uo""),7,FALSE)
,
)
))"),"ШУЛЯКОВ Олександр Васильович")</f>
        <v>ШУЛЯКОВ Олександр Васильович</v>
      </c>
      <c r="G6382" s="7" t="s">
        <v>10</v>
      </c>
      <c r="H6382" s="7">
        <v>0</v>
      </c>
      <c r="I6382" s="8" t="str">
        <f ca="1">IFERROR(__xludf.DUMMYFUNCTION("IF
(
G6383=""фізична особа""
,
VLOOKUP(H6383,IMPORTRANGE(""https://docs.google.com/spreadsheets/d/14Bd19lYaqBhU8_DElYkX7l4wRkHqqCUFNJY4AfY3kHU/edit?usp=sharing  #gid=0"",""фіз особи new!relations_name""),6,FALSE)
,
(IF
(
G6383=""юридична особа""
,
VLOOKUP"&amp;"(H6383,IMPORTRANGE(""https://docs.google.com/spreadsheets/d/14Bd19lYaqBhU8_DElYkX7l4wRkHqqCUFNJY4AfY3kHU/edit?usp=sharing  #gid=0"",""фіз особи new!relations_name_uo""),7,FALSE)
,
)
))"),"#N/A")</f>
        <v>#N/A</v>
      </c>
      <c r="J6382" s="7" t="s">
        <v>17</v>
      </c>
    </row>
    <row r="6383" spans="1:10" ht="13.2">
      <c r="A6383" s="7">
        <v>6382</v>
      </c>
      <c r="B6383" s="7">
        <v>1</v>
      </c>
      <c r="C6383" s="7" t="s">
        <v>10</v>
      </c>
      <c r="D6383" s="7">
        <v>5607</v>
      </c>
      <c r="E6383" s="7" t="s">
        <v>12</v>
      </c>
      <c r="F6383" s="8" t="str">
        <f ca="1">IFERROR(__xludf.DUMMYFUNCTION("IF
(
C6384=""фізична особа""
,
VLOOKUP(D6384,IMPORTRANGE(""https://docs.google.com/spreadsheets/d/14Bd19lYaqBhU8_DElYkX7l4wRkHqqCUFNJY4AfY3kHU/edit?usp=sharing  #gid=0"",""фіз особи new!relations_name""),6,FALSE)
,
(IF
(
C6384=""юридична особа""
,
VLOOKUP"&amp;"(D6384,IMPORTRANGE(""https://docs.google.com/spreadsheets/d/14Bd19lYaqBhU8_DElYkX7l4wRkHqqCUFNJY4AfY3kHU/edit?usp=sharing  #gid=0"",""фіз особи new!relations_name_uo""),7,FALSE)
,
)
))"),"БОБРИШЕВ Олександр Петрович")</f>
        <v>БОБРИШЕВ Олександр Петрович</v>
      </c>
      <c r="G6383" s="7" t="s">
        <v>10</v>
      </c>
      <c r="H6383" s="7">
        <v>0</v>
      </c>
      <c r="I6383" s="8" t="str">
        <f ca="1">IFERROR(__xludf.DUMMYFUNCTION("IF
(
G6384=""фізична особа""
,
VLOOKUP(H6384,IMPORTRANGE(""https://docs.google.com/spreadsheets/d/14Bd19lYaqBhU8_DElYkX7l4wRkHqqCUFNJY4AfY3kHU/edit?usp=sharing  #gid=0"",""фіз особи new!relations_name""),6,FALSE)
,
(IF
(
G6384=""юридична особа""
,
VLOOKUP"&amp;"(H6384,IMPORTRANGE(""https://docs.google.com/spreadsheets/d/14Bd19lYaqBhU8_DElYkX7l4wRkHqqCUFNJY4AfY3kHU/edit?usp=sharing  #gid=0"",""фіз особи new!relations_name_uo""),7,FALSE)
,
)
))"),"#N/A")</f>
        <v>#N/A</v>
      </c>
      <c r="J6383" s="7" t="s">
        <v>17</v>
      </c>
    </row>
    <row r="6384" spans="1:10" ht="13.2">
      <c r="A6384" s="7">
        <v>6383</v>
      </c>
      <c r="B6384" s="7">
        <v>1</v>
      </c>
      <c r="C6384" s="7" t="s">
        <v>10</v>
      </c>
      <c r="D6384" s="7">
        <v>5607</v>
      </c>
      <c r="E6384" s="7" t="s">
        <v>34</v>
      </c>
      <c r="F6384" s="8" t="str">
        <f ca="1">IFERROR(__xludf.DUMMYFUNCTION("IF
(
C6385=""фізична особа""
,
VLOOKUP(D6385,IMPORTRANGE(""https://docs.google.com/spreadsheets/d/14Bd19lYaqBhU8_DElYkX7l4wRkHqqCUFNJY4AfY3kHU/edit?usp=sharing  #gid=0"",""фіз особи new!relations_name""),6,FALSE)
,
(IF
(
C6385=""юридична особа""
,
VLOOKUP"&amp;"(D6385,IMPORTRANGE(""https://docs.google.com/spreadsheets/d/14Bd19lYaqBhU8_DElYkX7l4wRkHqqCUFNJY4AfY3kHU/edit?usp=sharing  #gid=0"",""фіз особи new!relations_name_uo""),7,FALSE)
,
)
))"),"БОБРИШЕВ Олександр Петрович")</f>
        <v>БОБРИШЕВ Олександр Петрович</v>
      </c>
      <c r="G6384" s="7" t="s">
        <v>10</v>
      </c>
      <c r="H6384" s="7">
        <v>0</v>
      </c>
      <c r="I6384" s="8" t="str">
        <f ca="1">IFERROR(__xludf.DUMMYFUNCTION("IF
(
G6385=""фізична особа""
,
VLOOKUP(H6385,IMPORTRANGE(""https://docs.google.com/spreadsheets/d/14Bd19lYaqBhU8_DElYkX7l4wRkHqqCUFNJY4AfY3kHU/edit?usp=sharing  #gid=0"",""фіз особи new!relations_name""),6,FALSE)
,
(IF
(
G6385=""юридична особа""
,
VLOOKUP"&amp;"(H6385,IMPORTRANGE(""https://docs.google.com/spreadsheets/d/14Bd19lYaqBhU8_DElYkX7l4wRkHqqCUFNJY4AfY3kHU/edit?usp=sharing  #gid=0"",""фіз особи new!relations_name_uo""),7,FALSE)
,
)
))"),"#N/A")</f>
        <v>#N/A</v>
      </c>
      <c r="J6384" s="7" t="s">
        <v>25</v>
      </c>
    </row>
    <row r="6385" spans="1:10" ht="13.2">
      <c r="A6385" s="7">
        <v>6384</v>
      </c>
      <c r="B6385" s="7">
        <v>1</v>
      </c>
      <c r="C6385" s="7" t="s">
        <v>10</v>
      </c>
      <c r="D6385" s="7">
        <v>5608</v>
      </c>
      <c r="E6385" s="7" t="s">
        <v>13</v>
      </c>
      <c r="F6385" s="8" t="str">
        <f ca="1">IFERROR(__xludf.DUMMYFUNCTION("IF
(
C6386=""фізична особа""
,
VLOOKUP(D6386,IMPORTRANGE(""https://docs.google.com/spreadsheets/d/14Bd19lYaqBhU8_DElYkX7l4wRkHqqCUFNJY4AfY3kHU/edit?usp=sharing  #gid=0"",""фіз особи new!relations_name""),6,FALSE)
,
(IF
(
C6386=""юридична особа""
,
VLOOKUP"&amp;"(D6386,IMPORTRANGE(""https://docs.google.com/spreadsheets/d/14Bd19lYaqBhU8_DElYkX7l4wRkHqqCUFNJY4AfY3kHU/edit?usp=sharing  #gid=0"",""фіз особи new!relations_name_uo""),7,FALSE)
,
)
))"),"ЗАТУЛІНА Дар'я Костянтинівна")</f>
        <v>ЗАТУЛІНА Дар'я Костянтинівна</v>
      </c>
      <c r="G6385" s="7" t="s">
        <v>10</v>
      </c>
      <c r="H6385" s="7">
        <v>953</v>
      </c>
      <c r="I6385" s="8" t="str">
        <f ca="1">IFERROR(__xludf.DUMMYFUNCTION("IF
(
G6386=""фізична особа""
,
VLOOKUP(H6386,IMPORTRANGE(""https://docs.google.com/spreadsheets/d/14Bd19lYaqBhU8_DElYkX7l4wRkHqqCUFNJY4AfY3kHU/edit?usp=sharing  #gid=0"",""фіз особи new!relations_name""),6,FALSE)
,
(IF
(
G6386=""юридична особа""
,
VLOOKUP"&amp;"(H6386,IMPORTRANGE(""https://docs.google.com/spreadsheets/d/14Bd19lYaqBhU8_DElYkX7l4wRkHqqCUFNJY4AfY3kHU/edit?usp=sharing  #gid=0"",""фіз особи new!relations_name_uo""),7,FALSE)
,
)
))"),"ЗАТУЛІН Костянтин Федорович")</f>
        <v>ЗАТУЛІН Костянтин Федорович</v>
      </c>
      <c r="J6385" s="7" t="s">
        <v>12</v>
      </c>
    </row>
    <row r="6386" spans="1:10" ht="13.2">
      <c r="A6386" s="7">
        <v>6385</v>
      </c>
      <c r="B6386" s="7">
        <v>1</v>
      </c>
      <c r="C6386" s="7" t="s">
        <v>10</v>
      </c>
      <c r="D6386" s="7">
        <v>5608</v>
      </c>
      <c r="E6386" s="7" t="s">
        <v>40</v>
      </c>
      <c r="F6386" s="8" t="str">
        <f ca="1">IFERROR(__xludf.DUMMYFUNCTION("IF
(
C6387=""фізична особа""
,
VLOOKUP(D6387,IMPORTRANGE(""https://docs.google.com/spreadsheets/d/14Bd19lYaqBhU8_DElYkX7l4wRkHqqCUFNJY4AfY3kHU/edit?usp=sharing  #gid=0"",""фіз особи new!relations_name""),6,FALSE)
,
(IF
(
C6387=""юридична особа""
,
VLOOKUP"&amp;"(D6387,IMPORTRANGE(""https://docs.google.com/spreadsheets/d/14Bd19lYaqBhU8_DElYkX7l4wRkHqqCUFNJY4AfY3kHU/edit?usp=sharing  #gid=0"",""фіз особи new!relations_name_uo""),7,FALSE)
,
)
))"),"ЗАТУЛІНА Дар'я Костянтинівна")</f>
        <v>ЗАТУЛІНА Дар'я Костянтинівна</v>
      </c>
      <c r="G6386" s="7" t="s">
        <v>10</v>
      </c>
      <c r="H6386" s="7">
        <v>670</v>
      </c>
      <c r="I6386" s="8" t="str">
        <f ca="1">IFERROR(__xludf.DUMMYFUNCTION("IF
(
G6387=""фізична особа""
,
VLOOKUP(H6387,IMPORTRANGE(""https://docs.google.com/spreadsheets/d/14Bd19lYaqBhU8_DElYkX7l4wRkHqqCUFNJY4AfY3kHU/edit?usp=sharing  #gid=0"",""фіз особи new!relations_name""),6,FALSE)
,
(IF
(
G6387=""юридична особа""
,
VLOOKUP"&amp;"(H6387,IMPORTRANGE(""https://docs.google.com/spreadsheets/d/14Bd19lYaqBhU8_DElYkX7l4wRkHqqCUFNJY4AfY3kHU/edit?usp=sharing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6386" s="7" t="s">
        <v>41</v>
      </c>
    </row>
    <row r="6387" spans="1:10" ht="13.2">
      <c r="A6387" s="7">
        <v>6386</v>
      </c>
      <c r="B6387" s="7">
        <v>1</v>
      </c>
      <c r="C6387" s="7" t="s">
        <v>10</v>
      </c>
      <c r="D6387" s="7">
        <v>5611</v>
      </c>
      <c r="E6387" s="7" t="s">
        <v>28</v>
      </c>
      <c r="F6387" s="8" t="str">
        <f ca="1">IFERROR(__xludf.DUMMYFUNCTION("IF
(
C6388=""фізична особа""
,
VLOOKUP(D6388,IMPORTRANGE(""https://docs.google.com/spreadsheets/d/14Bd19lYaqBhU8_DElYkX7l4wRkHqqCUFNJY4AfY3kHU/edit?usp=sharing  #gid=0"",""фіз особи new!relations_name""),6,FALSE)
,
(IF
(
C6388=""юридична особа""
,
VLOOKUP"&amp;"(D6388,IMPORTRANGE(""https://docs.google.com/spreadsheets/d/14Bd19lYaqBhU8_DElYkX7l4wRkHqqCUFNJY4AfY3kHU/edit?usp=sharing  #gid=0"",""фіз особи new!relations_name_uo""),7,FALSE)
,
)
))"),"ПОТЬОМКІН Олександр Олександрович")</f>
        <v>ПОТЬОМКІН Олександр Олександрович</v>
      </c>
      <c r="G6387" s="7" t="s">
        <v>10</v>
      </c>
      <c r="H6387" s="7">
        <v>5610</v>
      </c>
      <c r="I6387" s="8" t="str">
        <f ca="1">IFERROR(__xludf.DUMMYFUNCTION("IF
(
G6388=""фізична особа""
,
VLOOKUP(H6388,IMPORTRANGE(""https://docs.google.com/spreadsheets/d/14Bd19lYaqBhU8_DElYkX7l4wRkHqqCUFNJY4AfY3kHU/edit?usp=sharing  #gid=0"",""фіз особи new!relations_name""),6,FALSE)
,
(IF
(
G6388=""юридична особа""
,
VLOOKUP"&amp;"(H6388,IMPORTRANGE(""https://docs.google.com/spreadsheets/d/14Bd19lYaqBhU8_DElYkX7l4wRkHqqCUFNJY4AfY3kHU/edit?usp=sharing  #gid=0"",""фіз особи new!relations_name_uo""),7,FALSE)
,
)
))"),"ГОРЛОВ Володимир Федорович")</f>
        <v>ГОРЛОВ Володимир Федорович</v>
      </c>
      <c r="J6387" s="7" t="s">
        <v>29</v>
      </c>
    </row>
    <row r="6388" spans="1:10" ht="13.2">
      <c r="A6388" s="7">
        <v>6387</v>
      </c>
      <c r="B6388" s="7">
        <v>1</v>
      </c>
      <c r="C6388" s="7" t="s">
        <v>10</v>
      </c>
      <c r="D6388" s="7">
        <v>5612</v>
      </c>
      <c r="E6388" s="7" t="s">
        <v>28</v>
      </c>
      <c r="F6388" s="8" t="str">
        <f ca="1">IFERROR(__xludf.DUMMYFUNCTION("IF
(
C6389=""фізична особа""
,
VLOOKUP(D6389,IMPORTRANGE(""https://docs.google.com/spreadsheets/d/14Bd19lYaqBhU8_DElYkX7l4wRkHqqCUFNJY4AfY3kHU/edit?usp=sharing  #gid=0"",""фіз особи new!relations_name""),6,FALSE)
,
(IF
(
C6389=""юридична особа""
,
VLOOKUP"&amp;"(D6389,IMPORTRANGE(""https://docs.google.com/spreadsheets/d/14Bd19lYaqBhU8_DElYkX7l4wRkHqqCUFNJY4AfY3kHU/edit?usp=sharing  #gid=0"",""фіз особи new!relations_name_uo""),7,FALSE)
,
)
))"),"МАШАРОВ Борис Володимирович")</f>
        <v>МАШАРОВ Борис Володимирович</v>
      </c>
      <c r="G6388" s="7" t="s">
        <v>10</v>
      </c>
      <c r="H6388" s="7">
        <v>5610</v>
      </c>
      <c r="I6388" s="8" t="str">
        <f ca="1">IFERROR(__xludf.DUMMYFUNCTION("IF
(
G6389=""фізична особа""
,
VLOOKUP(H6389,IMPORTRANGE(""https://docs.google.com/spreadsheets/d/14Bd19lYaqBhU8_DElYkX7l4wRkHqqCUFNJY4AfY3kHU/edit?usp=sharing  #gid=0"",""фіз особи new!relations_name""),6,FALSE)
,
(IF
(
G6389=""юридична особа""
,
VLOOKUP"&amp;"(H6389,IMPORTRANGE(""https://docs.google.com/spreadsheets/d/14Bd19lYaqBhU8_DElYkX7l4wRkHqqCUFNJY4AfY3kHU/edit?usp=sharing  #gid=0"",""фіз особи new!relations_name_uo""),7,FALSE)
,
)
))"),"ГОРЛОВ Володимир Федорович")</f>
        <v>ГОРЛОВ Володимир Федорович</v>
      </c>
      <c r="J6388" s="7" t="s">
        <v>29</v>
      </c>
    </row>
    <row r="6389" spans="1:10" ht="13.2">
      <c r="A6389" s="7">
        <v>6388</v>
      </c>
      <c r="B6389" s="7">
        <v>1</v>
      </c>
      <c r="C6389" s="7" t="s">
        <v>10</v>
      </c>
      <c r="D6389" s="7">
        <v>5613</v>
      </c>
      <c r="E6389" s="7" t="s">
        <v>28</v>
      </c>
      <c r="F6389" s="8" t="str">
        <f ca="1">IFERROR(__xludf.DUMMYFUNCTION("IF
(
C6390=""фізична особа""
,
VLOOKUP(D6390,IMPORTRANGE(""https://docs.google.com/spreadsheets/d/14Bd19lYaqBhU8_DElYkX7l4wRkHqqCUFNJY4AfY3kHU/edit?usp=sharing  #gid=0"",""фіз особи new!relations_name""),6,FALSE)
,
(IF
(
C6390=""юридична особа""
,
VLOOKUP"&amp;"(D6390,IMPORTRANGE(""https://docs.google.com/spreadsheets/d/14Bd19lYaqBhU8_DElYkX7l4wRkHqqCUFNJY4AfY3kHU/edit?usp=sharing  #gid=0"",""фіз особи new!relations_name_uo""),7,FALSE)
,
)
))"),"ЗЕЛЕНСЬКИЙ Андрій Георгійович")</f>
        <v>ЗЕЛЕНСЬКИЙ Андрій Георгійович</v>
      </c>
      <c r="G6389" s="7" t="s">
        <v>10</v>
      </c>
      <c r="H6389" s="7">
        <v>5610</v>
      </c>
      <c r="I6389" s="8" t="str">
        <f ca="1">IFERROR(__xludf.DUMMYFUNCTION("IF
(
G6390=""фізична особа""
,
VLOOKUP(H6390,IMPORTRANGE(""https://docs.google.com/spreadsheets/d/14Bd19lYaqBhU8_DElYkX7l4wRkHqqCUFNJY4AfY3kHU/edit?usp=sharing  #gid=0"",""фіз особи new!relations_name""),6,FALSE)
,
(IF
(
G6390=""юридична особа""
,
VLOOKUP"&amp;"(H6390,IMPORTRANGE(""https://docs.google.com/spreadsheets/d/14Bd19lYaqBhU8_DElYkX7l4wRkHqqCUFNJY4AfY3kHU/edit?usp=sharing  #gid=0"",""фіз особи new!relations_name_uo""),7,FALSE)
,
)
))"),"ГОРЛОВ Володимир Федорович")</f>
        <v>ГОРЛОВ Володимир Федорович</v>
      </c>
      <c r="J6389" s="7" t="s">
        <v>29</v>
      </c>
    </row>
    <row r="6390" spans="1:10" ht="13.2">
      <c r="A6390" s="7">
        <v>6389</v>
      </c>
      <c r="B6390" s="7">
        <v>1</v>
      </c>
      <c r="C6390" s="7" t="s">
        <v>10</v>
      </c>
      <c r="D6390" s="7">
        <v>5618</v>
      </c>
      <c r="E6390" s="7" t="s">
        <v>28</v>
      </c>
      <c r="F6390" s="8" t="str">
        <f ca="1">IFERROR(__xludf.DUMMYFUNCTION("IF
(
C6391=""фізична особа""
,
VLOOKUP(D6391,IMPORTRANGE(""https://docs.google.com/spreadsheets/d/14Bd19lYaqBhU8_DElYkX7l4wRkHqqCUFNJY4AfY3kHU/edit?usp=sharing  #gid=0"",""фіз особи new!relations_name""),6,FALSE)
,
(IF
(
C6391=""юридична особа""
,
VLOOKUP"&amp;"(D6391,IMPORTRANGE(""https://docs.google.com/spreadsheets/d/14Bd19lYaqBhU8_DElYkX7l4wRkHqqCUFNJY4AfY3kHU/edit?usp=sharing  #gid=0"",""фіз особи new!relations_name_uo""),7,FALSE)
,
)
))"),"ФІРСОВА Ніна Станіславівна")</f>
        <v>ФІРСОВА Ніна Станіславівна</v>
      </c>
      <c r="G6390" s="7" t="s">
        <v>10</v>
      </c>
      <c r="H6390" s="7">
        <v>5617</v>
      </c>
      <c r="I6390" s="8" t="str">
        <f ca="1">IFERROR(__xludf.DUMMYFUNCTION("IF
(
G6391=""фізична особа""
,
VLOOKUP(H6391,IMPORTRANGE(""https://docs.google.com/spreadsheets/d/14Bd19lYaqBhU8_DElYkX7l4wRkHqqCUFNJY4AfY3kHU/edit?usp=sharing  #gid=0"",""фіз особи new!relations_name""),6,FALSE)
,
(IF
(
G6391=""юридична особа""
,
VLOOKUP"&amp;"(H6391,IMPORTRANGE(""https://docs.google.com/spreadsheets/d/14Bd19lYaqBhU8_DElYkX7l4wRkHqqCUFNJY4AfY3kHU/edit?usp=sharing  #gid=0"",""фіз особи new!relations_name_uo""),7,FALSE)
,
)
))"),"ІВАШКІН Андрій Миколайович")</f>
        <v>ІВАШКІН Андрій Миколайович</v>
      </c>
      <c r="J6390" s="7" t="s">
        <v>29</v>
      </c>
    </row>
    <row r="6391" spans="1:10" ht="13.2">
      <c r="A6391" s="7">
        <v>6390</v>
      </c>
      <c r="B6391" s="7">
        <v>1</v>
      </c>
      <c r="C6391" s="7" t="s">
        <v>10</v>
      </c>
      <c r="D6391" s="7">
        <v>5620</v>
      </c>
      <c r="E6391" s="7" t="s">
        <v>28</v>
      </c>
      <c r="F6391" s="8" t="str">
        <f ca="1">IFERROR(__xludf.DUMMYFUNCTION("IF
(
C6392=""фізична особа""
,
VLOOKUP(D6392,IMPORTRANGE(""https://docs.google.com/spreadsheets/d/14Bd19lYaqBhU8_DElYkX7l4wRkHqqCUFNJY4AfY3kHU/edit?usp=sharing  #gid=0"",""фіз особи new!relations_name""),6,FALSE)
,
(IF
(
C6392=""юридична особа""
,
VLOOKUP"&amp;"(D6392,IMPORTRANGE(""https://docs.google.com/spreadsheets/d/14Bd19lYaqBhU8_DElYkX7l4wRkHqqCUFNJY4AfY3kHU/edit?usp=sharing  #gid=0"",""фіз особи new!relations_name_uo""),7,FALSE)
,
)
))"),"ХАРИТОНОВ Сергій Вікторович")</f>
        <v>ХАРИТОНОВ Сергій Вікторович</v>
      </c>
      <c r="G6391" s="7" t="s">
        <v>10</v>
      </c>
      <c r="H6391" s="7">
        <v>5619</v>
      </c>
      <c r="I6391" s="8" t="str">
        <f ca="1">IFERROR(__xludf.DUMMYFUNCTION("IF
(
G6392=""фізична особа""
,
VLOOKUP(H6392,IMPORTRANGE(""https://docs.google.com/spreadsheets/d/14Bd19lYaqBhU8_DElYkX7l4wRkHqqCUFNJY4AfY3kHU/edit?usp=sharing  #gid=0"",""фіз особи new!relations_name""),6,FALSE)
,
(IF
(
G6392=""юридична особа""
,
VLOOKUP"&amp;"(H6392,IMPORTRANGE(""https://docs.google.com/spreadsheets/d/14Bd19lYaqBhU8_DElYkX7l4wRkHqqCUFNJY4AfY3kHU/edit?usp=sharing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1" s="7" t="s">
        <v>29</v>
      </c>
    </row>
    <row r="6392" spans="1:10" ht="13.2">
      <c r="A6392" s="7">
        <v>6391</v>
      </c>
      <c r="B6392" s="7">
        <v>1</v>
      </c>
      <c r="C6392" s="7" t="s">
        <v>10</v>
      </c>
      <c r="D6392" s="7">
        <v>5621</v>
      </c>
      <c r="E6392" s="7" t="s">
        <v>28</v>
      </c>
      <c r="F6392" s="8" t="str">
        <f ca="1">IFERROR(__xludf.DUMMYFUNCTION("IF
(
C6393=""фізична особа""
,
VLOOKUP(D6393,IMPORTRANGE(""https://docs.google.com/spreadsheets/d/14Bd19lYaqBhU8_DElYkX7l4wRkHqqCUFNJY4AfY3kHU/edit?usp=sharing  #gid=0"",""фіз особи new!relations_name""),6,FALSE)
,
(IF
(
C6393=""юридична особа""
,
VLOOKUP"&amp;"(D6393,IMPORTRANGE(""https://docs.google.com/spreadsheets/d/14Bd19lYaqBhU8_DElYkX7l4wRkHqqCUFNJY4AfY3kHU/edit?usp=sharing  #gid=0"",""фіз особи new!relations_name_uo""),7,FALSE)
,
)
))"),"МИШИН Андрій Юрійович")</f>
        <v>МИШИН Андрій Юрійович</v>
      </c>
      <c r="G6392" s="7" t="s">
        <v>10</v>
      </c>
      <c r="H6392" s="7">
        <v>5619</v>
      </c>
      <c r="I6392" s="8" t="str">
        <f ca="1">IFERROR(__xludf.DUMMYFUNCTION("IF
(
G6393=""фізична особа""
,
VLOOKUP(H6393,IMPORTRANGE(""https://docs.google.com/spreadsheets/d/14Bd19lYaqBhU8_DElYkX7l4wRkHqqCUFNJY4AfY3kHU/edit?usp=sharing  #gid=0"",""фіз особи new!relations_name""),6,FALSE)
,
(IF
(
G6393=""юридична особа""
,
VLOOKUP"&amp;"(H6393,IMPORTRANGE(""https://docs.google.com/spreadsheets/d/14Bd19lYaqBhU8_DElYkX7l4wRkHqqCUFNJY4AfY3kHU/edit?usp=sharing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2" s="7" t="s">
        <v>29</v>
      </c>
    </row>
    <row r="6393" spans="1:10" ht="13.2">
      <c r="A6393" s="7">
        <v>6392</v>
      </c>
      <c r="B6393" s="7">
        <v>1</v>
      </c>
      <c r="C6393" s="7" t="s">
        <v>10</v>
      </c>
      <c r="D6393" s="7">
        <v>5622</v>
      </c>
      <c r="E6393" s="7" t="s">
        <v>28</v>
      </c>
      <c r="F6393" s="8" t="str">
        <f ca="1">IFERROR(__xludf.DUMMYFUNCTION("IF
(
C6394=""фізична особа""
,
VLOOKUP(D6394,IMPORTRANGE(""https://docs.google.com/spreadsheets/d/14Bd19lYaqBhU8_DElYkX7l4wRkHqqCUFNJY4AfY3kHU/edit?usp=sharing  #gid=0"",""фіз особи new!relations_name""),6,FALSE)
,
(IF
(
C6394=""юридична особа""
,
VLOOKUP"&amp;"(D6394,IMPORTRANGE(""https://docs.google.com/spreadsheets/d/14Bd19lYaqBhU8_DElYkX7l4wRkHqqCUFNJY4AfY3kHU/edit?usp=sharing  #gid=0"",""фіз особи new!relations_name_uo""),7,FALSE)
,
)
))"),"ІВАНОВ Андрій Миколайович")</f>
        <v>ІВАНОВ Андрій Миколайович</v>
      </c>
      <c r="G6393" s="7" t="s">
        <v>10</v>
      </c>
      <c r="H6393" s="7">
        <v>5619</v>
      </c>
      <c r="I6393" s="8" t="str">
        <f ca="1">IFERROR(__xludf.DUMMYFUNCTION("IF
(
G6394=""фізична особа""
,
VLOOKUP(H6394,IMPORTRANGE(""https://docs.google.com/spreadsheets/d/14Bd19lYaqBhU8_DElYkX7l4wRkHqqCUFNJY4AfY3kHU/edit?usp=sharing  #gid=0"",""фіз особи new!relations_name""),6,FALSE)
,
(IF
(
G6394=""юридична особа""
,
VLOOKUP"&amp;"(H6394,IMPORTRANGE(""https://docs.google.com/spreadsheets/d/14Bd19lYaqBhU8_DElYkX7l4wRkHqqCUFNJY4AfY3kHU/edit?usp=sharing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3" s="7" t="s">
        <v>29</v>
      </c>
    </row>
    <row r="6394" spans="1:10" ht="13.2">
      <c r="A6394" s="7">
        <v>6393</v>
      </c>
      <c r="B6394" s="7">
        <v>1</v>
      </c>
      <c r="C6394" s="7" t="s">
        <v>10</v>
      </c>
      <c r="D6394" s="7">
        <v>5623</v>
      </c>
      <c r="E6394" s="7" t="s">
        <v>28</v>
      </c>
      <c r="F6394" s="8" t="str">
        <f ca="1">IFERROR(__xludf.DUMMYFUNCTION("IF
(
C6395=""фізична особа""
,
VLOOKUP(D6395,IMPORTRANGE(""https://docs.google.com/spreadsheets/d/14Bd19lYaqBhU8_DElYkX7l4wRkHqqCUFNJY4AfY3kHU/edit?usp=sharing  #gid=0"",""фіз особи new!relations_name""),6,FALSE)
,
(IF
(
C6395=""юридична особа""
,
VLOOKUP"&amp;"(D6395,IMPORTRANGE(""https://docs.google.com/spreadsheets/d/14Bd19lYaqBhU8_DElYkX7l4wRkHqqCUFNJY4AfY3kHU/edit?usp=sharing  #gid=0"",""фіз особи new!relations_name_uo""),7,FALSE)
,
)
))"),"ТИХОНОВ Михайло Іванович")</f>
        <v>ТИХОНОВ Михайло Іванович</v>
      </c>
      <c r="G6394" s="7" t="s">
        <v>10</v>
      </c>
      <c r="H6394" s="7">
        <v>5619</v>
      </c>
      <c r="I6394" s="8" t="str">
        <f ca="1">IFERROR(__xludf.DUMMYFUNCTION("IF
(
G6395=""фізична особа""
,
VLOOKUP(H6395,IMPORTRANGE(""https://docs.google.com/spreadsheets/d/14Bd19lYaqBhU8_DElYkX7l4wRkHqqCUFNJY4AfY3kHU/edit?usp=sharing  #gid=0"",""фіз особи new!relations_name""),6,FALSE)
,
(IF
(
G6395=""юридична особа""
,
VLOOKUP"&amp;"(H6395,IMPORTRANGE(""https://docs.google.com/spreadsheets/d/14Bd19lYaqBhU8_DElYkX7l4wRkHqqCUFNJY4AfY3kHU/edit?usp=sharing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4" s="7" t="s">
        <v>29</v>
      </c>
    </row>
    <row r="6395" spans="1:10" ht="13.2">
      <c r="A6395" s="7">
        <v>6394</v>
      </c>
      <c r="B6395" s="7">
        <v>1</v>
      </c>
      <c r="C6395" s="7" t="s">
        <v>10</v>
      </c>
      <c r="D6395" s="7">
        <v>5624</v>
      </c>
      <c r="E6395" s="7" t="s">
        <v>28</v>
      </c>
      <c r="F6395" s="8" t="str">
        <f ca="1">IFERROR(__xludf.DUMMYFUNCTION("IF
(
C6396=""фізична особа""
,
VLOOKUP(D6396,IMPORTRANGE(""https://docs.google.com/spreadsheets/d/14Bd19lYaqBhU8_DElYkX7l4wRkHqqCUFNJY4AfY3kHU/edit?usp=sharing  #gid=0"",""фіз особи new!relations_name""),6,FALSE)
,
(IF
(
C6396=""юридична особа""
,
VLOOKUP"&amp;"(D6396,IMPORTRANGE(""https://docs.google.com/spreadsheets/d/14Bd19lYaqBhU8_DElYkX7l4wRkHqqCUFNJY4AfY3kHU/edit?usp=sharing  #gid=0"",""фіз особи new!relations_name_uo""),7,FALSE)
,
)
))"),"КОСТІН Олег Олександрович")</f>
        <v>КОСТІН Олег Олександрович</v>
      </c>
      <c r="G6395" s="7" t="s">
        <v>10</v>
      </c>
      <c r="H6395" s="7">
        <v>5619</v>
      </c>
      <c r="I6395" s="8" t="str">
        <f ca="1">IFERROR(__xludf.DUMMYFUNCTION("IF
(
G6396=""фізична особа""
,
VLOOKUP(H6396,IMPORTRANGE(""https://docs.google.com/spreadsheets/d/14Bd19lYaqBhU8_DElYkX7l4wRkHqqCUFNJY4AfY3kHU/edit?usp=sharing  #gid=0"",""фіз особи new!relations_name""),6,FALSE)
,
(IF
(
G6396=""юридична особа""
,
VLOOKUP"&amp;"(H6396,IMPORTRANGE(""https://docs.google.com/spreadsheets/d/14Bd19lYaqBhU8_DElYkX7l4wRkHqqCUFNJY4AfY3kHU/edit?usp=sharing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5" s="7" t="s">
        <v>29</v>
      </c>
    </row>
    <row r="6396" spans="1:10" ht="13.2">
      <c r="A6396" s="7">
        <v>6395</v>
      </c>
      <c r="B6396" s="7">
        <v>1</v>
      </c>
      <c r="C6396" s="7" t="s">
        <v>10</v>
      </c>
      <c r="D6396" s="7">
        <v>5625</v>
      </c>
      <c r="E6396" s="7" t="s">
        <v>28</v>
      </c>
      <c r="F6396" s="8" t="str">
        <f ca="1">IFERROR(__xludf.DUMMYFUNCTION("IF
(
C6397=""фізична особа""
,
VLOOKUP(D6397,IMPORTRANGE(""https://docs.google.com/spreadsheets/d/14Bd19lYaqBhU8_DElYkX7l4wRkHqqCUFNJY4AfY3kHU/edit?usp=sharing  #gid=0"",""фіз особи new!relations_name""),6,FALSE)
,
(IF
(
C6397=""юридична особа""
,
VLOOKUP"&amp;"(D6397,IMPORTRANGE(""https://docs.google.com/spreadsheets/d/14Bd19lYaqBhU8_DElYkX7l4wRkHqqCUFNJY4AfY3kHU/edit?usp=sharing  #gid=0"",""фіз особи new!relations_name_uo""),7,FALSE)
,
)
))"),"ПОГОРЕЦЬКИЙ Анатолій Вікторович")</f>
        <v>ПОГОРЕЦЬКИЙ Анатолій Вікторович</v>
      </c>
      <c r="G6396" s="7" t="s">
        <v>10</v>
      </c>
      <c r="H6396" s="7">
        <v>5619</v>
      </c>
      <c r="I6396" s="8" t="str">
        <f ca="1">IFERROR(__xludf.DUMMYFUNCTION("IF
(
G6397=""фізична особа""
,
VLOOKUP(H6397,IMPORTRANGE(""https://docs.google.com/spreadsheets/d/14Bd19lYaqBhU8_DElYkX7l4wRkHqqCUFNJY4AfY3kHU/edit?usp=sharing  #gid=0"",""фіз особи new!relations_name""),6,FALSE)
,
(IF
(
G6397=""юридична особа""
,
VLOOKUP"&amp;"(H6397,IMPORTRANGE(""https://docs.google.com/spreadsheets/d/14Bd19lYaqBhU8_DElYkX7l4wRkHqqCUFNJY4AfY3kHU/edit?usp=sharing  #gid=0"",""фіз особи new!relations_name_uo""),7,FALSE)
,
)
))"),"ІСАЄВ Юрій Костянтинович")</f>
        <v>ІСАЄВ Юрій Костянтинович</v>
      </c>
      <c r="J6396" s="7" t="s">
        <v>29</v>
      </c>
    </row>
    <row r="6397" spans="1:10" ht="13.2">
      <c r="A6397" s="7">
        <v>6396</v>
      </c>
      <c r="B6397" s="7">
        <v>1</v>
      </c>
      <c r="C6397" s="7" t="s">
        <v>10</v>
      </c>
      <c r="D6397" s="7">
        <v>5627</v>
      </c>
      <c r="E6397" s="7" t="s">
        <v>28</v>
      </c>
      <c r="F6397" s="8" t="str">
        <f ca="1">IFERROR(__xludf.DUMMYFUNCTION("IF
(
C6398=""фізична особа""
,
VLOOKUP(D6398,IMPORTRANGE(""https://docs.google.com/spreadsheets/d/14Bd19lYaqBhU8_DElYkX7l4wRkHqqCUFNJY4AfY3kHU/edit?usp=sharing  #gid=0"",""фіз особи new!relations_name""),6,FALSE)
,
(IF
(
C6398=""юридична особа""
,
VLOOKUP"&amp;"(D6398,IMPORTRANGE(""https://docs.google.com/spreadsheets/d/14Bd19lYaqBhU8_DElYkX7l4wRkHqqCUFNJY4AfY3kHU/edit?usp=sharing  #gid=0"",""фіз особи new!relations_name_uo""),7,FALSE)
,
)
))"),"АКСЬОНОВ Василь Валерійович")</f>
        <v>АКСЬОНОВ Василь Валерійович</v>
      </c>
      <c r="G6397" s="7" t="s">
        <v>10</v>
      </c>
      <c r="H6397" s="7">
        <v>5626</v>
      </c>
      <c r="I6397" s="8" t="str">
        <f ca="1">IFERROR(__xludf.DUMMYFUNCTION("IF
(
G6398=""фізична особа""
,
VLOOKUP(H6398,IMPORTRANGE(""https://docs.google.com/spreadsheets/d/14Bd19lYaqBhU8_DElYkX7l4wRkHqqCUFNJY4AfY3kHU/edit?usp=sharing  #gid=0"",""фіз особи new!relations_name""),6,FALSE)
,
(IF
(
G6398=""юридична особа""
,
VLOOKUP"&amp;"(H6398,IMPORTRANGE(""https://docs.google.com/spreadsheets/d/14Bd19lYaqBhU8_DElYkX7l4wRkHqqCUFNJY4AfY3kHU/edit?usp=sharing  #gid=0"",""фіз особи new!relations_name_uo""),7,FALSE)
,
)
))"),"СПІЧКОВСЬКИЙ Володимир Миколайович")</f>
        <v>СПІЧКОВСЬКИЙ Володимир Миколайович</v>
      </c>
      <c r="J6397" s="7" t="s">
        <v>29</v>
      </c>
    </row>
    <row r="6398" spans="1:10" ht="13.2">
      <c r="A6398" s="7">
        <v>6397</v>
      </c>
      <c r="B6398" s="7">
        <v>1</v>
      </c>
      <c r="C6398" s="7" t="s">
        <v>10</v>
      </c>
      <c r="D6398" s="7">
        <v>5628</v>
      </c>
      <c r="E6398" s="7" t="s">
        <v>28</v>
      </c>
      <c r="F6398" s="8" t="str">
        <f ca="1">IFERROR(__xludf.DUMMYFUNCTION("IF
(
C6399=""фізична особа""
,
VLOOKUP(D6399,IMPORTRANGE(""https://docs.google.com/spreadsheets/d/14Bd19lYaqBhU8_DElYkX7l4wRkHqqCUFNJY4AfY3kHU/edit?usp=sharing  #gid=0"",""фіз особи new!relations_name""),6,FALSE)
,
(IF
(
C6399=""юридична особа""
,
VLOOKUP"&amp;"(D6399,IMPORTRANGE(""https://docs.google.com/spreadsheets/d/14Bd19lYaqBhU8_DElYkX7l4wRkHqqCUFNJY4AfY3kHU/edit?usp=sharing  #gid=0"",""фіз особи new!relations_name_uo""),7,FALSE)
,
)
))"),"ГОЛОВАТЕНКО Василь Павлович")</f>
        <v>ГОЛОВАТЕНКО Василь Павлович</v>
      </c>
      <c r="G6398" s="7" t="s">
        <v>10</v>
      </c>
      <c r="H6398" s="7">
        <v>5626</v>
      </c>
      <c r="I6398" s="8" t="str">
        <f ca="1">IFERROR(__xludf.DUMMYFUNCTION("IF
(
G6399=""фізична особа""
,
VLOOKUP(H6399,IMPORTRANGE(""https://docs.google.com/spreadsheets/d/14Bd19lYaqBhU8_DElYkX7l4wRkHqqCUFNJY4AfY3kHU/edit?usp=sharing  #gid=0"",""фіз особи new!relations_name""),6,FALSE)
,
(IF
(
G6399=""юридична особа""
,
VLOOKUP"&amp;"(H6399,IMPORTRANGE(""https://docs.google.com/spreadsheets/d/14Bd19lYaqBhU8_DElYkX7l4wRkHqqCUFNJY4AfY3kHU/edit?usp=sharing  #gid=0"",""фіз особи new!relations_name_uo""),7,FALSE)
,
)
))"),"СПІЧКОВСЬКИЙ Володимир Миколайович")</f>
        <v>СПІЧКОВСЬКИЙ Володимир Миколайович</v>
      </c>
      <c r="J6398" s="7" t="s">
        <v>29</v>
      </c>
    </row>
    <row r="6399" spans="1:10" ht="13.2">
      <c r="A6399" s="7">
        <v>6398</v>
      </c>
      <c r="B6399" s="7">
        <v>1</v>
      </c>
      <c r="C6399" s="7" t="s">
        <v>10</v>
      </c>
      <c r="D6399" s="7">
        <v>5629</v>
      </c>
      <c r="E6399" s="7" t="s">
        <v>28</v>
      </c>
      <c r="F6399" s="8" t="str">
        <f ca="1">IFERROR(__xludf.DUMMYFUNCTION("IF
(
C6400=""фізична особа""
,
VLOOKUP(D6400,IMPORTRANGE(""https://docs.google.com/spreadsheets/d/14Bd19lYaqBhU8_DElYkX7l4wRkHqqCUFNJY4AfY3kHU/edit?usp=sharing  #gid=0"",""фіз особи new!relations_name""),6,FALSE)
,
(IF
(
C6400=""юридична особа""
,
VLOOKUP"&amp;"(D6400,IMPORTRANGE(""https://docs.google.com/spreadsheets/d/14Bd19lYaqBhU8_DElYkX7l4wRkHqqCUFNJY4AfY3kHU/edit?usp=sharing  #gid=0"",""фіз особи new!relations_name_uo""),7,FALSE)
,
)
))"),"МІЛЬЧЕНКО Дмитро Миколайович")</f>
        <v>МІЛЬЧЕНКО Дмитро Миколайович</v>
      </c>
      <c r="G6399" s="7" t="s">
        <v>10</v>
      </c>
      <c r="H6399" s="7">
        <v>5626</v>
      </c>
      <c r="I6399" s="8" t="str">
        <f ca="1">IFERROR(__xludf.DUMMYFUNCTION("IF
(
G6400=""фізична особа""
,
VLOOKUP(H6400,IMPORTRANGE(""https://docs.google.com/spreadsheets/d/14Bd19lYaqBhU8_DElYkX7l4wRkHqqCUFNJY4AfY3kHU/edit?usp=sharing  #gid=0"",""фіз особи new!relations_name""),6,FALSE)
,
(IF
(
G6400=""юридична особа""
,
VLOOKUP"&amp;"(H6400,IMPORTRANGE(""https://docs.google.com/spreadsheets/d/14Bd19lYaqBhU8_DElYkX7l4wRkHqqCUFNJY4AfY3kHU/edit?usp=sharing  #gid=0"",""фіз особи new!relations_name_uo""),7,FALSE)
,
)
))"),"СПІЧКОВСЬКИЙ Володимир Миколайович")</f>
        <v>СПІЧКОВСЬКИЙ Володимир Миколайович</v>
      </c>
      <c r="J6399" s="7" t="s">
        <v>29</v>
      </c>
    </row>
    <row r="6400" spans="1:10" ht="13.2">
      <c r="A6400" s="7">
        <v>6399</v>
      </c>
      <c r="B6400" s="7">
        <v>1</v>
      </c>
      <c r="C6400" s="7" t="s">
        <v>10</v>
      </c>
      <c r="D6400" s="7">
        <v>5630</v>
      </c>
      <c r="E6400" s="7" t="s">
        <v>28</v>
      </c>
      <c r="F6400" s="8" t="str">
        <f ca="1">IFERROR(__xludf.DUMMYFUNCTION("IF
(
C6401=""фізична особа""
,
VLOOKUP(D6401,IMPORTRANGE(""https://docs.google.com/spreadsheets/d/14Bd19lYaqBhU8_DElYkX7l4wRkHqqCUFNJY4AfY3kHU/edit?usp=sharing  #gid=0"",""фіз особи new!relations_name""),6,FALSE)
,
(IF
(
C6401=""юридична особа""
,
VLOOKUP"&amp;"(D6401,IMPORTRANGE(""https://docs.google.com/spreadsheets/d/14Bd19lYaqBhU8_DElYkX7l4wRkHqqCUFNJY4AfY3kHU/edit?usp=sharing  #gid=0"",""фіз особи new!relations_name_uo""),7,FALSE)
,
)
))"),"ЮРЧУК Геннадій Григорович")</f>
        <v>ЮРЧУК Геннадій Григорович</v>
      </c>
      <c r="G6400" s="7" t="s">
        <v>10</v>
      </c>
      <c r="H6400" s="7">
        <v>5626</v>
      </c>
      <c r="I6400" s="8" t="str">
        <f ca="1">IFERROR(__xludf.DUMMYFUNCTION("IF
(
G6401=""фізична особа""
,
VLOOKUP(H6401,IMPORTRANGE(""https://docs.google.com/spreadsheets/d/14Bd19lYaqBhU8_DElYkX7l4wRkHqqCUFNJY4AfY3kHU/edit?usp=sharing  #gid=0"",""фіз особи new!relations_name""),6,FALSE)
,
(IF
(
G6401=""юридична особа""
,
VLOOKUP"&amp;"(H6401,IMPORTRANGE(""https://docs.google.com/spreadsheets/d/14Bd19lYaqBhU8_DElYkX7l4wRkHqqCUFNJY4AfY3kHU/edit?usp=sharing  #gid=0"",""фіз особи new!relations_name_uo""),7,FALSE)
,
)
))"),"СПІЧКОВСЬКИЙ Володимир Миколайович")</f>
        <v>СПІЧКОВСЬКИЙ Володимир Миколайович</v>
      </c>
      <c r="J6400" s="7" t="s">
        <v>29</v>
      </c>
    </row>
    <row r="6401" spans="1:10" ht="13.2">
      <c r="A6401" s="7">
        <v>6400</v>
      </c>
      <c r="B6401" s="7">
        <v>1</v>
      </c>
      <c r="C6401" s="7" t="s">
        <v>10</v>
      </c>
      <c r="D6401" s="7">
        <v>5633</v>
      </c>
      <c r="E6401" s="7" t="s">
        <v>28</v>
      </c>
      <c r="F6401" s="8" t="str">
        <f ca="1">IFERROR(__xludf.DUMMYFUNCTION("IF
(
C6402=""фізична особа""
,
VLOOKUP(D6402,IMPORTRANGE(""https://docs.google.com/spreadsheets/d/14Bd19lYaqBhU8_DElYkX7l4wRkHqqCUFNJY4AfY3kHU/edit?usp=sharing  #gid=0"",""фіз особи new!relations_name""),6,FALSE)
,
(IF
(
C6402=""юридична особа""
,
VLOOKUP"&amp;"(D6402,IMPORTRANGE(""https://docs.google.com/spreadsheets/d/14Bd19lYaqBhU8_DElYkX7l4wRkHqqCUFNJY4AfY3kHU/edit?usp=sharing  #gid=0"",""фіз особи new!relations_name_uo""),7,FALSE)
,
)
))"),"ЗАВОДЧИКОВ Юрій Леонідович")</f>
        <v>ЗАВОДЧИКОВ Юрій Леонідович</v>
      </c>
      <c r="G6401" s="7" t="s">
        <v>10</v>
      </c>
      <c r="H6401" s="7">
        <v>5632</v>
      </c>
      <c r="I6401" s="8" t="str">
        <f ca="1">IFERROR(__xludf.DUMMYFUNCTION("IF
(
G6402=""фізична особа""
,
VLOOKUP(H6402,IMPORTRANGE(""https://docs.google.com/spreadsheets/d/14Bd19lYaqBhU8_DElYkX7l4wRkHqqCUFNJY4AfY3kHU/edit?usp=sharing  #gid=0"",""фіз особи new!relations_name""),6,FALSE)
,
(IF
(
G6402=""юридична особа""
,
VLOOKUP"&amp;"(H6402,IMPORTRANGE(""https://docs.google.com/spreadsheets/d/14Bd19lYaqBhU8_DElYkX7l4wRkHqqCUFNJY4AfY3kHU/edit?usp=sharing  #gid=0"",""фіз особи new!relations_name_uo""),7,FALSE)
,
)
))"),"ГОЄВ Микола Васильович")</f>
        <v>ГОЄВ Микола Васильович</v>
      </c>
      <c r="J6401" s="7" t="s">
        <v>29</v>
      </c>
    </row>
    <row r="6402" spans="1:10" ht="13.2">
      <c r="A6402" s="7">
        <v>6401</v>
      </c>
      <c r="B6402" s="7">
        <v>1</v>
      </c>
      <c r="C6402" s="7" t="s">
        <v>10</v>
      </c>
      <c r="D6402" s="7">
        <v>5634</v>
      </c>
      <c r="E6402" s="7" t="s">
        <v>28</v>
      </c>
      <c r="F6402" s="8" t="str">
        <f ca="1">IFERROR(__xludf.DUMMYFUNCTION("IF
(
C6403=""фізична особа""
,
VLOOKUP(D6403,IMPORTRANGE(""https://docs.google.com/spreadsheets/d/14Bd19lYaqBhU8_DElYkX7l4wRkHqqCUFNJY4AfY3kHU/edit?usp=sharing  #gid=0"",""фіз особи new!relations_name""),6,FALSE)
,
(IF
(
C6403=""юридична особа""
,
VLOOKUP"&amp;"(D6403,IMPORTRANGE(""https://docs.google.com/spreadsheets/d/14Bd19lYaqBhU8_DElYkX7l4wRkHqqCUFNJY4AfY3kHU/edit?usp=sharing  #gid=0"",""фіз особи new!relations_name_uo""),7,FALSE)
,
)
))"),"СТУПНЄВ Віталій Юрійович")</f>
        <v>СТУПНЄВ Віталій Юрійович</v>
      </c>
      <c r="G6402" s="7" t="s">
        <v>10</v>
      </c>
      <c r="H6402" s="7">
        <v>5632</v>
      </c>
      <c r="I6402" s="8" t="str">
        <f ca="1">IFERROR(__xludf.DUMMYFUNCTION("IF
(
G6403=""фізична особа""
,
VLOOKUP(H6403,IMPORTRANGE(""https://docs.google.com/spreadsheets/d/14Bd19lYaqBhU8_DElYkX7l4wRkHqqCUFNJY4AfY3kHU/edit?usp=sharing  #gid=0"",""фіз особи new!relations_name""),6,FALSE)
,
(IF
(
G6403=""юридична особа""
,
VLOOKUP"&amp;"(H6403,IMPORTRANGE(""https://docs.google.com/spreadsheets/d/14Bd19lYaqBhU8_DElYkX7l4wRkHqqCUFNJY4AfY3kHU/edit?usp=sharing  #gid=0"",""фіз особи new!relations_name_uo""),7,FALSE)
,
)
))"),"ГОЄВ Микола Васильович")</f>
        <v>ГОЄВ Микола Васильович</v>
      </c>
      <c r="J6402" s="7" t="s">
        <v>29</v>
      </c>
    </row>
    <row r="6403" spans="1:10" ht="13.2">
      <c r="A6403" s="7">
        <v>6402</v>
      </c>
      <c r="B6403" s="7">
        <v>1</v>
      </c>
      <c r="C6403" s="7" t="s">
        <v>10</v>
      </c>
      <c r="D6403" s="7">
        <v>5638</v>
      </c>
      <c r="E6403" s="7" t="s">
        <v>30</v>
      </c>
      <c r="F6403" s="8" t="str">
        <f ca="1">IFERROR(__xludf.DUMMYFUNCTION("IF
(
C6404=""фізична особа""
,
VLOOKUP(D6404,IMPORTRANGE(""https://docs.google.com/spreadsheets/d/14Bd19lYaqBhU8_DElYkX7l4wRkHqqCUFNJY4AfY3kHU/edit?usp=sharing  #gid=0"",""фіз особи new!relations_name""),6,FALSE)
,
(IF
(
C6404=""юридична особа""
,
VLOOKUP"&amp;"(D6404,IMPORTRANGE(""https://docs.google.com/spreadsheets/d/14Bd19lYaqBhU8_DElYkX7l4wRkHqqCUFNJY4AfY3kHU/edit?usp=sharing  #gid=0"",""фіз особи new!relations_name_uo""),7,FALSE)
,
)
))"),"СЛИНЬКО Костянтин Володимирович")</f>
        <v>СЛИНЬКО Костянтин Володимирович</v>
      </c>
      <c r="G6403" s="7" t="s">
        <v>10</v>
      </c>
      <c r="H6403" s="7">
        <v>0</v>
      </c>
      <c r="I6403" s="8" t="str">
        <f ca="1">IFERROR(__xludf.DUMMYFUNCTION("IF
(
G6404=""фізична особа""
,
VLOOKUP(H6404,IMPORTRANGE(""https://docs.google.com/spreadsheets/d/14Bd19lYaqBhU8_DElYkX7l4wRkHqqCUFNJY4AfY3kHU/edit?usp=sharing  #gid=0"",""фіз особи new!relations_name""),6,FALSE)
,
(IF
(
G6404=""юридична особа""
,
VLOOKUP"&amp;"(H6404,IMPORTRANGE(""https://docs.google.com/spreadsheets/d/14Bd19lYaqBhU8_DElYkX7l4wRkHqqCUFNJY4AfY3kHU/edit?usp=sharing  #gid=0"",""фіз особи new!relations_name_uo""),7,FALSE)
,
)
))"),"#N/A")</f>
        <v>#N/A</v>
      </c>
      <c r="J6403" s="7" t="s">
        <v>30</v>
      </c>
    </row>
    <row r="6404" spans="1:10" ht="13.2">
      <c r="A6404" s="7">
        <v>6403</v>
      </c>
      <c r="B6404" s="7">
        <v>1</v>
      </c>
      <c r="C6404" s="7" t="s">
        <v>10</v>
      </c>
      <c r="D6404" s="7">
        <v>5638</v>
      </c>
      <c r="E6404" s="7" t="s">
        <v>30</v>
      </c>
      <c r="F6404" s="8" t="str">
        <f ca="1">IFERROR(__xludf.DUMMYFUNCTION("IF
(
C6405=""фізична особа""
,
VLOOKUP(D6405,IMPORTRANGE(""https://docs.google.com/spreadsheets/d/14Bd19lYaqBhU8_DElYkX7l4wRkHqqCUFNJY4AfY3kHU/edit?usp=sharing  #gid=0"",""фіз особи new!relations_name""),6,FALSE)
,
(IF
(
C6405=""юридична особа""
,
VLOOKUP"&amp;"(D6405,IMPORTRANGE(""https://docs.google.com/spreadsheets/d/14Bd19lYaqBhU8_DElYkX7l4wRkHqqCUFNJY4AfY3kHU/edit?usp=sharing  #gid=0"",""фіз особи new!relations_name_uo""),7,FALSE)
,
)
))"),"СЛИНЬКО Костянтин Володимирович")</f>
        <v>СЛИНЬКО Костянтин Володимирович</v>
      </c>
      <c r="G6404" s="7" t="s">
        <v>10</v>
      </c>
      <c r="H6404" s="7">
        <v>0</v>
      </c>
      <c r="I6404" s="8" t="str">
        <f ca="1">IFERROR(__xludf.DUMMYFUNCTION("IF
(
G6405=""фізична особа""
,
VLOOKUP(H6405,IMPORTRANGE(""https://docs.google.com/spreadsheets/d/14Bd19lYaqBhU8_DElYkX7l4wRkHqqCUFNJY4AfY3kHU/edit?usp=sharing  #gid=0"",""фіз особи new!relations_name""),6,FALSE)
,
(IF
(
G6405=""юридична особа""
,
VLOOKUP"&amp;"(H6405,IMPORTRANGE(""https://docs.google.com/spreadsheets/d/14Bd19lYaqBhU8_DElYkX7l4wRkHqqCUFNJY4AfY3kHU/edit?usp=sharing  #gid=0"",""фіз особи new!relations_name_uo""),7,FALSE)
,
)
))"),"#N/A")</f>
        <v>#N/A</v>
      </c>
      <c r="J6404" s="7" t="s">
        <v>30</v>
      </c>
    </row>
    <row r="6405" spans="1:10" ht="13.2">
      <c r="A6405" s="7">
        <v>6404</v>
      </c>
      <c r="B6405" s="7">
        <v>1</v>
      </c>
      <c r="C6405" s="7" t="s">
        <v>10</v>
      </c>
      <c r="D6405" s="7">
        <v>5640</v>
      </c>
      <c r="E6405" s="7" t="s">
        <v>28</v>
      </c>
      <c r="F6405" s="8" t="str">
        <f ca="1">IFERROR(__xludf.DUMMYFUNCTION("IF
(
C6406=""фізична особа""
,
VLOOKUP(D6406,IMPORTRANGE(""https://docs.google.com/spreadsheets/d/14Bd19lYaqBhU8_DElYkX7l4wRkHqqCUFNJY4AfY3kHU/edit?usp=sharing  #gid=0"",""фіз особи new!relations_name""),6,FALSE)
,
(IF
(
C6406=""юридична особа""
,
VLOOKUP"&amp;"(D6406,IMPORTRANGE(""https://docs.google.com/spreadsheets/d/14Bd19lYaqBhU8_DElYkX7l4wRkHqqCUFNJY4AfY3kHU/edit?usp=sharing  #gid=0"",""фіз особи new!relations_name_uo""),7,FALSE)
,
)
))"),"ГОРЯЄВ Андрій Миколайович")</f>
        <v>ГОРЯЄВ Андрій Миколайович</v>
      </c>
      <c r="G6405" s="7" t="s">
        <v>10</v>
      </c>
      <c r="H6405" s="7">
        <v>2138</v>
      </c>
      <c r="I6405" s="8" t="str">
        <f ca="1">IFERROR(__xludf.DUMMYFUNCTION("IF
(
G6406=""фізична особа""
,
VLOOKUP(H6406,IMPORTRANGE(""https://docs.google.com/spreadsheets/d/14Bd19lYaqBhU8_DElYkX7l4wRkHqqCUFNJY4AfY3kHU/edit?usp=sharing  #gid=0"",""фіз особи new!relations_name""),6,FALSE)
,
(IF
(
G6406=""юридична особа""
,
VLOOKUP"&amp;"(H6406,IMPORTRANGE(""https://docs.google.com/spreadsheets/d/14Bd19lYaqBhU8_DElYkX7l4wRkHqqCUFNJY4AfY3kHU/edit?usp=sharing  #gid=0"",""фіз особи new!relations_name_uo""),7,FALSE)
,
)
))"),"ЛЕОНОВ Олександр Георгійович")</f>
        <v>ЛЕОНОВ Олександр Георгійович</v>
      </c>
      <c r="J6405" s="7" t="s">
        <v>29</v>
      </c>
    </row>
    <row r="6406" spans="1:10" ht="13.2">
      <c r="A6406" s="7">
        <v>6405</v>
      </c>
      <c r="B6406" s="7">
        <v>1</v>
      </c>
      <c r="C6406" s="7" t="s">
        <v>10</v>
      </c>
      <c r="D6406" s="7">
        <v>5641</v>
      </c>
      <c r="E6406" s="7" t="s">
        <v>28</v>
      </c>
      <c r="F6406" s="8" t="str">
        <f ca="1">IFERROR(__xludf.DUMMYFUNCTION("IF
(
C6407=""фізична особа""
,
VLOOKUP(D6407,IMPORTRANGE(""https://docs.google.com/spreadsheets/d/14Bd19lYaqBhU8_DElYkX7l4wRkHqqCUFNJY4AfY3kHU/edit?usp=sharing  #gid=0"",""фіз особи new!relations_name""),6,FALSE)
,
(IF
(
C6407=""юридична особа""
,
VLOOKUP"&amp;"(D6407,IMPORTRANGE(""https://docs.google.com/spreadsheets/d/14Bd19lYaqBhU8_DElYkX7l4wRkHqqCUFNJY4AfY3kHU/edit?usp=sharing  #gid=0"",""фіз особи new!relations_name_uo""),7,FALSE)
,
)
))"),"ДЕРГАЧОВ Олександр Анатолійович")</f>
        <v>ДЕРГАЧОВ Олександр Анатолійович</v>
      </c>
      <c r="G6406" s="7" t="s">
        <v>10</v>
      </c>
      <c r="H6406" s="7">
        <v>2138</v>
      </c>
      <c r="I6406" s="8" t="str">
        <f ca="1">IFERROR(__xludf.DUMMYFUNCTION("IF
(
G6407=""фізична особа""
,
VLOOKUP(H6407,IMPORTRANGE(""https://docs.google.com/spreadsheets/d/14Bd19lYaqBhU8_DElYkX7l4wRkHqqCUFNJY4AfY3kHU/edit?usp=sharing  #gid=0"",""фіз особи new!relations_name""),6,FALSE)
,
(IF
(
G6407=""юридична особа""
,
VLOOKUP"&amp;"(H6407,IMPORTRANGE(""https://docs.google.com/spreadsheets/d/14Bd19lYaqBhU8_DElYkX7l4wRkHqqCUFNJY4AfY3kHU/edit?usp=sharing  #gid=0"",""фіз особи new!relations_name_uo""),7,FALSE)
,
)
))"),"ЛЕОНОВ Олександр Георгійович")</f>
        <v>ЛЕОНОВ Олександр Георгійович</v>
      </c>
      <c r="J6406" s="7" t="s">
        <v>29</v>
      </c>
    </row>
    <row r="6407" spans="1:10" ht="13.2">
      <c r="A6407" s="7">
        <v>6406</v>
      </c>
      <c r="B6407" s="7">
        <v>1</v>
      </c>
      <c r="C6407" s="7" t="s">
        <v>10</v>
      </c>
      <c r="D6407" s="7">
        <v>5642</v>
      </c>
      <c r="E6407" s="7" t="s">
        <v>28</v>
      </c>
      <c r="F6407" s="8" t="str">
        <f ca="1">IFERROR(__xludf.DUMMYFUNCTION("IF
(
C6408=""фізична особа""
,
VLOOKUP(D6408,IMPORTRANGE(""https://docs.google.com/spreadsheets/d/14Bd19lYaqBhU8_DElYkX7l4wRkHqqCUFNJY4AfY3kHU/edit?usp=sharing  #gid=0"",""фіз особи new!relations_name""),6,FALSE)
,
(IF
(
C6408=""юридична особа""
,
VLOOKUP"&amp;"(D6408,IMPORTRANGE(""https://docs.google.com/spreadsheets/d/14Bd19lYaqBhU8_DElYkX7l4wRkHqqCUFNJY4AfY3kHU/edit?usp=sharing  #gid=0"",""фіз особи new!relations_name_uo""),7,FALSE)
,
)
))"),"ШИРОКОВ Павло Олексійович")</f>
        <v>ШИРОКОВ Павло Олексійович</v>
      </c>
      <c r="G6407" s="7" t="s">
        <v>10</v>
      </c>
      <c r="H6407" s="7">
        <v>2138</v>
      </c>
      <c r="I6407" s="8" t="str">
        <f ca="1">IFERROR(__xludf.DUMMYFUNCTION("IF
(
G6408=""фізична особа""
,
VLOOKUP(H6408,IMPORTRANGE(""https://docs.google.com/spreadsheets/d/14Bd19lYaqBhU8_DElYkX7l4wRkHqqCUFNJY4AfY3kHU/edit?usp=sharing  #gid=0"",""фіз особи new!relations_name""),6,FALSE)
,
(IF
(
G6408=""юридична особа""
,
VLOOKUP"&amp;"(H6408,IMPORTRANGE(""https://docs.google.com/spreadsheets/d/14Bd19lYaqBhU8_DElYkX7l4wRkHqqCUFNJY4AfY3kHU/edit?usp=sharing  #gid=0"",""фіз особи new!relations_name_uo""),7,FALSE)
,
)
))"),"ЛЕОНОВ Олександр Георгійович")</f>
        <v>ЛЕОНОВ Олександр Георгійович</v>
      </c>
      <c r="J6407" s="7" t="s">
        <v>29</v>
      </c>
    </row>
    <row r="6408" spans="1:10" ht="13.2">
      <c r="A6408" s="7">
        <v>6407</v>
      </c>
      <c r="B6408" s="7">
        <v>1</v>
      </c>
      <c r="C6408" s="7" t="s">
        <v>10</v>
      </c>
      <c r="D6408" s="7">
        <v>5644</v>
      </c>
      <c r="E6408" s="7" t="s">
        <v>28</v>
      </c>
      <c r="F6408" s="8" t="str">
        <f ca="1">IFERROR(__xludf.DUMMYFUNCTION("IF
(
C6409=""фізична особа""
,
VLOOKUP(D6409,IMPORTRANGE(""https://docs.google.com/spreadsheets/d/14Bd19lYaqBhU8_DElYkX7l4wRkHqqCUFNJY4AfY3kHU/edit?usp=sharing  #gid=0"",""фіз особи new!relations_name""),6,FALSE)
,
(IF
(
C6409=""юридична особа""
,
VLOOKUP"&amp;"(D6409,IMPORTRANGE(""https://docs.google.com/spreadsheets/d/14Bd19lYaqBhU8_DElYkX7l4wRkHqqCUFNJY4AfY3kHU/edit?usp=sharing  #gid=0"",""фіз особи new!relations_name_uo""),7,FALSE)
,
)
))"),"КАНАЄВ Олексій Анатолійович")</f>
        <v>КАНАЄВ Олексій Анатолійович</v>
      </c>
      <c r="G6408" s="7" t="s">
        <v>10</v>
      </c>
      <c r="H6408" s="7">
        <v>4622</v>
      </c>
      <c r="I6408" s="8" t="str">
        <f ca="1">IFERROR(__xludf.DUMMYFUNCTION("IF
(
G6409=""фізична особа""
,
VLOOKUP(H6409,IMPORTRANGE(""https://docs.google.com/spreadsheets/d/14Bd19lYaqBhU8_DElYkX7l4wRkHqqCUFNJY4AfY3kHU/edit?usp=sharing  #gid=0"",""фіз особи new!relations_name""),6,FALSE)
,
(IF
(
G6409=""юридична особа""
,
VLOOKUP"&amp;"(H6409,IMPORTRANGE(""https://docs.google.com/spreadsheets/d/14Bd19lYaqBhU8_DElYkX7l4wRkHqqCUFNJY4AfY3kHU/edit?usp=sharing  #gid=0"",""фіз особи new!relations_name_uo""),7,FALSE)
,
)
))"),"ЕПИШИН Едуард Борисович")</f>
        <v>ЕПИШИН Едуард Борисович</v>
      </c>
      <c r="J6408" s="7" t="s">
        <v>29</v>
      </c>
    </row>
    <row r="6409" spans="1:10" ht="13.2">
      <c r="A6409" s="7">
        <v>6408</v>
      </c>
      <c r="B6409" s="7">
        <v>1</v>
      </c>
      <c r="C6409" s="7" t="s">
        <v>10</v>
      </c>
      <c r="D6409" s="7">
        <v>5646</v>
      </c>
      <c r="E6409" s="7" t="s">
        <v>28</v>
      </c>
      <c r="F6409" s="8" t="str">
        <f ca="1">IFERROR(__xludf.DUMMYFUNCTION("IF
(
C6410=""фізична особа""
,
VLOOKUP(D6410,IMPORTRANGE(""https://docs.google.com/spreadsheets/d/14Bd19lYaqBhU8_DElYkX7l4wRkHqqCUFNJY4AfY3kHU/edit?usp=sharing  #gid=0"",""фіз особи new!relations_name""),6,FALSE)
,
(IF
(
C6410=""юридична особа""
,
VLOOKUP"&amp;"(D6410,IMPORTRANGE(""https://docs.google.com/spreadsheets/d/14Bd19lYaqBhU8_DElYkX7l4wRkHqqCUFNJY4AfY3kHU/edit?usp=sharing  #gid=0"",""фіз особи new!relations_name_uo""),7,FALSE)
,
)
))"),"КЛИКОВ Ігор Анатолійович")</f>
        <v>КЛИКОВ Ігор Анатолійович</v>
      </c>
      <c r="G6409" s="7" t="s">
        <v>10</v>
      </c>
      <c r="H6409" s="7">
        <v>2146</v>
      </c>
      <c r="I6409" s="8" t="str">
        <f ca="1">IFERROR(__xludf.DUMMYFUNCTION("IF
(
G6410=""фізична особа""
,
VLOOKUP(H6410,IMPORTRANGE(""https://docs.google.com/spreadsheets/d/14Bd19lYaqBhU8_DElYkX7l4wRkHqqCUFNJY4AfY3kHU/edit?usp=sharing  #gid=0"",""фіз особи new!relations_name""),6,FALSE)
,
(IF
(
G6410=""юридична особа""
,
VLOOKUP"&amp;"(H6410,IMPORTRANGE(""https://docs.google.com/spreadsheets/d/14Bd19lYaqBhU8_DElYkX7l4wRkHqqCUFNJY4AfY3kHU/edit?usp=sharing  #gid=0"",""фіз особи new!relations_name_uo""),7,FALSE)
,
)
))"),"АСАЛІЄВ Султанахмед Мурадович")</f>
        <v>АСАЛІЄВ Султанахмед Мурадович</v>
      </c>
      <c r="J6409" s="7" t="s">
        <v>29</v>
      </c>
    </row>
    <row r="6410" spans="1:10" ht="13.2">
      <c r="A6410" s="7">
        <v>6409</v>
      </c>
      <c r="B6410" s="7">
        <v>1</v>
      </c>
      <c r="C6410" s="7" t="s">
        <v>10</v>
      </c>
      <c r="D6410" s="7">
        <v>5648</v>
      </c>
      <c r="E6410" s="7" t="s">
        <v>28</v>
      </c>
      <c r="F6410" s="8" t="str">
        <f ca="1">IFERROR(__xludf.DUMMYFUNCTION("IF
(
C6411=""фізична особа""
,
VLOOKUP(D6411,IMPORTRANGE(""https://docs.google.com/spreadsheets/d/14Bd19lYaqBhU8_DElYkX7l4wRkHqqCUFNJY4AfY3kHU/edit?usp=sharing  #gid=0"",""фіз особи new!relations_name""),6,FALSE)
,
(IF
(
C6411=""юридична особа""
,
VLOOKUP"&amp;"(D6411,IMPORTRANGE(""https://docs.google.com/spreadsheets/d/14Bd19lYaqBhU8_DElYkX7l4wRkHqqCUFNJY4AfY3kHU/edit?usp=sharing  #gid=0"",""фіз особи new!relations_name_uo""),7,FALSE)
,
)
))"),"ЄРМАКОВ Дмитро Анатолійович")</f>
        <v>ЄРМАКОВ Дмитро Анатолійович</v>
      </c>
      <c r="G6410" s="7" t="s">
        <v>10</v>
      </c>
      <c r="H6410" s="7">
        <v>5647</v>
      </c>
      <c r="I6410" s="8" t="str">
        <f ca="1">IFERROR(__xludf.DUMMYFUNCTION("IF
(
G6411=""фізична особа""
,
VLOOKUP(H6411,IMPORTRANGE(""https://docs.google.com/spreadsheets/d/14Bd19lYaqBhU8_DElYkX7l4wRkHqqCUFNJY4AfY3kHU/edit?usp=sharing  #gid=0"",""фіз особи new!relations_name""),6,FALSE)
,
(IF
(
G6411=""юридична особа""
,
VLOOKUP"&amp;"(H6411,IMPORTRANGE(""https://docs.google.com/spreadsheets/d/14Bd19lYaqBhU8_DElYkX7l4wRkHqqCUFNJY4AfY3kHU/edit?usp=sharing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0" s="7" t="s">
        <v>29</v>
      </c>
    </row>
    <row r="6411" spans="1:10" ht="13.2">
      <c r="A6411" s="7">
        <v>6410</v>
      </c>
      <c r="B6411" s="7">
        <v>1</v>
      </c>
      <c r="C6411" s="7" t="s">
        <v>10</v>
      </c>
      <c r="D6411" s="7">
        <v>5649</v>
      </c>
      <c r="E6411" s="7" t="s">
        <v>28</v>
      </c>
      <c r="F6411" s="8" t="str">
        <f ca="1">IFERROR(__xludf.DUMMYFUNCTION("IF
(
C6412=""фізична особа""
,
VLOOKUP(D6412,IMPORTRANGE(""https://docs.google.com/spreadsheets/d/14Bd19lYaqBhU8_DElYkX7l4wRkHqqCUFNJY4AfY3kHU/edit?usp=sharing  #gid=0"",""фіз особи new!relations_name""),6,FALSE)
,
(IF
(
C6412=""юридична особа""
,
VLOOKUP"&amp;"(D6412,IMPORTRANGE(""https://docs.google.com/spreadsheets/d/14Bd19lYaqBhU8_DElYkX7l4wRkHqqCUFNJY4AfY3kHU/edit?usp=sharing  #gid=0"",""фіз особи new!relations_name_uo""),7,FALSE)
,
)
))"),"ЄЛИСЄЄВ Євгеній Юрійович")</f>
        <v>ЄЛИСЄЄВ Євгеній Юрійович</v>
      </c>
      <c r="G6411" s="7" t="s">
        <v>10</v>
      </c>
      <c r="H6411" s="7">
        <v>5647</v>
      </c>
      <c r="I6411" s="8" t="str">
        <f ca="1">IFERROR(__xludf.DUMMYFUNCTION("IF
(
G6412=""фізична особа""
,
VLOOKUP(H6412,IMPORTRANGE(""https://docs.google.com/spreadsheets/d/14Bd19lYaqBhU8_DElYkX7l4wRkHqqCUFNJY4AfY3kHU/edit?usp=sharing  #gid=0"",""фіз особи new!relations_name""),6,FALSE)
,
(IF
(
G6412=""юридична особа""
,
VLOOKUP"&amp;"(H6412,IMPORTRANGE(""https://docs.google.com/spreadsheets/d/14Bd19lYaqBhU8_DElYkX7l4wRkHqqCUFNJY4AfY3kHU/edit?usp=sharing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1" s="7" t="s">
        <v>29</v>
      </c>
    </row>
    <row r="6412" spans="1:10" ht="13.2">
      <c r="A6412" s="7">
        <v>6411</v>
      </c>
      <c r="B6412" s="7">
        <v>1</v>
      </c>
      <c r="C6412" s="7" t="s">
        <v>10</v>
      </c>
      <c r="D6412" s="7">
        <v>5650</v>
      </c>
      <c r="E6412" s="7" t="s">
        <v>28</v>
      </c>
      <c r="F6412" s="8" t="str">
        <f ca="1">IFERROR(__xludf.DUMMYFUNCTION("IF
(
C6413=""фізична особа""
,
VLOOKUP(D6413,IMPORTRANGE(""https://docs.google.com/spreadsheets/d/14Bd19lYaqBhU8_DElYkX7l4wRkHqqCUFNJY4AfY3kHU/edit?usp=sharing  #gid=0"",""фіз особи new!relations_name""),6,FALSE)
,
(IF
(
C6413=""юридична особа""
,
VLOOKUP"&amp;"(D6413,IMPORTRANGE(""https://docs.google.com/spreadsheets/d/14Bd19lYaqBhU8_DElYkX7l4wRkHqqCUFNJY4AfY3kHU/edit?usp=sharing  #gid=0"",""фіз особи new!relations_name_uo""),7,FALSE)
,
)
))"),"ПАКІШИН Олександр Володимирович")</f>
        <v>ПАКІШИН Олександр Володимирович</v>
      </c>
      <c r="G6412" s="7" t="s">
        <v>10</v>
      </c>
      <c r="H6412" s="7">
        <v>5647</v>
      </c>
      <c r="I6412" s="8" t="str">
        <f ca="1">IFERROR(__xludf.DUMMYFUNCTION("IF
(
G6413=""фізична особа""
,
VLOOKUP(H6413,IMPORTRANGE(""https://docs.google.com/spreadsheets/d/14Bd19lYaqBhU8_DElYkX7l4wRkHqqCUFNJY4AfY3kHU/edit?usp=sharing  #gid=0"",""фіз особи new!relations_name""),6,FALSE)
,
(IF
(
G6413=""юридична особа""
,
VLOOKUP"&amp;"(H6413,IMPORTRANGE(""https://docs.google.com/spreadsheets/d/14Bd19lYaqBhU8_DElYkX7l4wRkHqqCUFNJY4AfY3kHU/edit?usp=sharing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2" s="7" t="s">
        <v>29</v>
      </c>
    </row>
    <row r="6413" spans="1:10" ht="13.2">
      <c r="A6413" s="7">
        <v>6412</v>
      </c>
      <c r="B6413" s="7">
        <v>1</v>
      </c>
      <c r="C6413" s="7" t="s">
        <v>10</v>
      </c>
      <c r="D6413" s="7">
        <v>5651</v>
      </c>
      <c r="E6413" s="7" t="s">
        <v>28</v>
      </c>
      <c r="F6413" s="8" t="str">
        <f ca="1">IFERROR(__xludf.DUMMYFUNCTION("IF
(
C6414=""фізична особа""
,
VLOOKUP(D6414,IMPORTRANGE(""https://docs.google.com/spreadsheets/d/14Bd19lYaqBhU8_DElYkX7l4wRkHqqCUFNJY4AfY3kHU/edit?usp=sharing  #gid=0"",""фіз особи new!relations_name""),6,FALSE)
,
(IF
(
C6414=""юридична особа""
,
VLOOKUP"&amp;"(D6414,IMPORTRANGE(""https://docs.google.com/spreadsheets/d/14Bd19lYaqBhU8_DElYkX7l4wRkHqqCUFNJY4AfY3kHU/edit?usp=sharing  #gid=0"",""фіз особи new!relations_name_uo""),7,FALSE)
,
)
))"),"ГУСЄВ Євгеній Сергійович")</f>
        <v>ГУСЄВ Євгеній Сергійович</v>
      </c>
      <c r="G6413" s="7" t="s">
        <v>10</v>
      </c>
      <c r="H6413" s="7">
        <v>5647</v>
      </c>
      <c r="I6413" s="8" t="str">
        <f ca="1">IFERROR(__xludf.DUMMYFUNCTION("IF
(
G6414=""фізична особа""
,
VLOOKUP(H6414,IMPORTRANGE(""https://docs.google.com/spreadsheets/d/14Bd19lYaqBhU8_DElYkX7l4wRkHqqCUFNJY4AfY3kHU/edit?usp=sharing  #gid=0"",""фіз особи new!relations_name""),6,FALSE)
,
(IF
(
G6414=""юридична особа""
,
VLOOKUP"&amp;"(H6414,IMPORTRANGE(""https://docs.google.com/spreadsheets/d/14Bd19lYaqBhU8_DElYkX7l4wRkHqqCUFNJY4AfY3kHU/edit?usp=sharing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3" s="7" t="s">
        <v>29</v>
      </c>
    </row>
    <row r="6414" spans="1:10" ht="13.2">
      <c r="A6414" s="7">
        <v>6413</v>
      </c>
      <c r="B6414" s="7">
        <v>1</v>
      </c>
      <c r="C6414" s="7" t="s">
        <v>10</v>
      </c>
      <c r="D6414" s="7">
        <v>5652</v>
      </c>
      <c r="E6414" s="7" t="s">
        <v>28</v>
      </c>
      <c r="F6414" s="8" t="str">
        <f ca="1">IFERROR(__xludf.DUMMYFUNCTION("IF
(
C6415=""фізична особа""
,
VLOOKUP(D6415,IMPORTRANGE(""https://docs.google.com/spreadsheets/d/14Bd19lYaqBhU8_DElYkX7l4wRkHqqCUFNJY4AfY3kHU/edit?usp=sharing  #gid=0"",""фіз особи new!relations_name""),6,FALSE)
,
(IF
(
C6415=""юридична особа""
,
VLOOKUP"&amp;"(D6415,IMPORTRANGE(""https://docs.google.com/spreadsheets/d/14Bd19lYaqBhU8_DElYkX7l4wRkHqqCUFNJY4AfY3kHU/edit?usp=sharing  #gid=0"",""фіз особи new!relations_name_uo""),7,FALSE)
,
)
))"),"ЗАУССЬКИЙ Сергій Кирилович")</f>
        <v>ЗАУССЬКИЙ Сергій Кирилович</v>
      </c>
      <c r="G6414" s="7" t="s">
        <v>10</v>
      </c>
      <c r="H6414" s="7">
        <v>5647</v>
      </c>
      <c r="I6414" s="8" t="str">
        <f ca="1">IFERROR(__xludf.DUMMYFUNCTION("IF
(
G6415=""фізична особа""
,
VLOOKUP(H6415,IMPORTRANGE(""https://docs.google.com/spreadsheets/d/14Bd19lYaqBhU8_DElYkX7l4wRkHqqCUFNJY4AfY3kHU/edit?usp=sharing  #gid=0"",""фіз особи new!relations_name""),6,FALSE)
,
(IF
(
G6415=""юридична особа""
,
VLOOKUP"&amp;"(H6415,IMPORTRANGE(""https://docs.google.com/spreadsheets/d/14Bd19lYaqBhU8_DElYkX7l4wRkHqqCUFNJY4AfY3kHU/edit?usp=sharing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4" s="7" t="s">
        <v>29</v>
      </c>
    </row>
    <row r="6415" spans="1:10" ht="13.2">
      <c r="A6415" s="7">
        <v>6414</v>
      </c>
      <c r="B6415" s="7">
        <v>1</v>
      </c>
      <c r="C6415" s="7" t="s">
        <v>10</v>
      </c>
      <c r="D6415" s="7">
        <v>5653</v>
      </c>
      <c r="E6415" s="7" t="s">
        <v>28</v>
      </c>
      <c r="F6415" s="8" t="str">
        <f ca="1">IFERROR(__xludf.DUMMYFUNCTION("IF
(
C6416=""фізична особа""
,
VLOOKUP(D6416,IMPORTRANGE(""https://docs.google.com/spreadsheets/d/14Bd19lYaqBhU8_DElYkX7l4wRkHqqCUFNJY4AfY3kHU/edit?usp=sharing  #gid=0"",""фіз особи new!relations_name""),6,FALSE)
,
(IF
(
C6416=""юридична особа""
,
VLOOKUP"&amp;"(D6416,IMPORTRANGE(""https://docs.google.com/spreadsheets/d/14Bd19lYaqBhU8_DElYkX7l4wRkHqqCUFNJY4AfY3kHU/edit?usp=sharing  #gid=0"",""фіз особи new!relations_name_uo""),7,FALSE)
,
)
))"),"ПОСПЄЛОВ Олексій Сергійович")</f>
        <v>ПОСПЄЛОВ Олексій Сергійович</v>
      </c>
      <c r="G6415" s="7" t="s">
        <v>10</v>
      </c>
      <c r="H6415" s="7">
        <v>5647</v>
      </c>
      <c r="I6415" s="8" t="str">
        <f ca="1">IFERROR(__xludf.DUMMYFUNCTION("IF
(
G6416=""фізична особа""
,
VLOOKUP(H6416,IMPORTRANGE(""https://docs.google.com/spreadsheets/d/14Bd19lYaqBhU8_DElYkX7l4wRkHqqCUFNJY4AfY3kHU/edit?usp=sharing  #gid=0"",""фіз особи new!relations_name""),6,FALSE)
,
(IF
(
G6416=""юридична особа""
,
VLOOKUP"&amp;"(H6416,IMPORTRANGE(""https://docs.google.com/spreadsheets/d/14Bd19lYaqBhU8_DElYkX7l4wRkHqqCUFNJY4AfY3kHU/edit?usp=sharing  #gid=0"",""фіз особи new!relations_name_uo""),7,FALSE)
,
)
))"),"ПОНОМАРЬОВ Ігор Борисович")</f>
        <v>ПОНОМАРЬОВ Ігор Борисович</v>
      </c>
      <c r="J6415" s="7" t="s">
        <v>29</v>
      </c>
    </row>
    <row r="6416" spans="1:10" ht="13.2">
      <c r="A6416" s="7">
        <v>6415</v>
      </c>
      <c r="B6416" s="7">
        <v>1</v>
      </c>
      <c r="C6416" s="7" t="s">
        <v>10</v>
      </c>
      <c r="D6416" s="7">
        <v>5655</v>
      </c>
      <c r="E6416" s="7" t="s">
        <v>28</v>
      </c>
      <c r="F6416" s="8" t="str">
        <f ca="1">IFERROR(__xludf.DUMMYFUNCTION("IF
(
C6417=""фізична особа""
,
VLOOKUP(D6417,IMPORTRANGE(""https://docs.google.com/spreadsheets/d/14Bd19lYaqBhU8_DElYkX7l4wRkHqqCUFNJY4AfY3kHU/edit?usp=sharing  #gid=0"",""фіз особи new!relations_name""),6,FALSE)
,
(IF
(
C6417=""юридична особа""
,
VLOOKUP"&amp;"(D6417,IMPORTRANGE(""https://docs.google.com/spreadsheets/d/14Bd19lYaqBhU8_DElYkX7l4wRkHqqCUFNJY4AfY3kHU/edit?usp=sharing  #gid=0"",""фіз особи new!relations_name_uo""),7,FALSE)
,
)
))"),"МАРШИН Сергій Владиславович")</f>
        <v>МАРШИН Сергій Владиславович</v>
      </c>
      <c r="G6416" s="7" t="s">
        <v>10</v>
      </c>
      <c r="H6416" s="7">
        <v>5654</v>
      </c>
      <c r="I6416" s="8" t="str">
        <f ca="1">IFERROR(__xludf.DUMMYFUNCTION("IF
(
G6417=""фізична особа""
,
VLOOKUP(H6417,IMPORTRANGE(""https://docs.google.com/spreadsheets/d/14Bd19lYaqBhU8_DElYkX7l4wRkHqqCUFNJY4AfY3kHU/edit?usp=sharing  #gid=0"",""фіз особи new!relations_name""),6,FALSE)
,
(IF
(
G6417=""юридична особа""
,
VLOOKUP"&amp;"(H6417,IMPORTRANGE(""https://docs.google.com/spreadsheets/d/14Bd19lYaqBhU8_DElYkX7l4wRkHqqCUFNJY4AfY3kHU/edit?usp=sharing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16" s="7" t="s">
        <v>29</v>
      </c>
    </row>
    <row r="6417" spans="1:10" ht="13.2">
      <c r="A6417" s="7">
        <v>6416</v>
      </c>
      <c r="B6417" s="7">
        <v>1</v>
      </c>
      <c r="C6417" s="7" t="s">
        <v>10</v>
      </c>
      <c r="D6417" s="7">
        <v>5656</v>
      </c>
      <c r="E6417" s="7" t="s">
        <v>28</v>
      </c>
      <c r="F6417" s="8" t="str">
        <f ca="1">IFERROR(__xludf.DUMMYFUNCTION("IF
(
C6418=""фізична особа""
,
VLOOKUP(D6418,IMPORTRANGE(""https://docs.google.com/spreadsheets/d/14Bd19lYaqBhU8_DElYkX7l4wRkHqqCUFNJY4AfY3kHU/edit?usp=sharing  #gid=0"",""фіз особи new!relations_name""),6,FALSE)
,
(IF
(
C6418=""юридична особа""
,
VLOOKUP"&amp;"(D6418,IMPORTRANGE(""https://docs.google.com/spreadsheets/d/14Bd19lYaqBhU8_DElYkX7l4wRkHqqCUFNJY4AfY3kHU/edit?usp=sharing  #gid=0"",""фіз особи new!relations_name_uo""),7,FALSE)
,
)
))"),"БОЧАРОВ Антон Вадимович")</f>
        <v>БОЧАРОВ Антон Вадимович</v>
      </c>
      <c r="G6417" s="7" t="s">
        <v>10</v>
      </c>
      <c r="H6417" s="7">
        <v>5654</v>
      </c>
      <c r="I6417" s="8" t="str">
        <f ca="1">IFERROR(__xludf.DUMMYFUNCTION("IF
(
G6418=""фізична особа""
,
VLOOKUP(H6418,IMPORTRANGE(""https://docs.google.com/spreadsheets/d/14Bd19lYaqBhU8_DElYkX7l4wRkHqqCUFNJY4AfY3kHU/edit?usp=sharing  #gid=0"",""фіз особи new!relations_name""),6,FALSE)
,
(IF
(
G6418=""юридична особа""
,
VLOOKUP"&amp;"(H6418,IMPORTRANGE(""https://docs.google.com/spreadsheets/d/14Bd19lYaqBhU8_DElYkX7l4wRkHqqCUFNJY4AfY3kHU/edit?usp=sharing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17" s="7" t="s">
        <v>29</v>
      </c>
    </row>
    <row r="6418" spans="1:10" ht="13.2">
      <c r="A6418" s="7">
        <v>6417</v>
      </c>
      <c r="B6418" s="7">
        <v>1</v>
      </c>
      <c r="C6418" s="7" t="s">
        <v>10</v>
      </c>
      <c r="D6418" s="7">
        <v>5657</v>
      </c>
      <c r="E6418" s="7" t="s">
        <v>28</v>
      </c>
      <c r="F6418" s="8" t="str">
        <f ca="1">IFERROR(__xludf.DUMMYFUNCTION("IF
(
C6419=""фізична особа""
,
VLOOKUP(D6419,IMPORTRANGE(""https://docs.google.com/spreadsheets/d/14Bd19lYaqBhU8_DElYkX7l4wRkHqqCUFNJY4AfY3kHU/edit?usp=sharing  #gid=0"",""фіз особи new!relations_name""),6,FALSE)
,
(IF
(
C6419=""юридична особа""
,
VLOOKUP"&amp;"(D6419,IMPORTRANGE(""https://docs.google.com/spreadsheets/d/14Bd19lYaqBhU8_DElYkX7l4wRkHqqCUFNJY4AfY3kHU/edit?usp=sharing  #gid=0"",""фіз особи new!relations_name_uo""),7,FALSE)
,
)
))"),"ТЕРЕШКІНА Тетяна Іванівна")</f>
        <v>ТЕРЕШКІНА Тетяна Іванівна</v>
      </c>
      <c r="G6418" s="7" t="s">
        <v>10</v>
      </c>
      <c r="H6418" s="7">
        <v>5654</v>
      </c>
      <c r="I6418" s="8" t="str">
        <f ca="1">IFERROR(__xludf.DUMMYFUNCTION("IF
(
G6419=""фізична особа""
,
VLOOKUP(H6419,IMPORTRANGE(""https://docs.google.com/spreadsheets/d/14Bd19lYaqBhU8_DElYkX7l4wRkHqqCUFNJY4AfY3kHU/edit?usp=sharing  #gid=0"",""фіз особи new!relations_name""),6,FALSE)
,
(IF
(
G6419=""юридична особа""
,
VLOOKUP"&amp;"(H6419,IMPORTRANGE(""https://docs.google.com/spreadsheets/d/14Bd19lYaqBhU8_DElYkX7l4wRkHqqCUFNJY4AfY3kHU/edit?usp=sharing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18" s="7" t="s">
        <v>29</v>
      </c>
    </row>
    <row r="6419" spans="1:10" ht="13.2">
      <c r="A6419" s="7">
        <v>6418</v>
      </c>
      <c r="B6419" s="7">
        <v>1</v>
      </c>
      <c r="C6419" s="7" t="s">
        <v>10</v>
      </c>
      <c r="D6419" s="7">
        <v>5658</v>
      </c>
      <c r="E6419" s="7" t="s">
        <v>28</v>
      </c>
      <c r="F6419" s="8" t="str">
        <f ca="1">IFERROR(__xludf.DUMMYFUNCTION("IF
(
C6420=""фізична особа""
,
VLOOKUP(D6420,IMPORTRANGE(""https://docs.google.com/spreadsheets/d/14Bd19lYaqBhU8_DElYkX7l4wRkHqqCUFNJY4AfY3kHU/edit?usp=sharing  #gid=0"",""фіз особи new!relations_name""),6,FALSE)
,
(IF
(
C6420=""юридична особа""
,
VLOOKUP"&amp;"(D6420,IMPORTRANGE(""https://docs.google.com/spreadsheets/d/14Bd19lYaqBhU8_DElYkX7l4wRkHqqCUFNJY4AfY3kHU/edit?usp=sharing  #gid=0"",""фіз особи new!relations_name_uo""),7,FALSE)
,
)
))"),"ЛУНЕНКОВ Павло Вікторович")</f>
        <v>ЛУНЕНКОВ Павло Вікторович</v>
      </c>
      <c r="G6419" s="7" t="s">
        <v>10</v>
      </c>
      <c r="H6419" s="7">
        <v>5654</v>
      </c>
      <c r="I6419" s="8" t="str">
        <f ca="1">IFERROR(__xludf.DUMMYFUNCTION("IF
(
G6420=""фізична особа""
,
VLOOKUP(H6420,IMPORTRANGE(""https://docs.google.com/spreadsheets/d/14Bd19lYaqBhU8_DElYkX7l4wRkHqqCUFNJY4AfY3kHU/edit?usp=sharing  #gid=0"",""фіз особи new!relations_name""),6,FALSE)
,
(IF
(
G6420=""юридична особа""
,
VLOOKUP"&amp;"(H6420,IMPORTRANGE(""https://docs.google.com/spreadsheets/d/14Bd19lYaqBhU8_DElYkX7l4wRkHqqCUFNJY4AfY3kHU/edit?usp=sharing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19" s="7" t="s">
        <v>29</v>
      </c>
    </row>
    <row r="6420" spans="1:10" ht="13.2">
      <c r="A6420" s="7">
        <v>6419</v>
      </c>
      <c r="B6420" s="7">
        <v>1</v>
      </c>
      <c r="C6420" s="7" t="s">
        <v>10</v>
      </c>
      <c r="D6420" s="7">
        <v>5659</v>
      </c>
      <c r="E6420" s="7" t="s">
        <v>28</v>
      </c>
      <c r="F6420" s="8" t="str">
        <f ca="1">IFERROR(__xludf.DUMMYFUNCTION("IF
(
C6421=""фізична особа""
,
VLOOKUP(D6421,IMPORTRANGE(""https://docs.google.com/spreadsheets/d/14Bd19lYaqBhU8_DElYkX7l4wRkHqqCUFNJY4AfY3kHU/edit?usp=sharing  #gid=0"",""фіз особи new!relations_name""),6,FALSE)
,
(IF
(
C6421=""юридична особа""
,
VLOOKUP"&amp;"(D6421,IMPORTRANGE(""https://docs.google.com/spreadsheets/d/14Bd19lYaqBhU8_DElYkX7l4wRkHqqCUFNJY4AfY3kHU/edit?usp=sharing  #gid=0"",""фіз особи new!relations_name_uo""),7,FALSE)
,
)
))"),"МАРЕНКОВ Олександр Іванович")</f>
        <v>МАРЕНКОВ Олександр Іванович</v>
      </c>
      <c r="G6420" s="7" t="s">
        <v>10</v>
      </c>
      <c r="H6420" s="7">
        <v>5654</v>
      </c>
      <c r="I6420" s="8" t="str">
        <f ca="1">IFERROR(__xludf.DUMMYFUNCTION("IF
(
G6421=""фізична особа""
,
VLOOKUP(H6421,IMPORTRANGE(""https://docs.google.com/spreadsheets/d/14Bd19lYaqBhU8_DElYkX7l4wRkHqqCUFNJY4AfY3kHU/edit?usp=sharing  #gid=0"",""фіз особи new!relations_name""),6,FALSE)
,
(IF
(
G6421=""юридична особа""
,
VLOOKUP"&amp;"(H6421,IMPORTRANGE(""https://docs.google.com/spreadsheets/d/14Bd19lYaqBhU8_DElYkX7l4wRkHqqCUFNJY4AfY3kHU/edit?usp=sharing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20" s="7" t="s">
        <v>29</v>
      </c>
    </row>
    <row r="6421" spans="1:10" ht="13.2">
      <c r="A6421" s="7">
        <v>6420</v>
      </c>
      <c r="B6421" s="7">
        <v>1</v>
      </c>
      <c r="C6421" s="7" t="s">
        <v>10</v>
      </c>
      <c r="D6421" s="7">
        <v>5660</v>
      </c>
      <c r="E6421" s="7" t="s">
        <v>28</v>
      </c>
      <c r="F6421" s="8" t="str">
        <f ca="1">IFERROR(__xludf.DUMMYFUNCTION("IF
(
C6422=""фізична особа""
,
VLOOKUP(D6422,IMPORTRANGE(""https://docs.google.com/spreadsheets/d/14Bd19lYaqBhU8_DElYkX7l4wRkHqqCUFNJY4AfY3kHU/edit?usp=sharing  #gid=0"",""фіз особи new!relations_name""),6,FALSE)
,
(IF
(
C6422=""юридична особа""
,
VLOOKUP"&amp;"(D6422,IMPORTRANGE(""https://docs.google.com/spreadsheets/d/14Bd19lYaqBhU8_DElYkX7l4wRkHqqCUFNJY4AfY3kHU/edit?usp=sharing  #gid=0"",""фіз особи new!relations_name_uo""),7,FALSE)
,
)
))"),"ВЕРЬОВКІН Олексій Вікторович")</f>
        <v>ВЕРЬОВКІН Олексій Вікторович</v>
      </c>
      <c r="G6421" s="7" t="s">
        <v>10</v>
      </c>
      <c r="H6421" s="7">
        <v>5654</v>
      </c>
      <c r="I6421" s="8" t="str">
        <f ca="1">IFERROR(__xludf.DUMMYFUNCTION("IF
(
G6422=""фізична особа""
,
VLOOKUP(H6422,IMPORTRANGE(""https://docs.google.com/spreadsheets/d/14Bd19lYaqBhU8_DElYkX7l4wRkHqqCUFNJY4AfY3kHU/edit?usp=sharing  #gid=0"",""фіз особи new!relations_name""),6,FALSE)
,
(IF
(
G6422=""юридична особа""
,
VLOOKUP"&amp;"(H6422,IMPORTRANGE(""https://docs.google.com/spreadsheets/d/14Bd19lYaqBhU8_DElYkX7l4wRkHqqCUFNJY4AfY3kHU/edit?usp=sharing  #gid=0"",""фіз особи new!relations_name_uo""),7,FALSE)
,
)
))"),"КРУГЛИКОВ Віктор Якович")</f>
        <v>КРУГЛИКОВ Віктор Якович</v>
      </c>
      <c r="J6421" s="7" t="s">
        <v>29</v>
      </c>
    </row>
    <row r="6422" spans="1:10" ht="13.2">
      <c r="A6422" s="7">
        <v>6421</v>
      </c>
      <c r="B6422" s="7">
        <v>1</v>
      </c>
      <c r="C6422" s="7" t="s">
        <v>10</v>
      </c>
      <c r="D6422" s="7">
        <v>5662</v>
      </c>
      <c r="E6422" s="7" t="s">
        <v>28</v>
      </c>
      <c r="F6422" s="8" t="str">
        <f ca="1">IFERROR(__xludf.DUMMYFUNCTION("IF
(
C6423=""фізична особа""
,
VLOOKUP(D6423,IMPORTRANGE(""https://docs.google.com/spreadsheets/d/14Bd19lYaqBhU8_DElYkX7l4wRkHqqCUFNJY4AfY3kHU/edit?usp=sharing  #gid=0"",""фіз особи new!relations_name""),6,FALSE)
,
(IF
(
C6423=""юридична особа""
,
VLOOKUP"&amp;"(D6423,IMPORTRANGE(""https://docs.google.com/spreadsheets/d/14Bd19lYaqBhU8_DElYkX7l4wRkHqqCUFNJY4AfY3kHU/edit?usp=sharing  #gid=0"",""фіз особи new!relations_name_uo""),7,FALSE)
,
)
))"),"НІКІШОВ Володимир Іванович")</f>
        <v>НІКІШОВ Володимир Іванович</v>
      </c>
      <c r="G6422" s="7" t="s">
        <v>10</v>
      </c>
      <c r="H6422" s="7">
        <v>5661</v>
      </c>
      <c r="I6422" s="8" t="str">
        <f ca="1">IFERROR(__xludf.DUMMYFUNCTION("IF
(
G6423=""фізична особа""
,
VLOOKUP(H6423,IMPORTRANGE(""https://docs.google.com/spreadsheets/d/14Bd19lYaqBhU8_DElYkX7l4wRkHqqCUFNJY4AfY3kHU/edit?usp=sharing  #gid=0"",""фіз особи new!relations_name""),6,FALSE)
,
(IF
(
G6423=""юридична особа""
,
VLOOKUP"&amp;"(H6423,IMPORTRANGE(""https://docs.google.com/spreadsheets/d/14Bd19lYaqBhU8_DElYkX7l4wRkHqqCUFNJY4AfY3kHU/edit?usp=sharing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2" s="7" t="s">
        <v>29</v>
      </c>
    </row>
    <row r="6423" spans="1:10" ht="13.2">
      <c r="A6423" s="7">
        <v>6422</v>
      </c>
      <c r="B6423" s="7">
        <v>1</v>
      </c>
      <c r="C6423" s="7" t="s">
        <v>10</v>
      </c>
      <c r="D6423" s="7">
        <v>5663</v>
      </c>
      <c r="E6423" s="7" t="s">
        <v>28</v>
      </c>
      <c r="F6423" s="8" t="str">
        <f ca="1">IFERROR(__xludf.DUMMYFUNCTION("IF
(
C6424=""фізична особа""
,
VLOOKUP(D6424,IMPORTRANGE(""https://docs.google.com/spreadsheets/d/14Bd19lYaqBhU8_DElYkX7l4wRkHqqCUFNJY4AfY3kHU/edit?usp=sharing  #gid=0"",""фіз особи new!relations_name""),6,FALSE)
,
(IF
(
C6424=""юридична особа""
,
VLOOKUP"&amp;"(D6424,IMPORTRANGE(""https://docs.google.com/spreadsheets/d/14Bd19lYaqBhU8_DElYkX7l4wRkHqqCUFNJY4AfY3kHU/edit?usp=sharing  #gid=0"",""фіз особи new!relations_name_uo""),7,FALSE)
,
)
))"),"МАКАРОВ Сергій Якович")</f>
        <v>МАКАРОВ Сергій Якович</v>
      </c>
      <c r="G6423" s="7" t="s">
        <v>10</v>
      </c>
      <c r="H6423" s="7">
        <v>5661</v>
      </c>
      <c r="I6423" s="8" t="str">
        <f ca="1">IFERROR(__xludf.DUMMYFUNCTION("IF
(
G6424=""фізична особа""
,
VLOOKUP(H6424,IMPORTRANGE(""https://docs.google.com/spreadsheets/d/14Bd19lYaqBhU8_DElYkX7l4wRkHqqCUFNJY4AfY3kHU/edit?usp=sharing  #gid=0"",""фіз особи new!relations_name""),6,FALSE)
,
(IF
(
G6424=""юридична особа""
,
VLOOKUP"&amp;"(H6424,IMPORTRANGE(""https://docs.google.com/spreadsheets/d/14Bd19lYaqBhU8_DElYkX7l4wRkHqqCUFNJY4AfY3kHU/edit?usp=sharing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3" s="7" t="s">
        <v>29</v>
      </c>
    </row>
    <row r="6424" spans="1:10" ht="13.2">
      <c r="A6424" s="7">
        <v>6423</v>
      </c>
      <c r="B6424" s="7">
        <v>1</v>
      </c>
      <c r="C6424" s="7" t="s">
        <v>10</v>
      </c>
      <c r="D6424" s="7">
        <v>5664</v>
      </c>
      <c r="E6424" s="7" t="s">
        <v>28</v>
      </c>
      <c r="F6424" s="8" t="str">
        <f ca="1">IFERROR(__xludf.DUMMYFUNCTION("IF
(
C6425=""фізична особа""
,
VLOOKUP(D6425,IMPORTRANGE(""https://docs.google.com/spreadsheets/d/14Bd19lYaqBhU8_DElYkX7l4wRkHqqCUFNJY4AfY3kHU/edit?usp=sharing  #gid=0"",""фіз особи new!relations_name""),6,FALSE)
,
(IF
(
C6425=""юридична особа""
,
VLOOKUP"&amp;"(D6425,IMPORTRANGE(""https://docs.google.com/spreadsheets/d/14Bd19lYaqBhU8_DElYkX7l4wRkHqqCUFNJY4AfY3kHU/edit?usp=sharing  #gid=0"",""фіз особи new!relations_name_uo""),7,FALSE)
,
)
))"),"ФАЛЬКОВИЧ Леонід Абрамович")</f>
        <v>ФАЛЬКОВИЧ Леонід Абрамович</v>
      </c>
      <c r="G6424" s="7" t="s">
        <v>10</v>
      </c>
      <c r="H6424" s="7">
        <v>5661</v>
      </c>
      <c r="I6424" s="8" t="str">
        <f ca="1">IFERROR(__xludf.DUMMYFUNCTION("IF
(
G6425=""фізична особа""
,
VLOOKUP(H6425,IMPORTRANGE(""https://docs.google.com/spreadsheets/d/14Bd19lYaqBhU8_DElYkX7l4wRkHqqCUFNJY4AfY3kHU/edit?usp=sharing  #gid=0"",""фіз особи new!relations_name""),6,FALSE)
,
(IF
(
G6425=""юридична особа""
,
VLOOKUP"&amp;"(H6425,IMPORTRANGE(""https://docs.google.com/spreadsheets/d/14Bd19lYaqBhU8_DElYkX7l4wRkHqqCUFNJY4AfY3kHU/edit?usp=sharing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4" s="7" t="s">
        <v>29</v>
      </c>
    </row>
    <row r="6425" spans="1:10" ht="13.2">
      <c r="A6425" s="7">
        <v>6424</v>
      </c>
      <c r="B6425" s="7">
        <v>1</v>
      </c>
      <c r="C6425" s="7" t="s">
        <v>10</v>
      </c>
      <c r="D6425" s="7">
        <v>5665</v>
      </c>
      <c r="E6425" s="7" t="s">
        <v>28</v>
      </c>
      <c r="F6425" s="8" t="str">
        <f ca="1">IFERROR(__xludf.DUMMYFUNCTION("IF
(
C6426=""фізична особа""
,
VLOOKUP(D6426,IMPORTRANGE(""https://docs.google.com/spreadsheets/d/14Bd19lYaqBhU8_DElYkX7l4wRkHqqCUFNJY4AfY3kHU/edit?usp=sharing  #gid=0"",""фіз особи new!relations_name""),6,FALSE)
,
(IF
(
C6426=""юридична особа""
,
VLOOKUP"&amp;"(D6426,IMPORTRANGE(""https://docs.google.com/spreadsheets/d/14Bd19lYaqBhU8_DElYkX7l4wRkHqqCUFNJY4AfY3kHU/edit?usp=sharing  #gid=0"",""фіз особи new!relations_name_uo""),7,FALSE)
,
)
))"),"МИХАЙЛОВ Микола Семенович")</f>
        <v>МИХАЙЛОВ Микола Семенович</v>
      </c>
      <c r="G6425" s="7" t="s">
        <v>10</v>
      </c>
      <c r="H6425" s="7">
        <v>5661</v>
      </c>
      <c r="I6425" s="8" t="str">
        <f ca="1">IFERROR(__xludf.DUMMYFUNCTION("IF
(
G6426=""фізична особа""
,
VLOOKUP(H6426,IMPORTRANGE(""https://docs.google.com/spreadsheets/d/14Bd19lYaqBhU8_DElYkX7l4wRkHqqCUFNJY4AfY3kHU/edit?usp=sharing  #gid=0"",""фіз особи new!relations_name""),6,FALSE)
,
(IF
(
G6426=""юридична особа""
,
VLOOKUP"&amp;"(H6426,IMPORTRANGE(""https://docs.google.com/spreadsheets/d/14Bd19lYaqBhU8_DElYkX7l4wRkHqqCUFNJY4AfY3kHU/edit?usp=sharing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5" s="7" t="s">
        <v>29</v>
      </c>
    </row>
    <row r="6426" spans="1:10" ht="13.2">
      <c r="A6426" s="7">
        <v>6425</v>
      </c>
      <c r="B6426" s="7">
        <v>1</v>
      </c>
      <c r="C6426" s="7" t="s">
        <v>10</v>
      </c>
      <c r="D6426" s="7">
        <v>5666</v>
      </c>
      <c r="E6426" s="7" t="s">
        <v>28</v>
      </c>
      <c r="F6426" s="8" t="str">
        <f ca="1">IFERROR(__xludf.DUMMYFUNCTION("IF
(
C6427=""фізична особа""
,
VLOOKUP(D6427,IMPORTRANGE(""https://docs.google.com/spreadsheets/d/14Bd19lYaqBhU8_DElYkX7l4wRkHqqCUFNJY4AfY3kHU/edit?usp=sharing  #gid=0"",""фіз особи new!relations_name""),6,FALSE)
,
(IF
(
C6427=""юридична особа""
,
VLOOKUP"&amp;"(D6427,IMPORTRANGE(""https://docs.google.com/spreadsheets/d/14Bd19lYaqBhU8_DElYkX7l4wRkHqqCUFNJY4AfY3kHU/edit?usp=sharing  #gid=0"",""фіз особи new!relations_name_uo""),7,FALSE)
,
)
))"),"ГАЛЄЄВА Наїля Наїлівна")</f>
        <v>ГАЛЄЄВА Наїля Наїлівна</v>
      </c>
      <c r="G6426" s="7" t="s">
        <v>10</v>
      </c>
      <c r="H6426" s="7">
        <v>5661</v>
      </c>
      <c r="I6426" s="8" t="str">
        <f ca="1">IFERROR(__xludf.DUMMYFUNCTION("IF
(
G6427=""фізична особа""
,
VLOOKUP(H6427,IMPORTRANGE(""https://docs.google.com/spreadsheets/d/14Bd19lYaqBhU8_DElYkX7l4wRkHqqCUFNJY4AfY3kHU/edit?usp=sharing  #gid=0"",""фіз особи new!relations_name""),6,FALSE)
,
(IF
(
G6427=""юридична особа""
,
VLOOKUP"&amp;"(H6427,IMPORTRANGE(""https://docs.google.com/spreadsheets/d/14Bd19lYaqBhU8_DElYkX7l4wRkHqqCUFNJY4AfY3kHU/edit?usp=sharing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6" s="7" t="s">
        <v>29</v>
      </c>
    </row>
    <row r="6427" spans="1:10" ht="13.2">
      <c r="A6427" s="7">
        <v>6426</v>
      </c>
      <c r="B6427" s="7">
        <v>1</v>
      </c>
      <c r="C6427" s="7" t="s">
        <v>10</v>
      </c>
      <c r="D6427" s="7">
        <v>5667</v>
      </c>
      <c r="E6427" s="7" t="s">
        <v>28</v>
      </c>
      <c r="F6427" s="8" t="str">
        <f ca="1">IFERROR(__xludf.DUMMYFUNCTION("IF
(
C6428=""фізична особа""
,
VLOOKUP(D6428,IMPORTRANGE(""https://docs.google.com/spreadsheets/d/14Bd19lYaqBhU8_DElYkX7l4wRkHqqCUFNJY4AfY3kHU/edit?usp=sharing  #gid=0"",""фіз особи new!relations_name""),6,FALSE)
,
(IF
(
C6428=""юридична особа""
,
VLOOKUP"&amp;"(D6428,IMPORTRANGE(""https://docs.google.com/spreadsheets/d/14Bd19lYaqBhU8_DElYkX7l4wRkHqqCUFNJY4AfY3kHU/edit?usp=sharing  #gid=0"",""фіз особи new!relations_name_uo""),7,FALSE)
,
)
))"),"ТИХОНОВ Роман Володимирович")</f>
        <v>ТИХОНОВ Роман Володимирович</v>
      </c>
      <c r="G6427" s="7" t="s">
        <v>10</v>
      </c>
      <c r="H6427" s="7">
        <v>5661</v>
      </c>
      <c r="I6427" s="8" t="str">
        <f ca="1">IFERROR(__xludf.DUMMYFUNCTION("IF
(
G6428=""фізична особа""
,
VLOOKUP(H6428,IMPORTRANGE(""https://docs.google.com/spreadsheets/d/14Bd19lYaqBhU8_DElYkX7l4wRkHqqCUFNJY4AfY3kHU/edit?usp=sharing  #gid=0"",""фіз особи new!relations_name""),6,FALSE)
,
(IF
(
G6428=""юридична особа""
,
VLOOKUP"&amp;"(H6428,IMPORTRANGE(""https://docs.google.com/spreadsheets/d/14Bd19lYaqBhU8_DElYkX7l4wRkHqqCUFNJY4AfY3kHU/edit?usp=sharing  #gid=0"",""фіз особи new!relations_name_uo""),7,FALSE)
,
)
))"),"ЛЄДОВОЙ Ігор Анатолійович")</f>
        <v>ЛЄДОВОЙ Ігор Анатолійович</v>
      </c>
      <c r="J6427" s="7" t="s">
        <v>29</v>
      </c>
    </row>
    <row r="6428" spans="1:10" ht="13.2">
      <c r="A6428" s="7">
        <v>6427</v>
      </c>
      <c r="B6428" s="7">
        <v>1</v>
      </c>
      <c r="C6428" s="7" t="s">
        <v>10</v>
      </c>
      <c r="D6428" s="7">
        <v>5669</v>
      </c>
      <c r="E6428" s="7" t="s">
        <v>28</v>
      </c>
      <c r="F6428" s="8" t="str">
        <f ca="1">IFERROR(__xludf.DUMMYFUNCTION("IF
(
C6429=""фізична особа""
,
VLOOKUP(D6429,IMPORTRANGE(""https://docs.google.com/spreadsheets/d/14Bd19lYaqBhU8_DElYkX7l4wRkHqqCUFNJY4AfY3kHU/edit?usp=sharing  #gid=0"",""фіз особи new!relations_name""),6,FALSE)
,
(IF
(
C6429=""юридична особа""
,
VLOOKUP"&amp;"(D6429,IMPORTRANGE(""https://docs.google.com/spreadsheets/d/14Bd19lYaqBhU8_DElYkX7l4wRkHqqCUFNJY4AfY3kHU/edit?usp=sharing  #gid=0"",""фіз особи new!relations_name_uo""),7,FALSE)
,
)
))"),"АФАНАСЬЄВА Олена Іванівна")</f>
        <v>АФАНАСЬЄВА Олена Іванівна</v>
      </c>
      <c r="G6428" s="7" t="s">
        <v>10</v>
      </c>
      <c r="H6428" s="7">
        <v>5668</v>
      </c>
      <c r="I6428" s="8" t="str">
        <f ca="1">IFERROR(__xludf.DUMMYFUNCTION("IF
(
G6429=""фізична особа""
,
VLOOKUP(H6429,IMPORTRANGE(""https://docs.google.com/spreadsheets/d/14Bd19lYaqBhU8_DElYkX7l4wRkHqqCUFNJY4AfY3kHU/edit?usp=sharing  #gid=0"",""фіз особи new!relations_name""),6,FALSE)
,
(IF
(
G6429=""юридична особа""
,
VLOOKUP"&amp;"(H6429,IMPORTRANGE(""https://docs.google.com/spreadsheets/d/14Bd19lYaqBhU8_DElYkX7l4wRkHqqCUFNJY4AfY3kHU/edit?usp=sharing  #gid=0"",""фіз особи new!relations_name_uo""),7,FALSE)
,
)
))"),"ЗУБАКОВ Ігор Юрійович")</f>
        <v>ЗУБАКОВ Ігор Юрійович</v>
      </c>
      <c r="J6428" s="7" t="s">
        <v>29</v>
      </c>
    </row>
    <row r="6429" spans="1:10" ht="13.2">
      <c r="A6429" s="7">
        <v>6428</v>
      </c>
      <c r="B6429" s="7">
        <v>1</v>
      </c>
      <c r="C6429" s="7" t="s">
        <v>10</v>
      </c>
      <c r="D6429" s="7">
        <v>5670</v>
      </c>
      <c r="E6429" s="7" t="s">
        <v>28</v>
      </c>
      <c r="F6429" s="8" t="str">
        <f ca="1">IFERROR(__xludf.DUMMYFUNCTION("IF
(
C6430=""фізична особа""
,
VLOOKUP(D6430,IMPORTRANGE(""https://docs.google.com/spreadsheets/d/14Bd19lYaqBhU8_DElYkX7l4wRkHqqCUFNJY4AfY3kHU/edit?usp=sharing  #gid=0"",""фіз особи new!relations_name""),6,FALSE)
,
(IF
(
C6430=""юридична особа""
,
VLOOKUP"&amp;"(D6430,IMPORTRANGE(""https://docs.google.com/spreadsheets/d/14Bd19lYaqBhU8_DElYkX7l4wRkHqqCUFNJY4AfY3kHU/edit?usp=sharing  #gid=0"",""фіз особи new!relations_name_uo""),7,FALSE)
,
)
))"),"МОРОЗОВ Станіслав Михайлович")</f>
        <v>МОРОЗОВ Станіслав Михайлович</v>
      </c>
      <c r="G6429" s="7" t="s">
        <v>10</v>
      </c>
      <c r="H6429" s="7">
        <v>5668</v>
      </c>
      <c r="I6429" s="8" t="str">
        <f ca="1">IFERROR(__xludf.DUMMYFUNCTION("IF
(
G6430=""фізична особа""
,
VLOOKUP(H6430,IMPORTRANGE(""https://docs.google.com/spreadsheets/d/14Bd19lYaqBhU8_DElYkX7l4wRkHqqCUFNJY4AfY3kHU/edit?usp=sharing  #gid=0"",""фіз особи new!relations_name""),6,FALSE)
,
(IF
(
G6430=""юридична особа""
,
VLOOKUP"&amp;"(H6430,IMPORTRANGE(""https://docs.google.com/spreadsheets/d/14Bd19lYaqBhU8_DElYkX7l4wRkHqqCUFNJY4AfY3kHU/edit?usp=sharing  #gid=0"",""фіз особи new!relations_name_uo""),7,FALSE)
,
)
))"),"ЗУБАКОВ Ігор Юрійович")</f>
        <v>ЗУБАКОВ Ігор Юрійович</v>
      </c>
      <c r="J6429" s="7" t="s">
        <v>29</v>
      </c>
    </row>
    <row r="6430" spans="1:10" ht="13.2">
      <c r="A6430" s="7">
        <v>6429</v>
      </c>
      <c r="B6430" s="7">
        <v>1</v>
      </c>
      <c r="C6430" s="7" t="s">
        <v>10</v>
      </c>
      <c r="D6430" s="7">
        <v>5671</v>
      </c>
      <c r="E6430" s="7" t="s">
        <v>28</v>
      </c>
      <c r="F6430" s="8" t="str">
        <f ca="1">IFERROR(__xludf.DUMMYFUNCTION("IF
(
C6431=""фізична особа""
,
VLOOKUP(D6431,IMPORTRANGE(""https://docs.google.com/spreadsheets/d/14Bd19lYaqBhU8_DElYkX7l4wRkHqqCUFNJY4AfY3kHU/edit?usp=sharing  #gid=0"",""фіз особи new!relations_name""),6,FALSE)
,
(IF
(
C6431=""юридична особа""
,
VLOOKUP"&amp;"(D6431,IMPORTRANGE(""https://docs.google.com/spreadsheets/d/14Bd19lYaqBhU8_DElYkX7l4wRkHqqCUFNJY4AfY3kHU/edit?usp=sharing  #gid=0"",""фіз особи new!relations_name_uo""),7,FALSE)
,
)
))"),"ЗЕРЕНКОВ Леонід Анатолійович")</f>
        <v>ЗЕРЕНКОВ Леонід Анатолійович</v>
      </c>
      <c r="G6430" s="7" t="s">
        <v>10</v>
      </c>
      <c r="H6430" s="7">
        <v>5668</v>
      </c>
      <c r="I6430" s="8" t="str">
        <f ca="1">IFERROR(__xludf.DUMMYFUNCTION("IF
(
G6431=""фізична особа""
,
VLOOKUP(H6431,IMPORTRANGE(""https://docs.google.com/spreadsheets/d/14Bd19lYaqBhU8_DElYkX7l4wRkHqqCUFNJY4AfY3kHU/edit?usp=sharing  #gid=0"",""фіз особи new!relations_name""),6,FALSE)
,
(IF
(
G6431=""юридична особа""
,
VLOOKUP"&amp;"(H6431,IMPORTRANGE(""https://docs.google.com/spreadsheets/d/14Bd19lYaqBhU8_DElYkX7l4wRkHqqCUFNJY4AfY3kHU/edit?usp=sharing  #gid=0"",""фіз особи new!relations_name_uo""),7,FALSE)
,
)
))"),"ЗУБАКОВ Ігор Юрійович")</f>
        <v>ЗУБАКОВ Ігор Юрійович</v>
      </c>
      <c r="J6430" s="7" t="s">
        <v>29</v>
      </c>
    </row>
    <row r="6431" spans="1:10" ht="13.2">
      <c r="A6431" s="7">
        <v>6430</v>
      </c>
      <c r="B6431" s="7">
        <v>1</v>
      </c>
      <c r="C6431" s="7" t="s">
        <v>10</v>
      </c>
      <c r="D6431" s="7">
        <v>5672</v>
      </c>
      <c r="E6431" s="7" t="s">
        <v>28</v>
      </c>
      <c r="F6431" s="8" t="str">
        <f ca="1">IFERROR(__xludf.DUMMYFUNCTION("IF
(
C6432=""фізична особа""
,
VLOOKUP(D6432,IMPORTRANGE(""https://docs.google.com/spreadsheets/d/14Bd19lYaqBhU8_DElYkX7l4wRkHqqCUFNJY4AfY3kHU/edit?usp=sharing  #gid=0"",""фіз особи new!relations_name""),6,FALSE)
,
(IF
(
C6432=""юридична особа""
,
VLOOKUP"&amp;"(D6432,IMPORTRANGE(""https://docs.google.com/spreadsheets/d/14Bd19lYaqBhU8_DElYkX7l4wRkHqqCUFNJY4AfY3kHU/edit?usp=sharing  #gid=0"",""фіз особи new!relations_name_uo""),7,FALSE)
,
)
))"),"ШАНІН Сергій Дмитрович")</f>
        <v>ШАНІН Сергій Дмитрович</v>
      </c>
      <c r="G6431" s="7" t="s">
        <v>10</v>
      </c>
      <c r="H6431" s="7">
        <v>5668</v>
      </c>
      <c r="I6431" s="8" t="str">
        <f ca="1">IFERROR(__xludf.DUMMYFUNCTION("IF
(
G6432=""фізична особа""
,
VLOOKUP(H6432,IMPORTRANGE(""https://docs.google.com/spreadsheets/d/14Bd19lYaqBhU8_DElYkX7l4wRkHqqCUFNJY4AfY3kHU/edit?usp=sharing  #gid=0"",""фіз особи new!relations_name""),6,FALSE)
,
(IF
(
G6432=""юридична особа""
,
VLOOKUP"&amp;"(H6432,IMPORTRANGE(""https://docs.google.com/spreadsheets/d/14Bd19lYaqBhU8_DElYkX7l4wRkHqqCUFNJY4AfY3kHU/edit?usp=sharing  #gid=0"",""фіз особи new!relations_name_uo""),7,FALSE)
,
)
))"),"ЗУБАКОВ Ігор Юрійович")</f>
        <v>ЗУБАКОВ Ігор Юрійович</v>
      </c>
      <c r="J6431" s="7" t="s">
        <v>29</v>
      </c>
    </row>
    <row r="6432" spans="1:10" ht="13.2">
      <c r="A6432" s="7">
        <v>6431</v>
      </c>
      <c r="B6432" s="7">
        <v>1</v>
      </c>
      <c r="C6432" s="7" t="s">
        <v>10</v>
      </c>
      <c r="D6432" s="7">
        <v>5718</v>
      </c>
      <c r="E6432" s="7" t="s">
        <v>12</v>
      </c>
      <c r="F6432" s="8" t="str">
        <f ca="1">IFERROR(__xludf.DUMMYFUNCTION("IF
(
C6433=""фізична особа""
,
VLOOKUP(D6433,IMPORTRANGE(""https://docs.google.com/spreadsheets/d/14Bd19lYaqBhU8_DElYkX7l4wRkHqqCUFNJY4AfY3kHU/edit?usp=sharing  #gid=0"",""фіз особи new!relations_name""),6,FALSE)
,
(IF
(
C6433=""юридична особа""
,
VLOOKUP"&amp;"(D6433,IMPORTRANGE(""https://docs.google.com/spreadsheets/d/14Bd19lYaqBhU8_DElYkX7l4wRkHqqCUFNJY4AfY3kHU/edit?usp=sharing  #gid=0"",""фіз особи new!relations_name_uo""),7,FALSE)
,
)
))"),"МАЛИНОВСЬКИЙ Петро Марцельович")</f>
        <v>МАЛИНОВСЬКИЙ Петро Марцельович</v>
      </c>
      <c r="G6432" s="7" t="s">
        <v>10</v>
      </c>
      <c r="H6432" s="7">
        <v>0</v>
      </c>
      <c r="I6432" s="8" t="str">
        <f ca="1">IFERROR(__xludf.DUMMYFUNCTION("IF
(
G6433=""фізична особа""
,
VLOOKUP(H6433,IMPORTRANGE(""https://docs.google.com/spreadsheets/d/14Bd19lYaqBhU8_DElYkX7l4wRkHqqCUFNJY4AfY3kHU/edit?usp=sharing  #gid=0"",""фіз особи new!relations_name""),6,FALSE)
,
(IF
(
G6433=""юридична особа""
,
VLOOKUP"&amp;"(H6433,IMPORTRANGE(""https://docs.google.com/spreadsheets/d/14Bd19lYaqBhU8_DElYkX7l4wRkHqqCUFNJY4AfY3kHU/edit?usp=sharing  #gid=0"",""фіз особи new!relations_name_uo""),7,FALSE)
,
)
))"),"#N/A")</f>
        <v>#N/A</v>
      </c>
      <c r="J6432" s="7" t="s">
        <v>17</v>
      </c>
    </row>
    <row r="6433" spans="1:10" ht="13.2">
      <c r="A6433" s="7">
        <v>6432</v>
      </c>
      <c r="B6433" s="7">
        <v>1</v>
      </c>
      <c r="C6433" s="7" t="s">
        <v>10</v>
      </c>
      <c r="D6433" s="7">
        <v>5743</v>
      </c>
      <c r="E6433" s="7" t="s">
        <v>11</v>
      </c>
      <c r="F6433" s="8" t="str">
        <f ca="1">IFERROR(__xludf.DUMMYFUNCTION("IF
(
C6434=""фізична особа""
,
VLOOKUP(D6434,IMPORTRANGE(""https://docs.google.com/spreadsheets/d/14Bd19lYaqBhU8_DElYkX7l4wRkHqqCUFNJY4AfY3kHU/edit?usp=sharing  #gid=0"",""фіз особи new!relations_name""),6,FALSE)
,
(IF
(
C6434=""юридична особа""
,
VLOOKUP"&amp;"(D6434,IMPORTRANGE(""https://docs.google.com/spreadsheets/d/14Bd19lYaqBhU8_DElYkX7l4wRkHqqCUFNJY4AfY3kHU/edit?usp=sharing  #gid=0"",""фіз особи new!relations_name_uo""),7,FALSE)
,
)
))"),"БУЗИНОВ Андрій Володимирович")</f>
        <v>БУЗИНОВ Андрій Володимирович</v>
      </c>
      <c r="G6433" s="7" t="s">
        <v>10</v>
      </c>
      <c r="H6433" s="7">
        <v>5751</v>
      </c>
      <c r="I6433" s="8" t="str">
        <f ca="1">IFERROR(__xludf.DUMMYFUNCTION("IF
(
G6434=""фізична особа""
,
VLOOKUP(H6434,IMPORTRANGE(""https://docs.google.com/spreadsheets/d/14Bd19lYaqBhU8_DElYkX7l4wRkHqqCUFNJY4AfY3kHU/edit?usp=sharing  #gid=0"",""фіз особи new!relations_name""),6,FALSE)
,
(IF
(
G6434=""юридична особа""
,
VLOOKUP"&amp;"(H6434,IMPORTRANGE(""https://docs.google.com/spreadsheets/d/14Bd19lYaqBhU8_DElYkX7l4wRkHqqCUFNJY4AfY3kHU/edit?usp=sharing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6433" s="7" t="s">
        <v>11</v>
      </c>
    </row>
    <row r="6434" spans="1:10" ht="13.2">
      <c r="A6434" s="7">
        <v>6433</v>
      </c>
      <c r="B6434" s="7">
        <v>1</v>
      </c>
      <c r="C6434" s="7" t="s">
        <v>10</v>
      </c>
      <c r="D6434" s="7">
        <v>5743</v>
      </c>
      <c r="E6434" s="7" t="s">
        <v>11</v>
      </c>
      <c r="F6434" s="8" t="str">
        <f ca="1">IFERROR(__xludf.DUMMYFUNCTION("IF
(
C6435=""фізична особа""
,
VLOOKUP(D6435,IMPORTRANGE(""https://docs.google.com/spreadsheets/d/14Bd19lYaqBhU8_DElYkX7l4wRkHqqCUFNJY4AfY3kHU/edit?usp=sharing  #gid=0"",""фіз особи new!relations_name""),6,FALSE)
,
(IF
(
C6435=""юридична особа""
,
VLOOKUP"&amp;"(D6435,IMPORTRANGE(""https://docs.google.com/spreadsheets/d/14Bd19lYaqBhU8_DElYkX7l4wRkHqqCUFNJY4AfY3kHU/edit?usp=sharing  #gid=0"",""фіз особи new!relations_name_uo""),7,FALSE)
,
)
))"),"БУЗИНОВ Андрій Володимирович")</f>
        <v>БУЗИНОВ Андрій Володимирович</v>
      </c>
      <c r="G6434" s="7" t="s">
        <v>10</v>
      </c>
      <c r="H6434" s="7">
        <v>4023</v>
      </c>
      <c r="I6434" s="8" t="str">
        <f ca="1">IFERROR(__xludf.DUMMYFUNCTION("IF
(
G6435=""фізична особа""
,
VLOOKUP(H6435,IMPORTRANGE(""https://docs.google.com/spreadsheets/d/14Bd19lYaqBhU8_DElYkX7l4wRkHqqCUFNJY4AfY3kHU/edit?usp=sharing  #gid=0"",""фіз особи new!relations_name""),6,FALSE)
,
(IF
(
G6435=""юридична особа""
,
VLOOKUP"&amp;"(H6435,IMPORTRANGE(""https://docs.google.com/spreadsheets/d/14Bd19lYaqBhU8_DElYkX7l4wRkHqqCUFNJY4AfY3kHU/edit?usp=sharing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6434" s="7" t="s">
        <v>11</v>
      </c>
    </row>
    <row r="6435" spans="1:10" ht="13.2">
      <c r="A6435" s="7">
        <v>6434</v>
      </c>
      <c r="B6435" s="7">
        <v>1</v>
      </c>
      <c r="C6435" s="7" t="s">
        <v>10</v>
      </c>
      <c r="D6435" s="7">
        <v>5748</v>
      </c>
      <c r="E6435" s="7" t="s">
        <v>11</v>
      </c>
      <c r="F6435" s="8" t="str">
        <f ca="1">IFERROR(__xludf.DUMMYFUNCTION("IF
(
C6436=""фізична особа""
,
VLOOKUP(D6436,IMPORTRANGE(""https://docs.google.com/spreadsheets/d/14Bd19lYaqBhU8_DElYkX7l4wRkHqqCUFNJY4AfY3kHU/edit?usp=sharing  #gid=0"",""фіз особи new!relations_name""),6,FALSE)
,
(IF
(
C6436=""юридична особа""
,
VLOOKUP"&amp;"(D6436,IMPORTRANGE(""https://docs.google.com/spreadsheets/d/14Bd19lYaqBhU8_DElYkX7l4wRkHqqCUFNJY4AfY3kHU/edit?usp=sharing  #gid=0"",""фіз особи new!relations_name_uo""),7,FALSE)
,
)
))"),"БУЗАКОВ Олександр Сергійович")</f>
        <v>БУЗАКОВ Олександр Сергійович</v>
      </c>
      <c r="G6435" s="7" t="s">
        <v>10</v>
      </c>
      <c r="H6435" s="7">
        <v>4023</v>
      </c>
      <c r="I6435" s="8" t="str">
        <f ca="1">IFERROR(__xludf.DUMMYFUNCTION("IF
(
G6436=""фізична особа""
,
VLOOKUP(H6436,IMPORTRANGE(""https://docs.google.com/spreadsheets/d/14Bd19lYaqBhU8_DElYkX7l4wRkHqqCUFNJY4AfY3kHU/edit?usp=sharing  #gid=0"",""фіз особи new!relations_name""),6,FALSE)
,
(IF
(
G6436=""юридична особа""
,
VLOOKUP"&amp;"(H6436,IMPORTRANGE(""https://docs.google.com/spreadsheets/d/14Bd19lYaqBhU8_DElYkX7l4wRkHqqCUFNJY4AfY3kHU/edit?usp=sharing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6435" s="7" t="s">
        <v>11</v>
      </c>
    </row>
    <row r="6436" spans="1:10" ht="13.2">
      <c r="A6436" s="7">
        <v>6435</v>
      </c>
      <c r="B6436" s="7">
        <v>1</v>
      </c>
      <c r="C6436" s="7" t="s">
        <v>10</v>
      </c>
      <c r="D6436" s="7">
        <v>5802</v>
      </c>
      <c r="E6436" s="7" t="s">
        <v>28</v>
      </c>
      <c r="F6436" s="8" t="str">
        <f ca="1">IFERROR(__xludf.DUMMYFUNCTION("IF
(
C6437=""фізична особа""
,
VLOOKUP(D6437,IMPORTRANGE(""https://docs.google.com/spreadsheets/d/14Bd19lYaqBhU8_DElYkX7l4wRkHqqCUFNJY4AfY3kHU/edit?usp=sharing  #gid=0"",""фіз особи new!relations_name""),6,FALSE)
,
(IF
(
C6437=""юридична особа""
,
VLOOKUP"&amp;"(D6437,IMPORTRANGE(""https://docs.google.com/spreadsheets/d/14Bd19lYaqBhU8_DElYkX7l4wRkHqqCUFNJY4AfY3kHU/edit?usp=sharing  #gid=0"",""фіз особи new!relations_name_uo""),7,FALSE)
,
)
))"),"ФРОЛОВ Валентин Олександрович")</f>
        <v>ФРОЛОВ Валентин Олександрович</v>
      </c>
      <c r="G6436" s="7" t="s">
        <v>10</v>
      </c>
      <c r="H6436" s="7">
        <v>5291</v>
      </c>
      <c r="I6436" s="8" t="str">
        <f ca="1">IFERROR(__xludf.DUMMYFUNCTION("IF
(
G6437=""фізична особа""
,
VLOOKUP(H6437,IMPORTRANGE(""https://docs.google.com/spreadsheets/d/14Bd19lYaqBhU8_DElYkX7l4wRkHqqCUFNJY4AfY3kHU/edit?usp=sharing  #gid=0"",""фіз особи new!relations_name""),6,FALSE)
,
(IF
(
G6437=""юридична особа""
,
VLOOKUP"&amp;"(H6437,IMPORTRANGE(""https://docs.google.com/spreadsheets/d/14Bd19lYaqBhU8_DElYkX7l4wRkHqqCUFNJY4AfY3kHU/edit?usp=sharing  #gid=0"",""фіз особи new!relations_name_uo""),7,FALSE)
,
)
))"),"ВІЛЬНІТ Ігор Володимирович")</f>
        <v>ВІЛЬНІТ Ігор Володимирович</v>
      </c>
      <c r="J6436" s="7" t="s">
        <v>29</v>
      </c>
    </row>
    <row r="6437" spans="1:10" ht="13.2">
      <c r="A6437" s="7">
        <v>6436</v>
      </c>
      <c r="B6437" s="7">
        <v>1</v>
      </c>
      <c r="C6437" s="7" t="s">
        <v>10</v>
      </c>
      <c r="D6437" s="7">
        <v>5803</v>
      </c>
      <c r="E6437" s="7" t="s">
        <v>28</v>
      </c>
      <c r="F6437" s="8" t="str">
        <f ca="1">IFERROR(__xludf.DUMMYFUNCTION("IF
(
C6438=""фізична особа""
,
VLOOKUP(D6438,IMPORTRANGE(""https://docs.google.com/spreadsheets/d/14Bd19lYaqBhU8_DElYkX7l4wRkHqqCUFNJY4AfY3kHU/edit?usp=sharing  #gid=0"",""фіз особи new!relations_name""),6,FALSE)
,
(IF
(
C6438=""юридична особа""
,
VLOOKUP"&amp;"(D6438,IMPORTRANGE(""https://docs.google.com/spreadsheets/d/14Bd19lYaqBhU8_DElYkX7l4wRkHqqCUFNJY4AfY3kHU/edit?usp=sharing  #gid=0"",""фіз особи new!relations_name_uo""),7,FALSE)
,
)
))"),"ГЛАЗОВ Олександр Михайлович")</f>
        <v>ГЛАЗОВ Олександр Михайлович</v>
      </c>
      <c r="G6437" s="7" t="s">
        <v>10</v>
      </c>
      <c r="H6437" s="7">
        <v>5291</v>
      </c>
      <c r="I6437" s="8" t="str">
        <f ca="1">IFERROR(__xludf.DUMMYFUNCTION("IF
(
G6438=""фізична особа""
,
VLOOKUP(H6438,IMPORTRANGE(""https://docs.google.com/spreadsheets/d/14Bd19lYaqBhU8_DElYkX7l4wRkHqqCUFNJY4AfY3kHU/edit?usp=sharing  #gid=0"",""фіз особи new!relations_name""),6,FALSE)
,
(IF
(
G6438=""юридична особа""
,
VLOOKUP"&amp;"(H6438,IMPORTRANGE(""https://docs.google.com/spreadsheets/d/14Bd19lYaqBhU8_DElYkX7l4wRkHqqCUFNJY4AfY3kHU/edit?usp=sharing  #gid=0"",""фіз особи new!relations_name_uo""),7,FALSE)
,
)
))"),"ВІЛЬНІТ Ігор Володимирович")</f>
        <v>ВІЛЬНІТ Ігор Володимирович</v>
      </c>
      <c r="J6437" s="7" t="s">
        <v>29</v>
      </c>
    </row>
    <row r="6438" spans="1:10" ht="13.2">
      <c r="A6438" s="7">
        <v>6437</v>
      </c>
      <c r="B6438" s="7">
        <v>1</v>
      </c>
      <c r="C6438" s="7" t="s">
        <v>10</v>
      </c>
      <c r="D6438" s="7">
        <v>5804</v>
      </c>
      <c r="E6438" s="7" t="s">
        <v>28</v>
      </c>
      <c r="F6438" s="8" t="str">
        <f ca="1">IFERROR(__xludf.DUMMYFUNCTION("IF
(
C6439=""фізична особа""
,
VLOOKUP(D6439,IMPORTRANGE(""https://docs.google.com/spreadsheets/d/14Bd19lYaqBhU8_DElYkX7l4wRkHqqCUFNJY4AfY3kHU/edit?usp=sharing  #gid=0"",""фіз особи new!relations_name""),6,FALSE)
,
(IF
(
C6439=""юридична особа""
,
VLOOKUP"&amp;"(D6439,IMPORTRANGE(""https://docs.google.com/spreadsheets/d/14Bd19lYaqBhU8_DElYkX7l4wRkHqqCUFNJY4AfY3kHU/edit?usp=sharing  #gid=0"",""фіз особи new!relations_name_uo""),7,FALSE)
,
)
))"),"БАРАНОВ Андрій Ігорович")</f>
        <v>БАРАНОВ Андрій Ігорович</v>
      </c>
      <c r="G6438" s="7" t="s">
        <v>10</v>
      </c>
      <c r="H6438" s="7">
        <v>5291</v>
      </c>
      <c r="I6438" s="8" t="str">
        <f ca="1">IFERROR(__xludf.DUMMYFUNCTION("IF
(
G6439=""фізична особа""
,
VLOOKUP(H6439,IMPORTRANGE(""https://docs.google.com/spreadsheets/d/14Bd19lYaqBhU8_DElYkX7l4wRkHqqCUFNJY4AfY3kHU/edit?usp=sharing  #gid=0"",""фіз особи new!relations_name""),6,FALSE)
,
(IF
(
G6439=""юридична особа""
,
VLOOKUP"&amp;"(H6439,IMPORTRANGE(""https://docs.google.com/spreadsheets/d/14Bd19lYaqBhU8_DElYkX7l4wRkHqqCUFNJY4AfY3kHU/edit?usp=sharing  #gid=0"",""фіз особи new!relations_name_uo""),7,FALSE)
,
)
))"),"ВІЛЬНІТ Ігор Володимирович")</f>
        <v>ВІЛЬНІТ Ігор Володимирович</v>
      </c>
      <c r="J6438" s="7" t="s">
        <v>29</v>
      </c>
    </row>
    <row r="6439" spans="1:10" ht="13.2">
      <c r="A6439" s="7">
        <v>6438</v>
      </c>
      <c r="B6439" s="7">
        <v>1</v>
      </c>
      <c r="C6439" s="7" t="s">
        <v>10</v>
      </c>
      <c r="D6439" s="7">
        <v>5805</v>
      </c>
      <c r="E6439" s="7" t="s">
        <v>28</v>
      </c>
      <c r="F6439" s="8" t="str">
        <f ca="1">IFERROR(__xludf.DUMMYFUNCTION("IF
(
C6440=""фізична особа""
,
VLOOKUP(D6440,IMPORTRANGE(""https://docs.google.com/spreadsheets/d/14Bd19lYaqBhU8_DElYkX7l4wRkHqqCUFNJY4AfY3kHU/edit?usp=sharing  #gid=0"",""фіз особи new!relations_name""),6,FALSE)
,
(IF
(
C6440=""юридична особа""
,
VLOOKUP"&amp;"(D6440,IMPORTRANGE(""https://docs.google.com/spreadsheets/d/14Bd19lYaqBhU8_DElYkX7l4wRkHqqCUFNJY4AfY3kHU/edit?usp=sharing  #gid=0"",""фіз особи new!relations_name_uo""),7,FALSE)
,
)
))"),"СОКОЛОВ Сергій Анатолійович")</f>
        <v>СОКОЛОВ Сергій Анатолійович</v>
      </c>
      <c r="G6439" s="7" t="s">
        <v>10</v>
      </c>
      <c r="H6439" s="7">
        <v>5291</v>
      </c>
      <c r="I6439" s="8" t="str">
        <f ca="1">IFERROR(__xludf.DUMMYFUNCTION("IF
(
G6440=""фізична особа""
,
VLOOKUP(H6440,IMPORTRANGE(""https://docs.google.com/spreadsheets/d/14Bd19lYaqBhU8_DElYkX7l4wRkHqqCUFNJY4AfY3kHU/edit?usp=sharing  #gid=0"",""фіз особи new!relations_name""),6,FALSE)
,
(IF
(
G6440=""юридична особа""
,
VLOOKUP"&amp;"(H6440,IMPORTRANGE(""https://docs.google.com/spreadsheets/d/14Bd19lYaqBhU8_DElYkX7l4wRkHqqCUFNJY4AfY3kHU/edit?usp=sharing  #gid=0"",""фіз особи new!relations_name_uo""),7,FALSE)
,
)
))"),"ВІЛЬНІТ Ігор Володимирович")</f>
        <v>ВІЛЬНІТ Ігор Володимирович</v>
      </c>
      <c r="J6439" s="7" t="s">
        <v>29</v>
      </c>
    </row>
    <row r="6440" spans="1:10" ht="13.2">
      <c r="A6440" s="7">
        <v>6439</v>
      </c>
      <c r="B6440" s="7">
        <v>1</v>
      </c>
      <c r="C6440" s="7" t="s">
        <v>10</v>
      </c>
      <c r="D6440" s="7">
        <v>5806</v>
      </c>
      <c r="E6440" s="7" t="s">
        <v>28</v>
      </c>
      <c r="F6440" s="8" t="str">
        <f ca="1">IFERROR(__xludf.DUMMYFUNCTION("IF
(
C6441=""фізична особа""
,
VLOOKUP(D6441,IMPORTRANGE(""https://docs.google.com/spreadsheets/d/14Bd19lYaqBhU8_DElYkX7l4wRkHqqCUFNJY4AfY3kHU/edit?usp=sharing  #gid=0"",""фіз особи new!relations_name""),6,FALSE)
,
(IF
(
C6441=""юридична особа""
,
VLOOKUP"&amp;"(D6441,IMPORTRANGE(""https://docs.google.com/spreadsheets/d/14Bd19lYaqBhU8_DElYkX7l4wRkHqqCUFNJY4AfY3kHU/edit?usp=sharing  #gid=0"",""фіз особи new!relations_name_uo""),7,FALSE)
,
)
))"),"ВАСИЛЬЄВА Світлана Леонідівна")</f>
        <v>ВАСИЛЬЄВА Світлана Леонідівна</v>
      </c>
      <c r="G6440" s="7" t="s">
        <v>10</v>
      </c>
      <c r="H6440" s="7">
        <v>5291</v>
      </c>
      <c r="I6440" s="8" t="str">
        <f ca="1">IFERROR(__xludf.DUMMYFUNCTION("IF
(
G6441=""фізична особа""
,
VLOOKUP(H6441,IMPORTRANGE(""https://docs.google.com/spreadsheets/d/14Bd19lYaqBhU8_DElYkX7l4wRkHqqCUFNJY4AfY3kHU/edit?usp=sharing  #gid=0"",""фіз особи new!relations_name""),6,FALSE)
,
(IF
(
G6441=""юридична особа""
,
VLOOKUP"&amp;"(H6441,IMPORTRANGE(""https://docs.google.com/spreadsheets/d/14Bd19lYaqBhU8_DElYkX7l4wRkHqqCUFNJY4AfY3kHU/edit?usp=sharing  #gid=0"",""фіз особи new!relations_name_uo""),7,FALSE)
,
)
))"),"ВІЛЬНІТ Ігор Володимирович")</f>
        <v>ВІЛЬНІТ Ігор Володимирович</v>
      </c>
      <c r="J6440" s="7" t="s">
        <v>29</v>
      </c>
    </row>
    <row r="6441" spans="1:10" ht="13.2">
      <c r="A6441" s="7">
        <v>6440</v>
      </c>
      <c r="B6441" s="7">
        <v>1</v>
      </c>
      <c r="C6441" s="7" t="s">
        <v>10</v>
      </c>
      <c r="D6441" s="7">
        <v>5825</v>
      </c>
      <c r="E6441" s="7" t="s">
        <v>114</v>
      </c>
      <c r="F6441" s="8" t="str">
        <f ca="1">IFERROR(__xludf.DUMMYFUNCTION("IF
(
C6442=""фізична особа""
,
VLOOKUP(D6442,IMPORTRANGE(""https://docs.google.com/spreadsheets/d/14Bd19lYaqBhU8_DElYkX7l4wRkHqqCUFNJY4AfY3kHU/edit?usp=sharing  #gid=0"",""фіз особи new!relations_name""),6,FALSE)
,
(IF
(
C6442=""юридична особа""
,
VLOOKUP"&amp;"(D6442,IMPORTRANGE(""https://docs.google.com/spreadsheets/d/14Bd19lYaqBhU8_DElYkX7l4wRkHqqCUFNJY4AfY3kHU/edit?usp=sharing  #gid=0"",""фіз особи new!relations_name_uo""),7,FALSE)
,
)
))"),"КАЗАРОСЯН Олександр Саакович")</f>
        <v>КАЗАРОСЯН Олександр Саакович</v>
      </c>
      <c r="G6441" s="7" t="s">
        <v>10</v>
      </c>
      <c r="H6441" s="7">
        <v>4023</v>
      </c>
      <c r="I6441" s="8" t="str">
        <f ca="1">IFERROR(__xludf.DUMMYFUNCTION("IF
(
G6442=""фізична особа""
,
VLOOKUP(H6442,IMPORTRANGE(""https://docs.google.com/spreadsheets/d/14Bd19lYaqBhU8_DElYkX7l4wRkHqqCUFNJY4AfY3kHU/edit?usp=sharing  #gid=0"",""фіз особи new!relations_name""),6,FALSE)
,
(IF
(
G6442=""юридична особа""
,
VLOOKUP"&amp;"(H6442,IMPORTRANGE(""https://docs.google.com/spreadsheets/d/14Bd19lYaqBhU8_DElYkX7l4wRkHqqCUFNJY4AfY3kHU/edit?usp=sharing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6441" s="7" t="s">
        <v>11</v>
      </c>
    </row>
    <row r="6442" spans="1:10" ht="13.2">
      <c r="A6442" s="7">
        <v>6441</v>
      </c>
      <c r="B6442" s="7">
        <v>1</v>
      </c>
      <c r="C6442" s="7" t="s">
        <v>10</v>
      </c>
      <c r="D6442" s="7">
        <v>5826</v>
      </c>
      <c r="E6442" s="7" t="s">
        <v>28</v>
      </c>
      <c r="F6442" s="8" t="str">
        <f ca="1">IFERROR(__xludf.DUMMYFUNCTION("IF
(
C6443=""фізична особа""
,
VLOOKUP(D6443,IMPORTRANGE(""https://docs.google.com/spreadsheets/d/14Bd19lYaqBhU8_DElYkX7l4wRkHqqCUFNJY4AfY3kHU/edit?usp=sharing  #gid=0"",""фіз особи new!relations_name""),6,FALSE)
,
(IF
(
C6443=""юридична особа""
,
VLOOKUP"&amp;"(D6443,IMPORTRANGE(""https://docs.google.com/spreadsheets/d/14Bd19lYaqBhU8_DElYkX7l4wRkHqqCUFNJY4AfY3kHU/edit?usp=sharing  #gid=0"",""фіз особи new!relations_name_uo""),7,FALSE)
,
)
))"),"РУБЦОВ Сергій Михайлович")</f>
        <v>РУБЦОВ Сергій Михайлович</v>
      </c>
      <c r="G6442" s="7" t="s">
        <v>10</v>
      </c>
      <c r="H6442" s="7">
        <v>5645</v>
      </c>
      <c r="I6442" s="8" t="str">
        <f ca="1">IFERROR(__xludf.DUMMYFUNCTION("IF
(
G6443=""фізична особа""
,
VLOOKUP(H6443,IMPORTRANGE(""https://docs.google.com/spreadsheets/d/14Bd19lYaqBhU8_DElYkX7l4wRkHqqCUFNJY4AfY3kHU/edit?usp=sharing  #gid=0"",""фіз особи new!relations_name""),6,FALSE)
,
(IF
(
G6443=""юридична особа""
,
VLOOKUP"&amp;"(H6443,IMPORTRANGE(""https://docs.google.com/spreadsheets/d/14Bd19lYaqBhU8_DElYkX7l4wRkHqqCUFNJY4AfY3kHU/edit?usp=sharing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2" s="7" t="s">
        <v>29</v>
      </c>
    </row>
    <row r="6443" spans="1:10" ht="13.2">
      <c r="A6443" s="7">
        <v>6442</v>
      </c>
      <c r="B6443" s="7">
        <v>1</v>
      </c>
      <c r="C6443" s="7" t="s">
        <v>10</v>
      </c>
      <c r="D6443" s="7">
        <v>5827</v>
      </c>
      <c r="E6443" s="7" t="s">
        <v>28</v>
      </c>
      <c r="F6443" s="8" t="str">
        <f ca="1">IFERROR(__xludf.DUMMYFUNCTION("IF
(
C6444=""фізична особа""
,
VLOOKUP(D6444,IMPORTRANGE(""https://docs.google.com/spreadsheets/d/14Bd19lYaqBhU8_DElYkX7l4wRkHqqCUFNJY4AfY3kHU/edit?usp=sharing  #gid=0"",""фіз особи new!relations_name""),6,FALSE)
,
(IF
(
C6444=""юридична особа""
,
VLOOKUP"&amp;"(D6444,IMPORTRANGE(""https://docs.google.com/spreadsheets/d/14Bd19lYaqBhU8_DElYkX7l4wRkHqqCUFNJY4AfY3kHU/edit?usp=sharing  #gid=0"",""фіз особи new!relations_name_uo""),7,FALSE)
,
)
))"),"ЗМЄЄВ Юрій Олексійович")</f>
        <v>ЗМЄЄВ Юрій Олексійович</v>
      </c>
      <c r="G6443" s="7" t="s">
        <v>10</v>
      </c>
      <c r="H6443" s="7">
        <v>5645</v>
      </c>
      <c r="I6443" s="8" t="str">
        <f ca="1">IFERROR(__xludf.DUMMYFUNCTION("IF
(
G6444=""фізична особа""
,
VLOOKUP(H6444,IMPORTRANGE(""https://docs.google.com/spreadsheets/d/14Bd19lYaqBhU8_DElYkX7l4wRkHqqCUFNJY4AfY3kHU/edit?usp=sharing  #gid=0"",""фіз особи new!relations_name""),6,FALSE)
,
(IF
(
G6444=""юридична особа""
,
VLOOKUP"&amp;"(H6444,IMPORTRANGE(""https://docs.google.com/spreadsheets/d/14Bd19lYaqBhU8_DElYkX7l4wRkHqqCUFNJY4AfY3kHU/edit?usp=sharing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3" s="7" t="s">
        <v>29</v>
      </c>
    </row>
    <row r="6444" spans="1:10" ht="13.2">
      <c r="A6444" s="7">
        <v>6443</v>
      </c>
      <c r="B6444" s="7">
        <v>1</v>
      </c>
      <c r="C6444" s="7" t="s">
        <v>10</v>
      </c>
      <c r="D6444" s="7">
        <v>5828</v>
      </c>
      <c r="E6444" s="7" t="s">
        <v>28</v>
      </c>
      <c r="F6444" s="8" t="str">
        <f ca="1">IFERROR(__xludf.DUMMYFUNCTION("IF
(
C6445=""фізична особа""
,
VLOOKUP(D6445,IMPORTRANGE(""https://docs.google.com/spreadsheets/d/14Bd19lYaqBhU8_DElYkX7l4wRkHqqCUFNJY4AfY3kHU/edit?usp=sharing  #gid=0"",""фіз особи new!relations_name""),6,FALSE)
,
(IF
(
C6445=""юридична особа""
,
VLOOKUP"&amp;"(D6445,IMPORTRANGE(""https://docs.google.com/spreadsheets/d/14Bd19lYaqBhU8_DElYkX7l4wRkHqqCUFNJY4AfY3kHU/edit?usp=sharing  #gid=0"",""фіз особи new!relations_name_uo""),7,FALSE)
,
)
))"),"КАЛАБІН Олексій Юрійович")</f>
        <v>КАЛАБІН Олексій Юрійович</v>
      </c>
      <c r="G6444" s="7" t="s">
        <v>10</v>
      </c>
      <c r="H6444" s="7">
        <v>5645</v>
      </c>
      <c r="I6444" s="8" t="str">
        <f ca="1">IFERROR(__xludf.DUMMYFUNCTION("IF
(
G6445=""фізична особа""
,
VLOOKUP(H6445,IMPORTRANGE(""https://docs.google.com/spreadsheets/d/14Bd19lYaqBhU8_DElYkX7l4wRkHqqCUFNJY4AfY3kHU/edit?usp=sharing  #gid=0"",""фіз особи new!relations_name""),6,FALSE)
,
(IF
(
G6445=""юридична особа""
,
VLOOKUP"&amp;"(H6445,IMPORTRANGE(""https://docs.google.com/spreadsheets/d/14Bd19lYaqBhU8_DElYkX7l4wRkHqqCUFNJY4AfY3kHU/edit?usp=sharing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4" s="7" t="s">
        <v>29</v>
      </c>
    </row>
    <row r="6445" spans="1:10" ht="13.2">
      <c r="A6445" s="7">
        <v>6444</v>
      </c>
      <c r="B6445" s="7">
        <v>1</v>
      </c>
      <c r="C6445" s="7" t="s">
        <v>10</v>
      </c>
      <c r="D6445" s="7">
        <v>5829</v>
      </c>
      <c r="E6445" s="7" t="s">
        <v>28</v>
      </c>
      <c r="F6445" s="8" t="str">
        <f ca="1">IFERROR(__xludf.DUMMYFUNCTION("IF
(
C6446=""фізична особа""
,
VLOOKUP(D6446,IMPORTRANGE(""https://docs.google.com/spreadsheets/d/14Bd19lYaqBhU8_DElYkX7l4wRkHqqCUFNJY4AfY3kHU/edit?usp=sharing  #gid=0"",""фіз особи new!relations_name""),6,FALSE)
,
(IF
(
C6446=""юридична особа""
,
VLOOKUP"&amp;"(D6446,IMPORTRANGE(""https://docs.google.com/spreadsheets/d/14Bd19lYaqBhU8_DElYkX7l4wRkHqqCUFNJY4AfY3kHU/edit?usp=sharing  #gid=0"",""фіз особи new!relations_name_uo""),7,FALSE)
,
)
))"),"УДІНЦЕВ Петро Генндійович")</f>
        <v>УДІНЦЕВ Петро Генндійович</v>
      </c>
      <c r="G6445" s="7" t="s">
        <v>10</v>
      </c>
      <c r="H6445" s="7">
        <v>5645</v>
      </c>
      <c r="I6445" s="8" t="str">
        <f ca="1">IFERROR(__xludf.DUMMYFUNCTION("IF
(
G6446=""фізична особа""
,
VLOOKUP(H6446,IMPORTRANGE(""https://docs.google.com/spreadsheets/d/14Bd19lYaqBhU8_DElYkX7l4wRkHqqCUFNJY4AfY3kHU/edit?usp=sharing  #gid=0"",""фіз особи new!relations_name""),6,FALSE)
,
(IF
(
G6446=""юридична особа""
,
VLOOKUP"&amp;"(H6446,IMPORTRANGE(""https://docs.google.com/spreadsheets/d/14Bd19lYaqBhU8_DElYkX7l4wRkHqqCUFNJY4AfY3kHU/edit?usp=sharing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5" s="7" t="s">
        <v>29</v>
      </c>
    </row>
    <row r="6446" spans="1:10" ht="13.2">
      <c r="A6446" s="7">
        <v>6445</v>
      </c>
      <c r="B6446" s="7">
        <v>1</v>
      </c>
      <c r="C6446" s="7" t="s">
        <v>10</v>
      </c>
      <c r="D6446" s="7">
        <v>5830</v>
      </c>
      <c r="E6446" s="7" t="s">
        <v>28</v>
      </c>
      <c r="F6446" s="8" t="str">
        <f ca="1">IFERROR(__xludf.DUMMYFUNCTION("IF
(
C6447=""фізична особа""
,
VLOOKUP(D6447,IMPORTRANGE(""https://docs.google.com/spreadsheets/d/14Bd19lYaqBhU8_DElYkX7l4wRkHqqCUFNJY4AfY3kHU/edit?usp=sharing  #gid=0"",""фіз особи new!relations_name""),6,FALSE)
,
(IF
(
C6447=""юридична особа""
,
VLOOKUP"&amp;"(D6447,IMPORTRANGE(""https://docs.google.com/spreadsheets/d/14Bd19lYaqBhU8_DElYkX7l4wRkHqqCUFNJY4AfY3kHU/edit?usp=sharing  #gid=0"",""фіз особи new!relations_name_uo""),7,FALSE)
,
)
))"),"ШИЛЯЄВ Анатолій Анатолійович")</f>
        <v>ШИЛЯЄВ Анатолій Анатолійович</v>
      </c>
      <c r="G6446" s="7" t="s">
        <v>10</v>
      </c>
      <c r="H6446" s="7">
        <v>5645</v>
      </c>
      <c r="I6446" s="8" t="str">
        <f ca="1">IFERROR(__xludf.DUMMYFUNCTION("IF
(
G6447=""фізична особа""
,
VLOOKUP(H6447,IMPORTRANGE(""https://docs.google.com/spreadsheets/d/14Bd19lYaqBhU8_DElYkX7l4wRkHqqCUFNJY4AfY3kHU/edit?usp=sharing  #gid=0"",""фіз особи new!relations_name""),6,FALSE)
,
(IF
(
G6447=""юридична особа""
,
VLOOKUP"&amp;"(H6447,IMPORTRANGE(""https://docs.google.com/spreadsheets/d/14Bd19lYaqBhU8_DElYkX7l4wRkHqqCUFNJY4AfY3kHU/edit?usp=sharing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6" s="7" t="s">
        <v>29</v>
      </c>
    </row>
    <row r="6447" spans="1:10" ht="13.2">
      <c r="A6447" s="7">
        <v>6446</v>
      </c>
      <c r="B6447" s="7">
        <v>1</v>
      </c>
      <c r="C6447" s="7" t="s">
        <v>10</v>
      </c>
      <c r="D6447" s="7">
        <v>5831</v>
      </c>
      <c r="E6447" s="7" t="s">
        <v>28</v>
      </c>
      <c r="F6447" s="8" t="str">
        <f ca="1">IFERROR(__xludf.DUMMYFUNCTION("IF
(
C6448=""фізична особа""
,
VLOOKUP(D6448,IMPORTRANGE(""https://docs.google.com/spreadsheets/d/14Bd19lYaqBhU8_DElYkX7l4wRkHqqCUFNJY4AfY3kHU/edit?usp=sharing  #gid=0"",""фіз особи new!relations_name""),6,FALSE)
,
(IF
(
C6448=""юридична особа""
,
VLOOKUP"&amp;"(D6448,IMPORTRANGE(""https://docs.google.com/spreadsheets/d/14Bd19lYaqBhU8_DElYkX7l4wRkHqqCUFNJY4AfY3kHU/edit?usp=sharing  #gid=0"",""фіз особи new!relations_name_uo""),7,FALSE)
,
)
))"),"СУДЮКОВ Павло Олександрович")</f>
        <v>СУДЮКОВ Павло Олександрович</v>
      </c>
      <c r="G6447" s="7" t="s">
        <v>10</v>
      </c>
      <c r="H6447" s="7">
        <v>5645</v>
      </c>
      <c r="I6447" s="8" t="str">
        <f ca="1">IFERROR(__xludf.DUMMYFUNCTION("IF
(
G6448=""фізична особа""
,
VLOOKUP(H6448,IMPORTRANGE(""https://docs.google.com/spreadsheets/d/14Bd19lYaqBhU8_DElYkX7l4wRkHqqCUFNJY4AfY3kHU/edit?usp=sharing  #gid=0"",""фіз особи new!relations_name""),6,FALSE)
,
(IF
(
G6448=""юридична особа""
,
VLOOKUP"&amp;"(H6448,IMPORTRANGE(""https://docs.google.com/spreadsheets/d/14Bd19lYaqBhU8_DElYkX7l4wRkHqqCUFNJY4AfY3kHU/edit?usp=sharing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7" s="7" t="s">
        <v>29</v>
      </c>
    </row>
    <row r="6448" spans="1:10" ht="13.2">
      <c r="A6448" s="7">
        <v>6447</v>
      </c>
      <c r="B6448" s="7">
        <v>1</v>
      </c>
      <c r="C6448" s="7" t="s">
        <v>10</v>
      </c>
      <c r="D6448" s="7">
        <v>5832</v>
      </c>
      <c r="E6448" s="7" t="s">
        <v>28</v>
      </c>
      <c r="F6448" s="8" t="str">
        <f ca="1">IFERROR(__xludf.DUMMYFUNCTION("IF
(
C6449=""фізична особа""
,
VLOOKUP(D6449,IMPORTRANGE(""https://docs.google.com/spreadsheets/d/14Bd19lYaqBhU8_DElYkX7l4wRkHqqCUFNJY4AfY3kHU/edit?usp=sharing  #gid=0"",""фіз особи new!relations_name""),6,FALSE)
,
(IF
(
C6449=""юридична особа""
,
VLOOKUP"&amp;"(D6449,IMPORTRANGE(""https://docs.google.com/spreadsheets/d/14Bd19lYaqBhU8_DElYkX7l4wRkHqqCUFNJY4AfY3kHU/edit?usp=sharing  #gid=0"",""фіз особи new!relations_name_uo""),7,FALSE)
,
)
))"),"СВИНАРЬОВ Олександр Михайлович")</f>
        <v>СВИНАРЬОВ Олександр Михайлович</v>
      </c>
      <c r="G6448" s="7" t="s">
        <v>10</v>
      </c>
      <c r="H6448" s="7">
        <v>5645</v>
      </c>
      <c r="I6448" s="8" t="str">
        <f ca="1">IFERROR(__xludf.DUMMYFUNCTION("IF
(
G6449=""фізична особа""
,
VLOOKUP(H6449,IMPORTRANGE(""https://docs.google.com/spreadsheets/d/14Bd19lYaqBhU8_DElYkX7l4wRkHqqCUFNJY4AfY3kHU/edit?usp=sharing  #gid=0"",""фіз особи new!relations_name""),6,FALSE)
,
(IF
(
G6449=""юридична особа""
,
VLOOKUP"&amp;"(H6449,IMPORTRANGE(""https://docs.google.com/spreadsheets/d/14Bd19lYaqBhU8_DElYkX7l4wRkHqqCUFNJY4AfY3kHU/edit?usp=sharing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8" s="7" t="s">
        <v>29</v>
      </c>
    </row>
    <row r="6449" spans="1:10" ht="13.2">
      <c r="A6449" s="7">
        <v>6448</v>
      </c>
      <c r="B6449" s="7">
        <v>1</v>
      </c>
      <c r="C6449" s="7" t="s">
        <v>10</v>
      </c>
      <c r="D6449" s="7">
        <v>5833</v>
      </c>
      <c r="E6449" s="7" t="s">
        <v>28</v>
      </c>
      <c r="F6449" s="8" t="str">
        <f ca="1">IFERROR(__xludf.DUMMYFUNCTION("IF
(
C6450=""фізична особа""
,
VLOOKUP(D6450,IMPORTRANGE(""https://docs.google.com/spreadsheets/d/14Bd19lYaqBhU8_DElYkX7l4wRkHqqCUFNJY4AfY3kHU/edit?usp=sharing  #gid=0"",""фіз особи new!relations_name""),6,FALSE)
,
(IF
(
C6450=""юридична особа""
,
VLOOKUP"&amp;"(D6450,IMPORTRANGE(""https://docs.google.com/spreadsheets/d/14Bd19lYaqBhU8_DElYkX7l4wRkHqqCUFNJY4AfY3kHU/edit?usp=sharing  #gid=0"",""фіз особи new!relations_name_uo""),7,FALSE)
,
)
))"),"УТКІН Юрій Аркадійович")</f>
        <v>УТКІН Юрій Аркадійович</v>
      </c>
      <c r="G6449" s="7" t="s">
        <v>10</v>
      </c>
      <c r="H6449" s="7">
        <v>5645</v>
      </c>
      <c r="I6449" s="8" t="str">
        <f ca="1">IFERROR(__xludf.DUMMYFUNCTION("IF
(
G6450=""фізична особа""
,
VLOOKUP(H6450,IMPORTRANGE(""https://docs.google.com/spreadsheets/d/14Bd19lYaqBhU8_DElYkX7l4wRkHqqCUFNJY4AfY3kHU/edit?usp=sharing  #gid=0"",""фіз особи new!relations_name""),6,FALSE)
,
(IF
(
G6450=""юридична особа""
,
VLOOKUP"&amp;"(H6450,IMPORTRANGE(""https://docs.google.com/spreadsheets/d/14Bd19lYaqBhU8_DElYkX7l4wRkHqqCUFNJY4AfY3kHU/edit?usp=sharing  #gid=0"",""фіз особи new!relations_name_uo""),7,FALSE)
,
)
))"),"ЧУНАЄВ Володимир Юрійович")</f>
        <v>ЧУНАЄВ Володимир Юрійович</v>
      </c>
      <c r="J6449" s="7" t="s">
        <v>29</v>
      </c>
    </row>
    <row r="6450" spans="1:10" ht="13.2">
      <c r="A6450" s="7">
        <v>6449</v>
      </c>
      <c r="B6450" s="7">
        <v>1</v>
      </c>
      <c r="C6450" s="7" t="s">
        <v>10</v>
      </c>
      <c r="D6450" s="7">
        <v>5847</v>
      </c>
      <c r="E6450" s="7" t="s">
        <v>28</v>
      </c>
      <c r="F6450" s="8" t="str">
        <f ca="1">IFERROR(__xludf.DUMMYFUNCTION("IF
(
C6451=""фізична особа""
,
VLOOKUP(D6451,IMPORTRANGE(""https://docs.google.com/spreadsheets/d/14Bd19lYaqBhU8_DElYkX7l4wRkHqqCUFNJY4AfY3kHU/edit?usp=sharing  #gid=0"",""фіз особи new!relations_name""),6,FALSE)
,
(IF
(
C6451=""юридична особа""
,
VLOOKUP"&amp;"(D6451,IMPORTRANGE(""https://docs.google.com/spreadsheets/d/14Bd19lYaqBhU8_DElYkX7l4wRkHqqCUFNJY4AfY3kHU/edit?usp=sharing  #gid=0"",""фіз особи new!relations_name_uo""),7,FALSE)
,
)
))"),"СЕРМЯГІН Павло Олексійович")</f>
        <v>СЕРМЯГІН Павло Олексійович</v>
      </c>
      <c r="G6450" s="7" t="s">
        <v>10</v>
      </c>
      <c r="H6450" s="7">
        <v>5635</v>
      </c>
      <c r="I6450" s="8" t="str">
        <f ca="1">IFERROR(__xludf.DUMMYFUNCTION("IF
(
G6451=""фізична особа""
,
VLOOKUP(H6451,IMPORTRANGE(""https://docs.google.com/spreadsheets/d/14Bd19lYaqBhU8_DElYkX7l4wRkHqqCUFNJY4AfY3kHU/edit?usp=sharing  #gid=0"",""фіз особи new!relations_name""),6,FALSE)
,
(IF
(
G6451=""юридична особа""
,
VLOOKUP"&amp;"(H6451,IMPORTRANGE(""https://docs.google.com/spreadsheets/d/14Bd19lYaqBhU8_DElYkX7l4wRkHqqCUFNJY4AfY3kHU/edit?usp=sharing  #gid=0"",""фіз особи new!relations_name_uo""),7,FALSE)
,
)
))"),"НЕКРАСОВА Олена Альбертівна")</f>
        <v>НЕКРАСОВА Олена Альбертівна</v>
      </c>
      <c r="J6450" s="7" t="s">
        <v>29</v>
      </c>
    </row>
    <row r="6451" spans="1:10" ht="13.2">
      <c r="A6451" s="7">
        <v>6450</v>
      </c>
      <c r="B6451" s="7">
        <v>1</v>
      </c>
      <c r="C6451" s="7" t="s">
        <v>10</v>
      </c>
      <c r="D6451" s="7">
        <v>5848</v>
      </c>
      <c r="E6451" s="7" t="s">
        <v>28</v>
      </c>
      <c r="F6451" s="8" t="str">
        <f ca="1">IFERROR(__xludf.DUMMYFUNCTION("IF
(
C6452=""фізична особа""
,
VLOOKUP(D6452,IMPORTRANGE(""https://docs.google.com/spreadsheets/d/14Bd19lYaqBhU8_DElYkX7l4wRkHqqCUFNJY4AfY3kHU/edit?usp=sharing  #gid=0"",""фіз особи new!relations_name""),6,FALSE)
,
(IF
(
C6452=""юридична особа""
,
VLOOKUP"&amp;"(D6452,IMPORTRANGE(""https://docs.google.com/spreadsheets/d/14Bd19lYaqBhU8_DElYkX7l4wRkHqqCUFNJY4AfY3kHU/edit?usp=sharing  #gid=0"",""фіз особи new!relations_name_uo""),7,FALSE)
,
)
))"),"ВИГОНСЬКИХ Юрій Григорович")</f>
        <v>ВИГОНСЬКИХ Юрій Григорович</v>
      </c>
      <c r="G6451" s="7" t="s">
        <v>10</v>
      </c>
      <c r="H6451" s="7">
        <v>5322</v>
      </c>
      <c r="I6451" s="8" t="str">
        <f ca="1">IFERROR(__xludf.DUMMYFUNCTION("IF
(
G6452=""фізична особа""
,
VLOOKUP(H6452,IMPORTRANGE(""https://docs.google.com/spreadsheets/d/14Bd19lYaqBhU8_DElYkX7l4wRkHqqCUFNJY4AfY3kHU/edit?usp=sharing  #gid=0"",""фіз особи new!relations_name""),6,FALSE)
,
(IF
(
G6452=""юридична особа""
,
VLOOKUP"&amp;"(H6452,IMPORTRANGE(""https://docs.google.com/spreadsheets/d/14Bd19lYaqBhU8_DElYkX7l4wRkHqqCUFNJY4AfY3kHU/edit?usp=sharing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1" s="7" t="s">
        <v>29</v>
      </c>
    </row>
    <row r="6452" spans="1:10" ht="13.2">
      <c r="A6452" s="7">
        <v>6451</v>
      </c>
      <c r="B6452" s="7">
        <v>1</v>
      </c>
      <c r="C6452" s="7" t="s">
        <v>10</v>
      </c>
      <c r="D6452" s="7">
        <v>5849</v>
      </c>
      <c r="E6452" s="7" t="s">
        <v>28</v>
      </c>
      <c r="F6452" s="8" t="str">
        <f ca="1">IFERROR(__xludf.DUMMYFUNCTION("IF
(
C6453=""фізична особа""
,
VLOOKUP(D6453,IMPORTRANGE(""https://docs.google.com/spreadsheets/d/14Bd19lYaqBhU8_DElYkX7l4wRkHqqCUFNJY4AfY3kHU/edit?usp=sharing  #gid=0"",""фіз особи new!relations_name""),6,FALSE)
,
(IF
(
C6453=""юридична особа""
,
VLOOKUP"&amp;"(D6453,IMPORTRANGE(""https://docs.google.com/spreadsheets/d/14Bd19lYaqBhU8_DElYkX7l4wRkHqqCUFNJY4AfY3kHU/edit?usp=sharing  #gid=0"",""фіз особи new!relations_name_uo""),7,FALSE)
,
)
))"),"ВИЛКОВ Юрій В'ячеславович")</f>
        <v>ВИЛКОВ Юрій В'ячеславович</v>
      </c>
      <c r="G6452" s="7" t="s">
        <v>10</v>
      </c>
      <c r="H6452" s="7">
        <v>5322</v>
      </c>
      <c r="I6452" s="8" t="str">
        <f ca="1">IFERROR(__xludf.DUMMYFUNCTION("IF
(
G6453=""фізична особа""
,
VLOOKUP(H6453,IMPORTRANGE(""https://docs.google.com/spreadsheets/d/14Bd19lYaqBhU8_DElYkX7l4wRkHqqCUFNJY4AfY3kHU/edit?usp=sharing  #gid=0"",""фіз особи new!relations_name""),6,FALSE)
,
(IF
(
G6453=""юридична особа""
,
VLOOKUP"&amp;"(H6453,IMPORTRANGE(""https://docs.google.com/spreadsheets/d/14Bd19lYaqBhU8_DElYkX7l4wRkHqqCUFNJY4AfY3kHU/edit?usp=sharing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2" s="7" t="s">
        <v>29</v>
      </c>
    </row>
    <row r="6453" spans="1:10" ht="13.2">
      <c r="A6453" s="7">
        <v>6452</v>
      </c>
      <c r="B6453" s="7">
        <v>1</v>
      </c>
      <c r="C6453" s="7" t="s">
        <v>10</v>
      </c>
      <c r="D6453" s="7">
        <v>5850</v>
      </c>
      <c r="E6453" s="7" t="s">
        <v>28</v>
      </c>
      <c r="F6453" s="8" t="str">
        <f ca="1">IFERROR(__xludf.DUMMYFUNCTION("IF
(
C6454=""фізична особа""
,
VLOOKUP(D6454,IMPORTRANGE(""https://docs.google.com/spreadsheets/d/14Bd19lYaqBhU8_DElYkX7l4wRkHqqCUFNJY4AfY3kHU/edit?usp=sharing  #gid=0"",""фіз особи new!relations_name""),6,FALSE)
,
(IF
(
C6454=""юридична особа""
,
VLOOKUP"&amp;"(D6454,IMPORTRANGE(""https://docs.google.com/spreadsheets/d/14Bd19lYaqBhU8_DElYkX7l4wRkHqqCUFNJY4AfY3kHU/edit?usp=sharing  #gid=0"",""фіз особи new!relations_name_uo""),7,FALSE)
,
)
))"),"ПАТРАЄВ Євгеній Валерійович")</f>
        <v>ПАТРАЄВ Євгеній Валерійович</v>
      </c>
      <c r="G6453" s="7" t="s">
        <v>10</v>
      </c>
      <c r="H6453" s="7">
        <v>5322</v>
      </c>
      <c r="I6453" s="8" t="str">
        <f ca="1">IFERROR(__xludf.DUMMYFUNCTION("IF
(
G6454=""фізична особа""
,
VLOOKUP(H6454,IMPORTRANGE(""https://docs.google.com/spreadsheets/d/14Bd19lYaqBhU8_DElYkX7l4wRkHqqCUFNJY4AfY3kHU/edit?usp=sharing  #gid=0"",""фіз особи new!relations_name""),6,FALSE)
,
(IF
(
G6454=""юридична особа""
,
VLOOKUP"&amp;"(H6454,IMPORTRANGE(""https://docs.google.com/spreadsheets/d/14Bd19lYaqBhU8_DElYkX7l4wRkHqqCUFNJY4AfY3kHU/edit?usp=sharing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3" s="7" t="s">
        <v>29</v>
      </c>
    </row>
    <row r="6454" spans="1:10" ht="13.2">
      <c r="A6454" s="7">
        <v>6453</v>
      </c>
      <c r="B6454" s="7">
        <v>1</v>
      </c>
      <c r="C6454" s="7" t="s">
        <v>10</v>
      </c>
      <c r="D6454" s="7">
        <v>5851</v>
      </c>
      <c r="E6454" s="7" t="s">
        <v>28</v>
      </c>
      <c r="F6454" s="8" t="str">
        <f ca="1">IFERROR(__xludf.DUMMYFUNCTION("IF
(
C6455=""фізична особа""
,
VLOOKUP(D6455,IMPORTRANGE(""https://docs.google.com/spreadsheets/d/14Bd19lYaqBhU8_DElYkX7l4wRkHqqCUFNJY4AfY3kHU/edit?usp=sharing  #gid=0"",""фіз особи new!relations_name""),6,FALSE)
,
(IF
(
C6455=""юридична особа""
,
VLOOKUP"&amp;"(D6455,IMPORTRANGE(""https://docs.google.com/spreadsheets/d/14Bd19lYaqBhU8_DElYkX7l4wRkHqqCUFNJY4AfY3kHU/edit?usp=sharing  #gid=0"",""фіз особи new!relations_name_uo""),7,FALSE)
,
)
))"),"ШЕВЕРДОВ Валерій Пилипович")</f>
        <v>ШЕВЕРДОВ Валерій Пилипович</v>
      </c>
      <c r="G6454" s="7" t="s">
        <v>10</v>
      </c>
      <c r="H6454" s="7">
        <v>5322</v>
      </c>
      <c r="I6454" s="8" t="str">
        <f ca="1">IFERROR(__xludf.DUMMYFUNCTION("IF
(
G6455=""фізична особа""
,
VLOOKUP(H6455,IMPORTRANGE(""https://docs.google.com/spreadsheets/d/14Bd19lYaqBhU8_DElYkX7l4wRkHqqCUFNJY4AfY3kHU/edit?usp=sharing  #gid=0"",""фіз особи new!relations_name""),6,FALSE)
,
(IF
(
G6455=""юридична особа""
,
VLOOKUP"&amp;"(H6455,IMPORTRANGE(""https://docs.google.com/spreadsheets/d/14Bd19lYaqBhU8_DElYkX7l4wRkHqqCUFNJY4AfY3kHU/edit?usp=sharing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4" s="7" t="s">
        <v>29</v>
      </c>
    </row>
    <row r="6455" spans="1:10" ht="13.2">
      <c r="A6455" s="7">
        <v>6454</v>
      </c>
      <c r="B6455" s="7">
        <v>1</v>
      </c>
      <c r="C6455" s="7" t="s">
        <v>10</v>
      </c>
      <c r="D6455" s="7">
        <v>5852</v>
      </c>
      <c r="E6455" s="7" t="s">
        <v>28</v>
      </c>
      <c r="F6455" s="8" t="str">
        <f ca="1">IFERROR(__xludf.DUMMYFUNCTION("IF
(
C6456=""фізична особа""
,
VLOOKUP(D6456,IMPORTRANGE(""https://docs.google.com/spreadsheets/d/14Bd19lYaqBhU8_DElYkX7l4wRkHqqCUFNJY4AfY3kHU/edit?usp=sharing  #gid=0"",""фіз особи new!relations_name""),6,FALSE)
,
(IF
(
C6456=""юридична особа""
,
VLOOKUP"&amp;"(D6456,IMPORTRANGE(""https://docs.google.com/spreadsheets/d/14Bd19lYaqBhU8_DElYkX7l4wRkHqqCUFNJY4AfY3kHU/edit?usp=sharing  #gid=0"",""фіз особи new!relations_name_uo""),7,FALSE)
,
)
))"),"МАКСИМОВ Юрій Вікторович")</f>
        <v>МАКСИМОВ Юрій Вікторович</v>
      </c>
      <c r="G6455" s="7" t="s">
        <v>10</v>
      </c>
      <c r="H6455" s="7">
        <v>5322</v>
      </c>
      <c r="I6455" s="8" t="str">
        <f ca="1">IFERROR(__xludf.DUMMYFUNCTION("IF
(
G6456=""фізична особа""
,
VLOOKUP(H6456,IMPORTRANGE(""https://docs.google.com/spreadsheets/d/14Bd19lYaqBhU8_DElYkX7l4wRkHqqCUFNJY4AfY3kHU/edit?usp=sharing  #gid=0"",""фіз особи new!relations_name""),6,FALSE)
,
(IF
(
G6456=""юридична особа""
,
VLOOKUP"&amp;"(H6456,IMPORTRANGE(""https://docs.google.com/spreadsheets/d/14Bd19lYaqBhU8_DElYkX7l4wRkHqqCUFNJY4AfY3kHU/edit?usp=sharing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5" s="7" t="s">
        <v>29</v>
      </c>
    </row>
    <row r="6456" spans="1:10" ht="13.2">
      <c r="A6456" s="7">
        <v>6455</v>
      </c>
      <c r="B6456" s="7">
        <v>1</v>
      </c>
      <c r="C6456" s="7" t="s">
        <v>10</v>
      </c>
      <c r="D6456" s="7">
        <v>5853</v>
      </c>
      <c r="E6456" s="7" t="s">
        <v>28</v>
      </c>
      <c r="F6456" s="8" t="str">
        <f ca="1">IFERROR(__xludf.DUMMYFUNCTION("IF
(
C6457=""фізична особа""
,
VLOOKUP(D6457,IMPORTRANGE(""https://docs.google.com/spreadsheets/d/14Bd19lYaqBhU8_DElYkX7l4wRkHqqCUFNJY4AfY3kHU/edit?usp=sharing  #gid=0"",""фіз особи new!relations_name""),6,FALSE)
,
(IF
(
C6457=""юридична особа""
,
VLOOKUP"&amp;"(D6457,IMPORTRANGE(""https://docs.google.com/spreadsheets/d/14Bd19lYaqBhU8_DElYkX7l4wRkHqqCUFNJY4AfY3kHU/edit?usp=sharing  #gid=0"",""фіз особи new!relations_name_uo""),7,FALSE)
,
)
))"),"МАТРОНИЦЬКИЙ Дмитро Анатолійович")</f>
        <v>МАТРОНИЦЬКИЙ Дмитро Анатолійович</v>
      </c>
      <c r="G6456" s="7" t="s">
        <v>10</v>
      </c>
      <c r="H6456" s="7">
        <v>5322</v>
      </c>
      <c r="I6456" s="8" t="str">
        <f ca="1">IFERROR(__xludf.DUMMYFUNCTION("IF
(
G6457=""фізична особа""
,
VLOOKUP(H6457,IMPORTRANGE(""https://docs.google.com/spreadsheets/d/14Bd19lYaqBhU8_DElYkX7l4wRkHqqCUFNJY4AfY3kHU/edit?usp=sharing  #gid=0"",""фіз особи new!relations_name""),6,FALSE)
,
(IF
(
G6457=""юридична особа""
,
VLOOKUP"&amp;"(H6457,IMPORTRANGE(""https://docs.google.com/spreadsheets/d/14Bd19lYaqBhU8_DElYkX7l4wRkHqqCUFNJY4AfY3kHU/edit?usp=sharing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6" s="7" t="s">
        <v>29</v>
      </c>
    </row>
    <row r="6457" spans="1:10" ht="13.2">
      <c r="A6457" s="7">
        <v>6456</v>
      </c>
      <c r="B6457" s="7">
        <v>1</v>
      </c>
      <c r="C6457" s="7" t="s">
        <v>10</v>
      </c>
      <c r="D6457" s="7">
        <v>5854</v>
      </c>
      <c r="E6457" s="7" t="s">
        <v>28</v>
      </c>
      <c r="F6457" s="8" t="str">
        <f ca="1">IFERROR(__xludf.DUMMYFUNCTION("IF
(
C6458=""фізична особа""
,
VLOOKUP(D6458,IMPORTRANGE(""https://docs.google.com/spreadsheets/d/14Bd19lYaqBhU8_DElYkX7l4wRkHqqCUFNJY4AfY3kHU/edit?usp=sharing  #gid=0"",""фіз особи new!relations_name""),6,FALSE)
,
(IF
(
C6458=""юридична особа""
,
VLOOKUP"&amp;"(D6458,IMPORTRANGE(""https://docs.google.com/spreadsheets/d/14Bd19lYaqBhU8_DElYkX7l4wRkHqqCUFNJY4AfY3kHU/edit?usp=sharing  #gid=0"",""фіз особи new!relations_name_uo""),7,FALSE)
,
)
))"),"КУКУШКІН Сергій Геннадійович")</f>
        <v>КУКУШКІН Сергій Геннадійович</v>
      </c>
      <c r="G6457" s="7" t="s">
        <v>10</v>
      </c>
      <c r="H6457" s="7">
        <v>5322</v>
      </c>
      <c r="I6457" s="8" t="str">
        <f ca="1">IFERROR(__xludf.DUMMYFUNCTION("IF
(
G6458=""фізична особа""
,
VLOOKUP(H6458,IMPORTRANGE(""https://docs.google.com/spreadsheets/d/14Bd19lYaqBhU8_DElYkX7l4wRkHqqCUFNJY4AfY3kHU/edit?usp=sharing  #gid=0"",""фіз особи new!relations_name""),6,FALSE)
,
(IF
(
G6458=""юридична особа""
,
VLOOKUP"&amp;"(H6458,IMPORTRANGE(""https://docs.google.com/spreadsheets/d/14Bd19lYaqBhU8_DElYkX7l4wRkHqqCUFNJY4AfY3kHU/edit?usp=sharing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7" s="7" t="s">
        <v>29</v>
      </c>
    </row>
    <row r="6458" spans="1:10" ht="13.2">
      <c r="A6458" s="7">
        <v>6457</v>
      </c>
      <c r="B6458" s="7">
        <v>1</v>
      </c>
      <c r="C6458" s="7" t="s">
        <v>10</v>
      </c>
      <c r="D6458" s="7">
        <v>5855</v>
      </c>
      <c r="E6458" s="7" t="s">
        <v>28</v>
      </c>
      <c r="F6458" s="8" t="str">
        <f ca="1">IFERROR(__xludf.DUMMYFUNCTION("IF
(
C6459=""фізична особа""
,
VLOOKUP(D6459,IMPORTRANGE(""https://docs.google.com/spreadsheets/d/14Bd19lYaqBhU8_DElYkX7l4wRkHqqCUFNJY4AfY3kHU/edit?usp=sharing  #gid=0"",""фіз особи new!relations_name""),6,FALSE)
,
(IF
(
C6459=""юридична особа""
,
VLOOKUP"&amp;"(D6459,IMPORTRANGE(""https://docs.google.com/spreadsheets/d/14Bd19lYaqBhU8_DElYkX7l4wRkHqqCUFNJY4AfY3kHU/edit?usp=sharing  #gid=0"",""фіз особи new!relations_name_uo""),7,FALSE)
,
)
))"),"ОХОТКІН Кирило Германович")</f>
        <v>ОХОТКІН Кирило Германович</v>
      </c>
      <c r="G6458" s="7" t="s">
        <v>10</v>
      </c>
      <c r="H6458" s="7">
        <v>5322</v>
      </c>
      <c r="I6458" s="8" t="str">
        <f ca="1">IFERROR(__xludf.DUMMYFUNCTION("IF
(
G6459=""фізична особа""
,
VLOOKUP(H6459,IMPORTRANGE(""https://docs.google.com/spreadsheets/d/14Bd19lYaqBhU8_DElYkX7l4wRkHqqCUFNJY4AfY3kHU/edit?usp=sharing  #gid=0"",""фіз особи new!relations_name""),6,FALSE)
,
(IF
(
G6459=""юридична особа""
,
VLOOKUP"&amp;"(H6459,IMPORTRANGE(""https://docs.google.com/spreadsheets/d/14Bd19lYaqBhU8_DElYkX7l4wRkHqqCUFNJY4AfY3kHU/edit?usp=sharing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8" s="7" t="s">
        <v>29</v>
      </c>
    </row>
    <row r="6459" spans="1:10" ht="13.2">
      <c r="A6459" s="7">
        <v>6458</v>
      </c>
      <c r="B6459" s="7">
        <v>1</v>
      </c>
      <c r="C6459" s="7" t="s">
        <v>10</v>
      </c>
      <c r="D6459" s="7">
        <v>5856</v>
      </c>
      <c r="E6459" s="7" t="s">
        <v>28</v>
      </c>
      <c r="F6459" s="8" t="str">
        <f ca="1">IFERROR(__xludf.DUMMYFUNCTION("IF
(
C6460=""фізична особа""
,
VLOOKUP(D6460,IMPORTRANGE(""https://docs.google.com/spreadsheets/d/14Bd19lYaqBhU8_DElYkX7l4wRkHqqCUFNJY4AfY3kHU/edit?usp=sharing  #gid=0"",""фіз особи new!relations_name""),6,FALSE)
,
(IF
(
C6460=""юридична особа""
,
VLOOKUP"&amp;"(D6460,IMPORTRANGE(""https://docs.google.com/spreadsheets/d/14Bd19lYaqBhU8_DElYkX7l4wRkHqqCUFNJY4AfY3kHU/edit?usp=sharing  #gid=0"",""фіз особи new!relations_name_uo""),7,FALSE)
,
)
))"),"РЕВНИВИХ Сергій Георгійович")</f>
        <v>РЕВНИВИХ Сергій Георгійович</v>
      </c>
      <c r="G6459" s="7" t="s">
        <v>10</v>
      </c>
      <c r="H6459" s="7">
        <v>5322</v>
      </c>
      <c r="I6459" s="8" t="str">
        <f ca="1">IFERROR(__xludf.DUMMYFUNCTION("IF
(
G6460=""фізична особа""
,
VLOOKUP(H6460,IMPORTRANGE(""https://docs.google.com/spreadsheets/d/14Bd19lYaqBhU8_DElYkX7l4wRkHqqCUFNJY4AfY3kHU/edit?usp=sharing  #gid=0"",""фіз особи new!relations_name""),6,FALSE)
,
(IF
(
G6460=""юридична особа""
,
VLOOKUP"&amp;"(H6460,IMPORTRANGE(""https://docs.google.com/spreadsheets/d/14Bd19lYaqBhU8_DElYkX7l4wRkHqqCUFNJY4AfY3kHU/edit?usp=sharing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59" s="7" t="s">
        <v>29</v>
      </c>
    </row>
    <row r="6460" spans="1:10" ht="13.2">
      <c r="A6460" s="7">
        <v>6459</v>
      </c>
      <c r="B6460" s="7">
        <v>1</v>
      </c>
      <c r="C6460" s="7" t="s">
        <v>10</v>
      </c>
      <c r="D6460" s="7">
        <v>5857</v>
      </c>
      <c r="E6460" s="7" t="s">
        <v>28</v>
      </c>
      <c r="F6460" s="8" t="str">
        <f ca="1">IFERROR(__xludf.DUMMYFUNCTION("IF
(
C6461=""фізична особа""
,
VLOOKUP(D6461,IMPORTRANGE(""https://docs.google.com/spreadsheets/d/14Bd19lYaqBhU8_DElYkX7l4wRkHqqCUFNJY4AfY3kHU/edit?usp=sharing  #gid=0"",""фіз особи new!relations_name""),6,FALSE)
,
(IF
(
C6461=""юридична особа""
,
VLOOKUP"&amp;"(D6461,IMPORTRANGE(""https://docs.google.com/spreadsheets/d/14Bd19lYaqBhU8_DElYkX7l4wRkHqqCUFNJY4AfY3kHU/edit?usp=sharing  #gid=0"",""фіз особи new!relations_name_uo""),7,FALSE)
,
)
))"),"КЛИМОВ Володимир Миколайович")</f>
        <v>КЛИМОВ Володимир Миколайович</v>
      </c>
      <c r="G6460" s="7" t="s">
        <v>10</v>
      </c>
      <c r="H6460" s="7">
        <v>5322</v>
      </c>
      <c r="I6460" s="8" t="str">
        <f ca="1">IFERROR(__xludf.DUMMYFUNCTION("IF
(
G6461=""фізична особа""
,
VLOOKUP(H6461,IMPORTRANGE(""https://docs.google.com/spreadsheets/d/14Bd19lYaqBhU8_DElYkX7l4wRkHqqCUFNJY4AfY3kHU/edit?usp=sharing  #gid=0"",""фіз особи new!relations_name""),6,FALSE)
,
(IF
(
G6461=""юридична особа""
,
VLOOKUP"&amp;"(H6461,IMPORTRANGE(""https://docs.google.com/spreadsheets/d/14Bd19lYaqBhU8_DElYkX7l4wRkHqqCUFNJY4AfY3kHU/edit?usp=sharing  #gid=0"",""фіз особи new!relations_name_uo""),7,FALSE)
,
)
))"),"ТЄСТОЄДОВ Микола Олексійович")</f>
        <v>ТЄСТОЄДОВ Микола Олексійович</v>
      </c>
      <c r="J6460" s="7" t="s">
        <v>29</v>
      </c>
    </row>
    <row r="6461" spans="1:10" ht="13.2">
      <c r="A6461" s="7">
        <v>6460</v>
      </c>
      <c r="B6461" s="7">
        <v>1</v>
      </c>
      <c r="C6461" s="7" t="s">
        <v>10</v>
      </c>
      <c r="D6461" s="7">
        <v>5858</v>
      </c>
      <c r="E6461" s="7" t="s">
        <v>28</v>
      </c>
      <c r="F6461" s="8" t="str">
        <f ca="1">IFERROR(__xludf.DUMMYFUNCTION("IF
(
C6462=""фізична особа""
,
VLOOKUP(D6462,IMPORTRANGE(""https://docs.google.com/spreadsheets/d/14Bd19lYaqBhU8_DElYkX7l4wRkHqqCUFNJY4AfY3kHU/edit?usp=sharing  #gid=0"",""фіз особи new!relations_name""),6,FALSE)
,
(IF
(
C6462=""юридична особа""
,
VLOOKUP"&amp;"(D6462,IMPORTRANGE(""https://docs.google.com/spreadsheets/d/14Bd19lYaqBhU8_DElYkX7l4wRkHqqCUFNJY4AfY3kHU/edit?usp=sharing  #gid=0"",""фіз особи new!relations_name_uo""),7,FALSE)
,
)
))"),"АЛЕКСЄЄВ Сергій Юрійович")</f>
        <v>АЛЕКСЄЄВ Сергій Юрійович</v>
      </c>
      <c r="G6461" s="7" t="s">
        <v>10</v>
      </c>
      <c r="H6461" s="7">
        <v>5286</v>
      </c>
      <c r="I6461" s="8" t="str">
        <f ca="1">IFERROR(__xludf.DUMMYFUNCTION("IF
(
G6462=""фізична особа""
,
VLOOKUP(H6462,IMPORTRANGE(""https://docs.google.com/spreadsheets/d/14Bd19lYaqBhU8_DElYkX7l4wRkHqqCUFNJY4AfY3kHU/edit?usp=sharing  #gid=0"",""фіз особи new!relations_name""),6,FALSE)
,
(IF
(
G6462=""юридична особа""
,
VLOOKUP"&amp;"(H6462,IMPORTRANGE(""https://docs.google.com/spreadsheets/d/14Bd19lYaqBhU8_DElYkX7l4wRkHqqCUFNJY4AfY3kHU/edit?usp=sharing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1" s="7" t="s">
        <v>29</v>
      </c>
    </row>
    <row r="6462" spans="1:10" ht="13.2">
      <c r="A6462" s="7">
        <v>6461</v>
      </c>
      <c r="B6462" s="7">
        <v>1</v>
      </c>
      <c r="C6462" s="7" t="s">
        <v>10</v>
      </c>
      <c r="D6462" s="7">
        <v>5859</v>
      </c>
      <c r="E6462" s="7" t="s">
        <v>28</v>
      </c>
      <c r="F6462" s="8" t="str">
        <f ca="1">IFERROR(__xludf.DUMMYFUNCTION("IF
(
C6463=""фізична особа""
,
VLOOKUP(D6463,IMPORTRANGE(""https://docs.google.com/spreadsheets/d/14Bd19lYaqBhU8_DElYkX7l4wRkHqqCUFNJY4AfY3kHU/edit?usp=sharing  #gid=0"",""фіз особи new!relations_name""),6,FALSE)
,
(IF
(
C6463=""юридична особа""
,
VLOOKUP"&amp;"(D6463,IMPORTRANGE(""https://docs.google.com/spreadsheets/d/14Bd19lYaqBhU8_DElYkX7l4wRkHqqCUFNJY4AfY3kHU/edit?usp=sharing  #gid=0"",""фіз особи new!relations_name_uo""),7,FALSE)
,
)
))"),"БЄЛОБРАГІН Борис Андрійович")</f>
        <v>БЄЛОБРАГІН Борис Андрійович</v>
      </c>
      <c r="G6462" s="7" t="s">
        <v>10</v>
      </c>
      <c r="H6462" s="7">
        <v>5286</v>
      </c>
      <c r="I6462" s="8" t="str">
        <f ca="1">IFERROR(__xludf.DUMMYFUNCTION("IF
(
G6463=""фізична особа""
,
VLOOKUP(H6463,IMPORTRANGE(""https://docs.google.com/spreadsheets/d/14Bd19lYaqBhU8_DElYkX7l4wRkHqqCUFNJY4AfY3kHU/edit?usp=sharing  #gid=0"",""фіз особи new!relations_name""),6,FALSE)
,
(IF
(
G6463=""юридична особа""
,
VLOOKUP"&amp;"(H6463,IMPORTRANGE(""https://docs.google.com/spreadsheets/d/14Bd19lYaqBhU8_DElYkX7l4wRkHqqCUFNJY4AfY3kHU/edit?usp=sharing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2" s="7" t="s">
        <v>29</v>
      </c>
    </row>
    <row r="6463" spans="1:10" ht="13.2">
      <c r="A6463" s="7">
        <v>6462</v>
      </c>
      <c r="B6463" s="7">
        <v>1</v>
      </c>
      <c r="C6463" s="7" t="s">
        <v>10</v>
      </c>
      <c r="D6463" s="7">
        <v>5860</v>
      </c>
      <c r="E6463" s="7" t="s">
        <v>28</v>
      </c>
      <c r="F6463" s="8" t="str">
        <f ca="1">IFERROR(__xludf.DUMMYFUNCTION("IF
(
C6464=""фізична особа""
,
VLOOKUP(D6464,IMPORTRANGE(""https://docs.google.com/spreadsheets/d/14Bd19lYaqBhU8_DElYkX7l4wRkHqqCUFNJY4AfY3kHU/edit?usp=sharing  #gid=0"",""фіз особи new!relations_name""),6,FALSE)
,
(IF
(
C6464=""юридична особа""
,
VLOOKUP"&amp;"(D6464,IMPORTRANGE(""https://docs.google.com/spreadsheets/d/14Bd19lYaqBhU8_DElYkX7l4wRkHqqCUFNJY4AfY3kHU/edit?usp=sharing  #gid=0"",""фіз особи new!relations_name_uo""),7,FALSE)
,
)
))"),"ГУЛІЙ Сергій Анатолійович")</f>
        <v>ГУЛІЙ Сергій Анатолійович</v>
      </c>
      <c r="G6463" s="7" t="s">
        <v>10</v>
      </c>
      <c r="H6463" s="7">
        <v>5286</v>
      </c>
      <c r="I6463" s="8" t="str">
        <f ca="1">IFERROR(__xludf.DUMMYFUNCTION("IF
(
G6464=""фізична особа""
,
VLOOKUP(H6464,IMPORTRANGE(""https://docs.google.com/spreadsheets/d/14Bd19lYaqBhU8_DElYkX7l4wRkHqqCUFNJY4AfY3kHU/edit?usp=sharing  #gid=0"",""фіз особи new!relations_name""),6,FALSE)
,
(IF
(
G6464=""юридична особа""
,
VLOOKUP"&amp;"(H6464,IMPORTRANGE(""https://docs.google.com/spreadsheets/d/14Bd19lYaqBhU8_DElYkX7l4wRkHqqCUFNJY4AfY3kHU/edit?usp=sharing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3" s="7" t="s">
        <v>29</v>
      </c>
    </row>
    <row r="6464" spans="1:10" ht="13.2">
      <c r="A6464" s="7">
        <v>6463</v>
      </c>
      <c r="B6464" s="7">
        <v>1</v>
      </c>
      <c r="C6464" s="7" t="s">
        <v>10</v>
      </c>
      <c r="D6464" s="7">
        <v>5861</v>
      </c>
      <c r="E6464" s="7" t="s">
        <v>28</v>
      </c>
      <c r="F6464" s="8" t="str">
        <f ca="1">IFERROR(__xludf.DUMMYFUNCTION("IF
(
C6465=""фізична особа""
,
VLOOKUP(D6465,IMPORTRANGE(""https://docs.google.com/spreadsheets/d/14Bd19lYaqBhU8_DElYkX7l4wRkHqqCUFNJY4AfY3kHU/edit?usp=sharing  #gid=0"",""фіз особи new!relations_name""),6,FALSE)
,
(IF
(
C6465=""юридична особа""
,
VLOOKUP"&amp;"(D6465,IMPORTRANGE(""https://docs.google.com/spreadsheets/d/14Bd19lYaqBhU8_DElYkX7l4wRkHqqCUFNJY4AfY3kHU/edit?usp=sharing  #gid=0"",""фіз особи new!relations_name_uo""),7,FALSE)
,
)
))"),"КОНДАУРОВ Володимир Миколайович")</f>
        <v>КОНДАУРОВ Володимир Миколайович</v>
      </c>
      <c r="G6464" s="7" t="s">
        <v>10</v>
      </c>
      <c r="H6464" s="7">
        <v>5286</v>
      </c>
      <c r="I6464" s="8" t="str">
        <f ca="1">IFERROR(__xludf.DUMMYFUNCTION("IF
(
G6465=""фізична особа""
,
VLOOKUP(H6465,IMPORTRANGE(""https://docs.google.com/spreadsheets/d/14Bd19lYaqBhU8_DElYkX7l4wRkHqqCUFNJY4AfY3kHU/edit?usp=sharing  #gid=0"",""фіз особи new!relations_name""),6,FALSE)
,
(IF
(
G6465=""юридична особа""
,
VLOOKUP"&amp;"(H6465,IMPORTRANGE(""https://docs.google.com/spreadsheets/d/14Bd19lYaqBhU8_DElYkX7l4wRkHqqCUFNJY4AfY3kHU/edit?usp=sharing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4" s="7" t="s">
        <v>29</v>
      </c>
    </row>
    <row r="6465" spans="1:10" ht="13.2">
      <c r="A6465" s="7">
        <v>6464</v>
      </c>
      <c r="B6465" s="7">
        <v>1</v>
      </c>
      <c r="C6465" s="7" t="s">
        <v>10</v>
      </c>
      <c r="D6465" s="7">
        <v>5862</v>
      </c>
      <c r="E6465" s="7" t="s">
        <v>28</v>
      </c>
      <c r="F6465" s="8" t="str">
        <f ca="1">IFERROR(__xludf.DUMMYFUNCTION("IF
(
C6466=""фізична особа""
,
VLOOKUP(D6466,IMPORTRANGE(""https://docs.google.com/spreadsheets/d/14Bd19lYaqBhU8_DElYkX7l4wRkHqqCUFNJY4AfY3kHU/edit?usp=sharing  #gid=0"",""фіз особи new!relations_name""),6,FALSE)
,
(IF
(
C6466=""юридична особа""
,
VLOOKUP"&amp;"(D6466,IMPORTRANGE(""https://docs.google.com/spreadsheets/d/14Bd19lYaqBhU8_DElYkX7l4wRkHqqCUFNJY4AfY3kHU/edit?usp=sharing  #gid=0"",""фіз особи new!relations_name_uo""),7,FALSE)
,
)
))"),"КОЧЕТКОВ Денис Миколайович")</f>
        <v>КОЧЕТКОВ Денис Миколайович</v>
      </c>
      <c r="G6465" s="7" t="s">
        <v>10</v>
      </c>
      <c r="H6465" s="7">
        <v>5286</v>
      </c>
      <c r="I6465" s="8" t="str">
        <f ca="1">IFERROR(__xludf.DUMMYFUNCTION("IF
(
G6466=""фізична особа""
,
VLOOKUP(H6466,IMPORTRANGE(""https://docs.google.com/spreadsheets/d/14Bd19lYaqBhU8_DElYkX7l4wRkHqqCUFNJY4AfY3kHU/edit?usp=sharing  #gid=0"",""фіз особи new!relations_name""),6,FALSE)
,
(IF
(
G6466=""юридична особа""
,
VLOOKUP"&amp;"(H6466,IMPORTRANGE(""https://docs.google.com/spreadsheets/d/14Bd19lYaqBhU8_DElYkX7l4wRkHqqCUFNJY4AfY3kHU/edit?usp=sharing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5" s="7" t="s">
        <v>29</v>
      </c>
    </row>
    <row r="6466" spans="1:10" ht="13.2">
      <c r="A6466" s="7">
        <v>6465</v>
      </c>
      <c r="B6466" s="7">
        <v>1</v>
      </c>
      <c r="C6466" s="7" t="s">
        <v>10</v>
      </c>
      <c r="D6466" s="7">
        <v>5863</v>
      </c>
      <c r="E6466" s="7" t="s">
        <v>28</v>
      </c>
      <c r="F6466" s="8" t="str">
        <f ca="1">IFERROR(__xludf.DUMMYFUNCTION("IF
(
C6467=""фізична особа""
,
VLOOKUP(D6467,IMPORTRANGE(""https://docs.google.com/spreadsheets/d/14Bd19lYaqBhU8_DElYkX7l4wRkHqqCUFNJY4AfY3kHU/edit?usp=sharing  #gid=0"",""фіз особи new!relations_name""),6,FALSE)
,
(IF
(
C6467=""юридична особа""
,
VLOOKUP"&amp;"(D6467,IMPORTRANGE(""https://docs.google.com/spreadsheets/d/14Bd19lYaqBhU8_DElYkX7l4wRkHqqCUFNJY4AfY3kHU/edit?usp=sharing  #gid=0"",""фіз особи new!relations_name_uo""),7,FALSE)
,
)
))"),"СТОЛЯРОВ Олег Веніамінович")</f>
        <v>СТОЛЯРОВ Олег Веніамінович</v>
      </c>
      <c r="G6466" s="7" t="s">
        <v>10</v>
      </c>
      <c r="H6466" s="7">
        <v>5286</v>
      </c>
      <c r="I6466" s="8" t="str">
        <f ca="1">IFERROR(__xludf.DUMMYFUNCTION("IF
(
G6467=""фізична особа""
,
VLOOKUP(H6467,IMPORTRANGE(""https://docs.google.com/spreadsheets/d/14Bd19lYaqBhU8_DElYkX7l4wRkHqqCUFNJY4AfY3kHU/edit?usp=sharing  #gid=0"",""фіз особи new!relations_name""),6,FALSE)
,
(IF
(
G6467=""юридична особа""
,
VLOOKUP"&amp;"(H6467,IMPORTRANGE(""https://docs.google.com/spreadsheets/d/14Bd19lYaqBhU8_DElYkX7l4wRkHqqCUFNJY4AfY3kHU/edit?usp=sharing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6" s="7" t="s">
        <v>29</v>
      </c>
    </row>
    <row r="6467" spans="1:10" ht="13.2">
      <c r="A6467" s="7">
        <v>6466</v>
      </c>
      <c r="B6467" s="7">
        <v>1</v>
      </c>
      <c r="C6467" s="7" t="s">
        <v>10</v>
      </c>
      <c r="D6467" s="7">
        <v>5864</v>
      </c>
      <c r="E6467" s="7" t="s">
        <v>28</v>
      </c>
      <c r="F6467" s="8" t="str">
        <f ca="1">IFERROR(__xludf.DUMMYFUNCTION("IF
(
C6468=""фізична особа""
,
VLOOKUP(D6468,IMPORTRANGE(""https://docs.google.com/spreadsheets/d/14Bd19lYaqBhU8_DElYkX7l4wRkHqqCUFNJY4AfY3kHU/edit?usp=sharing  #gid=0"",""фіз особи new!relations_name""),6,FALSE)
,
(IF
(
C6468=""юридична особа""
,
VLOOKUP"&amp;"(D6468,IMPORTRANGE(""https://docs.google.com/spreadsheets/d/14Bd19lYaqBhU8_DElYkX7l4wRkHqqCUFNJY4AfY3kHU/edit?usp=sharing  #gid=0"",""фіз особи new!relations_name_uo""),7,FALSE)
,
)
))"),"ТРЕГУБОВ Віктор Іванович")</f>
        <v>ТРЕГУБОВ Віктор Іванович</v>
      </c>
      <c r="G6467" s="7" t="s">
        <v>10</v>
      </c>
      <c r="H6467" s="7">
        <v>5286</v>
      </c>
      <c r="I6467" s="8" t="str">
        <f ca="1">IFERROR(__xludf.DUMMYFUNCTION("IF
(
G6468=""фізична особа""
,
VLOOKUP(H6468,IMPORTRANGE(""https://docs.google.com/spreadsheets/d/14Bd19lYaqBhU8_DElYkX7l4wRkHqqCUFNJY4AfY3kHU/edit?usp=sharing  #gid=0"",""фіз особи new!relations_name""),6,FALSE)
,
(IF
(
G6468=""юридична особа""
,
VLOOKUP"&amp;"(H6468,IMPORTRANGE(""https://docs.google.com/spreadsheets/d/14Bd19lYaqBhU8_DElYkX7l4wRkHqqCUFNJY4AfY3kHU/edit?usp=sharing  #gid=0"",""фіз особи new!relations_name_uo""),7,FALSE)
,
)
))"),"СМИРНОВ Олександр Володимирович")</f>
        <v>СМИРНОВ Олександр Володимирович</v>
      </c>
      <c r="J6467" s="7" t="s">
        <v>29</v>
      </c>
    </row>
    <row r="6468" spans="1:10" ht="13.2">
      <c r="A6468" s="7">
        <v>6467</v>
      </c>
      <c r="B6468" s="7">
        <v>1</v>
      </c>
      <c r="C6468" s="7" t="s">
        <v>10</v>
      </c>
      <c r="D6468" s="7">
        <v>5865</v>
      </c>
      <c r="E6468" s="7" t="s">
        <v>30</v>
      </c>
      <c r="F6468" s="8" t="str">
        <f ca="1">IFERROR(__xludf.DUMMYFUNCTION("IF
(
C6469=""фізична особа""
,
VLOOKUP(D6469,IMPORTRANGE(""https://docs.google.com/spreadsheets/d/14Bd19lYaqBhU8_DElYkX7l4wRkHqqCUFNJY4AfY3kHU/edit?usp=sharing  #gid=0"",""фіз особи new!relations_name""),6,FALSE)
,
(IF
(
C6469=""юридична особа""
,
VLOOKUP"&amp;"(D6469,IMPORTRANGE(""https://docs.google.com/spreadsheets/d/14Bd19lYaqBhU8_DElYkX7l4wRkHqqCUFNJY4AfY3kHU/edit?usp=sharing  #gid=0"",""фіз особи new!relations_name_uo""),7,FALSE)
,
)
))"),"БАДУЛІН Андрій Геннадійович")</f>
        <v>БАДУЛІН Андрій Геннадійович</v>
      </c>
      <c r="G6468" s="7" t="s">
        <v>10</v>
      </c>
      <c r="H6468" s="7">
        <v>2090</v>
      </c>
      <c r="I6468" s="8" t="str">
        <f ca="1">IFERROR(__xludf.DUMMYFUNCTION("IF
(
G6469=""фізична особа""
,
VLOOKUP(H6469,IMPORTRANGE(""https://docs.google.com/spreadsheets/d/14Bd19lYaqBhU8_DElYkX7l4wRkHqqCUFNJY4AfY3kHU/edit?usp=sharing  #gid=0"",""фіз особи new!relations_name""),6,FALSE)
,
(IF
(
G6469=""юридична особа""
,
VLOOKUP"&amp;"(H6469,IMPORTRANGE(""https://docs.google.com/spreadsheets/d/14Bd19lYaqBhU8_DElYkX7l4wRkHqqCUFNJY4AfY3kHU/edit?usp=sharing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68" s="7" t="s">
        <v>30</v>
      </c>
    </row>
    <row r="6469" spans="1:10" ht="13.2">
      <c r="A6469" s="7">
        <v>6468</v>
      </c>
      <c r="B6469" s="7">
        <v>1</v>
      </c>
      <c r="C6469" s="7" t="s">
        <v>10</v>
      </c>
      <c r="D6469" s="7">
        <v>5865</v>
      </c>
      <c r="E6469" s="7" t="s">
        <v>30</v>
      </c>
      <c r="F6469" s="8" t="str">
        <f ca="1">IFERROR(__xludf.DUMMYFUNCTION("IF
(
C6470=""фізична особа""
,
VLOOKUP(D6470,IMPORTRANGE(""https://docs.google.com/spreadsheets/d/14Bd19lYaqBhU8_DElYkX7l4wRkHqqCUFNJY4AfY3kHU/edit?usp=sharing  #gid=0"",""фіз особи new!relations_name""),6,FALSE)
,
(IF
(
C6470=""юридична особа""
,
VLOOKUP"&amp;"(D6470,IMPORTRANGE(""https://docs.google.com/spreadsheets/d/14Bd19lYaqBhU8_DElYkX7l4wRkHqqCUFNJY4AfY3kHU/edit?usp=sharing  #gid=0"",""фіз особи new!relations_name_uo""),7,FALSE)
,
)
))"),"БАДУЛІН Андрій Геннадійович")</f>
        <v>БАДУЛІН Андрій Геннадійович</v>
      </c>
      <c r="G6469" s="7" t="s">
        <v>10</v>
      </c>
      <c r="H6469" s="7">
        <v>5915</v>
      </c>
      <c r="I6469" s="8" t="str">
        <f ca="1">IFERROR(__xludf.DUMMYFUNCTION("IF
(
G6470=""фізична особа""
,
VLOOKUP(H6470,IMPORTRANGE(""https://docs.google.com/spreadsheets/d/14Bd19lYaqBhU8_DElYkX7l4wRkHqqCUFNJY4AfY3kHU/edit?usp=sharing  #gid=0"",""фіз особи new!relations_name""),6,FALSE)
,
(IF
(
G6470=""юридична особа""
,
VLOOKUP"&amp;"(H6470,IMPORTRANGE(""https://docs.google.com/spreadsheets/d/14Bd19lYaqBhU8_DElYkX7l4wRkHqqCUFNJY4AfY3kHU/edit?usp=sharing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69" s="7" t="s">
        <v>30</v>
      </c>
    </row>
    <row r="6470" spans="1:10" ht="13.2">
      <c r="A6470" s="7">
        <v>6469</v>
      </c>
      <c r="B6470" s="7">
        <v>1</v>
      </c>
      <c r="C6470" s="7" t="s">
        <v>10</v>
      </c>
      <c r="D6470" s="7">
        <v>5865</v>
      </c>
      <c r="E6470" s="7" t="s">
        <v>30</v>
      </c>
      <c r="F6470" s="8" t="str">
        <f ca="1">IFERROR(__xludf.DUMMYFUNCTION("IF
(
C6471=""фізична особа""
,
VLOOKUP(D6471,IMPORTRANGE(""https://docs.google.com/spreadsheets/d/14Bd19lYaqBhU8_DElYkX7l4wRkHqqCUFNJY4AfY3kHU/edit?usp=sharing  #gid=0"",""фіз особи new!relations_name""),6,FALSE)
,
(IF
(
C6471=""юридична особа""
,
VLOOKUP"&amp;"(D6471,IMPORTRANGE(""https://docs.google.com/spreadsheets/d/14Bd19lYaqBhU8_DElYkX7l4wRkHqqCUFNJY4AfY3kHU/edit?usp=sharing  #gid=0"",""фіз особи new!relations_name_uo""),7,FALSE)
,
)
))"),"БАДУЛІН Андрій Геннадійович")</f>
        <v>БАДУЛІН Андрій Геннадійович</v>
      </c>
      <c r="G6470" s="7" t="s">
        <v>10</v>
      </c>
      <c r="H6470" s="7">
        <v>2129</v>
      </c>
      <c r="I6470" s="8" t="str">
        <f ca="1">IFERROR(__xludf.DUMMYFUNCTION("IF
(
G6471=""фізична особа""
,
VLOOKUP(H6471,IMPORTRANGE(""https://docs.google.com/spreadsheets/d/14Bd19lYaqBhU8_DElYkX7l4wRkHqqCUFNJY4AfY3kHU/edit?usp=sharing  #gid=0"",""фіз особи new!relations_name""),6,FALSE)
,
(IF
(
G6471=""юридична особа""
,
VLOOKUP"&amp;"(H6471,IMPORTRANGE(""https://docs.google.com/spreadsheets/d/14Bd19lYaqBhU8_DElYkX7l4wRkHqqCUFNJY4AfY3kHU/edit?usp=sharing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70" s="7" t="s">
        <v>30</v>
      </c>
    </row>
    <row r="6471" spans="1:10" ht="13.2">
      <c r="A6471" s="7">
        <v>6470</v>
      </c>
      <c r="B6471" s="7">
        <v>1</v>
      </c>
      <c r="C6471" s="7" t="s">
        <v>10</v>
      </c>
      <c r="D6471" s="7">
        <v>5866</v>
      </c>
      <c r="E6471" s="7" t="s">
        <v>30</v>
      </c>
      <c r="F6471" s="8" t="str">
        <f ca="1">IFERROR(__xludf.DUMMYFUNCTION("IF
(
C6472=""фізична особа""
,
VLOOKUP(D6472,IMPORTRANGE(""https://docs.google.com/spreadsheets/d/14Bd19lYaqBhU8_DElYkX7l4wRkHqqCUFNJY4AfY3kHU/edit?usp=sharing  #gid=0"",""фіз особи new!relations_name""),6,FALSE)
,
(IF
(
C6472=""юридична особа""
,
VLOOKUP"&amp;"(D6472,IMPORTRANGE(""https://docs.google.com/spreadsheets/d/14Bd19lYaqBhU8_DElYkX7l4wRkHqqCUFNJY4AfY3kHU/edit?usp=sharing  #gid=0"",""фіз особи new!relations_name_uo""),7,FALSE)
,
)
))"),"БАЧЕВСЬКИЙ Антон Сергійович")</f>
        <v>БАЧЕВСЬКИЙ Антон Сергійович</v>
      </c>
      <c r="G6471" s="7" t="s">
        <v>10</v>
      </c>
      <c r="H6471" s="7">
        <v>2090</v>
      </c>
      <c r="I6471" s="8" t="str">
        <f ca="1">IFERROR(__xludf.DUMMYFUNCTION("IF
(
G6472=""фізична особа""
,
VLOOKUP(H6472,IMPORTRANGE(""https://docs.google.com/spreadsheets/d/14Bd19lYaqBhU8_DElYkX7l4wRkHqqCUFNJY4AfY3kHU/edit?usp=sharing  #gid=0"",""фіз особи new!relations_name""),6,FALSE)
,
(IF
(
G6472=""юридична особа""
,
VLOOKUP"&amp;"(H6472,IMPORTRANGE(""https://docs.google.com/spreadsheets/d/14Bd19lYaqBhU8_DElYkX7l4wRkHqqCUFNJY4AfY3kHU/edit?usp=sharing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71" s="7" t="s">
        <v>30</v>
      </c>
    </row>
    <row r="6472" spans="1:10" ht="13.2">
      <c r="A6472" s="7">
        <v>6471</v>
      </c>
      <c r="B6472" s="7">
        <v>1</v>
      </c>
      <c r="C6472" s="7" t="s">
        <v>10</v>
      </c>
      <c r="D6472" s="7">
        <v>5866</v>
      </c>
      <c r="E6472" s="7" t="s">
        <v>30</v>
      </c>
      <c r="F6472" s="8" t="str">
        <f ca="1">IFERROR(__xludf.DUMMYFUNCTION("IF
(
C6473=""фізична особа""
,
VLOOKUP(D6473,IMPORTRANGE(""https://docs.google.com/spreadsheets/d/14Bd19lYaqBhU8_DElYkX7l4wRkHqqCUFNJY4AfY3kHU/edit?usp=sharing  #gid=0"",""фіз особи new!relations_name""),6,FALSE)
,
(IF
(
C6473=""юридична особа""
,
VLOOKUP"&amp;"(D6473,IMPORTRANGE(""https://docs.google.com/spreadsheets/d/14Bd19lYaqBhU8_DElYkX7l4wRkHqqCUFNJY4AfY3kHU/edit?usp=sharing  #gid=0"",""фіз особи new!relations_name_uo""),7,FALSE)
,
)
))"),"БАЧЕВСЬКИЙ Антон Сергійович")</f>
        <v>БАЧЕВСЬКИЙ Антон Сергійович</v>
      </c>
      <c r="G6472" s="7" t="s">
        <v>10</v>
      </c>
      <c r="H6472" s="7">
        <v>5915</v>
      </c>
      <c r="I6472" s="8" t="str">
        <f ca="1">IFERROR(__xludf.DUMMYFUNCTION("IF
(
G6473=""фізична особа""
,
VLOOKUP(H6473,IMPORTRANGE(""https://docs.google.com/spreadsheets/d/14Bd19lYaqBhU8_DElYkX7l4wRkHqqCUFNJY4AfY3kHU/edit?usp=sharing  #gid=0"",""фіз особи new!relations_name""),6,FALSE)
,
(IF
(
G6473=""юридична особа""
,
VLOOKUP"&amp;"(H6473,IMPORTRANGE(""https://docs.google.com/spreadsheets/d/14Bd19lYaqBhU8_DElYkX7l4wRkHqqCUFNJY4AfY3kHU/edit?usp=sharing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72" s="7" t="s">
        <v>30</v>
      </c>
    </row>
    <row r="6473" spans="1:10" ht="13.2">
      <c r="A6473" s="7">
        <v>6472</v>
      </c>
      <c r="B6473" s="7">
        <v>1</v>
      </c>
      <c r="C6473" s="7" t="s">
        <v>10</v>
      </c>
      <c r="D6473" s="7">
        <v>5866</v>
      </c>
      <c r="E6473" s="7" t="s">
        <v>30</v>
      </c>
      <c r="F6473" s="8" t="str">
        <f ca="1">IFERROR(__xludf.DUMMYFUNCTION("IF
(
C6474=""фізична особа""
,
VLOOKUP(D6474,IMPORTRANGE(""https://docs.google.com/spreadsheets/d/14Bd19lYaqBhU8_DElYkX7l4wRkHqqCUFNJY4AfY3kHU/edit?usp=sharing  #gid=0"",""фіз особи new!relations_name""),6,FALSE)
,
(IF
(
C6474=""юридична особа""
,
VLOOKUP"&amp;"(D6474,IMPORTRANGE(""https://docs.google.com/spreadsheets/d/14Bd19lYaqBhU8_DElYkX7l4wRkHqqCUFNJY4AfY3kHU/edit?usp=sharing  #gid=0"",""фіз особи new!relations_name_uo""),7,FALSE)
,
)
))"),"БАЧЕВСЬКИЙ Антон Сергійович")</f>
        <v>БАЧЕВСЬКИЙ Антон Сергійович</v>
      </c>
      <c r="G6473" s="7" t="s">
        <v>10</v>
      </c>
      <c r="H6473" s="7">
        <v>2129</v>
      </c>
      <c r="I6473" s="8" t="str">
        <f ca="1">IFERROR(__xludf.DUMMYFUNCTION("IF
(
G6474=""фізична особа""
,
VLOOKUP(H6474,IMPORTRANGE(""https://docs.google.com/spreadsheets/d/14Bd19lYaqBhU8_DElYkX7l4wRkHqqCUFNJY4AfY3kHU/edit?usp=sharing  #gid=0"",""фіз особи new!relations_name""),6,FALSE)
,
(IF
(
G6474=""юридична особа""
,
VLOOKUP"&amp;"(H6474,IMPORTRANGE(""https://docs.google.com/spreadsheets/d/14Bd19lYaqBhU8_DElYkX7l4wRkHqqCUFNJY4AfY3kHU/edit?usp=sharing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73" s="7" t="s">
        <v>30</v>
      </c>
    </row>
    <row r="6474" spans="1:10" ht="13.2">
      <c r="A6474" s="7">
        <v>6473</v>
      </c>
      <c r="B6474" s="7">
        <v>1</v>
      </c>
      <c r="C6474" s="7" t="s">
        <v>10</v>
      </c>
      <c r="D6474" s="7">
        <v>5867</v>
      </c>
      <c r="E6474" s="7" t="s">
        <v>30</v>
      </c>
      <c r="F6474" s="8" t="str">
        <f ca="1">IFERROR(__xludf.DUMMYFUNCTION("IF
(
C6475=""фізична особа""
,
VLOOKUP(D6475,IMPORTRANGE(""https://docs.google.com/spreadsheets/d/14Bd19lYaqBhU8_DElYkX7l4wRkHqqCUFNJY4AfY3kHU/edit?usp=sharing  #gid=0"",""фіз особи new!relations_name""),6,FALSE)
,
(IF
(
C6475=""юридична особа""
,
VLOOKUP"&amp;"(D6475,IMPORTRANGE(""https://docs.google.com/spreadsheets/d/14Bd19lYaqBhU8_DElYkX7l4wRkHqqCUFNJY4AfY3kHU/edit?usp=sharing  #gid=0"",""фіз особи new!relations_name_uo""),7,FALSE)
,
)
))"),"ВОРОНОВА Юлія Вікторівна")</f>
        <v>ВОРОНОВА Юлія Вікторівна</v>
      </c>
      <c r="G6474" s="7" t="s">
        <v>10</v>
      </c>
      <c r="H6474" s="7">
        <v>2090</v>
      </c>
      <c r="I6474" s="8" t="str">
        <f ca="1">IFERROR(__xludf.DUMMYFUNCTION("IF
(
G6475=""фізична особа""
,
VLOOKUP(H6475,IMPORTRANGE(""https://docs.google.com/spreadsheets/d/14Bd19lYaqBhU8_DElYkX7l4wRkHqqCUFNJY4AfY3kHU/edit?usp=sharing  #gid=0"",""фіз особи new!relations_name""),6,FALSE)
,
(IF
(
G6475=""юридична особа""
,
VLOOKUP"&amp;"(H6475,IMPORTRANGE(""https://docs.google.com/spreadsheets/d/14Bd19lYaqBhU8_DElYkX7l4wRkHqqCUFNJY4AfY3kHU/edit?usp=sharing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74" s="7" t="s">
        <v>30</v>
      </c>
    </row>
    <row r="6475" spans="1:10" ht="13.2">
      <c r="A6475" s="7">
        <v>6474</v>
      </c>
      <c r="B6475" s="7">
        <v>1</v>
      </c>
      <c r="C6475" s="7" t="s">
        <v>10</v>
      </c>
      <c r="D6475" s="7">
        <v>5867</v>
      </c>
      <c r="E6475" s="7" t="s">
        <v>30</v>
      </c>
      <c r="F6475" s="8" t="str">
        <f ca="1">IFERROR(__xludf.DUMMYFUNCTION("IF
(
C6476=""фізична особа""
,
VLOOKUP(D6476,IMPORTRANGE(""https://docs.google.com/spreadsheets/d/14Bd19lYaqBhU8_DElYkX7l4wRkHqqCUFNJY4AfY3kHU/edit?usp=sharing  #gid=0"",""фіз особи new!relations_name""),6,FALSE)
,
(IF
(
C6476=""юридична особа""
,
VLOOKUP"&amp;"(D6476,IMPORTRANGE(""https://docs.google.com/spreadsheets/d/14Bd19lYaqBhU8_DElYkX7l4wRkHqqCUFNJY4AfY3kHU/edit?usp=sharing  #gid=0"",""фіз особи new!relations_name_uo""),7,FALSE)
,
)
))"),"ВОРОНОВА Юлія Вікторівна")</f>
        <v>ВОРОНОВА Юлія Вікторівна</v>
      </c>
      <c r="G6475" s="7" t="s">
        <v>10</v>
      </c>
      <c r="H6475" s="7">
        <v>5915</v>
      </c>
      <c r="I6475" s="8" t="str">
        <f ca="1">IFERROR(__xludf.DUMMYFUNCTION("IF
(
G6476=""фізична особа""
,
VLOOKUP(H6476,IMPORTRANGE(""https://docs.google.com/spreadsheets/d/14Bd19lYaqBhU8_DElYkX7l4wRkHqqCUFNJY4AfY3kHU/edit?usp=sharing  #gid=0"",""фіз особи new!relations_name""),6,FALSE)
,
(IF
(
G6476=""юридична особа""
,
VLOOKUP"&amp;"(H6476,IMPORTRANGE(""https://docs.google.com/spreadsheets/d/14Bd19lYaqBhU8_DElYkX7l4wRkHqqCUFNJY4AfY3kHU/edit?usp=sharing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75" s="7" t="s">
        <v>30</v>
      </c>
    </row>
    <row r="6476" spans="1:10" ht="13.2">
      <c r="A6476" s="7">
        <v>6475</v>
      </c>
      <c r="B6476" s="7">
        <v>1</v>
      </c>
      <c r="C6476" s="7" t="s">
        <v>10</v>
      </c>
      <c r="D6476" s="7">
        <v>5867</v>
      </c>
      <c r="E6476" s="7" t="s">
        <v>30</v>
      </c>
      <c r="F6476" s="8" t="str">
        <f ca="1">IFERROR(__xludf.DUMMYFUNCTION("IF
(
C6477=""фізична особа""
,
VLOOKUP(D6477,IMPORTRANGE(""https://docs.google.com/spreadsheets/d/14Bd19lYaqBhU8_DElYkX7l4wRkHqqCUFNJY4AfY3kHU/edit?usp=sharing  #gid=0"",""фіз особи new!relations_name""),6,FALSE)
,
(IF
(
C6477=""юридична особа""
,
VLOOKUP"&amp;"(D6477,IMPORTRANGE(""https://docs.google.com/spreadsheets/d/14Bd19lYaqBhU8_DElYkX7l4wRkHqqCUFNJY4AfY3kHU/edit?usp=sharing  #gid=0"",""фіз особи new!relations_name_uo""),7,FALSE)
,
)
))"),"ВОРОНОВА Юлія Вікторівна")</f>
        <v>ВОРОНОВА Юлія Вікторівна</v>
      </c>
      <c r="G6476" s="7" t="s">
        <v>10</v>
      </c>
      <c r="H6476" s="7">
        <v>2129</v>
      </c>
      <c r="I6476" s="8" t="str">
        <f ca="1">IFERROR(__xludf.DUMMYFUNCTION("IF
(
G6477=""фізична особа""
,
VLOOKUP(H6477,IMPORTRANGE(""https://docs.google.com/spreadsheets/d/14Bd19lYaqBhU8_DElYkX7l4wRkHqqCUFNJY4AfY3kHU/edit?usp=sharing  #gid=0"",""фіз особи new!relations_name""),6,FALSE)
,
(IF
(
G6477=""юридична особа""
,
VLOOKUP"&amp;"(H6477,IMPORTRANGE(""https://docs.google.com/spreadsheets/d/14Bd19lYaqBhU8_DElYkX7l4wRkHqqCUFNJY4AfY3kHU/edit?usp=sharing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76" s="7" t="s">
        <v>30</v>
      </c>
    </row>
    <row r="6477" spans="1:10" ht="13.2">
      <c r="A6477" s="7">
        <v>6476</v>
      </c>
      <c r="B6477" s="7">
        <v>1</v>
      </c>
      <c r="C6477" s="7" t="s">
        <v>10</v>
      </c>
      <c r="D6477" s="7">
        <v>5868</v>
      </c>
      <c r="E6477" s="7" t="s">
        <v>30</v>
      </c>
      <c r="F6477" s="8" t="str">
        <f ca="1">IFERROR(__xludf.DUMMYFUNCTION("IF
(
C6478=""фізична особа""
,
VLOOKUP(D6478,IMPORTRANGE(""https://docs.google.com/spreadsheets/d/14Bd19lYaqBhU8_DElYkX7l4wRkHqqCUFNJY4AfY3kHU/edit?usp=sharing  #gid=0"",""фіз особи new!relations_name""),6,FALSE)
,
(IF
(
C6478=""юридична особа""
,
VLOOKUP"&amp;"(D6478,IMPORTRANGE(""https://docs.google.com/spreadsheets/d/14Bd19lYaqBhU8_DElYkX7l4wRkHqqCUFNJY4AfY3kHU/edit?usp=sharing  #gid=0"",""фіз особи new!relations_name_uo""),7,FALSE)
,
)
))"),"КОТЕЛЬНИКОВ Юрій Володимирович")</f>
        <v>КОТЕЛЬНИКОВ Юрій Володимирович</v>
      </c>
      <c r="G6477" s="7" t="s">
        <v>10</v>
      </c>
      <c r="H6477" s="7">
        <v>2090</v>
      </c>
      <c r="I6477" s="8" t="str">
        <f ca="1">IFERROR(__xludf.DUMMYFUNCTION("IF
(
G6478=""фізична особа""
,
VLOOKUP(H6478,IMPORTRANGE(""https://docs.google.com/spreadsheets/d/14Bd19lYaqBhU8_DElYkX7l4wRkHqqCUFNJY4AfY3kHU/edit?usp=sharing  #gid=0"",""фіз особи new!relations_name""),6,FALSE)
,
(IF
(
G6478=""юридична особа""
,
VLOOKUP"&amp;"(H6478,IMPORTRANGE(""https://docs.google.com/spreadsheets/d/14Bd19lYaqBhU8_DElYkX7l4wRkHqqCUFNJY4AfY3kHU/edit?usp=sharing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77" s="7" t="s">
        <v>30</v>
      </c>
    </row>
    <row r="6478" spans="1:10" ht="13.2">
      <c r="A6478" s="7">
        <v>6477</v>
      </c>
      <c r="B6478" s="7">
        <v>1</v>
      </c>
      <c r="C6478" s="7" t="s">
        <v>10</v>
      </c>
      <c r="D6478" s="7">
        <v>5868</v>
      </c>
      <c r="E6478" s="7" t="s">
        <v>30</v>
      </c>
      <c r="F6478" s="8" t="str">
        <f ca="1">IFERROR(__xludf.DUMMYFUNCTION("IF
(
C6479=""фізична особа""
,
VLOOKUP(D6479,IMPORTRANGE(""https://docs.google.com/spreadsheets/d/14Bd19lYaqBhU8_DElYkX7l4wRkHqqCUFNJY4AfY3kHU/edit?usp=sharing  #gid=0"",""фіз особи new!relations_name""),6,FALSE)
,
(IF
(
C6479=""юридична особа""
,
VLOOKUP"&amp;"(D6479,IMPORTRANGE(""https://docs.google.com/spreadsheets/d/14Bd19lYaqBhU8_DElYkX7l4wRkHqqCUFNJY4AfY3kHU/edit?usp=sharing  #gid=0"",""фіз особи new!relations_name_uo""),7,FALSE)
,
)
))"),"КОТЕЛЬНИКОВ Юрій Володимирович")</f>
        <v>КОТЕЛЬНИКОВ Юрій Володимирович</v>
      </c>
      <c r="G6478" s="7" t="s">
        <v>10</v>
      </c>
      <c r="H6478" s="7">
        <v>5915</v>
      </c>
      <c r="I6478" s="8" t="str">
        <f ca="1">IFERROR(__xludf.DUMMYFUNCTION("IF
(
G6479=""фізична особа""
,
VLOOKUP(H6479,IMPORTRANGE(""https://docs.google.com/spreadsheets/d/14Bd19lYaqBhU8_DElYkX7l4wRkHqqCUFNJY4AfY3kHU/edit?usp=sharing  #gid=0"",""фіз особи new!relations_name""),6,FALSE)
,
(IF
(
G6479=""юридична особа""
,
VLOOKUP"&amp;"(H6479,IMPORTRANGE(""https://docs.google.com/spreadsheets/d/14Bd19lYaqBhU8_DElYkX7l4wRkHqqCUFNJY4AfY3kHU/edit?usp=sharing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78" s="7" t="s">
        <v>30</v>
      </c>
    </row>
    <row r="6479" spans="1:10" ht="13.2">
      <c r="A6479" s="7">
        <v>6478</v>
      </c>
      <c r="B6479" s="7">
        <v>1</v>
      </c>
      <c r="C6479" s="7" t="s">
        <v>10</v>
      </c>
      <c r="D6479" s="7">
        <v>5868</v>
      </c>
      <c r="E6479" s="7" t="s">
        <v>30</v>
      </c>
      <c r="F6479" s="8" t="str">
        <f ca="1">IFERROR(__xludf.DUMMYFUNCTION("IF
(
C6480=""фізична особа""
,
VLOOKUP(D6480,IMPORTRANGE(""https://docs.google.com/spreadsheets/d/14Bd19lYaqBhU8_DElYkX7l4wRkHqqCUFNJY4AfY3kHU/edit?usp=sharing  #gid=0"",""фіз особи new!relations_name""),6,FALSE)
,
(IF
(
C6480=""юридична особа""
,
VLOOKUP"&amp;"(D6480,IMPORTRANGE(""https://docs.google.com/spreadsheets/d/14Bd19lYaqBhU8_DElYkX7l4wRkHqqCUFNJY4AfY3kHU/edit?usp=sharing  #gid=0"",""фіз особи new!relations_name_uo""),7,FALSE)
,
)
))"),"КОТЕЛЬНИКОВ Юрій Володимирович")</f>
        <v>КОТЕЛЬНИКОВ Юрій Володимирович</v>
      </c>
      <c r="G6479" s="7" t="s">
        <v>10</v>
      </c>
      <c r="H6479" s="7">
        <v>2129</v>
      </c>
      <c r="I6479" s="8" t="str">
        <f ca="1">IFERROR(__xludf.DUMMYFUNCTION("IF
(
G6480=""фізична особа""
,
VLOOKUP(H6480,IMPORTRANGE(""https://docs.google.com/spreadsheets/d/14Bd19lYaqBhU8_DElYkX7l4wRkHqqCUFNJY4AfY3kHU/edit?usp=sharing  #gid=0"",""фіз особи new!relations_name""),6,FALSE)
,
(IF
(
G6480=""юридична особа""
,
VLOOKUP"&amp;"(H6480,IMPORTRANGE(""https://docs.google.com/spreadsheets/d/14Bd19lYaqBhU8_DElYkX7l4wRkHqqCUFNJY4AfY3kHU/edit?usp=sharing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79" s="7" t="s">
        <v>30</v>
      </c>
    </row>
    <row r="6480" spans="1:10" ht="13.2">
      <c r="A6480" s="7">
        <v>6479</v>
      </c>
      <c r="B6480" s="7">
        <v>1</v>
      </c>
      <c r="C6480" s="7" t="s">
        <v>10</v>
      </c>
      <c r="D6480" s="7">
        <v>5869</v>
      </c>
      <c r="E6480" s="7" t="s">
        <v>30</v>
      </c>
      <c r="F6480" s="8" t="str">
        <f ca="1">IFERROR(__xludf.DUMMYFUNCTION("IF
(
C6481=""фізична особа""
,
VLOOKUP(D6481,IMPORTRANGE(""https://docs.google.com/spreadsheets/d/14Bd19lYaqBhU8_DElYkX7l4wRkHqqCUFNJY4AfY3kHU/edit?usp=sharing  #gid=0"",""фіз особи new!relations_name""),6,FALSE)
,
(IF
(
C6481=""юридична особа""
,
VLOOKUP"&amp;"(D6481,IMPORTRANGE(""https://docs.google.com/spreadsheets/d/14Bd19lYaqBhU8_DElYkX7l4wRkHqqCUFNJY4AfY3kHU/edit?usp=sharing  #gid=0"",""фіз особи new!relations_name_uo""),7,FALSE)
,
)
))"),"ТИЩЕНКО Сергій Олегович")</f>
        <v>ТИЩЕНКО Сергій Олегович</v>
      </c>
      <c r="G6480" s="7" t="s">
        <v>10</v>
      </c>
      <c r="H6480" s="7">
        <v>2090</v>
      </c>
      <c r="I6480" s="8" t="str">
        <f ca="1">IFERROR(__xludf.DUMMYFUNCTION("IF
(
G6481=""фізична особа""
,
VLOOKUP(H6481,IMPORTRANGE(""https://docs.google.com/spreadsheets/d/14Bd19lYaqBhU8_DElYkX7l4wRkHqqCUFNJY4AfY3kHU/edit?usp=sharing  #gid=0"",""фіз особи new!relations_name""),6,FALSE)
,
(IF
(
G6481=""юридична особа""
,
VLOOKUP"&amp;"(H6481,IMPORTRANGE(""https://docs.google.com/spreadsheets/d/14Bd19lYaqBhU8_DElYkX7l4wRkHqqCUFNJY4AfY3kHU/edit?usp=sharing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80" s="7" t="s">
        <v>30</v>
      </c>
    </row>
    <row r="6481" spans="1:10" ht="13.2">
      <c r="A6481" s="7">
        <v>6480</v>
      </c>
      <c r="B6481" s="7">
        <v>1</v>
      </c>
      <c r="C6481" s="7" t="s">
        <v>10</v>
      </c>
      <c r="D6481" s="7">
        <v>5869</v>
      </c>
      <c r="E6481" s="7" t="s">
        <v>30</v>
      </c>
      <c r="F6481" s="8" t="str">
        <f ca="1">IFERROR(__xludf.DUMMYFUNCTION("IF
(
C6482=""фізична особа""
,
VLOOKUP(D6482,IMPORTRANGE(""https://docs.google.com/spreadsheets/d/14Bd19lYaqBhU8_DElYkX7l4wRkHqqCUFNJY4AfY3kHU/edit?usp=sharing  #gid=0"",""фіз особи new!relations_name""),6,FALSE)
,
(IF
(
C6482=""юридична особа""
,
VLOOKUP"&amp;"(D6482,IMPORTRANGE(""https://docs.google.com/spreadsheets/d/14Bd19lYaqBhU8_DElYkX7l4wRkHqqCUFNJY4AfY3kHU/edit?usp=sharing  #gid=0"",""фіз особи new!relations_name_uo""),7,FALSE)
,
)
))"),"ТИЩЕНКО Сергій Олегович")</f>
        <v>ТИЩЕНКО Сергій Олегович</v>
      </c>
      <c r="G6481" s="7" t="s">
        <v>10</v>
      </c>
      <c r="H6481" s="7">
        <v>5915</v>
      </c>
      <c r="I6481" s="8" t="str">
        <f ca="1">IFERROR(__xludf.DUMMYFUNCTION("IF
(
G6482=""фізична особа""
,
VLOOKUP(H6482,IMPORTRANGE(""https://docs.google.com/spreadsheets/d/14Bd19lYaqBhU8_DElYkX7l4wRkHqqCUFNJY4AfY3kHU/edit?usp=sharing  #gid=0"",""фіз особи new!relations_name""),6,FALSE)
,
(IF
(
G6482=""юридична особа""
,
VLOOKUP"&amp;"(H6482,IMPORTRANGE(""https://docs.google.com/spreadsheets/d/14Bd19lYaqBhU8_DElYkX7l4wRkHqqCUFNJY4AfY3kHU/edit?usp=sharing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81" s="7" t="s">
        <v>30</v>
      </c>
    </row>
    <row r="6482" spans="1:10" ht="13.2">
      <c r="A6482" s="7">
        <v>6481</v>
      </c>
      <c r="B6482" s="7">
        <v>1</v>
      </c>
      <c r="C6482" s="7" t="s">
        <v>10</v>
      </c>
      <c r="D6482" s="7">
        <v>5869</v>
      </c>
      <c r="E6482" s="7" t="s">
        <v>30</v>
      </c>
      <c r="F6482" s="8" t="str">
        <f ca="1">IFERROR(__xludf.DUMMYFUNCTION("IF
(
C6483=""фізична особа""
,
VLOOKUP(D6483,IMPORTRANGE(""https://docs.google.com/spreadsheets/d/14Bd19lYaqBhU8_DElYkX7l4wRkHqqCUFNJY4AfY3kHU/edit?usp=sharing  #gid=0"",""фіз особи new!relations_name""),6,FALSE)
,
(IF
(
C6483=""юридична особа""
,
VLOOKUP"&amp;"(D6483,IMPORTRANGE(""https://docs.google.com/spreadsheets/d/14Bd19lYaqBhU8_DElYkX7l4wRkHqqCUFNJY4AfY3kHU/edit?usp=sharing  #gid=0"",""фіз особи new!relations_name_uo""),7,FALSE)
,
)
))"),"ТИЩЕНКО Сергій Олегович")</f>
        <v>ТИЩЕНКО Сергій Олегович</v>
      </c>
      <c r="G6482" s="7" t="s">
        <v>10</v>
      </c>
      <c r="H6482" s="7">
        <v>2129</v>
      </c>
      <c r="I6482" s="8" t="str">
        <f ca="1">IFERROR(__xludf.DUMMYFUNCTION("IF
(
G6483=""фізична особа""
,
VLOOKUP(H6483,IMPORTRANGE(""https://docs.google.com/spreadsheets/d/14Bd19lYaqBhU8_DElYkX7l4wRkHqqCUFNJY4AfY3kHU/edit?usp=sharing  #gid=0"",""фіз особи new!relations_name""),6,FALSE)
,
(IF
(
G6483=""юридична особа""
,
VLOOKUP"&amp;"(H6483,IMPORTRANGE(""https://docs.google.com/spreadsheets/d/14Bd19lYaqBhU8_DElYkX7l4wRkHqqCUFNJY4AfY3kHU/edit?usp=sharing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82" s="7" t="s">
        <v>30</v>
      </c>
    </row>
    <row r="6483" spans="1:10" ht="13.2">
      <c r="A6483" s="7">
        <v>6482</v>
      </c>
      <c r="B6483" s="7">
        <v>1</v>
      </c>
      <c r="C6483" s="7" t="s">
        <v>10</v>
      </c>
      <c r="D6483" s="7">
        <v>5870</v>
      </c>
      <c r="E6483" s="7" t="s">
        <v>30</v>
      </c>
      <c r="F6483" s="8" t="str">
        <f ca="1">IFERROR(__xludf.DUMMYFUNCTION("IF
(
C6484=""фізична особа""
,
VLOOKUP(D6484,IMPORTRANGE(""https://docs.google.com/spreadsheets/d/14Bd19lYaqBhU8_DElYkX7l4wRkHqqCUFNJY4AfY3kHU/edit?usp=sharing  #gid=0"",""фіз особи new!relations_name""),6,FALSE)
,
(IF
(
C6484=""юридична особа""
,
VLOOKUP"&amp;"(D6484,IMPORTRANGE(""https://docs.google.com/spreadsheets/d/14Bd19lYaqBhU8_DElYkX7l4wRkHqqCUFNJY4AfY3kHU/edit?usp=sharing  #gid=0"",""фіз особи new!relations_name_uo""),7,FALSE)
,
)
))"),"УСОВ Ігор Ігорович")</f>
        <v>УСОВ Ігор Ігорович</v>
      </c>
      <c r="G6483" s="7" t="s">
        <v>10</v>
      </c>
      <c r="H6483" s="7">
        <v>2090</v>
      </c>
      <c r="I6483" s="8" t="str">
        <f ca="1">IFERROR(__xludf.DUMMYFUNCTION("IF
(
G6484=""фізична особа""
,
VLOOKUP(H6484,IMPORTRANGE(""https://docs.google.com/spreadsheets/d/14Bd19lYaqBhU8_DElYkX7l4wRkHqqCUFNJY4AfY3kHU/edit?usp=sharing  #gid=0"",""фіз особи new!relations_name""),6,FALSE)
,
(IF
(
G6484=""юридична особа""
,
VLOOKUP"&amp;"(H6484,IMPORTRANGE(""https://docs.google.com/spreadsheets/d/14Bd19lYaqBhU8_DElYkX7l4wRkHqqCUFNJY4AfY3kHU/edit?usp=sharing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83" s="7" t="s">
        <v>30</v>
      </c>
    </row>
    <row r="6484" spans="1:10" ht="13.2">
      <c r="A6484" s="7">
        <v>6483</v>
      </c>
      <c r="B6484" s="7">
        <v>1</v>
      </c>
      <c r="C6484" s="7" t="s">
        <v>10</v>
      </c>
      <c r="D6484" s="7">
        <v>5870</v>
      </c>
      <c r="E6484" s="7" t="s">
        <v>30</v>
      </c>
      <c r="F6484" s="8" t="str">
        <f ca="1">IFERROR(__xludf.DUMMYFUNCTION("IF
(
C6485=""фізична особа""
,
VLOOKUP(D6485,IMPORTRANGE(""https://docs.google.com/spreadsheets/d/14Bd19lYaqBhU8_DElYkX7l4wRkHqqCUFNJY4AfY3kHU/edit?usp=sharing  #gid=0"",""фіз особи new!relations_name""),6,FALSE)
,
(IF
(
C6485=""юридична особа""
,
VLOOKUP"&amp;"(D6485,IMPORTRANGE(""https://docs.google.com/spreadsheets/d/14Bd19lYaqBhU8_DElYkX7l4wRkHqqCUFNJY4AfY3kHU/edit?usp=sharing  #gid=0"",""фіз особи new!relations_name_uo""),7,FALSE)
,
)
))"),"УСОВ Ігор Ігорович")</f>
        <v>УСОВ Ігор Ігорович</v>
      </c>
      <c r="G6484" s="7" t="s">
        <v>10</v>
      </c>
      <c r="H6484" s="7">
        <v>5915</v>
      </c>
      <c r="I6484" s="8" t="str">
        <f ca="1">IFERROR(__xludf.DUMMYFUNCTION("IF
(
G6485=""фізична особа""
,
VLOOKUP(H6485,IMPORTRANGE(""https://docs.google.com/spreadsheets/d/14Bd19lYaqBhU8_DElYkX7l4wRkHqqCUFNJY4AfY3kHU/edit?usp=sharing  #gid=0"",""фіз особи new!relations_name""),6,FALSE)
,
(IF
(
G6485=""юридична особа""
,
VLOOKUP"&amp;"(H6485,IMPORTRANGE(""https://docs.google.com/spreadsheets/d/14Bd19lYaqBhU8_DElYkX7l4wRkHqqCUFNJY4AfY3kHU/edit?usp=sharing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84" s="7" t="s">
        <v>30</v>
      </c>
    </row>
    <row r="6485" spans="1:10" ht="13.2">
      <c r="A6485" s="7">
        <v>6484</v>
      </c>
      <c r="B6485" s="7">
        <v>1</v>
      </c>
      <c r="C6485" s="7" t="s">
        <v>10</v>
      </c>
      <c r="D6485" s="7">
        <v>5870</v>
      </c>
      <c r="E6485" s="7" t="s">
        <v>30</v>
      </c>
      <c r="F6485" s="8" t="str">
        <f ca="1">IFERROR(__xludf.DUMMYFUNCTION("IF
(
C6486=""фізична особа""
,
VLOOKUP(D6486,IMPORTRANGE(""https://docs.google.com/spreadsheets/d/14Bd19lYaqBhU8_DElYkX7l4wRkHqqCUFNJY4AfY3kHU/edit?usp=sharing  #gid=0"",""фіз особи new!relations_name""),6,FALSE)
,
(IF
(
C6486=""юридична особа""
,
VLOOKUP"&amp;"(D6486,IMPORTRANGE(""https://docs.google.com/spreadsheets/d/14Bd19lYaqBhU8_DElYkX7l4wRkHqqCUFNJY4AfY3kHU/edit?usp=sharing  #gid=0"",""фіз особи new!relations_name_uo""),7,FALSE)
,
)
))"),"УСОВ Ігор Ігорович")</f>
        <v>УСОВ Ігор Ігорович</v>
      </c>
      <c r="G6485" s="7" t="s">
        <v>10</v>
      </c>
      <c r="H6485" s="7">
        <v>2129</v>
      </c>
      <c r="I6485" s="8" t="str">
        <f ca="1">IFERROR(__xludf.DUMMYFUNCTION("IF
(
G6486=""фізична особа""
,
VLOOKUP(H6486,IMPORTRANGE(""https://docs.google.com/spreadsheets/d/14Bd19lYaqBhU8_DElYkX7l4wRkHqqCUFNJY4AfY3kHU/edit?usp=sharing  #gid=0"",""фіз особи new!relations_name""),6,FALSE)
,
(IF
(
G6486=""юридична особа""
,
VLOOKUP"&amp;"(H6486,IMPORTRANGE(""https://docs.google.com/spreadsheets/d/14Bd19lYaqBhU8_DElYkX7l4wRkHqqCUFNJY4AfY3kHU/edit?usp=sharing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85" s="7" t="s">
        <v>30</v>
      </c>
    </row>
    <row r="6486" spans="1:10" ht="13.2">
      <c r="A6486" s="7">
        <v>6485</v>
      </c>
      <c r="B6486" s="7">
        <v>1</v>
      </c>
      <c r="C6486" s="7" t="s">
        <v>10</v>
      </c>
      <c r="D6486" s="7">
        <v>5871</v>
      </c>
      <c r="E6486" s="7" t="s">
        <v>30</v>
      </c>
      <c r="F6486" s="8" t="str">
        <f ca="1">IFERROR(__xludf.DUMMYFUNCTION("IF
(
C6487=""фізична особа""
,
VLOOKUP(D6487,IMPORTRANGE(""https://docs.google.com/spreadsheets/d/14Bd19lYaqBhU8_DElYkX7l4wRkHqqCUFNJY4AfY3kHU/edit?usp=sharing  #gid=0"",""фіз особи new!relations_name""),6,FALSE)
,
(IF
(
C6487=""юридична особа""
,
VLOOKUP"&amp;"(D6487,IMPORTRANGE(""https://docs.google.com/spreadsheets/d/14Bd19lYaqBhU8_DElYkX7l4wRkHqqCUFNJY4AfY3kHU/edit?usp=sharing  #gid=0"",""фіз особи new!relations_name_uo""),7,FALSE)
,
)
))"),"ЛИТВИНОВ Олександр Валерійович")</f>
        <v>ЛИТВИНОВ Олександр Валерійович</v>
      </c>
      <c r="G6486" s="7" t="s">
        <v>10</v>
      </c>
      <c r="H6486" s="7">
        <v>2090</v>
      </c>
      <c r="I6486" s="8" t="str">
        <f ca="1">IFERROR(__xludf.DUMMYFUNCTION("IF
(
G6487=""фізична особа""
,
VLOOKUP(H6487,IMPORTRANGE(""https://docs.google.com/spreadsheets/d/14Bd19lYaqBhU8_DElYkX7l4wRkHqqCUFNJY4AfY3kHU/edit?usp=sharing  #gid=0"",""фіз особи new!relations_name""),6,FALSE)
,
(IF
(
G6487=""юридична особа""
,
VLOOKUP"&amp;"(H6487,IMPORTRANGE(""https://docs.google.com/spreadsheets/d/14Bd19lYaqBhU8_DElYkX7l4wRkHqqCUFNJY4AfY3kHU/edit?usp=sharing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86" s="7" t="s">
        <v>30</v>
      </c>
    </row>
    <row r="6487" spans="1:10" ht="13.2">
      <c r="A6487" s="7">
        <v>6486</v>
      </c>
      <c r="B6487" s="7">
        <v>1</v>
      </c>
      <c r="C6487" s="7" t="s">
        <v>10</v>
      </c>
      <c r="D6487" s="7">
        <v>5871</v>
      </c>
      <c r="E6487" s="7" t="s">
        <v>30</v>
      </c>
      <c r="F6487" s="8" t="str">
        <f ca="1">IFERROR(__xludf.DUMMYFUNCTION("IF
(
C6488=""фізична особа""
,
VLOOKUP(D6488,IMPORTRANGE(""https://docs.google.com/spreadsheets/d/14Bd19lYaqBhU8_DElYkX7l4wRkHqqCUFNJY4AfY3kHU/edit?usp=sharing  #gid=0"",""фіз особи new!relations_name""),6,FALSE)
,
(IF
(
C6488=""юридична особа""
,
VLOOKUP"&amp;"(D6488,IMPORTRANGE(""https://docs.google.com/spreadsheets/d/14Bd19lYaqBhU8_DElYkX7l4wRkHqqCUFNJY4AfY3kHU/edit?usp=sharing  #gid=0"",""фіз особи new!relations_name_uo""),7,FALSE)
,
)
))"),"ЛИТВИНОВ Олександр Валерійович")</f>
        <v>ЛИТВИНОВ Олександр Валерійович</v>
      </c>
      <c r="G6487" s="7" t="s">
        <v>10</v>
      </c>
      <c r="H6487" s="7">
        <v>5915</v>
      </c>
      <c r="I6487" s="8" t="str">
        <f ca="1">IFERROR(__xludf.DUMMYFUNCTION("IF
(
G6488=""фізична особа""
,
VLOOKUP(H6488,IMPORTRANGE(""https://docs.google.com/spreadsheets/d/14Bd19lYaqBhU8_DElYkX7l4wRkHqqCUFNJY4AfY3kHU/edit?usp=sharing  #gid=0"",""фіз особи new!relations_name""),6,FALSE)
,
(IF
(
G6488=""юридична особа""
,
VLOOKUP"&amp;"(H6488,IMPORTRANGE(""https://docs.google.com/spreadsheets/d/14Bd19lYaqBhU8_DElYkX7l4wRkHqqCUFNJY4AfY3kHU/edit?usp=sharing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87" s="7" t="s">
        <v>30</v>
      </c>
    </row>
    <row r="6488" spans="1:10" ht="13.2">
      <c r="A6488" s="7">
        <v>6487</v>
      </c>
      <c r="B6488" s="7">
        <v>1</v>
      </c>
      <c r="C6488" s="7" t="s">
        <v>10</v>
      </c>
      <c r="D6488" s="7">
        <v>5871</v>
      </c>
      <c r="E6488" s="7" t="s">
        <v>30</v>
      </c>
      <c r="F6488" s="8" t="str">
        <f ca="1">IFERROR(__xludf.DUMMYFUNCTION("IF
(
C6489=""фізична особа""
,
VLOOKUP(D6489,IMPORTRANGE(""https://docs.google.com/spreadsheets/d/14Bd19lYaqBhU8_DElYkX7l4wRkHqqCUFNJY4AfY3kHU/edit?usp=sharing  #gid=0"",""фіз особи new!relations_name""),6,FALSE)
,
(IF
(
C6489=""юридична особа""
,
VLOOKUP"&amp;"(D6489,IMPORTRANGE(""https://docs.google.com/spreadsheets/d/14Bd19lYaqBhU8_DElYkX7l4wRkHqqCUFNJY4AfY3kHU/edit?usp=sharing  #gid=0"",""фіз особи new!relations_name_uo""),7,FALSE)
,
)
))"),"ЛИТВИНОВ Олександр Валерійович")</f>
        <v>ЛИТВИНОВ Олександр Валерійович</v>
      </c>
      <c r="G6488" s="7" t="s">
        <v>10</v>
      </c>
      <c r="H6488" s="7">
        <v>2129</v>
      </c>
      <c r="I6488" s="8" t="str">
        <f ca="1">IFERROR(__xludf.DUMMYFUNCTION("IF
(
G6489=""фізична особа""
,
VLOOKUP(H6489,IMPORTRANGE(""https://docs.google.com/spreadsheets/d/14Bd19lYaqBhU8_DElYkX7l4wRkHqqCUFNJY4AfY3kHU/edit?usp=sharing  #gid=0"",""фіз особи new!relations_name""),6,FALSE)
,
(IF
(
G6489=""юридична особа""
,
VLOOKUP"&amp;"(H6489,IMPORTRANGE(""https://docs.google.com/spreadsheets/d/14Bd19lYaqBhU8_DElYkX7l4wRkHqqCUFNJY4AfY3kHU/edit?usp=sharing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88" s="7" t="s">
        <v>30</v>
      </c>
    </row>
    <row r="6489" spans="1:10" ht="13.2">
      <c r="A6489" s="7">
        <v>6488</v>
      </c>
      <c r="B6489" s="7">
        <v>1</v>
      </c>
      <c r="C6489" s="7" t="s">
        <v>10</v>
      </c>
      <c r="D6489" s="7">
        <v>5872</v>
      </c>
      <c r="E6489" s="7" t="s">
        <v>30</v>
      </c>
      <c r="F6489" s="8" t="str">
        <f ca="1">IFERROR(__xludf.DUMMYFUNCTION("IF
(
C6490=""фізична особа""
,
VLOOKUP(D6490,IMPORTRANGE(""https://docs.google.com/spreadsheets/d/14Bd19lYaqBhU8_DElYkX7l4wRkHqqCUFNJY4AfY3kHU/edit?usp=sharing  #gid=0"",""фіз особи new!relations_name""),6,FALSE)
,
(IF
(
C6490=""юридична особа""
,
VLOOKUP"&amp;"(D6490,IMPORTRANGE(""https://docs.google.com/spreadsheets/d/14Bd19lYaqBhU8_DElYkX7l4wRkHqqCUFNJY4AfY3kHU/edit?usp=sharing  #gid=0"",""фіз особи new!relations_name_uo""),7,FALSE)
,
)
))"),"РЯБОВ Андрій Борисович")</f>
        <v>РЯБОВ Андрій Борисович</v>
      </c>
      <c r="G6489" s="7" t="s">
        <v>10</v>
      </c>
      <c r="H6489" s="7">
        <v>2090</v>
      </c>
      <c r="I6489" s="8" t="str">
        <f ca="1">IFERROR(__xludf.DUMMYFUNCTION("IF
(
G6490=""фізична особа""
,
VLOOKUP(H6490,IMPORTRANGE(""https://docs.google.com/spreadsheets/d/14Bd19lYaqBhU8_DElYkX7l4wRkHqqCUFNJY4AfY3kHU/edit?usp=sharing  #gid=0"",""фіз особи new!relations_name""),6,FALSE)
,
(IF
(
G6490=""юридична особа""
,
VLOOKUP"&amp;"(H6490,IMPORTRANGE(""https://docs.google.com/spreadsheets/d/14Bd19lYaqBhU8_DElYkX7l4wRkHqqCUFNJY4AfY3kHU/edit?usp=sharing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89" s="7" t="s">
        <v>30</v>
      </c>
    </row>
    <row r="6490" spans="1:10" ht="13.2">
      <c r="A6490" s="7">
        <v>6489</v>
      </c>
      <c r="B6490" s="7">
        <v>1</v>
      </c>
      <c r="C6490" s="7" t="s">
        <v>10</v>
      </c>
      <c r="D6490" s="7">
        <v>5872</v>
      </c>
      <c r="E6490" s="7" t="s">
        <v>30</v>
      </c>
      <c r="F6490" s="8" t="str">
        <f ca="1">IFERROR(__xludf.DUMMYFUNCTION("IF
(
C6491=""фізична особа""
,
VLOOKUP(D6491,IMPORTRANGE(""https://docs.google.com/spreadsheets/d/14Bd19lYaqBhU8_DElYkX7l4wRkHqqCUFNJY4AfY3kHU/edit?usp=sharing  #gid=0"",""фіз особи new!relations_name""),6,FALSE)
,
(IF
(
C6491=""юридична особа""
,
VLOOKUP"&amp;"(D6491,IMPORTRANGE(""https://docs.google.com/spreadsheets/d/14Bd19lYaqBhU8_DElYkX7l4wRkHqqCUFNJY4AfY3kHU/edit?usp=sharing  #gid=0"",""фіз особи new!relations_name_uo""),7,FALSE)
,
)
))"),"РЯБОВ Андрій Борисович")</f>
        <v>РЯБОВ Андрій Борисович</v>
      </c>
      <c r="G6490" s="7" t="s">
        <v>10</v>
      </c>
      <c r="H6490" s="7">
        <v>5915</v>
      </c>
      <c r="I6490" s="8" t="str">
        <f ca="1">IFERROR(__xludf.DUMMYFUNCTION("IF
(
G6491=""фізична особа""
,
VLOOKUP(H6491,IMPORTRANGE(""https://docs.google.com/spreadsheets/d/14Bd19lYaqBhU8_DElYkX7l4wRkHqqCUFNJY4AfY3kHU/edit?usp=sharing  #gid=0"",""фіз особи new!relations_name""),6,FALSE)
,
(IF
(
G6491=""юридична особа""
,
VLOOKUP"&amp;"(H6491,IMPORTRANGE(""https://docs.google.com/spreadsheets/d/14Bd19lYaqBhU8_DElYkX7l4wRkHqqCUFNJY4AfY3kHU/edit?usp=sharing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90" s="7" t="s">
        <v>30</v>
      </c>
    </row>
    <row r="6491" spans="1:10" ht="13.2">
      <c r="A6491" s="7">
        <v>6490</v>
      </c>
      <c r="B6491" s="7">
        <v>1</v>
      </c>
      <c r="C6491" s="7" t="s">
        <v>10</v>
      </c>
      <c r="D6491" s="7">
        <v>5872</v>
      </c>
      <c r="E6491" s="7" t="s">
        <v>30</v>
      </c>
      <c r="F6491" s="8" t="str">
        <f ca="1">IFERROR(__xludf.DUMMYFUNCTION("IF
(
C6492=""фізична особа""
,
VLOOKUP(D6492,IMPORTRANGE(""https://docs.google.com/spreadsheets/d/14Bd19lYaqBhU8_DElYkX7l4wRkHqqCUFNJY4AfY3kHU/edit?usp=sharing  #gid=0"",""фіз особи new!relations_name""),6,FALSE)
,
(IF
(
C6492=""юридична особа""
,
VLOOKUP"&amp;"(D6492,IMPORTRANGE(""https://docs.google.com/spreadsheets/d/14Bd19lYaqBhU8_DElYkX7l4wRkHqqCUFNJY4AfY3kHU/edit?usp=sharing  #gid=0"",""фіз особи new!relations_name_uo""),7,FALSE)
,
)
))"),"РЯБОВ Андрій Борисович")</f>
        <v>РЯБОВ Андрій Борисович</v>
      </c>
      <c r="G6491" s="7" t="s">
        <v>10</v>
      </c>
      <c r="H6491" s="7">
        <v>2129</v>
      </c>
      <c r="I6491" s="8" t="str">
        <f ca="1">IFERROR(__xludf.DUMMYFUNCTION("IF
(
G6492=""фізична особа""
,
VLOOKUP(H6492,IMPORTRANGE(""https://docs.google.com/spreadsheets/d/14Bd19lYaqBhU8_DElYkX7l4wRkHqqCUFNJY4AfY3kHU/edit?usp=sharing  #gid=0"",""фіз особи new!relations_name""),6,FALSE)
,
(IF
(
G6492=""юридична особа""
,
VLOOKUP"&amp;"(H6492,IMPORTRANGE(""https://docs.google.com/spreadsheets/d/14Bd19lYaqBhU8_DElYkX7l4wRkHqqCUFNJY4AfY3kHU/edit?usp=sharing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91" s="7" t="s">
        <v>30</v>
      </c>
    </row>
    <row r="6492" spans="1:10" ht="13.2">
      <c r="A6492" s="7">
        <v>6491</v>
      </c>
      <c r="B6492" s="7">
        <v>1</v>
      </c>
      <c r="C6492" s="7" t="s">
        <v>10</v>
      </c>
      <c r="D6492" s="7">
        <v>5873</v>
      </c>
      <c r="E6492" s="7" t="s">
        <v>30</v>
      </c>
      <c r="F6492" s="8" t="str">
        <f ca="1">IFERROR(__xludf.DUMMYFUNCTION("IF
(
C6493=""фізична особа""
,
VLOOKUP(D6493,IMPORTRANGE(""https://docs.google.com/spreadsheets/d/14Bd19lYaqBhU8_DElYkX7l4wRkHqqCUFNJY4AfY3kHU/edit?usp=sharing  #gid=0"",""фіз особи new!relations_name""),6,FALSE)
,
(IF
(
C6493=""юридична особа""
,
VLOOKUP"&amp;"(D6493,IMPORTRANGE(""https://docs.google.com/spreadsheets/d/14Bd19lYaqBhU8_DElYkX7l4wRkHqqCUFNJY4AfY3kHU/edit?usp=sharing  #gid=0"",""фіз особи new!relations_name_uo""),7,FALSE)
,
)
))"),"ПАВЛОВ Олександр Анатолійович")</f>
        <v>ПАВЛОВ Олександр Анатолійович</v>
      </c>
      <c r="G6492" s="7" t="s">
        <v>10</v>
      </c>
      <c r="H6492" s="7">
        <v>2090</v>
      </c>
      <c r="I6492" s="8" t="str">
        <f ca="1">IFERROR(__xludf.DUMMYFUNCTION("IF
(
G6493=""фізична особа""
,
VLOOKUP(H6493,IMPORTRANGE(""https://docs.google.com/spreadsheets/d/14Bd19lYaqBhU8_DElYkX7l4wRkHqqCUFNJY4AfY3kHU/edit?usp=sharing  #gid=0"",""фіз особи new!relations_name""),6,FALSE)
,
(IF
(
G6493=""юридична особа""
,
VLOOKUP"&amp;"(H6493,IMPORTRANGE(""https://docs.google.com/spreadsheets/d/14Bd19lYaqBhU8_DElYkX7l4wRkHqqCUFNJY4AfY3kHU/edit?usp=sharing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92" s="7" t="s">
        <v>30</v>
      </c>
    </row>
    <row r="6493" spans="1:10" ht="13.2">
      <c r="A6493" s="7">
        <v>6492</v>
      </c>
      <c r="B6493" s="7">
        <v>1</v>
      </c>
      <c r="C6493" s="7" t="s">
        <v>10</v>
      </c>
      <c r="D6493" s="7">
        <v>5873</v>
      </c>
      <c r="E6493" s="7" t="s">
        <v>30</v>
      </c>
      <c r="F6493" s="8" t="str">
        <f ca="1">IFERROR(__xludf.DUMMYFUNCTION("IF
(
C6494=""фізична особа""
,
VLOOKUP(D6494,IMPORTRANGE(""https://docs.google.com/spreadsheets/d/14Bd19lYaqBhU8_DElYkX7l4wRkHqqCUFNJY4AfY3kHU/edit?usp=sharing  #gid=0"",""фіз особи new!relations_name""),6,FALSE)
,
(IF
(
C6494=""юридична особа""
,
VLOOKUP"&amp;"(D6494,IMPORTRANGE(""https://docs.google.com/spreadsheets/d/14Bd19lYaqBhU8_DElYkX7l4wRkHqqCUFNJY4AfY3kHU/edit?usp=sharing  #gid=0"",""фіз особи new!relations_name_uo""),7,FALSE)
,
)
))"),"ПАВЛОВ Олександр Анатолійович")</f>
        <v>ПАВЛОВ Олександр Анатолійович</v>
      </c>
      <c r="G6493" s="7" t="s">
        <v>10</v>
      </c>
      <c r="H6493" s="7">
        <v>5915</v>
      </c>
      <c r="I6493" s="8" t="str">
        <f ca="1">IFERROR(__xludf.DUMMYFUNCTION("IF
(
G6494=""фізична особа""
,
VLOOKUP(H6494,IMPORTRANGE(""https://docs.google.com/spreadsheets/d/14Bd19lYaqBhU8_DElYkX7l4wRkHqqCUFNJY4AfY3kHU/edit?usp=sharing  #gid=0"",""фіз особи new!relations_name""),6,FALSE)
,
(IF
(
G6494=""юридична особа""
,
VLOOKUP"&amp;"(H6494,IMPORTRANGE(""https://docs.google.com/spreadsheets/d/14Bd19lYaqBhU8_DElYkX7l4wRkHqqCUFNJY4AfY3kHU/edit?usp=sharing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93" s="7" t="s">
        <v>30</v>
      </c>
    </row>
    <row r="6494" spans="1:10" ht="13.2">
      <c r="A6494" s="7">
        <v>6493</v>
      </c>
      <c r="B6494" s="7">
        <v>1</v>
      </c>
      <c r="C6494" s="7" t="s">
        <v>10</v>
      </c>
      <c r="D6494" s="7">
        <v>5873</v>
      </c>
      <c r="E6494" s="7" t="s">
        <v>30</v>
      </c>
      <c r="F6494" s="8" t="str">
        <f ca="1">IFERROR(__xludf.DUMMYFUNCTION("IF
(
C6495=""фізична особа""
,
VLOOKUP(D6495,IMPORTRANGE(""https://docs.google.com/spreadsheets/d/14Bd19lYaqBhU8_DElYkX7l4wRkHqqCUFNJY4AfY3kHU/edit?usp=sharing  #gid=0"",""фіз особи new!relations_name""),6,FALSE)
,
(IF
(
C6495=""юридична особа""
,
VLOOKUP"&amp;"(D6495,IMPORTRANGE(""https://docs.google.com/spreadsheets/d/14Bd19lYaqBhU8_DElYkX7l4wRkHqqCUFNJY4AfY3kHU/edit?usp=sharing  #gid=0"",""фіз особи new!relations_name_uo""),7,FALSE)
,
)
))"),"ПАВЛОВ Олександр Анатолійович")</f>
        <v>ПАВЛОВ Олександр Анатолійович</v>
      </c>
      <c r="G6494" s="7" t="s">
        <v>10</v>
      </c>
      <c r="H6494" s="7">
        <v>2129</v>
      </c>
      <c r="I6494" s="8" t="str">
        <f ca="1">IFERROR(__xludf.DUMMYFUNCTION("IF
(
G6495=""фізична особа""
,
VLOOKUP(H6495,IMPORTRANGE(""https://docs.google.com/spreadsheets/d/14Bd19lYaqBhU8_DElYkX7l4wRkHqqCUFNJY4AfY3kHU/edit?usp=sharing  #gid=0"",""фіз особи new!relations_name""),6,FALSE)
,
(IF
(
G6495=""юридична особа""
,
VLOOKUP"&amp;"(H6495,IMPORTRANGE(""https://docs.google.com/spreadsheets/d/14Bd19lYaqBhU8_DElYkX7l4wRkHqqCUFNJY4AfY3kHU/edit?usp=sharing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94" s="7" t="s">
        <v>30</v>
      </c>
    </row>
    <row r="6495" spans="1:10" ht="13.2">
      <c r="A6495" s="7">
        <v>6494</v>
      </c>
      <c r="B6495" s="7">
        <v>1</v>
      </c>
      <c r="C6495" s="7" t="s">
        <v>10</v>
      </c>
      <c r="D6495" s="7">
        <v>5874</v>
      </c>
      <c r="E6495" s="7" t="s">
        <v>30</v>
      </c>
      <c r="F6495" s="8" t="str">
        <f ca="1">IFERROR(__xludf.DUMMYFUNCTION("IF
(
C6496=""фізична особа""
,
VLOOKUP(D6496,IMPORTRANGE(""https://docs.google.com/spreadsheets/d/14Bd19lYaqBhU8_DElYkX7l4wRkHqqCUFNJY4AfY3kHU/edit?usp=sharing  #gid=0"",""фіз особи new!relations_name""),6,FALSE)
,
(IF
(
C6496=""юридична особа""
,
VLOOKUP"&amp;"(D6496,IMPORTRANGE(""https://docs.google.com/spreadsheets/d/14Bd19lYaqBhU8_DElYkX7l4wRkHqqCUFNJY4AfY3kHU/edit?usp=sharing  #gid=0"",""фіз особи new!relations_name_uo""),7,FALSE)
,
)
))"),"СУСЛИКОВ Артем Віталійович")</f>
        <v>СУСЛИКОВ Артем Віталійович</v>
      </c>
      <c r="G6495" s="7" t="s">
        <v>10</v>
      </c>
      <c r="H6495" s="7">
        <v>2090</v>
      </c>
      <c r="I6495" s="8" t="str">
        <f ca="1">IFERROR(__xludf.DUMMYFUNCTION("IF
(
G6496=""фізична особа""
,
VLOOKUP(H6496,IMPORTRANGE(""https://docs.google.com/spreadsheets/d/14Bd19lYaqBhU8_DElYkX7l4wRkHqqCUFNJY4AfY3kHU/edit?usp=sharing  #gid=0"",""фіз особи new!relations_name""),6,FALSE)
,
(IF
(
G6496=""юридична особа""
,
VLOOKUP"&amp;"(H6496,IMPORTRANGE(""https://docs.google.com/spreadsheets/d/14Bd19lYaqBhU8_DElYkX7l4wRkHqqCUFNJY4AfY3kHU/edit?usp=sharing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95" s="7" t="s">
        <v>30</v>
      </c>
    </row>
    <row r="6496" spans="1:10" ht="13.2">
      <c r="A6496" s="7">
        <v>6495</v>
      </c>
      <c r="B6496" s="7">
        <v>1</v>
      </c>
      <c r="C6496" s="7" t="s">
        <v>10</v>
      </c>
      <c r="D6496" s="7">
        <v>5874</v>
      </c>
      <c r="E6496" s="7" t="s">
        <v>30</v>
      </c>
      <c r="F6496" s="8" t="str">
        <f ca="1">IFERROR(__xludf.DUMMYFUNCTION("IF
(
C6497=""фізична особа""
,
VLOOKUP(D6497,IMPORTRANGE(""https://docs.google.com/spreadsheets/d/14Bd19lYaqBhU8_DElYkX7l4wRkHqqCUFNJY4AfY3kHU/edit?usp=sharing  #gid=0"",""фіз особи new!relations_name""),6,FALSE)
,
(IF
(
C6497=""юридична особа""
,
VLOOKUP"&amp;"(D6497,IMPORTRANGE(""https://docs.google.com/spreadsheets/d/14Bd19lYaqBhU8_DElYkX7l4wRkHqqCUFNJY4AfY3kHU/edit?usp=sharing  #gid=0"",""фіз особи new!relations_name_uo""),7,FALSE)
,
)
))"),"СУСЛИКОВ Артем Віталійович")</f>
        <v>СУСЛИКОВ Артем Віталійович</v>
      </c>
      <c r="G6496" s="7" t="s">
        <v>10</v>
      </c>
      <c r="H6496" s="7">
        <v>5915</v>
      </c>
      <c r="I6496" s="8" t="str">
        <f ca="1">IFERROR(__xludf.DUMMYFUNCTION("IF
(
G6497=""фізична особа""
,
VLOOKUP(H6497,IMPORTRANGE(""https://docs.google.com/spreadsheets/d/14Bd19lYaqBhU8_DElYkX7l4wRkHqqCUFNJY4AfY3kHU/edit?usp=sharing  #gid=0"",""фіз особи new!relations_name""),6,FALSE)
,
(IF
(
G6497=""юридична особа""
,
VLOOKUP"&amp;"(H6497,IMPORTRANGE(""https://docs.google.com/spreadsheets/d/14Bd19lYaqBhU8_DElYkX7l4wRkHqqCUFNJY4AfY3kHU/edit?usp=sharing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96" s="7" t="s">
        <v>30</v>
      </c>
    </row>
    <row r="6497" spans="1:10" ht="13.2">
      <c r="A6497" s="7">
        <v>6496</v>
      </c>
      <c r="B6497" s="7">
        <v>1</v>
      </c>
      <c r="C6497" s="7" t="s">
        <v>10</v>
      </c>
      <c r="D6497" s="7">
        <v>5874</v>
      </c>
      <c r="E6497" s="7" t="s">
        <v>30</v>
      </c>
      <c r="F6497" s="8" t="str">
        <f ca="1">IFERROR(__xludf.DUMMYFUNCTION("IF
(
C6498=""фізична особа""
,
VLOOKUP(D6498,IMPORTRANGE(""https://docs.google.com/spreadsheets/d/14Bd19lYaqBhU8_DElYkX7l4wRkHqqCUFNJY4AfY3kHU/edit?usp=sharing  #gid=0"",""фіз особи new!relations_name""),6,FALSE)
,
(IF
(
C6498=""юридична особа""
,
VLOOKUP"&amp;"(D6498,IMPORTRANGE(""https://docs.google.com/spreadsheets/d/14Bd19lYaqBhU8_DElYkX7l4wRkHqqCUFNJY4AfY3kHU/edit?usp=sharing  #gid=0"",""фіз особи new!relations_name_uo""),7,FALSE)
,
)
))"),"СУСЛИКОВ Артем Віталійович")</f>
        <v>СУСЛИКОВ Артем Віталійович</v>
      </c>
      <c r="G6497" s="7" t="s">
        <v>10</v>
      </c>
      <c r="H6497" s="7">
        <v>2129</v>
      </c>
      <c r="I6497" s="8" t="str">
        <f ca="1">IFERROR(__xludf.DUMMYFUNCTION("IF
(
G6498=""фізична особа""
,
VLOOKUP(H6498,IMPORTRANGE(""https://docs.google.com/spreadsheets/d/14Bd19lYaqBhU8_DElYkX7l4wRkHqqCUFNJY4AfY3kHU/edit?usp=sharing  #gid=0"",""фіз особи new!relations_name""),6,FALSE)
,
(IF
(
G6498=""юридична особа""
,
VLOOKUP"&amp;"(H6498,IMPORTRANGE(""https://docs.google.com/spreadsheets/d/14Bd19lYaqBhU8_DElYkX7l4wRkHqqCUFNJY4AfY3kHU/edit?usp=sharing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497" s="7" t="s">
        <v>30</v>
      </c>
    </row>
    <row r="6498" spans="1:10" ht="13.2">
      <c r="A6498" s="7">
        <v>6497</v>
      </c>
      <c r="B6498" s="7">
        <v>1</v>
      </c>
      <c r="C6498" s="7" t="s">
        <v>10</v>
      </c>
      <c r="D6498" s="7">
        <v>5875</v>
      </c>
      <c r="E6498" s="7" t="s">
        <v>30</v>
      </c>
      <c r="F6498" s="8" t="str">
        <f ca="1">IFERROR(__xludf.DUMMYFUNCTION("IF
(
C6499=""фізична особа""
,
VLOOKUP(D6499,IMPORTRANGE(""https://docs.google.com/spreadsheets/d/14Bd19lYaqBhU8_DElYkX7l4wRkHqqCUFNJY4AfY3kHU/edit?usp=sharing  #gid=0"",""фіз особи new!relations_name""),6,FALSE)
,
(IF
(
C6499=""юридична особа""
,
VLOOKUP"&amp;"(D6499,IMPORTRANGE(""https://docs.google.com/spreadsheets/d/14Bd19lYaqBhU8_DElYkX7l4wRkHqqCUFNJY4AfY3kHU/edit?usp=sharing  #gid=0"",""фіз особи new!relations_name_uo""),7,FALSE)
,
)
))"),"МАКСЮТОВ Тимур Ріфович")</f>
        <v>МАКСЮТОВ Тимур Ріфович</v>
      </c>
      <c r="G6498" s="7" t="s">
        <v>10</v>
      </c>
      <c r="H6498" s="7">
        <v>2090</v>
      </c>
      <c r="I6498" s="8" t="str">
        <f ca="1">IFERROR(__xludf.DUMMYFUNCTION("IF
(
G6499=""фізична особа""
,
VLOOKUP(H6499,IMPORTRANGE(""https://docs.google.com/spreadsheets/d/14Bd19lYaqBhU8_DElYkX7l4wRkHqqCUFNJY4AfY3kHU/edit?usp=sharing  #gid=0"",""фіз особи new!relations_name""),6,FALSE)
,
(IF
(
G6499=""юридична особа""
,
VLOOKUP"&amp;"(H6499,IMPORTRANGE(""https://docs.google.com/spreadsheets/d/14Bd19lYaqBhU8_DElYkX7l4wRkHqqCUFNJY4AfY3kHU/edit?usp=sharing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498" s="7" t="s">
        <v>30</v>
      </c>
    </row>
    <row r="6499" spans="1:10" ht="13.2">
      <c r="A6499" s="7">
        <v>6498</v>
      </c>
      <c r="B6499" s="7">
        <v>1</v>
      </c>
      <c r="C6499" s="7" t="s">
        <v>10</v>
      </c>
      <c r="D6499" s="7">
        <v>5875</v>
      </c>
      <c r="E6499" s="7" t="s">
        <v>30</v>
      </c>
      <c r="F6499" s="8" t="str">
        <f ca="1">IFERROR(__xludf.DUMMYFUNCTION("IF
(
C6500=""фізична особа""
,
VLOOKUP(D6500,IMPORTRANGE(""https://docs.google.com/spreadsheets/d/14Bd19lYaqBhU8_DElYkX7l4wRkHqqCUFNJY4AfY3kHU/edit?usp=sharing  #gid=0"",""фіз особи new!relations_name""),6,FALSE)
,
(IF
(
C6500=""юридична особа""
,
VLOOKUP"&amp;"(D6500,IMPORTRANGE(""https://docs.google.com/spreadsheets/d/14Bd19lYaqBhU8_DElYkX7l4wRkHqqCUFNJY4AfY3kHU/edit?usp=sharing  #gid=0"",""фіз особи new!relations_name_uo""),7,FALSE)
,
)
))"),"МАКСЮТОВ Тимур Ріфович")</f>
        <v>МАКСЮТОВ Тимур Ріфович</v>
      </c>
      <c r="G6499" s="7" t="s">
        <v>10</v>
      </c>
      <c r="H6499" s="7">
        <v>5915</v>
      </c>
      <c r="I6499" s="8" t="str">
        <f ca="1">IFERROR(__xludf.DUMMYFUNCTION("IF
(
G6500=""фізична особа""
,
VLOOKUP(H6500,IMPORTRANGE(""https://docs.google.com/spreadsheets/d/14Bd19lYaqBhU8_DElYkX7l4wRkHqqCUFNJY4AfY3kHU/edit?usp=sharing  #gid=0"",""фіз особи new!relations_name""),6,FALSE)
,
(IF
(
G6500=""юридична особа""
,
VLOOKUP"&amp;"(H6500,IMPORTRANGE(""https://docs.google.com/spreadsheets/d/14Bd19lYaqBhU8_DElYkX7l4wRkHqqCUFNJY4AfY3kHU/edit?usp=sharing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499" s="7" t="s">
        <v>30</v>
      </c>
    </row>
    <row r="6500" spans="1:10" ht="13.2">
      <c r="A6500" s="7">
        <v>6499</v>
      </c>
      <c r="B6500" s="7">
        <v>1</v>
      </c>
      <c r="C6500" s="7" t="s">
        <v>10</v>
      </c>
      <c r="D6500" s="7">
        <v>5875</v>
      </c>
      <c r="E6500" s="7" t="s">
        <v>30</v>
      </c>
      <c r="F6500" s="8" t="str">
        <f ca="1">IFERROR(__xludf.DUMMYFUNCTION("IF
(
C6501=""фізична особа""
,
VLOOKUP(D6501,IMPORTRANGE(""https://docs.google.com/spreadsheets/d/14Bd19lYaqBhU8_DElYkX7l4wRkHqqCUFNJY4AfY3kHU/edit?usp=sharing  #gid=0"",""фіз особи new!relations_name""),6,FALSE)
,
(IF
(
C6501=""юридична особа""
,
VLOOKUP"&amp;"(D6501,IMPORTRANGE(""https://docs.google.com/spreadsheets/d/14Bd19lYaqBhU8_DElYkX7l4wRkHqqCUFNJY4AfY3kHU/edit?usp=sharing  #gid=0"",""фіз особи new!relations_name_uo""),7,FALSE)
,
)
))"),"МАКСЮТОВ Тимур Ріфович")</f>
        <v>МАКСЮТОВ Тимур Ріфович</v>
      </c>
      <c r="G6500" s="7" t="s">
        <v>10</v>
      </c>
      <c r="H6500" s="7">
        <v>2129</v>
      </c>
      <c r="I6500" s="8" t="str">
        <f ca="1">IFERROR(__xludf.DUMMYFUNCTION("IF
(
G6501=""фізична особа""
,
VLOOKUP(H6501,IMPORTRANGE(""https://docs.google.com/spreadsheets/d/14Bd19lYaqBhU8_DElYkX7l4wRkHqqCUFNJY4AfY3kHU/edit?usp=sharing  #gid=0"",""фіз особи new!relations_name""),6,FALSE)
,
(IF
(
G6501=""юридична особа""
,
VLOOKUP"&amp;"(H6501,IMPORTRANGE(""https://docs.google.com/spreadsheets/d/14Bd19lYaqBhU8_DElYkX7l4wRkHqqCUFNJY4AfY3kHU/edit?usp=sharing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00" s="7" t="s">
        <v>30</v>
      </c>
    </row>
    <row r="6501" spans="1:10" ht="13.2">
      <c r="A6501" s="7">
        <v>6500</v>
      </c>
      <c r="B6501" s="7">
        <v>1</v>
      </c>
      <c r="C6501" s="7" t="s">
        <v>10</v>
      </c>
      <c r="D6501" s="7">
        <v>5876</v>
      </c>
      <c r="E6501" s="7" t="s">
        <v>30</v>
      </c>
      <c r="F6501" s="8" t="str">
        <f ca="1">IFERROR(__xludf.DUMMYFUNCTION("IF
(
C6502=""фізична особа""
,
VLOOKUP(D6502,IMPORTRANGE(""https://docs.google.com/spreadsheets/d/14Bd19lYaqBhU8_DElYkX7l4wRkHqqCUFNJY4AfY3kHU/edit?usp=sharing  #gid=0"",""фіз особи new!relations_name""),6,FALSE)
,
(IF
(
C6502=""юридична особа""
,
VLOOKUP"&amp;"(D6502,IMPORTRANGE(""https://docs.google.com/spreadsheets/d/14Bd19lYaqBhU8_DElYkX7l4wRkHqqCUFNJY4AfY3kHU/edit?usp=sharing  #gid=0"",""фіз особи new!relations_name_uo""),7,FALSE)
,
)
))"),"БЄЛЯКОВ Павло Володимирович")</f>
        <v>БЄЛЯКОВ Павло Володимирович</v>
      </c>
      <c r="G6501" s="7" t="s">
        <v>10</v>
      </c>
      <c r="H6501" s="7">
        <v>2090</v>
      </c>
      <c r="I6501" s="8" t="str">
        <f ca="1">IFERROR(__xludf.DUMMYFUNCTION("IF
(
G6502=""фізична особа""
,
VLOOKUP(H6502,IMPORTRANGE(""https://docs.google.com/spreadsheets/d/14Bd19lYaqBhU8_DElYkX7l4wRkHqqCUFNJY4AfY3kHU/edit?usp=sharing  #gid=0"",""фіз особи new!relations_name""),6,FALSE)
,
(IF
(
G6502=""юридична особа""
,
VLOOKUP"&amp;"(H6502,IMPORTRANGE(""https://docs.google.com/spreadsheets/d/14Bd19lYaqBhU8_DElYkX7l4wRkHqqCUFNJY4AfY3kHU/edit?usp=sharing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01" s="7" t="s">
        <v>30</v>
      </c>
    </row>
    <row r="6502" spans="1:10" ht="13.2">
      <c r="A6502" s="7">
        <v>6501</v>
      </c>
      <c r="B6502" s="7">
        <v>1</v>
      </c>
      <c r="C6502" s="7" t="s">
        <v>10</v>
      </c>
      <c r="D6502" s="7">
        <v>5876</v>
      </c>
      <c r="E6502" s="7" t="s">
        <v>30</v>
      </c>
      <c r="F6502" s="8" t="str">
        <f ca="1">IFERROR(__xludf.DUMMYFUNCTION("IF
(
C6503=""фізична особа""
,
VLOOKUP(D6503,IMPORTRANGE(""https://docs.google.com/spreadsheets/d/14Bd19lYaqBhU8_DElYkX7l4wRkHqqCUFNJY4AfY3kHU/edit?usp=sharing  #gid=0"",""фіз особи new!relations_name""),6,FALSE)
,
(IF
(
C6503=""юридична особа""
,
VLOOKUP"&amp;"(D6503,IMPORTRANGE(""https://docs.google.com/spreadsheets/d/14Bd19lYaqBhU8_DElYkX7l4wRkHqqCUFNJY4AfY3kHU/edit?usp=sharing  #gid=0"",""фіз особи new!relations_name_uo""),7,FALSE)
,
)
))"),"БЄЛЯКОВ Павло Володимирович")</f>
        <v>БЄЛЯКОВ Павло Володимирович</v>
      </c>
      <c r="G6502" s="7" t="s">
        <v>10</v>
      </c>
      <c r="H6502" s="7">
        <v>5915</v>
      </c>
      <c r="I6502" s="8" t="str">
        <f ca="1">IFERROR(__xludf.DUMMYFUNCTION("IF
(
G6503=""фізична особа""
,
VLOOKUP(H6503,IMPORTRANGE(""https://docs.google.com/spreadsheets/d/14Bd19lYaqBhU8_DElYkX7l4wRkHqqCUFNJY4AfY3kHU/edit?usp=sharing  #gid=0"",""фіз особи new!relations_name""),6,FALSE)
,
(IF
(
G6503=""юридична особа""
,
VLOOKUP"&amp;"(H6503,IMPORTRANGE(""https://docs.google.com/spreadsheets/d/14Bd19lYaqBhU8_DElYkX7l4wRkHqqCUFNJY4AfY3kHU/edit?usp=sharing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02" s="7" t="s">
        <v>30</v>
      </c>
    </row>
    <row r="6503" spans="1:10" ht="13.2">
      <c r="A6503" s="7">
        <v>6502</v>
      </c>
      <c r="B6503" s="7">
        <v>1</v>
      </c>
      <c r="C6503" s="7" t="s">
        <v>10</v>
      </c>
      <c r="D6503" s="7">
        <v>5876</v>
      </c>
      <c r="E6503" s="7" t="s">
        <v>30</v>
      </c>
      <c r="F6503" s="8" t="str">
        <f ca="1">IFERROR(__xludf.DUMMYFUNCTION("IF
(
C6504=""фізична особа""
,
VLOOKUP(D6504,IMPORTRANGE(""https://docs.google.com/spreadsheets/d/14Bd19lYaqBhU8_DElYkX7l4wRkHqqCUFNJY4AfY3kHU/edit?usp=sharing  #gid=0"",""фіз особи new!relations_name""),6,FALSE)
,
(IF
(
C6504=""юридична особа""
,
VLOOKUP"&amp;"(D6504,IMPORTRANGE(""https://docs.google.com/spreadsheets/d/14Bd19lYaqBhU8_DElYkX7l4wRkHqqCUFNJY4AfY3kHU/edit?usp=sharing  #gid=0"",""фіз особи new!relations_name_uo""),7,FALSE)
,
)
))"),"БЄЛЯКОВ Павло Володимирович")</f>
        <v>БЄЛЯКОВ Павло Володимирович</v>
      </c>
      <c r="G6503" s="7" t="s">
        <v>10</v>
      </c>
      <c r="H6503" s="7">
        <v>2129</v>
      </c>
      <c r="I6503" s="8" t="str">
        <f ca="1">IFERROR(__xludf.DUMMYFUNCTION("IF
(
G6504=""фізична особа""
,
VLOOKUP(H6504,IMPORTRANGE(""https://docs.google.com/spreadsheets/d/14Bd19lYaqBhU8_DElYkX7l4wRkHqqCUFNJY4AfY3kHU/edit?usp=sharing  #gid=0"",""фіз особи new!relations_name""),6,FALSE)
,
(IF
(
G6504=""юридична особа""
,
VLOOKUP"&amp;"(H6504,IMPORTRANGE(""https://docs.google.com/spreadsheets/d/14Bd19lYaqBhU8_DElYkX7l4wRkHqqCUFNJY4AfY3kHU/edit?usp=sharing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03" s="7" t="s">
        <v>30</v>
      </c>
    </row>
    <row r="6504" spans="1:10" ht="13.2">
      <c r="A6504" s="7">
        <v>6503</v>
      </c>
      <c r="B6504" s="7">
        <v>1</v>
      </c>
      <c r="C6504" s="7" t="s">
        <v>10</v>
      </c>
      <c r="D6504" s="7">
        <v>5877</v>
      </c>
      <c r="E6504" s="7" t="s">
        <v>30</v>
      </c>
      <c r="F6504" s="8" t="str">
        <f ca="1">IFERROR(__xludf.DUMMYFUNCTION("IF
(
C6505=""фізична особа""
,
VLOOKUP(D6505,IMPORTRANGE(""https://docs.google.com/spreadsheets/d/14Bd19lYaqBhU8_DElYkX7l4wRkHqqCUFNJY4AfY3kHU/edit?usp=sharing  #gid=0"",""фіз особи new!relations_name""),6,FALSE)
,
(IF
(
C6505=""юридична особа""
,
VLOOKUP"&amp;"(D6505,IMPORTRANGE(""https://docs.google.com/spreadsheets/d/14Bd19lYaqBhU8_DElYkX7l4wRkHqqCUFNJY4AfY3kHU/edit?usp=sharing  #gid=0"",""фіз особи new!relations_name_uo""),7,FALSE)
,
)
))"),"ДЕНИСОВ Сергій Олександрович")</f>
        <v>ДЕНИСОВ Сергій Олександрович</v>
      </c>
      <c r="G6504" s="7" t="s">
        <v>10</v>
      </c>
      <c r="H6504" s="7">
        <v>2090</v>
      </c>
      <c r="I6504" s="8" t="str">
        <f ca="1">IFERROR(__xludf.DUMMYFUNCTION("IF
(
G6505=""фізична особа""
,
VLOOKUP(H6505,IMPORTRANGE(""https://docs.google.com/spreadsheets/d/14Bd19lYaqBhU8_DElYkX7l4wRkHqqCUFNJY4AfY3kHU/edit?usp=sharing  #gid=0"",""фіз особи new!relations_name""),6,FALSE)
,
(IF
(
G6505=""юридична особа""
,
VLOOKUP"&amp;"(H6505,IMPORTRANGE(""https://docs.google.com/spreadsheets/d/14Bd19lYaqBhU8_DElYkX7l4wRkHqqCUFNJY4AfY3kHU/edit?usp=sharing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04" s="7" t="s">
        <v>30</v>
      </c>
    </row>
    <row r="6505" spans="1:10" ht="13.2">
      <c r="A6505" s="7">
        <v>6504</v>
      </c>
      <c r="B6505" s="7">
        <v>1</v>
      </c>
      <c r="C6505" s="7" t="s">
        <v>10</v>
      </c>
      <c r="D6505" s="7">
        <v>5877</v>
      </c>
      <c r="E6505" s="7" t="s">
        <v>30</v>
      </c>
      <c r="F6505" s="8" t="str">
        <f ca="1">IFERROR(__xludf.DUMMYFUNCTION("IF
(
C6506=""фізична особа""
,
VLOOKUP(D6506,IMPORTRANGE(""https://docs.google.com/spreadsheets/d/14Bd19lYaqBhU8_DElYkX7l4wRkHqqCUFNJY4AfY3kHU/edit?usp=sharing  #gid=0"",""фіз особи new!relations_name""),6,FALSE)
,
(IF
(
C6506=""юридична особа""
,
VLOOKUP"&amp;"(D6506,IMPORTRANGE(""https://docs.google.com/spreadsheets/d/14Bd19lYaqBhU8_DElYkX7l4wRkHqqCUFNJY4AfY3kHU/edit?usp=sharing  #gid=0"",""фіз особи new!relations_name_uo""),7,FALSE)
,
)
))"),"ДЕНИСОВ Сергій Олександрович")</f>
        <v>ДЕНИСОВ Сергій Олександрович</v>
      </c>
      <c r="G6505" s="7" t="s">
        <v>10</v>
      </c>
      <c r="H6505" s="7">
        <v>5915</v>
      </c>
      <c r="I6505" s="8" t="str">
        <f ca="1">IFERROR(__xludf.DUMMYFUNCTION("IF
(
G6506=""фізична особа""
,
VLOOKUP(H6506,IMPORTRANGE(""https://docs.google.com/spreadsheets/d/14Bd19lYaqBhU8_DElYkX7l4wRkHqqCUFNJY4AfY3kHU/edit?usp=sharing  #gid=0"",""фіз особи new!relations_name""),6,FALSE)
,
(IF
(
G6506=""юридична особа""
,
VLOOKUP"&amp;"(H6506,IMPORTRANGE(""https://docs.google.com/spreadsheets/d/14Bd19lYaqBhU8_DElYkX7l4wRkHqqCUFNJY4AfY3kHU/edit?usp=sharing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05" s="7" t="s">
        <v>30</v>
      </c>
    </row>
    <row r="6506" spans="1:10" ht="13.2">
      <c r="A6506" s="7">
        <v>6505</v>
      </c>
      <c r="B6506" s="7">
        <v>1</v>
      </c>
      <c r="C6506" s="7" t="s">
        <v>10</v>
      </c>
      <c r="D6506" s="7">
        <v>5877</v>
      </c>
      <c r="E6506" s="7" t="s">
        <v>30</v>
      </c>
      <c r="F6506" s="8" t="str">
        <f ca="1">IFERROR(__xludf.DUMMYFUNCTION("IF
(
C6507=""фізична особа""
,
VLOOKUP(D6507,IMPORTRANGE(""https://docs.google.com/spreadsheets/d/14Bd19lYaqBhU8_DElYkX7l4wRkHqqCUFNJY4AfY3kHU/edit?usp=sharing  #gid=0"",""фіз особи new!relations_name""),6,FALSE)
,
(IF
(
C6507=""юридична особа""
,
VLOOKUP"&amp;"(D6507,IMPORTRANGE(""https://docs.google.com/spreadsheets/d/14Bd19lYaqBhU8_DElYkX7l4wRkHqqCUFNJY4AfY3kHU/edit?usp=sharing  #gid=0"",""фіз особи new!relations_name_uo""),7,FALSE)
,
)
))"),"ДЕНИСОВ Сергій Олександрович")</f>
        <v>ДЕНИСОВ Сергій Олександрович</v>
      </c>
      <c r="G6506" s="7" t="s">
        <v>10</v>
      </c>
      <c r="H6506" s="7">
        <v>2129</v>
      </c>
      <c r="I6506" s="8" t="str">
        <f ca="1">IFERROR(__xludf.DUMMYFUNCTION("IF
(
G6507=""фізична особа""
,
VLOOKUP(H6507,IMPORTRANGE(""https://docs.google.com/spreadsheets/d/14Bd19lYaqBhU8_DElYkX7l4wRkHqqCUFNJY4AfY3kHU/edit?usp=sharing  #gid=0"",""фіз особи new!relations_name""),6,FALSE)
,
(IF
(
G6507=""юридична особа""
,
VLOOKUP"&amp;"(H6507,IMPORTRANGE(""https://docs.google.com/spreadsheets/d/14Bd19lYaqBhU8_DElYkX7l4wRkHqqCUFNJY4AfY3kHU/edit?usp=sharing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06" s="7" t="s">
        <v>30</v>
      </c>
    </row>
    <row r="6507" spans="1:10" ht="13.2">
      <c r="A6507" s="7">
        <v>6506</v>
      </c>
      <c r="B6507" s="7">
        <v>1</v>
      </c>
      <c r="C6507" s="7" t="s">
        <v>10</v>
      </c>
      <c r="D6507" s="7">
        <v>5878</v>
      </c>
      <c r="E6507" s="7" t="s">
        <v>30</v>
      </c>
      <c r="F6507" s="8" t="str">
        <f ca="1">IFERROR(__xludf.DUMMYFUNCTION("IF
(
C6508=""фізична особа""
,
VLOOKUP(D6508,IMPORTRANGE(""https://docs.google.com/spreadsheets/d/14Bd19lYaqBhU8_DElYkX7l4wRkHqqCUFNJY4AfY3kHU/edit?usp=sharing  #gid=0"",""фіз особи new!relations_name""),6,FALSE)
,
(IF
(
C6508=""юридична особа""
,
VLOOKUP"&amp;"(D6508,IMPORTRANGE(""https://docs.google.com/spreadsheets/d/14Bd19lYaqBhU8_DElYkX7l4wRkHqqCUFNJY4AfY3kHU/edit?usp=sharing  #gid=0"",""фіз особи new!relations_name_uo""),7,FALSE)
,
)
))"),"БАКУЛІН Олексій Вікторович")</f>
        <v>БАКУЛІН Олексій Вікторович</v>
      </c>
      <c r="G6507" s="7" t="s">
        <v>10</v>
      </c>
      <c r="H6507" s="7">
        <v>2090</v>
      </c>
      <c r="I6507" s="8" t="str">
        <f ca="1">IFERROR(__xludf.DUMMYFUNCTION("IF
(
G6508=""фізична особа""
,
VLOOKUP(H6508,IMPORTRANGE(""https://docs.google.com/spreadsheets/d/14Bd19lYaqBhU8_DElYkX7l4wRkHqqCUFNJY4AfY3kHU/edit?usp=sharing  #gid=0"",""фіз особи new!relations_name""),6,FALSE)
,
(IF
(
G6508=""юридична особа""
,
VLOOKUP"&amp;"(H6508,IMPORTRANGE(""https://docs.google.com/spreadsheets/d/14Bd19lYaqBhU8_DElYkX7l4wRkHqqCUFNJY4AfY3kHU/edit?usp=sharing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07" s="7" t="s">
        <v>30</v>
      </c>
    </row>
    <row r="6508" spans="1:10" ht="13.2">
      <c r="A6508" s="7">
        <v>6507</v>
      </c>
      <c r="B6508" s="7">
        <v>1</v>
      </c>
      <c r="C6508" s="7" t="s">
        <v>10</v>
      </c>
      <c r="D6508" s="7">
        <v>5878</v>
      </c>
      <c r="E6508" s="7" t="s">
        <v>30</v>
      </c>
      <c r="F6508" s="8" t="str">
        <f ca="1">IFERROR(__xludf.DUMMYFUNCTION("IF
(
C6509=""фізична особа""
,
VLOOKUP(D6509,IMPORTRANGE(""https://docs.google.com/spreadsheets/d/14Bd19lYaqBhU8_DElYkX7l4wRkHqqCUFNJY4AfY3kHU/edit?usp=sharing  #gid=0"",""фіз особи new!relations_name""),6,FALSE)
,
(IF
(
C6509=""юридична особа""
,
VLOOKUP"&amp;"(D6509,IMPORTRANGE(""https://docs.google.com/spreadsheets/d/14Bd19lYaqBhU8_DElYkX7l4wRkHqqCUFNJY4AfY3kHU/edit?usp=sharing  #gid=0"",""фіз особи new!relations_name_uo""),7,FALSE)
,
)
))"),"БАКУЛІН Олексій Вікторович")</f>
        <v>БАКУЛІН Олексій Вікторович</v>
      </c>
      <c r="G6508" s="7" t="s">
        <v>10</v>
      </c>
      <c r="H6508" s="7">
        <v>5915</v>
      </c>
      <c r="I6508" s="8" t="str">
        <f ca="1">IFERROR(__xludf.DUMMYFUNCTION("IF
(
G6509=""фізична особа""
,
VLOOKUP(H6509,IMPORTRANGE(""https://docs.google.com/spreadsheets/d/14Bd19lYaqBhU8_DElYkX7l4wRkHqqCUFNJY4AfY3kHU/edit?usp=sharing  #gid=0"",""фіз особи new!relations_name""),6,FALSE)
,
(IF
(
G6509=""юридична особа""
,
VLOOKUP"&amp;"(H6509,IMPORTRANGE(""https://docs.google.com/spreadsheets/d/14Bd19lYaqBhU8_DElYkX7l4wRkHqqCUFNJY4AfY3kHU/edit?usp=sharing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08" s="7" t="s">
        <v>30</v>
      </c>
    </row>
    <row r="6509" spans="1:10" ht="13.2">
      <c r="A6509" s="7">
        <v>6508</v>
      </c>
      <c r="B6509" s="7">
        <v>1</v>
      </c>
      <c r="C6509" s="7" t="s">
        <v>10</v>
      </c>
      <c r="D6509" s="7">
        <v>5878</v>
      </c>
      <c r="E6509" s="7" t="s">
        <v>30</v>
      </c>
      <c r="F6509" s="8" t="str">
        <f ca="1">IFERROR(__xludf.DUMMYFUNCTION("IF
(
C6510=""фізична особа""
,
VLOOKUP(D6510,IMPORTRANGE(""https://docs.google.com/spreadsheets/d/14Bd19lYaqBhU8_DElYkX7l4wRkHqqCUFNJY4AfY3kHU/edit?usp=sharing  #gid=0"",""фіз особи new!relations_name""),6,FALSE)
,
(IF
(
C6510=""юридична особа""
,
VLOOKUP"&amp;"(D6510,IMPORTRANGE(""https://docs.google.com/spreadsheets/d/14Bd19lYaqBhU8_DElYkX7l4wRkHqqCUFNJY4AfY3kHU/edit?usp=sharing  #gid=0"",""фіз особи new!relations_name_uo""),7,FALSE)
,
)
))"),"БАКУЛІН Олексій Вікторович")</f>
        <v>БАКУЛІН Олексій Вікторович</v>
      </c>
      <c r="G6509" s="7" t="s">
        <v>10</v>
      </c>
      <c r="H6509" s="7">
        <v>2129</v>
      </c>
      <c r="I6509" s="8" t="str">
        <f ca="1">IFERROR(__xludf.DUMMYFUNCTION("IF
(
G6510=""фізична особа""
,
VLOOKUP(H6510,IMPORTRANGE(""https://docs.google.com/spreadsheets/d/14Bd19lYaqBhU8_DElYkX7l4wRkHqqCUFNJY4AfY3kHU/edit?usp=sharing  #gid=0"",""фіз особи new!relations_name""),6,FALSE)
,
(IF
(
G6510=""юридична особа""
,
VLOOKUP"&amp;"(H6510,IMPORTRANGE(""https://docs.google.com/spreadsheets/d/14Bd19lYaqBhU8_DElYkX7l4wRkHqqCUFNJY4AfY3kHU/edit?usp=sharing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09" s="7" t="s">
        <v>30</v>
      </c>
    </row>
    <row r="6510" spans="1:10" ht="13.2">
      <c r="A6510" s="7">
        <v>6509</v>
      </c>
      <c r="B6510" s="7">
        <v>1</v>
      </c>
      <c r="C6510" s="7" t="s">
        <v>10</v>
      </c>
      <c r="D6510" s="7">
        <v>5879</v>
      </c>
      <c r="E6510" s="7" t="s">
        <v>30</v>
      </c>
      <c r="F6510" s="8" t="str">
        <f ca="1">IFERROR(__xludf.DUMMYFUNCTION("IF
(
C6511=""фізична особа""
,
VLOOKUP(D6511,IMPORTRANGE(""https://docs.google.com/spreadsheets/d/14Bd19lYaqBhU8_DElYkX7l4wRkHqqCUFNJY4AfY3kHU/edit?usp=sharing  #gid=0"",""фіз особи new!relations_name""),6,FALSE)
,
(IF
(
C6511=""юридична особа""
,
VLOOKUP"&amp;"(D6511,IMPORTRANGE(""https://docs.google.com/spreadsheets/d/14Bd19lYaqBhU8_DElYkX7l4wRkHqqCUFNJY4AfY3kHU/edit?usp=sharing  #gid=0"",""фіз особи new!relations_name_uo""),7,FALSE)
,
)
))"),"БАХМАН Сергій Володимирович")</f>
        <v>БАХМАН Сергій Володимирович</v>
      </c>
      <c r="G6510" s="7" t="s">
        <v>10</v>
      </c>
      <c r="H6510" s="7">
        <v>2090</v>
      </c>
      <c r="I6510" s="8" t="str">
        <f ca="1">IFERROR(__xludf.DUMMYFUNCTION("IF
(
G6511=""фізична особа""
,
VLOOKUP(H6511,IMPORTRANGE(""https://docs.google.com/spreadsheets/d/14Bd19lYaqBhU8_DElYkX7l4wRkHqqCUFNJY4AfY3kHU/edit?usp=sharing  #gid=0"",""фіз особи new!relations_name""),6,FALSE)
,
(IF
(
G6511=""юридична особа""
,
VLOOKUP"&amp;"(H6511,IMPORTRANGE(""https://docs.google.com/spreadsheets/d/14Bd19lYaqBhU8_DElYkX7l4wRkHqqCUFNJY4AfY3kHU/edit?usp=sharing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10" s="7" t="s">
        <v>30</v>
      </c>
    </row>
    <row r="6511" spans="1:10" ht="13.2">
      <c r="A6511" s="7">
        <v>6510</v>
      </c>
      <c r="B6511" s="7">
        <v>1</v>
      </c>
      <c r="C6511" s="7" t="s">
        <v>10</v>
      </c>
      <c r="D6511" s="7">
        <v>5879</v>
      </c>
      <c r="E6511" s="7" t="s">
        <v>30</v>
      </c>
      <c r="F6511" s="8" t="str">
        <f ca="1">IFERROR(__xludf.DUMMYFUNCTION("IF
(
C6512=""фізична особа""
,
VLOOKUP(D6512,IMPORTRANGE(""https://docs.google.com/spreadsheets/d/14Bd19lYaqBhU8_DElYkX7l4wRkHqqCUFNJY4AfY3kHU/edit?usp=sharing  #gid=0"",""фіз особи new!relations_name""),6,FALSE)
,
(IF
(
C6512=""юридична особа""
,
VLOOKUP"&amp;"(D6512,IMPORTRANGE(""https://docs.google.com/spreadsheets/d/14Bd19lYaqBhU8_DElYkX7l4wRkHqqCUFNJY4AfY3kHU/edit?usp=sharing  #gid=0"",""фіз особи new!relations_name_uo""),7,FALSE)
,
)
))"),"БАХМАН Сергій Володимирович")</f>
        <v>БАХМАН Сергій Володимирович</v>
      </c>
      <c r="G6511" s="7" t="s">
        <v>10</v>
      </c>
      <c r="H6511" s="7">
        <v>5915</v>
      </c>
      <c r="I6511" s="8" t="str">
        <f ca="1">IFERROR(__xludf.DUMMYFUNCTION("IF
(
G6512=""фізична особа""
,
VLOOKUP(H6512,IMPORTRANGE(""https://docs.google.com/spreadsheets/d/14Bd19lYaqBhU8_DElYkX7l4wRkHqqCUFNJY4AfY3kHU/edit?usp=sharing  #gid=0"",""фіз особи new!relations_name""),6,FALSE)
,
(IF
(
G6512=""юридична особа""
,
VLOOKUP"&amp;"(H6512,IMPORTRANGE(""https://docs.google.com/spreadsheets/d/14Bd19lYaqBhU8_DElYkX7l4wRkHqqCUFNJY4AfY3kHU/edit?usp=sharing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11" s="7" t="s">
        <v>30</v>
      </c>
    </row>
    <row r="6512" spans="1:10" ht="13.2">
      <c r="A6512" s="7">
        <v>6511</v>
      </c>
      <c r="B6512" s="7">
        <v>1</v>
      </c>
      <c r="C6512" s="7" t="s">
        <v>10</v>
      </c>
      <c r="D6512" s="7">
        <v>5879</v>
      </c>
      <c r="E6512" s="7" t="s">
        <v>30</v>
      </c>
      <c r="F6512" s="8" t="str">
        <f ca="1">IFERROR(__xludf.DUMMYFUNCTION("IF
(
C6513=""фізична особа""
,
VLOOKUP(D6513,IMPORTRANGE(""https://docs.google.com/spreadsheets/d/14Bd19lYaqBhU8_DElYkX7l4wRkHqqCUFNJY4AfY3kHU/edit?usp=sharing  #gid=0"",""фіз особи new!relations_name""),6,FALSE)
,
(IF
(
C6513=""юридична особа""
,
VLOOKUP"&amp;"(D6513,IMPORTRANGE(""https://docs.google.com/spreadsheets/d/14Bd19lYaqBhU8_DElYkX7l4wRkHqqCUFNJY4AfY3kHU/edit?usp=sharing  #gid=0"",""фіз особи new!relations_name_uo""),7,FALSE)
,
)
))"),"БАХМАН Сергій Володимирович")</f>
        <v>БАХМАН Сергій Володимирович</v>
      </c>
      <c r="G6512" s="7" t="s">
        <v>10</v>
      </c>
      <c r="H6512" s="7">
        <v>2129</v>
      </c>
      <c r="I6512" s="8" t="str">
        <f ca="1">IFERROR(__xludf.DUMMYFUNCTION("IF
(
G6513=""фізична особа""
,
VLOOKUP(H6513,IMPORTRANGE(""https://docs.google.com/spreadsheets/d/14Bd19lYaqBhU8_DElYkX7l4wRkHqqCUFNJY4AfY3kHU/edit?usp=sharing  #gid=0"",""фіз особи new!relations_name""),6,FALSE)
,
(IF
(
G6513=""юридична особа""
,
VLOOKUP"&amp;"(H6513,IMPORTRANGE(""https://docs.google.com/spreadsheets/d/14Bd19lYaqBhU8_DElYkX7l4wRkHqqCUFNJY4AfY3kHU/edit?usp=sharing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12" s="7" t="s">
        <v>30</v>
      </c>
    </row>
    <row r="6513" spans="1:10" ht="13.2">
      <c r="A6513" s="7">
        <v>6512</v>
      </c>
      <c r="B6513" s="7">
        <v>1</v>
      </c>
      <c r="C6513" s="7" t="s">
        <v>10</v>
      </c>
      <c r="D6513" s="7">
        <v>5880</v>
      </c>
      <c r="E6513" s="7" t="s">
        <v>30</v>
      </c>
      <c r="F6513" s="8" t="str">
        <f ca="1">IFERROR(__xludf.DUMMYFUNCTION("IF
(
C6514=""фізична особа""
,
VLOOKUP(D6514,IMPORTRANGE(""https://docs.google.com/spreadsheets/d/14Bd19lYaqBhU8_DElYkX7l4wRkHqqCUFNJY4AfY3kHU/edit?usp=sharing  #gid=0"",""фіз особи new!relations_name""),6,FALSE)
,
(IF
(
C6514=""юридична особа""
,
VLOOKUP"&amp;"(D6514,IMPORTRANGE(""https://docs.google.com/spreadsheets/d/14Bd19lYaqBhU8_DElYkX7l4wRkHqqCUFNJY4AfY3kHU/edit?usp=sharing  #gid=0"",""фіз особи new!relations_name_uo""),7,FALSE)
,
)
))"),"СИТНИКОВ Юрій Федорович")</f>
        <v>СИТНИКОВ Юрій Федорович</v>
      </c>
      <c r="G6513" s="7" t="s">
        <v>10</v>
      </c>
      <c r="H6513" s="7">
        <v>2090</v>
      </c>
      <c r="I6513" s="8" t="str">
        <f ca="1">IFERROR(__xludf.DUMMYFUNCTION("IF
(
G6514=""фізична особа""
,
VLOOKUP(H6514,IMPORTRANGE(""https://docs.google.com/spreadsheets/d/14Bd19lYaqBhU8_DElYkX7l4wRkHqqCUFNJY4AfY3kHU/edit?usp=sharing  #gid=0"",""фіз особи new!relations_name""),6,FALSE)
,
(IF
(
G6514=""юридична особа""
,
VLOOKUP"&amp;"(H6514,IMPORTRANGE(""https://docs.google.com/spreadsheets/d/14Bd19lYaqBhU8_DElYkX7l4wRkHqqCUFNJY4AfY3kHU/edit?usp=sharing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13" s="7" t="s">
        <v>30</v>
      </c>
    </row>
    <row r="6514" spans="1:10" ht="13.2">
      <c r="A6514" s="7">
        <v>6513</v>
      </c>
      <c r="B6514" s="7">
        <v>1</v>
      </c>
      <c r="C6514" s="7" t="s">
        <v>10</v>
      </c>
      <c r="D6514" s="7">
        <v>5880</v>
      </c>
      <c r="E6514" s="7" t="s">
        <v>30</v>
      </c>
      <c r="F6514" s="8" t="str">
        <f ca="1">IFERROR(__xludf.DUMMYFUNCTION("IF
(
C6515=""фізична особа""
,
VLOOKUP(D6515,IMPORTRANGE(""https://docs.google.com/spreadsheets/d/14Bd19lYaqBhU8_DElYkX7l4wRkHqqCUFNJY4AfY3kHU/edit?usp=sharing  #gid=0"",""фіз особи new!relations_name""),6,FALSE)
,
(IF
(
C6515=""юридична особа""
,
VLOOKUP"&amp;"(D6515,IMPORTRANGE(""https://docs.google.com/spreadsheets/d/14Bd19lYaqBhU8_DElYkX7l4wRkHqqCUFNJY4AfY3kHU/edit?usp=sharing  #gid=0"",""фіз особи new!relations_name_uo""),7,FALSE)
,
)
))"),"СИТНИКОВ Юрій Федорович")</f>
        <v>СИТНИКОВ Юрій Федорович</v>
      </c>
      <c r="G6514" s="7" t="s">
        <v>10</v>
      </c>
      <c r="H6514" s="7">
        <v>5915</v>
      </c>
      <c r="I6514" s="8" t="str">
        <f ca="1">IFERROR(__xludf.DUMMYFUNCTION("IF
(
G6515=""фізична особа""
,
VLOOKUP(H6515,IMPORTRANGE(""https://docs.google.com/spreadsheets/d/14Bd19lYaqBhU8_DElYkX7l4wRkHqqCUFNJY4AfY3kHU/edit?usp=sharing  #gid=0"",""фіз особи new!relations_name""),6,FALSE)
,
(IF
(
G6515=""юридична особа""
,
VLOOKUP"&amp;"(H6515,IMPORTRANGE(""https://docs.google.com/spreadsheets/d/14Bd19lYaqBhU8_DElYkX7l4wRkHqqCUFNJY4AfY3kHU/edit?usp=sharing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14" s="7" t="s">
        <v>30</v>
      </c>
    </row>
    <row r="6515" spans="1:10" ht="13.2">
      <c r="A6515" s="7">
        <v>6514</v>
      </c>
      <c r="B6515" s="7">
        <v>1</v>
      </c>
      <c r="C6515" s="7" t="s">
        <v>10</v>
      </c>
      <c r="D6515" s="7">
        <v>5880</v>
      </c>
      <c r="E6515" s="7" t="s">
        <v>30</v>
      </c>
      <c r="F6515" s="8" t="str">
        <f ca="1">IFERROR(__xludf.DUMMYFUNCTION("IF
(
C6516=""фізична особа""
,
VLOOKUP(D6516,IMPORTRANGE(""https://docs.google.com/spreadsheets/d/14Bd19lYaqBhU8_DElYkX7l4wRkHqqCUFNJY4AfY3kHU/edit?usp=sharing  #gid=0"",""фіз особи new!relations_name""),6,FALSE)
,
(IF
(
C6516=""юридична особа""
,
VLOOKUP"&amp;"(D6516,IMPORTRANGE(""https://docs.google.com/spreadsheets/d/14Bd19lYaqBhU8_DElYkX7l4wRkHqqCUFNJY4AfY3kHU/edit?usp=sharing  #gid=0"",""фіз особи new!relations_name_uo""),7,FALSE)
,
)
))"),"СИТНИКОВ Юрій Федорович")</f>
        <v>СИТНИКОВ Юрій Федорович</v>
      </c>
      <c r="G6515" s="7" t="s">
        <v>10</v>
      </c>
      <c r="H6515" s="7">
        <v>2129</v>
      </c>
      <c r="I6515" s="8" t="str">
        <f ca="1">IFERROR(__xludf.DUMMYFUNCTION("IF
(
G6516=""фізична особа""
,
VLOOKUP(H6516,IMPORTRANGE(""https://docs.google.com/spreadsheets/d/14Bd19lYaqBhU8_DElYkX7l4wRkHqqCUFNJY4AfY3kHU/edit?usp=sharing  #gid=0"",""фіз особи new!relations_name""),6,FALSE)
,
(IF
(
G6516=""юридична особа""
,
VLOOKUP"&amp;"(H6516,IMPORTRANGE(""https://docs.google.com/spreadsheets/d/14Bd19lYaqBhU8_DElYkX7l4wRkHqqCUFNJY4AfY3kHU/edit?usp=sharing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15" s="7" t="s">
        <v>30</v>
      </c>
    </row>
    <row r="6516" spans="1:10" ht="13.2">
      <c r="A6516" s="7">
        <v>6515</v>
      </c>
      <c r="B6516" s="7">
        <v>1</v>
      </c>
      <c r="C6516" s="7" t="s">
        <v>10</v>
      </c>
      <c r="D6516" s="7">
        <v>5881</v>
      </c>
      <c r="E6516" s="7" t="s">
        <v>30</v>
      </c>
      <c r="F6516" s="8" t="str">
        <f ca="1">IFERROR(__xludf.DUMMYFUNCTION("IF
(
C6517=""фізична особа""
,
VLOOKUP(D6517,IMPORTRANGE(""https://docs.google.com/spreadsheets/d/14Bd19lYaqBhU8_DElYkX7l4wRkHqqCUFNJY4AfY3kHU/edit?usp=sharing  #gid=0"",""фіз особи new!relations_name""),6,FALSE)
,
(IF
(
C6517=""юридична особа""
,
VLOOKUP"&amp;"(D6517,IMPORTRANGE(""https://docs.google.com/spreadsheets/d/14Bd19lYaqBhU8_DElYkX7l4wRkHqqCUFNJY4AfY3kHU/edit?usp=sharing  #gid=0"",""фіз особи new!relations_name_uo""),7,FALSE)
,
)
))"),"ПЕТРОВ Олександр Володимирович")</f>
        <v>ПЕТРОВ Олександр Володимирович</v>
      </c>
      <c r="G6516" s="7" t="s">
        <v>10</v>
      </c>
      <c r="H6516" s="7">
        <v>2090</v>
      </c>
      <c r="I6516" s="8" t="str">
        <f ca="1">IFERROR(__xludf.DUMMYFUNCTION("IF
(
G6517=""фізична особа""
,
VLOOKUP(H6517,IMPORTRANGE(""https://docs.google.com/spreadsheets/d/14Bd19lYaqBhU8_DElYkX7l4wRkHqqCUFNJY4AfY3kHU/edit?usp=sharing  #gid=0"",""фіз особи new!relations_name""),6,FALSE)
,
(IF
(
G6517=""юридична особа""
,
VLOOKUP"&amp;"(H6517,IMPORTRANGE(""https://docs.google.com/spreadsheets/d/14Bd19lYaqBhU8_DElYkX7l4wRkHqqCUFNJY4AfY3kHU/edit?usp=sharing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16" s="7" t="s">
        <v>30</v>
      </c>
    </row>
    <row r="6517" spans="1:10" ht="13.2">
      <c r="A6517" s="7">
        <v>6516</v>
      </c>
      <c r="B6517" s="7">
        <v>1</v>
      </c>
      <c r="C6517" s="7" t="s">
        <v>10</v>
      </c>
      <c r="D6517" s="7">
        <v>5881</v>
      </c>
      <c r="E6517" s="7" t="s">
        <v>30</v>
      </c>
      <c r="F6517" s="8" t="str">
        <f ca="1">IFERROR(__xludf.DUMMYFUNCTION("IF
(
C6518=""фізична особа""
,
VLOOKUP(D6518,IMPORTRANGE(""https://docs.google.com/spreadsheets/d/14Bd19lYaqBhU8_DElYkX7l4wRkHqqCUFNJY4AfY3kHU/edit?usp=sharing  #gid=0"",""фіз особи new!relations_name""),6,FALSE)
,
(IF
(
C6518=""юридична особа""
,
VLOOKUP"&amp;"(D6518,IMPORTRANGE(""https://docs.google.com/spreadsheets/d/14Bd19lYaqBhU8_DElYkX7l4wRkHqqCUFNJY4AfY3kHU/edit?usp=sharing  #gid=0"",""фіз особи new!relations_name_uo""),7,FALSE)
,
)
))"),"ПЕТРОВ Олександр Володимирович")</f>
        <v>ПЕТРОВ Олександр Володимирович</v>
      </c>
      <c r="G6517" s="7" t="s">
        <v>10</v>
      </c>
      <c r="H6517" s="7">
        <v>5915</v>
      </c>
      <c r="I6517" s="8" t="str">
        <f ca="1">IFERROR(__xludf.DUMMYFUNCTION("IF
(
G6518=""фізична особа""
,
VLOOKUP(H6518,IMPORTRANGE(""https://docs.google.com/spreadsheets/d/14Bd19lYaqBhU8_DElYkX7l4wRkHqqCUFNJY4AfY3kHU/edit?usp=sharing  #gid=0"",""фіз особи new!relations_name""),6,FALSE)
,
(IF
(
G6518=""юридична особа""
,
VLOOKUP"&amp;"(H6518,IMPORTRANGE(""https://docs.google.com/spreadsheets/d/14Bd19lYaqBhU8_DElYkX7l4wRkHqqCUFNJY4AfY3kHU/edit?usp=sharing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17" s="7" t="s">
        <v>30</v>
      </c>
    </row>
    <row r="6518" spans="1:10" ht="13.2">
      <c r="A6518" s="7">
        <v>6517</v>
      </c>
      <c r="B6518" s="7">
        <v>1</v>
      </c>
      <c r="C6518" s="7" t="s">
        <v>10</v>
      </c>
      <c r="D6518" s="7">
        <v>5881</v>
      </c>
      <c r="E6518" s="7" t="s">
        <v>30</v>
      </c>
      <c r="F6518" s="8" t="str">
        <f ca="1">IFERROR(__xludf.DUMMYFUNCTION("IF
(
C6519=""фізична особа""
,
VLOOKUP(D6519,IMPORTRANGE(""https://docs.google.com/spreadsheets/d/14Bd19lYaqBhU8_DElYkX7l4wRkHqqCUFNJY4AfY3kHU/edit?usp=sharing  #gid=0"",""фіз особи new!relations_name""),6,FALSE)
,
(IF
(
C6519=""юридична особа""
,
VLOOKUP"&amp;"(D6519,IMPORTRANGE(""https://docs.google.com/spreadsheets/d/14Bd19lYaqBhU8_DElYkX7l4wRkHqqCUFNJY4AfY3kHU/edit?usp=sharing  #gid=0"",""фіз особи new!relations_name_uo""),7,FALSE)
,
)
))"),"ПЕТРОВ Олександр Володимирович")</f>
        <v>ПЕТРОВ Олександр Володимирович</v>
      </c>
      <c r="G6518" s="7" t="s">
        <v>10</v>
      </c>
      <c r="H6518" s="7">
        <v>2129</v>
      </c>
      <c r="I6518" s="8" t="str">
        <f ca="1">IFERROR(__xludf.DUMMYFUNCTION("IF
(
G6519=""фізична особа""
,
VLOOKUP(H6519,IMPORTRANGE(""https://docs.google.com/spreadsheets/d/14Bd19lYaqBhU8_DElYkX7l4wRkHqqCUFNJY4AfY3kHU/edit?usp=sharing  #gid=0"",""фіз особи new!relations_name""),6,FALSE)
,
(IF
(
G6519=""юридична особа""
,
VLOOKUP"&amp;"(H6519,IMPORTRANGE(""https://docs.google.com/spreadsheets/d/14Bd19lYaqBhU8_DElYkX7l4wRkHqqCUFNJY4AfY3kHU/edit?usp=sharing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18" s="7" t="s">
        <v>30</v>
      </c>
    </row>
    <row r="6519" spans="1:10" ht="13.2">
      <c r="A6519" s="7">
        <v>6518</v>
      </c>
      <c r="B6519" s="7">
        <v>1</v>
      </c>
      <c r="C6519" s="7" t="s">
        <v>10</v>
      </c>
      <c r="D6519" s="7">
        <v>5882</v>
      </c>
      <c r="E6519" s="7" t="s">
        <v>30</v>
      </c>
      <c r="F6519" s="8" t="str">
        <f ca="1">IFERROR(__xludf.DUMMYFUNCTION("IF
(
C6520=""фізична особа""
,
VLOOKUP(D6520,IMPORTRANGE(""https://docs.google.com/spreadsheets/d/14Bd19lYaqBhU8_DElYkX7l4wRkHqqCUFNJY4AfY3kHU/edit?usp=sharing  #gid=0"",""фіз особи new!relations_name""),6,FALSE)
,
(IF
(
C6520=""юридична особа""
,
VLOOKUP"&amp;"(D6520,IMPORTRANGE(""https://docs.google.com/spreadsheets/d/14Bd19lYaqBhU8_DElYkX7l4wRkHqqCUFNJY4AfY3kHU/edit?usp=sharing  #gid=0"",""фіз особи new!relations_name_uo""),7,FALSE)
,
)
))"),"ПЕТРОВ Дмитро Олександрович")</f>
        <v>ПЕТРОВ Дмитро Олександрович</v>
      </c>
      <c r="G6519" s="7" t="s">
        <v>10</v>
      </c>
      <c r="H6519" s="7">
        <v>2090</v>
      </c>
      <c r="I6519" s="8" t="str">
        <f ca="1">IFERROR(__xludf.DUMMYFUNCTION("IF
(
G6520=""фізична особа""
,
VLOOKUP(H6520,IMPORTRANGE(""https://docs.google.com/spreadsheets/d/14Bd19lYaqBhU8_DElYkX7l4wRkHqqCUFNJY4AfY3kHU/edit?usp=sharing  #gid=0"",""фіз особи new!relations_name""),6,FALSE)
,
(IF
(
G6520=""юридична особа""
,
VLOOKUP"&amp;"(H6520,IMPORTRANGE(""https://docs.google.com/spreadsheets/d/14Bd19lYaqBhU8_DElYkX7l4wRkHqqCUFNJY4AfY3kHU/edit?usp=sharing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19" s="7" t="s">
        <v>30</v>
      </c>
    </row>
    <row r="6520" spans="1:10" ht="13.2">
      <c r="A6520" s="7">
        <v>6519</v>
      </c>
      <c r="B6520" s="7">
        <v>1</v>
      </c>
      <c r="C6520" s="7" t="s">
        <v>10</v>
      </c>
      <c r="D6520" s="7">
        <v>5882</v>
      </c>
      <c r="E6520" s="7" t="s">
        <v>30</v>
      </c>
      <c r="F6520" s="8" t="str">
        <f ca="1">IFERROR(__xludf.DUMMYFUNCTION("IF
(
C6521=""фізична особа""
,
VLOOKUP(D6521,IMPORTRANGE(""https://docs.google.com/spreadsheets/d/14Bd19lYaqBhU8_DElYkX7l4wRkHqqCUFNJY4AfY3kHU/edit?usp=sharing  #gid=0"",""фіз особи new!relations_name""),6,FALSE)
,
(IF
(
C6521=""юридична особа""
,
VLOOKUP"&amp;"(D6521,IMPORTRANGE(""https://docs.google.com/spreadsheets/d/14Bd19lYaqBhU8_DElYkX7l4wRkHqqCUFNJY4AfY3kHU/edit?usp=sharing  #gid=0"",""фіз особи new!relations_name_uo""),7,FALSE)
,
)
))"),"ПЕТРОВ Дмитро Олександрович")</f>
        <v>ПЕТРОВ Дмитро Олександрович</v>
      </c>
      <c r="G6520" s="7" t="s">
        <v>10</v>
      </c>
      <c r="H6520" s="7">
        <v>5915</v>
      </c>
      <c r="I6520" s="8" t="str">
        <f ca="1">IFERROR(__xludf.DUMMYFUNCTION("IF
(
G6521=""фізична особа""
,
VLOOKUP(H6521,IMPORTRANGE(""https://docs.google.com/spreadsheets/d/14Bd19lYaqBhU8_DElYkX7l4wRkHqqCUFNJY4AfY3kHU/edit?usp=sharing  #gid=0"",""фіз особи new!relations_name""),6,FALSE)
,
(IF
(
G6521=""юридична особа""
,
VLOOKUP"&amp;"(H6521,IMPORTRANGE(""https://docs.google.com/spreadsheets/d/14Bd19lYaqBhU8_DElYkX7l4wRkHqqCUFNJY4AfY3kHU/edit?usp=sharing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20" s="7" t="s">
        <v>30</v>
      </c>
    </row>
    <row r="6521" spans="1:10" ht="13.2">
      <c r="A6521" s="7">
        <v>6520</v>
      </c>
      <c r="B6521" s="7">
        <v>1</v>
      </c>
      <c r="C6521" s="7" t="s">
        <v>10</v>
      </c>
      <c r="D6521" s="7">
        <v>5882</v>
      </c>
      <c r="E6521" s="7" t="s">
        <v>30</v>
      </c>
      <c r="F6521" s="8" t="str">
        <f ca="1">IFERROR(__xludf.DUMMYFUNCTION("IF
(
C6522=""фізична особа""
,
VLOOKUP(D6522,IMPORTRANGE(""https://docs.google.com/spreadsheets/d/14Bd19lYaqBhU8_DElYkX7l4wRkHqqCUFNJY4AfY3kHU/edit?usp=sharing  #gid=0"",""фіз особи new!relations_name""),6,FALSE)
,
(IF
(
C6522=""юридична особа""
,
VLOOKUP"&amp;"(D6522,IMPORTRANGE(""https://docs.google.com/spreadsheets/d/14Bd19lYaqBhU8_DElYkX7l4wRkHqqCUFNJY4AfY3kHU/edit?usp=sharing  #gid=0"",""фіз особи new!relations_name_uo""),7,FALSE)
,
)
))"),"ПЕТРОВ Дмитро Олександрович")</f>
        <v>ПЕТРОВ Дмитро Олександрович</v>
      </c>
      <c r="G6521" s="7" t="s">
        <v>10</v>
      </c>
      <c r="H6521" s="7">
        <v>2129</v>
      </c>
      <c r="I6521" s="8" t="str">
        <f ca="1">IFERROR(__xludf.DUMMYFUNCTION("IF
(
G6522=""фізична особа""
,
VLOOKUP(H6522,IMPORTRANGE(""https://docs.google.com/spreadsheets/d/14Bd19lYaqBhU8_DElYkX7l4wRkHqqCUFNJY4AfY3kHU/edit?usp=sharing  #gid=0"",""фіз особи new!relations_name""),6,FALSE)
,
(IF
(
G6522=""юридична особа""
,
VLOOKUP"&amp;"(H6522,IMPORTRANGE(""https://docs.google.com/spreadsheets/d/14Bd19lYaqBhU8_DElYkX7l4wRkHqqCUFNJY4AfY3kHU/edit?usp=sharing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21" s="7" t="s">
        <v>30</v>
      </c>
    </row>
    <row r="6522" spans="1:10" ht="13.2">
      <c r="A6522" s="7">
        <v>6521</v>
      </c>
      <c r="B6522" s="7">
        <v>1</v>
      </c>
      <c r="C6522" s="7" t="s">
        <v>10</v>
      </c>
      <c r="D6522" s="7">
        <v>5883</v>
      </c>
      <c r="E6522" s="7" t="s">
        <v>30</v>
      </c>
      <c r="F6522" s="8" t="str">
        <f ca="1">IFERROR(__xludf.DUMMYFUNCTION("IF
(
C6523=""фізична особа""
,
VLOOKUP(D6523,IMPORTRANGE(""https://docs.google.com/spreadsheets/d/14Bd19lYaqBhU8_DElYkX7l4wRkHqqCUFNJY4AfY3kHU/edit?usp=sharing  #gid=0"",""фіз особи new!relations_name""),6,FALSE)
,
(IF
(
C6523=""юридична особа""
,
VLOOKUP"&amp;"(D6523,IMPORTRANGE(""https://docs.google.com/spreadsheets/d/14Bd19lYaqBhU8_DElYkX7l4wRkHqqCUFNJY4AfY3kHU/edit?usp=sharing  #gid=0"",""фіз особи new!relations_name_uo""),7,FALSE)
,
)
))"),"ЛИХАЧ Олександр Вікторович")</f>
        <v>ЛИХАЧ Олександр Вікторович</v>
      </c>
      <c r="G6522" s="7" t="s">
        <v>10</v>
      </c>
      <c r="H6522" s="7">
        <v>2090</v>
      </c>
      <c r="I6522" s="8" t="str">
        <f ca="1">IFERROR(__xludf.DUMMYFUNCTION("IF
(
G6523=""фізична особа""
,
VLOOKUP(H6523,IMPORTRANGE(""https://docs.google.com/spreadsheets/d/14Bd19lYaqBhU8_DElYkX7l4wRkHqqCUFNJY4AfY3kHU/edit?usp=sharing  #gid=0"",""фіз особи new!relations_name""),6,FALSE)
,
(IF
(
G6523=""юридична особа""
,
VLOOKUP"&amp;"(H6523,IMPORTRANGE(""https://docs.google.com/spreadsheets/d/14Bd19lYaqBhU8_DElYkX7l4wRkHqqCUFNJY4AfY3kHU/edit?usp=sharing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22" s="7" t="s">
        <v>30</v>
      </c>
    </row>
    <row r="6523" spans="1:10" ht="13.2">
      <c r="A6523" s="7">
        <v>6522</v>
      </c>
      <c r="B6523" s="7">
        <v>1</v>
      </c>
      <c r="C6523" s="7" t="s">
        <v>10</v>
      </c>
      <c r="D6523" s="7">
        <v>5883</v>
      </c>
      <c r="E6523" s="7" t="s">
        <v>30</v>
      </c>
      <c r="F6523" s="8" t="str">
        <f ca="1">IFERROR(__xludf.DUMMYFUNCTION("IF
(
C6524=""фізична особа""
,
VLOOKUP(D6524,IMPORTRANGE(""https://docs.google.com/spreadsheets/d/14Bd19lYaqBhU8_DElYkX7l4wRkHqqCUFNJY4AfY3kHU/edit?usp=sharing  #gid=0"",""фіз особи new!relations_name""),6,FALSE)
,
(IF
(
C6524=""юридична особа""
,
VLOOKUP"&amp;"(D6524,IMPORTRANGE(""https://docs.google.com/spreadsheets/d/14Bd19lYaqBhU8_DElYkX7l4wRkHqqCUFNJY4AfY3kHU/edit?usp=sharing  #gid=0"",""фіз особи new!relations_name_uo""),7,FALSE)
,
)
))"),"ЛИХАЧ Олександр Вікторович")</f>
        <v>ЛИХАЧ Олександр Вікторович</v>
      </c>
      <c r="G6523" s="7" t="s">
        <v>10</v>
      </c>
      <c r="H6523" s="7">
        <v>5915</v>
      </c>
      <c r="I6523" s="8" t="str">
        <f ca="1">IFERROR(__xludf.DUMMYFUNCTION("IF
(
G6524=""фізична особа""
,
VLOOKUP(H6524,IMPORTRANGE(""https://docs.google.com/spreadsheets/d/14Bd19lYaqBhU8_DElYkX7l4wRkHqqCUFNJY4AfY3kHU/edit?usp=sharing  #gid=0"",""фіз особи new!relations_name""),6,FALSE)
,
(IF
(
G6524=""юридична особа""
,
VLOOKUP"&amp;"(H6524,IMPORTRANGE(""https://docs.google.com/spreadsheets/d/14Bd19lYaqBhU8_DElYkX7l4wRkHqqCUFNJY4AfY3kHU/edit?usp=sharing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23" s="7" t="s">
        <v>30</v>
      </c>
    </row>
    <row r="6524" spans="1:10" ht="13.2">
      <c r="A6524" s="7">
        <v>6523</v>
      </c>
      <c r="B6524" s="7">
        <v>1</v>
      </c>
      <c r="C6524" s="7" t="s">
        <v>10</v>
      </c>
      <c r="D6524" s="7">
        <v>5883</v>
      </c>
      <c r="E6524" s="7" t="s">
        <v>30</v>
      </c>
      <c r="F6524" s="8" t="str">
        <f ca="1">IFERROR(__xludf.DUMMYFUNCTION("IF
(
C6525=""фізична особа""
,
VLOOKUP(D6525,IMPORTRANGE(""https://docs.google.com/spreadsheets/d/14Bd19lYaqBhU8_DElYkX7l4wRkHqqCUFNJY4AfY3kHU/edit?usp=sharing  #gid=0"",""фіз особи new!relations_name""),6,FALSE)
,
(IF
(
C6525=""юридична особа""
,
VLOOKUP"&amp;"(D6525,IMPORTRANGE(""https://docs.google.com/spreadsheets/d/14Bd19lYaqBhU8_DElYkX7l4wRkHqqCUFNJY4AfY3kHU/edit?usp=sharing  #gid=0"",""фіз особи new!relations_name_uo""),7,FALSE)
,
)
))"),"ЛИХАЧ Олександр Вікторович")</f>
        <v>ЛИХАЧ Олександр Вікторович</v>
      </c>
      <c r="G6524" s="7" t="s">
        <v>10</v>
      </c>
      <c r="H6524" s="7">
        <v>2129</v>
      </c>
      <c r="I6524" s="8" t="str">
        <f ca="1">IFERROR(__xludf.DUMMYFUNCTION("IF
(
G6525=""фізична особа""
,
VLOOKUP(H6525,IMPORTRANGE(""https://docs.google.com/spreadsheets/d/14Bd19lYaqBhU8_DElYkX7l4wRkHqqCUFNJY4AfY3kHU/edit?usp=sharing  #gid=0"",""фіз особи new!relations_name""),6,FALSE)
,
(IF
(
G6525=""юридична особа""
,
VLOOKUP"&amp;"(H6525,IMPORTRANGE(""https://docs.google.com/spreadsheets/d/14Bd19lYaqBhU8_DElYkX7l4wRkHqqCUFNJY4AfY3kHU/edit?usp=sharing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24" s="7" t="s">
        <v>30</v>
      </c>
    </row>
    <row r="6525" spans="1:10" ht="13.2">
      <c r="A6525" s="7">
        <v>6524</v>
      </c>
      <c r="B6525" s="7">
        <v>1</v>
      </c>
      <c r="C6525" s="7" t="s">
        <v>10</v>
      </c>
      <c r="D6525" s="7">
        <v>5884</v>
      </c>
      <c r="E6525" s="7" t="s">
        <v>30</v>
      </c>
      <c r="F6525" s="8" t="str">
        <f ca="1">IFERROR(__xludf.DUMMYFUNCTION("IF
(
C6526=""фізична особа""
,
VLOOKUP(D6526,IMPORTRANGE(""https://docs.google.com/spreadsheets/d/14Bd19lYaqBhU8_DElYkX7l4wRkHqqCUFNJY4AfY3kHU/edit?usp=sharing  #gid=0"",""фіз особи new!relations_name""),6,FALSE)
,
(IF
(
C6526=""юридична особа""
,
VLOOKUP"&amp;"(D6526,IMPORTRANGE(""https://docs.google.com/spreadsheets/d/14Bd19lYaqBhU8_DElYkX7l4wRkHqqCUFNJY4AfY3kHU/edit?usp=sharing  #gid=0"",""фіз особи new!relations_name_uo""),7,FALSE)
,
)
))"),"ГРИГОР'ЄВА Марія Романівна")</f>
        <v>ГРИГОР'ЄВА Марія Романівна</v>
      </c>
      <c r="G6525" s="7" t="s">
        <v>10</v>
      </c>
      <c r="H6525" s="7">
        <v>2090</v>
      </c>
      <c r="I6525" s="8" t="str">
        <f ca="1">IFERROR(__xludf.DUMMYFUNCTION("IF
(
G6526=""фізична особа""
,
VLOOKUP(H6526,IMPORTRANGE(""https://docs.google.com/spreadsheets/d/14Bd19lYaqBhU8_DElYkX7l4wRkHqqCUFNJY4AfY3kHU/edit?usp=sharing  #gid=0"",""фіз особи new!relations_name""),6,FALSE)
,
(IF
(
G6526=""юридична особа""
,
VLOOKUP"&amp;"(H6526,IMPORTRANGE(""https://docs.google.com/spreadsheets/d/14Bd19lYaqBhU8_DElYkX7l4wRkHqqCUFNJY4AfY3kHU/edit?usp=sharing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25" s="7" t="s">
        <v>30</v>
      </c>
    </row>
    <row r="6526" spans="1:10" ht="13.2">
      <c r="A6526" s="7">
        <v>6525</v>
      </c>
      <c r="B6526" s="7">
        <v>1</v>
      </c>
      <c r="C6526" s="7" t="s">
        <v>10</v>
      </c>
      <c r="D6526" s="7">
        <v>5884</v>
      </c>
      <c r="E6526" s="7" t="s">
        <v>30</v>
      </c>
      <c r="F6526" s="8" t="str">
        <f ca="1">IFERROR(__xludf.DUMMYFUNCTION("IF
(
C6527=""фізична особа""
,
VLOOKUP(D6527,IMPORTRANGE(""https://docs.google.com/spreadsheets/d/14Bd19lYaqBhU8_DElYkX7l4wRkHqqCUFNJY4AfY3kHU/edit?usp=sharing  #gid=0"",""фіз особи new!relations_name""),6,FALSE)
,
(IF
(
C6527=""юридична особа""
,
VLOOKUP"&amp;"(D6527,IMPORTRANGE(""https://docs.google.com/spreadsheets/d/14Bd19lYaqBhU8_DElYkX7l4wRkHqqCUFNJY4AfY3kHU/edit?usp=sharing  #gid=0"",""фіз особи new!relations_name_uo""),7,FALSE)
,
)
))"),"ГРИГОР'ЄВА Марія Романівна")</f>
        <v>ГРИГОР'ЄВА Марія Романівна</v>
      </c>
      <c r="G6526" s="7" t="s">
        <v>10</v>
      </c>
      <c r="H6526" s="7">
        <v>5915</v>
      </c>
      <c r="I6526" s="8" t="str">
        <f ca="1">IFERROR(__xludf.DUMMYFUNCTION("IF
(
G6527=""фізична особа""
,
VLOOKUP(H6527,IMPORTRANGE(""https://docs.google.com/spreadsheets/d/14Bd19lYaqBhU8_DElYkX7l4wRkHqqCUFNJY4AfY3kHU/edit?usp=sharing  #gid=0"",""фіз особи new!relations_name""),6,FALSE)
,
(IF
(
G6527=""юридична особа""
,
VLOOKUP"&amp;"(H6527,IMPORTRANGE(""https://docs.google.com/spreadsheets/d/14Bd19lYaqBhU8_DElYkX7l4wRkHqqCUFNJY4AfY3kHU/edit?usp=sharing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26" s="7" t="s">
        <v>30</v>
      </c>
    </row>
    <row r="6527" spans="1:10" ht="13.2">
      <c r="A6527" s="7">
        <v>6526</v>
      </c>
      <c r="B6527" s="7">
        <v>1</v>
      </c>
      <c r="C6527" s="7" t="s">
        <v>10</v>
      </c>
      <c r="D6527" s="7">
        <v>5884</v>
      </c>
      <c r="E6527" s="7" t="s">
        <v>30</v>
      </c>
      <c r="F6527" s="8" t="str">
        <f ca="1">IFERROR(__xludf.DUMMYFUNCTION("IF
(
C6528=""фізична особа""
,
VLOOKUP(D6528,IMPORTRANGE(""https://docs.google.com/spreadsheets/d/14Bd19lYaqBhU8_DElYkX7l4wRkHqqCUFNJY4AfY3kHU/edit?usp=sharing  #gid=0"",""фіз особи new!relations_name""),6,FALSE)
,
(IF
(
C6528=""юридична особа""
,
VLOOKUP"&amp;"(D6528,IMPORTRANGE(""https://docs.google.com/spreadsheets/d/14Bd19lYaqBhU8_DElYkX7l4wRkHqqCUFNJY4AfY3kHU/edit?usp=sharing  #gid=0"",""фіз особи new!relations_name_uo""),7,FALSE)
,
)
))"),"ГРИГОР'ЄВА Марія Романівна")</f>
        <v>ГРИГОР'ЄВА Марія Романівна</v>
      </c>
      <c r="G6527" s="7" t="s">
        <v>10</v>
      </c>
      <c r="H6527" s="7">
        <v>2129</v>
      </c>
      <c r="I6527" s="8" t="str">
        <f ca="1">IFERROR(__xludf.DUMMYFUNCTION("IF
(
G6528=""фізична особа""
,
VLOOKUP(H6528,IMPORTRANGE(""https://docs.google.com/spreadsheets/d/14Bd19lYaqBhU8_DElYkX7l4wRkHqqCUFNJY4AfY3kHU/edit?usp=sharing  #gid=0"",""фіз особи new!relations_name""),6,FALSE)
,
(IF
(
G6528=""юридична особа""
,
VLOOKUP"&amp;"(H6528,IMPORTRANGE(""https://docs.google.com/spreadsheets/d/14Bd19lYaqBhU8_DElYkX7l4wRkHqqCUFNJY4AfY3kHU/edit?usp=sharing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27" s="7" t="s">
        <v>30</v>
      </c>
    </row>
    <row r="6528" spans="1:10" ht="13.2">
      <c r="A6528" s="7">
        <v>6527</v>
      </c>
      <c r="B6528" s="7">
        <v>1</v>
      </c>
      <c r="C6528" s="7" t="s">
        <v>10</v>
      </c>
      <c r="D6528" s="7">
        <v>5885</v>
      </c>
      <c r="E6528" s="7" t="s">
        <v>30</v>
      </c>
      <c r="F6528" s="8" t="str">
        <f ca="1">IFERROR(__xludf.DUMMYFUNCTION("IF
(
C6529=""фізична особа""
,
VLOOKUP(D6529,IMPORTRANGE(""https://docs.google.com/spreadsheets/d/14Bd19lYaqBhU8_DElYkX7l4wRkHqqCUFNJY4AfY3kHU/edit?usp=sharing  #gid=0"",""фіз особи new!relations_name""),6,FALSE)
,
(IF
(
C6529=""юридична особа""
,
VLOOKUP"&amp;"(D6529,IMPORTRANGE(""https://docs.google.com/spreadsheets/d/14Bd19lYaqBhU8_DElYkX7l4wRkHqqCUFNJY4AfY3kHU/edit?usp=sharing  #gid=0"",""фіз особи new!relations_name_uo""),7,FALSE)
,
)
))"),"ПЕТРОВ Віталій Гурійович")</f>
        <v>ПЕТРОВ Віталій Гурійович</v>
      </c>
      <c r="G6528" s="7" t="s">
        <v>10</v>
      </c>
      <c r="H6528" s="7">
        <v>2090</v>
      </c>
      <c r="I6528" s="8" t="str">
        <f ca="1">IFERROR(__xludf.DUMMYFUNCTION("IF
(
G6529=""фізична особа""
,
VLOOKUP(H6529,IMPORTRANGE(""https://docs.google.com/spreadsheets/d/14Bd19lYaqBhU8_DElYkX7l4wRkHqqCUFNJY4AfY3kHU/edit?usp=sharing  #gid=0"",""фіз особи new!relations_name""),6,FALSE)
,
(IF
(
G6529=""юридична особа""
,
VLOOKUP"&amp;"(H6529,IMPORTRANGE(""https://docs.google.com/spreadsheets/d/14Bd19lYaqBhU8_DElYkX7l4wRkHqqCUFNJY4AfY3kHU/edit?usp=sharing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28" s="7" t="s">
        <v>30</v>
      </c>
    </row>
    <row r="6529" spans="1:10" ht="13.2">
      <c r="A6529" s="7">
        <v>6528</v>
      </c>
      <c r="B6529" s="7">
        <v>1</v>
      </c>
      <c r="C6529" s="7" t="s">
        <v>10</v>
      </c>
      <c r="D6529" s="7">
        <v>5885</v>
      </c>
      <c r="E6529" s="7" t="s">
        <v>30</v>
      </c>
      <c r="F6529" s="8" t="str">
        <f ca="1">IFERROR(__xludf.DUMMYFUNCTION("IF
(
C6530=""фізична особа""
,
VLOOKUP(D6530,IMPORTRANGE(""https://docs.google.com/spreadsheets/d/14Bd19lYaqBhU8_DElYkX7l4wRkHqqCUFNJY4AfY3kHU/edit?usp=sharing  #gid=0"",""фіз особи new!relations_name""),6,FALSE)
,
(IF
(
C6530=""юридична особа""
,
VLOOKUP"&amp;"(D6530,IMPORTRANGE(""https://docs.google.com/spreadsheets/d/14Bd19lYaqBhU8_DElYkX7l4wRkHqqCUFNJY4AfY3kHU/edit?usp=sharing  #gid=0"",""фіз особи new!relations_name_uo""),7,FALSE)
,
)
))"),"ПЕТРОВ Віталій Гурійович")</f>
        <v>ПЕТРОВ Віталій Гурійович</v>
      </c>
      <c r="G6529" s="7" t="s">
        <v>10</v>
      </c>
      <c r="H6529" s="7">
        <v>5915</v>
      </c>
      <c r="I6529" s="8" t="str">
        <f ca="1">IFERROR(__xludf.DUMMYFUNCTION("IF
(
G6530=""фізична особа""
,
VLOOKUP(H6530,IMPORTRANGE(""https://docs.google.com/spreadsheets/d/14Bd19lYaqBhU8_DElYkX7l4wRkHqqCUFNJY4AfY3kHU/edit?usp=sharing  #gid=0"",""фіз особи new!relations_name""),6,FALSE)
,
(IF
(
G6530=""юридична особа""
,
VLOOKUP"&amp;"(H6530,IMPORTRANGE(""https://docs.google.com/spreadsheets/d/14Bd19lYaqBhU8_DElYkX7l4wRkHqqCUFNJY4AfY3kHU/edit?usp=sharing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29" s="7" t="s">
        <v>30</v>
      </c>
    </row>
    <row r="6530" spans="1:10" ht="13.2">
      <c r="A6530" s="7">
        <v>6529</v>
      </c>
      <c r="B6530" s="7">
        <v>1</v>
      </c>
      <c r="C6530" s="7" t="s">
        <v>10</v>
      </c>
      <c r="D6530" s="7">
        <v>5885</v>
      </c>
      <c r="E6530" s="7" t="s">
        <v>30</v>
      </c>
      <c r="F6530" s="8" t="str">
        <f ca="1">IFERROR(__xludf.DUMMYFUNCTION("IF
(
C6531=""фізична особа""
,
VLOOKUP(D6531,IMPORTRANGE(""https://docs.google.com/spreadsheets/d/14Bd19lYaqBhU8_DElYkX7l4wRkHqqCUFNJY4AfY3kHU/edit?usp=sharing  #gid=0"",""фіз особи new!relations_name""),6,FALSE)
,
(IF
(
C6531=""юридична особа""
,
VLOOKUP"&amp;"(D6531,IMPORTRANGE(""https://docs.google.com/spreadsheets/d/14Bd19lYaqBhU8_DElYkX7l4wRkHqqCUFNJY4AfY3kHU/edit?usp=sharing  #gid=0"",""фіз особи new!relations_name_uo""),7,FALSE)
,
)
))"),"ПЕТРОВ Віталій Гурійович")</f>
        <v>ПЕТРОВ Віталій Гурійович</v>
      </c>
      <c r="G6530" s="7" t="s">
        <v>10</v>
      </c>
      <c r="H6530" s="7">
        <v>2129</v>
      </c>
      <c r="I6530" s="8" t="str">
        <f ca="1">IFERROR(__xludf.DUMMYFUNCTION("IF
(
G6531=""фізична особа""
,
VLOOKUP(H6531,IMPORTRANGE(""https://docs.google.com/spreadsheets/d/14Bd19lYaqBhU8_DElYkX7l4wRkHqqCUFNJY4AfY3kHU/edit?usp=sharing  #gid=0"",""фіз особи new!relations_name""),6,FALSE)
,
(IF
(
G6531=""юридична особа""
,
VLOOKUP"&amp;"(H6531,IMPORTRANGE(""https://docs.google.com/spreadsheets/d/14Bd19lYaqBhU8_DElYkX7l4wRkHqqCUFNJY4AfY3kHU/edit?usp=sharing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30" s="7" t="s">
        <v>30</v>
      </c>
    </row>
    <row r="6531" spans="1:10" ht="13.2">
      <c r="A6531" s="7">
        <v>6530</v>
      </c>
      <c r="B6531" s="7">
        <v>1</v>
      </c>
      <c r="C6531" s="7" t="s">
        <v>10</v>
      </c>
      <c r="D6531" s="7">
        <v>5886</v>
      </c>
      <c r="E6531" s="7" t="s">
        <v>30</v>
      </c>
      <c r="F6531" s="8" t="str">
        <f ca="1">IFERROR(__xludf.DUMMYFUNCTION("IF
(
C6532=""фізична особа""
,
VLOOKUP(D6532,IMPORTRANGE(""https://docs.google.com/spreadsheets/d/14Bd19lYaqBhU8_DElYkX7l4wRkHqqCUFNJY4AfY3kHU/edit?usp=sharing  #gid=0"",""фіз особи new!relations_name""),6,FALSE)
,
(IF
(
C6532=""юридична особа""
,
VLOOKUP"&amp;"(D6532,IMPORTRANGE(""https://docs.google.com/spreadsheets/d/14Bd19lYaqBhU8_DElYkX7l4wRkHqqCUFNJY4AfY3kHU/edit?usp=sharing  #gid=0"",""фіз особи new!relations_name_uo""),7,FALSE)
,
)
))"),"СТУКАЛОВ Антон Миколайович")</f>
        <v>СТУКАЛОВ Антон Миколайович</v>
      </c>
      <c r="G6531" s="7" t="s">
        <v>10</v>
      </c>
      <c r="H6531" s="7">
        <v>2090</v>
      </c>
      <c r="I6531" s="8" t="str">
        <f ca="1">IFERROR(__xludf.DUMMYFUNCTION("IF
(
G6532=""фізична особа""
,
VLOOKUP(H6532,IMPORTRANGE(""https://docs.google.com/spreadsheets/d/14Bd19lYaqBhU8_DElYkX7l4wRkHqqCUFNJY4AfY3kHU/edit?usp=sharing  #gid=0"",""фіз особи new!relations_name""),6,FALSE)
,
(IF
(
G6532=""юридична особа""
,
VLOOKUP"&amp;"(H6532,IMPORTRANGE(""https://docs.google.com/spreadsheets/d/14Bd19lYaqBhU8_DElYkX7l4wRkHqqCUFNJY4AfY3kHU/edit?usp=sharing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31" s="7" t="s">
        <v>30</v>
      </c>
    </row>
    <row r="6532" spans="1:10" ht="13.2">
      <c r="A6532" s="7">
        <v>6531</v>
      </c>
      <c r="B6532" s="7">
        <v>1</v>
      </c>
      <c r="C6532" s="7" t="s">
        <v>10</v>
      </c>
      <c r="D6532" s="7">
        <v>5886</v>
      </c>
      <c r="E6532" s="7" t="s">
        <v>30</v>
      </c>
      <c r="F6532" s="8" t="str">
        <f ca="1">IFERROR(__xludf.DUMMYFUNCTION("IF
(
C6533=""фізична особа""
,
VLOOKUP(D6533,IMPORTRANGE(""https://docs.google.com/spreadsheets/d/14Bd19lYaqBhU8_DElYkX7l4wRkHqqCUFNJY4AfY3kHU/edit?usp=sharing  #gid=0"",""фіз особи new!relations_name""),6,FALSE)
,
(IF
(
C6533=""юридична особа""
,
VLOOKUP"&amp;"(D6533,IMPORTRANGE(""https://docs.google.com/spreadsheets/d/14Bd19lYaqBhU8_DElYkX7l4wRkHqqCUFNJY4AfY3kHU/edit?usp=sharing  #gid=0"",""фіз особи new!relations_name_uo""),7,FALSE)
,
)
))"),"СТУКАЛОВ Антон Миколайович")</f>
        <v>СТУКАЛОВ Антон Миколайович</v>
      </c>
      <c r="G6532" s="7" t="s">
        <v>10</v>
      </c>
      <c r="H6532" s="7">
        <v>5915</v>
      </c>
      <c r="I6532" s="8" t="str">
        <f ca="1">IFERROR(__xludf.DUMMYFUNCTION("IF
(
G6533=""фізична особа""
,
VLOOKUP(H6533,IMPORTRANGE(""https://docs.google.com/spreadsheets/d/14Bd19lYaqBhU8_DElYkX7l4wRkHqqCUFNJY4AfY3kHU/edit?usp=sharing  #gid=0"",""фіз особи new!relations_name""),6,FALSE)
,
(IF
(
G6533=""юридична особа""
,
VLOOKUP"&amp;"(H6533,IMPORTRANGE(""https://docs.google.com/spreadsheets/d/14Bd19lYaqBhU8_DElYkX7l4wRkHqqCUFNJY4AfY3kHU/edit?usp=sharing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32" s="7" t="s">
        <v>30</v>
      </c>
    </row>
    <row r="6533" spans="1:10" ht="13.2">
      <c r="A6533" s="7">
        <v>6532</v>
      </c>
      <c r="B6533" s="7">
        <v>1</v>
      </c>
      <c r="C6533" s="7" t="s">
        <v>10</v>
      </c>
      <c r="D6533" s="7">
        <v>5886</v>
      </c>
      <c r="E6533" s="7" t="s">
        <v>30</v>
      </c>
      <c r="F6533" s="8" t="str">
        <f ca="1">IFERROR(__xludf.DUMMYFUNCTION("IF
(
C6534=""фізична особа""
,
VLOOKUP(D6534,IMPORTRANGE(""https://docs.google.com/spreadsheets/d/14Bd19lYaqBhU8_DElYkX7l4wRkHqqCUFNJY4AfY3kHU/edit?usp=sharing  #gid=0"",""фіз особи new!relations_name""),6,FALSE)
,
(IF
(
C6534=""юридична особа""
,
VLOOKUP"&amp;"(D6534,IMPORTRANGE(""https://docs.google.com/spreadsheets/d/14Bd19lYaqBhU8_DElYkX7l4wRkHqqCUFNJY4AfY3kHU/edit?usp=sharing  #gid=0"",""фіз особи new!relations_name_uo""),7,FALSE)
,
)
))"),"СТУКАЛОВ Антон Миколайович")</f>
        <v>СТУКАЛОВ Антон Миколайович</v>
      </c>
      <c r="G6533" s="7" t="s">
        <v>10</v>
      </c>
      <c r="H6533" s="7">
        <v>2129</v>
      </c>
      <c r="I6533" s="8" t="str">
        <f ca="1">IFERROR(__xludf.DUMMYFUNCTION("IF
(
G6534=""фізична особа""
,
VLOOKUP(H6534,IMPORTRANGE(""https://docs.google.com/spreadsheets/d/14Bd19lYaqBhU8_DElYkX7l4wRkHqqCUFNJY4AfY3kHU/edit?usp=sharing  #gid=0"",""фіз особи new!relations_name""),6,FALSE)
,
(IF
(
G6534=""юридична особа""
,
VLOOKUP"&amp;"(H6534,IMPORTRANGE(""https://docs.google.com/spreadsheets/d/14Bd19lYaqBhU8_DElYkX7l4wRkHqqCUFNJY4AfY3kHU/edit?usp=sharing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33" s="7" t="s">
        <v>30</v>
      </c>
    </row>
    <row r="6534" spans="1:10" ht="13.2">
      <c r="A6534" s="7">
        <v>6533</v>
      </c>
      <c r="B6534" s="7">
        <v>1</v>
      </c>
      <c r="C6534" s="7" t="s">
        <v>10</v>
      </c>
      <c r="D6534" s="7">
        <v>5887</v>
      </c>
      <c r="E6534" s="7" t="s">
        <v>30</v>
      </c>
      <c r="F6534" s="8" t="str">
        <f ca="1">IFERROR(__xludf.DUMMYFUNCTION("IF
(
C6535=""фізична особа""
,
VLOOKUP(D6535,IMPORTRANGE(""https://docs.google.com/spreadsheets/d/14Bd19lYaqBhU8_DElYkX7l4wRkHqqCUFNJY4AfY3kHU/edit?usp=sharing  #gid=0"",""фіз особи new!relations_name""),6,FALSE)
,
(IF
(
C6535=""юридична особа""
,
VLOOKUP"&amp;"(D6535,IMPORTRANGE(""https://docs.google.com/spreadsheets/d/14Bd19lYaqBhU8_DElYkX7l4wRkHqqCUFNJY4AfY3kHU/edit?usp=sharing  #gid=0"",""фіз особи new!relations_name_uo""),7,FALSE)
,
)
))"),"КРЯЖЕВ Семен Ігорович")</f>
        <v>КРЯЖЕВ Семен Ігорович</v>
      </c>
      <c r="G6534" s="7" t="s">
        <v>10</v>
      </c>
      <c r="H6534" s="7">
        <v>2090</v>
      </c>
      <c r="I6534" s="8" t="str">
        <f ca="1">IFERROR(__xludf.DUMMYFUNCTION("IF
(
G6535=""фізична особа""
,
VLOOKUP(H6535,IMPORTRANGE(""https://docs.google.com/spreadsheets/d/14Bd19lYaqBhU8_DElYkX7l4wRkHqqCUFNJY4AfY3kHU/edit?usp=sharing  #gid=0"",""фіз особи new!relations_name""),6,FALSE)
,
(IF
(
G6535=""юридична особа""
,
VLOOKUP"&amp;"(H6535,IMPORTRANGE(""https://docs.google.com/spreadsheets/d/14Bd19lYaqBhU8_DElYkX7l4wRkHqqCUFNJY4AfY3kHU/edit?usp=sharing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34" s="7" t="s">
        <v>30</v>
      </c>
    </row>
    <row r="6535" spans="1:10" ht="13.2">
      <c r="A6535" s="7">
        <v>6534</v>
      </c>
      <c r="B6535" s="7">
        <v>1</v>
      </c>
      <c r="C6535" s="7" t="s">
        <v>10</v>
      </c>
      <c r="D6535" s="7">
        <v>5887</v>
      </c>
      <c r="E6535" s="7" t="s">
        <v>30</v>
      </c>
      <c r="F6535" s="8" t="str">
        <f ca="1">IFERROR(__xludf.DUMMYFUNCTION("IF
(
C6536=""фізична особа""
,
VLOOKUP(D6536,IMPORTRANGE(""https://docs.google.com/spreadsheets/d/14Bd19lYaqBhU8_DElYkX7l4wRkHqqCUFNJY4AfY3kHU/edit?usp=sharing  #gid=0"",""фіз особи new!relations_name""),6,FALSE)
,
(IF
(
C6536=""юридична особа""
,
VLOOKUP"&amp;"(D6536,IMPORTRANGE(""https://docs.google.com/spreadsheets/d/14Bd19lYaqBhU8_DElYkX7l4wRkHqqCUFNJY4AfY3kHU/edit?usp=sharing  #gid=0"",""фіз особи new!relations_name_uo""),7,FALSE)
,
)
))"),"КРЯЖЕВ Семен Ігорович")</f>
        <v>КРЯЖЕВ Семен Ігорович</v>
      </c>
      <c r="G6535" s="7" t="s">
        <v>10</v>
      </c>
      <c r="H6535" s="7">
        <v>5915</v>
      </c>
      <c r="I6535" s="8" t="str">
        <f ca="1">IFERROR(__xludf.DUMMYFUNCTION("IF
(
G6536=""фізична особа""
,
VLOOKUP(H6536,IMPORTRANGE(""https://docs.google.com/spreadsheets/d/14Bd19lYaqBhU8_DElYkX7l4wRkHqqCUFNJY4AfY3kHU/edit?usp=sharing  #gid=0"",""фіз особи new!relations_name""),6,FALSE)
,
(IF
(
G6536=""юридична особа""
,
VLOOKUP"&amp;"(H6536,IMPORTRANGE(""https://docs.google.com/spreadsheets/d/14Bd19lYaqBhU8_DElYkX7l4wRkHqqCUFNJY4AfY3kHU/edit?usp=sharing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35" s="7" t="s">
        <v>30</v>
      </c>
    </row>
    <row r="6536" spans="1:10" ht="13.2">
      <c r="A6536" s="7">
        <v>6535</v>
      </c>
      <c r="B6536" s="7">
        <v>1</v>
      </c>
      <c r="C6536" s="7" t="s">
        <v>10</v>
      </c>
      <c r="D6536" s="7">
        <v>5887</v>
      </c>
      <c r="E6536" s="7" t="s">
        <v>30</v>
      </c>
      <c r="F6536" s="8" t="str">
        <f ca="1">IFERROR(__xludf.DUMMYFUNCTION("IF
(
C6537=""фізична особа""
,
VLOOKUP(D6537,IMPORTRANGE(""https://docs.google.com/spreadsheets/d/14Bd19lYaqBhU8_DElYkX7l4wRkHqqCUFNJY4AfY3kHU/edit?usp=sharing  #gid=0"",""фіз особи new!relations_name""),6,FALSE)
,
(IF
(
C6537=""юридична особа""
,
VLOOKUP"&amp;"(D6537,IMPORTRANGE(""https://docs.google.com/spreadsheets/d/14Bd19lYaqBhU8_DElYkX7l4wRkHqqCUFNJY4AfY3kHU/edit?usp=sharing  #gid=0"",""фіз особи new!relations_name_uo""),7,FALSE)
,
)
))"),"КРЯЖЕВ Семен Ігорович")</f>
        <v>КРЯЖЕВ Семен Ігорович</v>
      </c>
      <c r="G6536" s="7" t="s">
        <v>10</v>
      </c>
      <c r="H6536" s="7">
        <v>2129</v>
      </c>
      <c r="I6536" s="8" t="str">
        <f ca="1">IFERROR(__xludf.DUMMYFUNCTION("IF
(
G6537=""фізична особа""
,
VLOOKUP(H6537,IMPORTRANGE(""https://docs.google.com/spreadsheets/d/14Bd19lYaqBhU8_DElYkX7l4wRkHqqCUFNJY4AfY3kHU/edit?usp=sharing  #gid=0"",""фіз особи new!relations_name""),6,FALSE)
,
(IF
(
G6537=""юридична особа""
,
VLOOKUP"&amp;"(H6537,IMPORTRANGE(""https://docs.google.com/spreadsheets/d/14Bd19lYaqBhU8_DElYkX7l4wRkHqqCUFNJY4AfY3kHU/edit?usp=sharing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36" s="7" t="s">
        <v>30</v>
      </c>
    </row>
    <row r="6537" spans="1:10" ht="13.2">
      <c r="A6537" s="7">
        <v>6536</v>
      </c>
      <c r="B6537" s="7">
        <v>1</v>
      </c>
      <c r="C6537" s="7" t="s">
        <v>10</v>
      </c>
      <c r="D6537" s="7">
        <v>5888</v>
      </c>
      <c r="E6537" s="7" t="s">
        <v>30</v>
      </c>
      <c r="F6537" s="8" t="str">
        <f ca="1">IFERROR(__xludf.DUMMYFUNCTION("IF
(
C6538=""фізична особа""
,
VLOOKUP(D6538,IMPORTRANGE(""https://docs.google.com/spreadsheets/d/14Bd19lYaqBhU8_DElYkX7l4wRkHqqCUFNJY4AfY3kHU/edit?usp=sharing  #gid=0"",""фіз особи new!relations_name""),6,FALSE)
,
(IF
(
C6538=""юридична особа""
,
VLOOKUP"&amp;"(D6538,IMPORTRANGE(""https://docs.google.com/spreadsheets/d/14Bd19lYaqBhU8_DElYkX7l4wRkHqqCUFNJY4AfY3kHU/edit?usp=sharing  #gid=0"",""фіз особи new!relations_name_uo""),7,FALSE)
,
)
))"),"ДОНКОВЦЕВ Дмитро Миколайович")</f>
        <v>ДОНКОВЦЕВ Дмитро Миколайович</v>
      </c>
      <c r="G6537" s="7" t="s">
        <v>10</v>
      </c>
      <c r="H6537" s="7">
        <v>2090</v>
      </c>
      <c r="I6537" s="8" t="str">
        <f ca="1">IFERROR(__xludf.DUMMYFUNCTION("IF
(
G6538=""фізична особа""
,
VLOOKUP(H6538,IMPORTRANGE(""https://docs.google.com/spreadsheets/d/14Bd19lYaqBhU8_DElYkX7l4wRkHqqCUFNJY4AfY3kHU/edit?usp=sharing  #gid=0"",""фіз особи new!relations_name""),6,FALSE)
,
(IF
(
G6538=""юридична особа""
,
VLOOKUP"&amp;"(H6538,IMPORTRANGE(""https://docs.google.com/spreadsheets/d/14Bd19lYaqBhU8_DElYkX7l4wRkHqqCUFNJY4AfY3kHU/edit?usp=sharing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37" s="7" t="s">
        <v>30</v>
      </c>
    </row>
    <row r="6538" spans="1:10" ht="13.2">
      <c r="A6538" s="7">
        <v>6537</v>
      </c>
      <c r="B6538" s="7">
        <v>1</v>
      </c>
      <c r="C6538" s="7" t="s">
        <v>10</v>
      </c>
      <c r="D6538" s="7">
        <v>5888</v>
      </c>
      <c r="E6538" s="7" t="s">
        <v>30</v>
      </c>
      <c r="F6538" s="8" t="str">
        <f ca="1">IFERROR(__xludf.DUMMYFUNCTION("IF
(
C6539=""фізична особа""
,
VLOOKUP(D6539,IMPORTRANGE(""https://docs.google.com/spreadsheets/d/14Bd19lYaqBhU8_DElYkX7l4wRkHqqCUFNJY4AfY3kHU/edit?usp=sharing  #gid=0"",""фіз особи new!relations_name""),6,FALSE)
,
(IF
(
C6539=""юридична особа""
,
VLOOKUP"&amp;"(D6539,IMPORTRANGE(""https://docs.google.com/spreadsheets/d/14Bd19lYaqBhU8_DElYkX7l4wRkHqqCUFNJY4AfY3kHU/edit?usp=sharing  #gid=0"",""фіз особи new!relations_name_uo""),7,FALSE)
,
)
))"),"ДОНКОВЦЕВ Дмитро Миколайович")</f>
        <v>ДОНКОВЦЕВ Дмитро Миколайович</v>
      </c>
      <c r="G6538" s="7" t="s">
        <v>10</v>
      </c>
      <c r="H6538" s="7">
        <v>5915</v>
      </c>
      <c r="I6538" s="8" t="str">
        <f ca="1">IFERROR(__xludf.DUMMYFUNCTION("IF
(
G6539=""фізична особа""
,
VLOOKUP(H6539,IMPORTRANGE(""https://docs.google.com/spreadsheets/d/14Bd19lYaqBhU8_DElYkX7l4wRkHqqCUFNJY4AfY3kHU/edit?usp=sharing  #gid=0"",""фіз особи new!relations_name""),6,FALSE)
,
(IF
(
G6539=""юридична особа""
,
VLOOKUP"&amp;"(H6539,IMPORTRANGE(""https://docs.google.com/spreadsheets/d/14Bd19lYaqBhU8_DElYkX7l4wRkHqqCUFNJY4AfY3kHU/edit?usp=sharing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38" s="7" t="s">
        <v>30</v>
      </c>
    </row>
    <row r="6539" spans="1:10" ht="13.2">
      <c r="A6539" s="7">
        <v>6538</v>
      </c>
      <c r="B6539" s="7">
        <v>1</v>
      </c>
      <c r="C6539" s="7" t="s">
        <v>10</v>
      </c>
      <c r="D6539" s="7">
        <v>5888</v>
      </c>
      <c r="E6539" s="7" t="s">
        <v>30</v>
      </c>
      <c r="F6539" s="8" t="str">
        <f ca="1">IFERROR(__xludf.DUMMYFUNCTION("IF
(
C6540=""фізична особа""
,
VLOOKUP(D6540,IMPORTRANGE(""https://docs.google.com/spreadsheets/d/14Bd19lYaqBhU8_DElYkX7l4wRkHqqCUFNJY4AfY3kHU/edit?usp=sharing  #gid=0"",""фіз особи new!relations_name""),6,FALSE)
,
(IF
(
C6540=""юридична особа""
,
VLOOKUP"&amp;"(D6540,IMPORTRANGE(""https://docs.google.com/spreadsheets/d/14Bd19lYaqBhU8_DElYkX7l4wRkHqqCUFNJY4AfY3kHU/edit?usp=sharing  #gid=0"",""фіз особи new!relations_name_uo""),7,FALSE)
,
)
))"),"ДОНКОВЦЕВ Дмитро Миколайович")</f>
        <v>ДОНКОВЦЕВ Дмитро Миколайович</v>
      </c>
      <c r="G6539" s="7" t="s">
        <v>10</v>
      </c>
      <c r="H6539" s="7">
        <v>2129</v>
      </c>
      <c r="I6539" s="8" t="str">
        <f ca="1">IFERROR(__xludf.DUMMYFUNCTION("IF
(
G6540=""фізична особа""
,
VLOOKUP(H6540,IMPORTRANGE(""https://docs.google.com/spreadsheets/d/14Bd19lYaqBhU8_DElYkX7l4wRkHqqCUFNJY4AfY3kHU/edit?usp=sharing  #gid=0"",""фіз особи new!relations_name""),6,FALSE)
,
(IF
(
G6540=""юридична особа""
,
VLOOKUP"&amp;"(H6540,IMPORTRANGE(""https://docs.google.com/spreadsheets/d/14Bd19lYaqBhU8_DElYkX7l4wRkHqqCUFNJY4AfY3kHU/edit?usp=sharing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39" s="7" t="s">
        <v>30</v>
      </c>
    </row>
    <row r="6540" spans="1:10" ht="13.2">
      <c r="A6540" s="7">
        <v>6539</v>
      </c>
      <c r="B6540" s="7">
        <v>1</v>
      </c>
      <c r="C6540" s="7" t="s">
        <v>10</v>
      </c>
      <c r="D6540" s="7">
        <v>5889</v>
      </c>
      <c r="E6540" s="7" t="s">
        <v>30</v>
      </c>
      <c r="F6540" s="8" t="str">
        <f ca="1">IFERROR(__xludf.DUMMYFUNCTION("IF
(
C6541=""фізична особа""
,
VLOOKUP(D6541,IMPORTRANGE(""https://docs.google.com/spreadsheets/d/14Bd19lYaqBhU8_DElYkX7l4wRkHqqCUFNJY4AfY3kHU/edit?usp=sharing  #gid=0"",""фіз особи new!relations_name""),6,FALSE)
,
(IF
(
C6541=""юридична особа""
,
VLOOKUP"&amp;"(D6541,IMPORTRANGE(""https://docs.google.com/spreadsheets/d/14Bd19lYaqBhU8_DElYkX7l4wRkHqqCUFNJY4AfY3kHU/edit?usp=sharing  #gid=0"",""фіз особи new!relations_name_uo""),7,FALSE)
,
)
))"),"ПРЯДКО Артем Ігорович")</f>
        <v>ПРЯДКО Артем Ігорович</v>
      </c>
      <c r="G6540" s="7" t="s">
        <v>10</v>
      </c>
      <c r="H6540" s="7">
        <v>2090</v>
      </c>
      <c r="I6540" s="8" t="str">
        <f ca="1">IFERROR(__xludf.DUMMYFUNCTION("IF
(
G6541=""фізична особа""
,
VLOOKUP(H6541,IMPORTRANGE(""https://docs.google.com/spreadsheets/d/14Bd19lYaqBhU8_DElYkX7l4wRkHqqCUFNJY4AfY3kHU/edit?usp=sharing  #gid=0"",""фіз особи new!relations_name""),6,FALSE)
,
(IF
(
G6541=""юридична особа""
,
VLOOKUP"&amp;"(H6541,IMPORTRANGE(""https://docs.google.com/spreadsheets/d/14Bd19lYaqBhU8_DElYkX7l4wRkHqqCUFNJY4AfY3kHU/edit?usp=sharing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40" s="7" t="s">
        <v>30</v>
      </c>
    </row>
    <row r="6541" spans="1:10" ht="13.2">
      <c r="A6541" s="7">
        <v>6540</v>
      </c>
      <c r="B6541" s="7">
        <v>1</v>
      </c>
      <c r="C6541" s="7" t="s">
        <v>10</v>
      </c>
      <c r="D6541" s="7">
        <v>5889</v>
      </c>
      <c r="E6541" s="7" t="s">
        <v>30</v>
      </c>
      <c r="F6541" s="8" t="str">
        <f ca="1">IFERROR(__xludf.DUMMYFUNCTION("IF
(
C6542=""фізична особа""
,
VLOOKUP(D6542,IMPORTRANGE(""https://docs.google.com/spreadsheets/d/14Bd19lYaqBhU8_DElYkX7l4wRkHqqCUFNJY4AfY3kHU/edit?usp=sharing  #gid=0"",""фіз особи new!relations_name""),6,FALSE)
,
(IF
(
C6542=""юридична особа""
,
VLOOKUP"&amp;"(D6542,IMPORTRANGE(""https://docs.google.com/spreadsheets/d/14Bd19lYaqBhU8_DElYkX7l4wRkHqqCUFNJY4AfY3kHU/edit?usp=sharing  #gid=0"",""фіз особи new!relations_name_uo""),7,FALSE)
,
)
))"),"ПРЯДКО Артем Ігорович")</f>
        <v>ПРЯДКО Артем Ігорович</v>
      </c>
      <c r="G6541" s="7" t="s">
        <v>10</v>
      </c>
      <c r="H6541" s="7">
        <v>5915</v>
      </c>
      <c r="I6541" s="8" t="str">
        <f ca="1">IFERROR(__xludf.DUMMYFUNCTION("IF
(
G6542=""фізична особа""
,
VLOOKUP(H6542,IMPORTRANGE(""https://docs.google.com/spreadsheets/d/14Bd19lYaqBhU8_DElYkX7l4wRkHqqCUFNJY4AfY3kHU/edit?usp=sharing  #gid=0"",""фіз особи new!relations_name""),6,FALSE)
,
(IF
(
G6542=""юридична особа""
,
VLOOKUP"&amp;"(H6542,IMPORTRANGE(""https://docs.google.com/spreadsheets/d/14Bd19lYaqBhU8_DElYkX7l4wRkHqqCUFNJY4AfY3kHU/edit?usp=sharing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41" s="7" t="s">
        <v>30</v>
      </c>
    </row>
    <row r="6542" spans="1:10" ht="13.2">
      <c r="A6542" s="7">
        <v>6541</v>
      </c>
      <c r="B6542" s="7">
        <v>1</v>
      </c>
      <c r="C6542" s="7" t="s">
        <v>10</v>
      </c>
      <c r="D6542" s="7">
        <v>5889</v>
      </c>
      <c r="E6542" s="7" t="s">
        <v>30</v>
      </c>
      <c r="F6542" s="8" t="str">
        <f ca="1">IFERROR(__xludf.DUMMYFUNCTION("IF
(
C6543=""фізична особа""
,
VLOOKUP(D6543,IMPORTRANGE(""https://docs.google.com/spreadsheets/d/14Bd19lYaqBhU8_DElYkX7l4wRkHqqCUFNJY4AfY3kHU/edit?usp=sharing  #gid=0"",""фіз особи new!relations_name""),6,FALSE)
,
(IF
(
C6543=""юридична особа""
,
VLOOKUP"&amp;"(D6543,IMPORTRANGE(""https://docs.google.com/spreadsheets/d/14Bd19lYaqBhU8_DElYkX7l4wRkHqqCUFNJY4AfY3kHU/edit?usp=sharing  #gid=0"",""фіз особи new!relations_name_uo""),7,FALSE)
,
)
))"),"ПРЯДКО Артем Ігорович")</f>
        <v>ПРЯДКО Артем Ігорович</v>
      </c>
      <c r="G6542" s="7" t="s">
        <v>10</v>
      </c>
      <c r="H6542" s="7">
        <v>2129</v>
      </c>
      <c r="I6542" s="8" t="str">
        <f ca="1">IFERROR(__xludf.DUMMYFUNCTION("IF
(
G6543=""фізична особа""
,
VLOOKUP(H6543,IMPORTRANGE(""https://docs.google.com/spreadsheets/d/14Bd19lYaqBhU8_DElYkX7l4wRkHqqCUFNJY4AfY3kHU/edit?usp=sharing  #gid=0"",""фіз особи new!relations_name""),6,FALSE)
,
(IF
(
G6543=""юридична особа""
,
VLOOKUP"&amp;"(H6543,IMPORTRANGE(""https://docs.google.com/spreadsheets/d/14Bd19lYaqBhU8_DElYkX7l4wRkHqqCUFNJY4AfY3kHU/edit?usp=sharing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42" s="7" t="s">
        <v>30</v>
      </c>
    </row>
    <row r="6543" spans="1:10" ht="13.2">
      <c r="A6543" s="7">
        <v>6542</v>
      </c>
      <c r="B6543" s="7">
        <v>1</v>
      </c>
      <c r="C6543" s="7" t="s">
        <v>10</v>
      </c>
      <c r="D6543" s="7">
        <v>5890</v>
      </c>
      <c r="E6543" s="7" t="s">
        <v>30</v>
      </c>
      <c r="F6543" s="8" t="str">
        <f ca="1">IFERROR(__xludf.DUMMYFUNCTION("IF
(
C6544=""фізична особа""
,
VLOOKUP(D6544,IMPORTRANGE(""https://docs.google.com/spreadsheets/d/14Bd19lYaqBhU8_DElYkX7l4wRkHqqCUFNJY4AfY3kHU/edit?usp=sharing  #gid=0"",""фіз особи new!relations_name""),6,FALSE)
,
(IF
(
C6544=""юридична особа""
,
VLOOKUP"&amp;"(D6544,IMPORTRANGE(""https://docs.google.com/spreadsheets/d/14Bd19lYaqBhU8_DElYkX7l4wRkHqqCUFNJY4AfY3kHU/edit?usp=sharing  #gid=0"",""фіз особи new!relations_name_uo""),7,FALSE)
,
)
))"),"КОТЕЛЬНИКОВА Лідія Сергіївна")</f>
        <v>КОТЕЛЬНИКОВА Лідія Сергіївна</v>
      </c>
      <c r="G6543" s="7" t="s">
        <v>10</v>
      </c>
      <c r="H6543" s="7">
        <v>2090</v>
      </c>
      <c r="I6543" s="8" t="str">
        <f ca="1">IFERROR(__xludf.DUMMYFUNCTION("IF
(
G6544=""фізична особа""
,
VLOOKUP(H6544,IMPORTRANGE(""https://docs.google.com/spreadsheets/d/14Bd19lYaqBhU8_DElYkX7l4wRkHqqCUFNJY4AfY3kHU/edit?usp=sharing  #gid=0"",""фіз особи new!relations_name""),6,FALSE)
,
(IF
(
G6544=""юридична особа""
,
VLOOKUP"&amp;"(H6544,IMPORTRANGE(""https://docs.google.com/spreadsheets/d/14Bd19lYaqBhU8_DElYkX7l4wRkHqqCUFNJY4AfY3kHU/edit?usp=sharing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43" s="7" t="s">
        <v>30</v>
      </c>
    </row>
    <row r="6544" spans="1:10" ht="13.2">
      <c r="A6544" s="7">
        <v>6543</v>
      </c>
      <c r="B6544" s="7">
        <v>1</v>
      </c>
      <c r="C6544" s="7" t="s">
        <v>10</v>
      </c>
      <c r="D6544" s="7">
        <v>5890</v>
      </c>
      <c r="E6544" s="7" t="s">
        <v>30</v>
      </c>
      <c r="F6544" s="8" t="str">
        <f ca="1">IFERROR(__xludf.DUMMYFUNCTION("IF
(
C6545=""фізична особа""
,
VLOOKUP(D6545,IMPORTRANGE(""https://docs.google.com/spreadsheets/d/14Bd19lYaqBhU8_DElYkX7l4wRkHqqCUFNJY4AfY3kHU/edit?usp=sharing  #gid=0"",""фіз особи new!relations_name""),6,FALSE)
,
(IF
(
C6545=""юридична особа""
,
VLOOKUP"&amp;"(D6545,IMPORTRANGE(""https://docs.google.com/spreadsheets/d/14Bd19lYaqBhU8_DElYkX7l4wRkHqqCUFNJY4AfY3kHU/edit?usp=sharing  #gid=0"",""фіз особи new!relations_name_uo""),7,FALSE)
,
)
))"),"КОТЕЛЬНИКОВА Лідія Сергіївна")</f>
        <v>КОТЕЛЬНИКОВА Лідія Сергіївна</v>
      </c>
      <c r="G6544" s="7" t="s">
        <v>10</v>
      </c>
      <c r="H6544" s="7">
        <v>5915</v>
      </c>
      <c r="I6544" s="8" t="str">
        <f ca="1">IFERROR(__xludf.DUMMYFUNCTION("IF
(
G6545=""фізична особа""
,
VLOOKUP(H6545,IMPORTRANGE(""https://docs.google.com/spreadsheets/d/14Bd19lYaqBhU8_DElYkX7l4wRkHqqCUFNJY4AfY3kHU/edit?usp=sharing  #gid=0"",""фіз особи new!relations_name""),6,FALSE)
,
(IF
(
G6545=""юридична особа""
,
VLOOKUP"&amp;"(H6545,IMPORTRANGE(""https://docs.google.com/spreadsheets/d/14Bd19lYaqBhU8_DElYkX7l4wRkHqqCUFNJY4AfY3kHU/edit?usp=sharing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44" s="7" t="s">
        <v>30</v>
      </c>
    </row>
    <row r="6545" spans="1:10" ht="13.2">
      <c r="A6545" s="7">
        <v>6544</v>
      </c>
      <c r="B6545" s="7">
        <v>1</v>
      </c>
      <c r="C6545" s="7" t="s">
        <v>10</v>
      </c>
      <c r="D6545" s="7">
        <v>5890</v>
      </c>
      <c r="E6545" s="7" t="s">
        <v>30</v>
      </c>
      <c r="F6545" s="8" t="str">
        <f ca="1">IFERROR(__xludf.DUMMYFUNCTION("IF
(
C6546=""фізична особа""
,
VLOOKUP(D6546,IMPORTRANGE(""https://docs.google.com/spreadsheets/d/14Bd19lYaqBhU8_DElYkX7l4wRkHqqCUFNJY4AfY3kHU/edit?usp=sharing  #gid=0"",""фіз особи new!relations_name""),6,FALSE)
,
(IF
(
C6546=""юридична особа""
,
VLOOKUP"&amp;"(D6546,IMPORTRANGE(""https://docs.google.com/spreadsheets/d/14Bd19lYaqBhU8_DElYkX7l4wRkHqqCUFNJY4AfY3kHU/edit?usp=sharing  #gid=0"",""фіз особи new!relations_name_uo""),7,FALSE)
,
)
))"),"КОТЕЛЬНИКОВА Лідія Сергіївна")</f>
        <v>КОТЕЛЬНИКОВА Лідія Сергіївна</v>
      </c>
      <c r="G6545" s="7" t="s">
        <v>10</v>
      </c>
      <c r="H6545" s="7">
        <v>2129</v>
      </c>
      <c r="I6545" s="8" t="str">
        <f ca="1">IFERROR(__xludf.DUMMYFUNCTION("IF
(
G6546=""фізична особа""
,
VLOOKUP(H6546,IMPORTRANGE(""https://docs.google.com/spreadsheets/d/14Bd19lYaqBhU8_DElYkX7l4wRkHqqCUFNJY4AfY3kHU/edit?usp=sharing  #gid=0"",""фіз особи new!relations_name""),6,FALSE)
,
(IF
(
G6546=""юридична особа""
,
VLOOKUP"&amp;"(H6546,IMPORTRANGE(""https://docs.google.com/spreadsheets/d/14Bd19lYaqBhU8_DElYkX7l4wRkHqqCUFNJY4AfY3kHU/edit?usp=sharing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45" s="7" t="s">
        <v>30</v>
      </c>
    </row>
    <row r="6546" spans="1:10" ht="13.2">
      <c r="A6546" s="7">
        <v>6545</v>
      </c>
      <c r="B6546" s="7">
        <v>1</v>
      </c>
      <c r="C6546" s="7" t="s">
        <v>10</v>
      </c>
      <c r="D6546" s="7">
        <v>5891</v>
      </c>
      <c r="E6546" s="7" t="s">
        <v>30</v>
      </c>
      <c r="F6546" s="8" t="str">
        <f ca="1">IFERROR(__xludf.DUMMYFUNCTION("IF
(
C6547=""фізична особа""
,
VLOOKUP(D6547,IMPORTRANGE(""https://docs.google.com/spreadsheets/d/14Bd19lYaqBhU8_DElYkX7l4wRkHqqCUFNJY4AfY3kHU/edit?usp=sharing  #gid=0"",""фіз особи new!relations_name""),6,FALSE)
,
(IF
(
C6547=""юридична особа""
,
VLOOKUP"&amp;"(D6547,IMPORTRANGE(""https://docs.google.com/spreadsheets/d/14Bd19lYaqBhU8_DElYkX7l4wRkHqqCUFNJY4AfY3kHU/edit?usp=sharing  #gid=0"",""фіз особи new!relations_name_uo""),7,FALSE)
,
)
))"),"ШКУРАЙ Павло Миколайович")</f>
        <v>ШКУРАЙ Павло Миколайович</v>
      </c>
      <c r="G6546" s="7" t="s">
        <v>10</v>
      </c>
      <c r="H6546" s="7">
        <v>2090</v>
      </c>
      <c r="I6546" s="8" t="str">
        <f ca="1">IFERROR(__xludf.DUMMYFUNCTION("IF
(
G6547=""фізична особа""
,
VLOOKUP(H6547,IMPORTRANGE(""https://docs.google.com/spreadsheets/d/14Bd19lYaqBhU8_DElYkX7l4wRkHqqCUFNJY4AfY3kHU/edit?usp=sharing  #gid=0"",""фіз особи new!relations_name""),6,FALSE)
,
(IF
(
G6547=""юридична особа""
,
VLOOKUP"&amp;"(H6547,IMPORTRANGE(""https://docs.google.com/spreadsheets/d/14Bd19lYaqBhU8_DElYkX7l4wRkHqqCUFNJY4AfY3kHU/edit?usp=sharing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46" s="7" t="s">
        <v>30</v>
      </c>
    </row>
    <row r="6547" spans="1:10" ht="13.2">
      <c r="A6547" s="7">
        <v>6546</v>
      </c>
      <c r="B6547" s="7">
        <v>1</v>
      </c>
      <c r="C6547" s="7" t="s">
        <v>10</v>
      </c>
      <c r="D6547" s="7">
        <v>5891</v>
      </c>
      <c r="E6547" s="7" t="s">
        <v>30</v>
      </c>
      <c r="F6547" s="8" t="str">
        <f ca="1">IFERROR(__xludf.DUMMYFUNCTION("IF
(
C6548=""фізична особа""
,
VLOOKUP(D6548,IMPORTRANGE(""https://docs.google.com/spreadsheets/d/14Bd19lYaqBhU8_DElYkX7l4wRkHqqCUFNJY4AfY3kHU/edit?usp=sharing  #gid=0"",""фіз особи new!relations_name""),6,FALSE)
,
(IF
(
C6548=""юридична особа""
,
VLOOKUP"&amp;"(D6548,IMPORTRANGE(""https://docs.google.com/spreadsheets/d/14Bd19lYaqBhU8_DElYkX7l4wRkHqqCUFNJY4AfY3kHU/edit?usp=sharing  #gid=0"",""фіз особи new!relations_name_uo""),7,FALSE)
,
)
))"),"ШКУРАЙ Павло Миколайович")</f>
        <v>ШКУРАЙ Павло Миколайович</v>
      </c>
      <c r="G6547" s="7" t="s">
        <v>10</v>
      </c>
      <c r="H6547" s="7">
        <v>5915</v>
      </c>
      <c r="I6547" s="8" t="str">
        <f ca="1">IFERROR(__xludf.DUMMYFUNCTION("IF
(
G6548=""фізична особа""
,
VLOOKUP(H6548,IMPORTRANGE(""https://docs.google.com/spreadsheets/d/14Bd19lYaqBhU8_DElYkX7l4wRkHqqCUFNJY4AfY3kHU/edit?usp=sharing  #gid=0"",""фіз особи new!relations_name""),6,FALSE)
,
(IF
(
G6548=""юридична особа""
,
VLOOKUP"&amp;"(H6548,IMPORTRANGE(""https://docs.google.com/spreadsheets/d/14Bd19lYaqBhU8_DElYkX7l4wRkHqqCUFNJY4AfY3kHU/edit?usp=sharing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47" s="7" t="s">
        <v>30</v>
      </c>
    </row>
    <row r="6548" spans="1:10" ht="13.2">
      <c r="A6548" s="7">
        <v>6547</v>
      </c>
      <c r="B6548" s="7">
        <v>1</v>
      </c>
      <c r="C6548" s="7" t="s">
        <v>10</v>
      </c>
      <c r="D6548" s="7">
        <v>5891</v>
      </c>
      <c r="E6548" s="7" t="s">
        <v>30</v>
      </c>
      <c r="F6548" s="8" t="str">
        <f ca="1">IFERROR(__xludf.DUMMYFUNCTION("IF
(
C6549=""фізична особа""
,
VLOOKUP(D6549,IMPORTRANGE(""https://docs.google.com/spreadsheets/d/14Bd19lYaqBhU8_DElYkX7l4wRkHqqCUFNJY4AfY3kHU/edit?usp=sharing  #gid=0"",""фіз особи new!relations_name""),6,FALSE)
,
(IF
(
C6549=""юридична особа""
,
VLOOKUP"&amp;"(D6549,IMPORTRANGE(""https://docs.google.com/spreadsheets/d/14Bd19lYaqBhU8_DElYkX7l4wRkHqqCUFNJY4AfY3kHU/edit?usp=sharing  #gid=0"",""фіз особи new!relations_name_uo""),7,FALSE)
,
)
))"),"ШКУРАЙ Павло Миколайович")</f>
        <v>ШКУРАЙ Павло Миколайович</v>
      </c>
      <c r="G6548" s="7" t="s">
        <v>10</v>
      </c>
      <c r="H6548" s="7">
        <v>2129</v>
      </c>
      <c r="I6548" s="8" t="str">
        <f ca="1">IFERROR(__xludf.DUMMYFUNCTION("IF
(
G6549=""фізична особа""
,
VLOOKUP(H6549,IMPORTRANGE(""https://docs.google.com/spreadsheets/d/14Bd19lYaqBhU8_DElYkX7l4wRkHqqCUFNJY4AfY3kHU/edit?usp=sharing  #gid=0"",""фіз особи new!relations_name""),6,FALSE)
,
(IF
(
G6549=""юридична особа""
,
VLOOKUP"&amp;"(H6549,IMPORTRANGE(""https://docs.google.com/spreadsheets/d/14Bd19lYaqBhU8_DElYkX7l4wRkHqqCUFNJY4AfY3kHU/edit?usp=sharing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48" s="7" t="s">
        <v>30</v>
      </c>
    </row>
    <row r="6549" spans="1:10" ht="13.2">
      <c r="A6549" s="7">
        <v>6548</v>
      </c>
      <c r="B6549" s="7">
        <v>1</v>
      </c>
      <c r="C6549" s="7" t="s">
        <v>10</v>
      </c>
      <c r="D6549" s="7">
        <v>5892</v>
      </c>
      <c r="E6549" s="7" t="s">
        <v>30</v>
      </c>
      <c r="F6549" s="8" t="str">
        <f ca="1">IFERROR(__xludf.DUMMYFUNCTION("IF
(
C6550=""фізична особа""
,
VLOOKUP(D6550,IMPORTRANGE(""https://docs.google.com/spreadsheets/d/14Bd19lYaqBhU8_DElYkX7l4wRkHqqCUFNJY4AfY3kHU/edit?usp=sharing  #gid=0"",""фіз особи new!relations_name""),6,FALSE)
,
(IF
(
C6550=""юридична особа""
,
VLOOKUP"&amp;"(D6550,IMPORTRANGE(""https://docs.google.com/spreadsheets/d/14Bd19lYaqBhU8_DElYkX7l4wRkHqqCUFNJY4AfY3kHU/edit?usp=sharing  #gid=0"",""фіз особи new!relations_name_uo""),7,FALSE)
,
)
))"),"ВАНЮШОВ Олег Олександрович")</f>
        <v>ВАНЮШОВ Олег Олександрович</v>
      </c>
      <c r="G6549" s="7" t="s">
        <v>10</v>
      </c>
      <c r="H6549" s="7">
        <v>2090</v>
      </c>
      <c r="I6549" s="8" t="str">
        <f ca="1">IFERROR(__xludf.DUMMYFUNCTION("IF
(
G6550=""фізична особа""
,
VLOOKUP(H6550,IMPORTRANGE(""https://docs.google.com/spreadsheets/d/14Bd19lYaqBhU8_DElYkX7l4wRkHqqCUFNJY4AfY3kHU/edit?usp=sharing  #gid=0"",""фіз особи new!relations_name""),6,FALSE)
,
(IF
(
G6550=""юридична особа""
,
VLOOKUP"&amp;"(H6550,IMPORTRANGE(""https://docs.google.com/spreadsheets/d/14Bd19lYaqBhU8_DElYkX7l4wRkHqqCUFNJY4AfY3kHU/edit?usp=sharing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49" s="7" t="s">
        <v>30</v>
      </c>
    </row>
    <row r="6550" spans="1:10" ht="13.2">
      <c r="A6550" s="7">
        <v>6549</v>
      </c>
      <c r="B6550" s="7">
        <v>1</v>
      </c>
      <c r="C6550" s="7" t="s">
        <v>10</v>
      </c>
      <c r="D6550" s="7">
        <v>5892</v>
      </c>
      <c r="E6550" s="7" t="s">
        <v>30</v>
      </c>
      <c r="F6550" s="8" t="str">
        <f ca="1">IFERROR(__xludf.DUMMYFUNCTION("IF
(
C6551=""фізична особа""
,
VLOOKUP(D6551,IMPORTRANGE(""https://docs.google.com/spreadsheets/d/14Bd19lYaqBhU8_DElYkX7l4wRkHqqCUFNJY4AfY3kHU/edit?usp=sharing  #gid=0"",""фіз особи new!relations_name""),6,FALSE)
,
(IF
(
C6551=""юридична особа""
,
VLOOKUP"&amp;"(D6551,IMPORTRANGE(""https://docs.google.com/spreadsheets/d/14Bd19lYaqBhU8_DElYkX7l4wRkHqqCUFNJY4AfY3kHU/edit?usp=sharing  #gid=0"",""фіз особи new!relations_name_uo""),7,FALSE)
,
)
))"),"ВАНЮШОВ Олег Олександрович")</f>
        <v>ВАНЮШОВ Олег Олександрович</v>
      </c>
      <c r="G6550" s="7" t="s">
        <v>10</v>
      </c>
      <c r="H6550" s="7">
        <v>5915</v>
      </c>
      <c r="I6550" s="8" t="str">
        <f ca="1">IFERROR(__xludf.DUMMYFUNCTION("IF
(
G6551=""фізична особа""
,
VLOOKUP(H6551,IMPORTRANGE(""https://docs.google.com/spreadsheets/d/14Bd19lYaqBhU8_DElYkX7l4wRkHqqCUFNJY4AfY3kHU/edit?usp=sharing  #gid=0"",""фіз особи new!relations_name""),6,FALSE)
,
(IF
(
G6551=""юридична особа""
,
VLOOKUP"&amp;"(H6551,IMPORTRANGE(""https://docs.google.com/spreadsheets/d/14Bd19lYaqBhU8_DElYkX7l4wRkHqqCUFNJY4AfY3kHU/edit?usp=sharing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50" s="7" t="s">
        <v>30</v>
      </c>
    </row>
    <row r="6551" spans="1:10" ht="13.2">
      <c r="A6551" s="7">
        <v>6550</v>
      </c>
      <c r="B6551" s="7">
        <v>1</v>
      </c>
      <c r="C6551" s="7" t="s">
        <v>10</v>
      </c>
      <c r="D6551" s="7">
        <v>5892</v>
      </c>
      <c r="E6551" s="7" t="s">
        <v>30</v>
      </c>
      <c r="F6551" s="8" t="str">
        <f ca="1">IFERROR(__xludf.DUMMYFUNCTION("IF
(
C6552=""фізична особа""
,
VLOOKUP(D6552,IMPORTRANGE(""https://docs.google.com/spreadsheets/d/14Bd19lYaqBhU8_DElYkX7l4wRkHqqCUFNJY4AfY3kHU/edit?usp=sharing  #gid=0"",""фіз особи new!relations_name""),6,FALSE)
,
(IF
(
C6552=""юридична особа""
,
VLOOKUP"&amp;"(D6552,IMPORTRANGE(""https://docs.google.com/spreadsheets/d/14Bd19lYaqBhU8_DElYkX7l4wRkHqqCUFNJY4AfY3kHU/edit?usp=sharing  #gid=0"",""фіз особи new!relations_name_uo""),7,FALSE)
,
)
))"),"ВАНЮШОВ Олег Олександрович")</f>
        <v>ВАНЮШОВ Олег Олександрович</v>
      </c>
      <c r="G6551" s="7" t="s">
        <v>10</v>
      </c>
      <c r="H6551" s="7">
        <v>2129</v>
      </c>
      <c r="I6551" s="8" t="str">
        <f ca="1">IFERROR(__xludf.DUMMYFUNCTION("IF
(
G6552=""фізична особа""
,
VLOOKUP(H6552,IMPORTRANGE(""https://docs.google.com/spreadsheets/d/14Bd19lYaqBhU8_DElYkX7l4wRkHqqCUFNJY4AfY3kHU/edit?usp=sharing  #gid=0"",""фіз особи new!relations_name""),6,FALSE)
,
(IF
(
G6552=""юридична особа""
,
VLOOKUP"&amp;"(H6552,IMPORTRANGE(""https://docs.google.com/spreadsheets/d/14Bd19lYaqBhU8_DElYkX7l4wRkHqqCUFNJY4AfY3kHU/edit?usp=sharing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51" s="7" t="s">
        <v>30</v>
      </c>
    </row>
    <row r="6552" spans="1:10" ht="13.2">
      <c r="A6552" s="7">
        <v>6551</v>
      </c>
      <c r="B6552" s="7">
        <v>1</v>
      </c>
      <c r="C6552" s="7" t="s">
        <v>10</v>
      </c>
      <c r="D6552" s="7">
        <v>5893</v>
      </c>
      <c r="E6552" s="7" t="s">
        <v>30</v>
      </c>
      <c r="F6552" s="8" t="str">
        <f ca="1">IFERROR(__xludf.DUMMYFUNCTION("IF
(
C6553=""фізична особа""
,
VLOOKUP(D6553,IMPORTRANGE(""https://docs.google.com/spreadsheets/d/14Bd19lYaqBhU8_DElYkX7l4wRkHqqCUFNJY4AfY3kHU/edit?usp=sharing  #gid=0"",""фіз особи new!relations_name""),6,FALSE)
,
(IF
(
C6553=""юридична особа""
,
VLOOKUP"&amp;"(D6553,IMPORTRANGE(""https://docs.google.com/spreadsheets/d/14Bd19lYaqBhU8_DElYkX7l4wRkHqqCUFNJY4AfY3kHU/edit?usp=sharing  #gid=0"",""фіз особи new!relations_name_uo""),7,FALSE)
,
)
))"),"ШИЛОВ Олег Олександрович")</f>
        <v>ШИЛОВ Олег Олександрович</v>
      </c>
      <c r="G6552" s="7" t="s">
        <v>10</v>
      </c>
      <c r="H6552" s="7">
        <v>2090</v>
      </c>
      <c r="I6552" s="8" t="str">
        <f ca="1">IFERROR(__xludf.DUMMYFUNCTION("IF
(
G6553=""фізична особа""
,
VLOOKUP(H6553,IMPORTRANGE(""https://docs.google.com/spreadsheets/d/14Bd19lYaqBhU8_DElYkX7l4wRkHqqCUFNJY4AfY3kHU/edit?usp=sharing  #gid=0"",""фіз особи new!relations_name""),6,FALSE)
,
(IF
(
G6553=""юридична особа""
,
VLOOKUP"&amp;"(H6553,IMPORTRANGE(""https://docs.google.com/spreadsheets/d/14Bd19lYaqBhU8_DElYkX7l4wRkHqqCUFNJY4AfY3kHU/edit?usp=sharing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52" s="7" t="s">
        <v>30</v>
      </c>
    </row>
    <row r="6553" spans="1:10" ht="13.2">
      <c r="A6553" s="7">
        <v>6552</v>
      </c>
      <c r="B6553" s="7">
        <v>1</v>
      </c>
      <c r="C6553" s="7" t="s">
        <v>10</v>
      </c>
      <c r="D6553" s="7">
        <v>5893</v>
      </c>
      <c r="E6553" s="7" t="s">
        <v>30</v>
      </c>
      <c r="F6553" s="8" t="str">
        <f ca="1">IFERROR(__xludf.DUMMYFUNCTION("IF
(
C6554=""фізична особа""
,
VLOOKUP(D6554,IMPORTRANGE(""https://docs.google.com/spreadsheets/d/14Bd19lYaqBhU8_DElYkX7l4wRkHqqCUFNJY4AfY3kHU/edit?usp=sharing  #gid=0"",""фіз особи new!relations_name""),6,FALSE)
,
(IF
(
C6554=""юридична особа""
,
VLOOKUP"&amp;"(D6554,IMPORTRANGE(""https://docs.google.com/spreadsheets/d/14Bd19lYaqBhU8_DElYkX7l4wRkHqqCUFNJY4AfY3kHU/edit?usp=sharing  #gid=0"",""фіз особи new!relations_name_uo""),7,FALSE)
,
)
))"),"ШИЛОВ Олег Олександрович")</f>
        <v>ШИЛОВ Олег Олександрович</v>
      </c>
      <c r="G6553" s="7" t="s">
        <v>10</v>
      </c>
      <c r="H6553" s="7">
        <v>5915</v>
      </c>
      <c r="I6553" s="8" t="str">
        <f ca="1">IFERROR(__xludf.DUMMYFUNCTION("IF
(
G6554=""фізична особа""
,
VLOOKUP(H6554,IMPORTRANGE(""https://docs.google.com/spreadsheets/d/14Bd19lYaqBhU8_DElYkX7l4wRkHqqCUFNJY4AfY3kHU/edit?usp=sharing  #gid=0"",""фіз особи new!relations_name""),6,FALSE)
,
(IF
(
G6554=""юридична особа""
,
VLOOKUP"&amp;"(H6554,IMPORTRANGE(""https://docs.google.com/spreadsheets/d/14Bd19lYaqBhU8_DElYkX7l4wRkHqqCUFNJY4AfY3kHU/edit?usp=sharing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53" s="7" t="s">
        <v>30</v>
      </c>
    </row>
    <row r="6554" spans="1:10" ht="13.2">
      <c r="A6554" s="7">
        <v>6553</v>
      </c>
      <c r="B6554" s="7">
        <v>1</v>
      </c>
      <c r="C6554" s="7" t="s">
        <v>10</v>
      </c>
      <c r="D6554" s="7">
        <v>5893</v>
      </c>
      <c r="E6554" s="7" t="s">
        <v>30</v>
      </c>
      <c r="F6554" s="8" t="str">
        <f ca="1">IFERROR(__xludf.DUMMYFUNCTION("IF
(
C6555=""фізична особа""
,
VLOOKUP(D6555,IMPORTRANGE(""https://docs.google.com/spreadsheets/d/14Bd19lYaqBhU8_DElYkX7l4wRkHqqCUFNJY4AfY3kHU/edit?usp=sharing  #gid=0"",""фіз особи new!relations_name""),6,FALSE)
,
(IF
(
C6555=""юридична особа""
,
VLOOKUP"&amp;"(D6555,IMPORTRANGE(""https://docs.google.com/spreadsheets/d/14Bd19lYaqBhU8_DElYkX7l4wRkHqqCUFNJY4AfY3kHU/edit?usp=sharing  #gid=0"",""фіз особи new!relations_name_uo""),7,FALSE)
,
)
))"),"ШИЛОВ Олег Олександрович")</f>
        <v>ШИЛОВ Олег Олександрович</v>
      </c>
      <c r="G6554" s="7" t="s">
        <v>10</v>
      </c>
      <c r="H6554" s="7">
        <v>2129</v>
      </c>
      <c r="I6554" s="8" t="str">
        <f ca="1">IFERROR(__xludf.DUMMYFUNCTION("IF
(
G6555=""фізична особа""
,
VLOOKUP(H6555,IMPORTRANGE(""https://docs.google.com/spreadsheets/d/14Bd19lYaqBhU8_DElYkX7l4wRkHqqCUFNJY4AfY3kHU/edit?usp=sharing  #gid=0"",""фіз особи new!relations_name""),6,FALSE)
,
(IF
(
G6555=""юридична особа""
,
VLOOKUP"&amp;"(H6555,IMPORTRANGE(""https://docs.google.com/spreadsheets/d/14Bd19lYaqBhU8_DElYkX7l4wRkHqqCUFNJY4AfY3kHU/edit?usp=sharing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54" s="7" t="s">
        <v>30</v>
      </c>
    </row>
    <row r="6555" spans="1:10" ht="13.2">
      <c r="A6555" s="7">
        <v>6554</v>
      </c>
      <c r="B6555" s="7">
        <v>1</v>
      </c>
      <c r="C6555" s="7" t="s">
        <v>10</v>
      </c>
      <c r="D6555" s="7">
        <v>5894</v>
      </c>
      <c r="E6555" s="7" t="s">
        <v>30</v>
      </c>
      <c r="F6555" s="8" t="str">
        <f ca="1">IFERROR(__xludf.DUMMYFUNCTION("IF
(
C6556=""фізична особа""
,
VLOOKUP(D6556,IMPORTRANGE(""https://docs.google.com/spreadsheets/d/14Bd19lYaqBhU8_DElYkX7l4wRkHqqCUFNJY4AfY3kHU/edit?usp=sharing  #gid=0"",""фіз особи new!relations_name""),6,FALSE)
,
(IF
(
C6556=""юридична особа""
,
VLOOKUP"&amp;"(D6556,IMPORTRANGE(""https://docs.google.com/spreadsheets/d/14Bd19lYaqBhU8_DElYkX7l4wRkHqqCUFNJY4AfY3kHU/edit?usp=sharing  #gid=0"",""фіз особи new!relations_name_uo""),7,FALSE)
,
)
))"),"УСЕНЯ Володимир Павлович")</f>
        <v>УСЕНЯ Володимир Павлович</v>
      </c>
      <c r="G6555" s="7" t="s">
        <v>10</v>
      </c>
      <c r="H6555" s="7">
        <v>2090</v>
      </c>
      <c r="I6555" s="8" t="str">
        <f ca="1">IFERROR(__xludf.DUMMYFUNCTION("IF
(
G6556=""фізична особа""
,
VLOOKUP(H6556,IMPORTRANGE(""https://docs.google.com/spreadsheets/d/14Bd19lYaqBhU8_DElYkX7l4wRkHqqCUFNJY4AfY3kHU/edit?usp=sharing  #gid=0"",""фіз особи new!relations_name""),6,FALSE)
,
(IF
(
G6556=""юридична особа""
,
VLOOKUP"&amp;"(H6556,IMPORTRANGE(""https://docs.google.com/spreadsheets/d/14Bd19lYaqBhU8_DElYkX7l4wRkHqqCUFNJY4AfY3kHU/edit?usp=sharing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55" s="7" t="s">
        <v>30</v>
      </c>
    </row>
    <row r="6556" spans="1:10" ht="13.2">
      <c r="A6556" s="7">
        <v>6555</v>
      </c>
      <c r="B6556" s="7">
        <v>1</v>
      </c>
      <c r="C6556" s="7" t="s">
        <v>10</v>
      </c>
      <c r="D6556" s="7">
        <v>5894</v>
      </c>
      <c r="E6556" s="7" t="s">
        <v>30</v>
      </c>
      <c r="F6556" s="8" t="str">
        <f ca="1">IFERROR(__xludf.DUMMYFUNCTION("IF
(
C6557=""фізична особа""
,
VLOOKUP(D6557,IMPORTRANGE(""https://docs.google.com/spreadsheets/d/14Bd19lYaqBhU8_DElYkX7l4wRkHqqCUFNJY4AfY3kHU/edit?usp=sharing  #gid=0"",""фіз особи new!relations_name""),6,FALSE)
,
(IF
(
C6557=""юридична особа""
,
VLOOKUP"&amp;"(D6557,IMPORTRANGE(""https://docs.google.com/spreadsheets/d/14Bd19lYaqBhU8_DElYkX7l4wRkHqqCUFNJY4AfY3kHU/edit?usp=sharing  #gid=0"",""фіз особи new!relations_name_uo""),7,FALSE)
,
)
))"),"УСЕНЯ Володимир Павлович")</f>
        <v>УСЕНЯ Володимир Павлович</v>
      </c>
      <c r="G6556" s="7" t="s">
        <v>10</v>
      </c>
      <c r="H6556" s="7">
        <v>5915</v>
      </c>
      <c r="I6556" s="8" t="str">
        <f ca="1">IFERROR(__xludf.DUMMYFUNCTION("IF
(
G6557=""фізична особа""
,
VLOOKUP(H6557,IMPORTRANGE(""https://docs.google.com/spreadsheets/d/14Bd19lYaqBhU8_DElYkX7l4wRkHqqCUFNJY4AfY3kHU/edit?usp=sharing  #gid=0"",""фіз особи new!relations_name""),6,FALSE)
,
(IF
(
G6557=""юридична особа""
,
VLOOKUP"&amp;"(H6557,IMPORTRANGE(""https://docs.google.com/spreadsheets/d/14Bd19lYaqBhU8_DElYkX7l4wRkHqqCUFNJY4AfY3kHU/edit?usp=sharing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56" s="7" t="s">
        <v>30</v>
      </c>
    </row>
    <row r="6557" spans="1:10" ht="13.2">
      <c r="A6557" s="7">
        <v>6556</v>
      </c>
      <c r="B6557" s="7">
        <v>1</v>
      </c>
      <c r="C6557" s="7" t="s">
        <v>10</v>
      </c>
      <c r="D6557" s="7">
        <v>5894</v>
      </c>
      <c r="E6557" s="7" t="s">
        <v>30</v>
      </c>
      <c r="F6557" s="8" t="str">
        <f ca="1">IFERROR(__xludf.DUMMYFUNCTION("IF
(
C6558=""фізична особа""
,
VLOOKUP(D6558,IMPORTRANGE(""https://docs.google.com/spreadsheets/d/14Bd19lYaqBhU8_DElYkX7l4wRkHqqCUFNJY4AfY3kHU/edit?usp=sharing  #gid=0"",""фіз особи new!relations_name""),6,FALSE)
,
(IF
(
C6558=""юридична особа""
,
VLOOKUP"&amp;"(D6558,IMPORTRANGE(""https://docs.google.com/spreadsheets/d/14Bd19lYaqBhU8_DElYkX7l4wRkHqqCUFNJY4AfY3kHU/edit?usp=sharing  #gid=0"",""фіз особи new!relations_name_uo""),7,FALSE)
,
)
))"),"УСЕНЯ Володимир Павлович")</f>
        <v>УСЕНЯ Володимир Павлович</v>
      </c>
      <c r="G6557" s="7" t="s">
        <v>10</v>
      </c>
      <c r="H6557" s="7">
        <v>2129</v>
      </c>
      <c r="I6557" s="8" t="str">
        <f ca="1">IFERROR(__xludf.DUMMYFUNCTION("IF
(
G6558=""фізична особа""
,
VLOOKUP(H6558,IMPORTRANGE(""https://docs.google.com/spreadsheets/d/14Bd19lYaqBhU8_DElYkX7l4wRkHqqCUFNJY4AfY3kHU/edit?usp=sharing  #gid=0"",""фіз особи new!relations_name""),6,FALSE)
,
(IF
(
G6558=""юридична особа""
,
VLOOKUP"&amp;"(H6558,IMPORTRANGE(""https://docs.google.com/spreadsheets/d/14Bd19lYaqBhU8_DElYkX7l4wRkHqqCUFNJY4AfY3kHU/edit?usp=sharing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57" s="7" t="s">
        <v>30</v>
      </c>
    </row>
    <row r="6558" spans="1:10" ht="13.2">
      <c r="A6558" s="7">
        <v>6557</v>
      </c>
      <c r="B6558" s="7">
        <v>1</v>
      </c>
      <c r="C6558" s="7" t="s">
        <v>10</v>
      </c>
      <c r="D6558" s="7">
        <v>5895</v>
      </c>
      <c r="E6558" s="7" t="s">
        <v>30</v>
      </c>
      <c r="F6558" s="8" t="str">
        <f ca="1">IFERROR(__xludf.DUMMYFUNCTION("IF
(
C6559=""фізична особа""
,
VLOOKUP(D6559,IMPORTRANGE(""https://docs.google.com/spreadsheets/d/14Bd19lYaqBhU8_DElYkX7l4wRkHqqCUFNJY4AfY3kHU/edit?usp=sharing  #gid=0"",""фіз особи new!relations_name""),6,FALSE)
,
(IF
(
C6559=""юридична особа""
,
VLOOKUP"&amp;"(D6559,IMPORTRANGE(""https://docs.google.com/spreadsheets/d/14Bd19lYaqBhU8_DElYkX7l4wRkHqqCUFNJY4AfY3kHU/edit?usp=sharing  #gid=0"",""фіз особи new!relations_name_uo""),7,FALSE)
,
)
))"),"ФЕДОТОВСЬКИХ Дмитро Геннадійович")</f>
        <v>ФЕДОТОВСЬКИХ Дмитро Геннадійович</v>
      </c>
      <c r="G6558" s="7" t="s">
        <v>10</v>
      </c>
      <c r="H6558" s="7">
        <v>2090</v>
      </c>
      <c r="I6558" s="8" t="str">
        <f ca="1">IFERROR(__xludf.DUMMYFUNCTION("IF
(
G6559=""фізична особа""
,
VLOOKUP(H6559,IMPORTRANGE(""https://docs.google.com/spreadsheets/d/14Bd19lYaqBhU8_DElYkX7l4wRkHqqCUFNJY4AfY3kHU/edit?usp=sharing  #gid=0"",""фіз особи new!relations_name""),6,FALSE)
,
(IF
(
G6559=""юридична особа""
,
VLOOKUP"&amp;"(H6559,IMPORTRANGE(""https://docs.google.com/spreadsheets/d/14Bd19lYaqBhU8_DElYkX7l4wRkHqqCUFNJY4AfY3kHU/edit?usp=sharing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58" s="7" t="s">
        <v>30</v>
      </c>
    </row>
    <row r="6559" spans="1:10" ht="13.2">
      <c r="A6559" s="7">
        <v>6558</v>
      </c>
      <c r="B6559" s="7">
        <v>1</v>
      </c>
      <c r="C6559" s="7" t="s">
        <v>10</v>
      </c>
      <c r="D6559" s="7">
        <v>5895</v>
      </c>
      <c r="E6559" s="7" t="s">
        <v>30</v>
      </c>
      <c r="F6559" s="8" t="str">
        <f ca="1">IFERROR(__xludf.DUMMYFUNCTION("IF
(
C6560=""фізична особа""
,
VLOOKUP(D6560,IMPORTRANGE(""https://docs.google.com/spreadsheets/d/14Bd19lYaqBhU8_DElYkX7l4wRkHqqCUFNJY4AfY3kHU/edit?usp=sharing  #gid=0"",""фіз особи new!relations_name""),6,FALSE)
,
(IF
(
C6560=""юридична особа""
,
VLOOKUP"&amp;"(D6560,IMPORTRANGE(""https://docs.google.com/spreadsheets/d/14Bd19lYaqBhU8_DElYkX7l4wRkHqqCUFNJY4AfY3kHU/edit?usp=sharing  #gid=0"",""фіз особи new!relations_name_uo""),7,FALSE)
,
)
))"),"ФЕДОТОВСЬКИХ Дмитро Геннадійович")</f>
        <v>ФЕДОТОВСЬКИХ Дмитро Геннадійович</v>
      </c>
      <c r="G6559" s="7" t="s">
        <v>10</v>
      </c>
      <c r="H6559" s="7">
        <v>5915</v>
      </c>
      <c r="I6559" s="8" t="str">
        <f ca="1">IFERROR(__xludf.DUMMYFUNCTION("IF
(
G6560=""фізична особа""
,
VLOOKUP(H6560,IMPORTRANGE(""https://docs.google.com/spreadsheets/d/14Bd19lYaqBhU8_DElYkX7l4wRkHqqCUFNJY4AfY3kHU/edit?usp=sharing  #gid=0"",""фіз особи new!relations_name""),6,FALSE)
,
(IF
(
G6560=""юридична особа""
,
VLOOKUP"&amp;"(H6560,IMPORTRANGE(""https://docs.google.com/spreadsheets/d/14Bd19lYaqBhU8_DElYkX7l4wRkHqqCUFNJY4AfY3kHU/edit?usp=sharing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59" s="7" t="s">
        <v>30</v>
      </c>
    </row>
    <row r="6560" spans="1:10" ht="13.2">
      <c r="A6560" s="7">
        <v>6559</v>
      </c>
      <c r="B6560" s="7">
        <v>1</v>
      </c>
      <c r="C6560" s="7" t="s">
        <v>10</v>
      </c>
      <c r="D6560" s="7">
        <v>5895</v>
      </c>
      <c r="E6560" s="7" t="s">
        <v>30</v>
      </c>
      <c r="F6560" s="8" t="str">
        <f ca="1">IFERROR(__xludf.DUMMYFUNCTION("IF
(
C6561=""фізична особа""
,
VLOOKUP(D6561,IMPORTRANGE(""https://docs.google.com/spreadsheets/d/14Bd19lYaqBhU8_DElYkX7l4wRkHqqCUFNJY4AfY3kHU/edit?usp=sharing  #gid=0"",""фіз особи new!relations_name""),6,FALSE)
,
(IF
(
C6561=""юридична особа""
,
VLOOKUP"&amp;"(D6561,IMPORTRANGE(""https://docs.google.com/spreadsheets/d/14Bd19lYaqBhU8_DElYkX7l4wRkHqqCUFNJY4AfY3kHU/edit?usp=sharing  #gid=0"",""фіз особи new!relations_name_uo""),7,FALSE)
,
)
))"),"ФЕДОТОВСЬКИХ Дмитро Геннадійович")</f>
        <v>ФЕДОТОВСЬКИХ Дмитро Геннадійович</v>
      </c>
      <c r="G6560" s="7" t="s">
        <v>10</v>
      </c>
      <c r="H6560" s="7">
        <v>2129</v>
      </c>
      <c r="I6560" s="8" t="str">
        <f ca="1">IFERROR(__xludf.DUMMYFUNCTION("IF
(
G6561=""фізична особа""
,
VLOOKUP(H6561,IMPORTRANGE(""https://docs.google.com/spreadsheets/d/14Bd19lYaqBhU8_DElYkX7l4wRkHqqCUFNJY4AfY3kHU/edit?usp=sharing  #gid=0"",""фіз особи new!relations_name""),6,FALSE)
,
(IF
(
G6561=""юридична особа""
,
VLOOKUP"&amp;"(H6561,IMPORTRANGE(""https://docs.google.com/spreadsheets/d/14Bd19lYaqBhU8_DElYkX7l4wRkHqqCUFNJY4AfY3kHU/edit?usp=sharing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60" s="7" t="s">
        <v>30</v>
      </c>
    </row>
    <row r="6561" spans="1:10" ht="13.2">
      <c r="A6561" s="7">
        <v>6560</v>
      </c>
      <c r="B6561" s="7">
        <v>1</v>
      </c>
      <c r="C6561" s="7" t="s">
        <v>10</v>
      </c>
      <c r="D6561" s="7">
        <v>5896</v>
      </c>
      <c r="E6561" s="7" t="s">
        <v>30</v>
      </c>
      <c r="F6561" s="8" t="str">
        <f ca="1">IFERROR(__xludf.DUMMYFUNCTION("IF
(
C6562=""фізична особа""
,
VLOOKUP(D6562,IMPORTRANGE(""https://docs.google.com/spreadsheets/d/14Bd19lYaqBhU8_DElYkX7l4wRkHqqCUFNJY4AfY3kHU/edit?usp=sharing  #gid=0"",""фіз особи new!relations_name""),6,FALSE)
,
(IF
(
C6562=""юридична особа""
,
VLOOKUP"&amp;"(D6562,IMPORTRANGE(""https://docs.google.com/spreadsheets/d/14Bd19lYaqBhU8_DElYkX7l4wRkHqqCUFNJY4AfY3kHU/edit?usp=sharing  #gid=0"",""фіз особи new!relations_name_uo""),7,FALSE)
,
)
))"),"ЛЕБЕДЄВА Ольга Ігорівна")</f>
        <v>ЛЕБЕДЄВА Ольга Ігорівна</v>
      </c>
      <c r="G6561" s="7" t="s">
        <v>10</v>
      </c>
      <c r="H6561" s="7">
        <v>2090</v>
      </c>
      <c r="I6561" s="8" t="str">
        <f ca="1">IFERROR(__xludf.DUMMYFUNCTION("IF
(
G6562=""фізична особа""
,
VLOOKUP(H6562,IMPORTRANGE(""https://docs.google.com/spreadsheets/d/14Bd19lYaqBhU8_DElYkX7l4wRkHqqCUFNJY4AfY3kHU/edit?usp=sharing  #gid=0"",""фіз особи new!relations_name""),6,FALSE)
,
(IF
(
G6562=""юридична особа""
,
VLOOKUP"&amp;"(H6562,IMPORTRANGE(""https://docs.google.com/spreadsheets/d/14Bd19lYaqBhU8_DElYkX7l4wRkHqqCUFNJY4AfY3kHU/edit?usp=sharing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61" s="7" t="s">
        <v>30</v>
      </c>
    </row>
    <row r="6562" spans="1:10" ht="13.2">
      <c r="A6562" s="7">
        <v>6561</v>
      </c>
      <c r="B6562" s="7">
        <v>1</v>
      </c>
      <c r="C6562" s="7" t="s">
        <v>10</v>
      </c>
      <c r="D6562" s="7">
        <v>5896</v>
      </c>
      <c r="E6562" s="7" t="s">
        <v>30</v>
      </c>
      <c r="F6562" s="8" t="str">
        <f ca="1">IFERROR(__xludf.DUMMYFUNCTION("IF
(
C6563=""фізична особа""
,
VLOOKUP(D6563,IMPORTRANGE(""https://docs.google.com/spreadsheets/d/14Bd19lYaqBhU8_DElYkX7l4wRkHqqCUFNJY4AfY3kHU/edit?usp=sharing  #gid=0"",""фіз особи new!relations_name""),6,FALSE)
,
(IF
(
C6563=""юридична особа""
,
VLOOKUP"&amp;"(D6563,IMPORTRANGE(""https://docs.google.com/spreadsheets/d/14Bd19lYaqBhU8_DElYkX7l4wRkHqqCUFNJY4AfY3kHU/edit?usp=sharing  #gid=0"",""фіз особи new!relations_name_uo""),7,FALSE)
,
)
))"),"ЛЕБЕДЄВА Ольга Ігорівна")</f>
        <v>ЛЕБЕДЄВА Ольга Ігорівна</v>
      </c>
      <c r="G6562" s="7" t="s">
        <v>10</v>
      </c>
      <c r="H6562" s="7">
        <v>5915</v>
      </c>
      <c r="I6562" s="8" t="str">
        <f ca="1">IFERROR(__xludf.DUMMYFUNCTION("IF
(
G6563=""фізична особа""
,
VLOOKUP(H6563,IMPORTRANGE(""https://docs.google.com/spreadsheets/d/14Bd19lYaqBhU8_DElYkX7l4wRkHqqCUFNJY4AfY3kHU/edit?usp=sharing  #gid=0"",""фіз особи new!relations_name""),6,FALSE)
,
(IF
(
G6563=""юридична особа""
,
VLOOKUP"&amp;"(H6563,IMPORTRANGE(""https://docs.google.com/spreadsheets/d/14Bd19lYaqBhU8_DElYkX7l4wRkHqqCUFNJY4AfY3kHU/edit?usp=sharing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62" s="7" t="s">
        <v>30</v>
      </c>
    </row>
    <row r="6563" spans="1:10" ht="13.2">
      <c r="A6563" s="7">
        <v>6562</v>
      </c>
      <c r="B6563" s="7">
        <v>1</v>
      </c>
      <c r="C6563" s="7" t="s">
        <v>10</v>
      </c>
      <c r="D6563" s="7">
        <v>5896</v>
      </c>
      <c r="E6563" s="7" t="s">
        <v>30</v>
      </c>
      <c r="F6563" s="8" t="str">
        <f ca="1">IFERROR(__xludf.DUMMYFUNCTION("IF
(
C6564=""фізична особа""
,
VLOOKUP(D6564,IMPORTRANGE(""https://docs.google.com/spreadsheets/d/14Bd19lYaqBhU8_DElYkX7l4wRkHqqCUFNJY4AfY3kHU/edit?usp=sharing  #gid=0"",""фіз особи new!relations_name""),6,FALSE)
,
(IF
(
C6564=""юридична особа""
,
VLOOKUP"&amp;"(D6564,IMPORTRANGE(""https://docs.google.com/spreadsheets/d/14Bd19lYaqBhU8_DElYkX7l4wRkHqqCUFNJY4AfY3kHU/edit?usp=sharing  #gid=0"",""фіз особи new!relations_name_uo""),7,FALSE)
,
)
))"),"ЛЕБЕДЄВА Ольга Ігорівна")</f>
        <v>ЛЕБЕДЄВА Ольга Ігорівна</v>
      </c>
      <c r="G6563" s="7" t="s">
        <v>10</v>
      </c>
      <c r="H6563" s="7">
        <v>2129</v>
      </c>
      <c r="I6563" s="8" t="str">
        <f ca="1">IFERROR(__xludf.DUMMYFUNCTION("IF
(
G6564=""фізична особа""
,
VLOOKUP(H6564,IMPORTRANGE(""https://docs.google.com/spreadsheets/d/14Bd19lYaqBhU8_DElYkX7l4wRkHqqCUFNJY4AfY3kHU/edit?usp=sharing  #gid=0"",""фіз особи new!relations_name""),6,FALSE)
,
(IF
(
G6564=""юридична особа""
,
VLOOKUP"&amp;"(H6564,IMPORTRANGE(""https://docs.google.com/spreadsheets/d/14Bd19lYaqBhU8_DElYkX7l4wRkHqqCUFNJY4AfY3kHU/edit?usp=sharing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63" s="7" t="s">
        <v>30</v>
      </c>
    </row>
    <row r="6564" spans="1:10" ht="13.2">
      <c r="A6564" s="7">
        <v>6563</v>
      </c>
      <c r="B6564" s="7">
        <v>1</v>
      </c>
      <c r="C6564" s="7" t="s">
        <v>10</v>
      </c>
      <c r="D6564" s="7">
        <v>5897</v>
      </c>
      <c r="E6564" s="7" t="s">
        <v>30</v>
      </c>
      <c r="F6564" s="8" t="str">
        <f ca="1">IFERROR(__xludf.DUMMYFUNCTION("IF
(
C6565=""фізична особа""
,
VLOOKUP(D6565,IMPORTRANGE(""https://docs.google.com/spreadsheets/d/14Bd19lYaqBhU8_DElYkX7l4wRkHqqCUFNJY4AfY3kHU/edit?usp=sharing  #gid=0"",""фіз особи new!relations_name""),6,FALSE)
,
(IF
(
C6565=""юридична особа""
,
VLOOKUP"&amp;"(D6565,IMPORTRANGE(""https://docs.google.com/spreadsheets/d/14Bd19lYaqBhU8_DElYkX7l4wRkHqqCUFNJY4AfY3kHU/edit?usp=sharing  #gid=0"",""фіз особи new!relations_name_uo""),7,FALSE)
,
)
))"),"МЕТЕЛЬНИКОВ Сергій Борисович")</f>
        <v>МЕТЕЛЬНИКОВ Сергій Борисович</v>
      </c>
      <c r="G6564" s="7" t="s">
        <v>10</v>
      </c>
      <c r="H6564" s="7">
        <v>2090</v>
      </c>
      <c r="I6564" s="8" t="str">
        <f ca="1">IFERROR(__xludf.DUMMYFUNCTION("IF
(
G6565=""фізична особа""
,
VLOOKUP(H6565,IMPORTRANGE(""https://docs.google.com/spreadsheets/d/14Bd19lYaqBhU8_DElYkX7l4wRkHqqCUFNJY4AfY3kHU/edit?usp=sharing  #gid=0"",""фіз особи new!relations_name""),6,FALSE)
,
(IF
(
G6565=""юридична особа""
,
VLOOKUP"&amp;"(H6565,IMPORTRANGE(""https://docs.google.com/spreadsheets/d/14Bd19lYaqBhU8_DElYkX7l4wRkHqqCUFNJY4AfY3kHU/edit?usp=sharing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64" s="7" t="s">
        <v>30</v>
      </c>
    </row>
    <row r="6565" spans="1:10" ht="13.2">
      <c r="A6565" s="7">
        <v>6564</v>
      </c>
      <c r="B6565" s="7">
        <v>1</v>
      </c>
      <c r="C6565" s="7" t="s">
        <v>10</v>
      </c>
      <c r="D6565" s="7">
        <v>5897</v>
      </c>
      <c r="E6565" s="7" t="s">
        <v>30</v>
      </c>
      <c r="F6565" s="8" t="str">
        <f ca="1">IFERROR(__xludf.DUMMYFUNCTION("IF
(
C6566=""фізична особа""
,
VLOOKUP(D6566,IMPORTRANGE(""https://docs.google.com/spreadsheets/d/14Bd19lYaqBhU8_DElYkX7l4wRkHqqCUFNJY4AfY3kHU/edit?usp=sharing  #gid=0"",""фіз особи new!relations_name""),6,FALSE)
,
(IF
(
C6566=""юридична особа""
,
VLOOKUP"&amp;"(D6566,IMPORTRANGE(""https://docs.google.com/spreadsheets/d/14Bd19lYaqBhU8_DElYkX7l4wRkHqqCUFNJY4AfY3kHU/edit?usp=sharing  #gid=0"",""фіз особи new!relations_name_uo""),7,FALSE)
,
)
))"),"МЕТЕЛЬНИКОВ Сергій Борисович")</f>
        <v>МЕТЕЛЬНИКОВ Сергій Борисович</v>
      </c>
      <c r="G6565" s="7" t="s">
        <v>10</v>
      </c>
      <c r="H6565" s="7">
        <v>5915</v>
      </c>
      <c r="I6565" s="8" t="str">
        <f ca="1">IFERROR(__xludf.DUMMYFUNCTION("IF
(
G6566=""фізична особа""
,
VLOOKUP(H6566,IMPORTRANGE(""https://docs.google.com/spreadsheets/d/14Bd19lYaqBhU8_DElYkX7l4wRkHqqCUFNJY4AfY3kHU/edit?usp=sharing  #gid=0"",""фіз особи new!relations_name""),6,FALSE)
,
(IF
(
G6566=""юридична особа""
,
VLOOKUP"&amp;"(H6566,IMPORTRANGE(""https://docs.google.com/spreadsheets/d/14Bd19lYaqBhU8_DElYkX7l4wRkHqqCUFNJY4AfY3kHU/edit?usp=sharing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65" s="7" t="s">
        <v>30</v>
      </c>
    </row>
    <row r="6566" spans="1:10" ht="13.2">
      <c r="A6566" s="7">
        <v>6565</v>
      </c>
      <c r="B6566" s="7">
        <v>1</v>
      </c>
      <c r="C6566" s="7" t="s">
        <v>10</v>
      </c>
      <c r="D6566" s="7">
        <v>5897</v>
      </c>
      <c r="E6566" s="7" t="s">
        <v>30</v>
      </c>
      <c r="F6566" s="8" t="str">
        <f ca="1">IFERROR(__xludf.DUMMYFUNCTION("IF
(
C6567=""фізична особа""
,
VLOOKUP(D6567,IMPORTRANGE(""https://docs.google.com/spreadsheets/d/14Bd19lYaqBhU8_DElYkX7l4wRkHqqCUFNJY4AfY3kHU/edit?usp=sharing  #gid=0"",""фіз особи new!relations_name""),6,FALSE)
,
(IF
(
C6567=""юридична особа""
,
VLOOKUP"&amp;"(D6567,IMPORTRANGE(""https://docs.google.com/spreadsheets/d/14Bd19lYaqBhU8_DElYkX7l4wRkHqqCUFNJY4AfY3kHU/edit?usp=sharing  #gid=0"",""фіз особи new!relations_name_uo""),7,FALSE)
,
)
))"),"МЕТЕЛЬНИКОВ Сергій Борисович")</f>
        <v>МЕТЕЛЬНИКОВ Сергій Борисович</v>
      </c>
      <c r="G6566" s="7" t="s">
        <v>10</v>
      </c>
      <c r="H6566" s="7">
        <v>2129</v>
      </c>
      <c r="I6566" s="8" t="str">
        <f ca="1">IFERROR(__xludf.DUMMYFUNCTION("IF
(
G6567=""фізична особа""
,
VLOOKUP(H6567,IMPORTRANGE(""https://docs.google.com/spreadsheets/d/14Bd19lYaqBhU8_DElYkX7l4wRkHqqCUFNJY4AfY3kHU/edit?usp=sharing  #gid=0"",""фіз особи new!relations_name""),6,FALSE)
,
(IF
(
G6567=""юридична особа""
,
VLOOKUP"&amp;"(H6567,IMPORTRANGE(""https://docs.google.com/spreadsheets/d/14Bd19lYaqBhU8_DElYkX7l4wRkHqqCUFNJY4AfY3kHU/edit?usp=sharing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66" s="7" t="s">
        <v>30</v>
      </c>
    </row>
    <row r="6567" spans="1:10" ht="13.2">
      <c r="A6567" s="7">
        <v>6566</v>
      </c>
      <c r="B6567" s="7">
        <v>1</v>
      </c>
      <c r="C6567" s="7" t="s">
        <v>10</v>
      </c>
      <c r="D6567" s="7">
        <v>5898</v>
      </c>
      <c r="E6567" s="7" t="s">
        <v>30</v>
      </c>
      <c r="F6567" s="8" t="str">
        <f ca="1">IFERROR(__xludf.DUMMYFUNCTION("IF
(
C6568=""фізична особа""
,
VLOOKUP(D6568,IMPORTRANGE(""https://docs.google.com/spreadsheets/d/14Bd19lYaqBhU8_DElYkX7l4wRkHqqCUFNJY4AfY3kHU/edit?usp=sharing  #gid=0"",""фіз особи new!relations_name""),6,FALSE)
,
(IF
(
C6568=""юридична особа""
,
VLOOKUP"&amp;"(D6568,IMPORTRANGE(""https://docs.google.com/spreadsheets/d/14Bd19lYaqBhU8_DElYkX7l4wRkHqqCUFNJY4AfY3kHU/edit?usp=sharing  #gid=0"",""фіз особи new!relations_name_uo""),7,FALSE)
,
)
))"),"МИРОНЕНКО Юрій Миколайович")</f>
        <v>МИРОНЕНКО Юрій Миколайович</v>
      </c>
      <c r="G6567" s="7" t="s">
        <v>10</v>
      </c>
      <c r="H6567" s="7">
        <v>2090</v>
      </c>
      <c r="I6567" s="8" t="str">
        <f ca="1">IFERROR(__xludf.DUMMYFUNCTION("IF
(
G6568=""фізична особа""
,
VLOOKUP(H6568,IMPORTRANGE(""https://docs.google.com/spreadsheets/d/14Bd19lYaqBhU8_DElYkX7l4wRkHqqCUFNJY4AfY3kHU/edit?usp=sharing  #gid=0"",""фіз особи new!relations_name""),6,FALSE)
,
(IF
(
G6568=""юридична особа""
,
VLOOKUP"&amp;"(H6568,IMPORTRANGE(""https://docs.google.com/spreadsheets/d/14Bd19lYaqBhU8_DElYkX7l4wRkHqqCUFNJY4AfY3kHU/edit?usp=sharing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67" s="7" t="s">
        <v>30</v>
      </c>
    </row>
    <row r="6568" spans="1:10" ht="13.2">
      <c r="A6568" s="7">
        <v>6567</v>
      </c>
      <c r="B6568" s="7">
        <v>1</v>
      </c>
      <c r="C6568" s="7" t="s">
        <v>10</v>
      </c>
      <c r="D6568" s="7">
        <v>5898</v>
      </c>
      <c r="E6568" s="7" t="s">
        <v>30</v>
      </c>
      <c r="F6568" s="8" t="str">
        <f ca="1">IFERROR(__xludf.DUMMYFUNCTION("IF
(
C6569=""фізична особа""
,
VLOOKUP(D6569,IMPORTRANGE(""https://docs.google.com/spreadsheets/d/14Bd19lYaqBhU8_DElYkX7l4wRkHqqCUFNJY4AfY3kHU/edit?usp=sharing  #gid=0"",""фіз особи new!relations_name""),6,FALSE)
,
(IF
(
C6569=""юридична особа""
,
VLOOKUP"&amp;"(D6569,IMPORTRANGE(""https://docs.google.com/spreadsheets/d/14Bd19lYaqBhU8_DElYkX7l4wRkHqqCUFNJY4AfY3kHU/edit?usp=sharing  #gid=0"",""фіз особи new!relations_name_uo""),7,FALSE)
,
)
))"),"МИРОНЕНКО Юрій Миколайович")</f>
        <v>МИРОНЕНКО Юрій Миколайович</v>
      </c>
      <c r="G6568" s="7" t="s">
        <v>10</v>
      </c>
      <c r="H6568" s="7">
        <v>5915</v>
      </c>
      <c r="I6568" s="8" t="str">
        <f ca="1">IFERROR(__xludf.DUMMYFUNCTION("IF
(
G6569=""фізична особа""
,
VLOOKUP(H6569,IMPORTRANGE(""https://docs.google.com/spreadsheets/d/14Bd19lYaqBhU8_DElYkX7l4wRkHqqCUFNJY4AfY3kHU/edit?usp=sharing  #gid=0"",""фіз особи new!relations_name""),6,FALSE)
,
(IF
(
G6569=""юридична особа""
,
VLOOKUP"&amp;"(H6569,IMPORTRANGE(""https://docs.google.com/spreadsheets/d/14Bd19lYaqBhU8_DElYkX7l4wRkHqqCUFNJY4AfY3kHU/edit?usp=sharing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68" s="7" t="s">
        <v>30</v>
      </c>
    </row>
    <row r="6569" spans="1:10" ht="13.2">
      <c r="A6569" s="7">
        <v>6568</v>
      </c>
      <c r="B6569" s="7">
        <v>1</v>
      </c>
      <c r="C6569" s="7" t="s">
        <v>10</v>
      </c>
      <c r="D6569" s="7">
        <v>5898</v>
      </c>
      <c r="E6569" s="7" t="s">
        <v>30</v>
      </c>
      <c r="F6569" s="8" t="str">
        <f ca="1">IFERROR(__xludf.DUMMYFUNCTION("IF
(
C6570=""фізична особа""
,
VLOOKUP(D6570,IMPORTRANGE(""https://docs.google.com/spreadsheets/d/14Bd19lYaqBhU8_DElYkX7l4wRkHqqCUFNJY4AfY3kHU/edit?usp=sharing  #gid=0"",""фіз особи new!relations_name""),6,FALSE)
,
(IF
(
C6570=""юридична особа""
,
VLOOKUP"&amp;"(D6570,IMPORTRANGE(""https://docs.google.com/spreadsheets/d/14Bd19lYaqBhU8_DElYkX7l4wRkHqqCUFNJY4AfY3kHU/edit?usp=sharing  #gid=0"",""фіз особи new!relations_name_uo""),7,FALSE)
,
)
))"),"МИРОНЕНКО Юрій Миколайович")</f>
        <v>МИРОНЕНКО Юрій Миколайович</v>
      </c>
      <c r="G6569" s="7" t="s">
        <v>10</v>
      </c>
      <c r="H6569" s="7">
        <v>2129</v>
      </c>
      <c r="I6569" s="8" t="str">
        <f ca="1">IFERROR(__xludf.DUMMYFUNCTION("IF
(
G6570=""фізична особа""
,
VLOOKUP(H6570,IMPORTRANGE(""https://docs.google.com/spreadsheets/d/14Bd19lYaqBhU8_DElYkX7l4wRkHqqCUFNJY4AfY3kHU/edit?usp=sharing  #gid=0"",""фіз особи new!relations_name""),6,FALSE)
,
(IF
(
G6570=""юридична особа""
,
VLOOKUP"&amp;"(H6570,IMPORTRANGE(""https://docs.google.com/spreadsheets/d/14Bd19lYaqBhU8_DElYkX7l4wRkHqqCUFNJY4AfY3kHU/edit?usp=sharing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69" s="7" t="s">
        <v>30</v>
      </c>
    </row>
    <row r="6570" spans="1:10" ht="13.2">
      <c r="A6570" s="7">
        <v>6569</v>
      </c>
      <c r="B6570" s="7">
        <v>1</v>
      </c>
      <c r="C6570" s="7" t="s">
        <v>10</v>
      </c>
      <c r="D6570" s="7">
        <v>5899</v>
      </c>
      <c r="E6570" s="7" t="s">
        <v>30</v>
      </c>
      <c r="F6570" s="8" t="str">
        <f ca="1">IFERROR(__xludf.DUMMYFUNCTION("IF
(
C6571=""фізична особа""
,
VLOOKUP(D6571,IMPORTRANGE(""https://docs.google.com/spreadsheets/d/14Bd19lYaqBhU8_DElYkX7l4wRkHqqCUFNJY4AfY3kHU/edit?usp=sharing  #gid=0"",""фіз особи new!relations_name""),6,FALSE)
,
(IF
(
C6571=""юридична особа""
,
VLOOKUP"&amp;"(D6571,IMPORTRANGE(""https://docs.google.com/spreadsheets/d/14Bd19lYaqBhU8_DElYkX7l4wRkHqqCUFNJY4AfY3kHU/edit?usp=sharing  #gid=0"",""фіз особи new!relations_name_uo""),7,FALSE)
,
)
))"),"ДОРОФЄЄВ Андрій Олександрович")</f>
        <v>ДОРОФЄЄВ Андрій Олександрович</v>
      </c>
      <c r="G6570" s="7" t="s">
        <v>10</v>
      </c>
      <c r="H6570" s="7">
        <v>2090</v>
      </c>
      <c r="I6570" s="8" t="str">
        <f ca="1">IFERROR(__xludf.DUMMYFUNCTION("IF
(
G6571=""фізична особа""
,
VLOOKUP(H6571,IMPORTRANGE(""https://docs.google.com/spreadsheets/d/14Bd19lYaqBhU8_DElYkX7l4wRkHqqCUFNJY4AfY3kHU/edit?usp=sharing  #gid=0"",""фіз особи new!relations_name""),6,FALSE)
,
(IF
(
G6571=""юридична особа""
,
VLOOKUP"&amp;"(H6571,IMPORTRANGE(""https://docs.google.com/spreadsheets/d/14Bd19lYaqBhU8_DElYkX7l4wRkHqqCUFNJY4AfY3kHU/edit?usp=sharing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70" s="7" t="s">
        <v>30</v>
      </c>
    </row>
    <row r="6571" spans="1:10" ht="13.2">
      <c r="A6571" s="7">
        <v>6570</v>
      </c>
      <c r="B6571" s="7">
        <v>1</v>
      </c>
      <c r="C6571" s="7" t="s">
        <v>10</v>
      </c>
      <c r="D6571" s="7">
        <v>5899</v>
      </c>
      <c r="E6571" s="7" t="s">
        <v>30</v>
      </c>
      <c r="F6571" s="8" t="str">
        <f ca="1">IFERROR(__xludf.DUMMYFUNCTION("IF
(
C6572=""фізична особа""
,
VLOOKUP(D6572,IMPORTRANGE(""https://docs.google.com/spreadsheets/d/14Bd19lYaqBhU8_DElYkX7l4wRkHqqCUFNJY4AfY3kHU/edit?usp=sharing  #gid=0"",""фіз особи new!relations_name""),6,FALSE)
,
(IF
(
C6572=""юридична особа""
,
VLOOKUP"&amp;"(D6572,IMPORTRANGE(""https://docs.google.com/spreadsheets/d/14Bd19lYaqBhU8_DElYkX7l4wRkHqqCUFNJY4AfY3kHU/edit?usp=sharing  #gid=0"",""фіз особи new!relations_name_uo""),7,FALSE)
,
)
))"),"ДОРОФЄЄВ Андрій Олександрович")</f>
        <v>ДОРОФЄЄВ Андрій Олександрович</v>
      </c>
      <c r="G6571" s="7" t="s">
        <v>10</v>
      </c>
      <c r="H6571" s="7">
        <v>5915</v>
      </c>
      <c r="I6571" s="8" t="str">
        <f ca="1">IFERROR(__xludf.DUMMYFUNCTION("IF
(
G6572=""фізична особа""
,
VLOOKUP(H6572,IMPORTRANGE(""https://docs.google.com/spreadsheets/d/14Bd19lYaqBhU8_DElYkX7l4wRkHqqCUFNJY4AfY3kHU/edit?usp=sharing  #gid=0"",""фіз особи new!relations_name""),6,FALSE)
,
(IF
(
G6572=""юридична особа""
,
VLOOKUP"&amp;"(H6572,IMPORTRANGE(""https://docs.google.com/spreadsheets/d/14Bd19lYaqBhU8_DElYkX7l4wRkHqqCUFNJY4AfY3kHU/edit?usp=sharing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71" s="7" t="s">
        <v>30</v>
      </c>
    </row>
    <row r="6572" spans="1:10" ht="13.2">
      <c r="A6572" s="7">
        <v>6571</v>
      </c>
      <c r="B6572" s="7">
        <v>1</v>
      </c>
      <c r="C6572" s="7" t="s">
        <v>10</v>
      </c>
      <c r="D6572" s="7">
        <v>5899</v>
      </c>
      <c r="E6572" s="7" t="s">
        <v>30</v>
      </c>
      <c r="F6572" s="8" t="str">
        <f ca="1">IFERROR(__xludf.DUMMYFUNCTION("IF
(
C6573=""фізична особа""
,
VLOOKUP(D6573,IMPORTRANGE(""https://docs.google.com/spreadsheets/d/14Bd19lYaqBhU8_DElYkX7l4wRkHqqCUFNJY4AfY3kHU/edit?usp=sharing  #gid=0"",""фіз особи new!relations_name""),6,FALSE)
,
(IF
(
C6573=""юридична особа""
,
VLOOKUP"&amp;"(D6573,IMPORTRANGE(""https://docs.google.com/spreadsheets/d/14Bd19lYaqBhU8_DElYkX7l4wRkHqqCUFNJY4AfY3kHU/edit?usp=sharing  #gid=0"",""фіз особи new!relations_name_uo""),7,FALSE)
,
)
))"),"ДОРОФЄЄВ Андрій Олександрович")</f>
        <v>ДОРОФЄЄВ Андрій Олександрович</v>
      </c>
      <c r="G6572" s="7" t="s">
        <v>10</v>
      </c>
      <c r="H6572" s="7">
        <v>2129</v>
      </c>
      <c r="I6572" s="8" t="str">
        <f ca="1">IFERROR(__xludf.DUMMYFUNCTION("IF
(
G6573=""фізична особа""
,
VLOOKUP(H6573,IMPORTRANGE(""https://docs.google.com/spreadsheets/d/14Bd19lYaqBhU8_DElYkX7l4wRkHqqCUFNJY4AfY3kHU/edit?usp=sharing  #gid=0"",""фіз особи new!relations_name""),6,FALSE)
,
(IF
(
G6573=""юридична особа""
,
VLOOKUP"&amp;"(H6573,IMPORTRANGE(""https://docs.google.com/spreadsheets/d/14Bd19lYaqBhU8_DElYkX7l4wRkHqqCUFNJY4AfY3kHU/edit?usp=sharing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72" s="7" t="s">
        <v>30</v>
      </c>
    </row>
    <row r="6573" spans="1:10" ht="13.2">
      <c r="A6573" s="7">
        <v>6572</v>
      </c>
      <c r="B6573" s="7">
        <v>1</v>
      </c>
      <c r="C6573" s="7" t="s">
        <v>10</v>
      </c>
      <c r="D6573" s="7">
        <v>5900</v>
      </c>
      <c r="E6573" s="7" t="s">
        <v>30</v>
      </c>
      <c r="F6573" s="8" t="str">
        <f ca="1">IFERROR(__xludf.DUMMYFUNCTION("IF
(
C6574=""фізична особа""
,
VLOOKUP(D6574,IMPORTRANGE(""https://docs.google.com/spreadsheets/d/14Bd19lYaqBhU8_DElYkX7l4wRkHqqCUFNJY4AfY3kHU/edit?usp=sharing  #gid=0"",""фіз особи new!relations_name""),6,FALSE)
,
(IF
(
C6574=""юридична особа""
,
VLOOKUP"&amp;"(D6574,IMPORTRANGE(""https://docs.google.com/spreadsheets/d/14Bd19lYaqBhU8_DElYkX7l4wRkHqqCUFNJY4AfY3kHU/edit?usp=sharing  #gid=0"",""фіз особи new!relations_name_uo""),7,FALSE)
,
)
))"),"ЗАЙНУТДІНОВ Тимур Ходжи-Зайнутдінович")</f>
        <v>ЗАЙНУТДІНОВ Тимур Ходжи-Зайнутдінович</v>
      </c>
      <c r="G6573" s="7" t="s">
        <v>10</v>
      </c>
      <c r="H6573" s="7">
        <v>2090</v>
      </c>
      <c r="I6573" s="8" t="str">
        <f ca="1">IFERROR(__xludf.DUMMYFUNCTION("IF
(
G6574=""фізична особа""
,
VLOOKUP(H6574,IMPORTRANGE(""https://docs.google.com/spreadsheets/d/14Bd19lYaqBhU8_DElYkX7l4wRkHqqCUFNJY4AfY3kHU/edit?usp=sharing  #gid=0"",""фіз особи new!relations_name""),6,FALSE)
,
(IF
(
G6574=""юридична особа""
,
VLOOKUP"&amp;"(H6574,IMPORTRANGE(""https://docs.google.com/spreadsheets/d/14Bd19lYaqBhU8_DElYkX7l4wRkHqqCUFNJY4AfY3kHU/edit?usp=sharing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73" s="7" t="s">
        <v>30</v>
      </c>
    </row>
    <row r="6574" spans="1:10" ht="13.2">
      <c r="A6574" s="7">
        <v>6573</v>
      </c>
      <c r="B6574" s="7">
        <v>1</v>
      </c>
      <c r="C6574" s="7" t="s">
        <v>10</v>
      </c>
      <c r="D6574" s="7">
        <v>5900</v>
      </c>
      <c r="E6574" s="7" t="s">
        <v>30</v>
      </c>
      <c r="F6574" s="8" t="str">
        <f ca="1">IFERROR(__xludf.DUMMYFUNCTION("IF
(
C6575=""фізична особа""
,
VLOOKUP(D6575,IMPORTRANGE(""https://docs.google.com/spreadsheets/d/14Bd19lYaqBhU8_DElYkX7l4wRkHqqCUFNJY4AfY3kHU/edit?usp=sharing  #gid=0"",""фіз особи new!relations_name""),6,FALSE)
,
(IF
(
C6575=""юридична особа""
,
VLOOKUP"&amp;"(D6575,IMPORTRANGE(""https://docs.google.com/spreadsheets/d/14Bd19lYaqBhU8_DElYkX7l4wRkHqqCUFNJY4AfY3kHU/edit?usp=sharing  #gid=0"",""фіз особи new!relations_name_uo""),7,FALSE)
,
)
))"),"ЗАЙНУТДІНОВ Тимур Ходжи-Зайнутдінович")</f>
        <v>ЗАЙНУТДІНОВ Тимур Ходжи-Зайнутдінович</v>
      </c>
      <c r="G6574" s="7" t="s">
        <v>10</v>
      </c>
      <c r="H6574" s="7">
        <v>5915</v>
      </c>
      <c r="I6574" s="8" t="str">
        <f ca="1">IFERROR(__xludf.DUMMYFUNCTION("IF
(
G6575=""фізична особа""
,
VLOOKUP(H6575,IMPORTRANGE(""https://docs.google.com/spreadsheets/d/14Bd19lYaqBhU8_DElYkX7l4wRkHqqCUFNJY4AfY3kHU/edit?usp=sharing  #gid=0"",""фіз особи new!relations_name""),6,FALSE)
,
(IF
(
G6575=""юридична особа""
,
VLOOKUP"&amp;"(H6575,IMPORTRANGE(""https://docs.google.com/spreadsheets/d/14Bd19lYaqBhU8_DElYkX7l4wRkHqqCUFNJY4AfY3kHU/edit?usp=sharing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74" s="7" t="s">
        <v>30</v>
      </c>
    </row>
    <row r="6575" spans="1:10" ht="13.2">
      <c r="A6575" s="7">
        <v>6574</v>
      </c>
      <c r="B6575" s="7">
        <v>1</v>
      </c>
      <c r="C6575" s="7" t="s">
        <v>10</v>
      </c>
      <c r="D6575" s="7">
        <v>5900</v>
      </c>
      <c r="E6575" s="7" t="s">
        <v>30</v>
      </c>
      <c r="F6575" s="8" t="str">
        <f ca="1">IFERROR(__xludf.DUMMYFUNCTION("IF
(
C6576=""фізична особа""
,
VLOOKUP(D6576,IMPORTRANGE(""https://docs.google.com/spreadsheets/d/14Bd19lYaqBhU8_DElYkX7l4wRkHqqCUFNJY4AfY3kHU/edit?usp=sharing  #gid=0"",""фіз особи new!relations_name""),6,FALSE)
,
(IF
(
C6576=""юридична особа""
,
VLOOKUP"&amp;"(D6576,IMPORTRANGE(""https://docs.google.com/spreadsheets/d/14Bd19lYaqBhU8_DElYkX7l4wRkHqqCUFNJY4AfY3kHU/edit?usp=sharing  #gid=0"",""фіз особи new!relations_name_uo""),7,FALSE)
,
)
))"),"ЗАЙНУТДІНОВ Тимур Ходжи-Зайнутдінович")</f>
        <v>ЗАЙНУТДІНОВ Тимур Ходжи-Зайнутдінович</v>
      </c>
      <c r="G6575" s="7" t="s">
        <v>10</v>
      </c>
      <c r="H6575" s="7">
        <v>2129</v>
      </c>
      <c r="I6575" s="8" t="str">
        <f ca="1">IFERROR(__xludf.DUMMYFUNCTION("IF
(
G6576=""фізична особа""
,
VLOOKUP(H6576,IMPORTRANGE(""https://docs.google.com/spreadsheets/d/14Bd19lYaqBhU8_DElYkX7l4wRkHqqCUFNJY4AfY3kHU/edit?usp=sharing  #gid=0"",""фіз особи new!relations_name""),6,FALSE)
,
(IF
(
G6576=""юридична особа""
,
VLOOKUP"&amp;"(H6576,IMPORTRANGE(""https://docs.google.com/spreadsheets/d/14Bd19lYaqBhU8_DElYkX7l4wRkHqqCUFNJY4AfY3kHU/edit?usp=sharing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75" s="7" t="s">
        <v>30</v>
      </c>
    </row>
    <row r="6576" spans="1:10" ht="13.2">
      <c r="A6576" s="7">
        <v>6575</v>
      </c>
      <c r="B6576" s="7">
        <v>1</v>
      </c>
      <c r="C6576" s="7" t="s">
        <v>10</v>
      </c>
      <c r="D6576" s="7">
        <v>5901</v>
      </c>
      <c r="E6576" s="7" t="s">
        <v>30</v>
      </c>
      <c r="F6576" s="8" t="str">
        <f ca="1">IFERROR(__xludf.DUMMYFUNCTION("IF
(
C6577=""фізична особа""
,
VLOOKUP(D6577,IMPORTRANGE(""https://docs.google.com/spreadsheets/d/14Bd19lYaqBhU8_DElYkX7l4wRkHqqCUFNJY4AfY3kHU/edit?usp=sharing  #gid=0"",""фіз особи new!relations_name""),6,FALSE)
,
(IF
(
C6577=""юридична особа""
,
VLOOKUP"&amp;"(D6577,IMPORTRANGE(""https://docs.google.com/spreadsheets/d/14Bd19lYaqBhU8_DElYkX7l4wRkHqqCUFNJY4AfY3kHU/edit?usp=sharing  #gid=0"",""фіз особи new!relations_name_uo""),7,FALSE)
,
)
))"),"КОВАЛЬОВ Павло Володимирович")</f>
        <v>КОВАЛЬОВ Павло Володимирович</v>
      </c>
      <c r="G6576" s="7" t="s">
        <v>10</v>
      </c>
      <c r="H6576" s="7">
        <v>2090</v>
      </c>
      <c r="I6576" s="8" t="str">
        <f ca="1">IFERROR(__xludf.DUMMYFUNCTION("IF
(
G6577=""фізична особа""
,
VLOOKUP(H6577,IMPORTRANGE(""https://docs.google.com/spreadsheets/d/14Bd19lYaqBhU8_DElYkX7l4wRkHqqCUFNJY4AfY3kHU/edit?usp=sharing  #gid=0"",""фіз особи new!relations_name""),6,FALSE)
,
(IF
(
G6577=""юридична особа""
,
VLOOKUP"&amp;"(H6577,IMPORTRANGE(""https://docs.google.com/spreadsheets/d/14Bd19lYaqBhU8_DElYkX7l4wRkHqqCUFNJY4AfY3kHU/edit?usp=sharing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76" s="7" t="s">
        <v>30</v>
      </c>
    </row>
    <row r="6577" spans="1:10" ht="13.2">
      <c r="A6577" s="7">
        <v>6576</v>
      </c>
      <c r="B6577" s="7">
        <v>1</v>
      </c>
      <c r="C6577" s="7" t="s">
        <v>10</v>
      </c>
      <c r="D6577" s="7">
        <v>5901</v>
      </c>
      <c r="E6577" s="7" t="s">
        <v>30</v>
      </c>
      <c r="F6577" s="8" t="str">
        <f ca="1">IFERROR(__xludf.DUMMYFUNCTION("IF
(
C6578=""фізична особа""
,
VLOOKUP(D6578,IMPORTRANGE(""https://docs.google.com/spreadsheets/d/14Bd19lYaqBhU8_DElYkX7l4wRkHqqCUFNJY4AfY3kHU/edit?usp=sharing  #gid=0"",""фіз особи new!relations_name""),6,FALSE)
,
(IF
(
C6578=""юридична особа""
,
VLOOKUP"&amp;"(D6578,IMPORTRANGE(""https://docs.google.com/spreadsheets/d/14Bd19lYaqBhU8_DElYkX7l4wRkHqqCUFNJY4AfY3kHU/edit?usp=sharing  #gid=0"",""фіз особи new!relations_name_uo""),7,FALSE)
,
)
))"),"КОВАЛЬОВ Павло Володимирович")</f>
        <v>КОВАЛЬОВ Павло Володимирович</v>
      </c>
      <c r="G6577" s="7" t="s">
        <v>10</v>
      </c>
      <c r="H6577" s="7">
        <v>5915</v>
      </c>
      <c r="I6577" s="8" t="str">
        <f ca="1">IFERROR(__xludf.DUMMYFUNCTION("IF
(
G6578=""фізична особа""
,
VLOOKUP(H6578,IMPORTRANGE(""https://docs.google.com/spreadsheets/d/14Bd19lYaqBhU8_DElYkX7l4wRkHqqCUFNJY4AfY3kHU/edit?usp=sharing  #gid=0"",""фіз особи new!relations_name""),6,FALSE)
,
(IF
(
G6578=""юридична особа""
,
VLOOKUP"&amp;"(H6578,IMPORTRANGE(""https://docs.google.com/spreadsheets/d/14Bd19lYaqBhU8_DElYkX7l4wRkHqqCUFNJY4AfY3kHU/edit?usp=sharing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77" s="7" t="s">
        <v>30</v>
      </c>
    </row>
    <row r="6578" spans="1:10" ht="13.2">
      <c r="A6578" s="7">
        <v>6577</v>
      </c>
      <c r="B6578" s="7">
        <v>1</v>
      </c>
      <c r="C6578" s="7" t="s">
        <v>10</v>
      </c>
      <c r="D6578" s="7">
        <v>5901</v>
      </c>
      <c r="E6578" s="7" t="s">
        <v>30</v>
      </c>
      <c r="F6578" s="8" t="str">
        <f ca="1">IFERROR(__xludf.DUMMYFUNCTION("IF
(
C6579=""фізична особа""
,
VLOOKUP(D6579,IMPORTRANGE(""https://docs.google.com/spreadsheets/d/14Bd19lYaqBhU8_DElYkX7l4wRkHqqCUFNJY4AfY3kHU/edit?usp=sharing  #gid=0"",""фіз особи new!relations_name""),6,FALSE)
,
(IF
(
C6579=""юридична особа""
,
VLOOKUP"&amp;"(D6579,IMPORTRANGE(""https://docs.google.com/spreadsheets/d/14Bd19lYaqBhU8_DElYkX7l4wRkHqqCUFNJY4AfY3kHU/edit?usp=sharing  #gid=0"",""фіз особи new!relations_name_uo""),7,FALSE)
,
)
))"),"КОВАЛЬОВ Павло Володимирович")</f>
        <v>КОВАЛЬОВ Павло Володимирович</v>
      </c>
      <c r="G6578" s="7" t="s">
        <v>10</v>
      </c>
      <c r="H6578" s="7">
        <v>2129</v>
      </c>
      <c r="I6578" s="8" t="str">
        <f ca="1">IFERROR(__xludf.DUMMYFUNCTION("IF
(
G6579=""фізична особа""
,
VLOOKUP(H6579,IMPORTRANGE(""https://docs.google.com/spreadsheets/d/14Bd19lYaqBhU8_DElYkX7l4wRkHqqCUFNJY4AfY3kHU/edit?usp=sharing  #gid=0"",""фіз особи new!relations_name""),6,FALSE)
,
(IF
(
G6579=""юридична особа""
,
VLOOKUP"&amp;"(H6579,IMPORTRANGE(""https://docs.google.com/spreadsheets/d/14Bd19lYaqBhU8_DElYkX7l4wRkHqqCUFNJY4AfY3kHU/edit?usp=sharing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78" s="7" t="s">
        <v>30</v>
      </c>
    </row>
    <row r="6579" spans="1:10" ht="13.2">
      <c r="A6579" s="7">
        <v>6578</v>
      </c>
      <c r="B6579" s="7">
        <v>1</v>
      </c>
      <c r="C6579" s="7" t="s">
        <v>10</v>
      </c>
      <c r="D6579" s="7">
        <v>5902</v>
      </c>
      <c r="E6579" s="7" t="s">
        <v>30</v>
      </c>
      <c r="F6579" s="8" t="str">
        <f ca="1">IFERROR(__xludf.DUMMYFUNCTION("IF
(
C6580=""фізична особа""
,
VLOOKUP(D6580,IMPORTRANGE(""https://docs.google.com/spreadsheets/d/14Bd19lYaqBhU8_DElYkX7l4wRkHqqCUFNJY4AfY3kHU/edit?usp=sharing  #gid=0"",""фіз особи new!relations_name""),6,FALSE)
,
(IF
(
C6580=""юридична особа""
,
VLOOKUP"&amp;"(D6580,IMPORTRANGE(""https://docs.google.com/spreadsheets/d/14Bd19lYaqBhU8_DElYkX7l4wRkHqqCUFNJY4AfY3kHU/edit?usp=sharing  #gid=0"",""фіз особи new!relations_name_uo""),7,FALSE)
,
)
))"),"МОЇСЄЄВ Володимир Олексійович")</f>
        <v>МОЇСЄЄВ Володимир Олексійович</v>
      </c>
      <c r="G6579" s="7" t="s">
        <v>10</v>
      </c>
      <c r="H6579" s="7">
        <v>2090</v>
      </c>
      <c r="I6579" s="8" t="str">
        <f ca="1">IFERROR(__xludf.DUMMYFUNCTION("IF
(
G6580=""фізична особа""
,
VLOOKUP(H6580,IMPORTRANGE(""https://docs.google.com/spreadsheets/d/14Bd19lYaqBhU8_DElYkX7l4wRkHqqCUFNJY4AfY3kHU/edit?usp=sharing  #gid=0"",""фіз особи new!relations_name""),6,FALSE)
,
(IF
(
G6580=""юридична особа""
,
VLOOKUP"&amp;"(H6580,IMPORTRANGE(""https://docs.google.com/spreadsheets/d/14Bd19lYaqBhU8_DElYkX7l4wRkHqqCUFNJY4AfY3kHU/edit?usp=sharing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79" s="7" t="s">
        <v>30</v>
      </c>
    </row>
    <row r="6580" spans="1:10" ht="13.2">
      <c r="A6580" s="7">
        <v>6579</v>
      </c>
      <c r="B6580" s="7">
        <v>1</v>
      </c>
      <c r="C6580" s="7" t="s">
        <v>10</v>
      </c>
      <c r="D6580" s="7">
        <v>5902</v>
      </c>
      <c r="E6580" s="7" t="s">
        <v>30</v>
      </c>
      <c r="F6580" s="8" t="str">
        <f ca="1">IFERROR(__xludf.DUMMYFUNCTION("IF
(
C6581=""фізична особа""
,
VLOOKUP(D6581,IMPORTRANGE(""https://docs.google.com/spreadsheets/d/14Bd19lYaqBhU8_DElYkX7l4wRkHqqCUFNJY4AfY3kHU/edit?usp=sharing  #gid=0"",""фіз особи new!relations_name""),6,FALSE)
,
(IF
(
C6581=""юридична особа""
,
VLOOKUP"&amp;"(D6581,IMPORTRANGE(""https://docs.google.com/spreadsheets/d/14Bd19lYaqBhU8_DElYkX7l4wRkHqqCUFNJY4AfY3kHU/edit?usp=sharing  #gid=0"",""фіз особи new!relations_name_uo""),7,FALSE)
,
)
))"),"МОЇСЄЄВ Володимир Олексійович")</f>
        <v>МОЇСЄЄВ Володимир Олексійович</v>
      </c>
      <c r="G6580" s="7" t="s">
        <v>10</v>
      </c>
      <c r="H6580" s="7">
        <v>5915</v>
      </c>
      <c r="I6580" s="8" t="str">
        <f ca="1">IFERROR(__xludf.DUMMYFUNCTION("IF
(
G6581=""фізична особа""
,
VLOOKUP(H6581,IMPORTRANGE(""https://docs.google.com/spreadsheets/d/14Bd19lYaqBhU8_DElYkX7l4wRkHqqCUFNJY4AfY3kHU/edit?usp=sharing  #gid=0"",""фіз особи new!relations_name""),6,FALSE)
,
(IF
(
G6581=""юридична особа""
,
VLOOKUP"&amp;"(H6581,IMPORTRANGE(""https://docs.google.com/spreadsheets/d/14Bd19lYaqBhU8_DElYkX7l4wRkHqqCUFNJY4AfY3kHU/edit?usp=sharing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80" s="7" t="s">
        <v>30</v>
      </c>
    </row>
    <row r="6581" spans="1:10" ht="13.2">
      <c r="A6581" s="7">
        <v>6580</v>
      </c>
      <c r="B6581" s="7">
        <v>1</v>
      </c>
      <c r="C6581" s="7" t="s">
        <v>10</v>
      </c>
      <c r="D6581" s="7">
        <v>5902</v>
      </c>
      <c r="E6581" s="7" t="s">
        <v>30</v>
      </c>
      <c r="F6581" s="8" t="str">
        <f ca="1">IFERROR(__xludf.DUMMYFUNCTION("IF
(
C6582=""фізична особа""
,
VLOOKUP(D6582,IMPORTRANGE(""https://docs.google.com/spreadsheets/d/14Bd19lYaqBhU8_DElYkX7l4wRkHqqCUFNJY4AfY3kHU/edit?usp=sharing  #gid=0"",""фіз особи new!relations_name""),6,FALSE)
,
(IF
(
C6582=""юридична особа""
,
VLOOKUP"&amp;"(D6582,IMPORTRANGE(""https://docs.google.com/spreadsheets/d/14Bd19lYaqBhU8_DElYkX7l4wRkHqqCUFNJY4AfY3kHU/edit?usp=sharing  #gid=0"",""фіз особи new!relations_name_uo""),7,FALSE)
,
)
))"),"МОЇСЄЄВ Володимир Олексійович")</f>
        <v>МОЇСЄЄВ Володимир Олексійович</v>
      </c>
      <c r="G6581" s="7" t="s">
        <v>10</v>
      </c>
      <c r="H6581" s="7">
        <v>2129</v>
      </c>
      <c r="I6581" s="8" t="str">
        <f ca="1">IFERROR(__xludf.DUMMYFUNCTION("IF
(
G6582=""фізична особа""
,
VLOOKUP(H6582,IMPORTRANGE(""https://docs.google.com/spreadsheets/d/14Bd19lYaqBhU8_DElYkX7l4wRkHqqCUFNJY4AfY3kHU/edit?usp=sharing  #gid=0"",""фіз особи new!relations_name""),6,FALSE)
,
(IF
(
G6582=""юридична особа""
,
VLOOKUP"&amp;"(H6582,IMPORTRANGE(""https://docs.google.com/spreadsheets/d/14Bd19lYaqBhU8_DElYkX7l4wRkHqqCUFNJY4AfY3kHU/edit?usp=sharing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81" s="7" t="s">
        <v>30</v>
      </c>
    </row>
    <row r="6582" spans="1:10" ht="13.2">
      <c r="A6582" s="7">
        <v>6581</v>
      </c>
      <c r="B6582" s="7">
        <v>1</v>
      </c>
      <c r="C6582" s="7" t="s">
        <v>10</v>
      </c>
      <c r="D6582" s="7">
        <v>5903</v>
      </c>
      <c r="E6582" s="7" t="s">
        <v>30</v>
      </c>
      <c r="F6582" s="8" t="str">
        <f ca="1">IFERROR(__xludf.DUMMYFUNCTION("IF
(
C6583=""фізична особа""
,
VLOOKUP(D6583,IMPORTRANGE(""https://docs.google.com/spreadsheets/d/14Bd19lYaqBhU8_DElYkX7l4wRkHqqCUFNJY4AfY3kHU/edit?usp=sharing  #gid=0"",""фіз особи new!relations_name""),6,FALSE)
,
(IF
(
C6583=""юридична особа""
,
VLOOKUP"&amp;"(D6583,IMPORTRANGE(""https://docs.google.com/spreadsheets/d/14Bd19lYaqBhU8_DElYkX7l4wRkHqqCUFNJY4AfY3kHU/edit?usp=sharing  #gid=0"",""фіз особи new!relations_name_uo""),7,FALSE)
,
)
))"),"ЛІПАТОВ Віктор Олександрович")</f>
        <v>ЛІПАТОВ Віктор Олександрович</v>
      </c>
      <c r="G6582" s="7" t="s">
        <v>10</v>
      </c>
      <c r="H6582" s="7">
        <v>2090</v>
      </c>
      <c r="I6582" s="8" t="str">
        <f ca="1">IFERROR(__xludf.DUMMYFUNCTION("IF
(
G6583=""фізична особа""
,
VLOOKUP(H6583,IMPORTRANGE(""https://docs.google.com/spreadsheets/d/14Bd19lYaqBhU8_DElYkX7l4wRkHqqCUFNJY4AfY3kHU/edit?usp=sharing  #gid=0"",""фіз особи new!relations_name""),6,FALSE)
,
(IF
(
G6583=""юридична особа""
,
VLOOKUP"&amp;"(H6583,IMPORTRANGE(""https://docs.google.com/spreadsheets/d/14Bd19lYaqBhU8_DElYkX7l4wRkHqqCUFNJY4AfY3kHU/edit?usp=sharing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82" s="7" t="s">
        <v>30</v>
      </c>
    </row>
    <row r="6583" spans="1:10" ht="13.2">
      <c r="A6583" s="7">
        <v>6582</v>
      </c>
      <c r="B6583" s="7">
        <v>1</v>
      </c>
      <c r="C6583" s="7" t="s">
        <v>10</v>
      </c>
      <c r="D6583" s="7">
        <v>5903</v>
      </c>
      <c r="E6583" s="7" t="s">
        <v>30</v>
      </c>
      <c r="F6583" s="8" t="str">
        <f ca="1">IFERROR(__xludf.DUMMYFUNCTION("IF
(
C6584=""фізична особа""
,
VLOOKUP(D6584,IMPORTRANGE(""https://docs.google.com/spreadsheets/d/14Bd19lYaqBhU8_DElYkX7l4wRkHqqCUFNJY4AfY3kHU/edit?usp=sharing  #gid=0"",""фіз особи new!relations_name""),6,FALSE)
,
(IF
(
C6584=""юридична особа""
,
VLOOKUP"&amp;"(D6584,IMPORTRANGE(""https://docs.google.com/spreadsheets/d/14Bd19lYaqBhU8_DElYkX7l4wRkHqqCUFNJY4AfY3kHU/edit?usp=sharing  #gid=0"",""фіз особи new!relations_name_uo""),7,FALSE)
,
)
))"),"ЛІПАТОВ Віктор Олександрович")</f>
        <v>ЛІПАТОВ Віктор Олександрович</v>
      </c>
      <c r="G6583" s="7" t="s">
        <v>10</v>
      </c>
      <c r="H6583" s="7">
        <v>5915</v>
      </c>
      <c r="I6583" s="8" t="str">
        <f ca="1">IFERROR(__xludf.DUMMYFUNCTION("IF
(
G6584=""фізична особа""
,
VLOOKUP(H6584,IMPORTRANGE(""https://docs.google.com/spreadsheets/d/14Bd19lYaqBhU8_DElYkX7l4wRkHqqCUFNJY4AfY3kHU/edit?usp=sharing  #gid=0"",""фіз особи new!relations_name""),6,FALSE)
,
(IF
(
G6584=""юридична особа""
,
VLOOKUP"&amp;"(H6584,IMPORTRANGE(""https://docs.google.com/spreadsheets/d/14Bd19lYaqBhU8_DElYkX7l4wRkHqqCUFNJY4AfY3kHU/edit?usp=sharing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83" s="7" t="s">
        <v>30</v>
      </c>
    </row>
    <row r="6584" spans="1:10" ht="13.2">
      <c r="A6584" s="7">
        <v>6583</v>
      </c>
      <c r="B6584" s="7">
        <v>1</v>
      </c>
      <c r="C6584" s="7" t="s">
        <v>10</v>
      </c>
      <c r="D6584" s="7">
        <v>5903</v>
      </c>
      <c r="E6584" s="7" t="s">
        <v>30</v>
      </c>
      <c r="F6584" s="8" t="str">
        <f ca="1">IFERROR(__xludf.DUMMYFUNCTION("IF
(
C6585=""фізична особа""
,
VLOOKUP(D6585,IMPORTRANGE(""https://docs.google.com/spreadsheets/d/14Bd19lYaqBhU8_DElYkX7l4wRkHqqCUFNJY4AfY3kHU/edit?usp=sharing  #gid=0"",""фіз особи new!relations_name""),6,FALSE)
,
(IF
(
C6585=""юридична особа""
,
VLOOKUP"&amp;"(D6585,IMPORTRANGE(""https://docs.google.com/spreadsheets/d/14Bd19lYaqBhU8_DElYkX7l4wRkHqqCUFNJY4AfY3kHU/edit?usp=sharing  #gid=0"",""фіз особи new!relations_name_uo""),7,FALSE)
,
)
))"),"ЛІПАТОВ Віктор Олександрович")</f>
        <v>ЛІПАТОВ Віктор Олександрович</v>
      </c>
      <c r="G6584" s="7" t="s">
        <v>10</v>
      </c>
      <c r="H6584" s="7">
        <v>2129</v>
      </c>
      <c r="I6584" s="8" t="str">
        <f ca="1">IFERROR(__xludf.DUMMYFUNCTION("IF
(
G6585=""фізична особа""
,
VLOOKUP(H6585,IMPORTRANGE(""https://docs.google.com/spreadsheets/d/14Bd19lYaqBhU8_DElYkX7l4wRkHqqCUFNJY4AfY3kHU/edit?usp=sharing  #gid=0"",""фіз особи new!relations_name""),6,FALSE)
,
(IF
(
G6585=""юридична особа""
,
VLOOKUP"&amp;"(H6585,IMPORTRANGE(""https://docs.google.com/spreadsheets/d/14Bd19lYaqBhU8_DElYkX7l4wRkHqqCUFNJY4AfY3kHU/edit?usp=sharing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84" s="7" t="s">
        <v>30</v>
      </c>
    </row>
    <row r="6585" spans="1:10" ht="13.2">
      <c r="A6585" s="7">
        <v>6584</v>
      </c>
      <c r="B6585" s="7">
        <v>1</v>
      </c>
      <c r="C6585" s="7" t="s">
        <v>10</v>
      </c>
      <c r="D6585" s="7">
        <v>5904</v>
      </c>
      <c r="E6585" s="7" t="s">
        <v>30</v>
      </c>
      <c r="F6585" s="8" t="str">
        <f ca="1">IFERROR(__xludf.DUMMYFUNCTION("IF
(
C6586=""фізична особа""
,
VLOOKUP(D6586,IMPORTRANGE(""https://docs.google.com/spreadsheets/d/14Bd19lYaqBhU8_DElYkX7l4wRkHqqCUFNJY4AfY3kHU/edit?usp=sharing  #gid=0"",""фіз особи new!relations_name""),6,FALSE)
,
(IF
(
C6586=""юридична особа""
,
VLOOKUP"&amp;"(D6586,IMPORTRANGE(""https://docs.google.com/spreadsheets/d/14Bd19lYaqBhU8_DElYkX7l4wRkHqqCUFNJY4AfY3kHU/edit?usp=sharing  #gid=0"",""фіз особи new!relations_name_uo""),7,FALSE)
,
)
))"),"КОСНИРЄВ Денис Олександрович")</f>
        <v>КОСНИРЄВ Денис Олександрович</v>
      </c>
      <c r="G6585" s="7" t="s">
        <v>10</v>
      </c>
      <c r="H6585" s="7">
        <v>2090</v>
      </c>
      <c r="I6585" s="8" t="str">
        <f ca="1">IFERROR(__xludf.DUMMYFUNCTION("IF
(
G6586=""фізична особа""
,
VLOOKUP(H6586,IMPORTRANGE(""https://docs.google.com/spreadsheets/d/14Bd19lYaqBhU8_DElYkX7l4wRkHqqCUFNJY4AfY3kHU/edit?usp=sharing  #gid=0"",""фіз особи new!relations_name""),6,FALSE)
,
(IF
(
G6586=""юридична особа""
,
VLOOKUP"&amp;"(H6586,IMPORTRANGE(""https://docs.google.com/spreadsheets/d/14Bd19lYaqBhU8_DElYkX7l4wRkHqqCUFNJY4AfY3kHU/edit?usp=sharing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85" s="7" t="s">
        <v>30</v>
      </c>
    </row>
    <row r="6586" spans="1:10" ht="13.2">
      <c r="A6586" s="7">
        <v>6585</v>
      </c>
      <c r="B6586" s="7">
        <v>1</v>
      </c>
      <c r="C6586" s="7" t="s">
        <v>10</v>
      </c>
      <c r="D6586" s="7">
        <v>5904</v>
      </c>
      <c r="E6586" s="7" t="s">
        <v>30</v>
      </c>
      <c r="F6586" s="8" t="str">
        <f ca="1">IFERROR(__xludf.DUMMYFUNCTION("IF
(
C6587=""фізична особа""
,
VLOOKUP(D6587,IMPORTRANGE(""https://docs.google.com/spreadsheets/d/14Bd19lYaqBhU8_DElYkX7l4wRkHqqCUFNJY4AfY3kHU/edit?usp=sharing  #gid=0"",""фіз особи new!relations_name""),6,FALSE)
,
(IF
(
C6587=""юридична особа""
,
VLOOKUP"&amp;"(D6587,IMPORTRANGE(""https://docs.google.com/spreadsheets/d/14Bd19lYaqBhU8_DElYkX7l4wRkHqqCUFNJY4AfY3kHU/edit?usp=sharing  #gid=0"",""фіз особи new!relations_name_uo""),7,FALSE)
,
)
))"),"КОСНИРЄВ Денис Олександрович")</f>
        <v>КОСНИРЄВ Денис Олександрович</v>
      </c>
      <c r="G6586" s="7" t="s">
        <v>10</v>
      </c>
      <c r="H6586" s="7">
        <v>5915</v>
      </c>
      <c r="I6586" s="8" t="str">
        <f ca="1">IFERROR(__xludf.DUMMYFUNCTION("IF
(
G6587=""фізична особа""
,
VLOOKUP(H6587,IMPORTRANGE(""https://docs.google.com/spreadsheets/d/14Bd19lYaqBhU8_DElYkX7l4wRkHqqCUFNJY4AfY3kHU/edit?usp=sharing  #gid=0"",""фіз особи new!relations_name""),6,FALSE)
,
(IF
(
G6587=""юридична особа""
,
VLOOKUP"&amp;"(H6587,IMPORTRANGE(""https://docs.google.com/spreadsheets/d/14Bd19lYaqBhU8_DElYkX7l4wRkHqqCUFNJY4AfY3kHU/edit?usp=sharing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86" s="7" t="s">
        <v>30</v>
      </c>
    </row>
    <row r="6587" spans="1:10" ht="13.2">
      <c r="A6587" s="7">
        <v>6586</v>
      </c>
      <c r="B6587" s="7">
        <v>1</v>
      </c>
      <c r="C6587" s="7" t="s">
        <v>10</v>
      </c>
      <c r="D6587" s="7">
        <v>5904</v>
      </c>
      <c r="E6587" s="7" t="s">
        <v>30</v>
      </c>
      <c r="F6587" s="8" t="str">
        <f ca="1">IFERROR(__xludf.DUMMYFUNCTION("IF
(
C6588=""фізична особа""
,
VLOOKUP(D6588,IMPORTRANGE(""https://docs.google.com/spreadsheets/d/14Bd19lYaqBhU8_DElYkX7l4wRkHqqCUFNJY4AfY3kHU/edit?usp=sharing  #gid=0"",""фіз особи new!relations_name""),6,FALSE)
,
(IF
(
C6588=""юридична особа""
,
VLOOKUP"&amp;"(D6588,IMPORTRANGE(""https://docs.google.com/spreadsheets/d/14Bd19lYaqBhU8_DElYkX7l4wRkHqqCUFNJY4AfY3kHU/edit?usp=sharing  #gid=0"",""фіз особи new!relations_name_uo""),7,FALSE)
,
)
))"),"КОСНИРЄВ Денис Олександрович")</f>
        <v>КОСНИРЄВ Денис Олександрович</v>
      </c>
      <c r="G6587" s="7" t="s">
        <v>10</v>
      </c>
      <c r="H6587" s="7">
        <v>2129</v>
      </c>
      <c r="I6587" s="8" t="str">
        <f ca="1">IFERROR(__xludf.DUMMYFUNCTION("IF
(
G6588=""фізична особа""
,
VLOOKUP(H6588,IMPORTRANGE(""https://docs.google.com/spreadsheets/d/14Bd19lYaqBhU8_DElYkX7l4wRkHqqCUFNJY4AfY3kHU/edit?usp=sharing  #gid=0"",""фіз особи new!relations_name""),6,FALSE)
,
(IF
(
G6588=""юридична особа""
,
VLOOKUP"&amp;"(H6588,IMPORTRANGE(""https://docs.google.com/spreadsheets/d/14Bd19lYaqBhU8_DElYkX7l4wRkHqqCUFNJY4AfY3kHU/edit?usp=sharing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87" s="7" t="s">
        <v>30</v>
      </c>
    </row>
    <row r="6588" spans="1:10" ht="13.2">
      <c r="A6588" s="7">
        <v>6587</v>
      </c>
      <c r="B6588" s="7">
        <v>1</v>
      </c>
      <c r="C6588" s="7" t="s">
        <v>10</v>
      </c>
      <c r="D6588" s="7">
        <v>5905</v>
      </c>
      <c r="E6588" s="7" t="s">
        <v>30</v>
      </c>
      <c r="F6588" s="8" t="str">
        <f ca="1">IFERROR(__xludf.DUMMYFUNCTION("IF
(
C6589=""фізична особа""
,
VLOOKUP(D6589,IMPORTRANGE(""https://docs.google.com/spreadsheets/d/14Bd19lYaqBhU8_DElYkX7l4wRkHqqCUFNJY4AfY3kHU/edit?usp=sharing  #gid=0"",""фіз особи new!relations_name""),6,FALSE)
,
(IF
(
C6589=""юридична особа""
,
VLOOKUP"&amp;"(D6589,IMPORTRANGE(""https://docs.google.com/spreadsheets/d/14Bd19lYaqBhU8_DElYkX7l4wRkHqqCUFNJY4AfY3kHU/edit?usp=sharing  #gid=0"",""фіз особи new!relations_name_uo""),7,FALSE)
,
)
))"),"СИНЕЛЬЩИКОВ Андрій Валентинович")</f>
        <v>СИНЕЛЬЩИКОВ Андрій Валентинович</v>
      </c>
      <c r="G6588" s="7" t="s">
        <v>10</v>
      </c>
      <c r="H6588" s="7">
        <v>2090</v>
      </c>
      <c r="I6588" s="8" t="str">
        <f ca="1">IFERROR(__xludf.DUMMYFUNCTION("IF
(
G6589=""фізична особа""
,
VLOOKUP(H6589,IMPORTRANGE(""https://docs.google.com/spreadsheets/d/14Bd19lYaqBhU8_DElYkX7l4wRkHqqCUFNJY4AfY3kHU/edit?usp=sharing  #gid=0"",""фіз особи new!relations_name""),6,FALSE)
,
(IF
(
G6589=""юридична особа""
,
VLOOKUP"&amp;"(H6589,IMPORTRANGE(""https://docs.google.com/spreadsheets/d/14Bd19lYaqBhU8_DElYkX7l4wRkHqqCUFNJY4AfY3kHU/edit?usp=sharing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88" s="7" t="s">
        <v>30</v>
      </c>
    </row>
    <row r="6589" spans="1:10" ht="13.2">
      <c r="A6589" s="7">
        <v>6588</v>
      </c>
      <c r="B6589" s="7">
        <v>1</v>
      </c>
      <c r="C6589" s="7" t="s">
        <v>10</v>
      </c>
      <c r="D6589" s="7">
        <v>5905</v>
      </c>
      <c r="E6589" s="7" t="s">
        <v>30</v>
      </c>
      <c r="F6589" s="8" t="str">
        <f ca="1">IFERROR(__xludf.DUMMYFUNCTION("IF
(
C6590=""фізична особа""
,
VLOOKUP(D6590,IMPORTRANGE(""https://docs.google.com/spreadsheets/d/14Bd19lYaqBhU8_DElYkX7l4wRkHqqCUFNJY4AfY3kHU/edit?usp=sharing  #gid=0"",""фіз особи new!relations_name""),6,FALSE)
,
(IF
(
C6590=""юридична особа""
,
VLOOKUP"&amp;"(D6590,IMPORTRANGE(""https://docs.google.com/spreadsheets/d/14Bd19lYaqBhU8_DElYkX7l4wRkHqqCUFNJY4AfY3kHU/edit?usp=sharing  #gid=0"",""фіз особи new!relations_name_uo""),7,FALSE)
,
)
))"),"СИНЕЛЬЩИКОВ Андрій Валентинович")</f>
        <v>СИНЕЛЬЩИКОВ Андрій Валентинович</v>
      </c>
      <c r="G6589" s="7" t="s">
        <v>10</v>
      </c>
      <c r="H6589" s="7">
        <v>5915</v>
      </c>
      <c r="I6589" s="8" t="str">
        <f ca="1">IFERROR(__xludf.DUMMYFUNCTION("IF
(
G6590=""фізична особа""
,
VLOOKUP(H6590,IMPORTRANGE(""https://docs.google.com/spreadsheets/d/14Bd19lYaqBhU8_DElYkX7l4wRkHqqCUFNJY4AfY3kHU/edit?usp=sharing  #gid=0"",""фіз особи new!relations_name""),6,FALSE)
,
(IF
(
G6590=""юридична особа""
,
VLOOKUP"&amp;"(H6590,IMPORTRANGE(""https://docs.google.com/spreadsheets/d/14Bd19lYaqBhU8_DElYkX7l4wRkHqqCUFNJY4AfY3kHU/edit?usp=sharing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89" s="7" t="s">
        <v>30</v>
      </c>
    </row>
    <row r="6590" spans="1:10" ht="13.2">
      <c r="A6590" s="7">
        <v>6589</v>
      </c>
      <c r="B6590" s="7">
        <v>1</v>
      </c>
      <c r="C6590" s="7" t="s">
        <v>10</v>
      </c>
      <c r="D6590" s="7">
        <v>5905</v>
      </c>
      <c r="E6590" s="7" t="s">
        <v>30</v>
      </c>
      <c r="F6590" s="8" t="str">
        <f ca="1">IFERROR(__xludf.DUMMYFUNCTION("IF
(
C6591=""фізична особа""
,
VLOOKUP(D6591,IMPORTRANGE(""https://docs.google.com/spreadsheets/d/14Bd19lYaqBhU8_DElYkX7l4wRkHqqCUFNJY4AfY3kHU/edit?usp=sharing  #gid=0"",""фіз особи new!relations_name""),6,FALSE)
,
(IF
(
C6591=""юридична особа""
,
VLOOKUP"&amp;"(D6591,IMPORTRANGE(""https://docs.google.com/spreadsheets/d/14Bd19lYaqBhU8_DElYkX7l4wRkHqqCUFNJY4AfY3kHU/edit?usp=sharing  #gid=0"",""фіз особи new!relations_name_uo""),7,FALSE)
,
)
))"),"СИНЕЛЬЩИКОВ Андрій Валентинович")</f>
        <v>СИНЕЛЬЩИКОВ Андрій Валентинович</v>
      </c>
      <c r="G6590" s="7" t="s">
        <v>10</v>
      </c>
      <c r="H6590" s="7">
        <v>2129</v>
      </c>
      <c r="I6590" s="8" t="str">
        <f ca="1">IFERROR(__xludf.DUMMYFUNCTION("IF
(
G6591=""фізична особа""
,
VLOOKUP(H6591,IMPORTRANGE(""https://docs.google.com/spreadsheets/d/14Bd19lYaqBhU8_DElYkX7l4wRkHqqCUFNJY4AfY3kHU/edit?usp=sharing  #gid=0"",""фіз особи new!relations_name""),6,FALSE)
,
(IF
(
G6591=""юридична особа""
,
VLOOKUP"&amp;"(H6591,IMPORTRANGE(""https://docs.google.com/spreadsheets/d/14Bd19lYaqBhU8_DElYkX7l4wRkHqqCUFNJY4AfY3kHU/edit?usp=sharing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90" s="7" t="s">
        <v>30</v>
      </c>
    </row>
    <row r="6591" spans="1:10" ht="13.2">
      <c r="A6591" s="7">
        <v>6590</v>
      </c>
      <c r="B6591" s="7">
        <v>1</v>
      </c>
      <c r="C6591" s="7" t="s">
        <v>10</v>
      </c>
      <c r="D6591" s="7">
        <v>5911</v>
      </c>
      <c r="E6591" s="7" t="s">
        <v>30</v>
      </c>
      <c r="F6591" s="8" t="str">
        <f ca="1">IFERROR(__xludf.DUMMYFUNCTION("IF
(
C6592=""фізична особа""
,
VLOOKUP(D6592,IMPORTRANGE(""https://docs.google.com/spreadsheets/d/14Bd19lYaqBhU8_DElYkX7l4wRkHqqCUFNJY4AfY3kHU/edit?usp=sharing  #gid=0"",""фіз особи new!relations_name""),6,FALSE)
,
(IF
(
C6592=""юридична особа""
,
VLOOKUP"&amp;"(D6592,IMPORTRANGE(""https://docs.google.com/spreadsheets/d/14Bd19lYaqBhU8_DElYkX7l4wRkHqqCUFNJY4AfY3kHU/edit?usp=sharing  #gid=0"",""фіз особи new!relations_name_uo""),7,FALSE)
,
)
))"),"САВИЦЬКИЙ Вадим Леонідович")</f>
        <v>САВИЦЬКИЙ Вадим Леонідович</v>
      </c>
      <c r="G6591" s="7" t="s">
        <v>10</v>
      </c>
      <c r="H6591" s="7">
        <v>2090</v>
      </c>
      <c r="I6591" s="8" t="str">
        <f ca="1">IFERROR(__xludf.DUMMYFUNCTION("IF
(
G6592=""фізична особа""
,
VLOOKUP(H6592,IMPORTRANGE(""https://docs.google.com/spreadsheets/d/14Bd19lYaqBhU8_DElYkX7l4wRkHqqCUFNJY4AfY3kHU/edit?usp=sharing  #gid=0"",""фіз особи new!relations_name""),6,FALSE)
,
(IF
(
G6592=""юридична особа""
,
VLOOKUP"&amp;"(H6592,IMPORTRANGE(""https://docs.google.com/spreadsheets/d/14Bd19lYaqBhU8_DElYkX7l4wRkHqqCUFNJY4AfY3kHU/edit?usp=sharing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91" s="7" t="s">
        <v>30</v>
      </c>
    </row>
    <row r="6592" spans="1:10" ht="13.2">
      <c r="A6592" s="7">
        <v>6591</v>
      </c>
      <c r="B6592" s="7">
        <v>1</v>
      </c>
      <c r="C6592" s="7" t="s">
        <v>10</v>
      </c>
      <c r="D6592" s="7">
        <v>5911</v>
      </c>
      <c r="E6592" s="7" t="s">
        <v>30</v>
      </c>
      <c r="F6592" s="8" t="str">
        <f ca="1">IFERROR(__xludf.DUMMYFUNCTION("IF
(
C6593=""фізична особа""
,
VLOOKUP(D6593,IMPORTRANGE(""https://docs.google.com/spreadsheets/d/14Bd19lYaqBhU8_DElYkX7l4wRkHqqCUFNJY4AfY3kHU/edit?usp=sharing  #gid=0"",""фіз особи new!relations_name""),6,FALSE)
,
(IF
(
C6593=""юридична особа""
,
VLOOKUP"&amp;"(D6593,IMPORTRANGE(""https://docs.google.com/spreadsheets/d/14Bd19lYaqBhU8_DElYkX7l4wRkHqqCUFNJY4AfY3kHU/edit?usp=sharing  #gid=0"",""фіз особи new!relations_name_uo""),7,FALSE)
,
)
))"),"САВИЦЬКИЙ Вадим Леонідович")</f>
        <v>САВИЦЬКИЙ Вадим Леонідович</v>
      </c>
      <c r="G6592" s="7" t="s">
        <v>10</v>
      </c>
      <c r="H6592" s="7">
        <v>5915</v>
      </c>
      <c r="I6592" s="8" t="str">
        <f ca="1">IFERROR(__xludf.DUMMYFUNCTION("IF
(
G6593=""фізична особа""
,
VLOOKUP(H6593,IMPORTRANGE(""https://docs.google.com/spreadsheets/d/14Bd19lYaqBhU8_DElYkX7l4wRkHqqCUFNJY4AfY3kHU/edit?usp=sharing  #gid=0"",""фіз особи new!relations_name""),6,FALSE)
,
(IF
(
G6593=""юридична особа""
,
VLOOKUP"&amp;"(H6593,IMPORTRANGE(""https://docs.google.com/spreadsheets/d/14Bd19lYaqBhU8_DElYkX7l4wRkHqqCUFNJY4AfY3kHU/edit?usp=sharing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92" s="7" t="s">
        <v>30</v>
      </c>
    </row>
    <row r="6593" spans="1:10" ht="13.2">
      <c r="A6593" s="7">
        <v>6592</v>
      </c>
      <c r="B6593" s="7">
        <v>1</v>
      </c>
      <c r="C6593" s="7" t="s">
        <v>10</v>
      </c>
      <c r="D6593" s="7">
        <v>5911</v>
      </c>
      <c r="E6593" s="7" t="s">
        <v>30</v>
      </c>
      <c r="F6593" s="8" t="str">
        <f ca="1">IFERROR(__xludf.DUMMYFUNCTION("IF
(
C6594=""фізична особа""
,
VLOOKUP(D6594,IMPORTRANGE(""https://docs.google.com/spreadsheets/d/14Bd19lYaqBhU8_DElYkX7l4wRkHqqCUFNJY4AfY3kHU/edit?usp=sharing  #gid=0"",""фіз особи new!relations_name""),6,FALSE)
,
(IF
(
C6594=""юридична особа""
,
VLOOKUP"&amp;"(D6594,IMPORTRANGE(""https://docs.google.com/spreadsheets/d/14Bd19lYaqBhU8_DElYkX7l4wRkHqqCUFNJY4AfY3kHU/edit?usp=sharing  #gid=0"",""фіз особи new!relations_name_uo""),7,FALSE)
,
)
))"),"САВИЦЬКИЙ Вадим Леонідович")</f>
        <v>САВИЦЬКИЙ Вадим Леонідович</v>
      </c>
      <c r="G6593" s="7" t="s">
        <v>10</v>
      </c>
      <c r="H6593" s="7">
        <v>2129</v>
      </c>
      <c r="I6593" s="8" t="str">
        <f ca="1">IFERROR(__xludf.DUMMYFUNCTION("IF
(
G6594=""фізична особа""
,
VLOOKUP(H6594,IMPORTRANGE(""https://docs.google.com/spreadsheets/d/14Bd19lYaqBhU8_DElYkX7l4wRkHqqCUFNJY4AfY3kHU/edit?usp=sharing  #gid=0"",""фіз особи new!relations_name""),6,FALSE)
,
(IF
(
G6594=""юридична особа""
,
VLOOKUP"&amp;"(H6594,IMPORTRANGE(""https://docs.google.com/spreadsheets/d/14Bd19lYaqBhU8_DElYkX7l4wRkHqqCUFNJY4AfY3kHU/edit?usp=sharing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93" s="7" t="s">
        <v>30</v>
      </c>
    </row>
    <row r="6594" spans="1:10" ht="13.2">
      <c r="A6594" s="7">
        <v>6593</v>
      </c>
      <c r="B6594" s="7">
        <v>1</v>
      </c>
      <c r="C6594" s="7" t="s">
        <v>10</v>
      </c>
      <c r="D6594" s="7">
        <v>5912</v>
      </c>
      <c r="E6594" s="7" t="s">
        <v>30</v>
      </c>
      <c r="F6594" s="8" t="str">
        <f ca="1">IFERROR(__xludf.DUMMYFUNCTION("IF
(
C6595=""фізична особа""
,
VLOOKUP(D6595,IMPORTRANGE(""https://docs.google.com/spreadsheets/d/14Bd19lYaqBhU8_DElYkX7l4wRkHqqCUFNJY4AfY3kHU/edit?usp=sharing  #gid=0"",""фіз особи new!relations_name""),6,FALSE)
,
(IF
(
C6595=""юридична особа""
,
VLOOKUP"&amp;"(D6595,IMPORTRANGE(""https://docs.google.com/spreadsheets/d/14Bd19lYaqBhU8_DElYkX7l4wRkHqqCUFNJY4AfY3kHU/edit?usp=sharing  #gid=0"",""фіз особи new!relations_name_uo""),7,FALSE)
,
)
))"),"ГУЩИН Анатолій Олександрович")</f>
        <v>ГУЩИН Анатолій Олександрович</v>
      </c>
      <c r="G6594" s="7" t="s">
        <v>10</v>
      </c>
      <c r="H6594" s="7">
        <v>2090</v>
      </c>
      <c r="I6594" s="8" t="str">
        <f ca="1">IFERROR(__xludf.DUMMYFUNCTION("IF
(
G6595=""фізична особа""
,
VLOOKUP(H6595,IMPORTRANGE(""https://docs.google.com/spreadsheets/d/14Bd19lYaqBhU8_DElYkX7l4wRkHqqCUFNJY4AfY3kHU/edit?usp=sharing  #gid=0"",""фіз особи new!relations_name""),6,FALSE)
,
(IF
(
G6595=""юридична особа""
,
VLOOKUP"&amp;"(H6595,IMPORTRANGE(""https://docs.google.com/spreadsheets/d/14Bd19lYaqBhU8_DElYkX7l4wRkHqqCUFNJY4AfY3kHU/edit?usp=sharing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94" s="7" t="s">
        <v>30</v>
      </c>
    </row>
    <row r="6595" spans="1:10" ht="13.2">
      <c r="A6595" s="7">
        <v>6594</v>
      </c>
      <c r="B6595" s="7">
        <v>1</v>
      </c>
      <c r="C6595" s="7" t="s">
        <v>10</v>
      </c>
      <c r="D6595" s="7">
        <v>5912</v>
      </c>
      <c r="E6595" s="7" t="s">
        <v>30</v>
      </c>
      <c r="F6595" s="8" t="str">
        <f ca="1">IFERROR(__xludf.DUMMYFUNCTION("IF
(
C6596=""фізична особа""
,
VLOOKUP(D6596,IMPORTRANGE(""https://docs.google.com/spreadsheets/d/14Bd19lYaqBhU8_DElYkX7l4wRkHqqCUFNJY4AfY3kHU/edit?usp=sharing  #gid=0"",""фіз особи new!relations_name""),6,FALSE)
,
(IF
(
C6596=""юридична особа""
,
VLOOKUP"&amp;"(D6596,IMPORTRANGE(""https://docs.google.com/spreadsheets/d/14Bd19lYaqBhU8_DElYkX7l4wRkHqqCUFNJY4AfY3kHU/edit?usp=sharing  #gid=0"",""фіз особи new!relations_name_uo""),7,FALSE)
,
)
))"),"ГУЩИН Анатолій Олександрович")</f>
        <v>ГУЩИН Анатолій Олександрович</v>
      </c>
      <c r="G6595" s="7" t="s">
        <v>10</v>
      </c>
      <c r="H6595" s="7">
        <v>5915</v>
      </c>
      <c r="I6595" s="8" t="str">
        <f ca="1">IFERROR(__xludf.DUMMYFUNCTION("IF
(
G6596=""фізична особа""
,
VLOOKUP(H6596,IMPORTRANGE(""https://docs.google.com/spreadsheets/d/14Bd19lYaqBhU8_DElYkX7l4wRkHqqCUFNJY4AfY3kHU/edit?usp=sharing  #gid=0"",""фіз особи new!relations_name""),6,FALSE)
,
(IF
(
G6596=""юридична особа""
,
VLOOKUP"&amp;"(H6596,IMPORTRANGE(""https://docs.google.com/spreadsheets/d/14Bd19lYaqBhU8_DElYkX7l4wRkHqqCUFNJY4AfY3kHU/edit?usp=sharing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95" s="7" t="s">
        <v>30</v>
      </c>
    </row>
    <row r="6596" spans="1:10" ht="13.2">
      <c r="A6596" s="7">
        <v>6595</v>
      </c>
      <c r="B6596" s="7">
        <v>1</v>
      </c>
      <c r="C6596" s="7" t="s">
        <v>10</v>
      </c>
      <c r="D6596" s="7">
        <v>5912</v>
      </c>
      <c r="E6596" s="7" t="s">
        <v>30</v>
      </c>
      <c r="F6596" s="8" t="str">
        <f ca="1">IFERROR(__xludf.DUMMYFUNCTION("IF
(
C6597=""фізична особа""
,
VLOOKUP(D6597,IMPORTRANGE(""https://docs.google.com/spreadsheets/d/14Bd19lYaqBhU8_DElYkX7l4wRkHqqCUFNJY4AfY3kHU/edit?usp=sharing  #gid=0"",""фіз особи new!relations_name""),6,FALSE)
,
(IF
(
C6597=""юридична особа""
,
VLOOKUP"&amp;"(D6597,IMPORTRANGE(""https://docs.google.com/spreadsheets/d/14Bd19lYaqBhU8_DElYkX7l4wRkHqqCUFNJY4AfY3kHU/edit?usp=sharing  #gid=0"",""фіз особи new!relations_name_uo""),7,FALSE)
,
)
))"),"ГУЩИН Анатолій Олександрович")</f>
        <v>ГУЩИН Анатолій Олександрович</v>
      </c>
      <c r="G6596" s="7" t="s">
        <v>10</v>
      </c>
      <c r="H6596" s="7">
        <v>2129</v>
      </c>
      <c r="I6596" s="8" t="str">
        <f ca="1">IFERROR(__xludf.DUMMYFUNCTION("IF
(
G6597=""фізична особа""
,
VLOOKUP(H6597,IMPORTRANGE(""https://docs.google.com/spreadsheets/d/14Bd19lYaqBhU8_DElYkX7l4wRkHqqCUFNJY4AfY3kHU/edit?usp=sharing  #gid=0"",""фіз особи new!relations_name""),6,FALSE)
,
(IF
(
G6597=""юридична особа""
,
VLOOKUP"&amp;"(H6597,IMPORTRANGE(""https://docs.google.com/spreadsheets/d/14Bd19lYaqBhU8_DElYkX7l4wRkHqqCUFNJY4AfY3kHU/edit?usp=sharing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96" s="7" t="s">
        <v>30</v>
      </c>
    </row>
    <row r="6597" spans="1:10" ht="13.2">
      <c r="A6597" s="7">
        <v>6596</v>
      </c>
      <c r="B6597" s="7">
        <v>1</v>
      </c>
      <c r="C6597" s="7" t="s">
        <v>10</v>
      </c>
      <c r="D6597" s="7">
        <v>5913</v>
      </c>
      <c r="E6597" s="7" t="s">
        <v>30</v>
      </c>
      <c r="F6597" s="8" t="str">
        <f ca="1">IFERROR(__xludf.DUMMYFUNCTION("IF
(
C6598=""фізична особа""
,
VLOOKUP(D6598,IMPORTRANGE(""https://docs.google.com/spreadsheets/d/14Bd19lYaqBhU8_DElYkX7l4wRkHqqCUFNJY4AfY3kHU/edit?usp=sharing  #gid=0"",""фіз особи new!relations_name""),6,FALSE)
,
(IF
(
C6598=""юридична особа""
,
VLOOKUP"&amp;"(D6598,IMPORTRANGE(""https://docs.google.com/spreadsheets/d/14Bd19lYaqBhU8_DElYkX7l4wRkHqqCUFNJY4AfY3kHU/edit?usp=sharing  #gid=0"",""фіз особи new!relations_name_uo""),7,FALSE)
,
)
))"),"МАРКЕЛОВ Костянтин Юрійович")</f>
        <v>МАРКЕЛОВ Костянтин Юрійович</v>
      </c>
      <c r="G6597" s="7" t="s">
        <v>10</v>
      </c>
      <c r="H6597" s="7">
        <v>2090</v>
      </c>
      <c r="I6597" s="8" t="str">
        <f ca="1">IFERROR(__xludf.DUMMYFUNCTION("IF
(
G6598=""фізична особа""
,
VLOOKUP(H6598,IMPORTRANGE(""https://docs.google.com/spreadsheets/d/14Bd19lYaqBhU8_DElYkX7l4wRkHqqCUFNJY4AfY3kHU/edit?usp=sharing  #gid=0"",""фіз особи new!relations_name""),6,FALSE)
,
(IF
(
G6598=""юридична особа""
,
VLOOKUP"&amp;"(H6598,IMPORTRANGE(""https://docs.google.com/spreadsheets/d/14Bd19lYaqBhU8_DElYkX7l4wRkHqqCUFNJY4AfY3kHU/edit?usp=sharing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597" s="7" t="s">
        <v>30</v>
      </c>
    </row>
    <row r="6598" spans="1:10" ht="13.2">
      <c r="A6598" s="7">
        <v>6597</v>
      </c>
      <c r="B6598" s="7">
        <v>1</v>
      </c>
      <c r="C6598" s="7" t="s">
        <v>10</v>
      </c>
      <c r="D6598" s="7">
        <v>5913</v>
      </c>
      <c r="E6598" s="7" t="s">
        <v>30</v>
      </c>
      <c r="F6598" s="8" t="str">
        <f ca="1">IFERROR(__xludf.DUMMYFUNCTION("IF
(
C6599=""фізична особа""
,
VLOOKUP(D6599,IMPORTRANGE(""https://docs.google.com/spreadsheets/d/14Bd19lYaqBhU8_DElYkX7l4wRkHqqCUFNJY4AfY3kHU/edit?usp=sharing  #gid=0"",""фіз особи new!relations_name""),6,FALSE)
,
(IF
(
C6599=""юридична особа""
,
VLOOKUP"&amp;"(D6599,IMPORTRANGE(""https://docs.google.com/spreadsheets/d/14Bd19lYaqBhU8_DElYkX7l4wRkHqqCUFNJY4AfY3kHU/edit?usp=sharing  #gid=0"",""фіз особи new!relations_name_uo""),7,FALSE)
,
)
))"),"МАРКЕЛОВ Костянтин Юрійович")</f>
        <v>МАРКЕЛОВ Костянтин Юрійович</v>
      </c>
      <c r="G6598" s="7" t="s">
        <v>10</v>
      </c>
      <c r="H6598" s="7">
        <v>5915</v>
      </c>
      <c r="I6598" s="8" t="str">
        <f ca="1">IFERROR(__xludf.DUMMYFUNCTION("IF
(
G6599=""фізична особа""
,
VLOOKUP(H6599,IMPORTRANGE(""https://docs.google.com/spreadsheets/d/14Bd19lYaqBhU8_DElYkX7l4wRkHqqCUFNJY4AfY3kHU/edit?usp=sharing  #gid=0"",""фіз особи new!relations_name""),6,FALSE)
,
(IF
(
G6599=""юридична особа""
,
VLOOKUP"&amp;"(H6599,IMPORTRANGE(""https://docs.google.com/spreadsheets/d/14Bd19lYaqBhU8_DElYkX7l4wRkHqqCUFNJY4AfY3kHU/edit?usp=sharing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598" s="7" t="s">
        <v>30</v>
      </c>
    </row>
    <row r="6599" spans="1:10" ht="13.2">
      <c r="A6599" s="7">
        <v>6598</v>
      </c>
      <c r="B6599" s="7">
        <v>1</v>
      </c>
      <c r="C6599" s="7" t="s">
        <v>10</v>
      </c>
      <c r="D6599" s="7">
        <v>5913</v>
      </c>
      <c r="E6599" s="7" t="s">
        <v>30</v>
      </c>
      <c r="F6599" s="8" t="str">
        <f ca="1">IFERROR(__xludf.DUMMYFUNCTION("IF
(
C6600=""фізична особа""
,
VLOOKUP(D6600,IMPORTRANGE(""https://docs.google.com/spreadsheets/d/14Bd19lYaqBhU8_DElYkX7l4wRkHqqCUFNJY4AfY3kHU/edit?usp=sharing  #gid=0"",""фіз особи new!relations_name""),6,FALSE)
,
(IF
(
C6600=""юридична особа""
,
VLOOKUP"&amp;"(D6600,IMPORTRANGE(""https://docs.google.com/spreadsheets/d/14Bd19lYaqBhU8_DElYkX7l4wRkHqqCUFNJY4AfY3kHU/edit?usp=sharing  #gid=0"",""фіз особи new!relations_name_uo""),7,FALSE)
,
)
))"),"МАРКЕЛОВ Костянтин Юрійович")</f>
        <v>МАРКЕЛОВ Костянтин Юрійович</v>
      </c>
      <c r="G6599" s="7" t="s">
        <v>10</v>
      </c>
      <c r="H6599" s="7">
        <v>2129</v>
      </c>
      <c r="I6599" s="8" t="str">
        <f ca="1">IFERROR(__xludf.DUMMYFUNCTION("IF
(
G6600=""фізична особа""
,
VLOOKUP(H6600,IMPORTRANGE(""https://docs.google.com/spreadsheets/d/14Bd19lYaqBhU8_DElYkX7l4wRkHqqCUFNJY4AfY3kHU/edit?usp=sharing  #gid=0"",""фіз особи new!relations_name""),6,FALSE)
,
(IF
(
G6600=""юридична особа""
,
VLOOKUP"&amp;"(H6600,IMPORTRANGE(""https://docs.google.com/spreadsheets/d/14Bd19lYaqBhU8_DElYkX7l4wRkHqqCUFNJY4AfY3kHU/edit?usp=sharing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599" s="7" t="s">
        <v>30</v>
      </c>
    </row>
    <row r="6600" spans="1:10" ht="13.2">
      <c r="A6600" s="7">
        <v>6599</v>
      </c>
      <c r="B6600" s="7">
        <v>1</v>
      </c>
      <c r="C6600" s="7" t="s">
        <v>10</v>
      </c>
      <c r="D6600" s="7">
        <v>5914</v>
      </c>
      <c r="E6600" s="7" t="s">
        <v>30</v>
      </c>
      <c r="F6600" s="8" t="str">
        <f ca="1">IFERROR(__xludf.DUMMYFUNCTION("IF
(
C6601=""фізична особа""
,
VLOOKUP(D6601,IMPORTRANGE(""https://docs.google.com/spreadsheets/d/14Bd19lYaqBhU8_DElYkX7l4wRkHqqCUFNJY4AfY3kHU/edit?usp=sharing  #gid=0"",""фіз особи new!relations_name""),6,FALSE)
,
(IF
(
C6601=""юридична особа""
,
VLOOKUP"&amp;"(D6601,IMPORTRANGE(""https://docs.google.com/spreadsheets/d/14Bd19lYaqBhU8_DElYkX7l4wRkHqqCUFNJY4AfY3kHU/edit?usp=sharing  #gid=0"",""фіз особи new!relations_name_uo""),7,FALSE)
,
)
))"),"ЛЯШЕНКО Ігор Миколайович")</f>
        <v>ЛЯШЕНКО Ігор Миколайович</v>
      </c>
      <c r="G6600" s="7" t="s">
        <v>10</v>
      </c>
      <c r="H6600" s="7">
        <v>2090</v>
      </c>
      <c r="I6600" s="8" t="str">
        <f ca="1">IFERROR(__xludf.DUMMYFUNCTION("IF
(
G6601=""фізична особа""
,
VLOOKUP(H6601,IMPORTRANGE(""https://docs.google.com/spreadsheets/d/14Bd19lYaqBhU8_DElYkX7l4wRkHqqCUFNJY4AfY3kHU/edit?usp=sharing  #gid=0"",""фіз особи new!relations_name""),6,FALSE)
,
(IF
(
G6601=""юридична особа""
,
VLOOKUP"&amp;"(H6601,IMPORTRANGE(""https://docs.google.com/spreadsheets/d/14Bd19lYaqBhU8_DElYkX7l4wRkHqqCUFNJY4AfY3kHU/edit?usp=sharing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600" s="7" t="s">
        <v>30</v>
      </c>
    </row>
    <row r="6601" spans="1:10" ht="13.2">
      <c r="A6601" s="7">
        <v>6600</v>
      </c>
      <c r="B6601" s="7">
        <v>1</v>
      </c>
      <c r="C6601" s="7" t="s">
        <v>10</v>
      </c>
      <c r="D6601" s="7">
        <v>5914</v>
      </c>
      <c r="E6601" s="7" t="s">
        <v>30</v>
      </c>
      <c r="F6601" s="8" t="str">
        <f ca="1">IFERROR(__xludf.DUMMYFUNCTION("IF
(
C6602=""фізична особа""
,
VLOOKUP(D6602,IMPORTRANGE(""https://docs.google.com/spreadsheets/d/14Bd19lYaqBhU8_DElYkX7l4wRkHqqCUFNJY4AfY3kHU/edit?usp=sharing  #gid=0"",""фіз особи new!relations_name""),6,FALSE)
,
(IF
(
C6602=""юридична особа""
,
VLOOKUP"&amp;"(D6602,IMPORTRANGE(""https://docs.google.com/spreadsheets/d/14Bd19lYaqBhU8_DElYkX7l4wRkHqqCUFNJY4AfY3kHU/edit?usp=sharing  #gid=0"",""фіз особи new!relations_name_uo""),7,FALSE)
,
)
))"),"ЛЯШЕНКО Ігор Миколайович")</f>
        <v>ЛЯШЕНКО Ігор Миколайович</v>
      </c>
      <c r="G6601" s="7" t="s">
        <v>10</v>
      </c>
      <c r="H6601" s="7">
        <v>5915</v>
      </c>
      <c r="I6601" s="8" t="str">
        <f ca="1">IFERROR(__xludf.DUMMYFUNCTION("IF
(
G6602=""фізична особа""
,
VLOOKUP(H6602,IMPORTRANGE(""https://docs.google.com/spreadsheets/d/14Bd19lYaqBhU8_DElYkX7l4wRkHqqCUFNJY4AfY3kHU/edit?usp=sharing  #gid=0"",""фіз особи new!relations_name""),6,FALSE)
,
(IF
(
G6602=""юридична особа""
,
VLOOKUP"&amp;"(H6602,IMPORTRANGE(""https://docs.google.com/spreadsheets/d/14Bd19lYaqBhU8_DElYkX7l4wRkHqqCUFNJY4AfY3kHU/edit?usp=sharing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J6601" s="7" t="s">
        <v>30</v>
      </c>
    </row>
    <row r="6602" spans="1:10" ht="13.2">
      <c r="A6602" s="7">
        <v>6601</v>
      </c>
      <c r="B6602" s="7">
        <v>1</v>
      </c>
      <c r="C6602" s="7" t="s">
        <v>10</v>
      </c>
      <c r="D6602" s="7">
        <v>5914</v>
      </c>
      <c r="E6602" s="7" t="s">
        <v>30</v>
      </c>
      <c r="F6602" s="8" t="str">
        <f ca="1">IFERROR(__xludf.DUMMYFUNCTION("IF
(
C6603=""фізична особа""
,
VLOOKUP(D6603,IMPORTRANGE(""https://docs.google.com/spreadsheets/d/14Bd19lYaqBhU8_DElYkX7l4wRkHqqCUFNJY4AfY3kHU/edit?usp=sharing  #gid=0"",""фіз особи new!relations_name""),6,FALSE)
,
(IF
(
C6603=""юридична особа""
,
VLOOKUP"&amp;"(D6603,IMPORTRANGE(""https://docs.google.com/spreadsheets/d/14Bd19lYaqBhU8_DElYkX7l4wRkHqqCUFNJY4AfY3kHU/edit?usp=sharing  #gid=0"",""фіз особи new!relations_name_uo""),7,FALSE)
,
)
))"),"ЛЯШЕНКО Ігор Миколайович")</f>
        <v>ЛЯШЕНКО Ігор Миколайович</v>
      </c>
      <c r="G6602" s="7" t="s">
        <v>10</v>
      </c>
      <c r="H6602" s="7">
        <v>2129</v>
      </c>
      <c r="I6602" s="8" t="str">
        <f ca="1">IFERROR(__xludf.DUMMYFUNCTION("IF
(
G6603=""фізична особа""
,
VLOOKUP(H6603,IMPORTRANGE(""https://docs.google.com/spreadsheets/d/14Bd19lYaqBhU8_DElYkX7l4wRkHqqCUFNJY4AfY3kHU/edit?usp=sharing  #gid=0"",""фіз особи new!relations_name""),6,FALSE)
,
(IF
(
G6603=""юридична особа""
,
VLOOKUP"&amp;"(H6603,IMPORTRANGE(""https://docs.google.com/spreadsheets/d/14Bd19lYaqBhU8_DElYkX7l4wRkHqqCUFNJY4AfY3kHU/edit?usp=sharing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602" s="7" t="s">
        <v>30</v>
      </c>
    </row>
    <row r="6603" spans="1:10" ht="13.2">
      <c r="A6603" s="7">
        <v>6602</v>
      </c>
      <c r="B6603" s="7">
        <v>1</v>
      </c>
      <c r="C6603" s="7" t="s">
        <v>10</v>
      </c>
      <c r="D6603" s="7">
        <v>5915</v>
      </c>
      <c r="E6603" s="7" t="s">
        <v>11</v>
      </c>
      <c r="F6603" s="8" t="str">
        <f ca="1">IFERROR(__xludf.DUMMYFUNCTION("IF
(
C6604=""фізична особа""
,
VLOOKUP(D6604,IMPORTRANGE(""https://docs.google.com/spreadsheets/d/14Bd19lYaqBhU8_DElYkX7l4wRkHqqCUFNJY4AfY3kHU/edit?usp=sharing  #gid=0"",""фіз особи new!relations_name""),6,FALSE)
,
(IF
(
C6604=""юридична особа""
,
VLOOKUP"&amp;"(D6604,IMPORTRANGE(""https://docs.google.com/spreadsheets/d/14Bd19lYaqBhU8_DElYkX7l4wRkHqqCUFNJY4AfY3kHU/edit?usp=sharing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G6603" s="7" t="s">
        <v>10</v>
      </c>
      <c r="H6603" s="7">
        <v>2090</v>
      </c>
      <c r="I6603" s="8" t="str">
        <f ca="1">IFERROR(__xludf.DUMMYFUNCTION("IF
(
G6604=""фізична особа""
,
VLOOKUP(H6604,IMPORTRANGE(""https://docs.google.com/spreadsheets/d/14Bd19lYaqBhU8_DElYkX7l4wRkHqqCUFNJY4AfY3kHU/edit?usp=sharing  #gid=0"",""фіз особи new!relations_name""),6,FALSE)
,
(IF
(
G6604=""юридична особа""
,
VLOOKUP"&amp;"(H6604,IMPORTRANGE(""https://docs.google.com/spreadsheets/d/14Bd19lYaqBhU8_DElYkX7l4wRkHqqCUFNJY4AfY3kHU/edit?usp=sharing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6603" s="7" t="s">
        <v>11</v>
      </c>
    </row>
    <row r="6604" spans="1:10" ht="13.2">
      <c r="A6604" s="7">
        <v>6603</v>
      </c>
      <c r="B6604" s="7">
        <v>1</v>
      </c>
      <c r="C6604" s="7" t="s">
        <v>10</v>
      </c>
      <c r="D6604" s="7">
        <v>5915</v>
      </c>
      <c r="E6604" s="7" t="s">
        <v>30</v>
      </c>
      <c r="F6604" s="8" t="str">
        <f ca="1">IFERROR(__xludf.DUMMYFUNCTION("IF
(
C6605=""фізична особа""
,
VLOOKUP(D6605,IMPORTRANGE(""https://docs.google.com/spreadsheets/d/14Bd19lYaqBhU8_DElYkX7l4wRkHqqCUFNJY4AfY3kHU/edit?usp=sharing  #gid=0"",""фіз особи new!relations_name""),6,FALSE)
,
(IF
(
C6605=""юридична особа""
,
VLOOKUP"&amp;"(D6605,IMPORTRANGE(""https://docs.google.com/spreadsheets/d/14Bd19lYaqBhU8_DElYkX7l4wRkHqqCUFNJY4AfY3kHU/edit?usp=sharing  #gid=0"",""фіз особи new!relations_name_uo""),7,FALSE)
,
)
))"),"ЄВТУШЕНКОВ Фелікс Володимирович")</f>
        <v>ЄВТУШЕНКОВ Фелікс Володимирович</v>
      </c>
      <c r="G6604" s="7" t="s">
        <v>10</v>
      </c>
      <c r="H6604" s="7">
        <v>2129</v>
      </c>
      <c r="I6604" s="8" t="str">
        <f ca="1">IFERROR(__xludf.DUMMYFUNCTION("IF
(
G6605=""фізична особа""
,
VLOOKUP(H6605,IMPORTRANGE(""https://docs.google.com/spreadsheets/d/14Bd19lYaqBhU8_DElYkX7l4wRkHqqCUFNJY4AfY3kHU/edit?usp=sharing  #gid=0"",""фіз особи new!relations_name""),6,FALSE)
,
(IF
(
G6605=""юридична особа""
,
VLOOKUP"&amp;"(H6605,IMPORTRANGE(""https://docs.google.com/spreadsheets/d/14Bd19lYaqBhU8_DElYkX7l4wRkHqqCUFNJY4AfY3kHU/edit?usp=sharing  #gid=0"",""фіз особи new!relations_name_uo""),7,FALSE)
,
)
))"),"НОВИЦЬКИЙ Євген Григорович")</f>
        <v>НОВИЦЬКИЙ Євген Григорович</v>
      </c>
      <c r="J6604" s="7" t="s">
        <v>30</v>
      </c>
    </row>
    <row r="6605" spans="1:10" ht="13.2">
      <c r="A6605" s="7">
        <v>6604</v>
      </c>
      <c r="B6605" s="7">
        <v>1</v>
      </c>
      <c r="C6605" s="7" t="s">
        <v>10</v>
      </c>
      <c r="D6605" s="7">
        <v>5946</v>
      </c>
      <c r="E6605" s="7" t="s">
        <v>15</v>
      </c>
      <c r="F6605" s="8" t="str">
        <f ca="1">IFERROR(__xludf.DUMMYFUNCTION("IF
(
C6606=""фізична особа""
,
VLOOKUP(D6606,IMPORTRANGE(""https://docs.google.com/spreadsheets/d/14Bd19lYaqBhU8_DElYkX7l4wRkHqqCUFNJY4AfY3kHU/edit?usp=sharing  #gid=0"",""фіз особи new!relations_name""),6,FALSE)
,
(IF
(
C6606=""юридична особа""
,
VLOOKUP"&amp;"(D6606,IMPORTRANGE(""https://docs.google.com/spreadsheets/d/14Bd19lYaqBhU8_DElYkX7l4wRkHqqCUFNJY4AfY3kHU/edit?usp=sharing  #gid=0"",""фіз особи new!relations_name_uo""),7,FALSE)
,
)
))"),"МЕЛЬНІЧЕНКО Олександра")</f>
        <v>МЕЛЬНІЧЕНКО Олександра</v>
      </c>
      <c r="G6605" s="7" t="s">
        <v>10</v>
      </c>
      <c r="H6605" s="7">
        <v>70</v>
      </c>
      <c r="I6605" s="8" t="str">
        <f ca="1">IFERROR(__xludf.DUMMYFUNCTION("IF
(
G6606=""фізична особа""
,
VLOOKUP(H6606,IMPORTRANGE(""https://docs.google.com/spreadsheets/d/14Bd19lYaqBhU8_DElYkX7l4wRkHqqCUFNJY4AfY3kHU/edit?usp=sharing  #gid=0"",""фіз особи new!relations_name""),6,FALSE)
,
(IF
(
G6606=""юридична особа""
,
VLOOKUP"&amp;"(H6606,IMPORTRANGE(""https://docs.google.com/spreadsheets/d/14Bd19lYaqBhU8_DElYkX7l4wRkHqqCUFNJY4AfY3kHU/edit?usp=sharing  #gid=0"",""фіз особи new!relations_name_uo""),7,FALSE)
,
)
))"),"МЕЛЬНІЧЕНКО Андрій Ігорович")</f>
        <v>МЕЛЬНІЧЕНКО Андрій Ігорович</v>
      </c>
      <c r="J6605" s="7" t="s">
        <v>14</v>
      </c>
    </row>
    <row r="6606" spans="1:10" ht="13.2">
      <c r="A6606" s="7">
        <v>6605</v>
      </c>
      <c r="B6606" s="7">
        <v>1</v>
      </c>
      <c r="C6606" s="7" t="s">
        <v>10</v>
      </c>
      <c r="D6606" s="7">
        <v>6007</v>
      </c>
      <c r="E6606" s="7" t="s">
        <v>28</v>
      </c>
      <c r="F6606" s="8" t="str">
        <f ca="1">IFERROR(__xludf.DUMMYFUNCTION("IF
(
C6607=""фізична особа""
,
VLOOKUP(D6607,IMPORTRANGE(""https://docs.google.com/spreadsheets/d/14Bd19lYaqBhU8_DElYkX7l4wRkHqqCUFNJY4AfY3kHU/edit?usp=sharing  #gid=0"",""фіз особи new!relations_name""),6,FALSE)
,
(IF
(
C6607=""юридична особа""
,
VLOOKUP"&amp;"(D6607,IMPORTRANGE(""https://docs.google.com/spreadsheets/d/14Bd19lYaqBhU8_DElYkX7l4wRkHqqCUFNJY4AfY3kHU/edit?usp=sharing  #gid=0"",""фіз особи new!relations_name_uo""),7,FALSE)
,
)
))"),"БОЙЦОВ Андрій Артурович")</f>
        <v>БОЙЦОВ Андрій Артурович</v>
      </c>
      <c r="G6606" s="7" t="s">
        <v>10</v>
      </c>
      <c r="H6606" s="7">
        <v>204</v>
      </c>
      <c r="I6606" s="8" t="str">
        <f ca="1">IFERROR(__xludf.DUMMYFUNCTION("IF
(
G6607=""фізична особа""
,
VLOOKUP(H6607,IMPORTRANGE(""https://docs.google.com/spreadsheets/d/14Bd19lYaqBhU8_DElYkX7l4wRkHqqCUFNJY4AfY3kHU/edit?usp=sharing  #gid=0"",""фіз особи new!relations_name""),6,FALSE)
,
(IF
(
G6607=""юридична особа""
,
VLOOKUP"&amp;"(H6607,IMPORTRANGE(""https://docs.google.com/spreadsheets/d/14Bd19lYaqBhU8_DElYkX7l4wRkHqqCUFNJY4AfY3kHU/edit?usp=sharing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06" s="7" t="s">
        <v>29</v>
      </c>
    </row>
    <row r="6607" spans="1:10" ht="13.2">
      <c r="A6607" s="7">
        <v>6606</v>
      </c>
      <c r="B6607" s="7">
        <v>1</v>
      </c>
      <c r="C6607" s="7" t="s">
        <v>10</v>
      </c>
      <c r="D6607" s="7">
        <v>6008</v>
      </c>
      <c r="E6607" s="7" t="s">
        <v>28</v>
      </c>
      <c r="F6607" s="8" t="str">
        <f ca="1">IFERROR(__xludf.DUMMYFUNCTION("IF
(
C6608=""фізична особа""
,
VLOOKUP(D6608,IMPORTRANGE(""https://docs.google.com/spreadsheets/d/14Bd19lYaqBhU8_DElYkX7l4wRkHqqCUFNJY4AfY3kHU/edit?usp=sharing  #gid=0"",""фіз особи new!relations_name""),6,FALSE)
,
(IF
(
C6608=""юридична особа""
,
VLOOKUP"&amp;"(D6608,IMPORTRANGE(""https://docs.google.com/spreadsheets/d/14Bd19lYaqBhU8_DElYkX7l4wRkHqqCUFNJY4AfY3kHU/edit?usp=sharing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G6607" s="7" t="s">
        <v>10</v>
      </c>
      <c r="H6607" s="7">
        <v>204</v>
      </c>
      <c r="I6607" s="8" t="str">
        <f ca="1">IFERROR(__xludf.DUMMYFUNCTION("IF
(
G6608=""фізична особа""
,
VLOOKUP(H6608,IMPORTRANGE(""https://docs.google.com/spreadsheets/d/14Bd19lYaqBhU8_DElYkX7l4wRkHqqCUFNJY4AfY3kHU/edit?usp=sharing  #gid=0"",""фіз особи new!relations_name""),6,FALSE)
,
(IF
(
G6608=""юридична особа""
,
VLOOKUP"&amp;"(H6608,IMPORTRANGE(""https://docs.google.com/spreadsheets/d/14Bd19lYaqBhU8_DElYkX7l4wRkHqqCUFNJY4AfY3kHU/edit?usp=sharing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07" s="7" t="s">
        <v>29</v>
      </c>
    </row>
    <row r="6608" spans="1:10" ht="13.2">
      <c r="A6608" s="7">
        <v>6607</v>
      </c>
      <c r="B6608" s="7">
        <v>1</v>
      </c>
      <c r="C6608" s="7" t="s">
        <v>10</v>
      </c>
      <c r="D6608" s="7">
        <v>6008</v>
      </c>
      <c r="E6608" s="7" t="s">
        <v>12</v>
      </c>
      <c r="F6608" s="8" t="str">
        <f ca="1">IFERROR(__xludf.DUMMYFUNCTION("IF
(
C6609=""фізична особа""
,
VLOOKUP(D6609,IMPORTRANGE(""https://docs.google.com/spreadsheets/d/14Bd19lYaqBhU8_DElYkX7l4wRkHqqCUFNJY4AfY3kHU/edit?usp=sharing  #gid=0"",""фіз особи new!relations_name""),6,FALSE)
,
(IF
(
C6609=""юридична особа""
,
VLOOKUP"&amp;"(D6609,IMPORTRANGE(""https://docs.google.com/spreadsheets/d/14Bd19lYaqBhU8_DElYkX7l4wRkHqqCUFNJY4AfY3kHU/edit?usp=sharing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G6608" s="7" t="s">
        <v>10</v>
      </c>
      <c r="H6608" s="7">
        <v>0</v>
      </c>
      <c r="I6608" s="8" t="str">
        <f ca="1">IFERROR(__xludf.DUMMYFUNCTION("IF
(
G6609=""фізична особа""
,
VLOOKUP(H6609,IMPORTRANGE(""https://docs.google.com/spreadsheets/d/14Bd19lYaqBhU8_DElYkX7l4wRkHqqCUFNJY4AfY3kHU/edit?usp=sharing  #gid=0"",""фіз особи new!relations_name""),6,FALSE)
,
(IF
(
G6609=""юридична особа""
,
VLOOKUP"&amp;"(H6609,IMPORTRANGE(""https://docs.google.com/spreadsheets/d/14Bd19lYaqBhU8_DElYkX7l4wRkHqqCUFNJY4AfY3kHU/edit?usp=sharing  #gid=0"",""фіз особи new!relations_name_uo""),7,FALSE)
,
)
))"),"#N/A")</f>
        <v>#N/A</v>
      </c>
      <c r="J6608" s="7" t="s">
        <v>17</v>
      </c>
    </row>
    <row r="6609" spans="1:10" ht="13.2">
      <c r="A6609" s="7">
        <v>6608</v>
      </c>
      <c r="B6609" s="7">
        <v>1</v>
      </c>
      <c r="C6609" s="7" t="s">
        <v>10</v>
      </c>
      <c r="D6609" s="7">
        <v>6008</v>
      </c>
      <c r="E6609" s="7" t="s">
        <v>18</v>
      </c>
      <c r="F6609" s="8" t="str">
        <f ca="1">IFERROR(__xludf.DUMMYFUNCTION("IF
(
C6610=""фізична особа""
,
VLOOKUP(D6610,IMPORTRANGE(""https://docs.google.com/spreadsheets/d/14Bd19lYaqBhU8_DElYkX7l4wRkHqqCUFNJY4AfY3kHU/edit?usp=sharing  #gid=0"",""фіз особи new!relations_name""),6,FALSE)
,
(IF
(
C6610=""юридична особа""
,
VLOOKUP"&amp;"(D6610,IMPORTRANGE(""https://docs.google.com/spreadsheets/d/14Bd19lYaqBhU8_DElYkX7l4wRkHqqCUFNJY4AfY3kHU/edit?usp=sharing  #gid=0"",""фіз особи new!relations_name_uo""),7,FALSE)
,
)
))"),"БАБІЧ Михайло Вікторович")</f>
        <v>БАБІЧ Михайло Вікторович</v>
      </c>
      <c r="G6609" s="7" t="s">
        <v>10</v>
      </c>
      <c r="H6609" s="7">
        <v>597</v>
      </c>
      <c r="I6609" s="8" t="str">
        <f ca="1">IFERROR(__xludf.DUMMYFUNCTION("IF
(
G6610=""фізична особа""
,
VLOOKUP(H6610,IMPORTRANGE(""https://docs.google.com/spreadsheets/d/14Bd19lYaqBhU8_DElYkX7l4wRkHqqCUFNJY4AfY3kHU/edit?usp=sharing  #gid=0"",""фіз особи new!relations_name""),6,FALSE)
,
(IF
(
G6610=""юридична особа""
,
VLOOKUP"&amp;"(H6610,IMPORTRANGE(""https://docs.google.com/spreadsheets/d/14Bd19lYaqBhU8_DElYkX7l4wRkHqqCUFNJY4AfY3kHU/edit?usp=sharing  #gid=0"",""фіз особи new!relations_name_uo""),7,FALSE)
,
)
))"),"ПОЛЯКОВА Алла Вікторівна")</f>
        <v>ПОЛЯКОВА Алла Вікторівна</v>
      </c>
      <c r="J6609" s="7" t="s">
        <v>31</v>
      </c>
    </row>
    <row r="6610" spans="1:10" ht="13.2">
      <c r="A6610" s="7">
        <v>6609</v>
      </c>
      <c r="B6610" s="7">
        <v>1</v>
      </c>
      <c r="C6610" s="7" t="s">
        <v>10</v>
      </c>
      <c r="D6610" s="7">
        <v>6009</v>
      </c>
      <c r="E6610" s="7" t="s">
        <v>28</v>
      </c>
      <c r="F6610" s="8" t="str">
        <f ca="1">IFERROR(__xludf.DUMMYFUNCTION("IF
(
C6611=""фізична особа""
,
VLOOKUP(D6611,IMPORTRANGE(""https://docs.google.com/spreadsheets/d/14Bd19lYaqBhU8_DElYkX7l4wRkHqqCUFNJY4AfY3kHU/edit?usp=sharing  #gid=0"",""фіз особи new!relations_name""),6,FALSE)
,
(IF
(
C6611=""юридична особа""
,
VLOOKUP"&amp;"(D6611,IMPORTRANGE(""https://docs.google.com/spreadsheets/d/14Bd19lYaqBhU8_DElYkX7l4wRkHqqCUFNJY4AfY3kHU/edit?usp=sharing  #gid=0"",""фіз особи new!relations_name_uo""),7,FALSE)
,
)
))"),"ДРОЖЖОВ Володимир Миколайович")</f>
        <v>ДРОЖЖОВ Володимир Миколайович</v>
      </c>
      <c r="G6610" s="7" t="s">
        <v>10</v>
      </c>
      <c r="H6610" s="7">
        <v>204</v>
      </c>
      <c r="I6610" s="8" t="str">
        <f ca="1">IFERROR(__xludf.DUMMYFUNCTION("IF
(
G6611=""фізична особа""
,
VLOOKUP(H6611,IMPORTRANGE(""https://docs.google.com/spreadsheets/d/14Bd19lYaqBhU8_DElYkX7l4wRkHqqCUFNJY4AfY3kHU/edit?usp=sharing  #gid=0"",""фіз особи new!relations_name""),6,FALSE)
,
(IF
(
G6611=""юридична особа""
,
VLOOKUP"&amp;"(H6611,IMPORTRANGE(""https://docs.google.com/spreadsheets/d/14Bd19lYaqBhU8_DElYkX7l4wRkHqqCUFNJY4AfY3kHU/edit?usp=sharing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0" s="7" t="s">
        <v>29</v>
      </c>
    </row>
    <row r="6611" spans="1:10" ht="13.2">
      <c r="A6611" s="7">
        <v>6610</v>
      </c>
      <c r="B6611" s="7">
        <v>1</v>
      </c>
      <c r="C6611" s="7" t="s">
        <v>10</v>
      </c>
      <c r="D6611" s="7">
        <v>6010</v>
      </c>
      <c r="E6611" s="7" t="s">
        <v>28</v>
      </c>
      <c r="F6611" s="8" t="str">
        <f ca="1">IFERROR(__xludf.DUMMYFUNCTION("IF
(
C6612=""фізична особа""
,
VLOOKUP(D6612,IMPORTRANGE(""https://docs.google.com/spreadsheets/d/14Bd19lYaqBhU8_DElYkX7l4wRkHqqCUFNJY4AfY3kHU/edit?usp=sharing  #gid=0"",""фіз особи new!relations_name""),6,FALSE)
,
(IF
(
C6612=""юридична особа""
,
VLOOKUP"&amp;"(D6612,IMPORTRANGE(""https://docs.google.com/spreadsheets/d/14Bd19lYaqBhU8_DElYkX7l4wRkHqqCUFNJY4AfY3kHU/edit?usp=sharing  #gid=0"",""фіз особи new!relations_name_uo""),7,FALSE)
,
)
))"),"ПЄТУХОВ Михайло Володимирович")</f>
        <v>ПЄТУХОВ Михайло Володимирович</v>
      </c>
      <c r="G6611" s="7" t="s">
        <v>10</v>
      </c>
      <c r="H6611" s="7">
        <v>204</v>
      </c>
      <c r="I6611" s="8" t="str">
        <f ca="1">IFERROR(__xludf.DUMMYFUNCTION("IF
(
G6612=""фізична особа""
,
VLOOKUP(H6612,IMPORTRANGE(""https://docs.google.com/spreadsheets/d/14Bd19lYaqBhU8_DElYkX7l4wRkHqqCUFNJY4AfY3kHU/edit?usp=sharing  #gid=0"",""фіз особи new!relations_name""),6,FALSE)
,
(IF
(
G6612=""юридична особа""
,
VLOOKUP"&amp;"(H6612,IMPORTRANGE(""https://docs.google.com/spreadsheets/d/14Bd19lYaqBhU8_DElYkX7l4wRkHqqCUFNJY4AfY3kHU/edit?usp=sharing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1" s="7" t="s">
        <v>29</v>
      </c>
    </row>
    <row r="6612" spans="1:10" ht="13.2">
      <c r="A6612" s="7">
        <v>6611</v>
      </c>
      <c r="B6612" s="7">
        <v>1</v>
      </c>
      <c r="C6612" s="7" t="s">
        <v>10</v>
      </c>
      <c r="D6612" s="7">
        <v>6011</v>
      </c>
      <c r="E6612" s="7" t="s">
        <v>28</v>
      </c>
      <c r="F6612" s="8" t="str">
        <f ca="1">IFERROR(__xludf.DUMMYFUNCTION("IF
(
C6613=""фізична особа""
,
VLOOKUP(D6613,IMPORTRANGE(""https://docs.google.com/spreadsheets/d/14Bd19lYaqBhU8_DElYkX7l4wRkHqqCUFNJY4AfY3kHU/edit?usp=sharing  #gid=0"",""фіз особи new!relations_name""),6,FALSE)
,
(IF
(
C6613=""юридична особа""
,
VLOOKUP"&amp;"(D6613,IMPORTRANGE(""https://docs.google.com/spreadsheets/d/14Bd19lYaqBhU8_DElYkX7l4wRkHqqCUFNJY4AfY3kHU/edit?usp=sharing  #gid=0"",""фіз особи new!relations_name_uo""),7,FALSE)
,
)
))"),"ПУНЧУК Анатолій Григорович")</f>
        <v>ПУНЧУК Анатолій Григорович</v>
      </c>
      <c r="G6612" s="7" t="s">
        <v>10</v>
      </c>
      <c r="H6612" s="7">
        <v>204</v>
      </c>
      <c r="I6612" s="8" t="str">
        <f ca="1">IFERROR(__xludf.DUMMYFUNCTION("IF
(
G6613=""фізична особа""
,
VLOOKUP(H6613,IMPORTRANGE(""https://docs.google.com/spreadsheets/d/14Bd19lYaqBhU8_DElYkX7l4wRkHqqCUFNJY4AfY3kHU/edit?usp=sharing  #gid=0"",""фіз особи new!relations_name""),6,FALSE)
,
(IF
(
G6613=""юридична особа""
,
VLOOKUP"&amp;"(H6613,IMPORTRANGE(""https://docs.google.com/spreadsheets/d/14Bd19lYaqBhU8_DElYkX7l4wRkHqqCUFNJY4AfY3kHU/edit?usp=sharing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2" s="7" t="s">
        <v>29</v>
      </c>
    </row>
    <row r="6613" spans="1:10" ht="13.2">
      <c r="A6613" s="7">
        <v>6612</v>
      </c>
      <c r="B6613" s="7">
        <v>1</v>
      </c>
      <c r="C6613" s="7" t="s">
        <v>10</v>
      </c>
      <c r="D6613" s="7">
        <v>6012</v>
      </c>
      <c r="E6613" s="7" t="s">
        <v>28</v>
      </c>
      <c r="F6613" s="8" t="str">
        <f ca="1">IFERROR(__xludf.DUMMYFUNCTION("IF
(
C6614=""фізична особа""
,
VLOOKUP(D6614,IMPORTRANGE(""https://docs.google.com/spreadsheets/d/14Bd19lYaqBhU8_DElYkX7l4wRkHqqCUFNJY4AfY3kHU/edit?usp=sharing  #gid=0"",""фіз особи new!relations_name""),6,FALSE)
,
(IF
(
C6614=""юридична особа""
,
VLOOKUP"&amp;"(D6614,IMPORTRANGE(""https://docs.google.com/spreadsheets/d/14Bd19lYaqBhU8_DElYkX7l4wRkHqqCUFNJY4AfY3kHU/edit?usp=sharing  #gid=0"",""фіз особи new!relations_name_uo""),7,FALSE)
,
)
))"),"ФРОЛКІН Олексій Євгенович")</f>
        <v>ФРОЛКІН Олексій Євгенович</v>
      </c>
      <c r="G6613" s="7" t="s">
        <v>10</v>
      </c>
      <c r="H6613" s="7">
        <v>204</v>
      </c>
      <c r="I6613" s="8" t="str">
        <f ca="1">IFERROR(__xludf.DUMMYFUNCTION("IF
(
G6614=""фізична особа""
,
VLOOKUP(H6614,IMPORTRANGE(""https://docs.google.com/spreadsheets/d/14Bd19lYaqBhU8_DElYkX7l4wRkHqqCUFNJY4AfY3kHU/edit?usp=sharing  #gid=0"",""фіз особи new!relations_name""),6,FALSE)
,
(IF
(
G6614=""юридична особа""
,
VLOOKUP"&amp;"(H6614,IMPORTRANGE(""https://docs.google.com/spreadsheets/d/14Bd19lYaqBhU8_DElYkX7l4wRkHqqCUFNJY4AfY3kHU/edit?usp=sharing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3" s="7" t="s">
        <v>29</v>
      </c>
    </row>
    <row r="6614" spans="1:10" ht="13.2">
      <c r="A6614" s="7">
        <v>6613</v>
      </c>
      <c r="B6614" s="7">
        <v>1</v>
      </c>
      <c r="C6614" s="7" t="s">
        <v>10</v>
      </c>
      <c r="D6614" s="7">
        <v>6013</v>
      </c>
      <c r="E6614" s="7" t="s">
        <v>28</v>
      </c>
      <c r="F6614" s="8" t="str">
        <f ca="1">IFERROR(__xludf.DUMMYFUNCTION("IF
(
C6615=""фізична особа""
,
VLOOKUP(D6615,IMPORTRANGE(""https://docs.google.com/spreadsheets/d/14Bd19lYaqBhU8_DElYkX7l4wRkHqqCUFNJY4AfY3kHU/edit?usp=sharing  #gid=0"",""фіз особи new!relations_name""),6,FALSE)
,
(IF
(
C6615=""юридична особа""
,
VLOOKUP"&amp;"(D6615,IMPORTRANGE(""https://docs.google.com/spreadsheets/d/14Bd19lYaqBhU8_DElYkX7l4wRkHqqCUFNJY4AfY3kHU/edit?usp=sharing  #gid=0"",""фіз особи new!relations_name_uo""),7,FALSE)
,
)
))"),"АВІЛОВ Ігор Олександрович")</f>
        <v>АВІЛОВ Ігор Олександрович</v>
      </c>
      <c r="G6614" s="7" t="s">
        <v>10</v>
      </c>
      <c r="H6614" s="7">
        <v>204</v>
      </c>
      <c r="I6614" s="8" t="str">
        <f ca="1">IFERROR(__xludf.DUMMYFUNCTION("IF
(
G6615=""фізична особа""
,
VLOOKUP(H6615,IMPORTRANGE(""https://docs.google.com/spreadsheets/d/14Bd19lYaqBhU8_DElYkX7l4wRkHqqCUFNJY4AfY3kHU/edit?usp=sharing  #gid=0"",""фіз особи new!relations_name""),6,FALSE)
,
(IF
(
G6615=""юридична особа""
,
VLOOKUP"&amp;"(H6615,IMPORTRANGE(""https://docs.google.com/spreadsheets/d/14Bd19lYaqBhU8_DElYkX7l4wRkHqqCUFNJY4AfY3kHU/edit?usp=sharing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4" s="7" t="s">
        <v>29</v>
      </c>
    </row>
    <row r="6615" spans="1:10" ht="13.2">
      <c r="A6615" s="7">
        <v>6614</v>
      </c>
      <c r="B6615" s="7">
        <v>1</v>
      </c>
      <c r="C6615" s="7" t="s">
        <v>10</v>
      </c>
      <c r="D6615" s="7">
        <v>6014</v>
      </c>
      <c r="E6615" s="7" t="s">
        <v>28</v>
      </c>
      <c r="F6615" s="8" t="str">
        <f ca="1">IFERROR(__xludf.DUMMYFUNCTION("IF
(
C6616=""фізична особа""
,
VLOOKUP(D6616,IMPORTRANGE(""https://docs.google.com/spreadsheets/d/14Bd19lYaqBhU8_DElYkX7l4wRkHqqCUFNJY4AfY3kHU/edit?usp=sharing  #gid=0"",""фіз особи new!relations_name""),6,FALSE)
,
(IF
(
C6616=""юридична особа""
,
VLOOKUP"&amp;"(D6616,IMPORTRANGE(""https://docs.google.com/spreadsheets/d/14Bd19lYaqBhU8_DElYkX7l4wRkHqqCUFNJY4AfY3kHU/edit?usp=sharing  #gid=0"",""фіз особи new!relations_name_uo""),7,FALSE)
,
)
))"),"ВОЛЯНІНОВ Юрій Володимирович")</f>
        <v>ВОЛЯНІНОВ Юрій Володимирович</v>
      </c>
      <c r="G6615" s="7" t="s">
        <v>10</v>
      </c>
      <c r="H6615" s="7">
        <v>204</v>
      </c>
      <c r="I6615" s="8" t="str">
        <f ca="1">IFERROR(__xludf.DUMMYFUNCTION("IF
(
G6616=""фізична особа""
,
VLOOKUP(H6616,IMPORTRANGE(""https://docs.google.com/spreadsheets/d/14Bd19lYaqBhU8_DElYkX7l4wRkHqqCUFNJY4AfY3kHU/edit?usp=sharing  #gid=0"",""фіз особи new!relations_name""),6,FALSE)
,
(IF
(
G6616=""юридична особа""
,
VLOOKUP"&amp;"(H6616,IMPORTRANGE(""https://docs.google.com/spreadsheets/d/14Bd19lYaqBhU8_DElYkX7l4wRkHqqCUFNJY4AfY3kHU/edit?usp=sharing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5" s="7" t="s">
        <v>29</v>
      </c>
    </row>
    <row r="6616" spans="1:10" ht="13.2">
      <c r="A6616" s="7">
        <v>6615</v>
      </c>
      <c r="B6616" s="7">
        <v>1</v>
      </c>
      <c r="C6616" s="7" t="s">
        <v>10</v>
      </c>
      <c r="D6616" s="7">
        <v>6015</v>
      </c>
      <c r="E6616" s="7" t="s">
        <v>28</v>
      </c>
      <c r="F6616" s="8" t="str">
        <f ca="1">IFERROR(__xludf.DUMMYFUNCTION("IF
(
C6617=""фізична особа""
,
VLOOKUP(D6617,IMPORTRANGE(""https://docs.google.com/spreadsheets/d/14Bd19lYaqBhU8_DElYkX7l4wRkHqqCUFNJY4AfY3kHU/edit?usp=sharing  #gid=0"",""фіз особи new!relations_name""),6,FALSE)
,
(IF
(
C6617=""юридична особа""
,
VLOOKUP"&amp;"(D6617,IMPORTRANGE(""https://docs.google.com/spreadsheets/d/14Bd19lYaqBhU8_DElYkX7l4wRkHqqCUFNJY4AfY3kHU/edit?usp=sharing  #gid=0"",""фіз особи new!relations_name_uo""),7,FALSE)
,
)
))"),"ВОРОНЦОВ Олександр Веніамінович")</f>
        <v>ВОРОНЦОВ Олександр Веніамінович</v>
      </c>
      <c r="G6616" s="7" t="s">
        <v>10</v>
      </c>
      <c r="H6616" s="7">
        <v>204</v>
      </c>
      <c r="I6616" s="8" t="str">
        <f ca="1">IFERROR(__xludf.DUMMYFUNCTION("IF
(
G6617=""фізична особа""
,
VLOOKUP(H6617,IMPORTRANGE(""https://docs.google.com/spreadsheets/d/14Bd19lYaqBhU8_DElYkX7l4wRkHqqCUFNJY4AfY3kHU/edit?usp=sharing  #gid=0"",""фіз особи new!relations_name""),6,FALSE)
,
(IF
(
G6617=""юридична особа""
,
VLOOKUP"&amp;"(H6617,IMPORTRANGE(""https://docs.google.com/spreadsheets/d/14Bd19lYaqBhU8_DElYkX7l4wRkHqqCUFNJY4AfY3kHU/edit?usp=sharing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6" s="7" t="s">
        <v>29</v>
      </c>
    </row>
    <row r="6617" spans="1:10" ht="13.2">
      <c r="A6617" s="7">
        <v>6616</v>
      </c>
      <c r="B6617" s="7">
        <v>1</v>
      </c>
      <c r="C6617" s="7" t="s">
        <v>10</v>
      </c>
      <c r="D6617" s="7">
        <v>6016</v>
      </c>
      <c r="E6617" s="7" t="s">
        <v>28</v>
      </c>
      <c r="F6617" s="8" t="str">
        <f ca="1">IFERROR(__xludf.DUMMYFUNCTION("IF
(
C6618=""фізична особа""
,
VLOOKUP(D6618,IMPORTRANGE(""https://docs.google.com/spreadsheets/d/14Bd19lYaqBhU8_DElYkX7l4wRkHqqCUFNJY4AfY3kHU/edit?usp=sharing  #gid=0"",""фіз особи new!relations_name""),6,FALSE)
,
(IF
(
C6618=""юридична особа""
,
VLOOKUP"&amp;"(D6618,IMPORTRANGE(""https://docs.google.com/spreadsheets/d/14Bd19lYaqBhU8_DElYkX7l4wRkHqqCUFNJY4AfY3kHU/edit?usp=sharing  #gid=0"",""фіз особи new!relations_name_uo""),7,FALSE)
,
)
))"),"МЕДВЄДКОВ Володимир Миколайович")</f>
        <v>МЕДВЄДКОВ Володимир Миколайович</v>
      </c>
      <c r="G6617" s="7" t="s">
        <v>10</v>
      </c>
      <c r="H6617" s="7">
        <v>204</v>
      </c>
      <c r="I6617" s="8" t="str">
        <f ca="1">IFERROR(__xludf.DUMMYFUNCTION("IF
(
G6618=""фізична особа""
,
VLOOKUP(H6618,IMPORTRANGE(""https://docs.google.com/spreadsheets/d/14Bd19lYaqBhU8_DElYkX7l4wRkHqqCUFNJY4AfY3kHU/edit?usp=sharing  #gid=0"",""фіз особи new!relations_name""),6,FALSE)
,
(IF
(
G6618=""юридична особа""
,
VLOOKUP"&amp;"(H6618,IMPORTRANGE(""https://docs.google.com/spreadsheets/d/14Bd19lYaqBhU8_DElYkX7l4wRkHqqCUFNJY4AfY3kHU/edit?usp=sharing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7" s="7" t="s">
        <v>29</v>
      </c>
    </row>
    <row r="6618" spans="1:10" ht="13.2">
      <c r="A6618" s="7">
        <v>6617</v>
      </c>
      <c r="B6618" s="7">
        <v>1</v>
      </c>
      <c r="C6618" s="7" t="s">
        <v>10</v>
      </c>
      <c r="D6618" s="7">
        <v>6017</v>
      </c>
      <c r="E6618" s="7" t="s">
        <v>28</v>
      </c>
      <c r="F6618" s="8" t="str">
        <f ca="1">IFERROR(__xludf.DUMMYFUNCTION("IF
(
C6619=""фізична особа""
,
VLOOKUP(D6619,IMPORTRANGE(""https://docs.google.com/spreadsheets/d/14Bd19lYaqBhU8_DElYkX7l4wRkHqqCUFNJY4AfY3kHU/edit?usp=sharing  #gid=0"",""фіз особи new!relations_name""),6,FALSE)
,
(IF
(
C6619=""юридична особа""
,
VLOOKUP"&amp;"(D6619,IMPORTRANGE(""https://docs.google.com/spreadsheets/d/14Bd19lYaqBhU8_DElYkX7l4wRkHqqCUFNJY4AfY3kHU/edit?usp=sharing  #gid=0"",""фіз особи new!relations_name_uo""),7,FALSE)
,
)
))"),"МІНАЄВ Євгеній Олександрович")</f>
        <v>МІНАЄВ Євгеній Олександрович</v>
      </c>
      <c r="G6618" s="7" t="s">
        <v>10</v>
      </c>
      <c r="H6618" s="7">
        <v>204</v>
      </c>
      <c r="I6618" s="8" t="str">
        <f ca="1">IFERROR(__xludf.DUMMYFUNCTION("IF
(
G6619=""фізична особа""
,
VLOOKUP(H6619,IMPORTRANGE(""https://docs.google.com/spreadsheets/d/14Bd19lYaqBhU8_DElYkX7l4wRkHqqCUFNJY4AfY3kHU/edit?usp=sharing  #gid=0"",""фіз особи new!relations_name""),6,FALSE)
,
(IF
(
G6619=""юридична особа""
,
VLOOKUP"&amp;"(H6619,IMPORTRANGE(""https://docs.google.com/spreadsheets/d/14Bd19lYaqBhU8_DElYkX7l4wRkHqqCUFNJY4AfY3kHU/edit?usp=sharing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8" s="7" t="s">
        <v>29</v>
      </c>
    </row>
    <row r="6619" spans="1:10" ht="13.2">
      <c r="A6619" s="7">
        <v>6618</v>
      </c>
      <c r="B6619" s="7">
        <v>1</v>
      </c>
      <c r="C6619" s="7" t="s">
        <v>10</v>
      </c>
      <c r="D6619" s="7">
        <v>6018</v>
      </c>
      <c r="E6619" s="7" t="s">
        <v>28</v>
      </c>
      <c r="F6619" s="8" t="str">
        <f ca="1">IFERROR(__xludf.DUMMYFUNCTION("IF
(
C6620=""фізична особа""
,
VLOOKUP(D6620,IMPORTRANGE(""https://docs.google.com/spreadsheets/d/14Bd19lYaqBhU8_DElYkX7l4wRkHqqCUFNJY4AfY3kHU/edit?usp=sharing  #gid=0"",""фіз особи new!relations_name""),6,FALSE)
,
(IF
(
C6620=""юридична особа""
,
VLOOKUP"&amp;"(D6620,IMPORTRANGE(""https://docs.google.com/spreadsheets/d/14Bd19lYaqBhU8_DElYkX7l4wRkHqqCUFNJY4AfY3kHU/edit?usp=sharing  #gid=0"",""фіз особи new!relations_name_uo""),7,FALSE)
,
)
))"),"САВЕЛЬЄВ Дмитро Іванович")</f>
        <v>САВЕЛЬЄВ Дмитро Іванович</v>
      </c>
      <c r="G6619" s="7" t="s">
        <v>10</v>
      </c>
      <c r="H6619" s="7">
        <v>204</v>
      </c>
      <c r="I6619" s="8" t="str">
        <f ca="1">IFERROR(__xludf.DUMMYFUNCTION("IF
(
G6620=""фізична особа""
,
VLOOKUP(H6620,IMPORTRANGE(""https://docs.google.com/spreadsheets/d/14Bd19lYaqBhU8_DElYkX7l4wRkHqqCUFNJY4AfY3kHU/edit?usp=sharing  #gid=0"",""фіз особи new!relations_name""),6,FALSE)
,
(IF
(
G6620=""юридична особа""
,
VLOOKUP"&amp;"(H6620,IMPORTRANGE(""https://docs.google.com/spreadsheets/d/14Bd19lYaqBhU8_DElYkX7l4wRkHqqCUFNJY4AfY3kHU/edit?usp=sharing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19" s="7" t="s">
        <v>29</v>
      </c>
    </row>
    <row r="6620" spans="1:10" ht="13.2">
      <c r="A6620" s="7">
        <v>6619</v>
      </c>
      <c r="B6620" s="7">
        <v>1</v>
      </c>
      <c r="C6620" s="7" t="s">
        <v>10</v>
      </c>
      <c r="D6620" s="7">
        <v>6019</v>
      </c>
      <c r="E6620" s="7" t="s">
        <v>28</v>
      </c>
      <c r="F6620" s="8" t="str">
        <f ca="1">IFERROR(__xludf.DUMMYFUNCTION("IF
(
C6621=""фізична особа""
,
VLOOKUP(D6621,IMPORTRANGE(""https://docs.google.com/spreadsheets/d/14Bd19lYaqBhU8_DElYkX7l4wRkHqqCUFNJY4AfY3kHU/edit?usp=sharing  #gid=0"",""фіз особи new!relations_name""),6,FALSE)
,
(IF
(
C6621=""юридична особа""
,
VLOOKUP"&amp;"(D6621,IMPORTRANGE(""https://docs.google.com/spreadsheets/d/14Bd19lYaqBhU8_DElYkX7l4wRkHqqCUFNJY4AfY3kHU/edit?usp=sharing  #gid=0"",""фіз особи new!relations_name_uo""),7,FALSE)
,
)
))"),"ШАПОВАЛОВ Олексій Юрійович")</f>
        <v>ШАПОВАЛОВ Олексій Юрійович</v>
      </c>
      <c r="G6620" s="7" t="s">
        <v>10</v>
      </c>
      <c r="H6620" s="7">
        <v>204</v>
      </c>
      <c r="I6620" s="8" t="str">
        <f ca="1">IFERROR(__xludf.DUMMYFUNCTION("IF
(
G6621=""фізична особа""
,
VLOOKUP(H6621,IMPORTRANGE(""https://docs.google.com/spreadsheets/d/14Bd19lYaqBhU8_DElYkX7l4wRkHqqCUFNJY4AfY3kHU/edit?usp=sharing  #gid=0"",""фіз особи new!relations_name""),6,FALSE)
,
(IF
(
G6621=""юридична особа""
,
VLOOKUP"&amp;"(H6621,IMPORTRANGE(""https://docs.google.com/spreadsheets/d/14Bd19lYaqBhU8_DElYkX7l4wRkHqqCUFNJY4AfY3kHU/edit?usp=sharing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0" s="7" t="s">
        <v>29</v>
      </c>
    </row>
    <row r="6621" spans="1:10" ht="13.2">
      <c r="A6621" s="7">
        <v>6620</v>
      </c>
      <c r="B6621" s="7">
        <v>1</v>
      </c>
      <c r="C6621" s="7" t="s">
        <v>10</v>
      </c>
      <c r="D6621" s="7">
        <v>6020</v>
      </c>
      <c r="E6621" s="7" t="s">
        <v>28</v>
      </c>
      <c r="F6621" s="8" t="str">
        <f ca="1">IFERROR(__xludf.DUMMYFUNCTION("IF
(
C6622=""фізична особа""
,
VLOOKUP(D6622,IMPORTRANGE(""https://docs.google.com/spreadsheets/d/14Bd19lYaqBhU8_DElYkX7l4wRkHqqCUFNJY4AfY3kHU/edit?usp=sharing  #gid=0"",""фіз особи new!relations_name""),6,FALSE)
,
(IF
(
C6622=""юридична особа""
,
VLOOKUP"&amp;"(D6622,IMPORTRANGE(""https://docs.google.com/spreadsheets/d/14Bd19lYaqBhU8_DElYkX7l4wRkHqqCUFNJY4AfY3kHU/edit?usp=sharing  #gid=0"",""фіз особи new!relations_name_uo""),7,FALSE)
,
)
))"),"ШЕВЦОВ Михайло Борисович")</f>
        <v>ШЕВЦОВ Михайло Борисович</v>
      </c>
      <c r="G6621" s="7" t="s">
        <v>10</v>
      </c>
      <c r="H6621" s="7">
        <v>204</v>
      </c>
      <c r="I6621" s="8" t="str">
        <f ca="1">IFERROR(__xludf.DUMMYFUNCTION("IF
(
G6622=""фізична особа""
,
VLOOKUP(H6622,IMPORTRANGE(""https://docs.google.com/spreadsheets/d/14Bd19lYaqBhU8_DElYkX7l4wRkHqqCUFNJY4AfY3kHU/edit?usp=sharing  #gid=0"",""фіз особи new!relations_name""),6,FALSE)
,
(IF
(
G6622=""юридична особа""
,
VLOOKUP"&amp;"(H6622,IMPORTRANGE(""https://docs.google.com/spreadsheets/d/14Bd19lYaqBhU8_DElYkX7l4wRkHqqCUFNJY4AfY3kHU/edit?usp=sharing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1" s="7" t="s">
        <v>29</v>
      </c>
    </row>
    <row r="6622" spans="1:10" ht="13.2">
      <c r="A6622" s="7">
        <v>6621</v>
      </c>
      <c r="B6622" s="7">
        <v>1</v>
      </c>
      <c r="C6622" s="7" t="s">
        <v>10</v>
      </c>
      <c r="D6622" s="7">
        <v>6021</v>
      </c>
      <c r="E6622" s="7" t="s">
        <v>28</v>
      </c>
      <c r="F6622" s="8" t="str">
        <f ca="1">IFERROR(__xludf.DUMMYFUNCTION("IF
(
C6623=""фізична особа""
,
VLOOKUP(D6623,IMPORTRANGE(""https://docs.google.com/spreadsheets/d/14Bd19lYaqBhU8_DElYkX7l4wRkHqqCUFNJY4AfY3kHU/edit?usp=sharing  #gid=0"",""фіз особи new!relations_name""),6,FALSE)
,
(IF
(
C6623=""юридична особа""
,
VLOOKUP"&amp;"(D6623,IMPORTRANGE(""https://docs.google.com/spreadsheets/d/14Bd19lYaqBhU8_DElYkX7l4wRkHqqCUFNJY4AfY3kHU/edit?usp=sharing  #gid=0"",""фіз особи new!relations_name_uo""),7,FALSE)
,
)
))"),"КАЮМОВ Борис Каюмович")</f>
        <v>КАЮМОВ Борис Каюмович</v>
      </c>
      <c r="G6622" s="7" t="s">
        <v>10</v>
      </c>
      <c r="H6622" s="7">
        <v>204</v>
      </c>
      <c r="I6622" s="8" t="str">
        <f ca="1">IFERROR(__xludf.DUMMYFUNCTION("IF
(
G6623=""фізична особа""
,
VLOOKUP(H6623,IMPORTRANGE(""https://docs.google.com/spreadsheets/d/14Bd19lYaqBhU8_DElYkX7l4wRkHqqCUFNJY4AfY3kHU/edit?usp=sharing  #gid=0"",""фіз особи new!relations_name""),6,FALSE)
,
(IF
(
G6623=""юридична особа""
,
VLOOKUP"&amp;"(H6623,IMPORTRANGE(""https://docs.google.com/spreadsheets/d/14Bd19lYaqBhU8_DElYkX7l4wRkHqqCUFNJY4AfY3kHU/edit?usp=sharing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2" s="7" t="s">
        <v>29</v>
      </c>
    </row>
    <row r="6623" spans="1:10" ht="13.2">
      <c r="A6623" s="7">
        <v>6622</v>
      </c>
      <c r="B6623" s="7">
        <v>1</v>
      </c>
      <c r="C6623" s="7" t="s">
        <v>10</v>
      </c>
      <c r="D6623" s="7">
        <v>6022</v>
      </c>
      <c r="E6623" s="7" t="s">
        <v>28</v>
      </c>
      <c r="F6623" s="8" t="str">
        <f ca="1">IFERROR(__xludf.DUMMYFUNCTION("IF
(
C6624=""фізична особа""
,
VLOOKUP(D6624,IMPORTRANGE(""https://docs.google.com/spreadsheets/d/14Bd19lYaqBhU8_DElYkX7l4wRkHqqCUFNJY4AfY3kHU/edit?usp=sharing  #gid=0"",""фіз особи new!relations_name""),6,FALSE)
,
(IF
(
C6624=""юридична особа""
,
VLOOKUP"&amp;"(D6624,IMPORTRANGE(""https://docs.google.com/spreadsheets/d/14Bd19lYaqBhU8_DElYkX7l4wRkHqqCUFNJY4AfY3kHU/edit?usp=sharing  #gid=0"",""фіз особи new!relations_name_uo""),7,FALSE)
,
)
))"),"ШИДЛОВСЬКИЙ Олег Анатолійович")</f>
        <v>ШИДЛОВСЬКИЙ Олег Анатолійович</v>
      </c>
      <c r="G6623" s="7" t="s">
        <v>10</v>
      </c>
      <c r="H6623" s="7">
        <v>204</v>
      </c>
      <c r="I6623" s="8" t="str">
        <f ca="1">IFERROR(__xludf.DUMMYFUNCTION("IF
(
G6624=""фізична особа""
,
VLOOKUP(H6624,IMPORTRANGE(""https://docs.google.com/spreadsheets/d/14Bd19lYaqBhU8_DElYkX7l4wRkHqqCUFNJY4AfY3kHU/edit?usp=sharing  #gid=0"",""фіз особи new!relations_name""),6,FALSE)
,
(IF
(
G6624=""юридична особа""
,
VLOOKUP"&amp;"(H6624,IMPORTRANGE(""https://docs.google.com/spreadsheets/d/14Bd19lYaqBhU8_DElYkX7l4wRkHqqCUFNJY4AfY3kHU/edit?usp=sharing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3" s="7" t="s">
        <v>29</v>
      </c>
    </row>
    <row r="6624" spans="1:10" ht="13.2">
      <c r="A6624" s="7">
        <v>6623</v>
      </c>
      <c r="B6624" s="7">
        <v>1</v>
      </c>
      <c r="C6624" s="7" t="s">
        <v>10</v>
      </c>
      <c r="D6624" s="7">
        <v>6023</v>
      </c>
      <c r="E6624" s="7" t="s">
        <v>28</v>
      </c>
      <c r="F6624" s="8" t="str">
        <f ca="1">IFERROR(__xludf.DUMMYFUNCTION("IF
(
C6625=""фізична особа""
,
VLOOKUP(D6625,IMPORTRANGE(""https://docs.google.com/spreadsheets/d/14Bd19lYaqBhU8_DElYkX7l4wRkHqqCUFNJY4AfY3kHU/edit?usp=sharing  #gid=0"",""фіз особи new!relations_name""),6,FALSE)
,
(IF
(
C6625=""юридична особа""
,
VLOOKUP"&amp;"(D6625,IMPORTRANGE(""https://docs.google.com/spreadsheets/d/14Bd19lYaqBhU8_DElYkX7l4wRkHqqCUFNJY4AfY3kHU/edit?usp=sharing  #gid=0"",""фіз особи new!relations_name_uo""),7,FALSE)
,
)
))"),"МУРАЩЕНКОВ Олексій Анатолійович")</f>
        <v>МУРАЩЕНКОВ Олексій Анатолійович</v>
      </c>
      <c r="G6624" s="7" t="s">
        <v>10</v>
      </c>
      <c r="H6624" s="7">
        <v>204</v>
      </c>
      <c r="I6624" s="8" t="str">
        <f ca="1">IFERROR(__xludf.DUMMYFUNCTION("IF
(
G6625=""фізична особа""
,
VLOOKUP(H6625,IMPORTRANGE(""https://docs.google.com/spreadsheets/d/14Bd19lYaqBhU8_DElYkX7l4wRkHqqCUFNJY4AfY3kHU/edit?usp=sharing  #gid=0"",""фіз особи new!relations_name""),6,FALSE)
,
(IF
(
G6625=""юридична особа""
,
VLOOKUP"&amp;"(H6625,IMPORTRANGE(""https://docs.google.com/spreadsheets/d/14Bd19lYaqBhU8_DElYkX7l4wRkHqqCUFNJY4AfY3kHU/edit?usp=sharing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4" s="7" t="s">
        <v>29</v>
      </c>
    </row>
    <row r="6625" spans="1:10" ht="13.2">
      <c r="A6625" s="7">
        <v>6624</v>
      </c>
      <c r="B6625" s="7">
        <v>1</v>
      </c>
      <c r="C6625" s="7" t="s">
        <v>10</v>
      </c>
      <c r="D6625" s="7">
        <v>6024</v>
      </c>
      <c r="E6625" s="7" t="s">
        <v>28</v>
      </c>
      <c r="F6625" s="8" t="str">
        <f ca="1">IFERROR(__xludf.DUMMYFUNCTION("IF
(
C6626=""фізична особа""
,
VLOOKUP(D6626,IMPORTRANGE(""https://docs.google.com/spreadsheets/d/14Bd19lYaqBhU8_DElYkX7l4wRkHqqCUFNJY4AfY3kHU/edit?usp=sharing  #gid=0"",""фіз особи new!relations_name""),6,FALSE)
,
(IF
(
C6626=""юридична особа""
,
VLOOKUP"&amp;"(D6626,IMPORTRANGE(""https://docs.google.com/spreadsheets/d/14Bd19lYaqBhU8_DElYkX7l4wRkHqqCUFNJY4AfY3kHU/edit?usp=sharing  #gid=0"",""фіз особи new!relations_name_uo""),7,FALSE)
,
)
))"),"ПУПКО Володимир Володимирович")</f>
        <v>ПУПКО Володимир Володимирович</v>
      </c>
      <c r="G6625" s="7" t="s">
        <v>10</v>
      </c>
      <c r="H6625" s="7">
        <v>204</v>
      </c>
      <c r="I6625" s="8" t="str">
        <f ca="1">IFERROR(__xludf.DUMMYFUNCTION("IF
(
G6626=""фізична особа""
,
VLOOKUP(H6626,IMPORTRANGE(""https://docs.google.com/spreadsheets/d/14Bd19lYaqBhU8_DElYkX7l4wRkHqqCUFNJY4AfY3kHU/edit?usp=sharing  #gid=0"",""фіз особи new!relations_name""),6,FALSE)
,
(IF
(
G6626=""юридична особа""
,
VLOOKUP"&amp;"(H6626,IMPORTRANGE(""https://docs.google.com/spreadsheets/d/14Bd19lYaqBhU8_DElYkX7l4wRkHqqCUFNJY4AfY3kHU/edit?usp=sharing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5" s="7" t="s">
        <v>29</v>
      </c>
    </row>
    <row r="6626" spans="1:10" ht="13.2">
      <c r="A6626" s="7">
        <v>6625</v>
      </c>
      <c r="B6626" s="7">
        <v>1</v>
      </c>
      <c r="C6626" s="7" t="s">
        <v>10</v>
      </c>
      <c r="D6626" s="7">
        <v>6025</v>
      </c>
      <c r="E6626" s="7" t="s">
        <v>28</v>
      </c>
      <c r="F6626" s="8" t="str">
        <f ca="1">IFERROR(__xludf.DUMMYFUNCTION("IF
(
C6627=""фізична особа""
,
VLOOKUP(D6627,IMPORTRANGE(""https://docs.google.com/spreadsheets/d/14Bd19lYaqBhU8_DElYkX7l4wRkHqqCUFNJY4AfY3kHU/edit?usp=sharing  #gid=0"",""фіз особи new!relations_name""),6,FALSE)
,
(IF
(
C6627=""юридична особа""
,
VLOOKUP"&amp;"(D6627,IMPORTRANGE(""https://docs.google.com/spreadsheets/d/14Bd19lYaqBhU8_DElYkX7l4wRkHqqCUFNJY4AfY3kHU/edit?usp=sharing  #gid=0"",""фіз особи new!relations_name_uo""),7,FALSE)
,
)
))"),"ОБЛОЖНИЙ Віктор Анатолійович")</f>
        <v>ОБЛОЖНИЙ Віктор Анатолійович</v>
      </c>
      <c r="G6626" s="7" t="s">
        <v>10</v>
      </c>
      <c r="H6626" s="7">
        <v>204</v>
      </c>
      <c r="I6626" s="8" t="str">
        <f ca="1">IFERROR(__xludf.DUMMYFUNCTION("IF
(
G6627=""фізична особа""
,
VLOOKUP(H6627,IMPORTRANGE(""https://docs.google.com/spreadsheets/d/14Bd19lYaqBhU8_DElYkX7l4wRkHqqCUFNJY4AfY3kHU/edit?usp=sharing  #gid=0"",""фіз особи new!relations_name""),6,FALSE)
,
(IF
(
G6627=""юридична особа""
,
VLOOKUP"&amp;"(H6627,IMPORTRANGE(""https://docs.google.com/spreadsheets/d/14Bd19lYaqBhU8_DElYkX7l4wRkHqqCUFNJY4AfY3kHU/edit?usp=sharing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6" s="7" t="s">
        <v>29</v>
      </c>
    </row>
    <row r="6627" spans="1:10" ht="13.2">
      <c r="A6627" s="7">
        <v>6626</v>
      </c>
      <c r="B6627" s="7">
        <v>1</v>
      </c>
      <c r="C6627" s="7" t="s">
        <v>10</v>
      </c>
      <c r="D6627" s="7">
        <v>6026</v>
      </c>
      <c r="E6627" s="7" t="s">
        <v>28</v>
      </c>
      <c r="F6627" s="8" t="str">
        <f ca="1">IFERROR(__xludf.DUMMYFUNCTION("IF
(
C6628=""фізична особа""
,
VLOOKUP(D6628,IMPORTRANGE(""https://docs.google.com/spreadsheets/d/14Bd19lYaqBhU8_DElYkX7l4wRkHqqCUFNJY4AfY3kHU/edit?usp=sharing  #gid=0"",""фіз особи new!relations_name""),6,FALSE)
,
(IF
(
C6628=""юридична особа""
,
VLOOKUP"&amp;"(D6628,IMPORTRANGE(""https://docs.google.com/spreadsheets/d/14Bd19lYaqBhU8_DElYkX7l4wRkHqqCUFNJY4AfY3kHU/edit?usp=sharing  #gid=0"",""фіз особи new!relations_name_uo""),7,FALSE)
,
)
))"),"ПАНКРАТОВ Олександр Олександрович")</f>
        <v>ПАНКРАТОВ Олександр Олександрович</v>
      </c>
      <c r="G6627" s="7" t="s">
        <v>10</v>
      </c>
      <c r="H6627" s="7">
        <v>204</v>
      </c>
      <c r="I6627" s="8" t="str">
        <f ca="1">IFERROR(__xludf.DUMMYFUNCTION("IF
(
G6628=""фізична особа""
,
VLOOKUP(H6628,IMPORTRANGE(""https://docs.google.com/spreadsheets/d/14Bd19lYaqBhU8_DElYkX7l4wRkHqqCUFNJY4AfY3kHU/edit?usp=sharing  #gid=0"",""фіз особи new!relations_name""),6,FALSE)
,
(IF
(
G6628=""юридична особа""
,
VLOOKUP"&amp;"(H6628,IMPORTRANGE(""https://docs.google.com/spreadsheets/d/14Bd19lYaqBhU8_DElYkX7l4wRkHqqCUFNJY4AfY3kHU/edit?usp=sharing  #gid=0"",""фіз особи new!relations_name_uo""),7,FALSE)
,
)
))"),"ШУГАЄВ Дмитро Євгенович")</f>
        <v>ШУГАЄВ Дмитро Євгенович</v>
      </c>
      <c r="J6627" s="7" t="s">
        <v>29</v>
      </c>
    </row>
    <row r="6628" spans="1:10" ht="13.2">
      <c r="A6628" s="7">
        <v>6627</v>
      </c>
      <c r="B6628" s="7">
        <v>1</v>
      </c>
      <c r="C6628" s="7" t="s">
        <v>10</v>
      </c>
      <c r="D6628" s="7">
        <v>6027</v>
      </c>
      <c r="E6628" s="7" t="s">
        <v>12</v>
      </c>
      <c r="F6628" s="8" t="str">
        <f ca="1">IFERROR(__xludf.DUMMYFUNCTION("IF
(
C6629=""фізична особа""
,
VLOOKUP(D6629,IMPORTRANGE(""https://docs.google.com/spreadsheets/d/14Bd19lYaqBhU8_DElYkX7l4wRkHqqCUFNJY4AfY3kHU/edit?usp=sharing  #gid=0"",""фіз особи new!relations_name""),6,FALSE)
,
(IF
(
C6629=""юридична особа""
,
VLOOKUP"&amp;"(D6629,IMPORTRANGE(""https://docs.google.com/spreadsheets/d/14Bd19lYaqBhU8_DElYkX7l4wRkHqqCUFNJY4AfY3kHU/edit?usp=sharing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28" s="7" t="s">
        <v>10</v>
      </c>
      <c r="H6628" s="7">
        <v>0</v>
      </c>
      <c r="I6628" s="8" t="str">
        <f ca="1">IFERROR(__xludf.DUMMYFUNCTION("IF
(
G6629=""фізична особа""
,
VLOOKUP(H6629,IMPORTRANGE(""https://docs.google.com/spreadsheets/d/14Bd19lYaqBhU8_DElYkX7l4wRkHqqCUFNJY4AfY3kHU/edit?usp=sharing  #gid=0"",""фіз особи new!relations_name""),6,FALSE)
,
(IF
(
G6629=""юридична особа""
,
VLOOKUP"&amp;"(H6629,IMPORTRANGE(""https://docs.google.com/spreadsheets/d/14Bd19lYaqBhU8_DElYkX7l4wRkHqqCUFNJY4AfY3kHU/edit?usp=sharing  #gid=0"",""фіз особи new!relations_name_uo""),7,FALSE)
,
)
))"),"#N/A")</f>
        <v>#N/A</v>
      </c>
      <c r="J6628" s="7" t="s">
        <v>17</v>
      </c>
    </row>
    <row r="6629" spans="1:10" ht="13.2">
      <c r="A6629" s="7">
        <v>6628</v>
      </c>
      <c r="B6629" s="7">
        <v>1</v>
      </c>
      <c r="C6629" s="7" t="s">
        <v>10</v>
      </c>
      <c r="D6629" s="7">
        <v>6027</v>
      </c>
      <c r="E6629" s="7" t="s">
        <v>14</v>
      </c>
      <c r="F6629" s="8" t="str">
        <f ca="1">IFERROR(__xludf.DUMMYFUNCTION("IF
(
C6630=""фізична особа""
,
VLOOKUP(D6630,IMPORTRANGE(""https://docs.google.com/spreadsheets/d/14Bd19lYaqBhU8_DElYkX7l4wRkHqqCUFNJY4AfY3kHU/edit?usp=sharing  #gid=0"",""фіз особи new!relations_name""),6,FALSE)
,
(IF
(
C6630=""юридична особа""
,
VLOOKUP"&amp;"(D6630,IMPORTRANGE(""https://docs.google.com/spreadsheets/d/14Bd19lYaqBhU8_DElYkX7l4wRkHqqCUFNJY4AfY3kHU/edit?usp=sharing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29" s="7" t="s">
        <v>10</v>
      </c>
      <c r="H6629" s="7">
        <v>0</v>
      </c>
      <c r="I6629" s="8" t="str">
        <f ca="1">IFERROR(__xludf.DUMMYFUNCTION("IF
(
G6630=""фізична особа""
,
VLOOKUP(H6630,IMPORTRANGE(""https://docs.google.com/spreadsheets/d/14Bd19lYaqBhU8_DElYkX7l4wRkHqqCUFNJY4AfY3kHU/edit?usp=sharing  #gid=0"",""фіз особи new!relations_name""),6,FALSE)
,
(IF
(
G6630=""юридична особа""
,
VLOOKUP"&amp;"(H6630,IMPORTRANGE(""https://docs.google.com/spreadsheets/d/14Bd19lYaqBhU8_DElYkX7l4wRkHqqCUFNJY4AfY3kHU/edit?usp=sharing  #gid=0"",""фіз особи new!relations_name_uo""),7,FALSE)
,
)
))"),"#N/A")</f>
        <v>#N/A</v>
      </c>
      <c r="J6629" s="7" t="s">
        <v>15</v>
      </c>
    </row>
    <row r="6630" spans="1:10" ht="13.2">
      <c r="A6630" s="7">
        <v>6629</v>
      </c>
      <c r="B6630" s="7">
        <v>1</v>
      </c>
      <c r="C6630" s="7" t="s">
        <v>10</v>
      </c>
      <c r="D6630" s="7">
        <v>6027</v>
      </c>
      <c r="E6630" s="7" t="s">
        <v>29</v>
      </c>
      <c r="F6630" s="8" t="str">
        <f ca="1">IFERROR(__xludf.DUMMYFUNCTION("IF
(
C6631=""фізична особа""
,
VLOOKUP(D6631,IMPORTRANGE(""https://docs.google.com/spreadsheets/d/14Bd19lYaqBhU8_DElYkX7l4wRkHqqCUFNJY4AfY3kHU/edit?usp=sharing  #gid=0"",""фіз особи new!relations_name""),6,FALSE)
,
(IF
(
C6631=""юридична особа""
,
VLOOKUP"&amp;"(D6631,IMPORTRANGE(""https://docs.google.com/spreadsheets/d/14Bd19lYaqBhU8_DElYkX7l4wRkHqqCUFNJY4AfY3kHU/edit?usp=sharing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30" s="7" t="s">
        <v>10</v>
      </c>
      <c r="H6630" s="7">
        <v>6028</v>
      </c>
      <c r="I6630" s="8" t="str">
        <f ca="1">IFERROR(__xludf.DUMMYFUNCTION("IF
(
G6631=""фізична особа""
,
VLOOKUP(H6631,IMPORTRANGE(""https://docs.google.com/spreadsheets/d/14Bd19lYaqBhU8_DElYkX7l4wRkHqqCUFNJY4AfY3kHU/edit?usp=sharing  #gid=0"",""фіз особи new!relations_name""),6,FALSE)
,
(IF
(
G6631=""юридична особа""
,
VLOOKUP"&amp;"(H6631,IMPORTRANGE(""https://docs.google.com/spreadsheets/d/14Bd19lYaqBhU8_DElYkX7l4wRkHqqCUFNJY4AfY3kHU/edit?usp=sharing  #gid=0"",""фіз особи new!relations_name_uo""),7,FALSE)
,
)
))"),"ЯКІМОВ Сергій Фотійович")</f>
        <v>ЯКІМОВ Сергій Фотійович</v>
      </c>
      <c r="J6630" s="7" t="s">
        <v>28</v>
      </c>
    </row>
    <row r="6631" spans="1:10" ht="13.2">
      <c r="A6631" s="7">
        <v>6630</v>
      </c>
      <c r="B6631" s="7">
        <v>1</v>
      </c>
      <c r="C6631" s="7" t="s">
        <v>10</v>
      </c>
      <c r="D6631" s="7">
        <v>6027</v>
      </c>
      <c r="E6631" s="7" t="s">
        <v>29</v>
      </c>
      <c r="F6631" s="8" t="str">
        <f ca="1">IFERROR(__xludf.DUMMYFUNCTION("IF
(
C6632=""фізична особа""
,
VLOOKUP(D6632,IMPORTRANGE(""https://docs.google.com/spreadsheets/d/14Bd19lYaqBhU8_DElYkX7l4wRkHqqCUFNJY4AfY3kHU/edit?usp=sharing  #gid=0"",""фіз особи new!relations_name""),6,FALSE)
,
(IF
(
C6632=""юридична особа""
,
VLOOKUP"&amp;"(D6632,IMPORTRANGE(""https://docs.google.com/spreadsheets/d/14Bd19lYaqBhU8_DElYkX7l4wRkHqqCUFNJY4AfY3kHU/edit?usp=sharing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31" s="7" t="s">
        <v>10</v>
      </c>
      <c r="H6631" s="7">
        <v>6029</v>
      </c>
      <c r="I6631" s="8" t="str">
        <f ca="1">IFERROR(__xludf.DUMMYFUNCTION("IF
(
G6632=""фізична особа""
,
VLOOKUP(H6632,IMPORTRANGE(""https://docs.google.com/spreadsheets/d/14Bd19lYaqBhU8_DElYkX7l4wRkHqqCUFNJY4AfY3kHU/edit?usp=sharing  #gid=0"",""фіз особи new!relations_name""),6,FALSE)
,
(IF
(
G6632=""юридична особа""
,
VLOOKUP"&amp;"(H6632,IMPORTRANGE(""https://docs.google.com/spreadsheets/d/14Bd19lYaqBhU8_DElYkX7l4wRkHqqCUFNJY4AfY3kHU/edit?usp=sharing  #gid=0"",""фіз особи new!relations_name_uo""),7,FALSE)
,
)
))"),"БРАГІН Олександр Олександрович")</f>
        <v>БРАГІН Олександр Олександрович</v>
      </c>
      <c r="J6631" s="7" t="s">
        <v>28</v>
      </c>
    </row>
    <row r="6632" spans="1:10" ht="13.2">
      <c r="A6632" s="7">
        <v>6631</v>
      </c>
      <c r="B6632" s="7">
        <v>1</v>
      </c>
      <c r="C6632" s="7" t="s">
        <v>10</v>
      </c>
      <c r="D6632" s="7">
        <v>6027</v>
      </c>
      <c r="E6632" s="7" t="s">
        <v>29</v>
      </c>
      <c r="F6632" s="8" t="str">
        <f ca="1">IFERROR(__xludf.DUMMYFUNCTION("IF
(
C6633=""фізична особа""
,
VLOOKUP(D6633,IMPORTRANGE(""https://docs.google.com/spreadsheets/d/14Bd19lYaqBhU8_DElYkX7l4wRkHqqCUFNJY4AfY3kHU/edit?usp=sharing  #gid=0"",""фіз особи new!relations_name""),6,FALSE)
,
(IF
(
C6633=""юридична особа""
,
VLOOKUP"&amp;"(D6633,IMPORTRANGE(""https://docs.google.com/spreadsheets/d/14Bd19lYaqBhU8_DElYkX7l4wRkHqqCUFNJY4AfY3kHU/edit?usp=sharing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32" s="7" t="s">
        <v>10</v>
      </c>
      <c r="H6632" s="7">
        <v>6030</v>
      </c>
      <c r="I6632" s="8" t="str">
        <f ca="1">IFERROR(__xludf.DUMMYFUNCTION("IF
(
G6633=""фізична особа""
,
VLOOKUP(H6633,IMPORTRANGE(""https://docs.google.com/spreadsheets/d/14Bd19lYaqBhU8_DElYkX7l4wRkHqqCUFNJY4AfY3kHU/edit?usp=sharing  #gid=0"",""фіз особи new!relations_name""),6,FALSE)
,
(IF
(
G6633=""юридична особа""
,
VLOOKUP"&amp;"(H6633,IMPORTRANGE(""https://docs.google.com/spreadsheets/d/14Bd19lYaqBhU8_DElYkX7l4wRkHqqCUFNJY4AfY3kHU/edit?usp=sharing  #gid=0"",""фіз особи new!relations_name_uo""),7,FALSE)
,
)
))"),"ДЕРГАЧЕВ Віталій Васильович")</f>
        <v>ДЕРГАЧЕВ Віталій Васильович</v>
      </c>
      <c r="J6632" s="7" t="s">
        <v>28</v>
      </c>
    </row>
    <row r="6633" spans="1:10" ht="13.2">
      <c r="A6633" s="7">
        <v>6632</v>
      </c>
      <c r="B6633" s="7">
        <v>1</v>
      </c>
      <c r="C6633" s="7" t="s">
        <v>10</v>
      </c>
      <c r="D6633" s="7">
        <v>6027</v>
      </c>
      <c r="E6633" s="7" t="s">
        <v>29</v>
      </c>
      <c r="F6633" s="8" t="str">
        <f ca="1">IFERROR(__xludf.DUMMYFUNCTION("IF
(
C6634=""фізична особа""
,
VLOOKUP(D6634,IMPORTRANGE(""https://docs.google.com/spreadsheets/d/14Bd19lYaqBhU8_DElYkX7l4wRkHqqCUFNJY4AfY3kHU/edit?usp=sharing  #gid=0"",""фіз особи new!relations_name""),6,FALSE)
,
(IF
(
C6634=""юридична особа""
,
VLOOKUP"&amp;"(D6634,IMPORTRANGE(""https://docs.google.com/spreadsheets/d/14Bd19lYaqBhU8_DElYkX7l4wRkHqqCUFNJY4AfY3kHU/edit?usp=sharing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33" s="7" t="s">
        <v>10</v>
      </c>
      <c r="H6633" s="7">
        <v>6031</v>
      </c>
      <c r="I6633" s="8" t="str">
        <f ca="1">IFERROR(__xludf.DUMMYFUNCTION("IF
(
G6634=""фізична особа""
,
VLOOKUP(H6634,IMPORTRANGE(""https://docs.google.com/spreadsheets/d/14Bd19lYaqBhU8_DElYkX7l4wRkHqqCUFNJY4AfY3kHU/edit?usp=sharing  #gid=0"",""фіз особи new!relations_name""),6,FALSE)
,
(IF
(
G6634=""юридична особа""
,
VLOOKUP"&amp;"(H6634,IMPORTRANGE(""https://docs.google.com/spreadsheets/d/14Bd19lYaqBhU8_DElYkX7l4wRkHqqCUFNJY4AfY3kHU/edit?usp=sharing  #gid=0"",""фіз особи new!relations_name_uo""),7,FALSE)
,
)
))"),"КУЦ Анатолій Володимирович")</f>
        <v>КУЦ Анатолій Володимирович</v>
      </c>
      <c r="J6633" s="7" t="s">
        <v>28</v>
      </c>
    </row>
    <row r="6634" spans="1:10" ht="13.2">
      <c r="A6634" s="7">
        <v>6633</v>
      </c>
      <c r="B6634" s="7">
        <v>1</v>
      </c>
      <c r="C6634" s="7" t="s">
        <v>10</v>
      </c>
      <c r="D6634" s="7">
        <v>6027</v>
      </c>
      <c r="E6634" s="7" t="s">
        <v>29</v>
      </c>
      <c r="F6634" s="8" t="str">
        <f ca="1">IFERROR(__xludf.DUMMYFUNCTION("IF
(
C6635=""фізична особа""
,
VLOOKUP(D6635,IMPORTRANGE(""https://docs.google.com/spreadsheets/d/14Bd19lYaqBhU8_DElYkX7l4wRkHqqCUFNJY4AfY3kHU/edit?usp=sharing  #gid=0"",""фіз особи new!relations_name""),6,FALSE)
,
(IF
(
C6635=""юридична особа""
,
VLOOKUP"&amp;"(D6635,IMPORTRANGE(""https://docs.google.com/spreadsheets/d/14Bd19lYaqBhU8_DElYkX7l4wRkHqqCUFNJY4AfY3kHU/edit?usp=sharing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G6634" s="7" t="s">
        <v>10</v>
      </c>
      <c r="H6634" s="7">
        <v>6032</v>
      </c>
      <c r="I6634" s="8" t="str">
        <f ca="1">IFERROR(__xludf.DUMMYFUNCTION("IF
(
G6635=""фізична особа""
,
VLOOKUP(H6635,IMPORTRANGE(""https://docs.google.com/spreadsheets/d/14Bd19lYaqBhU8_DElYkX7l4wRkHqqCUFNJY4AfY3kHU/edit?usp=sharing  #gid=0"",""фіз особи new!relations_name""),6,FALSE)
,
(IF
(
G6635=""юридична особа""
,
VLOOKUP"&amp;"(H6635,IMPORTRANGE(""https://docs.google.com/spreadsheets/d/14Bd19lYaqBhU8_DElYkX7l4wRkHqqCUFNJY4AfY3kHU/edit?usp=sharing  #gid=0"",""фіз особи new!relations_name_uo""),7,FALSE)
,
)
))"),"ЛЮТІКОВ Віталій Сергійович")</f>
        <v>ЛЮТІКОВ Віталій Сергійович</v>
      </c>
      <c r="J6634" s="7" t="s">
        <v>28</v>
      </c>
    </row>
    <row r="6635" spans="1:10" ht="13.2">
      <c r="A6635" s="7">
        <v>6634</v>
      </c>
      <c r="B6635" s="7">
        <v>1</v>
      </c>
      <c r="C6635" s="7" t="s">
        <v>10</v>
      </c>
      <c r="D6635" s="7">
        <v>6028</v>
      </c>
      <c r="E6635" s="7" t="s">
        <v>14</v>
      </c>
      <c r="F6635" s="8" t="str">
        <f ca="1">IFERROR(__xludf.DUMMYFUNCTION("IF
(
C6636=""фізична особа""
,
VLOOKUP(D6636,IMPORTRANGE(""https://docs.google.com/spreadsheets/d/14Bd19lYaqBhU8_DElYkX7l4wRkHqqCUFNJY4AfY3kHU/edit?usp=sharing  #gid=0"",""фіз особи new!relations_name""),6,FALSE)
,
(IF
(
C6636=""юридична особа""
,
VLOOKUP"&amp;"(D6636,IMPORTRANGE(""https://docs.google.com/spreadsheets/d/14Bd19lYaqBhU8_DElYkX7l4wRkHqqCUFNJY4AfY3kHU/edit?usp=sharing  #gid=0"",""фіз особи new!relations_name_uo""),7,FALSE)
,
)
))"),"ЯКІМОВ Сергій Фотійович")</f>
        <v>ЯКІМОВ Сергій Фотійович</v>
      </c>
      <c r="G6635" s="7" t="s">
        <v>10</v>
      </c>
      <c r="H6635" s="7">
        <v>0</v>
      </c>
      <c r="I6635" s="8" t="str">
        <f ca="1">IFERROR(__xludf.DUMMYFUNCTION("IF
(
G6636=""фізична особа""
,
VLOOKUP(H6636,IMPORTRANGE(""https://docs.google.com/spreadsheets/d/14Bd19lYaqBhU8_DElYkX7l4wRkHqqCUFNJY4AfY3kHU/edit?usp=sharing  #gid=0"",""фіз особи new!relations_name""),6,FALSE)
,
(IF
(
G6636=""юридична особа""
,
VLOOKUP"&amp;"(H6636,IMPORTRANGE(""https://docs.google.com/spreadsheets/d/14Bd19lYaqBhU8_DElYkX7l4wRkHqqCUFNJY4AfY3kHU/edit?usp=sharing  #gid=0"",""фіз особи new!relations_name_uo""),7,FALSE)
,
)
))"),"#N/A")</f>
        <v>#N/A</v>
      </c>
      <c r="J6635" s="7" t="s">
        <v>15</v>
      </c>
    </row>
    <row r="6636" spans="1:10" ht="13.2">
      <c r="A6636" s="7">
        <v>6635</v>
      </c>
      <c r="B6636" s="7">
        <v>1</v>
      </c>
      <c r="C6636" s="7" t="s">
        <v>10</v>
      </c>
      <c r="D6636" s="7">
        <v>6028</v>
      </c>
      <c r="E6636" s="7" t="s">
        <v>28</v>
      </c>
      <c r="F6636" s="8" t="str">
        <f ca="1">IFERROR(__xludf.DUMMYFUNCTION("IF
(
C6637=""фізична особа""
,
VLOOKUP(D6637,IMPORTRANGE(""https://docs.google.com/spreadsheets/d/14Bd19lYaqBhU8_DElYkX7l4wRkHqqCUFNJY4AfY3kHU/edit?usp=sharing  #gid=0"",""фіз особи new!relations_name""),6,FALSE)
,
(IF
(
C6637=""юридична особа""
,
VLOOKUP"&amp;"(D6637,IMPORTRANGE(""https://docs.google.com/spreadsheets/d/14Bd19lYaqBhU8_DElYkX7l4wRkHqqCUFNJY4AfY3kHU/edit?usp=sharing  #gid=0"",""фіз особи new!relations_name_uo""),7,FALSE)
,
)
))"),"ЯКІМОВ Сергій Фотійович")</f>
        <v>ЯКІМОВ Сергій Фотійович</v>
      </c>
      <c r="G6636" s="7" t="s">
        <v>10</v>
      </c>
      <c r="H6636" s="7">
        <v>6027</v>
      </c>
      <c r="I6636" s="8" t="str">
        <f ca="1">IFERROR(__xludf.DUMMYFUNCTION("IF
(
G6637=""фізична особа""
,
VLOOKUP(H6637,IMPORTRANGE(""https://docs.google.com/spreadsheets/d/14Bd19lYaqBhU8_DElYkX7l4wRkHqqCUFNJY4AfY3kHU/edit?usp=sharing  #gid=0"",""фіз особи new!relations_name""),6,FALSE)
,
(IF
(
G6637=""юридична особа""
,
VLOOKUP"&amp;"(H6637,IMPORTRANGE(""https://docs.google.com/spreadsheets/d/14Bd19lYaqBhU8_DElYkX7l4wRkHqqCUFNJY4AfY3kHU/edit?usp=sharing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36" s="7" t="s">
        <v>29</v>
      </c>
    </row>
    <row r="6637" spans="1:10" ht="13.2">
      <c r="A6637" s="7">
        <v>6636</v>
      </c>
      <c r="B6637" s="7">
        <v>1</v>
      </c>
      <c r="C6637" s="7" t="s">
        <v>10</v>
      </c>
      <c r="D6637" s="7">
        <v>6029</v>
      </c>
      <c r="E6637" s="7" t="s">
        <v>28</v>
      </c>
      <c r="F6637" s="8" t="str">
        <f ca="1">IFERROR(__xludf.DUMMYFUNCTION("IF
(
C6638=""фізична особа""
,
VLOOKUP(D6638,IMPORTRANGE(""https://docs.google.com/spreadsheets/d/14Bd19lYaqBhU8_DElYkX7l4wRkHqqCUFNJY4AfY3kHU/edit?usp=sharing  #gid=0"",""фіз особи new!relations_name""),6,FALSE)
,
(IF
(
C6638=""юридична особа""
,
VLOOKUP"&amp;"(D6638,IMPORTRANGE(""https://docs.google.com/spreadsheets/d/14Bd19lYaqBhU8_DElYkX7l4wRkHqqCUFNJY4AfY3kHU/edit?usp=sharing  #gid=0"",""фіз особи new!relations_name_uo""),7,FALSE)
,
)
))"),"БРАГІН Олександр Олександрович")</f>
        <v>БРАГІН Олександр Олександрович</v>
      </c>
      <c r="G6637" s="7" t="s">
        <v>10</v>
      </c>
      <c r="H6637" s="7">
        <v>6027</v>
      </c>
      <c r="I6637" s="8" t="str">
        <f ca="1">IFERROR(__xludf.DUMMYFUNCTION("IF
(
G6638=""фізична особа""
,
VLOOKUP(H6638,IMPORTRANGE(""https://docs.google.com/spreadsheets/d/14Bd19lYaqBhU8_DElYkX7l4wRkHqqCUFNJY4AfY3kHU/edit?usp=sharing  #gid=0"",""фіз особи new!relations_name""),6,FALSE)
,
(IF
(
G6638=""юридична особа""
,
VLOOKUP"&amp;"(H6638,IMPORTRANGE(""https://docs.google.com/spreadsheets/d/14Bd19lYaqBhU8_DElYkX7l4wRkHqqCUFNJY4AfY3kHU/edit?usp=sharing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37" s="7" t="s">
        <v>29</v>
      </c>
    </row>
    <row r="6638" spans="1:10" ht="13.2">
      <c r="A6638" s="7">
        <v>6637</v>
      </c>
      <c r="B6638" s="7">
        <v>1</v>
      </c>
      <c r="C6638" s="7" t="s">
        <v>10</v>
      </c>
      <c r="D6638" s="7">
        <v>6030</v>
      </c>
      <c r="E6638" s="7" t="s">
        <v>28</v>
      </c>
      <c r="F6638" s="8" t="str">
        <f ca="1">IFERROR(__xludf.DUMMYFUNCTION("IF
(
C6639=""фізична особа""
,
VLOOKUP(D6639,IMPORTRANGE(""https://docs.google.com/spreadsheets/d/14Bd19lYaqBhU8_DElYkX7l4wRkHqqCUFNJY4AfY3kHU/edit?usp=sharing  #gid=0"",""фіз особи new!relations_name""),6,FALSE)
,
(IF
(
C6639=""юридична особа""
,
VLOOKUP"&amp;"(D6639,IMPORTRANGE(""https://docs.google.com/spreadsheets/d/14Bd19lYaqBhU8_DElYkX7l4wRkHqqCUFNJY4AfY3kHU/edit?usp=sharing  #gid=0"",""фіз особи new!relations_name_uo""),7,FALSE)
,
)
))"),"ДЕРГАЧЕВ Віталій Васильович")</f>
        <v>ДЕРГАЧЕВ Віталій Васильович</v>
      </c>
      <c r="G6638" s="7" t="s">
        <v>10</v>
      </c>
      <c r="H6638" s="7">
        <v>6027</v>
      </c>
      <c r="I6638" s="8" t="str">
        <f ca="1">IFERROR(__xludf.DUMMYFUNCTION("IF
(
G6639=""фізична особа""
,
VLOOKUP(H6639,IMPORTRANGE(""https://docs.google.com/spreadsheets/d/14Bd19lYaqBhU8_DElYkX7l4wRkHqqCUFNJY4AfY3kHU/edit?usp=sharing  #gid=0"",""фіз особи new!relations_name""),6,FALSE)
,
(IF
(
G6639=""юридична особа""
,
VLOOKUP"&amp;"(H6639,IMPORTRANGE(""https://docs.google.com/spreadsheets/d/14Bd19lYaqBhU8_DElYkX7l4wRkHqqCUFNJY4AfY3kHU/edit?usp=sharing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38" s="7" t="s">
        <v>29</v>
      </c>
    </row>
    <row r="6639" spans="1:10" ht="13.2">
      <c r="A6639" s="7">
        <v>6638</v>
      </c>
      <c r="B6639" s="7">
        <v>1</v>
      </c>
      <c r="C6639" s="7" t="s">
        <v>10</v>
      </c>
      <c r="D6639" s="7">
        <v>6031</v>
      </c>
      <c r="E6639" s="7" t="s">
        <v>28</v>
      </c>
      <c r="F6639" s="8" t="str">
        <f ca="1">IFERROR(__xludf.DUMMYFUNCTION("IF
(
C6640=""фізична особа""
,
VLOOKUP(D6640,IMPORTRANGE(""https://docs.google.com/spreadsheets/d/14Bd19lYaqBhU8_DElYkX7l4wRkHqqCUFNJY4AfY3kHU/edit?usp=sharing  #gid=0"",""фіз особи new!relations_name""),6,FALSE)
,
(IF
(
C6640=""юридична особа""
,
VLOOKUP"&amp;"(D6640,IMPORTRANGE(""https://docs.google.com/spreadsheets/d/14Bd19lYaqBhU8_DElYkX7l4wRkHqqCUFNJY4AfY3kHU/edit?usp=sharing  #gid=0"",""фіз особи new!relations_name_uo""),7,FALSE)
,
)
))"),"КУЦ Анатолій Володимирович")</f>
        <v>КУЦ Анатолій Володимирович</v>
      </c>
      <c r="G6639" s="7" t="s">
        <v>10</v>
      </c>
      <c r="H6639" s="7">
        <v>6027</v>
      </c>
      <c r="I6639" s="8" t="str">
        <f ca="1">IFERROR(__xludf.DUMMYFUNCTION("IF
(
G6640=""фізична особа""
,
VLOOKUP(H6640,IMPORTRANGE(""https://docs.google.com/spreadsheets/d/14Bd19lYaqBhU8_DElYkX7l4wRkHqqCUFNJY4AfY3kHU/edit?usp=sharing  #gid=0"",""фіз особи new!relations_name""),6,FALSE)
,
(IF
(
G6640=""юридична особа""
,
VLOOKUP"&amp;"(H6640,IMPORTRANGE(""https://docs.google.com/spreadsheets/d/14Bd19lYaqBhU8_DElYkX7l4wRkHqqCUFNJY4AfY3kHU/edit?usp=sharing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39" s="7" t="s">
        <v>29</v>
      </c>
    </row>
    <row r="6640" spans="1:10" ht="13.2">
      <c r="A6640" s="7">
        <v>6639</v>
      </c>
      <c r="B6640" s="7">
        <v>1</v>
      </c>
      <c r="C6640" s="7" t="s">
        <v>10</v>
      </c>
      <c r="D6640" s="7">
        <v>6032</v>
      </c>
      <c r="E6640" s="7" t="s">
        <v>28</v>
      </c>
      <c r="F6640" s="8" t="str">
        <f ca="1">IFERROR(__xludf.DUMMYFUNCTION("IF
(
C6641=""фізична особа""
,
VLOOKUP(D6641,IMPORTRANGE(""https://docs.google.com/spreadsheets/d/14Bd19lYaqBhU8_DElYkX7l4wRkHqqCUFNJY4AfY3kHU/edit?usp=sharing  #gid=0"",""фіз особи new!relations_name""),6,FALSE)
,
(IF
(
C6641=""юридична особа""
,
VLOOKUP"&amp;"(D6641,IMPORTRANGE(""https://docs.google.com/spreadsheets/d/14Bd19lYaqBhU8_DElYkX7l4wRkHqqCUFNJY4AfY3kHU/edit?usp=sharing  #gid=0"",""фіз особи new!relations_name_uo""),7,FALSE)
,
)
))"),"ЛЮТІКОВ Віталій Сергійович")</f>
        <v>ЛЮТІКОВ Віталій Сергійович</v>
      </c>
      <c r="G6640" s="7" t="s">
        <v>10</v>
      </c>
      <c r="H6640" s="7">
        <v>6027</v>
      </c>
      <c r="I6640" s="8" t="str">
        <f ca="1">IFERROR(__xludf.DUMMYFUNCTION("IF
(
G6641=""фізична особа""
,
VLOOKUP(H6641,IMPORTRANGE(""https://docs.google.com/spreadsheets/d/14Bd19lYaqBhU8_DElYkX7l4wRkHqqCUFNJY4AfY3kHU/edit?usp=sharing  #gid=0"",""фіз особи new!relations_name""),6,FALSE)
,
(IF
(
G6641=""юридична особа""
,
VLOOKUP"&amp;"(H6641,IMPORTRANGE(""https://docs.google.com/spreadsheets/d/14Bd19lYaqBhU8_DElYkX7l4wRkHqqCUFNJY4AfY3kHU/edit?usp=sharing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0" s="7" t="s">
        <v>29</v>
      </c>
    </row>
    <row r="6641" spans="1:10" ht="13.2">
      <c r="A6641" s="7">
        <v>6640</v>
      </c>
      <c r="B6641" s="7">
        <v>1</v>
      </c>
      <c r="C6641" s="7" t="s">
        <v>10</v>
      </c>
      <c r="D6641" s="7">
        <v>6033</v>
      </c>
      <c r="E6641" s="7" t="s">
        <v>28</v>
      </c>
      <c r="F6641" s="8" t="str">
        <f ca="1">IFERROR(__xludf.DUMMYFUNCTION("IF
(
C6642=""фізична особа""
,
VLOOKUP(D6642,IMPORTRANGE(""https://docs.google.com/spreadsheets/d/14Bd19lYaqBhU8_DElYkX7l4wRkHqqCUFNJY4AfY3kHU/edit?usp=sharing  #gid=0"",""фіз особи new!relations_name""),6,FALSE)
,
(IF
(
C6642=""юридична особа""
,
VLOOKUP"&amp;"(D6642,IMPORTRANGE(""https://docs.google.com/spreadsheets/d/14Bd19lYaqBhU8_DElYkX7l4wRkHqqCUFNJY4AfY3kHU/edit?usp=sharing  #gid=0"",""фіз особи new!relations_name_uo""),7,FALSE)
,
)
))"),"РАЙКОВ Олег Володимирович")</f>
        <v>РАЙКОВ Олег Володимирович</v>
      </c>
      <c r="G6641" s="7" t="s">
        <v>10</v>
      </c>
      <c r="H6641" s="7">
        <v>6027</v>
      </c>
      <c r="I6641" s="8" t="str">
        <f ca="1">IFERROR(__xludf.DUMMYFUNCTION("IF
(
G6642=""фізична особа""
,
VLOOKUP(H6642,IMPORTRANGE(""https://docs.google.com/spreadsheets/d/14Bd19lYaqBhU8_DElYkX7l4wRkHqqCUFNJY4AfY3kHU/edit?usp=sharing  #gid=0"",""фіз особи new!relations_name""),6,FALSE)
,
(IF
(
G6642=""юридична особа""
,
VLOOKUP"&amp;"(H6642,IMPORTRANGE(""https://docs.google.com/spreadsheets/d/14Bd19lYaqBhU8_DElYkX7l4wRkHqqCUFNJY4AfY3kHU/edit?usp=sharing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1" s="7" t="s">
        <v>29</v>
      </c>
    </row>
    <row r="6642" spans="1:10" ht="13.2">
      <c r="A6642" s="7">
        <v>6641</v>
      </c>
      <c r="B6642" s="7">
        <v>1</v>
      </c>
      <c r="C6642" s="7" t="s">
        <v>10</v>
      </c>
      <c r="D6642" s="7">
        <v>6034</v>
      </c>
      <c r="E6642" s="7" t="s">
        <v>28</v>
      </c>
      <c r="F6642" s="8" t="str">
        <f ca="1">IFERROR(__xludf.DUMMYFUNCTION("IF
(
C6643=""фізична особа""
,
VLOOKUP(D6643,IMPORTRANGE(""https://docs.google.com/spreadsheets/d/14Bd19lYaqBhU8_DElYkX7l4wRkHqqCUFNJY4AfY3kHU/edit?usp=sharing  #gid=0"",""фіз особи new!relations_name""),6,FALSE)
,
(IF
(
C6643=""юридична особа""
,
VLOOKUP"&amp;"(D6643,IMPORTRANGE(""https://docs.google.com/spreadsheets/d/14Bd19lYaqBhU8_DElYkX7l4wRkHqqCUFNJY4AfY3kHU/edit?usp=sharing  #gid=0"",""фіз особи new!relations_name_uo""),7,FALSE)
,
)
))"),"СТЄПУРА Сергій Миколайович")</f>
        <v>СТЄПУРА Сергій Миколайович</v>
      </c>
      <c r="G6642" s="7" t="s">
        <v>10</v>
      </c>
      <c r="H6642" s="7">
        <v>6027</v>
      </c>
      <c r="I6642" s="8" t="str">
        <f ca="1">IFERROR(__xludf.DUMMYFUNCTION("IF
(
G6643=""фізична особа""
,
VLOOKUP(H6643,IMPORTRANGE(""https://docs.google.com/spreadsheets/d/14Bd19lYaqBhU8_DElYkX7l4wRkHqqCUFNJY4AfY3kHU/edit?usp=sharing  #gid=0"",""фіз особи new!relations_name""),6,FALSE)
,
(IF
(
G6643=""юридична особа""
,
VLOOKUP"&amp;"(H6643,IMPORTRANGE(""https://docs.google.com/spreadsheets/d/14Bd19lYaqBhU8_DElYkX7l4wRkHqqCUFNJY4AfY3kHU/edit?usp=sharing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2" s="7" t="s">
        <v>29</v>
      </c>
    </row>
    <row r="6643" spans="1:10" ht="13.2">
      <c r="A6643" s="7">
        <v>6642</v>
      </c>
      <c r="B6643" s="7">
        <v>1</v>
      </c>
      <c r="C6643" s="7" t="s">
        <v>10</v>
      </c>
      <c r="D6643" s="7">
        <v>6035</v>
      </c>
      <c r="E6643" s="7" t="s">
        <v>28</v>
      </c>
      <c r="F6643" s="8" t="str">
        <f ca="1">IFERROR(__xludf.DUMMYFUNCTION("IF
(
C6644=""фізична особа""
,
VLOOKUP(D6644,IMPORTRANGE(""https://docs.google.com/spreadsheets/d/14Bd19lYaqBhU8_DElYkX7l4wRkHqqCUFNJY4AfY3kHU/edit?usp=sharing  #gid=0"",""фіз особи new!relations_name""),6,FALSE)
,
(IF
(
C6644=""юридична особа""
,
VLOOKUP"&amp;"(D6644,IMPORTRANGE(""https://docs.google.com/spreadsheets/d/14Bd19lYaqBhU8_DElYkX7l4wRkHqqCUFNJY4AfY3kHU/edit?usp=sharing  #gid=0"",""фіз особи new!relations_name_uo""),7,FALSE)
,
)
))"),"ПОКЛОНОВ Євгеній Валентинович")</f>
        <v>ПОКЛОНОВ Євгеній Валентинович</v>
      </c>
      <c r="G6643" s="7" t="s">
        <v>10</v>
      </c>
      <c r="H6643" s="7">
        <v>6027</v>
      </c>
      <c r="I6643" s="8" t="str">
        <f ca="1">IFERROR(__xludf.DUMMYFUNCTION("IF
(
G6644=""фізична особа""
,
VLOOKUP(H6644,IMPORTRANGE(""https://docs.google.com/spreadsheets/d/14Bd19lYaqBhU8_DElYkX7l4wRkHqqCUFNJY4AfY3kHU/edit?usp=sharing  #gid=0"",""фіз особи new!relations_name""),6,FALSE)
,
(IF
(
G6644=""юридична особа""
,
VLOOKUP"&amp;"(H6644,IMPORTRANGE(""https://docs.google.com/spreadsheets/d/14Bd19lYaqBhU8_DElYkX7l4wRkHqqCUFNJY4AfY3kHU/edit?usp=sharing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3" s="7" t="s">
        <v>29</v>
      </c>
    </row>
    <row r="6644" spans="1:10" ht="13.2">
      <c r="A6644" s="7">
        <v>6643</v>
      </c>
      <c r="B6644" s="7">
        <v>1</v>
      </c>
      <c r="C6644" s="7" t="s">
        <v>10</v>
      </c>
      <c r="D6644" s="7">
        <v>6036</v>
      </c>
      <c r="E6644" s="7" t="s">
        <v>28</v>
      </c>
      <c r="F6644" s="8" t="str">
        <f ca="1">IFERROR(__xludf.DUMMYFUNCTION("IF
(
C6645=""фізична особа""
,
VLOOKUP(D6645,IMPORTRANGE(""https://docs.google.com/spreadsheets/d/14Bd19lYaqBhU8_DElYkX7l4wRkHqqCUFNJY4AfY3kHU/edit?usp=sharing  #gid=0"",""фіз особи new!relations_name""),6,FALSE)
,
(IF
(
C6645=""юридична особа""
,
VLOOKUP"&amp;"(D6645,IMPORTRANGE(""https://docs.google.com/spreadsheets/d/14Bd19lYaqBhU8_DElYkX7l4wRkHqqCUFNJY4AfY3kHU/edit?usp=sharing  #gid=0"",""фіз особи new!relations_name_uo""),7,FALSE)
,
)
))"),"ЧУВАРДІН Олег Петрович")</f>
        <v>ЧУВАРДІН Олег Петрович</v>
      </c>
      <c r="G6644" s="7" t="s">
        <v>10</v>
      </c>
      <c r="H6644" s="7">
        <v>6027</v>
      </c>
      <c r="I6644" s="8" t="str">
        <f ca="1">IFERROR(__xludf.DUMMYFUNCTION("IF
(
G6645=""фізична особа""
,
VLOOKUP(H6645,IMPORTRANGE(""https://docs.google.com/spreadsheets/d/14Bd19lYaqBhU8_DElYkX7l4wRkHqqCUFNJY4AfY3kHU/edit?usp=sharing  #gid=0"",""фіз особи new!relations_name""),6,FALSE)
,
(IF
(
G6645=""юридична особа""
,
VLOOKUP"&amp;"(H6645,IMPORTRANGE(""https://docs.google.com/spreadsheets/d/14Bd19lYaqBhU8_DElYkX7l4wRkHqqCUFNJY4AfY3kHU/edit?usp=sharing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4" s="7" t="s">
        <v>29</v>
      </c>
    </row>
    <row r="6645" spans="1:10" ht="13.2">
      <c r="A6645" s="7">
        <v>6644</v>
      </c>
      <c r="B6645" s="7">
        <v>1</v>
      </c>
      <c r="C6645" s="7" t="s">
        <v>10</v>
      </c>
      <c r="D6645" s="7">
        <v>6037</v>
      </c>
      <c r="E6645" s="7" t="s">
        <v>28</v>
      </c>
      <c r="F6645" s="8" t="str">
        <f ca="1">IFERROR(__xludf.DUMMYFUNCTION("IF
(
C6646=""фізична особа""
,
VLOOKUP(D6646,IMPORTRANGE(""https://docs.google.com/spreadsheets/d/14Bd19lYaqBhU8_DElYkX7l4wRkHqqCUFNJY4AfY3kHU/edit?usp=sharing  #gid=0"",""фіз особи new!relations_name""),6,FALSE)
,
(IF
(
C6646=""юридична особа""
,
VLOOKUP"&amp;"(D6646,IMPORTRANGE(""https://docs.google.com/spreadsheets/d/14Bd19lYaqBhU8_DElYkX7l4wRkHqqCUFNJY4AfY3kHU/edit?usp=sharing  #gid=0"",""фіз особи new!relations_name_uo""),7,FALSE)
,
)
))"),"КАМИНІН Костянтин Володимирович")</f>
        <v>КАМИНІН Костянтин Володимирович</v>
      </c>
      <c r="G6645" s="7" t="s">
        <v>10</v>
      </c>
      <c r="H6645" s="7">
        <v>6027</v>
      </c>
      <c r="I6645" s="8" t="str">
        <f ca="1">IFERROR(__xludf.DUMMYFUNCTION("IF
(
G6646=""фізична особа""
,
VLOOKUP(H6646,IMPORTRANGE(""https://docs.google.com/spreadsheets/d/14Bd19lYaqBhU8_DElYkX7l4wRkHqqCUFNJY4AfY3kHU/edit?usp=sharing  #gid=0"",""фіз особи new!relations_name""),6,FALSE)
,
(IF
(
G6646=""юридична особа""
,
VLOOKUP"&amp;"(H6646,IMPORTRANGE(""https://docs.google.com/spreadsheets/d/14Bd19lYaqBhU8_DElYkX7l4wRkHqqCUFNJY4AfY3kHU/edit?usp=sharing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5" s="7" t="s">
        <v>29</v>
      </c>
    </row>
    <row r="6646" spans="1:10" ht="13.2">
      <c r="A6646" s="7">
        <v>6645</v>
      </c>
      <c r="B6646" s="7">
        <v>1</v>
      </c>
      <c r="C6646" s="7" t="s">
        <v>10</v>
      </c>
      <c r="D6646" s="7">
        <v>6038</v>
      </c>
      <c r="E6646" s="7" t="s">
        <v>28</v>
      </c>
      <c r="F6646" s="8" t="str">
        <f ca="1">IFERROR(__xludf.DUMMYFUNCTION("IF
(
C6647=""фізична особа""
,
VLOOKUP(D6647,IMPORTRANGE(""https://docs.google.com/spreadsheets/d/14Bd19lYaqBhU8_DElYkX7l4wRkHqqCUFNJY4AfY3kHU/edit?usp=sharing  #gid=0"",""фіз особи new!relations_name""),6,FALSE)
,
(IF
(
C6647=""юридична особа""
,
VLOOKUP"&amp;"(D6647,IMPORTRANGE(""https://docs.google.com/spreadsheets/d/14Bd19lYaqBhU8_DElYkX7l4wRkHqqCUFNJY4AfY3kHU/edit?usp=sharing  #gid=0"",""фіз особи new!relations_name_uo""),7,FALSE)
,
)
))"),"ЦАЛКО Володимир Михайлович")</f>
        <v>ЦАЛКО Володимир Михайлович</v>
      </c>
      <c r="G6646" s="7" t="s">
        <v>10</v>
      </c>
      <c r="H6646" s="7">
        <v>6027</v>
      </c>
      <c r="I6646" s="8" t="str">
        <f ca="1">IFERROR(__xludf.DUMMYFUNCTION("IF
(
G6647=""фізична особа""
,
VLOOKUP(H6647,IMPORTRANGE(""https://docs.google.com/spreadsheets/d/14Bd19lYaqBhU8_DElYkX7l4wRkHqqCUFNJY4AfY3kHU/edit?usp=sharing  #gid=0"",""фіз особи new!relations_name""),6,FALSE)
,
(IF
(
G6647=""юридична особа""
,
VLOOKUP"&amp;"(H6647,IMPORTRANGE(""https://docs.google.com/spreadsheets/d/14Bd19lYaqBhU8_DElYkX7l4wRkHqqCUFNJY4AfY3kHU/edit?usp=sharing  #gid=0"",""фіз особи new!relations_name_uo""),7,FALSE)
,
)
))"),"СЕЛІН Володимир Вікторович")</f>
        <v>СЕЛІН Володимир Вікторович</v>
      </c>
      <c r="J6646" s="7" t="s">
        <v>29</v>
      </c>
    </row>
    <row r="6647" spans="1:10" ht="13.2">
      <c r="A6647" s="7">
        <v>6646</v>
      </c>
      <c r="B6647" s="7">
        <v>1</v>
      </c>
      <c r="C6647" s="7" t="s">
        <v>10</v>
      </c>
      <c r="D6647" s="7">
        <v>6039</v>
      </c>
      <c r="E6647" s="7" t="s">
        <v>28</v>
      </c>
      <c r="F6647" s="8" t="str">
        <f ca="1">IFERROR(__xludf.DUMMYFUNCTION("IF
(
C6648=""фізична особа""
,
VLOOKUP(D6648,IMPORTRANGE(""https://docs.google.com/spreadsheets/d/14Bd19lYaqBhU8_DElYkX7l4wRkHqqCUFNJY4AfY3kHU/edit?usp=sharing  #gid=0"",""фіз особи new!relations_name""),6,FALSE)
,
(IF
(
C6648=""юридична особа""
,
VLOOKUP"&amp;"(D6648,IMPORTRANGE(""https://docs.google.com/spreadsheets/d/14Bd19lYaqBhU8_DElYkX7l4wRkHqqCUFNJY4AfY3kHU/edit?usp=sharing  #gid=0"",""фіз особи new!relations_name_uo""),7,FALSE)
,
)
))"),"КУЧЕРЕНКО Петро Олександрович")</f>
        <v>КУЧЕРЕНКО Петро Олександрович</v>
      </c>
      <c r="G6647" s="7" t="s">
        <v>10</v>
      </c>
      <c r="H6647" s="7">
        <v>4696</v>
      </c>
      <c r="I6647" s="8" t="str">
        <f ca="1">IFERROR(__xludf.DUMMYFUNCTION("IF
(
G6648=""фізична особа""
,
VLOOKUP(H6648,IMPORTRANGE(""https://docs.google.com/spreadsheets/d/14Bd19lYaqBhU8_DElYkX7l4wRkHqqCUFNJY4AfY3kHU/edit?usp=sharing  #gid=0"",""фіз особи new!relations_name""),6,FALSE)
,
(IF
(
G6648=""юридична особа""
,
VLOOKUP"&amp;"(H6648,IMPORTRANGE(""https://docs.google.com/spreadsheets/d/14Bd19lYaqBhU8_DElYkX7l4wRkHqqCUFNJY4AfY3kHU/edit?usp=sharing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6647" s="7" t="s">
        <v>29</v>
      </c>
    </row>
    <row r="6648" spans="1:10" ht="13.2">
      <c r="A6648" s="7">
        <v>6647</v>
      </c>
      <c r="B6648" s="7">
        <v>1</v>
      </c>
      <c r="C6648" s="7" t="s">
        <v>10</v>
      </c>
      <c r="D6648" s="7">
        <v>6039</v>
      </c>
      <c r="E6648" s="7" t="s">
        <v>14</v>
      </c>
      <c r="F6648" s="8" t="str">
        <f ca="1">IFERROR(__xludf.DUMMYFUNCTION("IF
(
C6649=""фізична особа""
,
VLOOKUP(D6649,IMPORTRANGE(""https://docs.google.com/spreadsheets/d/14Bd19lYaqBhU8_DElYkX7l4wRkHqqCUFNJY4AfY3kHU/edit?usp=sharing  #gid=0"",""фіз особи new!relations_name""),6,FALSE)
,
(IF
(
C6649=""юридична особа""
,
VLOOKUP"&amp;"(D6649,IMPORTRANGE(""https://docs.google.com/spreadsheets/d/14Bd19lYaqBhU8_DElYkX7l4wRkHqqCUFNJY4AfY3kHU/edit?usp=sharing  #gid=0"",""фіз особи new!relations_name_uo""),7,FALSE)
,
)
))"),"КУЧЕРЕНКО Петро Олександрович")</f>
        <v>КУЧЕРЕНКО Петро Олександрович</v>
      </c>
      <c r="G6648" s="7" t="s">
        <v>10</v>
      </c>
      <c r="H6648" s="7">
        <v>22407</v>
      </c>
      <c r="I6648" s="8" t="str">
        <f ca="1">IFERROR(__xludf.DUMMYFUNCTION("IF
(
G6649=""фізична особа""
,
VLOOKUP(H6649,IMPORTRANGE(""https://docs.google.com/spreadsheets/d/14Bd19lYaqBhU8_DElYkX7l4wRkHqqCUFNJY4AfY3kHU/edit?usp=sharing  #gid=0"",""фіз особи new!relations_name""),6,FALSE)
,
(IF
(
G6649=""юридична особа""
,
VLOOKUP"&amp;"(H6649,IMPORTRANGE(""https://docs.google.com/spreadsheets/d/14Bd19lYaqBhU8_DElYkX7l4wRkHqqCUFNJY4AfY3kHU/edit?usp=sharing  #gid=0"",""фіз особи new!relations_name_uo""),7,FALSE)
,
)
))"),"ГУРЦЬКА Діана Гудаєвна")</f>
        <v>ГУРЦЬКА Діана Гудаєвна</v>
      </c>
      <c r="J6648" s="7" t="s">
        <v>15</v>
      </c>
    </row>
    <row r="6649" spans="1:10" ht="13.2">
      <c r="A6649" s="7">
        <v>6648</v>
      </c>
      <c r="B6649" s="7">
        <v>1</v>
      </c>
      <c r="C6649" s="7" t="s">
        <v>10</v>
      </c>
      <c r="D6649" s="7">
        <v>6039</v>
      </c>
      <c r="E6649" s="7" t="s">
        <v>12</v>
      </c>
      <c r="F6649" s="8" t="str">
        <f ca="1">IFERROR(__xludf.DUMMYFUNCTION("IF
(
C6650=""фізична особа""
,
VLOOKUP(D6650,IMPORTRANGE(""https://docs.google.com/spreadsheets/d/14Bd19lYaqBhU8_DElYkX7l4wRkHqqCUFNJY4AfY3kHU/edit?usp=sharing  #gid=0"",""фіз особи new!relations_name""),6,FALSE)
,
(IF
(
C6650=""юридична особа""
,
VLOOKUP"&amp;"(D6650,IMPORTRANGE(""https://docs.google.com/spreadsheets/d/14Bd19lYaqBhU8_DElYkX7l4wRkHqqCUFNJY4AfY3kHU/edit?usp=sharing  #gid=0"",""фіз особи new!relations_name_uo""),7,FALSE)
,
)
))"),"КУЧЕРЕНКО Петро Олександрович")</f>
        <v>КУЧЕРЕНКО Петро Олександрович</v>
      </c>
      <c r="G6649" s="7" t="s">
        <v>10</v>
      </c>
      <c r="H6649" s="7">
        <v>0</v>
      </c>
      <c r="I6649" s="8" t="str">
        <f ca="1">IFERROR(__xludf.DUMMYFUNCTION("IF
(
G6650=""фізична особа""
,
VLOOKUP(H6650,IMPORTRANGE(""https://docs.google.com/spreadsheets/d/14Bd19lYaqBhU8_DElYkX7l4wRkHqqCUFNJY4AfY3kHU/edit?usp=sharing  #gid=0"",""фіз особи new!relations_name""),6,FALSE)
,
(IF
(
G6650=""юридична особа""
,
VLOOKUP"&amp;"(H6650,IMPORTRANGE(""https://docs.google.com/spreadsheets/d/14Bd19lYaqBhU8_DElYkX7l4wRkHqqCUFNJY4AfY3kHU/edit?usp=sharing  #gid=0"",""фіз особи new!relations_name_uo""),7,FALSE)
,
)
))"),"#N/A")</f>
        <v>#N/A</v>
      </c>
      <c r="J6649" s="7" t="s">
        <v>17</v>
      </c>
    </row>
    <row r="6650" spans="1:10" ht="13.2">
      <c r="A6650" s="7">
        <v>6649</v>
      </c>
      <c r="B6650" s="7">
        <v>1</v>
      </c>
      <c r="C6650" s="7" t="s">
        <v>10</v>
      </c>
      <c r="D6650" s="7">
        <v>6040</v>
      </c>
      <c r="E6650" s="7" t="s">
        <v>28</v>
      </c>
      <c r="F6650" s="8" t="str">
        <f ca="1">IFERROR(__xludf.DUMMYFUNCTION("IF
(
C6651=""фізична особа""
,
VLOOKUP(D6651,IMPORTRANGE(""https://docs.google.com/spreadsheets/d/14Bd19lYaqBhU8_DElYkX7l4wRkHqqCUFNJY4AfY3kHU/edit?usp=sharing  #gid=0"",""фіз особи new!relations_name""),6,FALSE)
,
(IF
(
C6651=""юридична особа""
,
VLOOKUP"&amp;"(D6651,IMPORTRANGE(""https://docs.google.com/spreadsheets/d/14Bd19lYaqBhU8_DElYkX7l4wRkHqqCUFNJY4AfY3kHU/edit?usp=sharing  #gid=0"",""фіз особи new!relations_name_uo""),7,FALSE)
,
)
))"),"АФАНАСЬЄВ Дмитро Володимирович")</f>
        <v>АФАНАСЬЄВ Дмитро Володимирович</v>
      </c>
      <c r="G6650" s="7" t="s">
        <v>10</v>
      </c>
      <c r="H6650" s="7">
        <v>4696</v>
      </c>
      <c r="I6650" s="8" t="str">
        <f ca="1">IFERROR(__xludf.DUMMYFUNCTION("IF
(
G6651=""фізична особа""
,
VLOOKUP(H6651,IMPORTRANGE(""https://docs.google.com/spreadsheets/d/14Bd19lYaqBhU8_DElYkX7l4wRkHqqCUFNJY4AfY3kHU/edit?usp=sharing  #gid=0"",""фіз особи new!relations_name""),6,FALSE)
,
(IF
(
G6651=""юридична особа""
,
VLOOKUP"&amp;"(H6651,IMPORTRANGE(""https://docs.google.com/spreadsheets/d/14Bd19lYaqBhU8_DElYkX7l4wRkHqqCUFNJY4AfY3kHU/edit?usp=sharing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6650" s="7" t="s">
        <v>29</v>
      </c>
    </row>
    <row r="6651" spans="1:10" ht="13.2">
      <c r="A6651" s="7">
        <v>6650</v>
      </c>
      <c r="B6651" s="7">
        <v>1</v>
      </c>
      <c r="C6651" s="7" t="s">
        <v>10</v>
      </c>
      <c r="D6651" s="7">
        <v>6040</v>
      </c>
      <c r="E6651" s="7" t="s">
        <v>14</v>
      </c>
      <c r="F6651" s="8" t="str">
        <f ca="1">IFERROR(__xludf.DUMMYFUNCTION("IF
(
C6652=""фізична особа""
,
VLOOKUP(D6652,IMPORTRANGE(""https://docs.google.com/spreadsheets/d/14Bd19lYaqBhU8_DElYkX7l4wRkHqqCUFNJY4AfY3kHU/edit?usp=sharing  #gid=0"",""фіз особи new!relations_name""),6,FALSE)
,
(IF
(
C6652=""юридична особа""
,
VLOOKUP"&amp;"(D6652,IMPORTRANGE(""https://docs.google.com/spreadsheets/d/14Bd19lYaqBhU8_DElYkX7l4wRkHqqCUFNJY4AfY3kHU/edit?usp=sharing  #gid=0"",""фіз особи new!relations_name_uo""),7,FALSE)
,
)
))"),"АФАНАСЬЄВ Дмитро Володимирович")</f>
        <v>АФАНАСЬЄВ Дмитро Володимирович</v>
      </c>
      <c r="G6651" s="7" t="s">
        <v>10</v>
      </c>
      <c r="H6651" s="7">
        <v>0</v>
      </c>
      <c r="I6651" s="8" t="str">
        <f ca="1">IFERROR(__xludf.DUMMYFUNCTION("IF
(
G6652=""фізична особа""
,
VLOOKUP(H6652,IMPORTRANGE(""https://docs.google.com/spreadsheets/d/14Bd19lYaqBhU8_DElYkX7l4wRkHqqCUFNJY4AfY3kHU/edit?usp=sharing  #gid=0"",""фіз особи new!relations_name""),6,FALSE)
,
(IF
(
G6652=""юридична особа""
,
VLOOKUP"&amp;"(H6652,IMPORTRANGE(""https://docs.google.com/spreadsheets/d/14Bd19lYaqBhU8_DElYkX7l4wRkHqqCUFNJY4AfY3kHU/edit?usp=sharing  #gid=0"",""фіз особи new!relations_name_uo""),7,FALSE)
,
)
))"),"#N/A")</f>
        <v>#N/A</v>
      </c>
      <c r="J6651" s="7" t="s">
        <v>15</v>
      </c>
    </row>
    <row r="6652" spans="1:10" ht="13.2">
      <c r="A6652" s="7">
        <v>6651</v>
      </c>
      <c r="B6652" s="7">
        <v>1</v>
      </c>
      <c r="C6652" s="7" t="s">
        <v>10</v>
      </c>
      <c r="D6652" s="7">
        <v>6040</v>
      </c>
      <c r="E6652" s="7" t="s">
        <v>12</v>
      </c>
      <c r="F6652" s="8" t="str">
        <f ca="1">IFERROR(__xludf.DUMMYFUNCTION("IF
(
C6653=""фізична особа""
,
VLOOKUP(D6653,IMPORTRANGE(""https://docs.google.com/spreadsheets/d/14Bd19lYaqBhU8_DElYkX7l4wRkHqqCUFNJY4AfY3kHU/edit?usp=sharing  #gid=0"",""фіз особи new!relations_name""),6,FALSE)
,
(IF
(
C6653=""юридична особа""
,
VLOOKUP"&amp;"(D6653,IMPORTRANGE(""https://docs.google.com/spreadsheets/d/14Bd19lYaqBhU8_DElYkX7l4wRkHqqCUFNJY4AfY3kHU/edit?usp=sharing  #gid=0"",""фіз особи new!relations_name_uo""),7,FALSE)
,
)
))"),"АФАНАСЬЄВ Дмитро Володимирович")</f>
        <v>АФАНАСЬЄВ Дмитро Володимирович</v>
      </c>
      <c r="G6652" s="7" t="s">
        <v>10</v>
      </c>
      <c r="H6652" s="7">
        <v>0</v>
      </c>
      <c r="I6652" s="8" t="str">
        <f ca="1">IFERROR(__xludf.DUMMYFUNCTION("IF
(
G6653=""фізична особа""
,
VLOOKUP(H6653,IMPORTRANGE(""https://docs.google.com/spreadsheets/d/14Bd19lYaqBhU8_DElYkX7l4wRkHqqCUFNJY4AfY3kHU/edit?usp=sharing  #gid=0"",""фіз особи new!relations_name""),6,FALSE)
,
(IF
(
G6653=""юридична особа""
,
VLOOKUP"&amp;"(H6653,IMPORTRANGE(""https://docs.google.com/spreadsheets/d/14Bd19lYaqBhU8_DElYkX7l4wRkHqqCUFNJY4AfY3kHU/edit?usp=sharing  #gid=0"",""фіз особи new!relations_name_uo""),7,FALSE)
,
)
))"),"#N/A")</f>
        <v>#N/A</v>
      </c>
      <c r="J6652" s="7" t="s">
        <v>13</v>
      </c>
    </row>
    <row r="6653" spans="1:10" ht="13.2">
      <c r="A6653" s="7">
        <v>6652</v>
      </c>
      <c r="B6653" s="7">
        <v>1</v>
      </c>
      <c r="C6653" s="7" t="s">
        <v>10</v>
      </c>
      <c r="D6653" s="7">
        <v>6040</v>
      </c>
      <c r="E6653" s="7" t="s">
        <v>12</v>
      </c>
      <c r="F6653" s="8" t="str">
        <f ca="1">IFERROR(__xludf.DUMMYFUNCTION("IF
(
C6654=""фізична особа""
,
VLOOKUP(D6654,IMPORTRANGE(""https://docs.google.com/spreadsheets/d/14Bd19lYaqBhU8_DElYkX7l4wRkHqqCUFNJY4AfY3kHU/edit?usp=sharing  #gid=0"",""фіз особи new!relations_name""),6,FALSE)
,
(IF
(
C6654=""юридична особа""
,
VLOOKUP"&amp;"(D6654,IMPORTRANGE(""https://docs.google.com/spreadsheets/d/14Bd19lYaqBhU8_DElYkX7l4wRkHqqCUFNJY4AfY3kHU/edit?usp=sharing  #gid=0"",""фіз особи new!relations_name_uo""),7,FALSE)
,
)
))"),"АФАНАСЬЄВ Дмитро Володимирович")</f>
        <v>АФАНАСЬЄВ Дмитро Володимирович</v>
      </c>
      <c r="G6653" s="7" t="s">
        <v>10</v>
      </c>
      <c r="H6653" s="7">
        <v>0</v>
      </c>
      <c r="I6653" s="8" t="str">
        <f ca="1">IFERROR(__xludf.DUMMYFUNCTION("IF
(
G6654=""фізична особа""
,
VLOOKUP(H6654,IMPORTRANGE(""https://docs.google.com/spreadsheets/d/14Bd19lYaqBhU8_DElYkX7l4wRkHqqCUFNJY4AfY3kHU/edit?usp=sharing  #gid=0"",""фіз особи new!relations_name""),6,FALSE)
,
(IF
(
G6654=""юридична особа""
,
VLOOKUP"&amp;"(H6654,IMPORTRANGE(""https://docs.google.com/spreadsheets/d/14Bd19lYaqBhU8_DElYkX7l4wRkHqqCUFNJY4AfY3kHU/edit?usp=sharing  #gid=0"",""фіз особи new!relations_name_uo""),7,FALSE)
,
)
))"),"#N/A")</f>
        <v>#N/A</v>
      </c>
      <c r="J6653" s="7" t="s">
        <v>13</v>
      </c>
    </row>
    <row r="6654" spans="1:10" ht="13.2">
      <c r="A6654" s="7">
        <v>6653</v>
      </c>
      <c r="B6654" s="7">
        <v>1</v>
      </c>
      <c r="C6654" s="7" t="s">
        <v>10</v>
      </c>
      <c r="D6654" s="7">
        <v>6041</v>
      </c>
      <c r="E6654" s="7" t="s">
        <v>28</v>
      </c>
      <c r="F6654" s="8" t="str">
        <f ca="1">IFERROR(__xludf.DUMMYFUNCTION("IF
(
C6655=""фізична особа""
,
VLOOKUP(D6655,IMPORTRANGE(""https://docs.google.com/spreadsheets/d/14Bd19lYaqBhU8_DElYkX7l4wRkHqqCUFNJY4AfY3kHU/edit?usp=sharing  #gid=0"",""фіз особи new!relations_name""),6,FALSE)
,
(IF
(
C6655=""юридична особа""
,
VLOOKUP"&amp;"(D6655,IMPORTRANGE(""https://docs.google.com/spreadsheets/d/14Bd19lYaqBhU8_DElYkX7l4wRkHqqCUFNJY4AfY3kHU/edit?usp=sharing  #gid=0"",""фіз особи new!relations_name_uo""),7,FALSE)
,
)
))"),"БОЧАРОВА Наталія Олександрівна")</f>
        <v>БОЧАРОВА Наталія Олександрівна</v>
      </c>
      <c r="G6654" s="7" t="s">
        <v>10</v>
      </c>
      <c r="H6654" s="7">
        <v>4696</v>
      </c>
      <c r="I6654" s="8" t="str">
        <f ca="1">IFERROR(__xludf.DUMMYFUNCTION("IF
(
G6655=""фізична особа""
,
VLOOKUP(H6655,IMPORTRANGE(""https://docs.google.com/spreadsheets/d/14Bd19lYaqBhU8_DElYkX7l4wRkHqqCUFNJY4AfY3kHU/edit?usp=sharing  #gid=0"",""фіз особи new!relations_name""),6,FALSE)
,
(IF
(
G6655=""юридична особа""
,
VLOOKUP"&amp;"(H6655,IMPORTRANGE(""https://docs.google.com/spreadsheets/d/14Bd19lYaqBhU8_DElYkX7l4wRkHqqCUFNJY4AfY3kHU/edit?usp=sharing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6654" s="7" t="s">
        <v>29</v>
      </c>
    </row>
    <row r="6655" spans="1:10" ht="13.2">
      <c r="A6655" s="7">
        <v>6654</v>
      </c>
      <c r="B6655" s="7">
        <v>1</v>
      </c>
      <c r="C6655" s="7" t="s">
        <v>10</v>
      </c>
      <c r="D6655" s="7">
        <v>6042</v>
      </c>
      <c r="E6655" s="7" t="s">
        <v>29</v>
      </c>
      <c r="F6655" s="8" t="str">
        <f ca="1">IFERROR(__xludf.DUMMYFUNCTION("IF
(
C6656=""фізична особа""
,
VLOOKUP(D6656,IMPORTRANGE(""https://docs.google.com/spreadsheets/d/14Bd19lYaqBhU8_DElYkX7l4wRkHqqCUFNJY4AfY3kHU/edit?usp=sharing  #gid=0"",""фіз особи new!relations_name""),6,FALSE)
,
(IF
(
C6656=""юридична особа""
,
VLOOKUP"&amp;"(D6656,IMPORTRANGE(""https://docs.google.com/spreadsheets/d/14Bd19lYaqBhU8_DElYkX7l4wRkHqqCUFNJY4AfY3kHU/edit?usp=sharing  #gid=0"",""фіз особи new!relations_name_uo""),7,FALSE)
,
)
))"),"ПАЛАЧОРОВ Георгі Ганчев")</f>
        <v>ПАЛАЧОРОВ Георгі Ганчев</v>
      </c>
      <c r="G6655" s="7" t="s">
        <v>10</v>
      </c>
      <c r="H6655" s="7">
        <v>0</v>
      </c>
      <c r="I6655" s="8" t="str">
        <f ca="1">IFERROR(__xludf.DUMMYFUNCTION("IF
(
G6656=""фізична особа""
,
VLOOKUP(H6656,IMPORTRANGE(""https://docs.google.com/spreadsheets/d/14Bd19lYaqBhU8_DElYkX7l4wRkHqqCUFNJY4AfY3kHU/edit?usp=sharing  #gid=0"",""фіз особи new!relations_name""),6,FALSE)
,
(IF
(
G6656=""юридична особа""
,
VLOOKUP"&amp;"(H6656,IMPORTRANGE(""https://docs.google.com/spreadsheets/d/14Bd19lYaqBhU8_DElYkX7l4wRkHqqCUFNJY4AfY3kHU/edit?usp=sharing  #gid=0"",""фіз особи new!relations_name_uo""),7,FALSE)
,
)
))"),"#N/A")</f>
        <v>#N/A</v>
      </c>
      <c r="J6655" s="7" t="s">
        <v>28</v>
      </c>
    </row>
    <row r="6656" spans="1:10" ht="13.2">
      <c r="A6656" s="7">
        <v>6655</v>
      </c>
      <c r="B6656" s="7">
        <v>1</v>
      </c>
      <c r="C6656" s="7" t="s">
        <v>10</v>
      </c>
      <c r="D6656" s="7">
        <v>6060</v>
      </c>
      <c r="E6656" s="7" t="s">
        <v>29</v>
      </c>
      <c r="F6656" s="8" t="str">
        <f ca="1">IFERROR(__xludf.DUMMYFUNCTION("IF
(
C6657=""фізична особа""
,
VLOOKUP(D6657,IMPORTRANGE(""https://docs.google.com/spreadsheets/d/14Bd19lYaqBhU8_DElYkX7l4wRkHqqCUFNJY4AfY3kHU/edit?usp=sharing  #gid=0"",""фіз особи new!relations_name""),6,FALSE)
,
(IF
(
C6657=""юридична особа""
,
VLOOKUP"&amp;"(D6657,IMPORTRANGE(""https://docs.google.com/spreadsheets/d/14Bd19lYaqBhU8_DElYkX7l4wRkHqqCUFNJY4AfY3kHU/edit?usp=sharing  #gid=0"",""фіз особи new!relations_name_uo""),7,FALSE)
,
)
))"),"МАЦ Григорій Моісеєвич")</f>
        <v>МАЦ Григорій Моісеєвич</v>
      </c>
      <c r="G6656" s="7" t="s">
        <v>10</v>
      </c>
      <c r="H6656" s="7">
        <v>8307</v>
      </c>
      <c r="I6656" s="8" t="str">
        <f ca="1">IFERROR(__xludf.DUMMYFUNCTION("IF
(
G6657=""фізична особа""
,
VLOOKUP(H6657,IMPORTRANGE(""https://docs.google.com/spreadsheets/d/14Bd19lYaqBhU8_DElYkX7l4wRkHqqCUFNJY4AfY3kHU/edit?usp=sharing  #gid=0"",""фіз особи new!relations_name""),6,FALSE)
,
(IF
(
G6657=""юридична особа""
,
VLOOKUP"&amp;"(H6657,IMPORTRANGE(""https://docs.google.com/spreadsheets/d/14Bd19lYaqBhU8_DElYkX7l4wRkHqqCUFNJY4AfY3kHU/edit?usp=sharing  #gid=0"",""фіз особи new!relations_name_uo""),7,FALSE)
,
)
))"),"ПОГУДІН Олександр Вікторович")</f>
        <v>ПОГУДІН Олександр Вікторович</v>
      </c>
      <c r="J6656" s="7" t="s">
        <v>28</v>
      </c>
    </row>
    <row r="6657" spans="1:10" ht="13.2">
      <c r="A6657" s="7">
        <v>6656</v>
      </c>
      <c r="B6657" s="7">
        <v>1</v>
      </c>
      <c r="C6657" s="7" t="s">
        <v>10</v>
      </c>
      <c r="D6657" s="7">
        <v>6063</v>
      </c>
      <c r="E6657" s="7" t="s">
        <v>29</v>
      </c>
      <c r="F6657" s="8" t="str">
        <f ca="1">IFERROR(__xludf.DUMMYFUNCTION("IF
(
C6658=""фізична особа""
,
VLOOKUP(D6658,IMPORTRANGE(""https://docs.google.com/spreadsheets/d/14Bd19lYaqBhU8_DElYkX7l4wRkHqqCUFNJY4AfY3kHU/edit?usp=sharing  #gid=0"",""фіз особи new!relations_name""),6,FALSE)
,
(IF
(
C6658=""юридична особа""
,
VLOOKUP"&amp;"(D6658,IMPORTRANGE(""https://docs.google.com/spreadsheets/d/14Bd19lYaqBhU8_DElYkX7l4wRkHqqCUFNJY4AfY3kHU/edit?usp=sharing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G6657" s="7" t="s">
        <v>10</v>
      </c>
      <c r="H6657" s="7">
        <v>0</v>
      </c>
      <c r="I6657" s="8" t="str">
        <f ca="1">IFERROR(__xludf.DUMMYFUNCTION("IF
(
G6658=""фізична особа""
,
VLOOKUP(H6658,IMPORTRANGE(""https://docs.google.com/spreadsheets/d/14Bd19lYaqBhU8_DElYkX7l4wRkHqqCUFNJY4AfY3kHU/edit?usp=sharing  #gid=0"",""фіз особи new!relations_name""),6,FALSE)
,
(IF
(
G6658=""юридична особа""
,
VLOOKUP"&amp;"(H6658,IMPORTRANGE(""https://docs.google.com/spreadsheets/d/14Bd19lYaqBhU8_DElYkX7l4wRkHqqCUFNJY4AfY3kHU/edit?usp=sharing  #gid=0"",""фіз особи new!relations_name_uo""),7,FALSE)
,
)
))"),"#N/A")</f>
        <v>#N/A</v>
      </c>
      <c r="J6657" s="7" t="s">
        <v>28</v>
      </c>
    </row>
    <row r="6658" spans="1:10" ht="13.2">
      <c r="A6658" s="7">
        <v>6657</v>
      </c>
      <c r="B6658" s="7">
        <v>1</v>
      </c>
      <c r="C6658" s="7" t="s">
        <v>10</v>
      </c>
      <c r="D6658" s="7">
        <v>6063</v>
      </c>
      <c r="E6658" s="7" t="s">
        <v>29</v>
      </c>
      <c r="F6658" s="8" t="str">
        <f ca="1">IFERROR(__xludf.DUMMYFUNCTION("IF
(
C6659=""фізична особа""
,
VLOOKUP(D6659,IMPORTRANGE(""https://docs.google.com/spreadsheets/d/14Bd19lYaqBhU8_DElYkX7l4wRkHqqCUFNJY4AfY3kHU/edit?usp=sharing  #gid=0"",""фіз особи new!relations_name""),6,FALSE)
,
(IF
(
C6659=""юридична особа""
,
VLOOKUP"&amp;"(D6659,IMPORTRANGE(""https://docs.google.com/spreadsheets/d/14Bd19lYaqBhU8_DElYkX7l4wRkHqqCUFNJY4AfY3kHU/edit?usp=sharing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G6658" s="7" t="s">
        <v>10</v>
      </c>
      <c r="H6658" s="7">
        <v>0</v>
      </c>
      <c r="I6658" s="8" t="str">
        <f ca="1">IFERROR(__xludf.DUMMYFUNCTION("IF
(
G6659=""фізична особа""
,
VLOOKUP(H6659,IMPORTRANGE(""https://docs.google.com/spreadsheets/d/14Bd19lYaqBhU8_DElYkX7l4wRkHqqCUFNJY4AfY3kHU/edit?usp=sharing  #gid=0"",""фіз особи new!relations_name""),6,FALSE)
,
(IF
(
G6659=""юридична особа""
,
VLOOKUP"&amp;"(H6659,IMPORTRANGE(""https://docs.google.com/spreadsheets/d/14Bd19lYaqBhU8_DElYkX7l4wRkHqqCUFNJY4AfY3kHU/edit?usp=sharing  #gid=0"",""фіз особи new!relations_name_uo""),7,FALSE)
,
)
))"),"#N/A")</f>
        <v>#N/A</v>
      </c>
      <c r="J6658" s="7" t="s">
        <v>28</v>
      </c>
    </row>
    <row r="6659" spans="1:10" ht="13.2">
      <c r="A6659" s="7">
        <v>6658</v>
      </c>
      <c r="B6659" s="7">
        <v>1</v>
      </c>
      <c r="C6659" s="7" t="s">
        <v>10</v>
      </c>
      <c r="D6659" s="7">
        <v>6063</v>
      </c>
      <c r="E6659" s="7" t="s">
        <v>29</v>
      </c>
      <c r="F6659" s="8" t="str">
        <f ca="1">IFERROR(__xludf.DUMMYFUNCTION("IF
(
C6660=""фізична особа""
,
VLOOKUP(D6660,IMPORTRANGE(""https://docs.google.com/spreadsheets/d/14Bd19lYaqBhU8_DElYkX7l4wRkHqqCUFNJY4AfY3kHU/edit?usp=sharing  #gid=0"",""фіз особи new!relations_name""),6,FALSE)
,
(IF
(
C6660=""юридична особа""
,
VLOOKUP"&amp;"(D6660,IMPORTRANGE(""https://docs.google.com/spreadsheets/d/14Bd19lYaqBhU8_DElYkX7l4wRkHqqCUFNJY4AfY3kHU/edit?usp=sharing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G6659" s="7" t="s">
        <v>10</v>
      </c>
      <c r="H6659" s="7">
        <v>0</v>
      </c>
      <c r="I6659" s="8" t="str">
        <f ca="1">IFERROR(__xludf.DUMMYFUNCTION("IF
(
G6660=""фізична особа""
,
VLOOKUP(H6660,IMPORTRANGE(""https://docs.google.com/spreadsheets/d/14Bd19lYaqBhU8_DElYkX7l4wRkHqqCUFNJY4AfY3kHU/edit?usp=sharing  #gid=0"",""фіз особи new!relations_name""),6,FALSE)
,
(IF
(
G6660=""юридична особа""
,
VLOOKUP"&amp;"(H6660,IMPORTRANGE(""https://docs.google.com/spreadsheets/d/14Bd19lYaqBhU8_DElYkX7l4wRkHqqCUFNJY4AfY3kHU/edit?usp=sharing  #gid=0"",""фіз особи new!relations_name_uo""),7,FALSE)
,
)
))"),"#N/A")</f>
        <v>#N/A</v>
      </c>
      <c r="J6659" s="7" t="s">
        <v>28</v>
      </c>
    </row>
    <row r="6660" spans="1:10" ht="13.2">
      <c r="A6660" s="7">
        <v>6659</v>
      </c>
      <c r="B6660" s="7">
        <v>1</v>
      </c>
      <c r="C6660" s="7" t="s">
        <v>10</v>
      </c>
      <c r="D6660" s="7">
        <v>6063</v>
      </c>
      <c r="E6660" s="7" t="s">
        <v>29</v>
      </c>
      <c r="F6660" s="8" t="str">
        <f ca="1">IFERROR(__xludf.DUMMYFUNCTION("IF
(
C6661=""фізична особа""
,
VLOOKUP(D6661,IMPORTRANGE(""https://docs.google.com/spreadsheets/d/14Bd19lYaqBhU8_DElYkX7l4wRkHqqCUFNJY4AfY3kHU/edit?usp=sharing  #gid=0"",""фіз особи new!relations_name""),6,FALSE)
,
(IF
(
C6661=""юридична особа""
,
VLOOKUP"&amp;"(D6661,IMPORTRANGE(""https://docs.google.com/spreadsheets/d/14Bd19lYaqBhU8_DElYkX7l4wRkHqqCUFNJY4AfY3kHU/edit?usp=sharing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G6660" s="7" t="s">
        <v>10</v>
      </c>
      <c r="H6660" s="7">
        <v>0</v>
      </c>
      <c r="I6660" s="8" t="str">
        <f ca="1">IFERROR(__xludf.DUMMYFUNCTION("IF
(
G6661=""фізична особа""
,
VLOOKUP(H6661,IMPORTRANGE(""https://docs.google.com/spreadsheets/d/14Bd19lYaqBhU8_DElYkX7l4wRkHqqCUFNJY4AfY3kHU/edit?usp=sharing  #gid=0"",""фіз особи new!relations_name""),6,FALSE)
,
(IF
(
G6661=""юридична особа""
,
VLOOKUP"&amp;"(H6661,IMPORTRANGE(""https://docs.google.com/spreadsheets/d/14Bd19lYaqBhU8_DElYkX7l4wRkHqqCUFNJY4AfY3kHU/edit?usp=sharing  #gid=0"",""фіз особи new!relations_name_uo""),7,FALSE)
,
)
))"),"#N/A")</f>
        <v>#N/A</v>
      </c>
      <c r="J6660" s="7" t="s">
        <v>28</v>
      </c>
    </row>
    <row r="6661" spans="1:10" ht="13.2">
      <c r="A6661" s="7">
        <v>6660</v>
      </c>
      <c r="B6661" s="7">
        <v>1</v>
      </c>
      <c r="C6661" s="7" t="s">
        <v>10</v>
      </c>
      <c r="D6661" s="7">
        <v>6064</v>
      </c>
      <c r="E6661" s="7" t="s">
        <v>104</v>
      </c>
      <c r="F6661" s="8" t="str">
        <f ca="1">IFERROR(__xludf.DUMMYFUNCTION("IF
(
C6662=""фізична особа""
,
VLOOKUP(D6662,IMPORTRANGE(""https://docs.google.com/spreadsheets/d/14Bd19lYaqBhU8_DElYkX7l4wRkHqqCUFNJY4AfY3kHU/edit?usp=sharing  #gid=0"",""фіз особи new!relations_name""),6,FALSE)
,
(IF
(
C6662=""юридична особа""
,
VLOOKUP"&amp;"(D6662,IMPORTRANGE(""https://docs.google.com/spreadsheets/d/14Bd19lYaqBhU8_DElYkX7l4wRkHqqCUFNJY4AfY3kHU/edit?usp=sharing  #gid=0"",""фіз особи new!relations_name_uo""),7,FALSE)
,
)
))"),"ІСЛАНОВ Руслан Омарасхабович")</f>
        <v>ІСЛАНОВ Руслан Омарасхабович</v>
      </c>
      <c r="G6661" s="7" t="s">
        <v>10</v>
      </c>
      <c r="H6661" s="7">
        <v>0</v>
      </c>
      <c r="I6661" s="8" t="str">
        <f ca="1">IFERROR(__xludf.DUMMYFUNCTION("IF
(
G6662=""фізична особа""
,
VLOOKUP(H6662,IMPORTRANGE(""https://docs.google.com/spreadsheets/d/14Bd19lYaqBhU8_DElYkX7l4wRkHqqCUFNJY4AfY3kHU/edit?usp=sharing  #gid=0"",""фіз особи new!relations_name""),6,FALSE)
,
(IF
(
G6662=""юридична особа""
,
VLOOKUP"&amp;"(H6662,IMPORTRANGE(""https://docs.google.com/spreadsheets/d/14Bd19lYaqBhU8_DElYkX7l4wRkHqqCUFNJY4AfY3kHU/edit?usp=sharing  #gid=0"",""фіз особи new!relations_name_uo""),7,FALSE)
,
)
))"),"#N/A")</f>
        <v>#N/A</v>
      </c>
      <c r="J6661" s="7" t="s">
        <v>29</v>
      </c>
    </row>
    <row r="6662" spans="1:10" ht="13.2">
      <c r="A6662" s="7">
        <v>6661</v>
      </c>
      <c r="B6662" s="7">
        <v>1</v>
      </c>
      <c r="C6662" s="7" t="s">
        <v>10</v>
      </c>
      <c r="D6662" s="7">
        <v>6064</v>
      </c>
      <c r="E6662" s="7" t="s">
        <v>104</v>
      </c>
      <c r="F6662" s="8" t="str">
        <f ca="1">IFERROR(__xludf.DUMMYFUNCTION("IF
(
C6663=""фізична особа""
,
VLOOKUP(D6663,IMPORTRANGE(""https://docs.google.com/spreadsheets/d/14Bd19lYaqBhU8_DElYkX7l4wRkHqqCUFNJY4AfY3kHU/edit?usp=sharing  #gid=0"",""фіз особи new!relations_name""),6,FALSE)
,
(IF
(
C6663=""юридична особа""
,
VLOOKUP"&amp;"(D6663,IMPORTRANGE(""https://docs.google.com/spreadsheets/d/14Bd19lYaqBhU8_DElYkX7l4wRkHqqCUFNJY4AfY3kHU/edit?usp=sharing  #gid=0"",""фіз особи new!relations_name_uo""),7,FALSE)
,
)
))"),"ІСЛАНОВ Руслан Омарасхабович")</f>
        <v>ІСЛАНОВ Руслан Омарасхабович</v>
      </c>
      <c r="G6662" s="7" t="s">
        <v>10</v>
      </c>
      <c r="H6662" s="7">
        <v>0</v>
      </c>
      <c r="I6662" s="8" t="str">
        <f ca="1">IFERROR(__xludf.DUMMYFUNCTION("IF
(
G6663=""фізична особа""
,
VLOOKUP(H6663,IMPORTRANGE(""https://docs.google.com/spreadsheets/d/14Bd19lYaqBhU8_DElYkX7l4wRkHqqCUFNJY4AfY3kHU/edit?usp=sharing  #gid=0"",""фіз особи new!relations_name""),6,FALSE)
,
(IF
(
G6663=""юридична особа""
,
VLOOKUP"&amp;"(H6663,IMPORTRANGE(""https://docs.google.com/spreadsheets/d/14Bd19lYaqBhU8_DElYkX7l4wRkHqqCUFNJY4AfY3kHU/edit?usp=sharing  #gid=0"",""фіз особи new!relations_name_uo""),7,FALSE)
,
)
))"),"#N/A")</f>
        <v>#N/A</v>
      </c>
      <c r="J6662" s="7" t="s">
        <v>29</v>
      </c>
    </row>
    <row r="6663" spans="1:10" ht="13.2">
      <c r="A6663" s="7">
        <v>6662</v>
      </c>
      <c r="B6663" s="7">
        <v>1</v>
      </c>
      <c r="C6663" s="7" t="s">
        <v>10</v>
      </c>
      <c r="D6663" s="7">
        <v>6064</v>
      </c>
      <c r="E6663" s="7" t="s">
        <v>28</v>
      </c>
      <c r="F6663" s="8" t="str">
        <f ca="1">IFERROR(__xludf.DUMMYFUNCTION("IF
(
C6664=""фізична особа""
,
VLOOKUP(D6664,IMPORTRANGE(""https://docs.google.com/spreadsheets/d/14Bd19lYaqBhU8_DElYkX7l4wRkHqqCUFNJY4AfY3kHU/edit?usp=sharing  #gid=0"",""фіз особи new!relations_name""),6,FALSE)
,
(IF
(
C6664=""юридична особа""
,
VLOOKUP"&amp;"(D6664,IMPORTRANGE(""https://docs.google.com/spreadsheets/d/14Bd19lYaqBhU8_DElYkX7l4wRkHqqCUFNJY4AfY3kHU/edit?usp=sharing  #gid=0"",""фіз особи new!relations_name_uo""),7,FALSE)
,
)
))"),"ІСЛАНОВ Руслан Омарасхабович")</f>
        <v>ІСЛАНОВ Руслан Омарасхабович</v>
      </c>
      <c r="G6663" s="7" t="s">
        <v>10</v>
      </c>
      <c r="H6663" s="7">
        <v>6063</v>
      </c>
      <c r="I6663" s="8" t="str">
        <f ca="1">IFERROR(__xludf.DUMMYFUNCTION("IF
(
G6664=""фізична особа""
,
VLOOKUP(H6664,IMPORTRANGE(""https://docs.google.com/spreadsheets/d/14Bd19lYaqBhU8_DElYkX7l4wRkHqqCUFNJY4AfY3kHU/edit?usp=sharing  #gid=0"",""фіз особи new!relations_name""),6,FALSE)
,
(IF
(
G6664=""юридична особа""
,
VLOOKUP"&amp;"(H6664,IMPORTRANGE(""https://docs.google.com/spreadsheets/d/14Bd19lYaqBhU8_DElYkX7l4wRkHqqCUFNJY4AfY3kHU/edit?usp=sharing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J6663" s="7" t="s">
        <v>29</v>
      </c>
    </row>
    <row r="6664" spans="1:10" ht="13.2">
      <c r="A6664" s="7">
        <v>6663</v>
      </c>
      <c r="B6664" s="7">
        <v>1</v>
      </c>
      <c r="C6664" s="7" t="s">
        <v>10</v>
      </c>
      <c r="D6664" s="7">
        <v>6065</v>
      </c>
      <c r="E6664" s="7" t="s">
        <v>28</v>
      </c>
      <c r="F6664" s="8" t="str">
        <f ca="1">IFERROR(__xludf.DUMMYFUNCTION("IF
(
C6665=""фізична особа""
,
VLOOKUP(D6665,IMPORTRANGE(""https://docs.google.com/spreadsheets/d/14Bd19lYaqBhU8_DElYkX7l4wRkHqqCUFNJY4AfY3kHU/edit?usp=sharing  #gid=0"",""фіз особи new!relations_name""),6,FALSE)
,
(IF
(
C6665=""юридична особа""
,
VLOOKUP"&amp;"(D6665,IMPORTRANGE(""https://docs.google.com/spreadsheets/d/14Bd19lYaqBhU8_DElYkX7l4wRkHqqCUFNJY4AfY3kHU/edit?usp=sharing  #gid=0"",""фіз особи new!relations_name_uo""),7,FALSE)
,
)
))"),"АБДУЛАЗІЗОВА Хаміс Ісбагіївна")</f>
        <v>АБДУЛАЗІЗОВА Хаміс Ісбагіївна</v>
      </c>
      <c r="G6664" s="7" t="s">
        <v>10</v>
      </c>
      <c r="H6664" s="7">
        <v>6063</v>
      </c>
      <c r="I6664" s="8" t="str">
        <f ca="1">IFERROR(__xludf.DUMMYFUNCTION("IF
(
G6665=""фізична особа""
,
VLOOKUP(H6665,IMPORTRANGE(""https://docs.google.com/spreadsheets/d/14Bd19lYaqBhU8_DElYkX7l4wRkHqqCUFNJY4AfY3kHU/edit?usp=sharing  #gid=0"",""фіз особи new!relations_name""),6,FALSE)
,
(IF
(
G6665=""юридична особа""
,
VLOOKUP"&amp;"(H6665,IMPORTRANGE(""https://docs.google.com/spreadsheets/d/14Bd19lYaqBhU8_DElYkX7l4wRkHqqCUFNJY4AfY3kHU/edit?usp=sharing  #gid=0"",""фіз особи new!relations_name_uo""),7,FALSE)
,
)
))"),"АБДУРАХМАНОВ Кайтмаз Абдурахманович")</f>
        <v>АБДУРАХМАНОВ Кайтмаз Абдурахманович</v>
      </c>
      <c r="J6664" s="7" t="s">
        <v>29</v>
      </c>
    </row>
    <row r="6665" spans="1:10" ht="13.2">
      <c r="A6665" s="7">
        <v>6664</v>
      </c>
      <c r="B6665" s="7">
        <v>1</v>
      </c>
      <c r="C6665" s="7" t="s">
        <v>10</v>
      </c>
      <c r="D6665" s="7">
        <v>6076</v>
      </c>
      <c r="E6665" s="7" t="s">
        <v>29</v>
      </c>
      <c r="F6665" s="8" t="str">
        <f ca="1">IFERROR(__xludf.DUMMYFUNCTION("IF
(
C6666=""фізична особа""
,
VLOOKUP(D6666,IMPORTRANGE(""https://docs.google.com/spreadsheets/d/14Bd19lYaqBhU8_DElYkX7l4wRkHqqCUFNJY4AfY3kHU/edit?usp=sharing  #gid=0"",""фіз особи new!relations_name""),6,FALSE)
,
(IF
(
C6666=""юридична особа""
,
VLOOKUP"&amp;"(D6666,IMPORTRANGE(""https://docs.google.com/spreadsheets/d/14Bd19lYaqBhU8_DElYkX7l4wRkHqqCUFNJY4AfY3kHU/edit?usp=sharing  #gid=0"",""фіз особи new!relations_name_uo""),7,FALSE)
,
)
))"),"МАЛЬКОВСЬКА Марія Олександрівна")</f>
        <v>МАЛЬКОВСЬКА Марія Олександрівна</v>
      </c>
      <c r="G6665" s="7" t="s">
        <v>10</v>
      </c>
      <c r="H6665" s="7">
        <v>0</v>
      </c>
      <c r="I6665" s="8" t="str">
        <f ca="1">IFERROR(__xludf.DUMMYFUNCTION("IF
(
G6666=""фізична особа""
,
VLOOKUP(H6666,IMPORTRANGE(""https://docs.google.com/spreadsheets/d/14Bd19lYaqBhU8_DElYkX7l4wRkHqqCUFNJY4AfY3kHU/edit?usp=sharing  #gid=0"",""фіз особи new!relations_name""),6,FALSE)
,
(IF
(
G6666=""юридична особа""
,
VLOOKUP"&amp;"(H6666,IMPORTRANGE(""https://docs.google.com/spreadsheets/d/14Bd19lYaqBhU8_DElYkX7l4wRkHqqCUFNJY4AfY3kHU/edit?usp=sharing  #gid=0"",""фіз особи new!relations_name_uo""),7,FALSE)
,
)
))"),"#N/A")</f>
        <v>#N/A</v>
      </c>
      <c r="J6665" s="7" t="s">
        <v>104</v>
      </c>
    </row>
    <row r="6666" spans="1:10" ht="13.2">
      <c r="A6666" s="7">
        <v>6665</v>
      </c>
      <c r="B6666" s="7">
        <v>1</v>
      </c>
      <c r="C6666" s="7" t="s">
        <v>10</v>
      </c>
      <c r="D6666" s="7">
        <v>6076</v>
      </c>
      <c r="E6666" s="7" t="s">
        <v>30</v>
      </c>
      <c r="F6666" s="8" t="str">
        <f ca="1">IFERROR(__xludf.DUMMYFUNCTION("IF
(
C6667=""фізична особа""
,
VLOOKUP(D6667,IMPORTRANGE(""https://docs.google.com/spreadsheets/d/14Bd19lYaqBhU8_DElYkX7l4wRkHqqCUFNJY4AfY3kHU/edit?usp=sharing  #gid=0"",""фіз особи new!relations_name""),6,FALSE)
,
(IF
(
C6667=""юридична особа""
,
VLOOKUP"&amp;"(D6667,IMPORTRANGE(""https://docs.google.com/spreadsheets/d/14Bd19lYaqBhU8_DElYkX7l4wRkHqqCUFNJY4AfY3kHU/edit?usp=sharing  #gid=0"",""фіз особи new!relations_name_uo""),7,FALSE)
,
)
))"),"МАЛЬКОВСЬКА Марія Олександрівна")</f>
        <v>МАЛЬКОВСЬКА Марія Олександрівна</v>
      </c>
      <c r="G6666" s="7" t="s">
        <v>10</v>
      </c>
      <c r="H6666" s="7">
        <v>0</v>
      </c>
      <c r="I6666" s="8" t="str">
        <f ca="1">IFERROR(__xludf.DUMMYFUNCTION("IF
(
G6667=""фізична особа""
,
VLOOKUP(H6667,IMPORTRANGE(""https://docs.google.com/spreadsheets/d/14Bd19lYaqBhU8_DElYkX7l4wRkHqqCUFNJY4AfY3kHU/edit?usp=sharing  #gid=0"",""фіз особи new!relations_name""),6,FALSE)
,
(IF
(
G6667=""юридична особа""
,
VLOOKUP"&amp;"(H6667,IMPORTRANGE(""https://docs.google.com/spreadsheets/d/14Bd19lYaqBhU8_DElYkX7l4wRkHqqCUFNJY4AfY3kHU/edit?usp=sharing  #gid=0"",""фіз особи new!relations_name_uo""),7,FALSE)
,
)
))"),"#N/A")</f>
        <v>#N/A</v>
      </c>
      <c r="J6666" s="7" t="s">
        <v>30</v>
      </c>
    </row>
    <row r="6667" spans="1:10" ht="13.2">
      <c r="A6667" s="7">
        <v>6666</v>
      </c>
      <c r="B6667" s="7">
        <v>1</v>
      </c>
      <c r="C6667" s="7" t="s">
        <v>10</v>
      </c>
      <c r="D6667" s="7">
        <v>6077</v>
      </c>
      <c r="E6667" s="7" t="s">
        <v>30</v>
      </c>
      <c r="F6667" s="8" t="str">
        <f ca="1">IFERROR(__xludf.DUMMYFUNCTION("IF
(
C6668=""фізична особа""
,
VLOOKUP(D6668,IMPORTRANGE(""https://docs.google.com/spreadsheets/d/14Bd19lYaqBhU8_DElYkX7l4wRkHqqCUFNJY4AfY3kHU/edit?usp=sharing  #gid=0"",""фіз особи new!relations_name""),6,FALSE)
,
(IF
(
C6668=""юридична особа""
,
VLOOKUP"&amp;"(D6668,IMPORTRANGE(""https://docs.google.com/spreadsheets/d/14Bd19lYaqBhU8_DElYkX7l4wRkHqqCUFNJY4AfY3kHU/edit?usp=sharing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67" s="7" t="s">
        <v>10</v>
      </c>
      <c r="H6667" s="7">
        <v>23551</v>
      </c>
      <c r="I6667" s="8" t="str">
        <f ca="1">IFERROR(__xludf.DUMMYFUNCTION("IF
(
G6668=""фізична особа""
,
VLOOKUP(H6668,IMPORTRANGE(""https://docs.google.com/spreadsheets/d/14Bd19lYaqBhU8_DElYkX7l4wRkHqqCUFNJY4AfY3kHU/edit?usp=sharing  #gid=0"",""фіз особи new!relations_name""),6,FALSE)
,
(IF
(
G6668=""юридична особа""
,
VLOOKUP"&amp;"(H6668,IMPORTRANGE(""https://docs.google.com/spreadsheets/d/14Bd19lYaqBhU8_DElYkX7l4wRkHqqCUFNJY4AfY3kHU/edit?usp=sharing  #gid=0"",""фіз особи new!relations_name_uo""),7,FALSE)
,
)
))"),"ЦИСЬ Ніна Олександрівна")</f>
        <v>ЦИСЬ Ніна Олександрівна</v>
      </c>
      <c r="J6667" s="7" t="s">
        <v>30</v>
      </c>
    </row>
    <row r="6668" spans="1:10" ht="13.2">
      <c r="A6668" s="7">
        <v>6667</v>
      </c>
      <c r="B6668" s="7">
        <v>1</v>
      </c>
      <c r="C6668" s="7" t="s">
        <v>10</v>
      </c>
      <c r="D6668" s="11">
        <v>6077</v>
      </c>
      <c r="E6668" s="11" t="s">
        <v>12</v>
      </c>
      <c r="F6668" s="8" t="str">
        <f ca="1">IFERROR(__xludf.DUMMYFUNCTION("IF
(
C6669=""фізична особа""
,
VLOOKUP(D6669,IMPORTRANGE(""https://docs.google.com/spreadsheets/d/14Bd19lYaqBhU8_DElYkX7l4wRkHqqCUFNJY4AfY3kHU/edit?usp=sharing  #gid=0"",""фіз особи new!relations_name""),6,FALSE)
,
(IF
(
C6669=""юридична особа""
,
VLOOKUP"&amp;"(D6669,IMPORTRANGE(""https://docs.google.com/spreadsheets/d/14Bd19lYaqBhU8_DElYkX7l4wRkHqqCUFNJY4AfY3kHU/edit?usp=sharing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68" s="7" t="s">
        <v>10</v>
      </c>
      <c r="H6668" s="11">
        <v>6080</v>
      </c>
      <c r="I6668" s="8" t="str">
        <f ca="1">IFERROR(__xludf.DUMMYFUNCTION("IF
(
G6669=""фізична особа""
,
VLOOKUP(H6669,IMPORTRANGE(""https://docs.google.com/spreadsheets/d/14Bd19lYaqBhU8_DElYkX7l4wRkHqqCUFNJY4AfY3kHU/edit?usp=sharing  #gid=0"",""фіз особи new!relations_name""),6,FALSE)
,
(IF
(
G6669=""юридична особа""
,
VLOOKUP"&amp;"(H6669,IMPORTRANGE(""https://docs.google.com/spreadsheets/d/14Bd19lYaqBhU8_DElYkX7l4wRkHqqCUFNJY4AfY3kHU/edit?usp=sharing  #gid=0"",""фіз особи new!relations_name_uo""),7,FALSE)
,
)
))"),"ЦИСЬ Сергій Олександрович")</f>
        <v>ЦИСЬ Сергій Олександрович</v>
      </c>
      <c r="J6668" s="11" t="s">
        <v>17</v>
      </c>
    </row>
    <row r="6669" spans="1:10" ht="13.2">
      <c r="A6669" s="7">
        <v>6668</v>
      </c>
      <c r="B6669" s="7">
        <v>1</v>
      </c>
      <c r="C6669" s="7" t="s">
        <v>10</v>
      </c>
      <c r="D6669" s="7">
        <v>6077</v>
      </c>
      <c r="E6669" s="7" t="s">
        <v>30</v>
      </c>
      <c r="F6669" s="8" t="str">
        <f ca="1">IFERROR(__xludf.DUMMYFUNCTION("IF
(
C6670=""фізична особа""
,
VLOOKUP(D6670,IMPORTRANGE(""https://docs.google.com/spreadsheets/d/14Bd19lYaqBhU8_DElYkX7l4wRkHqqCUFNJY4AfY3kHU/edit?usp=sharing  #gid=0"",""фіз особи new!relations_name""),6,FALSE)
,
(IF
(
C6670=""юридична особа""
,
VLOOKUP"&amp;"(D6670,IMPORTRANGE(""https://docs.google.com/spreadsheets/d/14Bd19lYaqBhU8_DElYkX7l4wRkHqqCUFNJY4AfY3kHU/edit?usp=sharing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69" s="7" t="s">
        <v>10</v>
      </c>
      <c r="H6669" s="7">
        <v>23552</v>
      </c>
      <c r="I6669" s="8" t="str">
        <f ca="1">IFERROR(__xludf.DUMMYFUNCTION("IF
(
G6670=""фізична особа""
,
VLOOKUP(H6670,IMPORTRANGE(""https://docs.google.com/spreadsheets/d/14Bd19lYaqBhU8_DElYkX7l4wRkHqqCUFNJY4AfY3kHU/edit?usp=sharing  #gid=0"",""фіз особи new!relations_name""),6,FALSE)
,
(IF
(
G6670=""юридична особа""
,
VLOOKUP"&amp;"(H6670,IMPORTRANGE(""https://docs.google.com/spreadsheets/d/14Bd19lYaqBhU8_DElYkX7l4wRkHqqCUFNJY4AfY3kHU/edit?usp=sharing  #gid=0"",""фіз особи new!relations_name_uo""),7,FALSE)
,
)
))"),"ГАЙРБЕКОВ Хож")</f>
        <v>ГАЙРБЕКОВ Хож</v>
      </c>
      <c r="J6669" s="7" t="s">
        <v>30</v>
      </c>
    </row>
    <row r="6670" spans="1:10" ht="13.2">
      <c r="A6670" s="7">
        <v>6669</v>
      </c>
      <c r="B6670" s="7">
        <v>1</v>
      </c>
      <c r="C6670" s="7" t="s">
        <v>10</v>
      </c>
      <c r="D6670" s="7">
        <v>6077</v>
      </c>
      <c r="E6670" s="7" t="s">
        <v>30</v>
      </c>
      <c r="F6670" s="8" t="str">
        <f ca="1">IFERROR(__xludf.DUMMYFUNCTION("IF
(
C6671=""фізична особа""
,
VLOOKUP(D6671,IMPORTRANGE(""https://docs.google.com/spreadsheets/d/14Bd19lYaqBhU8_DElYkX7l4wRkHqqCUFNJY4AfY3kHU/edit?usp=sharing  #gid=0"",""фіз особи new!relations_name""),6,FALSE)
,
(IF
(
C6671=""юридична особа""
,
VLOOKUP"&amp;"(D6671,IMPORTRANGE(""https://docs.google.com/spreadsheets/d/14Bd19lYaqBhU8_DElYkX7l4wRkHqqCUFNJY4AfY3kHU/edit?usp=sharing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70" s="7" t="s">
        <v>10</v>
      </c>
      <c r="H6670" s="7">
        <v>23553</v>
      </c>
      <c r="I6670" s="8" t="str">
        <f ca="1">IFERROR(__xludf.DUMMYFUNCTION("IF
(
G6671=""фізична особа""
,
VLOOKUP(H6671,IMPORTRANGE(""https://docs.google.com/spreadsheets/d/14Bd19lYaqBhU8_DElYkX7l4wRkHqqCUFNJY4AfY3kHU/edit?usp=sharing  #gid=0"",""фіз особи new!relations_name""),6,FALSE)
,
(IF
(
G6671=""юридична особа""
,
VLOOKUP"&amp;"(H6671,IMPORTRANGE(""https://docs.google.com/spreadsheets/d/14Bd19lYaqBhU8_DElYkX7l4wRkHqqCUFNJY4AfY3kHU/edit?usp=sharing  #gid=0"",""фіз особи new!relations_name_uo""),7,FALSE)
,
)
))"),"МУРОМСЬКИЙ Андрій Вікторович")</f>
        <v>МУРОМСЬКИЙ Андрій Вікторович</v>
      </c>
      <c r="J6670" s="7" t="s">
        <v>30</v>
      </c>
    </row>
    <row r="6671" spans="1:10" ht="13.2">
      <c r="A6671" s="7">
        <v>6670</v>
      </c>
      <c r="B6671" s="7">
        <v>1</v>
      </c>
      <c r="C6671" s="7" t="s">
        <v>10</v>
      </c>
      <c r="D6671" s="7">
        <v>6077</v>
      </c>
      <c r="E6671" s="7" t="s">
        <v>29</v>
      </c>
      <c r="F6671" s="8" t="str">
        <f ca="1">IFERROR(__xludf.DUMMYFUNCTION("IF
(
C6672=""фізична особа""
,
VLOOKUP(D6672,IMPORTRANGE(""https://docs.google.com/spreadsheets/d/14Bd19lYaqBhU8_DElYkX7l4wRkHqqCUFNJY4AfY3kHU/edit?usp=sharing  #gid=0"",""фіз особи new!relations_name""),6,FALSE)
,
(IF
(
C6672=""юридична особа""
,
VLOOKUP"&amp;"(D6672,IMPORTRANGE(""https://docs.google.com/spreadsheets/d/14Bd19lYaqBhU8_DElYkX7l4wRkHqqCUFNJY4AfY3kHU/edit?usp=sharing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71" s="7" t="s">
        <v>10</v>
      </c>
      <c r="H6671" s="7">
        <v>6081</v>
      </c>
      <c r="I6671" s="8" t="str">
        <f ca="1">IFERROR(__xludf.DUMMYFUNCTION("IF
(
G6672=""фізична особа""
,
VLOOKUP(H6672,IMPORTRANGE(""https://docs.google.com/spreadsheets/d/14Bd19lYaqBhU8_DElYkX7l4wRkHqqCUFNJY4AfY3kHU/edit?usp=sharing  #gid=0"",""фіз особи new!relations_name""),6,FALSE)
,
(IF
(
G6672=""юридична особа""
,
VLOOKUP"&amp;"(H6672,IMPORTRANGE(""https://docs.google.com/spreadsheets/d/14Bd19lYaqBhU8_DElYkX7l4wRkHqqCUFNJY4AfY3kHU/edit?usp=sharing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J6671" s="7" t="s">
        <v>28</v>
      </c>
    </row>
    <row r="6672" spans="1:10" ht="13.2">
      <c r="A6672" s="7">
        <v>6671</v>
      </c>
      <c r="B6672" s="7">
        <v>1</v>
      </c>
      <c r="C6672" s="7" t="s">
        <v>10</v>
      </c>
      <c r="D6672" s="7">
        <v>6077</v>
      </c>
      <c r="E6672" s="7" t="s">
        <v>29</v>
      </c>
      <c r="F6672" s="8" t="str">
        <f ca="1">IFERROR(__xludf.DUMMYFUNCTION("IF
(
C6673=""фізична особа""
,
VLOOKUP(D6673,IMPORTRANGE(""https://docs.google.com/spreadsheets/d/14Bd19lYaqBhU8_DElYkX7l4wRkHqqCUFNJY4AfY3kHU/edit?usp=sharing  #gid=0"",""фіз особи new!relations_name""),6,FALSE)
,
(IF
(
C6673=""юридична особа""
,
VLOOKUP"&amp;"(D6673,IMPORTRANGE(""https://docs.google.com/spreadsheets/d/14Bd19lYaqBhU8_DElYkX7l4wRkHqqCUFNJY4AfY3kHU/edit?usp=sharing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72" s="7" t="s">
        <v>10</v>
      </c>
      <c r="H6672" s="7">
        <v>6082</v>
      </c>
      <c r="I6672" s="8" t="str">
        <f ca="1">IFERROR(__xludf.DUMMYFUNCTION("IF
(
G6673=""фізична особа""
,
VLOOKUP(H6673,IMPORTRANGE(""https://docs.google.com/spreadsheets/d/14Bd19lYaqBhU8_DElYkX7l4wRkHqqCUFNJY4AfY3kHU/edit?usp=sharing  #gid=0"",""фіз особи new!relations_name""),6,FALSE)
,
(IF
(
G6673=""юридична особа""
,
VLOOKUP"&amp;"(H6673,IMPORTRANGE(""https://docs.google.com/spreadsheets/d/14Bd19lYaqBhU8_DElYkX7l4wRkHqqCUFNJY4AfY3kHU/edit?usp=sharing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J6672" s="7" t="s">
        <v>28</v>
      </c>
    </row>
    <row r="6673" spans="1:10" ht="13.2">
      <c r="A6673" s="7">
        <v>6672</v>
      </c>
      <c r="B6673" s="7">
        <v>1</v>
      </c>
      <c r="C6673" s="7" t="s">
        <v>10</v>
      </c>
      <c r="D6673" s="7">
        <v>6077</v>
      </c>
      <c r="E6673" s="7" t="s">
        <v>30</v>
      </c>
      <c r="F6673" s="8" t="str">
        <f ca="1">IFERROR(__xludf.DUMMYFUNCTION("IF
(
C6674=""фізична особа""
,
VLOOKUP(D6674,IMPORTRANGE(""https://docs.google.com/spreadsheets/d/14Bd19lYaqBhU8_DElYkX7l4wRkHqqCUFNJY4AfY3kHU/edit?usp=sharing  #gid=0"",""фіз особи new!relations_name""),6,FALSE)
,
(IF
(
C6674=""юридична особа""
,
VLOOKUP"&amp;"(D6674,IMPORTRANGE(""https://docs.google.com/spreadsheets/d/14Bd19lYaqBhU8_DElYkX7l4wRkHqqCUFNJY4AfY3kHU/edit?usp=sharing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G6673" s="7" t="s">
        <v>10</v>
      </c>
      <c r="H6673" s="7">
        <v>23554</v>
      </c>
      <c r="I6673" s="8" t="str">
        <f ca="1">IFERROR(__xludf.DUMMYFUNCTION("IF
(
G6674=""фізична особа""
,
VLOOKUP(H6674,IMPORTRANGE(""https://docs.google.com/spreadsheets/d/14Bd19lYaqBhU8_DElYkX7l4wRkHqqCUFNJY4AfY3kHU/edit?usp=sharing  #gid=0"",""фіз особи new!relations_name""),6,FALSE)
,
(IF
(
G6674=""юридична особа""
,
VLOOKUP"&amp;"(H6674,IMPORTRANGE(""https://docs.google.com/spreadsheets/d/14Bd19lYaqBhU8_DElYkX7l4wRkHqqCUFNJY4AfY3kHU/edit?usp=sharing  #gid=0"",""фіз особи new!relations_name_uo""),7,FALSE)
,
)
))"),"АКАШКІН Юрій Сергійович")</f>
        <v>АКАШКІН Юрій Сергійович</v>
      </c>
      <c r="J6673" s="7" t="s">
        <v>30</v>
      </c>
    </row>
    <row r="6674" spans="1:10" ht="13.2">
      <c r="A6674" s="7">
        <v>6673</v>
      </c>
      <c r="B6674" s="7">
        <v>1</v>
      </c>
      <c r="C6674" s="7" t="s">
        <v>10</v>
      </c>
      <c r="D6674" s="7">
        <v>6081</v>
      </c>
      <c r="E6674" s="7" t="s">
        <v>30</v>
      </c>
      <c r="F6674" s="8" t="str">
        <f ca="1">IFERROR(__xludf.DUMMYFUNCTION("IF
(
C6675=""фізична особа""
,
VLOOKUP(D6675,IMPORTRANGE(""https://docs.google.com/spreadsheets/d/14Bd19lYaqBhU8_DElYkX7l4wRkHqqCUFNJY4AfY3kHU/edit?usp=sharing  #gid=0"",""фіз особи new!relations_name""),6,FALSE)
,
(IF
(
C6675=""юридична особа""
,
VLOOKUP"&amp;"(D6675,IMPORTRANGE(""https://docs.google.com/spreadsheets/d/14Bd19lYaqBhU8_DElYkX7l4wRkHqqCUFNJY4AfY3kHU/edit?usp=sharing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4" s="7" t="s">
        <v>10</v>
      </c>
      <c r="H6674" s="7">
        <v>23551</v>
      </c>
      <c r="I6674" s="8" t="str">
        <f ca="1">IFERROR(__xludf.DUMMYFUNCTION("IF
(
G6675=""фізична особа""
,
VLOOKUP(H6675,IMPORTRANGE(""https://docs.google.com/spreadsheets/d/14Bd19lYaqBhU8_DElYkX7l4wRkHqqCUFNJY4AfY3kHU/edit?usp=sharing  #gid=0"",""фіз особи new!relations_name""),6,FALSE)
,
(IF
(
G6675=""юридична особа""
,
VLOOKUP"&amp;"(H6675,IMPORTRANGE(""https://docs.google.com/spreadsheets/d/14Bd19lYaqBhU8_DElYkX7l4wRkHqqCUFNJY4AfY3kHU/edit?usp=sharing  #gid=0"",""фіз особи new!relations_name_uo""),7,FALSE)
,
)
))"),"ЦИСЬ Ніна Олександрівна")</f>
        <v>ЦИСЬ Ніна Олександрівна</v>
      </c>
      <c r="J6674" s="7" t="s">
        <v>30</v>
      </c>
    </row>
    <row r="6675" spans="1:10" ht="13.2">
      <c r="A6675" s="7">
        <v>6674</v>
      </c>
      <c r="B6675" s="7">
        <v>1</v>
      </c>
      <c r="C6675" s="7" t="s">
        <v>10</v>
      </c>
      <c r="D6675" s="7">
        <v>6081</v>
      </c>
      <c r="E6675" s="7" t="s">
        <v>28</v>
      </c>
      <c r="F6675" s="8" t="str">
        <f ca="1">IFERROR(__xludf.DUMMYFUNCTION("IF
(
C6676=""фізична особа""
,
VLOOKUP(D6676,IMPORTRANGE(""https://docs.google.com/spreadsheets/d/14Bd19lYaqBhU8_DElYkX7l4wRkHqqCUFNJY4AfY3kHU/edit?usp=sharing  #gid=0"",""фіз особи new!relations_name""),6,FALSE)
,
(IF
(
C6676=""юридична особа""
,
VLOOKUP"&amp;"(D6676,IMPORTRANGE(""https://docs.google.com/spreadsheets/d/14Bd19lYaqBhU8_DElYkX7l4wRkHqqCUFNJY4AfY3kHU/edit?usp=sharing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5" s="7" t="s">
        <v>10</v>
      </c>
      <c r="H6675" s="7">
        <v>6077</v>
      </c>
      <c r="I6675" s="8" t="str">
        <f ca="1">IFERROR(__xludf.DUMMYFUNCTION("IF
(
G6676=""фізична особа""
,
VLOOKUP(H6676,IMPORTRANGE(""https://docs.google.com/spreadsheets/d/14Bd19lYaqBhU8_DElYkX7l4wRkHqqCUFNJY4AfY3kHU/edit?usp=sharing  #gid=0"",""фіз особи new!relations_name""),6,FALSE)
,
(IF
(
G6676=""юридична особа""
,
VLOOKUP"&amp;"(H6676,IMPORTRANGE(""https://docs.google.com/spreadsheets/d/14Bd19lYaqBhU8_DElYkX7l4wRkHqqCUFNJY4AfY3kHU/edit?usp=sharing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J6675" s="7" t="s">
        <v>29</v>
      </c>
    </row>
    <row r="6676" spans="1:10" ht="13.2">
      <c r="A6676" s="7">
        <v>6675</v>
      </c>
      <c r="B6676" s="7">
        <v>1</v>
      </c>
      <c r="C6676" s="7" t="s">
        <v>10</v>
      </c>
      <c r="D6676" s="7">
        <v>6081</v>
      </c>
      <c r="E6676" s="7" t="s">
        <v>29</v>
      </c>
      <c r="F6676" s="8" t="str">
        <f ca="1">IFERROR(__xludf.DUMMYFUNCTION("IF
(
C6677=""фізична особа""
,
VLOOKUP(D6677,IMPORTRANGE(""https://docs.google.com/spreadsheets/d/14Bd19lYaqBhU8_DElYkX7l4wRkHqqCUFNJY4AfY3kHU/edit?usp=sharing  #gid=0"",""фіз особи new!relations_name""),6,FALSE)
,
(IF
(
C6677=""юридична особа""
,
VLOOKUP"&amp;"(D6677,IMPORTRANGE(""https://docs.google.com/spreadsheets/d/14Bd19lYaqBhU8_DElYkX7l4wRkHqqCUFNJY4AfY3kHU/edit?usp=sharing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6" s="7" t="s">
        <v>10</v>
      </c>
      <c r="H6676" s="7">
        <v>6082</v>
      </c>
      <c r="I6676" s="8" t="str">
        <f ca="1">IFERROR(__xludf.DUMMYFUNCTION("IF
(
G6677=""фізична особа""
,
VLOOKUP(H6677,IMPORTRANGE(""https://docs.google.com/spreadsheets/d/14Bd19lYaqBhU8_DElYkX7l4wRkHqqCUFNJY4AfY3kHU/edit?usp=sharing  #gid=0"",""фіз особи new!relations_name""),6,FALSE)
,
(IF
(
G6677=""юридична особа""
,
VLOOKUP"&amp;"(H6677,IMPORTRANGE(""https://docs.google.com/spreadsheets/d/14Bd19lYaqBhU8_DElYkX7l4wRkHqqCUFNJY4AfY3kHU/edit?usp=sharing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J6676" s="7" t="s">
        <v>28</v>
      </c>
    </row>
    <row r="6677" spans="1:10" ht="13.2">
      <c r="A6677" s="7">
        <v>6676</v>
      </c>
      <c r="B6677" s="7">
        <v>1</v>
      </c>
      <c r="C6677" s="7" t="s">
        <v>10</v>
      </c>
      <c r="D6677" s="7">
        <v>6081</v>
      </c>
      <c r="E6677" s="7" t="s">
        <v>30</v>
      </c>
      <c r="F6677" s="8" t="str">
        <f ca="1">IFERROR(__xludf.DUMMYFUNCTION("IF
(
C6678=""фізична особа""
,
VLOOKUP(D6678,IMPORTRANGE(""https://docs.google.com/spreadsheets/d/14Bd19lYaqBhU8_DElYkX7l4wRkHqqCUFNJY4AfY3kHU/edit?usp=sharing  #gid=0"",""фіз особи new!relations_name""),6,FALSE)
,
(IF
(
C6678=""юридична особа""
,
VLOOKUP"&amp;"(D6678,IMPORTRANGE(""https://docs.google.com/spreadsheets/d/14Bd19lYaqBhU8_DElYkX7l4wRkHqqCUFNJY4AfY3kHU/edit?usp=sharing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7" s="7" t="s">
        <v>10</v>
      </c>
      <c r="H6677" s="7">
        <v>23555</v>
      </c>
      <c r="I6677" s="8" t="str">
        <f ca="1">IFERROR(__xludf.DUMMYFUNCTION("IF
(
G6678=""фізична особа""
,
VLOOKUP(H6678,IMPORTRANGE(""https://docs.google.com/spreadsheets/d/14Bd19lYaqBhU8_DElYkX7l4wRkHqqCUFNJY4AfY3kHU/edit?usp=sharing  #gid=0"",""фіз особи new!relations_name""),6,FALSE)
,
(IF
(
G6678=""юридична особа""
,
VLOOKUP"&amp;"(H6678,IMPORTRANGE(""https://docs.google.com/spreadsheets/d/14Bd19lYaqBhU8_DElYkX7l4wRkHqqCUFNJY4AfY3kHU/edit?usp=sharing  #gid=0"",""фіз особи new!relations_name_uo""),7,FALSE)
,
)
))"),"ТИХОНЮК Юлія Анатоліївна")</f>
        <v>ТИХОНЮК Юлія Анатоліївна</v>
      </c>
      <c r="J6677" s="7" t="s">
        <v>30</v>
      </c>
    </row>
    <row r="6678" spans="1:10" ht="13.2">
      <c r="A6678" s="7">
        <v>6677</v>
      </c>
      <c r="B6678" s="7">
        <v>1</v>
      </c>
      <c r="C6678" s="7" t="s">
        <v>10</v>
      </c>
      <c r="D6678" s="7">
        <v>6081</v>
      </c>
      <c r="E6678" s="7" t="s">
        <v>30</v>
      </c>
      <c r="F6678" s="8" t="str">
        <f ca="1">IFERROR(__xludf.DUMMYFUNCTION("IF
(
C6679=""фізична особа""
,
VLOOKUP(D6679,IMPORTRANGE(""https://docs.google.com/spreadsheets/d/14Bd19lYaqBhU8_DElYkX7l4wRkHqqCUFNJY4AfY3kHU/edit?usp=sharing  #gid=0"",""фіз особи new!relations_name""),6,FALSE)
,
(IF
(
C6679=""юридична особа""
,
VLOOKUP"&amp;"(D6679,IMPORTRANGE(""https://docs.google.com/spreadsheets/d/14Bd19lYaqBhU8_DElYkX7l4wRkHqqCUFNJY4AfY3kHU/edit?usp=sharing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8" s="7" t="s">
        <v>10</v>
      </c>
      <c r="H6678" s="7">
        <v>23552</v>
      </c>
      <c r="I6678" s="8" t="str">
        <f ca="1">IFERROR(__xludf.DUMMYFUNCTION("IF
(
G6679=""фізична особа""
,
VLOOKUP(H6679,IMPORTRANGE(""https://docs.google.com/spreadsheets/d/14Bd19lYaqBhU8_DElYkX7l4wRkHqqCUFNJY4AfY3kHU/edit?usp=sharing  #gid=0"",""фіз особи new!relations_name""),6,FALSE)
,
(IF
(
G6679=""юридична особа""
,
VLOOKUP"&amp;"(H6679,IMPORTRANGE(""https://docs.google.com/spreadsheets/d/14Bd19lYaqBhU8_DElYkX7l4wRkHqqCUFNJY4AfY3kHU/edit?usp=sharing  #gid=0"",""фіз особи new!relations_name_uo""),7,FALSE)
,
)
))"),"ГАЙРБЕКОВ Хож")</f>
        <v>ГАЙРБЕКОВ Хож</v>
      </c>
      <c r="J6678" s="7" t="s">
        <v>30</v>
      </c>
    </row>
    <row r="6679" spans="1:10" ht="13.2">
      <c r="A6679" s="7">
        <v>6678</v>
      </c>
      <c r="B6679" s="7">
        <v>1</v>
      </c>
      <c r="C6679" s="7" t="s">
        <v>10</v>
      </c>
      <c r="D6679" s="7">
        <v>6081</v>
      </c>
      <c r="E6679" s="7" t="s">
        <v>30</v>
      </c>
      <c r="F6679" s="8" t="str">
        <f ca="1">IFERROR(__xludf.DUMMYFUNCTION("IF
(
C6680=""фізична особа""
,
VLOOKUP(D6680,IMPORTRANGE(""https://docs.google.com/spreadsheets/d/14Bd19lYaqBhU8_DElYkX7l4wRkHqqCUFNJY4AfY3kHU/edit?usp=sharing  #gid=0"",""фіз особи new!relations_name""),6,FALSE)
,
(IF
(
C6680=""юридична особа""
,
VLOOKUP"&amp;"(D6680,IMPORTRANGE(""https://docs.google.com/spreadsheets/d/14Bd19lYaqBhU8_DElYkX7l4wRkHqqCUFNJY4AfY3kHU/edit?usp=sharing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79" s="7" t="s">
        <v>10</v>
      </c>
      <c r="H6679" s="7">
        <v>23553</v>
      </c>
      <c r="I6679" s="8" t="str">
        <f ca="1">IFERROR(__xludf.DUMMYFUNCTION("IF
(
G6680=""фізична особа""
,
VLOOKUP(H6680,IMPORTRANGE(""https://docs.google.com/spreadsheets/d/14Bd19lYaqBhU8_DElYkX7l4wRkHqqCUFNJY4AfY3kHU/edit?usp=sharing  #gid=0"",""фіз особи new!relations_name""),6,FALSE)
,
(IF
(
G6680=""юридична особа""
,
VLOOKUP"&amp;"(H6680,IMPORTRANGE(""https://docs.google.com/spreadsheets/d/14Bd19lYaqBhU8_DElYkX7l4wRkHqqCUFNJY4AfY3kHU/edit?usp=sharing  #gid=0"",""фіз особи new!relations_name_uo""),7,FALSE)
,
)
))"),"МУРОМСЬКИЙ Андрій Вікторович")</f>
        <v>МУРОМСЬКИЙ Андрій Вікторович</v>
      </c>
      <c r="J6679" s="7" t="s">
        <v>30</v>
      </c>
    </row>
    <row r="6680" spans="1:10" ht="13.2">
      <c r="A6680" s="7">
        <v>6679</v>
      </c>
      <c r="B6680" s="7">
        <v>1</v>
      </c>
      <c r="C6680" s="7" t="s">
        <v>10</v>
      </c>
      <c r="D6680" s="7">
        <v>6081</v>
      </c>
      <c r="E6680" s="7" t="s">
        <v>30</v>
      </c>
      <c r="F6680" s="8" t="str">
        <f ca="1">IFERROR(__xludf.DUMMYFUNCTION("IF
(
C6681=""фізична особа""
,
VLOOKUP(D6681,IMPORTRANGE(""https://docs.google.com/spreadsheets/d/14Bd19lYaqBhU8_DElYkX7l4wRkHqqCUFNJY4AfY3kHU/edit?usp=sharing  #gid=0"",""фіз особи new!relations_name""),6,FALSE)
,
(IF
(
C6681=""юридична особа""
,
VLOOKUP"&amp;"(D6681,IMPORTRANGE(""https://docs.google.com/spreadsheets/d/14Bd19lYaqBhU8_DElYkX7l4wRkHqqCUFNJY4AfY3kHU/edit?usp=sharing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G6680" s="7" t="s">
        <v>10</v>
      </c>
      <c r="H6680" s="7">
        <v>23554</v>
      </c>
      <c r="I6680" s="8" t="str">
        <f ca="1">IFERROR(__xludf.DUMMYFUNCTION("IF
(
G6681=""фізична особа""
,
VLOOKUP(H6681,IMPORTRANGE(""https://docs.google.com/spreadsheets/d/14Bd19lYaqBhU8_DElYkX7l4wRkHqqCUFNJY4AfY3kHU/edit?usp=sharing  #gid=0"",""фіз особи new!relations_name""),6,FALSE)
,
(IF
(
G6681=""юридична особа""
,
VLOOKUP"&amp;"(H6681,IMPORTRANGE(""https://docs.google.com/spreadsheets/d/14Bd19lYaqBhU8_DElYkX7l4wRkHqqCUFNJY4AfY3kHU/edit?usp=sharing  #gid=0"",""фіз особи new!relations_name_uo""),7,FALSE)
,
)
))"),"АКАШКІН Юрій Сергійович")</f>
        <v>АКАШКІН Юрій Сергійович</v>
      </c>
      <c r="J6680" s="7" t="s">
        <v>30</v>
      </c>
    </row>
    <row r="6681" spans="1:10" ht="13.2">
      <c r="A6681" s="7">
        <v>6680</v>
      </c>
      <c r="B6681" s="7">
        <v>1</v>
      </c>
      <c r="C6681" s="7" t="s">
        <v>10</v>
      </c>
      <c r="D6681" s="7">
        <v>6082</v>
      </c>
      <c r="E6681" s="7" t="s">
        <v>30</v>
      </c>
      <c r="F6681" s="8" t="str">
        <f ca="1">IFERROR(__xludf.DUMMYFUNCTION("IF
(
C6682=""фізична особа""
,
VLOOKUP(D6682,IMPORTRANGE(""https://docs.google.com/spreadsheets/d/14Bd19lYaqBhU8_DElYkX7l4wRkHqqCUFNJY4AfY3kHU/edit?usp=sharing  #gid=0"",""фіз особи new!relations_name""),6,FALSE)
,
(IF
(
C6682=""юридична особа""
,
VLOOKUP"&amp;"(D6682,IMPORTRANGE(""https://docs.google.com/spreadsheets/d/14Bd19lYaqBhU8_DElYkX7l4wRkHqqCUFNJY4AfY3kHU/edit?usp=sharing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1" s="7" t="s">
        <v>10</v>
      </c>
      <c r="H6681" s="7">
        <v>23551</v>
      </c>
      <c r="I6681" s="8" t="str">
        <f ca="1">IFERROR(__xludf.DUMMYFUNCTION("IF
(
G6682=""фізична особа""
,
VLOOKUP(H6682,IMPORTRANGE(""https://docs.google.com/spreadsheets/d/14Bd19lYaqBhU8_DElYkX7l4wRkHqqCUFNJY4AfY3kHU/edit?usp=sharing  #gid=0"",""фіз особи new!relations_name""),6,FALSE)
,
(IF
(
G6682=""юридична особа""
,
VLOOKUP"&amp;"(H6682,IMPORTRANGE(""https://docs.google.com/spreadsheets/d/14Bd19lYaqBhU8_DElYkX7l4wRkHqqCUFNJY4AfY3kHU/edit?usp=sharing  #gid=0"",""фіз особи new!relations_name_uo""),7,FALSE)
,
)
))"),"ЦИСЬ Ніна Олександрівна")</f>
        <v>ЦИСЬ Ніна Олександрівна</v>
      </c>
      <c r="J6681" s="7" t="s">
        <v>30</v>
      </c>
    </row>
    <row r="6682" spans="1:10" ht="13.2">
      <c r="A6682" s="7">
        <v>6681</v>
      </c>
      <c r="B6682" s="7">
        <v>1</v>
      </c>
      <c r="C6682" s="7" t="s">
        <v>10</v>
      </c>
      <c r="D6682" s="7">
        <v>6082</v>
      </c>
      <c r="E6682" s="7" t="s">
        <v>28</v>
      </c>
      <c r="F6682" s="8" t="str">
        <f ca="1">IFERROR(__xludf.DUMMYFUNCTION("IF
(
C6683=""фізична особа""
,
VLOOKUP(D6683,IMPORTRANGE(""https://docs.google.com/spreadsheets/d/14Bd19lYaqBhU8_DElYkX7l4wRkHqqCUFNJY4AfY3kHU/edit?usp=sharing  #gid=0"",""фіз особи new!relations_name""),6,FALSE)
,
(IF
(
C6683=""юридична особа""
,
VLOOKUP"&amp;"(D6683,IMPORTRANGE(""https://docs.google.com/spreadsheets/d/14Bd19lYaqBhU8_DElYkX7l4wRkHqqCUFNJY4AfY3kHU/edit?usp=sharing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2" s="7" t="s">
        <v>10</v>
      </c>
      <c r="H6682" s="7">
        <v>6081</v>
      </c>
      <c r="I6682" s="8" t="str">
        <f ca="1">IFERROR(__xludf.DUMMYFUNCTION("IF
(
G6683=""фізична особа""
,
VLOOKUP(H6683,IMPORTRANGE(""https://docs.google.com/spreadsheets/d/14Bd19lYaqBhU8_DElYkX7l4wRkHqqCUFNJY4AfY3kHU/edit?usp=sharing  #gid=0"",""фіз особи new!relations_name""),6,FALSE)
,
(IF
(
G6683=""юридична особа""
,
VLOOKUP"&amp;"(H6683,IMPORTRANGE(""https://docs.google.com/spreadsheets/d/14Bd19lYaqBhU8_DElYkX7l4wRkHqqCUFNJY4AfY3kHU/edit?usp=sharing  #gid=0"",""фіз особи new!relations_name_uo""),7,FALSE)
,
)
))"),"ЗАГРАДКА Ігор Вячеславович")</f>
        <v>ЗАГРАДКА Ігор Вячеславович</v>
      </c>
      <c r="J6682" s="7" t="s">
        <v>29</v>
      </c>
    </row>
    <row r="6683" spans="1:10" ht="13.2">
      <c r="A6683" s="7">
        <v>6682</v>
      </c>
      <c r="B6683" s="7">
        <v>1</v>
      </c>
      <c r="C6683" s="7" t="s">
        <v>10</v>
      </c>
      <c r="D6683" s="7">
        <v>6082</v>
      </c>
      <c r="E6683" s="7" t="s">
        <v>28</v>
      </c>
      <c r="F6683" s="8" t="str">
        <f ca="1">IFERROR(__xludf.DUMMYFUNCTION("IF
(
C6684=""фізична особа""
,
VLOOKUP(D6684,IMPORTRANGE(""https://docs.google.com/spreadsheets/d/14Bd19lYaqBhU8_DElYkX7l4wRkHqqCUFNJY4AfY3kHU/edit?usp=sharing  #gid=0"",""фіз особи new!relations_name""),6,FALSE)
,
(IF
(
C6684=""юридична особа""
,
VLOOKUP"&amp;"(D6684,IMPORTRANGE(""https://docs.google.com/spreadsheets/d/14Bd19lYaqBhU8_DElYkX7l4wRkHqqCUFNJY4AfY3kHU/edit?usp=sharing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3" s="7" t="s">
        <v>10</v>
      </c>
      <c r="H6683" s="7">
        <v>6077</v>
      </c>
      <c r="I6683" s="8" t="str">
        <f ca="1">IFERROR(__xludf.DUMMYFUNCTION("IF
(
G6684=""фізична особа""
,
VLOOKUP(H6684,IMPORTRANGE(""https://docs.google.com/spreadsheets/d/14Bd19lYaqBhU8_DElYkX7l4wRkHqqCUFNJY4AfY3kHU/edit?usp=sharing  #gid=0"",""фіз особи new!relations_name""),6,FALSE)
,
(IF
(
G6684=""юридична особа""
,
VLOOKUP"&amp;"(H6684,IMPORTRANGE(""https://docs.google.com/spreadsheets/d/14Bd19lYaqBhU8_DElYkX7l4wRkHqqCUFNJY4AfY3kHU/edit?usp=sharing  #gid=0"",""фіз особи new!relations_name_uo""),7,FALSE)
,
)
))"),"ЦИСЬ Олександр Акимович")</f>
        <v>ЦИСЬ Олександр Акимович</v>
      </c>
      <c r="J6683" s="7" t="s">
        <v>29</v>
      </c>
    </row>
    <row r="6684" spans="1:10" ht="13.2">
      <c r="A6684" s="7">
        <v>6683</v>
      </c>
      <c r="B6684" s="7">
        <v>1</v>
      </c>
      <c r="C6684" s="7" t="s">
        <v>10</v>
      </c>
      <c r="D6684" s="7">
        <v>6082</v>
      </c>
      <c r="E6684" s="7" t="s">
        <v>30</v>
      </c>
      <c r="F6684" s="8" t="str">
        <f ca="1">IFERROR(__xludf.DUMMYFUNCTION("IF
(
C6685=""фізична особа""
,
VLOOKUP(D6685,IMPORTRANGE(""https://docs.google.com/spreadsheets/d/14Bd19lYaqBhU8_DElYkX7l4wRkHqqCUFNJY4AfY3kHU/edit?usp=sharing  #gid=0"",""фіз особи new!relations_name""),6,FALSE)
,
(IF
(
C6685=""юридична особа""
,
VLOOKUP"&amp;"(D6685,IMPORTRANGE(""https://docs.google.com/spreadsheets/d/14Bd19lYaqBhU8_DElYkX7l4wRkHqqCUFNJY4AfY3kHU/edit?usp=sharing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4" s="7" t="s">
        <v>10</v>
      </c>
      <c r="H6684" s="7">
        <v>23555</v>
      </c>
      <c r="I6684" s="8" t="str">
        <f ca="1">IFERROR(__xludf.DUMMYFUNCTION("IF
(
G6685=""фізична особа""
,
VLOOKUP(H6685,IMPORTRANGE(""https://docs.google.com/spreadsheets/d/14Bd19lYaqBhU8_DElYkX7l4wRkHqqCUFNJY4AfY3kHU/edit?usp=sharing  #gid=0"",""фіз особи new!relations_name""),6,FALSE)
,
(IF
(
G6685=""юридична особа""
,
VLOOKUP"&amp;"(H6685,IMPORTRANGE(""https://docs.google.com/spreadsheets/d/14Bd19lYaqBhU8_DElYkX7l4wRkHqqCUFNJY4AfY3kHU/edit?usp=sharing  #gid=0"",""фіз особи new!relations_name_uo""),7,FALSE)
,
)
))"),"ТИХОНЮК Юлія Анатоліївна")</f>
        <v>ТИХОНЮК Юлія Анатоліївна</v>
      </c>
      <c r="J6684" s="7" t="s">
        <v>30</v>
      </c>
    </row>
    <row r="6685" spans="1:10" ht="13.2">
      <c r="A6685" s="7">
        <v>6684</v>
      </c>
      <c r="B6685" s="7">
        <v>1</v>
      </c>
      <c r="C6685" s="7" t="s">
        <v>10</v>
      </c>
      <c r="D6685" s="7">
        <v>6082</v>
      </c>
      <c r="E6685" s="7" t="s">
        <v>30</v>
      </c>
      <c r="F6685" s="8" t="str">
        <f ca="1">IFERROR(__xludf.DUMMYFUNCTION("IF
(
C6686=""фізична особа""
,
VLOOKUP(D6686,IMPORTRANGE(""https://docs.google.com/spreadsheets/d/14Bd19lYaqBhU8_DElYkX7l4wRkHqqCUFNJY4AfY3kHU/edit?usp=sharing  #gid=0"",""фіз особи new!relations_name""),6,FALSE)
,
(IF
(
C6686=""юридична особа""
,
VLOOKUP"&amp;"(D6686,IMPORTRANGE(""https://docs.google.com/spreadsheets/d/14Bd19lYaqBhU8_DElYkX7l4wRkHqqCUFNJY4AfY3kHU/edit?usp=sharing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5" s="7" t="s">
        <v>10</v>
      </c>
      <c r="H6685" s="7">
        <v>23552</v>
      </c>
      <c r="I6685" s="8" t="str">
        <f ca="1">IFERROR(__xludf.DUMMYFUNCTION("IF
(
G6686=""фізична особа""
,
VLOOKUP(H6686,IMPORTRANGE(""https://docs.google.com/spreadsheets/d/14Bd19lYaqBhU8_DElYkX7l4wRkHqqCUFNJY4AfY3kHU/edit?usp=sharing  #gid=0"",""фіз особи new!relations_name""),6,FALSE)
,
(IF
(
G6686=""юридична особа""
,
VLOOKUP"&amp;"(H6686,IMPORTRANGE(""https://docs.google.com/spreadsheets/d/14Bd19lYaqBhU8_DElYkX7l4wRkHqqCUFNJY4AfY3kHU/edit?usp=sharing  #gid=0"",""фіз особи new!relations_name_uo""),7,FALSE)
,
)
))"),"ГАЙРБЕКОВ Хож")</f>
        <v>ГАЙРБЕКОВ Хож</v>
      </c>
      <c r="J6685" s="7" t="s">
        <v>30</v>
      </c>
    </row>
    <row r="6686" spans="1:10" ht="13.2">
      <c r="A6686" s="7">
        <v>6685</v>
      </c>
      <c r="B6686" s="7">
        <v>1</v>
      </c>
      <c r="C6686" s="7" t="s">
        <v>10</v>
      </c>
      <c r="D6686" s="7">
        <v>6082</v>
      </c>
      <c r="E6686" s="7" t="s">
        <v>30</v>
      </c>
      <c r="F6686" s="8" t="str">
        <f ca="1">IFERROR(__xludf.DUMMYFUNCTION("IF
(
C6687=""фізична особа""
,
VLOOKUP(D6687,IMPORTRANGE(""https://docs.google.com/spreadsheets/d/14Bd19lYaqBhU8_DElYkX7l4wRkHqqCUFNJY4AfY3kHU/edit?usp=sharing  #gid=0"",""фіз особи new!relations_name""),6,FALSE)
,
(IF
(
C6687=""юридична особа""
,
VLOOKUP"&amp;"(D6687,IMPORTRANGE(""https://docs.google.com/spreadsheets/d/14Bd19lYaqBhU8_DElYkX7l4wRkHqqCUFNJY4AfY3kHU/edit?usp=sharing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6" s="7" t="s">
        <v>10</v>
      </c>
      <c r="H6686" s="7">
        <v>23553</v>
      </c>
      <c r="I6686" s="8" t="str">
        <f ca="1">IFERROR(__xludf.DUMMYFUNCTION("IF
(
G6687=""фізична особа""
,
VLOOKUP(H6687,IMPORTRANGE(""https://docs.google.com/spreadsheets/d/14Bd19lYaqBhU8_DElYkX7l4wRkHqqCUFNJY4AfY3kHU/edit?usp=sharing  #gid=0"",""фіз особи new!relations_name""),6,FALSE)
,
(IF
(
G6687=""юридична особа""
,
VLOOKUP"&amp;"(H6687,IMPORTRANGE(""https://docs.google.com/spreadsheets/d/14Bd19lYaqBhU8_DElYkX7l4wRkHqqCUFNJY4AfY3kHU/edit?usp=sharing  #gid=0"",""фіз особи new!relations_name_uo""),7,FALSE)
,
)
))"),"МУРОМСЬКИЙ Андрій Вікторович")</f>
        <v>МУРОМСЬКИЙ Андрій Вікторович</v>
      </c>
      <c r="J6686" s="7" t="s">
        <v>30</v>
      </c>
    </row>
    <row r="6687" spans="1:10" ht="13.2">
      <c r="A6687" s="7">
        <v>6686</v>
      </c>
      <c r="B6687" s="7">
        <v>1</v>
      </c>
      <c r="C6687" s="7" t="s">
        <v>10</v>
      </c>
      <c r="D6687" s="7">
        <v>6082</v>
      </c>
      <c r="E6687" s="7" t="s">
        <v>30</v>
      </c>
      <c r="F6687" s="8" t="str">
        <f ca="1">IFERROR(__xludf.DUMMYFUNCTION("IF
(
C6688=""фізична особа""
,
VLOOKUP(D6688,IMPORTRANGE(""https://docs.google.com/spreadsheets/d/14Bd19lYaqBhU8_DElYkX7l4wRkHqqCUFNJY4AfY3kHU/edit?usp=sharing  #gid=0"",""фіз особи new!relations_name""),6,FALSE)
,
(IF
(
C6688=""юридична особа""
,
VLOOKUP"&amp;"(D6688,IMPORTRANGE(""https://docs.google.com/spreadsheets/d/14Bd19lYaqBhU8_DElYkX7l4wRkHqqCUFNJY4AfY3kHU/edit?usp=sharing  #gid=0"",""фіз особи new!relations_name_uo""),7,FALSE)
,
)
))"),"РУСАКОВИЧ Михайло Анатолійович")</f>
        <v>РУСАКОВИЧ Михайло Анатолійович</v>
      </c>
      <c r="G6687" s="7" t="s">
        <v>10</v>
      </c>
      <c r="H6687" s="7">
        <v>23554</v>
      </c>
      <c r="I6687" s="8" t="str">
        <f ca="1">IFERROR(__xludf.DUMMYFUNCTION("IF
(
G6688=""фізична особа""
,
VLOOKUP(H6688,IMPORTRANGE(""https://docs.google.com/spreadsheets/d/14Bd19lYaqBhU8_DElYkX7l4wRkHqqCUFNJY4AfY3kHU/edit?usp=sharing  #gid=0"",""фіз особи new!relations_name""),6,FALSE)
,
(IF
(
G6688=""юридична особа""
,
VLOOKUP"&amp;"(H6688,IMPORTRANGE(""https://docs.google.com/spreadsheets/d/14Bd19lYaqBhU8_DElYkX7l4wRkHqqCUFNJY4AfY3kHU/edit?usp=sharing  #gid=0"",""фіз особи new!relations_name_uo""),7,FALSE)
,
)
))"),"АКАШКІН Юрій Сергійович")</f>
        <v>АКАШКІН Юрій Сергійович</v>
      </c>
      <c r="J6687" s="7" t="s">
        <v>30</v>
      </c>
    </row>
    <row r="6688" spans="1:10" ht="13.2">
      <c r="A6688" s="7">
        <v>6687</v>
      </c>
      <c r="B6688" s="7">
        <v>1</v>
      </c>
      <c r="C6688" s="7" t="s">
        <v>10</v>
      </c>
      <c r="D6688" s="7">
        <v>6090</v>
      </c>
      <c r="E6688" s="7" t="s">
        <v>14</v>
      </c>
      <c r="F6688" s="8" t="str">
        <f ca="1">IFERROR(__xludf.DUMMYFUNCTION("IF
(
C6689=""фізична особа""
,
VLOOKUP(D6689,IMPORTRANGE(""https://docs.google.com/spreadsheets/d/14Bd19lYaqBhU8_DElYkX7l4wRkHqqCUFNJY4AfY3kHU/edit?usp=sharing  #gid=0"",""фіз особи new!relations_name""),6,FALSE)
,
(IF
(
C6689=""юридична особа""
,
VLOOKUP"&amp;"(D6689,IMPORTRANGE(""https://docs.google.com/spreadsheets/d/14Bd19lYaqBhU8_DElYkX7l4wRkHqqCUFNJY4AfY3kHU/edit?usp=sharing  #gid=0"",""фіз особи new!relations_name_uo""),7,FALSE)
,
)
))"),"ЛОЛА Олексій АНдрійович")</f>
        <v>ЛОЛА Олексій АНдрійович</v>
      </c>
      <c r="G6688" s="7" t="s">
        <v>10</v>
      </c>
      <c r="H6688" s="7">
        <v>0</v>
      </c>
      <c r="I6688" s="8" t="str">
        <f ca="1">IFERROR(__xludf.DUMMYFUNCTION("IF
(
G6689=""фізична особа""
,
VLOOKUP(H6689,IMPORTRANGE(""https://docs.google.com/spreadsheets/d/14Bd19lYaqBhU8_DElYkX7l4wRkHqqCUFNJY4AfY3kHU/edit?usp=sharing  #gid=0"",""фіз особи new!relations_name""),6,FALSE)
,
(IF
(
G6689=""юридична особа""
,
VLOOKUP"&amp;"(H6689,IMPORTRANGE(""https://docs.google.com/spreadsheets/d/14Bd19lYaqBhU8_DElYkX7l4wRkHqqCUFNJY4AfY3kHU/edit?usp=sharing  #gid=0"",""фіз особи new!relations_name_uo""),7,FALSE)
,
)
))"),"#N/A")</f>
        <v>#N/A</v>
      </c>
      <c r="J6688" s="7" t="s">
        <v>15</v>
      </c>
    </row>
    <row r="6689" spans="1:10" ht="13.2">
      <c r="A6689" s="7">
        <v>6688</v>
      </c>
      <c r="B6689" s="7">
        <v>1</v>
      </c>
      <c r="C6689" s="7" t="s">
        <v>10</v>
      </c>
      <c r="D6689" s="7">
        <v>6091</v>
      </c>
      <c r="E6689" s="7" t="s">
        <v>11</v>
      </c>
      <c r="F6689" s="8" t="str">
        <f ca="1">IFERROR(__xludf.DUMMYFUNCTION("IF
(
C6690=""фізична особа""
,
VLOOKUP(D6690,IMPORTRANGE(""https://docs.google.com/spreadsheets/d/14Bd19lYaqBhU8_DElYkX7l4wRkHqqCUFNJY4AfY3kHU/edit?usp=sharing  #gid=0"",""фіз особи new!relations_name""),6,FALSE)
,
(IF
(
C6690=""юридична особа""
,
VLOOKUP"&amp;"(D6690,IMPORTRANGE(""https://docs.google.com/spreadsheets/d/14Bd19lYaqBhU8_DElYkX7l4wRkHqqCUFNJY4AfY3kHU/edit?usp=sharing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89" s="7" t="s">
        <v>10</v>
      </c>
      <c r="H6689" s="7">
        <v>0</v>
      </c>
      <c r="I6689" s="8" t="str">
        <f ca="1">IFERROR(__xludf.DUMMYFUNCTION("IF
(
G6690=""фізична особа""
,
VLOOKUP(H6690,IMPORTRANGE(""https://docs.google.com/spreadsheets/d/14Bd19lYaqBhU8_DElYkX7l4wRkHqqCUFNJY4AfY3kHU/edit?usp=sharing  #gid=0"",""фіз особи new!relations_name""),6,FALSE)
,
(IF
(
G6690=""юридична особа""
,
VLOOKUP"&amp;"(H6690,IMPORTRANGE(""https://docs.google.com/spreadsheets/d/14Bd19lYaqBhU8_DElYkX7l4wRkHqqCUFNJY4AfY3kHU/edit?usp=sharing  #gid=0"",""фіз особи new!relations_name_uo""),7,FALSE)
,
)
))"),"#N/A")</f>
        <v>#N/A</v>
      </c>
      <c r="J6689" s="7" t="s">
        <v>11</v>
      </c>
    </row>
    <row r="6690" spans="1:10" ht="13.2">
      <c r="A6690" s="7">
        <v>6689</v>
      </c>
      <c r="B6690" s="7">
        <v>1</v>
      </c>
      <c r="C6690" s="7" t="s">
        <v>10</v>
      </c>
      <c r="D6690" s="7">
        <v>6091</v>
      </c>
      <c r="E6690" s="7" t="s">
        <v>11</v>
      </c>
      <c r="F6690" s="8" t="str">
        <f ca="1">IFERROR(__xludf.DUMMYFUNCTION("IF
(
C6691=""фізична особа""
,
VLOOKUP(D6691,IMPORTRANGE(""https://docs.google.com/spreadsheets/d/14Bd19lYaqBhU8_DElYkX7l4wRkHqqCUFNJY4AfY3kHU/edit?usp=sharing  #gid=0"",""фіз особи new!relations_name""),6,FALSE)
,
(IF
(
C6691=""юридична особа""
,
VLOOKUP"&amp;"(D6691,IMPORTRANGE(""https://docs.google.com/spreadsheets/d/14Bd19lYaqBhU8_DElYkX7l4wRkHqqCUFNJY4AfY3kHU/edit?usp=sharing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0" s="7" t="s">
        <v>10</v>
      </c>
      <c r="H6690" s="7">
        <v>6092</v>
      </c>
      <c r="I6690" s="8" t="str">
        <f ca="1">IFERROR(__xludf.DUMMYFUNCTION("IF
(
G6691=""фізична особа""
,
VLOOKUP(H6691,IMPORTRANGE(""https://docs.google.com/spreadsheets/d/14Bd19lYaqBhU8_DElYkX7l4wRkHqqCUFNJY4AfY3kHU/edit?usp=sharing  #gid=0"",""фіз особи new!relations_name""),6,FALSE)
,
(IF
(
G6691=""юридична особа""
,
VLOOKUP"&amp;"(H6691,IMPORTRANGE(""https://docs.google.com/spreadsheets/d/14Bd19lYaqBhU8_DElYkX7l4wRkHqqCUFNJY4AfY3kHU/edit?usp=sharing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J6690" s="7" t="s">
        <v>11</v>
      </c>
    </row>
    <row r="6691" spans="1:10" ht="13.2">
      <c r="A6691" s="7">
        <v>6690</v>
      </c>
      <c r="B6691" s="7">
        <v>1</v>
      </c>
      <c r="C6691" s="7" t="s">
        <v>10</v>
      </c>
      <c r="D6691" s="7">
        <v>6091</v>
      </c>
      <c r="E6691" s="7" t="s">
        <v>30</v>
      </c>
      <c r="F6691" s="8" t="str">
        <f ca="1">IFERROR(__xludf.DUMMYFUNCTION("IF
(
C6692=""фізична особа""
,
VLOOKUP(D6692,IMPORTRANGE(""https://docs.google.com/spreadsheets/d/14Bd19lYaqBhU8_DElYkX7l4wRkHqqCUFNJY4AfY3kHU/edit?usp=sharing  #gid=0"",""фіз особи new!relations_name""),6,FALSE)
,
(IF
(
C6692=""юридична особа""
,
VLOOKUP"&amp;"(D6692,IMPORTRANGE(""https://docs.google.com/spreadsheets/d/14Bd19lYaqBhU8_DElYkX7l4wRkHqqCUFNJY4AfY3kHU/edit?usp=sharing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1" s="7" t="s">
        <v>10</v>
      </c>
      <c r="H6691" s="7">
        <v>6179</v>
      </c>
      <c r="I6691" s="8" t="str">
        <f ca="1">IFERROR(__xludf.DUMMYFUNCTION("IF
(
G6692=""фізична особа""
,
VLOOKUP(H6692,IMPORTRANGE(""https://docs.google.com/spreadsheets/d/14Bd19lYaqBhU8_DElYkX7l4wRkHqqCUFNJY4AfY3kHU/edit?usp=sharing  #gid=0"",""фіз особи new!relations_name""),6,FALSE)
,
(IF
(
G6692=""юридична особа""
,
VLOOKUP"&amp;"(H6692,IMPORTRANGE(""https://docs.google.com/spreadsheets/d/14Bd19lYaqBhU8_DElYkX7l4wRkHqqCUFNJY4AfY3kHU/edit?usp=sharing  #gid=0"",""фіз особи new!relations_name_uo""),7,FALSE)
,
)
))"),"КОЛЬЦОВ Михайло Юрійович")</f>
        <v>КОЛЬЦОВ Михайло Юрійович</v>
      </c>
      <c r="J6691" s="7" t="s">
        <v>30</v>
      </c>
    </row>
    <row r="6692" spans="1:10" ht="13.2">
      <c r="A6692" s="7">
        <v>6691</v>
      </c>
      <c r="B6692" s="7">
        <v>1</v>
      </c>
      <c r="C6692" s="7" t="s">
        <v>10</v>
      </c>
      <c r="D6692" s="7">
        <v>6091</v>
      </c>
      <c r="E6692" s="7" t="s">
        <v>30</v>
      </c>
      <c r="F6692" s="8" t="str">
        <f ca="1">IFERROR(__xludf.DUMMYFUNCTION("IF
(
C6693=""фізична особа""
,
VLOOKUP(D6693,IMPORTRANGE(""https://docs.google.com/spreadsheets/d/14Bd19lYaqBhU8_DElYkX7l4wRkHqqCUFNJY4AfY3kHU/edit?usp=sharing  #gid=0"",""фіз особи new!relations_name""),6,FALSE)
,
(IF
(
C6693=""юридична особа""
,
VLOOKUP"&amp;"(D6693,IMPORTRANGE(""https://docs.google.com/spreadsheets/d/14Bd19lYaqBhU8_DElYkX7l4wRkHqqCUFNJY4AfY3kHU/edit?usp=sharing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2" s="7" t="s">
        <v>10</v>
      </c>
      <c r="H6692" s="7">
        <v>23556</v>
      </c>
      <c r="I6692" s="8" t="str">
        <f ca="1">IFERROR(__xludf.DUMMYFUNCTION("IF
(
G6693=""фізична особа""
,
VLOOKUP(H6693,IMPORTRANGE(""https://docs.google.com/spreadsheets/d/14Bd19lYaqBhU8_DElYkX7l4wRkHqqCUFNJY4AfY3kHU/edit?usp=sharing  #gid=0"",""фіз особи new!relations_name""),6,FALSE)
,
(IF
(
G6693=""юридична особа""
,
VLOOKUP"&amp;"(H6693,IMPORTRANGE(""https://docs.google.com/spreadsheets/d/14Bd19lYaqBhU8_DElYkX7l4wRkHqqCUFNJY4AfY3kHU/edit?usp=sharing  #gid=0"",""фіз особи new!relations_name_uo""),7,FALSE)
,
)
))"),"СЕМЕНКО Олександр Борисович")</f>
        <v>СЕМЕНКО Олександр Борисович</v>
      </c>
      <c r="J6692" s="7" t="s">
        <v>30</v>
      </c>
    </row>
    <row r="6693" spans="1:10" ht="13.2">
      <c r="A6693" s="7">
        <v>6692</v>
      </c>
      <c r="B6693" s="7">
        <v>1</v>
      </c>
      <c r="C6693" s="7" t="s">
        <v>10</v>
      </c>
      <c r="D6693" s="7">
        <v>6091</v>
      </c>
      <c r="E6693" s="7" t="s">
        <v>30</v>
      </c>
      <c r="F6693" s="8" t="str">
        <f ca="1">IFERROR(__xludf.DUMMYFUNCTION("IF
(
C6694=""фізична особа""
,
VLOOKUP(D6694,IMPORTRANGE(""https://docs.google.com/spreadsheets/d/14Bd19lYaqBhU8_DElYkX7l4wRkHqqCUFNJY4AfY3kHU/edit?usp=sharing  #gid=0"",""фіз особи new!relations_name""),6,FALSE)
,
(IF
(
C6694=""юридична особа""
,
VLOOKUP"&amp;"(D6694,IMPORTRANGE(""https://docs.google.com/spreadsheets/d/14Bd19lYaqBhU8_DElYkX7l4wRkHqqCUFNJY4AfY3kHU/edit?usp=sharing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3" s="7" t="s">
        <v>10</v>
      </c>
      <c r="H6693" s="7">
        <v>6440</v>
      </c>
      <c r="I6693" s="8" t="str">
        <f ca="1">IFERROR(__xludf.DUMMYFUNCTION("IF
(
G6694=""фізична особа""
,
VLOOKUP(H6694,IMPORTRANGE(""https://docs.google.com/spreadsheets/d/14Bd19lYaqBhU8_DElYkX7l4wRkHqqCUFNJY4AfY3kHU/edit?usp=sharing  #gid=0"",""фіз особи new!relations_name""),6,FALSE)
,
(IF
(
G6694=""юридична особа""
,
VLOOKUP"&amp;"(H6694,IMPORTRANGE(""https://docs.google.com/spreadsheets/d/14Bd19lYaqBhU8_DElYkX7l4wRkHqqCUFNJY4AfY3kHU/edit?usp=sharing  #gid=0"",""фіз особи new!relations_name_uo""),7,FALSE)
,
)
))"),"ГУРДУС Володимир Оскарович")</f>
        <v>ГУРДУС Володимир Оскарович</v>
      </c>
      <c r="J6693" s="7" t="s">
        <v>30</v>
      </c>
    </row>
    <row r="6694" spans="1:10" ht="13.2">
      <c r="A6694" s="7">
        <v>6693</v>
      </c>
      <c r="B6694" s="7">
        <v>1</v>
      </c>
      <c r="C6694" s="7" t="s">
        <v>10</v>
      </c>
      <c r="D6694" s="7">
        <v>6091</v>
      </c>
      <c r="E6694" s="7" t="s">
        <v>30</v>
      </c>
      <c r="F6694" s="8" t="str">
        <f ca="1">IFERROR(__xludf.DUMMYFUNCTION("IF
(
C6695=""фізична особа""
,
VLOOKUP(D6695,IMPORTRANGE(""https://docs.google.com/spreadsheets/d/14Bd19lYaqBhU8_DElYkX7l4wRkHqqCUFNJY4AfY3kHU/edit?usp=sharing  #gid=0"",""фіз особи new!relations_name""),6,FALSE)
,
(IF
(
C6695=""юридична особа""
,
VLOOKUP"&amp;"(D6695,IMPORTRANGE(""https://docs.google.com/spreadsheets/d/14Bd19lYaqBhU8_DElYkX7l4wRkHqqCUFNJY4AfY3kHU/edit?usp=sharing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4" s="7" t="s">
        <v>10</v>
      </c>
      <c r="H6694" s="7">
        <v>23557</v>
      </c>
      <c r="I6694" s="8" t="str">
        <f ca="1">IFERROR(__xludf.DUMMYFUNCTION("IF
(
G6695=""фізична особа""
,
VLOOKUP(H6695,IMPORTRANGE(""https://docs.google.com/spreadsheets/d/14Bd19lYaqBhU8_DElYkX7l4wRkHqqCUFNJY4AfY3kHU/edit?usp=sharing  #gid=0"",""фіз особи new!relations_name""),6,FALSE)
,
(IF
(
G6695=""юридична особа""
,
VLOOKUP"&amp;"(H6695,IMPORTRANGE(""https://docs.google.com/spreadsheets/d/14Bd19lYaqBhU8_DElYkX7l4wRkHqqCUFNJY4AfY3kHU/edit?usp=sharing  #gid=0"",""фіз особи new!relations_name_uo""),7,FALSE)
,
)
))"),"ВАРЗАР Юлія Олександрівна")</f>
        <v>ВАРЗАР Юлія Олександрівна</v>
      </c>
      <c r="J6694" s="7" t="s">
        <v>30</v>
      </c>
    </row>
    <row r="6695" spans="1:10" ht="13.2">
      <c r="A6695" s="7">
        <v>6694</v>
      </c>
      <c r="B6695" s="7">
        <v>1</v>
      </c>
      <c r="C6695" s="7" t="s">
        <v>10</v>
      </c>
      <c r="D6695" s="7">
        <v>6091</v>
      </c>
      <c r="E6695" s="7" t="s">
        <v>30</v>
      </c>
      <c r="F6695" s="8" t="str">
        <f ca="1">IFERROR(__xludf.DUMMYFUNCTION("IF
(
C6696=""фізична особа""
,
VLOOKUP(D6696,IMPORTRANGE(""https://docs.google.com/spreadsheets/d/14Bd19lYaqBhU8_DElYkX7l4wRkHqqCUFNJY4AfY3kHU/edit?usp=sharing  #gid=0"",""фіз особи new!relations_name""),6,FALSE)
,
(IF
(
C6696=""юридична особа""
,
VLOOKUP"&amp;"(D6696,IMPORTRANGE(""https://docs.google.com/spreadsheets/d/14Bd19lYaqBhU8_DElYkX7l4wRkHqqCUFNJY4AfY3kHU/edit?usp=sharing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G6695" s="7" t="s">
        <v>10</v>
      </c>
      <c r="H6695" s="7">
        <v>23558</v>
      </c>
      <c r="I6695" s="8" t="str">
        <f ca="1">IFERROR(__xludf.DUMMYFUNCTION("IF
(
G6696=""фізична особа""
,
VLOOKUP(H6696,IMPORTRANGE(""https://docs.google.com/spreadsheets/d/14Bd19lYaqBhU8_DElYkX7l4wRkHqqCUFNJY4AfY3kHU/edit?usp=sharing  #gid=0"",""фіз особи new!relations_name""),6,FALSE)
,
(IF
(
G6696=""юридична особа""
,
VLOOKUP"&amp;"(H6696,IMPORTRANGE(""https://docs.google.com/spreadsheets/d/14Bd19lYaqBhU8_DElYkX7l4wRkHqqCUFNJY4AfY3kHU/edit?usp=sharing  #gid=0"",""фіз особи new!relations_name_uo""),7,FALSE)
,
)
))"),"ЧЕРКАШИНА Ольга Олександрівна")</f>
        <v>ЧЕРКАШИНА Ольга Олександрівна</v>
      </c>
      <c r="J6695" s="7" t="s">
        <v>30</v>
      </c>
    </row>
    <row r="6696" spans="1:10" ht="13.2">
      <c r="A6696" s="7">
        <v>6695</v>
      </c>
      <c r="B6696" s="7">
        <v>1</v>
      </c>
      <c r="C6696" s="7" t="s">
        <v>10</v>
      </c>
      <c r="D6696" s="7">
        <v>6092</v>
      </c>
      <c r="E6696" s="7" t="s">
        <v>29</v>
      </c>
      <c r="F6696" s="8" t="str">
        <f ca="1">IFERROR(__xludf.DUMMYFUNCTION("IF
(
C6697=""фізична особа""
,
VLOOKUP(D6697,IMPORTRANGE(""https://docs.google.com/spreadsheets/d/14Bd19lYaqBhU8_DElYkX7l4wRkHqqCUFNJY4AfY3kHU/edit?usp=sharing  #gid=0"",""фіз особи new!relations_name""),6,FALSE)
,
(IF
(
C6697=""юридична особа""
,
VLOOKUP"&amp;"(D6697,IMPORTRANGE(""https://docs.google.com/spreadsheets/d/14Bd19lYaqBhU8_DElYkX7l4wRkHqqCUFNJY4AfY3kHU/edit?usp=sharing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696" s="7" t="s">
        <v>10</v>
      </c>
      <c r="H6696" s="7">
        <v>0</v>
      </c>
      <c r="I6696" s="8" t="str">
        <f ca="1">IFERROR(__xludf.DUMMYFUNCTION("IF
(
G6697=""фізична особа""
,
VLOOKUP(H6697,IMPORTRANGE(""https://docs.google.com/spreadsheets/d/14Bd19lYaqBhU8_DElYkX7l4wRkHqqCUFNJY4AfY3kHU/edit?usp=sharing  #gid=0"",""фіз особи new!relations_name""),6,FALSE)
,
(IF
(
G6697=""юридична особа""
,
VLOOKUP"&amp;"(H6697,IMPORTRANGE(""https://docs.google.com/spreadsheets/d/14Bd19lYaqBhU8_DElYkX7l4wRkHqqCUFNJY4AfY3kHU/edit?usp=sharing  #gid=0"",""фіз особи new!relations_name_uo""),7,FALSE)
,
)
))"),"#N/A")</f>
        <v>#N/A</v>
      </c>
      <c r="J6696" s="7" t="s">
        <v>104</v>
      </c>
    </row>
    <row r="6697" spans="1:10" ht="13.2">
      <c r="A6697" s="7">
        <v>6696</v>
      </c>
      <c r="B6697" s="7">
        <v>1</v>
      </c>
      <c r="C6697" s="7" t="s">
        <v>10</v>
      </c>
      <c r="D6697" s="7">
        <v>6092</v>
      </c>
      <c r="E6697" s="7" t="s">
        <v>11</v>
      </c>
      <c r="F6697" s="8" t="str">
        <f ca="1">IFERROR(__xludf.DUMMYFUNCTION("IF
(
C6698=""фізична особа""
,
VLOOKUP(D6698,IMPORTRANGE(""https://docs.google.com/spreadsheets/d/14Bd19lYaqBhU8_DElYkX7l4wRkHqqCUFNJY4AfY3kHU/edit?usp=sharing  #gid=0"",""фіз особи new!relations_name""),6,FALSE)
,
(IF
(
C6698=""юридична особа""
,
VLOOKUP"&amp;"(D6698,IMPORTRANGE(""https://docs.google.com/spreadsheets/d/14Bd19lYaqBhU8_DElYkX7l4wRkHqqCUFNJY4AfY3kHU/edit?usp=sharing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697" s="7" t="s">
        <v>10</v>
      </c>
      <c r="H6697" s="7">
        <v>6091</v>
      </c>
      <c r="I6697" s="8" t="str">
        <f ca="1">IFERROR(__xludf.DUMMYFUNCTION("IF
(
G6698=""фізична особа""
,
VLOOKUP(H6698,IMPORTRANGE(""https://docs.google.com/spreadsheets/d/14Bd19lYaqBhU8_DElYkX7l4wRkHqqCUFNJY4AfY3kHU/edit?usp=sharing  #gid=0"",""фіз особи new!relations_name""),6,FALSE)
,
(IF
(
G6698=""юридична особа""
,
VLOOKUP"&amp;"(H6698,IMPORTRANGE(""https://docs.google.com/spreadsheets/d/14Bd19lYaqBhU8_DElYkX7l4wRkHqqCUFNJY4AfY3kHU/edit?usp=sharing  #gid=0"",""фіз особи new!relations_name_uo""),7,FALSE)
,
)
))"),"ЯБЛОЧКІН Роман Володимирович")</f>
        <v>ЯБЛОЧКІН Роман Володимирович</v>
      </c>
      <c r="J6697" s="7" t="s">
        <v>11</v>
      </c>
    </row>
    <row r="6698" spans="1:10" ht="13.2">
      <c r="A6698" s="7">
        <v>6697</v>
      </c>
      <c r="B6698" s="7">
        <v>1</v>
      </c>
      <c r="C6698" s="7" t="s">
        <v>10</v>
      </c>
      <c r="D6698" s="7">
        <v>6092</v>
      </c>
      <c r="E6698" s="7" t="s">
        <v>30</v>
      </c>
      <c r="F6698" s="8" t="str">
        <f ca="1">IFERROR(__xludf.DUMMYFUNCTION("IF
(
C6699=""фізична особа""
,
VLOOKUP(D6699,IMPORTRANGE(""https://docs.google.com/spreadsheets/d/14Bd19lYaqBhU8_DElYkX7l4wRkHqqCUFNJY4AfY3kHU/edit?usp=sharing  #gid=0"",""фіз особи new!relations_name""),6,FALSE)
,
(IF
(
C6699=""юридична особа""
,
VLOOKUP"&amp;"(D6699,IMPORTRANGE(""https://docs.google.com/spreadsheets/d/14Bd19lYaqBhU8_DElYkX7l4wRkHqqCUFNJY4AfY3kHU/edit?usp=sharing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698" s="7" t="s">
        <v>10</v>
      </c>
      <c r="H6698" s="7">
        <v>6179</v>
      </c>
      <c r="I6698" s="8" t="str">
        <f ca="1">IFERROR(__xludf.DUMMYFUNCTION("IF
(
G6699=""фізична особа""
,
VLOOKUP(H6699,IMPORTRANGE(""https://docs.google.com/spreadsheets/d/14Bd19lYaqBhU8_DElYkX7l4wRkHqqCUFNJY4AfY3kHU/edit?usp=sharing  #gid=0"",""фіз особи new!relations_name""),6,FALSE)
,
(IF
(
G6699=""юридична особа""
,
VLOOKUP"&amp;"(H6699,IMPORTRANGE(""https://docs.google.com/spreadsheets/d/14Bd19lYaqBhU8_DElYkX7l4wRkHqqCUFNJY4AfY3kHU/edit?usp=sharing  #gid=0"",""фіз особи new!relations_name_uo""),7,FALSE)
,
)
))"),"КОЛЬЦОВ Михайло Юрійович")</f>
        <v>КОЛЬЦОВ Михайло Юрійович</v>
      </c>
      <c r="J6698" s="7" t="s">
        <v>30</v>
      </c>
    </row>
    <row r="6699" spans="1:10" ht="13.2">
      <c r="A6699" s="7">
        <v>6698</v>
      </c>
      <c r="B6699" s="7">
        <v>1</v>
      </c>
      <c r="C6699" s="7" t="s">
        <v>10</v>
      </c>
      <c r="D6699" s="7">
        <v>6092</v>
      </c>
      <c r="E6699" s="7" t="s">
        <v>30</v>
      </c>
      <c r="F6699" s="8" t="str">
        <f ca="1">IFERROR(__xludf.DUMMYFUNCTION("IF
(
C6700=""фізична особа""
,
VLOOKUP(D6700,IMPORTRANGE(""https://docs.google.com/spreadsheets/d/14Bd19lYaqBhU8_DElYkX7l4wRkHqqCUFNJY4AfY3kHU/edit?usp=sharing  #gid=0"",""фіз особи new!relations_name""),6,FALSE)
,
(IF
(
C6700=""юридична особа""
,
VLOOKUP"&amp;"(D6700,IMPORTRANGE(""https://docs.google.com/spreadsheets/d/14Bd19lYaqBhU8_DElYkX7l4wRkHqqCUFNJY4AfY3kHU/edit?usp=sharing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699" s="7" t="s">
        <v>10</v>
      </c>
      <c r="H6699" s="7">
        <v>23556</v>
      </c>
      <c r="I6699" s="8" t="str">
        <f ca="1">IFERROR(__xludf.DUMMYFUNCTION("IF
(
G6700=""фізична особа""
,
VLOOKUP(H6700,IMPORTRANGE(""https://docs.google.com/spreadsheets/d/14Bd19lYaqBhU8_DElYkX7l4wRkHqqCUFNJY4AfY3kHU/edit?usp=sharing  #gid=0"",""фіз особи new!relations_name""),6,FALSE)
,
(IF
(
G6700=""юридична особа""
,
VLOOKUP"&amp;"(H6700,IMPORTRANGE(""https://docs.google.com/spreadsheets/d/14Bd19lYaqBhU8_DElYkX7l4wRkHqqCUFNJY4AfY3kHU/edit?usp=sharing  #gid=0"",""фіз особи new!relations_name_uo""),7,FALSE)
,
)
))"),"СЕМЕНКО Олександр Борисович")</f>
        <v>СЕМЕНКО Олександр Борисович</v>
      </c>
      <c r="J6699" s="7" t="s">
        <v>30</v>
      </c>
    </row>
    <row r="6700" spans="1:10" ht="13.2">
      <c r="A6700" s="7">
        <v>6699</v>
      </c>
      <c r="B6700" s="7">
        <v>1</v>
      </c>
      <c r="C6700" s="7" t="s">
        <v>10</v>
      </c>
      <c r="D6700" s="7">
        <v>6092</v>
      </c>
      <c r="E6700" s="7" t="s">
        <v>30</v>
      </c>
      <c r="F6700" s="8" t="str">
        <f ca="1">IFERROR(__xludf.DUMMYFUNCTION("IF
(
C6701=""фізична особа""
,
VLOOKUP(D6701,IMPORTRANGE(""https://docs.google.com/spreadsheets/d/14Bd19lYaqBhU8_DElYkX7l4wRkHqqCUFNJY4AfY3kHU/edit?usp=sharing  #gid=0"",""фіз особи new!relations_name""),6,FALSE)
,
(IF
(
C6701=""юридична особа""
,
VLOOKUP"&amp;"(D6701,IMPORTRANGE(""https://docs.google.com/spreadsheets/d/14Bd19lYaqBhU8_DElYkX7l4wRkHqqCUFNJY4AfY3kHU/edit?usp=sharing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700" s="7" t="s">
        <v>10</v>
      </c>
      <c r="H6700" s="7">
        <v>6440</v>
      </c>
      <c r="I6700" s="8" t="str">
        <f ca="1">IFERROR(__xludf.DUMMYFUNCTION("IF
(
G6701=""фізична особа""
,
VLOOKUP(H6701,IMPORTRANGE(""https://docs.google.com/spreadsheets/d/14Bd19lYaqBhU8_DElYkX7l4wRkHqqCUFNJY4AfY3kHU/edit?usp=sharing  #gid=0"",""фіз особи new!relations_name""),6,FALSE)
,
(IF
(
G6701=""юридична особа""
,
VLOOKUP"&amp;"(H6701,IMPORTRANGE(""https://docs.google.com/spreadsheets/d/14Bd19lYaqBhU8_DElYkX7l4wRkHqqCUFNJY4AfY3kHU/edit?usp=sharing  #gid=0"",""фіз особи new!relations_name_uo""),7,FALSE)
,
)
))"),"ГУРДУС Володимир Оскарович")</f>
        <v>ГУРДУС Володимир Оскарович</v>
      </c>
      <c r="J6700" s="7" t="s">
        <v>30</v>
      </c>
    </row>
    <row r="6701" spans="1:10" ht="13.2">
      <c r="A6701" s="7">
        <v>6700</v>
      </c>
      <c r="B6701" s="7">
        <v>1</v>
      </c>
      <c r="C6701" s="7" t="s">
        <v>10</v>
      </c>
      <c r="D6701" s="7">
        <v>6092</v>
      </c>
      <c r="E6701" s="7" t="s">
        <v>30</v>
      </c>
      <c r="F6701" s="8" t="str">
        <f ca="1">IFERROR(__xludf.DUMMYFUNCTION("IF
(
C6702=""фізична особа""
,
VLOOKUP(D6702,IMPORTRANGE(""https://docs.google.com/spreadsheets/d/14Bd19lYaqBhU8_DElYkX7l4wRkHqqCUFNJY4AfY3kHU/edit?usp=sharing  #gid=0"",""фіз особи new!relations_name""),6,FALSE)
,
(IF
(
C6702=""юридична особа""
,
VLOOKUP"&amp;"(D6702,IMPORTRANGE(""https://docs.google.com/spreadsheets/d/14Bd19lYaqBhU8_DElYkX7l4wRkHqqCUFNJY4AfY3kHU/edit?usp=sharing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701" s="7" t="s">
        <v>10</v>
      </c>
      <c r="H6701" s="7">
        <v>23557</v>
      </c>
      <c r="I6701" s="8" t="str">
        <f ca="1">IFERROR(__xludf.DUMMYFUNCTION("IF
(
G6702=""фізична особа""
,
VLOOKUP(H6702,IMPORTRANGE(""https://docs.google.com/spreadsheets/d/14Bd19lYaqBhU8_DElYkX7l4wRkHqqCUFNJY4AfY3kHU/edit?usp=sharing  #gid=0"",""фіз особи new!relations_name""),6,FALSE)
,
(IF
(
G6702=""юридична особа""
,
VLOOKUP"&amp;"(H6702,IMPORTRANGE(""https://docs.google.com/spreadsheets/d/14Bd19lYaqBhU8_DElYkX7l4wRkHqqCUFNJY4AfY3kHU/edit?usp=sharing  #gid=0"",""фіз особи new!relations_name_uo""),7,FALSE)
,
)
))"),"ВАРЗАР Юлія Олександрівна")</f>
        <v>ВАРЗАР Юлія Олександрівна</v>
      </c>
      <c r="J6701" s="7" t="s">
        <v>30</v>
      </c>
    </row>
    <row r="6702" spans="1:10" ht="13.2">
      <c r="A6702" s="7">
        <v>6701</v>
      </c>
      <c r="B6702" s="7">
        <v>1</v>
      </c>
      <c r="C6702" s="7" t="s">
        <v>10</v>
      </c>
      <c r="D6702" s="7">
        <v>6092</v>
      </c>
      <c r="E6702" s="7" t="s">
        <v>30</v>
      </c>
      <c r="F6702" s="8" t="str">
        <f ca="1">IFERROR(__xludf.DUMMYFUNCTION("IF
(
C6703=""фізична особа""
,
VLOOKUP(D6703,IMPORTRANGE(""https://docs.google.com/spreadsheets/d/14Bd19lYaqBhU8_DElYkX7l4wRkHqqCUFNJY4AfY3kHU/edit?usp=sharing  #gid=0"",""фіз особи new!relations_name""),6,FALSE)
,
(IF
(
C6703=""юридична особа""
,
VLOOKUP"&amp;"(D6703,IMPORTRANGE(""https://docs.google.com/spreadsheets/d/14Bd19lYaqBhU8_DElYkX7l4wRkHqqCUFNJY4AfY3kHU/edit?usp=sharing  #gid=0"",""фіз особи new!relations_name_uo""),7,FALSE)
,
)
))"),"НОВАЧУК Михайло Валентинович")</f>
        <v>НОВАЧУК Михайло Валентинович</v>
      </c>
      <c r="G6702" s="7" t="s">
        <v>10</v>
      </c>
      <c r="H6702" s="7">
        <v>23558</v>
      </c>
      <c r="I6702" s="8" t="str">
        <f ca="1">IFERROR(__xludf.DUMMYFUNCTION("IF
(
G6703=""фізична особа""
,
VLOOKUP(H6703,IMPORTRANGE(""https://docs.google.com/spreadsheets/d/14Bd19lYaqBhU8_DElYkX7l4wRkHqqCUFNJY4AfY3kHU/edit?usp=sharing  #gid=0"",""фіз особи new!relations_name""),6,FALSE)
,
(IF
(
G6703=""юридична особа""
,
VLOOKUP"&amp;"(H6703,IMPORTRANGE(""https://docs.google.com/spreadsheets/d/14Bd19lYaqBhU8_DElYkX7l4wRkHqqCUFNJY4AfY3kHU/edit?usp=sharing  #gid=0"",""фіз особи new!relations_name_uo""),7,FALSE)
,
)
))"),"ЧЕРКАШИНА Ольга Олександрівна")</f>
        <v>ЧЕРКАШИНА Ольга Олександрівна</v>
      </c>
      <c r="J6702" s="7" t="s">
        <v>30</v>
      </c>
    </row>
    <row r="6703" spans="1:10" ht="13.2">
      <c r="A6703" s="7">
        <v>6702</v>
      </c>
      <c r="B6703" s="7">
        <v>1</v>
      </c>
      <c r="C6703" s="7" t="s">
        <v>10</v>
      </c>
      <c r="D6703" s="7">
        <v>6095</v>
      </c>
      <c r="E6703" s="7" t="s">
        <v>30</v>
      </c>
      <c r="F6703" s="8" t="str">
        <f ca="1">IFERROR(__xludf.DUMMYFUNCTION("IF
(
C6704=""фізична особа""
,
VLOOKUP(D6704,IMPORTRANGE(""https://docs.google.com/spreadsheets/d/14Bd19lYaqBhU8_DElYkX7l4wRkHqqCUFNJY4AfY3kHU/edit?usp=sharing  #gid=0"",""фіз особи new!relations_name""),6,FALSE)
,
(IF
(
C6704=""юридична особа""
,
VLOOKUP"&amp;"(D6704,IMPORTRANGE(""https://docs.google.com/spreadsheets/d/14Bd19lYaqBhU8_DElYkX7l4wRkHqqCUFNJY4AfY3kHU/edit?usp=sharing  #gid=0"",""фіз особи new!relations_name_uo""),7,FALSE)
,
)
))"),"ЧМАРО Римма Равілівна")</f>
        <v>ЧМАРО Римма Равілівна</v>
      </c>
      <c r="G6703" s="7" t="s">
        <v>10</v>
      </c>
      <c r="H6703" s="7">
        <v>0</v>
      </c>
      <c r="I6703" s="8" t="str">
        <f ca="1">IFERROR(__xludf.DUMMYFUNCTION("IF
(
G6704=""фізична особа""
,
VLOOKUP(H6704,IMPORTRANGE(""https://docs.google.com/spreadsheets/d/14Bd19lYaqBhU8_DElYkX7l4wRkHqqCUFNJY4AfY3kHU/edit?usp=sharing  #gid=0"",""фіз особи new!relations_name""),6,FALSE)
,
(IF
(
G6704=""юридична особа""
,
VLOOKUP"&amp;"(H6704,IMPORTRANGE(""https://docs.google.com/spreadsheets/d/14Bd19lYaqBhU8_DElYkX7l4wRkHqqCUFNJY4AfY3kHU/edit?usp=sharing  #gid=0"",""фіз особи new!relations_name_uo""),7,FALSE)
,
)
))"),"#N/A")</f>
        <v>#N/A</v>
      </c>
      <c r="J6703" s="7" t="s">
        <v>30</v>
      </c>
    </row>
    <row r="6704" spans="1:10" ht="13.2">
      <c r="A6704" s="7">
        <v>6703</v>
      </c>
      <c r="B6704" s="7">
        <v>1</v>
      </c>
      <c r="C6704" s="7" t="s">
        <v>10</v>
      </c>
      <c r="D6704" s="7">
        <v>6095</v>
      </c>
      <c r="E6704" s="7" t="s">
        <v>30</v>
      </c>
      <c r="F6704" s="8" t="str">
        <f ca="1">IFERROR(__xludf.DUMMYFUNCTION("IF
(
C6705=""фізична особа""
,
VLOOKUP(D6705,IMPORTRANGE(""https://docs.google.com/spreadsheets/d/14Bd19lYaqBhU8_DElYkX7l4wRkHqqCUFNJY4AfY3kHU/edit?usp=sharing  #gid=0"",""фіз особи new!relations_name""),6,FALSE)
,
(IF
(
C6705=""юридична особа""
,
VLOOKUP"&amp;"(D6705,IMPORTRANGE(""https://docs.google.com/spreadsheets/d/14Bd19lYaqBhU8_DElYkX7l4wRkHqqCUFNJY4AfY3kHU/edit?usp=sharing  #gid=0"",""фіз особи new!relations_name_uo""),7,FALSE)
,
)
))"),"ЧМАРО Римма Равілівна")</f>
        <v>ЧМАРО Римма Равілівна</v>
      </c>
      <c r="G6704" s="7" t="s">
        <v>10</v>
      </c>
      <c r="H6704" s="7">
        <v>0</v>
      </c>
      <c r="I6704" s="8" t="str">
        <f ca="1">IFERROR(__xludf.DUMMYFUNCTION("IF
(
G6705=""фізична особа""
,
VLOOKUP(H6705,IMPORTRANGE(""https://docs.google.com/spreadsheets/d/14Bd19lYaqBhU8_DElYkX7l4wRkHqqCUFNJY4AfY3kHU/edit?usp=sharing  #gid=0"",""фіз особи new!relations_name""),6,FALSE)
,
(IF
(
G6705=""юридична особа""
,
VLOOKUP"&amp;"(H6705,IMPORTRANGE(""https://docs.google.com/spreadsheets/d/14Bd19lYaqBhU8_DElYkX7l4wRkHqqCUFNJY4AfY3kHU/edit?usp=sharing  #gid=0"",""фіз особи new!relations_name_uo""),7,FALSE)
,
)
))"),"#N/A")</f>
        <v>#N/A</v>
      </c>
      <c r="J6704" s="7" t="s">
        <v>30</v>
      </c>
    </row>
    <row r="6705" spans="1:10" ht="13.2">
      <c r="A6705" s="7">
        <v>6704</v>
      </c>
      <c r="B6705" s="7">
        <v>1</v>
      </c>
      <c r="C6705" s="7" t="s">
        <v>10</v>
      </c>
      <c r="D6705" s="7">
        <v>6095</v>
      </c>
      <c r="E6705" s="7" t="s">
        <v>30</v>
      </c>
      <c r="F6705" s="8" t="str">
        <f ca="1">IFERROR(__xludf.DUMMYFUNCTION("IF
(
C6706=""фізична особа""
,
VLOOKUP(D6706,IMPORTRANGE(""https://docs.google.com/spreadsheets/d/14Bd19lYaqBhU8_DElYkX7l4wRkHqqCUFNJY4AfY3kHU/edit?usp=sharing  #gid=0"",""фіз особи new!relations_name""),6,FALSE)
,
(IF
(
C6706=""юридична особа""
,
VLOOKUP"&amp;"(D6706,IMPORTRANGE(""https://docs.google.com/spreadsheets/d/14Bd19lYaqBhU8_DElYkX7l4wRkHqqCUFNJY4AfY3kHU/edit?usp=sharing  #gid=0"",""фіз особи new!relations_name_uo""),7,FALSE)
,
)
))"),"ЧМАРО Римма Равілівна")</f>
        <v>ЧМАРО Римма Равілівна</v>
      </c>
      <c r="G6705" s="7" t="s">
        <v>10</v>
      </c>
      <c r="H6705" s="7">
        <v>0</v>
      </c>
      <c r="I6705" s="8" t="str">
        <f ca="1">IFERROR(__xludf.DUMMYFUNCTION("IF
(
G6706=""фізична особа""
,
VLOOKUP(H6706,IMPORTRANGE(""https://docs.google.com/spreadsheets/d/14Bd19lYaqBhU8_DElYkX7l4wRkHqqCUFNJY4AfY3kHU/edit?usp=sharing  #gid=0"",""фіз особи new!relations_name""),6,FALSE)
,
(IF
(
G6706=""юридична особа""
,
VLOOKUP"&amp;"(H6706,IMPORTRANGE(""https://docs.google.com/spreadsheets/d/14Bd19lYaqBhU8_DElYkX7l4wRkHqqCUFNJY4AfY3kHU/edit?usp=sharing  #gid=0"",""фіз особи new!relations_name_uo""),7,FALSE)
,
)
))"),"#N/A")</f>
        <v>#N/A</v>
      </c>
      <c r="J6705" s="7" t="s">
        <v>30</v>
      </c>
    </row>
    <row r="6706" spans="1:10" ht="13.2">
      <c r="A6706" s="7">
        <v>6705</v>
      </c>
      <c r="B6706" s="7">
        <v>1</v>
      </c>
      <c r="C6706" s="7" t="s">
        <v>10</v>
      </c>
      <c r="D6706" s="7">
        <v>6095</v>
      </c>
      <c r="E6706" s="7" t="s">
        <v>30</v>
      </c>
      <c r="F6706" s="8" t="str">
        <f ca="1">IFERROR(__xludf.DUMMYFUNCTION("IF
(
C6707=""фізична особа""
,
VLOOKUP(D6707,IMPORTRANGE(""https://docs.google.com/spreadsheets/d/14Bd19lYaqBhU8_DElYkX7l4wRkHqqCUFNJY4AfY3kHU/edit?usp=sharing  #gid=0"",""фіз особи new!relations_name""),6,FALSE)
,
(IF
(
C6707=""юридична особа""
,
VLOOKUP"&amp;"(D6707,IMPORTRANGE(""https://docs.google.com/spreadsheets/d/14Bd19lYaqBhU8_DElYkX7l4wRkHqqCUFNJY4AfY3kHU/edit?usp=sharing  #gid=0"",""фіз особи new!relations_name_uo""),7,FALSE)
,
)
))"),"ЧМАРО Римма Равілівна")</f>
        <v>ЧМАРО Римма Равілівна</v>
      </c>
      <c r="G6706" s="7" t="s">
        <v>10</v>
      </c>
      <c r="H6706" s="7">
        <v>0</v>
      </c>
      <c r="I6706" s="8" t="str">
        <f ca="1">IFERROR(__xludf.DUMMYFUNCTION("IF
(
G6707=""фізична особа""
,
VLOOKUP(H6707,IMPORTRANGE(""https://docs.google.com/spreadsheets/d/14Bd19lYaqBhU8_DElYkX7l4wRkHqqCUFNJY4AfY3kHU/edit?usp=sharing  #gid=0"",""фіз особи new!relations_name""),6,FALSE)
,
(IF
(
G6707=""юридична особа""
,
VLOOKUP"&amp;"(H6707,IMPORTRANGE(""https://docs.google.com/spreadsheets/d/14Bd19lYaqBhU8_DElYkX7l4wRkHqqCUFNJY4AfY3kHU/edit?usp=sharing  #gid=0"",""фіз особи new!relations_name_uo""),7,FALSE)
,
)
))"),"#N/A")</f>
        <v>#N/A</v>
      </c>
      <c r="J6706" s="7" t="s">
        <v>30</v>
      </c>
    </row>
    <row r="6707" spans="1:10" ht="13.2">
      <c r="A6707" s="7">
        <v>6706</v>
      </c>
      <c r="B6707" s="7">
        <v>1</v>
      </c>
      <c r="C6707" s="7" t="s">
        <v>10</v>
      </c>
      <c r="D6707" s="7">
        <v>6095</v>
      </c>
      <c r="E6707" s="7" t="s">
        <v>30</v>
      </c>
      <c r="F6707" s="8" t="str">
        <f ca="1">IFERROR(__xludf.DUMMYFUNCTION("IF
(
C6708=""фізична особа""
,
VLOOKUP(D6708,IMPORTRANGE(""https://docs.google.com/spreadsheets/d/14Bd19lYaqBhU8_DElYkX7l4wRkHqqCUFNJY4AfY3kHU/edit?usp=sharing  #gid=0"",""фіз особи new!relations_name""),6,FALSE)
,
(IF
(
C6708=""юридична особа""
,
VLOOKUP"&amp;"(D6708,IMPORTRANGE(""https://docs.google.com/spreadsheets/d/14Bd19lYaqBhU8_DElYkX7l4wRkHqqCUFNJY4AfY3kHU/edit?usp=sharing  #gid=0"",""фіз особи new!relations_name_uo""),7,FALSE)
,
)
))"),"ЧМАРО Римма Равілівна")</f>
        <v>ЧМАРО Римма Равілівна</v>
      </c>
      <c r="G6707" s="7" t="s">
        <v>10</v>
      </c>
      <c r="H6707" s="7">
        <v>0</v>
      </c>
      <c r="I6707" s="8" t="str">
        <f ca="1">IFERROR(__xludf.DUMMYFUNCTION("IF
(
G6708=""фізична особа""
,
VLOOKUP(H6708,IMPORTRANGE(""https://docs.google.com/spreadsheets/d/14Bd19lYaqBhU8_DElYkX7l4wRkHqqCUFNJY4AfY3kHU/edit?usp=sharing  #gid=0"",""фіз особи new!relations_name""),6,FALSE)
,
(IF
(
G6708=""юридична особа""
,
VLOOKUP"&amp;"(H6708,IMPORTRANGE(""https://docs.google.com/spreadsheets/d/14Bd19lYaqBhU8_DElYkX7l4wRkHqqCUFNJY4AfY3kHU/edit?usp=sharing  #gid=0"",""фіз особи new!relations_name_uo""),7,FALSE)
,
)
))"),"#N/A")</f>
        <v>#N/A</v>
      </c>
      <c r="J6707" s="7" t="s">
        <v>30</v>
      </c>
    </row>
    <row r="6708" spans="1:10" ht="13.2">
      <c r="A6708" s="7">
        <v>6707</v>
      </c>
      <c r="B6708" s="7">
        <v>1</v>
      </c>
      <c r="C6708" s="7" t="s">
        <v>10</v>
      </c>
      <c r="D6708" s="7">
        <v>6123</v>
      </c>
      <c r="E6708" s="7" t="s">
        <v>30</v>
      </c>
      <c r="F6708" s="8" t="str">
        <f ca="1">IFERROR(__xludf.DUMMYFUNCTION("IF
(
C6709=""фізична особа""
,
VLOOKUP(D6709,IMPORTRANGE(""https://docs.google.com/spreadsheets/d/14Bd19lYaqBhU8_DElYkX7l4wRkHqqCUFNJY4AfY3kHU/edit?usp=sharing  #gid=0"",""фіз особи new!relations_name""),6,FALSE)
,
(IF
(
C6709=""юридична особа""
,
VLOOKUP"&amp;"(D6709,IMPORTRANGE(""https://docs.google.com/spreadsheets/d/14Bd19lYaqBhU8_DElYkX7l4wRkHqqCUFNJY4AfY3kHU/edit?usp=sharing  #gid=0"",""фіз особи new!relations_name_uo""),7,FALSE)
,
)
))"),"НИФОНТОВ Кирило Володимирович")</f>
        <v>НИФОНТОВ Кирило Володимирович</v>
      </c>
      <c r="G6708" s="7" t="s">
        <v>10</v>
      </c>
      <c r="H6708" s="7">
        <v>0</v>
      </c>
      <c r="I6708" s="8" t="str">
        <f ca="1">IFERROR(__xludf.DUMMYFUNCTION("IF
(
G6709=""фізична особа""
,
VLOOKUP(H6709,IMPORTRANGE(""https://docs.google.com/spreadsheets/d/14Bd19lYaqBhU8_DElYkX7l4wRkHqqCUFNJY4AfY3kHU/edit?usp=sharing  #gid=0"",""фіз особи new!relations_name""),6,FALSE)
,
(IF
(
G6709=""юридична особа""
,
VLOOKUP"&amp;"(H6709,IMPORTRANGE(""https://docs.google.com/spreadsheets/d/14Bd19lYaqBhU8_DElYkX7l4wRkHqqCUFNJY4AfY3kHU/edit?usp=sharing  #gid=0"",""фіз особи new!relations_name_uo""),7,FALSE)
,
)
))"),"#N/A")</f>
        <v>#N/A</v>
      </c>
      <c r="J6708" s="7" t="s">
        <v>30</v>
      </c>
    </row>
    <row r="6709" spans="1:10" ht="13.2">
      <c r="A6709" s="7">
        <v>6708</v>
      </c>
      <c r="B6709" s="7">
        <v>1</v>
      </c>
      <c r="C6709" s="7" t="s">
        <v>10</v>
      </c>
      <c r="D6709" s="7">
        <v>6123</v>
      </c>
      <c r="E6709" s="7" t="s">
        <v>30</v>
      </c>
      <c r="F6709" s="8" t="str">
        <f ca="1">IFERROR(__xludf.DUMMYFUNCTION("IF
(
C6710=""фізична особа""
,
VLOOKUP(D6710,IMPORTRANGE(""https://docs.google.com/spreadsheets/d/14Bd19lYaqBhU8_DElYkX7l4wRkHqqCUFNJY4AfY3kHU/edit?usp=sharing  #gid=0"",""фіз особи new!relations_name""),6,FALSE)
,
(IF
(
C6710=""юридична особа""
,
VLOOKUP"&amp;"(D6710,IMPORTRANGE(""https://docs.google.com/spreadsheets/d/14Bd19lYaqBhU8_DElYkX7l4wRkHqqCUFNJY4AfY3kHU/edit?usp=sharing  #gid=0"",""фіз особи new!relations_name_uo""),7,FALSE)
,
)
))"),"НИФОНТОВ Кирило Володимирович")</f>
        <v>НИФОНТОВ Кирило Володимирович</v>
      </c>
      <c r="G6709" s="7" t="s">
        <v>10</v>
      </c>
      <c r="H6709" s="7">
        <v>0</v>
      </c>
      <c r="I6709" s="8" t="str">
        <f ca="1">IFERROR(__xludf.DUMMYFUNCTION("IF
(
G6710=""фізична особа""
,
VLOOKUP(H6710,IMPORTRANGE(""https://docs.google.com/spreadsheets/d/14Bd19lYaqBhU8_DElYkX7l4wRkHqqCUFNJY4AfY3kHU/edit?usp=sharing  #gid=0"",""фіз особи new!relations_name""),6,FALSE)
,
(IF
(
G6710=""юридична особа""
,
VLOOKUP"&amp;"(H6710,IMPORTRANGE(""https://docs.google.com/spreadsheets/d/14Bd19lYaqBhU8_DElYkX7l4wRkHqqCUFNJY4AfY3kHU/edit?usp=sharing  #gid=0"",""фіз особи new!relations_name_uo""),7,FALSE)
,
)
))"),"#N/A")</f>
        <v>#N/A</v>
      </c>
      <c r="J6709" s="7" t="s">
        <v>30</v>
      </c>
    </row>
    <row r="6710" spans="1:10" ht="13.2">
      <c r="A6710" s="7">
        <v>6709</v>
      </c>
      <c r="B6710" s="7">
        <v>1</v>
      </c>
      <c r="C6710" s="7" t="s">
        <v>10</v>
      </c>
      <c r="D6710" s="7">
        <v>6123</v>
      </c>
      <c r="E6710" s="7" t="s">
        <v>30</v>
      </c>
      <c r="F6710" s="8" t="str">
        <f ca="1">IFERROR(__xludf.DUMMYFUNCTION("IF
(
C6711=""фізична особа""
,
VLOOKUP(D6711,IMPORTRANGE(""https://docs.google.com/spreadsheets/d/14Bd19lYaqBhU8_DElYkX7l4wRkHqqCUFNJY4AfY3kHU/edit?usp=sharing  #gid=0"",""фіз особи new!relations_name""),6,FALSE)
,
(IF
(
C6711=""юридична особа""
,
VLOOKUP"&amp;"(D6711,IMPORTRANGE(""https://docs.google.com/spreadsheets/d/14Bd19lYaqBhU8_DElYkX7l4wRkHqqCUFNJY4AfY3kHU/edit?usp=sharing  #gid=0"",""фіз особи new!relations_name_uo""),7,FALSE)
,
)
))"),"НИФОНТОВ Кирило Володимирович")</f>
        <v>НИФОНТОВ Кирило Володимирович</v>
      </c>
      <c r="G6710" s="7" t="s">
        <v>10</v>
      </c>
      <c r="H6710" s="7">
        <v>0</v>
      </c>
      <c r="I6710" s="8" t="str">
        <f ca="1">IFERROR(__xludf.DUMMYFUNCTION("IF
(
G6711=""фізична особа""
,
VLOOKUP(H6711,IMPORTRANGE(""https://docs.google.com/spreadsheets/d/14Bd19lYaqBhU8_DElYkX7l4wRkHqqCUFNJY4AfY3kHU/edit?usp=sharing  #gid=0"",""фіз особи new!relations_name""),6,FALSE)
,
(IF
(
G6711=""юридична особа""
,
VLOOKUP"&amp;"(H6711,IMPORTRANGE(""https://docs.google.com/spreadsheets/d/14Bd19lYaqBhU8_DElYkX7l4wRkHqqCUFNJY4AfY3kHU/edit?usp=sharing  #gid=0"",""фіз особи new!relations_name_uo""),7,FALSE)
,
)
))"),"#N/A")</f>
        <v>#N/A</v>
      </c>
      <c r="J6710" s="7" t="s">
        <v>30</v>
      </c>
    </row>
    <row r="6711" spans="1:10" ht="13.2">
      <c r="A6711" s="7">
        <v>6710</v>
      </c>
      <c r="B6711" s="7">
        <v>1</v>
      </c>
      <c r="C6711" s="7" t="s">
        <v>10</v>
      </c>
      <c r="D6711" s="7">
        <v>6123</v>
      </c>
      <c r="E6711" s="7" t="s">
        <v>30</v>
      </c>
      <c r="F6711" s="8" t="str">
        <f ca="1">IFERROR(__xludf.DUMMYFUNCTION("IF
(
C6712=""фізична особа""
,
VLOOKUP(D6712,IMPORTRANGE(""https://docs.google.com/spreadsheets/d/14Bd19lYaqBhU8_DElYkX7l4wRkHqqCUFNJY4AfY3kHU/edit?usp=sharing  #gid=0"",""фіз особи new!relations_name""),6,FALSE)
,
(IF
(
C6712=""юридична особа""
,
VLOOKUP"&amp;"(D6712,IMPORTRANGE(""https://docs.google.com/spreadsheets/d/14Bd19lYaqBhU8_DElYkX7l4wRkHqqCUFNJY4AfY3kHU/edit?usp=sharing  #gid=0"",""фіз особи new!relations_name_uo""),7,FALSE)
,
)
))"),"НИФОНТОВ Кирило Володимирович")</f>
        <v>НИФОНТОВ Кирило Володимирович</v>
      </c>
      <c r="G6711" s="7" t="s">
        <v>10</v>
      </c>
      <c r="H6711" s="7">
        <v>0</v>
      </c>
      <c r="I6711" s="8" t="str">
        <f ca="1">IFERROR(__xludf.DUMMYFUNCTION("IF
(
G6712=""фізична особа""
,
VLOOKUP(H6712,IMPORTRANGE(""https://docs.google.com/spreadsheets/d/14Bd19lYaqBhU8_DElYkX7l4wRkHqqCUFNJY4AfY3kHU/edit?usp=sharing  #gid=0"",""фіз особи new!relations_name""),6,FALSE)
,
(IF
(
G6712=""юридична особа""
,
VLOOKUP"&amp;"(H6712,IMPORTRANGE(""https://docs.google.com/spreadsheets/d/14Bd19lYaqBhU8_DElYkX7l4wRkHqqCUFNJY4AfY3kHU/edit?usp=sharing  #gid=0"",""фіз особи new!relations_name_uo""),7,FALSE)
,
)
))"),"#N/A")</f>
        <v>#N/A</v>
      </c>
      <c r="J6711" s="7" t="s">
        <v>30</v>
      </c>
    </row>
    <row r="6712" spans="1:10" ht="13.2">
      <c r="A6712" s="7">
        <v>6711</v>
      </c>
      <c r="B6712" s="7">
        <v>1</v>
      </c>
      <c r="C6712" s="7" t="s">
        <v>10</v>
      </c>
      <c r="D6712" s="7">
        <v>6123</v>
      </c>
      <c r="E6712" s="7" t="s">
        <v>30</v>
      </c>
      <c r="F6712" s="8" t="str">
        <f ca="1">IFERROR(__xludf.DUMMYFUNCTION("IF
(
C6713=""фізична особа""
,
VLOOKUP(D6713,IMPORTRANGE(""https://docs.google.com/spreadsheets/d/14Bd19lYaqBhU8_DElYkX7l4wRkHqqCUFNJY4AfY3kHU/edit?usp=sharing  #gid=0"",""фіз особи new!relations_name""),6,FALSE)
,
(IF
(
C6713=""юридична особа""
,
VLOOKUP"&amp;"(D6713,IMPORTRANGE(""https://docs.google.com/spreadsheets/d/14Bd19lYaqBhU8_DElYkX7l4wRkHqqCUFNJY4AfY3kHU/edit?usp=sharing  #gid=0"",""фіз особи new!relations_name_uo""),7,FALSE)
,
)
))"),"НИФОНТОВ Кирило Володимирович")</f>
        <v>НИФОНТОВ Кирило Володимирович</v>
      </c>
      <c r="G6712" s="7" t="s">
        <v>10</v>
      </c>
      <c r="H6712" s="7">
        <v>0</v>
      </c>
      <c r="I6712" s="8" t="str">
        <f ca="1">IFERROR(__xludf.DUMMYFUNCTION("IF
(
G6713=""фізична особа""
,
VLOOKUP(H6713,IMPORTRANGE(""https://docs.google.com/spreadsheets/d/14Bd19lYaqBhU8_DElYkX7l4wRkHqqCUFNJY4AfY3kHU/edit?usp=sharing  #gid=0"",""фіз особи new!relations_name""),6,FALSE)
,
(IF
(
G6713=""юридична особа""
,
VLOOKUP"&amp;"(H6713,IMPORTRANGE(""https://docs.google.com/spreadsheets/d/14Bd19lYaqBhU8_DElYkX7l4wRkHqqCUFNJY4AfY3kHU/edit?usp=sharing  #gid=0"",""фіз особи new!relations_name_uo""),7,FALSE)
,
)
))"),"#N/A")</f>
        <v>#N/A</v>
      </c>
      <c r="J6712" s="7" t="s">
        <v>30</v>
      </c>
    </row>
    <row r="6713" spans="1:10" ht="13.2">
      <c r="A6713" s="7">
        <v>6712</v>
      </c>
      <c r="B6713" s="7">
        <v>1</v>
      </c>
      <c r="C6713" s="7" t="s">
        <v>10</v>
      </c>
      <c r="D6713" s="7">
        <v>6124</v>
      </c>
      <c r="E6713" s="7" t="s">
        <v>14</v>
      </c>
      <c r="F6713" s="8" t="str">
        <f ca="1">IFERROR(__xludf.DUMMYFUNCTION("IF
(
C6714=""фізична особа""
,
VLOOKUP(D6714,IMPORTRANGE(""https://docs.google.com/spreadsheets/d/14Bd19lYaqBhU8_DElYkX7l4wRkHqqCUFNJY4AfY3kHU/edit?usp=sharing  #gid=0"",""фіз особи new!relations_name""),6,FALSE)
,
(IF
(
C6714=""юридична особа""
,
VLOOKUP"&amp;"(D6714,IMPORTRANGE(""https://docs.google.com/spreadsheets/d/14Bd19lYaqBhU8_DElYkX7l4wRkHqqCUFNJY4AfY3kHU/edit?usp=sharing  #gid=0"",""фіз особи new!relations_name_uo""),7,FALSE)
,
)
))"),"КІМ Ігор Володимирович")</f>
        <v>КІМ Ігор Володимирович</v>
      </c>
      <c r="G6713" s="7" t="s">
        <v>10</v>
      </c>
      <c r="H6713" s="7">
        <v>0</v>
      </c>
      <c r="I6713" s="8" t="str">
        <f ca="1">IFERROR(__xludf.DUMMYFUNCTION("IF
(
G6714=""фізична особа""
,
VLOOKUP(H6714,IMPORTRANGE(""https://docs.google.com/spreadsheets/d/14Bd19lYaqBhU8_DElYkX7l4wRkHqqCUFNJY4AfY3kHU/edit?usp=sharing  #gid=0"",""фіз особи new!relations_name""),6,FALSE)
,
(IF
(
G6714=""юридична особа""
,
VLOOKUP"&amp;"(H6714,IMPORTRANGE(""https://docs.google.com/spreadsheets/d/14Bd19lYaqBhU8_DElYkX7l4wRkHqqCUFNJY4AfY3kHU/edit?usp=sharing  #gid=0"",""фіз особи new!relations_name_uo""),7,FALSE)
,
)
))"),"#N/A")</f>
        <v>#N/A</v>
      </c>
      <c r="J6713" s="7" t="s">
        <v>15</v>
      </c>
    </row>
    <row r="6714" spans="1:10" ht="13.2">
      <c r="A6714" s="7">
        <v>6713</v>
      </c>
      <c r="B6714" s="7">
        <v>1</v>
      </c>
      <c r="C6714" s="7" t="s">
        <v>10</v>
      </c>
      <c r="D6714" s="7">
        <v>6124</v>
      </c>
      <c r="E6714" s="7" t="s">
        <v>12</v>
      </c>
      <c r="F6714" s="8" t="str">
        <f ca="1">IFERROR(__xludf.DUMMYFUNCTION("IF
(
C6715=""фізична особа""
,
VLOOKUP(D6715,IMPORTRANGE(""https://docs.google.com/spreadsheets/d/14Bd19lYaqBhU8_DElYkX7l4wRkHqqCUFNJY4AfY3kHU/edit?usp=sharing  #gid=0"",""фіз особи new!relations_name""),6,FALSE)
,
(IF
(
C6715=""юридична особа""
,
VLOOKUP"&amp;"(D6715,IMPORTRANGE(""https://docs.google.com/spreadsheets/d/14Bd19lYaqBhU8_DElYkX7l4wRkHqqCUFNJY4AfY3kHU/edit?usp=sharing  #gid=0"",""фіз особи new!relations_name_uo""),7,FALSE)
,
)
))"),"КІМ Ігор Володимирович")</f>
        <v>КІМ Ігор Володимирович</v>
      </c>
      <c r="G6714" s="7" t="s">
        <v>10</v>
      </c>
      <c r="H6714" s="7">
        <v>0</v>
      </c>
      <c r="I6714" s="8" t="str">
        <f ca="1">IFERROR(__xludf.DUMMYFUNCTION("IF
(
G6715=""фізична особа""
,
VLOOKUP(H6715,IMPORTRANGE(""https://docs.google.com/spreadsheets/d/14Bd19lYaqBhU8_DElYkX7l4wRkHqqCUFNJY4AfY3kHU/edit?usp=sharing  #gid=0"",""фіз особи new!relations_name""),6,FALSE)
,
(IF
(
G6715=""юридична особа""
,
VLOOKUP"&amp;"(H6715,IMPORTRANGE(""https://docs.google.com/spreadsheets/d/14Bd19lYaqBhU8_DElYkX7l4wRkHqqCUFNJY4AfY3kHU/edit?usp=sharing  #gid=0"",""фіз особи new!relations_name_uo""),7,FALSE)
,
)
))"),"#N/A")</f>
        <v>#N/A</v>
      </c>
      <c r="J6714" s="7" t="s">
        <v>13</v>
      </c>
    </row>
    <row r="6715" spans="1:10" ht="13.2">
      <c r="A6715" s="7">
        <v>6714</v>
      </c>
      <c r="B6715" s="7">
        <v>1</v>
      </c>
      <c r="C6715" s="7" t="s">
        <v>10</v>
      </c>
      <c r="D6715" s="7">
        <v>6140</v>
      </c>
      <c r="E6715" s="7" t="s">
        <v>29</v>
      </c>
      <c r="F6715" s="8" t="str">
        <f ca="1">IFERROR(__xludf.DUMMYFUNCTION("IF
(
C6716=""фізична особа""
,
VLOOKUP(D6716,IMPORTRANGE(""https://docs.google.com/spreadsheets/d/14Bd19lYaqBhU8_DElYkX7l4wRkHqqCUFNJY4AfY3kHU/edit?usp=sharing  #gid=0"",""фіз особи new!relations_name""),6,FALSE)
,
(IF
(
C6716=""юридична особа""
,
VLOOKUP"&amp;"(D6716,IMPORTRANGE(""https://docs.google.com/spreadsheets/d/14Bd19lYaqBhU8_DElYkX7l4wRkHqqCUFNJY4AfY3kHU/edit?usp=sharing  #gid=0"",""фіз особи new!relations_name_uo""),7,FALSE)
,
)
))"),"ЖУРАВЛЬОВА Ганна Борисівна")</f>
        <v>ЖУРАВЛЬОВА Ганна Борисівна</v>
      </c>
      <c r="G6715" s="7" t="s">
        <v>10</v>
      </c>
      <c r="H6715" s="7">
        <v>0</v>
      </c>
      <c r="I6715" s="8" t="str">
        <f ca="1">IFERROR(__xludf.DUMMYFUNCTION("IF
(
G6716=""фізична особа""
,
VLOOKUP(H6716,IMPORTRANGE(""https://docs.google.com/spreadsheets/d/14Bd19lYaqBhU8_DElYkX7l4wRkHqqCUFNJY4AfY3kHU/edit?usp=sharing  #gid=0"",""фіз особи new!relations_name""),6,FALSE)
,
(IF
(
G6716=""юридична особа""
,
VLOOKUP"&amp;"(H6716,IMPORTRANGE(""https://docs.google.com/spreadsheets/d/14Bd19lYaqBhU8_DElYkX7l4wRkHqqCUFNJY4AfY3kHU/edit?usp=sharing  #gid=0"",""фіз особи new!relations_name_uo""),7,FALSE)
,
)
))"),"#N/A")</f>
        <v>#N/A</v>
      </c>
      <c r="J6715" s="7" t="s">
        <v>104</v>
      </c>
    </row>
    <row r="6716" spans="1:10" ht="13.2">
      <c r="A6716" s="7">
        <v>6715</v>
      </c>
      <c r="B6716" s="7">
        <v>1</v>
      </c>
      <c r="C6716" s="7" t="s">
        <v>10</v>
      </c>
      <c r="D6716" s="7">
        <v>6141</v>
      </c>
      <c r="E6716" s="7" t="s">
        <v>30</v>
      </c>
      <c r="F6716" s="8" t="str">
        <f ca="1">IFERROR(__xludf.DUMMYFUNCTION("IF
(
C6717=""фізична особа""
,
VLOOKUP(D6717,IMPORTRANGE(""https://docs.google.com/spreadsheets/d/14Bd19lYaqBhU8_DElYkX7l4wRkHqqCUFNJY4AfY3kHU/edit?usp=sharing  #gid=0"",""фіз особи new!relations_name""),6,FALSE)
,
(IF
(
C6717=""юридична особа""
,
VLOOKUP"&amp;"(D6717,IMPORTRANGE(""https://docs.google.com/spreadsheets/d/14Bd19lYaqBhU8_DElYkX7l4wRkHqqCUFNJY4AfY3kHU/edit?usp=sharing  #gid=0"",""фіз особи new!relations_name_uo""),7,FALSE)
,
)
))"),"ЛІПІЛІНА Ірина Володимирівна")</f>
        <v>ЛІПІЛІНА Ірина Володимирівна</v>
      </c>
      <c r="G6716" s="7" t="s">
        <v>10</v>
      </c>
      <c r="H6716" s="7">
        <v>0</v>
      </c>
      <c r="I6716" s="8" t="str">
        <f ca="1">IFERROR(__xludf.DUMMYFUNCTION("IF
(
G6717=""фізична особа""
,
VLOOKUP(H6717,IMPORTRANGE(""https://docs.google.com/spreadsheets/d/14Bd19lYaqBhU8_DElYkX7l4wRkHqqCUFNJY4AfY3kHU/edit?usp=sharing  #gid=0"",""фіз особи new!relations_name""),6,FALSE)
,
(IF
(
G6717=""юридична особа""
,
VLOOKUP"&amp;"(H6717,IMPORTRANGE(""https://docs.google.com/spreadsheets/d/14Bd19lYaqBhU8_DElYkX7l4wRkHqqCUFNJY4AfY3kHU/edit?usp=sharing  #gid=0"",""фіз особи new!relations_name_uo""),7,FALSE)
,
)
))"),"#N/A")</f>
        <v>#N/A</v>
      </c>
      <c r="J6716" s="7" t="s">
        <v>30</v>
      </c>
    </row>
    <row r="6717" spans="1:10" ht="13.2">
      <c r="A6717" s="7">
        <v>6716</v>
      </c>
      <c r="B6717" s="7">
        <v>1</v>
      </c>
      <c r="C6717" s="7" t="s">
        <v>10</v>
      </c>
      <c r="D6717" s="7">
        <v>6143</v>
      </c>
      <c r="E6717" s="7" t="s">
        <v>29</v>
      </c>
      <c r="F6717" s="8" t="str">
        <f ca="1">IFERROR(__xludf.DUMMYFUNCTION("IF
(
C6718=""фізична особа""
,
VLOOKUP(D6718,IMPORTRANGE(""https://docs.google.com/spreadsheets/d/14Bd19lYaqBhU8_DElYkX7l4wRkHqqCUFNJY4AfY3kHU/edit?usp=sharing  #gid=0"",""фіз особи new!relations_name""),6,FALSE)
,
(IF
(
C6718=""юридична особа""
,
VLOOKUP"&amp;"(D6718,IMPORTRANGE(""https://docs.google.com/spreadsheets/d/14Bd19lYaqBhU8_DElYkX7l4wRkHqqCUFNJY4AfY3kHU/edit?usp=sharing  #gid=0"",""фіз особи new!relations_name_uo""),7,FALSE)
,
)
))"),"ХАНІКОВ Олександр Вікторович")</f>
        <v>ХАНІКОВ Олександр Вікторович</v>
      </c>
      <c r="G6717" s="7" t="s">
        <v>10</v>
      </c>
      <c r="H6717" s="7">
        <v>0</v>
      </c>
      <c r="I6717" s="8" t="str">
        <f ca="1">IFERROR(__xludf.DUMMYFUNCTION("IF
(
G6718=""фізична особа""
,
VLOOKUP(H6718,IMPORTRANGE(""https://docs.google.com/spreadsheets/d/14Bd19lYaqBhU8_DElYkX7l4wRkHqqCUFNJY4AfY3kHU/edit?usp=sharing  #gid=0"",""фіз особи new!relations_name""),6,FALSE)
,
(IF
(
G6718=""юридична особа""
,
VLOOKUP"&amp;"(H6718,IMPORTRANGE(""https://docs.google.com/spreadsheets/d/14Bd19lYaqBhU8_DElYkX7l4wRkHqqCUFNJY4AfY3kHU/edit?usp=sharing  #gid=0"",""фіз особи new!relations_name_uo""),7,FALSE)
,
)
))"),"#N/A")</f>
        <v>#N/A</v>
      </c>
      <c r="J6717" s="7" t="s">
        <v>104</v>
      </c>
    </row>
    <row r="6718" spans="1:10" ht="13.2">
      <c r="A6718" s="7">
        <v>6717</v>
      </c>
      <c r="B6718" s="7">
        <v>1</v>
      </c>
      <c r="C6718" s="7" t="s">
        <v>10</v>
      </c>
      <c r="D6718" s="7">
        <v>6146</v>
      </c>
      <c r="E6718" s="7" t="s">
        <v>30</v>
      </c>
      <c r="F6718" s="8" t="str">
        <f ca="1">IFERROR(__xludf.DUMMYFUNCTION("IF
(
C6719=""фізична особа""
,
VLOOKUP(D6719,IMPORTRANGE(""https://docs.google.com/spreadsheets/d/14Bd19lYaqBhU8_DElYkX7l4wRkHqqCUFNJY4AfY3kHU/edit?usp=sharing  #gid=0"",""фіз особи new!relations_name""),6,FALSE)
,
(IF
(
C6719=""юридична особа""
,
VLOOKUP"&amp;"(D6719,IMPORTRANGE(""https://docs.google.com/spreadsheets/d/14Bd19lYaqBhU8_DElYkX7l4wRkHqqCUFNJY4AfY3kHU/edit?usp=sharing  #gid=0"",""фіз особи new!relations_name_uo""),7,FALSE)
,
)
))"),"МЕЛІК'ЯН Олександр Геннадійович")</f>
        <v>МЕЛІК'ЯН Олександр Геннадійович</v>
      </c>
      <c r="G6718" s="7" t="s">
        <v>10</v>
      </c>
      <c r="H6718" s="7">
        <v>6149</v>
      </c>
      <c r="I6718" s="8" t="str">
        <f ca="1">IFERROR(__xludf.DUMMYFUNCTION("IF
(
G6719=""фізична особа""
,
VLOOKUP(H6719,IMPORTRANGE(""https://docs.google.com/spreadsheets/d/14Bd19lYaqBhU8_DElYkX7l4wRkHqqCUFNJY4AfY3kHU/edit?usp=sharing  #gid=0"",""фіз особи new!relations_name""),6,FALSE)
,
(IF
(
G6719=""юридична особа""
,
VLOOKUP"&amp;"(H6719,IMPORTRANGE(""https://docs.google.com/spreadsheets/d/14Bd19lYaqBhU8_DElYkX7l4wRkHqqCUFNJY4AfY3kHU/edit?usp=sharing  #gid=0"",""фіз особи new!relations_name_uo""),7,FALSE)
,
)
))"),"МЕДВЕДЄВ Василь Вікторович")</f>
        <v>МЕДВЕДЄВ Василь Вікторович</v>
      </c>
      <c r="J6718" s="7" t="s">
        <v>30</v>
      </c>
    </row>
    <row r="6719" spans="1:10" ht="13.2">
      <c r="A6719" s="7">
        <v>6718</v>
      </c>
      <c r="B6719" s="7">
        <v>1</v>
      </c>
      <c r="C6719" s="7" t="s">
        <v>10</v>
      </c>
      <c r="D6719" s="7">
        <v>6146</v>
      </c>
      <c r="E6719" s="7" t="s">
        <v>17</v>
      </c>
      <c r="F6719" s="8" t="str">
        <f ca="1">IFERROR(__xludf.DUMMYFUNCTION("IF
(
C6720=""фізична особа""
,
VLOOKUP(D6720,IMPORTRANGE(""https://docs.google.com/spreadsheets/d/14Bd19lYaqBhU8_DElYkX7l4wRkHqqCUFNJY4AfY3kHU/edit?usp=sharing  #gid=0"",""фіз особи new!relations_name""),6,FALSE)
,
(IF
(
C6720=""юридична особа""
,
VLOOKUP"&amp;"(D6720,IMPORTRANGE(""https://docs.google.com/spreadsheets/d/14Bd19lYaqBhU8_DElYkX7l4wRkHqqCUFNJY4AfY3kHU/edit?usp=sharing  #gid=0"",""фіз особи new!relations_name_uo""),7,FALSE)
,
)
))"),"МЕЛІК'ЯН Олександр Геннадійович")</f>
        <v>МЕЛІК'ЯН Олександр Геннадійович</v>
      </c>
      <c r="G6719" s="7" t="s">
        <v>10</v>
      </c>
      <c r="H6719" s="7">
        <v>1391</v>
      </c>
      <c r="I6719" s="8" t="str">
        <f ca="1">IFERROR(__xludf.DUMMYFUNCTION("IF
(
G6720=""фізична особа""
,
VLOOKUP(H6720,IMPORTRANGE(""https://docs.google.com/spreadsheets/d/14Bd19lYaqBhU8_DElYkX7l4wRkHqqCUFNJY4AfY3kHU/edit?usp=sharing  #gid=0"",""фіз особи new!relations_name""),6,FALSE)
,
(IF
(
G6720=""юридична особа""
,
VLOOKUP"&amp;"(H6720,IMPORTRANGE(""https://docs.google.com/spreadsheets/d/14Bd19lYaqBhU8_DElYkX7l4wRkHqqCUFNJY4AfY3kHU/edit?usp=sharing  #gid=0"",""фіз особи new!relations_name_uo""),7,FALSE)
,
)
))"),"МЕЛІК'ЯН Геннадій Георгійович")</f>
        <v>МЕЛІК'ЯН Геннадій Георгійович</v>
      </c>
      <c r="J6719" s="7" t="s">
        <v>12</v>
      </c>
    </row>
    <row r="6720" spans="1:10" ht="13.2">
      <c r="A6720" s="7">
        <v>6719</v>
      </c>
      <c r="B6720" s="7">
        <v>1</v>
      </c>
      <c r="C6720" s="7" t="s">
        <v>10</v>
      </c>
      <c r="D6720" s="7">
        <v>6149</v>
      </c>
      <c r="E6720" s="7" t="s">
        <v>30</v>
      </c>
      <c r="F6720" s="8" t="str">
        <f ca="1">IFERROR(__xludf.DUMMYFUNCTION("IF
(
C6721=""фізична особа""
,
VLOOKUP(D6721,IMPORTRANGE(""https://docs.google.com/spreadsheets/d/14Bd19lYaqBhU8_DElYkX7l4wRkHqqCUFNJY4AfY3kHU/edit?usp=sharing  #gid=0"",""фіз особи new!relations_name""),6,FALSE)
,
(IF
(
C6721=""юридична особа""
,
VLOOKUP"&amp;"(D6721,IMPORTRANGE(""https://docs.google.com/spreadsheets/d/14Bd19lYaqBhU8_DElYkX7l4wRkHqqCUFNJY4AfY3kHU/edit?usp=sharing  #gid=0"",""фіз особи new!relations_name_uo""),7,FALSE)
,
)
))"),"МЕДВЕДЄВ Василь Вікторович")</f>
        <v>МЕДВЕДЄВ Василь Вікторович</v>
      </c>
      <c r="G6720" s="7" t="s">
        <v>10</v>
      </c>
      <c r="H6720" s="7">
        <v>6146</v>
      </c>
      <c r="I6720" s="8" t="str">
        <f ca="1">IFERROR(__xludf.DUMMYFUNCTION("IF
(
G6721=""фізична особа""
,
VLOOKUP(H6721,IMPORTRANGE(""https://docs.google.com/spreadsheets/d/14Bd19lYaqBhU8_DElYkX7l4wRkHqqCUFNJY4AfY3kHU/edit?usp=sharing  #gid=0"",""фіз особи new!relations_name""),6,FALSE)
,
(IF
(
G6721=""юридична особа""
,
VLOOKUP"&amp;"(H6721,IMPORTRANGE(""https://docs.google.com/spreadsheets/d/14Bd19lYaqBhU8_DElYkX7l4wRkHqqCUFNJY4AfY3kHU/edit?usp=sharing  #gid=0"",""фіз особи new!relations_name_uo""),7,FALSE)
,
)
))"),"МЕЛІК'ЯН Олександр Геннадійович")</f>
        <v>МЕЛІК'ЯН Олександр Геннадійович</v>
      </c>
      <c r="J6720" s="7" t="s">
        <v>30</v>
      </c>
    </row>
    <row r="6721" spans="1:10" ht="13.2">
      <c r="A6721" s="7">
        <v>6720</v>
      </c>
      <c r="B6721" s="7">
        <v>1</v>
      </c>
      <c r="C6721" s="7" t="s">
        <v>10</v>
      </c>
      <c r="D6721" s="7">
        <v>6149</v>
      </c>
      <c r="E6721" s="7" t="s">
        <v>30</v>
      </c>
      <c r="F6721" s="8" t="str">
        <f ca="1">IFERROR(__xludf.DUMMYFUNCTION("IF
(
C6722=""фізична особа""
,
VLOOKUP(D6722,IMPORTRANGE(""https://docs.google.com/spreadsheets/d/14Bd19lYaqBhU8_DElYkX7l4wRkHqqCUFNJY4AfY3kHU/edit?usp=sharing  #gid=0"",""фіз особи new!relations_name""),6,FALSE)
,
(IF
(
C6722=""юридична особа""
,
VLOOKUP"&amp;"(D6722,IMPORTRANGE(""https://docs.google.com/spreadsheets/d/14Bd19lYaqBhU8_DElYkX7l4wRkHqqCUFNJY4AfY3kHU/edit?usp=sharing  #gid=0"",""фіз особи new!relations_name_uo""),7,FALSE)
,
)
))"),"МЕДВЕДЄВ Василь Вікторович")</f>
        <v>МЕДВЕДЄВ Василь Вікторович</v>
      </c>
      <c r="G6721" s="7" t="s">
        <v>10</v>
      </c>
      <c r="H6721" s="7">
        <v>0</v>
      </c>
      <c r="I6721" s="8" t="str">
        <f ca="1">IFERROR(__xludf.DUMMYFUNCTION("IF
(
G6722=""фізична особа""
,
VLOOKUP(H6722,IMPORTRANGE(""https://docs.google.com/spreadsheets/d/14Bd19lYaqBhU8_DElYkX7l4wRkHqqCUFNJY4AfY3kHU/edit?usp=sharing  #gid=0"",""фіз особи new!relations_name""),6,FALSE)
,
(IF
(
G6722=""юридична особа""
,
VLOOKUP"&amp;"(H6722,IMPORTRANGE(""https://docs.google.com/spreadsheets/d/14Bd19lYaqBhU8_DElYkX7l4wRkHqqCUFNJY4AfY3kHU/edit?usp=sharing  #gid=0"",""фіз особи new!relations_name_uo""),7,FALSE)
,
)
))"),"#N/A")</f>
        <v>#N/A</v>
      </c>
      <c r="J6721" s="7" t="s">
        <v>30</v>
      </c>
    </row>
    <row r="6722" spans="1:10" ht="13.2">
      <c r="A6722" s="7">
        <v>6721</v>
      </c>
      <c r="B6722" s="7">
        <v>1</v>
      </c>
      <c r="C6722" s="7" t="s">
        <v>10</v>
      </c>
      <c r="D6722" s="7">
        <v>6149</v>
      </c>
      <c r="E6722" s="7" t="s">
        <v>30</v>
      </c>
      <c r="F6722" s="8" t="str">
        <f ca="1">IFERROR(__xludf.DUMMYFUNCTION("IF
(
C6723=""фізична особа""
,
VLOOKUP(D6723,IMPORTRANGE(""https://docs.google.com/spreadsheets/d/14Bd19lYaqBhU8_DElYkX7l4wRkHqqCUFNJY4AfY3kHU/edit?usp=sharing  #gid=0"",""фіз особи new!relations_name""),6,FALSE)
,
(IF
(
C6723=""юридична особа""
,
VLOOKUP"&amp;"(D6723,IMPORTRANGE(""https://docs.google.com/spreadsheets/d/14Bd19lYaqBhU8_DElYkX7l4wRkHqqCUFNJY4AfY3kHU/edit?usp=sharing  #gid=0"",""фіз особи new!relations_name_uo""),7,FALSE)
,
)
))"),"МЕДВЕДЄВ Василь Вікторович")</f>
        <v>МЕДВЕДЄВ Василь Вікторович</v>
      </c>
      <c r="G6722" s="7" t="s">
        <v>10</v>
      </c>
      <c r="H6722" s="7">
        <v>0</v>
      </c>
      <c r="I6722" s="8" t="str">
        <f ca="1">IFERROR(__xludf.DUMMYFUNCTION("IF
(
G6723=""фізична особа""
,
VLOOKUP(H6723,IMPORTRANGE(""https://docs.google.com/spreadsheets/d/14Bd19lYaqBhU8_DElYkX7l4wRkHqqCUFNJY4AfY3kHU/edit?usp=sharing  #gid=0"",""фіз особи new!relations_name""),6,FALSE)
,
(IF
(
G6723=""юридична особа""
,
VLOOKUP"&amp;"(H6723,IMPORTRANGE(""https://docs.google.com/spreadsheets/d/14Bd19lYaqBhU8_DElYkX7l4wRkHqqCUFNJY4AfY3kHU/edit?usp=sharing  #gid=0"",""фіз особи new!relations_name_uo""),7,FALSE)
,
)
))"),"#N/A")</f>
        <v>#N/A</v>
      </c>
      <c r="J6722" s="7" t="s">
        <v>30</v>
      </c>
    </row>
    <row r="6723" spans="1:10" ht="13.2">
      <c r="A6723" s="7">
        <v>6722</v>
      </c>
      <c r="B6723" s="7">
        <v>1</v>
      </c>
      <c r="C6723" s="7" t="s">
        <v>10</v>
      </c>
      <c r="D6723" s="7">
        <v>6157</v>
      </c>
      <c r="E6723" s="7" t="s">
        <v>30</v>
      </c>
      <c r="F6723" s="8" t="str">
        <f ca="1">IFERROR(__xludf.DUMMYFUNCTION("IF
(
C6724=""фізична особа""
,
VLOOKUP(D6724,IMPORTRANGE(""https://docs.google.com/spreadsheets/d/14Bd19lYaqBhU8_DElYkX7l4wRkHqqCUFNJY4AfY3kHU/edit?usp=sharing  #gid=0"",""фіз особи new!relations_name""),6,FALSE)
,
(IF
(
C6724=""юридична особа""
,
VLOOKUP"&amp;"(D6724,IMPORTRANGE(""https://docs.google.com/spreadsheets/d/14Bd19lYaqBhU8_DElYkX7l4wRkHqqCUFNJY4AfY3kHU/edit?usp=sharing  #gid=0"",""фіз особи new!relations_name_uo""),7,FALSE)
,
)
))"),"КИСЕЛЬОВ Сергій Васильович")</f>
        <v>КИСЕЛЬОВ Сергій Васильович</v>
      </c>
      <c r="G6723" s="7" t="s">
        <v>10</v>
      </c>
      <c r="H6723" s="7">
        <v>0</v>
      </c>
      <c r="I6723" s="8" t="str">
        <f ca="1">IFERROR(__xludf.DUMMYFUNCTION("IF
(
G6724=""фізична особа""
,
VLOOKUP(H6724,IMPORTRANGE(""https://docs.google.com/spreadsheets/d/14Bd19lYaqBhU8_DElYkX7l4wRkHqqCUFNJY4AfY3kHU/edit?usp=sharing  #gid=0"",""фіз особи new!relations_name""),6,FALSE)
,
(IF
(
G6724=""юридична особа""
,
VLOOKUP"&amp;"(H6724,IMPORTRANGE(""https://docs.google.com/spreadsheets/d/14Bd19lYaqBhU8_DElYkX7l4wRkHqqCUFNJY4AfY3kHU/edit?usp=sharing  #gid=0"",""фіз особи new!relations_name_uo""),7,FALSE)
,
)
))"),"#N/A")</f>
        <v>#N/A</v>
      </c>
      <c r="J6723" s="7" t="s">
        <v>30</v>
      </c>
    </row>
    <row r="6724" spans="1:10" ht="13.2">
      <c r="A6724" s="7">
        <v>6723</v>
      </c>
      <c r="B6724" s="7">
        <v>1</v>
      </c>
      <c r="C6724" s="7" t="s">
        <v>10</v>
      </c>
      <c r="D6724" s="7">
        <v>6157</v>
      </c>
      <c r="E6724" s="7" t="s">
        <v>30</v>
      </c>
      <c r="F6724" s="8" t="str">
        <f ca="1">IFERROR(__xludf.DUMMYFUNCTION("IF
(
C6725=""фізична особа""
,
VLOOKUP(D6725,IMPORTRANGE(""https://docs.google.com/spreadsheets/d/14Bd19lYaqBhU8_DElYkX7l4wRkHqqCUFNJY4AfY3kHU/edit?usp=sharing  #gid=0"",""фіз особи new!relations_name""),6,FALSE)
,
(IF
(
C6725=""юридична особа""
,
VLOOKUP"&amp;"(D6725,IMPORTRANGE(""https://docs.google.com/spreadsheets/d/14Bd19lYaqBhU8_DElYkX7l4wRkHqqCUFNJY4AfY3kHU/edit?usp=sharing  #gid=0"",""фіз особи new!relations_name_uo""),7,FALSE)
,
)
))"),"КИСЕЛЬОВ Сергій Васильович")</f>
        <v>КИСЕЛЬОВ Сергій Васильович</v>
      </c>
      <c r="G6724" s="7" t="s">
        <v>10</v>
      </c>
      <c r="H6724" s="7">
        <v>0</v>
      </c>
      <c r="I6724" s="8" t="str">
        <f ca="1">IFERROR(__xludf.DUMMYFUNCTION("IF
(
G6725=""фізична особа""
,
VLOOKUP(H6725,IMPORTRANGE(""https://docs.google.com/spreadsheets/d/14Bd19lYaqBhU8_DElYkX7l4wRkHqqCUFNJY4AfY3kHU/edit?usp=sharing  #gid=0"",""фіз особи new!relations_name""),6,FALSE)
,
(IF
(
G6725=""юридична особа""
,
VLOOKUP"&amp;"(H6725,IMPORTRANGE(""https://docs.google.com/spreadsheets/d/14Bd19lYaqBhU8_DElYkX7l4wRkHqqCUFNJY4AfY3kHU/edit?usp=sharing  #gid=0"",""фіз особи new!relations_name_uo""),7,FALSE)
,
)
))"),"#N/A")</f>
        <v>#N/A</v>
      </c>
      <c r="J6724" s="7" t="s">
        <v>30</v>
      </c>
    </row>
    <row r="6725" spans="1:10" ht="13.2">
      <c r="A6725" s="7">
        <v>6724</v>
      </c>
      <c r="B6725" s="7">
        <v>1</v>
      </c>
      <c r="C6725" s="7" t="s">
        <v>10</v>
      </c>
      <c r="D6725" s="7">
        <v>6157</v>
      </c>
      <c r="E6725" s="7" t="s">
        <v>30</v>
      </c>
      <c r="F6725" s="8" t="str">
        <f ca="1">IFERROR(__xludf.DUMMYFUNCTION("IF
(
C6726=""фізична особа""
,
VLOOKUP(D6726,IMPORTRANGE(""https://docs.google.com/spreadsheets/d/14Bd19lYaqBhU8_DElYkX7l4wRkHqqCUFNJY4AfY3kHU/edit?usp=sharing  #gid=0"",""фіз особи new!relations_name""),6,FALSE)
,
(IF
(
C6726=""юридична особа""
,
VLOOKUP"&amp;"(D6726,IMPORTRANGE(""https://docs.google.com/spreadsheets/d/14Bd19lYaqBhU8_DElYkX7l4wRkHqqCUFNJY4AfY3kHU/edit?usp=sharing  #gid=0"",""фіз особи new!relations_name_uo""),7,FALSE)
,
)
))"),"КИСЕЛЬОВ Сергій Васильович")</f>
        <v>КИСЕЛЬОВ Сергій Васильович</v>
      </c>
      <c r="G6725" s="7" t="s">
        <v>10</v>
      </c>
      <c r="H6725" s="7">
        <v>0</v>
      </c>
      <c r="I6725" s="8" t="str">
        <f ca="1">IFERROR(__xludf.DUMMYFUNCTION("IF
(
G6726=""фізична особа""
,
VLOOKUP(H6726,IMPORTRANGE(""https://docs.google.com/spreadsheets/d/14Bd19lYaqBhU8_DElYkX7l4wRkHqqCUFNJY4AfY3kHU/edit?usp=sharing  #gid=0"",""фіз особи new!relations_name""),6,FALSE)
,
(IF
(
G6726=""юридична особа""
,
VLOOKUP"&amp;"(H6726,IMPORTRANGE(""https://docs.google.com/spreadsheets/d/14Bd19lYaqBhU8_DElYkX7l4wRkHqqCUFNJY4AfY3kHU/edit?usp=sharing  #gid=0"",""фіз особи new!relations_name_uo""),7,FALSE)
,
)
))"),"#N/A")</f>
        <v>#N/A</v>
      </c>
      <c r="J6725" s="7" t="s">
        <v>30</v>
      </c>
    </row>
    <row r="6726" spans="1:10" ht="13.2">
      <c r="A6726" s="7">
        <v>6725</v>
      </c>
      <c r="B6726" s="7">
        <v>1</v>
      </c>
      <c r="C6726" s="7" t="s">
        <v>10</v>
      </c>
      <c r="D6726" s="7">
        <v>6159</v>
      </c>
      <c r="E6726" s="7" t="s">
        <v>29</v>
      </c>
      <c r="F6726" s="8" t="str">
        <f ca="1">IFERROR(__xludf.DUMMYFUNCTION("IF
(
C6727=""фізична особа""
,
VLOOKUP(D6727,IMPORTRANGE(""https://docs.google.com/spreadsheets/d/14Bd19lYaqBhU8_DElYkX7l4wRkHqqCUFNJY4AfY3kHU/edit?usp=sharing  #gid=0"",""фіз особи new!relations_name""),6,FALSE)
,
(IF
(
C6727=""юридична особа""
,
VLOOKUP"&amp;"(D6727,IMPORTRANGE(""https://docs.google.com/spreadsheets/d/14Bd19lYaqBhU8_DElYkX7l4wRkHqqCUFNJY4AfY3kHU/edit?usp=sharing  #gid=0"",""фіз особи new!relations_name_uo""),7,FALSE)
,
)
))"),"КЛИМОВ Михайло Іванович")</f>
        <v>КЛИМОВ Михайло Іванович</v>
      </c>
      <c r="G6726" s="7" t="s">
        <v>10</v>
      </c>
      <c r="H6726" s="7">
        <v>6160</v>
      </c>
      <c r="I6726" s="8" t="str">
        <f ca="1">IFERROR(__xludf.DUMMYFUNCTION("IF
(
G6727=""фізична особа""
,
VLOOKUP(H6727,IMPORTRANGE(""https://docs.google.com/spreadsheets/d/14Bd19lYaqBhU8_DElYkX7l4wRkHqqCUFNJY4AfY3kHU/edit?usp=sharing  #gid=0"",""фіз особи new!relations_name""),6,FALSE)
,
(IF
(
G6727=""юридична особа""
,
VLOOKUP"&amp;"(H6727,IMPORTRANGE(""https://docs.google.com/spreadsheets/d/14Bd19lYaqBhU8_DElYkX7l4wRkHqqCUFNJY4AfY3kHU/edit?usp=sharing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J6726" s="7" t="s">
        <v>104</v>
      </c>
    </row>
    <row r="6727" spans="1:10" ht="13.2">
      <c r="A6727" s="7">
        <v>6726</v>
      </c>
      <c r="B6727" s="7">
        <v>1</v>
      </c>
      <c r="C6727" s="7" t="s">
        <v>10</v>
      </c>
      <c r="D6727" s="7">
        <v>6160</v>
      </c>
      <c r="E6727" s="7" t="s">
        <v>11</v>
      </c>
      <c r="F6727" s="8" t="str">
        <f ca="1">IFERROR(__xludf.DUMMYFUNCTION("IF
(
C6728=""фізична особа""
,
VLOOKUP(D6728,IMPORTRANGE(""https://docs.google.com/spreadsheets/d/14Bd19lYaqBhU8_DElYkX7l4wRkHqqCUFNJY4AfY3kHU/edit?usp=sharing  #gid=0"",""фіз особи new!relations_name""),6,FALSE)
,
(IF
(
C6728=""юридична особа""
,
VLOOKUP"&amp;"(D6728,IMPORTRANGE(""https://docs.google.com/spreadsheets/d/14Bd19lYaqBhU8_DElYkX7l4wRkHqqCUFNJY4AfY3kHU/edit?usp=sharing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G6727" s="7" t="s">
        <v>10</v>
      </c>
      <c r="H6727" s="7">
        <v>0</v>
      </c>
      <c r="I6727" s="8" t="str">
        <f ca="1">IFERROR(__xludf.DUMMYFUNCTION("IF
(
G6728=""фізична особа""
,
VLOOKUP(H6728,IMPORTRANGE(""https://docs.google.com/spreadsheets/d/14Bd19lYaqBhU8_DElYkX7l4wRkHqqCUFNJY4AfY3kHU/edit?usp=sharing  #gid=0"",""фіз особи new!relations_name""),6,FALSE)
,
(IF
(
G6728=""юридична особа""
,
VLOOKUP"&amp;"(H6728,IMPORTRANGE(""https://docs.google.com/spreadsheets/d/14Bd19lYaqBhU8_DElYkX7l4wRkHqqCUFNJY4AfY3kHU/edit?usp=sharing  #gid=0"",""фіз особи new!relations_name_uo""),7,FALSE)
,
)
))"),"#N/A")</f>
        <v>#N/A</v>
      </c>
      <c r="J6727" s="7" t="s">
        <v>11</v>
      </c>
    </row>
    <row r="6728" spans="1:10" ht="13.2">
      <c r="A6728" s="7">
        <v>6727</v>
      </c>
      <c r="B6728" s="7">
        <v>1</v>
      </c>
      <c r="C6728" s="7" t="s">
        <v>10</v>
      </c>
      <c r="D6728" s="7">
        <v>6160</v>
      </c>
      <c r="E6728" s="7" t="s">
        <v>11</v>
      </c>
      <c r="F6728" s="8" t="str">
        <f ca="1">IFERROR(__xludf.DUMMYFUNCTION("IF
(
C6729=""фізична особа""
,
VLOOKUP(D6729,IMPORTRANGE(""https://docs.google.com/spreadsheets/d/14Bd19lYaqBhU8_DElYkX7l4wRkHqqCUFNJY4AfY3kHU/edit?usp=sharing  #gid=0"",""фіз особи new!relations_name""),6,FALSE)
,
(IF
(
C6729=""юридична особа""
,
VLOOKUP"&amp;"(D6729,IMPORTRANGE(""https://docs.google.com/spreadsheets/d/14Bd19lYaqBhU8_DElYkX7l4wRkHqqCUFNJY4AfY3kHU/edit?usp=sharing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G6728" s="7" t="s">
        <v>10</v>
      </c>
      <c r="H6728" s="7">
        <v>0</v>
      </c>
      <c r="I6728" s="8" t="str">
        <f ca="1">IFERROR(__xludf.DUMMYFUNCTION("IF
(
G6729=""фізична особа""
,
VLOOKUP(H6729,IMPORTRANGE(""https://docs.google.com/spreadsheets/d/14Bd19lYaqBhU8_DElYkX7l4wRkHqqCUFNJY4AfY3kHU/edit?usp=sharing  #gid=0"",""фіз особи new!relations_name""),6,FALSE)
,
(IF
(
G6729=""юридична особа""
,
VLOOKUP"&amp;"(H6729,IMPORTRANGE(""https://docs.google.com/spreadsheets/d/14Bd19lYaqBhU8_DElYkX7l4wRkHqqCUFNJY4AfY3kHU/edit?usp=sharing  #gid=0"",""фіз особи new!relations_name_uo""),7,FALSE)
,
)
))"),"#N/A")</f>
        <v>#N/A</v>
      </c>
      <c r="J6728" s="7" t="s">
        <v>11</v>
      </c>
    </row>
    <row r="6729" spans="1:10" ht="13.2">
      <c r="A6729" s="7">
        <v>6728</v>
      </c>
      <c r="B6729" s="7">
        <v>1</v>
      </c>
      <c r="C6729" s="7" t="s">
        <v>10</v>
      </c>
      <c r="D6729" s="7">
        <v>6160</v>
      </c>
      <c r="E6729" s="7" t="s">
        <v>29</v>
      </c>
      <c r="F6729" s="8" t="str">
        <f ca="1">IFERROR(__xludf.DUMMYFUNCTION("IF
(
C6730=""фізична особа""
,
VLOOKUP(D6730,IMPORTRANGE(""https://docs.google.com/spreadsheets/d/14Bd19lYaqBhU8_DElYkX7l4wRkHqqCUFNJY4AfY3kHU/edit?usp=sharing  #gid=0"",""фіз особи new!relations_name""),6,FALSE)
,
(IF
(
C6730=""юридична особа""
,
VLOOKUP"&amp;"(D6730,IMPORTRANGE(""https://docs.google.com/spreadsheets/d/14Bd19lYaqBhU8_DElYkX7l4wRkHqqCUFNJY4AfY3kHU/edit?usp=sharing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G6729" s="7" t="s">
        <v>10</v>
      </c>
      <c r="H6729" s="7">
        <v>6242</v>
      </c>
      <c r="I6729" s="8" t="str">
        <f ca="1">IFERROR(__xludf.DUMMYFUNCTION("IF
(
G6730=""фізична особа""
,
VLOOKUP(H6730,IMPORTRANGE(""https://docs.google.com/spreadsheets/d/14Bd19lYaqBhU8_DElYkX7l4wRkHqqCUFNJY4AfY3kHU/edit?usp=sharing  #gid=0"",""фіз особи new!relations_name""),6,FALSE)
,
(IF
(
G6730=""юридична особа""
,
VLOOKUP"&amp;"(H6730,IMPORTRANGE(""https://docs.google.com/spreadsheets/d/14Bd19lYaqBhU8_DElYkX7l4wRkHqqCUFNJY4AfY3kHU/edit?usp=sharing  #gid=0"",""фіз особи new!relations_name_uo""),7,FALSE)
,
)
))"),"ТОРХОВ Валерій Леонідович")</f>
        <v>ТОРХОВ Валерій Леонідович</v>
      </c>
      <c r="J6729" s="7" t="s">
        <v>28</v>
      </c>
    </row>
    <row r="6730" spans="1:10" ht="13.2">
      <c r="A6730" s="7">
        <v>6729</v>
      </c>
      <c r="B6730" s="7">
        <v>1</v>
      </c>
      <c r="C6730" s="7" t="s">
        <v>10</v>
      </c>
      <c r="D6730" s="7">
        <v>6161</v>
      </c>
      <c r="E6730" s="7" t="s">
        <v>28</v>
      </c>
      <c r="F6730" s="8" t="str">
        <f ca="1">IFERROR(__xludf.DUMMYFUNCTION("IF
(
C6731=""фізична особа""
,
VLOOKUP(D6731,IMPORTRANGE(""https://docs.google.com/spreadsheets/d/14Bd19lYaqBhU8_DElYkX7l4wRkHqqCUFNJY4AfY3kHU/edit?usp=sharing  #gid=0"",""фіз особи new!relations_name""),6,FALSE)
,
(IF
(
C6731=""юридична особа""
,
VLOOKUP"&amp;"(D6731,IMPORTRANGE(""https://docs.google.com/spreadsheets/d/14Bd19lYaqBhU8_DElYkX7l4wRkHqqCUFNJY4AfY3kHU/edit?usp=sharing  #gid=0"",""фіз особи new!relations_name_uo""),7,FALSE)
,
)
))"),"КІРКІН Олексій Миколайович")</f>
        <v>КІРКІН Олексій Миколайович</v>
      </c>
      <c r="G6730" s="7" t="s">
        <v>10</v>
      </c>
      <c r="H6730" s="7">
        <v>6160</v>
      </c>
      <c r="I6730" s="8" t="str">
        <f ca="1">IFERROR(__xludf.DUMMYFUNCTION("IF
(
G6731=""фізична особа""
,
VLOOKUP(H6731,IMPORTRANGE(""https://docs.google.com/spreadsheets/d/14Bd19lYaqBhU8_DElYkX7l4wRkHqqCUFNJY4AfY3kHU/edit?usp=sharing  #gid=0"",""фіз особи new!relations_name""),6,FALSE)
,
(IF
(
G6731=""юридична особа""
,
VLOOKUP"&amp;"(H6731,IMPORTRANGE(""https://docs.google.com/spreadsheets/d/14Bd19lYaqBhU8_DElYkX7l4wRkHqqCUFNJY4AfY3kHU/edit?usp=sharing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J6730" s="7" t="s">
        <v>29</v>
      </c>
    </row>
    <row r="6731" spans="1:10" ht="13.2">
      <c r="A6731" s="7">
        <v>6730</v>
      </c>
      <c r="B6731" s="7">
        <v>1</v>
      </c>
      <c r="C6731" s="7" t="s">
        <v>10</v>
      </c>
      <c r="D6731" s="7">
        <v>6162</v>
      </c>
      <c r="E6731" s="7" t="s">
        <v>28</v>
      </c>
      <c r="F6731" s="8" t="str">
        <f ca="1">IFERROR(__xludf.DUMMYFUNCTION("IF
(
C6732=""фізична особа""
,
VLOOKUP(D6732,IMPORTRANGE(""https://docs.google.com/spreadsheets/d/14Bd19lYaqBhU8_DElYkX7l4wRkHqqCUFNJY4AfY3kHU/edit?usp=sharing  #gid=0"",""фіз особи new!relations_name""),6,FALSE)
,
(IF
(
C6732=""юридична особа""
,
VLOOKUP"&amp;"(D6732,IMPORTRANGE(""https://docs.google.com/spreadsheets/d/14Bd19lYaqBhU8_DElYkX7l4wRkHqqCUFNJY4AfY3kHU/edit?usp=sharing  #gid=0"",""фіз особи new!relations_name_uo""),7,FALSE)
,
)
))"),"КИРИЛОВА Ганна Михайлівна")</f>
        <v>КИРИЛОВА Ганна Михайлівна</v>
      </c>
      <c r="G6731" s="7" t="s">
        <v>10</v>
      </c>
      <c r="H6731" s="7">
        <v>6159</v>
      </c>
      <c r="I6731" s="8" t="str">
        <f ca="1">IFERROR(__xludf.DUMMYFUNCTION("IF
(
G6732=""фізична особа""
,
VLOOKUP(H6732,IMPORTRANGE(""https://docs.google.com/spreadsheets/d/14Bd19lYaqBhU8_DElYkX7l4wRkHqqCUFNJY4AfY3kHU/edit?usp=sharing  #gid=0"",""фіз особи new!relations_name""),6,FALSE)
,
(IF
(
G6732=""юридична особа""
,
VLOOKUP"&amp;"(H6732,IMPORTRANGE(""https://docs.google.com/spreadsheets/d/14Bd19lYaqBhU8_DElYkX7l4wRkHqqCUFNJY4AfY3kHU/edit?usp=sharing  #gid=0"",""фіз особи new!relations_name_uo""),7,FALSE)
,
)
))"),"КЛИМОВ Михайло Іванович")</f>
        <v>КЛИМОВ Михайло Іванович</v>
      </c>
      <c r="J6731" s="7" t="s">
        <v>29</v>
      </c>
    </row>
    <row r="6732" spans="1:10" ht="13.2">
      <c r="A6732" s="7">
        <v>6731</v>
      </c>
      <c r="B6732" s="7">
        <v>1</v>
      </c>
      <c r="C6732" s="7" t="s">
        <v>10</v>
      </c>
      <c r="D6732" s="7">
        <v>6163</v>
      </c>
      <c r="E6732" s="7" t="s">
        <v>28</v>
      </c>
      <c r="F6732" s="8" t="str">
        <f ca="1">IFERROR(__xludf.DUMMYFUNCTION("IF
(
C6733=""фізична особа""
,
VLOOKUP(D6733,IMPORTRANGE(""https://docs.google.com/spreadsheets/d/14Bd19lYaqBhU8_DElYkX7l4wRkHqqCUFNJY4AfY3kHU/edit?usp=sharing  #gid=0"",""фіз особи new!relations_name""),6,FALSE)
,
(IF
(
C6733=""юридична особа""
,
VLOOKUP"&amp;"(D6733,IMPORTRANGE(""https://docs.google.com/spreadsheets/d/14Bd19lYaqBhU8_DElYkX7l4wRkHqqCUFNJY4AfY3kHU/edit?usp=sharing  #gid=0"",""фіз особи new!relations_name_uo""),7,FALSE)
,
)
))"),"КОНОВАЛОВ Станіслав Феліксович")</f>
        <v>КОНОВАЛОВ Станіслав Феліксович</v>
      </c>
      <c r="G6732" s="7" t="s">
        <v>10</v>
      </c>
      <c r="H6732" s="7">
        <v>6160</v>
      </c>
      <c r="I6732" s="8" t="str">
        <f ca="1">IFERROR(__xludf.DUMMYFUNCTION("IF
(
G6733=""фізична особа""
,
VLOOKUP(H6733,IMPORTRANGE(""https://docs.google.com/spreadsheets/d/14Bd19lYaqBhU8_DElYkX7l4wRkHqqCUFNJY4AfY3kHU/edit?usp=sharing  #gid=0"",""фіз особи new!relations_name""),6,FALSE)
,
(IF
(
G6733=""юридична особа""
,
VLOOKUP"&amp;"(H6733,IMPORTRANGE(""https://docs.google.com/spreadsheets/d/14Bd19lYaqBhU8_DElYkX7l4wRkHqqCUFNJY4AfY3kHU/edit?usp=sharing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J6732" s="7" t="s">
        <v>29</v>
      </c>
    </row>
    <row r="6733" spans="1:10" ht="13.2">
      <c r="A6733" s="7">
        <v>6732</v>
      </c>
      <c r="B6733" s="7">
        <v>1</v>
      </c>
      <c r="C6733" s="7" t="s">
        <v>10</v>
      </c>
      <c r="D6733" s="7">
        <v>6164</v>
      </c>
      <c r="E6733" s="7" t="s">
        <v>28</v>
      </c>
      <c r="F6733" s="8" t="str">
        <f ca="1">IFERROR(__xludf.DUMMYFUNCTION("IF
(
C6734=""фізична особа""
,
VLOOKUP(D6734,IMPORTRANGE(""https://docs.google.com/spreadsheets/d/14Bd19lYaqBhU8_DElYkX7l4wRkHqqCUFNJY4AfY3kHU/edit?usp=sharing  #gid=0"",""фіз особи new!relations_name""),6,FALSE)
,
(IF
(
C6734=""юридична особа""
,
VLOOKUP"&amp;"(D6734,IMPORTRANGE(""https://docs.google.com/spreadsheets/d/14Bd19lYaqBhU8_DElYkX7l4wRkHqqCUFNJY4AfY3kHU/edit?usp=sharing  #gid=0"",""фіз особи new!relations_name_uo""),7,FALSE)
,
)
))"),"БОБІН Костянтин Сергійович")</f>
        <v>БОБІН Костянтин Сергійович</v>
      </c>
      <c r="G6733" s="7" t="s">
        <v>10</v>
      </c>
      <c r="H6733" s="7">
        <v>6160</v>
      </c>
      <c r="I6733" s="8" t="str">
        <f ca="1">IFERROR(__xludf.DUMMYFUNCTION("IF
(
G6734=""фізична особа""
,
VLOOKUP(H6734,IMPORTRANGE(""https://docs.google.com/spreadsheets/d/14Bd19lYaqBhU8_DElYkX7l4wRkHqqCUFNJY4AfY3kHU/edit?usp=sharing  #gid=0"",""фіз особи new!relations_name""),6,FALSE)
,
(IF
(
G6734=""юридична особа""
,
VLOOKUP"&amp;"(H6734,IMPORTRANGE(""https://docs.google.com/spreadsheets/d/14Bd19lYaqBhU8_DElYkX7l4wRkHqqCUFNJY4AfY3kHU/edit?usp=sharing  #gid=0"",""фіз особи new!relations_name_uo""),7,FALSE)
,
)
))"),"МИНОВАЛОВ Кирило Вадимович")</f>
        <v>МИНОВАЛОВ Кирило Вадимович</v>
      </c>
      <c r="J6733" s="7" t="s">
        <v>29</v>
      </c>
    </row>
    <row r="6734" spans="1:10" ht="13.2">
      <c r="A6734" s="7">
        <v>6733</v>
      </c>
      <c r="B6734" s="7">
        <v>1</v>
      </c>
      <c r="C6734" s="7" t="s">
        <v>10</v>
      </c>
      <c r="D6734" s="7">
        <v>6166</v>
      </c>
      <c r="E6734" s="7" t="s">
        <v>29</v>
      </c>
      <c r="F6734" s="8" t="str">
        <f ca="1">IFERROR(__xludf.DUMMYFUNCTION("IF
(
C6735=""фізична особа""
,
VLOOKUP(D6735,IMPORTRANGE(""https://docs.google.com/spreadsheets/d/14Bd19lYaqBhU8_DElYkX7l4wRkHqqCUFNJY4AfY3kHU/edit?usp=sharing  #gid=0"",""фіз особи new!relations_name""),6,FALSE)
,
(IF
(
C6735=""юридична особа""
,
VLOOKUP"&amp;"(D6735,IMPORTRANGE(""https://docs.google.com/spreadsheets/d/14Bd19lYaqBhU8_DElYkX7l4wRkHqqCUFNJY4AfY3kHU/edit?usp=sharing  #gid=0"",""фіз особи new!relations_name_uo""),7,FALSE)
,
)
))"),"САДИКОВ Рустем Ісмагілович")</f>
        <v>САДИКОВ Рустем Ісмагілович</v>
      </c>
      <c r="G6734" s="7" t="s">
        <v>10</v>
      </c>
      <c r="H6734" s="7">
        <v>6167</v>
      </c>
      <c r="I6734" s="8" t="str">
        <f ca="1">IFERROR(__xludf.DUMMYFUNCTION("IF
(
G6735=""фізична особа""
,
VLOOKUP(H6735,IMPORTRANGE(""https://docs.google.com/spreadsheets/d/14Bd19lYaqBhU8_DElYkX7l4wRkHqqCUFNJY4AfY3kHU/edit?usp=sharing  #gid=0"",""фіз особи new!relations_name""),6,FALSE)
,
(IF
(
G6735=""юридична особа""
,
VLOOKUP"&amp;"(H6735,IMPORTRANGE(""https://docs.google.com/spreadsheets/d/14Bd19lYaqBhU8_DElYkX7l4wRkHqqCUFNJY4AfY3kHU/edit?usp=sharing  #gid=0"",""фіз особи new!relations_name_uo""),7,FALSE)
,
)
))"),"ВАФІН Фарит Саліхович")</f>
        <v>ВАФІН Фарит Саліхович</v>
      </c>
      <c r="J6734" s="7" t="s">
        <v>104</v>
      </c>
    </row>
    <row r="6735" spans="1:10" ht="13.2">
      <c r="A6735" s="7">
        <v>6734</v>
      </c>
      <c r="B6735" s="7">
        <v>1</v>
      </c>
      <c r="C6735" s="7" t="s">
        <v>10</v>
      </c>
      <c r="D6735" s="7">
        <v>6167</v>
      </c>
      <c r="E6735" s="7" t="s">
        <v>104</v>
      </c>
      <c r="F6735" s="8" t="str">
        <f ca="1">IFERROR(__xludf.DUMMYFUNCTION("IF
(
C6736=""фізична особа""
,
VLOOKUP(D6736,IMPORTRANGE(""https://docs.google.com/spreadsheets/d/14Bd19lYaqBhU8_DElYkX7l4wRkHqqCUFNJY4AfY3kHU/edit?usp=sharing  #gid=0"",""фіз особи new!relations_name""),6,FALSE)
,
(IF
(
C6736=""юридична особа""
,
VLOOKUP"&amp;"(D6736,IMPORTRANGE(""https://docs.google.com/spreadsheets/d/14Bd19lYaqBhU8_DElYkX7l4wRkHqqCUFNJY4AfY3kHU/edit?usp=sharing  #gid=0"",""фіз особи new!relations_name_uo""),7,FALSE)
,
)
))"),"ВАФІН Фарит Саліхович")</f>
        <v>ВАФІН Фарит Саліхович</v>
      </c>
      <c r="G6735" s="7" t="s">
        <v>10</v>
      </c>
      <c r="H6735" s="7">
        <v>6166</v>
      </c>
      <c r="I6735" s="8" t="str">
        <f ca="1">IFERROR(__xludf.DUMMYFUNCTION("IF
(
G6736=""фізична особа""
,
VLOOKUP(H6736,IMPORTRANGE(""https://docs.google.com/spreadsheets/d/14Bd19lYaqBhU8_DElYkX7l4wRkHqqCUFNJY4AfY3kHU/edit?usp=sharing  #gid=0"",""фіз особи new!relations_name""),6,FALSE)
,
(IF
(
G6736=""юридична особа""
,
VLOOKUP"&amp;"(H6736,IMPORTRANGE(""https://docs.google.com/spreadsheets/d/14Bd19lYaqBhU8_DElYkX7l4wRkHqqCUFNJY4AfY3kHU/edit?usp=sharing  #gid=0"",""фіз особи new!relations_name_uo""),7,FALSE)
,
)
))"),"САДИКОВ Рустем Ісмагілович")</f>
        <v>САДИКОВ Рустем Ісмагілович</v>
      </c>
      <c r="J6735" s="7" t="s">
        <v>29</v>
      </c>
    </row>
    <row r="6736" spans="1:10" ht="13.2">
      <c r="A6736" s="7">
        <v>6735</v>
      </c>
      <c r="B6736" s="7">
        <v>1</v>
      </c>
      <c r="C6736" s="7" t="s">
        <v>10</v>
      </c>
      <c r="D6736" s="7">
        <v>6175</v>
      </c>
      <c r="E6736" s="7" t="s">
        <v>15</v>
      </c>
      <c r="F6736" s="8" t="str">
        <f ca="1">IFERROR(__xludf.DUMMYFUNCTION("IF
(
C6737=""фізична особа""
,
VLOOKUP(D6737,IMPORTRANGE(""https://docs.google.com/spreadsheets/d/14Bd19lYaqBhU8_DElYkX7l4wRkHqqCUFNJY4AfY3kHU/edit?usp=sharing  #gid=0"",""фіз особи new!relations_name""),6,FALSE)
,
(IF
(
C6737=""юридична особа""
,
VLOOKUP"&amp;"(D6737,IMPORTRANGE(""https://docs.google.com/spreadsheets/d/14Bd19lYaqBhU8_DElYkX7l4wRkHqqCUFNJY4AfY3kHU/edit?usp=sharing  #gid=0"",""фіз особи new!relations_name_uo""),7,FALSE)
,
)
))"),"УШАКОВА Тетяна Юріївна")</f>
        <v>УШАКОВА Тетяна Юріївна</v>
      </c>
      <c r="G6736" s="7" t="s">
        <v>10</v>
      </c>
      <c r="H6736" s="7">
        <v>0</v>
      </c>
      <c r="I6736" s="8" t="str">
        <f ca="1">IFERROR(__xludf.DUMMYFUNCTION("IF
(
G6737=""фізична особа""
,
VLOOKUP(H6737,IMPORTRANGE(""https://docs.google.com/spreadsheets/d/14Bd19lYaqBhU8_DElYkX7l4wRkHqqCUFNJY4AfY3kHU/edit?usp=sharing  #gid=0"",""фіз особи new!relations_name""),6,FALSE)
,
(IF
(
G6737=""юридична особа""
,
VLOOKUP"&amp;"(H6737,IMPORTRANGE(""https://docs.google.com/spreadsheets/d/14Bd19lYaqBhU8_DElYkX7l4wRkHqqCUFNJY4AfY3kHU/edit?usp=sharing  #gid=0"",""фіз особи new!relations_name_uo""),7,FALSE)
,
)
))"),"#N/A")</f>
        <v>#N/A</v>
      </c>
      <c r="J6736" s="7" t="s">
        <v>14</v>
      </c>
    </row>
    <row r="6737" spans="1:10" ht="13.2">
      <c r="A6737" s="7">
        <v>6736</v>
      </c>
      <c r="B6737" s="7">
        <v>1</v>
      </c>
      <c r="C6737" s="7" t="s">
        <v>10</v>
      </c>
      <c r="D6737" s="7">
        <v>6175</v>
      </c>
      <c r="E6737" s="7" t="s">
        <v>13</v>
      </c>
      <c r="F6737" s="8" t="str">
        <f ca="1">IFERROR(__xludf.DUMMYFUNCTION("IF
(
C6738=""фізична особа""
,
VLOOKUP(D6738,IMPORTRANGE(""https://docs.google.com/spreadsheets/d/14Bd19lYaqBhU8_DElYkX7l4wRkHqqCUFNJY4AfY3kHU/edit?usp=sharing  #gid=0"",""фіз особи new!relations_name""),6,FALSE)
,
(IF
(
C6738=""юридична особа""
,
VLOOKUP"&amp;"(D6738,IMPORTRANGE(""https://docs.google.com/spreadsheets/d/14Bd19lYaqBhU8_DElYkX7l4wRkHqqCUFNJY4AfY3kHU/edit?usp=sharing  #gid=0"",""фіз особи new!relations_name_uo""),7,FALSE)
,
)
))"),"УШАКОВА Тетяна Юріївна")</f>
        <v>УШАКОВА Тетяна Юріївна</v>
      </c>
      <c r="G6737" s="7" t="s">
        <v>10</v>
      </c>
      <c r="H6737" s="7">
        <v>2462</v>
      </c>
      <c r="I6737" s="8" t="str">
        <f ca="1">IFERROR(__xludf.DUMMYFUNCTION("IF
(
G6738=""фізична особа""
,
VLOOKUP(H6738,IMPORTRANGE(""https://docs.google.com/spreadsheets/d/14Bd19lYaqBhU8_DElYkX7l4wRkHqqCUFNJY4AfY3kHU/edit?usp=sharing  #gid=0"",""фіз особи new!relations_name""),6,FALSE)
,
(IF
(
G6738=""юридична особа""
,
VLOOKUP"&amp;"(H6738,IMPORTRANGE(""https://docs.google.com/spreadsheets/d/14Bd19lYaqBhU8_DElYkX7l4wRkHqqCUFNJY4AfY3kHU/edit?usp=sharing  #gid=0"",""фіз особи new!relations_name_uo""),7,FALSE)
,
)
))"),"УШАКОВ Юрій Вікторович")</f>
        <v>УШАКОВ Юрій Вікторович</v>
      </c>
      <c r="J6737" s="7" t="s">
        <v>12</v>
      </c>
    </row>
    <row r="6738" spans="1:10" ht="13.2">
      <c r="A6738" s="7">
        <v>6737</v>
      </c>
      <c r="B6738" s="7">
        <v>1</v>
      </c>
      <c r="C6738" s="7" t="s">
        <v>10</v>
      </c>
      <c r="D6738" s="7">
        <v>6175</v>
      </c>
      <c r="E6738" s="7" t="s">
        <v>21</v>
      </c>
      <c r="F6738" s="8" t="str">
        <f ca="1">IFERROR(__xludf.DUMMYFUNCTION("IF
(
C6739=""фізична особа""
,
VLOOKUP(D6739,IMPORTRANGE(""https://docs.google.com/spreadsheets/d/14Bd19lYaqBhU8_DElYkX7l4wRkHqqCUFNJY4AfY3kHU/edit?usp=sharing  #gid=0"",""фіз особи new!relations_name""),6,FALSE)
,
(IF
(
C6739=""юридична особа""
,
VLOOKUP"&amp;"(D6739,IMPORTRANGE(""https://docs.google.com/spreadsheets/d/14Bd19lYaqBhU8_DElYkX7l4wRkHqqCUFNJY4AfY3kHU/edit?usp=sharing  #gid=0"",""фіз особи new!relations_name_uo""),7,FALSE)
,
)
))"),"УШАКОВА Тетяна Юріївна")</f>
        <v>УШАКОВА Тетяна Юріївна</v>
      </c>
      <c r="G6738" s="7" t="s">
        <v>10</v>
      </c>
      <c r="H6738" s="7">
        <v>0</v>
      </c>
      <c r="I6738" s="8" t="str">
        <f ca="1">IFERROR(__xludf.DUMMYFUNCTION("IF
(
G6739=""фізична особа""
,
VLOOKUP(H6739,IMPORTRANGE(""https://docs.google.com/spreadsheets/d/14Bd19lYaqBhU8_DElYkX7l4wRkHqqCUFNJY4AfY3kHU/edit?usp=sharing  #gid=0"",""фіз особи new!relations_name""),6,FALSE)
,
(IF
(
G6739=""юридична особа""
,
VLOOKUP"&amp;"(H6739,IMPORTRANGE(""https://docs.google.com/spreadsheets/d/14Bd19lYaqBhU8_DElYkX7l4wRkHqqCUFNJY4AfY3kHU/edit?usp=sharing  #gid=0"",""фіз особи new!relations_name_uo""),7,FALSE)
,
)
))"),"#N/A")</f>
        <v>#N/A</v>
      </c>
      <c r="J6738" s="7" t="s">
        <v>17</v>
      </c>
    </row>
    <row r="6739" spans="1:10" ht="13.2">
      <c r="A6739" s="7">
        <v>6738</v>
      </c>
      <c r="B6739" s="7">
        <v>1</v>
      </c>
      <c r="C6739" s="7" t="s">
        <v>10</v>
      </c>
      <c r="D6739" s="7">
        <v>6175</v>
      </c>
      <c r="E6739" s="7" t="s">
        <v>13</v>
      </c>
      <c r="F6739" s="8" t="str">
        <f ca="1">IFERROR(__xludf.DUMMYFUNCTION("IF
(
C6740=""фізична особа""
,
VLOOKUP(D6740,IMPORTRANGE(""https://docs.google.com/spreadsheets/d/14Bd19lYaqBhU8_DElYkX7l4wRkHqqCUFNJY4AfY3kHU/edit?usp=sharing  #gid=0"",""фіз особи new!relations_name""),6,FALSE)
,
(IF
(
C6740=""юридична особа""
,
VLOOKUP"&amp;"(D6740,IMPORTRANGE(""https://docs.google.com/spreadsheets/d/14Bd19lYaqBhU8_DElYkX7l4wRkHqqCUFNJY4AfY3kHU/edit?usp=sharing  #gid=0"",""фіз особи new!relations_name_uo""),7,FALSE)
,
)
))"),"УШАКОВА Тетяна Юріївна")</f>
        <v>УШАКОВА Тетяна Юріївна</v>
      </c>
      <c r="G6739" s="7" t="s">
        <v>10</v>
      </c>
      <c r="H6739" s="7">
        <v>0</v>
      </c>
      <c r="I6739" s="8" t="str">
        <f ca="1">IFERROR(__xludf.DUMMYFUNCTION("IF
(
G6740=""фізична особа""
,
VLOOKUP(H6740,IMPORTRANGE(""https://docs.google.com/spreadsheets/d/14Bd19lYaqBhU8_DElYkX7l4wRkHqqCUFNJY4AfY3kHU/edit?usp=sharing  #gid=0"",""фіз особи new!relations_name""),6,FALSE)
,
(IF
(
G6740=""юридична особа""
,
VLOOKUP"&amp;"(H6740,IMPORTRANGE(""https://docs.google.com/spreadsheets/d/14Bd19lYaqBhU8_DElYkX7l4wRkHqqCUFNJY4AfY3kHU/edit?usp=sharing  #gid=0"",""фіз особи new!relations_name_uo""),7,FALSE)
,
)
))"),"#N/A")</f>
        <v>#N/A</v>
      </c>
      <c r="J6739" s="7" t="s">
        <v>21</v>
      </c>
    </row>
    <row r="6740" spans="1:10" ht="13.2">
      <c r="A6740" s="7">
        <v>6739</v>
      </c>
      <c r="B6740" s="7">
        <v>1</v>
      </c>
      <c r="C6740" s="7" t="s">
        <v>10</v>
      </c>
      <c r="D6740" s="7">
        <v>6180</v>
      </c>
      <c r="E6740" s="7" t="s">
        <v>29</v>
      </c>
      <c r="F6740" s="8" t="str">
        <f ca="1">IFERROR(__xludf.DUMMYFUNCTION("IF
(
C6741=""фізична особа""
,
VLOOKUP(D6741,IMPORTRANGE(""https://docs.google.com/spreadsheets/d/14Bd19lYaqBhU8_DElYkX7l4wRkHqqCUFNJY4AfY3kHU/edit?usp=sharing  #gid=0"",""фіз особи new!relations_name""),6,FALSE)
,
(IF
(
C6741=""юридична особа""
,
VLOOKUP"&amp;"(D6741,IMPORTRANGE(""https://docs.google.com/spreadsheets/d/14Bd19lYaqBhU8_DElYkX7l4wRkHqqCUFNJY4AfY3kHU/edit?usp=sharing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0" s="7" t="s">
        <v>10</v>
      </c>
      <c r="H6740" s="7">
        <v>6181</v>
      </c>
      <c r="I6740" s="8" t="str">
        <f ca="1">IFERROR(__xludf.DUMMYFUNCTION("IF
(
G6741=""фізична особа""
,
VLOOKUP(H6741,IMPORTRANGE(""https://docs.google.com/spreadsheets/d/14Bd19lYaqBhU8_DElYkX7l4wRkHqqCUFNJY4AfY3kHU/edit?usp=sharing  #gid=0"",""фіз особи new!relations_name""),6,FALSE)
,
(IF
(
G6741=""юридична особа""
,
VLOOKUP"&amp;"(H6741,IMPORTRANGE(""https://docs.google.com/spreadsheets/d/14Bd19lYaqBhU8_DElYkX7l4wRkHqqCUFNJY4AfY3kHU/edit?usp=sharing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J6740" s="7" t="s">
        <v>28</v>
      </c>
    </row>
    <row r="6741" spans="1:10" ht="13.2">
      <c r="A6741" s="7">
        <v>6740</v>
      </c>
      <c r="B6741" s="7">
        <v>1</v>
      </c>
      <c r="C6741" s="7" t="s">
        <v>10</v>
      </c>
      <c r="D6741" s="7">
        <v>6180</v>
      </c>
      <c r="E6741" s="7" t="s">
        <v>29</v>
      </c>
      <c r="F6741" s="8" t="str">
        <f ca="1">IFERROR(__xludf.DUMMYFUNCTION("IF
(
C6742=""фізична особа""
,
VLOOKUP(D6742,IMPORTRANGE(""https://docs.google.com/spreadsheets/d/14Bd19lYaqBhU8_DElYkX7l4wRkHqqCUFNJY4AfY3kHU/edit?usp=sharing  #gid=0"",""фіз особи new!relations_name""),6,FALSE)
,
(IF
(
C6742=""юридична особа""
,
VLOOKUP"&amp;"(D6742,IMPORTRANGE(""https://docs.google.com/spreadsheets/d/14Bd19lYaqBhU8_DElYkX7l4wRkHqqCUFNJY4AfY3kHU/edit?usp=sharing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1" s="7" t="s">
        <v>10</v>
      </c>
      <c r="H6741" s="7">
        <v>6182</v>
      </c>
      <c r="I6741" s="8" t="str">
        <f ca="1">IFERROR(__xludf.DUMMYFUNCTION("IF
(
G6742=""фізична особа""
,
VLOOKUP(H6742,IMPORTRANGE(""https://docs.google.com/spreadsheets/d/14Bd19lYaqBhU8_DElYkX7l4wRkHqqCUFNJY4AfY3kHU/edit?usp=sharing  #gid=0"",""фіз особи new!relations_name""),6,FALSE)
,
(IF
(
G6742=""юридична особа""
,
VLOOKUP"&amp;"(H6742,IMPORTRANGE(""https://docs.google.com/spreadsheets/d/14Bd19lYaqBhU8_DElYkX7l4wRkHqqCUFNJY4AfY3kHU/edit?usp=sharing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J6741" s="7" t="s">
        <v>115</v>
      </c>
    </row>
    <row r="6742" spans="1:10" ht="13.2">
      <c r="A6742" s="7">
        <v>6741</v>
      </c>
      <c r="B6742" s="7">
        <v>1</v>
      </c>
      <c r="C6742" s="7" t="s">
        <v>10</v>
      </c>
      <c r="D6742" s="7">
        <v>6180</v>
      </c>
      <c r="E6742" s="7" t="s">
        <v>29</v>
      </c>
      <c r="F6742" s="8" t="str">
        <f ca="1">IFERROR(__xludf.DUMMYFUNCTION("IF
(
C6743=""фізична особа""
,
VLOOKUP(D6743,IMPORTRANGE(""https://docs.google.com/spreadsheets/d/14Bd19lYaqBhU8_DElYkX7l4wRkHqqCUFNJY4AfY3kHU/edit?usp=sharing  #gid=0"",""фіз особи new!relations_name""),6,FALSE)
,
(IF
(
C6743=""юридична особа""
,
VLOOKUP"&amp;"(D6743,IMPORTRANGE(""https://docs.google.com/spreadsheets/d/14Bd19lYaqBhU8_DElYkX7l4wRkHqqCUFNJY4AfY3kHU/edit?usp=sharing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2" s="7" t="s">
        <v>10</v>
      </c>
      <c r="H6742" s="7">
        <v>6183</v>
      </c>
      <c r="I6742" s="8" t="str">
        <f ca="1">IFERROR(__xludf.DUMMYFUNCTION("IF
(
G6743=""фізична особа""
,
VLOOKUP(H6743,IMPORTRANGE(""https://docs.google.com/spreadsheets/d/14Bd19lYaqBhU8_DElYkX7l4wRkHqqCUFNJY4AfY3kHU/edit?usp=sharing  #gid=0"",""фіз особи new!relations_name""),6,FALSE)
,
(IF
(
G6743=""юридична особа""
,
VLOOKUP"&amp;"(H6743,IMPORTRANGE(""https://docs.google.com/spreadsheets/d/14Bd19lYaqBhU8_DElYkX7l4wRkHqqCUFNJY4AfY3kHU/edit?usp=sharing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J6742" s="7" t="s">
        <v>115</v>
      </c>
    </row>
    <row r="6743" spans="1:10" ht="13.2">
      <c r="A6743" s="7">
        <v>6742</v>
      </c>
      <c r="B6743" s="7">
        <v>1</v>
      </c>
      <c r="C6743" s="7" t="s">
        <v>10</v>
      </c>
      <c r="D6743" s="7">
        <v>6180</v>
      </c>
      <c r="E6743" s="7" t="s">
        <v>29</v>
      </c>
      <c r="F6743" s="8" t="str">
        <f ca="1">IFERROR(__xludf.DUMMYFUNCTION("IF
(
C6744=""фізична особа""
,
VLOOKUP(D6744,IMPORTRANGE(""https://docs.google.com/spreadsheets/d/14Bd19lYaqBhU8_DElYkX7l4wRkHqqCUFNJY4AfY3kHU/edit?usp=sharing  #gid=0"",""фіз особи new!relations_name""),6,FALSE)
,
(IF
(
C6744=""юридична особа""
,
VLOOKUP"&amp;"(D6744,IMPORTRANGE(""https://docs.google.com/spreadsheets/d/14Bd19lYaqBhU8_DElYkX7l4wRkHqqCUFNJY4AfY3kHU/edit?usp=sharing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3" s="7" t="s">
        <v>10</v>
      </c>
      <c r="H6743" s="7">
        <v>4534</v>
      </c>
      <c r="I6743" s="8" t="str">
        <f ca="1">IFERROR(__xludf.DUMMYFUNCTION("IF
(
G6744=""фізична особа""
,
VLOOKUP(H6744,IMPORTRANGE(""https://docs.google.com/spreadsheets/d/14Bd19lYaqBhU8_DElYkX7l4wRkHqqCUFNJY4AfY3kHU/edit?usp=sharing  #gid=0"",""фіз особи new!relations_name""),6,FALSE)
,
(IF
(
G6744=""юридична особа""
,
VLOOKUP"&amp;"(H6744,IMPORTRANGE(""https://docs.google.com/spreadsheets/d/14Bd19lYaqBhU8_DElYkX7l4wRkHqqCUFNJY4AfY3kHU/edit?usp=sharing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6743" s="7" t="s">
        <v>115</v>
      </c>
    </row>
    <row r="6744" spans="1:10" ht="13.2">
      <c r="A6744" s="7">
        <v>6743</v>
      </c>
      <c r="B6744" s="7">
        <v>1</v>
      </c>
      <c r="C6744" s="7" t="s">
        <v>10</v>
      </c>
      <c r="D6744" s="7">
        <v>6180</v>
      </c>
      <c r="E6744" s="7" t="s">
        <v>29</v>
      </c>
      <c r="F6744" s="8" t="str">
        <f ca="1">IFERROR(__xludf.DUMMYFUNCTION("IF
(
C6745=""фізична особа""
,
VLOOKUP(D6745,IMPORTRANGE(""https://docs.google.com/spreadsheets/d/14Bd19lYaqBhU8_DElYkX7l4wRkHqqCUFNJY4AfY3kHU/edit?usp=sharing  #gid=0"",""фіз особи new!relations_name""),6,FALSE)
,
(IF
(
C6745=""юридична особа""
,
VLOOKUP"&amp;"(D6745,IMPORTRANGE(""https://docs.google.com/spreadsheets/d/14Bd19lYaqBhU8_DElYkX7l4wRkHqqCUFNJY4AfY3kHU/edit?usp=sharing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4" s="7" t="s">
        <v>10</v>
      </c>
      <c r="H6744" s="7">
        <v>6184</v>
      </c>
      <c r="I6744" s="8" t="str">
        <f ca="1">IFERROR(__xludf.DUMMYFUNCTION("IF
(
G6745=""фізична особа""
,
VLOOKUP(H6745,IMPORTRANGE(""https://docs.google.com/spreadsheets/d/14Bd19lYaqBhU8_DElYkX7l4wRkHqqCUFNJY4AfY3kHU/edit?usp=sharing  #gid=0"",""фіз особи new!relations_name""),6,FALSE)
,
(IF
(
G6745=""юридична особа""
,
VLOOKUP"&amp;"(H6745,IMPORTRANGE(""https://docs.google.com/spreadsheets/d/14Bd19lYaqBhU8_DElYkX7l4wRkHqqCUFNJY4AfY3kHU/edit?usp=sharing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J6744" s="7" t="s">
        <v>115</v>
      </c>
    </row>
    <row r="6745" spans="1:10" ht="13.2">
      <c r="A6745" s="7">
        <v>6744</v>
      </c>
      <c r="B6745" s="7">
        <v>1</v>
      </c>
      <c r="C6745" s="7" t="s">
        <v>10</v>
      </c>
      <c r="D6745" s="7">
        <v>6180</v>
      </c>
      <c r="E6745" s="7" t="s">
        <v>29</v>
      </c>
      <c r="F6745" s="8" t="str">
        <f ca="1">IFERROR(__xludf.DUMMYFUNCTION("IF
(
C6746=""фізична особа""
,
VLOOKUP(D6746,IMPORTRANGE(""https://docs.google.com/spreadsheets/d/14Bd19lYaqBhU8_DElYkX7l4wRkHqqCUFNJY4AfY3kHU/edit?usp=sharing  #gid=0"",""фіз особи new!relations_name""),6,FALSE)
,
(IF
(
C6746=""юридична особа""
,
VLOOKUP"&amp;"(D6746,IMPORTRANGE(""https://docs.google.com/spreadsheets/d/14Bd19lYaqBhU8_DElYkX7l4wRkHqqCUFNJY4AfY3kHU/edit?usp=sharing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G6745" s="7" t="s">
        <v>10</v>
      </c>
      <c r="H6745" s="7">
        <v>623</v>
      </c>
      <c r="I6745" s="8" t="str">
        <f ca="1">IFERROR(__xludf.DUMMYFUNCTION("IF
(
G6746=""фізична особа""
,
VLOOKUP(H6746,IMPORTRANGE(""https://docs.google.com/spreadsheets/d/14Bd19lYaqBhU8_DElYkX7l4wRkHqqCUFNJY4AfY3kHU/edit?usp=sharing  #gid=0"",""фіз особи new!relations_name""),6,FALSE)
,
(IF
(
G6746=""юридична особа""
,
VLOOKUP"&amp;"(H6746,IMPORTRANGE(""https://docs.google.com/spreadsheets/d/14Bd19lYaqBhU8_DElYkX7l4wRkHqqCUFNJY4AfY3kHU/edit?usp=sharing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J6745" s="7" t="s">
        <v>115</v>
      </c>
    </row>
    <row r="6746" spans="1:10" ht="13.2">
      <c r="A6746" s="7">
        <v>6745</v>
      </c>
      <c r="B6746" s="7">
        <v>1</v>
      </c>
      <c r="C6746" s="7" t="s">
        <v>10</v>
      </c>
      <c r="D6746" s="7">
        <v>6181</v>
      </c>
      <c r="E6746" s="7" t="s">
        <v>28</v>
      </c>
      <c r="F6746" s="8" t="str">
        <f ca="1">IFERROR(__xludf.DUMMYFUNCTION("IF
(
C6747=""фізична особа""
,
VLOOKUP(D6747,IMPORTRANGE(""https://docs.google.com/spreadsheets/d/14Bd19lYaqBhU8_DElYkX7l4wRkHqqCUFNJY4AfY3kHU/edit?usp=sharing  #gid=0"",""фіз особи new!relations_name""),6,FALSE)
,
(IF
(
C6747=""юридична особа""
,
VLOOKUP"&amp;"(D6747,IMPORTRANGE(""https://docs.google.com/spreadsheets/d/14Bd19lYaqBhU8_DElYkX7l4wRkHqqCUFNJY4AfY3kHU/edit?usp=sharing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46" s="7" t="s">
        <v>10</v>
      </c>
      <c r="H6746" s="7">
        <v>6180</v>
      </c>
      <c r="I6746" s="8" t="str">
        <f ca="1">IFERROR(__xludf.DUMMYFUNCTION("IF
(
G6747=""фізична особа""
,
VLOOKUP(H6747,IMPORTRANGE(""https://docs.google.com/spreadsheets/d/14Bd19lYaqBhU8_DElYkX7l4wRkHqqCUFNJY4AfY3kHU/edit?usp=sharing  #gid=0"",""фіз особи new!relations_name""),6,FALSE)
,
(IF
(
G6747=""юридична особа""
,
VLOOKUP"&amp;"(H6747,IMPORTRANGE(""https://docs.google.com/spreadsheets/d/14Bd19lYaqBhU8_DElYkX7l4wRkHqqCUFNJY4AfY3kHU/edit?usp=sharing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J6746" s="7" t="s">
        <v>29</v>
      </c>
    </row>
    <row r="6747" spans="1:10" ht="13.2">
      <c r="A6747" s="7">
        <v>6746</v>
      </c>
      <c r="B6747" s="7">
        <v>1</v>
      </c>
      <c r="C6747" s="7" t="s">
        <v>10</v>
      </c>
      <c r="D6747" s="7">
        <v>6181</v>
      </c>
      <c r="E6747" s="7" t="s">
        <v>29</v>
      </c>
      <c r="F6747" s="8" t="str">
        <f ca="1">IFERROR(__xludf.DUMMYFUNCTION("IF
(
C6748=""фізична особа""
,
VLOOKUP(D6748,IMPORTRANGE(""https://docs.google.com/spreadsheets/d/14Bd19lYaqBhU8_DElYkX7l4wRkHqqCUFNJY4AfY3kHU/edit?usp=sharing  #gid=0"",""фіз особи new!relations_name""),6,FALSE)
,
(IF
(
C6748=""юридична особа""
,
VLOOKUP"&amp;"(D6748,IMPORTRANGE(""https://docs.google.com/spreadsheets/d/14Bd19lYaqBhU8_DElYkX7l4wRkHqqCUFNJY4AfY3kHU/edit?usp=sharing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47" s="7" t="s">
        <v>10</v>
      </c>
      <c r="H6747" s="7">
        <v>6182</v>
      </c>
      <c r="I6747" s="8" t="str">
        <f ca="1">IFERROR(__xludf.DUMMYFUNCTION("IF
(
G6748=""фізична особа""
,
VLOOKUP(H6748,IMPORTRANGE(""https://docs.google.com/spreadsheets/d/14Bd19lYaqBhU8_DElYkX7l4wRkHqqCUFNJY4AfY3kHU/edit?usp=sharing  #gid=0"",""фіз особи new!relations_name""),6,FALSE)
,
(IF
(
G6748=""юридична особа""
,
VLOOKUP"&amp;"(H6748,IMPORTRANGE(""https://docs.google.com/spreadsheets/d/14Bd19lYaqBhU8_DElYkX7l4wRkHqqCUFNJY4AfY3kHU/edit?usp=sharing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J6747" s="7" t="s">
        <v>115</v>
      </c>
    </row>
    <row r="6748" spans="1:10" ht="13.2">
      <c r="A6748" s="7">
        <v>6747</v>
      </c>
      <c r="B6748" s="7">
        <v>1</v>
      </c>
      <c r="C6748" s="7" t="s">
        <v>10</v>
      </c>
      <c r="D6748" s="7">
        <v>6181</v>
      </c>
      <c r="E6748" s="7" t="s">
        <v>29</v>
      </c>
      <c r="F6748" s="8" t="str">
        <f ca="1">IFERROR(__xludf.DUMMYFUNCTION("IF
(
C6749=""фізична особа""
,
VLOOKUP(D6749,IMPORTRANGE(""https://docs.google.com/spreadsheets/d/14Bd19lYaqBhU8_DElYkX7l4wRkHqqCUFNJY4AfY3kHU/edit?usp=sharing  #gid=0"",""фіз особи new!relations_name""),6,FALSE)
,
(IF
(
C6749=""юридична особа""
,
VLOOKUP"&amp;"(D6749,IMPORTRANGE(""https://docs.google.com/spreadsheets/d/14Bd19lYaqBhU8_DElYkX7l4wRkHqqCUFNJY4AfY3kHU/edit?usp=sharing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48" s="7" t="s">
        <v>10</v>
      </c>
      <c r="H6748" s="7">
        <v>6183</v>
      </c>
      <c r="I6748" s="8" t="str">
        <f ca="1">IFERROR(__xludf.DUMMYFUNCTION("IF
(
G6749=""фізична особа""
,
VLOOKUP(H6749,IMPORTRANGE(""https://docs.google.com/spreadsheets/d/14Bd19lYaqBhU8_DElYkX7l4wRkHqqCUFNJY4AfY3kHU/edit?usp=sharing  #gid=0"",""фіз особи new!relations_name""),6,FALSE)
,
(IF
(
G6749=""юридична особа""
,
VLOOKUP"&amp;"(H6749,IMPORTRANGE(""https://docs.google.com/spreadsheets/d/14Bd19lYaqBhU8_DElYkX7l4wRkHqqCUFNJY4AfY3kHU/edit?usp=sharing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J6748" s="7" t="s">
        <v>115</v>
      </c>
    </row>
    <row r="6749" spans="1:10" ht="13.2">
      <c r="A6749" s="7">
        <v>6748</v>
      </c>
      <c r="B6749" s="7">
        <v>1</v>
      </c>
      <c r="C6749" s="7" t="s">
        <v>10</v>
      </c>
      <c r="D6749" s="7">
        <v>6181</v>
      </c>
      <c r="E6749" s="7" t="s">
        <v>29</v>
      </c>
      <c r="F6749" s="8" t="str">
        <f ca="1">IFERROR(__xludf.DUMMYFUNCTION("IF
(
C6750=""фізична особа""
,
VLOOKUP(D6750,IMPORTRANGE(""https://docs.google.com/spreadsheets/d/14Bd19lYaqBhU8_DElYkX7l4wRkHqqCUFNJY4AfY3kHU/edit?usp=sharing  #gid=0"",""фіз особи new!relations_name""),6,FALSE)
,
(IF
(
C6750=""юридична особа""
,
VLOOKUP"&amp;"(D6750,IMPORTRANGE(""https://docs.google.com/spreadsheets/d/14Bd19lYaqBhU8_DElYkX7l4wRkHqqCUFNJY4AfY3kHU/edit?usp=sharing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49" s="7" t="s">
        <v>10</v>
      </c>
      <c r="H6749" s="7">
        <v>4534</v>
      </c>
      <c r="I6749" s="8" t="str">
        <f ca="1">IFERROR(__xludf.DUMMYFUNCTION("IF
(
G6750=""фізична особа""
,
VLOOKUP(H6750,IMPORTRANGE(""https://docs.google.com/spreadsheets/d/14Bd19lYaqBhU8_DElYkX7l4wRkHqqCUFNJY4AfY3kHU/edit?usp=sharing  #gid=0"",""фіз особи new!relations_name""),6,FALSE)
,
(IF
(
G6750=""юридична особа""
,
VLOOKUP"&amp;"(H6750,IMPORTRANGE(""https://docs.google.com/spreadsheets/d/14Bd19lYaqBhU8_DElYkX7l4wRkHqqCUFNJY4AfY3kHU/edit?usp=sharing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6749" s="7" t="s">
        <v>115</v>
      </c>
    </row>
    <row r="6750" spans="1:10" ht="13.2">
      <c r="A6750" s="7">
        <v>6749</v>
      </c>
      <c r="B6750" s="7">
        <v>1</v>
      </c>
      <c r="C6750" s="7" t="s">
        <v>10</v>
      </c>
      <c r="D6750" s="7">
        <v>6181</v>
      </c>
      <c r="E6750" s="7" t="s">
        <v>29</v>
      </c>
      <c r="F6750" s="8" t="str">
        <f ca="1">IFERROR(__xludf.DUMMYFUNCTION("IF
(
C6751=""фізична особа""
,
VLOOKUP(D6751,IMPORTRANGE(""https://docs.google.com/spreadsheets/d/14Bd19lYaqBhU8_DElYkX7l4wRkHqqCUFNJY4AfY3kHU/edit?usp=sharing  #gid=0"",""фіз особи new!relations_name""),6,FALSE)
,
(IF
(
C6751=""юридична особа""
,
VLOOKUP"&amp;"(D6751,IMPORTRANGE(""https://docs.google.com/spreadsheets/d/14Bd19lYaqBhU8_DElYkX7l4wRkHqqCUFNJY4AfY3kHU/edit?usp=sharing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50" s="7" t="s">
        <v>10</v>
      </c>
      <c r="H6750" s="7">
        <v>6184</v>
      </c>
      <c r="I6750" s="8" t="str">
        <f ca="1">IFERROR(__xludf.DUMMYFUNCTION("IF
(
G6751=""фізична особа""
,
VLOOKUP(H6751,IMPORTRANGE(""https://docs.google.com/spreadsheets/d/14Bd19lYaqBhU8_DElYkX7l4wRkHqqCUFNJY4AfY3kHU/edit?usp=sharing  #gid=0"",""фіз особи new!relations_name""),6,FALSE)
,
(IF
(
G6751=""юридична особа""
,
VLOOKUP"&amp;"(H6751,IMPORTRANGE(""https://docs.google.com/spreadsheets/d/14Bd19lYaqBhU8_DElYkX7l4wRkHqqCUFNJY4AfY3kHU/edit?usp=sharing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J6750" s="7" t="s">
        <v>115</v>
      </c>
    </row>
    <row r="6751" spans="1:10" ht="13.2">
      <c r="A6751" s="7">
        <v>6750</v>
      </c>
      <c r="B6751" s="7">
        <v>1</v>
      </c>
      <c r="C6751" s="7" t="s">
        <v>10</v>
      </c>
      <c r="D6751" s="7">
        <v>6181</v>
      </c>
      <c r="E6751" s="7" t="s">
        <v>29</v>
      </c>
      <c r="F6751" s="8" t="str">
        <f ca="1">IFERROR(__xludf.DUMMYFUNCTION("IF
(
C6752=""фізична особа""
,
VLOOKUP(D6752,IMPORTRANGE(""https://docs.google.com/spreadsheets/d/14Bd19lYaqBhU8_DElYkX7l4wRkHqqCUFNJY4AfY3kHU/edit?usp=sharing  #gid=0"",""фіз особи new!relations_name""),6,FALSE)
,
(IF
(
C6752=""юридична особа""
,
VLOOKUP"&amp;"(D6752,IMPORTRANGE(""https://docs.google.com/spreadsheets/d/14Bd19lYaqBhU8_DElYkX7l4wRkHqqCUFNJY4AfY3kHU/edit?usp=sharing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G6751" s="7" t="s">
        <v>10</v>
      </c>
      <c r="H6751" s="7">
        <v>623</v>
      </c>
      <c r="I6751" s="8" t="str">
        <f ca="1">IFERROR(__xludf.DUMMYFUNCTION("IF
(
G6752=""фізична особа""
,
VLOOKUP(H6752,IMPORTRANGE(""https://docs.google.com/spreadsheets/d/14Bd19lYaqBhU8_DElYkX7l4wRkHqqCUFNJY4AfY3kHU/edit?usp=sharing  #gid=0"",""фіз особи new!relations_name""),6,FALSE)
,
(IF
(
G6752=""юридична особа""
,
VLOOKUP"&amp;"(H6752,IMPORTRANGE(""https://docs.google.com/spreadsheets/d/14Bd19lYaqBhU8_DElYkX7l4wRkHqqCUFNJY4AfY3kHU/edit?usp=sharing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J6751" s="7" t="s">
        <v>115</v>
      </c>
    </row>
    <row r="6752" spans="1:10" ht="13.2">
      <c r="A6752" s="7">
        <v>6751</v>
      </c>
      <c r="B6752" s="7">
        <v>1</v>
      </c>
      <c r="C6752" s="7" t="s">
        <v>10</v>
      </c>
      <c r="D6752" s="7">
        <v>6182</v>
      </c>
      <c r="E6752" s="7" t="s">
        <v>115</v>
      </c>
      <c r="F6752" s="8" t="str">
        <f ca="1">IFERROR(__xludf.DUMMYFUNCTION("IF
(
C6753=""фізична особа""
,
VLOOKUP(D6753,IMPORTRANGE(""https://docs.google.com/spreadsheets/d/14Bd19lYaqBhU8_DElYkX7l4wRkHqqCUFNJY4AfY3kHU/edit?usp=sharing  #gid=0"",""фіз особи new!relations_name""),6,FALSE)
,
(IF
(
C6753=""юридична особа""
,
VLOOKUP"&amp;"(D6753,IMPORTRANGE(""https://docs.google.com/spreadsheets/d/14Bd19lYaqBhU8_DElYkX7l4wRkHqqCUFNJY4AfY3kHU/edit?usp=sharing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2" s="7" t="s">
        <v>10</v>
      </c>
      <c r="H6752" s="7">
        <v>6180</v>
      </c>
      <c r="I6752" s="8" t="str">
        <f ca="1">IFERROR(__xludf.DUMMYFUNCTION("IF
(
G6753=""фізична особа""
,
VLOOKUP(H6753,IMPORTRANGE(""https://docs.google.com/spreadsheets/d/14Bd19lYaqBhU8_DElYkX7l4wRkHqqCUFNJY4AfY3kHU/edit?usp=sharing  #gid=0"",""фіз особи new!relations_name""),6,FALSE)
,
(IF
(
G6753=""юридична особа""
,
VLOOKUP"&amp;"(H6753,IMPORTRANGE(""https://docs.google.com/spreadsheets/d/14Bd19lYaqBhU8_DElYkX7l4wRkHqqCUFNJY4AfY3kHU/edit?usp=sharing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J6752" s="7" t="s">
        <v>29</v>
      </c>
    </row>
    <row r="6753" spans="1:10" ht="13.2">
      <c r="A6753" s="7">
        <v>6752</v>
      </c>
      <c r="B6753" s="7">
        <v>1</v>
      </c>
      <c r="C6753" s="7" t="s">
        <v>10</v>
      </c>
      <c r="D6753" s="7">
        <v>6182</v>
      </c>
      <c r="E6753" s="7" t="s">
        <v>115</v>
      </c>
      <c r="F6753" s="8" t="str">
        <f ca="1">IFERROR(__xludf.DUMMYFUNCTION("IF
(
C6754=""фізична особа""
,
VLOOKUP(D6754,IMPORTRANGE(""https://docs.google.com/spreadsheets/d/14Bd19lYaqBhU8_DElYkX7l4wRkHqqCUFNJY4AfY3kHU/edit?usp=sharing  #gid=0"",""фіз особи new!relations_name""),6,FALSE)
,
(IF
(
C6754=""юридична особа""
,
VLOOKUP"&amp;"(D6754,IMPORTRANGE(""https://docs.google.com/spreadsheets/d/14Bd19lYaqBhU8_DElYkX7l4wRkHqqCUFNJY4AfY3kHU/edit?usp=sharing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3" s="7" t="s">
        <v>10</v>
      </c>
      <c r="H6753" s="7">
        <v>6181</v>
      </c>
      <c r="I6753" s="8" t="str">
        <f ca="1">IFERROR(__xludf.DUMMYFUNCTION("IF
(
G6754=""фізична особа""
,
VLOOKUP(H6754,IMPORTRANGE(""https://docs.google.com/spreadsheets/d/14Bd19lYaqBhU8_DElYkX7l4wRkHqqCUFNJY4AfY3kHU/edit?usp=sharing  #gid=0"",""фіз особи new!relations_name""),6,FALSE)
,
(IF
(
G6754=""юридична особа""
,
VLOOKUP"&amp;"(H6754,IMPORTRANGE(""https://docs.google.com/spreadsheets/d/14Bd19lYaqBhU8_DElYkX7l4wRkHqqCUFNJY4AfY3kHU/edit?usp=sharing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J6753" s="7" t="s">
        <v>29</v>
      </c>
    </row>
    <row r="6754" spans="1:10" ht="13.2">
      <c r="A6754" s="7">
        <v>6753</v>
      </c>
      <c r="B6754" s="7">
        <v>1</v>
      </c>
      <c r="C6754" s="7" t="s">
        <v>10</v>
      </c>
      <c r="D6754" s="7">
        <v>6182</v>
      </c>
      <c r="E6754" s="7" t="s">
        <v>35</v>
      </c>
      <c r="F6754" s="8" t="str">
        <f ca="1">IFERROR(__xludf.DUMMYFUNCTION("IF
(
C6755=""фізична особа""
,
VLOOKUP(D6755,IMPORTRANGE(""https://docs.google.com/spreadsheets/d/14Bd19lYaqBhU8_DElYkX7l4wRkHqqCUFNJY4AfY3kHU/edit?usp=sharing  #gid=0"",""фіз особи new!relations_name""),6,FALSE)
,
(IF
(
C6755=""юридична особа""
,
VLOOKUP"&amp;"(D6755,IMPORTRANGE(""https://docs.google.com/spreadsheets/d/14Bd19lYaqBhU8_DElYkX7l4wRkHqqCUFNJY4AfY3kHU/edit?usp=sharing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4" s="7" t="s">
        <v>10</v>
      </c>
      <c r="H6754" s="7">
        <v>6183</v>
      </c>
      <c r="I6754" s="8" t="str">
        <f ca="1">IFERROR(__xludf.DUMMYFUNCTION("IF
(
G6755=""фізична особа""
,
VLOOKUP(H6755,IMPORTRANGE(""https://docs.google.com/spreadsheets/d/14Bd19lYaqBhU8_DElYkX7l4wRkHqqCUFNJY4AfY3kHU/edit?usp=sharing  #gid=0"",""фіз особи new!relations_name""),6,FALSE)
,
(IF
(
G6755=""юридична особа""
,
VLOOKUP"&amp;"(H6755,IMPORTRANGE(""https://docs.google.com/spreadsheets/d/14Bd19lYaqBhU8_DElYkX7l4wRkHqqCUFNJY4AfY3kHU/edit?usp=sharing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J6754" s="7" t="s">
        <v>35</v>
      </c>
    </row>
    <row r="6755" spans="1:10" ht="13.2">
      <c r="A6755" s="7">
        <v>6754</v>
      </c>
      <c r="B6755" s="7">
        <v>1</v>
      </c>
      <c r="C6755" s="7" t="s">
        <v>10</v>
      </c>
      <c r="D6755" s="7">
        <v>6182</v>
      </c>
      <c r="E6755" s="7" t="s">
        <v>35</v>
      </c>
      <c r="F6755" s="8" t="str">
        <f ca="1">IFERROR(__xludf.DUMMYFUNCTION("IF
(
C6756=""фізична особа""
,
VLOOKUP(D6756,IMPORTRANGE(""https://docs.google.com/spreadsheets/d/14Bd19lYaqBhU8_DElYkX7l4wRkHqqCUFNJY4AfY3kHU/edit?usp=sharing  #gid=0"",""фіз особи new!relations_name""),6,FALSE)
,
(IF
(
C6756=""юридична особа""
,
VLOOKUP"&amp;"(D6756,IMPORTRANGE(""https://docs.google.com/spreadsheets/d/14Bd19lYaqBhU8_DElYkX7l4wRkHqqCUFNJY4AfY3kHU/edit?usp=sharing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5" s="7" t="s">
        <v>10</v>
      </c>
      <c r="H6755" s="7">
        <v>4534</v>
      </c>
      <c r="I6755" s="8" t="str">
        <f ca="1">IFERROR(__xludf.DUMMYFUNCTION("IF
(
G6756=""фізична особа""
,
VLOOKUP(H6756,IMPORTRANGE(""https://docs.google.com/spreadsheets/d/14Bd19lYaqBhU8_DElYkX7l4wRkHqqCUFNJY4AfY3kHU/edit?usp=sharing  #gid=0"",""фіз особи new!relations_name""),6,FALSE)
,
(IF
(
G6756=""юридична особа""
,
VLOOKUP"&amp;"(H6756,IMPORTRANGE(""https://docs.google.com/spreadsheets/d/14Bd19lYaqBhU8_DElYkX7l4wRkHqqCUFNJY4AfY3kHU/edit?usp=sharing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6755" s="7" t="s">
        <v>35</v>
      </c>
    </row>
    <row r="6756" spans="1:10" ht="13.2">
      <c r="A6756" s="7">
        <v>6755</v>
      </c>
      <c r="B6756" s="7">
        <v>1</v>
      </c>
      <c r="C6756" s="7" t="s">
        <v>10</v>
      </c>
      <c r="D6756" s="7">
        <v>6182</v>
      </c>
      <c r="E6756" s="7" t="s">
        <v>35</v>
      </c>
      <c r="F6756" s="8" t="str">
        <f ca="1">IFERROR(__xludf.DUMMYFUNCTION("IF
(
C6757=""фізична особа""
,
VLOOKUP(D6757,IMPORTRANGE(""https://docs.google.com/spreadsheets/d/14Bd19lYaqBhU8_DElYkX7l4wRkHqqCUFNJY4AfY3kHU/edit?usp=sharing  #gid=0"",""фіз особи new!relations_name""),6,FALSE)
,
(IF
(
C6757=""юридична особа""
,
VLOOKUP"&amp;"(D6757,IMPORTRANGE(""https://docs.google.com/spreadsheets/d/14Bd19lYaqBhU8_DElYkX7l4wRkHqqCUFNJY4AfY3kHU/edit?usp=sharing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6" s="7" t="s">
        <v>10</v>
      </c>
      <c r="H6756" s="7">
        <v>6184</v>
      </c>
      <c r="I6756" s="8" t="str">
        <f ca="1">IFERROR(__xludf.DUMMYFUNCTION("IF
(
G6757=""фізична особа""
,
VLOOKUP(H6757,IMPORTRANGE(""https://docs.google.com/spreadsheets/d/14Bd19lYaqBhU8_DElYkX7l4wRkHqqCUFNJY4AfY3kHU/edit?usp=sharing  #gid=0"",""фіз особи new!relations_name""),6,FALSE)
,
(IF
(
G6757=""юридична особа""
,
VLOOKUP"&amp;"(H6757,IMPORTRANGE(""https://docs.google.com/spreadsheets/d/14Bd19lYaqBhU8_DElYkX7l4wRkHqqCUFNJY4AfY3kHU/edit?usp=sharing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J6756" s="7" t="s">
        <v>35</v>
      </c>
    </row>
    <row r="6757" spans="1:10" ht="13.2">
      <c r="A6757" s="7">
        <v>6756</v>
      </c>
      <c r="B6757" s="7">
        <v>1</v>
      </c>
      <c r="C6757" s="7" t="s">
        <v>10</v>
      </c>
      <c r="D6757" s="7">
        <v>6182</v>
      </c>
      <c r="E6757" s="7" t="s">
        <v>35</v>
      </c>
      <c r="F6757" s="8" t="str">
        <f ca="1">IFERROR(__xludf.DUMMYFUNCTION("IF
(
C6758=""фізична особа""
,
VLOOKUP(D6758,IMPORTRANGE(""https://docs.google.com/spreadsheets/d/14Bd19lYaqBhU8_DElYkX7l4wRkHqqCUFNJY4AfY3kHU/edit?usp=sharing  #gid=0"",""фіз особи new!relations_name""),6,FALSE)
,
(IF
(
C6758=""юридична особа""
,
VLOOKUP"&amp;"(D6758,IMPORTRANGE(""https://docs.google.com/spreadsheets/d/14Bd19lYaqBhU8_DElYkX7l4wRkHqqCUFNJY4AfY3kHU/edit?usp=sharing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G6757" s="7" t="s">
        <v>10</v>
      </c>
      <c r="H6757" s="7">
        <v>623</v>
      </c>
      <c r="I6757" s="8" t="str">
        <f ca="1">IFERROR(__xludf.DUMMYFUNCTION("IF
(
G6758=""фізична особа""
,
VLOOKUP(H6758,IMPORTRANGE(""https://docs.google.com/spreadsheets/d/14Bd19lYaqBhU8_DElYkX7l4wRkHqqCUFNJY4AfY3kHU/edit?usp=sharing  #gid=0"",""фіз особи new!relations_name""),6,FALSE)
,
(IF
(
G6758=""юридична особа""
,
VLOOKUP"&amp;"(H6758,IMPORTRANGE(""https://docs.google.com/spreadsheets/d/14Bd19lYaqBhU8_DElYkX7l4wRkHqqCUFNJY4AfY3kHU/edit?usp=sharing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J6757" s="7" t="s">
        <v>35</v>
      </c>
    </row>
    <row r="6758" spans="1:10" ht="13.2">
      <c r="A6758" s="7">
        <v>6757</v>
      </c>
      <c r="B6758" s="7">
        <v>1</v>
      </c>
      <c r="C6758" s="7" t="s">
        <v>10</v>
      </c>
      <c r="D6758" s="7">
        <v>6183</v>
      </c>
      <c r="E6758" s="7" t="s">
        <v>115</v>
      </c>
      <c r="F6758" s="8" t="str">
        <f ca="1">IFERROR(__xludf.DUMMYFUNCTION("IF
(
C6759=""фізична особа""
,
VLOOKUP(D6759,IMPORTRANGE(""https://docs.google.com/spreadsheets/d/14Bd19lYaqBhU8_DElYkX7l4wRkHqqCUFNJY4AfY3kHU/edit?usp=sharing  #gid=0"",""фіз особи new!relations_name""),6,FALSE)
,
(IF
(
C6759=""юридична особа""
,
VLOOKUP"&amp;"(D6759,IMPORTRANGE(""https://docs.google.com/spreadsheets/d/14Bd19lYaqBhU8_DElYkX7l4wRkHqqCUFNJY4AfY3kHU/edit?usp=sharing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58" s="7" t="s">
        <v>10</v>
      </c>
      <c r="H6758" s="7">
        <v>6180</v>
      </c>
      <c r="I6758" s="8" t="str">
        <f ca="1">IFERROR(__xludf.DUMMYFUNCTION("IF
(
G6759=""фізична особа""
,
VLOOKUP(H6759,IMPORTRANGE(""https://docs.google.com/spreadsheets/d/14Bd19lYaqBhU8_DElYkX7l4wRkHqqCUFNJY4AfY3kHU/edit?usp=sharing  #gid=0"",""фіз особи new!relations_name""),6,FALSE)
,
(IF
(
G6759=""юридична особа""
,
VLOOKUP"&amp;"(H6759,IMPORTRANGE(""https://docs.google.com/spreadsheets/d/14Bd19lYaqBhU8_DElYkX7l4wRkHqqCUFNJY4AfY3kHU/edit?usp=sharing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J6758" s="7" t="s">
        <v>29</v>
      </c>
    </row>
    <row r="6759" spans="1:10" ht="13.2">
      <c r="A6759" s="7">
        <v>6758</v>
      </c>
      <c r="B6759" s="7">
        <v>1</v>
      </c>
      <c r="C6759" s="7" t="s">
        <v>10</v>
      </c>
      <c r="D6759" s="7">
        <v>6183</v>
      </c>
      <c r="E6759" s="7" t="s">
        <v>115</v>
      </c>
      <c r="F6759" s="8" t="str">
        <f ca="1">IFERROR(__xludf.DUMMYFUNCTION("IF
(
C6760=""фізична особа""
,
VLOOKUP(D6760,IMPORTRANGE(""https://docs.google.com/spreadsheets/d/14Bd19lYaqBhU8_DElYkX7l4wRkHqqCUFNJY4AfY3kHU/edit?usp=sharing  #gid=0"",""фіз особи new!relations_name""),6,FALSE)
,
(IF
(
C6760=""юридична особа""
,
VLOOKUP"&amp;"(D6760,IMPORTRANGE(""https://docs.google.com/spreadsheets/d/14Bd19lYaqBhU8_DElYkX7l4wRkHqqCUFNJY4AfY3kHU/edit?usp=sharing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59" s="7" t="s">
        <v>10</v>
      </c>
      <c r="H6759" s="7">
        <v>6181</v>
      </c>
      <c r="I6759" s="8" t="str">
        <f ca="1">IFERROR(__xludf.DUMMYFUNCTION("IF
(
G6760=""фізична особа""
,
VLOOKUP(H6760,IMPORTRANGE(""https://docs.google.com/spreadsheets/d/14Bd19lYaqBhU8_DElYkX7l4wRkHqqCUFNJY4AfY3kHU/edit?usp=sharing  #gid=0"",""фіз особи new!relations_name""),6,FALSE)
,
(IF
(
G6760=""юридична особа""
,
VLOOKUP"&amp;"(H6760,IMPORTRANGE(""https://docs.google.com/spreadsheets/d/14Bd19lYaqBhU8_DElYkX7l4wRkHqqCUFNJY4AfY3kHU/edit?usp=sharing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J6759" s="7" t="s">
        <v>29</v>
      </c>
    </row>
    <row r="6760" spans="1:10" ht="13.2">
      <c r="A6760" s="7">
        <v>6759</v>
      </c>
      <c r="B6760" s="7">
        <v>1</v>
      </c>
      <c r="C6760" s="7" t="s">
        <v>10</v>
      </c>
      <c r="D6760" s="7">
        <v>6183</v>
      </c>
      <c r="E6760" s="7" t="s">
        <v>35</v>
      </c>
      <c r="F6760" s="8" t="str">
        <f ca="1">IFERROR(__xludf.DUMMYFUNCTION("IF
(
C6761=""фізична особа""
,
VLOOKUP(D6761,IMPORTRANGE(""https://docs.google.com/spreadsheets/d/14Bd19lYaqBhU8_DElYkX7l4wRkHqqCUFNJY4AfY3kHU/edit?usp=sharing  #gid=0"",""фіз особи new!relations_name""),6,FALSE)
,
(IF
(
C6761=""юридична особа""
,
VLOOKUP"&amp;"(D6761,IMPORTRANGE(""https://docs.google.com/spreadsheets/d/14Bd19lYaqBhU8_DElYkX7l4wRkHqqCUFNJY4AfY3kHU/edit?usp=sharing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60" s="7" t="s">
        <v>10</v>
      </c>
      <c r="H6760" s="7">
        <v>6182</v>
      </c>
      <c r="I6760" s="8" t="str">
        <f ca="1">IFERROR(__xludf.DUMMYFUNCTION("IF
(
G6761=""фізична особа""
,
VLOOKUP(H6761,IMPORTRANGE(""https://docs.google.com/spreadsheets/d/14Bd19lYaqBhU8_DElYkX7l4wRkHqqCUFNJY4AfY3kHU/edit?usp=sharing  #gid=0"",""фіз особи new!relations_name""),6,FALSE)
,
(IF
(
G6761=""юридична особа""
,
VLOOKUP"&amp;"(H6761,IMPORTRANGE(""https://docs.google.com/spreadsheets/d/14Bd19lYaqBhU8_DElYkX7l4wRkHqqCUFNJY4AfY3kHU/edit?usp=sharing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J6760" s="7" t="s">
        <v>35</v>
      </c>
    </row>
    <row r="6761" spans="1:10" ht="13.2">
      <c r="A6761" s="7">
        <v>6760</v>
      </c>
      <c r="B6761" s="7">
        <v>1</v>
      </c>
      <c r="C6761" s="7" t="s">
        <v>10</v>
      </c>
      <c r="D6761" s="7">
        <v>6183</v>
      </c>
      <c r="E6761" s="7" t="s">
        <v>35</v>
      </c>
      <c r="F6761" s="8" t="str">
        <f ca="1">IFERROR(__xludf.DUMMYFUNCTION("IF
(
C6762=""фізична особа""
,
VLOOKUP(D6762,IMPORTRANGE(""https://docs.google.com/spreadsheets/d/14Bd19lYaqBhU8_DElYkX7l4wRkHqqCUFNJY4AfY3kHU/edit?usp=sharing  #gid=0"",""фіз особи new!relations_name""),6,FALSE)
,
(IF
(
C6762=""юридична особа""
,
VLOOKUP"&amp;"(D6762,IMPORTRANGE(""https://docs.google.com/spreadsheets/d/14Bd19lYaqBhU8_DElYkX7l4wRkHqqCUFNJY4AfY3kHU/edit?usp=sharing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61" s="7" t="s">
        <v>10</v>
      </c>
      <c r="H6761" s="7">
        <v>4534</v>
      </c>
      <c r="I6761" s="8" t="str">
        <f ca="1">IFERROR(__xludf.DUMMYFUNCTION("IF
(
G6762=""фізична особа""
,
VLOOKUP(H6762,IMPORTRANGE(""https://docs.google.com/spreadsheets/d/14Bd19lYaqBhU8_DElYkX7l4wRkHqqCUFNJY4AfY3kHU/edit?usp=sharing  #gid=0"",""фіз особи new!relations_name""),6,FALSE)
,
(IF
(
G6762=""юридична особа""
,
VLOOKUP"&amp;"(H6762,IMPORTRANGE(""https://docs.google.com/spreadsheets/d/14Bd19lYaqBhU8_DElYkX7l4wRkHqqCUFNJY4AfY3kHU/edit?usp=sharing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6761" s="7" t="s">
        <v>35</v>
      </c>
    </row>
    <row r="6762" spans="1:10" ht="13.2">
      <c r="A6762" s="7">
        <v>6761</v>
      </c>
      <c r="B6762" s="7">
        <v>1</v>
      </c>
      <c r="C6762" s="7" t="s">
        <v>10</v>
      </c>
      <c r="D6762" s="7">
        <v>6183</v>
      </c>
      <c r="E6762" s="7" t="s">
        <v>35</v>
      </c>
      <c r="F6762" s="8" t="str">
        <f ca="1">IFERROR(__xludf.DUMMYFUNCTION("IF
(
C6763=""фізична особа""
,
VLOOKUP(D6763,IMPORTRANGE(""https://docs.google.com/spreadsheets/d/14Bd19lYaqBhU8_DElYkX7l4wRkHqqCUFNJY4AfY3kHU/edit?usp=sharing  #gid=0"",""фіз особи new!relations_name""),6,FALSE)
,
(IF
(
C6763=""юридична особа""
,
VLOOKUP"&amp;"(D6763,IMPORTRANGE(""https://docs.google.com/spreadsheets/d/14Bd19lYaqBhU8_DElYkX7l4wRkHqqCUFNJY4AfY3kHU/edit?usp=sharing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62" s="7" t="s">
        <v>10</v>
      </c>
      <c r="H6762" s="7">
        <v>6184</v>
      </c>
      <c r="I6762" s="8" t="str">
        <f ca="1">IFERROR(__xludf.DUMMYFUNCTION("IF
(
G6763=""фізична особа""
,
VLOOKUP(H6763,IMPORTRANGE(""https://docs.google.com/spreadsheets/d/14Bd19lYaqBhU8_DElYkX7l4wRkHqqCUFNJY4AfY3kHU/edit?usp=sharing  #gid=0"",""фіз особи new!relations_name""),6,FALSE)
,
(IF
(
G6763=""юридична особа""
,
VLOOKUP"&amp;"(H6763,IMPORTRANGE(""https://docs.google.com/spreadsheets/d/14Bd19lYaqBhU8_DElYkX7l4wRkHqqCUFNJY4AfY3kHU/edit?usp=sharing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J6762" s="7" t="s">
        <v>35</v>
      </c>
    </row>
    <row r="6763" spans="1:10" ht="13.2">
      <c r="A6763" s="7">
        <v>6762</v>
      </c>
      <c r="B6763" s="7">
        <v>1</v>
      </c>
      <c r="C6763" s="7" t="s">
        <v>10</v>
      </c>
      <c r="D6763" s="7">
        <v>6183</v>
      </c>
      <c r="E6763" s="7" t="s">
        <v>35</v>
      </c>
      <c r="F6763" s="8" t="str">
        <f ca="1">IFERROR(__xludf.DUMMYFUNCTION("IF
(
C6764=""фізична особа""
,
VLOOKUP(D6764,IMPORTRANGE(""https://docs.google.com/spreadsheets/d/14Bd19lYaqBhU8_DElYkX7l4wRkHqqCUFNJY4AfY3kHU/edit?usp=sharing  #gid=0"",""фіз особи new!relations_name""),6,FALSE)
,
(IF
(
C6764=""юридична особа""
,
VLOOKUP"&amp;"(D6764,IMPORTRANGE(""https://docs.google.com/spreadsheets/d/14Bd19lYaqBhU8_DElYkX7l4wRkHqqCUFNJY4AfY3kHU/edit?usp=sharing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G6763" s="7" t="s">
        <v>10</v>
      </c>
      <c r="H6763" s="7">
        <v>623</v>
      </c>
      <c r="I6763" s="8" t="str">
        <f ca="1">IFERROR(__xludf.DUMMYFUNCTION("IF
(
G6764=""фізична особа""
,
VLOOKUP(H6764,IMPORTRANGE(""https://docs.google.com/spreadsheets/d/14Bd19lYaqBhU8_DElYkX7l4wRkHqqCUFNJY4AfY3kHU/edit?usp=sharing  #gid=0"",""фіз особи new!relations_name""),6,FALSE)
,
(IF
(
G6764=""юридична особа""
,
VLOOKUP"&amp;"(H6764,IMPORTRANGE(""https://docs.google.com/spreadsheets/d/14Bd19lYaqBhU8_DElYkX7l4wRkHqqCUFNJY4AfY3kHU/edit?usp=sharing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J6763" s="7" t="s">
        <v>35</v>
      </c>
    </row>
    <row r="6764" spans="1:10" ht="13.2">
      <c r="A6764" s="7">
        <v>6763</v>
      </c>
      <c r="B6764" s="7">
        <v>1</v>
      </c>
      <c r="C6764" s="7" t="s">
        <v>10</v>
      </c>
      <c r="D6764" s="7">
        <v>6184</v>
      </c>
      <c r="E6764" s="7" t="s">
        <v>115</v>
      </c>
      <c r="F6764" s="8" t="str">
        <f ca="1">IFERROR(__xludf.DUMMYFUNCTION("IF
(
C6765=""фізична особа""
,
VLOOKUP(D6765,IMPORTRANGE(""https://docs.google.com/spreadsheets/d/14Bd19lYaqBhU8_DElYkX7l4wRkHqqCUFNJY4AfY3kHU/edit?usp=sharing  #gid=0"",""фіз особи new!relations_name""),6,FALSE)
,
(IF
(
C6765=""юридична особа""
,
VLOOKUP"&amp;"(D6765,IMPORTRANGE(""https://docs.google.com/spreadsheets/d/14Bd19lYaqBhU8_DElYkX7l4wRkHqqCUFNJY4AfY3kHU/edit?usp=sharing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4" s="7" t="s">
        <v>10</v>
      </c>
      <c r="H6764" s="7">
        <v>6180</v>
      </c>
      <c r="I6764" s="8" t="str">
        <f ca="1">IFERROR(__xludf.DUMMYFUNCTION("IF
(
G6765=""фізична особа""
,
VLOOKUP(H6765,IMPORTRANGE(""https://docs.google.com/spreadsheets/d/14Bd19lYaqBhU8_DElYkX7l4wRkHqqCUFNJY4AfY3kHU/edit?usp=sharing  #gid=0"",""фіз особи new!relations_name""),6,FALSE)
,
(IF
(
G6765=""юридична особа""
,
VLOOKUP"&amp;"(H6765,IMPORTRANGE(""https://docs.google.com/spreadsheets/d/14Bd19lYaqBhU8_DElYkX7l4wRkHqqCUFNJY4AfY3kHU/edit?usp=sharing  #gid=0"",""фіз особи new!relations_name_uo""),7,FALSE)
,
)
))"),"ЄЛІНСОН Андрій Михайлович")</f>
        <v>ЄЛІНСОН Андрій Михайлович</v>
      </c>
      <c r="J6764" s="7" t="s">
        <v>29</v>
      </c>
    </row>
    <row r="6765" spans="1:10" ht="13.2">
      <c r="A6765" s="7">
        <v>6764</v>
      </c>
      <c r="B6765" s="7">
        <v>1</v>
      </c>
      <c r="C6765" s="7" t="s">
        <v>10</v>
      </c>
      <c r="D6765" s="7">
        <v>6184</v>
      </c>
      <c r="E6765" s="7" t="s">
        <v>115</v>
      </c>
      <c r="F6765" s="8" t="str">
        <f ca="1">IFERROR(__xludf.DUMMYFUNCTION("IF
(
C6766=""фізична особа""
,
VLOOKUP(D6766,IMPORTRANGE(""https://docs.google.com/spreadsheets/d/14Bd19lYaqBhU8_DElYkX7l4wRkHqqCUFNJY4AfY3kHU/edit?usp=sharing  #gid=0"",""фіз особи new!relations_name""),6,FALSE)
,
(IF
(
C6766=""юридична особа""
,
VLOOKUP"&amp;"(D6766,IMPORTRANGE(""https://docs.google.com/spreadsheets/d/14Bd19lYaqBhU8_DElYkX7l4wRkHqqCUFNJY4AfY3kHU/edit?usp=sharing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5" s="7" t="s">
        <v>10</v>
      </c>
      <c r="H6765" s="7">
        <v>6181</v>
      </c>
      <c r="I6765" s="8" t="str">
        <f ca="1">IFERROR(__xludf.DUMMYFUNCTION("IF
(
G6766=""фізична особа""
,
VLOOKUP(H6766,IMPORTRANGE(""https://docs.google.com/spreadsheets/d/14Bd19lYaqBhU8_DElYkX7l4wRkHqqCUFNJY4AfY3kHU/edit?usp=sharing  #gid=0"",""фіз особи new!relations_name""),6,FALSE)
,
(IF
(
G6766=""юридична особа""
,
VLOOKUP"&amp;"(H6766,IMPORTRANGE(""https://docs.google.com/spreadsheets/d/14Bd19lYaqBhU8_DElYkX7l4wRkHqqCUFNJY4AfY3kHU/edit?usp=sharing  #gid=0"",""фіз особи new!relations_name_uo""),7,FALSE)
,
)
))"),"ІВАЧОВ Андрій Олексійович")</f>
        <v>ІВАЧОВ Андрій Олексійович</v>
      </c>
      <c r="J6765" s="7" t="s">
        <v>29</v>
      </c>
    </row>
    <row r="6766" spans="1:10" ht="13.2">
      <c r="A6766" s="7">
        <v>6765</v>
      </c>
      <c r="B6766" s="7">
        <v>1</v>
      </c>
      <c r="C6766" s="7" t="s">
        <v>10</v>
      </c>
      <c r="D6766" s="7">
        <v>6184</v>
      </c>
      <c r="E6766" s="7" t="s">
        <v>35</v>
      </c>
      <c r="F6766" s="8" t="str">
        <f ca="1">IFERROR(__xludf.DUMMYFUNCTION("IF
(
C6767=""фізична особа""
,
VLOOKUP(D6767,IMPORTRANGE(""https://docs.google.com/spreadsheets/d/14Bd19lYaqBhU8_DElYkX7l4wRkHqqCUFNJY4AfY3kHU/edit?usp=sharing  #gid=0"",""фіз особи new!relations_name""),6,FALSE)
,
(IF
(
C6767=""юридична особа""
,
VLOOKUP"&amp;"(D6767,IMPORTRANGE(""https://docs.google.com/spreadsheets/d/14Bd19lYaqBhU8_DElYkX7l4wRkHqqCUFNJY4AfY3kHU/edit?usp=sharing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6" s="7" t="s">
        <v>10</v>
      </c>
      <c r="H6766" s="7">
        <v>6182</v>
      </c>
      <c r="I6766" s="8" t="str">
        <f ca="1">IFERROR(__xludf.DUMMYFUNCTION("IF
(
G6767=""фізична особа""
,
VLOOKUP(H6767,IMPORTRANGE(""https://docs.google.com/spreadsheets/d/14Bd19lYaqBhU8_DElYkX7l4wRkHqqCUFNJY4AfY3kHU/edit?usp=sharing  #gid=0"",""фіз особи new!relations_name""),6,FALSE)
,
(IF
(
G6767=""юридична особа""
,
VLOOKUP"&amp;"(H6767,IMPORTRANGE(""https://docs.google.com/spreadsheets/d/14Bd19lYaqBhU8_DElYkX7l4wRkHqqCUFNJY4AfY3kHU/edit?usp=sharing  #gid=0"",""фіз особи new!relations_name_uo""),7,FALSE)
,
)
))"),"АУЗАН Олександр Олександрович")</f>
        <v>АУЗАН Олександр Олександрович</v>
      </c>
      <c r="J6766" s="7" t="s">
        <v>35</v>
      </c>
    </row>
    <row r="6767" spans="1:10" ht="13.2">
      <c r="A6767" s="7">
        <v>6766</v>
      </c>
      <c r="B6767" s="7">
        <v>1</v>
      </c>
      <c r="C6767" s="7" t="s">
        <v>10</v>
      </c>
      <c r="D6767" s="7">
        <v>6184</v>
      </c>
      <c r="E6767" s="7" t="s">
        <v>35</v>
      </c>
      <c r="F6767" s="8" t="str">
        <f ca="1">IFERROR(__xludf.DUMMYFUNCTION("IF
(
C6768=""фізична особа""
,
VLOOKUP(D6768,IMPORTRANGE(""https://docs.google.com/spreadsheets/d/14Bd19lYaqBhU8_DElYkX7l4wRkHqqCUFNJY4AfY3kHU/edit?usp=sharing  #gid=0"",""фіз особи new!relations_name""),6,FALSE)
,
(IF
(
C6768=""юридична особа""
,
VLOOKUP"&amp;"(D6768,IMPORTRANGE(""https://docs.google.com/spreadsheets/d/14Bd19lYaqBhU8_DElYkX7l4wRkHqqCUFNJY4AfY3kHU/edit?usp=sharing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7" s="7" t="s">
        <v>10</v>
      </c>
      <c r="H6767" s="7">
        <v>4534</v>
      </c>
      <c r="I6767" s="8" t="str">
        <f ca="1">IFERROR(__xludf.DUMMYFUNCTION("IF
(
G6768=""фізична особа""
,
VLOOKUP(H6768,IMPORTRANGE(""https://docs.google.com/spreadsheets/d/14Bd19lYaqBhU8_DElYkX7l4wRkHqqCUFNJY4AfY3kHU/edit?usp=sharing  #gid=0"",""фіз особи new!relations_name""),6,FALSE)
,
(IF
(
G6768=""юридична особа""
,
VLOOKUP"&amp;"(H6768,IMPORTRANGE(""https://docs.google.com/spreadsheets/d/14Bd19lYaqBhU8_DElYkX7l4wRkHqqCUFNJY4AfY3kHU/edit?usp=sharing  #gid=0"",""фіз особи new!relations_name_uo""),7,FALSE)
,
)
))"),"ПЛІГІН Володимир Миколайович")</f>
        <v>ПЛІГІН Володимир Миколайович</v>
      </c>
      <c r="J6767" s="7" t="s">
        <v>35</v>
      </c>
    </row>
    <row r="6768" spans="1:10" ht="13.2">
      <c r="A6768" s="7">
        <v>6767</v>
      </c>
      <c r="B6768" s="7">
        <v>1</v>
      </c>
      <c r="C6768" s="7" t="s">
        <v>10</v>
      </c>
      <c r="D6768" s="7">
        <v>6184</v>
      </c>
      <c r="E6768" s="7" t="s">
        <v>35</v>
      </c>
      <c r="F6768" s="8" t="str">
        <f ca="1">IFERROR(__xludf.DUMMYFUNCTION("IF
(
C6769=""фізична особа""
,
VLOOKUP(D6769,IMPORTRANGE(""https://docs.google.com/spreadsheets/d/14Bd19lYaqBhU8_DElYkX7l4wRkHqqCUFNJY4AfY3kHU/edit?usp=sharing  #gid=0"",""фіз особи new!relations_name""),6,FALSE)
,
(IF
(
C6769=""юридична особа""
,
VLOOKUP"&amp;"(D6769,IMPORTRANGE(""https://docs.google.com/spreadsheets/d/14Bd19lYaqBhU8_DElYkX7l4wRkHqqCUFNJY4AfY3kHU/edit?usp=sharing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8" s="7" t="s">
        <v>10</v>
      </c>
      <c r="H6768" s="7">
        <v>6183</v>
      </c>
      <c r="I6768" s="8" t="str">
        <f ca="1">IFERROR(__xludf.DUMMYFUNCTION("IF
(
G6769=""фізична особа""
,
VLOOKUP(H6769,IMPORTRANGE(""https://docs.google.com/spreadsheets/d/14Bd19lYaqBhU8_DElYkX7l4wRkHqqCUFNJY4AfY3kHU/edit?usp=sharing  #gid=0"",""фіз особи new!relations_name""),6,FALSE)
,
(IF
(
G6769=""юридична особа""
,
VLOOKUP"&amp;"(H6769,IMPORTRANGE(""https://docs.google.com/spreadsheets/d/14Bd19lYaqBhU8_DElYkX7l4wRkHqqCUFNJY4AfY3kHU/edit?usp=sharing  #gid=0"",""фіз особи new!relations_name_uo""),7,FALSE)
,
)
))"),"КУЧЕРЕНА Анатолій Григорович")</f>
        <v>КУЧЕРЕНА Анатолій Григорович</v>
      </c>
      <c r="J6768" s="7" t="s">
        <v>35</v>
      </c>
    </row>
    <row r="6769" spans="1:10" ht="13.2">
      <c r="A6769" s="7">
        <v>6768</v>
      </c>
      <c r="B6769" s="7">
        <v>1</v>
      </c>
      <c r="C6769" s="7" t="s">
        <v>10</v>
      </c>
      <c r="D6769" s="7">
        <v>6184</v>
      </c>
      <c r="E6769" s="7" t="s">
        <v>35</v>
      </c>
      <c r="F6769" s="8" t="str">
        <f ca="1">IFERROR(__xludf.DUMMYFUNCTION("IF
(
C6770=""фізична особа""
,
VLOOKUP(D6770,IMPORTRANGE(""https://docs.google.com/spreadsheets/d/14Bd19lYaqBhU8_DElYkX7l4wRkHqqCUFNJY4AfY3kHU/edit?usp=sharing  #gid=0"",""фіз особи new!relations_name""),6,FALSE)
,
(IF
(
C6770=""юридична особа""
,
VLOOKUP"&amp;"(D6770,IMPORTRANGE(""https://docs.google.com/spreadsheets/d/14Bd19lYaqBhU8_DElYkX7l4wRkHqqCUFNJY4AfY3kHU/edit?usp=sharing  #gid=0"",""фіз особи new!relations_name_uo""),7,FALSE)
,
)
))"),"ШАРОНОВ Андрій Володимирович")</f>
        <v>ШАРОНОВ Андрій Володимирович</v>
      </c>
      <c r="G6769" s="7" t="s">
        <v>10</v>
      </c>
      <c r="H6769" s="7">
        <v>623</v>
      </c>
      <c r="I6769" s="8" t="str">
        <f ca="1">IFERROR(__xludf.DUMMYFUNCTION("IF
(
G6770=""фізична особа""
,
VLOOKUP(H6770,IMPORTRANGE(""https://docs.google.com/spreadsheets/d/14Bd19lYaqBhU8_DElYkX7l4wRkHqqCUFNJY4AfY3kHU/edit?usp=sharing  #gid=0"",""фіз особи new!relations_name""),6,FALSE)
,
(IF
(
G6770=""юридична особа""
,
VLOOKUP"&amp;"(H6770,IMPORTRANGE(""https://docs.google.com/spreadsheets/d/14Bd19lYaqBhU8_DElYkX7l4wRkHqqCUFNJY4AfY3kHU/edit?usp=sharing  #gid=0"",""фіз особи new!relations_name_uo""),7,FALSE)
,
)
))"),"ШОХІН Олександр Миколайович")</f>
        <v>ШОХІН Олександр Миколайович</v>
      </c>
      <c r="J6769" s="7" t="s">
        <v>35</v>
      </c>
    </row>
    <row r="6770" spans="1:10" ht="13.2">
      <c r="A6770" s="7">
        <v>6769</v>
      </c>
      <c r="B6770" s="7">
        <v>1</v>
      </c>
      <c r="C6770" s="7" t="s">
        <v>10</v>
      </c>
      <c r="D6770" s="7">
        <v>6185</v>
      </c>
      <c r="E6770" s="7" t="s">
        <v>29</v>
      </c>
      <c r="F6770" s="8" t="str">
        <f ca="1">IFERROR(__xludf.DUMMYFUNCTION("IF
(
C6771=""фізична особа""
,
VLOOKUP(D6771,IMPORTRANGE(""https://docs.google.com/spreadsheets/d/14Bd19lYaqBhU8_DElYkX7l4wRkHqqCUFNJY4AfY3kHU/edit?usp=sharing  #gid=0"",""фіз особи new!relations_name""),6,FALSE)
,
(IF
(
C6771=""юридична особа""
,
VLOOKUP"&amp;"(D6771,IMPORTRANGE(""https://docs.google.com/spreadsheets/d/14Bd19lYaqBhU8_DElYkX7l4wRkHqqCUFNJY4AfY3kHU/edit?usp=sharing  #gid=0"",""фіз особи new!relations_name_uo""),7,FALSE)
,
)
))"),"КРИВОШЕЄВА Ірина Володимирівна")</f>
        <v>КРИВОШЕЄВА Ірина Володимирівна</v>
      </c>
      <c r="G6770" s="7" t="s">
        <v>10</v>
      </c>
      <c r="H6770" s="7">
        <v>6437</v>
      </c>
      <c r="I6770" s="8" t="str">
        <f ca="1">IFERROR(__xludf.DUMMYFUNCTION("IF
(
G6771=""фізична особа""
,
VLOOKUP(H6771,IMPORTRANGE(""https://docs.google.com/spreadsheets/d/14Bd19lYaqBhU8_DElYkX7l4wRkHqqCUFNJY4AfY3kHU/edit?usp=sharing  #gid=0"",""фіз особи new!relations_name""),6,FALSE)
,
(IF
(
G6771=""юридична особа""
,
VLOOKUP"&amp;"(H6771,IMPORTRANGE(""https://docs.google.com/spreadsheets/d/14Bd19lYaqBhU8_DElYkX7l4wRkHqqCUFNJY4AfY3kHU/edit?usp=sharing  #gid=0"",""фіз особи new!relations_name_uo""),7,FALSE)
,
)
))"),"БОЧАРОВ Іван Вікторович")</f>
        <v>БОЧАРОВ Іван Вікторович</v>
      </c>
      <c r="J6770" s="7" t="s">
        <v>28</v>
      </c>
    </row>
    <row r="6771" spans="1:10" ht="13.2">
      <c r="A6771" s="7">
        <v>6770</v>
      </c>
      <c r="B6771" s="7">
        <v>1</v>
      </c>
      <c r="C6771" s="7" t="s">
        <v>10</v>
      </c>
      <c r="D6771" s="7">
        <v>6185</v>
      </c>
      <c r="E6771" s="7" t="s">
        <v>29</v>
      </c>
      <c r="F6771" s="8" t="str">
        <f ca="1">IFERROR(__xludf.DUMMYFUNCTION("IF
(
C6772=""фізична особа""
,
VLOOKUP(D6772,IMPORTRANGE(""https://docs.google.com/spreadsheets/d/14Bd19lYaqBhU8_DElYkX7l4wRkHqqCUFNJY4AfY3kHU/edit?usp=sharing  #gid=0"",""фіз особи new!relations_name""),6,FALSE)
,
(IF
(
C6772=""юридична особа""
,
VLOOKUP"&amp;"(D6772,IMPORTRANGE(""https://docs.google.com/spreadsheets/d/14Bd19lYaqBhU8_DElYkX7l4wRkHqqCUFNJY4AfY3kHU/edit?usp=sharing  #gid=0"",""фіз особи new!relations_name_uo""),7,FALSE)
,
)
))"),"КРИВОШЕЄВА Ірина Володимирівна")</f>
        <v>КРИВОШЕЄВА Ірина Володимирівна</v>
      </c>
      <c r="G6771" s="7" t="s">
        <v>10</v>
      </c>
      <c r="H6771" s="7">
        <v>6438</v>
      </c>
      <c r="I6771" s="8" t="str">
        <f ca="1">IFERROR(__xludf.DUMMYFUNCTION("IF
(
G6772=""фізична особа""
,
VLOOKUP(H6772,IMPORTRANGE(""https://docs.google.com/spreadsheets/d/14Bd19lYaqBhU8_DElYkX7l4wRkHqqCUFNJY4AfY3kHU/edit?usp=sharing  #gid=0"",""фіз особи new!relations_name""),6,FALSE)
,
(IF
(
G6772=""юридична особа""
,
VLOOKUP"&amp;"(H6772,IMPORTRANGE(""https://docs.google.com/spreadsheets/d/14Bd19lYaqBhU8_DElYkX7l4wRkHqqCUFNJY4AfY3kHU/edit?usp=sharing  #gid=0"",""фіз особи new!relations_name_uo""),7,FALSE)
,
)
))"),"ОРЛОВА Катерина Олексіївна")</f>
        <v>ОРЛОВА Катерина Олексіївна</v>
      </c>
      <c r="J6771" s="7" t="s">
        <v>28</v>
      </c>
    </row>
    <row r="6772" spans="1:10" ht="13.2">
      <c r="A6772" s="7">
        <v>6771</v>
      </c>
      <c r="B6772" s="7">
        <v>1</v>
      </c>
      <c r="C6772" s="7" t="s">
        <v>10</v>
      </c>
      <c r="D6772" s="7">
        <v>6187</v>
      </c>
      <c r="E6772" s="7" t="s">
        <v>28</v>
      </c>
      <c r="F6772" s="8" t="str">
        <f ca="1">IFERROR(__xludf.DUMMYFUNCTION("IF
(
C6773=""фізична особа""
,
VLOOKUP(D6773,IMPORTRANGE(""https://docs.google.com/spreadsheets/d/14Bd19lYaqBhU8_DElYkX7l4wRkHqqCUFNJY4AfY3kHU/edit?usp=sharing  #gid=0"",""фіз особи new!relations_name""),6,FALSE)
,
(IF
(
C6773=""юридична особа""
,
VLOOKUP"&amp;"(D6773,IMPORTRANGE(""https://docs.google.com/spreadsheets/d/14Bd19lYaqBhU8_DElYkX7l4wRkHqqCUFNJY4AfY3kHU/edit?usp=sharing  #gid=0"",""фіз особи new!relations_name_uo""),7,FALSE)
,
)
))"),"АРЕФ'ЄВ Руслан Георгійович")</f>
        <v>АРЕФ'ЄВ Руслан Георгійович</v>
      </c>
      <c r="G6772" s="7" t="s">
        <v>10</v>
      </c>
      <c r="H6772" s="7">
        <v>6188</v>
      </c>
      <c r="I6772" s="8" t="str">
        <f ca="1">IFERROR(__xludf.DUMMYFUNCTION("IF
(
G6773=""фізична особа""
,
VLOOKUP(H6773,IMPORTRANGE(""https://docs.google.com/spreadsheets/d/14Bd19lYaqBhU8_DElYkX7l4wRkHqqCUFNJY4AfY3kHU/edit?usp=sharing  #gid=0"",""фіз особи new!relations_name""),6,FALSE)
,
(IF
(
G6773=""юридична особа""
,
VLOOKUP"&amp;"(H6773,IMPORTRANGE(""https://docs.google.com/spreadsheets/d/14Bd19lYaqBhU8_DElYkX7l4wRkHqqCUFNJY4AfY3kHU/edit?usp=sharing  #gid=0"",""фіз особи new!relations_name_uo""),7,FALSE)
,
)
))"),"МАЗУРИН Вячеслав Микитович")</f>
        <v>МАЗУРИН Вячеслав Микитович</v>
      </c>
      <c r="J6772" s="7" t="s">
        <v>29</v>
      </c>
    </row>
    <row r="6773" spans="1:10" ht="13.2">
      <c r="A6773" s="7">
        <v>6772</v>
      </c>
      <c r="B6773" s="7">
        <v>1</v>
      </c>
      <c r="C6773" s="7" t="s">
        <v>10</v>
      </c>
      <c r="D6773" s="7">
        <v>6188</v>
      </c>
      <c r="E6773" s="7" t="s">
        <v>30</v>
      </c>
      <c r="F6773" s="8" t="str">
        <f ca="1">IFERROR(__xludf.DUMMYFUNCTION("IF
(
C6774=""фізична особа""
,
VLOOKUP(D6774,IMPORTRANGE(""https://docs.google.com/spreadsheets/d/14Bd19lYaqBhU8_DElYkX7l4wRkHqqCUFNJY4AfY3kHU/edit?usp=sharing  #gid=0"",""фіз особи new!relations_name""),6,FALSE)
,
(IF
(
C6774=""юридична особа""
,
VLOOKUP"&amp;"(D6774,IMPORTRANGE(""https://docs.google.com/spreadsheets/d/14Bd19lYaqBhU8_DElYkX7l4wRkHqqCUFNJY4AfY3kHU/edit?usp=sharing  #gid=0"",""фіз особи new!relations_name_uo""),7,FALSE)
,
)
))"),"МАЗУРИН Вячеслав Микитович")</f>
        <v>МАЗУРИН Вячеслав Микитович</v>
      </c>
      <c r="G6773" s="7" t="s">
        <v>10</v>
      </c>
      <c r="H6773" s="7">
        <v>0</v>
      </c>
      <c r="I6773" s="8" t="str">
        <f ca="1">IFERROR(__xludf.DUMMYFUNCTION("IF
(
G6774=""фізична особа""
,
VLOOKUP(H6774,IMPORTRANGE(""https://docs.google.com/spreadsheets/d/14Bd19lYaqBhU8_DElYkX7l4wRkHqqCUFNJY4AfY3kHU/edit?usp=sharing  #gid=0"",""фіз особи new!relations_name""),6,FALSE)
,
(IF
(
G6774=""юридична особа""
,
VLOOKUP"&amp;"(H6774,IMPORTRANGE(""https://docs.google.com/spreadsheets/d/14Bd19lYaqBhU8_DElYkX7l4wRkHqqCUFNJY4AfY3kHU/edit?usp=sharing  #gid=0"",""фіз особи new!relations_name_uo""),7,FALSE)
,
)
))"),"#N/A")</f>
        <v>#N/A</v>
      </c>
      <c r="J6773" s="7" t="s">
        <v>30</v>
      </c>
    </row>
    <row r="6774" spans="1:10" ht="13.2">
      <c r="A6774" s="7">
        <v>6773</v>
      </c>
      <c r="B6774" s="7">
        <v>1</v>
      </c>
      <c r="C6774" s="7" t="s">
        <v>10</v>
      </c>
      <c r="D6774" s="7">
        <v>6199</v>
      </c>
      <c r="E6774" s="7" t="s">
        <v>30</v>
      </c>
      <c r="F6774" s="8" t="str">
        <f ca="1">IFERROR(__xludf.DUMMYFUNCTION("IF
(
C6775=""фізична особа""
,
VLOOKUP(D6775,IMPORTRANGE(""https://docs.google.com/spreadsheets/d/14Bd19lYaqBhU8_DElYkX7l4wRkHqqCUFNJY4AfY3kHU/edit?usp=sharing  #gid=0"",""фіз особи new!relations_name""),6,FALSE)
,
(IF
(
C6775=""юридична особа""
,
VLOOKUP"&amp;"(D6775,IMPORTRANGE(""https://docs.google.com/spreadsheets/d/14Bd19lYaqBhU8_DElYkX7l4wRkHqqCUFNJY4AfY3kHU/edit?usp=sharing  #gid=0"",""фіз особи new!relations_name_uo""),7,FALSE)
,
)
))"),"ГОРБУНОВА Оксана Юріївна")</f>
        <v>ГОРБУНОВА Оксана Юріївна</v>
      </c>
      <c r="G6774" s="7" t="s">
        <v>10</v>
      </c>
      <c r="H6774" s="7">
        <v>0</v>
      </c>
      <c r="I6774" s="8" t="str">
        <f ca="1">IFERROR(__xludf.DUMMYFUNCTION("IF
(
G6775=""фізична особа""
,
VLOOKUP(H6775,IMPORTRANGE(""https://docs.google.com/spreadsheets/d/14Bd19lYaqBhU8_DElYkX7l4wRkHqqCUFNJY4AfY3kHU/edit?usp=sharing  #gid=0"",""фіз особи new!relations_name""),6,FALSE)
,
(IF
(
G6775=""юридична особа""
,
VLOOKUP"&amp;"(H6775,IMPORTRANGE(""https://docs.google.com/spreadsheets/d/14Bd19lYaqBhU8_DElYkX7l4wRkHqqCUFNJY4AfY3kHU/edit?usp=sharing  #gid=0"",""фіз особи new!relations_name_uo""),7,FALSE)
,
)
))"),"#N/A")</f>
        <v>#N/A</v>
      </c>
      <c r="J6774" s="7" t="s">
        <v>30</v>
      </c>
    </row>
    <row r="6775" spans="1:10" ht="13.2">
      <c r="A6775" s="7">
        <v>6774</v>
      </c>
      <c r="B6775" s="7">
        <v>1</v>
      </c>
      <c r="C6775" s="7" t="s">
        <v>10</v>
      </c>
      <c r="D6775" s="7">
        <v>6199</v>
      </c>
      <c r="E6775" s="7" t="s">
        <v>30</v>
      </c>
      <c r="F6775" s="8" t="str">
        <f ca="1">IFERROR(__xludf.DUMMYFUNCTION("IF
(
C6776=""фізична особа""
,
VLOOKUP(D6776,IMPORTRANGE(""https://docs.google.com/spreadsheets/d/14Bd19lYaqBhU8_DElYkX7l4wRkHqqCUFNJY4AfY3kHU/edit?usp=sharing  #gid=0"",""фіз особи new!relations_name""),6,FALSE)
,
(IF
(
C6776=""юридична особа""
,
VLOOKUP"&amp;"(D6776,IMPORTRANGE(""https://docs.google.com/spreadsheets/d/14Bd19lYaqBhU8_DElYkX7l4wRkHqqCUFNJY4AfY3kHU/edit?usp=sharing  #gid=0"",""фіз особи new!relations_name_uo""),7,FALSE)
,
)
))"),"ГОРБУНОВА Оксана Юріївна")</f>
        <v>ГОРБУНОВА Оксана Юріївна</v>
      </c>
      <c r="G6775" s="7" t="s">
        <v>10</v>
      </c>
      <c r="H6775" s="7">
        <v>3343</v>
      </c>
      <c r="I6775" s="8" t="str">
        <f ca="1">IFERROR(__xludf.DUMMYFUNCTION("IF
(
G6776=""фізична особа""
,
VLOOKUP(H6776,IMPORTRANGE(""https://docs.google.com/spreadsheets/d/14Bd19lYaqBhU8_DElYkX7l4wRkHqqCUFNJY4AfY3kHU/edit?usp=sharing  #gid=0"",""фіз особи new!relations_name""),6,FALSE)
,
(IF
(
G6776=""юридична особа""
,
VLOOKUP"&amp;"(H6776,IMPORTRANGE(""https://docs.google.com/spreadsheets/d/14Bd19lYaqBhU8_DElYkX7l4wRkHqqCUFNJY4AfY3kHU/edit?usp=sharing  #gid=0"",""фіз особи new!relations_name_uo""),7,FALSE)
,
)
))"),"ІСАЙКІН Олексій Іванович")</f>
        <v>ІСАЙКІН Олексій Іванович</v>
      </c>
      <c r="J6775" s="7" t="s">
        <v>30</v>
      </c>
    </row>
    <row r="6776" spans="1:10" ht="13.2">
      <c r="A6776" s="7">
        <v>6775</v>
      </c>
      <c r="B6776" s="7">
        <v>1</v>
      </c>
      <c r="C6776" s="7" t="s">
        <v>10</v>
      </c>
      <c r="D6776" s="7">
        <v>6199</v>
      </c>
      <c r="E6776" s="7" t="s">
        <v>30</v>
      </c>
      <c r="F6776" s="8" t="str">
        <f ca="1">IFERROR(__xludf.DUMMYFUNCTION("IF
(
C6777=""фізична особа""
,
VLOOKUP(D6777,IMPORTRANGE(""https://docs.google.com/spreadsheets/d/14Bd19lYaqBhU8_DElYkX7l4wRkHqqCUFNJY4AfY3kHU/edit?usp=sharing  #gid=0"",""фіз особи new!relations_name""),6,FALSE)
,
(IF
(
C6777=""юридична особа""
,
VLOOKUP"&amp;"(D6777,IMPORTRANGE(""https://docs.google.com/spreadsheets/d/14Bd19lYaqBhU8_DElYkX7l4wRkHqqCUFNJY4AfY3kHU/edit?usp=sharing  #gid=0"",""фіз особи new!relations_name_uo""),7,FALSE)
,
)
))"),"ГОРБУНОВА Оксана Юріївна")</f>
        <v>ГОРБУНОВА Оксана Юріївна</v>
      </c>
      <c r="G6776" s="7" t="s">
        <v>10</v>
      </c>
      <c r="H6776" s="7">
        <v>3344</v>
      </c>
      <c r="I6776" s="8" t="str">
        <f ca="1">IFERROR(__xludf.DUMMYFUNCTION("IF
(
G6777=""фізична особа""
,
VLOOKUP(H6777,IMPORTRANGE(""https://docs.google.com/spreadsheets/d/14Bd19lYaqBhU8_DElYkX7l4wRkHqqCUFNJY4AfY3kHU/edit?usp=sharing  #gid=0"",""фіз особи new!relations_name""),6,FALSE)
,
(IF
(
G6777=""юридична особа""
,
VLOOKUP"&amp;"(H6777,IMPORTRANGE(""https://docs.google.com/spreadsheets/d/14Bd19lYaqBhU8_DElYkX7l4wRkHqqCUFNJY4AfY3kHU/edit?usp=sharing  #gid=0"",""фіз особи new!relations_name_uo""),7,FALSE)
,
)
))"),"ШКЛЯНИК Сергій Іванович")</f>
        <v>ШКЛЯНИК Сергій Іванович</v>
      </c>
      <c r="J6776" s="7" t="s">
        <v>30</v>
      </c>
    </row>
    <row r="6777" spans="1:10" ht="13.2">
      <c r="A6777" s="7">
        <v>6776</v>
      </c>
      <c r="B6777" s="7">
        <v>1</v>
      </c>
      <c r="C6777" s="7" t="s">
        <v>10</v>
      </c>
      <c r="D6777" s="7">
        <v>6200</v>
      </c>
      <c r="E6777" s="7" t="s">
        <v>14</v>
      </c>
      <c r="F6777" s="8" t="str">
        <f ca="1">IFERROR(__xludf.DUMMYFUNCTION("IF
(
C6778=""фізична особа""
,
VLOOKUP(D6778,IMPORTRANGE(""https://docs.google.com/spreadsheets/d/14Bd19lYaqBhU8_DElYkX7l4wRkHqqCUFNJY4AfY3kHU/edit?usp=sharing  #gid=0"",""фіз особи new!relations_name""),6,FALSE)
,
(IF
(
C6778=""юридична особа""
,
VLOOKUP"&amp;"(D6778,IMPORTRANGE(""https://docs.google.com/spreadsheets/d/14Bd19lYaqBhU8_DElYkX7l4wRkHqqCUFNJY4AfY3kHU/edit?usp=sharing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77" s="7" t="s">
        <v>10</v>
      </c>
      <c r="H6777" s="7">
        <v>0</v>
      </c>
      <c r="I6777" s="8" t="str">
        <f ca="1">IFERROR(__xludf.DUMMYFUNCTION("IF
(
G6778=""фізична особа""
,
VLOOKUP(H6778,IMPORTRANGE(""https://docs.google.com/spreadsheets/d/14Bd19lYaqBhU8_DElYkX7l4wRkHqqCUFNJY4AfY3kHU/edit?usp=sharing  #gid=0"",""фіз особи new!relations_name""),6,FALSE)
,
(IF
(
G6778=""юридична особа""
,
VLOOKUP"&amp;"(H6778,IMPORTRANGE(""https://docs.google.com/spreadsheets/d/14Bd19lYaqBhU8_DElYkX7l4wRkHqqCUFNJY4AfY3kHU/edit?usp=sharing  #gid=0"",""фіз особи new!relations_name_uo""),7,FALSE)
,
)
))"),"#N/A")</f>
        <v>#N/A</v>
      </c>
      <c r="J6777" s="7" t="s">
        <v>15</v>
      </c>
    </row>
    <row r="6778" spans="1:10" ht="13.2">
      <c r="A6778" s="7">
        <v>6777</v>
      </c>
      <c r="B6778" s="7">
        <v>1</v>
      </c>
      <c r="C6778" s="7" t="s">
        <v>10</v>
      </c>
      <c r="D6778" s="7">
        <v>6200</v>
      </c>
      <c r="E6778" s="7" t="s">
        <v>12</v>
      </c>
      <c r="F6778" s="8" t="str">
        <f ca="1">IFERROR(__xludf.DUMMYFUNCTION("IF
(
C6779=""фізична особа""
,
VLOOKUP(D6779,IMPORTRANGE(""https://docs.google.com/spreadsheets/d/14Bd19lYaqBhU8_DElYkX7l4wRkHqqCUFNJY4AfY3kHU/edit?usp=sharing  #gid=0"",""фіз особи new!relations_name""),6,FALSE)
,
(IF
(
C6779=""юридична особа""
,
VLOOKUP"&amp;"(D6779,IMPORTRANGE(""https://docs.google.com/spreadsheets/d/14Bd19lYaqBhU8_DElYkX7l4wRkHqqCUFNJY4AfY3kHU/edit?usp=sharing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78" s="7" t="s">
        <v>10</v>
      </c>
      <c r="H6778" s="7">
        <v>0</v>
      </c>
      <c r="I6778" s="8" t="str">
        <f ca="1">IFERROR(__xludf.DUMMYFUNCTION("IF
(
G6779=""фізична особа""
,
VLOOKUP(H6779,IMPORTRANGE(""https://docs.google.com/spreadsheets/d/14Bd19lYaqBhU8_DElYkX7l4wRkHqqCUFNJY4AfY3kHU/edit?usp=sharing  #gid=0"",""фіз особи new!relations_name""),6,FALSE)
,
(IF
(
G6779=""юридична особа""
,
VLOOKUP"&amp;"(H6779,IMPORTRANGE(""https://docs.google.com/spreadsheets/d/14Bd19lYaqBhU8_DElYkX7l4wRkHqqCUFNJY4AfY3kHU/edit?usp=sharing  #gid=0"",""фіз особи new!relations_name_uo""),7,FALSE)
,
)
))"),"#N/A")</f>
        <v>#N/A</v>
      </c>
      <c r="J6778" s="7" t="s">
        <v>17</v>
      </c>
    </row>
    <row r="6779" spans="1:10" ht="13.2">
      <c r="A6779" s="7">
        <v>6778</v>
      </c>
      <c r="B6779" s="7">
        <v>1</v>
      </c>
      <c r="C6779" s="7" t="s">
        <v>10</v>
      </c>
      <c r="D6779" s="7">
        <v>6200</v>
      </c>
      <c r="E6779" s="7" t="s">
        <v>12</v>
      </c>
      <c r="F6779" s="8" t="str">
        <f ca="1">IFERROR(__xludf.DUMMYFUNCTION("IF
(
C6780=""фізична особа""
,
VLOOKUP(D6780,IMPORTRANGE(""https://docs.google.com/spreadsheets/d/14Bd19lYaqBhU8_DElYkX7l4wRkHqqCUFNJY4AfY3kHU/edit?usp=sharing  #gid=0"",""фіз особи new!relations_name""),6,FALSE)
,
(IF
(
C6780=""юридична особа""
,
VLOOKUP"&amp;"(D6780,IMPORTRANGE(""https://docs.google.com/spreadsheets/d/14Bd19lYaqBhU8_DElYkX7l4wRkHqqCUFNJY4AfY3kHU/edit?usp=sharing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79" s="7" t="s">
        <v>10</v>
      </c>
      <c r="H6779" s="7">
        <v>0</v>
      </c>
      <c r="I6779" s="8" t="str">
        <f ca="1">IFERROR(__xludf.DUMMYFUNCTION("IF
(
G6780=""фізична особа""
,
VLOOKUP(H6780,IMPORTRANGE(""https://docs.google.com/spreadsheets/d/14Bd19lYaqBhU8_DElYkX7l4wRkHqqCUFNJY4AfY3kHU/edit?usp=sharing  #gid=0"",""фіз особи new!relations_name""),6,FALSE)
,
(IF
(
G6780=""юридична особа""
,
VLOOKUP"&amp;"(H6780,IMPORTRANGE(""https://docs.google.com/spreadsheets/d/14Bd19lYaqBhU8_DElYkX7l4wRkHqqCUFNJY4AfY3kHU/edit?usp=sharing  #gid=0"",""фіз особи new!relations_name_uo""),7,FALSE)
,
)
))"),"#N/A")</f>
        <v>#N/A</v>
      </c>
      <c r="J6779" s="7" t="s">
        <v>17</v>
      </c>
    </row>
    <row r="6780" spans="1:10" ht="13.2">
      <c r="A6780" s="7">
        <v>6779</v>
      </c>
      <c r="B6780" s="7">
        <v>1</v>
      </c>
      <c r="C6780" s="7" t="s">
        <v>10</v>
      </c>
      <c r="D6780" s="7">
        <v>6200</v>
      </c>
      <c r="E6780" s="7" t="s">
        <v>104</v>
      </c>
      <c r="F6780" s="8" t="str">
        <f ca="1">IFERROR(__xludf.DUMMYFUNCTION("IF
(
C6781=""фізична особа""
,
VLOOKUP(D6781,IMPORTRANGE(""https://docs.google.com/spreadsheets/d/14Bd19lYaqBhU8_DElYkX7l4wRkHqqCUFNJY4AfY3kHU/edit?usp=sharing  #gid=0"",""фіз особи new!relations_name""),6,FALSE)
,
(IF
(
C6781=""юридична особа""
,
VLOOKUP"&amp;"(D6781,IMPORTRANGE(""https://docs.google.com/spreadsheets/d/14Bd19lYaqBhU8_DElYkX7l4wRkHqqCUFNJY4AfY3kHU/edit?usp=sharing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80" s="7" t="s">
        <v>10</v>
      </c>
      <c r="H6780" s="7">
        <v>0</v>
      </c>
      <c r="I6780" s="8" t="str">
        <f ca="1">IFERROR(__xludf.DUMMYFUNCTION("IF
(
G6781=""фізична особа""
,
VLOOKUP(H6781,IMPORTRANGE(""https://docs.google.com/spreadsheets/d/14Bd19lYaqBhU8_DElYkX7l4wRkHqqCUFNJY4AfY3kHU/edit?usp=sharing  #gid=0"",""фіз особи new!relations_name""),6,FALSE)
,
(IF
(
G6781=""юридична особа""
,
VLOOKUP"&amp;"(H6781,IMPORTRANGE(""https://docs.google.com/spreadsheets/d/14Bd19lYaqBhU8_DElYkX7l4wRkHqqCUFNJY4AfY3kHU/edit?usp=sharing  #gid=0"",""фіз особи new!relations_name_uo""),7,FALSE)
,
)
))"),"#N/A")</f>
        <v>#N/A</v>
      </c>
      <c r="J6780" s="7" t="s">
        <v>29</v>
      </c>
    </row>
    <row r="6781" spans="1:10" ht="13.2">
      <c r="A6781" s="7">
        <v>6780</v>
      </c>
      <c r="B6781" s="7">
        <v>1</v>
      </c>
      <c r="C6781" s="7" t="s">
        <v>10</v>
      </c>
      <c r="D6781" s="7">
        <v>6200</v>
      </c>
      <c r="E6781" s="7" t="s">
        <v>11</v>
      </c>
      <c r="F6781" s="8" t="str">
        <f ca="1">IFERROR(__xludf.DUMMYFUNCTION("IF
(
C6782=""фізична особа""
,
VLOOKUP(D6782,IMPORTRANGE(""https://docs.google.com/spreadsheets/d/14Bd19lYaqBhU8_DElYkX7l4wRkHqqCUFNJY4AfY3kHU/edit?usp=sharing  #gid=0"",""фіз особи new!relations_name""),6,FALSE)
,
(IF
(
C6782=""юридична особа""
,
VLOOKUP"&amp;"(D6782,IMPORTRANGE(""https://docs.google.com/spreadsheets/d/14Bd19lYaqBhU8_DElYkX7l4wRkHqqCUFNJY4AfY3kHU/edit?usp=sharing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81" s="7" t="s">
        <v>10</v>
      </c>
      <c r="H6781" s="7">
        <v>0</v>
      </c>
      <c r="I6781" s="8" t="str">
        <f ca="1">IFERROR(__xludf.DUMMYFUNCTION("IF
(
G6782=""фізична особа""
,
VLOOKUP(H6782,IMPORTRANGE(""https://docs.google.com/spreadsheets/d/14Bd19lYaqBhU8_DElYkX7l4wRkHqqCUFNJY4AfY3kHU/edit?usp=sharing  #gid=0"",""фіз особи new!relations_name""),6,FALSE)
,
(IF
(
G6782=""юридична особа""
,
VLOOKUP"&amp;"(H6782,IMPORTRANGE(""https://docs.google.com/spreadsheets/d/14Bd19lYaqBhU8_DElYkX7l4wRkHqqCUFNJY4AfY3kHU/edit?usp=sharing  #gid=0"",""фіз особи new!relations_name_uo""),7,FALSE)
,
)
))"),"#N/A")</f>
        <v>#N/A</v>
      </c>
      <c r="J6781" s="7" t="s">
        <v>11</v>
      </c>
    </row>
    <row r="6782" spans="1:10" ht="13.2">
      <c r="A6782" s="7">
        <v>6781</v>
      </c>
      <c r="B6782" s="7">
        <v>1</v>
      </c>
      <c r="C6782" s="7" t="s">
        <v>10</v>
      </c>
      <c r="D6782" s="7">
        <v>6200</v>
      </c>
      <c r="E6782" s="7" t="s">
        <v>28</v>
      </c>
      <c r="F6782" s="8" t="str">
        <f ca="1">IFERROR(__xludf.DUMMYFUNCTION("IF
(
C6783=""фізична особа""
,
VLOOKUP(D6783,IMPORTRANGE(""https://docs.google.com/spreadsheets/d/14Bd19lYaqBhU8_DElYkX7l4wRkHqqCUFNJY4AfY3kHU/edit?usp=sharing  #gid=0"",""фіз особи new!relations_name""),6,FALSE)
,
(IF
(
C6783=""юридична особа""
,
VLOOKUP"&amp;"(D6783,IMPORTRANGE(""https://docs.google.com/spreadsheets/d/14Bd19lYaqBhU8_DElYkX7l4wRkHqqCUFNJY4AfY3kHU/edit?usp=sharing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82" s="7" t="s">
        <v>10</v>
      </c>
      <c r="H6782" s="7">
        <v>595</v>
      </c>
      <c r="I6782" s="8" t="str">
        <f ca="1">IFERROR(__xludf.DUMMYFUNCTION("IF
(
G6783=""фізична особа""
,
VLOOKUP(H6783,IMPORTRANGE(""https://docs.google.com/spreadsheets/d/14Bd19lYaqBhU8_DElYkX7l4wRkHqqCUFNJY4AfY3kHU/edit?usp=sharing  #gid=0"",""фіз особи new!relations_name""),6,FALSE)
,
(IF
(
G6783=""юридична особа""
,
VLOOKUP"&amp;"(H6783,IMPORTRANGE(""https://docs.google.com/spreadsheets/d/14Bd19lYaqBhU8_DElYkX7l4wRkHqqCUFNJY4AfY3kHU/edit?usp=sharing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6782" s="7" t="s">
        <v>29</v>
      </c>
    </row>
    <row r="6783" spans="1:10" ht="13.2">
      <c r="A6783" s="7">
        <v>6782</v>
      </c>
      <c r="B6783" s="7">
        <v>1</v>
      </c>
      <c r="C6783" s="7" t="s">
        <v>10</v>
      </c>
      <c r="D6783" s="7">
        <v>6200</v>
      </c>
      <c r="E6783" s="7" t="s">
        <v>30</v>
      </c>
      <c r="F6783" s="8" t="str">
        <f ca="1">IFERROR(__xludf.DUMMYFUNCTION("IF
(
C6784=""фізична особа""
,
VLOOKUP(D6784,IMPORTRANGE(""https://docs.google.com/spreadsheets/d/14Bd19lYaqBhU8_DElYkX7l4wRkHqqCUFNJY4AfY3kHU/edit?usp=sharing  #gid=0"",""фіз особи new!relations_name""),6,FALSE)
,
(IF
(
C6784=""юридична особа""
,
VLOOKUP"&amp;"(D6784,IMPORTRANGE(""https://docs.google.com/spreadsheets/d/14Bd19lYaqBhU8_DElYkX7l4wRkHqqCUFNJY4AfY3kHU/edit?usp=sharing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G6783" s="7" t="s">
        <v>10</v>
      </c>
      <c r="H6783" s="7">
        <v>0</v>
      </c>
      <c r="I6783" s="8" t="str">
        <f ca="1">IFERROR(__xludf.DUMMYFUNCTION("IF
(
G6784=""фізична особа""
,
VLOOKUP(H6784,IMPORTRANGE(""https://docs.google.com/spreadsheets/d/14Bd19lYaqBhU8_DElYkX7l4wRkHqqCUFNJY4AfY3kHU/edit?usp=sharing  #gid=0"",""фіз особи new!relations_name""),6,FALSE)
,
(IF
(
G6784=""юридична особа""
,
VLOOKUP"&amp;"(H6784,IMPORTRANGE(""https://docs.google.com/spreadsheets/d/14Bd19lYaqBhU8_DElYkX7l4wRkHqqCUFNJY4AfY3kHU/edit?usp=sharing  #gid=0"",""фіз особи new!relations_name_uo""),7,FALSE)
,
)
))"),"#N/A")</f>
        <v>#N/A</v>
      </c>
      <c r="J6783" s="7" t="s">
        <v>30</v>
      </c>
    </row>
    <row r="6784" spans="1:10" ht="13.2">
      <c r="A6784" s="7">
        <v>6783</v>
      </c>
      <c r="B6784" s="7">
        <v>1</v>
      </c>
      <c r="C6784" s="7" t="s">
        <v>10</v>
      </c>
      <c r="D6784" s="7">
        <v>6201</v>
      </c>
      <c r="E6784" s="7" t="s">
        <v>15</v>
      </c>
      <c r="F6784" s="8" t="str">
        <f ca="1">IFERROR(__xludf.DUMMYFUNCTION("IF
(
C6785=""фізична особа""
,
VLOOKUP(D6785,IMPORTRANGE(""https://docs.google.com/spreadsheets/d/14Bd19lYaqBhU8_DElYkX7l4wRkHqqCUFNJY4AfY3kHU/edit?usp=sharing  #gid=0"",""фіз особи new!relations_name""),6,FALSE)
,
(IF
(
C6785=""юридична особа""
,
VLOOKUP"&amp;"(D6785,IMPORTRANGE(""https://docs.google.com/spreadsheets/d/14Bd19lYaqBhU8_DElYkX7l4wRkHqqCUFNJY4AfY3kHU/edit?usp=sharing  #gid=0"",""фіз особи new!relations_name_uo""),7,FALSE)
,
)
))"),"КОСОГОВА Світлана Володимирівна")</f>
        <v>КОСОГОВА Світлана Володимирівна</v>
      </c>
      <c r="G6784" s="7" t="s">
        <v>10</v>
      </c>
      <c r="H6784" s="7">
        <v>2000</v>
      </c>
      <c r="I6784" s="8" t="str">
        <f ca="1">IFERROR(__xludf.DUMMYFUNCTION("IF
(
G6785=""фізична особа""
,
VLOOKUP(H6785,IMPORTRANGE(""https://docs.google.com/spreadsheets/d/14Bd19lYaqBhU8_DElYkX7l4wRkHqqCUFNJY4AfY3kHU/edit?usp=sharing  #gid=0"",""фіз особи new!relations_name""),6,FALSE)
,
(IF
(
G6785=""юридична особа""
,
VLOOKUP"&amp;"(H6785,IMPORTRANGE(""https://docs.google.com/spreadsheets/d/14Bd19lYaqBhU8_DElYkX7l4wRkHqqCUFNJY4AfY3kHU/edit?usp=sharing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6784" s="7" t="s">
        <v>14</v>
      </c>
    </row>
    <row r="6785" spans="1:10" ht="13.2">
      <c r="A6785" s="7">
        <v>6784</v>
      </c>
      <c r="B6785" s="7">
        <v>1</v>
      </c>
      <c r="C6785" s="7" t="s">
        <v>10</v>
      </c>
      <c r="D6785" s="7">
        <v>6201</v>
      </c>
      <c r="E6785" s="7" t="s">
        <v>21</v>
      </c>
      <c r="F6785" s="8" t="str">
        <f ca="1">IFERROR(__xludf.DUMMYFUNCTION("IF
(
C6786=""фізична особа""
,
VLOOKUP(D6786,IMPORTRANGE(""https://docs.google.com/spreadsheets/d/14Bd19lYaqBhU8_DElYkX7l4wRkHqqCUFNJY4AfY3kHU/edit?usp=sharing  #gid=0"",""фіз особи new!relations_name""),6,FALSE)
,
(IF
(
C6786=""юридична особа""
,
VLOOKUP"&amp;"(D6786,IMPORTRANGE(""https://docs.google.com/spreadsheets/d/14Bd19lYaqBhU8_DElYkX7l4wRkHqqCUFNJY4AfY3kHU/edit?usp=sharing  #gid=0"",""фіз особи new!relations_name_uo""),7,FALSE)
,
)
))"),"КОСОГОВА Світлана Володимирівна")</f>
        <v>КОСОГОВА Світлана Володимирівна</v>
      </c>
      <c r="G6785" s="7" t="s">
        <v>10</v>
      </c>
      <c r="H6785" s="7">
        <v>0</v>
      </c>
      <c r="I6785" s="8" t="str">
        <f ca="1">IFERROR(__xludf.DUMMYFUNCTION("IF
(
G6786=""фізична особа""
,
VLOOKUP(H6786,IMPORTRANGE(""https://docs.google.com/spreadsheets/d/14Bd19lYaqBhU8_DElYkX7l4wRkHqqCUFNJY4AfY3kHU/edit?usp=sharing  #gid=0"",""фіз особи new!relations_name""),6,FALSE)
,
(IF
(
G6786=""юридична особа""
,
VLOOKUP"&amp;"(H6786,IMPORTRANGE(""https://docs.google.com/spreadsheets/d/14Bd19lYaqBhU8_DElYkX7l4wRkHqqCUFNJY4AfY3kHU/edit?usp=sharing  #gid=0"",""фіз особи new!relations_name_uo""),7,FALSE)
,
)
))"),"#N/A")</f>
        <v>#N/A</v>
      </c>
      <c r="J6785" s="7" t="s">
        <v>13</v>
      </c>
    </row>
    <row r="6786" spans="1:10" ht="13.2">
      <c r="A6786" s="7">
        <v>6785</v>
      </c>
      <c r="B6786" s="7">
        <v>1</v>
      </c>
      <c r="C6786" s="7" t="s">
        <v>10</v>
      </c>
      <c r="D6786" s="7">
        <v>6201</v>
      </c>
      <c r="E6786" s="7" t="s">
        <v>21</v>
      </c>
      <c r="F6786" s="8" t="str">
        <f ca="1">IFERROR(__xludf.DUMMYFUNCTION("IF
(
C6787=""фізична особа""
,
VLOOKUP(D6787,IMPORTRANGE(""https://docs.google.com/spreadsheets/d/14Bd19lYaqBhU8_DElYkX7l4wRkHqqCUFNJY4AfY3kHU/edit?usp=sharing  #gid=0"",""фіз особи new!relations_name""),6,FALSE)
,
(IF
(
C6787=""юридична особа""
,
VLOOKUP"&amp;"(D6787,IMPORTRANGE(""https://docs.google.com/spreadsheets/d/14Bd19lYaqBhU8_DElYkX7l4wRkHqqCUFNJY4AfY3kHU/edit?usp=sharing  #gid=0"",""фіз особи new!relations_name_uo""),7,FALSE)
,
)
))"),"КОСОГОВА Світлана Володимирівна")</f>
        <v>КОСОГОВА Світлана Володимирівна</v>
      </c>
      <c r="G6786" s="7" t="s">
        <v>10</v>
      </c>
      <c r="H6786" s="7">
        <v>0</v>
      </c>
      <c r="I6786" s="8" t="str">
        <f ca="1">IFERROR(__xludf.DUMMYFUNCTION("IF
(
G6787=""фізична особа""
,
VLOOKUP(H6787,IMPORTRANGE(""https://docs.google.com/spreadsheets/d/14Bd19lYaqBhU8_DElYkX7l4wRkHqqCUFNJY4AfY3kHU/edit?usp=sharing  #gid=0"",""фіз особи new!relations_name""),6,FALSE)
,
(IF
(
G6787=""юридична особа""
,
VLOOKUP"&amp;"(H6787,IMPORTRANGE(""https://docs.google.com/spreadsheets/d/14Bd19lYaqBhU8_DElYkX7l4wRkHqqCUFNJY4AfY3kHU/edit?usp=sharing  #gid=0"",""фіз особи new!relations_name_uo""),7,FALSE)
,
)
))"),"#N/A")</f>
        <v>#N/A</v>
      </c>
      <c r="J6786" s="7" t="s">
        <v>13</v>
      </c>
    </row>
    <row r="6787" spans="1:10" ht="13.2">
      <c r="A6787" s="7">
        <v>6786</v>
      </c>
      <c r="B6787" s="7">
        <v>1</v>
      </c>
      <c r="C6787" s="7" t="s">
        <v>10</v>
      </c>
      <c r="D6787" s="7">
        <v>6201</v>
      </c>
      <c r="E6787" s="7" t="s">
        <v>21</v>
      </c>
      <c r="F6787" s="8" t="str">
        <f ca="1">IFERROR(__xludf.DUMMYFUNCTION("IF
(
C6788=""фізична особа""
,
VLOOKUP(D6788,IMPORTRANGE(""https://docs.google.com/spreadsheets/d/14Bd19lYaqBhU8_DElYkX7l4wRkHqqCUFNJY4AfY3kHU/edit?usp=sharing  #gid=0"",""фіз особи new!relations_name""),6,FALSE)
,
(IF
(
C6788=""юридична особа""
,
VLOOKUP"&amp;"(D6788,IMPORTRANGE(""https://docs.google.com/spreadsheets/d/14Bd19lYaqBhU8_DElYkX7l4wRkHqqCUFNJY4AfY3kHU/edit?usp=sharing  #gid=0"",""фіз особи new!relations_name_uo""),7,FALSE)
,
)
))"),"КОСОГОВА Світлана Володимирівна")</f>
        <v>КОСОГОВА Світлана Володимирівна</v>
      </c>
      <c r="G6787" s="7" t="s">
        <v>10</v>
      </c>
      <c r="H6787" s="7">
        <v>0</v>
      </c>
      <c r="I6787" s="8" t="str">
        <f ca="1">IFERROR(__xludf.DUMMYFUNCTION("IF
(
G6788=""фізична особа""
,
VLOOKUP(H6788,IMPORTRANGE(""https://docs.google.com/spreadsheets/d/14Bd19lYaqBhU8_DElYkX7l4wRkHqqCUFNJY4AfY3kHU/edit?usp=sharing  #gid=0"",""фіз особи new!relations_name""),6,FALSE)
,
(IF
(
G6788=""юридична особа""
,
VLOOKUP"&amp;"(H6788,IMPORTRANGE(""https://docs.google.com/spreadsheets/d/14Bd19lYaqBhU8_DElYkX7l4wRkHqqCUFNJY4AfY3kHU/edit?usp=sharing  #gid=0"",""фіз особи new!relations_name_uo""),7,FALSE)
,
)
))"),"#N/A")</f>
        <v>#N/A</v>
      </c>
      <c r="J6787" s="7" t="s">
        <v>17</v>
      </c>
    </row>
    <row r="6788" spans="1:10" ht="13.2">
      <c r="A6788" s="7">
        <v>6787</v>
      </c>
      <c r="B6788" s="7">
        <v>1</v>
      </c>
      <c r="C6788" s="7" t="s">
        <v>10</v>
      </c>
      <c r="D6788" s="7">
        <v>6202</v>
      </c>
      <c r="E6788" s="7" t="s">
        <v>18</v>
      </c>
      <c r="F6788" s="8" t="str">
        <f ca="1">IFERROR(__xludf.DUMMYFUNCTION("IF
(
C6789=""фізична особа""
,
VLOOKUP(D6789,IMPORTRANGE(""https://docs.google.com/spreadsheets/d/14Bd19lYaqBhU8_DElYkX7l4wRkHqqCUFNJY4AfY3kHU/edit?usp=sharing  #gid=0"",""фіз особи new!relations_name""),6,FALSE)
,
(IF
(
C6789=""юридична особа""
,
VLOOKUP"&amp;"(D6789,IMPORTRANGE(""https://docs.google.com/spreadsheets/d/14Bd19lYaqBhU8_DElYkX7l4wRkHqqCUFNJY4AfY3kHU/edit?usp=sharing  #gid=0"",""фіз особи new!relations_name_uo""),7,FALSE)
,
)
))"),"КОСОГОВ Юрій Миколайович")</f>
        <v>КОСОГОВ Юрій Миколайович</v>
      </c>
      <c r="G6788" s="7" t="s">
        <v>10</v>
      </c>
      <c r="H6788" s="7">
        <v>2000</v>
      </c>
      <c r="I6788" s="8" t="str">
        <f ca="1">IFERROR(__xludf.DUMMYFUNCTION("IF
(
G6789=""фізична особа""
,
VLOOKUP(H6789,IMPORTRANGE(""https://docs.google.com/spreadsheets/d/14Bd19lYaqBhU8_DElYkX7l4wRkHqqCUFNJY4AfY3kHU/edit?usp=sharing  #gid=0"",""фіз особи new!relations_name""),6,FALSE)
,
(IF
(
G6789=""юридична особа""
,
VLOOKUP"&amp;"(H6789,IMPORTRANGE(""https://docs.google.com/spreadsheets/d/14Bd19lYaqBhU8_DElYkX7l4wRkHqqCUFNJY4AfY3kHU/edit?usp=sharing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6788" s="7" t="s">
        <v>18</v>
      </c>
    </row>
    <row r="6789" spans="1:10" ht="13.2">
      <c r="A6789" s="7">
        <v>6788</v>
      </c>
      <c r="B6789" s="7">
        <v>1</v>
      </c>
      <c r="C6789" s="7" t="s">
        <v>10</v>
      </c>
      <c r="D6789" s="7">
        <v>6203</v>
      </c>
      <c r="E6789" s="7" t="s">
        <v>15</v>
      </c>
      <c r="F6789" s="8" t="str">
        <f ca="1">IFERROR(__xludf.DUMMYFUNCTION("IF
(
C6790=""фізична особа""
,
VLOOKUP(D6790,IMPORTRANGE(""https://docs.google.com/spreadsheets/d/14Bd19lYaqBhU8_DElYkX7l4wRkHqqCUFNJY4AfY3kHU/edit?usp=sharing  #gid=0"",""фіз особи new!relations_name""),6,FALSE)
,
(IF
(
C6790=""юридична особа""
,
VLOOKUP"&amp;"(D6790,IMPORTRANGE(""https://docs.google.com/spreadsheets/d/14Bd19lYaqBhU8_DElYkX7l4wRkHqqCUFNJY4AfY3kHU/edit?usp=sharing  #gid=0"",""фіз особи new!relations_name_uo""),7,FALSE)
,
)
))"),"ХАН Анжеліка")</f>
        <v>ХАН Анжеліка</v>
      </c>
      <c r="G6789" s="7" t="s">
        <v>10</v>
      </c>
      <c r="H6789" s="7">
        <v>359</v>
      </c>
      <c r="I6789" s="8" t="str">
        <f ca="1">IFERROR(__xludf.DUMMYFUNCTION("IF
(
G6790=""фізична особа""
,
VLOOKUP(H6790,IMPORTRANGE(""https://docs.google.com/spreadsheets/d/14Bd19lYaqBhU8_DElYkX7l4wRkHqqCUFNJY4AfY3kHU/edit?usp=sharing  #gid=0"",""фіз особи new!relations_name""),6,FALSE)
,
(IF
(
G6790=""юридична особа""
,
VLOOKUP"&amp;"(H6790,IMPORTRANGE(""https://docs.google.com/spreadsheets/d/14Bd19lYaqBhU8_DElYkX7l4wRkHqqCUFNJY4AfY3kHU/edit?usp=sharing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6789" s="7" t="s">
        <v>14</v>
      </c>
    </row>
    <row r="6790" spans="1:10" ht="13.2">
      <c r="A6790" s="7">
        <v>6789</v>
      </c>
      <c r="B6790" s="7">
        <v>1</v>
      </c>
      <c r="C6790" s="7" t="s">
        <v>10</v>
      </c>
      <c r="D6790" s="7">
        <v>6204</v>
      </c>
      <c r="E6790" s="7" t="s">
        <v>13</v>
      </c>
      <c r="F6790" s="8" t="str">
        <f ca="1">IFERROR(__xludf.DUMMYFUNCTION("IF
(
C6791=""фізична особа""
,
VLOOKUP(D6791,IMPORTRANGE(""https://docs.google.com/spreadsheets/d/14Bd19lYaqBhU8_DElYkX7l4wRkHqqCUFNJY4AfY3kHU/edit?usp=sharing  #gid=0"",""фіз особи new!relations_name""),6,FALSE)
,
(IF
(
C6791=""юридична особа""
,
VLOOKUP"&amp;"(D6791,IMPORTRANGE(""https://docs.google.com/spreadsheets/d/14Bd19lYaqBhU8_DElYkX7l4wRkHqqCUFNJY4AfY3kHU/edit?usp=sharing  #gid=0"",""фіз особи new!relations_name_uo""),7,FALSE)
,
)
))"),"ХАН Елеонора Германівна")</f>
        <v>ХАН Елеонора Германівна</v>
      </c>
      <c r="G6790" s="7" t="s">
        <v>10</v>
      </c>
      <c r="H6790" s="7">
        <v>359</v>
      </c>
      <c r="I6790" s="8" t="str">
        <f ca="1">IFERROR(__xludf.DUMMYFUNCTION("IF
(
G6791=""фізична особа""
,
VLOOKUP(H6791,IMPORTRANGE(""https://docs.google.com/spreadsheets/d/14Bd19lYaqBhU8_DElYkX7l4wRkHqqCUFNJY4AfY3kHU/edit?usp=sharing  #gid=0"",""фіз особи new!relations_name""),6,FALSE)
,
(IF
(
G6791=""юридична особа""
,
VLOOKUP"&amp;"(H6791,IMPORTRANGE(""https://docs.google.com/spreadsheets/d/14Bd19lYaqBhU8_DElYkX7l4wRkHqqCUFNJY4AfY3kHU/edit?usp=sharing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6790" s="7" t="s">
        <v>12</v>
      </c>
    </row>
    <row r="6791" spans="1:10" ht="13.2">
      <c r="A6791" s="7">
        <v>6790</v>
      </c>
      <c r="B6791" s="7">
        <v>1</v>
      </c>
      <c r="C6791" s="7" t="s">
        <v>10</v>
      </c>
      <c r="D6791" s="7">
        <v>6205</v>
      </c>
      <c r="E6791" s="7" t="s">
        <v>13</v>
      </c>
      <c r="F6791" s="8" t="str">
        <f ca="1">IFERROR(__xludf.DUMMYFUNCTION("IF
(
C6792=""фізична особа""
,
VLOOKUP(D6792,IMPORTRANGE(""https://docs.google.com/spreadsheets/d/14Bd19lYaqBhU8_DElYkX7l4wRkHqqCUFNJY4AfY3kHU/edit?usp=sharing  #gid=0"",""фіз особи new!relations_name""),6,FALSE)
,
(IF
(
C6792=""юридична особа""
,
VLOOKUP"&amp;"(D6792,IMPORTRANGE(""https://docs.google.com/spreadsheets/d/14Bd19lYaqBhU8_DElYkX7l4wRkHqqCUFNJY4AfY3kHU/edit?usp=sharing  #gid=0"",""фіз особи new!relations_name_uo""),7,FALSE)
,
)
))"),"ХАН / ВАН ДЕР ЦВАН Єва Германівна")</f>
        <v>ХАН / ВАН ДЕР ЦВАН Єва Германівна</v>
      </c>
      <c r="G6791" s="7" t="s">
        <v>10</v>
      </c>
      <c r="H6791" s="7">
        <v>359</v>
      </c>
      <c r="I6791" s="8" t="str">
        <f ca="1">IFERROR(__xludf.DUMMYFUNCTION("IF
(
G6792=""фізична особа""
,
VLOOKUP(H6792,IMPORTRANGE(""https://docs.google.com/spreadsheets/d/14Bd19lYaqBhU8_DElYkX7l4wRkHqqCUFNJY4AfY3kHU/edit?usp=sharing  #gid=0"",""фіз особи new!relations_name""),6,FALSE)
,
(IF
(
G6792=""юридична особа""
,
VLOOKUP"&amp;"(H6792,IMPORTRANGE(""https://docs.google.com/spreadsheets/d/14Bd19lYaqBhU8_DElYkX7l4wRkHqqCUFNJY4AfY3kHU/edit?usp=sharing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6791" s="7" t="s">
        <v>12</v>
      </c>
    </row>
    <row r="6792" spans="1:10" ht="13.2">
      <c r="A6792" s="7">
        <v>6791</v>
      </c>
      <c r="B6792" s="7">
        <v>1</v>
      </c>
      <c r="C6792" s="7" t="s">
        <v>10</v>
      </c>
      <c r="D6792" s="7">
        <v>6205</v>
      </c>
      <c r="E6792" s="7" t="s">
        <v>15</v>
      </c>
      <c r="F6792" s="8" t="str">
        <f ca="1">IFERROR(__xludf.DUMMYFUNCTION("IF
(
C6793=""фізична особа""
,
VLOOKUP(D6793,IMPORTRANGE(""https://docs.google.com/spreadsheets/d/14Bd19lYaqBhU8_DElYkX7l4wRkHqqCUFNJY4AfY3kHU/edit?usp=sharing  #gid=0"",""фіз особи new!relations_name""),6,FALSE)
,
(IF
(
C6793=""юридична особа""
,
VLOOKUP"&amp;"(D6793,IMPORTRANGE(""https://docs.google.com/spreadsheets/d/14Bd19lYaqBhU8_DElYkX7l4wRkHqqCUFNJY4AfY3kHU/edit?usp=sharing  #gid=0"",""фіз особи new!relations_name_uo""),7,FALSE)
,
)
))"),"ХАН / ВАН ДЕР ЦВАН Єва Германівна")</f>
        <v>ХАН / ВАН ДЕР ЦВАН Єва Германівна</v>
      </c>
      <c r="G6792" s="7" t="s">
        <v>10</v>
      </c>
      <c r="H6792" s="7">
        <v>0</v>
      </c>
      <c r="I6792" s="8" t="str">
        <f ca="1">IFERROR(__xludf.DUMMYFUNCTION("IF
(
G6793=""фізична особа""
,
VLOOKUP(H6793,IMPORTRANGE(""https://docs.google.com/spreadsheets/d/14Bd19lYaqBhU8_DElYkX7l4wRkHqqCUFNJY4AfY3kHU/edit?usp=sharing  #gid=0"",""фіз особи new!relations_name""),6,FALSE)
,
(IF
(
G6793=""юридична особа""
,
VLOOKUP"&amp;"(H6793,IMPORTRANGE(""https://docs.google.com/spreadsheets/d/14Bd19lYaqBhU8_DElYkX7l4wRkHqqCUFNJY4AfY3kHU/edit?usp=sharing  #gid=0"",""фіз особи new!relations_name_uo""),7,FALSE)
,
)
))"),"#N/A")</f>
        <v>#N/A</v>
      </c>
      <c r="J6792" s="7" t="s">
        <v>14</v>
      </c>
    </row>
    <row r="6793" spans="1:10" ht="13.2">
      <c r="A6793" s="7">
        <v>6792</v>
      </c>
      <c r="B6793" s="7">
        <v>1</v>
      </c>
      <c r="C6793" s="7" t="s">
        <v>10</v>
      </c>
      <c r="D6793" s="7">
        <v>6206</v>
      </c>
      <c r="E6793" s="7" t="s">
        <v>15</v>
      </c>
      <c r="F6793" s="8" t="str">
        <f ca="1">IFERROR(__xludf.DUMMYFUNCTION("IF
(
C6794=""фізична особа""
,
VLOOKUP(D6794,IMPORTRANGE(""https://docs.google.com/spreadsheets/d/14Bd19lYaqBhU8_DElYkX7l4wRkHqqCUFNJY4AfY3kHU/edit?usp=sharing  #gid=0"",""фіз особи new!relations_name""),6,FALSE)
,
(IF
(
C6794=""юридична особа""
,
VLOOKUP"&amp;"(D6794,IMPORTRANGE(""https://docs.google.com/spreadsheets/d/14Bd19lYaqBhU8_DElYkX7l4wRkHqqCUFNJY4AfY3kHU/edit?usp=sharing  #gid=0"",""фіз особи new!relations_name_uo""),7,FALSE)
,
)
))"),"КУЗМИЧОВА-УСПЕНСЬКА Світлана")</f>
        <v>КУЗМИЧОВА-УСПЕНСЬКА Світлана</v>
      </c>
      <c r="G6793" s="7" t="s">
        <v>10</v>
      </c>
      <c r="H6793" s="7">
        <v>12</v>
      </c>
      <c r="I6793" s="8" t="str">
        <f ca="1">IFERROR(__xludf.DUMMYFUNCTION("IF
(
G6794=""фізична особа""
,
VLOOKUP(H6794,IMPORTRANGE(""https://docs.google.com/spreadsheets/d/14Bd19lYaqBhU8_DElYkX7l4wRkHqqCUFNJY4AfY3kHU/edit?usp=sharing  #gid=0"",""фіз особи new!relations_name""),6,FALSE)
,
(IF
(
G6794=""юридична особа""
,
VLOOKUP"&amp;"(H6794,IMPORTRANGE(""https://docs.google.com/spreadsheets/d/14Bd19lYaqBhU8_DElYkX7l4wRkHqqCUFNJY4AfY3kHU/edit?usp=sharing  #gid=0"",""фіз особи new!relations_name_uo""),7,FALSE)
,
)
))"),"КУЗЬМІЧЬОВ Олексій Вікторович")</f>
        <v>КУЗЬМІЧЬОВ Олексій Вікторович</v>
      </c>
      <c r="J6793" s="7" t="s">
        <v>14</v>
      </c>
    </row>
    <row r="6794" spans="1:10" ht="13.2">
      <c r="A6794" s="7">
        <v>6793</v>
      </c>
      <c r="B6794" s="7">
        <v>1</v>
      </c>
      <c r="C6794" s="7" t="s">
        <v>10</v>
      </c>
      <c r="D6794" s="7">
        <v>6206</v>
      </c>
      <c r="E6794" s="7" t="s">
        <v>21</v>
      </c>
      <c r="F6794" s="8" t="str">
        <f ca="1">IFERROR(__xludf.DUMMYFUNCTION("IF
(
C6795=""фізична особа""
,
VLOOKUP(D6795,IMPORTRANGE(""https://docs.google.com/spreadsheets/d/14Bd19lYaqBhU8_DElYkX7l4wRkHqqCUFNJY4AfY3kHU/edit?usp=sharing  #gid=0"",""фіз особи new!relations_name""),6,FALSE)
,
(IF
(
C6795=""юридична особа""
,
VLOOKUP"&amp;"(D6795,IMPORTRANGE(""https://docs.google.com/spreadsheets/d/14Bd19lYaqBhU8_DElYkX7l4wRkHqqCUFNJY4AfY3kHU/edit?usp=sharing  #gid=0"",""фіз особи new!relations_name_uo""),7,FALSE)
,
)
))"),"КУЗМИЧОВА-УСПЕНСЬКА Світлана")</f>
        <v>КУЗМИЧОВА-УСПЕНСЬКА Світлана</v>
      </c>
      <c r="G6794" s="7" t="s">
        <v>10</v>
      </c>
      <c r="H6794" s="7">
        <v>0</v>
      </c>
      <c r="I6794" s="8" t="str">
        <f ca="1">IFERROR(__xludf.DUMMYFUNCTION("IF
(
G6795=""фізична особа""
,
VLOOKUP(H6795,IMPORTRANGE(""https://docs.google.com/spreadsheets/d/14Bd19lYaqBhU8_DElYkX7l4wRkHqqCUFNJY4AfY3kHU/edit?usp=sharing  #gid=0"",""фіз особи new!relations_name""),6,FALSE)
,
(IF
(
G6795=""юридична особа""
,
VLOOKUP"&amp;"(H6795,IMPORTRANGE(""https://docs.google.com/spreadsheets/d/14Bd19lYaqBhU8_DElYkX7l4wRkHqqCUFNJY4AfY3kHU/edit?usp=sharing  #gid=0"",""фіз особи new!relations_name_uo""),7,FALSE)
,
)
))"),"#N/A")</f>
        <v>#N/A</v>
      </c>
      <c r="J6794" s="7" t="s">
        <v>17</v>
      </c>
    </row>
    <row r="6795" spans="1:10" ht="13.2">
      <c r="A6795" s="7">
        <v>6794</v>
      </c>
      <c r="B6795" s="7">
        <v>1</v>
      </c>
      <c r="C6795" s="7" t="s">
        <v>10</v>
      </c>
      <c r="D6795" s="7">
        <v>6207</v>
      </c>
      <c r="E6795" s="7" t="s">
        <v>23</v>
      </c>
      <c r="F6795" s="8" t="str">
        <f ca="1">IFERROR(__xludf.DUMMYFUNCTION("IF
(
C6796=""фізична особа""
,
VLOOKUP(D6796,IMPORTRANGE(""https://docs.google.com/spreadsheets/d/14Bd19lYaqBhU8_DElYkX7l4wRkHqqCUFNJY4AfY3kHU/edit?usp=sharing  #gid=0"",""фіз особи new!relations_name""),6,FALSE)
,
(IF
(
C6796=""юридична особа""
,
VLOOKUP"&amp;"(D6796,IMPORTRANGE(""https://docs.google.com/spreadsheets/d/14Bd19lYaqBhU8_DElYkX7l4wRkHqqCUFNJY4AfY3kHU/edit?usp=sharing  #gid=0"",""фіз особи new!relations_name_uo""),7,FALSE)
,
)
))"),"ПАВЛОВ Євгеній Анатолійович")</f>
        <v>ПАВЛОВ Євгеній Анатолійович</v>
      </c>
      <c r="G6795" s="7" t="s">
        <v>10</v>
      </c>
      <c r="H6795" s="7">
        <v>17639</v>
      </c>
      <c r="I6795" s="8" t="str">
        <f ca="1">IFERROR(__xludf.DUMMYFUNCTION("IF
(
G6796=""фізична особа""
,
VLOOKUP(H6796,IMPORTRANGE(""https://docs.google.com/spreadsheets/d/14Bd19lYaqBhU8_DElYkX7l4wRkHqqCUFNJY4AfY3kHU/edit?usp=sharing  #gid=0"",""фіз особи new!relations_name""),6,FALSE)
,
(IF
(
G6796=""юридична особа""
,
VLOOKUP"&amp;"(H6796,IMPORTRANGE(""https://docs.google.com/spreadsheets/d/14Bd19lYaqBhU8_DElYkX7l4wRkHqqCUFNJY4AfY3kHU/edit?usp=sharing  #gid=0"",""фіз особи new!relations_name_uo""),7,FALSE)
,
)
))"),"КОРНІЛОВ Денис Васильович")</f>
        <v>КОРНІЛОВ Денис Васильович</v>
      </c>
      <c r="J6795" s="7" t="s">
        <v>23</v>
      </c>
    </row>
    <row r="6796" spans="1:10" ht="13.2">
      <c r="A6796" s="7">
        <v>6795</v>
      </c>
      <c r="B6796" s="7">
        <v>1</v>
      </c>
      <c r="C6796" s="7" t="s">
        <v>10</v>
      </c>
      <c r="D6796" s="7">
        <v>6212</v>
      </c>
      <c r="E6796" s="7" t="s">
        <v>29</v>
      </c>
      <c r="F6796" s="8" t="str">
        <f ca="1">IFERROR(__xludf.DUMMYFUNCTION("IF
(
C6797=""фізична особа""
,
VLOOKUP(D6797,IMPORTRANGE(""https://docs.google.com/spreadsheets/d/14Bd19lYaqBhU8_DElYkX7l4wRkHqqCUFNJY4AfY3kHU/edit?usp=sharing  #gid=0"",""фіз особи new!relations_name""),6,FALSE)
,
(IF
(
C6797=""юридична особа""
,
VLOOKUP"&amp;"(D6797,IMPORTRANGE(""https://docs.google.com/spreadsheets/d/14Bd19lYaqBhU8_DElYkX7l4wRkHqqCUFNJY4AfY3kHU/edit?usp=sharing  #gid=0"",""фіз особи new!relations_name_uo""),7,FALSE)
,
)
))"),"БОБИЛЄВ Денис Леонідович")</f>
        <v>БОБИЛЄВ Денис Леонідович</v>
      </c>
      <c r="G6796" s="7" t="s">
        <v>10</v>
      </c>
      <c r="H6796" s="7">
        <v>6215</v>
      </c>
      <c r="I6796" s="8" t="str">
        <f ca="1">IFERROR(__xludf.DUMMYFUNCTION("IF
(
G6797=""фізична особа""
,
VLOOKUP(H6797,IMPORTRANGE(""https://docs.google.com/spreadsheets/d/14Bd19lYaqBhU8_DElYkX7l4wRkHqqCUFNJY4AfY3kHU/edit?usp=sharing  #gid=0"",""фіз особи new!relations_name""),6,FALSE)
,
(IF
(
G6797=""юридична особа""
,
VLOOKUP"&amp;"(H6797,IMPORTRANGE(""https://docs.google.com/spreadsheets/d/14Bd19lYaqBhU8_DElYkX7l4wRkHqqCUFNJY4AfY3kHU/edit?usp=sharing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J6796" s="7" t="s">
        <v>28</v>
      </c>
    </row>
    <row r="6797" spans="1:10" ht="13.2">
      <c r="A6797" s="7">
        <v>6796</v>
      </c>
      <c r="B6797" s="7">
        <v>1</v>
      </c>
      <c r="C6797" s="7" t="s">
        <v>10</v>
      </c>
      <c r="D6797" s="7">
        <v>6212</v>
      </c>
      <c r="E6797" s="7" t="s">
        <v>29</v>
      </c>
      <c r="F6797" s="8" t="str">
        <f ca="1">IFERROR(__xludf.DUMMYFUNCTION("IF
(
C6798=""фізична особа""
,
VLOOKUP(D6798,IMPORTRANGE(""https://docs.google.com/spreadsheets/d/14Bd19lYaqBhU8_DElYkX7l4wRkHqqCUFNJY4AfY3kHU/edit?usp=sharing  #gid=0"",""фіз особи new!relations_name""),6,FALSE)
,
(IF
(
C6798=""юридична особа""
,
VLOOKUP"&amp;"(D6798,IMPORTRANGE(""https://docs.google.com/spreadsheets/d/14Bd19lYaqBhU8_DElYkX7l4wRkHqqCUFNJY4AfY3kHU/edit?usp=sharing  #gid=0"",""фіз особи new!relations_name_uo""),7,FALSE)
,
)
))"),"БОБИЛЄВ Денис Леонідович")</f>
        <v>БОБИЛЄВ Денис Леонідович</v>
      </c>
      <c r="G6797" s="7" t="s">
        <v>10</v>
      </c>
      <c r="H6797" s="7">
        <v>6217</v>
      </c>
      <c r="I6797" s="8" t="str">
        <f ca="1">IFERROR(__xludf.DUMMYFUNCTION("IF
(
G6798=""фізична особа""
,
VLOOKUP(H6798,IMPORTRANGE(""https://docs.google.com/spreadsheets/d/14Bd19lYaqBhU8_DElYkX7l4wRkHqqCUFNJY4AfY3kHU/edit?usp=sharing  #gid=0"",""фіз особи new!relations_name""),6,FALSE)
,
(IF
(
G6798=""юридична особа""
,
VLOOKUP"&amp;"(H6798,IMPORTRANGE(""https://docs.google.com/spreadsheets/d/14Bd19lYaqBhU8_DElYkX7l4wRkHqqCUFNJY4AfY3kHU/edit?usp=sharing  #gid=0"",""фіз особи new!relations_name_uo""),7,FALSE)
,
)
))"),"АХУНДОВ Гашум Мухамед Махмудович")</f>
        <v>АХУНДОВ Гашум Мухамед Махмудович</v>
      </c>
      <c r="J6797" s="7" t="s">
        <v>28</v>
      </c>
    </row>
    <row r="6798" spans="1:10" ht="13.2">
      <c r="A6798" s="7">
        <v>6797</v>
      </c>
      <c r="B6798" s="7">
        <v>1</v>
      </c>
      <c r="C6798" s="7" t="s">
        <v>10</v>
      </c>
      <c r="D6798" s="7">
        <v>6215</v>
      </c>
      <c r="E6798" s="7" t="s">
        <v>29</v>
      </c>
      <c r="F6798" s="8" t="str">
        <f ca="1">IFERROR(__xludf.DUMMYFUNCTION("IF
(
C6799=""фізична особа""
,
VLOOKUP(D6799,IMPORTRANGE(""https://docs.google.com/spreadsheets/d/14Bd19lYaqBhU8_DElYkX7l4wRkHqqCUFNJY4AfY3kHU/edit?usp=sharing  #gid=0"",""фіз особи new!relations_name""),6,FALSE)
,
(IF
(
C6799=""юридична особа""
,
VLOOKUP"&amp;"(D6799,IMPORTRANGE(""https://docs.google.com/spreadsheets/d/14Bd19lYaqBhU8_DElYkX7l4wRkHqqCUFNJY4AfY3kHU/edit?usp=sharing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G6798" s="7" t="s">
        <v>10</v>
      </c>
      <c r="H6798" s="7">
        <v>6218</v>
      </c>
      <c r="I6798" s="8" t="str">
        <f ca="1">IFERROR(__xludf.DUMMYFUNCTION("IF
(
G6799=""фізична особа""
,
VLOOKUP(H6799,IMPORTRANGE(""https://docs.google.com/spreadsheets/d/14Bd19lYaqBhU8_DElYkX7l4wRkHqqCUFNJY4AfY3kHU/edit?usp=sharing  #gid=0"",""фіз особи new!relations_name""),6,FALSE)
,
(IF
(
G6799=""юридична особа""
,
VLOOKUP"&amp;"(H6799,IMPORTRANGE(""https://docs.google.com/spreadsheets/d/14Bd19lYaqBhU8_DElYkX7l4wRkHqqCUFNJY4AfY3kHU/edit?usp=sharing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J6798" s="7" t="s">
        <v>28</v>
      </c>
    </row>
    <row r="6799" spans="1:10" ht="13.2">
      <c r="A6799" s="7">
        <v>6798</v>
      </c>
      <c r="B6799" s="7">
        <v>1</v>
      </c>
      <c r="C6799" s="7" t="s">
        <v>10</v>
      </c>
      <c r="D6799" s="7">
        <v>6215</v>
      </c>
      <c r="E6799" s="7" t="s">
        <v>29</v>
      </c>
      <c r="F6799" s="8" t="str">
        <f ca="1">IFERROR(__xludf.DUMMYFUNCTION("IF
(
C6800=""фізична особа""
,
VLOOKUP(D6800,IMPORTRANGE(""https://docs.google.com/spreadsheets/d/14Bd19lYaqBhU8_DElYkX7l4wRkHqqCUFNJY4AfY3kHU/edit?usp=sharing  #gid=0"",""фіз особи new!relations_name""),6,FALSE)
,
(IF
(
C6800=""юридична особа""
,
VLOOKUP"&amp;"(D6800,IMPORTRANGE(""https://docs.google.com/spreadsheets/d/14Bd19lYaqBhU8_DElYkX7l4wRkHqqCUFNJY4AfY3kHU/edit?usp=sharing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G6799" s="7" t="s">
        <v>10</v>
      </c>
      <c r="H6799" s="7">
        <v>6218</v>
      </c>
      <c r="I6799" s="8" t="str">
        <f ca="1">IFERROR(__xludf.DUMMYFUNCTION("IF
(
G6800=""фізична особа""
,
VLOOKUP(H6800,IMPORTRANGE(""https://docs.google.com/spreadsheets/d/14Bd19lYaqBhU8_DElYkX7l4wRkHqqCUFNJY4AfY3kHU/edit?usp=sharing  #gid=0"",""фіз особи new!relations_name""),6,FALSE)
,
(IF
(
G6800=""юридична особа""
,
VLOOKUP"&amp;"(H6800,IMPORTRANGE(""https://docs.google.com/spreadsheets/d/14Bd19lYaqBhU8_DElYkX7l4wRkHqqCUFNJY4AfY3kHU/edit?usp=sharing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J6799" s="7" t="s">
        <v>28</v>
      </c>
    </row>
    <row r="6800" spans="1:10" ht="13.2">
      <c r="A6800" s="7">
        <v>6799</v>
      </c>
      <c r="B6800" s="7">
        <v>1</v>
      </c>
      <c r="C6800" s="7" t="s">
        <v>10</v>
      </c>
      <c r="D6800" s="7">
        <v>6215</v>
      </c>
      <c r="E6800" s="7" t="s">
        <v>30</v>
      </c>
      <c r="F6800" s="8" t="str">
        <f ca="1">IFERROR(__xludf.DUMMYFUNCTION("IF
(
C6801=""фізична особа""
,
VLOOKUP(D6801,IMPORTRANGE(""https://docs.google.com/spreadsheets/d/14Bd19lYaqBhU8_DElYkX7l4wRkHqqCUFNJY4AfY3kHU/edit?usp=sharing  #gid=0"",""фіз особи new!relations_name""),6,FALSE)
,
(IF
(
C6801=""юридична особа""
,
VLOOKUP"&amp;"(D6801,IMPORTRANGE(""https://docs.google.com/spreadsheets/d/14Bd19lYaqBhU8_DElYkX7l4wRkHqqCUFNJY4AfY3kHU/edit?usp=sharing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G6800" s="7" t="s">
        <v>10</v>
      </c>
      <c r="H6800" s="7">
        <v>0</v>
      </c>
      <c r="I6800" s="8" t="str">
        <f ca="1">IFERROR(__xludf.DUMMYFUNCTION("IF
(
G6801=""фізична особа""
,
VLOOKUP(H6801,IMPORTRANGE(""https://docs.google.com/spreadsheets/d/14Bd19lYaqBhU8_DElYkX7l4wRkHqqCUFNJY4AfY3kHU/edit?usp=sharing  #gid=0"",""фіз особи new!relations_name""),6,FALSE)
,
(IF
(
G6801=""юридична особа""
,
VLOOKUP"&amp;"(H6801,IMPORTRANGE(""https://docs.google.com/spreadsheets/d/14Bd19lYaqBhU8_DElYkX7l4wRkHqqCUFNJY4AfY3kHU/edit?usp=sharing  #gid=0"",""фіз особи new!relations_name_uo""),7,FALSE)
,
)
))"),"#N/A")</f>
        <v>#N/A</v>
      </c>
      <c r="J6800" s="7" t="s">
        <v>30</v>
      </c>
    </row>
    <row r="6801" spans="1:10" ht="13.2">
      <c r="A6801" s="7">
        <v>6800</v>
      </c>
      <c r="B6801" s="7">
        <v>1</v>
      </c>
      <c r="C6801" s="7" t="s">
        <v>10</v>
      </c>
      <c r="D6801" s="7">
        <v>6217</v>
      </c>
      <c r="E6801" s="7" t="s">
        <v>28</v>
      </c>
      <c r="F6801" s="8" t="str">
        <f ca="1">IFERROR(__xludf.DUMMYFUNCTION("IF
(
C6802=""фізична особа""
,
VLOOKUP(D6802,IMPORTRANGE(""https://docs.google.com/spreadsheets/d/14Bd19lYaqBhU8_DElYkX7l4wRkHqqCUFNJY4AfY3kHU/edit?usp=sharing  #gid=0"",""фіз особи new!relations_name""),6,FALSE)
,
(IF
(
C6802=""юридична особа""
,
VLOOKUP"&amp;"(D6802,IMPORTRANGE(""https://docs.google.com/spreadsheets/d/14Bd19lYaqBhU8_DElYkX7l4wRkHqqCUFNJY4AfY3kHU/edit?usp=sharing  #gid=0"",""фіз особи new!relations_name_uo""),7,FALSE)
,
)
))"),"АХУНДОВ Гашум Мухамед Махмудович")</f>
        <v>АХУНДОВ Гашум Мухамед Махмудович</v>
      </c>
      <c r="G6801" s="7" t="s">
        <v>10</v>
      </c>
      <c r="H6801" s="7">
        <v>6215</v>
      </c>
      <c r="I6801" s="8" t="str">
        <f ca="1">IFERROR(__xludf.DUMMYFUNCTION("IF
(
G6802=""фізична особа""
,
VLOOKUP(H6802,IMPORTRANGE(""https://docs.google.com/spreadsheets/d/14Bd19lYaqBhU8_DElYkX7l4wRkHqqCUFNJY4AfY3kHU/edit?usp=sharing  #gid=0"",""фіз особи new!relations_name""),6,FALSE)
,
(IF
(
G6802=""юридична особа""
,
VLOOKUP"&amp;"(H6802,IMPORTRANGE(""https://docs.google.com/spreadsheets/d/14Bd19lYaqBhU8_DElYkX7l4wRkHqqCUFNJY4AfY3kHU/edit?usp=sharing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J6801" s="7" t="s">
        <v>29</v>
      </c>
    </row>
    <row r="6802" spans="1:10" ht="13.2">
      <c r="A6802" s="7">
        <v>6801</v>
      </c>
      <c r="B6802" s="7">
        <v>1</v>
      </c>
      <c r="C6802" s="7" t="s">
        <v>10</v>
      </c>
      <c r="D6802" s="7">
        <v>6217</v>
      </c>
      <c r="E6802" s="7" t="s">
        <v>35</v>
      </c>
      <c r="F6802" s="8" t="str">
        <f ca="1">IFERROR(__xludf.DUMMYFUNCTION("IF
(
C6803=""фізична особа""
,
VLOOKUP(D6803,IMPORTRANGE(""https://docs.google.com/spreadsheets/d/14Bd19lYaqBhU8_DElYkX7l4wRkHqqCUFNJY4AfY3kHU/edit?usp=sharing  #gid=0"",""фіз особи new!relations_name""),6,FALSE)
,
(IF
(
C6803=""юридична особа""
,
VLOOKUP"&amp;"(D6803,IMPORTRANGE(""https://docs.google.com/spreadsheets/d/14Bd19lYaqBhU8_DElYkX7l4wRkHqqCUFNJY4AfY3kHU/edit?usp=sharing  #gid=0"",""фіз особи new!relations_name_uo""),7,FALSE)
,
)
))"),"АХУНДОВ Гашум Мухамед Махмудович")</f>
        <v>АХУНДОВ Гашум Мухамед Махмудович</v>
      </c>
      <c r="G6802" s="7" t="s">
        <v>10</v>
      </c>
      <c r="H6802" s="7">
        <v>6218</v>
      </c>
      <c r="I6802" s="8" t="str">
        <f ca="1">IFERROR(__xludf.DUMMYFUNCTION("IF
(
G6803=""фізична особа""
,
VLOOKUP(H6803,IMPORTRANGE(""https://docs.google.com/spreadsheets/d/14Bd19lYaqBhU8_DElYkX7l4wRkHqqCUFNJY4AfY3kHU/edit?usp=sharing  #gid=0"",""фіз особи new!relations_name""),6,FALSE)
,
(IF
(
G6803=""юридична особа""
,
VLOOKUP"&amp;"(H6803,IMPORTRANGE(""https://docs.google.com/spreadsheets/d/14Bd19lYaqBhU8_DElYkX7l4wRkHqqCUFNJY4AfY3kHU/edit?usp=sharing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J6802" s="7" t="s">
        <v>35</v>
      </c>
    </row>
    <row r="6803" spans="1:10" ht="13.2">
      <c r="A6803" s="7">
        <v>6802</v>
      </c>
      <c r="B6803" s="7">
        <v>1</v>
      </c>
      <c r="C6803" s="7" t="s">
        <v>10</v>
      </c>
      <c r="D6803" s="7">
        <v>6218</v>
      </c>
      <c r="E6803" s="7" t="s">
        <v>30</v>
      </c>
      <c r="F6803" s="8" t="str">
        <f ca="1">IFERROR(__xludf.DUMMYFUNCTION("IF
(
C6804=""фізична особа""
,
VLOOKUP(D6804,IMPORTRANGE(""https://docs.google.com/spreadsheets/d/14Bd19lYaqBhU8_DElYkX7l4wRkHqqCUFNJY4AfY3kHU/edit?usp=sharing  #gid=0"",""фіз особи new!relations_name""),6,FALSE)
,
(IF
(
C6804=""юридична особа""
,
VLOOKUP"&amp;"(D6804,IMPORTRANGE(""https://docs.google.com/spreadsheets/d/14Bd19lYaqBhU8_DElYkX7l4wRkHqqCUFNJY4AfY3kHU/edit?usp=sharing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G6803" s="7" t="s">
        <v>10</v>
      </c>
      <c r="H6803" s="7">
        <v>0</v>
      </c>
      <c r="I6803" s="8" t="str">
        <f ca="1">IFERROR(__xludf.DUMMYFUNCTION("IF
(
G6804=""фізична особа""
,
VLOOKUP(H6804,IMPORTRANGE(""https://docs.google.com/spreadsheets/d/14Bd19lYaqBhU8_DElYkX7l4wRkHqqCUFNJY4AfY3kHU/edit?usp=sharing  #gid=0"",""фіз особи new!relations_name""),6,FALSE)
,
(IF
(
G6804=""юридична особа""
,
VLOOKUP"&amp;"(H6804,IMPORTRANGE(""https://docs.google.com/spreadsheets/d/14Bd19lYaqBhU8_DElYkX7l4wRkHqqCUFNJY4AfY3kHU/edit?usp=sharing  #gid=0"",""фіз особи new!relations_name_uo""),7,FALSE)
,
)
))"),"#N/A")</f>
        <v>#N/A</v>
      </c>
      <c r="J6803" s="7" t="s">
        <v>30</v>
      </c>
    </row>
    <row r="6804" spans="1:10" ht="13.2">
      <c r="A6804" s="7">
        <v>6803</v>
      </c>
      <c r="B6804" s="7">
        <v>1</v>
      </c>
      <c r="C6804" s="7" t="s">
        <v>10</v>
      </c>
      <c r="D6804" s="7">
        <v>6218</v>
      </c>
      <c r="E6804" s="7" t="s">
        <v>30</v>
      </c>
      <c r="F6804" s="8" t="str">
        <f ca="1">IFERROR(__xludf.DUMMYFUNCTION("IF
(
C6805=""фізична особа""
,
VLOOKUP(D6805,IMPORTRANGE(""https://docs.google.com/spreadsheets/d/14Bd19lYaqBhU8_DElYkX7l4wRkHqqCUFNJY4AfY3kHU/edit?usp=sharing  #gid=0"",""фіз особи new!relations_name""),6,FALSE)
,
(IF
(
C6805=""юридична особа""
,
VLOOKUP"&amp;"(D6805,IMPORTRANGE(""https://docs.google.com/spreadsheets/d/14Bd19lYaqBhU8_DElYkX7l4wRkHqqCUFNJY4AfY3kHU/edit?usp=sharing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G6804" s="7" t="s">
        <v>10</v>
      </c>
      <c r="H6804" s="7">
        <v>0</v>
      </c>
      <c r="I6804" s="8" t="str">
        <f ca="1">IFERROR(__xludf.DUMMYFUNCTION("IF
(
G6805=""фізична особа""
,
VLOOKUP(H6805,IMPORTRANGE(""https://docs.google.com/spreadsheets/d/14Bd19lYaqBhU8_DElYkX7l4wRkHqqCUFNJY4AfY3kHU/edit?usp=sharing  #gid=0"",""фіз особи new!relations_name""),6,FALSE)
,
(IF
(
G6805=""юридична особа""
,
VLOOKUP"&amp;"(H6805,IMPORTRANGE(""https://docs.google.com/spreadsheets/d/14Bd19lYaqBhU8_DElYkX7l4wRkHqqCUFNJY4AfY3kHU/edit?usp=sharing  #gid=0"",""фіз особи new!relations_name_uo""),7,FALSE)
,
)
))"),"#N/A")</f>
        <v>#N/A</v>
      </c>
      <c r="J6804" s="7" t="s">
        <v>30</v>
      </c>
    </row>
    <row r="6805" spans="1:10" ht="13.2">
      <c r="A6805" s="7">
        <v>6804</v>
      </c>
      <c r="B6805" s="7">
        <v>1</v>
      </c>
      <c r="C6805" s="7" t="s">
        <v>10</v>
      </c>
      <c r="D6805" s="7">
        <v>6218</v>
      </c>
      <c r="E6805" s="7" t="s">
        <v>35</v>
      </c>
      <c r="F6805" s="8" t="str">
        <f ca="1">IFERROR(__xludf.DUMMYFUNCTION("IF
(
C6806=""фізична особа""
,
VLOOKUP(D6806,IMPORTRANGE(""https://docs.google.com/spreadsheets/d/14Bd19lYaqBhU8_DElYkX7l4wRkHqqCUFNJY4AfY3kHU/edit?usp=sharing  #gid=0"",""фіз особи new!relations_name""),6,FALSE)
,
(IF
(
C6806=""юридична особа""
,
VLOOKUP"&amp;"(D6806,IMPORTRANGE(""https://docs.google.com/spreadsheets/d/14Bd19lYaqBhU8_DElYkX7l4wRkHqqCUFNJY4AfY3kHU/edit?usp=sharing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G6805" s="7" t="s">
        <v>10</v>
      </c>
      <c r="H6805" s="7">
        <v>6217</v>
      </c>
      <c r="I6805" s="8" t="str">
        <f ca="1">IFERROR(__xludf.DUMMYFUNCTION("IF
(
G6806=""фізична особа""
,
VLOOKUP(H6806,IMPORTRANGE(""https://docs.google.com/spreadsheets/d/14Bd19lYaqBhU8_DElYkX7l4wRkHqqCUFNJY4AfY3kHU/edit?usp=sharing  #gid=0"",""фіз особи new!relations_name""),6,FALSE)
,
(IF
(
G6806=""юридична особа""
,
VLOOKUP"&amp;"(H6806,IMPORTRANGE(""https://docs.google.com/spreadsheets/d/14Bd19lYaqBhU8_DElYkX7l4wRkHqqCUFNJY4AfY3kHU/edit?usp=sharing  #gid=0"",""фіз особи new!relations_name_uo""),7,FALSE)
,
)
))"),"АХУНДОВ Гашум Мухамед Махмудович")</f>
        <v>АХУНДОВ Гашум Мухамед Махмудович</v>
      </c>
      <c r="J6805" s="7" t="s">
        <v>35</v>
      </c>
    </row>
    <row r="6806" spans="1:10" ht="13.2">
      <c r="A6806" s="7">
        <v>6805</v>
      </c>
      <c r="B6806" s="7">
        <v>1</v>
      </c>
      <c r="C6806" s="7" t="s">
        <v>10</v>
      </c>
      <c r="D6806" s="7">
        <v>6218</v>
      </c>
      <c r="E6806" s="7" t="s">
        <v>28</v>
      </c>
      <c r="F6806" s="8" t="str">
        <f ca="1">IFERROR(__xludf.DUMMYFUNCTION("IF
(
C6807=""фізична особа""
,
VLOOKUP(D6807,IMPORTRANGE(""https://docs.google.com/spreadsheets/d/14Bd19lYaqBhU8_DElYkX7l4wRkHqqCUFNJY4AfY3kHU/edit?usp=sharing  #gid=0"",""фіз особи new!relations_name""),6,FALSE)
,
(IF
(
C6807=""юридична особа""
,
VLOOKUP"&amp;"(D6807,IMPORTRANGE(""https://docs.google.com/spreadsheets/d/14Bd19lYaqBhU8_DElYkX7l4wRkHqqCUFNJY4AfY3kHU/edit?usp=sharing  #gid=0"",""фіз особи new!relations_name_uo""),7,FALSE)
,
)
))"),"ДЕРЕНДЯЄВ Сергій Олександрович")</f>
        <v>ДЕРЕНДЯЄВ Сергій Олександрович</v>
      </c>
      <c r="G6806" s="7" t="s">
        <v>10</v>
      </c>
      <c r="H6806" s="7">
        <v>6215</v>
      </c>
      <c r="I6806" s="8" t="str">
        <f ca="1">IFERROR(__xludf.DUMMYFUNCTION("IF
(
G6807=""фізична особа""
,
VLOOKUP(H6807,IMPORTRANGE(""https://docs.google.com/spreadsheets/d/14Bd19lYaqBhU8_DElYkX7l4wRkHqqCUFNJY4AfY3kHU/edit?usp=sharing  #gid=0"",""фіз особи new!relations_name""),6,FALSE)
,
(IF
(
G6807=""юридична особа""
,
VLOOKUP"&amp;"(H6807,IMPORTRANGE(""https://docs.google.com/spreadsheets/d/14Bd19lYaqBhU8_DElYkX7l4wRkHqqCUFNJY4AfY3kHU/edit?usp=sharing  #gid=0"",""фіз особи new!relations_name_uo""),7,FALSE)
,
)
))"),"КРАСНОПЬОРОВ Костянтин Васильович")</f>
        <v>КРАСНОПЬОРОВ Костянтин Васильович</v>
      </c>
      <c r="J6806" s="7" t="s">
        <v>29</v>
      </c>
    </row>
    <row r="6807" spans="1:10" ht="13.2">
      <c r="A6807" s="7">
        <v>6806</v>
      </c>
      <c r="B6807" s="7">
        <v>1</v>
      </c>
      <c r="C6807" s="7" t="s">
        <v>10</v>
      </c>
      <c r="D6807" s="7">
        <v>6219</v>
      </c>
      <c r="E6807" s="7" t="s">
        <v>29</v>
      </c>
      <c r="F6807" s="8" t="str">
        <f ca="1">IFERROR(__xludf.DUMMYFUNCTION("IF
(
C6808=""фізична особа""
,
VLOOKUP(D6808,IMPORTRANGE(""https://docs.google.com/spreadsheets/d/14Bd19lYaqBhU8_DElYkX7l4wRkHqqCUFNJY4AfY3kHU/edit?usp=sharing  #gid=0"",""фіз особи new!relations_name""),6,FALSE)
,
(IF
(
C6808=""юридична особа""
,
VLOOKUP"&amp;"(D6808,IMPORTRANGE(""https://docs.google.com/spreadsheets/d/14Bd19lYaqBhU8_DElYkX7l4wRkHqqCUFNJY4AfY3kHU/edit?usp=sharing  #gid=0"",""фіз особи new!relations_name_uo""),7,FALSE)
,
)
))"),"ДАВИДІК Віктор Юльянович")</f>
        <v>ДАВИДІК Віктор Юльянович</v>
      </c>
      <c r="G6807" s="7" t="s">
        <v>10</v>
      </c>
      <c r="H6807" s="7">
        <v>0</v>
      </c>
      <c r="I6807" s="8" t="str">
        <f ca="1">IFERROR(__xludf.DUMMYFUNCTION("IF
(
G6808=""фізична особа""
,
VLOOKUP(H6808,IMPORTRANGE(""https://docs.google.com/spreadsheets/d/14Bd19lYaqBhU8_DElYkX7l4wRkHqqCUFNJY4AfY3kHU/edit?usp=sharing  #gid=0"",""фіз особи new!relations_name""),6,FALSE)
,
(IF
(
G6808=""юридична особа""
,
VLOOKUP"&amp;"(H6808,IMPORTRANGE(""https://docs.google.com/spreadsheets/d/14Bd19lYaqBhU8_DElYkX7l4wRkHqqCUFNJY4AfY3kHU/edit?usp=sharing  #gid=0"",""фіз особи new!relations_name_uo""),7,FALSE)
,
)
))"),"#N/A")</f>
        <v>#N/A</v>
      </c>
      <c r="J6807" s="7" t="s">
        <v>104</v>
      </c>
    </row>
    <row r="6808" spans="1:10" ht="13.2">
      <c r="A6808" s="7">
        <v>6807</v>
      </c>
      <c r="B6808" s="7">
        <v>1</v>
      </c>
      <c r="C6808" s="7" t="s">
        <v>10</v>
      </c>
      <c r="D6808" s="7">
        <v>6219</v>
      </c>
      <c r="E6808" s="7" t="s">
        <v>29</v>
      </c>
      <c r="F6808" s="8" t="str">
        <f ca="1">IFERROR(__xludf.DUMMYFUNCTION("IF
(
C6809=""фізична особа""
,
VLOOKUP(D6809,IMPORTRANGE(""https://docs.google.com/spreadsheets/d/14Bd19lYaqBhU8_DElYkX7l4wRkHqqCUFNJY4AfY3kHU/edit?usp=sharing  #gid=0"",""фіз особи new!relations_name""),6,FALSE)
,
(IF
(
C6809=""юридична особа""
,
VLOOKUP"&amp;"(D6809,IMPORTRANGE(""https://docs.google.com/spreadsheets/d/14Bd19lYaqBhU8_DElYkX7l4wRkHqqCUFNJY4AfY3kHU/edit?usp=sharing  #gid=0"",""фіз особи new!relations_name_uo""),7,FALSE)
,
)
))"),"ДАВИДІК Віктор Юльянович")</f>
        <v>ДАВИДІК Віктор Юльянович</v>
      </c>
      <c r="G6808" s="7" t="s">
        <v>10</v>
      </c>
      <c r="H6808" s="7">
        <v>0</v>
      </c>
      <c r="I6808" s="8" t="str">
        <f ca="1">IFERROR(__xludf.DUMMYFUNCTION("IF
(
G6809=""фізична особа""
,
VLOOKUP(H6809,IMPORTRANGE(""https://docs.google.com/spreadsheets/d/14Bd19lYaqBhU8_DElYkX7l4wRkHqqCUFNJY4AfY3kHU/edit?usp=sharing  #gid=0"",""фіз особи new!relations_name""),6,FALSE)
,
(IF
(
G6809=""юридична особа""
,
VLOOKUP"&amp;"(H6809,IMPORTRANGE(""https://docs.google.com/spreadsheets/d/14Bd19lYaqBhU8_DElYkX7l4wRkHqqCUFNJY4AfY3kHU/edit?usp=sharing  #gid=0"",""фіз особи new!relations_name_uo""),7,FALSE)
,
)
))"),"#N/A")</f>
        <v>#N/A</v>
      </c>
      <c r="J6808" s="7" t="s">
        <v>104</v>
      </c>
    </row>
    <row r="6809" spans="1:10" ht="13.2">
      <c r="A6809" s="7">
        <v>6808</v>
      </c>
      <c r="B6809" s="7">
        <v>1</v>
      </c>
      <c r="C6809" s="7" t="s">
        <v>10</v>
      </c>
      <c r="D6809" s="7">
        <v>6220</v>
      </c>
      <c r="E6809" s="7" t="s">
        <v>12</v>
      </c>
      <c r="F6809" s="8" t="str">
        <f ca="1">IFERROR(__xludf.DUMMYFUNCTION("IF
(
C6810=""фізична особа""
,
VLOOKUP(D6810,IMPORTRANGE(""https://docs.google.com/spreadsheets/d/14Bd19lYaqBhU8_DElYkX7l4wRkHqqCUFNJY4AfY3kHU/edit?usp=sharing  #gid=0"",""фіз особи new!relations_name""),6,FALSE)
,
(IF
(
C6810=""юридична особа""
,
VLOOKUP"&amp;"(D6810,IMPORTRANGE(""https://docs.google.com/spreadsheets/d/14Bd19lYaqBhU8_DElYkX7l4wRkHqqCUFNJY4AfY3kHU/edit?usp=sharing  #gid=0"",""фіз особи new!relations_name_uo""),7,FALSE)
,
)
))"),"БОГУСЛАВСЬКИЙ Станіслав Йосипович")</f>
        <v>БОГУСЛАВСЬКИЙ Станіслав Йосипович</v>
      </c>
      <c r="G6809" s="7" t="s">
        <v>10</v>
      </c>
      <c r="H6809" s="7">
        <v>0</v>
      </c>
      <c r="I6809" s="8" t="str">
        <f ca="1">IFERROR(__xludf.DUMMYFUNCTION("IF
(
G6810=""фізична особа""
,
VLOOKUP(H6810,IMPORTRANGE(""https://docs.google.com/spreadsheets/d/14Bd19lYaqBhU8_DElYkX7l4wRkHqqCUFNJY4AfY3kHU/edit?usp=sharing  #gid=0"",""фіз особи new!relations_name""),6,FALSE)
,
(IF
(
G6810=""юридична особа""
,
VLOOKUP"&amp;"(H6810,IMPORTRANGE(""https://docs.google.com/spreadsheets/d/14Bd19lYaqBhU8_DElYkX7l4wRkHqqCUFNJY4AfY3kHU/edit?usp=sharing  #gid=0"",""фіз особи new!relations_name_uo""),7,FALSE)
,
)
))"),"#N/A")</f>
        <v>#N/A</v>
      </c>
      <c r="J6809" s="7" t="s">
        <v>13</v>
      </c>
    </row>
    <row r="6810" spans="1:10" ht="13.2">
      <c r="A6810" s="7">
        <v>6809</v>
      </c>
      <c r="B6810" s="7">
        <v>1</v>
      </c>
      <c r="C6810" s="7" t="s">
        <v>10</v>
      </c>
      <c r="D6810" s="7">
        <v>6220</v>
      </c>
      <c r="E6810" s="7" t="s">
        <v>30</v>
      </c>
      <c r="F6810" s="8" t="str">
        <f ca="1">IFERROR(__xludf.DUMMYFUNCTION("IF
(
C6811=""фізична особа""
,
VLOOKUP(D6811,IMPORTRANGE(""https://docs.google.com/spreadsheets/d/14Bd19lYaqBhU8_DElYkX7l4wRkHqqCUFNJY4AfY3kHU/edit?usp=sharing  #gid=0"",""фіз особи new!relations_name""),6,FALSE)
,
(IF
(
C6811=""юридична особа""
,
VLOOKUP"&amp;"(D6811,IMPORTRANGE(""https://docs.google.com/spreadsheets/d/14Bd19lYaqBhU8_DElYkX7l4wRkHqqCUFNJY4AfY3kHU/edit?usp=sharing  #gid=0"",""фіз особи new!relations_name_uo""),7,FALSE)
,
)
))"),"БОГУСЛАВСЬКИЙ Станіслав Йосипович")</f>
        <v>БОГУСЛАВСЬКИЙ Станіслав Йосипович</v>
      </c>
      <c r="G6810" s="7" t="s">
        <v>10</v>
      </c>
      <c r="H6810" s="7">
        <v>0</v>
      </c>
      <c r="I6810" s="8" t="str">
        <f ca="1">IFERROR(__xludf.DUMMYFUNCTION("IF
(
G6811=""фізична особа""
,
VLOOKUP(H6811,IMPORTRANGE(""https://docs.google.com/spreadsheets/d/14Bd19lYaqBhU8_DElYkX7l4wRkHqqCUFNJY4AfY3kHU/edit?usp=sharing  #gid=0"",""фіз особи new!relations_name""),6,FALSE)
,
(IF
(
G6811=""юридична особа""
,
VLOOKUP"&amp;"(H6811,IMPORTRANGE(""https://docs.google.com/spreadsheets/d/14Bd19lYaqBhU8_DElYkX7l4wRkHqqCUFNJY4AfY3kHU/edit?usp=sharing  #gid=0"",""фіз особи new!relations_name_uo""),7,FALSE)
,
)
))"),"#N/A")</f>
        <v>#N/A</v>
      </c>
      <c r="J6810" s="7" t="s">
        <v>30</v>
      </c>
    </row>
    <row r="6811" spans="1:10" ht="13.2">
      <c r="A6811" s="7">
        <v>6810</v>
      </c>
      <c r="B6811" s="7">
        <v>1</v>
      </c>
      <c r="C6811" s="7" t="s">
        <v>10</v>
      </c>
      <c r="D6811" s="7">
        <v>6221</v>
      </c>
      <c r="E6811" s="7" t="s">
        <v>30</v>
      </c>
      <c r="F6811" s="8" t="str">
        <f ca="1">IFERROR(__xludf.DUMMYFUNCTION("IF
(
C6812=""фізична особа""
,
VLOOKUP(D6812,IMPORTRANGE(""https://docs.google.com/spreadsheets/d/14Bd19lYaqBhU8_DElYkX7l4wRkHqqCUFNJY4AfY3kHU/edit?usp=sharing  #gid=0"",""фіз особи new!relations_name""),6,FALSE)
,
(IF
(
C6812=""юридична особа""
,
VLOOKUP"&amp;"(D6812,IMPORTRANGE(""https://docs.google.com/spreadsheets/d/14Bd19lYaqBhU8_DElYkX7l4wRkHqqCUFNJY4AfY3kHU/edit?usp=sharing  #gid=0"",""фіз особи new!relations_name_uo""),7,FALSE)
,
)
))"),"ПОДГУЗОВА Ольга Миколаївна")</f>
        <v>ПОДГУЗОВА Ольга Миколаївна</v>
      </c>
      <c r="G6811" s="7" t="s">
        <v>10</v>
      </c>
      <c r="H6811" s="7">
        <v>0</v>
      </c>
      <c r="I6811" s="8" t="str">
        <f ca="1">IFERROR(__xludf.DUMMYFUNCTION("IF
(
G6812=""фізична особа""
,
VLOOKUP(H6812,IMPORTRANGE(""https://docs.google.com/spreadsheets/d/14Bd19lYaqBhU8_DElYkX7l4wRkHqqCUFNJY4AfY3kHU/edit?usp=sharing  #gid=0"",""фіз особи new!relations_name""),6,FALSE)
,
(IF
(
G6812=""юридична особа""
,
VLOOKUP"&amp;"(H6812,IMPORTRANGE(""https://docs.google.com/spreadsheets/d/14Bd19lYaqBhU8_DElYkX7l4wRkHqqCUFNJY4AfY3kHU/edit?usp=sharing  #gid=0"",""фіз особи new!relations_name_uo""),7,FALSE)
,
)
))"),"#N/A")</f>
        <v>#N/A</v>
      </c>
      <c r="J6811" s="7" t="s">
        <v>30</v>
      </c>
    </row>
    <row r="6812" spans="1:10" ht="13.2">
      <c r="A6812" s="7">
        <v>6811</v>
      </c>
      <c r="B6812" s="7">
        <v>1</v>
      </c>
      <c r="C6812" s="7" t="s">
        <v>10</v>
      </c>
      <c r="D6812" s="7">
        <v>6221</v>
      </c>
      <c r="E6812" s="7" t="s">
        <v>30</v>
      </c>
      <c r="F6812" s="8" t="str">
        <f ca="1">IFERROR(__xludf.DUMMYFUNCTION("IF
(
C6813=""фізична особа""
,
VLOOKUP(D6813,IMPORTRANGE(""https://docs.google.com/spreadsheets/d/14Bd19lYaqBhU8_DElYkX7l4wRkHqqCUFNJY4AfY3kHU/edit?usp=sharing  #gid=0"",""фіз особи new!relations_name""),6,FALSE)
,
(IF
(
C6813=""юридична особа""
,
VLOOKUP"&amp;"(D6813,IMPORTRANGE(""https://docs.google.com/spreadsheets/d/14Bd19lYaqBhU8_DElYkX7l4wRkHqqCUFNJY4AfY3kHU/edit?usp=sharing  #gid=0"",""фіз особи new!relations_name_uo""),7,FALSE)
,
)
))"),"ПОДГУЗОВА Ольга Миколаївна")</f>
        <v>ПОДГУЗОВА Ольга Миколаївна</v>
      </c>
      <c r="G6812" s="7" t="s">
        <v>10</v>
      </c>
      <c r="H6812" s="7">
        <v>3859</v>
      </c>
      <c r="I6812" s="8" t="str">
        <f ca="1">IFERROR(__xludf.DUMMYFUNCTION("IF
(
G6813=""фізична особа""
,
VLOOKUP(H6813,IMPORTRANGE(""https://docs.google.com/spreadsheets/d/14Bd19lYaqBhU8_DElYkX7l4wRkHqqCUFNJY4AfY3kHU/edit?usp=sharing  #gid=0"",""фіз особи new!relations_name""),6,FALSE)
,
(IF
(
G6813=""юридична особа""
,
VLOOKUP"&amp;"(H6813,IMPORTRANGE(""https://docs.google.com/spreadsheets/d/14Bd19lYaqBhU8_DElYkX7l4wRkHqqCUFNJY4AfY3kHU/edit?usp=sharing  #gid=0"",""фіз особи new!relations_name_uo""),7,FALSE)
,
)
))"),"ТІХОНОВ Дмитро Олександрович")</f>
        <v>ТІХОНОВ Дмитро Олександрович</v>
      </c>
      <c r="J6812" s="7" t="s">
        <v>30</v>
      </c>
    </row>
    <row r="6813" spans="1:10" ht="13.2">
      <c r="A6813" s="7">
        <v>6812</v>
      </c>
      <c r="B6813" s="7">
        <v>1</v>
      </c>
      <c r="C6813" s="7" t="s">
        <v>10</v>
      </c>
      <c r="D6813" s="7">
        <v>6221</v>
      </c>
      <c r="E6813" s="7" t="s">
        <v>30</v>
      </c>
      <c r="F6813" s="8" t="str">
        <f ca="1">IFERROR(__xludf.DUMMYFUNCTION("IF
(
C6814=""фізична особа""
,
VLOOKUP(D6814,IMPORTRANGE(""https://docs.google.com/spreadsheets/d/14Bd19lYaqBhU8_DElYkX7l4wRkHqqCUFNJY4AfY3kHU/edit?usp=sharing  #gid=0"",""фіз особи new!relations_name""),6,FALSE)
,
(IF
(
C6814=""юридична особа""
,
VLOOKUP"&amp;"(D6814,IMPORTRANGE(""https://docs.google.com/spreadsheets/d/14Bd19lYaqBhU8_DElYkX7l4wRkHqqCUFNJY4AfY3kHU/edit?usp=sharing  #gid=0"",""фіз особи new!relations_name_uo""),7,FALSE)
,
)
))"),"ПОДГУЗОВА Ольга Миколаївна")</f>
        <v>ПОДГУЗОВА Ольга Миколаївна</v>
      </c>
      <c r="G6813" s="7" t="s">
        <v>10</v>
      </c>
      <c r="H6813" s="7">
        <v>0</v>
      </c>
      <c r="I6813" s="8" t="str">
        <f ca="1">IFERROR(__xludf.DUMMYFUNCTION("IF
(
G6814=""фізична особа""
,
VLOOKUP(H6814,IMPORTRANGE(""https://docs.google.com/spreadsheets/d/14Bd19lYaqBhU8_DElYkX7l4wRkHqqCUFNJY4AfY3kHU/edit?usp=sharing  #gid=0"",""фіз особи new!relations_name""),6,FALSE)
,
(IF
(
G6814=""юридична особа""
,
VLOOKUP"&amp;"(H6814,IMPORTRANGE(""https://docs.google.com/spreadsheets/d/14Bd19lYaqBhU8_DElYkX7l4wRkHqqCUFNJY4AfY3kHU/edit?usp=sharing  #gid=0"",""фіз особи new!relations_name_uo""),7,FALSE)
,
)
))"),"#N/A")</f>
        <v>#N/A</v>
      </c>
      <c r="J6813" s="7" t="s">
        <v>30</v>
      </c>
    </row>
    <row r="6814" spans="1:10" ht="13.2">
      <c r="A6814" s="7">
        <v>6813</v>
      </c>
      <c r="B6814" s="7">
        <v>1</v>
      </c>
      <c r="C6814" s="7" t="s">
        <v>10</v>
      </c>
      <c r="D6814" s="7">
        <v>6221</v>
      </c>
      <c r="E6814" s="7" t="s">
        <v>35</v>
      </c>
      <c r="F6814" s="8" t="str">
        <f ca="1">IFERROR(__xludf.DUMMYFUNCTION("IF
(
C6815=""фізична особа""
,
VLOOKUP(D6815,IMPORTRANGE(""https://docs.google.com/spreadsheets/d/14Bd19lYaqBhU8_DElYkX7l4wRkHqqCUFNJY4AfY3kHU/edit?usp=sharing  #gid=0"",""фіз особи new!relations_name""),6,FALSE)
,
(IF
(
C6815=""юридична особа""
,
VLOOKUP"&amp;"(D6815,IMPORTRANGE(""https://docs.google.com/spreadsheets/d/14Bd19lYaqBhU8_DElYkX7l4wRkHqqCUFNJY4AfY3kHU/edit?usp=sharing  #gid=0"",""фіз особи new!relations_name_uo""),7,FALSE)
,
)
))"),"ПОДГУЗОВА Ольга Миколаївна")</f>
        <v>ПОДГУЗОВА Ольга Миколаївна</v>
      </c>
      <c r="G6814" s="7" t="s">
        <v>10</v>
      </c>
      <c r="H6814" s="7">
        <v>6223</v>
      </c>
      <c r="I6814" s="8" t="str">
        <f ca="1">IFERROR(__xludf.DUMMYFUNCTION("IF
(
G6815=""фізична особа""
,
VLOOKUP(H6815,IMPORTRANGE(""https://docs.google.com/spreadsheets/d/14Bd19lYaqBhU8_DElYkX7l4wRkHqqCUFNJY4AfY3kHU/edit?usp=sharing  #gid=0"",""фіз особи new!relations_name""),6,FALSE)
,
(IF
(
G6815=""юридична особа""
,
VLOOKUP"&amp;"(H6815,IMPORTRANGE(""https://docs.google.com/spreadsheets/d/14Bd19lYaqBhU8_DElYkX7l4wRkHqqCUFNJY4AfY3kHU/edit?usp=sharing  #gid=0"",""фіз особи new!relations_name_uo""),7,FALSE)
,
)
))"),"РАБІНОВИЧ Михайло Данилович")</f>
        <v>РАБІНОВИЧ Михайло Данилович</v>
      </c>
      <c r="J6814" s="7" t="s">
        <v>35</v>
      </c>
    </row>
    <row r="6815" spans="1:10" ht="13.2">
      <c r="A6815" s="7">
        <v>6814</v>
      </c>
      <c r="B6815" s="7">
        <v>1</v>
      </c>
      <c r="C6815" s="7" t="s">
        <v>10</v>
      </c>
      <c r="D6815" s="7">
        <v>6222</v>
      </c>
      <c r="E6815" s="7" t="s">
        <v>30</v>
      </c>
      <c r="F6815" s="8" t="str">
        <f ca="1">IFERROR(__xludf.DUMMYFUNCTION("IF
(
C6816=""фізична особа""
,
VLOOKUP(D6816,IMPORTRANGE(""https://docs.google.com/spreadsheets/d/14Bd19lYaqBhU8_DElYkX7l4wRkHqqCUFNJY4AfY3kHU/edit?usp=sharing  #gid=0"",""фіз особи new!relations_name""),6,FALSE)
,
(IF
(
C6816=""юридична особа""
,
VLOOKUP"&amp;"(D6816,IMPORTRANGE(""https://docs.google.com/spreadsheets/d/14Bd19lYaqBhU8_DElYkX7l4wRkHqqCUFNJY4AfY3kHU/edit?usp=sharing  #gid=0"",""фіз особи new!relations_name_uo""),7,FALSE)
,
)
))"),"ІЩУК Оксана Валеріївна")</f>
        <v>ІЩУК Оксана Валеріївна</v>
      </c>
      <c r="G6815" s="7" t="s">
        <v>10</v>
      </c>
      <c r="H6815" s="7">
        <v>3857</v>
      </c>
      <c r="I6815" s="8" t="str">
        <f ca="1">IFERROR(__xludf.DUMMYFUNCTION("IF
(
G6816=""фізична особа""
,
VLOOKUP(H6816,IMPORTRANGE(""https://docs.google.com/spreadsheets/d/14Bd19lYaqBhU8_DElYkX7l4wRkHqqCUFNJY4AfY3kHU/edit?usp=sharing  #gid=0"",""фіз особи new!relations_name""),6,FALSE)
,
(IF
(
G6816=""юридична особа""
,
VLOOKUP"&amp;"(H6816,IMPORTRANGE(""https://docs.google.com/spreadsheets/d/14Bd19lYaqBhU8_DElYkX7l4wRkHqqCUFNJY4AfY3kHU/edit?usp=sharing  #gid=0"",""фіз особи new!relations_name_uo""),7,FALSE)
,
)
))"),"МІНЄЄВ Олександр Олексійович")</f>
        <v>МІНЄЄВ Олександр Олексійович</v>
      </c>
      <c r="J6815" s="7" t="s">
        <v>30</v>
      </c>
    </row>
    <row r="6816" spans="1:10" ht="13.2">
      <c r="A6816" s="7">
        <v>6815</v>
      </c>
      <c r="B6816" s="7">
        <v>1</v>
      </c>
      <c r="C6816" s="7" t="s">
        <v>10</v>
      </c>
      <c r="D6816" s="7">
        <v>6222</v>
      </c>
      <c r="E6816" s="7" t="s">
        <v>30</v>
      </c>
      <c r="F6816" s="8" t="str">
        <f ca="1">IFERROR(__xludf.DUMMYFUNCTION("IF
(
C6817=""фізична особа""
,
VLOOKUP(D6817,IMPORTRANGE(""https://docs.google.com/spreadsheets/d/14Bd19lYaqBhU8_DElYkX7l4wRkHqqCUFNJY4AfY3kHU/edit?usp=sharing  #gid=0"",""фіз особи new!relations_name""),6,FALSE)
,
(IF
(
C6817=""юридична особа""
,
VLOOKUP"&amp;"(D6817,IMPORTRANGE(""https://docs.google.com/spreadsheets/d/14Bd19lYaqBhU8_DElYkX7l4wRkHqqCUFNJY4AfY3kHU/edit?usp=sharing  #gid=0"",""фіз особи new!relations_name_uo""),7,FALSE)
,
)
))"),"ІЩУК Оксана Валеріївна")</f>
        <v>ІЩУК Оксана Валеріївна</v>
      </c>
      <c r="G6816" s="7" t="s">
        <v>10</v>
      </c>
      <c r="H6816" s="7">
        <v>3569</v>
      </c>
      <c r="I6816" s="8" t="str">
        <f ca="1">IFERROR(__xludf.DUMMYFUNCTION("IF
(
G6817=""фізична особа""
,
VLOOKUP(H6817,IMPORTRANGE(""https://docs.google.com/spreadsheets/d/14Bd19lYaqBhU8_DElYkX7l4wRkHqqCUFNJY4AfY3kHU/edit?usp=sharing  #gid=0"",""фіз особи new!relations_name""),6,FALSE)
,
(IF
(
G6817=""юридична особа""
,
VLOOKUP"&amp;"(H6817,IMPORTRANGE(""https://docs.google.com/spreadsheets/d/14Bd19lYaqBhU8_DElYkX7l4wRkHqqCUFNJY4AfY3kHU/edit?usp=sharing  #gid=0"",""фіз особи new!relations_name_uo""),7,FALSE)
,
)
))"),"ВАСИЛЬЄВА Юлія Володимирівна")</f>
        <v>ВАСИЛЬЄВА Юлія Володимирівна</v>
      </c>
      <c r="J6816" s="7" t="s">
        <v>30</v>
      </c>
    </row>
    <row r="6817" spans="1:10" ht="13.2">
      <c r="A6817" s="7">
        <v>6816</v>
      </c>
      <c r="B6817" s="7">
        <v>1</v>
      </c>
      <c r="C6817" s="7" t="s">
        <v>10</v>
      </c>
      <c r="D6817" s="7">
        <v>6223</v>
      </c>
      <c r="E6817" s="7" t="s">
        <v>30</v>
      </c>
      <c r="F6817" s="8" t="str">
        <f ca="1">IFERROR(__xludf.DUMMYFUNCTION("IF
(
C6818=""фізична особа""
,
VLOOKUP(D6818,IMPORTRANGE(""https://docs.google.com/spreadsheets/d/14Bd19lYaqBhU8_DElYkX7l4wRkHqqCUFNJY4AfY3kHU/edit?usp=sharing  #gid=0"",""фіз особи new!relations_name""),6,FALSE)
,
(IF
(
C6818=""юридична особа""
,
VLOOKUP"&amp;"(D6818,IMPORTRANGE(""https://docs.google.com/spreadsheets/d/14Bd19lYaqBhU8_DElYkX7l4wRkHqqCUFNJY4AfY3kHU/edit?usp=sharing  #gid=0"",""фіз особи new!relations_name_uo""),7,FALSE)
,
)
))"),"РАБІНОВИЧ Михайло Данилович")</f>
        <v>РАБІНОВИЧ Михайло Данилович</v>
      </c>
      <c r="G6817" s="7" t="s">
        <v>10</v>
      </c>
      <c r="H6817" s="7">
        <v>0</v>
      </c>
      <c r="I6817" s="8" t="str">
        <f ca="1">IFERROR(__xludf.DUMMYFUNCTION("IF
(
G6818=""фізична особа""
,
VLOOKUP(H6818,IMPORTRANGE(""https://docs.google.com/spreadsheets/d/14Bd19lYaqBhU8_DElYkX7l4wRkHqqCUFNJY4AfY3kHU/edit?usp=sharing  #gid=0"",""фіз особи new!relations_name""),6,FALSE)
,
(IF
(
G6818=""юридична особа""
,
VLOOKUP"&amp;"(H6818,IMPORTRANGE(""https://docs.google.com/spreadsheets/d/14Bd19lYaqBhU8_DElYkX7l4wRkHqqCUFNJY4AfY3kHU/edit?usp=sharing  #gid=0"",""фіз особи new!relations_name_uo""),7,FALSE)
,
)
))"),"#N/A")</f>
        <v>#N/A</v>
      </c>
      <c r="J6817" s="7" t="s">
        <v>30</v>
      </c>
    </row>
    <row r="6818" spans="1:10" ht="13.2">
      <c r="A6818" s="7">
        <v>6817</v>
      </c>
      <c r="B6818" s="7">
        <v>1</v>
      </c>
      <c r="C6818" s="7" t="s">
        <v>10</v>
      </c>
      <c r="D6818" s="7">
        <v>6224</v>
      </c>
      <c r="E6818" s="7" t="s">
        <v>28</v>
      </c>
      <c r="F6818" s="8" t="str">
        <f ca="1">IFERROR(__xludf.DUMMYFUNCTION("IF
(
C6819=""фізична особа""
,
VLOOKUP(D6819,IMPORTRANGE(""https://docs.google.com/spreadsheets/d/14Bd19lYaqBhU8_DElYkX7l4wRkHqqCUFNJY4AfY3kHU/edit?usp=sharing  #gid=0"",""фіз особи new!relations_name""),6,FALSE)
,
(IF
(
C6819=""юридична особа""
,
VLOOKUP"&amp;"(D6819,IMPORTRANGE(""https://docs.google.com/spreadsheets/d/14Bd19lYaqBhU8_DElYkX7l4wRkHqqCUFNJY4AfY3kHU/edit?usp=sharing  #gid=0"",""фіз особи new!relations_name_uo""),7,FALSE)
,
)
))"),"ПОРТНЯГІНА Олена Валентинівна")</f>
        <v>ПОРТНЯГІНА Олена Валентинівна</v>
      </c>
      <c r="G6818" s="7" t="s">
        <v>10</v>
      </c>
      <c r="H6818" s="7">
        <v>6220</v>
      </c>
      <c r="I6818" s="8" t="str">
        <f ca="1">IFERROR(__xludf.DUMMYFUNCTION("IF
(
G6819=""фізична особа""
,
VLOOKUP(H6819,IMPORTRANGE(""https://docs.google.com/spreadsheets/d/14Bd19lYaqBhU8_DElYkX7l4wRkHqqCUFNJY4AfY3kHU/edit?usp=sharing  #gid=0"",""фіз особи new!relations_name""),6,FALSE)
,
(IF
(
G6819=""юридична особа""
,
VLOOKUP"&amp;"(H6819,IMPORTRANGE(""https://docs.google.com/spreadsheets/d/14Bd19lYaqBhU8_DElYkX7l4wRkHqqCUFNJY4AfY3kHU/edit?usp=sharing  #gid=0"",""фіз особи new!relations_name_uo""),7,FALSE)
,
)
))"),"БОГУСЛАВСЬКИЙ Станіслав Йосипович")</f>
        <v>БОГУСЛАВСЬКИЙ Станіслав Йосипович</v>
      </c>
      <c r="J6818" s="7" t="s">
        <v>29</v>
      </c>
    </row>
    <row r="6819" spans="1:10" ht="13.2">
      <c r="A6819" s="7">
        <v>6818</v>
      </c>
      <c r="B6819" s="7">
        <v>1</v>
      </c>
      <c r="C6819" s="7" t="s">
        <v>10</v>
      </c>
      <c r="D6819" s="7">
        <v>6227</v>
      </c>
      <c r="E6819" s="7" t="s">
        <v>30</v>
      </c>
      <c r="F6819" s="8" t="str">
        <f ca="1">IFERROR(__xludf.DUMMYFUNCTION("IF
(
C6820=""фізична особа""
,
VLOOKUP(D6820,IMPORTRANGE(""https://docs.google.com/spreadsheets/d/14Bd19lYaqBhU8_DElYkX7l4wRkHqqCUFNJY4AfY3kHU/edit?usp=sharing  #gid=0"",""фіз особи new!relations_name""),6,FALSE)
,
(IF
(
C6820=""юридична особа""
,
VLOOKUP"&amp;"(D6820,IMPORTRANGE(""https://docs.google.com/spreadsheets/d/14Bd19lYaqBhU8_DElYkX7l4wRkHqqCUFNJY4AfY3kHU/edit?usp=sharing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G6819" s="7" t="s">
        <v>10</v>
      </c>
      <c r="H6819" s="7">
        <v>0</v>
      </c>
      <c r="I6819" s="8" t="str">
        <f ca="1">IFERROR(__xludf.DUMMYFUNCTION("IF
(
G6820=""фізична особа""
,
VLOOKUP(H6820,IMPORTRANGE(""https://docs.google.com/spreadsheets/d/14Bd19lYaqBhU8_DElYkX7l4wRkHqqCUFNJY4AfY3kHU/edit?usp=sharing  #gid=0"",""фіз особи new!relations_name""),6,FALSE)
,
(IF
(
G6820=""юридична особа""
,
VLOOKUP"&amp;"(H6820,IMPORTRANGE(""https://docs.google.com/spreadsheets/d/14Bd19lYaqBhU8_DElYkX7l4wRkHqqCUFNJY4AfY3kHU/edit?usp=sharing  #gid=0"",""фіз особи new!relations_name_uo""),7,FALSE)
,
)
))"),"#N/A")</f>
        <v>#N/A</v>
      </c>
      <c r="J6819" s="7" t="s">
        <v>30</v>
      </c>
    </row>
    <row r="6820" spans="1:10" ht="13.2">
      <c r="A6820" s="7">
        <v>6819</v>
      </c>
      <c r="B6820" s="7">
        <v>1</v>
      </c>
      <c r="C6820" s="7" t="s">
        <v>10</v>
      </c>
      <c r="D6820" s="7">
        <v>6227</v>
      </c>
      <c r="E6820" s="7" t="s">
        <v>30</v>
      </c>
      <c r="F6820" s="8" t="str">
        <f ca="1">IFERROR(__xludf.DUMMYFUNCTION("IF
(
C6821=""фізична особа""
,
VLOOKUP(D6821,IMPORTRANGE(""https://docs.google.com/spreadsheets/d/14Bd19lYaqBhU8_DElYkX7l4wRkHqqCUFNJY4AfY3kHU/edit?usp=sharing  #gid=0"",""фіз особи new!relations_name""),6,FALSE)
,
(IF
(
C6821=""юридична особа""
,
VLOOKUP"&amp;"(D6821,IMPORTRANGE(""https://docs.google.com/spreadsheets/d/14Bd19lYaqBhU8_DElYkX7l4wRkHqqCUFNJY4AfY3kHU/edit?usp=sharing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G6820" s="7" t="s">
        <v>10</v>
      </c>
      <c r="H6820" s="7">
        <v>0</v>
      </c>
      <c r="I6820" s="8" t="str">
        <f ca="1">IFERROR(__xludf.DUMMYFUNCTION("IF
(
G6821=""фізична особа""
,
VLOOKUP(H6821,IMPORTRANGE(""https://docs.google.com/spreadsheets/d/14Bd19lYaqBhU8_DElYkX7l4wRkHqqCUFNJY4AfY3kHU/edit?usp=sharing  #gid=0"",""фіз особи new!relations_name""),6,FALSE)
,
(IF
(
G6821=""юридична особа""
,
VLOOKUP"&amp;"(H6821,IMPORTRANGE(""https://docs.google.com/spreadsheets/d/14Bd19lYaqBhU8_DElYkX7l4wRkHqqCUFNJY4AfY3kHU/edit?usp=sharing  #gid=0"",""фіз особи new!relations_name_uo""),7,FALSE)
,
)
))"),"#N/A")</f>
        <v>#N/A</v>
      </c>
      <c r="J6820" s="7" t="s">
        <v>30</v>
      </c>
    </row>
    <row r="6821" spans="1:10" ht="13.2">
      <c r="A6821" s="7">
        <v>6820</v>
      </c>
      <c r="B6821" s="7">
        <v>1</v>
      </c>
      <c r="C6821" s="7" t="s">
        <v>10</v>
      </c>
      <c r="D6821" s="7">
        <v>6227</v>
      </c>
      <c r="E6821" s="7" t="s">
        <v>30</v>
      </c>
      <c r="F6821" s="8" t="str">
        <f ca="1">IFERROR(__xludf.DUMMYFUNCTION("IF
(
C6822=""фізична особа""
,
VLOOKUP(D6822,IMPORTRANGE(""https://docs.google.com/spreadsheets/d/14Bd19lYaqBhU8_DElYkX7l4wRkHqqCUFNJY4AfY3kHU/edit?usp=sharing  #gid=0"",""фіз особи new!relations_name""),6,FALSE)
,
(IF
(
C6822=""юридична особа""
,
VLOOKUP"&amp;"(D6822,IMPORTRANGE(""https://docs.google.com/spreadsheets/d/14Bd19lYaqBhU8_DElYkX7l4wRkHqqCUFNJY4AfY3kHU/edit?usp=sharing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G6821" s="7" t="s">
        <v>10</v>
      </c>
      <c r="H6821" s="7">
        <v>23559</v>
      </c>
      <c r="I6821" s="8" t="str">
        <f ca="1">IFERROR(__xludf.DUMMYFUNCTION("IF
(
G6822=""фізична особа""
,
VLOOKUP(H6822,IMPORTRANGE(""https://docs.google.com/spreadsheets/d/14Bd19lYaqBhU8_DElYkX7l4wRkHqqCUFNJY4AfY3kHU/edit?usp=sharing  #gid=0"",""фіз особи new!relations_name""),6,FALSE)
,
(IF
(
G6822=""юридична особа""
,
VLOOKUP"&amp;"(H6822,IMPORTRANGE(""https://docs.google.com/spreadsheets/d/14Bd19lYaqBhU8_DElYkX7l4wRkHqqCUFNJY4AfY3kHU/edit?usp=sharing  #gid=0"",""фіз особи new!relations_name_uo""),7,FALSE)
,
)
))"),"БАШИПЛИКЧИ Айкан")</f>
        <v>БАШИПЛИКЧИ Айкан</v>
      </c>
      <c r="J6821" s="7" t="s">
        <v>30</v>
      </c>
    </row>
    <row r="6822" spans="1:10" ht="13.2">
      <c r="A6822" s="7">
        <v>6821</v>
      </c>
      <c r="B6822" s="7">
        <v>1</v>
      </c>
      <c r="C6822" s="7" t="s">
        <v>10</v>
      </c>
      <c r="D6822" s="7">
        <v>6227</v>
      </c>
      <c r="E6822" s="7" t="s">
        <v>30</v>
      </c>
      <c r="F6822" s="8" t="str">
        <f ca="1">IFERROR(__xludf.DUMMYFUNCTION("IF
(
C6823=""фізична особа""
,
VLOOKUP(D6823,IMPORTRANGE(""https://docs.google.com/spreadsheets/d/14Bd19lYaqBhU8_DElYkX7l4wRkHqqCUFNJY4AfY3kHU/edit?usp=sharing  #gid=0"",""фіз особи new!relations_name""),6,FALSE)
,
(IF
(
C6823=""юридична особа""
,
VLOOKUP"&amp;"(D6823,IMPORTRANGE(""https://docs.google.com/spreadsheets/d/14Bd19lYaqBhU8_DElYkX7l4wRkHqqCUFNJY4AfY3kHU/edit?usp=sharing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G6822" s="7" t="s">
        <v>10</v>
      </c>
      <c r="H6822" s="7">
        <v>23559</v>
      </c>
      <c r="I6822" s="8" t="str">
        <f ca="1">IFERROR(__xludf.DUMMYFUNCTION("IF
(
G6823=""фізична особа""
,
VLOOKUP(H6823,IMPORTRANGE(""https://docs.google.com/spreadsheets/d/14Bd19lYaqBhU8_DElYkX7l4wRkHqqCUFNJY4AfY3kHU/edit?usp=sharing  #gid=0"",""фіз особи new!relations_name""),6,FALSE)
,
(IF
(
G6823=""юридична особа""
,
VLOOKUP"&amp;"(H6823,IMPORTRANGE(""https://docs.google.com/spreadsheets/d/14Bd19lYaqBhU8_DElYkX7l4wRkHqqCUFNJY4AfY3kHU/edit?usp=sharing  #gid=0"",""фіз особи new!relations_name_uo""),7,FALSE)
,
)
))"),"БАШИПЛИКЧИ Айкан")</f>
        <v>БАШИПЛИКЧИ Айкан</v>
      </c>
      <c r="J6822" s="7" t="s">
        <v>30</v>
      </c>
    </row>
    <row r="6823" spans="1:10" ht="13.2">
      <c r="A6823" s="7">
        <v>6822</v>
      </c>
      <c r="B6823" s="7">
        <v>1</v>
      </c>
      <c r="C6823" s="7" t="s">
        <v>10</v>
      </c>
      <c r="D6823" s="7">
        <v>6227</v>
      </c>
      <c r="E6823" s="7" t="s">
        <v>30</v>
      </c>
      <c r="F6823" s="8" t="str">
        <f ca="1">IFERROR(__xludf.DUMMYFUNCTION("IF
(
C6824=""фізична особа""
,
VLOOKUP(D6824,IMPORTRANGE(""https://docs.google.com/spreadsheets/d/14Bd19lYaqBhU8_DElYkX7l4wRkHqqCUFNJY4AfY3kHU/edit?usp=sharing  #gid=0"",""фіз особи new!relations_name""),6,FALSE)
,
(IF
(
C6824=""юридична особа""
,
VLOOKUP"&amp;"(D6824,IMPORTRANGE(""https://docs.google.com/spreadsheets/d/14Bd19lYaqBhU8_DElYkX7l4wRkHqqCUFNJY4AfY3kHU/edit?usp=sharing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G6823" s="7" t="s">
        <v>10</v>
      </c>
      <c r="H6823" s="7">
        <v>0</v>
      </c>
      <c r="I6823" s="8" t="str">
        <f ca="1">IFERROR(__xludf.DUMMYFUNCTION("IF
(
G6824=""фізична особа""
,
VLOOKUP(H6824,IMPORTRANGE(""https://docs.google.com/spreadsheets/d/14Bd19lYaqBhU8_DElYkX7l4wRkHqqCUFNJY4AfY3kHU/edit?usp=sharing  #gid=0"",""фіз особи new!relations_name""),6,FALSE)
,
(IF
(
G6824=""юридична особа""
,
VLOOKUP"&amp;"(H6824,IMPORTRANGE(""https://docs.google.com/spreadsheets/d/14Bd19lYaqBhU8_DElYkX7l4wRkHqqCUFNJY4AfY3kHU/edit?usp=sharing  #gid=0"",""фіз особи new!relations_name_uo""),7,FALSE)
,
)
))"),"#N/A")</f>
        <v>#N/A</v>
      </c>
      <c r="J6823" s="7" t="s">
        <v>30</v>
      </c>
    </row>
    <row r="6824" spans="1:10" ht="13.2">
      <c r="A6824" s="7">
        <v>6823</v>
      </c>
      <c r="B6824" s="7">
        <v>1</v>
      </c>
      <c r="C6824" s="7" t="s">
        <v>10</v>
      </c>
      <c r="D6824" s="7">
        <v>6228</v>
      </c>
      <c r="E6824" s="7" t="s">
        <v>28</v>
      </c>
      <c r="F6824" s="8" t="str">
        <f ca="1">IFERROR(__xludf.DUMMYFUNCTION("IF
(
C6825=""фізична особа""
,
VLOOKUP(D6825,IMPORTRANGE(""https://docs.google.com/spreadsheets/d/14Bd19lYaqBhU8_DElYkX7l4wRkHqqCUFNJY4AfY3kHU/edit?usp=sharing  #gid=0"",""фіз особи new!relations_name""),6,FALSE)
,
(IF
(
C6825=""юридична особа""
,
VLOOKUP"&amp;"(D6825,IMPORTRANGE(""https://docs.google.com/spreadsheets/d/14Bd19lYaqBhU8_DElYkX7l4wRkHqqCUFNJY4AfY3kHU/edit?usp=sharing  #gid=0"",""фіз особи new!relations_name_uo""),7,FALSE)
,
)
))"),"ОЗЙЕГІН Хюсню Мустафа")</f>
        <v>ОЗЙЕГІН Хюсню Мустафа</v>
      </c>
      <c r="G6824" s="7" t="s">
        <v>10</v>
      </c>
      <c r="H6824" s="7">
        <v>6227</v>
      </c>
      <c r="I6824" s="8" t="str">
        <f ca="1">IFERROR(__xludf.DUMMYFUNCTION("IF
(
G6825=""фізична особа""
,
VLOOKUP(H6825,IMPORTRANGE(""https://docs.google.com/spreadsheets/d/14Bd19lYaqBhU8_DElYkX7l4wRkHqqCUFNJY4AfY3kHU/edit?usp=sharing  #gid=0"",""фіз особи new!relations_name""),6,FALSE)
,
(IF
(
G6825=""юридична особа""
,
VLOOKUP"&amp;"(H6825,IMPORTRANGE(""https://docs.google.com/spreadsheets/d/14Bd19lYaqBhU8_DElYkX7l4wRkHqqCUFNJY4AfY3kHU/edit?usp=sharing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J6824" s="7" t="s">
        <v>29</v>
      </c>
    </row>
    <row r="6825" spans="1:10" ht="13.2">
      <c r="A6825" s="7">
        <v>6824</v>
      </c>
      <c r="B6825" s="7">
        <v>1</v>
      </c>
      <c r="C6825" s="7" t="s">
        <v>10</v>
      </c>
      <c r="D6825" s="7">
        <v>6235</v>
      </c>
      <c r="E6825" s="7" t="s">
        <v>30</v>
      </c>
      <c r="F6825" s="8" t="str">
        <f ca="1">IFERROR(__xludf.DUMMYFUNCTION("IF
(
C6826=""фізична особа""
,
VLOOKUP(D6826,IMPORTRANGE(""https://docs.google.com/spreadsheets/d/14Bd19lYaqBhU8_DElYkX7l4wRkHqqCUFNJY4AfY3kHU/edit?usp=sharing  #gid=0"",""фіз особи new!relations_name""),6,FALSE)
,
(IF
(
C6826=""юридична особа""
,
VLOOKUP"&amp;"(D6826,IMPORTRANGE(""https://docs.google.com/spreadsheets/d/14Bd19lYaqBhU8_DElYkX7l4wRkHqqCUFNJY4AfY3kHU/edit?usp=sharing  #gid=0"",""фіз особи new!relations_name_uo""),7,FALSE)
,
)
))"),"ДЕРО Ксав'є Жерар")</f>
        <v>ДЕРО Ксав'є Жерар</v>
      </c>
      <c r="G6825" s="7" t="s">
        <v>10</v>
      </c>
      <c r="H6825" s="7">
        <v>2545</v>
      </c>
      <c r="I6825" s="8" t="str">
        <f ca="1">IFERROR(__xludf.DUMMYFUNCTION("IF
(
G6826=""фізична особа""
,
VLOOKUP(H6826,IMPORTRANGE(""https://docs.google.com/spreadsheets/d/14Bd19lYaqBhU8_DElYkX7l4wRkHqqCUFNJY4AfY3kHU/edit?usp=sharing  #gid=0"",""фіз особи new!relations_name""),6,FALSE)
,
(IF
(
G6826=""юридична особа""
,
VLOOKUP"&amp;"(H6826,IMPORTRANGE(""https://docs.google.com/spreadsheets/d/14Bd19lYaqBhU8_DElYkX7l4wRkHqqCUFNJY4AfY3kHU/edit?usp=sharing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6825" s="7" t="s">
        <v>30</v>
      </c>
    </row>
    <row r="6826" spans="1:10" ht="13.2">
      <c r="A6826" s="7">
        <v>6825</v>
      </c>
      <c r="B6826" s="7">
        <v>1</v>
      </c>
      <c r="C6826" s="7" t="s">
        <v>10</v>
      </c>
      <c r="D6826" s="7">
        <v>6236</v>
      </c>
      <c r="E6826" s="7" t="s">
        <v>30</v>
      </c>
      <c r="F6826" s="8" t="str">
        <f ca="1">IFERROR(__xludf.DUMMYFUNCTION("IF
(
C6827=""фізична особа""
,
VLOOKUP(D6827,IMPORTRANGE(""https://docs.google.com/spreadsheets/d/14Bd19lYaqBhU8_DElYkX7l4wRkHqqCUFNJY4AfY3kHU/edit?usp=sharing  #gid=0"",""фіз особи new!relations_name""),6,FALSE)
,
(IF
(
C6827=""юридична особа""
,
VLOOKUP"&amp;"(D6827,IMPORTRANGE(""https://docs.google.com/spreadsheets/d/14Bd19lYaqBhU8_DElYkX7l4wRkHqqCUFNJY4AfY3kHU/edit?usp=sharing  #gid=0"",""фіз особи new!relations_name_uo""),7,FALSE)
,
)
))"),"САНТІНІ Стефано")</f>
        <v>САНТІНІ Стефано</v>
      </c>
      <c r="G6826" s="7" t="s">
        <v>10</v>
      </c>
      <c r="H6826" s="7">
        <v>1386</v>
      </c>
      <c r="I6826" s="8" t="str">
        <f ca="1">IFERROR(__xludf.DUMMYFUNCTION("IF
(
G6827=""фізична особа""
,
VLOOKUP(H6827,IMPORTRANGE(""https://docs.google.com/spreadsheets/d/14Bd19lYaqBhU8_DElYkX7l4wRkHqqCUFNJY4AfY3kHU/edit?usp=sharing  #gid=0"",""фіз особи new!relations_name""),6,FALSE)
,
(IF
(
G6827=""юридична особа""
,
VLOOKUP"&amp;"(H6827,IMPORTRANGE(""https://docs.google.com/spreadsheets/d/14Bd19lYaqBhU8_DElYkX7l4wRkHqqCUFNJY4AfY3kHU/edit?usp=sharing  #gid=0"",""фіз особи new!relations_name_uo""),7,FALSE)
,
)
))"),"АЛЄКСЄЄВ Михайло Юрійович")</f>
        <v>АЛЄКСЄЄВ Михайло Юрійович</v>
      </c>
      <c r="J6826" s="7" t="s">
        <v>30</v>
      </c>
    </row>
    <row r="6827" spans="1:10" ht="13.2">
      <c r="A6827" s="7">
        <v>6826</v>
      </c>
      <c r="B6827" s="7">
        <v>1</v>
      </c>
      <c r="C6827" s="7" t="s">
        <v>10</v>
      </c>
      <c r="D6827" s="7">
        <v>6239</v>
      </c>
      <c r="E6827" s="7" t="s">
        <v>30</v>
      </c>
      <c r="F6827" s="8" t="str">
        <f ca="1">IFERROR(__xludf.DUMMYFUNCTION("IF
(
C6828=""фізична особа""
,
VLOOKUP(D6828,IMPORTRANGE(""https://docs.google.com/spreadsheets/d/14Bd19lYaqBhU8_DElYkX7l4wRkHqqCUFNJY4AfY3kHU/edit?usp=sharing  #gid=0"",""фіз особи new!relations_name""),6,FALSE)
,
(IF
(
C6828=""юридична особа""
,
VLOOKUP"&amp;"(D6828,IMPORTRANGE(""https://docs.google.com/spreadsheets/d/14Bd19lYaqBhU8_DElYkX7l4wRkHqqCUFNJY4AfY3kHU/edit?usp=sharing  #gid=0"",""фіз особи new!relations_name_uo""),7,FALSE)
,
)
))"),"СОСНОВСЬКИЙ Михайло Олександрович")</f>
        <v>СОСНОВСЬКИЙ Михайло Олександрович</v>
      </c>
      <c r="G6827" s="7" t="s">
        <v>10</v>
      </c>
      <c r="H6827" s="7">
        <v>2045</v>
      </c>
      <c r="I6827" s="8" t="str">
        <f ca="1">IFERROR(__xludf.DUMMYFUNCTION("IF
(
G6828=""фізична особа""
,
VLOOKUP(H6828,IMPORTRANGE(""https://docs.google.com/spreadsheets/d/14Bd19lYaqBhU8_DElYkX7l4wRkHqqCUFNJY4AfY3kHU/edit?usp=sharing  #gid=0"",""фіз особи new!relations_name""),6,FALSE)
,
(IF
(
G6828=""юридична особа""
,
VLOOKUP"&amp;"(H6828,IMPORTRANGE(""https://docs.google.com/spreadsheets/d/14Bd19lYaqBhU8_DElYkX7l4wRkHqqCUFNJY4AfY3kHU/edit?usp=sharing  #gid=0"",""фіз особи new!relations_name_uo""),7,FALSE)
,
)
))"),"ПРОХОРОВ Михайло Дмитрович")</f>
        <v>ПРОХОРОВ Михайло Дмитрович</v>
      </c>
      <c r="J6827" s="7" t="s">
        <v>30</v>
      </c>
    </row>
    <row r="6828" spans="1:10" ht="13.2">
      <c r="A6828" s="7">
        <v>6827</v>
      </c>
      <c r="B6828" s="7">
        <v>1</v>
      </c>
      <c r="C6828" s="7" t="s">
        <v>10</v>
      </c>
      <c r="D6828" s="7">
        <v>6239</v>
      </c>
      <c r="E6828" s="7" t="s">
        <v>28</v>
      </c>
      <c r="F6828" s="8" t="str">
        <f ca="1">IFERROR(__xludf.DUMMYFUNCTION("IF
(
C6829=""фізична особа""
,
VLOOKUP(D6829,IMPORTRANGE(""https://docs.google.com/spreadsheets/d/14Bd19lYaqBhU8_DElYkX7l4wRkHqqCUFNJY4AfY3kHU/edit?usp=sharing  #gid=0"",""фіз особи new!relations_name""),6,FALSE)
,
(IF
(
C6829=""юридична особа""
,
VLOOKUP"&amp;"(D6829,IMPORTRANGE(""https://docs.google.com/spreadsheets/d/14Bd19lYaqBhU8_DElYkX7l4wRkHqqCUFNJY4AfY3kHU/edit?usp=sharing  #gid=0"",""фіз особи new!relations_name_uo""),7,FALSE)
,
)
))"),"СОСНОВСЬКИЙ Михайло Олександрович")</f>
        <v>СОСНОВСЬКИЙ Михайло Олександрович</v>
      </c>
      <c r="G6828" s="7" t="s">
        <v>10</v>
      </c>
      <c r="H6828" s="7">
        <v>6238</v>
      </c>
      <c r="I6828" s="8" t="str">
        <f ca="1">IFERROR(__xludf.DUMMYFUNCTION("IF
(
G6829=""фізична особа""
,
VLOOKUP(H6829,IMPORTRANGE(""https://docs.google.com/spreadsheets/d/14Bd19lYaqBhU8_DElYkX7l4wRkHqqCUFNJY4AfY3kHU/edit?usp=sharing  #gid=0"",""фіз особи new!relations_name""),6,FALSE)
,
(IF
(
G6829=""юридична особа""
,
VLOOKUP"&amp;"(H6829,IMPORTRANGE(""https://docs.google.com/spreadsheets/d/14Bd19lYaqBhU8_DElYkX7l4wRkHqqCUFNJY4AfY3kHU/edit?usp=sharing  #gid=0"",""фіз особи new!relations_name_uo""),7,FALSE)
,
)
))"),"РАЗУМОВ Дмитро Валерійович")</f>
        <v>РАЗУМОВ Дмитро Валерійович</v>
      </c>
      <c r="J6828" s="7" t="s">
        <v>29</v>
      </c>
    </row>
    <row r="6829" spans="1:10" ht="13.2">
      <c r="A6829" s="7">
        <v>6828</v>
      </c>
      <c r="B6829" s="7">
        <v>1</v>
      </c>
      <c r="C6829" s="7" t="s">
        <v>10</v>
      </c>
      <c r="D6829" s="7">
        <v>6246</v>
      </c>
      <c r="E6829" s="7" t="s">
        <v>30</v>
      </c>
      <c r="F6829" s="8" t="str">
        <f ca="1">IFERROR(__xludf.DUMMYFUNCTION("IF
(
C6830=""фізична особа""
,
VLOOKUP(D6830,IMPORTRANGE(""https://docs.google.com/spreadsheets/d/14Bd19lYaqBhU8_DElYkX7l4wRkHqqCUFNJY4AfY3kHU/edit?usp=sharing  #gid=0"",""фіз особи new!relations_name""),6,FALSE)
,
(IF
(
C6830=""юридична особа""
,
VLOOKUP"&amp;"(D6830,IMPORTRANGE(""https://docs.google.com/spreadsheets/d/14Bd19lYaqBhU8_DElYkX7l4wRkHqqCUFNJY4AfY3kHU/edit?usp=sharing  #gid=0"",""фіз особи new!relations_name_uo""),7,FALSE)
,
)
))"),"ЯБЛОНСЬКИЙ Анатолій Володимирович")</f>
        <v>ЯБЛОНСЬКИЙ Анатолій Володимирович</v>
      </c>
      <c r="G6829" s="7" t="s">
        <v>10</v>
      </c>
      <c r="H6829" s="7">
        <v>2288</v>
      </c>
      <c r="I6829" s="8" t="str">
        <f ca="1">IFERROR(__xludf.DUMMYFUNCTION("IF
(
G6830=""фізична особа""
,
VLOOKUP(H6830,IMPORTRANGE(""https://docs.google.com/spreadsheets/d/14Bd19lYaqBhU8_DElYkX7l4wRkHqqCUFNJY4AfY3kHU/edit?usp=sharing  #gid=0"",""фіз особи new!relations_name""),6,FALSE)
,
(IF
(
G6830=""юридична особа""
,
VLOOKUP"&amp;"(H6830,IMPORTRANGE(""https://docs.google.com/spreadsheets/d/14Bd19lYaqBhU8_DElYkX7l4wRkHqqCUFNJY4AfY3kHU/edit?usp=sharing  #gid=0"",""фіз особи new!relations_name_uo""),7,FALSE)
,
)
))"),"ТРАБЕР Ілля Ілліч")</f>
        <v>ТРАБЕР Ілля Ілліч</v>
      </c>
      <c r="J6829" s="7" t="s">
        <v>30</v>
      </c>
    </row>
    <row r="6830" spans="1:10" ht="13.2">
      <c r="A6830" s="7">
        <v>6829</v>
      </c>
      <c r="B6830" s="7">
        <v>1</v>
      </c>
      <c r="C6830" s="7" t="s">
        <v>10</v>
      </c>
      <c r="D6830" s="7">
        <v>6246</v>
      </c>
      <c r="E6830" s="7" t="s">
        <v>30</v>
      </c>
      <c r="F6830" s="8" t="str">
        <f ca="1">IFERROR(__xludf.DUMMYFUNCTION("IF
(
C6831=""фізична особа""
,
VLOOKUP(D6831,IMPORTRANGE(""https://docs.google.com/spreadsheets/d/14Bd19lYaqBhU8_DElYkX7l4wRkHqqCUFNJY4AfY3kHU/edit?usp=sharing  #gid=0"",""фіз особи new!relations_name""),6,FALSE)
,
(IF
(
C6831=""юридична особа""
,
VLOOKUP"&amp;"(D6831,IMPORTRANGE(""https://docs.google.com/spreadsheets/d/14Bd19lYaqBhU8_DElYkX7l4wRkHqqCUFNJY4AfY3kHU/edit?usp=sharing  #gid=0"",""фіз особи new!relations_name_uo""),7,FALSE)
,
)
))"),"ЯБЛОНСЬКИЙ Анатолій Володимирович")</f>
        <v>ЯБЛОНСЬКИЙ Анатолій Володимирович</v>
      </c>
      <c r="G6830" s="7" t="s">
        <v>10</v>
      </c>
      <c r="H6830" s="7">
        <v>0</v>
      </c>
      <c r="I6830" s="8" t="str">
        <f ca="1">IFERROR(__xludf.DUMMYFUNCTION("IF
(
G6831=""фізична особа""
,
VLOOKUP(H6831,IMPORTRANGE(""https://docs.google.com/spreadsheets/d/14Bd19lYaqBhU8_DElYkX7l4wRkHqqCUFNJY4AfY3kHU/edit?usp=sharing  #gid=0"",""фіз особи new!relations_name""),6,FALSE)
,
(IF
(
G6831=""юридична особа""
,
VLOOKUP"&amp;"(H6831,IMPORTRANGE(""https://docs.google.com/spreadsheets/d/14Bd19lYaqBhU8_DElYkX7l4wRkHqqCUFNJY4AfY3kHU/edit?usp=sharing  #gid=0"",""фіз особи new!relations_name_uo""),7,FALSE)
,
)
))"),"#N/A")</f>
        <v>#N/A</v>
      </c>
      <c r="J6830" s="7" t="s">
        <v>30</v>
      </c>
    </row>
    <row r="6831" spans="1:10" ht="13.2">
      <c r="A6831" s="7">
        <v>6830</v>
      </c>
      <c r="B6831" s="7">
        <v>1</v>
      </c>
      <c r="C6831" s="7" t="s">
        <v>10</v>
      </c>
      <c r="D6831" s="7">
        <v>6246</v>
      </c>
      <c r="E6831" s="7" t="s">
        <v>16</v>
      </c>
      <c r="F6831" s="8" t="str">
        <f ca="1">IFERROR(__xludf.DUMMYFUNCTION("IF
(
C6832=""фізична особа""
,
VLOOKUP(D6832,IMPORTRANGE(""https://docs.google.com/spreadsheets/d/14Bd19lYaqBhU8_DElYkX7l4wRkHqqCUFNJY4AfY3kHU/edit?usp=sharing  #gid=0"",""фіз особи new!relations_name""),6,FALSE)
,
(IF
(
C6832=""юридична особа""
,
VLOOKUP"&amp;"(D6832,IMPORTRANGE(""https://docs.google.com/spreadsheets/d/14Bd19lYaqBhU8_DElYkX7l4wRkHqqCUFNJY4AfY3kHU/edit?usp=sharing  #gid=0"",""фіз особи new!relations_name_uo""),7,FALSE)
,
)
))"),"ЯБЛОНСЬКИЙ Анатолій Володимирович")</f>
        <v>ЯБЛОНСЬКИЙ Анатолій Володимирович</v>
      </c>
      <c r="G6831" s="7" t="s">
        <v>10</v>
      </c>
      <c r="H6831" s="7">
        <v>0</v>
      </c>
      <c r="I6831" s="8" t="str">
        <f ca="1">IFERROR(__xludf.DUMMYFUNCTION("IF
(
G6832=""фізична особа""
,
VLOOKUP(H6832,IMPORTRANGE(""https://docs.google.com/spreadsheets/d/14Bd19lYaqBhU8_DElYkX7l4wRkHqqCUFNJY4AfY3kHU/edit?usp=sharing  #gid=0"",""фіз особи new!relations_name""),6,FALSE)
,
(IF
(
G6832=""юридична особа""
,
VLOOKUP"&amp;"(H6832,IMPORTRANGE(""https://docs.google.com/spreadsheets/d/14Bd19lYaqBhU8_DElYkX7l4wRkHqqCUFNJY4AfY3kHU/edit?usp=sharing  #gid=0"",""фіз особи new!relations_name_uo""),7,FALSE)
,
)
))"),"#N/A")</f>
        <v>#N/A</v>
      </c>
      <c r="J6831" s="7" t="s">
        <v>16</v>
      </c>
    </row>
    <row r="6832" spans="1:10" ht="13.2">
      <c r="A6832" s="7">
        <v>6831</v>
      </c>
      <c r="B6832" s="7">
        <v>1</v>
      </c>
      <c r="C6832" s="7" t="s">
        <v>10</v>
      </c>
      <c r="D6832" s="7">
        <v>6246</v>
      </c>
      <c r="E6832" s="7" t="s">
        <v>30</v>
      </c>
      <c r="F6832" s="8" t="str">
        <f ca="1">IFERROR(__xludf.DUMMYFUNCTION("IF
(
C6833=""фізична особа""
,
VLOOKUP(D6833,IMPORTRANGE(""https://docs.google.com/spreadsheets/d/14Bd19lYaqBhU8_DElYkX7l4wRkHqqCUFNJY4AfY3kHU/edit?usp=sharing  #gid=0"",""фіз особи new!relations_name""),6,FALSE)
,
(IF
(
C6833=""юридична особа""
,
VLOOKUP"&amp;"(D6833,IMPORTRANGE(""https://docs.google.com/spreadsheets/d/14Bd19lYaqBhU8_DElYkX7l4wRkHqqCUFNJY4AfY3kHU/edit?usp=sharing  #gid=0"",""фіз особи new!relations_name_uo""),7,FALSE)
,
)
))"),"ЯБЛОНСЬКИЙ Анатолій Володимирович")</f>
        <v>ЯБЛОНСЬКИЙ Анатолій Володимирович</v>
      </c>
      <c r="G6832" s="7" t="s">
        <v>10</v>
      </c>
      <c r="H6832" s="7">
        <v>0</v>
      </c>
      <c r="I6832" s="8" t="str">
        <f ca="1">IFERROR(__xludf.DUMMYFUNCTION("IF
(
G6833=""фізична особа""
,
VLOOKUP(H6833,IMPORTRANGE(""https://docs.google.com/spreadsheets/d/14Bd19lYaqBhU8_DElYkX7l4wRkHqqCUFNJY4AfY3kHU/edit?usp=sharing  #gid=0"",""фіз особи new!relations_name""),6,FALSE)
,
(IF
(
G6833=""юридична особа""
,
VLOOKUP"&amp;"(H6833,IMPORTRANGE(""https://docs.google.com/spreadsheets/d/14Bd19lYaqBhU8_DElYkX7l4wRkHqqCUFNJY4AfY3kHU/edit?usp=sharing  #gid=0"",""фіз особи new!relations_name_uo""),7,FALSE)
,
)
))"),"#N/A")</f>
        <v>#N/A</v>
      </c>
      <c r="J6832" s="7" t="s">
        <v>30</v>
      </c>
    </row>
    <row r="6833" spans="1:10" ht="13.2">
      <c r="A6833" s="7">
        <v>6832</v>
      </c>
      <c r="B6833" s="7">
        <v>1</v>
      </c>
      <c r="C6833" s="7" t="s">
        <v>10</v>
      </c>
      <c r="D6833" s="7">
        <v>6277</v>
      </c>
      <c r="E6833" s="7" t="s">
        <v>30</v>
      </c>
      <c r="F6833" s="8" t="str">
        <f ca="1">IFERROR(__xludf.DUMMYFUNCTION("IF
(
C6834=""фізична особа""
,
VLOOKUP(D6834,IMPORTRANGE(""https://docs.google.com/spreadsheets/d/14Bd19lYaqBhU8_DElYkX7l4wRkHqqCUFNJY4AfY3kHU/edit?usp=sharing  #gid=0"",""фіз особи new!relations_name""),6,FALSE)
,
(IF
(
C6834=""юридична особа""
,
VLOOKUP"&amp;"(D6834,IMPORTRANGE(""https://docs.google.com/spreadsheets/d/14Bd19lYaqBhU8_DElYkX7l4wRkHqqCUFNJY4AfY3kHU/edit?usp=sharing  #gid=0"",""фіз особи new!relations_name_uo""),7,FALSE)
,
)
))"),"КОНДРАШОВ Андрій Олександрович")</f>
        <v>КОНДРАШОВ Андрій Олександрович</v>
      </c>
      <c r="G6833" s="7" t="s">
        <v>10</v>
      </c>
      <c r="H6833" s="7">
        <v>0</v>
      </c>
      <c r="I6833" s="8" t="str">
        <f ca="1">IFERROR(__xludf.DUMMYFUNCTION("IF
(
G6834=""фізична особа""
,
VLOOKUP(H6834,IMPORTRANGE(""https://docs.google.com/spreadsheets/d/14Bd19lYaqBhU8_DElYkX7l4wRkHqqCUFNJY4AfY3kHU/edit?usp=sharing  #gid=0"",""фіз особи new!relations_name""),6,FALSE)
,
(IF
(
G6834=""юридична особа""
,
VLOOKUP"&amp;"(H6834,IMPORTRANGE(""https://docs.google.com/spreadsheets/d/14Bd19lYaqBhU8_DElYkX7l4wRkHqqCUFNJY4AfY3kHU/edit?usp=sharing  #gid=0"",""фіз особи new!relations_name_uo""),7,FALSE)
,
)
))"),"#N/A")</f>
        <v>#N/A</v>
      </c>
      <c r="J6833" s="7" t="s">
        <v>30</v>
      </c>
    </row>
    <row r="6834" spans="1:10" ht="13.2">
      <c r="A6834" s="7">
        <v>6833</v>
      </c>
      <c r="B6834" s="7">
        <v>1</v>
      </c>
      <c r="C6834" s="7" t="s">
        <v>10</v>
      </c>
      <c r="D6834" s="7">
        <v>6278</v>
      </c>
      <c r="E6834" s="7" t="s">
        <v>30</v>
      </c>
      <c r="F6834" s="8" t="str">
        <f ca="1">IFERROR(__xludf.DUMMYFUNCTION("IF
(
C6835=""фізична особа""
,
VLOOKUP(D6835,IMPORTRANGE(""https://docs.google.com/spreadsheets/d/14Bd19lYaqBhU8_DElYkX7l4wRkHqqCUFNJY4AfY3kHU/edit?usp=sharing  #gid=0"",""фіз особи new!relations_name""),6,FALSE)
,
(IF
(
C6835=""юридична особа""
,
VLOOKUP"&amp;"(D6835,IMPORTRANGE(""https://docs.google.com/spreadsheets/d/14Bd19lYaqBhU8_DElYkX7l4wRkHqqCUFNJY4AfY3kHU/edit?usp=sharing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4" s="7" t="s">
        <v>10</v>
      </c>
      <c r="H6834" s="7">
        <v>0</v>
      </c>
      <c r="I6834" s="8" t="str">
        <f ca="1">IFERROR(__xludf.DUMMYFUNCTION("IF
(
G6835=""фізична особа""
,
VLOOKUP(H6835,IMPORTRANGE(""https://docs.google.com/spreadsheets/d/14Bd19lYaqBhU8_DElYkX7l4wRkHqqCUFNJY4AfY3kHU/edit?usp=sharing  #gid=0"",""фіз особи new!relations_name""),6,FALSE)
,
(IF
(
G6835=""юридична особа""
,
VLOOKUP"&amp;"(H6835,IMPORTRANGE(""https://docs.google.com/spreadsheets/d/14Bd19lYaqBhU8_DElYkX7l4wRkHqqCUFNJY4AfY3kHU/edit?usp=sharing  #gid=0"",""фіз особи new!relations_name_uo""),7,FALSE)
,
)
))"),"#N/A")</f>
        <v>#N/A</v>
      </c>
      <c r="J6834" s="7" t="s">
        <v>30</v>
      </c>
    </row>
    <row r="6835" spans="1:10" ht="13.2">
      <c r="A6835" s="7">
        <v>6834</v>
      </c>
      <c r="B6835" s="7">
        <v>1</v>
      </c>
      <c r="C6835" s="7" t="s">
        <v>10</v>
      </c>
      <c r="D6835" s="7">
        <v>6278</v>
      </c>
      <c r="E6835" s="7" t="s">
        <v>30</v>
      </c>
      <c r="F6835" s="8" t="str">
        <f ca="1">IFERROR(__xludf.DUMMYFUNCTION("IF
(
C6836=""фізична особа""
,
VLOOKUP(D6836,IMPORTRANGE(""https://docs.google.com/spreadsheets/d/14Bd19lYaqBhU8_DElYkX7l4wRkHqqCUFNJY4AfY3kHU/edit?usp=sharing  #gid=0"",""фіз особи new!relations_name""),6,FALSE)
,
(IF
(
C6836=""юридична особа""
,
VLOOKUP"&amp;"(D6836,IMPORTRANGE(""https://docs.google.com/spreadsheets/d/14Bd19lYaqBhU8_DElYkX7l4wRkHqqCUFNJY4AfY3kHU/edit?usp=sharing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5" s="7" t="s">
        <v>10</v>
      </c>
      <c r="H6835" s="7">
        <v>0</v>
      </c>
      <c r="I6835" s="8" t="str">
        <f ca="1">IFERROR(__xludf.DUMMYFUNCTION("IF
(
G6836=""фізична особа""
,
VLOOKUP(H6836,IMPORTRANGE(""https://docs.google.com/spreadsheets/d/14Bd19lYaqBhU8_DElYkX7l4wRkHqqCUFNJY4AfY3kHU/edit?usp=sharing  #gid=0"",""фіз особи new!relations_name""),6,FALSE)
,
(IF
(
G6836=""юридична особа""
,
VLOOKUP"&amp;"(H6836,IMPORTRANGE(""https://docs.google.com/spreadsheets/d/14Bd19lYaqBhU8_DElYkX7l4wRkHqqCUFNJY4AfY3kHU/edit?usp=sharing  #gid=0"",""фіз особи new!relations_name_uo""),7,FALSE)
,
)
))"),"#N/A")</f>
        <v>#N/A</v>
      </c>
      <c r="J6835" s="7" t="s">
        <v>30</v>
      </c>
    </row>
    <row r="6836" spans="1:10" ht="13.2">
      <c r="A6836" s="7">
        <v>6835</v>
      </c>
      <c r="B6836" s="7">
        <v>1</v>
      </c>
      <c r="C6836" s="7" t="s">
        <v>10</v>
      </c>
      <c r="D6836" s="7">
        <v>6278</v>
      </c>
      <c r="E6836" s="7" t="s">
        <v>12</v>
      </c>
      <c r="F6836" s="8" t="str">
        <f ca="1">IFERROR(__xludf.DUMMYFUNCTION("IF
(
C6837=""фізична особа""
,
VLOOKUP(D6837,IMPORTRANGE(""https://docs.google.com/spreadsheets/d/14Bd19lYaqBhU8_DElYkX7l4wRkHqqCUFNJY4AfY3kHU/edit?usp=sharing  #gid=0"",""фіз особи new!relations_name""),6,FALSE)
,
(IF
(
C6837=""юридична особа""
,
VLOOKUP"&amp;"(D6837,IMPORTRANGE(""https://docs.google.com/spreadsheets/d/14Bd19lYaqBhU8_DElYkX7l4wRkHqqCUFNJY4AfY3kHU/edit?usp=sharing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6" s="7" t="s">
        <v>10</v>
      </c>
      <c r="H6836" s="7">
        <v>0</v>
      </c>
      <c r="I6836" s="8" t="str">
        <f ca="1">IFERROR(__xludf.DUMMYFUNCTION("IF
(
G6837=""фізична особа""
,
VLOOKUP(H6837,IMPORTRANGE(""https://docs.google.com/spreadsheets/d/14Bd19lYaqBhU8_DElYkX7l4wRkHqqCUFNJY4AfY3kHU/edit?usp=sharing  #gid=0"",""фіз особи new!relations_name""),6,FALSE)
,
(IF
(
G6837=""юридична особа""
,
VLOOKUP"&amp;"(H6837,IMPORTRANGE(""https://docs.google.com/spreadsheets/d/14Bd19lYaqBhU8_DElYkX7l4wRkHqqCUFNJY4AfY3kHU/edit?usp=sharing  #gid=0"",""фіз особи new!relations_name_uo""),7,FALSE)
,
)
))"),"#N/A")</f>
        <v>#N/A</v>
      </c>
      <c r="J6836" s="7" t="s">
        <v>17</v>
      </c>
    </row>
    <row r="6837" spans="1:10" ht="13.2">
      <c r="A6837" s="7">
        <v>6836</v>
      </c>
      <c r="B6837" s="7">
        <v>1</v>
      </c>
      <c r="C6837" s="7" t="s">
        <v>10</v>
      </c>
      <c r="D6837" s="7">
        <v>6278</v>
      </c>
      <c r="E6837" s="7" t="s">
        <v>30</v>
      </c>
      <c r="F6837" s="8" t="str">
        <f ca="1">IFERROR(__xludf.DUMMYFUNCTION("IF
(
C6838=""фізична особа""
,
VLOOKUP(D6838,IMPORTRANGE(""https://docs.google.com/spreadsheets/d/14Bd19lYaqBhU8_DElYkX7l4wRkHqqCUFNJY4AfY3kHU/edit?usp=sharing  #gid=0"",""фіз особи new!relations_name""),6,FALSE)
,
(IF
(
C6838=""юридична особа""
,
VLOOKUP"&amp;"(D6838,IMPORTRANGE(""https://docs.google.com/spreadsheets/d/14Bd19lYaqBhU8_DElYkX7l4wRkHqqCUFNJY4AfY3kHU/edit?usp=sharing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7" s="7" t="s">
        <v>10</v>
      </c>
      <c r="H6837" s="7">
        <v>23560</v>
      </c>
      <c r="I6837" s="8" t="str">
        <f ca="1">IFERROR(__xludf.DUMMYFUNCTION("IF
(
G6838=""фізична особа""
,
VLOOKUP(H6838,IMPORTRANGE(""https://docs.google.com/spreadsheets/d/14Bd19lYaqBhU8_DElYkX7l4wRkHqqCUFNJY4AfY3kHU/edit?usp=sharing  #gid=0"",""фіз особи new!relations_name""),6,FALSE)
,
(IF
(
G6838=""юридична особа""
,
VLOOKUP"&amp;"(H6838,IMPORTRANGE(""https://docs.google.com/spreadsheets/d/14Bd19lYaqBhU8_DElYkX7l4wRkHqqCUFNJY4AfY3kHU/edit?usp=sharing  #gid=0"",""фіз особи new!relations_name_uo""),7,FALSE)
,
)
))"),"БАРАШ Інна Федорівна")</f>
        <v>БАРАШ Інна Федорівна</v>
      </c>
      <c r="J6837" s="7" t="s">
        <v>30</v>
      </c>
    </row>
    <row r="6838" spans="1:10" ht="13.2">
      <c r="A6838" s="7">
        <v>6837</v>
      </c>
      <c r="B6838" s="7">
        <v>1</v>
      </c>
      <c r="C6838" s="7" t="s">
        <v>10</v>
      </c>
      <c r="D6838" s="7">
        <v>6278</v>
      </c>
      <c r="E6838" s="7" t="s">
        <v>30</v>
      </c>
      <c r="F6838" s="8" t="str">
        <f ca="1">IFERROR(__xludf.DUMMYFUNCTION("IF
(
C6839=""фізична особа""
,
VLOOKUP(D6839,IMPORTRANGE(""https://docs.google.com/spreadsheets/d/14Bd19lYaqBhU8_DElYkX7l4wRkHqqCUFNJY4AfY3kHU/edit?usp=sharing  #gid=0"",""фіз особи new!relations_name""),6,FALSE)
,
(IF
(
C6839=""юридична особа""
,
VLOOKUP"&amp;"(D6839,IMPORTRANGE(""https://docs.google.com/spreadsheets/d/14Bd19lYaqBhU8_DElYkX7l4wRkHqqCUFNJY4AfY3kHU/edit?usp=sharing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8" s="7" t="s">
        <v>10</v>
      </c>
      <c r="H6838" s="7">
        <v>23561</v>
      </c>
      <c r="I6838" s="8" t="str">
        <f ca="1">IFERROR(__xludf.DUMMYFUNCTION("IF
(
G6839=""фізична особа""
,
VLOOKUP(H6839,IMPORTRANGE(""https://docs.google.com/spreadsheets/d/14Bd19lYaqBhU8_DElYkX7l4wRkHqqCUFNJY4AfY3kHU/edit?usp=sharing  #gid=0"",""фіз особи new!relations_name""),6,FALSE)
,
(IF
(
G6839=""юридична особа""
,
VLOOKUP"&amp;"(H6839,IMPORTRANGE(""https://docs.google.com/spreadsheets/d/14Bd19lYaqBhU8_DElYkX7l4wRkHqqCUFNJY4AfY3kHU/edit?usp=sharing  #gid=0"",""фіз особи new!relations_name_uo""),7,FALSE)
,
)
))"),"РИКОВ Андрій Олександрович")</f>
        <v>РИКОВ Андрій Олександрович</v>
      </c>
      <c r="J6838" s="7" t="s">
        <v>30</v>
      </c>
    </row>
    <row r="6839" spans="1:10" ht="13.2">
      <c r="A6839" s="7">
        <v>6838</v>
      </c>
      <c r="B6839" s="7">
        <v>1</v>
      </c>
      <c r="C6839" s="7" t="s">
        <v>10</v>
      </c>
      <c r="D6839" s="7">
        <v>6278</v>
      </c>
      <c r="E6839" s="7" t="s">
        <v>30</v>
      </c>
      <c r="F6839" s="8" t="str">
        <f ca="1">IFERROR(__xludf.DUMMYFUNCTION("IF
(
C6840=""фізична особа""
,
VLOOKUP(D6840,IMPORTRANGE(""https://docs.google.com/spreadsheets/d/14Bd19lYaqBhU8_DElYkX7l4wRkHqqCUFNJY4AfY3kHU/edit?usp=sharing  #gid=0"",""фіз особи new!relations_name""),6,FALSE)
,
(IF
(
C6840=""юридична особа""
,
VLOOKUP"&amp;"(D6840,IMPORTRANGE(""https://docs.google.com/spreadsheets/d/14Bd19lYaqBhU8_DElYkX7l4wRkHqqCUFNJY4AfY3kHU/edit?usp=sharing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39" s="7" t="s">
        <v>10</v>
      </c>
      <c r="H6839" s="7">
        <v>23562</v>
      </c>
      <c r="I6839" s="8" t="str">
        <f ca="1">IFERROR(__xludf.DUMMYFUNCTION("IF
(
G6840=""фізична особа""
,
VLOOKUP(H6840,IMPORTRANGE(""https://docs.google.com/spreadsheets/d/14Bd19lYaqBhU8_DElYkX7l4wRkHqqCUFNJY4AfY3kHU/edit?usp=sharing  #gid=0"",""фіз особи new!relations_name""),6,FALSE)
,
(IF
(
G6840=""юридична особа""
,
VLOOKUP"&amp;"(H6840,IMPORTRANGE(""https://docs.google.com/spreadsheets/d/14Bd19lYaqBhU8_DElYkX7l4wRkHqqCUFNJY4AfY3kHU/edit?usp=sharing  #gid=0"",""фіз особи new!relations_name_uo""),7,FALSE)
,
)
))"),"РИКОВ Олексій Олександрович")</f>
        <v>РИКОВ Олексій Олександрович</v>
      </c>
      <c r="J6839" s="7" t="s">
        <v>30</v>
      </c>
    </row>
    <row r="6840" spans="1:10" ht="13.2">
      <c r="A6840" s="7">
        <v>6839</v>
      </c>
      <c r="B6840" s="7">
        <v>1</v>
      </c>
      <c r="C6840" s="7" t="s">
        <v>10</v>
      </c>
      <c r="D6840" s="7">
        <v>6278</v>
      </c>
      <c r="E6840" s="7" t="s">
        <v>30</v>
      </c>
      <c r="F6840" s="8" t="str">
        <f ca="1">IFERROR(__xludf.DUMMYFUNCTION("IF
(
C6841=""фізична особа""
,
VLOOKUP(D6841,IMPORTRANGE(""https://docs.google.com/spreadsheets/d/14Bd19lYaqBhU8_DElYkX7l4wRkHqqCUFNJY4AfY3kHU/edit?usp=sharing  #gid=0"",""фіз особи new!relations_name""),6,FALSE)
,
(IF
(
C6841=""юридична особа""
,
VLOOKUP"&amp;"(D6841,IMPORTRANGE(""https://docs.google.com/spreadsheets/d/14Bd19lYaqBhU8_DElYkX7l4wRkHqqCUFNJY4AfY3kHU/edit?usp=sharing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G6840" s="7" t="s">
        <v>10</v>
      </c>
      <c r="H6840" s="7">
        <v>23563</v>
      </c>
      <c r="I6840" s="8" t="str">
        <f ca="1">IFERROR(__xludf.DUMMYFUNCTION("IF
(
G6841=""фізична особа""
,
VLOOKUP(H6841,IMPORTRANGE(""https://docs.google.com/spreadsheets/d/14Bd19lYaqBhU8_DElYkX7l4wRkHqqCUFNJY4AfY3kHU/edit?usp=sharing  #gid=0"",""фіз особи new!relations_name""),6,FALSE)
,
(IF
(
G6841=""юридична особа""
,
VLOOKUP"&amp;"(H6841,IMPORTRANGE(""https://docs.google.com/spreadsheets/d/14Bd19lYaqBhU8_DElYkX7l4wRkHqqCUFNJY4AfY3kHU/edit?usp=sharing  #gid=0"",""фіз особи new!relations_name_uo""),7,FALSE)
,
)
))"),"РИКОВ Олександр Михайлович")</f>
        <v>РИКОВ Олександр Михайлович</v>
      </c>
      <c r="J6840" s="7" t="s">
        <v>30</v>
      </c>
    </row>
    <row r="6841" spans="1:10" ht="13.2">
      <c r="A6841" s="7">
        <v>6840</v>
      </c>
      <c r="B6841" s="7">
        <v>1</v>
      </c>
      <c r="C6841" s="7" t="s">
        <v>10</v>
      </c>
      <c r="D6841" s="7">
        <v>6279</v>
      </c>
      <c r="E6841" s="7" t="s">
        <v>28</v>
      </c>
      <c r="F6841" s="8" t="str">
        <f ca="1">IFERROR(__xludf.DUMMYFUNCTION("IF
(
C6842=""фізична особа""
,
VLOOKUP(D6842,IMPORTRANGE(""https://docs.google.com/spreadsheets/d/14Bd19lYaqBhU8_DElYkX7l4wRkHqqCUFNJY4AfY3kHU/edit?usp=sharing  #gid=0"",""фіз особи new!relations_name""),6,FALSE)
,
(IF
(
C6842=""юридична особа""
,
VLOOKUP"&amp;"(D6842,IMPORTRANGE(""https://docs.google.com/spreadsheets/d/14Bd19lYaqBhU8_DElYkX7l4wRkHqqCUFNJY4AfY3kHU/edit?usp=sharing  #gid=0"",""фіз особи new!relations_name_uo""),7,FALSE)
,
)
))"),"ІВАКІНА Марина Олександрівна")</f>
        <v>ІВАКІНА Марина Олександрівна</v>
      </c>
      <c r="G6841" s="7" t="s">
        <v>10</v>
      </c>
      <c r="H6841" s="7">
        <v>6278</v>
      </c>
      <c r="I6841" s="8" t="str">
        <f ca="1">IFERROR(__xludf.DUMMYFUNCTION("IF
(
G6842=""фізична особа""
,
VLOOKUP(H6842,IMPORTRANGE(""https://docs.google.com/spreadsheets/d/14Bd19lYaqBhU8_DElYkX7l4wRkHqqCUFNJY4AfY3kHU/edit?usp=sharing  #gid=0"",""фіз особи new!relations_name""),6,FALSE)
,
(IF
(
G6842=""юридична особа""
,
VLOOKUP"&amp;"(H6842,IMPORTRANGE(""https://docs.google.com/spreadsheets/d/14Bd19lYaqBhU8_DElYkX7l4wRkHqqCUFNJY4AfY3kHU/edit?usp=sharing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J6841" s="7" t="s">
        <v>29</v>
      </c>
    </row>
    <row r="6842" spans="1:10" ht="13.2">
      <c r="A6842" s="7">
        <v>6841</v>
      </c>
      <c r="B6842" s="7">
        <v>1</v>
      </c>
      <c r="C6842" s="7" t="s">
        <v>10</v>
      </c>
      <c r="D6842" s="7">
        <v>6279</v>
      </c>
      <c r="E6842" s="7" t="s">
        <v>30</v>
      </c>
      <c r="F6842" s="8" t="str">
        <f ca="1">IFERROR(__xludf.DUMMYFUNCTION("IF
(
C6843=""фізична особа""
,
VLOOKUP(D6843,IMPORTRANGE(""https://docs.google.com/spreadsheets/d/14Bd19lYaqBhU8_DElYkX7l4wRkHqqCUFNJY4AfY3kHU/edit?usp=sharing  #gid=0"",""фіз особи new!relations_name""),6,FALSE)
,
(IF
(
C6843=""юридична особа""
,
VLOOKUP"&amp;"(D6843,IMPORTRANGE(""https://docs.google.com/spreadsheets/d/14Bd19lYaqBhU8_DElYkX7l4wRkHqqCUFNJY4AfY3kHU/edit?usp=sharing  #gid=0"",""фіз особи new!relations_name_uo""),7,FALSE)
,
)
))"),"ІВАКІНА Марина Олександрівна")</f>
        <v>ІВАКІНА Марина Олександрівна</v>
      </c>
      <c r="G6842" s="7" t="s">
        <v>10</v>
      </c>
      <c r="H6842" s="7">
        <v>23560</v>
      </c>
      <c r="I6842" s="8" t="str">
        <f ca="1">IFERROR(__xludf.DUMMYFUNCTION("IF
(
G6843=""фізична особа""
,
VLOOKUP(H6843,IMPORTRANGE(""https://docs.google.com/spreadsheets/d/14Bd19lYaqBhU8_DElYkX7l4wRkHqqCUFNJY4AfY3kHU/edit?usp=sharing  #gid=0"",""фіз особи new!relations_name""),6,FALSE)
,
(IF
(
G6843=""юридична особа""
,
VLOOKUP"&amp;"(H6843,IMPORTRANGE(""https://docs.google.com/spreadsheets/d/14Bd19lYaqBhU8_DElYkX7l4wRkHqqCUFNJY4AfY3kHU/edit?usp=sharing  #gid=0"",""фіз особи new!relations_name_uo""),7,FALSE)
,
)
))"),"БАРАШ Інна Федорівна")</f>
        <v>БАРАШ Інна Федорівна</v>
      </c>
      <c r="J6842" s="7" t="s">
        <v>30</v>
      </c>
    </row>
    <row r="6843" spans="1:10" ht="13.2">
      <c r="A6843" s="7">
        <v>6842</v>
      </c>
      <c r="B6843" s="7">
        <v>1</v>
      </c>
      <c r="C6843" s="7" t="s">
        <v>10</v>
      </c>
      <c r="D6843" s="7">
        <v>6279</v>
      </c>
      <c r="E6843" s="7" t="s">
        <v>30</v>
      </c>
      <c r="F6843" s="8" t="str">
        <f ca="1">IFERROR(__xludf.DUMMYFUNCTION("IF
(
C6844=""фізична особа""
,
VLOOKUP(D6844,IMPORTRANGE(""https://docs.google.com/spreadsheets/d/14Bd19lYaqBhU8_DElYkX7l4wRkHqqCUFNJY4AfY3kHU/edit?usp=sharing  #gid=0"",""фіз особи new!relations_name""),6,FALSE)
,
(IF
(
C6844=""юридична особа""
,
VLOOKUP"&amp;"(D6844,IMPORTRANGE(""https://docs.google.com/spreadsheets/d/14Bd19lYaqBhU8_DElYkX7l4wRkHqqCUFNJY4AfY3kHU/edit?usp=sharing  #gid=0"",""фіз особи new!relations_name_uo""),7,FALSE)
,
)
))"),"ІВАКІНА Марина Олександрівна")</f>
        <v>ІВАКІНА Марина Олександрівна</v>
      </c>
      <c r="G6843" s="7" t="s">
        <v>10</v>
      </c>
      <c r="H6843" s="7">
        <v>23561</v>
      </c>
      <c r="I6843" s="8" t="str">
        <f ca="1">IFERROR(__xludf.DUMMYFUNCTION("IF
(
G6844=""фізична особа""
,
VLOOKUP(H6844,IMPORTRANGE(""https://docs.google.com/spreadsheets/d/14Bd19lYaqBhU8_DElYkX7l4wRkHqqCUFNJY4AfY3kHU/edit?usp=sharing  #gid=0"",""фіз особи new!relations_name""),6,FALSE)
,
(IF
(
G6844=""юридична особа""
,
VLOOKUP"&amp;"(H6844,IMPORTRANGE(""https://docs.google.com/spreadsheets/d/14Bd19lYaqBhU8_DElYkX7l4wRkHqqCUFNJY4AfY3kHU/edit?usp=sharing  #gid=0"",""фіз особи new!relations_name_uo""),7,FALSE)
,
)
))"),"РИКОВ Андрій Олександрович")</f>
        <v>РИКОВ Андрій Олександрович</v>
      </c>
      <c r="J6843" s="7" t="s">
        <v>30</v>
      </c>
    </row>
    <row r="6844" spans="1:10" ht="13.2">
      <c r="A6844" s="7">
        <v>6843</v>
      </c>
      <c r="B6844" s="7">
        <v>1</v>
      </c>
      <c r="C6844" s="7" t="s">
        <v>10</v>
      </c>
      <c r="D6844" s="7">
        <v>6279</v>
      </c>
      <c r="E6844" s="7" t="s">
        <v>30</v>
      </c>
      <c r="F6844" s="8" t="str">
        <f ca="1">IFERROR(__xludf.DUMMYFUNCTION("IF
(
C6845=""фізична особа""
,
VLOOKUP(D6845,IMPORTRANGE(""https://docs.google.com/spreadsheets/d/14Bd19lYaqBhU8_DElYkX7l4wRkHqqCUFNJY4AfY3kHU/edit?usp=sharing  #gid=0"",""фіз особи new!relations_name""),6,FALSE)
,
(IF
(
C6845=""юридична особа""
,
VLOOKUP"&amp;"(D6845,IMPORTRANGE(""https://docs.google.com/spreadsheets/d/14Bd19lYaqBhU8_DElYkX7l4wRkHqqCUFNJY4AfY3kHU/edit?usp=sharing  #gid=0"",""фіз особи new!relations_name_uo""),7,FALSE)
,
)
))"),"ІВАКІНА Марина Олександрівна")</f>
        <v>ІВАКІНА Марина Олександрівна</v>
      </c>
      <c r="G6844" s="7" t="s">
        <v>10</v>
      </c>
      <c r="H6844" s="7">
        <v>23562</v>
      </c>
      <c r="I6844" s="8" t="str">
        <f ca="1">IFERROR(__xludf.DUMMYFUNCTION("IF
(
G6845=""фізична особа""
,
VLOOKUP(H6845,IMPORTRANGE(""https://docs.google.com/spreadsheets/d/14Bd19lYaqBhU8_DElYkX7l4wRkHqqCUFNJY4AfY3kHU/edit?usp=sharing  #gid=0"",""фіз особи new!relations_name""),6,FALSE)
,
(IF
(
G6845=""юридична особа""
,
VLOOKUP"&amp;"(H6845,IMPORTRANGE(""https://docs.google.com/spreadsheets/d/14Bd19lYaqBhU8_DElYkX7l4wRkHqqCUFNJY4AfY3kHU/edit?usp=sharing  #gid=0"",""фіз особи new!relations_name_uo""),7,FALSE)
,
)
))"),"РИКОВ Олексій Олександрович")</f>
        <v>РИКОВ Олексій Олександрович</v>
      </c>
      <c r="J6844" s="7" t="s">
        <v>30</v>
      </c>
    </row>
    <row r="6845" spans="1:10" ht="13.2">
      <c r="A6845" s="7">
        <v>6844</v>
      </c>
      <c r="B6845" s="7">
        <v>1</v>
      </c>
      <c r="C6845" s="7" t="s">
        <v>10</v>
      </c>
      <c r="D6845" s="7">
        <v>6279</v>
      </c>
      <c r="E6845" s="7" t="s">
        <v>30</v>
      </c>
      <c r="F6845" s="8" t="str">
        <f ca="1">IFERROR(__xludf.DUMMYFUNCTION("IF
(
C6846=""фізична особа""
,
VLOOKUP(D6846,IMPORTRANGE(""https://docs.google.com/spreadsheets/d/14Bd19lYaqBhU8_DElYkX7l4wRkHqqCUFNJY4AfY3kHU/edit?usp=sharing  #gid=0"",""фіз особи new!relations_name""),6,FALSE)
,
(IF
(
C6846=""юридична особа""
,
VLOOKUP"&amp;"(D6846,IMPORTRANGE(""https://docs.google.com/spreadsheets/d/14Bd19lYaqBhU8_DElYkX7l4wRkHqqCUFNJY4AfY3kHU/edit?usp=sharing  #gid=0"",""фіз особи new!relations_name_uo""),7,FALSE)
,
)
))"),"ІВАКІНА Марина Олександрівна")</f>
        <v>ІВАКІНА Марина Олександрівна</v>
      </c>
      <c r="G6845" s="7" t="s">
        <v>10</v>
      </c>
      <c r="H6845" s="7">
        <v>23563</v>
      </c>
      <c r="I6845" s="8" t="str">
        <f ca="1">IFERROR(__xludf.DUMMYFUNCTION("IF
(
G6846=""фізична особа""
,
VLOOKUP(H6846,IMPORTRANGE(""https://docs.google.com/spreadsheets/d/14Bd19lYaqBhU8_DElYkX7l4wRkHqqCUFNJY4AfY3kHU/edit?usp=sharing  #gid=0"",""фіз особи new!relations_name""),6,FALSE)
,
(IF
(
G6846=""юридична особа""
,
VLOOKUP"&amp;"(H6846,IMPORTRANGE(""https://docs.google.com/spreadsheets/d/14Bd19lYaqBhU8_DElYkX7l4wRkHqqCUFNJY4AfY3kHU/edit?usp=sharing  #gid=0"",""фіз особи new!relations_name_uo""),7,FALSE)
,
)
))"),"РИКОВ Олександр Михайлович")</f>
        <v>РИКОВ Олександр Михайлович</v>
      </c>
      <c r="J6845" s="7" t="s">
        <v>30</v>
      </c>
    </row>
    <row r="6846" spans="1:10" ht="13.2">
      <c r="A6846" s="7">
        <v>6845</v>
      </c>
      <c r="B6846" s="7">
        <v>1</v>
      </c>
      <c r="C6846" s="7" t="s">
        <v>10</v>
      </c>
      <c r="D6846" s="7">
        <v>6280</v>
      </c>
      <c r="E6846" s="7" t="s">
        <v>28</v>
      </c>
      <c r="F6846" s="8" t="str">
        <f ca="1">IFERROR(__xludf.DUMMYFUNCTION("IF
(
C6847=""фізична особа""
,
VLOOKUP(D6847,IMPORTRANGE(""https://docs.google.com/spreadsheets/d/14Bd19lYaqBhU8_DElYkX7l4wRkHqqCUFNJY4AfY3kHU/edit?usp=sharing  #gid=0"",""фіз особи new!relations_name""),6,FALSE)
,
(IF
(
C6847=""юридична особа""
,
VLOOKUP"&amp;"(D6847,IMPORTRANGE(""https://docs.google.com/spreadsheets/d/14Bd19lYaqBhU8_DElYkX7l4wRkHqqCUFNJY4AfY3kHU/edit?usp=sharing  #gid=0"",""фіз особи new!relations_name_uo""),7,FALSE)
,
)
))"),"СТАМ Євгеній Борисович")</f>
        <v>СТАМ Євгеній Борисович</v>
      </c>
      <c r="G6846" s="7" t="s">
        <v>10</v>
      </c>
      <c r="H6846" s="7">
        <v>6278</v>
      </c>
      <c r="I6846" s="8" t="str">
        <f ca="1">IFERROR(__xludf.DUMMYFUNCTION("IF
(
G6847=""фізична особа""
,
VLOOKUP(H6847,IMPORTRANGE(""https://docs.google.com/spreadsheets/d/14Bd19lYaqBhU8_DElYkX7l4wRkHqqCUFNJY4AfY3kHU/edit?usp=sharing  #gid=0"",""фіз особи new!relations_name""),6,FALSE)
,
(IF
(
G6847=""юридична особа""
,
VLOOKUP"&amp;"(H6847,IMPORTRANGE(""https://docs.google.com/spreadsheets/d/14Bd19lYaqBhU8_DElYkX7l4wRkHqqCUFNJY4AfY3kHU/edit?usp=sharing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J6846" s="7" t="s">
        <v>29</v>
      </c>
    </row>
    <row r="6847" spans="1:10" ht="13.2">
      <c r="A6847" s="7">
        <v>6846</v>
      </c>
      <c r="B6847" s="7">
        <v>1</v>
      </c>
      <c r="C6847" s="7" t="s">
        <v>10</v>
      </c>
      <c r="D6847" s="7">
        <v>6280</v>
      </c>
      <c r="E6847" s="7" t="s">
        <v>30</v>
      </c>
      <c r="F6847" s="8" t="str">
        <f ca="1">IFERROR(__xludf.DUMMYFUNCTION("IF
(
C6848=""фізична особа""
,
VLOOKUP(D6848,IMPORTRANGE(""https://docs.google.com/spreadsheets/d/14Bd19lYaqBhU8_DElYkX7l4wRkHqqCUFNJY4AfY3kHU/edit?usp=sharing  #gid=0"",""фіз особи new!relations_name""),6,FALSE)
,
(IF
(
C6848=""юридична особа""
,
VLOOKUP"&amp;"(D6848,IMPORTRANGE(""https://docs.google.com/spreadsheets/d/14Bd19lYaqBhU8_DElYkX7l4wRkHqqCUFNJY4AfY3kHU/edit?usp=sharing  #gid=0"",""фіз особи new!relations_name_uo""),7,FALSE)
,
)
))"),"СТАМ Євгеній Борисович")</f>
        <v>СТАМ Євгеній Борисович</v>
      </c>
      <c r="G6847" s="7" t="s">
        <v>10</v>
      </c>
      <c r="H6847" s="7">
        <v>23560</v>
      </c>
      <c r="I6847" s="8" t="str">
        <f ca="1">IFERROR(__xludf.DUMMYFUNCTION("IF
(
G6848=""фізична особа""
,
VLOOKUP(H6848,IMPORTRANGE(""https://docs.google.com/spreadsheets/d/14Bd19lYaqBhU8_DElYkX7l4wRkHqqCUFNJY4AfY3kHU/edit?usp=sharing  #gid=0"",""фіз особи new!relations_name""),6,FALSE)
,
(IF
(
G6848=""юридична особа""
,
VLOOKUP"&amp;"(H6848,IMPORTRANGE(""https://docs.google.com/spreadsheets/d/14Bd19lYaqBhU8_DElYkX7l4wRkHqqCUFNJY4AfY3kHU/edit?usp=sharing  #gid=0"",""фіз особи new!relations_name_uo""),7,FALSE)
,
)
))"),"БАРАШ Інна Федорівна")</f>
        <v>БАРАШ Інна Федорівна</v>
      </c>
      <c r="J6847" s="7" t="s">
        <v>30</v>
      </c>
    </row>
    <row r="6848" spans="1:10" ht="13.2">
      <c r="A6848" s="7">
        <v>6847</v>
      </c>
      <c r="B6848" s="7">
        <v>1</v>
      </c>
      <c r="C6848" s="7" t="s">
        <v>10</v>
      </c>
      <c r="D6848" s="7">
        <v>6280</v>
      </c>
      <c r="E6848" s="7" t="s">
        <v>30</v>
      </c>
      <c r="F6848" s="8" t="str">
        <f ca="1">IFERROR(__xludf.DUMMYFUNCTION("IF
(
C6849=""фізична особа""
,
VLOOKUP(D6849,IMPORTRANGE(""https://docs.google.com/spreadsheets/d/14Bd19lYaqBhU8_DElYkX7l4wRkHqqCUFNJY4AfY3kHU/edit?usp=sharing  #gid=0"",""фіз особи new!relations_name""),6,FALSE)
,
(IF
(
C6849=""юридична особа""
,
VLOOKUP"&amp;"(D6849,IMPORTRANGE(""https://docs.google.com/spreadsheets/d/14Bd19lYaqBhU8_DElYkX7l4wRkHqqCUFNJY4AfY3kHU/edit?usp=sharing  #gid=0"",""фіз особи new!relations_name_uo""),7,FALSE)
,
)
))"),"СТАМ Євгеній Борисович")</f>
        <v>СТАМ Євгеній Борисович</v>
      </c>
      <c r="G6848" s="7" t="s">
        <v>10</v>
      </c>
      <c r="H6848" s="7">
        <v>23561</v>
      </c>
      <c r="I6848" s="8" t="str">
        <f ca="1">IFERROR(__xludf.DUMMYFUNCTION("IF
(
G6849=""фізична особа""
,
VLOOKUP(H6849,IMPORTRANGE(""https://docs.google.com/spreadsheets/d/14Bd19lYaqBhU8_DElYkX7l4wRkHqqCUFNJY4AfY3kHU/edit?usp=sharing  #gid=0"",""фіз особи new!relations_name""),6,FALSE)
,
(IF
(
G6849=""юридична особа""
,
VLOOKUP"&amp;"(H6849,IMPORTRANGE(""https://docs.google.com/spreadsheets/d/14Bd19lYaqBhU8_DElYkX7l4wRkHqqCUFNJY4AfY3kHU/edit?usp=sharing  #gid=0"",""фіз особи new!relations_name_uo""),7,FALSE)
,
)
))"),"РИКОВ Андрій Олександрович")</f>
        <v>РИКОВ Андрій Олександрович</v>
      </c>
      <c r="J6848" s="7" t="s">
        <v>30</v>
      </c>
    </row>
    <row r="6849" spans="1:10" ht="13.2">
      <c r="A6849" s="7">
        <v>6848</v>
      </c>
      <c r="B6849" s="7">
        <v>1</v>
      </c>
      <c r="C6849" s="7" t="s">
        <v>10</v>
      </c>
      <c r="D6849" s="7">
        <v>6280</v>
      </c>
      <c r="E6849" s="7" t="s">
        <v>30</v>
      </c>
      <c r="F6849" s="8" t="str">
        <f ca="1">IFERROR(__xludf.DUMMYFUNCTION("IF
(
C6850=""фізична особа""
,
VLOOKUP(D6850,IMPORTRANGE(""https://docs.google.com/spreadsheets/d/14Bd19lYaqBhU8_DElYkX7l4wRkHqqCUFNJY4AfY3kHU/edit?usp=sharing  #gid=0"",""фіз особи new!relations_name""),6,FALSE)
,
(IF
(
C6850=""юридична особа""
,
VLOOKUP"&amp;"(D6850,IMPORTRANGE(""https://docs.google.com/spreadsheets/d/14Bd19lYaqBhU8_DElYkX7l4wRkHqqCUFNJY4AfY3kHU/edit?usp=sharing  #gid=0"",""фіз особи new!relations_name_uo""),7,FALSE)
,
)
))"),"СТАМ Євгеній Борисович")</f>
        <v>СТАМ Євгеній Борисович</v>
      </c>
      <c r="G6849" s="7" t="s">
        <v>10</v>
      </c>
      <c r="H6849" s="7">
        <v>23562</v>
      </c>
      <c r="I6849" s="8" t="str">
        <f ca="1">IFERROR(__xludf.DUMMYFUNCTION("IF
(
G6850=""фізична особа""
,
VLOOKUP(H6850,IMPORTRANGE(""https://docs.google.com/spreadsheets/d/14Bd19lYaqBhU8_DElYkX7l4wRkHqqCUFNJY4AfY3kHU/edit?usp=sharing  #gid=0"",""фіз особи new!relations_name""),6,FALSE)
,
(IF
(
G6850=""юридична особа""
,
VLOOKUP"&amp;"(H6850,IMPORTRANGE(""https://docs.google.com/spreadsheets/d/14Bd19lYaqBhU8_DElYkX7l4wRkHqqCUFNJY4AfY3kHU/edit?usp=sharing  #gid=0"",""фіз особи new!relations_name_uo""),7,FALSE)
,
)
))"),"РИКОВ Олексій Олександрович")</f>
        <v>РИКОВ Олексій Олександрович</v>
      </c>
      <c r="J6849" s="7" t="s">
        <v>30</v>
      </c>
    </row>
    <row r="6850" spans="1:10" ht="13.2">
      <c r="A6850" s="7">
        <v>6849</v>
      </c>
      <c r="B6850" s="7">
        <v>1</v>
      </c>
      <c r="C6850" s="7" t="s">
        <v>10</v>
      </c>
      <c r="D6850" s="7">
        <v>6280</v>
      </c>
      <c r="E6850" s="7" t="s">
        <v>30</v>
      </c>
      <c r="F6850" s="8" t="str">
        <f ca="1">IFERROR(__xludf.DUMMYFUNCTION("IF
(
C6851=""фізична особа""
,
VLOOKUP(D6851,IMPORTRANGE(""https://docs.google.com/spreadsheets/d/14Bd19lYaqBhU8_DElYkX7l4wRkHqqCUFNJY4AfY3kHU/edit?usp=sharing  #gid=0"",""фіз особи new!relations_name""),6,FALSE)
,
(IF
(
C6851=""юридична особа""
,
VLOOKUP"&amp;"(D6851,IMPORTRANGE(""https://docs.google.com/spreadsheets/d/14Bd19lYaqBhU8_DElYkX7l4wRkHqqCUFNJY4AfY3kHU/edit?usp=sharing  #gid=0"",""фіз особи new!relations_name_uo""),7,FALSE)
,
)
))"),"СТАМ Євгеній Борисович")</f>
        <v>СТАМ Євгеній Борисович</v>
      </c>
      <c r="G6850" s="7" t="s">
        <v>10</v>
      </c>
      <c r="H6850" s="7">
        <v>23563</v>
      </c>
      <c r="I6850" s="8" t="str">
        <f ca="1">IFERROR(__xludf.DUMMYFUNCTION("IF
(
G6851=""фізична особа""
,
VLOOKUP(H6851,IMPORTRANGE(""https://docs.google.com/spreadsheets/d/14Bd19lYaqBhU8_DElYkX7l4wRkHqqCUFNJY4AfY3kHU/edit?usp=sharing  #gid=0"",""фіз особи new!relations_name""),6,FALSE)
,
(IF
(
G6851=""юридична особа""
,
VLOOKUP"&amp;"(H6851,IMPORTRANGE(""https://docs.google.com/spreadsheets/d/14Bd19lYaqBhU8_DElYkX7l4wRkHqqCUFNJY4AfY3kHU/edit?usp=sharing  #gid=0"",""фіз особи new!relations_name_uo""),7,FALSE)
,
)
))"),"РИКОВ Олександр Михайлович")</f>
        <v>РИКОВ Олександр Михайлович</v>
      </c>
      <c r="J6850" s="7" t="s">
        <v>30</v>
      </c>
    </row>
    <row r="6851" spans="1:10" ht="13.2">
      <c r="A6851" s="7">
        <v>6850</v>
      </c>
      <c r="B6851" s="7">
        <v>1</v>
      </c>
      <c r="C6851" s="7" t="s">
        <v>10</v>
      </c>
      <c r="D6851" s="7">
        <v>6281</v>
      </c>
      <c r="E6851" s="7" t="s">
        <v>28</v>
      </c>
      <c r="F6851" s="8" t="str">
        <f ca="1">IFERROR(__xludf.DUMMYFUNCTION("IF
(
C6852=""фізична особа""
,
VLOOKUP(D6852,IMPORTRANGE(""https://docs.google.com/spreadsheets/d/14Bd19lYaqBhU8_DElYkX7l4wRkHqqCUFNJY4AfY3kHU/edit?usp=sharing  #gid=0"",""фіз особи new!relations_name""),6,FALSE)
,
(IF
(
C6852=""юридична особа""
,
VLOOKUP"&amp;"(D6852,IMPORTRANGE(""https://docs.google.com/spreadsheets/d/14Bd19lYaqBhU8_DElYkX7l4wRkHqqCUFNJY4AfY3kHU/edit?usp=sharing  #gid=0"",""фіз особи new!relations_name_uo""),7,FALSE)
,
)
))"),"ТОКАР Олена Миколаївна")</f>
        <v>ТОКАР Олена Миколаївна</v>
      </c>
      <c r="G6851" s="7" t="s">
        <v>10</v>
      </c>
      <c r="H6851" s="7">
        <v>6278</v>
      </c>
      <c r="I6851" s="8" t="str">
        <f ca="1">IFERROR(__xludf.DUMMYFUNCTION("IF
(
G6852=""фізична особа""
,
VLOOKUP(H6852,IMPORTRANGE(""https://docs.google.com/spreadsheets/d/14Bd19lYaqBhU8_DElYkX7l4wRkHqqCUFNJY4AfY3kHU/edit?usp=sharing  #gid=0"",""фіз особи new!relations_name""),6,FALSE)
,
(IF
(
G6852=""юридична особа""
,
VLOOKUP"&amp;"(H6852,IMPORTRANGE(""https://docs.google.com/spreadsheets/d/14Bd19lYaqBhU8_DElYkX7l4wRkHqqCUFNJY4AfY3kHU/edit?usp=sharing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J6851" s="7" t="s">
        <v>29</v>
      </c>
    </row>
    <row r="6852" spans="1:10" ht="13.2">
      <c r="A6852" s="7">
        <v>6851</v>
      </c>
      <c r="B6852" s="7">
        <v>1</v>
      </c>
      <c r="C6852" s="7" t="s">
        <v>10</v>
      </c>
      <c r="D6852" s="7">
        <v>6281</v>
      </c>
      <c r="E6852" s="7" t="s">
        <v>30</v>
      </c>
      <c r="F6852" s="8" t="str">
        <f ca="1">IFERROR(__xludf.DUMMYFUNCTION("IF
(
C6853=""фізична особа""
,
VLOOKUP(D6853,IMPORTRANGE(""https://docs.google.com/spreadsheets/d/14Bd19lYaqBhU8_DElYkX7l4wRkHqqCUFNJY4AfY3kHU/edit?usp=sharing  #gid=0"",""фіз особи new!relations_name""),6,FALSE)
,
(IF
(
C6853=""юридична особа""
,
VLOOKUP"&amp;"(D6853,IMPORTRANGE(""https://docs.google.com/spreadsheets/d/14Bd19lYaqBhU8_DElYkX7l4wRkHqqCUFNJY4AfY3kHU/edit?usp=sharing  #gid=0"",""фіз особи new!relations_name_uo""),7,FALSE)
,
)
))"),"ТОКАР Олена Миколаївна")</f>
        <v>ТОКАР Олена Миколаївна</v>
      </c>
      <c r="G6852" s="7" t="s">
        <v>10</v>
      </c>
      <c r="H6852" s="7">
        <v>23560</v>
      </c>
      <c r="I6852" s="8" t="str">
        <f ca="1">IFERROR(__xludf.DUMMYFUNCTION("IF
(
G6853=""фізична особа""
,
VLOOKUP(H6853,IMPORTRANGE(""https://docs.google.com/spreadsheets/d/14Bd19lYaqBhU8_DElYkX7l4wRkHqqCUFNJY4AfY3kHU/edit?usp=sharing  #gid=0"",""фіз особи new!relations_name""),6,FALSE)
,
(IF
(
G6853=""юридична особа""
,
VLOOKUP"&amp;"(H6853,IMPORTRANGE(""https://docs.google.com/spreadsheets/d/14Bd19lYaqBhU8_DElYkX7l4wRkHqqCUFNJY4AfY3kHU/edit?usp=sharing  #gid=0"",""фіз особи new!relations_name_uo""),7,FALSE)
,
)
))"),"БАРАШ Інна Федорівна")</f>
        <v>БАРАШ Інна Федорівна</v>
      </c>
      <c r="J6852" s="7" t="s">
        <v>30</v>
      </c>
    </row>
    <row r="6853" spans="1:10" ht="13.2">
      <c r="A6853" s="7">
        <v>6852</v>
      </c>
      <c r="B6853" s="7">
        <v>1</v>
      </c>
      <c r="C6853" s="7" t="s">
        <v>10</v>
      </c>
      <c r="D6853" s="7">
        <v>6281</v>
      </c>
      <c r="E6853" s="7" t="s">
        <v>30</v>
      </c>
      <c r="F6853" s="8" t="str">
        <f ca="1">IFERROR(__xludf.DUMMYFUNCTION("IF
(
C6854=""фізична особа""
,
VLOOKUP(D6854,IMPORTRANGE(""https://docs.google.com/spreadsheets/d/14Bd19lYaqBhU8_DElYkX7l4wRkHqqCUFNJY4AfY3kHU/edit?usp=sharing  #gid=0"",""фіз особи new!relations_name""),6,FALSE)
,
(IF
(
C6854=""юридична особа""
,
VLOOKUP"&amp;"(D6854,IMPORTRANGE(""https://docs.google.com/spreadsheets/d/14Bd19lYaqBhU8_DElYkX7l4wRkHqqCUFNJY4AfY3kHU/edit?usp=sharing  #gid=0"",""фіз особи new!relations_name_uo""),7,FALSE)
,
)
))"),"ТОКАР Олена Миколаївна")</f>
        <v>ТОКАР Олена Миколаївна</v>
      </c>
      <c r="G6853" s="7" t="s">
        <v>10</v>
      </c>
      <c r="H6853" s="7">
        <v>23561</v>
      </c>
      <c r="I6853" s="8" t="str">
        <f ca="1">IFERROR(__xludf.DUMMYFUNCTION("IF
(
G6854=""фізична особа""
,
VLOOKUP(H6854,IMPORTRANGE(""https://docs.google.com/spreadsheets/d/14Bd19lYaqBhU8_DElYkX7l4wRkHqqCUFNJY4AfY3kHU/edit?usp=sharing  #gid=0"",""фіз особи new!relations_name""),6,FALSE)
,
(IF
(
G6854=""юридична особа""
,
VLOOKUP"&amp;"(H6854,IMPORTRANGE(""https://docs.google.com/spreadsheets/d/14Bd19lYaqBhU8_DElYkX7l4wRkHqqCUFNJY4AfY3kHU/edit?usp=sharing  #gid=0"",""фіз особи new!relations_name_uo""),7,FALSE)
,
)
))"),"РИКОВ Андрій Олександрович")</f>
        <v>РИКОВ Андрій Олександрович</v>
      </c>
      <c r="J6853" s="7" t="s">
        <v>30</v>
      </c>
    </row>
    <row r="6854" spans="1:10" ht="13.2">
      <c r="A6854" s="7">
        <v>6853</v>
      </c>
      <c r="B6854" s="7">
        <v>1</v>
      </c>
      <c r="C6854" s="7" t="s">
        <v>10</v>
      </c>
      <c r="D6854" s="7">
        <v>6281</v>
      </c>
      <c r="E6854" s="7" t="s">
        <v>30</v>
      </c>
      <c r="F6854" s="8" t="str">
        <f ca="1">IFERROR(__xludf.DUMMYFUNCTION("IF
(
C6855=""фізична особа""
,
VLOOKUP(D6855,IMPORTRANGE(""https://docs.google.com/spreadsheets/d/14Bd19lYaqBhU8_DElYkX7l4wRkHqqCUFNJY4AfY3kHU/edit?usp=sharing  #gid=0"",""фіз особи new!relations_name""),6,FALSE)
,
(IF
(
C6855=""юридична особа""
,
VLOOKUP"&amp;"(D6855,IMPORTRANGE(""https://docs.google.com/spreadsheets/d/14Bd19lYaqBhU8_DElYkX7l4wRkHqqCUFNJY4AfY3kHU/edit?usp=sharing  #gid=0"",""фіз особи new!relations_name_uo""),7,FALSE)
,
)
))"),"ТОКАР Олена Миколаївна")</f>
        <v>ТОКАР Олена Миколаївна</v>
      </c>
      <c r="G6854" s="7" t="s">
        <v>10</v>
      </c>
      <c r="H6854" s="7">
        <v>23562</v>
      </c>
      <c r="I6854" s="8" t="str">
        <f ca="1">IFERROR(__xludf.DUMMYFUNCTION("IF
(
G6855=""фізична особа""
,
VLOOKUP(H6855,IMPORTRANGE(""https://docs.google.com/spreadsheets/d/14Bd19lYaqBhU8_DElYkX7l4wRkHqqCUFNJY4AfY3kHU/edit?usp=sharing  #gid=0"",""фіз особи new!relations_name""),6,FALSE)
,
(IF
(
G6855=""юридична особа""
,
VLOOKUP"&amp;"(H6855,IMPORTRANGE(""https://docs.google.com/spreadsheets/d/14Bd19lYaqBhU8_DElYkX7l4wRkHqqCUFNJY4AfY3kHU/edit?usp=sharing  #gid=0"",""фіз особи new!relations_name_uo""),7,FALSE)
,
)
))"),"РИКОВ Олексій Олександрович")</f>
        <v>РИКОВ Олексій Олександрович</v>
      </c>
      <c r="J6854" s="7" t="s">
        <v>30</v>
      </c>
    </row>
    <row r="6855" spans="1:10" ht="13.2">
      <c r="A6855" s="7">
        <v>6854</v>
      </c>
      <c r="B6855" s="7">
        <v>1</v>
      </c>
      <c r="C6855" s="7" t="s">
        <v>10</v>
      </c>
      <c r="D6855" s="7">
        <v>6281</v>
      </c>
      <c r="E6855" s="7" t="s">
        <v>30</v>
      </c>
      <c r="F6855" s="8" t="str">
        <f ca="1">IFERROR(__xludf.DUMMYFUNCTION("IF
(
C6856=""фізична особа""
,
VLOOKUP(D6856,IMPORTRANGE(""https://docs.google.com/spreadsheets/d/14Bd19lYaqBhU8_DElYkX7l4wRkHqqCUFNJY4AfY3kHU/edit?usp=sharing  #gid=0"",""фіз особи new!relations_name""),6,FALSE)
,
(IF
(
C6856=""юридична особа""
,
VLOOKUP"&amp;"(D6856,IMPORTRANGE(""https://docs.google.com/spreadsheets/d/14Bd19lYaqBhU8_DElYkX7l4wRkHqqCUFNJY4AfY3kHU/edit?usp=sharing  #gid=0"",""фіз особи new!relations_name_uo""),7,FALSE)
,
)
))"),"ТОКАР Олена Миколаївна")</f>
        <v>ТОКАР Олена Миколаївна</v>
      </c>
      <c r="G6855" s="7" t="s">
        <v>10</v>
      </c>
      <c r="H6855" s="7">
        <v>23563</v>
      </c>
      <c r="I6855" s="8" t="str">
        <f ca="1">IFERROR(__xludf.DUMMYFUNCTION("IF
(
G6856=""фізична особа""
,
VLOOKUP(H6856,IMPORTRANGE(""https://docs.google.com/spreadsheets/d/14Bd19lYaqBhU8_DElYkX7l4wRkHqqCUFNJY4AfY3kHU/edit?usp=sharing  #gid=0"",""фіз особи new!relations_name""),6,FALSE)
,
(IF
(
G6856=""юридична особа""
,
VLOOKUP"&amp;"(H6856,IMPORTRANGE(""https://docs.google.com/spreadsheets/d/14Bd19lYaqBhU8_DElYkX7l4wRkHqqCUFNJY4AfY3kHU/edit?usp=sharing  #gid=0"",""фіз особи new!relations_name_uo""),7,FALSE)
,
)
))"),"РИКОВ Олександр Михайлович")</f>
        <v>РИКОВ Олександр Михайлович</v>
      </c>
      <c r="J6855" s="7" t="s">
        <v>30</v>
      </c>
    </row>
    <row r="6856" spans="1:10" ht="13.2">
      <c r="A6856" s="7">
        <v>6855</v>
      </c>
      <c r="B6856" s="7">
        <v>1</v>
      </c>
      <c r="C6856" s="7" t="s">
        <v>10</v>
      </c>
      <c r="D6856" s="7">
        <v>6282</v>
      </c>
      <c r="E6856" s="7" t="s">
        <v>28</v>
      </c>
      <c r="F6856" s="8" t="str">
        <f ca="1">IFERROR(__xludf.DUMMYFUNCTION("IF
(
C6857=""фізична особа""
,
VLOOKUP(D6857,IMPORTRANGE(""https://docs.google.com/spreadsheets/d/14Bd19lYaqBhU8_DElYkX7l4wRkHqqCUFNJY4AfY3kHU/edit?usp=sharing  #gid=0"",""фіз особи new!relations_name""),6,FALSE)
,
(IF
(
C6857=""юридична особа""
,
VLOOKUP"&amp;"(D6857,IMPORTRANGE(""https://docs.google.com/spreadsheets/d/14Bd19lYaqBhU8_DElYkX7l4wRkHqqCUFNJY4AfY3kHU/edit?usp=sharing  #gid=0"",""фіз особи new!relations_name_uo""),7,FALSE)
,
)
))"),"ЩЕЛКУНОВА Людмила Миколаївна")</f>
        <v>ЩЕЛКУНОВА Людмила Миколаївна</v>
      </c>
      <c r="G6856" s="7" t="s">
        <v>10</v>
      </c>
      <c r="H6856" s="7">
        <v>6278</v>
      </c>
      <c r="I6856" s="8" t="str">
        <f ca="1">IFERROR(__xludf.DUMMYFUNCTION("IF
(
G6857=""фізична особа""
,
VLOOKUP(H6857,IMPORTRANGE(""https://docs.google.com/spreadsheets/d/14Bd19lYaqBhU8_DElYkX7l4wRkHqqCUFNJY4AfY3kHU/edit?usp=sharing  #gid=0"",""фіз особи new!relations_name""),6,FALSE)
,
(IF
(
G6857=""юридична особа""
,
VLOOKUP"&amp;"(H6857,IMPORTRANGE(""https://docs.google.com/spreadsheets/d/14Bd19lYaqBhU8_DElYkX7l4wRkHqqCUFNJY4AfY3kHU/edit?usp=sharing  #gid=0"",""фіз особи new!relations_name_uo""),7,FALSE)
,
)
))"),"БУЧИК Аркадій Борисович")</f>
        <v>БУЧИК Аркадій Борисович</v>
      </c>
      <c r="J6856" s="7" t="s">
        <v>29</v>
      </c>
    </row>
    <row r="6857" spans="1:10" ht="13.2">
      <c r="A6857" s="7">
        <v>6856</v>
      </c>
      <c r="B6857" s="7">
        <v>1</v>
      </c>
      <c r="C6857" s="7" t="s">
        <v>10</v>
      </c>
      <c r="D6857" s="7">
        <v>6282</v>
      </c>
      <c r="E6857" s="7" t="s">
        <v>30</v>
      </c>
      <c r="F6857" s="8" t="str">
        <f ca="1">IFERROR(__xludf.DUMMYFUNCTION("IF
(
C6858=""фізична особа""
,
VLOOKUP(D6858,IMPORTRANGE(""https://docs.google.com/spreadsheets/d/14Bd19lYaqBhU8_DElYkX7l4wRkHqqCUFNJY4AfY3kHU/edit?usp=sharing  #gid=0"",""фіз особи new!relations_name""),6,FALSE)
,
(IF
(
C6858=""юридична особа""
,
VLOOKUP"&amp;"(D6858,IMPORTRANGE(""https://docs.google.com/spreadsheets/d/14Bd19lYaqBhU8_DElYkX7l4wRkHqqCUFNJY4AfY3kHU/edit?usp=sharing  #gid=0"",""фіз особи new!relations_name_uo""),7,FALSE)
,
)
))"),"ЩЕЛКУНОВА Людмила Миколаївна")</f>
        <v>ЩЕЛКУНОВА Людмила Миколаївна</v>
      </c>
      <c r="G6857" s="7" t="s">
        <v>10</v>
      </c>
      <c r="H6857" s="7">
        <v>23560</v>
      </c>
      <c r="I6857" s="8" t="str">
        <f ca="1">IFERROR(__xludf.DUMMYFUNCTION("IF
(
G6858=""фізична особа""
,
VLOOKUP(H6858,IMPORTRANGE(""https://docs.google.com/spreadsheets/d/14Bd19lYaqBhU8_DElYkX7l4wRkHqqCUFNJY4AfY3kHU/edit?usp=sharing  #gid=0"",""фіз особи new!relations_name""),6,FALSE)
,
(IF
(
G6858=""юридична особа""
,
VLOOKUP"&amp;"(H6858,IMPORTRANGE(""https://docs.google.com/spreadsheets/d/14Bd19lYaqBhU8_DElYkX7l4wRkHqqCUFNJY4AfY3kHU/edit?usp=sharing  #gid=0"",""фіз особи new!relations_name_uo""),7,FALSE)
,
)
))"),"БАРАШ Інна Федорівна")</f>
        <v>БАРАШ Інна Федорівна</v>
      </c>
      <c r="J6857" s="7" t="s">
        <v>30</v>
      </c>
    </row>
    <row r="6858" spans="1:10" ht="13.2">
      <c r="A6858" s="7">
        <v>6857</v>
      </c>
      <c r="B6858" s="7">
        <v>1</v>
      </c>
      <c r="C6858" s="7" t="s">
        <v>10</v>
      </c>
      <c r="D6858" s="7">
        <v>6282</v>
      </c>
      <c r="E6858" s="7" t="s">
        <v>30</v>
      </c>
      <c r="F6858" s="8" t="str">
        <f ca="1">IFERROR(__xludf.DUMMYFUNCTION("IF
(
C6859=""фізична особа""
,
VLOOKUP(D6859,IMPORTRANGE(""https://docs.google.com/spreadsheets/d/14Bd19lYaqBhU8_DElYkX7l4wRkHqqCUFNJY4AfY3kHU/edit?usp=sharing  #gid=0"",""фіз особи new!relations_name""),6,FALSE)
,
(IF
(
C6859=""юридична особа""
,
VLOOKUP"&amp;"(D6859,IMPORTRANGE(""https://docs.google.com/spreadsheets/d/14Bd19lYaqBhU8_DElYkX7l4wRkHqqCUFNJY4AfY3kHU/edit?usp=sharing  #gid=0"",""фіз особи new!relations_name_uo""),7,FALSE)
,
)
))"),"ЩЕЛКУНОВА Людмила Миколаївна")</f>
        <v>ЩЕЛКУНОВА Людмила Миколаївна</v>
      </c>
      <c r="G6858" s="7" t="s">
        <v>10</v>
      </c>
      <c r="H6858" s="7">
        <v>23561</v>
      </c>
      <c r="I6858" s="8" t="str">
        <f ca="1">IFERROR(__xludf.DUMMYFUNCTION("IF
(
G6859=""фізична особа""
,
VLOOKUP(H6859,IMPORTRANGE(""https://docs.google.com/spreadsheets/d/14Bd19lYaqBhU8_DElYkX7l4wRkHqqCUFNJY4AfY3kHU/edit?usp=sharing  #gid=0"",""фіз особи new!relations_name""),6,FALSE)
,
(IF
(
G6859=""юридична особа""
,
VLOOKUP"&amp;"(H6859,IMPORTRANGE(""https://docs.google.com/spreadsheets/d/14Bd19lYaqBhU8_DElYkX7l4wRkHqqCUFNJY4AfY3kHU/edit?usp=sharing  #gid=0"",""фіз особи new!relations_name_uo""),7,FALSE)
,
)
))"),"РИКОВ Андрій Олександрович")</f>
        <v>РИКОВ Андрій Олександрович</v>
      </c>
      <c r="J6858" s="7" t="s">
        <v>30</v>
      </c>
    </row>
    <row r="6859" spans="1:10" ht="13.2">
      <c r="A6859" s="7">
        <v>6858</v>
      </c>
      <c r="B6859" s="7">
        <v>1</v>
      </c>
      <c r="C6859" s="7" t="s">
        <v>10</v>
      </c>
      <c r="D6859" s="7">
        <v>6282</v>
      </c>
      <c r="E6859" s="7" t="s">
        <v>30</v>
      </c>
      <c r="F6859" s="8" t="str">
        <f ca="1">IFERROR(__xludf.DUMMYFUNCTION("IF
(
C6860=""фізична особа""
,
VLOOKUP(D6860,IMPORTRANGE(""https://docs.google.com/spreadsheets/d/14Bd19lYaqBhU8_DElYkX7l4wRkHqqCUFNJY4AfY3kHU/edit?usp=sharing  #gid=0"",""фіз особи new!relations_name""),6,FALSE)
,
(IF
(
C6860=""юридична особа""
,
VLOOKUP"&amp;"(D6860,IMPORTRANGE(""https://docs.google.com/spreadsheets/d/14Bd19lYaqBhU8_DElYkX7l4wRkHqqCUFNJY4AfY3kHU/edit?usp=sharing  #gid=0"",""фіз особи new!relations_name_uo""),7,FALSE)
,
)
))"),"ЩЕЛКУНОВА Людмила Миколаївна")</f>
        <v>ЩЕЛКУНОВА Людмила Миколаївна</v>
      </c>
      <c r="G6859" s="7" t="s">
        <v>10</v>
      </c>
      <c r="H6859" s="7">
        <v>23562</v>
      </c>
      <c r="I6859" s="8" t="str">
        <f ca="1">IFERROR(__xludf.DUMMYFUNCTION("IF
(
G6860=""фізична особа""
,
VLOOKUP(H6860,IMPORTRANGE(""https://docs.google.com/spreadsheets/d/14Bd19lYaqBhU8_DElYkX7l4wRkHqqCUFNJY4AfY3kHU/edit?usp=sharing  #gid=0"",""фіз особи new!relations_name""),6,FALSE)
,
(IF
(
G6860=""юридична особа""
,
VLOOKUP"&amp;"(H6860,IMPORTRANGE(""https://docs.google.com/spreadsheets/d/14Bd19lYaqBhU8_DElYkX7l4wRkHqqCUFNJY4AfY3kHU/edit?usp=sharing  #gid=0"",""фіз особи new!relations_name_uo""),7,FALSE)
,
)
))"),"РИКОВ Олексій Олександрович")</f>
        <v>РИКОВ Олексій Олександрович</v>
      </c>
      <c r="J6859" s="7" t="s">
        <v>30</v>
      </c>
    </row>
    <row r="6860" spans="1:10" ht="13.2">
      <c r="A6860" s="7">
        <v>6859</v>
      </c>
      <c r="B6860" s="7">
        <v>1</v>
      </c>
      <c r="C6860" s="7" t="s">
        <v>10</v>
      </c>
      <c r="D6860" s="7">
        <v>6282</v>
      </c>
      <c r="E6860" s="7" t="s">
        <v>30</v>
      </c>
      <c r="F6860" s="8" t="str">
        <f ca="1">IFERROR(__xludf.DUMMYFUNCTION("IF
(
C6861=""фізична особа""
,
VLOOKUP(D6861,IMPORTRANGE(""https://docs.google.com/spreadsheets/d/14Bd19lYaqBhU8_DElYkX7l4wRkHqqCUFNJY4AfY3kHU/edit?usp=sharing  #gid=0"",""фіз особи new!relations_name""),6,FALSE)
,
(IF
(
C6861=""юридична особа""
,
VLOOKUP"&amp;"(D6861,IMPORTRANGE(""https://docs.google.com/spreadsheets/d/14Bd19lYaqBhU8_DElYkX7l4wRkHqqCUFNJY4AfY3kHU/edit?usp=sharing  #gid=0"",""фіз особи new!relations_name_uo""),7,FALSE)
,
)
))"),"ЩЕЛКУНОВА Людмила Миколаївна")</f>
        <v>ЩЕЛКУНОВА Людмила Миколаївна</v>
      </c>
      <c r="G6860" s="7" t="s">
        <v>10</v>
      </c>
      <c r="H6860" s="7">
        <v>23563</v>
      </c>
      <c r="I6860" s="8" t="str">
        <f ca="1">IFERROR(__xludf.DUMMYFUNCTION("IF
(
G6861=""фізична особа""
,
VLOOKUP(H6861,IMPORTRANGE(""https://docs.google.com/spreadsheets/d/14Bd19lYaqBhU8_DElYkX7l4wRkHqqCUFNJY4AfY3kHU/edit?usp=sharing  #gid=0"",""фіз особи new!relations_name""),6,FALSE)
,
(IF
(
G6861=""юридична особа""
,
VLOOKUP"&amp;"(H6861,IMPORTRANGE(""https://docs.google.com/spreadsheets/d/14Bd19lYaqBhU8_DElYkX7l4wRkHqqCUFNJY4AfY3kHU/edit?usp=sharing  #gid=0"",""фіз особи new!relations_name_uo""),7,FALSE)
,
)
))"),"РИКОВ Олександр Михайлович")</f>
        <v>РИКОВ Олександр Михайлович</v>
      </c>
      <c r="J6860" s="7" t="s">
        <v>30</v>
      </c>
    </row>
    <row r="6861" spans="1:10" ht="13.2">
      <c r="A6861" s="7">
        <v>6860</v>
      </c>
      <c r="B6861" s="7">
        <v>1</v>
      </c>
      <c r="C6861" s="7" t="s">
        <v>10</v>
      </c>
      <c r="D6861" s="7">
        <v>6299</v>
      </c>
      <c r="E6861" s="7" t="s">
        <v>21</v>
      </c>
      <c r="F6861" s="8" t="str">
        <f ca="1">IFERROR(__xludf.DUMMYFUNCTION("IF
(
C6862=""фізична особа""
,
VLOOKUP(D6862,IMPORTRANGE(""https://docs.google.com/spreadsheets/d/14Bd19lYaqBhU8_DElYkX7l4wRkHqqCUFNJY4AfY3kHU/edit?usp=sharing  #gid=0"",""фіз особи new!relations_name""),6,FALSE)
,
(IF
(
C6862=""юридична особа""
,
VLOOKUP"&amp;"(D6862,IMPORTRANGE(""https://docs.google.com/spreadsheets/d/14Bd19lYaqBhU8_DElYkX7l4wRkHqqCUFNJY4AfY3kHU/edit?usp=sharing  #gid=0"",""фіз особи new!relations_name_uo""),7,FALSE)
,
)
))"),"МАРТЬЯНОВА Надія Василівна")</f>
        <v>МАРТЬЯНОВА Надія Василівна</v>
      </c>
      <c r="G6861" s="7" t="s">
        <v>10</v>
      </c>
      <c r="H6861" s="7">
        <v>6303</v>
      </c>
      <c r="I6861" s="8" t="str">
        <f ca="1">IFERROR(__xludf.DUMMYFUNCTION("IF
(
G6862=""фізична особа""
,
VLOOKUP(H6862,IMPORTRANGE(""https://docs.google.com/spreadsheets/d/14Bd19lYaqBhU8_DElYkX7l4wRkHqqCUFNJY4AfY3kHU/edit?usp=sharing  #gid=0"",""фіз особи new!relations_name""),6,FALSE)
,
(IF
(
G6862=""юридична особа""
,
VLOOKUP"&amp;"(H6862,IMPORTRANGE(""https://docs.google.com/spreadsheets/d/14Bd19lYaqBhU8_DElYkX7l4wRkHqqCUFNJY4AfY3kHU/edit?usp=sharing  #gid=0"",""фіз особи new!relations_name_uo""),7,FALSE)
,
)
))"),"МАРТЬЯНОВ Андрій Олександрович")</f>
        <v>МАРТЬЯНОВ Андрій Олександрович</v>
      </c>
      <c r="J6861" s="7" t="s">
        <v>17</v>
      </c>
    </row>
    <row r="6862" spans="1:10" ht="13.2">
      <c r="A6862" s="7">
        <v>6861</v>
      </c>
      <c r="B6862" s="7">
        <v>1</v>
      </c>
      <c r="C6862" s="7" t="s">
        <v>10</v>
      </c>
      <c r="D6862" s="7">
        <v>6303</v>
      </c>
      <c r="E6862" s="7" t="s">
        <v>17</v>
      </c>
      <c r="F6862" s="8" t="str">
        <f ca="1">IFERROR(__xludf.DUMMYFUNCTION("IF
(
C6863=""фізична особа""
,
VLOOKUP(D6863,IMPORTRANGE(""https://docs.google.com/spreadsheets/d/14Bd19lYaqBhU8_DElYkX7l4wRkHqqCUFNJY4AfY3kHU/edit?usp=sharing  #gid=0"",""фіз особи new!relations_name""),6,FALSE)
,
(IF
(
C6863=""юридична особа""
,
VLOOKUP"&amp;"(D6863,IMPORTRANGE(""https://docs.google.com/spreadsheets/d/14Bd19lYaqBhU8_DElYkX7l4wRkHqqCUFNJY4AfY3kHU/edit?usp=sharing  #gid=0"",""фіз особи new!relations_name_uo""),7,FALSE)
,
)
))"),"МАРТЬЯНОВ Андрій Олександрович")</f>
        <v>МАРТЬЯНОВ Андрій Олександрович</v>
      </c>
      <c r="G6862" s="7" t="s">
        <v>10</v>
      </c>
      <c r="H6862" s="7">
        <v>6299</v>
      </c>
      <c r="I6862" s="8" t="str">
        <f ca="1">IFERROR(__xludf.DUMMYFUNCTION("IF
(
G6863=""фізична особа""
,
VLOOKUP(H6863,IMPORTRANGE(""https://docs.google.com/spreadsheets/d/14Bd19lYaqBhU8_DElYkX7l4wRkHqqCUFNJY4AfY3kHU/edit?usp=sharing  #gid=0"",""фіз особи new!relations_name""),6,FALSE)
,
(IF
(
G6863=""юридична особа""
,
VLOOKUP"&amp;"(H6863,IMPORTRANGE(""https://docs.google.com/spreadsheets/d/14Bd19lYaqBhU8_DElYkX7l4wRkHqqCUFNJY4AfY3kHU/edit?usp=sharing  #gid=0"",""фіз особи new!relations_name_uo""),7,FALSE)
,
)
))"),"МАРТЬЯНОВА Надія Василівна")</f>
        <v>МАРТЬЯНОВА Надія Василівна</v>
      </c>
      <c r="J6862" s="7" t="s">
        <v>21</v>
      </c>
    </row>
    <row r="6863" spans="1:10" ht="13.2">
      <c r="A6863" s="7">
        <v>6862</v>
      </c>
      <c r="B6863" s="7">
        <v>1</v>
      </c>
      <c r="C6863" s="7" t="s">
        <v>10</v>
      </c>
      <c r="D6863" s="7">
        <v>6324</v>
      </c>
      <c r="E6863" s="7" t="s">
        <v>18</v>
      </c>
      <c r="F6863" s="8" t="str">
        <f ca="1">IFERROR(__xludf.DUMMYFUNCTION("IF
(
C6864=""фізична особа""
,
VLOOKUP(D6864,IMPORTRANGE(""https://docs.google.com/spreadsheets/d/14Bd19lYaqBhU8_DElYkX7l4wRkHqqCUFNJY4AfY3kHU/edit?usp=sharing  #gid=0"",""фіз особи new!relations_name""),6,FALSE)
,
(IF
(
C6864=""юридична особа""
,
VLOOKUP"&amp;"(D6864,IMPORTRANGE(""https://docs.google.com/spreadsheets/d/14Bd19lYaqBhU8_DElYkX7l4wRkHqqCUFNJY4AfY3kHU/edit?usp=sharing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3" s="7" t="s">
        <v>10</v>
      </c>
      <c r="H6863" s="7">
        <v>0</v>
      </c>
      <c r="I6863" s="8" t="str">
        <f ca="1">IFERROR(__xludf.DUMMYFUNCTION("IF
(
G6864=""фізична особа""
,
VLOOKUP(H6864,IMPORTRANGE(""https://docs.google.com/spreadsheets/d/14Bd19lYaqBhU8_DElYkX7l4wRkHqqCUFNJY4AfY3kHU/edit?usp=sharing  #gid=0"",""фіз особи new!relations_name""),6,FALSE)
,
(IF
(
G6864=""юридична особа""
,
VLOOKUP"&amp;"(H6864,IMPORTRANGE(""https://docs.google.com/spreadsheets/d/14Bd19lYaqBhU8_DElYkX7l4wRkHqqCUFNJY4AfY3kHU/edit?usp=sharing  #gid=0"",""фіз особи new!relations_name_uo""),7,FALSE)
,
)
))"),"#N/A")</f>
        <v>#N/A</v>
      </c>
      <c r="J6863" s="7" t="s">
        <v>18</v>
      </c>
    </row>
    <row r="6864" spans="1:10" ht="13.2">
      <c r="A6864" s="7">
        <v>6863</v>
      </c>
      <c r="B6864" s="7">
        <v>1</v>
      </c>
      <c r="C6864" s="7" t="s">
        <v>10</v>
      </c>
      <c r="D6864" s="7">
        <v>6324</v>
      </c>
      <c r="E6864" s="7" t="s">
        <v>14</v>
      </c>
      <c r="F6864" s="8" t="str">
        <f ca="1">IFERROR(__xludf.DUMMYFUNCTION("IF
(
C6865=""фізична особа""
,
VLOOKUP(D6865,IMPORTRANGE(""https://docs.google.com/spreadsheets/d/14Bd19lYaqBhU8_DElYkX7l4wRkHqqCUFNJY4AfY3kHU/edit?usp=sharing  #gid=0"",""фіз особи new!relations_name""),6,FALSE)
,
(IF
(
C6865=""юридична особа""
,
VLOOKUP"&amp;"(D6865,IMPORTRANGE(""https://docs.google.com/spreadsheets/d/14Bd19lYaqBhU8_DElYkX7l4wRkHqqCUFNJY4AfY3kHU/edit?usp=sharing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4" s="7" t="s">
        <v>10</v>
      </c>
      <c r="H6864" s="7">
        <v>0</v>
      </c>
      <c r="I6864" s="8" t="str">
        <f ca="1">IFERROR(__xludf.DUMMYFUNCTION("IF
(
G6865=""фізична особа""
,
VLOOKUP(H6865,IMPORTRANGE(""https://docs.google.com/spreadsheets/d/14Bd19lYaqBhU8_DElYkX7l4wRkHqqCUFNJY4AfY3kHU/edit?usp=sharing  #gid=0"",""фіз особи new!relations_name""),6,FALSE)
,
(IF
(
G6865=""юридична особа""
,
VLOOKUP"&amp;"(H6865,IMPORTRANGE(""https://docs.google.com/spreadsheets/d/14Bd19lYaqBhU8_DElYkX7l4wRkHqqCUFNJY4AfY3kHU/edit?usp=sharing  #gid=0"",""фіз особи new!relations_name_uo""),7,FALSE)
,
)
))"),"#N/A")</f>
        <v>#N/A</v>
      </c>
      <c r="J6864" s="7" t="s">
        <v>15</v>
      </c>
    </row>
    <row r="6865" spans="1:10" ht="13.2">
      <c r="A6865" s="7">
        <v>6864</v>
      </c>
      <c r="B6865" s="7">
        <v>1</v>
      </c>
      <c r="C6865" s="7" t="s">
        <v>10</v>
      </c>
      <c r="D6865" s="7">
        <v>6324</v>
      </c>
      <c r="E6865" s="7" t="s">
        <v>12</v>
      </c>
      <c r="F6865" s="8" t="str">
        <f ca="1">IFERROR(__xludf.DUMMYFUNCTION("IF
(
C6866=""фізична особа""
,
VLOOKUP(D6866,IMPORTRANGE(""https://docs.google.com/spreadsheets/d/14Bd19lYaqBhU8_DElYkX7l4wRkHqqCUFNJY4AfY3kHU/edit?usp=sharing  #gid=0"",""фіз особи new!relations_name""),6,FALSE)
,
(IF
(
C6866=""юридична особа""
,
VLOOKUP"&amp;"(D6866,IMPORTRANGE(""https://docs.google.com/spreadsheets/d/14Bd19lYaqBhU8_DElYkX7l4wRkHqqCUFNJY4AfY3kHU/edit?usp=sharing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5" s="7" t="s">
        <v>10</v>
      </c>
      <c r="H6865" s="7">
        <v>0</v>
      </c>
      <c r="I6865" s="8" t="str">
        <f ca="1">IFERROR(__xludf.DUMMYFUNCTION("IF
(
G6866=""фізична особа""
,
VLOOKUP(H6866,IMPORTRANGE(""https://docs.google.com/spreadsheets/d/14Bd19lYaqBhU8_DElYkX7l4wRkHqqCUFNJY4AfY3kHU/edit?usp=sharing  #gid=0"",""фіз особи new!relations_name""),6,FALSE)
,
(IF
(
G6866=""юридична особа""
,
VLOOKUP"&amp;"(H6866,IMPORTRANGE(""https://docs.google.com/spreadsheets/d/14Bd19lYaqBhU8_DElYkX7l4wRkHqqCUFNJY4AfY3kHU/edit?usp=sharing  #gid=0"",""фіз особи new!relations_name_uo""),7,FALSE)
,
)
))"),"#N/A")</f>
        <v>#N/A</v>
      </c>
      <c r="J6865" s="7" t="s">
        <v>17</v>
      </c>
    </row>
    <row r="6866" spans="1:10" ht="13.2">
      <c r="A6866" s="7">
        <v>6865</v>
      </c>
      <c r="B6866" s="7">
        <v>1</v>
      </c>
      <c r="C6866" s="7" t="s">
        <v>10</v>
      </c>
      <c r="D6866" s="7">
        <v>6324</v>
      </c>
      <c r="E6866" s="7" t="s">
        <v>12</v>
      </c>
      <c r="F6866" s="8" t="str">
        <f ca="1">IFERROR(__xludf.DUMMYFUNCTION("IF
(
C6867=""фізична особа""
,
VLOOKUP(D6867,IMPORTRANGE(""https://docs.google.com/spreadsheets/d/14Bd19lYaqBhU8_DElYkX7l4wRkHqqCUFNJY4AfY3kHU/edit?usp=sharing  #gid=0"",""фіз особи new!relations_name""),6,FALSE)
,
(IF
(
C6867=""юридична особа""
,
VLOOKUP"&amp;"(D6867,IMPORTRANGE(""https://docs.google.com/spreadsheets/d/14Bd19lYaqBhU8_DElYkX7l4wRkHqqCUFNJY4AfY3kHU/edit?usp=sharing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6" s="7" t="s">
        <v>10</v>
      </c>
      <c r="H6866" s="7">
        <v>0</v>
      </c>
      <c r="I6866" s="8" t="str">
        <f ca="1">IFERROR(__xludf.DUMMYFUNCTION("IF
(
G6867=""фізична особа""
,
VLOOKUP(H6867,IMPORTRANGE(""https://docs.google.com/spreadsheets/d/14Bd19lYaqBhU8_DElYkX7l4wRkHqqCUFNJY4AfY3kHU/edit?usp=sharing  #gid=0"",""фіз особи new!relations_name""),6,FALSE)
,
(IF
(
G6867=""юридична особа""
,
VLOOKUP"&amp;"(H6867,IMPORTRANGE(""https://docs.google.com/spreadsheets/d/14Bd19lYaqBhU8_DElYkX7l4wRkHqqCUFNJY4AfY3kHU/edit?usp=sharing  #gid=0"",""фіз особи new!relations_name_uo""),7,FALSE)
,
)
))"),"#N/A")</f>
        <v>#N/A</v>
      </c>
      <c r="J6866" s="7" t="s">
        <v>13</v>
      </c>
    </row>
    <row r="6867" spans="1:10" ht="13.2">
      <c r="A6867" s="7">
        <v>6866</v>
      </c>
      <c r="B6867" s="7">
        <v>1</v>
      </c>
      <c r="C6867" s="7" t="s">
        <v>10</v>
      </c>
      <c r="D6867" s="7">
        <v>6324</v>
      </c>
      <c r="E6867" s="7" t="s">
        <v>12</v>
      </c>
      <c r="F6867" s="8" t="str">
        <f ca="1">IFERROR(__xludf.DUMMYFUNCTION("IF
(
C6868=""фізична особа""
,
VLOOKUP(D6868,IMPORTRANGE(""https://docs.google.com/spreadsheets/d/14Bd19lYaqBhU8_DElYkX7l4wRkHqqCUFNJY4AfY3kHU/edit?usp=sharing  #gid=0"",""фіз особи new!relations_name""),6,FALSE)
,
(IF
(
C6868=""юридична особа""
,
VLOOKUP"&amp;"(D6868,IMPORTRANGE(""https://docs.google.com/spreadsheets/d/14Bd19lYaqBhU8_DElYkX7l4wRkHqqCUFNJY4AfY3kHU/edit?usp=sharing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7" s="7" t="s">
        <v>10</v>
      </c>
      <c r="H6867" s="7">
        <v>0</v>
      </c>
      <c r="I6867" s="8" t="str">
        <f ca="1">IFERROR(__xludf.DUMMYFUNCTION("IF
(
G6868=""фізична особа""
,
VLOOKUP(H6868,IMPORTRANGE(""https://docs.google.com/spreadsheets/d/14Bd19lYaqBhU8_DElYkX7l4wRkHqqCUFNJY4AfY3kHU/edit?usp=sharing  #gid=0"",""фіз особи new!relations_name""),6,FALSE)
,
(IF
(
G6868=""юридична особа""
,
VLOOKUP"&amp;"(H6868,IMPORTRANGE(""https://docs.google.com/spreadsheets/d/14Bd19lYaqBhU8_DElYkX7l4wRkHqqCUFNJY4AfY3kHU/edit?usp=sharing  #gid=0"",""фіз особи new!relations_name_uo""),7,FALSE)
,
)
))"),"#N/A")</f>
        <v>#N/A</v>
      </c>
      <c r="J6867" s="7" t="s">
        <v>13</v>
      </c>
    </row>
    <row r="6868" spans="1:10" ht="13.2">
      <c r="A6868" s="7">
        <v>6867</v>
      </c>
      <c r="B6868" s="7">
        <v>1</v>
      </c>
      <c r="C6868" s="7" t="s">
        <v>10</v>
      </c>
      <c r="D6868" s="7">
        <v>6324</v>
      </c>
      <c r="E6868" s="7" t="s">
        <v>26</v>
      </c>
      <c r="F6868" s="8" t="str">
        <f ca="1">IFERROR(__xludf.DUMMYFUNCTION("IF
(
C6869=""фізична особа""
,
VLOOKUP(D6869,IMPORTRANGE(""https://docs.google.com/spreadsheets/d/14Bd19lYaqBhU8_DElYkX7l4wRkHqqCUFNJY4AfY3kHU/edit?usp=sharing  #gid=0"",""фіз особи new!relations_name""),6,FALSE)
,
(IF
(
C6869=""юридична особа""
,
VLOOKUP"&amp;"(D6869,IMPORTRANGE(""https://docs.google.com/spreadsheets/d/14Bd19lYaqBhU8_DElYkX7l4wRkHqqCUFNJY4AfY3kHU/edit?usp=sharing  #gid=0"",""фіз особи new!relations_name_uo""),7,FALSE)
,
)
))"),"ВЕРХОШИНСЬКИЙ Володимир Вячеславович")</f>
        <v>ВЕРХОШИНСЬКИЙ Володимир Вячеславович</v>
      </c>
      <c r="G6868" s="7" t="s">
        <v>10</v>
      </c>
      <c r="H6868" s="7">
        <v>0</v>
      </c>
      <c r="I6868" s="8" t="str">
        <f ca="1">IFERROR(__xludf.DUMMYFUNCTION("IF
(
G6869=""фізична особа""
,
VLOOKUP(H6869,IMPORTRANGE(""https://docs.google.com/spreadsheets/d/14Bd19lYaqBhU8_DElYkX7l4wRkHqqCUFNJY4AfY3kHU/edit?usp=sharing  #gid=0"",""фіз особи new!relations_name""),6,FALSE)
,
(IF
(
G6869=""юридична особа""
,
VLOOKUP"&amp;"(H6869,IMPORTRANGE(""https://docs.google.com/spreadsheets/d/14Bd19lYaqBhU8_DElYkX7l4wRkHqqCUFNJY4AfY3kHU/edit?usp=sharing  #gid=0"",""фіз особи new!relations_name_uo""),7,FALSE)
,
)
))"),"#N/A")</f>
        <v>#N/A</v>
      </c>
      <c r="J6868" s="7" t="s">
        <v>50</v>
      </c>
    </row>
    <row r="6869" spans="1:10" ht="13.2">
      <c r="A6869" s="7">
        <v>6868</v>
      </c>
      <c r="B6869" s="7">
        <v>1</v>
      </c>
      <c r="C6869" s="7" t="s">
        <v>10</v>
      </c>
      <c r="D6869" s="7">
        <v>6325</v>
      </c>
      <c r="E6869" s="7" t="s">
        <v>14</v>
      </c>
      <c r="F6869" s="8" t="str">
        <f ca="1">IFERROR(__xludf.DUMMYFUNCTION("IF
(
C6870=""фізична особа""
,
VLOOKUP(D6870,IMPORTRANGE(""https://docs.google.com/spreadsheets/d/14Bd19lYaqBhU8_DElYkX7l4wRkHqqCUFNJY4AfY3kHU/edit?usp=sharing  #gid=0"",""фіз особи new!relations_name""),6,FALSE)
,
(IF
(
C6870=""юридична особа""
,
VLOOKUP"&amp;"(D6870,IMPORTRANGE(""https://docs.google.com/spreadsheets/d/14Bd19lYaqBhU8_DElYkX7l4wRkHqqCUFNJY4AfY3kHU/edit?usp=sharing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69" s="7" t="s">
        <v>10</v>
      </c>
      <c r="H6869" s="7">
        <v>0</v>
      </c>
      <c r="I6869" s="8" t="str">
        <f ca="1">IFERROR(__xludf.DUMMYFUNCTION("IF
(
G6870=""фізична особа""
,
VLOOKUP(H6870,IMPORTRANGE(""https://docs.google.com/spreadsheets/d/14Bd19lYaqBhU8_DElYkX7l4wRkHqqCUFNJY4AfY3kHU/edit?usp=sharing  #gid=0"",""фіз особи new!relations_name""),6,FALSE)
,
(IF
(
G6870=""юридична особа""
,
VLOOKUP"&amp;"(H6870,IMPORTRANGE(""https://docs.google.com/spreadsheets/d/14Bd19lYaqBhU8_DElYkX7l4wRkHqqCUFNJY4AfY3kHU/edit?usp=sharing  #gid=0"",""фіз особи new!relations_name_uo""),7,FALSE)
,
)
))"),"#N/A")</f>
        <v>#N/A</v>
      </c>
      <c r="J6869" s="7" t="s">
        <v>15</v>
      </c>
    </row>
    <row r="6870" spans="1:10" ht="13.2">
      <c r="A6870" s="7">
        <v>6869</v>
      </c>
      <c r="B6870" s="7">
        <v>1</v>
      </c>
      <c r="C6870" s="7" t="s">
        <v>10</v>
      </c>
      <c r="D6870" s="7">
        <v>6325</v>
      </c>
      <c r="E6870" s="7" t="s">
        <v>12</v>
      </c>
      <c r="F6870" s="8" t="str">
        <f ca="1">IFERROR(__xludf.DUMMYFUNCTION("IF
(
C6871=""фізична особа""
,
VLOOKUP(D6871,IMPORTRANGE(""https://docs.google.com/spreadsheets/d/14Bd19lYaqBhU8_DElYkX7l4wRkHqqCUFNJY4AfY3kHU/edit?usp=sharing  #gid=0"",""фіз особи new!relations_name""),6,FALSE)
,
(IF
(
C6871=""юридична особа""
,
VLOOKUP"&amp;"(D6871,IMPORTRANGE(""https://docs.google.com/spreadsheets/d/14Bd19lYaqBhU8_DElYkX7l4wRkHqqCUFNJY4AfY3kHU/edit?usp=sharing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0" s="7" t="s">
        <v>10</v>
      </c>
      <c r="H6870" s="7">
        <v>0</v>
      </c>
      <c r="I6870" s="8" t="str">
        <f ca="1">IFERROR(__xludf.DUMMYFUNCTION("IF
(
G6871=""фізична особа""
,
VLOOKUP(H6871,IMPORTRANGE(""https://docs.google.com/spreadsheets/d/14Bd19lYaqBhU8_DElYkX7l4wRkHqqCUFNJY4AfY3kHU/edit?usp=sharing  #gid=0"",""фіз особи new!relations_name""),6,FALSE)
,
(IF
(
G6871=""юридична особа""
,
VLOOKUP"&amp;"(H6871,IMPORTRANGE(""https://docs.google.com/spreadsheets/d/14Bd19lYaqBhU8_DElYkX7l4wRkHqqCUFNJY4AfY3kHU/edit?usp=sharing  #gid=0"",""фіз особи new!relations_name_uo""),7,FALSE)
,
)
))"),"#N/A")</f>
        <v>#N/A</v>
      </c>
      <c r="J6870" s="7" t="s">
        <v>13</v>
      </c>
    </row>
    <row r="6871" spans="1:10" ht="13.2">
      <c r="A6871" s="7">
        <v>6870</v>
      </c>
      <c r="B6871" s="7">
        <v>1</v>
      </c>
      <c r="C6871" s="7" t="s">
        <v>10</v>
      </c>
      <c r="D6871" s="7">
        <v>6325</v>
      </c>
      <c r="E6871" s="7" t="s">
        <v>12</v>
      </c>
      <c r="F6871" s="8" t="str">
        <f ca="1">IFERROR(__xludf.DUMMYFUNCTION("IF
(
C6872=""фізична особа""
,
VLOOKUP(D6872,IMPORTRANGE(""https://docs.google.com/spreadsheets/d/14Bd19lYaqBhU8_DElYkX7l4wRkHqqCUFNJY4AfY3kHU/edit?usp=sharing  #gid=0"",""фіз особи new!relations_name""),6,FALSE)
,
(IF
(
C6872=""юридична особа""
,
VLOOKUP"&amp;"(D6872,IMPORTRANGE(""https://docs.google.com/spreadsheets/d/14Bd19lYaqBhU8_DElYkX7l4wRkHqqCUFNJY4AfY3kHU/edit?usp=sharing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1" s="7" t="s">
        <v>10</v>
      </c>
      <c r="H6871" s="7">
        <v>0</v>
      </c>
      <c r="I6871" s="8" t="str">
        <f ca="1">IFERROR(__xludf.DUMMYFUNCTION("IF
(
G6872=""фізична особа""
,
VLOOKUP(H6872,IMPORTRANGE(""https://docs.google.com/spreadsheets/d/14Bd19lYaqBhU8_DElYkX7l4wRkHqqCUFNJY4AfY3kHU/edit?usp=sharing  #gid=0"",""фіз особи new!relations_name""),6,FALSE)
,
(IF
(
G6872=""юридична особа""
,
VLOOKUP"&amp;"(H6872,IMPORTRANGE(""https://docs.google.com/spreadsheets/d/14Bd19lYaqBhU8_DElYkX7l4wRkHqqCUFNJY4AfY3kHU/edit?usp=sharing  #gid=0"",""фіз особи new!relations_name_uo""),7,FALSE)
,
)
))"),"#N/A")</f>
        <v>#N/A</v>
      </c>
      <c r="J6871" s="7" t="s">
        <v>17</v>
      </c>
    </row>
    <row r="6872" spans="1:10" ht="13.2">
      <c r="A6872" s="7">
        <v>6871</v>
      </c>
      <c r="B6872" s="7">
        <v>1</v>
      </c>
      <c r="C6872" s="7" t="s">
        <v>10</v>
      </c>
      <c r="D6872" s="7">
        <v>6325</v>
      </c>
      <c r="E6872" s="7" t="s">
        <v>12</v>
      </c>
      <c r="F6872" s="8" t="str">
        <f ca="1">IFERROR(__xludf.DUMMYFUNCTION("IF
(
C6873=""фізична особа""
,
VLOOKUP(D6873,IMPORTRANGE(""https://docs.google.com/spreadsheets/d/14Bd19lYaqBhU8_DElYkX7l4wRkHqqCUFNJY4AfY3kHU/edit?usp=sharing  #gid=0"",""фіз особи new!relations_name""),6,FALSE)
,
(IF
(
C6873=""юридична особа""
,
VLOOKUP"&amp;"(D6873,IMPORTRANGE(""https://docs.google.com/spreadsheets/d/14Bd19lYaqBhU8_DElYkX7l4wRkHqqCUFNJY4AfY3kHU/edit?usp=sharing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2" s="7" t="s">
        <v>10</v>
      </c>
      <c r="H6872" s="7">
        <v>0</v>
      </c>
      <c r="I6872" s="8" t="str">
        <f ca="1">IFERROR(__xludf.DUMMYFUNCTION("IF
(
G6873=""фізична особа""
,
VLOOKUP(H6873,IMPORTRANGE(""https://docs.google.com/spreadsheets/d/14Bd19lYaqBhU8_DElYkX7l4wRkHqqCUFNJY4AfY3kHU/edit?usp=sharing  #gid=0"",""фіз особи new!relations_name""),6,FALSE)
,
(IF
(
G6873=""юридична особа""
,
VLOOKUP"&amp;"(H6873,IMPORTRANGE(""https://docs.google.com/spreadsheets/d/14Bd19lYaqBhU8_DElYkX7l4wRkHqqCUFNJY4AfY3kHU/edit?usp=sharing  #gid=0"",""фіз особи new!relations_name_uo""),7,FALSE)
,
)
))"),"#N/A")</f>
        <v>#N/A</v>
      </c>
      <c r="J6872" s="7" t="s">
        <v>13</v>
      </c>
    </row>
    <row r="6873" spans="1:10" ht="13.2">
      <c r="A6873" s="7">
        <v>6872</v>
      </c>
      <c r="B6873" s="7">
        <v>1</v>
      </c>
      <c r="C6873" s="7" t="s">
        <v>10</v>
      </c>
      <c r="D6873" s="7">
        <v>6325</v>
      </c>
      <c r="E6873" s="7" t="s">
        <v>17</v>
      </c>
      <c r="F6873" s="8" t="str">
        <f ca="1">IFERROR(__xludf.DUMMYFUNCTION("IF
(
C6874=""фізична особа""
,
VLOOKUP(D6874,IMPORTRANGE(""https://docs.google.com/spreadsheets/d/14Bd19lYaqBhU8_DElYkX7l4wRkHqqCUFNJY4AfY3kHU/edit?usp=sharing  #gid=0"",""фіз особи new!relations_name""),6,FALSE)
,
(IF
(
C6874=""юридична особа""
,
VLOOKUP"&amp;"(D6874,IMPORTRANGE(""https://docs.google.com/spreadsheets/d/14Bd19lYaqBhU8_DElYkX7l4wRkHqqCUFNJY4AfY3kHU/edit?usp=sharing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3" s="7" t="s">
        <v>10</v>
      </c>
      <c r="H6873" s="7">
        <v>0</v>
      </c>
      <c r="I6873" s="8" t="str">
        <f ca="1">IFERROR(__xludf.DUMMYFUNCTION("IF
(
G6874=""фізична особа""
,
VLOOKUP(H6874,IMPORTRANGE(""https://docs.google.com/spreadsheets/d/14Bd19lYaqBhU8_DElYkX7l4wRkHqqCUFNJY4AfY3kHU/edit?usp=sharing  #gid=0"",""фіз особи new!relations_name""),6,FALSE)
,
(IF
(
G6874=""юридична особа""
,
VLOOKUP"&amp;"(H6874,IMPORTRANGE(""https://docs.google.com/spreadsheets/d/14Bd19lYaqBhU8_DElYkX7l4wRkHqqCUFNJY4AfY3kHU/edit?usp=sharing  #gid=0"",""фіз особи new!relations_name_uo""),7,FALSE)
,
)
))"),"#N/A")</f>
        <v>#N/A</v>
      </c>
      <c r="J6873" s="7" t="s">
        <v>21</v>
      </c>
    </row>
    <row r="6874" spans="1:10" ht="13.2">
      <c r="A6874" s="7">
        <v>6873</v>
      </c>
      <c r="B6874" s="7">
        <v>1</v>
      </c>
      <c r="C6874" s="7" t="s">
        <v>10</v>
      </c>
      <c r="D6874" s="7">
        <v>6325</v>
      </c>
      <c r="E6874" s="7" t="s">
        <v>18</v>
      </c>
      <c r="F6874" s="8" t="str">
        <f ca="1">IFERROR(__xludf.DUMMYFUNCTION("IF
(
C6875=""фізична особа""
,
VLOOKUP(D6875,IMPORTRANGE(""https://docs.google.com/spreadsheets/d/14Bd19lYaqBhU8_DElYkX7l4wRkHqqCUFNJY4AfY3kHU/edit?usp=sharing  #gid=0"",""фіз особи new!relations_name""),6,FALSE)
,
(IF
(
C6875=""юридична особа""
,
VLOOKUP"&amp;"(D6875,IMPORTRANGE(""https://docs.google.com/spreadsheets/d/14Bd19lYaqBhU8_DElYkX7l4wRkHqqCUFNJY4AfY3kHU/edit?usp=sharing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4" s="7" t="s">
        <v>10</v>
      </c>
      <c r="H6874" s="7">
        <v>0</v>
      </c>
      <c r="I6874" s="8" t="str">
        <f ca="1">IFERROR(__xludf.DUMMYFUNCTION("IF
(
G6875=""фізична особа""
,
VLOOKUP(H6875,IMPORTRANGE(""https://docs.google.com/spreadsheets/d/14Bd19lYaqBhU8_DElYkX7l4wRkHqqCUFNJY4AfY3kHU/edit?usp=sharing  #gid=0"",""фіз особи new!relations_name""),6,FALSE)
,
(IF
(
G6875=""юридична особа""
,
VLOOKUP"&amp;"(H6875,IMPORTRANGE(""https://docs.google.com/spreadsheets/d/14Bd19lYaqBhU8_DElYkX7l4wRkHqqCUFNJY4AfY3kHU/edit?usp=sharing  #gid=0"",""фіз особи new!relations_name_uo""),7,FALSE)
,
)
))"),"#N/A")</f>
        <v>#N/A</v>
      </c>
      <c r="J6874" s="7" t="s">
        <v>18</v>
      </c>
    </row>
    <row r="6875" spans="1:10" ht="13.2">
      <c r="A6875" s="7">
        <v>6874</v>
      </c>
      <c r="B6875" s="7">
        <v>1</v>
      </c>
      <c r="C6875" s="7" t="s">
        <v>10</v>
      </c>
      <c r="D6875" s="7">
        <v>6325</v>
      </c>
      <c r="E6875" s="7" t="s">
        <v>18</v>
      </c>
      <c r="F6875" s="8" t="str">
        <f ca="1">IFERROR(__xludf.DUMMYFUNCTION("IF
(
C6876=""фізична особа""
,
VLOOKUP(D6876,IMPORTRANGE(""https://docs.google.com/spreadsheets/d/14Bd19lYaqBhU8_DElYkX7l4wRkHqqCUFNJY4AfY3kHU/edit?usp=sharing  #gid=0"",""фіз особи new!relations_name""),6,FALSE)
,
(IF
(
C6876=""юридична особа""
,
VLOOKUP"&amp;"(D6876,IMPORTRANGE(""https://docs.google.com/spreadsheets/d/14Bd19lYaqBhU8_DElYkX7l4wRkHqqCUFNJY4AfY3kHU/edit?usp=sharing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5" s="7" t="s">
        <v>10</v>
      </c>
      <c r="H6875" s="7">
        <v>0</v>
      </c>
      <c r="I6875" s="8" t="str">
        <f ca="1">IFERROR(__xludf.DUMMYFUNCTION("IF
(
G6876=""фізична особа""
,
VLOOKUP(H6876,IMPORTRANGE(""https://docs.google.com/spreadsheets/d/14Bd19lYaqBhU8_DElYkX7l4wRkHqqCUFNJY4AfY3kHU/edit?usp=sharing  #gid=0"",""фіз особи new!relations_name""),6,FALSE)
,
(IF
(
G6876=""юридична особа""
,
VLOOKUP"&amp;"(H6876,IMPORTRANGE(""https://docs.google.com/spreadsheets/d/14Bd19lYaqBhU8_DElYkX7l4wRkHqqCUFNJY4AfY3kHU/edit?usp=sharing  #gid=0"",""фіз особи new!relations_name_uo""),7,FALSE)
,
)
))"),"#N/A")</f>
        <v>#N/A</v>
      </c>
      <c r="J6875" s="7" t="s">
        <v>18</v>
      </c>
    </row>
    <row r="6876" spans="1:10" ht="13.2">
      <c r="A6876" s="7">
        <v>6875</v>
      </c>
      <c r="B6876" s="7">
        <v>1</v>
      </c>
      <c r="C6876" s="7" t="s">
        <v>10</v>
      </c>
      <c r="D6876" s="7">
        <v>6325</v>
      </c>
      <c r="E6876" s="7" t="s">
        <v>26</v>
      </c>
      <c r="F6876" s="8" t="str">
        <f ca="1">IFERROR(__xludf.DUMMYFUNCTION("IF
(
C6877=""фізична особа""
,
VLOOKUP(D6877,IMPORTRANGE(""https://docs.google.com/spreadsheets/d/14Bd19lYaqBhU8_DElYkX7l4wRkHqqCUFNJY4AfY3kHU/edit?usp=sharing  #gid=0"",""фіз особи new!relations_name""),6,FALSE)
,
(IF
(
C6877=""юридична особа""
,
VLOOKUP"&amp;"(D6877,IMPORTRANGE(""https://docs.google.com/spreadsheets/d/14Bd19lYaqBhU8_DElYkX7l4wRkHqqCUFNJY4AfY3kHU/edit?usp=sharing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6" s="7" t="s">
        <v>10</v>
      </c>
      <c r="H6876" s="7">
        <v>0</v>
      </c>
      <c r="I6876" s="8" t="str">
        <f ca="1">IFERROR(__xludf.DUMMYFUNCTION("IF
(
G6877=""фізична особа""
,
VLOOKUP(H6877,IMPORTRANGE(""https://docs.google.com/spreadsheets/d/14Bd19lYaqBhU8_DElYkX7l4wRkHqqCUFNJY4AfY3kHU/edit?usp=sharing  #gid=0"",""фіз особи new!relations_name""),6,FALSE)
,
(IF
(
G6877=""юридична особа""
,
VLOOKUP"&amp;"(H6877,IMPORTRANGE(""https://docs.google.com/spreadsheets/d/14Bd19lYaqBhU8_DElYkX7l4wRkHqqCUFNJY4AfY3kHU/edit?usp=sharing  #gid=0"",""фіз особи new!relations_name_uo""),7,FALSE)
,
)
))"),"#N/A")</f>
        <v>#N/A</v>
      </c>
      <c r="J6876" s="7" t="s">
        <v>24</v>
      </c>
    </row>
    <row r="6877" spans="1:10" ht="13.2">
      <c r="A6877" s="7">
        <v>6876</v>
      </c>
      <c r="B6877" s="7">
        <v>1</v>
      </c>
      <c r="C6877" s="7" t="s">
        <v>10</v>
      </c>
      <c r="D6877" s="7">
        <v>6325</v>
      </c>
      <c r="E6877" s="7" t="s">
        <v>26</v>
      </c>
      <c r="F6877" s="8" t="str">
        <f ca="1">IFERROR(__xludf.DUMMYFUNCTION("IF
(
C6878=""фізична особа""
,
VLOOKUP(D6878,IMPORTRANGE(""https://docs.google.com/spreadsheets/d/14Bd19lYaqBhU8_DElYkX7l4wRkHqqCUFNJY4AfY3kHU/edit?usp=sharing  #gid=0"",""фіз особи new!relations_name""),6,FALSE)
,
(IF
(
C6878=""юридична особа""
,
VLOOKUP"&amp;"(D6878,IMPORTRANGE(""https://docs.google.com/spreadsheets/d/14Bd19lYaqBhU8_DElYkX7l4wRkHqqCUFNJY4AfY3kHU/edit?usp=sharing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7" s="7" t="s">
        <v>10</v>
      </c>
      <c r="H6877" s="7">
        <v>0</v>
      </c>
      <c r="I6877" s="8" t="str">
        <f ca="1">IFERROR(__xludf.DUMMYFUNCTION("IF
(
G6878=""фізична особа""
,
VLOOKUP(H6878,IMPORTRANGE(""https://docs.google.com/spreadsheets/d/14Bd19lYaqBhU8_DElYkX7l4wRkHqqCUFNJY4AfY3kHU/edit?usp=sharing  #gid=0"",""фіз особи new!relations_name""),6,FALSE)
,
(IF
(
G6878=""юридична особа""
,
VLOOKUP"&amp;"(H6878,IMPORTRANGE(""https://docs.google.com/spreadsheets/d/14Bd19lYaqBhU8_DElYkX7l4wRkHqqCUFNJY4AfY3kHU/edit?usp=sharing  #gid=0"",""фіз особи new!relations_name_uo""),7,FALSE)
,
)
))"),"#N/A")</f>
        <v>#N/A</v>
      </c>
      <c r="J6877" s="7" t="s">
        <v>27</v>
      </c>
    </row>
    <row r="6878" spans="1:10" ht="13.2">
      <c r="A6878" s="7">
        <v>6877</v>
      </c>
      <c r="B6878" s="7">
        <v>1</v>
      </c>
      <c r="C6878" s="7" t="s">
        <v>10</v>
      </c>
      <c r="D6878" s="7">
        <v>6325</v>
      </c>
      <c r="E6878" s="7" t="s">
        <v>26</v>
      </c>
      <c r="F6878" s="8" t="str">
        <f ca="1">IFERROR(__xludf.DUMMYFUNCTION("IF
(
C6879=""фізична особа""
,
VLOOKUP(D6879,IMPORTRANGE(""https://docs.google.com/spreadsheets/d/14Bd19lYaqBhU8_DElYkX7l4wRkHqqCUFNJY4AfY3kHU/edit?usp=sharing  #gid=0"",""фіз особи new!relations_name""),6,FALSE)
,
(IF
(
C6879=""юридична особа""
,
VLOOKUP"&amp;"(D6879,IMPORTRANGE(""https://docs.google.com/spreadsheets/d/14Bd19lYaqBhU8_DElYkX7l4wRkHqqCUFNJY4AfY3kHU/edit?usp=sharing  #gid=0"",""фіз особи new!relations_name_uo""),7,FALSE)
,
)
))"),"АТНАШЕВ Марат Михайлович")</f>
        <v>АТНАШЕВ Марат Михайлович</v>
      </c>
      <c r="G6878" s="7" t="s">
        <v>10</v>
      </c>
      <c r="H6878" s="7">
        <v>0</v>
      </c>
      <c r="I6878" s="8" t="str">
        <f ca="1">IFERROR(__xludf.DUMMYFUNCTION("IF
(
G6879=""фізична особа""
,
VLOOKUP(H6879,IMPORTRANGE(""https://docs.google.com/spreadsheets/d/14Bd19lYaqBhU8_DElYkX7l4wRkHqqCUFNJY4AfY3kHU/edit?usp=sharing  #gid=0"",""фіз особи new!relations_name""),6,FALSE)
,
(IF
(
G6879=""юридична особа""
,
VLOOKUP"&amp;"(H6879,IMPORTRANGE(""https://docs.google.com/spreadsheets/d/14Bd19lYaqBhU8_DElYkX7l4wRkHqqCUFNJY4AfY3kHU/edit?usp=sharing  #gid=0"",""фіз особи new!relations_name_uo""),7,FALSE)
,
)
))"),"#N/A")</f>
        <v>#N/A</v>
      </c>
      <c r="J6878" s="7" t="s">
        <v>67</v>
      </c>
    </row>
    <row r="6879" spans="1:10" ht="13.2">
      <c r="A6879" s="7">
        <v>6878</v>
      </c>
      <c r="B6879" s="7">
        <v>1</v>
      </c>
      <c r="C6879" s="7" t="s">
        <v>10</v>
      </c>
      <c r="D6879" s="7">
        <v>6326</v>
      </c>
      <c r="E6879" s="7" t="s">
        <v>14</v>
      </c>
      <c r="F6879" s="8" t="str">
        <f ca="1">IFERROR(__xludf.DUMMYFUNCTION("IF
(
C6880=""фізична особа""
,
VLOOKUP(D6880,IMPORTRANGE(""https://docs.google.com/spreadsheets/d/14Bd19lYaqBhU8_DElYkX7l4wRkHqqCUFNJY4AfY3kHU/edit?usp=sharing  #gid=0"",""фіз особи new!relations_name""),6,FALSE)
,
(IF
(
C6880=""юридична особа""
,
VLOOKUP"&amp;"(D6880,IMPORTRANGE(""https://docs.google.com/spreadsheets/d/14Bd19lYaqBhU8_DElYkX7l4wRkHqqCUFNJY4AfY3kHU/edit?usp=sharing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79" s="7" t="s">
        <v>10</v>
      </c>
      <c r="H6879" s="7">
        <v>0</v>
      </c>
      <c r="I6879" s="8" t="str">
        <f ca="1">IFERROR(__xludf.DUMMYFUNCTION("IF
(
G6880=""фізична особа""
,
VLOOKUP(H6880,IMPORTRANGE(""https://docs.google.com/spreadsheets/d/14Bd19lYaqBhU8_DElYkX7l4wRkHqqCUFNJY4AfY3kHU/edit?usp=sharing  #gid=0"",""фіз особи new!relations_name""),6,FALSE)
,
(IF
(
G6880=""юридична особа""
,
VLOOKUP"&amp;"(H6880,IMPORTRANGE(""https://docs.google.com/spreadsheets/d/14Bd19lYaqBhU8_DElYkX7l4wRkHqqCUFNJY4AfY3kHU/edit?usp=sharing  #gid=0"",""фіз особи new!relations_name_uo""),7,FALSE)
,
)
))"),"#N/A")</f>
        <v>#N/A</v>
      </c>
      <c r="J6879" s="7" t="s">
        <v>15</v>
      </c>
    </row>
    <row r="6880" spans="1:10" ht="13.2">
      <c r="A6880" s="7">
        <v>6879</v>
      </c>
      <c r="B6880" s="7">
        <v>1</v>
      </c>
      <c r="C6880" s="7" t="s">
        <v>10</v>
      </c>
      <c r="D6880" s="7">
        <v>6326</v>
      </c>
      <c r="E6880" s="7" t="s">
        <v>12</v>
      </c>
      <c r="F6880" s="8" t="str">
        <f ca="1">IFERROR(__xludf.DUMMYFUNCTION("IF
(
C6881=""фізична особа""
,
VLOOKUP(D6881,IMPORTRANGE(""https://docs.google.com/spreadsheets/d/14Bd19lYaqBhU8_DElYkX7l4wRkHqqCUFNJY4AfY3kHU/edit?usp=sharing  #gid=0"",""фіз особи new!relations_name""),6,FALSE)
,
(IF
(
C6881=""юридична особа""
,
VLOOKUP"&amp;"(D6881,IMPORTRANGE(""https://docs.google.com/spreadsheets/d/14Bd19lYaqBhU8_DElYkX7l4wRkHqqCUFNJY4AfY3kHU/edit?usp=sharing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0" s="7" t="s">
        <v>10</v>
      </c>
      <c r="H6880" s="7">
        <v>0</v>
      </c>
      <c r="I6880" s="8" t="str">
        <f ca="1">IFERROR(__xludf.DUMMYFUNCTION("IF
(
G6881=""фізична особа""
,
VLOOKUP(H6881,IMPORTRANGE(""https://docs.google.com/spreadsheets/d/14Bd19lYaqBhU8_DElYkX7l4wRkHqqCUFNJY4AfY3kHU/edit?usp=sharing  #gid=0"",""фіз особи new!relations_name""),6,FALSE)
,
(IF
(
G6881=""юридична особа""
,
VLOOKUP"&amp;"(H6881,IMPORTRANGE(""https://docs.google.com/spreadsheets/d/14Bd19lYaqBhU8_DElYkX7l4wRkHqqCUFNJY4AfY3kHU/edit?usp=sharing  #gid=0"",""фіз особи new!relations_name_uo""),7,FALSE)
,
)
))"),"#N/A")</f>
        <v>#N/A</v>
      </c>
      <c r="J6880" s="7" t="s">
        <v>17</v>
      </c>
    </row>
    <row r="6881" spans="1:10" ht="13.2">
      <c r="A6881" s="7">
        <v>6880</v>
      </c>
      <c r="B6881" s="7">
        <v>1</v>
      </c>
      <c r="C6881" s="7" t="s">
        <v>10</v>
      </c>
      <c r="D6881" s="7">
        <v>6326</v>
      </c>
      <c r="E6881" s="7" t="s">
        <v>12</v>
      </c>
      <c r="F6881" s="8" t="str">
        <f ca="1">IFERROR(__xludf.DUMMYFUNCTION("IF
(
C6882=""фізична особа""
,
VLOOKUP(D6882,IMPORTRANGE(""https://docs.google.com/spreadsheets/d/14Bd19lYaqBhU8_DElYkX7l4wRkHqqCUFNJY4AfY3kHU/edit?usp=sharing  #gid=0"",""фіз особи new!relations_name""),6,FALSE)
,
(IF
(
C6882=""юридична особа""
,
VLOOKUP"&amp;"(D6882,IMPORTRANGE(""https://docs.google.com/spreadsheets/d/14Bd19lYaqBhU8_DElYkX7l4wRkHqqCUFNJY4AfY3kHU/edit?usp=sharing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1" s="7" t="s">
        <v>10</v>
      </c>
      <c r="H6881" s="7">
        <v>0</v>
      </c>
      <c r="I6881" s="8" t="str">
        <f ca="1">IFERROR(__xludf.DUMMYFUNCTION("IF
(
G6882=""фізична особа""
,
VLOOKUP(H6882,IMPORTRANGE(""https://docs.google.com/spreadsheets/d/14Bd19lYaqBhU8_DElYkX7l4wRkHqqCUFNJY4AfY3kHU/edit?usp=sharing  #gid=0"",""фіз особи new!relations_name""),6,FALSE)
,
(IF
(
G6882=""юридична особа""
,
VLOOKUP"&amp;"(H6882,IMPORTRANGE(""https://docs.google.com/spreadsheets/d/14Bd19lYaqBhU8_DElYkX7l4wRkHqqCUFNJY4AfY3kHU/edit?usp=sharing  #gid=0"",""фіз особи new!relations_name_uo""),7,FALSE)
,
)
))"),"#N/A")</f>
        <v>#N/A</v>
      </c>
      <c r="J6881" s="7" t="s">
        <v>17</v>
      </c>
    </row>
    <row r="6882" spans="1:10" ht="13.2">
      <c r="A6882" s="7">
        <v>6881</v>
      </c>
      <c r="B6882" s="7">
        <v>1</v>
      </c>
      <c r="C6882" s="7" t="s">
        <v>10</v>
      </c>
      <c r="D6882" s="7">
        <v>6326</v>
      </c>
      <c r="E6882" s="7" t="s">
        <v>59</v>
      </c>
      <c r="F6882" s="8" t="str">
        <f ca="1">IFERROR(__xludf.DUMMYFUNCTION("IF
(
C6883=""фізична особа""
,
VLOOKUP(D6883,IMPORTRANGE(""https://docs.google.com/spreadsheets/d/14Bd19lYaqBhU8_DElYkX7l4wRkHqqCUFNJY4AfY3kHU/edit?usp=sharing  #gid=0"",""фіз особи new!relations_name""),6,FALSE)
,
(IF
(
C6883=""юридична особа""
,
VLOOKUP"&amp;"(D6883,IMPORTRANGE(""https://docs.google.com/spreadsheets/d/14Bd19lYaqBhU8_DElYkX7l4wRkHqqCUFNJY4AfY3kHU/edit?usp=sharing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2" s="7" t="s">
        <v>10</v>
      </c>
      <c r="H6882" s="7">
        <v>0</v>
      </c>
      <c r="I6882" s="8" t="str">
        <f ca="1">IFERROR(__xludf.DUMMYFUNCTION("IF
(
G6883=""фізична особа""
,
VLOOKUP(H6883,IMPORTRANGE(""https://docs.google.com/spreadsheets/d/14Bd19lYaqBhU8_DElYkX7l4wRkHqqCUFNJY4AfY3kHU/edit?usp=sharing  #gid=0"",""фіз особи new!relations_name""),6,FALSE)
,
(IF
(
G6883=""юридична особа""
,
VLOOKUP"&amp;"(H6883,IMPORTRANGE(""https://docs.google.com/spreadsheets/d/14Bd19lYaqBhU8_DElYkX7l4wRkHqqCUFNJY4AfY3kHU/edit?usp=sharing  #gid=0"",""фіз особи new!relations_name_uo""),7,FALSE)
,
)
))"),"#N/A")</f>
        <v>#N/A</v>
      </c>
      <c r="J6882" s="7" t="s">
        <v>61</v>
      </c>
    </row>
    <row r="6883" spans="1:10" ht="13.2">
      <c r="A6883" s="7">
        <v>6882</v>
      </c>
      <c r="B6883" s="7">
        <v>1</v>
      </c>
      <c r="C6883" s="7" t="s">
        <v>10</v>
      </c>
      <c r="D6883" s="7">
        <v>6326</v>
      </c>
      <c r="E6883" s="7" t="s">
        <v>59</v>
      </c>
      <c r="F6883" s="8" t="str">
        <f ca="1">IFERROR(__xludf.DUMMYFUNCTION("IF
(
C6884=""фізична особа""
,
VLOOKUP(D6884,IMPORTRANGE(""https://docs.google.com/spreadsheets/d/14Bd19lYaqBhU8_DElYkX7l4wRkHqqCUFNJY4AfY3kHU/edit?usp=sharing  #gid=0"",""фіз особи new!relations_name""),6,FALSE)
,
(IF
(
C6884=""юридична особа""
,
VLOOKUP"&amp;"(D6884,IMPORTRANGE(""https://docs.google.com/spreadsheets/d/14Bd19lYaqBhU8_DElYkX7l4wRkHqqCUFNJY4AfY3kHU/edit?usp=sharing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3" s="7" t="s">
        <v>10</v>
      </c>
      <c r="H6883" s="7">
        <v>0</v>
      </c>
      <c r="I6883" s="8" t="str">
        <f ca="1">IFERROR(__xludf.DUMMYFUNCTION("IF
(
G6884=""фізична особа""
,
VLOOKUP(H6884,IMPORTRANGE(""https://docs.google.com/spreadsheets/d/14Bd19lYaqBhU8_DElYkX7l4wRkHqqCUFNJY4AfY3kHU/edit?usp=sharing  #gid=0"",""фіз особи new!relations_name""),6,FALSE)
,
(IF
(
G6884=""юридична особа""
,
VLOOKUP"&amp;"(H6884,IMPORTRANGE(""https://docs.google.com/spreadsheets/d/14Bd19lYaqBhU8_DElYkX7l4wRkHqqCUFNJY4AfY3kHU/edit?usp=sharing  #gid=0"",""фіз особи new!relations_name_uo""),7,FALSE)
,
)
))"),"#N/A")</f>
        <v>#N/A</v>
      </c>
      <c r="J6883" s="7" t="s">
        <v>61</v>
      </c>
    </row>
    <row r="6884" spans="1:10" ht="13.2">
      <c r="A6884" s="7">
        <v>6883</v>
      </c>
      <c r="B6884" s="7">
        <v>1</v>
      </c>
      <c r="C6884" s="7" t="s">
        <v>10</v>
      </c>
      <c r="D6884" s="7">
        <v>6326</v>
      </c>
      <c r="E6884" s="7" t="s">
        <v>18</v>
      </c>
      <c r="F6884" s="8" t="str">
        <f ca="1">IFERROR(__xludf.DUMMYFUNCTION("IF
(
C6885=""фізична особа""
,
VLOOKUP(D6885,IMPORTRANGE(""https://docs.google.com/spreadsheets/d/14Bd19lYaqBhU8_DElYkX7l4wRkHqqCUFNJY4AfY3kHU/edit?usp=sharing  #gid=0"",""фіз особи new!relations_name""),6,FALSE)
,
(IF
(
C6885=""юридична особа""
,
VLOOKUP"&amp;"(D6885,IMPORTRANGE(""https://docs.google.com/spreadsheets/d/14Bd19lYaqBhU8_DElYkX7l4wRkHqqCUFNJY4AfY3kHU/edit?usp=sharing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4" s="7" t="s">
        <v>10</v>
      </c>
      <c r="H6884" s="7">
        <v>0</v>
      </c>
      <c r="I6884" s="8" t="str">
        <f ca="1">IFERROR(__xludf.DUMMYFUNCTION("IF
(
G6885=""фізична особа""
,
VLOOKUP(H6885,IMPORTRANGE(""https://docs.google.com/spreadsheets/d/14Bd19lYaqBhU8_DElYkX7l4wRkHqqCUFNJY4AfY3kHU/edit?usp=sharing  #gid=0"",""фіз особи new!relations_name""),6,FALSE)
,
(IF
(
G6885=""юридична особа""
,
VLOOKUP"&amp;"(H6885,IMPORTRANGE(""https://docs.google.com/spreadsheets/d/14Bd19lYaqBhU8_DElYkX7l4wRkHqqCUFNJY4AfY3kHU/edit?usp=sharing  #gid=0"",""фіз особи new!relations_name_uo""),7,FALSE)
,
)
))"),"#N/A")</f>
        <v>#N/A</v>
      </c>
      <c r="J6884" s="7" t="s">
        <v>18</v>
      </c>
    </row>
    <row r="6885" spans="1:10" ht="13.2">
      <c r="A6885" s="7">
        <v>6884</v>
      </c>
      <c r="B6885" s="7">
        <v>1</v>
      </c>
      <c r="C6885" s="7" t="s">
        <v>10</v>
      </c>
      <c r="D6885" s="7">
        <v>6326</v>
      </c>
      <c r="E6885" s="7" t="s">
        <v>30</v>
      </c>
      <c r="F6885" s="8" t="str">
        <f ca="1">IFERROR(__xludf.DUMMYFUNCTION("IF
(
C6886=""фізична особа""
,
VLOOKUP(D6886,IMPORTRANGE(""https://docs.google.com/spreadsheets/d/14Bd19lYaqBhU8_DElYkX7l4wRkHqqCUFNJY4AfY3kHU/edit?usp=sharing  #gid=0"",""фіз особи new!relations_name""),6,FALSE)
,
(IF
(
C6886=""юридична особа""
,
VLOOKUP"&amp;"(D6886,IMPORTRANGE(""https://docs.google.com/spreadsheets/d/14Bd19lYaqBhU8_DElYkX7l4wRkHqqCUFNJY4AfY3kHU/edit?usp=sharing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5" s="7" t="s">
        <v>10</v>
      </c>
      <c r="H6885" s="7">
        <v>0</v>
      </c>
      <c r="I6885" s="8" t="str">
        <f ca="1">IFERROR(__xludf.DUMMYFUNCTION("IF
(
G6886=""фізична особа""
,
VLOOKUP(H6886,IMPORTRANGE(""https://docs.google.com/spreadsheets/d/14Bd19lYaqBhU8_DElYkX7l4wRkHqqCUFNJY4AfY3kHU/edit?usp=sharing  #gid=0"",""фіз особи new!relations_name""),6,FALSE)
,
(IF
(
G6886=""юридична особа""
,
VLOOKUP"&amp;"(H6886,IMPORTRANGE(""https://docs.google.com/spreadsheets/d/14Bd19lYaqBhU8_DElYkX7l4wRkHqqCUFNJY4AfY3kHU/edit?usp=sharing  #gid=0"",""фіз особи new!relations_name_uo""),7,FALSE)
,
)
))"),"#N/A")</f>
        <v>#N/A</v>
      </c>
      <c r="J6885" s="7" t="s">
        <v>30</v>
      </c>
    </row>
    <row r="6886" spans="1:10" ht="13.2">
      <c r="A6886" s="7">
        <v>6885</v>
      </c>
      <c r="B6886" s="7">
        <v>1</v>
      </c>
      <c r="C6886" s="7" t="s">
        <v>10</v>
      </c>
      <c r="D6886" s="7">
        <v>6326</v>
      </c>
      <c r="E6886" s="7" t="s">
        <v>30</v>
      </c>
      <c r="F6886" s="8" t="str">
        <f ca="1">IFERROR(__xludf.DUMMYFUNCTION("IF
(
C6887=""фізична особа""
,
VLOOKUP(D6887,IMPORTRANGE(""https://docs.google.com/spreadsheets/d/14Bd19lYaqBhU8_DElYkX7l4wRkHqqCUFNJY4AfY3kHU/edit?usp=sharing  #gid=0"",""фіз особи new!relations_name""),6,FALSE)
,
(IF
(
C6887=""юридична особа""
,
VLOOKUP"&amp;"(D6887,IMPORTRANGE(""https://docs.google.com/spreadsheets/d/14Bd19lYaqBhU8_DElYkX7l4wRkHqqCUFNJY4AfY3kHU/edit?usp=sharing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6" s="7" t="s">
        <v>10</v>
      </c>
      <c r="H6886" s="7">
        <v>0</v>
      </c>
      <c r="I6886" s="8" t="str">
        <f ca="1">IFERROR(__xludf.DUMMYFUNCTION("IF
(
G6887=""фізична особа""
,
VLOOKUP(H6887,IMPORTRANGE(""https://docs.google.com/spreadsheets/d/14Bd19lYaqBhU8_DElYkX7l4wRkHqqCUFNJY4AfY3kHU/edit?usp=sharing  #gid=0"",""фіз особи new!relations_name""),6,FALSE)
,
(IF
(
G6887=""юридична особа""
,
VLOOKUP"&amp;"(H6887,IMPORTRANGE(""https://docs.google.com/spreadsheets/d/14Bd19lYaqBhU8_DElYkX7l4wRkHqqCUFNJY4AfY3kHU/edit?usp=sharing  #gid=0"",""фіз особи new!relations_name_uo""),7,FALSE)
,
)
))"),"#N/A")</f>
        <v>#N/A</v>
      </c>
      <c r="J6886" s="7" t="s">
        <v>30</v>
      </c>
    </row>
    <row r="6887" spans="1:10" ht="13.2">
      <c r="A6887" s="7">
        <v>6886</v>
      </c>
      <c r="B6887" s="7">
        <v>1</v>
      </c>
      <c r="C6887" s="7" t="s">
        <v>10</v>
      </c>
      <c r="D6887" s="7">
        <v>6326</v>
      </c>
      <c r="E6887" s="7" t="s">
        <v>30</v>
      </c>
      <c r="F6887" s="8" t="str">
        <f ca="1">IFERROR(__xludf.DUMMYFUNCTION("IF
(
C6888=""фізична особа""
,
VLOOKUP(D6888,IMPORTRANGE(""https://docs.google.com/spreadsheets/d/14Bd19lYaqBhU8_DElYkX7l4wRkHqqCUFNJY4AfY3kHU/edit?usp=sharing  #gid=0"",""фіз особи new!relations_name""),6,FALSE)
,
(IF
(
C6888=""юридична особа""
,
VLOOKUP"&amp;"(D6888,IMPORTRANGE(""https://docs.google.com/spreadsheets/d/14Bd19lYaqBhU8_DElYkX7l4wRkHqqCUFNJY4AfY3kHU/edit?usp=sharing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7" s="7" t="s">
        <v>10</v>
      </c>
      <c r="H6887" s="7">
        <v>0</v>
      </c>
      <c r="I6887" s="8" t="str">
        <f ca="1">IFERROR(__xludf.DUMMYFUNCTION("IF
(
G6888=""фізична особа""
,
VLOOKUP(H6888,IMPORTRANGE(""https://docs.google.com/spreadsheets/d/14Bd19lYaqBhU8_DElYkX7l4wRkHqqCUFNJY4AfY3kHU/edit?usp=sharing  #gid=0"",""фіз особи new!relations_name""),6,FALSE)
,
(IF
(
G6888=""юридична особа""
,
VLOOKUP"&amp;"(H6888,IMPORTRANGE(""https://docs.google.com/spreadsheets/d/14Bd19lYaqBhU8_DElYkX7l4wRkHqqCUFNJY4AfY3kHU/edit?usp=sharing  #gid=0"",""фіз особи new!relations_name_uo""),7,FALSE)
,
)
))"),"#N/A")</f>
        <v>#N/A</v>
      </c>
      <c r="J6887" s="7" t="s">
        <v>30</v>
      </c>
    </row>
    <row r="6888" spans="1:10" ht="13.2">
      <c r="A6888" s="7">
        <v>6887</v>
      </c>
      <c r="B6888" s="7">
        <v>1</v>
      </c>
      <c r="C6888" s="7" t="s">
        <v>10</v>
      </c>
      <c r="D6888" s="7">
        <v>6326</v>
      </c>
      <c r="E6888" s="7" t="s">
        <v>30</v>
      </c>
      <c r="F6888" s="8" t="str">
        <f ca="1">IFERROR(__xludf.DUMMYFUNCTION("IF
(
C6889=""фізична особа""
,
VLOOKUP(D6889,IMPORTRANGE(""https://docs.google.com/spreadsheets/d/14Bd19lYaqBhU8_DElYkX7l4wRkHqqCUFNJY4AfY3kHU/edit?usp=sharing  #gid=0"",""фіз особи new!relations_name""),6,FALSE)
,
(IF
(
C6889=""юридична особа""
,
VLOOKUP"&amp;"(D6889,IMPORTRANGE(""https://docs.google.com/spreadsheets/d/14Bd19lYaqBhU8_DElYkX7l4wRkHqqCUFNJY4AfY3kHU/edit?usp=sharing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8" s="7" t="s">
        <v>10</v>
      </c>
      <c r="H6888" s="7">
        <v>0</v>
      </c>
      <c r="I6888" s="8" t="str">
        <f ca="1">IFERROR(__xludf.DUMMYFUNCTION("IF
(
G6889=""фізична особа""
,
VLOOKUP(H6889,IMPORTRANGE(""https://docs.google.com/spreadsheets/d/14Bd19lYaqBhU8_DElYkX7l4wRkHqqCUFNJY4AfY3kHU/edit?usp=sharing  #gid=0"",""фіз особи new!relations_name""),6,FALSE)
,
(IF
(
G6889=""юридична особа""
,
VLOOKUP"&amp;"(H6889,IMPORTRANGE(""https://docs.google.com/spreadsheets/d/14Bd19lYaqBhU8_DElYkX7l4wRkHqqCUFNJY4AfY3kHU/edit?usp=sharing  #gid=0"",""фіз особи new!relations_name_uo""),7,FALSE)
,
)
))"),"#N/A")</f>
        <v>#N/A</v>
      </c>
      <c r="J6888" s="7" t="s">
        <v>30</v>
      </c>
    </row>
    <row r="6889" spans="1:10" ht="13.2">
      <c r="A6889" s="7">
        <v>6888</v>
      </c>
      <c r="B6889" s="7">
        <v>1</v>
      </c>
      <c r="C6889" s="7" t="s">
        <v>10</v>
      </c>
      <c r="D6889" s="7">
        <v>6326</v>
      </c>
      <c r="E6889" s="7" t="s">
        <v>30</v>
      </c>
      <c r="F6889" s="8" t="str">
        <f ca="1">IFERROR(__xludf.DUMMYFUNCTION("IF
(
C6890=""фізична особа""
,
VLOOKUP(D6890,IMPORTRANGE(""https://docs.google.com/spreadsheets/d/14Bd19lYaqBhU8_DElYkX7l4wRkHqqCUFNJY4AfY3kHU/edit?usp=sharing  #gid=0"",""фіз особи new!relations_name""),6,FALSE)
,
(IF
(
C6890=""юридична особа""
,
VLOOKUP"&amp;"(D6890,IMPORTRANGE(""https://docs.google.com/spreadsheets/d/14Bd19lYaqBhU8_DElYkX7l4wRkHqqCUFNJY4AfY3kHU/edit?usp=sharing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89" s="7" t="s">
        <v>10</v>
      </c>
      <c r="H6889" s="7">
        <v>0</v>
      </c>
      <c r="I6889" s="8" t="str">
        <f ca="1">IFERROR(__xludf.DUMMYFUNCTION("IF
(
G6890=""фізична особа""
,
VLOOKUP(H6890,IMPORTRANGE(""https://docs.google.com/spreadsheets/d/14Bd19lYaqBhU8_DElYkX7l4wRkHqqCUFNJY4AfY3kHU/edit?usp=sharing  #gid=0"",""фіз особи new!relations_name""),6,FALSE)
,
(IF
(
G6890=""юридична особа""
,
VLOOKUP"&amp;"(H6890,IMPORTRANGE(""https://docs.google.com/spreadsheets/d/14Bd19lYaqBhU8_DElYkX7l4wRkHqqCUFNJY4AfY3kHU/edit?usp=sharing  #gid=0"",""фіз особи new!relations_name_uo""),7,FALSE)
,
)
))"),"#N/A")</f>
        <v>#N/A</v>
      </c>
      <c r="J6889" s="7" t="s">
        <v>30</v>
      </c>
    </row>
    <row r="6890" spans="1:10" ht="13.2">
      <c r="A6890" s="7">
        <v>6889</v>
      </c>
      <c r="B6890" s="7">
        <v>1</v>
      </c>
      <c r="C6890" s="7" t="s">
        <v>10</v>
      </c>
      <c r="D6890" s="7">
        <v>6326</v>
      </c>
      <c r="E6890" s="7" t="s">
        <v>30</v>
      </c>
      <c r="F6890" s="8" t="str">
        <f ca="1">IFERROR(__xludf.DUMMYFUNCTION("IF
(
C6891=""фізична особа""
,
VLOOKUP(D6891,IMPORTRANGE(""https://docs.google.com/spreadsheets/d/14Bd19lYaqBhU8_DElYkX7l4wRkHqqCUFNJY4AfY3kHU/edit?usp=sharing  #gid=0"",""фіз особи new!relations_name""),6,FALSE)
,
(IF
(
C6891=""юридична особа""
,
VLOOKUP"&amp;"(D6891,IMPORTRANGE(""https://docs.google.com/spreadsheets/d/14Bd19lYaqBhU8_DElYkX7l4wRkHqqCUFNJY4AfY3kHU/edit?usp=sharing  #gid=0"",""фіз особи new!relations_name_uo""),7,FALSE)
,
)
))"),"СКВОРЦОВ Володимир Юрійович")</f>
        <v>СКВОРЦОВ Володимир Юрійович</v>
      </c>
      <c r="G6890" s="7" t="s">
        <v>10</v>
      </c>
      <c r="H6890" s="7">
        <v>0</v>
      </c>
      <c r="I6890" s="8" t="str">
        <f ca="1">IFERROR(__xludf.DUMMYFUNCTION("IF
(
G6891=""фізична особа""
,
VLOOKUP(H6891,IMPORTRANGE(""https://docs.google.com/spreadsheets/d/14Bd19lYaqBhU8_DElYkX7l4wRkHqqCUFNJY4AfY3kHU/edit?usp=sharing  #gid=0"",""фіз особи new!relations_name""),6,FALSE)
,
(IF
(
G6891=""юридична особа""
,
VLOOKUP"&amp;"(H6891,IMPORTRANGE(""https://docs.google.com/spreadsheets/d/14Bd19lYaqBhU8_DElYkX7l4wRkHqqCUFNJY4AfY3kHU/edit?usp=sharing  #gid=0"",""фіз особи new!relations_name_uo""),7,FALSE)
,
)
))"),"#N/A")</f>
        <v>#N/A</v>
      </c>
      <c r="J6890" s="7" t="s">
        <v>30</v>
      </c>
    </row>
    <row r="6891" spans="1:10" ht="13.2">
      <c r="A6891" s="7">
        <v>6890</v>
      </c>
      <c r="B6891" s="7">
        <v>1</v>
      </c>
      <c r="C6891" s="7" t="s">
        <v>10</v>
      </c>
      <c r="D6891" s="7">
        <v>6327</v>
      </c>
      <c r="E6891" s="7" t="s">
        <v>12</v>
      </c>
      <c r="F6891" s="8" t="str">
        <f ca="1">IFERROR(__xludf.DUMMYFUNCTION("IF
(
C6892=""фізична особа""
,
VLOOKUP(D6892,IMPORTRANGE(""https://docs.google.com/spreadsheets/d/14Bd19lYaqBhU8_DElYkX7l4wRkHqqCUFNJY4AfY3kHU/edit?usp=sharing  #gid=0"",""фіз особи new!relations_name""),6,FALSE)
,
(IF
(
C6892=""юридична особа""
,
VLOOKUP"&amp;"(D6892,IMPORTRANGE(""https://docs.google.com/spreadsheets/d/14Bd19lYaqBhU8_DElYkX7l4wRkHqqCUFNJY4AfY3kHU/edit?usp=sharing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G6891" s="7" t="s">
        <v>10</v>
      </c>
      <c r="H6891" s="7">
        <v>0</v>
      </c>
      <c r="I6891" s="8" t="str">
        <f ca="1">IFERROR(__xludf.DUMMYFUNCTION("IF
(
G6892=""фізична особа""
,
VLOOKUP(H6892,IMPORTRANGE(""https://docs.google.com/spreadsheets/d/14Bd19lYaqBhU8_DElYkX7l4wRkHqqCUFNJY4AfY3kHU/edit?usp=sharing  #gid=0"",""фіз особи new!relations_name""),6,FALSE)
,
(IF
(
G6892=""юридична особа""
,
VLOOKUP"&amp;"(H6892,IMPORTRANGE(""https://docs.google.com/spreadsheets/d/14Bd19lYaqBhU8_DElYkX7l4wRkHqqCUFNJY4AfY3kHU/edit?usp=sharing  #gid=0"",""фіз особи new!relations_name_uo""),7,FALSE)
,
)
))"),"#N/A")</f>
        <v>#N/A</v>
      </c>
      <c r="J6891" s="7" t="s">
        <v>13</v>
      </c>
    </row>
    <row r="6892" spans="1:10" ht="13.2">
      <c r="A6892" s="7">
        <v>6891</v>
      </c>
      <c r="B6892" s="7">
        <v>1</v>
      </c>
      <c r="C6892" s="7" t="s">
        <v>10</v>
      </c>
      <c r="D6892" s="7">
        <v>6327</v>
      </c>
      <c r="E6892" s="7" t="s">
        <v>12</v>
      </c>
      <c r="F6892" s="8" t="str">
        <f ca="1">IFERROR(__xludf.DUMMYFUNCTION("IF
(
C6893=""фізична особа""
,
VLOOKUP(D6893,IMPORTRANGE(""https://docs.google.com/spreadsheets/d/14Bd19lYaqBhU8_DElYkX7l4wRkHqqCUFNJY4AfY3kHU/edit?usp=sharing  #gid=0"",""фіз особи new!relations_name""),6,FALSE)
,
(IF
(
C6893=""юридична особа""
,
VLOOKUP"&amp;"(D6893,IMPORTRANGE(""https://docs.google.com/spreadsheets/d/14Bd19lYaqBhU8_DElYkX7l4wRkHqqCUFNJY4AfY3kHU/edit?usp=sharing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G6892" s="7" t="s">
        <v>10</v>
      </c>
      <c r="H6892" s="7">
        <v>0</v>
      </c>
      <c r="I6892" s="8" t="str">
        <f ca="1">IFERROR(__xludf.DUMMYFUNCTION("IF
(
G6893=""фізична особа""
,
VLOOKUP(H6893,IMPORTRANGE(""https://docs.google.com/spreadsheets/d/14Bd19lYaqBhU8_DElYkX7l4wRkHqqCUFNJY4AfY3kHU/edit?usp=sharing  #gid=0"",""фіз особи new!relations_name""),6,FALSE)
,
(IF
(
G6893=""юридична особа""
,
VLOOKUP"&amp;"(H6893,IMPORTRANGE(""https://docs.google.com/spreadsheets/d/14Bd19lYaqBhU8_DElYkX7l4wRkHqqCUFNJY4AfY3kHU/edit?usp=sharing  #gid=0"",""фіз особи new!relations_name_uo""),7,FALSE)
,
)
))"),"#N/A")</f>
        <v>#N/A</v>
      </c>
      <c r="J6892" s="7" t="s">
        <v>17</v>
      </c>
    </row>
    <row r="6893" spans="1:10" ht="13.2">
      <c r="A6893" s="7">
        <v>6892</v>
      </c>
      <c r="B6893" s="7">
        <v>1</v>
      </c>
      <c r="C6893" s="7" t="s">
        <v>10</v>
      </c>
      <c r="D6893" s="7">
        <v>6327</v>
      </c>
      <c r="E6893" s="7" t="s">
        <v>14</v>
      </c>
      <c r="F6893" s="8" t="str">
        <f ca="1">IFERROR(__xludf.DUMMYFUNCTION("IF
(
C6894=""фізична особа""
,
VLOOKUP(D6894,IMPORTRANGE(""https://docs.google.com/spreadsheets/d/14Bd19lYaqBhU8_DElYkX7l4wRkHqqCUFNJY4AfY3kHU/edit?usp=sharing  #gid=0"",""фіз особи new!relations_name""),6,FALSE)
,
(IF
(
C6894=""юридична особа""
,
VLOOKUP"&amp;"(D6894,IMPORTRANGE(""https://docs.google.com/spreadsheets/d/14Bd19lYaqBhU8_DElYkX7l4wRkHqqCUFNJY4AfY3kHU/edit?usp=sharing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G6893" s="7" t="s">
        <v>10</v>
      </c>
      <c r="H6893" s="7">
        <v>0</v>
      </c>
      <c r="I6893" s="8" t="str">
        <f ca="1">IFERROR(__xludf.DUMMYFUNCTION("IF
(
G6894=""фізична особа""
,
VLOOKUP(H6894,IMPORTRANGE(""https://docs.google.com/spreadsheets/d/14Bd19lYaqBhU8_DElYkX7l4wRkHqqCUFNJY4AfY3kHU/edit?usp=sharing  #gid=0"",""фіз особи new!relations_name""),6,FALSE)
,
(IF
(
G6894=""юридична особа""
,
VLOOKUP"&amp;"(H6894,IMPORTRANGE(""https://docs.google.com/spreadsheets/d/14Bd19lYaqBhU8_DElYkX7l4wRkHqqCUFNJY4AfY3kHU/edit?usp=sharing  #gid=0"",""фіз особи new!relations_name_uo""),7,FALSE)
,
)
))"),"#N/A")</f>
        <v>#N/A</v>
      </c>
      <c r="J6893" s="7" t="s">
        <v>15</v>
      </c>
    </row>
    <row r="6894" spans="1:10" ht="13.2">
      <c r="A6894" s="7">
        <v>6893</v>
      </c>
      <c r="B6894" s="7">
        <v>1</v>
      </c>
      <c r="C6894" s="7" t="s">
        <v>10</v>
      </c>
      <c r="D6894" s="7">
        <v>6328</v>
      </c>
      <c r="E6894" s="7" t="s">
        <v>14</v>
      </c>
      <c r="F6894" s="8" t="str">
        <f ca="1">IFERROR(__xludf.DUMMYFUNCTION("IF
(
C6895=""фізична особа""
,
VLOOKUP(D6895,IMPORTRANGE(""https://docs.google.com/spreadsheets/d/14Bd19lYaqBhU8_DElYkX7l4wRkHqqCUFNJY4AfY3kHU/edit?usp=sharing  #gid=0"",""фіз особи new!relations_name""),6,FALSE)
,
(IF
(
C6895=""юридична особа""
,
VLOOKUP"&amp;"(D6895,IMPORTRANGE(""https://docs.google.com/spreadsheets/d/14Bd19lYaqBhU8_DElYkX7l4wRkHqqCUFNJY4AfY3kHU/edit?usp=sharing  #gid=0"",""фіз особи new!relations_name_uo""),7,FALSE)
,
)
))"),"ЧУХЛОВ Олексій Євгенійович")</f>
        <v>ЧУХЛОВ Олексій Євгенійович</v>
      </c>
      <c r="G6894" s="7" t="s">
        <v>10</v>
      </c>
      <c r="H6894" s="7">
        <v>0</v>
      </c>
      <c r="I6894" s="8" t="str">
        <f ca="1">IFERROR(__xludf.DUMMYFUNCTION("IF
(
G6895=""фізична особа""
,
VLOOKUP(H6895,IMPORTRANGE(""https://docs.google.com/spreadsheets/d/14Bd19lYaqBhU8_DElYkX7l4wRkHqqCUFNJY4AfY3kHU/edit?usp=sharing  #gid=0"",""фіз особи new!relations_name""),6,FALSE)
,
(IF
(
G6895=""юридична особа""
,
VLOOKUP"&amp;"(H6895,IMPORTRANGE(""https://docs.google.com/spreadsheets/d/14Bd19lYaqBhU8_DElYkX7l4wRkHqqCUFNJY4AfY3kHU/edit?usp=sharing  #gid=0"",""фіз особи new!relations_name_uo""),7,FALSE)
,
)
))"),"#N/A")</f>
        <v>#N/A</v>
      </c>
      <c r="J6894" s="7" t="s">
        <v>15</v>
      </c>
    </row>
    <row r="6895" spans="1:10" ht="13.2">
      <c r="A6895" s="7">
        <v>6894</v>
      </c>
      <c r="B6895" s="7">
        <v>1</v>
      </c>
      <c r="C6895" s="7" t="s">
        <v>10</v>
      </c>
      <c r="D6895" s="7">
        <v>6328</v>
      </c>
      <c r="E6895" s="7" t="s">
        <v>12</v>
      </c>
      <c r="F6895" s="8" t="str">
        <f ca="1">IFERROR(__xludf.DUMMYFUNCTION("IF
(
C6896=""фізична особа""
,
VLOOKUP(D6896,IMPORTRANGE(""https://docs.google.com/spreadsheets/d/14Bd19lYaqBhU8_DElYkX7l4wRkHqqCUFNJY4AfY3kHU/edit?usp=sharing  #gid=0"",""фіз особи new!relations_name""),6,FALSE)
,
(IF
(
C6896=""юридична особа""
,
VLOOKUP"&amp;"(D6896,IMPORTRANGE(""https://docs.google.com/spreadsheets/d/14Bd19lYaqBhU8_DElYkX7l4wRkHqqCUFNJY4AfY3kHU/edit?usp=sharing  #gid=0"",""фіз особи new!relations_name_uo""),7,FALSE)
,
)
))"),"ЧУХЛОВ Олексій Євгенійович")</f>
        <v>ЧУХЛОВ Олексій Євгенійович</v>
      </c>
      <c r="G6895" s="7" t="s">
        <v>10</v>
      </c>
      <c r="H6895" s="7">
        <v>0</v>
      </c>
      <c r="I6895" s="8" t="str">
        <f ca="1">IFERROR(__xludf.DUMMYFUNCTION("IF
(
G6896=""фізична особа""
,
VLOOKUP(H6896,IMPORTRANGE(""https://docs.google.com/spreadsheets/d/14Bd19lYaqBhU8_DElYkX7l4wRkHqqCUFNJY4AfY3kHU/edit?usp=sharing  #gid=0"",""фіз особи new!relations_name""),6,FALSE)
,
(IF
(
G6896=""юридична особа""
,
VLOOKUP"&amp;"(H6896,IMPORTRANGE(""https://docs.google.com/spreadsheets/d/14Bd19lYaqBhU8_DElYkX7l4wRkHqqCUFNJY4AfY3kHU/edit?usp=sharing  #gid=0"",""фіз особи new!relations_name_uo""),7,FALSE)
,
)
))"),"#N/A")</f>
        <v>#N/A</v>
      </c>
      <c r="J6895" s="7" t="s">
        <v>17</v>
      </c>
    </row>
    <row r="6896" spans="1:10" ht="13.2">
      <c r="A6896" s="7">
        <v>6895</v>
      </c>
      <c r="B6896" s="7">
        <v>1</v>
      </c>
      <c r="C6896" s="7" t="s">
        <v>10</v>
      </c>
      <c r="D6896" s="7">
        <v>6328</v>
      </c>
      <c r="E6896" s="7" t="s">
        <v>12</v>
      </c>
      <c r="F6896" s="8" t="str">
        <f ca="1">IFERROR(__xludf.DUMMYFUNCTION("IF
(
C6897=""фізична особа""
,
VLOOKUP(D6897,IMPORTRANGE(""https://docs.google.com/spreadsheets/d/14Bd19lYaqBhU8_DElYkX7l4wRkHqqCUFNJY4AfY3kHU/edit?usp=sharing  #gid=0"",""фіз особи new!relations_name""),6,FALSE)
,
(IF
(
C6897=""юридична особа""
,
VLOOKUP"&amp;"(D6897,IMPORTRANGE(""https://docs.google.com/spreadsheets/d/14Bd19lYaqBhU8_DElYkX7l4wRkHqqCUFNJY4AfY3kHU/edit?usp=sharing  #gid=0"",""фіз особи new!relations_name_uo""),7,FALSE)
,
)
))"),"ЧУХЛОВ Олексій Євгенійович")</f>
        <v>ЧУХЛОВ Олексій Євгенійович</v>
      </c>
      <c r="G6896" s="7" t="s">
        <v>10</v>
      </c>
      <c r="H6896" s="7">
        <v>0</v>
      </c>
      <c r="I6896" s="8" t="str">
        <f ca="1">IFERROR(__xludf.DUMMYFUNCTION("IF
(
G6897=""фізична особа""
,
VLOOKUP(H6897,IMPORTRANGE(""https://docs.google.com/spreadsheets/d/14Bd19lYaqBhU8_DElYkX7l4wRkHqqCUFNJY4AfY3kHU/edit?usp=sharing  #gid=0"",""фіз особи new!relations_name""),6,FALSE)
,
(IF
(
G6897=""юридична особа""
,
VLOOKUP"&amp;"(H6897,IMPORTRANGE(""https://docs.google.com/spreadsheets/d/14Bd19lYaqBhU8_DElYkX7l4wRkHqqCUFNJY4AfY3kHU/edit?usp=sharing  #gid=0"",""фіз особи new!relations_name_uo""),7,FALSE)
,
)
))"),"#N/A")</f>
        <v>#N/A</v>
      </c>
      <c r="J6896" s="7" t="s">
        <v>17</v>
      </c>
    </row>
    <row r="6897" spans="1:10" ht="13.2">
      <c r="A6897" s="7">
        <v>6896</v>
      </c>
      <c r="B6897" s="7">
        <v>1</v>
      </c>
      <c r="C6897" s="7" t="s">
        <v>10</v>
      </c>
      <c r="D6897" s="7">
        <v>6328</v>
      </c>
      <c r="E6897" s="7" t="s">
        <v>12</v>
      </c>
      <c r="F6897" s="8" t="str">
        <f ca="1">IFERROR(__xludf.DUMMYFUNCTION("IF
(
C6898=""фізична особа""
,
VLOOKUP(D6898,IMPORTRANGE(""https://docs.google.com/spreadsheets/d/14Bd19lYaqBhU8_DElYkX7l4wRkHqqCUFNJY4AfY3kHU/edit?usp=sharing  #gid=0"",""фіз особи new!relations_name""),6,FALSE)
,
(IF
(
C6898=""юридична особа""
,
VLOOKUP"&amp;"(D6898,IMPORTRANGE(""https://docs.google.com/spreadsheets/d/14Bd19lYaqBhU8_DElYkX7l4wRkHqqCUFNJY4AfY3kHU/edit?usp=sharing  #gid=0"",""фіз особи new!relations_name_uo""),7,FALSE)
,
)
))"),"ЧУХЛОВ Олексій Євгенійович")</f>
        <v>ЧУХЛОВ Олексій Євгенійович</v>
      </c>
      <c r="G6897" s="7" t="s">
        <v>10</v>
      </c>
      <c r="H6897" s="7">
        <v>0</v>
      </c>
      <c r="I6897" s="8" t="str">
        <f ca="1">IFERROR(__xludf.DUMMYFUNCTION("IF
(
G6898=""фізична особа""
,
VLOOKUP(H6898,IMPORTRANGE(""https://docs.google.com/spreadsheets/d/14Bd19lYaqBhU8_DElYkX7l4wRkHqqCUFNJY4AfY3kHU/edit?usp=sharing  #gid=0"",""фіз особи new!relations_name""),6,FALSE)
,
(IF
(
G6898=""юридична особа""
,
VLOOKUP"&amp;"(H6898,IMPORTRANGE(""https://docs.google.com/spreadsheets/d/14Bd19lYaqBhU8_DElYkX7l4wRkHqqCUFNJY4AfY3kHU/edit?usp=sharing  #gid=0"",""фіз особи new!relations_name_uo""),7,FALSE)
,
)
))"),"#N/A")</f>
        <v>#N/A</v>
      </c>
      <c r="J6897" s="7" t="s">
        <v>13</v>
      </c>
    </row>
    <row r="6898" spans="1:10" ht="13.2">
      <c r="A6898" s="7">
        <v>6897</v>
      </c>
      <c r="B6898" s="7">
        <v>1</v>
      </c>
      <c r="C6898" s="7" t="s">
        <v>10</v>
      </c>
      <c r="D6898" s="7">
        <v>6329</v>
      </c>
      <c r="E6898" s="7" t="s">
        <v>12</v>
      </c>
      <c r="F6898" s="8" t="str">
        <f ca="1">IFERROR(__xludf.DUMMYFUNCTION("IF
(
C6899=""фізична особа""
,
VLOOKUP(D6899,IMPORTRANGE(""https://docs.google.com/spreadsheets/d/14Bd19lYaqBhU8_DElYkX7l4wRkHqqCUFNJY4AfY3kHU/edit?usp=sharing  #gid=0"",""фіз особи new!relations_name""),6,FALSE)
,
(IF
(
C6899=""юридична особа""
,
VLOOKUP"&amp;"(D6899,IMPORTRANGE(""https://docs.google.com/spreadsheets/d/14Bd19lYaqBhU8_DElYkX7l4wRkHqqCUFNJY4AfY3kHU/edit?usp=sharing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898" s="7" t="s">
        <v>10</v>
      </c>
      <c r="H6898" s="7">
        <v>0</v>
      </c>
      <c r="I6898" s="8" t="str">
        <f ca="1">IFERROR(__xludf.DUMMYFUNCTION("IF
(
G6899=""фізична особа""
,
VLOOKUP(H6899,IMPORTRANGE(""https://docs.google.com/spreadsheets/d/14Bd19lYaqBhU8_DElYkX7l4wRkHqqCUFNJY4AfY3kHU/edit?usp=sharing  #gid=0"",""фіз особи new!relations_name""),6,FALSE)
,
(IF
(
G6899=""юридична особа""
,
VLOOKUP"&amp;"(H6899,IMPORTRANGE(""https://docs.google.com/spreadsheets/d/14Bd19lYaqBhU8_DElYkX7l4wRkHqqCUFNJY4AfY3kHU/edit?usp=sharing  #gid=0"",""фіз особи new!relations_name_uo""),7,FALSE)
,
)
))"),"#N/A")</f>
        <v>#N/A</v>
      </c>
      <c r="J6898" s="7" t="s">
        <v>17</v>
      </c>
    </row>
    <row r="6899" spans="1:10" ht="13.2">
      <c r="A6899" s="7">
        <v>6898</v>
      </c>
      <c r="B6899" s="7">
        <v>1</v>
      </c>
      <c r="C6899" s="7" t="s">
        <v>10</v>
      </c>
      <c r="D6899" s="7">
        <v>6329</v>
      </c>
      <c r="E6899" s="7" t="s">
        <v>12</v>
      </c>
      <c r="F6899" s="8" t="str">
        <f ca="1">IFERROR(__xludf.DUMMYFUNCTION("IF
(
C6900=""фізична особа""
,
VLOOKUP(D6900,IMPORTRANGE(""https://docs.google.com/spreadsheets/d/14Bd19lYaqBhU8_DElYkX7l4wRkHqqCUFNJY4AfY3kHU/edit?usp=sharing  #gid=0"",""фіз особи new!relations_name""),6,FALSE)
,
(IF
(
C6900=""юридична особа""
,
VLOOKUP"&amp;"(D6900,IMPORTRANGE(""https://docs.google.com/spreadsheets/d/14Bd19lYaqBhU8_DElYkX7l4wRkHqqCUFNJY4AfY3kHU/edit?usp=sharing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899" s="7" t="s">
        <v>10</v>
      </c>
      <c r="H6899" s="7">
        <v>0</v>
      </c>
      <c r="I6899" s="8" t="str">
        <f ca="1">IFERROR(__xludf.DUMMYFUNCTION("IF
(
G6900=""фізична особа""
,
VLOOKUP(H6900,IMPORTRANGE(""https://docs.google.com/spreadsheets/d/14Bd19lYaqBhU8_DElYkX7l4wRkHqqCUFNJY4AfY3kHU/edit?usp=sharing  #gid=0"",""фіз особи new!relations_name""),6,FALSE)
,
(IF
(
G6900=""юридична особа""
,
VLOOKUP"&amp;"(H6900,IMPORTRANGE(""https://docs.google.com/spreadsheets/d/14Bd19lYaqBhU8_DElYkX7l4wRkHqqCUFNJY4AfY3kHU/edit?usp=sharing  #gid=0"",""фіз особи new!relations_name_uo""),7,FALSE)
,
)
))"),"#N/A")</f>
        <v>#N/A</v>
      </c>
      <c r="J6899" s="7" t="s">
        <v>17</v>
      </c>
    </row>
    <row r="6900" spans="1:10" ht="13.2">
      <c r="A6900" s="7">
        <v>6899</v>
      </c>
      <c r="B6900" s="7">
        <v>1</v>
      </c>
      <c r="C6900" s="7" t="s">
        <v>10</v>
      </c>
      <c r="D6900" s="7">
        <v>6329</v>
      </c>
      <c r="E6900" s="7" t="s">
        <v>14</v>
      </c>
      <c r="F6900" s="8" t="str">
        <f ca="1">IFERROR(__xludf.DUMMYFUNCTION("IF
(
C6901=""фізична особа""
,
VLOOKUP(D6901,IMPORTRANGE(""https://docs.google.com/spreadsheets/d/14Bd19lYaqBhU8_DElYkX7l4wRkHqqCUFNJY4AfY3kHU/edit?usp=sharing  #gid=0"",""фіз особи new!relations_name""),6,FALSE)
,
(IF
(
C6901=""юридична особа""
,
VLOOKUP"&amp;"(D6901,IMPORTRANGE(""https://docs.google.com/spreadsheets/d/14Bd19lYaqBhU8_DElYkX7l4wRkHqqCUFNJY4AfY3kHU/edit?usp=sharing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900" s="7" t="s">
        <v>10</v>
      </c>
      <c r="H6900" s="7">
        <v>0</v>
      </c>
      <c r="I6900" s="8" t="str">
        <f ca="1">IFERROR(__xludf.DUMMYFUNCTION("IF
(
G6901=""фізична особа""
,
VLOOKUP(H6901,IMPORTRANGE(""https://docs.google.com/spreadsheets/d/14Bd19lYaqBhU8_DElYkX7l4wRkHqqCUFNJY4AfY3kHU/edit?usp=sharing  #gid=0"",""фіз особи new!relations_name""),6,FALSE)
,
(IF
(
G6901=""юридична особа""
,
VLOOKUP"&amp;"(H6901,IMPORTRANGE(""https://docs.google.com/spreadsheets/d/14Bd19lYaqBhU8_DElYkX7l4wRkHqqCUFNJY4AfY3kHU/edit?usp=sharing  #gid=0"",""фіз особи new!relations_name_uo""),7,FALSE)
,
)
))"),"#N/A")</f>
        <v>#N/A</v>
      </c>
      <c r="J6900" s="7" t="s">
        <v>15</v>
      </c>
    </row>
    <row r="6901" spans="1:10" ht="13.2">
      <c r="A6901" s="7">
        <v>6900</v>
      </c>
      <c r="B6901" s="7">
        <v>1</v>
      </c>
      <c r="C6901" s="7" t="s">
        <v>10</v>
      </c>
      <c r="D6901" s="7">
        <v>6329</v>
      </c>
      <c r="E6901" s="7" t="s">
        <v>32</v>
      </c>
      <c r="F6901" s="8" t="str">
        <f ca="1">IFERROR(__xludf.DUMMYFUNCTION("IF
(
C6902=""фізична особа""
,
VLOOKUP(D6902,IMPORTRANGE(""https://docs.google.com/spreadsheets/d/14Bd19lYaqBhU8_DElYkX7l4wRkHqqCUFNJY4AfY3kHU/edit?usp=sharing  #gid=0"",""фіз особи new!relations_name""),6,FALSE)
,
(IF
(
C6902=""юридична особа""
,
VLOOKUP"&amp;"(D6902,IMPORTRANGE(""https://docs.google.com/spreadsheets/d/14Bd19lYaqBhU8_DElYkX7l4wRkHqqCUFNJY4AfY3kHU/edit?usp=sharing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901" s="7" t="s">
        <v>10</v>
      </c>
      <c r="H6901" s="7">
        <v>0</v>
      </c>
      <c r="I6901" s="8" t="str">
        <f ca="1">IFERROR(__xludf.DUMMYFUNCTION("IF
(
G6902=""фізична особа""
,
VLOOKUP(H6902,IMPORTRANGE(""https://docs.google.com/spreadsheets/d/14Bd19lYaqBhU8_DElYkX7l4wRkHqqCUFNJY4AfY3kHU/edit?usp=sharing  #gid=0"",""фіз особи new!relations_name""),6,FALSE)
,
(IF
(
G6902=""юридична особа""
,
VLOOKUP"&amp;"(H6902,IMPORTRANGE(""https://docs.google.com/spreadsheets/d/14Bd19lYaqBhU8_DElYkX7l4wRkHqqCUFNJY4AfY3kHU/edit?usp=sharing  #gid=0"",""фіз особи new!relations_name_uo""),7,FALSE)
,
)
))"),"#N/A")</f>
        <v>#N/A</v>
      </c>
      <c r="J6901" s="7" t="s">
        <v>49</v>
      </c>
    </row>
    <row r="6902" spans="1:10" ht="13.2">
      <c r="A6902" s="7">
        <v>6901</v>
      </c>
      <c r="B6902" s="7">
        <v>1</v>
      </c>
      <c r="C6902" s="7" t="s">
        <v>10</v>
      </c>
      <c r="D6902" s="7">
        <v>6329</v>
      </c>
      <c r="E6902" s="7" t="s">
        <v>26</v>
      </c>
      <c r="F6902" s="8" t="str">
        <f ca="1">IFERROR(__xludf.DUMMYFUNCTION("IF
(
C6903=""фізична особа""
,
VLOOKUP(D6903,IMPORTRANGE(""https://docs.google.com/spreadsheets/d/14Bd19lYaqBhU8_DElYkX7l4wRkHqqCUFNJY4AfY3kHU/edit?usp=sharing  #gid=0"",""фіз особи new!relations_name""),6,FALSE)
,
(IF
(
C6903=""юридична особа""
,
VLOOKUP"&amp;"(D6903,IMPORTRANGE(""https://docs.google.com/spreadsheets/d/14Bd19lYaqBhU8_DElYkX7l4wRkHqqCUFNJY4AfY3kHU/edit?usp=sharing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902" s="7" t="s">
        <v>10</v>
      </c>
      <c r="H6902" s="7">
        <v>0</v>
      </c>
      <c r="I6902" s="8" t="str">
        <f ca="1">IFERROR(__xludf.DUMMYFUNCTION("IF
(
G6903=""фізична особа""
,
VLOOKUP(H6903,IMPORTRANGE(""https://docs.google.com/spreadsheets/d/14Bd19lYaqBhU8_DElYkX7l4wRkHqqCUFNJY4AfY3kHU/edit?usp=sharing  #gid=0"",""фіз особи new!relations_name""),6,FALSE)
,
(IF
(
G6903=""юридична особа""
,
VLOOKUP"&amp;"(H6903,IMPORTRANGE(""https://docs.google.com/spreadsheets/d/14Bd19lYaqBhU8_DElYkX7l4wRkHqqCUFNJY4AfY3kHU/edit?usp=sharing  #gid=0"",""фіз особи new!relations_name_uo""),7,FALSE)
,
)
))"),"#N/A")</f>
        <v>#N/A</v>
      </c>
      <c r="J6902" s="7" t="s">
        <v>24</v>
      </c>
    </row>
    <row r="6903" spans="1:10" ht="13.2">
      <c r="A6903" s="7">
        <v>6902</v>
      </c>
      <c r="B6903" s="7">
        <v>1</v>
      </c>
      <c r="C6903" s="7" t="s">
        <v>10</v>
      </c>
      <c r="D6903" s="7">
        <v>6329</v>
      </c>
      <c r="E6903" s="7" t="s">
        <v>26</v>
      </c>
      <c r="F6903" s="8" t="str">
        <f ca="1">IFERROR(__xludf.DUMMYFUNCTION("IF
(
C6904=""фізична особа""
,
VLOOKUP(D6904,IMPORTRANGE(""https://docs.google.com/spreadsheets/d/14Bd19lYaqBhU8_DElYkX7l4wRkHqqCUFNJY4AfY3kHU/edit?usp=sharing  #gid=0"",""фіз особи new!relations_name""),6,FALSE)
,
(IF
(
C6904=""юридична особа""
,
VLOOKUP"&amp;"(D6904,IMPORTRANGE(""https://docs.google.com/spreadsheets/d/14Bd19lYaqBhU8_DElYkX7l4wRkHqqCUFNJY4AfY3kHU/edit?usp=sharing  #gid=0"",""фіз особи new!relations_name_uo""),7,FALSE)
,
)
))"),"ГРИШИН Михайло Олегович")</f>
        <v>ГРИШИН Михайло Олегович</v>
      </c>
      <c r="G6903" s="7" t="s">
        <v>10</v>
      </c>
      <c r="H6903" s="7">
        <v>0</v>
      </c>
      <c r="I6903" s="8" t="str">
        <f ca="1">IFERROR(__xludf.DUMMYFUNCTION("IF
(
G6904=""фізична особа""
,
VLOOKUP(H6904,IMPORTRANGE(""https://docs.google.com/spreadsheets/d/14Bd19lYaqBhU8_DElYkX7l4wRkHqqCUFNJY4AfY3kHU/edit?usp=sharing  #gid=0"",""фіз особи new!relations_name""),6,FALSE)
,
(IF
(
G6904=""юридична особа""
,
VLOOKUP"&amp;"(H6904,IMPORTRANGE(""https://docs.google.com/spreadsheets/d/14Bd19lYaqBhU8_DElYkX7l4wRkHqqCUFNJY4AfY3kHU/edit?usp=sharing  #gid=0"",""фіз особи new!relations_name_uo""),7,FALSE)
,
)
))"),"#N/A")</f>
        <v>#N/A</v>
      </c>
      <c r="J6903" s="7" t="s">
        <v>27</v>
      </c>
    </row>
    <row r="6904" spans="1:10" ht="13.2">
      <c r="A6904" s="7">
        <v>6903</v>
      </c>
      <c r="B6904" s="7">
        <v>1</v>
      </c>
      <c r="C6904" s="7" t="s">
        <v>10</v>
      </c>
      <c r="D6904" s="7">
        <v>6330</v>
      </c>
      <c r="E6904" s="7" t="s">
        <v>14</v>
      </c>
      <c r="F6904" s="8" t="str">
        <f ca="1">IFERROR(__xludf.DUMMYFUNCTION("IF
(
C6905=""фізична особа""
,
VLOOKUP(D6905,IMPORTRANGE(""https://docs.google.com/spreadsheets/d/14Bd19lYaqBhU8_DElYkX7l4wRkHqqCUFNJY4AfY3kHU/edit?usp=sharing  #gid=0"",""фіз особи new!relations_name""),6,FALSE)
,
(IF
(
C6905=""юридична особа""
,
VLOOKUP"&amp;"(D6905,IMPORTRANGE(""https://docs.google.com/spreadsheets/d/14Bd19lYaqBhU8_DElYkX7l4wRkHqqCUFNJY4AfY3kHU/edit?usp=sharing  #gid=0"",""фіз особи new!relations_name_uo""),7,FALSE)
,
)
))"),"ОСИН Денис Володимирович")</f>
        <v>ОСИН Денис Володимирович</v>
      </c>
      <c r="G6904" s="7" t="s">
        <v>10</v>
      </c>
      <c r="H6904" s="7">
        <v>0</v>
      </c>
      <c r="I6904" s="8" t="str">
        <f ca="1">IFERROR(__xludf.DUMMYFUNCTION("IF
(
G6905=""фізична особа""
,
VLOOKUP(H6905,IMPORTRANGE(""https://docs.google.com/spreadsheets/d/14Bd19lYaqBhU8_DElYkX7l4wRkHqqCUFNJY4AfY3kHU/edit?usp=sharing  #gid=0"",""фіз особи new!relations_name""),6,FALSE)
,
(IF
(
G6905=""юридична особа""
,
VLOOKUP"&amp;"(H6905,IMPORTRANGE(""https://docs.google.com/spreadsheets/d/14Bd19lYaqBhU8_DElYkX7l4wRkHqqCUFNJY4AfY3kHU/edit?usp=sharing  #gid=0"",""фіз особи new!relations_name_uo""),7,FALSE)
,
)
))"),"#N/A")</f>
        <v>#N/A</v>
      </c>
      <c r="J6904" s="7" t="s">
        <v>15</v>
      </c>
    </row>
    <row r="6905" spans="1:10" ht="13.2">
      <c r="A6905" s="7">
        <v>6904</v>
      </c>
      <c r="B6905" s="7">
        <v>1</v>
      </c>
      <c r="C6905" s="7" t="s">
        <v>10</v>
      </c>
      <c r="D6905" s="7">
        <v>6330</v>
      </c>
      <c r="E6905" s="7" t="s">
        <v>17</v>
      </c>
      <c r="F6905" s="8" t="str">
        <f ca="1">IFERROR(__xludf.DUMMYFUNCTION("IF
(
C6906=""фізична особа""
,
VLOOKUP(D6906,IMPORTRANGE(""https://docs.google.com/spreadsheets/d/14Bd19lYaqBhU8_DElYkX7l4wRkHqqCUFNJY4AfY3kHU/edit?usp=sharing  #gid=0"",""фіз особи new!relations_name""),6,FALSE)
,
(IF
(
C6906=""юридична особа""
,
VLOOKUP"&amp;"(D6906,IMPORTRANGE(""https://docs.google.com/spreadsheets/d/14Bd19lYaqBhU8_DElYkX7l4wRkHqqCUFNJY4AfY3kHU/edit?usp=sharing  #gid=0"",""фіз особи new!relations_name_uo""),7,FALSE)
,
)
))"),"ОСИН Денис Володимирович")</f>
        <v>ОСИН Денис Володимирович</v>
      </c>
      <c r="G6905" s="7" t="s">
        <v>10</v>
      </c>
      <c r="H6905" s="7">
        <v>0</v>
      </c>
      <c r="I6905" s="8" t="str">
        <f ca="1">IFERROR(__xludf.DUMMYFUNCTION("IF
(
G6906=""фізична особа""
,
VLOOKUP(H6906,IMPORTRANGE(""https://docs.google.com/spreadsheets/d/14Bd19lYaqBhU8_DElYkX7l4wRkHqqCUFNJY4AfY3kHU/edit?usp=sharing  #gid=0"",""фіз особи new!relations_name""),6,FALSE)
,
(IF
(
G6906=""юридична особа""
,
VLOOKUP"&amp;"(H6906,IMPORTRANGE(""https://docs.google.com/spreadsheets/d/14Bd19lYaqBhU8_DElYkX7l4wRkHqqCUFNJY4AfY3kHU/edit?usp=sharing  #gid=0"",""фіз особи new!relations_name_uo""),7,FALSE)
,
)
))"),"#N/A")</f>
        <v>#N/A</v>
      </c>
      <c r="J6905" s="7" t="s">
        <v>21</v>
      </c>
    </row>
    <row r="6906" spans="1:10" ht="13.2">
      <c r="A6906" s="7">
        <v>6905</v>
      </c>
      <c r="B6906" s="7">
        <v>1</v>
      </c>
      <c r="C6906" s="7" t="s">
        <v>10</v>
      </c>
      <c r="D6906" s="7">
        <v>6330</v>
      </c>
      <c r="E6906" s="7" t="s">
        <v>18</v>
      </c>
      <c r="F6906" s="8" t="str">
        <f ca="1">IFERROR(__xludf.DUMMYFUNCTION("IF
(
C6907=""фізична особа""
,
VLOOKUP(D6907,IMPORTRANGE(""https://docs.google.com/spreadsheets/d/14Bd19lYaqBhU8_DElYkX7l4wRkHqqCUFNJY4AfY3kHU/edit?usp=sharing  #gid=0"",""фіз особи new!relations_name""),6,FALSE)
,
(IF
(
C6907=""юридична особа""
,
VLOOKUP"&amp;"(D6907,IMPORTRANGE(""https://docs.google.com/spreadsheets/d/14Bd19lYaqBhU8_DElYkX7l4wRkHqqCUFNJY4AfY3kHU/edit?usp=sharing  #gid=0"",""фіз особи new!relations_name_uo""),7,FALSE)
,
)
))"),"ОСИН Денис Володимирович")</f>
        <v>ОСИН Денис Володимирович</v>
      </c>
      <c r="G6906" s="7" t="s">
        <v>10</v>
      </c>
      <c r="H6906" s="7">
        <v>0</v>
      </c>
      <c r="I6906" s="8" t="str">
        <f ca="1">IFERROR(__xludf.DUMMYFUNCTION("IF
(
G6907=""фізична особа""
,
VLOOKUP(H6907,IMPORTRANGE(""https://docs.google.com/spreadsheets/d/14Bd19lYaqBhU8_DElYkX7l4wRkHqqCUFNJY4AfY3kHU/edit?usp=sharing  #gid=0"",""фіз особи new!relations_name""),6,FALSE)
,
(IF
(
G6907=""юридична особа""
,
VLOOKUP"&amp;"(H6907,IMPORTRANGE(""https://docs.google.com/spreadsheets/d/14Bd19lYaqBhU8_DElYkX7l4wRkHqqCUFNJY4AfY3kHU/edit?usp=sharing  #gid=0"",""фіз особи new!relations_name_uo""),7,FALSE)
,
)
))"),"#N/A")</f>
        <v>#N/A</v>
      </c>
      <c r="J6906" s="7" t="s">
        <v>18</v>
      </c>
    </row>
    <row r="6907" spans="1:10" ht="13.2">
      <c r="A6907" s="7">
        <v>6906</v>
      </c>
      <c r="B6907" s="7">
        <v>1</v>
      </c>
      <c r="C6907" s="7" t="s">
        <v>10</v>
      </c>
      <c r="D6907" s="7">
        <v>6330</v>
      </c>
      <c r="E6907" s="7" t="s">
        <v>12</v>
      </c>
      <c r="F6907" s="8" t="str">
        <f ca="1">IFERROR(__xludf.DUMMYFUNCTION("IF
(
C6908=""фізична особа""
,
VLOOKUP(D6908,IMPORTRANGE(""https://docs.google.com/spreadsheets/d/14Bd19lYaqBhU8_DElYkX7l4wRkHqqCUFNJY4AfY3kHU/edit?usp=sharing  #gid=0"",""фіз особи new!relations_name""),6,FALSE)
,
(IF
(
C6908=""юридична особа""
,
VLOOKUP"&amp;"(D6908,IMPORTRANGE(""https://docs.google.com/spreadsheets/d/14Bd19lYaqBhU8_DElYkX7l4wRkHqqCUFNJY4AfY3kHU/edit?usp=sharing  #gid=0"",""фіз особи new!relations_name_uo""),7,FALSE)
,
)
))"),"ОСИН Денис Володимирович")</f>
        <v>ОСИН Денис Володимирович</v>
      </c>
      <c r="G6907" s="7" t="s">
        <v>10</v>
      </c>
      <c r="H6907" s="7">
        <v>0</v>
      </c>
      <c r="I6907" s="8" t="str">
        <f ca="1">IFERROR(__xludf.DUMMYFUNCTION("IF
(
G6908=""фізична особа""
,
VLOOKUP(H6908,IMPORTRANGE(""https://docs.google.com/spreadsheets/d/14Bd19lYaqBhU8_DElYkX7l4wRkHqqCUFNJY4AfY3kHU/edit?usp=sharing  #gid=0"",""фіз особи new!relations_name""),6,FALSE)
,
(IF
(
G6908=""юридична особа""
,
VLOOKUP"&amp;"(H6908,IMPORTRANGE(""https://docs.google.com/spreadsheets/d/14Bd19lYaqBhU8_DElYkX7l4wRkHqqCUFNJY4AfY3kHU/edit?usp=sharing  #gid=0"",""фіз особи new!relations_name_uo""),7,FALSE)
,
)
))"),"#N/A")</f>
        <v>#N/A</v>
      </c>
      <c r="J6907" s="7" t="s">
        <v>13</v>
      </c>
    </row>
    <row r="6908" spans="1:10" ht="13.2">
      <c r="A6908" s="7">
        <v>6907</v>
      </c>
      <c r="B6908" s="7">
        <v>1</v>
      </c>
      <c r="C6908" s="7" t="s">
        <v>10</v>
      </c>
      <c r="D6908" s="7">
        <v>6330</v>
      </c>
      <c r="E6908" s="7" t="s">
        <v>26</v>
      </c>
      <c r="F6908" s="8" t="str">
        <f ca="1">IFERROR(__xludf.DUMMYFUNCTION("IF
(
C6909=""фізична особа""
,
VLOOKUP(D6909,IMPORTRANGE(""https://docs.google.com/spreadsheets/d/14Bd19lYaqBhU8_DElYkX7l4wRkHqqCUFNJY4AfY3kHU/edit?usp=sharing  #gid=0"",""фіз особи new!relations_name""),6,FALSE)
,
(IF
(
C6909=""юридична особа""
,
VLOOKUP"&amp;"(D6909,IMPORTRANGE(""https://docs.google.com/spreadsheets/d/14Bd19lYaqBhU8_DElYkX7l4wRkHqqCUFNJY4AfY3kHU/edit?usp=sharing  #gid=0"",""фіз особи new!relations_name_uo""),7,FALSE)
,
)
))"),"ОСИН Денис Володимирович")</f>
        <v>ОСИН Денис Володимирович</v>
      </c>
      <c r="G6908" s="7" t="s">
        <v>10</v>
      </c>
      <c r="H6908" s="7">
        <v>0</v>
      </c>
      <c r="I6908" s="8" t="str">
        <f ca="1">IFERROR(__xludf.DUMMYFUNCTION("IF
(
G6909=""фізична особа""
,
VLOOKUP(H6909,IMPORTRANGE(""https://docs.google.com/spreadsheets/d/14Bd19lYaqBhU8_DElYkX7l4wRkHqqCUFNJY4AfY3kHU/edit?usp=sharing  #gid=0"",""фіз особи new!relations_name""),6,FALSE)
,
(IF
(
G6909=""юридична особа""
,
VLOOKUP"&amp;"(H6909,IMPORTRANGE(""https://docs.google.com/spreadsheets/d/14Bd19lYaqBhU8_DElYkX7l4wRkHqqCUFNJY4AfY3kHU/edit?usp=sharing  #gid=0"",""фіз особи new!relations_name_uo""),7,FALSE)
,
)
))"),"#N/A")</f>
        <v>#N/A</v>
      </c>
      <c r="J6908" s="7" t="s">
        <v>50</v>
      </c>
    </row>
    <row r="6909" spans="1:10" ht="13.2">
      <c r="A6909" s="7">
        <v>6908</v>
      </c>
      <c r="B6909" s="7">
        <v>1</v>
      </c>
      <c r="C6909" s="7" t="s">
        <v>10</v>
      </c>
      <c r="D6909" s="7">
        <v>6331</v>
      </c>
      <c r="E6909" s="7" t="s">
        <v>14</v>
      </c>
      <c r="F6909" s="8" t="str">
        <f ca="1">IFERROR(__xludf.DUMMYFUNCTION("IF
(
C6910=""фізична особа""
,
VLOOKUP(D6910,IMPORTRANGE(""https://docs.google.com/spreadsheets/d/14Bd19lYaqBhU8_DElYkX7l4wRkHqqCUFNJY4AfY3kHU/edit?usp=sharing  #gid=0"",""фіз особи new!relations_name""),6,FALSE)
,
(IF
(
C6910=""юридична особа""
,
VLOOKUP"&amp;"(D6910,IMPORTRANGE(""https://docs.google.com/spreadsheets/d/14Bd19lYaqBhU8_DElYkX7l4wRkHqqCUFNJY4AfY3kHU/edit?usp=sharing  #gid=0"",""фіз особи new!relations_name_uo""),7,FALSE)
,
)
))"),"ПЯТКОВ Іван Віталійович")</f>
        <v>ПЯТКОВ Іван Віталійович</v>
      </c>
      <c r="G6909" s="7" t="s">
        <v>10</v>
      </c>
      <c r="H6909" s="7">
        <v>0</v>
      </c>
      <c r="I6909" s="8" t="str">
        <f ca="1">IFERROR(__xludf.DUMMYFUNCTION("IF
(
G6910=""фізична особа""
,
VLOOKUP(H6910,IMPORTRANGE(""https://docs.google.com/spreadsheets/d/14Bd19lYaqBhU8_DElYkX7l4wRkHqqCUFNJY4AfY3kHU/edit?usp=sharing  #gid=0"",""фіз особи new!relations_name""),6,FALSE)
,
(IF
(
G6910=""юридична особа""
,
VLOOKUP"&amp;"(H6910,IMPORTRANGE(""https://docs.google.com/spreadsheets/d/14Bd19lYaqBhU8_DElYkX7l4wRkHqqCUFNJY4AfY3kHU/edit?usp=sharing  #gid=0"",""фіз особи new!relations_name_uo""),7,FALSE)
,
)
))"),"#N/A")</f>
        <v>#N/A</v>
      </c>
      <c r="J6909" s="7" t="s">
        <v>15</v>
      </c>
    </row>
    <row r="6910" spans="1:10" ht="13.2">
      <c r="A6910" s="7">
        <v>6909</v>
      </c>
      <c r="B6910" s="7">
        <v>1</v>
      </c>
      <c r="C6910" s="7" t="s">
        <v>10</v>
      </c>
      <c r="D6910" s="7">
        <v>6331</v>
      </c>
      <c r="E6910" s="7" t="s">
        <v>12</v>
      </c>
      <c r="F6910" s="8" t="str">
        <f ca="1">IFERROR(__xludf.DUMMYFUNCTION("IF
(
C6911=""фізична особа""
,
VLOOKUP(D6911,IMPORTRANGE(""https://docs.google.com/spreadsheets/d/14Bd19lYaqBhU8_DElYkX7l4wRkHqqCUFNJY4AfY3kHU/edit?usp=sharing  #gid=0"",""фіз особи new!relations_name""),6,FALSE)
,
(IF
(
C6911=""юридична особа""
,
VLOOKUP"&amp;"(D6911,IMPORTRANGE(""https://docs.google.com/spreadsheets/d/14Bd19lYaqBhU8_DElYkX7l4wRkHqqCUFNJY4AfY3kHU/edit?usp=sharing  #gid=0"",""фіз особи new!relations_name_uo""),7,FALSE)
,
)
))"),"ПЯТКОВ Іван Віталійович")</f>
        <v>ПЯТКОВ Іван Віталійович</v>
      </c>
      <c r="G6910" s="7" t="s">
        <v>10</v>
      </c>
      <c r="H6910" s="7">
        <v>0</v>
      </c>
      <c r="I6910" s="8" t="str">
        <f ca="1">IFERROR(__xludf.DUMMYFUNCTION("IF
(
G6911=""фізична особа""
,
VLOOKUP(H6911,IMPORTRANGE(""https://docs.google.com/spreadsheets/d/14Bd19lYaqBhU8_DElYkX7l4wRkHqqCUFNJY4AfY3kHU/edit?usp=sharing  #gid=0"",""фіз особи new!relations_name""),6,FALSE)
,
(IF
(
G6911=""юридична особа""
,
VLOOKUP"&amp;"(H6911,IMPORTRANGE(""https://docs.google.com/spreadsheets/d/14Bd19lYaqBhU8_DElYkX7l4wRkHqqCUFNJY4AfY3kHU/edit?usp=sharing  #gid=0"",""фіз особи new!relations_name_uo""),7,FALSE)
,
)
))"),"#N/A")</f>
        <v>#N/A</v>
      </c>
      <c r="J6910" s="7" t="s">
        <v>17</v>
      </c>
    </row>
    <row r="6911" spans="1:10" ht="13.2">
      <c r="A6911" s="7">
        <v>6910</v>
      </c>
      <c r="B6911" s="7">
        <v>1</v>
      </c>
      <c r="C6911" s="7" t="s">
        <v>10</v>
      </c>
      <c r="D6911" s="7">
        <v>6331</v>
      </c>
      <c r="E6911" s="7" t="s">
        <v>12</v>
      </c>
      <c r="F6911" s="8" t="str">
        <f ca="1">IFERROR(__xludf.DUMMYFUNCTION("IF
(
C6912=""фізична особа""
,
VLOOKUP(D6912,IMPORTRANGE(""https://docs.google.com/spreadsheets/d/14Bd19lYaqBhU8_DElYkX7l4wRkHqqCUFNJY4AfY3kHU/edit?usp=sharing  #gid=0"",""фіз особи new!relations_name""),6,FALSE)
,
(IF
(
C6912=""юридична особа""
,
VLOOKUP"&amp;"(D6912,IMPORTRANGE(""https://docs.google.com/spreadsheets/d/14Bd19lYaqBhU8_DElYkX7l4wRkHqqCUFNJY4AfY3kHU/edit?usp=sharing  #gid=0"",""фіз особи new!relations_name_uo""),7,FALSE)
,
)
))"),"ПЯТКОВ Іван Віталійович")</f>
        <v>ПЯТКОВ Іван Віталійович</v>
      </c>
      <c r="G6911" s="7" t="s">
        <v>10</v>
      </c>
      <c r="H6911" s="7">
        <v>0</v>
      </c>
      <c r="I6911" s="8" t="str">
        <f ca="1">IFERROR(__xludf.DUMMYFUNCTION("IF
(
G6912=""фізична особа""
,
VLOOKUP(H6912,IMPORTRANGE(""https://docs.google.com/spreadsheets/d/14Bd19lYaqBhU8_DElYkX7l4wRkHqqCUFNJY4AfY3kHU/edit?usp=sharing  #gid=0"",""фіз особи new!relations_name""),6,FALSE)
,
(IF
(
G6912=""юридична особа""
,
VLOOKUP"&amp;"(H6912,IMPORTRANGE(""https://docs.google.com/spreadsheets/d/14Bd19lYaqBhU8_DElYkX7l4wRkHqqCUFNJY4AfY3kHU/edit?usp=sharing  #gid=0"",""фіз особи new!relations_name_uo""),7,FALSE)
,
)
))"),"#N/A")</f>
        <v>#N/A</v>
      </c>
      <c r="J6911" s="7" t="s">
        <v>17</v>
      </c>
    </row>
    <row r="6912" spans="1:10" ht="13.2">
      <c r="A6912" s="7">
        <v>6911</v>
      </c>
      <c r="B6912" s="7">
        <v>1</v>
      </c>
      <c r="C6912" s="7" t="s">
        <v>10</v>
      </c>
      <c r="D6912" s="7">
        <v>6332</v>
      </c>
      <c r="E6912" s="7" t="s">
        <v>17</v>
      </c>
      <c r="F6912" s="8" t="str">
        <f ca="1">IFERROR(__xludf.DUMMYFUNCTION("IF
(
C6913=""фізична особа""
,
VLOOKUP(D6913,IMPORTRANGE(""https://docs.google.com/spreadsheets/d/14Bd19lYaqBhU8_DElYkX7l4wRkHqqCUFNJY4AfY3kHU/edit?usp=sharing  #gid=0"",""фіз особи new!relations_name""),6,FALSE)
,
(IF
(
C6913=""юридична особа""
,
VLOOKUP"&amp;"(D6913,IMPORTRANGE(""https://docs.google.com/spreadsheets/d/14Bd19lYaqBhU8_DElYkX7l4wRkHqqCUFNJY4AfY3kHU/edit?usp=sharing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2" s="7" t="s">
        <v>10</v>
      </c>
      <c r="H6912" s="7">
        <v>0</v>
      </c>
      <c r="I6912" s="8" t="str">
        <f ca="1">IFERROR(__xludf.DUMMYFUNCTION("IF
(
G6913=""фізична особа""
,
VLOOKUP(H6913,IMPORTRANGE(""https://docs.google.com/spreadsheets/d/14Bd19lYaqBhU8_DElYkX7l4wRkHqqCUFNJY4AfY3kHU/edit?usp=sharing  #gid=0"",""фіз особи new!relations_name""),6,FALSE)
,
(IF
(
G6913=""юридична особа""
,
VLOOKUP"&amp;"(H6913,IMPORTRANGE(""https://docs.google.com/spreadsheets/d/14Bd19lYaqBhU8_DElYkX7l4wRkHqqCUFNJY4AfY3kHU/edit?usp=sharing  #gid=0"",""фіз особи new!relations_name_uo""),7,FALSE)
,
)
))"),"#N/A")</f>
        <v>#N/A</v>
      </c>
      <c r="J6912" s="7" t="s">
        <v>21</v>
      </c>
    </row>
    <row r="6913" spans="1:10" ht="13.2">
      <c r="A6913" s="7">
        <v>6912</v>
      </c>
      <c r="B6913" s="7">
        <v>1</v>
      </c>
      <c r="C6913" s="7" t="s">
        <v>10</v>
      </c>
      <c r="D6913" s="7">
        <v>6332</v>
      </c>
      <c r="E6913" s="7" t="s">
        <v>18</v>
      </c>
      <c r="F6913" s="8" t="str">
        <f ca="1">IFERROR(__xludf.DUMMYFUNCTION("IF
(
C6914=""фізична особа""
,
VLOOKUP(D6914,IMPORTRANGE(""https://docs.google.com/spreadsheets/d/14Bd19lYaqBhU8_DElYkX7l4wRkHqqCUFNJY4AfY3kHU/edit?usp=sharing  #gid=0"",""фіз особи new!relations_name""),6,FALSE)
,
(IF
(
C6914=""юридична особа""
,
VLOOKUP"&amp;"(D6914,IMPORTRANGE(""https://docs.google.com/spreadsheets/d/14Bd19lYaqBhU8_DElYkX7l4wRkHqqCUFNJY4AfY3kHU/edit?usp=sharing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3" s="7" t="s">
        <v>10</v>
      </c>
      <c r="H6913" s="7">
        <v>0</v>
      </c>
      <c r="I6913" s="8" t="str">
        <f ca="1">IFERROR(__xludf.DUMMYFUNCTION("IF
(
G6914=""фізична особа""
,
VLOOKUP(H6914,IMPORTRANGE(""https://docs.google.com/spreadsheets/d/14Bd19lYaqBhU8_DElYkX7l4wRkHqqCUFNJY4AfY3kHU/edit?usp=sharing  #gid=0"",""фіз особи new!relations_name""),6,FALSE)
,
(IF
(
G6914=""юридична особа""
,
VLOOKUP"&amp;"(H6914,IMPORTRANGE(""https://docs.google.com/spreadsheets/d/14Bd19lYaqBhU8_DElYkX7l4wRkHqqCUFNJY4AfY3kHU/edit?usp=sharing  #gid=0"",""фіз особи new!relations_name_uo""),7,FALSE)
,
)
))"),"#N/A")</f>
        <v>#N/A</v>
      </c>
      <c r="J6913" s="7" t="s">
        <v>18</v>
      </c>
    </row>
    <row r="6914" spans="1:10" ht="13.2">
      <c r="A6914" s="7">
        <v>6913</v>
      </c>
      <c r="B6914" s="7">
        <v>1</v>
      </c>
      <c r="C6914" s="7" t="s">
        <v>10</v>
      </c>
      <c r="D6914" s="7">
        <v>6332</v>
      </c>
      <c r="E6914" s="7" t="s">
        <v>14</v>
      </c>
      <c r="F6914" s="8" t="str">
        <f ca="1">IFERROR(__xludf.DUMMYFUNCTION("IF
(
C6915=""фізична особа""
,
VLOOKUP(D6915,IMPORTRANGE(""https://docs.google.com/spreadsheets/d/14Bd19lYaqBhU8_DElYkX7l4wRkHqqCUFNJY4AfY3kHU/edit?usp=sharing  #gid=0"",""фіз особи new!relations_name""),6,FALSE)
,
(IF
(
C6915=""юридична особа""
,
VLOOKUP"&amp;"(D6915,IMPORTRANGE(""https://docs.google.com/spreadsheets/d/14Bd19lYaqBhU8_DElYkX7l4wRkHqqCUFNJY4AfY3kHU/edit?usp=sharing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4" s="7" t="s">
        <v>10</v>
      </c>
      <c r="H6914" s="7">
        <v>0</v>
      </c>
      <c r="I6914" s="8" t="str">
        <f ca="1">IFERROR(__xludf.DUMMYFUNCTION("IF
(
G6915=""фізична особа""
,
VLOOKUP(H6915,IMPORTRANGE(""https://docs.google.com/spreadsheets/d/14Bd19lYaqBhU8_DElYkX7l4wRkHqqCUFNJY4AfY3kHU/edit?usp=sharing  #gid=0"",""фіз особи new!relations_name""),6,FALSE)
,
(IF
(
G6915=""юридична особа""
,
VLOOKUP"&amp;"(H6915,IMPORTRANGE(""https://docs.google.com/spreadsheets/d/14Bd19lYaqBhU8_DElYkX7l4wRkHqqCUFNJY4AfY3kHU/edit?usp=sharing  #gid=0"",""фіз особи new!relations_name_uo""),7,FALSE)
,
)
))"),"#N/A")</f>
        <v>#N/A</v>
      </c>
      <c r="J6914" s="7" t="s">
        <v>15</v>
      </c>
    </row>
    <row r="6915" spans="1:10" ht="13.2">
      <c r="A6915" s="7">
        <v>6914</v>
      </c>
      <c r="B6915" s="7">
        <v>1</v>
      </c>
      <c r="C6915" s="7" t="s">
        <v>10</v>
      </c>
      <c r="D6915" s="7">
        <v>6332</v>
      </c>
      <c r="E6915" s="7" t="s">
        <v>12</v>
      </c>
      <c r="F6915" s="8" t="str">
        <f ca="1">IFERROR(__xludf.DUMMYFUNCTION("IF
(
C6916=""фізична особа""
,
VLOOKUP(D6916,IMPORTRANGE(""https://docs.google.com/spreadsheets/d/14Bd19lYaqBhU8_DElYkX7l4wRkHqqCUFNJY4AfY3kHU/edit?usp=sharing  #gid=0"",""фіз особи new!relations_name""),6,FALSE)
,
(IF
(
C6916=""юридична особа""
,
VLOOKUP"&amp;"(D6916,IMPORTRANGE(""https://docs.google.com/spreadsheets/d/14Bd19lYaqBhU8_DElYkX7l4wRkHqqCUFNJY4AfY3kHU/edit?usp=sharing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5" s="7" t="s">
        <v>10</v>
      </c>
      <c r="H6915" s="7">
        <v>0</v>
      </c>
      <c r="I6915" s="8" t="str">
        <f ca="1">IFERROR(__xludf.DUMMYFUNCTION("IF
(
G6916=""фізична особа""
,
VLOOKUP(H6916,IMPORTRANGE(""https://docs.google.com/spreadsheets/d/14Bd19lYaqBhU8_DElYkX7l4wRkHqqCUFNJY4AfY3kHU/edit?usp=sharing  #gid=0"",""фіз особи new!relations_name""),6,FALSE)
,
(IF
(
G6916=""юридична особа""
,
VLOOKUP"&amp;"(H6916,IMPORTRANGE(""https://docs.google.com/spreadsheets/d/14Bd19lYaqBhU8_DElYkX7l4wRkHqqCUFNJY4AfY3kHU/edit?usp=sharing  #gid=0"",""фіз особи new!relations_name_uo""),7,FALSE)
,
)
))"),"#N/A")</f>
        <v>#N/A</v>
      </c>
      <c r="J6915" s="7" t="s">
        <v>13</v>
      </c>
    </row>
    <row r="6916" spans="1:10" ht="13.2">
      <c r="A6916" s="7">
        <v>6915</v>
      </c>
      <c r="B6916" s="7">
        <v>1</v>
      </c>
      <c r="C6916" s="7" t="s">
        <v>10</v>
      </c>
      <c r="D6916" s="7">
        <v>6332</v>
      </c>
      <c r="E6916" s="7" t="s">
        <v>12</v>
      </c>
      <c r="F6916" s="8" t="str">
        <f ca="1">IFERROR(__xludf.DUMMYFUNCTION("IF
(
C6917=""фізична особа""
,
VLOOKUP(D6917,IMPORTRANGE(""https://docs.google.com/spreadsheets/d/14Bd19lYaqBhU8_DElYkX7l4wRkHqqCUFNJY4AfY3kHU/edit?usp=sharing  #gid=0"",""фіз особи new!relations_name""),6,FALSE)
,
(IF
(
C6917=""юридична особа""
,
VLOOKUP"&amp;"(D6917,IMPORTRANGE(""https://docs.google.com/spreadsheets/d/14Bd19lYaqBhU8_DElYkX7l4wRkHqqCUFNJY4AfY3kHU/edit?usp=sharing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6" s="7" t="s">
        <v>10</v>
      </c>
      <c r="H6916" s="7">
        <v>0</v>
      </c>
      <c r="I6916" s="8" t="str">
        <f ca="1">IFERROR(__xludf.DUMMYFUNCTION("IF
(
G6917=""фізична особа""
,
VLOOKUP(H6917,IMPORTRANGE(""https://docs.google.com/spreadsheets/d/14Bd19lYaqBhU8_DElYkX7l4wRkHqqCUFNJY4AfY3kHU/edit?usp=sharing  #gid=0"",""фіз особи new!relations_name""),6,FALSE)
,
(IF
(
G6917=""юридична особа""
,
VLOOKUP"&amp;"(H6917,IMPORTRANGE(""https://docs.google.com/spreadsheets/d/14Bd19lYaqBhU8_DElYkX7l4wRkHqqCUFNJY4AfY3kHU/edit?usp=sharing  #gid=0"",""фіз особи new!relations_name_uo""),7,FALSE)
,
)
))"),"#N/A")</f>
        <v>#N/A</v>
      </c>
      <c r="J6916" s="7" t="s">
        <v>13</v>
      </c>
    </row>
    <row r="6917" spans="1:10" ht="13.2">
      <c r="A6917" s="7">
        <v>6916</v>
      </c>
      <c r="B6917" s="7">
        <v>1</v>
      </c>
      <c r="C6917" s="7" t="s">
        <v>10</v>
      </c>
      <c r="D6917" s="7">
        <v>6332</v>
      </c>
      <c r="E6917" s="7" t="s">
        <v>12</v>
      </c>
      <c r="F6917" s="8" t="str">
        <f ca="1">IFERROR(__xludf.DUMMYFUNCTION("IF
(
C6918=""фізична особа""
,
VLOOKUP(D6918,IMPORTRANGE(""https://docs.google.com/spreadsheets/d/14Bd19lYaqBhU8_DElYkX7l4wRkHqqCUFNJY4AfY3kHU/edit?usp=sharing  #gid=0"",""фіз особи new!relations_name""),6,FALSE)
,
(IF
(
C6918=""юридична особа""
,
VLOOKUP"&amp;"(D6918,IMPORTRANGE(""https://docs.google.com/spreadsheets/d/14Bd19lYaqBhU8_DElYkX7l4wRkHqqCUFNJY4AfY3kHU/edit?usp=sharing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7" s="7" t="s">
        <v>10</v>
      </c>
      <c r="H6917" s="7">
        <v>0</v>
      </c>
      <c r="I6917" s="8" t="str">
        <f ca="1">IFERROR(__xludf.DUMMYFUNCTION("IF
(
G6918=""фізична особа""
,
VLOOKUP(H6918,IMPORTRANGE(""https://docs.google.com/spreadsheets/d/14Bd19lYaqBhU8_DElYkX7l4wRkHqqCUFNJY4AfY3kHU/edit?usp=sharing  #gid=0"",""фіз особи new!relations_name""),6,FALSE)
,
(IF
(
G6918=""юридична особа""
,
VLOOKUP"&amp;"(H6918,IMPORTRANGE(""https://docs.google.com/spreadsheets/d/14Bd19lYaqBhU8_DElYkX7l4wRkHqqCUFNJY4AfY3kHU/edit?usp=sharing  #gid=0"",""фіз особи new!relations_name_uo""),7,FALSE)
,
)
))"),"#N/A")</f>
        <v>#N/A</v>
      </c>
      <c r="J6917" s="7" t="s">
        <v>17</v>
      </c>
    </row>
    <row r="6918" spans="1:10" ht="13.2">
      <c r="A6918" s="7">
        <v>6917</v>
      </c>
      <c r="B6918" s="7">
        <v>1</v>
      </c>
      <c r="C6918" s="7" t="s">
        <v>10</v>
      </c>
      <c r="D6918" s="7">
        <v>6332</v>
      </c>
      <c r="E6918" s="7" t="s">
        <v>26</v>
      </c>
      <c r="F6918" s="8" t="str">
        <f ca="1">IFERROR(__xludf.DUMMYFUNCTION("IF
(
C6919=""фізична особа""
,
VLOOKUP(D6919,IMPORTRANGE(""https://docs.google.com/spreadsheets/d/14Bd19lYaqBhU8_DElYkX7l4wRkHqqCUFNJY4AfY3kHU/edit?usp=sharing  #gid=0"",""фіз особи new!relations_name""),6,FALSE)
,
(IF
(
C6919=""юридична особа""
,
VLOOKUP"&amp;"(D6919,IMPORTRANGE(""https://docs.google.com/spreadsheets/d/14Bd19lYaqBhU8_DElYkX7l4wRkHqqCUFNJY4AfY3kHU/edit?usp=sharing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8" s="7" t="s">
        <v>10</v>
      </c>
      <c r="H6918" s="7">
        <v>0</v>
      </c>
      <c r="I6918" s="8" t="str">
        <f ca="1">IFERROR(__xludf.DUMMYFUNCTION("IF
(
G6919=""фізична особа""
,
VLOOKUP(H6919,IMPORTRANGE(""https://docs.google.com/spreadsheets/d/14Bd19lYaqBhU8_DElYkX7l4wRkHqqCUFNJY4AfY3kHU/edit?usp=sharing  #gid=0"",""фіз особи new!relations_name""),6,FALSE)
,
(IF
(
G6919=""юридична особа""
,
VLOOKUP"&amp;"(H6919,IMPORTRANGE(""https://docs.google.com/spreadsheets/d/14Bd19lYaqBhU8_DElYkX7l4wRkHqqCUFNJY4AfY3kHU/edit?usp=sharing  #gid=0"",""фіз особи new!relations_name_uo""),7,FALSE)
,
)
))"),"#N/A")</f>
        <v>#N/A</v>
      </c>
      <c r="J6918" s="7" t="s">
        <v>27</v>
      </c>
    </row>
    <row r="6919" spans="1:10" ht="13.2">
      <c r="A6919" s="7">
        <v>6918</v>
      </c>
      <c r="B6919" s="7">
        <v>1</v>
      </c>
      <c r="C6919" s="7" t="s">
        <v>10</v>
      </c>
      <c r="D6919" s="7">
        <v>6332</v>
      </c>
      <c r="E6919" s="7" t="s">
        <v>30</v>
      </c>
      <c r="F6919" s="8" t="str">
        <f ca="1">IFERROR(__xludf.DUMMYFUNCTION("IF
(
C6920=""фізична особа""
,
VLOOKUP(D6920,IMPORTRANGE(""https://docs.google.com/spreadsheets/d/14Bd19lYaqBhU8_DElYkX7l4wRkHqqCUFNJY4AfY3kHU/edit?usp=sharing  #gid=0"",""фіз особи new!relations_name""),6,FALSE)
,
(IF
(
C6920=""юридична особа""
,
VLOOKUP"&amp;"(D6920,IMPORTRANGE(""https://docs.google.com/spreadsheets/d/14Bd19lYaqBhU8_DElYkX7l4wRkHqqCUFNJY4AfY3kHU/edit?usp=sharing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19" s="7" t="s">
        <v>10</v>
      </c>
      <c r="H6919" s="7">
        <v>0</v>
      </c>
      <c r="I6919" s="8" t="str">
        <f ca="1">IFERROR(__xludf.DUMMYFUNCTION("IF
(
G6920=""фізична особа""
,
VLOOKUP(H6920,IMPORTRANGE(""https://docs.google.com/spreadsheets/d/14Bd19lYaqBhU8_DElYkX7l4wRkHqqCUFNJY4AfY3kHU/edit?usp=sharing  #gid=0"",""фіз особи new!relations_name""),6,FALSE)
,
(IF
(
G6920=""юридична особа""
,
VLOOKUP"&amp;"(H6920,IMPORTRANGE(""https://docs.google.com/spreadsheets/d/14Bd19lYaqBhU8_DElYkX7l4wRkHqqCUFNJY4AfY3kHU/edit?usp=sharing  #gid=0"",""фіз особи new!relations_name_uo""),7,FALSE)
,
)
))"),"#N/A")</f>
        <v>#N/A</v>
      </c>
      <c r="J6919" s="7" t="s">
        <v>30</v>
      </c>
    </row>
    <row r="6920" spans="1:10" ht="13.2">
      <c r="A6920" s="7">
        <v>6919</v>
      </c>
      <c r="B6920" s="7">
        <v>1</v>
      </c>
      <c r="C6920" s="7" t="s">
        <v>10</v>
      </c>
      <c r="D6920" s="7">
        <v>6332</v>
      </c>
      <c r="E6920" s="7" t="s">
        <v>30</v>
      </c>
      <c r="F6920" s="8" t="str">
        <f ca="1">IFERROR(__xludf.DUMMYFUNCTION("IF
(
C6921=""фізична особа""
,
VLOOKUP(D6921,IMPORTRANGE(""https://docs.google.com/spreadsheets/d/14Bd19lYaqBhU8_DElYkX7l4wRkHqqCUFNJY4AfY3kHU/edit?usp=sharing  #gid=0"",""фіз особи new!relations_name""),6,FALSE)
,
(IF
(
C6921=""юридична особа""
,
VLOOKUP"&amp;"(D6921,IMPORTRANGE(""https://docs.google.com/spreadsheets/d/14Bd19lYaqBhU8_DElYkX7l4wRkHqqCUFNJY4AfY3kHU/edit?usp=sharing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0" s="7" t="s">
        <v>10</v>
      </c>
      <c r="H6920" s="7">
        <v>0</v>
      </c>
      <c r="I6920" s="8" t="str">
        <f ca="1">IFERROR(__xludf.DUMMYFUNCTION("IF
(
G6921=""фізична особа""
,
VLOOKUP(H6921,IMPORTRANGE(""https://docs.google.com/spreadsheets/d/14Bd19lYaqBhU8_DElYkX7l4wRkHqqCUFNJY4AfY3kHU/edit?usp=sharing  #gid=0"",""фіз особи new!relations_name""),6,FALSE)
,
(IF
(
G6921=""юридична особа""
,
VLOOKUP"&amp;"(H6921,IMPORTRANGE(""https://docs.google.com/spreadsheets/d/14Bd19lYaqBhU8_DElYkX7l4wRkHqqCUFNJY4AfY3kHU/edit?usp=sharing  #gid=0"",""фіз особи new!relations_name_uo""),7,FALSE)
,
)
))"),"#N/A")</f>
        <v>#N/A</v>
      </c>
      <c r="J6920" s="7" t="s">
        <v>30</v>
      </c>
    </row>
    <row r="6921" spans="1:10" ht="13.2">
      <c r="A6921" s="7">
        <v>6920</v>
      </c>
      <c r="B6921" s="7">
        <v>1</v>
      </c>
      <c r="C6921" s="7" t="s">
        <v>10</v>
      </c>
      <c r="D6921" s="7">
        <v>6332</v>
      </c>
      <c r="E6921" s="7" t="s">
        <v>30</v>
      </c>
      <c r="F6921" s="8" t="str">
        <f ca="1">IFERROR(__xludf.DUMMYFUNCTION("IF
(
C6922=""фізична особа""
,
VLOOKUP(D6922,IMPORTRANGE(""https://docs.google.com/spreadsheets/d/14Bd19lYaqBhU8_DElYkX7l4wRkHqqCUFNJY4AfY3kHU/edit?usp=sharing  #gid=0"",""фіз особи new!relations_name""),6,FALSE)
,
(IF
(
C6922=""юридична особа""
,
VLOOKUP"&amp;"(D6922,IMPORTRANGE(""https://docs.google.com/spreadsheets/d/14Bd19lYaqBhU8_DElYkX7l4wRkHqqCUFNJY4AfY3kHU/edit?usp=sharing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1" s="7" t="s">
        <v>10</v>
      </c>
      <c r="H6921" s="7">
        <v>0</v>
      </c>
      <c r="I6921" s="8" t="str">
        <f ca="1">IFERROR(__xludf.DUMMYFUNCTION("IF
(
G6922=""фізична особа""
,
VLOOKUP(H6922,IMPORTRANGE(""https://docs.google.com/spreadsheets/d/14Bd19lYaqBhU8_DElYkX7l4wRkHqqCUFNJY4AfY3kHU/edit?usp=sharing  #gid=0"",""фіз особи new!relations_name""),6,FALSE)
,
(IF
(
G6922=""юридична особа""
,
VLOOKUP"&amp;"(H6922,IMPORTRANGE(""https://docs.google.com/spreadsheets/d/14Bd19lYaqBhU8_DElYkX7l4wRkHqqCUFNJY4AfY3kHU/edit?usp=sharing  #gid=0"",""фіз особи new!relations_name_uo""),7,FALSE)
,
)
))"),"#N/A")</f>
        <v>#N/A</v>
      </c>
      <c r="J6921" s="7" t="s">
        <v>30</v>
      </c>
    </row>
    <row r="6922" spans="1:10" ht="13.2">
      <c r="A6922" s="7">
        <v>6921</v>
      </c>
      <c r="B6922" s="7">
        <v>1</v>
      </c>
      <c r="C6922" s="7" t="s">
        <v>10</v>
      </c>
      <c r="D6922" s="7">
        <v>6332</v>
      </c>
      <c r="E6922" s="7" t="s">
        <v>30</v>
      </c>
      <c r="F6922" s="8" t="str">
        <f ca="1">IFERROR(__xludf.DUMMYFUNCTION("IF
(
C6923=""фізична особа""
,
VLOOKUP(D6923,IMPORTRANGE(""https://docs.google.com/spreadsheets/d/14Bd19lYaqBhU8_DElYkX7l4wRkHqqCUFNJY4AfY3kHU/edit?usp=sharing  #gid=0"",""фіз особи new!relations_name""),6,FALSE)
,
(IF
(
C6923=""юридична особа""
,
VLOOKUP"&amp;"(D6923,IMPORTRANGE(""https://docs.google.com/spreadsheets/d/14Bd19lYaqBhU8_DElYkX7l4wRkHqqCUFNJY4AfY3kHU/edit?usp=sharing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2" s="7" t="s">
        <v>10</v>
      </c>
      <c r="H6922" s="7">
        <v>0</v>
      </c>
      <c r="I6922" s="8" t="str">
        <f ca="1">IFERROR(__xludf.DUMMYFUNCTION("IF
(
G6923=""фізична особа""
,
VLOOKUP(H6923,IMPORTRANGE(""https://docs.google.com/spreadsheets/d/14Bd19lYaqBhU8_DElYkX7l4wRkHqqCUFNJY4AfY3kHU/edit?usp=sharing  #gid=0"",""фіз особи new!relations_name""),6,FALSE)
,
(IF
(
G6923=""юридична особа""
,
VLOOKUP"&amp;"(H6923,IMPORTRANGE(""https://docs.google.com/spreadsheets/d/14Bd19lYaqBhU8_DElYkX7l4wRkHqqCUFNJY4AfY3kHU/edit?usp=sharing  #gid=0"",""фіз особи new!relations_name_uo""),7,FALSE)
,
)
))"),"#N/A")</f>
        <v>#N/A</v>
      </c>
      <c r="J6922" s="7" t="s">
        <v>30</v>
      </c>
    </row>
    <row r="6923" spans="1:10" ht="13.2">
      <c r="A6923" s="7">
        <v>6922</v>
      </c>
      <c r="B6923" s="7">
        <v>1</v>
      </c>
      <c r="C6923" s="7" t="s">
        <v>10</v>
      </c>
      <c r="D6923" s="7">
        <v>6332</v>
      </c>
      <c r="E6923" s="7" t="s">
        <v>30</v>
      </c>
      <c r="F6923" s="8" t="str">
        <f ca="1">IFERROR(__xludf.DUMMYFUNCTION("IF
(
C6924=""фізична особа""
,
VLOOKUP(D6924,IMPORTRANGE(""https://docs.google.com/spreadsheets/d/14Bd19lYaqBhU8_DElYkX7l4wRkHqqCUFNJY4AfY3kHU/edit?usp=sharing  #gid=0"",""фіз особи new!relations_name""),6,FALSE)
,
(IF
(
C6924=""юридична особа""
,
VLOOKUP"&amp;"(D6924,IMPORTRANGE(""https://docs.google.com/spreadsheets/d/14Bd19lYaqBhU8_DElYkX7l4wRkHqqCUFNJY4AfY3kHU/edit?usp=sharing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3" s="7" t="s">
        <v>10</v>
      </c>
      <c r="H6923" s="7">
        <v>0</v>
      </c>
      <c r="I6923" s="8" t="str">
        <f ca="1">IFERROR(__xludf.DUMMYFUNCTION("IF
(
G6924=""фізична особа""
,
VLOOKUP(H6924,IMPORTRANGE(""https://docs.google.com/spreadsheets/d/14Bd19lYaqBhU8_DElYkX7l4wRkHqqCUFNJY4AfY3kHU/edit?usp=sharing  #gid=0"",""фіз особи new!relations_name""),6,FALSE)
,
(IF
(
G6924=""юридична особа""
,
VLOOKUP"&amp;"(H6924,IMPORTRANGE(""https://docs.google.com/spreadsheets/d/14Bd19lYaqBhU8_DElYkX7l4wRkHqqCUFNJY4AfY3kHU/edit?usp=sharing  #gid=0"",""фіз особи new!relations_name_uo""),7,FALSE)
,
)
))"),"#N/A")</f>
        <v>#N/A</v>
      </c>
      <c r="J6923" s="7" t="s">
        <v>30</v>
      </c>
    </row>
    <row r="6924" spans="1:10" ht="13.2">
      <c r="A6924" s="7">
        <v>6923</v>
      </c>
      <c r="B6924" s="7">
        <v>1</v>
      </c>
      <c r="C6924" s="7" t="s">
        <v>10</v>
      </c>
      <c r="D6924" s="7">
        <v>6332</v>
      </c>
      <c r="E6924" s="7" t="s">
        <v>30</v>
      </c>
      <c r="F6924" s="8" t="str">
        <f ca="1">IFERROR(__xludf.DUMMYFUNCTION("IF
(
C6925=""фізична особа""
,
VLOOKUP(D6925,IMPORTRANGE(""https://docs.google.com/spreadsheets/d/14Bd19lYaqBhU8_DElYkX7l4wRkHqqCUFNJY4AfY3kHU/edit?usp=sharing  #gid=0"",""фіз особи new!relations_name""),6,FALSE)
,
(IF
(
C6925=""юридична особа""
,
VLOOKUP"&amp;"(D6925,IMPORTRANGE(""https://docs.google.com/spreadsheets/d/14Bd19lYaqBhU8_DElYkX7l4wRkHqqCUFNJY4AfY3kHU/edit?usp=sharing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4" s="7" t="s">
        <v>10</v>
      </c>
      <c r="H6924" s="7">
        <v>0</v>
      </c>
      <c r="I6924" s="8" t="str">
        <f ca="1">IFERROR(__xludf.DUMMYFUNCTION("IF
(
G6925=""фізична особа""
,
VLOOKUP(H6925,IMPORTRANGE(""https://docs.google.com/spreadsheets/d/14Bd19lYaqBhU8_DElYkX7l4wRkHqqCUFNJY4AfY3kHU/edit?usp=sharing  #gid=0"",""фіз особи new!relations_name""),6,FALSE)
,
(IF
(
G6925=""юридична особа""
,
VLOOKUP"&amp;"(H6925,IMPORTRANGE(""https://docs.google.com/spreadsheets/d/14Bd19lYaqBhU8_DElYkX7l4wRkHqqCUFNJY4AfY3kHU/edit?usp=sharing  #gid=0"",""фіз особи new!relations_name_uo""),7,FALSE)
,
)
))"),"#N/A")</f>
        <v>#N/A</v>
      </c>
      <c r="J6924" s="7" t="s">
        <v>30</v>
      </c>
    </row>
    <row r="6925" spans="1:10" ht="13.2">
      <c r="A6925" s="7">
        <v>6924</v>
      </c>
      <c r="B6925" s="7">
        <v>1</v>
      </c>
      <c r="C6925" s="7" t="s">
        <v>10</v>
      </c>
      <c r="D6925" s="7">
        <v>6332</v>
      </c>
      <c r="E6925" s="7" t="s">
        <v>30</v>
      </c>
      <c r="F6925" s="8" t="str">
        <f ca="1">IFERROR(__xludf.DUMMYFUNCTION("IF
(
C6926=""фізична особа""
,
VLOOKUP(D6926,IMPORTRANGE(""https://docs.google.com/spreadsheets/d/14Bd19lYaqBhU8_DElYkX7l4wRkHqqCUFNJY4AfY3kHU/edit?usp=sharing  #gid=0"",""фіз особи new!relations_name""),6,FALSE)
,
(IF
(
C6926=""юридична особа""
,
VLOOKUP"&amp;"(D6926,IMPORTRANGE(""https://docs.google.com/spreadsheets/d/14Bd19lYaqBhU8_DElYkX7l4wRkHqqCUFNJY4AfY3kHU/edit?usp=sharing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5" s="7" t="s">
        <v>10</v>
      </c>
      <c r="H6925" s="7">
        <v>0</v>
      </c>
      <c r="I6925" s="8" t="str">
        <f ca="1">IFERROR(__xludf.DUMMYFUNCTION("IF
(
G6926=""фізична особа""
,
VLOOKUP(H6926,IMPORTRANGE(""https://docs.google.com/spreadsheets/d/14Bd19lYaqBhU8_DElYkX7l4wRkHqqCUFNJY4AfY3kHU/edit?usp=sharing  #gid=0"",""фіз особи new!relations_name""),6,FALSE)
,
(IF
(
G6926=""юридична особа""
,
VLOOKUP"&amp;"(H6926,IMPORTRANGE(""https://docs.google.com/spreadsheets/d/14Bd19lYaqBhU8_DElYkX7l4wRkHqqCUFNJY4AfY3kHU/edit?usp=sharing  #gid=0"",""фіз особи new!relations_name_uo""),7,FALSE)
,
)
))"),"#N/A")</f>
        <v>#N/A</v>
      </c>
      <c r="J6925" s="7" t="s">
        <v>30</v>
      </c>
    </row>
    <row r="6926" spans="1:10" ht="13.2">
      <c r="A6926" s="7">
        <v>6925</v>
      </c>
      <c r="B6926" s="7">
        <v>1</v>
      </c>
      <c r="C6926" s="7" t="s">
        <v>10</v>
      </c>
      <c r="D6926" s="7">
        <v>6332</v>
      </c>
      <c r="E6926" s="7" t="s">
        <v>30</v>
      </c>
      <c r="F6926" s="8" t="str">
        <f ca="1">IFERROR(__xludf.DUMMYFUNCTION("IF
(
C6927=""фізична особа""
,
VLOOKUP(D6927,IMPORTRANGE(""https://docs.google.com/spreadsheets/d/14Bd19lYaqBhU8_DElYkX7l4wRkHqqCUFNJY4AfY3kHU/edit?usp=sharing  #gid=0"",""фіз особи new!relations_name""),6,FALSE)
,
(IF
(
C6927=""юридична особа""
,
VLOOKUP"&amp;"(D6927,IMPORTRANGE(""https://docs.google.com/spreadsheets/d/14Bd19lYaqBhU8_DElYkX7l4wRkHqqCUFNJY4AfY3kHU/edit?usp=sharing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6" s="7" t="s">
        <v>10</v>
      </c>
      <c r="H6926" s="7">
        <v>0</v>
      </c>
      <c r="I6926" s="8" t="str">
        <f ca="1">IFERROR(__xludf.DUMMYFUNCTION("IF
(
G6927=""фізична особа""
,
VLOOKUP(H6927,IMPORTRANGE(""https://docs.google.com/spreadsheets/d/14Bd19lYaqBhU8_DElYkX7l4wRkHqqCUFNJY4AfY3kHU/edit?usp=sharing  #gid=0"",""фіз особи new!relations_name""),6,FALSE)
,
(IF
(
G6927=""юридична особа""
,
VLOOKUP"&amp;"(H6927,IMPORTRANGE(""https://docs.google.com/spreadsheets/d/14Bd19lYaqBhU8_DElYkX7l4wRkHqqCUFNJY4AfY3kHU/edit?usp=sharing  #gid=0"",""фіз особи new!relations_name_uo""),7,FALSE)
,
)
))"),"#N/A")</f>
        <v>#N/A</v>
      </c>
      <c r="J6926" s="7" t="s">
        <v>30</v>
      </c>
    </row>
    <row r="6927" spans="1:10" ht="13.2">
      <c r="A6927" s="7">
        <v>6926</v>
      </c>
      <c r="B6927" s="7">
        <v>1</v>
      </c>
      <c r="C6927" s="7" t="s">
        <v>10</v>
      </c>
      <c r="D6927" s="7">
        <v>6332</v>
      </c>
      <c r="E6927" s="7" t="s">
        <v>30</v>
      </c>
      <c r="F6927" s="8" t="str">
        <f ca="1">IFERROR(__xludf.DUMMYFUNCTION("IF
(
C6928=""фізична особа""
,
VLOOKUP(D6928,IMPORTRANGE(""https://docs.google.com/spreadsheets/d/14Bd19lYaqBhU8_DElYkX7l4wRkHqqCUFNJY4AfY3kHU/edit?usp=sharing  #gid=0"",""фіз особи new!relations_name""),6,FALSE)
,
(IF
(
C6928=""юридична особа""
,
VLOOKUP"&amp;"(D6928,IMPORTRANGE(""https://docs.google.com/spreadsheets/d/14Bd19lYaqBhU8_DElYkX7l4wRkHqqCUFNJY4AfY3kHU/edit?usp=sharing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7" s="7" t="s">
        <v>10</v>
      </c>
      <c r="H6927" s="7">
        <v>0</v>
      </c>
      <c r="I6927" s="8" t="str">
        <f ca="1">IFERROR(__xludf.DUMMYFUNCTION("IF
(
G6928=""фізична особа""
,
VLOOKUP(H6928,IMPORTRANGE(""https://docs.google.com/spreadsheets/d/14Bd19lYaqBhU8_DElYkX7l4wRkHqqCUFNJY4AfY3kHU/edit?usp=sharing  #gid=0"",""фіз особи new!relations_name""),6,FALSE)
,
(IF
(
G6928=""юридична особа""
,
VLOOKUP"&amp;"(H6928,IMPORTRANGE(""https://docs.google.com/spreadsheets/d/14Bd19lYaqBhU8_DElYkX7l4wRkHqqCUFNJY4AfY3kHU/edit?usp=sharing  #gid=0"",""фіз особи new!relations_name_uo""),7,FALSE)
,
)
))"),"#N/A")</f>
        <v>#N/A</v>
      </c>
      <c r="J6927" s="7" t="s">
        <v>30</v>
      </c>
    </row>
    <row r="6928" spans="1:10" ht="13.2">
      <c r="A6928" s="7">
        <v>6927</v>
      </c>
      <c r="B6928" s="7">
        <v>1</v>
      </c>
      <c r="C6928" s="7" t="s">
        <v>10</v>
      </c>
      <c r="D6928" s="7">
        <v>6332</v>
      </c>
      <c r="E6928" s="7" t="s">
        <v>30</v>
      </c>
      <c r="F6928" s="8" t="str">
        <f ca="1">IFERROR(__xludf.DUMMYFUNCTION("IF
(
C6929=""фізична особа""
,
VLOOKUP(D6929,IMPORTRANGE(""https://docs.google.com/spreadsheets/d/14Bd19lYaqBhU8_DElYkX7l4wRkHqqCUFNJY4AfY3kHU/edit?usp=sharing  #gid=0"",""фіз особи new!relations_name""),6,FALSE)
,
(IF
(
C6929=""юридична особа""
,
VLOOKUP"&amp;"(D6929,IMPORTRANGE(""https://docs.google.com/spreadsheets/d/14Bd19lYaqBhU8_DElYkX7l4wRkHqqCUFNJY4AfY3kHU/edit?usp=sharing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8" s="7" t="s">
        <v>10</v>
      </c>
      <c r="H6928" s="7">
        <v>0</v>
      </c>
      <c r="I6928" s="8" t="str">
        <f ca="1">IFERROR(__xludf.DUMMYFUNCTION("IF
(
G6929=""фізична особа""
,
VLOOKUP(H6929,IMPORTRANGE(""https://docs.google.com/spreadsheets/d/14Bd19lYaqBhU8_DElYkX7l4wRkHqqCUFNJY4AfY3kHU/edit?usp=sharing  #gid=0"",""фіз особи new!relations_name""),6,FALSE)
,
(IF
(
G6929=""юридична особа""
,
VLOOKUP"&amp;"(H6929,IMPORTRANGE(""https://docs.google.com/spreadsheets/d/14Bd19lYaqBhU8_DElYkX7l4wRkHqqCUFNJY4AfY3kHU/edit?usp=sharing  #gid=0"",""фіз особи new!relations_name_uo""),7,FALSE)
,
)
))"),"#N/A")</f>
        <v>#N/A</v>
      </c>
      <c r="J6928" s="7" t="s">
        <v>30</v>
      </c>
    </row>
    <row r="6929" spans="1:10" ht="13.2">
      <c r="A6929" s="7">
        <v>6928</v>
      </c>
      <c r="B6929" s="7">
        <v>1</v>
      </c>
      <c r="C6929" s="7" t="s">
        <v>10</v>
      </c>
      <c r="D6929" s="7">
        <v>6332</v>
      </c>
      <c r="E6929" s="7" t="s">
        <v>30</v>
      </c>
      <c r="F6929" s="8" t="str">
        <f ca="1">IFERROR(__xludf.DUMMYFUNCTION("IF
(
C6930=""фізична особа""
,
VLOOKUP(D6930,IMPORTRANGE(""https://docs.google.com/spreadsheets/d/14Bd19lYaqBhU8_DElYkX7l4wRkHqqCUFNJY4AfY3kHU/edit?usp=sharing  #gid=0"",""фіз особи new!relations_name""),6,FALSE)
,
(IF
(
C6930=""юридична особа""
,
VLOOKUP"&amp;"(D6930,IMPORTRANGE(""https://docs.google.com/spreadsheets/d/14Bd19lYaqBhU8_DElYkX7l4wRkHqqCUFNJY4AfY3kHU/edit?usp=sharing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29" s="7" t="s">
        <v>10</v>
      </c>
      <c r="H6929" s="7">
        <v>0</v>
      </c>
      <c r="I6929" s="8" t="str">
        <f ca="1">IFERROR(__xludf.DUMMYFUNCTION("IF
(
G6930=""фізична особа""
,
VLOOKUP(H6930,IMPORTRANGE(""https://docs.google.com/spreadsheets/d/14Bd19lYaqBhU8_DElYkX7l4wRkHqqCUFNJY4AfY3kHU/edit?usp=sharing  #gid=0"",""фіз особи new!relations_name""),6,FALSE)
,
(IF
(
G6930=""юридична особа""
,
VLOOKUP"&amp;"(H6930,IMPORTRANGE(""https://docs.google.com/spreadsheets/d/14Bd19lYaqBhU8_DElYkX7l4wRkHqqCUFNJY4AfY3kHU/edit?usp=sharing  #gid=0"",""фіз особи new!relations_name_uo""),7,FALSE)
,
)
))"),"#N/A")</f>
        <v>#N/A</v>
      </c>
      <c r="J6929" s="7" t="s">
        <v>30</v>
      </c>
    </row>
    <row r="6930" spans="1:10" ht="13.2">
      <c r="A6930" s="7">
        <v>6929</v>
      </c>
      <c r="B6930" s="7">
        <v>1</v>
      </c>
      <c r="C6930" s="7" t="s">
        <v>10</v>
      </c>
      <c r="D6930" s="7">
        <v>6332</v>
      </c>
      <c r="E6930" s="7" t="s">
        <v>30</v>
      </c>
      <c r="F6930" s="8" t="str">
        <f ca="1">IFERROR(__xludf.DUMMYFUNCTION("IF
(
C6931=""фізична особа""
,
VLOOKUP(D6931,IMPORTRANGE(""https://docs.google.com/spreadsheets/d/14Bd19lYaqBhU8_DElYkX7l4wRkHqqCUFNJY4AfY3kHU/edit?usp=sharing  #gid=0"",""фіз особи new!relations_name""),6,FALSE)
,
(IF
(
C6931=""юридична особа""
,
VLOOKUP"&amp;"(D6931,IMPORTRANGE(""https://docs.google.com/spreadsheets/d/14Bd19lYaqBhU8_DElYkX7l4wRkHqqCUFNJY4AfY3kHU/edit?usp=sharing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30" s="7" t="s">
        <v>10</v>
      </c>
      <c r="H6930" s="7">
        <v>0</v>
      </c>
      <c r="I6930" s="8" t="str">
        <f ca="1">IFERROR(__xludf.DUMMYFUNCTION("IF
(
G6931=""фізична особа""
,
VLOOKUP(H6931,IMPORTRANGE(""https://docs.google.com/spreadsheets/d/14Bd19lYaqBhU8_DElYkX7l4wRkHqqCUFNJY4AfY3kHU/edit?usp=sharing  #gid=0"",""фіз особи new!relations_name""),6,FALSE)
,
(IF
(
G6931=""юридична особа""
,
VLOOKUP"&amp;"(H6931,IMPORTRANGE(""https://docs.google.com/spreadsheets/d/14Bd19lYaqBhU8_DElYkX7l4wRkHqqCUFNJY4AfY3kHU/edit?usp=sharing  #gid=0"",""фіз особи new!relations_name_uo""),7,FALSE)
,
)
))"),"#N/A")</f>
        <v>#N/A</v>
      </c>
      <c r="J6930" s="7" t="s">
        <v>30</v>
      </c>
    </row>
    <row r="6931" spans="1:10" ht="13.2">
      <c r="A6931" s="7">
        <v>6930</v>
      </c>
      <c r="B6931" s="7">
        <v>1</v>
      </c>
      <c r="C6931" s="7" t="s">
        <v>10</v>
      </c>
      <c r="D6931" s="7">
        <v>6332</v>
      </c>
      <c r="E6931" s="7" t="s">
        <v>30</v>
      </c>
      <c r="F6931" s="8" t="str">
        <f ca="1">IFERROR(__xludf.DUMMYFUNCTION("IF
(
C6932=""фізична особа""
,
VLOOKUP(D6932,IMPORTRANGE(""https://docs.google.com/spreadsheets/d/14Bd19lYaqBhU8_DElYkX7l4wRkHqqCUFNJY4AfY3kHU/edit?usp=sharing  #gid=0"",""фіз особи new!relations_name""),6,FALSE)
,
(IF
(
C6932=""юридична особа""
,
VLOOKUP"&amp;"(D6932,IMPORTRANGE(""https://docs.google.com/spreadsheets/d/14Bd19lYaqBhU8_DElYkX7l4wRkHqqCUFNJY4AfY3kHU/edit?usp=sharing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31" s="7" t="s">
        <v>10</v>
      </c>
      <c r="H6931" s="7">
        <v>0</v>
      </c>
      <c r="I6931" s="8" t="str">
        <f ca="1">IFERROR(__xludf.DUMMYFUNCTION("IF
(
G6932=""фізична особа""
,
VLOOKUP(H6932,IMPORTRANGE(""https://docs.google.com/spreadsheets/d/14Bd19lYaqBhU8_DElYkX7l4wRkHqqCUFNJY4AfY3kHU/edit?usp=sharing  #gid=0"",""фіз особи new!relations_name""),6,FALSE)
,
(IF
(
G6932=""юридична особа""
,
VLOOKUP"&amp;"(H6932,IMPORTRANGE(""https://docs.google.com/spreadsheets/d/14Bd19lYaqBhU8_DElYkX7l4wRkHqqCUFNJY4AfY3kHU/edit?usp=sharing  #gid=0"",""фіз особи new!relations_name_uo""),7,FALSE)
,
)
))"),"#N/A")</f>
        <v>#N/A</v>
      </c>
      <c r="J6931" s="7" t="s">
        <v>30</v>
      </c>
    </row>
    <row r="6932" spans="1:10" ht="13.2">
      <c r="A6932" s="7">
        <v>6931</v>
      </c>
      <c r="B6932" s="7">
        <v>1</v>
      </c>
      <c r="C6932" s="7" t="s">
        <v>10</v>
      </c>
      <c r="D6932" s="7">
        <v>6332</v>
      </c>
      <c r="E6932" s="7" t="s">
        <v>30</v>
      </c>
      <c r="F6932" s="8" t="str">
        <f ca="1">IFERROR(__xludf.DUMMYFUNCTION("IF
(
C6933=""фізична особа""
,
VLOOKUP(D6933,IMPORTRANGE(""https://docs.google.com/spreadsheets/d/14Bd19lYaqBhU8_DElYkX7l4wRkHqqCUFNJY4AfY3kHU/edit?usp=sharing  #gid=0"",""фіз особи new!relations_name""),6,FALSE)
,
(IF
(
C6933=""юридична особа""
,
VLOOKUP"&amp;"(D6933,IMPORTRANGE(""https://docs.google.com/spreadsheets/d/14Bd19lYaqBhU8_DElYkX7l4wRkHqqCUFNJY4AfY3kHU/edit?usp=sharing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32" s="7" t="s">
        <v>10</v>
      </c>
      <c r="H6932" s="7">
        <v>0</v>
      </c>
      <c r="I6932" s="8" t="str">
        <f ca="1">IFERROR(__xludf.DUMMYFUNCTION("IF
(
G6933=""фізична особа""
,
VLOOKUP(H6933,IMPORTRANGE(""https://docs.google.com/spreadsheets/d/14Bd19lYaqBhU8_DElYkX7l4wRkHqqCUFNJY4AfY3kHU/edit?usp=sharing  #gid=0"",""фіз особи new!relations_name""),6,FALSE)
,
(IF
(
G6933=""юридична особа""
,
VLOOKUP"&amp;"(H6933,IMPORTRANGE(""https://docs.google.com/spreadsheets/d/14Bd19lYaqBhU8_DElYkX7l4wRkHqqCUFNJY4AfY3kHU/edit?usp=sharing  #gid=0"",""фіз особи new!relations_name_uo""),7,FALSE)
,
)
))"),"#N/A")</f>
        <v>#N/A</v>
      </c>
      <c r="J6932" s="7" t="s">
        <v>30</v>
      </c>
    </row>
    <row r="6933" spans="1:10" ht="13.2">
      <c r="A6933" s="7">
        <v>6932</v>
      </c>
      <c r="B6933" s="7">
        <v>1</v>
      </c>
      <c r="C6933" s="7" t="s">
        <v>10</v>
      </c>
      <c r="D6933" s="7">
        <v>6332</v>
      </c>
      <c r="E6933" s="7" t="s">
        <v>30</v>
      </c>
      <c r="F6933" s="8" t="str">
        <f ca="1">IFERROR(__xludf.DUMMYFUNCTION("IF
(
C6934=""фізична особа""
,
VLOOKUP(D6934,IMPORTRANGE(""https://docs.google.com/spreadsheets/d/14Bd19lYaqBhU8_DElYkX7l4wRkHqqCUFNJY4AfY3kHU/edit?usp=sharing  #gid=0"",""фіз особи new!relations_name""),6,FALSE)
,
(IF
(
C6934=""юридична особа""
,
VLOOKUP"&amp;"(D6934,IMPORTRANGE(""https://docs.google.com/spreadsheets/d/14Bd19lYaqBhU8_DElYkX7l4wRkHqqCUFNJY4AfY3kHU/edit?usp=sharing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33" s="7" t="s">
        <v>10</v>
      </c>
      <c r="H6933" s="7">
        <v>0</v>
      </c>
      <c r="I6933" s="8" t="str">
        <f ca="1">IFERROR(__xludf.DUMMYFUNCTION("IF
(
G6934=""фізична особа""
,
VLOOKUP(H6934,IMPORTRANGE(""https://docs.google.com/spreadsheets/d/14Bd19lYaqBhU8_DElYkX7l4wRkHqqCUFNJY4AfY3kHU/edit?usp=sharing  #gid=0"",""фіз особи new!relations_name""),6,FALSE)
,
(IF
(
G6934=""юридична особа""
,
VLOOKUP"&amp;"(H6934,IMPORTRANGE(""https://docs.google.com/spreadsheets/d/14Bd19lYaqBhU8_DElYkX7l4wRkHqqCUFNJY4AfY3kHU/edit?usp=sharing  #gid=0"",""фіз особи new!relations_name_uo""),7,FALSE)
,
)
))"),"#N/A")</f>
        <v>#N/A</v>
      </c>
      <c r="J6933" s="7" t="s">
        <v>30</v>
      </c>
    </row>
    <row r="6934" spans="1:10" ht="13.2">
      <c r="A6934" s="7">
        <v>6933</v>
      </c>
      <c r="B6934" s="7">
        <v>1</v>
      </c>
      <c r="C6934" s="7" t="s">
        <v>10</v>
      </c>
      <c r="D6934" s="7">
        <v>6332</v>
      </c>
      <c r="E6934" s="7" t="s">
        <v>30</v>
      </c>
      <c r="F6934" s="8" t="str">
        <f ca="1">IFERROR(__xludf.DUMMYFUNCTION("IF
(
C6935=""фізична особа""
,
VLOOKUP(D6935,IMPORTRANGE(""https://docs.google.com/spreadsheets/d/14Bd19lYaqBhU8_DElYkX7l4wRkHqqCUFNJY4AfY3kHU/edit?usp=sharing  #gid=0"",""фіз особи new!relations_name""),6,FALSE)
,
(IF
(
C6935=""юридична особа""
,
VLOOKUP"&amp;"(D6935,IMPORTRANGE(""https://docs.google.com/spreadsheets/d/14Bd19lYaqBhU8_DElYkX7l4wRkHqqCUFNJY4AfY3kHU/edit?usp=sharing  #gid=0"",""фіз особи new!relations_name_uo""),7,FALSE)
,
)
))"),"ВОЕЙКОВ Володимир Євгенійович")</f>
        <v>ВОЕЙКОВ Володимир Євгенійович</v>
      </c>
      <c r="G6934" s="7" t="s">
        <v>10</v>
      </c>
      <c r="H6934" s="7">
        <v>0</v>
      </c>
      <c r="I6934" s="8" t="str">
        <f ca="1">IFERROR(__xludf.DUMMYFUNCTION("IF
(
G6935=""фізична особа""
,
VLOOKUP(H6935,IMPORTRANGE(""https://docs.google.com/spreadsheets/d/14Bd19lYaqBhU8_DElYkX7l4wRkHqqCUFNJY4AfY3kHU/edit?usp=sharing  #gid=0"",""фіз особи new!relations_name""),6,FALSE)
,
(IF
(
G6935=""юридична особа""
,
VLOOKUP"&amp;"(H6935,IMPORTRANGE(""https://docs.google.com/spreadsheets/d/14Bd19lYaqBhU8_DElYkX7l4wRkHqqCUFNJY4AfY3kHU/edit?usp=sharing  #gid=0"",""фіз особи new!relations_name_uo""),7,FALSE)
,
)
))"),"#N/A")</f>
        <v>#N/A</v>
      </c>
      <c r="J6934" s="7" t="s">
        <v>30</v>
      </c>
    </row>
    <row r="6935" spans="1:10" ht="13.2">
      <c r="A6935" s="7">
        <v>6934</v>
      </c>
      <c r="B6935" s="7">
        <v>1</v>
      </c>
      <c r="C6935" s="7" t="s">
        <v>10</v>
      </c>
      <c r="D6935" s="7">
        <v>6333</v>
      </c>
      <c r="E6935" s="7" t="s">
        <v>14</v>
      </c>
      <c r="F6935" s="8" t="str">
        <f ca="1">IFERROR(__xludf.DUMMYFUNCTION("IF
(
C6936=""фізична особа""
,
VLOOKUP(D6936,IMPORTRANGE(""https://docs.google.com/spreadsheets/d/14Bd19lYaqBhU8_DElYkX7l4wRkHqqCUFNJY4AfY3kHU/edit?usp=sharing  #gid=0"",""фіз особи new!relations_name""),6,FALSE)
,
(IF
(
C6936=""юридична особа""
,
VLOOKUP"&amp;"(D6936,IMPORTRANGE(""https://docs.google.com/spreadsheets/d/14Bd19lYaqBhU8_DElYkX7l4wRkHqqCUFNJY4AfY3kHU/edit?usp=sharing  #gid=0"",""фіз особи new!relations_name_uo""),7,FALSE)
,
)
))"),"ТАЧ Майкл Борис")</f>
        <v>ТАЧ Майкл Борис</v>
      </c>
      <c r="G6935" s="7" t="s">
        <v>10</v>
      </c>
      <c r="H6935" s="7">
        <v>0</v>
      </c>
      <c r="I6935" s="8" t="str">
        <f ca="1">IFERROR(__xludf.DUMMYFUNCTION("IF
(
G6936=""фізична особа""
,
VLOOKUP(H6936,IMPORTRANGE(""https://docs.google.com/spreadsheets/d/14Bd19lYaqBhU8_DElYkX7l4wRkHqqCUFNJY4AfY3kHU/edit?usp=sharing  #gid=0"",""фіз особи new!relations_name""),6,FALSE)
,
(IF
(
G6936=""юридична особа""
,
VLOOKUP"&amp;"(H6936,IMPORTRANGE(""https://docs.google.com/spreadsheets/d/14Bd19lYaqBhU8_DElYkX7l4wRkHqqCUFNJY4AfY3kHU/edit?usp=sharing  #gid=0"",""фіз особи new!relations_name_uo""),7,FALSE)
,
)
))"),"#N/A")</f>
        <v>#N/A</v>
      </c>
      <c r="J6935" s="7" t="s">
        <v>15</v>
      </c>
    </row>
    <row r="6936" spans="1:10" ht="13.2">
      <c r="A6936" s="7">
        <v>6935</v>
      </c>
      <c r="B6936" s="7">
        <v>1</v>
      </c>
      <c r="C6936" s="7" t="s">
        <v>10</v>
      </c>
      <c r="D6936" s="7">
        <v>6333</v>
      </c>
      <c r="E6936" s="7" t="s">
        <v>12</v>
      </c>
      <c r="F6936" s="8" t="str">
        <f ca="1">IFERROR(__xludf.DUMMYFUNCTION("IF
(
C6937=""фізична особа""
,
VLOOKUP(D6937,IMPORTRANGE(""https://docs.google.com/spreadsheets/d/14Bd19lYaqBhU8_DElYkX7l4wRkHqqCUFNJY4AfY3kHU/edit?usp=sharing  #gid=0"",""фіз особи new!relations_name""),6,FALSE)
,
(IF
(
C6937=""юридична особа""
,
VLOOKUP"&amp;"(D6937,IMPORTRANGE(""https://docs.google.com/spreadsheets/d/14Bd19lYaqBhU8_DElYkX7l4wRkHqqCUFNJY4AfY3kHU/edit?usp=sharing  #gid=0"",""фіз особи new!relations_name_uo""),7,FALSE)
,
)
))"),"ТАЧ Майкл Борис")</f>
        <v>ТАЧ Майкл Борис</v>
      </c>
      <c r="G6936" s="7" t="s">
        <v>10</v>
      </c>
      <c r="H6936" s="7">
        <v>0</v>
      </c>
      <c r="I6936" s="8" t="str">
        <f ca="1">IFERROR(__xludf.DUMMYFUNCTION("IF
(
G6937=""фізична особа""
,
VLOOKUP(H6937,IMPORTRANGE(""https://docs.google.com/spreadsheets/d/14Bd19lYaqBhU8_DElYkX7l4wRkHqqCUFNJY4AfY3kHU/edit?usp=sharing  #gid=0"",""фіз особи new!relations_name""),6,FALSE)
,
(IF
(
G6937=""юридична особа""
,
VLOOKUP"&amp;"(H6937,IMPORTRANGE(""https://docs.google.com/spreadsheets/d/14Bd19lYaqBhU8_DElYkX7l4wRkHqqCUFNJY4AfY3kHU/edit?usp=sharing  #gid=0"",""фіз особи new!relations_name_uo""),7,FALSE)
,
)
))"),"#N/A")</f>
        <v>#N/A</v>
      </c>
      <c r="J6936" s="7" t="s">
        <v>13</v>
      </c>
    </row>
    <row r="6937" spans="1:10" ht="13.2">
      <c r="A6937" s="7">
        <v>6936</v>
      </c>
      <c r="B6937" s="7">
        <v>1</v>
      </c>
      <c r="C6937" s="7" t="s">
        <v>10</v>
      </c>
      <c r="D6937" s="7">
        <v>6333</v>
      </c>
      <c r="E6937" s="7" t="s">
        <v>12</v>
      </c>
      <c r="F6937" s="8" t="str">
        <f ca="1">IFERROR(__xludf.DUMMYFUNCTION("IF
(
C6938=""фізична особа""
,
VLOOKUP(D6938,IMPORTRANGE(""https://docs.google.com/spreadsheets/d/14Bd19lYaqBhU8_DElYkX7l4wRkHqqCUFNJY4AfY3kHU/edit?usp=sharing  #gid=0"",""фіз особи new!relations_name""),6,FALSE)
,
(IF
(
C6938=""юридична особа""
,
VLOOKUP"&amp;"(D6938,IMPORTRANGE(""https://docs.google.com/spreadsheets/d/14Bd19lYaqBhU8_DElYkX7l4wRkHqqCUFNJY4AfY3kHU/edit?usp=sharing  #gid=0"",""фіз особи new!relations_name_uo""),7,FALSE)
,
)
))"),"ТАЧ Майкл Борис")</f>
        <v>ТАЧ Майкл Борис</v>
      </c>
      <c r="G6937" s="7" t="s">
        <v>10</v>
      </c>
      <c r="H6937" s="7">
        <v>0</v>
      </c>
      <c r="I6937" s="8" t="str">
        <f ca="1">IFERROR(__xludf.DUMMYFUNCTION("IF
(
G6938=""фізична особа""
,
VLOOKUP(H6938,IMPORTRANGE(""https://docs.google.com/spreadsheets/d/14Bd19lYaqBhU8_DElYkX7l4wRkHqqCUFNJY4AfY3kHU/edit?usp=sharing  #gid=0"",""фіз особи new!relations_name""),6,FALSE)
,
(IF
(
G6938=""юридична особа""
,
VLOOKUP"&amp;"(H6938,IMPORTRANGE(""https://docs.google.com/spreadsheets/d/14Bd19lYaqBhU8_DElYkX7l4wRkHqqCUFNJY4AfY3kHU/edit?usp=sharing  #gid=0"",""фіз особи new!relations_name_uo""),7,FALSE)
,
)
))"),"#N/A")</f>
        <v>#N/A</v>
      </c>
      <c r="J6937" s="7" t="s">
        <v>17</v>
      </c>
    </row>
    <row r="6938" spans="1:10" ht="13.2">
      <c r="A6938" s="7">
        <v>6937</v>
      </c>
      <c r="B6938" s="7">
        <v>1</v>
      </c>
      <c r="C6938" s="7" t="s">
        <v>10</v>
      </c>
      <c r="D6938" s="7">
        <v>6333</v>
      </c>
      <c r="E6938" s="7" t="s">
        <v>12</v>
      </c>
      <c r="F6938" s="8" t="str">
        <f ca="1">IFERROR(__xludf.DUMMYFUNCTION("IF
(
C6939=""фізична особа""
,
VLOOKUP(D6939,IMPORTRANGE(""https://docs.google.com/spreadsheets/d/14Bd19lYaqBhU8_DElYkX7l4wRkHqqCUFNJY4AfY3kHU/edit?usp=sharing  #gid=0"",""фіз особи new!relations_name""),6,FALSE)
,
(IF
(
C6939=""юридична особа""
,
VLOOKUP"&amp;"(D6939,IMPORTRANGE(""https://docs.google.com/spreadsheets/d/14Bd19lYaqBhU8_DElYkX7l4wRkHqqCUFNJY4AfY3kHU/edit?usp=sharing  #gid=0"",""фіз особи new!relations_name_uo""),7,FALSE)
,
)
))"),"ТАЧ Майкл Борис")</f>
        <v>ТАЧ Майкл Борис</v>
      </c>
      <c r="G6938" s="7" t="s">
        <v>10</v>
      </c>
      <c r="H6938" s="7">
        <v>0</v>
      </c>
      <c r="I6938" s="8" t="str">
        <f ca="1">IFERROR(__xludf.DUMMYFUNCTION("IF
(
G6939=""фізична особа""
,
VLOOKUP(H6939,IMPORTRANGE(""https://docs.google.com/spreadsheets/d/14Bd19lYaqBhU8_DElYkX7l4wRkHqqCUFNJY4AfY3kHU/edit?usp=sharing  #gid=0"",""фіз особи new!relations_name""),6,FALSE)
,
(IF
(
G6939=""юридична особа""
,
VLOOKUP"&amp;"(H6939,IMPORTRANGE(""https://docs.google.com/spreadsheets/d/14Bd19lYaqBhU8_DElYkX7l4wRkHqqCUFNJY4AfY3kHU/edit?usp=sharing  #gid=0"",""фіз особи new!relations_name_uo""),7,FALSE)
,
)
))"),"#N/A")</f>
        <v>#N/A</v>
      </c>
      <c r="J6938" s="7" t="s">
        <v>13</v>
      </c>
    </row>
    <row r="6939" spans="1:10" ht="13.2">
      <c r="A6939" s="7">
        <v>6938</v>
      </c>
      <c r="B6939" s="7">
        <v>1</v>
      </c>
      <c r="C6939" s="7" t="s">
        <v>10</v>
      </c>
      <c r="D6939" s="7">
        <v>6334</v>
      </c>
      <c r="E6939" s="7" t="s">
        <v>18</v>
      </c>
      <c r="F6939" s="8" t="str">
        <f ca="1">IFERROR(__xludf.DUMMYFUNCTION("IF
(
C6940=""фізична особа""
,
VLOOKUP(D6940,IMPORTRANGE(""https://docs.google.com/spreadsheets/d/14Bd19lYaqBhU8_DElYkX7l4wRkHqqCUFNJY4AfY3kHU/edit?usp=sharing  #gid=0"",""фіз особи new!relations_name""),6,FALSE)
,
(IF
(
C6940=""юридична особа""
,
VLOOKUP"&amp;"(D6940,IMPORTRANGE(""https://docs.google.com/spreadsheets/d/14Bd19lYaqBhU8_DElYkX7l4wRkHqqCUFNJY4AfY3kHU/edit?usp=sharing  #gid=0"",""фіз особи new!relations_name_uo""),7,FALSE)
,
)
))"),"ЧУЛАК Ендрю / Андрій Аттилович")</f>
        <v>ЧУЛАК Ендрю / Андрій Аттилович</v>
      </c>
      <c r="G6939" s="7" t="s">
        <v>10</v>
      </c>
      <c r="H6939" s="7">
        <v>0</v>
      </c>
      <c r="I6939" s="8" t="str">
        <f ca="1">IFERROR(__xludf.DUMMYFUNCTION("IF
(
G6940=""фізична особа""
,
VLOOKUP(H6940,IMPORTRANGE(""https://docs.google.com/spreadsheets/d/14Bd19lYaqBhU8_DElYkX7l4wRkHqqCUFNJY4AfY3kHU/edit?usp=sharing  #gid=0"",""фіз особи new!relations_name""),6,FALSE)
,
(IF
(
G6940=""юридична особа""
,
VLOOKUP"&amp;"(H6940,IMPORTRANGE(""https://docs.google.com/spreadsheets/d/14Bd19lYaqBhU8_DElYkX7l4wRkHqqCUFNJY4AfY3kHU/edit?usp=sharing  #gid=0"",""фіз особи new!relations_name_uo""),7,FALSE)
,
)
))"),"#N/A")</f>
        <v>#N/A</v>
      </c>
      <c r="J6939" s="7" t="s">
        <v>18</v>
      </c>
    </row>
    <row r="6940" spans="1:10" ht="13.2">
      <c r="A6940" s="7">
        <v>6939</v>
      </c>
      <c r="B6940" s="7">
        <v>1</v>
      </c>
      <c r="C6940" s="7" t="s">
        <v>10</v>
      </c>
      <c r="D6940" s="7">
        <v>6334</v>
      </c>
      <c r="E6940" s="7" t="s">
        <v>12</v>
      </c>
      <c r="F6940" s="8" t="str">
        <f ca="1">IFERROR(__xludf.DUMMYFUNCTION("IF
(
C6941=""фізична особа""
,
VLOOKUP(D6941,IMPORTRANGE(""https://docs.google.com/spreadsheets/d/14Bd19lYaqBhU8_DElYkX7l4wRkHqqCUFNJY4AfY3kHU/edit?usp=sharing  #gid=0"",""фіз особи new!relations_name""),6,FALSE)
,
(IF
(
C6941=""юридична особа""
,
VLOOKUP"&amp;"(D6941,IMPORTRANGE(""https://docs.google.com/spreadsheets/d/14Bd19lYaqBhU8_DElYkX7l4wRkHqqCUFNJY4AfY3kHU/edit?usp=sharing  #gid=0"",""фіз особи new!relations_name_uo""),7,FALSE)
,
)
))"),"ЧУЛАК Ендрю / Андрій Аттилович")</f>
        <v>ЧУЛАК Ендрю / Андрій Аттилович</v>
      </c>
      <c r="G6940" s="7" t="s">
        <v>10</v>
      </c>
      <c r="H6940" s="7">
        <v>0</v>
      </c>
      <c r="I6940" s="8" t="str">
        <f ca="1">IFERROR(__xludf.DUMMYFUNCTION("IF
(
G6941=""фізична особа""
,
VLOOKUP(H6941,IMPORTRANGE(""https://docs.google.com/spreadsheets/d/14Bd19lYaqBhU8_DElYkX7l4wRkHqqCUFNJY4AfY3kHU/edit?usp=sharing  #gid=0"",""фіз особи new!relations_name""),6,FALSE)
,
(IF
(
G6941=""юридична особа""
,
VLOOKUP"&amp;"(H6941,IMPORTRANGE(""https://docs.google.com/spreadsheets/d/14Bd19lYaqBhU8_DElYkX7l4wRkHqqCUFNJY4AfY3kHU/edit?usp=sharing  #gid=0"",""фіз особи new!relations_name_uo""),7,FALSE)
,
)
))"),"#N/A")</f>
        <v>#N/A</v>
      </c>
      <c r="J6940" s="7" t="s">
        <v>13</v>
      </c>
    </row>
    <row r="6941" spans="1:10" ht="13.2">
      <c r="A6941" s="7">
        <v>6940</v>
      </c>
      <c r="B6941" s="7">
        <v>1</v>
      </c>
      <c r="C6941" s="7" t="s">
        <v>10</v>
      </c>
      <c r="D6941" s="7">
        <v>6334</v>
      </c>
      <c r="E6941" s="7" t="s">
        <v>12</v>
      </c>
      <c r="F6941" s="8" t="str">
        <f ca="1">IFERROR(__xludf.DUMMYFUNCTION("IF
(
C6942=""фізична особа""
,
VLOOKUP(D6942,IMPORTRANGE(""https://docs.google.com/spreadsheets/d/14Bd19lYaqBhU8_DElYkX7l4wRkHqqCUFNJY4AfY3kHU/edit?usp=sharing  #gid=0"",""фіз особи new!relations_name""),6,FALSE)
,
(IF
(
C6942=""юридична особа""
,
VLOOKUP"&amp;"(D6942,IMPORTRANGE(""https://docs.google.com/spreadsheets/d/14Bd19lYaqBhU8_DElYkX7l4wRkHqqCUFNJY4AfY3kHU/edit?usp=sharing  #gid=0"",""фіз особи new!relations_name_uo""),7,FALSE)
,
)
))"),"ЧУЛАК Ендрю / Андрій Аттилович")</f>
        <v>ЧУЛАК Ендрю / Андрій Аттилович</v>
      </c>
      <c r="G6941" s="7" t="s">
        <v>10</v>
      </c>
      <c r="H6941" s="7">
        <v>0</v>
      </c>
      <c r="I6941" s="8" t="str">
        <f ca="1">IFERROR(__xludf.DUMMYFUNCTION("IF
(
G6942=""фізична особа""
,
VLOOKUP(H6942,IMPORTRANGE(""https://docs.google.com/spreadsheets/d/14Bd19lYaqBhU8_DElYkX7l4wRkHqqCUFNJY4AfY3kHU/edit?usp=sharing  #gid=0"",""фіз особи new!relations_name""),6,FALSE)
,
(IF
(
G6942=""юридична особа""
,
VLOOKUP"&amp;"(H6942,IMPORTRANGE(""https://docs.google.com/spreadsheets/d/14Bd19lYaqBhU8_DElYkX7l4wRkHqqCUFNJY4AfY3kHU/edit?usp=sharing  #gid=0"",""фіз особи new!relations_name_uo""),7,FALSE)
,
)
))"),"#N/A")</f>
        <v>#N/A</v>
      </c>
      <c r="J6941" s="7" t="s">
        <v>13</v>
      </c>
    </row>
    <row r="6942" spans="1:10" ht="13.2">
      <c r="A6942" s="7">
        <v>6941</v>
      </c>
      <c r="B6942" s="7">
        <v>1</v>
      </c>
      <c r="C6942" s="7" t="s">
        <v>10</v>
      </c>
      <c r="D6942" s="7">
        <v>6334</v>
      </c>
      <c r="E6942" s="7" t="s">
        <v>12</v>
      </c>
      <c r="F6942" s="8" t="str">
        <f ca="1">IFERROR(__xludf.DUMMYFUNCTION("IF
(
C6943=""фізична особа""
,
VLOOKUP(D6943,IMPORTRANGE(""https://docs.google.com/spreadsheets/d/14Bd19lYaqBhU8_DElYkX7l4wRkHqqCUFNJY4AfY3kHU/edit?usp=sharing  #gid=0"",""фіз особи new!relations_name""),6,FALSE)
,
(IF
(
C6943=""юридична особа""
,
VLOOKUP"&amp;"(D6943,IMPORTRANGE(""https://docs.google.com/spreadsheets/d/14Bd19lYaqBhU8_DElYkX7l4wRkHqqCUFNJY4AfY3kHU/edit?usp=sharing  #gid=0"",""фіз особи new!relations_name_uo""),7,FALSE)
,
)
))"),"ЧУЛАК Ендрю / Андрій Аттилович")</f>
        <v>ЧУЛАК Ендрю / Андрій Аттилович</v>
      </c>
      <c r="G6942" s="7" t="s">
        <v>10</v>
      </c>
      <c r="H6942" s="7">
        <v>0</v>
      </c>
      <c r="I6942" s="8" t="str">
        <f ca="1">IFERROR(__xludf.DUMMYFUNCTION("IF
(
G6943=""фізична особа""
,
VLOOKUP(H6943,IMPORTRANGE(""https://docs.google.com/spreadsheets/d/14Bd19lYaqBhU8_DElYkX7l4wRkHqqCUFNJY4AfY3kHU/edit?usp=sharing  #gid=0"",""фіз особи new!relations_name""),6,FALSE)
,
(IF
(
G6943=""юридична особа""
,
VLOOKUP"&amp;"(H6943,IMPORTRANGE(""https://docs.google.com/spreadsheets/d/14Bd19lYaqBhU8_DElYkX7l4wRkHqqCUFNJY4AfY3kHU/edit?usp=sharing  #gid=0"",""фіз особи new!relations_name_uo""),7,FALSE)
,
)
))"),"#N/A")</f>
        <v>#N/A</v>
      </c>
      <c r="J6942" s="7" t="s">
        <v>13</v>
      </c>
    </row>
    <row r="6943" spans="1:10" ht="13.2">
      <c r="A6943" s="7">
        <v>6942</v>
      </c>
      <c r="B6943" s="7">
        <v>1</v>
      </c>
      <c r="C6943" s="7" t="s">
        <v>10</v>
      </c>
      <c r="D6943" s="7">
        <v>6335</v>
      </c>
      <c r="E6943" s="7" t="s">
        <v>12</v>
      </c>
      <c r="F6943" s="8" t="str">
        <f ca="1">IFERROR(__xludf.DUMMYFUNCTION("IF
(
C6944=""фізична особа""
,
VLOOKUP(D6944,IMPORTRANGE(""https://docs.google.com/spreadsheets/d/14Bd19lYaqBhU8_DElYkX7l4wRkHqqCUFNJY4AfY3kHU/edit?usp=sharing  #gid=0"",""фіз особи new!relations_name""),6,FALSE)
,
(IF
(
C6944=""юридична особа""
,
VLOOKUP"&amp;"(D6944,IMPORTRANGE(""https://docs.google.com/spreadsheets/d/14Bd19lYaqBhU8_DElYkX7l4wRkHqqCUFNJY4AfY3kHU/edit?usp=sharing  #gid=0"",""фіз особи new!relations_name_uo""),7,FALSE)
,
)
))"),"ПОЛЯКОВ Сергій Олегович")</f>
        <v>ПОЛЯКОВ Сергій Олегович</v>
      </c>
      <c r="G6943" s="7" t="s">
        <v>10</v>
      </c>
      <c r="H6943" s="7">
        <v>0</v>
      </c>
      <c r="I6943" s="8" t="str">
        <f ca="1">IFERROR(__xludf.DUMMYFUNCTION("IF
(
G6944=""фізична особа""
,
VLOOKUP(H6944,IMPORTRANGE(""https://docs.google.com/spreadsheets/d/14Bd19lYaqBhU8_DElYkX7l4wRkHqqCUFNJY4AfY3kHU/edit?usp=sharing  #gid=0"",""фіз особи new!relations_name""),6,FALSE)
,
(IF
(
G6944=""юридична особа""
,
VLOOKUP"&amp;"(H6944,IMPORTRANGE(""https://docs.google.com/spreadsheets/d/14Bd19lYaqBhU8_DElYkX7l4wRkHqqCUFNJY4AfY3kHU/edit?usp=sharing  #gid=0"",""фіз особи new!relations_name_uo""),7,FALSE)
,
)
))"),"#N/A")</f>
        <v>#N/A</v>
      </c>
      <c r="J6943" s="7" t="s">
        <v>13</v>
      </c>
    </row>
    <row r="6944" spans="1:10" ht="13.2">
      <c r="A6944" s="7">
        <v>6943</v>
      </c>
      <c r="B6944" s="7">
        <v>1</v>
      </c>
      <c r="C6944" s="7" t="s">
        <v>10</v>
      </c>
      <c r="D6944" s="7">
        <v>6335</v>
      </c>
      <c r="E6944" s="7" t="s">
        <v>12</v>
      </c>
      <c r="F6944" s="8" t="str">
        <f ca="1">IFERROR(__xludf.DUMMYFUNCTION("IF
(
C6945=""фізична особа""
,
VLOOKUP(D6945,IMPORTRANGE(""https://docs.google.com/spreadsheets/d/14Bd19lYaqBhU8_DElYkX7l4wRkHqqCUFNJY4AfY3kHU/edit?usp=sharing  #gid=0"",""фіз особи new!relations_name""),6,FALSE)
,
(IF
(
C6945=""юридична особа""
,
VLOOKUP"&amp;"(D6945,IMPORTRANGE(""https://docs.google.com/spreadsheets/d/14Bd19lYaqBhU8_DElYkX7l4wRkHqqCUFNJY4AfY3kHU/edit?usp=sharing  #gid=0"",""фіз особи new!relations_name_uo""),7,FALSE)
,
)
))"),"ПОЛЯКОВ Сергій Олегович")</f>
        <v>ПОЛЯКОВ Сергій Олегович</v>
      </c>
      <c r="G6944" s="7" t="s">
        <v>10</v>
      </c>
      <c r="H6944" s="7">
        <v>0</v>
      </c>
      <c r="I6944" s="8" t="str">
        <f ca="1">IFERROR(__xludf.DUMMYFUNCTION("IF
(
G6945=""фізична особа""
,
VLOOKUP(H6945,IMPORTRANGE(""https://docs.google.com/spreadsheets/d/14Bd19lYaqBhU8_DElYkX7l4wRkHqqCUFNJY4AfY3kHU/edit?usp=sharing  #gid=0"",""фіз особи new!relations_name""),6,FALSE)
,
(IF
(
G6945=""юридична особа""
,
VLOOKUP"&amp;"(H6945,IMPORTRANGE(""https://docs.google.com/spreadsheets/d/14Bd19lYaqBhU8_DElYkX7l4wRkHqqCUFNJY4AfY3kHU/edit?usp=sharing  #gid=0"",""фіз особи new!relations_name_uo""),7,FALSE)
,
)
))"),"#N/A")</f>
        <v>#N/A</v>
      </c>
      <c r="J6944" s="7" t="s">
        <v>17</v>
      </c>
    </row>
    <row r="6945" spans="1:10" ht="13.2">
      <c r="A6945" s="7">
        <v>6944</v>
      </c>
      <c r="B6945" s="7">
        <v>1</v>
      </c>
      <c r="C6945" s="7" t="s">
        <v>10</v>
      </c>
      <c r="D6945" s="7">
        <v>6335</v>
      </c>
      <c r="E6945" s="7" t="s">
        <v>18</v>
      </c>
      <c r="F6945" s="8" t="str">
        <f ca="1">IFERROR(__xludf.DUMMYFUNCTION("IF
(
C6946=""фізична особа""
,
VLOOKUP(D6946,IMPORTRANGE(""https://docs.google.com/spreadsheets/d/14Bd19lYaqBhU8_DElYkX7l4wRkHqqCUFNJY4AfY3kHU/edit?usp=sharing  #gid=0"",""фіз особи new!relations_name""),6,FALSE)
,
(IF
(
C6946=""юридична особа""
,
VLOOKUP"&amp;"(D6946,IMPORTRANGE(""https://docs.google.com/spreadsheets/d/14Bd19lYaqBhU8_DElYkX7l4wRkHqqCUFNJY4AfY3kHU/edit?usp=sharing  #gid=0"",""фіз особи new!relations_name_uo""),7,FALSE)
,
)
))"),"ПОЛЯКОВ Сергій Олегович")</f>
        <v>ПОЛЯКОВ Сергій Олегович</v>
      </c>
      <c r="G6945" s="7" t="s">
        <v>10</v>
      </c>
      <c r="H6945" s="7">
        <v>0</v>
      </c>
      <c r="I6945" s="8" t="str">
        <f ca="1">IFERROR(__xludf.DUMMYFUNCTION("IF
(
G6946=""фізична особа""
,
VLOOKUP(H6946,IMPORTRANGE(""https://docs.google.com/spreadsheets/d/14Bd19lYaqBhU8_DElYkX7l4wRkHqqCUFNJY4AfY3kHU/edit?usp=sharing  #gid=0"",""фіз особи new!relations_name""),6,FALSE)
,
(IF
(
G6946=""юридична особа""
,
VLOOKUP"&amp;"(H6946,IMPORTRANGE(""https://docs.google.com/spreadsheets/d/14Bd19lYaqBhU8_DElYkX7l4wRkHqqCUFNJY4AfY3kHU/edit?usp=sharing  #gid=0"",""фіз особи new!relations_name_uo""),7,FALSE)
,
)
))"),"#N/A")</f>
        <v>#N/A</v>
      </c>
      <c r="J6945" s="7" t="s">
        <v>31</v>
      </c>
    </row>
    <row r="6946" spans="1:10" ht="13.2">
      <c r="A6946" s="7">
        <v>6945</v>
      </c>
      <c r="B6946" s="7">
        <v>1</v>
      </c>
      <c r="C6946" s="7" t="s">
        <v>10</v>
      </c>
      <c r="D6946" s="7">
        <v>6336</v>
      </c>
      <c r="E6946" s="7" t="s">
        <v>17</v>
      </c>
      <c r="F6946" s="8" t="str">
        <f ca="1">IFERROR(__xludf.DUMMYFUNCTION("IF
(
C6947=""фізична особа""
,
VLOOKUP(D6947,IMPORTRANGE(""https://docs.google.com/spreadsheets/d/14Bd19lYaqBhU8_DElYkX7l4wRkHqqCUFNJY4AfY3kHU/edit?usp=sharing  #gid=0"",""фіз особи new!relations_name""),6,FALSE)
,
(IF
(
C6947=""юридична особа""
,
VLOOKUP"&amp;"(D6947,IMPORTRANGE(""https://docs.google.com/spreadsheets/d/14Bd19lYaqBhU8_DElYkX7l4wRkHqqCUFNJY4AfY3kHU/edit?usp=sharing  #gid=0"",""фіз особи new!relations_name_uo""),7,FALSE)
,
)
))"),"ГІЯЗОВ Олексій Валерійович")</f>
        <v>ГІЯЗОВ Олексій Валерійович</v>
      </c>
      <c r="G6946" s="7" t="s">
        <v>10</v>
      </c>
      <c r="H6946" s="7">
        <v>0</v>
      </c>
      <c r="I6946" s="8" t="str">
        <f ca="1">IFERROR(__xludf.DUMMYFUNCTION("IF
(
G6947=""фізична особа""
,
VLOOKUP(H6947,IMPORTRANGE(""https://docs.google.com/spreadsheets/d/14Bd19lYaqBhU8_DElYkX7l4wRkHqqCUFNJY4AfY3kHU/edit?usp=sharing  #gid=0"",""фіз особи new!relations_name""),6,FALSE)
,
(IF
(
G6947=""юридична особа""
,
VLOOKUP"&amp;"(H6947,IMPORTRANGE(""https://docs.google.com/spreadsheets/d/14Bd19lYaqBhU8_DElYkX7l4wRkHqqCUFNJY4AfY3kHU/edit?usp=sharing  #gid=0"",""фіз особи new!relations_name_uo""),7,FALSE)
,
)
))"),"#N/A")</f>
        <v>#N/A</v>
      </c>
      <c r="J6946" s="7" t="s">
        <v>21</v>
      </c>
    </row>
    <row r="6947" spans="1:10" ht="13.2">
      <c r="A6947" s="7">
        <v>6946</v>
      </c>
      <c r="B6947" s="7">
        <v>1</v>
      </c>
      <c r="C6947" s="7" t="s">
        <v>10</v>
      </c>
      <c r="D6947" s="7">
        <v>6336</v>
      </c>
      <c r="E6947" s="7" t="s">
        <v>17</v>
      </c>
      <c r="F6947" s="8" t="str">
        <f ca="1">IFERROR(__xludf.DUMMYFUNCTION("IF
(
C6948=""фізична особа""
,
VLOOKUP(D6948,IMPORTRANGE(""https://docs.google.com/spreadsheets/d/14Bd19lYaqBhU8_DElYkX7l4wRkHqqCUFNJY4AfY3kHU/edit?usp=sharing  #gid=0"",""фіз особи new!relations_name""),6,FALSE)
,
(IF
(
C6948=""юридична особа""
,
VLOOKUP"&amp;"(D6948,IMPORTRANGE(""https://docs.google.com/spreadsheets/d/14Bd19lYaqBhU8_DElYkX7l4wRkHqqCUFNJY4AfY3kHU/edit?usp=sharing  #gid=0"",""фіз особи new!relations_name_uo""),7,FALSE)
,
)
))"),"ГІЯЗОВ Олексій Валерійович")</f>
        <v>ГІЯЗОВ Олексій Валерійович</v>
      </c>
      <c r="G6947" s="7" t="s">
        <v>10</v>
      </c>
      <c r="H6947" s="7">
        <v>0</v>
      </c>
      <c r="I6947" s="8" t="str">
        <f ca="1">IFERROR(__xludf.DUMMYFUNCTION("IF
(
G6948=""фізична особа""
,
VLOOKUP(H6948,IMPORTRANGE(""https://docs.google.com/spreadsheets/d/14Bd19lYaqBhU8_DElYkX7l4wRkHqqCUFNJY4AfY3kHU/edit?usp=sharing  #gid=0"",""фіз особи new!relations_name""),6,FALSE)
,
(IF
(
G6948=""юридична особа""
,
VLOOKUP"&amp;"(H6948,IMPORTRANGE(""https://docs.google.com/spreadsheets/d/14Bd19lYaqBhU8_DElYkX7l4wRkHqqCUFNJY4AfY3kHU/edit?usp=sharing  #gid=0"",""фіз особи new!relations_name_uo""),7,FALSE)
,
)
))"),"#N/A")</f>
        <v>#N/A</v>
      </c>
      <c r="J6947" s="7" t="s">
        <v>12</v>
      </c>
    </row>
    <row r="6948" spans="1:10" ht="13.2">
      <c r="A6948" s="7">
        <v>6947</v>
      </c>
      <c r="B6948" s="7">
        <v>1</v>
      </c>
      <c r="C6948" s="7" t="s">
        <v>10</v>
      </c>
      <c r="D6948" s="7">
        <v>6336</v>
      </c>
      <c r="E6948" s="7" t="s">
        <v>18</v>
      </c>
      <c r="F6948" s="8" t="str">
        <f ca="1">IFERROR(__xludf.DUMMYFUNCTION("IF
(
C6949=""фізична особа""
,
VLOOKUP(D6949,IMPORTRANGE(""https://docs.google.com/spreadsheets/d/14Bd19lYaqBhU8_DElYkX7l4wRkHqqCUFNJY4AfY3kHU/edit?usp=sharing  #gid=0"",""фіз особи new!relations_name""),6,FALSE)
,
(IF
(
C6949=""юридична особа""
,
VLOOKUP"&amp;"(D6949,IMPORTRANGE(""https://docs.google.com/spreadsheets/d/14Bd19lYaqBhU8_DElYkX7l4wRkHqqCUFNJY4AfY3kHU/edit?usp=sharing  #gid=0"",""фіз особи new!relations_name_uo""),7,FALSE)
,
)
))"),"ГІЯЗОВ Олексій Валерійович")</f>
        <v>ГІЯЗОВ Олексій Валерійович</v>
      </c>
      <c r="G6948" s="7" t="s">
        <v>10</v>
      </c>
      <c r="H6948" s="7">
        <v>0</v>
      </c>
      <c r="I6948" s="8" t="str">
        <f ca="1">IFERROR(__xludf.DUMMYFUNCTION("IF
(
G6949=""фізична особа""
,
VLOOKUP(H6949,IMPORTRANGE(""https://docs.google.com/spreadsheets/d/14Bd19lYaqBhU8_DElYkX7l4wRkHqqCUFNJY4AfY3kHU/edit?usp=sharing  #gid=0"",""фіз особи new!relations_name""),6,FALSE)
,
(IF
(
G6949=""юридична особа""
,
VLOOKUP"&amp;"(H6949,IMPORTRANGE(""https://docs.google.com/spreadsheets/d/14Bd19lYaqBhU8_DElYkX7l4wRkHqqCUFNJY4AfY3kHU/edit?usp=sharing  #gid=0"",""фіз особи new!relations_name_uo""),7,FALSE)
,
)
))"),"#N/A")</f>
        <v>#N/A</v>
      </c>
      <c r="J6948" s="7" t="s">
        <v>31</v>
      </c>
    </row>
    <row r="6949" spans="1:10" ht="13.2">
      <c r="A6949" s="7">
        <v>6948</v>
      </c>
      <c r="B6949" s="7">
        <v>1</v>
      </c>
      <c r="C6949" s="7" t="s">
        <v>10</v>
      </c>
      <c r="D6949" s="7">
        <v>6336</v>
      </c>
      <c r="E6949" s="7" t="s">
        <v>18</v>
      </c>
      <c r="F6949" s="8" t="str">
        <f ca="1">IFERROR(__xludf.DUMMYFUNCTION("IF
(
C6950=""фізична особа""
,
VLOOKUP(D6950,IMPORTRANGE(""https://docs.google.com/spreadsheets/d/14Bd19lYaqBhU8_DElYkX7l4wRkHqqCUFNJY4AfY3kHU/edit?usp=sharing  #gid=0"",""фіз особи new!relations_name""),6,FALSE)
,
(IF
(
C6950=""юридична особа""
,
VLOOKUP"&amp;"(D6950,IMPORTRANGE(""https://docs.google.com/spreadsheets/d/14Bd19lYaqBhU8_DElYkX7l4wRkHqqCUFNJY4AfY3kHU/edit?usp=sharing  #gid=0"",""фіз особи new!relations_name_uo""),7,FALSE)
,
)
))"),"ГІЯЗОВ Олексій Валерійович")</f>
        <v>ГІЯЗОВ Олексій Валерійович</v>
      </c>
      <c r="G6949" s="7" t="s">
        <v>10</v>
      </c>
      <c r="H6949" s="7">
        <v>0</v>
      </c>
      <c r="I6949" s="8" t="str">
        <f ca="1">IFERROR(__xludf.DUMMYFUNCTION("IF
(
G6950=""фізична особа""
,
VLOOKUP(H6950,IMPORTRANGE(""https://docs.google.com/spreadsheets/d/14Bd19lYaqBhU8_DElYkX7l4wRkHqqCUFNJY4AfY3kHU/edit?usp=sharing  #gid=0"",""фіз особи new!relations_name""),6,FALSE)
,
(IF
(
G6950=""юридична особа""
,
VLOOKUP"&amp;"(H6950,IMPORTRANGE(""https://docs.google.com/spreadsheets/d/14Bd19lYaqBhU8_DElYkX7l4wRkHqqCUFNJY4AfY3kHU/edit?usp=sharing  #gid=0"",""фіз особи new!relations_name_uo""),7,FALSE)
,
)
))"),"#N/A")</f>
        <v>#N/A</v>
      </c>
      <c r="J6949" s="7" t="s">
        <v>18</v>
      </c>
    </row>
    <row r="6950" spans="1:10" ht="13.2">
      <c r="A6950" s="7">
        <v>6949</v>
      </c>
      <c r="B6950" s="7">
        <v>1</v>
      </c>
      <c r="C6950" s="7" t="s">
        <v>10</v>
      </c>
      <c r="D6950" s="7">
        <v>6336</v>
      </c>
      <c r="E6950" s="7" t="s">
        <v>18</v>
      </c>
      <c r="F6950" s="8" t="str">
        <f ca="1">IFERROR(__xludf.DUMMYFUNCTION("IF
(
C6951=""фізична особа""
,
VLOOKUP(D6951,IMPORTRANGE(""https://docs.google.com/spreadsheets/d/14Bd19lYaqBhU8_DElYkX7l4wRkHqqCUFNJY4AfY3kHU/edit?usp=sharing  #gid=0"",""фіз особи new!relations_name""),6,FALSE)
,
(IF
(
C6951=""юридична особа""
,
VLOOKUP"&amp;"(D6951,IMPORTRANGE(""https://docs.google.com/spreadsheets/d/14Bd19lYaqBhU8_DElYkX7l4wRkHqqCUFNJY4AfY3kHU/edit?usp=sharing  #gid=0"",""фіз особи new!relations_name_uo""),7,FALSE)
,
)
))"),"ГІЯЗОВ Олексій Валерійович")</f>
        <v>ГІЯЗОВ Олексій Валерійович</v>
      </c>
      <c r="G6950" s="7" t="s">
        <v>10</v>
      </c>
      <c r="H6950" s="7">
        <v>0</v>
      </c>
      <c r="I6950" s="8" t="str">
        <f ca="1">IFERROR(__xludf.DUMMYFUNCTION("IF
(
G6951=""фізична особа""
,
VLOOKUP(H6951,IMPORTRANGE(""https://docs.google.com/spreadsheets/d/14Bd19lYaqBhU8_DElYkX7l4wRkHqqCUFNJY4AfY3kHU/edit?usp=sharing  #gid=0"",""фіз особи new!relations_name""),6,FALSE)
,
(IF
(
G6951=""юридична особа""
,
VLOOKUP"&amp;"(H6951,IMPORTRANGE(""https://docs.google.com/spreadsheets/d/14Bd19lYaqBhU8_DElYkX7l4wRkHqqCUFNJY4AfY3kHU/edit?usp=sharing  #gid=0"",""фіз особи new!relations_name_uo""),7,FALSE)
,
)
))"),"#N/A")</f>
        <v>#N/A</v>
      </c>
      <c r="J6950" s="7" t="s">
        <v>18</v>
      </c>
    </row>
    <row r="6951" spans="1:10" ht="13.2">
      <c r="A6951" s="7">
        <v>6950</v>
      </c>
      <c r="B6951" s="7">
        <v>1</v>
      </c>
      <c r="C6951" s="7" t="s">
        <v>10</v>
      </c>
      <c r="D6951" s="7">
        <v>6340</v>
      </c>
      <c r="E6951" s="7" t="s">
        <v>30</v>
      </c>
      <c r="F6951" s="8" t="str">
        <f ca="1">IFERROR(__xludf.DUMMYFUNCTION("IF
(
C6952=""фізична особа""
,
VLOOKUP(D6952,IMPORTRANGE(""https://docs.google.com/spreadsheets/d/14Bd19lYaqBhU8_DElYkX7l4wRkHqqCUFNJY4AfY3kHU/edit?usp=sharing  #gid=0"",""фіз особи new!relations_name""),6,FALSE)
,
(IF
(
C6952=""юридична особа""
,
VLOOKUP"&amp;"(D6952,IMPORTRANGE(""https://docs.google.com/spreadsheets/d/14Bd19lYaqBhU8_DElYkX7l4wRkHqqCUFNJY4AfY3kHU/edit?usp=sharing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1" s="7" t="s">
        <v>10</v>
      </c>
      <c r="H6951" s="7">
        <v>0</v>
      </c>
      <c r="I6951" s="8" t="str">
        <f ca="1">IFERROR(__xludf.DUMMYFUNCTION("IF
(
G6952=""фізична особа""
,
VLOOKUP(H6952,IMPORTRANGE(""https://docs.google.com/spreadsheets/d/14Bd19lYaqBhU8_DElYkX7l4wRkHqqCUFNJY4AfY3kHU/edit?usp=sharing  #gid=0"",""фіз особи new!relations_name""),6,FALSE)
,
(IF
(
G6952=""юридична особа""
,
VLOOKUP"&amp;"(H6952,IMPORTRANGE(""https://docs.google.com/spreadsheets/d/14Bd19lYaqBhU8_DElYkX7l4wRkHqqCUFNJY4AfY3kHU/edit?usp=sharing  #gid=0"",""фіз особи new!relations_name_uo""),7,FALSE)
,
)
))"),"#N/A")</f>
        <v>#N/A</v>
      </c>
      <c r="J6951" s="7" t="s">
        <v>30</v>
      </c>
    </row>
    <row r="6952" spans="1:10" ht="13.2">
      <c r="A6952" s="7">
        <v>6951</v>
      </c>
      <c r="B6952" s="7">
        <v>1</v>
      </c>
      <c r="C6952" s="7" t="s">
        <v>10</v>
      </c>
      <c r="D6952" s="7">
        <v>6340</v>
      </c>
      <c r="E6952" s="7" t="s">
        <v>30</v>
      </c>
      <c r="F6952" s="8" t="str">
        <f ca="1">IFERROR(__xludf.DUMMYFUNCTION("IF
(
C6953=""фізична особа""
,
VLOOKUP(D6953,IMPORTRANGE(""https://docs.google.com/spreadsheets/d/14Bd19lYaqBhU8_DElYkX7l4wRkHqqCUFNJY4AfY3kHU/edit?usp=sharing  #gid=0"",""фіз особи new!relations_name""),6,FALSE)
,
(IF
(
C6953=""юридична особа""
,
VLOOKUP"&amp;"(D6953,IMPORTRANGE(""https://docs.google.com/spreadsheets/d/14Bd19lYaqBhU8_DElYkX7l4wRkHqqCUFNJY4AfY3kHU/edit?usp=sharing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2" s="7" t="s">
        <v>10</v>
      </c>
      <c r="H6952" s="7">
        <v>0</v>
      </c>
      <c r="I6952" s="8" t="str">
        <f ca="1">IFERROR(__xludf.DUMMYFUNCTION("IF
(
G6953=""фізична особа""
,
VLOOKUP(H6953,IMPORTRANGE(""https://docs.google.com/spreadsheets/d/14Bd19lYaqBhU8_DElYkX7l4wRkHqqCUFNJY4AfY3kHU/edit?usp=sharing  #gid=0"",""фіз особи new!relations_name""),6,FALSE)
,
(IF
(
G6953=""юридична особа""
,
VLOOKUP"&amp;"(H6953,IMPORTRANGE(""https://docs.google.com/spreadsheets/d/14Bd19lYaqBhU8_DElYkX7l4wRkHqqCUFNJY4AfY3kHU/edit?usp=sharing  #gid=0"",""фіз особи new!relations_name_uo""),7,FALSE)
,
)
))"),"#N/A")</f>
        <v>#N/A</v>
      </c>
      <c r="J6952" s="7" t="s">
        <v>30</v>
      </c>
    </row>
    <row r="6953" spans="1:10" ht="13.2">
      <c r="A6953" s="7">
        <v>6952</v>
      </c>
      <c r="B6953" s="7">
        <v>1</v>
      </c>
      <c r="C6953" s="7" t="s">
        <v>10</v>
      </c>
      <c r="D6953" s="7">
        <v>6340</v>
      </c>
      <c r="E6953" s="7" t="s">
        <v>30</v>
      </c>
      <c r="F6953" s="8" t="str">
        <f ca="1">IFERROR(__xludf.DUMMYFUNCTION("IF
(
C6954=""фізична особа""
,
VLOOKUP(D6954,IMPORTRANGE(""https://docs.google.com/spreadsheets/d/14Bd19lYaqBhU8_DElYkX7l4wRkHqqCUFNJY4AfY3kHU/edit?usp=sharing  #gid=0"",""фіз особи new!relations_name""),6,FALSE)
,
(IF
(
C6954=""юридична особа""
,
VLOOKUP"&amp;"(D6954,IMPORTRANGE(""https://docs.google.com/spreadsheets/d/14Bd19lYaqBhU8_DElYkX7l4wRkHqqCUFNJY4AfY3kHU/edit?usp=sharing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3" s="7" t="s">
        <v>10</v>
      </c>
      <c r="H6953" s="7">
        <v>0</v>
      </c>
      <c r="I6953" s="8" t="str">
        <f ca="1">IFERROR(__xludf.DUMMYFUNCTION("IF
(
G6954=""фізична особа""
,
VLOOKUP(H6954,IMPORTRANGE(""https://docs.google.com/spreadsheets/d/14Bd19lYaqBhU8_DElYkX7l4wRkHqqCUFNJY4AfY3kHU/edit?usp=sharing  #gid=0"",""фіз особи new!relations_name""),6,FALSE)
,
(IF
(
G6954=""юридична особа""
,
VLOOKUP"&amp;"(H6954,IMPORTRANGE(""https://docs.google.com/spreadsheets/d/14Bd19lYaqBhU8_DElYkX7l4wRkHqqCUFNJY4AfY3kHU/edit?usp=sharing  #gid=0"",""фіз особи new!relations_name_uo""),7,FALSE)
,
)
))"),"#N/A")</f>
        <v>#N/A</v>
      </c>
      <c r="J6953" s="7" t="s">
        <v>30</v>
      </c>
    </row>
    <row r="6954" spans="1:10" ht="13.2">
      <c r="A6954" s="7">
        <v>6953</v>
      </c>
      <c r="B6954" s="7">
        <v>1</v>
      </c>
      <c r="C6954" s="7" t="s">
        <v>10</v>
      </c>
      <c r="D6954" s="7">
        <v>6340</v>
      </c>
      <c r="E6954" s="7" t="s">
        <v>30</v>
      </c>
      <c r="F6954" s="8" t="str">
        <f ca="1">IFERROR(__xludf.DUMMYFUNCTION("IF
(
C6955=""фізична особа""
,
VLOOKUP(D6955,IMPORTRANGE(""https://docs.google.com/spreadsheets/d/14Bd19lYaqBhU8_DElYkX7l4wRkHqqCUFNJY4AfY3kHU/edit?usp=sharing  #gid=0"",""фіз особи new!relations_name""),6,FALSE)
,
(IF
(
C6955=""юридична особа""
,
VLOOKUP"&amp;"(D6955,IMPORTRANGE(""https://docs.google.com/spreadsheets/d/14Bd19lYaqBhU8_DElYkX7l4wRkHqqCUFNJY4AfY3kHU/edit?usp=sharing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4" s="7" t="s">
        <v>10</v>
      </c>
      <c r="H6954" s="7">
        <v>0</v>
      </c>
      <c r="I6954" s="8" t="str">
        <f ca="1">IFERROR(__xludf.DUMMYFUNCTION("IF
(
G6955=""фізична особа""
,
VLOOKUP(H6955,IMPORTRANGE(""https://docs.google.com/spreadsheets/d/14Bd19lYaqBhU8_DElYkX7l4wRkHqqCUFNJY4AfY3kHU/edit?usp=sharing  #gid=0"",""фіз особи new!relations_name""),6,FALSE)
,
(IF
(
G6955=""юридична особа""
,
VLOOKUP"&amp;"(H6955,IMPORTRANGE(""https://docs.google.com/spreadsheets/d/14Bd19lYaqBhU8_DElYkX7l4wRkHqqCUFNJY4AfY3kHU/edit?usp=sharing  #gid=0"",""фіз особи new!relations_name_uo""),7,FALSE)
,
)
))"),"#N/A")</f>
        <v>#N/A</v>
      </c>
      <c r="J6954" s="7" t="s">
        <v>30</v>
      </c>
    </row>
    <row r="6955" spans="1:10" ht="13.2">
      <c r="A6955" s="7">
        <v>6954</v>
      </c>
      <c r="B6955" s="7">
        <v>1</v>
      </c>
      <c r="C6955" s="7" t="s">
        <v>10</v>
      </c>
      <c r="D6955" s="7">
        <v>6340</v>
      </c>
      <c r="E6955" s="7" t="s">
        <v>30</v>
      </c>
      <c r="F6955" s="8" t="str">
        <f ca="1">IFERROR(__xludf.DUMMYFUNCTION("IF
(
C6956=""фізична особа""
,
VLOOKUP(D6956,IMPORTRANGE(""https://docs.google.com/spreadsheets/d/14Bd19lYaqBhU8_DElYkX7l4wRkHqqCUFNJY4AfY3kHU/edit?usp=sharing  #gid=0"",""фіз особи new!relations_name""),6,FALSE)
,
(IF
(
C6956=""юридична особа""
,
VLOOKUP"&amp;"(D6956,IMPORTRANGE(""https://docs.google.com/spreadsheets/d/14Bd19lYaqBhU8_DElYkX7l4wRkHqqCUFNJY4AfY3kHU/edit?usp=sharing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5" s="7" t="s">
        <v>10</v>
      </c>
      <c r="H6955" s="7">
        <v>0</v>
      </c>
      <c r="I6955" s="8" t="str">
        <f ca="1">IFERROR(__xludf.DUMMYFUNCTION("IF
(
G6956=""фізична особа""
,
VLOOKUP(H6956,IMPORTRANGE(""https://docs.google.com/spreadsheets/d/14Bd19lYaqBhU8_DElYkX7l4wRkHqqCUFNJY4AfY3kHU/edit?usp=sharing  #gid=0"",""фіз особи new!relations_name""),6,FALSE)
,
(IF
(
G6956=""юридична особа""
,
VLOOKUP"&amp;"(H6956,IMPORTRANGE(""https://docs.google.com/spreadsheets/d/14Bd19lYaqBhU8_DElYkX7l4wRkHqqCUFNJY4AfY3kHU/edit?usp=sharing  #gid=0"",""фіз особи new!relations_name_uo""),7,FALSE)
,
)
))"),"#N/A")</f>
        <v>#N/A</v>
      </c>
      <c r="J6955" s="7" t="s">
        <v>30</v>
      </c>
    </row>
    <row r="6956" spans="1:10" ht="13.2">
      <c r="A6956" s="7">
        <v>6955</v>
      </c>
      <c r="B6956" s="7">
        <v>1</v>
      </c>
      <c r="C6956" s="7" t="s">
        <v>10</v>
      </c>
      <c r="D6956" s="7">
        <v>6340</v>
      </c>
      <c r="E6956" s="7" t="s">
        <v>30</v>
      </c>
      <c r="F6956" s="8" t="str">
        <f ca="1">IFERROR(__xludf.DUMMYFUNCTION("IF
(
C6957=""фізична особа""
,
VLOOKUP(D6957,IMPORTRANGE(""https://docs.google.com/spreadsheets/d/14Bd19lYaqBhU8_DElYkX7l4wRkHqqCUFNJY4AfY3kHU/edit?usp=sharing  #gid=0"",""фіз особи new!relations_name""),6,FALSE)
,
(IF
(
C6957=""юридична особа""
,
VLOOKUP"&amp;"(D6957,IMPORTRANGE(""https://docs.google.com/spreadsheets/d/14Bd19lYaqBhU8_DElYkX7l4wRkHqqCUFNJY4AfY3kHU/edit?usp=sharing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6" s="7" t="s">
        <v>10</v>
      </c>
      <c r="H6956" s="7">
        <v>0</v>
      </c>
      <c r="I6956" s="8" t="str">
        <f ca="1">IFERROR(__xludf.DUMMYFUNCTION("IF
(
G6957=""фізична особа""
,
VLOOKUP(H6957,IMPORTRANGE(""https://docs.google.com/spreadsheets/d/14Bd19lYaqBhU8_DElYkX7l4wRkHqqCUFNJY4AfY3kHU/edit?usp=sharing  #gid=0"",""фіз особи new!relations_name""),6,FALSE)
,
(IF
(
G6957=""юридична особа""
,
VLOOKUP"&amp;"(H6957,IMPORTRANGE(""https://docs.google.com/spreadsheets/d/14Bd19lYaqBhU8_DElYkX7l4wRkHqqCUFNJY4AfY3kHU/edit?usp=sharing  #gid=0"",""фіз особи new!relations_name_uo""),7,FALSE)
,
)
))"),"#N/A")</f>
        <v>#N/A</v>
      </c>
      <c r="J6956" s="7" t="s">
        <v>30</v>
      </c>
    </row>
    <row r="6957" spans="1:10" ht="13.2">
      <c r="A6957" s="7">
        <v>6956</v>
      </c>
      <c r="B6957" s="7">
        <v>1</v>
      </c>
      <c r="C6957" s="7" t="s">
        <v>10</v>
      </c>
      <c r="D6957" s="7">
        <v>6340</v>
      </c>
      <c r="E6957" s="7" t="s">
        <v>30</v>
      </c>
      <c r="F6957" s="8" t="str">
        <f ca="1">IFERROR(__xludf.DUMMYFUNCTION("IF
(
C6958=""фізична особа""
,
VLOOKUP(D6958,IMPORTRANGE(""https://docs.google.com/spreadsheets/d/14Bd19lYaqBhU8_DElYkX7l4wRkHqqCUFNJY4AfY3kHU/edit?usp=sharing  #gid=0"",""фіз особи new!relations_name""),6,FALSE)
,
(IF
(
C6958=""юридична особа""
,
VLOOKUP"&amp;"(D6958,IMPORTRANGE(""https://docs.google.com/spreadsheets/d/14Bd19lYaqBhU8_DElYkX7l4wRkHqqCUFNJY4AfY3kHU/edit?usp=sharing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7" s="7" t="s">
        <v>10</v>
      </c>
      <c r="H6957" s="7">
        <v>0</v>
      </c>
      <c r="I6957" s="8" t="str">
        <f ca="1">IFERROR(__xludf.DUMMYFUNCTION("IF
(
G6958=""фізична особа""
,
VLOOKUP(H6958,IMPORTRANGE(""https://docs.google.com/spreadsheets/d/14Bd19lYaqBhU8_DElYkX7l4wRkHqqCUFNJY4AfY3kHU/edit?usp=sharing  #gid=0"",""фіз особи new!relations_name""),6,FALSE)
,
(IF
(
G6958=""юридична особа""
,
VLOOKUP"&amp;"(H6958,IMPORTRANGE(""https://docs.google.com/spreadsheets/d/14Bd19lYaqBhU8_DElYkX7l4wRkHqqCUFNJY4AfY3kHU/edit?usp=sharing  #gid=0"",""фіз особи new!relations_name_uo""),7,FALSE)
,
)
))"),"#N/A")</f>
        <v>#N/A</v>
      </c>
      <c r="J6957" s="7" t="s">
        <v>30</v>
      </c>
    </row>
    <row r="6958" spans="1:10" ht="13.2">
      <c r="A6958" s="7">
        <v>6957</v>
      </c>
      <c r="B6958" s="7">
        <v>1</v>
      </c>
      <c r="C6958" s="7" t="s">
        <v>10</v>
      </c>
      <c r="D6958" s="7">
        <v>6340</v>
      </c>
      <c r="E6958" s="7" t="s">
        <v>30</v>
      </c>
      <c r="F6958" s="8" t="str">
        <f ca="1">IFERROR(__xludf.DUMMYFUNCTION("IF
(
C6959=""фізична особа""
,
VLOOKUP(D6959,IMPORTRANGE(""https://docs.google.com/spreadsheets/d/14Bd19lYaqBhU8_DElYkX7l4wRkHqqCUFNJY4AfY3kHU/edit?usp=sharing  #gid=0"",""фіз особи new!relations_name""),6,FALSE)
,
(IF
(
C6959=""юридична особа""
,
VLOOKUP"&amp;"(D6959,IMPORTRANGE(""https://docs.google.com/spreadsheets/d/14Bd19lYaqBhU8_DElYkX7l4wRkHqqCUFNJY4AfY3kHU/edit?usp=sharing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8" s="7" t="s">
        <v>10</v>
      </c>
      <c r="H6958" s="7">
        <v>0</v>
      </c>
      <c r="I6958" s="8" t="str">
        <f ca="1">IFERROR(__xludf.DUMMYFUNCTION("IF
(
G6959=""фізична особа""
,
VLOOKUP(H6959,IMPORTRANGE(""https://docs.google.com/spreadsheets/d/14Bd19lYaqBhU8_DElYkX7l4wRkHqqCUFNJY4AfY3kHU/edit?usp=sharing  #gid=0"",""фіз особи new!relations_name""),6,FALSE)
,
(IF
(
G6959=""юридична особа""
,
VLOOKUP"&amp;"(H6959,IMPORTRANGE(""https://docs.google.com/spreadsheets/d/14Bd19lYaqBhU8_DElYkX7l4wRkHqqCUFNJY4AfY3kHU/edit?usp=sharing  #gid=0"",""фіз особи new!relations_name_uo""),7,FALSE)
,
)
))"),"#N/A")</f>
        <v>#N/A</v>
      </c>
      <c r="J6958" s="7" t="s">
        <v>30</v>
      </c>
    </row>
    <row r="6959" spans="1:10" ht="13.2">
      <c r="A6959" s="7">
        <v>6958</v>
      </c>
      <c r="B6959" s="7">
        <v>1</v>
      </c>
      <c r="C6959" s="7" t="s">
        <v>10</v>
      </c>
      <c r="D6959" s="7">
        <v>6340</v>
      </c>
      <c r="E6959" s="7" t="s">
        <v>30</v>
      </c>
      <c r="F6959" s="8" t="str">
        <f ca="1">IFERROR(__xludf.DUMMYFUNCTION("IF
(
C6960=""фізична особа""
,
VLOOKUP(D6960,IMPORTRANGE(""https://docs.google.com/spreadsheets/d/14Bd19lYaqBhU8_DElYkX7l4wRkHqqCUFNJY4AfY3kHU/edit?usp=sharing  #gid=0"",""фіз особи new!relations_name""),6,FALSE)
,
(IF
(
C6960=""юридична особа""
,
VLOOKUP"&amp;"(D6960,IMPORTRANGE(""https://docs.google.com/spreadsheets/d/14Bd19lYaqBhU8_DElYkX7l4wRkHqqCUFNJY4AfY3kHU/edit?usp=sharing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G6959" s="7" t="s">
        <v>10</v>
      </c>
      <c r="H6959" s="7">
        <v>0</v>
      </c>
      <c r="I6959" s="8" t="str">
        <f ca="1">IFERROR(__xludf.DUMMYFUNCTION("IF
(
G6960=""фізична особа""
,
VLOOKUP(H6960,IMPORTRANGE(""https://docs.google.com/spreadsheets/d/14Bd19lYaqBhU8_DElYkX7l4wRkHqqCUFNJY4AfY3kHU/edit?usp=sharing  #gid=0"",""фіз особи new!relations_name""),6,FALSE)
,
(IF
(
G6960=""юридична особа""
,
VLOOKUP"&amp;"(H6960,IMPORTRANGE(""https://docs.google.com/spreadsheets/d/14Bd19lYaqBhU8_DElYkX7l4wRkHqqCUFNJY4AfY3kHU/edit?usp=sharing  #gid=0"",""фіз особи new!relations_name_uo""),7,FALSE)
,
)
))"),"#N/A")</f>
        <v>#N/A</v>
      </c>
      <c r="J6959" s="7" t="s">
        <v>30</v>
      </c>
    </row>
    <row r="6960" spans="1:10" ht="13.2">
      <c r="A6960" s="7">
        <v>6959</v>
      </c>
      <c r="B6960" s="7">
        <v>1</v>
      </c>
      <c r="C6960" s="7" t="s">
        <v>10</v>
      </c>
      <c r="D6960" s="7">
        <v>6341</v>
      </c>
      <c r="E6960" s="7" t="s">
        <v>14</v>
      </c>
      <c r="F6960" s="8" t="str">
        <f ca="1">IFERROR(__xludf.DUMMYFUNCTION("IF
(
C6961=""фізична особа""
,
VLOOKUP(D6961,IMPORTRANGE(""https://docs.google.com/spreadsheets/d/14Bd19lYaqBhU8_DElYkX7l4wRkHqqCUFNJY4AfY3kHU/edit?usp=sharing  #gid=0"",""фіз особи new!relations_name""),6,FALSE)
,
(IF
(
C6961=""юридична особа""
,
VLOOKUP"&amp;"(D6961,IMPORTRANGE(""https://docs.google.com/spreadsheets/d/14Bd19lYaqBhU8_DElYkX7l4wRkHqqCUFNJY4AfY3kHU/edit?usp=sharing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0" s="7" t="s">
        <v>10</v>
      </c>
      <c r="H6960" s="7">
        <v>0</v>
      </c>
      <c r="I6960" s="8" t="str">
        <f ca="1">IFERROR(__xludf.DUMMYFUNCTION("IF
(
G6961=""фізична особа""
,
VLOOKUP(H6961,IMPORTRANGE(""https://docs.google.com/spreadsheets/d/14Bd19lYaqBhU8_DElYkX7l4wRkHqqCUFNJY4AfY3kHU/edit?usp=sharing  #gid=0"",""фіз особи new!relations_name""),6,FALSE)
,
(IF
(
G6961=""юридична особа""
,
VLOOKUP"&amp;"(H6961,IMPORTRANGE(""https://docs.google.com/spreadsheets/d/14Bd19lYaqBhU8_DElYkX7l4wRkHqqCUFNJY4AfY3kHU/edit?usp=sharing  #gid=0"",""фіз особи new!relations_name_uo""),7,FALSE)
,
)
))"),"#N/A")</f>
        <v>#N/A</v>
      </c>
      <c r="J6960" s="7" t="s">
        <v>15</v>
      </c>
    </row>
    <row r="6961" spans="1:10" ht="13.2">
      <c r="A6961" s="7">
        <v>6960</v>
      </c>
      <c r="B6961" s="7">
        <v>1</v>
      </c>
      <c r="C6961" s="7" t="s">
        <v>10</v>
      </c>
      <c r="D6961" s="7">
        <v>6341</v>
      </c>
      <c r="E6961" s="7" t="s">
        <v>36</v>
      </c>
      <c r="F6961" s="8" t="str">
        <f ca="1">IFERROR(__xludf.DUMMYFUNCTION("IF
(
C6962=""фізична особа""
,
VLOOKUP(D6962,IMPORTRANGE(""https://docs.google.com/spreadsheets/d/14Bd19lYaqBhU8_DElYkX7l4wRkHqqCUFNJY4AfY3kHU/edit?usp=sharing  #gid=0"",""фіз особи new!relations_name""),6,FALSE)
,
(IF
(
C6962=""юридична особа""
,
VLOOKUP"&amp;"(D6962,IMPORTRANGE(""https://docs.google.com/spreadsheets/d/14Bd19lYaqBhU8_DElYkX7l4wRkHqqCUFNJY4AfY3kHU/edit?usp=sharing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1" s="7" t="s">
        <v>10</v>
      </c>
      <c r="H6961" s="7">
        <v>0</v>
      </c>
      <c r="I6961" s="8" t="str">
        <f ca="1">IFERROR(__xludf.DUMMYFUNCTION("IF
(
G6962=""фізична особа""
,
VLOOKUP(H6962,IMPORTRANGE(""https://docs.google.com/spreadsheets/d/14Bd19lYaqBhU8_DElYkX7l4wRkHqqCUFNJY4AfY3kHU/edit?usp=sharing  #gid=0"",""фіз особи new!relations_name""),6,FALSE)
,
(IF
(
G6962=""юридична особа""
,
VLOOKUP"&amp;"(H6962,IMPORTRANGE(""https://docs.google.com/spreadsheets/d/14Bd19lYaqBhU8_DElYkX7l4wRkHqqCUFNJY4AfY3kHU/edit?usp=sharing  #gid=0"",""фіз особи new!relations_name_uo""),7,FALSE)
,
)
))"),"#N/A")</f>
        <v>#N/A</v>
      </c>
      <c r="J6961" s="7" t="s">
        <v>37</v>
      </c>
    </row>
    <row r="6962" spans="1:10" ht="13.2">
      <c r="A6962" s="7">
        <v>6961</v>
      </c>
      <c r="B6962" s="7">
        <v>1</v>
      </c>
      <c r="C6962" s="7" t="s">
        <v>10</v>
      </c>
      <c r="D6962" s="7">
        <v>6341</v>
      </c>
      <c r="E6962" s="7" t="s">
        <v>17</v>
      </c>
      <c r="F6962" s="8" t="str">
        <f ca="1">IFERROR(__xludf.DUMMYFUNCTION("IF
(
C6963=""фізична особа""
,
VLOOKUP(D6963,IMPORTRANGE(""https://docs.google.com/spreadsheets/d/14Bd19lYaqBhU8_DElYkX7l4wRkHqqCUFNJY4AfY3kHU/edit?usp=sharing  #gid=0"",""фіз особи new!relations_name""),6,FALSE)
,
(IF
(
C6963=""юридична особа""
,
VLOOKUP"&amp;"(D6963,IMPORTRANGE(""https://docs.google.com/spreadsheets/d/14Bd19lYaqBhU8_DElYkX7l4wRkHqqCUFNJY4AfY3kHU/edit?usp=sharing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2" s="7" t="s">
        <v>10</v>
      </c>
      <c r="H6962" s="7">
        <v>0</v>
      </c>
      <c r="I6962" s="8" t="str">
        <f ca="1">IFERROR(__xludf.DUMMYFUNCTION("IF
(
G6963=""фізична особа""
,
VLOOKUP(H6963,IMPORTRANGE(""https://docs.google.com/spreadsheets/d/14Bd19lYaqBhU8_DElYkX7l4wRkHqqCUFNJY4AfY3kHU/edit?usp=sharing  #gid=0"",""фіз особи new!relations_name""),6,FALSE)
,
(IF
(
G6963=""юридична особа""
,
VLOOKUP"&amp;"(H6963,IMPORTRANGE(""https://docs.google.com/spreadsheets/d/14Bd19lYaqBhU8_DElYkX7l4wRkHqqCUFNJY4AfY3kHU/edit?usp=sharing  #gid=0"",""фіз особи new!relations_name_uo""),7,FALSE)
,
)
))"),"#N/A")</f>
        <v>#N/A</v>
      </c>
      <c r="J6962" s="7" t="s">
        <v>21</v>
      </c>
    </row>
    <row r="6963" spans="1:10" ht="13.2">
      <c r="A6963" s="7">
        <v>6962</v>
      </c>
      <c r="B6963" s="7">
        <v>1</v>
      </c>
      <c r="C6963" s="7" t="s">
        <v>10</v>
      </c>
      <c r="D6963" s="7">
        <v>6341</v>
      </c>
      <c r="E6963" s="7" t="s">
        <v>18</v>
      </c>
      <c r="F6963" s="8" t="str">
        <f ca="1">IFERROR(__xludf.DUMMYFUNCTION("IF
(
C6964=""фізична особа""
,
VLOOKUP(D6964,IMPORTRANGE(""https://docs.google.com/spreadsheets/d/14Bd19lYaqBhU8_DElYkX7l4wRkHqqCUFNJY4AfY3kHU/edit?usp=sharing  #gid=0"",""фіз особи new!relations_name""),6,FALSE)
,
(IF
(
C6964=""юридична особа""
,
VLOOKUP"&amp;"(D6964,IMPORTRANGE(""https://docs.google.com/spreadsheets/d/14Bd19lYaqBhU8_DElYkX7l4wRkHqqCUFNJY4AfY3kHU/edit?usp=sharing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3" s="7" t="s">
        <v>10</v>
      </c>
      <c r="H6963" s="7">
        <v>0</v>
      </c>
      <c r="I6963" s="8" t="str">
        <f ca="1">IFERROR(__xludf.DUMMYFUNCTION("IF
(
G6964=""фізична особа""
,
VLOOKUP(H6964,IMPORTRANGE(""https://docs.google.com/spreadsheets/d/14Bd19lYaqBhU8_DElYkX7l4wRkHqqCUFNJY4AfY3kHU/edit?usp=sharing  #gid=0"",""фіз особи new!relations_name""),6,FALSE)
,
(IF
(
G6964=""юридична особа""
,
VLOOKUP"&amp;"(H6964,IMPORTRANGE(""https://docs.google.com/spreadsheets/d/14Bd19lYaqBhU8_DElYkX7l4wRkHqqCUFNJY4AfY3kHU/edit?usp=sharing  #gid=0"",""фіз особи new!relations_name_uo""),7,FALSE)
,
)
))"),"#N/A")</f>
        <v>#N/A</v>
      </c>
      <c r="J6963" s="7" t="s">
        <v>31</v>
      </c>
    </row>
    <row r="6964" spans="1:10" ht="13.2">
      <c r="A6964" s="7">
        <v>6963</v>
      </c>
      <c r="B6964" s="7">
        <v>1</v>
      </c>
      <c r="C6964" s="7" t="s">
        <v>10</v>
      </c>
      <c r="D6964" s="7">
        <v>6341</v>
      </c>
      <c r="E6964" s="7" t="s">
        <v>12</v>
      </c>
      <c r="F6964" s="8" t="str">
        <f ca="1">IFERROR(__xludf.DUMMYFUNCTION("IF
(
C6965=""фізична особа""
,
VLOOKUP(D6965,IMPORTRANGE(""https://docs.google.com/spreadsheets/d/14Bd19lYaqBhU8_DElYkX7l4wRkHqqCUFNJY4AfY3kHU/edit?usp=sharing  #gid=0"",""фіз особи new!relations_name""),6,FALSE)
,
(IF
(
C6965=""юридична особа""
,
VLOOKUP"&amp;"(D6965,IMPORTRANGE(""https://docs.google.com/spreadsheets/d/14Bd19lYaqBhU8_DElYkX7l4wRkHqqCUFNJY4AfY3kHU/edit?usp=sharing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4" s="7" t="s">
        <v>10</v>
      </c>
      <c r="H6964" s="7">
        <v>0</v>
      </c>
      <c r="I6964" s="8" t="str">
        <f ca="1">IFERROR(__xludf.DUMMYFUNCTION("IF
(
G6965=""фізична особа""
,
VLOOKUP(H6965,IMPORTRANGE(""https://docs.google.com/spreadsheets/d/14Bd19lYaqBhU8_DElYkX7l4wRkHqqCUFNJY4AfY3kHU/edit?usp=sharing  #gid=0"",""фіз особи new!relations_name""),6,FALSE)
,
(IF
(
G6965=""юридична особа""
,
VLOOKUP"&amp;"(H6965,IMPORTRANGE(""https://docs.google.com/spreadsheets/d/14Bd19lYaqBhU8_DElYkX7l4wRkHqqCUFNJY4AfY3kHU/edit?usp=sharing  #gid=0"",""фіз особи new!relations_name_uo""),7,FALSE)
,
)
))"),"#N/A")</f>
        <v>#N/A</v>
      </c>
      <c r="J6964" s="7" t="s">
        <v>13</v>
      </c>
    </row>
    <row r="6965" spans="1:10" ht="13.2">
      <c r="A6965" s="7">
        <v>6964</v>
      </c>
      <c r="B6965" s="7">
        <v>1</v>
      </c>
      <c r="C6965" s="7" t="s">
        <v>10</v>
      </c>
      <c r="D6965" s="7">
        <v>6341</v>
      </c>
      <c r="E6965" s="7" t="s">
        <v>12</v>
      </c>
      <c r="F6965" s="8" t="str">
        <f ca="1">IFERROR(__xludf.DUMMYFUNCTION("IF
(
C6966=""фізична особа""
,
VLOOKUP(D6966,IMPORTRANGE(""https://docs.google.com/spreadsheets/d/14Bd19lYaqBhU8_DElYkX7l4wRkHqqCUFNJY4AfY3kHU/edit?usp=sharing  #gid=0"",""фіз особи new!relations_name""),6,FALSE)
,
(IF
(
C6966=""юридична особа""
,
VLOOKUP"&amp;"(D6966,IMPORTRANGE(""https://docs.google.com/spreadsheets/d/14Bd19lYaqBhU8_DElYkX7l4wRkHqqCUFNJY4AfY3kHU/edit?usp=sharing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5" s="7" t="s">
        <v>10</v>
      </c>
      <c r="H6965" s="7">
        <v>0</v>
      </c>
      <c r="I6965" s="8" t="str">
        <f ca="1">IFERROR(__xludf.DUMMYFUNCTION("IF
(
G6966=""фізична особа""
,
VLOOKUP(H6966,IMPORTRANGE(""https://docs.google.com/spreadsheets/d/14Bd19lYaqBhU8_DElYkX7l4wRkHqqCUFNJY4AfY3kHU/edit?usp=sharing  #gid=0"",""фіз особи new!relations_name""),6,FALSE)
,
(IF
(
G6966=""юридична особа""
,
VLOOKUP"&amp;"(H6966,IMPORTRANGE(""https://docs.google.com/spreadsheets/d/14Bd19lYaqBhU8_DElYkX7l4wRkHqqCUFNJY4AfY3kHU/edit?usp=sharing  #gid=0"",""фіз особи new!relations_name_uo""),7,FALSE)
,
)
))"),"#N/A")</f>
        <v>#N/A</v>
      </c>
      <c r="J6965" s="7" t="s">
        <v>17</v>
      </c>
    </row>
    <row r="6966" spans="1:10" ht="13.2">
      <c r="A6966" s="7">
        <v>6965</v>
      </c>
      <c r="B6966" s="7">
        <v>1</v>
      </c>
      <c r="C6966" s="7" t="s">
        <v>10</v>
      </c>
      <c r="D6966" s="7">
        <v>6341</v>
      </c>
      <c r="E6966" s="7" t="s">
        <v>30</v>
      </c>
      <c r="F6966" s="8" t="str">
        <f ca="1">IFERROR(__xludf.DUMMYFUNCTION("IF
(
C6967=""фізична особа""
,
VLOOKUP(D6967,IMPORTRANGE(""https://docs.google.com/spreadsheets/d/14Bd19lYaqBhU8_DElYkX7l4wRkHqqCUFNJY4AfY3kHU/edit?usp=sharing  #gid=0"",""фіз особи new!relations_name""),6,FALSE)
,
(IF
(
C6967=""юридична особа""
,
VLOOKUP"&amp;"(D6967,IMPORTRANGE(""https://docs.google.com/spreadsheets/d/14Bd19lYaqBhU8_DElYkX7l4wRkHqqCUFNJY4AfY3kHU/edit?usp=sharing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6" s="7" t="s">
        <v>10</v>
      </c>
      <c r="H6966" s="7">
        <v>0</v>
      </c>
      <c r="I6966" s="8" t="str">
        <f ca="1">IFERROR(__xludf.DUMMYFUNCTION("IF
(
G6967=""фізична особа""
,
VLOOKUP(H6967,IMPORTRANGE(""https://docs.google.com/spreadsheets/d/14Bd19lYaqBhU8_DElYkX7l4wRkHqqCUFNJY4AfY3kHU/edit?usp=sharing  #gid=0"",""фіз особи new!relations_name""),6,FALSE)
,
(IF
(
G6967=""юридична особа""
,
VLOOKUP"&amp;"(H6967,IMPORTRANGE(""https://docs.google.com/spreadsheets/d/14Bd19lYaqBhU8_DElYkX7l4wRkHqqCUFNJY4AfY3kHU/edit?usp=sharing  #gid=0"",""фіз особи new!relations_name_uo""),7,FALSE)
,
)
))"),"#N/A")</f>
        <v>#N/A</v>
      </c>
      <c r="J6966" s="7" t="s">
        <v>30</v>
      </c>
    </row>
    <row r="6967" spans="1:10" ht="13.2">
      <c r="A6967" s="7">
        <v>6966</v>
      </c>
      <c r="B6967" s="7">
        <v>1</v>
      </c>
      <c r="C6967" s="7" t="s">
        <v>10</v>
      </c>
      <c r="D6967" s="7">
        <v>6341</v>
      </c>
      <c r="E6967" s="7" t="s">
        <v>30</v>
      </c>
      <c r="F6967" s="8" t="str">
        <f ca="1">IFERROR(__xludf.DUMMYFUNCTION("IF
(
C6968=""фізична особа""
,
VLOOKUP(D6968,IMPORTRANGE(""https://docs.google.com/spreadsheets/d/14Bd19lYaqBhU8_DElYkX7l4wRkHqqCUFNJY4AfY3kHU/edit?usp=sharing  #gid=0"",""фіз особи new!relations_name""),6,FALSE)
,
(IF
(
C6968=""юридична особа""
,
VLOOKUP"&amp;"(D6968,IMPORTRANGE(""https://docs.google.com/spreadsheets/d/14Bd19lYaqBhU8_DElYkX7l4wRkHqqCUFNJY4AfY3kHU/edit?usp=sharing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7" s="7" t="s">
        <v>10</v>
      </c>
      <c r="H6967" s="7">
        <v>1587</v>
      </c>
      <c r="I6967" s="8" t="str">
        <f ca="1">IFERROR(__xludf.DUMMYFUNCTION("IF
(
G6968=""фізична особа""
,
VLOOKUP(H6968,IMPORTRANGE(""https://docs.google.com/spreadsheets/d/14Bd19lYaqBhU8_DElYkX7l4wRkHqqCUFNJY4AfY3kHU/edit?usp=sharing  #gid=0"",""фіз особи new!relations_name""),6,FALSE)
,
(IF
(
G6968=""юридична особа""
,
VLOOKUP"&amp;"(H6968,IMPORTRANGE(""https://docs.google.com/spreadsheets/d/14Bd19lYaqBhU8_DElYkX7l4wRkHqqCUFNJY4AfY3kHU/edit?usp=sharing  #gid=0"",""фіз особи new!relations_name_uo""),7,FALSE)
,
)
))"),"ЗАДОРОНОВ Михайло Михайлович")</f>
        <v>ЗАДОРОНОВ Михайло Михайлович</v>
      </c>
      <c r="J6967" s="7" t="s">
        <v>30</v>
      </c>
    </row>
    <row r="6968" spans="1:10" ht="13.2">
      <c r="A6968" s="7">
        <v>6967</v>
      </c>
      <c r="B6968" s="7">
        <v>1</v>
      </c>
      <c r="C6968" s="7" t="s">
        <v>10</v>
      </c>
      <c r="D6968" s="7">
        <v>6341</v>
      </c>
      <c r="E6968" s="7" t="s">
        <v>29</v>
      </c>
      <c r="F6968" s="8" t="str">
        <f ca="1">IFERROR(__xludf.DUMMYFUNCTION("IF
(
C6969=""фізична особа""
,
VLOOKUP(D6969,IMPORTRANGE(""https://docs.google.com/spreadsheets/d/14Bd19lYaqBhU8_DElYkX7l4wRkHqqCUFNJY4AfY3kHU/edit?usp=sharing  #gid=0"",""фіз особи new!relations_name""),6,FALSE)
,
(IF
(
C6969=""юридична особа""
,
VLOOKUP"&amp;"(D6969,IMPORTRANGE(""https://docs.google.com/spreadsheets/d/14Bd19lYaqBhU8_DElYkX7l4wRkHqqCUFNJY4AfY3kHU/edit?usp=sharing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8" s="7" t="s">
        <v>10</v>
      </c>
      <c r="H6968" s="7">
        <v>0</v>
      </c>
      <c r="I6968" s="8" t="str">
        <f ca="1">IFERROR(__xludf.DUMMYFUNCTION("IF
(
G6969=""фізична особа""
,
VLOOKUP(H6969,IMPORTRANGE(""https://docs.google.com/spreadsheets/d/14Bd19lYaqBhU8_DElYkX7l4wRkHqqCUFNJY4AfY3kHU/edit?usp=sharing  #gid=0"",""фіз особи new!relations_name""),6,FALSE)
,
(IF
(
G6969=""юридична особа""
,
VLOOKUP"&amp;"(H6969,IMPORTRANGE(""https://docs.google.com/spreadsheets/d/14Bd19lYaqBhU8_DElYkX7l4wRkHqqCUFNJY4AfY3kHU/edit?usp=sharing  #gid=0"",""фіз особи new!relations_name_uo""),7,FALSE)
,
)
))"),"#N/A")</f>
        <v>#N/A</v>
      </c>
      <c r="J6968" s="7" t="s">
        <v>28</v>
      </c>
    </row>
    <row r="6969" spans="1:10" ht="13.2">
      <c r="A6969" s="7">
        <v>6968</v>
      </c>
      <c r="B6969" s="7">
        <v>1</v>
      </c>
      <c r="C6969" s="7" t="s">
        <v>10</v>
      </c>
      <c r="D6969" s="7">
        <v>6341</v>
      </c>
      <c r="E6969" s="7" t="s">
        <v>29</v>
      </c>
      <c r="F6969" s="8" t="str">
        <f ca="1">IFERROR(__xludf.DUMMYFUNCTION("IF
(
C6970=""фізична особа""
,
VLOOKUP(D6970,IMPORTRANGE(""https://docs.google.com/spreadsheets/d/14Bd19lYaqBhU8_DElYkX7l4wRkHqqCUFNJY4AfY3kHU/edit?usp=sharing  #gid=0"",""фіз особи new!relations_name""),6,FALSE)
,
(IF
(
C6970=""юридична особа""
,
VLOOKUP"&amp;"(D6970,IMPORTRANGE(""https://docs.google.com/spreadsheets/d/14Bd19lYaqBhU8_DElYkX7l4wRkHqqCUFNJY4AfY3kHU/edit?usp=sharing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69" s="7" t="s">
        <v>10</v>
      </c>
      <c r="H6969" s="7">
        <v>6344</v>
      </c>
      <c r="I6969" s="8" t="str">
        <f ca="1">IFERROR(__xludf.DUMMYFUNCTION("IF
(
G6970=""фізична особа""
,
VLOOKUP(H6970,IMPORTRANGE(""https://docs.google.com/spreadsheets/d/14Bd19lYaqBhU8_DElYkX7l4wRkHqqCUFNJY4AfY3kHU/edit?usp=sharing  #gid=0"",""фіз особи new!relations_name""),6,FALSE)
,
(IF
(
G6970=""юридична особа""
,
VLOOKUP"&amp;"(H6970,IMPORTRANGE(""https://docs.google.com/spreadsheets/d/14Bd19lYaqBhU8_DElYkX7l4wRkHqqCUFNJY4AfY3kHU/edit?usp=sharing  #gid=0"",""фіз особи new!relations_name_uo""),7,FALSE)
,
)
))"),"ЛЕРМАН Пилип Олександрович")</f>
        <v>ЛЕРМАН Пилип Олександрович</v>
      </c>
      <c r="J6969" s="7" t="s">
        <v>28</v>
      </c>
    </row>
    <row r="6970" spans="1:10" ht="13.2">
      <c r="A6970" s="7">
        <v>6969</v>
      </c>
      <c r="B6970" s="7">
        <v>1</v>
      </c>
      <c r="C6970" s="7" t="s">
        <v>10</v>
      </c>
      <c r="D6970" s="7">
        <v>6341</v>
      </c>
      <c r="E6970" s="7" t="s">
        <v>30</v>
      </c>
      <c r="F6970" s="8" t="str">
        <f ca="1">IFERROR(__xludf.DUMMYFUNCTION("IF
(
C6971=""фізична особа""
,
VLOOKUP(D6971,IMPORTRANGE(""https://docs.google.com/spreadsheets/d/14Bd19lYaqBhU8_DElYkX7l4wRkHqqCUFNJY4AfY3kHU/edit?usp=sharing  #gid=0"",""фіз особи new!relations_name""),6,FALSE)
,
(IF
(
C6971=""юридична особа""
,
VLOOKUP"&amp;"(D6971,IMPORTRANGE(""https://docs.google.com/spreadsheets/d/14Bd19lYaqBhU8_DElYkX7l4wRkHqqCUFNJY4AfY3kHU/edit?usp=sharing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70" s="7" t="s">
        <v>10</v>
      </c>
      <c r="H6970" s="7">
        <v>1364</v>
      </c>
      <c r="I6970" s="8" t="str">
        <f ca="1">IFERROR(__xludf.DUMMYFUNCTION("IF
(
G6971=""фізична особа""
,
VLOOKUP(H6971,IMPORTRANGE(""https://docs.google.com/spreadsheets/d/14Bd19lYaqBhU8_DElYkX7l4wRkHqqCUFNJY4AfY3kHU/edit?usp=sharing  #gid=0"",""фіз особи new!relations_name""),6,FALSE)
,
(IF
(
G6971=""юридична особа""
,
VLOOKUP"&amp;"(H6971,IMPORTRANGE(""https://docs.google.com/spreadsheets/d/14Bd19lYaqBhU8_DElYkX7l4wRkHqqCUFNJY4AfY3kHU/edit?usp=sharing  #gid=0"",""фіз особи new!relations_name_uo""),7,FALSE)
,
)
))"),"НАБІУЛЛІНА Ельвіра Сахіпзадовна")</f>
        <v>НАБІУЛЛІНА Ельвіра Сахіпзадовна</v>
      </c>
      <c r="J6970" s="7" t="s">
        <v>30</v>
      </c>
    </row>
    <row r="6971" spans="1:10" ht="13.2">
      <c r="A6971" s="7">
        <v>6970</v>
      </c>
      <c r="B6971" s="7">
        <v>1</v>
      </c>
      <c r="C6971" s="7" t="s">
        <v>10</v>
      </c>
      <c r="D6971" s="7">
        <v>6341</v>
      </c>
      <c r="E6971" s="7" t="s">
        <v>30</v>
      </c>
      <c r="F6971" s="8" t="str">
        <f ca="1">IFERROR(__xludf.DUMMYFUNCTION("IF
(
C6972=""фізична особа""
,
VLOOKUP(D6972,IMPORTRANGE(""https://docs.google.com/spreadsheets/d/14Bd19lYaqBhU8_DElYkX7l4wRkHqqCUFNJY4AfY3kHU/edit?usp=sharing  #gid=0"",""фіз особи new!relations_name""),6,FALSE)
,
(IF
(
C6972=""юридична особа""
,
VLOOKUP"&amp;"(D6972,IMPORTRANGE(""https://docs.google.com/spreadsheets/d/14Bd19lYaqBhU8_DElYkX7l4wRkHqqCUFNJY4AfY3kHU/edit?usp=sharing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71" s="7" t="s">
        <v>10</v>
      </c>
      <c r="H6971" s="7">
        <v>0</v>
      </c>
      <c r="I6971" s="8" t="str">
        <f ca="1">IFERROR(__xludf.DUMMYFUNCTION("IF
(
G6972=""фізична особа""
,
VLOOKUP(H6972,IMPORTRANGE(""https://docs.google.com/spreadsheets/d/14Bd19lYaqBhU8_DElYkX7l4wRkHqqCUFNJY4AfY3kHU/edit?usp=sharing  #gid=0"",""фіз особи new!relations_name""),6,FALSE)
,
(IF
(
G6972=""юридична особа""
,
VLOOKUP"&amp;"(H6972,IMPORTRANGE(""https://docs.google.com/spreadsheets/d/14Bd19lYaqBhU8_DElYkX7l4wRkHqqCUFNJY4AfY3kHU/edit?usp=sharing  #gid=0"",""фіз особи new!relations_name_uo""),7,FALSE)
,
)
))"),"#N/A")</f>
        <v>#N/A</v>
      </c>
      <c r="J6971" s="7" t="s">
        <v>30</v>
      </c>
    </row>
    <row r="6972" spans="1:10" ht="13.2">
      <c r="A6972" s="7">
        <v>6971</v>
      </c>
      <c r="B6972" s="7">
        <v>1</v>
      </c>
      <c r="C6972" s="7" t="s">
        <v>10</v>
      </c>
      <c r="D6972" s="7">
        <v>6341</v>
      </c>
      <c r="E6972" s="7" t="s">
        <v>28</v>
      </c>
      <c r="F6972" s="8" t="str">
        <f ca="1">IFERROR(__xludf.DUMMYFUNCTION("IF
(
C6973=""фізична особа""
,
VLOOKUP(D6973,IMPORTRANGE(""https://docs.google.com/spreadsheets/d/14Bd19lYaqBhU8_DElYkX7l4wRkHqqCUFNJY4AfY3kHU/edit?usp=sharing  #gid=0"",""фіз особи new!relations_name""),6,FALSE)
,
(IF
(
C6973=""юридична особа""
,
VLOOKUP"&amp;"(D6973,IMPORTRANGE(""https://docs.google.com/spreadsheets/d/14Bd19lYaqBhU8_DElYkX7l4wRkHqqCUFNJY4AfY3kHU/edit?usp=sharing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72" s="7" t="s">
        <v>10</v>
      </c>
      <c r="H6972" s="7">
        <v>6340</v>
      </c>
      <c r="I6972" s="8" t="str">
        <f ca="1">IFERROR(__xludf.DUMMYFUNCTION("IF
(
G6973=""фізична особа""
,
VLOOKUP(H6973,IMPORTRANGE(""https://docs.google.com/spreadsheets/d/14Bd19lYaqBhU8_DElYkX7l4wRkHqqCUFNJY4AfY3kHU/edit?usp=sharing  #gid=0"",""фіз особи new!relations_name""),6,FALSE)
,
(IF
(
G6973=""юридична особа""
,
VLOOKUP"&amp;"(H6973,IMPORTRANGE(""https://docs.google.com/spreadsheets/d/14Bd19lYaqBhU8_DElYkX7l4wRkHqqCUFNJY4AfY3kHU/edit?usp=sharing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J6972" s="7" t="s">
        <v>29</v>
      </c>
    </row>
    <row r="6973" spans="1:10" ht="13.2">
      <c r="A6973" s="7">
        <v>6972</v>
      </c>
      <c r="B6973" s="7">
        <v>1</v>
      </c>
      <c r="C6973" s="7" t="s">
        <v>10</v>
      </c>
      <c r="D6973" s="7">
        <v>6341</v>
      </c>
      <c r="E6973" s="7" t="s">
        <v>30</v>
      </c>
      <c r="F6973" s="8" t="str">
        <f ca="1">IFERROR(__xludf.DUMMYFUNCTION("IF
(
C6974=""фізична особа""
,
VLOOKUP(D6974,IMPORTRANGE(""https://docs.google.com/spreadsheets/d/14Bd19lYaqBhU8_DElYkX7l4wRkHqqCUFNJY4AfY3kHU/edit?usp=sharing  #gid=0"",""фіз особи new!relations_name""),6,FALSE)
,
(IF
(
C6974=""юридична особа""
,
VLOOKUP"&amp;"(D6974,IMPORTRANGE(""https://docs.google.com/spreadsheets/d/14Bd19lYaqBhU8_DElYkX7l4wRkHqqCUFNJY4AfY3kHU/edit?usp=sharing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73" s="7" t="s">
        <v>10</v>
      </c>
      <c r="H6973" s="7">
        <v>451</v>
      </c>
      <c r="I6973" s="8" t="str">
        <f ca="1">IFERROR(__xludf.DUMMYFUNCTION("IF
(
G6974=""фізична особа""
,
VLOOKUP(H6974,IMPORTRANGE(""https://docs.google.com/spreadsheets/d/14Bd19lYaqBhU8_DElYkX7l4wRkHqqCUFNJY4AfY3kHU/edit?usp=sharing  #gid=0"",""фіз особи new!relations_name""),6,FALSE)
,
(IF
(
G6974=""юридична особа""
,
VLOOKUP"&amp;"(H6974,IMPORTRANGE(""https://docs.google.com/spreadsheets/d/14Bd19lYaqBhU8_DElYkX7l4wRkHqqCUFNJY4AfY3kHU/edit?usp=sharing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6973" s="7" t="s">
        <v>30</v>
      </c>
    </row>
    <row r="6974" spans="1:10" ht="13.2">
      <c r="A6974" s="7">
        <v>6973</v>
      </c>
      <c r="B6974" s="7">
        <v>1</v>
      </c>
      <c r="C6974" s="7" t="s">
        <v>10</v>
      </c>
      <c r="D6974" s="7">
        <v>6341</v>
      </c>
      <c r="E6974" s="7" t="s">
        <v>30</v>
      </c>
      <c r="F6974" s="8" t="str">
        <f ca="1">IFERROR(__xludf.DUMMYFUNCTION("IF
(
C6975=""фізична особа""
,
VLOOKUP(D6975,IMPORTRANGE(""https://docs.google.com/spreadsheets/d/14Bd19lYaqBhU8_DElYkX7l4wRkHqqCUFNJY4AfY3kHU/edit?usp=sharing  #gid=0"",""фіз особи new!relations_name""),6,FALSE)
,
(IF
(
C6975=""юридична особа""
,
VLOOKUP"&amp;"(D6975,IMPORTRANGE(""https://docs.google.com/spreadsheets/d/14Bd19lYaqBhU8_DElYkX7l4wRkHqqCUFNJY4AfY3kHU/edit?usp=sharing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G6974" s="7" t="s">
        <v>10</v>
      </c>
      <c r="H6974" s="7">
        <v>0</v>
      </c>
      <c r="I6974" s="8" t="str">
        <f ca="1">IFERROR(__xludf.DUMMYFUNCTION("IF
(
G6975=""фізична особа""
,
VLOOKUP(H6975,IMPORTRANGE(""https://docs.google.com/spreadsheets/d/14Bd19lYaqBhU8_DElYkX7l4wRkHqqCUFNJY4AfY3kHU/edit?usp=sharing  #gid=0"",""фіз особи new!relations_name""),6,FALSE)
,
(IF
(
G6975=""юридична особа""
,
VLOOKUP"&amp;"(H6975,IMPORTRANGE(""https://docs.google.com/spreadsheets/d/14Bd19lYaqBhU8_DElYkX7l4wRkHqqCUFNJY4AfY3kHU/edit?usp=sharing  #gid=0"",""фіз особи new!relations_name_uo""),7,FALSE)
,
)
))"),"#N/A")</f>
        <v>#N/A</v>
      </c>
      <c r="J6974" s="7" t="s">
        <v>30</v>
      </c>
    </row>
    <row r="6975" spans="1:10" ht="13.2">
      <c r="A6975" s="7">
        <v>6974</v>
      </c>
      <c r="B6975" s="7">
        <v>1</v>
      </c>
      <c r="C6975" s="7" t="s">
        <v>10</v>
      </c>
      <c r="D6975" s="7">
        <v>6342</v>
      </c>
      <c r="E6975" s="7" t="s">
        <v>28</v>
      </c>
      <c r="F6975" s="8" t="str">
        <f ca="1">IFERROR(__xludf.DUMMYFUNCTION("IF
(
C6976=""фізична особа""
,
VLOOKUP(D6976,IMPORTRANGE(""https://docs.google.com/spreadsheets/d/14Bd19lYaqBhU8_DElYkX7l4wRkHqqCUFNJY4AfY3kHU/edit?usp=sharing  #gid=0"",""фіз особи new!relations_name""),6,FALSE)
,
(IF
(
C6976=""юридична особа""
,
VLOOKUP"&amp;"(D6976,IMPORTRANGE(""https://docs.google.com/spreadsheets/d/14Bd19lYaqBhU8_DElYkX7l4wRkHqqCUFNJY4AfY3kHU/edit?usp=sharing  #gid=0"",""фіз особи new!relations_name_uo""),7,FALSE)
,
)
))"),"БЕЛЕНОВ Дмитро Володимирович")</f>
        <v>БЕЛЕНОВ Дмитро Володимирович</v>
      </c>
      <c r="G6975" s="7" t="s">
        <v>10</v>
      </c>
      <c r="H6975" s="7">
        <v>6340</v>
      </c>
      <c r="I6975" s="8" t="str">
        <f ca="1">IFERROR(__xludf.DUMMYFUNCTION("IF
(
G6976=""фізична особа""
,
VLOOKUP(H6976,IMPORTRANGE(""https://docs.google.com/spreadsheets/d/14Bd19lYaqBhU8_DElYkX7l4wRkHqqCUFNJY4AfY3kHU/edit?usp=sharing  #gid=0"",""фіз особи new!relations_name""),6,FALSE)
,
(IF
(
G6976=""юридична особа""
,
VLOOKUP"&amp;"(H6976,IMPORTRANGE(""https://docs.google.com/spreadsheets/d/14Bd19lYaqBhU8_DElYkX7l4wRkHqqCUFNJY4AfY3kHU/edit?usp=sharing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J6975" s="7" t="s">
        <v>29</v>
      </c>
    </row>
    <row r="6976" spans="1:10" ht="13.2">
      <c r="A6976" s="7">
        <v>6975</v>
      </c>
      <c r="B6976" s="7">
        <v>1</v>
      </c>
      <c r="C6976" s="7" t="s">
        <v>10</v>
      </c>
      <c r="D6976" s="7">
        <v>6343</v>
      </c>
      <c r="E6976" s="7" t="s">
        <v>28</v>
      </c>
      <c r="F6976" s="8" t="str">
        <f ca="1">IFERROR(__xludf.DUMMYFUNCTION("IF
(
C6977=""фізична особа""
,
VLOOKUP(D6977,IMPORTRANGE(""https://docs.google.com/spreadsheets/d/14Bd19lYaqBhU8_DElYkX7l4wRkHqqCUFNJY4AfY3kHU/edit?usp=sharing  #gid=0"",""фіз особи new!relations_name""),6,FALSE)
,
(IF
(
C6977=""юридична особа""
,
VLOOKUP"&amp;"(D6977,IMPORTRANGE(""https://docs.google.com/spreadsheets/d/14Bd19lYaqBhU8_DElYkX7l4wRkHqqCUFNJY4AfY3kHU/edit?usp=sharing  #gid=0"",""фіз особи new!relations_name_uo""),7,FALSE)
,
)
))"),"СУЧКОВ Сергій Валерійович")</f>
        <v>СУЧКОВ Сергій Валерійович</v>
      </c>
      <c r="G6976" s="7" t="s">
        <v>10</v>
      </c>
      <c r="H6976" s="7">
        <v>6340</v>
      </c>
      <c r="I6976" s="8" t="str">
        <f ca="1">IFERROR(__xludf.DUMMYFUNCTION("IF
(
G6977=""фізична особа""
,
VLOOKUP(H6977,IMPORTRANGE(""https://docs.google.com/spreadsheets/d/14Bd19lYaqBhU8_DElYkX7l4wRkHqqCUFNJY4AfY3kHU/edit?usp=sharing  #gid=0"",""фіз особи new!relations_name""),6,FALSE)
,
(IF
(
G6977=""юридична особа""
,
VLOOKUP"&amp;"(H6977,IMPORTRANGE(""https://docs.google.com/spreadsheets/d/14Bd19lYaqBhU8_DElYkX7l4wRkHqqCUFNJY4AfY3kHU/edit?usp=sharing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J6976" s="7" t="s">
        <v>29</v>
      </c>
    </row>
    <row r="6977" spans="1:10" ht="13.2">
      <c r="A6977" s="7">
        <v>6976</v>
      </c>
      <c r="B6977" s="7">
        <v>1</v>
      </c>
      <c r="C6977" s="7" t="s">
        <v>10</v>
      </c>
      <c r="D6977" s="7">
        <v>6344</v>
      </c>
      <c r="E6977" s="7" t="s">
        <v>28</v>
      </c>
      <c r="F6977" s="8" t="str">
        <f ca="1">IFERROR(__xludf.DUMMYFUNCTION("IF
(
C6978=""фізична особа""
,
VLOOKUP(D6978,IMPORTRANGE(""https://docs.google.com/spreadsheets/d/14Bd19lYaqBhU8_DElYkX7l4wRkHqqCUFNJY4AfY3kHU/edit?usp=sharing  #gid=0"",""фіз особи new!relations_name""),6,FALSE)
,
(IF
(
C6978=""юридична особа""
,
VLOOKUP"&amp;"(D6978,IMPORTRANGE(""https://docs.google.com/spreadsheets/d/14Bd19lYaqBhU8_DElYkX7l4wRkHqqCUFNJY4AfY3kHU/edit?usp=sharing  #gid=0"",""фіз особи new!relations_name_uo""),7,FALSE)
,
)
))"),"ЛЕРМАН Пилип Олександрович")</f>
        <v>ЛЕРМАН Пилип Олександрович</v>
      </c>
      <c r="G6977" s="7" t="s">
        <v>10</v>
      </c>
      <c r="H6977" s="7">
        <v>6340</v>
      </c>
      <c r="I6977" s="8" t="str">
        <f ca="1">IFERROR(__xludf.DUMMYFUNCTION("IF
(
G6978=""фізична особа""
,
VLOOKUP(H6978,IMPORTRANGE(""https://docs.google.com/spreadsheets/d/14Bd19lYaqBhU8_DElYkX7l4wRkHqqCUFNJY4AfY3kHU/edit?usp=sharing  #gid=0"",""фіз особи new!relations_name""),6,FALSE)
,
(IF
(
G6978=""юридична особа""
,
VLOOKUP"&amp;"(H6978,IMPORTRANGE(""https://docs.google.com/spreadsheets/d/14Bd19lYaqBhU8_DElYkX7l4wRkHqqCUFNJY4AfY3kHU/edit?usp=sharing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J6977" s="7" t="s">
        <v>29</v>
      </c>
    </row>
    <row r="6978" spans="1:10" ht="13.2">
      <c r="A6978" s="7">
        <v>6977</v>
      </c>
      <c r="B6978" s="7">
        <v>1</v>
      </c>
      <c r="C6978" s="7" t="s">
        <v>10</v>
      </c>
      <c r="D6978" s="7">
        <v>6344</v>
      </c>
      <c r="E6978" s="7" t="s">
        <v>28</v>
      </c>
      <c r="F6978" s="8" t="str">
        <f ca="1">IFERROR(__xludf.DUMMYFUNCTION("IF
(
C6979=""фізична особа""
,
VLOOKUP(D6979,IMPORTRANGE(""https://docs.google.com/spreadsheets/d/14Bd19lYaqBhU8_DElYkX7l4wRkHqqCUFNJY4AfY3kHU/edit?usp=sharing  #gid=0"",""фіз особи new!relations_name""),6,FALSE)
,
(IF
(
C6979=""юридична особа""
,
VLOOKUP"&amp;"(D6979,IMPORTRANGE(""https://docs.google.com/spreadsheets/d/14Bd19lYaqBhU8_DElYkX7l4wRkHqqCUFNJY4AfY3kHU/edit?usp=sharing  #gid=0"",""фіз особи new!relations_name_uo""),7,FALSE)
,
)
))"),"ЛЕРМАН Пилип Олександрович")</f>
        <v>ЛЕРМАН Пилип Олександрович</v>
      </c>
      <c r="G6978" s="7" t="s">
        <v>10</v>
      </c>
      <c r="H6978" s="7">
        <v>6341</v>
      </c>
      <c r="I6978" s="8" t="str">
        <f ca="1">IFERROR(__xludf.DUMMYFUNCTION("IF
(
G6979=""фізична особа""
,
VLOOKUP(H6979,IMPORTRANGE(""https://docs.google.com/spreadsheets/d/14Bd19lYaqBhU8_DElYkX7l4wRkHqqCUFNJY4AfY3kHU/edit?usp=sharing  #gid=0"",""фіз особи new!relations_name""),6,FALSE)
,
(IF
(
G6979=""юридична особа""
,
VLOOKUP"&amp;"(H6979,IMPORTRANGE(""https://docs.google.com/spreadsheets/d/14Bd19lYaqBhU8_DElYkX7l4wRkHqqCUFNJY4AfY3kHU/edit?usp=sharing  #gid=0"",""фіз особи new!relations_name_uo""),7,FALSE)
,
)
))"),"ХАБАРОВ Михайло Валентинович")</f>
        <v>ХАБАРОВ Михайло Валентинович</v>
      </c>
      <c r="J6978" s="7" t="s">
        <v>29</v>
      </c>
    </row>
    <row r="6979" spans="1:10" ht="13.2">
      <c r="A6979" s="7">
        <v>6978</v>
      </c>
      <c r="B6979" s="7">
        <v>1</v>
      </c>
      <c r="C6979" s="7" t="s">
        <v>10</v>
      </c>
      <c r="D6979" s="7">
        <v>6345</v>
      </c>
      <c r="E6979" s="7" t="s">
        <v>28</v>
      </c>
      <c r="F6979" s="8" t="str">
        <f ca="1">IFERROR(__xludf.DUMMYFUNCTION("IF
(
C6980=""фізична особа""
,
VLOOKUP(D6980,IMPORTRANGE(""https://docs.google.com/spreadsheets/d/14Bd19lYaqBhU8_DElYkX7l4wRkHqqCUFNJY4AfY3kHU/edit?usp=sharing  #gid=0"",""фіз особи new!relations_name""),6,FALSE)
,
(IF
(
C6980=""юридична особа""
,
VLOOKUP"&amp;"(D6980,IMPORTRANGE(""https://docs.google.com/spreadsheets/d/14Bd19lYaqBhU8_DElYkX7l4wRkHqqCUFNJY4AfY3kHU/edit?usp=sharing  #gid=0"",""фіз особи new!relations_name_uo""),7,FALSE)
,
)
))"),"ЛЕЛЮХ Володимир Анатолійович")</f>
        <v>ЛЕЛЮХ Володимир Анатолійович</v>
      </c>
      <c r="G6979" s="7" t="s">
        <v>10</v>
      </c>
      <c r="H6979" s="7">
        <v>6340</v>
      </c>
      <c r="I6979" s="8" t="str">
        <f ca="1">IFERROR(__xludf.DUMMYFUNCTION("IF
(
G6980=""фізична особа""
,
VLOOKUP(H6980,IMPORTRANGE(""https://docs.google.com/spreadsheets/d/14Bd19lYaqBhU8_DElYkX7l4wRkHqqCUFNJY4AfY3kHU/edit?usp=sharing  #gid=0"",""фіз особи new!relations_name""),6,FALSE)
,
(IF
(
G6980=""юридична особа""
,
VLOOKUP"&amp;"(H6980,IMPORTRANGE(""https://docs.google.com/spreadsheets/d/14Bd19lYaqBhU8_DElYkX7l4wRkHqqCUFNJY4AfY3kHU/edit?usp=sharing  #gid=0"",""фіз особи new!relations_name_uo""),7,FALSE)
,
)
))"),"СОКОЛОВ Олександр Костянтинович")</f>
        <v>СОКОЛОВ Олександр Костянтинович</v>
      </c>
      <c r="J6979" s="7" t="s">
        <v>29</v>
      </c>
    </row>
    <row r="6980" spans="1:10" ht="13.2">
      <c r="A6980" s="7">
        <v>6979</v>
      </c>
      <c r="B6980" s="7">
        <v>1</v>
      </c>
      <c r="C6980" s="7" t="s">
        <v>10</v>
      </c>
      <c r="D6980" s="7">
        <v>6435</v>
      </c>
      <c r="E6980" s="7" t="s">
        <v>12</v>
      </c>
      <c r="F6980" s="8" t="str">
        <f ca="1">IFERROR(__xludf.DUMMYFUNCTION("IF
(
C6981=""фізична особа""
,
VLOOKUP(D6981,IMPORTRANGE(""https://docs.google.com/spreadsheets/d/14Bd19lYaqBhU8_DElYkX7l4wRkHqqCUFNJY4AfY3kHU/edit?usp=sharing  #gid=0"",""фіз особи new!relations_name""),6,FALSE)
,
(IF
(
C6981=""юридична особа""
,
VLOOKUP"&amp;"(D6981,IMPORTRANGE(""https://docs.google.com/spreadsheets/d/14Bd19lYaqBhU8_DElYkX7l4wRkHqqCUFNJY4AfY3kHU/edit?usp=sharing  #gid=0"",""фіз особи new!relations_name_uo""),7,FALSE)
,
)
))"),"ЯРОВОЙ Дмитро Борисович")</f>
        <v>ЯРОВОЙ Дмитро Борисович</v>
      </c>
      <c r="G6980" s="7" t="s">
        <v>10</v>
      </c>
      <c r="H6980" s="7">
        <v>0</v>
      </c>
      <c r="I6980" s="8" t="str">
        <f ca="1">IFERROR(__xludf.DUMMYFUNCTION("IF
(
G6981=""фізична особа""
,
VLOOKUP(H6981,IMPORTRANGE(""https://docs.google.com/spreadsheets/d/14Bd19lYaqBhU8_DElYkX7l4wRkHqqCUFNJY4AfY3kHU/edit?usp=sharing  #gid=0"",""фіз особи new!relations_name""),6,FALSE)
,
(IF
(
G6981=""юридична особа""
,
VLOOKUP"&amp;"(H6981,IMPORTRANGE(""https://docs.google.com/spreadsheets/d/14Bd19lYaqBhU8_DElYkX7l4wRkHqqCUFNJY4AfY3kHU/edit?usp=sharing  #gid=0"",""фіз особи new!relations_name_uo""),7,FALSE)
,
)
))"),"#N/A")</f>
        <v>#N/A</v>
      </c>
      <c r="J6980" s="7" t="s">
        <v>17</v>
      </c>
    </row>
    <row r="6981" spans="1:10" ht="13.2">
      <c r="A6981" s="7">
        <v>6980</v>
      </c>
      <c r="B6981" s="7">
        <v>1</v>
      </c>
      <c r="C6981" s="7" t="s">
        <v>10</v>
      </c>
      <c r="D6981" s="7">
        <v>6437</v>
      </c>
      <c r="E6981" s="7" t="s">
        <v>28</v>
      </c>
      <c r="F6981" s="8" t="str">
        <f ca="1">IFERROR(__xludf.DUMMYFUNCTION("IF
(
C6982=""фізична особа""
,
VLOOKUP(D6982,IMPORTRANGE(""https://docs.google.com/spreadsheets/d/14Bd19lYaqBhU8_DElYkX7l4wRkHqqCUFNJY4AfY3kHU/edit?usp=sharing  #gid=0"",""фіз особи new!relations_name""),6,FALSE)
,
(IF
(
C6982=""юридична особа""
,
VLOOKUP"&amp;"(D6982,IMPORTRANGE(""https://docs.google.com/spreadsheets/d/14Bd19lYaqBhU8_DElYkX7l4wRkHqqCUFNJY4AfY3kHU/edit?usp=sharing  #gid=0"",""фіз особи new!relations_name_uo""),7,FALSE)
,
)
))"),"БОЧАРОВ Іван Вікторович")</f>
        <v>БОЧАРОВ Іван Вікторович</v>
      </c>
      <c r="G6981" s="7" t="s">
        <v>10</v>
      </c>
      <c r="H6981" s="7">
        <v>6185</v>
      </c>
      <c r="I6981" s="8" t="str">
        <f ca="1">IFERROR(__xludf.DUMMYFUNCTION("IF
(
G6982=""фізична особа""
,
VLOOKUP(H6982,IMPORTRANGE(""https://docs.google.com/spreadsheets/d/14Bd19lYaqBhU8_DElYkX7l4wRkHqqCUFNJY4AfY3kHU/edit?usp=sharing  #gid=0"",""фіз особи new!relations_name""),6,FALSE)
,
(IF
(
G6982=""юридична особа""
,
VLOOKUP"&amp;"(H6982,IMPORTRANGE(""https://docs.google.com/spreadsheets/d/14Bd19lYaqBhU8_DElYkX7l4wRkHqqCUFNJY4AfY3kHU/edit?usp=sharing  #gid=0"",""фіз особи new!relations_name_uo""),7,FALSE)
,
)
))"),"КРИВОШЕЄВА Ірина Володимирівна")</f>
        <v>КРИВОШЕЄВА Ірина Володимирівна</v>
      </c>
      <c r="J6981" s="7" t="s">
        <v>29</v>
      </c>
    </row>
    <row r="6982" spans="1:10" ht="13.2">
      <c r="A6982" s="7">
        <v>6981</v>
      </c>
      <c r="B6982" s="7">
        <v>1</v>
      </c>
      <c r="C6982" s="7" t="s">
        <v>10</v>
      </c>
      <c r="D6982" s="7">
        <v>6438</v>
      </c>
      <c r="E6982" s="7" t="s">
        <v>28</v>
      </c>
      <c r="F6982" s="8" t="str">
        <f ca="1">IFERROR(__xludf.DUMMYFUNCTION("IF
(
C6983=""фізична особа""
,
VLOOKUP(D6983,IMPORTRANGE(""https://docs.google.com/spreadsheets/d/14Bd19lYaqBhU8_DElYkX7l4wRkHqqCUFNJY4AfY3kHU/edit?usp=sharing  #gid=0"",""фіз особи new!relations_name""),6,FALSE)
,
(IF
(
C6983=""юридична особа""
,
VLOOKUP"&amp;"(D6983,IMPORTRANGE(""https://docs.google.com/spreadsheets/d/14Bd19lYaqBhU8_DElYkX7l4wRkHqqCUFNJY4AfY3kHU/edit?usp=sharing  #gid=0"",""фіз особи new!relations_name_uo""),7,FALSE)
,
)
))"),"ОРЛОВА Катерина Олексіївна")</f>
        <v>ОРЛОВА Катерина Олексіївна</v>
      </c>
      <c r="G6982" s="7" t="s">
        <v>10</v>
      </c>
      <c r="H6982" s="7">
        <v>6185</v>
      </c>
      <c r="I6982" s="8" t="str">
        <f ca="1">IFERROR(__xludf.DUMMYFUNCTION("IF
(
G6983=""фізична особа""
,
VLOOKUP(H6983,IMPORTRANGE(""https://docs.google.com/spreadsheets/d/14Bd19lYaqBhU8_DElYkX7l4wRkHqqCUFNJY4AfY3kHU/edit?usp=sharing  #gid=0"",""фіз особи new!relations_name""),6,FALSE)
,
(IF
(
G6983=""юридична особа""
,
VLOOKUP"&amp;"(H6983,IMPORTRANGE(""https://docs.google.com/spreadsheets/d/14Bd19lYaqBhU8_DElYkX7l4wRkHqqCUFNJY4AfY3kHU/edit?usp=sharing  #gid=0"",""фіз особи new!relations_name_uo""),7,FALSE)
,
)
))"),"КРИВОШЕЄВА Ірина Володимирівна")</f>
        <v>КРИВОШЕЄВА Ірина Володимирівна</v>
      </c>
      <c r="J6982" s="7" t="s">
        <v>29</v>
      </c>
    </row>
    <row r="6983" spans="1:10" ht="13.2">
      <c r="A6983" s="7">
        <v>6982</v>
      </c>
      <c r="B6983" s="7">
        <v>1</v>
      </c>
      <c r="C6983" s="7" t="s">
        <v>10</v>
      </c>
      <c r="D6983" s="7">
        <v>6439</v>
      </c>
      <c r="E6983" s="7" t="s">
        <v>30</v>
      </c>
      <c r="F6983" s="8" t="str">
        <f ca="1">IFERROR(__xludf.DUMMYFUNCTION("IF
(
C6984=""фізична особа""
,
VLOOKUP(D6984,IMPORTRANGE(""https://docs.google.com/spreadsheets/d/14Bd19lYaqBhU8_DElYkX7l4wRkHqqCUFNJY4AfY3kHU/edit?usp=sharing  #gid=0"",""фіз особи new!relations_name""),6,FALSE)
,
(IF
(
C6984=""юридична особа""
,
VLOOKUP"&amp;"(D6984,IMPORTRANGE(""https://docs.google.com/spreadsheets/d/14Bd19lYaqBhU8_DElYkX7l4wRkHqqCUFNJY4AfY3kHU/edit?usp=sharing  #gid=0"",""фіз особи new!relations_name_uo""),7,FALSE)
,
)
))"),"БУСАРОВ Ігор Геннадійович")</f>
        <v>БУСАРОВ Ігор Геннадійович</v>
      </c>
      <c r="G6983" s="7" t="s">
        <v>10</v>
      </c>
      <c r="H6983" s="7">
        <v>6670</v>
      </c>
      <c r="I6983" s="8" t="str">
        <f ca="1">IFERROR(__xludf.DUMMYFUNCTION("IF
(
G6984=""фізична особа""
,
VLOOKUP(H6984,IMPORTRANGE(""https://docs.google.com/spreadsheets/d/14Bd19lYaqBhU8_DElYkX7l4wRkHqqCUFNJY4AfY3kHU/edit?usp=sharing  #gid=0"",""фіз особи new!relations_name""),6,FALSE)
,
(IF
(
G6984=""юридична особа""
,
VLOOKUP"&amp;"(H6984,IMPORTRANGE(""https://docs.google.com/spreadsheets/d/14Bd19lYaqBhU8_DElYkX7l4wRkHqqCUFNJY4AfY3kHU/edit?usp=sharing  #gid=0"",""фіз особи new!relations_name_uo""),7,FALSE)
,
)
))"),"НІКОЛАЄВ Вячеслав Костянтинович")</f>
        <v>НІКОЛАЄВ Вячеслав Костянтинович</v>
      </c>
      <c r="J6983" s="7" t="s">
        <v>30</v>
      </c>
    </row>
    <row r="6984" spans="1:10" ht="13.2">
      <c r="A6984" s="7">
        <v>6983</v>
      </c>
      <c r="B6984" s="7">
        <v>1</v>
      </c>
      <c r="C6984" s="7" t="s">
        <v>10</v>
      </c>
      <c r="D6984" s="7">
        <v>6449</v>
      </c>
      <c r="E6984" s="7" t="s">
        <v>30</v>
      </c>
      <c r="F6984" s="8" t="str">
        <f ca="1">IFERROR(__xludf.DUMMYFUNCTION("IF
(
C6985=""фізична особа""
,
VLOOKUP(D6985,IMPORTRANGE(""https://docs.google.com/spreadsheets/d/14Bd19lYaqBhU8_DElYkX7l4wRkHqqCUFNJY4AfY3kHU/edit?usp=sharing  #gid=0"",""фіз особи new!relations_name""),6,FALSE)
,
(IF
(
C6985=""юридична особа""
,
VLOOKUP"&amp;"(D6985,IMPORTRANGE(""https://docs.google.com/spreadsheets/d/14Bd19lYaqBhU8_DElYkX7l4wRkHqqCUFNJY4AfY3kHU/edit?usp=sharing  #gid=0"",""фіз особи new!relations_name_uo""),7,FALSE)
,
)
))"),"БІРМАН Олександр Петрович")</f>
        <v>БІРМАН Олександр Петрович</v>
      </c>
      <c r="G6984" s="7" t="s">
        <v>10</v>
      </c>
      <c r="H6984" s="7">
        <v>6587</v>
      </c>
      <c r="I6984" s="8" t="str">
        <f ca="1">IFERROR(__xludf.DUMMYFUNCTION("IF
(
G6985=""фізична особа""
,
VLOOKUP(H6985,IMPORTRANGE(""https://docs.google.com/spreadsheets/d/14Bd19lYaqBhU8_DElYkX7l4wRkHqqCUFNJY4AfY3kHU/edit?usp=sharing  #gid=0"",""фіз особи new!relations_name""),6,FALSE)
,
(IF
(
G6985=""юридична особа""
,
VLOOKUP"&amp;"(H6985,IMPORTRANGE(""https://docs.google.com/spreadsheets/d/14Bd19lYaqBhU8_DElYkX7l4wRkHqqCUFNJY4AfY3kHU/edit?usp=sharing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J6984" s="7" t="s">
        <v>30</v>
      </c>
    </row>
    <row r="6985" spans="1:10" ht="13.2">
      <c r="A6985" s="7">
        <v>6984</v>
      </c>
      <c r="B6985" s="7">
        <v>1</v>
      </c>
      <c r="C6985" s="7" t="s">
        <v>10</v>
      </c>
      <c r="D6985" s="7">
        <v>6449</v>
      </c>
      <c r="E6985" s="7" t="s">
        <v>30</v>
      </c>
      <c r="F6985" s="8" t="str">
        <f ca="1">IFERROR(__xludf.DUMMYFUNCTION("IF
(
C6986=""фізична особа""
,
VLOOKUP(D6986,IMPORTRANGE(""https://docs.google.com/spreadsheets/d/14Bd19lYaqBhU8_DElYkX7l4wRkHqqCUFNJY4AfY3kHU/edit?usp=sharing  #gid=0"",""фіз особи new!relations_name""),6,FALSE)
,
(IF
(
C6986=""юридична особа""
,
VLOOKUP"&amp;"(D6986,IMPORTRANGE(""https://docs.google.com/spreadsheets/d/14Bd19lYaqBhU8_DElYkX7l4wRkHqqCUFNJY4AfY3kHU/edit?usp=sharing  #gid=0"",""фіз особи new!relations_name_uo""),7,FALSE)
,
)
))"),"БІРМАН Олександр Петрович")</f>
        <v>БІРМАН Олександр Петрович</v>
      </c>
      <c r="G6985" s="7" t="s">
        <v>10</v>
      </c>
      <c r="H6985" s="7">
        <v>6588</v>
      </c>
      <c r="I6985" s="8" t="str">
        <f ca="1">IFERROR(__xludf.DUMMYFUNCTION("IF
(
G6986=""фізична особа""
,
VLOOKUP(H6986,IMPORTRANGE(""https://docs.google.com/spreadsheets/d/14Bd19lYaqBhU8_DElYkX7l4wRkHqqCUFNJY4AfY3kHU/edit?usp=sharing  #gid=0"",""фіз особи new!relations_name""),6,FALSE)
,
(IF
(
G6986=""юридична особа""
,
VLOOKUP"&amp;"(H6986,IMPORTRANGE(""https://docs.google.com/spreadsheets/d/14Bd19lYaqBhU8_DElYkX7l4wRkHqqCUFNJY4AfY3kHU/edit?usp=sharing  #gid=0"",""фіз особи new!relations_name_uo""),7,FALSE)
,
)
))"),"АЙВАЗОВ Арсен Маркович")</f>
        <v>АЙВАЗОВ Арсен Маркович</v>
      </c>
      <c r="J6985" s="7" t="s">
        <v>30</v>
      </c>
    </row>
    <row r="6986" spans="1:10" ht="13.2">
      <c r="A6986" s="7">
        <v>6985</v>
      </c>
      <c r="B6986" s="7">
        <v>1</v>
      </c>
      <c r="C6986" s="7" t="s">
        <v>10</v>
      </c>
      <c r="D6986" s="7">
        <v>6449</v>
      </c>
      <c r="E6986" s="7" t="s">
        <v>30</v>
      </c>
      <c r="F6986" s="8" t="str">
        <f ca="1">IFERROR(__xludf.DUMMYFUNCTION("IF
(
C6987=""фізична особа""
,
VLOOKUP(D6987,IMPORTRANGE(""https://docs.google.com/spreadsheets/d/14Bd19lYaqBhU8_DElYkX7l4wRkHqqCUFNJY4AfY3kHU/edit?usp=sharing  #gid=0"",""фіз особи new!relations_name""),6,FALSE)
,
(IF
(
C6987=""юридична особа""
,
VLOOKUP"&amp;"(D6987,IMPORTRANGE(""https://docs.google.com/spreadsheets/d/14Bd19lYaqBhU8_DElYkX7l4wRkHqqCUFNJY4AfY3kHU/edit?usp=sharing  #gid=0"",""фіз особи new!relations_name_uo""),7,FALSE)
,
)
))"),"БІРМАН Олександр Петрович")</f>
        <v>БІРМАН Олександр Петрович</v>
      </c>
      <c r="G6986" s="7" t="s">
        <v>10</v>
      </c>
      <c r="H6986" s="7">
        <v>6589</v>
      </c>
      <c r="I6986" s="8" t="str">
        <f ca="1">IFERROR(__xludf.DUMMYFUNCTION("IF
(
G6987=""фізична особа""
,
VLOOKUP(H6987,IMPORTRANGE(""https://docs.google.com/spreadsheets/d/14Bd19lYaqBhU8_DElYkX7l4wRkHqqCUFNJY4AfY3kHU/edit?usp=sharing  #gid=0"",""фіз особи new!relations_name""),6,FALSE)
,
(IF
(
G6987=""юридична особа""
,
VLOOKUP"&amp;"(H6987,IMPORTRANGE(""https://docs.google.com/spreadsheets/d/14Bd19lYaqBhU8_DElYkX7l4wRkHqqCUFNJY4AfY3kHU/edit?usp=sharing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6986" s="7" t="s">
        <v>30</v>
      </c>
    </row>
    <row r="6987" spans="1:10" ht="13.2">
      <c r="A6987" s="7">
        <v>6986</v>
      </c>
      <c r="B6987" s="7">
        <v>1</v>
      </c>
      <c r="C6987" s="7" t="s">
        <v>10</v>
      </c>
      <c r="D6987" s="7">
        <v>6450</v>
      </c>
      <c r="E6987" s="7" t="s">
        <v>30</v>
      </c>
      <c r="F6987" s="8" t="str">
        <f ca="1">IFERROR(__xludf.DUMMYFUNCTION("IF
(
C6988=""фізична особа""
,
VLOOKUP(D6988,IMPORTRANGE(""https://docs.google.com/spreadsheets/d/14Bd19lYaqBhU8_DElYkX7l4wRkHqqCUFNJY4AfY3kHU/edit?usp=sharing  #gid=0"",""фіз особи new!relations_name""),6,FALSE)
,
(IF
(
C6988=""юридична особа""
,
VLOOKUP"&amp;"(D6988,IMPORTRANGE(""https://docs.google.com/spreadsheets/d/14Bd19lYaqBhU8_DElYkX7l4wRkHqqCUFNJY4AfY3kHU/edit?usp=sharing  #gid=0"",""фіз особи new!relations_name_uo""),7,FALSE)
,
)
))"),"ФІЛАТОВ Дмитро Олександрович")</f>
        <v>ФІЛАТОВ Дмитро Олександрович</v>
      </c>
      <c r="G6987" s="7" t="s">
        <v>10</v>
      </c>
      <c r="H6987" s="7">
        <v>6566</v>
      </c>
      <c r="I6987" s="8" t="str">
        <f ca="1">IFERROR(__xludf.DUMMYFUNCTION("IF
(
G6988=""фізична особа""
,
VLOOKUP(H6988,IMPORTRANGE(""https://docs.google.com/spreadsheets/d/14Bd19lYaqBhU8_DElYkX7l4wRkHqqCUFNJY4AfY3kHU/edit?usp=sharing  #gid=0"",""фіз особи new!relations_name""),6,FALSE)
,
(IF
(
G6988=""юридична особа""
,
VLOOKUP"&amp;"(H6988,IMPORTRANGE(""https://docs.google.com/spreadsheets/d/14Bd19lYaqBhU8_DElYkX7l4wRkHqqCUFNJY4AfY3kHU/edit?usp=sharing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J6987" s="7" t="s">
        <v>30</v>
      </c>
    </row>
    <row r="6988" spans="1:10" ht="13.2">
      <c r="A6988" s="7">
        <v>6987</v>
      </c>
      <c r="B6988" s="7">
        <v>1</v>
      </c>
      <c r="C6988" s="7" t="s">
        <v>10</v>
      </c>
      <c r="D6988" s="7">
        <v>6450</v>
      </c>
      <c r="E6988" s="7" t="s">
        <v>29</v>
      </c>
      <c r="F6988" s="8" t="str">
        <f ca="1">IFERROR(__xludf.DUMMYFUNCTION("IF
(
C6989=""фізична особа""
,
VLOOKUP(D6989,IMPORTRANGE(""https://docs.google.com/spreadsheets/d/14Bd19lYaqBhU8_DElYkX7l4wRkHqqCUFNJY4AfY3kHU/edit?usp=sharing  #gid=0"",""фіз особи new!relations_name""),6,FALSE)
,
(IF
(
C6989=""юридична особа""
,
VLOOKUP"&amp;"(D6989,IMPORTRANGE(""https://docs.google.com/spreadsheets/d/14Bd19lYaqBhU8_DElYkX7l4wRkHqqCUFNJY4AfY3kHU/edit?usp=sharing  #gid=0"",""фіз особи new!relations_name_uo""),7,FALSE)
,
)
))"),"ФІЛАТОВ Дмитро Олександрович")</f>
        <v>ФІЛАТОВ Дмитро Олександрович</v>
      </c>
      <c r="G6988" s="7" t="s">
        <v>10</v>
      </c>
      <c r="H6988" s="7">
        <v>6565</v>
      </c>
      <c r="I6988" s="8" t="str">
        <f ca="1">IFERROR(__xludf.DUMMYFUNCTION("IF
(
G6989=""фізична особа""
,
VLOOKUP(H6989,IMPORTRANGE(""https://docs.google.com/spreadsheets/d/14Bd19lYaqBhU8_DElYkX7l4wRkHqqCUFNJY4AfY3kHU/edit?usp=sharing  #gid=0"",""фіз особи new!relations_name""),6,FALSE)
,
(IF
(
G6989=""юридична особа""
,
VLOOKUP"&amp;"(H6989,IMPORTRANGE(""https://docs.google.com/spreadsheets/d/14Bd19lYaqBhU8_DElYkX7l4wRkHqqCUFNJY4AfY3kHU/edit?usp=sharing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J6988" s="7" t="s">
        <v>28</v>
      </c>
    </row>
    <row r="6989" spans="1:10" ht="13.2">
      <c r="A6989" s="7">
        <v>6988</v>
      </c>
      <c r="B6989" s="7">
        <v>1</v>
      </c>
      <c r="C6989" s="7" t="s">
        <v>10</v>
      </c>
      <c r="D6989" s="7">
        <v>6450</v>
      </c>
      <c r="E6989" s="7" t="s">
        <v>29</v>
      </c>
      <c r="F6989" s="8" t="str">
        <f ca="1">IFERROR(__xludf.DUMMYFUNCTION("IF
(
C6990=""фізична особа""
,
VLOOKUP(D6990,IMPORTRANGE(""https://docs.google.com/spreadsheets/d/14Bd19lYaqBhU8_DElYkX7l4wRkHqqCUFNJY4AfY3kHU/edit?usp=sharing  #gid=0"",""фіз особи new!relations_name""),6,FALSE)
,
(IF
(
C6990=""юридична особа""
,
VLOOKUP"&amp;"(D6990,IMPORTRANGE(""https://docs.google.com/spreadsheets/d/14Bd19lYaqBhU8_DElYkX7l4wRkHqqCUFNJY4AfY3kHU/edit?usp=sharing  #gid=0"",""фіз особи new!relations_name_uo""),7,FALSE)
,
)
))"),"ФІЛАТОВ Дмитро Олександрович")</f>
        <v>ФІЛАТОВ Дмитро Олександрович</v>
      </c>
      <c r="G6989" s="7" t="s">
        <v>10</v>
      </c>
      <c r="H6989" s="7">
        <v>6567</v>
      </c>
      <c r="I6989" s="8" t="str">
        <f ca="1">IFERROR(__xludf.DUMMYFUNCTION("IF
(
G6990=""фізична особа""
,
VLOOKUP(H6990,IMPORTRANGE(""https://docs.google.com/spreadsheets/d/14Bd19lYaqBhU8_DElYkX7l4wRkHqqCUFNJY4AfY3kHU/edit?usp=sharing  #gid=0"",""фіз особи new!relations_name""),6,FALSE)
,
(IF
(
G6990=""юридична особа""
,
VLOOKUP"&amp;"(H6990,IMPORTRANGE(""https://docs.google.com/spreadsheets/d/14Bd19lYaqBhU8_DElYkX7l4wRkHqqCUFNJY4AfY3kHU/edit?usp=sharing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J6989" s="7" t="s">
        <v>28</v>
      </c>
    </row>
    <row r="6990" spans="1:10" ht="13.2">
      <c r="A6990" s="7">
        <v>6989</v>
      </c>
      <c r="B6990" s="7">
        <v>1</v>
      </c>
      <c r="C6990" s="7" t="s">
        <v>10</v>
      </c>
      <c r="D6990" s="7">
        <v>6451</v>
      </c>
      <c r="E6990" s="7" t="s">
        <v>30</v>
      </c>
      <c r="F6990" s="8" t="str">
        <f ca="1">IFERROR(__xludf.DUMMYFUNCTION("IF
(
C6991=""фізична особа""
,
VLOOKUP(D6991,IMPORTRANGE(""https://docs.google.com/spreadsheets/d/14Bd19lYaqBhU8_DElYkX7l4wRkHqqCUFNJY4AfY3kHU/edit?usp=sharing  #gid=0"",""фіз особи new!relations_name""),6,FALSE)
,
(IF
(
C6991=""юридична особа""
,
VLOOKUP"&amp;"(D6991,IMPORTRANGE(""https://docs.google.com/spreadsheets/d/14Bd19lYaqBhU8_DElYkX7l4wRkHqqCUFNJY4AfY3kHU/edit?usp=sharing  #gid=0"",""фіз особи new!relations_name_uo""),7,FALSE)
,
)
))"),"МАКОВА Ольга Борисівна")</f>
        <v>МАКОВА Ольга Борисівна</v>
      </c>
      <c r="G6990" s="7" t="s">
        <v>10</v>
      </c>
      <c r="H6990" s="7">
        <v>0</v>
      </c>
      <c r="I6990" s="8" t="str">
        <f ca="1">IFERROR(__xludf.DUMMYFUNCTION("IF
(
G6991=""фізична особа""
,
VLOOKUP(H6991,IMPORTRANGE(""https://docs.google.com/spreadsheets/d/14Bd19lYaqBhU8_DElYkX7l4wRkHqqCUFNJY4AfY3kHU/edit?usp=sharing  #gid=0"",""фіз особи new!relations_name""),6,FALSE)
,
(IF
(
G6991=""юридична особа""
,
VLOOKUP"&amp;"(H6991,IMPORTRANGE(""https://docs.google.com/spreadsheets/d/14Bd19lYaqBhU8_DElYkX7l4wRkHqqCUFNJY4AfY3kHU/edit?usp=sharing  #gid=0"",""фіз особи new!relations_name_uo""),7,FALSE)
,
)
))"),"#N/A")</f>
        <v>#N/A</v>
      </c>
      <c r="J6990" s="7" t="s">
        <v>30</v>
      </c>
    </row>
    <row r="6991" spans="1:10" ht="13.2">
      <c r="A6991" s="7">
        <v>6990</v>
      </c>
      <c r="B6991" s="7">
        <v>1</v>
      </c>
      <c r="C6991" s="7" t="s">
        <v>10</v>
      </c>
      <c r="D6991" s="7">
        <v>6452</v>
      </c>
      <c r="E6991" s="7" t="s">
        <v>30</v>
      </c>
      <c r="F6991" s="8" t="str">
        <f ca="1">IFERROR(__xludf.DUMMYFUNCTION("IF
(
C6992=""фізична особа""
,
VLOOKUP(D6992,IMPORTRANGE(""https://docs.google.com/spreadsheets/d/14Bd19lYaqBhU8_DElYkX7l4wRkHqqCUFNJY4AfY3kHU/edit?usp=sharing  #gid=0"",""фіз особи new!relations_name""),6,FALSE)
,
(IF
(
C6992=""юридична особа""
,
VLOOKUP"&amp;"(D6992,IMPORTRANGE(""https://docs.google.com/spreadsheets/d/14Bd19lYaqBhU8_DElYkX7l4wRkHqqCUFNJY4AfY3kHU/edit?usp=sharing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1" s="7" t="s">
        <v>10</v>
      </c>
      <c r="H6991" s="7">
        <v>0</v>
      </c>
      <c r="I6991" s="8" t="str">
        <f ca="1">IFERROR(__xludf.DUMMYFUNCTION("IF
(
G6992=""фізична особа""
,
VLOOKUP(H6992,IMPORTRANGE(""https://docs.google.com/spreadsheets/d/14Bd19lYaqBhU8_DElYkX7l4wRkHqqCUFNJY4AfY3kHU/edit?usp=sharing  #gid=0"",""фіз особи new!relations_name""),6,FALSE)
,
(IF
(
G6992=""юридична особа""
,
VLOOKUP"&amp;"(H6992,IMPORTRANGE(""https://docs.google.com/spreadsheets/d/14Bd19lYaqBhU8_DElYkX7l4wRkHqqCUFNJY4AfY3kHU/edit?usp=sharing  #gid=0"",""фіз особи new!relations_name_uo""),7,FALSE)
,
)
))"),"#N/A")</f>
        <v>#N/A</v>
      </c>
      <c r="J6991" s="7" t="s">
        <v>30</v>
      </c>
    </row>
    <row r="6992" spans="1:10" ht="13.2">
      <c r="A6992" s="7">
        <v>6991</v>
      </c>
      <c r="B6992" s="7">
        <v>1</v>
      </c>
      <c r="C6992" s="7" t="s">
        <v>10</v>
      </c>
      <c r="D6992" s="7">
        <v>6452</v>
      </c>
      <c r="E6992" s="7" t="s">
        <v>30</v>
      </c>
      <c r="F6992" s="8" t="str">
        <f ca="1">IFERROR(__xludf.DUMMYFUNCTION("IF
(
C6993=""фізична особа""
,
VLOOKUP(D6993,IMPORTRANGE(""https://docs.google.com/spreadsheets/d/14Bd19lYaqBhU8_DElYkX7l4wRkHqqCUFNJY4AfY3kHU/edit?usp=sharing  #gid=0"",""фіз особи new!relations_name""),6,FALSE)
,
(IF
(
C6993=""юридична особа""
,
VLOOKUP"&amp;"(D6993,IMPORTRANGE(""https://docs.google.com/spreadsheets/d/14Bd19lYaqBhU8_DElYkX7l4wRkHqqCUFNJY4AfY3kHU/edit?usp=sharing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2" s="7" t="s">
        <v>10</v>
      </c>
      <c r="H6992" s="7">
        <v>0</v>
      </c>
      <c r="I6992" s="8" t="str">
        <f ca="1">IFERROR(__xludf.DUMMYFUNCTION("IF
(
G6993=""фізична особа""
,
VLOOKUP(H6993,IMPORTRANGE(""https://docs.google.com/spreadsheets/d/14Bd19lYaqBhU8_DElYkX7l4wRkHqqCUFNJY4AfY3kHU/edit?usp=sharing  #gid=0"",""фіз особи new!relations_name""),6,FALSE)
,
(IF
(
G6993=""юридична особа""
,
VLOOKUP"&amp;"(H6993,IMPORTRANGE(""https://docs.google.com/spreadsheets/d/14Bd19lYaqBhU8_DElYkX7l4wRkHqqCUFNJY4AfY3kHU/edit?usp=sharing  #gid=0"",""фіз особи new!relations_name_uo""),7,FALSE)
,
)
))"),"#N/A")</f>
        <v>#N/A</v>
      </c>
      <c r="J6992" s="7" t="s">
        <v>30</v>
      </c>
    </row>
    <row r="6993" spans="1:10" ht="13.2">
      <c r="A6993" s="7">
        <v>6992</v>
      </c>
      <c r="B6993" s="7">
        <v>1</v>
      </c>
      <c r="C6993" s="7" t="s">
        <v>10</v>
      </c>
      <c r="D6993" s="7">
        <v>6452</v>
      </c>
      <c r="E6993" s="7" t="s">
        <v>30</v>
      </c>
      <c r="F6993" s="8" t="str">
        <f ca="1">IFERROR(__xludf.DUMMYFUNCTION("IF
(
C6994=""фізична особа""
,
VLOOKUP(D6994,IMPORTRANGE(""https://docs.google.com/spreadsheets/d/14Bd19lYaqBhU8_DElYkX7l4wRkHqqCUFNJY4AfY3kHU/edit?usp=sharing  #gid=0"",""фіз особи new!relations_name""),6,FALSE)
,
(IF
(
C6994=""юридична особа""
,
VLOOKUP"&amp;"(D6994,IMPORTRANGE(""https://docs.google.com/spreadsheets/d/14Bd19lYaqBhU8_DElYkX7l4wRkHqqCUFNJY4AfY3kHU/edit?usp=sharing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3" s="7" t="s">
        <v>10</v>
      </c>
      <c r="H6993" s="7">
        <v>0</v>
      </c>
      <c r="I6993" s="8" t="str">
        <f ca="1">IFERROR(__xludf.DUMMYFUNCTION("IF
(
G6994=""фізична особа""
,
VLOOKUP(H6994,IMPORTRANGE(""https://docs.google.com/spreadsheets/d/14Bd19lYaqBhU8_DElYkX7l4wRkHqqCUFNJY4AfY3kHU/edit?usp=sharing  #gid=0"",""фіз особи new!relations_name""),6,FALSE)
,
(IF
(
G6994=""юридична особа""
,
VLOOKUP"&amp;"(H6994,IMPORTRANGE(""https://docs.google.com/spreadsheets/d/14Bd19lYaqBhU8_DElYkX7l4wRkHqqCUFNJY4AfY3kHU/edit?usp=sharing  #gid=0"",""фіз особи new!relations_name_uo""),7,FALSE)
,
)
))"),"#N/A")</f>
        <v>#N/A</v>
      </c>
      <c r="J6993" s="7" t="s">
        <v>30</v>
      </c>
    </row>
    <row r="6994" spans="1:10" ht="13.2">
      <c r="A6994" s="7">
        <v>6993</v>
      </c>
      <c r="B6994" s="7">
        <v>1</v>
      </c>
      <c r="C6994" s="7" t="s">
        <v>10</v>
      </c>
      <c r="D6994" s="7">
        <v>6452</v>
      </c>
      <c r="E6994" s="7" t="s">
        <v>30</v>
      </c>
      <c r="F6994" s="8" t="str">
        <f ca="1">IFERROR(__xludf.DUMMYFUNCTION("IF
(
C6995=""фізична особа""
,
VLOOKUP(D6995,IMPORTRANGE(""https://docs.google.com/spreadsheets/d/14Bd19lYaqBhU8_DElYkX7l4wRkHqqCUFNJY4AfY3kHU/edit?usp=sharing  #gid=0"",""фіз особи new!relations_name""),6,FALSE)
,
(IF
(
C6995=""юридична особа""
,
VLOOKUP"&amp;"(D6995,IMPORTRANGE(""https://docs.google.com/spreadsheets/d/14Bd19lYaqBhU8_DElYkX7l4wRkHqqCUFNJY4AfY3kHU/edit?usp=sharing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4" s="7" t="s">
        <v>10</v>
      </c>
      <c r="H6994" s="7">
        <v>0</v>
      </c>
      <c r="I6994" s="8" t="str">
        <f ca="1">IFERROR(__xludf.DUMMYFUNCTION("IF
(
G6995=""фізична особа""
,
VLOOKUP(H6995,IMPORTRANGE(""https://docs.google.com/spreadsheets/d/14Bd19lYaqBhU8_DElYkX7l4wRkHqqCUFNJY4AfY3kHU/edit?usp=sharing  #gid=0"",""фіз особи new!relations_name""),6,FALSE)
,
(IF
(
G6995=""юридична особа""
,
VLOOKUP"&amp;"(H6995,IMPORTRANGE(""https://docs.google.com/spreadsheets/d/14Bd19lYaqBhU8_DElYkX7l4wRkHqqCUFNJY4AfY3kHU/edit?usp=sharing  #gid=0"",""фіз особи new!relations_name_uo""),7,FALSE)
,
)
))"),"#N/A")</f>
        <v>#N/A</v>
      </c>
      <c r="J6994" s="7" t="s">
        <v>30</v>
      </c>
    </row>
    <row r="6995" spans="1:10" ht="13.2">
      <c r="A6995" s="7">
        <v>6994</v>
      </c>
      <c r="B6995" s="7">
        <v>1</v>
      </c>
      <c r="C6995" s="7" t="s">
        <v>10</v>
      </c>
      <c r="D6995" s="7">
        <v>6452</v>
      </c>
      <c r="E6995" s="7" t="s">
        <v>30</v>
      </c>
      <c r="F6995" s="8" t="str">
        <f ca="1">IFERROR(__xludf.DUMMYFUNCTION("IF
(
C6996=""фізична особа""
,
VLOOKUP(D6996,IMPORTRANGE(""https://docs.google.com/spreadsheets/d/14Bd19lYaqBhU8_DElYkX7l4wRkHqqCUFNJY4AfY3kHU/edit?usp=sharing  #gid=0"",""фіз особи new!relations_name""),6,FALSE)
,
(IF
(
C6996=""юридична особа""
,
VLOOKUP"&amp;"(D6996,IMPORTRANGE(""https://docs.google.com/spreadsheets/d/14Bd19lYaqBhU8_DElYkX7l4wRkHqqCUFNJY4AfY3kHU/edit?usp=sharing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5" s="7" t="s">
        <v>10</v>
      </c>
      <c r="H6995" s="7">
        <v>0</v>
      </c>
      <c r="I6995" s="8" t="str">
        <f ca="1">IFERROR(__xludf.DUMMYFUNCTION("IF
(
G6996=""фізична особа""
,
VLOOKUP(H6996,IMPORTRANGE(""https://docs.google.com/spreadsheets/d/14Bd19lYaqBhU8_DElYkX7l4wRkHqqCUFNJY4AfY3kHU/edit?usp=sharing  #gid=0"",""фіз особи new!relations_name""),6,FALSE)
,
(IF
(
G6996=""юридична особа""
,
VLOOKUP"&amp;"(H6996,IMPORTRANGE(""https://docs.google.com/spreadsheets/d/14Bd19lYaqBhU8_DElYkX7l4wRkHqqCUFNJY4AfY3kHU/edit?usp=sharing  #gid=0"",""фіз особи new!relations_name_uo""),7,FALSE)
,
)
))"),"#N/A")</f>
        <v>#N/A</v>
      </c>
      <c r="J6995" s="7" t="s">
        <v>30</v>
      </c>
    </row>
    <row r="6996" spans="1:10" ht="13.2">
      <c r="A6996" s="7">
        <v>6995</v>
      </c>
      <c r="B6996" s="7">
        <v>1</v>
      </c>
      <c r="C6996" s="7" t="s">
        <v>10</v>
      </c>
      <c r="D6996" s="7">
        <v>6452</v>
      </c>
      <c r="E6996" s="7" t="s">
        <v>30</v>
      </c>
      <c r="F6996" s="8" t="str">
        <f ca="1">IFERROR(__xludf.DUMMYFUNCTION("IF
(
C6997=""фізична особа""
,
VLOOKUP(D6997,IMPORTRANGE(""https://docs.google.com/spreadsheets/d/14Bd19lYaqBhU8_DElYkX7l4wRkHqqCUFNJY4AfY3kHU/edit?usp=sharing  #gid=0"",""фіз особи new!relations_name""),6,FALSE)
,
(IF
(
C6997=""юридична особа""
,
VLOOKUP"&amp;"(D6997,IMPORTRANGE(""https://docs.google.com/spreadsheets/d/14Bd19lYaqBhU8_DElYkX7l4wRkHqqCUFNJY4AfY3kHU/edit?usp=sharing  #gid=0"",""фіз особи new!relations_name_uo""),7,FALSE)
,
)
))"),"КУЗНЕЦОВ Олексій Миколайович")</f>
        <v>КУЗНЕЦОВ Олексій Миколайович</v>
      </c>
      <c r="G6996" s="7" t="s">
        <v>10</v>
      </c>
      <c r="H6996" s="7">
        <v>0</v>
      </c>
      <c r="I6996" s="8" t="str">
        <f ca="1">IFERROR(__xludf.DUMMYFUNCTION("IF
(
G6997=""фізична особа""
,
VLOOKUP(H6997,IMPORTRANGE(""https://docs.google.com/spreadsheets/d/14Bd19lYaqBhU8_DElYkX7l4wRkHqqCUFNJY4AfY3kHU/edit?usp=sharing  #gid=0"",""фіз особи new!relations_name""),6,FALSE)
,
(IF
(
G6997=""юридична особа""
,
VLOOKUP"&amp;"(H6997,IMPORTRANGE(""https://docs.google.com/spreadsheets/d/14Bd19lYaqBhU8_DElYkX7l4wRkHqqCUFNJY4AfY3kHU/edit?usp=sharing  #gid=0"",""фіз особи new!relations_name_uo""),7,FALSE)
,
)
))"),"#N/A")</f>
        <v>#N/A</v>
      </c>
      <c r="J6996" s="7" t="s">
        <v>30</v>
      </c>
    </row>
    <row r="6997" spans="1:10" ht="13.2">
      <c r="A6997" s="7">
        <v>6996</v>
      </c>
      <c r="B6997" s="7">
        <v>1</v>
      </c>
      <c r="C6997" s="7" t="s">
        <v>10</v>
      </c>
      <c r="D6997" s="7">
        <v>6453</v>
      </c>
      <c r="E6997" s="7" t="s">
        <v>30</v>
      </c>
      <c r="F6997" s="8" t="str">
        <f ca="1">IFERROR(__xludf.DUMMYFUNCTION("IF
(
C6998=""фізична особа""
,
VLOOKUP(D6998,IMPORTRANGE(""https://docs.google.com/spreadsheets/d/14Bd19lYaqBhU8_DElYkX7l4wRkHqqCUFNJY4AfY3kHU/edit?usp=sharing  #gid=0"",""фіз особи new!relations_name""),6,FALSE)
,
(IF
(
C6998=""юридична особа""
,
VLOOKUP"&amp;"(D6998,IMPORTRANGE(""https://docs.google.com/spreadsheets/d/14Bd19lYaqBhU8_DElYkX7l4wRkHqqCUFNJY4AfY3kHU/edit?usp=sharing  #gid=0"",""фіз особи new!relations_name_uo""),7,FALSE)
,
)
))"),"БУСЛАЄВ Сергій Вікторович")</f>
        <v>БУСЛАЄВ Сергій Вікторович</v>
      </c>
      <c r="G6997" s="7" t="s">
        <v>10</v>
      </c>
      <c r="H6997" s="7">
        <v>6227</v>
      </c>
      <c r="I6997" s="8" t="str">
        <f ca="1">IFERROR(__xludf.DUMMYFUNCTION("IF
(
G6998=""фізична особа""
,
VLOOKUP(H6998,IMPORTRANGE(""https://docs.google.com/spreadsheets/d/14Bd19lYaqBhU8_DElYkX7l4wRkHqqCUFNJY4AfY3kHU/edit?usp=sharing  #gid=0"",""фіз особи new!relations_name""),6,FALSE)
,
(IF
(
G6998=""юридична особа""
,
VLOOKUP"&amp;"(H6998,IMPORTRANGE(""https://docs.google.com/spreadsheets/d/14Bd19lYaqBhU8_DElYkX7l4wRkHqqCUFNJY4AfY3kHU/edit?usp=sharing  #gid=0"",""фіз особи new!relations_name_uo""),7,FALSE)
,
)
))"),"АЙДИНОГЛУ Бехчет Халук")</f>
        <v>АЙДИНОГЛУ Бехчет Халук</v>
      </c>
      <c r="J6997" s="7" t="s">
        <v>30</v>
      </c>
    </row>
    <row r="6998" spans="1:10" ht="13.2">
      <c r="A6998" s="7">
        <v>6997</v>
      </c>
      <c r="B6998" s="7">
        <v>1</v>
      </c>
      <c r="C6998" s="7" t="s">
        <v>10</v>
      </c>
      <c r="D6998" s="7">
        <v>6454</v>
      </c>
      <c r="E6998" s="7" t="s">
        <v>30</v>
      </c>
      <c r="F6998" s="8" t="str">
        <f ca="1">IFERROR(__xludf.DUMMYFUNCTION("IF
(
C6999=""фізична особа""
,
VLOOKUP(D6999,IMPORTRANGE(""https://docs.google.com/spreadsheets/d/14Bd19lYaqBhU8_DElYkX7l4wRkHqqCUFNJY4AfY3kHU/edit?usp=sharing  #gid=0"",""фіз особи new!relations_name""),6,FALSE)
,
(IF
(
C6999=""юридична особа""
,
VLOOKUP"&amp;"(D6999,IMPORTRANGE(""https://docs.google.com/spreadsheets/d/14Bd19lYaqBhU8_DElYkX7l4wRkHqqCUFNJY4AfY3kHU/edit?usp=sharing  #gid=0"",""фіз особи new!relations_name_uo""),7,FALSE)
,
)
))"),"ЛЮБАВІН Аркадій Маркович")</f>
        <v>ЛЮБАВІН Аркадій Маркович</v>
      </c>
      <c r="G6998" s="7" t="s">
        <v>10</v>
      </c>
      <c r="H6998" s="7">
        <v>0</v>
      </c>
      <c r="I6998" s="8" t="str">
        <f ca="1">IFERROR(__xludf.DUMMYFUNCTION("IF
(
G6999=""фізична особа""
,
VLOOKUP(H6999,IMPORTRANGE(""https://docs.google.com/spreadsheets/d/14Bd19lYaqBhU8_DElYkX7l4wRkHqqCUFNJY4AfY3kHU/edit?usp=sharing  #gid=0"",""фіз особи new!relations_name""),6,FALSE)
,
(IF
(
G6999=""юридична особа""
,
VLOOKUP"&amp;"(H6999,IMPORTRANGE(""https://docs.google.com/spreadsheets/d/14Bd19lYaqBhU8_DElYkX7l4wRkHqqCUFNJY4AfY3kHU/edit?usp=sharing  #gid=0"",""фіз особи new!relations_name_uo""),7,FALSE)
,
)
))"),"#N/A")</f>
        <v>#N/A</v>
      </c>
      <c r="J6998" s="7" t="s">
        <v>30</v>
      </c>
    </row>
    <row r="6999" spans="1:10" ht="13.2">
      <c r="A6999" s="7">
        <v>6998</v>
      </c>
      <c r="B6999" s="7">
        <v>1</v>
      </c>
      <c r="C6999" s="7" t="s">
        <v>10</v>
      </c>
      <c r="D6999" s="7">
        <v>6454</v>
      </c>
      <c r="E6999" s="7" t="s">
        <v>30</v>
      </c>
      <c r="F6999" s="8" t="str">
        <f ca="1">IFERROR(__xludf.DUMMYFUNCTION("IF
(
C7000=""фізична особа""
,
VLOOKUP(D7000,IMPORTRANGE(""https://docs.google.com/spreadsheets/d/14Bd19lYaqBhU8_DElYkX7l4wRkHqqCUFNJY4AfY3kHU/edit?usp=sharing  #gid=0"",""фіз особи new!relations_name""),6,FALSE)
,
(IF
(
C7000=""юридична особа""
,
VLOOKUP"&amp;"(D7000,IMPORTRANGE(""https://docs.google.com/spreadsheets/d/14Bd19lYaqBhU8_DElYkX7l4wRkHqqCUFNJY4AfY3kHU/edit?usp=sharing  #gid=0"",""фіз особи new!relations_name_uo""),7,FALSE)
,
)
))"),"ЛЮБАВІН Аркадій Маркович")</f>
        <v>ЛЮБАВІН Аркадій Маркович</v>
      </c>
      <c r="G6999" s="7" t="s">
        <v>10</v>
      </c>
      <c r="H6999" s="7">
        <v>0</v>
      </c>
      <c r="I6999" s="8" t="str">
        <f ca="1">IFERROR(__xludf.DUMMYFUNCTION("IF
(
G7000=""фізична особа""
,
VLOOKUP(H7000,IMPORTRANGE(""https://docs.google.com/spreadsheets/d/14Bd19lYaqBhU8_DElYkX7l4wRkHqqCUFNJY4AfY3kHU/edit?usp=sharing  #gid=0"",""фіз особи new!relations_name""),6,FALSE)
,
(IF
(
G7000=""юридична особа""
,
VLOOKUP"&amp;"(H7000,IMPORTRANGE(""https://docs.google.com/spreadsheets/d/14Bd19lYaqBhU8_DElYkX7l4wRkHqqCUFNJY4AfY3kHU/edit?usp=sharing  #gid=0"",""фіз особи new!relations_name_uo""),7,FALSE)
,
)
))"),"#N/A")</f>
        <v>#N/A</v>
      </c>
      <c r="J6999" s="7" t="s">
        <v>30</v>
      </c>
    </row>
    <row r="7000" spans="1:10" ht="13.2">
      <c r="A7000" s="7">
        <v>6999</v>
      </c>
      <c r="B7000" s="7">
        <v>1</v>
      </c>
      <c r="C7000" s="7" t="s">
        <v>10</v>
      </c>
      <c r="D7000" s="7">
        <v>6454</v>
      </c>
      <c r="E7000" s="7" t="s">
        <v>30</v>
      </c>
      <c r="F7000" s="8" t="str">
        <f ca="1">IFERROR(__xludf.DUMMYFUNCTION("IF
(
C7001=""фізична особа""
,
VLOOKUP(D7001,IMPORTRANGE(""https://docs.google.com/spreadsheets/d/14Bd19lYaqBhU8_DElYkX7l4wRkHqqCUFNJY4AfY3kHU/edit?usp=sharing  #gid=0"",""фіз особи new!relations_name""),6,FALSE)
,
(IF
(
C7001=""юридична особа""
,
VLOOKUP"&amp;"(D7001,IMPORTRANGE(""https://docs.google.com/spreadsheets/d/14Bd19lYaqBhU8_DElYkX7l4wRkHqqCUFNJY4AfY3kHU/edit?usp=sharing  #gid=0"",""фіз особи new!relations_name_uo""),7,FALSE)
,
)
))"),"ЛЮБАВІН Аркадій Маркович")</f>
        <v>ЛЮБАВІН Аркадій Маркович</v>
      </c>
      <c r="G7000" s="7" t="s">
        <v>10</v>
      </c>
      <c r="H7000" s="7">
        <v>0</v>
      </c>
      <c r="I7000" s="8" t="str">
        <f ca="1">IFERROR(__xludf.DUMMYFUNCTION("IF
(
G7001=""фізична особа""
,
VLOOKUP(H7001,IMPORTRANGE(""https://docs.google.com/spreadsheets/d/14Bd19lYaqBhU8_DElYkX7l4wRkHqqCUFNJY4AfY3kHU/edit?usp=sharing  #gid=0"",""фіз особи new!relations_name""),6,FALSE)
,
(IF
(
G7001=""юридична особа""
,
VLOOKUP"&amp;"(H7001,IMPORTRANGE(""https://docs.google.com/spreadsheets/d/14Bd19lYaqBhU8_DElYkX7l4wRkHqqCUFNJY4AfY3kHU/edit?usp=sharing  #gid=0"",""фіз особи new!relations_name_uo""),7,FALSE)
,
)
))"),"#N/A")</f>
        <v>#N/A</v>
      </c>
      <c r="J7000" s="7" t="s">
        <v>30</v>
      </c>
    </row>
    <row r="7001" spans="1:10" ht="13.2">
      <c r="A7001" s="7">
        <v>7000</v>
      </c>
      <c r="B7001" s="7">
        <v>1</v>
      </c>
      <c r="C7001" s="7" t="s">
        <v>10</v>
      </c>
      <c r="D7001" s="7">
        <v>6454</v>
      </c>
      <c r="E7001" s="7" t="s">
        <v>30</v>
      </c>
      <c r="F7001" s="8" t="str">
        <f ca="1">IFERROR(__xludf.DUMMYFUNCTION("IF
(
C7002=""фізична особа""
,
VLOOKUP(D7002,IMPORTRANGE(""https://docs.google.com/spreadsheets/d/14Bd19lYaqBhU8_DElYkX7l4wRkHqqCUFNJY4AfY3kHU/edit?usp=sharing  #gid=0"",""фіз особи new!relations_name""),6,FALSE)
,
(IF
(
C7002=""юридична особа""
,
VLOOKUP"&amp;"(D7002,IMPORTRANGE(""https://docs.google.com/spreadsheets/d/14Bd19lYaqBhU8_DElYkX7l4wRkHqqCUFNJY4AfY3kHU/edit?usp=sharing  #gid=0"",""фіз особи new!relations_name_uo""),7,FALSE)
,
)
))"),"ЛЮБАВІН Аркадій Маркович")</f>
        <v>ЛЮБАВІН Аркадій Маркович</v>
      </c>
      <c r="G7001" s="7" t="s">
        <v>10</v>
      </c>
      <c r="H7001" s="7">
        <v>0</v>
      </c>
      <c r="I7001" s="8" t="str">
        <f ca="1">IFERROR(__xludf.DUMMYFUNCTION("IF
(
G7002=""фізична особа""
,
VLOOKUP(H7002,IMPORTRANGE(""https://docs.google.com/spreadsheets/d/14Bd19lYaqBhU8_DElYkX7l4wRkHqqCUFNJY4AfY3kHU/edit?usp=sharing  #gid=0"",""фіз особи new!relations_name""),6,FALSE)
,
(IF
(
G7002=""юридична особа""
,
VLOOKUP"&amp;"(H7002,IMPORTRANGE(""https://docs.google.com/spreadsheets/d/14Bd19lYaqBhU8_DElYkX7l4wRkHqqCUFNJY4AfY3kHU/edit?usp=sharing  #gid=0"",""фіз особи new!relations_name_uo""),7,FALSE)
,
)
))"),"#N/A")</f>
        <v>#N/A</v>
      </c>
      <c r="J7001" s="7" t="s">
        <v>30</v>
      </c>
    </row>
    <row r="7002" spans="1:10" ht="13.2">
      <c r="A7002" s="7">
        <v>7001</v>
      </c>
      <c r="B7002" s="7">
        <v>1</v>
      </c>
      <c r="C7002" s="7" t="s">
        <v>10</v>
      </c>
      <c r="D7002" s="7">
        <v>6454</v>
      </c>
      <c r="E7002" s="7" t="s">
        <v>30</v>
      </c>
      <c r="F7002" s="8" t="str">
        <f ca="1">IFERROR(__xludf.DUMMYFUNCTION("IF
(
C7003=""фізична особа""
,
VLOOKUP(D7003,IMPORTRANGE(""https://docs.google.com/spreadsheets/d/14Bd19lYaqBhU8_DElYkX7l4wRkHqqCUFNJY4AfY3kHU/edit?usp=sharing  #gid=0"",""фіз особи new!relations_name""),6,FALSE)
,
(IF
(
C7003=""юридична особа""
,
VLOOKUP"&amp;"(D7003,IMPORTRANGE(""https://docs.google.com/spreadsheets/d/14Bd19lYaqBhU8_DElYkX7l4wRkHqqCUFNJY4AfY3kHU/edit?usp=sharing  #gid=0"",""фіз особи new!relations_name_uo""),7,FALSE)
,
)
))"),"ЛЮБАВІН Аркадій Маркович")</f>
        <v>ЛЮБАВІН Аркадій Маркович</v>
      </c>
      <c r="G7002" s="7" t="s">
        <v>10</v>
      </c>
      <c r="H7002" s="7">
        <v>0</v>
      </c>
      <c r="I7002" s="8" t="str">
        <f ca="1">IFERROR(__xludf.DUMMYFUNCTION("IF
(
G7003=""фізична особа""
,
VLOOKUP(H7003,IMPORTRANGE(""https://docs.google.com/spreadsheets/d/14Bd19lYaqBhU8_DElYkX7l4wRkHqqCUFNJY4AfY3kHU/edit?usp=sharing  #gid=0"",""фіз особи new!relations_name""),6,FALSE)
,
(IF
(
G7003=""юридична особа""
,
VLOOKUP"&amp;"(H7003,IMPORTRANGE(""https://docs.google.com/spreadsheets/d/14Bd19lYaqBhU8_DElYkX7l4wRkHqqCUFNJY4AfY3kHU/edit?usp=sharing  #gid=0"",""фіз особи new!relations_name_uo""),7,FALSE)
,
)
))"),"#N/A")</f>
        <v>#N/A</v>
      </c>
      <c r="J7002" s="7" t="s">
        <v>30</v>
      </c>
    </row>
    <row r="7003" spans="1:10" ht="13.2">
      <c r="A7003" s="7">
        <v>7002</v>
      </c>
      <c r="B7003" s="7">
        <v>1</v>
      </c>
      <c r="C7003" s="7" t="s">
        <v>10</v>
      </c>
      <c r="D7003" s="7">
        <v>6456</v>
      </c>
      <c r="E7003" s="7" t="s">
        <v>29</v>
      </c>
      <c r="F7003" s="8" t="str">
        <f ca="1">IFERROR(__xludf.DUMMYFUNCTION("IF
(
C7004=""фізична особа""
,
VLOOKUP(D7004,IMPORTRANGE(""https://docs.google.com/spreadsheets/d/14Bd19lYaqBhU8_DElYkX7l4wRkHqqCUFNJY4AfY3kHU/edit?usp=sharing  #gid=0"",""фіз особи new!relations_name""),6,FALSE)
,
(IF
(
C7004=""юридична особа""
,
VLOOKUP"&amp;"(D7004,IMPORTRANGE(""https://docs.google.com/spreadsheets/d/14Bd19lYaqBhU8_DElYkX7l4wRkHqqCUFNJY4AfY3kHU/edit?usp=sharing  #gid=0"",""фіз особи new!relations_name_uo""),7,FALSE)
,
)
))"),"ОБОЛЕНСЬКА Оксана Валеріївна")</f>
        <v>ОБОЛЕНСЬКА Оксана Валеріївна</v>
      </c>
      <c r="G7003" s="7" t="s">
        <v>10</v>
      </c>
      <c r="H7003" s="7">
        <v>629</v>
      </c>
      <c r="I7003" s="8" t="str">
        <f ca="1">IFERROR(__xludf.DUMMYFUNCTION("IF
(
G7004=""фізична особа""
,
VLOOKUP(H7004,IMPORTRANGE(""https://docs.google.com/spreadsheets/d/14Bd19lYaqBhU8_DElYkX7l4wRkHqqCUFNJY4AfY3kHU/edit?usp=sharing  #gid=0"",""фіз особи new!relations_name""),6,FALSE)
,
(IF
(
G7004=""юридична особа""
,
VLOOKUP"&amp;"(H7004,IMPORTRANGE(""https://docs.google.com/spreadsheets/d/14Bd19lYaqBhU8_DElYkX7l4wRkHqqCUFNJY4AfY3kHU/edit?usp=sharing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003" s="7" t="s">
        <v>104</v>
      </c>
    </row>
    <row r="7004" spans="1:10" ht="13.2">
      <c r="A7004" s="7">
        <v>7003</v>
      </c>
      <c r="B7004" s="7">
        <v>1</v>
      </c>
      <c r="C7004" s="7" t="s">
        <v>10</v>
      </c>
      <c r="D7004" s="7">
        <v>6456</v>
      </c>
      <c r="E7004" s="7" t="s">
        <v>29</v>
      </c>
      <c r="F7004" s="8" t="str">
        <f ca="1">IFERROR(__xludf.DUMMYFUNCTION("IF
(
C7005=""фізична особа""
,
VLOOKUP(D7005,IMPORTRANGE(""https://docs.google.com/spreadsheets/d/14Bd19lYaqBhU8_DElYkX7l4wRkHqqCUFNJY4AfY3kHU/edit?usp=sharing  #gid=0"",""фіз особи new!relations_name""),6,FALSE)
,
(IF
(
C7005=""юридична особа""
,
VLOOKUP"&amp;"(D7005,IMPORTRANGE(""https://docs.google.com/spreadsheets/d/14Bd19lYaqBhU8_DElYkX7l4wRkHqqCUFNJY4AfY3kHU/edit?usp=sharing  #gid=0"",""фіз особи new!relations_name_uo""),7,FALSE)
,
)
))"),"ОБОЛЕНСЬКА Оксана Валеріївна")</f>
        <v>ОБОЛЕНСЬКА Оксана Валеріївна</v>
      </c>
      <c r="G7004" s="7" t="s">
        <v>10</v>
      </c>
      <c r="H7004" s="7">
        <v>144</v>
      </c>
      <c r="I7004" s="8" t="str">
        <f ca="1">IFERROR(__xludf.DUMMYFUNCTION("IF
(
G7005=""фізична особа""
,
VLOOKUP(H7005,IMPORTRANGE(""https://docs.google.com/spreadsheets/d/14Bd19lYaqBhU8_DElYkX7l4wRkHqqCUFNJY4AfY3kHU/edit?usp=sharing  #gid=0"",""фіз особи new!relations_name""),6,FALSE)
,
(IF
(
G7005=""юридична особа""
,
VLOOKUP"&amp;"(H7005,IMPORTRANGE(""https://docs.google.com/spreadsheets/d/14Bd19lYaqBhU8_DElYkX7l4wRkHqqCUFNJY4AfY3kHU/edit?usp=sharing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004" s="7" t="s">
        <v>104</v>
      </c>
    </row>
    <row r="7005" spans="1:10" ht="13.2">
      <c r="A7005" s="7">
        <v>7004</v>
      </c>
      <c r="B7005" s="7">
        <v>1</v>
      </c>
      <c r="C7005" s="7" t="s">
        <v>10</v>
      </c>
      <c r="D7005" s="7">
        <v>6456</v>
      </c>
      <c r="E7005" s="7" t="s">
        <v>29</v>
      </c>
      <c r="F7005" s="8" t="str">
        <f ca="1">IFERROR(__xludf.DUMMYFUNCTION("IF
(
C7006=""фізична особа""
,
VLOOKUP(D7006,IMPORTRANGE(""https://docs.google.com/spreadsheets/d/14Bd19lYaqBhU8_DElYkX7l4wRkHqqCUFNJY4AfY3kHU/edit?usp=sharing  #gid=0"",""фіз особи new!relations_name""),6,FALSE)
,
(IF
(
C7006=""юридична особа""
,
VLOOKUP"&amp;"(D7006,IMPORTRANGE(""https://docs.google.com/spreadsheets/d/14Bd19lYaqBhU8_DElYkX7l4wRkHqqCUFNJY4AfY3kHU/edit?usp=sharing  #gid=0"",""фіз особи new!relations_name_uo""),7,FALSE)
,
)
))"),"ОБОЛЕНСЬКА Оксана Валеріївна")</f>
        <v>ОБОЛЕНСЬКА Оксана Валеріївна</v>
      </c>
      <c r="G7005" s="7" t="s">
        <v>10</v>
      </c>
      <c r="H7005" s="7">
        <v>0</v>
      </c>
      <c r="I7005" s="8" t="str">
        <f ca="1">IFERROR(__xludf.DUMMYFUNCTION("IF
(
G7006=""фізична особа""
,
VLOOKUP(H7006,IMPORTRANGE(""https://docs.google.com/spreadsheets/d/14Bd19lYaqBhU8_DElYkX7l4wRkHqqCUFNJY4AfY3kHU/edit?usp=sharing  #gid=0"",""фіз особи new!relations_name""),6,FALSE)
,
(IF
(
G7006=""юридична особа""
,
VLOOKUP"&amp;"(H7006,IMPORTRANGE(""https://docs.google.com/spreadsheets/d/14Bd19lYaqBhU8_DElYkX7l4wRkHqqCUFNJY4AfY3kHU/edit?usp=sharing  #gid=0"",""фіз особи new!relations_name_uo""),7,FALSE)
,
)
))"),"#N/A")</f>
        <v>#N/A</v>
      </c>
      <c r="J7005" s="7" t="s">
        <v>104</v>
      </c>
    </row>
    <row r="7006" spans="1:10" ht="13.2">
      <c r="A7006" s="7">
        <v>7005</v>
      </c>
      <c r="B7006" s="7">
        <v>1</v>
      </c>
      <c r="C7006" s="7" t="s">
        <v>10</v>
      </c>
      <c r="D7006" s="7">
        <v>6457</v>
      </c>
      <c r="E7006" s="7" t="s">
        <v>28</v>
      </c>
      <c r="F7006" s="8" t="str">
        <f ca="1">IFERROR(__xludf.DUMMYFUNCTION("IF
(
C7007=""фізична особа""
,
VLOOKUP(D7007,IMPORTRANGE(""https://docs.google.com/spreadsheets/d/14Bd19lYaqBhU8_DElYkX7l4wRkHqqCUFNJY4AfY3kHU/edit?usp=sharing  #gid=0"",""фіз особи new!relations_name""),6,FALSE)
,
(IF
(
C7007=""юридична особа""
,
VLOOKUP"&amp;"(D7007,IMPORTRANGE(""https://docs.google.com/spreadsheets/d/14Bd19lYaqBhU8_DElYkX7l4wRkHqqCUFNJY4AfY3kHU/edit?usp=sharing  #gid=0"",""фіз особи new!relations_name_uo""),7,FALSE)
,
)
))"),"САВИНКОВА Тетяна Вікторівна")</f>
        <v>САВИНКОВА Тетяна Вікторівна</v>
      </c>
      <c r="G7006" s="7" t="s">
        <v>10</v>
      </c>
      <c r="H7006" s="7">
        <v>6456</v>
      </c>
      <c r="I7006" s="8" t="str">
        <f ca="1">IFERROR(__xludf.DUMMYFUNCTION("IF
(
G7007=""фізична особа""
,
VLOOKUP(H7007,IMPORTRANGE(""https://docs.google.com/spreadsheets/d/14Bd19lYaqBhU8_DElYkX7l4wRkHqqCUFNJY4AfY3kHU/edit?usp=sharing  #gid=0"",""фіз особи new!relations_name""),6,FALSE)
,
(IF
(
G7007=""юридична особа""
,
VLOOKUP"&amp;"(H7007,IMPORTRANGE(""https://docs.google.com/spreadsheets/d/14Bd19lYaqBhU8_DElYkX7l4wRkHqqCUFNJY4AfY3kHU/edit?usp=sharing  #gid=0"",""фіз особи new!relations_name_uo""),7,FALSE)
,
)
))"),"ОБОЛЕНСЬКА Оксана Валеріївна")</f>
        <v>ОБОЛЕНСЬКА Оксана Валеріївна</v>
      </c>
      <c r="J7006" s="7" t="s">
        <v>29</v>
      </c>
    </row>
    <row r="7007" spans="1:10" ht="13.2">
      <c r="A7007" s="7">
        <v>7006</v>
      </c>
      <c r="B7007" s="7">
        <v>1</v>
      </c>
      <c r="C7007" s="7" t="s">
        <v>10</v>
      </c>
      <c r="D7007" s="7">
        <v>6458</v>
      </c>
      <c r="E7007" s="7" t="s">
        <v>11</v>
      </c>
      <c r="F7007" s="8" t="str">
        <f ca="1">IFERROR(__xludf.DUMMYFUNCTION("IF
(
C7008=""фізична особа""
,
VLOOKUP(D7008,IMPORTRANGE(""https://docs.google.com/spreadsheets/d/14Bd19lYaqBhU8_DElYkX7l4wRkHqqCUFNJY4AfY3kHU/edit?usp=sharing  #gid=0"",""фіз особи new!relations_name""),6,FALSE)
,
(IF
(
C7008=""юридична особа""
,
VLOOKUP"&amp;"(D7008,IMPORTRANGE(""https://docs.google.com/spreadsheets/d/14Bd19lYaqBhU8_DElYkX7l4wRkHqqCUFNJY4AfY3kHU/edit?usp=sharing  #gid=0"",""фіз особи new!relations_name_uo""),7,FALSE)
,
)
))"),"МОРСИН Володимир Васильович")</f>
        <v>МОРСИН Володимир Васильович</v>
      </c>
      <c r="G7007" s="7" t="s">
        <v>10</v>
      </c>
      <c r="H7007" s="7">
        <v>629</v>
      </c>
      <c r="I7007" s="8" t="str">
        <f ca="1">IFERROR(__xludf.DUMMYFUNCTION("IF
(
G7008=""фізична особа""
,
VLOOKUP(H7008,IMPORTRANGE(""https://docs.google.com/spreadsheets/d/14Bd19lYaqBhU8_DElYkX7l4wRkHqqCUFNJY4AfY3kHU/edit?usp=sharing  #gid=0"",""фіз особи new!relations_name""),6,FALSE)
,
(IF
(
G7008=""юридична особа""
,
VLOOKUP"&amp;"(H7008,IMPORTRANGE(""https://docs.google.com/spreadsheets/d/14Bd19lYaqBhU8_DElYkX7l4wRkHqqCUFNJY4AfY3kHU/edit?usp=sharing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007" s="7" t="s">
        <v>11</v>
      </c>
    </row>
    <row r="7008" spans="1:10" ht="13.2">
      <c r="A7008" s="7">
        <v>7007</v>
      </c>
      <c r="B7008" s="7">
        <v>1</v>
      </c>
      <c r="C7008" s="7" t="s">
        <v>10</v>
      </c>
      <c r="D7008" s="7">
        <v>6458</v>
      </c>
      <c r="E7008" s="7" t="s">
        <v>11</v>
      </c>
      <c r="F7008" s="8" t="str">
        <f ca="1">IFERROR(__xludf.DUMMYFUNCTION("IF
(
C7009=""фізична особа""
,
VLOOKUP(D7009,IMPORTRANGE(""https://docs.google.com/spreadsheets/d/14Bd19lYaqBhU8_DElYkX7l4wRkHqqCUFNJY4AfY3kHU/edit?usp=sharing  #gid=0"",""фіз особи new!relations_name""),6,FALSE)
,
(IF
(
C7009=""юридична особа""
,
VLOOKUP"&amp;"(D7009,IMPORTRANGE(""https://docs.google.com/spreadsheets/d/14Bd19lYaqBhU8_DElYkX7l4wRkHqqCUFNJY4AfY3kHU/edit?usp=sharing  #gid=0"",""фіз особи new!relations_name_uo""),7,FALSE)
,
)
))"),"МОРСИН Володимир Васильович")</f>
        <v>МОРСИН Володимир Васильович</v>
      </c>
      <c r="G7008" s="7" t="s">
        <v>10</v>
      </c>
      <c r="H7008" s="7">
        <v>144</v>
      </c>
      <c r="I7008" s="8" t="str">
        <f ca="1">IFERROR(__xludf.DUMMYFUNCTION("IF
(
G7009=""фізична особа""
,
VLOOKUP(H7009,IMPORTRANGE(""https://docs.google.com/spreadsheets/d/14Bd19lYaqBhU8_DElYkX7l4wRkHqqCUFNJY4AfY3kHU/edit?usp=sharing  #gid=0"",""фіз особи new!relations_name""),6,FALSE)
,
(IF
(
G7009=""юридична особа""
,
VLOOKUP"&amp;"(H7009,IMPORTRANGE(""https://docs.google.com/spreadsheets/d/14Bd19lYaqBhU8_DElYkX7l4wRkHqqCUFNJY4AfY3kHU/edit?usp=sharing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008" s="7" t="s">
        <v>11</v>
      </c>
    </row>
    <row r="7009" spans="1:10" ht="13.2">
      <c r="A7009" s="7">
        <v>7008</v>
      </c>
      <c r="B7009" s="7">
        <v>1</v>
      </c>
      <c r="C7009" s="7" t="s">
        <v>10</v>
      </c>
      <c r="D7009" s="7">
        <v>6469</v>
      </c>
      <c r="E7009" s="7" t="s">
        <v>18</v>
      </c>
      <c r="F7009" s="8" t="str">
        <f ca="1">IFERROR(__xludf.DUMMYFUNCTION("IF
(
C7010=""фізична особа""
,
VLOOKUP(D7010,IMPORTRANGE(""https://docs.google.com/spreadsheets/d/14Bd19lYaqBhU8_DElYkX7l4wRkHqqCUFNJY4AfY3kHU/edit?usp=sharing  #gid=0"",""фіз особи new!relations_name""),6,FALSE)
,
(IF
(
C7010=""юридична особа""
,
VLOOKUP"&amp;"(D7010,IMPORTRANGE(""https://docs.google.com/spreadsheets/d/14Bd19lYaqBhU8_DElYkX7l4wRkHqqCUFNJY4AfY3kHU/edit?usp=sharing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09" s="7" t="s">
        <v>10</v>
      </c>
      <c r="H7009" s="7">
        <v>0</v>
      </c>
      <c r="I7009" s="8" t="str">
        <f ca="1">IFERROR(__xludf.DUMMYFUNCTION("IF
(
G7010=""фізична особа""
,
VLOOKUP(H7010,IMPORTRANGE(""https://docs.google.com/spreadsheets/d/14Bd19lYaqBhU8_DElYkX7l4wRkHqqCUFNJY4AfY3kHU/edit?usp=sharing  #gid=0"",""фіз особи new!relations_name""),6,FALSE)
,
(IF
(
G7010=""юридична особа""
,
VLOOKUP"&amp;"(H7010,IMPORTRANGE(""https://docs.google.com/spreadsheets/d/14Bd19lYaqBhU8_DElYkX7l4wRkHqqCUFNJY4AfY3kHU/edit?usp=sharing  #gid=0"",""фіз особи new!relations_name_uo""),7,FALSE)
,
)
))"),"#N/A")</f>
        <v>#N/A</v>
      </c>
      <c r="J7009" s="7" t="s">
        <v>31</v>
      </c>
    </row>
    <row r="7010" spans="1:10" ht="13.2">
      <c r="A7010" s="7">
        <v>7009</v>
      </c>
      <c r="B7010" s="7">
        <v>1</v>
      </c>
      <c r="C7010" s="7" t="s">
        <v>10</v>
      </c>
      <c r="D7010" s="7">
        <v>6469</v>
      </c>
      <c r="E7010" s="7" t="s">
        <v>12</v>
      </c>
      <c r="F7010" s="8" t="str">
        <f ca="1">IFERROR(__xludf.DUMMYFUNCTION("IF
(
C7011=""фізична особа""
,
VLOOKUP(D7011,IMPORTRANGE(""https://docs.google.com/spreadsheets/d/14Bd19lYaqBhU8_DElYkX7l4wRkHqqCUFNJY4AfY3kHU/edit?usp=sharing  #gid=0"",""фіз особи new!relations_name""),6,FALSE)
,
(IF
(
C7011=""юридична особа""
,
VLOOKUP"&amp;"(D7011,IMPORTRANGE(""https://docs.google.com/spreadsheets/d/14Bd19lYaqBhU8_DElYkX7l4wRkHqqCUFNJY4AfY3kHU/edit?usp=sharing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10" s="7" t="s">
        <v>10</v>
      </c>
      <c r="H7010" s="7">
        <v>0</v>
      </c>
      <c r="I7010" s="8" t="str">
        <f ca="1">IFERROR(__xludf.DUMMYFUNCTION("IF
(
G7011=""фізична особа""
,
VLOOKUP(H7011,IMPORTRANGE(""https://docs.google.com/spreadsheets/d/14Bd19lYaqBhU8_DElYkX7l4wRkHqqCUFNJY4AfY3kHU/edit?usp=sharing  #gid=0"",""фіз особи new!relations_name""),6,FALSE)
,
(IF
(
G7011=""юридична особа""
,
VLOOKUP"&amp;"(H7011,IMPORTRANGE(""https://docs.google.com/spreadsheets/d/14Bd19lYaqBhU8_DElYkX7l4wRkHqqCUFNJY4AfY3kHU/edit?usp=sharing  #gid=0"",""фіз особи new!relations_name_uo""),7,FALSE)
,
)
))"),"#N/A")</f>
        <v>#N/A</v>
      </c>
      <c r="J7010" s="7" t="s">
        <v>17</v>
      </c>
    </row>
    <row r="7011" spans="1:10" ht="13.2">
      <c r="A7011" s="7">
        <v>7010</v>
      </c>
      <c r="B7011" s="7">
        <v>1</v>
      </c>
      <c r="C7011" s="7" t="s">
        <v>10</v>
      </c>
      <c r="D7011" s="7">
        <v>6469</v>
      </c>
      <c r="E7011" s="7" t="s">
        <v>12</v>
      </c>
      <c r="F7011" s="8" t="str">
        <f ca="1">IFERROR(__xludf.DUMMYFUNCTION("IF
(
C7012=""фізична особа""
,
VLOOKUP(D7012,IMPORTRANGE(""https://docs.google.com/spreadsheets/d/14Bd19lYaqBhU8_DElYkX7l4wRkHqqCUFNJY4AfY3kHU/edit?usp=sharing  #gid=0"",""фіз особи new!relations_name""),6,FALSE)
,
(IF
(
C7012=""юридична особа""
,
VLOOKUP"&amp;"(D7012,IMPORTRANGE(""https://docs.google.com/spreadsheets/d/14Bd19lYaqBhU8_DElYkX7l4wRkHqqCUFNJY4AfY3kHU/edit?usp=sharing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11" s="7" t="s">
        <v>10</v>
      </c>
      <c r="H7011" s="7">
        <v>0</v>
      </c>
      <c r="I7011" s="8" t="str">
        <f ca="1">IFERROR(__xludf.DUMMYFUNCTION("IF
(
G7012=""фізична особа""
,
VLOOKUP(H7012,IMPORTRANGE(""https://docs.google.com/spreadsheets/d/14Bd19lYaqBhU8_DElYkX7l4wRkHqqCUFNJY4AfY3kHU/edit?usp=sharing  #gid=0"",""фіз особи new!relations_name""),6,FALSE)
,
(IF
(
G7012=""юридична особа""
,
VLOOKUP"&amp;"(H7012,IMPORTRANGE(""https://docs.google.com/spreadsheets/d/14Bd19lYaqBhU8_DElYkX7l4wRkHqqCUFNJY4AfY3kHU/edit?usp=sharing  #gid=0"",""фіз особи new!relations_name_uo""),7,FALSE)
,
)
))"),"#N/A")</f>
        <v>#N/A</v>
      </c>
      <c r="J7011" s="7" t="s">
        <v>17</v>
      </c>
    </row>
    <row r="7012" spans="1:10" ht="13.2">
      <c r="A7012" s="7">
        <v>7011</v>
      </c>
      <c r="B7012" s="7">
        <v>1</v>
      </c>
      <c r="C7012" s="7" t="s">
        <v>10</v>
      </c>
      <c r="D7012" s="7">
        <v>6469</v>
      </c>
      <c r="E7012" s="7" t="s">
        <v>30</v>
      </c>
      <c r="F7012" s="8" t="str">
        <f ca="1">IFERROR(__xludf.DUMMYFUNCTION("IF
(
C7013=""фізична особа""
,
VLOOKUP(D7013,IMPORTRANGE(""https://docs.google.com/spreadsheets/d/14Bd19lYaqBhU8_DElYkX7l4wRkHqqCUFNJY4AfY3kHU/edit?usp=sharing  #gid=0"",""фіз особи new!relations_name""),6,FALSE)
,
(IF
(
C7013=""юридична особа""
,
VLOOKUP"&amp;"(D7013,IMPORTRANGE(""https://docs.google.com/spreadsheets/d/14Bd19lYaqBhU8_DElYkX7l4wRkHqqCUFNJY4AfY3kHU/edit?usp=sharing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12" s="7" t="s">
        <v>10</v>
      </c>
      <c r="H7012" s="7">
        <v>0</v>
      </c>
      <c r="I7012" s="8" t="str">
        <f ca="1">IFERROR(__xludf.DUMMYFUNCTION("IF
(
G7013=""фізична особа""
,
VLOOKUP(H7013,IMPORTRANGE(""https://docs.google.com/spreadsheets/d/14Bd19lYaqBhU8_DElYkX7l4wRkHqqCUFNJY4AfY3kHU/edit?usp=sharing  #gid=0"",""фіз особи new!relations_name""),6,FALSE)
,
(IF
(
G7013=""юридична особа""
,
VLOOKUP"&amp;"(H7013,IMPORTRANGE(""https://docs.google.com/spreadsheets/d/14Bd19lYaqBhU8_DElYkX7l4wRkHqqCUFNJY4AfY3kHU/edit?usp=sharing  #gid=0"",""фіз особи new!relations_name_uo""),7,FALSE)
,
)
))"),"#N/A")</f>
        <v>#N/A</v>
      </c>
      <c r="J7012" s="7" t="s">
        <v>30</v>
      </c>
    </row>
    <row r="7013" spans="1:10" ht="13.2">
      <c r="A7013" s="7">
        <v>7012</v>
      </c>
      <c r="B7013" s="7">
        <v>1</v>
      </c>
      <c r="C7013" s="7" t="s">
        <v>10</v>
      </c>
      <c r="D7013" s="7">
        <v>6469</v>
      </c>
      <c r="E7013" s="7" t="s">
        <v>18</v>
      </c>
      <c r="F7013" s="8" t="str">
        <f ca="1">IFERROR(__xludf.DUMMYFUNCTION("IF
(
C7014=""фізична особа""
,
VLOOKUP(D7014,IMPORTRANGE(""https://docs.google.com/spreadsheets/d/14Bd19lYaqBhU8_DElYkX7l4wRkHqqCUFNJY4AfY3kHU/edit?usp=sharing  #gid=0"",""фіз особи new!relations_name""),6,FALSE)
,
(IF
(
C7014=""юридична особа""
,
VLOOKUP"&amp;"(D7014,IMPORTRANGE(""https://docs.google.com/spreadsheets/d/14Bd19lYaqBhU8_DElYkX7l4wRkHqqCUFNJY4AfY3kHU/edit?usp=sharing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13" s="7" t="s">
        <v>10</v>
      </c>
      <c r="H7013" s="7">
        <v>0</v>
      </c>
      <c r="I7013" s="8" t="str">
        <f ca="1">IFERROR(__xludf.DUMMYFUNCTION("IF
(
G7014=""фізична особа""
,
VLOOKUP(H7014,IMPORTRANGE(""https://docs.google.com/spreadsheets/d/14Bd19lYaqBhU8_DElYkX7l4wRkHqqCUFNJY4AfY3kHU/edit?usp=sharing  #gid=0"",""фіз особи new!relations_name""),6,FALSE)
,
(IF
(
G7014=""юридична особа""
,
VLOOKUP"&amp;"(H7014,IMPORTRANGE(""https://docs.google.com/spreadsheets/d/14Bd19lYaqBhU8_DElYkX7l4wRkHqqCUFNJY4AfY3kHU/edit?usp=sharing  #gid=0"",""фіз особи new!relations_name_uo""),7,FALSE)
,
)
))"),"#N/A")</f>
        <v>#N/A</v>
      </c>
      <c r="J7013" s="7" t="s">
        <v>31</v>
      </c>
    </row>
    <row r="7014" spans="1:10" ht="13.2">
      <c r="A7014" s="7">
        <v>7013</v>
      </c>
      <c r="B7014" s="7">
        <v>1</v>
      </c>
      <c r="C7014" s="7" t="s">
        <v>10</v>
      </c>
      <c r="D7014" s="7">
        <v>6469</v>
      </c>
      <c r="E7014" s="7" t="s">
        <v>97</v>
      </c>
      <c r="F7014" s="8" t="str">
        <f ca="1">IFERROR(__xludf.DUMMYFUNCTION("IF
(
C7015=""фізична особа""
,
VLOOKUP(D7015,IMPORTRANGE(""https://docs.google.com/spreadsheets/d/14Bd19lYaqBhU8_DElYkX7l4wRkHqqCUFNJY4AfY3kHU/edit?usp=sharing  #gid=0"",""фіз особи new!relations_name""),6,FALSE)
,
(IF
(
C7015=""юридична особа""
,
VLOOKUP"&amp;"(D7015,IMPORTRANGE(""https://docs.google.com/spreadsheets/d/14Bd19lYaqBhU8_DElYkX7l4wRkHqqCUFNJY4AfY3kHU/edit?usp=sharing  #gid=0"",""фіз особи new!relations_name_uo""),7,FALSE)
,
)
))"),"ПУТІН Михайло Євгенійович")</f>
        <v>ПУТІН Михайло Євгенійович</v>
      </c>
      <c r="G7014" s="7" t="s">
        <v>10</v>
      </c>
      <c r="H7014" s="7">
        <v>880</v>
      </c>
      <c r="I7014" s="8" t="str">
        <f ca="1">IFERROR(__xludf.DUMMYFUNCTION("IF
(
G7015=""фізична особа""
,
VLOOKUP(H7015,IMPORTRANGE(""https://docs.google.com/spreadsheets/d/14Bd19lYaqBhU8_DElYkX7l4wRkHqqCUFNJY4AfY3kHU/edit?usp=sharing  #gid=0"",""фіз особи new!relations_name""),6,FALSE)
,
(IF
(
G7015=""юридична особа""
,
VLOOKUP"&amp;"(H7015,IMPORTRANGE(""https://docs.google.com/spreadsheets/d/14Bd19lYaqBhU8_DElYkX7l4wRkHqqCUFNJY4AfY3kHU/edit?usp=sharing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014" s="7" t="s">
        <v>71</v>
      </c>
    </row>
    <row r="7015" spans="1:10" ht="13.2">
      <c r="A7015" s="7">
        <v>7014</v>
      </c>
      <c r="B7015" s="7">
        <v>1</v>
      </c>
      <c r="C7015" s="7" t="s">
        <v>10</v>
      </c>
      <c r="D7015" s="7">
        <v>6515</v>
      </c>
      <c r="E7015" s="7" t="s">
        <v>23</v>
      </c>
      <c r="F7015" s="8" t="str">
        <f ca="1">IFERROR(__xludf.DUMMYFUNCTION("IF
(
C7016=""фізична особа""
,
VLOOKUP(D7016,IMPORTRANGE(""https://docs.google.com/spreadsheets/d/14Bd19lYaqBhU8_DElYkX7l4wRkHqqCUFNJY4AfY3kHU/edit?usp=sharing  #gid=0"",""фіз особи new!relations_name""),6,FALSE)
,
(IF
(
C7016=""юридична особа""
,
VLOOKUP"&amp;"(D7016,IMPORTRANGE(""https://docs.google.com/spreadsheets/d/14Bd19lYaqBhU8_DElYkX7l4wRkHqqCUFNJY4AfY3kHU/edit?usp=sharing  #gid=0"",""фіз особи new!relations_name_uo""),7,FALSE)
,
)
))"),"МЕНЖИНСЬКИЙ Сергій Юрійович")</f>
        <v>МЕНЖИНСЬКИЙ Сергій Юрійович</v>
      </c>
      <c r="G7015" s="7" t="s">
        <v>10</v>
      </c>
      <c r="H7015" s="7">
        <v>17639</v>
      </c>
      <c r="I7015" s="8" t="str">
        <f ca="1">IFERROR(__xludf.DUMMYFUNCTION("IF
(
G7016=""фізична особа""
,
VLOOKUP(H7016,IMPORTRANGE(""https://docs.google.com/spreadsheets/d/14Bd19lYaqBhU8_DElYkX7l4wRkHqqCUFNJY4AfY3kHU/edit?usp=sharing  #gid=0"",""фіз особи new!relations_name""),6,FALSE)
,
(IF
(
G7016=""юридична особа""
,
VLOOKUP"&amp;"(H7016,IMPORTRANGE(""https://docs.google.com/spreadsheets/d/14Bd19lYaqBhU8_DElYkX7l4wRkHqqCUFNJY4AfY3kHU/edit?usp=sharing  #gid=0"",""фіз особи new!relations_name_uo""),7,FALSE)
,
)
))"),"КОРНІЛОВ Денис Васильович")</f>
        <v>КОРНІЛОВ Денис Васильович</v>
      </c>
      <c r="J7015" s="7" t="s">
        <v>23</v>
      </c>
    </row>
    <row r="7016" spans="1:10" ht="13.2">
      <c r="A7016" s="7">
        <v>7015</v>
      </c>
      <c r="B7016" s="7">
        <v>1</v>
      </c>
      <c r="C7016" s="7" t="s">
        <v>10</v>
      </c>
      <c r="D7016" s="7">
        <v>6515</v>
      </c>
      <c r="E7016" s="7" t="s">
        <v>23</v>
      </c>
      <c r="F7016" s="8" t="str">
        <f ca="1">IFERROR(__xludf.DUMMYFUNCTION("IF
(
C7017=""фізична особа""
,
VLOOKUP(D7017,IMPORTRANGE(""https://docs.google.com/spreadsheets/d/14Bd19lYaqBhU8_DElYkX7l4wRkHqqCUFNJY4AfY3kHU/edit?usp=sharing  #gid=0"",""фіз особи new!relations_name""),6,FALSE)
,
(IF
(
C7017=""юридична особа""
,
VLOOKUP"&amp;"(D7017,IMPORTRANGE(""https://docs.google.com/spreadsheets/d/14Bd19lYaqBhU8_DElYkX7l4wRkHqqCUFNJY4AfY3kHU/edit?usp=sharing  #gid=0"",""фіз особи new!relations_name_uo""),7,FALSE)
,
)
))"),"МЕНЖИНСЬКИЙ Сергій Юрійович")</f>
        <v>МЕНЖИНСЬКИЙ Сергій Юрійович</v>
      </c>
      <c r="G7016" s="7" t="s">
        <v>10</v>
      </c>
      <c r="H7016" s="7">
        <v>0</v>
      </c>
      <c r="I7016" s="8" t="str">
        <f ca="1">IFERROR(__xludf.DUMMYFUNCTION("IF
(
G7017=""фізична особа""
,
VLOOKUP(H7017,IMPORTRANGE(""https://docs.google.com/spreadsheets/d/14Bd19lYaqBhU8_DElYkX7l4wRkHqqCUFNJY4AfY3kHU/edit?usp=sharing  #gid=0"",""фіз особи new!relations_name""),6,FALSE)
,
(IF
(
G7017=""юридична особа""
,
VLOOKUP"&amp;"(H7017,IMPORTRANGE(""https://docs.google.com/spreadsheets/d/14Bd19lYaqBhU8_DElYkX7l4wRkHqqCUFNJY4AfY3kHU/edit?usp=sharing  #gid=0"",""фіз особи new!relations_name_uo""),7,FALSE)
,
)
))"),"#N/A")</f>
        <v>#N/A</v>
      </c>
      <c r="J7016" s="7" t="s">
        <v>23</v>
      </c>
    </row>
    <row r="7017" spans="1:10" ht="13.2">
      <c r="A7017" s="7">
        <v>7016</v>
      </c>
      <c r="B7017" s="7">
        <v>1</v>
      </c>
      <c r="C7017" s="7" t="s">
        <v>10</v>
      </c>
      <c r="D7017" s="7">
        <v>6515</v>
      </c>
      <c r="E7017" s="7" t="s">
        <v>23</v>
      </c>
      <c r="F7017" s="8" t="str">
        <f ca="1">IFERROR(__xludf.DUMMYFUNCTION("IF
(
C7018=""фізична особа""
,
VLOOKUP(D7018,IMPORTRANGE(""https://docs.google.com/spreadsheets/d/14Bd19lYaqBhU8_DElYkX7l4wRkHqqCUFNJY4AfY3kHU/edit?usp=sharing  #gid=0"",""фіз особи new!relations_name""),6,FALSE)
,
(IF
(
C7018=""юридична особа""
,
VLOOKUP"&amp;"(D7018,IMPORTRANGE(""https://docs.google.com/spreadsheets/d/14Bd19lYaqBhU8_DElYkX7l4wRkHqqCUFNJY4AfY3kHU/edit?usp=sharing  #gid=0"",""фіз особи new!relations_name_uo""),7,FALSE)
,
)
))"),"МЕНЖИНСЬКИЙ Сергій Юрійович")</f>
        <v>МЕНЖИНСЬКИЙ Сергій Юрійович</v>
      </c>
      <c r="G7017" s="7" t="s">
        <v>10</v>
      </c>
      <c r="H7017" s="7">
        <v>8510</v>
      </c>
      <c r="I7017" s="8" t="str">
        <f ca="1">IFERROR(__xludf.DUMMYFUNCTION("IF
(
G7018=""фізична особа""
,
VLOOKUP(H7018,IMPORTRANGE(""https://docs.google.com/spreadsheets/d/14Bd19lYaqBhU8_DElYkX7l4wRkHqqCUFNJY4AfY3kHU/edit?usp=sharing  #gid=0"",""фіз особи new!relations_name""),6,FALSE)
,
(IF
(
G7018=""юридична особа""
,
VLOOKUP"&amp;"(H7018,IMPORTRANGE(""https://docs.google.com/spreadsheets/d/14Bd19lYaqBhU8_DElYkX7l4wRkHqqCUFNJY4AfY3kHU/edit?usp=sharing  #gid=0"",""фіз особи new!relations_name_uo""),7,FALSE)
,
)
))"),"ЖУЙКОВ Андрій Євгенійович")</f>
        <v>ЖУЙКОВ Андрій Євгенійович</v>
      </c>
      <c r="J7017" s="7" t="s">
        <v>23</v>
      </c>
    </row>
    <row r="7018" spans="1:10" ht="13.2">
      <c r="A7018" s="7">
        <v>7017</v>
      </c>
      <c r="B7018" s="7">
        <v>1</v>
      </c>
      <c r="C7018" s="7" t="s">
        <v>10</v>
      </c>
      <c r="D7018" s="7">
        <v>6515</v>
      </c>
      <c r="E7018" s="7" t="s">
        <v>23</v>
      </c>
      <c r="F7018" s="8" t="str">
        <f ca="1">IFERROR(__xludf.DUMMYFUNCTION("IF
(
C7019=""фізична особа""
,
VLOOKUP(D7019,IMPORTRANGE(""https://docs.google.com/spreadsheets/d/14Bd19lYaqBhU8_DElYkX7l4wRkHqqCUFNJY4AfY3kHU/edit?usp=sharing  #gid=0"",""фіз особи new!relations_name""),6,FALSE)
,
(IF
(
C7019=""юридична особа""
,
VLOOKUP"&amp;"(D7019,IMPORTRANGE(""https://docs.google.com/spreadsheets/d/14Bd19lYaqBhU8_DElYkX7l4wRkHqqCUFNJY4AfY3kHU/edit?usp=sharing  #gid=0"",""фіз особи new!relations_name_uo""),7,FALSE)
,
)
))"),"МЕНЖИНСЬКИЙ Сергій Юрійович")</f>
        <v>МЕНЖИНСЬКИЙ Сергій Юрійович</v>
      </c>
      <c r="G7018" s="7" t="s">
        <v>10</v>
      </c>
      <c r="H7018" s="7">
        <v>0</v>
      </c>
      <c r="I7018" s="8" t="str">
        <f ca="1">IFERROR(__xludf.DUMMYFUNCTION("IF
(
G7019=""фізична особа""
,
VLOOKUP(H7019,IMPORTRANGE(""https://docs.google.com/spreadsheets/d/14Bd19lYaqBhU8_DElYkX7l4wRkHqqCUFNJY4AfY3kHU/edit?usp=sharing  #gid=0"",""фіз особи new!relations_name""),6,FALSE)
,
(IF
(
G7019=""юридична особа""
,
VLOOKUP"&amp;"(H7019,IMPORTRANGE(""https://docs.google.com/spreadsheets/d/14Bd19lYaqBhU8_DElYkX7l4wRkHqqCUFNJY4AfY3kHU/edit?usp=sharing  #gid=0"",""фіз особи new!relations_name_uo""),7,FALSE)
,
)
))"),"#N/A")</f>
        <v>#N/A</v>
      </c>
      <c r="J7018" s="7" t="s">
        <v>23</v>
      </c>
    </row>
    <row r="7019" spans="1:10" ht="13.2">
      <c r="A7019" s="7">
        <v>7018</v>
      </c>
      <c r="B7019" s="7">
        <v>1</v>
      </c>
      <c r="C7019" s="7" t="s">
        <v>10</v>
      </c>
      <c r="D7019" s="7">
        <v>6565</v>
      </c>
      <c r="E7019" s="7" t="s">
        <v>30</v>
      </c>
      <c r="F7019" s="8" t="str">
        <f ca="1">IFERROR(__xludf.DUMMYFUNCTION("IF
(
C7020=""фізична особа""
,
VLOOKUP(D7020,IMPORTRANGE(""https://docs.google.com/spreadsheets/d/14Bd19lYaqBhU8_DElYkX7l4wRkHqqCUFNJY4AfY3kHU/edit?usp=sharing  #gid=0"",""фіз особи new!relations_name""),6,FALSE)
,
(IF
(
C7020=""юридична особа""
,
VLOOKUP"&amp;"(D7020,IMPORTRANGE(""https://docs.google.com/spreadsheets/d/14Bd19lYaqBhU8_DElYkX7l4wRkHqqCUFNJY4AfY3kHU/edit?usp=sharing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G7019" s="7" t="s">
        <v>10</v>
      </c>
      <c r="H7019" s="7">
        <v>6566</v>
      </c>
      <c r="I7019" s="8" t="str">
        <f ca="1">IFERROR(__xludf.DUMMYFUNCTION("IF
(
G7020=""фізична особа""
,
VLOOKUP(H7020,IMPORTRANGE(""https://docs.google.com/spreadsheets/d/14Bd19lYaqBhU8_DElYkX7l4wRkHqqCUFNJY4AfY3kHU/edit?usp=sharing  #gid=0"",""фіз особи new!relations_name""),6,FALSE)
,
(IF
(
G7020=""юридична особа""
,
VLOOKUP"&amp;"(H7020,IMPORTRANGE(""https://docs.google.com/spreadsheets/d/14Bd19lYaqBhU8_DElYkX7l4wRkHqqCUFNJY4AfY3kHU/edit?usp=sharing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J7019" s="7" t="s">
        <v>30</v>
      </c>
    </row>
    <row r="7020" spans="1:10" ht="13.2">
      <c r="A7020" s="7">
        <v>7019</v>
      </c>
      <c r="B7020" s="7">
        <v>1</v>
      </c>
      <c r="C7020" s="7" t="s">
        <v>10</v>
      </c>
      <c r="D7020" s="7">
        <v>6565</v>
      </c>
      <c r="E7020" s="7" t="s">
        <v>29</v>
      </c>
      <c r="F7020" s="8" t="str">
        <f ca="1">IFERROR(__xludf.DUMMYFUNCTION("IF
(
C7021=""фізична особа""
,
VLOOKUP(D7021,IMPORTRANGE(""https://docs.google.com/spreadsheets/d/14Bd19lYaqBhU8_DElYkX7l4wRkHqqCUFNJY4AfY3kHU/edit?usp=sharing  #gid=0"",""фіз особи new!relations_name""),6,FALSE)
,
(IF
(
C7021=""юридична особа""
,
VLOOKUP"&amp;"(D7021,IMPORTRANGE(""https://docs.google.com/spreadsheets/d/14Bd19lYaqBhU8_DElYkX7l4wRkHqqCUFNJY4AfY3kHU/edit?usp=sharing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G7020" s="7" t="s">
        <v>10</v>
      </c>
      <c r="H7020" s="7">
        <v>6567</v>
      </c>
      <c r="I7020" s="8" t="str">
        <f ca="1">IFERROR(__xludf.DUMMYFUNCTION("IF
(
G7021=""фізична особа""
,
VLOOKUP(H7021,IMPORTRANGE(""https://docs.google.com/spreadsheets/d/14Bd19lYaqBhU8_DElYkX7l4wRkHqqCUFNJY4AfY3kHU/edit?usp=sharing  #gid=0"",""фіз особи new!relations_name""),6,FALSE)
,
(IF
(
G7021=""юридична особа""
,
VLOOKUP"&amp;"(H7021,IMPORTRANGE(""https://docs.google.com/spreadsheets/d/14Bd19lYaqBhU8_DElYkX7l4wRkHqqCUFNJY4AfY3kHU/edit?usp=sharing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J7020" s="7" t="s">
        <v>28</v>
      </c>
    </row>
    <row r="7021" spans="1:10" ht="13.2">
      <c r="A7021" s="7">
        <v>7020</v>
      </c>
      <c r="B7021" s="7">
        <v>1</v>
      </c>
      <c r="C7021" s="7" t="s">
        <v>10</v>
      </c>
      <c r="D7021" s="7">
        <v>6565</v>
      </c>
      <c r="E7021" s="7" t="s">
        <v>28</v>
      </c>
      <c r="F7021" s="8" t="str">
        <f ca="1">IFERROR(__xludf.DUMMYFUNCTION("IF
(
C7022=""фізична особа""
,
VLOOKUP(D7022,IMPORTRANGE(""https://docs.google.com/spreadsheets/d/14Bd19lYaqBhU8_DElYkX7l4wRkHqqCUFNJY4AfY3kHU/edit?usp=sharing  #gid=0"",""фіз особи new!relations_name""),6,FALSE)
,
(IF
(
C7022=""юридична особа""
,
VLOOKUP"&amp;"(D7022,IMPORTRANGE(""https://docs.google.com/spreadsheets/d/14Bd19lYaqBhU8_DElYkX7l4wRkHqqCUFNJY4AfY3kHU/edit?usp=sharing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G7021" s="7" t="s">
        <v>10</v>
      </c>
      <c r="H7021" s="7">
        <v>6550</v>
      </c>
      <c r="I7021" s="8" t="str">
        <f ca="1">IFERROR(__xludf.DUMMYFUNCTION("IF
(
G7022=""фізична особа""
,
VLOOKUP(H7022,IMPORTRANGE(""https://docs.google.com/spreadsheets/d/14Bd19lYaqBhU8_DElYkX7l4wRkHqqCUFNJY4AfY3kHU/edit?usp=sharing  #gid=0"",""фіз особи new!relations_name""),6,FALSE)
,
(IF
(
G7022=""юридична особа""
,
VLOOKUP"&amp;"(H7022,IMPORTRANGE(""https://docs.google.com/spreadsheets/d/14Bd19lYaqBhU8_DElYkX7l4wRkHqqCUFNJY4AfY3kHU/edit?usp=sharing  #gid=0"",""фіз особи new!relations_name_uo""),7,FALSE)
,
)
))"),"ЛЕННКХ Пітер")</f>
        <v>ЛЕННКХ Пітер</v>
      </c>
      <c r="J7021" s="7" t="s">
        <v>29</v>
      </c>
    </row>
    <row r="7022" spans="1:10" ht="13.2">
      <c r="A7022" s="7">
        <v>7021</v>
      </c>
      <c r="B7022" s="7">
        <v>1</v>
      </c>
      <c r="C7022" s="7" t="s">
        <v>10</v>
      </c>
      <c r="D7022" s="7">
        <v>6566</v>
      </c>
      <c r="E7022" s="7" t="s">
        <v>30</v>
      </c>
      <c r="F7022" s="8" t="str">
        <f ca="1">IFERROR(__xludf.DUMMYFUNCTION("IF
(
C7023=""фізична особа""
,
VLOOKUP(D7023,IMPORTRANGE(""https://docs.google.com/spreadsheets/d/14Bd19lYaqBhU8_DElYkX7l4wRkHqqCUFNJY4AfY3kHU/edit?usp=sharing  #gid=0"",""фіз особи new!relations_name""),6,FALSE)
,
(IF
(
C7023=""юридична особа""
,
VLOOKUP"&amp;"(D7023,IMPORTRANGE(""https://docs.google.com/spreadsheets/d/14Bd19lYaqBhU8_DElYkX7l4wRkHqqCUFNJY4AfY3kHU/edit?usp=sharing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G7022" s="7" t="s">
        <v>10</v>
      </c>
      <c r="H7022" s="7">
        <v>6565</v>
      </c>
      <c r="I7022" s="8" t="str">
        <f ca="1">IFERROR(__xludf.DUMMYFUNCTION("IF
(
G7023=""фізична особа""
,
VLOOKUP(H7023,IMPORTRANGE(""https://docs.google.com/spreadsheets/d/14Bd19lYaqBhU8_DElYkX7l4wRkHqqCUFNJY4AfY3kHU/edit?usp=sharing  #gid=0"",""фіз особи new!relations_name""),6,FALSE)
,
(IF
(
G7023=""юридична особа""
,
VLOOKUP"&amp;"(H7023,IMPORTRANGE(""https://docs.google.com/spreadsheets/d/14Bd19lYaqBhU8_DElYkX7l4wRkHqqCUFNJY4AfY3kHU/edit?usp=sharing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J7022" s="7" t="s">
        <v>30</v>
      </c>
    </row>
    <row r="7023" spans="1:10" ht="13.2">
      <c r="A7023" s="7">
        <v>7022</v>
      </c>
      <c r="B7023" s="7">
        <v>1</v>
      </c>
      <c r="C7023" s="7" t="s">
        <v>10</v>
      </c>
      <c r="D7023" s="7">
        <v>6566</v>
      </c>
      <c r="E7023" s="7" t="s">
        <v>30</v>
      </c>
      <c r="F7023" s="8" t="str">
        <f ca="1">IFERROR(__xludf.DUMMYFUNCTION("IF
(
C7024=""фізична особа""
,
VLOOKUP(D7024,IMPORTRANGE(""https://docs.google.com/spreadsheets/d/14Bd19lYaqBhU8_DElYkX7l4wRkHqqCUFNJY4AfY3kHU/edit?usp=sharing  #gid=0"",""фіз особи new!relations_name""),6,FALSE)
,
(IF
(
C7024=""юридична особа""
,
VLOOKUP"&amp;"(D7024,IMPORTRANGE(""https://docs.google.com/spreadsheets/d/14Bd19lYaqBhU8_DElYkX7l4wRkHqqCUFNJY4AfY3kHU/edit?usp=sharing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G7023" s="7" t="s">
        <v>10</v>
      </c>
      <c r="H7023" s="7">
        <v>6567</v>
      </c>
      <c r="I7023" s="8" t="str">
        <f ca="1">IFERROR(__xludf.DUMMYFUNCTION("IF
(
G7024=""фізична особа""
,
VLOOKUP(H7024,IMPORTRANGE(""https://docs.google.com/spreadsheets/d/14Bd19lYaqBhU8_DElYkX7l4wRkHqqCUFNJY4AfY3kHU/edit?usp=sharing  #gid=0"",""фіз особи new!relations_name""),6,FALSE)
,
(IF
(
G7024=""юридична особа""
,
VLOOKUP"&amp;"(H7024,IMPORTRANGE(""https://docs.google.com/spreadsheets/d/14Bd19lYaqBhU8_DElYkX7l4wRkHqqCUFNJY4AfY3kHU/edit?usp=sharing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J7023" s="7" t="s">
        <v>30</v>
      </c>
    </row>
    <row r="7024" spans="1:10" ht="13.2">
      <c r="A7024" s="7">
        <v>7023</v>
      </c>
      <c r="B7024" s="7">
        <v>1</v>
      </c>
      <c r="C7024" s="7" t="s">
        <v>10</v>
      </c>
      <c r="D7024" s="7">
        <v>6566</v>
      </c>
      <c r="E7024" s="7" t="s">
        <v>30</v>
      </c>
      <c r="F7024" s="8" t="str">
        <f ca="1">IFERROR(__xludf.DUMMYFUNCTION("IF
(
C7025=""фізична особа""
,
VLOOKUP(D7025,IMPORTRANGE(""https://docs.google.com/spreadsheets/d/14Bd19lYaqBhU8_DElYkX7l4wRkHqqCUFNJY4AfY3kHU/edit?usp=sharing  #gid=0"",""фіз особи new!relations_name""),6,FALSE)
,
(IF
(
C7025=""юридична особа""
,
VLOOKUP"&amp;"(D7025,IMPORTRANGE(""https://docs.google.com/spreadsheets/d/14Bd19lYaqBhU8_DElYkX7l4wRkHqqCUFNJY4AfY3kHU/edit?usp=sharing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G7024" s="7" t="s">
        <v>10</v>
      </c>
      <c r="H7024" s="7">
        <v>6550</v>
      </c>
      <c r="I7024" s="8" t="str">
        <f ca="1">IFERROR(__xludf.DUMMYFUNCTION("IF
(
G7025=""фізична особа""
,
VLOOKUP(H7025,IMPORTRANGE(""https://docs.google.com/spreadsheets/d/14Bd19lYaqBhU8_DElYkX7l4wRkHqqCUFNJY4AfY3kHU/edit?usp=sharing  #gid=0"",""фіз особи new!relations_name""),6,FALSE)
,
(IF
(
G7025=""юридична особа""
,
VLOOKUP"&amp;"(H7025,IMPORTRANGE(""https://docs.google.com/spreadsheets/d/14Bd19lYaqBhU8_DElYkX7l4wRkHqqCUFNJY4AfY3kHU/edit?usp=sharing  #gid=0"",""фіз особи new!relations_name_uo""),7,FALSE)
,
)
))"),"ЛЕННКХ Пітер")</f>
        <v>ЛЕННКХ Пітер</v>
      </c>
      <c r="J7024" s="7" t="s">
        <v>30</v>
      </c>
    </row>
    <row r="7025" spans="1:10" ht="13.2">
      <c r="A7025" s="7">
        <v>7024</v>
      </c>
      <c r="B7025" s="7">
        <v>1</v>
      </c>
      <c r="C7025" s="7" t="s">
        <v>10</v>
      </c>
      <c r="D7025" s="7">
        <v>6567</v>
      </c>
      <c r="E7025" s="7" t="s">
        <v>30</v>
      </c>
      <c r="F7025" s="8" t="str">
        <f ca="1">IFERROR(__xludf.DUMMYFUNCTION("IF
(
C7026=""фізична особа""
,
VLOOKUP(D7026,IMPORTRANGE(""https://docs.google.com/spreadsheets/d/14Bd19lYaqBhU8_DElYkX7l4wRkHqqCUFNJY4AfY3kHU/edit?usp=sharing  #gid=0"",""фіз особи new!relations_name""),6,FALSE)
,
(IF
(
C7026=""юридична особа""
,
VLOOKUP"&amp;"(D7026,IMPORTRANGE(""https://docs.google.com/spreadsheets/d/14Bd19lYaqBhU8_DElYkX7l4wRkHqqCUFNJY4AfY3kHU/edit?usp=sharing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G7025" s="7" t="s">
        <v>10</v>
      </c>
      <c r="H7025" s="7">
        <v>6566</v>
      </c>
      <c r="I7025" s="8" t="str">
        <f ca="1">IFERROR(__xludf.DUMMYFUNCTION("IF
(
G7026=""фізична особа""
,
VLOOKUP(H7026,IMPORTRANGE(""https://docs.google.com/spreadsheets/d/14Bd19lYaqBhU8_DElYkX7l4wRkHqqCUFNJY4AfY3kHU/edit?usp=sharing  #gid=0"",""фіз особи new!relations_name""),6,FALSE)
,
(IF
(
G7026=""юридична особа""
,
VLOOKUP"&amp;"(H7026,IMPORTRANGE(""https://docs.google.com/spreadsheets/d/14Bd19lYaqBhU8_DElYkX7l4wRkHqqCUFNJY4AfY3kHU/edit?usp=sharing  #gid=0"",""фіз особи new!relations_name_uo""),7,FALSE)
,
)
))"),"ШАКІРОВА Ганна Арсенівна")</f>
        <v>ШАКІРОВА Ганна Арсенівна</v>
      </c>
      <c r="J7025" s="7" t="s">
        <v>30</v>
      </c>
    </row>
    <row r="7026" spans="1:10" ht="13.2">
      <c r="A7026" s="7">
        <v>7025</v>
      </c>
      <c r="B7026" s="7">
        <v>1</v>
      </c>
      <c r="C7026" s="7" t="s">
        <v>10</v>
      </c>
      <c r="D7026" s="7">
        <v>6567</v>
      </c>
      <c r="E7026" s="7" t="s">
        <v>28</v>
      </c>
      <c r="F7026" s="8" t="str">
        <f ca="1">IFERROR(__xludf.DUMMYFUNCTION("IF
(
C7027=""фізична особа""
,
VLOOKUP(D7027,IMPORTRANGE(""https://docs.google.com/spreadsheets/d/14Bd19lYaqBhU8_DElYkX7l4wRkHqqCUFNJY4AfY3kHU/edit?usp=sharing  #gid=0"",""фіз особи new!relations_name""),6,FALSE)
,
(IF
(
C7027=""юридична особа""
,
VLOOKUP"&amp;"(D7027,IMPORTRANGE(""https://docs.google.com/spreadsheets/d/14Bd19lYaqBhU8_DElYkX7l4wRkHqqCUFNJY4AfY3kHU/edit?usp=sharing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G7026" s="7" t="s">
        <v>10</v>
      </c>
      <c r="H7026" s="7">
        <v>6565</v>
      </c>
      <c r="I7026" s="8" t="str">
        <f ca="1">IFERROR(__xludf.DUMMYFUNCTION("IF
(
G7027=""фізична особа""
,
VLOOKUP(H7027,IMPORTRANGE(""https://docs.google.com/spreadsheets/d/14Bd19lYaqBhU8_DElYkX7l4wRkHqqCUFNJY4AfY3kHU/edit?usp=sharing  #gid=0"",""фіз особи new!relations_name""),6,FALSE)
,
(IF
(
G7027=""юридична особа""
,
VLOOKUP"&amp;"(H7027,IMPORTRANGE(""https://docs.google.com/spreadsheets/d/14Bd19lYaqBhU8_DElYkX7l4wRkHqqCUFNJY4AfY3kHU/edit?usp=sharing  #gid=0"",""фіз особи new!relations_name_uo""),7,FALSE)
,
)
))"),"КАТКОВ Олексій Борисович")</f>
        <v>КАТКОВ Олексій Борисович</v>
      </c>
      <c r="J7026" s="7" t="s">
        <v>29</v>
      </c>
    </row>
    <row r="7027" spans="1:10" ht="13.2">
      <c r="A7027" s="7">
        <v>7026</v>
      </c>
      <c r="B7027" s="7">
        <v>1</v>
      </c>
      <c r="C7027" s="7" t="s">
        <v>10</v>
      </c>
      <c r="D7027" s="7">
        <v>6567</v>
      </c>
      <c r="E7027" s="7" t="s">
        <v>28</v>
      </c>
      <c r="F7027" s="8" t="str">
        <f ca="1">IFERROR(__xludf.DUMMYFUNCTION("IF
(
C7028=""фізична особа""
,
VLOOKUP(D7028,IMPORTRANGE(""https://docs.google.com/spreadsheets/d/14Bd19lYaqBhU8_DElYkX7l4wRkHqqCUFNJY4AfY3kHU/edit?usp=sharing  #gid=0"",""фіз особи new!relations_name""),6,FALSE)
,
(IF
(
C7028=""юридична особа""
,
VLOOKUP"&amp;"(D7028,IMPORTRANGE(""https://docs.google.com/spreadsheets/d/14Bd19lYaqBhU8_DElYkX7l4wRkHqqCUFNJY4AfY3kHU/edit?usp=sharing  #gid=0"",""фіз особи new!relations_name_uo""),7,FALSE)
,
)
))"),"ГІНІЯТУЛЛІН Іскандер")</f>
        <v>ГІНІЯТУЛЛІН Іскандер</v>
      </c>
      <c r="G7027" s="7" t="s">
        <v>10</v>
      </c>
      <c r="H7027" s="7">
        <v>6560</v>
      </c>
      <c r="I7027" s="8" t="str">
        <f ca="1">IFERROR(__xludf.DUMMYFUNCTION("IF
(
G7028=""фізична особа""
,
VLOOKUP(H7028,IMPORTRANGE(""https://docs.google.com/spreadsheets/d/14Bd19lYaqBhU8_DElYkX7l4wRkHqqCUFNJY4AfY3kHU/edit?usp=sharing  #gid=0"",""фіз особи new!relations_name""),6,FALSE)
,
(IF
(
G7028=""юридична особа""
,
VLOOKUP"&amp;"(H7028,IMPORTRANGE(""https://docs.google.com/spreadsheets/d/14Bd19lYaqBhU8_DElYkX7l4wRkHqqCUFNJY4AfY3kHU/edit?usp=sharing  #gid=0"",""фіз особи new!relations_name_uo""),7,FALSE)
,
)
))"),"ЕЙМЕРИК Пилип Жан Рожер")</f>
        <v>ЕЙМЕРИК Пилип Жан Рожер</v>
      </c>
      <c r="J7027" s="7" t="s">
        <v>29</v>
      </c>
    </row>
    <row r="7028" spans="1:10" ht="13.2">
      <c r="A7028" s="7">
        <v>7027</v>
      </c>
      <c r="B7028" s="7">
        <v>1</v>
      </c>
      <c r="C7028" s="7" t="s">
        <v>10</v>
      </c>
      <c r="D7028" s="7">
        <v>6579</v>
      </c>
      <c r="E7028" s="7" t="s">
        <v>30</v>
      </c>
      <c r="F7028" s="8" t="str">
        <f ca="1">IFERROR(__xludf.DUMMYFUNCTION("IF
(
C7029=""фізична особа""
,
VLOOKUP(D7029,IMPORTRANGE(""https://docs.google.com/spreadsheets/d/14Bd19lYaqBhU8_DElYkX7l4wRkHqqCUFNJY4AfY3kHU/edit?usp=sharing  #gid=0"",""фіз особи new!relations_name""),6,FALSE)
,
(IF
(
C7029=""юридична особа""
,
VLOOKUP"&amp;"(D7029,IMPORTRANGE(""https://docs.google.com/spreadsheets/d/14Bd19lYaqBhU8_DElYkX7l4wRkHqqCUFNJY4AfY3kHU/edit?usp=sharing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28" s="7" t="s">
        <v>10</v>
      </c>
      <c r="H7028" s="7">
        <v>0</v>
      </c>
      <c r="I7028" s="8" t="str">
        <f ca="1">IFERROR(__xludf.DUMMYFUNCTION("IF
(
G7029=""фізична особа""
,
VLOOKUP(H7029,IMPORTRANGE(""https://docs.google.com/spreadsheets/d/14Bd19lYaqBhU8_DElYkX7l4wRkHqqCUFNJY4AfY3kHU/edit?usp=sharing  #gid=0"",""фіз особи new!relations_name""),6,FALSE)
,
(IF
(
G7029=""юридична особа""
,
VLOOKUP"&amp;"(H7029,IMPORTRANGE(""https://docs.google.com/spreadsheets/d/14Bd19lYaqBhU8_DElYkX7l4wRkHqqCUFNJY4AfY3kHU/edit?usp=sharing  #gid=0"",""фіз особи new!relations_name_uo""),7,FALSE)
,
)
))"),"#N/A")</f>
        <v>#N/A</v>
      </c>
      <c r="J7028" s="7" t="s">
        <v>30</v>
      </c>
    </row>
    <row r="7029" spans="1:10" ht="13.2">
      <c r="A7029" s="7">
        <v>7028</v>
      </c>
      <c r="B7029" s="7">
        <v>1</v>
      </c>
      <c r="C7029" s="7" t="s">
        <v>10</v>
      </c>
      <c r="D7029" s="7">
        <v>6579</v>
      </c>
      <c r="E7029" s="7" t="s">
        <v>30</v>
      </c>
      <c r="F7029" s="8" t="str">
        <f ca="1">IFERROR(__xludf.DUMMYFUNCTION("IF
(
C7030=""фізична особа""
,
VLOOKUP(D7030,IMPORTRANGE(""https://docs.google.com/spreadsheets/d/14Bd19lYaqBhU8_DElYkX7l4wRkHqqCUFNJY4AfY3kHU/edit?usp=sharing  #gid=0"",""фіз особи new!relations_name""),6,FALSE)
,
(IF
(
C7030=""юридична особа""
,
VLOOKUP"&amp;"(D7030,IMPORTRANGE(""https://docs.google.com/spreadsheets/d/14Bd19lYaqBhU8_DElYkX7l4wRkHqqCUFNJY4AfY3kHU/edit?usp=sharing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29" s="7" t="s">
        <v>10</v>
      </c>
      <c r="H7029" s="7">
        <v>0</v>
      </c>
      <c r="I7029" s="8" t="str">
        <f ca="1">IFERROR(__xludf.DUMMYFUNCTION("IF
(
G7030=""фізична особа""
,
VLOOKUP(H7030,IMPORTRANGE(""https://docs.google.com/spreadsheets/d/14Bd19lYaqBhU8_DElYkX7l4wRkHqqCUFNJY4AfY3kHU/edit?usp=sharing  #gid=0"",""фіз особи new!relations_name""),6,FALSE)
,
(IF
(
G7030=""юридична особа""
,
VLOOKUP"&amp;"(H7030,IMPORTRANGE(""https://docs.google.com/spreadsheets/d/14Bd19lYaqBhU8_DElYkX7l4wRkHqqCUFNJY4AfY3kHU/edit?usp=sharing  #gid=0"",""фіз особи new!relations_name_uo""),7,FALSE)
,
)
))"),"#N/A")</f>
        <v>#N/A</v>
      </c>
      <c r="J7029" s="7" t="s">
        <v>30</v>
      </c>
    </row>
    <row r="7030" spans="1:10" ht="13.2">
      <c r="A7030" s="7">
        <v>7029</v>
      </c>
      <c r="B7030" s="7">
        <v>1</v>
      </c>
      <c r="C7030" s="7" t="s">
        <v>10</v>
      </c>
      <c r="D7030" s="7">
        <v>6579</v>
      </c>
      <c r="E7030" s="7" t="s">
        <v>30</v>
      </c>
      <c r="F7030" s="8" t="str">
        <f ca="1">IFERROR(__xludf.DUMMYFUNCTION("IF
(
C7031=""фізична особа""
,
VLOOKUP(D7031,IMPORTRANGE(""https://docs.google.com/spreadsheets/d/14Bd19lYaqBhU8_DElYkX7l4wRkHqqCUFNJY4AfY3kHU/edit?usp=sharing  #gid=0"",""фіз особи new!relations_name""),6,FALSE)
,
(IF
(
C7031=""юридична особа""
,
VLOOKUP"&amp;"(D7031,IMPORTRANGE(""https://docs.google.com/spreadsheets/d/14Bd19lYaqBhU8_DElYkX7l4wRkHqqCUFNJY4AfY3kHU/edit?usp=sharing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0" s="7" t="s">
        <v>10</v>
      </c>
      <c r="H7030" s="7">
        <v>0</v>
      </c>
      <c r="I7030" s="8" t="str">
        <f ca="1">IFERROR(__xludf.DUMMYFUNCTION("IF
(
G7031=""фізична особа""
,
VLOOKUP(H7031,IMPORTRANGE(""https://docs.google.com/spreadsheets/d/14Bd19lYaqBhU8_DElYkX7l4wRkHqqCUFNJY4AfY3kHU/edit?usp=sharing  #gid=0"",""фіз особи new!relations_name""),6,FALSE)
,
(IF
(
G7031=""юридична особа""
,
VLOOKUP"&amp;"(H7031,IMPORTRANGE(""https://docs.google.com/spreadsheets/d/14Bd19lYaqBhU8_DElYkX7l4wRkHqqCUFNJY4AfY3kHU/edit?usp=sharing  #gid=0"",""фіз особи new!relations_name_uo""),7,FALSE)
,
)
))"),"#N/A")</f>
        <v>#N/A</v>
      </c>
      <c r="J7030" s="7" t="s">
        <v>30</v>
      </c>
    </row>
    <row r="7031" spans="1:10" ht="13.2">
      <c r="A7031" s="7">
        <v>7030</v>
      </c>
      <c r="B7031" s="7">
        <v>1</v>
      </c>
      <c r="C7031" s="7" t="s">
        <v>10</v>
      </c>
      <c r="D7031" s="7">
        <v>6579</v>
      </c>
      <c r="E7031" s="7" t="s">
        <v>30</v>
      </c>
      <c r="F7031" s="8" t="str">
        <f ca="1">IFERROR(__xludf.DUMMYFUNCTION("IF
(
C7032=""фізична особа""
,
VLOOKUP(D7032,IMPORTRANGE(""https://docs.google.com/spreadsheets/d/14Bd19lYaqBhU8_DElYkX7l4wRkHqqCUFNJY4AfY3kHU/edit?usp=sharing  #gid=0"",""фіз особи new!relations_name""),6,FALSE)
,
(IF
(
C7032=""юридична особа""
,
VLOOKUP"&amp;"(D7032,IMPORTRANGE(""https://docs.google.com/spreadsheets/d/14Bd19lYaqBhU8_DElYkX7l4wRkHqqCUFNJY4AfY3kHU/edit?usp=sharing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1" s="7" t="s">
        <v>10</v>
      </c>
      <c r="H7031" s="7">
        <v>0</v>
      </c>
      <c r="I7031" s="8" t="str">
        <f ca="1">IFERROR(__xludf.DUMMYFUNCTION("IF
(
G7032=""фізична особа""
,
VLOOKUP(H7032,IMPORTRANGE(""https://docs.google.com/spreadsheets/d/14Bd19lYaqBhU8_DElYkX7l4wRkHqqCUFNJY4AfY3kHU/edit?usp=sharing  #gid=0"",""фіз особи new!relations_name""),6,FALSE)
,
(IF
(
G7032=""юридична особа""
,
VLOOKUP"&amp;"(H7032,IMPORTRANGE(""https://docs.google.com/spreadsheets/d/14Bd19lYaqBhU8_DElYkX7l4wRkHqqCUFNJY4AfY3kHU/edit?usp=sharing  #gid=0"",""фіз особи new!relations_name_uo""),7,FALSE)
,
)
))"),"#N/A")</f>
        <v>#N/A</v>
      </c>
      <c r="J7031" s="7" t="s">
        <v>30</v>
      </c>
    </row>
    <row r="7032" spans="1:10" ht="13.2">
      <c r="A7032" s="7">
        <v>7031</v>
      </c>
      <c r="B7032" s="7">
        <v>1</v>
      </c>
      <c r="C7032" s="7" t="s">
        <v>10</v>
      </c>
      <c r="D7032" s="7">
        <v>6579</v>
      </c>
      <c r="E7032" s="7" t="s">
        <v>30</v>
      </c>
      <c r="F7032" s="8" t="str">
        <f ca="1">IFERROR(__xludf.DUMMYFUNCTION("IF
(
C7033=""фізична особа""
,
VLOOKUP(D7033,IMPORTRANGE(""https://docs.google.com/spreadsheets/d/14Bd19lYaqBhU8_DElYkX7l4wRkHqqCUFNJY4AfY3kHU/edit?usp=sharing  #gid=0"",""фіз особи new!relations_name""),6,FALSE)
,
(IF
(
C7033=""юридична особа""
,
VLOOKUP"&amp;"(D7033,IMPORTRANGE(""https://docs.google.com/spreadsheets/d/14Bd19lYaqBhU8_DElYkX7l4wRkHqqCUFNJY4AfY3kHU/edit?usp=sharing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2" s="7" t="s">
        <v>10</v>
      </c>
      <c r="H7032" s="7">
        <v>0</v>
      </c>
      <c r="I7032" s="8" t="str">
        <f ca="1">IFERROR(__xludf.DUMMYFUNCTION("IF
(
G7033=""фізична особа""
,
VLOOKUP(H7033,IMPORTRANGE(""https://docs.google.com/spreadsheets/d/14Bd19lYaqBhU8_DElYkX7l4wRkHqqCUFNJY4AfY3kHU/edit?usp=sharing  #gid=0"",""фіз особи new!relations_name""),6,FALSE)
,
(IF
(
G7033=""юридична особа""
,
VLOOKUP"&amp;"(H7033,IMPORTRANGE(""https://docs.google.com/spreadsheets/d/14Bd19lYaqBhU8_DElYkX7l4wRkHqqCUFNJY4AfY3kHU/edit?usp=sharing  #gid=0"",""фіз особи new!relations_name_uo""),7,FALSE)
,
)
))"),"#N/A")</f>
        <v>#N/A</v>
      </c>
      <c r="J7032" s="7" t="s">
        <v>30</v>
      </c>
    </row>
    <row r="7033" spans="1:10" ht="13.2">
      <c r="A7033" s="7">
        <v>7032</v>
      </c>
      <c r="B7033" s="7">
        <v>1</v>
      </c>
      <c r="C7033" s="7" t="s">
        <v>10</v>
      </c>
      <c r="D7033" s="7">
        <v>6579</v>
      </c>
      <c r="E7033" s="7" t="s">
        <v>30</v>
      </c>
      <c r="F7033" s="8" t="str">
        <f ca="1">IFERROR(__xludf.DUMMYFUNCTION("IF
(
C7034=""фізична особа""
,
VLOOKUP(D7034,IMPORTRANGE(""https://docs.google.com/spreadsheets/d/14Bd19lYaqBhU8_DElYkX7l4wRkHqqCUFNJY4AfY3kHU/edit?usp=sharing  #gid=0"",""фіз особи new!relations_name""),6,FALSE)
,
(IF
(
C7034=""юридична особа""
,
VLOOKUP"&amp;"(D7034,IMPORTRANGE(""https://docs.google.com/spreadsheets/d/14Bd19lYaqBhU8_DElYkX7l4wRkHqqCUFNJY4AfY3kHU/edit?usp=sharing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3" s="7" t="s">
        <v>10</v>
      </c>
      <c r="H7033" s="7">
        <v>0</v>
      </c>
      <c r="I7033" s="8" t="str">
        <f ca="1">IFERROR(__xludf.DUMMYFUNCTION("IF
(
G7034=""фізична особа""
,
VLOOKUP(H7034,IMPORTRANGE(""https://docs.google.com/spreadsheets/d/14Bd19lYaqBhU8_DElYkX7l4wRkHqqCUFNJY4AfY3kHU/edit?usp=sharing  #gid=0"",""фіз особи new!relations_name""),6,FALSE)
,
(IF
(
G7034=""юридична особа""
,
VLOOKUP"&amp;"(H7034,IMPORTRANGE(""https://docs.google.com/spreadsheets/d/14Bd19lYaqBhU8_DElYkX7l4wRkHqqCUFNJY4AfY3kHU/edit?usp=sharing  #gid=0"",""фіз особи new!relations_name_uo""),7,FALSE)
,
)
))"),"#N/A")</f>
        <v>#N/A</v>
      </c>
      <c r="J7033" s="7" t="s">
        <v>30</v>
      </c>
    </row>
    <row r="7034" spans="1:10" ht="13.2">
      <c r="A7034" s="7">
        <v>7033</v>
      </c>
      <c r="B7034" s="7">
        <v>1</v>
      </c>
      <c r="C7034" s="7" t="s">
        <v>10</v>
      </c>
      <c r="D7034" s="7">
        <v>6579</v>
      </c>
      <c r="E7034" s="7" t="s">
        <v>30</v>
      </c>
      <c r="F7034" s="8" t="str">
        <f ca="1">IFERROR(__xludf.DUMMYFUNCTION("IF
(
C7035=""фізична особа""
,
VLOOKUP(D7035,IMPORTRANGE(""https://docs.google.com/spreadsheets/d/14Bd19lYaqBhU8_DElYkX7l4wRkHqqCUFNJY4AfY3kHU/edit?usp=sharing  #gid=0"",""фіз особи new!relations_name""),6,FALSE)
,
(IF
(
C7035=""юридична особа""
,
VLOOKUP"&amp;"(D7035,IMPORTRANGE(""https://docs.google.com/spreadsheets/d/14Bd19lYaqBhU8_DElYkX7l4wRkHqqCUFNJY4AfY3kHU/edit?usp=sharing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4" s="7" t="s">
        <v>10</v>
      </c>
      <c r="H7034" s="7">
        <v>0</v>
      </c>
      <c r="I7034" s="8" t="str">
        <f ca="1">IFERROR(__xludf.DUMMYFUNCTION("IF
(
G7035=""фізична особа""
,
VLOOKUP(H7035,IMPORTRANGE(""https://docs.google.com/spreadsheets/d/14Bd19lYaqBhU8_DElYkX7l4wRkHqqCUFNJY4AfY3kHU/edit?usp=sharing  #gid=0"",""фіз особи new!relations_name""),6,FALSE)
,
(IF
(
G7035=""юридична особа""
,
VLOOKUP"&amp;"(H7035,IMPORTRANGE(""https://docs.google.com/spreadsheets/d/14Bd19lYaqBhU8_DElYkX7l4wRkHqqCUFNJY4AfY3kHU/edit?usp=sharing  #gid=0"",""фіз особи new!relations_name_uo""),7,FALSE)
,
)
))"),"#N/A")</f>
        <v>#N/A</v>
      </c>
      <c r="J7034" s="7" t="s">
        <v>30</v>
      </c>
    </row>
    <row r="7035" spans="1:10" ht="13.2">
      <c r="A7035" s="7">
        <v>7034</v>
      </c>
      <c r="B7035" s="7">
        <v>1</v>
      </c>
      <c r="C7035" s="7" t="s">
        <v>10</v>
      </c>
      <c r="D7035" s="7">
        <v>6579</v>
      </c>
      <c r="E7035" s="7" t="s">
        <v>30</v>
      </c>
      <c r="F7035" s="8" t="str">
        <f ca="1">IFERROR(__xludf.DUMMYFUNCTION("IF
(
C7036=""фізична особа""
,
VLOOKUP(D7036,IMPORTRANGE(""https://docs.google.com/spreadsheets/d/14Bd19lYaqBhU8_DElYkX7l4wRkHqqCUFNJY4AfY3kHU/edit?usp=sharing  #gid=0"",""фіз особи new!relations_name""),6,FALSE)
,
(IF
(
C7036=""юридична особа""
,
VLOOKUP"&amp;"(D7036,IMPORTRANGE(""https://docs.google.com/spreadsheets/d/14Bd19lYaqBhU8_DElYkX7l4wRkHqqCUFNJY4AfY3kHU/edit?usp=sharing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5" s="7" t="s">
        <v>10</v>
      </c>
      <c r="H7035" s="7">
        <v>0</v>
      </c>
      <c r="I7035" s="8" t="str">
        <f ca="1">IFERROR(__xludf.DUMMYFUNCTION("IF
(
G7036=""фізична особа""
,
VLOOKUP(H7036,IMPORTRANGE(""https://docs.google.com/spreadsheets/d/14Bd19lYaqBhU8_DElYkX7l4wRkHqqCUFNJY4AfY3kHU/edit?usp=sharing  #gid=0"",""фіз особи new!relations_name""),6,FALSE)
,
(IF
(
G7036=""юридична особа""
,
VLOOKUP"&amp;"(H7036,IMPORTRANGE(""https://docs.google.com/spreadsheets/d/14Bd19lYaqBhU8_DElYkX7l4wRkHqqCUFNJY4AfY3kHU/edit?usp=sharing  #gid=0"",""фіз особи new!relations_name_uo""),7,FALSE)
,
)
))"),"#N/A")</f>
        <v>#N/A</v>
      </c>
      <c r="J7035" s="7" t="s">
        <v>30</v>
      </c>
    </row>
    <row r="7036" spans="1:10" ht="13.2">
      <c r="A7036" s="7">
        <v>7035</v>
      </c>
      <c r="B7036" s="7">
        <v>1</v>
      </c>
      <c r="C7036" s="7" t="s">
        <v>10</v>
      </c>
      <c r="D7036" s="7">
        <v>6579</v>
      </c>
      <c r="E7036" s="7" t="s">
        <v>30</v>
      </c>
      <c r="F7036" s="8" t="str">
        <f ca="1">IFERROR(__xludf.DUMMYFUNCTION("IF
(
C7037=""фізична особа""
,
VLOOKUP(D7037,IMPORTRANGE(""https://docs.google.com/spreadsheets/d/14Bd19lYaqBhU8_DElYkX7l4wRkHqqCUFNJY4AfY3kHU/edit?usp=sharing  #gid=0"",""фіз особи new!relations_name""),6,FALSE)
,
(IF
(
C7037=""юридична особа""
,
VLOOKUP"&amp;"(D7037,IMPORTRANGE(""https://docs.google.com/spreadsheets/d/14Bd19lYaqBhU8_DElYkX7l4wRkHqqCUFNJY4AfY3kHU/edit?usp=sharing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6" s="7" t="s">
        <v>10</v>
      </c>
      <c r="H7036" s="7">
        <v>0</v>
      </c>
      <c r="I7036" s="8" t="str">
        <f ca="1">IFERROR(__xludf.DUMMYFUNCTION("IF
(
G7037=""фізична особа""
,
VLOOKUP(H7037,IMPORTRANGE(""https://docs.google.com/spreadsheets/d/14Bd19lYaqBhU8_DElYkX7l4wRkHqqCUFNJY4AfY3kHU/edit?usp=sharing  #gid=0"",""фіз особи new!relations_name""),6,FALSE)
,
(IF
(
G7037=""юридична особа""
,
VLOOKUP"&amp;"(H7037,IMPORTRANGE(""https://docs.google.com/spreadsheets/d/14Bd19lYaqBhU8_DElYkX7l4wRkHqqCUFNJY4AfY3kHU/edit?usp=sharing  #gid=0"",""фіз особи new!relations_name_uo""),7,FALSE)
,
)
))"),"#N/A")</f>
        <v>#N/A</v>
      </c>
      <c r="J7036" s="7" t="s">
        <v>30</v>
      </c>
    </row>
    <row r="7037" spans="1:10" ht="13.2">
      <c r="A7037" s="7">
        <v>7036</v>
      </c>
      <c r="B7037" s="7">
        <v>1</v>
      </c>
      <c r="C7037" s="7" t="s">
        <v>10</v>
      </c>
      <c r="D7037" s="7">
        <v>6579</v>
      </c>
      <c r="E7037" s="7" t="s">
        <v>30</v>
      </c>
      <c r="F7037" s="8" t="str">
        <f ca="1">IFERROR(__xludf.DUMMYFUNCTION("IF
(
C7038=""фізична особа""
,
VLOOKUP(D7038,IMPORTRANGE(""https://docs.google.com/spreadsheets/d/14Bd19lYaqBhU8_DElYkX7l4wRkHqqCUFNJY4AfY3kHU/edit?usp=sharing  #gid=0"",""фіз особи new!relations_name""),6,FALSE)
,
(IF
(
C7038=""юридична особа""
,
VLOOKUP"&amp;"(D7038,IMPORTRANGE(""https://docs.google.com/spreadsheets/d/14Bd19lYaqBhU8_DElYkX7l4wRkHqqCUFNJY4AfY3kHU/edit?usp=sharing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7" s="7" t="s">
        <v>10</v>
      </c>
      <c r="H7037" s="7">
        <v>755</v>
      </c>
      <c r="I7037" s="8" t="str">
        <f ca="1">IFERROR(__xludf.DUMMYFUNCTION("IF
(
G7038=""фізична особа""
,
VLOOKUP(H7038,IMPORTRANGE(""https://docs.google.com/spreadsheets/d/14Bd19lYaqBhU8_DElYkX7l4wRkHqqCUFNJY4AfY3kHU/edit?usp=sharing  #gid=0"",""фіз особи new!relations_name""),6,FALSE)
,
(IF
(
G7038=""юридична особа""
,
VLOOKUP"&amp;"(H7038,IMPORTRANGE(""https://docs.google.com/spreadsheets/d/14Bd19lYaqBhU8_DElYkX7l4wRkHqqCUFNJY4AfY3kHU/edit?usp=sharing  #gid=0"",""фіз особи new!relations_name_uo""),7,FALSE)
,
)
))"),"КОВАЛЬЧУК Тетяна Олександрівна")</f>
        <v>КОВАЛЬЧУК Тетяна Олександрівна</v>
      </c>
      <c r="J7037" s="7" t="s">
        <v>30</v>
      </c>
    </row>
    <row r="7038" spans="1:10" ht="13.2">
      <c r="A7038" s="7">
        <v>7037</v>
      </c>
      <c r="B7038" s="7">
        <v>1</v>
      </c>
      <c r="C7038" s="7" t="s">
        <v>10</v>
      </c>
      <c r="D7038" s="7">
        <v>6579</v>
      </c>
      <c r="E7038" s="7" t="s">
        <v>30</v>
      </c>
      <c r="F7038" s="8" t="str">
        <f ca="1">IFERROR(__xludf.DUMMYFUNCTION("IF
(
C7039=""фізична особа""
,
VLOOKUP(D7039,IMPORTRANGE(""https://docs.google.com/spreadsheets/d/14Bd19lYaqBhU8_DElYkX7l4wRkHqqCUFNJY4AfY3kHU/edit?usp=sharing  #gid=0"",""фіз особи new!relations_name""),6,FALSE)
,
(IF
(
C7039=""юридична особа""
,
VLOOKUP"&amp;"(D7039,IMPORTRANGE(""https://docs.google.com/spreadsheets/d/14Bd19lYaqBhU8_DElYkX7l4wRkHqqCUFNJY4AfY3kHU/edit?usp=sharing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8" s="7" t="s">
        <v>10</v>
      </c>
      <c r="H7038" s="7">
        <v>926</v>
      </c>
      <c r="I7038" s="8" t="str">
        <f ca="1">IFERROR(__xludf.DUMMYFUNCTION("IF
(
G7039=""фізична особа""
,
VLOOKUP(H7039,IMPORTRANGE(""https://docs.google.com/spreadsheets/d/14Bd19lYaqBhU8_DElYkX7l4wRkHqqCUFNJY4AfY3kHU/edit?usp=sharing  #gid=0"",""фіз особи new!relations_name""),6,FALSE)
,
(IF
(
G7039=""юридична особа""
,
VLOOKUP"&amp;"(H7039,IMPORTRANGE(""https://docs.google.com/spreadsheets/d/14Bd19lYaqBhU8_DElYkX7l4wRkHqqCUFNJY4AfY3kHU/edit?usp=sharing  #gid=0"",""фіз особи new!relations_name_uo""),7,FALSE)
,
)
))"),"КОВАЛЬЧУК Юрій Валентинович")</f>
        <v>КОВАЛЬЧУК Юрій Валентинович</v>
      </c>
      <c r="J7038" s="7" t="s">
        <v>30</v>
      </c>
    </row>
    <row r="7039" spans="1:10" ht="13.2">
      <c r="A7039" s="7">
        <v>7038</v>
      </c>
      <c r="B7039" s="7">
        <v>1</v>
      </c>
      <c r="C7039" s="7" t="s">
        <v>10</v>
      </c>
      <c r="D7039" s="7">
        <v>6579</v>
      </c>
      <c r="E7039" s="7" t="s">
        <v>30</v>
      </c>
      <c r="F7039" s="8" t="str">
        <f ca="1">IFERROR(__xludf.DUMMYFUNCTION("IF
(
C7040=""фізична особа""
,
VLOOKUP(D7040,IMPORTRANGE(""https://docs.google.com/spreadsheets/d/14Bd19lYaqBhU8_DElYkX7l4wRkHqqCUFNJY4AfY3kHU/edit?usp=sharing  #gid=0"",""фіз особи new!relations_name""),6,FALSE)
,
(IF
(
C7040=""юридична особа""
,
VLOOKUP"&amp;"(D7040,IMPORTRANGE(""https://docs.google.com/spreadsheets/d/14Bd19lYaqBhU8_DElYkX7l4wRkHqqCUFNJY4AfY3kHU/edit?usp=sharing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39" s="7" t="s">
        <v>10</v>
      </c>
      <c r="H7039" s="7">
        <v>0</v>
      </c>
      <c r="I7039" s="8" t="str">
        <f ca="1">IFERROR(__xludf.DUMMYFUNCTION("IF
(
G7040=""фізична особа""
,
VLOOKUP(H7040,IMPORTRANGE(""https://docs.google.com/spreadsheets/d/14Bd19lYaqBhU8_DElYkX7l4wRkHqqCUFNJY4AfY3kHU/edit?usp=sharing  #gid=0"",""фіз особи new!relations_name""),6,FALSE)
,
(IF
(
G7040=""юридична особа""
,
VLOOKUP"&amp;"(H7040,IMPORTRANGE(""https://docs.google.com/spreadsheets/d/14Bd19lYaqBhU8_DElYkX7l4wRkHqqCUFNJY4AfY3kHU/edit?usp=sharing  #gid=0"",""фіз особи new!relations_name_uo""),7,FALSE)
,
)
))"),"#N/A")</f>
        <v>#N/A</v>
      </c>
      <c r="J7039" s="7" t="s">
        <v>30</v>
      </c>
    </row>
    <row r="7040" spans="1:10" ht="13.2">
      <c r="A7040" s="7">
        <v>7039</v>
      </c>
      <c r="B7040" s="7">
        <v>1</v>
      </c>
      <c r="C7040" s="7" t="s">
        <v>10</v>
      </c>
      <c r="D7040" s="7">
        <v>6579</v>
      </c>
      <c r="E7040" s="7" t="s">
        <v>30</v>
      </c>
      <c r="F7040" s="8" t="str">
        <f ca="1">IFERROR(__xludf.DUMMYFUNCTION("IF
(
C7041=""фізична особа""
,
VLOOKUP(D7041,IMPORTRANGE(""https://docs.google.com/spreadsheets/d/14Bd19lYaqBhU8_DElYkX7l4wRkHqqCUFNJY4AfY3kHU/edit?usp=sharing  #gid=0"",""фіз особи new!relations_name""),6,FALSE)
,
(IF
(
C7041=""юридична особа""
,
VLOOKUP"&amp;"(D7041,IMPORTRANGE(""https://docs.google.com/spreadsheets/d/14Bd19lYaqBhU8_DElYkX7l4wRkHqqCUFNJY4AfY3kHU/edit?usp=sharing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0" s="7" t="s">
        <v>10</v>
      </c>
      <c r="H7040" s="7">
        <v>0</v>
      </c>
      <c r="I7040" s="8" t="str">
        <f ca="1">IFERROR(__xludf.DUMMYFUNCTION("IF
(
G7041=""фізична особа""
,
VLOOKUP(H7041,IMPORTRANGE(""https://docs.google.com/spreadsheets/d/14Bd19lYaqBhU8_DElYkX7l4wRkHqqCUFNJY4AfY3kHU/edit?usp=sharing  #gid=0"",""фіз особи new!relations_name""),6,FALSE)
,
(IF
(
G7041=""юридична особа""
,
VLOOKUP"&amp;"(H7041,IMPORTRANGE(""https://docs.google.com/spreadsheets/d/14Bd19lYaqBhU8_DElYkX7l4wRkHqqCUFNJY4AfY3kHU/edit?usp=sharing  #gid=0"",""фіз особи new!relations_name_uo""),7,FALSE)
,
)
))"),"#N/A")</f>
        <v>#N/A</v>
      </c>
      <c r="J7040" s="7" t="s">
        <v>30</v>
      </c>
    </row>
    <row r="7041" spans="1:10" ht="13.2">
      <c r="A7041" s="7">
        <v>7040</v>
      </c>
      <c r="B7041" s="7">
        <v>1</v>
      </c>
      <c r="C7041" s="7" t="s">
        <v>10</v>
      </c>
      <c r="D7041" s="7">
        <v>6579</v>
      </c>
      <c r="E7041" s="7" t="s">
        <v>30</v>
      </c>
      <c r="F7041" s="8" t="str">
        <f ca="1">IFERROR(__xludf.DUMMYFUNCTION("IF
(
C7042=""фізична особа""
,
VLOOKUP(D7042,IMPORTRANGE(""https://docs.google.com/spreadsheets/d/14Bd19lYaqBhU8_DElYkX7l4wRkHqqCUFNJY4AfY3kHU/edit?usp=sharing  #gid=0"",""фіз особи new!relations_name""),6,FALSE)
,
(IF
(
C7042=""юридична особа""
,
VLOOKUP"&amp;"(D7042,IMPORTRANGE(""https://docs.google.com/spreadsheets/d/14Bd19lYaqBhU8_DElYkX7l4wRkHqqCUFNJY4AfY3kHU/edit?usp=sharing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1" s="7" t="s">
        <v>10</v>
      </c>
      <c r="H7041" s="7">
        <v>0</v>
      </c>
      <c r="I7041" s="8" t="str">
        <f ca="1">IFERROR(__xludf.DUMMYFUNCTION("IF
(
G7042=""фізична особа""
,
VLOOKUP(H7042,IMPORTRANGE(""https://docs.google.com/spreadsheets/d/14Bd19lYaqBhU8_DElYkX7l4wRkHqqCUFNJY4AfY3kHU/edit?usp=sharing  #gid=0"",""фіз особи new!relations_name""),6,FALSE)
,
(IF
(
G7042=""юридична особа""
,
VLOOKUP"&amp;"(H7042,IMPORTRANGE(""https://docs.google.com/spreadsheets/d/14Bd19lYaqBhU8_DElYkX7l4wRkHqqCUFNJY4AfY3kHU/edit?usp=sharing  #gid=0"",""фіз особи new!relations_name_uo""),7,FALSE)
,
)
))"),"#N/A")</f>
        <v>#N/A</v>
      </c>
      <c r="J7041" s="7" t="s">
        <v>30</v>
      </c>
    </row>
    <row r="7042" spans="1:10" ht="13.2">
      <c r="A7042" s="7">
        <v>7041</v>
      </c>
      <c r="B7042" s="7">
        <v>1</v>
      </c>
      <c r="C7042" s="7" t="s">
        <v>10</v>
      </c>
      <c r="D7042" s="7">
        <v>6579</v>
      </c>
      <c r="E7042" s="7" t="s">
        <v>30</v>
      </c>
      <c r="F7042" s="8" t="str">
        <f ca="1">IFERROR(__xludf.DUMMYFUNCTION("IF
(
C7043=""фізична особа""
,
VLOOKUP(D7043,IMPORTRANGE(""https://docs.google.com/spreadsheets/d/14Bd19lYaqBhU8_DElYkX7l4wRkHqqCUFNJY4AfY3kHU/edit?usp=sharing  #gid=0"",""фіз особи new!relations_name""),6,FALSE)
,
(IF
(
C7043=""юридична особа""
,
VLOOKUP"&amp;"(D7043,IMPORTRANGE(""https://docs.google.com/spreadsheets/d/14Bd19lYaqBhU8_DElYkX7l4wRkHqqCUFNJY4AfY3kHU/edit?usp=sharing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2" s="7" t="s">
        <v>10</v>
      </c>
      <c r="H7042" s="7">
        <v>0</v>
      </c>
      <c r="I7042" s="8" t="str">
        <f ca="1">IFERROR(__xludf.DUMMYFUNCTION("IF
(
G7043=""фізична особа""
,
VLOOKUP(H7043,IMPORTRANGE(""https://docs.google.com/spreadsheets/d/14Bd19lYaqBhU8_DElYkX7l4wRkHqqCUFNJY4AfY3kHU/edit?usp=sharing  #gid=0"",""фіз особи new!relations_name""),6,FALSE)
,
(IF
(
G7043=""юридична особа""
,
VLOOKUP"&amp;"(H7043,IMPORTRANGE(""https://docs.google.com/spreadsheets/d/14Bd19lYaqBhU8_DElYkX7l4wRkHqqCUFNJY4AfY3kHU/edit?usp=sharing  #gid=0"",""фіз особи new!relations_name_uo""),7,FALSE)
,
)
))"),"#N/A")</f>
        <v>#N/A</v>
      </c>
      <c r="J7042" s="7" t="s">
        <v>30</v>
      </c>
    </row>
    <row r="7043" spans="1:10" ht="13.2">
      <c r="A7043" s="7">
        <v>7042</v>
      </c>
      <c r="B7043" s="7">
        <v>1</v>
      </c>
      <c r="C7043" s="7" t="s">
        <v>10</v>
      </c>
      <c r="D7043" s="7">
        <v>6579</v>
      </c>
      <c r="E7043" s="7" t="s">
        <v>30</v>
      </c>
      <c r="F7043" s="8" t="str">
        <f ca="1">IFERROR(__xludf.DUMMYFUNCTION("IF
(
C7044=""фізична особа""
,
VLOOKUP(D7044,IMPORTRANGE(""https://docs.google.com/spreadsheets/d/14Bd19lYaqBhU8_DElYkX7l4wRkHqqCUFNJY4AfY3kHU/edit?usp=sharing  #gid=0"",""фіз особи new!relations_name""),6,FALSE)
,
(IF
(
C7044=""юридична особа""
,
VLOOKUP"&amp;"(D7044,IMPORTRANGE(""https://docs.google.com/spreadsheets/d/14Bd19lYaqBhU8_DElYkX7l4wRkHqqCUFNJY4AfY3kHU/edit?usp=sharing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3" s="7" t="s">
        <v>10</v>
      </c>
      <c r="H7043" s="7">
        <v>2281</v>
      </c>
      <c r="I7043" s="8" t="str">
        <f ca="1">IFERROR(__xludf.DUMMYFUNCTION("IF
(
G7044=""фізична особа""
,
VLOOKUP(H7044,IMPORTRANGE(""https://docs.google.com/spreadsheets/d/14Bd19lYaqBhU8_DElYkX7l4wRkHqqCUFNJY4AfY3kHU/edit?usp=sharing  #gid=0"",""фіз особи new!relations_name""),6,FALSE)
,
(IF
(
G7044=""юридична особа""
,
VLOOKUP"&amp;"(H7044,IMPORTRANGE(""https://docs.google.com/spreadsheets/d/14Bd19lYaqBhU8_DElYkX7l4wRkHqqCUFNJY4AfY3kHU/edit?usp=sharing  #gid=0"",""фіз особи new!relations_name_uo""),7,FALSE)
,
)
))"),"ПЛЕХОВ Олександр Григорович")</f>
        <v>ПЛЕХОВ Олександр Григорович</v>
      </c>
      <c r="J7043" s="7" t="s">
        <v>30</v>
      </c>
    </row>
    <row r="7044" spans="1:10" ht="13.2">
      <c r="A7044" s="7">
        <v>7043</v>
      </c>
      <c r="B7044" s="7">
        <v>1</v>
      </c>
      <c r="C7044" s="7" t="s">
        <v>10</v>
      </c>
      <c r="D7044" s="7">
        <v>6579</v>
      </c>
      <c r="E7044" s="7" t="s">
        <v>30</v>
      </c>
      <c r="F7044" s="8" t="str">
        <f ca="1">IFERROR(__xludf.DUMMYFUNCTION("IF
(
C7045=""фізична особа""
,
VLOOKUP(D7045,IMPORTRANGE(""https://docs.google.com/spreadsheets/d/14Bd19lYaqBhU8_DElYkX7l4wRkHqqCUFNJY4AfY3kHU/edit?usp=sharing  #gid=0"",""фіз особи new!relations_name""),6,FALSE)
,
(IF
(
C7045=""юридична особа""
,
VLOOKUP"&amp;"(D7045,IMPORTRANGE(""https://docs.google.com/spreadsheets/d/14Bd19lYaqBhU8_DElYkX7l4wRkHqqCUFNJY4AfY3kHU/edit?usp=sharing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4" s="7" t="s">
        <v>10</v>
      </c>
      <c r="H7044" s="7">
        <v>0</v>
      </c>
      <c r="I7044" s="8" t="str">
        <f ca="1">IFERROR(__xludf.DUMMYFUNCTION("IF
(
G7045=""фізична особа""
,
VLOOKUP(H7045,IMPORTRANGE(""https://docs.google.com/spreadsheets/d/14Bd19lYaqBhU8_DElYkX7l4wRkHqqCUFNJY4AfY3kHU/edit?usp=sharing  #gid=0"",""фіз особи new!relations_name""),6,FALSE)
,
(IF
(
G7045=""юридична особа""
,
VLOOKUP"&amp;"(H7045,IMPORTRANGE(""https://docs.google.com/spreadsheets/d/14Bd19lYaqBhU8_DElYkX7l4wRkHqqCUFNJY4AfY3kHU/edit?usp=sharing  #gid=0"",""фіз особи new!relations_name_uo""),7,FALSE)
,
)
))"),"#N/A")</f>
        <v>#N/A</v>
      </c>
      <c r="J7044" s="7" t="s">
        <v>30</v>
      </c>
    </row>
    <row r="7045" spans="1:10" ht="13.2">
      <c r="A7045" s="7">
        <v>7044</v>
      </c>
      <c r="B7045" s="7">
        <v>1</v>
      </c>
      <c r="C7045" s="7" t="s">
        <v>10</v>
      </c>
      <c r="D7045" s="7">
        <v>6579</v>
      </c>
      <c r="E7045" s="7" t="s">
        <v>30</v>
      </c>
      <c r="F7045" s="8" t="str">
        <f ca="1">IFERROR(__xludf.DUMMYFUNCTION("IF
(
C7046=""фізична особа""
,
VLOOKUP(D7046,IMPORTRANGE(""https://docs.google.com/spreadsheets/d/14Bd19lYaqBhU8_DElYkX7l4wRkHqqCUFNJY4AfY3kHU/edit?usp=sharing  #gid=0"",""фіз особи new!relations_name""),6,FALSE)
,
(IF
(
C7046=""юридична особа""
,
VLOOKUP"&amp;"(D7046,IMPORTRANGE(""https://docs.google.com/spreadsheets/d/14Bd19lYaqBhU8_DElYkX7l4wRkHqqCUFNJY4AfY3kHU/edit?usp=sharing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5" s="7" t="s">
        <v>10</v>
      </c>
      <c r="H7045" s="7">
        <v>0</v>
      </c>
      <c r="I7045" s="8" t="str">
        <f ca="1">IFERROR(__xludf.DUMMYFUNCTION("IF
(
G7046=""фізична особа""
,
VLOOKUP(H7046,IMPORTRANGE(""https://docs.google.com/spreadsheets/d/14Bd19lYaqBhU8_DElYkX7l4wRkHqqCUFNJY4AfY3kHU/edit?usp=sharing  #gid=0"",""фіз особи new!relations_name""),6,FALSE)
,
(IF
(
G7046=""юридична особа""
,
VLOOKUP"&amp;"(H7046,IMPORTRANGE(""https://docs.google.com/spreadsheets/d/14Bd19lYaqBhU8_DElYkX7l4wRkHqqCUFNJY4AfY3kHU/edit?usp=sharing  #gid=0"",""фіз особи new!relations_name_uo""),7,FALSE)
,
)
))"),"#N/A")</f>
        <v>#N/A</v>
      </c>
      <c r="J7045" s="7" t="s">
        <v>30</v>
      </c>
    </row>
    <row r="7046" spans="1:10" ht="13.2">
      <c r="A7046" s="7">
        <v>7045</v>
      </c>
      <c r="B7046" s="7">
        <v>1</v>
      </c>
      <c r="C7046" s="7" t="s">
        <v>10</v>
      </c>
      <c r="D7046" s="7">
        <v>6579</v>
      </c>
      <c r="E7046" s="7" t="s">
        <v>30</v>
      </c>
      <c r="F7046" s="8" t="str">
        <f ca="1">IFERROR(__xludf.DUMMYFUNCTION("IF
(
C7047=""фізична особа""
,
VLOOKUP(D7047,IMPORTRANGE(""https://docs.google.com/spreadsheets/d/14Bd19lYaqBhU8_DElYkX7l4wRkHqqCUFNJY4AfY3kHU/edit?usp=sharing  #gid=0"",""фіз особи new!relations_name""),6,FALSE)
,
(IF
(
C7047=""юридична особа""
,
VLOOKUP"&amp;"(D7047,IMPORTRANGE(""https://docs.google.com/spreadsheets/d/14Bd19lYaqBhU8_DElYkX7l4wRkHqqCUFNJY4AfY3kHU/edit?usp=sharing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6" s="7" t="s">
        <v>10</v>
      </c>
      <c r="H7046" s="7">
        <v>0</v>
      </c>
      <c r="I7046" s="8" t="str">
        <f ca="1">IFERROR(__xludf.DUMMYFUNCTION("IF
(
G7047=""фізична особа""
,
VLOOKUP(H7047,IMPORTRANGE(""https://docs.google.com/spreadsheets/d/14Bd19lYaqBhU8_DElYkX7l4wRkHqqCUFNJY4AfY3kHU/edit?usp=sharing  #gid=0"",""фіз особи new!relations_name""),6,FALSE)
,
(IF
(
G7047=""юридична особа""
,
VLOOKUP"&amp;"(H7047,IMPORTRANGE(""https://docs.google.com/spreadsheets/d/14Bd19lYaqBhU8_DElYkX7l4wRkHqqCUFNJY4AfY3kHU/edit?usp=sharing  #gid=0"",""фіз особи new!relations_name_uo""),7,FALSE)
,
)
))"),"#N/A")</f>
        <v>#N/A</v>
      </c>
      <c r="J7046" s="7" t="s">
        <v>30</v>
      </c>
    </row>
    <row r="7047" spans="1:10" ht="13.2">
      <c r="A7047" s="7">
        <v>7046</v>
      </c>
      <c r="B7047" s="7">
        <v>1</v>
      </c>
      <c r="C7047" s="7" t="s">
        <v>10</v>
      </c>
      <c r="D7047" s="7">
        <v>6579</v>
      </c>
      <c r="E7047" s="7" t="s">
        <v>30</v>
      </c>
      <c r="F7047" s="8" t="str">
        <f ca="1">IFERROR(__xludf.DUMMYFUNCTION("IF
(
C7048=""фізична особа""
,
VLOOKUP(D7048,IMPORTRANGE(""https://docs.google.com/spreadsheets/d/14Bd19lYaqBhU8_DElYkX7l4wRkHqqCUFNJY4AfY3kHU/edit?usp=sharing  #gid=0"",""фіз особи new!relations_name""),6,FALSE)
,
(IF
(
C7048=""юридична особа""
,
VLOOKUP"&amp;"(D7048,IMPORTRANGE(""https://docs.google.com/spreadsheets/d/14Bd19lYaqBhU8_DElYkX7l4wRkHqqCUFNJY4AfY3kHU/edit?usp=sharing  #gid=0"",""фіз особи new!relations_name_uo""),7,FALSE)
,
)
))"),"ГЕРМАНОВ Олександр Іванович")</f>
        <v>ГЕРМАНОВ Олександр Іванович</v>
      </c>
      <c r="G7047" s="7" t="s">
        <v>10</v>
      </c>
      <c r="H7047" s="7">
        <v>0</v>
      </c>
      <c r="I7047" s="8" t="str">
        <f ca="1">IFERROR(__xludf.DUMMYFUNCTION("IF
(
G7048=""фізична особа""
,
VLOOKUP(H7048,IMPORTRANGE(""https://docs.google.com/spreadsheets/d/14Bd19lYaqBhU8_DElYkX7l4wRkHqqCUFNJY4AfY3kHU/edit?usp=sharing  #gid=0"",""фіз особи new!relations_name""),6,FALSE)
,
(IF
(
G7048=""юридична особа""
,
VLOOKUP"&amp;"(H7048,IMPORTRANGE(""https://docs.google.com/spreadsheets/d/14Bd19lYaqBhU8_DElYkX7l4wRkHqqCUFNJY4AfY3kHU/edit?usp=sharing  #gid=0"",""фіз особи new!relations_name_uo""),7,FALSE)
,
)
))"),"#N/A")</f>
        <v>#N/A</v>
      </c>
      <c r="J7047" s="7" t="s">
        <v>30</v>
      </c>
    </row>
    <row r="7048" spans="1:10" ht="13.2">
      <c r="A7048" s="7">
        <v>7047</v>
      </c>
      <c r="B7048" s="7">
        <v>1</v>
      </c>
      <c r="C7048" s="7" t="s">
        <v>10</v>
      </c>
      <c r="D7048" s="7">
        <v>6580</v>
      </c>
      <c r="E7048" s="7" t="s">
        <v>30</v>
      </c>
      <c r="F7048" s="8" t="str">
        <f ca="1">IFERROR(__xludf.DUMMYFUNCTION("IF
(
C7049=""фізична особа""
,
VLOOKUP(D7049,IMPORTRANGE(""https://docs.google.com/spreadsheets/d/14Bd19lYaqBhU8_DElYkX7l4wRkHqqCUFNJY4AfY3kHU/edit?usp=sharing  #gid=0"",""фіз особи new!relations_name""),6,FALSE)
,
(IF
(
C7049=""юридична особа""
,
VLOOKUP"&amp;"(D7049,IMPORTRANGE(""https://docs.google.com/spreadsheets/d/14Bd19lYaqBhU8_DElYkX7l4wRkHqqCUFNJY4AfY3kHU/edit?usp=sharing  #gid=0"",""фіз особи new!relations_name_uo""),7,FALSE)
,
)
))"),"КОСТІН Андрій Геннадійович")</f>
        <v>КОСТІН Андрій Геннадійович</v>
      </c>
      <c r="G7048" s="7" t="s">
        <v>10</v>
      </c>
      <c r="H7048" s="7">
        <v>629</v>
      </c>
      <c r="I7048" s="8" t="str">
        <f ca="1">IFERROR(__xludf.DUMMYFUNCTION("IF
(
G7049=""фізична особа""
,
VLOOKUP(H7049,IMPORTRANGE(""https://docs.google.com/spreadsheets/d/14Bd19lYaqBhU8_DElYkX7l4wRkHqqCUFNJY4AfY3kHU/edit?usp=sharing  #gid=0"",""фіз особи new!relations_name""),6,FALSE)
,
(IF
(
G7049=""юридична особа""
,
VLOOKUP"&amp;"(H7049,IMPORTRANGE(""https://docs.google.com/spreadsheets/d/14Bd19lYaqBhU8_DElYkX7l4wRkHqqCUFNJY4AfY3kHU/edit?usp=sharing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048" s="7" t="s">
        <v>30</v>
      </c>
    </row>
    <row r="7049" spans="1:10" ht="13.2">
      <c r="A7049" s="7">
        <v>7048</v>
      </c>
      <c r="B7049" s="7">
        <v>1</v>
      </c>
      <c r="C7049" s="7" t="s">
        <v>10</v>
      </c>
      <c r="D7049" s="7">
        <v>6580</v>
      </c>
      <c r="E7049" s="7" t="s">
        <v>30</v>
      </c>
      <c r="F7049" s="8" t="str">
        <f ca="1">IFERROR(__xludf.DUMMYFUNCTION("IF
(
C7050=""фізична особа""
,
VLOOKUP(D7050,IMPORTRANGE(""https://docs.google.com/spreadsheets/d/14Bd19lYaqBhU8_DElYkX7l4wRkHqqCUFNJY4AfY3kHU/edit?usp=sharing  #gid=0"",""фіз особи new!relations_name""),6,FALSE)
,
(IF
(
C7050=""юридична особа""
,
VLOOKUP"&amp;"(D7050,IMPORTRANGE(""https://docs.google.com/spreadsheets/d/14Bd19lYaqBhU8_DElYkX7l4wRkHqqCUFNJY4AfY3kHU/edit?usp=sharing  #gid=0"",""фіз особи new!relations_name_uo""),7,FALSE)
,
)
))"),"КОСТІН Андрій Геннадійович")</f>
        <v>КОСТІН Андрій Геннадійович</v>
      </c>
      <c r="G7049" s="7" t="s">
        <v>10</v>
      </c>
      <c r="H7049" s="7">
        <v>144</v>
      </c>
      <c r="I7049" s="8" t="str">
        <f ca="1">IFERROR(__xludf.DUMMYFUNCTION("IF
(
G7050=""фізична особа""
,
VLOOKUP(H7050,IMPORTRANGE(""https://docs.google.com/spreadsheets/d/14Bd19lYaqBhU8_DElYkX7l4wRkHqqCUFNJY4AfY3kHU/edit?usp=sharing  #gid=0"",""фіз особи new!relations_name""),6,FALSE)
,
(IF
(
G7050=""юридична особа""
,
VLOOKUP"&amp;"(H7050,IMPORTRANGE(""https://docs.google.com/spreadsheets/d/14Bd19lYaqBhU8_DElYkX7l4wRkHqqCUFNJY4AfY3kHU/edit?usp=sharing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049" s="7" t="s">
        <v>30</v>
      </c>
    </row>
    <row r="7050" spans="1:10" ht="13.2">
      <c r="A7050" s="7">
        <v>7049</v>
      </c>
      <c r="B7050" s="7">
        <v>1</v>
      </c>
      <c r="C7050" s="7" t="s">
        <v>10</v>
      </c>
      <c r="D7050" s="7">
        <v>6581</v>
      </c>
      <c r="E7050" s="7" t="s">
        <v>29</v>
      </c>
      <c r="F7050" s="8" t="str">
        <f ca="1">IFERROR(__xludf.DUMMYFUNCTION("IF
(
C7051=""фізична особа""
,
VLOOKUP(D7051,IMPORTRANGE(""https://docs.google.com/spreadsheets/d/14Bd19lYaqBhU8_DElYkX7l4wRkHqqCUFNJY4AfY3kHU/edit?usp=sharing  #gid=0"",""фіз особи new!relations_name""),6,FALSE)
,
(IF
(
C7051=""юридична особа""
,
VLOOKUP"&amp;"(D7051,IMPORTRANGE(""https://docs.google.com/spreadsheets/d/14Bd19lYaqBhU8_DElYkX7l4wRkHqqCUFNJY4AfY3kHU/edit?usp=sharing  #gid=0"",""фіз особи new!relations_name_uo""),7,FALSE)
,
)
))"),"ВЕЛЄВА Людмила Василівна")</f>
        <v>ВЕЛЄВА Людмила Василівна</v>
      </c>
      <c r="G7050" s="7" t="s">
        <v>10</v>
      </c>
      <c r="H7050" s="7">
        <v>23564</v>
      </c>
      <c r="I7050" s="8" t="str">
        <f ca="1">IFERROR(__xludf.DUMMYFUNCTION("IF
(
G7051=""фізична особа""
,
VLOOKUP(H7051,IMPORTRANGE(""https://docs.google.com/spreadsheets/d/14Bd19lYaqBhU8_DElYkX7l4wRkHqqCUFNJY4AfY3kHU/edit?usp=sharing  #gid=0"",""фіз особи new!relations_name""),6,FALSE)
,
(IF
(
G7051=""юридична особа""
,
VLOOKUP"&amp;"(H7051,IMPORTRANGE(""https://docs.google.com/spreadsheets/d/14Bd19lYaqBhU8_DElYkX7l4wRkHqqCUFNJY4AfY3kHU/edit?usp=sharing  #gid=0"",""фіз особи new!relations_name_uo""),7,FALSE)
,
)
))"),"МІНАБУТДІНОВА Ляйсан Іскандарівна")</f>
        <v>МІНАБУТДІНОВА Ляйсан Іскандарівна</v>
      </c>
      <c r="J7050" s="7" t="s">
        <v>104</v>
      </c>
    </row>
    <row r="7051" spans="1:10" ht="13.2">
      <c r="A7051" s="7">
        <v>7050</v>
      </c>
      <c r="B7051" s="7">
        <v>1</v>
      </c>
      <c r="C7051" s="7" t="s">
        <v>10</v>
      </c>
      <c r="D7051" s="7">
        <v>6581</v>
      </c>
      <c r="E7051" s="7" t="s">
        <v>29</v>
      </c>
      <c r="F7051" s="8" t="str">
        <f ca="1">IFERROR(__xludf.DUMMYFUNCTION("IF
(
C7052=""фізична особа""
,
VLOOKUP(D7052,IMPORTRANGE(""https://docs.google.com/spreadsheets/d/14Bd19lYaqBhU8_DElYkX7l4wRkHqqCUFNJY4AfY3kHU/edit?usp=sharing  #gid=0"",""фіз особи new!relations_name""),6,FALSE)
,
(IF
(
C7052=""юридична особа""
,
VLOOKUP"&amp;"(D7052,IMPORTRANGE(""https://docs.google.com/spreadsheets/d/14Bd19lYaqBhU8_DElYkX7l4wRkHqqCUFNJY4AfY3kHU/edit?usp=sharing  #gid=0"",""фіз особи new!relations_name_uo""),7,FALSE)
,
)
))"),"ВЕЛЄВА Людмила Василівна")</f>
        <v>ВЕЛЄВА Людмила Василівна</v>
      </c>
      <c r="G7051" s="7" t="s">
        <v>10</v>
      </c>
      <c r="H7051" s="7">
        <v>23565</v>
      </c>
      <c r="I7051" s="8" t="str">
        <f ca="1">IFERROR(__xludf.DUMMYFUNCTION("IF
(
G7052=""фізична особа""
,
VLOOKUP(H7052,IMPORTRANGE(""https://docs.google.com/spreadsheets/d/14Bd19lYaqBhU8_DElYkX7l4wRkHqqCUFNJY4AfY3kHU/edit?usp=sharing  #gid=0"",""фіз особи new!relations_name""),6,FALSE)
,
(IF
(
G7052=""юридична особа""
,
VLOOKUP"&amp;"(H7052,IMPORTRANGE(""https://docs.google.com/spreadsheets/d/14Bd19lYaqBhU8_DElYkX7l4wRkHqqCUFNJY4AfY3kHU/edit?usp=sharing  #gid=0"",""фіз особи new!relations_name_uo""),7,FALSE)
,
)
))"),"ЗАЛЯЄВ Равіль Шамилович")</f>
        <v>ЗАЛЯЄВ Равіль Шамилович</v>
      </c>
      <c r="J7051" s="7" t="s">
        <v>104</v>
      </c>
    </row>
    <row r="7052" spans="1:10" ht="13.2">
      <c r="A7052" s="7">
        <v>7051</v>
      </c>
      <c r="B7052" s="7">
        <v>1</v>
      </c>
      <c r="C7052" s="7" t="s">
        <v>10</v>
      </c>
      <c r="D7052" s="7">
        <v>6581</v>
      </c>
      <c r="E7052" s="7" t="s">
        <v>29</v>
      </c>
      <c r="F7052" s="8" t="str">
        <f ca="1">IFERROR(__xludf.DUMMYFUNCTION("IF
(
C7053=""фізична особа""
,
VLOOKUP(D7053,IMPORTRANGE(""https://docs.google.com/spreadsheets/d/14Bd19lYaqBhU8_DElYkX7l4wRkHqqCUFNJY4AfY3kHU/edit?usp=sharing  #gid=0"",""фіз особи new!relations_name""),6,FALSE)
,
(IF
(
C7053=""юридична особа""
,
VLOOKUP"&amp;"(D7053,IMPORTRANGE(""https://docs.google.com/spreadsheets/d/14Bd19lYaqBhU8_DElYkX7l4wRkHqqCUFNJY4AfY3kHU/edit?usp=sharing  #gid=0"",""фіз особи new!relations_name_uo""),7,FALSE)
,
)
))"),"ВЕЛЄВА Людмила Василівна")</f>
        <v>ВЕЛЄВА Людмила Василівна</v>
      </c>
      <c r="G7052" s="7" t="s">
        <v>10</v>
      </c>
      <c r="H7052" s="7">
        <v>23566</v>
      </c>
      <c r="I7052" s="8" t="str">
        <f ca="1">IFERROR(__xludf.DUMMYFUNCTION("IF
(
G7053=""фізична особа""
,
VLOOKUP(H7053,IMPORTRANGE(""https://docs.google.com/spreadsheets/d/14Bd19lYaqBhU8_DElYkX7l4wRkHqqCUFNJY4AfY3kHU/edit?usp=sharing  #gid=0"",""фіз особи new!relations_name""),6,FALSE)
,
(IF
(
G7053=""юридична особа""
,
VLOOKUP"&amp;"(H7053,IMPORTRANGE(""https://docs.google.com/spreadsheets/d/14Bd19lYaqBhU8_DElYkX7l4wRkHqqCUFNJY4AfY3kHU/edit?usp=sharing  #gid=0"",""фіз особи new!relations_name_uo""),7,FALSE)
,
)
))"),"ЗАЛАЄВА Олена Ахатівна")</f>
        <v>ЗАЛАЄВА Олена Ахатівна</v>
      </c>
      <c r="J7052" s="7" t="s">
        <v>104</v>
      </c>
    </row>
    <row r="7053" spans="1:10" ht="13.2">
      <c r="A7053" s="7">
        <v>7052</v>
      </c>
      <c r="B7053" s="7">
        <v>1</v>
      </c>
      <c r="C7053" s="7" t="s">
        <v>10</v>
      </c>
      <c r="D7053" s="7">
        <v>6581</v>
      </c>
      <c r="E7053" s="7" t="s">
        <v>30</v>
      </c>
      <c r="F7053" s="8" t="str">
        <f ca="1">IFERROR(__xludf.DUMMYFUNCTION("IF
(
C7054=""фізична особа""
,
VLOOKUP(D7054,IMPORTRANGE(""https://docs.google.com/spreadsheets/d/14Bd19lYaqBhU8_DElYkX7l4wRkHqqCUFNJY4AfY3kHU/edit?usp=sharing  #gid=0"",""фіз особи new!relations_name""),6,FALSE)
,
(IF
(
C7054=""юридична особа""
,
VLOOKUP"&amp;"(D7054,IMPORTRANGE(""https://docs.google.com/spreadsheets/d/14Bd19lYaqBhU8_DElYkX7l4wRkHqqCUFNJY4AfY3kHU/edit?usp=sharing  #gid=0"",""фіз особи new!relations_name_uo""),7,FALSE)
,
)
))"),"ВЕЛЄВА Людмила Василівна")</f>
        <v>ВЕЛЄВА Людмила Василівна</v>
      </c>
      <c r="G7053" s="7" t="s">
        <v>10</v>
      </c>
      <c r="H7053" s="7">
        <v>23567</v>
      </c>
      <c r="I7053" s="8" t="str">
        <f ca="1">IFERROR(__xludf.DUMMYFUNCTION("IF
(
G7054=""фізична особа""
,
VLOOKUP(H7054,IMPORTRANGE(""https://docs.google.com/spreadsheets/d/14Bd19lYaqBhU8_DElYkX7l4wRkHqqCUFNJY4AfY3kHU/edit?usp=sharing  #gid=0"",""фіз особи new!relations_name""),6,FALSE)
,
(IF
(
G7054=""юридична особа""
,
VLOOKUP"&amp;"(H7054,IMPORTRANGE(""https://docs.google.com/spreadsheets/d/14Bd19lYaqBhU8_DElYkX7l4wRkHqqCUFNJY4AfY3kHU/edit?usp=sharing  #gid=0"",""фіз особи new!relations_name_uo""),7,FALSE)
,
)
))"),"МАКСИМ Демин")</f>
        <v>МАКСИМ Демин</v>
      </c>
      <c r="J7053" s="7" t="s">
        <v>30</v>
      </c>
    </row>
    <row r="7054" spans="1:10" ht="13.2">
      <c r="A7054" s="7">
        <v>7053</v>
      </c>
      <c r="B7054" s="7">
        <v>1</v>
      </c>
      <c r="C7054" s="7" t="s">
        <v>10</v>
      </c>
      <c r="D7054" s="7">
        <v>6581</v>
      </c>
      <c r="E7054" s="7" t="s">
        <v>30</v>
      </c>
      <c r="F7054" s="8" t="str">
        <f ca="1">IFERROR(__xludf.DUMMYFUNCTION("IF
(
C7055=""фізична особа""
,
VLOOKUP(D7055,IMPORTRANGE(""https://docs.google.com/spreadsheets/d/14Bd19lYaqBhU8_DElYkX7l4wRkHqqCUFNJY4AfY3kHU/edit?usp=sharing  #gid=0"",""фіз особи new!relations_name""),6,FALSE)
,
(IF
(
C7055=""юридична особа""
,
VLOOKUP"&amp;"(D7055,IMPORTRANGE(""https://docs.google.com/spreadsheets/d/14Bd19lYaqBhU8_DElYkX7l4wRkHqqCUFNJY4AfY3kHU/edit?usp=sharing  #gid=0"",""фіз особи new!relations_name_uo""),7,FALSE)
,
)
))"),"ВЕЛЄВА Людмила Василівна")</f>
        <v>ВЕЛЄВА Людмила Василівна</v>
      </c>
      <c r="G7054" s="7" t="s">
        <v>10</v>
      </c>
      <c r="H7054" s="7">
        <v>23568</v>
      </c>
      <c r="I7054" s="8" t="str">
        <f ca="1">IFERROR(__xludf.DUMMYFUNCTION("IF
(
G7055=""фізична особа""
,
VLOOKUP(H7055,IMPORTRANGE(""https://docs.google.com/spreadsheets/d/14Bd19lYaqBhU8_DElYkX7l4wRkHqqCUFNJY4AfY3kHU/edit?usp=sharing  #gid=0"",""фіз особи new!relations_name""),6,FALSE)
,
(IF
(
G7055=""юридична особа""
,
VLOOKUP"&amp;"(H7055,IMPORTRANGE(""https://docs.google.com/spreadsheets/d/14Bd19lYaqBhU8_DElYkX7l4wRkHqqCUFNJY4AfY3kHU/edit?usp=sharing  #gid=0"",""фіз особи new!relations_name_uo""),7,FALSE)
,
)
))"),"ТИХТУРОВА Ганна Олександрівна")</f>
        <v>ТИХТУРОВА Ганна Олександрівна</v>
      </c>
      <c r="J7054" s="7" t="s">
        <v>30</v>
      </c>
    </row>
    <row r="7055" spans="1:10" ht="13.2">
      <c r="A7055" s="7">
        <v>7054</v>
      </c>
      <c r="B7055" s="7">
        <v>1</v>
      </c>
      <c r="C7055" s="7" t="s">
        <v>10</v>
      </c>
      <c r="D7055" s="7">
        <v>6582</v>
      </c>
      <c r="E7055" s="7" t="s">
        <v>30</v>
      </c>
      <c r="F7055" s="8" t="str">
        <f ca="1">IFERROR(__xludf.DUMMYFUNCTION("IF
(
C7056=""фізична особа""
,
VLOOKUP(D7056,IMPORTRANGE(""https://docs.google.com/spreadsheets/d/14Bd19lYaqBhU8_DElYkX7l4wRkHqqCUFNJY4AfY3kHU/edit?usp=sharing  #gid=0"",""фіз особи new!relations_name""),6,FALSE)
,
(IF
(
C7056=""юридична особа""
,
VLOOKUP"&amp;"(D7056,IMPORTRANGE(""https://docs.google.com/spreadsheets/d/14Bd19lYaqBhU8_DElYkX7l4wRkHqqCUFNJY4AfY3kHU/edit?usp=sharing  #gid=0"",""фіз особи new!relations_name_uo""),7,FALSE)
,
)
))"),"ЧУМАК Наталія")</f>
        <v>ЧУМАК Наталія</v>
      </c>
      <c r="G7055" s="7" t="s">
        <v>10</v>
      </c>
      <c r="H7055" s="7">
        <v>23564</v>
      </c>
      <c r="I7055" s="8" t="str">
        <f ca="1">IFERROR(__xludf.DUMMYFUNCTION("IF
(
G7056=""фізична особа""
,
VLOOKUP(H7056,IMPORTRANGE(""https://docs.google.com/spreadsheets/d/14Bd19lYaqBhU8_DElYkX7l4wRkHqqCUFNJY4AfY3kHU/edit?usp=sharing  #gid=0"",""фіз особи new!relations_name""),6,FALSE)
,
(IF
(
G7056=""юридична особа""
,
VLOOKUP"&amp;"(H7056,IMPORTRANGE(""https://docs.google.com/spreadsheets/d/14Bd19lYaqBhU8_DElYkX7l4wRkHqqCUFNJY4AfY3kHU/edit?usp=sharing  #gid=0"",""фіз особи new!relations_name_uo""),7,FALSE)
,
)
))"),"МІНАБУТДІНОВА Ляйсан Іскандарівна")</f>
        <v>МІНАБУТДІНОВА Ляйсан Іскандарівна</v>
      </c>
      <c r="J7055" s="7" t="s">
        <v>30</v>
      </c>
    </row>
    <row r="7056" spans="1:10" ht="13.2">
      <c r="A7056" s="7">
        <v>7055</v>
      </c>
      <c r="B7056" s="7">
        <v>1</v>
      </c>
      <c r="C7056" s="7" t="s">
        <v>10</v>
      </c>
      <c r="D7056" s="7">
        <v>6582</v>
      </c>
      <c r="E7056" s="7" t="s">
        <v>30</v>
      </c>
      <c r="F7056" s="8" t="str">
        <f ca="1">IFERROR(__xludf.DUMMYFUNCTION("IF
(
C7057=""фізична особа""
,
VLOOKUP(D7057,IMPORTRANGE(""https://docs.google.com/spreadsheets/d/14Bd19lYaqBhU8_DElYkX7l4wRkHqqCUFNJY4AfY3kHU/edit?usp=sharing  #gid=0"",""фіз особи new!relations_name""),6,FALSE)
,
(IF
(
C7057=""юридична особа""
,
VLOOKUP"&amp;"(D7057,IMPORTRANGE(""https://docs.google.com/spreadsheets/d/14Bd19lYaqBhU8_DElYkX7l4wRkHqqCUFNJY4AfY3kHU/edit?usp=sharing  #gid=0"",""фіз особи new!relations_name_uo""),7,FALSE)
,
)
))"),"ЧУМАК Наталія")</f>
        <v>ЧУМАК Наталія</v>
      </c>
      <c r="G7056" s="7" t="s">
        <v>10</v>
      </c>
      <c r="H7056" s="7">
        <v>23565</v>
      </c>
      <c r="I7056" s="8" t="str">
        <f ca="1">IFERROR(__xludf.DUMMYFUNCTION("IF
(
G7057=""фізична особа""
,
VLOOKUP(H7057,IMPORTRANGE(""https://docs.google.com/spreadsheets/d/14Bd19lYaqBhU8_DElYkX7l4wRkHqqCUFNJY4AfY3kHU/edit?usp=sharing  #gid=0"",""фіз особи new!relations_name""),6,FALSE)
,
(IF
(
G7057=""юридична особа""
,
VLOOKUP"&amp;"(H7057,IMPORTRANGE(""https://docs.google.com/spreadsheets/d/14Bd19lYaqBhU8_DElYkX7l4wRkHqqCUFNJY4AfY3kHU/edit?usp=sharing  #gid=0"",""фіз особи new!relations_name_uo""),7,FALSE)
,
)
))"),"ЗАЛЯЄВ Равіль Шамилович")</f>
        <v>ЗАЛЯЄВ Равіль Шамилович</v>
      </c>
      <c r="J7056" s="7" t="s">
        <v>30</v>
      </c>
    </row>
    <row r="7057" spans="1:10" ht="13.2">
      <c r="A7057" s="7">
        <v>7056</v>
      </c>
      <c r="B7057" s="7">
        <v>1</v>
      </c>
      <c r="C7057" s="7" t="s">
        <v>10</v>
      </c>
      <c r="D7057" s="7">
        <v>6582</v>
      </c>
      <c r="E7057" s="7" t="s">
        <v>30</v>
      </c>
      <c r="F7057" s="8" t="str">
        <f ca="1">IFERROR(__xludf.DUMMYFUNCTION("IF
(
C7058=""фізична особа""
,
VLOOKUP(D7058,IMPORTRANGE(""https://docs.google.com/spreadsheets/d/14Bd19lYaqBhU8_DElYkX7l4wRkHqqCUFNJY4AfY3kHU/edit?usp=sharing  #gid=0"",""фіз особи new!relations_name""),6,FALSE)
,
(IF
(
C7058=""юридична особа""
,
VLOOKUP"&amp;"(D7058,IMPORTRANGE(""https://docs.google.com/spreadsheets/d/14Bd19lYaqBhU8_DElYkX7l4wRkHqqCUFNJY4AfY3kHU/edit?usp=sharing  #gid=0"",""фіз особи new!relations_name_uo""),7,FALSE)
,
)
))"),"ЧУМАК Наталія")</f>
        <v>ЧУМАК Наталія</v>
      </c>
      <c r="G7057" s="7" t="s">
        <v>10</v>
      </c>
      <c r="H7057" s="7">
        <v>23566</v>
      </c>
      <c r="I7057" s="8" t="str">
        <f ca="1">IFERROR(__xludf.DUMMYFUNCTION("IF
(
G7058=""фізична особа""
,
VLOOKUP(H7058,IMPORTRANGE(""https://docs.google.com/spreadsheets/d/14Bd19lYaqBhU8_DElYkX7l4wRkHqqCUFNJY4AfY3kHU/edit?usp=sharing  #gid=0"",""фіз особи new!relations_name""),6,FALSE)
,
(IF
(
G7058=""юридична особа""
,
VLOOKUP"&amp;"(H7058,IMPORTRANGE(""https://docs.google.com/spreadsheets/d/14Bd19lYaqBhU8_DElYkX7l4wRkHqqCUFNJY4AfY3kHU/edit?usp=sharing  #gid=0"",""фіз особи new!relations_name_uo""),7,FALSE)
,
)
))"),"ЗАЛАЄВА Олена Ахатівна")</f>
        <v>ЗАЛАЄВА Олена Ахатівна</v>
      </c>
      <c r="J7057" s="7" t="s">
        <v>30</v>
      </c>
    </row>
    <row r="7058" spans="1:10" ht="13.2">
      <c r="A7058" s="7">
        <v>7057</v>
      </c>
      <c r="B7058" s="7">
        <v>1</v>
      </c>
      <c r="C7058" s="7" t="s">
        <v>10</v>
      </c>
      <c r="D7058" s="7">
        <v>6582</v>
      </c>
      <c r="E7058" s="7" t="s">
        <v>30</v>
      </c>
      <c r="F7058" s="8" t="str">
        <f ca="1">IFERROR(__xludf.DUMMYFUNCTION("IF
(
C7059=""фізична особа""
,
VLOOKUP(D7059,IMPORTRANGE(""https://docs.google.com/spreadsheets/d/14Bd19lYaqBhU8_DElYkX7l4wRkHqqCUFNJY4AfY3kHU/edit?usp=sharing  #gid=0"",""фіз особи new!relations_name""),6,FALSE)
,
(IF
(
C7059=""юридична особа""
,
VLOOKUP"&amp;"(D7059,IMPORTRANGE(""https://docs.google.com/spreadsheets/d/14Bd19lYaqBhU8_DElYkX7l4wRkHqqCUFNJY4AfY3kHU/edit?usp=sharing  #gid=0"",""фіз особи new!relations_name_uo""),7,FALSE)
,
)
))"),"ЧУМАК Наталія")</f>
        <v>ЧУМАК Наталія</v>
      </c>
      <c r="G7058" s="7" t="s">
        <v>10</v>
      </c>
      <c r="H7058" s="7">
        <v>23567</v>
      </c>
      <c r="I7058" s="8" t="str">
        <f ca="1">IFERROR(__xludf.DUMMYFUNCTION("IF
(
G7059=""фізична особа""
,
VLOOKUP(H7059,IMPORTRANGE(""https://docs.google.com/spreadsheets/d/14Bd19lYaqBhU8_DElYkX7l4wRkHqqCUFNJY4AfY3kHU/edit?usp=sharing  #gid=0"",""фіз особи new!relations_name""),6,FALSE)
,
(IF
(
G7059=""юридична особа""
,
VLOOKUP"&amp;"(H7059,IMPORTRANGE(""https://docs.google.com/spreadsheets/d/14Bd19lYaqBhU8_DElYkX7l4wRkHqqCUFNJY4AfY3kHU/edit?usp=sharing  #gid=0"",""фіз особи new!relations_name_uo""),7,FALSE)
,
)
))"),"МАКСИМ Демин")</f>
        <v>МАКСИМ Демин</v>
      </c>
      <c r="J7058" s="7" t="s">
        <v>30</v>
      </c>
    </row>
    <row r="7059" spans="1:10" ht="13.2">
      <c r="A7059" s="7">
        <v>7058</v>
      </c>
      <c r="B7059" s="7">
        <v>1</v>
      </c>
      <c r="C7059" s="7" t="s">
        <v>10</v>
      </c>
      <c r="D7059" s="7">
        <v>6582</v>
      </c>
      <c r="E7059" s="7" t="s">
        <v>30</v>
      </c>
      <c r="F7059" s="8" t="str">
        <f ca="1">IFERROR(__xludf.DUMMYFUNCTION("IF
(
C7060=""фізична особа""
,
VLOOKUP(D7060,IMPORTRANGE(""https://docs.google.com/spreadsheets/d/14Bd19lYaqBhU8_DElYkX7l4wRkHqqCUFNJY4AfY3kHU/edit?usp=sharing  #gid=0"",""фіз особи new!relations_name""),6,FALSE)
,
(IF
(
C7060=""юридична особа""
,
VLOOKUP"&amp;"(D7060,IMPORTRANGE(""https://docs.google.com/spreadsheets/d/14Bd19lYaqBhU8_DElYkX7l4wRkHqqCUFNJY4AfY3kHU/edit?usp=sharing  #gid=0"",""фіз особи new!relations_name_uo""),7,FALSE)
,
)
))"),"ЧУМАК Наталія")</f>
        <v>ЧУМАК Наталія</v>
      </c>
      <c r="G7059" s="7" t="s">
        <v>10</v>
      </c>
      <c r="H7059" s="7">
        <v>23568</v>
      </c>
      <c r="I7059" s="8" t="str">
        <f ca="1">IFERROR(__xludf.DUMMYFUNCTION("IF
(
G7060=""фізична особа""
,
VLOOKUP(H7060,IMPORTRANGE(""https://docs.google.com/spreadsheets/d/14Bd19lYaqBhU8_DElYkX7l4wRkHqqCUFNJY4AfY3kHU/edit?usp=sharing  #gid=0"",""фіз особи new!relations_name""),6,FALSE)
,
(IF
(
G7060=""юридична особа""
,
VLOOKUP"&amp;"(H7060,IMPORTRANGE(""https://docs.google.com/spreadsheets/d/14Bd19lYaqBhU8_DElYkX7l4wRkHqqCUFNJY4AfY3kHU/edit?usp=sharing  #gid=0"",""фіз особи new!relations_name_uo""),7,FALSE)
,
)
))"),"ТИХТУРОВА Ганна Олександрівна")</f>
        <v>ТИХТУРОВА Ганна Олександрівна</v>
      </c>
      <c r="J7059" s="7" t="s">
        <v>30</v>
      </c>
    </row>
    <row r="7060" spans="1:10" ht="13.2">
      <c r="A7060" s="7">
        <v>7059</v>
      </c>
      <c r="B7060" s="7">
        <v>1</v>
      </c>
      <c r="C7060" s="7" t="s">
        <v>10</v>
      </c>
      <c r="D7060" s="7">
        <v>6583</v>
      </c>
      <c r="E7060" s="7" t="s">
        <v>30</v>
      </c>
      <c r="F7060" s="8" t="str">
        <f ca="1">IFERROR(__xludf.DUMMYFUNCTION("IF
(
C7061=""фізична особа""
,
VLOOKUP(D7061,IMPORTRANGE(""https://docs.google.com/spreadsheets/d/14Bd19lYaqBhU8_DElYkX7l4wRkHqqCUFNJY4AfY3kHU/edit?usp=sharing  #gid=0"",""фіз особи new!relations_name""),6,FALSE)
,
(IF
(
C7061=""юридична особа""
,
VLOOKUP"&amp;"(D7061,IMPORTRANGE(""https://docs.google.com/spreadsheets/d/14Bd19lYaqBhU8_DElYkX7l4wRkHqqCUFNJY4AfY3kHU/edit?usp=sharing  #gid=0"",""фіз особи new!relations_name_uo""),7,FALSE)
,
)
))"),"ПОШИН Ілля Валентинович")</f>
        <v>ПОШИН Ілля Валентинович</v>
      </c>
      <c r="G7060" s="7" t="s">
        <v>10</v>
      </c>
      <c r="H7060" s="7">
        <v>23564</v>
      </c>
      <c r="I7060" s="8" t="str">
        <f ca="1">IFERROR(__xludf.DUMMYFUNCTION("IF
(
G7061=""фізична особа""
,
VLOOKUP(H7061,IMPORTRANGE(""https://docs.google.com/spreadsheets/d/14Bd19lYaqBhU8_DElYkX7l4wRkHqqCUFNJY4AfY3kHU/edit?usp=sharing  #gid=0"",""фіз особи new!relations_name""),6,FALSE)
,
(IF
(
G7061=""юридична особа""
,
VLOOKUP"&amp;"(H7061,IMPORTRANGE(""https://docs.google.com/spreadsheets/d/14Bd19lYaqBhU8_DElYkX7l4wRkHqqCUFNJY4AfY3kHU/edit?usp=sharing  #gid=0"",""фіз особи new!relations_name_uo""),7,FALSE)
,
)
))"),"МІНАБУТДІНОВА Ляйсан Іскандарівна")</f>
        <v>МІНАБУТДІНОВА Ляйсан Іскандарівна</v>
      </c>
      <c r="J7060" s="7" t="s">
        <v>30</v>
      </c>
    </row>
    <row r="7061" spans="1:10" ht="13.2">
      <c r="A7061" s="7">
        <v>7060</v>
      </c>
      <c r="B7061" s="7">
        <v>1</v>
      </c>
      <c r="C7061" s="7" t="s">
        <v>10</v>
      </c>
      <c r="D7061" s="7">
        <v>6583</v>
      </c>
      <c r="E7061" s="7" t="s">
        <v>30</v>
      </c>
      <c r="F7061" s="8" t="str">
        <f ca="1">IFERROR(__xludf.DUMMYFUNCTION("IF
(
C7062=""фізична особа""
,
VLOOKUP(D7062,IMPORTRANGE(""https://docs.google.com/spreadsheets/d/14Bd19lYaqBhU8_DElYkX7l4wRkHqqCUFNJY4AfY3kHU/edit?usp=sharing  #gid=0"",""фіз особи new!relations_name""),6,FALSE)
,
(IF
(
C7062=""юридична особа""
,
VLOOKUP"&amp;"(D7062,IMPORTRANGE(""https://docs.google.com/spreadsheets/d/14Bd19lYaqBhU8_DElYkX7l4wRkHqqCUFNJY4AfY3kHU/edit?usp=sharing  #gid=0"",""фіз особи new!relations_name_uo""),7,FALSE)
,
)
))"),"ПОШИН Ілля Валентинович")</f>
        <v>ПОШИН Ілля Валентинович</v>
      </c>
      <c r="G7061" s="7" t="s">
        <v>10</v>
      </c>
      <c r="H7061" s="7">
        <v>23565</v>
      </c>
      <c r="I7061" s="8" t="str">
        <f ca="1">IFERROR(__xludf.DUMMYFUNCTION("IF
(
G7062=""фізична особа""
,
VLOOKUP(H7062,IMPORTRANGE(""https://docs.google.com/spreadsheets/d/14Bd19lYaqBhU8_DElYkX7l4wRkHqqCUFNJY4AfY3kHU/edit?usp=sharing  #gid=0"",""фіз особи new!relations_name""),6,FALSE)
,
(IF
(
G7062=""юридична особа""
,
VLOOKUP"&amp;"(H7062,IMPORTRANGE(""https://docs.google.com/spreadsheets/d/14Bd19lYaqBhU8_DElYkX7l4wRkHqqCUFNJY4AfY3kHU/edit?usp=sharing  #gid=0"",""фіз особи new!relations_name_uo""),7,FALSE)
,
)
))"),"ЗАЛЯЄВ Равіль Шамилович")</f>
        <v>ЗАЛЯЄВ Равіль Шамилович</v>
      </c>
      <c r="J7061" s="7" t="s">
        <v>30</v>
      </c>
    </row>
    <row r="7062" spans="1:10" ht="13.2">
      <c r="A7062" s="7">
        <v>7061</v>
      </c>
      <c r="B7062" s="7">
        <v>1</v>
      </c>
      <c r="C7062" s="7" t="s">
        <v>10</v>
      </c>
      <c r="D7062" s="7">
        <v>6583</v>
      </c>
      <c r="E7062" s="7" t="s">
        <v>30</v>
      </c>
      <c r="F7062" s="8" t="str">
        <f ca="1">IFERROR(__xludf.DUMMYFUNCTION("IF
(
C7063=""фізична особа""
,
VLOOKUP(D7063,IMPORTRANGE(""https://docs.google.com/spreadsheets/d/14Bd19lYaqBhU8_DElYkX7l4wRkHqqCUFNJY4AfY3kHU/edit?usp=sharing  #gid=0"",""фіз особи new!relations_name""),6,FALSE)
,
(IF
(
C7063=""юридична особа""
,
VLOOKUP"&amp;"(D7063,IMPORTRANGE(""https://docs.google.com/spreadsheets/d/14Bd19lYaqBhU8_DElYkX7l4wRkHqqCUFNJY4AfY3kHU/edit?usp=sharing  #gid=0"",""фіз особи new!relations_name_uo""),7,FALSE)
,
)
))"),"ПОШИН Ілля Валентинович")</f>
        <v>ПОШИН Ілля Валентинович</v>
      </c>
      <c r="G7062" s="7" t="s">
        <v>10</v>
      </c>
      <c r="H7062" s="7">
        <v>23566</v>
      </c>
      <c r="I7062" s="8" t="str">
        <f ca="1">IFERROR(__xludf.DUMMYFUNCTION("IF
(
G7063=""фізична особа""
,
VLOOKUP(H7063,IMPORTRANGE(""https://docs.google.com/spreadsheets/d/14Bd19lYaqBhU8_DElYkX7l4wRkHqqCUFNJY4AfY3kHU/edit?usp=sharing  #gid=0"",""фіз особи new!relations_name""),6,FALSE)
,
(IF
(
G7063=""юридична особа""
,
VLOOKUP"&amp;"(H7063,IMPORTRANGE(""https://docs.google.com/spreadsheets/d/14Bd19lYaqBhU8_DElYkX7l4wRkHqqCUFNJY4AfY3kHU/edit?usp=sharing  #gid=0"",""фіз особи new!relations_name_uo""),7,FALSE)
,
)
))"),"ЗАЛАЄВА Олена Ахатівна")</f>
        <v>ЗАЛАЄВА Олена Ахатівна</v>
      </c>
      <c r="J7062" s="7" t="s">
        <v>30</v>
      </c>
    </row>
    <row r="7063" spans="1:10" ht="13.2">
      <c r="A7063" s="7">
        <v>7062</v>
      </c>
      <c r="B7063" s="7">
        <v>1</v>
      </c>
      <c r="C7063" s="7" t="s">
        <v>10</v>
      </c>
      <c r="D7063" s="7">
        <v>6583</v>
      </c>
      <c r="E7063" s="7" t="s">
        <v>30</v>
      </c>
      <c r="F7063" s="8" t="str">
        <f ca="1">IFERROR(__xludf.DUMMYFUNCTION("IF
(
C7064=""фізична особа""
,
VLOOKUP(D7064,IMPORTRANGE(""https://docs.google.com/spreadsheets/d/14Bd19lYaqBhU8_DElYkX7l4wRkHqqCUFNJY4AfY3kHU/edit?usp=sharing  #gid=0"",""фіз особи new!relations_name""),6,FALSE)
,
(IF
(
C7064=""юридична особа""
,
VLOOKUP"&amp;"(D7064,IMPORTRANGE(""https://docs.google.com/spreadsheets/d/14Bd19lYaqBhU8_DElYkX7l4wRkHqqCUFNJY4AfY3kHU/edit?usp=sharing  #gid=0"",""фіз особи new!relations_name_uo""),7,FALSE)
,
)
))"),"ПОШИН Ілля Валентинович")</f>
        <v>ПОШИН Ілля Валентинович</v>
      </c>
      <c r="G7063" s="7" t="s">
        <v>10</v>
      </c>
      <c r="H7063" s="7">
        <v>23567</v>
      </c>
      <c r="I7063" s="8" t="str">
        <f ca="1">IFERROR(__xludf.DUMMYFUNCTION("IF
(
G7064=""фізична особа""
,
VLOOKUP(H7064,IMPORTRANGE(""https://docs.google.com/spreadsheets/d/14Bd19lYaqBhU8_DElYkX7l4wRkHqqCUFNJY4AfY3kHU/edit?usp=sharing  #gid=0"",""фіз особи new!relations_name""),6,FALSE)
,
(IF
(
G7064=""юридична особа""
,
VLOOKUP"&amp;"(H7064,IMPORTRANGE(""https://docs.google.com/spreadsheets/d/14Bd19lYaqBhU8_DElYkX7l4wRkHqqCUFNJY4AfY3kHU/edit?usp=sharing  #gid=0"",""фіз особи new!relations_name_uo""),7,FALSE)
,
)
))"),"МАКСИМ Демин")</f>
        <v>МАКСИМ Демин</v>
      </c>
      <c r="J7063" s="7" t="s">
        <v>30</v>
      </c>
    </row>
    <row r="7064" spans="1:10" ht="13.2">
      <c r="A7064" s="7">
        <v>7063</v>
      </c>
      <c r="B7064" s="7">
        <v>1</v>
      </c>
      <c r="C7064" s="7" t="s">
        <v>10</v>
      </c>
      <c r="D7064" s="7">
        <v>6583</v>
      </c>
      <c r="E7064" s="7" t="s">
        <v>30</v>
      </c>
      <c r="F7064" s="8" t="str">
        <f ca="1">IFERROR(__xludf.DUMMYFUNCTION("IF
(
C7065=""фізична особа""
,
VLOOKUP(D7065,IMPORTRANGE(""https://docs.google.com/spreadsheets/d/14Bd19lYaqBhU8_DElYkX7l4wRkHqqCUFNJY4AfY3kHU/edit?usp=sharing  #gid=0"",""фіз особи new!relations_name""),6,FALSE)
,
(IF
(
C7065=""юридична особа""
,
VLOOKUP"&amp;"(D7065,IMPORTRANGE(""https://docs.google.com/spreadsheets/d/14Bd19lYaqBhU8_DElYkX7l4wRkHqqCUFNJY4AfY3kHU/edit?usp=sharing  #gid=0"",""фіз особи new!relations_name_uo""),7,FALSE)
,
)
))"),"ПОШИН Ілля Валентинович")</f>
        <v>ПОШИН Ілля Валентинович</v>
      </c>
      <c r="G7064" s="7" t="s">
        <v>10</v>
      </c>
      <c r="H7064" s="7">
        <v>23568</v>
      </c>
      <c r="I7064" s="8" t="str">
        <f ca="1">IFERROR(__xludf.DUMMYFUNCTION("IF
(
G7065=""фізична особа""
,
VLOOKUP(H7065,IMPORTRANGE(""https://docs.google.com/spreadsheets/d/14Bd19lYaqBhU8_DElYkX7l4wRkHqqCUFNJY4AfY3kHU/edit?usp=sharing  #gid=0"",""фіз особи new!relations_name""),6,FALSE)
,
(IF
(
G7065=""юридична особа""
,
VLOOKUP"&amp;"(H7065,IMPORTRANGE(""https://docs.google.com/spreadsheets/d/14Bd19lYaqBhU8_DElYkX7l4wRkHqqCUFNJY4AfY3kHU/edit?usp=sharing  #gid=0"",""фіз особи new!relations_name_uo""),7,FALSE)
,
)
))"),"ТИХТУРОВА Ганна Олександрівна")</f>
        <v>ТИХТУРОВА Ганна Олександрівна</v>
      </c>
      <c r="J7064" s="7" t="s">
        <v>30</v>
      </c>
    </row>
    <row r="7065" spans="1:10" ht="13.2">
      <c r="A7065" s="7">
        <v>7064</v>
      </c>
      <c r="B7065" s="7">
        <v>1</v>
      </c>
      <c r="C7065" s="7" t="s">
        <v>10</v>
      </c>
      <c r="D7065" s="7">
        <v>6584</v>
      </c>
      <c r="E7065" s="7" t="s">
        <v>30</v>
      </c>
      <c r="F7065" s="8" t="str">
        <f ca="1">IFERROR(__xludf.DUMMYFUNCTION("IF
(
C7066=""фізична особа""
,
VLOOKUP(D7066,IMPORTRANGE(""https://docs.google.com/spreadsheets/d/14Bd19lYaqBhU8_DElYkX7l4wRkHqqCUFNJY4AfY3kHU/edit?usp=sharing  #gid=0"",""фіз особи new!relations_name""),6,FALSE)
,
(IF
(
C7066=""юридична особа""
,
VLOOKUP"&amp;"(D7066,IMPORTRANGE(""https://docs.google.com/spreadsheets/d/14Bd19lYaqBhU8_DElYkX7l4wRkHqqCUFNJY4AfY3kHU/edit?usp=sharing  #gid=0"",""фіз особи new!relations_name_uo""),7,FALSE)
,
)
))"),"ЮРАСОВ Василь")</f>
        <v>ЮРАСОВ Василь</v>
      </c>
      <c r="G7065" s="7" t="s">
        <v>10</v>
      </c>
      <c r="H7065" s="7">
        <v>23564</v>
      </c>
      <c r="I7065" s="8" t="str">
        <f ca="1">IFERROR(__xludf.DUMMYFUNCTION("IF
(
G7066=""фізична особа""
,
VLOOKUP(H7066,IMPORTRANGE(""https://docs.google.com/spreadsheets/d/14Bd19lYaqBhU8_DElYkX7l4wRkHqqCUFNJY4AfY3kHU/edit?usp=sharing  #gid=0"",""фіз особи new!relations_name""),6,FALSE)
,
(IF
(
G7066=""юридична особа""
,
VLOOKUP"&amp;"(H7066,IMPORTRANGE(""https://docs.google.com/spreadsheets/d/14Bd19lYaqBhU8_DElYkX7l4wRkHqqCUFNJY4AfY3kHU/edit?usp=sharing  #gid=0"",""фіз особи new!relations_name_uo""),7,FALSE)
,
)
))"),"МІНАБУТДІНОВА Ляйсан Іскандарівна")</f>
        <v>МІНАБУТДІНОВА Ляйсан Іскандарівна</v>
      </c>
      <c r="J7065" s="7" t="s">
        <v>30</v>
      </c>
    </row>
    <row r="7066" spans="1:10" ht="13.2">
      <c r="A7066" s="7">
        <v>7065</v>
      </c>
      <c r="B7066" s="7">
        <v>1</v>
      </c>
      <c r="C7066" s="7" t="s">
        <v>10</v>
      </c>
      <c r="D7066" s="7">
        <v>6584</v>
      </c>
      <c r="E7066" s="7" t="s">
        <v>30</v>
      </c>
      <c r="F7066" s="8" t="str">
        <f ca="1">IFERROR(__xludf.DUMMYFUNCTION("IF
(
C7067=""фізична особа""
,
VLOOKUP(D7067,IMPORTRANGE(""https://docs.google.com/spreadsheets/d/14Bd19lYaqBhU8_DElYkX7l4wRkHqqCUFNJY4AfY3kHU/edit?usp=sharing  #gid=0"",""фіз особи new!relations_name""),6,FALSE)
,
(IF
(
C7067=""юридична особа""
,
VLOOKUP"&amp;"(D7067,IMPORTRANGE(""https://docs.google.com/spreadsheets/d/14Bd19lYaqBhU8_DElYkX7l4wRkHqqCUFNJY4AfY3kHU/edit?usp=sharing  #gid=0"",""фіз особи new!relations_name_uo""),7,FALSE)
,
)
))"),"ЮРАСОВ Василь")</f>
        <v>ЮРАСОВ Василь</v>
      </c>
      <c r="G7066" s="7" t="s">
        <v>10</v>
      </c>
      <c r="H7066" s="7">
        <v>23565</v>
      </c>
      <c r="I7066" s="8" t="str">
        <f ca="1">IFERROR(__xludf.DUMMYFUNCTION("IF
(
G7067=""фізична особа""
,
VLOOKUP(H7067,IMPORTRANGE(""https://docs.google.com/spreadsheets/d/14Bd19lYaqBhU8_DElYkX7l4wRkHqqCUFNJY4AfY3kHU/edit?usp=sharing  #gid=0"",""фіз особи new!relations_name""),6,FALSE)
,
(IF
(
G7067=""юридична особа""
,
VLOOKUP"&amp;"(H7067,IMPORTRANGE(""https://docs.google.com/spreadsheets/d/14Bd19lYaqBhU8_DElYkX7l4wRkHqqCUFNJY4AfY3kHU/edit?usp=sharing  #gid=0"",""фіз особи new!relations_name_uo""),7,FALSE)
,
)
))"),"ЗАЛЯЄВ Равіль Шамилович")</f>
        <v>ЗАЛЯЄВ Равіль Шамилович</v>
      </c>
      <c r="J7066" s="7" t="s">
        <v>30</v>
      </c>
    </row>
    <row r="7067" spans="1:10" ht="13.2">
      <c r="A7067" s="7">
        <v>7066</v>
      </c>
      <c r="B7067" s="7">
        <v>1</v>
      </c>
      <c r="C7067" s="7" t="s">
        <v>10</v>
      </c>
      <c r="D7067" s="7">
        <v>6584</v>
      </c>
      <c r="E7067" s="7" t="s">
        <v>30</v>
      </c>
      <c r="F7067" s="8" t="str">
        <f ca="1">IFERROR(__xludf.DUMMYFUNCTION("IF
(
C7068=""фізична особа""
,
VLOOKUP(D7068,IMPORTRANGE(""https://docs.google.com/spreadsheets/d/14Bd19lYaqBhU8_DElYkX7l4wRkHqqCUFNJY4AfY3kHU/edit?usp=sharing  #gid=0"",""фіз особи new!relations_name""),6,FALSE)
,
(IF
(
C7068=""юридична особа""
,
VLOOKUP"&amp;"(D7068,IMPORTRANGE(""https://docs.google.com/spreadsheets/d/14Bd19lYaqBhU8_DElYkX7l4wRkHqqCUFNJY4AfY3kHU/edit?usp=sharing  #gid=0"",""фіз особи new!relations_name_uo""),7,FALSE)
,
)
))"),"ЮРАСОВ Василь")</f>
        <v>ЮРАСОВ Василь</v>
      </c>
      <c r="G7067" s="7" t="s">
        <v>10</v>
      </c>
      <c r="H7067" s="7">
        <v>23566</v>
      </c>
      <c r="I7067" s="8" t="str">
        <f ca="1">IFERROR(__xludf.DUMMYFUNCTION("IF
(
G7068=""фізична особа""
,
VLOOKUP(H7068,IMPORTRANGE(""https://docs.google.com/spreadsheets/d/14Bd19lYaqBhU8_DElYkX7l4wRkHqqCUFNJY4AfY3kHU/edit?usp=sharing  #gid=0"",""фіз особи new!relations_name""),6,FALSE)
,
(IF
(
G7068=""юридична особа""
,
VLOOKUP"&amp;"(H7068,IMPORTRANGE(""https://docs.google.com/spreadsheets/d/14Bd19lYaqBhU8_DElYkX7l4wRkHqqCUFNJY4AfY3kHU/edit?usp=sharing  #gid=0"",""фіз особи new!relations_name_uo""),7,FALSE)
,
)
))"),"ЗАЛАЄВА Олена Ахатівна")</f>
        <v>ЗАЛАЄВА Олена Ахатівна</v>
      </c>
      <c r="J7067" s="7" t="s">
        <v>30</v>
      </c>
    </row>
    <row r="7068" spans="1:10" ht="13.2">
      <c r="A7068" s="7">
        <v>7067</v>
      </c>
      <c r="B7068" s="7">
        <v>1</v>
      </c>
      <c r="C7068" s="7" t="s">
        <v>10</v>
      </c>
      <c r="D7068" s="7">
        <v>6584</v>
      </c>
      <c r="E7068" s="7" t="s">
        <v>30</v>
      </c>
      <c r="F7068" s="8" t="str">
        <f ca="1">IFERROR(__xludf.DUMMYFUNCTION("IF
(
C7069=""фізична особа""
,
VLOOKUP(D7069,IMPORTRANGE(""https://docs.google.com/spreadsheets/d/14Bd19lYaqBhU8_DElYkX7l4wRkHqqCUFNJY4AfY3kHU/edit?usp=sharing  #gid=0"",""фіз особи new!relations_name""),6,FALSE)
,
(IF
(
C7069=""юридична особа""
,
VLOOKUP"&amp;"(D7069,IMPORTRANGE(""https://docs.google.com/spreadsheets/d/14Bd19lYaqBhU8_DElYkX7l4wRkHqqCUFNJY4AfY3kHU/edit?usp=sharing  #gid=0"",""фіз особи new!relations_name_uo""),7,FALSE)
,
)
))"),"ЮРАСОВ Василь")</f>
        <v>ЮРАСОВ Василь</v>
      </c>
      <c r="G7068" s="7" t="s">
        <v>10</v>
      </c>
      <c r="H7068" s="7">
        <v>23567</v>
      </c>
      <c r="I7068" s="8" t="str">
        <f ca="1">IFERROR(__xludf.DUMMYFUNCTION("IF
(
G7069=""фізична особа""
,
VLOOKUP(H7069,IMPORTRANGE(""https://docs.google.com/spreadsheets/d/14Bd19lYaqBhU8_DElYkX7l4wRkHqqCUFNJY4AfY3kHU/edit?usp=sharing  #gid=0"",""фіз особи new!relations_name""),6,FALSE)
,
(IF
(
G7069=""юридична особа""
,
VLOOKUP"&amp;"(H7069,IMPORTRANGE(""https://docs.google.com/spreadsheets/d/14Bd19lYaqBhU8_DElYkX7l4wRkHqqCUFNJY4AfY3kHU/edit?usp=sharing  #gid=0"",""фіз особи new!relations_name_uo""),7,FALSE)
,
)
))"),"МАКСИМ Демин")</f>
        <v>МАКСИМ Демин</v>
      </c>
      <c r="J7068" s="7" t="s">
        <v>30</v>
      </c>
    </row>
    <row r="7069" spans="1:10" ht="13.2">
      <c r="A7069" s="7">
        <v>7068</v>
      </c>
      <c r="B7069" s="7">
        <v>1</v>
      </c>
      <c r="C7069" s="7" t="s">
        <v>10</v>
      </c>
      <c r="D7069" s="7">
        <v>6584</v>
      </c>
      <c r="E7069" s="7" t="s">
        <v>30</v>
      </c>
      <c r="F7069" s="8" t="str">
        <f ca="1">IFERROR(__xludf.DUMMYFUNCTION("IF
(
C7070=""фізична особа""
,
VLOOKUP(D7070,IMPORTRANGE(""https://docs.google.com/spreadsheets/d/14Bd19lYaqBhU8_DElYkX7l4wRkHqqCUFNJY4AfY3kHU/edit?usp=sharing  #gid=0"",""фіз особи new!relations_name""),6,FALSE)
,
(IF
(
C7070=""юридична особа""
,
VLOOKUP"&amp;"(D7070,IMPORTRANGE(""https://docs.google.com/spreadsheets/d/14Bd19lYaqBhU8_DElYkX7l4wRkHqqCUFNJY4AfY3kHU/edit?usp=sharing  #gid=0"",""фіз особи new!relations_name_uo""),7,FALSE)
,
)
))"),"ЮРАСОВ Василь")</f>
        <v>ЮРАСОВ Василь</v>
      </c>
      <c r="G7069" s="7" t="s">
        <v>10</v>
      </c>
      <c r="H7069" s="7">
        <v>23568</v>
      </c>
      <c r="I7069" s="8" t="str">
        <f ca="1">IFERROR(__xludf.DUMMYFUNCTION("IF
(
G7070=""фізична особа""
,
VLOOKUP(H7070,IMPORTRANGE(""https://docs.google.com/spreadsheets/d/14Bd19lYaqBhU8_DElYkX7l4wRkHqqCUFNJY4AfY3kHU/edit?usp=sharing  #gid=0"",""фіз особи new!relations_name""),6,FALSE)
,
(IF
(
G7070=""юридична особа""
,
VLOOKUP"&amp;"(H7070,IMPORTRANGE(""https://docs.google.com/spreadsheets/d/14Bd19lYaqBhU8_DElYkX7l4wRkHqqCUFNJY4AfY3kHU/edit?usp=sharing  #gid=0"",""фіз особи new!relations_name_uo""),7,FALSE)
,
)
))"),"ТИХТУРОВА Ганна Олександрівна")</f>
        <v>ТИХТУРОВА Ганна Олександрівна</v>
      </c>
      <c r="J7069" s="7" t="s">
        <v>30</v>
      </c>
    </row>
    <row r="7070" spans="1:10" ht="13.2">
      <c r="A7070" s="7">
        <v>7069</v>
      </c>
      <c r="B7070" s="7">
        <v>1</v>
      </c>
      <c r="C7070" s="7" t="s">
        <v>10</v>
      </c>
      <c r="D7070" s="7">
        <v>6585</v>
      </c>
      <c r="E7070" s="7" t="s">
        <v>30</v>
      </c>
      <c r="F7070" s="8" t="str">
        <f ca="1">IFERROR(__xludf.DUMMYFUNCTION("IF
(
C7071=""фізична особа""
,
VLOOKUP(D7071,IMPORTRANGE(""https://docs.google.com/spreadsheets/d/14Bd19lYaqBhU8_DElYkX7l4wRkHqqCUFNJY4AfY3kHU/edit?usp=sharing  #gid=0"",""фіз особи new!relations_name""),6,FALSE)
,
(IF
(
C7071=""юридична особа""
,
VLOOKUP"&amp;"(D7071,IMPORTRANGE(""https://docs.google.com/spreadsheets/d/14Bd19lYaqBhU8_DElYkX7l4wRkHqqCUFNJY4AfY3kHU/edit?usp=sharing  #gid=0"",""фіз особи new!relations_name_uo""),7,FALSE)
,
)
))"),"ПАВЛЕНКО Євгеній")</f>
        <v>ПАВЛЕНКО Євгеній</v>
      </c>
      <c r="G7070" s="7" t="s">
        <v>10</v>
      </c>
      <c r="H7070" s="7">
        <v>23564</v>
      </c>
      <c r="I7070" s="8" t="str">
        <f ca="1">IFERROR(__xludf.DUMMYFUNCTION("IF
(
G7071=""фізична особа""
,
VLOOKUP(H7071,IMPORTRANGE(""https://docs.google.com/spreadsheets/d/14Bd19lYaqBhU8_DElYkX7l4wRkHqqCUFNJY4AfY3kHU/edit?usp=sharing  #gid=0"",""фіз особи new!relations_name""),6,FALSE)
,
(IF
(
G7071=""юридична особа""
,
VLOOKUP"&amp;"(H7071,IMPORTRANGE(""https://docs.google.com/spreadsheets/d/14Bd19lYaqBhU8_DElYkX7l4wRkHqqCUFNJY4AfY3kHU/edit?usp=sharing  #gid=0"",""фіз особи new!relations_name_uo""),7,FALSE)
,
)
))"),"МІНАБУТДІНОВА Ляйсан Іскандарівна")</f>
        <v>МІНАБУТДІНОВА Ляйсан Іскандарівна</v>
      </c>
      <c r="J7070" s="7" t="s">
        <v>30</v>
      </c>
    </row>
    <row r="7071" spans="1:10" ht="13.2">
      <c r="A7071" s="7">
        <v>7070</v>
      </c>
      <c r="B7071" s="7">
        <v>1</v>
      </c>
      <c r="C7071" s="7" t="s">
        <v>10</v>
      </c>
      <c r="D7071" s="7">
        <v>6585</v>
      </c>
      <c r="E7071" s="7" t="s">
        <v>30</v>
      </c>
      <c r="F7071" s="8" t="str">
        <f ca="1">IFERROR(__xludf.DUMMYFUNCTION("IF
(
C7072=""фізична особа""
,
VLOOKUP(D7072,IMPORTRANGE(""https://docs.google.com/spreadsheets/d/14Bd19lYaqBhU8_DElYkX7l4wRkHqqCUFNJY4AfY3kHU/edit?usp=sharing  #gid=0"",""фіз особи new!relations_name""),6,FALSE)
,
(IF
(
C7072=""юридична особа""
,
VLOOKUP"&amp;"(D7072,IMPORTRANGE(""https://docs.google.com/spreadsheets/d/14Bd19lYaqBhU8_DElYkX7l4wRkHqqCUFNJY4AfY3kHU/edit?usp=sharing  #gid=0"",""фіз особи new!relations_name_uo""),7,FALSE)
,
)
))"),"ПАВЛЕНКО Євгеній")</f>
        <v>ПАВЛЕНКО Євгеній</v>
      </c>
      <c r="G7071" s="7" t="s">
        <v>10</v>
      </c>
      <c r="H7071" s="7">
        <v>23565</v>
      </c>
      <c r="I7071" s="8" t="str">
        <f ca="1">IFERROR(__xludf.DUMMYFUNCTION("IF
(
G7072=""фізична особа""
,
VLOOKUP(H7072,IMPORTRANGE(""https://docs.google.com/spreadsheets/d/14Bd19lYaqBhU8_DElYkX7l4wRkHqqCUFNJY4AfY3kHU/edit?usp=sharing  #gid=0"",""фіз особи new!relations_name""),6,FALSE)
,
(IF
(
G7072=""юридична особа""
,
VLOOKUP"&amp;"(H7072,IMPORTRANGE(""https://docs.google.com/spreadsheets/d/14Bd19lYaqBhU8_DElYkX7l4wRkHqqCUFNJY4AfY3kHU/edit?usp=sharing  #gid=0"",""фіз особи new!relations_name_uo""),7,FALSE)
,
)
))"),"ЗАЛЯЄВ Равіль Шамилович")</f>
        <v>ЗАЛЯЄВ Равіль Шамилович</v>
      </c>
      <c r="J7071" s="7" t="s">
        <v>30</v>
      </c>
    </row>
    <row r="7072" spans="1:10" ht="13.2">
      <c r="A7072" s="7">
        <v>7071</v>
      </c>
      <c r="B7072" s="7">
        <v>1</v>
      </c>
      <c r="C7072" s="7" t="s">
        <v>10</v>
      </c>
      <c r="D7072" s="7">
        <v>6585</v>
      </c>
      <c r="E7072" s="7" t="s">
        <v>30</v>
      </c>
      <c r="F7072" s="8" t="str">
        <f ca="1">IFERROR(__xludf.DUMMYFUNCTION("IF
(
C7073=""фізична особа""
,
VLOOKUP(D7073,IMPORTRANGE(""https://docs.google.com/spreadsheets/d/14Bd19lYaqBhU8_DElYkX7l4wRkHqqCUFNJY4AfY3kHU/edit?usp=sharing  #gid=0"",""фіз особи new!relations_name""),6,FALSE)
,
(IF
(
C7073=""юридична особа""
,
VLOOKUP"&amp;"(D7073,IMPORTRANGE(""https://docs.google.com/spreadsheets/d/14Bd19lYaqBhU8_DElYkX7l4wRkHqqCUFNJY4AfY3kHU/edit?usp=sharing  #gid=0"",""фіз особи new!relations_name_uo""),7,FALSE)
,
)
))"),"ПАВЛЕНКО Євгеній")</f>
        <v>ПАВЛЕНКО Євгеній</v>
      </c>
      <c r="G7072" s="7" t="s">
        <v>10</v>
      </c>
      <c r="H7072" s="7">
        <v>23566</v>
      </c>
      <c r="I7072" s="8" t="str">
        <f ca="1">IFERROR(__xludf.DUMMYFUNCTION("IF
(
G7073=""фізична особа""
,
VLOOKUP(H7073,IMPORTRANGE(""https://docs.google.com/spreadsheets/d/14Bd19lYaqBhU8_DElYkX7l4wRkHqqCUFNJY4AfY3kHU/edit?usp=sharing  #gid=0"",""фіз особи new!relations_name""),6,FALSE)
,
(IF
(
G7073=""юридична особа""
,
VLOOKUP"&amp;"(H7073,IMPORTRANGE(""https://docs.google.com/spreadsheets/d/14Bd19lYaqBhU8_DElYkX7l4wRkHqqCUFNJY4AfY3kHU/edit?usp=sharing  #gid=0"",""фіз особи new!relations_name_uo""),7,FALSE)
,
)
))"),"ЗАЛАЄВА Олена Ахатівна")</f>
        <v>ЗАЛАЄВА Олена Ахатівна</v>
      </c>
      <c r="J7072" s="7" t="s">
        <v>30</v>
      </c>
    </row>
    <row r="7073" spans="1:10" ht="13.2">
      <c r="A7073" s="7">
        <v>7072</v>
      </c>
      <c r="B7073" s="7">
        <v>1</v>
      </c>
      <c r="C7073" s="7" t="s">
        <v>10</v>
      </c>
      <c r="D7073" s="7">
        <v>6585</v>
      </c>
      <c r="E7073" s="7" t="s">
        <v>30</v>
      </c>
      <c r="F7073" s="8" t="str">
        <f ca="1">IFERROR(__xludf.DUMMYFUNCTION("IF
(
C7074=""фізична особа""
,
VLOOKUP(D7074,IMPORTRANGE(""https://docs.google.com/spreadsheets/d/14Bd19lYaqBhU8_DElYkX7l4wRkHqqCUFNJY4AfY3kHU/edit?usp=sharing  #gid=0"",""фіз особи new!relations_name""),6,FALSE)
,
(IF
(
C7074=""юридична особа""
,
VLOOKUP"&amp;"(D7074,IMPORTRANGE(""https://docs.google.com/spreadsheets/d/14Bd19lYaqBhU8_DElYkX7l4wRkHqqCUFNJY4AfY3kHU/edit?usp=sharing  #gid=0"",""фіз особи new!relations_name_uo""),7,FALSE)
,
)
))"),"ПАВЛЕНКО Євгеній")</f>
        <v>ПАВЛЕНКО Євгеній</v>
      </c>
      <c r="G7073" s="7" t="s">
        <v>10</v>
      </c>
      <c r="H7073" s="7">
        <v>23567</v>
      </c>
      <c r="I7073" s="8" t="str">
        <f ca="1">IFERROR(__xludf.DUMMYFUNCTION("IF
(
G7074=""фізична особа""
,
VLOOKUP(H7074,IMPORTRANGE(""https://docs.google.com/spreadsheets/d/14Bd19lYaqBhU8_DElYkX7l4wRkHqqCUFNJY4AfY3kHU/edit?usp=sharing  #gid=0"",""фіз особи new!relations_name""),6,FALSE)
,
(IF
(
G7074=""юридична особа""
,
VLOOKUP"&amp;"(H7074,IMPORTRANGE(""https://docs.google.com/spreadsheets/d/14Bd19lYaqBhU8_DElYkX7l4wRkHqqCUFNJY4AfY3kHU/edit?usp=sharing  #gid=0"",""фіз особи new!relations_name_uo""),7,FALSE)
,
)
))"),"МАКСИМ Демин")</f>
        <v>МАКСИМ Демин</v>
      </c>
      <c r="J7073" s="7" t="s">
        <v>30</v>
      </c>
    </row>
    <row r="7074" spans="1:10" ht="13.2">
      <c r="A7074" s="7">
        <v>7073</v>
      </c>
      <c r="B7074" s="7">
        <v>1</v>
      </c>
      <c r="C7074" s="7" t="s">
        <v>10</v>
      </c>
      <c r="D7074" s="7">
        <v>6585</v>
      </c>
      <c r="E7074" s="7" t="s">
        <v>30</v>
      </c>
      <c r="F7074" s="8" t="str">
        <f ca="1">IFERROR(__xludf.DUMMYFUNCTION("IF
(
C7075=""фізична особа""
,
VLOOKUP(D7075,IMPORTRANGE(""https://docs.google.com/spreadsheets/d/14Bd19lYaqBhU8_DElYkX7l4wRkHqqCUFNJY4AfY3kHU/edit?usp=sharing  #gid=0"",""фіз особи new!relations_name""),6,FALSE)
,
(IF
(
C7075=""юридична особа""
,
VLOOKUP"&amp;"(D7075,IMPORTRANGE(""https://docs.google.com/spreadsheets/d/14Bd19lYaqBhU8_DElYkX7l4wRkHqqCUFNJY4AfY3kHU/edit?usp=sharing  #gid=0"",""фіз особи new!relations_name_uo""),7,FALSE)
,
)
))"),"ПАВЛЕНКО Євгеній")</f>
        <v>ПАВЛЕНКО Євгеній</v>
      </c>
      <c r="G7074" s="7" t="s">
        <v>10</v>
      </c>
      <c r="H7074" s="7">
        <v>23568</v>
      </c>
      <c r="I7074" s="8" t="str">
        <f ca="1">IFERROR(__xludf.DUMMYFUNCTION("IF
(
G7075=""фізична особа""
,
VLOOKUP(H7075,IMPORTRANGE(""https://docs.google.com/spreadsheets/d/14Bd19lYaqBhU8_DElYkX7l4wRkHqqCUFNJY4AfY3kHU/edit?usp=sharing  #gid=0"",""фіз особи new!relations_name""),6,FALSE)
,
(IF
(
G7075=""юридична особа""
,
VLOOKUP"&amp;"(H7075,IMPORTRANGE(""https://docs.google.com/spreadsheets/d/14Bd19lYaqBhU8_DElYkX7l4wRkHqqCUFNJY4AfY3kHU/edit?usp=sharing  #gid=0"",""фіз особи new!relations_name_uo""),7,FALSE)
,
)
))"),"ТИХТУРОВА Ганна Олександрівна")</f>
        <v>ТИХТУРОВА Ганна Олександрівна</v>
      </c>
      <c r="J7074" s="7" t="s">
        <v>30</v>
      </c>
    </row>
    <row r="7075" spans="1:10" ht="13.2">
      <c r="A7075" s="7">
        <v>7074</v>
      </c>
      <c r="B7075" s="7">
        <v>1</v>
      </c>
      <c r="C7075" s="7" t="s">
        <v>10</v>
      </c>
      <c r="D7075" s="7">
        <v>6586</v>
      </c>
      <c r="E7075" s="7" t="s">
        <v>30</v>
      </c>
      <c r="F7075" s="8" t="str">
        <f ca="1">IFERROR(__xludf.DUMMYFUNCTION("IF
(
C7076=""фізична особа""
,
VLOOKUP(D7076,IMPORTRANGE(""https://docs.google.com/spreadsheets/d/14Bd19lYaqBhU8_DElYkX7l4wRkHqqCUFNJY4AfY3kHU/edit?usp=sharing  #gid=0"",""фіз особи new!relations_name""),6,FALSE)
,
(IF
(
C7076=""юридична особа""
,
VLOOKUP"&amp;"(D7076,IMPORTRANGE(""https://docs.google.com/spreadsheets/d/14Bd19lYaqBhU8_DElYkX7l4wRkHqqCUFNJY4AfY3kHU/edit?usp=sharing  #gid=0"",""фіз особи new!relations_name_uo""),7,FALSE)
,
)
))"),"ЗАХАРОВ Олексій Вікторович")</f>
        <v>ЗАХАРОВ Олексій Вікторович</v>
      </c>
      <c r="G7075" s="7" t="s">
        <v>10</v>
      </c>
      <c r="H7075" s="7">
        <v>0</v>
      </c>
      <c r="I7075" s="8" t="str">
        <f ca="1">IFERROR(__xludf.DUMMYFUNCTION("IF
(
G7076=""фізична особа""
,
VLOOKUP(H7076,IMPORTRANGE(""https://docs.google.com/spreadsheets/d/14Bd19lYaqBhU8_DElYkX7l4wRkHqqCUFNJY4AfY3kHU/edit?usp=sharing  #gid=0"",""фіз особи new!relations_name""),6,FALSE)
,
(IF
(
G7076=""юридична особа""
,
VLOOKUP"&amp;"(H7076,IMPORTRANGE(""https://docs.google.com/spreadsheets/d/14Bd19lYaqBhU8_DElYkX7l4wRkHqqCUFNJY4AfY3kHU/edit?usp=sharing  #gid=0"",""фіз особи new!relations_name_uo""),7,FALSE)
,
)
))"),"#N/A")</f>
        <v>#N/A</v>
      </c>
      <c r="J7075" s="7" t="s">
        <v>30</v>
      </c>
    </row>
    <row r="7076" spans="1:10" ht="13.2">
      <c r="A7076" s="7">
        <v>7075</v>
      </c>
      <c r="B7076" s="7">
        <v>1</v>
      </c>
      <c r="C7076" s="7" t="s">
        <v>10</v>
      </c>
      <c r="D7076" s="7">
        <v>6586</v>
      </c>
      <c r="E7076" s="7" t="s">
        <v>30</v>
      </c>
      <c r="F7076" s="8" t="str">
        <f ca="1">IFERROR(__xludf.DUMMYFUNCTION("IF
(
C7077=""фізична особа""
,
VLOOKUP(D7077,IMPORTRANGE(""https://docs.google.com/spreadsheets/d/14Bd19lYaqBhU8_DElYkX7l4wRkHqqCUFNJY4AfY3kHU/edit?usp=sharing  #gid=0"",""фіз особи new!relations_name""),6,FALSE)
,
(IF
(
C7077=""юридична особа""
,
VLOOKUP"&amp;"(D7077,IMPORTRANGE(""https://docs.google.com/spreadsheets/d/14Bd19lYaqBhU8_DElYkX7l4wRkHqqCUFNJY4AfY3kHU/edit?usp=sharing  #gid=0"",""фіз особи new!relations_name_uo""),7,FALSE)
,
)
))"),"ЗАХАРОВ Олексій Вікторович")</f>
        <v>ЗАХАРОВ Олексій Вікторович</v>
      </c>
      <c r="G7076" s="7" t="s">
        <v>10</v>
      </c>
      <c r="H7076" s="7">
        <v>0</v>
      </c>
      <c r="I7076" s="8" t="str">
        <f ca="1">IFERROR(__xludf.DUMMYFUNCTION("IF
(
G7077=""фізична особа""
,
VLOOKUP(H7077,IMPORTRANGE(""https://docs.google.com/spreadsheets/d/14Bd19lYaqBhU8_DElYkX7l4wRkHqqCUFNJY4AfY3kHU/edit?usp=sharing  #gid=0"",""фіз особи new!relations_name""),6,FALSE)
,
(IF
(
G7077=""юридична особа""
,
VLOOKUP"&amp;"(H7077,IMPORTRANGE(""https://docs.google.com/spreadsheets/d/14Bd19lYaqBhU8_DElYkX7l4wRkHqqCUFNJY4AfY3kHU/edit?usp=sharing  #gid=0"",""фіз особи new!relations_name_uo""),7,FALSE)
,
)
))"),"#N/A")</f>
        <v>#N/A</v>
      </c>
      <c r="J7076" s="7" t="s">
        <v>30</v>
      </c>
    </row>
    <row r="7077" spans="1:10" ht="13.2">
      <c r="A7077" s="7">
        <v>7076</v>
      </c>
      <c r="B7077" s="7">
        <v>1</v>
      </c>
      <c r="C7077" s="7" t="s">
        <v>10</v>
      </c>
      <c r="D7077" s="7">
        <v>6587</v>
      </c>
      <c r="E7077" s="7" t="s">
        <v>30</v>
      </c>
      <c r="F7077" s="8" t="str">
        <f ca="1">IFERROR(__xludf.DUMMYFUNCTION("IF
(
C7078=""фізична особа""
,
VLOOKUP(D7078,IMPORTRANGE(""https://docs.google.com/spreadsheets/d/14Bd19lYaqBhU8_DElYkX7l4wRkHqqCUFNJY4AfY3kHU/edit?usp=sharing  #gid=0"",""фіз особи new!relations_name""),6,FALSE)
,
(IF
(
C7078=""юридична особа""
,
VLOOKUP"&amp;"(D7078,IMPORTRANGE(""https://docs.google.com/spreadsheets/d/14Bd19lYaqBhU8_DElYkX7l4wRkHqqCUFNJY4AfY3kHU/edit?usp=sharing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G7077" s="7" t="s">
        <v>10</v>
      </c>
      <c r="H7077" s="7">
        <v>6588</v>
      </c>
      <c r="I7077" s="8" t="str">
        <f ca="1">IFERROR(__xludf.DUMMYFUNCTION("IF
(
G7078=""фізична особа""
,
VLOOKUP(H7078,IMPORTRANGE(""https://docs.google.com/spreadsheets/d/14Bd19lYaqBhU8_DElYkX7l4wRkHqqCUFNJY4AfY3kHU/edit?usp=sharing  #gid=0"",""фіз особи new!relations_name""),6,FALSE)
,
(IF
(
G7078=""юридична особа""
,
VLOOKUP"&amp;"(H7078,IMPORTRANGE(""https://docs.google.com/spreadsheets/d/14Bd19lYaqBhU8_DElYkX7l4wRkHqqCUFNJY4AfY3kHU/edit?usp=sharing  #gid=0"",""фіз особи new!relations_name_uo""),7,FALSE)
,
)
))"),"АЙВАЗОВ Арсен Маркович")</f>
        <v>АЙВАЗОВ Арсен Маркович</v>
      </c>
      <c r="J7077" s="7" t="s">
        <v>30</v>
      </c>
    </row>
    <row r="7078" spans="1:10" ht="13.2">
      <c r="A7078" s="7">
        <v>7077</v>
      </c>
      <c r="B7078" s="7">
        <v>1</v>
      </c>
      <c r="C7078" s="7" t="s">
        <v>10</v>
      </c>
      <c r="D7078" s="7">
        <v>6587</v>
      </c>
      <c r="E7078" s="7" t="s">
        <v>30</v>
      </c>
      <c r="F7078" s="8" t="str">
        <f ca="1">IFERROR(__xludf.DUMMYFUNCTION("IF
(
C7079=""фізична особа""
,
VLOOKUP(D7079,IMPORTRANGE(""https://docs.google.com/spreadsheets/d/14Bd19lYaqBhU8_DElYkX7l4wRkHqqCUFNJY4AfY3kHU/edit?usp=sharing  #gid=0"",""фіз особи new!relations_name""),6,FALSE)
,
(IF
(
C7079=""юридична особа""
,
VLOOKUP"&amp;"(D7079,IMPORTRANGE(""https://docs.google.com/spreadsheets/d/14Bd19lYaqBhU8_DElYkX7l4wRkHqqCUFNJY4AfY3kHU/edit?usp=sharing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G7078" s="7" t="s">
        <v>10</v>
      </c>
      <c r="H7078" s="7">
        <v>6589</v>
      </c>
      <c r="I7078" s="8" t="str">
        <f ca="1">IFERROR(__xludf.DUMMYFUNCTION("IF
(
G7079=""фізична особа""
,
VLOOKUP(H7079,IMPORTRANGE(""https://docs.google.com/spreadsheets/d/14Bd19lYaqBhU8_DElYkX7l4wRkHqqCUFNJY4AfY3kHU/edit?usp=sharing  #gid=0"",""фіз особи new!relations_name""),6,FALSE)
,
(IF
(
G7079=""юридична особа""
,
VLOOKUP"&amp;"(H7079,IMPORTRANGE(""https://docs.google.com/spreadsheets/d/14Bd19lYaqBhU8_DElYkX7l4wRkHqqCUFNJY4AfY3kHU/edit?usp=sharing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7078" s="7" t="s">
        <v>30</v>
      </c>
    </row>
    <row r="7079" spans="1:10" ht="13.2">
      <c r="A7079" s="7">
        <v>7078</v>
      </c>
      <c r="B7079" s="7">
        <v>1</v>
      </c>
      <c r="C7079" s="7" t="s">
        <v>10</v>
      </c>
      <c r="D7079" s="7">
        <v>6587</v>
      </c>
      <c r="E7079" s="7" t="s">
        <v>30</v>
      </c>
      <c r="F7079" s="8" t="str">
        <f ca="1">IFERROR(__xludf.DUMMYFUNCTION("IF
(
C7080=""фізична особа""
,
VLOOKUP(D7080,IMPORTRANGE(""https://docs.google.com/spreadsheets/d/14Bd19lYaqBhU8_DElYkX7l4wRkHqqCUFNJY4AfY3kHU/edit?usp=sharing  #gid=0"",""фіз особи new!relations_name""),6,FALSE)
,
(IF
(
C7080=""юридична особа""
,
VLOOKUP"&amp;"(D7080,IMPORTRANGE(""https://docs.google.com/spreadsheets/d/14Bd19lYaqBhU8_DElYkX7l4wRkHqqCUFNJY4AfY3kHU/edit?usp=sharing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G7079" s="7" t="s">
        <v>10</v>
      </c>
      <c r="H7079" s="7">
        <v>6590</v>
      </c>
      <c r="I7079" s="8" t="str">
        <f ca="1">IFERROR(__xludf.DUMMYFUNCTION("IF
(
G7080=""фізична особа""
,
VLOOKUP(H7080,IMPORTRANGE(""https://docs.google.com/spreadsheets/d/14Bd19lYaqBhU8_DElYkX7l4wRkHqqCUFNJY4AfY3kHU/edit?usp=sharing  #gid=0"",""фіз особи new!relations_name""),6,FALSE)
,
(IF
(
G7080=""юридична особа""
,
VLOOKUP"&amp;"(H7080,IMPORTRANGE(""https://docs.google.com/spreadsheets/d/14Bd19lYaqBhU8_DElYkX7l4wRkHqqCUFNJY4AfY3kHU/edit?usp=sharing  #gid=0"",""фіз особи new!relations_name_uo""),7,FALSE)
,
)
))"),"КОЧЕТКОВ Владислав Вячеславович")</f>
        <v>КОЧЕТКОВ Владислав Вячеславович</v>
      </c>
      <c r="J7079" s="7" t="s">
        <v>30</v>
      </c>
    </row>
    <row r="7080" spans="1:10" ht="13.2">
      <c r="A7080" s="7">
        <v>7079</v>
      </c>
      <c r="B7080" s="7">
        <v>1</v>
      </c>
      <c r="C7080" s="7" t="s">
        <v>10</v>
      </c>
      <c r="D7080" s="7">
        <v>6587</v>
      </c>
      <c r="E7080" s="7" t="s">
        <v>30</v>
      </c>
      <c r="F7080" s="8" t="str">
        <f ca="1">IFERROR(__xludf.DUMMYFUNCTION("IF
(
C7081=""фізична особа""
,
VLOOKUP(D7081,IMPORTRANGE(""https://docs.google.com/spreadsheets/d/14Bd19lYaqBhU8_DElYkX7l4wRkHqqCUFNJY4AfY3kHU/edit?usp=sharing  #gid=0"",""фіз особи new!relations_name""),6,FALSE)
,
(IF
(
C7081=""юридична особа""
,
VLOOKUP"&amp;"(D7081,IMPORTRANGE(""https://docs.google.com/spreadsheets/d/14Bd19lYaqBhU8_DElYkX7l4wRkHqqCUFNJY4AfY3kHU/edit?usp=sharing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G7080" s="7" t="s">
        <v>10</v>
      </c>
      <c r="H7080" s="7">
        <v>6591</v>
      </c>
      <c r="I7080" s="8" t="str">
        <f ca="1">IFERROR(__xludf.DUMMYFUNCTION("IF
(
G7081=""фізична особа""
,
VLOOKUP(H7081,IMPORTRANGE(""https://docs.google.com/spreadsheets/d/14Bd19lYaqBhU8_DElYkX7l4wRkHqqCUFNJY4AfY3kHU/edit?usp=sharing  #gid=0"",""фіз особи new!relations_name""),6,FALSE)
,
(IF
(
G7081=""юридична особа""
,
VLOOKUP"&amp;"(H7081,IMPORTRANGE(""https://docs.google.com/spreadsheets/d/14Bd19lYaqBhU8_DElYkX7l4wRkHqqCUFNJY4AfY3kHU/edit?usp=sharing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7080" s="7" t="s">
        <v>30</v>
      </c>
    </row>
    <row r="7081" spans="1:10" ht="13.2">
      <c r="A7081" s="7">
        <v>7080</v>
      </c>
      <c r="B7081" s="7">
        <v>1</v>
      </c>
      <c r="C7081" s="7" t="s">
        <v>10</v>
      </c>
      <c r="D7081" s="7">
        <v>6588</v>
      </c>
      <c r="E7081" s="7" t="s">
        <v>30</v>
      </c>
      <c r="F7081" s="8" t="str">
        <f ca="1">IFERROR(__xludf.DUMMYFUNCTION("IF
(
C7082=""фізична особа""
,
VLOOKUP(D7082,IMPORTRANGE(""https://docs.google.com/spreadsheets/d/14Bd19lYaqBhU8_DElYkX7l4wRkHqqCUFNJY4AfY3kHU/edit?usp=sharing  #gid=0"",""фіз особи new!relations_name""),6,FALSE)
,
(IF
(
C7082=""юридична особа""
,
VLOOKUP"&amp;"(D7082,IMPORTRANGE(""https://docs.google.com/spreadsheets/d/14Bd19lYaqBhU8_DElYkX7l4wRkHqqCUFNJY4AfY3kHU/edit?usp=sharing  #gid=0"",""фіз особи new!relations_name_uo""),7,FALSE)
,
)
))"),"АЙВАЗОВ Арсен Маркович")</f>
        <v>АЙВАЗОВ Арсен Маркович</v>
      </c>
      <c r="G7081" s="7" t="s">
        <v>10</v>
      </c>
      <c r="H7081" s="7">
        <v>6589</v>
      </c>
      <c r="I7081" s="8" t="str">
        <f ca="1">IFERROR(__xludf.DUMMYFUNCTION("IF
(
G7082=""фізична особа""
,
VLOOKUP(H7082,IMPORTRANGE(""https://docs.google.com/spreadsheets/d/14Bd19lYaqBhU8_DElYkX7l4wRkHqqCUFNJY4AfY3kHU/edit?usp=sharing  #gid=0"",""фіз особи new!relations_name""),6,FALSE)
,
(IF
(
G7082=""юридична особа""
,
VLOOKUP"&amp;"(H7082,IMPORTRANGE(""https://docs.google.com/spreadsheets/d/14Bd19lYaqBhU8_DElYkX7l4wRkHqqCUFNJY4AfY3kHU/edit?usp=sharing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7081" s="7" t="s">
        <v>30</v>
      </c>
    </row>
    <row r="7082" spans="1:10" ht="13.2">
      <c r="A7082" s="7">
        <v>7081</v>
      </c>
      <c r="B7082" s="7">
        <v>1</v>
      </c>
      <c r="C7082" s="7" t="s">
        <v>10</v>
      </c>
      <c r="D7082" s="7">
        <v>6588</v>
      </c>
      <c r="E7082" s="7" t="s">
        <v>30</v>
      </c>
      <c r="F7082" s="8" t="str">
        <f ca="1">IFERROR(__xludf.DUMMYFUNCTION("IF
(
C7083=""фізична особа""
,
VLOOKUP(D7083,IMPORTRANGE(""https://docs.google.com/spreadsheets/d/14Bd19lYaqBhU8_DElYkX7l4wRkHqqCUFNJY4AfY3kHU/edit?usp=sharing  #gid=0"",""фіз особи new!relations_name""),6,FALSE)
,
(IF
(
C7083=""юридична особа""
,
VLOOKUP"&amp;"(D7083,IMPORTRANGE(""https://docs.google.com/spreadsheets/d/14Bd19lYaqBhU8_DElYkX7l4wRkHqqCUFNJY4AfY3kHU/edit?usp=sharing  #gid=0"",""фіз особи new!relations_name_uo""),7,FALSE)
,
)
))"),"АЙВАЗОВ Арсен Маркович")</f>
        <v>АЙВАЗОВ Арсен Маркович</v>
      </c>
      <c r="G7082" s="7" t="s">
        <v>10</v>
      </c>
      <c r="H7082" s="7">
        <v>6587</v>
      </c>
      <c r="I7082" s="8" t="str">
        <f ca="1">IFERROR(__xludf.DUMMYFUNCTION("IF
(
G7083=""фізична особа""
,
VLOOKUP(H7083,IMPORTRANGE(""https://docs.google.com/spreadsheets/d/14Bd19lYaqBhU8_DElYkX7l4wRkHqqCUFNJY4AfY3kHU/edit?usp=sharing  #gid=0"",""фіз особи new!relations_name""),6,FALSE)
,
(IF
(
G7083=""юридична особа""
,
VLOOKUP"&amp;"(H7083,IMPORTRANGE(""https://docs.google.com/spreadsheets/d/14Bd19lYaqBhU8_DElYkX7l4wRkHqqCUFNJY4AfY3kHU/edit?usp=sharing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J7082" s="7" t="s">
        <v>30</v>
      </c>
    </row>
    <row r="7083" spans="1:10" ht="13.2">
      <c r="A7083" s="7">
        <v>7082</v>
      </c>
      <c r="B7083" s="7">
        <v>1</v>
      </c>
      <c r="C7083" s="7" t="s">
        <v>10</v>
      </c>
      <c r="D7083" s="7">
        <v>6589</v>
      </c>
      <c r="E7083" s="7" t="s">
        <v>30</v>
      </c>
      <c r="F7083" s="8" t="str">
        <f ca="1">IFERROR(__xludf.DUMMYFUNCTION("IF
(
C7084=""фізична особа""
,
VLOOKUP(D7084,IMPORTRANGE(""https://docs.google.com/spreadsheets/d/14Bd19lYaqBhU8_DElYkX7l4wRkHqqCUFNJY4AfY3kHU/edit?usp=sharing  #gid=0"",""фіз особи new!relations_name""),6,FALSE)
,
(IF
(
C7084=""юридична особа""
,
VLOOKUP"&amp;"(D7084,IMPORTRANGE(""https://docs.google.com/spreadsheets/d/14Bd19lYaqBhU8_DElYkX7l4wRkHqqCUFNJY4AfY3kHU/edit?usp=sharing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G7083" s="7" t="s">
        <v>10</v>
      </c>
      <c r="H7083" s="7">
        <v>6588</v>
      </c>
      <c r="I7083" s="8" t="str">
        <f ca="1">IFERROR(__xludf.DUMMYFUNCTION("IF
(
G7084=""фізична особа""
,
VLOOKUP(H7084,IMPORTRANGE(""https://docs.google.com/spreadsheets/d/14Bd19lYaqBhU8_DElYkX7l4wRkHqqCUFNJY4AfY3kHU/edit?usp=sharing  #gid=0"",""фіз особи new!relations_name""),6,FALSE)
,
(IF
(
G7084=""юридична особа""
,
VLOOKUP"&amp;"(H7084,IMPORTRANGE(""https://docs.google.com/spreadsheets/d/14Bd19lYaqBhU8_DElYkX7l4wRkHqqCUFNJY4AfY3kHU/edit?usp=sharing  #gid=0"",""фіз особи new!relations_name_uo""),7,FALSE)
,
)
))"),"АЙВАЗОВ Арсен Маркович")</f>
        <v>АЙВАЗОВ Арсен Маркович</v>
      </c>
      <c r="J7083" s="7" t="s">
        <v>30</v>
      </c>
    </row>
    <row r="7084" spans="1:10" ht="13.2">
      <c r="A7084" s="7">
        <v>7083</v>
      </c>
      <c r="B7084" s="7">
        <v>1</v>
      </c>
      <c r="C7084" s="7" t="s">
        <v>10</v>
      </c>
      <c r="D7084" s="7">
        <v>6589</v>
      </c>
      <c r="E7084" s="7" t="s">
        <v>30</v>
      </c>
      <c r="F7084" s="8" t="str">
        <f ca="1">IFERROR(__xludf.DUMMYFUNCTION("IF
(
C7085=""фізична особа""
,
VLOOKUP(D7085,IMPORTRANGE(""https://docs.google.com/spreadsheets/d/14Bd19lYaqBhU8_DElYkX7l4wRkHqqCUFNJY4AfY3kHU/edit?usp=sharing  #gid=0"",""фіз особи new!relations_name""),6,FALSE)
,
(IF
(
C7085=""юридична особа""
,
VLOOKUP"&amp;"(D7085,IMPORTRANGE(""https://docs.google.com/spreadsheets/d/14Bd19lYaqBhU8_DElYkX7l4wRkHqqCUFNJY4AfY3kHU/edit?usp=sharing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G7084" s="7" t="s">
        <v>10</v>
      </c>
      <c r="H7084" s="7">
        <v>6587</v>
      </c>
      <c r="I7084" s="8" t="str">
        <f ca="1">IFERROR(__xludf.DUMMYFUNCTION("IF
(
G7085=""фізична особа""
,
VLOOKUP(H7085,IMPORTRANGE(""https://docs.google.com/spreadsheets/d/14Bd19lYaqBhU8_DElYkX7l4wRkHqqCUFNJY4AfY3kHU/edit?usp=sharing  #gid=0"",""фіз особи new!relations_name""),6,FALSE)
,
(IF
(
G7085=""юридична особа""
,
VLOOKUP"&amp;"(H7085,IMPORTRANGE(""https://docs.google.com/spreadsheets/d/14Bd19lYaqBhU8_DElYkX7l4wRkHqqCUFNJY4AfY3kHU/edit?usp=sharing  #gid=0"",""фіз особи new!relations_name_uo""),7,FALSE)
,
)
))"),"ПАРХОМОВ Владислав Анатолійович")</f>
        <v>ПАРХОМОВ Владислав Анатолійович</v>
      </c>
      <c r="J7084" s="7" t="s">
        <v>30</v>
      </c>
    </row>
    <row r="7085" spans="1:10" ht="13.2">
      <c r="A7085" s="7">
        <v>7084</v>
      </c>
      <c r="B7085" s="7">
        <v>1</v>
      </c>
      <c r="C7085" s="7" t="s">
        <v>10</v>
      </c>
      <c r="D7085" s="7">
        <v>6590</v>
      </c>
      <c r="E7085" s="7" t="s">
        <v>30</v>
      </c>
      <c r="F7085" s="8" t="str">
        <f ca="1">IFERROR(__xludf.DUMMYFUNCTION("IF
(
C7086=""фізична особа""
,
VLOOKUP(D7086,IMPORTRANGE(""https://docs.google.com/spreadsheets/d/14Bd19lYaqBhU8_DElYkX7l4wRkHqqCUFNJY4AfY3kHU/edit?usp=sharing  #gid=0"",""фіз особи new!relations_name""),6,FALSE)
,
(IF
(
C7086=""юридична особа""
,
VLOOKUP"&amp;"(D7086,IMPORTRANGE(""https://docs.google.com/spreadsheets/d/14Bd19lYaqBhU8_DElYkX7l4wRkHqqCUFNJY4AfY3kHU/edit?usp=sharing  #gid=0"",""фіз особи new!relations_name_uo""),7,FALSE)
,
)
))"),"КОЧЕТКОВ Владислав Вячеславович")</f>
        <v>КОЧЕТКОВ Владислав Вячеславович</v>
      </c>
      <c r="G7085" s="7" t="s">
        <v>10</v>
      </c>
      <c r="H7085" s="7">
        <v>6589</v>
      </c>
      <c r="I7085" s="8" t="str">
        <f ca="1">IFERROR(__xludf.DUMMYFUNCTION("IF
(
G7086=""фізична особа""
,
VLOOKUP(H7086,IMPORTRANGE(""https://docs.google.com/spreadsheets/d/14Bd19lYaqBhU8_DElYkX7l4wRkHqqCUFNJY4AfY3kHU/edit?usp=sharing  #gid=0"",""фіз особи new!relations_name""),6,FALSE)
,
(IF
(
G7086=""юридична особа""
,
VLOOKUP"&amp;"(H7086,IMPORTRANGE(""https://docs.google.com/spreadsheets/d/14Bd19lYaqBhU8_DElYkX7l4wRkHqqCUFNJY4AfY3kHU/edit?usp=sharing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7085" s="7" t="s">
        <v>30</v>
      </c>
    </row>
    <row r="7086" spans="1:10" ht="13.2">
      <c r="A7086" s="7">
        <v>7085</v>
      </c>
      <c r="B7086" s="7">
        <v>1</v>
      </c>
      <c r="C7086" s="7" t="s">
        <v>10</v>
      </c>
      <c r="D7086" s="7">
        <v>6590</v>
      </c>
      <c r="E7086" s="7" t="s">
        <v>30</v>
      </c>
      <c r="F7086" s="8" t="str">
        <f ca="1">IFERROR(__xludf.DUMMYFUNCTION("IF
(
C7087=""фізична особа""
,
VLOOKUP(D7087,IMPORTRANGE(""https://docs.google.com/spreadsheets/d/14Bd19lYaqBhU8_DElYkX7l4wRkHqqCUFNJY4AfY3kHU/edit?usp=sharing  #gid=0"",""фіз особи new!relations_name""),6,FALSE)
,
(IF
(
C7087=""юридична особа""
,
VLOOKUP"&amp;"(D7087,IMPORTRANGE(""https://docs.google.com/spreadsheets/d/14Bd19lYaqBhU8_DElYkX7l4wRkHqqCUFNJY4AfY3kHU/edit?usp=sharing  #gid=0"",""фіз особи new!relations_name_uo""),7,FALSE)
,
)
))"),"КОЧЕТКОВ Владислав Вячеславович")</f>
        <v>КОЧЕТКОВ Владислав Вячеславович</v>
      </c>
      <c r="G7086" s="7" t="s">
        <v>10</v>
      </c>
      <c r="H7086" s="7">
        <v>6591</v>
      </c>
      <c r="I7086" s="8" t="str">
        <f ca="1">IFERROR(__xludf.DUMMYFUNCTION("IF
(
G7087=""фізична особа""
,
VLOOKUP(H7087,IMPORTRANGE(""https://docs.google.com/spreadsheets/d/14Bd19lYaqBhU8_DElYkX7l4wRkHqqCUFNJY4AfY3kHU/edit?usp=sharing  #gid=0"",""фіз особи new!relations_name""),6,FALSE)
,
(IF
(
G7087=""юридична особа""
,
VLOOKUP"&amp;"(H7087,IMPORTRANGE(""https://docs.google.com/spreadsheets/d/14Bd19lYaqBhU8_DElYkX7l4wRkHqqCUFNJY4AfY3kHU/edit?usp=sharing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7086" s="7" t="s">
        <v>30</v>
      </c>
    </row>
    <row r="7087" spans="1:10" ht="13.2">
      <c r="A7087" s="7">
        <v>7086</v>
      </c>
      <c r="B7087" s="7">
        <v>1</v>
      </c>
      <c r="C7087" s="7" t="s">
        <v>10</v>
      </c>
      <c r="D7087" s="7">
        <v>6591</v>
      </c>
      <c r="E7087" s="7" t="s">
        <v>30</v>
      </c>
      <c r="F7087" s="8" t="str">
        <f ca="1">IFERROR(__xludf.DUMMYFUNCTION("IF
(
C7088=""фізична особа""
,
VLOOKUP(D7088,IMPORTRANGE(""https://docs.google.com/spreadsheets/d/14Bd19lYaqBhU8_DElYkX7l4wRkHqqCUFNJY4AfY3kHU/edit?usp=sharing  #gid=0"",""фіз особи new!relations_name""),6,FALSE)
,
(IF
(
C7088=""юридична особа""
,
VLOOKUP"&amp;"(D7088,IMPORTRANGE(""https://docs.google.com/spreadsheets/d/14Bd19lYaqBhU8_DElYkX7l4wRkHqqCUFNJY4AfY3kHU/edit?usp=sharing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G7087" s="7" t="s">
        <v>10</v>
      </c>
      <c r="H7087" s="7">
        <v>6589</v>
      </c>
      <c r="I7087" s="8" t="str">
        <f ca="1">IFERROR(__xludf.DUMMYFUNCTION("IF
(
G7088=""фізична особа""
,
VLOOKUP(H7088,IMPORTRANGE(""https://docs.google.com/spreadsheets/d/14Bd19lYaqBhU8_DElYkX7l4wRkHqqCUFNJY4AfY3kHU/edit?usp=sharing  #gid=0"",""фіз особи new!relations_name""),6,FALSE)
,
(IF
(
G7088=""юридична особа""
,
VLOOKUP"&amp;"(H7088,IMPORTRANGE(""https://docs.google.com/spreadsheets/d/14Bd19lYaqBhU8_DElYkX7l4wRkHqqCUFNJY4AfY3kHU/edit?usp=sharing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7087" s="7" t="s">
        <v>30</v>
      </c>
    </row>
    <row r="7088" spans="1:10" ht="13.2">
      <c r="A7088" s="7">
        <v>7087</v>
      </c>
      <c r="B7088" s="7">
        <v>1</v>
      </c>
      <c r="C7088" s="7" t="s">
        <v>10</v>
      </c>
      <c r="D7088" s="7">
        <v>6591</v>
      </c>
      <c r="E7088" s="7" t="s">
        <v>30</v>
      </c>
      <c r="F7088" s="8" t="str">
        <f ca="1">IFERROR(__xludf.DUMMYFUNCTION("IF
(
C7089=""фізична особа""
,
VLOOKUP(D7089,IMPORTRANGE(""https://docs.google.com/spreadsheets/d/14Bd19lYaqBhU8_DElYkX7l4wRkHqqCUFNJY4AfY3kHU/edit?usp=sharing  #gid=0"",""фіз особи new!relations_name""),6,FALSE)
,
(IF
(
C7089=""юридична особа""
,
VLOOKUP"&amp;"(D7089,IMPORTRANGE(""https://docs.google.com/spreadsheets/d/14Bd19lYaqBhU8_DElYkX7l4wRkHqqCUFNJY4AfY3kHU/edit?usp=sharing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G7088" s="7" t="s">
        <v>10</v>
      </c>
      <c r="H7088" s="7">
        <v>6590</v>
      </c>
      <c r="I7088" s="8" t="str">
        <f ca="1">IFERROR(__xludf.DUMMYFUNCTION("IF
(
G7089=""фізична особа""
,
VLOOKUP(H7089,IMPORTRANGE(""https://docs.google.com/spreadsheets/d/14Bd19lYaqBhU8_DElYkX7l4wRkHqqCUFNJY4AfY3kHU/edit?usp=sharing  #gid=0"",""фіз особи new!relations_name""),6,FALSE)
,
(IF
(
G7089=""юридична особа""
,
VLOOKUP"&amp;"(H7089,IMPORTRANGE(""https://docs.google.com/spreadsheets/d/14Bd19lYaqBhU8_DElYkX7l4wRkHqqCUFNJY4AfY3kHU/edit?usp=sharing  #gid=0"",""фіз особи new!relations_name_uo""),7,FALSE)
,
)
))"),"КОЧЕТКОВ Владислав Вячеславович")</f>
        <v>КОЧЕТКОВ Владислав Вячеславович</v>
      </c>
      <c r="J7088" s="7" t="s">
        <v>30</v>
      </c>
    </row>
    <row r="7089" spans="1:10" ht="13.2">
      <c r="A7089" s="7">
        <v>7088</v>
      </c>
      <c r="B7089" s="7">
        <v>1</v>
      </c>
      <c r="C7089" s="7" t="s">
        <v>10</v>
      </c>
      <c r="D7089" s="7">
        <v>6607</v>
      </c>
      <c r="E7089" s="7" t="s">
        <v>23</v>
      </c>
      <c r="F7089" s="8" t="str">
        <f ca="1">IFERROR(__xludf.DUMMYFUNCTION("IF
(
C7090=""фізична особа""
,
VLOOKUP(D7090,IMPORTRANGE(""https://docs.google.com/spreadsheets/d/14Bd19lYaqBhU8_DElYkX7l4wRkHqqCUFNJY4AfY3kHU/edit?usp=sharing  #gid=0"",""фіз особи new!relations_name""),6,FALSE)
,
(IF
(
C7090=""юридична особа""
,
VLOOKUP"&amp;"(D7090,IMPORTRANGE(""https://docs.google.com/spreadsheets/d/14Bd19lYaqBhU8_DElYkX7l4wRkHqqCUFNJY4AfY3kHU/edit?usp=sharing  #gid=0"",""фіз особи new!relations_name_uo""),7,FALSE)
,
)
))"),"МОРОЗОВА Ірина Вікторівна")</f>
        <v>МОРОЗОВА Ірина Вікторівна</v>
      </c>
      <c r="G7089" s="7" t="s">
        <v>10</v>
      </c>
      <c r="H7089" s="7">
        <v>6458</v>
      </c>
      <c r="I7089" s="8" t="str">
        <f ca="1">IFERROR(__xludf.DUMMYFUNCTION("IF
(
G7090=""фізична особа""
,
VLOOKUP(H7090,IMPORTRANGE(""https://docs.google.com/spreadsheets/d/14Bd19lYaqBhU8_DElYkX7l4wRkHqqCUFNJY4AfY3kHU/edit?usp=sharing  #gid=0"",""фіз особи new!relations_name""),6,FALSE)
,
(IF
(
G7090=""юридична особа""
,
VLOOKUP"&amp;"(H7090,IMPORTRANGE(""https://docs.google.com/spreadsheets/d/14Bd19lYaqBhU8_DElYkX7l4wRkHqqCUFNJY4AfY3kHU/edit?usp=sharing  #gid=0"",""фіз особи new!relations_name_uo""),7,FALSE)
,
)
))"),"МОРСИН Володимир Васильович")</f>
        <v>МОРСИН Володимир Васильович</v>
      </c>
      <c r="J7089" s="7" t="s">
        <v>23</v>
      </c>
    </row>
    <row r="7090" spans="1:10" ht="13.2">
      <c r="A7090" s="7">
        <v>7089</v>
      </c>
      <c r="B7090" s="7">
        <v>1</v>
      </c>
      <c r="C7090" s="7" t="s">
        <v>10</v>
      </c>
      <c r="D7090" s="7">
        <v>6630</v>
      </c>
      <c r="E7090" s="7" t="s">
        <v>30</v>
      </c>
      <c r="F7090" s="8" t="str">
        <f ca="1">IFERROR(__xludf.DUMMYFUNCTION("IF
(
C7091=""фізична особа""
,
VLOOKUP(D7091,IMPORTRANGE(""https://docs.google.com/spreadsheets/d/14Bd19lYaqBhU8_DElYkX7l4wRkHqqCUFNJY4AfY3kHU/edit?usp=sharing  #gid=0"",""фіз особи new!relations_name""),6,FALSE)
,
(IF
(
C7091=""юридична особа""
,
VLOOKUP"&amp;"(D7091,IMPORTRANGE(""https://docs.google.com/spreadsheets/d/14Bd19lYaqBhU8_DElYkX7l4wRkHqqCUFNJY4AfY3kHU/edit?usp=sharing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G7090" s="7" t="s">
        <v>10</v>
      </c>
      <c r="H7090" s="7">
        <v>0</v>
      </c>
      <c r="I7090" s="8" t="str">
        <f ca="1">IFERROR(__xludf.DUMMYFUNCTION("IF
(
G7091=""фізична особа""
,
VLOOKUP(H7091,IMPORTRANGE(""https://docs.google.com/spreadsheets/d/14Bd19lYaqBhU8_DElYkX7l4wRkHqqCUFNJY4AfY3kHU/edit?usp=sharing  #gid=0"",""фіз особи new!relations_name""),6,FALSE)
,
(IF
(
G7091=""юридична особа""
,
VLOOKUP"&amp;"(H7091,IMPORTRANGE(""https://docs.google.com/spreadsheets/d/14Bd19lYaqBhU8_DElYkX7l4wRkHqqCUFNJY4AfY3kHU/edit?usp=sharing  #gid=0"",""фіз особи new!relations_name_uo""),7,FALSE)
,
)
))"),"#N/A")</f>
        <v>#N/A</v>
      </c>
      <c r="J7090" s="7" t="s">
        <v>30</v>
      </c>
    </row>
    <row r="7091" spans="1:10" ht="13.2">
      <c r="A7091" s="7">
        <v>7090</v>
      </c>
      <c r="B7091" s="7">
        <v>1</v>
      </c>
      <c r="C7091" s="7" t="s">
        <v>10</v>
      </c>
      <c r="D7091" s="7">
        <v>6630</v>
      </c>
      <c r="E7091" s="7" t="s">
        <v>30</v>
      </c>
      <c r="F7091" s="8" t="str">
        <f ca="1">IFERROR(__xludf.DUMMYFUNCTION("IF
(
C7092=""фізична особа""
,
VLOOKUP(D7092,IMPORTRANGE(""https://docs.google.com/spreadsheets/d/14Bd19lYaqBhU8_DElYkX7l4wRkHqqCUFNJY4AfY3kHU/edit?usp=sharing  #gid=0"",""фіз особи new!relations_name""),6,FALSE)
,
(IF
(
C7092=""юридична особа""
,
VLOOKUP"&amp;"(D7092,IMPORTRANGE(""https://docs.google.com/spreadsheets/d/14Bd19lYaqBhU8_DElYkX7l4wRkHqqCUFNJY4AfY3kHU/edit?usp=sharing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G7091" s="7" t="s">
        <v>10</v>
      </c>
      <c r="H7091" s="7">
        <v>0</v>
      </c>
      <c r="I7091" s="8" t="str">
        <f ca="1">IFERROR(__xludf.DUMMYFUNCTION("IF
(
G7092=""фізична особа""
,
VLOOKUP(H7092,IMPORTRANGE(""https://docs.google.com/spreadsheets/d/14Bd19lYaqBhU8_DElYkX7l4wRkHqqCUFNJY4AfY3kHU/edit?usp=sharing  #gid=0"",""фіз особи new!relations_name""),6,FALSE)
,
(IF
(
G7092=""юридична особа""
,
VLOOKUP"&amp;"(H7092,IMPORTRANGE(""https://docs.google.com/spreadsheets/d/14Bd19lYaqBhU8_DElYkX7l4wRkHqqCUFNJY4AfY3kHU/edit?usp=sharing  #gid=0"",""фіз особи new!relations_name_uo""),7,FALSE)
,
)
))"),"#N/A")</f>
        <v>#N/A</v>
      </c>
      <c r="J7091" s="7" t="s">
        <v>30</v>
      </c>
    </row>
    <row r="7092" spans="1:10" ht="13.2">
      <c r="A7092" s="7">
        <v>7091</v>
      </c>
      <c r="B7092" s="7">
        <v>1</v>
      </c>
      <c r="C7092" s="7" t="s">
        <v>10</v>
      </c>
      <c r="D7092" s="7">
        <v>6630</v>
      </c>
      <c r="E7092" s="7" t="s">
        <v>30</v>
      </c>
      <c r="F7092" s="8" t="str">
        <f ca="1">IFERROR(__xludf.DUMMYFUNCTION("IF
(
C7093=""фізична особа""
,
VLOOKUP(D7093,IMPORTRANGE(""https://docs.google.com/spreadsheets/d/14Bd19lYaqBhU8_DElYkX7l4wRkHqqCUFNJY4AfY3kHU/edit?usp=sharing  #gid=0"",""фіз особи new!relations_name""),6,FALSE)
,
(IF
(
C7093=""юридична особа""
,
VLOOKUP"&amp;"(D7093,IMPORTRANGE(""https://docs.google.com/spreadsheets/d/14Bd19lYaqBhU8_DElYkX7l4wRkHqqCUFNJY4AfY3kHU/edit?usp=sharing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G7092" s="7" t="s">
        <v>10</v>
      </c>
      <c r="H7092" s="7">
        <v>0</v>
      </c>
      <c r="I7092" s="8" t="str">
        <f ca="1">IFERROR(__xludf.DUMMYFUNCTION("IF
(
G7093=""фізична особа""
,
VLOOKUP(H7093,IMPORTRANGE(""https://docs.google.com/spreadsheets/d/14Bd19lYaqBhU8_DElYkX7l4wRkHqqCUFNJY4AfY3kHU/edit?usp=sharing  #gid=0"",""фіз особи new!relations_name""),6,FALSE)
,
(IF
(
G7093=""юридична особа""
,
VLOOKUP"&amp;"(H7093,IMPORTRANGE(""https://docs.google.com/spreadsheets/d/14Bd19lYaqBhU8_DElYkX7l4wRkHqqCUFNJY4AfY3kHU/edit?usp=sharing  #gid=0"",""фіз особи new!relations_name_uo""),7,FALSE)
,
)
))"),"#N/A")</f>
        <v>#N/A</v>
      </c>
      <c r="J7092" s="7" t="s">
        <v>30</v>
      </c>
    </row>
    <row r="7093" spans="1:10" ht="13.2">
      <c r="A7093" s="7">
        <v>7092</v>
      </c>
      <c r="B7093" s="7">
        <v>1</v>
      </c>
      <c r="C7093" s="7" t="s">
        <v>10</v>
      </c>
      <c r="D7093" s="7">
        <v>6635</v>
      </c>
      <c r="E7093" s="7" t="s">
        <v>104</v>
      </c>
      <c r="F7093" s="8" t="str">
        <f ca="1">IFERROR(__xludf.DUMMYFUNCTION("IF
(
C7094=""фізична особа""
,
VLOOKUP(D7094,IMPORTRANGE(""https://docs.google.com/spreadsheets/d/14Bd19lYaqBhU8_DElYkX7l4wRkHqqCUFNJY4AfY3kHU/edit?usp=sharing  #gid=0"",""фіз особи new!relations_name""),6,FALSE)
,
(IF
(
C7094=""юридична особа""
,
VLOOKUP"&amp;"(D7094,IMPORTRANGE(""https://docs.google.com/spreadsheets/d/14Bd19lYaqBhU8_DElYkX7l4wRkHqqCUFNJY4AfY3kHU/edit?usp=sharing  #gid=0"",""фіз особи new!relations_name_uo""),7,FALSE)
,
)
))"),"СОЛНЦЕВ Максим Михайлович")</f>
        <v>СОЛНЦЕВ Максим Михайлович</v>
      </c>
      <c r="G7093" s="7" t="s">
        <v>10</v>
      </c>
      <c r="H7093" s="7">
        <v>23569</v>
      </c>
      <c r="I7093" s="8" t="str">
        <f ca="1">IFERROR(__xludf.DUMMYFUNCTION("IF
(
G7094=""фізична особа""
,
VLOOKUP(H7094,IMPORTRANGE(""https://docs.google.com/spreadsheets/d/14Bd19lYaqBhU8_DElYkX7l4wRkHqqCUFNJY4AfY3kHU/edit?usp=sharing  #gid=0"",""фіз особи new!relations_name""),6,FALSE)
,
(IF
(
G7094=""юридична особа""
,
VLOOKUP"&amp;"(H7094,IMPORTRANGE(""https://docs.google.com/spreadsheets/d/14Bd19lYaqBhU8_DElYkX7l4wRkHqqCUFNJY4AfY3kHU/edit?usp=sharing  #gid=0"",""фіз особи new!relations_name_uo""),7,FALSE)
,
)
))"),"ВИНОГРАДОВ Володимир Ігорович")</f>
        <v>ВИНОГРАДОВ Володимир Ігорович</v>
      </c>
      <c r="J7093" s="7" t="s">
        <v>29</v>
      </c>
    </row>
    <row r="7094" spans="1:10" ht="13.2">
      <c r="A7094" s="7">
        <v>7093</v>
      </c>
      <c r="B7094" s="7">
        <v>1</v>
      </c>
      <c r="C7094" s="7" t="s">
        <v>10</v>
      </c>
      <c r="D7094" s="7">
        <v>6645</v>
      </c>
      <c r="E7094" s="7" t="s">
        <v>29</v>
      </c>
      <c r="F7094" s="8" t="str">
        <f ca="1">IFERROR(__xludf.DUMMYFUNCTION("IF
(
C7095=""фізична особа""
,
VLOOKUP(D7095,IMPORTRANGE(""https://docs.google.com/spreadsheets/d/14Bd19lYaqBhU8_DElYkX7l4wRkHqqCUFNJY4AfY3kHU/edit?usp=sharing  #gid=0"",""фіз особи new!relations_name""),6,FALSE)
,
(IF
(
C7095=""юридична особа""
,
VLOOKUP"&amp;"(D7095,IMPORTRANGE(""https://docs.google.com/spreadsheets/d/14Bd19lYaqBhU8_DElYkX7l4wRkHqqCUFNJY4AfY3kHU/edit?usp=sharing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4" s="7" t="s">
        <v>10</v>
      </c>
      <c r="H7094" s="7">
        <v>6650</v>
      </c>
      <c r="I7094" s="8" t="str">
        <f ca="1">IFERROR(__xludf.DUMMYFUNCTION("IF
(
G7095=""фізична особа""
,
VLOOKUP(H7095,IMPORTRANGE(""https://docs.google.com/spreadsheets/d/14Bd19lYaqBhU8_DElYkX7l4wRkHqqCUFNJY4AfY3kHU/edit?usp=sharing  #gid=0"",""фіз особи new!relations_name""),6,FALSE)
,
(IF
(
G7095=""юридична особа""
,
VLOOKUP"&amp;"(H7095,IMPORTRANGE(""https://docs.google.com/spreadsheets/d/14Bd19lYaqBhU8_DElYkX7l4wRkHqqCUFNJY4AfY3kHU/edit?usp=sharing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094" s="7" t="s">
        <v>28</v>
      </c>
    </row>
    <row r="7095" spans="1:10" ht="13.2">
      <c r="A7095" s="7">
        <v>7094</v>
      </c>
      <c r="B7095" s="7">
        <v>1</v>
      </c>
      <c r="C7095" s="7" t="s">
        <v>10</v>
      </c>
      <c r="D7095" s="7">
        <v>6645</v>
      </c>
      <c r="E7095" s="7" t="s">
        <v>29</v>
      </c>
      <c r="F7095" s="8" t="str">
        <f ca="1">IFERROR(__xludf.DUMMYFUNCTION("IF
(
C7096=""фізична особа""
,
VLOOKUP(D7096,IMPORTRANGE(""https://docs.google.com/spreadsheets/d/14Bd19lYaqBhU8_DElYkX7l4wRkHqqCUFNJY4AfY3kHU/edit?usp=sharing  #gid=0"",""фіз особи new!relations_name""),6,FALSE)
,
(IF
(
C7096=""юридична особа""
,
VLOOKUP"&amp;"(D7096,IMPORTRANGE(""https://docs.google.com/spreadsheets/d/14Bd19lYaqBhU8_DElYkX7l4wRkHqqCUFNJY4AfY3kHU/edit?usp=sharing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5" s="7" t="s">
        <v>10</v>
      </c>
      <c r="H7095" s="7">
        <v>6649</v>
      </c>
      <c r="I7095" s="8" t="str">
        <f ca="1">IFERROR(__xludf.DUMMYFUNCTION("IF
(
G7096=""фізична особа""
,
VLOOKUP(H7096,IMPORTRANGE(""https://docs.google.com/spreadsheets/d/14Bd19lYaqBhU8_DElYkX7l4wRkHqqCUFNJY4AfY3kHU/edit?usp=sharing  #gid=0"",""фіз особи new!relations_name""),6,FALSE)
,
(IF
(
G7096=""юридична особа""
,
VLOOKUP"&amp;"(H7096,IMPORTRANGE(""https://docs.google.com/spreadsheets/d/14Bd19lYaqBhU8_DElYkX7l4wRkHqqCUFNJY4AfY3kHU/edit?usp=sharing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095" s="7" t="s">
        <v>28</v>
      </c>
    </row>
    <row r="7096" spans="1:10" ht="13.2">
      <c r="A7096" s="7">
        <v>7095</v>
      </c>
      <c r="B7096" s="7">
        <v>1</v>
      </c>
      <c r="C7096" s="7" t="s">
        <v>10</v>
      </c>
      <c r="D7096" s="7">
        <v>6645</v>
      </c>
      <c r="E7096" s="7" t="s">
        <v>29</v>
      </c>
      <c r="F7096" s="8" t="str">
        <f ca="1">IFERROR(__xludf.DUMMYFUNCTION("IF
(
C7097=""фізична особа""
,
VLOOKUP(D7097,IMPORTRANGE(""https://docs.google.com/spreadsheets/d/14Bd19lYaqBhU8_DElYkX7l4wRkHqqCUFNJY4AfY3kHU/edit?usp=sharing  #gid=0"",""фіз особи new!relations_name""),6,FALSE)
,
(IF
(
C7097=""юридична особа""
,
VLOOKUP"&amp;"(D7097,IMPORTRANGE(""https://docs.google.com/spreadsheets/d/14Bd19lYaqBhU8_DElYkX7l4wRkHqqCUFNJY4AfY3kHU/edit?usp=sharing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6" s="7" t="s">
        <v>10</v>
      </c>
      <c r="H7096" s="7">
        <v>6659</v>
      </c>
      <c r="I7096" s="8" t="str">
        <f ca="1">IFERROR(__xludf.DUMMYFUNCTION("IF
(
G7097=""фізична особа""
,
VLOOKUP(H7097,IMPORTRANGE(""https://docs.google.com/spreadsheets/d/14Bd19lYaqBhU8_DElYkX7l4wRkHqqCUFNJY4AfY3kHU/edit?usp=sharing  #gid=0"",""фіз особи new!relations_name""),6,FALSE)
,
(IF
(
G7097=""юридична особа""
,
VLOOKUP"&amp;"(H7097,IMPORTRANGE(""https://docs.google.com/spreadsheets/d/14Bd19lYaqBhU8_DElYkX7l4wRkHqqCUFNJY4AfY3kHU/edit?usp=sharing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096" s="7" t="s">
        <v>28</v>
      </c>
    </row>
    <row r="7097" spans="1:10" ht="13.2">
      <c r="A7097" s="7">
        <v>7096</v>
      </c>
      <c r="B7097" s="7">
        <v>1</v>
      </c>
      <c r="C7097" s="7" t="s">
        <v>10</v>
      </c>
      <c r="D7097" s="7">
        <v>6645</v>
      </c>
      <c r="E7097" s="7" t="s">
        <v>29</v>
      </c>
      <c r="F7097" s="8" t="str">
        <f ca="1">IFERROR(__xludf.DUMMYFUNCTION("IF
(
C7098=""фізична особа""
,
VLOOKUP(D7098,IMPORTRANGE(""https://docs.google.com/spreadsheets/d/14Bd19lYaqBhU8_DElYkX7l4wRkHqqCUFNJY4AfY3kHU/edit?usp=sharing  #gid=0"",""фіз особи new!relations_name""),6,FALSE)
,
(IF
(
C7098=""юридична особа""
,
VLOOKUP"&amp;"(D7098,IMPORTRANGE(""https://docs.google.com/spreadsheets/d/14Bd19lYaqBhU8_DElYkX7l4wRkHqqCUFNJY4AfY3kHU/edit?usp=sharing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7" s="7" t="s">
        <v>10</v>
      </c>
      <c r="H7097" s="7">
        <v>6647</v>
      </c>
      <c r="I7097" s="8" t="str">
        <f ca="1">IFERROR(__xludf.DUMMYFUNCTION("IF
(
G7098=""фізична особа""
,
VLOOKUP(H7098,IMPORTRANGE(""https://docs.google.com/spreadsheets/d/14Bd19lYaqBhU8_DElYkX7l4wRkHqqCUFNJY4AfY3kHU/edit?usp=sharing  #gid=0"",""фіз особи new!relations_name""),6,FALSE)
,
(IF
(
G7098=""юридична особа""
,
VLOOKUP"&amp;"(H7098,IMPORTRANGE(""https://docs.google.com/spreadsheets/d/14Bd19lYaqBhU8_DElYkX7l4wRkHqqCUFNJY4AfY3kHU/edit?usp=sharing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097" s="7" t="s">
        <v>28</v>
      </c>
    </row>
    <row r="7098" spans="1:10" ht="13.2">
      <c r="A7098" s="7">
        <v>7097</v>
      </c>
      <c r="B7098" s="7">
        <v>1</v>
      </c>
      <c r="C7098" s="7" t="s">
        <v>10</v>
      </c>
      <c r="D7098" s="7">
        <v>6645</v>
      </c>
      <c r="E7098" s="7" t="s">
        <v>29</v>
      </c>
      <c r="F7098" s="8" t="str">
        <f ca="1">IFERROR(__xludf.DUMMYFUNCTION("IF
(
C7099=""фізична особа""
,
VLOOKUP(D7099,IMPORTRANGE(""https://docs.google.com/spreadsheets/d/14Bd19lYaqBhU8_DElYkX7l4wRkHqqCUFNJY4AfY3kHU/edit?usp=sharing  #gid=0"",""фіз особи new!relations_name""),6,FALSE)
,
(IF
(
C7099=""юридична особа""
,
VLOOKUP"&amp;"(D7099,IMPORTRANGE(""https://docs.google.com/spreadsheets/d/14Bd19lYaqBhU8_DElYkX7l4wRkHqqCUFNJY4AfY3kHU/edit?usp=sharing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8" s="7" t="s">
        <v>10</v>
      </c>
      <c r="H7098" s="7">
        <v>6648</v>
      </c>
      <c r="I7098" s="8" t="str">
        <f ca="1">IFERROR(__xludf.DUMMYFUNCTION("IF
(
G7099=""фізична особа""
,
VLOOKUP(H7099,IMPORTRANGE(""https://docs.google.com/spreadsheets/d/14Bd19lYaqBhU8_DElYkX7l4wRkHqqCUFNJY4AfY3kHU/edit?usp=sharing  #gid=0"",""фіз особи new!relations_name""),6,FALSE)
,
(IF
(
G7099=""юридична особа""
,
VLOOKUP"&amp;"(H7099,IMPORTRANGE(""https://docs.google.com/spreadsheets/d/14Bd19lYaqBhU8_DElYkX7l4wRkHqqCUFNJY4AfY3kHU/edit?usp=sharing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098" s="7" t="s">
        <v>28</v>
      </c>
    </row>
    <row r="7099" spans="1:10" ht="13.2">
      <c r="A7099" s="7">
        <v>7098</v>
      </c>
      <c r="B7099" s="7">
        <v>1</v>
      </c>
      <c r="C7099" s="7" t="s">
        <v>10</v>
      </c>
      <c r="D7099" s="7">
        <v>6645</v>
      </c>
      <c r="E7099" s="7" t="s">
        <v>29</v>
      </c>
      <c r="F7099" s="8" t="str">
        <f ca="1">IFERROR(__xludf.DUMMYFUNCTION("IF
(
C7100=""фізична особа""
,
VLOOKUP(D7100,IMPORTRANGE(""https://docs.google.com/spreadsheets/d/14Bd19lYaqBhU8_DElYkX7l4wRkHqqCUFNJY4AfY3kHU/edit?usp=sharing  #gid=0"",""фіз особи new!relations_name""),6,FALSE)
,
(IF
(
C7100=""юридична особа""
,
VLOOKUP"&amp;"(D7100,IMPORTRANGE(""https://docs.google.com/spreadsheets/d/14Bd19lYaqBhU8_DElYkX7l4wRkHqqCUFNJY4AfY3kHU/edit?usp=sharing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099" s="7" t="s">
        <v>10</v>
      </c>
      <c r="H7099" s="7">
        <v>6653</v>
      </c>
      <c r="I7099" s="8" t="str">
        <f ca="1">IFERROR(__xludf.DUMMYFUNCTION("IF
(
G7100=""фізична особа""
,
VLOOKUP(H7100,IMPORTRANGE(""https://docs.google.com/spreadsheets/d/14Bd19lYaqBhU8_DElYkX7l4wRkHqqCUFNJY4AfY3kHU/edit?usp=sharing  #gid=0"",""фіз особи new!relations_name""),6,FALSE)
,
(IF
(
G7100=""юридична особа""
,
VLOOKUP"&amp;"(H7100,IMPORTRANGE(""https://docs.google.com/spreadsheets/d/14Bd19lYaqBhU8_DElYkX7l4wRkHqqCUFNJY4AfY3kHU/edit?usp=sharing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099" s="7" t="s">
        <v>28</v>
      </c>
    </row>
    <row r="7100" spans="1:10" ht="13.2">
      <c r="A7100" s="7">
        <v>7099</v>
      </c>
      <c r="B7100" s="7">
        <v>1</v>
      </c>
      <c r="C7100" s="7" t="s">
        <v>10</v>
      </c>
      <c r="D7100" s="7">
        <v>6645</v>
      </c>
      <c r="E7100" s="7" t="s">
        <v>29</v>
      </c>
      <c r="F7100" s="8" t="str">
        <f ca="1">IFERROR(__xludf.DUMMYFUNCTION("IF
(
C7101=""фізична особа""
,
VLOOKUP(D7101,IMPORTRANGE(""https://docs.google.com/spreadsheets/d/14Bd19lYaqBhU8_DElYkX7l4wRkHqqCUFNJY4AfY3kHU/edit?usp=sharing  #gid=0"",""фіз особи new!relations_name""),6,FALSE)
,
(IF
(
C7101=""юридична особа""
,
VLOOKUP"&amp;"(D7101,IMPORTRANGE(""https://docs.google.com/spreadsheets/d/14Bd19lYaqBhU8_DElYkX7l4wRkHqqCUFNJY4AfY3kHU/edit?usp=sharing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0" s="7" t="s">
        <v>10</v>
      </c>
      <c r="H7100" s="7">
        <v>6656</v>
      </c>
      <c r="I7100" s="8" t="str">
        <f ca="1">IFERROR(__xludf.DUMMYFUNCTION("IF
(
G7101=""фізична особа""
,
VLOOKUP(H7101,IMPORTRANGE(""https://docs.google.com/spreadsheets/d/14Bd19lYaqBhU8_DElYkX7l4wRkHqqCUFNJY4AfY3kHU/edit?usp=sharing  #gid=0"",""фіз особи new!relations_name""),6,FALSE)
,
(IF
(
G7101=""юридична особа""
,
VLOOKUP"&amp;"(H7101,IMPORTRANGE(""https://docs.google.com/spreadsheets/d/14Bd19lYaqBhU8_DElYkX7l4wRkHqqCUFNJY4AfY3kHU/edit?usp=sharing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00" s="7" t="s">
        <v>28</v>
      </c>
    </row>
    <row r="7101" spans="1:10" ht="13.2">
      <c r="A7101" s="7">
        <v>7100</v>
      </c>
      <c r="B7101" s="7">
        <v>1</v>
      </c>
      <c r="C7101" s="7" t="s">
        <v>10</v>
      </c>
      <c r="D7101" s="7">
        <v>6645</v>
      </c>
      <c r="E7101" s="7" t="s">
        <v>29</v>
      </c>
      <c r="F7101" s="8" t="str">
        <f ca="1">IFERROR(__xludf.DUMMYFUNCTION("IF
(
C7102=""фізична особа""
,
VLOOKUP(D7102,IMPORTRANGE(""https://docs.google.com/spreadsheets/d/14Bd19lYaqBhU8_DElYkX7l4wRkHqqCUFNJY4AfY3kHU/edit?usp=sharing  #gid=0"",""фіз особи new!relations_name""),6,FALSE)
,
(IF
(
C7102=""юридична особа""
,
VLOOKUP"&amp;"(D7102,IMPORTRANGE(""https://docs.google.com/spreadsheets/d/14Bd19lYaqBhU8_DElYkX7l4wRkHqqCUFNJY4AfY3kHU/edit?usp=sharing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1" s="7" t="s">
        <v>10</v>
      </c>
      <c r="H7101" s="7">
        <v>6658</v>
      </c>
      <c r="I7101" s="8" t="str">
        <f ca="1">IFERROR(__xludf.DUMMYFUNCTION("IF
(
G7102=""фізична особа""
,
VLOOKUP(H7102,IMPORTRANGE(""https://docs.google.com/spreadsheets/d/14Bd19lYaqBhU8_DElYkX7l4wRkHqqCUFNJY4AfY3kHU/edit?usp=sharing  #gid=0"",""фіз особи new!relations_name""),6,FALSE)
,
(IF
(
G7102=""юридична особа""
,
VLOOKUP"&amp;"(H7102,IMPORTRANGE(""https://docs.google.com/spreadsheets/d/14Bd19lYaqBhU8_DElYkX7l4wRkHqqCUFNJY4AfY3kHU/edit?usp=sharing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01" s="7" t="s">
        <v>28</v>
      </c>
    </row>
    <row r="7102" spans="1:10" ht="13.2">
      <c r="A7102" s="7">
        <v>7101</v>
      </c>
      <c r="B7102" s="7">
        <v>1</v>
      </c>
      <c r="C7102" s="7" t="s">
        <v>10</v>
      </c>
      <c r="D7102" s="7">
        <v>6645</v>
      </c>
      <c r="E7102" s="7" t="s">
        <v>29</v>
      </c>
      <c r="F7102" s="8" t="str">
        <f ca="1">IFERROR(__xludf.DUMMYFUNCTION("IF
(
C7103=""фізична особа""
,
VLOOKUP(D7103,IMPORTRANGE(""https://docs.google.com/spreadsheets/d/14Bd19lYaqBhU8_DElYkX7l4wRkHqqCUFNJY4AfY3kHU/edit?usp=sharing  #gid=0"",""фіз особи new!relations_name""),6,FALSE)
,
(IF
(
C7103=""юридична особа""
,
VLOOKUP"&amp;"(D7103,IMPORTRANGE(""https://docs.google.com/spreadsheets/d/14Bd19lYaqBhU8_DElYkX7l4wRkHqqCUFNJY4AfY3kHU/edit?usp=sharing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2" s="7" t="s">
        <v>10</v>
      </c>
      <c r="H7102" s="7">
        <v>6652</v>
      </c>
      <c r="I7102" s="8" t="str">
        <f ca="1">IFERROR(__xludf.DUMMYFUNCTION("IF
(
G7103=""фізична особа""
,
VLOOKUP(H7103,IMPORTRANGE(""https://docs.google.com/spreadsheets/d/14Bd19lYaqBhU8_DElYkX7l4wRkHqqCUFNJY4AfY3kHU/edit?usp=sharing  #gid=0"",""фіз особи new!relations_name""),6,FALSE)
,
(IF
(
G7103=""юридична особа""
,
VLOOKUP"&amp;"(H7103,IMPORTRANGE(""https://docs.google.com/spreadsheets/d/14Bd19lYaqBhU8_DElYkX7l4wRkHqqCUFNJY4AfY3kHU/edit?usp=sharing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02" s="7" t="s">
        <v>28</v>
      </c>
    </row>
    <row r="7103" spans="1:10" ht="13.2">
      <c r="A7103" s="7">
        <v>7102</v>
      </c>
      <c r="B7103" s="7">
        <v>1</v>
      </c>
      <c r="C7103" s="7" t="s">
        <v>10</v>
      </c>
      <c r="D7103" s="7">
        <v>6645</v>
      </c>
      <c r="E7103" s="7" t="s">
        <v>29</v>
      </c>
      <c r="F7103" s="8" t="str">
        <f ca="1">IFERROR(__xludf.DUMMYFUNCTION("IF
(
C7104=""фізична особа""
,
VLOOKUP(D7104,IMPORTRANGE(""https://docs.google.com/spreadsheets/d/14Bd19lYaqBhU8_DElYkX7l4wRkHqqCUFNJY4AfY3kHU/edit?usp=sharing  #gid=0"",""фіз особи new!relations_name""),6,FALSE)
,
(IF
(
C7104=""юридична особа""
,
VLOOKUP"&amp;"(D7104,IMPORTRANGE(""https://docs.google.com/spreadsheets/d/14Bd19lYaqBhU8_DElYkX7l4wRkHqqCUFNJY4AfY3kHU/edit?usp=sharing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3" s="7" t="s">
        <v>10</v>
      </c>
      <c r="H7103" s="7">
        <v>6646</v>
      </c>
      <c r="I7103" s="8" t="str">
        <f ca="1">IFERROR(__xludf.DUMMYFUNCTION("IF
(
G7104=""фізична особа""
,
VLOOKUP(H7104,IMPORTRANGE(""https://docs.google.com/spreadsheets/d/14Bd19lYaqBhU8_DElYkX7l4wRkHqqCUFNJY4AfY3kHU/edit?usp=sharing  #gid=0"",""фіз особи new!relations_name""),6,FALSE)
,
(IF
(
G7104=""юридична особа""
,
VLOOKUP"&amp;"(H7104,IMPORTRANGE(""https://docs.google.com/spreadsheets/d/14Bd19lYaqBhU8_DElYkX7l4wRkHqqCUFNJY4AfY3kHU/edit?usp=sharing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03" s="7" t="s">
        <v>28</v>
      </c>
    </row>
    <row r="7104" spans="1:10" ht="13.2">
      <c r="A7104" s="7">
        <v>7103</v>
      </c>
      <c r="B7104" s="7">
        <v>1</v>
      </c>
      <c r="C7104" s="7" t="s">
        <v>10</v>
      </c>
      <c r="D7104" s="7">
        <v>6645</v>
      </c>
      <c r="E7104" s="7" t="s">
        <v>29</v>
      </c>
      <c r="F7104" s="8" t="str">
        <f ca="1">IFERROR(__xludf.DUMMYFUNCTION("IF
(
C7105=""фізична особа""
,
VLOOKUP(D7105,IMPORTRANGE(""https://docs.google.com/spreadsheets/d/14Bd19lYaqBhU8_DElYkX7l4wRkHqqCUFNJY4AfY3kHU/edit?usp=sharing  #gid=0"",""фіз особи new!relations_name""),6,FALSE)
,
(IF
(
C7105=""юридична особа""
,
VLOOKUP"&amp;"(D7105,IMPORTRANGE(""https://docs.google.com/spreadsheets/d/14Bd19lYaqBhU8_DElYkX7l4wRkHqqCUFNJY4AfY3kHU/edit?usp=sharing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4" s="7" t="s">
        <v>10</v>
      </c>
      <c r="H7104" s="7">
        <v>6654</v>
      </c>
      <c r="I7104" s="8" t="str">
        <f ca="1">IFERROR(__xludf.DUMMYFUNCTION("IF
(
G7105=""фізична особа""
,
VLOOKUP(H7105,IMPORTRANGE(""https://docs.google.com/spreadsheets/d/14Bd19lYaqBhU8_DElYkX7l4wRkHqqCUFNJY4AfY3kHU/edit?usp=sharing  #gid=0"",""фіз особи new!relations_name""),6,FALSE)
,
(IF
(
G7105=""юридична особа""
,
VLOOKUP"&amp;"(H7105,IMPORTRANGE(""https://docs.google.com/spreadsheets/d/14Bd19lYaqBhU8_DElYkX7l4wRkHqqCUFNJY4AfY3kHU/edit?usp=sharing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04" s="7" t="s">
        <v>28</v>
      </c>
    </row>
    <row r="7105" spans="1:10" ht="13.2">
      <c r="A7105" s="7">
        <v>7104</v>
      </c>
      <c r="B7105" s="7">
        <v>1</v>
      </c>
      <c r="C7105" s="7" t="s">
        <v>10</v>
      </c>
      <c r="D7105" s="7">
        <v>6645</v>
      </c>
      <c r="E7105" s="7" t="s">
        <v>29</v>
      </c>
      <c r="F7105" s="8" t="str">
        <f ca="1">IFERROR(__xludf.DUMMYFUNCTION("IF
(
C7106=""фізична особа""
,
VLOOKUP(D7106,IMPORTRANGE(""https://docs.google.com/spreadsheets/d/14Bd19lYaqBhU8_DElYkX7l4wRkHqqCUFNJY4AfY3kHU/edit?usp=sharing  #gid=0"",""фіз особи new!relations_name""),6,FALSE)
,
(IF
(
C7106=""юридична особа""
,
VLOOKUP"&amp;"(D7106,IMPORTRANGE(""https://docs.google.com/spreadsheets/d/14Bd19lYaqBhU8_DElYkX7l4wRkHqqCUFNJY4AfY3kHU/edit?usp=sharing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5" s="7" t="s">
        <v>10</v>
      </c>
      <c r="H7105" s="7">
        <v>6655</v>
      </c>
      <c r="I7105" s="8" t="str">
        <f ca="1">IFERROR(__xludf.DUMMYFUNCTION("IF
(
G7106=""фізична особа""
,
VLOOKUP(H7106,IMPORTRANGE(""https://docs.google.com/spreadsheets/d/14Bd19lYaqBhU8_DElYkX7l4wRkHqqCUFNJY4AfY3kHU/edit?usp=sharing  #gid=0"",""фіз особи new!relations_name""),6,FALSE)
,
(IF
(
G7106=""юридична особа""
,
VLOOKUP"&amp;"(H7106,IMPORTRANGE(""https://docs.google.com/spreadsheets/d/14Bd19lYaqBhU8_DElYkX7l4wRkHqqCUFNJY4AfY3kHU/edit?usp=sharing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05" s="7" t="s">
        <v>28</v>
      </c>
    </row>
    <row r="7106" spans="1:10" ht="13.2">
      <c r="A7106" s="7">
        <v>7105</v>
      </c>
      <c r="B7106" s="7">
        <v>1</v>
      </c>
      <c r="C7106" s="7" t="s">
        <v>10</v>
      </c>
      <c r="D7106" s="7">
        <v>6645</v>
      </c>
      <c r="E7106" s="7" t="s">
        <v>29</v>
      </c>
      <c r="F7106" s="8" t="str">
        <f ca="1">IFERROR(__xludf.DUMMYFUNCTION("IF
(
C7107=""фізична особа""
,
VLOOKUP(D7107,IMPORTRANGE(""https://docs.google.com/spreadsheets/d/14Bd19lYaqBhU8_DElYkX7l4wRkHqqCUFNJY4AfY3kHU/edit?usp=sharing  #gid=0"",""фіз особи new!relations_name""),6,FALSE)
,
(IF
(
C7107=""юридична особа""
,
VLOOKUP"&amp;"(D7107,IMPORTRANGE(""https://docs.google.com/spreadsheets/d/14Bd19lYaqBhU8_DElYkX7l4wRkHqqCUFNJY4AfY3kHU/edit?usp=sharing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6" s="7" t="s">
        <v>10</v>
      </c>
      <c r="H7106" s="7">
        <v>6651</v>
      </c>
      <c r="I7106" s="8" t="str">
        <f ca="1">IFERROR(__xludf.DUMMYFUNCTION("IF
(
G7107=""фізична особа""
,
VLOOKUP(H7107,IMPORTRANGE(""https://docs.google.com/spreadsheets/d/14Bd19lYaqBhU8_DElYkX7l4wRkHqqCUFNJY4AfY3kHU/edit?usp=sharing  #gid=0"",""фіз особи new!relations_name""),6,FALSE)
,
(IF
(
G7107=""юридична особа""
,
VLOOKUP"&amp;"(H7107,IMPORTRANGE(""https://docs.google.com/spreadsheets/d/14Bd19lYaqBhU8_DElYkX7l4wRkHqqCUFNJY4AfY3kHU/edit?usp=sharing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06" s="7" t="s">
        <v>28</v>
      </c>
    </row>
    <row r="7107" spans="1:10" ht="13.2">
      <c r="A7107" s="7">
        <v>7106</v>
      </c>
      <c r="B7107" s="7">
        <v>1</v>
      </c>
      <c r="C7107" s="7" t="s">
        <v>10</v>
      </c>
      <c r="D7107" s="7">
        <v>6645</v>
      </c>
      <c r="E7107" s="7" t="s">
        <v>29</v>
      </c>
      <c r="F7107" s="8" t="str">
        <f ca="1">IFERROR(__xludf.DUMMYFUNCTION("IF
(
C7108=""фізична особа""
,
VLOOKUP(D7108,IMPORTRANGE(""https://docs.google.com/spreadsheets/d/14Bd19lYaqBhU8_DElYkX7l4wRkHqqCUFNJY4AfY3kHU/edit?usp=sharing  #gid=0"",""фіз особи new!relations_name""),6,FALSE)
,
(IF
(
C7108=""юридична особа""
,
VLOOKUP"&amp;"(D7108,IMPORTRANGE(""https://docs.google.com/spreadsheets/d/14Bd19lYaqBhU8_DElYkX7l4wRkHqqCUFNJY4AfY3kHU/edit?usp=sharing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G7107" s="7" t="s">
        <v>10</v>
      </c>
      <c r="H7107" s="7">
        <v>6657</v>
      </c>
      <c r="I7107" s="8" t="str">
        <f ca="1">IFERROR(__xludf.DUMMYFUNCTION("IF
(
G7108=""фізична особа""
,
VLOOKUP(H7108,IMPORTRANGE(""https://docs.google.com/spreadsheets/d/14Bd19lYaqBhU8_DElYkX7l4wRkHqqCUFNJY4AfY3kHU/edit?usp=sharing  #gid=0"",""фіз особи new!relations_name""),6,FALSE)
,
(IF
(
G7108=""юридична особа""
,
VLOOKUP"&amp;"(H7108,IMPORTRANGE(""https://docs.google.com/spreadsheets/d/14Bd19lYaqBhU8_DElYkX7l4wRkHqqCUFNJY4AfY3kHU/edit?usp=sharing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07" s="7" t="s">
        <v>28</v>
      </c>
    </row>
    <row r="7108" spans="1:10" ht="13.2">
      <c r="A7108" s="7">
        <v>7107</v>
      </c>
      <c r="B7108" s="7">
        <v>1</v>
      </c>
      <c r="C7108" s="7" t="s">
        <v>10</v>
      </c>
      <c r="D7108" s="7">
        <v>6646</v>
      </c>
      <c r="E7108" s="7" t="s">
        <v>35</v>
      </c>
      <c r="F7108" s="8" t="str">
        <f ca="1">IFERROR(__xludf.DUMMYFUNCTION("IF
(
C7109=""фізична особа""
,
VLOOKUP(D7109,IMPORTRANGE(""https://docs.google.com/spreadsheets/d/14Bd19lYaqBhU8_DElYkX7l4wRkHqqCUFNJY4AfY3kHU/edit?usp=sharing  #gid=0"",""фіз особи new!relations_name""),6,FALSE)
,
(IF
(
C7109=""юридична особа""
,
VLOOKUP"&amp;"(D7109,IMPORTRANGE(""https://docs.google.com/spreadsheets/d/14Bd19lYaqBhU8_DElYkX7l4wRkHqqCUFNJY4AfY3kHU/edit?usp=sharing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08" s="7" t="s">
        <v>10</v>
      </c>
      <c r="H7108" s="7">
        <v>6650</v>
      </c>
      <c r="I7108" s="8" t="str">
        <f ca="1">IFERROR(__xludf.DUMMYFUNCTION("IF
(
G7109=""фізична особа""
,
VLOOKUP(H7109,IMPORTRANGE(""https://docs.google.com/spreadsheets/d/14Bd19lYaqBhU8_DElYkX7l4wRkHqqCUFNJY4AfY3kHU/edit?usp=sharing  #gid=0"",""фіз особи new!relations_name""),6,FALSE)
,
(IF
(
G7109=""юридична особа""
,
VLOOKUP"&amp;"(H7109,IMPORTRANGE(""https://docs.google.com/spreadsheets/d/14Bd19lYaqBhU8_DElYkX7l4wRkHqqCUFNJY4AfY3kHU/edit?usp=sharing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108" s="7" t="s">
        <v>35</v>
      </c>
    </row>
    <row r="7109" spans="1:10" ht="13.2">
      <c r="A7109" s="7">
        <v>7108</v>
      </c>
      <c r="B7109" s="7">
        <v>1</v>
      </c>
      <c r="C7109" s="7" t="s">
        <v>10</v>
      </c>
      <c r="D7109" s="7">
        <v>6646</v>
      </c>
      <c r="E7109" s="7" t="s">
        <v>35</v>
      </c>
      <c r="F7109" s="8" t="str">
        <f ca="1">IFERROR(__xludf.DUMMYFUNCTION("IF
(
C7110=""фізична особа""
,
VLOOKUP(D7110,IMPORTRANGE(""https://docs.google.com/spreadsheets/d/14Bd19lYaqBhU8_DElYkX7l4wRkHqqCUFNJY4AfY3kHU/edit?usp=sharing  #gid=0"",""фіз особи new!relations_name""),6,FALSE)
,
(IF
(
C7110=""юридична особа""
,
VLOOKUP"&amp;"(D7110,IMPORTRANGE(""https://docs.google.com/spreadsheets/d/14Bd19lYaqBhU8_DElYkX7l4wRkHqqCUFNJY4AfY3kHU/edit?usp=sharing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09" s="7" t="s">
        <v>10</v>
      </c>
      <c r="H7109" s="7">
        <v>6649</v>
      </c>
      <c r="I7109" s="8" t="str">
        <f ca="1">IFERROR(__xludf.DUMMYFUNCTION("IF
(
G7110=""фізична особа""
,
VLOOKUP(H7110,IMPORTRANGE(""https://docs.google.com/spreadsheets/d/14Bd19lYaqBhU8_DElYkX7l4wRkHqqCUFNJY4AfY3kHU/edit?usp=sharing  #gid=0"",""фіз особи new!relations_name""),6,FALSE)
,
(IF
(
G7110=""юридична особа""
,
VLOOKUP"&amp;"(H7110,IMPORTRANGE(""https://docs.google.com/spreadsheets/d/14Bd19lYaqBhU8_DElYkX7l4wRkHqqCUFNJY4AfY3kHU/edit?usp=sharing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09" s="7" t="s">
        <v>35</v>
      </c>
    </row>
    <row r="7110" spans="1:10" ht="13.2">
      <c r="A7110" s="7">
        <v>7109</v>
      </c>
      <c r="B7110" s="7">
        <v>1</v>
      </c>
      <c r="C7110" s="7" t="s">
        <v>10</v>
      </c>
      <c r="D7110" s="7">
        <v>6646</v>
      </c>
      <c r="E7110" s="7" t="s">
        <v>35</v>
      </c>
      <c r="F7110" s="8" t="str">
        <f ca="1">IFERROR(__xludf.DUMMYFUNCTION("IF
(
C7111=""фізична особа""
,
VLOOKUP(D7111,IMPORTRANGE(""https://docs.google.com/spreadsheets/d/14Bd19lYaqBhU8_DElYkX7l4wRkHqqCUFNJY4AfY3kHU/edit?usp=sharing  #gid=0"",""фіз особи new!relations_name""),6,FALSE)
,
(IF
(
C7111=""юридична особа""
,
VLOOKUP"&amp;"(D7111,IMPORTRANGE(""https://docs.google.com/spreadsheets/d/14Bd19lYaqBhU8_DElYkX7l4wRkHqqCUFNJY4AfY3kHU/edit?usp=sharing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0" s="7" t="s">
        <v>10</v>
      </c>
      <c r="H7110" s="7">
        <v>6659</v>
      </c>
      <c r="I7110" s="8" t="str">
        <f ca="1">IFERROR(__xludf.DUMMYFUNCTION("IF
(
G7111=""фізична особа""
,
VLOOKUP(H7111,IMPORTRANGE(""https://docs.google.com/spreadsheets/d/14Bd19lYaqBhU8_DElYkX7l4wRkHqqCUFNJY4AfY3kHU/edit?usp=sharing  #gid=0"",""фіз особи new!relations_name""),6,FALSE)
,
(IF
(
G7111=""юридична особа""
,
VLOOKUP"&amp;"(H7111,IMPORTRANGE(""https://docs.google.com/spreadsheets/d/14Bd19lYaqBhU8_DElYkX7l4wRkHqqCUFNJY4AfY3kHU/edit?usp=sharing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10" s="7" t="s">
        <v>35</v>
      </c>
    </row>
    <row r="7111" spans="1:10" ht="13.2">
      <c r="A7111" s="7">
        <v>7110</v>
      </c>
      <c r="B7111" s="7">
        <v>1</v>
      </c>
      <c r="C7111" s="7" t="s">
        <v>10</v>
      </c>
      <c r="D7111" s="7">
        <v>6646</v>
      </c>
      <c r="E7111" s="7" t="s">
        <v>35</v>
      </c>
      <c r="F7111" s="8" t="str">
        <f ca="1">IFERROR(__xludf.DUMMYFUNCTION("IF
(
C7112=""фізична особа""
,
VLOOKUP(D7112,IMPORTRANGE(""https://docs.google.com/spreadsheets/d/14Bd19lYaqBhU8_DElYkX7l4wRkHqqCUFNJY4AfY3kHU/edit?usp=sharing  #gid=0"",""фіз особи new!relations_name""),6,FALSE)
,
(IF
(
C7112=""юридична особа""
,
VLOOKUP"&amp;"(D7112,IMPORTRANGE(""https://docs.google.com/spreadsheets/d/14Bd19lYaqBhU8_DElYkX7l4wRkHqqCUFNJY4AfY3kHU/edit?usp=sharing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1" s="7" t="s">
        <v>10</v>
      </c>
      <c r="H7111" s="7">
        <v>6647</v>
      </c>
      <c r="I7111" s="8" t="str">
        <f ca="1">IFERROR(__xludf.DUMMYFUNCTION("IF
(
G7112=""фізична особа""
,
VLOOKUP(H7112,IMPORTRANGE(""https://docs.google.com/spreadsheets/d/14Bd19lYaqBhU8_DElYkX7l4wRkHqqCUFNJY4AfY3kHU/edit?usp=sharing  #gid=0"",""фіз особи new!relations_name""),6,FALSE)
,
(IF
(
G7112=""юридична особа""
,
VLOOKUP"&amp;"(H7112,IMPORTRANGE(""https://docs.google.com/spreadsheets/d/14Bd19lYaqBhU8_DElYkX7l4wRkHqqCUFNJY4AfY3kHU/edit?usp=sharing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11" s="7" t="s">
        <v>35</v>
      </c>
    </row>
    <row r="7112" spans="1:10" ht="13.2">
      <c r="A7112" s="7">
        <v>7111</v>
      </c>
      <c r="B7112" s="7">
        <v>1</v>
      </c>
      <c r="C7112" s="7" t="s">
        <v>10</v>
      </c>
      <c r="D7112" s="7">
        <v>6646</v>
      </c>
      <c r="E7112" s="7" t="s">
        <v>35</v>
      </c>
      <c r="F7112" s="8" t="str">
        <f ca="1">IFERROR(__xludf.DUMMYFUNCTION("IF
(
C7113=""фізична особа""
,
VLOOKUP(D7113,IMPORTRANGE(""https://docs.google.com/spreadsheets/d/14Bd19lYaqBhU8_DElYkX7l4wRkHqqCUFNJY4AfY3kHU/edit?usp=sharing  #gid=0"",""фіз особи new!relations_name""),6,FALSE)
,
(IF
(
C7113=""юридична особа""
,
VLOOKUP"&amp;"(D7113,IMPORTRANGE(""https://docs.google.com/spreadsheets/d/14Bd19lYaqBhU8_DElYkX7l4wRkHqqCUFNJY4AfY3kHU/edit?usp=sharing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2" s="7" t="s">
        <v>10</v>
      </c>
      <c r="H7112" s="7">
        <v>6648</v>
      </c>
      <c r="I7112" s="8" t="str">
        <f ca="1">IFERROR(__xludf.DUMMYFUNCTION("IF
(
G7113=""фізична особа""
,
VLOOKUP(H7113,IMPORTRANGE(""https://docs.google.com/spreadsheets/d/14Bd19lYaqBhU8_DElYkX7l4wRkHqqCUFNJY4AfY3kHU/edit?usp=sharing  #gid=0"",""фіз особи new!relations_name""),6,FALSE)
,
(IF
(
G7113=""юридична особа""
,
VLOOKUP"&amp;"(H7113,IMPORTRANGE(""https://docs.google.com/spreadsheets/d/14Bd19lYaqBhU8_DElYkX7l4wRkHqqCUFNJY4AfY3kHU/edit?usp=sharing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12" s="7" t="s">
        <v>35</v>
      </c>
    </row>
    <row r="7113" spans="1:10" ht="13.2">
      <c r="A7113" s="7">
        <v>7112</v>
      </c>
      <c r="B7113" s="7">
        <v>1</v>
      </c>
      <c r="C7113" s="7" t="s">
        <v>10</v>
      </c>
      <c r="D7113" s="7">
        <v>6646</v>
      </c>
      <c r="E7113" s="7" t="s">
        <v>35</v>
      </c>
      <c r="F7113" s="8" t="str">
        <f ca="1">IFERROR(__xludf.DUMMYFUNCTION("IF
(
C7114=""фізична особа""
,
VLOOKUP(D7114,IMPORTRANGE(""https://docs.google.com/spreadsheets/d/14Bd19lYaqBhU8_DElYkX7l4wRkHqqCUFNJY4AfY3kHU/edit?usp=sharing  #gid=0"",""фіз особи new!relations_name""),6,FALSE)
,
(IF
(
C7114=""юридична особа""
,
VLOOKUP"&amp;"(D7114,IMPORTRANGE(""https://docs.google.com/spreadsheets/d/14Bd19lYaqBhU8_DElYkX7l4wRkHqqCUFNJY4AfY3kHU/edit?usp=sharing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3" s="7" t="s">
        <v>10</v>
      </c>
      <c r="H7113" s="7">
        <v>6653</v>
      </c>
      <c r="I7113" s="8" t="str">
        <f ca="1">IFERROR(__xludf.DUMMYFUNCTION("IF
(
G7114=""фізична особа""
,
VLOOKUP(H7114,IMPORTRANGE(""https://docs.google.com/spreadsheets/d/14Bd19lYaqBhU8_DElYkX7l4wRkHqqCUFNJY4AfY3kHU/edit?usp=sharing  #gid=0"",""фіз особи new!relations_name""),6,FALSE)
,
(IF
(
G7114=""юридична особа""
,
VLOOKUP"&amp;"(H7114,IMPORTRANGE(""https://docs.google.com/spreadsheets/d/14Bd19lYaqBhU8_DElYkX7l4wRkHqqCUFNJY4AfY3kHU/edit?usp=sharing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13" s="7" t="s">
        <v>35</v>
      </c>
    </row>
    <row r="7114" spans="1:10" ht="13.2">
      <c r="A7114" s="7">
        <v>7113</v>
      </c>
      <c r="B7114" s="7">
        <v>1</v>
      </c>
      <c r="C7114" s="7" t="s">
        <v>10</v>
      </c>
      <c r="D7114" s="7">
        <v>6646</v>
      </c>
      <c r="E7114" s="7" t="s">
        <v>35</v>
      </c>
      <c r="F7114" s="8" t="str">
        <f ca="1">IFERROR(__xludf.DUMMYFUNCTION("IF
(
C7115=""фізична особа""
,
VLOOKUP(D7115,IMPORTRANGE(""https://docs.google.com/spreadsheets/d/14Bd19lYaqBhU8_DElYkX7l4wRkHqqCUFNJY4AfY3kHU/edit?usp=sharing  #gid=0"",""фіз особи new!relations_name""),6,FALSE)
,
(IF
(
C7115=""юридична особа""
,
VLOOKUP"&amp;"(D7115,IMPORTRANGE(""https://docs.google.com/spreadsheets/d/14Bd19lYaqBhU8_DElYkX7l4wRkHqqCUFNJY4AfY3kHU/edit?usp=sharing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4" s="7" t="s">
        <v>10</v>
      </c>
      <c r="H7114" s="7">
        <v>6656</v>
      </c>
      <c r="I7114" s="8" t="str">
        <f ca="1">IFERROR(__xludf.DUMMYFUNCTION("IF
(
G7115=""фізична особа""
,
VLOOKUP(H7115,IMPORTRANGE(""https://docs.google.com/spreadsheets/d/14Bd19lYaqBhU8_DElYkX7l4wRkHqqCUFNJY4AfY3kHU/edit?usp=sharing  #gid=0"",""фіз особи new!relations_name""),6,FALSE)
,
(IF
(
G7115=""юридична особа""
,
VLOOKUP"&amp;"(H7115,IMPORTRANGE(""https://docs.google.com/spreadsheets/d/14Bd19lYaqBhU8_DElYkX7l4wRkHqqCUFNJY4AfY3kHU/edit?usp=sharing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14" s="7" t="s">
        <v>35</v>
      </c>
    </row>
    <row r="7115" spans="1:10" ht="13.2">
      <c r="A7115" s="7">
        <v>7114</v>
      </c>
      <c r="B7115" s="7">
        <v>1</v>
      </c>
      <c r="C7115" s="7" t="s">
        <v>10</v>
      </c>
      <c r="D7115" s="7">
        <v>6646</v>
      </c>
      <c r="E7115" s="7" t="s">
        <v>35</v>
      </c>
      <c r="F7115" s="8" t="str">
        <f ca="1">IFERROR(__xludf.DUMMYFUNCTION("IF
(
C7116=""фізична особа""
,
VLOOKUP(D7116,IMPORTRANGE(""https://docs.google.com/spreadsheets/d/14Bd19lYaqBhU8_DElYkX7l4wRkHqqCUFNJY4AfY3kHU/edit?usp=sharing  #gid=0"",""фіз особи new!relations_name""),6,FALSE)
,
(IF
(
C7116=""юридична особа""
,
VLOOKUP"&amp;"(D7116,IMPORTRANGE(""https://docs.google.com/spreadsheets/d/14Bd19lYaqBhU8_DElYkX7l4wRkHqqCUFNJY4AfY3kHU/edit?usp=sharing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5" s="7" t="s">
        <v>10</v>
      </c>
      <c r="H7115" s="7">
        <v>6658</v>
      </c>
      <c r="I7115" s="8" t="str">
        <f ca="1">IFERROR(__xludf.DUMMYFUNCTION("IF
(
G7116=""фізична особа""
,
VLOOKUP(H7116,IMPORTRANGE(""https://docs.google.com/spreadsheets/d/14Bd19lYaqBhU8_DElYkX7l4wRkHqqCUFNJY4AfY3kHU/edit?usp=sharing  #gid=0"",""фіз особи new!relations_name""),6,FALSE)
,
(IF
(
G7116=""юридична особа""
,
VLOOKUP"&amp;"(H7116,IMPORTRANGE(""https://docs.google.com/spreadsheets/d/14Bd19lYaqBhU8_DElYkX7l4wRkHqqCUFNJY4AfY3kHU/edit?usp=sharing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15" s="7" t="s">
        <v>35</v>
      </c>
    </row>
    <row r="7116" spans="1:10" ht="13.2">
      <c r="A7116" s="7">
        <v>7115</v>
      </c>
      <c r="B7116" s="7">
        <v>1</v>
      </c>
      <c r="C7116" s="7" t="s">
        <v>10</v>
      </c>
      <c r="D7116" s="7">
        <v>6646</v>
      </c>
      <c r="E7116" s="7" t="s">
        <v>35</v>
      </c>
      <c r="F7116" s="8" t="str">
        <f ca="1">IFERROR(__xludf.DUMMYFUNCTION("IF
(
C7117=""фізична особа""
,
VLOOKUP(D7117,IMPORTRANGE(""https://docs.google.com/spreadsheets/d/14Bd19lYaqBhU8_DElYkX7l4wRkHqqCUFNJY4AfY3kHU/edit?usp=sharing  #gid=0"",""фіз особи new!relations_name""),6,FALSE)
,
(IF
(
C7117=""юридична особа""
,
VLOOKUP"&amp;"(D7117,IMPORTRANGE(""https://docs.google.com/spreadsheets/d/14Bd19lYaqBhU8_DElYkX7l4wRkHqqCUFNJY4AfY3kHU/edit?usp=sharing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6" s="7" t="s">
        <v>10</v>
      </c>
      <c r="H7116" s="7">
        <v>6652</v>
      </c>
      <c r="I7116" s="8" t="str">
        <f ca="1">IFERROR(__xludf.DUMMYFUNCTION("IF
(
G7117=""фізична особа""
,
VLOOKUP(H7117,IMPORTRANGE(""https://docs.google.com/spreadsheets/d/14Bd19lYaqBhU8_DElYkX7l4wRkHqqCUFNJY4AfY3kHU/edit?usp=sharing  #gid=0"",""фіз особи new!relations_name""),6,FALSE)
,
(IF
(
G7117=""юридична особа""
,
VLOOKUP"&amp;"(H7117,IMPORTRANGE(""https://docs.google.com/spreadsheets/d/14Bd19lYaqBhU8_DElYkX7l4wRkHqqCUFNJY4AfY3kHU/edit?usp=sharing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16" s="7" t="s">
        <v>35</v>
      </c>
    </row>
    <row r="7117" spans="1:10" ht="13.2">
      <c r="A7117" s="7">
        <v>7116</v>
      </c>
      <c r="B7117" s="7">
        <v>1</v>
      </c>
      <c r="C7117" s="7" t="s">
        <v>10</v>
      </c>
      <c r="D7117" s="7">
        <v>6646</v>
      </c>
      <c r="E7117" s="7" t="s">
        <v>28</v>
      </c>
      <c r="F7117" s="8" t="str">
        <f ca="1">IFERROR(__xludf.DUMMYFUNCTION("IF
(
C7118=""фізична особа""
,
VLOOKUP(D7118,IMPORTRANGE(""https://docs.google.com/spreadsheets/d/14Bd19lYaqBhU8_DElYkX7l4wRkHqqCUFNJY4AfY3kHU/edit?usp=sharing  #gid=0"",""фіз особи new!relations_name""),6,FALSE)
,
(IF
(
C7118=""юридична особа""
,
VLOOKUP"&amp;"(D7118,IMPORTRANGE(""https://docs.google.com/spreadsheets/d/14Bd19lYaqBhU8_DElYkX7l4wRkHqqCUFNJY4AfY3kHU/edit?usp=sharing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7" s="7" t="s">
        <v>10</v>
      </c>
      <c r="H7117" s="7">
        <v>6645</v>
      </c>
      <c r="I7117" s="8" t="str">
        <f ca="1">IFERROR(__xludf.DUMMYFUNCTION("IF
(
G7118=""фізична особа""
,
VLOOKUP(H7118,IMPORTRANGE(""https://docs.google.com/spreadsheets/d/14Bd19lYaqBhU8_DElYkX7l4wRkHqqCUFNJY4AfY3kHU/edit?usp=sharing  #gid=0"",""фіз особи new!relations_name""),6,FALSE)
,
(IF
(
G7118=""юридична особа""
,
VLOOKUP"&amp;"(H7118,IMPORTRANGE(""https://docs.google.com/spreadsheets/d/14Bd19lYaqBhU8_DElYkX7l4wRkHqqCUFNJY4AfY3kHU/edit?usp=sharing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17" s="7" t="s">
        <v>29</v>
      </c>
    </row>
    <row r="7118" spans="1:10" ht="13.2">
      <c r="A7118" s="7">
        <v>7117</v>
      </c>
      <c r="B7118" s="7">
        <v>1</v>
      </c>
      <c r="C7118" s="7" t="s">
        <v>10</v>
      </c>
      <c r="D7118" s="7">
        <v>6646</v>
      </c>
      <c r="E7118" s="7" t="s">
        <v>35</v>
      </c>
      <c r="F7118" s="8" t="str">
        <f ca="1">IFERROR(__xludf.DUMMYFUNCTION("IF
(
C7119=""фізична особа""
,
VLOOKUP(D7119,IMPORTRANGE(""https://docs.google.com/spreadsheets/d/14Bd19lYaqBhU8_DElYkX7l4wRkHqqCUFNJY4AfY3kHU/edit?usp=sharing  #gid=0"",""фіз особи new!relations_name""),6,FALSE)
,
(IF
(
C7119=""юридична особа""
,
VLOOKUP"&amp;"(D7119,IMPORTRANGE(""https://docs.google.com/spreadsheets/d/14Bd19lYaqBhU8_DElYkX7l4wRkHqqCUFNJY4AfY3kHU/edit?usp=sharing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8" s="7" t="s">
        <v>10</v>
      </c>
      <c r="H7118" s="7">
        <v>6654</v>
      </c>
      <c r="I7118" s="8" t="str">
        <f ca="1">IFERROR(__xludf.DUMMYFUNCTION("IF
(
G7119=""фізична особа""
,
VLOOKUP(H7119,IMPORTRANGE(""https://docs.google.com/spreadsheets/d/14Bd19lYaqBhU8_DElYkX7l4wRkHqqCUFNJY4AfY3kHU/edit?usp=sharing  #gid=0"",""фіз особи new!relations_name""),6,FALSE)
,
(IF
(
G7119=""юридична особа""
,
VLOOKUP"&amp;"(H7119,IMPORTRANGE(""https://docs.google.com/spreadsheets/d/14Bd19lYaqBhU8_DElYkX7l4wRkHqqCUFNJY4AfY3kHU/edit?usp=sharing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18" s="7" t="s">
        <v>35</v>
      </c>
    </row>
    <row r="7119" spans="1:10" ht="13.2">
      <c r="A7119" s="7">
        <v>7118</v>
      </c>
      <c r="B7119" s="7">
        <v>1</v>
      </c>
      <c r="C7119" s="7" t="s">
        <v>10</v>
      </c>
      <c r="D7119" s="7">
        <v>6646</v>
      </c>
      <c r="E7119" s="7" t="s">
        <v>35</v>
      </c>
      <c r="F7119" s="8" t="str">
        <f ca="1">IFERROR(__xludf.DUMMYFUNCTION("IF
(
C7120=""фізична особа""
,
VLOOKUP(D7120,IMPORTRANGE(""https://docs.google.com/spreadsheets/d/14Bd19lYaqBhU8_DElYkX7l4wRkHqqCUFNJY4AfY3kHU/edit?usp=sharing  #gid=0"",""фіз особи new!relations_name""),6,FALSE)
,
(IF
(
C7120=""юридична особа""
,
VLOOKUP"&amp;"(D7120,IMPORTRANGE(""https://docs.google.com/spreadsheets/d/14Bd19lYaqBhU8_DElYkX7l4wRkHqqCUFNJY4AfY3kHU/edit?usp=sharing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19" s="7" t="s">
        <v>10</v>
      </c>
      <c r="H7119" s="7">
        <v>6655</v>
      </c>
      <c r="I7119" s="8" t="str">
        <f ca="1">IFERROR(__xludf.DUMMYFUNCTION("IF
(
G7120=""фізична особа""
,
VLOOKUP(H7120,IMPORTRANGE(""https://docs.google.com/spreadsheets/d/14Bd19lYaqBhU8_DElYkX7l4wRkHqqCUFNJY4AfY3kHU/edit?usp=sharing  #gid=0"",""фіз особи new!relations_name""),6,FALSE)
,
(IF
(
G7120=""юридична особа""
,
VLOOKUP"&amp;"(H7120,IMPORTRANGE(""https://docs.google.com/spreadsheets/d/14Bd19lYaqBhU8_DElYkX7l4wRkHqqCUFNJY4AfY3kHU/edit?usp=sharing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19" s="7" t="s">
        <v>35</v>
      </c>
    </row>
    <row r="7120" spans="1:10" ht="13.2">
      <c r="A7120" s="7">
        <v>7119</v>
      </c>
      <c r="B7120" s="7">
        <v>1</v>
      </c>
      <c r="C7120" s="7" t="s">
        <v>10</v>
      </c>
      <c r="D7120" s="7">
        <v>6646</v>
      </c>
      <c r="E7120" s="7" t="s">
        <v>35</v>
      </c>
      <c r="F7120" s="8" t="str">
        <f ca="1">IFERROR(__xludf.DUMMYFUNCTION("IF
(
C7121=""фізична особа""
,
VLOOKUP(D7121,IMPORTRANGE(""https://docs.google.com/spreadsheets/d/14Bd19lYaqBhU8_DElYkX7l4wRkHqqCUFNJY4AfY3kHU/edit?usp=sharing  #gid=0"",""фіз особи new!relations_name""),6,FALSE)
,
(IF
(
C7121=""юридична особа""
,
VLOOKUP"&amp;"(D7121,IMPORTRANGE(""https://docs.google.com/spreadsheets/d/14Bd19lYaqBhU8_DElYkX7l4wRkHqqCUFNJY4AfY3kHU/edit?usp=sharing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20" s="7" t="s">
        <v>10</v>
      </c>
      <c r="H7120" s="7">
        <v>6651</v>
      </c>
      <c r="I7120" s="8" t="str">
        <f ca="1">IFERROR(__xludf.DUMMYFUNCTION("IF
(
G7121=""фізична особа""
,
VLOOKUP(H7121,IMPORTRANGE(""https://docs.google.com/spreadsheets/d/14Bd19lYaqBhU8_DElYkX7l4wRkHqqCUFNJY4AfY3kHU/edit?usp=sharing  #gid=0"",""фіз особи new!relations_name""),6,FALSE)
,
(IF
(
G7121=""юридична особа""
,
VLOOKUP"&amp;"(H7121,IMPORTRANGE(""https://docs.google.com/spreadsheets/d/14Bd19lYaqBhU8_DElYkX7l4wRkHqqCUFNJY4AfY3kHU/edit?usp=sharing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20" s="7" t="s">
        <v>35</v>
      </c>
    </row>
    <row r="7121" spans="1:10" ht="13.2">
      <c r="A7121" s="7">
        <v>7120</v>
      </c>
      <c r="B7121" s="7">
        <v>1</v>
      </c>
      <c r="C7121" s="7" t="s">
        <v>10</v>
      </c>
      <c r="D7121" s="7">
        <v>6646</v>
      </c>
      <c r="E7121" s="7" t="s">
        <v>28</v>
      </c>
      <c r="F7121" s="8" t="str">
        <f ca="1">IFERROR(__xludf.DUMMYFUNCTION("IF
(
C7122=""фізична особа""
,
VLOOKUP(D7122,IMPORTRANGE(""https://docs.google.com/spreadsheets/d/14Bd19lYaqBhU8_DElYkX7l4wRkHqqCUFNJY4AfY3kHU/edit?usp=sharing  #gid=0"",""фіз особи new!relations_name""),6,FALSE)
,
(IF
(
C7122=""юридична особа""
,
VLOOKUP"&amp;"(D7122,IMPORTRANGE(""https://docs.google.com/spreadsheets/d/14Bd19lYaqBhU8_DElYkX7l4wRkHqqCUFNJY4AfY3kHU/edit?usp=sharing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G7121" s="7" t="s">
        <v>10</v>
      </c>
      <c r="H7121" s="7">
        <v>6657</v>
      </c>
      <c r="I7121" s="8" t="str">
        <f ca="1">IFERROR(__xludf.DUMMYFUNCTION("IF
(
G7122=""фізична особа""
,
VLOOKUP(H7122,IMPORTRANGE(""https://docs.google.com/spreadsheets/d/14Bd19lYaqBhU8_DElYkX7l4wRkHqqCUFNJY4AfY3kHU/edit?usp=sharing  #gid=0"",""фіз особи new!relations_name""),6,FALSE)
,
(IF
(
G7122=""юридична особа""
,
VLOOKUP"&amp;"(H7122,IMPORTRANGE(""https://docs.google.com/spreadsheets/d/14Bd19lYaqBhU8_DElYkX7l4wRkHqqCUFNJY4AfY3kHU/edit?usp=sharing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21" s="7" t="s">
        <v>29</v>
      </c>
    </row>
    <row r="7122" spans="1:10" ht="13.2">
      <c r="A7122" s="7">
        <v>7121</v>
      </c>
      <c r="B7122" s="7">
        <v>1</v>
      </c>
      <c r="C7122" s="7" t="s">
        <v>10</v>
      </c>
      <c r="D7122" s="7">
        <v>6647</v>
      </c>
      <c r="E7122" s="7" t="s">
        <v>35</v>
      </c>
      <c r="F7122" s="8" t="str">
        <f ca="1">IFERROR(__xludf.DUMMYFUNCTION("IF
(
C7123=""фізична особа""
,
VLOOKUP(D7123,IMPORTRANGE(""https://docs.google.com/spreadsheets/d/14Bd19lYaqBhU8_DElYkX7l4wRkHqqCUFNJY4AfY3kHU/edit?usp=sharing  #gid=0"",""фіз особи new!relations_name""),6,FALSE)
,
(IF
(
C7123=""юридична особа""
,
VLOOKUP"&amp;"(D7123,IMPORTRANGE(""https://docs.google.com/spreadsheets/d/14Bd19lYaqBhU8_DElYkX7l4wRkHqqCUFNJY4AfY3kHU/edit?usp=sharing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2" s="7" t="s">
        <v>10</v>
      </c>
      <c r="H7122" s="7">
        <v>6650</v>
      </c>
      <c r="I7122" s="8" t="str">
        <f ca="1">IFERROR(__xludf.DUMMYFUNCTION("IF
(
G7123=""фізична особа""
,
VLOOKUP(H7123,IMPORTRANGE(""https://docs.google.com/spreadsheets/d/14Bd19lYaqBhU8_DElYkX7l4wRkHqqCUFNJY4AfY3kHU/edit?usp=sharing  #gid=0"",""фіз особи new!relations_name""),6,FALSE)
,
(IF
(
G7123=""юридична особа""
,
VLOOKUP"&amp;"(H7123,IMPORTRANGE(""https://docs.google.com/spreadsheets/d/14Bd19lYaqBhU8_DElYkX7l4wRkHqqCUFNJY4AfY3kHU/edit?usp=sharing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122" s="7" t="s">
        <v>35</v>
      </c>
    </row>
    <row r="7123" spans="1:10" ht="13.2">
      <c r="A7123" s="7">
        <v>7122</v>
      </c>
      <c r="B7123" s="7">
        <v>1</v>
      </c>
      <c r="C7123" s="7" t="s">
        <v>10</v>
      </c>
      <c r="D7123" s="7">
        <v>6647</v>
      </c>
      <c r="E7123" s="7" t="s">
        <v>35</v>
      </c>
      <c r="F7123" s="8" t="str">
        <f ca="1">IFERROR(__xludf.DUMMYFUNCTION("IF
(
C7124=""фізична особа""
,
VLOOKUP(D7124,IMPORTRANGE(""https://docs.google.com/spreadsheets/d/14Bd19lYaqBhU8_DElYkX7l4wRkHqqCUFNJY4AfY3kHU/edit?usp=sharing  #gid=0"",""фіз особи new!relations_name""),6,FALSE)
,
(IF
(
C7124=""юридична особа""
,
VLOOKUP"&amp;"(D7124,IMPORTRANGE(""https://docs.google.com/spreadsheets/d/14Bd19lYaqBhU8_DElYkX7l4wRkHqqCUFNJY4AfY3kHU/edit?usp=sharing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3" s="7" t="s">
        <v>10</v>
      </c>
      <c r="H7123" s="7">
        <v>6649</v>
      </c>
      <c r="I7123" s="8" t="str">
        <f ca="1">IFERROR(__xludf.DUMMYFUNCTION("IF
(
G7124=""фізична особа""
,
VLOOKUP(H7124,IMPORTRANGE(""https://docs.google.com/spreadsheets/d/14Bd19lYaqBhU8_DElYkX7l4wRkHqqCUFNJY4AfY3kHU/edit?usp=sharing  #gid=0"",""фіз особи new!relations_name""),6,FALSE)
,
(IF
(
G7124=""юридична особа""
,
VLOOKUP"&amp;"(H7124,IMPORTRANGE(""https://docs.google.com/spreadsheets/d/14Bd19lYaqBhU8_DElYkX7l4wRkHqqCUFNJY4AfY3kHU/edit?usp=sharing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23" s="7" t="s">
        <v>35</v>
      </c>
    </row>
    <row r="7124" spans="1:10" ht="13.2">
      <c r="A7124" s="7">
        <v>7123</v>
      </c>
      <c r="B7124" s="7">
        <v>1</v>
      </c>
      <c r="C7124" s="7" t="s">
        <v>10</v>
      </c>
      <c r="D7124" s="7">
        <v>6647</v>
      </c>
      <c r="E7124" s="7" t="s">
        <v>35</v>
      </c>
      <c r="F7124" s="8" t="str">
        <f ca="1">IFERROR(__xludf.DUMMYFUNCTION("IF
(
C7125=""фізична особа""
,
VLOOKUP(D7125,IMPORTRANGE(""https://docs.google.com/spreadsheets/d/14Bd19lYaqBhU8_DElYkX7l4wRkHqqCUFNJY4AfY3kHU/edit?usp=sharing  #gid=0"",""фіз особи new!relations_name""),6,FALSE)
,
(IF
(
C7125=""юридична особа""
,
VLOOKUP"&amp;"(D7125,IMPORTRANGE(""https://docs.google.com/spreadsheets/d/14Bd19lYaqBhU8_DElYkX7l4wRkHqqCUFNJY4AfY3kHU/edit?usp=sharing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4" s="7" t="s">
        <v>10</v>
      </c>
      <c r="H7124" s="7">
        <v>6659</v>
      </c>
      <c r="I7124" s="8" t="str">
        <f ca="1">IFERROR(__xludf.DUMMYFUNCTION("IF
(
G7125=""фізична особа""
,
VLOOKUP(H7125,IMPORTRANGE(""https://docs.google.com/spreadsheets/d/14Bd19lYaqBhU8_DElYkX7l4wRkHqqCUFNJY4AfY3kHU/edit?usp=sharing  #gid=0"",""фіз особи new!relations_name""),6,FALSE)
,
(IF
(
G7125=""юридична особа""
,
VLOOKUP"&amp;"(H7125,IMPORTRANGE(""https://docs.google.com/spreadsheets/d/14Bd19lYaqBhU8_DElYkX7l4wRkHqqCUFNJY4AfY3kHU/edit?usp=sharing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24" s="7" t="s">
        <v>35</v>
      </c>
    </row>
    <row r="7125" spans="1:10" ht="13.2">
      <c r="A7125" s="7">
        <v>7124</v>
      </c>
      <c r="B7125" s="7">
        <v>1</v>
      </c>
      <c r="C7125" s="7" t="s">
        <v>10</v>
      </c>
      <c r="D7125" s="7">
        <v>6647</v>
      </c>
      <c r="E7125" s="7" t="s">
        <v>35</v>
      </c>
      <c r="F7125" s="8" t="str">
        <f ca="1">IFERROR(__xludf.DUMMYFUNCTION("IF
(
C7126=""фізична особа""
,
VLOOKUP(D7126,IMPORTRANGE(""https://docs.google.com/spreadsheets/d/14Bd19lYaqBhU8_DElYkX7l4wRkHqqCUFNJY4AfY3kHU/edit?usp=sharing  #gid=0"",""фіз особи new!relations_name""),6,FALSE)
,
(IF
(
C7126=""юридична особа""
,
VLOOKUP"&amp;"(D7126,IMPORTRANGE(""https://docs.google.com/spreadsheets/d/14Bd19lYaqBhU8_DElYkX7l4wRkHqqCUFNJY4AfY3kHU/edit?usp=sharing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5" s="7" t="s">
        <v>10</v>
      </c>
      <c r="H7125" s="7">
        <v>6646</v>
      </c>
      <c r="I7125" s="8" t="str">
        <f ca="1">IFERROR(__xludf.DUMMYFUNCTION("IF
(
G7126=""фізична особа""
,
VLOOKUP(H7126,IMPORTRANGE(""https://docs.google.com/spreadsheets/d/14Bd19lYaqBhU8_DElYkX7l4wRkHqqCUFNJY4AfY3kHU/edit?usp=sharing  #gid=0"",""фіз особи new!relations_name""),6,FALSE)
,
(IF
(
G7126=""юридична особа""
,
VLOOKUP"&amp;"(H7126,IMPORTRANGE(""https://docs.google.com/spreadsheets/d/14Bd19lYaqBhU8_DElYkX7l4wRkHqqCUFNJY4AfY3kHU/edit?usp=sharing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25" s="7" t="s">
        <v>35</v>
      </c>
    </row>
    <row r="7126" spans="1:10" ht="13.2">
      <c r="A7126" s="7">
        <v>7125</v>
      </c>
      <c r="B7126" s="7">
        <v>1</v>
      </c>
      <c r="C7126" s="7" t="s">
        <v>10</v>
      </c>
      <c r="D7126" s="7">
        <v>6647</v>
      </c>
      <c r="E7126" s="7" t="s">
        <v>35</v>
      </c>
      <c r="F7126" s="8" t="str">
        <f ca="1">IFERROR(__xludf.DUMMYFUNCTION("IF
(
C7127=""фізична особа""
,
VLOOKUP(D7127,IMPORTRANGE(""https://docs.google.com/spreadsheets/d/14Bd19lYaqBhU8_DElYkX7l4wRkHqqCUFNJY4AfY3kHU/edit?usp=sharing  #gid=0"",""фіз особи new!relations_name""),6,FALSE)
,
(IF
(
C7127=""юридична особа""
,
VLOOKUP"&amp;"(D7127,IMPORTRANGE(""https://docs.google.com/spreadsheets/d/14Bd19lYaqBhU8_DElYkX7l4wRkHqqCUFNJY4AfY3kHU/edit?usp=sharing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6" s="7" t="s">
        <v>10</v>
      </c>
      <c r="H7126" s="7">
        <v>6648</v>
      </c>
      <c r="I7126" s="8" t="str">
        <f ca="1">IFERROR(__xludf.DUMMYFUNCTION("IF
(
G7127=""фізична особа""
,
VLOOKUP(H7127,IMPORTRANGE(""https://docs.google.com/spreadsheets/d/14Bd19lYaqBhU8_DElYkX7l4wRkHqqCUFNJY4AfY3kHU/edit?usp=sharing  #gid=0"",""фіз особи new!relations_name""),6,FALSE)
,
(IF
(
G7127=""юридична особа""
,
VLOOKUP"&amp;"(H7127,IMPORTRANGE(""https://docs.google.com/spreadsheets/d/14Bd19lYaqBhU8_DElYkX7l4wRkHqqCUFNJY4AfY3kHU/edit?usp=sharing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26" s="7" t="s">
        <v>35</v>
      </c>
    </row>
    <row r="7127" spans="1:10" ht="13.2">
      <c r="A7127" s="7">
        <v>7126</v>
      </c>
      <c r="B7127" s="7">
        <v>1</v>
      </c>
      <c r="C7127" s="7" t="s">
        <v>10</v>
      </c>
      <c r="D7127" s="7">
        <v>6647</v>
      </c>
      <c r="E7127" s="7" t="s">
        <v>35</v>
      </c>
      <c r="F7127" s="8" t="str">
        <f ca="1">IFERROR(__xludf.DUMMYFUNCTION("IF
(
C7128=""фізична особа""
,
VLOOKUP(D7128,IMPORTRANGE(""https://docs.google.com/spreadsheets/d/14Bd19lYaqBhU8_DElYkX7l4wRkHqqCUFNJY4AfY3kHU/edit?usp=sharing  #gid=0"",""фіз особи new!relations_name""),6,FALSE)
,
(IF
(
C7128=""юридична особа""
,
VLOOKUP"&amp;"(D7128,IMPORTRANGE(""https://docs.google.com/spreadsheets/d/14Bd19lYaqBhU8_DElYkX7l4wRkHqqCUFNJY4AfY3kHU/edit?usp=sharing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7" s="7" t="s">
        <v>10</v>
      </c>
      <c r="H7127" s="7">
        <v>6653</v>
      </c>
      <c r="I7127" s="8" t="str">
        <f ca="1">IFERROR(__xludf.DUMMYFUNCTION("IF
(
G7128=""фізична особа""
,
VLOOKUP(H7128,IMPORTRANGE(""https://docs.google.com/spreadsheets/d/14Bd19lYaqBhU8_DElYkX7l4wRkHqqCUFNJY4AfY3kHU/edit?usp=sharing  #gid=0"",""фіз особи new!relations_name""),6,FALSE)
,
(IF
(
G7128=""юридична особа""
,
VLOOKUP"&amp;"(H7128,IMPORTRANGE(""https://docs.google.com/spreadsheets/d/14Bd19lYaqBhU8_DElYkX7l4wRkHqqCUFNJY4AfY3kHU/edit?usp=sharing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27" s="7" t="s">
        <v>35</v>
      </c>
    </row>
    <row r="7128" spans="1:10" ht="13.2">
      <c r="A7128" s="7">
        <v>7127</v>
      </c>
      <c r="B7128" s="7">
        <v>1</v>
      </c>
      <c r="C7128" s="7" t="s">
        <v>10</v>
      </c>
      <c r="D7128" s="7">
        <v>6647</v>
      </c>
      <c r="E7128" s="7" t="s">
        <v>35</v>
      </c>
      <c r="F7128" s="8" t="str">
        <f ca="1">IFERROR(__xludf.DUMMYFUNCTION("IF
(
C7129=""фізична особа""
,
VLOOKUP(D7129,IMPORTRANGE(""https://docs.google.com/spreadsheets/d/14Bd19lYaqBhU8_DElYkX7l4wRkHqqCUFNJY4AfY3kHU/edit?usp=sharing  #gid=0"",""фіз особи new!relations_name""),6,FALSE)
,
(IF
(
C7129=""юридична особа""
,
VLOOKUP"&amp;"(D7129,IMPORTRANGE(""https://docs.google.com/spreadsheets/d/14Bd19lYaqBhU8_DElYkX7l4wRkHqqCUFNJY4AfY3kHU/edit?usp=sharing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8" s="7" t="s">
        <v>10</v>
      </c>
      <c r="H7128" s="7">
        <v>6656</v>
      </c>
      <c r="I7128" s="8" t="str">
        <f ca="1">IFERROR(__xludf.DUMMYFUNCTION("IF
(
G7129=""фізична особа""
,
VLOOKUP(H7129,IMPORTRANGE(""https://docs.google.com/spreadsheets/d/14Bd19lYaqBhU8_DElYkX7l4wRkHqqCUFNJY4AfY3kHU/edit?usp=sharing  #gid=0"",""фіз особи new!relations_name""),6,FALSE)
,
(IF
(
G7129=""юридична особа""
,
VLOOKUP"&amp;"(H7129,IMPORTRANGE(""https://docs.google.com/spreadsheets/d/14Bd19lYaqBhU8_DElYkX7l4wRkHqqCUFNJY4AfY3kHU/edit?usp=sharing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28" s="7" t="s">
        <v>35</v>
      </c>
    </row>
    <row r="7129" spans="1:10" ht="13.2">
      <c r="A7129" s="7">
        <v>7128</v>
      </c>
      <c r="B7129" s="7">
        <v>1</v>
      </c>
      <c r="C7129" s="7" t="s">
        <v>10</v>
      </c>
      <c r="D7129" s="7">
        <v>6647</v>
      </c>
      <c r="E7129" s="7" t="s">
        <v>35</v>
      </c>
      <c r="F7129" s="8" t="str">
        <f ca="1">IFERROR(__xludf.DUMMYFUNCTION("IF
(
C7130=""фізична особа""
,
VLOOKUP(D7130,IMPORTRANGE(""https://docs.google.com/spreadsheets/d/14Bd19lYaqBhU8_DElYkX7l4wRkHqqCUFNJY4AfY3kHU/edit?usp=sharing  #gid=0"",""фіз особи new!relations_name""),6,FALSE)
,
(IF
(
C7130=""юридична особа""
,
VLOOKUP"&amp;"(D7130,IMPORTRANGE(""https://docs.google.com/spreadsheets/d/14Bd19lYaqBhU8_DElYkX7l4wRkHqqCUFNJY4AfY3kHU/edit?usp=sharing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29" s="7" t="s">
        <v>10</v>
      </c>
      <c r="H7129" s="7">
        <v>6658</v>
      </c>
      <c r="I7129" s="8" t="str">
        <f ca="1">IFERROR(__xludf.DUMMYFUNCTION("IF
(
G7130=""фізична особа""
,
VLOOKUP(H7130,IMPORTRANGE(""https://docs.google.com/spreadsheets/d/14Bd19lYaqBhU8_DElYkX7l4wRkHqqCUFNJY4AfY3kHU/edit?usp=sharing  #gid=0"",""фіз особи new!relations_name""),6,FALSE)
,
(IF
(
G7130=""юридична особа""
,
VLOOKUP"&amp;"(H7130,IMPORTRANGE(""https://docs.google.com/spreadsheets/d/14Bd19lYaqBhU8_DElYkX7l4wRkHqqCUFNJY4AfY3kHU/edit?usp=sharing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29" s="7" t="s">
        <v>35</v>
      </c>
    </row>
    <row r="7130" spans="1:10" ht="13.2">
      <c r="A7130" s="7">
        <v>7129</v>
      </c>
      <c r="B7130" s="7">
        <v>1</v>
      </c>
      <c r="C7130" s="7" t="s">
        <v>10</v>
      </c>
      <c r="D7130" s="7">
        <v>6647</v>
      </c>
      <c r="E7130" s="7" t="s">
        <v>35</v>
      </c>
      <c r="F7130" s="8" t="str">
        <f ca="1">IFERROR(__xludf.DUMMYFUNCTION("IF
(
C7131=""фізична особа""
,
VLOOKUP(D7131,IMPORTRANGE(""https://docs.google.com/spreadsheets/d/14Bd19lYaqBhU8_DElYkX7l4wRkHqqCUFNJY4AfY3kHU/edit?usp=sharing  #gid=0"",""фіз особи new!relations_name""),6,FALSE)
,
(IF
(
C7131=""юридична особа""
,
VLOOKUP"&amp;"(D7131,IMPORTRANGE(""https://docs.google.com/spreadsheets/d/14Bd19lYaqBhU8_DElYkX7l4wRkHqqCUFNJY4AfY3kHU/edit?usp=sharing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0" s="7" t="s">
        <v>10</v>
      </c>
      <c r="H7130" s="7">
        <v>6652</v>
      </c>
      <c r="I7130" s="8" t="str">
        <f ca="1">IFERROR(__xludf.DUMMYFUNCTION("IF
(
G7131=""фізична особа""
,
VLOOKUP(H7131,IMPORTRANGE(""https://docs.google.com/spreadsheets/d/14Bd19lYaqBhU8_DElYkX7l4wRkHqqCUFNJY4AfY3kHU/edit?usp=sharing  #gid=0"",""фіз особи new!relations_name""),6,FALSE)
,
(IF
(
G7131=""юридична особа""
,
VLOOKUP"&amp;"(H7131,IMPORTRANGE(""https://docs.google.com/spreadsheets/d/14Bd19lYaqBhU8_DElYkX7l4wRkHqqCUFNJY4AfY3kHU/edit?usp=sharing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30" s="7" t="s">
        <v>35</v>
      </c>
    </row>
    <row r="7131" spans="1:10" ht="13.2">
      <c r="A7131" s="7">
        <v>7130</v>
      </c>
      <c r="B7131" s="7">
        <v>1</v>
      </c>
      <c r="C7131" s="7" t="s">
        <v>10</v>
      </c>
      <c r="D7131" s="7">
        <v>6647</v>
      </c>
      <c r="E7131" s="7" t="s">
        <v>28</v>
      </c>
      <c r="F7131" s="8" t="str">
        <f ca="1">IFERROR(__xludf.DUMMYFUNCTION("IF
(
C7132=""фізична особа""
,
VLOOKUP(D7132,IMPORTRANGE(""https://docs.google.com/spreadsheets/d/14Bd19lYaqBhU8_DElYkX7l4wRkHqqCUFNJY4AfY3kHU/edit?usp=sharing  #gid=0"",""фіз особи new!relations_name""),6,FALSE)
,
(IF
(
C7132=""юридична особа""
,
VLOOKUP"&amp;"(D7132,IMPORTRANGE(""https://docs.google.com/spreadsheets/d/14Bd19lYaqBhU8_DElYkX7l4wRkHqqCUFNJY4AfY3kHU/edit?usp=sharing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1" s="7" t="s">
        <v>10</v>
      </c>
      <c r="H7131" s="7">
        <v>6645</v>
      </c>
      <c r="I7131" s="8" t="str">
        <f ca="1">IFERROR(__xludf.DUMMYFUNCTION("IF
(
G7132=""фізична особа""
,
VLOOKUP(H7132,IMPORTRANGE(""https://docs.google.com/spreadsheets/d/14Bd19lYaqBhU8_DElYkX7l4wRkHqqCUFNJY4AfY3kHU/edit?usp=sharing  #gid=0"",""фіз особи new!relations_name""),6,FALSE)
,
(IF
(
G7132=""юридична особа""
,
VLOOKUP"&amp;"(H7132,IMPORTRANGE(""https://docs.google.com/spreadsheets/d/14Bd19lYaqBhU8_DElYkX7l4wRkHqqCUFNJY4AfY3kHU/edit?usp=sharing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31" s="7" t="s">
        <v>29</v>
      </c>
    </row>
    <row r="7132" spans="1:10" ht="13.2">
      <c r="A7132" s="7">
        <v>7131</v>
      </c>
      <c r="B7132" s="7">
        <v>1</v>
      </c>
      <c r="C7132" s="7" t="s">
        <v>10</v>
      </c>
      <c r="D7132" s="7">
        <v>6647</v>
      </c>
      <c r="E7132" s="7" t="s">
        <v>35</v>
      </c>
      <c r="F7132" s="8" t="str">
        <f ca="1">IFERROR(__xludf.DUMMYFUNCTION("IF
(
C7133=""фізична особа""
,
VLOOKUP(D7133,IMPORTRANGE(""https://docs.google.com/spreadsheets/d/14Bd19lYaqBhU8_DElYkX7l4wRkHqqCUFNJY4AfY3kHU/edit?usp=sharing  #gid=0"",""фіз особи new!relations_name""),6,FALSE)
,
(IF
(
C7133=""юридична особа""
,
VLOOKUP"&amp;"(D7133,IMPORTRANGE(""https://docs.google.com/spreadsheets/d/14Bd19lYaqBhU8_DElYkX7l4wRkHqqCUFNJY4AfY3kHU/edit?usp=sharing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2" s="7" t="s">
        <v>10</v>
      </c>
      <c r="H7132" s="7">
        <v>6654</v>
      </c>
      <c r="I7132" s="8" t="str">
        <f ca="1">IFERROR(__xludf.DUMMYFUNCTION("IF
(
G7133=""фізична особа""
,
VLOOKUP(H7133,IMPORTRANGE(""https://docs.google.com/spreadsheets/d/14Bd19lYaqBhU8_DElYkX7l4wRkHqqCUFNJY4AfY3kHU/edit?usp=sharing  #gid=0"",""фіз особи new!relations_name""),6,FALSE)
,
(IF
(
G7133=""юридична особа""
,
VLOOKUP"&amp;"(H7133,IMPORTRANGE(""https://docs.google.com/spreadsheets/d/14Bd19lYaqBhU8_DElYkX7l4wRkHqqCUFNJY4AfY3kHU/edit?usp=sharing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32" s="7" t="s">
        <v>35</v>
      </c>
    </row>
    <row r="7133" spans="1:10" ht="13.2">
      <c r="A7133" s="7">
        <v>7132</v>
      </c>
      <c r="B7133" s="7">
        <v>1</v>
      </c>
      <c r="C7133" s="7" t="s">
        <v>10</v>
      </c>
      <c r="D7133" s="7">
        <v>6647</v>
      </c>
      <c r="E7133" s="7" t="s">
        <v>35</v>
      </c>
      <c r="F7133" s="8" t="str">
        <f ca="1">IFERROR(__xludf.DUMMYFUNCTION("IF
(
C7134=""фізична особа""
,
VLOOKUP(D7134,IMPORTRANGE(""https://docs.google.com/spreadsheets/d/14Bd19lYaqBhU8_DElYkX7l4wRkHqqCUFNJY4AfY3kHU/edit?usp=sharing  #gid=0"",""фіз особи new!relations_name""),6,FALSE)
,
(IF
(
C7134=""юридична особа""
,
VLOOKUP"&amp;"(D7134,IMPORTRANGE(""https://docs.google.com/spreadsheets/d/14Bd19lYaqBhU8_DElYkX7l4wRkHqqCUFNJY4AfY3kHU/edit?usp=sharing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3" s="7" t="s">
        <v>10</v>
      </c>
      <c r="H7133" s="7">
        <v>6655</v>
      </c>
      <c r="I7133" s="8" t="str">
        <f ca="1">IFERROR(__xludf.DUMMYFUNCTION("IF
(
G7134=""фізична особа""
,
VLOOKUP(H7134,IMPORTRANGE(""https://docs.google.com/spreadsheets/d/14Bd19lYaqBhU8_DElYkX7l4wRkHqqCUFNJY4AfY3kHU/edit?usp=sharing  #gid=0"",""фіз особи new!relations_name""),6,FALSE)
,
(IF
(
G7134=""юридична особа""
,
VLOOKUP"&amp;"(H7134,IMPORTRANGE(""https://docs.google.com/spreadsheets/d/14Bd19lYaqBhU8_DElYkX7l4wRkHqqCUFNJY4AfY3kHU/edit?usp=sharing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33" s="7" t="s">
        <v>35</v>
      </c>
    </row>
    <row r="7134" spans="1:10" ht="13.2">
      <c r="A7134" s="7">
        <v>7133</v>
      </c>
      <c r="B7134" s="7">
        <v>1</v>
      </c>
      <c r="C7134" s="7" t="s">
        <v>10</v>
      </c>
      <c r="D7134" s="7">
        <v>6647</v>
      </c>
      <c r="E7134" s="7" t="s">
        <v>35</v>
      </c>
      <c r="F7134" s="8" t="str">
        <f ca="1">IFERROR(__xludf.DUMMYFUNCTION("IF
(
C7135=""фізична особа""
,
VLOOKUP(D7135,IMPORTRANGE(""https://docs.google.com/spreadsheets/d/14Bd19lYaqBhU8_DElYkX7l4wRkHqqCUFNJY4AfY3kHU/edit?usp=sharing  #gid=0"",""фіз особи new!relations_name""),6,FALSE)
,
(IF
(
C7135=""юридична особа""
,
VLOOKUP"&amp;"(D7135,IMPORTRANGE(""https://docs.google.com/spreadsheets/d/14Bd19lYaqBhU8_DElYkX7l4wRkHqqCUFNJY4AfY3kHU/edit?usp=sharing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4" s="7" t="s">
        <v>10</v>
      </c>
      <c r="H7134" s="7">
        <v>6651</v>
      </c>
      <c r="I7134" s="8" t="str">
        <f ca="1">IFERROR(__xludf.DUMMYFUNCTION("IF
(
G7135=""фізична особа""
,
VLOOKUP(H7135,IMPORTRANGE(""https://docs.google.com/spreadsheets/d/14Bd19lYaqBhU8_DElYkX7l4wRkHqqCUFNJY4AfY3kHU/edit?usp=sharing  #gid=0"",""фіз особи new!relations_name""),6,FALSE)
,
(IF
(
G7135=""юридична особа""
,
VLOOKUP"&amp;"(H7135,IMPORTRANGE(""https://docs.google.com/spreadsheets/d/14Bd19lYaqBhU8_DElYkX7l4wRkHqqCUFNJY4AfY3kHU/edit?usp=sharing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34" s="7" t="s">
        <v>35</v>
      </c>
    </row>
    <row r="7135" spans="1:10" ht="13.2">
      <c r="A7135" s="7">
        <v>7134</v>
      </c>
      <c r="B7135" s="7">
        <v>1</v>
      </c>
      <c r="C7135" s="7" t="s">
        <v>10</v>
      </c>
      <c r="D7135" s="7">
        <v>6647</v>
      </c>
      <c r="E7135" s="7" t="s">
        <v>28</v>
      </c>
      <c r="F7135" s="8" t="str">
        <f ca="1">IFERROR(__xludf.DUMMYFUNCTION("IF
(
C7136=""фізична особа""
,
VLOOKUP(D7136,IMPORTRANGE(""https://docs.google.com/spreadsheets/d/14Bd19lYaqBhU8_DElYkX7l4wRkHqqCUFNJY4AfY3kHU/edit?usp=sharing  #gid=0"",""фіз особи new!relations_name""),6,FALSE)
,
(IF
(
C7136=""юридична особа""
,
VLOOKUP"&amp;"(D7136,IMPORTRANGE(""https://docs.google.com/spreadsheets/d/14Bd19lYaqBhU8_DElYkX7l4wRkHqqCUFNJY4AfY3kHU/edit?usp=sharing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G7135" s="7" t="s">
        <v>10</v>
      </c>
      <c r="H7135" s="7">
        <v>6657</v>
      </c>
      <c r="I7135" s="8" t="str">
        <f ca="1">IFERROR(__xludf.DUMMYFUNCTION("IF
(
G7136=""фізична особа""
,
VLOOKUP(H7136,IMPORTRANGE(""https://docs.google.com/spreadsheets/d/14Bd19lYaqBhU8_DElYkX7l4wRkHqqCUFNJY4AfY3kHU/edit?usp=sharing  #gid=0"",""фіз особи new!relations_name""),6,FALSE)
,
(IF
(
G7136=""юридична особа""
,
VLOOKUP"&amp;"(H7136,IMPORTRANGE(""https://docs.google.com/spreadsheets/d/14Bd19lYaqBhU8_DElYkX7l4wRkHqqCUFNJY4AfY3kHU/edit?usp=sharing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35" s="7" t="s">
        <v>29</v>
      </c>
    </row>
    <row r="7136" spans="1:10" ht="13.2">
      <c r="A7136" s="7">
        <v>7135</v>
      </c>
      <c r="B7136" s="7">
        <v>1</v>
      </c>
      <c r="C7136" s="7" t="s">
        <v>10</v>
      </c>
      <c r="D7136" s="7">
        <v>6648</v>
      </c>
      <c r="E7136" s="7" t="s">
        <v>35</v>
      </c>
      <c r="F7136" s="8" t="str">
        <f ca="1">IFERROR(__xludf.DUMMYFUNCTION("IF
(
C7137=""фізична особа""
,
VLOOKUP(D7137,IMPORTRANGE(""https://docs.google.com/spreadsheets/d/14Bd19lYaqBhU8_DElYkX7l4wRkHqqCUFNJY4AfY3kHU/edit?usp=sharing  #gid=0"",""фіз особи new!relations_name""),6,FALSE)
,
(IF
(
C7137=""юридична особа""
,
VLOOKUP"&amp;"(D7137,IMPORTRANGE(""https://docs.google.com/spreadsheets/d/14Bd19lYaqBhU8_DElYkX7l4wRkHqqCUFNJY4AfY3kHU/edit?usp=sharing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36" s="7" t="s">
        <v>10</v>
      </c>
      <c r="H7136" s="7">
        <v>6650</v>
      </c>
      <c r="I7136" s="8" t="str">
        <f ca="1">IFERROR(__xludf.DUMMYFUNCTION("IF
(
G7137=""фізична особа""
,
VLOOKUP(H7137,IMPORTRANGE(""https://docs.google.com/spreadsheets/d/14Bd19lYaqBhU8_DElYkX7l4wRkHqqCUFNJY4AfY3kHU/edit?usp=sharing  #gid=0"",""фіз особи new!relations_name""),6,FALSE)
,
(IF
(
G7137=""юридична особа""
,
VLOOKUP"&amp;"(H7137,IMPORTRANGE(""https://docs.google.com/spreadsheets/d/14Bd19lYaqBhU8_DElYkX7l4wRkHqqCUFNJY4AfY3kHU/edit?usp=sharing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136" s="7" t="s">
        <v>35</v>
      </c>
    </row>
    <row r="7137" spans="1:10" ht="13.2">
      <c r="A7137" s="7">
        <v>7136</v>
      </c>
      <c r="B7137" s="7">
        <v>1</v>
      </c>
      <c r="C7137" s="7" t="s">
        <v>10</v>
      </c>
      <c r="D7137" s="7">
        <v>6648</v>
      </c>
      <c r="E7137" s="7" t="s">
        <v>35</v>
      </c>
      <c r="F7137" s="8" t="str">
        <f ca="1">IFERROR(__xludf.DUMMYFUNCTION("IF
(
C7138=""фізична особа""
,
VLOOKUP(D7138,IMPORTRANGE(""https://docs.google.com/spreadsheets/d/14Bd19lYaqBhU8_DElYkX7l4wRkHqqCUFNJY4AfY3kHU/edit?usp=sharing  #gid=0"",""фіз особи new!relations_name""),6,FALSE)
,
(IF
(
C7138=""юридична особа""
,
VLOOKUP"&amp;"(D7138,IMPORTRANGE(""https://docs.google.com/spreadsheets/d/14Bd19lYaqBhU8_DElYkX7l4wRkHqqCUFNJY4AfY3kHU/edit?usp=sharing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37" s="7" t="s">
        <v>10</v>
      </c>
      <c r="H7137" s="7">
        <v>6649</v>
      </c>
      <c r="I7137" s="8" t="str">
        <f ca="1">IFERROR(__xludf.DUMMYFUNCTION("IF
(
G7138=""фізична особа""
,
VLOOKUP(H7138,IMPORTRANGE(""https://docs.google.com/spreadsheets/d/14Bd19lYaqBhU8_DElYkX7l4wRkHqqCUFNJY4AfY3kHU/edit?usp=sharing  #gid=0"",""фіз особи new!relations_name""),6,FALSE)
,
(IF
(
G7138=""юридична особа""
,
VLOOKUP"&amp;"(H7138,IMPORTRANGE(""https://docs.google.com/spreadsheets/d/14Bd19lYaqBhU8_DElYkX7l4wRkHqqCUFNJY4AfY3kHU/edit?usp=sharing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37" s="7" t="s">
        <v>35</v>
      </c>
    </row>
    <row r="7138" spans="1:10" ht="13.2">
      <c r="A7138" s="7">
        <v>7137</v>
      </c>
      <c r="B7138" s="7">
        <v>1</v>
      </c>
      <c r="C7138" s="7" t="s">
        <v>10</v>
      </c>
      <c r="D7138" s="7">
        <v>6648</v>
      </c>
      <c r="E7138" s="7" t="s">
        <v>35</v>
      </c>
      <c r="F7138" s="8" t="str">
        <f ca="1">IFERROR(__xludf.DUMMYFUNCTION("IF
(
C7139=""фізична особа""
,
VLOOKUP(D7139,IMPORTRANGE(""https://docs.google.com/spreadsheets/d/14Bd19lYaqBhU8_DElYkX7l4wRkHqqCUFNJY4AfY3kHU/edit?usp=sharing  #gid=0"",""фіз особи new!relations_name""),6,FALSE)
,
(IF
(
C7139=""юридична особа""
,
VLOOKUP"&amp;"(D7139,IMPORTRANGE(""https://docs.google.com/spreadsheets/d/14Bd19lYaqBhU8_DElYkX7l4wRkHqqCUFNJY4AfY3kHU/edit?usp=sharing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38" s="7" t="s">
        <v>10</v>
      </c>
      <c r="H7138" s="7">
        <v>6659</v>
      </c>
      <c r="I7138" s="8" t="str">
        <f ca="1">IFERROR(__xludf.DUMMYFUNCTION("IF
(
G7139=""фізична особа""
,
VLOOKUP(H7139,IMPORTRANGE(""https://docs.google.com/spreadsheets/d/14Bd19lYaqBhU8_DElYkX7l4wRkHqqCUFNJY4AfY3kHU/edit?usp=sharing  #gid=0"",""фіз особи new!relations_name""),6,FALSE)
,
(IF
(
G7139=""юридична особа""
,
VLOOKUP"&amp;"(H7139,IMPORTRANGE(""https://docs.google.com/spreadsheets/d/14Bd19lYaqBhU8_DElYkX7l4wRkHqqCUFNJY4AfY3kHU/edit?usp=sharing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38" s="7" t="s">
        <v>35</v>
      </c>
    </row>
    <row r="7139" spans="1:10" ht="13.2">
      <c r="A7139" s="7">
        <v>7138</v>
      </c>
      <c r="B7139" s="7">
        <v>1</v>
      </c>
      <c r="C7139" s="7" t="s">
        <v>10</v>
      </c>
      <c r="D7139" s="7">
        <v>6648</v>
      </c>
      <c r="E7139" s="7" t="s">
        <v>35</v>
      </c>
      <c r="F7139" s="8" t="str">
        <f ca="1">IFERROR(__xludf.DUMMYFUNCTION("IF
(
C7140=""фізична особа""
,
VLOOKUP(D7140,IMPORTRANGE(""https://docs.google.com/spreadsheets/d/14Bd19lYaqBhU8_DElYkX7l4wRkHqqCUFNJY4AfY3kHU/edit?usp=sharing  #gid=0"",""фіз особи new!relations_name""),6,FALSE)
,
(IF
(
C7140=""юридична особа""
,
VLOOKUP"&amp;"(D7140,IMPORTRANGE(""https://docs.google.com/spreadsheets/d/14Bd19lYaqBhU8_DElYkX7l4wRkHqqCUFNJY4AfY3kHU/edit?usp=sharing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39" s="7" t="s">
        <v>10</v>
      </c>
      <c r="H7139" s="7">
        <v>6646</v>
      </c>
      <c r="I7139" s="8" t="str">
        <f ca="1">IFERROR(__xludf.DUMMYFUNCTION("IF
(
G7140=""фізична особа""
,
VLOOKUP(H7140,IMPORTRANGE(""https://docs.google.com/spreadsheets/d/14Bd19lYaqBhU8_DElYkX7l4wRkHqqCUFNJY4AfY3kHU/edit?usp=sharing  #gid=0"",""фіз особи new!relations_name""),6,FALSE)
,
(IF
(
G7140=""юридична особа""
,
VLOOKUP"&amp;"(H7140,IMPORTRANGE(""https://docs.google.com/spreadsheets/d/14Bd19lYaqBhU8_DElYkX7l4wRkHqqCUFNJY4AfY3kHU/edit?usp=sharing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39" s="7" t="s">
        <v>35</v>
      </c>
    </row>
    <row r="7140" spans="1:10" ht="13.2">
      <c r="A7140" s="7">
        <v>7139</v>
      </c>
      <c r="B7140" s="7">
        <v>1</v>
      </c>
      <c r="C7140" s="7" t="s">
        <v>10</v>
      </c>
      <c r="D7140" s="7">
        <v>6648</v>
      </c>
      <c r="E7140" s="7" t="s">
        <v>35</v>
      </c>
      <c r="F7140" s="8" t="str">
        <f ca="1">IFERROR(__xludf.DUMMYFUNCTION("IF
(
C7141=""фізична особа""
,
VLOOKUP(D7141,IMPORTRANGE(""https://docs.google.com/spreadsheets/d/14Bd19lYaqBhU8_DElYkX7l4wRkHqqCUFNJY4AfY3kHU/edit?usp=sharing  #gid=0"",""фіз особи new!relations_name""),6,FALSE)
,
(IF
(
C7141=""юридична особа""
,
VLOOKUP"&amp;"(D7141,IMPORTRANGE(""https://docs.google.com/spreadsheets/d/14Bd19lYaqBhU8_DElYkX7l4wRkHqqCUFNJY4AfY3kHU/edit?usp=sharing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0" s="7" t="s">
        <v>10</v>
      </c>
      <c r="H7140" s="7">
        <v>6647</v>
      </c>
      <c r="I7140" s="8" t="str">
        <f ca="1">IFERROR(__xludf.DUMMYFUNCTION("IF
(
G7141=""фізична особа""
,
VLOOKUP(H7141,IMPORTRANGE(""https://docs.google.com/spreadsheets/d/14Bd19lYaqBhU8_DElYkX7l4wRkHqqCUFNJY4AfY3kHU/edit?usp=sharing  #gid=0"",""фіз особи new!relations_name""),6,FALSE)
,
(IF
(
G7141=""юридична особа""
,
VLOOKUP"&amp;"(H7141,IMPORTRANGE(""https://docs.google.com/spreadsheets/d/14Bd19lYaqBhU8_DElYkX7l4wRkHqqCUFNJY4AfY3kHU/edit?usp=sharing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40" s="7" t="s">
        <v>35</v>
      </c>
    </row>
    <row r="7141" spans="1:10" ht="13.2">
      <c r="A7141" s="7">
        <v>7140</v>
      </c>
      <c r="B7141" s="7">
        <v>1</v>
      </c>
      <c r="C7141" s="7" t="s">
        <v>10</v>
      </c>
      <c r="D7141" s="7">
        <v>6648</v>
      </c>
      <c r="E7141" s="7" t="s">
        <v>35</v>
      </c>
      <c r="F7141" s="8" t="str">
        <f ca="1">IFERROR(__xludf.DUMMYFUNCTION("IF
(
C7142=""фізична особа""
,
VLOOKUP(D7142,IMPORTRANGE(""https://docs.google.com/spreadsheets/d/14Bd19lYaqBhU8_DElYkX7l4wRkHqqCUFNJY4AfY3kHU/edit?usp=sharing  #gid=0"",""фіз особи new!relations_name""),6,FALSE)
,
(IF
(
C7142=""юридична особа""
,
VLOOKUP"&amp;"(D7142,IMPORTRANGE(""https://docs.google.com/spreadsheets/d/14Bd19lYaqBhU8_DElYkX7l4wRkHqqCUFNJY4AfY3kHU/edit?usp=sharing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1" s="7" t="s">
        <v>10</v>
      </c>
      <c r="H7141" s="7">
        <v>6653</v>
      </c>
      <c r="I7141" s="8" t="str">
        <f ca="1">IFERROR(__xludf.DUMMYFUNCTION("IF
(
G7142=""фізична особа""
,
VLOOKUP(H7142,IMPORTRANGE(""https://docs.google.com/spreadsheets/d/14Bd19lYaqBhU8_DElYkX7l4wRkHqqCUFNJY4AfY3kHU/edit?usp=sharing  #gid=0"",""фіз особи new!relations_name""),6,FALSE)
,
(IF
(
G7142=""юридична особа""
,
VLOOKUP"&amp;"(H7142,IMPORTRANGE(""https://docs.google.com/spreadsheets/d/14Bd19lYaqBhU8_DElYkX7l4wRkHqqCUFNJY4AfY3kHU/edit?usp=sharing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41" s="7" t="s">
        <v>35</v>
      </c>
    </row>
    <row r="7142" spans="1:10" ht="13.2">
      <c r="A7142" s="7">
        <v>7141</v>
      </c>
      <c r="B7142" s="7">
        <v>1</v>
      </c>
      <c r="C7142" s="7" t="s">
        <v>10</v>
      </c>
      <c r="D7142" s="7">
        <v>6648</v>
      </c>
      <c r="E7142" s="7" t="s">
        <v>35</v>
      </c>
      <c r="F7142" s="8" t="str">
        <f ca="1">IFERROR(__xludf.DUMMYFUNCTION("IF
(
C7143=""фізична особа""
,
VLOOKUP(D7143,IMPORTRANGE(""https://docs.google.com/spreadsheets/d/14Bd19lYaqBhU8_DElYkX7l4wRkHqqCUFNJY4AfY3kHU/edit?usp=sharing  #gid=0"",""фіз особи new!relations_name""),6,FALSE)
,
(IF
(
C7143=""юридична особа""
,
VLOOKUP"&amp;"(D7143,IMPORTRANGE(""https://docs.google.com/spreadsheets/d/14Bd19lYaqBhU8_DElYkX7l4wRkHqqCUFNJY4AfY3kHU/edit?usp=sharing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2" s="7" t="s">
        <v>10</v>
      </c>
      <c r="H7142" s="7">
        <v>6656</v>
      </c>
      <c r="I7142" s="8" t="str">
        <f ca="1">IFERROR(__xludf.DUMMYFUNCTION("IF
(
G7143=""фізична особа""
,
VLOOKUP(H7143,IMPORTRANGE(""https://docs.google.com/spreadsheets/d/14Bd19lYaqBhU8_DElYkX7l4wRkHqqCUFNJY4AfY3kHU/edit?usp=sharing  #gid=0"",""фіз особи new!relations_name""),6,FALSE)
,
(IF
(
G7143=""юридична особа""
,
VLOOKUP"&amp;"(H7143,IMPORTRANGE(""https://docs.google.com/spreadsheets/d/14Bd19lYaqBhU8_DElYkX7l4wRkHqqCUFNJY4AfY3kHU/edit?usp=sharing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42" s="7" t="s">
        <v>35</v>
      </c>
    </row>
    <row r="7143" spans="1:10" ht="13.2">
      <c r="A7143" s="7">
        <v>7142</v>
      </c>
      <c r="B7143" s="7">
        <v>1</v>
      </c>
      <c r="C7143" s="7" t="s">
        <v>10</v>
      </c>
      <c r="D7143" s="7">
        <v>6648</v>
      </c>
      <c r="E7143" s="7" t="s">
        <v>35</v>
      </c>
      <c r="F7143" s="8" t="str">
        <f ca="1">IFERROR(__xludf.DUMMYFUNCTION("IF
(
C7144=""фізична особа""
,
VLOOKUP(D7144,IMPORTRANGE(""https://docs.google.com/spreadsheets/d/14Bd19lYaqBhU8_DElYkX7l4wRkHqqCUFNJY4AfY3kHU/edit?usp=sharing  #gid=0"",""фіз особи new!relations_name""),6,FALSE)
,
(IF
(
C7144=""юридична особа""
,
VLOOKUP"&amp;"(D7144,IMPORTRANGE(""https://docs.google.com/spreadsheets/d/14Bd19lYaqBhU8_DElYkX7l4wRkHqqCUFNJY4AfY3kHU/edit?usp=sharing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3" s="7" t="s">
        <v>10</v>
      </c>
      <c r="H7143" s="7">
        <v>6658</v>
      </c>
      <c r="I7143" s="8" t="str">
        <f ca="1">IFERROR(__xludf.DUMMYFUNCTION("IF
(
G7144=""фізична особа""
,
VLOOKUP(H7144,IMPORTRANGE(""https://docs.google.com/spreadsheets/d/14Bd19lYaqBhU8_DElYkX7l4wRkHqqCUFNJY4AfY3kHU/edit?usp=sharing  #gid=0"",""фіз особи new!relations_name""),6,FALSE)
,
(IF
(
G7144=""юридична особа""
,
VLOOKUP"&amp;"(H7144,IMPORTRANGE(""https://docs.google.com/spreadsheets/d/14Bd19lYaqBhU8_DElYkX7l4wRkHqqCUFNJY4AfY3kHU/edit?usp=sharing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43" s="7" t="s">
        <v>35</v>
      </c>
    </row>
    <row r="7144" spans="1:10" ht="13.2">
      <c r="A7144" s="7">
        <v>7143</v>
      </c>
      <c r="B7144" s="7">
        <v>1</v>
      </c>
      <c r="C7144" s="7" t="s">
        <v>10</v>
      </c>
      <c r="D7144" s="7">
        <v>6648</v>
      </c>
      <c r="E7144" s="7" t="s">
        <v>35</v>
      </c>
      <c r="F7144" s="8" t="str">
        <f ca="1">IFERROR(__xludf.DUMMYFUNCTION("IF
(
C7145=""фізична особа""
,
VLOOKUP(D7145,IMPORTRANGE(""https://docs.google.com/spreadsheets/d/14Bd19lYaqBhU8_DElYkX7l4wRkHqqCUFNJY4AfY3kHU/edit?usp=sharing  #gid=0"",""фіз особи new!relations_name""),6,FALSE)
,
(IF
(
C7145=""юридична особа""
,
VLOOKUP"&amp;"(D7145,IMPORTRANGE(""https://docs.google.com/spreadsheets/d/14Bd19lYaqBhU8_DElYkX7l4wRkHqqCUFNJY4AfY3kHU/edit?usp=sharing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4" s="7" t="s">
        <v>10</v>
      </c>
      <c r="H7144" s="7">
        <v>6652</v>
      </c>
      <c r="I7144" s="8" t="str">
        <f ca="1">IFERROR(__xludf.DUMMYFUNCTION("IF
(
G7145=""фізична особа""
,
VLOOKUP(H7145,IMPORTRANGE(""https://docs.google.com/spreadsheets/d/14Bd19lYaqBhU8_DElYkX7l4wRkHqqCUFNJY4AfY3kHU/edit?usp=sharing  #gid=0"",""фіз особи new!relations_name""),6,FALSE)
,
(IF
(
G7145=""юридична особа""
,
VLOOKUP"&amp;"(H7145,IMPORTRANGE(""https://docs.google.com/spreadsheets/d/14Bd19lYaqBhU8_DElYkX7l4wRkHqqCUFNJY4AfY3kHU/edit?usp=sharing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44" s="7" t="s">
        <v>35</v>
      </c>
    </row>
    <row r="7145" spans="1:10" ht="13.2">
      <c r="A7145" s="7">
        <v>7144</v>
      </c>
      <c r="B7145" s="7">
        <v>1</v>
      </c>
      <c r="C7145" s="7" t="s">
        <v>10</v>
      </c>
      <c r="D7145" s="7">
        <v>6648</v>
      </c>
      <c r="E7145" s="7" t="s">
        <v>28</v>
      </c>
      <c r="F7145" s="8" t="str">
        <f ca="1">IFERROR(__xludf.DUMMYFUNCTION("IF
(
C7146=""фізична особа""
,
VLOOKUP(D7146,IMPORTRANGE(""https://docs.google.com/spreadsheets/d/14Bd19lYaqBhU8_DElYkX7l4wRkHqqCUFNJY4AfY3kHU/edit?usp=sharing  #gid=0"",""фіз особи new!relations_name""),6,FALSE)
,
(IF
(
C7146=""юридична особа""
,
VLOOKUP"&amp;"(D7146,IMPORTRANGE(""https://docs.google.com/spreadsheets/d/14Bd19lYaqBhU8_DElYkX7l4wRkHqqCUFNJY4AfY3kHU/edit?usp=sharing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5" s="7" t="s">
        <v>10</v>
      </c>
      <c r="H7145" s="7">
        <v>6645</v>
      </c>
      <c r="I7145" s="8" t="str">
        <f ca="1">IFERROR(__xludf.DUMMYFUNCTION("IF
(
G7146=""фізична особа""
,
VLOOKUP(H7146,IMPORTRANGE(""https://docs.google.com/spreadsheets/d/14Bd19lYaqBhU8_DElYkX7l4wRkHqqCUFNJY4AfY3kHU/edit?usp=sharing  #gid=0"",""фіз особи new!relations_name""),6,FALSE)
,
(IF
(
G7146=""юридична особа""
,
VLOOKUP"&amp;"(H7146,IMPORTRANGE(""https://docs.google.com/spreadsheets/d/14Bd19lYaqBhU8_DElYkX7l4wRkHqqCUFNJY4AfY3kHU/edit?usp=sharing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45" s="7" t="s">
        <v>29</v>
      </c>
    </row>
    <row r="7146" spans="1:10" ht="13.2">
      <c r="A7146" s="7">
        <v>7145</v>
      </c>
      <c r="B7146" s="7">
        <v>1</v>
      </c>
      <c r="C7146" s="7" t="s">
        <v>10</v>
      </c>
      <c r="D7146" s="7">
        <v>6648</v>
      </c>
      <c r="E7146" s="7" t="s">
        <v>35</v>
      </c>
      <c r="F7146" s="8" t="str">
        <f ca="1">IFERROR(__xludf.DUMMYFUNCTION("IF
(
C7147=""фізична особа""
,
VLOOKUP(D7147,IMPORTRANGE(""https://docs.google.com/spreadsheets/d/14Bd19lYaqBhU8_DElYkX7l4wRkHqqCUFNJY4AfY3kHU/edit?usp=sharing  #gid=0"",""фіз особи new!relations_name""),6,FALSE)
,
(IF
(
C7147=""юридична особа""
,
VLOOKUP"&amp;"(D7147,IMPORTRANGE(""https://docs.google.com/spreadsheets/d/14Bd19lYaqBhU8_DElYkX7l4wRkHqqCUFNJY4AfY3kHU/edit?usp=sharing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6" s="7" t="s">
        <v>10</v>
      </c>
      <c r="H7146" s="7">
        <v>6654</v>
      </c>
      <c r="I7146" s="8" t="str">
        <f ca="1">IFERROR(__xludf.DUMMYFUNCTION("IF
(
G7147=""фізична особа""
,
VLOOKUP(H7147,IMPORTRANGE(""https://docs.google.com/spreadsheets/d/14Bd19lYaqBhU8_DElYkX7l4wRkHqqCUFNJY4AfY3kHU/edit?usp=sharing  #gid=0"",""фіз особи new!relations_name""),6,FALSE)
,
(IF
(
G7147=""юридична особа""
,
VLOOKUP"&amp;"(H7147,IMPORTRANGE(""https://docs.google.com/spreadsheets/d/14Bd19lYaqBhU8_DElYkX7l4wRkHqqCUFNJY4AfY3kHU/edit?usp=sharing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46" s="7" t="s">
        <v>35</v>
      </c>
    </row>
    <row r="7147" spans="1:10" ht="13.2">
      <c r="A7147" s="7">
        <v>7146</v>
      </c>
      <c r="B7147" s="7">
        <v>1</v>
      </c>
      <c r="C7147" s="7" t="s">
        <v>10</v>
      </c>
      <c r="D7147" s="7">
        <v>6648</v>
      </c>
      <c r="E7147" s="7" t="s">
        <v>35</v>
      </c>
      <c r="F7147" s="8" t="str">
        <f ca="1">IFERROR(__xludf.DUMMYFUNCTION("IF
(
C7148=""фізична особа""
,
VLOOKUP(D7148,IMPORTRANGE(""https://docs.google.com/spreadsheets/d/14Bd19lYaqBhU8_DElYkX7l4wRkHqqCUFNJY4AfY3kHU/edit?usp=sharing  #gid=0"",""фіз особи new!relations_name""),6,FALSE)
,
(IF
(
C7148=""юридична особа""
,
VLOOKUP"&amp;"(D7148,IMPORTRANGE(""https://docs.google.com/spreadsheets/d/14Bd19lYaqBhU8_DElYkX7l4wRkHqqCUFNJY4AfY3kHU/edit?usp=sharing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7" s="7" t="s">
        <v>10</v>
      </c>
      <c r="H7147" s="7">
        <v>6655</v>
      </c>
      <c r="I7147" s="8" t="str">
        <f ca="1">IFERROR(__xludf.DUMMYFUNCTION("IF
(
G7148=""фізична особа""
,
VLOOKUP(H7148,IMPORTRANGE(""https://docs.google.com/spreadsheets/d/14Bd19lYaqBhU8_DElYkX7l4wRkHqqCUFNJY4AfY3kHU/edit?usp=sharing  #gid=0"",""фіз особи new!relations_name""),6,FALSE)
,
(IF
(
G7148=""юридична особа""
,
VLOOKUP"&amp;"(H7148,IMPORTRANGE(""https://docs.google.com/spreadsheets/d/14Bd19lYaqBhU8_DElYkX7l4wRkHqqCUFNJY4AfY3kHU/edit?usp=sharing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47" s="7" t="s">
        <v>35</v>
      </c>
    </row>
    <row r="7148" spans="1:10" ht="13.2">
      <c r="A7148" s="7">
        <v>7147</v>
      </c>
      <c r="B7148" s="7">
        <v>1</v>
      </c>
      <c r="C7148" s="7" t="s">
        <v>10</v>
      </c>
      <c r="D7148" s="7">
        <v>6648</v>
      </c>
      <c r="E7148" s="7" t="s">
        <v>35</v>
      </c>
      <c r="F7148" s="8" t="str">
        <f ca="1">IFERROR(__xludf.DUMMYFUNCTION("IF
(
C7149=""фізична особа""
,
VLOOKUP(D7149,IMPORTRANGE(""https://docs.google.com/spreadsheets/d/14Bd19lYaqBhU8_DElYkX7l4wRkHqqCUFNJY4AfY3kHU/edit?usp=sharing  #gid=0"",""фіз особи new!relations_name""),6,FALSE)
,
(IF
(
C7149=""юридична особа""
,
VLOOKUP"&amp;"(D7149,IMPORTRANGE(""https://docs.google.com/spreadsheets/d/14Bd19lYaqBhU8_DElYkX7l4wRkHqqCUFNJY4AfY3kHU/edit?usp=sharing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8" s="7" t="s">
        <v>10</v>
      </c>
      <c r="H7148" s="7">
        <v>6651</v>
      </c>
      <c r="I7148" s="8" t="str">
        <f ca="1">IFERROR(__xludf.DUMMYFUNCTION("IF
(
G7149=""фізична особа""
,
VLOOKUP(H7149,IMPORTRANGE(""https://docs.google.com/spreadsheets/d/14Bd19lYaqBhU8_DElYkX7l4wRkHqqCUFNJY4AfY3kHU/edit?usp=sharing  #gid=0"",""фіз особи new!relations_name""),6,FALSE)
,
(IF
(
G7149=""юридична особа""
,
VLOOKUP"&amp;"(H7149,IMPORTRANGE(""https://docs.google.com/spreadsheets/d/14Bd19lYaqBhU8_DElYkX7l4wRkHqqCUFNJY4AfY3kHU/edit?usp=sharing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48" s="7" t="s">
        <v>35</v>
      </c>
    </row>
    <row r="7149" spans="1:10" ht="13.2">
      <c r="A7149" s="7">
        <v>7148</v>
      </c>
      <c r="B7149" s="7">
        <v>1</v>
      </c>
      <c r="C7149" s="7" t="s">
        <v>10</v>
      </c>
      <c r="D7149" s="7">
        <v>6648</v>
      </c>
      <c r="E7149" s="7" t="s">
        <v>28</v>
      </c>
      <c r="F7149" s="8" t="str">
        <f ca="1">IFERROR(__xludf.DUMMYFUNCTION("IF
(
C7150=""фізична особа""
,
VLOOKUP(D7150,IMPORTRANGE(""https://docs.google.com/spreadsheets/d/14Bd19lYaqBhU8_DElYkX7l4wRkHqqCUFNJY4AfY3kHU/edit?usp=sharing  #gid=0"",""фіз особи new!relations_name""),6,FALSE)
,
(IF
(
C7150=""юридична особа""
,
VLOOKUP"&amp;"(D7150,IMPORTRANGE(""https://docs.google.com/spreadsheets/d/14Bd19lYaqBhU8_DElYkX7l4wRkHqqCUFNJY4AfY3kHU/edit?usp=sharing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G7149" s="7" t="s">
        <v>10</v>
      </c>
      <c r="H7149" s="7">
        <v>6657</v>
      </c>
      <c r="I7149" s="8" t="str">
        <f ca="1">IFERROR(__xludf.DUMMYFUNCTION("IF
(
G7150=""фізична особа""
,
VLOOKUP(H7150,IMPORTRANGE(""https://docs.google.com/spreadsheets/d/14Bd19lYaqBhU8_DElYkX7l4wRkHqqCUFNJY4AfY3kHU/edit?usp=sharing  #gid=0"",""фіз особи new!relations_name""),6,FALSE)
,
(IF
(
G7150=""юридична особа""
,
VLOOKUP"&amp;"(H7150,IMPORTRANGE(""https://docs.google.com/spreadsheets/d/14Bd19lYaqBhU8_DElYkX7l4wRkHqqCUFNJY4AfY3kHU/edit?usp=sharing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49" s="7" t="s">
        <v>29</v>
      </c>
    </row>
    <row r="7150" spans="1:10" ht="13.2">
      <c r="A7150" s="7">
        <v>7149</v>
      </c>
      <c r="B7150" s="7">
        <v>1</v>
      </c>
      <c r="C7150" s="7" t="s">
        <v>10</v>
      </c>
      <c r="D7150" s="7">
        <v>6649</v>
      </c>
      <c r="E7150" s="7" t="s">
        <v>35</v>
      </c>
      <c r="F7150" s="8" t="str">
        <f ca="1">IFERROR(__xludf.DUMMYFUNCTION("IF
(
C7151=""фізична особа""
,
VLOOKUP(D7151,IMPORTRANGE(""https://docs.google.com/spreadsheets/d/14Bd19lYaqBhU8_DElYkX7l4wRkHqqCUFNJY4AfY3kHU/edit?usp=sharing  #gid=0"",""фіз особи new!relations_name""),6,FALSE)
,
(IF
(
C7151=""юридична особа""
,
VLOOKUP"&amp;"(D7151,IMPORTRANGE(""https://docs.google.com/spreadsheets/d/14Bd19lYaqBhU8_DElYkX7l4wRkHqqCUFNJY4AfY3kHU/edit?usp=sharing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0" s="7" t="s">
        <v>10</v>
      </c>
      <c r="H7150" s="7">
        <v>6650</v>
      </c>
      <c r="I7150" s="8" t="str">
        <f ca="1">IFERROR(__xludf.DUMMYFUNCTION("IF
(
G7151=""фізична особа""
,
VLOOKUP(H7151,IMPORTRANGE(""https://docs.google.com/spreadsheets/d/14Bd19lYaqBhU8_DElYkX7l4wRkHqqCUFNJY4AfY3kHU/edit?usp=sharing  #gid=0"",""фіз особи new!relations_name""),6,FALSE)
,
(IF
(
G7151=""юридична особа""
,
VLOOKUP"&amp;"(H7151,IMPORTRANGE(""https://docs.google.com/spreadsheets/d/14Bd19lYaqBhU8_DElYkX7l4wRkHqqCUFNJY4AfY3kHU/edit?usp=sharing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150" s="7" t="s">
        <v>35</v>
      </c>
    </row>
    <row r="7151" spans="1:10" ht="13.2">
      <c r="A7151" s="7">
        <v>7150</v>
      </c>
      <c r="B7151" s="7">
        <v>1</v>
      </c>
      <c r="C7151" s="7" t="s">
        <v>10</v>
      </c>
      <c r="D7151" s="7">
        <v>6649</v>
      </c>
      <c r="E7151" s="7" t="s">
        <v>35</v>
      </c>
      <c r="F7151" s="8" t="str">
        <f ca="1">IFERROR(__xludf.DUMMYFUNCTION("IF
(
C7152=""фізична особа""
,
VLOOKUP(D7152,IMPORTRANGE(""https://docs.google.com/spreadsheets/d/14Bd19lYaqBhU8_DElYkX7l4wRkHqqCUFNJY4AfY3kHU/edit?usp=sharing  #gid=0"",""фіз особи new!relations_name""),6,FALSE)
,
(IF
(
C7152=""юридична особа""
,
VLOOKUP"&amp;"(D7152,IMPORTRANGE(""https://docs.google.com/spreadsheets/d/14Bd19lYaqBhU8_DElYkX7l4wRkHqqCUFNJY4AfY3kHU/edit?usp=sharing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1" s="7" t="s">
        <v>10</v>
      </c>
      <c r="H7151" s="7">
        <v>6648</v>
      </c>
      <c r="I7151" s="8" t="str">
        <f ca="1">IFERROR(__xludf.DUMMYFUNCTION("IF
(
G7152=""фізична особа""
,
VLOOKUP(H7152,IMPORTRANGE(""https://docs.google.com/spreadsheets/d/14Bd19lYaqBhU8_DElYkX7l4wRkHqqCUFNJY4AfY3kHU/edit?usp=sharing  #gid=0"",""фіз особи new!relations_name""),6,FALSE)
,
(IF
(
G7152=""юридична особа""
,
VLOOKUP"&amp;"(H7152,IMPORTRANGE(""https://docs.google.com/spreadsheets/d/14Bd19lYaqBhU8_DElYkX7l4wRkHqqCUFNJY4AfY3kHU/edit?usp=sharing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51" s="7" t="s">
        <v>35</v>
      </c>
    </row>
    <row r="7152" spans="1:10" ht="13.2">
      <c r="A7152" s="7">
        <v>7151</v>
      </c>
      <c r="B7152" s="7">
        <v>1</v>
      </c>
      <c r="C7152" s="7" t="s">
        <v>10</v>
      </c>
      <c r="D7152" s="7">
        <v>6649</v>
      </c>
      <c r="E7152" s="7" t="s">
        <v>35</v>
      </c>
      <c r="F7152" s="8" t="str">
        <f ca="1">IFERROR(__xludf.DUMMYFUNCTION("IF
(
C7153=""фізична особа""
,
VLOOKUP(D7153,IMPORTRANGE(""https://docs.google.com/spreadsheets/d/14Bd19lYaqBhU8_DElYkX7l4wRkHqqCUFNJY4AfY3kHU/edit?usp=sharing  #gid=0"",""фіз особи new!relations_name""),6,FALSE)
,
(IF
(
C7153=""юридична особа""
,
VLOOKUP"&amp;"(D7153,IMPORTRANGE(""https://docs.google.com/spreadsheets/d/14Bd19lYaqBhU8_DElYkX7l4wRkHqqCUFNJY4AfY3kHU/edit?usp=sharing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2" s="7" t="s">
        <v>10</v>
      </c>
      <c r="H7152" s="7">
        <v>6659</v>
      </c>
      <c r="I7152" s="8" t="str">
        <f ca="1">IFERROR(__xludf.DUMMYFUNCTION("IF
(
G7153=""фізична особа""
,
VLOOKUP(H7153,IMPORTRANGE(""https://docs.google.com/spreadsheets/d/14Bd19lYaqBhU8_DElYkX7l4wRkHqqCUFNJY4AfY3kHU/edit?usp=sharing  #gid=0"",""фіз особи new!relations_name""),6,FALSE)
,
(IF
(
G7153=""юридична особа""
,
VLOOKUP"&amp;"(H7153,IMPORTRANGE(""https://docs.google.com/spreadsheets/d/14Bd19lYaqBhU8_DElYkX7l4wRkHqqCUFNJY4AfY3kHU/edit?usp=sharing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52" s="7" t="s">
        <v>35</v>
      </c>
    </row>
    <row r="7153" spans="1:10" ht="13.2">
      <c r="A7153" s="7">
        <v>7152</v>
      </c>
      <c r="B7153" s="7">
        <v>1</v>
      </c>
      <c r="C7153" s="7" t="s">
        <v>10</v>
      </c>
      <c r="D7153" s="7">
        <v>6649</v>
      </c>
      <c r="E7153" s="7" t="s">
        <v>35</v>
      </c>
      <c r="F7153" s="8" t="str">
        <f ca="1">IFERROR(__xludf.DUMMYFUNCTION("IF
(
C7154=""фізична особа""
,
VLOOKUP(D7154,IMPORTRANGE(""https://docs.google.com/spreadsheets/d/14Bd19lYaqBhU8_DElYkX7l4wRkHqqCUFNJY4AfY3kHU/edit?usp=sharing  #gid=0"",""фіз особи new!relations_name""),6,FALSE)
,
(IF
(
C7154=""юридична особа""
,
VLOOKUP"&amp;"(D7154,IMPORTRANGE(""https://docs.google.com/spreadsheets/d/14Bd19lYaqBhU8_DElYkX7l4wRkHqqCUFNJY4AfY3kHU/edit?usp=sharing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3" s="7" t="s">
        <v>10</v>
      </c>
      <c r="H7153" s="7">
        <v>6646</v>
      </c>
      <c r="I7153" s="8" t="str">
        <f ca="1">IFERROR(__xludf.DUMMYFUNCTION("IF
(
G7154=""фізична особа""
,
VLOOKUP(H7154,IMPORTRANGE(""https://docs.google.com/spreadsheets/d/14Bd19lYaqBhU8_DElYkX7l4wRkHqqCUFNJY4AfY3kHU/edit?usp=sharing  #gid=0"",""фіз особи new!relations_name""),6,FALSE)
,
(IF
(
G7154=""юридична особа""
,
VLOOKUP"&amp;"(H7154,IMPORTRANGE(""https://docs.google.com/spreadsheets/d/14Bd19lYaqBhU8_DElYkX7l4wRkHqqCUFNJY4AfY3kHU/edit?usp=sharing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53" s="7" t="s">
        <v>35</v>
      </c>
    </row>
    <row r="7154" spans="1:10" ht="13.2">
      <c r="A7154" s="7">
        <v>7153</v>
      </c>
      <c r="B7154" s="7">
        <v>1</v>
      </c>
      <c r="C7154" s="7" t="s">
        <v>10</v>
      </c>
      <c r="D7154" s="7">
        <v>6649</v>
      </c>
      <c r="E7154" s="7" t="s">
        <v>35</v>
      </c>
      <c r="F7154" s="8" t="str">
        <f ca="1">IFERROR(__xludf.DUMMYFUNCTION("IF
(
C7155=""фізична особа""
,
VLOOKUP(D7155,IMPORTRANGE(""https://docs.google.com/spreadsheets/d/14Bd19lYaqBhU8_DElYkX7l4wRkHqqCUFNJY4AfY3kHU/edit?usp=sharing  #gid=0"",""фіз особи new!relations_name""),6,FALSE)
,
(IF
(
C7155=""юридична особа""
,
VLOOKUP"&amp;"(D7155,IMPORTRANGE(""https://docs.google.com/spreadsheets/d/14Bd19lYaqBhU8_DElYkX7l4wRkHqqCUFNJY4AfY3kHU/edit?usp=sharing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4" s="7" t="s">
        <v>10</v>
      </c>
      <c r="H7154" s="7">
        <v>6647</v>
      </c>
      <c r="I7154" s="8" t="str">
        <f ca="1">IFERROR(__xludf.DUMMYFUNCTION("IF
(
G7155=""фізична особа""
,
VLOOKUP(H7155,IMPORTRANGE(""https://docs.google.com/spreadsheets/d/14Bd19lYaqBhU8_DElYkX7l4wRkHqqCUFNJY4AfY3kHU/edit?usp=sharing  #gid=0"",""фіз особи new!relations_name""),6,FALSE)
,
(IF
(
G7155=""юридична особа""
,
VLOOKUP"&amp;"(H7155,IMPORTRANGE(""https://docs.google.com/spreadsheets/d/14Bd19lYaqBhU8_DElYkX7l4wRkHqqCUFNJY4AfY3kHU/edit?usp=sharing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54" s="7" t="s">
        <v>35</v>
      </c>
    </row>
    <row r="7155" spans="1:10" ht="13.2">
      <c r="A7155" s="7">
        <v>7154</v>
      </c>
      <c r="B7155" s="7">
        <v>1</v>
      </c>
      <c r="C7155" s="7" t="s">
        <v>10</v>
      </c>
      <c r="D7155" s="7">
        <v>6649</v>
      </c>
      <c r="E7155" s="7" t="s">
        <v>35</v>
      </c>
      <c r="F7155" s="8" t="str">
        <f ca="1">IFERROR(__xludf.DUMMYFUNCTION("IF
(
C7156=""фізична особа""
,
VLOOKUP(D7156,IMPORTRANGE(""https://docs.google.com/spreadsheets/d/14Bd19lYaqBhU8_DElYkX7l4wRkHqqCUFNJY4AfY3kHU/edit?usp=sharing  #gid=0"",""фіз особи new!relations_name""),6,FALSE)
,
(IF
(
C7156=""юридична особа""
,
VLOOKUP"&amp;"(D7156,IMPORTRANGE(""https://docs.google.com/spreadsheets/d/14Bd19lYaqBhU8_DElYkX7l4wRkHqqCUFNJY4AfY3kHU/edit?usp=sharing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5" s="7" t="s">
        <v>10</v>
      </c>
      <c r="H7155" s="7">
        <v>6653</v>
      </c>
      <c r="I7155" s="8" t="str">
        <f ca="1">IFERROR(__xludf.DUMMYFUNCTION("IF
(
G7156=""фізична особа""
,
VLOOKUP(H7156,IMPORTRANGE(""https://docs.google.com/spreadsheets/d/14Bd19lYaqBhU8_DElYkX7l4wRkHqqCUFNJY4AfY3kHU/edit?usp=sharing  #gid=0"",""фіз особи new!relations_name""),6,FALSE)
,
(IF
(
G7156=""юридична особа""
,
VLOOKUP"&amp;"(H7156,IMPORTRANGE(""https://docs.google.com/spreadsheets/d/14Bd19lYaqBhU8_DElYkX7l4wRkHqqCUFNJY4AfY3kHU/edit?usp=sharing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55" s="7" t="s">
        <v>35</v>
      </c>
    </row>
    <row r="7156" spans="1:10" ht="13.2">
      <c r="A7156" s="7">
        <v>7155</v>
      </c>
      <c r="B7156" s="7">
        <v>1</v>
      </c>
      <c r="C7156" s="7" t="s">
        <v>10</v>
      </c>
      <c r="D7156" s="7">
        <v>6649</v>
      </c>
      <c r="E7156" s="7" t="s">
        <v>35</v>
      </c>
      <c r="F7156" s="8" t="str">
        <f ca="1">IFERROR(__xludf.DUMMYFUNCTION("IF
(
C7157=""фізична особа""
,
VLOOKUP(D7157,IMPORTRANGE(""https://docs.google.com/spreadsheets/d/14Bd19lYaqBhU8_DElYkX7l4wRkHqqCUFNJY4AfY3kHU/edit?usp=sharing  #gid=0"",""фіз особи new!relations_name""),6,FALSE)
,
(IF
(
C7157=""юридична особа""
,
VLOOKUP"&amp;"(D7157,IMPORTRANGE(""https://docs.google.com/spreadsheets/d/14Bd19lYaqBhU8_DElYkX7l4wRkHqqCUFNJY4AfY3kHU/edit?usp=sharing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6" s="7" t="s">
        <v>10</v>
      </c>
      <c r="H7156" s="7">
        <v>6656</v>
      </c>
      <c r="I7156" s="8" t="str">
        <f ca="1">IFERROR(__xludf.DUMMYFUNCTION("IF
(
G7157=""фізична особа""
,
VLOOKUP(H7157,IMPORTRANGE(""https://docs.google.com/spreadsheets/d/14Bd19lYaqBhU8_DElYkX7l4wRkHqqCUFNJY4AfY3kHU/edit?usp=sharing  #gid=0"",""фіз особи new!relations_name""),6,FALSE)
,
(IF
(
G7157=""юридична особа""
,
VLOOKUP"&amp;"(H7157,IMPORTRANGE(""https://docs.google.com/spreadsheets/d/14Bd19lYaqBhU8_DElYkX7l4wRkHqqCUFNJY4AfY3kHU/edit?usp=sharing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56" s="7" t="s">
        <v>35</v>
      </c>
    </row>
    <row r="7157" spans="1:10" ht="13.2">
      <c r="A7157" s="7">
        <v>7156</v>
      </c>
      <c r="B7157" s="7">
        <v>1</v>
      </c>
      <c r="C7157" s="7" t="s">
        <v>10</v>
      </c>
      <c r="D7157" s="7">
        <v>6649</v>
      </c>
      <c r="E7157" s="7" t="s">
        <v>35</v>
      </c>
      <c r="F7157" s="8" t="str">
        <f ca="1">IFERROR(__xludf.DUMMYFUNCTION("IF
(
C7158=""фізична особа""
,
VLOOKUP(D7158,IMPORTRANGE(""https://docs.google.com/spreadsheets/d/14Bd19lYaqBhU8_DElYkX7l4wRkHqqCUFNJY4AfY3kHU/edit?usp=sharing  #gid=0"",""фіз особи new!relations_name""),6,FALSE)
,
(IF
(
C7158=""юридична особа""
,
VLOOKUP"&amp;"(D7158,IMPORTRANGE(""https://docs.google.com/spreadsheets/d/14Bd19lYaqBhU8_DElYkX7l4wRkHqqCUFNJY4AfY3kHU/edit?usp=sharing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7" s="7" t="s">
        <v>10</v>
      </c>
      <c r="H7157" s="7">
        <v>6658</v>
      </c>
      <c r="I7157" s="8" t="str">
        <f ca="1">IFERROR(__xludf.DUMMYFUNCTION("IF
(
G7158=""фізична особа""
,
VLOOKUP(H7158,IMPORTRANGE(""https://docs.google.com/spreadsheets/d/14Bd19lYaqBhU8_DElYkX7l4wRkHqqCUFNJY4AfY3kHU/edit?usp=sharing  #gid=0"",""фіз особи new!relations_name""),6,FALSE)
,
(IF
(
G7158=""юридична особа""
,
VLOOKUP"&amp;"(H7158,IMPORTRANGE(""https://docs.google.com/spreadsheets/d/14Bd19lYaqBhU8_DElYkX7l4wRkHqqCUFNJY4AfY3kHU/edit?usp=sharing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57" s="7" t="s">
        <v>35</v>
      </c>
    </row>
    <row r="7158" spans="1:10" ht="13.2">
      <c r="A7158" s="7">
        <v>7157</v>
      </c>
      <c r="B7158" s="7">
        <v>1</v>
      </c>
      <c r="C7158" s="7" t="s">
        <v>10</v>
      </c>
      <c r="D7158" s="7">
        <v>6649</v>
      </c>
      <c r="E7158" s="7" t="s">
        <v>35</v>
      </c>
      <c r="F7158" s="8" t="str">
        <f ca="1">IFERROR(__xludf.DUMMYFUNCTION("IF
(
C7159=""фізична особа""
,
VLOOKUP(D7159,IMPORTRANGE(""https://docs.google.com/spreadsheets/d/14Bd19lYaqBhU8_DElYkX7l4wRkHqqCUFNJY4AfY3kHU/edit?usp=sharing  #gid=0"",""фіз особи new!relations_name""),6,FALSE)
,
(IF
(
C7159=""юридична особа""
,
VLOOKUP"&amp;"(D7159,IMPORTRANGE(""https://docs.google.com/spreadsheets/d/14Bd19lYaqBhU8_DElYkX7l4wRkHqqCUFNJY4AfY3kHU/edit?usp=sharing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8" s="7" t="s">
        <v>10</v>
      </c>
      <c r="H7158" s="7">
        <v>6652</v>
      </c>
      <c r="I7158" s="8" t="str">
        <f ca="1">IFERROR(__xludf.DUMMYFUNCTION("IF
(
G7159=""фізична особа""
,
VLOOKUP(H7159,IMPORTRANGE(""https://docs.google.com/spreadsheets/d/14Bd19lYaqBhU8_DElYkX7l4wRkHqqCUFNJY4AfY3kHU/edit?usp=sharing  #gid=0"",""фіз особи new!relations_name""),6,FALSE)
,
(IF
(
G7159=""юридична особа""
,
VLOOKUP"&amp;"(H7159,IMPORTRANGE(""https://docs.google.com/spreadsheets/d/14Bd19lYaqBhU8_DElYkX7l4wRkHqqCUFNJY4AfY3kHU/edit?usp=sharing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58" s="7" t="s">
        <v>35</v>
      </c>
    </row>
    <row r="7159" spans="1:10" ht="13.2">
      <c r="A7159" s="7">
        <v>7158</v>
      </c>
      <c r="B7159" s="7">
        <v>1</v>
      </c>
      <c r="C7159" s="7" t="s">
        <v>10</v>
      </c>
      <c r="D7159" s="7">
        <v>6649</v>
      </c>
      <c r="E7159" s="7" t="s">
        <v>28</v>
      </c>
      <c r="F7159" s="8" t="str">
        <f ca="1">IFERROR(__xludf.DUMMYFUNCTION("IF
(
C7160=""фізична особа""
,
VLOOKUP(D7160,IMPORTRANGE(""https://docs.google.com/spreadsheets/d/14Bd19lYaqBhU8_DElYkX7l4wRkHqqCUFNJY4AfY3kHU/edit?usp=sharing  #gid=0"",""фіз особи new!relations_name""),6,FALSE)
,
(IF
(
C7160=""юридична особа""
,
VLOOKUP"&amp;"(D7160,IMPORTRANGE(""https://docs.google.com/spreadsheets/d/14Bd19lYaqBhU8_DElYkX7l4wRkHqqCUFNJY4AfY3kHU/edit?usp=sharing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59" s="7" t="s">
        <v>10</v>
      </c>
      <c r="H7159" s="7">
        <v>6645</v>
      </c>
      <c r="I7159" s="8" t="str">
        <f ca="1">IFERROR(__xludf.DUMMYFUNCTION("IF
(
G7160=""фізична особа""
,
VLOOKUP(H7160,IMPORTRANGE(""https://docs.google.com/spreadsheets/d/14Bd19lYaqBhU8_DElYkX7l4wRkHqqCUFNJY4AfY3kHU/edit?usp=sharing  #gid=0"",""фіз особи new!relations_name""),6,FALSE)
,
(IF
(
G7160=""юридична особа""
,
VLOOKUP"&amp;"(H7160,IMPORTRANGE(""https://docs.google.com/spreadsheets/d/14Bd19lYaqBhU8_DElYkX7l4wRkHqqCUFNJY4AfY3kHU/edit?usp=sharing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59" s="7" t="s">
        <v>29</v>
      </c>
    </row>
    <row r="7160" spans="1:10" ht="13.2">
      <c r="A7160" s="7">
        <v>7159</v>
      </c>
      <c r="B7160" s="7">
        <v>1</v>
      </c>
      <c r="C7160" s="7" t="s">
        <v>10</v>
      </c>
      <c r="D7160" s="7">
        <v>6649</v>
      </c>
      <c r="E7160" s="7" t="s">
        <v>35</v>
      </c>
      <c r="F7160" s="8" t="str">
        <f ca="1">IFERROR(__xludf.DUMMYFUNCTION("IF
(
C7161=""фізична особа""
,
VLOOKUP(D7161,IMPORTRANGE(""https://docs.google.com/spreadsheets/d/14Bd19lYaqBhU8_DElYkX7l4wRkHqqCUFNJY4AfY3kHU/edit?usp=sharing  #gid=0"",""фіз особи new!relations_name""),6,FALSE)
,
(IF
(
C7161=""юридична особа""
,
VLOOKUP"&amp;"(D7161,IMPORTRANGE(""https://docs.google.com/spreadsheets/d/14Bd19lYaqBhU8_DElYkX7l4wRkHqqCUFNJY4AfY3kHU/edit?usp=sharing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60" s="7" t="s">
        <v>10</v>
      </c>
      <c r="H7160" s="7">
        <v>6654</v>
      </c>
      <c r="I7160" s="8" t="str">
        <f ca="1">IFERROR(__xludf.DUMMYFUNCTION("IF
(
G7161=""фізична особа""
,
VLOOKUP(H7161,IMPORTRANGE(""https://docs.google.com/spreadsheets/d/14Bd19lYaqBhU8_DElYkX7l4wRkHqqCUFNJY4AfY3kHU/edit?usp=sharing  #gid=0"",""фіз особи new!relations_name""),6,FALSE)
,
(IF
(
G7161=""юридична особа""
,
VLOOKUP"&amp;"(H7161,IMPORTRANGE(""https://docs.google.com/spreadsheets/d/14Bd19lYaqBhU8_DElYkX7l4wRkHqqCUFNJY4AfY3kHU/edit?usp=sharing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60" s="7" t="s">
        <v>35</v>
      </c>
    </row>
    <row r="7161" spans="1:10" ht="13.2">
      <c r="A7161" s="7">
        <v>7160</v>
      </c>
      <c r="B7161" s="7">
        <v>1</v>
      </c>
      <c r="C7161" s="7" t="s">
        <v>10</v>
      </c>
      <c r="D7161" s="7">
        <v>6649</v>
      </c>
      <c r="E7161" s="7" t="s">
        <v>35</v>
      </c>
      <c r="F7161" s="8" t="str">
        <f ca="1">IFERROR(__xludf.DUMMYFUNCTION("IF
(
C7162=""фізична особа""
,
VLOOKUP(D7162,IMPORTRANGE(""https://docs.google.com/spreadsheets/d/14Bd19lYaqBhU8_DElYkX7l4wRkHqqCUFNJY4AfY3kHU/edit?usp=sharing  #gid=0"",""фіз особи new!relations_name""),6,FALSE)
,
(IF
(
C7162=""юридична особа""
,
VLOOKUP"&amp;"(D7162,IMPORTRANGE(""https://docs.google.com/spreadsheets/d/14Bd19lYaqBhU8_DElYkX7l4wRkHqqCUFNJY4AfY3kHU/edit?usp=sharing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61" s="7" t="s">
        <v>10</v>
      </c>
      <c r="H7161" s="7">
        <v>6655</v>
      </c>
      <c r="I7161" s="8" t="str">
        <f ca="1">IFERROR(__xludf.DUMMYFUNCTION("IF
(
G7162=""фізична особа""
,
VLOOKUP(H7162,IMPORTRANGE(""https://docs.google.com/spreadsheets/d/14Bd19lYaqBhU8_DElYkX7l4wRkHqqCUFNJY4AfY3kHU/edit?usp=sharing  #gid=0"",""фіз особи new!relations_name""),6,FALSE)
,
(IF
(
G7162=""юридична особа""
,
VLOOKUP"&amp;"(H7162,IMPORTRANGE(""https://docs.google.com/spreadsheets/d/14Bd19lYaqBhU8_DElYkX7l4wRkHqqCUFNJY4AfY3kHU/edit?usp=sharing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61" s="7" t="s">
        <v>35</v>
      </c>
    </row>
    <row r="7162" spans="1:10" ht="13.2">
      <c r="A7162" s="7">
        <v>7161</v>
      </c>
      <c r="B7162" s="7">
        <v>1</v>
      </c>
      <c r="C7162" s="7" t="s">
        <v>10</v>
      </c>
      <c r="D7162" s="7">
        <v>6649</v>
      </c>
      <c r="E7162" s="7" t="s">
        <v>35</v>
      </c>
      <c r="F7162" s="8" t="str">
        <f ca="1">IFERROR(__xludf.DUMMYFUNCTION("IF
(
C7163=""фізична особа""
,
VLOOKUP(D7163,IMPORTRANGE(""https://docs.google.com/spreadsheets/d/14Bd19lYaqBhU8_DElYkX7l4wRkHqqCUFNJY4AfY3kHU/edit?usp=sharing  #gid=0"",""фіз особи new!relations_name""),6,FALSE)
,
(IF
(
C7163=""юридична особа""
,
VLOOKUP"&amp;"(D7163,IMPORTRANGE(""https://docs.google.com/spreadsheets/d/14Bd19lYaqBhU8_DElYkX7l4wRkHqqCUFNJY4AfY3kHU/edit?usp=sharing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62" s="7" t="s">
        <v>10</v>
      </c>
      <c r="H7162" s="7">
        <v>6651</v>
      </c>
      <c r="I7162" s="8" t="str">
        <f ca="1">IFERROR(__xludf.DUMMYFUNCTION("IF
(
G7163=""фізична особа""
,
VLOOKUP(H7163,IMPORTRANGE(""https://docs.google.com/spreadsheets/d/14Bd19lYaqBhU8_DElYkX7l4wRkHqqCUFNJY4AfY3kHU/edit?usp=sharing  #gid=0"",""фіз особи new!relations_name""),6,FALSE)
,
(IF
(
G7163=""юридична особа""
,
VLOOKUP"&amp;"(H7163,IMPORTRANGE(""https://docs.google.com/spreadsheets/d/14Bd19lYaqBhU8_DElYkX7l4wRkHqqCUFNJY4AfY3kHU/edit?usp=sharing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62" s="7" t="s">
        <v>35</v>
      </c>
    </row>
    <row r="7163" spans="1:10" ht="13.2">
      <c r="A7163" s="7">
        <v>7162</v>
      </c>
      <c r="B7163" s="7">
        <v>1</v>
      </c>
      <c r="C7163" s="7" t="s">
        <v>10</v>
      </c>
      <c r="D7163" s="7">
        <v>6649</v>
      </c>
      <c r="E7163" s="7" t="s">
        <v>28</v>
      </c>
      <c r="F7163" s="8" t="str">
        <f ca="1">IFERROR(__xludf.DUMMYFUNCTION("IF
(
C7164=""фізична особа""
,
VLOOKUP(D7164,IMPORTRANGE(""https://docs.google.com/spreadsheets/d/14Bd19lYaqBhU8_DElYkX7l4wRkHqqCUFNJY4AfY3kHU/edit?usp=sharing  #gid=0"",""фіз особи new!relations_name""),6,FALSE)
,
(IF
(
C7164=""юридична особа""
,
VLOOKUP"&amp;"(D7164,IMPORTRANGE(""https://docs.google.com/spreadsheets/d/14Bd19lYaqBhU8_DElYkX7l4wRkHqqCUFNJY4AfY3kHU/edit?usp=sharing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G7163" s="7" t="s">
        <v>10</v>
      </c>
      <c r="H7163" s="7">
        <v>6657</v>
      </c>
      <c r="I7163" s="8" t="str">
        <f ca="1">IFERROR(__xludf.DUMMYFUNCTION("IF
(
G7164=""фізична особа""
,
VLOOKUP(H7164,IMPORTRANGE(""https://docs.google.com/spreadsheets/d/14Bd19lYaqBhU8_DElYkX7l4wRkHqqCUFNJY4AfY3kHU/edit?usp=sharing  #gid=0"",""фіз особи new!relations_name""),6,FALSE)
,
(IF
(
G7164=""юридична особа""
,
VLOOKUP"&amp;"(H7164,IMPORTRANGE(""https://docs.google.com/spreadsheets/d/14Bd19lYaqBhU8_DElYkX7l4wRkHqqCUFNJY4AfY3kHU/edit?usp=sharing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63" s="7" t="s">
        <v>29</v>
      </c>
    </row>
    <row r="7164" spans="1:10" ht="13.2">
      <c r="A7164" s="7">
        <v>7163</v>
      </c>
      <c r="B7164" s="7">
        <v>1</v>
      </c>
      <c r="C7164" s="7" t="s">
        <v>10</v>
      </c>
      <c r="D7164" s="7">
        <v>6650</v>
      </c>
      <c r="E7164" s="7" t="s">
        <v>35</v>
      </c>
      <c r="F7164" s="8" t="str">
        <f ca="1">IFERROR(__xludf.DUMMYFUNCTION("IF
(
C7165=""фізична особа""
,
VLOOKUP(D7165,IMPORTRANGE(""https://docs.google.com/spreadsheets/d/14Bd19lYaqBhU8_DElYkX7l4wRkHqqCUFNJY4AfY3kHU/edit?usp=sharing  #gid=0"",""фіз особи new!relations_name""),6,FALSE)
,
(IF
(
C7165=""юридична особа""
,
VLOOKUP"&amp;"(D7165,IMPORTRANGE(""https://docs.google.com/spreadsheets/d/14Bd19lYaqBhU8_DElYkX7l4wRkHqqCUFNJY4AfY3kHU/edit?usp=sharing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4" s="7" t="s">
        <v>10</v>
      </c>
      <c r="H7164" s="7">
        <v>6649</v>
      </c>
      <c r="I7164" s="8" t="str">
        <f ca="1">IFERROR(__xludf.DUMMYFUNCTION("IF
(
G7165=""фізична особа""
,
VLOOKUP(H7165,IMPORTRANGE(""https://docs.google.com/spreadsheets/d/14Bd19lYaqBhU8_DElYkX7l4wRkHqqCUFNJY4AfY3kHU/edit?usp=sharing  #gid=0"",""фіз особи new!relations_name""),6,FALSE)
,
(IF
(
G7165=""юридична особа""
,
VLOOKUP"&amp;"(H7165,IMPORTRANGE(""https://docs.google.com/spreadsheets/d/14Bd19lYaqBhU8_DElYkX7l4wRkHqqCUFNJY4AfY3kHU/edit?usp=sharing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64" s="7" t="s">
        <v>35</v>
      </c>
    </row>
    <row r="7165" spans="1:10" ht="13.2">
      <c r="A7165" s="7">
        <v>7164</v>
      </c>
      <c r="B7165" s="7">
        <v>1</v>
      </c>
      <c r="C7165" s="7" t="s">
        <v>10</v>
      </c>
      <c r="D7165" s="7">
        <v>6650</v>
      </c>
      <c r="E7165" s="7" t="s">
        <v>35</v>
      </c>
      <c r="F7165" s="8" t="str">
        <f ca="1">IFERROR(__xludf.DUMMYFUNCTION("IF
(
C7166=""фізична особа""
,
VLOOKUP(D7166,IMPORTRANGE(""https://docs.google.com/spreadsheets/d/14Bd19lYaqBhU8_DElYkX7l4wRkHqqCUFNJY4AfY3kHU/edit?usp=sharing  #gid=0"",""фіз особи new!relations_name""),6,FALSE)
,
(IF
(
C7166=""юридична особа""
,
VLOOKUP"&amp;"(D7166,IMPORTRANGE(""https://docs.google.com/spreadsheets/d/14Bd19lYaqBhU8_DElYkX7l4wRkHqqCUFNJY4AfY3kHU/edit?usp=sharing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5" s="7" t="s">
        <v>10</v>
      </c>
      <c r="H7165" s="7">
        <v>6648</v>
      </c>
      <c r="I7165" s="8" t="str">
        <f ca="1">IFERROR(__xludf.DUMMYFUNCTION("IF
(
G7166=""фізична особа""
,
VLOOKUP(H7166,IMPORTRANGE(""https://docs.google.com/spreadsheets/d/14Bd19lYaqBhU8_DElYkX7l4wRkHqqCUFNJY4AfY3kHU/edit?usp=sharing  #gid=0"",""фіз особи new!relations_name""),6,FALSE)
,
(IF
(
G7166=""юридична особа""
,
VLOOKUP"&amp;"(H7166,IMPORTRANGE(""https://docs.google.com/spreadsheets/d/14Bd19lYaqBhU8_DElYkX7l4wRkHqqCUFNJY4AfY3kHU/edit?usp=sharing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65" s="7" t="s">
        <v>35</v>
      </c>
    </row>
    <row r="7166" spans="1:10" ht="13.2">
      <c r="A7166" s="7">
        <v>7165</v>
      </c>
      <c r="B7166" s="7">
        <v>1</v>
      </c>
      <c r="C7166" s="7" t="s">
        <v>10</v>
      </c>
      <c r="D7166" s="7">
        <v>6650</v>
      </c>
      <c r="E7166" s="7" t="s">
        <v>35</v>
      </c>
      <c r="F7166" s="8" t="str">
        <f ca="1">IFERROR(__xludf.DUMMYFUNCTION("IF
(
C7167=""фізична особа""
,
VLOOKUP(D7167,IMPORTRANGE(""https://docs.google.com/spreadsheets/d/14Bd19lYaqBhU8_DElYkX7l4wRkHqqCUFNJY4AfY3kHU/edit?usp=sharing  #gid=0"",""фіз особи new!relations_name""),6,FALSE)
,
(IF
(
C7167=""юридична особа""
,
VLOOKUP"&amp;"(D7167,IMPORTRANGE(""https://docs.google.com/spreadsheets/d/14Bd19lYaqBhU8_DElYkX7l4wRkHqqCUFNJY4AfY3kHU/edit?usp=sharing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6" s="7" t="s">
        <v>10</v>
      </c>
      <c r="H7166" s="7">
        <v>6659</v>
      </c>
      <c r="I7166" s="8" t="str">
        <f ca="1">IFERROR(__xludf.DUMMYFUNCTION("IF
(
G7167=""фізична особа""
,
VLOOKUP(H7167,IMPORTRANGE(""https://docs.google.com/spreadsheets/d/14Bd19lYaqBhU8_DElYkX7l4wRkHqqCUFNJY4AfY3kHU/edit?usp=sharing  #gid=0"",""фіз особи new!relations_name""),6,FALSE)
,
(IF
(
G7167=""юридична особа""
,
VLOOKUP"&amp;"(H7167,IMPORTRANGE(""https://docs.google.com/spreadsheets/d/14Bd19lYaqBhU8_DElYkX7l4wRkHqqCUFNJY4AfY3kHU/edit?usp=sharing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66" s="7" t="s">
        <v>35</v>
      </c>
    </row>
    <row r="7167" spans="1:10" ht="13.2">
      <c r="A7167" s="7">
        <v>7166</v>
      </c>
      <c r="B7167" s="7">
        <v>1</v>
      </c>
      <c r="C7167" s="7" t="s">
        <v>10</v>
      </c>
      <c r="D7167" s="7">
        <v>6650</v>
      </c>
      <c r="E7167" s="7" t="s">
        <v>35</v>
      </c>
      <c r="F7167" s="8" t="str">
        <f ca="1">IFERROR(__xludf.DUMMYFUNCTION("IF
(
C7168=""фізична особа""
,
VLOOKUP(D7168,IMPORTRANGE(""https://docs.google.com/spreadsheets/d/14Bd19lYaqBhU8_DElYkX7l4wRkHqqCUFNJY4AfY3kHU/edit?usp=sharing  #gid=0"",""фіз особи new!relations_name""),6,FALSE)
,
(IF
(
C7168=""юридична особа""
,
VLOOKUP"&amp;"(D7168,IMPORTRANGE(""https://docs.google.com/spreadsheets/d/14Bd19lYaqBhU8_DElYkX7l4wRkHqqCUFNJY4AfY3kHU/edit?usp=sharing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7" s="7" t="s">
        <v>10</v>
      </c>
      <c r="H7167" s="7">
        <v>6646</v>
      </c>
      <c r="I7167" s="8" t="str">
        <f ca="1">IFERROR(__xludf.DUMMYFUNCTION("IF
(
G7168=""фізична особа""
,
VLOOKUP(H7168,IMPORTRANGE(""https://docs.google.com/spreadsheets/d/14Bd19lYaqBhU8_DElYkX7l4wRkHqqCUFNJY4AfY3kHU/edit?usp=sharing  #gid=0"",""фіз особи new!relations_name""),6,FALSE)
,
(IF
(
G7168=""юридична особа""
,
VLOOKUP"&amp;"(H7168,IMPORTRANGE(""https://docs.google.com/spreadsheets/d/14Bd19lYaqBhU8_DElYkX7l4wRkHqqCUFNJY4AfY3kHU/edit?usp=sharing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67" s="7" t="s">
        <v>35</v>
      </c>
    </row>
    <row r="7168" spans="1:10" ht="13.2">
      <c r="A7168" s="7">
        <v>7167</v>
      </c>
      <c r="B7168" s="7">
        <v>1</v>
      </c>
      <c r="C7168" s="7" t="s">
        <v>10</v>
      </c>
      <c r="D7168" s="7">
        <v>6650</v>
      </c>
      <c r="E7168" s="7" t="s">
        <v>35</v>
      </c>
      <c r="F7168" s="8" t="str">
        <f ca="1">IFERROR(__xludf.DUMMYFUNCTION("IF
(
C7169=""фізична особа""
,
VLOOKUP(D7169,IMPORTRANGE(""https://docs.google.com/spreadsheets/d/14Bd19lYaqBhU8_DElYkX7l4wRkHqqCUFNJY4AfY3kHU/edit?usp=sharing  #gid=0"",""фіз особи new!relations_name""),6,FALSE)
,
(IF
(
C7169=""юридична особа""
,
VLOOKUP"&amp;"(D7169,IMPORTRANGE(""https://docs.google.com/spreadsheets/d/14Bd19lYaqBhU8_DElYkX7l4wRkHqqCUFNJY4AfY3kHU/edit?usp=sharing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8" s="7" t="s">
        <v>10</v>
      </c>
      <c r="H7168" s="7">
        <v>6647</v>
      </c>
      <c r="I7168" s="8" t="str">
        <f ca="1">IFERROR(__xludf.DUMMYFUNCTION("IF
(
G7169=""фізична особа""
,
VLOOKUP(H7169,IMPORTRANGE(""https://docs.google.com/spreadsheets/d/14Bd19lYaqBhU8_DElYkX7l4wRkHqqCUFNJY4AfY3kHU/edit?usp=sharing  #gid=0"",""фіз особи new!relations_name""),6,FALSE)
,
(IF
(
G7169=""юридична особа""
,
VLOOKUP"&amp;"(H7169,IMPORTRANGE(""https://docs.google.com/spreadsheets/d/14Bd19lYaqBhU8_DElYkX7l4wRkHqqCUFNJY4AfY3kHU/edit?usp=sharing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68" s="7" t="s">
        <v>35</v>
      </c>
    </row>
    <row r="7169" spans="1:10" ht="13.2">
      <c r="A7169" s="7">
        <v>7168</v>
      </c>
      <c r="B7169" s="7">
        <v>1</v>
      </c>
      <c r="C7169" s="7" t="s">
        <v>10</v>
      </c>
      <c r="D7169" s="7">
        <v>6650</v>
      </c>
      <c r="E7169" s="7" t="s">
        <v>35</v>
      </c>
      <c r="F7169" s="8" t="str">
        <f ca="1">IFERROR(__xludf.DUMMYFUNCTION("IF
(
C7170=""фізична особа""
,
VLOOKUP(D7170,IMPORTRANGE(""https://docs.google.com/spreadsheets/d/14Bd19lYaqBhU8_DElYkX7l4wRkHqqCUFNJY4AfY3kHU/edit?usp=sharing  #gid=0"",""фіз особи new!relations_name""),6,FALSE)
,
(IF
(
C7170=""юридична особа""
,
VLOOKUP"&amp;"(D7170,IMPORTRANGE(""https://docs.google.com/spreadsheets/d/14Bd19lYaqBhU8_DElYkX7l4wRkHqqCUFNJY4AfY3kHU/edit?usp=sharing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69" s="7" t="s">
        <v>10</v>
      </c>
      <c r="H7169" s="7">
        <v>6653</v>
      </c>
      <c r="I7169" s="8" t="str">
        <f ca="1">IFERROR(__xludf.DUMMYFUNCTION("IF
(
G7170=""фізична особа""
,
VLOOKUP(H7170,IMPORTRANGE(""https://docs.google.com/spreadsheets/d/14Bd19lYaqBhU8_DElYkX7l4wRkHqqCUFNJY4AfY3kHU/edit?usp=sharing  #gid=0"",""фіз особи new!relations_name""),6,FALSE)
,
(IF
(
G7170=""юридична особа""
,
VLOOKUP"&amp;"(H7170,IMPORTRANGE(""https://docs.google.com/spreadsheets/d/14Bd19lYaqBhU8_DElYkX7l4wRkHqqCUFNJY4AfY3kHU/edit?usp=sharing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69" s="7" t="s">
        <v>35</v>
      </c>
    </row>
    <row r="7170" spans="1:10" ht="13.2">
      <c r="A7170" s="7">
        <v>7169</v>
      </c>
      <c r="B7170" s="7">
        <v>1</v>
      </c>
      <c r="C7170" s="7" t="s">
        <v>10</v>
      </c>
      <c r="D7170" s="7">
        <v>6650</v>
      </c>
      <c r="E7170" s="7" t="s">
        <v>35</v>
      </c>
      <c r="F7170" s="8" t="str">
        <f ca="1">IFERROR(__xludf.DUMMYFUNCTION("IF
(
C7171=""фізична особа""
,
VLOOKUP(D7171,IMPORTRANGE(""https://docs.google.com/spreadsheets/d/14Bd19lYaqBhU8_DElYkX7l4wRkHqqCUFNJY4AfY3kHU/edit?usp=sharing  #gid=0"",""фіз особи new!relations_name""),6,FALSE)
,
(IF
(
C7171=""юридична особа""
,
VLOOKUP"&amp;"(D7171,IMPORTRANGE(""https://docs.google.com/spreadsheets/d/14Bd19lYaqBhU8_DElYkX7l4wRkHqqCUFNJY4AfY3kHU/edit?usp=sharing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0" s="7" t="s">
        <v>10</v>
      </c>
      <c r="H7170" s="7">
        <v>6656</v>
      </c>
      <c r="I7170" s="8" t="str">
        <f ca="1">IFERROR(__xludf.DUMMYFUNCTION("IF
(
G7171=""фізична особа""
,
VLOOKUP(H7171,IMPORTRANGE(""https://docs.google.com/spreadsheets/d/14Bd19lYaqBhU8_DElYkX7l4wRkHqqCUFNJY4AfY3kHU/edit?usp=sharing  #gid=0"",""фіз особи new!relations_name""),6,FALSE)
,
(IF
(
G7171=""юридична особа""
,
VLOOKUP"&amp;"(H7171,IMPORTRANGE(""https://docs.google.com/spreadsheets/d/14Bd19lYaqBhU8_DElYkX7l4wRkHqqCUFNJY4AfY3kHU/edit?usp=sharing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70" s="7" t="s">
        <v>35</v>
      </c>
    </row>
    <row r="7171" spans="1:10" ht="13.2">
      <c r="A7171" s="7">
        <v>7170</v>
      </c>
      <c r="B7171" s="7">
        <v>1</v>
      </c>
      <c r="C7171" s="7" t="s">
        <v>10</v>
      </c>
      <c r="D7171" s="7">
        <v>6650</v>
      </c>
      <c r="E7171" s="7" t="s">
        <v>35</v>
      </c>
      <c r="F7171" s="8" t="str">
        <f ca="1">IFERROR(__xludf.DUMMYFUNCTION("IF
(
C7172=""фізична особа""
,
VLOOKUP(D7172,IMPORTRANGE(""https://docs.google.com/spreadsheets/d/14Bd19lYaqBhU8_DElYkX7l4wRkHqqCUFNJY4AfY3kHU/edit?usp=sharing  #gid=0"",""фіз особи new!relations_name""),6,FALSE)
,
(IF
(
C7172=""юридична особа""
,
VLOOKUP"&amp;"(D7172,IMPORTRANGE(""https://docs.google.com/spreadsheets/d/14Bd19lYaqBhU8_DElYkX7l4wRkHqqCUFNJY4AfY3kHU/edit?usp=sharing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1" s="7" t="s">
        <v>10</v>
      </c>
      <c r="H7171" s="7">
        <v>6658</v>
      </c>
      <c r="I7171" s="8" t="str">
        <f ca="1">IFERROR(__xludf.DUMMYFUNCTION("IF
(
G7172=""фізична особа""
,
VLOOKUP(H7172,IMPORTRANGE(""https://docs.google.com/spreadsheets/d/14Bd19lYaqBhU8_DElYkX7l4wRkHqqCUFNJY4AfY3kHU/edit?usp=sharing  #gid=0"",""фіз особи new!relations_name""),6,FALSE)
,
(IF
(
G7172=""юридична особа""
,
VLOOKUP"&amp;"(H7172,IMPORTRANGE(""https://docs.google.com/spreadsheets/d/14Bd19lYaqBhU8_DElYkX7l4wRkHqqCUFNJY4AfY3kHU/edit?usp=sharing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71" s="7" t="s">
        <v>35</v>
      </c>
    </row>
    <row r="7172" spans="1:10" ht="13.2">
      <c r="A7172" s="7">
        <v>7171</v>
      </c>
      <c r="B7172" s="7">
        <v>1</v>
      </c>
      <c r="C7172" s="7" t="s">
        <v>10</v>
      </c>
      <c r="D7172" s="7">
        <v>6650</v>
      </c>
      <c r="E7172" s="7" t="s">
        <v>35</v>
      </c>
      <c r="F7172" s="8" t="str">
        <f ca="1">IFERROR(__xludf.DUMMYFUNCTION("IF
(
C7173=""фізична особа""
,
VLOOKUP(D7173,IMPORTRANGE(""https://docs.google.com/spreadsheets/d/14Bd19lYaqBhU8_DElYkX7l4wRkHqqCUFNJY4AfY3kHU/edit?usp=sharing  #gid=0"",""фіз особи new!relations_name""),6,FALSE)
,
(IF
(
C7173=""юридична особа""
,
VLOOKUP"&amp;"(D7173,IMPORTRANGE(""https://docs.google.com/spreadsheets/d/14Bd19lYaqBhU8_DElYkX7l4wRkHqqCUFNJY4AfY3kHU/edit?usp=sharing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2" s="7" t="s">
        <v>10</v>
      </c>
      <c r="H7172" s="7">
        <v>6652</v>
      </c>
      <c r="I7172" s="8" t="str">
        <f ca="1">IFERROR(__xludf.DUMMYFUNCTION("IF
(
G7173=""фізична особа""
,
VLOOKUP(H7173,IMPORTRANGE(""https://docs.google.com/spreadsheets/d/14Bd19lYaqBhU8_DElYkX7l4wRkHqqCUFNJY4AfY3kHU/edit?usp=sharing  #gid=0"",""фіз особи new!relations_name""),6,FALSE)
,
(IF
(
G7173=""юридична особа""
,
VLOOKUP"&amp;"(H7173,IMPORTRANGE(""https://docs.google.com/spreadsheets/d/14Bd19lYaqBhU8_DElYkX7l4wRkHqqCUFNJY4AfY3kHU/edit?usp=sharing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72" s="7" t="s">
        <v>35</v>
      </c>
    </row>
    <row r="7173" spans="1:10" ht="13.2">
      <c r="A7173" s="7">
        <v>7172</v>
      </c>
      <c r="B7173" s="7">
        <v>1</v>
      </c>
      <c r="C7173" s="7" t="s">
        <v>10</v>
      </c>
      <c r="D7173" s="7">
        <v>6650</v>
      </c>
      <c r="E7173" s="7" t="s">
        <v>28</v>
      </c>
      <c r="F7173" s="8" t="str">
        <f ca="1">IFERROR(__xludf.DUMMYFUNCTION("IF
(
C7174=""фізична особа""
,
VLOOKUP(D7174,IMPORTRANGE(""https://docs.google.com/spreadsheets/d/14Bd19lYaqBhU8_DElYkX7l4wRkHqqCUFNJY4AfY3kHU/edit?usp=sharing  #gid=0"",""фіз особи new!relations_name""),6,FALSE)
,
(IF
(
C7174=""юридична особа""
,
VLOOKUP"&amp;"(D7174,IMPORTRANGE(""https://docs.google.com/spreadsheets/d/14Bd19lYaqBhU8_DElYkX7l4wRkHqqCUFNJY4AfY3kHU/edit?usp=sharing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3" s="7" t="s">
        <v>10</v>
      </c>
      <c r="H7173" s="7">
        <v>6645</v>
      </c>
      <c r="I7173" s="8" t="str">
        <f ca="1">IFERROR(__xludf.DUMMYFUNCTION("IF
(
G7174=""фізична особа""
,
VLOOKUP(H7174,IMPORTRANGE(""https://docs.google.com/spreadsheets/d/14Bd19lYaqBhU8_DElYkX7l4wRkHqqCUFNJY4AfY3kHU/edit?usp=sharing  #gid=0"",""фіз особи new!relations_name""),6,FALSE)
,
(IF
(
G7174=""юридична особа""
,
VLOOKUP"&amp;"(H7174,IMPORTRANGE(""https://docs.google.com/spreadsheets/d/14Bd19lYaqBhU8_DElYkX7l4wRkHqqCUFNJY4AfY3kHU/edit?usp=sharing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73" s="7" t="s">
        <v>29</v>
      </c>
    </row>
    <row r="7174" spans="1:10" ht="13.2">
      <c r="A7174" s="7">
        <v>7173</v>
      </c>
      <c r="B7174" s="7">
        <v>1</v>
      </c>
      <c r="C7174" s="7" t="s">
        <v>10</v>
      </c>
      <c r="D7174" s="7">
        <v>6650</v>
      </c>
      <c r="E7174" s="7" t="s">
        <v>35</v>
      </c>
      <c r="F7174" s="8" t="str">
        <f ca="1">IFERROR(__xludf.DUMMYFUNCTION("IF
(
C7175=""фізична особа""
,
VLOOKUP(D7175,IMPORTRANGE(""https://docs.google.com/spreadsheets/d/14Bd19lYaqBhU8_DElYkX7l4wRkHqqCUFNJY4AfY3kHU/edit?usp=sharing  #gid=0"",""фіз особи new!relations_name""),6,FALSE)
,
(IF
(
C7175=""юридична особа""
,
VLOOKUP"&amp;"(D7175,IMPORTRANGE(""https://docs.google.com/spreadsheets/d/14Bd19lYaqBhU8_DElYkX7l4wRkHqqCUFNJY4AfY3kHU/edit?usp=sharing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4" s="7" t="s">
        <v>10</v>
      </c>
      <c r="H7174" s="7">
        <v>6654</v>
      </c>
      <c r="I7174" s="8" t="str">
        <f ca="1">IFERROR(__xludf.DUMMYFUNCTION("IF
(
G7175=""фізична особа""
,
VLOOKUP(H7175,IMPORTRANGE(""https://docs.google.com/spreadsheets/d/14Bd19lYaqBhU8_DElYkX7l4wRkHqqCUFNJY4AfY3kHU/edit?usp=sharing  #gid=0"",""фіз особи new!relations_name""),6,FALSE)
,
(IF
(
G7175=""юридична особа""
,
VLOOKUP"&amp;"(H7175,IMPORTRANGE(""https://docs.google.com/spreadsheets/d/14Bd19lYaqBhU8_DElYkX7l4wRkHqqCUFNJY4AfY3kHU/edit?usp=sharing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74" s="7" t="s">
        <v>35</v>
      </c>
    </row>
    <row r="7175" spans="1:10" ht="13.2">
      <c r="A7175" s="7">
        <v>7174</v>
      </c>
      <c r="B7175" s="7">
        <v>1</v>
      </c>
      <c r="C7175" s="7" t="s">
        <v>10</v>
      </c>
      <c r="D7175" s="7">
        <v>6650</v>
      </c>
      <c r="E7175" s="7" t="s">
        <v>35</v>
      </c>
      <c r="F7175" s="8" t="str">
        <f ca="1">IFERROR(__xludf.DUMMYFUNCTION("IF
(
C7176=""фізична особа""
,
VLOOKUP(D7176,IMPORTRANGE(""https://docs.google.com/spreadsheets/d/14Bd19lYaqBhU8_DElYkX7l4wRkHqqCUFNJY4AfY3kHU/edit?usp=sharing  #gid=0"",""фіз особи new!relations_name""),6,FALSE)
,
(IF
(
C7176=""юридична особа""
,
VLOOKUP"&amp;"(D7176,IMPORTRANGE(""https://docs.google.com/spreadsheets/d/14Bd19lYaqBhU8_DElYkX7l4wRkHqqCUFNJY4AfY3kHU/edit?usp=sharing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5" s="7" t="s">
        <v>10</v>
      </c>
      <c r="H7175" s="7">
        <v>6655</v>
      </c>
      <c r="I7175" s="8" t="str">
        <f ca="1">IFERROR(__xludf.DUMMYFUNCTION("IF
(
G7176=""фізична особа""
,
VLOOKUP(H7176,IMPORTRANGE(""https://docs.google.com/spreadsheets/d/14Bd19lYaqBhU8_DElYkX7l4wRkHqqCUFNJY4AfY3kHU/edit?usp=sharing  #gid=0"",""фіз особи new!relations_name""),6,FALSE)
,
(IF
(
G7176=""юридична особа""
,
VLOOKUP"&amp;"(H7176,IMPORTRANGE(""https://docs.google.com/spreadsheets/d/14Bd19lYaqBhU8_DElYkX7l4wRkHqqCUFNJY4AfY3kHU/edit?usp=sharing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75" s="7" t="s">
        <v>35</v>
      </c>
    </row>
    <row r="7176" spans="1:10" ht="13.2">
      <c r="A7176" s="7">
        <v>7175</v>
      </c>
      <c r="B7176" s="7">
        <v>1</v>
      </c>
      <c r="C7176" s="7" t="s">
        <v>10</v>
      </c>
      <c r="D7176" s="7">
        <v>6650</v>
      </c>
      <c r="E7176" s="7" t="s">
        <v>35</v>
      </c>
      <c r="F7176" s="8" t="str">
        <f ca="1">IFERROR(__xludf.DUMMYFUNCTION("IF
(
C7177=""фізична особа""
,
VLOOKUP(D7177,IMPORTRANGE(""https://docs.google.com/spreadsheets/d/14Bd19lYaqBhU8_DElYkX7l4wRkHqqCUFNJY4AfY3kHU/edit?usp=sharing  #gid=0"",""фіз особи new!relations_name""),6,FALSE)
,
(IF
(
C7177=""юридична особа""
,
VLOOKUP"&amp;"(D7177,IMPORTRANGE(""https://docs.google.com/spreadsheets/d/14Bd19lYaqBhU8_DElYkX7l4wRkHqqCUFNJY4AfY3kHU/edit?usp=sharing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6" s="7" t="s">
        <v>10</v>
      </c>
      <c r="H7176" s="7">
        <v>6651</v>
      </c>
      <c r="I7176" s="8" t="str">
        <f ca="1">IFERROR(__xludf.DUMMYFUNCTION("IF
(
G7177=""фізична особа""
,
VLOOKUP(H7177,IMPORTRANGE(""https://docs.google.com/spreadsheets/d/14Bd19lYaqBhU8_DElYkX7l4wRkHqqCUFNJY4AfY3kHU/edit?usp=sharing  #gid=0"",""фіз особи new!relations_name""),6,FALSE)
,
(IF
(
G7177=""юридична особа""
,
VLOOKUP"&amp;"(H7177,IMPORTRANGE(""https://docs.google.com/spreadsheets/d/14Bd19lYaqBhU8_DElYkX7l4wRkHqqCUFNJY4AfY3kHU/edit?usp=sharing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176" s="7" t="s">
        <v>35</v>
      </c>
    </row>
    <row r="7177" spans="1:10" ht="13.2">
      <c r="A7177" s="7">
        <v>7176</v>
      </c>
      <c r="B7177" s="7">
        <v>1</v>
      </c>
      <c r="C7177" s="7" t="s">
        <v>10</v>
      </c>
      <c r="D7177" s="7">
        <v>6650</v>
      </c>
      <c r="E7177" s="7" t="s">
        <v>28</v>
      </c>
      <c r="F7177" s="8" t="str">
        <f ca="1">IFERROR(__xludf.DUMMYFUNCTION("IF
(
C7178=""фізична особа""
,
VLOOKUP(D7178,IMPORTRANGE(""https://docs.google.com/spreadsheets/d/14Bd19lYaqBhU8_DElYkX7l4wRkHqqCUFNJY4AfY3kHU/edit?usp=sharing  #gid=0"",""фіз особи new!relations_name""),6,FALSE)
,
(IF
(
C7178=""юридична особа""
,
VLOOKUP"&amp;"(D7178,IMPORTRANGE(""https://docs.google.com/spreadsheets/d/14Bd19lYaqBhU8_DElYkX7l4wRkHqqCUFNJY4AfY3kHU/edit?usp=sharing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G7177" s="7" t="s">
        <v>10</v>
      </c>
      <c r="H7177" s="7">
        <v>6657</v>
      </c>
      <c r="I7177" s="8" t="str">
        <f ca="1">IFERROR(__xludf.DUMMYFUNCTION("IF
(
G7178=""фізична особа""
,
VLOOKUP(H7178,IMPORTRANGE(""https://docs.google.com/spreadsheets/d/14Bd19lYaqBhU8_DElYkX7l4wRkHqqCUFNJY4AfY3kHU/edit?usp=sharing  #gid=0"",""фіз особи new!relations_name""),6,FALSE)
,
(IF
(
G7178=""юридична особа""
,
VLOOKUP"&amp;"(H7178,IMPORTRANGE(""https://docs.google.com/spreadsheets/d/14Bd19lYaqBhU8_DElYkX7l4wRkHqqCUFNJY4AfY3kHU/edit?usp=sharing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77" s="7" t="s">
        <v>29</v>
      </c>
    </row>
    <row r="7178" spans="1:10" ht="13.2">
      <c r="A7178" s="7">
        <v>7177</v>
      </c>
      <c r="B7178" s="7">
        <v>1</v>
      </c>
      <c r="C7178" s="7" t="s">
        <v>10</v>
      </c>
      <c r="D7178" s="7">
        <v>6651</v>
      </c>
      <c r="E7178" s="7" t="s">
        <v>35</v>
      </c>
      <c r="F7178" s="8" t="str">
        <f ca="1">IFERROR(__xludf.DUMMYFUNCTION("IF
(
C7179=""фізична особа""
,
VLOOKUP(D7179,IMPORTRANGE(""https://docs.google.com/spreadsheets/d/14Bd19lYaqBhU8_DElYkX7l4wRkHqqCUFNJY4AfY3kHU/edit?usp=sharing  #gid=0"",""фіз особи new!relations_name""),6,FALSE)
,
(IF
(
C7179=""юридична особа""
,
VLOOKUP"&amp;"(D7179,IMPORTRANGE(""https://docs.google.com/spreadsheets/d/14Bd19lYaqBhU8_DElYkX7l4wRkHqqCUFNJY4AfY3kHU/edit?usp=sharing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78" s="7" t="s">
        <v>10</v>
      </c>
      <c r="H7178" s="7">
        <v>6649</v>
      </c>
      <c r="I7178" s="8" t="str">
        <f ca="1">IFERROR(__xludf.DUMMYFUNCTION("IF
(
G7179=""фізична особа""
,
VLOOKUP(H7179,IMPORTRANGE(""https://docs.google.com/spreadsheets/d/14Bd19lYaqBhU8_DElYkX7l4wRkHqqCUFNJY4AfY3kHU/edit?usp=sharing  #gid=0"",""фіз особи new!relations_name""),6,FALSE)
,
(IF
(
G7179=""юридична особа""
,
VLOOKUP"&amp;"(H7179,IMPORTRANGE(""https://docs.google.com/spreadsheets/d/14Bd19lYaqBhU8_DElYkX7l4wRkHqqCUFNJY4AfY3kHU/edit?usp=sharing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78" s="7" t="s">
        <v>35</v>
      </c>
    </row>
    <row r="7179" spans="1:10" ht="13.2">
      <c r="A7179" s="7">
        <v>7178</v>
      </c>
      <c r="B7179" s="7">
        <v>1</v>
      </c>
      <c r="C7179" s="7" t="s">
        <v>10</v>
      </c>
      <c r="D7179" s="7">
        <v>6651</v>
      </c>
      <c r="E7179" s="7" t="s">
        <v>35</v>
      </c>
      <c r="F7179" s="8" t="str">
        <f ca="1">IFERROR(__xludf.DUMMYFUNCTION("IF
(
C7180=""фізична особа""
,
VLOOKUP(D7180,IMPORTRANGE(""https://docs.google.com/spreadsheets/d/14Bd19lYaqBhU8_DElYkX7l4wRkHqqCUFNJY4AfY3kHU/edit?usp=sharing  #gid=0"",""фіз особи new!relations_name""),6,FALSE)
,
(IF
(
C7180=""юридична особа""
,
VLOOKUP"&amp;"(D7180,IMPORTRANGE(""https://docs.google.com/spreadsheets/d/14Bd19lYaqBhU8_DElYkX7l4wRkHqqCUFNJY4AfY3kHU/edit?usp=sharing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79" s="7" t="s">
        <v>10</v>
      </c>
      <c r="H7179" s="7">
        <v>6648</v>
      </c>
      <c r="I7179" s="8" t="str">
        <f ca="1">IFERROR(__xludf.DUMMYFUNCTION("IF
(
G7180=""фізична особа""
,
VLOOKUP(H7180,IMPORTRANGE(""https://docs.google.com/spreadsheets/d/14Bd19lYaqBhU8_DElYkX7l4wRkHqqCUFNJY4AfY3kHU/edit?usp=sharing  #gid=0"",""фіз особи new!relations_name""),6,FALSE)
,
(IF
(
G7180=""юридична особа""
,
VLOOKUP"&amp;"(H7180,IMPORTRANGE(""https://docs.google.com/spreadsheets/d/14Bd19lYaqBhU8_DElYkX7l4wRkHqqCUFNJY4AfY3kHU/edit?usp=sharing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79" s="7" t="s">
        <v>35</v>
      </c>
    </row>
    <row r="7180" spans="1:10" ht="13.2">
      <c r="A7180" s="7">
        <v>7179</v>
      </c>
      <c r="B7180" s="7">
        <v>1</v>
      </c>
      <c r="C7180" s="7" t="s">
        <v>10</v>
      </c>
      <c r="D7180" s="7">
        <v>6651</v>
      </c>
      <c r="E7180" s="7" t="s">
        <v>35</v>
      </c>
      <c r="F7180" s="8" t="str">
        <f ca="1">IFERROR(__xludf.DUMMYFUNCTION("IF
(
C7181=""фізична особа""
,
VLOOKUP(D7181,IMPORTRANGE(""https://docs.google.com/spreadsheets/d/14Bd19lYaqBhU8_DElYkX7l4wRkHqqCUFNJY4AfY3kHU/edit?usp=sharing  #gid=0"",""фіз особи new!relations_name""),6,FALSE)
,
(IF
(
C7181=""юридична особа""
,
VLOOKUP"&amp;"(D7181,IMPORTRANGE(""https://docs.google.com/spreadsheets/d/14Bd19lYaqBhU8_DElYkX7l4wRkHqqCUFNJY4AfY3kHU/edit?usp=sharing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0" s="7" t="s">
        <v>10</v>
      </c>
      <c r="H7180" s="7">
        <v>6659</v>
      </c>
      <c r="I7180" s="8" t="str">
        <f ca="1">IFERROR(__xludf.DUMMYFUNCTION("IF
(
G7181=""фізична особа""
,
VLOOKUP(H7181,IMPORTRANGE(""https://docs.google.com/spreadsheets/d/14Bd19lYaqBhU8_DElYkX7l4wRkHqqCUFNJY4AfY3kHU/edit?usp=sharing  #gid=0"",""фіз особи new!relations_name""),6,FALSE)
,
(IF
(
G7181=""юридична особа""
,
VLOOKUP"&amp;"(H7181,IMPORTRANGE(""https://docs.google.com/spreadsheets/d/14Bd19lYaqBhU8_DElYkX7l4wRkHqqCUFNJY4AfY3kHU/edit?usp=sharing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80" s="7" t="s">
        <v>35</v>
      </c>
    </row>
    <row r="7181" spans="1:10" ht="13.2">
      <c r="A7181" s="7">
        <v>7180</v>
      </c>
      <c r="B7181" s="7">
        <v>1</v>
      </c>
      <c r="C7181" s="7" t="s">
        <v>10</v>
      </c>
      <c r="D7181" s="7">
        <v>6651</v>
      </c>
      <c r="E7181" s="7" t="s">
        <v>35</v>
      </c>
      <c r="F7181" s="8" t="str">
        <f ca="1">IFERROR(__xludf.DUMMYFUNCTION("IF
(
C7182=""фізична особа""
,
VLOOKUP(D7182,IMPORTRANGE(""https://docs.google.com/spreadsheets/d/14Bd19lYaqBhU8_DElYkX7l4wRkHqqCUFNJY4AfY3kHU/edit?usp=sharing  #gid=0"",""фіз особи new!relations_name""),6,FALSE)
,
(IF
(
C7182=""юридична особа""
,
VLOOKUP"&amp;"(D7182,IMPORTRANGE(""https://docs.google.com/spreadsheets/d/14Bd19lYaqBhU8_DElYkX7l4wRkHqqCUFNJY4AfY3kHU/edit?usp=sharing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1" s="7" t="s">
        <v>10</v>
      </c>
      <c r="H7181" s="7">
        <v>6646</v>
      </c>
      <c r="I7181" s="8" t="str">
        <f ca="1">IFERROR(__xludf.DUMMYFUNCTION("IF
(
G7182=""фізична особа""
,
VLOOKUP(H7182,IMPORTRANGE(""https://docs.google.com/spreadsheets/d/14Bd19lYaqBhU8_DElYkX7l4wRkHqqCUFNJY4AfY3kHU/edit?usp=sharing  #gid=0"",""фіз особи new!relations_name""),6,FALSE)
,
(IF
(
G7182=""юридична особа""
,
VLOOKUP"&amp;"(H7182,IMPORTRANGE(""https://docs.google.com/spreadsheets/d/14Bd19lYaqBhU8_DElYkX7l4wRkHqqCUFNJY4AfY3kHU/edit?usp=sharing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81" s="7" t="s">
        <v>35</v>
      </c>
    </row>
    <row r="7182" spans="1:10" ht="13.2">
      <c r="A7182" s="7">
        <v>7181</v>
      </c>
      <c r="B7182" s="7">
        <v>1</v>
      </c>
      <c r="C7182" s="7" t="s">
        <v>10</v>
      </c>
      <c r="D7182" s="7">
        <v>6651</v>
      </c>
      <c r="E7182" s="7" t="s">
        <v>35</v>
      </c>
      <c r="F7182" s="8" t="str">
        <f ca="1">IFERROR(__xludf.DUMMYFUNCTION("IF
(
C7183=""фізична особа""
,
VLOOKUP(D7183,IMPORTRANGE(""https://docs.google.com/spreadsheets/d/14Bd19lYaqBhU8_DElYkX7l4wRkHqqCUFNJY4AfY3kHU/edit?usp=sharing  #gid=0"",""фіз особи new!relations_name""),6,FALSE)
,
(IF
(
C7183=""юридична особа""
,
VLOOKUP"&amp;"(D7183,IMPORTRANGE(""https://docs.google.com/spreadsheets/d/14Bd19lYaqBhU8_DElYkX7l4wRkHqqCUFNJY4AfY3kHU/edit?usp=sharing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2" s="7" t="s">
        <v>10</v>
      </c>
      <c r="H7182" s="7">
        <v>6647</v>
      </c>
      <c r="I7182" s="8" t="str">
        <f ca="1">IFERROR(__xludf.DUMMYFUNCTION("IF
(
G7183=""фізична особа""
,
VLOOKUP(H7183,IMPORTRANGE(""https://docs.google.com/spreadsheets/d/14Bd19lYaqBhU8_DElYkX7l4wRkHqqCUFNJY4AfY3kHU/edit?usp=sharing  #gid=0"",""фіз особи new!relations_name""),6,FALSE)
,
(IF
(
G7183=""юридична особа""
,
VLOOKUP"&amp;"(H7183,IMPORTRANGE(""https://docs.google.com/spreadsheets/d/14Bd19lYaqBhU8_DElYkX7l4wRkHqqCUFNJY4AfY3kHU/edit?usp=sharing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82" s="7" t="s">
        <v>35</v>
      </c>
    </row>
    <row r="7183" spans="1:10" ht="13.2">
      <c r="A7183" s="7">
        <v>7182</v>
      </c>
      <c r="B7183" s="7">
        <v>1</v>
      </c>
      <c r="C7183" s="7" t="s">
        <v>10</v>
      </c>
      <c r="D7183" s="7">
        <v>6651</v>
      </c>
      <c r="E7183" s="7" t="s">
        <v>35</v>
      </c>
      <c r="F7183" s="8" t="str">
        <f ca="1">IFERROR(__xludf.DUMMYFUNCTION("IF
(
C7184=""фізична особа""
,
VLOOKUP(D7184,IMPORTRANGE(""https://docs.google.com/spreadsheets/d/14Bd19lYaqBhU8_DElYkX7l4wRkHqqCUFNJY4AfY3kHU/edit?usp=sharing  #gid=0"",""фіз особи new!relations_name""),6,FALSE)
,
(IF
(
C7184=""юридична особа""
,
VLOOKUP"&amp;"(D7184,IMPORTRANGE(""https://docs.google.com/spreadsheets/d/14Bd19lYaqBhU8_DElYkX7l4wRkHqqCUFNJY4AfY3kHU/edit?usp=sharing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3" s="7" t="s">
        <v>10</v>
      </c>
      <c r="H7183" s="7">
        <v>6653</v>
      </c>
      <c r="I7183" s="8" t="str">
        <f ca="1">IFERROR(__xludf.DUMMYFUNCTION("IF
(
G7184=""фізична особа""
,
VLOOKUP(H7184,IMPORTRANGE(""https://docs.google.com/spreadsheets/d/14Bd19lYaqBhU8_DElYkX7l4wRkHqqCUFNJY4AfY3kHU/edit?usp=sharing  #gid=0"",""фіз особи new!relations_name""),6,FALSE)
,
(IF
(
G7184=""юридична особа""
,
VLOOKUP"&amp;"(H7184,IMPORTRANGE(""https://docs.google.com/spreadsheets/d/14Bd19lYaqBhU8_DElYkX7l4wRkHqqCUFNJY4AfY3kHU/edit?usp=sharing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83" s="7" t="s">
        <v>35</v>
      </c>
    </row>
    <row r="7184" spans="1:10" ht="13.2">
      <c r="A7184" s="7">
        <v>7183</v>
      </c>
      <c r="B7184" s="7">
        <v>1</v>
      </c>
      <c r="C7184" s="7" t="s">
        <v>10</v>
      </c>
      <c r="D7184" s="7">
        <v>6651</v>
      </c>
      <c r="E7184" s="7" t="s">
        <v>35</v>
      </c>
      <c r="F7184" s="8" t="str">
        <f ca="1">IFERROR(__xludf.DUMMYFUNCTION("IF
(
C7185=""фізична особа""
,
VLOOKUP(D7185,IMPORTRANGE(""https://docs.google.com/spreadsheets/d/14Bd19lYaqBhU8_DElYkX7l4wRkHqqCUFNJY4AfY3kHU/edit?usp=sharing  #gid=0"",""фіз особи new!relations_name""),6,FALSE)
,
(IF
(
C7185=""юридична особа""
,
VLOOKUP"&amp;"(D7185,IMPORTRANGE(""https://docs.google.com/spreadsheets/d/14Bd19lYaqBhU8_DElYkX7l4wRkHqqCUFNJY4AfY3kHU/edit?usp=sharing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4" s="7" t="s">
        <v>10</v>
      </c>
      <c r="H7184" s="7">
        <v>6656</v>
      </c>
      <c r="I7184" s="8" t="str">
        <f ca="1">IFERROR(__xludf.DUMMYFUNCTION("IF
(
G7185=""фізична особа""
,
VLOOKUP(H7185,IMPORTRANGE(""https://docs.google.com/spreadsheets/d/14Bd19lYaqBhU8_DElYkX7l4wRkHqqCUFNJY4AfY3kHU/edit?usp=sharing  #gid=0"",""фіз особи new!relations_name""),6,FALSE)
,
(IF
(
G7185=""юридична особа""
,
VLOOKUP"&amp;"(H7185,IMPORTRANGE(""https://docs.google.com/spreadsheets/d/14Bd19lYaqBhU8_DElYkX7l4wRkHqqCUFNJY4AfY3kHU/edit?usp=sharing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84" s="7" t="s">
        <v>35</v>
      </c>
    </row>
    <row r="7185" spans="1:10" ht="13.2">
      <c r="A7185" s="7">
        <v>7184</v>
      </c>
      <c r="B7185" s="7">
        <v>1</v>
      </c>
      <c r="C7185" s="7" t="s">
        <v>10</v>
      </c>
      <c r="D7185" s="7">
        <v>6651</v>
      </c>
      <c r="E7185" s="7" t="s">
        <v>35</v>
      </c>
      <c r="F7185" s="8" t="str">
        <f ca="1">IFERROR(__xludf.DUMMYFUNCTION("IF
(
C7186=""фізична особа""
,
VLOOKUP(D7186,IMPORTRANGE(""https://docs.google.com/spreadsheets/d/14Bd19lYaqBhU8_DElYkX7l4wRkHqqCUFNJY4AfY3kHU/edit?usp=sharing  #gid=0"",""фіз особи new!relations_name""),6,FALSE)
,
(IF
(
C7186=""юридична особа""
,
VLOOKUP"&amp;"(D7186,IMPORTRANGE(""https://docs.google.com/spreadsheets/d/14Bd19lYaqBhU8_DElYkX7l4wRkHqqCUFNJY4AfY3kHU/edit?usp=sharing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5" s="7" t="s">
        <v>10</v>
      </c>
      <c r="H7185" s="7">
        <v>6658</v>
      </c>
      <c r="I7185" s="8" t="str">
        <f ca="1">IFERROR(__xludf.DUMMYFUNCTION("IF
(
G7186=""фізична особа""
,
VLOOKUP(H7186,IMPORTRANGE(""https://docs.google.com/spreadsheets/d/14Bd19lYaqBhU8_DElYkX7l4wRkHqqCUFNJY4AfY3kHU/edit?usp=sharing  #gid=0"",""фіз особи new!relations_name""),6,FALSE)
,
(IF
(
G7186=""юридична особа""
,
VLOOKUP"&amp;"(H7186,IMPORTRANGE(""https://docs.google.com/spreadsheets/d/14Bd19lYaqBhU8_DElYkX7l4wRkHqqCUFNJY4AfY3kHU/edit?usp=sharing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85" s="7" t="s">
        <v>35</v>
      </c>
    </row>
    <row r="7186" spans="1:10" ht="13.2">
      <c r="A7186" s="7">
        <v>7185</v>
      </c>
      <c r="B7186" s="7">
        <v>1</v>
      </c>
      <c r="C7186" s="7" t="s">
        <v>10</v>
      </c>
      <c r="D7186" s="7">
        <v>6651</v>
      </c>
      <c r="E7186" s="7" t="s">
        <v>35</v>
      </c>
      <c r="F7186" s="8" t="str">
        <f ca="1">IFERROR(__xludf.DUMMYFUNCTION("IF
(
C7187=""фізична особа""
,
VLOOKUP(D7187,IMPORTRANGE(""https://docs.google.com/spreadsheets/d/14Bd19lYaqBhU8_DElYkX7l4wRkHqqCUFNJY4AfY3kHU/edit?usp=sharing  #gid=0"",""фіз особи new!relations_name""),6,FALSE)
,
(IF
(
C7187=""юридична особа""
,
VLOOKUP"&amp;"(D7187,IMPORTRANGE(""https://docs.google.com/spreadsheets/d/14Bd19lYaqBhU8_DElYkX7l4wRkHqqCUFNJY4AfY3kHU/edit?usp=sharing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6" s="7" t="s">
        <v>10</v>
      </c>
      <c r="H7186" s="7">
        <v>6652</v>
      </c>
      <c r="I7186" s="8" t="str">
        <f ca="1">IFERROR(__xludf.DUMMYFUNCTION("IF
(
G7187=""фізична особа""
,
VLOOKUP(H7187,IMPORTRANGE(""https://docs.google.com/spreadsheets/d/14Bd19lYaqBhU8_DElYkX7l4wRkHqqCUFNJY4AfY3kHU/edit?usp=sharing  #gid=0"",""фіз особи new!relations_name""),6,FALSE)
,
(IF
(
G7187=""юридична особа""
,
VLOOKUP"&amp;"(H7187,IMPORTRANGE(""https://docs.google.com/spreadsheets/d/14Bd19lYaqBhU8_DElYkX7l4wRkHqqCUFNJY4AfY3kHU/edit?usp=sharing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186" s="7" t="s">
        <v>35</v>
      </c>
    </row>
    <row r="7187" spans="1:10" ht="13.2">
      <c r="A7187" s="7">
        <v>7186</v>
      </c>
      <c r="B7187" s="7">
        <v>1</v>
      </c>
      <c r="C7187" s="7" t="s">
        <v>10</v>
      </c>
      <c r="D7187" s="7">
        <v>6651</v>
      </c>
      <c r="E7187" s="7" t="s">
        <v>28</v>
      </c>
      <c r="F7187" s="8" t="str">
        <f ca="1">IFERROR(__xludf.DUMMYFUNCTION("IF
(
C7188=""фізична особа""
,
VLOOKUP(D7188,IMPORTRANGE(""https://docs.google.com/spreadsheets/d/14Bd19lYaqBhU8_DElYkX7l4wRkHqqCUFNJY4AfY3kHU/edit?usp=sharing  #gid=0"",""фіз особи new!relations_name""),6,FALSE)
,
(IF
(
C7188=""юридична особа""
,
VLOOKUP"&amp;"(D7188,IMPORTRANGE(""https://docs.google.com/spreadsheets/d/14Bd19lYaqBhU8_DElYkX7l4wRkHqqCUFNJY4AfY3kHU/edit?usp=sharing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7" s="7" t="s">
        <v>10</v>
      </c>
      <c r="H7187" s="7">
        <v>6645</v>
      </c>
      <c r="I7187" s="8" t="str">
        <f ca="1">IFERROR(__xludf.DUMMYFUNCTION("IF
(
G7188=""фізична особа""
,
VLOOKUP(H7188,IMPORTRANGE(""https://docs.google.com/spreadsheets/d/14Bd19lYaqBhU8_DElYkX7l4wRkHqqCUFNJY4AfY3kHU/edit?usp=sharing  #gid=0"",""фіз особи new!relations_name""),6,FALSE)
,
(IF
(
G7188=""юридична особа""
,
VLOOKUP"&amp;"(H7188,IMPORTRANGE(""https://docs.google.com/spreadsheets/d/14Bd19lYaqBhU8_DElYkX7l4wRkHqqCUFNJY4AfY3kHU/edit?usp=sharing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187" s="7" t="s">
        <v>29</v>
      </c>
    </row>
    <row r="7188" spans="1:10" ht="13.2">
      <c r="A7188" s="7">
        <v>7187</v>
      </c>
      <c r="B7188" s="7">
        <v>1</v>
      </c>
      <c r="C7188" s="7" t="s">
        <v>10</v>
      </c>
      <c r="D7188" s="7">
        <v>6651</v>
      </c>
      <c r="E7188" s="7" t="s">
        <v>35</v>
      </c>
      <c r="F7188" s="8" t="str">
        <f ca="1">IFERROR(__xludf.DUMMYFUNCTION("IF
(
C7189=""фізична особа""
,
VLOOKUP(D7189,IMPORTRANGE(""https://docs.google.com/spreadsheets/d/14Bd19lYaqBhU8_DElYkX7l4wRkHqqCUFNJY4AfY3kHU/edit?usp=sharing  #gid=0"",""фіз особи new!relations_name""),6,FALSE)
,
(IF
(
C7189=""юридична особа""
,
VLOOKUP"&amp;"(D7189,IMPORTRANGE(""https://docs.google.com/spreadsheets/d/14Bd19lYaqBhU8_DElYkX7l4wRkHqqCUFNJY4AfY3kHU/edit?usp=sharing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8" s="7" t="s">
        <v>10</v>
      </c>
      <c r="H7188" s="7">
        <v>6654</v>
      </c>
      <c r="I7188" s="8" t="str">
        <f ca="1">IFERROR(__xludf.DUMMYFUNCTION("IF
(
G7189=""фізична особа""
,
VLOOKUP(H7189,IMPORTRANGE(""https://docs.google.com/spreadsheets/d/14Bd19lYaqBhU8_DElYkX7l4wRkHqqCUFNJY4AfY3kHU/edit?usp=sharing  #gid=0"",""фіз особи new!relations_name""),6,FALSE)
,
(IF
(
G7189=""юридична особа""
,
VLOOKUP"&amp;"(H7189,IMPORTRANGE(""https://docs.google.com/spreadsheets/d/14Bd19lYaqBhU8_DElYkX7l4wRkHqqCUFNJY4AfY3kHU/edit?usp=sharing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188" s="7" t="s">
        <v>35</v>
      </c>
    </row>
    <row r="7189" spans="1:10" ht="13.2">
      <c r="A7189" s="7">
        <v>7188</v>
      </c>
      <c r="B7189" s="7">
        <v>1</v>
      </c>
      <c r="C7189" s="7" t="s">
        <v>10</v>
      </c>
      <c r="D7189" s="7">
        <v>6651</v>
      </c>
      <c r="E7189" s="7" t="s">
        <v>35</v>
      </c>
      <c r="F7189" s="8" t="str">
        <f ca="1">IFERROR(__xludf.DUMMYFUNCTION("IF
(
C7190=""фізична особа""
,
VLOOKUP(D7190,IMPORTRANGE(""https://docs.google.com/spreadsheets/d/14Bd19lYaqBhU8_DElYkX7l4wRkHqqCUFNJY4AfY3kHU/edit?usp=sharing  #gid=0"",""фіз особи new!relations_name""),6,FALSE)
,
(IF
(
C7190=""юридична особа""
,
VLOOKUP"&amp;"(D7190,IMPORTRANGE(""https://docs.google.com/spreadsheets/d/14Bd19lYaqBhU8_DElYkX7l4wRkHqqCUFNJY4AfY3kHU/edit?usp=sharing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89" s="7" t="s">
        <v>10</v>
      </c>
      <c r="H7189" s="7">
        <v>6655</v>
      </c>
      <c r="I7189" s="8" t="str">
        <f ca="1">IFERROR(__xludf.DUMMYFUNCTION("IF
(
G7190=""фізична особа""
,
VLOOKUP(H7190,IMPORTRANGE(""https://docs.google.com/spreadsheets/d/14Bd19lYaqBhU8_DElYkX7l4wRkHqqCUFNJY4AfY3kHU/edit?usp=sharing  #gid=0"",""фіз особи new!relations_name""),6,FALSE)
,
(IF
(
G7190=""юридична особа""
,
VLOOKUP"&amp;"(H7190,IMPORTRANGE(""https://docs.google.com/spreadsheets/d/14Bd19lYaqBhU8_DElYkX7l4wRkHqqCUFNJY4AfY3kHU/edit?usp=sharing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189" s="7" t="s">
        <v>35</v>
      </c>
    </row>
    <row r="7190" spans="1:10" ht="13.2">
      <c r="A7190" s="7">
        <v>7189</v>
      </c>
      <c r="B7190" s="7">
        <v>1</v>
      </c>
      <c r="C7190" s="7" t="s">
        <v>10</v>
      </c>
      <c r="D7190" s="7">
        <v>6651</v>
      </c>
      <c r="E7190" s="7" t="s">
        <v>35</v>
      </c>
      <c r="F7190" s="8" t="str">
        <f ca="1">IFERROR(__xludf.DUMMYFUNCTION("IF
(
C7191=""фізична особа""
,
VLOOKUP(D7191,IMPORTRANGE(""https://docs.google.com/spreadsheets/d/14Bd19lYaqBhU8_DElYkX7l4wRkHqqCUFNJY4AfY3kHU/edit?usp=sharing  #gid=0"",""фіз особи new!relations_name""),6,FALSE)
,
(IF
(
C7191=""юридична особа""
,
VLOOKUP"&amp;"(D7191,IMPORTRANGE(""https://docs.google.com/spreadsheets/d/14Bd19lYaqBhU8_DElYkX7l4wRkHqqCUFNJY4AfY3kHU/edit?usp=sharing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90" s="7" t="s">
        <v>10</v>
      </c>
      <c r="H7190" s="7">
        <v>6650</v>
      </c>
      <c r="I7190" s="8" t="str">
        <f ca="1">IFERROR(__xludf.DUMMYFUNCTION("IF
(
G7191=""фізична особа""
,
VLOOKUP(H7191,IMPORTRANGE(""https://docs.google.com/spreadsheets/d/14Bd19lYaqBhU8_DElYkX7l4wRkHqqCUFNJY4AfY3kHU/edit?usp=sharing  #gid=0"",""фіз особи new!relations_name""),6,FALSE)
,
(IF
(
G7191=""юридична особа""
,
VLOOKUP"&amp;"(H7191,IMPORTRANGE(""https://docs.google.com/spreadsheets/d/14Bd19lYaqBhU8_DElYkX7l4wRkHqqCUFNJY4AfY3kHU/edit?usp=sharing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190" s="7" t="s">
        <v>35</v>
      </c>
    </row>
    <row r="7191" spans="1:10" ht="13.2">
      <c r="A7191" s="7">
        <v>7190</v>
      </c>
      <c r="B7191" s="7">
        <v>1</v>
      </c>
      <c r="C7191" s="7" t="s">
        <v>10</v>
      </c>
      <c r="D7191" s="7">
        <v>6651</v>
      </c>
      <c r="E7191" s="7" t="s">
        <v>28</v>
      </c>
      <c r="F7191" s="8" t="str">
        <f ca="1">IFERROR(__xludf.DUMMYFUNCTION("IF
(
C7192=""фізична особа""
,
VLOOKUP(D7192,IMPORTRANGE(""https://docs.google.com/spreadsheets/d/14Bd19lYaqBhU8_DElYkX7l4wRkHqqCUFNJY4AfY3kHU/edit?usp=sharing  #gid=0"",""фіз особи new!relations_name""),6,FALSE)
,
(IF
(
C7192=""юридична особа""
,
VLOOKUP"&amp;"(D7192,IMPORTRANGE(""https://docs.google.com/spreadsheets/d/14Bd19lYaqBhU8_DElYkX7l4wRkHqqCUFNJY4AfY3kHU/edit?usp=sharing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G7191" s="7" t="s">
        <v>10</v>
      </c>
      <c r="H7191" s="7">
        <v>6657</v>
      </c>
      <c r="I7191" s="8" t="str">
        <f ca="1">IFERROR(__xludf.DUMMYFUNCTION("IF
(
G7192=""фізична особа""
,
VLOOKUP(H7192,IMPORTRANGE(""https://docs.google.com/spreadsheets/d/14Bd19lYaqBhU8_DElYkX7l4wRkHqqCUFNJY4AfY3kHU/edit?usp=sharing  #gid=0"",""фіз особи new!relations_name""),6,FALSE)
,
(IF
(
G7192=""юридична особа""
,
VLOOKUP"&amp;"(H7192,IMPORTRANGE(""https://docs.google.com/spreadsheets/d/14Bd19lYaqBhU8_DElYkX7l4wRkHqqCUFNJY4AfY3kHU/edit?usp=sharing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191" s="7" t="s">
        <v>29</v>
      </c>
    </row>
    <row r="7192" spans="1:10" ht="13.2">
      <c r="A7192" s="7">
        <v>7191</v>
      </c>
      <c r="B7192" s="7">
        <v>1</v>
      </c>
      <c r="C7192" s="7" t="s">
        <v>10</v>
      </c>
      <c r="D7192" s="7">
        <v>6652</v>
      </c>
      <c r="E7192" s="7" t="s">
        <v>35</v>
      </c>
      <c r="F7192" s="8" t="str">
        <f ca="1">IFERROR(__xludf.DUMMYFUNCTION("IF
(
C7193=""фізична особа""
,
VLOOKUP(D7193,IMPORTRANGE(""https://docs.google.com/spreadsheets/d/14Bd19lYaqBhU8_DElYkX7l4wRkHqqCUFNJY4AfY3kHU/edit?usp=sharing  #gid=0"",""фіз особи new!relations_name""),6,FALSE)
,
(IF
(
C7193=""юридична особа""
,
VLOOKUP"&amp;"(D7193,IMPORTRANGE(""https://docs.google.com/spreadsheets/d/14Bd19lYaqBhU8_DElYkX7l4wRkHqqCUFNJY4AfY3kHU/edit?usp=sharing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2" s="7" t="s">
        <v>10</v>
      </c>
      <c r="H7192" s="7">
        <v>6649</v>
      </c>
      <c r="I7192" s="8" t="str">
        <f ca="1">IFERROR(__xludf.DUMMYFUNCTION("IF
(
G7193=""фізична особа""
,
VLOOKUP(H7193,IMPORTRANGE(""https://docs.google.com/spreadsheets/d/14Bd19lYaqBhU8_DElYkX7l4wRkHqqCUFNJY4AfY3kHU/edit?usp=sharing  #gid=0"",""фіз особи new!relations_name""),6,FALSE)
,
(IF
(
G7193=""юридична особа""
,
VLOOKUP"&amp;"(H7193,IMPORTRANGE(""https://docs.google.com/spreadsheets/d/14Bd19lYaqBhU8_DElYkX7l4wRkHqqCUFNJY4AfY3kHU/edit?usp=sharing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192" s="7" t="s">
        <v>35</v>
      </c>
    </row>
    <row r="7193" spans="1:10" ht="13.2">
      <c r="A7193" s="7">
        <v>7192</v>
      </c>
      <c r="B7193" s="7">
        <v>1</v>
      </c>
      <c r="C7193" s="7" t="s">
        <v>10</v>
      </c>
      <c r="D7193" s="7">
        <v>6652</v>
      </c>
      <c r="E7193" s="7" t="s">
        <v>35</v>
      </c>
      <c r="F7193" s="8" t="str">
        <f ca="1">IFERROR(__xludf.DUMMYFUNCTION("IF
(
C7194=""фізична особа""
,
VLOOKUP(D7194,IMPORTRANGE(""https://docs.google.com/spreadsheets/d/14Bd19lYaqBhU8_DElYkX7l4wRkHqqCUFNJY4AfY3kHU/edit?usp=sharing  #gid=0"",""фіз особи new!relations_name""),6,FALSE)
,
(IF
(
C7194=""юридична особа""
,
VLOOKUP"&amp;"(D7194,IMPORTRANGE(""https://docs.google.com/spreadsheets/d/14Bd19lYaqBhU8_DElYkX7l4wRkHqqCUFNJY4AfY3kHU/edit?usp=sharing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3" s="7" t="s">
        <v>10</v>
      </c>
      <c r="H7193" s="7">
        <v>6648</v>
      </c>
      <c r="I7193" s="8" t="str">
        <f ca="1">IFERROR(__xludf.DUMMYFUNCTION("IF
(
G7194=""фізична особа""
,
VLOOKUP(H7194,IMPORTRANGE(""https://docs.google.com/spreadsheets/d/14Bd19lYaqBhU8_DElYkX7l4wRkHqqCUFNJY4AfY3kHU/edit?usp=sharing  #gid=0"",""фіз особи new!relations_name""),6,FALSE)
,
(IF
(
G7194=""юридична особа""
,
VLOOKUP"&amp;"(H7194,IMPORTRANGE(""https://docs.google.com/spreadsheets/d/14Bd19lYaqBhU8_DElYkX7l4wRkHqqCUFNJY4AfY3kHU/edit?usp=sharing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193" s="7" t="s">
        <v>35</v>
      </c>
    </row>
    <row r="7194" spans="1:10" ht="13.2">
      <c r="A7194" s="7">
        <v>7193</v>
      </c>
      <c r="B7194" s="7">
        <v>1</v>
      </c>
      <c r="C7194" s="7" t="s">
        <v>10</v>
      </c>
      <c r="D7194" s="7">
        <v>6652</v>
      </c>
      <c r="E7194" s="7" t="s">
        <v>35</v>
      </c>
      <c r="F7194" s="8" t="str">
        <f ca="1">IFERROR(__xludf.DUMMYFUNCTION("IF
(
C7195=""фізична особа""
,
VLOOKUP(D7195,IMPORTRANGE(""https://docs.google.com/spreadsheets/d/14Bd19lYaqBhU8_DElYkX7l4wRkHqqCUFNJY4AfY3kHU/edit?usp=sharing  #gid=0"",""фіз особи new!relations_name""),6,FALSE)
,
(IF
(
C7195=""юридична особа""
,
VLOOKUP"&amp;"(D7195,IMPORTRANGE(""https://docs.google.com/spreadsheets/d/14Bd19lYaqBhU8_DElYkX7l4wRkHqqCUFNJY4AfY3kHU/edit?usp=sharing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4" s="7" t="s">
        <v>10</v>
      </c>
      <c r="H7194" s="7">
        <v>6659</v>
      </c>
      <c r="I7194" s="8" t="str">
        <f ca="1">IFERROR(__xludf.DUMMYFUNCTION("IF
(
G7195=""фізична особа""
,
VLOOKUP(H7195,IMPORTRANGE(""https://docs.google.com/spreadsheets/d/14Bd19lYaqBhU8_DElYkX7l4wRkHqqCUFNJY4AfY3kHU/edit?usp=sharing  #gid=0"",""фіз особи new!relations_name""),6,FALSE)
,
(IF
(
G7195=""юридична особа""
,
VLOOKUP"&amp;"(H7195,IMPORTRANGE(""https://docs.google.com/spreadsheets/d/14Bd19lYaqBhU8_DElYkX7l4wRkHqqCUFNJY4AfY3kHU/edit?usp=sharing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194" s="7" t="s">
        <v>35</v>
      </c>
    </row>
    <row r="7195" spans="1:10" ht="13.2">
      <c r="A7195" s="7">
        <v>7194</v>
      </c>
      <c r="B7195" s="7">
        <v>1</v>
      </c>
      <c r="C7195" s="7" t="s">
        <v>10</v>
      </c>
      <c r="D7195" s="7">
        <v>6652</v>
      </c>
      <c r="E7195" s="7" t="s">
        <v>35</v>
      </c>
      <c r="F7195" s="8" t="str">
        <f ca="1">IFERROR(__xludf.DUMMYFUNCTION("IF
(
C7196=""фізична особа""
,
VLOOKUP(D7196,IMPORTRANGE(""https://docs.google.com/spreadsheets/d/14Bd19lYaqBhU8_DElYkX7l4wRkHqqCUFNJY4AfY3kHU/edit?usp=sharing  #gid=0"",""фіз особи new!relations_name""),6,FALSE)
,
(IF
(
C7196=""юридична особа""
,
VLOOKUP"&amp;"(D7196,IMPORTRANGE(""https://docs.google.com/spreadsheets/d/14Bd19lYaqBhU8_DElYkX7l4wRkHqqCUFNJY4AfY3kHU/edit?usp=sharing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5" s="7" t="s">
        <v>10</v>
      </c>
      <c r="H7195" s="7">
        <v>6646</v>
      </c>
      <c r="I7195" s="8" t="str">
        <f ca="1">IFERROR(__xludf.DUMMYFUNCTION("IF
(
G7196=""фізична особа""
,
VLOOKUP(H7196,IMPORTRANGE(""https://docs.google.com/spreadsheets/d/14Bd19lYaqBhU8_DElYkX7l4wRkHqqCUFNJY4AfY3kHU/edit?usp=sharing  #gid=0"",""фіз особи new!relations_name""),6,FALSE)
,
(IF
(
G7196=""юридична особа""
,
VLOOKUP"&amp;"(H7196,IMPORTRANGE(""https://docs.google.com/spreadsheets/d/14Bd19lYaqBhU8_DElYkX7l4wRkHqqCUFNJY4AfY3kHU/edit?usp=sharing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195" s="7" t="s">
        <v>35</v>
      </c>
    </row>
    <row r="7196" spans="1:10" ht="13.2">
      <c r="A7196" s="7">
        <v>7195</v>
      </c>
      <c r="B7196" s="7">
        <v>1</v>
      </c>
      <c r="C7196" s="7" t="s">
        <v>10</v>
      </c>
      <c r="D7196" s="7">
        <v>6652</v>
      </c>
      <c r="E7196" s="7" t="s">
        <v>35</v>
      </c>
      <c r="F7196" s="8" t="str">
        <f ca="1">IFERROR(__xludf.DUMMYFUNCTION("IF
(
C7197=""фізична особа""
,
VLOOKUP(D7197,IMPORTRANGE(""https://docs.google.com/spreadsheets/d/14Bd19lYaqBhU8_DElYkX7l4wRkHqqCUFNJY4AfY3kHU/edit?usp=sharing  #gid=0"",""фіз особи new!relations_name""),6,FALSE)
,
(IF
(
C7197=""юридична особа""
,
VLOOKUP"&amp;"(D7197,IMPORTRANGE(""https://docs.google.com/spreadsheets/d/14Bd19lYaqBhU8_DElYkX7l4wRkHqqCUFNJY4AfY3kHU/edit?usp=sharing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6" s="7" t="s">
        <v>10</v>
      </c>
      <c r="H7196" s="7">
        <v>6647</v>
      </c>
      <c r="I7196" s="8" t="str">
        <f ca="1">IFERROR(__xludf.DUMMYFUNCTION("IF
(
G7197=""фізична особа""
,
VLOOKUP(H7197,IMPORTRANGE(""https://docs.google.com/spreadsheets/d/14Bd19lYaqBhU8_DElYkX7l4wRkHqqCUFNJY4AfY3kHU/edit?usp=sharing  #gid=0"",""фіз особи new!relations_name""),6,FALSE)
,
(IF
(
G7197=""юридична особа""
,
VLOOKUP"&amp;"(H7197,IMPORTRANGE(""https://docs.google.com/spreadsheets/d/14Bd19lYaqBhU8_DElYkX7l4wRkHqqCUFNJY4AfY3kHU/edit?usp=sharing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196" s="7" t="s">
        <v>35</v>
      </c>
    </row>
    <row r="7197" spans="1:10" ht="13.2">
      <c r="A7197" s="7">
        <v>7196</v>
      </c>
      <c r="B7197" s="7">
        <v>1</v>
      </c>
      <c r="C7197" s="7" t="s">
        <v>10</v>
      </c>
      <c r="D7197" s="7">
        <v>6652</v>
      </c>
      <c r="E7197" s="7" t="s">
        <v>35</v>
      </c>
      <c r="F7197" s="8" t="str">
        <f ca="1">IFERROR(__xludf.DUMMYFUNCTION("IF
(
C7198=""фізична особа""
,
VLOOKUP(D7198,IMPORTRANGE(""https://docs.google.com/spreadsheets/d/14Bd19lYaqBhU8_DElYkX7l4wRkHqqCUFNJY4AfY3kHU/edit?usp=sharing  #gid=0"",""фіз особи new!relations_name""),6,FALSE)
,
(IF
(
C7198=""юридична особа""
,
VLOOKUP"&amp;"(D7198,IMPORTRANGE(""https://docs.google.com/spreadsheets/d/14Bd19lYaqBhU8_DElYkX7l4wRkHqqCUFNJY4AfY3kHU/edit?usp=sharing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7" s="7" t="s">
        <v>10</v>
      </c>
      <c r="H7197" s="7">
        <v>6653</v>
      </c>
      <c r="I7197" s="8" t="str">
        <f ca="1">IFERROR(__xludf.DUMMYFUNCTION("IF
(
G7198=""фізична особа""
,
VLOOKUP(H7198,IMPORTRANGE(""https://docs.google.com/spreadsheets/d/14Bd19lYaqBhU8_DElYkX7l4wRkHqqCUFNJY4AfY3kHU/edit?usp=sharing  #gid=0"",""фіз особи new!relations_name""),6,FALSE)
,
(IF
(
G7198=""юридична особа""
,
VLOOKUP"&amp;"(H7198,IMPORTRANGE(""https://docs.google.com/spreadsheets/d/14Bd19lYaqBhU8_DElYkX7l4wRkHqqCUFNJY4AfY3kHU/edit?usp=sharing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197" s="7" t="s">
        <v>35</v>
      </c>
    </row>
    <row r="7198" spans="1:10" ht="13.2">
      <c r="A7198" s="7">
        <v>7197</v>
      </c>
      <c r="B7198" s="7">
        <v>1</v>
      </c>
      <c r="C7198" s="7" t="s">
        <v>10</v>
      </c>
      <c r="D7198" s="7">
        <v>6652</v>
      </c>
      <c r="E7198" s="7" t="s">
        <v>35</v>
      </c>
      <c r="F7198" s="8" t="str">
        <f ca="1">IFERROR(__xludf.DUMMYFUNCTION("IF
(
C7199=""фізична особа""
,
VLOOKUP(D7199,IMPORTRANGE(""https://docs.google.com/spreadsheets/d/14Bd19lYaqBhU8_DElYkX7l4wRkHqqCUFNJY4AfY3kHU/edit?usp=sharing  #gid=0"",""фіз особи new!relations_name""),6,FALSE)
,
(IF
(
C7199=""юридична особа""
,
VLOOKUP"&amp;"(D7199,IMPORTRANGE(""https://docs.google.com/spreadsheets/d/14Bd19lYaqBhU8_DElYkX7l4wRkHqqCUFNJY4AfY3kHU/edit?usp=sharing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8" s="7" t="s">
        <v>10</v>
      </c>
      <c r="H7198" s="7">
        <v>6656</v>
      </c>
      <c r="I7198" s="8" t="str">
        <f ca="1">IFERROR(__xludf.DUMMYFUNCTION("IF
(
G7199=""фізична особа""
,
VLOOKUP(H7199,IMPORTRANGE(""https://docs.google.com/spreadsheets/d/14Bd19lYaqBhU8_DElYkX7l4wRkHqqCUFNJY4AfY3kHU/edit?usp=sharing  #gid=0"",""фіз особи new!relations_name""),6,FALSE)
,
(IF
(
G7199=""юридична особа""
,
VLOOKUP"&amp;"(H7199,IMPORTRANGE(""https://docs.google.com/spreadsheets/d/14Bd19lYaqBhU8_DElYkX7l4wRkHqqCUFNJY4AfY3kHU/edit?usp=sharing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198" s="7" t="s">
        <v>35</v>
      </c>
    </row>
    <row r="7199" spans="1:10" ht="13.2">
      <c r="A7199" s="7">
        <v>7198</v>
      </c>
      <c r="B7199" s="7">
        <v>1</v>
      </c>
      <c r="C7199" s="7" t="s">
        <v>10</v>
      </c>
      <c r="D7199" s="7">
        <v>6652</v>
      </c>
      <c r="E7199" s="7" t="s">
        <v>35</v>
      </c>
      <c r="F7199" s="8" t="str">
        <f ca="1">IFERROR(__xludf.DUMMYFUNCTION("IF
(
C7200=""фізична особа""
,
VLOOKUP(D7200,IMPORTRANGE(""https://docs.google.com/spreadsheets/d/14Bd19lYaqBhU8_DElYkX7l4wRkHqqCUFNJY4AfY3kHU/edit?usp=sharing  #gid=0"",""фіз особи new!relations_name""),6,FALSE)
,
(IF
(
C7200=""юридична особа""
,
VLOOKUP"&amp;"(D7200,IMPORTRANGE(""https://docs.google.com/spreadsheets/d/14Bd19lYaqBhU8_DElYkX7l4wRkHqqCUFNJY4AfY3kHU/edit?usp=sharing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199" s="7" t="s">
        <v>10</v>
      </c>
      <c r="H7199" s="7">
        <v>6658</v>
      </c>
      <c r="I7199" s="8" t="str">
        <f ca="1">IFERROR(__xludf.DUMMYFUNCTION("IF
(
G7200=""фізична особа""
,
VLOOKUP(H7200,IMPORTRANGE(""https://docs.google.com/spreadsheets/d/14Bd19lYaqBhU8_DElYkX7l4wRkHqqCUFNJY4AfY3kHU/edit?usp=sharing  #gid=0"",""фіз особи new!relations_name""),6,FALSE)
,
(IF
(
G7200=""юридична особа""
,
VLOOKUP"&amp;"(H7200,IMPORTRANGE(""https://docs.google.com/spreadsheets/d/14Bd19lYaqBhU8_DElYkX7l4wRkHqqCUFNJY4AfY3kHU/edit?usp=sharing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199" s="7" t="s">
        <v>35</v>
      </c>
    </row>
    <row r="7200" spans="1:10" ht="13.2">
      <c r="A7200" s="7">
        <v>7199</v>
      </c>
      <c r="B7200" s="7">
        <v>1</v>
      </c>
      <c r="C7200" s="7" t="s">
        <v>10</v>
      </c>
      <c r="D7200" s="7">
        <v>6652</v>
      </c>
      <c r="E7200" s="7" t="s">
        <v>35</v>
      </c>
      <c r="F7200" s="8" t="str">
        <f ca="1">IFERROR(__xludf.DUMMYFUNCTION("IF
(
C7201=""фізична особа""
,
VLOOKUP(D7201,IMPORTRANGE(""https://docs.google.com/spreadsheets/d/14Bd19lYaqBhU8_DElYkX7l4wRkHqqCUFNJY4AfY3kHU/edit?usp=sharing  #gid=0"",""фіз особи new!relations_name""),6,FALSE)
,
(IF
(
C7201=""юридична особа""
,
VLOOKUP"&amp;"(D7201,IMPORTRANGE(""https://docs.google.com/spreadsheets/d/14Bd19lYaqBhU8_DElYkX7l4wRkHqqCUFNJY4AfY3kHU/edit?usp=sharing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0" s="7" t="s">
        <v>10</v>
      </c>
      <c r="H7200" s="7">
        <v>6651</v>
      </c>
      <c r="I7200" s="8" t="str">
        <f ca="1">IFERROR(__xludf.DUMMYFUNCTION("IF
(
G7201=""фізична особа""
,
VLOOKUP(H7201,IMPORTRANGE(""https://docs.google.com/spreadsheets/d/14Bd19lYaqBhU8_DElYkX7l4wRkHqqCUFNJY4AfY3kHU/edit?usp=sharing  #gid=0"",""фіз особи new!relations_name""),6,FALSE)
,
(IF
(
G7201=""юридична особа""
,
VLOOKUP"&amp;"(H7201,IMPORTRANGE(""https://docs.google.com/spreadsheets/d/14Bd19lYaqBhU8_DElYkX7l4wRkHqqCUFNJY4AfY3kHU/edit?usp=sharing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00" s="7" t="s">
        <v>35</v>
      </c>
    </row>
    <row r="7201" spans="1:10" ht="13.2">
      <c r="A7201" s="7">
        <v>7200</v>
      </c>
      <c r="B7201" s="7">
        <v>1</v>
      </c>
      <c r="C7201" s="7" t="s">
        <v>10</v>
      </c>
      <c r="D7201" s="7">
        <v>6652</v>
      </c>
      <c r="E7201" s="7" t="s">
        <v>28</v>
      </c>
      <c r="F7201" s="8" t="str">
        <f ca="1">IFERROR(__xludf.DUMMYFUNCTION("IF
(
C7202=""фізична особа""
,
VLOOKUP(D7202,IMPORTRANGE(""https://docs.google.com/spreadsheets/d/14Bd19lYaqBhU8_DElYkX7l4wRkHqqCUFNJY4AfY3kHU/edit?usp=sharing  #gid=0"",""фіз особи new!relations_name""),6,FALSE)
,
(IF
(
C7202=""юридична особа""
,
VLOOKUP"&amp;"(D7202,IMPORTRANGE(""https://docs.google.com/spreadsheets/d/14Bd19lYaqBhU8_DElYkX7l4wRkHqqCUFNJY4AfY3kHU/edit?usp=sharing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1" s="7" t="s">
        <v>10</v>
      </c>
      <c r="H7201" s="7">
        <v>6645</v>
      </c>
      <c r="I7201" s="8" t="str">
        <f ca="1">IFERROR(__xludf.DUMMYFUNCTION("IF
(
G7202=""фізична особа""
,
VLOOKUP(H7202,IMPORTRANGE(""https://docs.google.com/spreadsheets/d/14Bd19lYaqBhU8_DElYkX7l4wRkHqqCUFNJY4AfY3kHU/edit?usp=sharing  #gid=0"",""фіз особи new!relations_name""),6,FALSE)
,
(IF
(
G7202=""юридична особа""
,
VLOOKUP"&amp;"(H7202,IMPORTRANGE(""https://docs.google.com/spreadsheets/d/14Bd19lYaqBhU8_DElYkX7l4wRkHqqCUFNJY4AfY3kHU/edit?usp=sharing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01" s="7" t="s">
        <v>29</v>
      </c>
    </row>
    <row r="7202" spans="1:10" ht="13.2">
      <c r="A7202" s="7">
        <v>7201</v>
      </c>
      <c r="B7202" s="7">
        <v>1</v>
      </c>
      <c r="C7202" s="7" t="s">
        <v>10</v>
      </c>
      <c r="D7202" s="7">
        <v>6652</v>
      </c>
      <c r="E7202" s="7" t="s">
        <v>35</v>
      </c>
      <c r="F7202" s="8" t="str">
        <f ca="1">IFERROR(__xludf.DUMMYFUNCTION("IF
(
C7203=""фізична особа""
,
VLOOKUP(D7203,IMPORTRANGE(""https://docs.google.com/spreadsheets/d/14Bd19lYaqBhU8_DElYkX7l4wRkHqqCUFNJY4AfY3kHU/edit?usp=sharing  #gid=0"",""фіз особи new!relations_name""),6,FALSE)
,
(IF
(
C7203=""юридична особа""
,
VLOOKUP"&amp;"(D7203,IMPORTRANGE(""https://docs.google.com/spreadsheets/d/14Bd19lYaqBhU8_DElYkX7l4wRkHqqCUFNJY4AfY3kHU/edit?usp=sharing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2" s="7" t="s">
        <v>10</v>
      </c>
      <c r="H7202" s="7">
        <v>6654</v>
      </c>
      <c r="I7202" s="8" t="str">
        <f ca="1">IFERROR(__xludf.DUMMYFUNCTION("IF
(
G7203=""фізична особа""
,
VLOOKUP(H7203,IMPORTRANGE(""https://docs.google.com/spreadsheets/d/14Bd19lYaqBhU8_DElYkX7l4wRkHqqCUFNJY4AfY3kHU/edit?usp=sharing  #gid=0"",""фіз особи new!relations_name""),6,FALSE)
,
(IF
(
G7203=""юридична особа""
,
VLOOKUP"&amp;"(H7203,IMPORTRANGE(""https://docs.google.com/spreadsheets/d/14Bd19lYaqBhU8_DElYkX7l4wRkHqqCUFNJY4AfY3kHU/edit?usp=sharing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02" s="7" t="s">
        <v>35</v>
      </c>
    </row>
    <row r="7203" spans="1:10" ht="13.2">
      <c r="A7203" s="7">
        <v>7202</v>
      </c>
      <c r="B7203" s="7">
        <v>1</v>
      </c>
      <c r="C7203" s="7" t="s">
        <v>10</v>
      </c>
      <c r="D7203" s="7">
        <v>6652</v>
      </c>
      <c r="E7203" s="7" t="s">
        <v>35</v>
      </c>
      <c r="F7203" s="8" t="str">
        <f ca="1">IFERROR(__xludf.DUMMYFUNCTION("IF
(
C7204=""фізична особа""
,
VLOOKUP(D7204,IMPORTRANGE(""https://docs.google.com/spreadsheets/d/14Bd19lYaqBhU8_DElYkX7l4wRkHqqCUFNJY4AfY3kHU/edit?usp=sharing  #gid=0"",""фіз особи new!relations_name""),6,FALSE)
,
(IF
(
C7204=""юридична особа""
,
VLOOKUP"&amp;"(D7204,IMPORTRANGE(""https://docs.google.com/spreadsheets/d/14Bd19lYaqBhU8_DElYkX7l4wRkHqqCUFNJY4AfY3kHU/edit?usp=sharing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3" s="7" t="s">
        <v>10</v>
      </c>
      <c r="H7203" s="7">
        <v>6655</v>
      </c>
      <c r="I7203" s="8" t="str">
        <f ca="1">IFERROR(__xludf.DUMMYFUNCTION("IF
(
G7204=""фізична особа""
,
VLOOKUP(H7204,IMPORTRANGE(""https://docs.google.com/spreadsheets/d/14Bd19lYaqBhU8_DElYkX7l4wRkHqqCUFNJY4AfY3kHU/edit?usp=sharing  #gid=0"",""фіз особи new!relations_name""),6,FALSE)
,
(IF
(
G7204=""юридична особа""
,
VLOOKUP"&amp;"(H7204,IMPORTRANGE(""https://docs.google.com/spreadsheets/d/14Bd19lYaqBhU8_DElYkX7l4wRkHqqCUFNJY4AfY3kHU/edit?usp=sharing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03" s="7" t="s">
        <v>35</v>
      </c>
    </row>
    <row r="7204" spans="1:10" ht="13.2">
      <c r="A7204" s="7">
        <v>7203</v>
      </c>
      <c r="B7204" s="7">
        <v>1</v>
      </c>
      <c r="C7204" s="7" t="s">
        <v>10</v>
      </c>
      <c r="D7204" s="7">
        <v>6652</v>
      </c>
      <c r="E7204" s="7" t="s">
        <v>35</v>
      </c>
      <c r="F7204" s="8" t="str">
        <f ca="1">IFERROR(__xludf.DUMMYFUNCTION("IF
(
C7205=""фізична особа""
,
VLOOKUP(D7205,IMPORTRANGE(""https://docs.google.com/spreadsheets/d/14Bd19lYaqBhU8_DElYkX7l4wRkHqqCUFNJY4AfY3kHU/edit?usp=sharing  #gid=0"",""фіз особи new!relations_name""),6,FALSE)
,
(IF
(
C7205=""юридична особа""
,
VLOOKUP"&amp;"(D7205,IMPORTRANGE(""https://docs.google.com/spreadsheets/d/14Bd19lYaqBhU8_DElYkX7l4wRkHqqCUFNJY4AfY3kHU/edit?usp=sharing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4" s="7" t="s">
        <v>10</v>
      </c>
      <c r="H7204" s="7">
        <v>6650</v>
      </c>
      <c r="I7204" s="8" t="str">
        <f ca="1">IFERROR(__xludf.DUMMYFUNCTION("IF
(
G7205=""фізична особа""
,
VLOOKUP(H7205,IMPORTRANGE(""https://docs.google.com/spreadsheets/d/14Bd19lYaqBhU8_DElYkX7l4wRkHqqCUFNJY4AfY3kHU/edit?usp=sharing  #gid=0"",""фіз особи new!relations_name""),6,FALSE)
,
(IF
(
G7205=""юридична особа""
,
VLOOKUP"&amp;"(H7205,IMPORTRANGE(""https://docs.google.com/spreadsheets/d/14Bd19lYaqBhU8_DElYkX7l4wRkHqqCUFNJY4AfY3kHU/edit?usp=sharing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04" s="7" t="s">
        <v>35</v>
      </c>
    </row>
    <row r="7205" spans="1:10" ht="13.2">
      <c r="A7205" s="7">
        <v>7204</v>
      </c>
      <c r="B7205" s="7">
        <v>1</v>
      </c>
      <c r="C7205" s="7" t="s">
        <v>10</v>
      </c>
      <c r="D7205" s="7">
        <v>6652</v>
      </c>
      <c r="E7205" s="7" t="s">
        <v>28</v>
      </c>
      <c r="F7205" s="8" t="str">
        <f ca="1">IFERROR(__xludf.DUMMYFUNCTION("IF
(
C7206=""фізична особа""
,
VLOOKUP(D7206,IMPORTRANGE(""https://docs.google.com/spreadsheets/d/14Bd19lYaqBhU8_DElYkX7l4wRkHqqCUFNJY4AfY3kHU/edit?usp=sharing  #gid=0"",""фіз особи new!relations_name""),6,FALSE)
,
(IF
(
C7206=""юридична особа""
,
VLOOKUP"&amp;"(D7206,IMPORTRANGE(""https://docs.google.com/spreadsheets/d/14Bd19lYaqBhU8_DElYkX7l4wRkHqqCUFNJY4AfY3kHU/edit?usp=sharing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G7205" s="7" t="s">
        <v>10</v>
      </c>
      <c r="H7205" s="7">
        <v>6657</v>
      </c>
      <c r="I7205" s="8" t="str">
        <f ca="1">IFERROR(__xludf.DUMMYFUNCTION("IF
(
G7206=""фізична особа""
,
VLOOKUP(H7206,IMPORTRANGE(""https://docs.google.com/spreadsheets/d/14Bd19lYaqBhU8_DElYkX7l4wRkHqqCUFNJY4AfY3kHU/edit?usp=sharing  #gid=0"",""фіз особи new!relations_name""),6,FALSE)
,
(IF
(
G7206=""юридична особа""
,
VLOOKUP"&amp;"(H7206,IMPORTRANGE(""https://docs.google.com/spreadsheets/d/14Bd19lYaqBhU8_DElYkX7l4wRkHqqCUFNJY4AfY3kHU/edit?usp=sharing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05" s="7" t="s">
        <v>29</v>
      </c>
    </row>
    <row r="7206" spans="1:10" ht="13.2">
      <c r="A7206" s="7">
        <v>7205</v>
      </c>
      <c r="B7206" s="7">
        <v>1</v>
      </c>
      <c r="C7206" s="7" t="s">
        <v>10</v>
      </c>
      <c r="D7206" s="7">
        <v>6653</v>
      </c>
      <c r="E7206" s="7" t="s">
        <v>35</v>
      </c>
      <c r="F7206" s="8" t="str">
        <f ca="1">IFERROR(__xludf.DUMMYFUNCTION("IF
(
C7207=""фізична особа""
,
VLOOKUP(D7207,IMPORTRANGE(""https://docs.google.com/spreadsheets/d/14Bd19lYaqBhU8_DElYkX7l4wRkHqqCUFNJY4AfY3kHU/edit?usp=sharing  #gid=0"",""фіз особи new!relations_name""),6,FALSE)
,
(IF
(
C7207=""юридична особа""
,
VLOOKUP"&amp;"(D7207,IMPORTRANGE(""https://docs.google.com/spreadsheets/d/14Bd19lYaqBhU8_DElYkX7l4wRkHqqCUFNJY4AfY3kHU/edit?usp=sharing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06" s="7" t="s">
        <v>10</v>
      </c>
      <c r="H7206" s="7">
        <v>6649</v>
      </c>
      <c r="I7206" s="8" t="str">
        <f ca="1">IFERROR(__xludf.DUMMYFUNCTION("IF
(
G7207=""фізична особа""
,
VLOOKUP(H7207,IMPORTRANGE(""https://docs.google.com/spreadsheets/d/14Bd19lYaqBhU8_DElYkX7l4wRkHqqCUFNJY4AfY3kHU/edit?usp=sharing  #gid=0"",""фіз особи new!relations_name""),6,FALSE)
,
(IF
(
G7207=""юридична особа""
,
VLOOKUP"&amp;"(H7207,IMPORTRANGE(""https://docs.google.com/spreadsheets/d/14Bd19lYaqBhU8_DElYkX7l4wRkHqqCUFNJY4AfY3kHU/edit?usp=sharing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06" s="7" t="s">
        <v>35</v>
      </c>
    </row>
    <row r="7207" spans="1:10" ht="13.2">
      <c r="A7207" s="7">
        <v>7206</v>
      </c>
      <c r="B7207" s="7">
        <v>1</v>
      </c>
      <c r="C7207" s="7" t="s">
        <v>10</v>
      </c>
      <c r="D7207" s="7">
        <v>6653</v>
      </c>
      <c r="E7207" s="7" t="s">
        <v>35</v>
      </c>
      <c r="F7207" s="8" t="str">
        <f ca="1">IFERROR(__xludf.DUMMYFUNCTION("IF
(
C7208=""фізична особа""
,
VLOOKUP(D7208,IMPORTRANGE(""https://docs.google.com/spreadsheets/d/14Bd19lYaqBhU8_DElYkX7l4wRkHqqCUFNJY4AfY3kHU/edit?usp=sharing  #gid=0"",""фіз особи new!relations_name""),6,FALSE)
,
(IF
(
C7208=""юридична особа""
,
VLOOKUP"&amp;"(D7208,IMPORTRANGE(""https://docs.google.com/spreadsheets/d/14Bd19lYaqBhU8_DElYkX7l4wRkHqqCUFNJY4AfY3kHU/edit?usp=sharing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07" s="7" t="s">
        <v>10</v>
      </c>
      <c r="H7207" s="7">
        <v>6648</v>
      </c>
      <c r="I7207" s="8" t="str">
        <f ca="1">IFERROR(__xludf.DUMMYFUNCTION("IF
(
G7208=""фізична особа""
,
VLOOKUP(H7208,IMPORTRANGE(""https://docs.google.com/spreadsheets/d/14Bd19lYaqBhU8_DElYkX7l4wRkHqqCUFNJY4AfY3kHU/edit?usp=sharing  #gid=0"",""фіз особи new!relations_name""),6,FALSE)
,
(IF
(
G7208=""юридична особа""
,
VLOOKUP"&amp;"(H7208,IMPORTRANGE(""https://docs.google.com/spreadsheets/d/14Bd19lYaqBhU8_DElYkX7l4wRkHqqCUFNJY4AfY3kHU/edit?usp=sharing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07" s="7" t="s">
        <v>35</v>
      </c>
    </row>
    <row r="7208" spans="1:10" ht="13.2">
      <c r="A7208" s="7">
        <v>7207</v>
      </c>
      <c r="B7208" s="7">
        <v>1</v>
      </c>
      <c r="C7208" s="7" t="s">
        <v>10</v>
      </c>
      <c r="D7208" s="7">
        <v>6653</v>
      </c>
      <c r="E7208" s="7" t="s">
        <v>35</v>
      </c>
      <c r="F7208" s="8" t="str">
        <f ca="1">IFERROR(__xludf.DUMMYFUNCTION("IF
(
C7209=""фізична особа""
,
VLOOKUP(D7209,IMPORTRANGE(""https://docs.google.com/spreadsheets/d/14Bd19lYaqBhU8_DElYkX7l4wRkHqqCUFNJY4AfY3kHU/edit?usp=sharing  #gid=0"",""фіз особи new!relations_name""),6,FALSE)
,
(IF
(
C7209=""юридична особа""
,
VLOOKUP"&amp;"(D7209,IMPORTRANGE(""https://docs.google.com/spreadsheets/d/14Bd19lYaqBhU8_DElYkX7l4wRkHqqCUFNJY4AfY3kHU/edit?usp=sharing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08" s="7" t="s">
        <v>10</v>
      </c>
      <c r="H7208" s="7">
        <v>6659</v>
      </c>
      <c r="I7208" s="8" t="str">
        <f ca="1">IFERROR(__xludf.DUMMYFUNCTION("IF
(
G7209=""фізична особа""
,
VLOOKUP(H7209,IMPORTRANGE(""https://docs.google.com/spreadsheets/d/14Bd19lYaqBhU8_DElYkX7l4wRkHqqCUFNJY4AfY3kHU/edit?usp=sharing  #gid=0"",""фіз особи new!relations_name""),6,FALSE)
,
(IF
(
G7209=""юридична особа""
,
VLOOKUP"&amp;"(H7209,IMPORTRANGE(""https://docs.google.com/spreadsheets/d/14Bd19lYaqBhU8_DElYkX7l4wRkHqqCUFNJY4AfY3kHU/edit?usp=sharing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08" s="7" t="s">
        <v>35</v>
      </c>
    </row>
    <row r="7209" spans="1:10" ht="13.2">
      <c r="A7209" s="7">
        <v>7208</v>
      </c>
      <c r="B7209" s="7">
        <v>1</v>
      </c>
      <c r="C7209" s="7" t="s">
        <v>10</v>
      </c>
      <c r="D7209" s="7">
        <v>6653</v>
      </c>
      <c r="E7209" s="7" t="s">
        <v>35</v>
      </c>
      <c r="F7209" s="8" t="str">
        <f ca="1">IFERROR(__xludf.DUMMYFUNCTION("IF
(
C7210=""фізична особа""
,
VLOOKUP(D7210,IMPORTRANGE(""https://docs.google.com/spreadsheets/d/14Bd19lYaqBhU8_DElYkX7l4wRkHqqCUFNJY4AfY3kHU/edit?usp=sharing  #gid=0"",""фіз особи new!relations_name""),6,FALSE)
,
(IF
(
C7210=""юридична особа""
,
VLOOKUP"&amp;"(D7210,IMPORTRANGE(""https://docs.google.com/spreadsheets/d/14Bd19lYaqBhU8_DElYkX7l4wRkHqqCUFNJY4AfY3kHU/edit?usp=sharing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09" s="7" t="s">
        <v>10</v>
      </c>
      <c r="H7209" s="7">
        <v>6646</v>
      </c>
      <c r="I7209" s="8" t="str">
        <f ca="1">IFERROR(__xludf.DUMMYFUNCTION("IF
(
G7210=""фізична особа""
,
VLOOKUP(H7210,IMPORTRANGE(""https://docs.google.com/spreadsheets/d/14Bd19lYaqBhU8_DElYkX7l4wRkHqqCUFNJY4AfY3kHU/edit?usp=sharing  #gid=0"",""фіз особи new!relations_name""),6,FALSE)
,
(IF
(
G7210=""юридична особа""
,
VLOOKUP"&amp;"(H7210,IMPORTRANGE(""https://docs.google.com/spreadsheets/d/14Bd19lYaqBhU8_DElYkX7l4wRkHqqCUFNJY4AfY3kHU/edit?usp=sharing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09" s="7" t="s">
        <v>35</v>
      </c>
    </row>
    <row r="7210" spans="1:10" ht="13.2">
      <c r="A7210" s="7">
        <v>7209</v>
      </c>
      <c r="B7210" s="7">
        <v>1</v>
      </c>
      <c r="C7210" s="7" t="s">
        <v>10</v>
      </c>
      <c r="D7210" s="7">
        <v>6653</v>
      </c>
      <c r="E7210" s="7" t="s">
        <v>35</v>
      </c>
      <c r="F7210" s="8" t="str">
        <f ca="1">IFERROR(__xludf.DUMMYFUNCTION("IF
(
C7211=""фізична особа""
,
VLOOKUP(D7211,IMPORTRANGE(""https://docs.google.com/spreadsheets/d/14Bd19lYaqBhU8_DElYkX7l4wRkHqqCUFNJY4AfY3kHU/edit?usp=sharing  #gid=0"",""фіз особи new!relations_name""),6,FALSE)
,
(IF
(
C7211=""юридична особа""
,
VLOOKUP"&amp;"(D7211,IMPORTRANGE(""https://docs.google.com/spreadsheets/d/14Bd19lYaqBhU8_DElYkX7l4wRkHqqCUFNJY4AfY3kHU/edit?usp=sharing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0" s="7" t="s">
        <v>10</v>
      </c>
      <c r="H7210" s="7">
        <v>6647</v>
      </c>
      <c r="I7210" s="8" t="str">
        <f ca="1">IFERROR(__xludf.DUMMYFUNCTION("IF
(
G7211=""фізична особа""
,
VLOOKUP(H7211,IMPORTRANGE(""https://docs.google.com/spreadsheets/d/14Bd19lYaqBhU8_DElYkX7l4wRkHqqCUFNJY4AfY3kHU/edit?usp=sharing  #gid=0"",""фіз особи new!relations_name""),6,FALSE)
,
(IF
(
G7211=""юридична особа""
,
VLOOKUP"&amp;"(H7211,IMPORTRANGE(""https://docs.google.com/spreadsheets/d/14Bd19lYaqBhU8_DElYkX7l4wRkHqqCUFNJY4AfY3kHU/edit?usp=sharing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10" s="7" t="s">
        <v>35</v>
      </c>
    </row>
    <row r="7211" spans="1:10" ht="13.2">
      <c r="A7211" s="7">
        <v>7210</v>
      </c>
      <c r="B7211" s="7">
        <v>1</v>
      </c>
      <c r="C7211" s="7" t="s">
        <v>10</v>
      </c>
      <c r="D7211" s="7">
        <v>6653</v>
      </c>
      <c r="E7211" s="7" t="s">
        <v>35</v>
      </c>
      <c r="F7211" s="8" t="str">
        <f ca="1">IFERROR(__xludf.DUMMYFUNCTION("IF
(
C7212=""фізична особа""
,
VLOOKUP(D7212,IMPORTRANGE(""https://docs.google.com/spreadsheets/d/14Bd19lYaqBhU8_DElYkX7l4wRkHqqCUFNJY4AfY3kHU/edit?usp=sharing  #gid=0"",""фіз особи new!relations_name""),6,FALSE)
,
(IF
(
C7212=""юридична особа""
,
VLOOKUP"&amp;"(D7212,IMPORTRANGE(""https://docs.google.com/spreadsheets/d/14Bd19lYaqBhU8_DElYkX7l4wRkHqqCUFNJY4AfY3kHU/edit?usp=sharing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1" s="7" t="s">
        <v>10</v>
      </c>
      <c r="H7211" s="7">
        <v>6652</v>
      </c>
      <c r="I7211" s="8" t="str">
        <f ca="1">IFERROR(__xludf.DUMMYFUNCTION("IF
(
G7212=""фізична особа""
,
VLOOKUP(H7212,IMPORTRANGE(""https://docs.google.com/spreadsheets/d/14Bd19lYaqBhU8_DElYkX7l4wRkHqqCUFNJY4AfY3kHU/edit?usp=sharing  #gid=0"",""фіз особи new!relations_name""),6,FALSE)
,
(IF
(
G7212=""юридична особа""
,
VLOOKUP"&amp;"(H7212,IMPORTRANGE(""https://docs.google.com/spreadsheets/d/14Bd19lYaqBhU8_DElYkX7l4wRkHqqCUFNJY4AfY3kHU/edit?usp=sharing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11" s="7" t="s">
        <v>35</v>
      </c>
    </row>
    <row r="7212" spans="1:10" ht="13.2">
      <c r="A7212" s="7">
        <v>7211</v>
      </c>
      <c r="B7212" s="7">
        <v>1</v>
      </c>
      <c r="C7212" s="7" t="s">
        <v>10</v>
      </c>
      <c r="D7212" s="7">
        <v>6653</v>
      </c>
      <c r="E7212" s="7" t="s">
        <v>35</v>
      </c>
      <c r="F7212" s="8" t="str">
        <f ca="1">IFERROR(__xludf.DUMMYFUNCTION("IF
(
C7213=""фізична особа""
,
VLOOKUP(D7213,IMPORTRANGE(""https://docs.google.com/spreadsheets/d/14Bd19lYaqBhU8_DElYkX7l4wRkHqqCUFNJY4AfY3kHU/edit?usp=sharing  #gid=0"",""фіз особи new!relations_name""),6,FALSE)
,
(IF
(
C7213=""юридична особа""
,
VLOOKUP"&amp;"(D7213,IMPORTRANGE(""https://docs.google.com/spreadsheets/d/14Bd19lYaqBhU8_DElYkX7l4wRkHqqCUFNJY4AfY3kHU/edit?usp=sharing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2" s="7" t="s">
        <v>10</v>
      </c>
      <c r="H7212" s="7">
        <v>6656</v>
      </c>
      <c r="I7212" s="8" t="str">
        <f ca="1">IFERROR(__xludf.DUMMYFUNCTION("IF
(
G7213=""фізична особа""
,
VLOOKUP(H7213,IMPORTRANGE(""https://docs.google.com/spreadsheets/d/14Bd19lYaqBhU8_DElYkX7l4wRkHqqCUFNJY4AfY3kHU/edit?usp=sharing  #gid=0"",""фіз особи new!relations_name""),6,FALSE)
,
(IF
(
G7213=""юридична особа""
,
VLOOKUP"&amp;"(H7213,IMPORTRANGE(""https://docs.google.com/spreadsheets/d/14Bd19lYaqBhU8_DElYkX7l4wRkHqqCUFNJY4AfY3kHU/edit?usp=sharing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12" s="7" t="s">
        <v>35</v>
      </c>
    </row>
    <row r="7213" spans="1:10" ht="13.2">
      <c r="A7213" s="7">
        <v>7212</v>
      </c>
      <c r="B7213" s="7">
        <v>1</v>
      </c>
      <c r="C7213" s="7" t="s">
        <v>10</v>
      </c>
      <c r="D7213" s="7">
        <v>6653</v>
      </c>
      <c r="E7213" s="7" t="s">
        <v>35</v>
      </c>
      <c r="F7213" s="8" t="str">
        <f ca="1">IFERROR(__xludf.DUMMYFUNCTION("IF
(
C7214=""фізична особа""
,
VLOOKUP(D7214,IMPORTRANGE(""https://docs.google.com/spreadsheets/d/14Bd19lYaqBhU8_DElYkX7l4wRkHqqCUFNJY4AfY3kHU/edit?usp=sharing  #gid=0"",""фіз особи new!relations_name""),6,FALSE)
,
(IF
(
C7214=""юридична особа""
,
VLOOKUP"&amp;"(D7214,IMPORTRANGE(""https://docs.google.com/spreadsheets/d/14Bd19lYaqBhU8_DElYkX7l4wRkHqqCUFNJY4AfY3kHU/edit?usp=sharing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3" s="7" t="s">
        <v>10</v>
      </c>
      <c r="H7213" s="7">
        <v>6658</v>
      </c>
      <c r="I7213" s="8" t="str">
        <f ca="1">IFERROR(__xludf.DUMMYFUNCTION("IF
(
G7214=""фізична особа""
,
VLOOKUP(H7214,IMPORTRANGE(""https://docs.google.com/spreadsheets/d/14Bd19lYaqBhU8_DElYkX7l4wRkHqqCUFNJY4AfY3kHU/edit?usp=sharing  #gid=0"",""фіз особи new!relations_name""),6,FALSE)
,
(IF
(
G7214=""юридична особа""
,
VLOOKUP"&amp;"(H7214,IMPORTRANGE(""https://docs.google.com/spreadsheets/d/14Bd19lYaqBhU8_DElYkX7l4wRkHqqCUFNJY4AfY3kHU/edit?usp=sharing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13" s="7" t="s">
        <v>35</v>
      </c>
    </row>
    <row r="7214" spans="1:10" ht="13.2">
      <c r="A7214" s="7">
        <v>7213</v>
      </c>
      <c r="B7214" s="7">
        <v>1</v>
      </c>
      <c r="C7214" s="7" t="s">
        <v>10</v>
      </c>
      <c r="D7214" s="7">
        <v>6653</v>
      </c>
      <c r="E7214" s="7" t="s">
        <v>35</v>
      </c>
      <c r="F7214" s="8" t="str">
        <f ca="1">IFERROR(__xludf.DUMMYFUNCTION("IF
(
C7215=""фізична особа""
,
VLOOKUP(D7215,IMPORTRANGE(""https://docs.google.com/spreadsheets/d/14Bd19lYaqBhU8_DElYkX7l4wRkHqqCUFNJY4AfY3kHU/edit?usp=sharing  #gid=0"",""фіз особи new!relations_name""),6,FALSE)
,
(IF
(
C7215=""юридична особа""
,
VLOOKUP"&amp;"(D7215,IMPORTRANGE(""https://docs.google.com/spreadsheets/d/14Bd19lYaqBhU8_DElYkX7l4wRkHqqCUFNJY4AfY3kHU/edit?usp=sharing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4" s="7" t="s">
        <v>10</v>
      </c>
      <c r="H7214" s="7">
        <v>6651</v>
      </c>
      <c r="I7214" s="8" t="str">
        <f ca="1">IFERROR(__xludf.DUMMYFUNCTION("IF
(
G7215=""фізична особа""
,
VLOOKUP(H7215,IMPORTRANGE(""https://docs.google.com/spreadsheets/d/14Bd19lYaqBhU8_DElYkX7l4wRkHqqCUFNJY4AfY3kHU/edit?usp=sharing  #gid=0"",""фіз особи new!relations_name""),6,FALSE)
,
(IF
(
G7215=""юридична особа""
,
VLOOKUP"&amp;"(H7215,IMPORTRANGE(""https://docs.google.com/spreadsheets/d/14Bd19lYaqBhU8_DElYkX7l4wRkHqqCUFNJY4AfY3kHU/edit?usp=sharing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14" s="7" t="s">
        <v>35</v>
      </c>
    </row>
    <row r="7215" spans="1:10" ht="13.2">
      <c r="A7215" s="7">
        <v>7214</v>
      </c>
      <c r="B7215" s="7">
        <v>1</v>
      </c>
      <c r="C7215" s="7" t="s">
        <v>10</v>
      </c>
      <c r="D7215" s="7">
        <v>6653</v>
      </c>
      <c r="E7215" s="7" t="s">
        <v>28</v>
      </c>
      <c r="F7215" s="8" t="str">
        <f ca="1">IFERROR(__xludf.DUMMYFUNCTION("IF
(
C7216=""фізична особа""
,
VLOOKUP(D7216,IMPORTRANGE(""https://docs.google.com/spreadsheets/d/14Bd19lYaqBhU8_DElYkX7l4wRkHqqCUFNJY4AfY3kHU/edit?usp=sharing  #gid=0"",""фіз особи new!relations_name""),6,FALSE)
,
(IF
(
C7216=""юридична особа""
,
VLOOKUP"&amp;"(D7216,IMPORTRANGE(""https://docs.google.com/spreadsheets/d/14Bd19lYaqBhU8_DElYkX7l4wRkHqqCUFNJY4AfY3kHU/edit?usp=sharing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5" s="7" t="s">
        <v>10</v>
      </c>
      <c r="H7215" s="7">
        <v>6645</v>
      </c>
      <c r="I7215" s="8" t="str">
        <f ca="1">IFERROR(__xludf.DUMMYFUNCTION("IF
(
G7216=""фізична особа""
,
VLOOKUP(H7216,IMPORTRANGE(""https://docs.google.com/spreadsheets/d/14Bd19lYaqBhU8_DElYkX7l4wRkHqqCUFNJY4AfY3kHU/edit?usp=sharing  #gid=0"",""фіз особи new!relations_name""),6,FALSE)
,
(IF
(
G7216=""юридична особа""
,
VLOOKUP"&amp;"(H7216,IMPORTRANGE(""https://docs.google.com/spreadsheets/d/14Bd19lYaqBhU8_DElYkX7l4wRkHqqCUFNJY4AfY3kHU/edit?usp=sharing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15" s="7" t="s">
        <v>29</v>
      </c>
    </row>
    <row r="7216" spans="1:10" ht="13.2">
      <c r="A7216" s="7">
        <v>7215</v>
      </c>
      <c r="B7216" s="7">
        <v>1</v>
      </c>
      <c r="C7216" s="7" t="s">
        <v>10</v>
      </c>
      <c r="D7216" s="7">
        <v>6653</v>
      </c>
      <c r="E7216" s="7" t="s">
        <v>35</v>
      </c>
      <c r="F7216" s="8" t="str">
        <f ca="1">IFERROR(__xludf.DUMMYFUNCTION("IF
(
C7217=""фізична особа""
,
VLOOKUP(D7217,IMPORTRANGE(""https://docs.google.com/spreadsheets/d/14Bd19lYaqBhU8_DElYkX7l4wRkHqqCUFNJY4AfY3kHU/edit?usp=sharing  #gid=0"",""фіз особи new!relations_name""),6,FALSE)
,
(IF
(
C7217=""юридична особа""
,
VLOOKUP"&amp;"(D7217,IMPORTRANGE(""https://docs.google.com/spreadsheets/d/14Bd19lYaqBhU8_DElYkX7l4wRkHqqCUFNJY4AfY3kHU/edit?usp=sharing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6" s="7" t="s">
        <v>10</v>
      </c>
      <c r="H7216" s="7">
        <v>6654</v>
      </c>
      <c r="I7216" s="8" t="str">
        <f ca="1">IFERROR(__xludf.DUMMYFUNCTION("IF
(
G7217=""фізична особа""
,
VLOOKUP(H7217,IMPORTRANGE(""https://docs.google.com/spreadsheets/d/14Bd19lYaqBhU8_DElYkX7l4wRkHqqCUFNJY4AfY3kHU/edit?usp=sharing  #gid=0"",""фіз особи new!relations_name""),6,FALSE)
,
(IF
(
G7217=""юридична особа""
,
VLOOKUP"&amp;"(H7217,IMPORTRANGE(""https://docs.google.com/spreadsheets/d/14Bd19lYaqBhU8_DElYkX7l4wRkHqqCUFNJY4AfY3kHU/edit?usp=sharing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16" s="7" t="s">
        <v>35</v>
      </c>
    </row>
    <row r="7217" spans="1:10" ht="13.2">
      <c r="A7217" s="7">
        <v>7216</v>
      </c>
      <c r="B7217" s="7">
        <v>1</v>
      </c>
      <c r="C7217" s="7" t="s">
        <v>10</v>
      </c>
      <c r="D7217" s="7">
        <v>6653</v>
      </c>
      <c r="E7217" s="7" t="s">
        <v>35</v>
      </c>
      <c r="F7217" s="8" t="str">
        <f ca="1">IFERROR(__xludf.DUMMYFUNCTION("IF
(
C7218=""фізична особа""
,
VLOOKUP(D7218,IMPORTRANGE(""https://docs.google.com/spreadsheets/d/14Bd19lYaqBhU8_DElYkX7l4wRkHqqCUFNJY4AfY3kHU/edit?usp=sharing  #gid=0"",""фіз особи new!relations_name""),6,FALSE)
,
(IF
(
C7218=""юридична особа""
,
VLOOKUP"&amp;"(D7218,IMPORTRANGE(""https://docs.google.com/spreadsheets/d/14Bd19lYaqBhU8_DElYkX7l4wRkHqqCUFNJY4AfY3kHU/edit?usp=sharing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7" s="7" t="s">
        <v>10</v>
      </c>
      <c r="H7217" s="7">
        <v>6655</v>
      </c>
      <c r="I7217" s="8" t="str">
        <f ca="1">IFERROR(__xludf.DUMMYFUNCTION("IF
(
G7218=""фізична особа""
,
VLOOKUP(H7218,IMPORTRANGE(""https://docs.google.com/spreadsheets/d/14Bd19lYaqBhU8_DElYkX7l4wRkHqqCUFNJY4AfY3kHU/edit?usp=sharing  #gid=0"",""фіз особи new!relations_name""),6,FALSE)
,
(IF
(
G7218=""юридична особа""
,
VLOOKUP"&amp;"(H7218,IMPORTRANGE(""https://docs.google.com/spreadsheets/d/14Bd19lYaqBhU8_DElYkX7l4wRkHqqCUFNJY4AfY3kHU/edit?usp=sharing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17" s="7" t="s">
        <v>35</v>
      </c>
    </row>
    <row r="7218" spans="1:10" ht="13.2">
      <c r="A7218" s="7">
        <v>7217</v>
      </c>
      <c r="B7218" s="7">
        <v>1</v>
      </c>
      <c r="C7218" s="7" t="s">
        <v>10</v>
      </c>
      <c r="D7218" s="7">
        <v>6653</v>
      </c>
      <c r="E7218" s="7" t="s">
        <v>35</v>
      </c>
      <c r="F7218" s="8" t="str">
        <f ca="1">IFERROR(__xludf.DUMMYFUNCTION("IF
(
C7219=""фізична особа""
,
VLOOKUP(D7219,IMPORTRANGE(""https://docs.google.com/spreadsheets/d/14Bd19lYaqBhU8_DElYkX7l4wRkHqqCUFNJY4AfY3kHU/edit?usp=sharing  #gid=0"",""фіз особи new!relations_name""),6,FALSE)
,
(IF
(
C7219=""юридична особа""
,
VLOOKUP"&amp;"(D7219,IMPORTRANGE(""https://docs.google.com/spreadsheets/d/14Bd19lYaqBhU8_DElYkX7l4wRkHqqCUFNJY4AfY3kHU/edit?usp=sharing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8" s="7" t="s">
        <v>10</v>
      </c>
      <c r="H7218" s="7">
        <v>6650</v>
      </c>
      <c r="I7218" s="8" t="str">
        <f ca="1">IFERROR(__xludf.DUMMYFUNCTION("IF
(
G7219=""фізична особа""
,
VLOOKUP(H7219,IMPORTRANGE(""https://docs.google.com/spreadsheets/d/14Bd19lYaqBhU8_DElYkX7l4wRkHqqCUFNJY4AfY3kHU/edit?usp=sharing  #gid=0"",""фіз особи new!relations_name""),6,FALSE)
,
(IF
(
G7219=""юридична особа""
,
VLOOKUP"&amp;"(H7219,IMPORTRANGE(""https://docs.google.com/spreadsheets/d/14Bd19lYaqBhU8_DElYkX7l4wRkHqqCUFNJY4AfY3kHU/edit?usp=sharing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18" s="7" t="s">
        <v>35</v>
      </c>
    </row>
    <row r="7219" spans="1:10" ht="13.2">
      <c r="A7219" s="7">
        <v>7218</v>
      </c>
      <c r="B7219" s="7">
        <v>1</v>
      </c>
      <c r="C7219" s="7" t="s">
        <v>10</v>
      </c>
      <c r="D7219" s="7">
        <v>6653</v>
      </c>
      <c r="E7219" s="7" t="s">
        <v>28</v>
      </c>
      <c r="F7219" s="8" t="str">
        <f ca="1">IFERROR(__xludf.DUMMYFUNCTION("IF
(
C7220=""фізична особа""
,
VLOOKUP(D7220,IMPORTRANGE(""https://docs.google.com/spreadsheets/d/14Bd19lYaqBhU8_DElYkX7l4wRkHqqCUFNJY4AfY3kHU/edit?usp=sharing  #gid=0"",""фіз особи new!relations_name""),6,FALSE)
,
(IF
(
C7220=""юридична особа""
,
VLOOKUP"&amp;"(D7220,IMPORTRANGE(""https://docs.google.com/spreadsheets/d/14Bd19lYaqBhU8_DElYkX7l4wRkHqqCUFNJY4AfY3kHU/edit?usp=sharing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G7219" s="7" t="s">
        <v>10</v>
      </c>
      <c r="H7219" s="7">
        <v>6657</v>
      </c>
      <c r="I7219" s="8" t="str">
        <f ca="1">IFERROR(__xludf.DUMMYFUNCTION("IF
(
G7220=""фізична особа""
,
VLOOKUP(H7220,IMPORTRANGE(""https://docs.google.com/spreadsheets/d/14Bd19lYaqBhU8_DElYkX7l4wRkHqqCUFNJY4AfY3kHU/edit?usp=sharing  #gid=0"",""фіз особи new!relations_name""),6,FALSE)
,
(IF
(
G7220=""юридична особа""
,
VLOOKUP"&amp;"(H7220,IMPORTRANGE(""https://docs.google.com/spreadsheets/d/14Bd19lYaqBhU8_DElYkX7l4wRkHqqCUFNJY4AfY3kHU/edit?usp=sharing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19" s="7" t="s">
        <v>29</v>
      </c>
    </row>
    <row r="7220" spans="1:10" ht="13.2">
      <c r="A7220" s="7">
        <v>7219</v>
      </c>
      <c r="B7220" s="7">
        <v>1</v>
      </c>
      <c r="C7220" s="7" t="s">
        <v>10</v>
      </c>
      <c r="D7220" s="7">
        <v>6654</v>
      </c>
      <c r="E7220" s="7" t="s">
        <v>35</v>
      </c>
      <c r="F7220" s="8" t="str">
        <f ca="1">IFERROR(__xludf.DUMMYFUNCTION("IF
(
C7221=""фізична особа""
,
VLOOKUP(D7221,IMPORTRANGE(""https://docs.google.com/spreadsheets/d/14Bd19lYaqBhU8_DElYkX7l4wRkHqqCUFNJY4AfY3kHU/edit?usp=sharing  #gid=0"",""фіз особи new!relations_name""),6,FALSE)
,
(IF
(
C7221=""юридична особа""
,
VLOOKUP"&amp;"(D7221,IMPORTRANGE(""https://docs.google.com/spreadsheets/d/14Bd19lYaqBhU8_DElYkX7l4wRkHqqCUFNJY4AfY3kHU/edit?usp=sharing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0" s="7" t="s">
        <v>10</v>
      </c>
      <c r="H7220" s="7">
        <v>6649</v>
      </c>
      <c r="I7220" s="8" t="str">
        <f ca="1">IFERROR(__xludf.DUMMYFUNCTION("IF
(
G7221=""фізична особа""
,
VLOOKUP(H7221,IMPORTRANGE(""https://docs.google.com/spreadsheets/d/14Bd19lYaqBhU8_DElYkX7l4wRkHqqCUFNJY4AfY3kHU/edit?usp=sharing  #gid=0"",""фіз особи new!relations_name""),6,FALSE)
,
(IF
(
G7221=""юридична особа""
,
VLOOKUP"&amp;"(H7221,IMPORTRANGE(""https://docs.google.com/spreadsheets/d/14Bd19lYaqBhU8_DElYkX7l4wRkHqqCUFNJY4AfY3kHU/edit?usp=sharing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20" s="7" t="s">
        <v>35</v>
      </c>
    </row>
    <row r="7221" spans="1:10" ht="13.2">
      <c r="A7221" s="7">
        <v>7220</v>
      </c>
      <c r="B7221" s="7">
        <v>1</v>
      </c>
      <c r="C7221" s="7" t="s">
        <v>10</v>
      </c>
      <c r="D7221" s="7">
        <v>6654</v>
      </c>
      <c r="E7221" s="7" t="s">
        <v>35</v>
      </c>
      <c r="F7221" s="8" t="str">
        <f ca="1">IFERROR(__xludf.DUMMYFUNCTION("IF
(
C7222=""фізична особа""
,
VLOOKUP(D7222,IMPORTRANGE(""https://docs.google.com/spreadsheets/d/14Bd19lYaqBhU8_DElYkX7l4wRkHqqCUFNJY4AfY3kHU/edit?usp=sharing  #gid=0"",""фіз особи new!relations_name""),6,FALSE)
,
(IF
(
C7222=""юридична особа""
,
VLOOKUP"&amp;"(D7222,IMPORTRANGE(""https://docs.google.com/spreadsheets/d/14Bd19lYaqBhU8_DElYkX7l4wRkHqqCUFNJY4AfY3kHU/edit?usp=sharing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1" s="7" t="s">
        <v>10</v>
      </c>
      <c r="H7221" s="7">
        <v>6648</v>
      </c>
      <c r="I7221" s="8" t="str">
        <f ca="1">IFERROR(__xludf.DUMMYFUNCTION("IF
(
G7222=""фізична особа""
,
VLOOKUP(H7222,IMPORTRANGE(""https://docs.google.com/spreadsheets/d/14Bd19lYaqBhU8_DElYkX7l4wRkHqqCUFNJY4AfY3kHU/edit?usp=sharing  #gid=0"",""фіз особи new!relations_name""),6,FALSE)
,
(IF
(
G7222=""юридична особа""
,
VLOOKUP"&amp;"(H7222,IMPORTRANGE(""https://docs.google.com/spreadsheets/d/14Bd19lYaqBhU8_DElYkX7l4wRkHqqCUFNJY4AfY3kHU/edit?usp=sharing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21" s="7" t="s">
        <v>35</v>
      </c>
    </row>
    <row r="7222" spans="1:10" ht="13.2">
      <c r="A7222" s="7">
        <v>7221</v>
      </c>
      <c r="B7222" s="7">
        <v>1</v>
      </c>
      <c r="C7222" s="7" t="s">
        <v>10</v>
      </c>
      <c r="D7222" s="7">
        <v>6654</v>
      </c>
      <c r="E7222" s="7" t="s">
        <v>35</v>
      </c>
      <c r="F7222" s="8" t="str">
        <f ca="1">IFERROR(__xludf.DUMMYFUNCTION("IF
(
C7223=""фізична особа""
,
VLOOKUP(D7223,IMPORTRANGE(""https://docs.google.com/spreadsheets/d/14Bd19lYaqBhU8_DElYkX7l4wRkHqqCUFNJY4AfY3kHU/edit?usp=sharing  #gid=0"",""фіз особи new!relations_name""),6,FALSE)
,
(IF
(
C7223=""юридична особа""
,
VLOOKUP"&amp;"(D7223,IMPORTRANGE(""https://docs.google.com/spreadsheets/d/14Bd19lYaqBhU8_DElYkX7l4wRkHqqCUFNJY4AfY3kHU/edit?usp=sharing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2" s="7" t="s">
        <v>10</v>
      </c>
      <c r="H7222" s="7">
        <v>6659</v>
      </c>
      <c r="I7222" s="8" t="str">
        <f ca="1">IFERROR(__xludf.DUMMYFUNCTION("IF
(
G7223=""фізична особа""
,
VLOOKUP(H7223,IMPORTRANGE(""https://docs.google.com/spreadsheets/d/14Bd19lYaqBhU8_DElYkX7l4wRkHqqCUFNJY4AfY3kHU/edit?usp=sharing  #gid=0"",""фіз особи new!relations_name""),6,FALSE)
,
(IF
(
G7223=""юридична особа""
,
VLOOKUP"&amp;"(H7223,IMPORTRANGE(""https://docs.google.com/spreadsheets/d/14Bd19lYaqBhU8_DElYkX7l4wRkHqqCUFNJY4AfY3kHU/edit?usp=sharing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22" s="7" t="s">
        <v>35</v>
      </c>
    </row>
    <row r="7223" spans="1:10" ht="13.2">
      <c r="A7223" s="7">
        <v>7222</v>
      </c>
      <c r="B7223" s="7">
        <v>1</v>
      </c>
      <c r="C7223" s="7" t="s">
        <v>10</v>
      </c>
      <c r="D7223" s="7">
        <v>6654</v>
      </c>
      <c r="E7223" s="7" t="s">
        <v>35</v>
      </c>
      <c r="F7223" s="8" t="str">
        <f ca="1">IFERROR(__xludf.DUMMYFUNCTION("IF
(
C7224=""фізична особа""
,
VLOOKUP(D7224,IMPORTRANGE(""https://docs.google.com/spreadsheets/d/14Bd19lYaqBhU8_DElYkX7l4wRkHqqCUFNJY4AfY3kHU/edit?usp=sharing  #gid=0"",""фіз особи new!relations_name""),6,FALSE)
,
(IF
(
C7224=""юридична особа""
,
VLOOKUP"&amp;"(D7224,IMPORTRANGE(""https://docs.google.com/spreadsheets/d/14Bd19lYaqBhU8_DElYkX7l4wRkHqqCUFNJY4AfY3kHU/edit?usp=sharing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3" s="7" t="s">
        <v>10</v>
      </c>
      <c r="H7223" s="7">
        <v>6646</v>
      </c>
      <c r="I7223" s="8" t="str">
        <f ca="1">IFERROR(__xludf.DUMMYFUNCTION("IF
(
G7224=""фізична особа""
,
VLOOKUP(H7224,IMPORTRANGE(""https://docs.google.com/spreadsheets/d/14Bd19lYaqBhU8_DElYkX7l4wRkHqqCUFNJY4AfY3kHU/edit?usp=sharing  #gid=0"",""фіз особи new!relations_name""),6,FALSE)
,
(IF
(
G7224=""юридична особа""
,
VLOOKUP"&amp;"(H7224,IMPORTRANGE(""https://docs.google.com/spreadsheets/d/14Bd19lYaqBhU8_DElYkX7l4wRkHqqCUFNJY4AfY3kHU/edit?usp=sharing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23" s="7" t="s">
        <v>35</v>
      </c>
    </row>
    <row r="7224" spans="1:10" ht="13.2">
      <c r="A7224" s="7">
        <v>7223</v>
      </c>
      <c r="B7224" s="7">
        <v>1</v>
      </c>
      <c r="C7224" s="7" t="s">
        <v>10</v>
      </c>
      <c r="D7224" s="7">
        <v>6654</v>
      </c>
      <c r="E7224" s="7" t="s">
        <v>35</v>
      </c>
      <c r="F7224" s="8" t="str">
        <f ca="1">IFERROR(__xludf.DUMMYFUNCTION("IF
(
C7225=""фізична особа""
,
VLOOKUP(D7225,IMPORTRANGE(""https://docs.google.com/spreadsheets/d/14Bd19lYaqBhU8_DElYkX7l4wRkHqqCUFNJY4AfY3kHU/edit?usp=sharing  #gid=0"",""фіз особи new!relations_name""),6,FALSE)
,
(IF
(
C7225=""юридична особа""
,
VLOOKUP"&amp;"(D7225,IMPORTRANGE(""https://docs.google.com/spreadsheets/d/14Bd19lYaqBhU8_DElYkX7l4wRkHqqCUFNJY4AfY3kHU/edit?usp=sharing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4" s="7" t="s">
        <v>10</v>
      </c>
      <c r="H7224" s="7">
        <v>6647</v>
      </c>
      <c r="I7224" s="8" t="str">
        <f ca="1">IFERROR(__xludf.DUMMYFUNCTION("IF
(
G7225=""фізична особа""
,
VLOOKUP(H7225,IMPORTRANGE(""https://docs.google.com/spreadsheets/d/14Bd19lYaqBhU8_DElYkX7l4wRkHqqCUFNJY4AfY3kHU/edit?usp=sharing  #gid=0"",""фіз особи new!relations_name""),6,FALSE)
,
(IF
(
G7225=""юридична особа""
,
VLOOKUP"&amp;"(H7225,IMPORTRANGE(""https://docs.google.com/spreadsheets/d/14Bd19lYaqBhU8_DElYkX7l4wRkHqqCUFNJY4AfY3kHU/edit?usp=sharing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24" s="7" t="s">
        <v>35</v>
      </c>
    </row>
    <row r="7225" spans="1:10" ht="13.2">
      <c r="A7225" s="7">
        <v>7224</v>
      </c>
      <c r="B7225" s="7">
        <v>1</v>
      </c>
      <c r="C7225" s="7" t="s">
        <v>10</v>
      </c>
      <c r="D7225" s="7">
        <v>6654</v>
      </c>
      <c r="E7225" s="7" t="s">
        <v>35</v>
      </c>
      <c r="F7225" s="8" t="str">
        <f ca="1">IFERROR(__xludf.DUMMYFUNCTION("IF
(
C7226=""фізична особа""
,
VLOOKUP(D7226,IMPORTRANGE(""https://docs.google.com/spreadsheets/d/14Bd19lYaqBhU8_DElYkX7l4wRkHqqCUFNJY4AfY3kHU/edit?usp=sharing  #gid=0"",""фіз особи new!relations_name""),6,FALSE)
,
(IF
(
C7226=""юридична особа""
,
VLOOKUP"&amp;"(D7226,IMPORTRANGE(""https://docs.google.com/spreadsheets/d/14Bd19lYaqBhU8_DElYkX7l4wRkHqqCUFNJY4AfY3kHU/edit?usp=sharing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5" s="7" t="s">
        <v>10</v>
      </c>
      <c r="H7225" s="7">
        <v>6652</v>
      </c>
      <c r="I7225" s="8" t="str">
        <f ca="1">IFERROR(__xludf.DUMMYFUNCTION("IF
(
G7226=""фізична особа""
,
VLOOKUP(H7226,IMPORTRANGE(""https://docs.google.com/spreadsheets/d/14Bd19lYaqBhU8_DElYkX7l4wRkHqqCUFNJY4AfY3kHU/edit?usp=sharing  #gid=0"",""фіз особи new!relations_name""),6,FALSE)
,
(IF
(
G7226=""юридична особа""
,
VLOOKUP"&amp;"(H7226,IMPORTRANGE(""https://docs.google.com/spreadsheets/d/14Bd19lYaqBhU8_DElYkX7l4wRkHqqCUFNJY4AfY3kHU/edit?usp=sharing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25" s="7" t="s">
        <v>35</v>
      </c>
    </row>
    <row r="7226" spans="1:10" ht="13.2">
      <c r="A7226" s="7">
        <v>7225</v>
      </c>
      <c r="B7226" s="7">
        <v>1</v>
      </c>
      <c r="C7226" s="7" t="s">
        <v>10</v>
      </c>
      <c r="D7226" s="7">
        <v>6654</v>
      </c>
      <c r="E7226" s="7" t="s">
        <v>35</v>
      </c>
      <c r="F7226" s="8" t="str">
        <f ca="1">IFERROR(__xludf.DUMMYFUNCTION("IF
(
C7227=""фізична особа""
,
VLOOKUP(D7227,IMPORTRANGE(""https://docs.google.com/spreadsheets/d/14Bd19lYaqBhU8_DElYkX7l4wRkHqqCUFNJY4AfY3kHU/edit?usp=sharing  #gid=0"",""фіз особи new!relations_name""),6,FALSE)
,
(IF
(
C7227=""юридична особа""
,
VLOOKUP"&amp;"(D7227,IMPORTRANGE(""https://docs.google.com/spreadsheets/d/14Bd19lYaqBhU8_DElYkX7l4wRkHqqCUFNJY4AfY3kHU/edit?usp=sharing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6" s="7" t="s">
        <v>10</v>
      </c>
      <c r="H7226" s="7">
        <v>6656</v>
      </c>
      <c r="I7226" s="8" t="str">
        <f ca="1">IFERROR(__xludf.DUMMYFUNCTION("IF
(
G7227=""фізична особа""
,
VLOOKUP(H7227,IMPORTRANGE(""https://docs.google.com/spreadsheets/d/14Bd19lYaqBhU8_DElYkX7l4wRkHqqCUFNJY4AfY3kHU/edit?usp=sharing  #gid=0"",""фіз особи new!relations_name""),6,FALSE)
,
(IF
(
G7227=""юридична особа""
,
VLOOKUP"&amp;"(H7227,IMPORTRANGE(""https://docs.google.com/spreadsheets/d/14Bd19lYaqBhU8_DElYkX7l4wRkHqqCUFNJY4AfY3kHU/edit?usp=sharing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26" s="7" t="s">
        <v>35</v>
      </c>
    </row>
    <row r="7227" spans="1:10" ht="13.2">
      <c r="A7227" s="7">
        <v>7226</v>
      </c>
      <c r="B7227" s="7">
        <v>1</v>
      </c>
      <c r="C7227" s="7" t="s">
        <v>10</v>
      </c>
      <c r="D7227" s="7">
        <v>6654</v>
      </c>
      <c r="E7227" s="7" t="s">
        <v>35</v>
      </c>
      <c r="F7227" s="8" t="str">
        <f ca="1">IFERROR(__xludf.DUMMYFUNCTION("IF
(
C7228=""фізична особа""
,
VLOOKUP(D7228,IMPORTRANGE(""https://docs.google.com/spreadsheets/d/14Bd19lYaqBhU8_DElYkX7l4wRkHqqCUFNJY4AfY3kHU/edit?usp=sharing  #gid=0"",""фіз особи new!relations_name""),6,FALSE)
,
(IF
(
C7228=""юридична особа""
,
VLOOKUP"&amp;"(D7228,IMPORTRANGE(""https://docs.google.com/spreadsheets/d/14Bd19lYaqBhU8_DElYkX7l4wRkHqqCUFNJY4AfY3kHU/edit?usp=sharing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7" s="7" t="s">
        <v>10</v>
      </c>
      <c r="H7227" s="7">
        <v>6658</v>
      </c>
      <c r="I7227" s="8" t="str">
        <f ca="1">IFERROR(__xludf.DUMMYFUNCTION("IF
(
G7228=""фізична особа""
,
VLOOKUP(H7228,IMPORTRANGE(""https://docs.google.com/spreadsheets/d/14Bd19lYaqBhU8_DElYkX7l4wRkHqqCUFNJY4AfY3kHU/edit?usp=sharing  #gid=0"",""фіз особи new!relations_name""),6,FALSE)
,
(IF
(
G7228=""юридична особа""
,
VLOOKUP"&amp;"(H7228,IMPORTRANGE(""https://docs.google.com/spreadsheets/d/14Bd19lYaqBhU8_DElYkX7l4wRkHqqCUFNJY4AfY3kHU/edit?usp=sharing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27" s="7" t="s">
        <v>35</v>
      </c>
    </row>
    <row r="7228" spans="1:10" ht="13.2">
      <c r="A7228" s="7">
        <v>7227</v>
      </c>
      <c r="B7228" s="7">
        <v>1</v>
      </c>
      <c r="C7228" s="7" t="s">
        <v>10</v>
      </c>
      <c r="D7228" s="7">
        <v>6654</v>
      </c>
      <c r="E7228" s="7" t="s">
        <v>35</v>
      </c>
      <c r="F7228" s="8" t="str">
        <f ca="1">IFERROR(__xludf.DUMMYFUNCTION("IF
(
C7229=""фізична особа""
,
VLOOKUP(D7229,IMPORTRANGE(""https://docs.google.com/spreadsheets/d/14Bd19lYaqBhU8_DElYkX7l4wRkHqqCUFNJY4AfY3kHU/edit?usp=sharing  #gid=0"",""фіз особи new!relations_name""),6,FALSE)
,
(IF
(
C7229=""юридична особа""
,
VLOOKUP"&amp;"(D7229,IMPORTRANGE(""https://docs.google.com/spreadsheets/d/14Bd19lYaqBhU8_DElYkX7l4wRkHqqCUFNJY4AfY3kHU/edit?usp=sharing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8" s="7" t="s">
        <v>10</v>
      </c>
      <c r="H7228" s="7">
        <v>6651</v>
      </c>
      <c r="I7228" s="8" t="str">
        <f ca="1">IFERROR(__xludf.DUMMYFUNCTION("IF
(
G7229=""фізична особа""
,
VLOOKUP(H7229,IMPORTRANGE(""https://docs.google.com/spreadsheets/d/14Bd19lYaqBhU8_DElYkX7l4wRkHqqCUFNJY4AfY3kHU/edit?usp=sharing  #gid=0"",""фіз особи new!relations_name""),6,FALSE)
,
(IF
(
G7229=""юридична особа""
,
VLOOKUP"&amp;"(H7229,IMPORTRANGE(""https://docs.google.com/spreadsheets/d/14Bd19lYaqBhU8_DElYkX7l4wRkHqqCUFNJY4AfY3kHU/edit?usp=sharing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28" s="7" t="s">
        <v>35</v>
      </c>
    </row>
    <row r="7229" spans="1:10" ht="13.2">
      <c r="A7229" s="7">
        <v>7228</v>
      </c>
      <c r="B7229" s="7">
        <v>1</v>
      </c>
      <c r="C7229" s="7" t="s">
        <v>10</v>
      </c>
      <c r="D7229" s="7">
        <v>6654</v>
      </c>
      <c r="E7229" s="7" t="s">
        <v>28</v>
      </c>
      <c r="F7229" s="8" t="str">
        <f ca="1">IFERROR(__xludf.DUMMYFUNCTION("IF
(
C7230=""фізична особа""
,
VLOOKUP(D7230,IMPORTRANGE(""https://docs.google.com/spreadsheets/d/14Bd19lYaqBhU8_DElYkX7l4wRkHqqCUFNJY4AfY3kHU/edit?usp=sharing  #gid=0"",""фіз особи new!relations_name""),6,FALSE)
,
(IF
(
C7230=""юридична особа""
,
VLOOKUP"&amp;"(D7230,IMPORTRANGE(""https://docs.google.com/spreadsheets/d/14Bd19lYaqBhU8_DElYkX7l4wRkHqqCUFNJY4AfY3kHU/edit?usp=sharing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29" s="7" t="s">
        <v>10</v>
      </c>
      <c r="H7229" s="7">
        <v>6645</v>
      </c>
      <c r="I7229" s="8" t="str">
        <f ca="1">IFERROR(__xludf.DUMMYFUNCTION("IF
(
G7230=""фізична особа""
,
VLOOKUP(H7230,IMPORTRANGE(""https://docs.google.com/spreadsheets/d/14Bd19lYaqBhU8_DElYkX7l4wRkHqqCUFNJY4AfY3kHU/edit?usp=sharing  #gid=0"",""фіз особи new!relations_name""),6,FALSE)
,
(IF
(
G7230=""юридична особа""
,
VLOOKUP"&amp;"(H7230,IMPORTRANGE(""https://docs.google.com/spreadsheets/d/14Bd19lYaqBhU8_DElYkX7l4wRkHqqCUFNJY4AfY3kHU/edit?usp=sharing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29" s="7" t="s">
        <v>29</v>
      </c>
    </row>
    <row r="7230" spans="1:10" ht="13.2">
      <c r="A7230" s="7">
        <v>7229</v>
      </c>
      <c r="B7230" s="7">
        <v>1</v>
      </c>
      <c r="C7230" s="7" t="s">
        <v>10</v>
      </c>
      <c r="D7230" s="7">
        <v>6654</v>
      </c>
      <c r="E7230" s="7" t="s">
        <v>35</v>
      </c>
      <c r="F7230" s="8" t="str">
        <f ca="1">IFERROR(__xludf.DUMMYFUNCTION("IF
(
C7231=""фізична особа""
,
VLOOKUP(D7231,IMPORTRANGE(""https://docs.google.com/spreadsheets/d/14Bd19lYaqBhU8_DElYkX7l4wRkHqqCUFNJY4AfY3kHU/edit?usp=sharing  #gid=0"",""фіз особи new!relations_name""),6,FALSE)
,
(IF
(
C7231=""юридична особа""
,
VLOOKUP"&amp;"(D7231,IMPORTRANGE(""https://docs.google.com/spreadsheets/d/14Bd19lYaqBhU8_DElYkX7l4wRkHqqCUFNJY4AfY3kHU/edit?usp=sharing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30" s="7" t="s">
        <v>10</v>
      </c>
      <c r="H7230" s="7">
        <v>6653</v>
      </c>
      <c r="I7230" s="8" t="str">
        <f ca="1">IFERROR(__xludf.DUMMYFUNCTION("IF
(
G7231=""фізична особа""
,
VLOOKUP(H7231,IMPORTRANGE(""https://docs.google.com/spreadsheets/d/14Bd19lYaqBhU8_DElYkX7l4wRkHqqCUFNJY4AfY3kHU/edit?usp=sharing  #gid=0"",""фіз особи new!relations_name""),6,FALSE)
,
(IF
(
G7231=""юридична особа""
,
VLOOKUP"&amp;"(H7231,IMPORTRANGE(""https://docs.google.com/spreadsheets/d/14Bd19lYaqBhU8_DElYkX7l4wRkHqqCUFNJY4AfY3kHU/edit?usp=sharing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230" s="7" t="s">
        <v>35</v>
      </c>
    </row>
    <row r="7231" spans="1:10" ht="13.2">
      <c r="A7231" s="7">
        <v>7230</v>
      </c>
      <c r="B7231" s="7">
        <v>1</v>
      </c>
      <c r="C7231" s="7" t="s">
        <v>10</v>
      </c>
      <c r="D7231" s="7">
        <v>6654</v>
      </c>
      <c r="E7231" s="7" t="s">
        <v>35</v>
      </c>
      <c r="F7231" s="8" t="str">
        <f ca="1">IFERROR(__xludf.DUMMYFUNCTION("IF
(
C7232=""фізична особа""
,
VLOOKUP(D7232,IMPORTRANGE(""https://docs.google.com/spreadsheets/d/14Bd19lYaqBhU8_DElYkX7l4wRkHqqCUFNJY4AfY3kHU/edit?usp=sharing  #gid=0"",""фіз особи new!relations_name""),6,FALSE)
,
(IF
(
C7232=""юридична особа""
,
VLOOKUP"&amp;"(D7232,IMPORTRANGE(""https://docs.google.com/spreadsheets/d/14Bd19lYaqBhU8_DElYkX7l4wRkHqqCUFNJY4AfY3kHU/edit?usp=sharing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31" s="7" t="s">
        <v>10</v>
      </c>
      <c r="H7231" s="7">
        <v>6655</v>
      </c>
      <c r="I7231" s="8" t="str">
        <f ca="1">IFERROR(__xludf.DUMMYFUNCTION("IF
(
G7232=""фізична особа""
,
VLOOKUP(H7232,IMPORTRANGE(""https://docs.google.com/spreadsheets/d/14Bd19lYaqBhU8_DElYkX7l4wRkHqqCUFNJY4AfY3kHU/edit?usp=sharing  #gid=0"",""фіз особи new!relations_name""),6,FALSE)
,
(IF
(
G7232=""юридична особа""
,
VLOOKUP"&amp;"(H7232,IMPORTRANGE(""https://docs.google.com/spreadsheets/d/14Bd19lYaqBhU8_DElYkX7l4wRkHqqCUFNJY4AfY3kHU/edit?usp=sharing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31" s="7" t="s">
        <v>35</v>
      </c>
    </row>
    <row r="7232" spans="1:10" ht="13.2">
      <c r="A7232" s="7">
        <v>7231</v>
      </c>
      <c r="B7232" s="7">
        <v>1</v>
      </c>
      <c r="C7232" s="7" t="s">
        <v>10</v>
      </c>
      <c r="D7232" s="7">
        <v>6654</v>
      </c>
      <c r="E7232" s="7" t="s">
        <v>35</v>
      </c>
      <c r="F7232" s="8" t="str">
        <f ca="1">IFERROR(__xludf.DUMMYFUNCTION("IF
(
C7233=""фізична особа""
,
VLOOKUP(D7233,IMPORTRANGE(""https://docs.google.com/spreadsheets/d/14Bd19lYaqBhU8_DElYkX7l4wRkHqqCUFNJY4AfY3kHU/edit?usp=sharing  #gid=0"",""фіз особи new!relations_name""),6,FALSE)
,
(IF
(
C7233=""юридична особа""
,
VLOOKUP"&amp;"(D7233,IMPORTRANGE(""https://docs.google.com/spreadsheets/d/14Bd19lYaqBhU8_DElYkX7l4wRkHqqCUFNJY4AfY3kHU/edit?usp=sharing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32" s="7" t="s">
        <v>10</v>
      </c>
      <c r="H7232" s="7">
        <v>6650</v>
      </c>
      <c r="I7232" s="8" t="str">
        <f ca="1">IFERROR(__xludf.DUMMYFUNCTION("IF
(
G7233=""фізична особа""
,
VLOOKUP(H7233,IMPORTRANGE(""https://docs.google.com/spreadsheets/d/14Bd19lYaqBhU8_DElYkX7l4wRkHqqCUFNJY4AfY3kHU/edit?usp=sharing  #gid=0"",""фіз особи new!relations_name""),6,FALSE)
,
(IF
(
G7233=""юридична особа""
,
VLOOKUP"&amp;"(H7233,IMPORTRANGE(""https://docs.google.com/spreadsheets/d/14Bd19lYaqBhU8_DElYkX7l4wRkHqqCUFNJY4AfY3kHU/edit?usp=sharing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32" s="7" t="s">
        <v>35</v>
      </c>
    </row>
    <row r="7233" spans="1:10" ht="13.2">
      <c r="A7233" s="7">
        <v>7232</v>
      </c>
      <c r="B7233" s="7">
        <v>1</v>
      </c>
      <c r="C7233" s="7" t="s">
        <v>10</v>
      </c>
      <c r="D7233" s="7">
        <v>6654</v>
      </c>
      <c r="E7233" s="7" t="s">
        <v>28</v>
      </c>
      <c r="F7233" s="8" t="str">
        <f ca="1">IFERROR(__xludf.DUMMYFUNCTION("IF
(
C7234=""фізична особа""
,
VLOOKUP(D7234,IMPORTRANGE(""https://docs.google.com/spreadsheets/d/14Bd19lYaqBhU8_DElYkX7l4wRkHqqCUFNJY4AfY3kHU/edit?usp=sharing  #gid=0"",""фіз особи new!relations_name""),6,FALSE)
,
(IF
(
C7234=""юридична особа""
,
VLOOKUP"&amp;"(D7234,IMPORTRANGE(""https://docs.google.com/spreadsheets/d/14Bd19lYaqBhU8_DElYkX7l4wRkHqqCUFNJY4AfY3kHU/edit?usp=sharing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G7233" s="7" t="s">
        <v>10</v>
      </c>
      <c r="H7233" s="7">
        <v>6657</v>
      </c>
      <c r="I7233" s="8" t="str">
        <f ca="1">IFERROR(__xludf.DUMMYFUNCTION("IF
(
G7234=""фізична особа""
,
VLOOKUP(H7234,IMPORTRANGE(""https://docs.google.com/spreadsheets/d/14Bd19lYaqBhU8_DElYkX7l4wRkHqqCUFNJY4AfY3kHU/edit?usp=sharing  #gid=0"",""фіз особи new!relations_name""),6,FALSE)
,
(IF
(
G7234=""юридична особа""
,
VLOOKUP"&amp;"(H7234,IMPORTRANGE(""https://docs.google.com/spreadsheets/d/14Bd19lYaqBhU8_DElYkX7l4wRkHqqCUFNJY4AfY3kHU/edit?usp=sharing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33" s="7" t="s">
        <v>29</v>
      </c>
    </row>
    <row r="7234" spans="1:10" ht="13.2">
      <c r="A7234" s="7">
        <v>7233</v>
      </c>
      <c r="B7234" s="7">
        <v>1</v>
      </c>
      <c r="C7234" s="7" t="s">
        <v>10</v>
      </c>
      <c r="D7234" s="7">
        <v>6655</v>
      </c>
      <c r="E7234" s="7" t="s">
        <v>35</v>
      </c>
      <c r="F7234" s="8" t="str">
        <f ca="1">IFERROR(__xludf.DUMMYFUNCTION("IF
(
C7235=""фізична особа""
,
VLOOKUP(D7235,IMPORTRANGE(""https://docs.google.com/spreadsheets/d/14Bd19lYaqBhU8_DElYkX7l4wRkHqqCUFNJY4AfY3kHU/edit?usp=sharing  #gid=0"",""фіз особи new!relations_name""),6,FALSE)
,
(IF
(
C7235=""юридична особа""
,
VLOOKUP"&amp;"(D7235,IMPORTRANGE(""https://docs.google.com/spreadsheets/d/14Bd19lYaqBhU8_DElYkX7l4wRkHqqCUFNJY4AfY3kHU/edit?usp=sharing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4" s="7" t="s">
        <v>10</v>
      </c>
      <c r="H7234" s="7">
        <v>6649</v>
      </c>
      <c r="I7234" s="8" t="str">
        <f ca="1">IFERROR(__xludf.DUMMYFUNCTION("IF
(
G7235=""фізична особа""
,
VLOOKUP(H7235,IMPORTRANGE(""https://docs.google.com/spreadsheets/d/14Bd19lYaqBhU8_DElYkX7l4wRkHqqCUFNJY4AfY3kHU/edit?usp=sharing  #gid=0"",""фіз особи new!relations_name""),6,FALSE)
,
(IF
(
G7235=""юридична особа""
,
VLOOKUP"&amp;"(H7235,IMPORTRANGE(""https://docs.google.com/spreadsheets/d/14Bd19lYaqBhU8_DElYkX7l4wRkHqqCUFNJY4AfY3kHU/edit?usp=sharing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34" s="7" t="s">
        <v>35</v>
      </c>
    </row>
    <row r="7235" spans="1:10" ht="13.2">
      <c r="A7235" s="7">
        <v>7234</v>
      </c>
      <c r="B7235" s="7">
        <v>1</v>
      </c>
      <c r="C7235" s="7" t="s">
        <v>10</v>
      </c>
      <c r="D7235" s="7">
        <v>6655</v>
      </c>
      <c r="E7235" s="7" t="s">
        <v>35</v>
      </c>
      <c r="F7235" s="8" t="str">
        <f ca="1">IFERROR(__xludf.DUMMYFUNCTION("IF
(
C7236=""фізична особа""
,
VLOOKUP(D7236,IMPORTRANGE(""https://docs.google.com/spreadsheets/d/14Bd19lYaqBhU8_DElYkX7l4wRkHqqCUFNJY4AfY3kHU/edit?usp=sharing  #gid=0"",""фіз особи new!relations_name""),6,FALSE)
,
(IF
(
C7236=""юридична особа""
,
VLOOKUP"&amp;"(D7236,IMPORTRANGE(""https://docs.google.com/spreadsheets/d/14Bd19lYaqBhU8_DElYkX7l4wRkHqqCUFNJY4AfY3kHU/edit?usp=sharing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5" s="7" t="s">
        <v>10</v>
      </c>
      <c r="H7235" s="7">
        <v>6648</v>
      </c>
      <c r="I7235" s="8" t="str">
        <f ca="1">IFERROR(__xludf.DUMMYFUNCTION("IF
(
G7236=""фізична особа""
,
VLOOKUP(H7236,IMPORTRANGE(""https://docs.google.com/spreadsheets/d/14Bd19lYaqBhU8_DElYkX7l4wRkHqqCUFNJY4AfY3kHU/edit?usp=sharing  #gid=0"",""фіз особи new!relations_name""),6,FALSE)
,
(IF
(
G7236=""юридична особа""
,
VLOOKUP"&amp;"(H7236,IMPORTRANGE(""https://docs.google.com/spreadsheets/d/14Bd19lYaqBhU8_DElYkX7l4wRkHqqCUFNJY4AfY3kHU/edit?usp=sharing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35" s="7" t="s">
        <v>35</v>
      </c>
    </row>
    <row r="7236" spans="1:10" ht="13.2">
      <c r="A7236" s="7">
        <v>7235</v>
      </c>
      <c r="B7236" s="7">
        <v>1</v>
      </c>
      <c r="C7236" s="7" t="s">
        <v>10</v>
      </c>
      <c r="D7236" s="7">
        <v>6655</v>
      </c>
      <c r="E7236" s="7" t="s">
        <v>35</v>
      </c>
      <c r="F7236" s="8" t="str">
        <f ca="1">IFERROR(__xludf.DUMMYFUNCTION("IF
(
C7237=""фізична особа""
,
VLOOKUP(D7237,IMPORTRANGE(""https://docs.google.com/spreadsheets/d/14Bd19lYaqBhU8_DElYkX7l4wRkHqqCUFNJY4AfY3kHU/edit?usp=sharing  #gid=0"",""фіз особи new!relations_name""),6,FALSE)
,
(IF
(
C7237=""юридична особа""
,
VLOOKUP"&amp;"(D7237,IMPORTRANGE(""https://docs.google.com/spreadsheets/d/14Bd19lYaqBhU8_DElYkX7l4wRkHqqCUFNJY4AfY3kHU/edit?usp=sharing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6" s="7" t="s">
        <v>10</v>
      </c>
      <c r="H7236" s="7">
        <v>6659</v>
      </c>
      <c r="I7236" s="8" t="str">
        <f ca="1">IFERROR(__xludf.DUMMYFUNCTION("IF
(
G7237=""фізична особа""
,
VLOOKUP(H7237,IMPORTRANGE(""https://docs.google.com/spreadsheets/d/14Bd19lYaqBhU8_DElYkX7l4wRkHqqCUFNJY4AfY3kHU/edit?usp=sharing  #gid=0"",""фіз особи new!relations_name""),6,FALSE)
,
(IF
(
G7237=""юридична особа""
,
VLOOKUP"&amp;"(H7237,IMPORTRANGE(""https://docs.google.com/spreadsheets/d/14Bd19lYaqBhU8_DElYkX7l4wRkHqqCUFNJY4AfY3kHU/edit?usp=sharing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36" s="7" t="s">
        <v>35</v>
      </c>
    </row>
    <row r="7237" spans="1:10" ht="13.2">
      <c r="A7237" s="7">
        <v>7236</v>
      </c>
      <c r="B7237" s="7">
        <v>1</v>
      </c>
      <c r="C7237" s="7" t="s">
        <v>10</v>
      </c>
      <c r="D7237" s="7">
        <v>6655</v>
      </c>
      <c r="E7237" s="7" t="s">
        <v>35</v>
      </c>
      <c r="F7237" s="8" t="str">
        <f ca="1">IFERROR(__xludf.DUMMYFUNCTION("IF
(
C7238=""фізична особа""
,
VLOOKUP(D7238,IMPORTRANGE(""https://docs.google.com/spreadsheets/d/14Bd19lYaqBhU8_DElYkX7l4wRkHqqCUFNJY4AfY3kHU/edit?usp=sharing  #gid=0"",""фіз особи new!relations_name""),6,FALSE)
,
(IF
(
C7238=""юридична особа""
,
VLOOKUP"&amp;"(D7238,IMPORTRANGE(""https://docs.google.com/spreadsheets/d/14Bd19lYaqBhU8_DElYkX7l4wRkHqqCUFNJY4AfY3kHU/edit?usp=sharing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7" s="7" t="s">
        <v>10</v>
      </c>
      <c r="H7237" s="7">
        <v>6646</v>
      </c>
      <c r="I7237" s="8" t="str">
        <f ca="1">IFERROR(__xludf.DUMMYFUNCTION("IF
(
G7238=""фізична особа""
,
VLOOKUP(H7238,IMPORTRANGE(""https://docs.google.com/spreadsheets/d/14Bd19lYaqBhU8_DElYkX7l4wRkHqqCUFNJY4AfY3kHU/edit?usp=sharing  #gid=0"",""фіз особи new!relations_name""),6,FALSE)
,
(IF
(
G7238=""юридична особа""
,
VLOOKUP"&amp;"(H7238,IMPORTRANGE(""https://docs.google.com/spreadsheets/d/14Bd19lYaqBhU8_DElYkX7l4wRkHqqCUFNJY4AfY3kHU/edit?usp=sharing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37" s="7" t="s">
        <v>35</v>
      </c>
    </row>
    <row r="7238" spans="1:10" ht="13.2">
      <c r="A7238" s="7">
        <v>7237</v>
      </c>
      <c r="B7238" s="7">
        <v>1</v>
      </c>
      <c r="C7238" s="7" t="s">
        <v>10</v>
      </c>
      <c r="D7238" s="7">
        <v>6655</v>
      </c>
      <c r="E7238" s="7" t="s">
        <v>35</v>
      </c>
      <c r="F7238" s="8" t="str">
        <f ca="1">IFERROR(__xludf.DUMMYFUNCTION("IF
(
C7239=""фізична особа""
,
VLOOKUP(D7239,IMPORTRANGE(""https://docs.google.com/spreadsheets/d/14Bd19lYaqBhU8_DElYkX7l4wRkHqqCUFNJY4AfY3kHU/edit?usp=sharing  #gid=0"",""фіз особи new!relations_name""),6,FALSE)
,
(IF
(
C7239=""юридична особа""
,
VLOOKUP"&amp;"(D7239,IMPORTRANGE(""https://docs.google.com/spreadsheets/d/14Bd19lYaqBhU8_DElYkX7l4wRkHqqCUFNJY4AfY3kHU/edit?usp=sharing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8" s="7" t="s">
        <v>10</v>
      </c>
      <c r="H7238" s="7">
        <v>6647</v>
      </c>
      <c r="I7238" s="8" t="str">
        <f ca="1">IFERROR(__xludf.DUMMYFUNCTION("IF
(
G7239=""фізична особа""
,
VLOOKUP(H7239,IMPORTRANGE(""https://docs.google.com/spreadsheets/d/14Bd19lYaqBhU8_DElYkX7l4wRkHqqCUFNJY4AfY3kHU/edit?usp=sharing  #gid=0"",""фіз особи new!relations_name""),6,FALSE)
,
(IF
(
G7239=""юридична особа""
,
VLOOKUP"&amp;"(H7239,IMPORTRANGE(""https://docs.google.com/spreadsheets/d/14Bd19lYaqBhU8_DElYkX7l4wRkHqqCUFNJY4AfY3kHU/edit?usp=sharing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38" s="7" t="s">
        <v>35</v>
      </c>
    </row>
    <row r="7239" spans="1:10" ht="13.2">
      <c r="A7239" s="7">
        <v>7238</v>
      </c>
      <c r="B7239" s="7">
        <v>1</v>
      </c>
      <c r="C7239" s="7" t="s">
        <v>10</v>
      </c>
      <c r="D7239" s="7">
        <v>6655</v>
      </c>
      <c r="E7239" s="7" t="s">
        <v>35</v>
      </c>
      <c r="F7239" s="8" t="str">
        <f ca="1">IFERROR(__xludf.DUMMYFUNCTION("IF
(
C7240=""фізична особа""
,
VLOOKUP(D7240,IMPORTRANGE(""https://docs.google.com/spreadsheets/d/14Bd19lYaqBhU8_DElYkX7l4wRkHqqCUFNJY4AfY3kHU/edit?usp=sharing  #gid=0"",""фіз особи new!relations_name""),6,FALSE)
,
(IF
(
C7240=""юридична особа""
,
VLOOKUP"&amp;"(D7240,IMPORTRANGE(""https://docs.google.com/spreadsheets/d/14Bd19lYaqBhU8_DElYkX7l4wRkHqqCUFNJY4AfY3kHU/edit?usp=sharing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39" s="7" t="s">
        <v>10</v>
      </c>
      <c r="H7239" s="7">
        <v>6652</v>
      </c>
      <c r="I7239" s="8" t="str">
        <f ca="1">IFERROR(__xludf.DUMMYFUNCTION("IF
(
G7240=""фізична особа""
,
VLOOKUP(H7240,IMPORTRANGE(""https://docs.google.com/spreadsheets/d/14Bd19lYaqBhU8_DElYkX7l4wRkHqqCUFNJY4AfY3kHU/edit?usp=sharing  #gid=0"",""фіз особи new!relations_name""),6,FALSE)
,
(IF
(
G7240=""юридична особа""
,
VLOOKUP"&amp;"(H7240,IMPORTRANGE(""https://docs.google.com/spreadsheets/d/14Bd19lYaqBhU8_DElYkX7l4wRkHqqCUFNJY4AfY3kHU/edit?usp=sharing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39" s="7" t="s">
        <v>35</v>
      </c>
    </row>
    <row r="7240" spans="1:10" ht="13.2">
      <c r="A7240" s="7">
        <v>7239</v>
      </c>
      <c r="B7240" s="7">
        <v>1</v>
      </c>
      <c r="C7240" s="7" t="s">
        <v>10</v>
      </c>
      <c r="D7240" s="7">
        <v>6655</v>
      </c>
      <c r="E7240" s="7" t="s">
        <v>35</v>
      </c>
      <c r="F7240" s="8" t="str">
        <f ca="1">IFERROR(__xludf.DUMMYFUNCTION("IF
(
C7241=""фізична особа""
,
VLOOKUP(D7241,IMPORTRANGE(""https://docs.google.com/spreadsheets/d/14Bd19lYaqBhU8_DElYkX7l4wRkHqqCUFNJY4AfY3kHU/edit?usp=sharing  #gid=0"",""фіз особи new!relations_name""),6,FALSE)
,
(IF
(
C7241=""юридична особа""
,
VLOOKUP"&amp;"(D7241,IMPORTRANGE(""https://docs.google.com/spreadsheets/d/14Bd19lYaqBhU8_DElYkX7l4wRkHqqCUFNJY4AfY3kHU/edit?usp=sharing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0" s="7" t="s">
        <v>10</v>
      </c>
      <c r="H7240" s="7">
        <v>6656</v>
      </c>
      <c r="I7240" s="8" t="str">
        <f ca="1">IFERROR(__xludf.DUMMYFUNCTION("IF
(
G7241=""фізична особа""
,
VLOOKUP(H7241,IMPORTRANGE(""https://docs.google.com/spreadsheets/d/14Bd19lYaqBhU8_DElYkX7l4wRkHqqCUFNJY4AfY3kHU/edit?usp=sharing  #gid=0"",""фіз особи new!relations_name""),6,FALSE)
,
(IF
(
G7241=""юридична особа""
,
VLOOKUP"&amp;"(H7241,IMPORTRANGE(""https://docs.google.com/spreadsheets/d/14Bd19lYaqBhU8_DElYkX7l4wRkHqqCUFNJY4AfY3kHU/edit?usp=sharing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40" s="7" t="s">
        <v>35</v>
      </c>
    </row>
    <row r="7241" spans="1:10" ht="13.2">
      <c r="A7241" s="7">
        <v>7240</v>
      </c>
      <c r="B7241" s="7">
        <v>1</v>
      </c>
      <c r="C7241" s="7" t="s">
        <v>10</v>
      </c>
      <c r="D7241" s="7">
        <v>6655</v>
      </c>
      <c r="E7241" s="7" t="s">
        <v>35</v>
      </c>
      <c r="F7241" s="8" t="str">
        <f ca="1">IFERROR(__xludf.DUMMYFUNCTION("IF
(
C7242=""фізична особа""
,
VLOOKUP(D7242,IMPORTRANGE(""https://docs.google.com/spreadsheets/d/14Bd19lYaqBhU8_DElYkX7l4wRkHqqCUFNJY4AfY3kHU/edit?usp=sharing  #gid=0"",""фіз особи new!relations_name""),6,FALSE)
,
(IF
(
C7242=""юридична особа""
,
VLOOKUP"&amp;"(D7242,IMPORTRANGE(""https://docs.google.com/spreadsheets/d/14Bd19lYaqBhU8_DElYkX7l4wRkHqqCUFNJY4AfY3kHU/edit?usp=sharing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1" s="7" t="s">
        <v>10</v>
      </c>
      <c r="H7241" s="7">
        <v>6658</v>
      </c>
      <c r="I7241" s="8" t="str">
        <f ca="1">IFERROR(__xludf.DUMMYFUNCTION("IF
(
G7242=""фізична особа""
,
VLOOKUP(H7242,IMPORTRANGE(""https://docs.google.com/spreadsheets/d/14Bd19lYaqBhU8_DElYkX7l4wRkHqqCUFNJY4AfY3kHU/edit?usp=sharing  #gid=0"",""фіз особи new!relations_name""),6,FALSE)
,
(IF
(
G7242=""юридична особа""
,
VLOOKUP"&amp;"(H7242,IMPORTRANGE(""https://docs.google.com/spreadsheets/d/14Bd19lYaqBhU8_DElYkX7l4wRkHqqCUFNJY4AfY3kHU/edit?usp=sharing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41" s="7" t="s">
        <v>35</v>
      </c>
    </row>
    <row r="7242" spans="1:10" ht="13.2">
      <c r="A7242" s="7">
        <v>7241</v>
      </c>
      <c r="B7242" s="7">
        <v>1</v>
      </c>
      <c r="C7242" s="7" t="s">
        <v>10</v>
      </c>
      <c r="D7242" s="7">
        <v>6655</v>
      </c>
      <c r="E7242" s="7" t="s">
        <v>35</v>
      </c>
      <c r="F7242" s="8" t="str">
        <f ca="1">IFERROR(__xludf.DUMMYFUNCTION("IF
(
C7243=""фізична особа""
,
VLOOKUP(D7243,IMPORTRANGE(""https://docs.google.com/spreadsheets/d/14Bd19lYaqBhU8_DElYkX7l4wRkHqqCUFNJY4AfY3kHU/edit?usp=sharing  #gid=0"",""фіз особи new!relations_name""),6,FALSE)
,
(IF
(
C7243=""юридична особа""
,
VLOOKUP"&amp;"(D7243,IMPORTRANGE(""https://docs.google.com/spreadsheets/d/14Bd19lYaqBhU8_DElYkX7l4wRkHqqCUFNJY4AfY3kHU/edit?usp=sharing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2" s="7" t="s">
        <v>10</v>
      </c>
      <c r="H7242" s="7">
        <v>6651</v>
      </c>
      <c r="I7242" s="8" t="str">
        <f ca="1">IFERROR(__xludf.DUMMYFUNCTION("IF
(
G7243=""фізична особа""
,
VLOOKUP(H7243,IMPORTRANGE(""https://docs.google.com/spreadsheets/d/14Bd19lYaqBhU8_DElYkX7l4wRkHqqCUFNJY4AfY3kHU/edit?usp=sharing  #gid=0"",""фіз особи new!relations_name""),6,FALSE)
,
(IF
(
G7243=""юридична особа""
,
VLOOKUP"&amp;"(H7243,IMPORTRANGE(""https://docs.google.com/spreadsheets/d/14Bd19lYaqBhU8_DElYkX7l4wRkHqqCUFNJY4AfY3kHU/edit?usp=sharing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42" s="7" t="s">
        <v>35</v>
      </c>
    </row>
    <row r="7243" spans="1:10" ht="13.2">
      <c r="A7243" s="7">
        <v>7242</v>
      </c>
      <c r="B7243" s="7">
        <v>1</v>
      </c>
      <c r="C7243" s="7" t="s">
        <v>10</v>
      </c>
      <c r="D7243" s="7">
        <v>6655</v>
      </c>
      <c r="E7243" s="7" t="s">
        <v>28</v>
      </c>
      <c r="F7243" s="8" t="str">
        <f ca="1">IFERROR(__xludf.DUMMYFUNCTION("IF
(
C7244=""фізична особа""
,
VLOOKUP(D7244,IMPORTRANGE(""https://docs.google.com/spreadsheets/d/14Bd19lYaqBhU8_DElYkX7l4wRkHqqCUFNJY4AfY3kHU/edit?usp=sharing  #gid=0"",""фіз особи new!relations_name""),6,FALSE)
,
(IF
(
C7244=""юридична особа""
,
VLOOKUP"&amp;"(D7244,IMPORTRANGE(""https://docs.google.com/spreadsheets/d/14Bd19lYaqBhU8_DElYkX7l4wRkHqqCUFNJY4AfY3kHU/edit?usp=sharing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3" s="7" t="s">
        <v>10</v>
      </c>
      <c r="H7243" s="7">
        <v>6645</v>
      </c>
      <c r="I7243" s="8" t="str">
        <f ca="1">IFERROR(__xludf.DUMMYFUNCTION("IF
(
G7244=""фізична особа""
,
VLOOKUP(H7244,IMPORTRANGE(""https://docs.google.com/spreadsheets/d/14Bd19lYaqBhU8_DElYkX7l4wRkHqqCUFNJY4AfY3kHU/edit?usp=sharing  #gid=0"",""фіз особи new!relations_name""),6,FALSE)
,
(IF
(
G7244=""юридична особа""
,
VLOOKUP"&amp;"(H7244,IMPORTRANGE(""https://docs.google.com/spreadsheets/d/14Bd19lYaqBhU8_DElYkX7l4wRkHqqCUFNJY4AfY3kHU/edit?usp=sharing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43" s="7" t="s">
        <v>29</v>
      </c>
    </row>
    <row r="7244" spans="1:10" ht="13.2">
      <c r="A7244" s="7">
        <v>7243</v>
      </c>
      <c r="B7244" s="7">
        <v>1</v>
      </c>
      <c r="C7244" s="7" t="s">
        <v>10</v>
      </c>
      <c r="D7244" s="7">
        <v>6655</v>
      </c>
      <c r="E7244" s="7" t="s">
        <v>35</v>
      </c>
      <c r="F7244" s="8" t="str">
        <f ca="1">IFERROR(__xludf.DUMMYFUNCTION("IF
(
C7245=""фізична особа""
,
VLOOKUP(D7245,IMPORTRANGE(""https://docs.google.com/spreadsheets/d/14Bd19lYaqBhU8_DElYkX7l4wRkHqqCUFNJY4AfY3kHU/edit?usp=sharing  #gid=0"",""фіз особи new!relations_name""),6,FALSE)
,
(IF
(
C7245=""юридична особа""
,
VLOOKUP"&amp;"(D7245,IMPORTRANGE(""https://docs.google.com/spreadsheets/d/14Bd19lYaqBhU8_DElYkX7l4wRkHqqCUFNJY4AfY3kHU/edit?usp=sharing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4" s="7" t="s">
        <v>10</v>
      </c>
      <c r="H7244" s="7">
        <v>6653</v>
      </c>
      <c r="I7244" s="8" t="str">
        <f ca="1">IFERROR(__xludf.DUMMYFUNCTION("IF
(
G7245=""фізична особа""
,
VLOOKUP(H7245,IMPORTRANGE(""https://docs.google.com/spreadsheets/d/14Bd19lYaqBhU8_DElYkX7l4wRkHqqCUFNJY4AfY3kHU/edit?usp=sharing  #gid=0"",""фіз особи new!relations_name""),6,FALSE)
,
(IF
(
G7245=""юридична особа""
,
VLOOKUP"&amp;"(H7245,IMPORTRANGE(""https://docs.google.com/spreadsheets/d/14Bd19lYaqBhU8_DElYkX7l4wRkHqqCUFNJY4AfY3kHU/edit?usp=sharing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244" s="7" t="s">
        <v>35</v>
      </c>
    </row>
    <row r="7245" spans="1:10" ht="13.2">
      <c r="A7245" s="7">
        <v>7244</v>
      </c>
      <c r="B7245" s="7">
        <v>1</v>
      </c>
      <c r="C7245" s="7" t="s">
        <v>10</v>
      </c>
      <c r="D7245" s="7">
        <v>6655</v>
      </c>
      <c r="E7245" s="7" t="s">
        <v>35</v>
      </c>
      <c r="F7245" s="8" t="str">
        <f ca="1">IFERROR(__xludf.DUMMYFUNCTION("IF
(
C7246=""фізична особа""
,
VLOOKUP(D7246,IMPORTRANGE(""https://docs.google.com/spreadsheets/d/14Bd19lYaqBhU8_DElYkX7l4wRkHqqCUFNJY4AfY3kHU/edit?usp=sharing  #gid=0"",""фіз особи new!relations_name""),6,FALSE)
,
(IF
(
C7246=""юридична особа""
,
VLOOKUP"&amp;"(D7246,IMPORTRANGE(""https://docs.google.com/spreadsheets/d/14Bd19lYaqBhU8_DElYkX7l4wRkHqqCUFNJY4AfY3kHU/edit?usp=sharing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5" s="7" t="s">
        <v>10</v>
      </c>
      <c r="H7245" s="7">
        <v>6654</v>
      </c>
      <c r="I7245" s="8" t="str">
        <f ca="1">IFERROR(__xludf.DUMMYFUNCTION("IF
(
G7246=""фізична особа""
,
VLOOKUP(H7246,IMPORTRANGE(""https://docs.google.com/spreadsheets/d/14Bd19lYaqBhU8_DElYkX7l4wRkHqqCUFNJY4AfY3kHU/edit?usp=sharing  #gid=0"",""фіз особи new!relations_name""),6,FALSE)
,
(IF
(
G7246=""юридична особа""
,
VLOOKUP"&amp;"(H7246,IMPORTRANGE(""https://docs.google.com/spreadsheets/d/14Bd19lYaqBhU8_DElYkX7l4wRkHqqCUFNJY4AfY3kHU/edit?usp=sharing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45" s="7" t="s">
        <v>35</v>
      </c>
    </row>
    <row r="7246" spans="1:10" ht="13.2">
      <c r="A7246" s="7">
        <v>7245</v>
      </c>
      <c r="B7246" s="7">
        <v>1</v>
      </c>
      <c r="C7246" s="7" t="s">
        <v>10</v>
      </c>
      <c r="D7246" s="7">
        <v>6655</v>
      </c>
      <c r="E7246" s="7" t="s">
        <v>35</v>
      </c>
      <c r="F7246" s="8" t="str">
        <f ca="1">IFERROR(__xludf.DUMMYFUNCTION("IF
(
C7247=""фізична особа""
,
VLOOKUP(D7247,IMPORTRANGE(""https://docs.google.com/spreadsheets/d/14Bd19lYaqBhU8_DElYkX7l4wRkHqqCUFNJY4AfY3kHU/edit?usp=sharing  #gid=0"",""фіз особи new!relations_name""),6,FALSE)
,
(IF
(
C7247=""юридична особа""
,
VLOOKUP"&amp;"(D7247,IMPORTRANGE(""https://docs.google.com/spreadsheets/d/14Bd19lYaqBhU8_DElYkX7l4wRkHqqCUFNJY4AfY3kHU/edit?usp=sharing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6" s="7" t="s">
        <v>10</v>
      </c>
      <c r="H7246" s="7">
        <v>6650</v>
      </c>
      <c r="I7246" s="8" t="str">
        <f ca="1">IFERROR(__xludf.DUMMYFUNCTION("IF
(
G7247=""фізична особа""
,
VLOOKUP(H7247,IMPORTRANGE(""https://docs.google.com/spreadsheets/d/14Bd19lYaqBhU8_DElYkX7l4wRkHqqCUFNJY4AfY3kHU/edit?usp=sharing  #gid=0"",""фіз особи new!relations_name""),6,FALSE)
,
(IF
(
G7247=""юридична особа""
,
VLOOKUP"&amp;"(H7247,IMPORTRANGE(""https://docs.google.com/spreadsheets/d/14Bd19lYaqBhU8_DElYkX7l4wRkHqqCUFNJY4AfY3kHU/edit?usp=sharing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46" s="7" t="s">
        <v>35</v>
      </c>
    </row>
    <row r="7247" spans="1:10" ht="13.2">
      <c r="A7247" s="7">
        <v>7246</v>
      </c>
      <c r="B7247" s="7">
        <v>1</v>
      </c>
      <c r="C7247" s="7" t="s">
        <v>10</v>
      </c>
      <c r="D7247" s="7">
        <v>6655</v>
      </c>
      <c r="E7247" s="7" t="s">
        <v>28</v>
      </c>
      <c r="F7247" s="8" t="str">
        <f ca="1">IFERROR(__xludf.DUMMYFUNCTION("IF
(
C7248=""фізична особа""
,
VLOOKUP(D7248,IMPORTRANGE(""https://docs.google.com/spreadsheets/d/14Bd19lYaqBhU8_DElYkX7l4wRkHqqCUFNJY4AfY3kHU/edit?usp=sharing  #gid=0"",""фіз особи new!relations_name""),6,FALSE)
,
(IF
(
C7248=""юридична особа""
,
VLOOKUP"&amp;"(D7248,IMPORTRANGE(""https://docs.google.com/spreadsheets/d/14Bd19lYaqBhU8_DElYkX7l4wRkHqqCUFNJY4AfY3kHU/edit?usp=sharing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G7247" s="7" t="s">
        <v>10</v>
      </c>
      <c r="H7247" s="7">
        <v>6657</v>
      </c>
      <c r="I7247" s="8" t="str">
        <f ca="1">IFERROR(__xludf.DUMMYFUNCTION("IF
(
G7248=""фізична особа""
,
VLOOKUP(H7248,IMPORTRANGE(""https://docs.google.com/spreadsheets/d/14Bd19lYaqBhU8_DElYkX7l4wRkHqqCUFNJY4AfY3kHU/edit?usp=sharing  #gid=0"",""фіз особи new!relations_name""),6,FALSE)
,
(IF
(
G7248=""юридична особа""
,
VLOOKUP"&amp;"(H7248,IMPORTRANGE(""https://docs.google.com/spreadsheets/d/14Bd19lYaqBhU8_DElYkX7l4wRkHqqCUFNJY4AfY3kHU/edit?usp=sharing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47" s="7" t="s">
        <v>29</v>
      </c>
    </row>
    <row r="7248" spans="1:10" ht="13.2">
      <c r="A7248" s="7">
        <v>7247</v>
      </c>
      <c r="B7248" s="7">
        <v>1</v>
      </c>
      <c r="C7248" s="7" t="s">
        <v>10</v>
      </c>
      <c r="D7248" s="7">
        <v>6656</v>
      </c>
      <c r="E7248" s="7" t="s">
        <v>35</v>
      </c>
      <c r="F7248" s="8" t="str">
        <f ca="1">IFERROR(__xludf.DUMMYFUNCTION("IF
(
C7249=""фізична особа""
,
VLOOKUP(D7249,IMPORTRANGE(""https://docs.google.com/spreadsheets/d/14Bd19lYaqBhU8_DElYkX7l4wRkHqqCUFNJY4AfY3kHU/edit?usp=sharing  #gid=0"",""фіз особи new!relations_name""),6,FALSE)
,
(IF
(
C7249=""юридична особа""
,
VLOOKUP"&amp;"(D7249,IMPORTRANGE(""https://docs.google.com/spreadsheets/d/14Bd19lYaqBhU8_DElYkX7l4wRkHqqCUFNJY4AfY3kHU/edit?usp=sharing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48" s="7" t="s">
        <v>10</v>
      </c>
      <c r="H7248" s="7">
        <v>6649</v>
      </c>
      <c r="I7248" s="8" t="str">
        <f ca="1">IFERROR(__xludf.DUMMYFUNCTION("IF
(
G7249=""фізична особа""
,
VLOOKUP(H7249,IMPORTRANGE(""https://docs.google.com/spreadsheets/d/14Bd19lYaqBhU8_DElYkX7l4wRkHqqCUFNJY4AfY3kHU/edit?usp=sharing  #gid=0"",""фіз особи new!relations_name""),6,FALSE)
,
(IF
(
G7249=""юридична особа""
,
VLOOKUP"&amp;"(H7249,IMPORTRANGE(""https://docs.google.com/spreadsheets/d/14Bd19lYaqBhU8_DElYkX7l4wRkHqqCUFNJY4AfY3kHU/edit?usp=sharing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48" s="7" t="s">
        <v>35</v>
      </c>
    </row>
    <row r="7249" spans="1:10" ht="13.2">
      <c r="A7249" s="7">
        <v>7248</v>
      </c>
      <c r="B7249" s="7">
        <v>1</v>
      </c>
      <c r="C7249" s="7" t="s">
        <v>10</v>
      </c>
      <c r="D7249" s="7">
        <v>6656</v>
      </c>
      <c r="E7249" s="7" t="s">
        <v>35</v>
      </c>
      <c r="F7249" s="8" t="str">
        <f ca="1">IFERROR(__xludf.DUMMYFUNCTION("IF
(
C7250=""фізична особа""
,
VLOOKUP(D7250,IMPORTRANGE(""https://docs.google.com/spreadsheets/d/14Bd19lYaqBhU8_DElYkX7l4wRkHqqCUFNJY4AfY3kHU/edit?usp=sharing  #gid=0"",""фіз особи new!relations_name""),6,FALSE)
,
(IF
(
C7250=""юридична особа""
,
VLOOKUP"&amp;"(D7250,IMPORTRANGE(""https://docs.google.com/spreadsheets/d/14Bd19lYaqBhU8_DElYkX7l4wRkHqqCUFNJY4AfY3kHU/edit?usp=sharing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49" s="7" t="s">
        <v>10</v>
      </c>
      <c r="H7249" s="7">
        <v>6648</v>
      </c>
      <c r="I7249" s="8" t="str">
        <f ca="1">IFERROR(__xludf.DUMMYFUNCTION("IF
(
G7250=""фізична особа""
,
VLOOKUP(H7250,IMPORTRANGE(""https://docs.google.com/spreadsheets/d/14Bd19lYaqBhU8_DElYkX7l4wRkHqqCUFNJY4AfY3kHU/edit?usp=sharing  #gid=0"",""фіз особи new!relations_name""),6,FALSE)
,
(IF
(
G7250=""юридична особа""
,
VLOOKUP"&amp;"(H7250,IMPORTRANGE(""https://docs.google.com/spreadsheets/d/14Bd19lYaqBhU8_DElYkX7l4wRkHqqCUFNJY4AfY3kHU/edit?usp=sharing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49" s="7" t="s">
        <v>35</v>
      </c>
    </row>
    <row r="7250" spans="1:10" ht="13.2">
      <c r="A7250" s="7">
        <v>7249</v>
      </c>
      <c r="B7250" s="7">
        <v>1</v>
      </c>
      <c r="C7250" s="7" t="s">
        <v>10</v>
      </c>
      <c r="D7250" s="7">
        <v>6656</v>
      </c>
      <c r="E7250" s="7" t="s">
        <v>35</v>
      </c>
      <c r="F7250" s="8" t="str">
        <f ca="1">IFERROR(__xludf.DUMMYFUNCTION("IF
(
C7251=""фізична особа""
,
VLOOKUP(D7251,IMPORTRANGE(""https://docs.google.com/spreadsheets/d/14Bd19lYaqBhU8_DElYkX7l4wRkHqqCUFNJY4AfY3kHU/edit?usp=sharing  #gid=0"",""фіз особи new!relations_name""),6,FALSE)
,
(IF
(
C7251=""юридична особа""
,
VLOOKUP"&amp;"(D7251,IMPORTRANGE(""https://docs.google.com/spreadsheets/d/14Bd19lYaqBhU8_DElYkX7l4wRkHqqCUFNJY4AfY3kHU/edit?usp=sharing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0" s="7" t="s">
        <v>10</v>
      </c>
      <c r="H7250" s="7">
        <v>6659</v>
      </c>
      <c r="I7250" s="8" t="str">
        <f ca="1">IFERROR(__xludf.DUMMYFUNCTION("IF
(
G7251=""фізична особа""
,
VLOOKUP(H7251,IMPORTRANGE(""https://docs.google.com/spreadsheets/d/14Bd19lYaqBhU8_DElYkX7l4wRkHqqCUFNJY4AfY3kHU/edit?usp=sharing  #gid=0"",""фіз особи new!relations_name""),6,FALSE)
,
(IF
(
G7251=""юридична особа""
,
VLOOKUP"&amp;"(H7251,IMPORTRANGE(""https://docs.google.com/spreadsheets/d/14Bd19lYaqBhU8_DElYkX7l4wRkHqqCUFNJY4AfY3kHU/edit?usp=sharing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50" s="7" t="s">
        <v>35</v>
      </c>
    </row>
    <row r="7251" spans="1:10" ht="13.2">
      <c r="A7251" s="7">
        <v>7250</v>
      </c>
      <c r="B7251" s="7">
        <v>1</v>
      </c>
      <c r="C7251" s="7" t="s">
        <v>10</v>
      </c>
      <c r="D7251" s="7">
        <v>6656</v>
      </c>
      <c r="E7251" s="7" t="s">
        <v>35</v>
      </c>
      <c r="F7251" s="8" t="str">
        <f ca="1">IFERROR(__xludf.DUMMYFUNCTION("IF
(
C7252=""фізична особа""
,
VLOOKUP(D7252,IMPORTRANGE(""https://docs.google.com/spreadsheets/d/14Bd19lYaqBhU8_DElYkX7l4wRkHqqCUFNJY4AfY3kHU/edit?usp=sharing  #gid=0"",""фіз особи new!relations_name""),6,FALSE)
,
(IF
(
C7252=""юридична особа""
,
VLOOKUP"&amp;"(D7252,IMPORTRANGE(""https://docs.google.com/spreadsheets/d/14Bd19lYaqBhU8_DElYkX7l4wRkHqqCUFNJY4AfY3kHU/edit?usp=sharing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1" s="7" t="s">
        <v>10</v>
      </c>
      <c r="H7251" s="7">
        <v>6646</v>
      </c>
      <c r="I7251" s="8" t="str">
        <f ca="1">IFERROR(__xludf.DUMMYFUNCTION("IF
(
G7252=""фізична особа""
,
VLOOKUP(H7252,IMPORTRANGE(""https://docs.google.com/spreadsheets/d/14Bd19lYaqBhU8_DElYkX7l4wRkHqqCUFNJY4AfY3kHU/edit?usp=sharing  #gid=0"",""фіз особи new!relations_name""),6,FALSE)
,
(IF
(
G7252=""юридична особа""
,
VLOOKUP"&amp;"(H7252,IMPORTRANGE(""https://docs.google.com/spreadsheets/d/14Bd19lYaqBhU8_DElYkX7l4wRkHqqCUFNJY4AfY3kHU/edit?usp=sharing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51" s="7" t="s">
        <v>35</v>
      </c>
    </row>
    <row r="7252" spans="1:10" ht="13.2">
      <c r="A7252" s="7">
        <v>7251</v>
      </c>
      <c r="B7252" s="7">
        <v>1</v>
      </c>
      <c r="C7252" s="7" t="s">
        <v>10</v>
      </c>
      <c r="D7252" s="7">
        <v>6656</v>
      </c>
      <c r="E7252" s="7" t="s">
        <v>35</v>
      </c>
      <c r="F7252" s="8" t="str">
        <f ca="1">IFERROR(__xludf.DUMMYFUNCTION("IF
(
C7253=""фізична особа""
,
VLOOKUP(D7253,IMPORTRANGE(""https://docs.google.com/spreadsheets/d/14Bd19lYaqBhU8_DElYkX7l4wRkHqqCUFNJY4AfY3kHU/edit?usp=sharing  #gid=0"",""фіз особи new!relations_name""),6,FALSE)
,
(IF
(
C7253=""юридична особа""
,
VLOOKUP"&amp;"(D7253,IMPORTRANGE(""https://docs.google.com/spreadsheets/d/14Bd19lYaqBhU8_DElYkX7l4wRkHqqCUFNJY4AfY3kHU/edit?usp=sharing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2" s="7" t="s">
        <v>10</v>
      </c>
      <c r="H7252" s="7">
        <v>6647</v>
      </c>
      <c r="I7252" s="8" t="str">
        <f ca="1">IFERROR(__xludf.DUMMYFUNCTION("IF
(
G7253=""фізична особа""
,
VLOOKUP(H7253,IMPORTRANGE(""https://docs.google.com/spreadsheets/d/14Bd19lYaqBhU8_DElYkX7l4wRkHqqCUFNJY4AfY3kHU/edit?usp=sharing  #gid=0"",""фіз особи new!relations_name""),6,FALSE)
,
(IF
(
G7253=""юридична особа""
,
VLOOKUP"&amp;"(H7253,IMPORTRANGE(""https://docs.google.com/spreadsheets/d/14Bd19lYaqBhU8_DElYkX7l4wRkHqqCUFNJY4AfY3kHU/edit?usp=sharing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52" s="7" t="s">
        <v>35</v>
      </c>
    </row>
    <row r="7253" spans="1:10" ht="13.2">
      <c r="A7253" s="7">
        <v>7252</v>
      </c>
      <c r="B7253" s="7">
        <v>1</v>
      </c>
      <c r="C7253" s="7" t="s">
        <v>10</v>
      </c>
      <c r="D7253" s="7">
        <v>6656</v>
      </c>
      <c r="E7253" s="7" t="s">
        <v>35</v>
      </c>
      <c r="F7253" s="8" t="str">
        <f ca="1">IFERROR(__xludf.DUMMYFUNCTION("IF
(
C7254=""фізична особа""
,
VLOOKUP(D7254,IMPORTRANGE(""https://docs.google.com/spreadsheets/d/14Bd19lYaqBhU8_DElYkX7l4wRkHqqCUFNJY4AfY3kHU/edit?usp=sharing  #gid=0"",""фіз особи new!relations_name""),6,FALSE)
,
(IF
(
C7254=""юридична особа""
,
VLOOKUP"&amp;"(D7254,IMPORTRANGE(""https://docs.google.com/spreadsheets/d/14Bd19lYaqBhU8_DElYkX7l4wRkHqqCUFNJY4AfY3kHU/edit?usp=sharing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3" s="7" t="s">
        <v>10</v>
      </c>
      <c r="H7253" s="7">
        <v>6652</v>
      </c>
      <c r="I7253" s="8" t="str">
        <f ca="1">IFERROR(__xludf.DUMMYFUNCTION("IF
(
G7254=""фізична особа""
,
VLOOKUP(H7254,IMPORTRANGE(""https://docs.google.com/spreadsheets/d/14Bd19lYaqBhU8_DElYkX7l4wRkHqqCUFNJY4AfY3kHU/edit?usp=sharing  #gid=0"",""фіз особи new!relations_name""),6,FALSE)
,
(IF
(
G7254=""юридична особа""
,
VLOOKUP"&amp;"(H7254,IMPORTRANGE(""https://docs.google.com/spreadsheets/d/14Bd19lYaqBhU8_DElYkX7l4wRkHqqCUFNJY4AfY3kHU/edit?usp=sharing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53" s="7" t="s">
        <v>35</v>
      </c>
    </row>
    <row r="7254" spans="1:10" ht="13.2">
      <c r="A7254" s="7">
        <v>7253</v>
      </c>
      <c r="B7254" s="7">
        <v>1</v>
      </c>
      <c r="C7254" s="7" t="s">
        <v>10</v>
      </c>
      <c r="D7254" s="7">
        <v>6656</v>
      </c>
      <c r="E7254" s="7" t="s">
        <v>35</v>
      </c>
      <c r="F7254" s="8" t="str">
        <f ca="1">IFERROR(__xludf.DUMMYFUNCTION("IF
(
C7255=""фізична особа""
,
VLOOKUP(D7255,IMPORTRANGE(""https://docs.google.com/spreadsheets/d/14Bd19lYaqBhU8_DElYkX7l4wRkHqqCUFNJY4AfY3kHU/edit?usp=sharing  #gid=0"",""фіз особи new!relations_name""),6,FALSE)
,
(IF
(
C7255=""юридична особа""
,
VLOOKUP"&amp;"(D7255,IMPORTRANGE(""https://docs.google.com/spreadsheets/d/14Bd19lYaqBhU8_DElYkX7l4wRkHqqCUFNJY4AfY3kHU/edit?usp=sharing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4" s="7" t="s">
        <v>10</v>
      </c>
      <c r="H7254" s="7">
        <v>6655</v>
      </c>
      <c r="I7254" s="8" t="str">
        <f ca="1">IFERROR(__xludf.DUMMYFUNCTION("IF
(
G7255=""фізична особа""
,
VLOOKUP(H7255,IMPORTRANGE(""https://docs.google.com/spreadsheets/d/14Bd19lYaqBhU8_DElYkX7l4wRkHqqCUFNJY4AfY3kHU/edit?usp=sharing  #gid=0"",""фіз особи new!relations_name""),6,FALSE)
,
(IF
(
G7255=""юридична особа""
,
VLOOKUP"&amp;"(H7255,IMPORTRANGE(""https://docs.google.com/spreadsheets/d/14Bd19lYaqBhU8_DElYkX7l4wRkHqqCUFNJY4AfY3kHU/edit?usp=sharing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54" s="7" t="s">
        <v>35</v>
      </c>
    </row>
    <row r="7255" spans="1:10" ht="13.2">
      <c r="A7255" s="7">
        <v>7254</v>
      </c>
      <c r="B7255" s="7">
        <v>1</v>
      </c>
      <c r="C7255" s="7" t="s">
        <v>10</v>
      </c>
      <c r="D7255" s="7">
        <v>6656</v>
      </c>
      <c r="E7255" s="7" t="s">
        <v>35</v>
      </c>
      <c r="F7255" s="8" t="str">
        <f ca="1">IFERROR(__xludf.DUMMYFUNCTION("IF
(
C7256=""фізична особа""
,
VLOOKUP(D7256,IMPORTRANGE(""https://docs.google.com/spreadsheets/d/14Bd19lYaqBhU8_DElYkX7l4wRkHqqCUFNJY4AfY3kHU/edit?usp=sharing  #gid=0"",""фіз особи new!relations_name""),6,FALSE)
,
(IF
(
C7256=""юридична особа""
,
VLOOKUP"&amp;"(D7256,IMPORTRANGE(""https://docs.google.com/spreadsheets/d/14Bd19lYaqBhU8_DElYkX7l4wRkHqqCUFNJY4AfY3kHU/edit?usp=sharing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5" s="7" t="s">
        <v>10</v>
      </c>
      <c r="H7255" s="7">
        <v>6658</v>
      </c>
      <c r="I7255" s="8" t="str">
        <f ca="1">IFERROR(__xludf.DUMMYFUNCTION("IF
(
G7256=""фізична особа""
,
VLOOKUP(H7256,IMPORTRANGE(""https://docs.google.com/spreadsheets/d/14Bd19lYaqBhU8_DElYkX7l4wRkHqqCUFNJY4AfY3kHU/edit?usp=sharing  #gid=0"",""фіз особи new!relations_name""),6,FALSE)
,
(IF
(
G7256=""юридична особа""
,
VLOOKUP"&amp;"(H7256,IMPORTRANGE(""https://docs.google.com/spreadsheets/d/14Bd19lYaqBhU8_DElYkX7l4wRkHqqCUFNJY4AfY3kHU/edit?usp=sharing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55" s="7" t="s">
        <v>35</v>
      </c>
    </row>
    <row r="7256" spans="1:10" ht="13.2">
      <c r="A7256" s="7">
        <v>7255</v>
      </c>
      <c r="B7256" s="7">
        <v>1</v>
      </c>
      <c r="C7256" s="7" t="s">
        <v>10</v>
      </c>
      <c r="D7256" s="7">
        <v>6656</v>
      </c>
      <c r="E7256" s="7" t="s">
        <v>35</v>
      </c>
      <c r="F7256" s="8" t="str">
        <f ca="1">IFERROR(__xludf.DUMMYFUNCTION("IF
(
C7257=""фізична особа""
,
VLOOKUP(D7257,IMPORTRANGE(""https://docs.google.com/spreadsheets/d/14Bd19lYaqBhU8_DElYkX7l4wRkHqqCUFNJY4AfY3kHU/edit?usp=sharing  #gid=0"",""фіз особи new!relations_name""),6,FALSE)
,
(IF
(
C7257=""юридична особа""
,
VLOOKUP"&amp;"(D7257,IMPORTRANGE(""https://docs.google.com/spreadsheets/d/14Bd19lYaqBhU8_DElYkX7l4wRkHqqCUFNJY4AfY3kHU/edit?usp=sharing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6" s="7" t="s">
        <v>10</v>
      </c>
      <c r="H7256" s="7">
        <v>6651</v>
      </c>
      <c r="I7256" s="8" t="str">
        <f ca="1">IFERROR(__xludf.DUMMYFUNCTION("IF
(
G7257=""фізична особа""
,
VLOOKUP(H7257,IMPORTRANGE(""https://docs.google.com/spreadsheets/d/14Bd19lYaqBhU8_DElYkX7l4wRkHqqCUFNJY4AfY3kHU/edit?usp=sharing  #gid=0"",""фіз особи new!relations_name""),6,FALSE)
,
(IF
(
G7257=""юридична особа""
,
VLOOKUP"&amp;"(H7257,IMPORTRANGE(""https://docs.google.com/spreadsheets/d/14Bd19lYaqBhU8_DElYkX7l4wRkHqqCUFNJY4AfY3kHU/edit?usp=sharing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56" s="7" t="s">
        <v>35</v>
      </c>
    </row>
    <row r="7257" spans="1:10" ht="13.2">
      <c r="A7257" s="7">
        <v>7256</v>
      </c>
      <c r="B7257" s="7">
        <v>1</v>
      </c>
      <c r="C7257" s="7" t="s">
        <v>10</v>
      </c>
      <c r="D7257" s="7">
        <v>6656</v>
      </c>
      <c r="E7257" s="7" t="s">
        <v>28</v>
      </c>
      <c r="F7257" s="8" t="str">
        <f ca="1">IFERROR(__xludf.DUMMYFUNCTION("IF
(
C7258=""фізична особа""
,
VLOOKUP(D7258,IMPORTRANGE(""https://docs.google.com/spreadsheets/d/14Bd19lYaqBhU8_DElYkX7l4wRkHqqCUFNJY4AfY3kHU/edit?usp=sharing  #gid=0"",""фіз особи new!relations_name""),6,FALSE)
,
(IF
(
C7258=""юридична особа""
,
VLOOKUP"&amp;"(D7258,IMPORTRANGE(""https://docs.google.com/spreadsheets/d/14Bd19lYaqBhU8_DElYkX7l4wRkHqqCUFNJY4AfY3kHU/edit?usp=sharing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7" s="7" t="s">
        <v>10</v>
      </c>
      <c r="H7257" s="7">
        <v>6645</v>
      </c>
      <c r="I7257" s="8" t="str">
        <f ca="1">IFERROR(__xludf.DUMMYFUNCTION("IF
(
G7258=""фізична особа""
,
VLOOKUP(H7258,IMPORTRANGE(""https://docs.google.com/spreadsheets/d/14Bd19lYaqBhU8_DElYkX7l4wRkHqqCUFNJY4AfY3kHU/edit?usp=sharing  #gid=0"",""фіз особи new!relations_name""),6,FALSE)
,
(IF
(
G7258=""юридична особа""
,
VLOOKUP"&amp;"(H7258,IMPORTRANGE(""https://docs.google.com/spreadsheets/d/14Bd19lYaqBhU8_DElYkX7l4wRkHqqCUFNJY4AfY3kHU/edit?usp=sharing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57" s="7" t="s">
        <v>29</v>
      </c>
    </row>
    <row r="7258" spans="1:10" ht="13.2">
      <c r="A7258" s="7">
        <v>7257</v>
      </c>
      <c r="B7258" s="7">
        <v>1</v>
      </c>
      <c r="C7258" s="7" t="s">
        <v>10</v>
      </c>
      <c r="D7258" s="7">
        <v>6656</v>
      </c>
      <c r="E7258" s="7" t="s">
        <v>35</v>
      </c>
      <c r="F7258" s="8" t="str">
        <f ca="1">IFERROR(__xludf.DUMMYFUNCTION("IF
(
C7259=""фізична особа""
,
VLOOKUP(D7259,IMPORTRANGE(""https://docs.google.com/spreadsheets/d/14Bd19lYaqBhU8_DElYkX7l4wRkHqqCUFNJY4AfY3kHU/edit?usp=sharing  #gid=0"",""фіз особи new!relations_name""),6,FALSE)
,
(IF
(
C7259=""юридична особа""
,
VLOOKUP"&amp;"(D7259,IMPORTRANGE(""https://docs.google.com/spreadsheets/d/14Bd19lYaqBhU8_DElYkX7l4wRkHqqCUFNJY4AfY3kHU/edit?usp=sharing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8" s="7" t="s">
        <v>10</v>
      </c>
      <c r="H7258" s="7">
        <v>6653</v>
      </c>
      <c r="I7258" s="8" t="str">
        <f ca="1">IFERROR(__xludf.DUMMYFUNCTION("IF
(
G7259=""фізична особа""
,
VLOOKUP(H7259,IMPORTRANGE(""https://docs.google.com/spreadsheets/d/14Bd19lYaqBhU8_DElYkX7l4wRkHqqCUFNJY4AfY3kHU/edit?usp=sharing  #gid=0"",""фіз особи new!relations_name""),6,FALSE)
,
(IF
(
G7259=""юридична особа""
,
VLOOKUP"&amp;"(H7259,IMPORTRANGE(""https://docs.google.com/spreadsheets/d/14Bd19lYaqBhU8_DElYkX7l4wRkHqqCUFNJY4AfY3kHU/edit?usp=sharing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258" s="7" t="s">
        <v>35</v>
      </c>
    </row>
    <row r="7259" spans="1:10" ht="13.2">
      <c r="A7259" s="7">
        <v>7258</v>
      </c>
      <c r="B7259" s="7">
        <v>1</v>
      </c>
      <c r="C7259" s="7" t="s">
        <v>10</v>
      </c>
      <c r="D7259" s="7">
        <v>6656</v>
      </c>
      <c r="E7259" s="7" t="s">
        <v>35</v>
      </c>
      <c r="F7259" s="8" t="str">
        <f ca="1">IFERROR(__xludf.DUMMYFUNCTION("IF
(
C7260=""фізична особа""
,
VLOOKUP(D7260,IMPORTRANGE(""https://docs.google.com/spreadsheets/d/14Bd19lYaqBhU8_DElYkX7l4wRkHqqCUFNJY4AfY3kHU/edit?usp=sharing  #gid=0"",""фіз особи new!relations_name""),6,FALSE)
,
(IF
(
C7260=""юридична особа""
,
VLOOKUP"&amp;"(D7260,IMPORTRANGE(""https://docs.google.com/spreadsheets/d/14Bd19lYaqBhU8_DElYkX7l4wRkHqqCUFNJY4AfY3kHU/edit?usp=sharing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59" s="7" t="s">
        <v>10</v>
      </c>
      <c r="H7259" s="7">
        <v>6654</v>
      </c>
      <c r="I7259" s="8" t="str">
        <f ca="1">IFERROR(__xludf.DUMMYFUNCTION("IF
(
G7260=""фізична особа""
,
VLOOKUP(H7260,IMPORTRANGE(""https://docs.google.com/spreadsheets/d/14Bd19lYaqBhU8_DElYkX7l4wRkHqqCUFNJY4AfY3kHU/edit?usp=sharing  #gid=0"",""фіз особи new!relations_name""),6,FALSE)
,
(IF
(
G7260=""юридична особа""
,
VLOOKUP"&amp;"(H7260,IMPORTRANGE(""https://docs.google.com/spreadsheets/d/14Bd19lYaqBhU8_DElYkX7l4wRkHqqCUFNJY4AfY3kHU/edit?usp=sharing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59" s="7" t="s">
        <v>35</v>
      </c>
    </row>
    <row r="7260" spans="1:10" ht="13.2">
      <c r="A7260" s="7">
        <v>7259</v>
      </c>
      <c r="B7260" s="7">
        <v>1</v>
      </c>
      <c r="C7260" s="7" t="s">
        <v>10</v>
      </c>
      <c r="D7260" s="7">
        <v>6656</v>
      </c>
      <c r="E7260" s="7" t="s">
        <v>35</v>
      </c>
      <c r="F7260" s="8" t="str">
        <f ca="1">IFERROR(__xludf.DUMMYFUNCTION("IF
(
C7261=""фізична особа""
,
VLOOKUP(D7261,IMPORTRANGE(""https://docs.google.com/spreadsheets/d/14Bd19lYaqBhU8_DElYkX7l4wRkHqqCUFNJY4AfY3kHU/edit?usp=sharing  #gid=0"",""фіз особи new!relations_name""),6,FALSE)
,
(IF
(
C7261=""юридична особа""
,
VLOOKUP"&amp;"(D7261,IMPORTRANGE(""https://docs.google.com/spreadsheets/d/14Bd19lYaqBhU8_DElYkX7l4wRkHqqCUFNJY4AfY3kHU/edit?usp=sharing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60" s="7" t="s">
        <v>10</v>
      </c>
      <c r="H7260" s="7">
        <v>6650</v>
      </c>
      <c r="I7260" s="8" t="str">
        <f ca="1">IFERROR(__xludf.DUMMYFUNCTION("IF
(
G7261=""фізична особа""
,
VLOOKUP(H7261,IMPORTRANGE(""https://docs.google.com/spreadsheets/d/14Bd19lYaqBhU8_DElYkX7l4wRkHqqCUFNJY4AfY3kHU/edit?usp=sharing  #gid=0"",""фіз особи new!relations_name""),6,FALSE)
,
(IF
(
G7261=""юридична особа""
,
VLOOKUP"&amp;"(H7261,IMPORTRANGE(""https://docs.google.com/spreadsheets/d/14Bd19lYaqBhU8_DElYkX7l4wRkHqqCUFNJY4AfY3kHU/edit?usp=sharing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60" s="7" t="s">
        <v>35</v>
      </c>
    </row>
    <row r="7261" spans="1:10" ht="13.2">
      <c r="A7261" s="7">
        <v>7260</v>
      </c>
      <c r="B7261" s="7">
        <v>1</v>
      </c>
      <c r="C7261" s="7" t="s">
        <v>10</v>
      </c>
      <c r="D7261" s="7">
        <v>6656</v>
      </c>
      <c r="E7261" s="7" t="s">
        <v>28</v>
      </c>
      <c r="F7261" s="8" t="str">
        <f ca="1">IFERROR(__xludf.DUMMYFUNCTION("IF
(
C7262=""фізична особа""
,
VLOOKUP(D7262,IMPORTRANGE(""https://docs.google.com/spreadsheets/d/14Bd19lYaqBhU8_DElYkX7l4wRkHqqCUFNJY4AfY3kHU/edit?usp=sharing  #gid=0"",""фіз особи new!relations_name""),6,FALSE)
,
(IF
(
C7262=""юридична особа""
,
VLOOKUP"&amp;"(D7262,IMPORTRANGE(""https://docs.google.com/spreadsheets/d/14Bd19lYaqBhU8_DElYkX7l4wRkHqqCUFNJY4AfY3kHU/edit?usp=sharing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G7261" s="7" t="s">
        <v>10</v>
      </c>
      <c r="H7261" s="7">
        <v>6657</v>
      </c>
      <c r="I7261" s="8" t="str">
        <f ca="1">IFERROR(__xludf.DUMMYFUNCTION("IF
(
G7262=""фізична особа""
,
VLOOKUP(H7262,IMPORTRANGE(""https://docs.google.com/spreadsheets/d/14Bd19lYaqBhU8_DElYkX7l4wRkHqqCUFNJY4AfY3kHU/edit?usp=sharing  #gid=0"",""фіз особи new!relations_name""),6,FALSE)
,
(IF
(
G7262=""юридична особа""
,
VLOOKUP"&amp;"(H7262,IMPORTRANGE(""https://docs.google.com/spreadsheets/d/14Bd19lYaqBhU8_DElYkX7l4wRkHqqCUFNJY4AfY3kHU/edit?usp=sharing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61" s="7" t="s">
        <v>29</v>
      </c>
    </row>
    <row r="7262" spans="1:10" ht="13.2">
      <c r="A7262" s="7">
        <v>7261</v>
      </c>
      <c r="B7262" s="7">
        <v>1</v>
      </c>
      <c r="C7262" s="7" t="s">
        <v>10</v>
      </c>
      <c r="D7262" s="7">
        <v>6657</v>
      </c>
      <c r="E7262" s="7" t="s">
        <v>29</v>
      </c>
      <c r="F7262" s="8" t="str">
        <f ca="1">IFERROR(__xludf.DUMMYFUNCTION("IF
(
C7263=""фізична особа""
,
VLOOKUP(D7263,IMPORTRANGE(""https://docs.google.com/spreadsheets/d/14Bd19lYaqBhU8_DElYkX7l4wRkHqqCUFNJY4AfY3kHU/edit?usp=sharing  #gid=0"",""фіз особи new!relations_name""),6,FALSE)
,
(IF
(
C7263=""юридична особа""
,
VLOOKUP"&amp;"(D7263,IMPORTRANGE(""https://docs.google.com/spreadsheets/d/14Bd19lYaqBhU8_DElYkX7l4wRkHqqCUFNJY4AfY3kHU/edit?usp=sharing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2" s="7" t="s">
        <v>10</v>
      </c>
      <c r="H7262" s="7">
        <v>6650</v>
      </c>
      <c r="I7262" s="8" t="str">
        <f ca="1">IFERROR(__xludf.DUMMYFUNCTION("IF
(
G7263=""фізична особа""
,
VLOOKUP(H7263,IMPORTRANGE(""https://docs.google.com/spreadsheets/d/14Bd19lYaqBhU8_DElYkX7l4wRkHqqCUFNJY4AfY3kHU/edit?usp=sharing  #gid=0"",""фіз особи new!relations_name""),6,FALSE)
,
(IF
(
G7263=""юридична особа""
,
VLOOKUP"&amp;"(H7263,IMPORTRANGE(""https://docs.google.com/spreadsheets/d/14Bd19lYaqBhU8_DElYkX7l4wRkHqqCUFNJY4AfY3kHU/edit?usp=sharing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62" s="7" t="s">
        <v>28</v>
      </c>
    </row>
    <row r="7263" spans="1:10" ht="13.2">
      <c r="A7263" s="7">
        <v>7262</v>
      </c>
      <c r="B7263" s="7">
        <v>1</v>
      </c>
      <c r="C7263" s="7" t="s">
        <v>10</v>
      </c>
      <c r="D7263" s="7">
        <v>6657</v>
      </c>
      <c r="E7263" s="7" t="s">
        <v>29</v>
      </c>
      <c r="F7263" s="8" t="str">
        <f ca="1">IFERROR(__xludf.DUMMYFUNCTION("IF
(
C7264=""фізична особа""
,
VLOOKUP(D7264,IMPORTRANGE(""https://docs.google.com/spreadsheets/d/14Bd19lYaqBhU8_DElYkX7l4wRkHqqCUFNJY4AfY3kHU/edit?usp=sharing  #gid=0"",""фіз особи new!relations_name""),6,FALSE)
,
(IF
(
C7264=""юридична особа""
,
VLOOKUP"&amp;"(D7264,IMPORTRANGE(""https://docs.google.com/spreadsheets/d/14Bd19lYaqBhU8_DElYkX7l4wRkHqqCUFNJY4AfY3kHU/edit?usp=sharing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3" s="7" t="s">
        <v>10</v>
      </c>
      <c r="H7263" s="7">
        <v>6649</v>
      </c>
      <c r="I7263" s="8" t="str">
        <f ca="1">IFERROR(__xludf.DUMMYFUNCTION("IF
(
G7264=""фізична особа""
,
VLOOKUP(H7264,IMPORTRANGE(""https://docs.google.com/spreadsheets/d/14Bd19lYaqBhU8_DElYkX7l4wRkHqqCUFNJY4AfY3kHU/edit?usp=sharing  #gid=0"",""фіз особи new!relations_name""),6,FALSE)
,
(IF
(
G7264=""юридична особа""
,
VLOOKUP"&amp;"(H7264,IMPORTRANGE(""https://docs.google.com/spreadsheets/d/14Bd19lYaqBhU8_DElYkX7l4wRkHqqCUFNJY4AfY3kHU/edit?usp=sharing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63" s="7" t="s">
        <v>28</v>
      </c>
    </row>
    <row r="7264" spans="1:10" ht="13.2">
      <c r="A7264" s="7">
        <v>7263</v>
      </c>
      <c r="B7264" s="7">
        <v>1</v>
      </c>
      <c r="C7264" s="7" t="s">
        <v>10</v>
      </c>
      <c r="D7264" s="7">
        <v>6657</v>
      </c>
      <c r="E7264" s="7" t="s">
        <v>29</v>
      </c>
      <c r="F7264" s="8" t="str">
        <f ca="1">IFERROR(__xludf.DUMMYFUNCTION("IF
(
C7265=""фізична особа""
,
VLOOKUP(D7265,IMPORTRANGE(""https://docs.google.com/spreadsheets/d/14Bd19lYaqBhU8_DElYkX7l4wRkHqqCUFNJY4AfY3kHU/edit?usp=sharing  #gid=0"",""фіз особи new!relations_name""),6,FALSE)
,
(IF
(
C7265=""юридична особа""
,
VLOOKUP"&amp;"(D7265,IMPORTRANGE(""https://docs.google.com/spreadsheets/d/14Bd19lYaqBhU8_DElYkX7l4wRkHqqCUFNJY4AfY3kHU/edit?usp=sharing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4" s="7" t="s">
        <v>10</v>
      </c>
      <c r="H7264" s="7">
        <v>6659</v>
      </c>
      <c r="I7264" s="8" t="str">
        <f ca="1">IFERROR(__xludf.DUMMYFUNCTION("IF
(
G7265=""фізична особа""
,
VLOOKUP(H7265,IMPORTRANGE(""https://docs.google.com/spreadsheets/d/14Bd19lYaqBhU8_DElYkX7l4wRkHqqCUFNJY4AfY3kHU/edit?usp=sharing  #gid=0"",""фіз особи new!relations_name""),6,FALSE)
,
(IF
(
G7265=""юридична особа""
,
VLOOKUP"&amp;"(H7265,IMPORTRANGE(""https://docs.google.com/spreadsheets/d/14Bd19lYaqBhU8_DElYkX7l4wRkHqqCUFNJY4AfY3kHU/edit?usp=sharing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64" s="7" t="s">
        <v>28</v>
      </c>
    </row>
    <row r="7265" spans="1:10" ht="13.2">
      <c r="A7265" s="7">
        <v>7264</v>
      </c>
      <c r="B7265" s="7">
        <v>1</v>
      </c>
      <c r="C7265" s="7" t="s">
        <v>10</v>
      </c>
      <c r="D7265" s="7">
        <v>6657</v>
      </c>
      <c r="E7265" s="7" t="s">
        <v>29</v>
      </c>
      <c r="F7265" s="8" t="str">
        <f ca="1">IFERROR(__xludf.DUMMYFUNCTION("IF
(
C7266=""фізична особа""
,
VLOOKUP(D7266,IMPORTRANGE(""https://docs.google.com/spreadsheets/d/14Bd19lYaqBhU8_DElYkX7l4wRkHqqCUFNJY4AfY3kHU/edit?usp=sharing  #gid=0"",""фіз особи new!relations_name""),6,FALSE)
,
(IF
(
C7266=""юридична особа""
,
VLOOKUP"&amp;"(D7266,IMPORTRANGE(""https://docs.google.com/spreadsheets/d/14Bd19lYaqBhU8_DElYkX7l4wRkHqqCUFNJY4AfY3kHU/edit?usp=sharing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5" s="7" t="s">
        <v>10</v>
      </c>
      <c r="H7265" s="7">
        <v>6647</v>
      </c>
      <c r="I7265" s="8" t="str">
        <f ca="1">IFERROR(__xludf.DUMMYFUNCTION("IF
(
G7266=""фізична особа""
,
VLOOKUP(H7266,IMPORTRANGE(""https://docs.google.com/spreadsheets/d/14Bd19lYaqBhU8_DElYkX7l4wRkHqqCUFNJY4AfY3kHU/edit?usp=sharing  #gid=0"",""фіз особи new!relations_name""),6,FALSE)
,
(IF
(
G7266=""юридична особа""
,
VLOOKUP"&amp;"(H7266,IMPORTRANGE(""https://docs.google.com/spreadsheets/d/14Bd19lYaqBhU8_DElYkX7l4wRkHqqCUFNJY4AfY3kHU/edit?usp=sharing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65" s="7" t="s">
        <v>28</v>
      </c>
    </row>
    <row r="7266" spans="1:10" ht="13.2">
      <c r="A7266" s="7">
        <v>7265</v>
      </c>
      <c r="B7266" s="7">
        <v>1</v>
      </c>
      <c r="C7266" s="7" t="s">
        <v>10</v>
      </c>
      <c r="D7266" s="7">
        <v>6657</v>
      </c>
      <c r="E7266" s="7" t="s">
        <v>29</v>
      </c>
      <c r="F7266" s="8" t="str">
        <f ca="1">IFERROR(__xludf.DUMMYFUNCTION("IF
(
C7267=""фізична особа""
,
VLOOKUP(D7267,IMPORTRANGE(""https://docs.google.com/spreadsheets/d/14Bd19lYaqBhU8_DElYkX7l4wRkHqqCUFNJY4AfY3kHU/edit?usp=sharing  #gid=0"",""фіз особи new!relations_name""),6,FALSE)
,
(IF
(
C7267=""юридична особа""
,
VLOOKUP"&amp;"(D7267,IMPORTRANGE(""https://docs.google.com/spreadsheets/d/14Bd19lYaqBhU8_DElYkX7l4wRkHqqCUFNJY4AfY3kHU/edit?usp=sharing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6" s="7" t="s">
        <v>10</v>
      </c>
      <c r="H7266" s="7">
        <v>6648</v>
      </c>
      <c r="I7266" s="8" t="str">
        <f ca="1">IFERROR(__xludf.DUMMYFUNCTION("IF
(
G7267=""фізична особа""
,
VLOOKUP(H7267,IMPORTRANGE(""https://docs.google.com/spreadsheets/d/14Bd19lYaqBhU8_DElYkX7l4wRkHqqCUFNJY4AfY3kHU/edit?usp=sharing  #gid=0"",""фіз особи new!relations_name""),6,FALSE)
,
(IF
(
G7267=""юридична особа""
,
VLOOKUP"&amp;"(H7267,IMPORTRANGE(""https://docs.google.com/spreadsheets/d/14Bd19lYaqBhU8_DElYkX7l4wRkHqqCUFNJY4AfY3kHU/edit?usp=sharing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66" s="7" t="s">
        <v>28</v>
      </c>
    </row>
    <row r="7267" spans="1:10" ht="13.2">
      <c r="A7267" s="7">
        <v>7266</v>
      </c>
      <c r="B7267" s="7">
        <v>1</v>
      </c>
      <c r="C7267" s="7" t="s">
        <v>10</v>
      </c>
      <c r="D7267" s="7">
        <v>6657</v>
      </c>
      <c r="E7267" s="7" t="s">
        <v>29</v>
      </c>
      <c r="F7267" s="8" t="str">
        <f ca="1">IFERROR(__xludf.DUMMYFUNCTION("IF
(
C7268=""фізична особа""
,
VLOOKUP(D7268,IMPORTRANGE(""https://docs.google.com/spreadsheets/d/14Bd19lYaqBhU8_DElYkX7l4wRkHqqCUFNJY4AfY3kHU/edit?usp=sharing  #gid=0"",""фіз особи new!relations_name""),6,FALSE)
,
(IF
(
C7268=""юридична особа""
,
VLOOKUP"&amp;"(D7268,IMPORTRANGE(""https://docs.google.com/spreadsheets/d/14Bd19lYaqBhU8_DElYkX7l4wRkHqqCUFNJY4AfY3kHU/edit?usp=sharing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7" s="7" t="s">
        <v>10</v>
      </c>
      <c r="H7267" s="7">
        <v>6653</v>
      </c>
      <c r="I7267" s="8" t="str">
        <f ca="1">IFERROR(__xludf.DUMMYFUNCTION("IF
(
G7268=""фізична особа""
,
VLOOKUP(H7268,IMPORTRANGE(""https://docs.google.com/spreadsheets/d/14Bd19lYaqBhU8_DElYkX7l4wRkHqqCUFNJY4AfY3kHU/edit?usp=sharing  #gid=0"",""фіз особи new!relations_name""),6,FALSE)
,
(IF
(
G7268=""юридична особа""
,
VLOOKUP"&amp;"(H7268,IMPORTRANGE(""https://docs.google.com/spreadsheets/d/14Bd19lYaqBhU8_DElYkX7l4wRkHqqCUFNJY4AfY3kHU/edit?usp=sharing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267" s="7" t="s">
        <v>28</v>
      </c>
    </row>
    <row r="7268" spans="1:10" ht="13.2">
      <c r="A7268" s="7">
        <v>7267</v>
      </c>
      <c r="B7268" s="7">
        <v>1</v>
      </c>
      <c r="C7268" s="7" t="s">
        <v>10</v>
      </c>
      <c r="D7268" s="7">
        <v>6657</v>
      </c>
      <c r="E7268" s="7" t="s">
        <v>29</v>
      </c>
      <c r="F7268" s="8" t="str">
        <f ca="1">IFERROR(__xludf.DUMMYFUNCTION("IF
(
C7269=""фізична особа""
,
VLOOKUP(D7269,IMPORTRANGE(""https://docs.google.com/spreadsheets/d/14Bd19lYaqBhU8_DElYkX7l4wRkHqqCUFNJY4AfY3kHU/edit?usp=sharing  #gid=0"",""фіз особи new!relations_name""),6,FALSE)
,
(IF
(
C7269=""юридична особа""
,
VLOOKUP"&amp;"(D7269,IMPORTRANGE(""https://docs.google.com/spreadsheets/d/14Bd19lYaqBhU8_DElYkX7l4wRkHqqCUFNJY4AfY3kHU/edit?usp=sharing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8" s="7" t="s">
        <v>10</v>
      </c>
      <c r="H7268" s="7">
        <v>6656</v>
      </c>
      <c r="I7268" s="8" t="str">
        <f ca="1">IFERROR(__xludf.DUMMYFUNCTION("IF
(
G7269=""фізична особа""
,
VLOOKUP(H7269,IMPORTRANGE(""https://docs.google.com/spreadsheets/d/14Bd19lYaqBhU8_DElYkX7l4wRkHqqCUFNJY4AfY3kHU/edit?usp=sharing  #gid=0"",""фіз особи new!relations_name""),6,FALSE)
,
(IF
(
G7269=""юридична особа""
,
VLOOKUP"&amp;"(H7269,IMPORTRANGE(""https://docs.google.com/spreadsheets/d/14Bd19lYaqBhU8_DElYkX7l4wRkHqqCUFNJY4AfY3kHU/edit?usp=sharing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68" s="7" t="s">
        <v>28</v>
      </c>
    </row>
    <row r="7269" spans="1:10" ht="13.2">
      <c r="A7269" s="7">
        <v>7268</v>
      </c>
      <c r="B7269" s="7">
        <v>1</v>
      </c>
      <c r="C7269" s="7" t="s">
        <v>10</v>
      </c>
      <c r="D7269" s="7">
        <v>6657</v>
      </c>
      <c r="E7269" s="7" t="s">
        <v>29</v>
      </c>
      <c r="F7269" s="8" t="str">
        <f ca="1">IFERROR(__xludf.DUMMYFUNCTION("IF
(
C7270=""фізична особа""
,
VLOOKUP(D7270,IMPORTRANGE(""https://docs.google.com/spreadsheets/d/14Bd19lYaqBhU8_DElYkX7l4wRkHqqCUFNJY4AfY3kHU/edit?usp=sharing  #gid=0"",""фіз особи new!relations_name""),6,FALSE)
,
(IF
(
C7270=""юридична особа""
,
VLOOKUP"&amp;"(D7270,IMPORTRANGE(""https://docs.google.com/spreadsheets/d/14Bd19lYaqBhU8_DElYkX7l4wRkHqqCUFNJY4AfY3kHU/edit?usp=sharing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69" s="7" t="s">
        <v>10</v>
      </c>
      <c r="H7269" s="7">
        <v>6658</v>
      </c>
      <c r="I7269" s="8" t="str">
        <f ca="1">IFERROR(__xludf.DUMMYFUNCTION("IF
(
G7270=""фізична особа""
,
VLOOKUP(H7270,IMPORTRANGE(""https://docs.google.com/spreadsheets/d/14Bd19lYaqBhU8_DElYkX7l4wRkHqqCUFNJY4AfY3kHU/edit?usp=sharing  #gid=0"",""фіз особи new!relations_name""),6,FALSE)
,
(IF
(
G7270=""юридична особа""
,
VLOOKUP"&amp;"(H7270,IMPORTRANGE(""https://docs.google.com/spreadsheets/d/14Bd19lYaqBhU8_DElYkX7l4wRkHqqCUFNJY4AfY3kHU/edit?usp=sharing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69" s="7" t="s">
        <v>28</v>
      </c>
    </row>
    <row r="7270" spans="1:10" ht="13.2">
      <c r="A7270" s="7">
        <v>7269</v>
      </c>
      <c r="B7270" s="7">
        <v>1</v>
      </c>
      <c r="C7270" s="7" t="s">
        <v>10</v>
      </c>
      <c r="D7270" s="7">
        <v>6657</v>
      </c>
      <c r="E7270" s="7" t="s">
        <v>29</v>
      </c>
      <c r="F7270" s="8" t="str">
        <f ca="1">IFERROR(__xludf.DUMMYFUNCTION("IF
(
C7271=""фізична особа""
,
VLOOKUP(D7271,IMPORTRANGE(""https://docs.google.com/spreadsheets/d/14Bd19lYaqBhU8_DElYkX7l4wRkHqqCUFNJY4AfY3kHU/edit?usp=sharing  #gid=0"",""фіз особи new!relations_name""),6,FALSE)
,
(IF
(
C7271=""юридична особа""
,
VLOOKUP"&amp;"(D7271,IMPORTRANGE(""https://docs.google.com/spreadsheets/d/14Bd19lYaqBhU8_DElYkX7l4wRkHqqCUFNJY4AfY3kHU/edit?usp=sharing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0" s="7" t="s">
        <v>10</v>
      </c>
      <c r="H7270" s="7">
        <v>6652</v>
      </c>
      <c r="I7270" s="8" t="str">
        <f ca="1">IFERROR(__xludf.DUMMYFUNCTION("IF
(
G7271=""фізична особа""
,
VLOOKUP(H7271,IMPORTRANGE(""https://docs.google.com/spreadsheets/d/14Bd19lYaqBhU8_DElYkX7l4wRkHqqCUFNJY4AfY3kHU/edit?usp=sharing  #gid=0"",""фіз особи new!relations_name""),6,FALSE)
,
(IF
(
G7271=""юридична особа""
,
VLOOKUP"&amp;"(H7271,IMPORTRANGE(""https://docs.google.com/spreadsheets/d/14Bd19lYaqBhU8_DElYkX7l4wRkHqqCUFNJY4AfY3kHU/edit?usp=sharing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70" s="7" t="s">
        <v>28</v>
      </c>
    </row>
    <row r="7271" spans="1:10" ht="13.2">
      <c r="A7271" s="7">
        <v>7270</v>
      </c>
      <c r="B7271" s="7">
        <v>1</v>
      </c>
      <c r="C7271" s="7" t="s">
        <v>10</v>
      </c>
      <c r="D7271" s="7">
        <v>6657</v>
      </c>
      <c r="E7271" s="7" t="s">
        <v>29</v>
      </c>
      <c r="F7271" s="8" t="str">
        <f ca="1">IFERROR(__xludf.DUMMYFUNCTION("IF
(
C7272=""фізична особа""
,
VLOOKUP(D7272,IMPORTRANGE(""https://docs.google.com/spreadsheets/d/14Bd19lYaqBhU8_DElYkX7l4wRkHqqCUFNJY4AfY3kHU/edit?usp=sharing  #gid=0"",""фіз особи new!relations_name""),6,FALSE)
,
(IF
(
C7272=""юридична особа""
,
VLOOKUP"&amp;"(D7272,IMPORTRANGE(""https://docs.google.com/spreadsheets/d/14Bd19lYaqBhU8_DElYkX7l4wRkHqqCUFNJY4AfY3kHU/edit?usp=sharing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1" s="7" t="s">
        <v>10</v>
      </c>
      <c r="H7271" s="7">
        <v>6646</v>
      </c>
      <c r="I7271" s="8" t="str">
        <f ca="1">IFERROR(__xludf.DUMMYFUNCTION("IF
(
G7272=""фізична особа""
,
VLOOKUP(H7272,IMPORTRANGE(""https://docs.google.com/spreadsheets/d/14Bd19lYaqBhU8_DElYkX7l4wRkHqqCUFNJY4AfY3kHU/edit?usp=sharing  #gid=0"",""фіз особи new!relations_name""),6,FALSE)
,
(IF
(
G7272=""юридична особа""
,
VLOOKUP"&amp;"(H7272,IMPORTRANGE(""https://docs.google.com/spreadsheets/d/14Bd19lYaqBhU8_DElYkX7l4wRkHqqCUFNJY4AfY3kHU/edit?usp=sharing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71" s="7" t="s">
        <v>28</v>
      </c>
    </row>
    <row r="7272" spans="1:10" ht="13.2">
      <c r="A7272" s="7">
        <v>7271</v>
      </c>
      <c r="B7272" s="7">
        <v>1</v>
      </c>
      <c r="C7272" s="7" t="s">
        <v>10</v>
      </c>
      <c r="D7272" s="7">
        <v>6657</v>
      </c>
      <c r="E7272" s="7" t="s">
        <v>29</v>
      </c>
      <c r="F7272" s="8" t="str">
        <f ca="1">IFERROR(__xludf.DUMMYFUNCTION("IF
(
C7273=""фізична особа""
,
VLOOKUP(D7273,IMPORTRANGE(""https://docs.google.com/spreadsheets/d/14Bd19lYaqBhU8_DElYkX7l4wRkHqqCUFNJY4AfY3kHU/edit?usp=sharing  #gid=0"",""фіз особи new!relations_name""),6,FALSE)
,
(IF
(
C7273=""юридична особа""
,
VLOOKUP"&amp;"(D7273,IMPORTRANGE(""https://docs.google.com/spreadsheets/d/14Bd19lYaqBhU8_DElYkX7l4wRkHqqCUFNJY4AfY3kHU/edit?usp=sharing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2" s="7" t="s">
        <v>10</v>
      </c>
      <c r="H7272" s="7">
        <v>6654</v>
      </c>
      <c r="I7272" s="8" t="str">
        <f ca="1">IFERROR(__xludf.DUMMYFUNCTION("IF
(
G7273=""фізична особа""
,
VLOOKUP(H7273,IMPORTRANGE(""https://docs.google.com/spreadsheets/d/14Bd19lYaqBhU8_DElYkX7l4wRkHqqCUFNJY4AfY3kHU/edit?usp=sharing  #gid=0"",""фіз особи new!relations_name""),6,FALSE)
,
(IF
(
G7273=""юридична особа""
,
VLOOKUP"&amp;"(H7273,IMPORTRANGE(""https://docs.google.com/spreadsheets/d/14Bd19lYaqBhU8_DElYkX7l4wRkHqqCUFNJY4AfY3kHU/edit?usp=sharing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72" s="7" t="s">
        <v>28</v>
      </c>
    </row>
    <row r="7273" spans="1:10" ht="13.2">
      <c r="A7273" s="7">
        <v>7272</v>
      </c>
      <c r="B7273" s="7">
        <v>1</v>
      </c>
      <c r="C7273" s="7" t="s">
        <v>10</v>
      </c>
      <c r="D7273" s="7">
        <v>6657</v>
      </c>
      <c r="E7273" s="7" t="s">
        <v>29</v>
      </c>
      <c r="F7273" s="8" t="str">
        <f ca="1">IFERROR(__xludf.DUMMYFUNCTION("IF
(
C7274=""фізична особа""
,
VLOOKUP(D7274,IMPORTRANGE(""https://docs.google.com/spreadsheets/d/14Bd19lYaqBhU8_DElYkX7l4wRkHqqCUFNJY4AfY3kHU/edit?usp=sharing  #gid=0"",""фіз особи new!relations_name""),6,FALSE)
,
(IF
(
C7274=""юридична особа""
,
VLOOKUP"&amp;"(D7274,IMPORTRANGE(""https://docs.google.com/spreadsheets/d/14Bd19lYaqBhU8_DElYkX7l4wRkHqqCUFNJY4AfY3kHU/edit?usp=sharing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3" s="7" t="s">
        <v>10</v>
      </c>
      <c r="H7273" s="7">
        <v>6655</v>
      </c>
      <c r="I7273" s="8" t="str">
        <f ca="1">IFERROR(__xludf.DUMMYFUNCTION("IF
(
G7274=""фізична особа""
,
VLOOKUP(H7274,IMPORTRANGE(""https://docs.google.com/spreadsheets/d/14Bd19lYaqBhU8_DElYkX7l4wRkHqqCUFNJY4AfY3kHU/edit?usp=sharing  #gid=0"",""фіз особи new!relations_name""),6,FALSE)
,
(IF
(
G7274=""юридична особа""
,
VLOOKUP"&amp;"(H7274,IMPORTRANGE(""https://docs.google.com/spreadsheets/d/14Bd19lYaqBhU8_DElYkX7l4wRkHqqCUFNJY4AfY3kHU/edit?usp=sharing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73" s="7" t="s">
        <v>28</v>
      </c>
    </row>
    <row r="7274" spans="1:10" ht="13.2">
      <c r="A7274" s="7">
        <v>7273</v>
      </c>
      <c r="B7274" s="7">
        <v>1</v>
      </c>
      <c r="C7274" s="7" t="s">
        <v>10</v>
      </c>
      <c r="D7274" s="7">
        <v>6657</v>
      </c>
      <c r="E7274" s="7" t="s">
        <v>29</v>
      </c>
      <c r="F7274" s="8" t="str">
        <f ca="1">IFERROR(__xludf.DUMMYFUNCTION("IF
(
C7275=""фізична особа""
,
VLOOKUP(D7275,IMPORTRANGE(""https://docs.google.com/spreadsheets/d/14Bd19lYaqBhU8_DElYkX7l4wRkHqqCUFNJY4AfY3kHU/edit?usp=sharing  #gid=0"",""фіз особи new!relations_name""),6,FALSE)
,
(IF
(
C7275=""юридична особа""
,
VLOOKUP"&amp;"(D7275,IMPORTRANGE(""https://docs.google.com/spreadsheets/d/14Bd19lYaqBhU8_DElYkX7l4wRkHqqCUFNJY4AfY3kHU/edit?usp=sharing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4" s="7" t="s">
        <v>10</v>
      </c>
      <c r="H7274" s="7">
        <v>6651</v>
      </c>
      <c r="I7274" s="8" t="str">
        <f ca="1">IFERROR(__xludf.DUMMYFUNCTION("IF
(
G7275=""фізична особа""
,
VLOOKUP(H7275,IMPORTRANGE(""https://docs.google.com/spreadsheets/d/14Bd19lYaqBhU8_DElYkX7l4wRkHqqCUFNJY4AfY3kHU/edit?usp=sharing  #gid=0"",""фіз особи new!relations_name""),6,FALSE)
,
(IF
(
G7275=""юридична особа""
,
VLOOKUP"&amp;"(H7275,IMPORTRANGE(""https://docs.google.com/spreadsheets/d/14Bd19lYaqBhU8_DElYkX7l4wRkHqqCUFNJY4AfY3kHU/edit?usp=sharing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74" s="7" t="s">
        <v>28</v>
      </c>
    </row>
    <row r="7275" spans="1:10" ht="13.2">
      <c r="A7275" s="7">
        <v>7274</v>
      </c>
      <c r="B7275" s="7">
        <v>1</v>
      </c>
      <c r="C7275" s="7" t="s">
        <v>10</v>
      </c>
      <c r="D7275" s="7">
        <v>6657</v>
      </c>
      <c r="E7275" s="7" t="s">
        <v>28</v>
      </c>
      <c r="F7275" s="8" t="str">
        <f ca="1">IFERROR(__xludf.DUMMYFUNCTION("IF
(
C7276=""фізична особа""
,
VLOOKUP(D7276,IMPORTRANGE(""https://docs.google.com/spreadsheets/d/14Bd19lYaqBhU8_DElYkX7l4wRkHqqCUFNJY4AfY3kHU/edit?usp=sharing  #gid=0"",""фіз особи new!relations_name""),6,FALSE)
,
(IF
(
C7276=""юридична особа""
,
VLOOKUP"&amp;"(D7276,IMPORTRANGE(""https://docs.google.com/spreadsheets/d/14Bd19lYaqBhU8_DElYkX7l4wRkHqqCUFNJY4AfY3kHU/edit?usp=sharing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G7275" s="7" t="s">
        <v>10</v>
      </c>
      <c r="H7275" s="7">
        <v>6645</v>
      </c>
      <c r="I7275" s="8" t="str">
        <f ca="1">IFERROR(__xludf.DUMMYFUNCTION("IF
(
G7276=""фізична особа""
,
VLOOKUP(H7276,IMPORTRANGE(""https://docs.google.com/spreadsheets/d/14Bd19lYaqBhU8_DElYkX7l4wRkHqqCUFNJY4AfY3kHU/edit?usp=sharing  #gid=0"",""фіз особи new!relations_name""),6,FALSE)
,
(IF
(
G7276=""юридична особа""
,
VLOOKUP"&amp;"(H7276,IMPORTRANGE(""https://docs.google.com/spreadsheets/d/14Bd19lYaqBhU8_DElYkX7l4wRkHqqCUFNJY4AfY3kHU/edit?usp=sharing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75" s="7" t="s">
        <v>29</v>
      </c>
    </row>
    <row r="7276" spans="1:10" ht="13.2">
      <c r="A7276" s="7">
        <v>7275</v>
      </c>
      <c r="B7276" s="7">
        <v>1</v>
      </c>
      <c r="C7276" s="7" t="s">
        <v>10</v>
      </c>
      <c r="D7276" s="7">
        <v>6658</v>
      </c>
      <c r="E7276" s="7" t="s">
        <v>35</v>
      </c>
      <c r="F7276" s="8" t="str">
        <f ca="1">IFERROR(__xludf.DUMMYFUNCTION("IF
(
C7277=""фізична особа""
,
VLOOKUP(D7277,IMPORTRANGE(""https://docs.google.com/spreadsheets/d/14Bd19lYaqBhU8_DElYkX7l4wRkHqqCUFNJY4AfY3kHU/edit?usp=sharing  #gid=0"",""фіз особи new!relations_name""),6,FALSE)
,
(IF
(
C7277=""юридична особа""
,
VLOOKUP"&amp;"(D7277,IMPORTRANGE(""https://docs.google.com/spreadsheets/d/14Bd19lYaqBhU8_DElYkX7l4wRkHqqCUFNJY4AfY3kHU/edit?usp=sharing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76" s="7" t="s">
        <v>10</v>
      </c>
      <c r="H7276" s="7">
        <v>6649</v>
      </c>
      <c r="I7276" s="8" t="str">
        <f ca="1">IFERROR(__xludf.DUMMYFUNCTION("IF
(
G7277=""фізична особа""
,
VLOOKUP(H7277,IMPORTRANGE(""https://docs.google.com/spreadsheets/d/14Bd19lYaqBhU8_DElYkX7l4wRkHqqCUFNJY4AfY3kHU/edit?usp=sharing  #gid=0"",""фіз особи new!relations_name""),6,FALSE)
,
(IF
(
G7277=""юридична особа""
,
VLOOKUP"&amp;"(H7277,IMPORTRANGE(""https://docs.google.com/spreadsheets/d/14Bd19lYaqBhU8_DElYkX7l4wRkHqqCUFNJY4AfY3kHU/edit?usp=sharing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76" s="7" t="s">
        <v>35</v>
      </c>
    </row>
    <row r="7277" spans="1:10" ht="13.2">
      <c r="A7277" s="7">
        <v>7276</v>
      </c>
      <c r="B7277" s="7">
        <v>1</v>
      </c>
      <c r="C7277" s="7" t="s">
        <v>10</v>
      </c>
      <c r="D7277" s="7">
        <v>6658</v>
      </c>
      <c r="E7277" s="7" t="s">
        <v>35</v>
      </c>
      <c r="F7277" s="8" t="str">
        <f ca="1">IFERROR(__xludf.DUMMYFUNCTION("IF
(
C7278=""фізична особа""
,
VLOOKUP(D7278,IMPORTRANGE(""https://docs.google.com/spreadsheets/d/14Bd19lYaqBhU8_DElYkX7l4wRkHqqCUFNJY4AfY3kHU/edit?usp=sharing  #gid=0"",""фіз особи new!relations_name""),6,FALSE)
,
(IF
(
C7278=""юридична особа""
,
VLOOKUP"&amp;"(D7278,IMPORTRANGE(""https://docs.google.com/spreadsheets/d/14Bd19lYaqBhU8_DElYkX7l4wRkHqqCUFNJY4AfY3kHU/edit?usp=sharing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77" s="7" t="s">
        <v>10</v>
      </c>
      <c r="H7277" s="7">
        <v>6648</v>
      </c>
      <c r="I7277" s="8" t="str">
        <f ca="1">IFERROR(__xludf.DUMMYFUNCTION("IF
(
G7278=""фізична особа""
,
VLOOKUP(H7278,IMPORTRANGE(""https://docs.google.com/spreadsheets/d/14Bd19lYaqBhU8_DElYkX7l4wRkHqqCUFNJY4AfY3kHU/edit?usp=sharing  #gid=0"",""фіз особи new!relations_name""),6,FALSE)
,
(IF
(
G7278=""юридична особа""
,
VLOOKUP"&amp;"(H7278,IMPORTRANGE(""https://docs.google.com/spreadsheets/d/14Bd19lYaqBhU8_DElYkX7l4wRkHqqCUFNJY4AfY3kHU/edit?usp=sharing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77" s="7" t="s">
        <v>35</v>
      </c>
    </row>
    <row r="7278" spans="1:10" ht="13.2">
      <c r="A7278" s="7">
        <v>7277</v>
      </c>
      <c r="B7278" s="7">
        <v>1</v>
      </c>
      <c r="C7278" s="7" t="s">
        <v>10</v>
      </c>
      <c r="D7278" s="7">
        <v>6658</v>
      </c>
      <c r="E7278" s="7" t="s">
        <v>35</v>
      </c>
      <c r="F7278" s="8" t="str">
        <f ca="1">IFERROR(__xludf.DUMMYFUNCTION("IF
(
C7279=""фізична особа""
,
VLOOKUP(D7279,IMPORTRANGE(""https://docs.google.com/spreadsheets/d/14Bd19lYaqBhU8_DElYkX7l4wRkHqqCUFNJY4AfY3kHU/edit?usp=sharing  #gid=0"",""фіз особи new!relations_name""),6,FALSE)
,
(IF
(
C7279=""юридична особа""
,
VLOOKUP"&amp;"(D7279,IMPORTRANGE(""https://docs.google.com/spreadsheets/d/14Bd19lYaqBhU8_DElYkX7l4wRkHqqCUFNJY4AfY3kHU/edit?usp=sharing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78" s="7" t="s">
        <v>10</v>
      </c>
      <c r="H7278" s="7">
        <v>6659</v>
      </c>
      <c r="I7278" s="8" t="str">
        <f ca="1">IFERROR(__xludf.DUMMYFUNCTION("IF
(
G7279=""фізична особа""
,
VLOOKUP(H7279,IMPORTRANGE(""https://docs.google.com/spreadsheets/d/14Bd19lYaqBhU8_DElYkX7l4wRkHqqCUFNJY4AfY3kHU/edit?usp=sharing  #gid=0"",""фіз особи new!relations_name""),6,FALSE)
,
(IF
(
G7279=""юридична особа""
,
VLOOKUP"&amp;"(H7279,IMPORTRANGE(""https://docs.google.com/spreadsheets/d/14Bd19lYaqBhU8_DElYkX7l4wRkHqqCUFNJY4AfY3kHU/edit?usp=sharing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J7278" s="7" t="s">
        <v>35</v>
      </c>
    </row>
    <row r="7279" spans="1:10" ht="13.2">
      <c r="A7279" s="7">
        <v>7278</v>
      </c>
      <c r="B7279" s="7">
        <v>1</v>
      </c>
      <c r="C7279" s="7" t="s">
        <v>10</v>
      </c>
      <c r="D7279" s="7">
        <v>6658</v>
      </c>
      <c r="E7279" s="7" t="s">
        <v>35</v>
      </c>
      <c r="F7279" s="8" t="str">
        <f ca="1">IFERROR(__xludf.DUMMYFUNCTION("IF
(
C7280=""фізична особа""
,
VLOOKUP(D7280,IMPORTRANGE(""https://docs.google.com/spreadsheets/d/14Bd19lYaqBhU8_DElYkX7l4wRkHqqCUFNJY4AfY3kHU/edit?usp=sharing  #gid=0"",""фіз особи new!relations_name""),6,FALSE)
,
(IF
(
C7280=""юридична особа""
,
VLOOKUP"&amp;"(D7280,IMPORTRANGE(""https://docs.google.com/spreadsheets/d/14Bd19lYaqBhU8_DElYkX7l4wRkHqqCUFNJY4AfY3kHU/edit?usp=sharing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79" s="7" t="s">
        <v>10</v>
      </c>
      <c r="H7279" s="7">
        <v>6646</v>
      </c>
      <c r="I7279" s="8" t="str">
        <f ca="1">IFERROR(__xludf.DUMMYFUNCTION("IF
(
G7280=""фізична особа""
,
VLOOKUP(H7280,IMPORTRANGE(""https://docs.google.com/spreadsheets/d/14Bd19lYaqBhU8_DElYkX7l4wRkHqqCUFNJY4AfY3kHU/edit?usp=sharing  #gid=0"",""фіз особи new!relations_name""),6,FALSE)
,
(IF
(
G7280=""юридична особа""
,
VLOOKUP"&amp;"(H7280,IMPORTRANGE(""https://docs.google.com/spreadsheets/d/14Bd19lYaqBhU8_DElYkX7l4wRkHqqCUFNJY4AfY3kHU/edit?usp=sharing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79" s="7" t="s">
        <v>35</v>
      </c>
    </row>
    <row r="7280" spans="1:10" ht="13.2">
      <c r="A7280" s="7">
        <v>7279</v>
      </c>
      <c r="B7280" s="7">
        <v>1</v>
      </c>
      <c r="C7280" s="7" t="s">
        <v>10</v>
      </c>
      <c r="D7280" s="7">
        <v>6658</v>
      </c>
      <c r="E7280" s="7" t="s">
        <v>35</v>
      </c>
      <c r="F7280" s="8" t="str">
        <f ca="1">IFERROR(__xludf.DUMMYFUNCTION("IF
(
C7281=""фізична особа""
,
VLOOKUP(D7281,IMPORTRANGE(""https://docs.google.com/spreadsheets/d/14Bd19lYaqBhU8_DElYkX7l4wRkHqqCUFNJY4AfY3kHU/edit?usp=sharing  #gid=0"",""фіз особи new!relations_name""),6,FALSE)
,
(IF
(
C7281=""юридична особа""
,
VLOOKUP"&amp;"(D7281,IMPORTRANGE(""https://docs.google.com/spreadsheets/d/14Bd19lYaqBhU8_DElYkX7l4wRkHqqCUFNJY4AfY3kHU/edit?usp=sharing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0" s="7" t="s">
        <v>10</v>
      </c>
      <c r="H7280" s="7">
        <v>6647</v>
      </c>
      <c r="I7280" s="8" t="str">
        <f ca="1">IFERROR(__xludf.DUMMYFUNCTION("IF
(
G7281=""фізична особа""
,
VLOOKUP(H7281,IMPORTRANGE(""https://docs.google.com/spreadsheets/d/14Bd19lYaqBhU8_DElYkX7l4wRkHqqCUFNJY4AfY3kHU/edit?usp=sharing  #gid=0"",""фіз особи new!relations_name""),6,FALSE)
,
(IF
(
G7281=""юридична особа""
,
VLOOKUP"&amp;"(H7281,IMPORTRANGE(""https://docs.google.com/spreadsheets/d/14Bd19lYaqBhU8_DElYkX7l4wRkHqqCUFNJY4AfY3kHU/edit?usp=sharing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80" s="7" t="s">
        <v>35</v>
      </c>
    </row>
    <row r="7281" spans="1:10" ht="13.2">
      <c r="A7281" s="7">
        <v>7280</v>
      </c>
      <c r="B7281" s="7">
        <v>1</v>
      </c>
      <c r="C7281" s="7" t="s">
        <v>10</v>
      </c>
      <c r="D7281" s="7">
        <v>6658</v>
      </c>
      <c r="E7281" s="7" t="s">
        <v>35</v>
      </c>
      <c r="F7281" s="8" t="str">
        <f ca="1">IFERROR(__xludf.DUMMYFUNCTION("IF
(
C7282=""фізична особа""
,
VLOOKUP(D7282,IMPORTRANGE(""https://docs.google.com/spreadsheets/d/14Bd19lYaqBhU8_DElYkX7l4wRkHqqCUFNJY4AfY3kHU/edit?usp=sharing  #gid=0"",""фіз особи new!relations_name""),6,FALSE)
,
(IF
(
C7282=""юридична особа""
,
VLOOKUP"&amp;"(D7282,IMPORTRANGE(""https://docs.google.com/spreadsheets/d/14Bd19lYaqBhU8_DElYkX7l4wRkHqqCUFNJY4AfY3kHU/edit?usp=sharing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1" s="7" t="s">
        <v>10</v>
      </c>
      <c r="H7281" s="7">
        <v>6652</v>
      </c>
      <c r="I7281" s="8" t="str">
        <f ca="1">IFERROR(__xludf.DUMMYFUNCTION("IF
(
G7282=""фізична особа""
,
VLOOKUP(H7282,IMPORTRANGE(""https://docs.google.com/spreadsheets/d/14Bd19lYaqBhU8_DElYkX7l4wRkHqqCUFNJY4AfY3kHU/edit?usp=sharing  #gid=0"",""фіз особи new!relations_name""),6,FALSE)
,
(IF
(
G7282=""юридична особа""
,
VLOOKUP"&amp;"(H7282,IMPORTRANGE(""https://docs.google.com/spreadsheets/d/14Bd19lYaqBhU8_DElYkX7l4wRkHqqCUFNJY4AfY3kHU/edit?usp=sharing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81" s="7" t="s">
        <v>35</v>
      </c>
    </row>
    <row r="7282" spans="1:10" ht="13.2">
      <c r="A7282" s="7">
        <v>7281</v>
      </c>
      <c r="B7282" s="7">
        <v>1</v>
      </c>
      <c r="C7282" s="7" t="s">
        <v>10</v>
      </c>
      <c r="D7282" s="7">
        <v>6658</v>
      </c>
      <c r="E7282" s="7" t="s">
        <v>35</v>
      </c>
      <c r="F7282" s="8" t="str">
        <f ca="1">IFERROR(__xludf.DUMMYFUNCTION("IF
(
C7283=""фізична особа""
,
VLOOKUP(D7283,IMPORTRANGE(""https://docs.google.com/spreadsheets/d/14Bd19lYaqBhU8_DElYkX7l4wRkHqqCUFNJY4AfY3kHU/edit?usp=sharing  #gid=0"",""фіз особи new!relations_name""),6,FALSE)
,
(IF
(
C7283=""юридична особа""
,
VLOOKUP"&amp;"(D7283,IMPORTRANGE(""https://docs.google.com/spreadsheets/d/14Bd19lYaqBhU8_DElYkX7l4wRkHqqCUFNJY4AfY3kHU/edit?usp=sharing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2" s="7" t="s">
        <v>10</v>
      </c>
      <c r="H7282" s="7">
        <v>6655</v>
      </c>
      <c r="I7282" s="8" t="str">
        <f ca="1">IFERROR(__xludf.DUMMYFUNCTION("IF
(
G7283=""фізична особа""
,
VLOOKUP(H7283,IMPORTRANGE(""https://docs.google.com/spreadsheets/d/14Bd19lYaqBhU8_DElYkX7l4wRkHqqCUFNJY4AfY3kHU/edit?usp=sharing  #gid=0"",""фіз особи new!relations_name""),6,FALSE)
,
(IF
(
G7283=""юридична особа""
,
VLOOKUP"&amp;"(H7283,IMPORTRANGE(""https://docs.google.com/spreadsheets/d/14Bd19lYaqBhU8_DElYkX7l4wRkHqqCUFNJY4AfY3kHU/edit?usp=sharing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82" s="7" t="s">
        <v>35</v>
      </c>
    </row>
    <row r="7283" spans="1:10" ht="13.2">
      <c r="A7283" s="7">
        <v>7282</v>
      </c>
      <c r="B7283" s="7">
        <v>1</v>
      </c>
      <c r="C7283" s="7" t="s">
        <v>10</v>
      </c>
      <c r="D7283" s="7">
        <v>6658</v>
      </c>
      <c r="E7283" s="7" t="s">
        <v>35</v>
      </c>
      <c r="F7283" s="8" t="str">
        <f ca="1">IFERROR(__xludf.DUMMYFUNCTION("IF
(
C7284=""фізична особа""
,
VLOOKUP(D7284,IMPORTRANGE(""https://docs.google.com/spreadsheets/d/14Bd19lYaqBhU8_DElYkX7l4wRkHqqCUFNJY4AfY3kHU/edit?usp=sharing  #gid=0"",""фіз особи new!relations_name""),6,FALSE)
,
(IF
(
C7284=""юридична особа""
,
VLOOKUP"&amp;"(D7284,IMPORTRANGE(""https://docs.google.com/spreadsheets/d/14Bd19lYaqBhU8_DElYkX7l4wRkHqqCUFNJY4AfY3kHU/edit?usp=sharing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3" s="7" t="s">
        <v>10</v>
      </c>
      <c r="H7283" s="7">
        <v>6656</v>
      </c>
      <c r="I7283" s="8" t="str">
        <f ca="1">IFERROR(__xludf.DUMMYFUNCTION("IF
(
G7284=""фізична особа""
,
VLOOKUP(H7284,IMPORTRANGE(""https://docs.google.com/spreadsheets/d/14Bd19lYaqBhU8_DElYkX7l4wRkHqqCUFNJY4AfY3kHU/edit?usp=sharing  #gid=0"",""фіз особи new!relations_name""),6,FALSE)
,
(IF
(
G7284=""юридична особа""
,
VLOOKUP"&amp;"(H7284,IMPORTRANGE(""https://docs.google.com/spreadsheets/d/14Bd19lYaqBhU8_DElYkX7l4wRkHqqCUFNJY4AfY3kHU/edit?usp=sharing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83" s="7" t="s">
        <v>35</v>
      </c>
    </row>
    <row r="7284" spans="1:10" ht="13.2">
      <c r="A7284" s="7">
        <v>7283</v>
      </c>
      <c r="B7284" s="7">
        <v>1</v>
      </c>
      <c r="C7284" s="7" t="s">
        <v>10</v>
      </c>
      <c r="D7284" s="7">
        <v>6658</v>
      </c>
      <c r="E7284" s="7" t="s">
        <v>35</v>
      </c>
      <c r="F7284" s="8" t="str">
        <f ca="1">IFERROR(__xludf.DUMMYFUNCTION("IF
(
C7285=""фізична особа""
,
VLOOKUP(D7285,IMPORTRANGE(""https://docs.google.com/spreadsheets/d/14Bd19lYaqBhU8_DElYkX7l4wRkHqqCUFNJY4AfY3kHU/edit?usp=sharing  #gid=0"",""фіз особи new!relations_name""),6,FALSE)
,
(IF
(
C7285=""юридична особа""
,
VLOOKUP"&amp;"(D7285,IMPORTRANGE(""https://docs.google.com/spreadsheets/d/14Bd19lYaqBhU8_DElYkX7l4wRkHqqCUFNJY4AfY3kHU/edit?usp=sharing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4" s="7" t="s">
        <v>10</v>
      </c>
      <c r="H7284" s="7">
        <v>6651</v>
      </c>
      <c r="I7284" s="8" t="str">
        <f ca="1">IFERROR(__xludf.DUMMYFUNCTION("IF
(
G7285=""фізична особа""
,
VLOOKUP(H7285,IMPORTRANGE(""https://docs.google.com/spreadsheets/d/14Bd19lYaqBhU8_DElYkX7l4wRkHqqCUFNJY4AfY3kHU/edit?usp=sharing  #gid=0"",""фіз особи new!relations_name""),6,FALSE)
,
(IF
(
G7285=""юридична особа""
,
VLOOKUP"&amp;"(H7285,IMPORTRANGE(""https://docs.google.com/spreadsheets/d/14Bd19lYaqBhU8_DElYkX7l4wRkHqqCUFNJY4AfY3kHU/edit?usp=sharing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84" s="7" t="s">
        <v>35</v>
      </c>
    </row>
    <row r="7285" spans="1:10" ht="13.2">
      <c r="A7285" s="7">
        <v>7284</v>
      </c>
      <c r="B7285" s="7">
        <v>1</v>
      </c>
      <c r="C7285" s="7" t="s">
        <v>10</v>
      </c>
      <c r="D7285" s="7">
        <v>6658</v>
      </c>
      <c r="E7285" s="7" t="s">
        <v>28</v>
      </c>
      <c r="F7285" s="8" t="str">
        <f ca="1">IFERROR(__xludf.DUMMYFUNCTION("IF
(
C7286=""фізична особа""
,
VLOOKUP(D7286,IMPORTRANGE(""https://docs.google.com/spreadsheets/d/14Bd19lYaqBhU8_DElYkX7l4wRkHqqCUFNJY4AfY3kHU/edit?usp=sharing  #gid=0"",""фіз особи new!relations_name""),6,FALSE)
,
(IF
(
C7286=""юридична особа""
,
VLOOKUP"&amp;"(D7286,IMPORTRANGE(""https://docs.google.com/spreadsheets/d/14Bd19lYaqBhU8_DElYkX7l4wRkHqqCUFNJY4AfY3kHU/edit?usp=sharing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5" s="7" t="s">
        <v>10</v>
      </c>
      <c r="H7285" s="7">
        <v>6645</v>
      </c>
      <c r="I7285" s="8" t="str">
        <f ca="1">IFERROR(__xludf.DUMMYFUNCTION("IF
(
G7286=""фізична особа""
,
VLOOKUP(H7286,IMPORTRANGE(""https://docs.google.com/spreadsheets/d/14Bd19lYaqBhU8_DElYkX7l4wRkHqqCUFNJY4AfY3kHU/edit?usp=sharing  #gid=0"",""фіз особи new!relations_name""),6,FALSE)
,
(IF
(
G7286=""юридична особа""
,
VLOOKUP"&amp;"(H7286,IMPORTRANGE(""https://docs.google.com/spreadsheets/d/14Bd19lYaqBhU8_DElYkX7l4wRkHqqCUFNJY4AfY3kHU/edit?usp=sharing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85" s="7" t="s">
        <v>29</v>
      </c>
    </row>
    <row r="7286" spans="1:10" ht="13.2">
      <c r="A7286" s="7">
        <v>7285</v>
      </c>
      <c r="B7286" s="7">
        <v>1</v>
      </c>
      <c r="C7286" s="7" t="s">
        <v>10</v>
      </c>
      <c r="D7286" s="7">
        <v>6658</v>
      </c>
      <c r="E7286" s="7" t="s">
        <v>35</v>
      </c>
      <c r="F7286" s="8" t="str">
        <f ca="1">IFERROR(__xludf.DUMMYFUNCTION("IF
(
C7287=""фізична особа""
,
VLOOKUP(D7287,IMPORTRANGE(""https://docs.google.com/spreadsheets/d/14Bd19lYaqBhU8_DElYkX7l4wRkHqqCUFNJY4AfY3kHU/edit?usp=sharing  #gid=0"",""фіз особи new!relations_name""),6,FALSE)
,
(IF
(
C7287=""юридична особа""
,
VLOOKUP"&amp;"(D7287,IMPORTRANGE(""https://docs.google.com/spreadsheets/d/14Bd19lYaqBhU8_DElYkX7l4wRkHqqCUFNJY4AfY3kHU/edit?usp=sharing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6" s="7" t="s">
        <v>10</v>
      </c>
      <c r="H7286" s="7">
        <v>6653</v>
      </c>
      <c r="I7286" s="8" t="str">
        <f ca="1">IFERROR(__xludf.DUMMYFUNCTION("IF
(
G7287=""фізична особа""
,
VLOOKUP(H7287,IMPORTRANGE(""https://docs.google.com/spreadsheets/d/14Bd19lYaqBhU8_DElYkX7l4wRkHqqCUFNJY4AfY3kHU/edit?usp=sharing  #gid=0"",""фіз особи new!relations_name""),6,FALSE)
,
(IF
(
G7287=""юридична особа""
,
VLOOKUP"&amp;"(H7287,IMPORTRANGE(""https://docs.google.com/spreadsheets/d/14Bd19lYaqBhU8_DElYkX7l4wRkHqqCUFNJY4AfY3kHU/edit?usp=sharing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286" s="7" t="s">
        <v>35</v>
      </c>
    </row>
    <row r="7287" spans="1:10" ht="13.2">
      <c r="A7287" s="7">
        <v>7286</v>
      </c>
      <c r="B7287" s="7">
        <v>1</v>
      </c>
      <c r="C7287" s="7" t="s">
        <v>10</v>
      </c>
      <c r="D7287" s="7">
        <v>6658</v>
      </c>
      <c r="E7287" s="7" t="s">
        <v>35</v>
      </c>
      <c r="F7287" s="8" t="str">
        <f ca="1">IFERROR(__xludf.DUMMYFUNCTION("IF
(
C7288=""фізична особа""
,
VLOOKUP(D7288,IMPORTRANGE(""https://docs.google.com/spreadsheets/d/14Bd19lYaqBhU8_DElYkX7l4wRkHqqCUFNJY4AfY3kHU/edit?usp=sharing  #gid=0"",""фіз особи new!relations_name""),6,FALSE)
,
(IF
(
C7288=""юридична особа""
,
VLOOKUP"&amp;"(D7288,IMPORTRANGE(""https://docs.google.com/spreadsheets/d/14Bd19lYaqBhU8_DElYkX7l4wRkHqqCUFNJY4AfY3kHU/edit?usp=sharing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7" s="7" t="s">
        <v>10</v>
      </c>
      <c r="H7287" s="7">
        <v>6654</v>
      </c>
      <c r="I7287" s="8" t="str">
        <f ca="1">IFERROR(__xludf.DUMMYFUNCTION("IF
(
G7288=""фізична особа""
,
VLOOKUP(H7288,IMPORTRANGE(""https://docs.google.com/spreadsheets/d/14Bd19lYaqBhU8_DElYkX7l4wRkHqqCUFNJY4AfY3kHU/edit?usp=sharing  #gid=0"",""фіз особи new!relations_name""),6,FALSE)
,
(IF
(
G7288=""юридична особа""
,
VLOOKUP"&amp;"(H7288,IMPORTRANGE(""https://docs.google.com/spreadsheets/d/14Bd19lYaqBhU8_DElYkX7l4wRkHqqCUFNJY4AfY3kHU/edit?usp=sharing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287" s="7" t="s">
        <v>35</v>
      </c>
    </row>
    <row r="7288" spans="1:10" ht="13.2">
      <c r="A7288" s="7">
        <v>7287</v>
      </c>
      <c r="B7288" s="7">
        <v>1</v>
      </c>
      <c r="C7288" s="7" t="s">
        <v>10</v>
      </c>
      <c r="D7288" s="7">
        <v>6658</v>
      </c>
      <c r="E7288" s="7" t="s">
        <v>35</v>
      </c>
      <c r="F7288" s="8" t="str">
        <f ca="1">IFERROR(__xludf.DUMMYFUNCTION("IF
(
C7289=""фізична особа""
,
VLOOKUP(D7289,IMPORTRANGE(""https://docs.google.com/spreadsheets/d/14Bd19lYaqBhU8_DElYkX7l4wRkHqqCUFNJY4AfY3kHU/edit?usp=sharing  #gid=0"",""фіз особи new!relations_name""),6,FALSE)
,
(IF
(
C7289=""юридична особа""
,
VLOOKUP"&amp;"(D7289,IMPORTRANGE(""https://docs.google.com/spreadsheets/d/14Bd19lYaqBhU8_DElYkX7l4wRkHqqCUFNJY4AfY3kHU/edit?usp=sharing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8" s="7" t="s">
        <v>10</v>
      </c>
      <c r="H7288" s="7">
        <v>6650</v>
      </c>
      <c r="I7288" s="8" t="str">
        <f ca="1">IFERROR(__xludf.DUMMYFUNCTION("IF
(
G7289=""фізична особа""
,
VLOOKUP(H7289,IMPORTRANGE(""https://docs.google.com/spreadsheets/d/14Bd19lYaqBhU8_DElYkX7l4wRkHqqCUFNJY4AfY3kHU/edit?usp=sharing  #gid=0"",""фіз особи new!relations_name""),6,FALSE)
,
(IF
(
G7289=""юридична особа""
,
VLOOKUP"&amp;"(H7289,IMPORTRANGE(""https://docs.google.com/spreadsheets/d/14Bd19lYaqBhU8_DElYkX7l4wRkHqqCUFNJY4AfY3kHU/edit?usp=sharing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288" s="7" t="s">
        <v>35</v>
      </c>
    </row>
    <row r="7289" spans="1:10" ht="13.2">
      <c r="A7289" s="7">
        <v>7288</v>
      </c>
      <c r="B7289" s="7">
        <v>1</v>
      </c>
      <c r="C7289" s="7" t="s">
        <v>10</v>
      </c>
      <c r="D7289" s="7">
        <v>6658</v>
      </c>
      <c r="E7289" s="7" t="s">
        <v>28</v>
      </c>
      <c r="F7289" s="8" t="str">
        <f ca="1">IFERROR(__xludf.DUMMYFUNCTION("IF
(
C7290=""фізична особа""
,
VLOOKUP(D7290,IMPORTRANGE(""https://docs.google.com/spreadsheets/d/14Bd19lYaqBhU8_DElYkX7l4wRkHqqCUFNJY4AfY3kHU/edit?usp=sharing  #gid=0"",""фіз особи new!relations_name""),6,FALSE)
,
(IF
(
C7290=""юридична особа""
,
VLOOKUP"&amp;"(D7290,IMPORTRANGE(""https://docs.google.com/spreadsheets/d/14Bd19lYaqBhU8_DElYkX7l4wRkHqqCUFNJY4AfY3kHU/edit?usp=sharing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G7289" s="7" t="s">
        <v>10</v>
      </c>
      <c r="H7289" s="7">
        <v>6657</v>
      </c>
      <c r="I7289" s="8" t="str">
        <f ca="1">IFERROR(__xludf.DUMMYFUNCTION("IF
(
G7290=""фізична особа""
,
VLOOKUP(H7290,IMPORTRANGE(""https://docs.google.com/spreadsheets/d/14Bd19lYaqBhU8_DElYkX7l4wRkHqqCUFNJY4AfY3kHU/edit?usp=sharing  #gid=0"",""фіз особи new!relations_name""),6,FALSE)
,
(IF
(
G7290=""юридична особа""
,
VLOOKUP"&amp;"(H7290,IMPORTRANGE(""https://docs.google.com/spreadsheets/d/14Bd19lYaqBhU8_DElYkX7l4wRkHqqCUFNJY4AfY3kHU/edit?usp=sharing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289" s="7" t="s">
        <v>29</v>
      </c>
    </row>
    <row r="7290" spans="1:10" ht="13.2">
      <c r="A7290" s="7">
        <v>7289</v>
      </c>
      <c r="B7290" s="7">
        <v>1</v>
      </c>
      <c r="C7290" s="7" t="s">
        <v>10</v>
      </c>
      <c r="D7290" s="7">
        <v>6659</v>
      </c>
      <c r="E7290" s="7" t="s">
        <v>35</v>
      </c>
      <c r="F7290" s="8" t="str">
        <f ca="1">IFERROR(__xludf.DUMMYFUNCTION("IF
(
C7291=""фізична особа""
,
VLOOKUP(D7291,IMPORTRANGE(""https://docs.google.com/spreadsheets/d/14Bd19lYaqBhU8_DElYkX7l4wRkHqqCUFNJY4AfY3kHU/edit?usp=sharing  #gid=0"",""фіз особи new!relations_name""),6,FALSE)
,
(IF
(
C7291=""юридична особа""
,
VLOOKUP"&amp;"(D7291,IMPORTRANGE(""https://docs.google.com/spreadsheets/d/14Bd19lYaqBhU8_DElYkX7l4wRkHqqCUFNJY4AfY3kHU/edit?usp=sharing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0" s="7" t="s">
        <v>10</v>
      </c>
      <c r="H7290" s="7">
        <v>6649</v>
      </c>
      <c r="I7290" s="8" t="str">
        <f ca="1">IFERROR(__xludf.DUMMYFUNCTION("IF
(
G7291=""фізична особа""
,
VLOOKUP(H7291,IMPORTRANGE(""https://docs.google.com/spreadsheets/d/14Bd19lYaqBhU8_DElYkX7l4wRkHqqCUFNJY4AfY3kHU/edit?usp=sharing  #gid=0"",""фіз особи new!relations_name""),6,FALSE)
,
(IF
(
G7291=""юридична особа""
,
VLOOKUP"&amp;"(H7291,IMPORTRANGE(""https://docs.google.com/spreadsheets/d/14Bd19lYaqBhU8_DElYkX7l4wRkHqqCUFNJY4AfY3kHU/edit?usp=sharing  #gid=0"",""фіз особи new!relations_name_uo""),7,FALSE)
,
)
))"),"ГУЗЬ Владислав Станіславович")</f>
        <v>ГУЗЬ Владислав Станіславович</v>
      </c>
      <c r="J7290" s="7" t="s">
        <v>35</v>
      </c>
    </row>
    <row r="7291" spans="1:10" ht="13.2">
      <c r="A7291" s="7">
        <v>7290</v>
      </c>
      <c r="B7291" s="7">
        <v>1</v>
      </c>
      <c r="C7291" s="7" t="s">
        <v>10</v>
      </c>
      <c r="D7291" s="7">
        <v>6659</v>
      </c>
      <c r="E7291" s="7" t="s">
        <v>35</v>
      </c>
      <c r="F7291" s="8" t="str">
        <f ca="1">IFERROR(__xludf.DUMMYFUNCTION("IF
(
C7292=""фізична особа""
,
VLOOKUP(D7292,IMPORTRANGE(""https://docs.google.com/spreadsheets/d/14Bd19lYaqBhU8_DElYkX7l4wRkHqqCUFNJY4AfY3kHU/edit?usp=sharing  #gid=0"",""фіз особи new!relations_name""),6,FALSE)
,
(IF
(
C7292=""юридична особа""
,
VLOOKUP"&amp;"(D7292,IMPORTRANGE(""https://docs.google.com/spreadsheets/d/14Bd19lYaqBhU8_DElYkX7l4wRkHqqCUFNJY4AfY3kHU/edit?usp=sharing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1" s="7" t="s">
        <v>10</v>
      </c>
      <c r="H7291" s="7">
        <v>6648</v>
      </c>
      <c r="I7291" s="8" t="str">
        <f ca="1">IFERROR(__xludf.DUMMYFUNCTION("IF
(
G7292=""фізична особа""
,
VLOOKUP(H7292,IMPORTRANGE(""https://docs.google.com/spreadsheets/d/14Bd19lYaqBhU8_DElYkX7l4wRkHqqCUFNJY4AfY3kHU/edit?usp=sharing  #gid=0"",""фіз особи new!relations_name""),6,FALSE)
,
(IF
(
G7292=""юридична особа""
,
VLOOKUP"&amp;"(H7292,IMPORTRANGE(""https://docs.google.com/spreadsheets/d/14Bd19lYaqBhU8_DElYkX7l4wRkHqqCUFNJY4AfY3kHU/edit?usp=sharing  #gid=0"",""фіз особи new!relations_name_uo""),7,FALSE)
,
)
))"),"ГЕРМАНОВИЧ Олексій Андрійович")</f>
        <v>ГЕРМАНОВИЧ Олексій Андрійович</v>
      </c>
      <c r="J7291" s="7" t="s">
        <v>35</v>
      </c>
    </row>
    <row r="7292" spans="1:10" ht="13.2">
      <c r="A7292" s="7">
        <v>7291</v>
      </c>
      <c r="B7292" s="7">
        <v>1</v>
      </c>
      <c r="C7292" s="7" t="s">
        <v>10</v>
      </c>
      <c r="D7292" s="7">
        <v>6659</v>
      </c>
      <c r="E7292" s="7" t="s">
        <v>35</v>
      </c>
      <c r="F7292" s="8" t="str">
        <f ca="1">IFERROR(__xludf.DUMMYFUNCTION("IF
(
C7293=""фізична особа""
,
VLOOKUP(D7293,IMPORTRANGE(""https://docs.google.com/spreadsheets/d/14Bd19lYaqBhU8_DElYkX7l4wRkHqqCUFNJY4AfY3kHU/edit?usp=sharing  #gid=0"",""фіз особи new!relations_name""),6,FALSE)
,
(IF
(
C7293=""юридична особа""
,
VLOOKUP"&amp;"(D7293,IMPORTRANGE(""https://docs.google.com/spreadsheets/d/14Bd19lYaqBhU8_DElYkX7l4wRkHqqCUFNJY4AfY3kHU/edit?usp=sharing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2" s="7" t="s">
        <v>10</v>
      </c>
      <c r="H7292" s="7">
        <v>6658</v>
      </c>
      <c r="I7292" s="8" t="str">
        <f ca="1">IFERROR(__xludf.DUMMYFUNCTION("IF
(
G7293=""фізична особа""
,
VLOOKUP(H7293,IMPORTRANGE(""https://docs.google.com/spreadsheets/d/14Bd19lYaqBhU8_DElYkX7l4wRkHqqCUFNJY4AfY3kHU/edit?usp=sharing  #gid=0"",""фіз особи new!relations_name""),6,FALSE)
,
(IF
(
G7293=""юридична особа""
,
VLOOKUP"&amp;"(H7293,IMPORTRANGE(""https://docs.google.com/spreadsheets/d/14Bd19lYaqBhU8_DElYkX7l4wRkHqqCUFNJY4AfY3kHU/edit?usp=sharing  #gid=0"",""фіз особи new!relations_name_uo""),7,FALSE)
,
)
))"),"ДОК. Ферашто Томас Марія")</f>
        <v>ДОК. Ферашто Томас Марія</v>
      </c>
      <c r="J7292" s="7" t="s">
        <v>35</v>
      </c>
    </row>
    <row r="7293" spans="1:10" ht="13.2">
      <c r="A7293" s="7">
        <v>7292</v>
      </c>
      <c r="B7293" s="7">
        <v>1</v>
      </c>
      <c r="C7293" s="7" t="s">
        <v>10</v>
      </c>
      <c r="D7293" s="7">
        <v>6659</v>
      </c>
      <c r="E7293" s="7" t="s">
        <v>35</v>
      </c>
      <c r="F7293" s="8" t="str">
        <f ca="1">IFERROR(__xludf.DUMMYFUNCTION("IF
(
C7294=""фізична особа""
,
VLOOKUP(D7294,IMPORTRANGE(""https://docs.google.com/spreadsheets/d/14Bd19lYaqBhU8_DElYkX7l4wRkHqqCUFNJY4AfY3kHU/edit?usp=sharing  #gid=0"",""фіз особи new!relations_name""),6,FALSE)
,
(IF
(
C7294=""юридична особа""
,
VLOOKUP"&amp;"(D7294,IMPORTRANGE(""https://docs.google.com/spreadsheets/d/14Bd19lYaqBhU8_DElYkX7l4wRkHqqCUFNJY4AfY3kHU/edit?usp=sharing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3" s="7" t="s">
        <v>10</v>
      </c>
      <c r="H7293" s="7">
        <v>6646</v>
      </c>
      <c r="I7293" s="8" t="str">
        <f ca="1">IFERROR(__xludf.DUMMYFUNCTION("IF
(
G7294=""фізична особа""
,
VLOOKUP(H7294,IMPORTRANGE(""https://docs.google.com/spreadsheets/d/14Bd19lYaqBhU8_DElYkX7l4wRkHqqCUFNJY4AfY3kHU/edit?usp=sharing  #gid=0"",""фіз особи new!relations_name""),6,FALSE)
,
(IF
(
G7294=""юридична особа""
,
VLOOKUP"&amp;"(H7294,IMPORTRANGE(""https://docs.google.com/spreadsheets/d/14Bd19lYaqBhU8_DElYkX7l4wRkHqqCUFNJY4AfY3kHU/edit?usp=sharing  #gid=0"",""фіз особи new!relations_name_uo""),7,FALSE)
,
)
))"),"БАЛАНДІН Костянтин Юрійович")</f>
        <v>БАЛАНДІН Костянтин Юрійович</v>
      </c>
      <c r="J7293" s="7" t="s">
        <v>35</v>
      </c>
    </row>
    <row r="7294" spans="1:10" ht="13.2">
      <c r="A7294" s="7">
        <v>7293</v>
      </c>
      <c r="B7294" s="7">
        <v>1</v>
      </c>
      <c r="C7294" s="7" t="s">
        <v>10</v>
      </c>
      <c r="D7294" s="7">
        <v>6659</v>
      </c>
      <c r="E7294" s="7" t="s">
        <v>35</v>
      </c>
      <c r="F7294" s="8" t="str">
        <f ca="1">IFERROR(__xludf.DUMMYFUNCTION("IF
(
C7295=""фізична особа""
,
VLOOKUP(D7295,IMPORTRANGE(""https://docs.google.com/spreadsheets/d/14Bd19lYaqBhU8_DElYkX7l4wRkHqqCUFNJY4AfY3kHU/edit?usp=sharing  #gid=0"",""фіз особи new!relations_name""),6,FALSE)
,
(IF
(
C7295=""юридична особа""
,
VLOOKUP"&amp;"(D7295,IMPORTRANGE(""https://docs.google.com/spreadsheets/d/14Bd19lYaqBhU8_DElYkX7l4wRkHqqCUFNJY4AfY3kHU/edit?usp=sharing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4" s="7" t="s">
        <v>10</v>
      </c>
      <c r="H7294" s="7">
        <v>6647</v>
      </c>
      <c r="I7294" s="8" t="str">
        <f ca="1">IFERROR(__xludf.DUMMYFUNCTION("IF
(
G7295=""фізична особа""
,
VLOOKUP(H7295,IMPORTRANGE(""https://docs.google.com/spreadsheets/d/14Bd19lYaqBhU8_DElYkX7l4wRkHqqCUFNJY4AfY3kHU/edit?usp=sharing  #gid=0"",""фіз особи new!relations_name""),6,FALSE)
,
(IF
(
G7295=""юридична особа""
,
VLOOKUP"&amp;"(H7295,IMPORTRANGE(""https://docs.google.com/spreadsheets/d/14Bd19lYaqBhU8_DElYkX7l4wRkHqqCUFNJY4AfY3kHU/edit?usp=sharing  #gid=0"",""фіз особи new!relations_name_uo""),7,FALSE)
,
)
))"),"БИЧКОВ Андрій Павлович")</f>
        <v>БИЧКОВ Андрій Павлович</v>
      </c>
      <c r="J7294" s="7" t="s">
        <v>35</v>
      </c>
    </row>
    <row r="7295" spans="1:10" ht="13.2">
      <c r="A7295" s="7">
        <v>7294</v>
      </c>
      <c r="B7295" s="7">
        <v>1</v>
      </c>
      <c r="C7295" s="7" t="s">
        <v>10</v>
      </c>
      <c r="D7295" s="7">
        <v>6659</v>
      </c>
      <c r="E7295" s="7" t="s">
        <v>35</v>
      </c>
      <c r="F7295" s="8" t="str">
        <f ca="1">IFERROR(__xludf.DUMMYFUNCTION("IF
(
C7296=""фізична особа""
,
VLOOKUP(D7296,IMPORTRANGE(""https://docs.google.com/spreadsheets/d/14Bd19lYaqBhU8_DElYkX7l4wRkHqqCUFNJY4AfY3kHU/edit?usp=sharing  #gid=0"",""фіз особи new!relations_name""),6,FALSE)
,
(IF
(
C7296=""юридична особа""
,
VLOOKUP"&amp;"(D7296,IMPORTRANGE(""https://docs.google.com/spreadsheets/d/14Bd19lYaqBhU8_DElYkX7l4wRkHqqCUFNJY4AfY3kHU/edit?usp=sharing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5" s="7" t="s">
        <v>10</v>
      </c>
      <c r="H7295" s="7">
        <v>6652</v>
      </c>
      <c r="I7295" s="8" t="str">
        <f ca="1">IFERROR(__xludf.DUMMYFUNCTION("IF
(
G7296=""фізична особа""
,
VLOOKUP(H7296,IMPORTRANGE(""https://docs.google.com/spreadsheets/d/14Bd19lYaqBhU8_DElYkX7l4wRkHqqCUFNJY4AfY3kHU/edit?usp=sharing  #gid=0"",""фіз особи new!relations_name""),6,FALSE)
,
(IF
(
G7296=""юридична особа""
,
VLOOKUP"&amp;"(H7296,IMPORTRANGE(""https://docs.google.com/spreadsheets/d/14Bd19lYaqBhU8_DElYkX7l4wRkHqqCUFNJY4AfY3kHU/edit?usp=sharing  #gid=0"",""фіз особи new!relations_name_uo""),7,FALSE)
,
)
))"),"ФІЛІМОНЕНОК Павло Володимирович")</f>
        <v>ФІЛІМОНЕНОК Павло Володимирович</v>
      </c>
      <c r="J7295" s="7" t="s">
        <v>35</v>
      </c>
    </row>
    <row r="7296" spans="1:10" ht="13.2">
      <c r="A7296" s="7">
        <v>7295</v>
      </c>
      <c r="B7296" s="7">
        <v>1</v>
      </c>
      <c r="C7296" s="7" t="s">
        <v>10</v>
      </c>
      <c r="D7296" s="7">
        <v>6659</v>
      </c>
      <c r="E7296" s="7" t="s">
        <v>35</v>
      </c>
      <c r="F7296" s="8" t="str">
        <f ca="1">IFERROR(__xludf.DUMMYFUNCTION("IF
(
C7297=""фізична особа""
,
VLOOKUP(D7297,IMPORTRANGE(""https://docs.google.com/spreadsheets/d/14Bd19lYaqBhU8_DElYkX7l4wRkHqqCUFNJY4AfY3kHU/edit?usp=sharing  #gid=0"",""фіз особи new!relations_name""),6,FALSE)
,
(IF
(
C7297=""юридична особа""
,
VLOOKUP"&amp;"(D7297,IMPORTRANGE(""https://docs.google.com/spreadsheets/d/14Bd19lYaqBhU8_DElYkX7l4wRkHqqCUFNJY4AfY3kHU/edit?usp=sharing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6" s="7" t="s">
        <v>10</v>
      </c>
      <c r="H7296" s="7">
        <v>6655</v>
      </c>
      <c r="I7296" s="8" t="str">
        <f ca="1">IFERROR(__xludf.DUMMYFUNCTION("IF
(
G7297=""фізична особа""
,
VLOOKUP(H7297,IMPORTRANGE(""https://docs.google.com/spreadsheets/d/14Bd19lYaqBhU8_DElYkX7l4wRkHqqCUFNJY4AfY3kHU/edit?usp=sharing  #gid=0"",""фіз особи new!relations_name""),6,FALSE)
,
(IF
(
G7297=""юридична особа""
,
VLOOKUP"&amp;"(H7297,IMPORTRANGE(""https://docs.google.com/spreadsheets/d/14Bd19lYaqBhU8_DElYkX7l4wRkHqqCUFNJY4AfY3kHU/edit?usp=sharing  #gid=0"",""фіз особи new!relations_name_uo""),7,FALSE)
,
)
))"),"КУЗНЕЦОВ Кирило Сергійович")</f>
        <v>КУЗНЕЦОВ Кирило Сергійович</v>
      </c>
      <c r="J7296" s="7" t="s">
        <v>35</v>
      </c>
    </row>
    <row r="7297" spans="1:10" ht="13.2">
      <c r="A7297" s="7">
        <v>7296</v>
      </c>
      <c r="B7297" s="7">
        <v>1</v>
      </c>
      <c r="C7297" s="7" t="s">
        <v>10</v>
      </c>
      <c r="D7297" s="7">
        <v>6659</v>
      </c>
      <c r="E7297" s="7" t="s">
        <v>35</v>
      </c>
      <c r="F7297" s="8" t="str">
        <f ca="1">IFERROR(__xludf.DUMMYFUNCTION("IF
(
C7298=""фізична особа""
,
VLOOKUP(D7298,IMPORTRANGE(""https://docs.google.com/spreadsheets/d/14Bd19lYaqBhU8_DElYkX7l4wRkHqqCUFNJY4AfY3kHU/edit?usp=sharing  #gid=0"",""фіз особи new!relations_name""),6,FALSE)
,
(IF
(
C7298=""юридична особа""
,
VLOOKUP"&amp;"(D7298,IMPORTRANGE(""https://docs.google.com/spreadsheets/d/14Bd19lYaqBhU8_DElYkX7l4wRkHqqCUFNJY4AfY3kHU/edit?usp=sharing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7" s="7" t="s">
        <v>10</v>
      </c>
      <c r="H7297" s="7">
        <v>6656</v>
      </c>
      <c r="I7297" s="8" t="str">
        <f ca="1">IFERROR(__xludf.DUMMYFUNCTION("IF
(
G7298=""фізична особа""
,
VLOOKUP(H7298,IMPORTRANGE(""https://docs.google.com/spreadsheets/d/14Bd19lYaqBhU8_DElYkX7l4wRkHqqCUFNJY4AfY3kHU/edit?usp=sharing  #gid=0"",""фіз особи new!relations_name""),6,FALSE)
,
(IF
(
G7298=""юридична особа""
,
VLOOKUP"&amp;"(H7298,IMPORTRANGE(""https://docs.google.com/spreadsheets/d/14Bd19lYaqBhU8_DElYkX7l4wRkHqqCUFNJY4AfY3kHU/edit?usp=sharing  #gid=0"",""фіз особи new!relations_name_uo""),7,FALSE)
,
)
))"),"ЛЕВІН Юрій Генріхович")</f>
        <v>ЛЕВІН Юрій Генріхович</v>
      </c>
      <c r="J7297" s="7" t="s">
        <v>35</v>
      </c>
    </row>
    <row r="7298" spans="1:10" ht="13.2">
      <c r="A7298" s="7">
        <v>7297</v>
      </c>
      <c r="B7298" s="7">
        <v>1</v>
      </c>
      <c r="C7298" s="7" t="s">
        <v>10</v>
      </c>
      <c r="D7298" s="7">
        <v>6659</v>
      </c>
      <c r="E7298" s="7" t="s">
        <v>35</v>
      </c>
      <c r="F7298" s="8" t="str">
        <f ca="1">IFERROR(__xludf.DUMMYFUNCTION("IF
(
C7299=""фізична особа""
,
VLOOKUP(D7299,IMPORTRANGE(""https://docs.google.com/spreadsheets/d/14Bd19lYaqBhU8_DElYkX7l4wRkHqqCUFNJY4AfY3kHU/edit?usp=sharing  #gid=0"",""фіз особи new!relations_name""),6,FALSE)
,
(IF
(
C7299=""юридична особа""
,
VLOOKUP"&amp;"(D7299,IMPORTRANGE(""https://docs.google.com/spreadsheets/d/14Bd19lYaqBhU8_DElYkX7l4wRkHqqCUFNJY4AfY3kHU/edit?usp=sharing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8" s="7" t="s">
        <v>10</v>
      </c>
      <c r="H7298" s="7">
        <v>6651</v>
      </c>
      <c r="I7298" s="8" t="str">
        <f ca="1">IFERROR(__xludf.DUMMYFUNCTION("IF
(
G7299=""фізична особа""
,
VLOOKUP(H7299,IMPORTRANGE(""https://docs.google.com/spreadsheets/d/14Bd19lYaqBhU8_DElYkX7l4wRkHqqCUFNJY4AfY3kHU/edit?usp=sharing  #gid=0"",""фіз особи new!relations_name""),6,FALSE)
,
(IF
(
G7299=""юридична особа""
,
VLOOKUP"&amp;"(H7299,IMPORTRANGE(""https://docs.google.com/spreadsheets/d/14Bd19lYaqBhU8_DElYkX7l4wRkHqqCUFNJY4AfY3kHU/edit?usp=sharing  #gid=0"",""фіз особи new!relations_name_uo""),7,FALSE)
,
)
))"),"МИРОНОВА Христина Борисівна")</f>
        <v>МИРОНОВА Христина Борисівна</v>
      </c>
      <c r="J7298" s="7" t="s">
        <v>35</v>
      </c>
    </row>
    <row r="7299" spans="1:10" ht="13.2">
      <c r="A7299" s="7">
        <v>7298</v>
      </c>
      <c r="B7299" s="7">
        <v>1</v>
      </c>
      <c r="C7299" s="7" t="s">
        <v>10</v>
      </c>
      <c r="D7299" s="7">
        <v>6659</v>
      </c>
      <c r="E7299" s="7" t="s">
        <v>28</v>
      </c>
      <c r="F7299" s="8" t="str">
        <f ca="1">IFERROR(__xludf.DUMMYFUNCTION("IF
(
C7300=""фізична особа""
,
VLOOKUP(D7300,IMPORTRANGE(""https://docs.google.com/spreadsheets/d/14Bd19lYaqBhU8_DElYkX7l4wRkHqqCUFNJY4AfY3kHU/edit?usp=sharing  #gid=0"",""фіз особи new!relations_name""),6,FALSE)
,
(IF
(
C7300=""юридична особа""
,
VLOOKUP"&amp;"(D7300,IMPORTRANGE(""https://docs.google.com/spreadsheets/d/14Bd19lYaqBhU8_DElYkX7l4wRkHqqCUFNJY4AfY3kHU/edit?usp=sharing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299" s="7" t="s">
        <v>10</v>
      </c>
      <c r="H7299" s="7">
        <v>6645</v>
      </c>
      <c r="I7299" s="8" t="str">
        <f ca="1">IFERROR(__xludf.DUMMYFUNCTION("IF
(
G7300=""фізична особа""
,
VLOOKUP(H7300,IMPORTRANGE(""https://docs.google.com/spreadsheets/d/14Bd19lYaqBhU8_DElYkX7l4wRkHqqCUFNJY4AfY3kHU/edit?usp=sharing  #gid=0"",""фіз особи new!relations_name""),6,FALSE)
,
(IF
(
G7300=""юридична особа""
,
VLOOKUP"&amp;"(H7300,IMPORTRANGE(""https://docs.google.com/spreadsheets/d/14Bd19lYaqBhU8_DElYkX7l4wRkHqqCUFNJY4AfY3kHU/edit?usp=sharing  #gid=0"",""фіз особи new!relations_name_uo""),7,FALSE)
,
)
))"),"САВЕЛЬЄВ Олександр Васильович")</f>
        <v>САВЕЛЬЄВ Олександр Васильович</v>
      </c>
      <c r="J7299" s="7" t="s">
        <v>29</v>
      </c>
    </row>
    <row r="7300" spans="1:10" ht="13.2">
      <c r="A7300" s="7">
        <v>7299</v>
      </c>
      <c r="B7300" s="7">
        <v>1</v>
      </c>
      <c r="C7300" s="7" t="s">
        <v>10</v>
      </c>
      <c r="D7300" s="7">
        <v>6659</v>
      </c>
      <c r="E7300" s="7" t="s">
        <v>35</v>
      </c>
      <c r="F7300" s="8" t="str">
        <f ca="1">IFERROR(__xludf.DUMMYFUNCTION("IF
(
C7301=""фізична особа""
,
VLOOKUP(D7301,IMPORTRANGE(""https://docs.google.com/spreadsheets/d/14Bd19lYaqBhU8_DElYkX7l4wRkHqqCUFNJY4AfY3kHU/edit?usp=sharing  #gid=0"",""фіз особи new!relations_name""),6,FALSE)
,
(IF
(
C7301=""юридична особа""
,
VLOOKUP"&amp;"(D7301,IMPORTRANGE(""https://docs.google.com/spreadsheets/d/14Bd19lYaqBhU8_DElYkX7l4wRkHqqCUFNJY4AfY3kHU/edit?usp=sharing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300" s="7" t="s">
        <v>10</v>
      </c>
      <c r="H7300" s="7">
        <v>6653</v>
      </c>
      <c r="I7300" s="8" t="str">
        <f ca="1">IFERROR(__xludf.DUMMYFUNCTION("IF
(
G7301=""фізична особа""
,
VLOOKUP(H7301,IMPORTRANGE(""https://docs.google.com/spreadsheets/d/14Bd19lYaqBhU8_DElYkX7l4wRkHqqCUFNJY4AfY3kHU/edit?usp=sharing  #gid=0"",""фіз особи new!relations_name""),6,FALSE)
,
(IF
(
G7301=""юридична особа""
,
VLOOKUP"&amp;"(H7301,IMPORTRANGE(""https://docs.google.com/spreadsheets/d/14Bd19lYaqBhU8_DElYkX7l4wRkHqqCUFNJY4AfY3kHU/edit?usp=sharing  #gid=0"",""фіз особи new!relations_name_uo""),7,FALSE)
,
)
))"),"ЗВЬОЗДОЧКІН АНдрій Михайлович")</f>
        <v>ЗВЬОЗДОЧКІН АНдрій Михайлович</v>
      </c>
      <c r="J7300" s="7" t="s">
        <v>35</v>
      </c>
    </row>
    <row r="7301" spans="1:10" ht="13.2">
      <c r="A7301" s="7">
        <v>7300</v>
      </c>
      <c r="B7301" s="7">
        <v>1</v>
      </c>
      <c r="C7301" s="7" t="s">
        <v>10</v>
      </c>
      <c r="D7301" s="7">
        <v>6659</v>
      </c>
      <c r="E7301" s="7" t="s">
        <v>35</v>
      </c>
      <c r="F7301" s="8" t="str">
        <f ca="1">IFERROR(__xludf.DUMMYFUNCTION("IF
(
C7302=""фізична особа""
,
VLOOKUP(D7302,IMPORTRANGE(""https://docs.google.com/spreadsheets/d/14Bd19lYaqBhU8_DElYkX7l4wRkHqqCUFNJY4AfY3kHU/edit?usp=sharing  #gid=0"",""фіз особи new!relations_name""),6,FALSE)
,
(IF
(
C7302=""юридична особа""
,
VLOOKUP"&amp;"(D7302,IMPORTRANGE(""https://docs.google.com/spreadsheets/d/14Bd19lYaqBhU8_DElYkX7l4wRkHqqCUFNJY4AfY3kHU/edit?usp=sharing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301" s="7" t="s">
        <v>10</v>
      </c>
      <c r="H7301" s="7">
        <v>6654</v>
      </c>
      <c r="I7301" s="8" t="str">
        <f ca="1">IFERROR(__xludf.DUMMYFUNCTION("IF
(
G7302=""фізична особа""
,
VLOOKUP(H7302,IMPORTRANGE(""https://docs.google.com/spreadsheets/d/14Bd19lYaqBhU8_DElYkX7l4wRkHqqCUFNJY4AfY3kHU/edit?usp=sharing  #gid=0"",""фіз особи new!relations_name""),6,FALSE)
,
(IF
(
G7302=""юридична особа""
,
VLOOKUP"&amp;"(H7302,IMPORTRANGE(""https://docs.google.com/spreadsheets/d/14Bd19lYaqBhU8_DElYkX7l4wRkHqqCUFNJY4AfY3kHU/edit?usp=sharing  #gid=0"",""фіз особи new!relations_name_uo""),7,FALSE)
,
)
))"),"ЄРМОЛІН Вячеслав Якович")</f>
        <v>ЄРМОЛІН Вячеслав Якович</v>
      </c>
      <c r="J7301" s="7" t="s">
        <v>35</v>
      </c>
    </row>
    <row r="7302" spans="1:10" ht="13.2">
      <c r="A7302" s="7">
        <v>7301</v>
      </c>
      <c r="B7302" s="7">
        <v>1</v>
      </c>
      <c r="C7302" s="7" t="s">
        <v>10</v>
      </c>
      <c r="D7302" s="7">
        <v>6659</v>
      </c>
      <c r="E7302" s="7" t="s">
        <v>35</v>
      </c>
      <c r="F7302" s="8" t="str">
        <f ca="1">IFERROR(__xludf.DUMMYFUNCTION("IF
(
C7303=""фізична особа""
,
VLOOKUP(D7303,IMPORTRANGE(""https://docs.google.com/spreadsheets/d/14Bd19lYaqBhU8_DElYkX7l4wRkHqqCUFNJY4AfY3kHU/edit?usp=sharing  #gid=0"",""фіз особи new!relations_name""),6,FALSE)
,
(IF
(
C7303=""юридична особа""
,
VLOOKUP"&amp;"(D7303,IMPORTRANGE(""https://docs.google.com/spreadsheets/d/14Bd19lYaqBhU8_DElYkX7l4wRkHqqCUFNJY4AfY3kHU/edit?usp=sharing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302" s="7" t="s">
        <v>10</v>
      </c>
      <c r="H7302" s="7">
        <v>6650</v>
      </c>
      <c r="I7302" s="8" t="str">
        <f ca="1">IFERROR(__xludf.DUMMYFUNCTION("IF
(
G7303=""фізична особа""
,
VLOOKUP(H7303,IMPORTRANGE(""https://docs.google.com/spreadsheets/d/14Bd19lYaqBhU8_DElYkX7l4wRkHqqCUFNJY4AfY3kHU/edit?usp=sharing  #gid=0"",""фіз особи new!relations_name""),6,FALSE)
,
(IF
(
G7303=""юридична особа""
,
VLOOKUP"&amp;"(H7303,IMPORTRANGE(""https://docs.google.com/spreadsheets/d/14Bd19lYaqBhU8_DElYkX7l4wRkHqqCUFNJY4AfY3kHU/edit?usp=sharing  #gid=0"",""фіз особи new!relations_name_uo""),7,FALSE)
,
)
))"),"ІВАННІКОВА Олена Вікторівна")</f>
        <v>ІВАННІКОВА Олена Вікторівна</v>
      </c>
      <c r="J7302" s="7" t="s">
        <v>35</v>
      </c>
    </row>
    <row r="7303" spans="1:10" ht="13.2">
      <c r="A7303" s="7">
        <v>7302</v>
      </c>
      <c r="B7303" s="7">
        <v>1</v>
      </c>
      <c r="C7303" s="7" t="s">
        <v>10</v>
      </c>
      <c r="D7303" s="7">
        <v>6659</v>
      </c>
      <c r="E7303" s="7" t="s">
        <v>28</v>
      </c>
      <c r="F7303" s="8" t="str">
        <f ca="1">IFERROR(__xludf.DUMMYFUNCTION("IF
(
C7304=""фізична особа""
,
VLOOKUP(D7304,IMPORTRANGE(""https://docs.google.com/spreadsheets/d/14Bd19lYaqBhU8_DElYkX7l4wRkHqqCUFNJY4AfY3kHU/edit?usp=sharing  #gid=0"",""фіз особи new!relations_name""),6,FALSE)
,
(IF
(
C7304=""юридична особа""
,
VLOOKUP"&amp;"(D7304,IMPORTRANGE(""https://docs.google.com/spreadsheets/d/14Bd19lYaqBhU8_DElYkX7l4wRkHqqCUFNJY4AfY3kHU/edit?usp=sharing  #gid=0"",""фіз особи new!relations_name_uo""),7,FALSE)
,
)
))"),"БЕЛІВСКІС Гунтис")</f>
        <v>БЕЛІВСКІС Гунтис</v>
      </c>
      <c r="G7303" s="7" t="s">
        <v>10</v>
      </c>
      <c r="H7303" s="7">
        <v>6657</v>
      </c>
      <c r="I7303" s="8" t="str">
        <f ca="1">IFERROR(__xludf.DUMMYFUNCTION("IF
(
G7304=""фізична особа""
,
VLOOKUP(H7304,IMPORTRANGE(""https://docs.google.com/spreadsheets/d/14Bd19lYaqBhU8_DElYkX7l4wRkHqqCUFNJY4AfY3kHU/edit?usp=sharing  #gid=0"",""фіз особи new!relations_name""),6,FALSE)
,
(IF
(
G7304=""юридична особа""
,
VLOOKUP"&amp;"(H7304,IMPORTRANGE(""https://docs.google.com/spreadsheets/d/14Bd19lYaqBhU8_DElYkX7l4wRkHqqCUFNJY4AfY3kHU/edit?usp=sharing  #gid=0"",""фіз особи new!relations_name_uo""),7,FALSE)
,
)
))"),"ТЕПЛОУХОВ Олексій Олександрович")</f>
        <v>ТЕПЛОУХОВ Олексій Олександрович</v>
      </c>
      <c r="J7303" s="7" t="s">
        <v>29</v>
      </c>
    </row>
    <row r="7304" spans="1:10" ht="13.2">
      <c r="A7304" s="7">
        <v>7303</v>
      </c>
      <c r="B7304" s="7">
        <v>1</v>
      </c>
      <c r="C7304" s="7" t="s">
        <v>10</v>
      </c>
      <c r="D7304" s="7">
        <v>6660</v>
      </c>
      <c r="E7304" s="7" t="s">
        <v>23</v>
      </c>
      <c r="F7304" s="8" t="str">
        <f ca="1">IFERROR(__xludf.DUMMYFUNCTION("IF
(
C7305=""фізична особа""
,
VLOOKUP(D7305,IMPORTRANGE(""https://docs.google.com/spreadsheets/d/14Bd19lYaqBhU8_DElYkX7l4wRkHqqCUFNJY4AfY3kHU/edit?usp=sharing  #gid=0"",""фіз особи new!relations_name""),6,FALSE)
,
(IF
(
C7305=""юридична особа""
,
VLOOKUP"&amp;"(D7305,IMPORTRANGE(""https://docs.google.com/spreadsheets/d/14Bd19lYaqBhU8_DElYkX7l4wRkHqqCUFNJY4AfY3kHU/edit?usp=sharing  #gid=0"",""фіз особи new!relations_name_uo""),7,FALSE)
,
)
))"),"ГУМЕРОВ Денис Альбертович")</f>
        <v>ГУМЕРОВ Денис Альбертович</v>
      </c>
      <c r="G7304" s="7" t="s">
        <v>10</v>
      </c>
      <c r="H7304" s="7">
        <v>6662</v>
      </c>
      <c r="I7304" s="8" t="str">
        <f ca="1">IFERROR(__xludf.DUMMYFUNCTION("IF
(
G7305=""фізична особа""
,
VLOOKUP(H7305,IMPORTRANGE(""https://docs.google.com/spreadsheets/d/14Bd19lYaqBhU8_DElYkX7l4wRkHqqCUFNJY4AfY3kHU/edit?usp=sharing  #gid=0"",""фіз особи new!relations_name""),6,FALSE)
,
(IF
(
G7305=""юридична особа""
,
VLOOKUP"&amp;"(H7305,IMPORTRANGE(""https://docs.google.com/spreadsheets/d/14Bd19lYaqBhU8_DElYkX7l4wRkHqqCUFNJY4AfY3kHU/edit?usp=sharing  #gid=0"",""фіз особи new!relations_name_uo""),7,FALSE)
,
)
))"),"НІКІШЕВ Юрій Юрійович")</f>
        <v>НІКІШЕВ Юрій Юрійович</v>
      </c>
      <c r="J7304" s="7" t="s">
        <v>23</v>
      </c>
    </row>
    <row r="7305" spans="1:10" ht="13.2">
      <c r="A7305" s="7">
        <v>7304</v>
      </c>
      <c r="B7305" s="7">
        <v>1</v>
      </c>
      <c r="C7305" s="7" t="s">
        <v>10</v>
      </c>
      <c r="D7305" s="7">
        <v>6663</v>
      </c>
      <c r="E7305" s="7" t="s">
        <v>15</v>
      </c>
      <c r="F7305" s="8" t="str">
        <f ca="1">IFERROR(__xludf.DUMMYFUNCTION("IF
(
C7306=""фізична особа""
,
VLOOKUP(D7306,IMPORTRANGE(""https://docs.google.com/spreadsheets/d/14Bd19lYaqBhU8_DElYkX7l4wRkHqqCUFNJY4AfY3kHU/edit?usp=sharing  #gid=0"",""фіз особи new!relations_name""),6,FALSE)
,
(IF
(
C7306=""юридична особа""
,
VLOOKUP"&amp;"(D7306,IMPORTRANGE(""https://docs.google.com/spreadsheets/d/14Bd19lYaqBhU8_DElYkX7l4wRkHqqCUFNJY4AfY3kHU/edit?usp=sharing  #gid=0"",""фіз особи new!relations_name_uo""),7,FALSE)
,
)
))"),"ЄВТУШЕНКОВА / БАТУРІНА Наталія Миколаївна")</f>
        <v>ЄВТУШЕНКОВА / БАТУРІНА Наталія Миколаївна</v>
      </c>
      <c r="G7305" s="7" t="s">
        <v>10</v>
      </c>
      <c r="H7305" s="7">
        <v>2090</v>
      </c>
      <c r="I7305" s="8" t="str">
        <f ca="1">IFERROR(__xludf.DUMMYFUNCTION("IF
(
G7306=""фізична особа""
,
VLOOKUP(H7306,IMPORTRANGE(""https://docs.google.com/spreadsheets/d/14Bd19lYaqBhU8_DElYkX7l4wRkHqqCUFNJY4AfY3kHU/edit?usp=sharing  #gid=0"",""фіз особи new!relations_name""),6,FALSE)
,
(IF
(
G7306=""юридична особа""
,
VLOOKUP"&amp;"(H7306,IMPORTRANGE(""https://docs.google.com/spreadsheets/d/14Bd19lYaqBhU8_DElYkX7l4wRkHqqCUFNJY4AfY3kHU/edit?usp=sharing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7305" s="7" t="s">
        <v>14</v>
      </c>
    </row>
    <row r="7306" spans="1:10" ht="13.2">
      <c r="A7306" s="7">
        <v>7305</v>
      </c>
      <c r="B7306" s="7">
        <v>1</v>
      </c>
      <c r="C7306" s="7" t="s">
        <v>10</v>
      </c>
      <c r="D7306" s="7">
        <v>6666</v>
      </c>
      <c r="E7306" s="7" t="s">
        <v>23</v>
      </c>
      <c r="F7306" s="8" t="str">
        <f ca="1">IFERROR(__xludf.DUMMYFUNCTION("IF
(
C7307=""фізична особа""
,
VLOOKUP(D7307,IMPORTRANGE(""https://docs.google.com/spreadsheets/d/14Bd19lYaqBhU8_DElYkX7l4wRkHqqCUFNJY4AfY3kHU/edit?usp=sharing  #gid=0"",""фіз особи new!relations_name""),6,FALSE)
,
(IF
(
C7307=""юридична особа""
,
VLOOKUP"&amp;"(D7307,IMPORTRANGE(""https://docs.google.com/spreadsheets/d/14Bd19lYaqBhU8_DElYkX7l4wRkHqqCUFNJY4AfY3kHU/edit?usp=sharing  #gid=0"",""фіз особи new!relations_name_uo""),7,FALSE)
,
)
))"),"ГОРБУНОВ Олександр Євгенійович")</f>
        <v>ГОРБУНОВ Олександр Євгенійович</v>
      </c>
      <c r="G7306" s="7" t="s">
        <v>10</v>
      </c>
      <c r="H7306" s="7">
        <v>6665</v>
      </c>
      <c r="I7306" s="8" t="str">
        <f ca="1">IFERROR(__xludf.DUMMYFUNCTION("IF
(
G7307=""фізична особа""
,
VLOOKUP(H7307,IMPORTRANGE(""https://docs.google.com/spreadsheets/d/14Bd19lYaqBhU8_DElYkX7l4wRkHqqCUFNJY4AfY3kHU/edit?usp=sharing  #gid=0"",""фіз особи new!relations_name""),6,FALSE)
,
(IF
(
G7307=""юридична особа""
,
VLOOKUP"&amp;"(H7307,IMPORTRANGE(""https://docs.google.com/spreadsheets/d/14Bd19lYaqBhU8_DElYkX7l4wRkHqqCUFNJY4AfY3kHU/edit?usp=sharing  #gid=0"",""фіз особи new!relations_name_uo""),7,FALSE)
,
)
))"),"РОЗАНОВ Всеволод Валерійович")</f>
        <v>РОЗАНОВ Всеволод Валерійович</v>
      </c>
      <c r="J7306" s="7" t="s">
        <v>23</v>
      </c>
    </row>
    <row r="7307" spans="1:10" ht="13.2">
      <c r="A7307" s="7">
        <v>7306</v>
      </c>
      <c r="B7307" s="7">
        <v>1</v>
      </c>
      <c r="C7307" s="7" t="s">
        <v>10</v>
      </c>
      <c r="D7307" s="7">
        <v>6670</v>
      </c>
      <c r="E7307" s="7" t="s">
        <v>23</v>
      </c>
      <c r="F7307" s="8" t="str">
        <f ca="1">IFERROR(__xludf.DUMMYFUNCTION("IF
(
C7308=""фізична особа""
,
VLOOKUP(D7308,IMPORTRANGE(""https://docs.google.com/spreadsheets/d/14Bd19lYaqBhU8_DElYkX7l4wRkHqqCUFNJY4AfY3kHU/edit?usp=sharing  #gid=0"",""фіз особи new!relations_name""),6,FALSE)
,
(IF
(
C7308=""юридична особа""
,
VLOOKUP"&amp;"(D7308,IMPORTRANGE(""https://docs.google.com/spreadsheets/d/14Bd19lYaqBhU8_DElYkX7l4wRkHqqCUFNJY4AfY3kHU/edit?usp=sharing  #gid=0"",""фіз особи new!relations_name_uo""),7,FALSE)
,
)
))"),"НІКОЛАЄВ Вячеслав Костянтинович")</f>
        <v>НІКОЛАЄВ Вячеслав Костянтинович</v>
      </c>
      <c r="G7307" s="7" t="s">
        <v>10</v>
      </c>
      <c r="H7307" s="7">
        <v>6665</v>
      </c>
      <c r="I7307" s="8" t="str">
        <f ca="1">IFERROR(__xludf.DUMMYFUNCTION("IF
(
G7308=""фізична особа""
,
VLOOKUP(H7308,IMPORTRANGE(""https://docs.google.com/spreadsheets/d/14Bd19lYaqBhU8_DElYkX7l4wRkHqqCUFNJY4AfY3kHU/edit?usp=sharing  #gid=0"",""фіз особи new!relations_name""),6,FALSE)
,
(IF
(
G7308=""юридична особа""
,
VLOOKUP"&amp;"(H7308,IMPORTRANGE(""https://docs.google.com/spreadsheets/d/14Bd19lYaqBhU8_DElYkX7l4wRkHqqCUFNJY4AfY3kHU/edit?usp=sharing  #gid=0"",""фіз особи new!relations_name_uo""),7,FALSE)
,
)
))"),"РОЗАНОВ Всеволод Валерійович")</f>
        <v>РОЗАНОВ Всеволод Валерійович</v>
      </c>
      <c r="J7307" s="7" t="s">
        <v>23</v>
      </c>
    </row>
    <row r="7308" spans="1:10" ht="13.2">
      <c r="A7308" s="7">
        <v>7307</v>
      </c>
      <c r="B7308" s="7">
        <v>1</v>
      </c>
      <c r="C7308" s="7" t="s">
        <v>10</v>
      </c>
      <c r="D7308" s="7">
        <v>6672</v>
      </c>
      <c r="E7308" s="7" t="s">
        <v>23</v>
      </c>
      <c r="F7308" s="8" t="str">
        <f ca="1">IFERROR(__xludf.DUMMYFUNCTION("IF
(
C7309=""фізична особа""
,
VLOOKUP(D7309,IMPORTRANGE(""https://docs.google.com/spreadsheets/d/14Bd19lYaqBhU8_DElYkX7l4wRkHqqCUFNJY4AfY3kHU/edit?usp=sharing  #gid=0"",""фіз особи new!relations_name""),6,FALSE)
,
(IF
(
C7309=""юридична особа""
,
VLOOKUP"&amp;"(D7309,IMPORTRANGE(""https://docs.google.com/spreadsheets/d/14Bd19lYaqBhU8_DElYkX7l4wRkHqqCUFNJY4AfY3kHU/edit?usp=sharing  #gid=0"",""фіз особи new!relations_name_uo""),7,FALSE)
,
)
))"),"ІССОПОВ Едуард Олександрович")</f>
        <v>ІССОПОВ Едуард Олександрович</v>
      </c>
      <c r="G7308" s="7" t="s">
        <v>10</v>
      </c>
      <c r="H7308" s="7">
        <v>6671</v>
      </c>
      <c r="I7308" s="8" t="str">
        <f ca="1">IFERROR(__xludf.DUMMYFUNCTION("IF
(
G7309=""фізична особа""
,
VLOOKUP(H7309,IMPORTRANGE(""https://docs.google.com/spreadsheets/d/14Bd19lYaqBhU8_DElYkX7l4wRkHqqCUFNJY4AfY3kHU/edit?usp=sharing  #gid=0"",""фіз особи new!relations_name""),6,FALSE)
,
(IF
(
G7309=""юридична особа""
,
VLOOKUP"&amp;"(H7309,IMPORTRANGE(""https://docs.google.com/spreadsheets/d/14Bd19lYaqBhU8_DElYkX7l4wRkHqqCUFNJY4AfY3kHU/edit?usp=sharing  #gid=0"",""фіз особи new!relations_name_uo""),7,FALSE)
,
)
))"),"ФІЛАТОВ Ілля Валентинович")</f>
        <v>ФІЛАТОВ Ілля Валентинович</v>
      </c>
      <c r="J7308" s="7" t="s">
        <v>23</v>
      </c>
    </row>
    <row r="7309" spans="1:10" ht="13.2">
      <c r="A7309" s="7">
        <v>7308</v>
      </c>
      <c r="B7309" s="7">
        <v>1</v>
      </c>
      <c r="C7309" s="7" t="s">
        <v>10</v>
      </c>
      <c r="D7309" s="7">
        <v>6698</v>
      </c>
      <c r="E7309" s="7" t="s">
        <v>14</v>
      </c>
      <c r="F7309" s="8" t="str">
        <f ca="1">IFERROR(__xludf.DUMMYFUNCTION("IF
(
C7310=""фізична особа""
,
VLOOKUP(D7310,IMPORTRANGE(""https://docs.google.com/spreadsheets/d/14Bd19lYaqBhU8_DElYkX7l4wRkHqqCUFNJY4AfY3kHU/edit?usp=sharing  #gid=0"",""фіз особи new!relations_name""),6,FALSE)
,
(IF
(
C7310=""юридична особа""
,
VLOOKUP"&amp;"(D7310,IMPORTRANGE(""https://docs.google.com/spreadsheets/d/14Bd19lYaqBhU8_DElYkX7l4wRkHqqCUFNJY4AfY3kHU/edit?usp=sharing  #gid=0"",""фіз особи new!relations_name_uo""),7,FALSE)
,
)
))"),"ПОНОМАРЬОВ Юрій Валентинович")</f>
        <v>ПОНОМАРЬОВ Юрій Валентинович</v>
      </c>
      <c r="G7309" s="7" t="s">
        <v>10</v>
      </c>
      <c r="H7309" s="7">
        <v>0</v>
      </c>
      <c r="I7309" s="8" t="str">
        <f ca="1">IFERROR(__xludf.DUMMYFUNCTION("IF
(
G7310=""фізична особа""
,
VLOOKUP(H7310,IMPORTRANGE(""https://docs.google.com/spreadsheets/d/14Bd19lYaqBhU8_DElYkX7l4wRkHqqCUFNJY4AfY3kHU/edit?usp=sharing  #gid=0"",""фіз особи new!relations_name""),6,FALSE)
,
(IF
(
G7310=""юридична особа""
,
VLOOKUP"&amp;"(H7310,IMPORTRANGE(""https://docs.google.com/spreadsheets/d/14Bd19lYaqBhU8_DElYkX7l4wRkHqqCUFNJY4AfY3kHU/edit?usp=sharing  #gid=0"",""фіз особи new!relations_name_uo""),7,FALSE)
,
)
))"),"#N/A")</f>
        <v>#N/A</v>
      </c>
      <c r="J7309" s="7" t="s">
        <v>15</v>
      </c>
    </row>
    <row r="7310" spans="1:10" ht="13.2">
      <c r="A7310" s="7">
        <v>7309</v>
      </c>
      <c r="B7310" s="7">
        <v>1</v>
      </c>
      <c r="C7310" s="7" t="s">
        <v>10</v>
      </c>
      <c r="D7310" s="7">
        <v>6829</v>
      </c>
      <c r="E7310" s="7" t="s">
        <v>14</v>
      </c>
      <c r="F7310" s="8" t="str">
        <f ca="1">IFERROR(__xludf.DUMMYFUNCTION("IF
(
C7311=""фізична особа""
,
VLOOKUP(D7311,IMPORTRANGE(""https://docs.google.com/spreadsheets/d/14Bd19lYaqBhU8_DElYkX7l4wRkHqqCUFNJY4AfY3kHU/edit?usp=sharing  #gid=0"",""фіз особи new!relations_name""),6,FALSE)
,
(IF
(
C7311=""юридична особа""
,
VLOOKUP"&amp;"(D7311,IMPORTRANGE(""https://docs.google.com/spreadsheets/d/14Bd19lYaqBhU8_DElYkX7l4wRkHqqCUFNJY4AfY3kHU/edit?usp=sharing  #gid=0"",""фіз особи new!relations_name_uo""),7,FALSE)
,
)
))"),"КІВАЧУК Сергій Кирилович")</f>
        <v>КІВАЧУК Сергій Кирилович</v>
      </c>
      <c r="G7310" s="7" t="s">
        <v>10</v>
      </c>
      <c r="H7310" s="7">
        <v>0</v>
      </c>
      <c r="I7310" s="8" t="str">
        <f ca="1">IFERROR(__xludf.DUMMYFUNCTION("IF
(
G7311=""фізична особа""
,
VLOOKUP(H7311,IMPORTRANGE(""https://docs.google.com/spreadsheets/d/14Bd19lYaqBhU8_DElYkX7l4wRkHqqCUFNJY4AfY3kHU/edit?usp=sharing  #gid=0"",""фіз особи new!relations_name""),6,FALSE)
,
(IF
(
G7311=""юридична особа""
,
VLOOKUP"&amp;"(H7311,IMPORTRANGE(""https://docs.google.com/spreadsheets/d/14Bd19lYaqBhU8_DElYkX7l4wRkHqqCUFNJY4AfY3kHU/edit?usp=sharing  #gid=0"",""фіз особи new!relations_name_uo""),7,FALSE)
,
)
))"),"#N/A")</f>
        <v>#N/A</v>
      </c>
      <c r="J7310" s="7" t="s">
        <v>15</v>
      </c>
    </row>
    <row r="7311" spans="1:10" ht="13.2">
      <c r="A7311" s="7">
        <v>7310</v>
      </c>
      <c r="B7311" s="7">
        <v>1</v>
      </c>
      <c r="C7311" s="7" t="s">
        <v>10</v>
      </c>
      <c r="D7311" s="7">
        <v>8231</v>
      </c>
      <c r="E7311" s="7" t="s">
        <v>17</v>
      </c>
      <c r="F7311" s="8" t="str">
        <f ca="1">IFERROR(__xludf.DUMMYFUNCTION("IF
(
C7312=""фізична особа""
,
VLOOKUP(D7312,IMPORTRANGE(""https://docs.google.com/spreadsheets/d/14Bd19lYaqBhU8_DElYkX7l4wRkHqqCUFNJY4AfY3kHU/edit?usp=sharing  #gid=0"",""фіз особи new!relations_name""),6,FALSE)
,
(IF
(
C7312=""юридична особа""
,
VLOOKUP"&amp;"(D7312,IMPORTRANGE(""https://docs.google.com/spreadsheets/d/14Bd19lYaqBhU8_DElYkX7l4wRkHqqCUFNJY4AfY3kHU/edit?usp=sharing  #gid=0"",""фіз особи new!relations_name_uo""),7,FALSE)
,
)
))"),"ЩЕРБАКОВ Сергій Володимирович")</f>
        <v>ЩЕРБАКОВ Сергій Володимирович</v>
      </c>
      <c r="G7311" s="7" t="s">
        <v>10</v>
      </c>
      <c r="H7311" s="7">
        <v>8232</v>
      </c>
      <c r="I7311" s="8" t="str">
        <f ca="1">IFERROR(__xludf.DUMMYFUNCTION("IF
(
G7312=""фізична особа""
,
VLOOKUP(H7312,IMPORTRANGE(""https://docs.google.com/spreadsheets/d/14Bd19lYaqBhU8_DElYkX7l4wRkHqqCUFNJY4AfY3kHU/edit?usp=sharing  #gid=0"",""фіз особи new!relations_name""),6,FALSE)
,
(IF
(
G7312=""юридична особа""
,
VLOOKUP"&amp;"(H7312,IMPORTRANGE(""https://docs.google.com/spreadsheets/d/14Bd19lYaqBhU8_DElYkX7l4wRkHqqCUFNJY4AfY3kHU/edit?usp=sharing  #gid=0"",""фіз особи new!relations_name_uo""),7,FALSE)
,
)
))"),"ЩЕРБАКОВ Володимир Іванович")</f>
        <v>ЩЕРБАКОВ Володимир Іванович</v>
      </c>
      <c r="J7311" s="7" t="s">
        <v>12</v>
      </c>
    </row>
    <row r="7312" spans="1:10" ht="13.2">
      <c r="A7312" s="7">
        <v>7311</v>
      </c>
      <c r="B7312" s="7">
        <v>1</v>
      </c>
      <c r="C7312" s="7" t="s">
        <v>10</v>
      </c>
      <c r="D7312" s="7">
        <v>8232</v>
      </c>
      <c r="E7312" s="7" t="s">
        <v>12</v>
      </c>
      <c r="F7312" s="8" t="str">
        <f ca="1">IFERROR(__xludf.DUMMYFUNCTION("IF
(
C7313=""фізична особа""
,
VLOOKUP(D7313,IMPORTRANGE(""https://docs.google.com/spreadsheets/d/14Bd19lYaqBhU8_DElYkX7l4wRkHqqCUFNJY4AfY3kHU/edit?usp=sharing  #gid=0"",""фіз особи new!relations_name""),6,FALSE)
,
(IF
(
C7313=""юридична особа""
,
VLOOKUP"&amp;"(D7313,IMPORTRANGE(""https://docs.google.com/spreadsheets/d/14Bd19lYaqBhU8_DElYkX7l4wRkHqqCUFNJY4AfY3kHU/edit?usp=sharing  #gid=0"",""фіз особи new!relations_name_uo""),7,FALSE)
,
)
))"),"ЩЕРБАКОВ Володимир Іванович")</f>
        <v>ЩЕРБАКОВ Володимир Іванович</v>
      </c>
      <c r="G7312" s="7" t="s">
        <v>10</v>
      </c>
      <c r="H7312" s="7">
        <v>8231</v>
      </c>
      <c r="I7312" s="8" t="str">
        <f ca="1">IFERROR(__xludf.DUMMYFUNCTION("IF
(
G7313=""фізична особа""
,
VLOOKUP(H7313,IMPORTRANGE(""https://docs.google.com/spreadsheets/d/14Bd19lYaqBhU8_DElYkX7l4wRkHqqCUFNJY4AfY3kHU/edit?usp=sharing  #gid=0"",""фіз особи new!relations_name""),6,FALSE)
,
(IF
(
G7313=""юридична особа""
,
VLOOKUP"&amp;"(H7313,IMPORTRANGE(""https://docs.google.com/spreadsheets/d/14Bd19lYaqBhU8_DElYkX7l4wRkHqqCUFNJY4AfY3kHU/edit?usp=sharing  #gid=0"",""фіз особи new!relations_name_uo""),7,FALSE)
,
)
))"),"ЩЕРБАКОВ Сергій Володимирович")</f>
        <v>ЩЕРБАКОВ Сергій Володимирович</v>
      </c>
      <c r="J7312" s="7" t="s">
        <v>17</v>
      </c>
    </row>
    <row r="7313" spans="1:10" ht="13.2">
      <c r="A7313" s="7">
        <v>7312</v>
      </c>
      <c r="B7313" s="7">
        <v>1</v>
      </c>
      <c r="C7313" s="7" t="s">
        <v>10</v>
      </c>
      <c r="D7313" s="7">
        <v>8236</v>
      </c>
      <c r="E7313" s="7" t="s">
        <v>15</v>
      </c>
      <c r="F7313" s="8" t="str">
        <f ca="1">IFERROR(__xludf.DUMMYFUNCTION("IF
(
C7314=""фізична особа""
,
VLOOKUP(D7314,IMPORTRANGE(""https://docs.google.com/spreadsheets/d/14Bd19lYaqBhU8_DElYkX7l4wRkHqqCUFNJY4AfY3kHU/edit?usp=sharing  #gid=0"",""фіз особи new!relations_name""),6,FALSE)
,
(IF
(
C7314=""юридична особа""
,
VLOOKUP"&amp;"(D7314,IMPORTRANGE(""https://docs.google.com/spreadsheets/d/14Bd19lYaqBhU8_DElYkX7l4wRkHqqCUFNJY4AfY3kHU/edit?usp=sharing  #gid=0"",""фіз особи new!relations_name_uo""),7,FALSE)
,
)
))"),"БЄЛОБРОВА Лариса Дмитрівна")</f>
        <v>БЄЛОБРОВА Лариса Дмитрівна</v>
      </c>
      <c r="G7313" s="7" t="s">
        <v>10</v>
      </c>
      <c r="H7313" s="7">
        <v>8239</v>
      </c>
      <c r="I7313" s="8" t="str">
        <f ca="1">IFERROR(__xludf.DUMMYFUNCTION("IF
(
G7314=""фізична особа""
,
VLOOKUP(H7314,IMPORTRANGE(""https://docs.google.com/spreadsheets/d/14Bd19lYaqBhU8_DElYkX7l4wRkHqqCUFNJY4AfY3kHU/edit?usp=sharing  #gid=0"",""фіз особи new!relations_name""),6,FALSE)
,
(IF
(
G7314=""юридична особа""
,
VLOOKUP"&amp;"(H7314,IMPORTRANGE(""https://docs.google.com/spreadsheets/d/14Bd19lYaqBhU8_DElYkX7l4wRkHqqCUFNJY4AfY3kHU/edit?usp=sharing  #gid=0"",""фіз особи new!relations_name_uo""),7,FALSE)
,
)
))"),"ДАРЬКІН Сергій Михайлович")</f>
        <v>ДАРЬКІН Сергій Михайлович</v>
      </c>
      <c r="J7313" s="7" t="s">
        <v>14</v>
      </c>
    </row>
    <row r="7314" spans="1:10" ht="13.2">
      <c r="A7314" s="7">
        <v>7313</v>
      </c>
      <c r="B7314" s="7">
        <v>1</v>
      </c>
      <c r="C7314" s="7" t="s">
        <v>10</v>
      </c>
      <c r="D7314" s="7">
        <v>8243</v>
      </c>
      <c r="E7314" s="7" t="s">
        <v>29</v>
      </c>
      <c r="F7314" s="8" t="str">
        <f ca="1">IFERROR(__xludf.DUMMYFUNCTION("IF
(
C7315=""фізична особа""
,
VLOOKUP(D7315,IMPORTRANGE(""https://docs.google.com/spreadsheets/d/14Bd19lYaqBhU8_DElYkX7l4wRkHqqCUFNJY4AfY3kHU/edit?usp=sharing  #gid=0"",""фіз особи new!relations_name""),6,FALSE)
,
(IF
(
C7315=""юридична особа""
,
VLOOKUP"&amp;"(D7315,IMPORTRANGE(""https://docs.google.com/spreadsheets/d/14Bd19lYaqBhU8_DElYkX7l4wRkHqqCUFNJY4AfY3kHU/edit?usp=sharing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4" s="7" t="s">
        <v>10</v>
      </c>
      <c r="H7314" s="7">
        <v>144</v>
      </c>
      <c r="I7314" s="8" t="str">
        <f ca="1">IFERROR(__xludf.DUMMYFUNCTION("IF
(
G7315=""фізична особа""
,
VLOOKUP(H7315,IMPORTRANGE(""https://docs.google.com/spreadsheets/d/14Bd19lYaqBhU8_DElYkX7l4wRkHqqCUFNJY4AfY3kHU/edit?usp=sharing  #gid=0"",""фіз особи new!relations_name""),6,FALSE)
,
(IF
(
G7315=""юридична особа""
,
VLOOKUP"&amp;"(H7315,IMPORTRANGE(""https://docs.google.com/spreadsheets/d/14Bd19lYaqBhU8_DElYkX7l4wRkHqqCUFNJY4AfY3kHU/edit?usp=sharing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14" s="7" t="s">
        <v>101</v>
      </c>
    </row>
    <row r="7315" spans="1:10" ht="13.2">
      <c r="A7315" s="7">
        <v>7314</v>
      </c>
      <c r="B7315" s="7">
        <v>1</v>
      </c>
      <c r="C7315" s="7" t="s">
        <v>10</v>
      </c>
      <c r="D7315" s="7">
        <v>8243</v>
      </c>
      <c r="E7315" s="7" t="s">
        <v>29</v>
      </c>
      <c r="F7315" s="8" t="str">
        <f ca="1">IFERROR(__xludf.DUMMYFUNCTION("IF
(
C7316=""фізична особа""
,
VLOOKUP(D7316,IMPORTRANGE(""https://docs.google.com/spreadsheets/d/14Bd19lYaqBhU8_DElYkX7l4wRkHqqCUFNJY4AfY3kHU/edit?usp=sharing  #gid=0"",""фіз особи new!relations_name""),6,FALSE)
,
(IF
(
C7316=""юридична особа""
,
VLOOKUP"&amp;"(D7316,IMPORTRANGE(""https://docs.google.com/spreadsheets/d/14Bd19lYaqBhU8_DElYkX7l4wRkHqqCUFNJY4AfY3kHU/edit?usp=sharing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5" s="7" t="s">
        <v>10</v>
      </c>
      <c r="H7315" s="7">
        <v>629</v>
      </c>
      <c r="I7315" s="8" t="str">
        <f ca="1">IFERROR(__xludf.DUMMYFUNCTION("IF
(
G7316=""фізична особа""
,
VLOOKUP(H7316,IMPORTRANGE(""https://docs.google.com/spreadsheets/d/14Bd19lYaqBhU8_DElYkX7l4wRkHqqCUFNJY4AfY3kHU/edit?usp=sharing  #gid=0"",""фіз особи new!relations_name""),6,FALSE)
,
(IF
(
G7316=""юридична особа""
,
VLOOKUP"&amp;"(H7316,IMPORTRANGE(""https://docs.google.com/spreadsheets/d/14Bd19lYaqBhU8_DElYkX7l4wRkHqqCUFNJY4AfY3kHU/edit?usp=sharing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15" s="7" t="s">
        <v>101</v>
      </c>
    </row>
    <row r="7316" spans="1:10" ht="13.2">
      <c r="A7316" s="7">
        <v>7315</v>
      </c>
      <c r="B7316" s="7">
        <v>1</v>
      </c>
      <c r="C7316" s="7" t="s">
        <v>10</v>
      </c>
      <c r="D7316" s="7">
        <v>8243</v>
      </c>
      <c r="E7316" s="7" t="s">
        <v>29</v>
      </c>
      <c r="F7316" s="8" t="str">
        <f ca="1">IFERROR(__xludf.DUMMYFUNCTION("IF
(
C7317=""фізична особа""
,
VLOOKUP(D7317,IMPORTRANGE(""https://docs.google.com/spreadsheets/d/14Bd19lYaqBhU8_DElYkX7l4wRkHqqCUFNJY4AfY3kHU/edit?usp=sharing  #gid=0"",""фіз особи new!relations_name""),6,FALSE)
,
(IF
(
C7317=""юридична особа""
,
VLOOKUP"&amp;"(D7317,IMPORTRANGE(""https://docs.google.com/spreadsheets/d/14Bd19lYaqBhU8_DElYkX7l4wRkHqqCUFNJY4AfY3kHU/edit?usp=sharing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6" s="7" t="s">
        <v>10</v>
      </c>
      <c r="H7316" s="7">
        <v>8245</v>
      </c>
      <c r="I7316" s="8" t="str">
        <f ca="1">IFERROR(__xludf.DUMMYFUNCTION("IF
(
G7317=""фізична особа""
,
VLOOKUP(H7317,IMPORTRANGE(""https://docs.google.com/spreadsheets/d/14Bd19lYaqBhU8_DElYkX7l4wRkHqqCUFNJY4AfY3kHU/edit?usp=sharing  #gid=0"",""фіз особи new!relations_name""),6,FALSE)
,
(IF
(
G7317=""юридична особа""
,
VLOOKUP"&amp;"(H7317,IMPORTRANGE(""https://docs.google.com/spreadsheets/d/14Bd19lYaqBhU8_DElYkX7l4wRkHqqCUFNJY4AfY3kHU/edit?usp=sharing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316" s="7" t="s">
        <v>28</v>
      </c>
    </row>
    <row r="7317" spans="1:10" ht="13.2">
      <c r="A7317" s="7">
        <v>7316</v>
      </c>
      <c r="B7317" s="7">
        <v>1</v>
      </c>
      <c r="C7317" s="7" t="s">
        <v>10</v>
      </c>
      <c r="D7317" s="7">
        <v>8243</v>
      </c>
      <c r="E7317" s="7" t="s">
        <v>29</v>
      </c>
      <c r="F7317" s="8" t="str">
        <f ca="1">IFERROR(__xludf.DUMMYFUNCTION("IF
(
C7318=""фізична особа""
,
VLOOKUP(D7318,IMPORTRANGE(""https://docs.google.com/spreadsheets/d/14Bd19lYaqBhU8_DElYkX7l4wRkHqqCUFNJY4AfY3kHU/edit?usp=sharing  #gid=0"",""фіз особи new!relations_name""),6,FALSE)
,
(IF
(
C7318=""юридична особа""
,
VLOOKUP"&amp;"(D7318,IMPORTRANGE(""https://docs.google.com/spreadsheets/d/14Bd19lYaqBhU8_DElYkX7l4wRkHqqCUFNJY4AfY3kHU/edit?usp=sharing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7" s="7" t="s">
        <v>10</v>
      </c>
      <c r="H7317" s="7">
        <v>8246</v>
      </c>
      <c r="I7317" s="8" t="str">
        <f ca="1">IFERROR(__xludf.DUMMYFUNCTION("IF
(
G7318=""фізична особа""
,
VLOOKUP(H7318,IMPORTRANGE(""https://docs.google.com/spreadsheets/d/14Bd19lYaqBhU8_DElYkX7l4wRkHqqCUFNJY4AfY3kHU/edit?usp=sharing  #gid=0"",""фіз особи new!relations_name""),6,FALSE)
,
(IF
(
G7318=""юридична особа""
,
VLOOKUP"&amp;"(H7318,IMPORTRANGE(""https://docs.google.com/spreadsheets/d/14Bd19lYaqBhU8_DElYkX7l4wRkHqqCUFNJY4AfY3kHU/edit?usp=sharing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317" s="7" t="s">
        <v>104</v>
      </c>
    </row>
    <row r="7318" spans="1:10" ht="13.2">
      <c r="A7318" s="7">
        <v>7317</v>
      </c>
      <c r="B7318" s="7">
        <v>1</v>
      </c>
      <c r="C7318" s="7" t="s">
        <v>10</v>
      </c>
      <c r="D7318" s="7">
        <v>8243</v>
      </c>
      <c r="E7318" s="7" t="s">
        <v>29</v>
      </c>
      <c r="F7318" s="8" t="str">
        <f ca="1">IFERROR(__xludf.DUMMYFUNCTION("IF
(
C7319=""фізична особа""
,
VLOOKUP(D7319,IMPORTRANGE(""https://docs.google.com/spreadsheets/d/14Bd19lYaqBhU8_DElYkX7l4wRkHqqCUFNJY4AfY3kHU/edit?usp=sharing  #gid=0"",""фіз особи new!relations_name""),6,FALSE)
,
(IF
(
C7319=""юридична особа""
,
VLOOKUP"&amp;"(D7319,IMPORTRANGE(""https://docs.google.com/spreadsheets/d/14Bd19lYaqBhU8_DElYkX7l4wRkHqqCUFNJY4AfY3kHU/edit?usp=sharing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8" s="7" t="s">
        <v>10</v>
      </c>
      <c r="H7318" s="7">
        <v>8248</v>
      </c>
      <c r="I7318" s="8" t="str">
        <f ca="1">IFERROR(__xludf.DUMMYFUNCTION("IF
(
G7319=""фізична особа""
,
VLOOKUP(H7319,IMPORTRANGE(""https://docs.google.com/spreadsheets/d/14Bd19lYaqBhU8_DElYkX7l4wRkHqqCUFNJY4AfY3kHU/edit?usp=sharing  #gid=0"",""фіз особи new!relations_name""),6,FALSE)
,
(IF
(
G7319=""юридична особа""
,
VLOOKUP"&amp;"(H7319,IMPORTRANGE(""https://docs.google.com/spreadsheets/d/14Bd19lYaqBhU8_DElYkX7l4wRkHqqCUFNJY4AfY3kHU/edit?usp=sharing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318" s="7" t="s">
        <v>104</v>
      </c>
    </row>
    <row r="7319" spans="1:10" ht="13.2">
      <c r="A7319" s="7">
        <v>7318</v>
      </c>
      <c r="B7319" s="7">
        <v>1</v>
      </c>
      <c r="C7319" s="7" t="s">
        <v>10</v>
      </c>
      <c r="D7319" s="7">
        <v>8243</v>
      </c>
      <c r="E7319" s="7" t="s">
        <v>29</v>
      </c>
      <c r="F7319" s="8" t="str">
        <f ca="1">IFERROR(__xludf.DUMMYFUNCTION("IF
(
C7320=""фізична особа""
,
VLOOKUP(D7320,IMPORTRANGE(""https://docs.google.com/spreadsheets/d/14Bd19lYaqBhU8_DElYkX7l4wRkHqqCUFNJY4AfY3kHU/edit?usp=sharing  #gid=0"",""фіз особи new!relations_name""),6,FALSE)
,
(IF
(
C7320=""юридична особа""
,
VLOOKUP"&amp;"(D7320,IMPORTRANGE(""https://docs.google.com/spreadsheets/d/14Bd19lYaqBhU8_DElYkX7l4wRkHqqCUFNJY4AfY3kHU/edit?usp=sharing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19" s="7" t="s">
        <v>10</v>
      </c>
      <c r="H7319" s="7">
        <v>8247</v>
      </c>
      <c r="I7319" s="8" t="str">
        <f ca="1">IFERROR(__xludf.DUMMYFUNCTION("IF
(
G7320=""фізична особа""
,
VLOOKUP(H7320,IMPORTRANGE(""https://docs.google.com/spreadsheets/d/14Bd19lYaqBhU8_DElYkX7l4wRkHqqCUFNJY4AfY3kHU/edit?usp=sharing  #gid=0"",""фіз особи new!relations_name""),6,FALSE)
,
(IF
(
G7320=""юридична особа""
,
VLOOKUP"&amp;"(H7320,IMPORTRANGE(""https://docs.google.com/spreadsheets/d/14Bd19lYaqBhU8_DElYkX7l4wRkHqqCUFNJY4AfY3kHU/edit?usp=sharing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319" s="7" t="s">
        <v>104</v>
      </c>
    </row>
    <row r="7320" spans="1:10" ht="13.2">
      <c r="A7320" s="7">
        <v>7319</v>
      </c>
      <c r="B7320" s="7">
        <v>1</v>
      </c>
      <c r="C7320" s="7" t="s">
        <v>10</v>
      </c>
      <c r="D7320" s="7">
        <v>8243</v>
      </c>
      <c r="E7320" s="7" t="s">
        <v>29</v>
      </c>
      <c r="F7320" s="8" t="str">
        <f ca="1">IFERROR(__xludf.DUMMYFUNCTION("IF
(
C7321=""фізична особа""
,
VLOOKUP(D7321,IMPORTRANGE(""https://docs.google.com/spreadsheets/d/14Bd19lYaqBhU8_DElYkX7l4wRkHqqCUFNJY4AfY3kHU/edit?usp=sharing  #gid=0"",""фіз особи new!relations_name""),6,FALSE)
,
(IF
(
C7321=""юридична особа""
,
VLOOKUP"&amp;"(D7321,IMPORTRANGE(""https://docs.google.com/spreadsheets/d/14Bd19lYaqBhU8_DElYkX7l4wRkHqqCUFNJY4AfY3kHU/edit?usp=sharing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0" s="7" t="s">
        <v>10</v>
      </c>
      <c r="H7320" s="7">
        <v>8340</v>
      </c>
      <c r="I7320" s="8" t="str">
        <f ca="1">IFERROR(__xludf.DUMMYFUNCTION("IF
(
G7321=""фізична особа""
,
VLOOKUP(H7321,IMPORTRANGE(""https://docs.google.com/spreadsheets/d/14Bd19lYaqBhU8_DElYkX7l4wRkHqqCUFNJY4AfY3kHU/edit?usp=sharing  #gid=0"",""фіз особи new!relations_name""),6,FALSE)
,
(IF
(
G7321=""юридична особа""
,
VLOOKUP"&amp;"(H7321,IMPORTRANGE(""https://docs.google.com/spreadsheets/d/14Bd19lYaqBhU8_DElYkX7l4wRkHqqCUFNJY4AfY3kHU/edit?usp=sharing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20" s="7" t="s">
        <v>28</v>
      </c>
    </row>
    <row r="7321" spans="1:10" ht="13.2">
      <c r="A7321" s="7">
        <v>7320</v>
      </c>
      <c r="B7321" s="7">
        <v>1</v>
      </c>
      <c r="C7321" s="7" t="s">
        <v>10</v>
      </c>
      <c r="D7321" s="7">
        <v>8243</v>
      </c>
      <c r="E7321" s="7" t="s">
        <v>29</v>
      </c>
      <c r="F7321" s="8" t="str">
        <f ca="1">IFERROR(__xludf.DUMMYFUNCTION("IF
(
C7322=""фізична особа""
,
VLOOKUP(D7322,IMPORTRANGE(""https://docs.google.com/spreadsheets/d/14Bd19lYaqBhU8_DElYkX7l4wRkHqqCUFNJY4AfY3kHU/edit?usp=sharing  #gid=0"",""фіз особи new!relations_name""),6,FALSE)
,
(IF
(
C7322=""юридична особа""
,
VLOOKUP"&amp;"(D7322,IMPORTRANGE(""https://docs.google.com/spreadsheets/d/14Bd19lYaqBhU8_DElYkX7l4wRkHqqCUFNJY4AfY3kHU/edit?usp=sharing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1" s="7" t="s">
        <v>10</v>
      </c>
      <c r="H7321" s="7">
        <v>8346</v>
      </c>
      <c r="I7321" s="8" t="str">
        <f ca="1">IFERROR(__xludf.DUMMYFUNCTION("IF
(
G7322=""фізична особа""
,
VLOOKUP(H7322,IMPORTRANGE(""https://docs.google.com/spreadsheets/d/14Bd19lYaqBhU8_DElYkX7l4wRkHqqCUFNJY4AfY3kHU/edit?usp=sharing  #gid=0"",""фіз особи new!relations_name""),6,FALSE)
,
(IF
(
G7322=""юридична особа""
,
VLOOKUP"&amp;"(H7322,IMPORTRANGE(""https://docs.google.com/spreadsheets/d/14Bd19lYaqBhU8_DElYkX7l4wRkHqqCUFNJY4AfY3kHU/edit?usp=sharing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21" s="7" t="s">
        <v>28</v>
      </c>
    </row>
    <row r="7322" spans="1:10" ht="13.2">
      <c r="A7322" s="7">
        <v>7321</v>
      </c>
      <c r="B7322" s="7">
        <v>1</v>
      </c>
      <c r="C7322" s="7" t="s">
        <v>10</v>
      </c>
      <c r="D7322" s="7">
        <v>8243</v>
      </c>
      <c r="E7322" s="7" t="s">
        <v>29</v>
      </c>
      <c r="F7322" s="8" t="str">
        <f ca="1">IFERROR(__xludf.DUMMYFUNCTION("IF
(
C7323=""фізична особа""
,
VLOOKUP(D7323,IMPORTRANGE(""https://docs.google.com/spreadsheets/d/14Bd19lYaqBhU8_DElYkX7l4wRkHqqCUFNJY4AfY3kHU/edit?usp=sharing  #gid=0"",""фіз особи new!relations_name""),6,FALSE)
,
(IF
(
C7323=""юридична особа""
,
VLOOKUP"&amp;"(D7323,IMPORTRANGE(""https://docs.google.com/spreadsheets/d/14Bd19lYaqBhU8_DElYkX7l4wRkHqqCUFNJY4AfY3kHU/edit?usp=sharing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2" s="7" t="s">
        <v>10</v>
      </c>
      <c r="H7322" s="7">
        <v>8341</v>
      </c>
      <c r="I7322" s="8" t="str">
        <f ca="1">IFERROR(__xludf.DUMMYFUNCTION("IF
(
G7323=""фізична особа""
,
VLOOKUP(H7323,IMPORTRANGE(""https://docs.google.com/spreadsheets/d/14Bd19lYaqBhU8_DElYkX7l4wRkHqqCUFNJY4AfY3kHU/edit?usp=sharing  #gid=0"",""фіз особи new!relations_name""),6,FALSE)
,
(IF
(
G7323=""юридична особа""
,
VLOOKUP"&amp;"(H7323,IMPORTRANGE(""https://docs.google.com/spreadsheets/d/14Bd19lYaqBhU8_DElYkX7l4wRkHqqCUFNJY4AfY3kHU/edit?usp=sharing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22" s="7" t="s">
        <v>28</v>
      </c>
    </row>
    <row r="7323" spans="1:10" ht="13.2">
      <c r="A7323" s="7">
        <v>7322</v>
      </c>
      <c r="B7323" s="7">
        <v>1</v>
      </c>
      <c r="C7323" s="7" t="s">
        <v>10</v>
      </c>
      <c r="D7323" s="7">
        <v>8243</v>
      </c>
      <c r="E7323" s="7" t="s">
        <v>29</v>
      </c>
      <c r="F7323" s="8" t="str">
        <f ca="1">IFERROR(__xludf.DUMMYFUNCTION("IF
(
C7324=""фізична особа""
,
VLOOKUP(D7324,IMPORTRANGE(""https://docs.google.com/spreadsheets/d/14Bd19lYaqBhU8_DElYkX7l4wRkHqqCUFNJY4AfY3kHU/edit?usp=sharing  #gid=0"",""фіз особи new!relations_name""),6,FALSE)
,
(IF
(
C7324=""юридична особа""
,
VLOOKUP"&amp;"(D7324,IMPORTRANGE(""https://docs.google.com/spreadsheets/d/14Bd19lYaqBhU8_DElYkX7l4wRkHqqCUFNJY4AfY3kHU/edit?usp=sharing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3" s="7" t="s">
        <v>10</v>
      </c>
      <c r="H7323" s="7">
        <v>8342</v>
      </c>
      <c r="I7323" s="8" t="str">
        <f ca="1">IFERROR(__xludf.DUMMYFUNCTION("IF
(
G7324=""фізична особа""
,
VLOOKUP(H7324,IMPORTRANGE(""https://docs.google.com/spreadsheets/d/14Bd19lYaqBhU8_DElYkX7l4wRkHqqCUFNJY4AfY3kHU/edit?usp=sharing  #gid=0"",""фіз особи new!relations_name""),6,FALSE)
,
(IF
(
G7324=""юридична особа""
,
VLOOKUP"&amp;"(H7324,IMPORTRANGE(""https://docs.google.com/spreadsheets/d/14Bd19lYaqBhU8_DElYkX7l4wRkHqqCUFNJY4AfY3kHU/edit?usp=sharing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23" s="7" t="s">
        <v>28</v>
      </c>
    </row>
    <row r="7324" spans="1:10" ht="13.2">
      <c r="A7324" s="7">
        <v>7323</v>
      </c>
      <c r="B7324" s="7">
        <v>1</v>
      </c>
      <c r="C7324" s="7" t="s">
        <v>10</v>
      </c>
      <c r="D7324" s="7">
        <v>8243</v>
      </c>
      <c r="E7324" s="7" t="s">
        <v>30</v>
      </c>
      <c r="F7324" s="8" t="str">
        <f ca="1">IFERROR(__xludf.DUMMYFUNCTION("IF
(
C7325=""фізична особа""
,
VLOOKUP(D7325,IMPORTRANGE(""https://docs.google.com/spreadsheets/d/14Bd19lYaqBhU8_DElYkX7l4wRkHqqCUFNJY4AfY3kHU/edit?usp=sharing  #gid=0"",""фіз особи new!relations_name""),6,FALSE)
,
(IF
(
C7325=""юридична особа""
,
VLOOKUP"&amp;"(D7325,IMPORTRANGE(""https://docs.google.com/spreadsheets/d/14Bd19lYaqBhU8_DElYkX7l4wRkHqqCUFNJY4AfY3kHU/edit?usp=sharing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4" s="7" t="s">
        <v>10</v>
      </c>
      <c r="H7324" s="7">
        <v>49</v>
      </c>
      <c r="I7324" s="8" t="str">
        <f ca="1">IFERROR(__xludf.DUMMYFUNCTION("IF
(
G7325=""фізична особа""
,
VLOOKUP(H7325,IMPORTRANGE(""https://docs.google.com/spreadsheets/d/14Bd19lYaqBhU8_DElYkX7l4wRkHqqCUFNJY4AfY3kHU/edit?usp=sharing  #gid=0"",""фіз особи new!relations_name""),6,FALSE)
,
(IF
(
G7325=""юридична особа""
,
VLOOKUP"&amp;"(H7325,IMPORTRANGE(""https://docs.google.com/spreadsheets/d/14Bd19lYaqBhU8_DElYkX7l4wRkHqqCUFNJY4AfY3kHU/edit?usp=sharing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24" s="7" t="s">
        <v>30</v>
      </c>
    </row>
    <row r="7325" spans="1:10" ht="13.2">
      <c r="A7325" s="7">
        <v>7324</v>
      </c>
      <c r="B7325" s="7">
        <v>1</v>
      </c>
      <c r="C7325" s="7" t="s">
        <v>10</v>
      </c>
      <c r="D7325" s="7">
        <v>8243</v>
      </c>
      <c r="E7325" s="7" t="s">
        <v>29</v>
      </c>
      <c r="F7325" s="8" t="str">
        <f ca="1">IFERROR(__xludf.DUMMYFUNCTION("IF
(
C7326=""фізична особа""
,
VLOOKUP(D7326,IMPORTRANGE(""https://docs.google.com/spreadsheets/d/14Bd19lYaqBhU8_DElYkX7l4wRkHqqCUFNJY4AfY3kHU/edit?usp=sharing  #gid=0"",""фіз особи new!relations_name""),6,FALSE)
,
(IF
(
C7326=""юридична особа""
,
VLOOKUP"&amp;"(D7326,IMPORTRANGE(""https://docs.google.com/spreadsheets/d/14Bd19lYaqBhU8_DElYkX7l4wRkHqqCUFNJY4AfY3kHU/edit?usp=sharing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5" s="7" t="s">
        <v>10</v>
      </c>
      <c r="H7325" s="7">
        <v>8343</v>
      </c>
      <c r="I7325" s="8" t="str">
        <f ca="1">IFERROR(__xludf.DUMMYFUNCTION("IF
(
G7326=""фізична особа""
,
VLOOKUP(H7326,IMPORTRANGE(""https://docs.google.com/spreadsheets/d/14Bd19lYaqBhU8_DElYkX7l4wRkHqqCUFNJY4AfY3kHU/edit?usp=sharing  #gid=0"",""фіз особи new!relations_name""),6,FALSE)
,
(IF
(
G7326=""юридична особа""
,
VLOOKUP"&amp;"(H7326,IMPORTRANGE(""https://docs.google.com/spreadsheets/d/14Bd19lYaqBhU8_DElYkX7l4wRkHqqCUFNJY4AfY3kHU/edit?usp=sharing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325" s="7" t="s">
        <v>28</v>
      </c>
    </row>
    <row r="7326" spans="1:10" ht="13.2">
      <c r="A7326" s="7">
        <v>7325</v>
      </c>
      <c r="B7326" s="7">
        <v>1</v>
      </c>
      <c r="C7326" s="7" t="s">
        <v>10</v>
      </c>
      <c r="D7326" s="7">
        <v>8243</v>
      </c>
      <c r="E7326" s="7" t="s">
        <v>29</v>
      </c>
      <c r="F7326" s="8" t="str">
        <f ca="1">IFERROR(__xludf.DUMMYFUNCTION("IF
(
C7327=""фізична особа""
,
VLOOKUP(D7327,IMPORTRANGE(""https://docs.google.com/spreadsheets/d/14Bd19lYaqBhU8_DElYkX7l4wRkHqqCUFNJY4AfY3kHU/edit?usp=sharing  #gid=0"",""фіз особи new!relations_name""),6,FALSE)
,
(IF
(
C7327=""юридична особа""
,
VLOOKUP"&amp;"(D7327,IMPORTRANGE(""https://docs.google.com/spreadsheets/d/14Bd19lYaqBhU8_DElYkX7l4wRkHqqCUFNJY4AfY3kHU/edit?usp=sharing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6" s="7" t="s">
        <v>10</v>
      </c>
      <c r="H7326" s="7">
        <v>8344</v>
      </c>
      <c r="I7326" s="8" t="str">
        <f ca="1">IFERROR(__xludf.DUMMYFUNCTION("IF
(
G7327=""фізична особа""
,
VLOOKUP(H7327,IMPORTRANGE(""https://docs.google.com/spreadsheets/d/14Bd19lYaqBhU8_DElYkX7l4wRkHqqCUFNJY4AfY3kHU/edit?usp=sharing  #gid=0"",""фіз особи new!relations_name""),6,FALSE)
,
(IF
(
G7327=""юридична особа""
,
VLOOKUP"&amp;"(H7327,IMPORTRANGE(""https://docs.google.com/spreadsheets/d/14Bd19lYaqBhU8_DElYkX7l4wRkHqqCUFNJY4AfY3kHU/edit?usp=sharing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26" s="7" t="s">
        <v>28</v>
      </c>
    </row>
    <row r="7327" spans="1:10" ht="13.2">
      <c r="A7327" s="7">
        <v>7326</v>
      </c>
      <c r="B7327" s="7">
        <v>1</v>
      </c>
      <c r="C7327" s="7" t="s">
        <v>10</v>
      </c>
      <c r="D7327" s="7">
        <v>8243</v>
      </c>
      <c r="E7327" s="7" t="s">
        <v>29</v>
      </c>
      <c r="F7327" s="8" t="str">
        <f ca="1">IFERROR(__xludf.DUMMYFUNCTION("IF
(
C7328=""фізична особа""
,
VLOOKUP(D7328,IMPORTRANGE(""https://docs.google.com/spreadsheets/d/14Bd19lYaqBhU8_DElYkX7l4wRkHqqCUFNJY4AfY3kHU/edit?usp=sharing  #gid=0"",""фіз особи new!relations_name""),6,FALSE)
,
(IF
(
C7328=""юридична особа""
,
VLOOKUP"&amp;"(D7328,IMPORTRANGE(""https://docs.google.com/spreadsheets/d/14Bd19lYaqBhU8_DElYkX7l4wRkHqqCUFNJY4AfY3kHU/edit?usp=sharing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G7327" s="7" t="s">
        <v>10</v>
      </c>
      <c r="H7327" s="7">
        <v>8345</v>
      </c>
      <c r="I7327" s="8" t="str">
        <f ca="1">IFERROR(__xludf.DUMMYFUNCTION("IF
(
G7328=""фізична особа""
,
VLOOKUP(H7328,IMPORTRANGE(""https://docs.google.com/spreadsheets/d/14Bd19lYaqBhU8_DElYkX7l4wRkHqqCUFNJY4AfY3kHU/edit?usp=sharing  #gid=0"",""фіз особи new!relations_name""),6,FALSE)
,
(IF
(
G7328=""юридична особа""
,
VLOOKUP"&amp;"(H7328,IMPORTRANGE(""https://docs.google.com/spreadsheets/d/14Bd19lYaqBhU8_DElYkX7l4wRkHqqCUFNJY4AfY3kHU/edit?usp=sharing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27" s="7" t="s">
        <v>28</v>
      </c>
    </row>
    <row r="7328" spans="1:10" ht="13.2">
      <c r="A7328" s="7">
        <v>7327</v>
      </c>
      <c r="B7328" s="7">
        <v>1</v>
      </c>
      <c r="C7328" s="7" t="s">
        <v>10</v>
      </c>
      <c r="D7328" s="7">
        <v>8244</v>
      </c>
      <c r="E7328" s="7" t="s">
        <v>30</v>
      </c>
      <c r="F7328" s="8" t="str">
        <f ca="1">IFERROR(__xludf.DUMMYFUNCTION("IF
(
C7329=""фізична особа""
,
VLOOKUP(D7329,IMPORTRANGE(""https://docs.google.com/spreadsheets/d/14Bd19lYaqBhU8_DElYkX7l4wRkHqqCUFNJY4AfY3kHU/edit?usp=sharing  #gid=0"",""фіз особи new!relations_name""),6,FALSE)
,
(IF
(
C7329=""юридична особа""
,
VLOOKUP"&amp;"(D7329,IMPORTRANGE(""https://docs.google.com/spreadsheets/d/14Bd19lYaqBhU8_DElYkX7l4wRkHqqCUFNJY4AfY3kHU/edit?usp=sharing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28" s="7" t="s">
        <v>10</v>
      </c>
      <c r="H7328" s="7">
        <v>144</v>
      </c>
      <c r="I7328" s="8" t="str">
        <f ca="1">IFERROR(__xludf.DUMMYFUNCTION("IF
(
G7329=""фізична особа""
,
VLOOKUP(H7329,IMPORTRANGE(""https://docs.google.com/spreadsheets/d/14Bd19lYaqBhU8_DElYkX7l4wRkHqqCUFNJY4AfY3kHU/edit?usp=sharing  #gid=0"",""фіз особи new!relations_name""),6,FALSE)
,
(IF
(
G7329=""юридична особа""
,
VLOOKUP"&amp;"(H7329,IMPORTRANGE(""https://docs.google.com/spreadsheets/d/14Bd19lYaqBhU8_DElYkX7l4wRkHqqCUFNJY4AfY3kHU/edit?usp=sharing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28" s="7" t="s">
        <v>30</v>
      </c>
    </row>
    <row r="7329" spans="1:10" ht="13.2">
      <c r="A7329" s="7">
        <v>7328</v>
      </c>
      <c r="B7329" s="7">
        <v>1</v>
      </c>
      <c r="C7329" s="7" t="s">
        <v>10</v>
      </c>
      <c r="D7329" s="7">
        <v>8244</v>
      </c>
      <c r="E7329" s="7" t="s">
        <v>30</v>
      </c>
      <c r="F7329" s="8" t="str">
        <f ca="1">IFERROR(__xludf.DUMMYFUNCTION("IF
(
C7330=""фізична особа""
,
VLOOKUP(D7330,IMPORTRANGE(""https://docs.google.com/spreadsheets/d/14Bd19lYaqBhU8_DElYkX7l4wRkHqqCUFNJY4AfY3kHU/edit?usp=sharing  #gid=0"",""фіз особи new!relations_name""),6,FALSE)
,
(IF
(
C7330=""юридична особа""
,
VLOOKUP"&amp;"(D7330,IMPORTRANGE(""https://docs.google.com/spreadsheets/d/14Bd19lYaqBhU8_DElYkX7l4wRkHqqCUFNJY4AfY3kHU/edit?usp=sharing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29" s="7" t="s">
        <v>10</v>
      </c>
      <c r="H7329" s="7">
        <v>629</v>
      </c>
      <c r="I7329" s="8" t="str">
        <f ca="1">IFERROR(__xludf.DUMMYFUNCTION("IF
(
G7330=""фізична особа""
,
VLOOKUP(H7330,IMPORTRANGE(""https://docs.google.com/spreadsheets/d/14Bd19lYaqBhU8_DElYkX7l4wRkHqqCUFNJY4AfY3kHU/edit?usp=sharing  #gid=0"",""фіз особи new!relations_name""),6,FALSE)
,
(IF
(
G7330=""юридична особа""
,
VLOOKUP"&amp;"(H7330,IMPORTRANGE(""https://docs.google.com/spreadsheets/d/14Bd19lYaqBhU8_DElYkX7l4wRkHqqCUFNJY4AfY3kHU/edit?usp=sharing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29" s="7" t="s">
        <v>30</v>
      </c>
    </row>
    <row r="7330" spans="1:10" ht="13.2">
      <c r="A7330" s="7">
        <v>7329</v>
      </c>
      <c r="B7330" s="7">
        <v>1</v>
      </c>
      <c r="C7330" s="7" t="s">
        <v>10</v>
      </c>
      <c r="D7330" s="7">
        <v>8244</v>
      </c>
      <c r="E7330" s="7" t="s">
        <v>35</v>
      </c>
      <c r="F7330" s="8" t="str">
        <f ca="1">IFERROR(__xludf.DUMMYFUNCTION("IF
(
C7331=""фізична особа""
,
VLOOKUP(D7331,IMPORTRANGE(""https://docs.google.com/spreadsheets/d/14Bd19lYaqBhU8_DElYkX7l4wRkHqqCUFNJY4AfY3kHU/edit?usp=sharing  #gid=0"",""фіз особи new!relations_name""),6,FALSE)
,
(IF
(
C7331=""юридична особа""
,
VLOOKUP"&amp;"(D7331,IMPORTRANGE(""https://docs.google.com/spreadsheets/d/14Bd19lYaqBhU8_DElYkX7l4wRkHqqCUFNJY4AfY3kHU/edit?usp=sharing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0" s="7" t="s">
        <v>10</v>
      </c>
      <c r="H7330" s="7">
        <v>8245</v>
      </c>
      <c r="I7330" s="8" t="str">
        <f ca="1">IFERROR(__xludf.DUMMYFUNCTION("IF
(
G7331=""фізична особа""
,
VLOOKUP(H7331,IMPORTRANGE(""https://docs.google.com/spreadsheets/d/14Bd19lYaqBhU8_DElYkX7l4wRkHqqCUFNJY4AfY3kHU/edit?usp=sharing  #gid=0"",""фіз особи new!relations_name""),6,FALSE)
,
(IF
(
G7331=""юридична особа""
,
VLOOKUP"&amp;"(H7331,IMPORTRANGE(""https://docs.google.com/spreadsheets/d/14Bd19lYaqBhU8_DElYkX7l4wRkHqqCUFNJY4AfY3kHU/edit?usp=sharing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330" s="7" t="s">
        <v>35</v>
      </c>
    </row>
    <row r="7331" spans="1:10" ht="13.2">
      <c r="A7331" s="7">
        <v>7330</v>
      </c>
      <c r="B7331" s="7">
        <v>1</v>
      </c>
      <c r="C7331" s="7" t="s">
        <v>10</v>
      </c>
      <c r="D7331" s="7">
        <v>8244</v>
      </c>
      <c r="E7331" s="7" t="s">
        <v>30</v>
      </c>
      <c r="F7331" s="8" t="str">
        <f ca="1">IFERROR(__xludf.DUMMYFUNCTION("IF
(
C7332=""фізична особа""
,
VLOOKUP(D7332,IMPORTRANGE(""https://docs.google.com/spreadsheets/d/14Bd19lYaqBhU8_DElYkX7l4wRkHqqCUFNJY4AfY3kHU/edit?usp=sharing  #gid=0"",""фіз особи new!relations_name""),6,FALSE)
,
(IF
(
C7332=""юридична особа""
,
VLOOKUP"&amp;"(D7332,IMPORTRANGE(""https://docs.google.com/spreadsheets/d/14Bd19lYaqBhU8_DElYkX7l4wRkHqqCUFNJY4AfY3kHU/edit?usp=sharing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1" s="7" t="s">
        <v>10</v>
      </c>
      <c r="H7331" s="7">
        <v>8246</v>
      </c>
      <c r="I7331" s="8" t="str">
        <f ca="1">IFERROR(__xludf.DUMMYFUNCTION("IF
(
G7332=""фізична особа""
,
VLOOKUP(H7332,IMPORTRANGE(""https://docs.google.com/spreadsheets/d/14Bd19lYaqBhU8_DElYkX7l4wRkHqqCUFNJY4AfY3kHU/edit?usp=sharing  #gid=0"",""фіз особи new!relations_name""),6,FALSE)
,
(IF
(
G7332=""юридична особа""
,
VLOOKUP"&amp;"(H7332,IMPORTRANGE(""https://docs.google.com/spreadsheets/d/14Bd19lYaqBhU8_DElYkX7l4wRkHqqCUFNJY4AfY3kHU/edit?usp=sharing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331" s="7" t="s">
        <v>30</v>
      </c>
    </row>
    <row r="7332" spans="1:10" ht="13.2">
      <c r="A7332" s="7">
        <v>7331</v>
      </c>
      <c r="B7332" s="7">
        <v>1</v>
      </c>
      <c r="C7332" s="7" t="s">
        <v>10</v>
      </c>
      <c r="D7332" s="7">
        <v>8244</v>
      </c>
      <c r="E7332" s="7" t="s">
        <v>30</v>
      </c>
      <c r="F7332" s="8" t="str">
        <f ca="1">IFERROR(__xludf.DUMMYFUNCTION("IF
(
C7333=""фізична особа""
,
VLOOKUP(D7333,IMPORTRANGE(""https://docs.google.com/spreadsheets/d/14Bd19lYaqBhU8_DElYkX7l4wRkHqqCUFNJY4AfY3kHU/edit?usp=sharing  #gid=0"",""фіз особи new!relations_name""),6,FALSE)
,
(IF
(
C7333=""юридична особа""
,
VLOOKUP"&amp;"(D7333,IMPORTRANGE(""https://docs.google.com/spreadsheets/d/14Bd19lYaqBhU8_DElYkX7l4wRkHqqCUFNJY4AfY3kHU/edit?usp=sharing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2" s="7" t="s">
        <v>10</v>
      </c>
      <c r="H7332" s="7">
        <v>8248</v>
      </c>
      <c r="I7332" s="8" t="str">
        <f ca="1">IFERROR(__xludf.DUMMYFUNCTION("IF
(
G7333=""фізична особа""
,
VLOOKUP(H7333,IMPORTRANGE(""https://docs.google.com/spreadsheets/d/14Bd19lYaqBhU8_DElYkX7l4wRkHqqCUFNJY4AfY3kHU/edit?usp=sharing  #gid=0"",""фіз особи new!relations_name""),6,FALSE)
,
(IF
(
G7333=""юридична особа""
,
VLOOKUP"&amp;"(H7333,IMPORTRANGE(""https://docs.google.com/spreadsheets/d/14Bd19lYaqBhU8_DElYkX7l4wRkHqqCUFNJY4AfY3kHU/edit?usp=sharing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332" s="7" t="s">
        <v>30</v>
      </c>
    </row>
    <row r="7333" spans="1:10" ht="13.2">
      <c r="A7333" s="7">
        <v>7332</v>
      </c>
      <c r="B7333" s="7">
        <v>1</v>
      </c>
      <c r="C7333" s="7" t="s">
        <v>10</v>
      </c>
      <c r="D7333" s="7">
        <v>8244</v>
      </c>
      <c r="E7333" s="7" t="s">
        <v>30</v>
      </c>
      <c r="F7333" s="8" t="str">
        <f ca="1">IFERROR(__xludf.DUMMYFUNCTION("IF
(
C7334=""фізична особа""
,
VLOOKUP(D7334,IMPORTRANGE(""https://docs.google.com/spreadsheets/d/14Bd19lYaqBhU8_DElYkX7l4wRkHqqCUFNJY4AfY3kHU/edit?usp=sharing  #gid=0"",""фіз особи new!relations_name""),6,FALSE)
,
(IF
(
C7334=""юридична особа""
,
VLOOKUP"&amp;"(D7334,IMPORTRANGE(""https://docs.google.com/spreadsheets/d/14Bd19lYaqBhU8_DElYkX7l4wRkHqqCUFNJY4AfY3kHU/edit?usp=sharing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3" s="7" t="s">
        <v>10</v>
      </c>
      <c r="H7333" s="7">
        <v>8247</v>
      </c>
      <c r="I7333" s="8" t="str">
        <f ca="1">IFERROR(__xludf.DUMMYFUNCTION("IF
(
G7334=""фізична особа""
,
VLOOKUP(H7334,IMPORTRANGE(""https://docs.google.com/spreadsheets/d/14Bd19lYaqBhU8_DElYkX7l4wRkHqqCUFNJY4AfY3kHU/edit?usp=sharing  #gid=0"",""фіз особи new!relations_name""),6,FALSE)
,
(IF
(
G7334=""юридична особа""
,
VLOOKUP"&amp;"(H7334,IMPORTRANGE(""https://docs.google.com/spreadsheets/d/14Bd19lYaqBhU8_DElYkX7l4wRkHqqCUFNJY4AfY3kHU/edit?usp=sharing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333" s="7" t="s">
        <v>30</v>
      </c>
    </row>
    <row r="7334" spans="1:10" ht="13.2">
      <c r="A7334" s="7">
        <v>7333</v>
      </c>
      <c r="B7334" s="7">
        <v>1</v>
      </c>
      <c r="C7334" s="7" t="s">
        <v>10</v>
      </c>
      <c r="D7334" s="7">
        <v>8244</v>
      </c>
      <c r="E7334" s="7" t="s">
        <v>28</v>
      </c>
      <c r="F7334" s="8" t="str">
        <f ca="1">IFERROR(__xludf.DUMMYFUNCTION("IF
(
C7335=""фізична особа""
,
VLOOKUP(D7335,IMPORTRANGE(""https://docs.google.com/spreadsheets/d/14Bd19lYaqBhU8_DElYkX7l4wRkHqqCUFNJY4AfY3kHU/edit?usp=sharing  #gid=0"",""фіз особи new!relations_name""),6,FALSE)
,
(IF
(
C7335=""юридична особа""
,
VLOOKUP"&amp;"(D7335,IMPORTRANGE(""https://docs.google.com/spreadsheets/d/14Bd19lYaqBhU8_DElYkX7l4wRkHqqCUFNJY4AfY3kHU/edit?usp=sharing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4" s="7" t="s">
        <v>10</v>
      </c>
      <c r="H7334" s="7">
        <v>8340</v>
      </c>
      <c r="I7334" s="8" t="str">
        <f ca="1">IFERROR(__xludf.DUMMYFUNCTION("IF
(
G7335=""фізична особа""
,
VLOOKUP(H7335,IMPORTRANGE(""https://docs.google.com/spreadsheets/d/14Bd19lYaqBhU8_DElYkX7l4wRkHqqCUFNJY4AfY3kHU/edit?usp=sharing  #gid=0"",""фіз особи new!relations_name""),6,FALSE)
,
(IF
(
G7335=""юридична особа""
,
VLOOKUP"&amp;"(H7335,IMPORTRANGE(""https://docs.google.com/spreadsheets/d/14Bd19lYaqBhU8_DElYkX7l4wRkHqqCUFNJY4AfY3kHU/edit?usp=sharing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34" s="7" t="s">
        <v>29</v>
      </c>
    </row>
    <row r="7335" spans="1:10" ht="13.2">
      <c r="A7335" s="7">
        <v>7334</v>
      </c>
      <c r="B7335" s="7">
        <v>1</v>
      </c>
      <c r="C7335" s="7" t="s">
        <v>10</v>
      </c>
      <c r="D7335" s="7">
        <v>8244</v>
      </c>
      <c r="E7335" s="7" t="s">
        <v>35</v>
      </c>
      <c r="F7335" s="8" t="str">
        <f ca="1">IFERROR(__xludf.DUMMYFUNCTION("IF
(
C7336=""фізична особа""
,
VLOOKUP(D7336,IMPORTRANGE(""https://docs.google.com/spreadsheets/d/14Bd19lYaqBhU8_DElYkX7l4wRkHqqCUFNJY4AfY3kHU/edit?usp=sharing  #gid=0"",""фіз особи new!relations_name""),6,FALSE)
,
(IF
(
C7336=""юридична особа""
,
VLOOKUP"&amp;"(D7336,IMPORTRANGE(""https://docs.google.com/spreadsheets/d/14Bd19lYaqBhU8_DElYkX7l4wRkHqqCUFNJY4AfY3kHU/edit?usp=sharing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5" s="7" t="s">
        <v>10</v>
      </c>
      <c r="H7335" s="7">
        <v>8346</v>
      </c>
      <c r="I7335" s="8" t="str">
        <f ca="1">IFERROR(__xludf.DUMMYFUNCTION("IF
(
G7336=""фізична особа""
,
VLOOKUP(H7336,IMPORTRANGE(""https://docs.google.com/spreadsheets/d/14Bd19lYaqBhU8_DElYkX7l4wRkHqqCUFNJY4AfY3kHU/edit?usp=sharing  #gid=0"",""фіз особи new!relations_name""),6,FALSE)
,
(IF
(
G7336=""юридична особа""
,
VLOOKUP"&amp;"(H7336,IMPORTRANGE(""https://docs.google.com/spreadsheets/d/14Bd19lYaqBhU8_DElYkX7l4wRkHqqCUFNJY4AfY3kHU/edit?usp=sharing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35" s="7" t="s">
        <v>35</v>
      </c>
    </row>
    <row r="7336" spans="1:10" ht="13.2">
      <c r="A7336" s="7">
        <v>7335</v>
      </c>
      <c r="B7336" s="7">
        <v>1</v>
      </c>
      <c r="C7336" s="7" t="s">
        <v>10</v>
      </c>
      <c r="D7336" s="7">
        <v>8244</v>
      </c>
      <c r="E7336" s="7" t="s">
        <v>35</v>
      </c>
      <c r="F7336" s="8" t="str">
        <f ca="1">IFERROR(__xludf.DUMMYFUNCTION("IF
(
C7337=""фізична особа""
,
VLOOKUP(D7337,IMPORTRANGE(""https://docs.google.com/spreadsheets/d/14Bd19lYaqBhU8_DElYkX7l4wRkHqqCUFNJY4AfY3kHU/edit?usp=sharing  #gid=0"",""фіз особи new!relations_name""),6,FALSE)
,
(IF
(
C7337=""юридична особа""
,
VLOOKUP"&amp;"(D7337,IMPORTRANGE(""https://docs.google.com/spreadsheets/d/14Bd19lYaqBhU8_DElYkX7l4wRkHqqCUFNJY4AfY3kHU/edit?usp=sharing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6" s="7" t="s">
        <v>10</v>
      </c>
      <c r="H7336" s="7">
        <v>8341</v>
      </c>
      <c r="I7336" s="8" t="str">
        <f ca="1">IFERROR(__xludf.DUMMYFUNCTION("IF
(
G7337=""фізична особа""
,
VLOOKUP(H7337,IMPORTRANGE(""https://docs.google.com/spreadsheets/d/14Bd19lYaqBhU8_DElYkX7l4wRkHqqCUFNJY4AfY3kHU/edit?usp=sharing  #gid=0"",""фіз особи new!relations_name""),6,FALSE)
,
(IF
(
G7337=""юридична особа""
,
VLOOKUP"&amp;"(H7337,IMPORTRANGE(""https://docs.google.com/spreadsheets/d/14Bd19lYaqBhU8_DElYkX7l4wRkHqqCUFNJY4AfY3kHU/edit?usp=sharing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36" s="7" t="s">
        <v>35</v>
      </c>
    </row>
    <row r="7337" spans="1:10" ht="13.2">
      <c r="A7337" s="7">
        <v>7336</v>
      </c>
      <c r="B7337" s="7">
        <v>1</v>
      </c>
      <c r="C7337" s="7" t="s">
        <v>10</v>
      </c>
      <c r="D7337" s="7">
        <v>8244</v>
      </c>
      <c r="E7337" s="7" t="s">
        <v>35</v>
      </c>
      <c r="F7337" s="8" t="str">
        <f ca="1">IFERROR(__xludf.DUMMYFUNCTION("IF
(
C7338=""фізична особа""
,
VLOOKUP(D7338,IMPORTRANGE(""https://docs.google.com/spreadsheets/d/14Bd19lYaqBhU8_DElYkX7l4wRkHqqCUFNJY4AfY3kHU/edit?usp=sharing  #gid=0"",""фіз особи new!relations_name""),6,FALSE)
,
(IF
(
C7338=""юридична особа""
,
VLOOKUP"&amp;"(D7338,IMPORTRANGE(""https://docs.google.com/spreadsheets/d/14Bd19lYaqBhU8_DElYkX7l4wRkHqqCUFNJY4AfY3kHU/edit?usp=sharing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7" s="7" t="s">
        <v>10</v>
      </c>
      <c r="H7337" s="7">
        <v>8342</v>
      </c>
      <c r="I7337" s="8" t="str">
        <f ca="1">IFERROR(__xludf.DUMMYFUNCTION("IF
(
G7338=""фізична особа""
,
VLOOKUP(H7338,IMPORTRANGE(""https://docs.google.com/spreadsheets/d/14Bd19lYaqBhU8_DElYkX7l4wRkHqqCUFNJY4AfY3kHU/edit?usp=sharing  #gid=0"",""фіз особи new!relations_name""),6,FALSE)
,
(IF
(
G7338=""юридична особа""
,
VLOOKUP"&amp;"(H7338,IMPORTRANGE(""https://docs.google.com/spreadsheets/d/14Bd19lYaqBhU8_DElYkX7l4wRkHqqCUFNJY4AfY3kHU/edit?usp=sharing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37" s="7" t="s">
        <v>35</v>
      </c>
    </row>
    <row r="7338" spans="1:10" ht="13.2">
      <c r="A7338" s="7">
        <v>7337</v>
      </c>
      <c r="B7338" s="7">
        <v>1</v>
      </c>
      <c r="C7338" s="7" t="s">
        <v>10</v>
      </c>
      <c r="D7338" s="7">
        <v>8244</v>
      </c>
      <c r="E7338" s="7" t="s">
        <v>28</v>
      </c>
      <c r="F7338" s="8" t="str">
        <f ca="1">IFERROR(__xludf.DUMMYFUNCTION("IF
(
C7339=""фізична особа""
,
VLOOKUP(D7339,IMPORTRANGE(""https://docs.google.com/spreadsheets/d/14Bd19lYaqBhU8_DElYkX7l4wRkHqqCUFNJY4AfY3kHU/edit?usp=sharing  #gid=0"",""фіз особи new!relations_name""),6,FALSE)
,
(IF
(
C7339=""юридична особа""
,
VLOOKUP"&amp;"(D7339,IMPORTRANGE(""https://docs.google.com/spreadsheets/d/14Bd19lYaqBhU8_DElYkX7l4wRkHqqCUFNJY4AfY3kHU/edit?usp=sharing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8" s="7" t="s">
        <v>10</v>
      </c>
      <c r="H7338" s="7">
        <v>8243</v>
      </c>
      <c r="I7338" s="8" t="str">
        <f ca="1">IFERROR(__xludf.DUMMYFUNCTION("IF
(
G7339=""фізична особа""
,
VLOOKUP(H7339,IMPORTRANGE(""https://docs.google.com/spreadsheets/d/14Bd19lYaqBhU8_DElYkX7l4wRkHqqCUFNJY4AfY3kHU/edit?usp=sharing  #gid=0"",""фіз особи new!relations_name""),6,FALSE)
,
(IF
(
G7339=""юридична особа""
,
VLOOKUP"&amp;"(H7339,IMPORTRANGE(""https://docs.google.com/spreadsheets/d/14Bd19lYaqBhU8_DElYkX7l4wRkHqqCUFNJY4AfY3kHU/edit?usp=sharing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338" s="7" t="s">
        <v>29</v>
      </c>
    </row>
    <row r="7339" spans="1:10" ht="13.2">
      <c r="A7339" s="7">
        <v>7338</v>
      </c>
      <c r="B7339" s="7">
        <v>1</v>
      </c>
      <c r="C7339" s="7" t="s">
        <v>10</v>
      </c>
      <c r="D7339" s="7">
        <v>8244</v>
      </c>
      <c r="E7339" s="7" t="s">
        <v>30</v>
      </c>
      <c r="F7339" s="8" t="str">
        <f ca="1">IFERROR(__xludf.DUMMYFUNCTION("IF
(
C7340=""фізична особа""
,
VLOOKUP(D7340,IMPORTRANGE(""https://docs.google.com/spreadsheets/d/14Bd19lYaqBhU8_DElYkX7l4wRkHqqCUFNJY4AfY3kHU/edit?usp=sharing  #gid=0"",""фіз особи new!relations_name""),6,FALSE)
,
(IF
(
C7340=""юридична особа""
,
VLOOKUP"&amp;"(D7340,IMPORTRANGE(""https://docs.google.com/spreadsheets/d/14Bd19lYaqBhU8_DElYkX7l4wRkHqqCUFNJY4AfY3kHU/edit?usp=sharing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39" s="7" t="s">
        <v>10</v>
      </c>
      <c r="H7339" s="7">
        <v>49</v>
      </c>
      <c r="I7339" s="8" t="str">
        <f ca="1">IFERROR(__xludf.DUMMYFUNCTION("IF
(
G7340=""фізична особа""
,
VLOOKUP(H7340,IMPORTRANGE(""https://docs.google.com/spreadsheets/d/14Bd19lYaqBhU8_DElYkX7l4wRkHqqCUFNJY4AfY3kHU/edit?usp=sharing  #gid=0"",""фіз особи new!relations_name""),6,FALSE)
,
(IF
(
G7340=""юридична особа""
,
VLOOKUP"&amp;"(H7340,IMPORTRANGE(""https://docs.google.com/spreadsheets/d/14Bd19lYaqBhU8_DElYkX7l4wRkHqqCUFNJY4AfY3kHU/edit?usp=sharing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39" s="7" t="s">
        <v>30</v>
      </c>
    </row>
    <row r="7340" spans="1:10" ht="13.2">
      <c r="A7340" s="7">
        <v>7339</v>
      </c>
      <c r="B7340" s="7">
        <v>1</v>
      </c>
      <c r="C7340" s="7" t="s">
        <v>10</v>
      </c>
      <c r="D7340" s="7">
        <v>8244</v>
      </c>
      <c r="E7340" s="7" t="s">
        <v>35</v>
      </c>
      <c r="F7340" s="8" t="str">
        <f ca="1">IFERROR(__xludf.DUMMYFUNCTION("IF
(
C7341=""фізична особа""
,
VLOOKUP(D7341,IMPORTRANGE(""https://docs.google.com/spreadsheets/d/14Bd19lYaqBhU8_DElYkX7l4wRkHqqCUFNJY4AfY3kHU/edit?usp=sharing  #gid=0"",""фіз особи new!relations_name""),6,FALSE)
,
(IF
(
C7341=""юридична особа""
,
VLOOKUP"&amp;"(D7341,IMPORTRANGE(""https://docs.google.com/spreadsheets/d/14Bd19lYaqBhU8_DElYkX7l4wRkHqqCUFNJY4AfY3kHU/edit?usp=sharing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40" s="7" t="s">
        <v>10</v>
      </c>
      <c r="H7340" s="7">
        <v>8343</v>
      </c>
      <c r="I7340" s="8" t="str">
        <f ca="1">IFERROR(__xludf.DUMMYFUNCTION("IF
(
G7341=""фізична особа""
,
VLOOKUP(H7341,IMPORTRANGE(""https://docs.google.com/spreadsheets/d/14Bd19lYaqBhU8_DElYkX7l4wRkHqqCUFNJY4AfY3kHU/edit?usp=sharing  #gid=0"",""фіз особи new!relations_name""),6,FALSE)
,
(IF
(
G7341=""юридична особа""
,
VLOOKUP"&amp;"(H7341,IMPORTRANGE(""https://docs.google.com/spreadsheets/d/14Bd19lYaqBhU8_DElYkX7l4wRkHqqCUFNJY4AfY3kHU/edit?usp=sharing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340" s="7" t="s">
        <v>35</v>
      </c>
    </row>
    <row r="7341" spans="1:10" ht="13.2">
      <c r="A7341" s="7">
        <v>7340</v>
      </c>
      <c r="B7341" s="7">
        <v>1</v>
      </c>
      <c r="C7341" s="7" t="s">
        <v>10</v>
      </c>
      <c r="D7341" s="7">
        <v>8244</v>
      </c>
      <c r="E7341" s="7" t="s">
        <v>35</v>
      </c>
      <c r="F7341" s="8" t="str">
        <f ca="1">IFERROR(__xludf.DUMMYFUNCTION("IF
(
C7342=""фізична особа""
,
VLOOKUP(D7342,IMPORTRANGE(""https://docs.google.com/spreadsheets/d/14Bd19lYaqBhU8_DElYkX7l4wRkHqqCUFNJY4AfY3kHU/edit?usp=sharing  #gid=0"",""фіз особи new!relations_name""),6,FALSE)
,
(IF
(
C7342=""юридична особа""
,
VLOOKUP"&amp;"(D7342,IMPORTRANGE(""https://docs.google.com/spreadsheets/d/14Bd19lYaqBhU8_DElYkX7l4wRkHqqCUFNJY4AfY3kHU/edit?usp=sharing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41" s="7" t="s">
        <v>10</v>
      </c>
      <c r="H7341" s="7">
        <v>8344</v>
      </c>
      <c r="I7341" s="8" t="str">
        <f ca="1">IFERROR(__xludf.DUMMYFUNCTION("IF
(
G7342=""фізична особа""
,
VLOOKUP(H7342,IMPORTRANGE(""https://docs.google.com/spreadsheets/d/14Bd19lYaqBhU8_DElYkX7l4wRkHqqCUFNJY4AfY3kHU/edit?usp=sharing  #gid=0"",""фіз особи new!relations_name""),6,FALSE)
,
(IF
(
G7342=""юридична особа""
,
VLOOKUP"&amp;"(H7342,IMPORTRANGE(""https://docs.google.com/spreadsheets/d/14Bd19lYaqBhU8_DElYkX7l4wRkHqqCUFNJY4AfY3kHU/edit?usp=sharing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41" s="7" t="s">
        <v>35</v>
      </c>
    </row>
    <row r="7342" spans="1:10" ht="13.2">
      <c r="A7342" s="7">
        <v>7341</v>
      </c>
      <c r="B7342" s="7">
        <v>1</v>
      </c>
      <c r="C7342" s="7" t="s">
        <v>10</v>
      </c>
      <c r="D7342" s="7">
        <v>8244</v>
      </c>
      <c r="E7342" s="7" t="s">
        <v>35</v>
      </c>
      <c r="F7342" s="8" t="str">
        <f ca="1">IFERROR(__xludf.DUMMYFUNCTION("IF
(
C7343=""фізична особа""
,
VLOOKUP(D7343,IMPORTRANGE(""https://docs.google.com/spreadsheets/d/14Bd19lYaqBhU8_DElYkX7l4wRkHqqCUFNJY4AfY3kHU/edit?usp=sharing  #gid=0"",""фіз особи new!relations_name""),6,FALSE)
,
(IF
(
C7343=""юридична особа""
,
VLOOKUP"&amp;"(D7343,IMPORTRANGE(""https://docs.google.com/spreadsheets/d/14Bd19lYaqBhU8_DElYkX7l4wRkHqqCUFNJY4AfY3kHU/edit?usp=sharing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G7342" s="7" t="s">
        <v>10</v>
      </c>
      <c r="H7342" s="7">
        <v>8345</v>
      </c>
      <c r="I7342" s="8" t="str">
        <f ca="1">IFERROR(__xludf.DUMMYFUNCTION("IF
(
G7343=""фізична особа""
,
VLOOKUP(H7343,IMPORTRANGE(""https://docs.google.com/spreadsheets/d/14Bd19lYaqBhU8_DElYkX7l4wRkHqqCUFNJY4AfY3kHU/edit?usp=sharing  #gid=0"",""фіз особи new!relations_name""),6,FALSE)
,
(IF
(
G7343=""юридична особа""
,
VLOOKUP"&amp;"(H7343,IMPORTRANGE(""https://docs.google.com/spreadsheets/d/14Bd19lYaqBhU8_DElYkX7l4wRkHqqCUFNJY4AfY3kHU/edit?usp=sharing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42" s="7" t="s">
        <v>35</v>
      </c>
    </row>
    <row r="7343" spans="1:10" ht="13.2">
      <c r="A7343" s="7">
        <v>7342</v>
      </c>
      <c r="B7343" s="7">
        <v>1</v>
      </c>
      <c r="C7343" s="7" t="s">
        <v>10</v>
      </c>
      <c r="D7343" s="7">
        <v>8245</v>
      </c>
      <c r="E7343" s="7" t="s">
        <v>30</v>
      </c>
      <c r="F7343" s="8" t="str">
        <f ca="1">IFERROR(__xludf.DUMMYFUNCTION("IF
(
C7344=""фізична особа""
,
VLOOKUP(D7344,IMPORTRANGE(""https://docs.google.com/spreadsheets/d/14Bd19lYaqBhU8_DElYkX7l4wRkHqqCUFNJY4AfY3kHU/edit?usp=sharing  #gid=0"",""фіз особи new!relations_name""),6,FALSE)
,
(IF
(
C7344=""юридична особа""
,
VLOOKUP"&amp;"(D7344,IMPORTRANGE(""https://docs.google.com/spreadsheets/d/14Bd19lYaqBhU8_DElYkX7l4wRkHqqCUFNJY4AfY3kHU/edit?usp=sharing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3" s="7" t="s">
        <v>10</v>
      </c>
      <c r="H7343" s="7">
        <v>144</v>
      </c>
      <c r="I7343" s="8" t="str">
        <f ca="1">IFERROR(__xludf.DUMMYFUNCTION("IF
(
G7344=""фізична особа""
,
VLOOKUP(H7344,IMPORTRANGE(""https://docs.google.com/spreadsheets/d/14Bd19lYaqBhU8_DElYkX7l4wRkHqqCUFNJY4AfY3kHU/edit?usp=sharing  #gid=0"",""фіз особи new!relations_name""),6,FALSE)
,
(IF
(
G7344=""юридична особа""
,
VLOOKUP"&amp;"(H7344,IMPORTRANGE(""https://docs.google.com/spreadsheets/d/14Bd19lYaqBhU8_DElYkX7l4wRkHqqCUFNJY4AfY3kHU/edit?usp=sharing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43" s="7" t="s">
        <v>30</v>
      </c>
    </row>
    <row r="7344" spans="1:10" ht="13.2">
      <c r="A7344" s="7">
        <v>7343</v>
      </c>
      <c r="B7344" s="7">
        <v>1</v>
      </c>
      <c r="C7344" s="7" t="s">
        <v>10</v>
      </c>
      <c r="D7344" s="7">
        <v>8245</v>
      </c>
      <c r="E7344" s="7" t="s">
        <v>30</v>
      </c>
      <c r="F7344" s="8" t="str">
        <f ca="1">IFERROR(__xludf.DUMMYFUNCTION("IF
(
C7345=""фізична особа""
,
VLOOKUP(D7345,IMPORTRANGE(""https://docs.google.com/spreadsheets/d/14Bd19lYaqBhU8_DElYkX7l4wRkHqqCUFNJY4AfY3kHU/edit?usp=sharing  #gid=0"",""фіз особи new!relations_name""),6,FALSE)
,
(IF
(
C7345=""юридична особа""
,
VLOOKUP"&amp;"(D7345,IMPORTRANGE(""https://docs.google.com/spreadsheets/d/14Bd19lYaqBhU8_DElYkX7l4wRkHqqCUFNJY4AfY3kHU/edit?usp=sharing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4" s="7" t="s">
        <v>10</v>
      </c>
      <c r="H7344" s="7">
        <v>629</v>
      </c>
      <c r="I7344" s="8" t="str">
        <f ca="1">IFERROR(__xludf.DUMMYFUNCTION("IF
(
G7345=""фізична особа""
,
VLOOKUP(H7345,IMPORTRANGE(""https://docs.google.com/spreadsheets/d/14Bd19lYaqBhU8_DElYkX7l4wRkHqqCUFNJY4AfY3kHU/edit?usp=sharing  #gid=0"",""фіз особи new!relations_name""),6,FALSE)
,
(IF
(
G7345=""юридична особа""
,
VLOOKUP"&amp;"(H7345,IMPORTRANGE(""https://docs.google.com/spreadsheets/d/14Bd19lYaqBhU8_DElYkX7l4wRkHqqCUFNJY4AfY3kHU/edit?usp=sharing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44" s="7" t="s">
        <v>30</v>
      </c>
    </row>
    <row r="7345" spans="1:10" ht="13.2">
      <c r="A7345" s="7">
        <v>7344</v>
      </c>
      <c r="B7345" s="7">
        <v>1</v>
      </c>
      <c r="C7345" s="7" t="s">
        <v>10</v>
      </c>
      <c r="D7345" s="7">
        <v>8245</v>
      </c>
      <c r="E7345" s="7" t="s">
        <v>35</v>
      </c>
      <c r="F7345" s="8" t="str">
        <f ca="1">IFERROR(__xludf.DUMMYFUNCTION("IF
(
C7346=""фізична особа""
,
VLOOKUP(D7346,IMPORTRANGE(""https://docs.google.com/spreadsheets/d/14Bd19lYaqBhU8_DElYkX7l4wRkHqqCUFNJY4AfY3kHU/edit?usp=sharing  #gid=0"",""фіз особи new!relations_name""),6,FALSE)
,
(IF
(
C7346=""юридична особа""
,
VLOOKUP"&amp;"(D7346,IMPORTRANGE(""https://docs.google.com/spreadsheets/d/14Bd19lYaqBhU8_DElYkX7l4wRkHqqCUFNJY4AfY3kHU/edit?usp=sharing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5" s="7" t="s">
        <v>10</v>
      </c>
      <c r="H7345" s="7">
        <v>8244</v>
      </c>
      <c r="I7345" s="8" t="str">
        <f ca="1">IFERROR(__xludf.DUMMYFUNCTION("IF
(
G7346=""фізична особа""
,
VLOOKUP(H7346,IMPORTRANGE(""https://docs.google.com/spreadsheets/d/14Bd19lYaqBhU8_DElYkX7l4wRkHqqCUFNJY4AfY3kHU/edit?usp=sharing  #gid=0"",""фіз особи new!relations_name""),6,FALSE)
,
(IF
(
G7346=""юридична особа""
,
VLOOKUP"&amp;"(H7346,IMPORTRANGE(""https://docs.google.com/spreadsheets/d/14Bd19lYaqBhU8_DElYkX7l4wRkHqqCUFNJY4AfY3kHU/edit?usp=sharing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345" s="7" t="s">
        <v>35</v>
      </c>
    </row>
    <row r="7346" spans="1:10" ht="13.2">
      <c r="A7346" s="7">
        <v>7345</v>
      </c>
      <c r="B7346" s="7">
        <v>1</v>
      </c>
      <c r="C7346" s="7" t="s">
        <v>10</v>
      </c>
      <c r="D7346" s="7">
        <v>8245</v>
      </c>
      <c r="E7346" s="7" t="s">
        <v>30</v>
      </c>
      <c r="F7346" s="8" t="str">
        <f ca="1">IFERROR(__xludf.DUMMYFUNCTION("IF
(
C7347=""фізична особа""
,
VLOOKUP(D7347,IMPORTRANGE(""https://docs.google.com/spreadsheets/d/14Bd19lYaqBhU8_DElYkX7l4wRkHqqCUFNJY4AfY3kHU/edit?usp=sharing  #gid=0"",""фіз особи new!relations_name""),6,FALSE)
,
(IF
(
C7347=""юридична особа""
,
VLOOKUP"&amp;"(D7347,IMPORTRANGE(""https://docs.google.com/spreadsheets/d/14Bd19lYaqBhU8_DElYkX7l4wRkHqqCUFNJY4AfY3kHU/edit?usp=sharing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6" s="7" t="s">
        <v>10</v>
      </c>
      <c r="H7346" s="7">
        <v>8246</v>
      </c>
      <c r="I7346" s="8" t="str">
        <f ca="1">IFERROR(__xludf.DUMMYFUNCTION("IF
(
G7347=""фізична особа""
,
VLOOKUP(H7347,IMPORTRANGE(""https://docs.google.com/spreadsheets/d/14Bd19lYaqBhU8_DElYkX7l4wRkHqqCUFNJY4AfY3kHU/edit?usp=sharing  #gid=0"",""фіз особи new!relations_name""),6,FALSE)
,
(IF
(
G7347=""юридична особа""
,
VLOOKUP"&amp;"(H7347,IMPORTRANGE(""https://docs.google.com/spreadsheets/d/14Bd19lYaqBhU8_DElYkX7l4wRkHqqCUFNJY4AfY3kHU/edit?usp=sharing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346" s="7" t="s">
        <v>30</v>
      </c>
    </row>
    <row r="7347" spans="1:10" ht="13.2">
      <c r="A7347" s="7">
        <v>7346</v>
      </c>
      <c r="B7347" s="7">
        <v>1</v>
      </c>
      <c r="C7347" s="7" t="s">
        <v>10</v>
      </c>
      <c r="D7347" s="7">
        <v>8245</v>
      </c>
      <c r="E7347" s="7" t="s">
        <v>30</v>
      </c>
      <c r="F7347" s="8" t="str">
        <f ca="1">IFERROR(__xludf.DUMMYFUNCTION("IF
(
C7348=""фізична особа""
,
VLOOKUP(D7348,IMPORTRANGE(""https://docs.google.com/spreadsheets/d/14Bd19lYaqBhU8_DElYkX7l4wRkHqqCUFNJY4AfY3kHU/edit?usp=sharing  #gid=0"",""фіз особи new!relations_name""),6,FALSE)
,
(IF
(
C7348=""юридична особа""
,
VLOOKUP"&amp;"(D7348,IMPORTRANGE(""https://docs.google.com/spreadsheets/d/14Bd19lYaqBhU8_DElYkX7l4wRkHqqCUFNJY4AfY3kHU/edit?usp=sharing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7" s="7" t="s">
        <v>10</v>
      </c>
      <c r="H7347" s="7">
        <v>8248</v>
      </c>
      <c r="I7347" s="8" t="str">
        <f ca="1">IFERROR(__xludf.DUMMYFUNCTION("IF
(
G7348=""фізична особа""
,
VLOOKUP(H7348,IMPORTRANGE(""https://docs.google.com/spreadsheets/d/14Bd19lYaqBhU8_DElYkX7l4wRkHqqCUFNJY4AfY3kHU/edit?usp=sharing  #gid=0"",""фіз особи new!relations_name""),6,FALSE)
,
(IF
(
G7348=""юридична особа""
,
VLOOKUP"&amp;"(H7348,IMPORTRANGE(""https://docs.google.com/spreadsheets/d/14Bd19lYaqBhU8_DElYkX7l4wRkHqqCUFNJY4AfY3kHU/edit?usp=sharing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347" s="7" t="s">
        <v>30</v>
      </c>
    </row>
    <row r="7348" spans="1:10" ht="13.2">
      <c r="A7348" s="7">
        <v>7347</v>
      </c>
      <c r="B7348" s="7">
        <v>1</v>
      </c>
      <c r="C7348" s="7" t="s">
        <v>10</v>
      </c>
      <c r="D7348" s="7">
        <v>8245</v>
      </c>
      <c r="E7348" s="7" t="s">
        <v>30</v>
      </c>
      <c r="F7348" s="8" t="str">
        <f ca="1">IFERROR(__xludf.DUMMYFUNCTION("IF
(
C7349=""фізична особа""
,
VLOOKUP(D7349,IMPORTRANGE(""https://docs.google.com/spreadsheets/d/14Bd19lYaqBhU8_DElYkX7l4wRkHqqCUFNJY4AfY3kHU/edit?usp=sharing  #gid=0"",""фіз особи new!relations_name""),6,FALSE)
,
(IF
(
C7349=""юридична особа""
,
VLOOKUP"&amp;"(D7349,IMPORTRANGE(""https://docs.google.com/spreadsheets/d/14Bd19lYaqBhU8_DElYkX7l4wRkHqqCUFNJY4AfY3kHU/edit?usp=sharing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8" s="7" t="s">
        <v>10</v>
      </c>
      <c r="H7348" s="7">
        <v>8247</v>
      </c>
      <c r="I7348" s="8" t="str">
        <f ca="1">IFERROR(__xludf.DUMMYFUNCTION("IF
(
G7349=""фізична особа""
,
VLOOKUP(H7349,IMPORTRANGE(""https://docs.google.com/spreadsheets/d/14Bd19lYaqBhU8_DElYkX7l4wRkHqqCUFNJY4AfY3kHU/edit?usp=sharing  #gid=0"",""фіз особи new!relations_name""),6,FALSE)
,
(IF
(
G7349=""юридична особа""
,
VLOOKUP"&amp;"(H7349,IMPORTRANGE(""https://docs.google.com/spreadsheets/d/14Bd19lYaqBhU8_DElYkX7l4wRkHqqCUFNJY4AfY3kHU/edit?usp=sharing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348" s="7" t="s">
        <v>30</v>
      </c>
    </row>
    <row r="7349" spans="1:10" ht="13.2">
      <c r="A7349" s="7">
        <v>7348</v>
      </c>
      <c r="B7349" s="7">
        <v>1</v>
      </c>
      <c r="C7349" s="7" t="s">
        <v>10</v>
      </c>
      <c r="D7349" s="7">
        <v>8245</v>
      </c>
      <c r="E7349" s="7" t="s">
        <v>28</v>
      </c>
      <c r="F7349" s="8" t="str">
        <f ca="1">IFERROR(__xludf.DUMMYFUNCTION("IF
(
C7350=""фізична особа""
,
VLOOKUP(D7350,IMPORTRANGE(""https://docs.google.com/spreadsheets/d/14Bd19lYaqBhU8_DElYkX7l4wRkHqqCUFNJY4AfY3kHU/edit?usp=sharing  #gid=0"",""фіз особи new!relations_name""),6,FALSE)
,
(IF
(
C7350=""юридична особа""
,
VLOOKUP"&amp;"(D7350,IMPORTRANGE(""https://docs.google.com/spreadsheets/d/14Bd19lYaqBhU8_DElYkX7l4wRkHqqCUFNJY4AfY3kHU/edit?usp=sharing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49" s="7" t="s">
        <v>10</v>
      </c>
      <c r="H7349" s="7">
        <v>8340</v>
      </c>
      <c r="I7349" s="8" t="str">
        <f ca="1">IFERROR(__xludf.DUMMYFUNCTION("IF
(
G7350=""фізична особа""
,
VLOOKUP(H7350,IMPORTRANGE(""https://docs.google.com/spreadsheets/d/14Bd19lYaqBhU8_DElYkX7l4wRkHqqCUFNJY4AfY3kHU/edit?usp=sharing  #gid=0"",""фіз особи new!relations_name""),6,FALSE)
,
(IF
(
G7350=""юридична особа""
,
VLOOKUP"&amp;"(H7350,IMPORTRANGE(""https://docs.google.com/spreadsheets/d/14Bd19lYaqBhU8_DElYkX7l4wRkHqqCUFNJY4AfY3kHU/edit?usp=sharing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49" s="7" t="s">
        <v>29</v>
      </c>
    </row>
    <row r="7350" spans="1:10" ht="13.2">
      <c r="A7350" s="7">
        <v>7349</v>
      </c>
      <c r="B7350" s="7">
        <v>1</v>
      </c>
      <c r="C7350" s="7" t="s">
        <v>10</v>
      </c>
      <c r="D7350" s="7">
        <v>8245</v>
      </c>
      <c r="E7350" s="7" t="s">
        <v>35</v>
      </c>
      <c r="F7350" s="8" t="str">
        <f ca="1">IFERROR(__xludf.DUMMYFUNCTION("IF
(
C7351=""фізична особа""
,
VLOOKUP(D7351,IMPORTRANGE(""https://docs.google.com/spreadsheets/d/14Bd19lYaqBhU8_DElYkX7l4wRkHqqCUFNJY4AfY3kHU/edit?usp=sharing  #gid=0"",""фіз особи new!relations_name""),6,FALSE)
,
(IF
(
C7351=""юридична особа""
,
VLOOKUP"&amp;"(D7351,IMPORTRANGE(""https://docs.google.com/spreadsheets/d/14Bd19lYaqBhU8_DElYkX7l4wRkHqqCUFNJY4AfY3kHU/edit?usp=sharing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0" s="7" t="s">
        <v>10</v>
      </c>
      <c r="H7350" s="7">
        <v>8346</v>
      </c>
      <c r="I7350" s="8" t="str">
        <f ca="1">IFERROR(__xludf.DUMMYFUNCTION("IF
(
G7351=""фізична особа""
,
VLOOKUP(H7351,IMPORTRANGE(""https://docs.google.com/spreadsheets/d/14Bd19lYaqBhU8_DElYkX7l4wRkHqqCUFNJY4AfY3kHU/edit?usp=sharing  #gid=0"",""фіз особи new!relations_name""),6,FALSE)
,
(IF
(
G7351=""юридична особа""
,
VLOOKUP"&amp;"(H7351,IMPORTRANGE(""https://docs.google.com/spreadsheets/d/14Bd19lYaqBhU8_DElYkX7l4wRkHqqCUFNJY4AfY3kHU/edit?usp=sharing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50" s="7" t="s">
        <v>35</v>
      </c>
    </row>
    <row r="7351" spans="1:10" ht="13.2">
      <c r="A7351" s="7">
        <v>7350</v>
      </c>
      <c r="B7351" s="7">
        <v>1</v>
      </c>
      <c r="C7351" s="7" t="s">
        <v>10</v>
      </c>
      <c r="D7351" s="7">
        <v>8245</v>
      </c>
      <c r="E7351" s="7" t="s">
        <v>35</v>
      </c>
      <c r="F7351" s="8" t="str">
        <f ca="1">IFERROR(__xludf.DUMMYFUNCTION("IF
(
C7352=""фізична особа""
,
VLOOKUP(D7352,IMPORTRANGE(""https://docs.google.com/spreadsheets/d/14Bd19lYaqBhU8_DElYkX7l4wRkHqqCUFNJY4AfY3kHU/edit?usp=sharing  #gid=0"",""фіз особи new!relations_name""),6,FALSE)
,
(IF
(
C7352=""юридична особа""
,
VLOOKUP"&amp;"(D7352,IMPORTRANGE(""https://docs.google.com/spreadsheets/d/14Bd19lYaqBhU8_DElYkX7l4wRkHqqCUFNJY4AfY3kHU/edit?usp=sharing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1" s="7" t="s">
        <v>10</v>
      </c>
      <c r="H7351" s="7">
        <v>8341</v>
      </c>
      <c r="I7351" s="8" t="str">
        <f ca="1">IFERROR(__xludf.DUMMYFUNCTION("IF
(
G7352=""фізична особа""
,
VLOOKUP(H7352,IMPORTRANGE(""https://docs.google.com/spreadsheets/d/14Bd19lYaqBhU8_DElYkX7l4wRkHqqCUFNJY4AfY3kHU/edit?usp=sharing  #gid=0"",""фіз особи new!relations_name""),6,FALSE)
,
(IF
(
G7352=""юридична особа""
,
VLOOKUP"&amp;"(H7352,IMPORTRANGE(""https://docs.google.com/spreadsheets/d/14Bd19lYaqBhU8_DElYkX7l4wRkHqqCUFNJY4AfY3kHU/edit?usp=sharing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51" s="7" t="s">
        <v>35</v>
      </c>
    </row>
    <row r="7352" spans="1:10" ht="13.2">
      <c r="A7352" s="7">
        <v>7351</v>
      </c>
      <c r="B7352" s="7">
        <v>1</v>
      </c>
      <c r="C7352" s="7" t="s">
        <v>10</v>
      </c>
      <c r="D7352" s="7">
        <v>8245</v>
      </c>
      <c r="E7352" s="7" t="s">
        <v>35</v>
      </c>
      <c r="F7352" s="8" t="str">
        <f ca="1">IFERROR(__xludf.DUMMYFUNCTION("IF
(
C7353=""фізична особа""
,
VLOOKUP(D7353,IMPORTRANGE(""https://docs.google.com/spreadsheets/d/14Bd19lYaqBhU8_DElYkX7l4wRkHqqCUFNJY4AfY3kHU/edit?usp=sharing  #gid=0"",""фіз особи new!relations_name""),6,FALSE)
,
(IF
(
C7353=""юридична особа""
,
VLOOKUP"&amp;"(D7353,IMPORTRANGE(""https://docs.google.com/spreadsheets/d/14Bd19lYaqBhU8_DElYkX7l4wRkHqqCUFNJY4AfY3kHU/edit?usp=sharing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2" s="7" t="s">
        <v>10</v>
      </c>
      <c r="H7352" s="7">
        <v>8342</v>
      </c>
      <c r="I7352" s="8" t="str">
        <f ca="1">IFERROR(__xludf.DUMMYFUNCTION("IF
(
G7353=""фізична особа""
,
VLOOKUP(H7353,IMPORTRANGE(""https://docs.google.com/spreadsheets/d/14Bd19lYaqBhU8_DElYkX7l4wRkHqqCUFNJY4AfY3kHU/edit?usp=sharing  #gid=0"",""фіз особи new!relations_name""),6,FALSE)
,
(IF
(
G7353=""юридична особа""
,
VLOOKUP"&amp;"(H7353,IMPORTRANGE(""https://docs.google.com/spreadsheets/d/14Bd19lYaqBhU8_DElYkX7l4wRkHqqCUFNJY4AfY3kHU/edit?usp=sharing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52" s="7" t="s">
        <v>35</v>
      </c>
    </row>
    <row r="7353" spans="1:10" ht="13.2">
      <c r="A7353" s="7">
        <v>7352</v>
      </c>
      <c r="B7353" s="7">
        <v>1</v>
      </c>
      <c r="C7353" s="7" t="s">
        <v>10</v>
      </c>
      <c r="D7353" s="7">
        <v>8245</v>
      </c>
      <c r="E7353" s="7" t="s">
        <v>28</v>
      </c>
      <c r="F7353" s="8" t="str">
        <f ca="1">IFERROR(__xludf.DUMMYFUNCTION("IF
(
C7354=""фізична особа""
,
VLOOKUP(D7354,IMPORTRANGE(""https://docs.google.com/spreadsheets/d/14Bd19lYaqBhU8_DElYkX7l4wRkHqqCUFNJY4AfY3kHU/edit?usp=sharing  #gid=0"",""фіз особи new!relations_name""),6,FALSE)
,
(IF
(
C7354=""юридична особа""
,
VLOOKUP"&amp;"(D7354,IMPORTRANGE(""https://docs.google.com/spreadsheets/d/14Bd19lYaqBhU8_DElYkX7l4wRkHqqCUFNJY4AfY3kHU/edit?usp=sharing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3" s="7" t="s">
        <v>10</v>
      </c>
      <c r="H7353" s="7">
        <v>8243</v>
      </c>
      <c r="I7353" s="8" t="str">
        <f ca="1">IFERROR(__xludf.DUMMYFUNCTION("IF
(
G7354=""фізична особа""
,
VLOOKUP(H7354,IMPORTRANGE(""https://docs.google.com/spreadsheets/d/14Bd19lYaqBhU8_DElYkX7l4wRkHqqCUFNJY4AfY3kHU/edit?usp=sharing  #gid=0"",""фіз особи new!relations_name""),6,FALSE)
,
(IF
(
G7354=""юридична особа""
,
VLOOKUP"&amp;"(H7354,IMPORTRANGE(""https://docs.google.com/spreadsheets/d/14Bd19lYaqBhU8_DElYkX7l4wRkHqqCUFNJY4AfY3kHU/edit?usp=sharing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353" s="7" t="s">
        <v>29</v>
      </c>
    </row>
    <row r="7354" spans="1:10" ht="13.2">
      <c r="A7354" s="7">
        <v>7353</v>
      </c>
      <c r="B7354" s="7">
        <v>1</v>
      </c>
      <c r="C7354" s="7" t="s">
        <v>10</v>
      </c>
      <c r="D7354" s="7">
        <v>8245</v>
      </c>
      <c r="E7354" s="7" t="s">
        <v>30</v>
      </c>
      <c r="F7354" s="8" t="str">
        <f ca="1">IFERROR(__xludf.DUMMYFUNCTION("IF
(
C7355=""фізична особа""
,
VLOOKUP(D7355,IMPORTRANGE(""https://docs.google.com/spreadsheets/d/14Bd19lYaqBhU8_DElYkX7l4wRkHqqCUFNJY4AfY3kHU/edit?usp=sharing  #gid=0"",""фіз особи new!relations_name""),6,FALSE)
,
(IF
(
C7355=""юридична особа""
,
VLOOKUP"&amp;"(D7355,IMPORTRANGE(""https://docs.google.com/spreadsheets/d/14Bd19lYaqBhU8_DElYkX7l4wRkHqqCUFNJY4AfY3kHU/edit?usp=sharing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4" s="7" t="s">
        <v>10</v>
      </c>
      <c r="H7354" s="7">
        <v>49</v>
      </c>
      <c r="I7354" s="8" t="str">
        <f ca="1">IFERROR(__xludf.DUMMYFUNCTION("IF
(
G7355=""фізична особа""
,
VLOOKUP(H7355,IMPORTRANGE(""https://docs.google.com/spreadsheets/d/14Bd19lYaqBhU8_DElYkX7l4wRkHqqCUFNJY4AfY3kHU/edit?usp=sharing  #gid=0"",""фіз особи new!relations_name""),6,FALSE)
,
(IF
(
G7355=""юридична особа""
,
VLOOKUP"&amp;"(H7355,IMPORTRANGE(""https://docs.google.com/spreadsheets/d/14Bd19lYaqBhU8_DElYkX7l4wRkHqqCUFNJY4AfY3kHU/edit?usp=sharing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54" s="7" t="s">
        <v>30</v>
      </c>
    </row>
    <row r="7355" spans="1:10" ht="13.2">
      <c r="A7355" s="7">
        <v>7354</v>
      </c>
      <c r="B7355" s="7">
        <v>1</v>
      </c>
      <c r="C7355" s="7" t="s">
        <v>10</v>
      </c>
      <c r="D7355" s="7">
        <v>8245</v>
      </c>
      <c r="E7355" s="7" t="s">
        <v>35</v>
      </c>
      <c r="F7355" s="8" t="str">
        <f ca="1">IFERROR(__xludf.DUMMYFUNCTION("IF
(
C7356=""фізична особа""
,
VLOOKUP(D7356,IMPORTRANGE(""https://docs.google.com/spreadsheets/d/14Bd19lYaqBhU8_DElYkX7l4wRkHqqCUFNJY4AfY3kHU/edit?usp=sharing  #gid=0"",""фіз особи new!relations_name""),6,FALSE)
,
(IF
(
C7356=""юридична особа""
,
VLOOKUP"&amp;"(D7356,IMPORTRANGE(""https://docs.google.com/spreadsheets/d/14Bd19lYaqBhU8_DElYkX7l4wRkHqqCUFNJY4AfY3kHU/edit?usp=sharing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5" s="7" t="s">
        <v>10</v>
      </c>
      <c r="H7355" s="7">
        <v>8343</v>
      </c>
      <c r="I7355" s="8" t="str">
        <f ca="1">IFERROR(__xludf.DUMMYFUNCTION("IF
(
G7356=""фізична особа""
,
VLOOKUP(H7356,IMPORTRANGE(""https://docs.google.com/spreadsheets/d/14Bd19lYaqBhU8_DElYkX7l4wRkHqqCUFNJY4AfY3kHU/edit?usp=sharing  #gid=0"",""фіз особи new!relations_name""),6,FALSE)
,
(IF
(
G7356=""юридична особа""
,
VLOOKUP"&amp;"(H7356,IMPORTRANGE(""https://docs.google.com/spreadsheets/d/14Bd19lYaqBhU8_DElYkX7l4wRkHqqCUFNJY4AfY3kHU/edit?usp=sharing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355" s="7" t="s">
        <v>35</v>
      </c>
    </row>
    <row r="7356" spans="1:10" ht="13.2">
      <c r="A7356" s="7">
        <v>7355</v>
      </c>
      <c r="B7356" s="7">
        <v>1</v>
      </c>
      <c r="C7356" s="7" t="s">
        <v>10</v>
      </c>
      <c r="D7356" s="7">
        <v>8245</v>
      </c>
      <c r="E7356" s="7" t="s">
        <v>35</v>
      </c>
      <c r="F7356" s="8" t="str">
        <f ca="1">IFERROR(__xludf.DUMMYFUNCTION("IF
(
C7357=""фізична особа""
,
VLOOKUP(D7357,IMPORTRANGE(""https://docs.google.com/spreadsheets/d/14Bd19lYaqBhU8_DElYkX7l4wRkHqqCUFNJY4AfY3kHU/edit?usp=sharing  #gid=0"",""фіз особи new!relations_name""),6,FALSE)
,
(IF
(
C7357=""юридична особа""
,
VLOOKUP"&amp;"(D7357,IMPORTRANGE(""https://docs.google.com/spreadsheets/d/14Bd19lYaqBhU8_DElYkX7l4wRkHqqCUFNJY4AfY3kHU/edit?usp=sharing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6" s="7" t="s">
        <v>10</v>
      </c>
      <c r="H7356" s="7">
        <v>8344</v>
      </c>
      <c r="I7356" s="8" t="str">
        <f ca="1">IFERROR(__xludf.DUMMYFUNCTION("IF
(
G7357=""фізична особа""
,
VLOOKUP(H7357,IMPORTRANGE(""https://docs.google.com/spreadsheets/d/14Bd19lYaqBhU8_DElYkX7l4wRkHqqCUFNJY4AfY3kHU/edit?usp=sharing  #gid=0"",""фіз особи new!relations_name""),6,FALSE)
,
(IF
(
G7357=""юридична особа""
,
VLOOKUP"&amp;"(H7357,IMPORTRANGE(""https://docs.google.com/spreadsheets/d/14Bd19lYaqBhU8_DElYkX7l4wRkHqqCUFNJY4AfY3kHU/edit?usp=sharing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56" s="7" t="s">
        <v>35</v>
      </c>
    </row>
    <row r="7357" spans="1:10" ht="13.2">
      <c r="A7357" s="7">
        <v>7356</v>
      </c>
      <c r="B7357" s="7">
        <v>1</v>
      </c>
      <c r="C7357" s="7" t="s">
        <v>10</v>
      </c>
      <c r="D7357" s="7">
        <v>8245</v>
      </c>
      <c r="E7357" s="7" t="s">
        <v>35</v>
      </c>
      <c r="F7357" s="8" t="str">
        <f ca="1">IFERROR(__xludf.DUMMYFUNCTION("IF
(
C7358=""фізична особа""
,
VLOOKUP(D7358,IMPORTRANGE(""https://docs.google.com/spreadsheets/d/14Bd19lYaqBhU8_DElYkX7l4wRkHqqCUFNJY4AfY3kHU/edit?usp=sharing  #gid=0"",""фіз особи new!relations_name""),6,FALSE)
,
(IF
(
C7358=""юридична особа""
,
VLOOKUP"&amp;"(D7358,IMPORTRANGE(""https://docs.google.com/spreadsheets/d/14Bd19lYaqBhU8_DElYkX7l4wRkHqqCUFNJY4AfY3kHU/edit?usp=sharing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G7357" s="7" t="s">
        <v>10</v>
      </c>
      <c r="H7357" s="7">
        <v>8345</v>
      </c>
      <c r="I7357" s="8" t="str">
        <f ca="1">IFERROR(__xludf.DUMMYFUNCTION("IF
(
G7358=""фізична особа""
,
VLOOKUP(H7358,IMPORTRANGE(""https://docs.google.com/spreadsheets/d/14Bd19lYaqBhU8_DElYkX7l4wRkHqqCUFNJY4AfY3kHU/edit?usp=sharing  #gid=0"",""фіз особи new!relations_name""),6,FALSE)
,
(IF
(
G7358=""юридична особа""
,
VLOOKUP"&amp;"(H7358,IMPORTRANGE(""https://docs.google.com/spreadsheets/d/14Bd19lYaqBhU8_DElYkX7l4wRkHqqCUFNJY4AfY3kHU/edit?usp=sharing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57" s="7" t="s">
        <v>35</v>
      </c>
    </row>
    <row r="7358" spans="1:10" ht="13.2">
      <c r="A7358" s="7">
        <v>7357</v>
      </c>
      <c r="B7358" s="7">
        <v>1</v>
      </c>
      <c r="C7358" s="7" t="s">
        <v>10</v>
      </c>
      <c r="D7358" s="7">
        <v>8246</v>
      </c>
      <c r="E7358" s="7" t="s">
        <v>104</v>
      </c>
      <c r="F7358" s="8" t="str">
        <f ca="1">IFERROR(__xludf.DUMMYFUNCTION("IF
(
C7359=""фізична особа""
,
VLOOKUP(D7359,IMPORTRANGE(""https://docs.google.com/spreadsheets/d/14Bd19lYaqBhU8_DElYkX7l4wRkHqqCUFNJY4AfY3kHU/edit?usp=sharing  #gid=0"",""фіз особи new!relations_name""),6,FALSE)
,
(IF
(
C7359=""юридична особа""
,
VLOOKUP"&amp;"(D7359,IMPORTRANGE(""https://docs.google.com/spreadsheets/d/14Bd19lYaqBhU8_DElYkX7l4wRkHqqCUFNJY4AfY3kHU/edit?usp=sharing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58" s="7" t="s">
        <v>10</v>
      </c>
      <c r="H7358" s="7">
        <v>144</v>
      </c>
      <c r="I7358" s="8" t="str">
        <f ca="1">IFERROR(__xludf.DUMMYFUNCTION("IF
(
G7359=""фізична особа""
,
VLOOKUP(H7359,IMPORTRANGE(""https://docs.google.com/spreadsheets/d/14Bd19lYaqBhU8_DElYkX7l4wRkHqqCUFNJY4AfY3kHU/edit?usp=sharing  #gid=0"",""фіз особи new!relations_name""),6,FALSE)
,
(IF
(
G7359=""юридична особа""
,
VLOOKUP"&amp;"(H7359,IMPORTRANGE(""https://docs.google.com/spreadsheets/d/14Bd19lYaqBhU8_DElYkX7l4wRkHqqCUFNJY4AfY3kHU/edit?usp=sharing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58" s="7" t="s">
        <v>101</v>
      </c>
    </row>
    <row r="7359" spans="1:10" ht="13.2">
      <c r="A7359" s="7">
        <v>7358</v>
      </c>
      <c r="B7359" s="7">
        <v>1</v>
      </c>
      <c r="C7359" s="7" t="s">
        <v>10</v>
      </c>
      <c r="D7359" s="7">
        <v>8246</v>
      </c>
      <c r="E7359" s="7" t="s">
        <v>104</v>
      </c>
      <c r="F7359" s="8" t="str">
        <f ca="1">IFERROR(__xludf.DUMMYFUNCTION("IF
(
C7360=""фізична особа""
,
VLOOKUP(D7360,IMPORTRANGE(""https://docs.google.com/spreadsheets/d/14Bd19lYaqBhU8_DElYkX7l4wRkHqqCUFNJY4AfY3kHU/edit?usp=sharing  #gid=0"",""фіз особи new!relations_name""),6,FALSE)
,
(IF
(
C7360=""юридична особа""
,
VLOOKUP"&amp;"(D7360,IMPORTRANGE(""https://docs.google.com/spreadsheets/d/14Bd19lYaqBhU8_DElYkX7l4wRkHqqCUFNJY4AfY3kHU/edit?usp=sharing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59" s="7" t="s">
        <v>10</v>
      </c>
      <c r="H7359" s="7">
        <v>629</v>
      </c>
      <c r="I7359" s="8" t="str">
        <f ca="1">IFERROR(__xludf.DUMMYFUNCTION("IF
(
G7360=""фізична особа""
,
VLOOKUP(H7360,IMPORTRANGE(""https://docs.google.com/spreadsheets/d/14Bd19lYaqBhU8_DElYkX7l4wRkHqqCUFNJY4AfY3kHU/edit?usp=sharing  #gid=0"",""фіз особи new!relations_name""),6,FALSE)
,
(IF
(
G7360=""юридична особа""
,
VLOOKUP"&amp;"(H7360,IMPORTRANGE(""https://docs.google.com/spreadsheets/d/14Bd19lYaqBhU8_DElYkX7l4wRkHqqCUFNJY4AfY3kHU/edit?usp=sharing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59" s="7" t="s">
        <v>101</v>
      </c>
    </row>
    <row r="7360" spans="1:10" ht="13.2">
      <c r="A7360" s="7">
        <v>7359</v>
      </c>
      <c r="B7360" s="7">
        <v>1</v>
      </c>
      <c r="C7360" s="7" t="s">
        <v>10</v>
      </c>
      <c r="D7360" s="7">
        <v>8246</v>
      </c>
      <c r="E7360" s="7" t="s">
        <v>30</v>
      </c>
      <c r="F7360" s="8" t="str">
        <f ca="1">IFERROR(__xludf.DUMMYFUNCTION("IF
(
C7361=""фізична особа""
,
VLOOKUP(D7361,IMPORTRANGE(""https://docs.google.com/spreadsheets/d/14Bd19lYaqBhU8_DElYkX7l4wRkHqqCUFNJY4AfY3kHU/edit?usp=sharing  #gid=0"",""фіз особи new!relations_name""),6,FALSE)
,
(IF
(
C7361=""юридична особа""
,
VLOOKUP"&amp;"(D7361,IMPORTRANGE(""https://docs.google.com/spreadsheets/d/14Bd19lYaqBhU8_DElYkX7l4wRkHqqCUFNJY4AfY3kHU/edit?usp=sharing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0" s="7" t="s">
        <v>10</v>
      </c>
      <c r="H7360" s="7">
        <v>8244</v>
      </c>
      <c r="I7360" s="8" t="str">
        <f ca="1">IFERROR(__xludf.DUMMYFUNCTION("IF
(
G7361=""фізична особа""
,
VLOOKUP(H7361,IMPORTRANGE(""https://docs.google.com/spreadsheets/d/14Bd19lYaqBhU8_DElYkX7l4wRkHqqCUFNJY4AfY3kHU/edit?usp=sharing  #gid=0"",""фіз особи new!relations_name""),6,FALSE)
,
(IF
(
G7361=""юридична особа""
,
VLOOKUP"&amp;"(H7361,IMPORTRANGE(""https://docs.google.com/spreadsheets/d/14Bd19lYaqBhU8_DElYkX7l4wRkHqqCUFNJY4AfY3kHU/edit?usp=sharing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360" s="7" t="s">
        <v>30</v>
      </c>
    </row>
    <row r="7361" spans="1:10" ht="13.2">
      <c r="A7361" s="7">
        <v>7360</v>
      </c>
      <c r="B7361" s="7">
        <v>1</v>
      </c>
      <c r="C7361" s="7" t="s">
        <v>10</v>
      </c>
      <c r="D7361" s="7">
        <v>8246</v>
      </c>
      <c r="E7361" s="7" t="s">
        <v>30</v>
      </c>
      <c r="F7361" s="8" t="str">
        <f ca="1">IFERROR(__xludf.DUMMYFUNCTION("IF
(
C7362=""фізична особа""
,
VLOOKUP(D7362,IMPORTRANGE(""https://docs.google.com/spreadsheets/d/14Bd19lYaqBhU8_DElYkX7l4wRkHqqCUFNJY4AfY3kHU/edit?usp=sharing  #gid=0"",""фіз особи new!relations_name""),6,FALSE)
,
(IF
(
C7362=""юридична особа""
,
VLOOKUP"&amp;"(D7362,IMPORTRANGE(""https://docs.google.com/spreadsheets/d/14Bd19lYaqBhU8_DElYkX7l4wRkHqqCUFNJY4AfY3kHU/edit?usp=sharing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1" s="7" t="s">
        <v>10</v>
      </c>
      <c r="H7361" s="7">
        <v>8245</v>
      </c>
      <c r="I7361" s="8" t="str">
        <f ca="1">IFERROR(__xludf.DUMMYFUNCTION("IF
(
G7362=""фізична особа""
,
VLOOKUP(H7362,IMPORTRANGE(""https://docs.google.com/spreadsheets/d/14Bd19lYaqBhU8_DElYkX7l4wRkHqqCUFNJY4AfY3kHU/edit?usp=sharing  #gid=0"",""фіз особи new!relations_name""),6,FALSE)
,
(IF
(
G7362=""юридична особа""
,
VLOOKUP"&amp;"(H7362,IMPORTRANGE(""https://docs.google.com/spreadsheets/d/14Bd19lYaqBhU8_DElYkX7l4wRkHqqCUFNJY4AfY3kHU/edit?usp=sharing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361" s="7" t="s">
        <v>30</v>
      </c>
    </row>
    <row r="7362" spans="1:10" ht="13.2">
      <c r="A7362" s="7">
        <v>7361</v>
      </c>
      <c r="B7362" s="7">
        <v>1</v>
      </c>
      <c r="C7362" s="7" t="s">
        <v>10</v>
      </c>
      <c r="D7362" s="7">
        <v>8246</v>
      </c>
      <c r="E7362" s="7" t="s">
        <v>104</v>
      </c>
      <c r="F7362" s="8" t="str">
        <f ca="1">IFERROR(__xludf.DUMMYFUNCTION("IF
(
C7363=""фізична особа""
,
VLOOKUP(D7363,IMPORTRANGE(""https://docs.google.com/spreadsheets/d/14Bd19lYaqBhU8_DElYkX7l4wRkHqqCUFNJY4AfY3kHU/edit?usp=sharing  #gid=0"",""фіз особи new!relations_name""),6,FALSE)
,
(IF
(
C7363=""юридична особа""
,
VLOOKUP"&amp;"(D7363,IMPORTRANGE(""https://docs.google.com/spreadsheets/d/14Bd19lYaqBhU8_DElYkX7l4wRkHqqCUFNJY4AfY3kHU/edit?usp=sharing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2" s="7" t="s">
        <v>10</v>
      </c>
      <c r="H7362" s="7">
        <v>8248</v>
      </c>
      <c r="I7362" s="8" t="str">
        <f ca="1">IFERROR(__xludf.DUMMYFUNCTION("IF
(
G7363=""фізична особа""
,
VLOOKUP(H7363,IMPORTRANGE(""https://docs.google.com/spreadsheets/d/14Bd19lYaqBhU8_DElYkX7l4wRkHqqCUFNJY4AfY3kHU/edit?usp=sharing  #gid=0"",""фіз особи new!relations_name""),6,FALSE)
,
(IF
(
G7363=""юридична особа""
,
VLOOKUP"&amp;"(H7363,IMPORTRANGE(""https://docs.google.com/spreadsheets/d/14Bd19lYaqBhU8_DElYkX7l4wRkHqqCUFNJY4AfY3kHU/edit?usp=sharing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362" s="7" t="s">
        <v>104</v>
      </c>
    </row>
    <row r="7363" spans="1:10" ht="13.2">
      <c r="A7363" s="7">
        <v>7362</v>
      </c>
      <c r="B7363" s="7">
        <v>1</v>
      </c>
      <c r="C7363" s="7" t="s">
        <v>10</v>
      </c>
      <c r="D7363" s="7">
        <v>8246</v>
      </c>
      <c r="E7363" s="7" t="s">
        <v>104</v>
      </c>
      <c r="F7363" s="8" t="str">
        <f ca="1">IFERROR(__xludf.DUMMYFUNCTION("IF
(
C7364=""фізична особа""
,
VLOOKUP(D7364,IMPORTRANGE(""https://docs.google.com/spreadsheets/d/14Bd19lYaqBhU8_DElYkX7l4wRkHqqCUFNJY4AfY3kHU/edit?usp=sharing  #gid=0"",""фіз особи new!relations_name""),6,FALSE)
,
(IF
(
C7364=""юридична особа""
,
VLOOKUP"&amp;"(D7364,IMPORTRANGE(""https://docs.google.com/spreadsheets/d/14Bd19lYaqBhU8_DElYkX7l4wRkHqqCUFNJY4AfY3kHU/edit?usp=sharing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3" s="7" t="s">
        <v>10</v>
      </c>
      <c r="H7363" s="7">
        <v>8247</v>
      </c>
      <c r="I7363" s="8" t="str">
        <f ca="1">IFERROR(__xludf.DUMMYFUNCTION("IF
(
G7364=""фізична особа""
,
VLOOKUP(H7364,IMPORTRANGE(""https://docs.google.com/spreadsheets/d/14Bd19lYaqBhU8_DElYkX7l4wRkHqqCUFNJY4AfY3kHU/edit?usp=sharing  #gid=0"",""фіз особи new!relations_name""),6,FALSE)
,
(IF
(
G7364=""юридична особа""
,
VLOOKUP"&amp;"(H7364,IMPORTRANGE(""https://docs.google.com/spreadsheets/d/14Bd19lYaqBhU8_DElYkX7l4wRkHqqCUFNJY4AfY3kHU/edit?usp=sharing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363" s="7" t="s">
        <v>104</v>
      </c>
    </row>
    <row r="7364" spans="1:10" ht="13.2">
      <c r="A7364" s="7">
        <v>7363</v>
      </c>
      <c r="B7364" s="7">
        <v>1</v>
      </c>
      <c r="C7364" s="7" t="s">
        <v>10</v>
      </c>
      <c r="D7364" s="7">
        <v>8246</v>
      </c>
      <c r="E7364" s="7" t="s">
        <v>30</v>
      </c>
      <c r="F7364" s="8" t="str">
        <f ca="1">IFERROR(__xludf.DUMMYFUNCTION("IF
(
C7365=""фізична особа""
,
VLOOKUP(D7365,IMPORTRANGE(""https://docs.google.com/spreadsheets/d/14Bd19lYaqBhU8_DElYkX7l4wRkHqqCUFNJY4AfY3kHU/edit?usp=sharing  #gid=0"",""фіз особи new!relations_name""),6,FALSE)
,
(IF
(
C7365=""юридична особа""
,
VLOOKUP"&amp;"(D7365,IMPORTRANGE(""https://docs.google.com/spreadsheets/d/14Bd19lYaqBhU8_DElYkX7l4wRkHqqCUFNJY4AfY3kHU/edit?usp=sharing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4" s="7" t="s">
        <v>10</v>
      </c>
      <c r="H7364" s="7">
        <v>8340</v>
      </c>
      <c r="I7364" s="8" t="str">
        <f ca="1">IFERROR(__xludf.DUMMYFUNCTION("IF
(
G7365=""фізична особа""
,
VLOOKUP(H7365,IMPORTRANGE(""https://docs.google.com/spreadsheets/d/14Bd19lYaqBhU8_DElYkX7l4wRkHqqCUFNJY4AfY3kHU/edit?usp=sharing  #gid=0"",""фіз особи new!relations_name""),6,FALSE)
,
(IF
(
G7365=""юридична особа""
,
VLOOKUP"&amp;"(H7365,IMPORTRANGE(""https://docs.google.com/spreadsheets/d/14Bd19lYaqBhU8_DElYkX7l4wRkHqqCUFNJY4AfY3kHU/edit?usp=sharing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64" s="7" t="s">
        <v>30</v>
      </c>
    </row>
    <row r="7365" spans="1:10" ht="13.2">
      <c r="A7365" s="7">
        <v>7364</v>
      </c>
      <c r="B7365" s="7">
        <v>1</v>
      </c>
      <c r="C7365" s="7" t="s">
        <v>10</v>
      </c>
      <c r="D7365" s="7">
        <v>8246</v>
      </c>
      <c r="E7365" s="7" t="s">
        <v>30</v>
      </c>
      <c r="F7365" s="8" t="str">
        <f ca="1">IFERROR(__xludf.DUMMYFUNCTION("IF
(
C7366=""фізична особа""
,
VLOOKUP(D7366,IMPORTRANGE(""https://docs.google.com/spreadsheets/d/14Bd19lYaqBhU8_DElYkX7l4wRkHqqCUFNJY4AfY3kHU/edit?usp=sharing  #gid=0"",""фіз особи new!relations_name""),6,FALSE)
,
(IF
(
C7366=""юридична особа""
,
VLOOKUP"&amp;"(D7366,IMPORTRANGE(""https://docs.google.com/spreadsheets/d/14Bd19lYaqBhU8_DElYkX7l4wRkHqqCUFNJY4AfY3kHU/edit?usp=sharing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5" s="7" t="s">
        <v>10</v>
      </c>
      <c r="H7365" s="7">
        <v>8341</v>
      </c>
      <c r="I7365" s="8" t="str">
        <f ca="1">IFERROR(__xludf.DUMMYFUNCTION("IF
(
G7366=""фізична особа""
,
VLOOKUP(H7366,IMPORTRANGE(""https://docs.google.com/spreadsheets/d/14Bd19lYaqBhU8_DElYkX7l4wRkHqqCUFNJY4AfY3kHU/edit?usp=sharing  #gid=0"",""фіз особи new!relations_name""),6,FALSE)
,
(IF
(
G7366=""юридична особа""
,
VLOOKUP"&amp;"(H7366,IMPORTRANGE(""https://docs.google.com/spreadsheets/d/14Bd19lYaqBhU8_DElYkX7l4wRkHqqCUFNJY4AfY3kHU/edit?usp=sharing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65" s="7" t="s">
        <v>30</v>
      </c>
    </row>
    <row r="7366" spans="1:10" ht="13.2">
      <c r="A7366" s="7">
        <v>7365</v>
      </c>
      <c r="B7366" s="7">
        <v>1</v>
      </c>
      <c r="C7366" s="7" t="s">
        <v>10</v>
      </c>
      <c r="D7366" s="7">
        <v>8246</v>
      </c>
      <c r="E7366" s="7" t="s">
        <v>30</v>
      </c>
      <c r="F7366" s="8" t="str">
        <f ca="1">IFERROR(__xludf.DUMMYFUNCTION("IF
(
C7367=""фізична особа""
,
VLOOKUP(D7367,IMPORTRANGE(""https://docs.google.com/spreadsheets/d/14Bd19lYaqBhU8_DElYkX7l4wRkHqqCUFNJY4AfY3kHU/edit?usp=sharing  #gid=0"",""фіз особи new!relations_name""),6,FALSE)
,
(IF
(
C7367=""юридична особа""
,
VLOOKUP"&amp;"(D7367,IMPORTRANGE(""https://docs.google.com/spreadsheets/d/14Bd19lYaqBhU8_DElYkX7l4wRkHqqCUFNJY4AfY3kHU/edit?usp=sharing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6" s="7" t="s">
        <v>10</v>
      </c>
      <c r="H7366" s="7">
        <v>8342</v>
      </c>
      <c r="I7366" s="8" t="str">
        <f ca="1">IFERROR(__xludf.DUMMYFUNCTION("IF
(
G7367=""фізична особа""
,
VLOOKUP(H7367,IMPORTRANGE(""https://docs.google.com/spreadsheets/d/14Bd19lYaqBhU8_DElYkX7l4wRkHqqCUFNJY4AfY3kHU/edit?usp=sharing  #gid=0"",""фіз особи new!relations_name""),6,FALSE)
,
(IF
(
G7367=""юридична особа""
,
VLOOKUP"&amp;"(H7367,IMPORTRANGE(""https://docs.google.com/spreadsheets/d/14Bd19lYaqBhU8_DElYkX7l4wRkHqqCUFNJY4AfY3kHU/edit?usp=sharing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66" s="7" t="s">
        <v>30</v>
      </c>
    </row>
    <row r="7367" spans="1:10" ht="13.2">
      <c r="A7367" s="7">
        <v>7366</v>
      </c>
      <c r="B7367" s="7">
        <v>1</v>
      </c>
      <c r="C7367" s="7" t="s">
        <v>10</v>
      </c>
      <c r="D7367" s="7">
        <v>8246</v>
      </c>
      <c r="E7367" s="7" t="s">
        <v>104</v>
      </c>
      <c r="F7367" s="8" t="str">
        <f ca="1">IFERROR(__xludf.DUMMYFUNCTION("IF
(
C7368=""фізична особа""
,
VLOOKUP(D7368,IMPORTRANGE(""https://docs.google.com/spreadsheets/d/14Bd19lYaqBhU8_DElYkX7l4wRkHqqCUFNJY4AfY3kHU/edit?usp=sharing  #gid=0"",""фіз особи new!relations_name""),6,FALSE)
,
(IF
(
C7368=""юридична особа""
,
VLOOKUP"&amp;"(D7368,IMPORTRANGE(""https://docs.google.com/spreadsheets/d/14Bd19lYaqBhU8_DElYkX7l4wRkHqqCUFNJY4AfY3kHU/edit?usp=sharing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7" s="7" t="s">
        <v>10</v>
      </c>
      <c r="H7367" s="7">
        <v>8243</v>
      </c>
      <c r="I7367" s="8" t="str">
        <f ca="1">IFERROR(__xludf.DUMMYFUNCTION("IF
(
G7368=""фізична особа""
,
VLOOKUP(H7368,IMPORTRANGE(""https://docs.google.com/spreadsheets/d/14Bd19lYaqBhU8_DElYkX7l4wRkHqqCUFNJY4AfY3kHU/edit?usp=sharing  #gid=0"",""фіз особи new!relations_name""),6,FALSE)
,
(IF
(
G7368=""юридична особа""
,
VLOOKUP"&amp;"(H7368,IMPORTRANGE(""https://docs.google.com/spreadsheets/d/14Bd19lYaqBhU8_DElYkX7l4wRkHqqCUFNJY4AfY3kHU/edit?usp=sharing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367" s="7" t="s">
        <v>29</v>
      </c>
    </row>
    <row r="7368" spans="1:10" ht="13.2">
      <c r="A7368" s="7">
        <v>7367</v>
      </c>
      <c r="B7368" s="7">
        <v>1</v>
      </c>
      <c r="C7368" s="7" t="s">
        <v>10</v>
      </c>
      <c r="D7368" s="7">
        <v>8246</v>
      </c>
      <c r="E7368" s="7" t="s">
        <v>30</v>
      </c>
      <c r="F7368" s="8" t="str">
        <f ca="1">IFERROR(__xludf.DUMMYFUNCTION("IF
(
C7369=""фізична особа""
,
VLOOKUP(D7369,IMPORTRANGE(""https://docs.google.com/spreadsheets/d/14Bd19lYaqBhU8_DElYkX7l4wRkHqqCUFNJY4AfY3kHU/edit?usp=sharing  #gid=0"",""фіз особи new!relations_name""),6,FALSE)
,
(IF
(
C7369=""юридична особа""
,
VLOOKUP"&amp;"(D7369,IMPORTRANGE(""https://docs.google.com/spreadsheets/d/14Bd19lYaqBhU8_DElYkX7l4wRkHqqCUFNJY4AfY3kHU/edit?usp=sharing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8" s="7" t="s">
        <v>10</v>
      </c>
      <c r="H7368" s="7">
        <v>49</v>
      </c>
      <c r="I7368" s="8" t="str">
        <f ca="1">IFERROR(__xludf.DUMMYFUNCTION("IF
(
G7369=""фізична особа""
,
VLOOKUP(H7369,IMPORTRANGE(""https://docs.google.com/spreadsheets/d/14Bd19lYaqBhU8_DElYkX7l4wRkHqqCUFNJY4AfY3kHU/edit?usp=sharing  #gid=0"",""фіз особи new!relations_name""),6,FALSE)
,
(IF
(
G7369=""юридична особа""
,
VLOOKUP"&amp;"(H7369,IMPORTRANGE(""https://docs.google.com/spreadsheets/d/14Bd19lYaqBhU8_DElYkX7l4wRkHqqCUFNJY4AfY3kHU/edit?usp=sharing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68" s="7" t="s">
        <v>30</v>
      </c>
    </row>
    <row r="7369" spans="1:10" ht="13.2">
      <c r="A7369" s="7">
        <v>7368</v>
      </c>
      <c r="B7369" s="7">
        <v>1</v>
      </c>
      <c r="C7369" s="7" t="s">
        <v>10</v>
      </c>
      <c r="D7369" s="7">
        <v>8246</v>
      </c>
      <c r="E7369" s="7" t="s">
        <v>30</v>
      </c>
      <c r="F7369" s="8" t="str">
        <f ca="1">IFERROR(__xludf.DUMMYFUNCTION("IF
(
C7370=""фізична особа""
,
VLOOKUP(D7370,IMPORTRANGE(""https://docs.google.com/spreadsheets/d/14Bd19lYaqBhU8_DElYkX7l4wRkHqqCUFNJY4AfY3kHU/edit?usp=sharing  #gid=0"",""фіз особи new!relations_name""),6,FALSE)
,
(IF
(
C7370=""юридична особа""
,
VLOOKUP"&amp;"(D7370,IMPORTRANGE(""https://docs.google.com/spreadsheets/d/14Bd19lYaqBhU8_DElYkX7l4wRkHqqCUFNJY4AfY3kHU/edit?usp=sharing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69" s="7" t="s">
        <v>10</v>
      </c>
      <c r="H7369" s="7">
        <v>8346</v>
      </c>
      <c r="I7369" s="8" t="str">
        <f ca="1">IFERROR(__xludf.DUMMYFUNCTION("IF
(
G7370=""фізична особа""
,
VLOOKUP(H7370,IMPORTRANGE(""https://docs.google.com/spreadsheets/d/14Bd19lYaqBhU8_DElYkX7l4wRkHqqCUFNJY4AfY3kHU/edit?usp=sharing  #gid=0"",""фіз особи new!relations_name""),6,FALSE)
,
(IF
(
G7370=""юридична особа""
,
VLOOKUP"&amp;"(H7370,IMPORTRANGE(""https://docs.google.com/spreadsheets/d/14Bd19lYaqBhU8_DElYkX7l4wRkHqqCUFNJY4AfY3kHU/edit?usp=sharing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69" s="7" t="s">
        <v>30</v>
      </c>
    </row>
    <row r="7370" spans="1:10" ht="13.2">
      <c r="A7370" s="7">
        <v>7369</v>
      </c>
      <c r="B7370" s="7">
        <v>1</v>
      </c>
      <c r="C7370" s="7" t="s">
        <v>10</v>
      </c>
      <c r="D7370" s="7">
        <v>8246</v>
      </c>
      <c r="E7370" s="7" t="s">
        <v>30</v>
      </c>
      <c r="F7370" s="8" t="str">
        <f ca="1">IFERROR(__xludf.DUMMYFUNCTION("IF
(
C7371=""фізична особа""
,
VLOOKUP(D7371,IMPORTRANGE(""https://docs.google.com/spreadsheets/d/14Bd19lYaqBhU8_DElYkX7l4wRkHqqCUFNJY4AfY3kHU/edit?usp=sharing  #gid=0"",""фіз особи new!relations_name""),6,FALSE)
,
(IF
(
C7371=""юридична особа""
,
VLOOKUP"&amp;"(D7371,IMPORTRANGE(""https://docs.google.com/spreadsheets/d/14Bd19lYaqBhU8_DElYkX7l4wRkHqqCUFNJY4AfY3kHU/edit?usp=sharing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70" s="7" t="s">
        <v>10</v>
      </c>
      <c r="H7370" s="7">
        <v>8344</v>
      </c>
      <c r="I7370" s="8" t="str">
        <f ca="1">IFERROR(__xludf.DUMMYFUNCTION("IF
(
G7371=""фізична особа""
,
VLOOKUP(H7371,IMPORTRANGE(""https://docs.google.com/spreadsheets/d/14Bd19lYaqBhU8_DElYkX7l4wRkHqqCUFNJY4AfY3kHU/edit?usp=sharing  #gid=0"",""фіз особи new!relations_name""),6,FALSE)
,
(IF
(
G7371=""юридична особа""
,
VLOOKUP"&amp;"(H7371,IMPORTRANGE(""https://docs.google.com/spreadsheets/d/14Bd19lYaqBhU8_DElYkX7l4wRkHqqCUFNJY4AfY3kHU/edit?usp=sharing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70" s="7" t="s">
        <v>30</v>
      </c>
    </row>
    <row r="7371" spans="1:10" ht="13.2">
      <c r="A7371" s="7">
        <v>7370</v>
      </c>
      <c r="B7371" s="7">
        <v>1</v>
      </c>
      <c r="C7371" s="7" t="s">
        <v>10</v>
      </c>
      <c r="D7371" s="7">
        <v>8246</v>
      </c>
      <c r="E7371" s="7" t="s">
        <v>30</v>
      </c>
      <c r="F7371" s="8" t="str">
        <f ca="1">IFERROR(__xludf.DUMMYFUNCTION("IF
(
C7372=""фізична особа""
,
VLOOKUP(D7372,IMPORTRANGE(""https://docs.google.com/spreadsheets/d/14Bd19lYaqBhU8_DElYkX7l4wRkHqqCUFNJY4AfY3kHU/edit?usp=sharing  #gid=0"",""фіз особи new!relations_name""),6,FALSE)
,
(IF
(
C7372=""юридична особа""
,
VLOOKUP"&amp;"(D7372,IMPORTRANGE(""https://docs.google.com/spreadsheets/d/14Bd19lYaqBhU8_DElYkX7l4wRkHqqCUFNJY4AfY3kHU/edit?usp=sharing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G7371" s="7" t="s">
        <v>10</v>
      </c>
      <c r="H7371" s="7">
        <v>8345</v>
      </c>
      <c r="I7371" s="8" t="str">
        <f ca="1">IFERROR(__xludf.DUMMYFUNCTION("IF
(
G7372=""фізична особа""
,
VLOOKUP(H7372,IMPORTRANGE(""https://docs.google.com/spreadsheets/d/14Bd19lYaqBhU8_DElYkX7l4wRkHqqCUFNJY4AfY3kHU/edit?usp=sharing  #gid=0"",""фіз особи new!relations_name""),6,FALSE)
,
(IF
(
G7372=""юридична особа""
,
VLOOKUP"&amp;"(H7372,IMPORTRANGE(""https://docs.google.com/spreadsheets/d/14Bd19lYaqBhU8_DElYkX7l4wRkHqqCUFNJY4AfY3kHU/edit?usp=sharing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71" s="7" t="s">
        <v>30</v>
      </c>
    </row>
    <row r="7372" spans="1:10" ht="13.2">
      <c r="A7372" s="7">
        <v>7371</v>
      </c>
      <c r="B7372" s="7">
        <v>1</v>
      </c>
      <c r="C7372" s="7" t="s">
        <v>10</v>
      </c>
      <c r="D7372" s="7">
        <v>8247</v>
      </c>
      <c r="E7372" s="7" t="s">
        <v>104</v>
      </c>
      <c r="F7372" s="8" t="str">
        <f ca="1">IFERROR(__xludf.DUMMYFUNCTION("IF
(
C7373=""фізична особа""
,
VLOOKUP(D7373,IMPORTRANGE(""https://docs.google.com/spreadsheets/d/14Bd19lYaqBhU8_DElYkX7l4wRkHqqCUFNJY4AfY3kHU/edit?usp=sharing  #gid=0"",""фіз особи new!relations_name""),6,FALSE)
,
(IF
(
C7373=""юридична особа""
,
VLOOKUP"&amp;"(D7373,IMPORTRANGE(""https://docs.google.com/spreadsheets/d/14Bd19lYaqBhU8_DElYkX7l4wRkHqqCUFNJY4AfY3kHU/edit?usp=sharing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2" s="7" t="s">
        <v>10</v>
      </c>
      <c r="H7372" s="7">
        <v>144</v>
      </c>
      <c r="I7372" s="8" t="str">
        <f ca="1">IFERROR(__xludf.DUMMYFUNCTION("IF
(
G7373=""фізична особа""
,
VLOOKUP(H7373,IMPORTRANGE(""https://docs.google.com/spreadsheets/d/14Bd19lYaqBhU8_DElYkX7l4wRkHqqCUFNJY4AfY3kHU/edit?usp=sharing  #gid=0"",""фіз особи new!relations_name""),6,FALSE)
,
(IF
(
G7373=""юридична особа""
,
VLOOKUP"&amp;"(H7373,IMPORTRANGE(""https://docs.google.com/spreadsheets/d/14Bd19lYaqBhU8_DElYkX7l4wRkHqqCUFNJY4AfY3kHU/edit?usp=sharing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72" s="7" t="s">
        <v>101</v>
      </c>
    </row>
    <row r="7373" spans="1:10" ht="13.2">
      <c r="A7373" s="7">
        <v>7372</v>
      </c>
      <c r="B7373" s="7">
        <v>1</v>
      </c>
      <c r="C7373" s="7" t="s">
        <v>10</v>
      </c>
      <c r="D7373" s="7">
        <v>8247</v>
      </c>
      <c r="E7373" s="7" t="s">
        <v>104</v>
      </c>
      <c r="F7373" s="8" t="str">
        <f ca="1">IFERROR(__xludf.DUMMYFUNCTION("IF
(
C7374=""фізична особа""
,
VLOOKUP(D7374,IMPORTRANGE(""https://docs.google.com/spreadsheets/d/14Bd19lYaqBhU8_DElYkX7l4wRkHqqCUFNJY4AfY3kHU/edit?usp=sharing  #gid=0"",""фіз особи new!relations_name""),6,FALSE)
,
(IF
(
C7374=""юридична особа""
,
VLOOKUP"&amp;"(D7374,IMPORTRANGE(""https://docs.google.com/spreadsheets/d/14Bd19lYaqBhU8_DElYkX7l4wRkHqqCUFNJY4AfY3kHU/edit?usp=sharing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3" s="7" t="s">
        <v>10</v>
      </c>
      <c r="H7373" s="7">
        <v>629</v>
      </c>
      <c r="I7373" s="8" t="str">
        <f ca="1">IFERROR(__xludf.DUMMYFUNCTION("IF
(
G7374=""фізична особа""
,
VLOOKUP(H7374,IMPORTRANGE(""https://docs.google.com/spreadsheets/d/14Bd19lYaqBhU8_DElYkX7l4wRkHqqCUFNJY4AfY3kHU/edit?usp=sharing  #gid=0"",""фіз особи new!relations_name""),6,FALSE)
,
(IF
(
G7374=""юридична особа""
,
VLOOKUP"&amp;"(H7374,IMPORTRANGE(""https://docs.google.com/spreadsheets/d/14Bd19lYaqBhU8_DElYkX7l4wRkHqqCUFNJY4AfY3kHU/edit?usp=sharing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73" s="7" t="s">
        <v>101</v>
      </c>
    </row>
    <row r="7374" spans="1:10" ht="13.2">
      <c r="A7374" s="7">
        <v>7373</v>
      </c>
      <c r="B7374" s="7">
        <v>1</v>
      </c>
      <c r="C7374" s="7" t="s">
        <v>10</v>
      </c>
      <c r="D7374" s="7">
        <v>8247</v>
      </c>
      <c r="E7374" s="7" t="s">
        <v>30</v>
      </c>
      <c r="F7374" s="8" t="str">
        <f ca="1">IFERROR(__xludf.DUMMYFUNCTION("IF
(
C7375=""фізична особа""
,
VLOOKUP(D7375,IMPORTRANGE(""https://docs.google.com/spreadsheets/d/14Bd19lYaqBhU8_DElYkX7l4wRkHqqCUFNJY4AfY3kHU/edit?usp=sharing  #gid=0"",""фіз особи new!relations_name""),6,FALSE)
,
(IF
(
C7375=""юридична особа""
,
VLOOKUP"&amp;"(D7375,IMPORTRANGE(""https://docs.google.com/spreadsheets/d/14Bd19lYaqBhU8_DElYkX7l4wRkHqqCUFNJY4AfY3kHU/edit?usp=sharing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4" s="7" t="s">
        <v>10</v>
      </c>
      <c r="H7374" s="7">
        <v>8244</v>
      </c>
      <c r="I7374" s="8" t="str">
        <f ca="1">IFERROR(__xludf.DUMMYFUNCTION("IF
(
G7375=""фізична особа""
,
VLOOKUP(H7375,IMPORTRANGE(""https://docs.google.com/spreadsheets/d/14Bd19lYaqBhU8_DElYkX7l4wRkHqqCUFNJY4AfY3kHU/edit?usp=sharing  #gid=0"",""фіз особи new!relations_name""),6,FALSE)
,
(IF
(
G7375=""юридична особа""
,
VLOOKUP"&amp;"(H7375,IMPORTRANGE(""https://docs.google.com/spreadsheets/d/14Bd19lYaqBhU8_DElYkX7l4wRkHqqCUFNJY4AfY3kHU/edit?usp=sharing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374" s="7" t="s">
        <v>30</v>
      </c>
    </row>
    <row r="7375" spans="1:10" ht="13.2">
      <c r="A7375" s="7">
        <v>7374</v>
      </c>
      <c r="B7375" s="7">
        <v>1</v>
      </c>
      <c r="C7375" s="7" t="s">
        <v>10</v>
      </c>
      <c r="D7375" s="7">
        <v>8247</v>
      </c>
      <c r="E7375" s="7" t="s">
        <v>30</v>
      </c>
      <c r="F7375" s="8" t="str">
        <f ca="1">IFERROR(__xludf.DUMMYFUNCTION("IF
(
C7376=""фізична особа""
,
VLOOKUP(D7376,IMPORTRANGE(""https://docs.google.com/spreadsheets/d/14Bd19lYaqBhU8_DElYkX7l4wRkHqqCUFNJY4AfY3kHU/edit?usp=sharing  #gid=0"",""фіз особи new!relations_name""),6,FALSE)
,
(IF
(
C7376=""юридична особа""
,
VLOOKUP"&amp;"(D7376,IMPORTRANGE(""https://docs.google.com/spreadsheets/d/14Bd19lYaqBhU8_DElYkX7l4wRkHqqCUFNJY4AfY3kHU/edit?usp=sharing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5" s="7" t="s">
        <v>10</v>
      </c>
      <c r="H7375" s="7">
        <v>8245</v>
      </c>
      <c r="I7375" s="8" t="str">
        <f ca="1">IFERROR(__xludf.DUMMYFUNCTION("IF
(
G7376=""фізична особа""
,
VLOOKUP(H7376,IMPORTRANGE(""https://docs.google.com/spreadsheets/d/14Bd19lYaqBhU8_DElYkX7l4wRkHqqCUFNJY4AfY3kHU/edit?usp=sharing  #gid=0"",""фіз особи new!relations_name""),6,FALSE)
,
(IF
(
G7376=""юридична особа""
,
VLOOKUP"&amp;"(H7376,IMPORTRANGE(""https://docs.google.com/spreadsheets/d/14Bd19lYaqBhU8_DElYkX7l4wRkHqqCUFNJY4AfY3kHU/edit?usp=sharing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375" s="7" t="s">
        <v>30</v>
      </c>
    </row>
    <row r="7376" spans="1:10" ht="13.2">
      <c r="A7376" s="7">
        <v>7375</v>
      </c>
      <c r="B7376" s="7">
        <v>1</v>
      </c>
      <c r="C7376" s="7" t="s">
        <v>10</v>
      </c>
      <c r="D7376" s="7">
        <v>8247</v>
      </c>
      <c r="E7376" s="7" t="s">
        <v>104</v>
      </c>
      <c r="F7376" s="8" t="str">
        <f ca="1">IFERROR(__xludf.DUMMYFUNCTION("IF
(
C7377=""фізична особа""
,
VLOOKUP(D7377,IMPORTRANGE(""https://docs.google.com/spreadsheets/d/14Bd19lYaqBhU8_DElYkX7l4wRkHqqCUFNJY4AfY3kHU/edit?usp=sharing  #gid=0"",""фіз особи new!relations_name""),6,FALSE)
,
(IF
(
C7377=""юридична особа""
,
VLOOKUP"&amp;"(D7377,IMPORTRANGE(""https://docs.google.com/spreadsheets/d/14Bd19lYaqBhU8_DElYkX7l4wRkHqqCUFNJY4AfY3kHU/edit?usp=sharing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6" s="7" t="s">
        <v>10</v>
      </c>
      <c r="H7376" s="7">
        <v>8248</v>
      </c>
      <c r="I7376" s="8" t="str">
        <f ca="1">IFERROR(__xludf.DUMMYFUNCTION("IF
(
G7377=""фізична особа""
,
VLOOKUP(H7377,IMPORTRANGE(""https://docs.google.com/spreadsheets/d/14Bd19lYaqBhU8_DElYkX7l4wRkHqqCUFNJY4AfY3kHU/edit?usp=sharing  #gid=0"",""фіз особи new!relations_name""),6,FALSE)
,
(IF
(
G7377=""юридична особа""
,
VLOOKUP"&amp;"(H7377,IMPORTRANGE(""https://docs.google.com/spreadsheets/d/14Bd19lYaqBhU8_DElYkX7l4wRkHqqCUFNJY4AfY3kHU/edit?usp=sharing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376" s="7" t="s">
        <v>104</v>
      </c>
    </row>
    <row r="7377" spans="1:10" ht="13.2">
      <c r="A7377" s="7">
        <v>7376</v>
      </c>
      <c r="B7377" s="7">
        <v>1</v>
      </c>
      <c r="C7377" s="7" t="s">
        <v>10</v>
      </c>
      <c r="D7377" s="7">
        <v>8247</v>
      </c>
      <c r="E7377" s="7" t="s">
        <v>104</v>
      </c>
      <c r="F7377" s="8" t="str">
        <f ca="1">IFERROR(__xludf.DUMMYFUNCTION("IF
(
C7378=""фізична особа""
,
VLOOKUP(D7378,IMPORTRANGE(""https://docs.google.com/spreadsheets/d/14Bd19lYaqBhU8_DElYkX7l4wRkHqqCUFNJY4AfY3kHU/edit?usp=sharing  #gid=0"",""фіз особи new!relations_name""),6,FALSE)
,
(IF
(
C7378=""юридична особа""
,
VLOOKUP"&amp;"(D7378,IMPORTRANGE(""https://docs.google.com/spreadsheets/d/14Bd19lYaqBhU8_DElYkX7l4wRkHqqCUFNJY4AfY3kHU/edit?usp=sharing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7" s="7" t="s">
        <v>10</v>
      </c>
      <c r="H7377" s="7">
        <v>8246</v>
      </c>
      <c r="I7377" s="8" t="str">
        <f ca="1">IFERROR(__xludf.DUMMYFUNCTION("IF
(
G7378=""фізична особа""
,
VLOOKUP(H7378,IMPORTRANGE(""https://docs.google.com/spreadsheets/d/14Bd19lYaqBhU8_DElYkX7l4wRkHqqCUFNJY4AfY3kHU/edit?usp=sharing  #gid=0"",""фіз особи new!relations_name""),6,FALSE)
,
(IF
(
G7378=""юридична особа""
,
VLOOKUP"&amp;"(H7378,IMPORTRANGE(""https://docs.google.com/spreadsheets/d/14Bd19lYaqBhU8_DElYkX7l4wRkHqqCUFNJY4AfY3kHU/edit?usp=sharing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377" s="7" t="s">
        <v>104</v>
      </c>
    </row>
    <row r="7378" spans="1:10" ht="13.2">
      <c r="A7378" s="7">
        <v>7377</v>
      </c>
      <c r="B7378" s="7">
        <v>1</v>
      </c>
      <c r="C7378" s="7" t="s">
        <v>10</v>
      </c>
      <c r="D7378" s="7">
        <v>8247</v>
      </c>
      <c r="E7378" s="7" t="s">
        <v>30</v>
      </c>
      <c r="F7378" s="8" t="str">
        <f ca="1">IFERROR(__xludf.DUMMYFUNCTION("IF
(
C7379=""фізична особа""
,
VLOOKUP(D7379,IMPORTRANGE(""https://docs.google.com/spreadsheets/d/14Bd19lYaqBhU8_DElYkX7l4wRkHqqCUFNJY4AfY3kHU/edit?usp=sharing  #gid=0"",""фіз особи new!relations_name""),6,FALSE)
,
(IF
(
C7379=""юридична особа""
,
VLOOKUP"&amp;"(D7379,IMPORTRANGE(""https://docs.google.com/spreadsheets/d/14Bd19lYaqBhU8_DElYkX7l4wRkHqqCUFNJY4AfY3kHU/edit?usp=sharing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8" s="7" t="s">
        <v>10</v>
      </c>
      <c r="H7378" s="7">
        <v>8340</v>
      </c>
      <c r="I7378" s="8" t="str">
        <f ca="1">IFERROR(__xludf.DUMMYFUNCTION("IF
(
G7379=""фізична особа""
,
VLOOKUP(H7379,IMPORTRANGE(""https://docs.google.com/spreadsheets/d/14Bd19lYaqBhU8_DElYkX7l4wRkHqqCUFNJY4AfY3kHU/edit?usp=sharing  #gid=0"",""фіз особи new!relations_name""),6,FALSE)
,
(IF
(
G7379=""юридична особа""
,
VLOOKUP"&amp;"(H7379,IMPORTRANGE(""https://docs.google.com/spreadsheets/d/14Bd19lYaqBhU8_DElYkX7l4wRkHqqCUFNJY4AfY3kHU/edit?usp=sharing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78" s="7" t="s">
        <v>30</v>
      </c>
    </row>
    <row r="7379" spans="1:10" ht="13.2">
      <c r="A7379" s="7">
        <v>7378</v>
      </c>
      <c r="B7379" s="7">
        <v>1</v>
      </c>
      <c r="C7379" s="7" t="s">
        <v>10</v>
      </c>
      <c r="D7379" s="7">
        <v>8247</v>
      </c>
      <c r="E7379" s="7" t="s">
        <v>30</v>
      </c>
      <c r="F7379" s="8" t="str">
        <f ca="1">IFERROR(__xludf.DUMMYFUNCTION("IF
(
C7380=""фізична особа""
,
VLOOKUP(D7380,IMPORTRANGE(""https://docs.google.com/spreadsheets/d/14Bd19lYaqBhU8_DElYkX7l4wRkHqqCUFNJY4AfY3kHU/edit?usp=sharing  #gid=0"",""фіз особи new!relations_name""),6,FALSE)
,
(IF
(
C7380=""юридична особа""
,
VLOOKUP"&amp;"(D7380,IMPORTRANGE(""https://docs.google.com/spreadsheets/d/14Bd19lYaqBhU8_DElYkX7l4wRkHqqCUFNJY4AfY3kHU/edit?usp=sharing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79" s="7" t="s">
        <v>10</v>
      </c>
      <c r="H7379" s="7">
        <v>8341</v>
      </c>
      <c r="I7379" s="8" t="str">
        <f ca="1">IFERROR(__xludf.DUMMYFUNCTION("IF
(
G7380=""фізична особа""
,
VLOOKUP(H7380,IMPORTRANGE(""https://docs.google.com/spreadsheets/d/14Bd19lYaqBhU8_DElYkX7l4wRkHqqCUFNJY4AfY3kHU/edit?usp=sharing  #gid=0"",""фіз особи new!relations_name""),6,FALSE)
,
(IF
(
G7380=""юридична особа""
,
VLOOKUP"&amp;"(H7380,IMPORTRANGE(""https://docs.google.com/spreadsheets/d/14Bd19lYaqBhU8_DElYkX7l4wRkHqqCUFNJY4AfY3kHU/edit?usp=sharing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79" s="7" t="s">
        <v>30</v>
      </c>
    </row>
    <row r="7380" spans="1:10" ht="13.2">
      <c r="A7380" s="7">
        <v>7379</v>
      </c>
      <c r="B7380" s="7">
        <v>1</v>
      </c>
      <c r="C7380" s="7" t="s">
        <v>10</v>
      </c>
      <c r="D7380" s="7">
        <v>8247</v>
      </c>
      <c r="E7380" s="7" t="s">
        <v>30</v>
      </c>
      <c r="F7380" s="8" t="str">
        <f ca="1">IFERROR(__xludf.DUMMYFUNCTION("IF
(
C7381=""фізична особа""
,
VLOOKUP(D7381,IMPORTRANGE(""https://docs.google.com/spreadsheets/d/14Bd19lYaqBhU8_DElYkX7l4wRkHqqCUFNJY4AfY3kHU/edit?usp=sharing  #gid=0"",""фіз особи new!relations_name""),6,FALSE)
,
(IF
(
C7381=""юридична особа""
,
VLOOKUP"&amp;"(D7381,IMPORTRANGE(""https://docs.google.com/spreadsheets/d/14Bd19lYaqBhU8_DElYkX7l4wRkHqqCUFNJY4AfY3kHU/edit?usp=sharing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0" s="7" t="s">
        <v>10</v>
      </c>
      <c r="H7380" s="7">
        <v>8342</v>
      </c>
      <c r="I7380" s="8" t="str">
        <f ca="1">IFERROR(__xludf.DUMMYFUNCTION("IF
(
G7381=""фізична особа""
,
VLOOKUP(H7381,IMPORTRANGE(""https://docs.google.com/spreadsheets/d/14Bd19lYaqBhU8_DElYkX7l4wRkHqqCUFNJY4AfY3kHU/edit?usp=sharing  #gid=0"",""фіз особи new!relations_name""),6,FALSE)
,
(IF
(
G7381=""юридична особа""
,
VLOOKUP"&amp;"(H7381,IMPORTRANGE(""https://docs.google.com/spreadsheets/d/14Bd19lYaqBhU8_DElYkX7l4wRkHqqCUFNJY4AfY3kHU/edit?usp=sharing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80" s="7" t="s">
        <v>30</v>
      </c>
    </row>
    <row r="7381" spans="1:10" ht="13.2">
      <c r="A7381" s="7">
        <v>7380</v>
      </c>
      <c r="B7381" s="7">
        <v>1</v>
      </c>
      <c r="C7381" s="7" t="s">
        <v>10</v>
      </c>
      <c r="D7381" s="7">
        <v>8247</v>
      </c>
      <c r="E7381" s="7" t="s">
        <v>104</v>
      </c>
      <c r="F7381" s="8" t="str">
        <f ca="1">IFERROR(__xludf.DUMMYFUNCTION("IF
(
C7382=""фізична особа""
,
VLOOKUP(D7382,IMPORTRANGE(""https://docs.google.com/spreadsheets/d/14Bd19lYaqBhU8_DElYkX7l4wRkHqqCUFNJY4AfY3kHU/edit?usp=sharing  #gid=0"",""фіз особи new!relations_name""),6,FALSE)
,
(IF
(
C7382=""юридична особа""
,
VLOOKUP"&amp;"(D7382,IMPORTRANGE(""https://docs.google.com/spreadsheets/d/14Bd19lYaqBhU8_DElYkX7l4wRkHqqCUFNJY4AfY3kHU/edit?usp=sharing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1" s="7" t="s">
        <v>10</v>
      </c>
      <c r="H7381" s="7">
        <v>8243</v>
      </c>
      <c r="I7381" s="8" t="str">
        <f ca="1">IFERROR(__xludf.DUMMYFUNCTION("IF
(
G7382=""фізична особа""
,
VLOOKUP(H7382,IMPORTRANGE(""https://docs.google.com/spreadsheets/d/14Bd19lYaqBhU8_DElYkX7l4wRkHqqCUFNJY4AfY3kHU/edit?usp=sharing  #gid=0"",""фіз особи new!relations_name""),6,FALSE)
,
(IF
(
G7382=""юридична особа""
,
VLOOKUP"&amp;"(H7382,IMPORTRANGE(""https://docs.google.com/spreadsheets/d/14Bd19lYaqBhU8_DElYkX7l4wRkHqqCUFNJY4AfY3kHU/edit?usp=sharing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381" s="7" t="s">
        <v>29</v>
      </c>
    </row>
    <row r="7382" spans="1:10" ht="13.2">
      <c r="A7382" s="7">
        <v>7381</v>
      </c>
      <c r="B7382" s="7">
        <v>1</v>
      </c>
      <c r="C7382" s="7" t="s">
        <v>10</v>
      </c>
      <c r="D7382" s="7">
        <v>8247</v>
      </c>
      <c r="E7382" s="7" t="s">
        <v>30</v>
      </c>
      <c r="F7382" s="8" t="str">
        <f ca="1">IFERROR(__xludf.DUMMYFUNCTION("IF
(
C7383=""фізична особа""
,
VLOOKUP(D7383,IMPORTRANGE(""https://docs.google.com/spreadsheets/d/14Bd19lYaqBhU8_DElYkX7l4wRkHqqCUFNJY4AfY3kHU/edit?usp=sharing  #gid=0"",""фіз особи new!relations_name""),6,FALSE)
,
(IF
(
C7383=""юридична особа""
,
VLOOKUP"&amp;"(D7383,IMPORTRANGE(""https://docs.google.com/spreadsheets/d/14Bd19lYaqBhU8_DElYkX7l4wRkHqqCUFNJY4AfY3kHU/edit?usp=sharing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2" s="7" t="s">
        <v>10</v>
      </c>
      <c r="H7382" s="7">
        <v>49</v>
      </c>
      <c r="I7382" s="8" t="str">
        <f ca="1">IFERROR(__xludf.DUMMYFUNCTION("IF
(
G7383=""фізична особа""
,
VLOOKUP(H7383,IMPORTRANGE(""https://docs.google.com/spreadsheets/d/14Bd19lYaqBhU8_DElYkX7l4wRkHqqCUFNJY4AfY3kHU/edit?usp=sharing  #gid=0"",""фіз особи new!relations_name""),6,FALSE)
,
(IF
(
G7383=""юридична особа""
,
VLOOKUP"&amp;"(H7383,IMPORTRANGE(""https://docs.google.com/spreadsheets/d/14Bd19lYaqBhU8_DElYkX7l4wRkHqqCUFNJY4AfY3kHU/edit?usp=sharing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82" s="7" t="s">
        <v>30</v>
      </c>
    </row>
    <row r="7383" spans="1:10" ht="13.2">
      <c r="A7383" s="7">
        <v>7382</v>
      </c>
      <c r="B7383" s="7">
        <v>1</v>
      </c>
      <c r="C7383" s="7" t="s">
        <v>10</v>
      </c>
      <c r="D7383" s="7">
        <v>8247</v>
      </c>
      <c r="E7383" s="7" t="s">
        <v>30</v>
      </c>
      <c r="F7383" s="8" t="str">
        <f ca="1">IFERROR(__xludf.DUMMYFUNCTION("IF
(
C7384=""фізична особа""
,
VLOOKUP(D7384,IMPORTRANGE(""https://docs.google.com/spreadsheets/d/14Bd19lYaqBhU8_DElYkX7l4wRkHqqCUFNJY4AfY3kHU/edit?usp=sharing  #gid=0"",""фіз особи new!relations_name""),6,FALSE)
,
(IF
(
C7384=""юридична особа""
,
VLOOKUP"&amp;"(D7384,IMPORTRANGE(""https://docs.google.com/spreadsheets/d/14Bd19lYaqBhU8_DElYkX7l4wRkHqqCUFNJY4AfY3kHU/edit?usp=sharing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3" s="7" t="s">
        <v>10</v>
      </c>
      <c r="H7383" s="7">
        <v>8346</v>
      </c>
      <c r="I7383" s="8" t="str">
        <f ca="1">IFERROR(__xludf.DUMMYFUNCTION("IF
(
G7384=""фізична особа""
,
VLOOKUP(H7384,IMPORTRANGE(""https://docs.google.com/spreadsheets/d/14Bd19lYaqBhU8_DElYkX7l4wRkHqqCUFNJY4AfY3kHU/edit?usp=sharing  #gid=0"",""фіз особи new!relations_name""),6,FALSE)
,
(IF
(
G7384=""юридична особа""
,
VLOOKUP"&amp;"(H7384,IMPORTRANGE(""https://docs.google.com/spreadsheets/d/14Bd19lYaqBhU8_DElYkX7l4wRkHqqCUFNJY4AfY3kHU/edit?usp=sharing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83" s="7" t="s">
        <v>30</v>
      </c>
    </row>
    <row r="7384" spans="1:10" ht="13.2">
      <c r="A7384" s="7">
        <v>7383</v>
      </c>
      <c r="B7384" s="7">
        <v>1</v>
      </c>
      <c r="C7384" s="7" t="s">
        <v>10</v>
      </c>
      <c r="D7384" s="7">
        <v>8247</v>
      </c>
      <c r="E7384" s="7" t="s">
        <v>30</v>
      </c>
      <c r="F7384" s="8" t="str">
        <f ca="1">IFERROR(__xludf.DUMMYFUNCTION("IF
(
C7385=""фізична особа""
,
VLOOKUP(D7385,IMPORTRANGE(""https://docs.google.com/spreadsheets/d/14Bd19lYaqBhU8_DElYkX7l4wRkHqqCUFNJY4AfY3kHU/edit?usp=sharing  #gid=0"",""фіз особи new!relations_name""),6,FALSE)
,
(IF
(
C7385=""юридична особа""
,
VLOOKUP"&amp;"(D7385,IMPORTRANGE(""https://docs.google.com/spreadsheets/d/14Bd19lYaqBhU8_DElYkX7l4wRkHqqCUFNJY4AfY3kHU/edit?usp=sharing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4" s="7" t="s">
        <v>10</v>
      </c>
      <c r="H7384" s="7">
        <v>8344</v>
      </c>
      <c r="I7384" s="8" t="str">
        <f ca="1">IFERROR(__xludf.DUMMYFUNCTION("IF
(
G7385=""фізична особа""
,
VLOOKUP(H7385,IMPORTRANGE(""https://docs.google.com/spreadsheets/d/14Bd19lYaqBhU8_DElYkX7l4wRkHqqCUFNJY4AfY3kHU/edit?usp=sharing  #gid=0"",""фіз особи new!relations_name""),6,FALSE)
,
(IF
(
G7385=""юридична особа""
,
VLOOKUP"&amp;"(H7385,IMPORTRANGE(""https://docs.google.com/spreadsheets/d/14Bd19lYaqBhU8_DElYkX7l4wRkHqqCUFNJY4AfY3kHU/edit?usp=sharing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84" s="7" t="s">
        <v>30</v>
      </c>
    </row>
    <row r="7385" spans="1:10" ht="13.2">
      <c r="A7385" s="7">
        <v>7384</v>
      </c>
      <c r="B7385" s="7">
        <v>1</v>
      </c>
      <c r="C7385" s="7" t="s">
        <v>10</v>
      </c>
      <c r="D7385" s="7">
        <v>8247</v>
      </c>
      <c r="E7385" s="7" t="s">
        <v>30</v>
      </c>
      <c r="F7385" s="8" t="str">
        <f ca="1">IFERROR(__xludf.DUMMYFUNCTION("IF
(
C7386=""фізична особа""
,
VLOOKUP(D7386,IMPORTRANGE(""https://docs.google.com/spreadsheets/d/14Bd19lYaqBhU8_DElYkX7l4wRkHqqCUFNJY4AfY3kHU/edit?usp=sharing  #gid=0"",""фіз особи new!relations_name""),6,FALSE)
,
(IF
(
C7386=""юридична особа""
,
VLOOKUP"&amp;"(D7386,IMPORTRANGE(""https://docs.google.com/spreadsheets/d/14Bd19lYaqBhU8_DElYkX7l4wRkHqqCUFNJY4AfY3kHU/edit?usp=sharing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G7385" s="7" t="s">
        <v>10</v>
      </c>
      <c r="H7385" s="7">
        <v>8345</v>
      </c>
      <c r="I7385" s="8" t="str">
        <f ca="1">IFERROR(__xludf.DUMMYFUNCTION("IF
(
G7386=""фізична особа""
,
VLOOKUP(H7386,IMPORTRANGE(""https://docs.google.com/spreadsheets/d/14Bd19lYaqBhU8_DElYkX7l4wRkHqqCUFNJY4AfY3kHU/edit?usp=sharing  #gid=0"",""фіз особи new!relations_name""),6,FALSE)
,
(IF
(
G7386=""юридична особа""
,
VLOOKUP"&amp;"(H7386,IMPORTRANGE(""https://docs.google.com/spreadsheets/d/14Bd19lYaqBhU8_DElYkX7l4wRkHqqCUFNJY4AfY3kHU/edit?usp=sharing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85" s="7" t="s">
        <v>30</v>
      </c>
    </row>
    <row r="7386" spans="1:10" ht="13.2">
      <c r="A7386" s="7">
        <v>7385</v>
      </c>
      <c r="B7386" s="7">
        <v>1</v>
      </c>
      <c r="C7386" s="7" t="s">
        <v>10</v>
      </c>
      <c r="D7386" s="7">
        <v>8248</v>
      </c>
      <c r="E7386" s="7" t="s">
        <v>104</v>
      </c>
      <c r="F7386" s="8" t="str">
        <f ca="1">IFERROR(__xludf.DUMMYFUNCTION("IF
(
C7387=""фізична особа""
,
VLOOKUP(D7387,IMPORTRANGE(""https://docs.google.com/spreadsheets/d/14Bd19lYaqBhU8_DElYkX7l4wRkHqqCUFNJY4AfY3kHU/edit?usp=sharing  #gid=0"",""фіз особи new!relations_name""),6,FALSE)
,
(IF
(
C7387=""юридична особа""
,
VLOOKUP"&amp;"(D7387,IMPORTRANGE(""https://docs.google.com/spreadsheets/d/14Bd19lYaqBhU8_DElYkX7l4wRkHqqCUFNJY4AfY3kHU/edit?usp=sharing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86" s="7" t="s">
        <v>10</v>
      </c>
      <c r="H7386" s="7">
        <v>144</v>
      </c>
      <c r="I7386" s="8" t="str">
        <f ca="1">IFERROR(__xludf.DUMMYFUNCTION("IF
(
G7387=""фізична особа""
,
VLOOKUP(H7387,IMPORTRANGE(""https://docs.google.com/spreadsheets/d/14Bd19lYaqBhU8_DElYkX7l4wRkHqqCUFNJY4AfY3kHU/edit?usp=sharing  #gid=0"",""фіз особи new!relations_name""),6,FALSE)
,
(IF
(
G7387=""юридична особа""
,
VLOOKUP"&amp;"(H7387,IMPORTRANGE(""https://docs.google.com/spreadsheets/d/14Bd19lYaqBhU8_DElYkX7l4wRkHqqCUFNJY4AfY3kHU/edit?usp=sharing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386" s="7" t="s">
        <v>101</v>
      </c>
    </row>
    <row r="7387" spans="1:10" ht="13.2">
      <c r="A7387" s="7">
        <v>7386</v>
      </c>
      <c r="B7387" s="7">
        <v>1</v>
      </c>
      <c r="C7387" s="7" t="s">
        <v>10</v>
      </c>
      <c r="D7387" s="7">
        <v>8248</v>
      </c>
      <c r="E7387" s="7" t="s">
        <v>104</v>
      </c>
      <c r="F7387" s="8" t="str">
        <f ca="1">IFERROR(__xludf.DUMMYFUNCTION("IF
(
C7388=""фізична особа""
,
VLOOKUP(D7388,IMPORTRANGE(""https://docs.google.com/spreadsheets/d/14Bd19lYaqBhU8_DElYkX7l4wRkHqqCUFNJY4AfY3kHU/edit?usp=sharing  #gid=0"",""фіз особи new!relations_name""),6,FALSE)
,
(IF
(
C7388=""юридична особа""
,
VLOOKUP"&amp;"(D7388,IMPORTRANGE(""https://docs.google.com/spreadsheets/d/14Bd19lYaqBhU8_DElYkX7l4wRkHqqCUFNJY4AfY3kHU/edit?usp=sharing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87" s="7" t="s">
        <v>10</v>
      </c>
      <c r="H7387" s="7">
        <v>629</v>
      </c>
      <c r="I7387" s="8" t="str">
        <f ca="1">IFERROR(__xludf.DUMMYFUNCTION("IF
(
G7388=""фізична особа""
,
VLOOKUP(H7388,IMPORTRANGE(""https://docs.google.com/spreadsheets/d/14Bd19lYaqBhU8_DElYkX7l4wRkHqqCUFNJY4AfY3kHU/edit?usp=sharing  #gid=0"",""фіз особи new!relations_name""),6,FALSE)
,
(IF
(
G7388=""юридична особа""
,
VLOOKUP"&amp;"(H7388,IMPORTRANGE(""https://docs.google.com/spreadsheets/d/14Bd19lYaqBhU8_DElYkX7l4wRkHqqCUFNJY4AfY3kHU/edit?usp=sharing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387" s="7" t="s">
        <v>101</v>
      </c>
    </row>
    <row r="7388" spans="1:10" ht="13.2">
      <c r="A7388" s="7">
        <v>7387</v>
      </c>
      <c r="B7388" s="7">
        <v>1</v>
      </c>
      <c r="C7388" s="7" t="s">
        <v>10</v>
      </c>
      <c r="D7388" s="7">
        <v>8248</v>
      </c>
      <c r="E7388" s="7" t="s">
        <v>30</v>
      </c>
      <c r="F7388" s="8" t="str">
        <f ca="1">IFERROR(__xludf.DUMMYFUNCTION("IF
(
C7389=""фізична особа""
,
VLOOKUP(D7389,IMPORTRANGE(""https://docs.google.com/spreadsheets/d/14Bd19lYaqBhU8_DElYkX7l4wRkHqqCUFNJY4AfY3kHU/edit?usp=sharing  #gid=0"",""фіз особи new!relations_name""),6,FALSE)
,
(IF
(
C7389=""юридична особа""
,
VLOOKUP"&amp;"(D7389,IMPORTRANGE(""https://docs.google.com/spreadsheets/d/14Bd19lYaqBhU8_DElYkX7l4wRkHqqCUFNJY4AfY3kHU/edit?usp=sharing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88" s="7" t="s">
        <v>10</v>
      </c>
      <c r="H7388" s="7">
        <v>8244</v>
      </c>
      <c r="I7388" s="8" t="str">
        <f ca="1">IFERROR(__xludf.DUMMYFUNCTION("IF
(
G7389=""фізична особа""
,
VLOOKUP(H7389,IMPORTRANGE(""https://docs.google.com/spreadsheets/d/14Bd19lYaqBhU8_DElYkX7l4wRkHqqCUFNJY4AfY3kHU/edit?usp=sharing  #gid=0"",""фіз особи new!relations_name""),6,FALSE)
,
(IF
(
G7389=""юридична особа""
,
VLOOKUP"&amp;"(H7389,IMPORTRANGE(""https://docs.google.com/spreadsheets/d/14Bd19lYaqBhU8_DElYkX7l4wRkHqqCUFNJY4AfY3kHU/edit?usp=sharing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388" s="7" t="s">
        <v>30</v>
      </c>
    </row>
    <row r="7389" spans="1:10" ht="13.2">
      <c r="A7389" s="7">
        <v>7388</v>
      </c>
      <c r="B7389" s="7">
        <v>1</v>
      </c>
      <c r="C7389" s="7" t="s">
        <v>10</v>
      </c>
      <c r="D7389" s="7">
        <v>8248</v>
      </c>
      <c r="E7389" s="7" t="s">
        <v>30</v>
      </c>
      <c r="F7389" s="8" t="str">
        <f ca="1">IFERROR(__xludf.DUMMYFUNCTION("IF
(
C7390=""фізична особа""
,
VLOOKUP(D7390,IMPORTRANGE(""https://docs.google.com/spreadsheets/d/14Bd19lYaqBhU8_DElYkX7l4wRkHqqCUFNJY4AfY3kHU/edit?usp=sharing  #gid=0"",""фіз особи new!relations_name""),6,FALSE)
,
(IF
(
C7390=""юридична особа""
,
VLOOKUP"&amp;"(D7390,IMPORTRANGE(""https://docs.google.com/spreadsheets/d/14Bd19lYaqBhU8_DElYkX7l4wRkHqqCUFNJY4AfY3kHU/edit?usp=sharing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89" s="7" t="s">
        <v>10</v>
      </c>
      <c r="H7389" s="7">
        <v>8245</v>
      </c>
      <c r="I7389" s="8" t="str">
        <f ca="1">IFERROR(__xludf.DUMMYFUNCTION("IF
(
G7390=""фізична особа""
,
VLOOKUP(H7390,IMPORTRANGE(""https://docs.google.com/spreadsheets/d/14Bd19lYaqBhU8_DElYkX7l4wRkHqqCUFNJY4AfY3kHU/edit?usp=sharing  #gid=0"",""фіз особи new!relations_name""),6,FALSE)
,
(IF
(
G7390=""юридична особа""
,
VLOOKUP"&amp;"(H7390,IMPORTRANGE(""https://docs.google.com/spreadsheets/d/14Bd19lYaqBhU8_DElYkX7l4wRkHqqCUFNJY4AfY3kHU/edit?usp=sharing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389" s="7" t="s">
        <v>30</v>
      </c>
    </row>
    <row r="7390" spans="1:10" ht="13.2">
      <c r="A7390" s="7">
        <v>7389</v>
      </c>
      <c r="B7390" s="7">
        <v>1</v>
      </c>
      <c r="C7390" s="7" t="s">
        <v>10</v>
      </c>
      <c r="D7390" s="7">
        <v>8248</v>
      </c>
      <c r="E7390" s="7" t="s">
        <v>104</v>
      </c>
      <c r="F7390" s="8" t="str">
        <f ca="1">IFERROR(__xludf.DUMMYFUNCTION("IF
(
C7391=""фізична особа""
,
VLOOKUP(D7391,IMPORTRANGE(""https://docs.google.com/spreadsheets/d/14Bd19lYaqBhU8_DElYkX7l4wRkHqqCUFNJY4AfY3kHU/edit?usp=sharing  #gid=0"",""фіз особи new!relations_name""),6,FALSE)
,
(IF
(
C7391=""юридична особа""
,
VLOOKUP"&amp;"(D7391,IMPORTRANGE(""https://docs.google.com/spreadsheets/d/14Bd19lYaqBhU8_DElYkX7l4wRkHqqCUFNJY4AfY3kHU/edit?usp=sharing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0" s="7" t="s">
        <v>10</v>
      </c>
      <c r="H7390" s="7">
        <v>8247</v>
      </c>
      <c r="I7390" s="8" t="str">
        <f ca="1">IFERROR(__xludf.DUMMYFUNCTION("IF
(
G7391=""фізична особа""
,
VLOOKUP(H7391,IMPORTRANGE(""https://docs.google.com/spreadsheets/d/14Bd19lYaqBhU8_DElYkX7l4wRkHqqCUFNJY4AfY3kHU/edit?usp=sharing  #gid=0"",""фіз особи new!relations_name""),6,FALSE)
,
(IF
(
G7391=""юридична особа""
,
VLOOKUP"&amp;"(H7391,IMPORTRANGE(""https://docs.google.com/spreadsheets/d/14Bd19lYaqBhU8_DElYkX7l4wRkHqqCUFNJY4AfY3kHU/edit?usp=sharing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390" s="7" t="s">
        <v>104</v>
      </c>
    </row>
    <row r="7391" spans="1:10" ht="13.2">
      <c r="A7391" s="7">
        <v>7390</v>
      </c>
      <c r="B7391" s="7">
        <v>1</v>
      </c>
      <c r="C7391" s="7" t="s">
        <v>10</v>
      </c>
      <c r="D7391" s="7">
        <v>8248</v>
      </c>
      <c r="E7391" s="7" t="s">
        <v>104</v>
      </c>
      <c r="F7391" s="8" t="str">
        <f ca="1">IFERROR(__xludf.DUMMYFUNCTION("IF
(
C7392=""фізична особа""
,
VLOOKUP(D7392,IMPORTRANGE(""https://docs.google.com/spreadsheets/d/14Bd19lYaqBhU8_DElYkX7l4wRkHqqCUFNJY4AfY3kHU/edit?usp=sharing  #gid=0"",""фіз особи new!relations_name""),6,FALSE)
,
(IF
(
C7392=""юридична особа""
,
VLOOKUP"&amp;"(D7392,IMPORTRANGE(""https://docs.google.com/spreadsheets/d/14Bd19lYaqBhU8_DElYkX7l4wRkHqqCUFNJY4AfY3kHU/edit?usp=sharing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1" s="7" t="s">
        <v>10</v>
      </c>
      <c r="H7391" s="7">
        <v>8246</v>
      </c>
      <c r="I7391" s="8" t="str">
        <f ca="1">IFERROR(__xludf.DUMMYFUNCTION("IF
(
G7392=""фізична особа""
,
VLOOKUP(H7392,IMPORTRANGE(""https://docs.google.com/spreadsheets/d/14Bd19lYaqBhU8_DElYkX7l4wRkHqqCUFNJY4AfY3kHU/edit?usp=sharing  #gid=0"",""фіз особи new!relations_name""),6,FALSE)
,
(IF
(
G7392=""юридична особа""
,
VLOOKUP"&amp;"(H7392,IMPORTRANGE(""https://docs.google.com/spreadsheets/d/14Bd19lYaqBhU8_DElYkX7l4wRkHqqCUFNJY4AfY3kHU/edit?usp=sharing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391" s="7" t="s">
        <v>104</v>
      </c>
    </row>
    <row r="7392" spans="1:10" ht="13.2">
      <c r="A7392" s="7">
        <v>7391</v>
      </c>
      <c r="B7392" s="7">
        <v>1</v>
      </c>
      <c r="C7392" s="7" t="s">
        <v>10</v>
      </c>
      <c r="D7392" s="7">
        <v>8248</v>
      </c>
      <c r="E7392" s="7" t="s">
        <v>30</v>
      </c>
      <c r="F7392" s="8" t="str">
        <f ca="1">IFERROR(__xludf.DUMMYFUNCTION("IF
(
C7393=""фізична особа""
,
VLOOKUP(D7393,IMPORTRANGE(""https://docs.google.com/spreadsheets/d/14Bd19lYaqBhU8_DElYkX7l4wRkHqqCUFNJY4AfY3kHU/edit?usp=sharing  #gid=0"",""фіз особи new!relations_name""),6,FALSE)
,
(IF
(
C7393=""юридична особа""
,
VLOOKUP"&amp;"(D7393,IMPORTRANGE(""https://docs.google.com/spreadsheets/d/14Bd19lYaqBhU8_DElYkX7l4wRkHqqCUFNJY4AfY3kHU/edit?usp=sharing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2" s="7" t="s">
        <v>10</v>
      </c>
      <c r="H7392" s="7">
        <v>8340</v>
      </c>
      <c r="I7392" s="8" t="str">
        <f ca="1">IFERROR(__xludf.DUMMYFUNCTION("IF
(
G7393=""фізична особа""
,
VLOOKUP(H7393,IMPORTRANGE(""https://docs.google.com/spreadsheets/d/14Bd19lYaqBhU8_DElYkX7l4wRkHqqCUFNJY4AfY3kHU/edit?usp=sharing  #gid=0"",""фіз особи new!relations_name""),6,FALSE)
,
(IF
(
G7393=""юридична особа""
,
VLOOKUP"&amp;"(H7393,IMPORTRANGE(""https://docs.google.com/spreadsheets/d/14Bd19lYaqBhU8_DElYkX7l4wRkHqqCUFNJY4AfY3kHU/edit?usp=sharing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392" s="7" t="s">
        <v>30</v>
      </c>
    </row>
    <row r="7393" spans="1:10" ht="13.2">
      <c r="A7393" s="7">
        <v>7392</v>
      </c>
      <c r="B7393" s="7">
        <v>1</v>
      </c>
      <c r="C7393" s="7" t="s">
        <v>10</v>
      </c>
      <c r="D7393" s="7">
        <v>8248</v>
      </c>
      <c r="E7393" s="7" t="s">
        <v>30</v>
      </c>
      <c r="F7393" s="8" t="str">
        <f ca="1">IFERROR(__xludf.DUMMYFUNCTION("IF
(
C7394=""фізична особа""
,
VLOOKUP(D7394,IMPORTRANGE(""https://docs.google.com/spreadsheets/d/14Bd19lYaqBhU8_DElYkX7l4wRkHqqCUFNJY4AfY3kHU/edit?usp=sharing  #gid=0"",""фіз особи new!relations_name""),6,FALSE)
,
(IF
(
C7394=""юридична особа""
,
VLOOKUP"&amp;"(D7394,IMPORTRANGE(""https://docs.google.com/spreadsheets/d/14Bd19lYaqBhU8_DElYkX7l4wRkHqqCUFNJY4AfY3kHU/edit?usp=sharing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3" s="7" t="s">
        <v>10</v>
      </c>
      <c r="H7393" s="7">
        <v>8341</v>
      </c>
      <c r="I7393" s="8" t="str">
        <f ca="1">IFERROR(__xludf.DUMMYFUNCTION("IF
(
G7394=""фізична особа""
,
VLOOKUP(H7394,IMPORTRANGE(""https://docs.google.com/spreadsheets/d/14Bd19lYaqBhU8_DElYkX7l4wRkHqqCUFNJY4AfY3kHU/edit?usp=sharing  #gid=0"",""фіз особи new!relations_name""),6,FALSE)
,
(IF
(
G7394=""юридична особа""
,
VLOOKUP"&amp;"(H7394,IMPORTRANGE(""https://docs.google.com/spreadsheets/d/14Bd19lYaqBhU8_DElYkX7l4wRkHqqCUFNJY4AfY3kHU/edit?usp=sharing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393" s="7" t="s">
        <v>30</v>
      </c>
    </row>
    <row r="7394" spans="1:10" ht="13.2">
      <c r="A7394" s="7">
        <v>7393</v>
      </c>
      <c r="B7394" s="7">
        <v>1</v>
      </c>
      <c r="C7394" s="7" t="s">
        <v>10</v>
      </c>
      <c r="D7394" s="7">
        <v>8248</v>
      </c>
      <c r="E7394" s="7" t="s">
        <v>30</v>
      </c>
      <c r="F7394" s="8" t="str">
        <f ca="1">IFERROR(__xludf.DUMMYFUNCTION("IF
(
C7395=""фізична особа""
,
VLOOKUP(D7395,IMPORTRANGE(""https://docs.google.com/spreadsheets/d/14Bd19lYaqBhU8_DElYkX7l4wRkHqqCUFNJY4AfY3kHU/edit?usp=sharing  #gid=0"",""фіз особи new!relations_name""),6,FALSE)
,
(IF
(
C7395=""юридична особа""
,
VLOOKUP"&amp;"(D7395,IMPORTRANGE(""https://docs.google.com/spreadsheets/d/14Bd19lYaqBhU8_DElYkX7l4wRkHqqCUFNJY4AfY3kHU/edit?usp=sharing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4" s="7" t="s">
        <v>10</v>
      </c>
      <c r="H7394" s="7">
        <v>8342</v>
      </c>
      <c r="I7394" s="8" t="str">
        <f ca="1">IFERROR(__xludf.DUMMYFUNCTION("IF
(
G7395=""фізична особа""
,
VLOOKUP(H7395,IMPORTRANGE(""https://docs.google.com/spreadsheets/d/14Bd19lYaqBhU8_DElYkX7l4wRkHqqCUFNJY4AfY3kHU/edit?usp=sharing  #gid=0"",""фіз особи new!relations_name""),6,FALSE)
,
(IF
(
G7395=""юридична особа""
,
VLOOKUP"&amp;"(H7395,IMPORTRANGE(""https://docs.google.com/spreadsheets/d/14Bd19lYaqBhU8_DElYkX7l4wRkHqqCUFNJY4AfY3kHU/edit?usp=sharing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394" s="7" t="s">
        <v>30</v>
      </c>
    </row>
    <row r="7395" spans="1:10" ht="13.2">
      <c r="A7395" s="7">
        <v>7394</v>
      </c>
      <c r="B7395" s="7">
        <v>1</v>
      </c>
      <c r="C7395" s="7" t="s">
        <v>10</v>
      </c>
      <c r="D7395" s="7">
        <v>8248</v>
      </c>
      <c r="E7395" s="7" t="s">
        <v>104</v>
      </c>
      <c r="F7395" s="8" t="str">
        <f ca="1">IFERROR(__xludf.DUMMYFUNCTION("IF
(
C7396=""фізична особа""
,
VLOOKUP(D7396,IMPORTRANGE(""https://docs.google.com/spreadsheets/d/14Bd19lYaqBhU8_DElYkX7l4wRkHqqCUFNJY4AfY3kHU/edit?usp=sharing  #gid=0"",""фіз особи new!relations_name""),6,FALSE)
,
(IF
(
C7396=""юридична особа""
,
VLOOKUP"&amp;"(D7396,IMPORTRANGE(""https://docs.google.com/spreadsheets/d/14Bd19lYaqBhU8_DElYkX7l4wRkHqqCUFNJY4AfY3kHU/edit?usp=sharing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5" s="7" t="s">
        <v>10</v>
      </c>
      <c r="H7395" s="7">
        <v>8243</v>
      </c>
      <c r="I7395" s="8" t="str">
        <f ca="1">IFERROR(__xludf.DUMMYFUNCTION("IF
(
G7396=""фізична особа""
,
VLOOKUP(H7396,IMPORTRANGE(""https://docs.google.com/spreadsheets/d/14Bd19lYaqBhU8_DElYkX7l4wRkHqqCUFNJY4AfY3kHU/edit?usp=sharing  #gid=0"",""фіз особи new!relations_name""),6,FALSE)
,
(IF
(
G7396=""юридична особа""
,
VLOOKUP"&amp;"(H7396,IMPORTRANGE(""https://docs.google.com/spreadsheets/d/14Bd19lYaqBhU8_DElYkX7l4wRkHqqCUFNJY4AfY3kHU/edit?usp=sharing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395" s="7" t="s">
        <v>29</v>
      </c>
    </row>
    <row r="7396" spans="1:10" ht="13.2">
      <c r="A7396" s="7">
        <v>7395</v>
      </c>
      <c r="B7396" s="7">
        <v>1</v>
      </c>
      <c r="C7396" s="7" t="s">
        <v>10</v>
      </c>
      <c r="D7396" s="7">
        <v>8248</v>
      </c>
      <c r="E7396" s="7" t="s">
        <v>30</v>
      </c>
      <c r="F7396" s="8" t="str">
        <f ca="1">IFERROR(__xludf.DUMMYFUNCTION("IF
(
C7397=""фізична особа""
,
VLOOKUP(D7397,IMPORTRANGE(""https://docs.google.com/spreadsheets/d/14Bd19lYaqBhU8_DElYkX7l4wRkHqqCUFNJY4AfY3kHU/edit?usp=sharing  #gid=0"",""фіз особи new!relations_name""),6,FALSE)
,
(IF
(
C7397=""юридична особа""
,
VLOOKUP"&amp;"(D7397,IMPORTRANGE(""https://docs.google.com/spreadsheets/d/14Bd19lYaqBhU8_DElYkX7l4wRkHqqCUFNJY4AfY3kHU/edit?usp=sharing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6" s="7" t="s">
        <v>10</v>
      </c>
      <c r="H7396" s="7">
        <v>49</v>
      </c>
      <c r="I7396" s="8" t="str">
        <f ca="1">IFERROR(__xludf.DUMMYFUNCTION("IF
(
G7397=""фізична особа""
,
VLOOKUP(H7397,IMPORTRANGE(""https://docs.google.com/spreadsheets/d/14Bd19lYaqBhU8_DElYkX7l4wRkHqqCUFNJY4AfY3kHU/edit?usp=sharing  #gid=0"",""фіз особи new!relations_name""),6,FALSE)
,
(IF
(
G7397=""юридична особа""
,
VLOOKUP"&amp;"(H7397,IMPORTRANGE(""https://docs.google.com/spreadsheets/d/14Bd19lYaqBhU8_DElYkX7l4wRkHqqCUFNJY4AfY3kHU/edit?usp=sharing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396" s="7" t="s">
        <v>30</v>
      </c>
    </row>
    <row r="7397" spans="1:10" ht="13.2">
      <c r="A7397" s="7">
        <v>7396</v>
      </c>
      <c r="B7397" s="7">
        <v>1</v>
      </c>
      <c r="C7397" s="7" t="s">
        <v>10</v>
      </c>
      <c r="D7397" s="7">
        <v>8248</v>
      </c>
      <c r="E7397" s="7" t="s">
        <v>30</v>
      </c>
      <c r="F7397" s="8" t="str">
        <f ca="1">IFERROR(__xludf.DUMMYFUNCTION("IF
(
C7398=""фізична особа""
,
VLOOKUP(D7398,IMPORTRANGE(""https://docs.google.com/spreadsheets/d/14Bd19lYaqBhU8_DElYkX7l4wRkHqqCUFNJY4AfY3kHU/edit?usp=sharing  #gid=0"",""фіз особи new!relations_name""),6,FALSE)
,
(IF
(
C7398=""юридична особа""
,
VLOOKUP"&amp;"(D7398,IMPORTRANGE(""https://docs.google.com/spreadsheets/d/14Bd19lYaqBhU8_DElYkX7l4wRkHqqCUFNJY4AfY3kHU/edit?usp=sharing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7" s="7" t="s">
        <v>10</v>
      </c>
      <c r="H7397" s="7">
        <v>8346</v>
      </c>
      <c r="I7397" s="8" t="str">
        <f ca="1">IFERROR(__xludf.DUMMYFUNCTION("IF
(
G7398=""фізична особа""
,
VLOOKUP(H7398,IMPORTRANGE(""https://docs.google.com/spreadsheets/d/14Bd19lYaqBhU8_DElYkX7l4wRkHqqCUFNJY4AfY3kHU/edit?usp=sharing  #gid=0"",""фіз особи new!relations_name""),6,FALSE)
,
(IF
(
G7398=""юридична особа""
,
VLOOKUP"&amp;"(H7398,IMPORTRANGE(""https://docs.google.com/spreadsheets/d/14Bd19lYaqBhU8_DElYkX7l4wRkHqqCUFNJY4AfY3kHU/edit?usp=sharing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397" s="7" t="s">
        <v>30</v>
      </c>
    </row>
    <row r="7398" spans="1:10" ht="13.2">
      <c r="A7398" s="7">
        <v>7397</v>
      </c>
      <c r="B7398" s="7">
        <v>1</v>
      </c>
      <c r="C7398" s="7" t="s">
        <v>10</v>
      </c>
      <c r="D7398" s="7">
        <v>8248</v>
      </c>
      <c r="E7398" s="7" t="s">
        <v>30</v>
      </c>
      <c r="F7398" s="8" t="str">
        <f ca="1">IFERROR(__xludf.DUMMYFUNCTION("IF
(
C7399=""фізична особа""
,
VLOOKUP(D7399,IMPORTRANGE(""https://docs.google.com/spreadsheets/d/14Bd19lYaqBhU8_DElYkX7l4wRkHqqCUFNJY4AfY3kHU/edit?usp=sharing  #gid=0"",""фіз особи new!relations_name""),6,FALSE)
,
(IF
(
C7399=""юридична особа""
,
VLOOKUP"&amp;"(D7399,IMPORTRANGE(""https://docs.google.com/spreadsheets/d/14Bd19lYaqBhU8_DElYkX7l4wRkHqqCUFNJY4AfY3kHU/edit?usp=sharing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8" s="7" t="s">
        <v>10</v>
      </c>
      <c r="H7398" s="7">
        <v>8344</v>
      </c>
      <c r="I7398" s="8" t="str">
        <f ca="1">IFERROR(__xludf.DUMMYFUNCTION("IF
(
G7399=""фізична особа""
,
VLOOKUP(H7399,IMPORTRANGE(""https://docs.google.com/spreadsheets/d/14Bd19lYaqBhU8_DElYkX7l4wRkHqqCUFNJY4AfY3kHU/edit?usp=sharing  #gid=0"",""фіз особи new!relations_name""),6,FALSE)
,
(IF
(
G7399=""юридична особа""
,
VLOOKUP"&amp;"(H7399,IMPORTRANGE(""https://docs.google.com/spreadsheets/d/14Bd19lYaqBhU8_DElYkX7l4wRkHqqCUFNJY4AfY3kHU/edit?usp=sharing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398" s="7" t="s">
        <v>30</v>
      </c>
    </row>
    <row r="7399" spans="1:10" ht="13.2">
      <c r="A7399" s="7">
        <v>7398</v>
      </c>
      <c r="B7399" s="7">
        <v>1</v>
      </c>
      <c r="C7399" s="7" t="s">
        <v>10</v>
      </c>
      <c r="D7399" s="7">
        <v>8248</v>
      </c>
      <c r="E7399" s="7" t="s">
        <v>30</v>
      </c>
      <c r="F7399" s="8" t="str">
        <f ca="1">IFERROR(__xludf.DUMMYFUNCTION("IF
(
C7400=""фізична особа""
,
VLOOKUP(D7400,IMPORTRANGE(""https://docs.google.com/spreadsheets/d/14Bd19lYaqBhU8_DElYkX7l4wRkHqqCUFNJY4AfY3kHU/edit?usp=sharing  #gid=0"",""фіз особи new!relations_name""),6,FALSE)
,
(IF
(
C7400=""юридична особа""
,
VLOOKUP"&amp;"(D7400,IMPORTRANGE(""https://docs.google.com/spreadsheets/d/14Bd19lYaqBhU8_DElYkX7l4wRkHqqCUFNJY4AfY3kHU/edit?usp=sharing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G7399" s="7" t="s">
        <v>10</v>
      </c>
      <c r="H7399" s="7">
        <v>8345</v>
      </c>
      <c r="I7399" s="8" t="str">
        <f ca="1">IFERROR(__xludf.DUMMYFUNCTION("IF
(
G7400=""фізична особа""
,
VLOOKUP(H7400,IMPORTRANGE(""https://docs.google.com/spreadsheets/d/14Bd19lYaqBhU8_DElYkX7l4wRkHqqCUFNJY4AfY3kHU/edit?usp=sharing  #gid=0"",""фіз особи new!relations_name""),6,FALSE)
,
(IF
(
G7400=""юридична особа""
,
VLOOKUP"&amp;"(H7400,IMPORTRANGE(""https://docs.google.com/spreadsheets/d/14Bd19lYaqBhU8_DElYkX7l4wRkHqqCUFNJY4AfY3kHU/edit?usp=sharing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399" s="7" t="s">
        <v>30</v>
      </c>
    </row>
    <row r="7400" spans="1:10" ht="13.2">
      <c r="A7400" s="7">
        <v>7399</v>
      </c>
      <c r="B7400" s="7">
        <v>1</v>
      </c>
      <c r="C7400" s="7" t="s">
        <v>10</v>
      </c>
      <c r="D7400" s="7">
        <v>8249</v>
      </c>
      <c r="E7400" s="7" t="s">
        <v>18</v>
      </c>
      <c r="F7400" s="8" t="str">
        <f ca="1">IFERROR(__xludf.DUMMYFUNCTION("IF
(
C7401=""фізична особа""
,
VLOOKUP(D7401,IMPORTRANGE(""https://docs.google.com/spreadsheets/d/14Bd19lYaqBhU8_DElYkX7l4wRkHqqCUFNJY4AfY3kHU/edit?usp=sharing  #gid=0"",""фіз особи new!relations_name""),6,FALSE)
,
(IF
(
C7401=""юридична особа""
,
VLOOKUP"&amp;"(D7401,IMPORTRANGE(""https://docs.google.com/spreadsheets/d/14Bd19lYaqBhU8_DElYkX7l4wRkHqqCUFNJY4AfY3kHU/edit?usp=sharing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0" s="7" t="s">
        <v>10</v>
      </c>
      <c r="H7400" s="7">
        <v>0</v>
      </c>
      <c r="I7400" s="8" t="str">
        <f ca="1">IFERROR(__xludf.DUMMYFUNCTION("IF
(
G7401=""фізична особа""
,
VLOOKUP(H7401,IMPORTRANGE(""https://docs.google.com/spreadsheets/d/14Bd19lYaqBhU8_DElYkX7l4wRkHqqCUFNJY4AfY3kHU/edit?usp=sharing  #gid=0"",""фіз особи new!relations_name""),6,FALSE)
,
(IF
(
G7401=""юридична особа""
,
VLOOKUP"&amp;"(H7401,IMPORTRANGE(""https://docs.google.com/spreadsheets/d/14Bd19lYaqBhU8_DElYkX7l4wRkHqqCUFNJY4AfY3kHU/edit?usp=sharing  #gid=0"",""фіз особи new!relations_name_uo""),7,FALSE)
,
)
))"),"#N/A")</f>
        <v>#N/A</v>
      </c>
      <c r="J7400" s="7" t="s">
        <v>18</v>
      </c>
    </row>
    <row r="7401" spans="1:10" ht="13.2">
      <c r="A7401" s="7">
        <v>7400</v>
      </c>
      <c r="B7401" s="7">
        <v>1</v>
      </c>
      <c r="C7401" s="7" t="s">
        <v>10</v>
      </c>
      <c r="D7401" s="7">
        <v>8249</v>
      </c>
      <c r="E7401" s="7" t="s">
        <v>30</v>
      </c>
      <c r="F7401" s="8" t="str">
        <f ca="1">IFERROR(__xludf.DUMMYFUNCTION("IF
(
C7402=""фізична особа""
,
VLOOKUP(D7402,IMPORTRANGE(""https://docs.google.com/spreadsheets/d/14Bd19lYaqBhU8_DElYkX7l4wRkHqqCUFNJY4AfY3kHU/edit?usp=sharing  #gid=0"",""фіз особи new!relations_name""),6,FALSE)
,
(IF
(
C7402=""юридична особа""
,
VLOOKUP"&amp;"(D7402,IMPORTRANGE(""https://docs.google.com/spreadsheets/d/14Bd19lYaqBhU8_DElYkX7l4wRkHqqCUFNJY4AfY3kHU/edit?usp=sharing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1" s="7" t="s">
        <v>10</v>
      </c>
      <c r="H7401" s="7">
        <v>0</v>
      </c>
      <c r="I7401" s="8" t="str">
        <f ca="1">IFERROR(__xludf.DUMMYFUNCTION("IF
(
G7402=""фізична особа""
,
VLOOKUP(H7402,IMPORTRANGE(""https://docs.google.com/spreadsheets/d/14Bd19lYaqBhU8_DElYkX7l4wRkHqqCUFNJY4AfY3kHU/edit?usp=sharing  #gid=0"",""фіз особи new!relations_name""),6,FALSE)
,
(IF
(
G7402=""юридична особа""
,
VLOOKUP"&amp;"(H7402,IMPORTRANGE(""https://docs.google.com/spreadsheets/d/14Bd19lYaqBhU8_DElYkX7l4wRkHqqCUFNJY4AfY3kHU/edit?usp=sharing  #gid=0"",""фіз особи new!relations_name_uo""),7,FALSE)
,
)
))"),"#N/A")</f>
        <v>#N/A</v>
      </c>
      <c r="J7401" s="7" t="s">
        <v>30</v>
      </c>
    </row>
    <row r="7402" spans="1:10" ht="13.2">
      <c r="A7402" s="7">
        <v>7401</v>
      </c>
      <c r="B7402" s="7">
        <v>1</v>
      </c>
      <c r="C7402" s="7" t="s">
        <v>10</v>
      </c>
      <c r="D7402" s="7">
        <v>8249</v>
      </c>
      <c r="E7402" s="7" t="s">
        <v>30</v>
      </c>
      <c r="F7402" s="8" t="str">
        <f ca="1">IFERROR(__xludf.DUMMYFUNCTION("IF
(
C7403=""фізична особа""
,
VLOOKUP(D7403,IMPORTRANGE(""https://docs.google.com/spreadsheets/d/14Bd19lYaqBhU8_DElYkX7l4wRkHqqCUFNJY4AfY3kHU/edit?usp=sharing  #gid=0"",""фіз особи new!relations_name""),6,FALSE)
,
(IF
(
C7403=""юридична особа""
,
VLOOKUP"&amp;"(D7403,IMPORTRANGE(""https://docs.google.com/spreadsheets/d/14Bd19lYaqBhU8_DElYkX7l4wRkHqqCUFNJY4AfY3kHU/edit?usp=sharing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2" s="7" t="s">
        <v>10</v>
      </c>
      <c r="H7402" s="7">
        <v>4</v>
      </c>
      <c r="I7402" s="8" t="str">
        <f ca="1">IFERROR(__xludf.DUMMYFUNCTION("IF
(
G7403=""фізична особа""
,
VLOOKUP(H7403,IMPORTRANGE(""https://docs.google.com/spreadsheets/d/14Bd19lYaqBhU8_DElYkX7l4wRkHqqCUFNJY4AfY3kHU/edit?usp=sharing  #gid=0"",""фіз особи new!relations_name""),6,FALSE)
,
(IF
(
G7403=""юридична особа""
,
VLOOKUP"&amp;"(H7403,IMPORTRANGE(""https://docs.google.com/spreadsheets/d/14Bd19lYaqBhU8_DElYkX7l4wRkHqqCUFNJY4AfY3kHU/edit?usp=sharing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J7402" s="7" t="s">
        <v>30</v>
      </c>
    </row>
    <row r="7403" spans="1:10" ht="13.2">
      <c r="A7403" s="7">
        <v>7402</v>
      </c>
      <c r="B7403" s="7">
        <v>1</v>
      </c>
      <c r="C7403" s="7" t="s">
        <v>10</v>
      </c>
      <c r="D7403" s="7">
        <v>8249</v>
      </c>
      <c r="E7403" s="7" t="s">
        <v>30</v>
      </c>
      <c r="F7403" s="8" t="str">
        <f ca="1">IFERROR(__xludf.DUMMYFUNCTION("IF
(
C7404=""фізична особа""
,
VLOOKUP(D7404,IMPORTRANGE(""https://docs.google.com/spreadsheets/d/14Bd19lYaqBhU8_DElYkX7l4wRkHqqCUFNJY4AfY3kHU/edit?usp=sharing  #gid=0"",""фіз особи new!relations_name""),6,FALSE)
,
(IF
(
C7404=""юридична особа""
,
VLOOKUP"&amp;"(D7404,IMPORTRANGE(""https://docs.google.com/spreadsheets/d/14Bd19lYaqBhU8_DElYkX7l4wRkHqqCUFNJY4AfY3kHU/edit?usp=sharing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3" s="7" t="s">
        <v>10</v>
      </c>
      <c r="H7403" s="7">
        <v>8377</v>
      </c>
      <c r="I7403" s="8" t="str">
        <f ca="1">IFERROR(__xludf.DUMMYFUNCTION("IF
(
G7404=""фізична особа""
,
VLOOKUP(H7404,IMPORTRANGE(""https://docs.google.com/spreadsheets/d/14Bd19lYaqBhU8_DElYkX7l4wRkHqqCUFNJY4AfY3kHU/edit?usp=sharing  #gid=0"",""фіз особи new!relations_name""),6,FALSE)
,
(IF
(
G7404=""юридична особа""
,
VLOOKUP"&amp;"(H7404,IMPORTRANGE(""https://docs.google.com/spreadsheets/d/14Bd19lYaqBhU8_DElYkX7l4wRkHqqCUFNJY4AfY3kHU/edit?usp=sharing  #gid=0"",""фіз особи new!relations_name_uo""),7,FALSE)
,
)
))"),"МИТЮШОВ Олексій Олександрович")</f>
        <v>МИТЮШОВ Олексій Олександрович</v>
      </c>
      <c r="J7403" s="7" t="s">
        <v>30</v>
      </c>
    </row>
    <row r="7404" spans="1:10" ht="13.2">
      <c r="A7404" s="7">
        <v>7403</v>
      </c>
      <c r="B7404" s="7">
        <v>1</v>
      </c>
      <c r="C7404" s="7" t="s">
        <v>10</v>
      </c>
      <c r="D7404" s="7">
        <v>8249</v>
      </c>
      <c r="E7404" s="7" t="s">
        <v>30</v>
      </c>
      <c r="F7404" s="8" t="str">
        <f ca="1">IFERROR(__xludf.DUMMYFUNCTION("IF
(
C7405=""фізична особа""
,
VLOOKUP(D7405,IMPORTRANGE(""https://docs.google.com/spreadsheets/d/14Bd19lYaqBhU8_DElYkX7l4wRkHqqCUFNJY4AfY3kHU/edit?usp=sharing  #gid=0"",""фіз особи new!relations_name""),6,FALSE)
,
(IF
(
C7405=""юридична особа""
,
VLOOKUP"&amp;"(D7405,IMPORTRANGE(""https://docs.google.com/spreadsheets/d/14Bd19lYaqBhU8_DElYkX7l4wRkHqqCUFNJY4AfY3kHU/edit?usp=sharing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4" s="7" t="s">
        <v>10</v>
      </c>
      <c r="H7404" s="7">
        <v>0</v>
      </c>
      <c r="I7404" s="8" t="str">
        <f ca="1">IFERROR(__xludf.DUMMYFUNCTION("IF
(
G7405=""фізична особа""
,
VLOOKUP(H7405,IMPORTRANGE(""https://docs.google.com/spreadsheets/d/14Bd19lYaqBhU8_DElYkX7l4wRkHqqCUFNJY4AfY3kHU/edit?usp=sharing  #gid=0"",""фіз особи new!relations_name""),6,FALSE)
,
(IF
(
G7405=""юридична особа""
,
VLOOKUP"&amp;"(H7405,IMPORTRANGE(""https://docs.google.com/spreadsheets/d/14Bd19lYaqBhU8_DElYkX7l4wRkHqqCUFNJY4AfY3kHU/edit?usp=sharing  #gid=0"",""фіз особи new!relations_name_uo""),7,FALSE)
,
)
))"),"#N/A")</f>
        <v>#N/A</v>
      </c>
      <c r="J7404" s="7" t="s">
        <v>30</v>
      </c>
    </row>
    <row r="7405" spans="1:10" ht="13.2">
      <c r="A7405" s="7">
        <v>7404</v>
      </c>
      <c r="B7405" s="7">
        <v>1</v>
      </c>
      <c r="C7405" s="7" t="s">
        <v>10</v>
      </c>
      <c r="D7405" s="7">
        <v>8249</v>
      </c>
      <c r="E7405" s="7" t="s">
        <v>30</v>
      </c>
      <c r="F7405" s="8" t="str">
        <f ca="1">IFERROR(__xludf.DUMMYFUNCTION("IF
(
C7406=""фізична особа""
,
VLOOKUP(D7406,IMPORTRANGE(""https://docs.google.com/spreadsheets/d/14Bd19lYaqBhU8_DElYkX7l4wRkHqqCUFNJY4AfY3kHU/edit?usp=sharing  #gid=0"",""фіз особи new!relations_name""),6,FALSE)
,
(IF
(
C7406=""юридична особа""
,
VLOOKUP"&amp;"(D7406,IMPORTRANGE(""https://docs.google.com/spreadsheets/d/14Bd19lYaqBhU8_DElYkX7l4wRkHqqCUFNJY4AfY3kHU/edit?usp=sharing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5" s="7" t="s">
        <v>10</v>
      </c>
      <c r="H7405" s="7">
        <v>0</v>
      </c>
      <c r="I7405" s="8" t="str">
        <f ca="1">IFERROR(__xludf.DUMMYFUNCTION("IF
(
G7406=""фізична особа""
,
VLOOKUP(H7406,IMPORTRANGE(""https://docs.google.com/spreadsheets/d/14Bd19lYaqBhU8_DElYkX7l4wRkHqqCUFNJY4AfY3kHU/edit?usp=sharing  #gid=0"",""фіз особи new!relations_name""),6,FALSE)
,
(IF
(
G7406=""юридична особа""
,
VLOOKUP"&amp;"(H7406,IMPORTRANGE(""https://docs.google.com/spreadsheets/d/14Bd19lYaqBhU8_DElYkX7l4wRkHqqCUFNJY4AfY3kHU/edit?usp=sharing  #gid=0"",""фіз особи new!relations_name_uo""),7,FALSE)
,
)
))"),"#N/A")</f>
        <v>#N/A</v>
      </c>
      <c r="J7405" s="7" t="s">
        <v>30</v>
      </c>
    </row>
    <row r="7406" spans="1:10" ht="13.2">
      <c r="A7406" s="7">
        <v>7405</v>
      </c>
      <c r="B7406" s="7">
        <v>1</v>
      </c>
      <c r="C7406" s="7" t="s">
        <v>10</v>
      </c>
      <c r="D7406" s="7">
        <v>8249</v>
      </c>
      <c r="E7406" s="7" t="s">
        <v>30</v>
      </c>
      <c r="F7406" s="8" t="str">
        <f ca="1">IFERROR(__xludf.DUMMYFUNCTION("IF
(
C7407=""фізична особа""
,
VLOOKUP(D7407,IMPORTRANGE(""https://docs.google.com/spreadsheets/d/14Bd19lYaqBhU8_DElYkX7l4wRkHqqCUFNJY4AfY3kHU/edit?usp=sharing  #gid=0"",""фіз особи new!relations_name""),6,FALSE)
,
(IF
(
C7407=""юридична особа""
,
VLOOKUP"&amp;"(D7407,IMPORTRANGE(""https://docs.google.com/spreadsheets/d/14Bd19lYaqBhU8_DElYkX7l4wRkHqqCUFNJY4AfY3kHU/edit?usp=sharing  #gid=0"",""фіз особи new!relations_name_uo""),7,FALSE)
,
)
))"),"СЕЛЕЗНЬОВ Кирило Геннадійович")</f>
        <v>СЕЛЕЗНЬОВ Кирило Геннадійович</v>
      </c>
      <c r="G7406" s="7" t="s">
        <v>10</v>
      </c>
      <c r="H7406" s="7">
        <v>0</v>
      </c>
      <c r="I7406" s="8" t="str">
        <f ca="1">IFERROR(__xludf.DUMMYFUNCTION("IF
(
G7407=""фізична особа""
,
VLOOKUP(H7407,IMPORTRANGE(""https://docs.google.com/spreadsheets/d/14Bd19lYaqBhU8_DElYkX7l4wRkHqqCUFNJY4AfY3kHU/edit?usp=sharing  #gid=0"",""фіз особи new!relations_name""),6,FALSE)
,
(IF
(
G7407=""юридична особа""
,
VLOOKUP"&amp;"(H7407,IMPORTRANGE(""https://docs.google.com/spreadsheets/d/14Bd19lYaqBhU8_DElYkX7l4wRkHqqCUFNJY4AfY3kHU/edit?usp=sharing  #gid=0"",""фіз особи new!relations_name_uo""),7,FALSE)
,
)
))"),"#N/A")</f>
        <v>#N/A</v>
      </c>
      <c r="J7406" s="7" t="s">
        <v>30</v>
      </c>
    </row>
    <row r="7407" spans="1:10" ht="13.2">
      <c r="A7407" s="7">
        <v>7406</v>
      </c>
      <c r="B7407" s="7">
        <v>1</v>
      </c>
      <c r="C7407" s="7" t="s">
        <v>10</v>
      </c>
      <c r="D7407" s="7">
        <v>8253</v>
      </c>
      <c r="E7407" s="7" t="s">
        <v>17</v>
      </c>
      <c r="F7407" s="8" t="str">
        <f ca="1">IFERROR(__xludf.DUMMYFUNCTION("IF
(
C7408=""фізична особа""
,
VLOOKUP(D7408,IMPORTRANGE(""https://docs.google.com/spreadsheets/d/14Bd19lYaqBhU8_DElYkX7l4wRkHqqCUFNJY4AfY3kHU/edit?usp=sharing  #gid=0"",""фіз особи new!relations_name""),6,FALSE)
,
(IF
(
C7408=""юридична особа""
,
VLOOKUP"&amp;"(D7408,IMPORTRANGE(""https://docs.google.com/spreadsheets/d/14Bd19lYaqBhU8_DElYkX7l4wRkHqqCUFNJY4AfY3kHU/edit?usp=sharing  #gid=0"",""фіз особи new!relations_name_uo""),7,FALSE)
,
)
))"),"КАРАПЕТЯН Саркис Самвелович")</f>
        <v>КАРАПЕТЯН Саркис Самвелович</v>
      </c>
      <c r="G7407" s="7" t="s">
        <v>10</v>
      </c>
      <c r="H7407" s="7">
        <v>1991</v>
      </c>
      <c r="I7407" s="8" t="str">
        <f ca="1">IFERROR(__xludf.DUMMYFUNCTION("IF
(
G7408=""фізична особа""
,
VLOOKUP(H7408,IMPORTRANGE(""https://docs.google.com/spreadsheets/d/14Bd19lYaqBhU8_DElYkX7l4wRkHqqCUFNJY4AfY3kHU/edit?usp=sharing  #gid=0"",""фіз особи new!relations_name""),6,FALSE)
,
(IF
(
G7408=""юридична особа""
,
VLOOKUP"&amp;"(H7408,IMPORTRANGE(""https://docs.google.com/spreadsheets/d/14Bd19lYaqBhU8_DElYkX7l4wRkHqqCUFNJY4AfY3kHU/edit?usp=sharing  #gid=0"",""фіз особи new!relations_name_uo""),7,FALSE)
,
)
))"),"КАРАПЕТЯН Самвел Саркісович")</f>
        <v>КАРАПЕТЯН Самвел Саркісович</v>
      </c>
      <c r="J7407" s="7" t="s">
        <v>12</v>
      </c>
    </row>
    <row r="7408" spans="1:10" ht="13.2">
      <c r="A7408" s="7">
        <v>7407</v>
      </c>
      <c r="B7408" s="7">
        <v>1</v>
      </c>
      <c r="C7408" s="7" t="s">
        <v>10</v>
      </c>
      <c r="D7408" s="7">
        <v>8253</v>
      </c>
      <c r="E7408" s="7" t="s">
        <v>18</v>
      </c>
      <c r="F7408" s="8" t="str">
        <f ca="1">IFERROR(__xludf.DUMMYFUNCTION("IF
(
C7409=""фізична особа""
,
VLOOKUP(D7409,IMPORTRANGE(""https://docs.google.com/spreadsheets/d/14Bd19lYaqBhU8_DElYkX7l4wRkHqqCUFNJY4AfY3kHU/edit?usp=sharing  #gid=0"",""фіз особи new!relations_name""),6,FALSE)
,
(IF
(
C7409=""юридична особа""
,
VLOOKUP"&amp;"(D7409,IMPORTRANGE(""https://docs.google.com/spreadsheets/d/14Bd19lYaqBhU8_DElYkX7l4wRkHqqCUFNJY4AfY3kHU/edit?usp=sharing  #gid=0"",""фіз особи new!relations_name_uo""),7,FALSE)
,
)
))"),"КАРАПЕТЯН Саркис Самвелович")</f>
        <v>КАРАПЕТЯН Саркис Самвелович</v>
      </c>
      <c r="G7408" s="7" t="s">
        <v>10</v>
      </c>
      <c r="H7408" s="7">
        <v>0</v>
      </c>
      <c r="I7408" s="8" t="str">
        <f ca="1">IFERROR(__xludf.DUMMYFUNCTION("IF
(
G7409=""фізична особа""
,
VLOOKUP(H7409,IMPORTRANGE(""https://docs.google.com/spreadsheets/d/14Bd19lYaqBhU8_DElYkX7l4wRkHqqCUFNJY4AfY3kHU/edit?usp=sharing  #gid=0"",""фіз особи new!relations_name""),6,FALSE)
,
(IF
(
G7409=""юридична особа""
,
VLOOKUP"&amp;"(H7409,IMPORTRANGE(""https://docs.google.com/spreadsheets/d/14Bd19lYaqBhU8_DElYkX7l4wRkHqqCUFNJY4AfY3kHU/edit?usp=sharing  #gid=0"",""фіз особи new!relations_name_uo""),7,FALSE)
,
)
))"),"#N/A")</f>
        <v>#N/A</v>
      </c>
      <c r="J7408" s="7" t="s">
        <v>31</v>
      </c>
    </row>
    <row r="7409" spans="1:10" ht="13.2">
      <c r="A7409" s="7">
        <v>7408</v>
      </c>
      <c r="B7409" s="7">
        <v>1</v>
      </c>
      <c r="C7409" s="7" t="s">
        <v>10</v>
      </c>
      <c r="D7409" s="7">
        <v>8253</v>
      </c>
      <c r="E7409" s="7" t="s">
        <v>18</v>
      </c>
      <c r="F7409" s="8" t="str">
        <f ca="1">IFERROR(__xludf.DUMMYFUNCTION("IF
(
C7410=""фізична особа""
,
VLOOKUP(D7410,IMPORTRANGE(""https://docs.google.com/spreadsheets/d/14Bd19lYaqBhU8_DElYkX7l4wRkHqqCUFNJY4AfY3kHU/edit?usp=sharing  #gid=0"",""фіз особи new!relations_name""),6,FALSE)
,
(IF
(
C7410=""юридична особа""
,
VLOOKUP"&amp;"(D7410,IMPORTRANGE(""https://docs.google.com/spreadsheets/d/14Bd19lYaqBhU8_DElYkX7l4wRkHqqCUFNJY4AfY3kHU/edit?usp=sharing  #gid=0"",""фіз особи new!relations_name_uo""),7,FALSE)
,
)
))"),"КАРАПЕТЯН Саркис Самвелович")</f>
        <v>КАРАПЕТЯН Саркис Самвелович</v>
      </c>
      <c r="G7409" s="7" t="s">
        <v>10</v>
      </c>
      <c r="H7409" s="7">
        <v>0</v>
      </c>
      <c r="I7409" s="8" t="str">
        <f ca="1">IFERROR(__xludf.DUMMYFUNCTION("IF
(
G7410=""фізична особа""
,
VLOOKUP(H7410,IMPORTRANGE(""https://docs.google.com/spreadsheets/d/14Bd19lYaqBhU8_DElYkX7l4wRkHqqCUFNJY4AfY3kHU/edit?usp=sharing  #gid=0"",""фіз особи new!relations_name""),6,FALSE)
,
(IF
(
G7410=""юридична особа""
,
VLOOKUP"&amp;"(H7410,IMPORTRANGE(""https://docs.google.com/spreadsheets/d/14Bd19lYaqBhU8_DElYkX7l4wRkHqqCUFNJY4AfY3kHU/edit?usp=sharing  #gid=0"",""фіз особи new!relations_name_uo""),7,FALSE)
,
)
))"),"#N/A")</f>
        <v>#N/A</v>
      </c>
      <c r="J7409" s="7" t="s">
        <v>18</v>
      </c>
    </row>
    <row r="7410" spans="1:10" ht="13.2">
      <c r="A7410" s="7">
        <v>7409</v>
      </c>
      <c r="B7410" s="7">
        <v>1</v>
      </c>
      <c r="C7410" s="7" t="s">
        <v>10</v>
      </c>
      <c r="D7410" s="7">
        <v>8253</v>
      </c>
      <c r="E7410" s="7" t="s">
        <v>14</v>
      </c>
      <c r="F7410" s="8" t="str">
        <f ca="1">IFERROR(__xludf.DUMMYFUNCTION("IF
(
C7411=""фізична особа""
,
VLOOKUP(D7411,IMPORTRANGE(""https://docs.google.com/spreadsheets/d/14Bd19lYaqBhU8_DElYkX7l4wRkHqqCUFNJY4AfY3kHU/edit?usp=sharing  #gid=0"",""фіз особи new!relations_name""),6,FALSE)
,
(IF
(
C7411=""юридична особа""
,
VLOOKUP"&amp;"(D7411,IMPORTRANGE(""https://docs.google.com/spreadsheets/d/14Bd19lYaqBhU8_DElYkX7l4wRkHqqCUFNJY4AfY3kHU/edit?usp=sharing  #gid=0"",""фіз особи new!relations_name_uo""),7,FALSE)
,
)
))"),"КАРАПЕТЯН Саркис Самвелович")</f>
        <v>КАРАПЕТЯН Саркис Самвелович</v>
      </c>
      <c r="G7410" s="7" t="s">
        <v>10</v>
      </c>
      <c r="H7410" s="7">
        <v>0</v>
      </c>
      <c r="I7410" s="8" t="str">
        <f ca="1">IFERROR(__xludf.DUMMYFUNCTION("IF
(
G7411=""фізична особа""
,
VLOOKUP(H7411,IMPORTRANGE(""https://docs.google.com/spreadsheets/d/14Bd19lYaqBhU8_DElYkX7l4wRkHqqCUFNJY4AfY3kHU/edit?usp=sharing  #gid=0"",""фіз особи new!relations_name""),6,FALSE)
,
(IF
(
G7411=""юридична особа""
,
VLOOKUP"&amp;"(H7411,IMPORTRANGE(""https://docs.google.com/spreadsheets/d/14Bd19lYaqBhU8_DElYkX7l4wRkHqqCUFNJY4AfY3kHU/edit?usp=sharing  #gid=0"",""фіз особи new!relations_name_uo""),7,FALSE)
,
)
))"),"#N/A")</f>
        <v>#N/A</v>
      </c>
      <c r="J7410" s="7" t="s">
        <v>15</v>
      </c>
    </row>
    <row r="7411" spans="1:10" ht="13.2">
      <c r="A7411" s="7">
        <v>7410</v>
      </c>
      <c r="B7411" s="7">
        <v>1</v>
      </c>
      <c r="C7411" s="7" t="s">
        <v>10</v>
      </c>
      <c r="D7411" s="7">
        <v>8271</v>
      </c>
      <c r="E7411" s="7" t="s">
        <v>14</v>
      </c>
      <c r="F7411" s="8" t="str">
        <f ca="1">IFERROR(__xludf.DUMMYFUNCTION("IF
(
C7412=""фізична особа""
,
VLOOKUP(D7412,IMPORTRANGE(""https://docs.google.com/spreadsheets/d/14Bd19lYaqBhU8_DElYkX7l4wRkHqqCUFNJY4AfY3kHU/edit?usp=sharing  #gid=0"",""фіз особи new!relations_name""),6,FALSE)
,
(IF
(
C7412=""юридична особа""
,
VLOOKUP"&amp;"(D7412,IMPORTRANGE(""https://docs.google.com/spreadsheets/d/14Bd19lYaqBhU8_DElYkX7l4wRkHqqCUFNJY4AfY3kHU/edit?usp=sharing  #gid=0"",""фіз особи new!relations_name_uo""),7,FALSE)
,
)
))"),"БАЙЛЬ Сергій Вікторович")</f>
        <v>БАЙЛЬ Сергій Вікторович</v>
      </c>
      <c r="G7411" s="7" t="s">
        <v>10</v>
      </c>
      <c r="H7411" s="7">
        <v>8287</v>
      </c>
      <c r="I7411" s="8" t="str">
        <f ca="1">IFERROR(__xludf.DUMMYFUNCTION("IF
(
G7412=""фізична особа""
,
VLOOKUP(H7412,IMPORTRANGE(""https://docs.google.com/spreadsheets/d/14Bd19lYaqBhU8_DElYkX7l4wRkHqqCUFNJY4AfY3kHU/edit?usp=sharing  #gid=0"",""фіз особи new!relations_name""),6,FALSE)
,
(IF
(
G7412=""юридична особа""
,
VLOOKUP"&amp;"(H7412,IMPORTRANGE(""https://docs.google.com/spreadsheets/d/14Bd19lYaqBhU8_DElYkX7l4wRkHqqCUFNJY4AfY3kHU/edit?usp=sharing  #gid=0"",""фіз особи new!relations_name_uo""),7,FALSE)
,
)
))"),"БАЙЛЬ Луіза Миколаївна")</f>
        <v>БАЙЛЬ Луіза Миколаївна</v>
      </c>
      <c r="J7411" s="7" t="s">
        <v>15</v>
      </c>
    </row>
    <row r="7412" spans="1:10" ht="13.2">
      <c r="A7412" s="7">
        <v>7411</v>
      </c>
      <c r="B7412" s="7">
        <v>1</v>
      </c>
      <c r="C7412" s="7" t="s">
        <v>10</v>
      </c>
      <c r="D7412" s="7">
        <v>8340</v>
      </c>
      <c r="E7412" s="7" t="s">
        <v>30</v>
      </c>
      <c r="F7412" s="8" t="str">
        <f ca="1">IFERROR(__xludf.DUMMYFUNCTION("IF
(
C7413=""фізична особа""
,
VLOOKUP(D7413,IMPORTRANGE(""https://docs.google.com/spreadsheets/d/14Bd19lYaqBhU8_DElYkX7l4wRkHqqCUFNJY4AfY3kHU/edit?usp=sharing  #gid=0"",""фіз особи new!relations_name""),6,FALSE)
,
(IF
(
C7413=""юридична особа""
,
VLOOKUP"&amp;"(D7413,IMPORTRANGE(""https://docs.google.com/spreadsheets/d/14Bd19lYaqBhU8_DElYkX7l4wRkHqqCUFNJY4AfY3kHU/edit?usp=sharing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2" s="7" t="s">
        <v>10</v>
      </c>
      <c r="H7412" s="7">
        <v>144</v>
      </c>
      <c r="I7412" s="8" t="str">
        <f ca="1">IFERROR(__xludf.DUMMYFUNCTION("IF
(
G7413=""фізична особа""
,
VLOOKUP(H7413,IMPORTRANGE(""https://docs.google.com/spreadsheets/d/14Bd19lYaqBhU8_DElYkX7l4wRkHqqCUFNJY4AfY3kHU/edit?usp=sharing  #gid=0"",""фіз особи new!relations_name""),6,FALSE)
,
(IF
(
G7413=""юридична особа""
,
VLOOKUP"&amp;"(H7413,IMPORTRANGE(""https://docs.google.com/spreadsheets/d/14Bd19lYaqBhU8_DElYkX7l4wRkHqqCUFNJY4AfY3kHU/edit?usp=sharing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12" s="7" t="s">
        <v>30</v>
      </c>
    </row>
    <row r="7413" spans="1:10" ht="13.2">
      <c r="A7413" s="7">
        <v>7412</v>
      </c>
      <c r="B7413" s="7">
        <v>1</v>
      </c>
      <c r="C7413" s="7" t="s">
        <v>10</v>
      </c>
      <c r="D7413" s="7">
        <v>8340</v>
      </c>
      <c r="E7413" s="7" t="s">
        <v>30</v>
      </c>
      <c r="F7413" s="8" t="str">
        <f ca="1">IFERROR(__xludf.DUMMYFUNCTION("IF
(
C7414=""фізична особа""
,
VLOOKUP(D7414,IMPORTRANGE(""https://docs.google.com/spreadsheets/d/14Bd19lYaqBhU8_DElYkX7l4wRkHqqCUFNJY4AfY3kHU/edit?usp=sharing  #gid=0"",""фіз особи new!relations_name""),6,FALSE)
,
(IF
(
C7414=""юридична особа""
,
VLOOKUP"&amp;"(D7414,IMPORTRANGE(""https://docs.google.com/spreadsheets/d/14Bd19lYaqBhU8_DElYkX7l4wRkHqqCUFNJY4AfY3kHU/edit?usp=sharing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3" s="7" t="s">
        <v>10</v>
      </c>
      <c r="H7413" s="7">
        <v>629</v>
      </c>
      <c r="I7413" s="8" t="str">
        <f ca="1">IFERROR(__xludf.DUMMYFUNCTION("IF
(
G7414=""фізична особа""
,
VLOOKUP(H7414,IMPORTRANGE(""https://docs.google.com/spreadsheets/d/14Bd19lYaqBhU8_DElYkX7l4wRkHqqCUFNJY4AfY3kHU/edit?usp=sharing  #gid=0"",""фіз особи new!relations_name""),6,FALSE)
,
(IF
(
G7414=""юридична особа""
,
VLOOKUP"&amp;"(H7414,IMPORTRANGE(""https://docs.google.com/spreadsheets/d/14Bd19lYaqBhU8_DElYkX7l4wRkHqqCUFNJY4AfY3kHU/edit?usp=sharing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13" s="7" t="s">
        <v>30</v>
      </c>
    </row>
    <row r="7414" spans="1:10" ht="13.2">
      <c r="A7414" s="7">
        <v>7413</v>
      </c>
      <c r="B7414" s="7">
        <v>1</v>
      </c>
      <c r="C7414" s="7" t="s">
        <v>10</v>
      </c>
      <c r="D7414" s="7">
        <v>8340</v>
      </c>
      <c r="E7414" s="7" t="s">
        <v>29</v>
      </c>
      <c r="F7414" s="8" t="str">
        <f ca="1">IFERROR(__xludf.DUMMYFUNCTION("IF
(
C7415=""фізична особа""
,
VLOOKUP(D7415,IMPORTRANGE(""https://docs.google.com/spreadsheets/d/14Bd19lYaqBhU8_DElYkX7l4wRkHqqCUFNJY4AfY3kHU/edit?usp=sharing  #gid=0"",""фіз особи new!relations_name""),6,FALSE)
,
(IF
(
C7415=""юридична особа""
,
VLOOKUP"&amp;"(D7415,IMPORTRANGE(""https://docs.google.com/spreadsheets/d/14Bd19lYaqBhU8_DElYkX7l4wRkHqqCUFNJY4AfY3kHU/edit?usp=sharing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4" s="7" t="s">
        <v>10</v>
      </c>
      <c r="H7414" s="7">
        <v>8245</v>
      </c>
      <c r="I7414" s="8" t="str">
        <f ca="1">IFERROR(__xludf.DUMMYFUNCTION("IF
(
G7415=""фізична особа""
,
VLOOKUP(H7415,IMPORTRANGE(""https://docs.google.com/spreadsheets/d/14Bd19lYaqBhU8_DElYkX7l4wRkHqqCUFNJY4AfY3kHU/edit?usp=sharing  #gid=0"",""фіз особи new!relations_name""),6,FALSE)
,
(IF
(
G7415=""юридична особа""
,
VLOOKUP"&amp;"(H7415,IMPORTRANGE(""https://docs.google.com/spreadsheets/d/14Bd19lYaqBhU8_DElYkX7l4wRkHqqCUFNJY4AfY3kHU/edit?usp=sharing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14" s="7" t="s">
        <v>28</v>
      </c>
    </row>
    <row r="7415" spans="1:10" ht="13.2">
      <c r="A7415" s="7">
        <v>7414</v>
      </c>
      <c r="B7415" s="7">
        <v>1</v>
      </c>
      <c r="C7415" s="7" t="s">
        <v>10</v>
      </c>
      <c r="D7415" s="7">
        <v>8340</v>
      </c>
      <c r="E7415" s="7" t="s">
        <v>29</v>
      </c>
      <c r="F7415" s="8" t="str">
        <f ca="1">IFERROR(__xludf.DUMMYFUNCTION("IF
(
C7416=""фізична особа""
,
VLOOKUP(D7416,IMPORTRANGE(""https://docs.google.com/spreadsheets/d/14Bd19lYaqBhU8_DElYkX7l4wRkHqqCUFNJY4AfY3kHU/edit?usp=sharing  #gid=0"",""фіз особи new!relations_name""),6,FALSE)
,
(IF
(
C7416=""юридична особа""
,
VLOOKUP"&amp;"(D7416,IMPORTRANGE(""https://docs.google.com/spreadsheets/d/14Bd19lYaqBhU8_DElYkX7l4wRkHqqCUFNJY4AfY3kHU/edit?usp=sharing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5" s="7" t="s">
        <v>10</v>
      </c>
      <c r="H7415" s="7">
        <v>8244</v>
      </c>
      <c r="I7415" s="8" t="str">
        <f ca="1">IFERROR(__xludf.DUMMYFUNCTION("IF
(
G7416=""фізична особа""
,
VLOOKUP(H7416,IMPORTRANGE(""https://docs.google.com/spreadsheets/d/14Bd19lYaqBhU8_DElYkX7l4wRkHqqCUFNJY4AfY3kHU/edit?usp=sharing  #gid=0"",""фіз особи new!relations_name""),6,FALSE)
,
(IF
(
G7416=""юридична особа""
,
VLOOKUP"&amp;"(H7416,IMPORTRANGE(""https://docs.google.com/spreadsheets/d/14Bd19lYaqBhU8_DElYkX7l4wRkHqqCUFNJY4AfY3kHU/edit?usp=sharing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15" s="7" t="s">
        <v>28</v>
      </c>
    </row>
    <row r="7416" spans="1:10" ht="13.2">
      <c r="A7416" s="7">
        <v>7415</v>
      </c>
      <c r="B7416" s="7">
        <v>1</v>
      </c>
      <c r="C7416" s="7" t="s">
        <v>10</v>
      </c>
      <c r="D7416" s="7">
        <v>8340</v>
      </c>
      <c r="E7416" s="7" t="s">
        <v>30</v>
      </c>
      <c r="F7416" s="8" t="str">
        <f ca="1">IFERROR(__xludf.DUMMYFUNCTION("IF
(
C7417=""фізична особа""
,
VLOOKUP(D7417,IMPORTRANGE(""https://docs.google.com/spreadsheets/d/14Bd19lYaqBhU8_DElYkX7l4wRkHqqCUFNJY4AfY3kHU/edit?usp=sharing  #gid=0"",""фіз особи new!relations_name""),6,FALSE)
,
(IF
(
C7417=""юридична особа""
,
VLOOKUP"&amp;"(D7417,IMPORTRANGE(""https://docs.google.com/spreadsheets/d/14Bd19lYaqBhU8_DElYkX7l4wRkHqqCUFNJY4AfY3kHU/edit?usp=sharing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6" s="7" t="s">
        <v>10</v>
      </c>
      <c r="H7416" s="7">
        <v>8246</v>
      </c>
      <c r="I7416" s="8" t="str">
        <f ca="1">IFERROR(__xludf.DUMMYFUNCTION("IF
(
G7417=""фізична особа""
,
VLOOKUP(H7417,IMPORTRANGE(""https://docs.google.com/spreadsheets/d/14Bd19lYaqBhU8_DElYkX7l4wRkHqqCUFNJY4AfY3kHU/edit?usp=sharing  #gid=0"",""фіз особи new!relations_name""),6,FALSE)
,
(IF
(
G7417=""юридична особа""
,
VLOOKUP"&amp;"(H7417,IMPORTRANGE(""https://docs.google.com/spreadsheets/d/14Bd19lYaqBhU8_DElYkX7l4wRkHqqCUFNJY4AfY3kHU/edit?usp=sharing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16" s="7" t="s">
        <v>30</v>
      </c>
    </row>
    <row r="7417" spans="1:10" ht="13.2">
      <c r="A7417" s="7">
        <v>7416</v>
      </c>
      <c r="B7417" s="7">
        <v>1</v>
      </c>
      <c r="C7417" s="7" t="s">
        <v>10</v>
      </c>
      <c r="D7417" s="7">
        <v>8340</v>
      </c>
      <c r="E7417" s="7" t="s">
        <v>30</v>
      </c>
      <c r="F7417" s="8" t="str">
        <f ca="1">IFERROR(__xludf.DUMMYFUNCTION("IF
(
C7418=""фізична особа""
,
VLOOKUP(D7418,IMPORTRANGE(""https://docs.google.com/spreadsheets/d/14Bd19lYaqBhU8_DElYkX7l4wRkHqqCUFNJY4AfY3kHU/edit?usp=sharing  #gid=0"",""фіз особи new!relations_name""),6,FALSE)
,
(IF
(
C7418=""юридична особа""
,
VLOOKUP"&amp;"(D7418,IMPORTRANGE(""https://docs.google.com/spreadsheets/d/14Bd19lYaqBhU8_DElYkX7l4wRkHqqCUFNJY4AfY3kHU/edit?usp=sharing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7" s="7" t="s">
        <v>10</v>
      </c>
      <c r="H7417" s="7">
        <v>8248</v>
      </c>
      <c r="I7417" s="8" t="str">
        <f ca="1">IFERROR(__xludf.DUMMYFUNCTION("IF
(
G7418=""фізична особа""
,
VLOOKUP(H7418,IMPORTRANGE(""https://docs.google.com/spreadsheets/d/14Bd19lYaqBhU8_DElYkX7l4wRkHqqCUFNJY4AfY3kHU/edit?usp=sharing  #gid=0"",""фіз особи new!relations_name""),6,FALSE)
,
(IF
(
G7418=""юридична особа""
,
VLOOKUP"&amp;"(H7418,IMPORTRANGE(""https://docs.google.com/spreadsheets/d/14Bd19lYaqBhU8_DElYkX7l4wRkHqqCUFNJY4AfY3kHU/edit?usp=sharing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17" s="7" t="s">
        <v>30</v>
      </c>
    </row>
    <row r="7418" spans="1:10" ht="13.2">
      <c r="A7418" s="7">
        <v>7417</v>
      </c>
      <c r="B7418" s="7">
        <v>1</v>
      </c>
      <c r="C7418" s="7" t="s">
        <v>10</v>
      </c>
      <c r="D7418" s="7">
        <v>8340</v>
      </c>
      <c r="E7418" s="7" t="s">
        <v>30</v>
      </c>
      <c r="F7418" s="8" t="str">
        <f ca="1">IFERROR(__xludf.DUMMYFUNCTION("IF
(
C7419=""фізична особа""
,
VLOOKUP(D7419,IMPORTRANGE(""https://docs.google.com/spreadsheets/d/14Bd19lYaqBhU8_DElYkX7l4wRkHqqCUFNJY4AfY3kHU/edit?usp=sharing  #gid=0"",""фіз особи new!relations_name""),6,FALSE)
,
(IF
(
C7419=""юридична особа""
,
VLOOKUP"&amp;"(D7419,IMPORTRANGE(""https://docs.google.com/spreadsheets/d/14Bd19lYaqBhU8_DElYkX7l4wRkHqqCUFNJY4AfY3kHU/edit?usp=sharing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8" s="7" t="s">
        <v>10</v>
      </c>
      <c r="H7418" s="7">
        <v>8247</v>
      </c>
      <c r="I7418" s="8" t="str">
        <f ca="1">IFERROR(__xludf.DUMMYFUNCTION("IF
(
G7419=""фізична особа""
,
VLOOKUP(H7419,IMPORTRANGE(""https://docs.google.com/spreadsheets/d/14Bd19lYaqBhU8_DElYkX7l4wRkHqqCUFNJY4AfY3kHU/edit?usp=sharing  #gid=0"",""фіз особи new!relations_name""),6,FALSE)
,
(IF
(
G7419=""юридична особа""
,
VLOOKUP"&amp;"(H7419,IMPORTRANGE(""https://docs.google.com/spreadsheets/d/14Bd19lYaqBhU8_DElYkX7l4wRkHqqCUFNJY4AfY3kHU/edit?usp=sharing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18" s="7" t="s">
        <v>30</v>
      </c>
    </row>
    <row r="7419" spans="1:10" ht="13.2">
      <c r="A7419" s="7">
        <v>7418</v>
      </c>
      <c r="B7419" s="7">
        <v>1</v>
      </c>
      <c r="C7419" s="7" t="s">
        <v>10</v>
      </c>
      <c r="D7419" s="7">
        <v>8340</v>
      </c>
      <c r="E7419" s="7" t="s">
        <v>28</v>
      </c>
      <c r="F7419" s="8" t="str">
        <f ca="1">IFERROR(__xludf.DUMMYFUNCTION("IF
(
C7420=""фізична особа""
,
VLOOKUP(D7420,IMPORTRANGE(""https://docs.google.com/spreadsheets/d/14Bd19lYaqBhU8_DElYkX7l4wRkHqqCUFNJY4AfY3kHU/edit?usp=sharing  #gid=0"",""фіз особи new!relations_name""),6,FALSE)
,
(IF
(
C7420=""юридична особа""
,
VLOOKUP"&amp;"(D7420,IMPORTRANGE(""https://docs.google.com/spreadsheets/d/14Bd19lYaqBhU8_DElYkX7l4wRkHqqCUFNJY4AfY3kHU/edit?usp=sharing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19" s="7" t="s">
        <v>10</v>
      </c>
      <c r="H7419" s="7">
        <v>8243</v>
      </c>
      <c r="I7419" s="8" t="str">
        <f ca="1">IFERROR(__xludf.DUMMYFUNCTION("IF
(
G7420=""фізична особа""
,
VLOOKUP(H7420,IMPORTRANGE(""https://docs.google.com/spreadsheets/d/14Bd19lYaqBhU8_DElYkX7l4wRkHqqCUFNJY4AfY3kHU/edit?usp=sharing  #gid=0"",""фіз особи new!relations_name""),6,FALSE)
,
(IF
(
G7420=""юридична особа""
,
VLOOKUP"&amp;"(H7420,IMPORTRANGE(""https://docs.google.com/spreadsheets/d/14Bd19lYaqBhU8_DElYkX7l4wRkHqqCUFNJY4AfY3kHU/edit?usp=sharing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19" s="7" t="s">
        <v>29</v>
      </c>
    </row>
    <row r="7420" spans="1:10" ht="13.2">
      <c r="A7420" s="7">
        <v>7419</v>
      </c>
      <c r="B7420" s="7">
        <v>1</v>
      </c>
      <c r="C7420" s="7" t="s">
        <v>10</v>
      </c>
      <c r="D7420" s="7">
        <v>8340</v>
      </c>
      <c r="E7420" s="7" t="s">
        <v>29</v>
      </c>
      <c r="F7420" s="8" t="str">
        <f ca="1">IFERROR(__xludf.DUMMYFUNCTION("IF
(
C7421=""фізична особа""
,
VLOOKUP(D7421,IMPORTRANGE(""https://docs.google.com/spreadsheets/d/14Bd19lYaqBhU8_DElYkX7l4wRkHqqCUFNJY4AfY3kHU/edit?usp=sharing  #gid=0"",""фіз особи new!relations_name""),6,FALSE)
,
(IF
(
C7421=""юридична особа""
,
VLOOKUP"&amp;"(D7421,IMPORTRANGE(""https://docs.google.com/spreadsheets/d/14Bd19lYaqBhU8_DElYkX7l4wRkHqqCUFNJY4AfY3kHU/edit?usp=sharing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0" s="7" t="s">
        <v>10</v>
      </c>
      <c r="H7420" s="7">
        <v>8346</v>
      </c>
      <c r="I7420" s="8" t="str">
        <f ca="1">IFERROR(__xludf.DUMMYFUNCTION("IF
(
G7421=""фізична особа""
,
VLOOKUP(H7421,IMPORTRANGE(""https://docs.google.com/spreadsheets/d/14Bd19lYaqBhU8_DElYkX7l4wRkHqqCUFNJY4AfY3kHU/edit?usp=sharing  #gid=0"",""фіз особи new!relations_name""),6,FALSE)
,
(IF
(
G7421=""юридична особа""
,
VLOOKUP"&amp;"(H7421,IMPORTRANGE(""https://docs.google.com/spreadsheets/d/14Bd19lYaqBhU8_DElYkX7l4wRkHqqCUFNJY4AfY3kHU/edit?usp=sharing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20" s="7" t="s">
        <v>28</v>
      </c>
    </row>
    <row r="7421" spans="1:10" ht="13.2">
      <c r="A7421" s="7">
        <v>7420</v>
      </c>
      <c r="B7421" s="7">
        <v>1</v>
      </c>
      <c r="C7421" s="7" t="s">
        <v>10</v>
      </c>
      <c r="D7421" s="7">
        <v>8340</v>
      </c>
      <c r="E7421" s="7" t="s">
        <v>29</v>
      </c>
      <c r="F7421" s="8" t="str">
        <f ca="1">IFERROR(__xludf.DUMMYFUNCTION("IF
(
C7422=""фізична особа""
,
VLOOKUP(D7422,IMPORTRANGE(""https://docs.google.com/spreadsheets/d/14Bd19lYaqBhU8_DElYkX7l4wRkHqqCUFNJY4AfY3kHU/edit?usp=sharing  #gid=0"",""фіз особи new!relations_name""),6,FALSE)
,
(IF
(
C7422=""юридична особа""
,
VLOOKUP"&amp;"(D7422,IMPORTRANGE(""https://docs.google.com/spreadsheets/d/14Bd19lYaqBhU8_DElYkX7l4wRkHqqCUFNJY4AfY3kHU/edit?usp=sharing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1" s="7" t="s">
        <v>10</v>
      </c>
      <c r="H7421" s="7">
        <v>8341</v>
      </c>
      <c r="I7421" s="8" t="str">
        <f ca="1">IFERROR(__xludf.DUMMYFUNCTION("IF
(
G7422=""фізична особа""
,
VLOOKUP(H7422,IMPORTRANGE(""https://docs.google.com/spreadsheets/d/14Bd19lYaqBhU8_DElYkX7l4wRkHqqCUFNJY4AfY3kHU/edit?usp=sharing  #gid=0"",""фіз особи new!relations_name""),6,FALSE)
,
(IF
(
G7422=""юридична особа""
,
VLOOKUP"&amp;"(H7422,IMPORTRANGE(""https://docs.google.com/spreadsheets/d/14Bd19lYaqBhU8_DElYkX7l4wRkHqqCUFNJY4AfY3kHU/edit?usp=sharing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421" s="7" t="s">
        <v>28</v>
      </c>
    </row>
    <row r="7422" spans="1:10" ht="13.2">
      <c r="A7422" s="7">
        <v>7421</v>
      </c>
      <c r="B7422" s="7">
        <v>1</v>
      </c>
      <c r="C7422" s="7" t="s">
        <v>10</v>
      </c>
      <c r="D7422" s="7">
        <v>8340</v>
      </c>
      <c r="E7422" s="7" t="s">
        <v>29</v>
      </c>
      <c r="F7422" s="8" t="str">
        <f ca="1">IFERROR(__xludf.DUMMYFUNCTION("IF
(
C7423=""фізична особа""
,
VLOOKUP(D7423,IMPORTRANGE(""https://docs.google.com/spreadsheets/d/14Bd19lYaqBhU8_DElYkX7l4wRkHqqCUFNJY4AfY3kHU/edit?usp=sharing  #gid=0"",""фіз особи new!relations_name""),6,FALSE)
,
(IF
(
C7423=""юридична особа""
,
VLOOKUP"&amp;"(D7423,IMPORTRANGE(""https://docs.google.com/spreadsheets/d/14Bd19lYaqBhU8_DElYkX7l4wRkHqqCUFNJY4AfY3kHU/edit?usp=sharing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2" s="7" t="s">
        <v>10</v>
      </c>
      <c r="H7422" s="7">
        <v>8342</v>
      </c>
      <c r="I7422" s="8" t="str">
        <f ca="1">IFERROR(__xludf.DUMMYFUNCTION("IF
(
G7423=""фізична особа""
,
VLOOKUP(H7423,IMPORTRANGE(""https://docs.google.com/spreadsheets/d/14Bd19lYaqBhU8_DElYkX7l4wRkHqqCUFNJY4AfY3kHU/edit?usp=sharing  #gid=0"",""фіз особи new!relations_name""),6,FALSE)
,
(IF
(
G7423=""юридична особа""
,
VLOOKUP"&amp;"(H7423,IMPORTRANGE(""https://docs.google.com/spreadsheets/d/14Bd19lYaqBhU8_DElYkX7l4wRkHqqCUFNJY4AfY3kHU/edit?usp=sharing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422" s="7" t="s">
        <v>28</v>
      </c>
    </row>
    <row r="7423" spans="1:10" ht="13.2">
      <c r="A7423" s="7">
        <v>7422</v>
      </c>
      <c r="B7423" s="7">
        <v>1</v>
      </c>
      <c r="C7423" s="7" t="s">
        <v>10</v>
      </c>
      <c r="D7423" s="7">
        <v>8340</v>
      </c>
      <c r="E7423" s="7" t="s">
        <v>30</v>
      </c>
      <c r="F7423" s="8" t="str">
        <f ca="1">IFERROR(__xludf.DUMMYFUNCTION("IF
(
C7424=""фізична особа""
,
VLOOKUP(D7424,IMPORTRANGE(""https://docs.google.com/spreadsheets/d/14Bd19lYaqBhU8_DElYkX7l4wRkHqqCUFNJY4AfY3kHU/edit?usp=sharing  #gid=0"",""фіз особи new!relations_name""),6,FALSE)
,
(IF
(
C7424=""юридична особа""
,
VLOOKUP"&amp;"(D7424,IMPORTRANGE(""https://docs.google.com/spreadsheets/d/14Bd19lYaqBhU8_DElYkX7l4wRkHqqCUFNJY4AfY3kHU/edit?usp=sharing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3" s="7" t="s">
        <v>10</v>
      </c>
      <c r="H7423" s="7">
        <v>49</v>
      </c>
      <c r="I7423" s="8" t="str">
        <f ca="1">IFERROR(__xludf.DUMMYFUNCTION("IF
(
G7424=""фізична особа""
,
VLOOKUP(H7424,IMPORTRANGE(""https://docs.google.com/spreadsheets/d/14Bd19lYaqBhU8_DElYkX7l4wRkHqqCUFNJY4AfY3kHU/edit?usp=sharing  #gid=0"",""фіз особи new!relations_name""),6,FALSE)
,
(IF
(
G7424=""юридична особа""
,
VLOOKUP"&amp;"(H7424,IMPORTRANGE(""https://docs.google.com/spreadsheets/d/14Bd19lYaqBhU8_DElYkX7l4wRkHqqCUFNJY4AfY3kHU/edit?usp=sharing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23" s="7" t="s">
        <v>30</v>
      </c>
    </row>
    <row r="7424" spans="1:10" ht="13.2">
      <c r="A7424" s="7">
        <v>7423</v>
      </c>
      <c r="B7424" s="7">
        <v>1</v>
      </c>
      <c r="C7424" s="7" t="s">
        <v>10</v>
      </c>
      <c r="D7424" s="7">
        <v>8340</v>
      </c>
      <c r="E7424" s="7" t="s">
        <v>29</v>
      </c>
      <c r="F7424" s="8" t="str">
        <f ca="1">IFERROR(__xludf.DUMMYFUNCTION("IF
(
C7425=""фізична особа""
,
VLOOKUP(D7425,IMPORTRANGE(""https://docs.google.com/spreadsheets/d/14Bd19lYaqBhU8_DElYkX7l4wRkHqqCUFNJY4AfY3kHU/edit?usp=sharing  #gid=0"",""фіз особи new!relations_name""),6,FALSE)
,
(IF
(
C7425=""юридична особа""
,
VLOOKUP"&amp;"(D7425,IMPORTRANGE(""https://docs.google.com/spreadsheets/d/14Bd19lYaqBhU8_DElYkX7l4wRkHqqCUFNJY4AfY3kHU/edit?usp=sharing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4" s="7" t="s">
        <v>10</v>
      </c>
      <c r="H7424" s="7">
        <v>8343</v>
      </c>
      <c r="I7424" s="8" t="str">
        <f ca="1">IFERROR(__xludf.DUMMYFUNCTION("IF
(
G7425=""фізична особа""
,
VLOOKUP(H7425,IMPORTRANGE(""https://docs.google.com/spreadsheets/d/14Bd19lYaqBhU8_DElYkX7l4wRkHqqCUFNJY4AfY3kHU/edit?usp=sharing  #gid=0"",""фіз особи new!relations_name""),6,FALSE)
,
(IF
(
G7425=""юридична особа""
,
VLOOKUP"&amp;"(H7425,IMPORTRANGE(""https://docs.google.com/spreadsheets/d/14Bd19lYaqBhU8_DElYkX7l4wRkHqqCUFNJY4AfY3kHU/edit?usp=sharing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424" s="7" t="s">
        <v>28</v>
      </c>
    </row>
    <row r="7425" spans="1:10" ht="13.2">
      <c r="A7425" s="7">
        <v>7424</v>
      </c>
      <c r="B7425" s="7">
        <v>1</v>
      </c>
      <c r="C7425" s="7" t="s">
        <v>10</v>
      </c>
      <c r="D7425" s="7">
        <v>8340</v>
      </c>
      <c r="E7425" s="7" t="s">
        <v>29</v>
      </c>
      <c r="F7425" s="8" t="str">
        <f ca="1">IFERROR(__xludf.DUMMYFUNCTION("IF
(
C7426=""фізична особа""
,
VLOOKUP(D7426,IMPORTRANGE(""https://docs.google.com/spreadsheets/d/14Bd19lYaqBhU8_DElYkX7l4wRkHqqCUFNJY4AfY3kHU/edit?usp=sharing  #gid=0"",""фіз особи new!relations_name""),6,FALSE)
,
(IF
(
C7426=""юридична особа""
,
VLOOKUP"&amp;"(D7426,IMPORTRANGE(""https://docs.google.com/spreadsheets/d/14Bd19lYaqBhU8_DElYkX7l4wRkHqqCUFNJY4AfY3kHU/edit?usp=sharing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5" s="7" t="s">
        <v>10</v>
      </c>
      <c r="H7425" s="7">
        <v>8344</v>
      </c>
      <c r="I7425" s="8" t="str">
        <f ca="1">IFERROR(__xludf.DUMMYFUNCTION("IF
(
G7426=""фізична особа""
,
VLOOKUP(H7426,IMPORTRANGE(""https://docs.google.com/spreadsheets/d/14Bd19lYaqBhU8_DElYkX7l4wRkHqqCUFNJY4AfY3kHU/edit?usp=sharing  #gid=0"",""фіз особи new!relations_name""),6,FALSE)
,
(IF
(
G7426=""юридична особа""
,
VLOOKUP"&amp;"(H7426,IMPORTRANGE(""https://docs.google.com/spreadsheets/d/14Bd19lYaqBhU8_DElYkX7l4wRkHqqCUFNJY4AfY3kHU/edit?usp=sharing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425" s="7" t="s">
        <v>28</v>
      </c>
    </row>
    <row r="7426" spans="1:10" ht="13.2">
      <c r="A7426" s="7">
        <v>7425</v>
      </c>
      <c r="B7426" s="7">
        <v>1</v>
      </c>
      <c r="C7426" s="7" t="s">
        <v>10</v>
      </c>
      <c r="D7426" s="7">
        <v>8340</v>
      </c>
      <c r="E7426" s="7" t="s">
        <v>29</v>
      </c>
      <c r="F7426" s="8" t="str">
        <f ca="1">IFERROR(__xludf.DUMMYFUNCTION("IF
(
C7427=""фізична особа""
,
VLOOKUP(D7427,IMPORTRANGE(""https://docs.google.com/spreadsheets/d/14Bd19lYaqBhU8_DElYkX7l4wRkHqqCUFNJY4AfY3kHU/edit?usp=sharing  #gid=0"",""фіз особи new!relations_name""),6,FALSE)
,
(IF
(
C7427=""юридична особа""
,
VLOOKUP"&amp;"(D7427,IMPORTRANGE(""https://docs.google.com/spreadsheets/d/14Bd19lYaqBhU8_DElYkX7l4wRkHqqCUFNJY4AfY3kHU/edit?usp=sharing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G7426" s="7" t="s">
        <v>10</v>
      </c>
      <c r="H7426" s="7">
        <v>8345</v>
      </c>
      <c r="I7426" s="8" t="str">
        <f ca="1">IFERROR(__xludf.DUMMYFUNCTION("IF
(
G7427=""фізична особа""
,
VLOOKUP(H7427,IMPORTRANGE(""https://docs.google.com/spreadsheets/d/14Bd19lYaqBhU8_DElYkX7l4wRkHqqCUFNJY4AfY3kHU/edit?usp=sharing  #gid=0"",""фіз особи new!relations_name""),6,FALSE)
,
(IF
(
G7427=""юридична особа""
,
VLOOKUP"&amp;"(H7427,IMPORTRANGE(""https://docs.google.com/spreadsheets/d/14Bd19lYaqBhU8_DElYkX7l4wRkHqqCUFNJY4AfY3kHU/edit?usp=sharing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426" s="7" t="s">
        <v>28</v>
      </c>
    </row>
    <row r="7427" spans="1:10" ht="13.2">
      <c r="A7427" s="7">
        <v>7426</v>
      </c>
      <c r="B7427" s="7">
        <v>1</v>
      </c>
      <c r="C7427" s="7" t="s">
        <v>10</v>
      </c>
      <c r="D7427" s="7">
        <v>8341</v>
      </c>
      <c r="E7427" s="7" t="s">
        <v>30</v>
      </c>
      <c r="F7427" s="8" t="str">
        <f ca="1">IFERROR(__xludf.DUMMYFUNCTION("IF
(
C7428=""фізична особа""
,
VLOOKUP(D7428,IMPORTRANGE(""https://docs.google.com/spreadsheets/d/14Bd19lYaqBhU8_DElYkX7l4wRkHqqCUFNJY4AfY3kHU/edit?usp=sharing  #gid=0"",""фіз особи new!relations_name""),6,FALSE)
,
(IF
(
C7428=""юридична особа""
,
VLOOKUP"&amp;"(D7428,IMPORTRANGE(""https://docs.google.com/spreadsheets/d/14Bd19lYaqBhU8_DElYkX7l4wRkHqqCUFNJY4AfY3kHU/edit?usp=sharing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27" s="7" t="s">
        <v>10</v>
      </c>
      <c r="H7427" s="7">
        <v>144</v>
      </c>
      <c r="I7427" s="8" t="str">
        <f ca="1">IFERROR(__xludf.DUMMYFUNCTION("IF
(
G7428=""фізична особа""
,
VLOOKUP(H7428,IMPORTRANGE(""https://docs.google.com/spreadsheets/d/14Bd19lYaqBhU8_DElYkX7l4wRkHqqCUFNJY4AfY3kHU/edit?usp=sharing  #gid=0"",""фіз особи new!relations_name""),6,FALSE)
,
(IF
(
G7428=""юридична особа""
,
VLOOKUP"&amp;"(H7428,IMPORTRANGE(""https://docs.google.com/spreadsheets/d/14Bd19lYaqBhU8_DElYkX7l4wRkHqqCUFNJY4AfY3kHU/edit?usp=sharing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27" s="7" t="s">
        <v>30</v>
      </c>
    </row>
    <row r="7428" spans="1:10" ht="13.2">
      <c r="A7428" s="7">
        <v>7427</v>
      </c>
      <c r="B7428" s="7">
        <v>1</v>
      </c>
      <c r="C7428" s="7" t="s">
        <v>10</v>
      </c>
      <c r="D7428" s="7">
        <v>8341</v>
      </c>
      <c r="E7428" s="7" t="s">
        <v>30</v>
      </c>
      <c r="F7428" s="8" t="str">
        <f ca="1">IFERROR(__xludf.DUMMYFUNCTION("IF
(
C7429=""фізична особа""
,
VLOOKUP(D7429,IMPORTRANGE(""https://docs.google.com/spreadsheets/d/14Bd19lYaqBhU8_DElYkX7l4wRkHqqCUFNJY4AfY3kHU/edit?usp=sharing  #gid=0"",""фіз особи new!relations_name""),6,FALSE)
,
(IF
(
C7429=""юридична особа""
,
VLOOKUP"&amp;"(D7429,IMPORTRANGE(""https://docs.google.com/spreadsheets/d/14Bd19lYaqBhU8_DElYkX7l4wRkHqqCUFNJY4AfY3kHU/edit?usp=sharing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28" s="7" t="s">
        <v>10</v>
      </c>
      <c r="H7428" s="7">
        <v>629</v>
      </c>
      <c r="I7428" s="8" t="str">
        <f ca="1">IFERROR(__xludf.DUMMYFUNCTION("IF
(
G7429=""фізична особа""
,
VLOOKUP(H7429,IMPORTRANGE(""https://docs.google.com/spreadsheets/d/14Bd19lYaqBhU8_DElYkX7l4wRkHqqCUFNJY4AfY3kHU/edit?usp=sharing  #gid=0"",""фіз особи new!relations_name""),6,FALSE)
,
(IF
(
G7429=""юридична особа""
,
VLOOKUP"&amp;"(H7429,IMPORTRANGE(""https://docs.google.com/spreadsheets/d/14Bd19lYaqBhU8_DElYkX7l4wRkHqqCUFNJY4AfY3kHU/edit?usp=sharing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28" s="7" t="s">
        <v>30</v>
      </c>
    </row>
    <row r="7429" spans="1:10" ht="13.2">
      <c r="A7429" s="7">
        <v>7428</v>
      </c>
      <c r="B7429" s="7">
        <v>1</v>
      </c>
      <c r="C7429" s="7" t="s">
        <v>10</v>
      </c>
      <c r="D7429" s="7">
        <v>8341</v>
      </c>
      <c r="E7429" s="7" t="s">
        <v>35</v>
      </c>
      <c r="F7429" s="8" t="str">
        <f ca="1">IFERROR(__xludf.DUMMYFUNCTION("IF
(
C7430=""фізична особа""
,
VLOOKUP(D7430,IMPORTRANGE(""https://docs.google.com/spreadsheets/d/14Bd19lYaqBhU8_DElYkX7l4wRkHqqCUFNJY4AfY3kHU/edit?usp=sharing  #gid=0"",""фіз особи new!relations_name""),6,FALSE)
,
(IF
(
C7430=""юридична особа""
,
VLOOKUP"&amp;"(D7430,IMPORTRANGE(""https://docs.google.com/spreadsheets/d/14Bd19lYaqBhU8_DElYkX7l4wRkHqqCUFNJY4AfY3kHU/edit?usp=sharing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29" s="7" t="s">
        <v>10</v>
      </c>
      <c r="H7429" s="7">
        <v>8244</v>
      </c>
      <c r="I7429" s="8" t="str">
        <f ca="1">IFERROR(__xludf.DUMMYFUNCTION("IF
(
G7430=""фізична особа""
,
VLOOKUP(H7430,IMPORTRANGE(""https://docs.google.com/spreadsheets/d/14Bd19lYaqBhU8_DElYkX7l4wRkHqqCUFNJY4AfY3kHU/edit?usp=sharing  #gid=0"",""фіз особи new!relations_name""),6,FALSE)
,
(IF
(
G7430=""юридична особа""
,
VLOOKUP"&amp;"(H7430,IMPORTRANGE(""https://docs.google.com/spreadsheets/d/14Bd19lYaqBhU8_DElYkX7l4wRkHqqCUFNJY4AfY3kHU/edit?usp=sharing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29" s="7" t="s">
        <v>35</v>
      </c>
    </row>
    <row r="7430" spans="1:10" ht="13.2">
      <c r="A7430" s="7">
        <v>7429</v>
      </c>
      <c r="B7430" s="7">
        <v>1</v>
      </c>
      <c r="C7430" s="7" t="s">
        <v>10</v>
      </c>
      <c r="D7430" s="7">
        <v>8341</v>
      </c>
      <c r="E7430" s="7" t="s">
        <v>30</v>
      </c>
      <c r="F7430" s="8" t="str">
        <f ca="1">IFERROR(__xludf.DUMMYFUNCTION("IF
(
C7431=""фізична особа""
,
VLOOKUP(D7431,IMPORTRANGE(""https://docs.google.com/spreadsheets/d/14Bd19lYaqBhU8_DElYkX7l4wRkHqqCUFNJY4AfY3kHU/edit?usp=sharing  #gid=0"",""фіз особи new!relations_name""),6,FALSE)
,
(IF
(
C7431=""юридична особа""
,
VLOOKUP"&amp;"(D7431,IMPORTRANGE(""https://docs.google.com/spreadsheets/d/14Bd19lYaqBhU8_DElYkX7l4wRkHqqCUFNJY4AfY3kHU/edit?usp=sharing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0" s="7" t="s">
        <v>10</v>
      </c>
      <c r="H7430" s="7">
        <v>8246</v>
      </c>
      <c r="I7430" s="8" t="str">
        <f ca="1">IFERROR(__xludf.DUMMYFUNCTION("IF
(
G7431=""фізична особа""
,
VLOOKUP(H7431,IMPORTRANGE(""https://docs.google.com/spreadsheets/d/14Bd19lYaqBhU8_DElYkX7l4wRkHqqCUFNJY4AfY3kHU/edit?usp=sharing  #gid=0"",""фіз особи new!relations_name""),6,FALSE)
,
(IF
(
G7431=""юридична особа""
,
VLOOKUP"&amp;"(H7431,IMPORTRANGE(""https://docs.google.com/spreadsheets/d/14Bd19lYaqBhU8_DElYkX7l4wRkHqqCUFNJY4AfY3kHU/edit?usp=sharing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30" s="7" t="s">
        <v>30</v>
      </c>
    </row>
    <row r="7431" spans="1:10" ht="13.2">
      <c r="A7431" s="7">
        <v>7430</v>
      </c>
      <c r="B7431" s="7">
        <v>1</v>
      </c>
      <c r="C7431" s="7" t="s">
        <v>10</v>
      </c>
      <c r="D7431" s="7">
        <v>8341</v>
      </c>
      <c r="E7431" s="7" t="s">
        <v>30</v>
      </c>
      <c r="F7431" s="8" t="str">
        <f ca="1">IFERROR(__xludf.DUMMYFUNCTION("IF
(
C7432=""фізична особа""
,
VLOOKUP(D7432,IMPORTRANGE(""https://docs.google.com/spreadsheets/d/14Bd19lYaqBhU8_DElYkX7l4wRkHqqCUFNJY4AfY3kHU/edit?usp=sharing  #gid=0"",""фіз особи new!relations_name""),6,FALSE)
,
(IF
(
C7432=""юридична особа""
,
VLOOKUP"&amp;"(D7432,IMPORTRANGE(""https://docs.google.com/spreadsheets/d/14Bd19lYaqBhU8_DElYkX7l4wRkHqqCUFNJY4AfY3kHU/edit?usp=sharing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1" s="7" t="s">
        <v>10</v>
      </c>
      <c r="H7431" s="7">
        <v>8248</v>
      </c>
      <c r="I7431" s="8" t="str">
        <f ca="1">IFERROR(__xludf.DUMMYFUNCTION("IF
(
G7432=""фізична особа""
,
VLOOKUP(H7432,IMPORTRANGE(""https://docs.google.com/spreadsheets/d/14Bd19lYaqBhU8_DElYkX7l4wRkHqqCUFNJY4AfY3kHU/edit?usp=sharing  #gid=0"",""фіз особи new!relations_name""),6,FALSE)
,
(IF
(
G7432=""юридична особа""
,
VLOOKUP"&amp;"(H7432,IMPORTRANGE(""https://docs.google.com/spreadsheets/d/14Bd19lYaqBhU8_DElYkX7l4wRkHqqCUFNJY4AfY3kHU/edit?usp=sharing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31" s="7" t="s">
        <v>30</v>
      </c>
    </row>
    <row r="7432" spans="1:10" ht="13.2">
      <c r="A7432" s="7">
        <v>7431</v>
      </c>
      <c r="B7432" s="7">
        <v>1</v>
      </c>
      <c r="C7432" s="7" t="s">
        <v>10</v>
      </c>
      <c r="D7432" s="7">
        <v>8341</v>
      </c>
      <c r="E7432" s="7" t="s">
        <v>30</v>
      </c>
      <c r="F7432" s="8" t="str">
        <f ca="1">IFERROR(__xludf.DUMMYFUNCTION("IF
(
C7433=""фізична особа""
,
VLOOKUP(D7433,IMPORTRANGE(""https://docs.google.com/spreadsheets/d/14Bd19lYaqBhU8_DElYkX7l4wRkHqqCUFNJY4AfY3kHU/edit?usp=sharing  #gid=0"",""фіз особи new!relations_name""),6,FALSE)
,
(IF
(
C7433=""юридична особа""
,
VLOOKUP"&amp;"(D7433,IMPORTRANGE(""https://docs.google.com/spreadsheets/d/14Bd19lYaqBhU8_DElYkX7l4wRkHqqCUFNJY4AfY3kHU/edit?usp=sharing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2" s="7" t="s">
        <v>10</v>
      </c>
      <c r="H7432" s="7">
        <v>8247</v>
      </c>
      <c r="I7432" s="8" t="str">
        <f ca="1">IFERROR(__xludf.DUMMYFUNCTION("IF
(
G7433=""фізична особа""
,
VLOOKUP(H7433,IMPORTRANGE(""https://docs.google.com/spreadsheets/d/14Bd19lYaqBhU8_DElYkX7l4wRkHqqCUFNJY4AfY3kHU/edit?usp=sharing  #gid=0"",""фіз особи new!relations_name""),6,FALSE)
,
(IF
(
G7433=""юридична особа""
,
VLOOKUP"&amp;"(H7433,IMPORTRANGE(""https://docs.google.com/spreadsheets/d/14Bd19lYaqBhU8_DElYkX7l4wRkHqqCUFNJY4AfY3kHU/edit?usp=sharing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32" s="7" t="s">
        <v>30</v>
      </c>
    </row>
    <row r="7433" spans="1:10" ht="13.2">
      <c r="A7433" s="7">
        <v>7432</v>
      </c>
      <c r="B7433" s="7">
        <v>1</v>
      </c>
      <c r="C7433" s="7" t="s">
        <v>10</v>
      </c>
      <c r="D7433" s="7">
        <v>8341</v>
      </c>
      <c r="E7433" s="7" t="s">
        <v>28</v>
      </c>
      <c r="F7433" s="8" t="str">
        <f ca="1">IFERROR(__xludf.DUMMYFUNCTION("IF
(
C7434=""фізична особа""
,
VLOOKUP(D7434,IMPORTRANGE(""https://docs.google.com/spreadsheets/d/14Bd19lYaqBhU8_DElYkX7l4wRkHqqCUFNJY4AfY3kHU/edit?usp=sharing  #gid=0"",""фіз особи new!relations_name""),6,FALSE)
,
(IF
(
C7434=""юридична особа""
,
VLOOKUP"&amp;"(D7434,IMPORTRANGE(""https://docs.google.com/spreadsheets/d/14Bd19lYaqBhU8_DElYkX7l4wRkHqqCUFNJY4AfY3kHU/edit?usp=sharing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3" s="7" t="s">
        <v>10</v>
      </c>
      <c r="H7433" s="7">
        <v>8340</v>
      </c>
      <c r="I7433" s="8" t="str">
        <f ca="1">IFERROR(__xludf.DUMMYFUNCTION("IF
(
G7434=""фізична особа""
,
VLOOKUP(H7434,IMPORTRANGE(""https://docs.google.com/spreadsheets/d/14Bd19lYaqBhU8_DElYkX7l4wRkHqqCUFNJY4AfY3kHU/edit?usp=sharing  #gid=0"",""фіз особи new!relations_name""),6,FALSE)
,
(IF
(
G7434=""юридична особа""
,
VLOOKUP"&amp;"(H7434,IMPORTRANGE(""https://docs.google.com/spreadsheets/d/14Bd19lYaqBhU8_DElYkX7l4wRkHqqCUFNJY4AfY3kHU/edit?usp=sharing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433" s="7" t="s">
        <v>29</v>
      </c>
    </row>
    <row r="7434" spans="1:10" ht="13.2">
      <c r="A7434" s="7">
        <v>7433</v>
      </c>
      <c r="B7434" s="7">
        <v>1</v>
      </c>
      <c r="C7434" s="7" t="s">
        <v>10</v>
      </c>
      <c r="D7434" s="7">
        <v>8341</v>
      </c>
      <c r="E7434" s="7" t="s">
        <v>35</v>
      </c>
      <c r="F7434" s="8" t="str">
        <f ca="1">IFERROR(__xludf.DUMMYFUNCTION("IF
(
C7435=""фізична особа""
,
VLOOKUP(D7435,IMPORTRANGE(""https://docs.google.com/spreadsheets/d/14Bd19lYaqBhU8_DElYkX7l4wRkHqqCUFNJY4AfY3kHU/edit?usp=sharing  #gid=0"",""фіз особи new!relations_name""),6,FALSE)
,
(IF
(
C7435=""юридична особа""
,
VLOOKUP"&amp;"(D7435,IMPORTRANGE(""https://docs.google.com/spreadsheets/d/14Bd19lYaqBhU8_DElYkX7l4wRkHqqCUFNJY4AfY3kHU/edit?usp=sharing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4" s="7" t="s">
        <v>10</v>
      </c>
      <c r="H7434" s="7">
        <v>8346</v>
      </c>
      <c r="I7434" s="8" t="str">
        <f ca="1">IFERROR(__xludf.DUMMYFUNCTION("IF
(
G7435=""фізична особа""
,
VLOOKUP(H7435,IMPORTRANGE(""https://docs.google.com/spreadsheets/d/14Bd19lYaqBhU8_DElYkX7l4wRkHqqCUFNJY4AfY3kHU/edit?usp=sharing  #gid=0"",""фіз особи new!relations_name""),6,FALSE)
,
(IF
(
G7435=""юридична особа""
,
VLOOKUP"&amp;"(H7435,IMPORTRANGE(""https://docs.google.com/spreadsheets/d/14Bd19lYaqBhU8_DElYkX7l4wRkHqqCUFNJY4AfY3kHU/edit?usp=sharing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34" s="7" t="s">
        <v>35</v>
      </c>
    </row>
    <row r="7435" spans="1:10" ht="13.2">
      <c r="A7435" s="7">
        <v>7434</v>
      </c>
      <c r="B7435" s="7">
        <v>1</v>
      </c>
      <c r="C7435" s="7" t="s">
        <v>10</v>
      </c>
      <c r="D7435" s="7">
        <v>8341</v>
      </c>
      <c r="E7435" s="7" t="s">
        <v>35</v>
      </c>
      <c r="F7435" s="8" t="str">
        <f ca="1">IFERROR(__xludf.DUMMYFUNCTION("IF
(
C7436=""фізична особа""
,
VLOOKUP(D7436,IMPORTRANGE(""https://docs.google.com/spreadsheets/d/14Bd19lYaqBhU8_DElYkX7l4wRkHqqCUFNJY4AfY3kHU/edit?usp=sharing  #gid=0"",""фіз особи new!relations_name""),6,FALSE)
,
(IF
(
C7436=""юридична особа""
,
VLOOKUP"&amp;"(D7436,IMPORTRANGE(""https://docs.google.com/spreadsheets/d/14Bd19lYaqBhU8_DElYkX7l4wRkHqqCUFNJY4AfY3kHU/edit?usp=sharing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5" s="7" t="s">
        <v>10</v>
      </c>
      <c r="H7435" s="7">
        <v>8245</v>
      </c>
      <c r="I7435" s="8" t="str">
        <f ca="1">IFERROR(__xludf.DUMMYFUNCTION("IF
(
G7436=""фізична особа""
,
VLOOKUP(H7436,IMPORTRANGE(""https://docs.google.com/spreadsheets/d/14Bd19lYaqBhU8_DElYkX7l4wRkHqqCUFNJY4AfY3kHU/edit?usp=sharing  #gid=0"",""фіз особи new!relations_name""),6,FALSE)
,
(IF
(
G7436=""юридична особа""
,
VLOOKUP"&amp;"(H7436,IMPORTRANGE(""https://docs.google.com/spreadsheets/d/14Bd19lYaqBhU8_DElYkX7l4wRkHqqCUFNJY4AfY3kHU/edit?usp=sharing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35" s="7" t="s">
        <v>35</v>
      </c>
    </row>
    <row r="7436" spans="1:10" ht="13.2">
      <c r="A7436" s="7">
        <v>7435</v>
      </c>
      <c r="B7436" s="7">
        <v>1</v>
      </c>
      <c r="C7436" s="7" t="s">
        <v>10</v>
      </c>
      <c r="D7436" s="7">
        <v>8341</v>
      </c>
      <c r="E7436" s="7" t="s">
        <v>35</v>
      </c>
      <c r="F7436" s="8" t="str">
        <f ca="1">IFERROR(__xludf.DUMMYFUNCTION("IF
(
C7437=""фізична особа""
,
VLOOKUP(D7437,IMPORTRANGE(""https://docs.google.com/spreadsheets/d/14Bd19lYaqBhU8_DElYkX7l4wRkHqqCUFNJY4AfY3kHU/edit?usp=sharing  #gid=0"",""фіз особи new!relations_name""),6,FALSE)
,
(IF
(
C7437=""юридична особа""
,
VLOOKUP"&amp;"(D7437,IMPORTRANGE(""https://docs.google.com/spreadsheets/d/14Bd19lYaqBhU8_DElYkX7l4wRkHqqCUFNJY4AfY3kHU/edit?usp=sharing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6" s="7" t="s">
        <v>10</v>
      </c>
      <c r="H7436" s="7">
        <v>8342</v>
      </c>
      <c r="I7436" s="8" t="str">
        <f ca="1">IFERROR(__xludf.DUMMYFUNCTION("IF
(
G7437=""фізична особа""
,
VLOOKUP(H7437,IMPORTRANGE(""https://docs.google.com/spreadsheets/d/14Bd19lYaqBhU8_DElYkX7l4wRkHqqCUFNJY4AfY3kHU/edit?usp=sharing  #gid=0"",""фіз особи new!relations_name""),6,FALSE)
,
(IF
(
G7437=""юридична особа""
,
VLOOKUP"&amp;"(H7437,IMPORTRANGE(""https://docs.google.com/spreadsheets/d/14Bd19lYaqBhU8_DElYkX7l4wRkHqqCUFNJY4AfY3kHU/edit?usp=sharing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436" s="7" t="s">
        <v>35</v>
      </c>
    </row>
    <row r="7437" spans="1:10" ht="13.2">
      <c r="A7437" s="7">
        <v>7436</v>
      </c>
      <c r="B7437" s="7">
        <v>1</v>
      </c>
      <c r="C7437" s="7" t="s">
        <v>10</v>
      </c>
      <c r="D7437" s="7">
        <v>8341</v>
      </c>
      <c r="E7437" s="7" t="s">
        <v>28</v>
      </c>
      <c r="F7437" s="8" t="str">
        <f ca="1">IFERROR(__xludf.DUMMYFUNCTION("IF
(
C7438=""фізична особа""
,
VLOOKUP(D7438,IMPORTRANGE(""https://docs.google.com/spreadsheets/d/14Bd19lYaqBhU8_DElYkX7l4wRkHqqCUFNJY4AfY3kHU/edit?usp=sharing  #gid=0"",""фіз особи new!relations_name""),6,FALSE)
,
(IF
(
C7438=""юридична особа""
,
VLOOKUP"&amp;"(D7438,IMPORTRANGE(""https://docs.google.com/spreadsheets/d/14Bd19lYaqBhU8_DElYkX7l4wRkHqqCUFNJY4AfY3kHU/edit?usp=sharing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7" s="7" t="s">
        <v>10</v>
      </c>
      <c r="H7437" s="7">
        <v>8243</v>
      </c>
      <c r="I7437" s="8" t="str">
        <f ca="1">IFERROR(__xludf.DUMMYFUNCTION("IF
(
G7438=""фізична особа""
,
VLOOKUP(H7438,IMPORTRANGE(""https://docs.google.com/spreadsheets/d/14Bd19lYaqBhU8_DElYkX7l4wRkHqqCUFNJY4AfY3kHU/edit?usp=sharing  #gid=0"",""фіз особи new!relations_name""),6,FALSE)
,
(IF
(
G7438=""юридична особа""
,
VLOOKUP"&amp;"(H7438,IMPORTRANGE(""https://docs.google.com/spreadsheets/d/14Bd19lYaqBhU8_DElYkX7l4wRkHqqCUFNJY4AfY3kHU/edit?usp=sharing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37" s="7" t="s">
        <v>29</v>
      </c>
    </row>
    <row r="7438" spans="1:10" ht="13.2">
      <c r="A7438" s="7">
        <v>7437</v>
      </c>
      <c r="B7438" s="7">
        <v>1</v>
      </c>
      <c r="C7438" s="7" t="s">
        <v>10</v>
      </c>
      <c r="D7438" s="7">
        <v>8341</v>
      </c>
      <c r="E7438" s="7" t="s">
        <v>30</v>
      </c>
      <c r="F7438" s="8" t="str">
        <f ca="1">IFERROR(__xludf.DUMMYFUNCTION("IF
(
C7439=""фізична особа""
,
VLOOKUP(D7439,IMPORTRANGE(""https://docs.google.com/spreadsheets/d/14Bd19lYaqBhU8_DElYkX7l4wRkHqqCUFNJY4AfY3kHU/edit?usp=sharing  #gid=0"",""фіз особи new!relations_name""),6,FALSE)
,
(IF
(
C7439=""юридична особа""
,
VLOOKUP"&amp;"(D7439,IMPORTRANGE(""https://docs.google.com/spreadsheets/d/14Bd19lYaqBhU8_DElYkX7l4wRkHqqCUFNJY4AfY3kHU/edit?usp=sharing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8" s="7" t="s">
        <v>10</v>
      </c>
      <c r="H7438" s="7">
        <v>49</v>
      </c>
      <c r="I7438" s="8" t="str">
        <f ca="1">IFERROR(__xludf.DUMMYFUNCTION("IF
(
G7439=""фізична особа""
,
VLOOKUP(H7439,IMPORTRANGE(""https://docs.google.com/spreadsheets/d/14Bd19lYaqBhU8_DElYkX7l4wRkHqqCUFNJY4AfY3kHU/edit?usp=sharing  #gid=0"",""фіз особи new!relations_name""),6,FALSE)
,
(IF
(
G7439=""юридична особа""
,
VLOOKUP"&amp;"(H7439,IMPORTRANGE(""https://docs.google.com/spreadsheets/d/14Bd19lYaqBhU8_DElYkX7l4wRkHqqCUFNJY4AfY3kHU/edit?usp=sharing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38" s="7" t="s">
        <v>30</v>
      </c>
    </row>
    <row r="7439" spans="1:10" ht="13.2">
      <c r="A7439" s="7">
        <v>7438</v>
      </c>
      <c r="B7439" s="7">
        <v>1</v>
      </c>
      <c r="C7439" s="7" t="s">
        <v>10</v>
      </c>
      <c r="D7439" s="7">
        <v>8341</v>
      </c>
      <c r="E7439" s="7" t="s">
        <v>35</v>
      </c>
      <c r="F7439" s="8" t="str">
        <f ca="1">IFERROR(__xludf.DUMMYFUNCTION("IF
(
C7440=""фізична особа""
,
VLOOKUP(D7440,IMPORTRANGE(""https://docs.google.com/spreadsheets/d/14Bd19lYaqBhU8_DElYkX7l4wRkHqqCUFNJY4AfY3kHU/edit?usp=sharing  #gid=0"",""фіз особи new!relations_name""),6,FALSE)
,
(IF
(
C7440=""юридична особа""
,
VLOOKUP"&amp;"(D7440,IMPORTRANGE(""https://docs.google.com/spreadsheets/d/14Bd19lYaqBhU8_DElYkX7l4wRkHqqCUFNJY4AfY3kHU/edit?usp=sharing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39" s="7" t="s">
        <v>10</v>
      </c>
      <c r="H7439" s="7">
        <v>8343</v>
      </c>
      <c r="I7439" s="8" t="str">
        <f ca="1">IFERROR(__xludf.DUMMYFUNCTION("IF
(
G7440=""фізична особа""
,
VLOOKUP(H7440,IMPORTRANGE(""https://docs.google.com/spreadsheets/d/14Bd19lYaqBhU8_DElYkX7l4wRkHqqCUFNJY4AfY3kHU/edit?usp=sharing  #gid=0"",""фіз особи new!relations_name""),6,FALSE)
,
(IF
(
G7440=""юридична особа""
,
VLOOKUP"&amp;"(H7440,IMPORTRANGE(""https://docs.google.com/spreadsheets/d/14Bd19lYaqBhU8_DElYkX7l4wRkHqqCUFNJY4AfY3kHU/edit?usp=sharing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439" s="7" t="s">
        <v>35</v>
      </c>
    </row>
    <row r="7440" spans="1:10" ht="13.2">
      <c r="A7440" s="7">
        <v>7439</v>
      </c>
      <c r="B7440" s="7">
        <v>1</v>
      </c>
      <c r="C7440" s="7" t="s">
        <v>10</v>
      </c>
      <c r="D7440" s="7">
        <v>8341</v>
      </c>
      <c r="E7440" s="7" t="s">
        <v>35</v>
      </c>
      <c r="F7440" s="8" t="str">
        <f ca="1">IFERROR(__xludf.DUMMYFUNCTION("IF
(
C7441=""фізична особа""
,
VLOOKUP(D7441,IMPORTRANGE(""https://docs.google.com/spreadsheets/d/14Bd19lYaqBhU8_DElYkX7l4wRkHqqCUFNJY4AfY3kHU/edit?usp=sharing  #gid=0"",""фіз особи new!relations_name""),6,FALSE)
,
(IF
(
C7441=""юридична особа""
,
VLOOKUP"&amp;"(D7441,IMPORTRANGE(""https://docs.google.com/spreadsheets/d/14Bd19lYaqBhU8_DElYkX7l4wRkHqqCUFNJY4AfY3kHU/edit?usp=sharing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40" s="7" t="s">
        <v>10</v>
      </c>
      <c r="H7440" s="7">
        <v>8344</v>
      </c>
      <c r="I7440" s="8" t="str">
        <f ca="1">IFERROR(__xludf.DUMMYFUNCTION("IF
(
G7441=""фізична особа""
,
VLOOKUP(H7441,IMPORTRANGE(""https://docs.google.com/spreadsheets/d/14Bd19lYaqBhU8_DElYkX7l4wRkHqqCUFNJY4AfY3kHU/edit?usp=sharing  #gid=0"",""фіз особи new!relations_name""),6,FALSE)
,
(IF
(
G7441=""юридична особа""
,
VLOOKUP"&amp;"(H7441,IMPORTRANGE(""https://docs.google.com/spreadsheets/d/14Bd19lYaqBhU8_DElYkX7l4wRkHqqCUFNJY4AfY3kHU/edit?usp=sharing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440" s="7" t="s">
        <v>35</v>
      </c>
    </row>
    <row r="7441" spans="1:10" ht="13.2">
      <c r="A7441" s="7">
        <v>7440</v>
      </c>
      <c r="B7441" s="7">
        <v>1</v>
      </c>
      <c r="C7441" s="7" t="s">
        <v>10</v>
      </c>
      <c r="D7441" s="7">
        <v>8341</v>
      </c>
      <c r="E7441" s="7" t="s">
        <v>35</v>
      </c>
      <c r="F7441" s="8" t="str">
        <f ca="1">IFERROR(__xludf.DUMMYFUNCTION("IF
(
C7442=""фізична особа""
,
VLOOKUP(D7442,IMPORTRANGE(""https://docs.google.com/spreadsheets/d/14Bd19lYaqBhU8_DElYkX7l4wRkHqqCUFNJY4AfY3kHU/edit?usp=sharing  #gid=0"",""фіз особи new!relations_name""),6,FALSE)
,
(IF
(
C7442=""юридична особа""
,
VLOOKUP"&amp;"(D7442,IMPORTRANGE(""https://docs.google.com/spreadsheets/d/14Bd19lYaqBhU8_DElYkX7l4wRkHqqCUFNJY4AfY3kHU/edit?usp=sharing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G7441" s="7" t="s">
        <v>10</v>
      </c>
      <c r="H7441" s="7">
        <v>8345</v>
      </c>
      <c r="I7441" s="8" t="str">
        <f ca="1">IFERROR(__xludf.DUMMYFUNCTION("IF
(
G7442=""фізична особа""
,
VLOOKUP(H7442,IMPORTRANGE(""https://docs.google.com/spreadsheets/d/14Bd19lYaqBhU8_DElYkX7l4wRkHqqCUFNJY4AfY3kHU/edit?usp=sharing  #gid=0"",""фіз особи new!relations_name""),6,FALSE)
,
(IF
(
G7442=""юридична особа""
,
VLOOKUP"&amp;"(H7442,IMPORTRANGE(""https://docs.google.com/spreadsheets/d/14Bd19lYaqBhU8_DElYkX7l4wRkHqqCUFNJY4AfY3kHU/edit?usp=sharing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441" s="7" t="s">
        <v>35</v>
      </c>
    </row>
    <row r="7442" spans="1:10" ht="13.2">
      <c r="A7442" s="7">
        <v>7441</v>
      </c>
      <c r="B7442" s="7">
        <v>1</v>
      </c>
      <c r="C7442" s="7" t="s">
        <v>10</v>
      </c>
      <c r="D7442" s="7">
        <v>8342</v>
      </c>
      <c r="E7442" s="7" t="s">
        <v>30</v>
      </c>
      <c r="F7442" s="8" t="str">
        <f ca="1">IFERROR(__xludf.DUMMYFUNCTION("IF
(
C7443=""фізична особа""
,
VLOOKUP(D7443,IMPORTRANGE(""https://docs.google.com/spreadsheets/d/14Bd19lYaqBhU8_DElYkX7l4wRkHqqCUFNJY4AfY3kHU/edit?usp=sharing  #gid=0"",""фіз особи new!relations_name""),6,FALSE)
,
(IF
(
C7443=""юридична особа""
,
VLOOKUP"&amp;"(D7443,IMPORTRANGE(""https://docs.google.com/spreadsheets/d/14Bd19lYaqBhU8_DElYkX7l4wRkHqqCUFNJY4AfY3kHU/edit?usp=sharing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2" s="7" t="s">
        <v>10</v>
      </c>
      <c r="H7442" s="7">
        <v>144</v>
      </c>
      <c r="I7442" s="8" t="str">
        <f ca="1">IFERROR(__xludf.DUMMYFUNCTION("IF
(
G7443=""фізична особа""
,
VLOOKUP(H7443,IMPORTRANGE(""https://docs.google.com/spreadsheets/d/14Bd19lYaqBhU8_DElYkX7l4wRkHqqCUFNJY4AfY3kHU/edit?usp=sharing  #gid=0"",""фіз особи new!relations_name""),6,FALSE)
,
(IF
(
G7443=""юридична особа""
,
VLOOKUP"&amp;"(H7443,IMPORTRANGE(""https://docs.google.com/spreadsheets/d/14Bd19lYaqBhU8_DElYkX7l4wRkHqqCUFNJY4AfY3kHU/edit?usp=sharing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42" s="7" t="s">
        <v>30</v>
      </c>
    </row>
    <row r="7443" spans="1:10" ht="13.2">
      <c r="A7443" s="7">
        <v>7442</v>
      </c>
      <c r="B7443" s="7">
        <v>1</v>
      </c>
      <c r="C7443" s="7" t="s">
        <v>10</v>
      </c>
      <c r="D7443" s="7">
        <v>8342</v>
      </c>
      <c r="E7443" s="7" t="s">
        <v>30</v>
      </c>
      <c r="F7443" s="8" t="str">
        <f ca="1">IFERROR(__xludf.DUMMYFUNCTION("IF
(
C7444=""фізична особа""
,
VLOOKUP(D7444,IMPORTRANGE(""https://docs.google.com/spreadsheets/d/14Bd19lYaqBhU8_DElYkX7l4wRkHqqCUFNJY4AfY3kHU/edit?usp=sharing  #gid=0"",""фіз особи new!relations_name""),6,FALSE)
,
(IF
(
C7444=""юридична особа""
,
VLOOKUP"&amp;"(D7444,IMPORTRANGE(""https://docs.google.com/spreadsheets/d/14Bd19lYaqBhU8_DElYkX7l4wRkHqqCUFNJY4AfY3kHU/edit?usp=sharing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3" s="7" t="s">
        <v>10</v>
      </c>
      <c r="H7443" s="7">
        <v>629</v>
      </c>
      <c r="I7443" s="8" t="str">
        <f ca="1">IFERROR(__xludf.DUMMYFUNCTION("IF
(
G7444=""фізична особа""
,
VLOOKUP(H7444,IMPORTRANGE(""https://docs.google.com/spreadsheets/d/14Bd19lYaqBhU8_DElYkX7l4wRkHqqCUFNJY4AfY3kHU/edit?usp=sharing  #gid=0"",""фіз особи new!relations_name""),6,FALSE)
,
(IF
(
G7444=""юридична особа""
,
VLOOKUP"&amp;"(H7444,IMPORTRANGE(""https://docs.google.com/spreadsheets/d/14Bd19lYaqBhU8_DElYkX7l4wRkHqqCUFNJY4AfY3kHU/edit?usp=sharing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43" s="7" t="s">
        <v>30</v>
      </c>
    </row>
    <row r="7444" spans="1:10" ht="13.2">
      <c r="A7444" s="7">
        <v>7443</v>
      </c>
      <c r="B7444" s="7">
        <v>1</v>
      </c>
      <c r="C7444" s="7" t="s">
        <v>10</v>
      </c>
      <c r="D7444" s="7">
        <v>8342</v>
      </c>
      <c r="E7444" s="7" t="s">
        <v>35</v>
      </c>
      <c r="F7444" s="8" t="str">
        <f ca="1">IFERROR(__xludf.DUMMYFUNCTION("IF
(
C7445=""фізична особа""
,
VLOOKUP(D7445,IMPORTRANGE(""https://docs.google.com/spreadsheets/d/14Bd19lYaqBhU8_DElYkX7l4wRkHqqCUFNJY4AfY3kHU/edit?usp=sharing  #gid=0"",""фіз особи new!relations_name""),6,FALSE)
,
(IF
(
C7445=""юридична особа""
,
VLOOKUP"&amp;"(D7445,IMPORTRANGE(""https://docs.google.com/spreadsheets/d/14Bd19lYaqBhU8_DElYkX7l4wRkHqqCUFNJY4AfY3kHU/edit?usp=sharing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4" s="7" t="s">
        <v>10</v>
      </c>
      <c r="H7444" s="7">
        <v>8244</v>
      </c>
      <c r="I7444" s="8" t="str">
        <f ca="1">IFERROR(__xludf.DUMMYFUNCTION("IF
(
G7445=""фізична особа""
,
VLOOKUP(H7445,IMPORTRANGE(""https://docs.google.com/spreadsheets/d/14Bd19lYaqBhU8_DElYkX7l4wRkHqqCUFNJY4AfY3kHU/edit?usp=sharing  #gid=0"",""фіз особи new!relations_name""),6,FALSE)
,
(IF
(
G7445=""юридична особа""
,
VLOOKUP"&amp;"(H7445,IMPORTRANGE(""https://docs.google.com/spreadsheets/d/14Bd19lYaqBhU8_DElYkX7l4wRkHqqCUFNJY4AfY3kHU/edit?usp=sharing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44" s="7" t="s">
        <v>35</v>
      </c>
    </row>
    <row r="7445" spans="1:10" ht="13.2">
      <c r="A7445" s="7">
        <v>7444</v>
      </c>
      <c r="B7445" s="7">
        <v>1</v>
      </c>
      <c r="C7445" s="7" t="s">
        <v>10</v>
      </c>
      <c r="D7445" s="7">
        <v>8342</v>
      </c>
      <c r="E7445" s="7" t="s">
        <v>30</v>
      </c>
      <c r="F7445" s="8" t="str">
        <f ca="1">IFERROR(__xludf.DUMMYFUNCTION("IF
(
C7446=""фізична особа""
,
VLOOKUP(D7446,IMPORTRANGE(""https://docs.google.com/spreadsheets/d/14Bd19lYaqBhU8_DElYkX7l4wRkHqqCUFNJY4AfY3kHU/edit?usp=sharing  #gid=0"",""фіз особи new!relations_name""),6,FALSE)
,
(IF
(
C7446=""юридична особа""
,
VLOOKUP"&amp;"(D7446,IMPORTRANGE(""https://docs.google.com/spreadsheets/d/14Bd19lYaqBhU8_DElYkX7l4wRkHqqCUFNJY4AfY3kHU/edit?usp=sharing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5" s="7" t="s">
        <v>10</v>
      </c>
      <c r="H7445" s="7">
        <v>8246</v>
      </c>
      <c r="I7445" s="8" t="str">
        <f ca="1">IFERROR(__xludf.DUMMYFUNCTION("IF
(
G7446=""фізична особа""
,
VLOOKUP(H7446,IMPORTRANGE(""https://docs.google.com/spreadsheets/d/14Bd19lYaqBhU8_DElYkX7l4wRkHqqCUFNJY4AfY3kHU/edit?usp=sharing  #gid=0"",""фіз особи new!relations_name""),6,FALSE)
,
(IF
(
G7446=""юридична особа""
,
VLOOKUP"&amp;"(H7446,IMPORTRANGE(""https://docs.google.com/spreadsheets/d/14Bd19lYaqBhU8_DElYkX7l4wRkHqqCUFNJY4AfY3kHU/edit?usp=sharing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45" s="7" t="s">
        <v>30</v>
      </c>
    </row>
    <row r="7446" spans="1:10" ht="13.2">
      <c r="A7446" s="7">
        <v>7445</v>
      </c>
      <c r="B7446" s="7">
        <v>1</v>
      </c>
      <c r="C7446" s="7" t="s">
        <v>10</v>
      </c>
      <c r="D7446" s="7">
        <v>8342</v>
      </c>
      <c r="E7446" s="7" t="s">
        <v>30</v>
      </c>
      <c r="F7446" s="8" t="str">
        <f ca="1">IFERROR(__xludf.DUMMYFUNCTION("IF
(
C7447=""фізична особа""
,
VLOOKUP(D7447,IMPORTRANGE(""https://docs.google.com/spreadsheets/d/14Bd19lYaqBhU8_DElYkX7l4wRkHqqCUFNJY4AfY3kHU/edit?usp=sharing  #gid=0"",""фіз особи new!relations_name""),6,FALSE)
,
(IF
(
C7447=""юридична особа""
,
VLOOKUP"&amp;"(D7447,IMPORTRANGE(""https://docs.google.com/spreadsheets/d/14Bd19lYaqBhU8_DElYkX7l4wRkHqqCUFNJY4AfY3kHU/edit?usp=sharing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6" s="7" t="s">
        <v>10</v>
      </c>
      <c r="H7446" s="7">
        <v>8248</v>
      </c>
      <c r="I7446" s="8" t="str">
        <f ca="1">IFERROR(__xludf.DUMMYFUNCTION("IF
(
G7447=""фізична особа""
,
VLOOKUP(H7447,IMPORTRANGE(""https://docs.google.com/spreadsheets/d/14Bd19lYaqBhU8_DElYkX7l4wRkHqqCUFNJY4AfY3kHU/edit?usp=sharing  #gid=0"",""фіз особи new!relations_name""),6,FALSE)
,
(IF
(
G7447=""юридична особа""
,
VLOOKUP"&amp;"(H7447,IMPORTRANGE(""https://docs.google.com/spreadsheets/d/14Bd19lYaqBhU8_DElYkX7l4wRkHqqCUFNJY4AfY3kHU/edit?usp=sharing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46" s="7" t="s">
        <v>30</v>
      </c>
    </row>
    <row r="7447" spans="1:10" ht="13.2">
      <c r="A7447" s="7">
        <v>7446</v>
      </c>
      <c r="B7447" s="7">
        <v>1</v>
      </c>
      <c r="C7447" s="7" t="s">
        <v>10</v>
      </c>
      <c r="D7447" s="7">
        <v>8342</v>
      </c>
      <c r="E7447" s="7" t="s">
        <v>30</v>
      </c>
      <c r="F7447" s="8" t="str">
        <f ca="1">IFERROR(__xludf.DUMMYFUNCTION("IF
(
C7448=""фізична особа""
,
VLOOKUP(D7448,IMPORTRANGE(""https://docs.google.com/spreadsheets/d/14Bd19lYaqBhU8_DElYkX7l4wRkHqqCUFNJY4AfY3kHU/edit?usp=sharing  #gid=0"",""фіз особи new!relations_name""),6,FALSE)
,
(IF
(
C7448=""юридична особа""
,
VLOOKUP"&amp;"(D7448,IMPORTRANGE(""https://docs.google.com/spreadsheets/d/14Bd19lYaqBhU8_DElYkX7l4wRkHqqCUFNJY4AfY3kHU/edit?usp=sharing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7" s="7" t="s">
        <v>10</v>
      </c>
      <c r="H7447" s="7">
        <v>8247</v>
      </c>
      <c r="I7447" s="8" t="str">
        <f ca="1">IFERROR(__xludf.DUMMYFUNCTION("IF
(
G7448=""фізична особа""
,
VLOOKUP(H7448,IMPORTRANGE(""https://docs.google.com/spreadsheets/d/14Bd19lYaqBhU8_DElYkX7l4wRkHqqCUFNJY4AfY3kHU/edit?usp=sharing  #gid=0"",""фіз особи new!relations_name""),6,FALSE)
,
(IF
(
G7448=""юридична особа""
,
VLOOKUP"&amp;"(H7448,IMPORTRANGE(""https://docs.google.com/spreadsheets/d/14Bd19lYaqBhU8_DElYkX7l4wRkHqqCUFNJY4AfY3kHU/edit?usp=sharing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47" s="7" t="s">
        <v>30</v>
      </c>
    </row>
    <row r="7448" spans="1:10" ht="13.2">
      <c r="A7448" s="7">
        <v>7447</v>
      </c>
      <c r="B7448" s="7">
        <v>1</v>
      </c>
      <c r="C7448" s="7" t="s">
        <v>10</v>
      </c>
      <c r="D7448" s="7">
        <v>8342</v>
      </c>
      <c r="E7448" s="7" t="s">
        <v>28</v>
      </c>
      <c r="F7448" s="8" t="str">
        <f ca="1">IFERROR(__xludf.DUMMYFUNCTION("IF
(
C7449=""фізична особа""
,
VLOOKUP(D7449,IMPORTRANGE(""https://docs.google.com/spreadsheets/d/14Bd19lYaqBhU8_DElYkX7l4wRkHqqCUFNJY4AfY3kHU/edit?usp=sharing  #gid=0"",""фіз особи new!relations_name""),6,FALSE)
,
(IF
(
C7449=""юридична особа""
,
VLOOKUP"&amp;"(D7449,IMPORTRANGE(""https://docs.google.com/spreadsheets/d/14Bd19lYaqBhU8_DElYkX7l4wRkHqqCUFNJY4AfY3kHU/edit?usp=sharing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8" s="7" t="s">
        <v>10</v>
      </c>
      <c r="H7448" s="7">
        <v>8340</v>
      </c>
      <c r="I7448" s="8" t="str">
        <f ca="1">IFERROR(__xludf.DUMMYFUNCTION("IF
(
G7449=""фізична особа""
,
VLOOKUP(H7449,IMPORTRANGE(""https://docs.google.com/spreadsheets/d/14Bd19lYaqBhU8_DElYkX7l4wRkHqqCUFNJY4AfY3kHU/edit?usp=sharing  #gid=0"",""фіз особи new!relations_name""),6,FALSE)
,
(IF
(
G7449=""юридична особа""
,
VLOOKUP"&amp;"(H7449,IMPORTRANGE(""https://docs.google.com/spreadsheets/d/14Bd19lYaqBhU8_DElYkX7l4wRkHqqCUFNJY4AfY3kHU/edit?usp=sharing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448" s="7" t="s">
        <v>29</v>
      </c>
    </row>
    <row r="7449" spans="1:10" ht="13.2">
      <c r="A7449" s="7">
        <v>7448</v>
      </c>
      <c r="B7449" s="7">
        <v>1</v>
      </c>
      <c r="C7449" s="7" t="s">
        <v>10</v>
      </c>
      <c r="D7449" s="7">
        <v>8342</v>
      </c>
      <c r="E7449" s="7" t="s">
        <v>35</v>
      </c>
      <c r="F7449" s="8" t="str">
        <f ca="1">IFERROR(__xludf.DUMMYFUNCTION("IF
(
C7450=""фізична особа""
,
VLOOKUP(D7450,IMPORTRANGE(""https://docs.google.com/spreadsheets/d/14Bd19lYaqBhU8_DElYkX7l4wRkHqqCUFNJY4AfY3kHU/edit?usp=sharing  #gid=0"",""фіз особи new!relations_name""),6,FALSE)
,
(IF
(
C7450=""юридична особа""
,
VLOOKUP"&amp;"(D7450,IMPORTRANGE(""https://docs.google.com/spreadsheets/d/14Bd19lYaqBhU8_DElYkX7l4wRkHqqCUFNJY4AfY3kHU/edit?usp=sharing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49" s="7" t="s">
        <v>10</v>
      </c>
      <c r="H7449" s="7">
        <v>8346</v>
      </c>
      <c r="I7449" s="8" t="str">
        <f ca="1">IFERROR(__xludf.DUMMYFUNCTION("IF
(
G7450=""фізична особа""
,
VLOOKUP(H7450,IMPORTRANGE(""https://docs.google.com/spreadsheets/d/14Bd19lYaqBhU8_DElYkX7l4wRkHqqCUFNJY4AfY3kHU/edit?usp=sharing  #gid=0"",""фіз особи new!relations_name""),6,FALSE)
,
(IF
(
G7450=""юридична особа""
,
VLOOKUP"&amp;"(H7450,IMPORTRANGE(""https://docs.google.com/spreadsheets/d/14Bd19lYaqBhU8_DElYkX7l4wRkHqqCUFNJY4AfY3kHU/edit?usp=sharing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49" s="7" t="s">
        <v>35</v>
      </c>
    </row>
    <row r="7450" spans="1:10" ht="13.2">
      <c r="A7450" s="7">
        <v>7449</v>
      </c>
      <c r="B7450" s="7">
        <v>1</v>
      </c>
      <c r="C7450" s="7" t="s">
        <v>10</v>
      </c>
      <c r="D7450" s="7">
        <v>8342</v>
      </c>
      <c r="E7450" s="7" t="s">
        <v>35</v>
      </c>
      <c r="F7450" s="8" t="str">
        <f ca="1">IFERROR(__xludf.DUMMYFUNCTION("IF
(
C7451=""фізична особа""
,
VLOOKUP(D7451,IMPORTRANGE(""https://docs.google.com/spreadsheets/d/14Bd19lYaqBhU8_DElYkX7l4wRkHqqCUFNJY4AfY3kHU/edit?usp=sharing  #gid=0"",""фіз особи new!relations_name""),6,FALSE)
,
(IF
(
C7451=""юридична особа""
,
VLOOKUP"&amp;"(D7451,IMPORTRANGE(""https://docs.google.com/spreadsheets/d/14Bd19lYaqBhU8_DElYkX7l4wRkHqqCUFNJY4AfY3kHU/edit?usp=sharing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0" s="7" t="s">
        <v>10</v>
      </c>
      <c r="H7450" s="7">
        <v>8245</v>
      </c>
      <c r="I7450" s="8" t="str">
        <f ca="1">IFERROR(__xludf.DUMMYFUNCTION("IF
(
G7451=""фізична особа""
,
VLOOKUP(H7451,IMPORTRANGE(""https://docs.google.com/spreadsheets/d/14Bd19lYaqBhU8_DElYkX7l4wRkHqqCUFNJY4AfY3kHU/edit?usp=sharing  #gid=0"",""фіз особи new!relations_name""),6,FALSE)
,
(IF
(
G7451=""юридична особа""
,
VLOOKUP"&amp;"(H7451,IMPORTRANGE(""https://docs.google.com/spreadsheets/d/14Bd19lYaqBhU8_DElYkX7l4wRkHqqCUFNJY4AfY3kHU/edit?usp=sharing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50" s="7" t="s">
        <v>35</v>
      </c>
    </row>
    <row r="7451" spans="1:10" ht="13.2">
      <c r="A7451" s="7">
        <v>7450</v>
      </c>
      <c r="B7451" s="7">
        <v>1</v>
      </c>
      <c r="C7451" s="7" t="s">
        <v>10</v>
      </c>
      <c r="D7451" s="7">
        <v>8342</v>
      </c>
      <c r="E7451" s="7" t="s">
        <v>35</v>
      </c>
      <c r="F7451" s="8" t="str">
        <f ca="1">IFERROR(__xludf.DUMMYFUNCTION("IF
(
C7452=""фізична особа""
,
VLOOKUP(D7452,IMPORTRANGE(""https://docs.google.com/spreadsheets/d/14Bd19lYaqBhU8_DElYkX7l4wRkHqqCUFNJY4AfY3kHU/edit?usp=sharing  #gid=0"",""фіз особи new!relations_name""),6,FALSE)
,
(IF
(
C7452=""юридична особа""
,
VLOOKUP"&amp;"(D7452,IMPORTRANGE(""https://docs.google.com/spreadsheets/d/14Bd19lYaqBhU8_DElYkX7l4wRkHqqCUFNJY4AfY3kHU/edit?usp=sharing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1" s="7" t="s">
        <v>10</v>
      </c>
      <c r="H7451" s="7">
        <v>8341</v>
      </c>
      <c r="I7451" s="8" t="str">
        <f ca="1">IFERROR(__xludf.DUMMYFUNCTION("IF
(
G7452=""фізична особа""
,
VLOOKUP(H7452,IMPORTRANGE(""https://docs.google.com/spreadsheets/d/14Bd19lYaqBhU8_DElYkX7l4wRkHqqCUFNJY4AfY3kHU/edit?usp=sharing  #gid=0"",""фіз особи new!relations_name""),6,FALSE)
,
(IF
(
G7452=""юридична особа""
,
VLOOKUP"&amp;"(H7452,IMPORTRANGE(""https://docs.google.com/spreadsheets/d/14Bd19lYaqBhU8_DElYkX7l4wRkHqqCUFNJY4AfY3kHU/edit?usp=sharing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451" s="7" t="s">
        <v>35</v>
      </c>
    </row>
    <row r="7452" spans="1:10" ht="13.2">
      <c r="A7452" s="7">
        <v>7451</v>
      </c>
      <c r="B7452" s="7">
        <v>1</v>
      </c>
      <c r="C7452" s="7" t="s">
        <v>10</v>
      </c>
      <c r="D7452" s="7">
        <v>8342</v>
      </c>
      <c r="E7452" s="7" t="s">
        <v>28</v>
      </c>
      <c r="F7452" s="8" t="str">
        <f ca="1">IFERROR(__xludf.DUMMYFUNCTION("IF
(
C7453=""фізична особа""
,
VLOOKUP(D7453,IMPORTRANGE(""https://docs.google.com/spreadsheets/d/14Bd19lYaqBhU8_DElYkX7l4wRkHqqCUFNJY4AfY3kHU/edit?usp=sharing  #gid=0"",""фіз особи new!relations_name""),6,FALSE)
,
(IF
(
C7453=""юридична особа""
,
VLOOKUP"&amp;"(D7453,IMPORTRANGE(""https://docs.google.com/spreadsheets/d/14Bd19lYaqBhU8_DElYkX7l4wRkHqqCUFNJY4AfY3kHU/edit?usp=sharing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2" s="7" t="s">
        <v>10</v>
      </c>
      <c r="H7452" s="7">
        <v>8243</v>
      </c>
      <c r="I7452" s="8" t="str">
        <f ca="1">IFERROR(__xludf.DUMMYFUNCTION("IF
(
G7453=""фізична особа""
,
VLOOKUP(H7453,IMPORTRANGE(""https://docs.google.com/spreadsheets/d/14Bd19lYaqBhU8_DElYkX7l4wRkHqqCUFNJY4AfY3kHU/edit?usp=sharing  #gid=0"",""фіз особи new!relations_name""),6,FALSE)
,
(IF
(
G7453=""юридична особа""
,
VLOOKUP"&amp;"(H7453,IMPORTRANGE(""https://docs.google.com/spreadsheets/d/14Bd19lYaqBhU8_DElYkX7l4wRkHqqCUFNJY4AfY3kHU/edit?usp=sharing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52" s="7" t="s">
        <v>29</v>
      </c>
    </row>
    <row r="7453" spans="1:10" ht="13.2">
      <c r="A7453" s="7">
        <v>7452</v>
      </c>
      <c r="B7453" s="7">
        <v>1</v>
      </c>
      <c r="C7453" s="7" t="s">
        <v>10</v>
      </c>
      <c r="D7453" s="7">
        <v>8342</v>
      </c>
      <c r="E7453" s="7" t="s">
        <v>30</v>
      </c>
      <c r="F7453" s="8" t="str">
        <f ca="1">IFERROR(__xludf.DUMMYFUNCTION("IF
(
C7454=""фізична особа""
,
VLOOKUP(D7454,IMPORTRANGE(""https://docs.google.com/spreadsheets/d/14Bd19lYaqBhU8_DElYkX7l4wRkHqqCUFNJY4AfY3kHU/edit?usp=sharing  #gid=0"",""фіз особи new!relations_name""),6,FALSE)
,
(IF
(
C7454=""юридична особа""
,
VLOOKUP"&amp;"(D7454,IMPORTRANGE(""https://docs.google.com/spreadsheets/d/14Bd19lYaqBhU8_DElYkX7l4wRkHqqCUFNJY4AfY3kHU/edit?usp=sharing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3" s="7" t="s">
        <v>10</v>
      </c>
      <c r="H7453" s="7">
        <v>49</v>
      </c>
      <c r="I7453" s="8" t="str">
        <f ca="1">IFERROR(__xludf.DUMMYFUNCTION("IF
(
G7454=""фізична особа""
,
VLOOKUP(H7454,IMPORTRANGE(""https://docs.google.com/spreadsheets/d/14Bd19lYaqBhU8_DElYkX7l4wRkHqqCUFNJY4AfY3kHU/edit?usp=sharing  #gid=0"",""фіз особи new!relations_name""),6,FALSE)
,
(IF
(
G7454=""юридична особа""
,
VLOOKUP"&amp;"(H7454,IMPORTRANGE(""https://docs.google.com/spreadsheets/d/14Bd19lYaqBhU8_DElYkX7l4wRkHqqCUFNJY4AfY3kHU/edit?usp=sharing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53" s="7" t="s">
        <v>30</v>
      </c>
    </row>
    <row r="7454" spans="1:10" ht="13.2">
      <c r="A7454" s="7">
        <v>7453</v>
      </c>
      <c r="B7454" s="7">
        <v>1</v>
      </c>
      <c r="C7454" s="7" t="s">
        <v>10</v>
      </c>
      <c r="D7454" s="7">
        <v>8342</v>
      </c>
      <c r="E7454" s="7" t="s">
        <v>35</v>
      </c>
      <c r="F7454" s="8" t="str">
        <f ca="1">IFERROR(__xludf.DUMMYFUNCTION("IF
(
C7455=""фізична особа""
,
VLOOKUP(D7455,IMPORTRANGE(""https://docs.google.com/spreadsheets/d/14Bd19lYaqBhU8_DElYkX7l4wRkHqqCUFNJY4AfY3kHU/edit?usp=sharing  #gid=0"",""фіз особи new!relations_name""),6,FALSE)
,
(IF
(
C7455=""юридична особа""
,
VLOOKUP"&amp;"(D7455,IMPORTRANGE(""https://docs.google.com/spreadsheets/d/14Bd19lYaqBhU8_DElYkX7l4wRkHqqCUFNJY4AfY3kHU/edit?usp=sharing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4" s="7" t="s">
        <v>10</v>
      </c>
      <c r="H7454" s="7">
        <v>8343</v>
      </c>
      <c r="I7454" s="8" t="str">
        <f ca="1">IFERROR(__xludf.DUMMYFUNCTION("IF
(
G7455=""фізична особа""
,
VLOOKUP(H7455,IMPORTRANGE(""https://docs.google.com/spreadsheets/d/14Bd19lYaqBhU8_DElYkX7l4wRkHqqCUFNJY4AfY3kHU/edit?usp=sharing  #gid=0"",""фіз особи new!relations_name""),6,FALSE)
,
(IF
(
G7455=""юридична особа""
,
VLOOKUP"&amp;"(H7455,IMPORTRANGE(""https://docs.google.com/spreadsheets/d/14Bd19lYaqBhU8_DElYkX7l4wRkHqqCUFNJY4AfY3kHU/edit?usp=sharing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454" s="7" t="s">
        <v>35</v>
      </c>
    </row>
    <row r="7455" spans="1:10" ht="13.2">
      <c r="A7455" s="7">
        <v>7454</v>
      </c>
      <c r="B7455" s="7">
        <v>1</v>
      </c>
      <c r="C7455" s="7" t="s">
        <v>10</v>
      </c>
      <c r="D7455" s="7">
        <v>8342</v>
      </c>
      <c r="E7455" s="7" t="s">
        <v>35</v>
      </c>
      <c r="F7455" s="8" t="str">
        <f ca="1">IFERROR(__xludf.DUMMYFUNCTION("IF
(
C7456=""фізична особа""
,
VLOOKUP(D7456,IMPORTRANGE(""https://docs.google.com/spreadsheets/d/14Bd19lYaqBhU8_DElYkX7l4wRkHqqCUFNJY4AfY3kHU/edit?usp=sharing  #gid=0"",""фіз особи new!relations_name""),6,FALSE)
,
(IF
(
C7456=""юридична особа""
,
VLOOKUP"&amp;"(D7456,IMPORTRANGE(""https://docs.google.com/spreadsheets/d/14Bd19lYaqBhU8_DElYkX7l4wRkHqqCUFNJY4AfY3kHU/edit?usp=sharing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5" s="7" t="s">
        <v>10</v>
      </c>
      <c r="H7455" s="7">
        <v>8344</v>
      </c>
      <c r="I7455" s="8" t="str">
        <f ca="1">IFERROR(__xludf.DUMMYFUNCTION("IF
(
G7456=""фізична особа""
,
VLOOKUP(H7456,IMPORTRANGE(""https://docs.google.com/spreadsheets/d/14Bd19lYaqBhU8_DElYkX7l4wRkHqqCUFNJY4AfY3kHU/edit?usp=sharing  #gid=0"",""фіз особи new!relations_name""),6,FALSE)
,
(IF
(
G7456=""юридична особа""
,
VLOOKUP"&amp;"(H7456,IMPORTRANGE(""https://docs.google.com/spreadsheets/d/14Bd19lYaqBhU8_DElYkX7l4wRkHqqCUFNJY4AfY3kHU/edit?usp=sharing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455" s="7" t="s">
        <v>35</v>
      </c>
    </row>
    <row r="7456" spans="1:10" ht="13.2">
      <c r="A7456" s="7">
        <v>7455</v>
      </c>
      <c r="B7456" s="7">
        <v>1</v>
      </c>
      <c r="C7456" s="7" t="s">
        <v>10</v>
      </c>
      <c r="D7456" s="7">
        <v>8342</v>
      </c>
      <c r="E7456" s="7" t="s">
        <v>35</v>
      </c>
      <c r="F7456" s="8" t="str">
        <f ca="1">IFERROR(__xludf.DUMMYFUNCTION("IF
(
C7457=""фізична особа""
,
VLOOKUP(D7457,IMPORTRANGE(""https://docs.google.com/spreadsheets/d/14Bd19lYaqBhU8_DElYkX7l4wRkHqqCUFNJY4AfY3kHU/edit?usp=sharing  #gid=0"",""фіз особи new!relations_name""),6,FALSE)
,
(IF
(
C7457=""юридична особа""
,
VLOOKUP"&amp;"(D7457,IMPORTRANGE(""https://docs.google.com/spreadsheets/d/14Bd19lYaqBhU8_DElYkX7l4wRkHqqCUFNJY4AfY3kHU/edit?usp=sharing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G7456" s="7" t="s">
        <v>10</v>
      </c>
      <c r="H7456" s="7">
        <v>8345</v>
      </c>
      <c r="I7456" s="8" t="str">
        <f ca="1">IFERROR(__xludf.DUMMYFUNCTION("IF
(
G7457=""фізична особа""
,
VLOOKUP(H7457,IMPORTRANGE(""https://docs.google.com/spreadsheets/d/14Bd19lYaqBhU8_DElYkX7l4wRkHqqCUFNJY4AfY3kHU/edit?usp=sharing  #gid=0"",""фіз особи new!relations_name""),6,FALSE)
,
(IF
(
G7457=""юридична особа""
,
VLOOKUP"&amp;"(H7457,IMPORTRANGE(""https://docs.google.com/spreadsheets/d/14Bd19lYaqBhU8_DElYkX7l4wRkHqqCUFNJY4AfY3kHU/edit?usp=sharing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456" s="7" t="s">
        <v>35</v>
      </c>
    </row>
    <row r="7457" spans="1:10" ht="13.2">
      <c r="A7457" s="7">
        <v>7456</v>
      </c>
      <c r="B7457" s="7">
        <v>1</v>
      </c>
      <c r="C7457" s="7" t="s">
        <v>10</v>
      </c>
      <c r="D7457" s="7">
        <v>8343</v>
      </c>
      <c r="E7457" s="7" t="s">
        <v>30</v>
      </c>
      <c r="F7457" s="8" t="str">
        <f ca="1">IFERROR(__xludf.DUMMYFUNCTION("IF
(
C7458=""фізична особа""
,
VLOOKUP(D7458,IMPORTRANGE(""https://docs.google.com/spreadsheets/d/14Bd19lYaqBhU8_DElYkX7l4wRkHqqCUFNJY4AfY3kHU/edit?usp=sharing  #gid=0"",""фіз особи new!relations_name""),6,FALSE)
,
(IF
(
C7458=""юридична особа""
,
VLOOKUP"&amp;"(D7458,IMPORTRANGE(""https://docs.google.com/spreadsheets/d/14Bd19lYaqBhU8_DElYkX7l4wRkHqqCUFNJY4AfY3kHU/edit?usp=sharing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57" s="7" t="s">
        <v>10</v>
      </c>
      <c r="H7457" s="7">
        <v>144</v>
      </c>
      <c r="I7457" s="8" t="str">
        <f ca="1">IFERROR(__xludf.DUMMYFUNCTION("IF
(
G7458=""фізична особа""
,
VLOOKUP(H7458,IMPORTRANGE(""https://docs.google.com/spreadsheets/d/14Bd19lYaqBhU8_DElYkX7l4wRkHqqCUFNJY4AfY3kHU/edit?usp=sharing  #gid=0"",""фіз особи new!relations_name""),6,FALSE)
,
(IF
(
G7458=""юридична особа""
,
VLOOKUP"&amp;"(H7458,IMPORTRANGE(""https://docs.google.com/spreadsheets/d/14Bd19lYaqBhU8_DElYkX7l4wRkHqqCUFNJY4AfY3kHU/edit?usp=sharing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57" s="7" t="s">
        <v>30</v>
      </c>
    </row>
    <row r="7458" spans="1:10" ht="13.2">
      <c r="A7458" s="7">
        <v>7457</v>
      </c>
      <c r="B7458" s="7">
        <v>1</v>
      </c>
      <c r="C7458" s="7" t="s">
        <v>10</v>
      </c>
      <c r="D7458" s="7">
        <v>8343</v>
      </c>
      <c r="E7458" s="7" t="s">
        <v>30</v>
      </c>
      <c r="F7458" s="8" t="str">
        <f ca="1">IFERROR(__xludf.DUMMYFUNCTION("IF
(
C7459=""фізична особа""
,
VLOOKUP(D7459,IMPORTRANGE(""https://docs.google.com/spreadsheets/d/14Bd19lYaqBhU8_DElYkX7l4wRkHqqCUFNJY4AfY3kHU/edit?usp=sharing  #gid=0"",""фіз особи new!relations_name""),6,FALSE)
,
(IF
(
C7459=""юридична особа""
,
VLOOKUP"&amp;"(D7459,IMPORTRANGE(""https://docs.google.com/spreadsheets/d/14Bd19lYaqBhU8_DElYkX7l4wRkHqqCUFNJY4AfY3kHU/edit?usp=sharing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58" s="7" t="s">
        <v>10</v>
      </c>
      <c r="H7458" s="7">
        <v>629</v>
      </c>
      <c r="I7458" s="8" t="str">
        <f ca="1">IFERROR(__xludf.DUMMYFUNCTION("IF
(
G7459=""фізична особа""
,
VLOOKUP(H7459,IMPORTRANGE(""https://docs.google.com/spreadsheets/d/14Bd19lYaqBhU8_DElYkX7l4wRkHqqCUFNJY4AfY3kHU/edit?usp=sharing  #gid=0"",""фіз особи new!relations_name""),6,FALSE)
,
(IF
(
G7459=""юридична особа""
,
VLOOKUP"&amp;"(H7459,IMPORTRANGE(""https://docs.google.com/spreadsheets/d/14Bd19lYaqBhU8_DElYkX7l4wRkHqqCUFNJY4AfY3kHU/edit?usp=sharing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58" s="7" t="s">
        <v>30</v>
      </c>
    </row>
    <row r="7459" spans="1:10" ht="13.2">
      <c r="A7459" s="7">
        <v>7458</v>
      </c>
      <c r="B7459" s="7">
        <v>1</v>
      </c>
      <c r="C7459" s="7" t="s">
        <v>10</v>
      </c>
      <c r="D7459" s="7">
        <v>8343</v>
      </c>
      <c r="E7459" s="7" t="s">
        <v>35</v>
      </c>
      <c r="F7459" s="8" t="str">
        <f ca="1">IFERROR(__xludf.DUMMYFUNCTION("IF
(
C7460=""фізична особа""
,
VLOOKUP(D7460,IMPORTRANGE(""https://docs.google.com/spreadsheets/d/14Bd19lYaqBhU8_DElYkX7l4wRkHqqCUFNJY4AfY3kHU/edit?usp=sharing  #gid=0"",""фіз особи new!relations_name""),6,FALSE)
,
(IF
(
C7460=""юридична особа""
,
VLOOKUP"&amp;"(D7460,IMPORTRANGE(""https://docs.google.com/spreadsheets/d/14Bd19lYaqBhU8_DElYkX7l4wRkHqqCUFNJY4AfY3kHU/edit?usp=sharing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59" s="7" t="s">
        <v>10</v>
      </c>
      <c r="H7459" s="7">
        <v>8244</v>
      </c>
      <c r="I7459" s="8" t="str">
        <f ca="1">IFERROR(__xludf.DUMMYFUNCTION("IF
(
G7460=""фізична особа""
,
VLOOKUP(H7460,IMPORTRANGE(""https://docs.google.com/spreadsheets/d/14Bd19lYaqBhU8_DElYkX7l4wRkHqqCUFNJY4AfY3kHU/edit?usp=sharing  #gid=0"",""фіз особи new!relations_name""),6,FALSE)
,
(IF
(
G7460=""юридична особа""
,
VLOOKUP"&amp;"(H7460,IMPORTRANGE(""https://docs.google.com/spreadsheets/d/14Bd19lYaqBhU8_DElYkX7l4wRkHqqCUFNJY4AfY3kHU/edit?usp=sharing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59" s="7" t="s">
        <v>35</v>
      </c>
    </row>
    <row r="7460" spans="1:10" ht="13.2">
      <c r="A7460" s="7">
        <v>7459</v>
      </c>
      <c r="B7460" s="7">
        <v>1</v>
      </c>
      <c r="C7460" s="7" t="s">
        <v>10</v>
      </c>
      <c r="D7460" s="7">
        <v>8343</v>
      </c>
      <c r="E7460" s="7" t="s">
        <v>30</v>
      </c>
      <c r="F7460" s="8" t="str">
        <f ca="1">IFERROR(__xludf.DUMMYFUNCTION("IF
(
C7461=""фізична особа""
,
VLOOKUP(D7461,IMPORTRANGE(""https://docs.google.com/spreadsheets/d/14Bd19lYaqBhU8_DElYkX7l4wRkHqqCUFNJY4AfY3kHU/edit?usp=sharing  #gid=0"",""фіз особи new!relations_name""),6,FALSE)
,
(IF
(
C7461=""юридична особа""
,
VLOOKUP"&amp;"(D7461,IMPORTRANGE(""https://docs.google.com/spreadsheets/d/14Bd19lYaqBhU8_DElYkX7l4wRkHqqCUFNJY4AfY3kHU/edit?usp=sharing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0" s="7" t="s">
        <v>10</v>
      </c>
      <c r="H7460" s="7">
        <v>8246</v>
      </c>
      <c r="I7460" s="8" t="str">
        <f ca="1">IFERROR(__xludf.DUMMYFUNCTION("IF
(
G7461=""фізична особа""
,
VLOOKUP(H7461,IMPORTRANGE(""https://docs.google.com/spreadsheets/d/14Bd19lYaqBhU8_DElYkX7l4wRkHqqCUFNJY4AfY3kHU/edit?usp=sharing  #gid=0"",""фіз особи new!relations_name""),6,FALSE)
,
(IF
(
G7461=""юридична особа""
,
VLOOKUP"&amp;"(H7461,IMPORTRANGE(""https://docs.google.com/spreadsheets/d/14Bd19lYaqBhU8_DElYkX7l4wRkHqqCUFNJY4AfY3kHU/edit?usp=sharing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60" s="7" t="s">
        <v>30</v>
      </c>
    </row>
    <row r="7461" spans="1:10" ht="13.2">
      <c r="A7461" s="7">
        <v>7460</v>
      </c>
      <c r="B7461" s="7">
        <v>1</v>
      </c>
      <c r="C7461" s="7" t="s">
        <v>10</v>
      </c>
      <c r="D7461" s="7">
        <v>8343</v>
      </c>
      <c r="E7461" s="7" t="s">
        <v>30</v>
      </c>
      <c r="F7461" s="8" t="str">
        <f ca="1">IFERROR(__xludf.DUMMYFUNCTION("IF
(
C7462=""фізична особа""
,
VLOOKUP(D7462,IMPORTRANGE(""https://docs.google.com/spreadsheets/d/14Bd19lYaqBhU8_DElYkX7l4wRkHqqCUFNJY4AfY3kHU/edit?usp=sharing  #gid=0"",""фіз особи new!relations_name""),6,FALSE)
,
(IF
(
C7462=""юридична особа""
,
VLOOKUP"&amp;"(D7462,IMPORTRANGE(""https://docs.google.com/spreadsheets/d/14Bd19lYaqBhU8_DElYkX7l4wRkHqqCUFNJY4AfY3kHU/edit?usp=sharing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1" s="7" t="s">
        <v>10</v>
      </c>
      <c r="H7461" s="7">
        <v>8248</v>
      </c>
      <c r="I7461" s="8" t="str">
        <f ca="1">IFERROR(__xludf.DUMMYFUNCTION("IF
(
G7462=""фізична особа""
,
VLOOKUP(H7462,IMPORTRANGE(""https://docs.google.com/spreadsheets/d/14Bd19lYaqBhU8_DElYkX7l4wRkHqqCUFNJY4AfY3kHU/edit?usp=sharing  #gid=0"",""фіз особи new!relations_name""),6,FALSE)
,
(IF
(
G7462=""юридична особа""
,
VLOOKUP"&amp;"(H7462,IMPORTRANGE(""https://docs.google.com/spreadsheets/d/14Bd19lYaqBhU8_DElYkX7l4wRkHqqCUFNJY4AfY3kHU/edit?usp=sharing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61" s="7" t="s">
        <v>30</v>
      </c>
    </row>
    <row r="7462" spans="1:10" ht="13.2">
      <c r="A7462" s="7">
        <v>7461</v>
      </c>
      <c r="B7462" s="7">
        <v>1</v>
      </c>
      <c r="C7462" s="7" t="s">
        <v>10</v>
      </c>
      <c r="D7462" s="7">
        <v>8343</v>
      </c>
      <c r="E7462" s="7" t="s">
        <v>30</v>
      </c>
      <c r="F7462" s="8" t="str">
        <f ca="1">IFERROR(__xludf.DUMMYFUNCTION("IF
(
C7463=""фізична особа""
,
VLOOKUP(D7463,IMPORTRANGE(""https://docs.google.com/spreadsheets/d/14Bd19lYaqBhU8_DElYkX7l4wRkHqqCUFNJY4AfY3kHU/edit?usp=sharing  #gid=0"",""фіз особи new!relations_name""),6,FALSE)
,
(IF
(
C7463=""юридична особа""
,
VLOOKUP"&amp;"(D7463,IMPORTRANGE(""https://docs.google.com/spreadsheets/d/14Bd19lYaqBhU8_DElYkX7l4wRkHqqCUFNJY4AfY3kHU/edit?usp=sharing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2" s="7" t="s">
        <v>10</v>
      </c>
      <c r="H7462" s="7">
        <v>8247</v>
      </c>
      <c r="I7462" s="8" t="str">
        <f ca="1">IFERROR(__xludf.DUMMYFUNCTION("IF
(
G7463=""фізична особа""
,
VLOOKUP(H7463,IMPORTRANGE(""https://docs.google.com/spreadsheets/d/14Bd19lYaqBhU8_DElYkX7l4wRkHqqCUFNJY4AfY3kHU/edit?usp=sharing  #gid=0"",""фіз особи new!relations_name""),6,FALSE)
,
(IF
(
G7463=""юридична особа""
,
VLOOKUP"&amp;"(H7463,IMPORTRANGE(""https://docs.google.com/spreadsheets/d/14Bd19lYaqBhU8_DElYkX7l4wRkHqqCUFNJY4AfY3kHU/edit?usp=sharing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62" s="7" t="s">
        <v>30</v>
      </c>
    </row>
    <row r="7463" spans="1:10" ht="13.2">
      <c r="A7463" s="7">
        <v>7462</v>
      </c>
      <c r="B7463" s="7">
        <v>1</v>
      </c>
      <c r="C7463" s="7" t="s">
        <v>10</v>
      </c>
      <c r="D7463" s="7">
        <v>8343</v>
      </c>
      <c r="E7463" s="7" t="s">
        <v>28</v>
      </c>
      <c r="F7463" s="8" t="str">
        <f ca="1">IFERROR(__xludf.DUMMYFUNCTION("IF
(
C7464=""фізична особа""
,
VLOOKUP(D7464,IMPORTRANGE(""https://docs.google.com/spreadsheets/d/14Bd19lYaqBhU8_DElYkX7l4wRkHqqCUFNJY4AfY3kHU/edit?usp=sharing  #gid=0"",""фіз особи new!relations_name""),6,FALSE)
,
(IF
(
C7464=""юридична особа""
,
VLOOKUP"&amp;"(D7464,IMPORTRANGE(""https://docs.google.com/spreadsheets/d/14Bd19lYaqBhU8_DElYkX7l4wRkHqqCUFNJY4AfY3kHU/edit?usp=sharing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3" s="7" t="s">
        <v>10</v>
      </c>
      <c r="H7463" s="7">
        <v>8340</v>
      </c>
      <c r="I7463" s="8" t="str">
        <f ca="1">IFERROR(__xludf.DUMMYFUNCTION("IF
(
G7464=""фізична особа""
,
VLOOKUP(H7464,IMPORTRANGE(""https://docs.google.com/spreadsheets/d/14Bd19lYaqBhU8_DElYkX7l4wRkHqqCUFNJY4AfY3kHU/edit?usp=sharing  #gid=0"",""фіз особи new!relations_name""),6,FALSE)
,
(IF
(
G7464=""юридична особа""
,
VLOOKUP"&amp;"(H7464,IMPORTRANGE(""https://docs.google.com/spreadsheets/d/14Bd19lYaqBhU8_DElYkX7l4wRkHqqCUFNJY4AfY3kHU/edit?usp=sharing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463" s="7" t="s">
        <v>29</v>
      </c>
    </row>
    <row r="7464" spans="1:10" ht="13.2">
      <c r="A7464" s="7">
        <v>7463</v>
      </c>
      <c r="B7464" s="7">
        <v>1</v>
      </c>
      <c r="C7464" s="7" t="s">
        <v>10</v>
      </c>
      <c r="D7464" s="7">
        <v>8343</v>
      </c>
      <c r="E7464" s="7" t="s">
        <v>35</v>
      </c>
      <c r="F7464" s="8" t="str">
        <f ca="1">IFERROR(__xludf.DUMMYFUNCTION("IF
(
C7465=""фізична особа""
,
VLOOKUP(D7465,IMPORTRANGE(""https://docs.google.com/spreadsheets/d/14Bd19lYaqBhU8_DElYkX7l4wRkHqqCUFNJY4AfY3kHU/edit?usp=sharing  #gid=0"",""фіз особи new!relations_name""),6,FALSE)
,
(IF
(
C7465=""юридична особа""
,
VLOOKUP"&amp;"(D7465,IMPORTRANGE(""https://docs.google.com/spreadsheets/d/14Bd19lYaqBhU8_DElYkX7l4wRkHqqCUFNJY4AfY3kHU/edit?usp=sharing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4" s="7" t="s">
        <v>10</v>
      </c>
      <c r="H7464" s="7">
        <v>8346</v>
      </c>
      <c r="I7464" s="8" t="str">
        <f ca="1">IFERROR(__xludf.DUMMYFUNCTION("IF
(
G7465=""фізична особа""
,
VLOOKUP(H7465,IMPORTRANGE(""https://docs.google.com/spreadsheets/d/14Bd19lYaqBhU8_DElYkX7l4wRkHqqCUFNJY4AfY3kHU/edit?usp=sharing  #gid=0"",""фіз особи new!relations_name""),6,FALSE)
,
(IF
(
G7465=""юридична особа""
,
VLOOKUP"&amp;"(H7465,IMPORTRANGE(""https://docs.google.com/spreadsheets/d/14Bd19lYaqBhU8_DElYkX7l4wRkHqqCUFNJY4AfY3kHU/edit?usp=sharing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64" s="7" t="s">
        <v>35</v>
      </c>
    </row>
    <row r="7465" spans="1:10" ht="13.2">
      <c r="A7465" s="7">
        <v>7464</v>
      </c>
      <c r="B7465" s="7">
        <v>1</v>
      </c>
      <c r="C7465" s="7" t="s">
        <v>10</v>
      </c>
      <c r="D7465" s="7">
        <v>8343</v>
      </c>
      <c r="E7465" s="7" t="s">
        <v>35</v>
      </c>
      <c r="F7465" s="8" t="str">
        <f ca="1">IFERROR(__xludf.DUMMYFUNCTION("IF
(
C7466=""фізична особа""
,
VLOOKUP(D7466,IMPORTRANGE(""https://docs.google.com/spreadsheets/d/14Bd19lYaqBhU8_DElYkX7l4wRkHqqCUFNJY4AfY3kHU/edit?usp=sharing  #gid=0"",""фіз особи new!relations_name""),6,FALSE)
,
(IF
(
C7466=""юридична особа""
,
VLOOKUP"&amp;"(D7466,IMPORTRANGE(""https://docs.google.com/spreadsheets/d/14Bd19lYaqBhU8_DElYkX7l4wRkHqqCUFNJY4AfY3kHU/edit?usp=sharing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5" s="7" t="s">
        <v>10</v>
      </c>
      <c r="H7465" s="7">
        <v>8245</v>
      </c>
      <c r="I7465" s="8" t="str">
        <f ca="1">IFERROR(__xludf.DUMMYFUNCTION("IF
(
G7466=""фізична особа""
,
VLOOKUP(H7466,IMPORTRANGE(""https://docs.google.com/spreadsheets/d/14Bd19lYaqBhU8_DElYkX7l4wRkHqqCUFNJY4AfY3kHU/edit?usp=sharing  #gid=0"",""фіз особи new!relations_name""),6,FALSE)
,
(IF
(
G7466=""юридична особа""
,
VLOOKUP"&amp;"(H7466,IMPORTRANGE(""https://docs.google.com/spreadsheets/d/14Bd19lYaqBhU8_DElYkX7l4wRkHqqCUFNJY4AfY3kHU/edit?usp=sharing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65" s="7" t="s">
        <v>35</v>
      </c>
    </row>
    <row r="7466" spans="1:10" ht="13.2">
      <c r="A7466" s="7">
        <v>7465</v>
      </c>
      <c r="B7466" s="7">
        <v>1</v>
      </c>
      <c r="C7466" s="7" t="s">
        <v>10</v>
      </c>
      <c r="D7466" s="7">
        <v>8343</v>
      </c>
      <c r="E7466" s="7" t="s">
        <v>35</v>
      </c>
      <c r="F7466" s="8" t="str">
        <f ca="1">IFERROR(__xludf.DUMMYFUNCTION("IF
(
C7467=""фізична особа""
,
VLOOKUP(D7467,IMPORTRANGE(""https://docs.google.com/spreadsheets/d/14Bd19lYaqBhU8_DElYkX7l4wRkHqqCUFNJY4AfY3kHU/edit?usp=sharing  #gid=0"",""фіз особи new!relations_name""),6,FALSE)
,
(IF
(
C7467=""юридична особа""
,
VLOOKUP"&amp;"(D7467,IMPORTRANGE(""https://docs.google.com/spreadsheets/d/14Bd19lYaqBhU8_DElYkX7l4wRkHqqCUFNJY4AfY3kHU/edit?usp=sharing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6" s="7" t="s">
        <v>10</v>
      </c>
      <c r="H7466" s="7">
        <v>8341</v>
      </c>
      <c r="I7466" s="8" t="str">
        <f ca="1">IFERROR(__xludf.DUMMYFUNCTION("IF
(
G7467=""фізична особа""
,
VLOOKUP(H7467,IMPORTRANGE(""https://docs.google.com/spreadsheets/d/14Bd19lYaqBhU8_DElYkX7l4wRkHqqCUFNJY4AfY3kHU/edit?usp=sharing  #gid=0"",""фіз особи new!relations_name""),6,FALSE)
,
(IF
(
G7467=""юридична особа""
,
VLOOKUP"&amp;"(H7467,IMPORTRANGE(""https://docs.google.com/spreadsheets/d/14Bd19lYaqBhU8_DElYkX7l4wRkHqqCUFNJY4AfY3kHU/edit?usp=sharing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466" s="7" t="s">
        <v>35</v>
      </c>
    </row>
    <row r="7467" spans="1:10" ht="13.2">
      <c r="A7467" s="7">
        <v>7466</v>
      </c>
      <c r="B7467" s="7">
        <v>1</v>
      </c>
      <c r="C7467" s="7" t="s">
        <v>10</v>
      </c>
      <c r="D7467" s="7">
        <v>8343</v>
      </c>
      <c r="E7467" s="7" t="s">
        <v>28</v>
      </c>
      <c r="F7467" s="8" t="str">
        <f ca="1">IFERROR(__xludf.DUMMYFUNCTION("IF
(
C7468=""фізична особа""
,
VLOOKUP(D7468,IMPORTRANGE(""https://docs.google.com/spreadsheets/d/14Bd19lYaqBhU8_DElYkX7l4wRkHqqCUFNJY4AfY3kHU/edit?usp=sharing  #gid=0"",""фіз особи new!relations_name""),6,FALSE)
,
(IF
(
C7468=""юридична особа""
,
VLOOKUP"&amp;"(D7468,IMPORTRANGE(""https://docs.google.com/spreadsheets/d/14Bd19lYaqBhU8_DElYkX7l4wRkHqqCUFNJY4AfY3kHU/edit?usp=sharing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7" s="7" t="s">
        <v>10</v>
      </c>
      <c r="H7467" s="7">
        <v>8243</v>
      </c>
      <c r="I7467" s="8" t="str">
        <f ca="1">IFERROR(__xludf.DUMMYFUNCTION("IF
(
G7468=""фізична особа""
,
VLOOKUP(H7468,IMPORTRANGE(""https://docs.google.com/spreadsheets/d/14Bd19lYaqBhU8_DElYkX7l4wRkHqqCUFNJY4AfY3kHU/edit?usp=sharing  #gid=0"",""фіз особи new!relations_name""),6,FALSE)
,
(IF
(
G7468=""юридична особа""
,
VLOOKUP"&amp;"(H7468,IMPORTRANGE(""https://docs.google.com/spreadsheets/d/14Bd19lYaqBhU8_DElYkX7l4wRkHqqCUFNJY4AfY3kHU/edit?usp=sharing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67" s="7" t="s">
        <v>29</v>
      </c>
    </row>
    <row r="7468" spans="1:10" ht="13.2">
      <c r="A7468" s="7">
        <v>7467</v>
      </c>
      <c r="B7468" s="7">
        <v>1</v>
      </c>
      <c r="C7468" s="7" t="s">
        <v>10</v>
      </c>
      <c r="D7468" s="7">
        <v>8343</v>
      </c>
      <c r="E7468" s="7" t="s">
        <v>30</v>
      </c>
      <c r="F7468" s="8" t="str">
        <f ca="1">IFERROR(__xludf.DUMMYFUNCTION("IF
(
C7469=""фізична особа""
,
VLOOKUP(D7469,IMPORTRANGE(""https://docs.google.com/spreadsheets/d/14Bd19lYaqBhU8_DElYkX7l4wRkHqqCUFNJY4AfY3kHU/edit?usp=sharing  #gid=0"",""фіз особи new!relations_name""),6,FALSE)
,
(IF
(
C7469=""юридична особа""
,
VLOOKUP"&amp;"(D7469,IMPORTRANGE(""https://docs.google.com/spreadsheets/d/14Bd19lYaqBhU8_DElYkX7l4wRkHqqCUFNJY4AfY3kHU/edit?usp=sharing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8" s="7" t="s">
        <v>10</v>
      </c>
      <c r="H7468" s="7">
        <v>49</v>
      </c>
      <c r="I7468" s="8" t="str">
        <f ca="1">IFERROR(__xludf.DUMMYFUNCTION("IF
(
G7469=""фізична особа""
,
VLOOKUP(H7469,IMPORTRANGE(""https://docs.google.com/spreadsheets/d/14Bd19lYaqBhU8_DElYkX7l4wRkHqqCUFNJY4AfY3kHU/edit?usp=sharing  #gid=0"",""фіз особи new!relations_name""),6,FALSE)
,
(IF
(
G7469=""юридична особа""
,
VLOOKUP"&amp;"(H7469,IMPORTRANGE(""https://docs.google.com/spreadsheets/d/14Bd19lYaqBhU8_DElYkX7l4wRkHqqCUFNJY4AfY3kHU/edit?usp=sharing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68" s="7" t="s">
        <v>30</v>
      </c>
    </row>
    <row r="7469" spans="1:10" ht="13.2">
      <c r="A7469" s="7">
        <v>7468</v>
      </c>
      <c r="B7469" s="7">
        <v>1</v>
      </c>
      <c r="C7469" s="7" t="s">
        <v>10</v>
      </c>
      <c r="D7469" s="7">
        <v>8343</v>
      </c>
      <c r="E7469" s="7" t="s">
        <v>35</v>
      </c>
      <c r="F7469" s="8" t="str">
        <f ca="1">IFERROR(__xludf.DUMMYFUNCTION("IF
(
C7470=""фізична особа""
,
VLOOKUP(D7470,IMPORTRANGE(""https://docs.google.com/spreadsheets/d/14Bd19lYaqBhU8_DElYkX7l4wRkHqqCUFNJY4AfY3kHU/edit?usp=sharing  #gid=0"",""фіз особи new!relations_name""),6,FALSE)
,
(IF
(
C7470=""юридична особа""
,
VLOOKUP"&amp;"(D7470,IMPORTRANGE(""https://docs.google.com/spreadsheets/d/14Bd19lYaqBhU8_DElYkX7l4wRkHqqCUFNJY4AfY3kHU/edit?usp=sharing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69" s="7" t="s">
        <v>10</v>
      </c>
      <c r="H7469" s="7">
        <v>8342</v>
      </c>
      <c r="I7469" s="8" t="str">
        <f ca="1">IFERROR(__xludf.DUMMYFUNCTION("IF
(
G7470=""фізична особа""
,
VLOOKUP(H7470,IMPORTRANGE(""https://docs.google.com/spreadsheets/d/14Bd19lYaqBhU8_DElYkX7l4wRkHqqCUFNJY4AfY3kHU/edit?usp=sharing  #gid=0"",""фіз особи new!relations_name""),6,FALSE)
,
(IF
(
G7470=""юридична особа""
,
VLOOKUP"&amp;"(H7470,IMPORTRANGE(""https://docs.google.com/spreadsheets/d/14Bd19lYaqBhU8_DElYkX7l4wRkHqqCUFNJY4AfY3kHU/edit?usp=sharing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469" s="7" t="s">
        <v>35</v>
      </c>
    </row>
    <row r="7470" spans="1:10" ht="13.2">
      <c r="A7470" s="7">
        <v>7469</v>
      </c>
      <c r="B7470" s="7">
        <v>1</v>
      </c>
      <c r="C7470" s="7" t="s">
        <v>10</v>
      </c>
      <c r="D7470" s="7">
        <v>8343</v>
      </c>
      <c r="E7470" s="7" t="s">
        <v>35</v>
      </c>
      <c r="F7470" s="8" t="str">
        <f ca="1">IFERROR(__xludf.DUMMYFUNCTION("IF
(
C7471=""фізична особа""
,
VLOOKUP(D7471,IMPORTRANGE(""https://docs.google.com/spreadsheets/d/14Bd19lYaqBhU8_DElYkX7l4wRkHqqCUFNJY4AfY3kHU/edit?usp=sharing  #gid=0"",""фіз особи new!relations_name""),6,FALSE)
,
(IF
(
C7471=""юридична особа""
,
VLOOKUP"&amp;"(D7471,IMPORTRANGE(""https://docs.google.com/spreadsheets/d/14Bd19lYaqBhU8_DElYkX7l4wRkHqqCUFNJY4AfY3kHU/edit?usp=sharing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70" s="7" t="s">
        <v>10</v>
      </c>
      <c r="H7470" s="7">
        <v>8344</v>
      </c>
      <c r="I7470" s="8" t="str">
        <f ca="1">IFERROR(__xludf.DUMMYFUNCTION("IF
(
G7471=""фізична особа""
,
VLOOKUP(H7471,IMPORTRANGE(""https://docs.google.com/spreadsheets/d/14Bd19lYaqBhU8_DElYkX7l4wRkHqqCUFNJY4AfY3kHU/edit?usp=sharing  #gid=0"",""фіз особи new!relations_name""),6,FALSE)
,
(IF
(
G7471=""юридична особа""
,
VLOOKUP"&amp;"(H7471,IMPORTRANGE(""https://docs.google.com/spreadsheets/d/14Bd19lYaqBhU8_DElYkX7l4wRkHqqCUFNJY4AfY3kHU/edit?usp=sharing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470" s="7" t="s">
        <v>35</v>
      </c>
    </row>
    <row r="7471" spans="1:10" ht="13.2">
      <c r="A7471" s="7">
        <v>7470</v>
      </c>
      <c r="B7471" s="7">
        <v>1</v>
      </c>
      <c r="C7471" s="7" t="s">
        <v>10</v>
      </c>
      <c r="D7471" s="7">
        <v>8343</v>
      </c>
      <c r="E7471" s="7" t="s">
        <v>35</v>
      </c>
      <c r="F7471" s="8" t="str">
        <f ca="1">IFERROR(__xludf.DUMMYFUNCTION("IF
(
C7472=""фізична особа""
,
VLOOKUP(D7472,IMPORTRANGE(""https://docs.google.com/spreadsheets/d/14Bd19lYaqBhU8_DElYkX7l4wRkHqqCUFNJY4AfY3kHU/edit?usp=sharing  #gid=0"",""фіз особи new!relations_name""),6,FALSE)
,
(IF
(
C7472=""юридична особа""
,
VLOOKUP"&amp;"(D7472,IMPORTRANGE(""https://docs.google.com/spreadsheets/d/14Bd19lYaqBhU8_DElYkX7l4wRkHqqCUFNJY4AfY3kHU/edit?usp=sharing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G7471" s="7" t="s">
        <v>10</v>
      </c>
      <c r="H7471" s="7">
        <v>8345</v>
      </c>
      <c r="I7471" s="8" t="str">
        <f ca="1">IFERROR(__xludf.DUMMYFUNCTION("IF
(
G7472=""фізична особа""
,
VLOOKUP(H7472,IMPORTRANGE(""https://docs.google.com/spreadsheets/d/14Bd19lYaqBhU8_DElYkX7l4wRkHqqCUFNJY4AfY3kHU/edit?usp=sharing  #gid=0"",""фіз особи new!relations_name""),6,FALSE)
,
(IF
(
G7472=""юридична особа""
,
VLOOKUP"&amp;"(H7472,IMPORTRANGE(""https://docs.google.com/spreadsheets/d/14Bd19lYaqBhU8_DElYkX7l4wRkHqqCUFNJY4AfY3kHU/edit?usp=sharing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471" s="7" t="s">
        <v>35</v>
      </c>
    </row>
    <row r="7472" spans="1:10" ht="13.2">
      <c r="A7472" s="7">
        <v>7471</v>
      </c>
      <c r="B7472" s="7">
        <v>1</v>
      </c>
      <c r="C7472" s="7" t="s">
        <v>10</v>
      </c>
      <c r="D7472" s="7">
        <v>8344</v>
      </c>
      <c r="E7472" s="7" t="s">
        <v>30</v>
      </c>
      <c r="F7472" s="8" t="str">
        <f ca="1">IFERROR(__xludf.DUMMYFUNCTION("IF
(
C7473=""фізична особа""
,
VLOOKUP(D7473,IMPORTRANGE(""https://docs.google.com/spreadsheets/d/14Bd19lYaqBhU8_DElYkX7l4wRkHqqCUFNJY4AfY3kHU/edit?usp=sharing  #gid=0"",""фіз особи new!relations_name""),6,FALSE)
,
(IF
(
C7473=""юридична особа""
,
VLOOKUP"&amp;"(D7473,IMPORTRANGE(""https://docs.google.com/spreadsheets/d/14Bd19lYaqBhU8_DElYkX7l4wRkHqqCUFNJY4AfY3kHU/edit?usp=sharing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2" s="7" t="s">
        <v>10</v>
      </c>
      <c r="H7472" s="7">
        <v>144</v>
      </c>
      <c r="I7472" s="8" t="str">
        <f ca="1">IFERROR(__xludf.DUMMYFUNCTION("IF
(
G7473=""фізична особа""
,
VLOOKUP(H7473,IMPORTRANGE(""https://docs.google.com/spreadsheets/d/14Bd19lYaqBhU8_DElYkX7l4wRkHqqCUFNJY4AfY3kHU/edit?usp=sharing  #gid=0"",""фіз особи new!relations_name""),6,FALSE)
,
(IF
(
G7473=""юридична особа""
,
VLOOKUP"&amp;"(H7473,IMPORTRANGE(""https://docs.google.com/spreadsheets/d/14Bd19lYaqBhU8_DElYkX7l4wRkHqqCUFNJY4AfY3kHU/edit?usp=sharing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72" s="7" t="s">
        <v>30</v>
      </c>
    </row>
    <row r="7473" spans="1:10" ht="13.2">
      <c r="A7473" s="7">
        <v>7472</v>
      </c>
      <c r="B7473" s="7">
        <v>1</v>
      </c>
      <c r="C7473" s="7" t="s">
        <v>10</v>
      </c>
      <c r="D7473" s="7">
        <v>8344</v>
      </c>
      <c r="E7473" s="7" t="s">
        <v>30</v>
      </c>
      <c r="F7473" s="8" t="str">
        <f ca="1">IFERROR(__xludf.DUMMYFUNCTION("IF
(
C7474=""фізична особа""
,
VLOOKUP(D7474,IMPORTRANGE(""https://docs.google.com/spreadsheets/d/14Bd19lYaqBhU8_DElYkX7l4wRkHqqCUFNJY4AfY3kHU/edit?usp=sharing  #gid=0"",""фіз особи new!relations_name""),6,FALSE)
,
(IF
(
C7474=""юридична особа""
,
VLOOKUP"&amp;"(D7474,IMPORTRANGE(""https://docs.google.com/spreadsheets/d/14Bd19lYaqBhU8_DElYkX7l4wRkHqqCUFNJY4AfY3kHU/edit?usp=sharing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3" s="7" t="s">
        <v>10</v>
      </c>
      <c r="H7473" s="7">
        <v>629</v>
      </c>
      <c r="I7473" s="8" t="str">
        <f ca="1">IFERROR(__xludf.DUMMYFUNCTION("IF
(
G7474=""фізична особа""
,
VLOOKUP(H7474,IMPORTRANGE(""https://docs.google.com/spreadsheets/d/14Bd19lYaqBhU8_DElYkX7l4wRkHqqCUFNJY4AfY3kHU/edit?usp=sharing  #gid=0"",""фіз особи new!relations_name""),6,FALSE)
,
(IF
(
G7474=""юридична особа""
,
VLOOKUP"&amp;"(H7474,IMPORTRANGE(""https://docs.google.com/spreadsheets/d/14Bd19lYaqBhU8_DElYkX7l4wRkHqqCUFNJY4AfY3kHU/edit?usp=sharing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73" s="7" t="s">
        <v>30</v>
      </c>
    </row>
    <row r="7474" spans="1:10" ht="13.2">
      <c r="A7474" s="7">
        <v>7473</v>
      </c>
      <c r="B7474" s="7">
        <v>1</v>
      </c>
      <c r="C7474" s="7" t="s">
        <v>10</v>
      </c>
      <c r="D7474" s="7">
        <v>8344</v>
      </c>
      <c r="E7474" s="7" t="s">
        <v>35</v>
      </c>
      <c r="F7474" s="8" t="str">
        <f ca="1">IFERROR(__xludf.DUMMYFUNCTION("IF
(
C7475=""фізична особа""
,
VLOOKUP(D7475,IMPORTRANGE(""https://docs.google.com/spreadsheets/d/14Bd19lYaqBhU8_DElYkX7l4wRkHqqCUFNJY4AfY3kHU/edit?usp=sharing  #gid=0"",""фіз особи new!relations_name""),6,FALSE)
,
(IF
(
C7475=""юридична особа""
,
VLOOKUP"&amp;"(D7475,IMPORTRANGE(""https://docs.google.com/spreadsheets/d/14Bd19lYaqBhU8_DElYkX7l4wRkHqqCUFNJY4AfY3kHU/edit?usp=sharing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4" s="7" t="s">
        <v>10</v>
      </c>
      <c r="H7474" s="7">
        <v>8244</v>
      </c>
      <c r="I7474" s="8" t="str">
        <f ca="1">IFERROR(__xludf.DUMMYFUNCTION("IF
(
G7475=""фізична особа""
,
VLOOKUP(H7475,IMPORTRANGE(""https://docs.google.com/spreadsheets/d/14Bd19lYaqBhU8_DElYkX7l4wRkHqqCUFNJY4AfY3kHU/edit?usp=sharing  #gid=0"",""фіз особи new!relations_name""),6,FALSE)
,
(IF
(
G7475=""юридична особа""
,
VLOOKUP"&amp;"(H7475,IMPORTRANGE(""https://docs.google.com/spreadsheets/d/14Bd19lYaqBhU8_DElYkX7l4wRkHqqCUFNJY4AfY3kHU/edit?usp=sharing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74" s="7" t="s">
        <v>35</v>
      </c>
    </row>
    <row r="7475" spans="1:10" ht="13.2">
      <c r="A7475" s="7">
        <v>7474</v>
      </c>
      <c r="B7475" s="7">
        <v>1</v>
      </c>
      <c r="C7475" s="7" t="s">
        <v>10</v>
      </c>
      <c r="D7475" s="7">
        <v>8344</v>
      </c>
      <c r="E7475" s="7" t="s">
        <v>30</v>
      </c>
      <c r="F7475" s="8" t="str">
        <f ca="1">IFERROR(__xludf.DUMMYFUNCTION("IF
(
C7476=""фізична особа""
,
VLOOKUP(D7476,IMPORTRANGE(""https://docs.google.com/spreadsheets/d/14Bd19lYaqBhU8_DElYkX7l4wRkHqqCUFNJY4AfY3kHU/edit?usp=sharing  #gid=0"",""фіз особи new!relations_name""),6,FALSE)
,
(IF
(
C7476=""юридична особа""
,
VLOOKUP"&amp;"(D7476,IMPORTRANGE(""https://docs.google.com/spreadsheets/d/14Bd19lYaqBhU8_DElYkX7l4wRkHqqCUFNJY4AfY3kHU/edit?usp=sharing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5" s="7" t="s">
        <v>10</v>
      </c>
      <c r="H7475" s="7">
        <v>8246</v>
      </c>
      <c r="I7475" s="8" t="str">
        <f ca="1">IFERROR(__xludf.DUMMYFUNCTION("IF
(
G7476=""фізична особа""
,
VLOOKUP(H7476,IMPORTRANGE(""https://docs.google.com/spreadsheets/d/14Bd19lYaqBhU8_DElYkX7l4wRkHqqCUFNJY4AfY3kHU/edit?usp=sharing  #gid=0"",""фіз особи new!relations_name""),6,FALSE)
,
(IF
(
G7476=""юридична особа""
,
VLOOKUP"&amp;"(H7476,IMPORTRANGE(""https://docs.google.com/spreadsheets/d/14Bd19lYaqBhU8_DElYkX7l4wRkHqqCUFNJY4AfY3kHU/edit?usp=sharing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75" s="7" t="s">
        <v>30</v>
      </c>
    </row>
    <row r="7476" spans="1:10" ht="13.2">
      <c r="A7476" s="7">
        <v>7475</v>
      </c>
      <c r="B7476" s="7">
        <v>1</v>
      </c>
      <c r="C7476" s="7" t="s">
        <v>10</v>
      </c>
      <c r="D7476" s="7">
        <v>8344</v>
      </c>
      <c r="E7476" s="7" t="s">
        <v>30</v>
      </c>
      <c r="F7476" s="8" t="str">
        <f ca="1">IFERROR(__xludf.DUMMYFUNCTION("IF
(
C7477=""фізична особа""
,
VLOOKUP(D7477,IMPORTRANGE(""https://docs.google.com/spreadsheets/d/14Bd19lYaqBhU8_DElYkX7l4wRkHqqCUFNJY4AfY3kHU/edit?usp=sharing  #gid=0"",""фіз особи new!relations_name""),6,FALSE)
,
(IF
(
C7477=""юридична особа""
,
VLOOKUP"&amp;"(D7477,IMPORTRANGE(""https://docs.google.com/spreadsheets/d/14Bd19lYaqBhU8_DElYkX7l4wRkHqqCUFNJY4AfY3kHU/edit?usp=sharing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6" s="7" t="s">
        <v>10</v>
      </c>
      <c r="H7476" s="7">
        <v>8248</v>
      </c>
      <c r="I7476" s="8" t="str">
        <f ca="1">IFERROR(__xludf.DUMMYFUNCTION("IF
(
G7477=""фізична особа""
,
VLOOKUP(H7477,IMPORTRANGE(""https://docs.google.com/spreadsheets/d/14Bd19lYaqBhU8_DElYkX7l4wRkHqqCUFNJY4AfY3kHU/edit?usp=sharing  #gid=0"",""фіз особи new!relations_name""),6,FALSE)
,
(IF
(
G7477=""юридична особа""
,
VLOOKUP"&amp;"(H7477,IMPORTRANGE(""https://docs.google.com/spreadsheets/d/14Bd19lYaqBhU8_DElYkX7l4wRkHqqCUFNJY4AfY3kHU/edit?usp=sharing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76" s="7" t="s">
        <v>30</v>
      </c>
    </row>
    <row r="7477" spans="1:10" ht="13.2">
      <c r="A7477" s="7">
        <v>7476</v>
      </c>
      <c r="B7477" s="7">
        <v>1</v>
      </c>
      <c r="C7477" s="7" t="s">
        <v>10</v>
      </c>
      <c r="D7477" s="7">
        <v>8344</v>
      </c>
      <c r="E7477" s="7" t="s">
        <v>30</v>
      </c>
      <c r="F7477" s="8" t="str">
        <f ca="1">IFERROR(__xludf.DUMMYFUNCTION("IF
(
C7478=""фізична особа""
,
VLOOKUP(D7478,IMPORTRANGE(""https://docs.google.com/spreadsheets/d/14Bd19lYaqBhU8_DElYkX7l4wRkHqqCUFNJY4AfY3kHU/edit?usp=sharing  #gid=0"",""фіз особи new!relations_name""),6,FALSE)
,
(IF
(
C7478=""юридична особа""
,
VLOOKUP"&amp;"(D7478,IMPORTRANGE(""https://docs.google.com/spreadsheets/d/14Bd19lYaqBhU8_DElYkX7l4wRkHqqCUFNJY4AfY3kHU/edit?usp=sharing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7" s="7" t="s">
        <v>10</v>
      </c>
      <c r="H7477" s="7">
        <v>8247</v>
      </c>
      <c r="I7477" s="8" t="str">
        <f ca="1">IFERROR(__xludf.DUMMYFUNCTION("IF
(
G7478=""фізична особа""
,
VLOOKUP(H7478,IMPORTRANGE(""https://docs.google.com/spreadsheets/d/14Bd19lYaqBhU8_DElYkX7l4wRkHqqCUFNJY4AfY3kHU/edit?usp=sharing  #gid=0"",""фіз особи new!relations_name""),6,FALSE)
,
(IF
(
G7478=""юридична особа""
,
VLOOKUP"&amp;"(H7478,IMPORTRANGE(""https://docs.google.com/spreadsheets/d/14Bd19lYaqBhU8_DElYkX7l4wRkHqqCUFNJY4AfY3kHU/edit?usp=sharing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77" s="7" t="s">
        <v>30</v>
      </c>
    </row>
    <row r="7478" spans="1:10" ht="13.2">
      <c r="A7478" s="7">
        <v>7477</v>
      </c>
      <c r="B7478" s="7">
        <v>1</v>
      </c>
      <c r="C7478" s="7" t="s">
        <v>10</v>
      </c>
      <c r="D7478" s="7">
        <v>8344</v>
      </c>
      <c r="E7478" s="7" t="s">
        <v>28</v>
      </c>
      <c r="F7478" s="8" t="str">
        <f ca="1">IFERROR(__xludf.DUMMYFUNCTION("IF
(
C7479=""фізична особа""
,
VLOOKUP(D7479,IMPORTRANGE(""https://docs.google.com/spreadsheets/d/14Bd19lYaqBhU8_DElYkX7l4wRkHqqCUFNJY4AfY3kHU/edit?usp=sharing  #gid=0"",""фіз особи new!relations_name""),6,FALSE)
,
(IF
(
C7479=""юридична особа""
,
VLOOKUP"&amp;"(D7479,IMPORTRANGE(""https://docs.google.com/spreadsheets/d/14Bd19lYaqBhU8_DElYkX7l4wRkHqqCUFNJY4AfY3kHU/edit?usp=sharing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8" s="7" t="s">
        <v>10</v>
      </c>
      <c r="H7478" s="7">
        <v>8340</v>
      </c>
      <c r="I7478" s="8" t="str">
        <f ca="1">IFERROR(__xludf.DUMMYFUNCTION("IF
(
G7479=""фізична особа""
,
VLOOKUP(H7479,IMPORTRANGE(""https://docs.google.com/spreadsheets/d/14Bd19lYaqBhU8_DElYkX7l4wRkHqqCUFNJY4AfY3kHU/edit?usp=sharing  #gid=0"",""фіз особи new!relations_name""),6,FALSE)
,
(IF
(
G7479=""юридична особа""
,
VLOOKUP"&amp;"(H7479,IMPORTRANGE(""https://docs.google.com/spreadsheets/d/14Bd19lYaqBhU8_DElYkX7l4wRkHqqCUFNJY4AfY3kHU/edit?usp=sharing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478" s="7" t="s">
        <v>29</v>
      </c>
    </row>
    <row r="7479" spans="1:10" ht="13.2">
      <c r="A7479" s="7">
        <v>7478</v>
      </c>
      <c r="B7479" s="7">
        <v>1</v>
      </c>
      <c r="C7479" s="7" t="s">
        <v>10</v>
      </c>
      <c r="D7479" s="7">
        <v>8344</v>
      </c>
      <c r="E7479" s="7" t="s">
        <v>35</v>
      </c>
      <c r="F7479" s="8" t="str">
        <f ca="1">IFERROR(__xludf.DUMMYFUNCTION("IF
(
C7480=""фізична особа""
,
VLOOKUP(D7480,IMPORTRANGE(""https://docs.google.com/spreadsheets/d/14Bd19lYaqBhU8_DElYkX7l4wRkHqqCUFNJY4AfY3kHU/edit?usp=sharing  #gid=0"",""фіз особи new!relations_name""),6,FALSE)
,
(IF
(
C7480=""юридична особа""
,
VLOOKUP"&amp;"(D7480,IMPORTRANGE(""https://docs.google.com/spreadsheets/d/14Bd19lYaqBhU8_DElYkX7l4wRkHqqCUFNJY4AfY3kHU/edit?usp=sharing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79" s="7" t="s">
        <v>10</v>
      </c>
      <c r="H7479" s="7">
        <v>8346</v>
      </c>
      <c r="I7479" s="8" t="str">
        <f ca="1">IFERROR(__xludf.DUMMYFUNCTION("IF
(
G7480=""фізична особа""
,
VLOOKUP(H7480,IMPORTRANGE(""https://docs.google.com/spreadsheets/d/14Bd19lYaqBhU8_DElYkX7l4wRkHqqCUFNJY4AfY3kHU/edit?usp=sharing  #gid=0"",""фіз особи new!relations_name""),6,FALSE)
,
(IF
(
G7480=""юридична особа""
,
VLOOKUP"&amp;"(H7480,IMPORTRANGE(""https://docs.google.com/spreadsheets/d/14Bd19lYaqBhU8_DElYkX7l4wRkHqqCUFNJY4AfY3kHU/edit?usp=sharing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79" s="7" t="s">
        <v>35</v>
      </c>
    </row>
    <row r="7480" spans="1:10" ht="13.2">
      <c r="A7480" s="7">
        <v>7479</v>
      </c>
      <c r="B7480" s="7">
        <v>1</v>
      </c>
      <c r="C7480" s="7" t="s">
        <v>10</v>
      </c>
      <c r="D7480" s="7">
        <v>8344</v>
      </c>
      <c r="E7480" s="7" t="s">
        <v>35</v>
      </c>
      <c r="F7480" s="8" t="str">
        <f ca="1">IFERROR(__xludf.DUMMYFUNCTION("IF
(
C7481=""фізична особа""
,
VLOOKUP(D7481,IMPORTRANGE(""https://docs.google.com/spreadsheets/d/14Bd19lYaqBhU8_DElYkX7l4wRkHqqCUFNJY4AfY3kHU/edit?usp=sharing  #gid=0"",""фіз особи new!relations_name""),6,FALSE)
,
(IF
(
C7481=""юридична особа""
,
VLOOKUP"&amp;"(D7481,IMPORTRANGE(""https://docs.google.com/spreadsheets/d/14Bd19lYaqBhU8_DElYkX7l4wRkHqqCUFNJY4AfY3kHU/edit?usp=sharing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0" s="7" t="s">
        <v>10</v>
      </c>
      <c r="H7480" s="7">
        <v>8245</v>
      </c>
      <c r="I7480" s="8" t="str">
        <f ca="1">IFERROR(__xludf.DUMMYFUNCTION("IF
(
G7481=""фізична особа""
,
VLOOKUP(H7481,IMPORTRANGE(""https://docs.google.com/spreadsheets/d/14Bd19lYaqBhU8_DElYkX7l4wRkHqqCUFNJY4AfY3kHU/edit?usp=sharing  #gid=0"",""фіз особи new!relations_name""),6,FALSE)
,
(IF
(
G7481=""юридична особа""
,
VLOOKUP"&amp;"(H7481,IMPORTRANGE(""https://docs.google.com/spreadsheets/d/14Bd19lYaqBhU8_DElYkX7l4wRkHqqCUFNJY4AfY3kHU/edit?usp=sharing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80" s="7" t="s">
        <v>35</v>
      </c>
    </row>
    <row r="7481" spans="1:10" ht="13.2">
      <c r="A7481" s="7">
        <v>7480</v>
      </c>
      <c r="B7481" s="7">
        <v>1</v>
      </c>
      <c r="C7481" s="7" t="s">
        <v>10</v>
      </c>
      <c r="D7481" s="7">
        <v>8344</v>
      </c>
      <c r="E7481" s="7" t="s">
        <v>35</v>
      </c>
      <c r="F7481" s="8" t="str">
        <f ca="1">IFERROR(__xludf.DUMMYFUNCTION("IF
(
C7482=""фізична особа""
,
VLOOKUP(D7482,IMPORTRANGE(""https://docs.google.com/spreadsheets/d/14Bd19lYaqBhU8_DElYkX7l4wRkHqqCUFNJY4AfY3kHU/edit?usp=sharing  #gid=0"",""фіз особи new!relations_name""),6,FALSE)
,
(IF
(
C7482=""юридична особа""
,
VLOOKUP"&amp;"(D7482,IMPORTRANGE(""https://docs.google.com/spreadsheets/d/14Bd19lYaqBhU8_DElYkX7l4wRkHqqCUFNJY4AfY3kHU/edit?usp=sharing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1" s="7" t="s">
        <v>10</v>
      </c>
      <c r="H7481" s="7">
        <v>8341</v>
      </c>
      <c r="I7481" s="8" t="str">
        <f ca="1">IFERROR(__xludf.DUMMYFUNCTION("IF
(
G7482=""фізична особа""
,
VLOOKUP(H7482,IMPORTRANGE(""https://docs.google.com/spreadsheets/d/14Bd19lYaqBhU8_DElYkX7l4wRkHqqCUFNJY4AfY3kHU/edit?usp=sharing  #gid=0"",""фіз особи new!relations_name""),6,FALSE)
,
(IF
(
G7482=""юридична особа""
,
VLOOKUP"&amp;"(H7482,IMPORTRANGE(""https://docs.google.com/spreadsheets/d/14Bd19lYaqBhU8_DElYkX7l4wRkHqqCUFNJY4AfY3kHU/edit?usp=sharing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481" s="7" t="s">
        <v>35</v>
      </c>
    </row>
    <row r="7482" spans="1:10" ht="13.2">
      <c r="A7482" s="7">
        <v>7481</v>
      </c>
      <c r="B7482" s="7">
        <v>1</v>
      </c>
      <c r="C7482" s="7" t="s">
        <v>10</v>
      </c>
      <c r="D7482" s="7">
        <v>8344</v>
      </c>
      <c r="E7482" s="7" t="s">
        <v>28</v>
      </c>
      <c r="F7482" s="8" t="str">
        <f ca="1">IFERROR(__xludf.DUMMYFUNCTION("IF
(
C7483=""фізична особа""
,
VLOOKUP(D7483,IMPORTRANGE(""https://docs.google.com/spreadsheets/d/14Bd19lYaqBhU8_DElYkX7l4wRkHqqCUFNJY4AfY3kHU/edit?usp=sharing  #gid=0"",""фіз особи new!relations_name""),6,FALSE)
,
(IF
(
C7483=""юридична особа""
,
VLOOKUP"&amp;"(D7483,IMPORTRANGE(""https://docs.google.com/spreadsheets/d/14Bd19lYaqBhU8_DElYkX7l4wRkHqqCUFNJY4AfY3kHU/edit?usp=sharing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2" s="7" t="s">
        <v>10</v>
      </c>
      <c r="H7482" s="7">
        <v>8243</v>
      </c>
      <c r="I7482" s="8" t="str">
        <f ca="1">IFERROR(__xludf.DUMMYFUNCTION("IF
(
G7483=""фізична особа""
,
VLOOKUP(H7483,IMPORTRANGE(""https://docs.google.com/spreadsheets/d/14Bd19lYaqBhU8_DElYkX7l4wRkHqqCUFNJY4AfY3kHU/edit?usp=sharing  #gid=0"",""фіз особи new!relations_name""),6,FALSE)
,
(IF
(
G7483=""юридична особа""
,
VLOOKUP"&amp;"(H7483,IMPORTRANGE(""https://docs.google.com/spreadsheets/d/14Bd19lYaqBhU8_DElYkX7l4wRkHqqCUFNJY4AfY3kHU/edit?usp=sharing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82" s="7" t="s">
        <v>29</v>
      </c>
    </row>
    <row r="7483" spans="1:10" ht="13.2">
      <c r="A7483" s="7">
        <v>7482</v>
      </c>
      <c r="B7483" s="7">
        <v>1</v>
      </c>
      <c r="C7483" s="7" t="s">
        <v>10</v>
      </c>
      <c r="D7483" s="7">
        <v>8344</v>
      </c>
      <c r="E7483" s="7" t="s">
        <v>30</v>
      </c>
      <c r="F7483" s="8" t="str">
        <f ca="1">IFERROR(__xludf.DUMMYFUNCTION("IF
(
C7484=""фізична особа""
,
VLOOKUP(D7484,IMPORTRANGE(""https://docs.google.com/spreadsheets/d/14Bd19lYaqBhU8_DElYkX7l4wRkHqqCUFNJY4AfY3kHU/edit?usp=sharing  #gid=0"",""фіз особи new!relations_name""),6,FALSE)
,
(IF
(
C7484=""юридична особа""
,
VLOOKUP"&amp;"(D7484,IMPORTRANGE(""https://docs.google.com/spreadsheets/d/14Bd19lYaqBhU8_DElYkX7l4wRkHqqCUFNJY4AfY3kHU/edit?usp=sharing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3" s="7" t="s">
        <v>10</v>
      </c>
      <c r="H7483" s="7">
        <v>49</v>
      </c>
      <c r="I7483" s="8" t="str">
        <f ca="1">IFERROR(__xludf.DUMMYFUNCTION("IF
(
G7484=""фізична особа""
,
VLOOKUP(H7484,IMPORTRANGE(""https://docs.google.com/spreadsheets/d/14Bd19lYaqBhU8_DElYkX7l4wRkHqqCUFNJY4AfY3kHU/edit?usp=sharing  #gid=0"",""фіз особи new!relations_name""),6,FALSE)
,
(IF
(
G7484=""юридична особа""
,
VLOOKUP"&amp;"(H7484,IMPORTRANGE(""https://docs.google.com/spreadsheets/d/14Bd19lYaqBhU8_DElYkX7l4wRkHqqCUFNJY4AfY3kHU/edit?usp=sharing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83" s="7" t="s">
        <v>30</v>
      </c>
    </row>
    <row r="7484" spans="1:10" ht="13.2">
      <c r="A7484" s="7">
        <v>7483</v>
      </c>
      <c r="B7484" s="7">
        <v>1</v>
      </c>
      <c r="C7484" s="7" t="s">
        <v>10</v>
      </c>
      <c r="D7484" s="7">
        <v>8344</v>
      </c>
      <c r="E7484" s="7" t="s">
        <v>35</v>
      </c>
      <c r="F7484" s="8" t="str">
        <f ca="1">IFERROR(__xludf.DUMMYFUNCTION("IF
(
C7485=""фізична особа""
,
VLOOKUP(D7485,IMPORTRANGE(""https://docs.google.com/spreadsheets/d/14Bd19lYaqBhU8_DElYkX7l4wRkHqqCUFNJY4AfY3kHU/edit?usp=sharing  #gid=0"",""фіз особи new!relations_name""),6,FALSE)
,
(IF
(
C7485=""юридична особа""
,
VLOOKUP"&amp;"(D7485,IMPORTRANGE(""https://docs.google.com/spreadsheets/d/14Bd19lYaqBhU8_DElYkX7l4wRkHqqCUFNJY4AfY3kHU/edit?usp=sharing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4" s="7" t="s">
        <v>10</v>
      </c>
      <c r="H7484" s="7">
        <v>8342</v>
      </c>
      <c r="I7484" s="8" t="str">
        <f ca="1">IFERROR(__xludf.DUMMYFUNCTION("IF
(
G7485=""фізична особа""
,
VLOOKUP(H7485,IMPORTRANGE(""https://docs.google.com/spreadsheets/d/14Bd19lYaqBhU8_DElYkX7l4wRkHqqCUFNJY4AfY3kHU/edit?usp=sharing  #gid=0"",""фіз особи new!relations_name""),6,FALSE)
,
(IF
(
G7485=""юридична особа""
,
VLOOKUP"&amp;"(H7485,IMPORTRANGE(""https://docs.google.com/spreadsheets/d/14Bd19lYaqBhU8_DElYkX7l4wRkHqqCUFNJY4AfY3kHU/edit?usp=sharing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484" s="7" t="s">
        <v>35</v>
      </c>
    </row>
    <row r="7485" spans="1:10" ht="13.2">
      <c r="A7485" s="7">
        <v>7484</v>
      </c>
      <c r="B7485" s="7">
        <v>1</v>
      </c>
      <c r="C7485" s="7" t="s">
        <v>10</v>
      </c>
      <c r="D7485" s="7">
        <v>8344</v>
      </c>
      <c r="E7485" s="7" t="s">
        <v>35</v>
      </c>
      <c r="F7485" s="8" t="str">
        <f ca="1">IFERROR(__xludf.DUMMYFUNCTION("IF
(
C7486=""фізична особа""
,
VLOOKUP(D7486,IMPORTRANGE(""https://docs.google.com/spreadsheets/d/14Bd19lYaqBhU8_DElYkX7l4wRkHqqCUFNJY4AfY3kHU/edit?usp=sharing  #gid=0"",""фіз особи new!relations_name""),6,FALSE)
,
(IF
(
C7486=""юридична особа""
,
VLOOKUP"&amp;"(D7486,IMPORTRANGE(""https://docs.google.com/spreadsheets/d/14Bd19lYaqBhU8_DElYkX7l4wRkHqqCUFNJY4AfY3kHU/edit?usp=sharing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5" s="7" t="s">
        <v>10</v>
      </c>
      <c r="H7485" s="7">
        <v>8343</v>
      </c>
      <c r="I7485" s="8" t="str">
        <f ca="1">IFERROR(__xludf.DUMMYFUNCTION("IF
(
G7486=""фізична особа""
,
VLOOKUP(H7486,IMPORTRANGE(""https://docs.google.com/spreadsheets/d/14Bd19lYaqBhU8_DElYkX7l4wRkHqqCUFNJY4AfY3kHU/edit?usp=sharing  #gid=0"",""фіз особи new!relations_name""),6,FALSE)
,
(IF
(
G7486=""юридична особа""
,
VLOOKUP"&amp;"(H7486,IMPORTRANGE(""https://docs.google.com/spreadsheets/d/14Bd19lYaqBhU8_DElYkX7l4wRkHqqCUFNJY4AfY3kHU/edit?usp=sharing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485" s="7" t="s">
        <v>35</v>
      </c>
    </row>
    <row r="7486" spans="1:10" ht="13.2">
      <c r="A7486" s="7">
        <v>7485</v>
      </c>
      <c r="B7486" s="7">
        <v>1</v>
      </c>
      <c r="C7486" s="7" t="s">
        <v>10</v>
      </c>
      <c r="D7486" s="7">
        <v>8344</v>
      </c>
      <c r="E7486" s="7" t="s">
        <v>35</v>
      </c>
      <c r="F7486" s="8" t="str">
        <f ca="1">IFERROR(__xludf.DUMMYFUNCTION("IF
(
C7487=""фізична особа""
,
VLOOKUP(D7487,IMPORTRANGE(""https://docs.google.com/spreadsheets/d/14Bd19lYaqBhU8_DElYkX7l4wRkHqqCUFNJY4AfY3kHU/edit?usp=sharing  #gid=0"",""фіз особи new!relations_name""),6,FALSE)
,
(IF
(
C7487=""юридична особа""
,
VLOOKUP"&amp;"(D7487,IMPORTRANGE(""https://docs.google.com/spreadsheets/d/14Bd19lYaqBhU8_DElYkX7l4wRkHqqCUFNJY4AfY3kHU/edit?usp=sharing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G7486" s="7" t="s">
        <v>10</v>
      </c>
      <c r="H7486" s="7">
        <v>8345</v>
      </c>
      <c r="I7486" s="8" t="str">
        <f ca="1">IFERROR(__xludf.DUMMYFUNCTION("IF
(
G7487=""фізична особа""
,
VLOOKUP(H7487,IMPORTRANGE(""https://docs.google.com/spreadsheets/d/14Bd19lYaqBhU8_DElYkX7l4wRkHqqCUFNJY4AfY3kHU/edit?usp=sharing  #gid=0"",""фіз особи new!relations_name""),6,FALSE)
,
(IF
(
G7487=""юридична особа""
,
VLOOKUP"&amp;"(H7487,IMPORTRANGE(""https://docs.google.com/spreadsheets/d/14Bd19lYaqBhU8_DElYkX7l4wRkHqqCUFNJY4AfY3kHU/edit?usp=sharing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486" s="7" t="s">
        <v>35</v>
      </c>
    </row>
    <row r="7487" spans="1:10" ht="13.2">
      <c r="A7487" s="7">
        <v>7486</v>
      </c>
      <c r="B7487" s="7">
        <v>1</v>
      </c>
      <c r="C7487" s="7" t="s">
        <v>10</v>
      </c>
      <c r="D7487" s="7">
        <v>8345</v>
      </c>
      <c r="E7487" s="7" t="s">
        <v>30</v>
      </c>
      <c r="F7487" s="8" t="str">
        <f ca="1">IFERROR(__xludf.DUMMYFUNCTION("IF
(
C7488=""фізична особа""
,
VLOOKUP(D7488,IMPORTRANGE(""https://docs.google.com/spreadsheets/d/14Bd19lYaqBhU8_DElYkX7l4wRkHqqCUFNJY4AfY3kHU/edit?usp=sharing  #gid=0"",""фіз особи new!relations_name""),6,FALSE)
,
(IF
(
C7488=""юридична особа""
,
VLOOKUP"&amp;"(D7488,IMPORTRANGE(""https://docs.google.com/spreadsheets/d/14Bd19lYaqBhU8_DElYkX7l4wRkHqqCUFNJY4AfY3kHU/edit?usp=sharing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87" s="7" t="s">
        <v>10</v>
      </c>
      <c r="H7487" s="7">
        <v>144</v>
      </c>
      <c r="I7487" s="8" t="str">
        <f ca="1">IFERROR(__xludf.DUMMYFUNCTION("IF
(
G7488=""фізична особа""
,
VLOOKUP(H7488,IMPORTRANGE(""https://docs.google.com/spreadsheets/d/14Bd19lYaqBhU8_DElYkX7l4wRkHqqCUFNJY4AfY3kHU/edit?usp=sharing  #gid=0"",""фіз особи new!relations_name""),6,FALSE)
,
(IF
(
G7488=""юридична особа""
,
VLOOKUP"&amp;"(H7488,IMPORTRANGE(""https://docs.google.com/spreadsheets/d/14Bd19lYaqBhU8_DElYkX7l4wRkHqqCUFNJY4AfY3kHU/edit?usp=sharing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487" s="7" t="s">
        <v>30</v>
      </c>
    </row>
    <row r="7488" spans="1:10" ht="13.2">
      <c r="A7488" s="7">
        <v>7487</v>
      </c>
      <c r="B7488" s="7">
        <v>1</v>
      </c>
      <c r="C7488" s="7" t="s">
        <v>10</v>
      </c>
      <c r="D7488" s="7">
        <v>8345</v>
      </c>
      <c r="E7488" s="7" t="s">
        <v>30</v>
      </c>
      <c r="F7488" s="8" t="str">
        <f ca="1">IFERROR(__xludf.DUMMYFUNCTION("IF
(
C7489=""фізична особа""
,
VLOOKUP(D7489,IMPORTRANGE(""https://docs.google.com/spreadsheets/d/14Bd19lYaqBhU8_DElYkX7l4wRkHqqCUFNJY4AfY3kHU/edit?usp=sharing  #gid=0"",""фіз особи new!relations_name""),6,FALSE)
,
(IF
(
C7489=""юридична особа""
,
VLOOKUP"&amp;"(D7489,IMPORTRANGE(""https://docs.google.com/spreadsheets/d/14Bd19lYaqBhU8_DElYkX7l4wRkHqqCUFNJY4AfY3kHU/edit?usp=sharing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88" s="7" t="s">
        <v>10</v>
      </c>
      <c r="H7488" s="7">
        <v>629</v>
      </c>
      <c r="I7488" s="8" t="str">
        <f ca="1">IFERROR(__xludf.DUMMYFUNCTION("IF
(
G7489=""фізична особа""
,
VLOOKUP(H7489,IMPORTRANGE(""https://docs.google.com/spreadsheets/d/14Bd19lYaqBhU8_DElYkX7l4wRkHqqCUFNJY4AfY3kHU/edit?usp=sharing  #gid=0"",""фіз особи new!relations_name""),6,FALSE)
,
(IF
(
G7489=""юридична особа""
,
VLOOKUP"&amp;"(H7489,IMPORTRANGE(""https://docs.google.com/spreadsheets/d/14Bd19lYaqBhU8_DElYkX7l4wRkHqqCUFNJY4AfY3kHU/edit?usp=sharing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488" s="7" t="s">
        <v>30</v>
      </c>
    </row>
    <row r="7489" spans="1:10" ht="13.2">
      <c r="A7489" s="7">
        <v>7488</v>
      </c>
      <c r="B7489" s="7">
        <v>1</v>
      </c>
      <c r="C7489" s="7" t="s">
        <v>10</v>
      </c>
      <c r="D7489" s="7">
        <v>8345</v>
      </c>
      <c r="E7489" s="7" t="s">
        <v>35</v>
      </c>
      <c r="F7489" s="8" t="str">
        <f ca="1">IFERROR(__xludf.DUMMYFUNCTION("IF
(
C7490=""фізична особа""
,
VLOOKUP(D7490,IMPORTRANGE(""https://docs.google.com/spreadsheets/d/14Bd19lYaqBhU8_DElYkX7l4wRkHqqCUFNJY4AfY3kHU/edit?usp=sharing  #gid=0"",""фіз особи new!relations_name""),6,FALSE)
,
(IF
(
C7490=""юридична особа""
,
VLOOKUP"&amp;"(D7490,IMPORTRANGE(""https://docs.google.com/spreadsheets/d/14Bd19lYaqBhU8_DElYkX7l4wRkHqqCUFNJY4AfY3kHU/edit?usp=sharing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89" s="7" t="s">
        <v>10</v>
      </c>
      <c r="H7489" s="7">
        <v>8244</v>
      </c>
      <c r="I7489" s="8" t="str">
        <f ca="1">IFERROR(__xludf.DUMMYFUNCTION("IF
(
G7490=""фізична особа""
,
VLOOKUP(H7490,IMPORTRANGE(""https://docs.google.com/spreadsheets/d/14Bd19lYaqBhU8_DElYkX7l4wRkHqqCUFNJY4AfY3kHU/edit?usp=sharing  #gid=0"",""фіз особи new!relations_name""),6,FALSE)
,
(IF
(
G7490=""юридична особа""
,
VLOOKUP"&amp;"(H7490,IMPORTRANGE(""https://docs.google.com/spreadsheets/d/14Bd19lYaqBhU8_DElYkX7l4wRkHqqCUFNJY4AfY3kHU/edit?usp=sharing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489" s="7" t="s">
        <v>35</v>
      </c>
    </row>
    <row r="7490" spans="1:10" ht="13.2">
      <c r="A7490" s="7">
        <v>7489</v>
      </c>
      <c r="B7490" s="7">
        <v>1</v>
      </c>
      <c r="C7490" s="7" t="s">
        <v>10</v>
      </c>
      <c r="D7490" s="7">
        <v>8345</v>
      </c>
      <c r="E7490" s="7" t="s">
        <v>30</v>
      </c>
      <c r="F7490" s="8" t="str">
        <f ca="1">IFERROR(__xludf.DUMMYFUNCTION("IF
(
C7491=""фізична особа""
,
VLOOKUP(D7491,IMPORTRANGE(""https://docs.google.com/spreadsheets/d/14Bd19lYaqBhU8_DElYkX7l4wRkHqqCUFNJY4AfY3kHU/edit?usp=sharing  #gid=0"",""фіз особи new!relations_name""),6,FALSE)
,
(IF
(
C7491=""юридична особа""
,
VLOOKUP"&amp;"(D7491,IMPORTRANGE(""https://docs.google.com/spreadsheets/d/14Bd19lYaqBhU8_DElYkX7l4wRkHqqCUFNJY4AfY3kHU/edit?usp=sharing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0" s="7" t="s">
        <v>10</v>
      </c>
      <c r="H7490" s="7">
        <v>8246</v>
      </c>
      <c r="I7490" s="8" t="str">
        <f ca="1">IFERROR(__xludf.DUMMYFUNCTION("IF
(
G7491=""фізична особа""
,
VLOOKUP(H7491,IMPORTRANGE(""https://docs.google.com/spreadsheets/d/14Bd19lYaqBhU8_DElYkX7l4wRkHqqCUFNJY4AfY3kHU/edit?usp=sharing  #gid=0"",""фіз особи new!relations_name""),6,FALSE)
,
(IF
(
G7491=""юридична особа""
,
VLOOKUP"&amp;"(H7491,IMPORTRANGE(""https://docs.google.com/spreadsheets/d/14Bd19lYaqBhU8_DElYkX7l4wRkHqqCUFNJY4AfY3kHU/edit?usp=sharing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490" s="7" t="s">
        <v>30</v>
      </c>
    </row>
    <row r="7491" spans="1:10" ht="13.2">
      <c r="A7491" s="7">
        <v>7490</v>
      </c>
      <c r="B7491" s="7">
        <v>1</v>
      </c>
      <c r="C7491" s="7" t="s">
        <v>10</v>
      </c>
      <c r="D7491" s="7">
        <v>8345</v>
      </c>
      <c r="E7491" s="7" t="s">
        <v>30</v>
      </c>
      <c r="F7491" s="8" t="str">
        <f ca="1">IFERROR(__xludf.DUMMYFUNCTION("IF
(
C7492=""фізична особа""
,
VLOOKUP(D7492,IMPORTRANGE(""https://docs.google.com/spreadsheets/d/14Bd19lYaqBhU8_DElYkX7l4wRkHqqCUFNJY4AfY3kHU/edit?usp=sharing  #gid=0"",""фіз особи new!relations_name""),6,FALSE)
,
(IF
(
C7492=""юридична особа""
,
VLOOKUP"&amp;"(D7492,IMPORTRANGE(""https://docs.google.com/spreadsheets/d/14Bd19lYaqBhU8_DElYkX7l4wRkHqqCUFNJY4AfY3kHU/edit?usp=sharing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1" s="7" t="s">
        <v>10</v>
      </c>
      <c r="H7491" s="7">
        <v>8248</v>
      </c>
      <c r="I7491" s="8" t="str">
        <f ca="1">IFERROR(__xludf.DUMMYFUNCTION("IF
(
G7492=""фізична особа""
,
VLOOKUP(H7492,IMPORTRANGE(""https://docs.google.com/spreadsheets/d/14Bd19lYaqBhU8_DElYkX7l4wRkHqqCUFNJY4AfY3kHU/edit?usp=sharing  #gid=0"",""фіз особи new!relations_name""),6,FALSE)
,
(IF
(
G7492=""юридична особа""
,
VLOOKUP"&amp;"(H7492,IMPORTRANGE(""https://docs.google.com/spreadsheets/d/14Bd19lYaqBhU8_DElYkX7l4wRkHqqCUFNJY4AfY3kHU/edit?usp=sharing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491" s="7" t="s">
        <v>30</v>
      </c>
    </row>
    <row r="7492" spans="1:10" ht="13.2">
      <c r="A7492" s="7">
        <v>7491</v>
      </c>
      <c r="B7492" s="7">
        <v>1</v>
      </c>
      <c r="C7492" s="7" t="s">
        <v>10</v>
      </c>
      <c r="D7492" s="7">
        <v>8345</v>
      </c>
      <c r="E7492" s="7" t="s">
        <v>30</v>
      </c>
      <c r="F7492" s="8" t="str">
        <f ca="1">IFERROR(__xludf.DUMMYFUNCTION("IF
(
C7493=""фізична особа""
,
VLOOKUP(D7493,IMPORTRANGE(""https://docs.google.com/spreadsheets/d/14Bd19lYaqBhU8_DElYkX7l4wRkHqqCUFNJY4AfY3kHU/edit?usp=sharing  #gid=0"",""фіз особи new!relations_name""),6,FALSE)
,
(IF
(
C7493=""юридична особа""
,
VLOOKUP"&amp;"(D7493,IMPORTRANGE(""https://docs.google.com/spreadsheets/d/14Bd19lYaqBhU8_DElYkX7l4wRkHqqCUFNJY4AfY3kHU/edit?usp=sharing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2" s="7" t="s">
        <v>10</v>
      </c>
      <c r="H7492" s="7">
        <v>8247</v>
      </c>
      <c r="I7492" s="8" t="str">
        <f ca="1">IFERROR(__xludf.DUMMYFUNCTION("IF
(
G7493=""фізична особа""
,
VLOOKUP(H7493,IMPORTRANGE(""https://docs.google.com/spreadsheets/d/14Bd19lYaqBhU8_DElYkX7l4wRkHqqCUFNJY4AfY3kHU/edit?usp=sharing  #gid=0"",""фіз особи new!relations_name""),6,FALSE)
,
(IF
(
G7493=""юридична особа""
,
VLOOKUP"&amp;"(H7493,IMPORTRANGE(""https://docs.google.com/spreadsheets/d/14Bd19lYaqBhU8_DElYkX7l4wRkHqqCUFNJY4AfY3kHU/edit?usp=sharing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492" s="7" t="s">
        <v>30</v>
      </c>
    </row>
    <row r="7493" spans="1:10" ht="13.2">
      <c r="A7493" s="7">
        <v>7492</v>
      </c>
      <c r="B7493" s="7">
        <v>1</v>
      </c>
      <c r="C7493" s="7" t="s">
        <v>10</v>
      </c>
      <c r="D7493" s="7">
        <v>8345</v>
      </c>
      <c r="E7493" s="7" t="s">
        <v>28</v>
      </c>
      <c r="F7493" s="8" t="str">
        <f ca="1">IFERROR(__xludf.DUMMYFUNCTION("IF
(
C7494=""фізична особа""
,
VLOOKUP(D7494,IMPORTRANGE(""https://docs.google.com/spreadsheets/d/14Bd19lYaqBhU8_DElYkX7l4wRkHqqCUFNJY4AfY3kHU/edit?usp=sharing  #gid=0"",""фіз особи new!relations_name""),6,FALSE)
,
(IF
(
C7494=""юридична особа""
,
VLOOKUP"&amp;"(D7494,IMPORTRANGE(""https://docs.google.com/spreadsheets/d/14Bd19lYaqBhU8_DElYkX7l4wRkHqqCUFNJY4AfY3kHU/edit?usp=sharing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3" s="7" t="s">
        <v>10</v>
      </c>
      <c r="H7493" s="7">
        <v>8340</v>
      </c>
      <c r="I7493" s="8" t="str">
        <f ca="1">IFERROR(__xludf.DUMMYFUNCTION("IF
(
G7494=""фізична особа""
,
VLOOKUP(H7494,IMPORTRANGE(""https://docs.google.com/spreadsheets/d/14Bd19lYaqBhU8_DElYkX7l4wRkHqqCUFNJY4AfY3kHU/edit?usp=sharing  #gid=0"",""фіз особи new!relations_name""),6,FALSE)
,
(IF
(
G7494=""юридична особа""
,
VLOOKUP"&amp;"(H7494,IMPORTRANGE(""https://docs.google.com/spreadsheets/d/14Bd19lYaqBhU8_DElYkX7l4wRkHqqCUFNJY4AfY3kHU/edit?usp=sharing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493" s="7" t="s">
        <v>29</v>
      </c>
    </row>
    <row r="7494" spans="1:10" ht="13.2">
      <c r="A7494" s="7">
        <v>7493</v>
      </c>
      <c r="B7494" s="7">
        <v>1</v>
      </c>
      <c r="C7494" s="7" t="s">
        <v>10</v>
      </c>
      <c r="D7494" s="7">
        <v>8345</v>
      </c>
      <c r="E7494" s="7" t="s">
        <v>35</v>
      </c>
      <c r="F7494" s="8" t="str">
        <f ca="1">IFERROR(__xludf.DUMMYFUNCTION("IF
(
C7495=""фізична особа""
,
VLOOKUP(D7495,IMPORTRANGE(""https://docs.google.com/spreadsheets/d/14Bd19lYaqBhU8_DElYkX7l4wRkHqqCUFNJY4AfY3kHU/edit?usp=sharing  #gid=0"",""фіз особи new!relations_name""),6,FALSE)
,
(IF
(
C7495=""юридична особа""
,
VLOOKUP"&amp;"(D7495,IMPORTRANGE(""https://docs.google.com/spreadsheets/d/14Bd19lYaqBhU8_DElYkX7l4wRkHqqCUFNJY4AfY3kHU/edit?usp=sharing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4" s="7" t="s">
        <v>10</v>
      </c>
      <c r="H7494" s="7">
        <v>8346</v>
      </c>
      <c r="I7494" s="8" t="str">
        <f ca="1">IFERROR(__xludf.DUMMYFUNCTION("IF
(
G7495=""фізична особа""
,
VLOOKUP(H7495,IMPORTRANGE(""https://docs.google.com/spreadsheets/d/14Bd19lYaqBhU8_DElYkX7l4wRkHqqCUFNJY4AfY3kHU/edit?usp=sharing  #gid=0"",""фіз особи new!relations_name""),6,FALSE)
,
(IF
(
G7495=""юридична особа""
,
VLOOKUP"&amp;"(H7495,IMPORTRANGE(""https://docs.google.com/spreadsheets/d/14Bd19lYaqBhU8_DElYkX7l4wRkHqqCUFNJY4AfY3kHU/edit?usp=sharing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J7494" s="7" t="s">
        <v>35</v>
      </c>
    </row>
    <row r="7495" spans="1:10" ht="13.2">
      <c r="A7495" s="7">
        <v>7494</v>
      </c>
      <c r="B7495" s="7">
        <v>1</v>
      </c>
      <c r="C7495" s="7" t="s">
        <v>10</v>
      </c>
      <c r="D7495" s="7">
        <v>8345</v>
      </c>
      <c r="E7495" s="7" t="s">
        <v>35</v>
      </c>
      <c r="F7495" s="8" t="str">
        <f ca="1">IFERROR(__xludf.DUMMYFUNCTION("IF
(
C7496=""фізична особа""
,
VLOOKUP(D7496,IMPORTRANGE(""https://docs.google.com/spreadsheets/d/14Bd19lYaqBhU8_DElYkX7l4wRkHqqCUFNJY4AfY3kHU/edit?usp=sharing  #gid=0"",""фіз особи new!relations_name""),6,FALSE)
,
(IF
(
C7496=""юридична особа""
,
VLOOKUP"&amp;"(D7496,IMPORTRANGE(""https://docs.google.com/spreadsheets/d/14Bd19lYaqBhU8_DElYkX7l4wRkHqqCUFNJY4AfY3kHU/edit?usp=sharing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5" s="7" t="s">
        <v>10</v>
      </c>
      <c r="H7495" s="7">
        <v>8245</v>
      </c>
      <c r="I7495" s="8" t="str">
        <f ca="1">IFERROR(__xludf.DUMMYFUNCTION("IF
(
G7496=""фізична особа""
,
VLOOKUP(H7496,IMPORTRANGE(""https://docs.google.com/spreadsheets/d/14Bd19lYaqBhU8_DElYkX7l4wRkHqqCUFNJY4AfY3kHU/edit?usp=sharing  #gid=0"",""фіз особи new!relations_name""),6,FALSE)
,
(IF
(
G7496=""юридична особа""
,
VLOOKUP"&amp;"(H7496,IMPORTRANGE(""https://docs.google.com/spreadsheets/d/14Bd19lYaqBhU8_DElYkX7l4wRkHqqCUFNJY4AfY3kHU/edit?usp=sharing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495" s="7" t="s">
        <v>35</v>
      </c>
    </row>
    <row r="7496" spans="1:10" ht="13.2">
      <c r="A7496" s="7">
        <v>7495</v>
      </c>
      <c r="B7496" s="7">
        <v>1</v>
      </c>
      <c r="C7496" s="7" t="s">
        <v>10</v>
      </c>
      <c r="D7496" s="7">
        <v>8345</v>
      </c>
      <c r="E7496" s="7" t="s">
        <v>35</v>
      </c>
      <c r="F7496" s="8" t="str">
        <f ca="1">IFERROR(__xludf.DUMMYFUNCTION("IF
(
C7497=""фізична особа""
,
VLOOKUP(D7497,IMPORTRANGE(""https://docs.google.com/spreadsheets/d/14Bd19lYaqBhU8_DElYkX7l4wRkHqqCUFNJY4AfY3kHU/edit?usp=sharing  #gid=0"",""фіз особи new!relations_name""),6,FALSE)
,
(IF
(
C7497=""юридична особа""
,
VLOOKUP"&amp;"(D7497,IMPORTRANGE(""https://docs.google.com/spreadsheets/d/14Bd19lYaqBhU8_DElYkX7l4wRkHqqCUFNJY4AfY3kHU/edit?usp=sharing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6" s="7" t="s">
        <v>10</v>
      </c>
      <c r="H7496" s="7">
        <v>8341</v>
      </c>
      <c r="I7496" s="8" t="str">
        <f ca="1">IFERROR(__xludf.DUMMYFUNCTION("IF
(
G7497=""фізична особа""
,
VLOOKUP(H7497,IMPORTRANGE(""https://docs.google.com/spreadsheets/d/14Bd19lYaqBhU8_DElYkX7l4wRkHqqCUFNJY4AfY3kHU/edit?usp=sharing  #gid=0"",""фіз особи new!relations_name""),6,FALSE)
,
(IF
(
G7497=""юридична особа""
,
VLOOKUP"&amp;"(H7497,IMPORTRANGE(""https://docs.google.com/spreadsheets/d/14Bd19lYaqBhU8_DElYkX7l4wRkHqqCUFNJY4AfY3kHU/edit?usp=sharing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496" s="7" t="s">
        <v>35</v>
      </c>
    </row>
    <row r="7497" spans="1:10" ht="13.2">
      <c r="A7497" s="7">
        <v>7496</v>
      </c>
      <c r="B7497" s="7">
        <v>1</v>
      </c>
      <c r="C7497" s="7" t="s">
        <v>10</v>
      </c>
      <c r="D7497" s="7">
        <v>8345</v>
      </c>
      <c r="E7497" s="7" t="s">
        <v>28</v>
      </c>
      <c r="F7497" s="8" t="str">
        <f ca="1">IFERROR(__xludf.DUMMYFUNCTION("IF
(
C7498=""фізична особа""
,
VLOOKUP(D7498,IMPORTRANGE(""https://docs.google.com/spreadsheets/d/14Bd19lYaqBhU8_DElYkX7l4wRkHqqCUFNJY4AfY3kHU/edit?usp=sharing  #gid=0"",""фіз особи new!relations_name""),6,FALSE)
,
(IF
(
C7498=""юридична особа""
,
VLOOKUP"&amp;"(D7498,IMPORTRANGE(""https://docs.google.com/spreadsheets/d/14Bd19lYaqBhU8_DElYkX7l4wRkHqqCUFNJY4AfY3kHU/edit?usp=sharing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7" s="7" t="s">
        <v>10</v>
      </c>
      <c r="H7497" s="7">
        <v>8243</v>
      </c>
      <c r="I7497" s="8" t="str">
        <f ca="1">IFERROR(__xludf.DUMMYFUNCTION("IF
(
G7498=""фізична особа""
,
VLOOKUP(H7498,IMPORTRANGE(""https://docs.google.com/spreadsheets/d/14Bd19lYaqBhU8_DElYkX7l4wRkHqqCUFNJY4AfY3kHU/edit?usp=sharing  #gid=0"",""фіз особи new!relations_name""),6,FALSE)
,
(IF
(
G7498=""юридична особа""
,
VLOOKUP"&amp;"(H7498,IMPORTRANGE(""https://docs.google.com/spreadsheets/d/14Bd19lYaqBhU8_DElYkX7l4wRkHqqCUFNJY4AfY3kHU/edit?usp=sharing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497" s="7" t="s">
        <v>29</v>
      </c>
    </row>
    <row r="7498" spans="1:10" ht="13.2">
      <c r="A7498" s="7">
        <v>7497</v>
      </c>
      <c r="B7498" s="7">
        <v>1</v>
      </c>
      <c r="C7498" s="7" t="s">
        <v>10</v>
      </c>
      <c r="D7498" s="7">
        <v>8345</v>
      </c>
      <c r="E7498" s="7" t="s">
        <v>30</v>
      </c>
      <c r="F7498" s="8" t="str">
        <f ca="1">IFERROR(__xludf.DUMMYFUNCTION("IF
(
C7499=""фізична особа""
,
VLOOKUP(D7499,IMPORTRANGE(""https://docs.google.com/spreadsheets/d/14Bd19lYaqBhU8_DElYkX7l4wRkHqqCUFNJY4AfY3kHU/edit?usp=sharing  #gid=0"",""фіз особи new!relations_name""),6,FALSE)
,
(IF
(
C7499=""юридична особа""
,
VLOOKUP"&amp;"(D7499,IMPORTRANGE(""https://docs.google.com/spreadsheets/d/14Bd19lYaqBhU8_DElYkX7l4wRkHqqCUFNJY4AfY3kHU/edit?usp=sharing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8" s="7" t="s">
        <v>10</v>
      </c>
      <c r="H7498" s="7">
        <v>49</v>
      </c>
      <c r="I7498" s="8" t="str">
        <f ca="1">IFERROR(__xludf.DUMMYFUNCTION("IF
(
G7499=""фізична особа""
,
VLOOKUP(H7499,IMPORTRANGE(""https://docs.google.com/spreadsheets/d/14Bd19lYaqBhU8_DElYkX7l4wRkHqqCUFNJY4AfY3kHU/edit?usp=sharing  #gid=0"",""фіз особи new!relations_name""),6,FALSE)
,
(IF
(
G7499=""юридична особа""
,
VLOOKUP"&amp;"(H7499,IMPORTRANGE(""https://docs.google.com/spreadsheets/d/14Bd19lYaqBhU8_DElYkX7l4wRkHqqCUFNJY4AfY3kHU/edit?usp=sharing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498" s="7" t="s">
        <v>30</v>
      </c>
    </row>
    <row r="7499" spans="1:10" ht="13.2">
      <c r="A7499" s="7">
        <v>7498</v>
      </c>
      <c r="B7499" s="7">
        <v>1</v>
      </c>
      <c r="C7499" s="7" t="s">
        <v>10</v>
      </c>
      <c r="D7499" s="7">
        <v>8345</v>
      </c>
      <c r="E7499" s="7" t="s">
        <v>35</v>
      </c>
      <c r="F7499" s="8" t="str">
        <f ca="1">IFERROR(__xludf.DUMMYFUNCTION("IF
(
C7500=""фізична особа""
,
VLOOKUP(D7500,IMPORTRANGE(""https://docs.google.com/spreadsheets/d/14Bd19lYaqBhU8_DElYkX7l4wRkHqqCUFNJY4AfY3kHU/edit?usp=sharing  #gid=0"",""фіз особи new!relations_name""),6,FALSE)
,
(IF
(
C7500=""юридична особа""
,
VLOOKUP"&amp;"(D7500,IMPORTRANGE(""https://docs.google.com/spreadsheets/d/14Bd19lYaqBhU8_DElYkX7l4wRkHqqCUFNJY4AfY3kHU/edit?usp=sharing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499" s="7" t="s">
        <v>10</v>
      </c>
      <c r="H7499" s="7">
        <v>8342</v>
      </c>
      <c r="I7499" s="8" t="str">
        <f ca="1">IFERROR(__xludf.DUMMYFUNCTION("IF
(
G7500=""фізична особа""
,
VLOOKUP(H7500,IMPORTRANGE(""https://docs.google.com/spreadsheets/d/14Bd19lYaqBhU8_DElYkX7l4wRkHqqCUFNJY4AfY3kHU/edit?usp=sharing  #gid=0"",""фіз особи new!relations_name""),6,FALSE)
,
(IF
(
G7500=""юридична особа""
,
VLOOKUP"&amp;"(H7500,IMPORTRANGE(""https://docs.google.com/spreadsheets/d/14Bd19lYaqBhU8_DElYkX7l4wRkHqqCUFNJY4AfY3kHU/edit?usp=sharing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499" s="7" t="s">
        <v>35</v>
      </c>
    </row>
    <row r="7500" spans="1:10" ht="13.2">
      <c r="A7500" s="7">
        <v>7499</v>
      </c>
      <c r="B7500" s="7">
        <v>1</v>
      </c>
      <c r="C7500" s="7" t="s">
        <v>10</v>
      </c>
      <c r="D7500" s="7">
        <v>8345</v>
      </c>
      <c r="E7500" s="7" t="s">
        <v>35</v>
      </c>
      <c r="F7500" s="8" t="str">
        <f ca="1">IFERROR(__xludf.DUMMYFUNCTION("IF
(
C7501=""фізична особа""
,
VLOOKUP(D7501,IMPORTRANGE(""https://docs.google.com/spreadsheets/d/14Bd19lYaqBhU8_DElYkX7l4wRkHqqCUFNJY4AfY3kHU/edit?usp=sharing  #gid=0"",""фіз особи new!relations_name""),6,FALSE)
,
(IF
(
C7501=""юридична особа""
,
VLOOKUP"&amp;"(D7501,IMPORTRANGE(""https://docs.google.com/spreadsheets/d/14Bd19lYaqBhU8_DElYkX7l4wRkHqqCUFNJY4AfY3kHU/edit?usp=sharing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500" s="7" t="s">
        <v>10</v>
      </c>
      <c r="H7500" s="7">
        <v>8343</v>
      </c>
      <c r="I7500" s="8" t="str">
        <f ca="1">IFERROR(__xludf.DUMMYFUNCTION("IF
(
G7501=""фізична особа""
,
VLOOKUP(H7501,IMPORTRANGE(""https://docs.google.com/spreadsheets/d/14Bd19lYaqBhU8_DElYkX7l4wRkHqqCUFNJY4AfY3kHU/edit?usp=sharing  #gid=0"",""фіз особи new!relations_name""),6,FALSE)
,
(IF
(
G7501=""юридична особа""
,
VLOOKUP"&amp;"(H7501,IMPORTRANGE(""https://docs.google.com/spreadsheets/d/14Bd19lYaqBhU8_DElYkX7l4wRkHqqCUFNJY4AfY3kHU/edit?usp=sharing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500" s="7" t="s">
        <v>35</v>
      </c>
    </row>
    <row r="7501" spans="1:10" ht="13.2">
      <c r="A7501" s="7">
        <v>7500</v>
      </c>
      <c r="B7501" s="7">
        <v>1</v>
      </c>
      <c r="C7501" s="7" t="s">
        <v>10</v>
      </c>
      <c r="D7501" s="7">
        <v>8345</v>
      </c>
      <c r="E7501" s="7" t="s">
        <v>35</v>
      </c>
      <c r="F7501" s="8" t="str">
        <f ca="1">IFERROR(__xludf.DUMMYFUNCTION("IF
(
C7502=""фізична особа""
,
VLOOKUP(D7502,IMPORTRANGE(""https://docs.google.com/spreadsheets/d/14Bd19lYaqBhU8_DElYkX7l4wRkHqqCUFNJY4AfY3kHU/edit?usp=sharing  #gid=0"",""фіз особи new!relations_name""),6,FALSE)
,
(IF
(
C7502=""юридична особа""
,
VLOOKUP"&amp;"(D7502,IMPORTRANGE(""https://docs.google.com/spreadsheets/d/14Bd19lYaqBhU8_DElYkX7l4wRkHqqCUFNJY4AfY3kHU/edit?usp=sharing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G7501" s="7" t="s">
        <v>10</v>
      </c>
      <c r="H7501" s="7">
        <v>8344</v>
      </c>
      <c r="I7501" s="8" t="str">
        <f ca="1">IFERROR(__xludf.DUMMYFUNCTION("IF
(
G7502=""фізична особа""
,
VLOOKUP(H7502,IMPORTRANGE(""https://docs.google.com/spreadsheets/d/14Bd19lYaqBhU8_DElYkX7l4wRkHqqCUFNJY4AfY3kHU/edit?usp=sharing  #gid=0"",""фіз особи new!relations_name""),6,FALSE)
,
(IF
(
G7502=""юридична особа""
,
VLOOKUP"&amp;"(H7502,IMPORTRANGE(""https://docs.google.com/spreadsheets/d/14Bd19lYaqBhU8_DElYkX7l4wRkHqqCUFNJY4AfY3kHU/edit?usp=sharing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501" s="7" t="s">
        <v>35</v>
      </c>
    </row>
    <row r="7502" spans="1:10" ht="13.2">
      <c r="A7502" s="7">
        <v>7501</v>
      </c>
      <c r="B7502" s="7">
        <v>1</v>
      </c>
      <c r="C7502" s="7" t="s">
        <v>10</v>
      </c>
      <c r="D7502" s="7">
        <v>8346</v>
      </c>
      <c r="E7502" s="7" t="s">
        <v>30</v>
      </c>
      <c r="F7502" s="8" t="str">
        <f ca="1">IFERROR(__xludf.DUMMYFUNCTION("IF
(
C7503=""фізична особа""
,
VLOOKUP(D7503,IMPORTRANGE(""https://docs.google.com/spreadsheets/d/14Bd19lYaqBhU8_DElYkX7l4wRkHqqCUFNJY4AfY3kHU/edit?usp=sharing  #gid=0"",""фіз особи new!relations_name""),6,FALSE)
,
(IF
(
C7503=""юридична особа""
,
VLOOKUP"&amp;"(D7503,IMPORTRANGE(""https://docs.google.com/spreadsheets/d/14Bd19lYaqBhU8_DElYkX7l4wRkHqqCUFNJY4AfY3kHU/edit?usp=sharing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2" s="7" t="s">
        <v>10</v>
      </c>
      <c r="H7502" s="7">
        <v>144</v>
      </c>
      <c r="I7502" s="8" t="str">
        <f ca="1">IFERROR(__xludf.DUMMYFUNCTION("IF
(
G7503=""фізична особа""
,
VLOOKUP(H7503,IMPORTRANGE(""https://docs.google.com/spreadsheets/d/14Bd19lYaqBhU8_DElYkX7l4wRkHqqCUFNJY4AfY3kHU/edit?usp=sharing  #gid=0"",""фіз особи new!relations_name""),6,FALSE)
,
(IF
(
G7503=""юридична особа""
,
VLOOKUP"&amp;"(H7503,IMPORTRANGE(""https://docs.google.com/spreadsheets/d/14Bd19lYaqBhU8_DElYkX7l4wRkHqqCUFNJY4AfY3kHU/edit?usp=sharing  #gid=0"",""фіз особи new!relations_name_uo""),7,FALSE)
,
)
))"),"РОТЕНБЕРГ Борис Романович")</f>
        <v>РОТЕНБЕРГ Борис Романович</v>
      </c>
      <c r="J7502" s="7" t="s">
        <v>30</v>
      </c>
    </row>
    <row r="7503" spans="1:10" ht="13.2">
      <c r="A7503" s="7">
        <v>7502</v>
      </c>
      <c r="B7503" s="7">
        <v>1</v>
      </c>
      <c r="C7503" s="7" t="s">
        <v>10</v>
      </c>
      <c r="D7503" s="7">
        <v>8346</v>
      </c>
      <c r="E7503" s="7" t="s">
        <v>30</v>
      </c>
      <c r="F7503" s="8" t="str">
        <f ca="1">IFERROR(__xludf.DUMMYFUNCTION("IF
(
C7504=""фізична особа""
,
VLOOKUP(D7504,IMPORTRANGE(""https://docs.google.com/spreadsheets/d/14Bd19lYaqBhU8_DElYkX7l4wRkHqqCUFNJY4AfY3kHU/edit?usp=sharing  #gid=0"",""фіз особи new!relations_name""),6,FALSE)
,
(IF
(
C7504=""юридична особа""
,
VLOOKUP"&amp;"(D7504,IMPORTRANGE(""https://docs.google.com/spreadsheets/d/14Bd19lYaqBhU8_DElYkX7l4wRkHqqCUFNJY4AfY3kHU/edit?usp=sharing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3" s="7" t="s">
        <v>10</v>
      </c>
      <c r="H7503" s="7">
        <v>629</v>
      </c>
      <c r="I7503" s="8" t="str">
        <f ca="1">IFERROR(__xludf.DUMMYFUNCTION("IF
(
G7504=""фізична особа""
,
VLOOKUP(H7504,IMPORTRANGE(""https://docs.google.com/spreadsheets/d/14Bd19lYaqBhU8_DElYkX7l4wRkHqqCUFNJY4AfY3kHU/edit?usp=sharing  #gid=0"",""фіз особи new!relations_name""),6,FALSE)
,
(IF
(
G7504=""юридична особа""
,
VLOOKUP"&amp;"(H7504,IMPORTRANGE(""https://docs.google.com/spreadsheets/d/14Bd19lYaqBhU8_DElYkX7l4wRkHqqCUFNJY4AfY3kHU/edit?usp=sharing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7503" s="7" t="s">
        <v>30</v>
      </c>
    </row>
    <row r="7504" spans="1:10" ht="13.2">
      <c r="A7504" s="7">
        <v>7503</v>
      </c>
      <c r="B7504" s="7">
        <v>1</v>
      </c>
      <c r="C7504" s="7" t="s">
        <v>10</v>
      </c>
      <c r="D7504" s="7">
        <v>8346</v>
      </c>
      <c r="E7504" s="7" t="s">
        <v>35</v>
      </c>
      <c r="F7504" s="8" t="str">
        <f ca="1">IFERROR(__xludf.DUMMYFUNCTION("IF
(
C7505=""фізична особа""
,
VLOOKUP(D7505,IMPORTRANGE(""https://docs.google.com/spreadsheets/d/14Bd19lYaqBhU8_DElYkX7l4wRkHqqCUFNJY4AfY3kHU/edit?usp=sharing  #gid=0"",""фіз особи new!relations_name""),6,FALSE)
,
(IF
(
C7505=""юридична особа""
,
VLOOKUP"&amp;"(D7505,IMPORTRANGE(""https://docs.google.com/spreadsheets/d/14Bd19lYaqBhU8_DElYkX7l4wRkHqqCUFNJY4AfY3kHU/edit?usp=sharing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4" s="7" t="s">
        <v>10</v>
      </c>
      <c r="H7504" s="7">
        <v>8244</v>
      </c>
      <c r="I7504" s="8" t="str">
        <f ca="1">IFERROR(__xludf.DUMMYFUNCTION("IF
(
G7505=""фізична особа""
,
VLOOKUP(H7505,IMPORTRANGE(""https://docs.google.com/spreadsheets/d/14Bd19lYaqBhU8_DElYkX7l4wRkHqqCUFNJY4AfY3kHU/edit?usp=sharing  #gid=0"",""фіз особи new!relations_name""),6,FALSE)
,
(IF
(
G7505=""юридична особа""
,
VLOOKUP"&amp;"(H7505,IMPORTRANGE(""https://docs.google.com/spreadsheets/d/14Bd19lYaqBhU8_DElYkX7l4wRkHqqCUFNJY4AfY3kHU/edit?usp=sharing  #gid=0"",""фіз особи new!relations_name_uo""),7,FALSE)
,
)
))"),"КАЛАНТИРСЬКИЙ Дмитро Якович")</f>
        <v>КАЛАНТИРСЬКИЙ Дмитро Якович</v>
      </c>
      <c r="J7504" s="7" t="s">
        <v>35</v>
      </c>
    </row>
    <row r="7505" spans="1:10" ht="13.2">
      <c r="A7505" s="7">
        <v>7504</v>
      </c>
      <c r="B7505" s="7">
        <v>1</v>
      </c>
      <c r="C7505" s="7" t="s">
        <v>10</v>
      </c>
      <c r="D7505" s="7">
        <v>8346</v>
      </c>
      <c r="E7505" s="7" t="s">
        <v>30</v>
      </c>
      <c r="F7505" s="8" t="str">
        <f ca="1">IFERROR(__xludf.DUMMYFUNCTION("IF
(
C7506=""фізична особа""
,
VLOOKUP(D7506,IMPORTRANGE(""https://docs.google.com/spreadsheets/d/14Bd19lYaqBhU8_DElYkX7l4wRkHqqCUFNJY4AfY3kHU/edit?usp=sharing  #gid=0"",""фіз особи new!relations_name""),6,FALSE)
,
(IF
(
C7506=""юридична особа""
,
VLOOKUP"&amp;"(D7506,IMPORTRANGE(""https://docs.google.com/spreadsheets/d/14Bd19lYaqBhU8_DElYkX7l4wRkHqqCUFNJY4AfY3kHU/edit?usp=sharing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5" s="7" t="s">
        <v>10</v>
      </c>
      <c r="H7505" s="7">
        <v>8246</v>
      </c>
      <c r="I7505" s="8" t="str">
        <f ca="1">IFERROR(__xludf.DUMMYFUNCTION("IF
(
G7506=""фізична особа""
,
VLOOKUP(H7506,IMPORTRANGE(""https://docs.google.com/spreadsheets/d/14Bd19lYaqBhU8_DElYkX7l4wRkHqqCUFNJY4AfY3kHU/edit?usp=sharing  #gid=0"",""фіз особи new!relations_name""),6,FALSE)
,
(IF
(
G7506=""юридична особа""
,
VLOOKUP"&amp;"(H7506,IMPORTRANGE(""https://docs.google.com/spreadsheets/d/14Bd19lYaqBhU8_DElYkX7l4wRkHqqCUFNJY4AfY3kHU/edit?usp=sharing  #gid=0"",""фіз особи new!relations_name_uo""),7,FALSE)
,
)
))"),"ГІЛЬМУТДИНОВА Ірая Кімівна")</f>
        <v>ГІЛЬМУТДИНОВА Ірая Кімівна</v>
      </c>
      <c r="J7505" s="7" t="s">
        <v>30</v>
      </c>
    </row>
    <row r="7506" spans="1:10" ht="13.2">
      <c r="A7506" s="7">
        <v>7505</v>
      </c>
      <c r="B7506" s="7">
        <v>1</v>
      </c>
      <c r="C7506" s="7" t="s">
        <v>10</v>
      </c>
      <c r="D7506" s="7">
        <v>8346</v>
      </c>
      <c r="E7506" s="7" t="s">
        <v>30</v>
      </c>
      <c r="F7506" s="8" t="str">
        <f ca="1">IFERROR(__xludf.DUMMYFUNCTION("IF
(
C7507=""фізична особа""
,
VLOOKUP(D7507,IMPORTRANGE(""https://docs.google.com/spreadsheets/d/14Bd19lYaqBhU8_DElYkX7l4wRkHqqCUFNJY4AfY3kHU/edit?usp=sharing  #gid=0"",""фіз особи new!relations_name""),6,FALSE)
,
(IF
(
C7507=""юридична особа""
,
VLOOKUP"&amp;"(D7507,IMPORTRANGE(""https://docs.google.com/spreadsheets/d/14Bd19lYaqBhU8_DElYkX7l4wRkHqqCUFNJY4AfY3kHU/edit?usp=sharing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6" s="7" t="s">
        <v>10</v>
      </c>
      <c r="H7506" s="7">
        <v>8248</v>
      </c>
      <c r="I7506" s="8" t="str">
        <f ca="1">IFERROR(__xludf.DUMMYFUNCTION("IF
(
G7507=""фізична особа""
,
VLOOKUP(H7507,IMPORTRANGE(""https://docs.google.com/spreadsheets/d/14Bd19lYaqBhU8_DElYkX7l4wRkHqqCUFNJY4AfY3kHU/edit?usp=sharing  #gid=0"",""фіз особи new!relations_name""),6,FALSE)
,
(IF
(
G7507=""юридична особа""
,
VLOOKUP"&amp;"(H7507,IMPORTRANGE(""https://docs.google.com/spreadsheets/d/14Bd19lYaqBhU8_DElYkX7l4wRkHqqCUFNJY4AfY3kHU/edit?usp=sharing  #gid=0"",""фіз особи new!relations_name_uo""),7,FALSE)
,
)
))"),"ВАСИЛЬЄВА Ірина Леонідівна")</f>
        <v>ВАСИЛЬЄВА Ірина Леонідівна</v>
      </c>
      <c r="J7506" s="7" t="s">
        <v>30</v>
      </c>
    </row>
    <row r="7507" spans="1:10" ht="13.2">
      <c r="A7507" s="7">
        <v>7506</v>
      </c>
      <c r="B7507" s="7">
        <v>1</v>
      </c>
      <c r="C7507" s="7" t="s">
        <v>10</v>
      </c>
      <c r="D7507" s="7">
        <v>8346</v>
      </c>
      <c r="E7507" s="7" t="s">
        <v>30</v>
      </c>
      <c r="F7507" s="8" t="str">
        <f ca="1">IFERROR(__xludf.DUMMYFUNCTION("IF
(
C7508=""фізична особа""
,
VLOOKUP(D7508,IMPORTRANGE(""https://docs.google.com/spreadsheets/d/14Bd19lYaqBhU8_DElYkX7l4wRkHqqCUFNJY4AfY3kHU/edit?usp=sharing  #gid=0"",""фіз особи new!relations_name""),6,FALSE)
,
(IF
(
C7508=""юридична особа""
,
VLOOKUP"&amp;"(D7508,IMPORTRANGE(""https://docs.google.com/spreadsheets/d/14Bd19lYaqBhU8_DElYkX7l4wRkHqqCUFNJY4AfY3kHU/edit?usp=sharing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7" s="7" t="s">
        <v>10</v>
      </c>
      <c r="H7507" s="7">
        <v>8247</v>
      </c>
      <c r="I7507" s="8" t="str">
        <f ca="1">IFERROR(__xludf.DUMMYFUNCTION("IF
(
G7508=""фізична особа""
,
VLOOKUP(H7508,IMPORTRANGE(""https://docs.google.com/spreadsheets/d/14Bd19lYaqBhU8_DElYkX7l4wRkHqqCUFNJY4AfY3kHU/edit?usp=sharing  #gid=0"",""фіз особи new!relations_name""),6,FALSE)
,
(IF
(
G7508=""юридична особа""
,
VLOOKUP"&amp;"(H7508,IMPORTRANGE(""https://docs.google.com/spreadsheets/d/14Bd19lYaqBhU8_DElYkX7l4wRkHqqCUFNJY4AfY3kHU/edit?usp=sharing  #gid=0"",""фіз особи new!relations_name_uo""),7,FALSE)
,
)
))"),"ПОСПЄЛОВ Денис Олегович")</f>
        <v>ПОСПЄЛОВ Денис Олегович</v>
      </c>
      <c r="J7507" s="7" t="s">
        <v>30</v>
      </c>
    </row>
    <row r="7508" spans="1:10" ht="13.2">
      <c r="A7508" s="7">
        <v>7507</v>
      </c>
      <c r="B7508" s="7">
        <v>1</v>
      </c>
      <c r="C7508" s="7" t="s">
        <v>10</v>
      </c>
      <c r="D7508" s="7">
        <v>8346</v>
      </c>
      <c r="E7508" s="7" t="s">
        <v>28</v>
      </c>
      <c r="F7508" s="8" t="str">
        <f ca="1">IFERROR(__xludf.DUMMYFUNCTION("IF
(
C7509=""фізична особа""
,
VLOOKUP(D7509,IMPORTRANGE(""https://docs.google.com/spreadsheets/d/14Bd19lYaqBhU8_DElYkX7l4wRkHqqCUFNJY4AfY3kHU/edit?usp=sharing  #gid=0"",""фіз особи new!relations_name""),6,FALSE)
,
(IF
(
C7509=""юридична особа""
,
VLOOKUP"&amp;"(D7509,IMPORTRANGE(""https://docs.google.com/spreadsheets/d/14Bd19lYaqBhU8_DElYkX7l4wRkHqqCUFNJY4AfY3kHU/edit?usp=sharing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8" s="7" t="s">
        <v>10</v>
      </c>
      <c r="H7508" s="7">
        <v>8340</v>
      </c>
      <c r="I7508" s="8" t="str">
        <f ca="1">IFERROR(__xludf.DUMMYFUNCTION("IF
(
G7509=""фізична особа""
,
VLOOKUP(H7509,IMPORTRANGE(""https://docs.google.com/spreadsheets/d/14Bd19lYaqBhU8_DElYkX7l4wRkHqqCUFNJY4AfY3kHU/edit?usp=sharing  #gid=0"",""фіз особи new!relations_name""),6,FALSE)
,
(IF
(
G7509=""юридична особа""
,
VLOOKUP"&amp;"(H7509,IMPORTRANGE(""https://docs.google.com/spreadsheets/d/14Bd19lYaqBhU8_DElYkX7l4wRkHqqCUFNJY4AfY3kHU/edit?usp=sharing  #gid=0"",""фіз особи new!relations_name_uo""),7,FALSE)
,
)
))"),"ОБОЛЕНСЬКИЙ Артем Олексійович")</f>
        <v>ОБОЛЕНСЬКИЙ Артем Олексійович</v>
      </c>
      <c r="J7508" s="7" t="s">
        <v>29</v>
      </c>
    </row>
    <row r="7509" spans="1:10" ht="13.2">
      <c r="A7509" s="7">
        <v>7508</v>
      </c>
      <c r="B7509" s="7">
        <v>1</v>
      </c>
      <c r="C7509" s="7" t="s">
        <v>10</v>
      </c>
      <c r="D7509" s="7">
        <v>8346</v>
      </c>
      <c r="E7509" s="7" t="s">
        <v>35</v>
      </c>
      <c r="F7509" s="8" t="str">
        <f ca="1">IFERROR(__xludf.DUMMYFUNCTION("IF
(
C7510=""фізична особа""
,
VLOOKUP(D7510,IMPORTRANGE(""https://docs.google.com/spreadsheets/d/14Bd19lYaqBhU8_DElYkX7l4wRkHqqCUFNJY4AfY3kHU/edit?usp=sharing  #gid=0"",""фіз особи new!relations_name""),6,FALSE)
,
(IF
(
C7510=""юридична особа""
,
VLOOKUP"&amp;"(D7510,IMPORTRANGE(""https://docs.google.com/spreadsheets/d/14Bd19lYaqBhU8_DElYkX7l4wRkHqqCUFNJY4AfY3kHU/edit?usp=sharing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09" s="7" t="s">
        <v>10</v>
      </c>
      <c r="H7509" s="7">
        <v>8345</v>
      </c>
      <c r="I7509" s="8" t="str">
        <f ca="1">IFERROR(__xludf.DUMMYFUNCTION("IF
(
G7510=""фізична особа""
,
VLOOKUP(H7510,IMPORTRANGE(""https://docs.google.com/spreadsheets/d/14Bd19lYaqBhU8_DElYkX7l4wRkHqqCUFNJY4AfY3kHU/edit?usp=sharing  #gid=0"",""фіз особи new!relations_name""),6,FALSE)
,
(IF
(
G7510=""юридична особа""
,
VLOOKUP"&amp;"(H7510,IMPORTRANGE(""https://docs.google.com/spreadsheets/d/14Bd19lYaqBhU8_DElYkX7l4wRkHqqCUFNJY4AfY3kHU/edit?usp=sharing  #gid=0"",""фіз особи new!relations_name_uo""),7,FALSE)
,
)
))"),"ГАЛЬПЕРИН Ігор Євгенійович")</f>
        <v>ГАЛЬПЕРИН Ігор Євгенійович</v>
      </c>
      <c r="J7509" s="7" t="s">
        <v>35</v>
      </c>
    </row>
    <row r="7510" spans="1:10" ht="13.2">
      <c r="A7510" s="7">
        <v>7509</v>
      </c>
      <c r="B7510" s="7">
        <v>1</v>
      </c>
      <c r="C7510" s="7" t="s">
        <v>10</v>
      </c>
      <c r="D7510" s="7">
        <v>8346</v>
      </c>
      <c r="E7510" s="7" t="s">
        <v>35</v>
      </c>
      <c r="F7510" s="8" t="str">
        <f ca="1">IFERROR(__xludf.DUMMYFUNCTION("IF
(
C7511=""фізична особа""
,
VLOOKUP(D7511,IMPORTRANGE(""https://docs.google.com/spreadsheets/d/14Bd19lYaqBhU8_DElYkX7l4wRkHqqCUFNJY4AfY3kHU/edit?usp=sharing  #gid=0"",""фіз особи new!relations_name""),6,FALSE)
,
(IF
(
C7511=""юридична особа""
,
VLOOKUP"&amp;"(D7511,IMPORTRANGE(""https://docs.google.com/spreadsheets/d/14Bd19lYaqBhU8_DElYkX7l4wRkHqqCUFNJY4AfY3kHU/edit?usp=sharing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0" s="7" t="s">
        <v>10</v>
      </c>
      <c r="H7510" s="7">
        <v>8245</v>
      </c>
      <c r="I7510" s="8" t="str">
        <f ca="1">IFERROR(__xludf.DUMMYFUNCTION("IF
(
G7511=""фізична особа""
,
VLOOKUP(H7511,IMPORTRANGE(""https://docs.google.com/spreadsheets/d/14Bd19lYaqBhU8_DElYkX7l4wRkHqqCUFNJY4AfY3kHU/edit?usp=sharing  #gid=0"",""фіз особи new!relations_name""),6,FALSE)
,
(IF
(
G7511=""юридична особа""
,
VLOOKUP"&amp;"(H7511,IMPORTRANGE(""https://docs.google.com/spreadsheets/d/14Bd19lYaqBhU8_DElYkX7l4wRkHqqCUFNJY4AfY3kHU/edit?usp=sharing  #gid=0"",""фіз особи new!relations_name_uo""),7,FALSE)
,
)
))"),"КАЛАНТИРСЬКА Юлія Миколаївна")</f>
        <v>КАЛАНТИРСЬКА Юлія Миколаївна</v>
      </c>
      <c r="J7510" s="7" t="s">
        <v>35</v>
      </c>
    </row>
    <row r="7511" spans="1:10" ht="13.2">
      <c r="A7511" s="7">
        <v>7510</v>
      </c>
      <c r="B7511" s="7">
        <v>1</v>
      </c>
      <c r="C7511" s="7" t="s">
        <v>10</v>
      </c>
      <c r="D7511" s="7">
        <v>8346</v>
      </c>
      <c r="E7511" s="7" t="s">
        <v>35</v>
      </c>
      <c r="F7511" s="8" t="str">
        <f ca="1">IFERROR(__xludf.DUMMYFUNCTION("IF
(
C7512=""фізична особа""
,
VLOOKUP(D7512,IMPORTRANGE(""https://docs.google.com/spreadsheets/d/14Bd19lYaqBhU8_DElYkX7l4wRkHqqCUFNJY4AfY3kHU/edit?usp=sharing  #gid=0"",""фіз особи new!relations_name""),6,FALSE)
,
(IF
(
C7512=""юридична особа""
,
VLOOKUP"&amp;"(D7512,IMPORTRANGE(""https://docs.google.com/spreadsheets/d/14Bd19lYaqBhU8_DElYkX7l4wRkHqqCUFNJY4AfY3kHU/edit?usp=sharing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1" s="7" t="s">
        <v>10</v>
      </c>
      <c r="H7511" s="7">
        <v>8341</v>
      </c>
      <c r="I7511" s="8" t="str">
        <f ca="1">IFERROR(__xludf.DUMMYFUNCTION("IF
(
G7512=""фізична особа""
,
VLOOKUP(H7512,IMPORTRANGE(""https://docs.google.com/spreadsheets/d/14Bd19lYaqBhU8_DElYkX7l4wRkHqqCUFNJY4AfY3kHU/edit?usp=sharing  #gid=0"",""фіз особи new!relations_name""),6,FALSE)
,
(IF
(
G7512=""юридична особа""
,
VLOOKUP"&amp;"(H7512,IMPORTRANGE(""https://docs.google.com/spreadsheets/d/14Bd19lYaqBhU8_DElYkX7l4wRkHqqCUFNJY4AfY3kHU/edit?usp=sharing  #gid=0"",""фіз особи new!relations_name_uo""),7,FALSE)
,
)
))"),"ГОЛОЩАПОВ Костянтин Веніамінович")</f>
        <v>ГОЛОЩАПОВ Костянтин Веніамінович</v>
      </c>
      <c r="J7511" s="7" t="s">
        <v>35</v>
      </c>
    </row>
    <row r="7512" spans="1:10" ht="13.2">
      <c r="A7512" s="7">
        <v>7511</v>
      </c>
      <c r="B7512" s="7">
        <v>1</v>
      </c>
      <c r="C7512" s="7" t="s">
        <v>10</v>
      </c>
      <c r="D7512" s="7">
        <v>8346</v>
      </c>
      <c r="E7512" s="7" t="s">
        <v>28</v>
      </c>
      <c r="F7512" s="8" t="str">
        <f ca="1">IFERROR(__xludf.DUMMYFUNCTION("IF
(
C7513=""фізична особа""
,
VLOOKUP(D7513,IMPORTRANGE(""https://docs.google.com/spreadsheets/d/14Bd19lYaqBhU8_DElYkX7l4wRkHqqCUFNJY4AfY3kHU/edit?usp=sharing  #gid=0"",""фіз особи new!relations_name""),6,FALSE)
,
(IF
(
C7513=""юридична особа""
,
VLOOKUP"&amp;"(D7513,IMPORTRANGE(""https://docs.google.com/spreadsheets/d/14Bd19lYaqBhU8_DElYkX7l4wRkHqqCUFNJY4AfY3kHU/edit?usp=sharing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2" s="7" t="s">
        <v>10</v>
      </c>
      <c r="H7512" s="7">
        <v>8243</v>
      </c>
      <c r="I7512" s="8" t="str">
        <f ca="1">IFERROR(__xludf.DUMMYFUNCTION("IF
(
G7513=""фізична особа""
,
VLOOKUP(H7513,IMPORTRANGE(""https://docs.google.com/spreadsheets/d/14Bd19lYaqBhU8_DElYkX7l4wRkHqqCUFNJY4AfY3kHU/edit?usp=sharing  #gid=0"",""фіз особи new!relations_name""),6,FALSE)
,
(IF
(
G7513=""юридична особа""
,
VLOOKUP"&amp;"(H7513,IMPORTRANGE(""https://docs.google.com/spreadsheets/d/14Bd19lYaqBhU8_DElYkX7l4wRkHqqCUFNJY4AfY3kHU/edit?usp=sharing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7512" s="7" t="s">
        <v>29</v>
      </c>
    </row>
    <row r="7513" spans="1:10" ht="13.2">
      <c r="A7513" s="7">
        <v>7512</v>
      </c>
      <c r="B7513" s="7">
        <v>1</v>
      </c>
      <c r="C7513" s="7" t="s">
        <v>10</v>
      </c>
      <c r="D7513" s="7">
        <v>8346</v>
      </c>
      <c r="E7513" s="7" t="s">
        <v>30</v>
      </c>
      <c r="F7513" s="8" t="str">
        <f ca="1">IFERROR(__xludf.DUMMYFUNCTION("IF
(
C7514=""фізична особа""
,
VLOOKUP(D7514,IMPORTRANGE(""https://docs.google.com/spreadsheets/d/14Bd19lYaqBhU8_DElYkX7l4wRkHqqCUFNJY4AfY3kHU/edit?usp=sharing  #gid=0"",""фіз особи new!relations_name""),6,FALSE)
,
(IF
(
C7514=""юридична особа""
,
VLOOKUP"&amp;"(D7514,IMPORTRANGE(""https://docs.google.com/spreadsheets/d/14Bd19lYaqBhU8_DElYkX7l4wRkHqqCUFNJY4AfY3kHU/edit?usp=sharing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3" s="7" t="s">
        <v>10</v>
      </c>
      <c r="H7513" s="7">
        <v>49</v>
      </c>
      <c r="I7513" s="8" t="str">
        <f ca="1">IFERROR(__xludf.DUMMYFUNCTION("IF
(
G7514=""фізична особа""
,
VLOOKUP(H7514,IMPORTRANGE(""https://docs.google.com/spreadsheets/d/14Bd19lYaqBhU8_DElYkX7l4wRkHqqCUFNJY4AfY3kHU/edit?usp=sharing  #gid=0"",""фіз особи new!relations_name""),6,FALSE)
,
(IF
(
G7514=""юридична особа""
,
VLOOKUP"&amp;"(H7514,IMPORTRANGE(""https://docs.google.com/spreadsheets/d/14Bd19lYaqBhU8_DElYkX7l4wRkHqqCUFNJY4AfY3kHU/edit?usp=sharing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7513" s="7" t="s">
        <v>30</v>
      </c>
    </row>
    <row r="7514" spans="1:10" ht="13.2">
      <c r="A7514" s="7">
        <v>7513</v>
      </c>
      <c r="B7514" s="7">
        <v>1</v>
      </c>
      <c r="C7514" s="7" t="s">
        <v>10</v>
      </c>
      <c r="D7514" s="7">
        <v>8346</v>
      </c>
      <c r="E7514" s="7" t="s">
        <v>35</v>
      </c>
      <c r="F7514" s="8" t="str">
        <f ca="1">IFERROR(__xludf.DUMMYFUNCTION("IF
(
C7515=""фізична особа""
,
VLOOKUP(D7515,IMPORTRANGE(""https://docs.google.com/spreadsheets/d/14Bd19lYaqBhU8_DElYkX7l4wRkHqqCUFNJY4AfY3kHU/edit?usp=sharing  #gid=0"",""фіз особи new!relations_name""),6,FALSE)
,
(IF
(
C7515=""юридична особа""
,
VLOOKUP"&amp;"(D7515,IMPORTRANGE(""https://docs.google.com/spreadsheets/d/14Bd19lYaqBhU8_DElYkX7l4wRkHqqCUFNJY4AfY3kHU/edit?usp=sharing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4" s="7" t="s">
        <v>10</v>
      </c>
      <c r="H7514" s="7">
        <v>8342</v>
      </c>
      <c r="I7514" s="8" t="str">
        <f ca="1">IFERROR(__xludf.DUMMYFUNCTION("IF
(
G7515=""фізична особа""
,
VLOOKUP(H7515,IMPORTRANGE(""https://docs.google.com/spreadsheets/d/14Bd19lYaqBhU8_DElYkX7l4wRkHqqCUFNJY4AfY3kHU/edit?usp=sharing  #gid=0"",""фіз особи new!relations_name""),6,FALSE)
,
(IF
(
G7515=""юридична особа""
,
VLOOKUP"&amp;"(H7515,IMPORTRANGE(""https://docs.google.com/spreadsheets/d/14Bd19lYaqBhU8_DElYkX7l4wRkHqqCUFNJY4AfY3kHU/edit?usp=sharing  #gid=0"",""фіз особи new!relations_name_uo""),7,FALSE)
,
)
))"),"АБРАМОВ Євгеній Олександрович")</f>
        <v>АБРАМОВ Євгеній Олександрович</v>
      </c>
      <c r="J7514" s="7" t="s">
        <v>35</v>
      </c>
    </row>
    <row r="7515" spans="1:10" ht="13.2">
      <c r="A7515" s="7">
        <v>7514</v>
      </c>
      <c r="B7515" s="7">
        <v>1</v>
      </c>
      <c r="C7515" s="7" t="s">
        <v>10</v>
      </c>
      <c r="D7515" s="7">
        <v>8346</v>
      </c>
      <c r="E7515" s="7" t="s">
        <v>35</v>
      </c>
      <c r="F7515" s="8" t="str">
        <f ca="1">IFERROR(__xludf.DUMMYFUNCTION("IF
(
C7516=""фізична особа""
,
VLOOKUP(D7516,IMPORTRANGE(""https://docs.google.com/spreadsheets/d/14Bd19lYaqBhU8_DElYkX7l4wRkHqqCUFNJY4AfY3kHU/edit?usp=sharing  #gid=0"",""фіз особи new!relations_name""),6,FALSE)
,
(IF
(
C7516=""юридична особа""
,
VLOOKUP"&amp;"(D7516,IMPORTRANGE(""https://docs.google.com/spreadsheets/d/14Bd19lYaqBhU8_DElYkX7l4wRkHqqCUFNJY4AfY3kHU/edit?usp=sharing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5" s="7" t="s">
        <v>10</v>
      </c>
      <c r="H7515" s="7">
        <v>8343</v>
      </c>
      <c r="I7515" s="8" t="str">
        <f ca="1">IFERROR(__xludf.DUMMYFUNCTION("IF
(
G7516=""фізична особа""
,
VLOOKUP(H7516,IMPORTRANGE(""https://docs.google.com/spreadsheets/d/14Bd19lYaqBhU8_DElYkX7l4wRkHqqCUFNJY4AfY3kHU/edit?usp=sharing  #gid=0"",""фіз особи new!relations_name""),6,FALSE)
,
(IF
(
G7516=""юридична особа""
,
VLOOKUP"&amp;"(H7516,IMPORTRANGE(""https://docs.google.com/spreadsheets/d/14Bd19lYaqBhU8_DElYkX7l4wRkHqqCUFNJY4AfY3kHU/edit?usp=sharing  #gid=0"",""фіз особи new!relations_name_uo""),7,FALSE)
,
)
))"),"ШАТАЛОВА Тетяна Іванівна")</f>
        <v>ШАТАЛОВА Тетяна Іванівна</v>
      </c>
      <c r="J7515" s="7" t="s">
        <v>35</v>
      </c>
    </row>
    <row r="7516" spans="1:10" ht="13.2">
      <c r="A7516" s="7">
        <v>7515</v>
      </c>
      <c r="B7516" s="7">
        <v>1</v>
      </c>
      <c r="C7516" s="7" t="s">
        <v>10</v>
      </c>
      <c r="D7516" s="7">
        <v>8346</v>
      </c>
      <c r="E7516" s="7" t="s">
        <v>35</v>
      </c>
      <c r="F7516" s="8" t="str">
        <f ca="1">IFERROR(__xludf.DUMMYFUNCTION("IF
(
C7517=""фізична особа""
,
VLOOKUP(D7517,IMPORTRANGE(""https://docs.google.com/spreadsheets/d/14Bd19lYaqBhU8_DElYkX7l4wRkHqqCUFNJY4AfY3kHU/edit?usp=sharing  #gid=0"",""фіз особи new!relations_name""),6,FALSE)
,
(IF
(
C7517=""юридична особа""
,
VLOOKUP"&amp;"(D7517,IMPORTRANGE(""https://docs.google.com/spreadsheets/d/14Bd19lYaqBhU8_DElYkX7l4wRkHqqCUFNJY4AfY3kHU/edit?usp=sharing  #gid=0"",""фіз особи new!relations_name_uo""),7,FALSE)
,
)
))"),"СМИРНОВ Сергій Олексійович")</f>
        <v>СМИРНОВ Сергій Олексійович</v>
      </c>
      <c r="G7516" s="7" t="s">
        <v>10</v>
      </c>
      <c r="H7516" s="7">
        <v>8344</v>
      </c>
      <c r="I7516" s="8" t="str">
        <f ca="1">IFERROR(__xludf.DUMMYFUNCTION("IF
(
G7517=""фізична особа""
,
VLOOKUP(H7517,IMPORTRANGE(""https://docs.google.com/spreadsheets/d/14Bd19lYaqBhU8_DElYkX7l4wRkHqqCUFNJY4AfY3kHU/edit?usp=sharing  #gid=0"",""фіз особи new!relations_name""),6,FALSE)
,
(IF
(
G7517=""юридична особа""
,
VLOOKUP"&amp;"(H7517,IMPORTRANGE(""https://docs.google.com/spreadsheets/d/14Bd19lYaqBhU8_DElYkX7l4wRkHqqCUFNJY4AfY3kHU/edit?usp=sharing  #gid=0"",""фіз особи new!relations_name_uo""),7,FALSE)
,
)
))"),"СИВЕНКОВА Алла Олександрівна")</f>
        <v>СИВЕНКОВА Алла Олександрівна</v>
      </c>
      <c r="J7516" s="7" t="s">
        <v>35</v>
      </c>
    </row>
    <row r="7517" spans="1:10" ht="13.2">
      <c r="A7517" s="7">
        <v>7516</v>
      </c>
      <c r="B7517" s="7">
        <v>1</v>
      </c>
      <c r="C7517" s="7" t="s">
        <v>10</v>
      </c>
      <c r="D7517" s="7">
        <v>8358</v>
      </c>
      <c r="E7517" s="7" t="s">
        <v>29</v>
      </c>
      <c r="F7517" s="8" t="str">
        <f ca="1">IFERROR(__xludf.DUMMYFUNCTION("IF
(
C7518=""фізична особа""
,
VLOOKUP(D7518,IMPORTRANGE(""https://docs.google.com/spreadsheets/d/14Bd19lYaqBhU8_DElYkX7l4wRkHqqCUFNJY4AfY3kHU/edit?usp=sharing  #gid=0"",""фіз особи new!relations_name""),6,FALSE)
,
(IF
(
C7518=""юридична особа""
,
VLOOKUP"&amp;"(D7518,IMPORTRANGE(""https://docs.google.com/spreadsheets/d/14Bd19lYaqBhU8_DElYkX7l4wRkHqqCUFNJY4AfY3kHU/edit?usp=sharing  #gid=0"",""фіз особи new!relations_name_uo""),7,FALSE)
,
)
))"),"ЛАНДСМАН Анатолій Якович")</f>
        <v>ЛАНДСМАН Анатолій Якович</v>
      </c>
      <c r="G7517" s="7" t="s">
        <v>10</v>
      </c>
      <c r="H7517" s="7">
        <v>23569</v>
      </c>
      <c r="I7517" s="8" t="str">
        <f ca="1">IFERROR(__xludf.DUMMYFUNCTION("IF
(
G7518=""фізична особа""
,
VLOOKUP(H7518,IMPORTRANGE(""https://docs.google.com/spreadsheets/d/14Bd19lYaqBhU8_DElYkX7l4wRkHqqCUFNJY4AfY3kHU/edit?usp=sharing  #gid=0"",""фіз особи new!relations_name""),6,FALSE)
,
(IF
(
G7518=""юридична особа""
,
VLOOKUP"&amp;"(H7518,IMPORTRANGE(""https://docs.google.com/spreadsheets/d/14Bd19lYaqBhU8_DElYkX7l4wRkHqqCUFNJY4AfY3kHU/edit?usp=sharing  #gid=0"",""фіз особи new!relations_name_uo""),7,FALSE)
,
)
))"),"ВИНОГРАДОВ Володимир Ігорович")</f>
        <v>ВИНОГРАДОВ Володимир Ігорович</v>
      </c>
      <c r="J7517" s="7" t="s">
        <v>104</v>
      </c>
    </row>
    <row r="7518" spans="1:10" ht="13.2">
      <c r="A7518" s="7">
        <v>7517</v>
      </c>
      <c r="B7518" s="7">
        <v>1</v>
      </c>
      <c r="C7518" s="7" t="s">
        <v>10</v>
      </c>
      <c r="D7518" s="7">
        <v>8360</v>
      </c>
      <c r="E7518" s="7" t="s">
        <v>30</v>
      </c>
      <c r="F7518" s="8" t="str">
        <f ca="1">IFERROR(__xludf.DUMMYFUNCTION("IF
(
C7519=""фізична особа""
,
VLOOKUP(D7519,IMPORTRANGE(""https://docs.google.com/spreadsheets/d/14Bd19lYaqBhU8_DElYkX7l4wRkHqqCUFNJY4AfY3kHU/edit?usp=sharing  #gid=0"",""фіз особи new!relations_name""),6,FALSE)
,
(IF
(
C7519=""юридична особа""
,
VLOOKUP"&amp;"(D7519,IMPORTRANGE(""https://docs.google.com/spreadsheets/d/14Bd19lYaqBhU8_DElYkX7l4wRkHqqCUFNJY4AfY3kHU/edit?usp=sharing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18" s="7" t="s">
        <v>10</v>
      </c>
      <c r="H7518" s="7">
        <v>8361</v>
      </c>
      <c r="I7518" s="8" t="str">
        <f ca="1">IFERROR(__xludf.DUMMYFUNCTION("IF
(
G7519=""фізична особа""
,
VLOOKUP(H7519,IMPORTRANGE(""https://docs.google.com/spreadsheets/d/14Bd19lYaqBhU8_DElYkX7l4wRkHqqCUFNJY4AfY3kHU/edit?usp=sharing  #gid=0"",""фіз особи new!relations_name""),6,FALSE)
,
(IF
(
G7519=""юридична особа""
,
VLOOKUP"&amp;"(H7519,IMPORTRANGE(""https://docs.google.com/spreadsheets/d/14Bd19lYaqBhU8_DElYkX7l4wRkHqqCUFNJY4AfY3kHU/edit?usp=sharing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18" s="7" t="s">
        <v>30</v>
      </c>
    </row>
    <row r="7519" spans="1:10" ht="13.2">
      <c r="A7519" s="7">
        <v>7518</v>
      </c>
      <c r="B7519" s="7">
        <v>1</v>
      </c>
      <c r="C7519" s="7" t="s">
        <v>10</v>
      </c>
      <c r="D7519" s="7">
        <v>8360</v>
      </c>
      <c r="E7519" s="7" t="s">
        <v>29</v>
      </c>
      <c r="F7519" s="8" t="str">
        <f ca="1">IFERROR(__xludf.DUMMYFUNCTION("IF
(
C7520=""фізична особа""
,
VLOOKUP(D7520,IMPORTRANGE(""https://docs.google.com/spreadsheets/d/14Bd19lYaqBhU8_DElYkX7l4wRkHqqCUFNJY4AfY3kHU/edit?usp=sharing  #gid=0"",""фіз особи new!relations_name""),6,FALSE)
,
(IF
(
C7520=""юридична особа""
,
VLOOKUP"&amp;"(D7520,IMPORTRANGE(""https://docs.google.com/spreadsheets/d/14Bd19lYaqBhU8_DElYkX7l4wRkHqqCUFNJY4AfY3kHU/edit?usp=sharing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19" s="7" t="s">
        <v>10</v>
      </c>
      <c r="H7519" s="7">
        <v>8362</v>
      </c>
      <c r="I7519" s="8" t="str">
        <f ca="1">IFERROR(__xludf.DUMMYFUNCTION("IF
(
G7520=""фізична особа""
,
VLOOKUP(H7520,IMPORTRANGE(""https://docs.google.com/spreadsheets/d/14Bd19lYaqBhU8_DElYkX7l4wRkHqqCUFNJY4AfY3kHU/edit?usp=sharing  #gid=0"",""фіз особи new!relations_name""),6,FALSE)
,
(IF
(
G7520=""юридична особа""
,
VLOOKUP"&amp;"(H7520,IMPORTRANGE(""https://docs.google.com/spreadsheets/d/14Bd19lYaqBhU8_DElYkX7l4wRkHqqCUFNJY4AfY3kHU/edit?usp=sharing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19" s="7" t="s">
        <v>28</v>
      </c>
    </row>
    <row r="7520" spans="1:10" ht="13.2">
      <c r="A7520" s="7">
        <v>7519</v>
      </c>
      <c r="B7520" s="7">
        <v>1</v>
      </c>
      <c r="C7520" s="7" t="s">
        <v>10</v>
      </c>
      <c r="D7520" s="7">
        <v>8360</v>
      </c>
      <c r="E7520" s="7" t="s">
        <v>29</v>
      </c>
      <c r="F7520" s="8" t="str">
        <f ca="1">IFERROR(__xludf.DUMMYFUNCTION("IF
(
C7521=""фізична особа""
,
VLOOKUP(D7521,IMPORTRANGE(""https://docs.google.com/spreadsheets/d/14Bd19lYaqBhU8_DElYkX7l4wRkHqqCUFNJY4AfY3kHU/edit?usp=sharing  #gid=0"",""фіз особи new!relations_name""),6,FALSE)
,
(IF
(
C7521=""юридична особа""
,
VLOOKUP"&amp;"(D7521,IMPORTRANGE(""https://docs.google.com/spreadsheets/d/14Bd19lYaqBhU8_DElYkX7l4wRkHqqCUFNJY4AfY3kHU/edit?usp=sharing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0" s="7" t="s">
        <v>10</v>
      </c>
      <c r="H7520" s="7">
        <v>8363</v>
      </c>
      <c r="I7520" s="8" t="str">
        <f ca="1">IFERROR(__xludf.DUMMYFUNCTION("IF
(
G7521=""фізична особа""
,
VLOOKUP(H7521,IMPORTRANGE(""https://docs.google.com/spreadsheets/d/14Bd19lYaqBhU8_DElYkX7l4wRkHqqCUFNJY4AfY3kHU/edit?usp=sharing  #gid=0"",""фіз особи new!relations_name""),6,FALSE)
,
(IF
(
G7521=""юридична особа""
,
VLOOKUP"&amp;"(H7521,IMPORTRANGE(""https://docs.google.com/spreadsheets/d/14Bd19lYaqBhU8_DElYkX7l4wRkHqqCUFNJY4AfY3kHU/edit?usp=sharing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20" s="7" t="s">
        <v>28</v>
      </c>
    </row>
    <row r="7521" spans="1:10" ht="13.2">
      <c r="A7521" s="7">
        <v>7520</v>
      </c>
      <c r="B7521" s="7">
        <v>1</v>
      </c>
      <c r="C7521" s="7" t="s">
        <v>10</v>
      </c>
      <c r="D7521" s="7">
        <v>8360</v>
      </c>
      <c r="E7521" s="7" t="s">
        <v>29</v>
      </c>
      <c r="F7521" s="8" t="str">
        <f ca="1">IFERROR(__xludf.DUMMYFUNCTION("IF
(
C7522=""фізична особа""
,
VLOOKUP(D7522,IMPORTRANGE(""https://docs.google.com/spreadsheets/d/14Bd19lYaqBhU8_DElYkX7l4wRkHqqCUFNJY4AfY3kHU/edit?usp=sharing  #gid=0"",""фіз особи new!relations_name""),6,FALSE)
,
(IF
(
C7522=""юридична особа""
,
VLOOKUP"&amp;"(D7522,IMPORTRANGE(""https://docs.google.com/spreadsheets/d/14Bd19lYaqBhU8_DElYkX7l4wRkHqqCUFNJY4AfY3kHU/edit?usp=sharing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1" s="7" t="s">
        <v>10</v>
      </c>
      <c r="H7521" s="7">
        <v>8364</v>
      </c>
      <c r="I7521" s="8" t="str">
        <f ca="1">IFERROR(__xludf.DUMMYFUNCTION("IF
(
G7522=""фізична особа""
,
VLOOKUP(H7522,IMPORTRANGE(""https://docs.google.com/spreadsheets/d/14Bd19lYaqBhU8_DElYkX7l4wRkHqqCUFNJY4AfY3kHU/edit?usp=sharing  #gid=0"",""фіз особи new!relations_name""),6,FALSE)
,
(IF
(
G7522=""юридична особа""
,
VLOOKUP"&amp;"(H7522,IMPORTRANGE(""https://docs.google.com/spreadsheets/d/14Bd19lYaqBhU8_DElYkX7l4wRkHqqCUFNJY4AfY3kHU/edit?usp=sharing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21" s="7" t="s">
        <v>28</v>
      </c>
    </row>
    <row r="7522" spans="1:10" ht="13.2">
      <c r="A7522" s="7">
        <v>7521</v>
      </c>
      <c r="B7522" s="7">
        <v>1</v>
      </c>
      <c r="C7522" s="7" t="s">
        <v>10</v>
      </c>
      <c r="D7522" s="7">
        <v>8360</v>
      </c>
      <c r="E7522" s="7" t="s">
        <v>29</v>
      </c>
      <c r="F7522" s="8" t="str">
        <f ca="1">IFERROR(__xludf.DUMMYFUNCTION("IF
(
C7523=""фізична особа""
,
VLOOKUP(D7523,IMPORTRANGE(""https://docs.google.com/spreadsheets/d/14Bd19lYaqBhU8_DElYkX7l4wRkHqqCUFNJY4AfY3kHU/edit?usp=sharing  #gid=0"",""фіз особи new!relations_name""),6,FALSE)
,
(IF
(
C7523=""юридична особа""
,
VLOOKUP"&amp;"(D7523,IMPORTRANGE(""https://docs.google.com/spreadsheets/d/14Bd19lYaqBhU8_DElYkX7l4wRkHqqCUFNJY4AfY3kHU/edit?usp=sharing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2" s="7" t="s">
        <v>10</v>
      </c>
      <c r="H7522" s="7">
        <v>8365</v>
      </c>
      <c r="I7522" s="8" t="str">
        <f ca="1">IFERROR(__xludf.DUMMYFUNCTION("IF
(
G7523=""фізична особа""
,
VLOOKUP(H7523,IMPORTRANGE(""https://docs.google.com/spreadsheets/d/14Bd19lYaqBhU8_DElYkX7l4wRkHqqCUFNJY4AfY3kHU/edit?usp=sharing  #gid=0"",""фіз особи new!relations_name""),6,FALSE)
,
(IF
(
G7523=""юридична особа""
,
VLOOKUP"&amp;"(H7523,IMPORTRANGE(""https://docs.google.com/spreadsheets/d/14Bd19lYaqBhU8_DElYkX7l4wRkHqqCUFNJY4AfY3kHU/edit?usp=sharing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22" s="7" t="s">
        <v>28</v>
      </c>
    </row>
    <row r="7523" spans="1:10" ht="13.2">
      <c r="A7523" s="7">
        <v>7522</v>
      </c>
      <c r="B7523" s="7">
        <v>1</v>
      </c>
      <c r="C7523" s="7" t="s">
        <v>10</v>
      </c>
      <c r="D7523" s="7">
        <v>8360</v>
      </c>
      <c r="E7523" s="7" t="s">
        <v>29</v>
      </c>
      <c r="F7523" s="8" t="str">
        <f ca="1">IFERROR(__xludf.DUMMYFUNCTION("IF
(
C7524=""фізична особа""
,
VLOOKUP(D7524,IMPORTRANGE(""https://docs.google.com/spreadsheets/d/14Bd19lYaqBhU8_DElYkX7l4wRkHqqCUFNJY4AfY3kHU/edit?usp=sharing  #gid=0"",""фіз особи new!relations_name""),6,FALSE)
,
(IF
(
C7524=""юридична особа""
,
VLOOKUP"&amp;"(D7524,IMPORTRANGE(""https://docs.google.com/spreadsheets/d/14Bd19lYaqBhU8_DElYkX7l4wRkHqqCUFNJY4AfY3kHU/edit?usp=sharing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3" s="7" t="s">
        <v>10</v>
      </c>
      <c r="H7523" s="7">
        <v>8366</v>
      </c>
      <c r="I7523" s="8" t="str">
        <f ca="1">IFERROR(__xludf.DUMMYFUNCTION("IF
(
G7524=""фізична особа""
,
VLOOKUP(H7524,IMPORTRANGE(""https://docs.google.com/spreadsheets/d/14Bd19lYaqBhU8_DElYkX7l4wRkHqqCUFNJY4AfY3kHU/edit?usp=sharing  #gid=0"",""фіз особи new!relations_name""),6,FALSE)
,
(IF
(
G7524=""юридична особа""
,
VLOOKUP"&amp;"(H7524,IMPORTRANGE(""https://docs.google.com/spreadsheets/d/14Bd19lYaqBhU8_DElYkX7l4wRkHqqCUFNJY4AfY3kHU/edit?usp=sharing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23" s="7" t="s">
        <v>28</v>
      </c>
    </row>
    <row r="7524" spans="1:10" ht="13.2">
      <c r="A7524" s="7">
        <v>7523</v>
      </c>
      <c r="B7524" s="7">
        <v>1</v>
      </c>
      <c r="C7524" s="7" t="s">
        <v>10</v>
      </c>
      <c r="D7524" s="7">
        <v>8360</v>
      </c>
      <c r="E7524" s="7" t="s">
        <v>29</v>
      </c>
      <c r="F7524" s="8" t="str">
        <f ca="1">IFERROR(__xludf.DUMMYFUNCTION("IF
(
C7525=""фізична особа""
,
VLOOKUP(D7525,IMPORTRANGE(""https://docs.google.com/spreadsheets/d/14Bd19lYaqBhU8_DElYkX7l4wRkHqqCUFNJY4AfY3kHU/edit?usp=sharing  #gid=0"",""фіз особи new!relations_name""),6,FALSE)
,
(IF
(
C7525=""юридична особа""
,
VLOOKUP"&amp;"(D7525,IMPORTRANGE(""https://docs.google.com/spreadsheets/d/14Bd19lYaqBhU8_DElYkX7l4wRkHqqCUFNJY4AfY3kHU/edit?usp=sharing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4" s="7" t="s">
        <v>10</v>
      </c>
      <c r="H7524" s="7">
        <v>8367</v>
      </c>
      <c r="I7524" s="8" t="str">
        <f ca="1">IFERROR(__xludf.DUMMYFUNCTION("IF
(
G7525=""фізична особа""
,
VLOOKUP(H7525,IMPORTRANGE(""https://docs.google.com/spreadsheets/d/14Bd19lYaqBhU8_DElYkX7l4wRkHqqCUFNJY4AfY3kHU/edit?usp=sharing  #gid=0"",""фіз особи new!relations_name""),6,FALSE)
,
(IF
(
G7525=""юридична особа""
,
VLOOKUP"&amp;"(H7525,IMPORTRANGE(""https://docs.google.com/spreadsheets/d/14Bd19lYaqBhU8_DElYkX7l4wRkHqqCUFNJY4AfY3kHU/edit?usp=sharing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24" s="7" t="s">
        <v>28</v>
      </c>
    </row>
    <row r="7525" spans="1:10" ht="13.2">
      <c r="A7525" s="7">
        <v>7524</v>
      </c>
      <c r="B7525" s="7">
        <v>1</v>
      </c>
      <c r="C7525" s="7" t="s">
        <v>10</v>
      </c>
      <c r="D7525" s="7">
        <v>8360</v>
      </c>
      <c r="E7525" s="7" t="s">
        <v>29</v>
      </c>
      <c r="F7525" s="8" t="str">
        <f ca="1">IFERROR(__xludf.DUMMYFUNCTION("IF
(
C7526=""фізична особа""
,
VLOOKUP(D7526,IMPORTRANGE(""https://docs.google.com/spreadsheets/d/14Bd19lYaqBhU8_DElYkX7l4wRkHqqCUFNJY4AfY3kHU/edit?usp=sharing  #gid=0"",""фіз особи new!relations_name""),6,FALSE)
,
(IF
(
C7526=""юридична особа""
,
VLOOKUP"&amp;"(D7526,IMPORTRANGE(""https://docs.google.com/spreadsheets/d/14Bd19lYaqBhU8_DElYkX7l4wRkHqqCUFNJY4AfY3kHU/edit?usp=sharing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5" s="7" t="s">
        <v>10</v>
      </c>
      <c r="H7525" s="7">
        <v>8368</v>
      </c>
      <c r="I7525" s="8" t="str">
        <f ca="1">IFERROR(__xludf.DUMMYFUNCTION("IF
(
G7526=""фізична особа""
,
VLOOKUP(H7526,IMPORTRANGE(""https://docs.google.com/spreadsheets/d/14Bd19lYaqBhU8_DElYkX7l4wRkHqqCUFNJY4AfY3kHU/edit?usp=sharing  #gid=0"",""фіз особи new!relations_name""),6,FALSE)
,
(IF
(
G7526=""юридична особа""
,
VLOOKUP"&amp;"(H7526,IMPORTRANGE(""https://docs.google.com/spreadsheets/d/14Bd19lYaqBhU8_DElYkX7l4wRkHqqCUFNJY4AfY3kHU/edit?usp=sharing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25" s="7" t="s">
        <v>28</v>
      </c>
    </row>
    <row r="7526" spans="1:10" ht="13.2">
      <c r="A7526" s="7">
        <v>7525</v>
      </c>
      <c r="B7526" s="7">
        <v>1</v>
      </c>
      <c r="C7526" s="7" t="s">
        <v>10</v>
      </c>
      <c r="D7526" s="7">
        <v>8360</v>
      </c>
      <c r="E7526" s="7" t="s">
        <v>29</v>
      </c>
      <c r="F7526" s="8" t="str">
        <f ca="1">IFERROR(__xludf.DUMMYFUNCTION("IF
(
C7527=""фізична особа""
,
VLOOKUP(D7527,IMPORTRANGE(""https://docs.google.com/spreadsheets/d/14Bd19lYaqBhU8_DElYkX7l4wRkHqqCUFNJY4AfY3kHU/edit?usp=sharing  #gid=0"",""фіз особи new!relations_name""),6,FALSE)
,
(IF
(
C7527=""юридична особа""
,
VLOOKUP"&amp;"(D7527,IMPORTRANGE(""https://docs.google.com/spreadsheets/d/14Bd19lYaqBhU8_DElYkX7l4wRkHqqCUFNJY4AfY3kHU/edit?usp=sharing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G7526" s="7" t="s">
        <v>10</v>
      </c>
      <c r="H7526" s="7">
        <v>8369</v>
      </c>
      <c r="I7526" s="8" t="str">
        <f ca="1">IFERROR(__xludf.DUMMYFUNCTION("IF
(
G7527=""фізична особа""
,
VLOOKUP(H7527,IMPORTRANGE(""https://docs.google.com/spreadsheets/d/14Bd19lYaqBhU8_DElYkX7l4wRkHqqCUFNJY4AfY3kHU/edit?usp=sharing  #gid=0"",""фіз особи new!relations_name""),6,FALSE)
,
(IF
(
G7527=""юридична особа""
,
VLOOKUP"&amp;"(H7527,IMPORTRANGE(""https://docs.google.com/spreadsheets/d/14Bd19lYaqBhU8_DElYkX7l4wRkHqqCUFNJY4AfY3kHU/edit?usp=sharing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26" s="7" t="s">
        <v>28</v>
      </c>
    </row>
    <row r="7527" spans="1:10" ht="13.2">
      <c r="A7527" s="7">
        <v>7526</v>
      </c>
      <c r="B7527" s="7">
        <v>1</v>
      </c>
      <c r="C7527" s="7" t="s">
        <v>10</v>
      </c>
      <c r="D7527" s="7">
        <v>8361</v>
      </c>
      <c r="E7527" s="7" t="s">
        <v>30</v>
      </c>
      <c r="F7527" s="8" t="str">
        <f ca="1">IFERROR(__xludf.DUMMYFUNCTION("IF
(
C7528=""фізична особа""
,
VLOOKUP(D7528,IMPORTRANGE(""https://docs.google.com/spreadsheets/d/14Bd19lYaqBhU8_DElYkX7l4wRkHqqCUFNJY4AfY3kHU/edit?usp=sharing  #gid=0"",""фіз особи new!relations_name""),6,FALSE)
,
(IF
(
C7528=""юридична особа""
,
VLOOKUP"&amp;"(D7528,IMPORTRANGE(""https://docs.google.com/spreadsheets/d/14Bd19lYaqBhU8_DElYkX7l4wRkHqqCUFNJY4AfY3kHU/edit?usp=sharing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27" s="7" t="s">
        <v>10</v>
      </c>
      <c r="H7527" s="7">
        <v>8362</v>
      </c>
      <c r="I7527" s="8" t="str">
        <f ca="1">IFERROR(__xludf.DUMMYFUNCTION("IF
(
G7528=""фізична особа""
,
VLOOKUP(H7528,IMPORTRANGE(""https://docs.google.com/spreadsheets/d/14Bd19lYaqBhU8_DElYkX7l4wRkHqqCUFNJY4AfY3kHU/edit?usp=sharing  #gid=0"",""фіз особи new!relations_name""),6,FALSE)
,
(IF
(
G7528=""юридична особа""
,
VLOOKUP"&amp;"(H7528,IMPORTRANGE(""https://docs.google.com/spreadsheets/d/14Bd19lYaqBhU8_DElYkX7l4wRkHqqCUFNJY4AfY3kHU/edit?usp=sharing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27" s="7" t="s">
        <v>30</v>
      </c>
    </row>
    <row r="7528" spans="1:10" ht="13.2">
      <c r="A7528" s="7">
        <v>7527</v>
      </c>
      <c r="B7528" s="7">
        <v>1</v>
      </c>
      <c r="C7528" s="7" t="s">
        <v>10</v>
      </c>
      <c r="D7528" s="7">
        <v>8361</v>
      </c>
      <c r="E7528" s="7" t="s">
        <v>30</v>
      </c>
      <c r="F7528" s="8" t="str">
        <f ca="1">IFERROR(__xludf.DUMMYFUNCTION("IF
(
C7529=""фізична особа""
,
VLOOKUP(D7529,IMPORTRANGE(""https://docs.google.com/spreadsheets/d/14Bd19lYaqBhU8_DElYkX7l4wRkHqqCUFNJY4AfY3kHU/edit?usp=sharing  #gid=0"",""фіз особи new!relations_name""),6,FALSE)
,
(IF
(
C7529=""юридична особа""
,
VLOOKUP"&amp;"(D7529,IMPORTRANGE(""https://docs.google.com/spreadsheets/d/14Bd19lYaqBhU8_DElYkX7l4wRkHqqCUFNJY4AfY3kHU/edit?usp=sharing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28" s="7" t="s">
        <v>10</v>
      </c>
      <c r="H7528" s="7">
        <v>8362</v>
      </c>
      <c r="I7528" s="8" t="str">
        <f ca="1">IFERROR(__xludf.DUMMYFUNCTION("IF
(
G7529=""фізична особа""
,
VLOOKUP(H7529,IMPORTRANGE(""https://docs.google.com/spreadsheets/d/14Bd19lYaqBhU8_DElYkX7l4wRkHqqCUFNJY4AfY3kHU/edit?usp=sharing  #gid=0"",""фіз особи new!relations_name""),6,FALSE)
,
(IF
(
G7529=""юридична особа""
,
VLOOKUP"&amp;"(H7529,IMPORTRANGE(""https://docs.google.com/spreadsheets/d/14Bd19lYaqBhU8_DElYkX7l4wRkHqqCUFNJY4AfY3kHU/edit?usp=sharing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28" s="7" t="s">
        <v>30</v>
      </c>
    </row>
    <row r="7529" spans="1:10" ht="13.2">
      <c r="A7529" s="7">
        <v>7528</v>
      </c>
      <c r="B7529" s="7">
        <v>1</v>
      </c>
      <c r="C7529" s="7" t="s">
        <v>10</v>
      </c>
      <c r="D7529" s="7">
        <v>8361</v>
      </c>
      <c r="E7529" s="7" t="s">
        <v>30</v>
      </c>
      <c r="F7529" s="8" t="str">
        <f ca="1">IFERROR(__xludf.DUMMYFUNCTION("IF
(
C7530=""фізична особа""
,
VLOOKUP(D7530,IMPORTRANGE(""https://docs.google.com/spreadsheets/d/14Bd19lYaqBhU8_DElYkX7l4wRkHqqCUFNJY4AfY3kHU/edit?usp=sharing  #gid=0"",""фіз особи new!relations_name""),6,FALSE)
,
(IF
(
C7530=""юридична особа""
,
VLOOKUP"&amp;"(D7530,IMPORTRANGE(""https://docs.google.com/spreadsheets/d/14Bd19lYaqBhU8_DElYkX7l4wRkHqqCUFNJY4AfY3kHU/edit?usp=sharing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29" s="7" t="s">
        <v>10</v>
      </c>
      <c r="H7529" s="7">
        <v>8363</v>
      </c>
      <c r="I7529" s="8" t="str">
        <f ca="1">IFERROR(__xludf.DUMMYFUNCTION("IF
(
G7530=""фізична особа""
,
VLOOKUP(H7530,IMPORTRANGE(""https://docs.google.com/spreadsheets/d/14Bd19lYaqBhU8_DElYkX7l4wRkHqqCUFNJY4AfY3kHU/edit?usp=sharing  #gid=0"",""фіз особи new!relations_name""),6,FALSE)
,
(IF
(
G7530=""юридична особа""
,
VLOOKUP"&amp;"(H7530,IMPORTRANGE(""https://docs.google.com/spreadsheets/d/14Bd19lYaqBhU8_DElYkX7l4wRkHqqCUFNJY4AfY3kHU/edit?usp=sharing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29" s="7" t="s">
        <v>30</v>
      </c>
    </row>
    <row r="7530" spans="1:10" ht="13.2">
      <c r="A7530" s="7">
        <v>7529</v>
      </c>
      <c r="B7530" s="7">
        <v>1</v>
      </c>
      <c r="C7530" s="7" t="s">
        <v>10</v>
      </c>
      <c r="D7530" s="7">
        <v>8361</v>
      </c>
      <c r="E7530" s="7" t="s">
        <v>30</v>
      </c>
      <c r="F7530" s="8" t="str">
        <f ca="1">IFERROR(__xludf.DUMMYFUNCTION("IF
(
C7531=""фізична особа""
,
VLOOKUP(D7531,IMPORTRANGE(""https://docs.google.com/spreadsheets/d/14Bd19lYaqBhU8_DElYkX7l4wRkHqqCUFNJY4AfY3kHU/edit?usp=sharing  #gid=0"",""фіз особи new!relations_name""),6,FALSE)
,
(IF
(
C7531=""юридична особа""
,
VLOOKUP"&amp;"(D7531,IMPORTRANGE(""https://docs.google.com/spreadsheets/d/14Bd19lYaqBhU8_DElYkX7l4wRkHqqCUFNJY4AfY3kHU/edit?usp=sharing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0" s="7" t="s">
        <v>10</v>
      </c>
      <c r="H7530" s="7">
        <v>8364</v>
      </c>
      <c r="I7530" s="8" t="str">
        <f ca="1">IFERROR(__xludf.DUMMYFUNCTION("IF
(
G7531=""фізична особа""
,
VLOOKUP(H7531,IMPORTRANGE(""https://docs.google.com/spreadsheets/d/14Bd19lYaqBhU8_DElYkX7l4wRkHqqCUFNJY4AfY3kHU/edit?usp=sharing  #gid=0"",""фіз особи new!relations_name""),6,FALSE)
,
(IF
(
G7531=""юридична особа""
,
VLOOKUP"&amp;"(H7531,IMPORTRANGE(""https://docs.google.com/spreadsheets/d/14Bd19lYaqBhU8_DElYkX7l4wRkHqqCUFNJY4AfY3kHU/edit?usp=sharing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30" s="7" t="s">
        <v>30</v>
      </c>
    </row>
    <row r="7531" spans="1:10" ht="13.2">
      <c r="A7531" s="7">
        <v>7530</v>
      </c>
      <c r="B7531" s="7">
        <v>1</v>
      </c>
      <c r="C7531" s="7" t="s">
        <v>10</v>
      </c>
      <c r="D7531" s="7">
        <v>8361</v>
      </c>
      <c r="E7531" s="7" t="s">
        <v>30</v>
      </c>
      <c r="F7531" s="8" t="str">
        <f ca="1">IFERROR(__xludf.DUMMYFUNCTION("IF
(
C7532=""фізична особа""
,
VLOOKUP(D7532,IMPORTRANGE(""https://docs.google.com/spreadsheets/d/14Bd19lYaqBhU8_DElYkX7l4wRkHqqCUFNJY4AfY3kHU/edit?usp=sharing  #gid=0"",""фіз особи new!relations_name""),6,FALSE)
,
(IF
(
C7532=""юридична особа""
,
VLOOKUP"&amp;"(D7532,IMPORTRANGE(""https://docs.google.com/spreadsheets/d/14Bd19lYaqBhU8_DElYkX7l4wRkHqqCUFNJY4AfY3kHU/edit?usp=sharing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1" s="7" t="s">
        <v>10</v>
      </c>
      <c r="H7531" s="7">
        <v>8365</v>
      </c>
      <c r="I7531" s="8" t="str">
        <f ca="1">IFERROR(__xludf.DUMMYFUNCTION("IF
(
G7532=""фізична особа""
,
VLOOKUP(H7532,IMPORTRANGE(""https://docs.google.com/spreadsheets/d/14Bd19lYaqBhU8_DElYkX7l4wRkHqqCUFNJY4AfY3kHU/edit?usp=sharing  #gid=0"",""фіз особи new!relations_name""),6,FALSE)
,
(IF
(
G7532=""юридична особа""
,
VLOOKUP"&amp;"(H7532,IMPORTRANGE(""https://docs.google.com/spreadsheets/d/14Bd19lYaqBhU8_DElYkX7l4wRkHqqCUFNJY4AfY3kHU/edit?usp=sharing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31" s="7" t="s">
        <v>30</v>
      </c>
    </row>
    <row r="7532" spans="1:10" ht="13.2">
      <c r="A7532" s="7">
        <v>7531</v>
      </c>
      <c r="B7532" s="7">
        <v>1</v>
      </c>
      <c r="C7532" s="7" t="s">
        <v>10</v>
      </c>
      <c r="D7532" s="7">
        <v>8361</v>
      </c>
      <c r="E7532" s="7" t="s">
        <v>30</v>
      </c>
      <c r="F7532" s="8" t="str">
        <f ca="1">IFERROR(__xludf.DUMMYFUNCTION("IF
(
C7533=""фізична особа""
,
VLOOKUP(D7533,IMPORTRANGE(""https://docs.google.com/spreadsheets/d/14Bd19lYaqBhU8_DElYkX7l4wRkHqqCUFNJY4AfY3kHU/edit?usp=sharing  #gid=0"",""фіз особи new!relations_name""),6,FALSE)
,
(IF
(
C7533=""юридична особа""
,
VLOOKUP"&amp;"(D7533,IMPORTRANGE(""https://docs.google.com/spreadsheets/d/14Bd19lYaqBhU8_DElYkX7l4wRkHqqCUFNJY4AfY3kHU/edit?usp=sharing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2" s="7" t="s">
        <v>10</v>
      </c>
      <c r="H7532" s="7">
        <v>8366</v>
      </c>
      <c r="I7532" s="8" t="str">
        <f ca="1">IFERROR(__xludf.DUMMYFUNCTION("IF
(
G7533=""фізична особа""
,
VLOOKUP(H7533,IMPORTRANGE(""https://docs.google.com/spreadsheets/d/14Bd19lYaqBhU8_DElYkX7l4wRkHqqCUFNJY4AfY3kHU/edit?usp=sharing  #gid=0"",""фіз особи new!relations_name""),6,FALSE)
,
(IF
(
G7533=""юридична особа""
,
VLOOKUP"&amp;"(H7533,IMPORTRANGE(""https://docs.google.com/spreadsheets/d/14Bd19lYaqBhU8_DElYkX7l4wRkHqqCUFNJY4AfY3kHU/edit?usp=sharing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32" s="7" t="s">
        <v>30</v>
      </c>
    </row>
    <row r="7533" spans="1:10" ht="13.2">
      <c r="A7533" s="7">
        <v>7532</v>
      </c>
      <c r="B7533" s="7">
        <v>1</v>
      </c>
      <c r="C7533" s="7" t="s">
        <v>10</v>
      </c>
      <c r="D7533" s="7">
        <v>8361</v>
      </c>
      <c r="E7533" s="7" t="s">
        <v>30</v>
      </c>
      <c r="F7533" s="8" t="str">
        <f ca="1">IFERROR(__xludf.DUMMYFUNCTION("IF
(
C7534=""фізична особа""
,
VLOOKUP(D7534,IMPORTRANGE(""https://docs.google.com/spreadsheets/d/14Bd19lYaqBhU8_DElYkX7l4wRkHqqCUFNJY4AfY3kHU/edit?usp=sharing  #gid=0"",""фіз особи new!relations_name""),6,FALSE)
,
(IF
(
C7534=""юридична особа""
,
VLOOKUP"&amp;"(D7534,IMPORTRANGE(""https://docs.google.com/spreadsheets/d/14Bd19lYaqBhU8_DElYkX7l4wRkHqqCUFNJY4AfY3kHU/edit?usp=sharing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3" s="7" t="s">
        <v>10</v>
      </c>
      <c r="H7533" s="7">
        <v>8367</v>
      </c>
      <c r="I7533" s="8" t="str">
        <f ca="1">IFERROR(__xludf.DUMMYFUNCTION("IF
(
G7534=""фізична особа""
,
VLOOKUP(H7534,IMPORTRANGE(""https://docs.google.com/spreadsheets/d/14Bd19lYaqBhU8_DElYkX7l4wRkHqqCUFNJY4AfY3kHU/edit?usp=sharing  #gid=0"",""фіз особи new!relations_name""),6,FALSE)
,
(IF
(
G7534=""юридична особа""
,
VLOOKUP"&amp;"(H7534,IMPORTRANGE(""https://docs.google.com/spreadsheets/d/14Bd19lYaqBhU8_DElYkX7l4wRkHqqCUFNJY4AfY3kHU/edit?usp=sharing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33" s="7" t="s">
        <v>30</v>
      </c>
    </row>
    <row r="7534" spans="1:10" ht="13.2">
      <c r="A7534" s="7">
        <v>7533</v>
      </c>
      <c r="B7534" s="7">
        <v>1</v>
      </c>
      <c r="C7534" s="7" t="s">
        <v>10</v>
      </c>
      <c r="D7534" s="7">
        <v>8361</v>
      </c>
      <c r="E7534" s="7" t="s">
        <v>30</v>
      </c>
      <c r="F7534" s="8" t="str">
        <f ca="1">IFERROR(__xludf.DUMMYFUNCTION("IF
(
C7535=""фізична особа""
,
VLOOKUP(D7535,IMPORTRANGE(""https://docs.google.com/spreadsheets/d/14Bd19lYaqBhU8_DElYkX7l4wRkHqqCUFNJY4AfY3kHU/edit?usp=sharing  #gid=0"",""фіз особи new!relations_name""),6,FALSE)
,
(IF
(
C7535=""юридична особа""
,
VLOOKUP"&amp;"(D7535,IMPORTRANGE(""https://docs.google.com/spreadsheets/d/14Bd19lYaqBhU8_DElYkX7l4wRkHqqCUFNJY4AfY3kHU/edit?usp=sharing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4" s="7" t="s">
        <v>10</v>
      </c>
      <c r="H7534" s="7">
        <v>8368</v>
      </c>
      <c r="I7534" s="8" t="str">
        <f ca="1">IFERROR(__xludf.DUMMYFUNCTION("IF
(
G7535=""фізична особа""
,
VLOOKUP(H7535,IMPORTRANGE(""https://docs.google.com/spreadsheets/d/14Bd19lYaqBhU8_DElYkX7l4wRkHqqCUFNJY4AfY3kHU/edit?usp=sharing  #gid=0"",""фіз особи new!relations_name""),6,FALSE)
,
(IF
(
G7535=""юридична особа""
,
VLOOKUP"&amp;"(H7535,IMPORTRANGE(""https://docs.google.com/spreadsheets/d/14Bd19lYaqBhU8_DElYkX7l4wRkHqqCUFNJY4AfY3kHU/edit?usp=sharing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34" s="7" t="s">
        <v>30</v>
      </c>
    </row>
    <row r="7535" spans="1:10" ht="13.2">
      <c r="A7535" s="7">
        <v>7534</v>
      </c>
      <c r="B7535" s="7">
        <v>1</v>
      </c>
      <c r="C7535" s="7" t="s">
        <v>10</v>
      </c>
      <c r="D7535" s="7">
        <v>8361</v>
      </c>
      <c r="E7535" s="7" t="s">
        <v>30</v>
      </c>
      <c r="F7535" s="8" t="str">
        <f ca="1">IFERROR(__xludf.DUMMYFUNCTION("IF
(
C7536=""фізична особа""
,
VLOOKUP(D7536,IMPORTRANGE(""https://docs.google.com/spreadsheets/d/14Bd19lYaqBhU8_DElYkX7l4wRkHqqCUFNJY4AfY3kHU/edit?usp=sharing  #gid=0"",""фіз особи new!relations_name""),6,FALSE)
,
(IF
(
C7536=""юридична особа""
,
VLOOKUP"&amp;"(D7536,IMPORTRANGE(""https://docs.google.com/spreadsheets/d/14Bd19lYaqBhU8_DElYkX7l4wRkHqqCUFNJY4AfY3kHU/edit?usp=sharing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G7535" s="7" t="s">
        <v>10</v>
      </c>
      <c r="H7535" s="7">
        <v>8369</v>
      </c>
      <c r="I7535" s="8" t="str">
        <f ca="1">IFERROR(__xludf.DUMMYFUNCTION("IF
(
G7536=""фізична особа""
,
VLOOKUP(H7536,IMPORTRANGE(""https://docs.google.com/spreadsheets/d/14Bd19lYaqBhU8_DElYkX7l4wRkHqqCUFNJY4AfY3kHU/edit?usp=sharing  #gid=0"",""фіз особи new!relations_name""),6,FALSE)
,
(IF
(
G7536=""юридична особа""
,
VLOOKUP"&amp;"(H7536,IMPORTRANGE(""https://docs.google.com/spreadsheets/d/14Bd19lYaqBhU8_DElYkX7l4wRkHqqCUFNJY4AfY3kHU/edit?usp=sharing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35" s="7" t="s">
        <v>30</v>
      </c>
    </row>
    <row r="7536" spans="1:10" ht="13.2">
      <c r="A7536" s="7">
        <v>7535</v>
      </c>
      <c r="B7536" s="7">
        <v>1</v>
      </c>
      <c r="C7536" s="7" t="s">
        <v>10</v>
      </c>
      <c r="D7536" s="7">
        <v>8362</v>
      </c>
      <c r="E7536" s="7" t="s">
        <v>30</v>
      </c>
      <c r="F7536" s="8" t="str">
        <f ca="1">IFERROR(__xludf.DUMMYFUNCTION("IF
(
C7537=""фізична особа""
,
VLOOKUP(D7537,IMPORTRANGE(""https://docs.google.com/spreadsheets/d/14Bd19lYaqBhU8_DElYkX7l4wRkHqqCUFNJY4AfY3kHU/edit?usp=sharing  #gid=0"",""фіз особи new!relations_name""),6,FALSE)
,
(IF
(
C7537=""юридична особа""
,
VLOOKUP"&amp;"(D7537,IMPORTRANGE(""https://docs.google.com/spreadsheets/d/14Bd19lYaqBhU8_DElYkX7l4wRkHqqCUFNJY4AfY3kHU/edit?usp=sharing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36" s="7" t="s">
        <v>10</v>
      </c>
      <c r="H7536" s="7">
        <v>8361</v>
      </c>
      <c r="I7536" s="8" t="str">
        <f ca="1">IFERROR(__xludf.DUMMYFUNCTION("IF
(
G7537=""фізична особа""
,
VLOOKUP(H7537,IMPORTRANGE(""https://docs.google.com/spreadsheets/d/14Bd19lYaqBhU8_DElYkX7l4wRkHqqCUFNJY4AfY3kHU/edit?usp=sharing  #gid=0"",""фіз особи new!relations_name""),6,FALSE)
,
(IF
(
G7537=""юридична особа""
,
VLOOKUP"&amp;"(H7537,IMPORTRANGE(""https://docs.google.com/spreadsheets/d/14Bd19lYaqBhU8_DElYkX7l4wRkHqqCUFNJY4AfY3kHU/edit?usp=sharing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36" s="7" t="s">
        <v>30</v>
      </c>
    </row>
    <row r="7537" spans="1:10" ht="13.2">
      <c r="A7537" s="7">
        <v>7536</v>
      </c>
      <c r="B7537" s="7">
        <v>1</v>
      </c>
      <c r="C7537" s="7" t="s">
        <v>10</v>
      </c>
      <c r="D7537" s="7">
        <v>8362</v>
      </c>
      <c r="E7537" s="7" t="s">
        <v>28</v>
      </c>
      <c r="F7537" s="8" t="str">
        <f ca="1">IFERROR(__xludf.DUMMYFUNCTION("IF
(
C7538=""фізична особа""
,
VLOOKUP(D7538,IMPORTRANGE(""https://docs.google.com/spreadsheets/d/14Bd19lYaqBhU8_DElYkX7l4wRkHqqCUFNJY4AfY3kHU/edit?usp=sharing  #gid=0"",""фіз особи new!relations_name""),6,FALSE)
,
(IF
(
C7538=""юридична особа""
,
VLOOKUP"&amp;"(D7538,IMPORTRANGE(""https://docs.google.com/spreadsheets/d/14Bd19lYaqBhU8_DElYkX7l4wRkHqqCUFNJY4AfY3kHU/edit?usp=sharing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37" s="7" t="s">
        <v>10</v>
      </c>
      <c r="H7537" s="7">
        <v>8360</v>
      </c>
      <c r="I7537" s="8" t="str">
        <f ca="1">IFERROR(__xludf.DUMMYFUNCTION("IF
(
G7538=""фізична особа""
,
VLOOKUP(H7538,IMPORTRANGE(""https://docs.google.com/spreadsheets/d/14Bd19lYaqBhU8_DElYkX7l4wRkHqqCUFNJY4AfY3kHU/edit?usp=sharing  #gid=0"",""фіз особи new!relations_name""),6,FALSE)
,
(IF
(
G7538=""юридична особа""
,
VLOOKUP"&amp;"(H7538,IMPORTRANGE(""https://docs.google.com/spreadsheets/d/14Bd19lYaqBhU8_DElYkX7l4wRkHqqCUFNJY4AfY3kHU/edit?usp=sharing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37" s="7" t="s">
        <v>29</v>
      </c>
    </row>
    <row r="7538" spans="1:10" ht="13.2">
      <c r="A7538" s="7">
        <v>7537</v>
      </c>
      <c r="B7538" s="7">
        <v>1</v>
      </c>
      <c r="C7538" s="7" t="s">
        <v>10</v>
      </c>
      <c r="D7538" s="7">
        <v>8362</v>
      </c>
      <c r="E7538" s="7" t="s">
        <v>29</v>
      </c>
      <c r="F7538" s="8" t="str">
        <f ca="1">IFERROR(__xludf.DUMMYFUNCTION("IF
(
C7539=""фізична особа""
,
VLOOKUP(D7539,IMPORTRANGE(""https://docs.google.com/spreadsheets/d/14Bd19lYaqBhU8_DElYkX7l4wRkHqqCUFNJY4AfY3kHU/edit?usp=sharing  #gid=0"",""фіз особи new!relations_name""),6,FALSE)
,
(IF
(
C7539=""юридична особа""
,
VLOOKUP"&amp;"(D7539,IMPORTRANGE(""https://docs.google.com/spreadsheets/d/14Bd19lYaqBhU8_DElYkX7l4wRkHqqCUFNJY4AfY3kHU/edit?usp=sharing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38" s="7" t="s">
        <v>10</v>
      </c>
      <c r="H7538" s="7">
        <v>8363</v>
      </c>
      <c r="I7538" s="8" t="str">
        <f ca="1">IFERROR(__xludf.DUMMYFUNCTION("IF
(
G7539=""фізична особа""
,
VLOOKUP(H7539,IMPORTRANGE(""https://docs.google.com/spreadsheets/d/14Bd19lYaqBhU8_DElYkX7l4wRkHqqCUFNJY4AfY3kHU/edit?usp=sharing  #gid=0"",""фіз особи new!relations_name""),6,FALSE)
,
(IF
(
G7539=""юридична особа""
,
VLOOKUP"&amp;"(H7539,IMPORTRANGE(""https://docs.google.com/spreadsheets/d/14Bd19lYaqBhU8_DElYkX7l4wRkHqqCUFNJY4AfY3kHU/edit?usp=sharing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38" s="7" t="s">
        <v>28</v>
      </c>
    </row>
    <row r="7539" spans="1:10" ht="13.2">
      <c r="A7539" s="7">
        <v>7538</v>
      </c>
      <c r="B7539" s="7">
        <v>1</v>
      </c>
      <c r="C7539" s="7" t="s">
        <v>10</v>
      </c>
      <c r="D7539" s="7">
        <v>8362</v>
      </c>
      <c r="E7539" s="7" t="s">
        <v>29</v>
      </c>
      <c r="F7539" s="8" t="str">
        <f ca="1">IFERROR(__xludf.DUMMYFUNCTION("IF
(
C7540=""фізична особа""
,
VLOOKUP(D7540,IMPORTRANGE(""https://docs.google.com/spreadsheets/d/14Bd19lYaqBhU8_DElYkX7l4wRkHqqCUFNJY4AfY3kHU/edit?usp=sharing  #gid=0"",""фіз особи new!relations_name""),6,FALSE)
,
(IF
(
C7540=""юридична особа""
,
VLOOKUP"&amp;"(D7540,IMPORTRANGE(""https://docs.google.com/spreadsheets/d/14Bd19lYaqBhU8_DElYkX7l4wRkHqqCUFNJY4AfY3kHU/edit?usp=sharing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39" s="7" t="s">
        <v>10</v>
      </c>
      <c r="H7539" s="7">
        <v>8364</v>
      </c>
      <c r="I7539" s="8" t="str">
        <f ca="1">IFERROR(__xludf.DUMMYFUNCTION("IF
(
G7540=""фізична особа""
,
VLOOKUP(H7540,IMPORTRANGE(""https://docs.google.com/spreadsheets/d/14Bd19lYaqBhU8_DElYkX7l4wRkHqqCUFNJY4AfY3kHU/edit?usp=sharing  #gid=0"",""фіз особи new!relations_name""),6,FALSE)
,
(IF
(
G7540=""юридична особа""
,
VLOOKUP"&amp;"(H7540,IMPORTRANGE(""https://docs.google.com/spreadsheets/d/14Bd19lYaqBhU8_DElYkX7l4wRkHqqCUFNJY4AfY3kHU/edit?usp=sharing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39" s="7" t="s">
        <v>28</v>
      </c>
    </row>
    <row r="7540" spans="1:10" ht="13.2">
      <c r="A7540" s="7">
        <v>7539</v>
      </c>
      <c r="B7540" s="7">
        <v>1</v>
      </c>
      <c r="C7540" s="7" t="s">
        <v>10</v>
      </c>
      <c r="D7540" s="7">
        <v>8362</v>
      </c>
      <c r="E7540" s="7" t="s">
        <v>29</v>
      </c>
      <c r="F7540" s="8" t="str">
        <f ca="1">IFERROR(__xludf.DUMMYFUNCTION("IF
(
C7541=""фізична особа""
,
VLOOKUP(D7541,IMPORTRANGE(""https://docs.google.com/spreadsheets/d/14Bd19lYaqBhU8_DElYkX7l4wRkHqqCUFNJY4AfY3kHU/edit?usp=sharing  #gid=0"",""фіз особи new!relations_name""),6,FALSE)
,
(IF
(
C7541=""юридична особа""
,
VLOOKUP"&amp;"(D7541,IMPORTRANGE(""https://docs.google.com/spreadsheets/d/14Bd19lYaqBhU8_DElYkX7l4wRkHqqCUFNJY4AfY3kHU/edit?usp=sharing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40" s="7" t="s">
        <v>10</v>
      </c>
      <c r="H7540" s="7">
        <v>8365</v>
      </c>
      <c r="I7540" s="8" t="str">
        <f ca="1">IFERROR(__xludf.DUMMYFUNCTION("IF
(
G7541=""фізична особа""
,
VLOOKUP(H7541,IMPORTRANGE(""https://docs.google.com/spreadsheets/d/14Bd19lYaqBhU8_DElYkX7l4wRkHqqCUFNJY4AfY3kHU/edit?usp=sharing  #gid=0"",""фіз особи new!relations_name""),6,FALSE)
,
(IF
(
G7541=""юридична особа""
,
VLOOKUP"&amp;"(H7541,IMPORTRANGE(""https://docs.google.com/spreadsheets/d/14Bd19lYaqBhU8_DElYkX7l4wRkHqqCUFNJY4AfY3kHU/edit?usp=sharing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40" s="7" t="s">
        <v>28</v>
      </c>
    </row>
    <row r="7541" spans="1:10" ht="13.2">
      <c r="A7541" s="7">
        <v>7540</v>
      </c>
      <c r="B7541" s="7">
        <v>1</v>
      </c>
      <c r="C7541" s="7" t="s">
        <v>10</v>
      </c>
      <c r="D7541" s="7">
        <v>8362</v>
      </c>
      <c r="E7541" s="7" t="s">
        <v>29</v>
      </c>
      <c r="F7541" s="8" t="str">
        <f ca="1">IFERROR(__xludf.DUMMYFUNCTION("IF
(
C7542=""фізична особа""
,
VLOOKUP(D7542,IMPORTRANGE(""https://docs.google.com/spreadsheets/d/14Bd19lYaqBhU8_DElYkX7l4wRkHqqCUFNJY4AfY3kHU/edit?usp=sharing  #gid=0"",""фіз особи new!relations_name""),6,FALSE)
,
(IF
(
C7542=""юридична особа""
,
VLOOKUP"&amp;"(D7542,IMPORTRANGE(""https://docs.google.com/spreadsheets/d/14Bd19lYaqBhU8_DElYkX7l4wRkHqqCUFNJY4AfY3kHU/edit?usp=sharing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41" s="7" t="s">
        <v>10</v>
      </c>
      <c r="H7541" s="7">
        <v>8366</v>
      </c>
      <c r="I7541" s="8" t="str">
        <f ca="1">IFERROR(__xludf.DUMMYFUNCTION("IF
(
G7542=""фізична особа""
,
VLOOKUP(H7542,IMPORTRANGE(""https://docs.google.com/spreadsheets/d/14Bd19lYaqBhU8_DElYkX7l4wRkHqqCUFNJY4AfY3kHU/edit?usp=sharing  #gid=0"",""фіз особи new!relations_name""),6,FALSE)
,
(IF
(
G7542=""юридична особа""
,
VLOOKUP"&amp;"(H7542,IMPORTRANGE(""https://docs.google.com/spreadsheets/d/14Bd19lYaqBhU8_DElYkX7l4wRkHqqCUFNJY4AfY3kHU/edit?usp=sharing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41" s="7" t="s">
        <v>28</v>
      </c>
    </row>
    <row r="7542" spans="1:10" ht="13.2">
      <c r="A7542" s="7">
        <v>7541</v>
      </c>
      <c r="B7542" s="7">
        <v>1</v>
      </c>
      <c r="C7542" s="7" t="s">
        <v>10</v>
      </c>
      <c r="D7542" s="7">
        <v>8362</v>
      </c>
      <c r="E7542" s="7" t="s">
        <v>29</v>
      </c>
      <c r="F7542" s="8" t="str">
        <f ca="1">IFERROR(__xludf.DUMMYFUNCTION("IF
(
C7543=""фізична особа""
,
VLOOKUP(D7543,IMPORTRANGE(""https://docs.google.com/spreadsheets/d/14Bd19lYaqBhU8_DElYkX7l4wRkHqqCUFNJY4AfY3kHU/edit?usp=sharing  #gid=0"",""фіз особи new!relations_name""),6,FALSE)
,
(IF
(
C7543=""юридична особа""
,
VLOOKUP"&amp;"(D7543,IMPORTRANGE(""https://docs.google.com/spreadsheets/d/14Bd19lYaqBhU8_DElYkX7l4wRkHqqCUFNJY4AfY3kHU/edit?usp=sharing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42" s="7" t="s">
        <v>10</v>
      </c>
      <c r="H7542" s="7">
        <v>8367</v>
      </c>
      <c r="I7542" s="8" t="str">
        <f ca="1">IFERROR(__xludf.DUMMYFUNCTION("IF
(
G7543=""фізична особа""
,
VLOOKUP(H7543,IMPORTRANGE(""https://docs.google.com/spreadsheets/d/14Bd19lYaqBhU8_DElYkX7l4wRkHqqCUFNJY4AfY3kHU/edit?usp=sharing  #gid=0"",""фіз особи new!relations_name""),6,FALSE)
,
(IF
(
G7543=""юридична особа""
,
VLOOKUP"&amp;"(H7543,IMPORTRANGE(""https://docs.google.com/spreadsheets/d/14Bd19lYaqBhU8_DElYkX7l4wRkHqqCUFNJY4AfY3kHU/edit?usp=sharing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42" s="7" t="s">
        <v>28</v>
      </c>
    </row>
    <row r="7543" spans="1:10" ht="13.2">
      <c r="A7543" s="7">
        <v>7542</v>
      </c>
      <c r="B7543" s="7">
        <v>1</v>
      </c>
      <c r="C7543" s="7" t="s">
        <v>10</v>
      </c>
      <c r="D7543" s="7">
        <v>8362</v>
      </c>
      <c r="E7543" s="7" t="s">
        <v>29</v>
      </c>
      <c r="F7543" s="8" t="str">
        <f ca="1">IFERROR(__xludf.DUMMYFUNCTION("IF
(
C7544=""фізична особа""
,
VLOOKUP(D7544,IMPORTRANGE(""https://docs.google.com/spreadsheets/d/14Bd19lYaqBhU8_DElYkX7l4wRkHqqCUFNJY4AfY3kHU/edit?usp=sharing  #gid=0"",""фіз особи new!relations_name""),6,FALSE)
,
(IF
(
C7544=""юридична особа""
,
VLOOKUP"&amp;"(D7544,IMPORTRANGE(""https://docs.google.com/spreadsheets/d/14Bd19lYaqBhU8_DElYkX7l4wRkHqqCUFNJY4AfY3kHU/edit?usp=sharing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43" s="7" t="s">
        <v>10</v>
      </c>
      <c r="H7543" s="7">
        <v>8368</v>
      </c>
      <c r="I7543" s="8" t="str">
        <f ca="1">IFERROR(__xludf.DUMMYFUNCTION("IF
(
G7544=""фізична особа""
,
VLOOKUP(H7544,IMPORTRANGE(""https://docs.google.com/spreadsheets/d/14Bd19lYaqBhU8_DElYkX7l4wRkHqqCUFNJY4AfY3kHU/edit?usp=sharing  #gid=0"",""фіз особи new!relations_name""),6,FALSE)
,
(IF
(
G7544=""юридична особа""
,
VLOOKUP"&amp;"(H7544,IMPORTRANGE(""https://docs.google.com/spreadsheets/d/14Bd19lYaqBhU8_DElYkX7l4wRkHqqCUFNJY4AfY3kHU/edit?usp=sharing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43" s="7" t="s">
        <v>28</v>
      </c>
    </row>
    <row r="7544" spans="1:10" ht="13.2">
      <c r="A7544" s="7">
        <v>7543</v>
      </c>
      <c r="B7544" s="7">
        <v>1</v>
      </c>
      <c r="C7544" s="7" t="s">
        <v>10</v>
      </c>
      <c r="D7544" s="7">
        <v>8362</v>
      </c>
      <c r="E7544" s="7" t="s">
        <v>29</v>
      </c>
      <c r="F7544" s="8" t="str">
        <f ca="1">IFERROR(__xludf.DUMMYFUNCTION("IF
(
C7545=""фізична особа""
,
VLOOKUP(D7545,IMPORTRANGE(""https://docs.google.com/spreadsheets/d/14Bd19lYaqBhU8_DElYkX7l4wRkHqqCUFNJY4AfY3kHU/edit?usp=sharing  #gid=0"",""фіз особи new!relations_name""),6,FALSE)
,
(IF
(
C7545=""юридична особа""
,
VLOOKUP"&amp;"(D7545,IMPORTRANGE(""https://docs.google.com/spreadsheets/d/14Bd19lYaqBhU8_DElYkX7l4wRkHqqCUFNJY4AfY3kHU/edit?usp=sharing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G7544" s="7" t="s">
        <v>10</v>
      </c>
      <c r="H7544" s="7">
        <v>8369</v>
      </c>
      <c r="I7544" s="8" t="str">
        <f ca="1">IFERROR(__xludf.DUMMYFUNCTION("IF
(
G7545=""фізична особа""
,
VLOOKUP(H7545,IMPORTRANGE(""https://docs.google.com/spreadsheets/d/14Bd19lYaqBhU8_DElYkX7l4wRkHqqCUFNJY4AfY3kHU/edit?usp=sharing  #gid=0"",""фіз особи new!relations_name""),6,FALSE)
,
(IF
(
G7545=""юридична особа""
,
VLOOKUP"&amp;"(H7545,IMPORTRANGE(""https://docs.google.com/spreadsheets/d/14Bd19lYaqBhU8_DElYkX7l4wRkHqqCUFNJY4AfY3kHU/edit?usp=sharing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44" s="7" t="s">
        <v>28</v>
      </c>
    </row>
    <row r="7545" spans="1:10" ht="13.2">
      <c r="A7545" s="7">
        <v>7544</v>
      </c>
      <c r="B7545" s="7">
        <v>1</v>
      </c>
      <c r="C7545" s="7" t="s">
        <v>10</v>
      </c>
      <c r="D7545" s="7">
        <v>8363</v>
      </c>
      <c r="E7545" s="7" t="s">
        <v>30</v>
      </c>
      <c r="F7545" s="8" t="str">
        <f ca="1">IFERROR(__xludf.DUMMYFUNCTION("IF
(
C7546=""фізична особа""
,
VLOOKUP(D7546,IMPORTRANGE(""https://docs.google.com/spreadsheets/d/14Bd19lYaqBhU8_DElYkX7l4wRkHqqCUFNJY4AfY3kHU/edit?usp=sharing  #gid=0"",""фіз особи new!relations_name""),6,FALSE)
,
(IF
(
C7546=""юридична особа""
,
VLOOKUP"&amp;"(D7546,IMPORTRANGE(""https://docs.google.com/spreadsheets/d/14Bd19lYaqBhU8_DElYkX7l4wRkHqqCUFNJY4AfY3kHU/edit?usp=sharing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45" s="7" t="s">
        <v>10</v>
      </c>
      <c r="H7545" s="7">
        <v>8361</v>
      </c>
      <c r="I7545" s="8" t="str">
        <f ca="1">IFERROR(__xludf.DUMMYFUNCTION("IF
(
G7546=""фізична особа""
,
VLOOKUP(H7546,IMPORTRANGE(""https://docs.google.com/spreadsheets/d/14Bd19lYaqBhU8_DElYkX7l4wRkHqqCUFNJY4AfY3kHU/edit?usp=sharing  #gid=0"",""фіз особи new!relations_name""),6,FALSE)
,
(IF
(
G7546=""юридична особа""
,
VLOOKUP"&amp;"(H7546,IMPORTRANGE(""https://docs.google.com/spreadsheets/d/14Bd19lYaqBhU8_DElYkX7l4wRkHqqCUFNJY4AfY3kHU/edit?usp=sharing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45" s="7" t="s">
        <v>30</v>
      </c>
    </row>
    <row r="7546" spans="1:10" ht="13.2">
      <c r="A7546" s="7">
        <v>7545</v>
      </c>
      <c r="B7546" s="7">
        <v>1</v>
      </c>
      <c r="C7546" s="7" t="s">
        <v>10</v>
      </c>
      <c r="D7546" s="7">
        <v>8363</v>
      </c>
      <c r="E7546" s="7" t="s">
        <v>28</v>
      </c>
      <c r="F7546" s="8" t="str">
        <f ca="1">IFERROR(__xludf.DUMMYFUNCTION("IF
(
C7547=""фізична особа""
,
VLOOKUP(D7547,IMPORTRANGE(""https://docs.google.com/spreadsheets/d/14Bd19lYaqBhU8_DElYkX7l4wRkHqqCUFNJY4AfY3kHU/edit?usp=sharing  #gid=0"",""фіз особи new!relations_name""),6,FALSE)
,
(IF
(
C7547=""юридична особа""
,
VLOOKUP"&amp;"(D7547,IMPORTRANGE(""https://docs.google.com/spreadsheets/d/14Bd19lYaqBhU8_DElYkX7l4wRkHqqCUFNJY4AfY3kHU/edit?usp=sharing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46" s="7" t="s">
        <v>10</v>
      </c>
      <c r="H7546" s="7">
        <v>8360</v>
      </c>
      <c r="I7546" s="8" t="str">
        <f ca="1">IFERROR(__xludf.DUMMYFUNCTION("IF
(
G7547=""фізична особа""
,
VLOOKUP(H7547,IMPORTRANGE(""https://docs.google.com/spreadsheets/d/14Bd19lYaqBhU8_DElYkX7l4wRkHqqCUFNJY4AfY3kHU/edit?usp=sharing  #gid=0"",""фіз особи new!relations_name""),6,FALSE)
,
(IF
(
G7547=""юридична особа""
,
VLOOKUP"&amp;"(H7547,IMPORTRANGE(""https://docs.google.com/spreadsheets/d/14Bd19lYaqBhU8_DElYkX7l4wRkHqqCUFNJY4AfY3kHU/edit?usp=sharing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46" s="7" t="s">
        <v>29</v>
      </c>
    </row>
    <row r="7547" spans="1:10" ht="13.2">
      <c r="A7547" s="7">
        <v>7546</v>
      </c>
      <c r="B7547" s="7">
        <v>1</v>
      </c>
      <c r="C7547" s="7" t="s">
        <v>10</v>
      </c>
      <c r="D7547" s="7">
        <v>8363</v>
      </c>
      <c r="E7547" s="7" t="s">
        <v>28</v>
      </c>
      <c r="F7547" s="8" t="str">
        <f ca="1">IFERROR(__xludf.DUMMYFUNCTION("IF
(
C7548=""фізична особа""
,
VLOOKUP(D7548,IMPORTRANGE(""https://docs.google.com/spreadsheets/d/14Bd19lYaqBhU8_DElYkX7l4wRkHqqCUFNJY4AfY3kHU/edit?usp=sharing  #gid=0"",""фіз особи new!relations_name""),6,FALSE)
,
(IF
(
C7548=""юридична особа""
,
VLOOKUP"&amp;"(D7548,IMPORTRANGE(""https://docs.google.com/spreadsheets/d/14Bd19lYaqBhU8_DElYkX7l4wRkHqqCUFNJY4AfY3kHU/edit?usp=sharing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47" s="7" t="s">
        <v>10</v>
      </c>
      <c r="H7547" s="7">
        <v>8362</v>
      </c>
      <c r="I7547" s="8" t="str">
        <f ca="1">IFERROR(__xludf.DUMMYFUNCTION("IF
(
G7548=""фізична особа""
,
VLOOKUP(H7548,IMPORTRANGE(""https://docs.google.com/spreadsheets/d/14Bd19lYaqBhU8_DElYkX7l4wRkHqqCUFNJY4AfY3kHU/edit?usp=sharing  #gid=0"",""фіз особи new!relations_name""),6,FALSE)
,
(IF
(
G7548=""юридична особа""
,
VLOOKUP"&amp;"(H7548,IMPORTRANGE(""https://docs.google.com/spreadsheets/d/14Bd19lYaqBhU8_DElYkX7l4wRkHqqCUFNJY4AfY3kHU/edit?usp=sharing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47" s="7" t="s">
        <v>29</v>
      </c>
    </row>
    <row r="7548" spans="1:10" ht="13.2">
      <c r="A7548" s="7">
        <v>7547</v>
      </c>
      <c r="B7548" s="7">
        <v>1</v>
      </c>
      <c r="C7548" s="7" t="s">
        <v>10</v>
      </c>
      <c r="D7548" s="7">
        <v>8363</v>
      </c>
      <c r="E7548" s="7" t="s">
        <v>35</v>
      </c>
      <c r="F7548" s="8" t="str">
        <f ca="1">IFERROR(__xludf.DUMMYFUNCTION("IF
(
C7549=""фізична особа""
,
VLOOKUP(D7549,IMPORTRANGE(""https://docs.google.com/spreadsheets/d/14Bd19lYaqBhU8_DElYkX7l4wRkHqqCUFNJY4AfY3kHU/edit?usp=sharing  #gid=0"",""фіз особи new!relations_name""),6,FALSE)
,
(IF
(
C7549=""юридична особа""
,
VLOOKUP"&amp;"(D7549,IMPORTRANGE(""https://docs.google.com/spreadsheets/d/14Bd19lYaqBhU8_DElYkX7l4wRkHqqCUFNJY4AfY3kHU/edit?usp=sharing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48" s="7" t="s">
        <v>10</v>
      </c>
      <c r="H7548" s="7">
        <v>8364</v>
      </c>
      <c r="I7548" s="8" t="str">
        <f ca="1">IFERROR(__xludf.DUMMYFUNCTION("IF
(
G7549=""фізична особа""
,
VLOOKUP(H7549,IMPORTRANGE(""https://docs.google.com/spreadsheets/d/14Bd19lYaqBhU8_DElYkX7l4wRkHqqCUFNJY4AfY3kHU/edit?usp=sharing  #gid=0"",""фіз особи new!relations_name""),6,FALSE)
,
(IF
(
G7549=""юридична особа""
,
VLOOKUP"&amp;"(H7549,IMPORTRANGE(""https://docs.google.com/spreadsheets/d/14Bd19lYaqBhU8_DElYkX7l4wRkHqqCUFNJY4AfY3kHU/edit?usp=sharing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48" s="7" t="s">
        <v>35</v>
      </c>
    </row>
    <row r="7549" spans="1:10" ht="13.2">
      <c r="A7549" s="7">
        <v>7548</v>
      </c>
      <c r="B7549" s="7">
        <v>1</v>
      </c>
      <c r="C7549" s="7" t="s">
        <v>10</v>
      </c>
      <c r="D7549" s="7">
        <v>8363</v>
      </c>
      <c r="E7549" s="7" t="s">
        <v>35</v>
      </c>
      <c r="F7549" s="8" t="str">
        <f ca="1">IFERROR(__xludf.DUMMYFUNCTION("IF
(
C7550=""фізична особа""
,
VLOOKUP(D7550,IMPORTRANGE(""https://docs.google.com/spreadsheets/d/14Bd19lYaqBhU8_DElYkX7l4wRkHqqCUFNJY4AfY3kHU/edit?usp=sharing  #gid=0"",""фіз особи new!relations_name""),6,FALSE)
,
(IF
(
C7550=""юридична особа""
,
VLOOKUP"&amp;"(D7550,IMPORTRANGE(""https://docs.google.com/spreadsheets/d/14Bd19lYaqBhU8_DElYkX7l4wRkHqqCUFNJY4AfY3kHU/edit?usp=sharing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49" s="7" t="s">
        <v>10</v>
      </c>
      <c r="H7549" s="7">
        <v>8365</v>
      </c>
      <c r="I7549" s="8" t="str">
        <f ca="1">IFERROR(__xludf.DUMMYFUNCTION("IF
(
G7550=""фізична особа""
,
VLOOKUP(H7550,IMPORTRANGE(""https://docs.google.com/spreadsheets/d/14Bd19lYaqBhU8_DElYkX7l4wRkHqqCUFNJY4AfY3kHU/edit?usp=sharing  #gid=0"",""фіз особи new!relations_name""),6,FALSE)
,
(IF
(
G7550=""юридична особа""
,
VLOOKUP"&amp;"(H7550,IMPORTRANGE(""https://docs.google.com/spreadsheets/d/14Bd19lYaqBhU8_DElYkX7l4wRkHqqCUFNJY4AfY3kHU/edit?usp=sharing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49" s="7" t="s">
        <v>35</v>
      </c>
    </row>
    <row r="7550" spans="1:10" ht="13.2">
      <c r="A7550" s="7">
        <v>7549</v>
      </c>
      <c r="B7550" s="7">
        <v>1</v>
      </c>
      <c r="C7550" s="7" t="s">
        <v>10</v>
      </c>
      <c r="D7550" s="7">
        <v>8363</v>
      </c>
      <c r="E7550" s="7" t="s">
        <v>35</v>
      </c>
      <c r="F7550" s="8" t="str">
        <f ca="1">IFERROR(__xludf.DUMMYFUNCTION("IF
(
C7551=""фізична особа""
,
VLOOKUP(D7551,IMPORTRANGE(""https://docs.google.com/spreadsheets/d/14Bd19lYaqBhU8_DElYkX7l4wRkHqqCUFNJY4AfY3kHU/edit?usp=sharing  #gid=0"",""фіз особи new!relations_name""),6,FALSE)
,
(IF
(
C7551=""юридична особа""
,
VLOOKUP"&amp;"(D7551,IMPORTRANGE(""https://docs.google.com/spreadsheets/d/14Bd19lYaqBhU8_DElYkX7l4wRkHqqCUFNJY4AfY3kHU/edit?usp=sharing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50" s="7" t="s">
        <v>10</v>
      </c>
      <c r="H7550" s="7">
        <v>8366</v>
      </c>
      <c r="I7550" s="8" t="str">
        <f ca="1">IFERROR(__xludf.DUMMYFUNCTION("IF
(
G7551=""фізична особа""
,
VLOOKUP(H7551,IMPORTRANGE(""https://docs.google.com/spreadsheets/d/14Bd19lYaqBhU8_DElYkX7l4wRkHqqCUFNJY4AfY3kHU/edit?usp=sharing  #gid=0"",""фіз особи new!relations_name""),6,FALSE)
,
(IF
(
G7551=""юридична особа""
,
VLOOKUP"&amp;"(H7551,IMPORTRANGE(""https://docs.google.com/spreadsheets/d/14Bd19lYaqBhU8_DElYkX7l4wRkHqqCUFNJY4AfY3kHU/edit?usp=sharing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50" s="7" t="s">
        <v>35</v>
      </c>
    </row>
    <row r="7551" spans="1:10" ht="13.2">
      <c r="A7551" s="7">
        <v>7550</v>
      </c>
      <c r="B7551" s="7">
        <v>1</v>
      </c>
      <c r="C7551" s="7" t="s">
        <v>10</v>
      </c>
      <c r="D7551" s="7">
        <v>8363</v>
      </c>
      <c r="E7551" s="7" t="s">
        <v>35</v>
      </c>
      <c r="F7551" s="8" t="str">
        <f ca="1">IFERROR(__xludf.DUMMYFUNCTION("IF
(
C7552=""фізична особа""
,
VLOOKUP(D7552,IMPORTRANGE(""https://docs.google.com/spreadsheets/d/14Bd19lYaqBhU8_DElYkX7l4wRkHqqCUFNJY4AfY3kHU/edit?usp=sharing  #gid=0"",""фіз особи new!relations_name""),6,FALSE)
,
(IF
(
C7552=""юридична особа""
,
VLOOKUP"&amp;"(D7552,IMPORTRANGE(""https://docs.google.com/spreadsheets/d/14Bd19lYaqBhU8_DElYkX7l4wRkHqqCUFNJY4AfY3kHU/edit?usp=sharing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51" s="7" t="s">
        <v>10</v>
      </c>
      <c r="H7551" s="7">
        <v>8367</v>
      </c>
      <c r="I7551" s="8" t="str">
        <f ca="1">IFERROR(__xludf.DUMMYFUNCTION("IF
(
G7552=""фізична особа""
,
VLOOKUP(H7552,IMPORTRANGE(""https://docs.google.com/spreadsheets/d/14Bd19lYaqBhU8_DElYkX7l4wRkHqqCUFNJY4AfY3kHU/edit?usp=sharing  #gid=0"",""фіз особи new!relations_name""),6,FALSE)
,
(IF
(
G7552=""юридична особа""
,
VLOOKUP"&amp;"(H7552,IMPORTRANGE(""https://docs.google.com/spreadsheets/d/14Bd19lYaqBhU8_DElYkX7l4wRkHqqCUFNJY4AfY3kHU/edit?usp=sharing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51" s="7" t="s">
        <v>35</v>
      </c>
    </row>
    <row r="7552" spans="1:10" ht="13.2">
      <c r="A7552" s="7">
        <v>7551</v>
      </c>
      <c r="B7552" s="7">
        <v>1</v>
      </c>
      <c r="C7552" s="7" t="s">
        <v>10</v>
      </c>
      <c r="D7552" s="7">
        <v>8363</v>
      </c>
      <c r="E7552" s="7" t="s">
        <v>35</v>
      </c>
      <c r="F7552" s="8" t="str">
        <f ca="1">IFERROR(__xludf.DUMMYFUNCTION("IF
(
C7553=""фізична особа""
,
VLOOKUP(D7553,IMPORTRANGE(""https://docs.google.com/spreadsheets/d/14Bd19lYaqBhU8_DElYkX7l4wRkHqqCUFNJY4AfY3kHU/edit?usp=sharing  #gid=0"",""фіз особи new!relations_name""),6,FALSE)
,
(IF
(
C7553=""юридична особа""
,
VLOOKUP"&amp;"(D7553,IMPORTRANGE(""https://docs.google.com/spreadsheets/d/14Bd19lYaqBhU8_DElYkX7l4wRkHqqCUFNJY4AfY3kHU/edit?usp=sharing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52" s="7" t="s">
        <v>10</v>
      </c>
      <c r="H7552" s="7">
        <v>8368</v>
      </c>
      <c r="I7552" s="8" t="str">
        <f ca="1">IFERROR(__xludf.DUMMYFUNCTION("IF
(
G7553=""фізична особа""
,
VLOOKUP(H7553,IMPORTRANGE(""https://docs.google.com/spreadsheets/d/14Bd19lYaqBhU8_DElYkX7l4wRkHqqCUFNJY4AfY3kHU/edit?usp=sharing  #gid=0"",""фіз особи new!relations_name""),6,FALSE)
,
(IF
(
G7553=""юридична особа""
,
VLOOKUP"&amp;"(H7553,IMPORTRANGE(""https://docs.google.com/spreadsheets/d/14Bd19lYaqBhU8_DElYkX7l4wRkHqqCUFNJY4AfY3kHU/edit?usp=sharing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52" s="7" t="s">
        <v>35</v>
      </c>
    </row>
    <row r="7553" spans="1:10" ht="13.2">
      <c r="A7553" s="7">
        <v>7552</v>
      </c>
      <c r="B7553" s="7">
        <v>1</v>
      </c>
      <c r="C7553" s="7" t="s">
        <v>10</v>
      </c>
      <c r="D7553" s="7">
        <v>8363</v>
      </c>
      <c r="E7553" s="7" t="s">
        <v>35</v>
      </c>
      <c r="F7553" s="8" t="str">
        <f ca="1">IFERROR(__xludf.DUMMYFUNCTION("IF
(
C7554=""фізична особа""
,
VLOOKUP(D7554,IMPORTRANGE(""https://docs.google.com/spreadsheets/d/14Bd19lYaqBhU8_DElYkX7l4wRkHqqCUFNJY4AfY3kHU/edit?usp=sharing  #gid=0"",""фіз особи new!relations_name""),6,FALSE)
,
(IF
(
C7554=""юридична особа""
,
VLOOKUP"&amp;"(D7554,IMPORTRANGE(""https://docs.google.com/spreadsheets/d/14Bd19lYaqBhU8_DElYkX7l4wRkHqqCUFNJY4AfY3kHU/edit?usp=sharing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G7553" s="7" t="s">
        <v>10</v>
      </c>
      <c r="H7553" s="7">
        <v>8369</v>
      </c>
      <c r="I7553" s="8" t="str">
        <f ca="1">IFERROR(__xludf.DUMMYFUNCTION("IF
(
G7554=""фізична особа""
,
VLOOKUP(H7554,IMPORTRANGE(""https://docs.google.com/spreadsheets/d/14Bd19lYaqBhU8_DElYkX7l4wRkHqqCUFNJY4AfY3kHU/edit?usp=sharing  #gid=0"",""фіз особи new!relations_name""),6,FALSE)
,
(IF
(
G7554=""юридична особа""
,
VLOOKUP"&amp;"(H7554,IMPORTRANGE(""https://docs.google.com/spreadsheets/d/14Bd19lYaqBhU8_DElYkX7l4wRkHqqCUFNJY4AfY3kHU/edit?usp=sharing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53" s="7" t="s">
        <v>35</v>
      </c>
    </row>
    <row r="7554" spans="1:10" ht="13.2">
      <c r="A7554" s="7">
        <v>7553</v>
      </c>
      <c r="B7554" s="7">
        <v>1</v>
      </c>
      <c r="C7554" s="7" t="s">
        <v>10</v>
      </c>
      <c r="D7554" s="7">
        <v>8364</v>
      </c>
      <c r="E7554" s="7" t="s">
        <v>30</v>
      </c>
      <c r="F7554" s="8" t="str">
        <f ca="1">IFERROR(__xludf.DUMMYFUNCTION("IF
(
C7555=""фізична особа""
,
VLOOKUP(D7555,IMPORTRANGE(""https://docs.google.com/spreadsheets/d/14Bd19lYaqBhU8_DElYkX7l4wRkHqqCUFNJY4AfY3kHU/edit?usp=sharing  #gid=0"",""фіз особи new!relations_name""),6,FALSE)
,
(IF
(
C7555=""юридична особа""
,
VLOOKUP"&amp;"(D7555,IMPORTRANGE(""https://docs.google.com/spreadsheets/d/14Bd19lYaqBhU8_DElYkX7l4wRkHqqCUFNJY4AfY3kHU/edit?usp=sharing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4" s="7" t="s">
        <v>10</v>
      </c>
      <c r="H7554" s="7">
        <v>8361</v>
      </c>
      <c r="I7554" s="8" t="str">
        <f ca="1">IFERROR(__xludf.DUMMYFUNCTION("IF
(
G7555=""фізична особа""
,
VLOOKUP(H7555,IMPORTRANGE(""https://docs.google.com/spreadsheets/d/14Bd19lYaqBhU8_DElYkX7l4wRkHqqCUFNJY4AfY3kHU/edit?usp=sharing  #gid=0"",""фіз особи new!relations_name""),6,FALSE)
,
(IF
(
G7555=""юридична особа""
,
VLOOKUP"&amp;"(H7555,IMPORTRANGE(""https://docs.google.com/spreadsheets/d/14Bd19lYaqBhU8_DElYkX7l4wRkHqqCUFNJY4AfY3kHU/edit?usp=sharing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54" s="7" t="s">
        <v>30</v>
      </c>
    </row>
    <row r="7555" spans="1:10" ht="13.2">
      <c r="A7555" s="7">
        <v>7554</v>
      </c>
      <c r="B7555" s="7">
        <v>1</v>
      </c>
      <c r="C7555" s="7" t="s">
        <v>10</v>
      </c>
      <c r="D7555" s="7">
        <v>8364</v>
      </c>
      <c r="E7555" s="7" t="s">
        <v>28</v>
      </c>
      <c r="F7555" s="8" t="str">
        <f ca="1">IFERROR(__xludf.DUMMYFUNCTION("IF
(
C7556=""фізична особа""
,
VLOOKUP(D7556,IMPORTRANGE(""https://docs.google.com/spreadsheets/d/14Bd19lYaqBhU8_DElYkX7l4wRkHqqCUFNJY4AfY3kHU/edit?usp=sharing  #gid=0"",""фіз особи new!relations_name""),6,FALSE)
,
(IF
(
C7556=""юридична особа""
,
VLOOKUP"&amp;"(D7556,IMPORTRANGE(""https://docs.google.com/spreadsheets/d/14Bd19lYaqBhU8_DElYkX7l4wRkHqqCUFNJY4AfY3kHU/edit?usp=sharing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5" s="7" t="s">
        <v>10</v>
      </c>
      <c r="H7555" s="7">
        <v>8360</v>
      </c>
      <c r="I7555" s="8" t="str">
        <f ca="1">IFERROR(__xludf.DUMMYFUNCTION("IF
(
G7556=""фізична особа""
,
VLOOKUP(H7556,IMPORTRANGE(""https://docs.google.com/spreadsheets/d/14Bd19lYaqBhU8_DElYkX7l4wRkHqqCUFNJY4AfY3kHU/edit?usp=sharing  #gid=0"",""фіз особи new!relations_name""),6,FALSE)
,
(IF
(
G7556=""юридична особа""
,
VLOOKUP"&amp;"(H7556,IMPORTRANGE(""https://docs.google.com/spreadsheets/d/14Bd19lYaqBhU8_DElYkX7l4wRkHqqCUFNJY4AfY3kHU/edit?usp=sharing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55" s="7" t="s">
        <v>29</v>
      </c>
    </row>
    <row r="7556" spans="1:10" ht="13.2">
      <c r="A7556" s="7">
        <v>7555</v>
      </c>
      <c r="B7556" s="7">
        <v>1</v>
      </c>
      <c r="C7556" s="7" t="s">
        <v>10</v>
      </c>
      <c r="D7556" s="7">
        <v>8364</v>
      </c>
      <c r="E7556" s="7" t="s">
        <v>28</v>
      </c>
      <c r="F7556" s="8" t="str">
        <f ca="1">IFERROR(__xludf.DUMMYFUNCTION("IF
(
C7557=""фізична особа""
,
VLOOKUP(D7557,IMPORTRANGE(""https://docs.google.com/spreadsheets/d/14Bd19lYaqBhU8_DElYkX7l4wRkHqqCUFNJY4AfY3kHU/edit?usp=sharing  #gid=0"",""фіз особи new!relations_name""),6,FALSE)
,
(IF
(
C7557=""юридична особа""
,
VLOOKUP"&amp;"(D7557,IMPORTRANGE(""https://docs.google.com/spreadsheets/d/14Bd19lYaqBhU8_DElYkX7l4wRkHqqCUFNJY4AfY3kHU/edit?usp=sharing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6" s="7" t="s">
        <v>10</v>
      </c>
      <c r="H7556" s="7">
        <v>8362</v>
      </c>
      <c r="I7556" s="8" t="str">
        <f ca="1">IFERROR(__xludf.DUMMYFUNCTION("IF
(
G7557=""фізична особа""
,
VLOOKUP(H7557,IMPORTRANGE(""https://docs.google.com/spreadsheets/d/14Bd19lYaqBhU8_DElYkX7l4wRkHqqCUFNJY4AfY3kHU/edit?usp=sharing  #gid=0"",""фіз особи new!relations_name""),6,FALSE)
,
(IF
(
G7557=""юридична особа""
,
VLOOKUP"&amp;"(H7557,IMPORTRANGE(""https://docs.google.com/spreadsheets/d/14Bd19lYaqBhU8_DElYkX7l4wRkHqqCUFNJY4AfY3kHU/edit?usp=sharing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56" s="7" t="s">
        <v>29</v>
      </c>
    </row>
    <row r="7557" spans="1:10" ht="13.2">
      <c r="A7557" s="7">
        <v>7556</v>
      </c>
      <c r="B7557" s="7">
        <v>1</v>
      </c>
      <c r="C7557" s="7" t="s">
        <v>10</v>
      </c>
      <c r="D7557" s="7">
        <v>8364</v>
      </c>
      <c r="E7557" s="7" t="s">
        <v>35</v>
      </c>
      <c r="F7557" s="8" t="str">
        <f ca="1">IFERROR(__xludf.DUMMYFUNCTION("IF
(
C7558=""фізична особа""
,
VLOOKUP(D7558,IMPORTRANGE(""https://docs.google.com/spreadsheets/d/14Bd19lYaqBhU8_DElYkX7l4wRkHqqCUFNJY4AfY3kHU/edit?usp=sharing  #gid=0"",""фіз особи new!relations_name""),6,FALSE)
,
(IF
(
C7558=""юридична особа""
,
VLOOKUP"&amp;"(D7558,IMPORTRANGE(""https://docs.google.com/spreadsheets/d/14Bd19lYaqBhU8_DElYkX7l4wRkHqqCUFNJY4AfY3kHU/edit?usp=sharing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7" s="7" t="s">
        <v>10</v>
      </c>
      <c r="H7557" s="7">
        <v>8363</v>
      </c>
      <c r="I7557" s="8" t="str">
        <f ca="1">IFERROR(__xludf.DUMMYFUNCTION("IF
(
G7558=""фізична особа""
,
VLOOKUP(H7558,IMPORTRANGE(""https://docs.google.com/spreadsheets/d/14Bd19lYaqBhU8_DElYkX7l4wRkHqqCUFNJY4AfY3kHU/edit?usp=sharing  #gid=0"",""фіз особи new!relations_name""),6,FALSE)
,
(IF
(
G7558=""юридична особа""
,
VLOOKUP"&amp;"(H7558,IMPORTRANGE(""https://docs.google.com/spreadsheets/d/14Bd19lYaqBhU8_DElYkX7l4wRkHqqCUFNJY4AfY3kHU/edit?usp=sharing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57" s="7" t="s">
        <v>35</v>
      </c>
    </row>
    <row r="7558" spans="1:10" ht="13.2">
      <c r="A7558" s="7">
        <v>7557</v>
      </c>
      <c r="B7558" s="7">
        <v>1</v>
      </c>
      <c r="C7558" s="7" t="s">
        <v>10</v>
      </c>
      <c r="D7558" s="7">
        <v>8364</v>
      </c>
      <c r="E7558" s="7" t="s">
        <v>35</v>
      </c>
      <c r="F7558" s="8" t="str">
        <f ca="1">IFERROR(__xludf.DUMMYFUNCTION("IF
(
C7559=""фізична особа""
,
VLOOKUP(D7559,IMPORTRANGE(""https://docs.google.com/spreadsheets/d/14Bd19lYaqBhU8_DElYkX7l4wRkHqqCUFNJY4AfY3kHU/edit?usp=sharing  #gid=0"",""фіз особи new!relations_name""),6,FALSE)
,
(IF
(
C7559=""юридична особа""
,
VLOOKUP"&amp;"(D7559,IMPORTRANGE(""https://docs.google.com/spreadsheets/d/14Bd19lYaqBhU8_DElYkX7l4wRkHqqCUFNJY4AfY3kHU/edit?usp=sharing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8" s="7" t="s">
        <v>10</v>
      </c>
      <c r="H7558" s="7">
        <v>8365</v>
      </c>
      <c r="I7558" s="8" t="str">
        <f ca="1">IFERROR(__xludf.DUMMYFUNCTION("IF
(
G7559=""фізична особа""
,
VLOOKUP(H7559,IMPORTRANGE(""https://docs.google.com/spreadsheets/d/14Bd19lYaqBhU8_DElYkX7l4wRkHqqCUFNJY4AfY3kHU/edit?usp=sharing  #gid=0"",""фіз особи new!relations_name""),6,FALSE)
,
(IF
(
G7559=""юридична особа""
,
VLOOKUP"&amp;"(H7559,IMPORTRANGE(""https://docs.google.com/spreadsheets/d/14Bd19lYaqBhU8_DElYkX7l4wRkHqqCUFNJY4AfY3kHU/edit?usp=sharing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58" s="7" t="s">
        <v>35</v>
      </c>
    </row>
    <row r="7559" spans="1:10" ht="13.2">
      <c r="A7559" s="7">
        <v>7558</v>
      </c>
      <c r="B7559" s="7">
        <v>1</v>
      </c>
      <c r="C7559" s="7" t="s">
        <v>10</v>
      </c>
      <c r="D7559" s="7">
        <v>8364</v>
      </c>
      <c r="E7559" s="7" t="s">
        <v>35</v>
      </c>
      <c r="F7559" s="8" t="str">
        <f ca="1">IFERROR(__xludf.DUMMYFUNCTION("IF
(
C7560=""фізична особа""
,
VLOOKUP(D7560,IMPORTRANGE(""https://docs.google.com/spreadsheets/d/14Bd19lYaqBhU8_DElYkX7l4wRkHqqCUFNJY4AfY3kHU/edit?usp=sharing  #gid=0"",""фіз особи new!relations_name""),6,FALSE)
,
(IF
(
C7560=""юридична особа""
,
VLOOKUP"&amp;"(D7560,IMPORTRANGE(""https://docs.google.com/spreadsheets/d/14Bd19lYaqBhU8_DElYkX7l4wRkHqqCUFNJY4AfY3kHU/edit?usp=sharing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59" s="7" t="s">
        <v>10</v>
      </c>
      <c r="H7559" s="7">
        <v>8366</v>
      </c>
      <c r="I7559" s="8" t="str">
        <f ca="1">IFERROR(__xludf.DUMMYFUNCTION("IF
(
G7560=""фізична особа""
,
VLOOKUP(H7560,IMPORTRANGE(""https://docs.google.com/spreadsheets/d/14Bd19lYaqBhU8_DElYkX7l4wRkHqqCUFNJY4AfY3kHU/edit?usp=sharing  #gid=0"",""фіз особи new!relations_name""),6,FALSE)
,
(IF
(
G7560=""юридична особа""
,
VLOOKUP"&amp;"(H7560,IMPORTRANGE(""https://docs.google.com/spreadsheets/d/14Bd19lYaqBhU8_DElYkX7l4wRkHqqCUFNJY4AfY3kHU/edit?usp=sharing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59" s="7" t="s">
        <v>35</v>
      </c>
    </row>
    <row r="7560" spans="1:10" ht="13.2">
      <c r="A7560" s="7">
        <v>7559</v>
      </c>
      <c r="B7560" s="7">
        <v>1</v>
      </c>
      <c r="C7560" s="7" t="s">
        <v>10</v>
      </c>
      <c r="D7560" s="7">
        <v>8364</v>
      </c>
      <c r="E7560" s="7" t="s">
        <v>35</v>
      </c>
      <c r="F7560" s="8" t="str">
        <f ca="1">IFERROR(__xludf.DUMMYFUNCTION("IF
(
C7561=""фізична особа""
,
VLOOKUP(D7561,IMPORTRANGE(""https://docs.google.com/spreadsheets/d/14Bd19lYaqBhU8_DElYkX7l4wRkHqqCUFNJY4AfY3kHU/edit?usp=sharing  #gid=0"",""фіз особи new!relations_name""),6,FALSE)
,
(IF
(
C7561=""юридична особа""
,
VLOOKUP"&amp;"(D7561,IMPORTRANGE(""https://docs.google.com/spreadsheets/d/14Bd19lYaqBhU8_DElYkX7l4wRkHqqCUFNJY4AfY3kHU/edit?usp=sharing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60" s="7" t="s">
        <v>10</v>
      </c>
      <c r="H7560" s="7">
        <v>8367</v>
      </c>
      <c r="I7560" s="8" t="str">
        <f ca="1">IFERROR(__xludf.DUMMYFUNCTION("IF
(
G7561=""фізична особа""
,
VLOOKUP(H7561,IMPORTRANGE(""https://docs.google.com/spreadsheets/d/14Bd19lYaqBhU8_DElYkX7l4wRkHqqCUFNJY4AfY3kHU/edit?usp=sharing  #gid=0"",""фіз особи new!relations_name""),6,FALSE)
,
(IF
(
G7561=""юридична особа""
,
VLOOKUP"&amp;"(H7561,IMPORTRANGE(""https://docs.google.com/spreadsheets/d/14Bd19lYaqBhU8_DElYkX7l4wRkHqqCUFNJY4AfY3kHU/edit?usp=sharing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60" s="7" t="s">
        <v>35</v>
      </c>
    </row>
    <row r="7561" spans="1:10" ht="13.2">
      <c r="A7561" s="7">
        <v>7560</v>
      </c>
      <c r="B7561" s="7">
        <v>1</v>
      </c>
      <c r="C7561" s="7" t="s">
        <v>10</v>
      </c>
      <c r="D7561" s="7">
        <v>8364</v>
      </c>
      <c r="E7561" s="7" t="s">
        <v>35</v>
      </c>
      <c r="F7561" s="8" t="str">
        <f ca="1">IFERROR(__xludf.DUMMYFUNCTION("IF
(
C7562=""фізична особа""
,
VLOOKUP(D7562,IMPORTRANGE(""https://docs.google.com/spreadsheets/d/14Bd19lYaqBhU8_DElYkX7l4wRkHqqCUFNJY4AfY3kHU/edit?usp=sharing  #gid=0"",""фіз особи new!relations_name""),6,FALSE)
,
(IF
(
C7562=""юридична особа""
,
VLOOKUP"&amp;"(D7562,IMPORTRANGE(""https://docs.google.com/spreadsheets/d/14Bd19lYaqBhU8_DElYkX7l4wRkHqqCUFNJY4AfY3kHU/edit?usp=sharing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61" s="7" t="s">
        <v>10</v>
      </c>
      <c r="H7561" s="7">
        <v>8368</v>
      </c>
      <c r="I7561" s="8" t="str">
        <f ca="1">IFERROR(__xludf.DUMMYFUNCTION("IF
(
G7562=""фізична особа""
,
VLOOKUP(H7562,IMPORTRANGE(""https://docs.google.com/spreadsheets/d/14Bd19lYaqBhU8_DElYkX7l4wRkHqqCUFNJY4AfY3kHU/edit?usp=sharing  #gid=0"",""фіз особи new!relations_name""),6,FALSE)
,
(IF
(
G7562=""юридична особа""
,
VLOOKUP"&amp;"(H7562,IMPORTRANGE(""https://docs.google.com/spreadsheets/d/14Bd19lYaqBhU8_DElYkX7l4wRkHqqCUFNJY4AfY3kHU/edit?usp=sharing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61" s="7" t="s">
        <v>35</v>
      </c>
    </row>
    <row r="7562" spans="1:10" ht="13.2">
      <c r="A7562" s="7">
        <v>7561</v>
      </c>
      <c r="B7562" s="7">
        <v>1</v>
      </c>
      <c r="C7562" s="7" t="s">
        <v>10</v>
      </c>
      <c r="D7562" s="7">
        <v>8364</v>
      </c>
      <c r="E7562" s="7" t="s">
        <v>35</v>
      </c>
      <c r="F7562" s="8" t="str">
        <f ca="1">IFERROR(__xludf.DUMMYFUNCTION("IF
(
C7563=""фізична особа""
,
VLOOKUP(D7563,IMPORTRANGE(""https://docs.google.com/spreadsheets/d/14Bd19lYaqBhU8_DElYkX7l4wRkHqqCUFNJY4AfY3kHU/edit?usp=sharing  #gid=0"",""фіз особи new!relations_name""),6,FALSE)
,
(IF
(
C7563=""юридична особа""
,
VLOOKUP"&amp;"(D7563,IMPORTRANGE(""https://docs.google.com/spreadsheets/d/14Bd19lYaqBhU8_DElYkX7l4wRkHqqCUFNJY4AfY3kHU/edit?usp=sharing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G7562" s="7" t="s">
        <v>10</v>
      </c>
      <c r="H7562" s="7">
        <v>8369</v>
      </c>
      <c r="I7562" s="8" t="str">
        <f ca="1">IFERROR(__xludf.DUMMYFUNCTION("IF
(
G7563=""фізична особа""
,
VLOOKUP(H7563,IMPORTRANGE(""https://docs.google.com/spreadsheets/d/14Bd19lYaqBhU8_DElYkX7l4wRkHqqCUFNJY4AfY3kHU/edit?usp=sharing  #gid=0"",""фіз особи new!relations_name""),6,FALSE)
,
(IF
(
G7563=""юридична особа""
,
VLOOKUP"&amp;"(H7563,IMPORTRANGE(""https://docs.google.com/spreadsheets/d/14Bd19lYaqBhU8_DElYkX7l4wRkHqqCUFNJY4AfY3kHU/edit?usp=sharing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62" s="7" t="s">
        <v>35</v>
      </c>
    </row>
    <row r="7563" spans="1:10" ht="13.2">
      <c r="A7563" s="7">
        <v>7562</v>
      </c>
      <c r="B7563" s="7">
        <v>1</v>
      </c>
      <c r="C7563" s="7" t="s">
        <v>10</v>
      </c>
      <c r="D7563" s="7">
        <v>8365</v>
      </c>
      <c r="E7563" s="7" t="s">
        <v>30</v>
      </c>
      <c r="F7563" s="8" t="str">
        <f ca="1">IFERROR(__xludf.DUMMYFUNCTION("IF
(
C7564=""фізична особа""
,
VLOOKUP(D7564,IMPORTRANGE(""https://docs.google.com/spreadsheets/d/14Bd19lYaqBhU8_DElYkX7l4wRkHqqCUFNJY4AfY3kHU/edit?usp=sharing  #gid=0"",""фіз особи new!relations_name""),6,FALSE)
,
(IF
(
C7564=""юридична особа""
,
VLOOKUP"&amp;"(D7564,IMPORTRANGE(""https://docs.google.com/spreadsheets/d/14Bd19lYaqBhU8_DElYkX7l4wRkHqqCUFNJY4AfY3kHU/edit?usp=sharing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3" s="7" t="s">
        <v>10</v>
      </c>
      <c r="H7563" s="7">
        <v>8361</v>
      </c>
      <c r="I7563" s="8" t="str">
        <f ca="1">IFERROR(__xludf.DUMMYFUNCTION("IF
(
G7564=""фізична особа""
,
VLOOKUP(H7564,IMPORTRANGE(""https://docs.google.com/spreadsheets/d/14Bd19lYaqBhU8_DElYkX7l4wRkHqqCUFNJY4AfY3kHU/edit?usp=sharing  #gid=0"",""фіз особи new!relations_name""),6,FALSE)
,
(IF
(
G7564=""юридична особа""
,
VLOOKUP"&amp;"(H7564,IMPORTRANGE(""https://docs.google.com/spreadsheets/d/14Bd19lYaqBhU8_DElYkX7l4wRkHqqCUFNJY4AfY3kHU/edit?usp=sharing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63" s="7" t="s">
        <v>30</v>
      </c>
    </row>
    <row r="7564" spans="1:10" ht="13.2">
      <c r="A7564" s="7">
        <v>7563</v>
      </c>
      <c r="B7564" s="7">
        <v>1</v>
      </c>
      <c r="C7564" s="7" t="s">
        <v>10</v>
      </c>
      <c r="D7564" s="7">
        <v>8365</v>
      </c>
      <c r="E7564" s="7" t="s">
        <v>28</v>
      </c>
      <c r="F7564" s="8" t="str">
        <f ca="1">IFERROR(__xludf.DUMMYFUNCTION("IF
(
C7565=""фізична особа""
,
VLOOKUP(D7565,IMPORTRANGE(""https://docs.google.com/spreadsheets/d/14Bd19lYaqBhU8_DElYkX7l4wRkHqqCUFNJY4AfY3kHU/edit?usp=sharing  #gid=0"",""фіз особи new!relations_name""),6,FALSE)
,
(IF
(
C7565=""юридична особа""
,
VLOOKUP"&amp;"(D7565,IMPORTRANGE(""https://docs.google.com/spreadsheets/d/14Bd19lYaqBhU8_DElYkX7l4wRkHqqCUFNJY4AfY3kHU/edit?usp=sharing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4" s="7" t="s">
        <v>10</v>
      </c>
      <c r="H7564" s="7">
        <v>8360</v>
      </c>
      <c r="I7564" s="8" t="str">
        <f ca="1">IFERROR(__xludf.DUMMYFUNCTION("IF
(
G7565=""фізична особа""
,
VLOOKUP(H7565,IMPORTRANGE(""https://docs.google.com/spreadsheets/d/14Bd19lYaqBhU8_DElYkX7l4wRkHqqCUFNJY4AfY3kHU/edit?usp=sharing  #gid=0"",""фіз особи new!relations_name""),6,FALSE)
,
(IF
(
G7565=""юридична особа""
,
VLOOKUP"&amp;"(H7565,IMPORTRANGE(""https://docs.google.com/spreadsheets/d/14Bd19lYaqBhU8_DElYkX7l4wRkHqqCUFNJY4AfY3kHU/edit?usp=sharing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64" s="7" t="s">
        <v>29</v>
      </c>
    </row>
    <row r="7565" spans="1:10" ht="13.2">
      <c r="A7565" s="7">
        <v>7564</v>
      </c>
      <c r="B7565" s="7">
        <v>1</v>
      </c>
      <c r="C7565" s="7" t="s">
        <v>10</v>
      </c>
      <c r="D7565" s="7">
        <v>8365</v>
      </c>
      <c r="E7565" s="7" t="s">
        <v>28</v>
      </c>
      <c r="F7565" s="8" t="str">
        <f ca="1">IFERROR(__xludf.DUMMYFUNCTION("IF
(
C7566=""фізична особа""
,
VLOOKUP(D7566,IMPORTRANGE(""https://docs.google.com/spreadsheets/d/14Bd19lYaqBhU8_DElYkX7l4wRkHqqCUFNJY4AfY3kHU/edit?usp=sharing  #gid=0"",""фіз особи new!relations_name""),6,FALSE)
,
(IF
(
C7566=""юридична особа""
,
VLOOKUP"&amp;"(D7566,IMPORTRANGE(""https://docs.google.com/spreadsheets/d/14Bd19lYaqBhU8_DElYkX7l4wRkHqqCUFNJY4AfY3kHU/edit?usp=sharing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5" s="7" t="s">
        <v>10</v>
      </c>
      <c r="H7565" s="7">
        <v>8362</v>
      </c>
      <c r="I7565" s="8" t="str">
        <f ca="1">IFERROR(__xludf.DUMMYFUNCTION("IF
(
G7566=""фізична особа""
,
VLOOKUP(H7566,IMPORTRANGE(""https://docs.google.com/spreadsheets/d/14Bd19lYaqBhU8_DElYkX7l4wRkHqqCUFNJY4AfY3kHU/edit?usp=sharing  #gid=0"",""фіз особи new!relations_name""),6,FALSE)
,
(IF
(
G7566=""юридична особа""
,
VLOOKUP"&amp;"(H7566,IMPORTRANGE(""https://docs.google.com/spreadsheets/d/14Bd19lYaqBhU8_DElYkX7l4wRkHqqCUFNJY4AfY3kHU/edit?usp=sharing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65" s="7" t="s">
        <v>29</v>
      </c>
    </row>
    <row r="7566" spans="1:10" ht="13.2">
      <c r="A7566" s="7">
        <v>7565</v>
      </c>
      <c r="B7566" s="7">
        <v>1</v>
      </c>
      <c r="C7566" s="7" t="s">
        <v>10</v>
      </c>
      <c r="D7566" s="7">
        <v>8365</v>
      </c>
      <c r="E7566" s="7" t="s">
        <v>35</v>
      </c>
      <c r="F7566" s="8" t="str">
        <f ca="1">IFERROR(__xludf.DUMMYFUNCTION("IF
(
C7567=""фізична особа""
,
VLOOKUP(D7567,IMPORTRANGE(""https://docs.google.com/spreadsheets/d/14Bd19lYaqBhU8_DElYkX7l4wRkHqqCUFNJY4AfY3kHU/edit?usp=sharing  #gid=0"",""фіз особи new!relations_name""),6,FALSE)
,
(IF
(
C7567=""юридична особа""
,
VLOOKUP"&amp;"(D7567,IMPORTRANGE(""https://docs.google.com/spreadsheets/d/14Bd19lYaqBhU8_DElYkX7l4wRkHqqCUFNJY4AfY3kHU/edit?usp=sharing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6" s="7" t="s">
        <v>10</v>
      </c>
      <c r="H7566" s="7">
        <v>8363</v>
      </c>
      <c r="I7566" s="8" t="str">
        <f ca="1">IFERROR(__xludf.DUMMYFUNCTION("IF
(
G7567=""фізична особа""
,
VLOOKUP(H7567,IMPORTRANGE(""https://docs.google.com/spreadsheets/d/14Bd19lYaqBhU8_DElYkX7l4wRkHqqCUFNJY4AfY3kHU/edit?usp=sharing  #gid=0"",""фіз особи new!relations_name""),6,FALSE)
,
(IF
(
G7567=""юридична особа""
,
VLOOKUP"&amp;"(H7567,IMPORTRANGE(""https://docs.google.com/spreadsheets/d/14Bd19lYaqBhU8_DElYkX7l4wRkHqqCUFNJY4AfY3kHU/edit?usp=sharing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66" s="7" t="s">
        <v>35</v>
      </c>
    </row>
    <row r="7567" spans="1:10" ht="13.2">
      <c r="A7567" s="7">
        <v>7566</v>
      </c>
      <c r="B7567" s="7">
        <v>1</v>
      </c>
      <c r="C7567" s="7" t="s">
        <v>10</v>
      </c>
      <c r="D7567" s="7">
        <v>8365</v>
      </c>
      <c r="E7567" s="7" t="s">
        <v>35</v>
      </c>
      <c r="F7567" s="8" t="str">
        <f ca="1">IFERROR(__xludf.DUMMYFUNCTION("IF
(
C7568=""фізична особа""
,
VLOOKUP(D7568,IMPORTRANGE(""https://docs.google.com/spreadsheets/d/14Bd19lYaqBhU8_DElYkX7l4wRkHqqCUFNJY4AfY3kHU/edit?usp=sharing  #gid=0"",""фіз особи new!relations_name""),6,FALSE)
,
(IF
(
C7568=""юридична особа""
,
VLOOKUP"&amp;"(D7568,IMPORTRANGE(""https://docs.google.com/spreadsheets/d/14Bd19lYaqBhU8_DElYkX7l4wRkHqqCUFNJY4AfY3kHU/edit?usp=sharing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7" s="7" t="s">
        <v>10</v>
      </c>
      <c r="H7567" s="7">
        <v>8364</v>
      </c>
      <c r="I7567" s="8" t="str">
        <f ca="1">IFERROR(__xludf.DUMMYFUNCTION("IF
(
G7568=""фізична особа""
,
VLOOKUP(H7568,IMPORTRANGE(""https://docs.google.com/spreadsheets/d/14Bd19lYaqBhU8_DElYkX7l4wRkHqqCUFNJY4AfY3kHU/edit?usp=sharing  #gid=0"",""фіз особи new!relations_name""),6,FALSE)
,
(IF
(
G7568=""юридична особа""
,
VLOOKUP"&amp;"(H7568,IMPORTRANGE(""https://docs.google.com/spreadsheets/d/14Bd19lYaqBhU8_DElYkX7l4wRkHqqCUFNJY4AfY3kHU/edit?usp=sharing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67" s="7" t="s">
        <v>35</v>
      </c>
    </row>
    <row r="7568" spans="1:10" ht="13.2">
      <c r="A7568" s="7">
        <v>7567</v>
      </c>
      <c r="B7568" s="7">
        <v>1</v>
      </c>
      <c r="C7568" s="7" t="s">
        <v>10</v>
      </c>
      <c r="D7568" s="7">
        <v>8365</v>
      </c>
      <c r="E7568" s="7" t="s">
        <v>35</v>
      </c>
      <c r="F7568" s="8" t="str">
        <f ca="1">IFERROR(__xludf.DUMMYFUNCTION("IF
(
C7569=""фізична особа""
,
VLOOKUP(D7569,IMPORTRANGE(""https://docs.google.com/spreadsheets/d/14Bd19lYaqBhU8_DElYkX7l4wRkHqqCUFNJY4AfY3kHU/edit?usp=sharing  #gid=0"",""фіз особи new!relations_name""),6,FALSE)
,
(IF
(
C7569=""юридична особа""
,
VLOOKUP"&amp;"(D7569,IMPORTRANGE(""https://docs.google.com/spreadsheets/d/14Bd19lYaqBhU8_DElYkX7l4wRkHqqCUFNJY4AfY3kHU/edit?usp=sharing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8" s="7" t="s">
        <v>10</v>
      </c>
      <c r="H7568" s="7">
        <v>8366</v>
      </c>
      <c r="I7568" s="8" t="str">
        <f ca="1">IFERROR(__xludf.DUMMYFUNCTION("IF
(
G7569=""фізична особа""
,
VLOOKUP(H7569,IMPORTRANGE(""https://docs.google.com/spreadsheets/d/14Bd19lYaqBhU8_DElYkX7l4wRkHqqCUFNJY4AfY3kHU/edit?usp=sharing  #gid=0"",""фіз особи new!relations_name""),6,FALSE)
,
(IF
(
G7569=""юридична особа""
,
VLOOKUP"&amp;"(H7569,IMPORTRANGE(""https://docs.google.com/spreadsheets/d/14Bd19lYaqBhU8_DElYkX7l4wRkHqqCUFNJY4AfY3kHU/edit?usp=sharing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68" s="7" t="s">
        <v>35</v>
      </c>
    </row>
    <row r="7569" spans="1:10" ht="13.2">
      <c r="A7569" s="7">
        <v>7568</v>
      </c>
      <c r="B7569" s="7">
        <v>1</v>
      </c>
      <c r="C7569" s="7" t="s">
        <v>10</v>
      </c>
      <c r="D7569" s="7">
        <v>8365</v>
      </c>
      <c r="E7569" s="7" t="s">
        <v>35</v>
      </c>
      <c r="F7569" s="8" t="str">
        <f ca="1">IFERROR(__xludf.DUMMYFUNCTION("IF
(
C7570=""фізична особа""
,
VLOOKUP(D7570,IMPORTRANGE(""https://docs.google.com/spreadsheets/d/14Bd19lYaqBhU8_DElYkX7l4wRkHqqCUFNJY4AfY3kHU/edit?usp=sharing  #gid=0"",""фіз особи new!relations_name""),6,FALSE)
,
(IF
(
C7570=""юридична особа""
,
VLOOKUP"&amp;"(D7570,IMPORTRANGE(""https://docs.google.com/spreadsheets/d/14Bd19lYaqBhU8_DElYkX7l4wRkHqqCUFNJY4AfY3kHU/edit?usp=sharing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69" s="7" t="s">
        <v>10</v>
      </c>
      <c r="H7569" s="7">
        <v>8367</v>
      </c>
      <c r="I7569" s="8" t="str">
        <f ca="1">IFERROR(__xludf.DUMMYFUNCTION("IF
(
G7570=""фізична особа""
,
VLOOKUP(H7570,IMPORTRANGE(""https://docs.google.com/spreadsheets/d/14Bd19lYaqBhU8_DElYkX7l4wRkHqqCUFNJY4AfY3kHU/edit?usp=sharing  #gid=0"",""фіз особи new!relations_name""),6,FALSE)
,
(IF
(
G7570=""юридична особа""
,
VLOOKUP"&amp;"(H7570,IMPORTRANGE(""https://docs.google.com/spreadsheets/d/14Bd19lYaqBhU8_DElYkX7l4wRkHqqCUFNJY4AfY3kHU/edit?usp=sharing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69" s="7" t="s">
        <v>35</v>
      </c>
    </row>
    <row r="7570" spans="1:10" ht="13.2">
      <c r="A7570" s="7">
        <v>7569</v>
      </c>
      <c r="B7570" s="7">
        <v>1</v>
      </c>
      <c r="C7570" s="7" t="s">
        <v>10</v>
      </c>
      <c r="D7570" s="7">
        <v>8365</v>
      </c>
      <c r="E7570" s="7" t="s">
        <v>35</v>
      </c>
      <c r="F7570" s="8" t="str">
        <f ca="1">IFERROR(__xludf.DUMMYFUNCTION("IF
(
C7571=""фізична особа""
,
VLOOKUP(D7571,IMPORTRANGE(""https://docs.google.com/spreadsheets/d/14Bd19lYaqBhU8_DElYkX7l4wRkHqqCUFNJY4AfY3kHU/edit?usp=sharing  #gid=0"",""фіз особи new!relations_name""),6,FALSE)
,
(IF
(
C7571=""юридична особа""
,
VLOOKUP"&amp;"(D7571,IMPORTRANGE(""https://docs.google.com/spreadsheets/d/14Bd19lYaqBhU8_DElYkX7l4wRkHqqCUFNJY4AfY3kHU/edit?usp=sharing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70" s="7" t="s">
        <v>10</v>
      </c>
      <c r="H7570" s="7">
        <v>8368</v>
      </c>
      <c r="I7570" s="8" t="str">
        <f ca="1">IFERROR(__xludf.DUMMYFUNCTION("IF
(
G7571=""фізична особа""
,
VLOOKUP(H7571,IMPORTRANGE(""https://docs.google.com/spreadsheets/d/14Bd19lYaqBhU8_DElYkX7l4wRkHqqCUFNJY4AfY3kHU/edit?usp=sharing  #gid=0"",""фіз особи new!relations_name""),6,FALSE)
,
(IF
(
G7571=""юридична особа""
,
VLOOKUP"&amp;"(H7571,IMPORTRANGE(""https://docs.google.com/spreadsheets/d/14Bd19lYaqBhU8_DElYkX7l4wRkHqqCUFNJY4AfY3kHU/edit?usp=sharing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70" s="7" t="s">
        <v>35</v>
      </c>
    </row>
    <row r="7571" spans="1:10" ht="13.2">
      <c r="A7571" s="7">
        <v>7570</v>
      </c>
      <c r="B7571" s="7">
        <v>1</v>
      </c>
      <c r="C7571" s="7" t="s">
        <v>10</v>
      </c>
      <c r="D7571" s="7">
        <v>8365</v>
      </c>
      <c r="E7571" s="7" t="s">
        <v>35</v>
      </c>
      <c r="F7571" s="8" t="str">
        <f ca="1">IFERROR(__xludf.DUMMYFUNCTION("IF
(
C7572=""фізична особа""
,
VLOOKUP(D7572,IMPORTRANGE(""https://docs.google.com/spreadsheets/d/14Bd19lYaqBhU8_DElYkX7l4wRkHqqCUFNJY4AfY3kHU/edit?usp=sharing  #gid=0"",""фіз особи new!relations_name""),6,FALSE)
,
(IF
(
C7572=""юридична особа""
,
VLOOKUP"&amp;"(D7572,IMPORTRANGE(""https://docs.google.com/spreadsheets/d/14Bd19lYaqBhU8_DElYkX7l4wRkHqqCUFNJY4AfY3kHU/edit?usp=sharing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G7571" s="7" t="s">
        <v>10</v>
      </c>
      <c r="H7571" s="7">
        <v>8369</v>
      </c>
      <c r="I7571" s="8" t="str">
        <f ca="1">IFERROR(__xludf.DUMMYFUNCTION("IF
(
G7572=""фізична особа""
,
VLOOKUP(H7572,IMPORTRANGE(""https://docs.google.com/spreadsheets/d/14Bd19lYaqBhU8_DElYkX7l4wRkHqqCUFNJY4AfY3kHU/edit?usp=sharing  #gid=0"",""фіз особи new!relations_name""),6,FALSE)
,
(IF
(
G7572=""юридична особа""
,
VLOOKUP"&amp;"(H7572,IMPORTRANGE(""https://docs.google.com/spreadsheets/d/14Bd19lYaqBhU8_DElYkX7l4wRkHqqCUFNJY4AfY3kHU/edit?usp=sharing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71" s="7" t="s">
        <v>35</v>
      </c>
    </row>
    <row r="7572" spans="1:10" ht="13.2">
      <c r="A7572" s="7">
        <v>7571</v>
      </c>
      <c r="B7572" s="7">
        <v>1</v>
      </c>
      <c r="C7572" s="7" t="s">
        <v>10</v>
      </c>
      <c r="D7572" s="7">
        <v>8366</v>
      </c>
      <c r="E7572" s="7" t="s">
        <v>30</v>
      </c>
      <c r="F7572" s="8" t="str">
        <f ca="1">IFERROR(__xludf.DUMMYFUNCTION("IF
(
C7573=""фізична особа""
,
VLOOKUP(D7573,IMPORTRANGE(""https://docs.google.com/spreadsheets/d/14Bd19lYaqBhU8_DElYkX7l4wRkHqqCUFNJY4AfY3kHU/edit?usp=sharing  #gid=0"",""фіз особи new!relations_name""),6,FALSE)
,
(IF
(
C7573=""юридична особа""
,
VLOOKUP"&amp;"(D7573,IMPORTRANGE(""https://docs.google.com/spreadsheets/d/14Bd19lYaqBhU8_DElYkX7l4wRkHqqCUFNJY4AfY3kHU/edit?usp=sharing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2" s="7" t="s">
        <v>10</v>
      </c>
      <c r="H7572" s="7">
        <v>8361</v>
      </c>
      <c r="I7572" s="8" t="str">
        <f ca="1">IFERROR(__xludf.DUMMYFUNCTION("IF
(
G7573=""фізична особа""
,
VLOOKUP(H7573,IMPORTRANGE(""https://docs.google.com/spreadsheets/d/14Bd19lYaqBhU8_DElYkX7l4wRkHqqCUFNJY4AfY3kHU/edit?usp=sharing  #gid=0"",""фіз особи new!relations_name""),6,FALSE)
,
(IF
(
G7573=""юридична особа""
,
VLOOKUP"&amp;"(H7573,IMPORTRANGE(""https://docs.google.com/spreadsheets/d/14Bd19lYaqBhU8_DElYkX7l4wRkHqqCUFNJY4AfY3kHU/edit?usp=sharing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72" s="7" t="s">
        <v>30</v>
      </c>
    </row>
    <row r="7573" spans="1:10" ht="13.2">
      <c r="A7573" s="7">
        <v>7572</v>
      </c>
      <c r="B7573" s="7">
        <v>1</v>
      </c>
      <c r="C7573" s="7" t="s">
        <v>10</v>
      </c>
      <c r="D7573" s="7">
        <v>8366</v>
      </c>
      <c r="E7573" s="7" t="s">
        <v>28</v>
      </c>
      <c r="F7573" s="8" t="str">
        <f ca="1">IFERROR(__xludf.DUMMYFUNCTION("IF
(
C7574=""фізична особа""
,
VLOOKUP(D7574,IMPORTRANGE(""https://docs.google.com/spreadsheets/d/14Bd19lYaqBhU8_DElYkX7l4wRkHqqCUFNJY4AfY3kHU/edit?usp=sharing  #gid=0"",""фіз особи new!relations_name""),6,FALSE)
,
(IF
(
C7574=""юридична особа""
,
VLOOKUP"&amp;"(D7574,IMPORTRANGE(""https://docs.google.com/spreadsheets/d/14Bd19lYaqBhU8_DElYkX7l4wRkHqqCUFNJY4AfY3kHU/edit?usp=sharing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3" s="7" t="s">
        <v>10</v>
      </c>
      <c r="H7573" s="7">
        <v>8360</v>
      </c>
      <c r="I7573" s="8" t="str">
        <f ca="1">IFERROR(__xludf.DUMMYFUNCTION("IF
(
G7574=""фізична особа""
,
VLOOKUP(H7574,IMPORTRANGE(""https://docs.google.com/spreadsheets/d/14Bd19lYaqBhU8_DElYkX7l4wRkHqqCUFNJY4AfY3kHU/edit?usp=sharing  #gid=0"",""фіз особи new!relations_name""),6,FALSE)
,
(IF
(
G7574=""юридична особа""
,
VLOOKUP"&amp;"(H7574,IMPORTRANGE(""https://docs.google.com/spreadsheets/d/14Bd19lYaqBhU8_DElYkX7l4wRkHqqCUFNJY4AfY3kHU/edit?usp=sharing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73" s="7" t="s">
        <v>29</v>
      </c>
    </row>
    <row r="7574" spans="1:10" ht="13.2">
      <c r="A7574" s="7">
        <v>7573</v>
      </c>
      <c r="B7574" s="7">
        <v>1</v>
      </c>
      <c r="C7574" s="7" t="s">
        <v>10</v>
      </c>
      <c r="D7574" s="7">
        <v>8366</v>
      </c>
      <c r="E7574" s="7" t="s">
        <v>28</v>
      </c>
      <c r="F7574" s="8" t="str">
        <f ca="1">IFERROR(__xludf.DUMMYFUNCTION("IF
(
C7575=""фізична особа""
,
VLOOKUP(D7575,IMPORTRANGE(""https://docs.google.com/spreadsheets/d/14Bd19lYaqBhU8_DElYkX7l4wRkHqqCUFNJY4AfY3kHU/edit?usp=sharing  #gid=0"",""фіз особи new!relations_name""),6,FALSE)
,
(IF
(
C7575=""юридична особа""
,
VLOOKUP"&amp;"(D7575,IMPORTRANGE(""https://docs.google.com/spreadsheets/d/14Bd19lYaqBhU8_DElYkX7l4wRkHqqCUFNJY4AfY3kHU/edit?usp=sharing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4" s="7" t="s">
        <v>10</v>
      </c>
      <c r="H7574" s="7">
        <v>8362</v>
      </c>
      <c r="I7574" s="8" t="str">
        <f ca="1">IFERROR(__xludf.DUMMYFUNCTION("IF
(
G7575=""фізична особа""
,
VLOOKUP(H7575,IMPORTRANGE(""https://docs.google.com/spreadsheets/d/14Bd19lYaqBhU8_DElYkX7l4wRkHqqCUFNJY4AfY3kHU/edit?usp=sharing  #gid=0"",""фіз особи new!relations_name""),6,FALSE)
,
(IF
(
G7575=""юридична особа""
,
VLOOKUP"&amp;"(H7575,IMPORTRANGE(""https://docs.google.com/spreadsheets/d/14Bd19lYaqBhU8_DElYkX7l4wRkHqqCUFNJY4AfY3kHU/edit?usp=sharing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74" s="7" t="s">
        <v>29</v>
      </c>
    </row>
    <row r="7575" spans="1:10" ht="13.2">
      <c r="A7575" s="7">
        <v>7574</v>
      </c>
      <c r="B7575" s="7">
        <v>1</v>
      </c>
      <c r="C7575" s="7" t="s">
        <v>10</v>
      </c>
      <c r="D7575" s="7">
        <v>8366</v>
      </c>
      <c r="E7575" s="7" t="s">
        <v>35</v>
      </c>
      <c r="F7575" s="8" t="str">
        <f ca="1">IFERROR(__xludf.DUMMYFUNCTION("IF
(
C7576=""фізична особа""
,
VLOOKUP(D7576,IMPORTRANGE(""https://docs.google.com/spreadsheets/d/14Bd19lYaqBhU8_DElYkX7l4wRkHqqCUFNJY4AfY3kHU/edit?usp=sharing  #gid=0"",""фіз особи new!relations_name""),6,FALSE)
,
(IF
(
C7576=""юридична особа""
,
VLOOKUP"&amp;"(D7576,IMPORTRANGE(""https://docs.google.com/spreadsheets/d/14Bd19lYaqBhU8_DElYkX7l4wRkHqqCUFNJY4AfY3kHU/edit?usp=sharing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5" s="7" t="s">
        <v>10</v>
      </c>
      <c r="H7575" s="7">
        <v>8363</v>
      </c>
      <c r="I7575" s="8" t="str">
        <f ca="1">IFERROR(__xludf.DUMMYFUNCTION("IF
(
G7576=""фізична особа""
,
VLOOKUP(H7576,IMPORTRANGE(""https://docs.google.com/spreadsheets/d/14Bd19lYaqBhU8_DElYkX7l4wRkHqqCUFNJY4AfY3kHU/edit?usp=sharing  #gid=0"",""фіз особи new!relations_name""),6,FALSE)
,
(IF
(
G7576=""юридична особа""
,
VLOOKUP"&amp;"(H7576,IMPORTRANGE(""https://docs.google.com/spreadsheets/d/14Bd19lYaqBhU8_DElYkX7l4wRkHqqCUFNJY4AfY3kHU/edit?usp=sharing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75" s="7" t="s">
        <v>35</v>
      </c>
    </row>
    <row r="7576" spans="1:10" ht="13.2">
      <c r="A7576" s="7">
        <v>7575</v>
      </c>
      <c r="B7576" s="7">
        <v>1</v>
      </c>
      <c r="C7576" s="7" t="s">
        <v>10</v>
      </c>
      <c r="D7576" s="7">
        <v>8366</v>
      </c>
      <c r="E7576" s="7" t="s">
        <v>35</v>
      </c>
      <c r="F7576" s="8" t="str">
        <f ca="1">IFERROR(__xludf.DUMMYFUNCTION("IF
(
C7577=""фізична особа""
,
VLOOKUP(D7577,IMPORTRANGE(""https://docs.google.com/spreadsheets/d/14Bd19lYaqBhU8_DElYkX7l4wRkHqqCUFNJY4AfY3kHU/edit?usp=sharing  #gid=0"",""фіз особи new!relations_name""),6,FALSE)
,
(IF
(
C7577=""юридична особа""
,
VLOOKUP"&amp;"(D7577,IMPORTRANGE(""https://docs.google.com/spreadsheets/d/14Bd19lYaqBhU8_DElYkX7l4wRkHqqCUFNJY4AfY3kHU/edit?usp=sharing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6" s="7" t="s">
        <v>10</v>
      </c>
      <c r="H7576" s="7">
        <v>8364</v>
      </c>
      <c r="I7576" s="8" t="str">
        <f ca="1">IFERROR(__xludf.DUMMYFUNCTION("IF
(
G7577=""фізична особа""
,
VLOOKUP(H7577,IMPORTRANGE(""https://docs.google.com/spreadsheets/d/14Bd19lYaqBhU8_DElYkX7l4wRkHqqCUFNJY4AfY3kHU/edit?usp=sharing  #gid=0"",""фіз особи new!relations_name""),6,FALSE)
,
(IF
(
G7577=""юридична особа""
,
VLOOKUP"&amp;"(H7577,IMPORTRANGE(""https://docs.google.com/spreadsheets/d/14Bd19lYaqBhU8_DElYkX7l4wRkHqqCUFNJY4AfY3kHU/edit?usp=sharing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76" s="7" t="s">
        <v>35</v>
      </c>
    </row>
    <row r="7577" spans="1:10" ht="13.2">
      <c r="A7577" s="7">
        <v>7576</v>
      </c>
      <c r="B7577" s="7">
        <v>1</v>
      </c>
      <c r="C7577" s="7" t="s">
        <v>10</v>
      </c>
      <c r="D7577" s="7">
        <v>8366</v>
      </c>
      <c r="E7577" s="7" t="s">
        <v>35</v>
      </c>
      <c r="F7577" s="8" t="str">
        <f ca="1">IFERROR(__xludf.DUMMYFUNCTION("IF
(
C7578=""фізична особа""
,
VLOOKUP(D7578,IMPORTRANGE(""https://docs.google.com/spreadsheets/d/14Bd19lYaqBhU8_DElYkX7l4wRkHqqCUFNJY4AfY3kHU/edit?usp=sharing  #gid=0"",""фіз особи new!relations_name""),6,FALSE)
,
(IF
(
C7578=""юридична особа""
,
VLOOKUP"&amp;"(D7578,IMPORTRANGE(""https://docs.google.com/spreadsheets/d/14Bd19lYaqBhU8_DElYkX7l4wRkHqqCUFNJY4AfY3kHU/edit?usp=sharing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7" s="7" t="s">
        <v>10</v>
      </c>
      <c r="H7577" s="7">
        <v>8365</v>
      </c>
      <c r="I7577" s="8" t="str">
        <f ca="1">IFERROR(__xludf.DUMMYFUNCTION("IF
(
G7578=""фізична особа""
,
VLOOKUP(H7578,IMPORTRANGE(""https://docs.google.com/spreadsheets/d/14Bd19lYaqBhU8_DElYkX7l4wRkHqqCUFNJY4AfY3kHU/edit?usp=sharing  #gid=0"",""фіз особи new!relations_name""),6,FALSE)
,
(IF
(
G7578=""юридична особа""
,
VLOOKUP"&amp;"(H7578,IMPORTRANGE(""https://docs.google.com/spreadsheets/d/14Bd19lYaqBhU8_DElYkX7l4wRkHqqCUFNJY4AfY3kHU/edit?usp=sharing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77" s="7" t="s">
        <v>35</v>
      </c>
    </row>
    <row r="7578" spans="1:10" ht="13.2">
      <c r="A7578" s="7">
        <v>7577</v>
      </c>
      <c r="B7578" s="7">
        <v>1</v>
      </c>
      <c r="C7578" s="7" t="s">
        <v>10</v>
      </c>
      <c r="D7578" s="7">
        <v>8366</v>
      </c>
      <c r="E7578" s="7" t="s">
        <v>35</v>
      </c>
      <c r="F7578" s="8" t="str">
        <f ca="1">IFERROR(__xludf.DUMMYFUNCTION("IF
(
C7579=""фізична особа""
,
VLOOKUP(D7579,IMPORTRANGE(""https://docs.google.com/spreadsheets/d/14Bd19lYaqBhU8_DElYkX7l4wRkHqqCUFNJY4AfY3kHU/edit?usp=sharing  #gid=0"",""фіз особи new!relations_name""),6,FALSE)
,
(IF
(
C7579=""юридична особа""
,
VLOOKUP"&amp;"(D7579,IMPORTRANGE(""https://docs.google.com/spreadsheets/d/14Bd19lYaqBhU8_DElYkX7l4wRkHqqCUFNJY4AfY3kHU/edit?usp=sharing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8" s="7" t="s">
        <v>10</v>
      </c>
      <c r="H7578" s="7">
        <v>8367</v>
      </c>
      <c r="I7578" s="8" t="str">
        <f ca="1">IFERROR(__xludf.DUMMYFUNCTION("IF
(
G7579=""фізична особа""
,
VLOOKUP(H7579,IMPORTRANGE(""https://docs.google.com/spreadsheets/d/14Bd19lYaqBhU8_DElYkX7l4wRkHqqCUFNJY4AfY3kHU/edit?usp=sharing  #gid=0"",""фіз особи new!relations_name""),6,FALSE)
,
(IF
(
G7579=""юридична особа""
,
VLOOKUP"&amp;"(H7579,IMPORTRANGE(""https://docs.google.com/spreadsheets/d/14Bd19lYaqBhU8_DElYkX7l4wRkHqqCUFNJY4AfY3kHU/edit?usp=sharing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78" s="7" t="s">
        <v>35</v>
      </c>
    </row>
    <row r="7579" spans="1:10" ht="13.2">
      <c r="A7579" s="7">
        <v>7578</v>
      </c>
      <c r="B7579" s="7">
        <v>1</v>
      </c>
      <c r="C7579" s="7" t="s">
        <v>10</v>
      </c>
      <c r="D7579" s="7">
        <v>8366</v>
      </c>
      <c r="E7579" s="7" t="s">
        <v>35</v>
      </c>
      <c r="F7579" s="8" t="str">
        <f ca="1">IFERROR(__xludf.DUMMYFUNCTION("IF
(
C7580=""фізична особа""
,
VLOOKUP(D7580,IMPORTRANGE(""https://docs.google.com/spreadsheets/d/14Bd19lYaqBhU8_DElYkX7l4wRkHqqCUFNJY4AfY3kHU/edit?usp=sharing  #gid=0"",""фіз особи new!relations_name""),6,FALSE)
,
(IF
(
C7580=""юридична особа""
,
VLOOKUP"&amp;"(D7580,IMPORTRANGE(""https://docs.google.com/spreadsheets/d/14Bd19lYaqBhU8_DElYkX7l4wRkHqqCUFNJY4AfY3kHU/edit?usp=sharing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79" s="7" t="s">
        <v>10</v>
      </c>
      <c r="H7579" s="7">
        <v>8368</v>
      </c>
      <c r="I7579" s="8" t="str">
        <f ca="1">IFERROR(__xludf.DUMMYFUNCTION("IF
(
G7580=""фізична особа""
,
VLOOKUP(H7580,IMPORTRANGE(""https://docs.google.com/spreadsheets/d/14Bd19lYaqBhU8_DElYkX7l4wRkHqqCUFNJY4AfY3kHU/edit?usp=sharing  #gid=0"",""фіз особи new!relations_name""),6,FALSE)
,
(IF
(
G7580=""юридична особа""
,
VLOOKUP"&amp;"(H7580,IMPORTRANGE(""https://docs.google.com/spreadsheets/d/14Bd19lYaqBhU8_DElYkX7l4wRkHqqCUFNJY4AfY3kHU/edit?usp=sharing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79" s="7" t="s">
        <v>35</v>
      </c>
    </row>
    <row r="7580" spans="1:10" ht="13.2">
      <c r="A7580" s="7">
        <v>7579</v>
      </c>
      <c r="B7580" s="7">
        <v>1</v>
      </c>
      <c r="C7580" s="7" t="s">
        <v>10</v>
      </c>
      <c r="D7580" s="7">
        <v>8366</v>
      </c>
      <c r="E7580" s="7" t="s">
        <v>35</v>
      </c>
      <c r="F7580" s="8" t="str">
        <f ca="1">IFERROR(__xludf.DUMMYFUNCTION("IF
(
C7581=""фізична особа""
,
VLOOKUP(D7581,IMPORTRANGE(""https://docs.google.com/spreadsheets/d/14Bd19lYaqBhU8_DElYkX7l4wRkHqqCUFNJY4AfY3kHU/edit?usp=sharing  #gid=0"",""фіз особи new!relations_name""),6,FALSE)
,
(IF
(
C7581=""юридична особа""
,
VLOOKUP"&amp;"(D7581,IMPORTRANGE(""https://docs.google.com/spreadsheets/d/14Bd19lYaqBhU8_DElYkX7l4wRkHqqCUFNJY4AfY3kHU/edit?usp=sharing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G7580" s="7" t="s">
        <v>10</v>
      </c>
      <c r="H7580" s="7">
        <v>8369</v>
      </c>
      <c r="I7580" s="8" t="str">
        <f ca="1">IFERROR(__xludf.DUMMYFUNCTION("IF
(
G7581=""фізична особа""
,
VLOOKUP(H7581,IMPORTRANGE(""https://docs.google.com/spreadsheets/d/14Bd19lYaqBhU8_DElYkX7l4wRkHqqCUFNJY4AfY3kHU/edit?usp=sharing  #gid=0"",""фіз особи new!relations_name""),6,FALSE)
,
(IF
(
G7581=""юридична особа""
,
VLOOKUP"&amp;"(H7581,IMPORTRANGE(""https://docs.google.com/spreadsheets/d/14Bd19lYaqBhU8_DElYkX7l4wRkHqqCUFNJY4AfY3kHU/edit?usp=sharing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80" s="7" t="s">
        <v>35</v>
      </c>
    </row>
    <row r="7581" spans="1:10" ht="13.2">
      <c r="A7581" s="7">
        <v>7580</v>
      </c>
      <c r="B7581" s="7">
        <v>1</v>
      </c>
      <c r="C7581" s="7" t="s">
        <v>10</v>
      </c>
      <c r="D7581" s="7">
        <v>8367</v>
      </c>
      <c r="E7581" s="7" t="s">
        <v>30</v>
      </c>
      <c r="F7581" s="8" t="str">
        <f ca="1">IFERROR(__xludf.DUMMYFUNCTION("IF
(
C7582=""фізична особа""
,
VLOOKUP(D7582,IMPORTRANGE(""https://docs.google.com/spreadsheets/d/14Bd19lYaqBhU8_DElYkX7l4wRkHqqCUFNJY4AfY3kHU/edit?usp=sharing  #gid=0"",""фіз особи new!relations_name""),6,FALSE)
,
(IF
(
C7582=""юридична особа""
,
VLOOKUP"&amp;"(D7582,IMPORTRANGE(""https://docs.google.com/spreadsheets/d/14Bd19lYaqBhU8_DElYkX7l4wRkHqqCUFNJY4AfY3kHU/edit?usp=sharing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1" s="7" t="s">
        <v>10</v>
      </c>
      <c r="H7581" s="7">
        <v>8361</v>
      </c>
      <c r="I7581" s="8" t="str">
        <f ca="1">IFERROR(__xludf.DUMMYFUNCTION("IF
(
G7582=""фізична особа""
,
VLOOKUP(H7582,IMPORTRANGE(""https://docs.google.com/spreadsheets/d/14Bd19lYaqBhU8_DElYkX7l4wRkHqqCUFNJY4AfY3kHU/edit?usp=sharing  #gid=0"",""фіз особи new!relations_name""),6,FALSE)
,
(IF
(
G7582=""юридична особа""
,
VLOOKUP"&amp;"(H7582,IMPORTRANGE(""https://docs.google.com/spreadsheets/d/14Bd19lYaqBhU8_DElYkX7l4wRkHqqCUFNJY4AfY3kHU/edit?usp=sharing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81" s="7" t="s">
        <v>30</v>
      </c>
    </row>
    <row r="7582" spans="1:10" ht="13.2">
      <c r="A7582" s="7">
        <v>7581</v>
      </c>
      <c r="B7582" s="7">
        <v>1</v>
      </c>
      <c r="C7582" s="7" t="s">
        <v>10</v>
      </c>
      <c r="D7582" s="7">
        <v>8367</v>
      </c>
      <c r="E7582" s="7" t="s">
        <v>28</v>
      </c>
      <c r="F7582" s="8" t="str">
        <f ca="1">IFERROR(__xludf.DUMMYFUNCTION("IF
(
C7583=""фізична особа""
,
VLOOKUP(D7583,IMPORTRANGE(""https://docs.google.com/spreadsheets/d/14Bd19lYaqBhU8_DElYkX7l4wRkHqqCUFNJY4AfY3kHU/edit?usp=sharing  #gid=0"",""фіз особи new!relations_name""),6,FALSE)
,
(IF
(
C7583=""юридична особа""
,
VLOOKUP"&amp;"(D7583,IMPORTRANGE(""https://docs.google.com/spreadsheets/d/14Bd19lYaqBhU8_DElYkX7l4wRkHqqCUFNJY4AfY3kHU/edit?usp=sharing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2" s="7" t="s">
        <v>10</v>
      </c>
      <c r="H7582" s="7">
        <v>8360</v>
      </c>
      <c r="I7582" s="8" t="str">
        <f ca="1">IFERROR(__xludf.DUMMYFUNCTION("IF
(
G7583=""фізична особа""
,
VLOOKUP(H7583,IMPORTRANGE(""https://docs.google.com/spreadsheets/d/14Bd19lYaqBhU8_DElYkX7l4wRkHqqCUFNJY4AfY3kHU/edit?usp=sharing  #gid=0"",""фіз особи new!relations_name""),6,FALSE)
,
(IF
(
G7583=""юридична особа""
,
VLOOKUP"&amp;"(H7583,IMPORTRANGE(""https://docs.google.com/spreadsheets/d/14Bd19lYaqBhU8_DElYkX7l4wRkHqqCUFNJY4AfY3kHU/edit?usp=sharing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82" s="7" t="s">
        <v>29</v>
      </c>
    </row>
    <row r="7583" spans="1:10" ht="13.2">
      <c r="A7583" s="7">
        <v>7582</v>
      </c>
      <c r="B7583" s="7">
        <v>1</v>
      </c>
      <c r="C7583" s="7" t="s">
        <v>10</v>
      </c>
      <c r="D7583" s="7">
        <v>8367</v>
      </c>
      <c r="E7583" s="7" t="s">
        <v>28</v>
      </c>
      <c r="F7583" s="8" t="str">
        <f ca="1">IFERROR(__xludf.DUMMYFUNCTION("IF
(
C7584=""фізична особа""
,
VLOOKUP(D7584,IMPORTRANGE(""https://docs.google.com/spreadsheets/d/14Bd19lYaqBhU8_DElYkX7l4wRkHqqCUFNJY4AfY3kHU/edit?usp=sharing  #gid=0"",""фіз особи new!relations_name""),6,FALSE)
,
(IF
(
C7584=""юридична особа""
,
VLOOKUP"&amp;"(D7584,IMPORTRANGE(""https://docs.google.com/spreadsheets/d/14Bd19lYaqBhU8_DElYkX7l4wRkHqqCUFNJY4AfY3kHU/edit?usp=sharing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3" s="7" t="s">
        <v>10</v>
      </c>
      <c r="H7583" s="7">
        <v>8362</v>
      </c>
      <c r="I7583" s="8" t="str">
        <f ca="1">IFERROR(__xludf.DUMMYFUNCTION("IF
(
G7584=""фізична особа""
,
VLOOKUP(H7584,IMPORTRANGE(""https://docs.google.com/spreadsheets/d/14Bd19lYaqBhU8_DElYkX7l4wRkHqqCUFNJY4AfY3kHU/edit?usp=sharing  #gid=0"",""фіз особи new!relations_name""),6,FALSE)
,
(IF
(
G7584=""юридична особа""
,
VLOOKUP"&amp;"(H7584,IMPORTRANGE(""https://docs.google.com/spreadsheets/d/14Bd19lYaqBhU8_DElYkX7l4wRkHqqCUFNJY4AfY3kHU/edit?usp=sharing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83" s="7" t="s">
        <v>29</v>
      </c>
    </row>
    <row r="7584" spans="1:10" ht="13.2">
      <c r="A7584" s="7">
        <v>7583</v>
      </c>
      <c r="B7584" s="7">
        <v>1</v>
      </c>
      <c r="C7584" s="7" t="s">
        <v>10</v>
      </c>
      <c r="D7584" s="7">
        <v>8367</v>
      </c>
      <c r="E7584" s="7" t="s">
        <v>35</v>
      </c>
      <c r="F7584" s="8" t="str">
        <f ca="1">IFERROR(__xludf.DUMMYFUNCTION("IF
(
C7585=""фізична особа""
,
VLOOKUP(D7585,IMPORTRANGE(""https://docs.google.com/spreadsheets/d/14Bd19lYaqBhU8_DElYkX7l4wRkHqqCUFNJY4AfY3kHU/edit?usp=sharing  #gid=0"",""фіз особи new!relations_name""),6,FALSE)
,
(IF
(
C7585=""юридична особа""
,
VLOOKUP"&amp;"(D7585,IMPORTRANGE(""https://docs.google.com/spreadsheets/d/14Bd19lYaqBhU8_DElYkX7l4wRkHqqCUFNJY4AfY3kHU/edit?usp=sharing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4" s="7" t="s">
        <v>10</v>
      </c>
      <c r="H7584" s="7">
        <v>8363</v>
      </c>
      <c r="I7584" s="8" t="str">
        <f ca="1">IFERROR(__xludf.DUMMYFUNCTION("IF
(
G7585=""фізична особа""
,
VLOOKUP(H7585,IMPORTRANGE(""https://docs.google.com/spreadsheets/d/14Bd19lYaqBhU8_DElYkX7l4wRkHqqCUFNJY4AfY3kHU/edit?usp=sharing  #gid=0"",""фіз особи new!relations_name""),6,FALSE)
,
(IF
(
G7585=""юридична особа""
,
VLOOKUP"&amp;"(H7585,IMPORTRANGE(""https://docs.google.com/spreadsheets/d/14Bd19lYaqBhU8_DElYkX7l4wRkHqqCUFNJY4AfY3kHU/edit?usp=sharing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84" s="7" t="s">
        <v>35</v>
      </c>
    </row>
    <row r="7585" spans="1:10" ht="13.2">
      <c r="A7585" s="7">
        <v>7584</v>
      </c>
      <c r="B7585" s="7">
        <v>1</v>
      </c>
      <c r="C7585" s="7" t="s">
        <v>10</v>
      </c>
      <c r="D7585" s="7">
        <v>8367</v>
      </c>
      <c r="E7585" s="7" t="s">
        <v>35</v>
      </c>
      <c r="F7585" s="8" t="str">
        <f ca="1">IFERROR(__xludf.DUMMYFUNCTION("IF
(
C7586=""фізична особа""
,
VLOOKUP(D7586,IMPORTRANGE(""https://docs.google.com/spreadsheets/d/14Bd19lYaqBhU8_DElYkX7l4wRkHqqCUFNJY4AfY3kHU/edit?usp=sharing  #gid=0"",""фіз особи new!relations_name""),6,FALSE)
,
(IF
(
C7586=""юридична особа""
,
VLOOKUP"&amp;"(D7586,IMPORTRANGE(""https://docs.google.com/spreadsheets/d/14Bd19lYaqBhU8_DElYkX7l4wRkHqqCUFNJY4AfY3kHU/edit?usp=sharing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5" s="7" t="s">
        <v>10</v>
      </c>
      <c r="H7585" s="7">
        <v>8364</v>
      </c>
      <c r="I7585" s="8" t="str">
        <f ca="1">IFERROR(__xludf.DUMMYFUNCTION("IF
(
G7586=""фізична особа""
,
VLOOKUP(H7586,IMPORTRANGE(""https://docs.google.com/spreadsheets/d/14Bd19lYaqBhU8_DElYkX7l4wRkHqqCUFNJY4AfY3kHU/edit?usp=sharing  #gid=0"",""фіз особи new!relations_name""),6,FALSE)
,
(IF
(
G7586=""юридична особа""
,
VLOOKUP"&amp;"(H7586,IMPORTRANGE(""https://docs.google.com/spreadsheets/d/14Bd19lYaqBhU8_DElYkX7l4wRkHqqCUFNJY4AfY3kHU/edit?usp=sharing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85" s="7" t="s">
        <v>35</v>
      </c>
    </row>
    <row r="7586" spans="1:10" ht="13.2">
      <c r="A7586" s="7">
        <v>7585</v>
      </c>
      <c r="B7586" s="7">
        <v>1</v>
      </c>
      <c r="C7586" s="7" t="s">
        <v>10</v>
      </c>
      <c r="D7586" s="7">
        <v>8367</v>
      </c>
      <c r="E7586" s="7" t="s">
        <v>35</v>
      </c>
      <c r="F7586" s="8" t="str">
        <f ca="1">IFERROR(__xludf.DUMMYFUNCTION("IF
(
C7587=""фізична особа""
,
VLOOKUP(D7587,IMPORTRANGE(""https://docs.google.com/spreadsheets/d/14Bd19lYaqBhU8_DElYkX7l4wRkHqqCUFNJY4AfY3kHU/edit?usp=sharing  #gid=0"",""фіз особи new!relations_name""),6,FALSE)
,
(IF
(
C7587=""юридична особа""
,
VLOOKUP"&amp;"(D7587,IMPORTRANGE(""https://docs.google.com/spreadsheets/d/14Bd19lYaqBhU8_DElYkX7l4wRkHqqCUFNJY4AfY3kHU/edit?usp=sharing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6" s="7" t="s">
        <v>10</v>
      </c>
      <c r="H7586" s="7">
        <v>8365</v>
      </c>
      <c r="I7586" s="8" t="str">
        <f ca="1">IFERROR(__xludf.DUMMYFUNCTION("IF
(
G7587=""фізична особа""
,
VLOOKUP(H7587,IMPORTRANGE(""https://docs.google.com/spreadsheets/d/14Bd19lYaqBhU8_DElYkX7l4wRkHqqCUFNJY4AfY3kHU/edit?usp=sharing  #gid=0"",""фіз особи new!relations_name""),6,FALSE)
,
(IF
(
G7587=""юридична особа""
,
VLOOKUP"&amp;"(H7587,IMPORTRANGE(""https://docs.google.com/spreadsheets/d/14Bd19lYaqBhU8_DElYkX7l4wRkHqqCUFNJY4AfY3kHU/edit?usp=sharing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86" s="7" t="s">
        <v>35</v>
      </c>
    </row>
    <row r="7587" spans="1:10" ht="13.2">
      <c r="A7587" s="7">
        <v>7586</v>
      </c>
      <c r="B7587" s="7">
        <v>1</v>
      </c>
      <c r="C7587" s="7" t="s">
        <v>10</v>
      </c>
      <c r="D7587" s="7">
        <v>8367</v>
      </c>
      <c r="E7587" s="7" t="s">
        <v>35</v>
      </c>
      <c r="F7587" s="8" t="str">
        <f ca="1">IFERROR(__xludf.DUMMYFUNCTION("IF
(
C7588=""фізична особа""
,
VLOOKUP(D7588,IMPORTRANGE(""https://docs.google.com/spreadsheets/d/14Bd19lYaqBhU8_DElYkX7l4wRkHqqCUFNJY4AfY3kHU/edit?usp=sharing  #gid=0"",""фіз особи new!relations_name""),6,FALSE)
,
(IF
(
C7588=""юридична особа""
,
VLOOKUP"&amp;"(D7588,IMPORTRANGE(""https://docs.google.com/spreadsheets/d/14Bd19lYaqBhU8_DElYkX7l4wRkHqqCUFNJY4AfY3kHU/edit?usp=sharing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7" s="7" t="s">
        <v>10</v>
      </c>
      <c r="H7587" s="7">
        <v>8366</v>
      </c>
      <c r="I7587" s="8" t="str">
        <f ca="1">IFERROR(__xludf.DUMMYFUNCTION("IF
(
G7588=""фізична особа""
,
VLOOKUP(H7588,IMPORTRANGE(""https://docs.google.com/spreadsheets/d/14Bd19lYaqBhU8_DElYkX7l4wRkHqqCUFNJY4AfY3kHU/edit?usp=sharing  #gid=0"",""фіз особи new!relations_name""),6,FALSE)
,
(IF
(
G7588=""юридична особа""
,
VLOOKUP"&amp;"(H7588,IMPORTRANGE(""https://docs.google.com/spreadsheets/d/14Bd19lYaqBhU8_DElYkX7l4wRkHqqCUFNJY4AfY3kHU/edit?usp=sharing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87" s="7" t="s">
        <v>35</v>
      </c>
    </row>
    <row r="7588" spans="1:10" ht="13.2">
      <c r="A7588" s="7">
        <v>7587</v>
      </c>
      <c r="B7588" s="7">
        <v>1</v>
      </c>
      <c r="C7588" s="7" t="s">
        <v>10</v>
      </c>
      <c r="D7588" s="7">
        <v>8367</v>
      </c>
      <c r="E7588" s="7" t="s">
        <v>35</v>
      </c>
      <c r="F7588" s="8" t="str">
        <f ca="1">IFERROR(__xludf.DUMMYFUNCTION("IF
(
C7589=""фізична особа""
,
VLOOKUP(D7589,IMPORTRANGE(""https://docs.google.com/spreadsheets/d/14Bd19lYaqBhU8_DElYkX7l4wRkHqqCUFNJY4AfY3kHU/edit?usp=sharing  #gid=0"",""фіз особи new!relations_name""),6,FALSE)
,
(IF
(
C7589=""юридична особа""
,
VLOOKUP"&amp;"(D7589,IMPORTRANGE(""https://docs.google.com/spreadsheets/d/14Bd19lYaqBhU8_DElYkX7l4wRkHqqCUFNJY4AfY3kHU/edit?usp=sharing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8" s="7" t="s">
        <v>10</v>
      </c>
      <c r="H7588" s="7">
        <v>8368</v>
      </c>
      <c r="I7588" s="8" t="str">
        <f ca="1">IFERROR(__xludf.DUMMYFUNCTION("IF
(
G7589=""фізична особа""
,
VLOOKUP(H7589,IMPORTRANGE(""https://docs.google.com/spreadsheets/d/14Bd19lYaqBhU8_DElYkX7l4wRkHqqCUFNJY4AfY3kHU/edit?usp=sharing  #gid=0"",""фіз особи new!relations_name""),6,FALSE)
,
(IF
(
G7589=""юридична особа""
,
VLOOKUP"&amp;"(H7589,IMPORTRANGE(""https://docs.google.com/spreadsheets/d/14Bd19lYaqBhU8_DElYkX7l4wRkHqqCUFNJY4AfY3kHU/edit?usp=sharing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588" s="7" t="s">
        <v>35</v>
      </c>
    </row>
    <row r="7589" spans="1:10" ht="13.2">
      <c r="A7589" s="7">
        <v>7588</v>
      </c>
      <c r="B7589" s="7">
        <v>1</v>
      </c>
      <c r="C7589" s="7" t="s">
        <v>10</v>
      </c>
      <c r="D7589" s="7">
        <v>8367</v>
      </c>
      <c r="E7589" s="7" t="s">
        <v>35</v>
      </c>
      <c r="F7589" s="8" t="str">
        <f ca="1">IFERROR(__xludf.DUMMYFUNCTION("IF
(
C7590=""фізична особа""
,
VLOOKUP(D7590,IMPORTRANGE(""https://docs.google.com/spreadsheets/d/14Bd19lYaqBhU8_DElYkX7l4wRkHqqCUFNJY4AfY3kHU/edit?usp=sharing  #gid=0"",""фіз особи new!relations_name""),6,FALSE)
,
(IF
(
C7590=""юридична особа""
,
VLOOKUP"&amp;"(D7590,IMPORTRANGE(""https://docs.google.com/spreadsheets/d/14Bd19lYaqBhU8_DElYkX7l4wRkHqqCUFNJY4AfY3kHU/edit?usp=sharing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G7589" s="7" t="s">
        <v>10</v>
      </c>
      <c r="H7589" s="7">
        <v>8369</v>
      </c>
      <c r="I7589" s="8" t="str">
        <f ca="1">IFERROR(__xludf.DUMMYFUNCTION("IF
(
G7590=""фізична особа""
,
VLOOKUP(H7590,IMPORTRANGE(""https://docs.google.com/spreadsheets/d/14Bd19lYaqBhU8_DElYkX7l4wRkHqqCUFNJY4AfY3kHU/edit?usp=sharing  #gid=0"",""фіз особи new!relations_name""),6,FALSE)
,
(IF
(
G7590=""юридична особа""
,
VLOOKUP"&amp;"(H7590,IMPORTRANGE(""https://docs.google.com/spreadsheets/d/14Bd19lYaqBhU8_DElYkX7l4wRkHqqCUFNJY4AfY3kHU/edit?usp=sharing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89" s="7" t="s">
        <v>35</v>
      </c>
    </row>
    <row r="7590" spans="1:10" ht="13.2">
      <c r="A7590" s="7">
        <v>7589</v>
      </c>
      <c r="B7590" s="7">
        <v>1</v>
      </c>
      <c r="C7590" s="7" t="s">
        <v>10</v>
      </c>
      <c r="D7590" s="7">
        <v>8368</v>
      </c>
      <c r="E7590" s="7" t="s">
        <v>30</v>
      </c>
      <c r="F7590" s="8" t="str">
        <f ca="1">IFERROR(__xludf.DUMMYFUNCTION("IF
(
C7591=""фізична особа""
,
VLOOKUP(D7591,IMPORTRANGE(""https://docs.google.com/spreadsheets/d/14Bd19lYaqBhU8_DElYkX7l4wRkHqqCUFNJY4AfY3kHU/edit?usp=sharing  #gid=0"",""фіз особи new!relations_name""),6,FALSE)
,
(IF
(
C7591=""юридична особа""
,
VLOOKUP"&amp;"(D7591,IMPORTRANGE(""https://docs.google.com/spreadsheets/d/14Bd19lYaqBhU8_DElYkX7l4wRkHqqCUFNJY4AfY3kHU/edit?usp=sharing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0" s="7" t="s">
        <v>10</v>
      </c>
      <c r="H7590" s="7">
        <v>8361</v>
      </c>
      <c r="I7590" s="8" t="str">
        <f ca="1">IFERROR(__xludf.DUMMYFUNCTION("IF
(
G7591=""фізична особа""
,
VLOOKUP(H7591,IMPORTRANGE(""https://docs.google.com/spreadsheets/d/14Bd19lYaqBhU8_DElYkX7l4wRkHqqCUFNJY4AfY3kHU/edit?usp=sharing  #gid=0"",""фіз особи new!relations_name""),6,FALSE)
,
(IF
(
G7591=""юридична особа""
,
VLOOKUP"&amp;"(H7591,IMPORTRANGE(""https://docs.google.com/spreadsheets/d/14Bd19lYaqBhU8_DElYkX7l4wRkHqqCUFNJY4AfY3kHU/edit?usp=sharing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90" s="7" t="s">
        <v>30</v>
      </c>
    </row>
    <row r="7591" spans="1:10" ht="13.2">
      <c r="A7591" s="7">
        <v>7590</v>
      </c>
      <c r="B7591" s="7">
        <v>1</v>
      </c>
      <c r="C7591" s="7" t="s">
        <v>10</v>
      </c>
      <c r="D7591" s="7">
        <v>8368</v>
      </c>
      <c r="E7591" s="7" t="s">
        <v>28</v>
      </c>
      <c r="F7591" s="8" t="str">
        <f ca="1">IFERROR(__xludf.DUMMYFUNCTION("IF
(
C7592=""фізична особа""
,
VLOOKUP(D7592,IMPORTRANGE(""https://docs.google.com/spreadsheets/d/14Bd19lYaqBhU8_DElYkX7l4wRkHqqCUFNJY4AfY3kHU/edit?usp=sharing  #gid=0"",""фіз особи new!relations_name""),6,FALSE)
,
(IF
(
C7592=""юридична особа""
,
VLOOKUP"&amp;"(D7592,IMPORTRANGE(""https://docs.google.com/spreadsheets/d/14Bd19lYaqBhU8_DElYkX7l4wRkHqqCUFNJY4AfY3kHU/edit?usp=sharing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1" s="7" t="s">
        <v>10</v>
      </c>
      <c r="H7591" s="7">
        <v>8360</v>
      </c>
      <c r="I7591" s="8" t="str">
        <f ca="1">IFERROR(__xludf.DUMMYFUNCTION("IF
(
G7592=""фізична особа""
,
VLOOKUP(H7592,IMPORTRANGE(""https://docs.google.com/spreadsheets/d/14Bd19lYaqBhU8_DElYkX7l4wRkHqqCUFNJY4AfY3kHU/edit?usp=sharing  #gid=0"",""фіз особи new!relations_name""),6,FALSE)
,
(IF
(
G7592=""юридична особа""
,
VLOOKUP"&amp;"(H7592,IMPORTRANGE(""https://docs.google.com/spreadsheets/d/14Bd19lYaqBhU8_DElYkX7l4wRkHqqCUFNJY4AfY3kHU/edit?usp=sharing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591" s="7" t="s">
        <v>29</v>
      </c>
    </row>
    <row r="7592" spans="1:10" ht="13.2">
      <c r="A7592" s="7">
        <v>7591</v>
      </c>
      <c r="B7592" s="7">
        <v>1</v>
      </c>
      <c r="C7592" s="7" t="s">
        <v>10</v>
      </c>
      <c r="D7592" s="7">
        <v>8368</v>
      </c>
      <c r="E7592" s="7" t="s">
        <v>28</v>
      </c>
      <c r="F7592" s="8" t="str">
        <f ca="1">IFERROR(__xludf.DUMMYFUNCTION("IF
(
C7593=""фізична особа""
,
VLOOKUP(D7593,IMPORTRANGE(""https://docs.google.com/spreadsheets/d/14Bd19lYaqBhU8_DElYkX7l4wRkHqqCUFNJY4AfY3kHU/edit?usp=sharing  #gid=0"",""фіз особи new!relations_name""),6,FALSE)
,
(IF
(
C7593=""юридична особа""
,
VLOOKUP"&amp;"(D7593,IMPORTRANGE(""https://docs.google.com/spreadsheets/d/14Bd19lYaqBhU8_DElYkX7l4wRkHqqCUFNJY4AfY3kHU/edit?usp=sharing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2" s="7" t="s">
        <v>10</v>
      </c>
      <c r="H7592" s="7">
        <v>8362</v>
      </c>
      <c r="I7592" s="8" t="str">
        <f ca="1">IFERROR(__xludf.DUMMYFUNCTION("IF
(
G7593=""фізична особа""
,
VLOOKUP(H7593,IMPORTRANGE(""https://docs.google.com/spreadsheets/d/14Bd19lYaqBhU8_DElYkX7l4wRkHqqCUFNJY4AfY3kHU/edit?usp=sharing  #gid=0"",""фіз особи new!relations_name""),6,FALSE)
,
(IF
(
G7593=""юридична особа""
,
VLOOKUP"&amp;"(H7593,IMPORTRANGE(""https://docs.google.com/spreadsheets/d/14Bd19lYaqBhU8_DElYkX7l4wRkHqqCUFNJY4AfY3kHU/edit?usp=sharing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592" s="7" t="s">
        <v>29</v>
      </c>
    </row>
    <row r="7593" spans="1:10" ht="13.2">
      <c r="A7593" s="7">
        <v>7592</v>
      </c>
      <c r="B7593" s="7">
        <v>1</v>
      </c>
      <c r="C7593" s="7" t="s">
        <v>10</v>
      </c>
      <c r="D7593" s="7">
        <v>8368</v>
      </c>
      <c r="E7593" s="7" t="s">
        <v>35</v>
      </c>
      <c r="F7593" s="8" t="str">
        <f ca="1">IFERROR(__xludf.DUMMYFUNCTION("IF
(
C7594=""фізична особа""
,
VLOOKUP(D7594,IMPORTRANGE(""https://docs.google.com/spreadsheets/d/14Bd19lYaqBhU8_DElYkX7l4wRkHqqCUFNJY4AfY3kHU/edit?usp=sharing  #gid=0"",""фіз особи new!relations_name""),6,FALSE)
,
(IF
(
C7594=""юридична особа""
,
VLOOKUP"&amp;"(D7594,IMPORTRANGE(""https://docs.google.com/spreadsheets/d/14Bd19lYaqBhU8_DElYkX7l4wRkHqqCUFNJY4AfY3kHU/edit?usp=sharing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3" s="7" t="s">
        <v>10</v>
      </c>
      <c r="H7593" s="7">
        <v>8363</v>
      </c>
      <c r="I7593" s="8" t="str">
        <f ca="1">IFERROR(__xludf.DUMMYFUNCTION("IF
(
G7594=""фізична особа""
,
VLOOKUP(H7594,IMPORTRANGE(""https://docs.google.com/spreadsheets/d/14Bd19lYaqBhU8_DElYkX7l4wRkHqqCUFNJY4AfY3kHU/edit?usp=sharing  #gid=0"",""фіз особи new!relations_name""),6,FALSE)
,
(IF
(
G7594=""юридична особа""
,
VLOOKUP"&amp;"(H7594,IMPORTRANGE(""https://docs.google.com/spreadsheets/d/14Bd19lYaqBhU8_DElYkX7l4wRkHqqCUFNJY4AfY3kHU/edit?usp=sharing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593" s="7" t="s">
        <v>35</v>
      </c>
    </row>
    <row r="7594" spans="1:10" ht="13.2">
      <c r="A7594" s="7">
        <v>7593</v>
      </c>
      <c r="B7594" s="7">
        <v>1</v>
      </c>
      <c r="C7594" s="7" t="s">
        <v>10</v>
      </c>
      <c r="D7594" s="7">
        <v>8368</v>
      </c>
      <c r="E7594" s="7" t="s">
        <v>35</v>
      </c>
      <c r="F7594" s="8" t="str">
        <f ca="1">IFERROR(__xludf.DUMMYFUNCTION("IF
(
C7595=""фізична особа""
,
VLOOKUP(D7595,IMPORTRANGE(""https://docs.google.com/spreadsheets/d/14Bd19lYaqBhU8_DElYkX7l4wRkHqqCUFNJY4AfY3kHU/edit?usp=sharing  #gid=0"",""фіз особи new!relations_name""),6,FALSE)
,
(IF
(
C7595=""юридична особа""
,
VLOOKUP"&amp;"(D7595,IMPORTRANGE(""https://docs.google.com/spreadsheets/d/14Bd19lYaqBhU8_DElYkX7l4wRkHqqCUFNJY4AfY3kHU/edit?usp=sharing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4" s="7" t="s">
        <v>10</v>
      </c>
      <c r="H7594" s="7">
        <v>8364</v>
      </c>
      <c r="I7594" s="8" t="str">
        <f ca="1">IFERROR(__xludf.DUMMYFUNCTION("IF
(
G7595=""фізична особа""
,
VLOOKUP(H7595,IMPORTRANGE(""https://docs.google.com/spreadsheets/d/14Bd19lYaqBhU8_DElYkX7l4wRkHqqCUFNJY4AfY3kHU/edit?usp=sharing  #gid=0"",""фіз особи new!relations_name""),6,FALSE)
,
(IF
(
G7595=""юридична особа""
,
VLOOKUP"&amp;"(H7595,IMPORTRANGE(""https://docs.google.com/spreadsheets/d/14Bd19lYaqBhU8_DElYkX7l4wRkHqqCUFNJY4AfY3kHU/edit?usp=sharing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594" s="7" t="s">
        <v>35</v>
      </c>
    </row>
    <row r="7595" spans="1:10" ht="13.2">
      <c r="A7595" s="7">
        <v>7594</v>
      </c>
      <c r="B7595" s="7">
        <v>1</v>
      </c>
      <c r="C7595" s="7" t="s">
        <v>10</v>
      </c>
      <c r="D7595" s="7">
        <v>8368</v>
      </c>
      <c r="E7595" s="7" t="s">
        <v>35</v>
      </c>
      <c r="F7595" s="8" t="str">
        <f ca="1">IFERROR(__xludf.DUMMYFUNCTION("IF
(
C7596=""фізична особа""
,
VLOOKUP(D7596,IMPORTRANGE(""https://docs.google.com/spreadsheets/d/14Bd19lYaqBhU8_DElYkX7l4wRkHqqCUFNJY4AfY3kHU/edit?usp=sharing  #gid=0"",""фіз особи new!relations_name""),6,FALSE)
,
(IF
(
C7596=""юридична особа""
,
VLOOKUP"&amp;"(D7596,IMPORTRANGE(""https://docs.google.com/spreadsheets/d/14Bd19lYaqBhU8_DElYkX7l4wRkHqqCUFNJY4AfY3kHU/edit?usp=sharing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5" s="7" t="s">
        <v>10</v>
      </c>
      <c r="H7595" s="7">
        <v>8365</v>
      </c>
      <c r="I7595" s="8" t="str">
        <f ca="1">IFERROR(__xludf.DUMMYFUNCTION("IF
(
G7596=""фізична особа""
,
VLOOKUP(H7596,IMPORTRANGE(""https://docs.google.com/spreadsheets/d/14Bd19lYaqBhU8_DElYkX7l4wRkHqqCUFNJY4AfY3kHU/edit?usp=sharing  #gid=0"",""фіз особи new!relations_name""),6,FALSE)
,
(IF
(
G7596=""юридична особа""
,
VLOOKUP"&amp;"(H7596,IMPORTRANGE(""https://docs.google.com/spreadsheets/d/14Bd19lYaqBhU8_DElYkX7l4wRkHqqCUFNJY4AfY3kHU/edit?usp=sharing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595" s="7" t="s">
        <v>35</v>
      </c>
    </row>
    <row r="7596" spans="1:10" ht="13.2">
      <c r="A7596" s="7">
        <v>7595</v>
      </c>
      <c r="B7596" s="7">
        <v>1</v>
      </c>
      <c r="C7596" s="7" t="s">
        <v>10</v>
      </c>
      <c r="D7596" s="7">
        <v>8368</v>
      </c>
      <c r="E7596" s="7" t="s">
        <v>35</v>
      </c>
      <c r="F7596" s="8" t="str">
        <f ca="1">IFERROR(__xludf.DUMMYFUNCTION("IF
(
C7597=""фізична особа""
,
VLOOKUP(D7597,IMPORTRANGE(""https://docs.google.com/spreadsheets/d/14Bd19lYaqBhU8_DElYkX7l4wRkHqqCUFNJY4AfY3kHU/edit?usp=sharing  #gid=0"",""фіз особи new!relations_name""),6,FALSE)
,
(IF
(
C7597=""юридична особа""
,
VLOOKUP"&amp;"(D7597,IMPORTRANGE(""https://docs.google.com/spreadsheets/d/14Bd19lYaqBhU8_DElYkX7l4wRkHqqCUFNJY4AfY3kHU/edit?usp=sharing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6" s="7" t="s">
        <v>10</v>
      </c>
      <c r="H7596" s="7">
        <v>8366</v>
      </c>
      <c r="I7596" s="8" t="str">
        <f ca="1">IFERROR(__xludf.DUMMYFUNCTION("IF
(
G7597=""фізична особа""
,
VLOOKUP(H7597,IMPORTRANGE(""https://docs.google.com/spreadsheets/d/14Bd19lYaqBhU8_DElYkX7l4wRkHqqCUFNJY4AfY3kHU/edit?usp=sharing  #gid=0"",""фіз особи new!relations_name""),6,FALSE)
,
(IF
(
G7597=""юридична особа""
,
VLOOKUP"&amp;"(H7597,IMPORTRANGE(""https://docs.google.com/spreadsheets/d/14Bd19lYaqBhU8_DElYkX7l4wRkHqqCUFNJY4AfY3kHU/edit?usp=sharing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596" s="7" t="s">
        <v>35</v>
      </c>
    </row>
    <row r="7597" spans="1:10" ht="13.2">
      <c r="A7597" s="7">
        <v>7596</v>
      </c>
      <c r="B7597" s="7">
        <v>1</v>
      </c>
      <c r="C7597" s="7" t="s">
        <v>10</v>
      </c>
      <c r="D7597" s="7">
        <v>8368</v>
      </c>
      <c r="E7597" s="7" t="s">
        <v>35</v>
      </c>
      <c r="F7597" s="8" t="str">
        <f ca="1">IFERROR(__xludf.DUMMYFUNCTION("IF
(
C7598=""фізична особа""
,
VLOOKUP(D7598,IMPORTRANGE(""https://docs.google.com/spreadsheets/d/14Bd19lYaqBhU8_DElYkX7l4wRkHqqCUFNJY4AfY3kHU/edit?usp=sharing  #gid=0"",""фіз особи new!relations_name""),6,FALSE)
,
(IF
(
C7598=""юридична особа""
,
VLOOKUP"&amp;"(D7598,IMPORTRANGE(""https://docs.google.com/spreadsheets/d/14Bd19lYaqBhU8_DElYkX7l4wRkHqqCUFNJY4AfY3kHU/edit?usp=sharing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7" s="7" t="s">
        <v>10</v>
      </c>
      <c r="H7597" s="7">
        <v>8367</v>
      </c>
      <c r="I7597" s="8" t="str">
        <f ca="1">IFERROR(__xludf.DUMMYFUNCTION("IF
(
G7598=""фізична особа""
,
VLOOKUP(H7598,IMPORTRANGE(""https://docs.google.com/spreadsheets/d/14Bd19lYaqBhU8_DElYkX7l4wRkHqqCUFNJY4AfY3kHU/edit?usp=sharing  #gid=0"",""фіз особи new!relations_name""),6,FALSE)
,
(IF
(
G7598=""юридична особа""
,
VLOOKUP"&amp;"(H7598,IMPORTRANGE(""https://docs.google.com/spreadsheets/d/14Bd19lYaqBhU8_DElYkX7l4wRkHqqCUFNJY4AfY3kHU/edit?usp=sharing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597" s="7" t="s">
        <v>35</v>
      </c>
    </row>
    <row r="7598" spans="1:10" ht="13.2">
      <c r="A7598" s="7">
        <v>7597</v>
      </c>
      <c r="B7598" s="7">
        <v>1</v>
      </c>
      <c r="C7598" s="7" t="s">
        <v>10</v>
      </c>
      <c r="D7598" s="7">
        <v>8368</v>
      </c>
      <c r="E7598" s="7" t="s">
        <v>35</v>
      </c>
      <c r="F7598" s="8" t="str">
        <f ca="1">IFERROR(__xludf.DUMMYFUNCTION("IF
(
C7599=""фізична особа""
,
VLOOKUP(D7599,IMPORTRANGE(""https://docs.google.com/spreadsheets/d/14Bd19lYaqBhU8_DElYkX7l4wRkHqqCUFNJY4AfY3kHU/edit?usp=sharing  #gid=0"",""фіз особи new!relations_name""),6,FALSE)
,
(IF
(
C7599=""юридична особа""
,
VLOOKUP"&amp;"(D7599,IMPORTRANGE(""https://docs.google.com/spreadsheets/d/14Bd19lYaqBhU8_DElYkX7l4wRkHqqCUFNJY4AfY3kHU/edit?usp=sharing  #gid=0"",""фіз особи new!relations_name_uo""),7,FALSE)
,
)
))"),"СМІТ Річард")</f>
        <v>СМІТ Річард</v>
      </c>
      <c r="G7598" s="7" t="s">
        <v>10</v>
      </c>
      <c r="H7598" s="7">
        <v>8369</v>
      </c>
      <c r="I7598" s="8" t="str">
        <f ca="1">IFERROR(__xludf.DUMMYFUNCTION("IF
(
G7599=""фізична особа""
,
VLOOKUP(H7599,IMPORTRANGE(""https://docs.google.com/spreadsheets/d/14Bd19lYaqBhU8_DElYkX7l4wRkHqqCUFNJY4AfY3kHU/edit?usp=sharing  #gid=0"",""фіз особи new!relations_name""),6,FALSE)
,
(IF
(
G7599=""юридична особа""
,
VLOOKUP"&amp;"(H7599,IMPORTRANGE(""https://docs.google.com/spreadsheets/d/14Bd19lYaqBhU8_DElYkX7l4wRkHqqCUFNJY4AfY3kHU/edit?usp=sharing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J7598" s="7" t="s">
        <v>35</v>
      </c>
    </row>
    <row r="7599" spans="1:10" ht="13.2">
      <c r="A7599" s="7">
        <v>7598</v>
      </c>
      <c r="B7599" s="7">
        <v>1</v>
      </c>
      <c r="C7599" s="7" t="s">
        <v>10</v>
      </c>
      <c r="D7599" s="7">
        <v>8369</v>
      </c>
      <c r="E7599" s="7" t="s">
        <v>30</v>
      </c>
      <c r="F7599" s="8" t="str">
        <f ca="1">IFERROR(__xludf.DUMMYFUNCTION("IF
(
C7600=""фізична особа""
,
VLOOKUP(D7600,IMPORTRANGE(""https://docs.google.com/spreadsheets/d/14Bd19lYaqBhU8_DElYkX7l4wRkHqqCUFNJY4AfY3kHU/edit?usp=sharing  #gid=0"",""фіз особи new!relations_name""),6,FALSE)
,
(IF
(
C7600=""юридична особа""
,
VLOOKUP"&amp;"(D7600,IMPORTRANGE(""https://docs.google.com/spreadsheets/d/14Bd19lYaqBhU8_DElYkX7l4wRkHqqCUFNJY4AfY3kHU/edit?usp=sharing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599" s="7" t="s">
        <v>10</v>
      </c>
      <c r="H7599" s="7">
        <v>8361</v>
      </c>
      <c r="I7599" s="8" t="str">
        <f ca="1">IFERROR(__xludf.DUMMYFUNCTION("IF
(
G7600=""фізична особа""
,
VLOOKUP(H7600,IMPORTRANGE(""https://docs.google.com/spreadsheets/d/14Bd19lYaqBhU8_DElYkX7l4wRkHqqCUFNJY4AfY3kHU/edit?usp=sharing  #gid=0"",""фіз особи new!relations_name""),6,FALSE)
,
(IF
(
G7600=""юридична особа""
,
VLOOKUP"&amp;"(H7600,IMPORTRANGE(""https://docs.google.com/spreadsheets/d/14Bd19lYaqBhU8_DElYkX7l4wRkHqqCUFNJY4AfY3kHU/edit?usp=sharing  #gid=0"",""фіз особи new!relations_name_uo""),7,FALSE)
,
)
))"),"ТУРЕК Зденек")</f>
        <v>ТУРЕК Зденек</v>
      </c>
      <c r="J7599" s="7" t="s">
        <v>30</v>
      </c>
    </row>
    <row r="7600" spans="1:10" ht="13.2">
      <c r="A7600" s="7">
        <v>7599</v>
      </c>
      <c r="B7600" s="7">
        <v>1</v>
      </c>
      <c r="C7600" s="7" t="s">
        <v>10</v>
      </c>
      <c r="D7600" s="7">
        <v>8369</v>
      </c>
      <c r="E7600" s="7" t="s">
        <v>28</v>
      </c>
      <c r="F7600" s="8" t="str">
        <f ca="1">IFERROR(__xludf.DUMMYFUNCTION("IF
(
C7601=""фізична особа""
,
VLOOKUP(D7601,IMPORTRANGE(""https://docs.google.com/spreadsheets/d/14Bd19lYaqBhU8_DElYkX7l4wRkHqqCUFNJY4AfY3kHU/edit?usp=sharing  #gid=0"",""фіз особи new!relations_name""),6,FALSE)
,
(IF
(
C7601=""юридична особа""
,
VLOOKUP"&amp;"(D7601,IMPORTRANGE(""https://docs.google.com/spreadsheets/d/14Bd19lYaqBhU8_DElYkX7l4wRkHqqCUFNJY4AfY3kHU/edit?usp=sharing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0" s="7" t="s">
        <v>10</v>
      </c>
      <c r="H7600" s="7">
        <v>8360</v>
      </c>
      <c r="I7600" s="8" t="str">
        <f ca="1">IFERROR(__xludf.DUMMYFUNCTION("IF
(
G7601=""фізична особа""
,
VLOOKUP(H7601,IMPORTRANGE(""https://docs.google.com/spreadsheets/d/14Bd19lYaqBhU8_DElYkX7l4wRkHqqCUFNJY4AfY3kHU/edit?usp=sharing  #gid=0"",""фіз особи new!relations_name""),6,FALSE)
,
(IF
(
G7601=""юридична особа""
,
VLOOKUP"&amp;"(H7601,IMPORTRANGE(""https://docs.google.com/spreadsheets/d/14Bd19lYaqBhU8_DElYkX7l4wRkHqqCUFNJY4AfY3kHU/edit?usp=sharing  #gid=0"",""фіз особи new!relations_name_uo""),7,FALSE)
,
)
))"),"ІВАНОВА Марія Львівна")</f>
        <v>ІВАНОВА Марія Львівна</v>
      </c>
      <c r="J7600" s="7" t="s">
        <v>29</v>
      </c>
    </row>
    <row r="7601" spans="1:10" ht="13.2">
      <c r="A7601" s="7">
        <v>7600</v>
      </c>
      <c r="B7601" s="7">
        <v>1</v>
      </c>
      <c r="C7601" s="7" t="s">
        <v>10</v>
      </c>
      <c r="D7601" s="7">
        <v>8369</v>
      </c>
      <c r="E7601" s="7" t="s">
        <v>28</v>
      </c>
      <c r="F7601" s="8" t="str">
        <f ca="1">IFERROR(__xludf.DUMMYFUNCTION("IF
(
C7602=""фізична особа""
,
VLOOKUP(D7602,IMPORTRANGE(""https://docs.google.com/spreadsheets/d/14Bd19lYaqBhU8_DElYkX7l4wRkHqqCUFNJY4AfY3kHU/edit?usp=sharing  #gid=0"",""фіз особи new!relations_name""),6,FALSE)
,
(IF
(
C7602=""юридична особа""
,
VLOOKUP"&amp;"(D7602,IMPORTRANGE(""https://docs.google.com/spreadsheets/d/14Bd19lYaqBhU8_DElYkX7l4wRkHqqCUFNJY4AfY3kHU/edit?usp=sharing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1" s="7" t="s">
        <v>10</v>
      </c>
      <c r="H7601" s="7">
        <v>8362</v>
      </c>
      <c r="I7601" s="8" t="str">
        <f ca="1">IFERROR(__xludf.DUMMYFUNCTION("IF
(
G7602=""фізична особа""
,
VLOOKUP(H7602,IMPORTRANGE(""https://docs.google.com/spreadsheets/d/14Bd19lYaqBhU8_DElYkX7l4wRkHqqCUFNJY4AfY3kHU/edit?usp=sharing  #gid=0"",""фіз особи new!relations_name""),6,FALSE)
,
(IF
(
G7602=""юридична особа""
,
VLOOKUP"&amp;"(H7602,IMPORTRANGE(""https://docs.google.com/spreadsheets/d/14Bd19lYaqBhU8_DElYkX7l4wRkHqqCUFNJY4AfY3kHU/edit?usp=sharing  #gid=0"",""фіз особи new!relations_name_uo""),7,FALSE)
,
)
))"),"НІКОЛАЄВА Наталія Юріївна")</f>
        <v>НІКОЛАЄВА Наталія Юріївна</v>
      </c>
      <c r="J7601" s="7" t="s">
        <v>29</v>
      </c>
    </row>
    <row r="7602" spans="1:10" ht="13.2">
      <c r="A7602" s="7">
        <v>7601</v>
      </c>
      <c r="B7602" s="7">
        <v>1</v>
      </c>
      <c r="C7602" s="7" t="s">
        <v>10</v>
      </c>
      <c r="D7602" s="7">
        <v>8369</v>
      </c>
      <c r="E7602" s="7" t="s">
        <v>35</v>
      </c>
      <c r="F7602" s="8" t="str">
        <f ca="1">IFERROR(__xludf.DUMMYFUNCTION("IF
(
C7603=""фізична особа""
,
VLOOKUP(D7603,IMPORTRANGE(""https://docs.google.com/spreadsheets/d/14Bd19lYaqBhU8_DElYkX7l4wRkHqqCUFNJY4AfY3kHU/edit?usp=sharing  #gid=0"",""фіз особи new!relations_name""),6,FALSE)
,
(IF
(
C7603=""юридична особа""
,
VLOOKUP"&amp;"(D7603,IMPORTRANGE(""https://docs.google.com/spreadsheets/d/14Bd19lYaqBhU8_DElYkX7l4wRkHqqCUFNJY4AfY3kHU/edit?usp=sharing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2" s="7" t="s">
        <v>10</v>
      </c>
      <c r="H7602" s="7">
        <v>8363</v>
      </c>
      <c r="I7602" s="8" t="str">
        <f ca="1">IFERROR(__xludf.DUMMYFUNCTION("IF
(
G7603=""фізична особа""
,
VLOOKUP(H7603,IMPORTRANGE(""https://docs.google.com/spreadsheets/d/14Bd19lYaqBhU8_DElYkX7l4wRkHqqCUFNJY4AfY3kHU/edit?usp=sharing  #gid=0"",""фіз особи new!relations_name""),6,FALSE)
,
(IF
(
G7603=""юридична особа""
,
VLOOKUP"&amp;"(H7603,IMPORTRANGE(""https://docs.google.com/spreadsheets/d/14Bd19lYaqBhU8_DElYkX7l4wRkHqqCUFNJY4AfY3kHU/edit?usp=sharing  #gid=0"",""фіз особи new!relations_name_uo""),7,FALSE)
,
)
))"),"БЕЛЯЄВ Руслан Валерійович")</f>
        <v>БЕЛЯЄВ Руслан Валерійович</v>
      </c>
      <c r="J7602" s="7" t="s">
        <v>35</v>
      </c>
    </row>
    <row r="7603" spans="1:10" ht="13.2">
      <c r="A7603" s="7">
        <v>7602</v>
      </c>
      <c r="B7603" s="7">
        <v>1</v>
      </c>
      <c r="C7603" s="7" t="s">
        <v>10</v>
      </c>
      <c r="D7603" s="7">
        <v>8369</v>
      </c>
      <c r="E7603" s="7" t="s">
        <v>35</v>
      </c>
      <c r="F7603" s="8" t="str">
        <f ca="1">IFERROR(__xludf.DUMMYFUNCTION("IF
(
C7604=""фізична особа""
,
VLOOKUP(D7604,IMPORTRANGE(""https://docs.google.com/spreadsheets/d/14Bd19lYaqBhU8_DElYkX7l4wRkHqqCUFNJY4AfY3kHU/edit?usp=sharing  #gid=0"",""фіз особи new!relations_name""),6,FALSE)
,
(IF
(
C7604=""юридична особа""
,
VLOOKUP"&amp;"(D7604,IMPORTRANGE(""https://docs.google.com/spreadsheets/d/14Bd19lYaqBhU8_DElYkX7l4wRkHqqCUFNJY4AfY3kHU/edit?usp=sharing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3" s="7" t="s">
        <v>10</v>
      </c>
      <c r="H7603" s="7">
        <v>8364</v>
      </c>
      <c r="I7603" s="8" t="str">
        <f ca="1">IFERROR(__xludf.DUMMYFUNCTION("IF
(
G7604=""фізична особа""
,
VLOOKUP(H7604,IMPORTRANGE(""https://docs.google.com/spreadsheets/d/14Bd19lYaqBhU8_DElYkX7l4wRkHqqCUFNJY4AfY3kHU/edit?usp=sharing  #gid=0"",""фіз особи new!relations_name""),6,FALSE)
,
(IF
(
G7604=""юридична особа""
,
VLOOKUP"&amp;"(H7604,IMPORTRANGE(""https://docs.google.com/spreadsheets/d/14Bd19lYaqBhU8_DElYkX7l4wRkHqqCUFNJY4AfY3kHU/edit?usp=sharing  #gid=0"",""фіз особи new!relations_name_uo""),7,FALSE)
,
)
))"),"КОРОТКОВ Сергій Олександрович")</f>
        <v>КОРОТКОВ Сергій Олександрович</v>
      </c>
      <c r="J7603" s="7" t="s">
        <v>35</v>
      </c>
    </row>
    <row r="7604" spans="1:10" ht="13.2">
      <c r="A7604" s="7">
        <v>7603</v>
      </c>
      <c r="B7604" s="7">
        <v>1</v>
      </c>
      <c r="C7604" s="7" t="s">
        <v>10</v>
      </c>
      <c r="D7604" s="7">
        <v>8369</v>
      </c>
      <c r="E7604" s="7" t="s">
        <v>35</v>
      </c>
      <c r="F7604" s="8" t="str">
        <f ca="1">IFERROR(__xludf.DUMMYFUNCTION("IF
(
C7605=""фізична особа""
,
VLOOKUP(D7605,IMPORTRANGE(""https://docs.google.com/spreadsheets/d/14Bd19lYaqBhU8_DElYkX7l4wRkHqqCUFNJY4AfY3kHU/edit?usp=sharing  #gid=0"",""фіз особи new!relations_name""),6,FALSE)
,
(IF
(
C7605=""юридична особа""
,
VLOOKUP"&amp;"(D7605,IMPORTRANGE(""https://docs.google.com/spreadsheets/d/14Bd19lYaqBhU8_DElYkX7l4wRkHqqCUFNJY4AfY3kHU/edit?usp=sharing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4" s="7" t="s">
        <v>10</v>
      </c>
      <c r="H7604" s="7">
        <v>8365</v>
      </c>
      <c r="I7604" s="8" t="str">
        <f ca="1">IFERROR(__xludf.DUMMYFUNCTION("IF
(
G7605=""фізична особа""
,
VLOOKUP(H7605,IMPORTRANGE(""https://docs.google.com/spreadsheets/d/14Bd19lYaqBhU8_DElYkX7l4wRkHqqCUFNJY4AfY3kHU/edit?usp=sharing  #gid=0"",""фіз особи new!relations_name""),6,FALSE)
,
(IF
(
G7605=""юридична особа""
,
VLOOKUP"&amp;"(H7605,IMPORTRANGE(""https://docs.google.com/spreadsheets/d/14Bd19lYaqBhU8_DElYkX7l4wRkHqqCUFNJY4AfY3kHU/edit?usp=sharing  #gid=0"",""фіз особи new!relations_name_uo""),7,FALSE)
,
)
))"),"БЄЛАЯ Наталія Вікторівна")</f>
        <v>БЄЛАЯ Наталія Вікторівна</v>
      </c>
      <c r="J7604" s="7" t="s">
        <v>35</v>
      </c>
    </row>
    <row r="7605" spans="1:10" ht="13.2">
      <c r="A7605" s="7">
        <v>7604</v>
      </c>
      <c r="B7605" s="7">
        <v>1</v>
      </c>
      <c r="C7605" s="7" t="s">
        <v>10</v>
      </c>
      <c r="D7605" s="7">
        <v>8369</v>
      </c>
      <c r="E7605" s="7" t="s">
        <v>35</v>
      </c>
      <c r="F7605" s="8" t="str">
        <f ca="1">IFERROR(__xludf.DUMMYFUNCTION("IF
(
C7606=""фізична особа""
,
VLOOKUP(D7606,IMPORTRANGE(""https://docs.google.com/spreadsheets/d/14Bd19lYaqBhU8_DElYkX7l4wRkHqqCUFNJY4AfY3kHU/edit?usp=sharing  #gid=0"",""фіз особи new!relations_name""),6,FALSE)
,
(IF
(
C7606=""юридична особа""
,
VLOOKUP"&amp;"(D7606,IMPORTRANGE(""https://docs.google.com/spreadsheets/d/14Bd19lYaqBhU8_DElYkX7l4wRkHqqCUFNJY4AfY3kHU/edit?usp=sharing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5" s="7" t="s">
        <v>10</v>
      </c>
      <c r="H7605" s="7">
        <v>8366</v>
      </c>
      <c r="I7605" s="8" t="str">
        <f ca="1">IFERROR(__xludf.DUMMYFUNCTION("IF
(
G7606=""фізична особа""
,
VLOOKUP(H7606,IMPORTRANGE(""https://docs.google.com/spreadsheets/d/14Bd19lYaqBhU8_DElYkX7l4wRkHqqCUFNJY4AfY3kHU/edit?usp=sharing  #gid=0"",""фіз особи new!relations_name""),6,FALSE)
,
(IF
(
G7606=""юридична особа""
,
VLOOKUP"&amp;"(H7606,IMPORTRANGE(""https://docs.google.com/spreadsheets/d/14Bd19lYaqBhU8_DElYkX7l4wRkHqqCUFNJY4AfY3kHU/edit?usp=sharing  #gid=0"",""фіз особи new!relations_name_uo""),7,FALSE)
,
)
))"),"БЕРНЕР Михайло Борисович")</f>
        <v>БЕРНЕР Михайло Борисович</v>
      </c>
      <c r="J7605" s="7" t="s">
        <v>35</v>
      </c>
    </row>
    <row r="7606" spans="1:10" ht="13.2">
      <c r="A7606" s="7">
        <v>7605</v>
      </c>
      <c r="B7606" s="7">
        <v>1</v>
      </c>
      <c r="C7606" s="7" t="s">
        <v>10</v>
      </c>
      <c r="D7606" s="7">
        <v>8369</v>
      </c>
      <c r="E7606" s="7" t="s">
        <v>35</v>
      </c>
      <c r="F7606" s="8" t="str">
        <f ca="1">IFERROR(__xludf.DUMMYFUNCTION("IF
(
C7607=""фізична особа""
,
VLOOKUP(D7607,IMPORTRANGE(""https://docs.google.com/spreadsheets/d/14Bd19lYaqBhU8_DElYkX7l4wRkHqqCUFNJY4AfY3kHU/edit?usp=sharing  #gid=0"",""фіз особи new!relations_name""),6,FALSE)
,
(IF
(
C7607=""юридична особа""
,
VLOOKUP"&amp;"(D7607,IMPORTRANGE(""https://docs.google.com/spreadsheets/d/14Bd19lYaqBhU8_DElYkX7l4wRkHqqCUFNJY4AfY3kHU/edit?usp=sharing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6" s="7" t="s">
        <v>10</v>
      </c>
      <c r="H7606" s="7">
        <v>8367</v>
      </c>
      <c r="I7606" s="8" t="str">
        <f ca="1">IFERROR(__xludf.DUMMYFUNCTION("IF
(
G7607=""фізична особа""
,
VLOOKUP(H7607,IMPORTRANGE(""https://docs.google.com/spreadsheets/d/14Bd19lYaqBhU8_DElYkX7l4wRkHqqCUFNJY4AfY3kHU/edit?usp=sharing  #gid=0"",""фіз особи new!relations_name""),6,FALSE)
,
(IF
(
G7607=""юридична особа""
,
VLOOKUP"&amp;"(H7607,IMPORTRANGE(""https://docs.google.com/spreadsheets/d/14Bd19lYaqBhU8_DElYkX7l4wRkHqqCUFNJY4AfY3kHU/edit?usp=sharing  #gid=0"",""фіз особи new!relations_name_uo""),7,FALSE)
,
)
))"),"КОРШИЛОВ Денис Миколайович")</f>
        <v>КОРШИЛОВ Денис Миколайович</v>
      </c>
      <c r="J7606" s="7" t="s">
        <v>35</v>
      </c>
    </row>
    <row r="7607" spans="1:10" ht="13.2">
      <c r="A7607" s="7">
        <v>7606</v>
      </c>
      <c r="B7607" s="7">
        <v>1</v>
      </c>
      <c r="C7607" s="7" t="s">
        <v>10</v>
      </c>
      <c r="D7607" s="7">
        <v>8369</v>
      </c>
      <c r="E7607" s="7" t="s">
        <v>35</v>
      </c>
      <c r="F7607" s="8" t="str">
        <f ca="1">IFERROR(__xludf.DUMMYFUNCTION("IF
(
C7608=""фізична особа""
,
VLOOKUP(D7608,IMPORTRANGE(""https://docs.google.com/spreadsheets/d/14Bd19lYaqBhU8_DElYkX7l4wRkHqqCUFNJY4AfY3kHU/edit?usp=sharing  #gid=0"",""фіз особи new!relations_name""),6,FALSE)
,
(IF
(
C7608=""юридична особа""
,
VLOOKUP"&amp;"(D7608,IMPORTRANGE(""https://docs.google.com/spreadsheets/d/14Bd19lYaqBhU8_DElYkX7l4wRkHqqCUFNJY4AfY3kHU/edit?usp=sharing  #gid=0"",""фіз особи new!relations_name_uo""),7,FALSE)
,
)
))"),"РОЖКОВ Віктор Сергійович")</f>
        <v>РОЖКОВ Віктор Сергійович</v>
      </c>
      <c r="G7607" s="7" t="s">
        <v>10</v>
      </c>
      <c r="H7607" s="7">
        <v>8368</v>
      </c>
      <c r="I7607" s="8" t="str">
        <f ca="1">IFERROR(__xludf.DUMMYFUNCTION("IF
(
G7608=""фізична особа""
,
VLOOKUP(H7608,IMPORTRANGE(""https://docs.google.com/spreadsheets/d/14Bd19lYaqBhU8_DElYkX7l4wRkHqqCUFNJY4AfY3kHU/edit?usp=sharing  #gid=0"",""фіз особи new!relations_name""),6,FALSE)
,
(IF
(
G7608=""юридична особа""
,
VLOOKUP"&amp;"(H7608,IMPORTRANGE(""https://docs.google.com/spreadsheets/d/14Bd19lYaqBhU8_DElYkX7l4wRkHqqCUFNJY4AfY3kHU/edit?usp=sharing  #gid=0"",""фіз особи new!relations_name_uo""),7,FALSE)
,
)
))"),"СМІТ Річард")</f>
        <v>СМІТ Річард</v>
      </c>
      <c r="J7607" s="7" t="s">
        <v>35</v>
      </c>
    </row>
    <row r="7608" spans="1:10" ht="13.2">
      <c r="A7608" s="7">
        <v>7607</v>
      </c>
      <c r="B7608" s="7">
        <v>1</v>
      </c>
      <c r="C7608" s="7" t="s">
        <v>10</v>
      </c>
      <c r="D7608" s="7">
        <v>8371</v>
      </c>
      <c r="E7608" s="7" t="s">
        <v>30</v>
      </c>
      <c r="F7608" s="8" t="str">
        <f ca="1">IFERROR(__xludf.DUMMYFUNCTION("IF
(
C7609=""фізична особа""
,
VLOOKUP(D7609,IMPORTRANGE(""https://docs.google.com/spreadsheets/d/14Bd19lYaqBhU8_DElYkX7l4wRkHqqCUFNJY4AfY3kHU/edit?usp=sharing  #gid=0"",""фіз особи new!relations_name""),6,FALSE)
,
(IF
(
C7609=""юридична особа""
,
VLOOKUP"&amp;"(D7609,IMPORTRANGE(""https://docs.google.com/spreadsheets/d/14Bd19lYaqBhU8_DElYkX7l4wRkHqqCUFNJY4AfY3kHU/edit?usp=sharing  #gid=0"",""фіз особи new!relations_name_uo""),7,FALSE)
,
)
))"),"УЗУН Володимир Ілліч")</f>
        <v>УЗУН Володимир Ілліч</v>
      </c>
      <c r="G7608" s="7" t="s">
        <v>10</v>
      </c>
      <c r="H7608" s="7">
        <v>0</v>
      </c>
      <c r="I7608" s="8" t="str">
        <f ca="1">IFERROR(__xludf.DUMMYFUNCTION("IF
(
G7609=""фізична особа""
,
VLOOKUP(H7609,IMPORTRANGE(""https://docs.google.com/spreadsheets/d/14Bd19lYaqBhU8_DElYkX7l4wRkHqqCUFNJY4AfY3kHU/edit?usp=sharing  #gid=0"",""фіз особи new!relations_name""),6,FALSE)
,
(IF
(
G7609=""юридична особа""
,
VLOOKUP"&amp;"(H7609,IMPORTRANGE(""https://docs.google.com/spreadsheets/d/14Bd19lYaqBhU8_DElYkX7l4wRkHqqCUFNJY4AfY3kHU/edit?usp=sharing  #gid=0"",""фіз особи new!relations_name_uo""),7,FALSE)
,
)
))"),"#N/A")</f>
        <v>#N/A</v>
      </c>
      <c r="J7608" s="7" t="s">
        <v>30</v>
      </c>
    </row>
    <row r="7609" spans="1:10" ht="13.2">
      <c r="A7609" s="7">
        <v>7608</v>
      </c>
      <c r="B7609" s="7">
        <v>1</v>
      </c>
      <c r="C7609" s="7" t="s">
        <v>10</v>
      </c>
      <c r="D7609" s="7">
        <v>8371</v>
      </c>
      <c r="E7609" s="7" t="s">
        <v>30</v>
      </c>
      <c r="F7609" s="8" t="str">
        <f ca="1">IFERROR(__xludf.DUMMYFUNCTION("IF
(
C7610=""фізична особа""
,
VLOOKUP(D7610,IMPORTRANGE(""https://docs.google.com/spreadsheets/d/14Bd19lYaqBhU8_DElYkX7l4wRkHqqCUFNJY4AfY3kHU/edit?usp=sharing  #gid=0"",""фіз особи new!relations_name""),6,FALSE)
,
(IF
(
C7610=""юридична особа""
,
VLOOKUP"&amp;"(D7610,IMPORTRANGE(""https://docs.google.com/spreadsheets/d/14Bd19lYaqBhU8_DElYkX7l4wRkHqqCUFNJY4AfY3kHU/edit?usp=sharing  #gid=0"",""фіз особи new!relations_name_uo""),7,FALSE)
,
)
))"),"УЗУН Володимир Ілліч")</f>
        <v>УЗУН Володимир Ілліч</v>
      </c>
      <c r="G7609" s="7" t="s">
        <v>10</v>
      </c>
      <c r="H7609" s="7">
        <v>0</v>
      </c>
      <c r="I7609" s="8" t="str">
        <f ca="1">IFERROR(__xludf.DUMMYFUNCTION("IF
(
G7610=""фізична особа""
,
VLOOKUP(H7610,IMPORTRANGE(""https://docs.google.com/spreadsheets/d/14Bd19lYaqBhU8_DElYkX7l4wRkHqqCUFNJY4AfY3kHU/edit?usp=sharing  #gid=0"",""фіз особи new!relations_name""),6,FALSE)
,
(IF
(
G7610=""юридична особа""
,
VLOOKUP"&amp;"(H7610,IMPORTRANGE(""https://docs.google.com/spreadsheets/d/14Bd19lYaqBhU8_DElYkX7l4wRkHqqCUFNJY4AfY3kHU/edit?usp=sharing  #gid=0"",""фіз особи new!relations_name_uo""),7,FALSE)
,
)
))"),"#N/A")</f>
        <v>#N/A</v>
      </c>
      <c r="J7609" s="7" t="s">
        <v>30</v>
      </c>
    </row>
    <row r="7610" spans="1:10" ht="13.2">
      <c r="A7610" s="7">
        <v>7609</v>
      </c>
      <c r="B7610" s="7">
        <v>1</v>
      </c>
      <c r="C7610" s="7" t="s">
        <v>10</v>
      </c>
      <c r="D7610" s="7">
        <v>8371</v>
      </c>
      <c r="E7610" s="7" t="s">
        <v>30</v>
      </c>
      <c r="F7610" s="8" t="str">
        <f ca="1">IFERROR(__xludf.DUMMYFUNCTION("IF
(
C7611=""фізична особа""
,
VLOOKUP(D7611,IMPORTRANGE(""https://docs.google.com/spreadsheets/d/14Bd19lYaqBhU8_DElYkX7l4wRkHqqCUFNJY4AfY3kHU/edit?usp=sharing  #gid=0"",""фіз особи new!relations_name""),6,FALSE)
,
(IF
(
C7611=""юридична особа""
,
VLOOKUP"&amp;"(D7611,IMPORTRANGE(""https://docs.google.com/spreadsheets/d/14Bd19lYaqBhU8_DElYkX7l4wRkHqqCUFNJY4AfY3kHU/edit?usp=sharing  #gid=0"",""фіз особи new!relations_name_uo""),7,FALSE)
,
)
))"),"УЗУН Володимир Ілліч")</f>
        <v>УЗУН Володимир Ілліч</v>
      </c>
      <c r="G7610" s="7" t="s">
        <v>10</v>
      </c>
      <c r="H7610" s="7">
        <v>0</v>
      </c>
      <c r="I7610" s="8" t="str">
        <f ca="1">IFERROR(__xludf.DUMMYFUNCTION("IF
(
G7611=""фізична особа""
,
VLOOKUP(H7611,IMPORTRANGE(""https://docs.google.com/spreadsheets/d/14Bd19lYaqBhU8_DElYkX7l4wRkHqqCUFNJY4AfY3kHU/edit?usp=sharing  #gid=0"",""фіз особи new!relations_name""),6,FALSE)
,
(IF
(
G7611=""юридична особа""
,
VLOOKUP"&amp;"(H7611,IMPORTRANGE(""https://docs.google.com/spreadsheets/d/14Bd19lYaqBhU8_DElYkX7l4wRkHqqCUFNJY4AfY3kHU/edit?usp=sharing  #gid=0"",""фіз особи new!relations_name_uo""),7,FALSE)
,
)
))"),"#N/A")</f>
        <v>#N/A</v>
      </c>
      <c r="J7610" s="7" t="s">
        <v>30</v>
      </c>
    </row>
    <row r="7611" spans="1:10" ht="13.2">
      <c r="A7611" s="7">
        <v>7610</v>
      </c>
      <c r="B7611" s="7">
        <v>1</v>
      </c>
      <c r="C7611" s="7" t="s">
        <v>10</v>
      </c>
      <c r="D7611" s="7">
        <v>8461</v>
      </c>
      <c r="E7611" s="7" t="s">
        <v>23</v>
      </c>
      <c r="F7611" s="8" t="str">
        <f ca="1">IFERROR(__xludf.DUMMYFUNCTION("IF
(
C7612=""фізична особа""
,
VLOOKUP(D7612,IMPORTRANGE(""https://docs.google.com/spreadsheets/d/14Bd19lYaqBhU8_DElYkX7l4wRkHqqCUFNJY4AfY3kHU/edit?usp=sharing  #gid=0"",""фіз особи new!relations_name""),6,FALSE)
,
(IF
(
C7612=""юридична особа""
,
VLOOKUP"&amp;"(D7612,IMPORTRANGE(""https://docs.google.com/spreadsheets/d/14Bd19lYaqBhU8_DElYkX7l4wRkHqqCUFNJY4AfY3kHU/edit?usp=sharing  #gid=0"",""фіз особи new!relations_name_uo""),7,FALSE)
,
)
))"),"РОМАНЕНКО Роман Володимирович")</f>
        <v>РОМАНЕНКО Роман Володимирович</v>
      </c>
      <c r="G7611" s="7" t="s">
        <v>10</v>
      </c>
      <c r="H7611" s="7">
        <v>17499</v>
      </c>
      <c r="I7611" s="8" t="str">
        <f ca="1">IFERROR(__xludf.DUMMYFUNCTION("IF
(
G7612=""фізична особа""
,
VLOOKUP(H7612,IMPORTRANGE(""https://docs.google.com/spreadsheets/d/14Bd19lYaqBhU8_DElYkX7l4wRkHqqCUFNJY4AfY3kHU/edit?usp=sharing  #gid=0"",""фіз особи new!relations_name""),6,FALSE)
,
(IF
(
G7612=""юридична особа""
,
VLOOKUP"&amp;"(H7612,IMPORTRANGE(""https://docs.google.com/spreadsheets/d/14Bd19lYaqBhU8_DElYkX7l4wRkHqqCUFNJY4AfY3kHU/edit?usp=sharing  #gid=0"",""фіз особи new!relations_name_uo""),7,FALSE)
,
)
))"),"ВАСИЛЬЄВ Дмитро Вікторович")</f>
        <v>ВАСИЛЬЄВ Дмитро Вікторович</v>
      </c>
      <c r="J7611" s="7" t="s">
        <v>23</v>
      </c>
    </row>
    <row r="7612" spans="1:10" ht="13.2">
      <c r="A7612" s="7">
        <v>7611</v>
      </c>
      <c r="B7612" s="7">
        <v>1</v>
      </c>
      <c r="C7612" s="7" t="s">
        <v>10</v>
      </c>
      <c r="D7612" s="7">
        <v>8462</v>
      </c>
      <c r="E7612" s="7" t="s">
        <v>23</v>
      </c>
      <c r="F7612" s="8" t="str">
        <f ca="1">IFERROR(__xludf.DUMMYFUNCTION("IF
(
C7613=""фізична особа""
,
VLOOKUP(D7613,IMPORTRANGE(""https://docs.google.com/spreadsheets/d/14Bd19lYaqBhU8_DElYkX7l4wRkHqqCUFNJY4AfY3kHU/edit?usp=sharing  #gid=0"",""фіз особи new!relations_name""),6,FALSE)
,
(IF
(
C7613=""юридична особа""
,
VLOOKUP"&amp;"(D7613,IMPORTRANGE(""https://docs.google.com/spreadsheets/d/14Bd19lYaqBhU8_DElYkX7l4wRkHqqCUFNJY4AfY3kHU/edit?usp=sharing  #gid=0"",""фіз особи new!relations_name_uo""),7,FALSE)
,
)
))"),"ЯШИН Володимир Володимирович")</f>
        <v>ЯШИН Володимир Володимирович</v>
      </c>
      <c r="G7612" s="7" t="s">
        <v>10</v>
      </c>
      <c r="H7612" s="7">
        <v>17499</v>
      </c>
      <c r="I7612" s="8" t="str">
        <f ca="1">IFERROR(__xludf.DUMMYFUNCTION("IF
(
G7613=""фізична особа""
,
VLOOKUP(H7613,IMPORTRANGE(""https://docs.google.com/spreadsheets/d/14Bd19lYaqBhU8_DElYkX7l4wRkHqqCUFNJY4AfY3kHU/edit?usp=sharing  #gid=0"",""фіз особи new!relations_name""),6,FALSE)
,
(IF
(
G7613=""юридична особа""
,
VLOOKUP"&amp;"(H7613,IMPORTRANGE(""https://docs.google.com/spreadsheets/d/14Bd19lYaqBhU8_DElYkX7l4wRkHqqCUFNJY4AfY3kHU/edit?usp=sharing  #gid=0"",""фіз особи new!relations_name_uo""),7,FALSE)
,
)
))"),"ВАСИЛЬЄВ Дмитро Вікторович")</f>
        <v>ВАСИЛЬЄВ Дмитро Вікторович</v>
      </c>
      <c r="J7612" s="7" t="s">
        <v>23</v>
      </c>
    </row>
    <row r="7613" spans="1:10" ht="13.2">
      <c r="A7613" s="7">
        <v>7612</v>
      </c>
      <c r="B7613" s="7">
        <v>1</v>
      </c>
      <c r="C7613" s="7" t="s">
        <v>10</v>
      </c>
      <c r="D7613" s="7">
        <v>8466</v>
      </c>
      <c r="E7613" s="7" t="s">
        <v>23</v>
      </c>
      <c r="F7613" s="8" t="str">
        <f ca="1">IFERROR(__xludf.DUMMYFUNCTION("IF
(
C7614=""фізична особа""
,
VLOOKUP(D7614,IMPORTRANGE(""https://docs.google.com/spreadsheets/d/14Bd19lYaqBhU8_DElYkX7l4wRkHqqCUFNJY4AfY3kHU/edit?usp=sharing  #gid=0"",""фіз особи new!relations_name""),6,FALSE)
,
(IF
(
C7614=""юридична особа""
,
VLOOKUP"&amp;"(D7614,IMPORTRANGE(""https://docs.google.com/spreadsheets/d/14Bd19lYaqBhU8_DElYkX7l4wRkHqqCUFNJY4AfY3kHU/edit?usp=sharing  #gid=0"",""фіз особи new!relations_name_uo""),7,FALSE)
,
)
))"),"ПЕТУХОВ Юрій Валентинович")</f>
        <v>ПЕТУХОВ Юрій Валентинович</v>
      </c>
      <c r="G7613" s="7" t="s">
        <v>10</v>
      </c>
      <c r="H7613" s="7">
        <v>17499</v>
      </c>
      <c r="I7613" s="8" t="str">
        <f ca="1">IFERROR(__xludf.DUMMYFUNCTION("IF
(
G7614=""фізична особа""
,
VLOOKUP(H7614,IMPORTRANGE(""https://docs.google.com/spreadsheets/d/14Bd19lYaqBhU8_DElYkX7l4wRkHqqCUFNJY4AfY3kHU/edit?usp=sharing  #gid=0"",""фіз особи new!relations_name""),6,FALSE)
,
(IF
(
G7614=""юридична особа""
,
VLOOKUP"&amp;"(H7614,IMPORTRANGE(""https://docs.google.com/spreadsheets/d/14Bd19lYaqBhU8_DElYkX7l4wRkHqqCUFNJY4AfY3kHU/edit?usp=sharing  #gid=0"",""фіз особи new!relations_name_uo""),7,FALSE)
,
)
))"),"ВАСИЛЬЄВ Дмитро Вікторович")</f>
        <v>ВАСИЛЬЄВ Дмитро Вікторович</v>
      </c>
      <c r="J7613" s="7" t="s">
        <v>23</v>
      </c>
    </row>
    <row r="7614" spans="1:10" ht="13.2">
      <c r="A7614" s="7">
        <v>7613</v>
      </c>
      <c r="B7614" s="7">
        <v>1</v>
      </c>
      <c r="C7614" s="7" t="s">
        <v>10</v>
      </c>
      <c r="D7614" s="7">
        <v>8467</v>
      </c>
      <c r="E7614" s="7" t="s">
        <v>23</v>
      </c>
      <c r="F7614" s="8" t="str">
        <f ca="1">IFERROR(__xludf.DUMMYFUNCTION("IF
(
C7615=""фізична особа""
,
VLOOKUP(D7615,IMPORTRANGE(""https://docs.google.com/spreadsheets/d/14Bd19lYaqBhU8_DElYkX7l4wRkHqqCUFNJY4AfY3kHU/edit?usp=sharing  #gid=0"",""фіз особи new!relations_name""),6,FALSE)
,
(IF
(
C7615=""юридична особа""
,
VLOOKUP"&amp;"(D7615,IMPORTRANGE(""https://docs.google.com/spreadsheets/d/14Bd19lYaqBhU8_DElYkX7l4wRkHqqCUFNJY4AfY3kHU/edit?usp=sharing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4" s="7" t="s">
        <v>10</v>
      </c>
      <c r="H7614" s="7">
        <v>0</v>
      </c>
      <c r="I7614" s="8" t="str">
        <f ca="1">IFERROR(__xludf.DUMMYFUNCTION("IF
(
G7615=""фізична особа""
,
VLOOKUP(H7615,IMPORTRANGE(""https://docs.google.com/spreadsheets/d/14Bd19lYaqBhU8_DElYkX7l4wRkHqqCUFNJY4AfY3kHU/edit?usp=sharing  #gid=0"",""фіз особи new!relations_name""),6,FALSE)
,
(IF
(
G7615=""юридична особа""
,
VLOOKUP"&amp;"(H7615,IMPORTRANGE(""https://docs.google.com/spreadsheets/d/14Bd19lYaqBhU8_DElYkX7l4wRkHqqCUFNJY4AfY3kHU/edit?usp=sharing  #gid=0"",""фіз особи new!relations_name_uo""),7,FALSE)
,
)
))"),"#N/A")</f>
        <v>#N/A</v>
      </c>
      <c r="J7614" s="7" t="s">
        <v>23</v>
      </c>
    </row>
    <row r="7615" spans="1:10" ht="13.2">
      <c r="A7615" s="7">
        <v>7614</v>
      </c>
      <c r="B7615" s="7">
        <v>1</v>
      </c>
      <c r="C7615" s="7" t="s">
        <v>10</v>
      </c>
      <c r="D7615" s="7">
        <v>8467</v>
      </c>
      <c r="E7615" s="7" t="s">
        <v>23</v>
      </c>
      <c r="F7615" s="8" t="str">
        <f ca="1">IFERROR(__xludf.DUMMYFUNCTION("IF
(
C7616=""фізична особа""
,
VLOOKUP(D7616,IMPORTRANGE(""https://docs.google.com/spreadsheets/d/14Bd19lYaqBhU8_DElYkX7l4wRkHqqCUFNJY4AfY3kHU/edit?usp=sharing  #gid=0"",""фіз особи new!relations_name""),6,FALSE)
,
(IF
(
C7616=""юридична особа""
,
VLOOKUP"&amp;"(D7616,IMPORTRANGE(""https://docs.google.com/spreadsheets/d/14Bd19lYaqBhU8_DElYkX7l4wRkHqqCUFNJY4AfY3kHU/edit?usp=sharing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5" s="7" t="s">
        <v>10</v>
      </c>
      <c r="H7615" s="7">
        <v>0</v>
      </c>
      <c r="I7615" s="8" t="str">
        <f ca="1">IFERROR(__xludf.DUMMYFUNCTION("IF
(
G7616=""фізична особа""
,
VLOOKUP(H7616,IMPORTRANGE(""https://docs.google.com/spreadsheets/d/14Bd19lYaqBhU8_DElYkX7l4wRkHqqCUFNJY4AfY3kHU/edit?usp=sharing  #gid=0"",""фіз особи new!relations_name""),6,FALSE)
,
(IF
(
G7616=""юридична особа""
,
VLOOKUP"&amp;"(H7616,IMPORTRANGE(""https://docs.google.com/spreadsheets/d/14Bd19lYaqBhU8_DElYkX7l4wRkHqqCUFNJY4AfY3kHU/edit?usp=sharing  #gid=0"",""фіз особи new!relations_name_uo""),7,FALSE)
,
)
))"),"#N/A")</f>
        <v>#N/A</v>
      </c>
      <c r="J7615" s="7" t="s">
        <v>23</v>
      </c>
    </row>
    <row r="7616" spans="1:10" ht="13.2">
      <c r="A7616" s="7">
        <v>7615</v>
      </c>
      <c r="B7616" s="7">
        <v>1</v>
      </c>
      <c r="C7616" s="7" t="s">
        <v>10</v>
      </c>
      <c r="D7616" s="7">
        <v>8467</v>
      </c>
      <c r="E7616" s="7" t="s">
        <v>23</v>
      </c>
      <c r="F7616" s="8" t="str">
        <f ca="1">IFERROR(__xludf.DUMMYFUNCTION("IF
(
C7617=""фізична особа""
,
VLOOKUP(D7617,IMPORTRANGE(""https://docs.google.com/spreadsheets/d/14Bd19lYaqBhU8_DElYkX7l4wRkHqqCUFNJY4AfY3kHU/edit?usp=sharing  #gid=0"",""фіз особи new!relations_name""),6,FALSE)
,
(IF
(
C7617=""юридична особа""
,
VLOOKUP"&amp;"(D7617,IMPORTRANGE(""https://docs.google.com/spreadsheets/d/14Bd19lYaqBhU8_DElYkX7l4wRkHqqCUFNJY4AfY3kHU/edit?usp=sharing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6" s="7" t="s">
        <v>10</v>
      </c>
      <c r="H7616" s="7">
        <v>0</v>
      </c>
      <c r="I7616" s="8" t="str">
        <f ca="1">IFERROR(__xludf.DUMMYFUNCTION("IF
(
G7617=""фізична особа""
,
VLOOKUP(H7617,IMPORTRANGE(""https://docs.google.com/spreadsheets/d/14Bd19lYaqBhU8_DElYkX7l4wRkHqqCUFNJY4AfY3kHU/edit?usp=sharing  #gid=0"",""фіз особи new!relations_name""),6,FALSE)
,
(IF
(
G7617=""юридична особа""
,
VLOOKUP"&amp;"(H7617,IMPORTRANGE(""https://docs.google.com/spreadsheets/d/14Bd19lYaqBhU8_DElYkX7l4wRkHqqCUFNJY4AfY3kHU/edit?usp=sharing  #gid=0"",""фіз особи new!relations_name_uo""),7,FALSE)
,
)
))"),"#N/A")</f>
        <v>#N/A</v>
      </c>
      <c r="J7616" s="7" t="s">
        <v>23</v>
      </c>
    </row>
    <row r="7617" spans="1:10" ht="13.2">
      <c r="A7617" s="7">
        <v>7616</v>
      </c>
      <c r="B7617" s="7">
        <v>1</v>
      </c>
      <c r="C7617" s="7" t="s">
        <v>10</v>
      </c>
      <c r="D7617" s="7">
        <v>8467</v>
      </c>
      <c r="E7617" s="7" t="s">
        <v>23</v>
      </c>
      <c r="F7617" s="8" t="str">
        <f ca="1">IFERROR(__xludf.DUMMYFUNCTION("IF
(
C7618=""фізична особа""
,
VLOOKUP(D7618,IMPORTRANGE(""https://docs.google.com/spreadsheets/d/14Bd19lYaqBhU8_DElYkX7l4wRkHqqCUFNJY4AfY3kHU/edit?usp=sharing  #gid=0"",""фіз особи new!relations_name""),6,FALSE)
,
(IF
(
C7618=""юридична особа""
,
VLOOKUP"&amp;"(D7618,IMPORTRANGE(""https://docs.google.com/spreadsheets/d/14Bd19lYaqBhU8_DElYkX7l4wRkHqqCUFNJY4AfY3kHU/edit?usp=sharing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7" s="7" t="s">
        <v>10</v>
      </c>
      <c r="H7617" s="7">
        <v>0</v>
      </c>
      <c r="I7617" s="8" t="str">
        <f ca="1">IFERROR(__xludf.DUMMYFUNCTION("IF
(
G7618=""фізична особа""
,
VLOOKUP(H7618,IMPORTRANGE(""https://docs.google.com/spreadsheets/d/14Bd19lYaqBhU8_DElYkX7l4wRkHqqCUFNJY4AfY3kHU/edit?usp=sharing  #gid=0"",""фіз особи new!relations_name""),6,FALSE)
,
(IF
(
G7618=""юридична особа""
,
VLOOKUP"&amp;"(H7618,IMPORTRANGE(""https://docs.google.com/spreadsheets/d/14Bd19lYaqBhU8_DElYkX7l4wRkHqqCUFNJY4AfY3kHU/edit?usp=sharing  #gid=0"",""фіз особи new!relations_name_uo""),7,FALSE)
,
)
))"),"#N/A")</f>
        <v>#N/A</v>
      </c>
      <c r="J7617" s="7" t="s">
        <v>23</v>
      </c>
    </row>
    <row r="7618" spans="1:10" ht="13.2">
      <c r="A7618" s="7">
        <v>7617</v>
      </c>
      <c r="B7618" s="7">
        <v>1</v>
      </c>
      <c r="C7618" s="7" t="s">
        <v>10</v>
      </c>
      <c r="D7618" s="7">
        <v>8467</v>
      </c>
      <c r="E7618" s="7" t="s">
        <v>23</v>
      </c>
      <c r="F7618" s="8" t="str">
        <f ca="1">IFERROR(__xludf.DUMMYFUNCTION("IF
(
C7619=""фізична особа""
,
VLOOKUP(D7619,IMPORTRANGE(""https://docs.google.com/spreadsheets/d/14Bd19lYaqBhU8_DElYkX7l4wRkHqqCUFNJY4AfY3kHU/edit?usp=sharing  #gid=0"",""фіз особи new!relations_name""),6,FALSE)
,
(IF
(
C7619=""юридична особа""
,
VLOOKUP"&amp;"(D7619,IMPORTRANGE(""https://docs.google.com/spreadsheets/d/14Bd19lYaqBhU8_DElYkX7l4wRkHqqCUFNJY4AfY3kHU/edit?usp=sharing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8" s="7" t="s">
        <v>10</v>
      </c>
      <c r="H7618" s="7">
        <v>0</v>
      </c>
      <c r="I7618" s="8" t="str">
        <f ca="1">IFERROR(__xludf.DUMMYFUNCTION("IF
(
G7619=""фізична особа""
,
VLOOKUP(H7619,IMPORTRANGE(""https://docs.google.com/spreadsheets/d/14Bd19lYaqBhU8_DElYkX7l4wRkHqqCUFNJY4AfY3kHU/edit?usp=sharing  #gid=0"",""фіз особи new!relations_name""),6,FALSE)
,
(IF
(
G7619=""юридична особа""
,
VLOOKUP"&amp;"(H7619,IMPORTRANGE(""https://docs.google.com/spreadsheets/d/14Bd19lYaqBhU8_DElYkX7l4wRkHqqCUFNJY4AfY3kHU/edit?usp=sharing  #gid=0"",""фіз особи new!relations_name_uo""),7,FALSE)
,
)
))"),"#N/A")</f>
        <v>#N/A</v>
      </c>
      <c r="J7618" s="7" t="s">
        <v>23</v>
      </c>
    </row>
    <row r="7619" spans="1:10" ht="13.2">
      <c r="A7619" s="7">
        <v>7618</v>
      </c>
      <c r="B7619" s="7">
        <v>1</v>
      </c>
      <c r="C7619" s="7" t="s">
        <v>10</v>
      </c>
      <c r="D7619" s="7">
        <v>8467</v>
      </c>
      <c r="E7619" s="7" t="s">
        <v>23</v>
      </c>
      <c r="F7619" s="8" t="str">
        <f ca="1">IFERROR(__xludf.DUMMYFUNCTION("IF
(
C7620=""фізична особа""
,
VLOOKUP(D7620,IMPORTRANGE(""https://docs.google.com/spreadsheets/d/14Bd19lYaqBhU8_DElYkX7l4wRkHqqCUFNJY4AfY3kHU/edit?usp=sharing  #gid=0"",""фіз особи new!relations_name""),6,FALSE)
,
(IF
(
C7620=""юридична особа""
,
VLOOKUP"&amp;"(D7620,IMPORTRANGE(""https://docs.google.com/spreadsheets/d/14Bd19lYaqBhU8_DElYkX7l4wRkHqqCUFNJY4AfY3kHU/edit?usp=sharing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19" s="7" t="s">
        <v>10</v>
      </c>
      <c r="H7619" s="7">
        <v>0</v>
      </c>
      <c r="I7619" s="8" t="str">
        <f ca="1">IFERROR(__xludf.DUMMYFUNCTION("IF
(
G7620=""фізична особа""
,
VLOOKUP(H7620,IMPORTRANGE(""https://docs.google.com/spreadsheets/d/14Bd19lYaqBhU8_DElYkX7l4wRkHqqCUFNJY4AfY3kHU/edit?usp=sharing  #gid=0"",""фіз особи new!relations_name""),6,FALSE)
,
(IF
(
G7620=""юридична особа""
,
VLOOKUP"&amp;"(H7620,IMPORTRANGE(""https://docs.google.com/spreadsheets/d/14Bd19lYaqBhU8_DElYkX7l4wRkHqqCUFNJY4AfY3kHU/edit?usp=sharing  #gid=0"",""фіз особи new!relations_name_uo""),7,FALSE)
,
)
))"),"#N/A")</f>
        <v>#N/A</v>
      </c>
      <c r="J7619" s="7" t="s">
        <v>23</v>
      </c>
    </row>
    <row r="7620" spans="1:10" ht="13.2">
      <c r="A7620" s="7">
        <v>7619</v>
      </c>
      <c r="B7620" s="7">
        <v>1</v>
      </c>
      <c r="C7620" s="7" t="s">
        <v>10</v>
      </c>
      <c r="D7620" s="7">
        <v>8467</v>
      </c>
      <c r="E7620" s="7" t="s">
        <v>23</v>
      </c>
      <c r="F7620" s="8" t="str">
        <f ca="1">IFERROR(__xludf.DUMMYFUNCTION("IF
(
C7621=""фізична особа""
,
VLOOKUP(D7621,IMPORTRANGE(""https://docs.google.com/spreadsheets/d/14Bd19lYaqBhU8_DElYkX7l4wRkHqqCUFNJY4AfY3kHU/edit?usp=sharing  #gid=0"",""фіз особи new!relations_name""),6,FALSE)
,
(IF
(
C7621=""юридична особа""
,
VLOOKUP"&amp;"(D7621,IMPORTRANGE(""https://docs.google.com/spreadsheets/d/14Bd19lYaqBhU8_DElYkX7l4wRkHqqCUFNJY4AfY3kHU/edit?usp=sharing  #gid=0"",""фіз особи new!relations_name_uo""),7,FALSE)
,
)
))"),"ДИЛАНЯН Вартан Петрович")</f>
        <v>ДИЛАНЯН Вартан Петрович</v>
      </c>
      <c r="G7620" s="7" t="s">
        <v>10</v>
      </c>
      <c r="H7620" s="7">
        <v>0</v>
      </c>
      <c r="I7620" s="8" t="str">
        <f ca="1">IFERROR(__xludf.DUMMYFUNCTION("IF
(
G7621=""фізична особа""
,
VLOOKUP(H7621,IMPORTRANGE(""https://docs.google.com/spreadsheets/d/14Bd19lYaqBhU8_DElYkX7l4wRkHqqCUFNJY4AfY3kHU/edit?usp=sharing  #gid=0"",""фіз особи new!relations_name""),6,FALSE)
,
(IF
(
G7621=""юридична особа""
,
VLOOKUP"&amp;"(H7621,IMPORTRANGE(""https://docs.google.com/spreadsheets/d/14Bd19lYaqBhU8_DElYkX7l4wRkHqqCUFNJY4AfY3kHU/edit?usp=sharing  #gid=0"",""фіз особи new!relations_name_uo""),7,FALSE)
,
)
))"),"#N/A")</f>
        <v>#N/A</v>
      </c>
      <c r="J7620" s="7" t="s">
        <v>23</v>
      </c>
    </row>
    <row r="7621" spans="1:10" ht="13.2">
      <c r="A7621" s="7">
        <v>7620</v>
      </c>
      <c r="B7621" s="7">
        <v>1</v>
      </c>
      <c r="C7621" s="7" t="s">
        <v>10</v>
      </c>
      <c r="D7621" s="7">
        <v>8468</v>
      </c>
      <c r="E7621" s="7" t="s">
        <v>23</v>
      </c>
      <c r="F7621" s="8" t="str">
        <f ca="1">IFERROR(__xludf.DUMMYFUNCTION("IF
(
C7622=""фізична особа""
,
VLOOKUP(D7622,IMPORTRANGE(""https://docs.google.com/spreadsheets/d/14Bd19lYaqBhU8_DElYkX7l4wRkHqqCUFNJY4AfY3kHU/edit?usp=sharing  #gid=0"",""фіз особи new!relations_name""),6,FALSE)
,
(IF
(
C7622=""юридична особа""
,
VLOOKUP"&amp;"(D7622,IMPORTRANGE(""https://docs.google.com/spreadsheets/d/14Bd19lYaqBhU8_DElYkX7l4wRkHqqCUFNJY4AfY3kHU/edit?usp=sharing  #gid=0"",""фіз особи new!relations_name_uo""),7,FALSE)
,
)
))"),"ЛЮЛЬЧЕВ Костянтин Михайлович")</f>
        <v>ЛЮЛЬЧЕВ Костянтин Михайлович</v>
      </c>
      <c r="G7621" s="7" t="s">
        <v>10</v>
      </c>
      <c r="H7621" s="7">
        <v>8469</v>
      </c>
      <c r="I7621" s="8" t="str">
        <f ca="1">IFERROR(__xludf.DUMMYFUNCTION("IF
(
G7622=""фізична особа""
,
VLOOKUP(H7622,IMPORTRANGE(""https://docs.google.com/spreadsheets/d/14Bd19lYaqBhU8_DElYkX7l4wRkHqqCUFNJY4AfY3kHU/edit?usp=sharing  #gid=0"",""фіз особи new!relations_name""),6,FALSE)
,
(IF
(
G7622=""юридична особа""
,
VLOOKUP"&amp;"(H7622,IMPORTRANGE(""https://docs.google.com/spreadsheets/d/14Bd19lYaqBhU8_DElYkX7l4wRkHqqCUFNJY4AfY3kHU/edit?usp=sharing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J7621" s="7" t="s">
        <v>23</v>
      </c>
    </row>
    <row r="7622" spans="1:10" ht="13.2">
      <c r="A7622" s="7">
        <v>7621</v>
      </c>
      <c r="B7622" s="7">
        <v>1</v>
      </c>
      <c r="C7622" s="7" t="s">
        <v>10</v>
      </c>
      <c r="D7622" s="7">
        <v>8469</v>
      </c>
      <c r="E7622" s="7" t="s">
        <v>23</v>
      </c>
      <c r="F7622" s="8" t="str">
        <f ca="1">IFERROR(__xludf.DUMMYFUNCTION("IF
(
C7623=""фізична особа""
,
VLOOKUP(D7623,IMPORTRANGE(""https://docs.google.com/spreadsheets/d/14Bd19lYaqBhU8_DElYkX7l4wRkHqqCUFNJY4AfY3kHU/edit?usp=sharing  #gid=0"",""фіз особи new!relations_name""),6,FALSE)
,
(IF
(
C7623=""юридична особа""
,
VLOOKUP"&amp;"(D7623,IMPORTRANGE(""https://docs.google.com/spreadsheets/d/14Bd19lYaqBhU8_DElYkX7l4wRkHqqCUFNJY4AfY3kHU/edit?usp=sharing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2" s="7" t="s">
        <v>10</v>
      </c>
      <c r="H7622" s="7">
        <v>0</v>
      </c>
      <c r="I7622" s="8" t="str">
        <f ca="1">IFERROR(__xludf.DUMMYFUNCTION("IF
(
G7623=""фізична особа""
,
VLOOKUP(H7623,IMPORTRANGE(""https://docs.google.com/spreadsheets/d/14Bd19lYaqBhU8_DElYkX7l4wRkHqqCUFNJY4AfY3kHU/edit?usp=sharing  #gid=0"",""фіз особи new!relations_name""),6,FALSE)
,
(IF
(
G7623=""юридична особа""
,
VLOOKUP"&amp;"(H7623,IMPORTRANGE(""https://docs.google.com/spreadsheets/d/14Bd19lYaqBhU8_DElYkX7l4wRkHqqCUFNJY4AfY3kHU/edit?usp=sharing  #gid=0"",""фіз особи new!relations_name_uo""),7,FALSE)
,
)
))"),"#N/A")</f>
        <v>#N/A</v>
      </c>
      <c r="J7622" s="7" t="s">
        <v>23</v>
      </c>
    </row>
    <row r="7623" spans="1:10" ht="13.2">
      <c r="A7623" s="7">
        <v>7622</v>
      </c>
      <c r="B7623" s="7">
        <v>1</v>
      </c>
      <c r="C7623" s="7" t="s">
        <v>10</v>
      </c>
      <c r="D7623" s="7">
        <v>8469</v>
      </c>
      <c r="E7623" s="7" t="s">
        <v>23</v>
      </c>
      <c r="F7623" s="8" t="str">
        <f ca="1">IFERROR(__xludf.DUMMYFUNCTION("IF
(
C7624=""фізична особа""
,
VLOOKUP(D7624,IMPORTRANGE(""https://docs.google.com/spreadsheets/d/14Bd19lYaqBhU8_DElYkX7l4wRkHqqCUFNJY4AfY3kHU/edit?usp=sharing  #gid=0"",""фіз особи new!relations_name""),6,FALSE)
,
(IF
(
C7624=""юридична особа""
,
VLOOKUP"&amp;"(D7624,IMPORTRANGE(""https://docs.google.com/spreadsheets/d/14Bd19lYaqBhU8_DElYkX7l4wRkHqqCUFNJY4AfY3kHU/edit?usp=sharing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3" s="7" t="s">
        <v>10</v>
      </c>
      <c r="H7623" s="7">
        <v>0</v>
      </c>
      <c r="I7623" s="8" t="str">
        <f ca="1">IFERROR(__xludf.DUMMYFUNCTION("IF
(
G7624=""фізична особа""
,
VLOOKUP(H7624,IMPORTRANGE(""https://docs.google.com/spreadsheets/d/14Bd19lYaqBhU8_DElYkX7l4wRkHqqCUFNJY4AfY3kHU/edit?usp=sharing  #gid=0"",""фіз особи new!relations_name""),6,FALSE)
,
(IF
(
G7624=""юридична особа""
,
VLOOKUP"&amp;"(H7624,IMPORTRANGE(""https://docs.google.com/spreadsheets/d/14Bd19lYaqBhU8_DElYkX7l4wRkHqqCUFNJY4AfY3kHU/edit?usp=sharing  #gid=0"",""фіз особи new!relations_name_uo""),7,FALSE)
,
)
))"),"#N/A")</f>
        <v>#N/A</v>
      </c>
      <c r="J7623" s="7" t="s">
        <v>23</v>
      </c>
    </row>
    <row r="7624" spans="1:10" ht="13.2">
      <c r="A7624" s="7">
        <v>7623</v>
      </c>
      <c r="B7624" s="7">
        <v>1</v>
      </c>
      <c r="C7624" s="7" t="s">
        <v>10</v>
      </c>
      <c r="D7624" s="7">
        <v>8469</v>
      </c>
      <c r="E7624" s="7" t="s">
        <v>23</v>
      </c>
      <c r="F7624" s="8" t="str">
        <f ca="1">IFERROR(__xludf.DUMMYFUNCTION("IF
(
C7625=""фізична особа""
,
VLOOKUP(D7625,IMPORTRANGE(""https://docs.google.com/spreadsheets/d/14Bd19lYaqBhU8_DElYkX7l4wRkHqqCUFNJY4AfY3kHU/edit?usp=sharing  #gid=0"",""фіз особи new!relations_name""),6,FALSE)
,
(IF
(
C7625=""юридична особа""
,
VLOOKUP"&amp;"(D7625,IMPORTRANGE(""https://docs.google.com/spreadsheets/d/14Bd19lYaqBhU8_DElYkX7l4wRkHqqCUFNJY4AfY3kHU/edit?usp=sharing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4" s="7" t="s">
        <v>10</v>
      </c>
      <c r="H7624" s="7">
        <v>0</v>
      </c>
      <c r="I7624" s="8" t="str">
        <f ca="1">IFERROR(__xludf.DUMMYFUNCTION("IF
(
G7625=""фізична особа""
,
VLOOKUP(H7625,IMPORTRANGE(""https://docs.google.com/spreadsheets/d/14Bd19lYaqBhU8_DElYkX7l4wRkHqqCUFNJY4AfY3kHU/edit?usp=sharing  #gid=0"",""фіз особи new!relations_name""),6,FALSE)
,
(IF
(
G7625=""юридична особа""
,
VLOOKUP"&amp;"(H7625,IMPORTRANGE(""https://docs.google.com/spreadsheets/d/14Bd19lYaqBhU8_DElYkX7l4wRkHqqCUFNJY4AfY3kHU/edit?usp=sharing  #gid=0"",""фіз особи new!relations_name_uo""),7,FALSE)
,
)
))"),"#N/A")</f>
        <v>#N/A</v>
      </c>
      <c r="J7624" s="7" t="s">
        <v>23</v>
      </c>
    </row>
    <row r="7625" spans="1:10" ht="13.2">
      <c r="A7625" s="7">
        <v>7624</v>
      </c>
      <c r="B7625" s="7">
        <v>1</v>
      </c>
      <c r="C7625" s="7" t="s">
        <v>10</v>
      </c>
      <c r="D7625" s="7">
        <v>8469</v>
      </c>
      <c r="E7625" s="7" t="s">
        <v>23</v>
      </c>
      <c r="F7625" s="8" t="str">
        <f ca="1">IFERROR(__xludf.DUMMYFUNCTION("IF
(
C7626=""фізична особа""
,
VLOOKUP(D7626,IMPORTRANGE(""https://docs.google.com/spreadsheets/d/14Bd19lYaqBhU8_DElYkX7l4wRkHqqCUFNJY4AfY3kHU/edit?usp=sharing  #gid=0"",""фіз особи new!relations_name""),6,FALSE)
,
(IF
(
C7626=""юридична особа""
,
VLOOKUP"&amp;"(D7626,IMPORTRANGE(""https://docs.google.com/spreadsheets/d/14Bd19lYaqBhU8_DElYkX7l4wRkHqqCUFNJY4AfY3kHU/edit?usp=sharing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5" s="7" t="s">
        <v>10</v>
      </c>
      <c r="H7625" s="7">
        <v>0</v>
      </c>
      <c r="I7625" s="8" t="str">
        <f ca="1">IFERROR(__xludf.DUMMYFUNCTION("IF
(
G7626=""фізична особа""
,
VLOOKUP(H7626,IMPORTRANGE(""https://docs.google.com/spreadsheets/d/14Bd19lYaqBhU8_DElYkX7l4wRkHqqCUFNJY4AfY3kHU/edit?usp=sharing  #gid=0"",""фіз особи new!relations_name""),6,FALSE)
,
(IF
(
G7626=""юридична особа""
,
VLOOKUP"&amp;"(H7626,IMPORTRANGE(""https://docs.google.com/spreadsheets/d/14Bd19lYaqBhU8_DElYkX7l4wRkHqqCUFNJY4AfY3kHU/edit?usp=sharing  #gid=0"",""фіз особи new!relations_name_uo""),7,FALSE)
,
)
))"),"#N/A")</f>
        <v>#N/A</v>
      </c>
      <c r="J7625" s="7" t="s">
        <v>23</v>
      </c>
    </row>
    <row r="7626" spans="1:10" ht="13.2">
      <c r="A7626" s="7">
        <v>7625</v>
      </c>
      <c r="B7626" s="7">
        <v>1</v>
      </c>
      <c r="C7626" s="7" t="s">
        <v>10</v>
      </c>
      <c r="D7626" s="7">
        <v>8469</v>
      </c>
      <c r="E7626" s="7" t="s">
        <v>23</v>
      </c>
      <c r="F7626" s="8" t="str">
        <f ca="1">IFERROR(__xludf.DUMMYFUNCTION("IF
(
C7627=""фізична особа""
,
VLOOKUP(D7627,IMPORTRANGE(""https://docs.google.com/spreadsheets/d/14Bd19lYaqBhU8_DElYkX7l4wRkHqqCUFNJY4AfY3kHU/edit?usp=sharing  #gid=0"",""фіз особи new!relations_name""),6,FALSE)
,
(IF
(
C7627=""юридична особа""
,
VLOOKUP"&amp;"(D7627,IMPORTRANGE(""https://docs.google.com/spreadsheets/d/14Bd19lYaqBhU8_DElYkX7l4wRkHqqCUFNJY4AfY3kHU/edit?usp=sharing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6" s="7" t="s">
        <v>10</v>
      </c>
      <c r="H7626" s="7">
        <v>0</v>
      </c>
      <c r="I7626" s="8" t="str">
        <f ca="1">IFERROR(__xludf.DUMMYFUNCTION("IF
(
G7627=""фізична особа""
,
VLOOKUP(H7627,IMPORTRANGE(""https://docs.google.com/spreadsheets/d/14Bd19lYaqBhU8_DElYkX7l4wRkHqqCUFNJY4AfY3kHU/edit?usp=sharing  #gid=0"",""фіз особи new!relations_name""),6,FALSE)
,
(IF
(
G7627=""юридична особа""
,
VLOOKUP"&amp;"(H7627,IMPORTRANGE(""https://docs.google.com/spreadsheets/d/14Bd19lYaqBhU8_DElYkX7l4wRkHqqCUFNJY4AfY3kHU/edit?usp=sharing  #gid=0"",""фіз особи new!relations_name_uo""),7,FALSE)
,
)
))"),"#N/A")</f>
        <v>#N/A</v>
      </c>
      <c r="J7626" s="7" t="s">
        <v>23</v>
      </c>
    </row>
    <row r="7627" spans="1:10" ht="13.2">
      <c r="A7627" s="7">
        <v>7626</v>
      </c>
      <c r="B7627" s="7">
        <v>1</v>
      </c>
      <c r="C7627" s="7" t="s">
        <v>10</v>
      </c>
      <c r="D7627" s="7">
        <v>8469</v>
      </c>
      <c r="E7627" s="7" t="s">
        <v>23</v>
      </c>
      <c r="F7627" s="8" t="str">
        <f ca="1">IFERROR(__xludf.DUMMYFUNCTION("IF
(
C7628=""фізична особа""
,
VLOOKUP(D7628,IMPORTRANGE(""https://docs.google.com/spreadsheets/d/14Bd19lYaqBhU8_DElYkX7l4wRkHqqCUFNJY4AfY3kHU/edit?usp=sharing  #gid=0"",""фіз особи new!relations_name""),6,FALSE)
,
(IF
(
C7628=""юридична особа""
,
VLOOKUP"&amp;"(D7628,IMPORTRANGE(""https://docs.google.com/spreadsheets/d/14Bd19lYaqBhU8_DElYkX7l4wRkHqqCUFNJY4AfY3kHU/edit?usp=sharing  #gid=0"",""фіз особи new!relations_name_uo""),7,FALSE)
,
)
))"),"МІЛЮКОВ Анатолій Анатолійович")</f>
        <v>МІЛЮКОВ Анатолій Анатолійович</v>
      </c>
      <c r="G7627" s="7" t="s">
        <v>10</v>
      </c>
      <c r="H7627" s="7">
        <v>0</v>
      </c>
      <c r="I7627" s="8" t="str">
        <f ca="1">IFERROR(__xludf.DUMMYFUNCTION("IF
(
G7628=""фізична особа""
,
VLOOKUP(H7628,IMPORTRANGE(""https://docs.google.com/spreadsheets/d/14Bd19lYaqBhU8_DElYkX7l4wRkHqqCUFNJY4AfY3kHU/edit?usp=sharing  #gid=0"",""фіз особи new!relations_name""),6,FALSE)
,
(IF
(
G7628=""юридична особа""
,
VLOOKUP"&amp;"(H7628,IMPORTRANGE(""https://docs.google.com/spreadsheets/d/14Bd19lYaqBhU8_DElYkX7l4wRkHqqCUFNJY4AfY3kHU/edit?usp=sharing  #gid=0"",""фіз особи new!relations_name_uo""),7,FALSE)
,
)
))"),"#N/A")</f>
        <v>#N/A</v>
      </c>
      <c r="J7627" s="7" t="s">
        <v>23</v>
      </c>
    </row>
    <row r="7628" spans="1:10" ht="13.2">
      <c r="A7628" s="7">
        <v>7627</v>
      </c>
      <c r="B7628" s="7">
        <v>1</v>
      </c>
      <c r="C7628" s="7" t="s">
        <v>10</v>
      </c>
      <c r="D7628" s="7">
        <v>8472</v>
      </c>
      <c r="E7628" s="7" t="s">
        <v>23</v>
      </c>
      <c r="F7628" s="8" t="str">
        <f ca="1">IFERROR(__xludf.DUMMYFUNCTION("IF
(
C7629=""фізична особа""
,
VLOOKUP(D7629,IMPORTRANGE(""https://docs.google.com/spreadsheets/d/14Bd19lYaqBhU8_DElYkX7l4wRkHqqCUFNJY4AfY3kHU/edit?usp=sharing  #gid=0"",""фіз особи new!relations_name""),6,FALSE)
,
(IF
(
C7629=""юридична особа""
,
VLOOKUP"&amp;"(D7629,IMPORTRANGE(""https://docs.google.com/spreadsheets/d/14Bd19lYaqBhU8_DElYkX7l4wRkHqqCUFNJY4AfY3kHU/edit?usp=sharing  #gid=0"",""фіз особи new!relations_name_uo""),7,FALSE)
,
)
))"),"ПОЛТАВСЬКИЙ Владислав Олексійович")</f>
        <v>ПОЛТАВСЬКИЙ Владислав Олексійович</v>
      </c>
      <c r="G7628" s="7" t="s">
        <v>10</v>
      </c>
      <c r="H7628" s="7">
        <v>8473</v>
      </c>
      <c r="I7628" s="8" t="str">
        <f ca="1">IFERROR(__xludf.DUMMYFUNCTION("IF
(
G7629=""фізична особа""
,
VLOOKUP(H7629,IMPORTRANGE(""https://docs.google.com/spreadsheets/d/14Bd19lYaqBhU8_DElYkX7l4wRkHqqCUFNJY4AfY3kHU/edit?usp=sharing  #gid=0"",""фіз особи new!relations_name""),6,FALSE)
,
(IF
(
G7629=""юридична особа""
,
VLOOKUP"&amp;"(H7629,IMPORTRANGE(""https://docs.google.com/spreadsheets/d/14Bd19lYaqBhU8_DElYkX7l4wRkHqqCUFNJY4AfY3kHU/edit?usp=sharing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J7628" s="7" t="s">
        <v>23</v>
      </c>
    </row>
    <row r="7629" spans="1:10" ht="13.2">
      <c r="A7629" s="7">
        <v>7628</v>
      </c>
      <c r="B7629" s="7">
        <v>1</v>
      </c>
      <c r="C7629" s="7" t="s">
        <v>10</v>
      </c>
      <c r="D7629" s="7">
        <v>8473</v>
      </c>
      <c r="E7629" s="7" t="s">
        <v>23</v>
      </c>
      <c r="F7629" s="8" t="str">
        <f ca="1">IFERROR(__xludf.DUMMYFUNCTION("IF
(
C7630=""фізична особа""
,
VLOOKUP(D7630,IMPORTRANGE(""https://docs.google.com/spreadsheets/d/14Bd19lYaqBhU8_DElYkX7l4wRkHqqCUFNJY4AfY3kHU/edit?usp=sharing  #gid=0"",""фіз особи new!relations_name""),6,FALSE)
,
(IF
(
C7630=""юридична особа""
,
VLOOKUP"&amp;"(D7630,IMPORTRANGE(""https://docs.google.com/spreadsheets/d/14Bd19lYaqBhU8_DElYkX7l4wRkHqqCUFNJY4AfY3kHU/edit?usp=sharing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G7629" s="7" t="s">
        <v>10</v>
      </c>
      <c r="H7629" s="7">
        <v>0</v>
      </c>
      <c r="I7629" s="8" t="str">
        <f ca="1">IFERROR(__xludf.DUMMYFUNCTION("IF
(
G7630=""фізична особа""
,
VLOOKUP(H7630,IMPORTRANGE(""https://docs.google.com/spreadsheets/d/14Bd19lYaqBhU8_DElYkX7l4wRkHqqCUFNJY4AfY3kHU/edit?usp=sharing  #gid=0"",""фіз особи new!relations_name""),6,FALSE)
,
(IF
(
G7630=""юридична особа""
,
VLOOKUP"&amp;"(H7630,IMPORTRANGE(""https://docs.google.com/spreadsheets/d/14Bd19lYaqBhU8_DElYkX7l4wRkHqqCUFNJY4AfY3kHU/edit?usp=sharing  #gid=0"",""фіз особи new!relations_name_uo""),7,FALSE)
,
)
))"),"#N/A")</f>
        <v>#N/A</v>
      </c>
      <c r="J7629" s="7" t="s">
        <v>23</v>
      </c>
    </row>
    <row r="7630" spans="1:10" ht="13.2">
      <c r="A7630" s="7">
        <v>7629</v>
      </c>
      <c r="B7630" s="7">
        <v>1</v>
      </c>
      <c r="C7630" s="7" t="s">
        <v>10</v>
      </c>
      <c r="D7630" s="7">
        <v>8473</v>
      </c>
      <c r="E7630" s="7" t="s">
        <v>23</v>
      </c>
      <c r="F7630" s="8" t="str">
        <f ca="1">IFERROR(__xludf.DUMMYFUNCTION("IF
(
C7631=""фізична особа""
,
VLOOKUP(D7631,IMPORTRANGE(""https://docs.google.com/spreadsheets/d/14Bd19lYaqBhU8_DElYkX7l4wRkHqqCUFNJY4AfY3kHU/edit?usp=sharing  #gid=0"",""фіз особи new!relations_name""),6,FALSE)
,
(IF
(
C7631=""юридична особа""
,
VLOOKUP"&amp;"(D7631,IMPORTRANGE(""https://docs.google.com/spreadsheets/d/14Bd19lYaqBhU8_DElYkX7l4wRkHqqCUFNJY4AfY3kHU/edit?usp=sharing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G7630" s="7" t="s">
        <v>10</v>
      </c>
      <c r="H7630" s="7">
        <v>0</v>
      </c>
      <c r="I7630" s="8" t="str">
        <f ca="1">IFERROR(__xludf.DUMMYFUNCTION("IF
(
G7631=""фізична особа""
,
VLOOKUP(H7631,IMPORTRANGE(""https://docs.google.com/spreadsheets/d/14Bd19lYaqBhU8_DElYkX7l4wRkHqqCUFNJY4AfY3kHU/edit?usp=sharing  #gid=0"",""фіз особи new!relations_name""),6,FALSE)
,
(IF
(
G7631=""юридична особа""
,
VLOOKUP"&amp;"(H7631,IMPORTRANGE(""https://docs.google.com/spreadsheets/d/14Bd19lYaqBhU8_DElYkX7l4wRkHqqCUFNJY4AfY3kHU/edit?usp=sharing  #gid=0"",""фіз особи new!relations_name_uo""),7,FALSE)
,
)
))"),"#N/A")</f>
        <v>#N/A</v>
      </c>
      <c r="J7630" s="7" t="s">
        <v>23</v>
      </c>
    </row>
    <row r="7631" spans="1:10" ht="13.2">
      <c r="A7631" s="7">
        <v>7630</v>
      </c>
      <c r="B7631" s="7">
        <v>1</v>
      </c>
      <c r="C7631" s="7" t="s">
        <v>10</v>
      </c>
      <c r="D7631" s="7">
        <v>8485</v>
      </c>
      <c r="E7631" s="7" t="s">
        <v>23</v>
      </c>
      <c r="F7631" s="8" t="str">
        <f ca="1">IFERROR(__xludf.DUMMYFUNCTION("IF
(
C7632=""фізична особа""
,
VLOOKUP(D7632,IMPORTRANGE(""https://docs.google.com/spreadsheets/d/14Bd19lYaqBhU8_DElYkX7l4wRkHqqCUFNJY4AfY3kHU/edit?usp=sharing  #gid=0"",""фіз особи new!relations_name""),6,FALSE)
,
(IF
(
C7632=""юридична особа""
,
VLOOKUP"&amp;"(D7632,IMPORTRANGE(""https://docs.google.com/spreadsheets/d/14Bd19lYaqBhU8_DElYkX7l4wRkHqqCUFNJY4AfY3kHU/edit?usp=sharing  #gid=0"",""фіз особи new!relations_name_uo""),7,FALSE)
,
)
))"),"БЕРЕСТОВОЙ Сергій Вікторович")</f>
        <v>БЕРЕСТОВОЙ Сергій Вікторович</v>
      </c>
      <c r="G7631" s="7" t="s">
        <v>10</v>
      </c>
      <c r="H7631" s="7">
        <v>8490</v>
      </c>
      <c r="I7631" s="8" t="str">
        <f ca="1">IFERROR(__xludf.DUMMYFUNCTION("IF
(
G7632=""фізична особа""
,
VLOOKUP(H7632,IMPORTRANGE(""https://docs.google.com/spreadsheets/d/14Bd19lYaqBhU8_DElYkX7l4wRkHqqCUFNJY4AfY3kHU/edit?usp=sharing  #gid=0"",""фіз особи new!relations_name""),6,FALSE)
,
(IF
(
G7632=""юридична особа""
,
VLOOKUP"&amp;"(H7632,IMPORTRANGE(""https://docs.google.com/spreadsheets/d/14Bd19lYaqBhU8_DElYkX7l4wRkHqqCUFNJY4AfY3kHU/edit?usp=sharing  #gid=0"",""фіз особи new!relations_name_uo""),7,FALSE)
,
)
))"),"ТАРИКО Рустам Васильович")</f>
        <v>ТАРИКО Рустам Васильович</v>
      </c>
      <c r="J7631" s="7" t="s">
        <v>23</v>
      </c>
    </row>
    <row r="7632" spans="1:10" ht="13.2">
      <c r="A7632" s="7">
        <v>7631</v>
      </c>
      <c r="B7632" s="7">
        <v>1</v>
      </c>
      <c r="C7632" s="7" t="s">
        <v>10</v>
      </c>
      <c r="D7632" s="7">
        <v>8510</v>
      </c>
      <c r="E7632" s="7" t="s">
        <v>30</v>
      </c>
      <c r="F7632" s="8" t="str">
        <f ca="1">IFERROR(__xludf.DUMMYFUNCTION("IF
(
C7633=""фізична особа""
,
VLOOKUP(D7633,IMPORTRANGE(""https://docs.google.com/spreadsheets/d/14Bd19lYaqBhU8_DElYkX7l4wRkHqqCUFNJY4AfY3kHU/edit?usp=sharing  #gid=0"",""фіз особи new!relations_name""),6,FALSE)
,
(IF
(
C7633=""юридична особа""
,
VLOOKUP"&amp;"(D7633,IMPORTRANGE(""https://docs.google.com/spreadsheets/d/14Bd19lYaqBhU8_DElYkX7l4wRkHqqCUFNJY4AfY3kHU/edit?usp=sharing  #gid=0"",""фіз особи new!relations_name_uo""),7,FALSE)
,
)
))"),"ЖУЙКОВ Андрій Євгенійович")</f>
        <v>ЖУЙКОВ Андрій Євгенійович</v>
      </c>
      <c r="G7632" s="7" t="s">
        <v>10</v>
      </c>
      <c r="H7632" s="7">
        <v>0</v>
      </c>
      <c r="I7632" s="8" t="str">
        <f ca="1">IFERROR(__xludf.DUMMYFUNCTION("IF
(
G7633=""фізична особа""
,
VLOOKUP(H7633,IMPORTRANGE(""https://docs.google.com/spreadsheets/d/14Bd19lYaqBhU8_DElYkX7l4wRkHqqCUFNJY4AfY3kHU/edit?usp=sharing  #gid=0"",""фіз особи new!relations_name""),6,FALSE)
,
(IF
(
G7633=""юридична особа""
,
VLOOKUP"&amp;"(H7633,IMPORTRANGE(""https://docs.google.com/spreadsheets/d/14Bd19lYaqBhU8_DElYkX7l4wRkHqqCUFNJY4AfY3kHU/edit?usp=sharing  #gid=0"",""фіз особи new!relations_name_uo""),7,FALSE)
,
)
))"),"#N/A")</f>
        <v>#N/A</v>
      </c>
      <c r="J7632" s="7" t="s">
        <v>30</v>
      </c>
    </row>
    <row r="7633" spans="1:10" ht="13.2">
      <c r="A7633" s="7">
        <v>7632</v>
      </c>
      <c r="B7633" s="7">
        <v>1</v>
      </c>
      <c r="C7633" s="7" t="s">
        <v>10</v>
      </c>
      <c r="D7633" s="7">
        <v>8510</v>
      </c>
      <c r="E7633" s="7" t="s">
        <v>30</v>
      </c>
      <c r="F7633" s="8" t="str">
        <f ca="1">IFERROR(__xludf.DUMMYFUNCTION("IF
(
C7634=""фізична особа""
,
VLOOKUP(D7634,IMPORTRANGE(""https://docs.google.com/spreadsheets/d/14Bd19lYaqBhU8_DElYkX7l4wRkHqqCUFNJY4AfY3kHU/edit?usp=sharing  #gid=0"",""фіз особи new!relations_name""),6,FALSE)
,
(IF
(
C7634=""юридична особа""
,
VLOOKUP"&amp;"(D7634,IMPORTRANGE(""https://docs.google.com/spreadsheets/d/14Bd19lYaqBhU8_DElYkX7l4wRkHqqCUFNJY4AfY3kHU/edit?usp=sharing  #gid=0"",""фіз особи new!relations_name_uo""),7,FALSE)
,
)
))"),"ЖУЙКОВ Андрій Євгенійович")</f>
        <v>ЖУЙКОВ Андрій Євгенійович</v>
      </c>
      <c r="G7633" s="7" t="s">
        <v>10</v>
      </c>
      <c r="H7633" s="7">
        <v>2072</v>
      </c>
      <c r="I7633" s="8" t="str">
        <f ca="1">IFERROR(__xludf.DUMMYFUNCTION("IF
(
G7634=""фізична особа""
,
VLOOKUP(H7634,IMPORTRANGE(""https://docs.google.com/spreadsheets/d/14Bd19lYaqBhU8_DElYkX7l4wRkHqqCUFNJY4AfY3kHU/edit?usp=sharing  #gid=0"",""фіз особи new!relations_name""),6,FALSE)
,
(IF
(
G7634=""юридична особа""
,
VLOOKUP"&amp;"(H7634,IMPORTRANGE(""https://docs.google.com/spreadsheets/d/14Bd19lYaqBhU8_DElYkX7l4wRkHqqCUFNJY4AfY3kHU/edit?usp=sharing  #gid=0"",""фіз особи new!relations_name_uo""),7,FALSE)
,
)
))"),"СУДАРІКОВ Сергій Миколайович")</f>
        <v>СУДАРІКОВ Сергій Миколайович</v>
      </c>
      <c r="J7633" s="7" t="s">
        <v>30</v>
      </c>
    </row>
    <row r="7634" spans="1:10" ht="13.2">
      <c r="A7634" s="7">
        <v>7633</v>
      </c>
      <c r="B7634" s="7">
        <v>1</v>
      </c>
      <c r="C7634" s="7" t="s">
        <v>10</v>
      </c>
      <c r="D7634" s="7">
        <v>8614</v>
      </c>
      <c r="E7634" s="7" t="s">
        <v>15</v>
      </c>
      <c r="F7634" s="8" t="str">
        <f ca="1">IFERROR(__xludf.DUMMYFUNCTION("IF
(
C7635=""фізична особа""
,
VLOOKUP(D7635,IMPORTRANGE(""https://docs.google.com/spreadsheets/d/14Bd19lYaqBhU8_DElYkX7l4wRkHqqCUFNJY4AfY3kHU/edit?usp=sharing  #gid=0"",""фіз особи new!relations_name""),6,FALSE)
,
(IF
(
C7635=""юридична особа""
,
VLOOKUP"&amp;"(D7635,IMPORTRANGE(""https://docs.google.com/spreadsheets/d/14Bd19lYaqBhU8_DElYkX7l4wRkHqqCUFNJY4AfY3kHU/edit?usp=sharing  #gid=0"",""фіз особи new!relations_name_uo""),7,FALSE)
,
)
))"),"КАРАСІНА Ольга Владиславівна")</f>
        <v>КАРАСІНА Ольга Владиславівна</v>
      </c>
      <c r="G7634" s="7" t="s">
        <v>10</v>
      </c>
      <c r="H7634" s="7">
        <v>282</v>
      </c>
      <c r="I7634" s="8" t="str">
        <f ca="1">IFERROR(__xludf.DUMMYFUNCTION("IF
(
G7635=""фізична особа""
,
VLOOKUP(H7635,IMPORTRANGE(""https://docs.google.com/spreadsheets/d/14Bd19lYaqBhU8_DElYkX7l4wRkHqqCUFNJY4AfY3kHU/edit?usp=sharing  #gid=0"",""фіз особи new!relations_name""),6,FALSE)
,
(IF
(
G7635=""юридична особа""
,
VLOOKUP"&amp;"(H7635,IMPORTRANGE(""https://docs.google.com/spreadsheets/d/14Bd19lYaqBhU8_DElYkX7l4wRkHqqCUFNJY4AfY3kHU/edit?usp=sharing  #gid=0"",""фіз особи new!relations_name_uo""),7,FALSE)
,
)
))"),"КАРАСІН Григорій Борисович")</f>
        <v>КАРАСІН Григорій Борисович</v>
      </c>
      <c r="J7634" s="7" t="s">
        <v>14</v>
      </c>
    </row>
    <row r="7635" spans="1:10" ht="13.2">
      <c r="A7635" s="7">
        <v>7634</v>
      </c>
      <c r="B7635" s="7">
        <v>1</v>
      </c>
      <c r="C7635" s="7" t="s">
        <v>10</v>
      </c>
      <c r="D7635" s="7">
        <v>8614</v>
      </c>
      <c r="E7635" s="7" t="s">
        <v>21</v>
      </c>
      <c r="F7635" s="8" t="str">
        <f ca="1">IFERROR(__xludf.DUMMYFUNCTION("IF
(
C7636=""фізична особа""
,
VLOOKUP(D7636,IMPORTRANGE(""https://docs.google.com/spreadsheets/d/14Bd19lYaqBhU8_DElYkX7l4wRkHqqCUFNJY4AfY3kHU/edit?usp=sharing  #gid=0"",""фіз особи new!relations_name""),6,FALSE)
,
(IF
(
C7636=""юридична особа""
,
VLOOKUP"&amp;"(D7636,IMPORTRANGE(""https://docs.google.com/spreadsheets/d/14Bd19lYaqBhU8_DElYkX7l4wRkHqqCUFNJY4AfY3kHU/edit?usp=sharing  #gid=0"",""фіз особи new!relations_name_uo""),7,FALSE)
,
)
))"),"КАРАСІНА Ольга Владиславівна")</f>
        <v>КАРАСІНА Ольга Владиславівна</v>
      </c>
      <c r="G7635" s="7" t="s">
        <v>10</v>
      </c>
      <c r="H7635" s="7">
        <v>0</v>
      </c>
      <c r="I7635" s="8" t="str">
        <f ca="1">IFERROR(__xludf.DUMMYFUNCTION("IF
(
G7636=""фізична особа""
,
VLOOKUP(H7636,IMPORTRANGE(""https://docs.google.com/spreadsheets/d/14Bd19lYaqBhU8_DElYkX7l4wRkHqqCUFNJY4AfY3kHU/edit?usp=sharing  #gid=0"",""фіз особи new!relations_name""),6,FALSE)
,
(IF
(
G7636=""юридична особа""
,
VLOOKUP"&amp;"(H7636,IMPORTRANGE(""https://docs.google.com/spreadsheets/d/14Bd19lYaqBhU8_DElYkX7l4wRkHqqCUFNJY4AfY3kHU/edit?usp=sharing  #gid=0"",""фіз особи new!relations_name_uo""),7,FALSE)
,
)
))"),"#N/A")</f>
        <v>#N/A</v>
      </c>
      <c r="J7635" s="7" t="s">
        <v>13</v>
      </c>
    </row>
    <row r="7636" spans="1:10" ht="13.2">
      <c r="A7636" s="7">
        <v>7635</v>
      </c>
      <c r="B7636" s="7">
        <v>1</v>
      </c>
      <c r="C7636" s="7" t="s">
        <v>10</v>
      </c>
      <c r="D7636" s="7">
        <v>8614</v>
      </c>
      <c r="E7636" s="7" t="s">
        <v>79</v>
      </c>
      <c r="F7636" s="8" t="str">
        <f ca="1">IFERROR(__xludf.DUMMYFUNCTION("IF
(
C7637=""фізична особа""
,
VLOOKUP(D7637,IMPORTRANGE(""https://docs.google.com/spreadsheets/d/14Bd19lYaqBhU8_DElYkX7l4wRkHqqCUFNJY4AfY3kHU/edit?usp=sharing  #gid=0"",""фіз особи new!relations_name""),6,FALSE)
,
(IF
(
C7637=""юридична особа""
,
VLOOKUP"&amp;"(D7637,IMPORTRANGE(""https://docs.google.com/spreadsheets/d/14Bd19lYaqBhU8_DElYkX7l4wRkHqqCUFNJY4AfY3kHU/edit?usp=sharing  #gid=0"",""фіз особи new!relations_name_uo""),7,FALSE)
,
)
))"),"КАРАСІНА Ольга Владиславівна")</f>
        <v>КАРАСІНА Ольга Владиславівна</v>
      </c>
      <c r="G7636" s="7" t="s">
        <v>10</v>
      </c>
      <c r="H7636" s="7">
        <v>23380</v>
      </c>
      <c r="I7636" s="8" t="str">
        <f ca="1">IFERROR(__xludf.DUMMYFUNCTION("IF
(
G7637=""фізична особа""
,
VLOOKUP(H7637,IMPORTRANGE(""https://docs.google.com/spreadsheets/d/14Bd19lYaqBhU8_DElYkX7l4wRkHqqCUFNJY4AfY3kHU/edit?usp=sharing  #gid=0"",""фіз особи new!relations_name""),6,FALSE)
,
(IF
(
G7637=""юридична особа""
,
VLOOKUP"&amp;"(H7637,IMPORTRANGE(""https://docs.google.com/spreadsheets/d/14Bd19lYaqBhU8_DElYkX7l4wRkHqqCUFNJY4AfY3kHU/edit?usp=sharing  #gid=0"",""фіз особи new!relations_name_uo""),7,FALSE)
,
)
))"),"ВОЛКОВА Дар'я Сергіївна")</f>
        <v>ВОЛКОВА Дар'я Сергіївна</v>
      </c>
      <c r="J7636" s="7" t="s">
        <v>60</v>
      </c>
    </row>
    <row r="7637" spans="1:10" ht="13.2">
      <c r="A7637" s="7">
        <v>7636</v>
      </c>
      <c r="B7637" s="7">
        <v>1</v>
      </c>
      <c r="C7637" s="7" t="s">
        <v>10</v>
      </c>
      <c r="D7637" s="7">
        <v>8614</v>
      </c>
      <c r="E7637" s="7" t="s">
        <v>79</v>
      </c>
      <c r="F7637" s="8" t="str">
        <f ca="1">IFERROR(__xludf.DUMMYFUNCTION("IF
(
C7638=""фізична особа""
,
VLOOKUP(D7638,IMPORTRANGE(""https://docs.google.com/spreadsheets/d/14Bd19lYaqBhU8_DElYkX7l4wRkHqqCUFNJY4AfY3kHU/edit?usp=sharing  #gid=0"",""фіз особи new!relations_name""),6,FALSE)
,
(IF
(
C7638=""юридична особа""
,
VLOOKUP"&amp;"(D7638,IMPORTRANGE(""https://docs.google.com/spreadsheets/d/14Bd19lYaqBhU8_DElYkX7l4wRkHqqCUFNJY4AfY3kHU/edit?usp=sharing  #gid=0"",""фіз особи new!relations_name_uo""),7,FALSE)
,
)
))"),"КАРАСІНА Ольга Владиславівна")</f>
        <v>КАРАСІНА Ольга Владиславівна</v>
      </c>
      <c r="G7637" s="7" t="s">
        <v>10</v>
      </c>
      <c r="H7637" s="7">
        <v>23381</v>
      </c>
      <c r="I7637" s="8" t="str">
        <f ca="1">IFERROR(__xludf.DUMMYFUNCTION("IF
(
G7638=""фізична особа""
,
VLOOKUP(H7638,IMPORTRANGE(""https://docs.google.com/spreadsheets/d/14Bd19lYaqBhU8_DElYkX7l4wRkHqqCUFNJY4AfY3kHU/edit?usp=sharing  #gid=0"",""фіз особи new!relations_name""),6,FALSE)
,
(IF
(
G7638=""юридична особа""
,
VLOOKUP"&amp;"(H7638,IMPORTRANGE(""https://docs.google.com/spreadsheets/d/14Bd19lYaqBhU8_DElYkX7l4wRkHqqCUFNJY4AfY3kHU/edit?usp=sharing  #gid=0"",""фіз особи new!relations_name_uo""),7,FALSE)
,
)
))"),"ВОЛКОВА Поліна Сергіївна")</f>
        <v>ВОЛКОВА Поліна Сергіївна</v>
      </c>
      <c r="J7637" s="7" t="s">
        <v>60</v>
      </c>
    </row>
    <row r="7638" spans="1:10" ht="13.2">
      <c r="A7638" s="7">
        <v>7637</v>
      </c>
      <c r="B7638" s="7">
        <v>1</v>
      </c>
      <c r="C7638" s="7" t="s">
        <v>10</v>
      </c>
      <c r="D7638" s="7">
        <v>8615</v>
      </c>
      <c r="E7638" s="7" t="s">
        <v>15</v>
      </c>
      <c r="F7638" s="8" t="str">
        <f ca="1">IFERROR(__xludf.DUMMYFUNCTION("IF
(
C7639=""фізична особа""
,
VLOOKUP(D7639,IMPORTRANGE(""https://docs.google.com/spreadsheets/d/14Bd19lYaqBhU8_DElYkX7l4wRkHqqCUFNJY4AfY3kHU/edit?usp=sharing  #gid=0"",""фіз особи new!relations_name""),6,FALSE)
,
(IF
(
C7639=""юридична особа""
,
VLOOKUP"&amp;"(D7639,IMPORTRANGE(""https://docs.google.com/spreadsheets/d/14Bd19lYaqBhU8_DElYkX7l4wRkHqqCUFNJY4AfY3kHU/edit?usp=sharing  #gid=0"",""фіз особи new!relations_name_uo""),7,FALSE)
,
)
))"),"КОНДРАТЕНКО Світлана")</f>
        <v>КОНДРАТЕНКО Світлана</v>
      </c>
      <c r="G7638" s="7" t="s">
        <v>10</v>
      </c>
      <c r="H7638" s="7">
        <v>290</v>
      </c>
      <c r="I7638" s="8" t="str">
        <f ca="1">IFERROR(__xludf.DUMMYFUNCTION("IF
(
G7639=""фізична особа""
,
VLOOKUP(H7639,IMPORTRANGE(""https://docs.google.com/spreadsheets/d/14Bd19lYaqBhU8_DElYkX7l4wRkHqqCUFNJY4AfY3kHU/edit?usp=sharing  #gid=0"",""фіз особи new!relations_name""),6,FALSE)
,
(IF
(
G7639=""юридична особа""
,
VLOOKUP"&amp;"(H7639,IMPORTRANGE(""https://docs.google.com/spreadsheets/d/14Bd19lYaqBhU8_DElYkX7l4wRkHqqCUFNJY4AfY3kHU/edit?usp=sharing  #gid=0"",""фіз особи new!relations_name_uo""),7,FALSE)
,
)
))"),"КОНДРАТЕНКО Олексій Миколайович")</f>
        <v>КОНДРАТЕНКО Олексій Миколайович</v>
      </c>
      <c r="J7638" s="7" t="s">
        <v>14</v>
      </c>
    </row>
    <row r="7639" spans="1:10" ht="13.2">
      <c r="A7639" s="7">
        <v>7638</v>
      </c>
      <c r="B7639" s="7">
        <v>1</v>
      </c>
      <c r="C7639" s="7" t="s">
        <v>10</v>
      </c>
      <c r="D7639" s="7">
        <v>8615</v>
      </c>
      <c r="E7639" s="7" t="s">
        <v>21</v>
      </c>
      <c r="F7639" s="8" t="str">
        <f ca="1">IFERROR(__xludf.DUMMYFUNCTION("IF
(
C7640=""фізична особа""
,
VLOOKUP(D7640,IMPORTRANGE(""https://docs.google.com/spreadsheets/d/14Bd19lYaqBhU8_DElYkX7l4wRkHqqCUFNJY4AfY3kHU/edit?usp=sharing  #gid=0"",""фіз особи new!relations_name""),6,FALSE)
,
(IF
(
C7640=""юридична особа""
,
VLOOKUP"&amp;"(D7640,IMPORTRANGE(""https://docs.google.com/spreadsheets/d/14Bd19lYaqBhU8_DElYkX7l4wRkHqqCUFNJY4AfY3kHU/edit?usp=sharing  #gid=0"",""фіз особи new!relations_name_uo""),7,FALSE)
,
)
))"),"КОНДРАТЕНКО Світлана")</f>
        <v>КОНДРАТЕНКО Світлана</v>
      </c>
      <c r="G7639" s="7" t="s">
        <v>10</v>
      </c>
      <c r="H7639" s="7">
        <v>23383</v>
      </c>
      <c r="I7639" s="8" t="str">
        <f ca="1">IFERROR(__xludf.DUMMYFUNCTION("IF
(
G7640=""фізична особа""
,
VLOOKUP(H7640,IMPORTRANGE(""https://docs.google.com/spreadsheets/d/14Bd19lYaqBhU8_DElYkX7l4wRkHqqCUFNJY4AfY3kHU/edit?usp=sharing  #gid=0"",""фіз особи new!relations_name""),6,FALSE)
,
(IF
(
G7640=""юридична особа""
,
VLOOKUP"&amp;"(H7640,IMPORTRANGE(""https://docs.google.com/spreadsheets/d/14Bd19lYaqBhU8_DElYkX7l4wRkHqqCUFNJY4AfY3kHU/edit?usp=sharing  #gid=0"",""фіз особи new!relations_name_uo""),7,FALSE)
,
)
))"),"КОНДРАТЕНКО Катерина Олексіївна")</f>
        <v>КОНДРАТЕНКО Катерина Олексіївна</v>
      </c>
      <c r="J7639" s="7" t="s">
        <v>13</v>
      </c>
    </row>
    <row r="7640" spans="1:10" ht="13.2">
      <c r="A7640" s="7">
        <v>7639</v>
      </c>
      <c r="B7640" s="7">
        <v>1</v>
      </c>
      <c r="C7640" s="7" t="s">
        <v>10</v>
      </c>
      <c r="D7640" s="7">
        <v>8615</v>
      </c>
      <c r="E7640" s="7" t="s">
        <v>21</v>
      </c>
      <c r="F7640" s="8" t="str">
        <f ca="1">IFERROR(__xludf.DUMMYFUNCTION("IF
(
C7641=""фізична особа""
,
VLOOKUP(D7641,IMPORTRANGE(""https://docs.google.com/spreadsheets/d/14Bd19lYaqBhU8_DElYkX7l4wRkHqqCUFNJY4AfY3kHU/edit?usp=sharing  #gid=0"",""фіз особи new!relations_name""),6,FALSE)
,
(IF
(
C7641=""юридична особа""
,
VLOOKUP"&amp;"(D7641,IMPORTRANGE(""https://docs.google.com/spreadsheets/d/14Bd19lYaqBhU8_DElYkX7l4wRkHqqCUFNJY4AfY3kHU/edit?usp=sharing  #gid=0"",""фіз особи new!relations_name_uo""),7,FALSE)
,
)
))"),"КОНДРАТЕНКО Світлана")</f>
        <v>КОНДРАТЕНКО Світлана</v>
      </c>
      <c r="G7640" s="7" t="s">
        <v>10</v>
      </c>
      <c r="H7640" s="7">
        <v>23382</v>
      </c>
      <c r="I7640" s="8" t="str">
        <f ca="1">IFERROR(__xludf.DUMMYFUNCTION("IF
(
G7641=""фізична особа""
,
VLOOKUP(H7641,IMPORTRANGE(""https://docs.google.com/spreadsheets/d/14Bd19lYaqBhU8_DElYkX7l4wRkHqqCUFNJY4AfY3kHU/edit?usp=sharing  #gid=0"",""фіз особи new!relations_name""),6,FALSE)
,
(IF
(
G7641=""юридична особа""
,
VLOOKUP"&amp;"(H7641,IMPORTRANGE(""https://docs.google.com/spreadsheets/d/14Bd19lYaqBhU8_DElYkX7l4wRkHqqCUFNJY4AfY3kHU/edit?usp=sharing  #gid=0"",""фіз особи new!relations_name_uo""),7,FALSE)
,
)
))"),"КОНДРАТЕНКО Микола Олексійович")</f>
        <v>КОНДРАТЕНКО Микола Олексійович</v>
      </c>
      <c r="J7640" s="7" t="s">
        <v>17</v>
      </c>
    </row>
    <row r="7641" spans="1:10" ht="13.2">
      <c r="A7641" s="7">
        <v>7640</v>
      </c>
      <c r="B7641" s="7">
        <v>1</v>
      </c>
      <c r="C7641" s="7" t="s">
        <v>10</v>
      </c>
      <c r="D7641" s="7">
        <v>8616</v>
      </c>
      <c r="E7641" s="7" t="s">
        <v>15</v>
      </c>
      <c r="F7641" s="8" t="str">
        <f ca="1">IFERROR(__xludf.DUMMYFUNCTION("IF
(
C7642=""фізична особа""
,
VLOOKUP(D7642,IMPORTRANGE(""https://docs.google.com/spreadsheets/d/14Bd19lYaqBhU8_DElYkX7l4wRkHqqCUFNJY4AfY3kHU/edit?usp=sharing  #gid=0"",""фіз особи new!relations_name""),6,FALSE)
,
(IF
(
C7642=""юридична особа""
,
VLOOKUP"&amp;"(D7642,IMPORTRANGE(""https://docs.google.com/spreadsheets/d/14Bd19lYaqBhU8_DElYkX7l4wRkHqqCUFNJY4AfY3kHU/edit?usp=sharing  #gid=0"",""фіз особи new!relations_name_uo""),7,FALSE)
,
)
))"),"МОРОЗОВА Ольга Василівна")</f>
        <v>МОРОЗОВА Ольга Василівна</v>
      </c>
      <c r="G7641" s="7" t="s">
        <v>10</v>
      </c>
      <c r="H7641" s="7">
        <v>306</v>
      </c>
      <c r="I7641" s="8" t="str">
        <f ca="1">IFERROR(__xludf.DUMMYFUNCTION("IF
(
G7642=""фізична особа""
,
VLOOKUP(H7642,IMPORTRANGE(""https://docs.google.com/spreadsheets/d/14Bd19lYaqBhU8_DElYkX7l4wRkHqqCUFNJY4AfY3kHU/edit?usp=sharing  #gid=0"",""фіз особи new!relations_name""),6,FALSE)
,
(IF
(
G7642=""юридична особа""
,
VLOOKUP"&amp;"(H7642,IMPORTRANGE(""https://docs.google.com/spreadsheets/d/14Bd19lYaqBhU8_DElYkX7l4wRkHqqCUFNJY4AfY3kHU/edit?usp=sharing  #gid=0"",""фіз особи new!relations_name_uo""),7,FALSE)
,
)
))"),"МОРОЗОВ Ігор Миколайович")</f>
        <v>МОРОЗОВ Ігор Миколайович</v>
      </c>
      <c r="J7641" s="7" t="s">
        <v>14</v>
      </c>
    </row>
    <row r="7642" spans="1:10" ht="13.2">
      <c r="A7642" s="7">
        <v>7641</v>
      </c>
      <c r="B7642" s="7">
        <v>1</v>
      </c>
      <c r="C7642" s="7" t="s">
        <v>10</v>
      </c>
      <c r="D7642" s="7">
        <v>8617</v>
      </c>
      <c r="E7642" s="7" t="s">
        <v>15</v>
      </c>
      <c r="F7642" s="8" t="str">
        <f ca="1">IFERROR(__xludf.DUMMYFUNCTION("IF
(
C7643=""фізична особа""
,
VLOOKUP(D7643,IMPORTRANGE(""https://docs.google.com/spreadsheets/d/14Bd19lYaqBhU8_DElYkX7l4wRkHqqCUFNJY4AfY3kHU/edit?usp=sharing  #gid=0"",""фіз особи new!relations_name""),6,FALSE)
,
(IF
(
C7643=""юридична особа""
,
VLOOKUP"&amp;"(D7643,IMPORTRANGE(""https://docs.google.com/spreadsheets/d/14Bd19lYaqBhU8_DElYkX7l4wRkHqqCUFNJY4AfY3kHU/edit?usp=sharing  #gid=0"",""фіз особи new!relations_name_uo""),7,FALSE)
,
)
))"),"АБРАМОВА Тетяна Миколаївна")</f>
        <v>АБРАМОВА Тетяна Миколаївна</v>
      </c>
      <c r="G7642" s="7" t="s">
        <v>10</v>
      </c>
      <c r="H7642" s="7">
        <v>351</v>
      </c>
      <c r="I7642" s="8" t="str">
        <f ca="1">IFERROR(__xludf.DUMMYFUNCTION("IF
(
G7643=""фізична особа""
,
VLOOKUP(H7643,IMPORTRANGE(""https://docs.google.com/spreadsheets/d/14Bd19lYaqBhU8_DElYkX7l4wRkHqqCUFNJY4AfY3kHU/edit?usp=sharing  #gid=0"",""фіз особи new!relations_name""),6,FALSE)
,
(IF
(
G7643=""юридична особа""
,
VLOOKUP"&amp;"(H7643,IMPORTRANGE(""https://docs.google.com/spreadsheets/d/14Bd19lYaqBhU8_DElYkX7l4wRkHqqCUFNJY4AfY3kHU/edit?usp=sharing  #gid=0"",""фіз особи new!relations_name_uo""),7,FALSE)
,
)
))"),"АБРАМОВ Іван Миколайович")</f>
        <v>АБРАМОВ Іван Миколайович</v>
      </c>
      <c r="J7642" s="7" t="s">
        <v>14</v>
      </c>
    </row>
    <row r="7643" spans="1:10" ht="13.2">
      <c r="A7643" s="7">
        <v>7642</v>
      </c>
      <c r="B7643" s="7">
        <v>1</v>
      </c>
      <c r="C7643" s="7" t="s">
        <v>10</v>
      </c>
      <c r="D7643" s="7">
        <v>8617</v>
      </c>
      <c r="E7643" s="7" t="s">
        <v>21</v>
      </c>
      <c r="F7643" s="8" t="str">
        <f ca="1">IFERROR(__xludf.DUMMYFUNCTION("IF
(
C7644=""фізична особа""
,
VLOOKUP(D7644,IMPORTRANGE(""https://docs.google.com/spreadsheets/d/14Bd19lYaqBhU8_DElYkX7l4wRkHqqCUFNJY4AfY3kHU/edit?usp=sharing  #gid=0"",""фіз особи new!relations_name""),6,FALSE)
,
(IF
(
C7644=""юридична особа""
,
VLOOKUP"&amp;"(D7644,IMPORTRANGE(""https://docs.google.com/spreadsheets/d/14Bd19lYaqBhU8_DElYkX7l4wRkHqqCUFNJY4AfY3kHU/edit?usp=sharing  #gid=0"",""фіз особи new!relations_name_uo""),7,FALSE)
,
)
))"),"АБРАМОВА Тетяна Миколаївна")</f>
        <v>АБРАМОВА Тетяна Миколаївна</v>
      </c>
      <c r="G7643" s="7" t="s">
        <v>10</v>
      </c>
      <c r="H7643" s="7">
        <v>23391</v>
      </c>
      <c r="I7643" s="8" t="str">
        <f ca="1">IFERROR(__xludf.DUMMYFUNCTION("IF
(
G7644=""фізична особа""
,
VLOOKUP(H7644,IMPORTRANGE(""https://docs.google.com/spreadsheets/d/14Bd19lYaqBhU8_DElYkX7l4wRkHqqCUFNJY4AfY3kHU/edit?usp=sharing  #gid=0"",""фіз особи new!relations_name""),6,FALSE)
,
(IF
(
G7644=""юридична особа""
,
VLOOKUP"&amp;"(H7644,IMPORTRANGE(""https://docs.google.com/spreadsheets/d/14Bd19lYaqBhU8_DElYkX7l4wRkHqqCUFNJY4AfY3kHU/edit?usp=sharing  #gid=0"",""фіз особи new!relations_name_uo""),7,FALSE)
,
)
))"),"АБРАМОВ Назар Іванович")</f>
        <v>АБРАМОВ Назар Іванович</v>
      </c>
      <c r="J7643" s="7" t="s">
        <v>17</v>
      </c>
    </row>
    <row r="7644" spans="1:10" ht="13.2">
      <c r="A7644" s="7">
        <v>7643</v>
      </c>
      <c r="B7644" s="7">
        <v>1</v>
      </c>
      <c r="C7644" s="7" t="s">
        <v>10</v>
      </c>
      <c r="D7644" s="7">
        <v>8617</v>
      </c>
      <c r="E7644" s="7" t="s">
        <v>21</v>
      </c>
      <c r="F7644" s="8" t="str">
        <f ca="1">IFERROR(__xludf.DUMMYFUNCTION("IF
(
C7645=""фізична особа""
,
VLOOKUP(D7645,IMPORTRANGE(""https://docs.google.com/spreadsheets/d/14Bd19lYaqBhU8_DElYkX7l4wRkHqqCUFNJY4AfY3kHU/edit?usp=sharing  #gid=0"",""фіз особи new!relations_name""),6,FALSE)
,
(IF
(
C7645=""юридична особа""
,
VLOOKUP"&amp;"(D7645,IMPORTRANGE(""https://docs.google.com/spreadsheets/d/14Bd19lYaqBhU8_DElYkX7l4wRkHqqCUFNJY4AfY3kHU/edit?usp=sharing  #gid=0"",""фіз особи new!relations_name_uo""),7,FALSE)
,
)
))"),"АБРАМОВА Тетяна Миколаївна")</f>
        <v>АБРАМОВА Тетяна Миколаївна</v>
      </c>
      <c r="G7644" s="7" t="s">
        <v>10</v>
      </c>
      <c r="H7644" s="7">
        <v>23392</v>
      </c>
      <c r="I7644" s="8" t="str">
        <f ca="1">IFERROR(__xludf.DUMMYFUNCTION("IF
(
G7645=""фізична особа""
,
VLOOKUP(H7645,IMPORTRANGE(""https://docs.google.com/spreadsheets/d/14Bd19lYaqBhU8_DElYkX7l4wRkHqqCUFNJY4AfY3kHU/edit?usp=sharing  #gid=0"",""фіз особи new!relations_name""),6,FALSE)
,
(IF
(
G7645=""юридична особа""
,
VLOOKUP"&amp;"(H7645,IMPORTRANGE(""https://docs.google.com/spreadsheets/d/14Bd19lYaqBhU8_DElYkX7l4wRkHqqCUFNJY4AfY3kHU/edit?usp=sharing  #gid=0"",""фіз особи new!relations_name_uo""),7,FALSE)
,
)
))"),"АБРАМОВ Микола Іванович")</f>
        <v>АБРАМОВ Микола Іванович</v>
      </c>
      <c r="J7644" s="7" t="s">
        <v>17</v>
      </c>
    </row>
    <row r="7645" spans="1:10" ht="13.2">
      <c r="A7645" s="7">
        <v>7644</v>
      </c>
      <c r="B7645" s="7">
        <v>1</v>
      </c>
      <c r="C7645" s="7" t="s">
        <v>10</v>
      </c>
      <c r="D7645" s="7">
        <v>8617</v>
      </c>
      <c r="E7645" s="7" t="s">
        <v>21</v>
      </c>
      <c r="F7645" s="8" t="str">
        <f ca="1">IFERROR(__xludf.DUMMYFUNCTION("IF
(
C7646=""фізична особа""
,
VLOOKUP(D7646,IMPORTRANGE(""https://docs.google.com/spreadsheets/d/14Bd19lYaqBhU8_DElYkX7l4wRkHqqCUFNJY4AfY3kHU/edit?usp=sharing  #gid=0"",""фіз особи new!relations_name""),6,FALSE)
,
(IF
(
C7646=""юридична особа""
,
VLOOKUP"&amp;"(D7646,IMPORTRANGE(""https://docs.google.com/spreadsheets/d/14Bd19lYaqBhU8_DElYkX7l4wRkHqqCUFNJY4AfY3kHU/edit?usp=sharing  #gid=0"",""фіз особи new!relations_name_uo""),7,FALSE)
,
)
))"),"АБРАМОВА Тетяна Миколаївна")</f>
        <v>АБРАМОВА Тетяна Миколаївна</v>
      </c>
      <c r="G7645" s="7" t="s">
        <v>10</v>
      </c>
      <c r="H7645" s="7">
        <v>23393</v>
      </c>
      <c r="I7645" s="8" t="str">
        <f ca="1">IFERROR(__xludf.DUMMYFUNCTION("IF
(
G7646=""фізична особа""
,
VLOOKUP(H7646,IMPORTRANGE(""https://docs.google.com/spreadsheets/d/14Bd19lYaqBhU8_DElYkX7l4wRkHqqCUFNJY4AfY3kHU/edit?usp=sharing  #gid=0"",""фіз особи new!relations_name""),6,FALSE)
,
(IF
(
G7646=""юридична особа""
,
VLOOKUP"&amp;"(H7646,IMPORTRANGE(""https://docs.google.com/spreadsheets/d/14Bd19lYaqBhU8_DElYkX7l4wRkHqqCUFNJY4AfY3kHU/edit?usp=sharing  #gid=0"",""фіз особи new!relations_name_uo""),7,FALSE)
,
)
))"),"АБРАМОВА Еріка Іванівна")</f>
        <v>АБРАМОВА Еріка Іванівна</v>
      </c>
      <c r="J7645" s="7" t="s">
        <v>13</v>
      </c>
    </row>
    <row r="7646" spans="1:10" ht="13.2">
      <c r="A7646" s="7">
        <v>7645</v>
      </c>
      <c r="B7646" s="7">
        <v>1</v>
      </c>
      <c r="C7646" s="7" t="s">
        <v>10</v>
      </c>
      <c r="D7646" s="7">
        <v>8618</v>
      </c>
      <c r="E7646" s="7" t="s">
        <v>14</v>
      </c>
      <c r="F7646" s="8" t="str">
        <f ca="1">IFERROR(__xludf.DUMMYFUNCTION("IF
(
C7647=""фізична особа""
,
VLOOKUP(D7647,IMPORTRANGE(""https://docs.google.com/spreadsheets/d/14Bd19lYaqBhU8_DElYkX7l4wRkHqqCUFNJY4AfY3kHU/edit?usp=sharing  #gid=0"",""фіз особи new!relations_name""),6,FALSE)
,
(IF
(
C7647=""юридична особа""
,
VLOOKUP"&amp;"(D7647,IMPORTRANGE(""https://docs.google.com/spreadsheets/d/14Bd19lYaqBhU8_DElYkX7l4wRkHqqCUFNJY4AfY3kHU/edit?usp=sharing  #gid=0"",""фіз особи new!relations_name_uo""),7,FALSE)
,
)
))"),"МАЛЬЦЕВ Артем Олександрович")</f>
        <v>МАЛЬЦЕВ Артем Олександрович</v>
      </c>
      <c r="G7646" s="7" t="s">
        <v>10</v>
      </c>
      <c r="H7646" s="7">
        <v>383</v>
      </c>
      <c r="I7646" s="8" t="str">
        <f ca="1">IFERROR(__xludf.DUMMYFUNCTION("IF
(
G7647=""фізична особа""
,
VLOOKUP(H7647,IMPORTRANGE(""https://docs.google.com/spreadsheets/d/14Bd19lYaqBhU8_DElYkX7l4wRkHqqCUFNJY4AfY3kHU/edit?usp=sharing  #gid=0"",""фіз особи new!relations_name""),6,FALSE)
,
(IF
(
G7647=""юридична особа""
,
VLOOKUP"&amp;"(H7647,IMPORTRANGE(""https://docs.google.com/spreadsheets/d/14Bd19lYaqBhU8_DElYkX7l4wRkHqqCUFNJY4AfY3kHU/edit?usp=sharing  #gid=0"",""фіз особи new!relations_name_uo""),7,FALSE)
,
)
))"),"КОВІТІДІ Ольга Федорівна")</f>
        <v>КОВІТІДІ Ольга Федорівна</v>
      </c>
      <c r="J7646" s="7" t="s">
        <v>15</v>
      </c>
    </row>
    <row r="7647" spans="1:10" ht="13.2">
      <c r="A7647" s="7">
        <v>7646</v>
      </c>
      <c r="B7647" s="7">
        <v>1</v>
      </c>
      <c r="C7647" s="7" t="s">
        <v>10</v>
      </c>
      <c r="D7647" s="7">
        <v>8619</v>
      </c>
      <c r="E7647" s="7" t="s">
        <v>14</v>
      </c>
      <c r="F7647" s="8" t="str">
        <f ca="1">IFERROR(__xludf.DUMMYFUNCTION("IF
(
C7648=""фізична особа""
,
VLOOKUP(D7648,IMPORTRANGE(""https://docs.google.com/spreadsheets/d/14Bd19lYaqBhU8_DElYkX7l4wRkHqqCUFNJY4AfY3kHU/edit?usp=sharing  #gid=0"",""фіз особи new!relations_name""),6,FALSE)
,
(IF
(
C7648=""юридична особа""
,
VLOOKUP"&amp;"(D7648,IMPORTRANGE(""https://docs.google.com/spreadsheets/d/14Bd19lYaqBhU8_DElYkX7l4wRkHqqCUFNJY4AfY3kHU/edit?usp=sharing  #gid=0"",""фіз особи new!relations_name_uo""),7,FALSE)
,
)
))"),"КОМАРОВ Кирило Борисович")</f>
        <v>КОМАРОВ Кирило Борисович</v>
      </c>
      <c r="G7647" s="7" t="s">
        <v>10</v>
      </c>
      <c r="H7647" s="7">
        <v>406</v>
      </c>
      <c r="I7647" s="8" t="str">
        <f ca="1">IFERROR(__xludf.DUMMYFUNCTION("IF
(
G7648=""фізична особа""
,
VLOOKUP(H7648,IMPORTRANGE(""https://docs.google.com/spreadsheets/d/14Bd19lYaqBhU8_DElYkX7l4wRkHqqCUFNJY4AfY3kHU/edit?usp=sharing  #gid=0"",""фіз особи new!relations_name""),6,FALSE)
,
(IF
(
G7648=""юридична особа""
,
VLOOKUP"&amp;"(H7648,IMPORTRANGE(""https://docs.google.com/spreadsheets/d/14Bd19lYaqBhU8_DElYkX7l4wRkHqqCUFNJY4AfY3kHU/edit?usp=sharing  #gid=0"",""фіз особи new!relations_name_uo""),7,FALSE)
,
)
))"),"ГЛЄБОВА Любов Миколаївна")</f>
        <v>ГЛЄБОВА Любов Миколаївна</v>
      </c>
      <c r="J7647" s="7" t="s">
        <v>15</v>
      </c>
    </row>
    <row r="7648" spans="1:10" ht="13.2">
      <c r="A7648" s="7">
        <v>7647</v>
      </c>
      <c r="B7648" s="7">
        <v>1</v>
      </c>
      <c r="C7648" s="7" t="s">
        <v>10</v>
      </c>
      <c r="D7648" s="7">
        <v>8620</v>
      </c>
      <c r="E7648" s="7" t="s">
        <v>14</v>
      </c>
      <c r="F7648" s="8" t="str">
        <f ca="1">IFERROR(__xludf.DUMMYFUNCTION("IF
(
C7649=""фізична особа""
,
VLOOKUP(D7649,IMPORTRANGE(""https://docs.google.com/spreadsheets/d/14Bd19lYaqBhU8_DElYkX7l4wRkHqqCUFNJY4AfY3kHU/edit?usp=sharing  #gid=0"",""фіз особи new!relations_name""),6,FALSE)
,
(IF
(
C7649=""юридична особа""
,
VLOOKUP"&amp;"(D7649,IMPORTRANGE(""https://docs.google.com/spreadsheets/d/14Bd19lYaqBhU8_DElYkX7l4wRkHqqCUFNJY4AfY3kHU/edit?usp=sharing  #gid=0"",""фіз особи new!relations_name_uo""),7,FALSE)
,
)
))"),"ПАВЛОВ Олександр Володимирович")</f>
        <v>ПАВЛОВ Олександр Володимирович</v>
      </c>
      <c r="G7648" s="7" t="s">
        <v>10</v>
      </c>
      <c r="H7648" s="7">
        <v>420</v>
      </c>
      <c r="I7648" s="8" t="str">
        <f ca="1">IFERROR(__xludf.DUMMYFUNCTION("IF
(
G7649=""фізична особа""
,
VLOOKUP(H7649,IMPORTRANGE(""https://docs.google.com/spreadsheets/d/14Bd19lYaqBhU8_DElYkX7l4wRkHqqCUFNJY4AfY3kHU/edit?usp=sharing  #gid=0"",""фіз особи new!relations_name""),6,FALSE)
,
(IF
(
G7649=""юридична особа""
,
VLOOKUP"&amp;"(H7649,IMPORTRANGE(""https://docs.google.com/spreadsheets/d/14Bd19lYaqBhU8_DElYkX7l4wRkHqqCUFNJY4AfY3kHU/edit?usp=sharing  #gid=0"",""фіз особи new!relations_name_uo""),7,FALSE)
,
)
))"),"ПАВЛОВА Маргарита Миколаївна")</f>
        <v>ПАВЛОВА Маргарита Миколаївна</v>
      </c>
      <c r="J7648" s="7" t="s">
        <v>15</v>
      </c>
    </row>
    <row r="7649" spans="1:10" ht="13.2">
      <c r="A7649" s="7">
        <v>7648</v>
      </c>
      <c r="B7649" s="7">
        <v>1</v>
      </c>
      <c r="C7649" s="7" t="s">
        <v>10</v>
      </c>
      <c r="D7649" s="7">
        <v>8620</v>
      </c>
      <c r="E7649" s="7" t="s">
        <v>12</v>
      </c>
      <c r="F7649" s="8" t="str">
        <f ca="1">IFERROR(__xludf.DUMMYFUNCTION("IF
(
C7650=""фізична особа""
,
VLOOKUP(D7650,IMPORTRANGE(""https://docs.google.com/spreadsheets/d/14Bd19lYaqBhU8_DElYkX7l4wRkHqqCUFNJY4AfY3kHU/edit?usp=sharing  #gid=0"",""фіз особи new!relations_name""),6,FALSE)
,
(IF
(
C7650=""юридична особа""
,
VLOOKUP"&amp;"(D7650,IMPORTRANGE(""https://docs.google.com/spreadsheets/d/14Bd19lYaqBhU8_DElYkX7l4wRkHqqCUFNJY4AfY3kHU/edit?usp=sharing  #gid=0"",""фіз особи new!relations_name_uo""),7,FALSE)
,
)
))"),"ПАВЛОВ Олександр Володимирович")</f>
        <v>ПАВЛОВ Олександр Володимирович</v>
      </c>
      <c r="G7649" s="7" t="s">
        <v>10</v>
      </c>
      <c r="H7649" s="7">
        <v>23398</v>
      </c>
      <c r="I7649" s="8" t="str">
        <f ca="1">IFERROR(__xludf.DUMMYFUNCTION("IF
(
G7650=""фізична особа""
,
VLOOKUP(H7650,IMPORTRANGE(""https://docs.google.com/spreadsheets/d/14Bd19lYaqBhU8_DElYkX7l4wRkHqqCUFNJY4AfY3kHU/edit?usp=sharing  #gid=0"",""фіз особи new!relations_name""),6,FALSE)
,
(IF
(
G7650=""юридична особа""
,
VLOOKUP"&amp;"(H7650,IMPORTRANGE(""https://docs.google.com/spreadsheets/d/14Bd19lYaqBhU8_DElYkX7l4wRkHqqCUFNJY4AfY3kHU/edit?usp=sharing  #gid=0"",""фіз особи new!relations_name_uo""),7,FALSE)
,
)
))"),"ПАВЛОВА Вікторія Олександрівна")</f>
        <v>ПАВЛОВА Вікторія Олександрівна</v>
      </c>
      <c r="J7649" s="7" t="s">
        <v>13</v>
      </c>
    </row>
    <row r="7650" spans="1:10" ht="13.2">
      <c r="A7650" s="7">
        <v>7649</v>
      </c>
      <c r="B7650" s="7">
        <v>1</v>
      </c>
      <c r="C7650" s="7" t="s">
        <v>10</v>
      </c>
      <c r="D7650" s="7">
        <v>8621</v>
      </c>
      <c r="E7650" s="7" t="s">
        <v>15</v>
      </c>
      <c r="F7650" s="8" t="str">
        <f ca="1">IFERROR(__xludf.DUMMYFUNCTION("IF
(
C7651=""фізична особа""
,
VLOOKUP(D7651,IMPORTRANGE(""https://docs.google.com/spreadsheets/d/14Bd19lYaqBhU8_DElYkX7l4wRkHqqCUFNJY4AfY3kHU/edit?usp=sharing  #gid=0"",""фіз особи new!relations_name""),6,FALSE)
,
(IF
(
C7651=""юридична особа""
,
VLOOKUP"&amp;"(D7651,IMPORTRANGE(""https://docs.google.com/spreadsheets/d/14Bd19lYaqBhU8_DElYkX7l4wRkHqqCUFNJY4AfY3kHU/edit?usp=sharing  #gid=0"",""фіз особи new!relations_name_uo""),7,FALSE)
,
)
))"),"КАРЛІНА Галина Вікторівна")</f>
        <v>КАРЛІНА Галина Вікторівна</v>
      </c>
      <c r="G7650" s="7" t="s">
        <v>10</v>
      </c>
      <c r="H7650" s="7">
        <v>423</v>
      </c>
      <c r="I7650" s="8" t="str">
        <f ca="1">IFERROR(__xludf.DUMMYFUNCTION("IF
(
G7651=""фізична особа""
,
VLOOKUP(H7651,IMPORTRANGE(""https://docs.google.com/spreadsheets/d/14Bd19lYaqBhU8_DElYkX7l4wRkHqqCUFNJY4AfY3kHU/edit?usp=sharing  #gid=0"",""фіз особи new!relations_name""),6,FALSE)
,
(IF
(
G7651=""юридична особа""
,
VLOOKUP"&amp;"(H7651,IMPORTRANGE(""https://docs.google.com/spreadsheets/d/14Bd19lYaqBhU8_DElYkX7l4wRkHqqCUFNJY4AfY3kHU/edit?usp=sharing  #gid=0"",""фіз особи new!relations_name_uo""),7,FALSE)
,
)
))"),"КАРЛІН Олександр Богданович")</f>
        <v>КАРЛІН Олександр Богданович</v>
      </c>
      <c r="J7650" s="7" t="s">
        <v>14</v>
      </c>
    </row>
    <row r="7651" spans="1:10" ht="13.2">
      <c r="A7651" s="7">
        <v>7650</v>
      </c>
      <c r="B7651" s="7">
        <v>1</v>
      </c>
      <c r="C7651" s="7" t="s">
        <v>10</v>
      </c>
      <c r="D7651" s="7">
        <v>8621</v>
      </c>
      <c r="E7651" s="7" t="s">
        <v>21</v>
      </c>
      <c r="F7651" s="8" t="str">
        <f ca="1">IFERROR(__xludf.DUMMYFUNCTION("IF
(
C7652=""фізична особа""
,
VLOOKUP(D7652,IMPORTRANGE(""https://docs.google.com/spreadsheets/d/14Bd19lYaqBhU8_DElYkX7l4wRkHqqCUFNJY4AfY3kHU/edit?usp=sharing  #gid=0"",""фіз особи new!relations_name""),6,FALSE)
,
(IF
(
C7652=""юридична особа""
,
VLOOKUP"&amp;"(D7652,IMPORTRANGE(""https://docs.google.com/spreadsheets/d/14Bd19lYaqBhU8_DElYkX7l4wRkHqqCUFNJY4AfY3kHU/edit?usp=sharing  #gid=0"",""фіз особи new!relations_name_uo""),7,FALSE)
,
)
))"),"КАРЛІНА Галина Вікторівна")</f>
        <v>КАРЛІНА Галина Вікторівна</v>
      </c>
      <c r="G7651" s="7" t="s">
        <v>10</v>
      </c>
      <c r="H7651" s="7">
        <v>23402</v>
      </c>
      <c r="I7651" s="8" t="str">
        <f ca="1">IFERROR(__xludf.DUMMYFUNCTION("IF
(
G7652=""фізична особа""
,
VLOOKUP(H7652,IMPORTRANGE(""https://docs.google.com/spreadsheets/d/14Bd19lYaqBhU8_DElYkX7l4wRkHqqCUFNJY4AfY3kHU/edit?usp=sharing  #gid=0"",""фіз особи new!relations_name""),6,FALSE)
,
(IF
(
G7652=""юридична особа""
,
VLOOKUP"&amp;"(H7652,IMPORTRANGE(""https://docs.google.com/spreadsheets/d/14Bd19lYaqBhU8_DElYkX7l4wRkHqqCUFNJY4AfY3kHU/edit?usp=sharing  #gid=0"",""фіз особи new!relations_name_uo""),7,FALSE)
,
)
))"),"КАРЛІН Андрій Олександрович")</f>
        <v>КАРЛІН Андрій Олександрович</v>
      </c>
      <c r="J7651" s="7" t="s">
        <v>17</v>
      </c>
    </row>
    <row r="7652" spans="1:10" ht="13.2">
      <c r="A7652" s="7">
        <v>7651</v>
      </c>
      <c r="B7652" s="7">
        <v>1</v>
      </c>
      <c r="C7652" s="7" t="s">
        <v>10</v>
      </c>
      <c r="D7652" s="7">
        <v>8621</v>
      </c>
      <c r="E7652" s="7" t="s">
        <v>21</v>
      </c>
      <c r="F7652" s="8" t="str">
        <f ca="1">IFERROR(__xludf.DUMMYFUNCTION("IF
(
C7653=""фізична особа""
,
VLOOKUP(D7653,IMPORTRANGE(""https://docs.google.com/spreadsheets/d/14Bd19lYaqBhU8_DElYkX7l4wRkHqqCUFNJY4AfY3kHU/edit?usp=sharing  #gid=0"",""фіз особи new!relations_name""),6,FALSE)
,
(IF
(
C7653=""юридична особа""
,
VLOOKUP"&amp;"(D7653,IMPORTRANGE(""https://docs.google.com/spreadsheets/d/14Bd19lYaqBhU8_DElYkX7l4wRkHqqCUFNJY4AfY3kHU/edit?usp=sharing  #gid=0"",""фіз особи new!relations_name_uo""),7,FALSE)
,
)
))"),"КАРЛІНА Галина Вікторівна")</f>
        <v>КАРЛІНА Галина Вікторівна</v>
      </c>
      <c r="G7652" s="7" t="s">
        <v>10</v>
      </c>
      <c r="H7652" s="7">
        <v>23403</v>
      </c>
      <c r="I7652" s="8" t="str">
        <f ca="1">IFERROR(__xludf.DUMMYFUNCTION("IF
(
G7653=""фізична особа""
,
VLOOKUP(H7653,IMPORTRANGE(""https://docs.google.com/spreadsheets/d/14Bd19lYaqBhU8_DElYkX7l4wRkHqqCUFNJY4AfY3kHU/edit?usp=sharing  #gid=0"",""фіз особи new!relations_name""),6,FALSE)
,
(IF
(
G7653=""юридична особа""
,
VLOOKUP"&amp;"(H7653,IMPORTRANGE(""https://docs.google.com/spreadsheets/d/14Bd19lYaqBhU8_DElYkX7l4wRkHqqCUFNJY4AfY3kHU/edit?usp=sharing  #gid=0"",""фіз особи new!relations_name_uo""),7,FALSE)
,
)
))"),"КАРЛІН Віктор Олександрович")</f>
        <v>КАРЛІН Віктор Олександрович</v>
      </c>
      <c r="J7652" s="7" t="s">
        <v>17</v>
      </c>
    </row>
    <row r="7653" spans="1:10" ht="13.2">
      <c r="A7653" s="7">
        <v>7652</v>
      </c>
      <c r="B7653" s="7">
        <v>1</v>
      </c>
      <c r="C7653" s="7" t="s">
        <v>10</v>
      </c>
      <c r="D7653" s="7">
        <v>8622</v>
      </c>
      <c r="E7653" s="7" t="s">
        <v>15</v>
      </c>
      <c r="F7653" s="8" t="str">
        <f ca="1">IFERROR(__xludf.DUMMYFUNCTION("IF
(
C7654=""фізична особа""
,
VLOOKUP(D7654,IMPORTRANGE(""https://docs.google.com/spreadsheets/d/14Bd19lYaqBhU8_DElYkX7l4wRkHqqCUFNJY4AfY3kHU/edit?usp=sharing  #gid=0"",""фіз особи new!relations_name""),6,FALSE)
,
(IF
(
C7654=""юридична особа""
,
VLOOKUP"&amp;"(D7654,IMPORTRANGE(""https://docs.google.com/spreadsheets/d/14Bd19lYaqBhU8_DElYkX7l4wRkHqqCUFNJY4AfY3kHU/edit?usp=sharing  #gid=0"",""фіз особи new!relations_name_uo""),7,FALSE)
,
)
))"),"БАШКІНА / ПРОТОПОПОВА Алла Олександрівна")</f>
        <v>БАШКІНА / ПРОТОПОПОВА Алла Олександрівна</v>
      </c>
      <c r="G7653" s="7" t="s">
        <v>10</v>
      </c>
      <c r="H7653" s="7">
        <v>434</v>
      </c>
      <c r="I7653" s="8" t="str">
        <f ca="1">IFERROR(__xludf.DUMMYFUNCTION("IF
(
G7654=""фізична особа""
,
VLOOKUP(H7654,IMPORTRANGE(""https://docs.google.com/spreadsheets/d/14Bd19lYaqBhU8_DElYkX7l4wRkHqqCUFNJY4AfY3kHU/edit?usp=sharing  #gid=0"",""фіз особи new!relations_name""),6,FALSE)
,
(IF
(
G7654=""юридична особа""
,
VLOOKUP"&amp;"(H7654,IMPORTRANGE(""https://docs.google.com/spreadsheets/d/14Bd19lYaqBhU8_DElYkX7l4wRkHqqCUFNJY4AfY3kHU/edit?usp=sharing  #gid=0"",""фіз особи new!relations_name_uo""),7,FALSE)
,
)
))"),"БАШКІН Олександр Давидович")</f>
        <v>БАШКІН Олександр Давидович</v>
      </c>
      <c r="J7653" s="7" t="s">
        <v>14</v>
      </c>
    </row>
    <row r="7654" spans="1:10" ht="13.2">
      <c r="A7654" s="7">
        <v>7653</v>
      </c>
      <c r="B7654" s="7">
        <v>1</v>
      </c>
      <c r="C7654" s="7" t="s">
        <v>10</v>
      </c>
      <c r="D7654" s="7">
        <v>8622</v>
      </c>
      <c r="E7654" s="7" t="s">
        <v>13</v>
      </c>
      <c r="F7654" s="8" t="str">
        <f ca="1">IFERROR(__xludf.DUMMYFUNCTION("IF
(
C7655=""фізична особа""
,
VLOOKUP(D7655,IMPORTRANGE(""https://docs.google.com/spreadsheets/d/14Bd19lYaqBhU8_DElYkX7l4wRkHqqCUFNJY4AfY3kHU/edit?usp=sharing  #gid=0"",""фіз особи new!relations_name""),6,FALSE)
,
(IF
(
C7655=""юридична особа""
,
VLOOKUP"&amp;"(D7655,IMPORTRANGE(""https://docs.google.com/spreadsheets/d/14Bd19lYaqBhU8_DElYkX7l4wRkHqqCUFNJY4AfY3kHU/edit?usp=sharing  #gid=0"",""фіз особи new!relations_name_uo""),7,FALSE)
,
)
))"),"БАШКІНА / ПРОТОПОПОВА Алла Олександрівна")</f>
        <v>БАШКІНА / ПРОТОПОПОВА Алла Олександрівна</v>
      </c>
      <c r="G7654" s="7" t="s">
        <v>10</v>
      </c>
      <c r="H7654" s="7">
        <v>2609</v>
      </c>
      <c r="I7654" s="8" t="str">
        <f ca="1">IFERROR(__xludf.DUMMYFUNCTION("IF
(
G7655=""фізична особа""
,
VLOOKUP(H7655,IMPORTRANGE(""https://docs.google.com/spreadsheets/d/14Bd19lYaqBhU8_DElYkX7l4wRkHqqCUFNJY4AfY3kHU/edit?usp=sharing  #gid=0"",""фіз особи new!relations_name""),6,FALSE)
,
(IF
(
G7655=""юридична особа""
,
VLOOKUP"&amp;"(H7655,IMPORTRANGE(""https://docs.google.com/spreadsheets/d/14Bd19lYaqBhU8_DElYkX7l4wRkHqqCUFNJY4AfY3kHU/edit?usp=sharing  #gid=0"",""фіз особи new!relations_name_uo""),7,FALSE)
,
)
))"),"БАШКІНА Ольга Олександрівна")</f>
        <v>БАШКІНА Ольга Олександрівна</v>
      </c>
      <c r="J7654" s="7" t="s">
        <v>21</v>
      </c>
    </row>
    <row r="7655" spans="1:10" ht="13.2">
      <c r="A7655" s="7">
        <v>7654</v>
      </c>
      <c r="B7655" s="7">
        <v>1</v>
      </c>
      <c r="C7655" s="7" t="s">
        <v>10</v>
      </c>
      <c r="D7655" s="7">
        <v>8623</v>
      </c>
      <c r="E7655" s="7" t="s">
        <v>14</v>
      </c>
      <c r="F7655" s="8" t="str">
        <f ca="1">IFERROR(__xludf.DUMMYFUNCTION("IF
(
C7656=""фізична особа""
,
VLOOKUP(D7656,IMPORTRANGE(""https://docs.google.com/spreadsheets/d/14Bd19lYaqBhU8_DElYkX7l4wRkHqqCUFNJY4AfY3kHU/edit?usp=sharing  #gid=0"",""фіз особи new!relations_name""),6,FALSE)
,
(IF
(
C7656=""юридична особа""
,
VLOOKUP"&amp;"(D7656,IMPORTRANGE(""https://docs.google.com/spreadsheets/d/14Bd19lYaqBhU8_DElYkX7l4wRkHqqCUFNJY4AfY3kHU/edit?usp=sharing  #gid=0"",""фіз особи new!relations_name_uo""),7,FALSE)
,
)
))"),"МІЗУЛІН Михайло Юрійович")</f>
        <v>МІЗУЛІН Михайло Юрійович</v>
      </c>
      <c r="G7655" s="7" t="s">
        <v>10</v>
      </c>
      <c r="H7655" s="7">
        <v>465</v>
      </c>
      <c r="I7655" s="8" t="str">
        <f ca="1">IFERROR(__xludf.DUMMYFUNCTION("IF
(
G7656=""фізична особа""
,
VLOOKUP(H7656,IMPORTRANGE(""https://docs.google.com/spreadsheets/d/14Bd19lYaqBhU8_DElYkX7l4wRkHqqCUFNJY4AfY3kHU/edit?usp=sharing  #gid=0"",""фіз особи new!relations_name""),6,FALSE)
,
(IF
(
G7656=""юридична особа""
,
VLOOKUP"&amp;"(H7656,IMPORTRANGE(""https://docs.google.com/spreadsheets/d/14Bd19lYaqBhU8_DElYkX7l4wRkHqqCUFNJY4AfY3kHU/edit?usp=sharing  #gid=0"",""фіз особи new!relations_name_uo""),7,FALSE)
,
)
))"),"МІЗУЛІНА Олена Борисівна")</f>
        <v>МІЗУЛІНА Олена Борисівна</v>
      </c>
      <c r="J7655" s="7" t="s">
        <v>15</v>
      </c>
    </row>
    <row r="7656" spans="1:10" ht="13.2">
      <c r="A7656" s="7">
        <v>7655</v>
      </c>
      <c r="B7656" s="7">
        <v>1</v>
      </c>
      <c r="C7656" s="7" t="s">
        <v>10</v>
      </c>
      <c r="D7656" s="7">
        <v>8623</v>
      </c>
      <c r="E7656" s="7" t="s">
        <v>12</v>
      </c>
      <c r="F7656" s="8" t="str">
        <f ca="1">IFERROR(__xludf.DUMMYFUNCTION("IF
(
C7657=""фізична особа""
,
VLOOKUP(D7657,IMPORTRANGE(""https://docs.google.com/spreadsheets/d/14Bd19lYaqBhU8_DElYkX7l4wRkHqqCUFNJY4AfY3kHU/edit?usp=sharing  #gid=0"",""фіз особи new!relations_name""),6,FALSE)
,
(IF
(
C7657=""юридична особа""
,
VLOOKUP"&amp;"(D7657,IMPORTRANGE(""https://docs.google.com/spreadsheets/d/14Bd19lYaqBhU8_DElYkX7l4wRkHqqCUFNJY4AfY3kHU/edit?usp=sharing  #gid=0"",""фіз особи new!relations_name_uo""),7,FALSE)
,
)
))"),"МІЗУЛІН Михайло Юрійович")</f>
        <v>МІЗУЛІН Михайло Юрійович</v>
      </c>
      <c r="G7656" s="7" t="s">
        <v>10</v>
      </c>
      <c r="H7656" s="7">
        <v>23411</v>
      </c>
      <c r="I7656" s="8" t="str">
        <f ca="1">IFERROR(__xludf.DUMMYFUNCTION("IF
(
G7657=""фізична особа""
,
VLOOKUP(H7657,IMPORTRANGE(""https://docs.google.com/spreadsheets/d/14Bd19lYaqBhU8_DElYkX7l4wRkHqqCUFNJY4AfY3kHU/edit?usp=sharing  #gid=0"",""фіз особи new!relations_name""),6,FALSE)
,
(IF
(
G7657=""юридична особа""
,
VLOOKUP"&amp;"(H7657,IMPORTRANGE(""https://docs.google.com/spreadsheets/d/14Bd19lYaqBhU8_DElYkX7l4wRkHqqCUFNJY4AfY3kHU/edit?usp=sharing  #gid=0"",""фіз особи new!relations_name_uo""),7,FALSE)
,
)
))"),"МІЗУЛІН Микола Михайлович")</f>
        <v>МІЗУЛІН Микола Михайлович</v>
      </c>
      <c r="J7656" s="7" t="s">
        <v>17</v>
      </c>
    </row>
    <row r="7657" spans="1:10" ht="13.2">
      <c r="A7657" s="7">
        <v>7656</v>
      </c>
      <c r="B7657" s="7">
        <v>1</v>
      </c>
      <c r="C7657" s="7" t="s">
        <v>10</v>
      </c>
      <c r="D7657" s="7">
        <v>8623</v>
      </c>
      <c r="E7657" s="7" t="s">
        <v>12</v>
      </c>
      <c r="F7657" s="8" t="str">
        <f ca="1">IFERROR(__xludf.DUMMYFUNCTION("IF
(
C7658=""фізична особа""
,
VLOOKUP(D7658,IMPORTRANGE(""https://docs.google.com/spreadsheets/d/14Bd19lYaqBhU8_DElYkX7l4wRkHqqCUFNJY4AfY3kHU/edit?usp=sharing  #gid=0"",""фіз особи new!relations_name""),6,FALSE)
,
(IF
(
C7658=""юридична особа""
,
VLOOKUP"&amp;"(D7658,IMPORTRANGE(""https://docs.google.com/spreadsheets/d/14Bd19lYaqBhU8_DElYkX7l4wRkHqqCUFNJY4AfY3kHU/edit?usp=sharing  #gid=0"",""фіз особи new!relations_name_uo""),7,FALSE)
,
)
))"),"МІЗУЛІН Михайло Юрійович")</f>
        <v>МІЗУЛІН Михайло Юрійович</v>
      </c>
      <c r="G7657" s="7" t="s">
        <v>10</v>
      </c>
      <c r="H7657" s="7">
        <v>22383</v>
      </c>
      <c r="I7657" s="8" t="str">
        <f ca="1">IFERROR(__xludf.DUMMYFUNCTION("IF
(
G7658=""фізична особа""
,
VLOOKUP(H7658,IMPORTRANGE(""https://docs.google.com/spreadsheets/d/14Bd19lYaqBhU8_DElYkX7l4wRkHqqCUFNJY4AfY3kHU/edit?usp=sharing  #gid=0"",""фіз особи new!relations_name""),6,FALSE)
,
(IF
(
G7658=""юридична особа""
,
VLOOKUP"&amp;"(H7658,IMPORTRANGE(""https://docs.google.com/spreadsheets/d/14Bd19lYaqBhU8_DElYkX7l4wRkHqqCUFNJY4AfY3kHU/edit?usp=sharing  #gid=0"",""фіз особи new!relations_name_uo""),7,FALSE)
,
)
))"),"МІЗУЛІНА Катерина Михайлівна")</f>
        <v>МІЗУЛІНА Катерина Михайлівна</v>
      </c>
      <c r="J7657" s="7" t="s">
        <v>13</v>
      </c>
    </row>
    <row r="7658" spans="1:10" ht="13.2">
      <c r="A7658" s="7">
        <v>7657</v>
      </c>
      <c r="B7658" s="7">
        <v>1</v>
      </c>
      <c r="C7658" s="7" t="s">
        <v>10</v>
      </c>
      <c r="D7658" s="7">
        <v>8624</v>
      </c>
      <c r="E7658" s="7" t="s">
        <v>14</v>
      </c>
      <c r="F7658" s="8" t="str">
        <f ca="1">IFERROR(__xludf.DUMMYFUNCTION("IF
(
C7659=""фізична особа""
,
VLOOKUP(D7659,IMPORTRANGE(""https://docs.google.com/spreadsheets/d/14Bd19lYaqBhU8_DElYkX7l4wRkHqqCUFNJY4AfY3kHU/edit?usp=sharing  #gid=0"",""фіз особи new!relations_name""),6,FALSE)
,
(IF
(
C7659=""юридична особа""
,
VLOOKUP"&amp;"(D7659,IMPORTRANGE(""https://docs.google.com/spreadsheets/d/14Bd19lYaqBhU8_DElYkX7l4wRkHqqCUFNJY4AfY3kHU/edit?usp=sharing  #gid=0"",""фіз особи new!relations_name_uo""),7,FALSE)
,
)
))"),"КОСИХІН Денис Валерійович")</f>
        <v>КОСИХІН Денис Валерійович</v>
      </c>
      <c r="G7658" s="7" t="s">
        <v>10</v>
      </c>
      <c r="H7658" s="7">
        <v>480</v>
      </c>
      <c r="I7658" s="8" t="str">
        <f ca="1">IFERROR(__xludf.DUMMYFUNCTION("IF
(
G7659=""фізична особа""
,
VLOOKUP(H7659,IMPORTRANGE(""https://docs.google.com/spreadsheets/d/14Bd19lYaqBhU8_DElYkX7l4wRkHqqCUFNJY4AfY3kHU/edit?usp=sharing  #gid=0"",""фіз особи new!relations_name""),6,FALSE)
,
(IF
(
G7659=""юридична особа""
,
VLOOKUP"&amp;"(H7659,IMPORTRANGE(""https://docs.google.com/spreadsheets/d/14Bd19lYaqBhU8_DElYkX7l4wRkHqqCUFNJY4AfY3kHU/edit?usp=sharing  #gid=0"",""фіз особи new!relations_name_uo""),7,FALSE)
,
)
))"),"КОСИХІНА Наталія Володимирівна")</f>
        <v>КОСИХІНА Наталія Володимирівна</v>
      </c>
      <c r="J7658" s="7" t="s">
        <v>15</v>
      </c>
    </row>
    <row r="7659" spans="1:10" ht="13.2">
      <c r="A7659" s="7">
        <v>7658</v>
      </c>
      <c r="B7659" s="7">
        <v>1</v>
      </c>
      <c r="C7659" s="7" t="s">
        <v>10</v>
      </c>
      <c r="D7659" s="7">
        <v>8624</v>
      </c>
      <c r="E7659" s="7" t="s">
        <v>12</v>
      </c>
      <c r="F7659" s="8" t="str">
        <f ca="1">IFERROR(__xludf.DUMMYFUNCTION("IF
(
C7660=""фізична особа""
,
VLOOKUP(D7660,IMPORTRANGE(""https://docs.google.com/spreadsheets/d/14Bd19lYaqBhU8_DElYkX7l4wRkHqqCUFNJY4AfY3kHU/edit?usp=sharing  #gid=0"",""фіз особи new!relations_name""),6,FALSE)
,
(IF
(
C7660=""юридична особа""
,
VLOOKUP"&amp;"(D7660,IMPORTRANGE(""https://docs.google.com/spreadsheets/d/14Bd19lYaqBhU8_DElYkX7l4wRkHqqCUFNJY4AfY3kHU/edit?usp=sharing  #gid=0"",""фіз особи new!relations_name_uo""),7,FALSE)
,
)
))"),"КОСИХІН Денис Валерійович")</f>
        <v>КОСИХІН Денис Валерійович</v>
      </c>
      <c r="G7659" s="7" t="s">
        <v>10</v>
      </c>
      <c r="H7659" s="7">
        <v>23412</v>
      </c>
      <c r="I7659" s="8" t="str">
        <f ca="1">IFERROR(__xludf.DUMMYFUNCTION("IF
(
G7660=""фізична особа""
,
VLOOKUP(H7660,IMPORTRANGE(""https://docs.google.com/spreadsheets/d/14Bd19lYaqBhU8_DElYkX7l4wRkHqqCUFNJY4AfY3kHU/edit?usp=sharing  #gid=0"",""фіз особи new!relations_name""),6,FALSE)
,
(IF
(
G7660=""юридична особа""
,
VLOOKUP"&amp;"(H7660,IMPORTRANGE(""https://docs.google.com/spreadsheets/d/14Bd19lYaqBhU8_DElYkX7l4wRkHqqCUFNJY4AfY3kHU/edit?usp=sharing  #gid=0"",""фіз особи new!relations_name_uo""),7,FALSE)
,
)
))"),"КОСИХІНА Валерія Денисівна")</f>
        <v>КОСИХІНА Валерія Денисівна</v>
      </c>
      <c r="J7659" s="7" t="s">
        <v>13</v>
      </c>
    </row>
    <row r="7660" spans="1:10" ht="13.2">
      <c r="A7660" s="7">
        <v>7659</v>
      </c>
      <c r="B7660" s="7">
        <v>1</v>
      </c>
      <c r="C7660" s="7" t="s">
        <v>10</v>
      </c>
      <c r="D7660" s="7">
        <v>8625</v>
      </c>
      <c r="E7660" s="7" t="s">
        <v>15</v>
      </c>
      <c r="F7660" s="8" t="str">
        <f ca="1">IFERROR(__xludf.DUMMYFUNCTION("IF
(
C7661=""фізична особа""
,
VLOOKUP(D7661,IMPORTRANGE(""https://docs.google.com/spreadsheets/d/14Bd19lYaqBhU8_DElYkX7l4wRkHqqCUFNJY4AfY3kHU/edit?usp=sharing  #gid=0"",""фіз особи new!relations_name""),6,FALSE)
,
(IF
(
C7661=""юридична особа""
,
VLOOKUP"&amp;"(D7661,IMPORTRANGE(""https://docs.google.com/spreadsheets/d/14Bd19lYaqBhU8_DElYkX7l4wRkHqqCUFNJY4AfY3kHU/edit?usp=sharing  #gid=0"",""фіз особи new!relations_name_uo""),7,FALSE)
,
)
))"),"СЕМИСОТОВА Наталія Олександрівна")</f>
        <v>СЕМИСОТОВА Наталія Олександрівна</v>
      </c>
      <c r="G7660" s="7" t="s">
        <v>10</v>
      </c>
      <c r="H7660" s="7">
        <v>503</v>
      </c>
      <c r="I7660" s="8" t="str">
        <f ca="1">IFERROR(__xludf.DUMMYFUNCTION("IF
(
G7661=""фізична особа""
,
VLOOKUP(H7661,IMPORTRANGE(""https://docs.google.com/spreadsheets/d/14Bd19lYaqBhU8_DElYkX7l4wRkHqqCUFNJY4AfY3kHU/edit?usp=sharing  #gid=0"",""фіз особи new!relations_name""),6,FALSE)
,
(IF
(
G7661=""юридична особа""
,
VLOOKUP"&amp;"(H7661,IMPORTRANGE(""https://docs.google.com/spreadsheets/d/14Bd19lYaqBhU8_DElYkX7l4wRkHqqCUFNJY4AfY3kHU/edit?usp=sharing  #gid=0"",""фіз особи new!relations_name_uo""),7,FALSE)
,
)
))"),"СЕМИСОТОВ Микола Петрович")</f>
        <v>СЕМИСОТОВ Микола Петрович</v>
      </c>
      <c r="J7660" s="7" t="s">
        <v>14</v>
      </c>
    </row>
    <row r="7661" spans="1:10" ht="13.2">
      <c r="A7661" s="7">
        <v>7660</v>
      </c>
      <c r="B7661" s="7">
        <v>1</v>
      </c>
      <c r="C7661" s="7" t="s">
        <v>10</v>
      </c>
      <c r="D7661" s="7">
        <v>8626</v>
      </c>
      <c r="E7661" s="7" t="s">
        <v>15</v>
      </c>
      <c r="F7661" s="8" t="str">
        <f ca="1">IFERROR(__xludf.DUMMYFUNCTION("IF
(
C7662=""фізична особа""
,
VLOOKUP(D7662,IMPORTRANGE(""https://docs.google.com/spreadsheets/d/14Bd19lYaqBhU8_DElYkX7l4wRkHqqCUFNJY4AfY3kHU/edit?usp=sharing  #gid=0"",""фіз особи new!relations_name""),6,FALSE)
,
(IF
(
C7662=""юридична особа""
,
VLOOKUP"&amp;"(D7662,IMPORTRANGE(""https://docs.google.com/spreadsheets/d/14Bd19lYaqBhU8_DElYkX7l4wRkHqqCUFNJY4AfY3kHU/edit?usp=sharing  #gid=0"",""фіз особи new!relations_name_uo""),7,FALSE)
,
)
))"),"ФЕДОРОВА Світлана Юріївна")</f>
        <v>ФЕДОРОВА Світлана Юріївна</v>
      </c>
      <c r="G7661" s="7" t="s">
        <v>10</v>
      </c>
      <c r="H7661" s="7">
        <v>507</v>
      </c>
      <c r="I7661" s="8" t="str">
        <f ca="1">IFERROR(__xludf.DUMMYFUNCTION("IF
(
G7662=""фізична особа""
,
VLOOKUP(H7662,IMPORTRANGE(""https://docs.google.com/spreadsheets/d/14Bd19lYaqBhU8_DElYkX7l4wRkHqqCUFNJY4AfY3kHU/edit?usp=sharing  #gid=0"",""фіз особи new!relations_name""),6,FALSE)
,
(IF
(
G7662=""юридична особа""
,
VLOOKUP"&amp;"(H7662,IMPORTRANGE(""https://docs.google.com/spreadsheets/d/14Bd19lYaqBhU8_DElYkX7l4wRkHqqCUFNJY4AfY3kHU/edit?usp=sharing  #gid=0"",""фіз особи new!relations_name_uo""),7,FALSE)
,
)
))"),"ФЕДОРОВ Микола Васильович")</f>
        <v>ФЕДОРОВ Микола Васильович</v>
      </c>
      <c r="J7661" s="7" t="s">
        <v>14</v>
      </c>
    </row>
    <row r="7662" spans="1:10" ht="13.2">
      <c r="A7662" s="7">
        <v>7661</v>
      </c>
      <c r="B7662" s="7">
        <v>1</v>
      </c>
      <c r="C7662" s="7" t="s">
        <v>10</v>
      </c>
      <c r="D7662" s="7">
        <v>8626</v>
      </c>
      <c r="E7662" s="7" t="s">
        <v>21</v>
      </c>
      <c r="F7662" s="8" t="str">
        <f ca="1">IFERROR(__xludf.DUMMYFUNCTION("IF
(
C7663=""фізична особа""
,
VLOOKUP(D7663,IMPORTRANGE(""https://docs.google.com/spreadsheets/d/14Bd19lYaqBhU8_DElYkX7l4wRkHqqCUFNJY4AfY3kHU/edit?usp=sharing  #gid=0"",""фіз особи new!relations_name""),6,FALSE)
,
(IF
(
C7663=""юридична особа""
,
VLOOKUP"&amp;"(D7663,IMPORTRANGE(""https://docs.google.com/spreadsheets/d/14Bd19lYaqBhU8_DElYkX7l4wRkHqqCUFNJY4AfY3kHU/edit?usp=sharing  #gid=0"",""фіз особи new!relations_name_uo""),7,FALSE)
,
)
))"),"ФЕДОРОВА Світлана Юріївна")</f>
        <v>ФЕДОРОВА Світлана Юріївна</v>
      </c>
      <c r="G7662" s="7" t="s">
        <v>10</v>
      </c>
      <c r="H7662" s="7">
        <v>23413</v>
      </c>
      <c r="I7662" s="8" t="str">
        <f ca="1">IFERROR(__xludf.DUMMYFUNCTION("IF
(
G7663=""фізична особа""
,
VLOOKUP(H7663,IMPORTRANGE(""https://docs.google.com/spreadsheets/d/14Bd19lYaqBhU8_DElYkX7l4wRkHqqCUFNJY4AfY3kHU/edit?usp=sharing  #gid=0"",""фіз особи new!relations_name""),6,FALSE)
,
(IF
(
G7663=""юридична особа""
,
VLOOKUP"&amp;"(H7663,IMPORTRANGE(""https://docs.google.com/spreadsheets/d/14Bd19lYaqBhU8_DElYkX7l4wRkHqqCUFNJY4AfY3kHU/edit?usp=sharing  #gid=0"",""фіз особи new!relations_name_uo""),7,FALSE)
,
)
))"),"ФЕДОРОВ Василь Миколайович")</f>
        <v>ФЕДОРОВ Василь Миколайович</v>
      </c>
      <c r="J7662" s="7" t="s">
        <v>17</v>
      </c>
    </row>
    <row r="7663" spans="1:10" ht="13.2">
      <c r="A7663" s="7">
        <v>7662</v>
      </c>
      <c r="B7663" s="7">
        <v>1</v>
      </c>
      <c r="C7663" s="7" t="s">
        <v>10</v>
      </c>
      <c r="D7663" s="7">
        <v>8626</v>
      </c>
      <c r="E7663" s="7" t="s">
        <v>21</v>
      </c>
      <c r="F7663" s="8" t="str">
        <f ca="1">IFERROR(__xludf.DUMMYFUNCTION("IF
(
C7664=""фізична особа""
,
VLOOKUP(D7664,IMPORTRANGE(""https://docs.google.com/spreadsheets/d/14Bd19lYaqBhU8_DElYkX7l4wRkHqqCUFNJY4AfY3kHU/edit?usp=sharing  #gid=0"",""фіз особи new!relations_name""),6,FALSE)
,
(IF
(
C7664=""юридична особа""
,
VLOOKUP"&amp;"(D7664,IMPORTRANGE(""https://docs.google.com/spreadsheets/d/14Bd19lYaqBhU8_DElYkX7l4wRkHqqCUFNJY4AfY3kHU/edit?usp=sharing  #gid=0"",""фіз особи new!relations_name_uo""),7,FALSE)
,
)
))"),"ФЕДОРОВА Світлана Юріївна")</f>
        <v>ФЕДОРОВА Світлана Юріївна</v>
      </c>
      <c r="G7663" s="7" t="s">
        <v>10</v>
      </c>
      <c r="H7663" s="7">
        <v>23414</v>
      </c>
      <c r="I7663" s="8" t="str">
        <f ca="1">IFERROR(__xludf.DUMMYFUNCTION("IF
(
G7664=""фізична особа""
,
VLOOKUP(H7664,IMPORTRANGE(""https://docs.google.com/spreadsheets/d/14Bd19lYaqBhU8_DElYkX7l4wRkHqqCUFNJY4AfY3kHU/edit?usp=sharing  #gid=0"",""фіз особи new!relations_name""),6,FALSE)
,
(IF
(
G7664=""юридична особа""
,
VLOOKUP"&amp;"(H7664,IMPORTRANGE(""https://docs.google.com/spreadsheets/d/14Bd19lYaqBhU8_DElYkX7l4wRkHqqCUFNJY4AfY3kHU/edit?usp=sharing  #gid=0"",""фіз особи new!relations_name_uo""),7,FALSE)
,
)
))"),"ФЕДОРОВА Карина Миколаївна")</f>
        <v>ФЕДОРОВА Карина Миколаївна</v>
      </c>
      <c r="J7663" s="7" t="s">
        <v>13</v>
      </c>
    </row>
    <row r="7664" spans="1:10" ht="13.2">
      <c r="A7664" s="7">
        <v>7663</v>
      </c>
      <c r="B7664" s="7">
        <v>1</v>
      </c>
      <c r="C7664" s="7" t="s">
        <v>10</v>
      </c>
      <c r="D7664" s="7">
        <v>8627</v>
      </c>
      <c r="E7664" s="7" t="s">
        <v>15</v>
      </c>
      <c r="F7664" s="8" t="str">
        <f ca="1">IFERROR(__xludf.DUMMYFUNCTION("IF
(
C7665=""фізична особа""
,
VLOOKUP(D7665,IMPORTRANGE(""https://docs.google.com/spreadsheets/d/14Bd19lYaqBhU8_DElYkX7l4wRkHqqCUFNJY4AfY3kHU/edit?usp=sharing  #gid=0"",""фіз особи new!relations_name""),6,FALSE)
,
(IF
(
C7665=""юридична особа""
,
VLOOKUP"&amp;"(D7665,IMPORTRANGE(""https://docs.google.com/spreadsheets/d/14Bd19lYaqBhU8_DElYkX7l4wRkHqqCUFNJY4AfY3kHU/edit?usp=sharing  #gid=0"",""фіз особи new!relations_name_uo""),7,FALSE)
,
)
))"),"ТКАЧ Наталія Миколаївна")</f>
        <v>ТКАЧ Наталія Миколаївна</v>
      </c>
      <c r="G7664" s="7" t="s">
        <v>10</v>
      </c>
      <c r="H7664" s="7">
        <v>555</v>
      </c>
      <c r="I7664" s="8" t="str">
        <f ca="1">IFERROR(__xludf.DUMMYFUNCTION("IF
(
G7665=""фізична особа""
,
VLOOKUP(H7665,IMPORTRANGE(""https://docs.google.com/spreadsheets/d/14Bd19lYaqBhU8_DElYkX7l4wRkHqqCUFNJY4AfY3kHU/edit?usp=sharing  #gid=0"",""фіз особи new!relations_name""),6,FALSE)
,
(IF
(
G7665=""юридична особа""
,
VLOOKUP"&amp;"(H7665,IMPORTRANGE(""https://docs.google.com/spreadsheets/d/14Bd19lYaqBhU8_DElYkX7l4wRkHqqCUFNJY4AfY3kHU/edit?usp=sharing  #gid=0"",""фіз особи new!relations_name_uo""),7,FALSE)
,
)
))"),"ТКАЧ Олег Полікарпович")</f>
        <v>ТКАЧ Олег Полікарпович</v>
      </c>
      <c r="J7664" s="7" t="s">
        <v>14</v>
      </c>
    </row>
    <row r="7665" spans="1:10" ht="13.2">
      <c r="A7665" s="7">
        <v>7664</v>
      </c>
      <c r="B7665" s="7">
        <v>1</v>
      </c>
      <c r="C7665" s="7" t="s">
        <v>10</v>
      </c>
      <c r="D7665" s="7">
        <v>8627</v>
      </c>
      <c r="E7665" s="7" t="s">
        <v>21</v>
      </c>
      <c r="F7665" s="8" t="str">
        <f ca="1">IFERROR(__xludf.DUMMYFUNCTION("IF
(
C7666=""фізична особа""
,
VLOOKUP(D7666,IMPORTRANGE(""https://docs.google.com/spreadsheets/d/14Bd19lYaqBhU8_DElYkX7l4wRkHqqCUFNJY4AfY3kHU/edit?usp=sharing  #gid=0"",""фіз особи new!relations_name""),6,FALSE)
,
(IF
(
C7666=""юридична особа""
,
VLOOKUP"&amp;"(D7666,IMPORTRANGE(""https://docs.google.com/spreadsheets/d/14Bd19lYaqBhU8_DElYkX7l4wRkHqqCUFNJY4AfY3kHU/edit?usp=sharing  #gid=0"",""фіз особи new!relations_name_uo""),7,FALSE)
,
)
))"),"ТКАЧ Наталія Миколаївна")</f>
        <v>ТКАЧ Наталія Миколаївна</v>
      </c>
      <c r="G7665" s="7" t="s">
        <v>10</v>
      </c>
      <c r="H7665" s="7">
        <v>23418</v>
      </c>
      <c r="I7665" s="8" t="str">
        <f ca="1">IFERROR(__xludf.DUMMYFUNCTION("IF
(
G7666=""фізична особа""
,
VLOOKUP(H7666,IMPORTRANGE(""https://docs.google.com/spreadsheets/d/14Bd19lYaqBhU8_DElYkX7l4wRkHqqCUFNJY4AfY3kHU/edit?usp=sharing  #gid=0"",""фіз особи new!relations_name""),6,FALSE)
,
(IF
(
G7666=""юридична особа""
,
VLOOKUP"&amp;"(H7666,IMPORTRANGE(""https://docs.google.com/spreadsheets/d/14Bd19lYaqBhU8_DElYkX7l4wRkHqqCUFNJY4AfY3kHU/edit?usp=sharing  #gid=0"",""фіз особи new!relations_name_uo""),7,FALSE)
,
)
))"),"ТКАЧ Оксана Олегівна")</f>
        <v>ТКАЧ Оксана Олегівна</v>
      </c>
      <c r="J7665" s="7" t="s">
        <v>13</v>
      </c>
    </row>
    <row r="7666" spans="1:10" ht="13.2">
      <c r="A7666" s="7">
        <v>7665</v>
      </c>
      <c r="B7666" s="7">
        <v>1</v>
      </c>
      <c r="C7666" s="7" t="s">
        <v>10</v>
      </c>
      <c r="D7666" s="7">
        <v>8627</v>
      </c>
      <c r="E7666" s="7" t="s">
        <v>21</v>
      </c>
      <c r="F7666" s="8" t="str">
        <f ca="1">IFERROR(__xludf.DUMMYFUNCTION("IF
(
C7667=""фізична особа""
,
VLOOKUP(D7667,IMPORTRANGE(""https://docs.google.com/spreadsheets/d/14Bd19lYaqBhU8_DElYkX7l4wRkHqqCUFNJY4AfY3kHU/edit?usp=sharing  #gid=0"",""фіз особи new!relations_name""),6,FALSE)
,
(IF
(
C7667=""юридична особа""
,
VLOOKUP"&amp;"(D7667,IMPORTRANGE(""https://docs.google.com/spreadsheets/d/14Bd19lYaqBhU8_DElYkX7l4wRkHqqCUFNJY4AfY3kHU/edit?usp=sharing  #gid=0"",""фіз особи new!relations_name_uo""),7,FALSE)
,
)
))"),"ТКАЧ Наталія Миколаївна")</f>
        <v>ТКАЧ Наталія Миколаївна</v>
      </c>
      <c r="G7666" s="7" t="s">
        <v>10</v>
      </c>
      <c r="H7666" s="7">
        <v>23408</v>
      </c>
      <c r="I7666" s="8" t="str">
        <f ca="1">IFERROR(__xludf.DUMMYFUNCTION("IF
(
G7667=""фізична особа""
,
VLOOKUP(H7667,IMPORTRANGE(""https://docs.google.com/spreadsheets/d/14Bd19lYaqBhU8_DElYkX7l4wRkHqqCUFNJY4AfY3kHU/edit?usp=sharing  #gid=0"",""фіз особи new!relations_name""),6,FALSE)
,
(IF
(
G7667=""юридична особа""
,
VLOOKUP"&amp;"(H7667,IMPORTRANGE(""https://docs.google.com/spreadsheets/d/14Bd19lYaqBhU8_DElYkX7l4wRkHqqCUFNJY4AfY3kHU/edit?usp=sharing  #gid=0"",""фіз особи new!relations_name_uo""),7,FALSE)
,
)
))"),"ВОЗНЕСЕНСЬКА Олеся Олегівна")</f>
        <v>ВОЗНЕСЕНСЬКА Олеся Олегівна</v>
      </c>
      <c r="J7666" s="7" t="s">
        <v>13</v>
      </c>
    </row>
    <row r="7667" spans="1:10" ht="13.2">
      <c r="A7667" s="7">
        <v>7666</v>
      </c>
      <c r="B7667" s="7">
        <v>1</v>
      </c>
      <c r="C7667" s="7" t="s">
        <v>10</v>
      </c>
      <c r="D7667" s="7">
        <v>8628</v>
      </c>
      <c r="E7667" s="7" t="s">
        <v>15</v>
      </c>
      <c r="F7667" s="8" t="str">
        <f ca="1">IFERROR(__xludf.DUMMYFUNCTION("IF
(
C7668=""фізична особа""
,
VLOOKUP(D7668,IMPORTRANGE(""https://docs.google.com/spreadsheets/d/14Bd19lYaqBhU8_DElYkX7l4wRkHqqCUFNJY4AfY3kHU/edit?usp=sharing  #gid=0"",""фіз особи new!relations_name""),6,FALSE)
,
(IF
(
C7668=""юридична особа""
,
VLOOKUP"&amp;"(D7668,IMPORTRANGE(""https://docs.google.com/spreadsheets/d/14Bd19lYaqBhU8_DElYkX7l4wRkHqqCUFNJY4AfY3kHU/edit?usp=sharing  #gid=0"",""фіз особи new!relations_name_uo""),7,FALSE)
,
)
))"),"АКІМОВА Розалія Юдовна")</f>
        <v>АКІМОВА Розалія Юдовна</v>
      </c>
      <c r="G7667" s="7" t="s">
        <v>10</v>
      </c>
      <c r="H7667" s="7">
        <v>557</v>
      </c>
      <c r="I7667" s="8" t="str">
        <f ca="1">IFERROR(__xludf.DUMMYFUNCTION("IF
(
G7668=""фізична особа""
,
VLOOKUP(H7668,IMPORTRANGE(""https://docs.google.com/spreadsheets/d/14Bd19lYaqBhU8_DElYkX7l4wRkHqqCUFNJY4AfY3kHU/edit?usp=sharing  #gid=0"",""фіз особи new!relations_name""),6,FALSE)
,
(IF
(
G7668=""юридична особа""
,
VLOOKUP"&amp;"(H7668,IMPORTRANGE(""https://docs.google.com/spreadsheets/d/14Bd19lYaqBhU8_DElYkX7l4wRkHqqCUFNJY4AfY3kHU/edit?usp=sharing  #gid=0"",""фіз особи new!relations_name_uo""),7,FALSE)
,
)
))"),"АКІМОВ Олександр Костянтинович")</f>
        <v>АКІМОВ Олександр Костянтинович</v>
      </c>
      <c r="J7667" s="7" t="s">
        <v>14</v>
      </c>
    </row>
    <row r="7668" spans="1:10" ht="13.2">
      <c r="A7668" s="7">
        <v>7667</v>
      </c>
      <c r="B7668" s="7">
        <v>1</v>
      </c>
      <c r="C7668" s="7" t="s">
        <v>10</v>
      </c>
      <c r="D7668" s="7">
        <v>8629</v>
      </c>
      <c r="E7668" s="7" t="s">
        <v>15</v>
      </c>
      <c r="F7668" s="8" t="str">
        <f ca="1">IFERROR(__xludf.DUMMYFUNCTION("IF
(
C7669=""фізична особа""
,
VLOOKUP(D7669,IMPORTRANGE(""https://docs.google.com/spreadsheets/d/14Bd19lYaqBhU8_DElYkX7l4wRkHqqCUFNJY4AfY3kHU/edit?usp=sharing  #gid=0"",""фіз особи new!relations_name""),6,FALSE)
,
(IF
(
C7669=""юридична особа""
,
VLOOKUP"&amp;"(D7669,IMPORTRANGE(""https://docs.google.com/spreadsheets/d/14Bd19lYaqBhU8_DElYkX7l4wRkHqqCUFNJY4AfY3kHU/edit?usp=sharing  #gid=0"",""фіз особи new!relations_name_uo""),7,FALSE)
,
)
))"),"ЦЕПКІНА Тетяна")</f>
        <v>ЦЕПКІНА Тетяна</v>
      </c>
      <c r="G7668" s="7" t="s">
        <v>10</v>
      </c>
      <c r="H7668" s="7">
        <v>562</v>
      </c>
      <c r="I7668" s="8" t="str">
        <f ca="1">IFERROR(__xludf.DUMMYFUNCTION("IF
(
G7669=""фізична особа""
,
VLOOKUP(H7669,IMPORTRANGE(""https://docs.google.com/spreadsheets/d/14Bd19lYaqBhU8_DElYkX7l4wRkHqqCUFNJY4AfY3kHU/edit?usp=sharing  #gid=0"",""фіз особи new!relations_name""),6,FALSE)
,
(IF
(
G7669=""юридична особа""
,
VLOOKUP"&amp;"(H7669,IMPORTRANGE(""https://docs.google.com/spreadsheets/d/14Bd19lYaqBhU8_DElYkX7l4wRkHqqCUFNJY4AfY3kHU/edit?usp=sharing  #gid=0"",""фіз особи new!relations_name_uo""),7,FALSE)
,
)
))"),"ЦЕПКІН Олег Володимирович")</f>
        <v>ЦЕПКІН Олег Володимирович</v>
      </c>
      <c r="J7668" s="7" t="s">
        <v>14</v>
      </c>
    </row>
    <row r="7669" spans="1:10" ht="13.2">
      <c r="A7669" s="7">
        <v>7668</v>
      </c>
      <c r="B7669" s="7">
        <v>1</v>
      </c>
      <c r="C7669" s="7" t="s">
        <v>10</v>
      </c>
      <c r="D7669" s="7">
        <v>8629</v>
      </c>
      <c r="E7669" s="7" t="s">
        <v>21</v>
      </c>
      <c r="F7669" s="8" t="str">
        <f ca="1">IFERROR(__xludf.DUMMYFUNCTION("IF
(
C7670=""фізична особа""
,
VLOOKUP(D7670,IMPORTRANGE(""https://docs.google.com/spreadsheets/d/14Bd19lYaqBhU8_DElYkX7l4wRkHqqCUFNJY4AfY3kHU/edit?usp=sharing  #gid=0"",""фіз особи new!relations_name""),6,FALSE)
,
(IF
(
C7670=""юридична особа""
,
VLOOKUP"&amp;"(D7670,IMPORTRANGE(""https://docs.google.com/spreadsheets/d/14Bd19lYaqBhU8_DElYkX7l4wRkHqqCUFNJY4AfY3kHU/edit?usp=sharing  #gid=0"",""фіз особи new!relations_name_uo""),7,FALSE)
,
)
))"),"ЦЕПКІНА Тетяна")</f>
        <v>ЦЕПКІНА Тетяна</v>
      </c>
      <c r="G7669" s="7" t="s">
        <v>10</v>
      </c>
      <c r="H7669" s="7">
        <v>23420</v>
      </c>
      <c r="I7669" s="8" t="str">
        <f ca="1">IFERROR(__xludf.DUMMYFUNCTION("IF
(
G7670=""фізична особа""
,
VLOOKUP(H7670,IMPORTRANGE(""https://docs.google.com/spreadsheets/d/14Bd19lYaqBhU8_DElYkX7l4wRkHqqCUFNJY4AfY3kHU/edit?usp=sharing  #gid=0"",""фіз особи new!relations_name""),6,FALSE)
,
(IF
(
G7670=""юридична особа""
,
VLOOKUP"&amp;"(H7670,IMPORTRANGE(""https://docs.google.com/spreadsheets/d/14Bd19lYaqBhU8_DElYkX7l4wRkHqqCUFNJY4AfY3kHU/edit?usp=sharing  #gid=0"",""фіз особи new!relations_name_uo""),7,FALSE)
,
)
))"),"ЦЕПКІН Єгор Олегович")</f>
        <v>ЦЕПКІН Єгор Олегович</v>
      </c>
      <c r="J7669" s="7" t="s">
        <v>17</v>
      </c>
    </row>
    <row r="7670" spans="1:10" ht="13.2">
      <c r="A7670" s="7">
        <v>7669</v>
      </c>
      <c r="B7670" s="7">
        <v>1</v>
      </c>
      <c r="C7670" s="7" t="s">
        <v>10</v>
      </c>
      <c r="D7670" s="7">
        <v>8629</v>
      </c>
      <c r="E7670" s="7" t="s">
        <v>21</v>
      </c>
      <c r="F7670" s="8" t="str">
        <f ca="1">IFERROR(__xludf.DUMMYFUNCTION("IF
(
C7671=""фізична особа""
,
VLOOKUP(D7671,IMPORTRANGE(""https://docs.google.com/spreadsheets/d/14Bd19lYaqBhU8_DElYkX7l4wRkHqqCUFNJY4AfY3kHU/edit?usp=sharing  #gid=0"",""фіз особи new!relations_name""),6,FALSE)
,
(IF
(
C7671=""юридична особа""
,
VLOOKUP"&amp;"(D7671,IMPORTRANGE(""https://docs.google.com/spreadsheets/d/14Bd19lYaqBhU8_DElYkX7l4wRkHqqCUFNJY4AfY3kHU/edit?usp=sharing  #gid=0"",""фіз особи new!relations_name_uo""),7,FALSE)
,
)
))"),"ЦЕПКІНА Тетяна")</f>
        <v>ЦЕПКІНА Тетяна</v>
      </c>
      <c r="G7670" s="7" t="s">
        <v>10</v>
      </c>
      <c r="H7670" s="7">
        <v>23421</v>
      </c>
      <c r="I7670" s="8" t="str">
        <f ca="1">IFERROR(__xludf.DUMMYFUNCTION("IF
(
G7671=""фізична особа""
,
VLOOKUP(H7671,IMPORTRANGE(""https://docs.google.com/spreadsheets/d/14Bd19lYaqBhU8_DElYkX7l4wRkHqqCUFNJY4AfY3kHU/edit?usp=sharing  #gid=0"",""фіз особи new!relations_name""),6,FALSE)
,
(IF
(
G7671=""юридична особа""
,
VLOOKUP"&amp;"(H7671,IMPORTRANGE(""https://docs.google.com/spreadsheets/d/14Bd19lYaqBhU8_DElYkX7l4wRkHqqCUFNJY4AfY3kHU/edit?usp=sharing  #gid=0"",""фіз особи new!relations_name_uo""),7,FALSE)
,
)
))"),"ЦЕПКІНА Олександра Олегівна")</f>
        <v>ЦЕПКІНА Олександра Олегівна</v>
      </c>
      <c r="J7670" s="7" t="s">
        <v>13</v>
      </c>
    </row>
    <row r="7671" spans="1:10" ht="13.2">
      <c r="A7671" s="7">
        <v>7670</v>
      </c>
      <c r="B7671" s="7">
        <v>1</v>
      </c>
      <c r="C7671" s="7" t="s">
        <v>10</v>
      </c>
      <c r="D7671" s="7">
        <v>8630</v>
      </c>
      <c r="E7671" s="7" t="s">
        <v>14</v>
      </c>
      <c r="F7671" s="8" t="str">
        <f ca="1">IFERROR(__xludf.DUMMYFUNCTION("IF
(
C7672=""фізична особа""
,
VLOOKUP(D7672,IMPORTRANGE(""https://docs.google.com/spreadsheets/d/14Bd19lYaqBhU8_DElYkX7l4wRkHqqCUFNJY4AfY3kHU/edit?usp=sharing  #gid=0"",""фіз особи new!relations_name""),6,FALSE)
,
(IF
(
C7672=""юридична особа""
,
VLOOKUP"&amp;"(D7672,IMPORTRANGE(""https://docs.google.com/spreadsheets/d/14Bd19lYaqBhU8_DElYkX7l4wRkHqqCUFNJY4AfY3kHU/edit?usp=sharing  #gid=0"",""фіз особи new!relations_name_uo""),7,FALSE)
,
)
))"),"ЄПІФАНОВ Володимир")</f>
        <v>ЄПІФАНОВ Володимир</v>
      </c>
      <c r="G7671" s="7" t="s">
        <v>10</v>
      </c>
      <c r="H7671" s="7">
        <v>573</v>
      </c>
      <c r="I7671" s="8" t="str">
        <f ca="1">IFERROR(__xludf.DUMMYFUNCTION("IF
(
G7672=""фізична особа""
,
VLOOKUP(H7672,IMPORTRANGE(""https://docs.google.com/spreadsheets/d/14Bd19lYaqBhU8_DElYkX7l4wRkHqqCUFNJY4AfY3kHU/edit?usp=sharing  #gid=0"",""фіз особи new!relations_name""),6,FALSE)
,
(IF
(
G7672=""юридична особа""
,
VLOOKUP"&amp;"(H7672,IMPORTRANGE(""https://docs.google.com/spreadsheets/d/14Bd19lYaqBhU8_DElYkX7l4wRkHqqCUFNJY4AfY3kHU/edit?usp=sharing  #gid=0"",""фіз особи new!relations_name_uo""),7,FALSE)
,
)
))"),"ЄПІФАНОВА Ольга Миколаївна")</f>
        <v>ЄПІФАНОВА Ольга Миколаївна</v>
      </c>
      <c r="J7671" s="7" t="s">
        <v>15</v>
      </c>
    </row>
    <row r="7672" spans="1:10" ht="13.2">
      <c r="A7672" s="7">
        <v>7671</v>
      </c>
      <c r="B7672" s="7">
        <v>1</v>
      </c>
      <c r="C7672" s="7" t="s">
        <v>10</v>
      </c>
      <c r="D7672" s="7">
        <v>8630</v>
      </c>
      <c r="E7672" s="7" t="s">
        <v>12</v>
      </c>
      <c r="F7672" s="8" t="str">
        <f ca="1">IFERROR(__xludf.DUMMYFUNCTION("IF
(
C7673=""фізична особа""
,
VLOOKUP(D7673,IMPORTRANGE(""https://docs.google.com/spreadsheets/d/14Bd19lYaqBhU8_DElYkX7l4wRkHqqCUFNJY4AfY3kHU/edit?usp=sharing  #gid=0"",""фіз особи new!relations_name""),6,FALSE)
,
(IF
(
C7673=""юридична особа""
,
VLOOKUP"&amp;"(D7673,IMPORTRANGE(""https://docs.google.com/spreadsheets/d/14Bd19lYaqBhU8_DElYkX7l4wRkHqqCUFNJY4AfY3kHU/edit?usp=sharing  #gid=0"",""фіз особи new!relations_name_uo""),7,FALSE)
,
)
))"),"ЄПІФАНОВ Володимир")</f>
        <v>ЄПІФАНОВ Володимир</v>
      </c>
      <c r="G7672" s="7" t="s">
        <v>10</v>
      </c>
      <c r="H7672" s="7">
        <v>23423</v>
      </c>
      <c r="I7672" s="8" t="str">
        <f ca="1">IFERROR(__xludf.DUMMYFUNCTION("IF
(
G7673=""фізична особа""
,
VLOOKUP(H7673,IMPORTRANGE(""https://docs.google.com/spreadsheets/d/14Bd19lYaqBhU8_DElYkX7l4wRkHqqCUFNJY4AfY3kHU/edit?usp=sharing  #gid=0"",""фіз особи new!relations_name""),6,FALSE)
,
(IF
(
G7673=""юридична особа""
,
VLOOKUP"&amp;"(H7673,IMPORTRANGE(""https://docs.google.com/spreadsheets/d/14Bd19lYaqBhU8_DElYkX7l4wRkHqqCUFNJY4AfY3kHU/edit?usp=sharing  #gid=0"",""фіз особи new!relations_name_uo""),7,FALSE)
,
)
))"),"ЄПІФАНОВ Євген Володимирович")</f>
        <v>ЄПІФАНОВ Євген Володимирович</v>
      </c>
      <c r="J7672" s="7" t="s">
        <v>17</v>
      </c>
    </row>
    <row r="7673" spans="1:10" ht="13.2">
      <c r="A7673" s="7">
        <v>7672</v>
      </c>
      <c r="B7673" s="7">
        <v>1</v>
      </c>
      <c r="C7673" s="7" t="s">
        <v>10</v>
      </c>
      <c r="D7673" s="7">
        <v>8630</v>
      </c>
      <c r="E7673" s="7" t="s">
        <v>12</v>
      </c>
      <c r="F7673" s="8" t="str">
        <f ca="1">IFERROR(__xludf.DUMMYFUNCTION("IF
(
C7674=""фізична особа""
,
VLOOKUP(D7674,IMPORTRANGE(""https://docs.google.com/spreadsheets/d/14Bd19lYaqBhU8_DElYkX7l4wRkHqqCUFNJY4AfY3kHU/edit?usp=sharing  #gid=0"",""фіз особи new!relations_name""),6,FALSE)
,
(IF
(
C7674=""юридична особа""
,
VLOOKUP"&amp;"(D7674,IMPORTRANGE(""https://docs.google.com/spreadsheets/d/14Bd19lYaqBhU8_DElYkX7l4wRkHqqCUFNJY4AfY3kHU/edit?usp=sharing  #gid=0"",""фіз особи new!relations_name_uo""),7,FALSE)
,
)
))"),"ЄПІФАНОВ Володимир")</f>
        <v>ЄПІФАНОВ Володимир</v>
      </c>
      <c r="G7673" s="7" t="s">
        <v>10</v>
      </c>
      <c r="H7673" s="7">
        <v>0</v>
      </c>
      <c r="I7673" s="8" t="str">
        <f ca="1">IFERROR(__xludf.DUMMYFUNCTION("IF
(
G7674=""фізична особа""
,
VLOOKUP(H7674,IMPORTRANGE(""https://docs.google.com/spreadsheets/d/14Bd19lYaqBhU8_DElYkX7l4wRkHqqCUFNJY4AfY3kHU/edit?usp=sharing  #gid=0"",""фіз особи new!relations_name""),6,FALSE)
,
(IF
(
G7674=""юридична особа""
,
VLOOKUP"&amp;"(H7674,IMPORTRANGE(""https://docs.google.com/spreadsheets/d/14Bd19lYaqBhU8_DElYkX7l4wRkHqqCUFNJY4AfY3kHU/edit?usp=sharing  #gid=0"",""фіз особи new!relations_name_uo""),7,FALSE)
,
)
))"),"#N/A")</f>
        <v>#N/A</v>
      </c>
      <c r="J7673" s="7" t="s">
        <v>13</v>
      </c>
    </row>
    <row r="7674" spans="1:10" ht="13.2">
      <c r="A7674" s="7">
        <v>7673</v>
      </c>
      <c r="B7674" s="7">
        <v>1</v>
      </c>
      <c r="C7674" s="7" t="s">
        <v>10</v>
      </c>
      <c r="D7674" s="7">
        <v>8631</v>
      </c>
      <c r="E7674" s="7" t="s">
        <v>14</v>
      </c>
      <c r="F7674" s="8" t="str">
        <f ca="1">IFERROR(__xludf.DUMMYFUNCTION("IF
(
C7675=""фізична особа""
,
VLOOKUP(D7675,IMPORTRANGE(""https://docs.google.com/spreadsheets/d/14Bd19lYaqBhU8_DElYkX7l4wRkHqqCUFNJY4AfY3kHU/edit?usp=sharing  #gid=0"",""фіз особи new!relations_name""),6,FALSE)
,
(IF
(
C7675=""юридична особа""
,
VLOOKUP"&amp;"(D7675,IMPORTRANGE(""https://docs.google.com/spreadsheets/d/14Bd19lYaqBhU8_DElYkX7l4wRkHqqCUFNJY4AfY3kHU/edit?usp=sharing  #gid=0"",""фіз особи new!relations_name_uo""),7,FALSE)
,
)
))"),"ЗАБРАЛОВ Ігор Сергійович")</f>
        <v>ЗАБРАЛОВ Ігор Сергійович</v>
      </c>
      <c r="G7674" s="7" t="s">
        <v>10</v>
      </c>
      <c r="H7674" s="7">
        <v>575</v>
      </c>
      <c r="I7674" s="8" t="str">
        <f ca="1">IFERROR(__xludf.DUMMYFUNCTION("IF
(
G7675=""фізична особа""
,
VLOOKUP(H7675,IMPORTRANGE(""https://docs.google.com/spreadsheets/d/14Bd19lYaqBhU8_DElYkX7l4wRkHqqCUFNJY4AfY3kHU/edit?usp=sharing  #gid=0"",""фіз особи new!relations_name""),6,FALSE)
,
(IF
(
G7675=""юридична особа""
,
VLOOKUP"&amp;"(H7675,IMPORTRANGE(""https://docs.google.com/spreadsheets/d/14Bd19lYaqBhU8_DElYkX7l4wRkHqqCUFNJY4AfY3kHU/edit?usp=sharing  #gid=0"",""фіз особи new!relations_name_uo""),7,FALSE)
,
)
))"),"ЗАБРАЛОВА Ольга Сергіївна")</f>
        <v>ЗАБРАЛОВА Ольга Сергіївна</v>
      </c>
      <c r="J7674" s="7" t="s">
        <v>15</v>
      </c>
    </row>
    <row r="7675" spans="1:10" ht="13.2">
      <c r="A7675" s="7">
        <v>7674</v>
      </c>
      <c r="B7675" s="7">
        <v>1</v>
      </c>
      <c r="C7675" s="7" t="s">
        <v>10</v>
      </c>
      <c r="D7675" s="7">
        <v>8632</v>
      </c>
      <c r="E7675" s="7" t="s">
        <v>15</v>
      </c>
      <c r="F7675" s="8" t="str">
        <f ca="1">IFERROR(__xludf.DUMMYFUNCTION("IF
(
C7676=""фізична особа""
,
VLOOKUP(D7676,IMPORTRANGE(""https://docs.google.com/spreadsheets/d/14Bd19lYaqBhU8_DElYkX7l4wRkHqqCUFNJY4AfY3kHU/edit?usp=sharing  #gid=0"",""фіз особи new!relations_name""),6,FALSE)
,
(IF
(
C7676=""юридична особа""
,
VLOOKUP"&amp;"(D7676,IMPORTRANGE(""https://docs.google.com/spreadsheets/d/14Bd19lYaqBhU8_DElYkX7l4wRkHqqCUFNJY4AfY3kHU/edit?usp=sharing  #gid=0"",""фіз особи new!relations_name_uo""),7,FALSE)
,
)
))"),"ПОНОМАРЬОВА Катерина Анатоліївна")</f>
        <v>ПОНОМАРЬОВА Катерина Анатоліївна</v>
      </c>
      <c r="G7675" s="7" t="s">
        <v>10</v>
      </c>
      <c r="H7675" s="7">
        <v>598</v>
      </c>
      <c r="I7675" s="8" t="str">
        <f ca="1">IFERROR(__xludf.DUMMYFUNCTION("IF
(
G7676=""фізична особа""
,
VLOOKUP(H7676,IMPORTRANGE(""https://docs.google.com/spreadsheets/d/14Bd19lYaqBhU8_DElYkX7l4wRkHqqCUFNJY4AfY3kHU/edit?usp=sharing  #gid=0"",""фіз особи new!relations_name""),6,FALSE)
,
(IF
(
G7676=""юридична особа""
,
VLOOKUP"&amp;"(H7676,IMPORTRANGE(""https://docs.google.com/spreadsheets/d/14Bd19lYaqBhU8_DElYkX7l4wRkHqqCUFNJY4AfY3kHU/edit?usp=sharing  #gid=0"",""фіз особи new!relations_name_uo""),7,FALSE)
,
)
))"),"ПОНОМАРЬОВ Валерій Андрійович")</f>
        <v>ПОНОМАРЬОВ Валерій Андрійович</v>
      </c>
      <c r="J7675" s="7" t="s">
        <v>14</v>
      </c>
    </row>
    <row r="7676" spans="1:10" ht="13.2">
      <c r="A7676" s="7">
        <v>7675</v>
      </c>
      <c r="B7676" s="7">
        <v>1</v>
      </c>
      <c r="C7676" s="7" t="s">
        <v>10</v>
      </c>
      <c r="D7676" s="7">
        <v>8632</v>
      </c>
      <c r="E7676" s="7" t="s">
        <v>21</v>
      </c>
      <c r="F7676" s="8" t="str">
        <f ca="1">IFERROR(__xludf.DUMMYFUNCTION("IF
(
C7677=""фізична особа""
,
VLOOKUP(D7677,IMPORTRANGE(""https://docs.google.com/spreadsheets/d/14Bd19lYaqBhU8_DElYkX7l4wRkHqqCUFNJY4AfY3kHU/edit?usp=sharing  #gid=0"",""фіз особи new!relations_name""),6,FALSE)
,
(IF
(
C7677=""юридична особа""
,
VLOOKUP"&amp;"(D7677,IMPORTRANGE(""https://docs.google.com/spreadsheets/d/14Bd19lYaqBhU8_DElYkX7l4wRkHqqCUFNJY4AfY3kHU/edit?usp=sharing  #gid=0"",""фіз особи new!relations_name_uo""),7,FALSE)
,
)
))"),"ПОНОМАРЬОВА Катерина Анатоліївна")</f>
        <v>ПОНОМАРЬОВА Катерина Анатоліївна</v>
      </c>
      <c r="G7676" s="7" t="s">
        <v>10</v>
      </c>
      <c r="H7676" s="7">
        <v>23427</v>
      </c>
      <c r="I7676" s="8" t="str">
        <f ca="1">IFERROR(__xludf.DUMMYFUNCTION("IF
(
G7677=""фізична особа""
,
VLOOKUP(H7677,IMPORTRANGE(""https://docs.google.com/spreadsheets/d/14Bd19lYaqBhU8_DElYkX7l4wRkHqqCUFNJY4AfY3kHU/edit?usp=sharing  #gid=0"",""фіз особи new!relations_name""),6,FALSE)
,
(IF
(
G7677=""юридична особа""
,
VLOOKUP"&amp;"(H7677,IMPORTRANGE(""https://docs.google.com/spreadsheets/d/14Bd19lYaqBhU8_DElYkX7l4wRkHqqCUFNJY4AfY3kHU/edit?usp=sharing  #gid=0"",""фіз особи new!relations_name_uo""),7,FALSE)
,
)
))"),"ПОНОМАРЬОВА Зоя Валеріївна")</f>
        <v>ПОНОМАРЬОВА Зоя Валеріївна</v>
      </c>
      <c r="J7676" s="7" t="s">
        <v>13</v>
      </c>
    </row>
    <row r="7677" spans="1:10" ht="13.2">
      <c r="A7677" s="7">
        <v>7676</v>
      </c>
      <c r="B7677" s="7">
        <v>1</v>
      </c>
      <c r="C7677" s="7" t="s">
        <v>10</v>
      </c>
      <c r="D7677" s="7">
        <v>8633</v>
      </c>
      <c r="E7677" s="7" t="s">
        <v>15</v>
      </c>
      <c r="F7677" s="8" t="str">
        <f ca="1">IFERROR(__xludf.DUMMYFUNCTION("IF
(
C7678=""фізична особа""
,
VLOOKUP(D7678,IMPORTRANGE(""https://docs.google.com/spreadsheets/d/14Bd19lYaqBhU8_DElYkX7l4wRkHqqCUFNJY4AfY3kHU/edit?usp=sharing  #gid=0"",""фіз особи new!relations_name""),6,FALSE)
,
(IF
(
C7678=""юридична особа""
,
VLOOKUP"&amp;"(D7678,IMPORTRANGE(""https://docs.google.com/spreadsheets/d/14Bd19lYaqBhU8_DElYkX7l4wRkHqqCUFNJY4AfY3kHU/edit?usp=sharing  #gid=0"",""фіз особи new!relations_name_uo""),7,FALSE)
,
)
))"),"РИЖКОВА Людмила Сергіївна")</f>
        <v>РИЖКОВА Людмила Сергіївна</v>
      </c>
      <c r="G7677" s="7" t="s">
        <v>10</v>
      </c>
      <c r="H7677" s="7">
        <v>644</v>
      </c>
      <c r="I7677" s="8" t="str">
        <f ca="1">IFERROR(__xludf.DUMMYFUNCTION("IF
(
G7678=""фізична особа""
,
VLOOKUP(H7678,IMPORTRANGE(""https://docs.google.com/spreadsheets/d/14Bd19lYaqBhU8_DElYkX7l4wRkHqqCUFNJY4AfY3kHU/edit?usp=sharing  #gid=0"",""фіз особи new!relations_name""),6,FALSE)
,
(IF
(
G7678=""юридична особа""
,
VLOOKUP"&amp;"(H7678,IMPORTRANGE(""https://docs.google.com/spreadsheets/d/14Bd19lYaqBhU8_DElYkX7l4wRkHqqCUFNJY4AfY3kHU/edit?usp=sharing  #gid=0"",""фіз особи new!relations_name_uo""),7,FALSE)
,
)
))"),"РИЖКОВ Микола Іванович")</f>
        <v>РИЖКОВ Микола Іванович</v>
      </c>
      <c r="J7677" s="7" t="s">
        <v>14</v>
      </c>
    </row>
    <row r="7678" spans="1:10" ht="13.2">
      <c r="A7678" s="7">
        <v>7677</v>
      </c>
      <c r="B7678" s="7">
        <v>1</v>
      </c>
      <c r="C7678" s="7" t="s">
        <v>10</v>
      </c>
      <c r="D7678" s="7">
        <v>8633</v>
      </c>
      <c r="E7678" s="7" t="s">
        <v>21</v>
      </c>
      <c r="F7678" s="8" t="str">
        <f ca="1">IFERROR(__xludf.DUMMYFUNCTION("IF
(
C7679=""фізична особа""
,
VLOOKUP(D7679,IMPORTRANGE(""https://docs.google.com/spreadsheets/d/14Bd19lYaqBhU8_DElYkX7l4wRkHqqCUFNJY4AfY3kHU/edit?usp=sharing  #gid=0"",""фіз особи new!relations_name""),6,FALSE)
,
(IF
(
C7679=""юридична особа""
,
VLOOKUP"&amp;"(D7679,IMPORTRANGE(""https://docs.google.com/spreadsheets/d/14Bd19lYaqBhU8_DElYkX7l4wRkHqqCUFNJY4AfY3kHU/edit?usp=sharing  #gid=0"",""фіз особи new!relations_name_uo""),7,FALSE)
,
)
))"),"РИЖКОВА Людмила Сергіївна")</f>
        <v>РИЖКОВА Людмила Сергіївна</v>
      </c>
      <c r="G7678" s="7" t="s">
        <v>10</v>
      </c>
      <c r="H7678" s="7">
        <v>23432</v>
      </c>
      <c r="I7678" s="8" t="str">
        <f ca="1">IFERROR(__xludf.DUMMYFUNCTION("IF
(
G7679=""фізична особа""
,
VLOOKUP(H7679,IMPORTRANGE(""https://docs.google.com/spreadsheets/d/14Bd19lYaqBhU8_DElYkX7l4wRkHqqCUFNJY4AfY3kHU/edit?usp=sharing  #gid=0"",""фіз особи new!relations_name""),6,FALSE)
,
(IF
(
G7679=""юридична особа""
,
VLOOKUP"&amp;"(H7679,IMPORTRANGE(""https://docs.google.com/spreadsheets/d/14Bd19lYaqBhU8_DElYkX7l4wRkHqqCUFNJY4AfY3kHU/edit?usp=sharing  #gid=0"",""фіз особи new!relations_name_uo""),7,FALSE)
,
)
))"),"РИЖКОВА Марина Миколаївна")</f>
        <v>РИЖКОВА Марина Миколаївна</v>
      </c>
      <c r="J7678" s="7" t="s">
        <v>13</v>
      </c>
    </row>
    <row r="7679" spans="1:10" ht="13.2">
      <c r="A7679" s="7">
        <v>7678</v>
      </c>
      <c r="B7679" s="7">
        <v>1</v>
      </c>
      <c r="C7679" s="7" t="s">
        <v>10</v>
      </c>
      <c r="D7679" s="7">
        <v>8634</v>
      </c>
      <c r="E7679" s="7" t="s">
        <v>15</v>
      </c>
      <c r="F7679" s="8" t="str">
        <f ca="1">IFERROR(__xludf.DUMMYFUNCTION("IF
(
C7680=""фізична особа""
,
VLOOKUP(D7680,IMPORTRANGE(""https://docs.google.com/spreadsheets/d/14Bd19lYaqBhU8_DElYkX7l4wRkHqqCUFNJY4AfY3kHU/edit?usp=sharing  #gid=0"",""фіз особи new!relations_name""),6,FALSE)
,
(IF
(
C7680=""юридична особа""
,
VLOOKUP"&amp;"(D7680,IMPORTRANGE(""https://docs.google.com/spreadsheets/d/14Bd19lYaqBhU8_DElYkX7l4wRkHqqCUFNJY4AfY3kHU/edit?usp=sharing  #gid=0"",""фіз особи new!relations_name_uo""),7,FALSE)
,
)
))"),"САВЕЛЬЄВА Ольга Володимирівна")</f>
        <v>САВЕЛЬЄВА Ольга Володимирівна</v>
      </c>
      <c r="G7679" s="7" t="s">
        <v>10</v>
      </c>
      <c r="H7679" s="7">
        <v>650</v>
      </c>
      <c r="I7679" s="8" t="str">
        <f ca="1">IFERROR(__xludf.DUMMYFUNCTION("IF
(
G7680=""фізична особа""
,
VLOOKUP(H7680,IMPORTRANGE(""https://docs.google.com/spreadsheets/d/14Bd19lYaqBhU8_DElYkX7l4wRkHqqCUFNJY4AfY3kHU/edit?usp=sharing  #gid=0"",""фіз особи new!relations_name""),6,FALSE)
,
(IF
(
G7680=""юридична особа""
,
VLOOKUP"&amp;"(H7680,IMPORTRANGE(""https://docs.google.com/spreadsheets/d/14Bd19lYaqBhU8_DElYkX7l4wRkHqqCUFNJY4AfY3kHU/edit?usp=sharing  #gid=0"",""фіз особи new!relations_name_uo""),7,FALSE)
,
)
))"),"САВЕЛЬЄВ Дмитро Володимирович")</f>
        <v>САВЕЛЬЄВ Дмитро Володимирович</v>
      </c>
      <c r="J7679" s="7" t="s">
        <v>14</v>
      </c>
    </row>
    <row r="7680" spans="1:10" ht="13.2">
      <c r="A7680" s="7">
        <v>7679</v>
      </c>
      <c r="B7680" s="7">
        <v>1</v>
      </c>
      <c r="C7680" s="7" t="s">
        <v>10</v>
      </c>
      <c r="D7680" s="7">
        <v>8635</v>
      </c>
      <c r="E7680" s="7" t="s">
        <v>15</v>
      </c>
      <c r="F7680" s="8" t="str">
        <f ca="1">IFERROR(__xludf.DUMMYFUNCTION("IF
(
C7681=""фізична особа""
,
VLOOKUP(D7681,IMPORTRANGE(""https://docs.google.com/spreadsheets/d/14Bd19lYaqBhU8_DElYkX7l4wRkHqqCUFNJY4AfY3kHU/edit?usp=sharing  #gid=0"",""фіз особи new!relations_name""),6,FALSE)
,
(IF
(
C7681=""юридична особа""
,
VLOOKUP"&amp;"(D7681,IMPORTRANGE(""https://docs.google.com/spreadsheets/d/14Bd19lYaqBhU8_DElYkX7l4wRkHqqCUFNJY4AfY3kHU/edit?usp=sharing  #gid=0"",""фіз особи new!relations_name_uo""),7,FALSE)
,
)
))"),"МІТІНА Віра Іванівна")</f>
        <v>МІТІНА Віра Іванівна</v>
      </c>
      <c r="G7680" s="7" t="s">
        <v>10</v>
      </c>
      <c r="H7680" s="7">
        <v>663</v>
      </c>
      <c r="I7680" s="8" t="str">
        <f ca="1">IFERROR(__xludf.DUMMYFUNCTION("IF
(
G7681=""фізична особа""
,
VLOOKUP(H7681,IMPORTRANGE(""https://docs.google.com/spreadsheets/d/14Bd19lYaqBhU8_DElYkX7l4wRkHqqCUFNJY4AfY3kHU/edit?usp=sharing  #gid=0"",""фіз особи new!relations_name""),6,FALSE)
,
(IF
(
G7681=""юридична особа""
,
VLOOKUP"&amp;"(H7681,IMPORTRANGE(""https://docs.google.com/spreadsheets/d/14Bd19lYaqBhU8_DElYkX7l4wRkHqqCUFNJY4AfY3kHU/edit?usp=sharing  #gid=0"",""фіз особи new!relations_name_uo""),7,FALSE)
,
)
))"),"МІТІН Сергій Герасимович")</f>
        <v>МІТІН Сергій Герасимович</v>
      </c>
      <c r="J7680" s="7" t="s">
        <v>14</v>
      </c>
    </row>
    <row r="7681" spans="1:10" ht="13.2">
      <c r="A7681" s="7">
        <v>7680</v>
      </c>
      <c r="B7681" s="7">
        <v>1</v>
      </c>
      <c r="C7681" s="7" t="s">
        <v>10</v>
      </c>
      <c r="D7681" s="7">
        <v>8635</v>
      </c>
      <c r="E7681" s="7" t="s">
        <v>21</v>
      </c>
      <c r="F7681" s="8" t="str">
        <f ca="1">IFERROR(__xludf.DUMMYFUNCTION("IF
(
C7682=""фізична особа""
,
VLOOKUP(D7682,IMPORTRANGE(""https://docs.google.com/spreadsheets/d/14Bd19lYaqBhU8_DElYkX7l4wRkHqqCUFNJY4AfY3kHU/edit?usp=sharing  #gid=0"",""фіз особи new!relations_name""),6,FALSE)
,
(IF
(
C7682=""юридична особа""
,
VLOOKUP"&amp;"(D7682,IMPORTRANGE(""https://docs.google.com/spreadsheets/d/14Bd19lYaqBhU8_DElYkX7l4wRkHqqCUFNJY4AfY3kHU/edit?usp=sharing  #gid=0"",""фіз особи new!relations_name_uo""),7,FALSE)
,
)
))"),"МІТІНА Віра Іванівна")</f>
        <v>МІТІНА Віра Іванівна</v>
      </c>
      <c r="G7681" s="7" t="s">
        <v>10</v>
      </c>
      <c r="H7681" s="7">
        <v>23435</v>
      </c>
      <c r="I7681" s="8" t="str">
        <f ca="1">IFERROR(__xludf.DUMMYFUNCTION("IF
(
G7682=""фізична особа""
,
VLOOKUP(H7682,IMPORTRANGE(""https://docs.google.com/spreadsheets/d/14Bd19lYaqBhU8_DElYkX7l4wRkHqqCUFNJY4AfY3kHU/edit?usp=sharing  #gid=0"",""фіз особи new!relations_name""),6,FALSE)
,
(IF
(
G7682=""юридична особа""
,
VLOOKUP"&amp;"(H7682,IMPORTRANGE(""https://docs.google.com/spreadsheets/d/14Bd19lYaqBhU8_DElYkX7l4wRkHqqCUFNJY4AfY3kHU/edit?usp=sharing  #gid=0"",""фіз особи new!relations_name_uo""),7,FALSE)
,
)
))"),"МІТІНА Наталія Сергіївна")</f>
        <v>МІТІНА Наталія Сергіївна</v>
      </c>
      <c r="J7681" s="7" t="s">
        <v>13</v>
      </c>
    </row>
    <row r="7682" spans="1:10" ht="13.2">
      <c r="A7682" s="7">
        <v>7681</v>
      </c>
      <c r="B7682" s="7">
        <v>1</v>
      </c>
      <c r="C7682" s="7" t="s">
        <v>10</v>
      </c>
      <c r="D7682" s="7">
        <v>8636</v>
      </c>
      <c r="E7682" s="7" t="s">
        <v>15</v>
      </c>
      <c r="F7682" s="8" t="str">
        <f ca="1">IFERROR(__xludf.DUMMYFUNCTION("IF
(
C7683=""фізична особа""
,
VLOOKUP(D7683,IMPORTRANGE(""https://docs.google.com/spreadsheets/d/14Bd19lYaqBhU8_DElYkX7l4wRkHqqCUFNJY4AfY3kHU/edit?usp=sharing  #gid=0"",""фіз особи new!relations_name""),6,FALSE)
,
(IF
(
C7683=""юридична особа""
,
VLOOKUP"&amp;"(D7683,IMPORTRANGE(""https://docs.google.com/spreadsheets/d/14Bd19lYaqBhU8_DElYkX7l4wRkHqqCUFNJY4AfY3kHU/edit?usp=sharing  #gid=0"",""фіз особи new!relations_name_uo""),7,FALSE)
,
)
))"),"НІКІТІНА Тетяна")</f>
        <v>НІКІТІНА Тетяна</v>
      </c>
      <c r="G7682" s="7" t="s">
        <v>10</v>
      </c>
      <c r="H7682" s="7">
        <v>690</v>
      </c>
      <c r="I7682" s="8" t="str">
        <f ca="1">IFERROR(__xludf.DUMMYFUNCTION("IF
(
G7683=""фізична особа""
,
VLOOKUP(H7683,IMPORTRANGE(""https://docs.google.com/spreadsheets/d/14Bd19lYaqBhU8_DElYkX7l4wRkHqqCUFNJY4AfY3kHU/edit?usp=sharing  #gid=0"",""фіз особи new!relations_name""),6,FALSE)
,
(IF
(
G7683=""юридична особа""
,
VLOOKUP"&amp;"(H7683,IMPORTRANGE(""https://docs.google.com/spreadsheets/d/14Bd19lYaqBhU8_DElYkX7l4wRkHqqCUFNJY4AfY3kHU/edit?usp=sharing  #gid=0"",""фіз особи new!relations_name_uo""),7,FALSE)
,
)
))"),"НІКІТІН Олександр Валерійович")</f>
        <v>НІКІТІН Олександр Валерійович</v>
      </c>
      <c r="J7682" s="7" t="s">
        <v>14</v>
      </c>
    </row>
    <row r="7683" spans="1:10" ht="13.2">
      <c r="A7683" s="7">
        <v>7682</v>
      </c>
      <c r="B7683" s="7">
        <v>1</v>
      </c>
      <c r="C7683" s="7" t="s">
        <v>10</v>
      </c>
      <c r="D7683" s="7">
        <v>8636</v>
      </c>
      <c r="E7683" s="7" t="s">
        <v>21</v>
      </c>
      <c r="F7683" s="8" t="str">
        <f ca="1">IFERROR(__xludf.DUMMYFUNCTION("IF
(
C7684=""фізична особа""
,
VLOOKUP(D7684,IMPORTRANGE(""https://docs.google.com/spreadsheets/d/14Bd19lYaqBhU8_DElYkX7l4wRkHqqCUFNJY4AfY3kHU/edit?usp=sharing  #gid=0"",""фіз особи new!relations_name""),6,FALSE)
,
(IF
(
C7684=""юридична особа""
,
VLOOKUP"&amp;"(D7684,IMPORTRANGE(""https://docs.google.com/spreadsheets/d/14Bd19lYaqBhU8_DElYkX7l4wRkHqqCUFNJY4AfY3kHU/edit?usp=sharing  #gid=0"",""фіз особи new!relations_name_uo""),7,FALSE)
,
)
))"),"НІКІТІНА Тетяна")</f>
        <v>НІКІТІНА Тетяна</v>
      </c>
      <c r="G7683" s="7" t="s">
        <v>10</v>
      </c>
      <c r="H7683" s="7">
        <v>23442</v>
      </c>
      <c r="I7683" s="8" t="str">
        <f ca="1">IFERROR(__xludf.DUMMYFUNCTION("IF
(
G7684=""фізична особа""
,
VLOOKUP(H7684,IMPORTRANGE(""https://docs.google.com/spreadsheets/d/14Bd19lYaqBhU8_DElYkX7l4wRkHqqCUFNJY4AfY3kHU/edit?usp=sharing  #gid=0"",""фіз особи new!relations_name""),6,FALSE)
,
(IF
(
G7684=""юридична особа""
,
VLOOKUP"&amp;"(H7684,IMPORTRANGE(""https://docs.google.com/spreadsheets/d/14Bd19lYaqBhU8_DElYkX7l4wRkHqqCUFNJY4AfY3kHU/edit?usp=sharing  #gid=0"",""фіз особи new!relations_name_uo""),7,FALSE)
,
)
))"),"НІКІТІНА Вікторія Олександрівна")</f>
        <v>НІКІТІНА Вікторія Олександрівна</v>
      </c>
      <c r="J7683" s="7" t="s">
        <v>13</v>
      </c>
    </row>
    <row r="7684" spans="1:10" ht="13.2">
      <c r="A7684" s="7">
        <v>7683</v>
      </c>
      <c r="B7684" s="7">
        <v>1</v>
      </c>
      <c r="C7684" s="7" t="s">
        <v>10</v>
      </c>
      <c r="D7684" s="7">
        <v>8637</v>
      </c>
      <c r="E7684" s="7" t="s">
        <v>15</v>
      </c>
      <c r="F7684" s="8" t="str">
        <f ca="1">IFERROR(__xludf.DUMMYFUNCTION("IF
(
C7685=""фізична особа""
,
VLOOKUP(D7685,IMPORTRANGE(""https://docs.google.com/spreadsheets/d/14Bd19lYaqBhU8_DElYkX7l4wRkHqqCUFNJY4AfY3kHU/edit?usp=sharing  #gid=0"",""фіз особи new!relations_name""),6,FALSE)
,
(IF
(
C7685=""юридична особа""
,
VLOOKUP"&amp;"(D7685,IMPORTRANGE(""https://docs.google.com/spreadsheets/d/14Bd19lYaqBhU8_DElYkX7l4wRkHqqCUFNJY4AfY3kHU/edit?usp=sharing  #gid=0"",""фіз особи new!relations_name_uo""),7,FALSE)
,
)
))"),"ВАЙНБЕРГ Зінаїда Лазарівна")</f>
        <v>ВАЙНБЕРГ Зінаїда Лазарівна</v>
      </c>
      <c r="G7684" s="7" t="s">
        <v>10</v>
      </c>
      <c r="H7684" s="7">
        <v>734</v>
      </c>
      <c r="I7684" s="8" t="str">
        <f ca="1">IFERROR(__xludf.DUMMYFUNCTION("IF
(
G7685=""фізична особа""
,
VLOOKUP(H7685,IMPORTRANGE(""https://docs.google.com/spreadsheets/d/14Bd19lYaqBhU8_DElYkX7l4wRkHqqCUFNJY4AfY3kHU/edit?usp=sharing  #gid=0"",""фіз особи new!relations_name""),6,FALSE)
,
(IF
(
G7685=""юридична особа""
,
VLOOKUP"&amp;"(H7685,IMPORTRANGE(""https://docs.google.com/spreadsheets/d/14Bd19lYaqBhU8_DElYkX7l4wRkHqqCUFNJY4AfY3kHU/edit?usp=sharing  #gid=0"",""фіз особи new!relations_name_uo""),7,FALSE)
,
)
))"),"ВАЙНБЕРГ Олександр Владеленович")</f>
        <v>ВАЙНБЕРГ Олександр Владеленович</v>
      </c>
      <c r="J7684" s="7" t="s">
        <v>14</v>
      </c>
    </row>
    <row r="7685" spans="1:10" ht="13.2">
      <c r="A7685" s="7">
        <v>7684</v>
      </c>
      <c r="B7685" s="7">
        <v>1</v>
      </c>
      <c r="C7685" s="7" t="s">
        <v>10</v>
      </c>
      <c r="D7685" s="7">
        <v>8637</v>
      </c>
      <c r="E7685" s="7" t="s">
        <v>21</v>
      </c>
      <c r="F7685" s="8" t="str">
        <f ca="1">IFERROR(__xludf.DUMMYFUNCTION("IF
(
C7686=""фізична особа""
,
VLOOKUP(D7686,IMPORTRANGE(""https://docs.google.com/spreadsheets/d/14Bd19lYaqBhU8_DElYkX7l4wRkHqqCUFNJY4AfY3kHU/edit?usp=sharing  #gid=0"",""фіз особи new!relations_name""),6,FALSE)
,
(IF
(
C7686=""юридична особа""
,
VLOOKUP"&amp;"(D7686,IMPORTRANGE(""https://docs.google.com/spreadsheets/d/14Bd19lYaqBhU8_DElYkX7l4wRkHqqCUFNJY4AfY3kHU/edit?usp=sharing  #gid=0"",""фіз особи new!relations_name_uo""),7,FALSE)
,
)
))"),"ВАЙНБЕРГ Зінаїда Лазарівна")</f>
        <v>ВАЙНБЕРГ Зінаїда Лазарівна</v>
      </c>
      <c r="G7685" s="7" t="s">
        <v>10</v>
      </c>
      <c r="H7685" s="7">
        <v>23449</v>
      </c>
      <c r="I7685" s="8" t="str">
        <f ca="1">IFERROR(__xludf.DUMMYFUNCTION("IF
(
G7686=""фізична особа""
,
VLOOKUP(H7686,IMPORTRANGE(""https://docs.google.com/spreadsheets/d/14Bd19lYaqBhU8_DElYkX7l4wRkHqqCUFNJY4AfY3kHU/edit?usp=sharing  #gid=0"",""фіз особи new!relations_name""),6,FALSE)
,
(IF
(
G7686=""юридична особа""
,
VLOOKUP"&amp;"(H7686,IMPORTRANGE(""https://docs.google.com/spreadsheets/d/14Bd19lYaqBhU8_DElYkX7l4wRkHqqCUFNJY4AfY3kHU/edit?usp=sharing  #gid=0"",""фіз особи new!relations_name_uo""),7,FALSE)
,
)
))"),"ВАЙНБЕРГ Дар'я Олександрівна")</f>
        <v>ВАЙНБЕРГ Дар'я Олександрівна</v>
      </c>
      <c r="J7685" s="7" t="s">
        <v>13</v>
      </c>
    </row>
    <row r="7686" spans="1:10" ht="13.2">
      <c r="A7686" s="7">
        <v>7685</v>
      </c>
      <c r="B7686" s="7">
        <v>1</v>
      </c>
      <c r="C7686" s="7" t="s">
        <v>10</v>
      </c>
      <c r="D7686" s="7">
        <v>8637</v>
      </c>
      <c r="E7686" s="7" t="s">
        <v>21</v>
      </c>
      <c r="F7686" s="8" t="str">
        <f ca="1">IFERROR(__xludf.DUMMYFUNCTION("IF
(
C7687=""фізична особа""
,
VLOOKUP(D7687,IMPORTRANGE(""https://docs.google.com/spreadsheets/d/14Bd19lYaqBhU8_DElYkX7l4wRkHqqCUFNJY4AfY3kHU/edit?usp=sharing  #gid=0"",""фіз особи new!relations_name""),6,FALSE)
,
(IF
(
C7687=""юридична особа""
,
VLOOKUP"&amp;"(D7687,IMPORTRANGE(""https://docs.google.com/spreadsheets/d/14Bd19lYaqBhU8_DElYkX7l4wRkHqqCUFNJY4AfY3kHU/edit?usp=sharing  #gid=0"",""фіз особи new!relations_name_uo""),7,FALSE)
,
)
))"),"ВАЙНБЕРГ Зінаїда Лазарівна")</f>
        <v>ВАЙНБЕРГ Зінаїда Лазарівна</v>
      </c>
      <c r="G7686" s="7" t="s">
        <v>10</v>
      </c>
      <c r="H7686" s="7">
        <v>23450</v>
      </c>
      <c r="I7686" s="8" t="str">
        <f ca="1">IFERROR(__xludf.DUMMYFUNCTION("IF
(
G7687=""фізична особа""
,
VLOOKUP(H7687,IMPORTRANGE(""https://docs.google.com/spreadsheets/d/14Bd19lYaqBhU8_DElYkX7l4wRkHqqCUFNJY4AfY3kHU/edit?usp=sharing  #gid=0"",""фіз особи new!relations_name""),6,FALSE)
,
(IF
(
G7687=""юридична особа""
,
VLOOKUP"&amp;"(H7687,IMPORTRANGE(""https://docs.google.com/spreadsheets/d/14Bd19lYaqBhU8_DElYkX7l4wRkHqqCUFNJY4AfY3kHU/edit?usp=sharing  #gid=0"",""фіз особи new!relations_name_uo""),7,FALSE)
,
)
))"),"ВАЙНБЕРГ Єва Олександрівна")</f>
        <v>ВАЙНБЕРГ Єва Олександрівна</v>
      </c>
      <c r="J7686" s="7" t="s">
        <v>13</v>
      </c>
    </row>
    <row r="7687" spans="1:10" ht="13.2">
      <c r="A7687" s="7">
        <v>7686</v>
      </c>
      <c r="B7687" s="7">
        <v>1</v>
      </c>
      <c r="C7687" s="7" t="s">
        <v>10</v>
      </c>
      <c r="D7687" s="7">
        <v>8638</v>
      </c>
      <c r="E7687" s="7" t="s">
        <v>18</v>
      </c>
      <c r="F7687" s="8" t="str">
        <f ca="1">IFERROR(__xludf.DUMMYFUNCTION("IF
(
C7688=""фізична особа""
,
VLOOKUP(D7688,IMPORTRANGE(""https://docs.google.com/spreadsheets/d/14Bd19lYaqBhU8_DElYkX7l4wRkHqqCUFNJY4AfY3kHU/edit?usp=sharing  #gid=0"",""фіз особи new!relations_name""),6,FALSE)
,
(IF
(
C7688=""юридична особа""
,
VLOOKUP"&amp;"(D7688,IMPORTRANGE(""https://docs.google.com/spreadsheets/d/14Bd19lYaqBhU8_DElYkX7l4wRkHqqCUFNJY4AfY3kHU/edit?usp=sharing  #gid=0"",""фіз особи new!relations_name_uo""),7,FALSE)
,
)
))"),"ГЕРЕМЄЄВ Ваха Садулайович")</f>
        <v>ГЕРЕМЄЄВ Ваха Садулайович</v>
      </c>
      <c r="G7687" s="7" t="s">
        <v>10</v>
      </c>
      <c r="H7687" s="7">
        <v>740</v>
      </c>
      <c r="I7687" s="8" t="str">
        <f ca="1">IFERROR(__xludf.DUMMYFUNCTION("IF
(
G7688=""фізична особа""
,
VLOOKUP(H7688,IMPORTRANGE(""https://docs.google.com/spreadsheets/d/14Bd19lYaqBhU8_DElYkX7l4wRkHqqCUFNJY4AfY3kHU/edit?usp=sharing  #gid=0"",""фіз особи new!relations_name""),6,FALSE)
,
(IF
(
G7688=""юридична особа""
,
VLOOKUP"&amp;"(H7688,IMPORTRANGE(""https://docs.google.com/spreadsheets/d/14Bd19lYaqBhU8_DElYkX7l4wRkHqqCUFNJY4AfY3kHU/edit?usp=sharing  #gid=0"",""фіз особи new!relations_name_uo""),7,FALSE)
,
)
))"),"ГЄРЄМЄЄВ Сулейман Садулайович")</f>
        <v>ГЄРЄМЄЄВ Сулейман Садулайович</v>
      </c>
      <c r="J7687" s="7" t="s">
        <v>18</v>
      </c>
    </row>
    <row r="7688" spans="1:10" ht="13.2">
      <c r="A7688" s="7">
        <v>7687</v>
      </c>
      <c r="B7688" s="7">
        <v>1</v>
      </c>
      <c r="C7688" s="7" t="s">
        <v>10</v>
      </c>
      <c r="D7688" s="7">
        <v>8638</v>
      </c>
      <c r="E7688" s="7" t="s">
        <v>18</v>
      </c>
      <c r="F7688" s="8" t="str">
        <f ca="1">IFERROR(__xludf.DUMMYFUNCTION("IF
(
C7689=""фізична особа""
,
VLOOKUP(D7689,IMPORTRANGE(""https://docs.google.com/spreadsheets/d/14Bd19lYaqBhU8_DElYkX7l4wRkHqqCUFNJY4AfY3kHU/edit?usp=sharing  #gid=0"",""фіз особи new!relations_name""),6,FALSE)
,
(IF
(
C7689=""юридична особа""
,
VLOOKUP"&amp;"(D7689,IMPORTRANGE(""https://docs.google.com/spreadsheets/d/14Bd19lYaqBhU8_DElYkX7l4wRkHqqCUFNJY4AfY3kHU/edit?usp=sharing  #gid=0"",""фіз особи new!relations_name_uo""),7,FALSE)
,
)
))"),"ГЕРЕМЄЄВ Ваха Садулайович")</f>
        <v>ГЕРЕМЄЄВ Ваха Садулайович</v>
      </c>
      <c r="G7688" s="7" t="s">
        <v>10</v>
      </c>
      <c r="H7688" s="7">
        <v>0</v>
      </c>
      <c r="I7688" s="8" t="str">
        <f ca="1">IFERROR(__xludf.DUMMYFUNCTION("IF
(
G7689=""фізична особа""
,
VLOOKUP(H7689,IMPORTRANGE(""https://docs.google.com/spreadsheets/d/14Bd19lYaqBhU8_DElYkX7l4wRkHqqCUFNJY4AfY3kHU/edit?usp=sharing  #gid=0"",""фіз особи new!relations_name""),6,FALSE)
,
(IF
(
G7689=""юридична особа""
,
VLOOKUP"&amp;"(H7689,IMPORTRANGE(""https://docs.google.com/spreadsheets/d/14Bd19lYaqBhU8_DElYkX7l4wRkHqqCUFNJY4AfY3kHU/edit?usp=sharing  #gid=0"",""фіз особи new!relations_name_uo""),7,FALSE)
,
)
))"),"#N/A")</f>
        <v>#N/A</v>
      </c>
      <c r="J7688" s="7" t="s">
        <v>18</v>
      </c>
    </row>
    <row r="7689" spans="1:10" ht="13.2">
      <c r="A7689" s="7">
        <v>7688</v>
      </c>
      <c r="B7689" s="7">
        <v>1</v>
      </c>
      <c r="C7689" s="7" t="s">
        <v>10</v>
      </c>
      <c r="D7689" s="7">
        <v>8638</v>
      </c>
      <c r="E7689" s="7" t="s">
        <v>18</v>
      </c>
      <c r="F7689" s="8" t="str">
        <f ca="1">IFERROR(__xludf.DUMMYFUNCTION("IF
(
C7690=""фізична особа""
,
VLOOKUP(D7690,IMPORTRANGE(""https://docs.google.com/spreadsheets/d/14Bd19lYaqBhU8_DElYkX7l4wRkHqqCUFNJY4AfY3kHU/edit?usp=sharing  #gid=0"",""фіз особи new!relations_name""),6,FALSE)
,
(IF
(
C7690=""юридична особа""
,
VLOOKUP"&amp;"(D7690,IMPORTRANGE(""https://docs.google.com/spreadsheets/d/14Bd19lYaqBhU8_DElYkX7l4wRkHqqCUFNJY4AfY3kHU/edit?usp=sharing  #gid=0"",""фіз особи new!relations_name_uo""),7,FALSE)
,
)
))"),"ГЕРЕМЄЄВ Ваха Садулайович")</f>
        <v>ГЕРЕМЄЄВ Ваха Садулайович</v>
      </c>
      <c r="G7689" s="7" t="s">
        <v>10</v>
      </c>
      <c r="H7689" s="7">
        <v>0</v>
      </c>
      <c r="I7689" s="8" t="str">
        <f ca="1">IFERROR(__xludf.DUMMYFUNCTION("IF
(
G7690=""фізична особа""
,
VLOOKUP(H7690,IMPORTRANGE(""https://docs.google.com/spreadsheets/d/14Bd19lYaqBhU8_DElYkX7l4wRkHqqCUFNJY4AfY3kHU/edit?usp=sharing  #gid=0"",""фіз особи new!relations_name""),6,FALSE)
,
(IF
(
G7690=""юридична особа""
,
VLOOKUP"&amp;"(H7690,IMPORTRANGE(""https://docs.google.com/spreadsheets/d/14Bd19lYaqBhU8_DElYkX7l4wRkHqqCUFNJY4AfY3kHU/edit?usp=sharing  #gid=0"",""фіз особи new!relations_name_uo""),7,FALSE)
,
)
))"),"#N/A")</f>
        <v>#N/A</v>
      </c>
      <c r="J7689" s="7" t="s">
        <v>18</v>
      </c>
    </row>
    <row r="7690" spans="1:10" ht="13.2">
      <c r="A7690" s="7">
        <v>7689</v>
      </c>
      <c r="B7690" s="7">
        <v>1</v>
      </c>
      <c r="C7690" s="7" t="s">
        <v>10</v>
      </c>
      <c r="D7690" s="7">
        <v>8638</v>
      </c>
      <c r="E7690" s="7" t="s">
        <v>28</v>
      </c>
      <c r="F7690" s="8" t="str">
        <f ca="1">IFERROR(__xludf.DUMMYFUNCTION("IF
(
C7691=""фізична особа""
,
VLOOKUP(D7691,IMPORTRANGE(""https://docs.google.com/spreadsheets/d/14Bd19lYaqBhU8_DElYkX7l4wRkHqqCUFNJY4AfY3kHU/edit?usp=sharing  #gid=0"",""фіз особи new!relations_name""),6,FALSE)
,
(IF
(
C7691=""юридична особа""
,
VLOOKUP"&amp;"(D7691,IMPORTRANGE(""https://docs.google.com/spreadsheets/d/14Bd19lYaqBhU8_DElYkX7l4wRkHqqCUFNJY4AfY3kHU/edit?usp=sharing  #gid=0"",""фіз особи new!relations_name_uo""),7,FALSE)
,
)
))"),"ГЕРЕМЄЄВ Ваха Садулайович")</f>
        <v>ГЕРЕМЄЄВ Ваха Садулайович</v>
      </c>
      <c r="G7690" s="7" t="s">
        <v>10</v>
      </c>
      <c r="H7690" s="7">
        <v>609</v>
      </c>
      <c r="I7690" s="8" t="str">
        <f ca="1">IFERROR(__xludf.DUMMYFUNCTION("IF
(
G7691=""фізична особа""
,
VLOOKUP(H7691,IMPORTRANGE(""https://docs.google.com/spreadsheets/d/14Bd19lYaqBhU8_DElYkX7l4wRkHqqCUFNJY4AfY3kHU/edit?usp=sharing  #gid=0"",""фіз особи new!relations_name""),6,FALSE)
,
(IF
(
G7691=""юридична особа""
,
VLOOKUP"&amp;"(H7691,IMPORTRANGE(""https://docs.google.com/spreadsheets/d/14Bd19lYaqBhU8_DElYkX7l4wRkHqqCUFNJY4AfY3kHU/edit?usp=sharing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7690" s="7" t="s">
        <v>29</v>
      </c>
    </row>
    <row r="7691" spans="1:10" ht="13.2">
      <c r="A7691" s="7">
        <v>7690</v>
      </c>
      <c r="B7691" s="7">
        <v>1</v>
      </c>
      <c r="C7691" s="7" t="s">
        <v>10</v>
      </c>
      <c r="D7691" s="7">
        <v>8639</v>
      </c>
      <c r="E7691" s="7" t="s">
        <v>14</v>
      </c>
      <c r="F7691" s="8" t="str">
        <f ca="1">IFERROR(__xludf.DUMMYFUNCTION("IF
(
C7692=""фізична особа""
,
VLOOKUP(D7692,IMPORTRANGE(""https://docs.google.com/spreadsheets/d/14Bd19lYaqBhU8_DElYkX7l4wRkHqqCUFNJY4AfY3kHU/edit?usp=sharing  #gid=0"",""фіз особи new!relations_name""),6,FALSE)
,
(IF
(
C7692=""юридична особа""
,
VLOOKUP"&amp;"(D7692,IMPORTRANGE(""https://docs.google.com/spreadsheets/d/14Bd19lYaqBhU8_DElYkX7l4wRkHqqCUFNJY4AfY3kHU/edit?usp=sharing  #gid=0"",""фіз особи new!relations_name_uo""),7,FALSE)
,
)
))"),"ГОРЯЧЕВ Леонід Васильович")</f>
        <v>ГОРЯЧЕВ Леонід Васильович</v>
      </c>
      <c r="G7691" s="7" t="s">
        <v>10</v>
      </c>
      <c r="H7691" s="7">
        <v>746</v>
      </c>
      <c r="I7691" s="8" t="str">
        <f ca="1">IFERROR(__xludf.DUMMYFUNCTION("IF
(
G7692=""фізична особа""
,
VLOOKUP(H7692,IMPORTRANGE(""https://docs.google.com/spreadsheets/d/14Bd19lYaqBhU8_DElYkX7l4wRkHqqCUFNJY4AfY3kHU/edit?usp=sharing  #gid=0"",""фіз особи new!relations_name""),6,FALSE)
,
(IF
(
G7692=""юридична особа""
,
VLOOKUP"&amp;"(H7692,IMPORTRANGE(""https://docs.google.com/spreadsheets/d/14Bd19lYaqBhU8_DElYkX7l4wRkHqqCUFNJY4AfY3kHU/edit?usp=sharing  #gid=0"",""фіз особи new!relations_name_uo""),7,FALSE)
,
)
))"),"ГОРЯЧЄВА Світлана Петрівна")</f>
        <v>ГОРЯЧЄВА Світлана Петрівна</v>
      </c>
      <c r="J7691" s="7" t="s">
        <v>15</v>
      </c>
    </row>
    <row r="7692" spans="1:10" ht="13.2">
      <c r="A7692" s="7">
        <v>7691</v>
      </c>
      <c r="B7692" s="7">
        <v>1</v>
      </c>
      <c r="C7692" s="7" t="s">
        <v>10</v>
      </c>
      <c r="D7692" s="7">
        <v>8639</v>
      </c>
      <c r="E7692" s="7" t="s">
        <v>12</v>
      </c>
      <c r="F7692" s="8" t="str">
        <f ca="1">IFERROR(__xludf.DUMMYFUNCTION("IF
(
C7693=""фізична особа""
,
VLOOKUP(D7693,IMPORTRANGE(""https://docs.google.com/spreadsheets/d/14Bd19lYaqBhU8_DElYkX7l4wRkHqqCUFNJY4AfY3kHU/edit?usp=sharing  #gid=0"",""фіз особи new!relations_name""),6,FALSE)
,
(IF
(
C7693=""юридична особа""
,
VLOOKUP"&amp;"(D7693,IMPORTRANGE(""https://docs.google.com/spreadsheets/d/14Bd19lYaqBhU8_DElYkX7l4wRkHqqCUFNJY4AfY3kHU/edit?usp=sharing  #gid=0"",""фіз особи new!relations_name_uo""),7,FALSE)
,
)
))"),"ГОРЯЧЕВ Леонід Васильович")</f>
        <v>ГОРЯЧЕВ Леонід Васильович</v>
      </c>
      <c r="G7692" s="7" t="s">
        <v>10</v>
      </c>
      <c r="H7692" s="7">
        <v>0</v>
      </c>
      <c r="I7692" s="8" t="str">
        <f ca="1">IFERROR(__xludf.DUMMYFUNCTION("IF
(
G7693=""фізична особа""
,
VLOOKUP(H7693,IMPORTRANGE(""https://docs.google.com/spreadsheets/d/14Bd19lYaqBhU8_DElYkX7l4wRkHqqCUFNJY4AfY3kHU/edit?usp=sharing  #gid=0"",""фіз особи new!relations_name""),6,FALSE)
,
(IF
(
G7693=""юридична особа""
,
VLOOKUP"&amp;"(H7693,IMPORTRANGE(""https://docs.google.com/spreadsheets/d/14Bd19lYaqBhU8_DElYkX7l4wRkHqqCUFNJY4AfY3kHU/edit?usp=sharing  #gid=0"",""фіз особи new!relations_name_uo""),7,FALSE)
,
)
))"),"#N/A")</f>
        <v>#N/A</v>
      </c>
      <c r="J7692" s="7" t="s">
        <v>17</v>
      </c>
    </row>
    <row r="7693" spans="1:10" ht="13.2">
      <c r="A7693" s="7">
        <v>7692</v>
      </c>
      <c r="B7693" s="7">
        <v>1</v>
      </c>
      <c r="C7693" s="7" t="s">
        <v>10</v>
      </c>
      <c r="D7693" s="7">
        <v>8640</v>
      </c>
      <c r="E7693" s="7" t="s">
        <v>15</v>
      </c>
      <c r="F7693" s="8" t="str">
        <f ca="1">IFERROR(__xludf.DUMMYFUNCTION("IF
(
C7694=""фізична особа""
,
VLOOKUP(D7694,IMPORTRANGE(""https://docs.google.com/spreadsheets/d/14Bd19lYaqBhU8_DElYkX7l4wRkHqqCUFNJY4AfY3kHU/edit?usp=sharing  #gid=0"",""фіз особи new!relations_name""),6,FALSE)
,
(IF
(
C7694=""юридична особа""
,
VLOOKUP"&amp;"(D7694,IMPORTRANGE(""https://docs.google.com/spreadsheets/d/14Bd19lYaqBhU8_DElYkX7l4wRkHqqCUFNJY4AfY3kHU/edit?usp=sharing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G7693" s="7" t="s">
        <v>10</v>
      </c>
      <c r="H7693" s="7">
        <v>752</v>
      </c>
      <c r="I7693" s="8" t="str">
        <f ca="1">IFERROR(__xludf.DUMMYFUNCTION("IF
(
G7694=""фізична особа""
,
VLOOKUP(H7694,IMPORTRANGE(""https://docs.google.com/spreadsheets/d/14Bd19lYaqBhU8_DElYkX7l4wRkHqqCUFNJY4AfY3kHU/edit?usp=sharing  #gid=0"",""фіз особи new!relations_name""),6,FALSE)
,
(IF
(
G7694=""юридична особа""
,
VLOOKUP"&amp;"(H7694,IMPORTRANGE(""https://docs.google.com/spreadsheets/d/14Bd19lYaqBhU8_DElYkX7l4wRkHqqCUFNJY4AfY3kHU/edit?usp=sharing  #gid=0"",""фіз особи new!relations_name_uo""),7,FALSE)
,
)
))"),"МАМСУРОВ Таймураз Дзамбекович")</f>
        <v>МАМСУРОВ Таймураз Дзамбекович</v>
      </c>
      <c r="J7693" s="7" t="s">
        <v>14</v>
      </c>
    </row>
    <row r="7694" spans="1:10" ht="13.2">
      <c r="A7694" s="7">
        <v>7693</v>
      </c>
      <c r="B7694" s="7">
        <v>1</v>
      </c>
      <c r="C7694" s="7" t="s">
        <v>10</v>
      </c>
      <c r="D7694" s="7">
        <v>8640</v>
      </c>
      <c r="E7694" s="7" t="s">
        <v>21</v>
      </c>
      <c r="F7694" s="8" t="str">
        <f ca="1">IFERROR(__xludf.DUMMYFUNCTION("IF
(
C7695=""фізична особа""
,
VLOOKUP(D7695,IMPORTRANGE(""https://docs.google.com/spreadsheets/d/14Bd19lYaqBhU8_DElYkX7l4wRkHqqCUFNJY4AfY3kHU/edit?usp=sharing  #gid=0"",""фіз особи new!relations_name""),6,FALSE)
,
(IF
(
C7695=""юридична особа""
,
VLOOKUP"&amp;"(D7695,IMPORTRANGE(""https://docs.google.com/spreadsheets/d/14Bd19lYaqBhU8_DElYkX7l4wRkHqqCUFNJY4AfY3kHU/edit?usp=sharing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G7694" s="7" t="s">
        <v>10</v>
      </c>
      <c r="H7694" s="7">
        <v>0</v>
      </c>
      <c r="I7694" s="8" t="str">
        <f ca="1">IFERROR(__xludf.DUMMYFUNCTION("IF
(
G7695=""фізична особа""
,
VLOOKUP(H7695,IMPORTRANGE(""https://docs.google.com/spreadsheets/d/14Bd19lYaqBhU8_DElYkX7l4wRkHqqCUFNJY4AfY3kHU/edit?usp=sharing  #gid=0"",""фіз особи new!relations_name""),6,FALSE)
,
(IF
(
G7695=""юридична особа""
,
VLOOKUP"&amp;"(H7695,IMPORTRANGE(""https://docs.google.com/spreadsheets/d/14Bd19lYaqBhU8_DElYkX7l4wRkHqqCUFNJY4AfY3kHU/edit?usp=sharing  #gid=0"",""фіз особи new!relations_name_uo""),7,FALSE)
,
)
))"),"#N/A")</f>
        <v>#N/A</v>
      </c>
      <c r="J7694" s="7" t="s">
        <v>17</v>
      </c>
    </row>
    <row r="7695" spans="1:10" ht="13.2">
      <c r="A7695" s="7">
        <v>7694</v>
      </c>
      <c r="B7695" s="7">
        <v>1</v>
      </c>
      <c r="C7695" s="7" t="s">
        <v>10</v>
      </c>
      <c r="D7695" s="7">
        <v>8640</v>
      </c>
      <c r="E7695" s="7" t="s">
        <v>21</v>
      </c>
      <c r="F7695" s="8" t="str">
        <f ca="1">IFERROR(__xludf.DUMMYFUNCTION("IF
(
C7696=""фізична особа""
,
VLOOKUP(D7696,IMPORTRANGE(""https://docs.google.com/spreadsheets/d/14Bd19lYaqBhU8_DElYkX7l4wRkHqqCUFNJY4AfY3kHU/edit?usp=sharing  #gid=0"",""фіз особи new!relations_name""),6,FALSE)
,
(IF
(
C7696=""юридична особа""
,
VLOOKUP"&amp;"(D7696,IMPORTRANGE(""https://docs.google.com/spreadsheets/d/14Bd19lYaqBhU8_DElYkX7l4wRkHqqCUFNJY4AfY3kHU/edit?usp=sharing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G7695" s="7" t="s">
        <v>10</v>
      </c>
      <c r="H7695" s="7">
        <v>0</v>
      </c>
      <c r="I7695" s="8" t="str">
        <f ca="1">IFERROR(__xludf.DUMMYFUNCTION("IF
(
G7696=""фізична особа""
,
VLOOKUP(H7696,IMPORTRANGE(""https://docs.google.com/spreadsheets/d/14Bd19lYaqBhU8_DElYkX7l4wRkHqqCUFNJY4AfY3kHU/edit?usp=sharing  #gid=0"",""фіз особи new!relations_name""),6,FALSE)
,
(IF
(
G7696=""юридична особа""
,
VLOOKUP"&amp;"(H7696,IMPORTRANGE(""https://docs.google.com/spreadsheets/d/14Bd19lYaqBhU8_DElYkX7l4wRkHqqCUFNJY4AfY3kHU/edit?usp=sharing  #gid=0"",""фіз особи new!relations_name_uo""),7,FALSE)
,
)
))"),"#N/A")</f>
        <v>#N/A</v>
      </c>
      <c r="J7695" s="7" t="s">
        <v>13</v>
      </c>
    </row>
    <row r="7696" spans="1:10" ht="13.2">
      <c r="A7696" s="7">
        <v>7695</v>
      </c>
      <c r="B7696" s="7">
        <v>1</v>
      </c>
      <c r="C7696" s="7" t="s">
        <v>10</v>
      </c>
      <c r="D7696" s="7">
        <v>8640</v>
      </c>
      <c r="E7696" s="7" t="s">
        <v>21</v>
      </c>
      <c r="F7696" s="8" t="str">
        <f ca="1">IFERROR(__xludf.DUMMYFUNCTION("IF
(
C7697=""фізична особа""
,
VLOOKUP(D7697,IMPORTRANGE(""https://docs.google.com/spreadsheets/d/14Bd19lYaqBhU8_DElYkX7l4wRkHqqCUFNJY4AfY3kHU/edit?usp=sharing  #gid=0"",""фіз особи new!relations_name""),6,FALSE)
,
(IF
(
C7697=""юридична особа""
,
VLOOKUP"&amp;"(D7697,IMPORTRANGE(""https://docs.google.com/spreadsheets/d/14Bd19lYaqBhU8_DElYkX7l4wRkHqqCUFNJY4AfY3kHU/edit?usp=sharing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G7696" s="7" t="s">
        <v>10</v>
      </c>
      <c r="H7696" s="7">
        <v>0</v>
      </c>
      <c r="I7696" s="8" t="str">
        <f ca="1">IFERROR(__xludf.DUMMYFUNCTION("IF
(
G7697=""фізична особа""
,
VLOOKUP(H7697,IMPORTRANGE(""https://docs.google.com/spreadsheets/d/14Bd19lYaqBhU8_DElYkX7l4wRkHqqCUFNJY4AfY3kHU/edit?usp=sharing  #gid=0"",""фіз особи new!relations_name""),6,FALSE)
,
(IF
(
G7697=""юридична особа""
,
VLOOKUP"&amp;"(H7697,IMPORTRANGE(""https://docs.google.com/spreadsheets/d/14Bd19lYaqBhU8_DElYkX7l4wRkHqqCUFNJY4AfY3kHU/edit?usp=sharing  #gid=0"",""фіз особи new!relations_name_uo""),7,FALSE)
,
)
))"),"#N/A")</f>
        <v>#N/A</v>
      </c>
      <c r="J7696" s="7" t="s">
        <v>13</v>
      </c>
    </row>
    <row r="7697" spans="1:10" ht="13.2">
      <c r="A7697" s="7">
        <v>7696</v>
      </c>
      <c r="B7697" s="7">
        <v>1</v>
      </c>
      <c r="C7697" s="7" t="s">
        <v>10</v>
      </c>
      <c r="D7697" s="7">
        <v>8640</v>
      </c>
      <c r="E7697" s="7" t="s">
        <v>21</v>
      </c>
      <c r="F7697" s="8" t="str">
        <f ca="1">IFERROR(__xludf.DUMMYFUNCTION("IF
(
C7698=""фізична особа""
,
VLOOKUP(D7698,IMPORTRANGE(""https://docs.google.com/spreadsheets/d/14Bd19lYaqBhU8_DElYkX7l4wRkHqqCUFNJY4AfY3kHU/edit?usp=sharing  #gid=0"",""фіз особи new!relations_name""),6,FALSE)
,
(IF
(
C7698=""юридична особа""
,
VLOOKUP"&amp;"(D7698,IMPORTRANGE(""https://docs.google.com/spreadsheets/d/14Bd19lYaqBhU8_DElYkX7l4wRkHqqCUFNJY4AfY3kHU/edit?usp=sharing  #gid=0"",""фіз особи new!relations_name_uo""),7,FALSE)
,
)
))"),"МАМСУРОВА Лариса Габоціївна")</f>
        <v>МАМСУРОВА Лариса Габоціївна</v>
      </c>
      <c r="G7697" s="7" t="s">
        <v>10</v>
      </c>
      <c r="H7697" s="7">
        <v>0</v>
      </c>
      <c r="I7697" s="8" t="str">
        <f ca="1">IFERROR(__xludf.DUMMYFUNCTION("IF
(
G7698=""фізична особа""
,
VLOOKUP(H7698,IMPORTRANGE(""https://docs.google.com/spreadsheets/d/14Bd19lYaqBhU8_DElYkX7l4wRkHqqCUFNJY4AfY3kHU/edit?usp=sharing  #gid=0"",""фіз особи new!relations_name""),6,FALSE)
,
(IF
(
G7698=""юридична особа""
,
VLOOKUP"&amp;"(H7698,IMPORTRANGE(""https://docs.google.com/spreadsheets/d/14Bd19lYaqBhU8_DElYkX7l4wRkHqqCUFNJY4AfY3kHU/edit?usp=sharing  #gid=0"",""фіз особи new!relations_name_uo""),7,FALSE)
,
)
))"),"#N/A")</f>
        <v>#N/A</v>
      </c>
      <c r="J7697" s="7" t="s">
        <v>13</v>
      </c>
    </row>
    <row r="7698" spans="1:10" ht="13.2">
      <c r="A7698" s="7">
        <v>7697</v>
      </c>
      <c r="B7698" s="7">
        <v>1</v>
      </c>
      <c r="C7698" s="7" t="s">
        <v>10</v>
      </c>
      <c r="D7698" s="7">
        <v>8641</v>
      </c>
      <c r="E7698" s="7" t="s">
        <v>15</v>
      </c>
      <c r="F7698" s="8" t="str">
        <f ca="1">IFERROR(__xludf.DUMMYFUNCTION("IF
(
C7699=""фізична особа""
,
VLOOKUP(D7699,IMPORTRANGE(""https://docs.google.com/spreadsheets/d/14Bd19lYaqBhU8_DElYkX7l4wRkHqqCUFNJY4AfY3kHU/edit?usp=sharing  #gid=0"",""фіз особи new!relations_name""),6,FALSE)
,
(IF
(
C7699=""юридична особа""
,
VLOOKUP"&amp;"(D7699,IMPORTRANGE(""https://docs.google.com/spreadsheets/d/14Bd19lYaqBhU8_DElYkX7l4wRkHqqCUFNJY4AfY3kHU/edit?usp=sharing  #gid=0"",""фіз особи new!relations_name_uo""),7,FALSE)
,
)
))"),"ДЕНЬГІНА Наталія")</f>
        <v>ДЕНЬГІНА Наталія</v>
      </c>
      <c r="G7698" s="7" t="s">
        <v>10</v>
      </c>
      <c r="H7698" s="7">
        <v>787</v>
      </c>
      <c r="I7698" s="8" t="str">
        <f ca="1">IFERROR(__xludf.DUMMYFUNCTION("IF
(
G7699=""фізична особа""
,
VLOOKUP(H7699,IMPORTRANGE(""https://docs.google.com/spreadsheets/d/14Bd19lYaqBhU8_DElYkX7l4wRkHqqCUFNJY4AfY3kHU/edit?usp=sharing  #gid=0"",""фіз особи new!relations_name""),6,FALSE)
,
(IF
(
G7699=""юридична особа""
,
VLOOKUP"&amp;"(H7699,IMPORTRANGE(""https://docs.google.com/spreadsheets/d/14Bd19lYaqBhU8_DElYkX7l4wRkHqqCUFNJY4AfY3kHU/edit?usp=sharing  #gid=0"",""фіз особи new!relations_name_uo""),7,FALSE)
,
)
))"),"ДЄНЬГІН Вадим Євгенович")</f>
        <v>ДЄНЬГІН Вадим Євгенович</v>
      </c>
      <c r="J7698" s="7" t="s">
        <v>14</v>
      </c>
    </row>
    <row r="7699" spans="1:10" ht="13.2">
      <c r="A7699" s="7">
        <v>7698</v>
      </c>
      <c r="B7699" s="7">
        <v>1</v>
      </c>
      <c r="C7699" s="7" t="s">
        <v>10</v>
      </c>
      <c r="D7699" s="7">
        <v>8642</v>
      </c>
      <c r="E7699" s="7" t="s">
        <v>15</v>
      </c>
      <c r="F7699" s="8" t="str">
        <f ca="1">IFERROR(__xludf.DUMMYFUNCTION("IF
(
C7700=""фізична особа""
,
VLOOKUP(D7700,IMPORTRANGE(""https://docs.google.com/spreadsheets/d/14Bd19lYaqBhU8_DElYkX7l4wRkHqqCUFNJY4AfY3kHU/edit?usp=sharing  #gid=0"",""фіз особи new!relations_name""),6,FALSE)
,
(IF
(
C7700=""юридична особа""
,
VLOOKUP"&amp;"(D7700,IMPORTRANGE(""https://docs.google.com/spreadsheets/d/14Bd19lYaqBhU8_DElYkX7l4wRkHqqCUFNJY4AfY3kHU/edit?usp=sharing  #gid=0"",""фіз особи new!relations_name_uo""),7,FALSE)
,
)
))"),"ПОРТНОВА Юлія Володимирівна")</f>
        <v>ПОРТНОВА Юлія Володимирівна</v>
      </c>
      <c r="G7699" s="7" t="s">
        <v>10</v>
      </c>
      <c r="H7699" s="7">
        <v>798</v>
      </c>
      <c r="I7699" s="8" t="str">
        <f ca="1">IFERROR(__xludf.DUMMYFUNCTION("IF
(
G7700=""фізична особа""
,
VLOOKUP(H7700,IMPORTRANGE(""https://docs.google.com/spreadsheets/d/14Bd19lYaqBhU8_DElYkX7l4wRkHqqCUFNJY4AfY3kHU/edit?usp=sharing  #gid=0"",""фіз особи new!relations_name""),6,FALSE)
,
(IF
(
G7700=""юридична особа""
,
VLOOKUP"&amp;"(H7700,IMPORTRANGE(""https://docs.google.com/spreadsheets/d/14Bd19lYaqBhU8_DElYkX7l4wRkHqqCUFNJY4AfY3kHU/edit?usp=sharing  #gid=0"",""фіз особи new!relations_name_uo""),7,FALSE)
,
)
))"),"ВАСИЛЬЄВ Валерій Миколайович")</f>
        <v>ВАСИЛЬЄВ Валерій Миколайович</v>
      </c>
      <c r="J7699" s="7" t="s">
        <v>14</v>
      </c>
    </row>
    <row r="7700" spans="1:10" ht="13.2">
      <c r="A7700" s="7">
        <v>7699</v>
      </c>
      <c r="B7700" s="7">
        <v>1</v>
      </c>
      <c r="C7700" s="7" t="s">
        <v>10</v>
      </c>
      <c r="D7700" s="7">
        <v>8643</v>
      </c>
      <c r="E7700" s="7" t="s">
        <v>15</v>
      </c>
      <c r="F7700" s="8" t="str">
        <f ca="1">IFERROR(__xludf.DUMMYFUNCTION("IF
(
C7701=""фізична особа""
,
VLOOKUP(D7701,IMPORTRANGE(""https://docs.google.com/spreadsheets/d/14Bd19lYaqBhU8_DElYkX7l4wRkHqqCUFNJY4AfY3kHU/edit?usp=sharing  #gid=0"",""фіз особи new!relations_name""),6,FALSE)
,
(IF
(
C7701=""юридична особа""
,
VLOOKUP"&amp;"(D7701,IMPORTRANGE(""https://docs.google.com/spreadsheets/d/14Bd19lYaqBhU8_DElYkX7l4wRkHqqCUFNJY4AfY3kHU/edit?usp=sharing  #gid=0"",""фіз особи new!relations_name_uo""),7,FALSE)
,
)
))"),"НОВОЖИЛОВА Тетяна Миколаївна")</f>
        <v>НОВОЖИЛОВА Тетяна Миколаївна</v>
      </c>
      <c r="G7700" s="7" t="s">
        <v>10</v>
      </c>
      <c r="H7700" s="7">
        <v>819</v>
      </c>
      <c r="I7700" s="8" t="str">
        <f ca="1">IFERROR(__xludf.DUMMYFUNCTION("IF
(
G7701=""фізична особа""
,
VLOOKUP(H7701,IMPORTRANGE(""https://docs.google.com/spreadsheets/d/14Bd19lYaqBhU8_DElYkX7l4wRkHqqCUFNJY4AfY3kHU/edit?usp=sharing  #gid=0"",""фіз особи new!relations_name""),6,FALSE)
,
(IF
(
G7701=""юридична особа""
,
VLOOKUP"&amp;"(H7701,IMPORTRANGE(""https://docs.google.com/spreadsheets/d/14Bd19lYaqBhU8_DElYkX7l4wRkHqqCUFNJY4AfY3kHU/edit?usp=sharing  #gid=0"",""фіз особи new!relations_name_uo""),7,FALSE)
,
)
))"),"НОВОЖИЛОВ Віктор Феодосійович")</f>
        <v>НОВОЖИЛОВ Віктор Феодосійович</v>
      </c>
      <c r="J7700" s="7" t="s">
        <v>14</v>
      </c>
    </row>
    <row r="7701" spans="1:10" ht="13.2">
      <c r="A7701" s="7">
        <v>7700</v>
      </c>
      <c r="B7701" s="7">
        <v>1</v>
      </c>
      <c r="C7701" s="7" t="s">
        <v>10</v>
      </c>
      <c r="D7701" s="7">
        <v>8643</v>
      </c>
      <c r="E7701" s="7" t="s">
        <v>21</v>
      </c>
      <c r="F7701" s="8" t="str">
        <f ca="1">IFERROR(__xludf.DUMMYFUNCTION("IF
(
C7702=""фізична особа""
,
VLOOKUP(D7702,IMPORTRANGE(""https://docs.google.com/spreadsheets/d/14Bd19lYaqBhU8_DElYkX7l4wRkHqqCUFNJY4AfY3kHU/edit?usp=sharing  #gid=0"",""фіз особи new!relations_name""),6,FALSE)
,
(IF
(
C7702=""юридична особа""
,
VLOOKUP"&amp;"(D7702,IMPORTRANGE(""https://docs.google.com/spreadsheets/d/14Bd19lYaqBhU8_DElYkX7l4wRkHqqCUFNJY4AfY3kHU/edit?usp=sharing  #gid=0"",""фіз особи new!relations_name_uo""),7,FALSE)
,
)
))"),"НОВОЖИЛОВА Тетяна Миколаївна")</f>
        <v>НОВОЖИЛОВА Тетяна Миколаївна</v>
      </c>
      <c r="G7701" s="7" t="s">
        <v>10</v>
      </c>
      <c r="H7701" s="7">
        <v>0</v>
      </c>
      <c r="I7701" s="8" t="str">
        <f ca="1">IFERROR(__xludf.DUMMYFUNCTION("IF
(
G7702=""фізична особа""
,
VLOOKUP(H7702,IMPORTRANGE(""https://docs.google.com/spreadsheets/d/14Bd19lYaqBhU8_DElYkX7l4wRkHqqCUFNJY4AfY3kHU/edit?usp=sharing  #gid=0"",""фіз особи new!relations_name""),6,FALSE)
,
(IF
(
G7702=""юридична особа""
,
VLOOKUP"&amp;"(H7702,IMPORTRANGE(""https://docs.google.com/spreadsheets/d/14Bd19lYaqBhU8_DElYkX7l4wRkHqqCUFNJY4AfY3kHU/edit?usp=sharing  #gid=0"",""фіз особи new!relations_name_uo""),7,FALSE)
,
)
))"),"#N/A")</f>
        <v>#N/A</v>
      </c>
      <c r="J7701" s="7" t="s">
        <v>13</v>
      </c>
    </row>
    <row r="7702" spans="1:10" ht="13.2">
      <c r="A7702" s="7">
        <v>7701</v>
      </c>
      <c r="B7702" s="7">
        <v>1</v>
      </c>
      <c r="C7702" s="7" t="s">
        <v>10</v>
      </c>
      <c r="D7702" s="7">
        <v>8643</v>
      </c>
      <c r="E7702" s="7" t="s">
        <v>21</v>
      </c>
      <c r="F7702" s="8" t="str">
        <f ca="1">IFERROR(__xludf.DUMMYFUNCTION("IF
(
C7703=""фізична особа""
,
VLOOKUP(D7703,IMPORTRANGE(""https://docs.google.com/spreadsheets/d/14Bd19lYaqBhU8_DElYkX7l4wRkHqqCUFNJY4AfY3kHU/edit?usp=sharing  #gid=0"",""фіз особи new!relations_name""),6,FALSE)
,
(IF
(
C7703=""юридична особа""
,
VLOOKUP"&amp;"(D7703,IMPORTRANGE(""https://docs.google.com/spreadsheets/d/14Bd19lYaqBhU8_DElYkX7l4wRkHqqCUFNJY4AfY3kHU/edit?usp=sharing  #gid=0"",""фіз особи new!relations_name_uo""),7,FALSE)
,
)
))"),"НОВОЖИЛОВА Тетяна Миколаївна")</f>
        <v>НОВОЖИЛОВА Тетяна Миколаївна</v>
      </c>
      <c r="G7702" s="7" t="s">
        <v>10</v>
      </c>
      <c r="H7702" s="7">
        <v>23454</v>
      </c>
      <c r="I7702" s="8" t="str">
        <f ca="1">IFERROR(__xludf.DUMMYFUNCTION("IF
(
G7703=""фізична особа""
,
VLOOKUP(H7703,IMPORTRANGE(""https://docs.google.com/spreadsheets/d/14Bd19lYaqBhU8_DElYkX7l4wRkHqqCUFNJY4AfY3kHU/edit?usp=sharing  #gid=0"",""фіз особи new!relations_name""),6,FALSE)
,
(IF
(
G7703=""юридична особа""
,
VLOOKUP"&amp;"(H7703,IMPORTRANGE(""https://docs.google.com/spreadsheets/d/14Bd19lYaqBhU8_DElYkX7l4wRkHqqCUFNJY4AfY3kHU/edit?usp=sharing  #gid=0"",""фіз особи new!relations_name_uo""),7,FALSE)
,
)
))"),"НОВОЖИЛОВ Владислав Вікторович")</f>
        <v>НОВОЖИЛОВ Владислав Вікторович</v>
      </c>
      <c r="J7702" s="7" t="s">
        <v>17</v>
      </c>
    </row>
    <row r="7703" spans="1:10" ht="13.2">
      <c r="A7703" s="7">
        <v>7702</v>
      </c>
      <c r="B7703" s="7">
        <v>1</v>
      </c>
      <c r="C7703" s="7" t="s">
        <v>10</v>
      </c>
      <c r="D7703" s="7">
        <v>8643</v>
      </c>
      <c r="E7703" s="7" t="s">
        <v>21</v>
      </c>
      <c r="F7703" s="8" t="str">
        <f ca="1">IFERROR(__xludf.DUMMYFUNCTION("IF
(
C7704=""фізична особа""
,
VLOOKUP(D7704,IMPORTRANGE(""https://docs.google.com/spreadsheets/d/14Bd19lYaqBhU8_DElYkX7l4wRkHqqCUFNJY4AfY3kHU/edit?usp=sharing  #gid=0"",""фіз особи new!relations_name""),6,FALSE)
,
(IF
(
C7704=""юридична особа""
,
VLOOKUP"&amp;"(D7704,IMPORTRANGE(""https://docs.google.com/spreadsheets/d/14Bd19lYaqBhU8_DElYkX7l4wRkHqqCUFNJY4AfY3kHU/edit?usp=sharing  #gid=0"",""фіз особи new!relations_name_uo""),7,FALSE)
,
)
))"),"НОВОЖИЛОВА Тетяна Миколаївна")</f>
        <v>НОВОЖИЛОВА Тетяна Миколаївна</v>
      </c>
      <c r="G7703" s="7" t="s">
        <v>10</v>
      </c>
      <c r="H7703" s="7">
        <v>0</v>
      </c>
      <c r="I7703" s="8" t="str">
        <f ca="1">IFERROR(__xludf.DUMMYFUNCTION("IF
(
G7704=""фізична особа""
,
VLOOKUP(H7704,IMPORTRANGE(""https://docs.google.com/spreadsheets/d/14Bd19lYaqBhU8_DElYkX7l4wRkHqqCUFNJY4AfY3kHU/edit?usp=sharing  #gid=0"",""фіз особи new!relations_name""),6,FALSE)
,
(IF
(
G7704=""юридична особа""
,
VLOOKUP"&amp;"(H7704,IMPORTRANGE(""https://docs.google.com/spreadsheets/d/14Bd19lYaqBhU8_DElYkX7l4wRkHqqCUFNJY4AfY3kHU/edit?usp=sharing  #gid=0"",""фіз особи new!relations_name_uo""),7,FALSE)
,
)
))"),"#N/A")</f>
        <v>#N/A</v>
      </c>
      <c r="J7703" s="7" t="s">
        <v>13</v>
      </c>
    </row>
    <row r="7704" spans="1:10" ht="13.2">
      <c r="A7704" s="7">
        <v>7703</v>
      </c>
      <c r="B7704" s="7">
        <v>1</v>
      </c>
      <c r="C7704" s="7" t="s">
        <v>10</v>
      </c>
      <c r="D7704" s="7">
        <v>8644</v>
      </c>
      <c r="E7704" s="7" t="s">
        <v>15</v>
      </c>
      <c r="F7704" s="8" t="str">
        <f ca="1">IFERROR(__xludf.DUMMYFUNCTION("IF
(
C7705=""фізична особа""
,
VLOOKUP(D7705,IMPORTRANGE(""https://docs.google.com/spreadsheets/d/14Bd19lYaqBhU8_DElYkX7l4wRkHqqCUFNJY4AfY3kHU/edit?usp=sharing  #gid=0"",""фіз особи new!relations_name""),6,FALSE)
,
(IF
(
C7705=""юридична особа""
,
VLOOKUP"&amp;"(D7705,IMPORTRANGE(""https://docs.google.com/spreadsheets/d/14Bd19lYaqBhU8_DElYkX7l4wRkHqqCUFNJY4AfY3kHU/edit?usp=sharing  #gid=0"",""фіз особи new!relations_name_uo""),7,FALSE)
,
)
))"),"ЗОБНЄВА Олена Олексіївна")</f>
        <v>ЗОБНЄВА Олена Олексіївна</v>
      </c>
      <c r="G7704" s="7" t="s">
        <v>10</v>
      </c>
      <c r="H7704" s="7">
        <v>827</v>
      </c>
      <c r="I7704" s="8" t="str">
        <f ca="1">IFERROR(__xludf.DUMMYFUNCTION("IF
(
G7705=""фізична особа""
,
VLOOKUP(H7705,IMPORTRANGE(""https://docs.google.com/spreadsheets/d/14Bd19lYaqBhU8_DElYkX7l4wRkHqqCUFNJY4AfY3kHU/edit?usp=sharing  #gid=0"",""фіз особи new!relations_name""),6,FALSE)
,
(IF
(
G7705=""юридична особа""
,
VLOOKUP"&amp;"(H7705,IMPORTRANGE(""https://docs.google.com/spreadsheets/d/14Bd19lYaqBhU8_DElYkX7l4wRkHqqCUFNJY4AfY3kHU/edit?usp=sharing  #gid=0"",""фіз особи new!relations_name_uo""),7,FALSE)
,
)
))"),"ЗОБНЄВ Віктор Вікторович")</f>
        <v>ЗОБНЄВ Віктор Вікторович</v>
      </c>
      <c r="J7704" s="7" t="s">
        <v>14</v>
      </c>
    </row>
    <row r="7705" spans="1:10" ht="13.2">
      <c r="A7705" s="7">
        <v>7704</v>
      </c>
      <c r="B7705" s="7">
        <v>1</v>
      </c>
      <c r="C7705" s="7" t="s">
        <v>10</v>
      </c>
      <c r="D7705" s="7">
        <v>8644</v>
      </c>
      <c r="E7705" s="7" t="s">
        <v>21</v>
      </c>
      <c r="F7705" s="8" t="str">
        <f ca="1">IFERROR(__xludf.DUMMYFUNCTION("IF
(
C7706=""фізична особа""
,
VLOOKUP(D7706,IMPORTRANGE(""https://docs.google.com/spreadsheets/d/14Bd19lYaqBhU8_DElYkX7l4wRkHqqCUFNJY4AfY3kHU/edit?usp=sharing  #gid=0"",""фіз особи new!relations_name""),6,FALSE)
,
(IF
(
C7706=""юридична особа""
,
VLOOKUP"&amp;"(D7706,IMPORTRANGE(""https://docs.google.com/spreadsheets/d/14Bd19lYaqBhU8_DElYkX7l4wRkHqqCUFNJY4AfY3kHU/edit?usp=sharing  #gid=0"",""фіз особи new!relations_name_uo""),7,FALSE)
,
)
))"),"ЗОБНЄВА Олена Олексіївна")</f>
        <v>ЗОБНЄВА Олена Олексіївна</v>
      </c>
      <c r="G7705" s="7" t="s">
        <v>10</v>
      </c>
      <c r="H7705" s="7">
        <v>23455</v>
      </c>
      <c r="I7705" s="8" t="str">
        <f ca="1">IFERROR(__xludf.DUMMYFUNCTION("IF
(
G7706=""фізична особа""
,
VLOOKUP(H7706,IMPORTRANGE(""https://docs.google.com/spreadsheets/d/14Bd19lYaqBhU8_DElYkX7l4wRkHqqCUFNJY4AfY3kHU/edit?usp=sharing  #gid=0"",""фіз особи new!relations_name""),6,FALSE)
,
(IF
(
G7706=""юридична особа""
,
VLOOKUP"&amp;"(H7706,IMPORTRANGE(""https://docs.google.com/spreadsheets/d/14Bd19lYaqBhU8_DElYkX7l4wRkHqqCUFNJY4AfY3kHU/edit?usp=sharing  #gid=0"",""фіз особи new!relations_name_uo""),7,FALSE)
,
)
))"),"ЗОБНЄВ Олексій Вікторович")</f>
        <v>ЗОБНЄВ Олексій Вікторович</v>
      </c>
      <c r="J7705" s="7" t="s">
        <v>17</v>
      </c>
    </row>
    <row r="7706" spans="1:10" ht="13.2">
      <c r="A7706" s="7">
        <v>7705</v>
      </c>
      <c r="B7706" s="7">
        <v>1</v>
      </c>
      <c r="C7706" s="7" t="s">
        <v>10</v>
      </c>
      <c r="D7706" s="7">
        <v>8644</v>
      </c>
      <c r="E7706" s="7" t="s">
        <v>21</v>
      </c>
      <c r="F7706" s="8" t="str">
        <f ca="1">IFERROR(__xludf.DUMMYFUNCTION("IF
(
C7707=""фізична особа""
,
VLOOKUP(D7707,IMPORTRANGE(""https://docs.google.com/spreadsheets/d/14Bd19lYaqBhU8_DElYkX7l4wRkHqqCUFNJY4AfY3kHU/edit?usp=sharing  #gid=0"",""фіз особи new!relations_name""),6,FALSE)
,
(IF
(
C7707=""юридична особа""
,
VLOOKUP"&amp;"(D7707,IMPORTRANGE(""https://docs.google.com/spreadsheets/d/14Bd19lYaqBhU8_DElYkX7l4wRkHqqCUFNJY4AfY3kHU/edit?usp=sharing  #gid=0"",""фіз особи new!relations_name_uo""),7,FALSE)
,
)
))"),"ЗОБНЄВА Олена Олексіївна")</f>
        <v>ЗОБНЄВА Олена Олексіївна</v>
      </c>
      <c r="G7706" s="7" t="s">
        <v>10</v>
      </c>
      <c r="H7706" s="7">
        <v>0</v>
      </c>
      <c r="I7706" s="8" t="str">
        <f ca="1">IFERROR(__xludf.DUMMYFUNCTION("IF
(
G7707=""фізична особа""
,
VLOOKUP(H7707,IMPORTRANGE(""https://docs.google.com/spreadsheets/d/14Bd19lYaqBhU8_DElYkX7l4wRkHqqCUFNJY4AfY3kHU/edit?usp=sharing  #gid=0"",""фіз особи new!relations_name""),6,FALSE)
,
(IF
(
G7707=""юридична особа""
,
VLOOKUP"&amp;"(H7707,IMPORTRANGE(""https://docs.google.com/spreadsheets/d/14Bd19lYaqBhU8_DElYkX7l4wRkHqqCUFNJY4AfY3kHU/edit?usp=sharing  #gid=0"",""фіз особи new!relations_name_uo""),7,FALSE)
,
)
))"),"#N/A")</f>
        <v>#N/A</v>
      </c>
      <c r="J7706" s="7" t="s">
        <v>13</v>
      </c>
    </row>
    <row r="7707" spans="1:10" ht="13.2">
      <c r="A7707" s="7">
        <v>7706</v>
      </c>
      <c r="B7707" s="7">
        <v>1</v>
      </c>
      <c r="C7707" s="7" t="s">
        <v>10</v>
      </c>
      <c r="D7707" s="7">
        <v>8645</v>
      </c>
      <c r="E7707" s="7" t="s">
        <v>15</v>
      </c>
      <c r="F7707" s="8" t="str">
        <f ca="1">IFERROR(__xludf.DUMMYFUNCTION("IF
(
C7708=""фізична особа""
,
VLOOKUP(D7708,IMPORTRANGE(""https://docs.google.com/spreadsheets/d/14Bd19lYaqBhU8_DElYkX7l4wRkHqqCUFNJY4AfY3kHU/edit?usp=sharing  #gid=0"",""фіз особи new!relations_name""),6,FALSE)
,
(IF
(
C7708=""юридична особа""
,
VLOOKUP"&amp;"(D7708,IMPORTRANGE(""https://docs.google.com/spreadsheets/d/14Bd19lYaqBhU8_DElYkX7l4wRkHqqCUFNJY4AfY3kHU/edit?usp=sharing  #gid=0"",""фіз особи new!relations_name_uo""),7,FALSE)
,
)
))"),"БРИКСІНА Світлана Юріївна")</f>
        <v>БРИКСІНА Світлана Юріївна</v>
      </c>
      <c r="G7707" s="7" t="s">
        <v>10</v>
      </c>
      <c r="H7707" s="7">
        <v>834</v>
      </c>
      <c r="I7707" s="8" t="str">
        <f ca="1">IFERROR(__xludf.DUMMYFUNCTION("IF
(
G7708=""фізична особа""
,
VLOOKUP(H7708,IMPORTRANGE(""https://docs.google.com/spreadsheets/d/14Bd19lYaqBhU8_DElYkX7l4wRkHqqCUFNJY4AfY3kHU/edit?usp=sharing  #gid=0"",""фіз особи new!relations_name""),6,FALSE)
,
(IF
(
G7708=""юридична особа""
,
VLOOKUP"&amp;"(H7708,IMPORTRANGE(""https://docs.google.com/spreadsheets/d/14Bd19lYaqBhU8_DElYkX7l4wRkHqqCUFNJY4AfY3kHU/edit?usp=sharing  #gid=0"",""фіз особи new!relations_name_uo""),7,FALSE)
,
)
))"),"БРИКСІН Олександр Юрійович")</f>
        <v>БРИКСІН Олександр Юрійович</v>
      </c>
      <c r="J7707" s="7" t="s">
        <v>14</v>
      </c>
    </row>
    <row r="7708" spans="1:10" ht="13.2">
      <c r="A7708" s="7">
        <v>7707</v>
      </c>
      <c r="B7708" s="7">
        <v>1</v>
      </c>
      <c r="C7708" s="7" t="s">
        <v>10</v>
      </c>
      <c r="D7708" s="7">
        <v>8645</v>
      </c>
      <c r="E7708" s="7" t="s">
        <v>21</v>
      </c>
      <c r="F7708" s="8" t="str">
        <f ca="1">IFERROR(__xludf.DUMMYFUNCTION("IF
(
C7709=""фізична особа""
,
VLOOKUP(D7709,IMPORTRANGE(""https://docs.google.com/spreadsheets/d/14Bd19lYaqBhU8_DElYkX7l4wRkHqqCUFNJY4AfY3kHU/edit?usp=sharing  #gid=0"",""фіз особи new!relations_name""),6,FALSE)
,
(IF
(
C7709=""юридична особа""
,
VLOOKUP"&amp;"(D7709,IMPORTRANGE(""https://docs.google.com/spreadsheets/d/14Bd19lYaqBhU8_DElYkX7l4wRkHqqCUFNJY4AfY3kHU/edit?usp=sharing  #gid=0"",""фіз особи new!relations_name_uo""),7,FALSE)
,
)
))"),"БРИКСІНА Світлана Юріївна")</f>
        <v>БРИКСІНА Світлана Юріївна</v>
      </c>
      <c r="G7708" s="7" t="s">
        <v>10</v>
      </c>
      <c r="H7708" s="7">
        <v>23456</v>
      </c>
      <c r="I7708" s="8" t="str">
        <f ca="1">IFERROR(__xludf.DUMMYFUNCTION("IF
(
G7709=""фізична особа""
,
VLOOKUP(H7709,IMPORTRANGE(""https://docs.google.com/spreadsheets/d/14Bd19lYaqBhU8_DElYkX7l4wRkHqqCUFNJY4AfY3kHU/edit?usp=sharing  #gid=0"",""фіз особи new!relations_name""),6,FALSE)
,
(IF
(
G7709=""юридична особа""
,
VLOOKUP"&amp;"(H7709,IMPORTRANGE(""https://docs.google.com/spreadsheets/d/14Bd19lYaqBhU8_DElYkX7l4wRkHqqCUFNJY4AfY3kHU/edit?usp=sharing  #gid=0"",""фіз особи new!relations_name_uo""),7,FALSE)
,
)
))"),"БРИКСІН Максим Олександрович")</f>
        <v>БРИКСІН Максим Олександрович</v>
      </c>
      <c r="J7708" s="7" t="s">
        <v>17</v>
      </c>
    </row>
    <row r="7709" spans="1:10" ht="13.2">
      <c r="A7709" s="7">
        <v>7708</v>
      </c>
      <c r="B7709" s="7">
        <v>1</v>
      </c>
      <c r="C7709" s="7" t="s">
        <v>10</v>
      </c>
      <c r="D7709" s="7">
        <v>8645</v>
      </c>
      <c r="E7709" s="7" t="s">
        <v>21</v>
      </c>
      <c r="F7709" s="8" t="str">
        <f ca="1">IFERROR(__xludf.DUMMYFUNCTION("IF
(
C7710=""фізична особа""
,
VLOOKUP(D7710,IMPORTRANGE(""https://docs.google.com/spreadsheets/d/14Bd19lYaqBhU8_DElYkX7l4wRkHqqCUFNJY4AfY3kHU/edit?usp=sharing  #gid=0"",""фіз особи new!relations_name""),6,FALSE)
,
(IF
(
C7710=""юридична особа""
,
VLOOKUP"&amp;"(D7710,IMPORTRANGE(""https://docs.google.com/spreadsheets/d/14Bd19lYaqBhU8_DElYkX7l4wRkHqqCUFNJY4AfY3kHU/edit?usp=sharing  #gid=0"",""фіз особи new!relations_name_uo""),7,FALSE)
,
)
))"),"БРИКСІНА Світлана Юріївна")</f>
        <v>БРИКСІНА Світлана Юріївна</v>
      </c>
      <c r="G7709" s="7" t="s">
        <v>10</v>
      </c>
      <c r="H7709" s="7">
        <v>0</v>
      </c>
      <c r="I7709" s="8" t="str">
        <f ca="1">IFERROR(__xludf.DUMMYFUNCTION("IF
(
G7710=""фізична особа""
,
VLOOKUP(H7710,IMPORTRANGE(""https://docs.google.com/spreadsheets/d/14Bd19lYaqBhU8_DElYkX7l4wRkHqqCUFNJY4AfY3kHU/edit?usp=sharing  #gid=0"",""фіз особи new!relations_name""),6,FALSE)
,
(IF
(
G7710=""юридична особа""
,
VLOOKUP"&amp;"(H7710,IMPORTRANGE(""https://docs.google.com/spreadsheets/d/14Bd19lYaqBhU8_DElYkX7l4wRkHqqCUFNJY4AfY3kHU/edit?usp=sharing  #gid=0"",""фіз особи new!relations_name_uo""),7,FALSE)
,
)
))"),"#N/A")</f>
        <v>#N/A</v>
      </c>
      <c r="J7709" s="7" t="s">
        <v>13</v>
      </c>
    </row>
    <row r="7710" spans="1:10" ht="13.2">
      <c r="A7710" s="7">
        <v>7709</v>
      </c>
      <c r="B7710" s="7">
        <v>1</v>
      </c>
      <c r="C7710" s="7" t="s">
        <v>10</v>
      </c>
      <c r="D7710" s="7">
        <v>8645</v>
      </c>
      <c r="E7710" s="7" t="s">
        <v>21</v>
      </c>
      <c r="F7710" s="8" t="str">
        <f ca="1">IFERROR(__xludf.DUMMYFUNCTION("IF
(
C7711=""фізична особа""
,
VLOOKUP(D7711,IMPORTRANGE(""https://docs.google.com/spreadsheets/d/14Bd19lYaqBhU8_DElYkX7l4wRkHqqCUFNJY4AfY3kHU/edit?usp=sharing  #gid=0"",""фіз особи new!relations_name""),6,FALSE)
,
(IF
(
C7711=""юридична особа""
,
VLOOKUP"&amp;"(D7711,IMPORTRANGE(""https://docs.google.com/spreadsheets/d/14Bd19lYaqBhU8_DElYkX7l4wRkHqqCUFNJY4AfY3kHU/edit?usp=sharing  #gid=0"",""фіз особи new!relations_name_uo""),7,FALSE)
,
)
))"),"БРИКСІНА Світлана Юріївна")</f>
        <v>БРИКСІНА Світлана Юріївна</v>
      </c>
      <c r="G7710" s="7" t="s">
        <v>10</v>
      </c>
      <c r="H7710" s="7">
        <v>0</v>
      </c>
      <c r="I7710" s="8" t="str">
        <f ca="1">IFERROR(__xludf.DUMMYFUNCTION("IF
(
G7711=""фізична особа""
,
VLOOKUP(H7711,IMPORTRANGE(""https://docs.google.com/spreadsheets/d/14Bd19lYaqBhU8_DElYkX7l4wRkHqqCUFNJY4AfY3kHU/edit?usp=sharing  #gid=0"",""фіз особи new!relations_name""),6,FALSE)
,
(IF
(
G7711=""юридична особа""
,
VLOOKUP"&amp;"(H7711,IMPORTRANGE(""https://docs.google.com/spreadsheets/d/14Bd19lYaqBhU8_DElYkX7l4wRkHqqCUFNJY4AfY3kHU/edit?usp=sharing  #gid=0"",""фіз особи new!relations_name_uo""),7,FALSE)
,
)
))"),"#N/A")</f>
        <v>#N/A</v>
      </c>
      <c r="J7710" s="7" t="s">
        <v>13</v>
      </c>
    </row>
    <row r="7711" spans="1:10" ht="13.2">
      <c r="A7711" s="7">
        <v>7710</v>
      </c>
      <c r="B7711" s="7">
        <v>1</v>
      </c>
      <c r="C7711" s="7" t="s">
        <v>10</v>
      </c>
      <c r="D7711" s="7">
        <v>8646</v>
      </c>
      <c r="E7711" s="7" t="s">
        <v>15</v>
      </c>
      <c r="F7711" s="8" t="str">
        <f ca="1">IFERROR(__xludf.DUMMYFUNCTION("IF
(
C7712=""фізична особа""
,
VLOOKUP(D7712,IMPORTRANGE(""https://docs.google.com/spreadsheets/d/14Bd19lYaqBhU8_DElYkX7l4wRkHqqCUFNJY4AfY3kHU/edit?usp=sharing  #gid=0"",""фіз особи new!relations_name""),6,FALSE)
,
(IF
(
C7712=""юридична особа""
,
VLOOKUP"&amp;"(D7712,IMPORTRANGE(""https://docs.google.com/spreadsheets/d/14Bd19lYaqBhU8_DElYkX7l4wRkHqqCUFNJY4AfY3kHU/edit?usp=sharing  #gid=0"",""фіз особи new!relations_name_uo""),7,FALSE)
,
)
))"),"ПОЛЄТАЄВА Наталія")</f>
        <v>ПОЛЄТАЄВА Наталія</v>
      </c>
      <c r="G7711" s="7" t="s">
        <v>10</v>
      </c>
      <c r="H7711" s="7">
        <v>879</v>
      </c>
      <c r="I7711" s="8" t="str">
        <f ca="1">IFERROR(__xludf.DUMMYFUNCTION("IF
(
G7712=""фізична особа""
,
VLOOKUP(H7712,IMPORTRANGE(""https://docs.google.com/spreadsheets/d/14Bd19lYaqBhU8_DElYkX7l4wRkHqqCUFNJY4AfY3kHU/edit?usp=sharing  #gid=0"",""фіз особи new!relations_name""),6,FALSE)
,
(IF
(
G7712=""юридична особа""
,
VLOOKUP"&amp;"(H7712,IMPORTRANGE(""https://docs.google.com/spreadsheets/d/14Bd19lYaqBhU8_DElYkX7l4wRkHqqCUFNJY4AfY3kHU/edit?usp=sharing  #gid=0"",""фіз особи new!relations_name_uo""),7,FALSE)
,
)
))"),"ПОЛЄТАЄВ Володимир Володимирович")</f>
        <v>ПОЛЄТАЄВ Володимир Володимирович</v>
      </c>
      <c r="J7711" s="7" t="s">
        <v>14</v>
      </c>
    </row>
    <row r="7712" spans="1:10" ht="13.2">
      <c r="A7712" s="7">
        <v>7711</v>
      </c>
      <c r="B7712" s="7">
        <v>1</v>
      </c>
      <c r="C7712" s="7" t="s">
        <v>10</v>
      </c>
      <c r="D7712" s="7">
        <v>8647</v>
      </c>
      <c r="E7712" s="7" t="s">
        <v>15</v>
      </c>
      <c r="F7712" s="8" t="str">
        <f ca="1">IFERROR(__xludf.DUMMYFUNCTION("IF
(
C7713=""фізична особа""
,
VLOOKUP(D7713,IMPORTRANGE(""https://docs.google.com/spreadsheets/d/14Bd19lYaqBhU8_DElYkX7l4wRkHqqCUFNJY4AfY3kHU/edit?usp=sharing  #gid=0"",""фіз особи new!relations_name""),6,FALSE)
,
(IF
(
C7713=""юридична особа""
,
VLOOKUP"&amp;"(D7713,IMPORTRANGE(""https://docs.google.com/spreadsheets/d/14Bd19lYaqBhU8_DElYkX7l4wRkHqqCUFNJY4AfY3kHU/edit?usp=sharing  #gid=0"",""фіз особи new!relations_name_uo""),7,FALSE)
,
)
))"),"НАГОВІЦИНА Ніна Володимирівна")</f>
        <v>НАГОВІЦИНА Ніна Володимирівна</v>
      </c>
      <c r="G7712" s="7" t="s">
        <v>10</v>
      </c>
      <c r="H7712" s="7">
        <v>898</v>
      </c>
      <c r="I7712" s="8" t="str">
        <f ca="1">IFERROR(__xludf.DUMMYFUNCTION("IF
(
G7713=""фізична особа""
,
VLOOKUP(H7713,IMPORTRANGE(""https://docs.google.com/spreadsheets/d/14Bd19lYaqBhU8_DElYkX7l4wRkHqqCUFNJY4AfY3kHU/edit?usp=sharing  #gid=0"",""фіз особи new!relations_name""),6,FALSE)
,
(IF
(
G7713=""юридична особа""
,
VLOOKUP"&amp;"(H7713,IMPORTRANGE(""https://docs.google.com/spreadsheets/d/14Bd19lYaqBhU8_DElYkX7l4wRkHqqCUFNJY4AfY3kHU/edit?usp=sharing  #gid=0"",""фіз особи new!relations_name_uo""),7,FALSE)
,
)
))"),"НАГОВІЦИН В'ячеслав Володимирович")</f>
        <v>НАГОВІЦИН В'ячеслав Володимирович</v>
      </c>
      <c r="J7712" s="7" t="s">
        <v>14</v>
      </c>
    </row>
    <row r="7713" spans="1:10" ht="13.2">
      <c r="A7713" s="7">
        <v>7712</v>
      </c>
      <c r="B7713" s="7">
        <v>1</v>
      </c>
      <c r="C7713" s="7" t="s">
        <v>10</v>
      </c>
      <c r="D7713" s="7">
        <v>8647</v>
      </c>
      <c r="E7713" s="7" t="s">
        <v>21</v>
      </c>
      <c r="F7713" s="8" t="str">
        <f ca="1">IFERROR(__xludf.DUMMYFUNCTION("IF
(
C7714=""фізична особа""
,
VLOOKUP(D7714,IMPORTRANGE(""https://docs.google.com/spreadsheets/d/14Bd19lYaqBhU8_DElYkX7l4wRkHqqCUFNJY4AfY3kHU/edit?usp=sharing  #gid=0"",""фіз особи new!relations_name""),6,FALSE)
,
(IF
(
C7714=""юридична особа""
,
VLOOKUP"&amp;"(D7714,IMPORTRANGE(""https://docs.google.com/spreadsheets/d/14Bd19lYaqBhU8_DElYkX7l4wRkHqqCUFNJY4AfY3kHU/edit?usp=sharing  #gid=0"",""фіз особи new!relations_name_uo""),7,FALSE)
,
)
))"),"НАГОВІЦИНА Ніна Володимирівна")</f>
        <v>НАГОВІЦИНА Ніна Володимирівна</v>
      </c>
      <c r="G7713" s="7" t="s">
        <v>10</v>
      </c>
      <c r="H7713" s="7">
        <v>23458</v>
      </c>
      <c r="I7713" s="8" t="str">
        <f ca="1">IFERROR(__xludf.DUMMYFUNCTION("IF
(
G7714=""фізична особа""
,
VLOOKUP(H7714,IMPORTRANGE(""https://docs.google.com/spreadsheets/d/14Bd19lYaqBhU8_DElYkX7l4wRkHqqCUFNJY4AfY3kHU/edit?usp=sharing  #gid=0"",""фіз особи new!relations_name""),6,FALSE)
,
(IF
(
G7714=""юридична особа""
,
VLOOKUP"&amp;"(H7714,IMPORTRANGE(""https://docs.google.com/spreadsheets/d/14Bd19lYaqBhU8_DElYkX7l4wRkHqqCUFNJY4AfY3kHU/edit?usp=sharing  #gid=0"",""фіз особи new!relations_name_uo""),7,FALSE)
,
)
))"),"НАГОВІЦИН Костянтин В'ячеславович")</f>
        <v>НАГОВІЦИН Костянтин В'ячеславович</v>
      </c>
      <c r="J7713" s="7" t="s">
        <v>17</v>
      </c>
    </row>
    <row r="7714" spans="1:10" ht="13.2">
      <c r="A7714" s="7">
        <v>7713</v>
      </c>
      <c r="B7714" s="7">
        <v>1</v>
      </c>
      <c r="C7714" s="7" t="s">
        <v>10</v>
      </c>
      <c r="D7714" s="7">
        <v>8647</v>
      </c>
      <c r="E7714" s="7" t="s">
        <v>21</v>
      </c>
      <c r="F7714" s="8" t="str">
        <f ca="1">IFERROR(__xludf.DUMMYFUNCTION("IF
(
C7715=""фізична особа""
,
VLOOKUP(D7715,IMPORTRANGE(""https://docs.google.com/spreadsheets/d/14Bd19lYaqBhU8_DElYkX7l4wRkHqqCUFNJY4AfY3kHU/edit?usp=sharing  #gid=0"",""фіз особи new!relations_name""),6,FALSE)
,
(IF
(
C7715=""юридична особа""
,
VLOOKUP"&amp;"(D7715,IMPORTRANGE(""https://docs.google.com/spreadsheets/d/14Bd19lYaqBhU8_DElYkX7l4wRkHqqCUFNJY4AfY3kHU/edit?usp=sharing  #gid=0"",""фіз особи new!relations_name_uo""),7,FALSE)
,
)
))"),"НАГОВІЦИНА Ніна Володимирівна")</f>
        <v>НАГОВІЦИНА Ніна Володимирівна</v>
      </c>
      <c r="G7714" s="7" t="s">
        <v>10</v>
      </c>
      <c r="H7714" s="7">
        <v>0</v>
      </c>
      <c r="I7714" s="8" t="str">
        <f ca="1">IFERROR(__xludf.DUMMYFUNCTION("IF
(
G7715=""фізична особа""
,
VLOOKUP(H7715,IMPORTRANGE(""https://docs.google.com/spreadsheets/d/14Bd19lYaqBhU8_DElYkX7l4wRkHqqCUFNJY4AfY3kHU/edit?usp=sharing  #gid=0"",""фіз особи new!relations_name""),6,FALSE)
,
(IF
(
G7715=""юридична особа""
,
VLOOKUP"&amp;"(H7715,IMPORTRANGE(""https://docs.google.com/spreadsheets/d/14Bd19lYaqBhU8_DElYkX7l4wRkHqqCUFNJY4AfY3kHU/edit?usp=sharing  #gid=0"",""фіз особи new!relations_name_uo""),7,FALSE)
,
)
))"),"#N/A")</f>
        <v>#N/A</v>
      </c>
      <c r="J7714" s="7" t="s">
        <v>13</v>
      </c>
    </row>
    <row r="7715" spans="1:10" ht="13.2">
      <c r="A7715" s="7">
        <v>7714</v>
      </c>
      <c r="B7715" s="7">
        <v>1</v>
      </c>
      <c r="C7715" s="7" t="s">
        <v>10</v>
      </c>
      <c r="D7715" s="7">
        <v>8648</v>
      </c>
      <c r="E7715" s="7" t="s">
        <v>15</v>
      </c>
      <c r="F7715" s="8" t="str">
        <f ca="1">IFERROR(__xludf.DUMMYFUNCTION("IF
(
C7716=""фізична особа""
,
VLOOKUP(D7716,IMPORTRANGE(""https://docs.google.com/spreadsheets/d/14Bd19lYaqBhU8_DElYkX7l4wRkHqqCUFNJY4AfY3kHU/edit?usp=sharing  #gid=0"",""фіз особи new!relations_name""),6,FALSE)
,
(IF
(
C7716=""юридична особа""
,
VLOOKUP"&amp;"(D7716,IMPORTRANGE(""https://docs.google.com/spreadsheets/d/14Bd19lYaqBhU8_DElYkX7l4wRkHqqCUFNJY4AfY3kHU/edit?usp=sharing  #gid=0"",""фіз особи new!relations_name_uo""),7,FALSE)
,
)
))"),"БОРИСОВА Парасковія Петрівна")</f>
        <v>БОРИСОВА Парасковія Петрівна</v>
      </c>
      <c r="G7715" s="7" t="s">
        <v>10</v>
      </c>
      <c r="H7715" s="7">
        <v>906</v>
      </c>
      <c r="I7715" s="8" t="str">
        <f ca="1">IFERROR(__xludf.DUMMYFUNCTION("IF
(
G7716=""фізична особа""
,
VLOOKUP(H7716,IMPORTRANGE(""https://docs.google.com/spreadsheets/d/14Bd19lYaqBhU8_DElYkX7l4wRkHqqCUFNJY4AfY3kHU/edit?usp=sharing  #gid=0"",""фіз особи new!relations_name""),6,FALSE)
,
(IF
(
G7716=""юридична особа""
,
VLOOKUP"&amp;"(H7716,IMPORTRANGE(""https://docs.google.com/spreadsheets/d/14Bd19lYaqBhU8_DElYkX7l4wRkHqqCUFNJY4AfY3kHU/edit?usp=sharing  #gid=0"",""фіз особи new!relations_name_uo""),7,FALSE)
,
)
))"),"БОРІСОВ Єгор Афанасійович")</f>
        <v>БОРІСОВ Єгор Афанасійович</v>
      </c>
      <c r="J7715" s="7" t="s">
        <v>14</v>
      </c>
    </row>
    <row r="7716" spans="1:10" ht="13.2">
      <c r="A7716" s="7">
        <v>7715</v>
      </c>
      <c r="B7716" s="7">
        <v>1</v>
      </c>
      <c r="C7716" s="7" t="s">
        <v>10</v>
      </c>
      <c r="D7716" s="7">
        <v>8648</v>
      </c>
      <c r="E7716" s="7" t="s">
        <v>21</v>
      </c>
      <c r="F7716" s="8" t="str">
        <f ca="1">IFERROR(__xludf.DUMMYFUNCTION("IF
(
C7717=""фізична особа""
,
VLOOKUP(D7717,IMPORTRANGE(""https://docs.google.com/spreadsheets/d/14Bd19lYaqBhU8_DElYkX7l4wRkHqqCUFNJY4AfY3kHU/edit?usp=sharing  #gid=0"",""фіз особи new!relations_name""),6,FALSE)
,
(IF
(
C7717=""юридична особа""
,
VLOOKUP"&amp;"(D7717,IMPORTRANGE(""https://docs.google.com/spreadsheets/d/14Bd19lYaqBhU8_DElYkX7l4wRkHqqCUFNJY4AfY3kHU/edit?usp=sharing  #gid=0"",""фіз особи new!relations_name_uo""),7,FALSE)
,
)
))"),"БОРИСОВА Парасковія Петрівна")</f>
        <v>БОРИСОВА Парасковія Петрівна</v>
      </c>
      <c r="G7716" s="7" t="s">
        <v>10</v>
      </c>
      <c r="H7716" s="7">
        <v>0</v>
      </c>
      <c r="I7716" s="8" t="str">
        <f ca="1">IFERROR(__xludf.DUMMYFUNCTION("IF
(
G7717=""фізична особа""
,
VLOOKUP(H7717,IMPORTRANGE(""https://docs.google.com/spreadsheets/d/14Bd19lYaqBhU8_DElYkX7l4wRkHqqCUFNJY4AfY3kHU/edit?usp=sharing  #gid=0"",""фіз особи new!relations_name""),6,FALSE)
,
(IF
(
G7717=""юридична особа""
,
VLOOKUP"&amp;"(H7717,IMPORTRANGE(""https://docs.google.com/spreadsheets/d/14Bd19lYaqBhU8_DElYkX7l4wRkHqqCUFNJY4AfY3kHU/edit?usp=sharing  #gid=0"",""фіз особи new!relations_name_uo""),7,FALSE)
,
)
))"),"#N/A")</f>
        <v>#N/A</v>
      </c>
      <c r="J7716" s="7" t="s">
        <v>13</v>
      </c>
    </row>
    <row r="7717" spans="1:10" ht="13.2">
      <c r="A7717" s="7">
        <v>7716</v>
      </c>
      <c r="B7717" s="7">
        <v>1</v>
      </c>
      <c r="C7717" s="7" t="s">
        <v>10</v>
      </c>
      <c r="D7717" s="7">
        <v>8648</v>
      </c>
      <c r="E7717" s="7" t="s">
        <v>21</v>
      </c>
      <c r="F7717" s="8" t="str">
        <f ca="1">IFERROR(__xludf.DUMMYFUNCTION("IF
(
C7718=""фізична особа""
,
VLOOKUP(D7718,IMPORTRANGE(""https://docs.google.com/spreadsheets/d/14Bd19lYaqBhU8_DElYkX7l4wRkHqqCUFNJY4AfY3kHU/edit?usp=sharing  #gid=0"",""фіз особи new!relations_name""),6,FALSE)
,
(IF
(
C7718=""юридична особа""
,
VLOOKUP"&amp;"(D7718,IMPORTRANGE(""https://docs.google.com/spreadsheets/d/14Bd19lYaqBhU8_DElYkX7l4wRkHqqCUFNJY4AfY3kHU/edit?usp=sharing  #gid=0"",""фіз особи new!relations_name_uo""),7,FALSE)
,
)
))"),"БОРИСОВА Парасковія Петрівна")</f>
        <v>БОРИСОВА Парасковія Петрівна</v>
      </c>
      <c r="G7717" s="7" t="s">
        <v>10</v>
      </c>
      <c r="H7717" s="7">
        <v>0</v>
      </c>
      <c r="I7717" s="8" t="str">
        <f ca="1">IFERROR(__xludf.DUMMYFUNCTION("IF
(
G7718=""фізична особа""
,
VLOOKUP(H7718,IMPORTRANGE(""https://docs.google.com/spreadsheets/d/14Bd19lYaqBhU8_DElYkX7l4wRkHqqCUFNJY4AfY3kHU/edit?usp=sharing  #gid=0"",""фіз особи new!relations_name""),6,FALSE)
,
(IF
(
G7718=""юридична особа""
,
VLOOKUP"&amp;"(H7718,IMPORTRANGE(""https://docs.google.com/spreadsheets/d/14Bd19lYaqBhU8_DElYkX7l4wRkHqqCUFNJY4AfY3kHU/edit?usp=sharing  #gid=0"",""фіз особи new!relations_name_uo""),7,FALSE)
,
)
))"),"#N/A")</f>
        <v>#N/A</v>
      </c>
      <c r="J7717" s="7" t="s">
        <v>13</v>
      </c>
    </row>
    <row r="7718" spans="1:10" ht="13.2">
      <c r="A7718" s="7">
        <v>7717</v>
      </c>
      <c r="B7718" s="7">
        <v>1</v>
      </c>
      <c r="C7718" s="7" t="s">
        <v>10</v>
      </c>
      <c r="D7718" s="7">
        <v>8649</v>
      </c>
      <c r="E7718" s="7" t="s">
        <v>14</v>
      </c>
      <c r="F7718" s="8" t="str">
        <f ca="1">IFERROR(__xludf.DUMMYFUNCTION("IF
(
C7719=""фізична особа""
,
VLOOKUP(D7719,IMPORTRANGE(""https://docs.google.com/spreadsheets/d/14Bd19lYaqBhU8_DElYkX7l4wRkHqqCUFNJY4AfY3kHU/edit?usp=sharing  #gid=0"",""фіз особи new!relations_name""),6,FALSE)
,
(IF
(
C7719=""юридична особа""
,
VLOOKUP"&amp;"(D7719,IMPORTRANGE(""https://docs.google.com/spreadsheets/d/14Bd19lYaqBhU8_DElYkX7l4wRkHqqCUFNJY4AfY3kHU/edit?usp=sharing  #gid=0"",""фіз особи new!relations_name_uo""),7,FALSE)
,
)
))"),"ІШМАЄВ Ігор Анатолійович")</f>
        <v>ІШМАЄВ Ігор Анатолійович</v>
      </c>
      <c r="G7718" s="7" t="s">
        <v>10</v>
      </c>
      <c r="H7718" s="7">
        <v>910</v>
      </c>
      <c r="I7718" s="8" t="str">
        <f ca="1">IFERROR(__xludf.DUMMYFUNCTION("IF
(
G7719=""фізична особа""
,
VLOOKUP(H7719,IMPORTRANGE(""https://docs.google.com/spreadsheets/d/14Bd19lYaqBhU8_DElYkX7l4wRkHqqCUFNJY4AfY3kHU/edit?usp=sharing  #gid=0"",""фіз особи new!relations_name""),6,FALSE)
,
(IF
(
G7719=""юридична особа""
,
VLOOKUP"&amp;"(H7719,IMPORTRANGE(""https://docs.google.com/spreadsheets/d/14Bd19lYaqBhU8_DElYkX7l4wRkHqqCUFNJY4AfY3kHU/edit?usp=sharing  #gid=0"",""фіз особи new!relations_name_uo""),7,FALSE)
,
)
))"),"ЗЛЕНКО Олена Геннадіївна")</f>
        <v>ЗЛЕНКО Олена Геннадіївна</v>
      </c>
      <c r="J7718" s="7" t="s">
        <v>15</v>
      </c>
    </row>
    <row r="7719" spans="1:10" ht="13.2">
      <c r="A7719" s="7">
        <v>7718</v>
      </c>
      <c r="B7719" s="7">
        <v>1</v>
      </c>
      <c r="C7719" s="7" t="s">
        <v>10</v>
      </c>
      <c r="D7719" s="7">
        <v>8649</v>
      </c>
      <c r="E7719" s="7" t="s">
        <v>12</v>
      </c>
      <c r="F7719" s="8" t="str">
        <f ca="1">IFERROR(__xludf.DUMMYFUNCTION("IF
(
C7720=""фізична особа""
,
VLOOKUP(D7720,IMPORTRANGE(""https://docs.google.com/spreadsheets/d/14Bd19lYaqBhU8_DElYkX7l4wRkHqqCUFNJY4AfY3kHU/edit?usp=sharing  #gid=0"",""фіз особи new!relations_name""),6,FALSE)
,
(IF
(
C7720=""юридична особа""
,
VLOOKUP"&amp;"(D7720,IMPORTRANGE(""https://docs.google.com/spreadsheets/d/14Bd19lYaqBhU8_DElYkX7l4wRkHqqCUFNJY4AfY3kHU/edit?usp=sharing  #gid=0"",""фіз особи new!relations_name_uo""),7,FALSE)
,
)
))"),"ІШМАЄВ Ігор Анатолійович")</f>
        <v>ІШМАЄВ Ігор Анатолійович</v>
      </c>
      <c r="G7719" s="7" t="s">
        <v>10</v>
      </c>
      <c r="H7719" s="7">
        <v>0</v>
      </c>
      <c r="I7719" s="8" t="str">
        <f ca="1">IFERROR(__xludf.DUMMYFUNCTION("IF
(
G7720=""фізична особа""
,
VLOOKUP(H7720,IMPORTRANGE(""https://docs.google.com/spreadsheets/d/14Bd19lYaqBhU8_DElYkX7l4wRkHqqCUFNJY4AfY3kHU/edit?usp=sharing  #gid=0"",""фіз особи new!relations_name""),6,FALSE)
,
(IF
(
G7720=""юридична особа""
,
VLOOKUP"&amp;"(H7720,IMPORTRANGE(""https://docs.google.com/spreadsheets/d/14Bd19lYaqBhU8_DElYkX7l4wRkHqqCUFNJY4AfY3kHU/edit?usp=sharing  #gid=0"",""фіз особи new!relations_name_uo""),7,FALSE)
,
)
))"),"#N/A")</f>
        <v>#N/A</v>
      </c>
      <c r="J7719" s="7" t="s">
        <v>17</v>
      </c>
    </row>
    <row r="7720" spans="1:10" ht="13.2">
      <c r="A7720" s="7">
        <v>7719</v>
      </c>
      <c r="B7720" s="7">
        <v>1</v>
      </c>
      <c r="C7720" s="7" t="s">
        <v>10</v>
      </c>
      <c r="D7720" s="7">
        <v>8649</v>
      </c>
      <c r="E7720" s="7" t="s">
        <v>12</v>
      </c>
      <c r="F7720" s="8" t="str">
        <f ca="1">IFERROR(__xludf.DUMMYFUNCTION("IF
(
C7721=""фізична особа""
,
VLOOKUP(D7721,IMPORTRANGE(""https://docs.google.com/spreadsheets/d/14Bd19lYaqBhU8_DElYkX7l4wRkHqqCUFNJY4AfY3kHU/edit?usp=sharing  #gid=0"",""фіз особи new!relations_name""),6,FALSE)
,
(IF
(
C7721=""юридична особа""
,
VLOOKUP"&amp;"(D7721,IMPORTRANGE(""https://docs.google.com/spreadsheets/d/14Bd19lYaqBhU8_DElYkX7l4wRkHqqCUFNJY4AfY3kHU/edit?usp=sharing  #gid=0"",""фіз особи new!relations_name_uo""),7,FALSE)
,
)
))"),"ІШМАЄВ Ігор Анатолійович")</f>
        <v>ІШМАЄВ Ігор Анатолійович</v>
      </c>
      <c r="G7720" s="7" t="s">
        <v>10</v>
      </c>
      <c r="H7720" s="7">
        <v>0</v>
      </c>
      <c r="I7720" s="8" t="str">
        <f ca="1">IFERROR(__xludf.DUMMYFUNCTION("IF
(
G7721=""фізична особа""
,
VLOOKUP(H7721,IMPORTRANGE(""https://docs.google.com/spreadsheets/d/14Bd19lYaqBhU8_DElYkX7l4wRkHqqCUFNJY4AfY3kHU/edit?usp=sharing  #gid=0"",""фіз особи new!relations_name""),6,FALSE)
,
(IF
(
G7721=""юридична особа""
,
VLOOKUP"&amp;"(H7721,IMPORTRANGE(""https://docs.google.com/spreadsheets/d/14Bd19lYaqBhU8_DElYkX7l4wRkHqqCUFNJY4AfY3kHU/edit?usp=sharing  #gid=0"",""фіз особи new!relations_name_uo""),7,FALSE)
,
)
))"),"#N/A")</f>
        <v>#N/A</v>
      </c>
      <c r="J7720" s="7" t="s">
        <v>13</v>
      </c>
    </row>
    <row r="7721" spans="1:10" ht="13.2">
      <c r="A7721" s="7">
        <v>7720</v>
      </c>
      <c r="B7721" s="7">
        <v>1</v>
      </c>
      <c r="C7721" s="7" t="s">
        <v>10</v>
      </c>
      <c r="D7721" s="7">
        <v>8650</v>
      </c>
      <c r="E7721" s="7" t="s">
        <v>15</v>
      </c>
      <c r="F7721" s="8" t="str">
        <f ca="1">IFERROR(__xludf.DUMMYFUNCTION("IF
(
C7722=""фізична особа""
,
VLOOKUP(D7722,IMPORTRANGE(""https://docs.google.com/spreadsheets/d/14Bd19lYaqBhU8_DElYkX7l4wRkHqqCUFNJY4AfY3kHU/edit?usp=sharing  #gid=0"",""фіз особи new!relations_name""),6,FALSE)
,
(IF
(
C7722=""юридична особа""
,
VLOOKUP"&amp;"(D7722,IMPORTRANGE(""https://docs.google.com/spreadsheets/d/14Bd19lYaqBhU8_DElYkX7l4wRkHqqCUFNJY4AfY3kHU/edit?usp=sharing  #gid=0"",""фіз особи new!relations_name_uo""),7,FALSE)
,
)
))"),"БАКІНОВА Тетяна Іванівна")</f>
        <v>БАКІНОВА Тетяна Іванівна</v>
      </c>
      <c r="G7721" s="7" t="s">
        <v>10</v>
      </c>
      <c r="H7721" s="7">
        <v>934</v>
      </c>
      <c r="I7721" s="8" t="str">
        <f ca="1">IFERROR(__xludf.DUMMYFUNCTION("IF
(
G7722=""фізична особа""
,
VLOOKUP(H7722,IMPORTRANGE(""https://docs.google.com/spreadsheets/d/14Bd19lYaqBhU8_DElYkX7l4wRkHqqCUFNJY4AfY3kHU/edit?usp=sharing  #gid=0"",""фіз особи new!relations_name""),6,FALSE)
,
(IF
(
G7722=""юридична особа""
,
VLOOKUP"&amp;"(H7722,IMPORTRANGE(""https://docs.google.com/spreadsheets/d/14Bd19lYaqBhU8_DElYkX7l4wRkHqqCUFNJY4AfY3kHU/edit?usp=sharing  #gid=0"",""фіз особи new!relations_name_uo""),7,FALSE)
,
)
))"),"ОРЛОВ Олексій Маратович")</f>
        <v>ОРЛОВ Олексій Маратович</v>
      </c>
      <c r="J7721" s="7" t="s">
        <v>14</v>
      </c>
    </row>
    <row r="7722" spans="1:10" ht="13.2">
      <c r="A7722" s="7">
        <v>7721</v>
      </c>
      <c r="B7722" s="7">
        <v>1</v>
      </c>
      <c r="C7722" s="7" t="s">
        <v>10</v>
      </c>
      <c r="D7722" s="7">
        <v>8651</v>
      </c>
      <c r="E7722" s="7" t="s">
        <v>15</v>
      </c>
      <c r="F7722" s="8" t="str">
        <f ca="1">IFERROR(__xludf.DUMMYFUNCTION("IF
(
C7723=""фізична особа""
,
VLOOKUP(D7723,IMPORTRANGE(""https://docs.google.com/spreadsheets/d/14Bd19lYaqBhU8_DElYkX7l4wRkHqqCUFNJY4AfY3kHU/edit?usp=sharing  #gid=0"",""фіз особи new!relations_name""),6,FALSE)
,
(IF
(
C7723=""юридична особа""
,
VLOOKUP"&amp;"(D7723,IMPORTRANGE(""https://docs.google.com/spreadsheets/d/14Bd19lYaqBhU8_DElYkX7l4wRkHqqCUFNJY4AfY3kHU/edit?usp=sharing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7722" s="7" t="s">
        <v>10</v>
      </c>
      <c r="H7722" s="7">
        <v>946</v>
      </c>
      <c r="I7722" s="8" t="str">
        <f ca="1">IFERROR(__xludf.DUMMYFUNCTION("IF
(
G7723=""фізична особа""
,
VLOOKUP(H7723,IMPORTRANGE(""https://docs.google.com/spreadsheets/d/14Bd19lYaqBhU8_DElYkX7l4wRkHqqCUFNJY4AfY3kHU/edit?usp=sharing  #gid=0"",""фіз особи new!relations_name""),6,FALSE)
,
(IF
(
G7723=""юридична особа""
,
VLOOKUP"&amp;"(H7723,IMPORTRANGE(""https://docs.google.com/spreadsheets/d/14Bd19lYaqBhU8_DElYkX7l4wRkHqqCUFNJY4AfY3kHU/edit?usp=sharing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7722" s="7" t="s">
        <v>14</v>
      </c>
    </row>
    <row r="7723" spans="1:10" ht="13.2">
      <c r="A7723" s="7">
        <v>7722</v>
      </c>
      <c r="B7723" s="7">
        <v>1</v>
      </c>
      <c r="C7723" s="7" t="s">
        <v>10</v>
      </c>
      <c r="D7723" s="7">
        <v>8651</v>
      </c>
      <c r="E7723" s="7" t="s">
        <v>21</v>
      </c>
      <c r="F7723" s="8" t="str">
        <f ca="1">IFERROR(__xludf.DUMMYFUNCTION("IF
(
C7724=""фізична особа""
,
VLOOKUP(D7724,IMPORTRANGE(""https://docs.google.com/spreadsheets/d/14Bd19lYaqBhU8_DElYkX7l4wRkHqqCUFNJY4AfY3kHU/edit?usp=sharing  #gid=0"",""фіз особи new!relations_name""),6,FALSE)
,
(IF
(
C7724=""юридична особа""
,
VLOOKUP"&amp;"(D7724,IMPORTRANGE(""https://docs.google.com/spreadsheets/d/14Bd19lYaqBhU8_DElYkX7l4wRkHqqCUFNJY4AfY3kHU/edit?usp=sharing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7723" s="7" t="s">
        <v>10</v>
      </c>
      <c r="H7723" s="7">
        <v>2545</v>
      </c>
      <c r="I7723" s="8" t="str">
        <f ca="1">IFERROR(__xludf.DUMMYFUNCTION("IF
(
G7724=""фізична особа""
,
VLOOKUP(H7724,IMPORTRANGE(""https://docs.google.com/spreadsheets/d/14Bd19lYaqBhU8_DElYkX7l4wRkHqqCUFNJY4AfY3kHU/edit?usp=sharing  #gid=0"",""фіз особи new!relations_name""),6,FALSE)
,
(IF
(
G7724=""юридична особа""
,
VLOOKUP"&amp;"(H7724,IMPORTRANGE(""https://docs.google.com/spreadsheets/d/14Bd19lYaqBhU8_DElYkX7l4wRkHqqCUFNJY4AfY3kHU/edit?usp=sharing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7723" s="7" t="s">
        <v>17</v>
      </c>
    </row>
    <row r="7724" spans="1:10" ht="13.2">
      <c r="A7724" s="7">
        <v>7723</v>
      </c>
      <c r="B7724" s="7">
        <v>1</v>
      </c>
      <c r="C7724" s="7" t="s">
        <v>10</v>
      </c>
      <c r="D7724" s="7">
        <v>8651</v>
      </c>
      <c r="E7724" s="7" t="s">
        <v>21</v>
      </c>
      <c r="F7724" s="8" t="str">
        <f ca="1">IFERROR(__xludf.DUMMYFUNCTION("IF
(
C7725=""фізична особа""
,
VLOOKUP(D7725,IMPORTRANGE(""https://docs.google.com/spreadsheets/d/14Bd19lYaqBhU8_DElYkX7l4wRkHqqCUFNJY4AfY3kHU/edit?usp=sharing  #gid=0"",""фіз особи new!relations_name""),6,FALSE)
,
(IF
(
C7725=""юридична особа""
,
VLOOKUP"&amp;"(D7725,IMPORTRANGE(""https://docs.google.com/spreadsheets/d/14Bd19lYaqBhU8_DElYkX7l4wRkHqqCUFNJY4AfY3kHU/edit?usp=sharing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7724" s="7" t="s">
        <v>10</v>
      </c>
      <c r="H7724" s="7">
        <v>8652</v>
      </c>
      <c r="I7724" s="8" t="str">
        <f ca="1">IFERROR(__xludf.DUMMYFUNCTION("IF
(
G7725=""фізична особа""
,
VLOOKUP(H7725,IMPORTRANGE(""https://docs.google.com/spreadsheets/d/14Bd19lYaqBhU8_DElYkX7l4wRkHqqCUFNJY4AfY3kHU/edit?usp=sharing  #gid=0"",""фіз особи new!relations_name""),6,FALSE)
,
(IF
(
G7725=""юридична особа""
,
VLOOKUP"&amp;"(H7725,IMPORTRANGE(""https://docs.google.com/spreadsheets/d/14Bd19lYaqBhU8_DElYkX7l4wRkHqqCUFNJY4AfY3kHU/edit?usp=sharing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J7724" s="7" t="s">
        <v>17</v>
      </c>
    </row>
    <row r="7725" spans="1:10" ht="13.2">
      <c r="A7725" s="7">
        <v>7724</v>
      </c>
      <c r="B7725" s="7">
        <v>1</v>
      </c>
      <c r="C7725" s="7" t="s">
        <v>10</v>
      </c>
      <c r="D7725" s="7">
        <v>8651</v>
      </c>
      <c r="E7725" s="7" t="s">
        <v>58</v>
      </c>
      <c r="F7725" s="8" t="str">
        <f ca="1">IFERROR(__xludf.DUMMYFUNCTION("IF
(
C7726=""фізична особа""
,
VLOOKUP(D7726,IMPORTRANGE(""https://docs.google.com/spreadsheets/d/14Bd19lYaqBhU8_DElYkX7l4wRkHqqCUFNJY4AfY3kHU/edit?usp=sharing  #gid=0"",""фіз особи new!relations_name""),6,FALSE)
,
(IF
(
C7726=""юридична особа""
,
VLOOKUP"&amp;"(D7726,IMPORTRANGE(""https://docs.google.com/spreadsheets/d/14Bd19lYaqBhU8_DElYkX7l4wRkHqqCUFNJY4AfY3kHU/edit?usp=sharing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7725" s="7" t="s">
        <v>10</v>
      </c>
      <c r="H7725" s="7">
        <v>4840</v>
      </c>
      <c r="I7725" s="8" t="str">
        <f ca="1">IFERROR(__xludf.DUMMYFUNCTION("IF
(
G7726=""фізична особа""
,
VLOOKUP(H7726,IMPORTRANGE(""https://docs.google.com/spreadsheets/d/14Bd19lYaqBhU8_DElYkX7l4wRkHqqCUFNJY4AfY3kHU/edit?usp=sharing  #gid=0"",""фіз особи new!relations_name""),6,FALSE)
,
(IF
(
G7726=""юридична особа""
,
VLOOKUP"&amp;"(H7726,IMPORTRANGE(""https://docs.google.com/spreadsheets/d/14Bd19lYaqBhU8_DElYkX7l4wRkHqqCUFNJY4AfY3kHU/edit?usp=sharing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J7725" s="7" t="s">
        <v>25</v>
      </c>
    </row>
    <row r="7726" spans="1:10" ht="13.2">
      <c r="A7726" s="7">
        <v>7725</v>
      </c>
      <c r="B7726" s="7">
        <v>1</v>
      </c>
      <c r="C7726" s="7" t="s">
        <v>10</v>
      </c>
      <c r="D7726" s="7">
        <v>8652</v>
      </c>
      <c r="E7726" s="7" t="s">
        <v>17</v>
      </c>
      <c r="F7726" s="8" t="str">
        <f ca="1">IFERROR(__xludf.DUMMYFUNCTION("IF
(
C7727=""фізична особа""
,
VLOOKUP(D7727,IMPORTRANGE(""https://docs.google.com/spreadsheets/d/14Bd19lYaqBhU8_DElYkX7l4wRkHqqCUFNJY4AfY3kHU/edit?usp=sharing  #gid=0"",""фіз особи new!relations_name""),6,FALSE)
,
(IF
(
C7727=""юридична особа""
,
VLOOKUP"&amp;"(D7727,IMPORTRANGE(""https://docs.google.com/spreadsheets/d/14Bd19lYaqBhU8_DElYkX7l4wRkHqqCUFNJY4AfY3kHU/edit?usp=sharing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G7726" s="7" t="s">
        <v>10</v>
      </c>
      <c r="H7726" s="7">
        <v>946</v>
      </c>
      <c r="I7726" s="8" t="str">
        <f ca="1">IFERROR(__xludf.DUMMYFUNCTION("IF
(
G7727=""фізична особа""
,
VLOOKUP(H7727,IMPORTRANGE(""https://docs.google.com/spreadsheets/d/14Bd19lYaqBhU8_DElYkX7l4wRkHqqCUFNJY4AfY3kHU/edit?usp=sharing  #gid=0"",""фіз особи new!relations_name""),6,FALSE)
,
(IF
(
G7727=""юридична особа""
,
VLOOKUP"&amp;"(H7727,IMPORTRANGE(""https://docs.google.com/spreadsheets/d/14Bd19lYaqBhU8_DElYkX7l4wRkHqqCUFNJY4AfY3kHU/edit?usp=sharing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7726" s="7" t="s">
        <v>12</v>
      </c>
    </row>
    <row r="7727" spans="1:10" ht="13.2">
      <c r="A7727" s="7">
        <v>7726</v>
      </c>
      <c r="B7727" s="7">
        <v>1</v>
      </c>
      <c r="C7727" s="7" t="s">
        <v>10</v>
      </c>
      <c r="D7727" s="7">
        <v>8652</v>
      </c>
      <c r="E7727" s="7" t="s">
        <v>18</v>
      </c>
      <c r="F7727" s="8" t="str">
        <f ca="1">IFERROR(__xludf.DUMMYFUNCTION("IF
(
C7728=""фізична особа""
,
VLOOKUP(D7728,IMPORTRANGE(""https://docs.google.com/spreadsheets/d/14Bd19lYaqBhU8_DElYkX7l4wRkHqqCUFNJY4AfY3kHU/edit?usp=sharing  #gid=0"",""фіз особи new!relations_name""),6,FALSE)
,
(IF
(
C7728=""юридична особа""
,
VLOOKUP"&amp;"(D7728,IMPORTRANGE(""https://docs.google.com/spreadsheets/d/14Bd19lYaqBhU8_DElYkX7l4wRkHqqCUFNJY4AfY3kHU/edit?usp=sharing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G7727" s="7" t="s">
        <v>10</v>
      </c>
      <c r="H7727" s="7">
        <v>2545</v>
      </c>
      <c r="I7727" s="8" t="str">
        <f ca="1">IFERROR(__xludf.DUMMYFUNCTION("IF
(
G7728=""фізична особа""
,
VLOOKUP(H7728,IMPORTRANGE(""https://docs.google.com/spreadsheets/d/14Bd19lYaqBhU8_DElYkX7l4wRkHqqCUFNJY4AfY3kHU/edit?usp=sharing  #gid=0"",""фіз особи new!relations_name""),6,FALSE)
,
(IF
(
G7728=""юридична особа""
,
VLOOKUP"&amp;"(H7728,IMPORTRANGE(""https://docs.google.com/spreadsheets/d/14Bd19lYaqBhU8_DElYkX7l4wRkHqqCUFNJY4AfY3kHU/edit?usp=sharing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7727" s="7" t="s">
        <v>18</v>
      </c>
    </row>
    <row r="7728" spans="1:10" ht="13.2">
      <c r="A7728" s="7">
        <v>7727</v>
      </c>
      <c r="B7728" s="7">
        <v>1</v>
      </c>
      <c r="C7728" s="7" t="s">
        <v>10</v>
      </c>
      <c r="D7728" s="7">
        <v>8652</v>
      </c>
      <c r="E7728" s="7" t="s">
        <v>17</v>
      </c>
      <c r="F7728" s="8" t="str">
        <f ca="1">IFERROR(__xludf.DUMMYFUNCTION("IF
(
C7729=""фізична особа""
,
VLOOKUP(D7729,IMPORTRANGE(""https://docs.google.com/spreadsheets/d/14Bd19lYaqBhU8_DElYkX7l4wRkHqqCUFNJY4AfY3kHU/edit?usp=sharing  #gid=0"",""фіз особи new!relations_name""),6,FALSE)
,
(IF
(
C7729=""юридична особа""
,
VLOOKUP"&amp;"(D7729,IMPORTRANGE(""https://docs.google.com/spreadsheets/d/14Bd19lYaqBhU8_DElYkX7l4wRkHqqCUFNJY4AfY3kHU/edit?usp=sharing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G7728" s="7" t="s">
        <v>10</v>
      </c>
      <c r="H7728" s="7">
        <v>8651</v>
      </c>
      <c r="I7728" s="8" t="str">
        <f ca="1">IFERROR(__xludf.DUMMYFUNCTION("IF
(
G7729=""фізична особа""
,
VLOOKUP(H7729,IMPORTRANGE(""https://docs.google.com/spreadsheets/d/14Bd19lYaqBhU8_DElYkX7l4wRkHqqCUFNJY4AfY3kHU/edit?usp=sharing  #gid=0"",""фіз особи new!relations_name""),6,FALSE)
,
(IF
(
G7729=""юридична особа""
,
VLOOKUP"&amp;"(H7729,IMPORTRANGE(""https://docs.google.com/spreadsheets/d/14Bd19lYaqBhU8_DElYkX7l4wRkHqqCUFNJY4AfY3kHU/edit?usp=sharing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J7728" s="7" t="s">
        <v>21</v>
      </c>
    </row>
    <row r="7729" spans="1:10" ht="13.2">
      <c r="A7729" s="7">
        <v>7728</v>
      </c>
      <c r="B7729" s="7">
        <v>1</v>
      </c>
      <c r="C7729" s="7" t="s">
        <v>10</v>
      </c>
      <c r="D7729" s="7">
        <v>8653</v>
      </c>
      <c r="E7729" s="7" t="s">
        <v>15</v>
      </c>
      <c r="F7729" s="8" t="str">
        <f ca="1">IFERROR(__xludf.DUMMYFUNCTION("IF
(
C7730=""фізична особа""
,
VLOOKUP(D7730,IMPORTRANGE(""https://docs.google.com/spreadsheets/d/14Bd19lYaqBhU8_DElYkX7l4wRkHqqCUFNJY4AfY3kHU/edit?usp=sharing  #gid=0"",""фіз особи new!relations_name""),6,FALSE)
,
(IF
(
C7730=""юридична особа""
,
VLOOKUP"&amp;"(D7730,IMPORTRANGE(""https://docs.google.com/spreadsheets/d/14Bd19lYaqBhU8_DElYkX7l4wRkHqqCUFNJY4AfY3kHU/edit?usp=sharing  #gid=0"",""фіз особи new!relations_name_uo""),7,FALSE)
,
)
))"),"БРИЛКА Людмила Юріївна")</f>
        <v>БРИЛКА Людмила Юріївна</v>
      </c>
      <c r="G7729" s="7" t="s">
        <v>10</v>
      </c>
      <c r="H7729" s="7">
        <v>996</v>
      </c>
      <c r="I7729" s="8" t="str">
        <f ca="1">IFERROR(__xludf.DUMMYFUNCTION("IF
(
G7730=""фізична особа""
,
VLOOKUP(H7730,IMPORTRANGE(""https://docs.google.com/spreadsheets/d/14Bd19lYaqBhU8_DElYkX7l4wRkHqqCUFNJY4AfY3kHU/edit?usp=sharing  #gid=0"",""фіз особи new!relations_name""),6,FALSE)
,
(IF
(
G7730=""юридична особа""
,
VLOOKUP"&amp;"(H7730,IMPORTRANGE(""https://docs.google.com/spreadsheets/d/14Bd19lYaqBhU8_DElYkX7l4wRkHqqCUFNJY4AfY3kHU/edit?usp=sharing  #gid=0"",""фіз особи new!relations_name_uo""),7,FALSE)
,
)
))"),"БРІЛКА Сергій Фатєєвич")</f>
        <v>БРІЛКА Сергій Фатєєвич</v>
      </c>
      <c r="J7729" s="7" t="s">
        <v>14</v>
      </c>
    </row>
    <row r="7730" spans="1:10" ht="13.2">
      <c r="A7730" s="7">
        <v>7729</v>
      </c>
      <c r="B7730" s="7">
        <v>1</v>
      </c>
      <c r="C7730" s="7" t="s">
        <v>10</v>
      </c>
      <c r="D7730" s="7">
        <v>8653</v>
      </c>
      <c r="E7730" s="7" t="s">
        <v>21</v>
      </c>
      <c r="F7730" s="8" t="str">
        <f ca="1">IFERROR(__xludf.DUMMYFUNCTION("IF
(
C7731=""фізична особа""
,
VLOOKUP(D7731,IMPORTRANGE(""https://docs.google.com/spreadsheets/d/14Bd19lYaqBhU8_DElYkX7l4wRkHqqCUFNJY4AfY3kHU/edit?usp=sharing  #gid=0"",""фіз особи new!relations_name""),6,FALSE)
,
(IF
(
C7731=""юридична особа""
,
VLOOKUP"&amp;"(D7731,IMPORTRANGE(""https://docs.google.com/spreadsheets/d/14Bd19lYaqBhU8_DElYkX7l4wRkHqqCUFNJY4AfY3kHU/edit?usp=sharing  #gid=0"",""фіз особи new!relations_name_uo""),7,FALSE)
,
)
))"),"БРИЛКА Людмила Юріївна")</f>
        <v>БРИЛКА Людмила Юріївна</v>
      </c>
      <c r="G7730" s="7" t="s">
        <v>10</v>
      </c>
      <c r="H7730" s="7">
        <v>23464</v>
      </c>
      <c r="I7730" s="8" t="str">
        <f ca="1">IFERROR(__xludf.DUMMYFUNCTION("IF
(
G7731=""фізична особа""
,
VLOOKUP(H7731,IMPORTRANGE(""https://docs.google.com/spreadsheets/d/14Bd19lYaqBhU8_DElYkX7l4wRkHqqCUFNJY4AfY3kHU/edit?usp=sharing  #gid=0"",""фіз особи new!relations_name""),6,FALSE)
,
(IF
(
G7731=""юридична особа""
,
VLOOKUP"&amp;"(H7731,IMPORTRANGE(""https://docs.google.com/spreadsheets/d/14Bd19lYaqBhU8_DElYkX7l4wRkHqqCUFNJY4AfY3kHU/edit?usp=sharing  #gid=0"",""фіз особи new!relations_name_uo""),7,FALSE)
,
)
))"),"БРІЛКА Іван Сергійович")</f>
        <v>БРІЛКА Іван Сергійович</v>
      </c>
      <c r="J7730" s="7" t="s">
        <v>17</v>
      </c>
    </row>
    <row r="7731" spans="1:10" ht="13.2">
      <c r="A7731" s="7">
        <v>7730</v>
      </c>
      <c r="B7731" s="7">
        <v>1</v>
      </c>
      <c r="C7731" s="7" t="s">
        <v>10</v>
      </c>
      <c r="D7731" s="7">
        <v>8653</v>
      </c>
      <c r="E7731" s="7" t="s">
        <v>21</v>
      </c>
      <c r="F7731" s="8" t="str">
        <f ca="1">IFERROR(__xludf.DUMMYFUNCTION("IF
(
C7732=""фізична особа""
,
VLOOKUP(D7732,IMPORTRANGE(""https://docs.google.com/spreadsheets/d/14Bd19lYaqBhU8_DElYkX7l4wRkHqqCUFNJY4AfY3kHU/edit?usp=sharing  #gid=0"",""фіз особи new!relations_name""),6,FALSE)
,
(IF
(
C7732=""юридична особа""
,
VLOOKUP"&amp;"(D7732,IMPORTRANGE(""https://docs.google.com/spreadsheets/d/14Bd19lYaqBhU8_DElYkX7l4wRkHqqCUFNJY4AfY3kHU/edit?usp=sharing  #gid=0"",""фіз особи new!relations_name_uo""),7,FALSE)
,
)
))"),"БРИЛКА Людмила Юріївна")</f>
        <v>БРИЛКА Людмила Юріївна</v>
      </c>
      <c r="G7731" s="7" t="s">
        <v>10</v>
      </c>
      <c r="H7731" s="7">
        <v>23465</v>
      </c>
      <c r="I7731" s="8" t="str">
        <f ca="1">IFERROR(__xludf.DUMMYFUNCTION("IF
(
G7732=""фізична особа""
,
VLOOKUP(H7732,IMPORTRANGE(""https://docs.google.com/spreadsheets/d/14Bd19lYaqBhU8_DElYkX7l4wRkHqqCUFNJY4AfY3kHU/edit?usp=sharing  #gid=0"",""фіз особи new!relations_name""),6,FALSE)
,
(IF
(
G7732=""юридична особа""
,
VLOOKUP"&amp;"(H7732,IMPORTRANGE(""https://docs.google.com/spreadsheets/d/14Bd19lYaqBhU8_DElYkX7l4wRkHqqCUFNJY4AfY3kHU/edit?usp=sharing  #gid=0"",""фіз особи new!relations_name_uo""),7,FALSE)
,
)
))"),"БРІЛКА Марина Сергіївна")</f>
        <v>БРІЛКА Марина Сергіївна</v>
      </c>
      <c r="J7731" s="7" t="s">
        <v>13</v>
      </c>
    </row>
    <row r="7732" spans="1:10" ht="13.2">
      <c r="A7732" s="7">
        <v>7731</v>
      </c>
      <c r="B7732" s="7">
        <v>1</v>
      </c>
      <c r="C7732" s="7" t="s">
        <v>10</v>
      </c>
      <c r="D7732" s="7">
        <v>8654</v>
      </c>
      <c r="E7732" s="7" t="s">
        <v>15</v>
      </c>
      <c r="F7732" s="8" t="str">
        <f ca="1">IFERROR(__xludf.DUMMYFUNCTION("IF
(
C7733=""фізична особа""
,
VLOOKUP(D7733,IMPORTRANGE(""https://docs.google.com/spreadsheets/d/14Bd19lYaqBhU8_DElYkX7l4wRkHqqCUFNJY4AfY3kHU/edit?usp=sharing  #gid=0"",""фіз особи new!relations_name""),6,FALSE)
,
(IF
(
C7733=""юридична особа""
,
VLOOKUP"&amp;"(D7733,IMPORTRANGE(""https://docs.google.com/spreadsheets/d/14Bd19lYaqBhU8_DElYkX7l4wRkHqqCUFNJY4AfY3kHU/edit?usp=sharing  #gid=0"",""фіз особи new!relations_name_uo""),7,FALSE)
,
)
))"),"КРЕСС Людмила Василівна")</f>
        <v>КРЕСС Людмила Василівна</v>
      </c>
      <c r="G7732" s="7" t="s">
        <v>10</v>
      </c>
      <c r="H7732" s="7">
        <v>999</v>
      </c>
      <c r="I7732" s="8" t="str">
        <f ca="1">IFERROR(__xludf.DUMMYFUNCTION("IF
(
G7733=""фізична особа""
,
VLOOKUP(H7733,IMPORTRANGE(""https://docs.google.com/spreadsheets/d/14Bd19lYaqBhU8_DElYkX7l4wRkHqqCUFNJY4AfY3kHU/edit?usp=sharing  #gid=0"",""фіз особи new!relations_name""),6,FALSE)
,
(IF
(
G7733=""юридична особа""
,
VLOOKUP"&amp;"(H7733,IMPORTRANGE(""https://docs.google.com/spreadsheets/d/14Bd19lYaqBhU8_DElYkX7l4wRkHqqCUFNJY4AfY3kHU/edit?usp=sharing  #gid=0"",""фіз особи new!relations_name_uo""),7,FALSE)
,
)
))"),"КРЕСС Віктор Мельхіорович")</f>
        <v>КРЕСС Віктор Мельхіорович</v>
      </c>
      <c r="J7732" s="7" t="s">
        <v>14</v>
      </c>
    </row>
    <row r="7733" spans="1:10" ht="13.2">
      <c r="A7733" s="7">
        <v>7732</v>
      </c>
      <c r="B7733" s="7">
        <v>1</v>
      </c>
      <c r="C7733" s="7" t="s">
        <v>10</v>
      </c>
      <c r="D7733" s="7">
        <v>8654</v>
      </c>
      <c r="E7733" s="7" t="s">
        <v>21</v>
      </c>
      <c r="F7733" s="8" t="str">
        <f ca="1">IFERROR(__xludf.DUMMYFUNCTION("IF
(
C7734=""фізична особа""
,
VLOOKUP(D7734,IMPORTRANGE(""https://docs.google.com/spreadsheets/d/14Bd19lYaqBhU8_DElYkX7l4wRkHqqCUFNJY4AfY3kHU/edit?usp=sharing  #gid=0"",""фіз особи new!relations_name""),6,FALSE)
,
(IF
(
C7734=""юридична особа""
,
VLOOKUP"&amp;"(D7734,IMPORTRANGE(""https://docs.google.com/spreadsheets/d/14Bd19lYaqBhU8_DElYkX7l4wRkHqqCUFNJY4AfY3kHU/edit?usp=sharing  #gid=0"",""фіз особи new!relations_name_uo""),7,FALSE)
,
)
))"),"КРЕСС Людмила Василівна")</f>
        <v>КРЕСС Людмила Василівна</v>
      </c>
      <c r="G7733" s="7" t="s">
        <v>10</v>
      </c>
      <c r="H7733" s="7">
        <v>12132</v>
      </c>
      <c r="I7733" s="8" t="str">
        <f ca="1">IFERROR(__xludf.DUMMYFUNCTION("IF
(
G7734=""фізична особа""
,
VLOOKUP(H7734,IMPORTRANGE(""https://docs.google.com/spreadsheets/d/14Bd19lYaqBhU8_DElYkX7l4wRkHqqCUFNJY4AfY3kHU/edit?usp=sharing  #gid=0"",""фіз особи new!relations_name""),6,FALSE)
,
(IF
(
G7734=""юридична особа""
,
VLOOKUP"&amp;"(H7734,IMPORTRANGE(""https://docs.google.com/spreadsheets/d/14Bd19lYaqBhU8_DElYkX7l4wRkHqqCUFNJY4AfY3kHU/edit?usp=sharing  #gid=0"",""фіз особи new!relations_name_uo""),7,FALSE)
,
)
))"),"КРЕСС В'ячеслав Вікторович")</f>
        <v>КРЕСС В'ячеслав Вікторович</v>
      </c>
      <c r="J7733" s="7" t="s">
        <v>17</v>
      </c>
    </row>
    <row r="7734" spans="1:10" ht="13.2">
      <c r="A7734" s="7">
        <v>7733</v>
      </c>
      <c r="B7734" s="7">
        <v>1</v>
      </c>
      <c r="C7734" s="7" t="s">
        <v>10</v>
      </c>
      <c r="D7734" s="7">
        <v>8654</v>
      </c>
      <c r="E7734" s="7" t="s">
        <v>21</v>
      </c>
      <c r="F7734" s="8" t="str">
        <f ca="1">IFERROR(__xludf.DUMMYFUNCTION("IF
(
C7735=""фізична особа""
,
VLOOKUP(D7735,IMPORTRANGE(""https://docs.google.com/spreadsheets/d/14Bd19lYaqBhU8_DElYkX7l4wRkHqqCUFNJY4AfY3kHU/edit?usp=sharing  #gid=0"",""фіз особи new!relations_name""),6,FALSE)
,
(IF
(
C7735=""юридична особа""
,
VLOOKUP"&amp;"(D7735,IMPORTRANGE(""https://docs.google.com/spreadsheets/d/14Bd19lYaqBhU8_DElYkX7l4wRkHqqCUFNJY4AfY3kHU/edit?usp=sharing  #gid=0"",""фіз особи new!relations_name_uo""),7,FALSE)
,
)
))"),"КРЕСС Людмила Василівна")</f>
        <v>КРЕСС Людмила Василівна</v>
      </c>
      <c r="G7734" s="7" t="s">
        <v>10</v>
      </c>
      <c r="H7734" s="7">
        <v>23468</v>
      </c>
      <c r="I7734" s="8" t="str">
        <f ca="1">IFERROR(__xludf.DUMMYFUNCTION("IF
(
G7735=""фізична особа""
,
VLOOKUP(H7735,IMPORTRANGE(""https://docs.google.com/spreadsheets/d/14Bd19lYaqBhU8_DElYkX7l4wRkHqqCUFNJY4AfY3kHU/edit?usp=sharing  #gid=0"",""фіз особи new!relations_name""),6,FALSE)
,
(IF
(
G7735=""юридична особа""
,
VLOOKUP"&amp;"(H7735,IMPORTRANGE(""https://docs.google.com/spreadsheets/d/14Bd19lYaqBhU8_DElYkX7l4wRkHqqCUFNJY4AfY3kHU/edit?usp=sharing  #gid=0"",""фіз особи new!relations_name_uo""),7,FALSE)
,
)
))"),"ЄФІМОВА Олена Вікторівна")</f>
        <v>ЄФІМОВА Олена Вікторівна</v>
      </c>
      <c r="J7734" s="7" t="s">
        <v>13</v>
      </c>
    </row>
    <row r="7735" spans="1:10" ht="13.2">
      <c r="A7735" s="7">
        <v>7734</v>
      </c>
      <c r="B7735" s="7">
        <v>1</v>
      </c>
      <c r="C7735" s="7" t="s">
        <v>10</v>
      </c>
      <c r="D7735" s="7">
        <v>8655</v>
      </c>
      <c r="E7735" s="7" t="s">
        <v>15</v>
      </c>
      <c r="F7735" s="8" t="str">
        <f ca="1">IFERROR(__xludf.DUMMYFUNCTION("IF
(
C7736=""фізична особа""
,
VLOOKUP(D7736,IMPORTRANGE(""https://docs.google.com/spreadsheets/d/14Bd19lYaqBhU8_DElYkX7l4wRkHqqCUFNJY4AfY3kHU/edit?usp=sharing  #gid=0"",""фіз особи new!relations_name""),6,FALSE)
,
(IF
(
C7736=""юридична особа""
,
VLOOKUP"&amp;"(D7736,IMPORTRANGE(""https://docs.google.com/spreadsheets/d/14Bd19lYaqBhU8_DElYkX7l4wRkHqqCUFNJY4AfY3kHU/edit?usp=sharing  #gid=0"",""фіз особи new!relations_name_uo""),7,FALSE)
,
)
))"),"НЕКРАСОВА Олена Миколаївна")</f>
        <v>НЕКРАСОВА Олена Миколаївна</v>
      </c>
      <c r="G7735" s="7" t="s">
        <v>10</v>
      </c>
      <c r="H7735" s="7">
        <v>1001</v>
      </c>
      <c r="I7735" s="8" t="str">
        <f ca="1">IFERROR(__xludf.DUMMYFUNCTION("IF
(
G7736=""фізична особа""
,
VLOOKUP(H7736,IMPORTRANGE(""https://docs.google.com/spreadsheets/d/14Bd19lYaqBhU8_DElYkX7l4wRkHqqCUFNJY4AfY3kHU/edit?usp=sharing  #gid=0"",""фіз особи new!relations_name""),6,FALSE)
,
(IF
(
G7736=""юридична особа""
,
VLOOKUP"&amp;"(H7736,IMPORTRANGE(""https://docs.google.com/spreadsheets/d/14Bd19lYaqBhU8_DElYkX7l4wRkHqqCUFNJY4AfY3kHU/edit?usp=sharing  #gid=0"",""фіз особи new!relations_name_uo""),7,FALSE)
,
)
))"),"НЕКРАСОВ Олександр Миколайович")</f>
        <v>НЕКРАСОВ Олександр Миколайович</v>
      </c>
      <c r="J7735" s="7" t="s">
        <v>14</v>
      </c>
    </row>
    <row r="7736" spans="1:10" ht="13.2">
      <c r="A7736" s="7">
        <v>7735</v>
      </c>
      <c r="B7736" s="7">
        <v>1</v>
      </c>
      <c r="C7736" s="7" t="s">
        <v>10</v>
      </c>
      <c r="D7736" s="7">
        <v>8656</v>
      </c>
      <c r="E7736" s="7" t="s">
        <v>15</v>
      </c>
      <c r="F7736" s="8" t="str">
        <f ca="1">IFERROR(__xludf.DUMMYFUNCTION("IF
(
C7737=""фізична особа""
,
VLOOKUP(D7737,IMPORTRANGE(""https://docs.google.com/spreadsheets/d/14Bd19lYaqBhU8_DElYkX7l4wRkHqqCUFNJY4AfY3kHU/edit?usp=sharing  #gid=0"",""фіз особи new!relations_name""),6,FALSE)
,
(IF
(
C7737=""юридична особа""
,
VLOOKUP"&amp;"(D7737,IMPORTRANGE(""https://docs.google.com/spreadsheets/d/14Bd19lYaqBhU8_DElYkX7l4wRkHqqCUFNJY4AfY3kHU/edit?usp=sharing  #gid=0"",""фіз особи new!relations_name_uo""),7,FALSE)
,
)
))"),"РОССЕЛЬ Аїда Олександрівна")</f>
        <v>РОССЕЛЬ Аїда Олександрівна</v>
      </c>
      <c r="G7736" s="7" t="s">
        <v>10</v>
      </c>
      <c r="H7736" s="7">
        <v>1004</v>
      </c>
      <c r="I7736" s="8" t="str">
        <f ca="1">IFERROR(__xludf.DUMMYFUNCTION("IF
(
G7737=""фізична особа""
,
VLOOKUP(H7737,IMPORTRANGE(""https://docs.google.com/spreadsheets/d/14Bd19lYaqBhU8_DElYkX7l4wRkHqqCUFNJY4AfY3kHU/edit?usp=sharing  #gid=0"",""фіз особи new!relations_name""),6,FALSE)
,
(IF
(
G7737=""юридична особа""
,
VLOOKUP"&amp;"(H7737,IMPORTRANGE(""https://docs.google.com/spreadsheets/d/14Bd19lYaqBhU8_DElYkX7l4wRkHqqCUFNJY4AfY3kHU/edit?usp=sharing  #gid=0"",""фіз особи new!relations_name_uo""),7,FALSE)
,
)
))"),"РОССЄЛЬ Едуард Ергартович")</f>
        <v>РОССЄЛЬ Едуард Ергартович</v>
      </c>
      <c r="J7736" s="7" t="s">
        <v>14</v>
      </c>
    </row>
    <row r="7737" spans="1:10" ht="13.2">
      <c r="A7737" s="7">
        <v>7736</v>
      </c>
      <c r="B7737" s="7">
        <v>1</v>
      </c>
      <c r="C7737" s="7" t="s">
        <v>10</v>
      </c>
      <c r="D7737" s="7">
        <v>8657</v>
      </c>
      <c r="E7737" s="7" t="s">
        <v>15</v>
      </c>
      <c r="F7737" s="8" t="str">
        <f ca="1">IFERROR(__xludf.DUMMYFUNCTION("IF
(
C7738=""фізична особа""
,
VLOOKUP(D7738,IMPORTRANGE(""https://docs.google.com/spreadsheets/d/14Bd19lYaqBhU8_DElYkX7l4wRkHqqCUFNJY4AfY3kHU/edit?usp=sharing  #gid=0"",""фіз особи new!relations_name""),6,FALSE)
,
(IF
(
C7738=""юридична особа""
,
VLOOKUP"&amp;"(D7738,IMPORTRANGE(""https://docs.google.com/spreadsheets/d/14Bd19lYaqBhU8_DElYkX7l4wRkHqqCUFNJY4AfY3kHU/edit?usp=sharing  #gid=0"",""фіз особи new!relations_name_uo""),7,FALSE)
,
)
))"),"ЛУКІНА Віра Іванівна")</f>
        <v>ЛУКІНА Віра Іванівна</v>
      </c>
      <c r="G7737" s="7" t="s">
        <v>10</v>
      </c>
      <c r="H7737" s="7">
        <v>1000</v>
      </c>
      <c r="I7737" s="8" t="str">
        <f ca="1">IFERROR(__xludf.DUMMYFUNCTION("IF
(
G7738=""фізична особа""
,
VLOOKUP(H7738,IMPORTRANGE(""https://docs.google.com/spreadsheets/d/14Bd19lYaqBhU8_DElYkX7l4wRkHqqCUFNJY4AfY3kHU/edit?usp=sharing  #gid=0"",""фіз особи new!relations_name""),6,FALSE)
,
(IF
(
G7738=""юридична особа""
,
VLOOKUP"&amp;"(H7738,IMPORTRANGE(""https://docs.google.com/spreadsheets/d/14Bd19lYaqBhU8_DElYkX7l4wRkHqqCUFNJY4AfY3kHU/edit?usp=sharing  #gid=0"",""фіз особи new!relations_name_uo""),7,FALSE)
,
)
))"),"ЛУКІН Сергій Миколайович")</f>
        <v>ЛУКІН Сергій Миколайович</v>
      </c>
      <c r="J7737" s="7" t="s">
        <v>14</v>
      </c>
    </row>
    <row r="7738" spans="1:10" ht="13.2">
      <c r="A7738" s="7">
        <v>7737</v>
      </c>
      <c r="B7738" s="7">
        <v>1</v>
      </c>
      <c r="C7738" s="7" t="s">
        <v>10</v>
      </c>
      <c r="D7738" s="7">
        <v>8657</v>
      </c>
      <c r="E7738" s="7" t="s">
        <v>21</v>
      </c>
      <c r="F7738" s="8" t="str">
        <f ca="1">IFERROR(__xludf.DUMMYFUNCTION("IF
(
C7739=""фізична особа""
,
VLOOKUP(D7739,IMPORTRANGE(""https://docs.google.com/spreadsheets/d/14Bd19lYaqBhU8_DElYkX7l4wRkHqqCUFNJY4AfY3kHU/edit?usp=sharing  #gid=0"",""фіз особи new!relations_name""),6,FALSE)
,
(IF
(
C7739=""юридична особа""
,
VLOOKUP"&amp;"(D7739,IMPORTRANGE(""https://docs.google.com/spreadsheets/d/14Bd19lYaqBhU8_DElYkX7l4wRkHqqCUFNJY4AfY3kHU/edit?usp=sharing  #gid=0"",""фіз особи new!relations_name_uo""),7,FALSE)
,
)
))"),"ЛУКІНА Віра Іванівна")</f>
        <v>ЛУКІНА Віра Іванівна</v>
      </c>
      <c r="G7738" s="7" t="s">
        <v>10</v>
      </c>
      <c r="H7738" s="7">
        <v>8658</v>
      </c>
      <c r="I7738" s="8" t="str">
        <f ca="1">IFERROR(__xludf.DUMMYFUNCTION("IF
(
G7739=""фізична особа""
,
VLOOKUP(H7739,IMPORTRANGE(""https://docs.google.com/spreadsheets/d/14Bd19lYaqBhU8_DElYkX7l4wRkHqqCUFNJY4AfY3kHU/edit?usp=sharing  #gid=0"",""фіз особи new!relations_name""),6,FALSE)
,
(IF
(
G7739=""юридична особа""
,
VLOOKUP"&amp;"(H7739,IMPORTRANGE(""https://docs.google.com/spreadsheets/d/14Bd19lYaqBhU8_DElYkX7l4wRkHqqCUFNJY4AfY3kHU/edit?usp=sharing  #gid=0"",""фіз особи new!relations_name_uo""),7,FALSE)
,
)
))"),"ЛУКІН Олександр Сергійович")</f>
        <v>ЛУКІН Олександр Сергійович</v>
      </c>
      <c r="J7738" s="7" t="s">
        <v>17</v>
      </c>
    </row>
    <row r="7739" spans="1:10" ht="13.2">
      <c r="A7739" s="7">
        <v>7738</v>
      </c>
      <c r="B7739" s="7">
        <v>1</v>
      </c>
      <c r="C7739" s="7" t="s">
        <v>10</v>
      </c>
      <c r="D7739" s="7">
        <v>8657</v>
      </c>
      <c r="E7739" s="7" t="s">
        <v>21</v>
      </c>
      <c r="F7739" s="8" t="str">
        <f ca="1">IFERROR(__xludf.DUMMYFUNCTION("IF
(
C7740=""фізична особа""
,
VLOOKUP(D7740,IMPORTRANGE(""https://docs.google.com/spreadsheets/d/14Bd19lYaqBhU8_DElYkX7l4wRkHqqCUFNJY4AfY3kHU/edit?usp=sharing  #gid=0"",""фіз особи new!relations_name""),6,FALSE)
,
(IF
(
C7740=""юридична особа""
,
VLOOKUP"&amp;"(D7740,IMPORTRANGE(""https://docs.google.com/spreadsheets/d/14Bd19lYaqBhU8_DElYkX7l4wRkHqqCUFNJY4AfY3kHU/edit?usp=sharing  #gid=0"",""фіз особи new!relations_name_uo""),7,FALSE)
,
)
))"),"ЛУКІНА Віра Іванівна")</f>
        <v>ЛУКІНА Віра Іванівна</v>
      </c>
      <c r="G7739" s="7" t="s">
        <v>10</v>
      </c>
      <c r="H7739" s="7">
        <v>23570</v>
      </c>
      <c r="I7739" s="8" t="str">
        <f ca="1">IFERROR(__xludf.DUMMYFUNCTION("IF
(
G7740=""фізична особа""
,
VLOOKUP(H7740,IMPORTRANGE(""https://docs.google.com/spreadsheets/d/14Bd19lYaqBhU8_DElYkX7l4wRkHqqCUFNJY4AfY3kHU/edit?usp=sharing  #gid=0"",""фіз особи new!relations_name""),6,FALSE)
,
(IF
(
G7740=""юридична особа""
,
VLOOKUP"&amp;"(H7740,IMPORTRANGE(""https://docs.google.com/spreadsheets/d/14Bd19lYaqBhU8_DElYkX7l4wRkHqqCUFNJY4AfY3kHU/edit?usp=sharing  #gid=0"",""фіз особи new!relations_name_uo""),7,FALSE)
,
)
))"),"ЛУКІНА Олена Сергіївна")</f>
        <v>ЛУКІНА Олена Сергіївна</v>
      </c>
      <c r="J7739" s="7" t="s">
        <v>13</v>
      </c>
    </row>
    <row r="7740" spans="1:10" ht="13.2">
      <c r="A7740" s="7">
        <v>7739</v>
      </c>
      <c r="B7740" s="7">
        <v>1</v>
      </c>
      <c r="C7740" s="7" t="s">
        <v>10</v>
      </c>
      <c r="D7740" s="7">
        <v>8658</v>
      </c>
      <c r="E7740" s="7" t="s">
        <v>17</v>
      </c>
      <c r="F7740" s="8" t="str">
        <f ca="1">IFERROR(__xludf.DUMMYFUNCTION("IF
(
C7741=""фізична особа""
,
VLOOKUP(D7741,IMPORTRANGE(""https://docs.google.com/spreadsheets/d/14Bd19lYaqBhU8_DElYkX7l4wRkHqqCUFNJY4AfY3kHU/edit?usp=sharing  #gid=0"",""фіз особи new!relations_name""),6,FALSE)
,
(IF
(
C7741=""юридична особа""
,
VLOOKUP"&amp;"(D7741,IMPORTRANGE(""https://docs.google.com/spreadsheets/d/14Bd19lYaqBhU8_DElYkX7l4wRkHqqCUFNJY4AfY3kHU/edit?usp=sharing  #gid=0"",""фіз особи new!relations_name_uo""),7,FALSE)
,
)
))"),"ЛУКІН Олександр Сергійович")</f>
        <v>ЛУКІН Олександр Сергійович</v>
      </c>
      <c r="G7740" s="7" t="s">
        <v>10</v>
      </c>
      <c r="H7740" s="7">
        <v>1000</v>
      </c>
      <c r="I7740" s="8" t="str">
        <f ca="1">IFERROR(__xludf.DUMMYFUNCTION("IF
(
G7741=""фізична особа""
,
VLOOKUP(H7741,IMPORTRANGE(""https://docs.google.com/spreadsheets/d/14Bd19lYaqBhU8_DElYkX7l4wRkHqqCUFNJY4AfY3kHU/edit?usp=sharing  #gid=0"",""фіз особи new!relations_name""),6,FALSE)
,
(IF
(
G7741=""юридична особа""
,
VLOOKUP"&amp;"(H7741,IMPORTRANGE(""https://docs.google.com/spreadsheets/d/14Bd19lYaqBhU8_DElYkX7l4wRkHqqCUFNJY4AfY3kHU/edit?usp=sharing  #gid=0"",""фіз особи new!relations_name_uo""),7,FALSE)
,
)
))"),"ЛУКІН Сергій Миколайович")</f>
        <v>ЛУКІН Сергій Миколайович</v>
      </c>
      <c r="J7740" s="7" t="s">
        <v>12</v>
      </c>
    </row>
    <row r="7741" spans="1:10" ht="13.2">
      <c r="A7741" s="7">
        <v>7740</v>
      </c>
      <c r="B7741" s="7">
        <v>1</v>
      </c>
      <c r="C7741" s="7" t="s">
        <v>10</v>
      </c>
      <c r="D7741" s="7">
        <v>8658</v>
      </c>
      <c r="E7741" s="7" t="s">
        <v>17</v>
      </c>
      <c r="F7741" s="8" t="str">
        <f ca="1">IFERROR(__xludf.DUMMYFUNCTION("IF
(
C7742=""фізична особа""
,
VLOOKUP(D7742,IMPORTRANGE(""https://docs.google.com/spreadsheets/d/14Bd19lYaqBhU8_DElYkX7l4wRkHqqCUFNJY4AfY3kHU/edit?usp=sharing  #gid=0"",""фіз особи new!relations_name""),6,FALSE)
,
(IF
(
C7742=""юридична особа""
,
VLOOKUP"&amp;"(D7742,IMPORTRANGE(""https://docs.google.com/spreadsheets/d/14Bd19lYaqBhU8_DElYkX7l4wRkHqqCUFNJY4AfY3kHU/edit?usp=sharing  #gid=0"",""фіз особи new!relations_name_uo""),7,FALSE)
,
)
))"),"ЛУКІН Олександр Сергійович")</f>
        <v>ЛУКІН Олександр Сергійович</v>
      </c>
      <c r="G7741" s="7" t="s">
        <v>10</v>
      </c>
      <c r="H7741" s="7">
        <v>8657</v>
      </c>
      <c r="I7741" s="8" t="str">
        <f ca="1">IFERROR(__xludf.DUMMYFUNCTION("IF
(
G7742=""фізична особа""
,
VLOOKUP(H7742,IMPORTRANGE(""https://docs.google.com/spreadsheets/d/14Bd19lYaqBhU8_DElYkX7l4wRkHqqCUFNJY4AfY3kHU/edit?usp=sharing  #gid=0"",""фіз особи new!relations_name""),6,FALSE)
,
(IF
(
G7742=""юридична особа""
,
VLOOKUP"&amp;"(H7742,IMPORTRANGE(""https://docs.google.com/spreadsheets/d/14Bd19lYaqBhU8_DElYkX7l4wRkHqqCUFNJY4AfY3kHU/edit?usp=sharing  #gid=0"",""фіз особи new!relations_name_uo""),7,FALSE)
,
)
))"),"ЛУКІНА Віра Іванівна")</f>
        <v>ЛУКІНА Віра Іванівна</v>
      </c>
      <c r="J7741" s="7" t="s">
        <v>21</v>
      </c>
    </row>
    <row r="7742" spans="1:10" ht="13.2">
      <c r="A7742" s="7">
        <v>7741</v>
      </c>
      <c r="B7742" s="7">
        <v>1</v>
      </c>
      <c r="C7742" s="7" t="s">
        <v>10</v>
      </c>
      <c r="D7742" s="7">
        <v>8658</v>
      </c>
      <c r="E7742" s="7" t="s">
        <v>18</v>
      </c>
      <c r="F7742" s="8" t="str">
        <f ca="1">IFERROR(__xludf.DUMMYFUNCTION("IF
(
C7743=""фізична особа""
,
VLOOKUP(D7743,IMPORTRANGE(""https://docs.google.com/spreadsheets/d/14Bd19lYaqBhU8_DElYkX7l4wRkHqqCUFNJY4AfY3kHU/edit?usp=sharing  #gid=0"",""фіз особи new!relations_name""),6,FALSE)
,
(IF
(
C7743=""юридична особа""
,
VLOOKUP"&amp;"(D7743,IMPORTRANGE(""https://docs.google.com/spreadsheets/d/14Bd19lYaqBhU8_DElYkX7l4wRkHqqCUFNJY4AfY3kHU/edit?usp=sharing  #gid=0"",""фіз особи new!relations_name_uo""),7,FALSE)
,
)
))"),"ЛУКІН Олександр Сергійович")</f>
        <v>ЛУКІН Олександр Сергійович</v>
      </c>
      <c r="G7742" s="7" t="s">
        <v>10</v>
      </c>
      <c r="H7742" s="7">
        <v>23570</v>
      </c>
      <c r="I7742" s="8" t="str">
        <f ca="1">IFERROR(__xludf.DUMMYFUNCTION("IF
(
G7743=""фізична особа""
,
VLOOKUP(H7743,IMPORTRANGE(""https://docs.google.com/spreadsheets/d/14Bd19lYaqBhU8_DElYkX7l4wRkHqqCUFNJY4AfY3kHU/edit?usp=sharing  #gid=0"",""фіз особи new!relations_name""),6,FALSE)
,
(IF
(
G7743=""юридична особа""
,
VLOOKUP"&amp;"(H7743,IMPORTRANGE(""https://docs.google.com/spreadsheets/d/14Bd19lYaqBhU8_DElYkX7l4wRkHqqCUFNJY4AfY3kHU/edit?usp=sharing  #gid=0"",""фіз особи new!relations_name_uo""),7,FALSE)
,
)
))"),"ЛУКІНА Олена Сергіївна")</f>
        <v>ЛУКІНА Олена Сергіївна</v>
      </c>
      <c r="J7742" s="7" t="s">
        <v>31</v>
      </c>
    </row>
    <row r="7743" spans="1:10" ht="13.2">
      <c r="A7743" s="7">
        <v>7742</v>
      </c>
      <c r="B7743" s="7">
        <v>1</v>
      </c>
      <c r="C7743" s="7" t="s">
        <v>10</v>
      </c>
      <c r="D7743" s="7">
        <v>8665</v>
      </c>
      <c r="E7743" s="7" t="s">
        <v>28</v>
      </c>
      <c r="F7743" s="8" t="str">
        <f ca="1">IFERROR(__xludf.DUMMYFUNCTION("IF
(
C7744=""фізична особа""
,
VLOOKUP(D7744,IMPORTRANGE(""https://docs.google.com/spreadsheets/d/14Bd19lYaqBhU8_DElYkX7l4wRkHqqCUFNJY4AfY3kHU/edit?usp=sharing  #gid=0"",""фіз особи new!relations_name""),6,FALSE)
,
(IF
(
C7744=""юридична особа""
,
VLOOKUP"&amp;"(D7744,IMPORTRANGE(""https://docs.google.com/spreadsheets/d/14Bd19lYaqBhU8_DElYkX7l4wRkHqqCUFNJY4AfY3kHU/edit?usp=sharing  #gid=0"",""фіз особи new!relations_name_uo""),7,FALSE)
,
)
))"),"КУЗНЕЦОВ Михайло Михайлович")</f>
        <v>КУЗНЕЦОВ Михайло Михайлович</v>
      </c>
      <c r="G7743" s="7" t="s">
        <v>10</v>
      </c>
      <c r="H7743" s="7">
        <v>880</v>
      </c>
      <c r="I7743" s="8" t="str">
        <f ca="1">IFERROR(__xludf.DUMMYFUNCTION("IF
(
G7744=""фізична особа""
,
VLOOKUP(H7744,IMPORTRANGE(""https://docs.google.com/spreadsheets/d/14Bd19lYaqBhU8_DElYkX7l4wRkHqqCUFNJY4AfY3kHU/edit?usp=sharing  #gid=0"",""фіз особи new!relations_name""),6,FALSE)
,
(IF
(
G7744=""юридична особа""
,
VLOOKUP"&amp;"(H7744,IMPORTRANGE(""https://docs.google.com/spreadsheets/d/14Bd19lYaqBhU8_DElYkX7l4wRkHqqCUFNJY4AfY3kHU/edit?usp=sharing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743" s="7" t="s">
        <v>29</v>
      </c>
    </row>
    <row r="7744" spans="1:10" ht="13.2">
      <c r="A7744" s="7">
        <v>7743</v>
      </c>
      <c r="B7744" s="7">
        <v>1</v>
      </c>
      <c r="C7744" s="7" t="s">
        <v>10</v>
      </c>
      <c r="D7744" s="7">
        <v>8668</v>
      </c>
      <c r="E7744" s="7" t="s">
        <v>28</v>
      </c>
      <c r="F7744" s="8" t="str">
        <f ca="1">IFERROR(__xludf.DUMMYFUNCTION("IF
(
C7745=""фізична особа""
,
VLOOKUP(D7745,IMPORTRANGE(""https://docs.google.com/spreadsheets/d/14Bd19lYaqBhU8_DElYkX7l4wRkHqqCUFNJY4AfY3kHU/edit?usp=sharing  #gid=0"",""фіз особи new!relations_name""),6,FALSE)
,
(IF
(
C7745=""юридична особа""
,
VLOOKUP"&amp;"(D7745,IMPORTRANGE(""https://docs.google.com/spreadsheets/d/14Bd19lYaqBhU8_DElYkX7l4wRkHqqCUFNJY4AfY3kHU/edit?usp=sharing  #gid=0"",""фіз особи new!relations_name_uo""),7,FALSE)
,
)
))"),"МАМЕДОВ Олексій Хамракулович")</f>
        <v>МАМЕДОВ Олексій Хамракулович</v>
      </c>
      <c r="G7744" s="7" t="s">
        <v>10</v>
      </c>
      <c r="H7744" s="7">
        <v>880</v>
      </c>
      <c r="I7744" s="8" t="str">
        <f ca="1">IFERROR(__xludf.DUMMYFUNCTION("IF
(
G7745=""фізична особа""
,
VLOOKUP(H7745,IMPORTRANGE(""https://docs.google.com/spreadsheets/d/14Bd19lYaqBhU8_DElYkX7l4wRkHqqCUFNJY4AfY3kHU/edit?usp=sharing  #gid=0"",""фіз особи new!relations_name""),6,FALSE)
,
(IF
(
G7745=""юридична особа""
,
VLOOKUP"&amp;"(H7745,IMPORTRANGE(""https://docs.google.com/spreadsheets/d/14Bd19lYaqBhU8_DElYkX7l4wRkHqqCUFNJY4AfY3kHU/edit?usp=sharing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7744" s="7" t="s">
        <v>29</v>
      </c>
    </row>
    <row r="7745" spans="1:10" ht="13.2">
      <c r="A7745" s="7">
        <v>7744</v>
      </c>
      <c r="B7745" s="7">
        <v>1</v>
      </c>
      <c r="C7745" s="7" t="s">
        <v>10</v>
      </c>
      <c r="D7745" s="7">
        <v>8671</v>
      </c>
      <c r="E7745" s="7" t="s">
        <v>29</v>
      </c>
      <c r="F7745" s="8" t="str">
        <f ca="1">IFERROR(__xludf.DUMMYFUNCTION("IF
(
C7746=""фізична особа""
,
VLOOKUP(D7746,IMPORTRANGE(""https://docs.google.com/spreadsheets/d/14Bd19lYaqBhU8_DElYkX7l4wRkHqqCUFNJY4AfY3kHU/edit?usp=sharing  #gid=0"",""фіз особи new!relations_name""),6,FALSE)
,
(IF
(
C7746=""юридична особа""
,
VLOOKUP"&amp;"(D7746,IMPORTRANGE(""https://docs.google.com/spreadsheets/d/14Bd19lYaqBhU8_DElYkX7l4wRkHqqCUFNJY4AfY3kHU/edit?usp=sharing  #gid=0"",""фіз особи new!relations_name_uo""),7,FALSE)
,
)
))"),"ГРОМОВ Борис Всеволодович")</f>
        <v>ГРОМОВ Борис Всеволодович</v>
      </c>
      <c r="G7745" s="7" t="s">
        <v>10</v>
      </c>
      <c r="H7745" s="7">
        <v>13114</v>
      </c>
      <c r="I7745" s="8" t="str">
        <f ca="1">IFERROR(__xludf.DUMMYFUNCTION("IF
(
G7746=""фізична особа""
,
VLOOKUP(H7746,IMPORTRANGE(""https://docs.google.com/spreadsheets/d/14Bd19lYaqBhU8_DElYkX7l4wRkHqqCUFNJY4AfY3kHU/edit?usp=sharing  #gid=0"",""фіз особи new!relations_name""),6,FALSE)
,
(IF
(
G7746=""юридична особа""
,
VLOOKUP"&amp;"(H7746,IMPORTRANGE(""https://docs.google.com/spreadsheets/d/14Bd19lYaqBhU8_DElYkX7l4wRkHqqCUFNJY4AfY3kHU/edit?usp=sharing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45" s="7" t="s">
        <v>28</v>
      </c>
    </row>
    <row r="7746" spans="1:10" ht="13.2">
      <c r="A7746" s="7">
        <v>7745</v>
      </c>
      <c r="B7746" s="7">
        <v>1</v>
      </c>
      <c r="C7746" s="7" t="s">
        <v>10</v>
      </c>
      <c r="D7746" s="7">
        <v>8672</v>
      </c>
      <c r="E7746" s="7" t="s">
        <v>28</v>
      </c>
      <c r="F7746" s="8" t="str">
        <f ca="1">IFERROR(__xludf.DUMMYFUNCTION("IF
(
C7747=""фізична особа""
,
VLOOKUP(D7747,IMPORTRANGE(""https://docs.google.com/spreadsheets/d/14Bd19lYaqBhU8_DElYkX7l4wRkHqqCUFNJY4AfY3kHU/edit?usp=sharing  #gid=0"",""фіз особи new!relations_name""),6,FALSE)
,
(IF
(
C7747=""юридична особа""
,
VLOOKUP"&amp;"(D7747,IMPORTRANGE(""https://docs.google.com/spreadsheets/d/14Bd19lYaqBhU8_DElYkX7l4wRkHqqCUFNJY4AfY3kHU/edit?usp=sharing  #gid=0"",""фіз особи new!relations_name_uo""),7,FALSE)
,
)
))"),"КАУРОВ Віктор Романович")</f>
        <v>КАУРОВ Віктор Романович</v>
      </c>
      <c r="G7746" s="7" t="s">
        <v>10</v>
      </c>
      <c r="H7746" s="7">
        <v>13114</v>
      </c>
      <c r="I7746" s="8" t="str">
        <f ca="1">IFERROR(__xludf.DUMMYFUNCTION("IF
(
G7747=""фізична особа""
,
VLOOKUP(H7747,IMPORTRANGE(""https://docs.google.com/spreadsheets/d/14Bd19lYaqBhU8_DElYkX7l4wRkHqqCUFNJY4AfY3kHU/edit?usp=sharing  #gid=0"",""фіз особи new!relations_name""),6,FALSE)
,
(IF
(
G7747=""юридична особа""
,
VLOOKUP"&amp;"(H7747,IMPORTRANGE(""https://docs.google.com/spreadsheets/d/14Bd19lYaqBhU8_DElYkX7l4wRkHqqCUFNJY4AfY3kHU/edit?usp=sharing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46" s="7" t="s">
        <v>29</v>
      </c>
    </row>
    <row r="7747" spans="1:10" ht="13.2">
      <c r="A7747" s="7">
        <v>7746</v>
      </c>
      <c r="B7747" s="7">
        <v>1</v>
      </c>
      <c r="C7747" s="7" t="s">
        <v>10</v>
      </c>
      <c r="D7747" s="7">
        <v>8673</v>
      </c>
      <c r="E7747" s="7" t="s">
        <v>28</v>
      </c>
      <c r="F7747" s="8" t="str">
        <f ca="1">IFERROR(__xludf.DUMMYFUNCTION("IF
(
C7748=""фізична особа""
,
VLOOKUP(D7748,IMPORTRANGE(""https://docs.google.com/spreadsheets/d/14Bd19lYaqBhU8_DElYkX7l4wRkHqqCUFNJY4AfY3kHU/edit?usp=sharing  #gid=0"",""фіз особи new!relations_name""),6,FALSE)
,
(IF
(
C7748=""юридична особа""
,
VLOOKUP"&amp;"(D7748,IMPORTRANGE(""https://docs.google.com/spreadsheets/d/14Bd19lYaqBhU8_DElYkX7l4wRkHqqCUFNJY4AfY3kHU/edit?usp=sharing  #gid=0"",""фіз особи new!relations_name_uo""),7,FALSE)
,
)
))"),"ЗУБАРЄВ Євген Олександрович")</f>
        <v>ЗУБАРЄВ Євген Олександрович</v>
      </c>
      <c r="G7747" s="7" t="s">
        <v>10</v>
      </c>
      <c r="H7747" s="7">
        <v>13114</v>
      </c>
      <c r="I7747" s="8" t="str">
        <f ca="1">IFERROR(__xludf.DUMMYFUNCTION("IF
(
G7748=""фізична особа""
,
VLOOKUP(H7748,IMPORTRANGE(""https://docs.google.com/spreadsheets/d/14Bd19lYaqBhU8_DElYkX7l4wRkHqqCUFNJY4AfY3kHU/edit?usp=sharing  #gid=0"",""фіз особи new!relations_name""),6,FALSE)
,
(IF
(
G7748=""юридична особа""
,
VLOOKUP"&amp;"(H7748,IMPORTRANGE(""https://docs.google.com/spreadsheets/d/14Bd19lYaqBhU8_DElYkX7l4wRkHqqCUFNJY4AfY3kHU/edit?usp=sharing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47" s="7" t="s">
        <v>29</v>
      </c>
    </row>
    <row r="7748" spans="1:10" ht="13.2">
      <c r="A7748" s="7">
        <v>7747</v>
      </c>
      <c r="B7748" s="7">
        <v>1</v>
      </c>
      <c r="C7748" s="7" t="s">
        <v>10</v>
      </c>
      <c r="D7748" s="7">
        <v>8674</v>
      </c>
      <c r="E7748" s="7" t="s">
        <v>28</v>
      </c>
      <c r="F7748" s="8" t="str">
        <f ca="1">IFERROR(__xludf.DUMMYFUNCTION("IF
(
C7749=""фізична особа""
,
VLOOKUP(D7749,IMPORTRANGE(""https://docs.google.com/spreadsheets/d/14Bd19lYaqBhU8_DElYkX7l4wRkHqqCUFNJY4AfY3kHU/edit?usp=sharing  #gid=0"",""фіз особи new!relations_name""),6,FALSE)
,
(IF
(
C7749=""юридична особа""
,
VLOOKUP"&amp;"(D7749,IMPORTRANGE(""https://docs.google.com/spreadsheets/d/14Bd19lYaqBhU8_DElYkX7l4wRkHqqCUFNJY4AfY3kHU/edit?usp=sharing  #gid=0"",""фіз особи new!relations_name_uo""),7,FALSE)
,
)
))"),"АГЕЄНКО Іван Миколайович")</f>
        <v>АГЕЄНКО Іван Миколайович</v>
      </c>
      <c r="G7748" s="7" t="s">
        <v>10</v>
      </c>
      <c r="H7748" s="7">
        <v>13114</v>
      </c>
      <c r="I7748" s="8" t="str">
        <f ca="1">IFERROR(__xludf.DUMMYFUNCTION("IF
(
G7749=""фізична особа""
,
VLOOKUP(H7749,IMPORTRANGE(""https://docs.google.com/spreadsheets/d/14Bd19lYaqBhU8_DElYkX7l4wRkHqqCUFNJY4AfY3kHU/edit?usp=sharing  #gid=0"",""фіз особи new!relations_name""),6,FALSE)
,
(IF
(
G7749=""юридична особа""
,
VLOOKUP"&amp;"(H7749,IMPORTRANGE(""https://docs.google.com/spreadsheets/d/14Bd19lYaqBhU8_DElYkX7l4wRkHqqCUFNJY4AfY3kHU/edit?usp=sharing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48" s="7" t="s">
        <v>29</v>
      </c>
    </row>
    <row r="7749" spans="1:10" ht="13.2">
      <c r="A7749" s="7">
        <v>7748</v>
      </c>
      <c r="B7749" s="7">
        <v>1</v>
      </c>
      <c r="C7749" s="7" t="s">
        <v>10</v>
      </c>
      <c r="D7749" s="7">
        <v>8675</v>
      </c>
      <c r="E7749" s="7" t="s">
        <v>28</v>
      </c>
      <c r="F7749" s="8" t="str">
        <f ca="1">IFERROR(__xludf.DUMMYFUNCTION("IF
(
C7750=""фізична особа""
,
VLOOKUP(D7750,IMPORTRANGE(""https://docs.google.com/spreadsheets/d/14Bd19lYaqBhU8_DElYkX7l4wRkHqqCUFNJY4AfY3kHU/edit?usp=sharing  #gid=0"",""фіз особи new!relations_name""),6,FALSE)
,
(IF
(
C7750=""юридична особа""
,
VLOOKUP"&amp;"(D7750,IMPORTRANGE(""https://docs.google.com/spreadsheets/d/14Bd19lYaqBhU8_DElYkX7l4wRkHqqCUFNJY4AfY3kHU/edit?usp=sharing  #gid=0"",""фіз особи new!relations_name_uo""),7,FALSE)
,
)
))"),"КОНОВАЛОВ Сергій Сергійович")</f>
        <v>КОНОВАЛОВ Сергій Сергійович</v>
      </c>
      <c r="G7749" s="7" t="s">
        <v>10</v>
      </c>
      <c r="H7749" s="7">
        <v>13114</v>
      </c>
      <c r="I7749" s="8" t="str">
        <f ca="1">IFERROR(__xludf.DUMMYFUNCTION("IF
(
G7750=""фізична особа""
,
VLOOKUP(H7750,IMPORTRANGE(""https://docs.google.com/spreadsheets/d/14Bd19lYaqBhU8_DElYkX7l4wRkHqqCUFNJY4AfY3kHU/edit?usp=sharing  #gid=0"",""фіз особи new!relations_name""),6,FALSE)
,
(IF
(
G7750=""юридична особа""
,
VLOOKUP"&amp;"(H7750,IMPORTRANGE(""https://docs.google.com/spreadsheets/d/14Bd19lYaqBhU8_DElYkX7l4wRkHqqCUFNJY4AfY3kHU/edit?usp=sharing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49" s="7" t="s">
        <v>29</v>
      </c>
    </row>
    <row r="7750" spans="1:10" ht="13.2">
      <c r="A7750" s="7">
        <v>7749</v>
      </c>
      <c r="B7750" s="7">
        <v>1</v>
      </c>
      <c r="C7750" s="7" t="s">
        <v>10</v>
      </c>
      <c r="D7750" s="7">
        <v>8676</v>
      </c>
      <c r="E7750" s="7" t="s">
        <v>28</v>
      </c>
      <c r="F7750" s="8" t="str">
        <f ca="1">IFERROR(__xludf.DUMMYFUNCTION("IF
(
C7751=""фізична особа""
,
VLOOKUP(D7751,IMPORTRANGE(""https://docs.google.com/spreadsheets/d/14Bd19lYaqBhU8_DElYkX7l4wRkHqqCUFNJY4AfY3kHU/edit?usp=sharing  #gid=0"",""фіз особи new!relations_name""),6,FALSE)
,
(IF
(
C7751=""юридична особа""
,
VLOOKUP"&amp;"(D7751,IMPORTRANGE(""https://docs.google.com/spreadsheets/d/14Bd19lYaqBhU8_DElYkX7l4wRkHqqCUFNJY4AfY3kHU/edit?usp=sharing  #gid=0"",""фіз особи new!relations_name_uo""),7,FALSE)
,
)
))"),"ПЄРНІКОВ Сергій Миколайович")</f>
        <v>ПЄРНІКОВ Сергій Миколайович</v>
      </c>
      <c r="G7750" s="7" t="s">
        <v>10</v>
      </c>
      <c r="H7750" s="7">
        <v>13114</v>
      </c>
      <c r="I7750" s="8" t="str">
        <f ca="1">IFERROR(__xludf.DUMMYFUNCTION("IF
(
G7751=""фізична особа""
,
VLOOKUP(H7751,IMPORTRANGE(""https://docs.google.com/spreadsheets/d/14Bd19lYaqBhU8_DElYkX7l4wRkHqqCUFNJY4AfY3kHU/edit?usp=sharing  #gid=0"",""фіз особи new!relations_name""),6,FALSE)
,
(IF
(
G7751=""юридична особа""
,
VLOOKUP"&amp;"(H7751,IMPORTRANGE(""https://docs.google.com/spreadsheets/d/14Bd19lYaqBhU8_DElYkX7l4wRkHqqCUFNJY4AfY3kHU/edit?usp=sharing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0" s="7" t="s">
        <v>29</v>
      </c>
    </row>
    <row r="7751" spans="1:10" ht="13.2">
      <c r="A7751" s="7">
        <v>7750</v>
      </c>
      <c r="B7751" s="7">
        <v>1</v>
      </c>
      <c r="C7751" s="7" t="s">
        <v>10</v>
      </c>
      <c r="D7751" s="7">
        <v>8677</v>
      </c>
      <c r="E7751" s="7" t="s">
        <v>28</v>
      </c>
      <c r="F7751" s="8" t="str">
        <f ca="1">IFERROR(__xludf.DUMMYFUNCTION("IF
(
C7752=""фізична особа""
,
VLOOKUP(D7752,IMPORTRANGE(""https://docs.google.com/spreadsheets/d/14Bd19lYaqBhU8_DElYkX7l4wRkHqqCUFNJY4AfY3kHU/edit?usp=sharing  #gid=0"",""фіз особи new!relations_name""),6,FALSE)
,
(IF
(
C7752=""юридична особа""
,
VLOOKUP"&amp;"(D7752,IMPORTRANGE(""https://docs.google.com/spreadsheets/d/14Bd19lYaqBhU8_DElYkX7l4wRkHqqCUFNJY4AfY3kHU/edit?usp=sharing  #gid=0"",""фіз особи new!relations_name_uo""),7,FALSE)
,
)
))"),"ШОРОХОВ Геннадій Михайлович")</f>
        <v>ШОРОХОВ Геннадій Михайлович</v>
      </c>
      <c r="G7751" s="7" t="s">
        <v>10</v>
      </c>
      <c r="H7751" s="7">
        <v>13114</v>
      </c>
      <c r="I7751" s="8" t="str">
        <f ca="1">IFERROR(__xludf.DUMMYFUNCTION("IF
(
G7752=""фізична особа""
,
VLOOKUP(H7752,IMPORTRANGE(""https://docs.google.com/spreadsheets/d/14Bd19lYaqBhU8_DElYkX7l4wRkHqqCUFNJY4AfY3kHU/edit?usp=sharing  #gid=0"",""фіз особи new!relations_name""),6,FALSE)
,
(IF
(
G7752=""юридична особа""
,
VLOOKUP"&amp;"(H7752,IMPORTRANGE(""https://docs.google.com/spreadsheets/d/14Bd19lYaqBhU8_DElYkX7l4wRkHqqCUFNJY4AfY3kHU/edit?usp=sharing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1" s="7" t="s">
        <v>29</v>
      </c>
    </row>
    <row r="7752" spans="1:10" ht="13.2">
      <c r="A7752" s="7">
        <v>7751</v>
      </c>
      <c r="B7752" s="7">
        <v>1</v>
      </c>
      <c r="C7752" s="7" t="s">
        <v>10</v>
      </c>
      <c r="D7752" s="7">
        <v>8678</v>
      </c>
      <c r="E7752" s="7" t="s">
        <v>28</v>
      </c>
      <c r="F7752" s="8" t="str">
        <f ca="1">IFERROR(__xludf.DUMMYFUNCTION("IF
(
C7753=""фізична особа""
,
VLOOKUP(D7753,IMPORTRANGE(""https://docs.google.com/spreadsheets/d/14Bd19lYaqBhU8_DElYkX7l4wRkHqqCUFNJY4AfY3kHU/edit?usp=sharing  #gid=0"",""фіз особи new!relations_name""),6,FALSE)
,
(IF
(
C7753=""юридична особа""
,
VLOOKUP"&amp;"(D7753,IMPORTRANGE(""https://docs.google.com/spreadsheets/d/14Bd19lYaqBhU8_DElYkX7l4wRkHqqCUFNJY4AfY3kHU/edit?usp=sharing  #gid=0"",""фіз особи new!relations_name_uo""),7,FALSE)
,
)
))"),"АФАНАС'ЄВА Марія Олександрівна")</f>
        <v>АФАНАС'ЄВА Марія Олександрівна</v>
      </c>
      <c r="G7752" s="7" t="s">
        <v>10</v>
      </c>
      <c r="H7752" s="7">
        <v>13114</v>
      </c>
      <c r="I7752" s="8" t="str">
        <f ca="1">IFERROR(__xludf.DUMMYFUNCTION("IF
(
G7753=""фізична особа""
,
VLOOKUP(H7753,IMPORTRANGE(""https://docs.google.com/spreadsheets/d/14Bd19lYaqBhU8_DElYkX7l4wRkHqqCUFNJY4AfY3kHU/edit?usp=sharing  #gid=0"",""фіз особи new!relations_name""),6,FALSE)
,
(IF
(
G7753=""юридична особа""
,
VLOOKUP"&amp;"(H7753,IMPORTRANGE(""https://docs.google.com/spreadsheets/d/14Bd19lYaqBhU8_DElYkX7l4wRkHqqCUFNJY4AfY3kHU/edit?usp=sharing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2" s="7" t="s">
        <v>29</v>
      </c>
    </row>
    <row r="7753" spans="1:10" ht="13.2">
      <c r="A7753" s="7">
        <v>7752</v>
      </c>
      <c r="B7753" s="7">
        <v>1</v>
      </c>
      <c r="C7753" s="7" t="s">
        <v>10</v>
      </c>
      <c r="D7753" s="7">
        <v>8679</v>
      </c>
      <c r="E7753" s="7" t="s">
        <v>28</v>
      </c>
      <c r="F7753" s="8" t="str">
        <f ca="1">IFERROR(__xludf.DUMMYFUNCTION("IF
(
C7754=""фізична особа""
,
VLOOKUP(D7754,IMPORTRANGE(""https://docs.google.com/spreadsheets/d/14Bd19lYaqBhU8_DElYkX7l4wRkHqqCUFNJY4AfY3kHU/edit?usp=sharing  #gid=0"",""фіз особи new!relations_name""),6,FALSE)
,
(IF
(
C7754=""юридична особа""
,
VLOOKUP"&amp;"(D7754,IMPORTRANGE(""https://docs.google.com/spreadsheets/d/14Bd19lYaqBhU8_DElYkX7l4wRkHqqCUFNJY4AfY3kHU/edit?usp=sharing  #gid=0"",""фіз особи new!relations_name_uo""),7,FALSE)
,
)
))"),"ВЕНЦАЛЬ Валерій Миколайович")</f>
        <v>ВЕНЦАЛЬ Валерій Миколайович</v>
      </c>
      <c r="G7753" s="7" t="s">
        <v>10</v>
      </c>
      <c r="H7753" s="7">
        <v>13114</v>
      </c>
      <c r="I7753" s="8" t="str">
        <f ca="1">IFERROR(__xludf.DUMMYFUNCTION("IF
(
G7754=""фізична особа""
,
VLOOKUP(H7754,IMPORTRANGE(""https://docs.google.com/spreadsheets/d/14Bd19lYaqBhU8_DElYkX7l4wRkHqqCUFNJY4AfY3kHU/edit?usp=sharing  #gid=0"",""фіз особи new!relations_name""),6,FALSE)
,
(IF
(
G7754=""юридична особа""
,
VLOOKUP"&amp;"(H7754,IMPORTRANGE(""https://docs.google.com/spreadsheets/d/14Bd19lYaqBhU8_DElYkX7l4wRkHqqCUFNJY4AfY3kHU/edit?usp=sharing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3" s="7" t="s">
        <v>29</v>
      </c>
    </row>
    <row r="7754" spans="1:10" ht="13.2">
      <c r="A7754" s="7">
        <v>7753</v>
      </c>
      <c r="B7754" s="7">
        <v>1</v>
      </c>
      <c r="C7754" s="7" t="s">
        <v>10</v>
      </c>
      <c r="D7754" s="7">
        <v>8680</v>
      </c>
      <c r="E7754" s="7" t="s">
        <v>28</v>
      </c>
      <c r="F7754" s="8" t="str">
        <f ca="1">IFERROR(__xludf.DUMMYFUNCTION("IF
(
C7755=""фізична особа""
,
VLOOKUP(D7755,IMPORTRANGE(""https://docs.google.com/spreadsheets/d/14Bd19lYaqBhU8_DElYkX7l4wRkHqqCUFNJY4AfY3kHU/edit?usp=sharing  #gid=0"",""фіз особи new!relations_name""),6,FALSE)
,
(IF
(
C7755=""юридична особа""
,
VLOOKUP"&amp;"(D7755,IMPORTRANGE(""https://docs.google.com/spreadsheets/d/14Bd19lYaqBhU8_DElYkX7l4wRkHqqCUFNJY4AfY3kHU/edit?usp=sharing  #gid=0"",""фіз особи new!relations_name_uo""),7,FALSE)
,
)
))"),"ЛЯПІН Євген Іванович")</f>
        <v>ЛЯПІН Євген Іванович</v>
      </c>
      <c r="G7754" s="7" t="s">
        <v>10</v>
      </c>
      <c r="H7754" s="7">
        <v>13114</v>
      </c>
      <c r="I7754" s="8" t="str">
        <f ca="1">IFERROR(__xludf.DUMMYFUNCTION("IF
(
G7755=""фізична особа""
,
VLOOKUP(H7755,IMPORTRANGE(""https://docs.google.com/spreadsheets/d/14Bd19lYaqBhU8_DElYkX7l4wRkHqqCUFNJY4AfY3kHU/edit?usp=sharing  #gid=0"",""фіз особи new!relations_name""),6,FALSE)
,
(IF
(
G7755=""юридична особа""
,
VLOOKUP"&amp;"(H7755,IMPORTRANGE(""https://docs.google.com/spreadsheets/d/14Bd19lYaqBhU8_DElYkX7l4wRkHqqCUFNJY4AfY3kHU/edit?usp=sharing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4" s="7" t="s">
        <v>29</v>
      </c>
    </row>
    <row r="7755" spans="1:10" ht="13.2">
      <c r="A7755" s="7">
        <v>7754</v>
      </c>
      <c r="B7755" s="7">
        <v>1</v>
      </c>
      <c r="C7755" s="7" t="s">
        <v>10</v>
      </c>
      <c r="D7755" s="7">
        <v>8681</v>
      </c>
      <c r="E7755" s="7" t="s">
        <v>28</v>
      </c>
      <c r="F7755" s="8" t="str">
        <f ca="1">IFERROR(__xludf.DUMMYFUNCTION("IF
(
C7756=""фізична особа""
,
VLOOKUP(D7756,IMPORTRANGE(""https://docs.google.com/spreadsheets/d/14Bd19lYaqBhU8_DElYkX7l4wRkHqqCUFNJY4AfY3kHU/edit?usp=sharing  #gid=0"",""фіз особи new!relations_name""),6,FALSE)
,
(IF
(
C7756=""юридична особа""
,
VLOOKUP"&amp;"(D7756,IMPORTRANGE(""https://docs.google.com/spreadsheets/d/14Bd19lYaqBhU8_DElYkX7l4wRkHqqCUFNJY4AfY3kHU/edit?usp=sharing  #gid=0"",""фіз особи new!relations_name_uo""),7,FALSE)
,
)
))"),"НАСТУЄВ Рашид Володимирович")</f>
        <v>НАСТУЄВ Рашид Володимирович</v>
      </c>
      <c r="G7755" s="7" t="s">
        <v>10</v>
      </c>
      <c r="H7755" s="7">
        <v>13114</v>
      </c>
      <c r="I7755" s="8" t="str">
        <f ca="1">IFERROR(__xludf.DUMMYFUNCTION("IF
(
G7756=""фізична особа""
,
VLOOKUP(H7756,IMPORTRANGE(""https://docs.google.com/spreadsheets/d/14Bd19lYaqBhU8_DElYkX7l4wRkHqqCUFNJY4AfY3kHU/edit?usp=sharing  #gid=0"",""фіз особи new!relations_name""),6,FALSE)
,
(IF
(
G7756=""юридична особа""
,
VLOOKUP"&amp;"(H7756,IMPORTRANGE(""https://docs.google.com/spreadsheets/d/14Bd19lYaqBhU8_DElYkX7l4wRkHqqCUFNJY4AfY3kHU/edit?usp=sharing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5" s="7" t="s">
        <v>29</v>
      </c>
    </row>
    <row r="7756" spans="1:10" ht="13.2">
      <c r="A7756" s="7">
        <v>7755</v>
      </c>
      <c r="B7756" s="7">
        <v>1</v>
      </c>
      <c r="C7756" s="7" t="s">
        <v>10</v>
      </c>
      <c r="D7756" s="7">
        <v>8682</v>
      </c>
      <c r="E7756" s="7" t="s">
        <v>28</v>
      </c>
      <c r="F7756" s="8" t="str">
        <f ca="1">IFERROR(__xludf.DUMMYFUNCTION("IF
(
C7757=""фізична особа""
,
VLOOKUP(D7757,IMPORTRANGE(""https://docs.google.com/spreadsheets/d/14Bd19lYaqBhU8_DElYkX7l4wRkHqqCUFNJY4AfY3kHU/edit?usp=sharing  #gid=0"",""фіз особи new!relations_name""),6,FALSE)
,
(IF
(
C7757=""юридична особа""
,
VLOOKUP"&amp;"(D7757,IMPORTRANGE(""https://docs.google.com/spreadsheets/d/14Bd19lYaqBhU8_DElYkX7l4wRkHqqCUFNJY4AfY3kHU/edit?usp=sharing  #gid=0"",""фіз особи new!relations_name_uo""),7,FALSE)
,
)
))"),"ПІТЕРІМОВ Євген Миколайович")</f>
        <v>ПІТЕРІМОВ Євген Миколайович</v>
      </c>
      <c r="G7756" s="7" t="s">
        <v>10</v>
      </c>
      <c r="H7756" s="7">
        <v>13114</v>
      </c>
      <c r="I7756" s="8" t="str">
        <f ca="1">IFERROR(__xludf.DUMMYFUNCTION("IF
(
G7757=""фізична особа""
,
VLOOKUP(H7757,IMPORTRANGE(""https://docs.google.com/spreadsheets/d/14Bd19lYaqBhU8_DElYkX7l4wRkHqqCUFNJY4AfY3kHU/edit?usp=sharing  #gid=0"",""фіз особи new!relations_name""),6,FALSE)
,
(IF
(
G7757=""юридична особа""
,
VLOOKUP"&amp;"(H7757,IMPORTRANGE(""https://docs.google.com/spreadsheets/d/14Bd19lYaqBhU8_DElYkX7l4wRkHqqCUFNJY4AfY3kHU/edit?usp=sharing  #gid=0"",""фіз особи new!relations_name_uo""),7,FALSE)
,
)
))"),"САБЛІН Дмитро Вадимович")</f>
        <v>САБЛІН Дмитро Вадимович</v>
      </c>
      <c r="J7756" s="7" t="s">
        <v>29</v>
      </c>
    </row>
    <row r="7757" spans="1:10" ht="13.2">
      <c r="A7757" s="7">
        <v>7756</v>
      </c>
      <c r="B7757" s="7">
        <v>1</v>
      </c>
      <c r="C7757" s="7" t="s">
        <v>10</v>
      </c>
      <c r="D7757" s="7">
        <v>8684</v>
      </c>
      <c r="E7757" s="7" t="s">
        <v>30</v>
      </c>
      <c r="F7757" s="8" t="str">
        <f ca="1">IFERROR(__xludf.DUMMYFUNCTION("IF
(
C7758=""фізична особа""
,
VLOOKUP(D7758,IMPORTRANGE(""https://docs.google.com/spreadsheets/d/14Bd19lYaqBhU8_DElYkX7l4wRkHqqCUFNJY4AfY3kHU/edit?usp=sharing  #gid=0"",""фіз особи new!relations_name""),6,FALSE)
,
(IF
(
C7758=""юридична особа""
,
VLOOKUP"&amp;"(D7758,IMPORTRANGE(""https://docs.google.com/spreadsheets/d/14Bd19lYaqBhU8_DElYkX7l4wRkHqqCUFNJY4AfY3kHU/edit?usp=sharing  #gid=0"",""фіз особи new!relations_name_uo""),7,FALSE)
,
)
))"),"ГАТАЄВ Аюб Лом-Алійович")</f>
        <v>ГАТАЄВ Аюб Лом-Алійович</v>
      </c>
      <c r="G7757" s="7" t="s">
        <v>10</v>
      </c>
      <c r="H7757" s="7">
        <v>0</v>
      </c>
      <c r="I7757" s="8" t="str">
        <f ca="1">IFERROR(__xludf.DUMMYFUNCTION("IF
(
G7758=""фізична особа""
,
VLOOKUP(H7758,IMPORTRANGE(""https://docs.google.com/spreadsheets/d/14Bd19lYaqBhU8_DElYkX7l4wRkHqqCUFNJY4AfY3kHU/edit?usp=sharing  #gid=0"",""фіз особи new!relations_name""),6,FALSE)
,
(IF
(
G7758=""юридична особа""
,
VLOOKUP"&amp;"(H7758,IMPORTRANGE(""https://docs.google.com/spreadsheets/d/14Bd19lYaqBhU8_DElYkX7l4wRkHqqCUFNJY4AfY3kHU/edit?usp=sharing  #gid=0"",""фіз особи new!relations_name_uo""),7,FALSE)
,
)
))"),"#N/A")</f>
        <v>#N/A</v>
      </c>
      <c r="J7757" s="7" t="s">
        <v>30</v>
      </c>
    </row>
    <row r="7758" spans="1:10" ht="13.2">
      <c r="A7758" s="7">
        <v>7757</v>
      </c>
      <c r="B7758" s="7">
        <v>1</v>
      </c>
      <c r="C7758" s="7" t="s">
        <v>10</v>
      </c>
      <c r="D7758" s="7">
        <v>8690</v>
      </c>
      <c r="E7758" s="7" t="s">
        <v>30</v>
      </c>
      <c r="F7758" s="8" t="str">
        <f ca="1">IFERROR(__xludf.DUMMYFUNCTION("IF
(
C7759=""фізична особа""
,
VLOOKUP(D7759,IMPORTRANGE(""https://docs.google.com/spreadsheets/d/14Bd19lYaqBhU8_DElYkX7l4wRkHqqCUFNJY4AfY3kHU/edit?usp=sharing  #gid=0"",""фіз особи new!relations_name""),6,FALSE)
,
(IF
(
C7759=""юридична особа""
,
VLOOKUP"&amp;"(D7759,IMPORTRANGE(""https://docs.google.com/spreadsheets/d/14Bd19lYaqBhU8_DElYkX7l4wRkHqqCUFNJY4AfY3kHU/edit?usp=sharing  #gid=0"",""фіз особи new!relations_name_uo""),7,FALSE)
,
)
))"),"ШЕВЧЕНКО Світлана Анатоліївна")</f>
        <v>ШЕВЧЕНКО Світлана Анатоліївна</v>
      </c>
      <c r="G7758" s="7" t="s">
        <v>10</v>
      </c>
      <c r="H7758" s="7">
        <v>0</v>
      </c>
      <c r="I7758" s="8" t="str">
        <f ca="1">IFERROR(__xludf.DUMMYFUNCTION("IF
(
G7759=""фізична особа""
,
VLOOKUP(H7759,IMPORTRANGE(""https://docs.google.com/spreadsheets/d/14Bd19lYaqBhU8_DElYkX7l4wRkHqqCUFNJY4AfY3kHU/edit?usp=sharing  #gid=0"",""фіз особи new!relations_name""),6,FALSE)
,
(IF
(
G7759=""юридична особа""
,
VLOOKUP"&amp;"(H7759,IMPORTRANGE(""https://docs.google.com/spreadsheets/d/14Bd19lYaqBhU8_DElYkX7l4wRkHqqCUFNJY4AfY3kHU/edit?usp=sharing  #gid=0"",""фіз особи new!relations_name_uo""),7,FALSE)
,
)
))"),"#N/A")</f>
        <v>#N/A</v>
      </c>
      <c r="J7758" s="7" t="s">
        <v>30</v>
      </c>
    </row>
    <row r="7759" spans="1:10" ht="13.2">
      <c r="A7759" s="7">
        <v>7758</v>
      </c>
      <c r="B7759" s="7">
        <v>1</v>
      </c>
      <c r="C7759" s="7" t="s">
        <v>10</v>
      </c>
      <c r="D7759" s="7">
        <v>8690</v>
      </c>
      <c r="E7759" s="7" t="s">
        <v>30</v>
      </c>
      <c r="F7759" s="8" t="str">
        <f ca="1">IFERROR(__xludf.DUMMYFUNCTION("IF
(
C7760=""фізична особа""
,
VLOOKUP(D7760,IMPORTRANGE(""https://docs.google.com/spreadsheets/d/14Bd19lYaqBhU8_DElYkX7l4wRkHqqCUFNJY4AfY3kHU/edit?usp=sharing  #gid=0"",""фіз особи new!relations_name""),6,FALSE)
,
(IF
(
C7760=""юридична особа""
,
VLOOKUP"&amp;"(D7760,IMPORTRANGE(""https://docs.google.com/spreadsheets/d/14Bd19lYaqBhU8_DElYkX7l4wRkHqqCUFNJY4AfY3kHU/edit?usp=sharing  #gid=0"",""фіз особи new!relations_name_uo""),7,FALSE)
,
)
))"),"ШЕВЧЕНКО Світлана Анатоліївна")</f>
        <v>ШЕВЧЕНКО Світлана Анатоліївна</v>
      </c>
      <c r="G7759" s="7" t="s">
        <v>10</v>
      </c>
      <c r="H7759" s="7">
        <v>0</v>
      </c>
      <c r="I7759" s="8" t="str">
        <f ca="1">IFERROR(__xludf.DUMMYFUNCTION("IF
(
G7760=""фізична особа""
,
VLOOKUP(H7760,IMPORTRANGE(""https://docs.google.com/spreadsheets/d/14Bd19lYaqBhU8_DElYkX7l4wRkHqqCUFNJY4AfY3kHU/edit?usp=sharing  #gid=0"",""фіз особи new!relations_name""),6,FALSE)
,
(IF
(
G7760=""юридична особа""
,
VLOOKUP"&amp;"(H7760,IMPORTRANGE(""https://docs.google.com/spreadsheets/d/14Bd19lYaqBhU8_DElYkX7l4wRkHqqCUFNJY4AfY3kHU/edit?usp=sharing  #gid=0"",""фіз особи new!relations_name_uo""),7,FALSE)
,
)
))"),"#N/A")</f>
        <v>#N/A</v>
      </c>
      <c r="J7759" s="7" t="s">
        <v>30</v>
      </c>
    </row>
    <row r="7760" spans="1:10" ht="13.2">
      <c r="A7760" s="7">
        <v>7759</v>
      </c>
      <c r="B7760" s="7">
        <v>1</v>
      </c>
      <c r="C7760" s="7" t="s">
        <v>10</v>
      </c>
      <c r="D7760" s="7">
        <v>8690</v>
      </c>
      <c r="E7760" s="7" t="s">
        <v>30</v>
      </c>
      <c r="F7760" s="8" t="str">
        <f ca="1">IFERROR(__xludf.DUMMYFUNCTION("IF
(
C7761=""фізична особа""
,
VLOOKUP(D7761,IMPORTRANGE(""https://docs.google.com/spreadsheets/d/14Bd19lYaqBhU8_DElYkX7l4wRkHqqCUFNJY4AfY3kHU/edit?usp=sharing  #gid=0"",""фіз особи new!relations_name""),6,FALSE)
,
(IF
(
C7761=""юридична особа""
,
VLOOKUP"&amp;"(D7761,IMPORTRANGE(""https://docs.google.com/spreadsheets/d/14Bd19lYaqBhU8_DElYkX7l4wRkHqqCUFNJY4AfY3kHU/edit?usp=sharing  #gid=0"",""фіз особи new!relations_name_uo""),7,FALSE)
,
)
))"),"ШЕВЧЕНКО Світлана Анатоліївна")</f>
        <v>ШЕВЧЕНКО Світлана Анатоліївна</v>
      </c>
      <c r="G7760" s="7" t="s">
        <v>10</v>
      </c>
      <c r="H7760" s="7">
        <v>0</v>
      </c>
      <c r="I7760" s="8" t="str">
        <f ca="1">IFERROR(__xludf.DUMMYFUNCTION("IF
(
G7761=""фізична особа""
,
VLOOKUP(H7761,IMPORTRANGE(""https://docs.google.com/spreadsheets/d/14Bd19lYaqBhU8_DElYkX7l4wRkHqqCUFNJY4AfY3kHU/edit?usp=sharing  #gid=0"",""фіз особи new!relations_name""),6,FALSE)
,
(IF
(
G7761=""юридична особа""
,
VLOOKUP"&amp;"(H7761,IMPORTRANGE(""https://docs.google.com/spreadsheets/d/14Bd19lYaqBhU8_DElYkX7l4wRkHqqCUFNJY4AfY3kHU/edit?usp=sharing  #gid=0"",""фіз особи new!relations_name_uo""),7,FALSE)
,
)
))"),"#N/A")</f>
        <v>#N/A</v>
      </c>
      <c r="J7760" s="7" t="s">
        <v>30</v>
      </c>
    </row>
    <row r="7761" spans="1:10" ht="13.2">
      <c r="A7761" s="7">
        <v>7760</v>
      </c>
      <c r="B7761" s="7">
        <v>1</v>
      </c>
      <c r="C7761" s="7" t="s">
        <v>10</v>
      </c>
      <c r="D7761" s="7">
        <v>8693</v>
      </c>
      <c r="E7761" s="7" t="s">
        <v>30</v>
      </c>
      <c r="F7761" s="8" t="str">
        <f ca="1">IFERROR(__xludf.DUMMYFUNCTION("IF
(
C7762=""фізична особа""
,
VLOOKUP(D7762,IMPORTRANGE(""https://docs.google.com/spreadsheets/d/14Bd19lYaqBhU8_DElYkX7l4wRkHqqCUFNJY4AfY3kHU/edit?usp=sharing  #gid=0"",""фіз особи new!relations_name""),6,FALSE)
,
(IF
(
C7762=""юридична особа""
,
VLOOKUP"&amp;"(D7762,IMPORTRANGE(""https://docs.google.com/spreadsheets/d/14Bd19lYaqBhU8_DElYkX7l4wRkHqqCUFNJY4AfY3kHU/edit?usp=sharing  #gid=0"",""фіз особи new!relations_name_uo""),7,FALSE)
,
)
))"),"ДАНЬШИНА Ірина Володимирівна")</f>
        <v>ДАНЬШИНА Ірина Володимирівна</v>
      </c>
      <c r="G7761" s="7" t="s">
        <v>10</v>
      </c>
      <c r="H7761" s="7">
        <v>0</v>
      </c>
      <c r="I7761" s="8" t="str">
        <f ca="1">IFERROR(__xludf.DUMMYFUNCTION("IF
(
G7762=""фізична особа""
,
VLOOKUP(H7762,IMPORTRANGE(""https://docs.google.com/spreadsheets/d/14Bd19lYaqBhU8_DElYkX7l4wRkHqqCUFNJY4AfY3kHU/edit?usp=sharing  #gid=0"",""фіз особи new!relations_name""),6,FALSE)
,
(IF
(
G7762=""юридична особа""
,
VLOOKUP"&amp;"(H7762,IMPORTRANGE(""https://docs.google.com/spreadsheets/d/14Bd19lYaqBhU8_DElYkX7l4wRkHqqCUFNJY4AfY3kHU/edit?usp=sharing  #gid=0"",""фіз особи new!relations_name_uo""),7,FALSE)
,
)
))"),"#N/A")</f>
        <v>#N/A</v>
      </c>
      <c r="J7761" s="7" t="s">
        <v>30</v>
      </c>
    </row>
    <row r="7762" spans="1:10" ht="13.2">
      <c r="A7762" s="7">
        <v>7761</v>
      </c>
      <c r="B7762" s="7">
        <v>1</v>
      </c>
      <c r="C7762" s="7" t="s">
        <v>10</v>
      </c>
      <c r="D7762" s="7">
        <v>8693</v>
      </c>
      <c r="E7762" s="7" t="s">
        <v>28</v>
      </c>
      <c r="F7762" s="8" t="str">
        <f ca="1">IFERROR(__xludf.DUMMYFUNCTION("IF
(
C7763=""фізична особа""
,
VLOOKUP(D7763,IMPORTRANGE(""https://docs.google.com/spreadsheets/d/14Bd19lYaqBhU8_DElYkX7l4wRkHqqCUFNJY4AfY3kHU/edit?usp=sharing  #gid=0"",""фіз особи new!relations_name""),6,FALSE)
,
(IF
(
C7763=""юридична особа""
,
VLOOKUP"&amp;"(D7763,IMPORTRANGE(""https://docs.google.com/spreadsheets/d/14Bd19lYaqBhU8_DElYkX7l4wRkHqqCUFNJY4AfY3kHU/edit?usp=sharing  #gid=0"",""фіз особи new!relations_name_uo""),7,FALSE)
,
)
))"),"ДАНЬШИНА Ірина Володимирівна")</f>
        <v>ДАНЬШИНА Ірина Володимирівна</v>
      </c>
      <c r="G7762" s="7" t="s">
        <v>10</v>
      </c>
      <c r="H7762" s="7">
        <v>0</v>
      </c>
      <c r="I7762" s="8" t="str">
        <f ca="1">IFERROR(__xludf.DUMMYFUNCTION("IF
(
G7763=""фізична особа""
,
VLOOKUP(H7763,IMPORTRANGE(""https://docs.google.com/spreadsheets/d/14Bd19lYaqBhU8_DElYkX7l4wRkHqqCUFNJY4AfY3kHU/edit?usp=sharing  #gid=0"",""фіз особи new!relations_name""),6,FALSE)
,
(IF
(
G7763=""юридична особа""
,
VLOOKUP"&amp;"(H7763,IMPORTRANGE(""https://docs.google.com/spreadsheets/d/14Bd19lYaqBhU8_DElYkX7l4wRkHqqCUFNJY4AfY3kHU/edit?usp=sharing  #gid=0"",""фіз особи new!relations_name_uo""),7,FALSE)
,
)
))"),"#N/A")</f>
        <v>#N/A</v>
      </c>
      <c r="J7762" s="7" t="s">
        <v>29</v>
      </c>
    </row>
    <row r="7763" spans="1:10" ht="13.2">
      <c r="A7763" s="7">
        <v>7762</v>
      </c>
      <c r="B7763" s="7">
        <v>1</v>
      </c>
      <c r="C7763" s="7" t="s">
        <v>10</v>
      </c>
      <c r="D7763" s="7">
        <v>8696</v>
      </c>
      <c r="E7763" s="7" t="s">
        <v>28</v>
      </c>
      <c r="F7763" s="8" t="str">
        <f ca="1">IFERROR(__xludf.DUMMYFUNCTION("IF
(
C7764=""фізична особа""
,
VLOOKUP(D7764,IMPORTRANGE(""https://docs.google.com/spreadsheets/d/14Bd19lYaqBhU8_DElYkX7l4wRkHqqCUFNJY4AfY3kHU/edit?usp=sharing  #gid=0"",""фіз особи new!relations_name""),6,FALSE)
,
(IF
(
C7764=""юридична особа""
,
VLOOKUP"&amp;"(D7764,IMPORTRANGE(""https://docs.google.com/spreadsheets/d/14Bd19lYaqBhU8_DElYkX7l4wRkHqqCUFNJY4AfY3kHU/edit?usp=sharing  #gid=0"",""фіз особи new!relations_name_uo""),7,FALSE)
,
)
))"),"КИРИЛЛОВ Євген Васильович")</f>
        <v>КИРИЛЛОВ Євген Васильович</v>
      </c>
      <c r="G7763" s="7" t="s">
        <v>10</v>
      </c>
      <c r="H7763" s="7">
        <v>8695</v>
      </c>
      <c r="I7763" s="8" t="str">
        <f ca="1">IFERROR(__xludf.DUMMYFUNCTION("IF
(
G7764=""фізична особа""
,
VLOOKUP(H7764,IMPORTRANGE(""https://docs.google.com/spreadsheets/d/14Bd19lYaqBhU8_DElYkX7l4wRkHqqCUFNJY4AfY3kHU/edit?usp=sharing  #gid=0"",""фіз особи new!relations_name""),6,FALSE)
,
(IF
(
G7764=""юридична особа""
,
VLOOKUP"&amp;"(H7764,IMPORTRANGE(""https://docs.google.com/spreadsheets/d/14Bd19lYaqBhU8_DElYkX7l4wRkHqqCUFNJY4AfY3kHU/edit?usp=sharing  #gid=0"",""фіз особи new!relations_name_uo""),7,FALSE)
,
)
))"),"ЗАЯКІН Дмитро Юрійович")</f>
        <v>ЗАЯКІН Дмитро Юрійович</v>
      </c>
      <c r="J7763" s="7" t="s">
        <v>29</v>
      </c>
    </row>
    <row r="7764" spans="1:10" ht="13.2">
      <c r="A7764" s="7">
        <v>7763</v>
      </c>
      <c r="B7764" s="7">
        <v>1</v>
      </c>
      <c r="C7764" s="7" t="s">
        <v>10</v>
      </c>
      <c r="D7764" s="7">
        <v>8697</v>
      </c>
      <c r="E7764" s="7" t="s">
        <v>28</v>
      </c>
      <c r="F7764" s="8" t="str">
        <f ca="1">IFERROR(__xludf.DUMMYFUNCTION("IF
(
C7765=""фізична особа""
,
VLOOKUP(D7765,IMPORTRANGE(""https://docs.google.com/spreadsheets/d/14Bd19lYaqBhU8_DElYkX7l4wRkHqqCUFNJY4AfY3kHU/edit?usp=sharing  #gid=0"",""фіз особи new!relations_name""),6,FALSE)
,
(IF
(
C7765=""юридична особа""
,
VLOOKUP"&amp;"(D7765,IMPORTRANGE(""https://docs.google.com/spreadsheets/d/14Bd19lYaqBhU8_DElYkX7l4wRkHqqCUFNJY4AfY3kHU/edit?usp=sharing  #gid=0"",""фіз особи new!relations_name_uo""),7,FALSE)
,
)
))"),"ПОПОВ Андрій Анатолійович")</f>
        <v>ПОПОВ Андрій Анатолійович</v>
      </c>
      <c r="G7764" s="7" t="s">
        <v>10</v>
      </c>
      <c r="H7764" s="7">
        <v>15494</v>
      </c>
      <c r="I7764" s="8" t="str">
        <f ca="1">IFERROR(__xludf.DUMMYFUNCTION("IF
(
G7765=""фізична особа""
,
VLOOKUP(H7765,IMPORTRANGE(""https://docs.google.com/spreadsheets/d/14Bd19lYaqBhU8_DElYkX7l4wRkHqqCUFNJY4AfY3kHU/edit?usp=sharing  #gid=0"",""фіз особи new!relations_name""),6,FALSE)
,
(IF
(
G7765=""юридична особа""
,
VLOOKUP"&amp;"(H7765,IMPORTRANGE(""https://docs.google.com/spreadsheets/d/14Bd19lYaqBhU8_DElYkX7l4wRkHqqCUFNJY4AfY3kHU/edit?usp=sharing  #gid=0"",""фіз особи new!relations_name_uo""),7,FALSE)
,
)
))"),"ЛУТОВІНОВ Олександр Ілліч")</f>
        <v>ЛУТОВІНОВ Олександр Ілліч</v>
      </c>
      <c r="J7764" s="7" t="s">
        <v>29</v>
      </c>
    </row>
    <row r="7765" spans="1:10" ht="13.2">
      <c r="A7765" s="7">
        <v>7764</v>
      </c>
      <c r="B7765" s="7">
        <v>1</v>
      </c>
      <c r="C7765" s="7" t="s">
        <v>10</v>
      </c>
      <c r="D7765" s="7">
        <v>8697</v>
      </c>
      <c r="E7765" s="7" t="s">
        <v>30</v>
      </c>
      <c r="F7765" s="8" t="str">
        <f ca="1">IFERROR(__xludf.DUMMYFUNCTION("IF
(
C7766=""фізична особа""
,
VLOOKUP(D7766,IMPORTRANGE(""https://docs.google.com/spreadsheets/d/14Bd19lYaqBhU8_DElYkX7l4wRkHqqCUFNJY4AfY3kHU/edit?usp=sharing  #gid=0"",""фіз особи new!relations_name""),6,FALSE)
,
(IF
(
C7766=""юридична особа""
,
VLOOKUP"&amp;"(D7766,IMPORTRANGE(""https://docs.google.com/spreadsheets/d/14Bd19lYaqBhU8_DElYkX7l4wRkHqqCUFNJY4AfY3kHU/edit?usp=sharing  #gid=0"",""фіз особи new!relations_name_uo""),7,FALSE)
,
)
))"),"ПОПОВ Андрій Анатолійович")</f>
        <v>ПОПОВ Андрій Анатолійович</v>
      </c>
      <c r="G7765" s="7" t="s">
        <v>10</v>
      </c>
      <c r="H7765" s="7">
        <v>185</v>
      </c>
      <c r="I7765" s="8" t="str">
        <f ca="1">IFERROR(__xludf.DUMMYFUNCTION("IF
(
G7766=""фізична особа""
,
VLOOKUP(H7766,IMPORTRANGE(""https://docs.google.com/spreadsheets/d/14Bd19lYaqBhU8_DElYkX7l4wRkHqqCUFNJY4AfY3kHU/edit?usp=sharing  #gid=0"",""фіз особи new!relations_name""),6,FALSE)
,
(IF
(
G7766=""юридична особа""
,
VLOOKUP"&amp;"(H7766,IMPORTRANGE(""https://docs.google.com/spreadsheets/d/14Bd19lYaqBhU8_DElYkX7l4wRkHqqCUFNJY4AfY3kHU/edit?usp=sharing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7765" s="7" t="s">
        <v>30</v>
      </c>
    </row>
    <row r="7766" spans="1:10" ht="13.2">
      <c r="A7766" s="7">
        <v>7765</v>
      </c>
      <c r="B7766" s="7">
        <v>1</v>
      </c>
      <c r="C7766" s="7" t="s">
        <v>10</v>
      </c>
      <c r="D7766" s="7">
        <v>8698</v>
      </c>
      <c r="E7766" s="7" t="s">
        <v>30</v>
      </c>
      <c r="F7766" s="8" t="str">
        <f ca="1">IFERROR(__xludf.DUMMYFUNCTION("IF
(
C7767=""фізична особа""
,
VLOOKUP(D7767,IMPORTRANGE(""https://docs.google.com/spreadsheets/d/14Bd19lYaqBhU8_DElYkX7l4wRkHqqCUFNJY4AfY3kHU/edit?usp=sharing  #gid=0"",""фіз особи new!relations_name""),6,FALSE)
,
(IF
(
C7767=""юридична особа""
,
VLOOKUP"&amp;"(D7767,IMPORTRANGE(""https://docs.google.com/spreadsheets/d/14Bd19lYaqBhU8_DElYkX7l4wRkHqqCUFNJY4AfY3kHU/edit?usp=sharing  #gid=0"",""фіз особи new!relations_name_uo""),7,FALSE)
,
)
))"),"ТИМОШИН Євген Федорович")</f>
        <v>ТИМОШИН Євген Федорович</v>
      </c>
      <c r="G7766" s="7" t="s">
        <v>10</v>
      </c>
      <c r="H7766" s="7">
        <v>0</v>
      </c>
      <c r="I7766" s="8" t="str">
        <f ca="1">IFERROR(__xludf.DUMMYFUNCTION("IF
(
G7767=""фізична особа""
,
VLOOKUP(H7767,IMPORTRANGE(""https://docs.google.com/spreadsheets/d/14Bd19lYaqBhU8_DElYkX7l4wRkHqqCUFNJY4AfY3kHU/edit?usp=sharing  #gid=0"",""фіз особи new!relations_name""),6,FALSE)
,
(IF
(
G7767=""юридична особа""
,
VLOOKUP"&amp;"(H7767,IMPORTRANGE(""https://docs.google.com/spreadsheets/d/14Bd19lYaqBhU8_DElYkX7l4wRkHqqCUFNJY4AfY3kHU/edit?usp=sharing  #gid=0"",""фіз особи new!relations_name_uo""),7,FALSE)
,
)
))"),"#N/A")</f>
        <v>#N/A</v>
      </c>
      <c r="J7766" s="7" t="s">
        <v>30</v>
      </c>
    </row>
    <row r="7767" spans="1:10" ht="13.2">
      <c r="A7767" s="7">
        <v>7766</v>
      </c>
      <c r="B7767" s="7">
        <v>1</v>
      </c>
      <c r="C7767" s="7" t="s">
        <v>10</v>
      </c>
      <c r="D7767" s="7">
        <v>8699</v>
      </c>
      <c r="E7767" s="7" t="s">
        <v>28</v>
      </c>
      <c r="F7767" s="8" t="str">
        <f ca="1">IFERROR(__xludf.DUMMYFUNCTION("IF
(
C7768=""фізична особа""
,
VLOOKUP(D7768,IMPORTRANGE(""https://docs.google.com/spreadsheets/d/14Bd19lYaqBhU8_DElYkX7l4wRkHqqCUFNJY4AfY3kHU/edit?usp=sharing  #gid=0"",""фіз особи new!relations_name""),6,FALSE)
,
(IF
(
C7768=""юридична особа""
,
VLOOKUP"&amp;"(D7768,IMPORTRANGE(""https://docs.google.com/spreadsheets/d/14Bd19lYaqBhU8_DElYkX7l4wRkHqqCUFNJY4AfY3kHU/edit?usp=sharing  #gid=0"",""фіз особи new!relations_name_uo""),7,FALSE)
,
)
))"),"ЧУРСАНОВ Олександр Павлович")</f>
        <v>ЧУРСАНОВ Олександр Павлович</v>
      </c>
      <c r="G7767" s="7" t="s">
        <v>10</v>
      </c>
      <c r="H7767" s="7">
        <v>15494</v>
      </c>
      <c r="I7767" s="8" t="str">
        <f ca="1">IFERROR(__xludf.DUMMYFUNCTION("IF
(
G7768=""фізична особа""
,
VLOOKUP(H7768,IMPORTRANGE(""https://docs.google.com/spreadsheets/d/14Bd19lYaqBhU8_DElYkX7l4wRkHqqCUFNJY4AfY3kHU/edit?usp=sharing  #gid=0"",""фіз особи new!relations_name""),6,FALSE)
,
(IF
(
G7768=""юридична особа""
,
VLOOKUP"&amp;"(H7768,IMPORTRANGE(""https://docs.google.com/spreadsheets/d/14Bd19lYaqBhU8_DElYkX7l4wRkHqqCUFNJY4AfY3kHU/edit?usp=sharing  #gid=0"",""фіз особи new!relations_name_uo""),7,FALSE)
,
)
))"),"ЛУТОВІНОВ Олександр Ілліч")</f>
        <v>ЛУТОВІНОВ Олександр Ілліч</v>
      </c>
      <c r="J7767" s="7" t="s">
        <v>29</v>
      </c>
    </row>
    <row r="7768" spans="1:10" ht="13.2">
      <c r="A7768" s="7">
        <v>7767</v>
      </c>
      <c r="B7768" s="7">
        <v>1</v>
      </c>
      <c r="C7768" s="7" t="s">
        <v>10</v>
      </c>
      <c r="D7768" s="7">
        <v>8699</v>
      </c>
      <c r="E7768" s="7" t="s">
        <v>30</v>
      </c>
      <c r="F7768" s="8" t="str">
        <f ca="1">IFERROR(__xludf.DUMMYFUNCTION("IF
(
C7769=""фізична особа""
,
VLOOKUP(D7769,IMPORTRANGE(""https://docs.google.com/spreadsheets/d/14Bd19lYaqBhU8_DElYkX7l4wRkHqqCUFNJY4AfY3kHU/edit?usp=sharing  #gid=0"",""фіз особи new!relations_name""),6,FALSE)
,
(IF
(
C7769=""юридична особа""
,
VLOOKUP"&amp;"(D7769,IMPORTRANGE(""https://docs.google.com/spreadsheets/d/14Bd19lYaqBhU8_DElYkX7l4wRkHqqCUFNJY4AfY3kHU/edit?usp=sharing  #gid=0"",""фіз особи new!relations_name_uo""),7,FALSE)
,
)
))"),"ЧУРСАНОВ Олександр Павлович")</f>
        <v>ЧУРСАНОВ Олександр Павлович</v>
      </c>
      <c r="G7768" s="7" t="s">
        <v>10</v>
      </c>
      <c r="H7768" s="7">
        <v>185</v>
      </c>
      <c r="I7768" s="8" t="str">
        <f ca="1">IFERROR(__xludf.DUMMYFUNCTION("IF
(
G7769=""фізична особа""
,
VLOOKUP(H7769,IMPORTRANGE(""https://docs.google.com/spreadsheets/d/14Bd19lYaqBhU8_DElYkX7l4wRkHqqCUFNJY4AfY3kHU/edit?usp=sharing  #gid=0"",""фіз особи new!relations_name""),6,FALSE)
,
(IF
(
G7769=""юридична особа""
,
VLOOKUP"&amp;"(H7769,IMPORTRANGE(""https://docs.google.com/spreadsheets/d/14Bd19lYaqBhU8_DElYkX7l4wRkHqqCUFNJY4AfY3kHU/edit?usp=sharing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7768" s="7" t="s">
        <v>30</v>
      </c>
    </row>
    <row r="7769" spans="1:10" ht="13.2">
      <c r="A7769" s="7">
        <v>7768</v>
      </c>
      <c r="B7769" s="7">
        <v>1</v>
      </c>
      <c r="C7769" s="7" t="s">
        <v>10</v>
      </c>
      <c r="D7769" s="7">
        <v>8700</v>
      </c>
      <c r="E7769" s="7" t="s">
        <v>28</v>
      </c>
      <c r="F7769" s="8" t="str">
        <f ca="1">IFERROR(__xludf.DUMMYFUNCTION("IF
(
C7770=""фізична особа""
,
VLOOKUP(D7770,IMPORTRANGE(""https://docs.google.com/spreadsheets/d/14Bd19lYaqBhU8_DElYkX7l4wRkHqqCUFNJY4AfY3kHU/edit?usp=sharing  #gid=0"",""фіз особи new!relations_name""),6,FALSE)
,
(IF
(
C7770=""юридична особа""
,
VLOOKUP"&amp;"(D7770,IMPORTRANGE(""https://docs.google.com/spreadsheets/d/14Bd19lYaqBhU8_DElYkX7l4wRkHqqCUFNJY4AfY3kHU/edit?usp=sharing  #gid=0"",""фіз особи new!relations_name_uo""),7,FALSE)
,
)
))"),"МІЛЬЧАКОВА Наталія Афанас'єва")</f>
        <v>МІЛЬЧАКОВА Наталія Афанас'єва</v>
      </c>
      <c r="G7769" s="7" t="s">
        <v>10</v>
      </c>
      <c r="H7769" s="7">
        <v>0</v>
      </c>
      <c r="I7769" s="8" t="str">
        <f ca="1">IFERROR(__xludf.DUMMYFUNCTION("IF
(
G7770=""фізична особа""
,
VLOOKUP(H7770,IMPORTRANGE(""https://docs.google.com/spreadsheets/d/14Bd19lYaqBhU8_DElYkX7l4wRkHqqCUFNJY4AfY3kHU/edit?usp=sharing  #gid=0"",""фіз особи new!relations_name""),6,FALSE)
,
(IF
(
G7770=""юридична особа""
,
VLOOKUP"&amp;"(H7770,IMPORTRANGE(""https://docs.google.com/spreadsheets/d/14Bd19lYaqBhU8_DElYkX7l4wRkHqqCUFNJY4AfY3kHU/edit?usp=sharing  #gid=0"",""фіз особи new!relations_name_uo""),7,FALSE)
,
)
))"),"#N/A")</f>
        <v>#N/A</v>
      </c>
      <c r="J7769" s="7" t="s">
        <v>29</v>
      </c>
    </row>
    <row r="7770" spans="1:10" ht="13.2">
      <c r="A7770" s="7">
        <v>7769</v>
      </c>
      <c r="B7770" s="7">
        <v>1</v>
      </c>
      <c r="C7770" s="7" t="s">
        <v>10</v>
      </c>
      <c r="D7770" s="7">
        <v>8704</v>
      </c>
      <c r="E7770" s="7" t="s">
        <v>28</v>
      </c>
      <c r="F7770" s="8" t="str">
        <f ca="1">IFERROR(__xludf.DUMMYFUNCTION("IF
(
C7771=""фізична особа""
,
VLOOKUP(D7771,IMPORTRANGE(""https://docs.google.com/spreadsheets/d/14Bd19lYaqBhU8_DElYkX7l4wRkHqqCUFNJY4AfY3kHU/edit?usp=sharing  #gid=0"",""фіз особи new!relations_name""),6,FALSE)
,
(IF
(
C7771=""юридична особа""
,
VLOOKUP"&amp;"(D7771,IMPORTRANGE(""https://docs.google.com/spreadsheets/d/14Bd19lYaqBhU8_DElYkX7l4wRkHqqCUFNJY4AfY3kHU/edit?usp=sharing  #gid=0"",""фіз особи new!relations_name_uo""),7,FALSE)
,
)
))"),"СЄНЄК Світлана Олександрівна")</f>
        <v>СЄНЄК Світлана Олександрівна</v>
      </c>
      <c r="G7770" s="7" t="s">
        <v>10</v>
      </c>
      <c r="H7770" s="7">
        <v>0</v>
      </c>
      <c r="I7770" s="8" t="str">
        <f ca="1">IFERROR(__xludf.DUMMYFUNCTION("IF
(
G7771=""фізична особа""
,
VLOOKUP(H7771,IMPORTRANGE(""https://docs.google.com/spreadsheets/d/14Bd19lYaqBhU8_DElYkX7l4wRkHqqCUFNJY4AfY3kHU/edit?usp=sharing  #gid=0"",""фіз особи new!relations_name""),6,FALSE)
,
(IF
(
G7771=""юридична особа""
,
VLOOKUP"&amp;"(H7771,IMPORTRANGE(""https://docs.google.com/spreadsheets/d/14Bd19lYaqBhU8_DElYkX7l4wRkHqqCUFNJY4AfY3kHU/edit?usp=sharing  #gid=0"",""фіз особи new!relations_name_uo""),7,FALSE)
,
)
))"),"#N/A")</f>
        <v>#N/A</v>
      </c>
      <c r="J7770" s="7" t="s">
        <v>29</v>
      </c>
    </row>
    <row r="7771" spans="1:10" ht="13.2">
      <c r="A7771" s="7">
        <v>7770</v>
      </c>
      <c r="B7771" s="7">
        <v>1</v>
      </c>
      <c r="C7771" s="7" t="s">
        <v>10</v>
      </c>
      <c r="D7771" s="7">
        <v>8707</v>
      </c>
      <c r="E7771" s="7" t="s">
        <v>28</v>
      </c>
      <c r="F7771" s="8" t="str">
        <f ca="1">IFERROR(__xludf.DUMMYFUNCTION("IF
(
C7772=""фізична особа""
,
VLOOKUP(D7772,IMPORTRANGE(""https://docs.google.com/spreadsheets/d/14Bd19lYaqBhU8_DElYkX7l4wRkHqqCUFNJY4AfY3kHU/edit?usp=sharing  #gid=0"",""фіз особи new!relations_name""),6,FALSE)
,
(IF
(
C7772=""юридична особа""
,
VLOOKUP"&amp;"(D7772,IMPORTRANGE(""https://docs.google.com/spreadsheets/d/14Bd19lYaqBhU8_DElYkX7l4wRkHqqCUFNJY4AfY3kHU/edit?usp=sharing  #gid=0"",""фіз особи new!relations_name_uo""),7,FALSE)
,
)
))"),"УТІЦИНА Марина Миколаївна")</f>
        <v>УТІЦИНА Марина Миколаївна</v>
      </c>
      <c r="G7771" s="7" t="s">
        <v>10</v>
      </c>
      <c r="H7771" s="7">
        <v>11663</v>
      </c>
      <c r="I7771" s="8" t="str">
        <f ca="1">IFERROR(__xludf.DUMMYFUNCTION("IF
(
G7772=""фізична особа""
,
VLOOKUP(H7772,IMPORTRANGE(""https://docs.google.com/spreadsheets/d/14Bd19lYaqBhU8_DElYkX7l4wRkHqqCUFNJY4AfY3kHU/edit?usp=sharing  #gid=0"",""фіз особи new!relations_name""),6,FALSE)
,
(IF
(
G7772=""юридична особа""
,
VLOOKUP"&amp;"(H7772,IMPORTRANGE(""https://docs.google.com/spreadsheets/d/14Bd19lYaqBhU8_DElYkX7l4wRkHqqCUFNJY4AfY3kHU/edit?usp=sharing  #gid=0"",""фіз особи new!relations_name_uo""),7,FALSE)
,
)
))"),"ГОЛУБЄВ Роман Геннадійович")</f>
        <v>ГОЛУБЄВ Роман Геннадійович</v>
      </c>
      <c r="J7771" s="7" t="s">
        <v>29</v>
      </c>
    </row>
    <row r="7772" spans="1:10" ht="13.2">
      <c r="A7772" s="7">
        <v>7771</v>
      </c>
      <c r="B7772" s="7">
        <v>1</v>
      </c>
      <c r="C7772" s="7" t="s">
        <v>10</v>
      </c>
      <c r="D7772" s="7">
        <v>8708</v>
      </c>
      <c r="E7772" s="7" t="s">
        <v>28</v>
      </c>
      <c r="F7772" s="8" t="str">
        <f ca="1">IFERROR(__xludf.DUMMYFUNCTION("IF
(
C7773=""фізична особа""
,
VLOOKUP(D7773,IMPORTRANGE(""https://docs.google.com/spreadsheets/d/14Bd19lYaqBhU8_DElYkX7l4wRkHqqCUFNJY4AfY3kHU/edit?usp=sharing  #gid=0"",""фіз особи new!relations_name""),6,FALSE)
,
(IF
(
C7773=""юридична особа""
,
VLOOKUP"&amp;"(D7773,IMPORTRANGE(""https://docs.google.com/spreadsheets/d/14Bd19lYaqBhU8_DElYkX7l4wRkHqqCUFNJY4AfY3kHU/edit?usp=sharing  #gid=0"",""фіз особи new!relations_name_uo""),7,FALSE)
,
)
))"),"ЛОПАТКІНА Ганна Велеріївна")</f>
        <v>ЛОПАТКІНА Ганна Велеріївна</v>
      </c>
      <c r="G7772" s="7" t="s">
        <v>10</v>
      </c>
      <c r="H7772" s="7">
        <v>4985</v>
      </c>
      <c r="I7772" s="8" t="str">
        <f ca="1">IFERROR(__xludf.DUMMYFUNCTION("IF
(
G7773=""фізична особа""
,
VLOOKUP(H7773,IMPORTRANGE(""https://docs.google.com/spreadsheets/d/14Bd19lYaqBhU8_DElYkX7l4wRkHqqCUFNJY4AfY3kHU/edit?usp=sharing  #gid=0"",""фіз особи new!relations_name""),6,FALSE)
,
(IF
(
G7773=""юридична особа""
,
VLOOKUP"&amp;"(H7773,IMPORTRANGE(""https://docs.google.com/spreadsheets/d/14Bd19lYaqBhU8_DElYkX7l4wRkHqqCUFNJY4AfY3kHU/edit?usp=sharing  #gid=0"",""фіз особи new!relations_name_uo""),7,FALSE)
,
)
))"),"ШАНДАЛОВИЧ Еліссан Володимирович")</f>
        <v>ШАНДАЛОВИЧ Еліссан Володимирович</v>
      </c>
      <c r="J7772" s="7" t="s">
        <v>29</v>
      </c>
    </row>
    <row r="7773" spans="1:10" ht="13.2">
      <c r="A7773" s="7">
        <v>7772</v>
      </c>
      <c r="B7773" s="7">
        <v>1</v>
      </c>
      <c r="C7773" s="7" t="s">
        <v>10</v>
      </c>
      <c r="D7773" s="7">
        <v>8708</v>
      </c>
      <c r="E7773" s="7" t="s">
        <v>30</v>
      </c>
      <c r="F7773" s="8" t="str">
        <f ca="1">IFERROR(__xludf.DUMMYFUNCTION("IF
(
C7774=""фізична особа""
,
VLOOKUP(D7774,IMPORTRANGE(""https://docs.google.com/spreadsheets/d/14Bd19lYaqBhU8_DElYkX7l4wRkHqqCUFNJY4AfY3kHU/edit?usp=sharing  #gid=0"",""фіз особи new!relations_name""),6,FALSE)
,
(IF
(
C7774=""юридична особа""
,
VLOOKUP"&amp;"(D7774,IMPORTRANGE(""https://docs.google.com/spreadsheets/d/14Bd19lYaqBhU8_DElYkX7l4wRkHqqCUFNJY4AfY3kHU/edit?usp=sharing  #gid=0"",""фіз особи new!relations_name_uo""),7,FALSE)
,
)
))"),"ЛОПАТКІНА Ганна Велеріївна")</f>
        <v>ЛОПАТКІНА Ганна Велеріївна</v>
      </c>
      <c r="G7773" s="7" t="s">
        <v>10</v>
      </c>
      <c r="H7773" s="7">
        <v>185</v>
      </c>
      <c r="I7773" s="8" t="str">
        <f ca="1">IFERROR(__xludf.DUMMYFUNCTION("IF
(
G7774=""фізична особа""
,
VLOOKUP(H7774,IMPORTRANGE(""https://docs.google.com/spreadsheets/d/14Bd19lYaqBhU8_DElYkX7l4wRkHqqCUFNJY4AfY3kHU/edit?usp=sharing  #gid=0"",""фіз особи new!relations_name""),6,FALSE)
,
(IF
(
G7774=""юридична особа""
,
VLOOKUP"&amp;"(H7774,IMPORTRANGE(""https://docs.google.com/spreadsheets/d/14Bd19lYaqBhU8_DElYkX7l4wRkHqqCUFNJY4AfY3kHU/edit?usp=sharing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7773" s="7" t="s">
        <v>30</v>
      </c>
    </row>
    <row r="7774" spans="1:10" ht="13.2">
      <c r="A7774" s="7">
        <v>7773</v>
      </c>
      <c r="B7774" s="7">
        <v>1</v>
      </c>
      <c r="C7774" s="7" t="s">
        <v>10</v>
      </c>
      <c r="D7774" s="7">
        <v>8709</v>
      </c>
      <c r="E7774" s="7" t="s">
        <v>28</v>
      </c>
      <c r="F7774" s="8" t="str">
        <f ca="1">IFERROR(__xludf.DUMMYFUNCTION("IF
(
C7775=""фізична особа""
,
VLOOKUP(D7775,IMPORTRANGE(""https://docs.google.com/spreadsheets/d/14Bd19lYaqBhU8_DElYkX7l4wRkHqqCUFNJY4AfY3kHU/edit?usp=sharing  #gid=0"",""фіз особи new!relations_name""),6,FALSE)
,
(IF
(
C7775=""юридична особа""
,
VLOOKUP"&amp;"(D7775,IMPORTRANGE(""https://docs.google.com/spreadsheets/d/14Bd19lYaqBhU8_DElYkX7l4wRkHqqCUFNJY4AfY3kHU/edit?usp=sharing  #gid=0"",""фіз особи new!relations_name_uo""),7,FALSE)
,
)
))"),"КАТАРОВ Василь Кузьмич")</f>
        <v>КАТАРОВ Василь Кузьмич</v>
      </c>
      <c r="G7774" s="7" t="s">
        <v>10</v>
      </c>
      <c r="H7774" s="7">
        <v>2629</v>
      </c>
      <c r="I7774" s="8" t="str">
        <f ca="1">IFERROR(__xludf.DUMMYFUNCTION("IF
(
G7775=""фізична особа""
,
VLOOKUP(H7775,IMPORTRANGE(""https://docs.google.com/spreadsheets/d/14Bd19lYaqBhU8_DElYkX7l4wRkHqqCUFNJY4AfY3kHU/edit?usp=sharing  #gid=0"",""фіз особи new!relations_name""),6,FALSE)
,
(IF
(
G7775=""юридична особа""
,
VLOOKUP"&amp;"(H7775,IMPORTRANGE(""https://docs.google.com/spreadsheets/d/14Bd19lYaqBhU8_DElYkX7l4wRkHqqCUFNJY4AfY3kHU/edit?usp=sharing  #gid=0"",""фіз особи new!relations_name_uo""),7,FALSE)
,
)
))"),"ВОРОНІН Анатолій Вікторович")</f>
        <v>ВОРОНІН Анатолій Вікторович</v>
      </c>
      <c r="J7774" s="7" t="s">
        <v>29</v>
      </c>
    </row>
    <row r="7775" spans="1:10" ht="13.2">
      <c r="A7775" s="7">
        <v>7774</v>
      </c>
      <c r="B7775" s="7">
        <v>1</v>
      </c>
      <c r="C7775" s="7" t="s">
        <v>10</v>
      </c>
      <c r="D7775" s="7">
        <v>8714</v>
      </c>
      <c r="E7775" s="7" t="s">
        <v>28</v>
      </c>
      <c r="F7775" s="8" t="str">
        <f ca="1">IFERROR(__xludf.DUMMYFUNCTION("IF
(
C7776=""фізична особа""
,
VLOOKUP(D7776,IMPORTRANGE(""https://docs.google.com/spreadsheets/d/14Bd19lYaqBhU8_DElYkX7l4wRkHqqCUFNJY4AfY3kHU/edit?usp=sharing  #gid=0"",""фіз особи new!relations_name""),6,FALSE)
,
(IF
(
C7776=""юридична особа""
,
VLOOKUP"&amp;"(D7776,IMPORTRANGE(""https://docs.google.com/spreadsheets/d/14Bd19lYaqBhU8_DElYkX7l4wRkHqqCUFNJY4AfY3kHU/edit?usp=sharing  #gid=0"",""фіз особи new!relations_name_uo""),7,FALSE)
,
)
))"),"АНДРОСОВ Павло Анатолійович")</f>
        <v>АНДРОСОВ Павло Анатолійович</v>
      </c>
      <c r="G7775" s="7" t="s">
        <v>10</v>
      </c>
      <c r="H7775" s="7">
        <v>15460</v>
      </c>
      <c r="I7775" s="8" t="str">
        <f ca="1">IFERROR(__xludf.DUMMYFUNCTION("IF
(
G7776=""фізична особа""
,
VLOOKUP(H7776,IMPORTRANGE(""https://docs.google.com/spreadsheets/d/14Bd19lYaqBhU8_DElYkX7l4wRkHqqCUFNJY4AfY3kHU/edit?usp=sharing  #gid=0"",""фіз особи new!relations_name""),6,FALSE)
,
(IF
(
G7776=""юридична особа""
,
VLOOKUP"&amp;"(H7776,IMPORTRANGE(""https://docs.google.com/spreadsheets/d/14Bd19lYaqBhU8_DElYkX7l4wRkHqqCUFNJY4AfY3kHU/edit?usp=sharing  #gid=0"",""фіз особи new!relations_name_uo""),7,FALSE)
,
)
))"),"МАРТИНОВ Ігор Олександрович")</f>
        <v>МАРТИНОВ Ігор Олександрович</v>
      </c>
      <c r="J7775" s="7" t="s">
        <v>29</v>
      </c>
    </row>
    <row r="7776" spans="1:10" ht="13.2">
      <c r="A7776" s="7">
        <v>7775</v>
      </c>
      <c r="B7776" s="7">
        <v>1</v>
      </c>
      <c r="C7776" s="7" t="s">
        <v>10</v>
      </c>
      <c r="D7776" s="7">
        <v>8714</v>
      </c>
      <c r="E7776" s="7" t="s">
        <v>30</v>
      </c>
      <c r="F7776" s="8" t="str">
        <f ca="1">IFERROR(__xludf.DUMMYFUNCTION("IF
(
C7777=""фізична особа""
,
VLOOKUP(D7777,IMPORTRANGE(""https://docs.google.com/spreadsheets/d/14Bd19lYaqBhU8_DElYkX7l4wRkHqqCUFNJY4AfY3kHU/edit?usp=sharing  #gid=0"",""фіз особи new!relations_name""),6,FALSE)
,
(IF
(
C7777=""юридична особа""
,
VLOOKUP"&amp;"(D7777,IMPORTRANGE(""https://docs.google.com/spreadsheets/d/14Bd19lYaqBhU8_DElYkX7l4wRkHqqCUFNJY4AfY3kHU/edit?usp=sharing  #gid=0"",""фіз особи new!relations_name_uo""),7,FALSE)
,
)
))"),"АНДРОСОВ Павло Анатолійович")</f>
        <v>АНДРОСОВ Павло Анатолійович</v>
      </c>
      <c r="G7776" s="7" t="s">
        <v>10</v>
      </c>
      <c r="H7776" s="7">
        <v>185</v>
      </c>
      <c r="I7776" s="8" t="str">
        <f ca="1">IFERROR(__xludf.DUMMYFUNCTION("IF
(
G7777=""фізична особа""
,
VLOOKUP(H7777,IMPORTRANGE(""https://docs.google.com/spreadsheets/d/14Bd19lYaqBhU8_DElYkX7l4wRkHqqCUFNJY4AfY3kHU/edit?usp=sharing  #gid=0"",""фіз особи new!relations_name""),6,FALSE)
,
(IF
(
G7777=""юридична особа""
,
VLOOKUP"&amp;"(H7777,IMPORTRANGE(""https://docs.google.com/spreadsheets/d/14Bd19lYaqBhU8_DElYkX7l4wRkHqqCUFNJY4AfY3kHU/edit?usp=sharing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7776" s="7" t="s">
        <v>30</v>
      </c>
    </row>
    <row r="7777" spans="1:10" ht="13.2">
      <c r="A7777" s="7">
        <v>7776</v>
      </c>
      <c r="B7777" s="7">
        <v>1</v>
      </c>
      <c r="C7777" s="7" t="s">
        <v>10</v>
      </c>
      <c r="D7777" s="7">
        <v>8715</v>
      </c>
      <c r="E7777" s="7" t="s">
        <v>28</v>
      </c>
      <c r="F7777" s="8" t="str">
        <f ca="1">IFERROR(__xludf.DUMMYFUNCTION("IF
(
C7778=""фізична особа""
,
VLOOKUP(D7778,IMPORTRANGE(""https://docs.google.com/spreadsheets/d/14Bd19lYaqBhU8_DElYkX7l4wRkHqqCUFNJY4AfY3kHU/edit?usp=sharing  #gid=0"",""фіз особи new!relations_name""),6,FALSE)
,
(IF
(
C7778=""юридична особа""
,
VLOOKUP"&amp;"(D7778,IMPORTRANGE(""https://docs.google.com/spreadsheets/d/14Bd19lYaqBhU8_DElYkX7l4wRkHqqCUFNJY4AfY3kHU/edit?usp=sharing  #gid=0"",""фіз особи new!relations_name_uo""),7,FALSE)
,
)
))"),"КОННОВА Ніна Михайлівна")</f>
        <v>КОННОВА Ніна Михайлівна</v>
      </c>
      <c r="G7777" s="7" t="s">
        <v>10</v>
      </c>
      <c r="H7777" s="7">
        <v>2722</v>
      </c>
      <c r="I7777" s="8" t="str">
        <f ca="1">IFERROR(__xludf.DUMMYFUNCTION("IF
(
G7778=""фізична особа""
,
VLOOKUP(H7778,IMPORTRANGE(""https://docs.google.com/spreadsheets/d/14Bd19lYaqBhU8_DElYkX7l4wRkHqqCUFNJY4AfY3kHU/edit?usp=sharing  #gid=0"",""фіз особи new!relations_name""),6,FALSE)
,
(IF
(
G7778=""юридична особа""
,
VLOOKUP"&amp;"(H7778,IMPORTRANGE(""https://docs.google.com/spreadsheets/d/14Bd19lYaqBhU8_DElYkX7l4wRkHqqCUFNJY4AfY3kHU/edit?usp=sharing  #gid=0"",""фіз особи new!relations_name_uo""),7,FALSE)
,
)
))"),"МАРКЕЛОВ Костянтин Олексійович")</f>
        <v>МАРКЕЛОВ Костянтин Олексійович</v>
      </c>
      <c r="J7777" s="7" t="s">
        <v>29</v>
      </c>
    </row>
    <row r="7778" spans="1:10" ht="13.2">
      <c r="A7778" s="7">
        <v>7777</v>
      </c>
      <c r="B7778" s="7">
        <v>1</v>
      </c>
      <c r="C7778" s="7" t="s">
        <v>10</v>
      </c>
      <c r="D7778" s="7">
        <v>8716</v>
      </c>
      <c r="E7778" s="7" t="s">
        <v>28</v>
      </c>
      <c r="F7778" s="8" t="str">
        <f ca="1">IFERROR(__xludf.DUMMYFUNCTION("IF
(
C7779=""фізична особа""
,
VLOOKUP(D7779,IMPORTRANGE(""https://docs.google.com/spreadsheets/d/14Bd19lYaqBhU8_DElYkX7l4wRkHqqCUFNJY4AfY3kHU/edit?usp=sharing  #gid=0"",""фіз особи new!relations_name""),6,FALSE)
,
(IF
(
C7779=""юридична особа""
,
VLOOKUP"&amp;"(D7779,IMPORTRANGE(""https://docs.google.com/spreadsheets/d/14Bd19lYaqBhU8_DElYkX7l4wRkHqqCUFNJY4AfY3kHU/edit?usp=sharing  #gid=0"",""фіз особи new!relations_name_uo""),7,FALSE)
,
)
))"),"ШАРАПОВА Ольга Вікторівна")</f>
        <v>ШАРАПОВА Ольга Вікторівна</v>
      </c>
      <c r="G7778" s="7" t="s">
        <v>10</v>
      </c>
      <c r="H7778" s="7">
        <v>677</v>
      </c>
      <c r="I7778" s="8" t="str">
        <f ca="1">IFERROR(__xludf.DUMMYFUNCTION("IF
(
G7779=""фізична особа""
,
VLOOKUP(H7779,IMPORTRANGE(""https://docs.google.com/spreadsheets/d/14Bd19lYaqBhU8_DElYkX7l4wRkHqqCUFNJY4AfY3kHU/edit?usp=sharing  #gid=0"",""фіз особи new!relations_name""),6,FALSE)
,
(IF
(
G7779=""юридична особа""
,
VLOOKUP"&amp;"(H7779,IMPORTRANGE(""https://docs.google.com/spreadsheets/d/14Bd19lYaqBhU8_DElYkX7l4wRkHqqCUFNJY4AfY3kHU/edit?usp=sharing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7778" s="7" t="s">
        <v>29</v>
      </c>
    </row>
    <row r="7779" spans="1:10" ht="13.2">
      <c r="A7779" s="7">
        <v>7778</v>
      </c>
      <c r="B7779" s="7">
        <v>1</v>
      </c>
      <c r="C7779" s="7" t="s">
        <v>10</v>
      </c>
      <c r="D7779" s="7">
        <v>8716</v>
      </c>
      <c r="E7779" s="7" t="s">
        <v>28</v>
      </c>
      <c r="F7779" s="8" t="str">
        <f ca="1">IFERROR(__xludf.DUMMYFUNCTION("IF
(
C7780=""фізична особа""
,
VLOOKUP(D7780,IMPORTRANGE(""https://docs.google.com/spreadsheets/d/14Bd19lYaqBhU8_DElYkX7l4wRkHqqCUFNJY4AfY3kHU/edit?usp=sharing  #gid=0"",""фіз особи new!relations_name""),6,FALSE)
,
(IF
(
C7780=""юридична особа""
,
VLOOKUP"&amp;"(D7780,IMPORTRANGE(""https://docs.google.com/spreadsheets/d/14Bd19lYaqBhU8_DElYkX7l4wRkHqqCUFNJY4AfY3kHU/edit?usp=sharing  #gid=0"",""фіз особи new!relations_name_uo""),7,FALSE)
,
)
))"),"ШАРАПОВА Ольга Вікторівна")</f>
        <v>ШАРАПОВА Ольга Вікторівна</v>
      </c>
      <c r="G7779" s="7" t="s">
        <v>10</v>
      </c>
      <c r="H7779" s="7">
        <v>9796</v>
      </c>
      <c r="I7779" s="8" t="str">
        <f ca="1">IFERROR(__xludf.DUMMYFUNCTION("IF
(
G7780=""фізична особа""
,
VLOOKUP(H7780,IMPORTRANGE(""https://docs.google.com/spreadsheets/d/14Bd19lYaqBhU8_DElYkX7l4wRkHqqCUFNJY4AfY3kHU/edit?usp=sharing  #gid=0"",""фіз особи new!relations_name""),6,FALSE)
,
(IF
(
G7780=""юридична особа""
,
VLOOKUP"&amp;"(H7780,IMPORTRANGE(""https://docs.google.com/spreadsheets/d/14Bd19lYaqBhU8_DElYkX7l4wRkHqqCUFNJY4AfY3kHU/edit?usp=sharing  #gid=0"",""фіз особи new!relations_name_uo""),7,FALSE)
,
)
))"),"ХРИПУН Олексій Іванович")</f>
        <v>ХРИПУН Олексій Іванович</v>
      </c>
      <c r="J7779" s="7" t="s">
        <v>29</v>
      </c>
    </row>
    <row r="7780" spans="1:10" ht="13.2">
      <c r="A7780" s="7">
        <v>7779</v>
      </c>
      <c r="B7780" s="7">
        <v>1</v>
      </c>
      <c r="C7780" s="7" t="s">
        <v>10</v>
      </c>
      <c r="D7780" s="7">
        <v>8734</v>
      </c>
      <c r="E7780" s="7" t="s">
        <v>14</v>
      </c>
      <c r="F7780" s="8" t="str">
        <f ca="1">IFERROR(__xludf.DUMMYFUNCTION("IF
(
C7781=""фізична особа""
,
VLOOKUP(D7781,IMPORTRANGE(""https://docs.google.com/spreadsheets/d/14Bd19lYaqBhU8_DElYkX7l4wRkHqqCUFNJY4AfY3kHU/edit?usp=sharing  #gid=0"",""фіз особи new!relations_name""),6,FALSE)
,
(IF
(
C7781=""юридична особа""
,
VLOOKUP"&amp;"(D7781,IMPORTRANGE(""https://docs.google.com/spreadsheets/d/14Bd19lYaqBhU8_DElYkX7l4wRkHqqCUFNJY4AfY3kHU/edit?usp=sharing  #gid=0"",""фіз особи new!relations_name_uo""),7,FALSE)
,
)
))"),"ФІЛАТОВ Андрій Васильович")</f>
        <v>ФІЛАТОВ Андрій Васильович</v>
      </c>
      <c r="G7780" s="7" t="s">
        <v>10</v>
      </c>
      <c r="H7780" s="7">
        <v>8786</v>
      </c>
      <c r="I7780" s="8" t="str">
        <f ca="1">IFERROR(__xludf.DUMMYFUNCTION("IF
(
G7781=""фізична особа""
,
VLOOKUP(H7781,IMPORTRANGE(""https://docs.google.com/spreadsheets/d/14Bd19lYaqBhU8_DElYkX7l4wRkHqqCUFNJY4AfY3kHU/edit?usp=sharing  #gid=0"",""фіз особи new!relations_name""),6,FALSE)
,
(IF
(
G7781=""юридична особа""
,
VLOOKUP"&amp;"(H7781,IMPORTRANGE(""https://docs.google.com/spreadsheets/d/14Bd19lYaqBhU8_DElYkX7l4wRkHqqCUFNJY4AfY3kHU/edit?usp=sharing  #gid=0"",""фіз особи new!relations_name_uo""),7,FALSE)
,
)
))"),"ФІЛАТОВА Олена Юріївна")</f>
        <v>ФІЛАТОВА Олена Юріївна</v>
      </c>
      <c r="J7780" s="7" t="s">
        <v>15</v>
      </c>
    </row>
    <row r="7781" spans="1:10" ht="13.2">
      <c r="A7781" s="7">
        <v>7780</v>
      </c>
      <c r="B7781" s="7">
        <v>1</v>
      </c>
      <c r="C7781" s="7" t="s">
        <v>10</v>
      </c>
      <c r="D7781" s="7">
        <v>8734</v>
      </c>
      <c r="E7781" s="7" t="s">
        <v>11</v>
      </c>
      <c r="F7781" s="8" t="str">
        <f ca="1">IFERROR(__xludf.DUMMYFUNCTION("IF
(
C7782=""фізична особа""
,
VLOOKUP(D7782,IMPORTRANGE(""https://docs.google.com/spreadsheets/d/14Bd19lYaqBhU8_DElYkX7l4wRkHqqCUFNJY4AfY3kHU/edit?usp=sharing  #gid=0"",""фіз особи new!relations_name""),6,FALSE)
,
(IF
(
C7782=""юридична особа""
,
VLOOKUP"&amp;"(D7782,IMPORTRANGE(""https://docs.google.com/spreadsheets/d/14Bd19lYaqBhU8_DElYkX7l4wRkHqqCUFNJY4AfY3kHU/edit?usp=sharing  #gid=0"",""фіз особи new!relations_name_uo""),7,FALSE)
,
)
))"),"ФІЛАТОВ Андрій Васильович")</f>
        <v>ФІЛАТОВ Андрій Васильович</v>
      </c>
      <c r="G7781" s="7" t="s">
        <v>10</v>
      </c>
      <c r="H7781" s="7">
        <v>8781</v>
      </c>
      <c r="I7781" s="8" t="str">
        <f ca="1">IFERROR(__xludf.DUMMYFUNCTION("IF
(
G7782=""фізична особа""
,
VLOOKUP(H7782,IMPORTRANGE(""https://docs.google.com/spreadsheets/d/14Bd19lYaqBhU8_DElYkX7l4wRkHqqCUFNJY4AfY3kHU/edit?usp=sharing  #gid=0"",""фіз особи new!relations_name""),6,FALSE)
,
(IF
(
G7782=""юридична особа""
,
VLOOKUP"&amp;"(H7782,IMPORTRANGE(""https://docs.google.com/spreadsheets/d/14Bd19lYaqBhU8_DElYkX7l4wRkHqqCUFNJY4AfY3kHU/edit?usp=sharing  #gid=0"",""фіз особи new!relations_name_uo""),7,FALSE)
,
)
))"),"МІШИН Микита Анатолійович")</f>
        <v>МІШИН Микита Анатолійович</v>
      </c>
      <c r="J7781" s="7" t="s">
        <v>11</v>
      </c>
    </row>
    <row r="7782" spans="1:10" ht="13.2">
      <c r="A7782" s="7">
        <v>7781</v>
      </c>
      <c r="B7782" s="7">
        <v>1</v>
      </c>
      <c r="C7782" s="7" t="s">
        <v>10</v>
      </c>
      <c r="D7782" s="7">
        <v>8734</v>
      </c>
      <c r="E7782" s="7" t="s">
        <v>11</v>
      </c>
      <c r="F7782" s="8" t="str">
        <f ca="1">IFERROR(__xludf.DUMMYFUNCTION("IF
(
C7783=""фізична особа""
,
VLOOKUP(D7783,IMPORTRANGE(""https://docs.google.com/spreadsheets/d/14Bd19lYaqBhU8_DElYkX7l4wRkHqqCUFNJY4AfY3kHU/edit?usp=sharing  #gid=0"",""фіз особи new!relations_name""),6,FALSE)
,
(IF
(
C7783=""юридична особа""
,
VLOOKUP"&amp;"(D7783,IMPORTRANGE(""https://docs.google.com/spreadsheets/d/14Bd19lYaqBhU8_DElYkX7l4wRkHqqCUFNJY4AfY3kHU/edit?usp=sharing  #gid=0"",""фіз особи new!relations_name_uo""),7,FALSE)
,
)
))"),"ФІЛАТОВ Андрій Васильович")</f>
        <v>ФІЛАТОВ Андрій Васильович</v>
      </c>
      <c r="G7782" s="7" t="s">
        <v>10</v>
      </c>
      <c r="H7782" s="7">
        <v>2266</v>
      </c>
      <c r="I7782" s="8" t="str">
        <f ca="1">IFERROR(__xludf.DUMMYFUNCTION("IF
(
G7783=""фізична особа""
,
VLOOKUP(H7783,IMPORTRANGE(""https://docs.google.com/spreadsheets/d/14Bd19lYaqBhU8_DElYkX7l4wRkHqqCUFNJY4AfY3kHU/edit?usp=sharing  #gid=0"",""фіз особи new!relations_name""),6,FALSE)
,
(IF
(
G7783=""юридична особа""
,
VLOOKUP"&amp;"(H7783,IMPORTRANGE(""https://docs.google.com/spreadsheets/d/14Bd19lYaqBhU8_DElYkX7l4wRkHqqCUFNJY4AfY3kHU/edit?usp=sharing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J7782" s="7" t="s">
        <v>11</v>
      </c>
    </row>
    <row r="7783" spans="1:10" ht="13.2">
      <c r="A7783" s="7">
        <v>7782</v>
      </c>
      <c r="B7783" s="7">
        <v>1</v>
      </c>
      <c r="C7783" s="7" t="s">
        <v>10</v>
      </c>
      <c r="D7783" s="7">
        <v>8735</v>
      </c>
      <c r="E7783" s="7" t="s">
        <v>16</v>
      </c>
      <c r="F7783" s="8" t="str">
        <f ca="1">IFERROR(__xludf.DUMMYFUNCTION("IF
(
C7784=""фізична особа""
,
VLOOKUP(D7784,IMPORTRANGE(""https://docs.google.com/spreadsheets/d/14Bd19lYaqBhU8_DElYkX7l4wRkHqqCUFNJY4AfY3kHU/edit?usp=sharing  #gid=0"",""фіз особи new!relations_name""),6,FALSE)
,
(IF
(
C7784=""юридична особа""
,
VLOOKUP"&amp;"(D7784,IMPORTRANGE(""https://docs.google.com/spreadsheets/d/14Bd19lYaqBhU8_DElYkX7l4wRkHqqCUFNJY4AfY3kHU/edit?usp=sharing  #gid=0"",""фіз особи new!relations_name_uo""),7,FALSE)
,
)
))"),"БАРОНОВ Андрій Євгенійович")</f>
        <v>БАРОНОВ Андрій Євгенійович</v>
      </c>
      <c r="G7783" s="7" t="s">
        <v>10</v>
      </c>
      <c r="H7783" s="7">
        <v>8748</v>
      </c>
      <c r="I7783" s="8" t="str">
        <f ca="1">IFERROR(__xludf.DUMMYFUNCTION("IF
(
G7784=""фізична особа""
,
VLOOKUP(H7784,IMPORTRANGE(""https://docs.google.com/spreadsheets/d/14Bd19lYaqBhU8_DElYkX7l4wRkHqqCUFNJY4AfY3kHU/edit?usp=sharing  #gid=0"",""фіз особи new!relations_name""),6,FALSE)
,
(IF
(
G7784=""юридична особа""
,
VLOOKUP"&amp;"(H7784,IMPORTRANGE(""https://docs.google.com/spreadsheets/d/14Bd19lYaqBhU8_DElYkX7l4wRkHqqCUFNJY4AfY3kHU/edit?usp=sharing  #gid=0"",""фіз особи new!relations_name_uo""),7,FALSE)
,
)
))"),"ТІМАШЕВ Ратмір Вілійович")</f>
        <v>ТІМАШЕВ Ратмір Вілійович</v>
      </c>
      <c r="J7783" s="7" t="s">
        <v>16</v>
      </c>
    </row>
    <row r="7784" spans="1:10" ht="13.2">
      <c r="A7784" s="7">
        <v>7783</v>
      </c>
      <c r="B7784" s="7">
        <v>1</v>
      </c>
      <c r="C7784" s="7" t="s">
        <v>10</v>
      </c>
      <c r="D7784" s="7">
        <v>8737</v>
      </c>
      <c r="E7784" s="7" t="s">
        <v>20</v>
      </c>
      <c r="F7784" s="8" t="str">
        <f ca="1">IFERROR(__xludf.DUMMYFUNCTION("IF
(
C7785=""фізична особа""
,
VLOOKUP(D7785,IMPORTRANGE(""https://docs.google.com/spreadsheets/d/14Bd19lYaqBhU8_DElYkX7l4wRkHqqCUFNJY4AfY3kHU/edit?usp=sharing  #gid=0"",""фіз особи new!relations_name""),6,FALSE)
,
(IF
(
C7785=""юридична особа""
,
VLOOKUP"&amp;"(D7785,IMPORTRANGE(""https://docs.google.com/spreadsheets/d/14Bd19lYaqBhU8_DElYkX7l4wRkHqqCUFNJY4AfY3kHU/edit?usp=sharing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G7784" s="7" t="s">
        <v>10</v>
      </c>
      <c r="H7784" s="7">
        <v>8792</v>
      </c>
      <c r="I7784" s="8" t="str">
        <f ca="1">IFERROR(__xludf.DUMMYFUNCTION("IF
(
G7785=""фізична особа""
,
VLOOKUP(H7785,IMPORTRANGE(""https://docs.google.com/spreadsheets/d/14Bd19lYaqBhU8_DElYkX7l4wRkHqqCUFNJY4AfY3kHU/edit?usp=sharing  #gid=0"",""фіз особи new!relations_name""),6,FALSE)
,
(IF
(
G7785=""юридична особа""
,
VLOOKUP"&amp;"(H7785,IMPORTRANGE(""https://docs.google.com/spreadsheets/d/14Bd19lYaqBhU8_DElYkX7l4wRkHqqCUFNJY4AfY3kHU/edit?usp=sharing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J7784" s="7" t="s">
        <v>19</v>
      </c>
    </row>
    <row r="7785" spans="1:10" ht="13.2">
      <c r="A7785" s="7">
        <v>7784</v>
      </c>
      <c r="B7785" s="7">
        <v>1</v>
      </c>
      <c r="C7785" s="7" t="s">
        <v>10</v>
      </c>
      <c r="D7785" s="7">
        <v>8737</v>
      </c>
      <c r="E7785" s="7" t="s">
        <v>20</v>
      </c>
      <c r="F7785" s="8" t="str">
        <f ca="1">IFERROR(__xludf.DUMMYFUNCTION("IF
(
C7786=""фізична особа""
,
VLOOKUP(D7786,IMPORTRANGE(""https://docs.google.com/spreadsheets/d/14Bd19lYaqBhU8_DElYkX7l4wRkHqqCUFNJY4AfY3kHU/edit?usp=sharing  #gid=0"",""фіз особи new!relations_name""),6,FALSE)
,
(IF
(
C7786=""юридична особа""
,
VLOOKUP"&amp;"(D7786,IMPORTRANGE(""https://docs.google.com/spreadsheets/d/14Bd19lYaqBhU8_DElYkX7l4wRkHqqCUFNJY4AfY3kHU/edit?usp=sharing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G7785" s="7" t="s">
        <v>10</v>
      </c>
      <c r="H7785" s="7">
        <v>8793</v>
      </c>
      <c r="I7785" s="8" t="str">
        <f ca="1">IFERROR(__xludf.DUMMYFUNCTION("IF
(
G7786=""фізична особа""
,
VLOOKUP(H7786,IMPORTRANGE(""https://docs.google.com/spreadsheets/d/14Bd19lYaqBhU8_DElYkX7l4wRkHqqCUFNJY4AfY3kHU/edit?usp=sharing  #gid=0"",""фіз особи new!relations_name""),6,FALSE)
,
(IF
(
G7786=""юридична особа""
,
VLOOKUP"&amp;"(H7786,IMPORTRANGE(""https://docs.google.com/spreadsheets/d/14Bd19lYaqBhU8_DElYkX7l4wRkHqqCUFNJY4AfY3kHU/edit?usp=sharing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J7785" s="7" t="s">
        <v>19</v>
      </c>
    </row>
    <row r="7786" spans="1:10" ht="13.2">
      <c r="A7786" s="7">
        <v>7785</v>
      </c>
      <c r="B7786" s="7">
        <v>1</v>
      </c>
      <c r="C7786" s="7" t="s">
        <v>10</v>
      </c>
      <c r="D7786" s="7">
        <v>8737</v>
      </c>
      <c r="E7786" s="7" t="s">
        <v>20</v>
      </c>
      <c r="F7786" s="8" t="str">
        <f ca="1">IFERROR(__xludf.DUMMYFUNCTION("IF
(
C7787=""фізична особа""
,
VLOOKUP(D7787,IMPORTRANGE(""https://docs.google.com/spreadsheets/d/14Bd19lYaqBhU8_DElYkX7l4wRkHqqCUFNJY4AfY3kHU/edit?usp=sharing  #gid=0"",""фіз особи new!relations_name""),6,FALSE)
,
(IF
(
C7787=""юридична особа""
,
VLOOKUP"&amp;"(D7787,IMPORTRANGE(""https://docs.google.com/spreadsheets/d/14Bd19lYaqBhU8_DElYkX7l4wRkHqqCUFNJY4AfY3kHU/edit?usp=sharing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G7786" s="7" t="s">
        <v>10</v>
      </c>
      <c r="H7786" s="7">
        <v>4365</v>
      </c>
      <c r="I7786" s="8" t="str">
        <f ca="1">IFERROR(__xludf.DUMMYFUNCTION("IF
(
G7787=""фізична особа""
,
VLOOKUP(H7787,IMPORTRANGE(""https://docs.google.com/spreadsheets/d/14Bd19lYaqBhU8_DElYkX7l4wRkHqqCUFNJY4AfY3kHU/edit?usp=sharing  #gid=0"",""фіз особи new!relations_name""),6,FALSE)
,
(IF
(
G7787=""юридична особа""
,
VLOOKUP"&amp;"(H7787,IMPORTRANGE(""https://docs.google.com/spreadsheets/d/14Bd19lYaqBhU8_DElYkX7l4wRkHqqCUFNJY4AfY3kHU/edit?usp=sharing  #gid=0"",""фіз особи new!relations_name_uo""),7,FALSE)
,
)
))"),"БАЖАЄВ Муса Юсупович")</f>
        <v>БАЖАЄВ Муса Юсупович</v>
      </c>
      <c r="J7786" s="7" t="s">
        <v>19</v>
      </c>
    </row>
    <row r="7787" spans="1:10" ht="13.2">
      <c r="A7787" s="7">
        <v>7786</v>
      </c>
      <c r="B7787" s="7">
        <v>1</v>
      </c>
      <c r="C7787" s="7" t="s">
        <v>10</v>
      </c>
      <c r="D7787" s="7">
        <v>8737</v>
      </c>
      <c r="E7787" s="7" t="s">
        <v>16</v>
      </c>
      <c r="F7787" s="8" t="str">
        <f ca="1">IFERROR(__xludf.DUMMYFUNCTION("IF
(
C7788=""фізична особа""
,
VLOOKUP(D7788,IMPORTRANGE(""https://docs.google.com/spreadsheets/d/14Bd19lYaqBhU8_DElYkX7l4wRkHqqCUFNJY4AfY3kHU/edit?usp=sharing  #gid=0"",""фіз особи new!relations_name""),6,FALSE)
,
(IF
(
C7788=""юридична особа""
,
VLOOKUP"&amp;"(D7788,IMPORTRANGE(""https://docs.google.com/spreadsheets/d/14Bd19lYaqBhU8_DElYkX7l4wRkHqqCUFNJY4AfY3kHU/edit?usp=sharing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G7787" s="7" t="s">
        <v>10</v>
      </c>
      <c r="H7787" s="7">
        <v>0</v>
      </c>
      <c r="I7787" s="8" t="str">
        <f ca="1">IFERROR(__xludf.DUMMYFUNCTION("IF
(
G7788=""фізична особа""
,
VLOOKUP(H7788,IMPORTRANGE(""https://docs.google.com/spreadsheets/d/14Bd19lYaqBhU8_DElYkX7l4wRkHqqCUFNJY4AfY3kHU/edit?usp=sharing  #gid=0"",""фіз особи new!relations_name""),6,FALSE)
,
(IF
(
G7788=""юридична особа""
,
VLOOKUP"&amp;"(H7788,IMPORTRANGE(""https://docs.google.com/spreadsheets/d/14Bd19lYaqBhU8_DElYkX7l4wRkHqqCUFNJY4AfY3kHU/edit?usp=sharing  #gid=0"",""фіз особи new!relations_name_uo""),7,FALSE)
,
)
))"),"#N/A")</f>
        <v>#N/A</v>
      </c>
      <c r="J7787" s="7" t="s">
        <v>16</v>
      </c>
    </row>
    <row r="7788" spans="1:10" ht="13.2">
      <c r="A7788" s="7">
        <v>7787</v>
      </c>
      <c r="B7788" s="7">
        <v>1</v>
      </c>
      <c r="C7788" s="7" t="s">
        <v>10</v>
      </c>
      <c r="D7788" s="7">
        <v>8737</v>
      </c>
      <c r="E7788" s="7" t="s">
        <v>16</v>
      </c>
      <c r="F7788" s="8" t="str">
        <f ca="1">IFERROR(__xludf.DUMMYFUNCTION("IF
(
C7789=""фізична особа""
,
VLOOKUP(D7789,IMPORTRANGE(""https://docs.google.com/spreadsheets/d/14Bd19lYaqBhU8_DElYkX7l4wRkHqqCUFNJY4AfY3kHU/edit?usp=sharing  #gid=0"",""фіз особи new!relations_name""),6,FALSE)
,
(IF
(
C7789=""юридична особа""
,
VLOOKUP"&amp;"(D7789,IMPORTRANGE(""https://docs.google.com/spreadsheets/d/14Bd19lYaqBhU8_DElYkX7l4wRkHqqCUFNJY4AfY3kHU/edit?usp=sharing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G7788" s="7" t="s">
        <v>10</v>
      </c>
      <c r="H7788" s="7">
        <v>0</v>
      </c>
      <c r="I7788" s="8" t="str">
        <f ca="1">IFERROR(__xludf.DUMMYFUNCTION("IF
(
G7789=""фізична особа""
,
VLOOKUP(H7789,IMPORTRANGE(""https://docs.google.com/spreadsheets/d/14Bd19lYaqBhU8_DElYkX7l4wRkHqqCUFNJY4AfY3kHU/edit?usp=sharing  #gid=0"",""фіз особи new!relations_name""),6,FALSE)
,
(IF
(
G7789=""юридична особа""
,
VLOOKUP"&amp;"(H7789,IMPORTRANGE(""https://docs.google.com/spreadsheets/d/14Bd19lYaqBhU8_DElYkX7l4wRkHqqCUFNJY4AfY3kHU/edit?usp=sharing  #gid=0"",""фіз особи new!relations_name_uo""),7,FALSE)
,
)
))"),"#N/A")</f>
        <v>#N/A</v>
      </c>
      <c r="J7788" s="7" t="s">
        <v>16</v>
      </c>
    </row>
    <row r="7789" spans="1:10" ht="13.2">
      <c r="A7789" s="7">
        <v>7788</v>
      </c>
      <c r="B7789" s="7">
        <v>1</v>
      </c>
      <c r="C7789" s="7" t="s">
        <v>10</v>
      </c>
      <c r="D7789" s="7">
        <v>8738</v>
      </c>
      <c r="E7789" s="7" t="s">
        <v>16</v>
      </c>
      <c r="F7789" s="8" t="str">
        <f ca="1">IFERROR(__xludf.DUMMYFUNCTION("IF
(
C7790=""фізична особа""
,
VLOOKUP(D7790,IMPORTRANGE(""https://docs.google.com/spreadsheets/d/14Bd19lYaqBhU8_DElYkX7l4wRkHqqCUFNJY4AfY3kHU/edit?usp=sharing  #gid=0"",""фіз особи new!relations_name""),6,FALSE)
,
(IF
(
C7790=""юридична особа""
,
VLOOKUP"&amp;"(D7790,IMPORTRANGE(""https://docs.google.com/spreadsheets/d/14Bd19lYaqBhU8_DElYkX7l4wRkHqqCUFNJY4AfY3kHU/edit?usp=sharing  #gid=0"",""фіз особи new!relations_name_uo""),7,FALSE)
,
)
))"),"КАРПЦОВ Юрій Дмитрович")</f>
        <v>КАРПЦОВ Юрій Дмитрович</v>
      </c>
      <c r="G7789" s="7" t="s">
        <v>10</v>
      </c>
      <c r="H7789" s="7">
        <v>8736</v>
      </c>
      <c r="I7789" s="8" t="str">
        <f ca="1">IFERROR(__xludf.DUMMYFUNCTION("IF
(
G7790=""фізична особа""
,
VLOOKUP(H7790,IMPORTRANGE(""https://docs.google.com/spreadsheets/d/14Bd19lYaqBhU8_DElYkX7l4wRkHqqCUFNJY4AfY3kHU/edit?usp=sharing  #gid=0"",""фіз особи new!relations_name""),6,FALSE)
,
(IF
(
G7790=""юридична особа""
,
VLOOKUP"&amp;"(H7790,IMPORTRANGE(""https://docs.google.com/spreadsheets/d/14Bd19lYaqBhU8_DElYkX7l4wRkHqqCUFNJY4AfY3kHU/edit?usp=sharing  #gid=0"",""фіз особи new!relations_name_uo""),7,FALSE)
,
)
))"),"АЛЕКСЄЄВ Дмитро Юрійович")</f>
        <v>АЛЕКСЄЄВ Дмитро Юрійович</v>
      </c>
      <c r="J7789" s="7" t="s">
        <v>16</v>
      </c>
    </row>
    <row r="7790" spans="1:10" ht="13.2">
      <c r="A7790" s="7">
        <v>7789</v>
      </c>
      <c r="B7790" s="7">
        <v>1</v>
      </c>
      <c r="C7790" s="7" t="s">
        <v>10</v>
      </c>
      <c r="D7790" s="7">
        <v>8739</v>
      </c>
      <c r="E7790" s="7" t="s">
        <v>24</v>
      </c>
      <c r="F7790" s="8" t="str">
        <f ca="1">IFERROR(__xludf.DUMMYFUNCTION("IF
(
C7791=""фізична особа""
,
VLOOKUP(D7791,IMPORTRANGE(""https://docs.google.com/spreadsheets/d/14Bd19lYaqBhU8_DElYkX7l4wRkHqqCUFNJY4AfY3kHU/edit?usp=sharing  #gid=0"",""фіз особи new!relations_name""),6,FALSE)
,
(IF
(
C7791=""юридична особа""
,
VLOOKUP"&amp;"(D7791,IMPORTRANGE(""https://docs.google.com/spreadsheets/d/14Bd19lYaqBhU8_DElYkX7l4wRkHqqCUFNJY4AfY3kHU/edit?usp=sharing  #gid=0"",""фіз особи new!relations_name_uo""),7,FALSE)
,
)
))"),"ЛЕБЕДЄВ Леонід Леонідович")</f>
        <v>ЛЕБЕДЄВ Леонід Леонідович</v>
      </c>
      <c r="G7790" s="7" t="s">
        <v>10</v>
      </c>
      <c r="H7790" s="7">
        <v>0</v>
      </c>
      <c r="I7790" s="8" t="str">
        <f ca="1">IFERROR(__xludf.DUMMYFUNCTION("IF
(
G7791=""фізична особа""
,
VLOOKUP(H7791,IMPORTRANGE(""https://docs.google.com/spreadsheets/d/14Bd19lYaqBhU8_DElYkX7l4wRkHqqCUFNJY4AfY3kHU/edit?usp=sharing  #gid=0"",""фіз особи new!relations_name""),6,FALSE)
,
(IF
(
G7791=""юридична особа""
,
VLOOKUP"&amp;"(H7791,IMPORTRANGE(""https://docs.google.com/spreadsheets/d/14Bd19lYaqBhU8_DElYkX7l4wRkHqqCUFNJY4AfY3kHU/edit?usp=sharing  #gid=0"",""фіз особи new!relations_name_uo""),7,FALSE)
,
)
))"),"#N/A")</f>
        <v>#N/A</v>
      </c>
      <c r="J7790" s="7" t="s">
        <v>26</v>
      </c>
    </row>
    <row r="7791" spans="1:10" ht="13.2">
      <c r="A7791" s="7">
        <v>7790</v>
      </c>
      <c r="B7791" s="7">
        <v>1</v>
      </c>
      <c r="C7791" s="7" t="s">
        <v>10</v>
      </c>
      <c r="D7791" s="7">
        <v>8739</v>
      </c>
      <c r="E7791" s="7" t="s">
        <v>12</v>
      </c>
      <c r="F7791" s="8" t="str">
        <f ca="1">IFERROR(__xludf.DUMMYFUNCTION("IF
(
C7792=""фізична особа""
,
VLOOKUP(D7792,IMPORTRANGE(""https://docs.google.com/spreadsheets/d/14Bd19lYaqBhU8_DElYkX7l4wRkHqqCUFNJY4AfY3kHU/edit?usp=sharing  #gid=0"",""фіз особи new!relations_name""),6,FALSE)
,
(IF
(
C7792=""юридична особа""
,
VLOOKUP"&amp;"(D7792,IMPORTRANGE(""https://docs.google.com/spreadsheets/d/14Bd19lYaqBhU8_DElYkX7l4wRkHqqCUFNJY4AfY3kHU/edit?usp=sharing  #gid=0"",""фіз особи new!relations_name_uo""),7,FALSE)
,
)
))"),"ЛЕБЕДЄВ Леонід Леонідович")</f>
        <v>ЛЕБЕДЄВ Леонід Леонідович</v>
      </c>
      <c r="G7791" s="7" t="s">
        <v>10</v>
      </c>
      <c r="H7791" s="7">
        <v>0</v>
      </c>
      <c r="I7791" s="8" t="str">
        <f ca="1">IFERROR(__xludf.DUMMYFUNCTION("IF
(
G7792=""фізична особа""
,
VLOOKUP(H7792,IMPORTRANGE(""https://docs.google.com/spreadsheets/d/14Bd19lYaqBhU8_DElYkX7l4wRkHqqCUFNJY4AfY3kHU/edit?usp=sharing  #gid=0"",""фіз особи new!relations_name""),6,FALSE)
,
(IF
(
G7792=""юридична особа""
,
VLOOKUP"&amp;"(H7792,IMPORTRANGE(""https://docs.google.com/spreadsheets/d/14Bd19lYaqBhU8_DElYkX7l4wRkHqqCUFNJY4AfY3kHU/edit?usp=sharing  #gid=0"",""фіз особи new!relations_name_uo""),7,FALSE)
,
)
))"),"#N/A")</f>
        <v>#N/A</v>
      </c>
      <c r="J7791" s="7" t="s">
        <v>13</v>
      </c>
    </row>
    <row r="7792" spans="1:10" ht="13.2">
      <c r="A7792" s="7">
        <v>7791</v>
      </c>
      <c r="B7792" s="7">
        <v>1</v>
      </c>
      <c r="C7792" s="7" t="s">
        <v>10</v>
      </c>
      <c r="D7792" s="7">
        <v>8739</v>
      </c>
      <c r="E7792" s="7" t="s">
        <v>12</v>
      </c>
      <c r="F7792" s="8" t="str">
        <f ca="1">IFERROR(__xludf.DUMMYFUNCTION("IF
(
C7793=""фізична особа""
,
VLOOKUP(D7793,IMPORTRANGE(""https://docs.google.com/spreadsheets/d/14Bd19lYaqBhU8_DElYkX7l4wRkHqqCUFNJY4AfY3kHU/edit?usp=sharing  #gid=0"",""фіз особи new!relations_name""),6,FALSE)
,
(IF
(
C7793=""юридична особа""
,
VLOOKUP"&amp;"(D7793,IMPORTRANGE(""https://docs.google.com/spreadsheets/d/14Bd19lYaqBhU8_DElYkX7l4wRkHqqCUFNJY4AfY3kHU/edit?usp=sharing  #gid=0"",""фіз особи new!relations_name_uo""),7,FALSE)
,
)
))"),"ЛЕБЕДЄВ Леонід Леонідович")</f>
        <v>ЛЕБЕДЄВ Леонід Леонідович</v>
      </c>
      <c r="G7792" s="7" t="s">
        <v>10</v>
      </c>
      <c r="H7792" s="7">
        <v>0</v>
      </c>
      <c r="I7792" s="8" t="str">
        <f ca="1">IFERROR(__xludf.DUMMYFUNCTION("IF
(
G7793=""фізична особа""
,
VLOOKUP(H7793,IMPORTRANGE(""https://docs.google.com/spreadsheets/d/14Bd19lYaqBhU8_DElYkX7l4wRkHqqCUFNJY4AfY3kHU/edit?usp=sharing  #gid=0"",""фіз особи new!relations_name""),6,FALSE)
,
(IF
(
G7793=""юридична особа""
,
VLOOKUP"&amp;"(H7793,IMPORTRANGE(""https://docs.google.com/spreadsheets/d/14Bd19lYaqBhU8_DElYkX7l4wRkHqqCUFNJY4AfY3kHU/edit?usp=sharing  #gid=0"",""фіз особи new!relations_name_uo""),7,FALSE)
,
)
))"),"#N/A")</f>
        <v>#N/A</v>
      </c>
      <c r="J7792" s="7" t="s">
        <v>13</v>
      </c>
    </row>
    <row r="7793" spans="1:10" ht="13.2">
      <c r="A7793" s="7">
        <v>7792</v>
      </c>
      <c r="B7793" s="7">
        <v>1</v>
      </c>
      <c r="C7793" s="7" t="s">
        <v>10</v>
      </c>
      <c r="D7793" s="7">
        <v>8740</v>
      </c>
      <c r="E7793" s="7" t="s">
        <v>12</v>
      </c>
      <c r="F7793" s="8" t="str">
        <f ca="1">IFERROR(__xludf.DUMMYFUNCTION("IF
(
C7794=""фізична особа""
,
VLOOKUP(D7794,IMPORTRANGE(""https://docs.google.com/spreadsheets/d/14Bd19lYaqBhU8_DElYkX7l4wRkHqqCUFNJY4AfY3kHU/edit?usp=sharing  #gid=0"",""фіз особи new!relations_name""),6,FALSE)
,
(IF
(
C7794=""юридична особа""
,
VLOOKUP"&amp;"(D7794,IMPORTRANGE(""https://docs.google.com/spreadsheets/d/14Bd19lYaqBhU8_DElYkX7l4wRkHqqCUFNJY4AfY3kHU/edit?usp=sharing  #gid=0"",""фіз особи new!relations_name_uo""),7,FALSE)
,
)
))"),"СВЕТАКОВ Олександр Олександрович")</f>
        <v>СВЕТАКОВ Олександр Олександрович</v>
      </c>
      <c r="G7793" s="7" t="s">
        <v>10</v>
      </c>
      <c r="H7793" s="7">
        <v>0</v>
      </c>
      <c r="I7793" s="8" t="str">
        <f ca="1">IFERROR(__xludf.DUMMYFUNCTION("IF
(
G7794=""фізична особа""
,
VLOOKUP(H7794,IMPORTRANGE(""https://docs.google.com/spreadsheets/d/14Bd19lYaqBhU8_DElYkX7l4wRkHqqCUFNJY4AfY3kHU/edit?usp=sharing  #gid=0"",""фіз особи new!relations_name""),6,FALSE)
,
(IF
(
G7794=""юридична особа""
,
VLOOKUP"&amp;"(H7794,IMPORTRANGE(""https://docs.google.com/spreadsheets/d/14Bd19lYaqBhU8_DElYkX7l4wRkHqqCUFNJY4AfY3kHU/edit?usp=sharing  #gid=0"",""фіз особи new!relations_name_uo""),7,FALSE)
,
)
))"),"#N/A")</f>
        <v>#N/A</v>
      </c>
      <c r="J7793" s="7" t="s">
        <v>17</v>
      </c>
    </row>
    <row r="7794" spans="1:10" ht="13.2">
      <c r="A7794" s="7">
        <v>7793</v>
      </c>
      <c r="B7794" s="7">
        <v>1</v>
      </c>
      <c r="C7794" s="7" t="s">
        <v>10</v>
      </c>
      <c r="D7794" s="7">
        <v>8740</v>
      </c>
      <c r="E7794" s="7" t="s">
        <v>12</v>
      </c>
      <c r="F7794" s="8" t="str">
        <f ca="1">IFERROR(__xludf.DUMMYFUNCTION("IF
(
C7795=""фізична особа""
,
VLOOKUP(D7795,IMPORTRANGE(""https://docs.google.com/spreadsheets/d/14Bd19lYaqBhU8_DElYkX7l4wRkHqqCUFNJY4AfY3kHU/edit?usp=sharing  #gid=0"",""фіз особи new!relations_name""),6,FALSE)
,
(IF
(
C7795=""юридична особа""
,
VLOOKUP"&amp;"(D7795,IMPORTRANGE(""https://docs.google.com/spreadsheets/d/14Bd19lYaqBhU8_DElYkX7l4wRkHqqCUFNJY4AfY3kHU/edit?usp=sharing  #gid=0"",""фіз особи new!relations_name_uo""),7,FALSE)
,
)
))"),"СВЕТАКОВ Олександр Олександрович")</f>
        <v>СВЕТАКОВ Олександр Олександрович</v>
      </c>
      <c r="G7794" s="7" t="s">
        <v>10</v>
      </c>
      <c r="H7794" s="7">
        <v>0</v>
      </c>
      <c r="I7794" s="8" t="str">
        <f ca="1">IFERROR(__xludf.DUMMYFUNCTION("IF
(
G7795=""фізична особа""
,
VLOOKUP(H7795,IMPORTRANGE(""https://docs.google.com/spreadsheets/d/14Bd19lYaqBhU8_DElYkX7l4wRkHqqCUFNJY4AfY3kHU/edit?usp=sharing  #gid=0"",""фіз особи new!relations_name""),6,FALSE)
,
(IF
(
G7795=""юридична особа""
,
VLOOKUP"&amp;"(H7795,IMPORTRANGE(""https://docs.google.com/spreadsheets/d/14Bd19lYaqBhU8_DElYkX7l4wRkHqqCUFNJY4AfY3kHU/edit?usp=sharing  #gid=0"",""фіз особи new!relations_name_uo""),7,FALSE)
,
)
))"),"#N/A")</f>
        <v>#N/A</v>
      </c>
      <c r="J7794" s="7" t="s">
        <v>17</v>
      </c>
    </row>
    <row r="7795" spans="1:10" ht="13.2">
      <c r="A7795" s="7">
        <v>7794</v>
      </c>
      <c r="B7795" s="7">
        <v>1</v>
      </c>
      <c r="C7795" s="7" t="s">
        <v>10</v>
      </c>
      <c r="D7795" s="7">
        <v>8740</v>
      </c>
      <c r="E7795" s="7" t="s">
        <v>12</v>
      </c>
      <c r="F7795" s="8" t="str">
        <f ca="1">IFERROR(__xludf.DUMMYFUNCTION("IF
(
C7796=""фізична особа""
,
VLOOKUP(D7796,IMPORTRANGE(""https://docs.google.com/spreadsheets/d/14Bd19lYaqBhU8_DElYkX7l4wRkHqqCUFNJY4AfY3kHU/edit?usp=sharing  #gid=0"",""фіз особи new!relations_name""),6,FALSE)
,
(IF
(
C7796=""юридична особа""
,
VLOOKUP"&amp;"(D7796,IMPORTRANGE(""https://docs.google.com/spreadsheets/d/14Bd19lYaqBhU8_DElYkX7l4wRkHqqCUFNJY4AfY3kHU/edit?usp=sharing  #gid=0"",""фіз особи new!relations_name_uo""),7,FALSE)
,
)
))"),"СВЕТАКОВ Олександр Олександрович")</f>
        <v>СВЕТАКОВ Олександр Олександрович</v>
      </c>
      <c r="G7795" s="7" t="s">
        <v>10</v>
      </c>
      <c r="H7795" s="7">
        <v>0</v>
      </c>
      <c r="I7795" s="8" t="str">
        <f ca="1">IFERROR(__xludf.DUMMYFUNCTION("IF
(
G7796=""фізична особа""
,
VLOOKUP(H7796,IMPORTRANGE(""https://docs.google.com/spreadsheets/d/14Bd19lYaqBhU8_DElYkX7l4wRkHqqCUFNJY4AfY3kHU/edit?usp=sharing  #gid=0"",""фіз особи new!relations_name""),6,FALSE)
,
(IF
(
G7796=""юридична особа""
,
VLOOKUP"&amp;"(H7796,IMPORTRANGE(""https://docs.google.com/spreadsheets/d/14Bd19lYaqBhU8_DElYkX7l4wRkHqqCUFNJY4AfY3kHU/edit?usp=sharing  #gid=0"",""фіз особи new!relations_name_uo""),7,FALSE)
,
)
))"),"#N/A")</f>
        <v>#N/A</v>
      </c>
      <c r="J7795" s="7" t="s">
        <v>17</v>
      </c>
    </row>
    <row r="7796" spans="1:10" ht="13.2">
      <c r="A7796" s="7">
        <v>7795</v>
      </c>
      <c r="B7796" s="7">
        <v>1</v>
      </c>
      <c r="C7796" s="7" t="s">
        <v>10</v>
      </c>
      <c r="D7796" s="7">
        <v>8741</v>
      </c>
      <c r="E7796" s="7" t="s">
        <v>14</v>
      </c>
      <c r="F7796" s="8" t="str">
        <f ca="1">IFERROR(__xludf.DUMMYFUNCTION("IF
(
C7797=""фізична особа""
,
VLOOKUP(D7797,IMPORTRANGE(""https://docs.google.com/spreadsheets/d/14Bd19lYaqBhU8_DElYkX7l4wRkHqqCUFNJY4AfY3kHU/edit?usp=sharing  #gid=0"",""фіз особи new!relations_name""),6,FALSE)
,
(IF
(
C7797=""юридична особа""
,
VLOOKUP"&amp;"(D7797,IMPORTRANGE(""https://docs.google.com/spreadsheets/d/14Bd19lYaqBhU8_DElYkX7l4wRkHqqCUFNJY4AfY3kHU/edit?usp=sharing  #gid=0"",""фіз особи new!relations_name_uo""),7,FALSE)
,
)
))"),"СТУДЬОННІКОВ Сергій Петрович")</f>
        <v>СТУДЬОННІКОВ Сергій Петрович</v>
      </c>
      <c r="G7796" s="7" t="s">
        <v>10</v>
      </c>
      <c r="H7796" s="7">
        <v>0</v>
      </c>
      <c r="I7796" s="8" t="str">
        <f ca="1">IFERROR(__xludf.DUMMYFUNCTION("IF
(
G7797=""фізична особа""
,
VLOOKUP(H7797,IMPORTRANGE(""https://docs.google.com/spreadsheets/d/14Bd19lYaqBhU8_DElYkX7l4wRkHqqCUFNJY4AfY3kHU/edit?usp=sharing  #gid=0"",""фіз особи new!relations_name""),6,FALSE)
,
(IF
(
G7797=""юридична особа""
,
VLOOKUP"&amp;"(H7797,IMPORTRANGE(""https://docs.google.com/spreadsheets/d/14Bd19lYaqBhU8_DElYkX7l4wRkHqqCUFNJY4AfY3kHU/edit?usp=sharing  #gid=0"",""фіз особи new!relations_name_uo""),7,FALSE)
,
)
))"),"#N/A")</f>
        <v>#N/A</v>
      </c>
      <c r="J7796" s="7" t="s">
        <v>15</v>
      </c>
    </row>
    <row r="7797" spans="1:10" ht="13.2">
      <c r="A7797" s="7">
        <v>7796</v>
      </c>
      <c r="B7797" s="7">
        <v>1</v>
      </c>
      <c r="C7797" s="7" t="s">
        <v>10</v>
      </c>
      <c r="D7797" s="7">
        <v>8742</v>
      </c>
      <c r="E7797" s="7" t="s">
        <v>14</v>
      </c>
      <c r="F7797" s="8" t="str">
        <f ca="1">IFERROR(__xludf.DUMMYFUNCTION("IF
(
C7798=""фізична особа""
,
VLOOKUP(D7798,IMPORTRANGE(""https://docs.google.com/spreadsheets/d/14Bd19lYaqBhU8_DElYkX7l4wRkHqqCUFNJY4AfY3kHU/edit?usp=sharing  #gid=0"",""фіз особи new!relations_name""),6,FALSE)
,
(IF
(
C7798=""юридична особа""
,
VLOOKUP"&amp;"(D7798,IMPORTRANGE(""https://docs.google.com/spreadsheets/d/14Bd19lYaqBhU8_DElYkX7l4wRkHqqCUFNJY4AfY3kHU/edit?usp=sharing  #gid=0"",""фіз особи new!relations_name_uo""),7,FALSE)
,
)
))"),"КУДРЯШКІН Ігор Геннадійович")</f>
        <v>КУДРЯШКІН Ігор Геннадійович</v>
      </c>
      <c r="G7797" s="7" t="s">
        <v>10</v>
      </c>
      <c r="H7797" s="7">
        <v>23571</v>
      </c>
      <c r="I7797" s="8" t="str">
        <f ca="1">IFERROR(__xludf.DUMMYFUNCTION("IF
(
G7798=""фізична особа""
,
VLOOKUP(H7798,IMPORTRANGE(""https://docs.google.com/spreadsheets/d/14Bd19lYaqBhU8_DElYkX7l4wRkHqqCUFNJY4AfY3kHU/edit?usp=sharing  #gid=0"",""фіз особи new!relations_name""),6,FALSE)
,
(IF
(
G7798=""юридична особа""
,
VLOOKUP"&amp;"(H7798,IMPORTRANGE(""https://docs.google.com/spreadsheets/d/14Bd19lYaqBhU8_DElYkX7l4wRkHqqCUFNJY4AfY3kHU/edit?usp=sharing  #gid=0"",""фіз особи new!relations_name_uo""),7,FALSE)
,
)
))"),"КУДРЯШКІНА Світлана Борисівна")</f>
        <v>КУДРЯШКІНА Світлана Борисівна</v>
      </c>
      <c r="J7797" s="7" t="s">
        <v>15</v>
      </c>
    </row>
    <row r="7798" spans="1:10" ht="13.2">
      <c r="A7798" s="7">
        <v>7797</v>
      </c>
      <c r="B7798" s="7">
        <v>1</v>
      </c>
      <c r="C7798" s="7" t="s">
        <v>10</v>
      </c>
      <c r="D7798" s="7">
        <v>8742</v>
      </c>
      <c r="E7798" s="7" t="s">
        <v>12</v>
      </c>
      <c r="F7798" s="8" t="str">
        <f ca="1">IFERROR(__xludf.DUMMYFUNCTION("IF
(
C7799=""фізична особа""
,
VLOOKUP(D7799,IMPORTRANGE(""https://docs.google.com/spreadsheets/d/14Bd19lYaqBhU8_DElYkX7l4wRkHqqCUFNJY4AfY3kHU/edit?usp=sharing  #gid=0"",""фіз особи new!relations_name""),6,FALSE)
,
(IF
(
C7799=""юридична особа""
,
VLOOKUP"&amp;"(D7799,IMPORTRANGE(""https://docs.google.com/spreadsheets/d/14Bd19lYaqBhU8_DElYkX7l4wRkHqqCUFNJY4AfY3kHU/edit?usp=sharing  #gid=0"",""фіз особи new!relations_name_uo""),7,FALSE)
,
)
))"),"КУДРЯШКІН Ігор Геннадійович")</f>
        <v>КУДРЯШКІН Ігор Геннадійович</v>
      </c>
      <c r="G7798" s="7" t="s">
        <v>10</v>
      </c>
      <c r="H7798" s="7">
        <v>0</v>
      </c>
      <c r="I7798" s="8" t="str">
        <f ca="1">IFERROR(__xludf.DUMMYFUNCTION("IF
(
G7799=""фізична особа""
,
VLOOKUP(H7799,IMPORTRANGE(""https://docs.google.com/spreadsheets/d/14Bd19lYaqBhU8_DElYkX7l4wRkHqqCUFNJY4AfY3kHU/edit?usp=sharing  #gid=0"",""фіз особи new!relations_name""),6,FALSE)
,
(IF
(
G7799=""юридична особа""
,
VLOOKUP"&amp;"(H7799,IMPORTRANGE(""https://docs.google.com/spreadsheets/d/14Bd19lYaqBhU8_DElYkX7l4wRkHqqCUFNJY4AfY3kHU/edit?usp=sharing  #gid=0"",""фіз особи new!relations_name_uo""),7,FALSE)
,
)
))"),"#N/A")</f>
        <v>#N/A</v>
      </c>
      <c r="J7798" s="7" t="s">
        <v>13</v>
      </c>
    </row>
    <row r="7799" spans="1:10" ht="13.2">
      <c r="A7799" s="7">
        <v>7798</v>
      </c>
      <c r="B7799" s="7">
        <v>1</v>
      </c>
      <c r="C7799" s="7" t="s">
        <v>10</v>
      </c>
      <c r="D7799" s="7">
        <v>8744</v>
      </c>
      <c r="E7799" s="7" t="s">
        <v>14</v>
      </c>
      <c r="F7799" s="8" t="str">
        <f ca="1">IFERROR(__xludf.DUMMYFUNCTION("IF
(
C7800=""фізична особа""
,
VLOOKUP(D7800,IMPORTRANGE(""https://docs.google.com/spreadsheets/d/14Bd19lYaqBhU8_DElYkX7l4wRkHqqCUFNJY4AfY3kHU/edit?usp=sharing  #gid=0"",""фіз особи new!relations_name""),6,FALSE)
,
(IF
(
C7800=""юридична особа""
,
VLOOKUP"&amp;"(D7800,IMPORTRANGE(""https://docs.google.com/spreadsheets/d/14Bd19lYaqBhU8_DElYkX7l4wRkHqqCUFNJY4AfY3kHU/edit?usp=sharing  #gid=0"",""фіз особи new!relations_name_uo""),7,FALSE)
,
)
))"),"МОЛЧАНОВ Андрій Юрійович")</f>
        <v>МОЛЧАНОВ Андрій Юрійович</v>
      </c>
      <c r="G7799" s="7" t="s">
        <v>10</v>
      </c>
      <c r="H7799" s="7">
        <v>0</v>
      </c>
      <c r="I7799" s="8" t="str">
        <f ca="1">IFERROR(__xludf.DUMMYFUNCTION("IF
(
G7800=""фізична особа""
,
VLOOKUP(H7800,IMPORTRANGE(""https://docs.google.com/spreadsheets/d/14Bd19lYaqBhU8_DElYkX7l4wRkHqqCUFNJY4AfY3kHU/edit?usp=sharing  #gid=0"",""фіз особи new!relations_name""),6,FALSE)
,
(IF
(
G7800=""юридична особа""
,
VLOOKUP"&amp;"(H7800,IMPORTRANGE(""https://docs.google.com/spreadsheets/d/14Bd19lYaqBhU8_DElYkX7l4wRkHqqCUFNJY4AfY3kHU/edit?usp=sharing  #gid=0"",""фіз особи new!relations_name_uo""),7,FALSE)
,
)
))"),"#N/A")</f>
        <v>#N/A</v>
      </c>
      <c r="J7799" s="7" t="s">
        <v>15</v>
      </c>
    </row>
    <row r="7800" spans="1:10" ht="13.2">
      <c r="A7800" s="7">
        <v>7799</v>
      </c>
      <c r="B7800" s="7">
        <v>1</v>
      </c>
      <c r="C7800" s="7" t="s">
        <v>10</v>
      </c>
      <c r="D7800" s="7">
        <v>8744</v>
      </c>
      <c r="E7800" s="7" t="s">
        <v>12</v>
      </c>
      <c r="F7800" s="8" t="str">
        <f ca="1">IFERROR(__xludf.DUMMYFUNCTION("IF
(
C7801=""фізична особа""
,
VLOOKUP(D7801,IMPORTRANGE(""https://docs.google.com/spreadsheets/d/14Bd19lYaqBhU8_DElYkX7l4wRkHqqCUFNJY4AfY3kHU/edit?usp=sharing  #gid=0"",""фіз особи new!relations_name""),6,FALSE)
,
(IF
(
C7801=""юридична особа""
,
VLOOKUP"&amp;"(D7801,IMPORTRANGE(""https://docs.google.com/spreadsheets/d/14Bd19lYaqBhU8_DElYkX7l4wRkHqqCUFNJY4AfY3kHU/edit?usp=sharing  #gid=0"",""фіз особи new!relations_name_uo""),7,FALSE)
,
)
))"),"МОЛЧАНОВ Андрій Юрійович")</f>
        <v>МОЛЧАНОВ Андрій Юрійович</v>
      </c>
      <c r="G7800" s="7" t="s">
        <v>10</v>
      </c>
      <c r="H7800" s="7">
        <v>0</v>
      </c>
      <c r="I7800" s="8" t="str">
        <f ca="1">IFERROR(__xludf.DUMMYFUNCTION("IF
(
G7801=""фізична особа""
,
VLOOKUP(H7801,IMPORTRANGE(""https://docs.google.com/spreadsheets/d/14Bd19lYaqBhU8_DElYkX7l4wRkHqqCUFNJY4AfY3kHU/edit?usp=sharing  #gid=0"",""фіз особи new!relations_name""),6,FALSE)
,
(IF
(
G7801=""юридична особа""
,
VLOOKUP"&amp;"(H7801,IMPORTRANGE(""https://docs.google.com/spreadsheets/d/14Bd19lYaqBhU8_DElYkX7l4wRkHqqCUFNJY4AfY3kHU/edit?usp=sharing  #gid=0"",""фіз особи new!relations_name_uo""),7,FALSE)
,
)
))"),"#N/A")</f>
        <v>#N/A</v>
      </c>
      <c r="J7800" s="7" t="s">
        <v>17</v>
      </c>
    </row>
    <row r="7801" spans="1:10" ht="13.2">
      <c r="A7801" s="7">
        <v>7800</v>
      </c>
      <c r="B7801" s="7">
        <v>1</v>
      </c>
      <c r="C7801" s="7" t="s">
        <v>10</v>
      </c>
      <c r="D7801" s="7">
        <v>8748</v>
      </c>
      <c r="E7801" s="7" t="s">
        <v>12</v>
      </c>
      <c r="F7801" s="8" t="str">
        <f ca="1">IFERROR(__xludf.DUMMYFUNCTION("IF
(
C7802=""фізична особа""
,
VLOOKUP(D7802,IMPORTRANGE(""https://docs.google.com/spreadsheets/d/14Bd19lYaqBhU8_DElYkX7l4wRkHqqCUFNJY4AfY3kHU/edit?usp=sharing  #gid=0"",""фіз особи new!relations_name""),6,FALSE)
,
(IF
(
C7802=""юридична особа""
,
VLOOKUP"&amp;"(D7802,IMPORTRANGE(""https://docs.google.com/spreadsheets/d/14Bd19lYaqBhU8_DElYkX7l4wRkHqqCUFNJY4AfY3kHU/edit?usp=sharing  #gid=0"",""фіз особи new!relations_name_uo""),7,FALSE)
,
)
))"),"ТІМАШЕВ Ратмір Вілійович")</f>
        <v>ТІМАШЕВ Ратмір Вілійович</v>
      </c>
      <c r="G7801" s="7" t="s">
        <v>10</v>
      </c>
      <c r="H7801" s="7">
        <v>0</v>
      </c>
      <c r="I7801" s="8" t="str">
        <f ca="1">IFERROR(__xludf.DUMMYFUNCTION("IF
(
G7802=""фізична особа""
,
VLOOKUP(H7802,IMPORTRANGE(""https://docs.google.com/spreadsheets/d/14Bd19lYaqBhU8_DElYkX7l4wRkHqqCUFNJY4AfY3kHU/edit?usp=sharing  #gid=0"",""фіз особи new!relations_name""),6,FALSE)
,
(IF
(
G7802=""юридична особа""
,
VLOOKUP"&amp;"(H7802,IMPORTRANGE(""https://docs.google.com/spreadsheets/d/14Bd19lYaqBhU8_DElYkX7l4wRkHqqCUFNJY4AfY3kHU/edit?usp=sharing  #gid=0"",""фіз особи new!relations_name_uo""),7,FALSE)
,
)
))"),"#N/A")</f>
        <v>#N/A</v>
      </c>
      <c r="J7801" s="7" t="s">
        <v>13</v>
      </c>
    </row>
    <row r="7802" spans="1:10" ht="13.2">
      <c r="A7802" s="7">
        <v>7801</v>
      </c>
      <c r="B7802" s="7">
        <v>1</v>
      </c>
      <c r="C7802" s="7" t="s">
        <v>10</v>
      </c>
      <c r="D7802" s="7">
        <v>8748</v>
      </c>
      <c r="E7802" s="7" t="s">
        <v>12</v>
      </c>
      <c r="F7802" s="8" t="str">
        <f ca="1">IFERROR(__xludf.DUMMYFUNCTION("IF
(
C7803=""фізична особа""
,
VLOOKUP(D7803,IMPORTRANGE(""https://docs.google.com/spreadsheets/d/14Bd19lYaqBhU8_DElYkX7l4wRkHqqCUFNJY4AfY3kHU/edit?usp=sharing  #gid=0"",""фіз особи new!relations_name""),6,FALSE)
,
(IF
(
C7803=""юридична особа""
,
VLOOKUP"&amp;"(D7803,IMPORTRANGE(""https://docs.google.com/spreadsheets/d/14Bd19lYaqBhU8_DElYkX7l4wRkHqqCUFNJY4AfY3kHU/edit?usp=sharing  #gid=0"",""фіз особи new!relations_name_uo""),7,FALSE)
,
)
))"),"ТІМАШЕВ Ратмір Вілійович")</f>
        <v>ТІМАШЕВ Ратмір Вілійович</v>
      </c>
      <c r="G7802" s="7" t="s">
        <v>10</v>
      </c>
      <c r="H7802" s="7">
        <v>0</v>
      </c>
      <c r="I7802" s="8" t="str">
        <f ca="1">IFERROR(__xludf.DUMMYFUNCTION("IF
(
G7803=""фізична особа""
,
VLOOKUP(H7803,IMPORTRANGE(""https://docs.google.com/spreadsheets/d/14Bd19lYaqBhU8_DElYkX7l4wRkHqqCUFNJY4AfY3kHU/edit?usp=sharing  #gid=0"",""фіз особи new!relations_name""),6,FALSE)
,
(IF
(
G7803=""юридична особа""
,
VLOOKUP"&amp;"(H7803,IMPORTRANGE(""https://docs.google.com/spreadsheets/d/14Bd19lYaqBhU8_DElYkX7l4wRkHqqCUFNJY4AfY3kHU/edit?usp=sharing  #gid=0"",""фіз особи new!relations_name_uo""),7,FALSE)
,
)
))"),"#N/A")</f>
        <v>#N/A</v>
      </c>
      <c r="J7802" s="7" t="s">
        <v>17</v>
      </c>
    </row>
    <row r="7803" spans="1:10" ht="13.2">
      <c r="A7803" s="7">
        <v>7802</v>
      </c>
      <c r="B7803" s="7">
        <v>1</v>
      </c>
      <c r="C7803" s="7" t="s">
        <v>10</v>
      </c>
      <c r="D7803" s="7">
        <v>8750</v>
      </c>
      <c r="E7803" s="7" t="s">
        <v>14</v>
      </c>
      <c r="F7803" s="8" t="str">
        <f ca="1">IFERROR(__xludf.DUMMYFUNCTION("IF
(
C7804=""фізична особа""
,
VLOOKUP(D7804,IMPORTRANGE(""https://docs.google.com/spreadsheets/d/14Bd19lYaqBhU8_DElYkX7l4wRkHqqCUFNJY4AfY3kHU/edit?usp=sharing  #gid=0"",""фіз особи new!relations_name""),6,FALSE)
,
(IF
(
C7804=""юридична особа""
,
VLOOKUP"&amp;"(D7804,IMPORTRANGE(""https://docs.google.com/spreadsheets/d/14Bd19lYaqBhU8_DElYkX7l4wRkHqqCUFNJY4AfY3kHU/edit?usp=sharing  #gid=0"",""фіз особи new!relations_name_uo""),7,FALSE)
,
)
))"),"АНТИПОВ Юрий Васильович")</f>
        <v>АНТИПОВ Юрий Васильович</v>
      </c>
      <c r="G7803" s="7" t="s">
        <v>10</v>
      </c>
      <c r="H7803" s="7">
        <v>8768</v>
      </c>
      <c r="I7803" s="8" t="str">
        <f ca="1">IFERROR(__xludf.DUMMYFUNCTION("IF
(
G7804=""фізична особа""
,
VLOOKUP(H7804,IMPORTRANGE(""https://docs.google.com/spreadsheets/d/14Bd19lYaqBhU8_DElYkX7l4wRkHqqCUFNJY4AfY3kHU/edit?usp=sharing  #gid=0"",""фіз особи new!relations_name""),6,FALSE)
,
(IF
(
G7804=""юридична особа""
,
VLOOKUP"&amp;"(H7804,IMPORTRANGE(""https://docs.google.com/spreadsheets/d/14Bd19lYaqBhU8_DElYkX7l4wRkHqqCUFNJY4AfY3kHU/edit?usp=sharing  #gid=0"",""фіз особи new!relations_name_uo""),7,FALSE)
,
)
))"),"АНТИПОВА Людмила Олександрівна")</f>
        <v>АНТИПОВА Людмила Олександрівна</v>
      </c>
      <c r="J7803" s="7" t="s">
        <v>15</v>
      </c>
    </row>
    <row r="7804" spans="1:10" ht="13.2">
      <c r="A7804" s="7">
        <v>7803</v>
      </c>
      <c r="B7804" s="7">
        <v>1</v>
      </c>
      <c r="C7804" s="7" t="s">
        <v>10</v>
      </c>
      <c r="D7804" s="7">
        <v>8751</v>
      </c>
      <c r="E7804" s="7" t="s">
        <v>12</v>
      </c>
      <c r="F7804" s="8" t="str">
        <f ca="1">IFERROR(__xludf.DUMMYFUNCTION("IF
(
C7805=""фізична особа""
,
VLOOKUP(D7805,IMPORTRANGE(""https://docs.google.com/spreadsheets/d/14Bd19lYaqBhU8_DElYkX7l4wRkHqqCUFNJY4AfY3kHU/edit?usp=sharing  #gid=0"",""фіз особи new!relations_name""),6,FALSE)
,
(IF
(
C7805=""юридична особа""
,
VLOOKUP"&amp;"(D7805,IMPORTRANGE(""https://docs.google.com/spreadsheets/d/14Bd19lYaqBhU8_DElYkX7l4wRkHqqCUFNJY4AfY3kHU/edit?usp=sharing  #gid=0"",""фіз особи new!relations_name_uo""),7,FALSE)
,
)
))"),"СТРЕШИНСЬКИЙ Володимир/Іван Якович")</f>
        <v>СТРЕШИНСЬКИЙ Володимир/Іван Якович</v>
      </c>
      <c r="G7804" s="7" t="s">
        <v>10</v>
      </c>
      <c r="H7804" s="7">
        <v>0</v>
      </c>
      <c r="I7804" s="8" t="str">
        <f ca="1">IFERROR(__xludf.DUMMYFUNCTION("IF
(
G7805=""фізична особа""
,
VLOOKUP(H7805,IMPORTRANGE(""https://docs.google.com/spreadsheets/d/14Bd19lYaqBhU8_DElYkX7l4wRkHqqCUFNJY4AfY3kHU/edit?usp=sharing  #gid=0"",""фіз особи new!relations_name""),6,FALSE)
,
(IF
(
G7805=""юридична особа""
,
VLOOKUP"&amp;"(H7805,IMPORTRANGE(""https://docs.google.com/spreadsheets/d/14Bd19lYaqBhU8_DElYkX7l4wRkHqqCUFNJY4AfY3kHU/edit?usp=sharing  #gid=0"",""фіз особи new!relations_name_uo""),7,FALSE)
,
)
))"),"#N/A")</f>
        <v>#N/A</v>
      </c>
      <c r="J7804" s="7" t="s">
        <v>17</v>
      </c>
    </row>
    <row r="7805" spans="1:10" ht="13.2">
      <c r="A7805" s="7">
        <v>7804</v>
      </c>
      <c r="B7805" s="7">
        <v>1</v>
      </c>
      <c r="C7805" s="7" t="s">
        <v>10</v>
      </c>
      <c r="D7805" s="7">
        <v>8751</v>
      </c>
      <c r="E7805" s="7" t="s">
        <v>12</v>
      </c>
      <c r="F7805" s="8" t="str">
        <f ca="1">IFERROR(__xludf.DUMMYFUNCTION("IF
(
C7806=""фізична особа""
,
VLOOKUP(D7806,IMPORTRANGE(""https://docs.google.com/spreadsheets/d/14Bd19lYaqBhU8_DElYkX7l4wRkHqqCUFNJY4AfY3kHU/edit?usp=sharing  #gid=0"",""фіз особи new!relations_name""),6,FALSE)
,
(IF
(
C7806=""юридична особа""
,
VLOOKUP"&amp;"(D7806,IMPORTRANGE(""https://docs.google.com/spreadsheets/d/14Bd19lYaqBhU8_DElYkX7l4wRkHqqCUFNJY4AfY3kHU/edit?usp=sharing  #gid=0"",""фіз особи new!relations_name_uo""),7,FALSE)
,
)
))"),"СТРЕШИНСЬКИЙ Володимир/Іван Якович")</f>
        <v>СТРЕШИНСЬКИЙ Володимир/Іван Якович</v>
      </c>
      <c r="G7805" s="7" t="s">
        <v>10</v>
      </c>
      <c r="H7805" s="7">
        <v>0</v>
      </c>
      <c r="I7805" s="8" t="str">
        <f ca="1">IFERROR(__xludf.DUMMYFUNCTION("IF
(
G7806=""фізична особа""
,
VLOOKUP(H7806,IMPORTRANGE(""https://docs.google.com/spreadsheets/d/14Bd19lYaqBhU8_DElYkX7l4wRkHqqCUFNJY4AfY3kHU/edit?usp=sharing  #gid=0"",""фіз особи new!relations_name""),6,FALSE)
,
(IF
(
G7806=""юридична особа""
,
VLOOKUP"&amp;"(H7806,IMPORTRANGE(""https://docs.google.com/spreadsheets/d/14Bd19lYaqBhU8_DElYkX7l4wRkHqqCUFNJY4AfY3kHU/edit?usp=sharing  #gid=0"",""фіз особи new!relations_name_uo""),7,FALSE)
,
)
))"),"#N/A")</f>
        <v>#N/A</v>
      </c>
      <c r="J7805" s="7" t="s">
        <v>17</v>
      </c>
    </row>
    <row r="7806" spans="1:10" ht="13.2">
      <c r="A7806" s="7">
        <v>7805</v>
      </c>
      <c r="B7806" s="7">
        <v>1</v>
      </c>
      <c r="C7806" s="7" t="s">
        <v>10</v>
      </c>
      <c r="D7806" s="7">
        <v>8751</v>
      </c>
      <c r="E7806" s="7" t="s">
        <v>14</v>
      </c>
      <c r="F7806" s="8" t="str">
        <f ca="1">IFERROR(__xludf.DUMMYFUNCTION("IF
(
C7807=""фізична особа""
,
VLOOKUP(D7807,IMPORTRANGE(""https://docs.google.com/spreadsheets/d/14Bd19lYaqBhU8_DElYkX7l4wRkHqqCUFNJY4AfY3kHU/edit?usp=sharing  #gid=0"",""фіз особи new!relations_name""),6,FALSE)
,
(IF
(
C7807=""юридична особа""
,
VLOOKUP"&amp;"(D7807,IMPORTRANGE(""https://docs.google.com/spreadsheets/d/14Bd19lYaqBhU8_DElYkX7l4wRkHqqCUFNJY4AfY3kHU/edit?usp=sharing  #gid=0"",""фіз особи new!relations_name_uo""),7,FALSE)
,
)
))"),"СТРЕШИНСЬКИЙ Володимир/Іван Якович")</f>
        <v>СТРЕШИНСЬКИЙ Володимир/Іван Якович</v>
      </c>
      <c r="G7806" s="7" t="s">
        <v>10</v>
      </c>
      <c r="H7806" s="7">
        <v>0</v>
      </c>
      <c r="I7806" s="8" t="str">
        <f ca="1">IFERROR(__xludf.DUMMYFUNCTION("IF
(
G7807=""фізична особа""
,
VLOOKUP(H7807,IMPORTRANGE(""https://docs.google.com/spreadsheets/d/14Bd19lYaqBhU8_DElYkX7l4wRkHqqCUFNJY4AfY3kHU/edit?usp=sharing  #gid=0"",""фіз особи new!relations_name""),6,FALSE)
,
(IF
(
G7807=""юридична особа""
,
VLOOKUP"&amp;"(H7807,IMPORTRANGE(""https://docs.google.com/spreadsheets/d/14Bd19lYaqBhU8_DElYkX7l4wRkHqqCUFNJY4AfY3kHU/edit?usp=sharing  #gid=0"",""фіз особи new!relations_name_uo""),7,FALSE)
,
)
))"),"#N/A")</f>
        <v>#N/A</v>
      </c>
      <c r="J7806" s="7" t="s">
        <v>15</v>
      </c>
    </row>
    <row r="7807" spans="1:10" ht="13.2">
      <c r="A7807" s="7">
        <v>7806</v>
      </c>
      <c r="B7807" s="7">
        <v>1</v>
      </c>
      <c r="C7807" s="7" t="s">
        <v>10</v>
      </c>
      <c r="D7807" s="7">
        <v>8751</v>
      </c>
      <c r="E7807" s="7" t="s">
        <v>12</v>
      </c>
      <c r="F7807" s="8" t="str">
        <f ca="1">IFERROR(__xludf.DUMMYFUNCTION("IF
(
C7808=""фізична особа""
,
VLOOKUP(D7808,IMPORTRANGE(""https://docs.google.com/spreadsheets/d/14Bd19lYaqBhU8_DElYkX7l4wRkHqqCUFNJY4AfY3kHU/edit?usp=sharing  #gid=0"",""фіз особи new!relations_name""),6,FALSE)
,
(IF
(
C7808=""юридична особа""
,
VLOOKUP"&amp;"(D7808,IMPORTRANGE(""https://docs.google.com/spreadsheets/d/14Bd19lYaqBhU8_DElYkX7l4wRkHqqCUFNJY4AfY3kHU/edit?usp=sharing  #gid=0"",""фіз особи new!relations_name_uo""),7,FALSE)
,
)
))"),"СТРЕШИНСЬКИЙ Володимир/Іван Якович")</f>
        <v>СТРЕШИНСЬКИЙ Володимир/Іван Якович</v>
      </c>
      <c r="G7807" s="7" t="s">
        <v>10</v>
      </c>
      <c r="H7807" s="7">
        <v>0</v>
      </c>
      <c r="I7807" s="8" t="str">
        <f ca="1">IFERROR(__xludf.DUMMYFUNCTION("IF
(
G7808=""фізична особа""
,
VLOOKUP(H7808,IMPORTRANGE(""https://docs.google.com/spreadsheets/d/14Bd19lYaqBhU8_DElYkX7l4wRkHqqCUFNJY4AfY3kHU/edit?usp=sharing  #gid=0"",""фіз особи new!relations_name""),6,FALSE)
,
(IF
(
G7808=""юридична особа""
,
VLOOKUP"&amp;"(H7808,IMPORTRANGE(""https://docs.google.com/spreadsheets/d/14Bd19lYaqBhU8_DElYkX7l4wRkHqqCUFNJY4AfY3kHU/edit?usp=sharing  #gid=0"",""фіз особи new!relations_name_uo""),7,FALSE)
,
)
))"),"#N/A")</f>
        <v>#N/A</v>
      </c>
      <c r="J7807" s="7" t="s">
        <v>13</v>
      </c>
    </row>
    <row r="7808" spans="1:10" ht="13.2">
      <c r="A7808" s="7">
        <v>7807</v>
      </c>
      <c r="B7808" s="7">
        <v>1</v>
      </c>
      <c r="C7808" s="7" t="s">
        <v>10</v>
      </c>
      <c r="D7808" s="7">
        <v>8753</v>
      </c>
      <c r="E7808" s="7" t="s">
        <v>12</v>
      </c>
      <c r="F7808" s="8" t="str">
        <f ca="1">IFERROR(__xludf.DUMMYFUNCTION("IF
(
C7809=""фізична особа""
,
VLOOKUP(D7809,IMPORTRANGE(""https://docs.google.com/spreadsheets/d/14Bd19lYaqBhU8_DElYkX7l4wRkHqqCUFNJY4AfY3kHU/edit?usp=sharing  #gid=0"",""фіз особи new!relations_name""),6,FALSE)
,
(IF
(
C7809=""юридична особа""
,
VLOOKUP"&amp;"(D7809,IMPORTRANGE(""https://docs.google.com/spreadsheets/d/14Bd19lYaqBhU8_DElYkX7l4wRkHqqCUFNJY4AfY3kHU/edit?usp=sharing  #gid=0"",""фіз особи new!relations_name_uo""),7,FALSE)
,
)
))"),"МЕЛЬНИКОВ Володимир Володимирович")</f>
        <v>МЕЛЬНИКОВ Володимир Володимирович</v>
      </c>
      <c r="G7808" s="7" t="s">
        <v>10</v>
      </c>
      <c r="H7808" s="7">
        <v>8769</v>
      </c>
      <c r="I7808" s="8" t="str">
        <f ca="1">IFERROR(__xludf.DUMMYFUNCTION("IF
(
G7809=""фізична особа""
,
VLOOKUP(H7809,IMPORTRANGE(""https://docs.google.com/spreadsheets/d/14Bd19lYaqBhU8_DElYkX7l4wRkHqqCUFNJY4AfY3kHU/edit?usp=sharing  #gid=0"",""фіз особи new!relations_name""),6,FALSE)
,
(IF
(
G7809=""юридична особа""
,
VLOOKUP"&amp;"(H7809,IMPORTRANGE(""https://docs.google.com/spreadsheets/d/14Bd19lYaqBhU8_DElYkX7l4wRkHqqCUFNJY4AfY3kHU/edit?usp=sharing  #gid=0"",""фіз особи new!relations_name_uo""),7,FALSE)
,
)
))"),"СКИБА Аліна Валентинівна")</f>
        <v>СКИБА Аліна Валентинівна</v>
      </c>
      <c r="J7808" s="7" t="s">
        <v>13</v>
      </c>
    </row>
    <row r="7809" spans="1:10" ht="13.2">
      <c r="A7809" s="7">
        <v>7808</v>
      </c>
      <c r="B7809" s="7">
        <v>1</v>
      </c>
      <c r="C7809" s="7" t="s">
        <v>10</v>
      </c>
      <c r="D7809" s="7">
        <v>8754</v>
      </c>
      <c r="E7809" s="7" t="s">
        <v>11</v>
      </c>
      <c r="F7809" s="8" t="str">
        <f ca="1">IFERROR(__xludf.DUMMYFUNCTION("IF
(
C7810=""фізична особа""
,
VLOOKUP(D7810,IMPORTRANGE(""https://docs.google.com/spreadsheets/d/14Bd19lYaqBhU8_DElYkX7l4wRkHqqCUFNJY4AfY3kHU/edit?usp=sharing  #gid=0"",""фіз особи new!relations_name""),6,FALSE)
,
(IF
(
C7810=""юридична особа""
,
VLOOKUP"&amp;"(D7810,IMPORTRANGE(""https://docs.google.com/spreadsheets/d/14Bd19lYaqBhU8_DElYkX7l4wRkHqqCUFNJY4AfY3kHU/edit?usp=sharing  #gid=0"",""фіз особи new!relations_name_uo""),7,FALSE)
,
)
))"),"ДМИТРІЄВ Сергій Віталійович")</f>
        <v>ДМИТРІЄВ Сергій Віталійович</v>
      </c>
      <c r="G7809" s="7" t="s">
        <v>10</v>
      </c>
      <c r="H7809" s="7">
        <v>0</v>
      </c>
      <c r="I7809" s="8" t="str">
        <f ca="1">IFERROR(__xludf.DUMMYFUNCTION("IF
(
G7810=""фізична особа""
,
VLOOKUP(H7810,IMPORTRANGE(""https://docs.google.com/spreadsheets/d/14Bd19lYaqBhU8_DElYkX7l4wRkHqqCUFNJY4AfY3kHU/edit?usp=sharing  #gid=0"",""фіз особи new!relations_name""),6,FALSE)
,
(IF
(
G7810=""юридична особа""
,
VLOOKUP"&amp;"(H7810,IMPORTRANGE(""https://docs.google.com/spreadsheets/d/14Bd19lYaqBhU8_DElYkX7l4wRkHqqCUFNJY4AfY3kHU/edit?usp=sharing  #gid=0"",""фіз особи new!relations_name_uo""),7,FALSE)
,
)
))"),"#N/A")</f>
        <v>#N/A</v>
      </c>
      <c r="J7809" s="7" t="s">
        <v>11</v>
      </c>
    </row>
    <row r="7810" spans="1:10" ht="13.2">
      <c r="A7810" s="7">
        <v>7809</v>
      </c>
      <c r="B7810" s="7">
        <v>1</v>
      </c>
      <c r="C7810" s="7" t="s">
        <v>10</v>
      </c>
      <c r="D7810" s="7">
        <v>8755</v>
      </c>
      <c r="E7810" s="7" t="s">
        <v>12</v>
      </c>
      <c r="F7810" s="8" t="str">
        <f ca="1">IFERROR(__xludf.DUMMYFUNCTION("IF
(
C7811=""фізична особа""
,
VLOOKUP(D7811,IMPORTRANGE(""https://docs.google.com/spreadsheets/d/14Bd19lYaqBhU8_DElYkX7l4wRkHqqCUFNJY4AfY3kHU/edit?usp=sharing  #gid=0"",""фіз особи new!relations_name""),6,FALSE)
,
(IF
(
C7811=""юридична особа""
,
VLOOKUP"&amp;"(D7811,IMPORTRANGE(""https://docs.google.com/spreadsheets/d/14Bd19lYaqBhU8_DElYkX7l4wRkHqqCUFNJY4AfY3kHU/edit?usp=sharing  #gid=0"",""фіз особи new!relations_name_uo""),7,FALSE)
,
)
))"),"АБИЗОВ Михайло Анатолійович")</f>
        <v>АБИЗОВ Михайло Анатолійович</v>
      </c>
      <c r="G7810" s="7" t="s">
        <v>10</v>
      </c>
      <c r="H7810" s="7">
        <v>0</v>
      </c>
      <c r="I7810" s="8" t="str">
        <f ca="1">IFERROR(__xludf.DUMMYFUNCTION("IF
(
G7811=""фізична особа""
,
VLOOKUP(H7811,IMPORTRANGE(""https://docs.google.com/spreadsheets/d/14Bd19lYaqBhU8_DElYkX7l4wRkHqqCUFNJY4AfY3kHU/edit?usp=sharing  #gid=0"",""фіз особи new!relations_name""),6,FALSE)
,
(IF
(
G7811=""юридична особа""
,
VLOOKUP"&amp;"(H7811,IMPORTRANGE(""https://docs.google.com/spreadsheets/d/14Bd19lYaqBhU8_DElYkX7l4wRkHqqCUFNJY4AfY3kHU/edit?usp=sharing  #gid=0"",""фіз особи new!relations_name_uo""),7,FALSE)
,
)
))"),"#N/A")</f>
        <v>#N/A</v>
      </c>
      <c r="J7810" s="7" t="s">
        <v>17</v>
      </c>
    </row>
    <row r="7811" spans="1:10" ht="13.2">
      <c r="A7811" s="7">
        <v>7810</v>
      </c>
      <c r="B7811" s="7">
        <v>1</v>
      </c>
      <c r="C7811" s="7" t="s">
        <v>10</v>
      </c>
      <c r="D7811" s="7">
        <v>8755</v>
      </c>
      <c r="E7811" s="7" t="s">
        <v>14</v>
      </c>
      <c r="F7811" s="8" t="str">
        <f ca="1">IFERROR(__xludf.DUMMYFUNCTION("IF
(
C7812=""фізична особа""
,
VLOOKUP(D7812,IMPORTRANGE(""https://docs.google.com/spreadsheets/d/14Bd19lYaqBhU8_DElYkX7l4wRkHqqCUFNJY4AfY3kHU/edit?usp=sharing  #gid=0"",""фіз особи new!relations_name""),6,FALSE)
,
(IF
(
C7812=""юридична особа""
,
VLOOKUP"&amp;"(D7812,IMPORTRANGE(""https://docs.google.com/spreadsheets/d/14Bd19lYaqBhU8_DElYkX7l4wRkHqqCUFNJY4AfY3kHU/edit?usp=sharing  #gid=0"",""фіз особи new!relations_name_uo""),7,FALSE)
,
)
))"),"АБИЗОВ Михайло Анатолійович")</f>
        <v>АБИЗОВ Михайло Анатолійович</v>
      </c>
      <c r="G7811" s="7" t="s">
        <v>10</v>
      </c>
      <c r="H7811" s="7">
        <v>0</v>
      </c>
      <c r="I7811" s="8" t="str">
        <f ca="1">IFERROR(__xludf.DUMMYFUNCTION("IF
(
G7812=""фізична особа""
,
VLOOKUP(H7812,IMPORTRANGE(""https://docs.google.com/spreadsheets/d/14Bd19lYaqBhU8_DElYkX7l4wRkHqqCUFNJY4AfY3kHU/edit?usp=sharing  #gid=0"",""фіз особи new!relations_name""),6,FALSE)
,
(IF
(
G7812=""юридична особа""
,
VLOOKUP"&amp;"(H7812,IMPORTRANGE(""https://docs.google.com/spreadsheets/d/14Bd19lYaqBhU8_DElYkX7l4wRkHqqCUFNJY4AfY3kHU/edit?usp=sharing  #gid=0"",""фіз особи new!relations_name_uo""),7,FALSE)
,
)
))"),"#N/A")</f>
        <v>#N/A</v>
      </c>
      <c r="J7811" s="7" t="s">
        <v>15</v>
      </c>
    </row>
    <row r="7812" spans="1:10" ht="13.2">
      <c r="A7812" s="7">
        <v>7811</v>
      </c>
      <c r="B7812" s="7">
        <v>1</v>
      </c>
      <c r="C7812" s="7" t="s">
        <v>10</v>
      </c>
      <c r="D7812" s="7">
        <v>8755</v>
      </c>
      <c r="E7812" s="7" t="s">
        <v>14</v>
      </c>
      <c r="F7812" s="8" t="str">
        <f ca="1">IFERROR(__xludf.DUMMYFUNCTION("IF
(
C7813=""фізична особа""
,
VLOOKUP(D7813,IMPORTRANGE(""https://docs.google.com/spreadsheets/d/14Bd19lYaqBhU8_DElYkX7l4wRkHqqCUFNJY4AfY3kHU/edit?usp=sharing  #gid=0"",""фіз особи new!relations_name""),6,FALSE)
,
(IF
(
C7813=""юридична особа""
,
VLOOKUP"&amp;"(D7813,IMPORTRANGE(""https://docs.google.com/spreadsheets/d/14Bd19lYaqBhU8_DElYkX7l4wRkHqqCUFNJY4AfY3kHU/edit?usp=sharing  #gid=0"",""фіз особи new!relations_name_uo""),7,FALSE)
,
)
))"),"АБИЗОВ Михайло Анатолійович")</f>
        <v>АБИЗОВ Михайло Анатолійович</v>
      </c>
      <c r="G7812" s="7" t="s">
        <v>10</v>
      </c>
      <c r="H7812" s="7">
        <v>0</v>
      </c>
      <c r="I7812" s="8" t="str">
        <f ca="1">IFERROR(__xludf.DUMMYFUNCTION("IF
(
G7813=""фізична особа""
,
VLOOKUP(H7813,IMPORTRANGE(""https://docs.google.com/spreadsheets/d/14Bd19lYaqBhU8_DElYkX7l4wRkHqqCUFNJY4AfY3kHU/edit?usp=sharing  #gid=0"",""фіз особи new!relations_name""),6,FALSE)
,
(IF
(
G7813=""юридична особа""
,
VLOOKUP"&amp;"(H7813,IMPORTRANGE(""https://docs.google.com/spreadsheets/d/14Bd19lYaqBhU8_DElYkX7l4wRkHqqCUFNJY4AfY3kHU/edit?usp=sharing  #gid=0"",""фіз особи new!relations_name_uo""),7,FALSE)
,
)
))"),"#N/A")</f>
        <v>#N/A</v>
      </c>
      <c r="J7812" s="7" t="s">
        <v>43</v>
      </c>
    </row>
    <row r="7813" spans="1:10" ht="13.2">
      <c r="A7813" s="7">
        <v>7812</v>
      </c>
      <c r="B7813" s="7">
        <v>1</v>
      </c>
      <c r="C7813" s="7" t="s">
        <v>10</v>
      </c>
      <c r="D7813" s="7">
        <v>8755</v>
      </c>
      <c r="E7813" s="7" t="s">
        <v>12</v>
      </c>
      <c r="F7813" s="8" t="str">
        <f ca="1">IFERROR(__xludf.DUMMYFUNCTION("IF
(
C7814=""фізична особа""
,
VLOOKUP(D7814,IMPORTRANGE(""https://docs.google.com/spreadsheets/d/14Bd19lYaqBhU8_DElYkX7l4wRkHqqCUFNJY4AfY3kHU/edit?usp=sharing  #gid=0"",""фіз особи new!relations_name""),6,FALSE)
,
(IF
(
C7814=""юридична особа""
,
VLOOKUP"&amp;"(D7814,IMPORTRANGE(""https://docs.google.com/spreadsheets/d/14Bd19lYaqBhU8_DElYkX7l4wRkHqqCUFNJY4AfY3kHU/edit?usp=sharing  #gid=0"",""фіз особи new!relations_name_uo""),7,FALSE)
,
)
))"),"АБИЗОВ Михайло Анатолійович")</f>
        <v>АБИЗОВ Михайло Анатолійович</v>
      </c>
      <c r="G7813" s="7" t="s">
        <v>10</v>
      </c>
      <c r="H7813" s="7">
        <v>0</v>
      </c>
      <c r="I7813" s="8" t="str">
        <f ca="1">IFERROR(__xludf.DUMMYFUNCTION("IF
(
G7814=""фізична особа""
,
VLOOKUP(H7814,IMPORTRANGE(""https://docs.google.com/spreadsheets/d/14Bd19lYaqBhU8_DElYkX7l4wRkHqqCUFNJY4AfY3kHU/edit?usp=sharing  #gid=0"",""фіз особи new!relations_name""),6,FALSE)
,
(IF
(
G7814=""юридична особа""
,
VLOOKUP"&amp;"(H7814,IMPORTRANGE(""https://docs.google.com/spreadsheets/d/14Bd19lYaqBhU8_DElYkX7l4wRkHqqCUFNJY4AfY3kHU/edit?usp=sharing  #gid=0"",""фіз особи new!relations_name_uo""),7,FALSE)
,
)
))"),"#N/A")</f>
        <v>#N/A</v>
      </c>
      <c r="J7813" s="7" t="s">
        <v>17</v>
      </c>
    </row>
    <row r="7814" spans="1:10" ht="13.2">
      <c r="A7814" s="7">
        <v>7813</v>
      </c>
      <c r="B7814" s="7">
        <v>1</v>
      </c>
      <c r="C7814" s="7" t="s">
        <v>10</v>
      </c>
      <c r="D7814" s="7">
        <v>8758</v>
      </c>
      <c r="E7814" s="7" t="s">
        <v>13</v>
      </c>
      <c r="F7814" s="8" t="str">
        <f ca="1">IFERROR(__xludf.DUMMYFUNCTION("IF
(
C7815=""фізична особа""
,
VLOOKUP(D7815,IMPORTRANGE(""https://docs.google.com/spreadsheets/d/14Bd19lYaqBhU8_DElYkX7l4wRkHqqCUFNJY4AfY3kHU/edit?usp=sharing  #gid=0"",""фіз особи new!relations_name""),6,FALSE)
,
(IF
(
C7815=""юридична особа""
,
VLOOKUP"&amp;"(D7815,IMPORTRANGE(""https://docs.google.com/spreadsheets/d/14Bd19lYaqBhU8_DElYkX7l4wRkHqqCUFNJY4AfY3kHU/edit?usp=sharing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G7814" s="7" t="s">
        <v>10</v>
      </c>
      <c r="H7814" s="7">
        <v>997</v>
      </c>
      <c r="I7814" s="8" t="str">
        <f ca="1">IFERROR(__xludf.DUMMYFUNCTION("IF
(
G7815=""фізична особа""
,
VLOOKUP(H7815,IMPORTRANGE(""https://docs.google.com/spreadsheets/d/14Bd19lYaqBhU8_DElYkX7l4wRkHqqCUFNJY4AfY3kHU/edit?usp=sharing  #gid=0"",""фіз особи new!relations_name""),6,FALSE)
,
(IF
(
G7815=""юридична особа""
,
VLOOKUP"&amp;"(H7815,IMPORTRANGE(""https://docs.google.com/spreadsheets/d/14Bd19lYaqBhU8_DElYkX7l4wRkHqqCUFNJY4AfY3kHU/edit?usp=sharing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J7814" s="7" t="s">
        <v>12</v>
      </c>
    </row>
    <row r="7815" spans="1:10" ht="13.2">
      <c r="A7815" s="7">
        <v>7814</v>
      </c>
      <c r="B7815" s="7">
        <v>1</v>
      </c>
      <c r="C7815" s="7" t="s">
        <v>10</v>
      </c>
      <c r="D7815" s="7">
        <v>8758</v>
      </c>
      <c r="E7815" s="7" t="s">
        <v>96</v>
      </c>
      <c r="F7815" s="8" t="str">
        <f ca="1">IFERROR(__xludf.DUMMYFUNCTION("IF
(
C7816=""фізична особа""
,
VLOOKUP(D7816,IMPORTRANGE(""https://docs.google.com/spreadsheets/d/14Bd19lYaqBhU8_DElYkX7l4wRkHqqCUFNJY4AfY3kHU/edit?usp=sharing  #gid=0"",""фіз особи new!relations_name""),6,FALSE)
,
(IF
(
C7816=""юридична особа""
,
VLOOKUP"&amp;"(D7816,IMPORTRANGE(""https://docs.google.com/spreadsheets/d/14Bd19lYaqBhU8_DElYkX7l4wRkHqqCUFNJY4AfY3kHU/edit?usp=sharing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G7815" s="7" t="s">
        <v>10</v>
      </c>
      <c r="H7815" s="7">
        <v>23466</v>
      </c>
      <c r="I7815" s="8" t="str">
        <f ca="1">IFERROR(__xludf.DUMMYFUNCTION("IF
(
G7816=""фізична особа""
,
VLOOKUP(H7816,IMPORTRANGE(""https://docs.google.com/spreadsheets/d/14Bd19lYaqBhU8_DElYkX7l4wRkHqqCUFNJY4AfY3kHU/edit?usp=sharing  #gid=0"",""фіз особи new!relations_name""),6,FALSE)
,
(IF
(
G7816=""юридична особа""
,
VLOOKUP"&amp;"(H7816,IMPORTRANGE(""https://docs.google.com/spreadsheets/d/14Bd19lYaqBhU8_DElYkX7l4wRkHqqCUFNJY4AfY3kHU/edit?usp=sharing  #gid=0"",""фіз особи new!relations_name_uo""),7,FALSE)
,
)
))"),"КАНОКОВ Альберт Арсенович")</f>
        <v>КАНОКОВ Альберт Арсенович</v>
      </c>
      <c r="J7815" s="7" t="s">
        <v>18</v>
      </c>
    </row>
    <row r="7816" spans="1:10" ht="13.2">
      <c r="A7816" s="7">
        <v>7815</v>
      </c>
      <c r="B7816" s="7">
        <v>1</v>
      </c>
      <c r="C7816" s="7" t="s">
        <v>10</v>
      </c>
      <c r="D7816" s="7">
        <v>8758</v>
      </c>
      <c r="E7816" s="7" t="s">
        <v>96</v>
      </c>
      <c r="F7816" s="8" t="str">
        <f ca="1">IFERROR(__xludf.DUMMYFUNCTION("IF
(
C7817=""фізична особа""
,
VLOOKUP(D7817,IMPORTRANGE(""https://docs.google.com/spreadsheets/d/14Bd19lYaqBhU8_DElYkX7l4wRkHqqCUFNJY4AfY3kHU/edit?usp=sharing  #gid=0"",""фіз особи new!relations_name""),6,FALSE)
,
(IF
(
C7817=""юридична особа""
,
VLOOKUP"&amp;"(D7817,IMPORTRANGE(""https://docs.google.com/spreadsheets/d/14Bd19lYaqBhU8_DElYkX7l4wRkHqqCUFNJY4AfY3kHU/edit?usp=sharing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G7816" s="7" t="s">
        <v>10</v>
      </c>
      <c r="H7816" s="7">
        <v>23467</v>
      </c>
      <c r="I7816" s="8" t="str">
        <f ca="1">IFERROR(__xludf.DUMMYFUNCTION("IF
(
G7817=""фізична особа""
,
VLOOKUP(H7817,IMPORTRANGE(""https://docs.google.com/spreadsheets/d/14Bd19lYaqBhU8_DElYkX7l4wRkHqqCUFNJY4AfY3kHU/edit?usp=sharing  #gid=0"",""фіз особи new!relations_name""),6,FALSE)
,
(IF
(
G7817=""юридична особа""
,
VLOOKUP"&amp;"(H7817,IMPORTRANGE(""https://docs.google.com/spreadsheets/d/14Bd19lYaqBhU8_DElYkX7l4wRkHqqCUFNJY4AfY3kHU/edit?usp=sharing  #gid=0"",""фіз особи new!relations_name_uo""),7,FALSE)
,
)
))"),"КАНОКОВА Аміна Арсенівна")</f>
        <v>КАНОКОВА Аміна Арсенівна</v>
      </c>
      <c r="J7816" s="7" t="s">
        <v>31</v>
      </c>
    </row>
    <row r="7817" spans="1:10" ht="13.2">
      <c r="A7817" s="7">
        <v>7816</v>
      </c>
      <c r="B7817" s="7">
        <v>1</v>
      </c>
      <c r="C7817" s="7" t="s">
        <v>10</v>
      </c>
      <c r="D7817" s="7">
        <v>8758</v>
      </c>
      <c r="E7817" s="7" t="s">
        <v>13</v>
      </c>
      <c r="F7817" s="8" t="str">
        <f ca="1">IFERROR(__xludf.DUMMYFUNCTION("IF
(
C7818=""фізична особа""
,
VLOOKUP(D7818,IMPORTRANGE(""https://docs.google.com/spreadsheets/d/14Bd19lYaqBhU8_DElYkX7l4wRkHqqCUFNJY4AfY3kHU/edit?usp=sharing  #gid=0"",""фіз особи new!relations_name""),6,FALSE)
,
(IF
(
C7818=""юридична особа""
,
VLOOKUP"&amp;"(D7818,IMPORTRANGE(""https://docs.google.com/spreadsheets/d/14Bd19lYaqBhU8_DElYkX7l4wRkHqqCUFNJY4AfY3kHU/edit?usp=sharing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G7817" s="7" t="s">
        <v>10</v>
      </c>
      <c r="H7817" s="7">
        <v>8760</v>
      </c>
      <c r="I7817" s="8" t="str">
        <f ca="1">IFERROR(__xludf.DUMMYFUNCTION("IF
(
G7818=""фізична особа""
,
VLOOKUP(H7818,IMPORTRANGE(""https://docs.google.com/spreadsheets/d/14Bd19lYaqBhU8_DElYkX7l4wRkHqqCUFNJY4AfY3kHU/edit?usp=sharing  #gid=0"",""фіз особи new!relations_name""),6,FALSE)
,
(IF
(
G7818=""юридична особа""
,
VLOOKUP"&amp;"(H7818,IMPORTRANGE(""https://docs.google.com/spreadsheets/d/14Bd19lYaqBhU8_DElYkX7l4wRkHqqCUFNJY4AfY3kHU/edit?usp=sharing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J7817" s="7" t="s">
        <v>21</v>
      </c>
    </row>
    <row r="7818" spans="1:10" ht="13.2">
      <c r="A7818" s="7">
        <v>7817</v>
      </c>
      <c r="B7818" s="7">
        <v>1</v>
      </c>
      <c r="C7818" s="7" t="s">
        <v>10</v>
      </c>
      <c r="D7818" s="7">
        <v>8759</v>
      </c>
      <c r="E7818" s="7" t="s">
        <v>14</v>
      </c>
      <c r="F7818" s="8" t="str">
        <f ca="1">IFERROR(__xludf.DUMMYFUNCTION("IF
(
C7819=""фізична особа""
,
VLOOKUP(D7819,IMPORTRANGE(""https://docs.google.com/spreadsheets/d/14Bd19lYaqBhU8_DElYkX7l4wRkHqqCUFNJY4AfY3kHU/edit?usp=sharing  #gid=0"",""фіз особи new!relations_name""),6,FALSE)
,
(IF
(
C7819=""юридична особа""
,
VLOOKUP"&amp;"(D7819,IMPORTRANGE(""https://docs.google.com/spreadsheets/d/14Bd19lYaqBhU8_DElYkX7l4wRkHqqCUFNJY4AfY3kHU/edit?usp=sharing  #gid=0"",""фіз особи new!relations_name_uo""),7,FALSE)
,
)
))"),"БОБРИКОВ Сергій Олександрович")</f>
        <v>БОБРИКОВ Сергій Олександрович</v>
      </c>
      <c r="G7818" s="7" t="s">
        <v>10</v>
      </c>
      <c r="H7818" s="7">
        <v>0</v>
      </c>
      <c r="I7818" s="8" t="str">
        <f ca="1">IFERROR(__xludf.DUMMYFUNCTION("IF
(
G7819=""фізична особа""
,
VLOOKUP(H7819,IMPORTRANGE(""https://docs.google.com/spreadsheets/d/14Bd19lYaqBhU8_DElYkX7l4wRkHqqCUFNJY4AfY3kHU/edit?usp=sharing  #gid=0"",""фіз особи new!relations_name""),6,FALSE)
,
(IF
(
G7819=""юридична особа""
,
VLOOKUP"&amp;"(H7819,IMPORTRANGE(""https://docs.google.com/spreadsheets/d/14Bd19lYaqBhU8_DElYkX7l4wRkHqqCUFNJY4AfY3kHU/edit?usp=sharing  #gid=0"",""фіз особи new!relations_name_uo""),7,FALSE)
,
)
))"),"#N/A")</f>
        <v>#N/A</v>
      </c>
      <c r="J7818" s="7" t="s">
        <v>15</v>
      </c>
    </row>
    <row r="7819" spans="1:10" ht="13.2">
      <c r="A7819" s="7">
        <v>7818</v>
      </c>
      <c r="B7819" s="7">
        <v>1</v>
      </c>
      <c r="C7819" s="7" t="s">
        <v>10</v>
      </c>
      <c r="D7819" s="7">
        <v>8760</v>
      </c>
      <c r="E7819" s="7" t="s">
        <v>15</v>
      </c>
      <c r="F7819" s="8" t="str">
        <f ca="1">IFERROR(__xludf.DUMMYFUNCTION("IF
(
C7820=""фізична особа""
,
VLOOKUP(D7820,IMPORTRANGE(""https://docs.google.com/spreadsheets/d/14Bd19lYaqBhU8_DElYkX7l4wRkHqqCUFNJY4AfY3kHU/edit?usp=sharing  #gid=0"",""фіз особи new!relations_name""),6,FALSE)
,
(IF
(
C7820=""юридична особа""
,
VLOOKUP"&amp;"(D7820,IMPORTRANGE(""https://docs.google.com/spreadsheets/d/14Bd19lYaqBhU8_DElYkX7l4wRkHqqCUFNJY4AfY3kHU/edit?usp=sharing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G7819" s="7" t="s">
        <v>10</v>
      </c>
      <c r="H7819" s="7">
        <v>997</v>
      </c>
      <c r="I7819" s="8" t="str">
        <f ca="1">IFERROR(__xludf.DUMMYFUNCTION("IF
(
G7820=""фізична особа""
,
VLOOKUP(H7820,IMPORTRANGE(""https://docs.google.com/spreadsheets/d/14Bd19lYaqBhU8_DElYkX7l4wRkHqqCUFNJY4AfY3kHU/edit?usp=sharing  #gid=0"",""фіз особи new!relations_name""),6,FALSE)
,
(IF
(
G7820=""юридична особа""
,
VLOOKUP"&amp;"(H7820,IMPORTRANGE(""https://docs.google.com/spreadsheets/d/14Bd19lYaqBhU8_DElYkX7l4wRkHqqCUFNJY4AfY3kHU/edit?usp=sharing  #gid=0"",""фіз особи new!relations_name_uo""),7,FALSE)
,
)
))"),"КАНОКОВ Арсен Баширович")</f>
        <v>КАНОКОВ Арсен Баширович</v>
      </c>
      <c r="J7819" s="7" t="s">
        <v>14</v>
      </c>
    </row>
    <row r="7820" spans="1:10" ht="13.2">
      <c r="A7820" s="7">
        <v>7819</v>
      </c>
      <c r="B7820" s="7">
        <v>1</v>
      </c>
      <c r="C7820" s="7" t="s">
        <v>10</v>
      </c>
      <c r="D7820" s="7">
        <v>8760</v>
      </c>
      <c r="E7820" s="7" t="s">
        <v>21</v>
      </c>
      <c r="F7820" s="8" t="str">
        <f ca="1">IFERROR(__xludf.DUMMYFUNCTION("IF
(
C7821=""фізична особа""
,
VLOOKUP(D7821,IMPORTRANGE(""https://docs.google.com/spreadsheets/d/14Bd19lYaqBhU8_DElYkX7l4wRkHqqCUFNJY4AfY3kHU/edit?usp=sharing  #gid=0"",""фіз особи new!relations_name""),6,FALSE)
,
(IF
(
C7821=""юридична особа""
,
VLOOKUP"&amp;"(D7821,IMPORTRANGE(""https://docs.google.com/spreadsheets/d/14Bd19lYaqBhU8_DElYkX7l4wRkHqqCUFNJY4AfY3kHU/edit?usp=sharing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G7820" s="7" t="s">
        <v>10</v>
      </c>
      <c r="H7820" s="7">
        <v>23466</v>
      </c>
      <c r="I7820" s="8" t="str">
        <f ca="1">IFERROR(__xludf.DUMMYFUNCTION("IF
(
G7821=""фізична особа""
,
VLOOKUP(H7821,IMPORTRANGE(""https://docs.google.com/spreadsheets/d/14Bd19lYaqBhU8_DElYkX7l4wRkHqqCUFNJY4AfY3kHU/edit?usp=sharing  #gid=0"",""фіз особи new!relations_name""),6,FALSE)
,
(IF
(
G7821=""юридична особа""
,
VLOOKUP"&amp;"(H7821,IMPORTRANGE(""https://docs.google.com/spreadsheets/d/14Bd19lYaqBhU8_DElYkX7l4wRkHqqCUFNJY4AfY3kHU/edit?usp=sharing  #gid=0"",""фіз особи new!relations_name_uo""),7,FALSE)
,
)
))"),"КАНОКОВ Альберт Арсенович")</f>
        <v>КАНОКОВ Альберт Арсенович</v>
      </c>
      <c r="J7820" s="7" t="s">
        <v>17</v>
      </c>
    </row>
    <row r="7821" spans="1:10" ht="13.2">
      <c r="A7821" s="7">
        <v>7820</v>
      </c>
      <c r="B7821" s="7">
        <v>1</v>
      </c>
      <c r="C7821" s="7" t="s">
        <v>10</v>
      </c>
      <c r="D7821" s="7">
        <v>8760</v>
      </c>
      <c r="E7821" s="7" t="s">
        <v>21</v>
      </c>
      <c r="F7821" s="8" t="str">
        <f ca="1">IFERROR(__xludf.DUMMYFUNCTION("IF
(
C7822=""фізична особа""
,
VLOOKUP(D7822,IMPORTRANGE(""https://docs.google.com/spreadsheets/d/14Bd19lYaqBhU8_DElYkX7l4wRkHqqCUFNJY4AfY3kHU/edit?usp=sharing  #gid=0"",""фіз особи new!relations_name""),6,FALSE)
,
(IF
(
C7822=""юридична особа""
,
VLOOKUP"&amp;"(D7822,IMPORTRANGE(""https://docs.google.com/spreadsheets/d/14Bd19lYaqBhU8_DElYkX7l4wRkHqqCUFNJY4AfY3kHU/edit?usp=sharing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G7821" s="7" t="s">
        <v>10</v>
      </c>
      <c r="H7821" s="7">
        <v>23467</v>
      </c>
      <c r="I7821" s="8" t="str">
        <f ca="1">IFERROR(__xludf.DUMMYFUNCTION("IF
(
G7822=""фізична особа""
,
VLOOKUP(H7822,IMPORTRANGE(""https://docs.google.com/spreadsheets/d/14Bd19lYaqBhU8_DElYkX7l4wRkHqqCUFNJY4AfY3kHU/edit?usp=sharing  #gid=0"",""фіз особи new!relations_name""),6,FALSE)
,
(IF
(
G7822=""юридична особа""
,
VLOOKUP"&amp;"(H7822,IMPORTRANGE(""https://docs.google.com/spreadsheets/d/14Bd19lYaqBhU8_DElYkX7l4wRkHqqCUFNJY4AfY3kHU/edit?usp=sharing  #gid=0"",""фіз особи new!relations_name_uo""),7,FALSE)
,
)
))"),"КАНОКОВА Аміна Арсенівна")</f>
        <v>КАНОКОВА Аміна Арсенівна</v>
      </c>
      <c r="J7821" s="7" t="s">
        <v>13</v>
      </c>
    </row>
    <row r="7822" spans="1:10" ht="13.2">
      <c r="A7822" s="7">
        <v>7821</v>
      </c>
      <c r="B7822" s="7">
        <v>1</v>
      </c>
      <c r="C7822" s="7" t="s">
        <v>10</v>
      </c>
      <c r="D7822" s="7">
        <v>8760</v>
      </c>
      <c r="E7822" s="7" t="s">
        <v>21</v>
      </c>
      <c r="F7822" s="8" t="str">
        <f ca="1">IFERROR(__xludf.DUMMYFUNCTION("IF
(
C7823=""фізична особа""
,
VLOOKUP(D7823,IMPORTRANGE(""https://docs.google.com/spreadsheets/d/14Bd19lYaqBhU8_DElYkX7l4wRkHqqCUFNJY4AfY3kHU/edit?usp=sharing  #gid=0"",""фіз особи new!relations_name""),6,FALSE)
,
(IF
(
C7823=""юридична особа""
,
VLOOKUP"&amp;"(D7823,IMPORTRANGE(""https://docs.google.com/spreadsheets/d/14Bd19lYaqBhU8_DElYkX7l4wRkHqqCUFNJY4AfY3kHU/edit?usp=sharing  #gid=0"",""фіз особи new!relations_name_uo""),7,FALSE)
,
)
))"),"КАНОКОВА / ЖАМБОРОВА Фатіма Муаєдівна")</f>
        <v>КАНОКОВА / ЖАМБОРОВА Фатіма Муаєдівна</v>
      </c>
      <c r="G7822" s="7" t="s">
        <v>10</v>
      </c>
      <c r="H7822" s="7">
        <v>8758</v>
      </c>
      <c r="I7822" s="8" t="str">
        <f ca="1">IFERROR(__xludf.DUMMYFUNCTION("IF
(
G7823=""фізична особа""
,
VLOOKUP(H7823,IMPORTRANGE(""https://docs.google.com/spreadsheets/d/14Bd19lYaqBhU8_DElYkX7l4wRkHqqCUFNJY4AfY3kHU/edit?usp=sharing  #gid=0"",""фіз особи new!relations_name""),6,FALSE)
,
(IF
(
G7823=""юридична особа""
,
VLOOKUP"&amp;"(H7823,IMPORTRANGE(""https://docs.google.com/spreadsheets/d/14Bd19lYaqBhU8_DElYkX7l4wRkHqqCUFNJY4AfY3kHU/edit?usp=sharing  #gid=0"",""фіз особи new!relations_name_uo""),7,FALSE)
,
)
))"),"КАНОКОВА-КАХАДО Мадіна Арсенівна")</f>
        <v>КАНОКОВА-КАХАДО Мадіна Арсенівна</v>
      </c>
      <c r="J7822" s="7" t="s">
        <v>13</v>
      </c>
    </row>
    <row r="7823" spans="1:10" ht="13.2">
      <c r="A7823" s="7">
        <v>7822</v>
      </c>
      <c r="B7823" s="7">
        <v>1</v>
      </c>
      <c r="C7823" s="7" t="s">
        <v>10</v>
      </c>
      <c r="D7823" s="7">
        <v>8761</v>
      </c>
      <c r="E7823" s="7" t="s">
        <v>43</v>
      </c>
      <c r="F7823" s="8" t="str">
        <f ca="1">IFERROR(__xludf.DUMMYFUNCTION("IF
(
C7824=""фізична особа""
,
VLOOKUP(D7824,IMPORTRANGE(""https://docs.google.com/spreadsheets/d/14Bd19lYaqBhU8_DElYkX7l4wRkHqqCUFNJY4AfY3kHU/edit?usp=sharing  #gid=0"",""фіз особи new!relations_name""),6,FALSE)
,
(IF
(
C7824=""юридична особа""
,
VLOOKUP"&amp;"(D7824,IMPORTRANGE(""https://docs.google.com/spreadsheets/d/14Bd19lYaqBhU8_DElYkX7l4wRkHqqCUFNJY4AfY3kHU/edit?usp=sharing  #gid=0"",""фіз особи new!relations_name_uo""),7,FALSE)
,
)
))"),"КОВИЛІНА Тетяна")</f>
        <v>КОВИЛІНА Тетяна</v>
      </c>
      <c r="G7823" s="7" t="s">
        <v>10</v>
      </c>
      <c r="H7823" s="7">
        <v>2175</v>
      </c>
      <c r="I7823" s="8" t="str">
        <f ca="1">IFERROR(__xludf.DUMMYFUNCTION("IF
(
G7824=""фізична особа""
,
VLOOKUP(H7824,IMPORTRANGE(""https://docs.google.com/spreadsheets/d/14Bd19lYaqBhU8_DElYkX7l4wRkHqqCUFNJY4AfY3kHU/edit?usp=sharing  #gid=0"",""фіз особи new!relations_name""),6,FALSE)
,
(IF
(
G7824=""юридична особа""
,
VLOOKUP"&amp;"(H7824,IMPORTRANGE(""https://docs.google.com/spreadsheets/d/14Bd19lYaqBhU8_DElYkX7l4wRkHqqCUFNJY4AfY3kHU/edit?usp=sharing  #gid=0"",""фіз особи new!relations_name_uo""),7,FALSE)
,
)
))"),"ШЕФЛЕР Юрій Вікторович")</f>
        <v>ШЕФЛЕР Юрій Вікторович</v>
      </c>
      <c r="J7823" s="7" t="s">
        <v>42</v>
      </c>
    </row>
    <row r="7824" spans="1:10" ht="13.2">
      <c r="A7824" s="7">
        <v>7823</v>
      </c>
      <c r="B7824" s="7">
        <v>1</v>
      </c>
      <c r="C7824" s="7" t="s">
        <v>10</v>
      </c>
      <c r="D7824" s="7">
        <v>8764</v>
      </c>
      <c r="E7824" s="7" t="s">
        <v>15</v>
      </c>
      <c r="F7824" s="8" t="str">
        <f ca="1">IFERROR(__xludf.DUMMYFUNCTION("IF
(
C7825=""фізична особа""
,
VLOOKUP(D7825,IMPORTRANGE(""https://docs.google.com/spreadsheets/d/14Bd19lYaqBhU8_DElYkX7l4wRkHqqCUFNJY4AfY3kHU/edit?usp=sharing  #gid=0"",""фіз особи new!relations_name""),6,FALSE)
,
(IF
(
C7825=""юридична особа""
,
VLOOKUP"&amp;"(D7825,IMPORTRANGE(""https://docs.google.com/spreadsheets/d/14Bd19lYaqBhU8_DElYkX7l4wRkHqqCUFNJY4AfY3kHU/edit?usp=sharing  #gid=0"",""фіз особи new!relations_name_uo""),7,FALSE)
,
)
))"),"ОЛЬШАНСКАЯ Раиса Васильевна")</f>
        <v>ОЛЬШАНСКАЯ Раиса Васильевна</v>
      </c>
      <c r="G7824" s="7" t="s">
        <v>10</v>
      </c>
      <c r="H7824" s="7">
        <v>0</v>
      </c>
      <c r="I7824" s="8" t="str">
        <f ca="1">IFERROR(__xludf.DUMMYFUNCTION("IF
(
G7825=""фізична особа""
,
VLOOKUP(H7825,IMPORTRANGE(""https://docs.google.com/spreadsheets/d/14Bd19lYaqBhU8_DElYkX7l4wRkHqqCUFNJY4AfY3kHU/edit?usp=sharing  #gid=0"",""фіз особи new!relations_name""),6,FALSE)
,
(IF
(
G7825=""юридична особа""
,
VLOOKUP"&amp;"(H7825,IMPORTRANGE(""https://docs.google.com/spreadsheets/d/14Bd19lYaqBhU8_DElYkX7l4wRkHqqCUFNJY4AfY3kHU/edit?usp=sharing  #gid=0"",""фіз особи new!relations_name_uo""),7,FALSE)
,
)
))"),"#N/A")</f>
        <v>#N/A</v>
      </c>
      <c r="J7824" s="7" t="s">
        <v>14</v>
      </c>
    </row>
    <row r="7825" spans="1:10" ht="13.2">
      <c r="A7825" s="7">
        <v>7824</v>
      </c>
      <c r="B7825" s="7">
        <v>1</v>
      </c>
      <c r="C7825" s="7" t="s">
        <v>10</v>
      </c>
      <c r="D7825" s="7">
        <v>8765</v>
      </c>
      <c r="E7825" s="7" t="s">
        <v>15</v>
      </c>
      <c r="F7825" s="8" t="str">
        <f ca="1">IFERROR(__xludf.DUMMYFUNCTION("IF
(
C7826=""фізична особа""
,
VLOOKUP(D7826,IMPORTRANGE(""https://docs.google.com/spreadsheets/d/14Bd19lYaqBhU8_DElYkX7l4wRkHqqCUFNJY4AfY3kHU/edit?usp=sharing  #gid=0"",""фіз особи new!relations_name""),6,FALSE)
,
(IF
(
C7826=""юридична особа""
,
VLOOKUP"&amp;"(D7826,IMPORTRANGE(""https://docs.google.com/spreadsheets/d/14Bd19lYaqBhU8_DElYkX7l4wRkHqqCUFNJY4AfY3kHU/edit?usp=sharing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G7825" s="7" t="s">
        <v>10</v>
      </c>
      <c r="H7825" s="7">
        <v>8689</v>
      </c>
      <c r="I7825" s="8" t="str">
        <f ca="1">IFERROR(__xludf.DUMMYFUNCTION("IF
(
G7826=""фізична особа""
,
VLOOKUP(H7826,IMPORTRANGE(""https://docs.google.com/spreadsheets/d/14Bd19lYaqBhU8_DElYkX7l4wRkHqqCUFNJY4AfY3kHU/edit?usp=sharing  #gid=0"",""фіз особи new!relations_name""),6,FALSE)
,
(IF
(
G7826=""юридична особа""
,
VLOOKUP"&amp;"(H7826,IMPORTRANGE(""https://docs.google.com/spreadsheets/d/14Bd19lYaqBhU8_DElYkX7l4wRkHqqCUFNJY4AfY3kHU/edit?usp=sharing  #gid=0"",""фіз особи new!relations_name_uo""),7,FALSE)
,
)
))"),"ГРУЗДЄВ Володимир Сергійович")</f>
        <v>ГРУЗДЄВ Володимир Сергійович</v>
      </c>
      <c r="J7825" s="7" t="s">
        <v>14</v>
      </c>
    </row>
    <row r="7826" spans="1:10" ht="13.2">
      <c r="A7826" s="7">
        <v>7825</v>
      </c>
      <c r="B7826" s="7">
        <v>1</v>
      </c>
      <c r="C7826" s="7" t="s">
        <v>10</v>
      </c>
      <c r="D7826" s="7">
        <v>8765</v>
      </c>
      <c r="E7826" s="7" t="s">
        <v>21</v>
      </c>
      <c r="F7826" s="8" t="str">
        <f ca="1">IFERROR(__xludf.DUMMYFUNCTION("IF
(
C7827=""фізична особа""
,
VLOOKUP(D7827,IMPORTRANGE(""https://docs.google.com/spreadsheets/d/14Bd19lYaqBhU8_DElYkX7l4wRkHqqCUFNJY4AfY3kHU/edit?usp=sharing  #gid=0"",""фіз особи new!relations_name""),6,FALSE)
,
(IF
(
C7827=""юридична особа""
,
VLOOKUP"&amp;"(D7827,IMPORTRANGE(""https://docs.google.com/spreadsheets/d/14Bd19lYaqBhU8_DElYkX7l4wRkHqqCUFNJY4AfY3kHU/edit?usp=sharing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G7826" s="7" t="s">
        <v>10</v>
      </c>
      <c r="H7826" s="7">
        <v>23572</v>
      </c>
      <c r="I7826" s="8" t="str">
        <f ca="1">IFERROR(__xludf.DUMMYFUNCTION("IF
(
G7827=""фізична особа""
,
VLOOKUP(H7827,IMPORTRANGE(""https://docs.google.com/spreadsheets/d/14Bd19lYaqBhU8_DElYkX7l4wRkHqqCUFNJY4AfY3kHU/edit?usp=sharing  #gid=0"",""фіз особи new!relations_name""),6,FALSE)
,
(IF
(
G7827=""юридична особа""
,
VLOOKUP"&amp;"(H7827,IMPORTRANGE(""https://docs.google.com/spreadsheets/d/14Bd19lYaqBhU8_DElYkX7l4wRkHqqCUFNJY4AfY3kHU/edit?usp=sharing  #gid=0"",""фіз особи new!relations_name_uo""),7,FALSE)
,
)
))"),"ГРУЗДЄВА Аріна Володимирівна")</f>
        <v>ГРУЗДЄВА Аріна Володимирівна</v>
      </c>
      <c r="J7826" s="7" t="s">
        <v>13</v>
      </c>
    </row>
    <row r="7827" spans="1:10" ht="13.2">
      <c r="A7827" s="7">
        <v>7826</v>
      </c>
      <c r="B7827" s="7">
        <v>1</v>
      </c>
      <c r="C7827" s="7" t="s">
        <v>10</v>
      </c>
      <c r="D7827" s="7">
        <v>8765</v>
      </c>
      <c r="E7827" s="7" t="s">
        <v>21</v>
      </c>
      <c r="F7827" s="8" t="str">
        <f ca="1">IFERROR(__xludf.DUMMYFUNCTION("IF
(
C7828=""фізична особа""
,
VLOOKUP(D7828,IMPORTRANGE(""https://docs.google.com/spreadsheets/d/14Bd19lYaqBhU8_DElYkX7l4wRkHqqCUFNJY4AfY3kHU/edit?usp=sharing  #gid=0"",""фіз особи new!relations_name""),6,FALSE)
,
(IF
(
C7828=""юридична особа""
,
VLOOKUP"&amp;"(D7828,IMPORTRANGE(""https://docs.google.com/spreadsheets/d/14Bd19lYaqBhU8_DElYkX7l4wRkHqqCUFNJY4AfY3kHU/edit?usp=sharing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G7827" s="7" t="s">
        <v>10</v>
      </c>
      <c r="H7827" s="7">
        <v>23573</v>
      </c>
      <c r="I7827" s="8" t="str">
        <f ca="1">IFERROR(__xludf.DUMMYFUNCTION("IF
(
G7828=""фізична особа""
,
VLOOKUP(H7828,IMPORTRANGE(""https://docs.google.com/spreadsheets/d/14Bd19lYaqBhU8_DElYkX7l4wRkHqqCUFNJY4AfY3kHU/edit?usp=sharing  #gid=0"",""фіз особи new!relations_name""),6,FALSE)
,
(IF
(
G7828=""юридична особа""
,
VLOOKUP"&amp;"(H7828,IMPORTRANGE(""https://docs.google.com/spreadsheets/d/14Bd19lYaqBhU8_DElYkX7l4wRkHqqCUFNJY4AfY3kHU/edit?usp=sharing  #gid=0"",""фіз особи new!relations_name_uo""),7,FALSE)
,
)
))"),"ГРУЗДЄВА Марія Володимирівна")</f>
        <v>ГРУЗДЄВА Марія Володимирівна</v>
      </c>
      <c r="J7827" s="7" t="s">
        <v>13</v>
      </c>
    </row>
    <row r="7828" spans="1:10" ht="13.2">
      <c r="A7828" s="7">
        <v>7827</v>
      </c>
      <c r="B7828" s="7">
        <v>1</v>
      </c>
      <c r="C7828" s="7" t="s">
        <v>10</v>
      </c>
      <c r="D7828" s="7">
        <v>8765</v>
      </c>
      <c r="E7828" s="7" t="s">
        <v>21</v>
      </c>
      <c r="F7828" s="8" t="str">
        <f ca="1">IFERROR(__xludf.DUMMYFUNCTION("IF
(
C7829=""фізична особа""
,
VLOOKUP(D7829,IMPORTRANGE(""https://docs.google.com/spreadsheets/d/14Bd19lYaqBhU8_DElYkX7l4wRkHqqCUFNJY4AfY3kHU/edit?usp=sharing  #gid=0"",""фіз особи new!relations_name""),6,FALSE)
,
(IF
(
C7829=""юридична особа""
,
VLOOKUP"&amp;"(D7829,IMPORTRANGE(""https://docs.google.com/spreadsheets/d/14Bd19lYaqBhU8_DElYkX7l4wRkHqqCUFNJY4AfY3kHU/edit?usp=sharing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G7828" s="7" t="s">
        <v>10</v>
      </c>
      <c r="H7828" s="7">
        <v>23574</v>
      </c>
      <c r="I7828" s="8" t="str">
        <f ca="1">IFERROR(__xludf.DUMMYFUNCTION("IF
(
G7829=""фізична особа""
,
VLOOKUP(H7829,IMPORTRANGE(""https://docs.google.com/spreadsheets/d/14Bd19lYaqBhU8_DElYkX7l4wRkHqqCUFNJY4AfY3kHU/edit?usp=sharing  #gid=0"",""фіз особи new!relations_name""),6,FALSE)
,
(IF
(
G7829=""юридична особа""
,
VLOOKUP"&amp;"(H7829,IMPORTRANGE(""https://docs.google.com/spreadsheets/d/14Bd19lYaqBhU8_DElYkX7l4wRkHqqCUFNJY4AfY3kHU/edit?usp=sharing  #gid=0"",""фіз особи new!relations_name_uo""),7,FALSE)
,
)
))"),"ГРУЗДЄВ Григорій Володимирович")</f>
        <v>ГРУЗДЄВ Григорій Володимирович</v>
      </c>
      <c r="J7828" s="7" t="s">
        <v>17</v>
      </c>
    </row>
    <row r="7829" spans="1:10" ht="13.2">
      <c r="A7829" s="7">
        <v>7828</v>
      </c>
      <c r="B7829" s="7">
        <v>1</v>
      </c>
      <c r="C7829" s="7" t="s">
        <v>10</v>
      </c>
      <c r="D7829" s="7">
        <v>8765</v>
      </c>
      <c r="E7829" s="7" t="s">
        <v>21</v>
      </c>
      <c r="F7829" s="8" t="str">
        <f ca="1">IFERROR(__xludf.DUMMYFUNCTION("IF
(
C7830=""фізична особа""
,
VLOOKUP(D7830,IMPORTRANGE(""https://docs.google.com/spreadsheets/d/14Bd19lYaqBhU8_DElYkX7l4wRkHqqCUFNJY4AfY3kHU/edit?usp=sharing  #gid=0"",""фіз особи new!relations_name""),6,FALSE)
,
(IF
(
C7830=""юридична особа""
,
VLOOKUP"&amp;"(D7830,IMPORTRANGE(""https://docs.google.com/spreadsheets/d/14Bd19lYaqBhU8_DElYkX7l4wRkHqqCUFNJY4AfY3kHU/edit?usp=sharing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G7829" s="7" t="s">
        <v>10</v>
      </c>
      <c r="H7829" s="7">
        <v>8766</v>
      </c>
      <c r="I7829" s="8" t="str">
        <f ca="1">IFERROR(__xludf.DUMMYFUNCTION("IF
(
G7830=""фізична особа""
,
VLOOKUP(H7830,IMPORTRANGE(""https://docs.google.com/spreadsheets/d/14Bd19lYaqBhU8_DElYkX7l4wRkHqqCUFNJY4AfY3kHU/edit?usp=sharing  #gid=0"",""фіз особи new!relations_name""),6,FALSE)
,
(IF
(
G7830=""юридична особа""
,
VLOOKUP"&amp;"(H7830,IMPORTRANGE(""https://docs.google.com/spreadsheets/d/14Bd19lYaqBhU8_DElYkX7l4wRkHqqCUFNJY4AfY3kHU/edit?usp=sharing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J7829" s="7" t="s">
        <v>17</v>
      </c>
    </row>
    <row r="7830" spans="1:10" ht="13.2">
      <c r="A7830" s="7">
        <v>7829</v>
      </c>
      <c r="B7830" s="7">
        <v>1</v>
      </c>
      <c r="C7830" s="7" t="s">
        <v>10</v>
      </c>
      <c r="D7830" s="7">
        <v>8766</v>
      </c>
      <c r="E7830" s="7" t="s">
        <v>17</v>
      </c>
      <c r="F7830" s="8" t="str">
        <f ca="1">IFERROR(__xludf.DUMMYFUNCTION("IF
(
C7831=""фізична особа""
,
VLOOKUP(D7831,IMPORTRANGE(""https://docs.google.com/spreadsheets/d/14Bd19lYaqBhU8_DElYkX7l4wRkHqqCUFNJY4AfY3kHU/edit?usp=sharing  #gid=0"",""фіз особи new!relations_name""),6,FALSE)
,
(IF
(
C7831=""юридична особа""
,
VLOOKUP"&amp;"(D7831,IMPORTRANGE(""https://docs.google.com/spreadsheets/d/14Bd19lYaqBhU8_DElYkX7l4wRkHqqCUFNJY4AfY3kHU/edit?usp=sharing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G7830" s="7" t="s">
        <v>10</v>
      </c>
      <c r="H7830" s="7">
        <v>8689</v>
      </c>
      <c r="I7830" s="8" t="str">
        <f ca="1">IFERROR(__xludf.DUMMYFUNCTION("IF
(
G7831=""фізична особа""
,
VLOOKUP(H7831,IMPORTRANGE(""https://docs.google.com/spreadsheets/d/14Bd19lYaqBhU8_DElYkX7l4wRkHqqCUFNJY4AfY3kHU/edit?usp=sharing  #gid=0"",""фіз особи new!relations_name""),6,FALSE)
,
(IF
(
G7831=""юридична особа""
,
VLOOKUP"&amp;"(H7831,IMPORTRANGE(""https://docs.google.com/spreadsheets/d/14Bd19lYaqBhU8_DElYkX7l4wRkHqqCUFNJY4AfY3kHU/edit?usp=sharing  #gid=0"",""фіз особи new!relations_name_uo""),7,FALSE)
,
)
))"),"ГРУЗДЄВ Володимир Сергійович")</f>
        <v>ГРУЗДЄВ Володимир Сергійович</v>
      </c>
      <c r="J7830" s="7" t="s">
        <v>12</v>
      </c>
    </row>
    <row r="7831" spans="1:10" ht="13.2">
      <c r="A7831" s="7">
        <v>7830</v>
      </c>
      <c r="B7831" s="7">
        <v>1</v>
      </c>
      <c r="C7831" s="7" t="s">
        <v>10</v>
      </c>
      <c r="D7831" s="7">
        <v>8766</v>
      </c>
      <c r="E7831" s="7" t="s">
        <v>18</v>
      </c>
      <c r="F7831" s="8" t="str">
        <f ca="1">IFERROR(__xludf.DUMMYFUNCTION("IF
(
C7832=""фізична особа""
,
VLOOKUP(D7832,IMPORTRANGE(""https://docs.google.com/spreadsheets/d/14Bd19lYaqBhU8_DElYkX7l4wRkHqqCUFNJY4AfY3kHU/edit?usp=sharing  #gid=0"",""фіз особи new!relations_name""),6,FALSE)
,
(IF
(
C7832=""юридична особа""
,
VLOOKUP"&amp;"(D7832,IMPORTRANGE(""https://docs.google.com/spreadsheets/d/14Bd19lYaqBhU8_DElYkX7l4wRkHqqCUFNJY4AfY3kHU/edit?usp=sharing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G7831" s="7" t="s">
        <v>10</v>
      </c>
      <c r="H7831" s="7">
        <v>23572</v>
      </c>
      <c r="I7831" s="8" t="str">
        <f ca="1">IFERROR(__xludf.DUMMYFUNCTION("IF
(
G7832=""фізична особа""
,
VLOOKUP(H7832,IMPORTRANGE(""https://docs.google.com/spreadsheets/d/14Bd19lYaqBhU8_DElYkX7l4wRkHqqCUFNJY4AfY3kHU/edit?usp=sharing  #gid=0"",""фіз особи new!relations_name""),6,FALSE)
,
(IF
(
G7832=""юридична особа""
,
VLOOKUP"&amp;"(H7832,IMPORTRANGE(""https://docs.google.com/spreadsheets/d/14Bd19lYaqBhU8_DElYkX7l4wRkHqqCUFNJY4AfY3kHU/edit?usp=sharing  #gid=0"",""фіз особи new!relations_name_uo""),7,FALSE)
,
)
))"),"ГРУЗДЄВА Аріна Володимирівна")</f>
        <v>ГРУЗДЄВА Аріна Володимирівна</v>
      </c>
      <c r="J7831" s="7" t="s">
        <v>31</v>
      </c>
    </row>
    <row r="7832" spans="1:10" ht="13.2">
      <c r="A7832" s="7">
        <v>7831</v>
      </c>
      <c r="B7832" s="7">
        <v>1</v>
      </c>
      <c r="C7832" s="7" t="s">
        <v>10</v>
      </c>
      <c r="D7832" s="7">
        <v>8766</v>
      </c>
      <c r="E7832" s="7" t="s">
        <v>18</v>
      </c>
      <c r="F7832" s="8" t="str">
        <f ca="1">IFERROR(__xludf.DUMMYFUNCTION("IF
(
C7833=""фізична особа""
,
VLOOKUP(D7833,IMPORTRANGE(""https://docs.google.com/spreadsheets/d/14Bd19lYaqBhU8_DElYkX7l4wRkHqqCUFNJY4AfY3kHU/edit?usp=sharing  #gid=0"",""фіз особи new!relations_name""),6,FALSE)
,
(IF
(
C7833=""юридична особа""
,
VLOOKUP"&amp;"(D7833,IMPORTRANGE(""https://docs.google.com/spreadsheets/d/14Bd19lYaqBhU8_DElYkX7l4wRkHqqCUFNJY4AfY3kHU/edit?usp=sharing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G7832" s="7" t="s">
        <v>10</v>
      </c>
      <c r="H7832" s="7">
        <v>23573</v>
      </c>
      <c r="I7832" s="8" t="str">
        <f ca="1">IFERROR(__xludf.DUMMYFUNCTION("IF
(
G7833=""фізична особа""
,
VLOOKUP(H7833,IMPORTRANGE(""https://docs.google.com/spreadsheets/d/14Bd19lYaqBhU8_DElYkX7l4wRkHqqCUFNJY4AfY3kHU/edit?usp=sharing  #gid=0"",""фіз особи new!relations_name""),6,FALSE)
,
(IF
(
G7833=""юридична особа""
,
VLOOKUP"&amp;"(H7833,IMPORTRANGE(""https://docs.google.com/spreadsheets/d/14Bd19lYaqBhU8_DElYkX7l4wRkHqqCUFNJY4AfY3kHU/edit?usp=sharing  #gid=0"",""фіз особи new!relations_name_uo""),7,FALSE)
,
)
))"),"ГРУЗДЄВА Марія Володимирівна")</f>
        <v>ГРУЗДЄВА Марія Володимирівна</v>
      </c>
      <c r="J7832" s="7" t="s">
        <v>31</v>
      </c>
    </row>
    <row r="7833" spans="1:10" ht="13.2">
      <c r="A7833" s="7">
        <v>7832</v>
      </c>
      <c r="B7833" s="7">
        <v>1</v>
      </c>
      <c r="C7833" s="7" t="s">
        <v>10</v>
      </c>
      <c r="D7833" s="7">
        <v>8766</v>
      </c>
      <c r="E7833" s="7" t="s">
        <v>18</v>
      </c>
      <c r="F7833" s="8" t="str">
        <f ca="1">IFERROR(__xludf.DUMMYFUNCTION("IF
(
C7834=""фізична особа""
,
VLOOKUP(D7834,IMPORTRANGE(""https://docs.google.com/spreadsheets/d/14Bd19lYaqBhU8_DElYkX7l4wRkHqqCUFNJY4AfY3kHU/edit?usp=sharing  #gid=0"",""фіз особи new!relations_name""),6,FALSE)
,
(IF
(
C7834=""юридична особа""
,
VLOOKUP"&amp;"(D7834,IMPORTRANGE(""https://docs.google.com/spreadsheets/d/14Bd19lYaqBhU8_DElYkX7l4wRkHqqCUFNJY4AfY3kHU/edit?usp=sharing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G7833" s="7" t="s">
        <v>10</v>
      </c>
      <c r="H7833" s="7">
        <v>23574</v>
      </c>
      <c r="I7833" s="8" t="str">
        <f ca="1">IFERROR(__xludf.DUMMYFUNCTION("IF
(
G7834=""фізична особа""
,
VLOOKUP(H7834,IMPORTRANGE(""https://docs.google.com/spreadsheets/d/14Bd19lYaqBhU8_DElYkX7l4wRkHqqCUFNJY4AfY3kHU/edit?usp=sharing  #gid=0"",""фіз особи new!relations_name""),6,FALSE)
,
(IF
(
G7834=""юридична особа""
,
VLOOKUP"&amp;"(H7834,IMPORTRANGE(""https://docs.google.com/spreadsheets/d/14Bd19lYaqBhU8_DElYkX7l4wRkHqqCUFNJY4AfY3kHU/edit?usp=sharing  #gid=0"",""фіз особи new!relations_name_uo""),7,FALSE)
,
)
))"),"ГРУЗДЄВ Григорій Володимирович")</f>
        <v>ГРУЗДЄВ Григорій Володимирович</v>
      </c>
      <c r="J7833" s="7" t="s">
        <v>18</v>
      </c>
    </row>
    <row r="7834" spans="1:10" ht="13.2">
      <c r="A7834" s="7">
        <v>7833</v>
      </c>
      <c r="B7834" s="7">
        <v>1</v>
      </c>
      <c r="C7834" s="7" t="s">
        <v>10</v>
      </c>
      <c r="D7834" s="7">
        <v>8766</v>
      </c>
      <c r="E7834" s="7" t="s">
        <v>17</v>
      </c>
      <c r="F7834" s="8" t="str">
        <f ca="1">IFERROR(__xludf.DUMMYFUNCTION("IF
(
C7835=""фізична особа""
,
VLOOKUP(D7835,IMPORTRANGE(""https://docs.google.com/spreadsheets/d/14Bd19lYaqBhU8_DElYkX7l4wRkHqqCUFNJY4AfY3kHU/edit?usp=sharing  #gid=0"",""фіз особи new!relations_name""),6,FALSE)
,
(IF
(
C7835=""юридична особа""
,
VLOOKUP"&amp;"(D7835,IMPORTRANGE(""https://docs.google.com/spreadsheets/d/14Bd19lYaqBhU8_DElYkX7l4wRkHqqCUFNJY4AfY3kHU/edit?usp=sharing  #gid=0"",""фіз особи new!relations_name_uo""),7,FALSE)
,
)
))"),"ГРУЗДЄВ Леонід Володимирович")</f>
        <v>ГРУЗДЄВ Леонід Володимирович</v>
      </c>
      <c r="G7834" s="7" t="s">
        <v>10</v>
      </c>
      <c r="H7834" s="7">
        <v>8765</v>
      </c>
      <c r="I7834" s="8" t="str">
        <f ca="1">IFERROR(__xludf.DUMMYFUNCTION("IF
(
G7835=""фізична особа""
,
VLOOKUP(H7835,IMPORTRANGE(""https://docs.google.com/spreadsheets/d/14Bd19lYaqBhU8_DElYkX7l4wRkHqqCUFNJY4AfY3kHU/edit?usp=sharing  #gid=0"",""фіз особи new!relations_name""),6,FALSE)
,
(IF
(
G7835=""юридична особа""
,
VLOOKUP"&amp;"(H7835,IMPORTRANGE(""https://docs.google.com/spreadsheets/d/14Bd19lYaqBhU8_DElYkX7l4wRkHqqCUFNJY4AfY3kHU/edit?usp=sharing  #gid=0"",""фіз особи new!relations_name_uo""),7,FALSE)
,
)
))"),"ГРУЗДЄВА Ольга Вікторівна")</f>
        <v>ГРУЗДЄВА Ольга Вікторівна</v>
      </c>
      <c r="J7834" s="7" t="s">
        <v>21</v>
      </c>
    </row>
    <row r="7835" spans="1:10" ht="13.2">
      <c r="A7835" s="7">
        <v>7834</v>
      </c>
      <c r="B7835" s="7">
        <v>1</v>
      </c>
      <c r="C7835" s="7" t="s">
        <v>10</v>
      </c>
      <c r="D7835" s="7">
        <v>8768</v>
      </c>
      <c r="E7835" s="7" t="s">
        <v>15</v>
      </c>
      <c r="F7835" s="8" t="str">
        <f ca="1">IFERROR(__xludf.DUMMYFUNCTION("IF
(
C7836=""фізична особа""
,
VLOOKUP(D7836,IMPORTRANGE(""https://docs.google.com/spreadsheets/d/14Bd19lYaqBhU8_DElYkX7l4wRkHqqCUFNJY4AfY3kHU/edit?usp=sharing  #gid=0"",""фіз особи new!relations_name""),6,FALSE)
,
(IF
(
C7836=""юридична особа""
,
VLOOKUP"&amp;"(D7836,IMPORTRANGE(""https://docs.google.com/spreadsheets/d/14Bd19lYaqBhU8_DElYkX7l4wRkHqqCUFNJY4AfY3kHU/edit?usp=sharing  #gid=0"",""фіз особи new!relations_name_uo""),7,FALSE)
,
)
))"),"АНТИПОВА Людмила Олександрівна")</f>
        <v>АНТИПОВА Людмила Олександрівна</v>
      </c>
      <c r="G7835" s="7" t="s">
        <v>10</v>
      </c>
      <c r="H7835" s="7">
        <v>8750</v>
      </c>
      <c r="I7835" s="8" t="str">
        <f ca="1">IFERROR(__xludf.DUMMYFUNCTION("IF
(
G7836=""фізична особа""
,
VLOOKUP(H7836,IMPORTRANGE(""https://docs.google.com/spreadsheets/d/14Bd19lYaqBhU8_DElYkX7l4wRkHqqCUFNJY4AfY3kHU/edit?usp=sharing  #gid=0"",""фіз особи new!relations_name""),6,FALSE)
,
(IF
(
G7836=""юридична особа""
,
VLOOKUP"&amp;"(H7836,IMPORTRANGE(""https://docs.google.com/spreadsheets/d/14Bd19lYaqBhU8_DElYkX7l4wRkHqqCUFNJY4AfY3kHU/edit?usp=sharing  #gid=0"",""фіз особи new!relations_name_uo""),7,FALSE)
,
)
))"),"АНТИПОВ Юрий Васильович")</f>
        <v>АНТИПОВ Юрий Васильович</v>
      </c>
      <c r="J7835" s="7" t="s">
        <v>14</v>
      </c>
    </row>
    <row r="7836" spans="1:10" ht="13.2">
      <c r="A7836" s="7">
        <v>7835</v>
      </c>
      <c r="B7836" s="7">
        <v>1</v>
      </c>
      <c r="C7836" s="7" t="s">
        <v>10</v>
      </c>
      <c r="D7836" s="7">
        <v>8769</v>
      </c>
      <c r="E7836" s="7" t="s">
        <v>13</v>
      </c>
      <c r="F7836" s="8" t="str">
        <f ca="1">IFERROR(__xludf.DUMMYFUNCTION("IF
(
C7837=""фізична особа""
,
VLOOKUP(D7837,IMPORTRANGE(""https://docs.google.com/spreadsheets/d/14Bd19lYaqBhU8_DElYkX7l4wRkHqqCUFNJY4AfY3kHU/edit?usp=sharing  #gid=0"",""фіз особи new!relations_name""),6,FALSE)
,
(IF
(
C7837=""юридична особа""
,
VLOOKUP"&amp;"(D7837,IMPORTRANGE(""https://docs.google.com/spreadsheets/d/14Bd19lYaqBhU8_DElYkX7l4wRkHqqCUFNJY4AfY3kHU/edit?usp=sharing  #gid=0"",""фіз особи new!relations_name_uo""),7,FALSE)
,
)
))"),"СКИБА Аліна Валентинівна")</f>
        <v>СКИБА Аліна Валентинівна</v>
      </c>
      <c r="G7836" s="7" t="s">
        <v>10</v>
      </c>
      <c r="H7836" s="7">
        <v>8753</v>
      </c>
      <c r="I7836" s="8" t="str">
        <f ca="1">IFERROR(__xludf.DUMMYFUNCTION("IF
(
G7837=""фізична особа""
,
VLOOKUP(H7837,IMPORTRANGE(""https://docs.google.com/spreadsheets/d/14Bd19lYaqBhU8_DElYkX7l4wRkHqqCUFNJY4AfY3kHU/edit?usp=sharing  #gid=0"",""фіз особи new!relations_name""),6,FALSE)
,
(IF
(
G7837=""юридична особа""
,
VLOOKUP"&amp;"(H7837,IMPORTRANGE(""https://docs.google.com/spreadsheets/d/14Bd19lYaqBhU8_DElYkX7l4wRkHqqCUFNJY4AfY3kHU/edit?usp=sharing  #gid=0"",""фіз особи new!relations_name_uo""),7,FALSE)
,
)
))"),"МЕЛЬНИКОВ Володимир Володимирович")</f>
        <v>МЕЛЬНИКОВ Володимир Володимирович</v>
      </c>
      <c r="J7836" s="7" t="s">
        <v>12</v>
      </c>
    </row>
    <row r="7837" spans="1:10" ht="13.2">
      <c r="A7837" s="7">
        <v>7836</v>
      </c>
      <c r="B7837" s="7">
        <v>1</v>
      </c>
      <c r="C7837" s="7" t="s">
        <v>10</v>
      </c>
      <c r="D7837" s="7">
        <v>8770</v>
      </c>
      <c r="E7837" s="7" t="s">
        <v>12</v>
      </c>
      <c r="F7837" s="8" t="str">
        <f ca="1">IFERROR(__xludf.DUMMYFUNCTION("IF
(
C7838=""фізична особа""
,
VLOOKUP(D7838,IMPORTRANGE(""https://docs.google.com/spreadsheets/d/14Bd19lYaqBhU8_DElYkX7l4wRkHqqCUFNJY4AfY3kHU/edit?usp=sharing  #gid=0"",""фіз особи new!relations_name""),6,FALSE)
,
(IF
(
C7838=""юридична особа""
,
VLOOKUP"&amp;"(D7838,IMPORTRANGE(""https://docs.google.com/spreadsheets/d/14Bd19lYaqBhU8_DElYkX7l4wRkHqqCUFNJY4AfY3kHU/edit?usp=sharing  #gid=0"",""фіз особи new!relations_name_uo""),7,FALSE)
,
)
))"),"КУЗЯЄВ Андрій Равелович")</f>
        <v>КУЗЯЄВ Андрій Равелович</v>
      </c>
      <c r="G7837" s="7" t="s">
        <v>10</v>
      </c>
      <c r="H7837" s="7">
        <v>0</v>
      </c>
      <c r="I7837" s="8" t="str">
        <f ca="1">IFERROR(__xludf.DUMMYFUNCTION("IF
(
G7838=""фізична особа""
,
VLOOKUP(H7838,IMPORTRANGE(""https://docs.google.com/spreadsheets/d/14Bd19lYaqBhU8_DElYkX7l4wRkHqqCUFNJY4AfY3kHU/edit?usp=sharing  #gid=0"",""фіз особи new!relations_name""),6,FALSE)
,
(IF
(
G7838=""юридична особа""
,
VLOOKUP"&amp;"(H7838,IMPORTRANGE(""https://docs.google.com/spreadsheets/d/14Bd19lYaqBhU8_DElYkX7l4wRkHqqCUFNJY4AfY3kHU/edit?usp=sharing  #gid=0"",""фіз особи new!relations_name_uo""),7,FALSE)
,
)
))"),"#N/A")</f>
        <v>#N/A</v>
      </c>
      <c r="J7837" s="7" t="s">
        <v>13</v>
      </c>
    </row>
    <row r="7838" spans="1:10" ht="13.2">
      <c r="A7838" s="7">
        <v>7837</v>
      </c>
      <c r="B7838" s="7">
        <v>1</v>
      </c>
      <c r="C7838" s="7" t="s">
        <v>10</v>
      </c>
      <c r="D7838" s="7">
        <v>8770</v>
      </c>
      <c r="E7838" s="7" t="s">
        <v>12</v>
      </c>
      <c r="F7838" s="8" t="str">
        <f ca="1">IFERROR(__xludf.DUMMYFUNCTION("IF
(
C7839=""фізична особа""
,
VLOOKUP(D7839,IMPORTRANGE(""https://docs.google.com/spreadsheets/d/14Bd19lYaqBhU8_DElYkX7l4wRkHqqCUFNJY4AfY3kHU/edit?usp=sharing  #gid=0"",""фіз особи new!relations_name""),6,FALSE)
,
(IF
(
C7839=""юридична особа""
,
VLOOKUP"&amp;"(D7839,IMPORTRANGE(""https://docs.google.com/spreadsheets/d/14Bd19lYaqBhU8_DElYkX7l4wRkHqqCUFNJY4AfY3kHU/edit?usp=sharing  #gid=0"",""фіз особи new!relations_name_uo""),7,FALSE)
,
)
))"),"КУЗЯЄВ Андрій Равелович")</f>
        <v>КУЗЯЄВ Андрій Равелович</v>
      </c>
      <c r="G7838" s="7" t="s">
        <v>10</v>
      </c>
      <c r="H7838" s="7">
        <v>0</v>
      </c>
      <c r="I7838" s="8" t="str">
        <f ca="1">IFERROR(__xludf.DUMMYFUNCTION("IF
(
G7839=""фізична особа""
,
VLOOKUP(H7839,IMPORTRANGE(""https://docs.google.com/spreadsheets/d/14Bd19lYaqBhU8_DElYkX7l4wRkHqqCUFNJY4AfY3kHU/edit?usp=sharing  #gid=0"",""фіз особи new!relations_name""),6,FALSE)
,
(IF
(
G7839=""юридична особа""
,
VLOOKUP"&amp;"(H7839,IMPORTRANGE(""https://docs.google.com/spreadsheets/d/14Bd19lYaqBhU8_DElYkX7l4wRkHqqCUFNJY4AfY3kHU/edit?usp=sharing  #gid=0"",""фіз особи new!relations_name_uo""),7,FALSE)
,
)
))"),"#N/A")</f>
        <v>#N/A</v>
      </c>
      <c r="J7838" s="7" t="s">
        <v>17</v>
      </c>
    </row>
    <row r="7839" spans="1:10" ht="13.2">
      <c r="A7839" s="7">
        <v>7838</v>
      </c>
      <c r="B7839" s="7">
        <v>1</v>
      </c>
      <c r="C7839" s="7" t="s">
        <v>10</v>
      </c>
      <c r="D7839" s="7">
        <v>8770</v>
      </c>
      <c r="E7839" s="7" t="s">
        <v>12</v>
      </c>
      <c r="F7839" s="8" t="str">
        <f ca="1">IFERROR(__xludf.DUMMYFUNCTION("IF
(
C7840=""фізична особа""
,
VLOOKUP(D7840,IMPORTRANGE(""https://docs.google.com/spreadsheets/d/14Bd19lYaqBhU8_DElYkX7l4wRkHqqCUFNJY4AfY3kHU/edit?usp=sharing  #gid=0"",""фіз особи new!relations_name""),6,FALSE)
,
(IF
(
C7840=""юридична особа""
,
VLOOKUP"&amp;"(D7840,IMPORTRANGE(""https://docs.google.com/spreadsheets/d/14Bd19lYaqBhU8_DElYkX7l4wRkHqqCUFNJY4AfY3kHU/edit?usp=sharing  #gid=0"",""фіз особи new!relations_name_uo""),7,FALSE)
,
)
))"),"КУЗЯЄВ Андрій Равелович")</f>
        <v>КУЗЯЄВ Андрій Равелович</v>
      </c>
      <c r="G7839" s="7" t="s">
        <v>10</v>
      </c>
      <c r="H7839" s="7">
        <v>0</v>
      </c>
      <c r="I7839" s="8" t="str">
        <f ca="1">IFERROR(__xludf.DUMMYFUNCTION("IF
(
G7840=""фізична особа""
,
VLOOKUP(H7840,IMPORTRANGE(""https://docs.google.com/spreadsheets/d/14Bd19lYaqBhU8_DElYkX7l4wRkHqqCUFNJY4AfY3kHU/edit?usp=sharing  #gid=0"",""фіз особи new!relations_name""),6,FALSE)
,
(IF
(
G7840=""юридична особа""
,
VLOOKUP"&amp;"(H7840,IMPORTRANGE(""https://docs.google.com/spreadsheets/d/14Bd19lYaqBhU8_DElYkX7l4wRkHqqCUFNJY4AfY3kHU/edit?usp=sharing  #gid=0"",""фіз особи new!relations_name_uo""),7,FALSE)
,
)
))"),"#N/A")</f>
        <v>#N/A</v>
      </c>
      <c r="J7839" s="7" t="s">
        <v>17</v>
      </c>
    </row>
    <row r="7840" spans="1:10" ht="13.2">
      <c r="A7840" s="7">
        <v>7839</v>
      </c>
      <c r="B7840" s="7">
        <v>1</v>
      </c>
      <c r="C7840" s="7" t="s">
        <v>10</v>
      </c>
      <c r="D7840" s="7">
        <v>8771</v>
      </c>
      <c r="E7840" s="7" t="s">
        <v>15</v>
      </c>
      <c r="F7840" s="8" t="str">
        <f ca="1">IFERROR(__xludf.DUMMYFUNCTION("IF
(
C7841=""фізична особа""
,
VLOOKUP(D7841,IMPORTRANGE(""https://docs.google.com/spreadsheets/d/14Bd19lYaqBhU8_DElYkX7l4wRkHqqCUFNJY4AfY3kHU/edit?usp=sharing  #gid=0"",""фіз особи new!relations_name""),6,FALSE)
,
(IF
(
C7841=""юридична особа""
,
VLOOKUP"&amp;"(D7841,IMPORTRANGE(""https://docs.google.com/spreadsheets/d/14Bd19lYaqBhU8_DElYkX7l4wRkHqqCUFNJY4AfY3kHU/edit?usp=sharing  #gid=0"",""фіз особи new!relations_name_uo""),7,FALSE)
,
)
))"),"АРІСТОВА Людмила Василівна")</f>
        <v>АРІСТОВА Людмила Василівна</v>
      </c>
      <c r="G7840" s="7" t="s">
        <v>10</v>
      </c>
      <c r="H7840" s="7">
        <v>15429</v>
      </c>
      <c r="I7840" s="8" t="str">
        <f ca="1">IFERROR(__xludf.DUMMYFUNCTION("IF
(
G7841=""фізична особа""
,
VLOOKUP(H7841,IMPORTRANGE(""https://docs.google.com/spreadsheets/d/14Bd19lYaqBhU8_DElYkX7l4wRkHqqCUFNJY4AfY3kHU/edit?usp=sharing  #gid=0"",""фіз особи new!relations_name""),6,FALSE)
,
(IF
(
G7841=""юридична особа""
,
VLOOKUP"&amp;"(H7841,IMPORTRANGE(""https://docs.google.com/spreadsheets/d/14Bd19lYaqBhU8_DElYkX7l4wRkHqqCUFNJY4AfY3kHU/edit?usp=sharing  #gid=0"",""фіз особи new!relations_name_uo""),7,FALSE)
,
)
))"),"АРІСТОВ Олександр Михайлович")</f>
        <v>АРІСТОВ Олександр Михайлович</v>
      </c>
      <c r="J7840" s="7" t="s">
        <v>14</v>
      </c>
    </row>
    <row r="7841" spans="1:10" ht="13.2">
      <c r="A7841" s="7">
        <v>7840</v>
      </c>
      <c r="B7841" s="7">
        <v>1</v>
      </c>
      <c r="C7841" s="7" t="s">
        <v>10</v>
      </c>
      <c r="D7841" s="7">
        <v>8771</v>
      </c>
      <c r="E7841" s="7" t="s">
        <v>21</v>
      </c>
      <c r="F7841" s="8" t="str">
        <f ca="1">IFERROR(__xludf.DUMMYFUNCTION("IF
(
C7842=""фізична особа""
,
VLOOKUP(D7842,IMPORTRANGE(""https://docs.google.com/spreadsheets/d/14Bd19lYaqBhU8_DElYkX7l4wRkHqqCUFNJY4AfY3kHU/edit?usp=sharing  #gid=0"",""фіз особи new!relations_name""),6,FALSE)
,
(IF
(
C7842=""юридична особа""
,
VLOOKUP"&amp;"(D7842,IMPORTRANGE(""https://docs.google.com/spreadsheets/d/14Bd19lYaqBhU8_DElYkX7l4wRkHqqCUFNJY4AfY3kHU/edit?usp=sharing  #gid=0"",""фіз особи new!relations_name_uo""),7,FALSE)
,
)
))"),"АРІСТОВА Людмила Василівна")</f>
        <v>АРІСТОВА Людмила Василівна</v>
      </c>
      <c r="G7841" s="7" t="s">
        <v>10</v>
      </c>
      <c r="H7841" s="7">
        <v>8772</v>
      </c>
      <c r="I7841" s="8" t="str">
        <f ca="1">IFERROR(__xludf.DUMMYFUNCTION("IF
(
G7842=""фізична особа""
,
VLOOKUP(H7842,IMPORTRANGE(""https://docs.google.com/spreadsheets/d/14Bd19lYaqBhU8_DElYkX7l4wRkHqqCUFNJY4AfY3kHU/edit?usp=sharing  #gid=0"",""фіз особи new!relations_name""),6,FALSE)
,
(IF
(
G7842=""юридична особа""
,
VLOOKUP"&amp;"(H7842,IMPORTRANGE(""https://docs.google.com/spreadsheets/d/14Bd19lYaqBhU8_DElYkX7l4wRkHqqCUFNJY4AfY3kHU/edit?usp=sharing  #gid=0"",""фіз особи new!relations_name_uo""),7,FALSE)
,
)
))"),"КРЕТОВА Олена Олександрівна")</f>
        <v>КРЕТОВА Олена Олександрівна</v>
      </c>
      <c r="J7841" s="7" t="s">
        <v>13</v>
      </c>
    </row>
    <row r="7842" spans="1:10" ht="13.2">
      <c r="A7842" s="7">
        <v>7841</v>
      </c>
      <c r="B7842" s="7">
        <v>1</v>
      </c>
      <c r="C7842" s="7" t="s">
        <v>10</v>
      </c>
      <c r="D7842" s="7">
        <v>8772</v>
      </c>
      <c r="E7842" s="7" t="s">
        <v>13</v>
      </c>
      <c r="F7842" s="8" t="str">
        <f ca="1">IFERROR(__xludf.DUMMYFUNCTION("IF
(
C7843=""фізична особа""
,
VLOOKUP(D7843,IMPORTRANGE(""https://docs.google.com/spreadsheets/d/14Bd19lYaqBhU8_DElYkX7l4wRkHqqCUFNJY4AfY3kHU/edit?usp=sharing  #gid=0"",""фіз особи new!relations_name""),6,FALSE)
,
(IF
(
C7843=""юридична особа""
,
VLOOKUP"&amp;"(D7843,IMPORTRANGE(""https://docs.google.com/spreadsheets/d/14Bd19lYaqBhU8_DElYkX7l4wRkHqqCUFNJY4AfY3kHU/edit?usp=sharing  #gid=0"",""фіз особи new!relations_name_uo""),7,FALSE)
,
)
))"),"КРЕТОВА Олена Олександрівна")</f>
        <v>КРЕТОВА Олена Олександрівна</v>
      </c>
      <c r="G7842" s="7" t="s">
        <v>10</v>
      </c>
      <c r="H7842" s="7">
        <v>15429</v>
      </c>
      <c r="I7842" s="8" t="str">
        <f ca="1">IFERROR(__xludf.DUMMYFUNCTION("IF
(
G7843=""фізична особа""
,
VLOOKUP(H7843,IMPORTRANGE(""https://docs.google.com/spreadsheets/d/14Bd19lYaqBhU8_DElYkX7l4wRkHqqCUFNJY4AfY3kHU/edit?usp=sharing  #gid=0"",""фіз особи new!relations_name""),6,FALSE)
,
(IF
(
G7843=""юридична особа""
,
VLOOKUP"&amp;"(H7843,IMPORTRANGE(""https://docs.google.com/spreadsheets/d/14Bd19lYaqBhU8_DElYkX7l4wRkHqqCUFNJY4AfY3kHU/edit?usp=sharing  #gid=0"",""фіз особи new!relations_name_uo""),7,FALSE)
,
)
))"),"АРІСТОВ Олександр Михайлович")</f>
        <v>АРІСТОВ Олександр Михайлович</v>
      </c>
      <c r="J7842" s="7" t="s">
        <v>12</v>
      </c>
    </row>
    <row r="7843" spans="1:10" ht="13.2">
      <c r="A7843" s="7">
        <v>7842</v>
      </c>
      <c r="B7843" s="7">
        <v>1</v>
      </c>
      <c r="C7843" s="7" t="s">
        <v>10</v>
      </c>
      <c r="D7843" s="7">
        <v>8772</v>
      </c>
      <c r="E7843" s="7" t="s">
        <v>13</v>
      </c>
      <c r="F7843" s="8" t="str">
        <f ca="1">IFERROR(__xludf.DUMMYFUNCTION("IF
(
C7844=""фізична особа""
,
VLOOKUP(D7844,IMPORTRANGE(""https://docs.google.com/spreadsheets/d/14Bd19lYaqBhU8_DElYkX7l4wRkHqqCUFNJY4AfY3kHU/edit?usp=sharing  #gid=0"",""фіз особи new!relations_name""),6,FALSE)
,
(IF
(
C7844=""юридична особа""
,
VLOOKUP"&amp;"(D7844,IMPORTRANGE(""https://docs.google.com/spreadsheets/d/14Bd19lYaqBhU8_DElYkX7l4wRkHqqCUFNJY4AfY3kHU/edit?usp=sharing  #gid=0"",""фіз особи new!relations_name_uo""),7,FALSE)
,
)
))"),"КРЕТОВА Олена Олександрівна")</f>
        <v>КРЕТОВА Олена Олександрівна</v>
      </c>
      <c r="G7843" s="7" t="s">
        <v>10</v>
      </c>
      <c r="H7843" s="7">
        <v>8771</v>
      </c>
      <c r="I7843" s="8" t="str">
        <f ca="1">IFERROR(__xludf.DUMMYFUNCTION("IF
(
G7844=""фізична особа""
,
VLOOKUP(H7844,IMPORTRANGE(""https://docs.google.com/spreadsheets/d/14Bd19lYaqBhU8_DElYkX7l4wRkHqqCUFNJY4AfY3kHU/edit?usp=sharing  #gid=0"",""фіз особи new!relations_name""),6,FALSE)
,
(IF
(
G7844=""юридична особа""
,
VLOOKUP"&amp;"(H7844,IMPORTRANGE(""https://docs.google.com/spreadsheets/d/14Bd19lYaqBhU8_DElYkX7l4wRkHqqCUFNJY4AfY3kHU/edit?usp=sharing  #gid=0"",""фіз особи new!relations_name_uo""),7,FALSE)
,
)
))"),"АРІСТОВА Людмила Василівна")</f>
        <v>АРІСТОВА Людмила Василівна</v>
      </c>
      <c r="J7843" s="7" t="s">
        <v>21</v>
      </c>
    </row>
    <row r="7844" spans="1:10" ht="13.2">
      <c r="A7844" s="7">
        <v>7843</v>
      </c>
      <c r="B7844" s="7">
        <v>1</v>
      </c>
      <c r="C7844" s="7" t="s">
        <v>10</v>
      </c>
      <c r="D7844" s="7">
        <v>8773</v>
      </c>
      <c r="E7844" s="7" t="s">
        <v>11</v>
      </c>
      <c r="F7844" s="8" t="str">
        <f ca="1">IFERROR(__xludf.DUMMYFUNCTION("IF
(
C7845=""фізична особа""
,
VLOOKUP(D7845,IMPORTRANGE(""https://docs.google.com/spreadsheets/d/14Bd19lYaqBhU8_DElYkX7l4wRkHqqCUFNJY4AfY3kHU/edit?usp=sharing  #gid=0"",""фіз особи new!relations_name""),6,FALSE)
,
(IF
(
C7845=""юридична особа""
,
VLOOKUP"&amp;"(D7845,IMPORTRANGE(""https://docs.google.com/spreadsheets/d/14Bd19lYaqBhU8_DElYkX7l4wRkHqqCUFNJY4AfY3kHU/edit?usp=sharing  #gid=0"",""фіз особи new!relations_name_uo""),7,FALSE)
,
)
))"),"ЛОМАКІН Сергій Олександрович")</f>
        <v>ЛОМАКІН Сергій Олександрович</v>
      </c>
      <c r="G7844" s="7" t="s">
        <v>10</v>
      </c>
      <c r="H7844" s="7">
        <v>8774</v>
      </c>
      <c r="I7844" s="8" t="str">
        <f ca="1">IFERROR(__xludf.DUMMYFUNCTION("IF
(
G7845=""фізична особа""
,
VLOOKUP(H7845,IMPORTRANGE(""https://docs.google.com/spreadsheets/d/14Bd19lYaqBhU8_DElYkX7l4wRkHqqCUFNJY4AfY3kHU/edit?usp=sharing  #gid=0"",""фіз особи new!relations_name""),6,FALSE)
,
(IF
(
G7845=""юридична особа""
,
VLOOKUP"&amp;"(H7845,IMPORTRANGE(""https://docs.google.com/spreadsheets/d/14Bd19lYaqBhU8_DElYkX7l4wRkHqqCUFNJY4AfY3kHU/edit?usp=sharing  #gid=0"",""фіз особи new!relations_name_uo""),7,FALSE)
,
)
))"),"ХАЧАТРЯН Артем Каренович")</f>
        <v>ХАЧАТРЯН Артем Каренович</v>
      </c>
      <c r="J7844" s="7" t="s">
        <v>11</v>
      </c>
    </row>
    <row r="7845" spans="1:10" ht="13.2">
      <c r="A7845" s="7">
        <v>7844</v>
      </c>
      <c r="B7845" s="7">
        <v>1</v>
      </c>
      <c r="C7845" s="7" t="s">
        <v>10</v>
      </c>
      <c r="D7845" s="7">
        <v>8774</v>
      </c>
      <c r="E7845" s="7" t="s">
        <v>11</v>
      </c>
      <c r="F7845" s="8" t="str">
        <f ca="1">IFERROR(__xludf.DUMMYFUNCTION("IF
(
C7846=""фізична особа""
,
VLOOKUP(D7846,IMPORTRANGE(""https://docs.google.com/spreadsheets/d/14Bd19lYaqBhU8_DElYkX7l4wRkHqqCUFNJY4AfY3kHU/edit?usp=sharing  #gid=0"",""фіз особи new!relations_name""),6,FALSE)
,
(IF
(
C7846=""юридична особа""
,
VLOOKUP"&amp;"(D7846,IMPORTRANGE(""https://docs.google.com/spreadsheets/d/14Bd19lYaqBhU8_DElYkX7l4wRkHqqCUFNJY4AfY3kHU/edit?usp=sharing  #gid=0"",""фіз особи new!relations_name_uo""),7,FALSE)
,
)
))"),"ХАЧАТРЯН Артем Каренович")</f>
        <v>ХАЧАТРЯН Артем Каренович</v>
      </c>
      <c r="G7845" s="7" t="s">
        <v>10</v>
      </c>
      <c r="H7845" s="7">
        <v>8773</v>
      </c>
      <c r="I7845" s="8" t="str">
        <f ca="1">IFERROR(__xludf.DUMMYFUNCTION("IF
(
G7846=""фізична особа""
,
VLOOKUP(H7846,IMPORTRANGE(""https://docs.google.com/spreadsheets/d/14Bd19lYaqBhU8_DElYkX7l4wRkHqqCUFNJY4AfY3kHU/edit?usp=sharing  #gid=0"",""фіз особи new!relations_name""),6,FALSE)
,
(IF
(
G7846=""юридична особа""
,
VLOOKUP"&amp;"(H7846,IMPORTRANGE(""https://docs.google.com/spreadsheets/d/14Bd19lYaqBhU8_DElYkX7l4wRkHqqCUFNJY4AfY3kHU/edit?usp=sharing  #gid=0"",""фіз особи new!relations_name_uo""),7,FALSE)
,
)
))"),"ЛОМАКІН Сергій Олександрович")</f>
        <v>ЛОМАКІН Сергій Олександрович</v>
      </c>
      <c r="J7845" s="7" t="s">
        <v>11</v>
      </c>
    </row>
    <row r="7846" spans="1:10" ht="13.2">
      <c r="A7846" s="7">
        <v>7845</v>
      </c>
      <c r="B7846" s="7">
        <v>1</v>
      </c>
      <c r="C7846" s="7" t="s">
        <v>10</v>
      </c>
      <c r="D7846" s="7">
        <v>8775</v>
      </c>
      <c r="E7846" s="7" t="s">
        <v>14</v>
      </c>
      <c r="F7846" s="8" t="str">
        <f ca="1">IFERROR(__xludf.DUMMYFUNCTION("IF
(
C7847=""фізична особа""
,
VLOOKUP(D7847,IMPORTRANGE(""https://docs.google.com/spreadsheets/d/14Bd19lYaqBhU8_DElYkX7l4wRkHqqCUFNJY4AfY3kHU/edit?usp=sharing  #gid=0"",""фіз особи new!relations_name""),6,FALSE)
,
(IF
(
C7847=""юридична особа""
,
VLOOKUP"&amp;"(D7847,IMPORTRANGE(""https://docs.google.com/spreadsheets/d/14Bd19lYaqBhU8_DElYkX7l4wRkHqqCUFNJY4AfY3kHU/edit?usp=sharing  #gid=0"",""фіз особи new!relations_name_uo""),7,FALSE)
,
)
))"),"РЕПІК Олексій Євгенович")</f>
        <v>РЕПІК Олексій Євгенович</v>
      </c>
      <c r="G7846" s="7" t="s">
        <v>10</v>
      </c>
      <c r="H7846" s="7">
        <v>23575</v>
      </c>
      <c r="I7846" s="8" t="str">
        <f ca="1">IFERROR(__xludf.DUMMYFUNCTION("IF
(
G7847=""фізична особа""
,
VLOOKUP(H7847,IMPORTRANGE(""https://docs.google.com/spreadsheets/d/14Bd19lYaqBhU8_DElYkX7l4wRkHqqCUFNJY4AfY3kHU/edit?usp=sharing  #gid=0"",""фіз особи new!relations_name""),6,FALSE)
,
(IF
(
G7847=""юридична особа""
,
VLOOKUP"&amp;"(H7847,IMPORTRANGE(""https://docs.google.com/spreadsheets/d/14Bd19lYaqBhU8_DElYkX7l4wRkHqqCUFNJY4AfY3kHU/edit?usp=sharing  #gid=0"",""фіз особи new!relations_name_uo""),7,FALSE)
,
)
))"),"РЕПИК Полина")</f>
        <v>РЕПИК Полина</v>
      </c>
      <c r="J7846" s="7" t="s">
        <v>15</v>
      </c>
    </row>
    <row r="7847" spans="1:10" ht="13.2">
      <c r="A7847" s="7">
        <v>7846</v>
      </c>
      <c r="B7847" s="7">
        <v>1</v>
      </c>
      <c r="C7847" s="7" t="s">
        <v>10</v>
      </c>
      <c r="D7847" s="7">
        <v>8775</v>
      </c>
      <c r="E7847" s="7" t="s">
        <v>12</v>
      </c>
      <c r="F7847" s="8" t="str">
        <f ca="1">IFERROR(__xludf.DUMMYFUNCTION("IF
(
C7848=""фізична особа""
,
VLOOKUP(D7848,IMPORTRANGE(""https://docs.google.com/spreadsheets/d/14Bd19lYaqBhU8_DElYkX7l4wRkHqqCUFNJY4AfY3kHU/edit?usp=sharing  #gid=0"",""фіз особи new!relations_name""),6,FALSE)
,
(IF
(
C7848=""юридична особа""
,
VLOOKUP"&amp;"(D7848,IMPORTRANGE(""https://docs.google.com/spreadsheets/d/14Bd19lYaqBhU8_DElYkX7l4wRkHqqCUFNJY4AfY3kHU/edit?usp=sharing  #gid=0"",""фіз особи new!relations_name_uo""),7,FALSE)
,
)
))"),"РЕПІК Олексій Євгенович")</f>
        <v>РЕПІК Олексій Євгенович</v>
      </c>
      <c r="G7847" s="7" t="s">
        <v>10</v>
      </c>
      <c r="H7847" s="7">
        <v>0</v>
      </c>
      <c r="I7847" s="8" t="str">
        <f ca="1">IFERROR(__xludf.DUMMYFUNCTION("IF
(
G7848=""фізична особа""
,
VLOOKUP(H7848,IMPORTRANGE(""https://docs.google.com/spreadsheets/d/14Bd19lYaqBhU8_DElYkX7l4wRkHqqCUFNJY4AfY3kHU/edit?usp=sharing  #gid=0"",""фіз особи new!relations_name""),6,FALSE)
,
(IF
(
G7848=""юридична особа""
,
VLOOKUP"&amp;"(H7848,IMPORTRANGE(""https://docs.google.com/spreadsheets/d/14Bd19lYaqBhU8_DElYkX7l4wRkHqqCUFNJY4AfY3kHU/edit?usp=sharing  #gid=0"",""фіз особи new!relations_name_uo""),7,FALSE)
,
)
))"),"#N/A")</f>
        <v>#N/A</v>
      </c>
      <c r="J7847" s="7" t="s">
        <v>13</v>
      </c>
    </row>
    <row r="7848" spans="1:10" ht="13.2">
      <c r="A7848" s="7">
        <v>7847</v>
      </c>
      <c r="B7848" s="7">
        <v>1</v>
      </c>
      <c r="C7848" s="7" t="s">
        <v>10</v>
      </c>
      <c r="D7848" s="7">
        <v>8775</v>
      </c>
      <c r="E7848" s="7" t="s">
        <v>12</v>
      </c>
      <c r="F7848" s="8" t="str">
        <f ca="1">IFERROR(__xludf.DUMMYFUNCTION("IF
(
C7849=""фізична особа""
,
VLOOKUP(D7849,IMPORTRANGE(""https://docs.google.com/spreadsheets/d/14Bd19lYaqBhU8_DElYkX7l4wRkHqqCUFNJY4AfY3kHU/edit?usp=sharing  #gid=0"",""фіз особи new!relations_name""),6,FALSE)
,
(IF
(
C7849=""юридична особа""
,
VLOOKUP"&amp;"(D7849,IMPORTRANGE(""https://docs.google.com/spreadsheets/d/14Bd19lYaqBhU8_DElYkX7l4wRkHqqCUFNJY4AfY3kHU/edit?usp=sharing  #gid=0"",""фіз особи new!relations_name_uo""),7,FALSE)
,
)
))"),"РЕПІК Олексій Євгенович")</f>
        <v>РЕПІК Олексій Євгенович</v>
      </c>
      <c r="G7848" s="7" t="s">
        <v>10</v>
      </c>
      <c r="H7848" s="7">
        <v>23575</v>
      </c>
      <c r="I7848" s="8" t="str">
        <f ca="1">IFERROR(__xludf.DUMMYFUNCTION("IF
(
G7849=""фізична особа""
,
VLOOKUP(H7849,IMPORTRANGE(""https://docs.google.com/spreadsheets/d/14Bd19lYaqBhU8_DElYkX7l4wRkHqqCUFNJY4AfY3kHU/edit?usp=sharing  #gid=0"",""фіз особи new!relations_name""),6,FALSE)
,
(IF
(
G7849=""юридична особа""
,
VLOOKUP"&amp;"(H7849,IMPORTRANGE(""https://docs.google.com/spreadsheets/d/14Bd19lYaqBhU8_DElYkX7l4wRkHqqCUFNJY4AfY3kHU/edit?usp=sharing  #gid=0"",""фіз особи new!relations_name_uo""),7,FALSE)
,
)
))"),"РЕПИК Полина")</f>
        <v>РЕПИК Полина</v>
      </c>
      <c r="J7848" s="7" t="s">
        <v>13</v>
      </c>
    </row>
    <row r="7849" spans="1:10" ht="13.2">
      <c r="A7849" s="7">
        <v>7848</v>
      </c>
      <c r="B7849" s="7">
        <v>1</v>
      </c>
      <c r="C7849" s="7" t="s">
        <v>10</v>
      </c>
      <c r="D7849" s="7">
        <v>8775</v>
      </c>
      <c r="E7849" s="7" t="s">
        <v>12</v>
      </c>
      <c r="F7849" s="8" t="str">
        <f ca="1">IFERROR(__xludf.DUMMYFUNCTION("IF
(
C7850=""фізична особа""
,
VLOOKUP(D7850,IMPORTRANGE(""https://docs.google.com/spreadsheets/d/14Bd19lYaqBhU8_DElYkX7l4wRkHqqCUFNJY4AfY3kHU/edit?usp=sharing  #gid=0"",""фіз особи new!relations_name""),6,FALSE)
,
(IF
(
C7850=""юридична особа""
,
VLOOKUP"&amp;"(D7850,IMPORTRANGE(""https://docs.google.com/spreadsheets/d/14Bd19lYaqBhU8_DElYkX7l4wRkHqqCUFNJY4AfY3kHU/edit?usp=sharing  #gid=0"",""фіз особи new!relations_name_uo""),7,FALSE)
,
)
))"),"РЕПІК Олексій Євгенович")</f>
        <v>РЕПІК Олексій Євгенович</v>
      </c>
      <c r="G7849" s="7" t="s">
        <v>10</v>
      </c>
      <c r="H7849" s="7">
        <v>0</v>
      </c>
      <c r="I7849" s="8" t="str">
        <f ca="1">IFERROR(__xludf.DUMMYFUNCTION("IF
(
G7850=""фізична особа""
,
VLOOKUP(H7850,IMPORTRANGE(""https://docs.google.com/spreadsheets/d/14Bd19lYaqBhU8_DElYkX7l4wRkHqqCUFNJY4AfY3kHU/edit?usp=sharing  #gid=0"",""фіз особи new!relations_name""),6,FALSE)
,
(IF
(
G7850=""юридична особа""
,
VLOOKUP"&amp;"(H7850,IMPORTRANGE(""https://docs.google.com/spreadsheets/d/14Bd19lYaqBhU8_DElYkX7l4wRkHqqCUFNJY4AfY3kHU/edit?usp=sharing  #gid=0"",""фіз особи new!relations_name_uo""),7,FALSE)
,
)
))"),"#N/A")</f>
        <v>#N/A</v>
      </c>
      <c r="J7849" s="7" t="s">
        <v>17</v>
      </c>
    </row>
    <row r="7850" spans="1:10" ht="13.2">
      <c r="A7850" s="7">
        <v>7849</v>
      </c>
      <c r="B7850" s="7">
        <v>1</v>
      </c>
      <c r="C7850" s="7" t="s">
        <v>10</v>
      </c>
      <c r="D7850" s="7">
        <v>8776</v>
      </c>
      <c r="E7850" s="7" t="s">
        <v>18</v>
      </c>
      <c r="F7850" s="8" t="str">
        <f ca="1">IFERROR(__xludf.DUMMYFUNCTION("IF
(
C7851=""фізична особа""
,
VLOOKUP(D7851,IMPORTRANGE(""https://docs.google.com/spreadsheets/d/14Bd19lYaqBhU8_DElYkX7l4wRkHqqCUFNJY4AfY3kHU/edit?usp=sharing  #gid=0"",""фіз особи new!relations_name""),6,FALSE)
,
(IF
(
C7851=""юридична особа""
,
VLOOKUP"&amp;"(D7851,IMPORTRANGE(""https://docs.google.com/spreadsheets/d/14Bd19lYaqBhU8_DElYkX7l4wRkHqqCUFNJY4AfY3kHU/edit?usp=sharing  #gid=0"",""фіз особи new!relations_name_uo""),7,FALSE)
,
)
))"),"ЛІННИК Олександр В'ячеславович")</f>
        <v>ЛІННИК Олександр В'ячеславович</v>
      </c>
      <c r="G7850" s="7" t="s">
        <v>10</v>
      </c>
      <c r="H7850" s="7">
        <v>8777</v>
      </c>
      <c r="I7850" s="8" t="str">
        <f ca="1">IFERROR(__xludf.DUMMYFUNCTION("IF
(
G7851=""фізична особа""
,
VLOOKUP(H7851,IMPORTRANGE(""https://docs.google.com/spreadsheets/d/14Bd19lYaqBhU8_DElYkX7l4wRkHqqCUFNJY4AfY3kHU/edit?usp=sharing  #gid=0"",""фіз особи new!relations_name""),6,FALSE)
,
(IF
(
G7851=""юридична особа""
,
VLOOKUP"&amp;"(H7851,IMPORTRANGE(""https://docs.google.com/spreadsheets/d/14Bd19lYaqBhU8_DElYkX7l4wRkHqqCUFNJY4AfY3kHU/edit?usp=sharing  #gid=0"",""фіз особи new!relations_name_uo""),7,FALSE)
,
)
))"),"ЛІННИК Віктор В'ячеславович")</f>
        <v>ЛІННИК Віктор В'ячеславович</v>
      </c>
      <c r="J7850" s="7" t="s">
        <v>18</v>
      </c>
    </row>
    <row r="7851" spans="1:10" ht="13.2">
      <c r="A7851" s="7">
        <v>7850</v>
      </c>
      <c r="B7851" s="7">
        <v>1</v>
      </c>
      <c r="C7851" s="7" t="s">
        <v>10</v>
      </c>
      <c r="D7851" s="7">
        <v>8777</v>
      </c>
      <c r="E7851" s="7" t="s">
        <v>18</v>
      </c>
      <c r="F7851" s="8" t="str">
        <f ca="1">IFERROR(__xludf.DUMMYFUNCTION("IF
(
C7852=""фізична особа""
,
VLOOKUP(D7852,IMPORTRANGE(""https://docs.google.com/spreadsheets/d/14Bd19lYaqBhU8_DElYkX7l4wRkHqqCUFNJY4AfY3kHU/edit?usp=sharing  #gid=0"",""фіз особи new!relations_name""),6,FALSE)
,
(IF
(
C7852=""юридична особа""
,
VLOOKUP"&amp;"(D7852,IMPORTRANGE(""https://docs.google.com/spreadsheets/d/14Bd19lYaqBhU8_DElYkX7l4wRkHqqCUFNJY4AfY3kHU/edit?usp=sharing  #gid=0"",""фіз особи new!relations_name_uo""),7,FALSE)
,
)
))"),"ЛІННИК Віктор В'ячеславович")</f>
        <v>ЛІННИК Віктор В'ячеславович</v>
      </c>
      <c r="G7851" s="7" t="s">
        <v>10</v>
      </c>
      <c r="H7851" s="7">
        <v>8776</v>
      </c>
      <c r="I7851" s="8" t="str">
        <f ca="1">IFERROR(__xludf.DUMMYFUNCTION("IF
(
G7852=""фізична особа""
,
VLOOKUP(H7852,IMPORTRANGE(""https://docs.google.com/spreadsheets/d/14Bd19lYaqBhU8_DElYkX7l4wRkHqqCUFNJY4AfY3kHU/edit?usp=sharing  #gid=0"",""фіз особи new!relations_name""),6,FALSE)
,
(IF
(
G7852=""юридична особа""
,
VLOOKUP"&amp;"(H7852,IMPORTRANGE(""https://docs.google.com/spreadsheets/d/14Bd19lYaqBhU8_DElYkX7l4wRkHqqCUFNJY4AfY3kHU/edit?usp=sharing  #gid=0"",""фіз особи new!relations_name_uo""),7,FALSE)
,
)
))"),"ЛІННИК Олександр В'ячеславович")</f>
        <v>ЛІННИК Олександр В'ячеславович</v>
      </c>
      <c r="J7851" s="7" t="s">
        <v>18</v>
      </c>
    </row>
    <row r="7852" spans="1:10" ht="13.2">
      <c r="A7852" s="7">
        <v>7851</v>
      </c>
      <c r="B7852" s="7">
        <v>1</v>
      </c>
      <c r="C7852" s="7" t="s">
        <v>10</v>
      </c>
      <c r="D7852" s="7">
        <v>8778</v>
      </c>
      <c r="E7852" s="7" t="s">
        <v>18</v>
      </c>
      <c r="F7852" s="8" t="str">
        <f ca="1">IFERROR(__xludf.DUMMYFUNCTION("IF
(
C7853=""фізична особа""
,
VLOOKUP(D7853,IMPORTRANGE(""https://docs.google.com/spreadsheets/d/14Bd19lYaqBhU8_DElYkX7l4wRkHqqCUFNJY4AfY3kHU/edit?usp=sharing  #gid=0"",""фіз особи new!relations_name""),6,FALSE)
,
(IF
(
C7853=""юридична особа""
,
VLOOKUP"&amp;"(D7853,IMPORTRANGE(""https://docs.google.com/spreadsheets/d/14Bd19lYaqBhU8_DElYkX7l4wRkHqqCUFNJY4AfY3kHU/edit?usp=sharing  #gid=0"",""фіз особи new!relations_name_uo""),7,FALSE)
,
)
))"),"ЛЕЩИКОВ Володимир Андрійович")</f>
        <v>ЛЕЩИКОВ Володимир Андрійович</v>
      </c>
      <c r="G7852" s="7" t="s">
        <v>10</v>
      </c>
      <c r="H7852" s="7">
        <v>0</v>
      </c>
      <c r="I7852" s="8" t="str">
        <f ca="1">IFERROR(__xludf.DUMMYFUNCTION("IF
(
G7853=""фізична особа""
,
VLOOKUP(H7853,IMPORTRANGE(""https://docs.google.com/spreadsheets/d/14Bd19lYaqBhU8_DElYkX7l4wRkHqqCUFNJY4AfY3kHU/edit?usp=sharing  #gid=0"",""фіз особи new!relations_name""),6,FALSE)
,
(IF
(
G7853=""юридична особа""
,
VLOOKUP"&amp;"(H7853,IMPORTRANGE(""https://docs.google.com/spreadsheets/d/14Bd19lYaqBhU8_DElYkX7l4wRkHqqCUFNJY4AfY3kHU/edit?usp=sharing  #gid=0"",""фіз особи new!relations_name_uo""),7,FALSE)
,
)
))"),"#N/A")</f>
        <v>#N/A</v>
      </c>
      <c r="J7852" s="7" t="s">
        <v>18</v>
      </c>
    </row>
    <row r="7853" spans="1:10" ht="13.2">
      <c r="A7853" s="7">
        <v>7852</v>
      </c>
      <c r="B7853" s="7">
        <v>1</v>
      </c>
      <c r="C7853" s="7" t="s">
        <v>10</v>
      </c>
      <c r="D7853" s="7">
        <v>8778</v>
      </c>
      <c r="E7853" s="7" t="s">
        <v>16</v>
      </c>
      <c r="F7853" s="8" t="str">
        <f ca="1">IFERROR(__xludf.DUMMYFUNCTION("IF
(
C7854=""фізична особа""
,
VLOOKUP(D7854,IMPORTRANGE(""https://docs.google.com/spreadsheets/d/14Bd19lYaqBhU8_DElYkX7l4wRkHqqCUFNJY4AfY3kHU/edit?usp=sharing  #gid=0"",""фіз особи new!relations_name""),6,FALSE)
,
(IF
(
C7854=""юридична особа""
,
VLOOKUP"&amp;"(D7854,IMPORTRANGE(""https://docs.google.com/spreadsheets/d/14Bd19lYaqBhU8_DElYkX7l4wRkHqqCUFNJY4AfY3kHU/edit?usp=sharing  #gid=0"",""фіз особи new!relations_name_uo""),7,FALSE)
,
)
))"),"ЛЕЩИКОВ Володимир Андрійович")</f>
        <v>ЛЕЩИКОВ Володимир Андрійович</v>
      </c>
      <c r="G7853" s="7" t="s">
        <v>10</v>
      </c>
      <c r="H7853" s="7">
        <v>677</v>
      </c>
      <c r="I7853" s="8" t="str">
        <f ca="1">IFERROR(__xludf.DUMMYFUNCTION("IF
(
G7854=""фізична особа""
,
VLOOKUP(H7854,IMPORTRANGE(""https://docs.google.com/spreadsheets/d/14Bd19lYaqBhU8_DElYkX7l4wRkHqqCUFNJY4AfY3kHU/edit?usp=sharing  #gid=0"",""фіз особи new!relations_name""),6,FALSE)
,
(IF
(
G7854=""юридична особа""
,
VLOOKUP"&amp;"(H7854,IMPORTRANGE(""https://docs.google.com/spreadsheets/d/14Bd19lYaqBhU8_DElYkX7l4wRkHqqCUFNJY4AfY3kHU/edit?usp=sharing  #gid=0"",""фіз особи new!relations_name_uo""),7,FALSE)
,
)
))"),"СОБЯНІН Сергій Семенович")</f>
        <v>СОБЯНІН Сергій Семенович</v>
      </c>
      <c r="J7853" s="7" t="s">
        <v>16</v>
      </c>
    </row>
    <row r="7854" spans="1:10" ht="13.2">
      <c r="A7854" s="7">
        <v>7853</v>
      </c>
      <c r="B7854" s="7">
        <v>1</v>
      </c>
      <c r="C7854" s="7" t="s">
        <v>10</v>
      </c>
      <c r="D7854" s="7">
        <v>8779</v>
      </c>
      <c r="E7854" s="7" t="s">
        <v>15</v>
      </c>
      <c r="F7854" s="8" t="str">
        <f ca="1">IFERROR(__xludf.DUMMYFUNCTION("IF
(
C7855=""фізична особа""
,
VLOOKUP(D7855,IMPORTRANGE(""https://docs.google.com/spreadsheets/d/14Bd19lYaqBhU8_DElYkX7l4wRkHqqCUFNJY4AfY3kHU/edit?usp=sharing  #gid=0"",""фіз особи new!relations_name""),6,FALSE)
,
(IF
(
C7855=""юридична особа""
,
VLOOKUP"&amp;"(D7855,IMPORTRANGE(""https://docs.google.com/spreadsheets/d/14Bd19lYaqBhU8_DElYkX7l4wRkHqqCUFNJY4AfY3kHU/edit?usp=sharing  #gid=0"",""фіз особи new!relations_name_uo""),7,FALSE)
,
)
))"),"СИРОВАТСЬКА Ольга")</f>
        <v>СИРОВАТСЬКА Ольга</v>
      </c>
      <c r="G7854" s="7" t="s">
        <v>10</v>
      </c>
      <c r="H7854" s="7">
        <v>1973</v>
      </c>
      <c r="I7854" s="8" t="str">
        <f ca="1">IFERROR(__xludf.DUMMYFUNCTION("IF
(
G7855=""фізична особа""
,
VLOOKUP(H7855,IMPORTRANGE(""https://docs.google.com/spreadsheets/d/14Bd19lYaqBhU8_DElYkX7l4wRkHqqCUFNJY4AfY3kHU/edit?usp=sharing  #gid=0"",""фіз особи new!relations_name""),6,FALSE)
,
(IF
(
G7855=""юридична особа""
,
VLOOKUP"&amp;"(H7855,IMPORTRANGE(""https://docs.google.com/spreadsheets/d/14Bd19lYaqBhU8_DElYkX7l4wRkHqqCUFNJY4AfY3kHU/edit?usp=sharing  #gid=0"",""фіз особи new!relations_name_uo""),7,FALSE)
,
)
))"),"БОКАРЄВ Андрій Ремович")</f>
        <v>БОКАРЄВ Андрій Ремович</v>
      </c>
      <c r="J7854" s="7" t="s">
        <v>14</v>
      </c>
    </row>
    <row r="7855" spans="1:10" ht="13.2">
      <c r="A7855" s="7">
        <v>7854</v>
      </c>
      <c r="B7855" s="7">
        <v>1</v>
      </c>
      <c r="C7855" s="7" t="s">
        <v>10</v>
      </c>
      <c r="D7855" s="7">
        <v>8780</v>
      </c>
      <c r="E7855" s="7" t="s">
        <v>12</v>
      </c>
      <c r="F7855" s="8" t="str">
        <f ca="1">IFERROR(__xludf.DUMMYFUNCTION("IF
(
C7856=""фізична особа""
,
VLOOKUP(D7856,IMPORTRANGE(""https://docs.google.com/spreadsheets/d/14Bd19lYaqBhU8_DElYkX7l4wRkHqqCUFNJY4AfY3kHU/edit?usp=sharing  #gid=0"",""фіз особи new!relations_name""),6,FALSE)
,
(IF
(
C7856=""юридична особа""
,
VLOOKUP"&amp;"(D7856,IMPORTRANGE(""https://docs.google.com/spreadsheets/d/14Bd19lYaqBhU8_DElYkX7l4wRkHqqCUFNJY4AfY3kHU/edit?usp=sharing  #gid=0"",""фіз особи new!relations_name_uo""),7,FALSE)
,
)
))"),"МІРІЛАШВІЛІ Михайло Михайлович")</f>
        <v>МІРІЛАШВІЛІ Михайло Михайлович</v>
      </c>
      <c r="G7855" s="7" t="s">
        <v>10</v>
      </c>
      <c r="H7855" s="7">
        <v>0</v>
      </c>
      <c r="I7855" s="8" t="str">
        <f ca="1">IFERROR(__xludf.DUMMYFUNCTION("IF
(
G7856=""фізична особа""
,
VLOOKUP(H7856,IMPORTRANGE(""https://docs.google.com/spreadsheets/d/14Bd19lYaqBhU8_DElYkX7l4wRkHqqCUFNJY4AfY3kHU/edit?usp=sharing  #gid=0"",""фіз особи new!relations_name""),6,FALSE)
,
(IF
(
G7856=""юридична особа""
,
VLOOKUP"&amp;"(H7856,IMPORTRANGE(""https://docs.google.com/spreadsheets/d/14Bd19lYaqBhU8_DElYkX7l4wRkHqqCUFNJY4AfY3kHU/edit?usp=sharing  #gid=0"",""фіз особи new!relations_name_uo""),7,FALSE)
,
)
))"),"#N/A")</f>
        <v>#N/A</v>
      </c>
      <c r="J7855" s="7" t="s">
        <v>17</v>
      </c>
    </row>
    <row r="7856" spans="1:10" ht="13.2">
      <c r="A7856" s="7">
        <v>7855</v>
      </c>
      <c r="B7856" s="7">
        <v>1</v>
      </c>
      <c r="C7856" s="7" t="s">
        <v>10</v>
      </c>
      <c r="D7856" s="7">
        <v>8782</v>
      </c>
      <c r="E7856" s="7" t="s">
        <v>18</v>
      </c>
      <c r="F7856" s="8" t="str">
        <f ca="1">IFERROR(__xludf.DUMMYFUNCTION("IF
(
C7857=""фізична особа""
,
VLOOKUP(D7857,IMPORTRANGE(""https://docs.google.com/spreadsheets/d/14Bd19lYaqBhU8_DElYkX7l4wRkHqqCUFNJY4AfY3kHU/edit?usp=sharing  #gid=0"",""фіз особи new!relations_name""),6,FALSE)
,
(IF
(
C7857=""юридична особа""
,
VLOOKUP"&amp;"(D7857,IMPORTRANGE(""https://docs.google.com/spreadsheets/d/14Bd19lYaqBhU8_DElYkX7l4wRkHqqCUFNJY4AfY3kHU/edit?usp=sharing  #gid=0"",""фіз особи new!relations_name_uo""),7,FALSE)
,
)
))"),"САРКІСІВ Сергій Едуардович")</f>
        <v>САРКІСІВ Сергій Едуардович</v>
      </c>
      <c r="G7856" s="7" t="s">
        <v>10</v>
      </c>
      <c r="H7856" s="7">
        <v>15432</v>
      </c>
      <c r="I7856" s="8" t="str">
        <f ca="1">IFERROR(__xludf.DUMMYFUNCTION("IF
(
G7857=""фізична особа""
,
VLOOKUP(H7857,IMPORTRANGE(""https://docs.google.com/spreadsheets/d/14Bd19lYaqBhU8_DElYkX7l4wRkHqqCUFNJY4AfY3kHU/edit?usp=sharing  #gid=0"",""фіз особи new!relations_name""),6,FALSE)
,
(IF
(
G7857=""юридична особа""
,
VLOOKUP"&amp;"(H7857,IMPORTRANGE(""https://docs.google.com/spreadsheets/d/14Bd19lYaqBhU8_DElYkX7l4wRkHqqCUFNJY4AfY3kHU/edit?usp=sharing  #gid=0"",""фіз особи new!relations_name_uo""),7,FALSE)
,
)
))"),"САРКІСІВ Микола Едуардович")</f>
        <v>САРКІСІВ Микола Едуардович</v>
      </c>
      <c r="J7856" s="7" t="s">
        <v>18</v>
      </c>
    </row>
    <row r="7857" spans="1:10" ht="13.2">
      <c r="A7857" s="7">
        <v>7856</v>
      </c>
      <c r="B7857" s="7">
        <v>1</v>
      </c>
      <c r="C7857" s="7" t="s">
        <v>10</v>
      </c>
      <c r="D7857" s="7">
        <v>8783</v>
      </c>
      <c r="E7857" s="7" t="s">
        <v>14</v>
      </c>
      <c r="F7857" s="8" t="str">
        <f ca="1">IFERROR(__xludf.DUMMYFUNCTION("IF
(
C7858=""фізична особа""
,
VLOOKUP(D7858,IMPORTRANGE(""https://docs.google.com/spreadsheets/d/14Bd19lYaqBhU8_DElYkX7l4wRkHqqCUFNJY4AfY3kHU/edit?usp=sharing  #gid=0"",""фіз особи new!relations_name""),6,FALSE)
,
(IF
(
C7858=""юридична особа""
,
VLOOKUP"&amp;"(D7858,IMPORTRANGE(""https://docs.google.com/spreadsheets/d/14Bd19lYaqBhU8_DElYkX7l4wRkHqqCUFNJY4AfY3kHU/edit?usp=sharing  #gid=0"",""фіз особи new!relations_name_uo""),7,FALSE)
,
)
))"),"СКУРОВ Анатолій Георгійович")</f>
        <v>СКУРОВ Анатолій Георгійович</v>
      </c>
      <c r="G7857" s="7" t="s">
        <v>10</v>
      </c>
      <c r="H7857" s="7">
        <v>0</v>
      </c>
      <c r="I7857" s="8" t="str">
        <f ca="1">IFERROR(__xludf.DUMMYFUNCTION("IF
(
G7858=""фізична особа""
,
VLOOKUP(H7858,IMPORTRANGE(""https://docs.google.com/spreadsheets/d/14Bd19lYaqBhU8_DElYkX7l4wRkHqqCUFNJY4AfY3kHU/edit?usp=sharing  #gid=0"",""фіз особи new!relations_name""),6,FALSE)
,
(IF
(
G7858=""юридична особа""
,
VLOOKUP"&amp;"(H7858,IMPORTRANGE(""https://docs.google.com/spreadsheets/d/14Bd19lYaqBhU8_DElYkX7l4wRkHqqCUFNJY4AfY3kHU/edit?usp=sharing  #gid=0"",""фіз особи new!relations_name_uo""),7,FALSE)
,
)
))"),"#N/A")</f>
        <v>#N/A</v>
      </c>
      <c r="J7857" s="7" t="s">
        <v>15</v>
      </c>
    </row>
    <row r="7858" spans="1:10" ht="13.2">
      <c r="A7858" s="7">
        <v>7857</v>
      </c>
      <c r="B7858" s="7">
        <v>1</v>
      </c>
      <c r="C7858" s="7" t="s">
        <v>10</v>
      </c>
      <c r="D7858" s="7">
        <v>8784</v>
      </c>
      <c r="E7858" s="7" t="s">
        <v>18</v>
      </c>
      <c r="F7858" s="8" t="str">
        <f ca="1">IFERROR(__xludf.DUMMYFUNCTION("IF
(
C7859=""фізична особа""
,
VLOOKUP(D7859,IMPORTRANGE(""https://docs.google.com/spreadsheets/d/14Bd19lYaqBhU8_DElYkX7l4wRkHqqCUFNJY4AfY3kHU/edit?usp=sharing  #gid=0"",""фіз особи new!relations_name""),6,FALSE)
,
(IF
(
C7859=""юридична особа""
,
VLOOKUP"&amp;"(D7859,IMPORTRANGE(""https://docs.google.com/spreadsheets/d/14Bd19lYaqBhU8_DElYkX7l4wRkHqqCUFNJY4AfY3kHU/edit?usp=sharing  #gid=0"",""фіз особи new!relations_name_uo""),7,FALSE)
,
)
))"),"ЗУБИЦЬКИЙ Андрій Борисович")</f>
        <v>ЗУБИЦЬКИЙ Андрій Борисович</v>
      </c>
      <c r="G7858" s="7" t="s">
        <v>10</v>
      </c>
      <c r="H7858" s="7">
        <v>4032</v>
      </c>
      <c r="I7858" s="8" t="str">
        <f ca="1">IFERROR(__xludf.DUMMYFUNCTION("IF
(
G7859=""фізична особа""
,
VLOOKUP(H7859,IMPORTRANGE(""https://docs.google.com/spreadsheets/d/14Bd19lYaqBhU8_DElYkX7l4wRkHqqCUFNJY4AfY3kHU/edit?usp=sharing  #gid=0"",""фіз особи new!relations_name""),6,FALSE)
,
(IF
(
G7859=""юридична особа""
,
VLOOKUP"&amp;"(H7859,IMPORTRANGE(""https://docs.google.com/spreadsheets/d/14Bd19lYaqBhU8_DElYkX7l4wRkHqqCUFNJY4AfY3kHU/edit?usp=sharing  #gid=0"",""фіз особи new!relations_name_uo""),7,FALSE)
,
)
))"),"ЗУБІЦЬКИЙ Євген Борисович")</f>
        <v>ЗУБІЦЬКИЙ Євген Борисович</v>
      </c>
      <c r="J7858" s="7" t="s">
        <v>18</v>
      </c>
    </row>
    <row r="7859" spans="1:10" ht="13.2">
      <c r="A7859" s="7">
        <v>7858</v>
      </c>
      <c r="B7859" s="7">
        <v>1</v>
      </c>
      <c r="C7859" s="7" t="s">
        <v>10</v>
      </c>
      <c r="D7859" s="7">
        <v>8784</v>
      </c>
      <c r="E7859" s="7" t="s">
        <v>17</v>
      </c>
      <c r="F7859" s="8" t="str">
        <f ca="1">IFERROR(__xludf.DUMMYFUNCTION("IF
(
C7860=""фізична особа""
,
VLOOKUP(D7860,IMPORTRANGE(""https://docs.google.com/spreadsheets/d/14Bd19lYaqBhU8_DElYkX7l4wRkHqqCUFNJY4AfY3kHU/edit?usp=sharing  #gid=0"",""фіз особи new!relations_name""),6,FALSE)
,
(IF
(
C7860=""юридична особа""
,
VLOOKUP"&amp;"(D7860,IMPORTRANGE(""https://docs.google.com/spreadsheets/d/14Bd19lYaqBhU8_DElYkX7l4wRkHqqCUFNJY4AfY3kHU/edit?usp=sharing  #gid=0"",""фіз особи new!relations_name_uo""),7,FALSE)
,
)
))"),"ЗУБИЦЬКИЙ Андрій Борисович")</f>
        <v>ЗУБИЦЬКИЙ Андрій Борисович</v>
      </c>
      <c r="G7859" s="7" t="s">
        <v>10</v>
      </c>
      <c r="H7859" s="7">
        <v>0</v>
      </c>
      <c r="I7859" s="8" t="str">
        <f ca="1">IFERROR(__xludf.DUMMYFUNCTION("IF
(
G7860=""фізична особа""
,
VLOOKUP(H7860,IMPORTRANGE(""https://docs.google.com/spreadsheets/d/14Bd19lYaqBhU8_DElYkX7l4wRkHqqCUFNJY4AfY3kHU/edit?usp=sharing  #gid=0"",""фіз особи new!relations_name""),6,FALSE)
,
(IF
(
G7860=""юридична особа""
,
VLOOKUP"&amp;"(H7860,IMPORTRANGE(""https://docs.google.com/spreadsheets/d/14Bd19lYaqBhU8_DElYkX7l4wRkHqqCUFNJY4AfY3kHU/edit?usp=sharing  #gid=0"",""фіз особи new!relations_name_uo""),7,FALSE)
,
)
))"),"#N/A")</f>
        <v>#N/A</v>
      </c>
      <c r="J7859" s="7" t="s">
        <v>21</v>
      </c>
    </row>
    <row r="7860" spans="1:10" ht="13.2">
      <c r="A7860" s="7">
        <v>7859</v>
      </c>
      <c r="B7860" s="7">
        <v>1</v>
      </c>
      <c r="C7860" s="7" t="s">
        <v>10</v>
      </c>
      <c r="D7860" s="7">
        <v>8785</v>
      </c>
      <c r="E7860" s="7" t="s">
        <v>15</v>
      </c>
      <c r="F7860" s="8" t="str">
        <f ca="1">IFERROR(__xludf.DUMMYFUNCTION("IF
(
C7861=""фізична особа""
,
VLOOKUP(D7861,IMPORTRANGE(""https://docs.google.com/spreadsheets/d/14Bd19lYaqBhU8_DElYkX7l4wRkHqqCUFNJY4AfY3kHU/edit?usp=sharing  #gid=0"",""фіз особи new!relations_name""),6,FALSE)
,
(IF
(
C7861=""юридична особа""
,
VLOOKUP"&amp;"(D7861,IMPORTRANGE(""https://docs.google.com/spreadsheets/d/14Bd19lYaqBhU8_DElYkX7l4wRkHqqCUFNJY4AfY3kHU/edit?usp=sharing  #gid=0"",""фіз особи new!relations_name_uo""),7,FALSE)
,
)
))"),"ЗУБИЦЬКА Аліна Євгенівна")</f>
        <v>ЗУБИЦЬКА Аліна Євгенівна</v>
      </c>
      <c r="G7860" s="7" t="s">
        <v>10</v>
      </c>
      <c r="H7860" s="7">
        <v>4032</v>
      </c>
      <c r="I7860" s="8" t="str">
        <f ca="1">IFERROR(__xludf.DUMMYFUNCTION("IF
(
G7861=""фізична особа""
,
VLOOKUP(H7861,IMPORTRANGE(""https://docs.google.com/spreadsheets/d/14Bd19lYaqBhU8_DElYkX7l4wRkHqqCUFNJY4AfY3kHU/edit?usp=sharing  #gid=0"",""фіз особи new!relations_name""),6,FALSE)
,
(IF
(
G7861=""юридична особа""
,
VLOOKUP"&amp;"(H7861,IMPORTRANGE(""https://docs.google.com/spreadsheets/d/14Bd19lYaqBhU8_DElYkX7l4wRkHqqCUFNJY4AfY3kHU/edit?usp=sharing  #gid=0"",""фіз особи new!relations_name_uo""),7,FALSE)
,
)
))"),"ЗУБІЦЬКИЙ Євген Борисович")</f>
        <v>ЗУБІЦЬКИЙ Євген Борисович</v>
      </c>
      <c r="J7860" s="7" t="s">
        <v>14</v>
      </c>
    </row>
    <row r="7861" spans="1:10" ht="13.2">
      <c r="A7861" s="7">
        <v>7860</v>
      </c>
      <c r="B7861" s="7">
        <v>1</v>
      </c>
      <c r="C7861" s="7" t="s">
        <v>10</v>
      </c>
      <c r="D7861" s="7">
        <v>8786</v>
      </c>
      <c r="E7861" s="7" t="s">
        <v>15</v>
      </c>
      <c r="F7861" s="8" t="str">
        <f ca="1">IFERROR(__xludf.DUMMYFUNCTION("IF
(
C7862=""фізична особа""
,
VLOOKUP(D7862,IMPORTRANGE(""https://docs.google.com/spreadsheets/d/14Bd19lYaqBhU8_DElYkX7l4wRkHqqCUFNJY4AfY3kHU/edit?usp=sharing  #gid=0"",""фіз особи new!relations_name""),6,FALSE)
,
(IF
(
C7862=""юридична особа""
,
VLOOKUP"&amp;"(D7862,IMPORTRANGE(""https://docs.google.com/spreadsheets/d/14Bd19lYaqBhU8_DElYkX7l4wRkHqqCUFNJY4AfY3kHU/edit?usp=sharing  #gid=0"",""фіз особи new!relations_name_uo""),7,FALSE)
,
)
))"),"ФІЛАТОВА Олена Юріївна")</f>
        <v>ФІЛАТОВА Олена Юріївна</v>
      </c>
      <c r="G7861" s="7" t="s">
        <v>10</v>
      </c>
      <c r="H7861" s="7">
        <v>8734</v>
      </c>
      <c r="I7861" s="8" t="str">
        <f ca="1">IFERROR(__xludf.DUMMYFUNCTION("IF
(
G7862=""фізична особа""
,
VLOOKUP(H7862,IMPORTRANGE(""https://docs.google.com/spreadsheets/d/14Bd19lYaqBhU8_DElYkX7l4wRkHqqCUFNJY4AfY3kHU/edit?usp=sharing  #gid=0"",""фіз особи new!relations_name""),6,FALSE)
,
(IF
(
G7862=""юридична особа""
,
VLOOKUP"&amp;"(H7862,IMPORTRANGE(""https://docs.google.com/spreadsheets/d/14Bd19lYaqBhU8_DElYkX7l4wRkHqqCUFNJY4AfY3kHU/edit?usp=sharing  #gid=0"",""фіз особи new!relations_name_uo""),7,FALSE)
,
)
))"),"ФІЛАТОВ Андрій Васильович")</f>
        <v>ФІЛАТОВ Андрій Васильович</v>
      </c>
      <c r="J7861" s="7" t="s">
        <v>14</v>
      </c>
    </row>
    <row r="7862" spans="1:10" ht="13.2">
      <c r="A7862" s="7">
        <v>7861</v>
      </c>
      <c r="B7862" s="7">
        <v>1</v>
      </c>
      <c r="C7862" s="7" t="s">
        <v>10</v>
      </c>
      <c r="D7862" s="7">
        <v>8787</v>
      </c>
      <c r="E7862" s="7" t="s">
        <v>15</v>
      </c>
      <c r="F7862" s="8" t="str">
        <f ca="1">IFERROR(__xludf.DUMMYFUNCTION("IF
(
C7863=""фізична особа""
,
VLOOKUP(D7863,IMPORTRANGE(""https://docs.google.com/spreadsheets/d/14Bd19lYaqBhU8_DElYkX7l4wRkHqqCUFNJY4AfY3kHU/edit?usp=sharing  #gid=0"",""фіз особи new!relations_name""),6,FALSE)
,
(IF
(
C7863=""юридична особа""
,
VLOOKUP"&amp;"(D7863,IMPORTRANGE(""https://docs.google.com/spreadsheets/d/14Bd19lYaqBhU8_DElYkX7l4wRkHqqCUFNJY4AfY3kHU/edit?usp=sharing  #gid=0"",""фіз особи new!relations_name_uo""),7,FALSE)
,
)
))"),"КОРСАКОВА Тетяна Володимирівна")</f>
        <v>КОРСАКОВА Тетяна Володимирівна</v>
      </c>
      <c r="G7862" s="7" t="s">
        <v>10</v>
      </c>
      <c r="H7862" s="7">
        <v>0</v>
      </c>
      <c r="I7862" s="8" t="str">
        <f ca="1">IFERROR(__xludf.DUMMYFUNCTION("IF
(
G7863=""фізична особа""
,
VLOOKUP(H7863,IMPORTRANGE(""https://docs.google.com/spreadsheets/d/14Bd19lYaqBhU8_DElYkX7l4wRkHqqCUFNJY4AfY3kHU/edit?usp=sharing  #gid=0"",""фіз особи new!relations_name""),6,FALSE)
,
(IF
(
G7863=""юридична особа""
,
VLOOKUP"&amp;"(H7863,IMPORTRANGE(""https://docs.google.com/spreadsheets/d/14Bd19lYaqBhU8_DElYkX7l4wRkHqqCUFNJY4AfY3kHU/edit?usp=sharing  #gid=0"",""фіз особи new!relations_name_uo""),7,FALSE)
,
)
))"),"#N/A")</f>
        <v>#N/A</v>
      </c>
      <c r="J7862" s="7" t="s">
        <v>14</v>
      </c>
    </row>
    <row r="7863" spans="1:10" ht="13.2">
      <c r="A7863" s="7">
        <v>7862</v>
      </c>
      <c r="B7863" s="7">
        <v>1</v>
      </c>
      <c r="C7863" s="7" t="s">
        <v>10</v>
      </c>
      <c r="D7863" s="7">
        <v>8788</v>
      </c>
      <c r="E7863" s="7" t="s">
        <v>12</v>
      </c>
      <c r="F7863" s="8" t="str">
        <f ca="1">IFERROR(__xludf.DUMMYFUNCTION("IF
(
C7864=""фізична особа""
,
VLOOKUP(D7864,IMPORTRANGE(""https://docs.google.com/spreadsheets/d/14Bd19lYaqBhU8_DElYkX7l4wRkHqqCUFNJY4AfY3kHU/edit?usp=sharing  #gid=0"",""фіз особи new!relations_name""),6,FALSE)
,
(IF
(
C7864=""юридична особа""
,
VLOOKUP"&amp;"(D7864,IMPORTRANGE(""https://docs.google.com/spreadsheets/d/14Bd19lYaqBhU8_DElYkX7l4wRkHqqCUFNJY4AfY3kHU/edit?usp=sharing  #gid=0"",""фіз особи new!relations_name_uo""),7,FALSE)
,
)
))"),"СТОРОНСЬКИЙ Микола Миронович")</f>
        <v>СТОРОНСЬКИЙ Микола Миронович</v>
      </c>
      <c r="G7863" s="7" t="s">
        <v>10</v>
      </c>
      <c r="H7863" s="7">
        <v>0</v>
      </c>
      <c r="I7863" s="8" t="str">
        <f ca="1">IFERROR(__xludf.DUMMYFUNCTION("IF
(
G7864=""фізична особа""
,
VLOOKUP(H7864,IMPORTRANGE(""https://docs.google.com/spreadsheets/d/14Bd19lYaqBhU8_DElYkX7l4wRkHqqCUFNJY4AfY3kHU/edit?usp=sharing  #gid=0"",""фіз особи new!relations_name""),6,FALSE)
,
(IF
(
G7864=""юридична особа""
,
VLOOKUP"&amp;"(H7864,IMPORTRANGE(""https://docs.google.com/spreadsheets/d/14Bd19lYaqBhU8_DElYkX7l4wRkHqqCUFNJY4AfY3kHU/edit?usp=sharing  #gid=0"",""фіз особи new!relations_name_uo""),7,FALSE)
,
)
))"),"#N/A")</f>
        <v>#N/A</v>
      </c>
      <c r="J7863" s="7" t="s">
        <v>17</v>
      </c>
    </row>
    <row r="7864" spans="1:10" ht="13.2">
      <c r="A7864" s="7">
        <v>7863</v>
      </c>
      <c r="B7864" s="7">
        <v>1</v>
      </c>
      <c r="C7864" s="7" t="s">
        <v>10</v>
      </c>
      <c r="D7864" s="7">
        <v>8790</v>
      </c>
      <c r="E7864" s="7" t="s">
        <v>11</v>
      </c>
      <c r="F7864" s="8" t="str">
        <f ca="1">IFERROR(__xludf.DUMMYFUNCTION("IF
(
C7865=""фізична особа""
,
VLOOKUP(D7865,IMPORTRANGE(""https://docs.google.com/spreadsheets/d/14Bd19lYaqBhU8_DElYkX7l4wRkHqqCUFNJY4AfY3kHU/edit?usp=sharing  #gid=0"",""фіз особи new!relations_name""),6,FALSE)
,
(IF
(
C7865=""юридична особа""
,
VLOOKUP"&amp;"(D7865,IMPORTRANGE(""https://docs.google.com/spreadsheets/d/14Bd19lYaqBhU8_DElYkX7l4wRkHqqCUFNJY4AfY3kHU/edit?usp=sharing  #gid=0"",""фіз особи new!relations_name_uo""),7,FALSE)
,
)
))"),"ДЖАПАРІДЗЕ Олександр Юлійович")</f>
        <v>ДЖАПАРІДЗЕ Олександр Юлійович</v>
      </c>
      <c r="G7864" s="7" t="s">
        <v>10</v>
      </c>
      <c r="H7864" s="7">
        <v>0</v>
      </c>
      <c r="I7864" s="8" t="str">
        <f ca="1">IFERROR(__xludf.DUMMYFUNCTION("IF
(
G7865=""фізична особа""
,
VLOOKUP(H7865,IMPORTRANGE(""https://docs.google.com/spreadsheets/d/14Bd19lYaqBhU8_DElYkX7l4wRkHqqCUFNJY4AfY3kHU/edit?usp=sharing  #gid=0"",""фіз особи new!relations_name""),6,FALSE)
,
(IF
(
G7865=""юридична особа""
,
VLOOKUP"&amp;"(H7865,IMPORTRANGE(""https://docs.google.com/spreadsheets/d/14Bd19lYaqBhU8_DElYkX7l4wRkHqqCUFNJY4AfY3kHU/edit?usp=sharing  #gid=0"",""фіз особи new!relations_name_uo""),7,FALSE)
,
)
))"),"#N/A")</f>
        <v>#N/A</v>
      </c>
      <c r="J7864" s="7" t="s">
        <v>11</v>
      </c>
    </row>
    <row r="7865" spans="1:10" ht="13.2">
      <c r="A7865" s="7">
        <v>7864</v>
      </c>
      <c r="B7865" s="7">
        <v>1</v>
      </c>
      <c r="C7865" s="7" t="s">
        <v>10</v>
      </c>
      <c r="D7865" s="7">
        <v>8790</v>
      </c>
      <c r="E7865" s="7" t="s">
        <v>12</v>
      </c>
      <c r="F7865" s="8" t="str">
        <f ca="1">IFERROR(__xludf.DUMMYFUNCTION("IF
(
C7866=""фізична особа""
,
VLOOKUP(D7866,IMPORTRANGE(""https://docs.google.com/spreadsheets/d/14Bd19lYaqBhU8_DElYkX7l4wRkHqqCUFNJY4AfY3kHU/edit?usp=sharing  #gid=0"",""фіз особи new!relations_name""),6,FALSE)
,
(IF
(
C7866=""юридична особа""
,
VLOOKUP"&amp;"(D7866,IMPORTRANGE(""https://docs.google.com/spreadsheets/d/14Bd19lYaqBhU8_DElYkX7l4wRkHqqCUFNJY4AfY3kHU/edit?usp=sharing  #gid=0"",""фіз особи new!relations_name_uo""),7,FALSE)
,
)
))"),"ДЖАПАРІДЗЕ Олександр Юлійович")</f>
        <v>ДЖАПАРІДЗЕ Олександр Юлійович</v>
      </c>
      <c r="G7865" s="7" t="s">
        <v>10</v>
      </c>
      <c r="H7865" s="7">
        <v>8791</v>
      </c>
      <c r="I7865" s="8" t="str">
        <f ca="1">IFERROR(__xludf.DUMMYFUNCTION("IF
(
G7866=""фізична особа""
,
VLOOKUP(H7866,IMPORTRANGE(""https://docs.google.com/spreadsheets/d/14Bd19lYaqBhU8_DElYkX7l4wRkHqqCUFNJY4AfY3kHU/edit?usp=sharing  #gid=0"",""фіз особи new!relations_name""),6,FALSE)
,
(IF
(
G7866=""юридична особа""
,
VLOOKUP"&amp;"(H7866,IMPORTRANGE(""https://docs.google.com/spreadsheets/d/14Bd19lYaqBhU8_DElYkX7l4wRkHqqCUFNJY4AfY3kHU/edit?usp=sharing  #gid=0"",""фіз особи new!relations_name_uo""),7,FALSE)
,
)
))"),"ДЖАПАРІДЗЕ Георгій Олександрович")</f>
        <v>ДЖАПАРІДЗЕ Георгій Олександрович</v>
      </c>
      <c r="J7865" s="7" t="s">
        <v>17</v>
      </c>
    </row>
    <row r="7866" spans="1:10" ht="13.2">
      <c r="A7866" s="7">
        <v>7865</v>
      </c>
      <c r="B7866" s="7">
        <v>1</v>
      </c>
      <c r="C7866" s="7" t="s">
        <v>10</v>
      </c>
      <c r="D7866" s="7">
        <v>8791</v>
      </c>
      <c r="E7866" s="7" t="s">
        <v>17</v>
      </c>
      <c r="F7866" s="8" t="str">
        <f ca="1">IFERROR(__xludf.DUMMYFUNCTION("IF
(
C7867=""фізична особа""
,
VLOOKUP(D7867,IMPORTRANGE(""https://docs.google.com/spreadsheets/d/14Bd19lYaqBhU8_DElYkX7l4wRkHqqCUFNJY4AfY3kHU/edit?usp=sharing  #gid=0"",""фіз особи new!relations_name""),6,FALSE)
,
(IF
(
C7867=""юридична особа""
,
VLOOKUP"&amp;"(D7867,IMPORTRANGE(""https://docs.google.com/spreadsheets/d/14Bd19lYaqBhU8_DElYkX7l4wRkHqqCUFNJY4AfY3kHU/edit?usp=sharing  #gid=0"",""фіз особи new!relations_name_uo""),7,FALSE)
,
)
))"),"ДЖАПАРІДЗЕ Георгій Олександрович")</f>
        <v>ДЖАПАРІДЗЕ Георгій Олександрович</v>
      </c>
      <c r="G7866" s="7" t="s">
        <v>10</v>
      </c>
      <c r="H7866" s="7">
        <v>8790</v>
      </c>
      <c r="I7866" s="8" t="str">
        <f ca="1">IFERROR(__xludf.DUMMYFUNCTION("IF
(
G7867=""фізична особа""
,
VLOOKUP(H7867,IMPORTRANGE(""https://docs.google.com/spreadsheets/d/14Bd19lYaqBhU8_DElYkX7l4wRkHqqCUFNJY4AfY3kHU/edit?usp=sharing  #gid=0"",""фіз особи new!relations_name""),6,FALSE)
,
(IF
(
G7867=""юридична особа""
,
VLOOKUP"&amp;"(H7867,IMPORTRANGE(""https://docs.google.com/spreadsheets/d/14Bd19lYaqBhU8_DElYkX7l4wRkHqqCUFNJY4AfY3kHU/edit?usp=sharing  #gid=0"",""фіз особи new!relations_name_uo""),7,FALSE)
,
)
))"),"ДЖАПАРІДЗЕ Олександр Юлійович")</f>
        <v>ДЖАПАРІДЗЕ Олександр Юлійович</v>
      </c>
      <c r="J7866" s="7" t="s">
        <v>12</v>
      </c>
    </row>
    <row r="7867" spans="1:10" ht="13.2">
      <c r="A7867" s="7">
        <v>7866</v>
      </c>
      <c r="B7867" s="7">
        <v>1</v>
      </c>
      <c r="C7867" s="7" t="s">
        <v>10</v>
      </c>
      <c r="D7867" s="7">
        <v>8792</v>
      </c>
      <c r="E7867" s="7" t="s">
        <v>18</v>
      </c>
      <c r="F7867" s="8" t="str">
        <f ca="1">IFERROR(__xludf.DUMMYFUNCTION("IF
(
C7868=""фізична особа""
,
VLOOKUP(D7868,IMPORTRANGE(""https://docs.google.com/spreadsheets/d/14Bd19lYaqBhU8_DElYkX7l4wRkHqqCUFNJY4AfY3kHU/edit?usp=sharing  #gid=0"",""фіз особи new!relations_name""),6,FALSE)
,
(IF
(
C7868=""юридична особа""
,
VLOOKUP"&amp;"(D7868,IMPORTRANGE(""https://docs.google.com/spreadsheets/d/14Bd19lYaqBhU8_DElYkX7l4wRkHqqCUFNJY4AfY3kHU/edit?usp=sharing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G7867" s="7" t="s">
        <v>10</v>
      </c>
      <c r="H7867" s="7">
        <v>8793</v>
      </c>
      <c r="I7867" s="8" t="str">
        <f ca="1">IFERROR(__xludf.DUMMYFUNCTION("IF
(
G7868=""фізична особа""
,
VLOOKUP(H7868,IMPORTRANGE(""https://docs.google.com/spreadsheets/d/14Bd19lYaqBhU8_DElYkX7l4wRkHqqCUFNJY4AfY3kHU/edit?usp=sharing  #gid=0"",""фіз особи new!relations_name""),6,FALSE)
,
(IF
(
G7868=""юридична особа""
,
VLOOKUP"&amp;"(H7868,IMPORTRANGE(""https://docs.google.com/spreadsheets/d/14Bd19lYaqBhU8_DElYkX7l4wRkHqqCUFNJY4AfY3kHU/edit?usp=sharing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J7867" s="7" t="s">
        <v>18</v>
      </c>
    </row>
    <row r="7868" spans="1:10" ht="13.2">
      <c r="A7868" s="7">
        <v>7867</v>
      </c>
      <c r="B7868" s="7">
        <v>1</v>
      </c>
      <c r="C7868" s="7" t="s">
        <v>10</v>
      </c>
      <c r="D7868" s="7">
        <v>8792</v>
      </c>
      <c r="E7868" s="7" t="s">
        <v>18</v>
      </c>
      <c r="F7868" s="8" t="str">
        <f ca="1">IFERROR(__xludf.DUMMYFUNCTION("IF
(
C7869=""фізична особа""
,
VLOOKUP(D7869,IMPORTRANGE(""https://docs.google.com/spreadsheets/d/14Bd19lYaqBhU8_DElYkX7l4wRkHqqCUFNJY4AfY3kHU/edit?usp=sharing  #gid=0"",""фіз особи new!relations_name""),6,FALSE)
,
(IF
(
C7869=""юридична особа""
,
VLOOKUP"&amp;"(D7869,IMPORTRANGE(""https://docs.google.com/spreadsheets/d/14Bd19lYaqBhU8_DElYkX7l4wRkHqqCUFNJY4AfY3kHU/edit?usp=sharing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G7868" s="7" t="s">
        <v>10</v>
      </c>
      <c r="H7868" s="7">
        <v>4365</v>
      </c>
      <c r="I7868" s="8" t="str">
        <f ca="1">IFERROR(__xludf.DUMMYFUNCTION("IF
(
G7869=""фізична особа""
,
VLOOKUP(H7869,IMPORTRANGE(""https://docs.google.com/spreadsheets/d/14Bd19lYaqBhU8_DElYkX7l4wRkHqqCUFNJY4AfY3kHU/edit?usp=sharing  #gid=0"",""фіз особи new!relations_name""),6,FALSE)
,
(IF
(
G7869=""юридична особа""
,
VLOOKUP"&amp;"(H7869,IMPORTRANGE(""https://docs.google.com/spreadsheets/d/14Bd19lYaqBhU8_DElYkX7l4wRkHqqCUFNJY4AfY3kHU/edit?usp=sharing  #gid=0"",""фіз особи new!relations_name_uo""),7,FALSE)
,
)
))"),"БАЖАЄВ Муса Юсупович")</f>
        <v>БАЖАЄВ Муса Юсупович</v>
      </c>
      <c r="J7868" s="7" t="s">
        <v>18</v>
      </c>
    </row>
    <row r="7869" spans="1:10" ht="13.2">
      <c r="A7869" s="7">
        <v>7868</v>
      </c>
      <c r="B7869" s="7">
        <v>1</v>
      </c>
      <c r="C7869" s="7" t="s">
        <v>10</v>
      </c>
      <c r="D7869" s="7">
        <v>8792</v>
      </c>
      <c r="E7869" s="7" t="s">
        <v>19</v>
      </c>
      <c r="F7869" s="8" t="str">
        <f ca="1">IFERROR(__xludf.DUMMYFUNCTION("IF
(
C7870=""фізична особа""
,
VLOOKUP(D7870,IMPORTRANGE(""https://docs.google.com/spreadsheets/d/14Bd19lYaqBhU8_DElYkX7l4wRkHqqCUFNJY4AfY3kHU/edit?usp=sharing  #gid=0"",""фіз особи new!relations_name""),6,FALSE)
,
(IF
(
C7870=""юридична особа""
,
VLOOKUP"&amp;"(D7870,IMPORTRANGE(""https://docs.google.com/spreadsheets/d/14Bd19lYaqBhU8_DElYkX7l4wRkHqqCUFNJY4AfY3kHU/edit?usp=sharing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G7869" s="7" t="s">
        <v>10</v>
      </c>
      <c r="H7869" s="7">
        <v>8737</v>
      </c>
      <c r="I7869" s="8" t="str">
        <f ca="1">IFERROR(__xludf.DUMMYFUNCTION("IF
(
G7870=""фізична особа""
,
VLOOKUP(H7870,IMPORTRANGE(""https://docs.google.com/spreadsheets/d/14Bd19lYaqBhU8_DElYkX7l4wRkHqqCUFNJY4AfY3kHU/edit?usp=sharing  #gid=0"",""фіз особи new!relations_name""),6,FALSE)
,
(IF
(
G7870=""юридична особа""
,
VLOOKUP"&amp;"(H7870,IMPORTRANGE(""https://docs.google.com/spreadsheets/d/14Bd19lYaqBhU8_DElYkX7l4wRkHqqCUFNJY4AfY3kHU/edit?usp=sharing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J7869" s="7" t="s">
        <v>20</v>
      </c>
    </row>
    <row r="7870" spans="1:10" ht="13.2">
      <c r="A7870" s="7">
        <v>7869</v>
      </c>
      <c r="B7870" s="7">
        <v>1</v>
      </c>
      <c r="C7870" s="7" t="s">
        <v>10</v>
      </c>
      <c r="D7870" s="7">
        <v>8792</v>
      </c>
      <c r="E7870" s="7" t="s">
        <v>12</v>
      </c>
      <c r="F7870" s="8" t="str">
        <f ca="1">IFERROR(__xludf.DUMMYFUNCTION("IF
(
C7871=""фізична особа""
,
VLOOKUP(D7871,IMPORTRANGE(""https://docs.google.com/spreadsheets/d/14Bd19lYaqBhU8_DElYkX7l4wRkHqqCUFNJY4AfY3kHU/edit?usp=sharing  #gid=0"",""фіз особи new!relations_name""),6,FALSE)
,
(IF
(
C7871=""юридична особа""
,
VLOOKUP"&amp;"(D7871,IMPORTRANGE(""https://docs.google.com/spreadsheets/d/14Bd19lYaqBhU8_DElYkX7l4wRkHqqCUFNJY4AfY3kHU/edit?usp=sharing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G7870" s="7" t="s">
        <v>10</v>
      </c>
      <c r="H7870" s="7">
        <v>23576</v>
      </c>
      <c r="I7870" s="8" t="str">
        <f ca="1">IFERROR(__xludf.DUMMYFUNCTION("IF
(
G7871=""фізична особа""
,
VLOOKUP(H7871,IMPORTRANGE(""https://docs.google.com/spreadsheets/d/14Bd19lYaqBhU8_DElYkX7l4wRkHqqCUFNJY4AfY3kHU/edit?usp=sharing  #gid=0"",""фіз особи new!relations_name""),6,FALSE)
,
(IF
(
G7871=""юридична особа""
,
VLOOKUP"&amp;"(H7871,IMPORTRANGE(""https://docs.google.com/spreadsheets/d/14Bd19lYaqBhU8_DElYkX7l4wRkHqqCUFNJY4AfY3kHU/edit?usp=sharing  #gid=0"",""фіз особи new!relations_name_uo""),7,FALSE)
,
)
))"),"БАЖАЕВ Мансур Мавлитович")</f>
        <v>БАЖАЕВ Мансур Мавлитович</v>
      </c>
      <c r="J7870" s="7" t="s">
        <v>17</v>
      </c>
    </row>
    <row r="7871" spans="1:10" ht="13.2">
      <c r="A7871" s="7">
        <v>7870</v>
      </c>
      <c r="B7871" s="7">
        <v>1</v>
      </c>
      <c r="C7871" s="7" t="s">
        <v>10</v>
      </c>
      <c r="D7871" s="7">
        <v>8793</v>
      </c>
      <c r="E7871" s="7" t="s">
        <v>18</v>
      </c>
      <c r="F7871" s="8" t="str">
        <f ca="1">IFERROR(__xludf.DUMMYFUNCTION("IF
(
C7872=""фізична особа""
,
VLOOKUP(D7872,IMPORTRANGE(""https://docs.google.com/spreadsheets/d/14Bd19lYaqBhU8_DElYkX7l4wRkHqqCUFNJY4AfY3kHU/edit?usp=sharing  #gid=0"",""фіз особи new!relations_name""),6,FALSE)
,
(IF
(
C7872=""юридична особа""
,
VLOOKUP"&amp;"(D7872,IMPORTRANGE(""https://docs.google.com/spreadsheets/d/14Bd19lYaqBhU8_DElYkX7l4wRkHqqCUFNJY4AfY3kHU/edit?usp=sharing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G7871" s="7" t="s">
        <v>10</v>
      </c>
      <c r="H7871" s="7">
        <v>8792</v>
      </c>
      <c r="I7871" s="8" t="str">
        <f ca="1">IFERROR(__xludf.DUMMYFUNCTION("IF
(
G7872=""фізична особа""
,
VLOOKUP(H7872,IMPORTRANGE(""https://docs.google.com/spreadsheets/d/14Bd19lYaqBhU8_DElYkX7l4wRkHqqCUFNJY4AfY3kHU/edit?usp=sharing  #gid=0"",""фіз особи new!relations_name""),6,FALSE)
,
(IF
(
G7872=""юридична особа""
,
VLOOKUP"&amp;"(H7872,IMPORTRANGE(""https://docs.google.com/spreadsheets/d/14Bd19lYaqBhU8_DElYkX7l4wRkHqqCUFNJY4AfY3kHU/edit?usp=sharing  #gid=0"",""фіз особи new!relations_name_uo""),7,FALSE)
,
)
))"),"БАЖАЄВ Мавліт Юсупович")</f>
        <v>БАЖАЄВ Мавліт Юсупович</v>
      </c>
      <c r="J7871" s="7" t="s">
        <v>18</v>
      </c>
    </row>
    <row r="7872" spans="1:10" ht="13.2">
      <c r="A7872" s="7">
        <v>7871</v>
      </c>
      <c r="B7872" s="7">
        <v>1</v>
      </c>
      <c r="C7872" s="7" t="s">
        <v>10</v>
      </c>
      <c r="D7872" s="7">
        <v>8793</v>
      </c>
      <c r="E7872" s="7" t="s">
        <v>18</v>
      </c>
      <c r="F7872" s="8" t="str">
        <f ca="1">IFERROR(__xludf.DUMMYFUNCTION("IF
(
C7873=""фізична особа""
,
VLOOKUP(D7873,IMPORTRANGE(""https://docs.google.com/spreadsheets/d/14Bd19lYaqBhU8_DElYkX7l4wRkHqqCUFNJY4AfY3kHU/edit?usp=sharing  #gid=0"",""фіз особи new!relations_name""),6,FALSE)
,
(IF
(
C7873=""юридична особа""
,
VLOOKUP"&amp;"(D7873,IMPORTRANGE(""https://docs.google.com/spreadsheets/d/14Bd19lYaqBhU8_DElYkX7l4wRkHqqCUFNJY4AfY3kHU/edit?usp=sharing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G7872" s="7" t="s">
        <v>10</v>
      </c>
      <c r="H7872" s="7">
        <v>4365</v>
      </c>
      <c r="I7872" s="8" t="str">
        <f ca="1">IFERROR(__xludf.DUMMYFUNCTION("IF
(
G7873=""фізична особа""
,
VLOOKUP(H7873,IMPORTRANGE(""https://docs.google.com/spreadsheets/d/14Bd19lYaqBhU8_DElYkX7l4wRkHqqCUFNJY4AfY3kHU/edit?usp=sharing  #gid=0"",""фіз особи new!relations_name""),6,FALSE)
,
(IF
(
G7873=""юридична особа""
,
VLOOKUP"&amp;"(H7873,IMPORTRANGE(""https://docs.google.com/spreadsheets/d/14Bd19lYaqBhU8_DElYkX7l4wRkHqqCUFNJY4AfY3kHU/edit?usp=sharing  #gid=0"",""фіз особи new!relations_name_uo""),7,FALSE)
,
)
))"),"БАЖАЄВ Муса Юсупович")</f>
        <v>БАЖАЄВ Муса Юсупович</v>
      </c>
      <c r="J7872" s="7" t="s">
        <v>18</v>
      </c>
    </row>
    <row r="7873" spans="1:10" ht="13.2">
      <c r="A7873" s="7">
        <v>7872</v>
      </c>
      <c r="B7873" s="7">
        <v>1</v>
      </c>
      <c r="C7873" s="7" t="s">
        <v>10</v>
      </c>
      <c r="D7873" s="7">
        <v>8793</v>
      </c>
      <c r="E7873" s="7" t="s">
        <v>19</v>
      </c>
      <c r="F7873" s="8" t="str">
        <f ca="1">IFERROR(__xludf.DUMMYFUNCTION("IF
(
C7874=""фізична особа""
,
VLOOKUP(D7874,IMPORTRANGE(""https://docs.google.com/spreadsheets/d/14Bd19lYaqBhU8_DElYkX7l4wRkHqqCUFNJY4AfY3kHU/edit?usp=sharing  #gid=0"",""фіз особи new!relations_name""),6,FALSE)
,
(IF
(
C7874=""юридична особа""
,
VLOOKUP"&amp;"(D7874,IMPORTRANGE(""https://docs.google.com/spreadsheets/d/14Bd19lYaqBhU8_DElYkX7l4wRkHqqCUFNJY4AfY3kHU/edit?usp=sharing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G7873" s="7" t="s">
        <v>10</v>
      </c>
      <c r="H7873" s="7">
        <v>8737</v>
      </c>
      <c r="I7873" s="8" t="str">
        <f ca="1">IFERROR(__xludf.DUMMYFUNCTION("IF
(
G7874=""фізична особа""
,
VLOOKUP(H7874,IMPORTRANGE(""https://docs.google.com/spreadsheets/d/14Bd19lYaqBhU8_DElYkX7l4wRkHqqCUFNJY4AfY3kHU/edit?usp=sharing  #gid=0"",""фіз особи new!relations_name""),6,FALSE)
,
(IF
(
G7874=""юридична особа""
,
VLOOKUP"&amp;"(H7874,IMPORTRANGE(""https://docs.google.com/spreadsheets/d/14Bd19lYaqBhU8_DElYkX7l4wRkHqqCUFNJY4AfY3kHU/edit?usp=sharing  #gid=0"",""фіз особи new!relations_name_uo""),7,FALSE)
,
)
))"),"БАЖАЄВ Дені Зіяудінович")</f>
        <v>БАЖАЄВ Дені Зіяудінович</v>
      </c>
      <c r="J7873" s="7" t="s">
        <v>20</v>
      </c>
    </row>
    <row r="7874" spans="1:10" ht="13.2">
      <c r="A7874" s="7">
        <v>7873</v>
      </c>
      <c r="B7874" s="7">
        <v>1</v>
      </c>
      <c r="C7874" s="7" t="s">
        <v>10</v>
      </c>
      <c r="D7874" s="7">
        <v>8793</v>
      </c>
      <c r="E7874" s="7" t="s">
        <v>19</v>
      </c>
      <c r="F7874" s="8" t="str">
        <f ca="1">IFERROR(__xludf.DUMMYFUNCTION("IF
(
C7875=""фізична особа""
,
VLOOKUP(D7875,IMPORTRANGE(""https://docs.google.com/spreadsheets/d/14Bd19lYaqBhU8_DElYkX7l4wRkHqqCUFNJY4AfY3kHU/edit?usp=sharing  #gid=0"",""фіз особи new!relations_name""),6,FALSE)
,
(IF
(
C7875=""юридична особа""
,
VLOOKUP"&amp;"(D7875,IMPORTRANGE(""https://docs.google.com/spreadsheets/d/14Bd19lYaqBhU8_DElYkX7l4wRkHqqCUFNJY4AfY3kHU/edit?usp=sharing  #gid=0"",""фіз особи new!relations_name_uo""),7,FALSE)
,
)
))"),"БАЖАЄВ Іса Юсупович")</f>
        <v>БАЖАЄВ Іса Юсупович</v>
      </c>
      <c r="G7874" s="7" t="s">
        <v>10</v>
      </c>
      <c r="H7874" s="7">
        <v>23576</v>
      </c>
      <c r="I7874" s="8" t="str">
        <f ca="1">IFERROR(__xludf.DUMMYFUNCTION("IF
(
G7875=""фізична особа""
,
VLOOKUP(H7875,IMPORTRANGE(""https://docs.google.com/spreadsheets/d/14Bd19lYaqBhU8_DElYkX7l4wRkHqqCUFNJY4AfY3kHU/edit?usp=sharing  #gid=0"",""фіз особи new!relations_name""),6,FALSE)
,
(IF
(
G7875=""юридична особа""
,
VLOOKUP"&amp;"(H7875,IMPORTRANGE(""https://docs.google.com/spreadsheets/d/14Bd19lYaqBhU8_DElYkX7l4wRkHqqCUFNJY4AfY3kHU/edit?usp=sharing  #gid=0"",""фіз особи new!relations_name_uo""),7,FALSE)
,
)
))"),"БАЖАЕВ Мансур Мавлитович")</f>
        <v>БАЖАЕВ Мансур Мавлитович</v>
      </c>
      <c r="J7874" s="7" t="s">
        <v>20</v>
      </c>
    </row>
    <row r="7875" spans="1:10" ht="13.2">
      <c r="A7875" s="7">
        <v>7874</v>
      </c>
      <c r="B7875" s="7">
        <v>1</v>
      </c>
      <c r="C7875" s="7" t="s">
        <v>10</v>
      </c>
      <c r="D7875" s="7">
        <v>8794</v>
      </c>
      <c r="E7875" s="7" t="s">
        <v>14</v>
      </c>
      <c r="F7875" s="8" t="str">
        <f ca="1">IFERROR(__xludf.DUMMYFUNCTION("IF
(
C7876=""фізична особа""
,
VLOOKUP(D7876,IMPORTRANGE(""https://docs.google.com/spreadsheets/d/14Bd19lYaqBhU8_DElYkX7l4wRkHqqCUFNJY4AfY3kHU/edit?usp=sharing  #gid=0"",""фіз особи new!relations_name""),6,FALSE)
,
(IF
(
C7876=""юридична особа""
,
VLOOKUP"&amp;"(D7876,IMPORTRANGE(""https://docs.google.com/spreadsheets/d/14Bd19lYaqBhU8_DElYkX7l4wRkHqqCUFNJY4AfY3kHU/edit?usp=sharing  #gid=0"",""фіз особи new!relations_name_uo""),7,FALSE)
,
)
))"),"МЕЙЕР Август Крістофер")</f>
        <v>МЕЙЕР Август Крістофер</v>
      </c>
      <c r="G7875" s="7" t="s">
        <v>10</v>
      </c>
      <c r="H7875" s="7">
        <v>8795</v>
      </c>
      <c r="I7875" s="8" t="str">
        <f ca="1">IFERROR(__xludf.DUMMYFUNCTION("IF
(
G7876=""фізична особа""
,
VLOOKUP(H7876,IMPORTRANGE(""https://docs.google.com/spreadsheets/d/14Bd19lYaqBhU8_DElYkX7l4wRkHqqCUFNJY4AfY3kHU/edit?usp=sharing  #gid=0"",""фіз особи new!relations_name""),6,FALSE)
,
(IF
(
G7876=""юридична особа""
,
VLOOKUP"&amp;"(H7876,IMPORTRANGE(""https://docs.google.com/spreadsheets/d/14Bd19lYaqBhU8_DElYkX7l4wRkHqqCUFNJY4AfY3kHU/edit?usp=sharing  #gid=0"",""фіз особи new!relations_name_uo""),7,FALSE)
,
)
))"),"МЕЙЄР Інна Олександрівна")</f>
        <v>МЕЙЄР Інна Олександрівна</v>
      </c>
      <c r="J7875" s="7" t="s">
        <v>15</v>
      </c>
    </row>
    <row r="7876" spans="1:10" ht="13.2">
      <c r="A7876" s="7">
        <v>7875</v>
      </c>
      <c r="B7876" s="7">
        <v>1</v>
      </c>
      <c r="C7876" s="7" t="s">
        <v>10</v>
      </c>
      <c r="D7876" s="7">
        <v>8795</v>
      </c>
      <c r="E7876" s="7" t="s">
        <v>15</v>
      </c>
      <c r="F7876" s="8" t="str">
        <f ca="1">IFERROR(__xludf.DUMMYFUNCTION("IF
(
C7877=""фізична особа""
,
VLOOKUP(D7877,IMPORTRANGE(""https://docs.google.com/spreadsheets/d/14Bd19lYaqBhU8_DElYkX7l4wRkHqqCUFNJY4AfY3kHU/edit?usp=sharing  #gid=0"",""фіз особи new!relations_name""),6,FALSE)
,
(IF
(
C7877=""юридична особа""
,
VLOOKUP"&amp;"(D7877,IMPORTRANGE(""https://docs.google.com/spreadsheets/d/14Bd19lYaqBhU8_DElYkX7l4wRkHqqCUFNJY4AfY3kHU/edit?usp=sharing  #gid=0"",""фіз особи new!relations_name_uo""),7,FALSE)
,
)
))"),"МЕЙЄР Інна Олександрівна")</f>
        <v>МЕЙЄР Інна Олександрівна</v>
      </c>
      <c r="G7876" s="7" t="s">
        <v>10</v>
      </c>
      <c r="H7876" s="7">
        <v>8794</v>
      </c>
      <c r="I7876" s="8" t="str">
        <f ca="1">IFERROR(__xludf.DUMMYFUNCTION("IF
(
G7877=""фізична особа""
,
VLOOKUP(H7877,IMPORTRANGE(""https://docs.google.com/spreadsheets/d/14Bd19lYaqBhU8_DElYkX7l4wRkHqqCUFNJY4AfY3kHU/edit?usp=sharing  #gid=0"",""фіз особи new!relations_name""),6,FALSE)
,
(IF
(
G7877=""юридична особа""
,
VLOOKUP"&amp;"(H7877,IMPORTRANGE(""https://docs.google.com/spreadsheets/d/14Bd19lYaqBhU8_DElYkX7l4wRkHqqCUFNJY4AfY3kHU/edit?usp=sharing  #gid=0"",""фіз особи new!relations_name_uo""),7,FALSE)
,
)
))"),"МЕЙЕР Август Крістофер")</f>
        <v>МЕЙЕР Август Крістофер</v>
      </c>
      <c r="J7876" s="7" t="s">
        <v>14</v>
      </c>
    </row>
    <row r="7877" spans="1:10" ht="13.2">
      <c r="A7877" s="7">
        <v>7876</v>
      </c>
      <c r="B7877" s="7">
        <v>1</v>
      </c>
      <c r="C7877" s="7" t="s">
        <v>10</v>
      </c>
      <c r="D7877" s="7">
        <v>8796</v>
      </c>
      <c r="E7877" s="7" t="s">
        <v>18</v>
      </c>
      <c r="F7877" s="8" t="str">
        <f ca="1">IFERROR(__xludf.DUMMYFUNCTION("IF
(
C7878=""фізична особа""
,
VLOOKUP(D7878,IMPORTRANGE(""https://docs.google.com/spreadsheets/d/14Bd19lYaqBhU8_DElYkX7l4wRkHqqCUFNJY4AfY3kHU/edit?usp=sharing  #gid=0"",""фіз особи new!relations_name""),6,FALSE)
,
(IF
(
C7878=""юридична особа""
,
VLOOKUP"&amp;"(D7878,IMPORTRANGE(""https://docs.google.com/spreadsheets/d/14Bd19lYaqBhU8_DElYkX7l4wRkHqqCUFNJY4AfY3kHU/edit?usp=sharing  #gid=0"",""фіз особи new!relations_name_uo""),7,FALSE)
,
)
))"),"ТИНКОВАН Олександр Анатолійович")</f>
        <v>ТИНКОВАН Олександр Анатолійович</v>
      </c>
      <c r="G7877" s="7" t="s">
        <v>10</v>
      </c>
      <c r="H7877" s="7">
        <v>8797</v>
      </c>
      <c r="I7877" s="8" t="str">
        <f ca="1">IFERROR(__xludf.DUMMYFUNCTION("IF
(
G7878=""фізична особа""
,
VLOOKUP(H7878,IMPORTRANGE(""https://docs.google.com/spreadsheets/d/14Bd19lYaqBhU8_DElYkX7l4wRkHqqCUFNJY4AfY3kHU/edit?usp=sharing  #gid=0"",""фіз особи new!relations_name""),6,FALSE)
,
(IF
(
G7878=""юридична особа""
,
VLOOKUP"&amp;"(H7878,IMPORTRANGE(""https://docs.google.com/spreadsheets/d/14Bd19lYaqBhU8_DElYkX7l4wRkHqqCUFNJY4AfY3kHU/edit?usp=sharing  #gid=0"",""фіз особи new!relations_name_uo""),7,FALSE)
,
)
))"),"ТИНКОВАН Михайло Анатолійович")</f>
        <v>ТИНКОВАН Михайло Анатолійович</v>
      </c>
      <c r="J7877" s="7" t="s">
        <v>18</v>
      </c>
    </row>
    <row r="7878" spans="1:10" ht="13.2">
      <c r="A7878" s="7">
        <v>7877</v>
      </c>
      <c r="B7878" s="7">
        <v>1</v>
      </c>
      <c r="C7878" s="7" t="s">
        <v>10</v>
      </c>
      <c r="D7878" s="7">
        <v>8797</v>
      </c>
      <c r="E7878" s="7" t="s">
        <v>18</v>
      </c>
      <c r="F7878" s="8" t="str">
        <f ca="1">IFERROR(__xludf.DUMMYFUNCTION("IF
(
C7879=""фізична особа""
,
VLOOKUP(D7879,IMPORTRANGE(""https://docs.google.com/spreadsheets/d/14Bd19lYaqBhU8_DElYkX7l4wRkHqqCUFNJY4AfY3kHU/edit?usp=sharing  #gid=0"",""фіз особи new!relations_name""),6,FALSE)
,
(IF
(
C7879=""юридична особа""
,
VLOOKUP"&amp;"(D7879,IMPORTRANGE(""https://docs.google.com/spreadsheets/d/14Bd19lYaqBhU8_DElYkX7l4wRkHqqCUFNJY4AfY3kHU/edit?usp=sharing  #gid=0"",""фіз особи new!relations_name_uo""),7,FALSE)
,
)
))"),"ТИНКОВАН Михайло Анатолійович")</f>
        <v>ТИНКОВАН Михайло Анатолійович</v>
      </c>
      <c r="G7878" s="7" t="s">
        <v>10</v>
      </c>
      <c r="H7878" s="7">
        <v>8796</v>
      </c>
      <c r="I7878" s="8" t="str">
        <f ca="1">IFERROR(__xludf.DUMMYFUNCTION("IF
(
G7879=""фізична особа""
,
VLOOKUP(H7879,IMPORTRANGE(""https://docs.google.com/spreadsheets/d/14Bd19lYaqBhU8_DElYkX7l4wRkHqqCUFNJY4AfY3kHU/edit?usp=sharing  #gid=0"",""фіз особи new!relations_name""),6,FALSE)
,
(IF
(
G7879=""юридична особа""
,
VLOOKUP"&amp;"(H7879,IMPORTRANGE(""https://docs.google.com/spreadsheets/d/14Bd19lYaqBhU8_DElYkX7l4wRkHqqCUFNJY4AfY3kHU/edit?usp=sharing  #gid=0"",""фіз особи new!relations_name_uo""),7,FALSE)
,
)
))"),"ТИНКОВАН Олександр Анатолійович")</f>
        <v>ТИНКОВАН Олександр Анатолійович</v>
      </c>
      <c r="J7878" s="7" t="s">
        <v>18</v>
      </c>
    </row>
    <row r="7879" spans="1:10" ht="13.2">
      <c r="A7879" s="7">
        <v>7878</v>
      </c>
      <c r="B7879" s="7">
        <v>1</v>
      </c>
      <c r="C7879" s="7" t="s">
        <v>10</v>
      </c>
      <c r="D7879" s="7">
        <v>8798</v>
      </c>
      <c r="E7879" s="7" t="s">
        <v>15</v>
      </c>
      <c r="F7879" s="8" t="str">
        <f ca="1">IFERROR(__xludf.DUMMYFUNCTION("IF
(
C7880=""фізична особа""
,
VLOOKUP(D7880,IMPORTRANGE(""https://docs.google.com/spreadsheets/d/14Bd19lYaqBhU8_DElYkX7l4wRkHqqCUFNJY4AfY3kHU/edit?usp=sharing  #gid=0"",""фіз особи new!relations_name""),6,FALSE)
,
(IF
(
C7880=""юридична особа""
,
VLOOKUP"&amp;"(D7880,IMPORTRANGE(""https://docs.google.com/spreadsheets/d/14Bd19lYaqBhU8_DElYkX7l4wRkHqqCUFNJY4AfY3kHU/edit?usp=sharing  #gid=0"",""фіз особи new!relations_name_uo""),7,FALSE)
,
)
))"),"ШНАЙДЕР Валентина Емануїлівна")</f>
        <v>ШНАЙДЕР Валентина Емануїлівна</v>
      </c>
      <c r="G7879" s="7" t="s">
        <v>10</v>
      </c>
      <c r="H7879" s="7">
        <v>8799</v>
      </c>
      <c r="I7879" s="8" t="str">
        <f ca="1">IFERROR(__xludf.DUMMYFUNCTION("IF
(
G7880=""фізична особа""
,
VLOOKUP(H7880,IMPORTRANGE(""https://docs.google.com/spreadsheets/d/14Bd19lYaqBhU8_DElYkX7l4wRkHqqCUFNJY4AfY3kHU/edit?usp=sharing  #gid=0"",""фіз особи new!relations_name""),6,FALSE)
,
(IF
(
G7880=""юридична особа""
,
VLOOKUP"&amp;"(H7880,IMPORTRANGE(""https://docs.google.com/spreadsheets/d/14Bd19lYaqBhU8_DElYkX7l4wRkHqqCUFNJY4AfY3kHU/edit?usp=sharing  #gid=0"",""фіз особи new!relations_name_uo""),7,FALSE)
,
)
))"),"ШНАЙДЕР Іван Іванович")</f>
        <v>ШНАЙДЕР Іван Іванович</v>
      </c>
      <c r="J7879" s="7" t="s">
        <v>14</v>
      </c>
    </row>
    <row r="7880" spans="1:10" ht="13.2">
      <c r="A7880" s="7">
        <v>7879</v>
      </c>
      <c r="B7880" s="7">
        <v>1</v>
      </c>
      <c r="C7880" s="7" t="s">
        <v>10</v>
      </c>
      <c r="D7880" s="7">
        <v>8798</v>
      </c>
      <c r="E7880" s="7" t="s">
        <v>21</v>
      </c>
      <c r="F7880" s="8" t="str">
        <f ca="1">IFERROR(__xludf.DUMMYFUNCTION("IF
(
C7881=""фізична особа""
,
VLOOKUP(D7881,IMPORTRANGE(""https://docs.google.com/spreadsheets/d/14Bd19lYaqBhU8_DElYkX7l4wRkHqqCUFNJY4AfY3kHU/edit?usp=sharing  #gid=0"",""фіз особи new!relations_name""),6,FALSE)
,
(IF
(
C7881=""юридична особа""
,
VLOOKUP"&amp;"(D7881,IMPORTRANGE(""https://docs.google.com/spreadsheets/d/14Bd19lYaqBhU8_DElYkX7l4wRkHqqCUFNJY4AfY3kHU/edit?usp=sharing  #gid=0"",""фіз особи new!relations_name_uo""),7,FALSE)
,
)
))"),"ШНАЙДЕР Валентина Емануїлівна")</f>
        <v>ШНАЙДЕР Валентина Емануїлівна</v>
      </c>
      <c r="G7880" s="7" t="s">
        <v>10</v>
      </c>
      <c r="H7880" s="7">
        <v>8800</v>
      </c>
      <c r="I7880" s="8" t="str">
        <f ca="1">IFERROR(__xludf.DUMMYFUNCTION("IF
(
G7881=""фізична особа""
,
VLOOKUP(H7881,IMPORTRANGE(""https://docs.google.com/spreadsheets/d/14Bd19lYaqBhU8_DElYkX7l4wRkHqqCUFNJY4AfY3kHU/edit?usp=sharing  #gid=0"",""фіз особи new!relations_name""),6,FALSE)
,
(IF
(
G7881=""юридична особа""
,
VLOOKUP"&amp;"(H7881,IMPORTRANGE(""https://docs.google.com/spreadsheets/d/14Bd19lYaqBhU8_DElYkX7l4wRkHqqCUFNJY4AfY3kHU/edit?usp=sharing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J7880" s="7" t="s">
        <v>17</v>
      </c>
    </row>
    <row r="7881" spans="1:10" ht="13.2">
      <c r="A7881" s="7">
        <v>7880</v>
      </c>
      <c r="B7881" s="7">
        <v>1</v>
      </c>
      <c r="C7881" s="7" t="s">
        <v>10</v>
      </c>
      <c r="D7881" s="7">
        <v>8798</v>
      </c>
      <c r="E7881" s="7" t="s">
        <v>21</v>
      </c>
      <c r="F7881" s="8" t="str">
        <f ca="1">IFERROR(__xludf.DUMMYFUNCTION("IF
(
C7882=""фізична особа""
,
VLOOKUP(D7882,IMPORTRANGE(""https://docs.google.com/spreadsheets/d/14Bd19lYaqBhU8_DElYkX7l4wRkHqqCUFNJY4AfY3kHU/edit?usp=sharing  #gid=0"",""фіз особи new!relations_name""),6,FALSE)
,
(IF
(
C7882=""юридична особа""
,
VLOOKUP"&amp;"(D7882,IMPORTRANGE(""https://docs.google.com/spreadsheets/d/14Bd19lYaqBhU8_DElYkX7l4wRkHqqCUFNJY4AfY3kHU/edit?usp=sharing  #gid=0"",""фіз особи new!relations_name_uo""),7,FALSE)
,
)
))"),"ШНАЙДЕР Валентина Емануїлівна")</f>
        <v>ШНАЙДЕР Валентина Емануїлівна</v>
      </c>
      <c r="G7881" s="7" t="s">
        <v>10</v>
      </c>
      <c r="H7881" s="7">
        <v>8801</v>
      </c>
      <c r="I7881" s="8" t="str">
        <f ca="1">IFERROR(__xludf.DUMMYFUNCTION("IF
(
G7882=""фізична особа""
,
VLOOKUP(H7882,IMPORTRANGE(""https://docs.google.com/spreadsheets/d/14Bd19lYaqBhU8_DElYkX7l4wRkHqqCUFNJY4AfY3kHU/edit?usp=sharing  #gid=0"",""фіз особи new!relations_name""),6,FALSE)
,
(IF
(
G7882=""юридична особа""
,
VLOOKUP"&amp;"(H7882,IMPORTRANGE(""https://docs.google.com/spreadsheets/d/14Bd19lYaqBhU8_DElYkX7l4wRkHqqCUFNJY4AfY3kHU/edit?usp=sharing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J7881" s="7" t="s">
        <v>17</v>
      </c>
    </row>
    <row r="7882" spans="1:10" ht="13.2">
      <c r="A7882" s="7">
        <v>7881</v>
      </c>
      <c r="B7882" s="7">
        <v>1</v>
      </c>
      <c r="C7882" s="7" t="s">
        <v>10</v>
      </c>
      <c r="D7882" s="7">
        <v>8799</v>
      </c>
      <c r="E7882" s="7" t="s">
        <v>14</v>
      </c>
      <c r="F7882" s="8" t="str">
        <f ca="1">IFERROR(__xludf.DUMMYFUNCTION("IF
(
C7883=""фізична особа""
,
VLOOKUP(D7883,IMPORTRANGE(""https://docs.google.com/spreadsheets/d/14Bd19lYaqBhU8_DElYkX7l4wRkHqqCUFNJY4AfY3kHU/edit?usp=sharing  #gid=0"",""фіз особи new!relations_name""),6,FALSE)
,
(IF
(
C7883=""юридична особа""
,
VLOOKUP"&amp;"(D7883,IMPORTRANGE(""https://docs.google.com/spreadsheets/d/14Bd19lYaqBhU8_DElYkX7l4wRkHqqCUFNJY4AfY3kHU/edit?usp=sharing  #gid=0"",""фіз особи new!relations_name_uo""),7,FALSE)
,
)
))"),"ШНАЙДЕР Іван Іванович")</f>
        <v>ШНАЙДЕР Іван Іванович</v>
      </c>
      <c r="G7882" s="7" t="s">
        <v>10</v>
      </c>
      <c r="H7882" s="7">
        <v>8798</v>
      </c>
      <c r="I7882" s="8" t="str">
        <f ca="1">IFERROR(__xludf.DUMMYFUNCTION("IF
(
G7883=""фізична особа""
,
VLOOKUP(H7883,IMPORTRANGE(""https://docs.google.com/spreadsheets/d/14Bd19lYaqBhU8_DElYkX7l4wRkHqqCUFNJY4AfY3kHU/edit?usp=sharing  #gid=0"",""фіз особи new!relations_name""),6,FALSE)
,
(IF
(
G7883=""юридична особа""
,
VLOOKUP"&amp;"(H7883,IMPORTRANGE(""https://docs.google.com/spreadsheets/d/14Bd19lYaqBhU8_DElYkX7l4wRkHqqCUFNJY4AfY3kHU/edit?usp=sharing  #gid=0"",""фіз особи new!relations_name_uo""),7,FALSE)
,
)
))"),"ШНАЙДЕР Валентина Емануїлівна")</f>
        <v>ШНАЙДЕР Валентина Емануїлівна</v>
      </c>
      <c r="J7882" s="7" t="s">
        <v>15</v>
      </c>
    </row>
    <row r="7883" spans="1:10" ht="13.2">
      <c r="A7883" s="7">
        <v>7882</v>
      </c>
      <c r="B7883" s="7">
        <v>1</v>
      </c>
      <c r="C7883" s="7" t="s">
        <v>10</v>
      </c>
      <c r="D7883" s="7">
        <v>8799</v>
      </c>
      <c r="E7883" s="7" t="s">
        <v>12</v>
      </c>
      <c r="F7883" s="8" t="str">
        <f ca="1">IFERROR(__xludf.DUMMYFUNCTION("IF
(
C7884=""фізична особа""
,
VLOOKUP(D7884,IMPORTRANGE(""https://docs.google.com/spreadsheets/d/14Bd19lYaqBhU8_DElYkX7l4wRkHqqCUFNJY4AfY3kHU/edit?usp=sharing  #gid=0"",""фіз особи new!relations_name""),6,FALSE)
,
(IF
(
C7884=""юридична особа""
,
VLOOKUP"&amp;"(D7884,IMPORTRANGE(""https://docs.google.com/spreadsheets/d/14Bd19lYaqBhU8_DElYkX7l4wRkHqqCUFNJY4AfY3kHU/edit?usp=sharing  #gid=0"",""фіз особи new!relations_name_uo""),7,FALSE)
,
)
))"),"ШНАЙДЕР Іван Іванович")</f>
        <v>ШНАЙДЕР Іван Іванович</v>
      </c>
      <c r="G7883" s="7" t="s">
        <v>10</v>
      </c>
      <c r="H7883" s="7">
        <v>8800</v>
      </c>
      <c r="I7883" s="8" t="str">
        <f ca="1">IFERROR(__xludf.DUMMYFUNCTION("IF
(
G7884=""фізична особа""
,
VLOOKUP(H7884,IMPORTRANGE(""https://docs.google.com/spreadsheets/d/14Bd19lYaqBhU8_DElYkX7l4wRkHqqCUFNJY4AfY3kHU/edit?usp=sharing  #gid=0"",""фіз особи new!relations_name""),6,FALSE)
,
(IF
(
G7884=""юридична особа""
,
VLOOKUP"&amp;"(H7884,IMPORTRANGE(""https://docs.google.com/spreadsheets/d/14Bd19lYaqBhU8_DElYkX7l4wRkHqqCUFNJY4AfY3kHU/edit?usp=sharing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J7883" s="7" t="s">
        <v>17</v>
      </c>
    </row>
    <row r="7884" spans="1:10" ht="13.2">
      <c r="A7884" s="7">
        <v>7883</v>
      </c>
      <c r="B7884" s="7">
        <v>1</v>
      </c>
      <c r="C7884" s="7" t="s">
        <v>10</v>
      </c>
      <c r="D7884" s="7">
        <v>8799</v>
      </c>
      <c r="E7884" s="7" t="s">
        <v>12</v>
      </c>
      <c r="F7884" s="8" t="str">
        <f ca="1">IFERROR(__xludf.DUMMYFUNCTION("IF
(
C7885=""фізична особа""
,
VLOOKUP(D7885,IMPORTRANGE(""https://docs.google.com/spreadsheets/d/14Bd19lYaqBhU8_DElYkX7l4wRkHqqCUFNJY4AfY3kHU/edit?usp=sharing  #gid=0"",""фіз особи new!relations_name""),6,FALSE)
,
(IF
(
C7885=""юридична особа""
,
VLOOKUP"&amp;"(D7885,IMPORTRANGE(""https://docs.google.com/spreadsheets/d/14Bd19lYaqBhU8_DElYkX7l4wRkHqqCUFNJY4AfY3kHU/edit?usp=sharing  #gid=0"",""фіз особи new!relations_name_uo""),7,FALSE)
,
)
))"),"ШНАЙДЕР Іван Іванович")</f>
        <v>ШНАЙДЕР Іван Іванович</v>
      </c>
      <c r="G7884" s="7" t="s">
        <v>10</v>
      </c>
      <c r="H7884" s="7">
        <v>8801</v>
      </c>
      <c r="I7884" s="8" t="str">
        <f ca="1">IFERROR(__xludf.DUMMYFUNCTION("IF
(
G7885=""фізична особа""
,
VLOOKUP(H7885,IMPORTRANGE(""https://docs.google.com/spreadsheets/d/14Bd19lYaqBhU8_DElYkX7l4wRkHqqCUFNJY4AfY3kHU/edit?usp=sharing  #gid=0"",""фіз особи new!relations_name""),6,FALSE)
,
(IF
(
G7885=""юридична особа""
,
VLOOKUP"&amp;"(H7885,IMPORTRANGE(""https://docs.google.com/spreadsheets/d/14Bd19lYaqBhU8_DElYkX7l4wRkHqqCUFNJY4AfY3kHU/edit?usp=sharing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J7884" s="7" t="s">
        <v>17</v>
      </c>
    </row>
    <row r="7885" spans="1:10" ht="13.2">
      <c r="A7885" s="7">
        <v>7884</v>
      </c>
      <c r="B7885" s="7">
        <v>1</v>
      </c>
      <c r="C7885" s="7" t="s">
        <v>10</v>
      </c>
      <c r="D7885" s="7">
        <v>8800</v>
      </c>
      <c r="E7885" s="7" t="s">
        <v>17</v>
      </c>
      <c r="F7885" s="8" t="str">
        <f ca="1">IFERROR(__xludf.DUMMYFUNCTION("IF
(
C7886=""фізична особа""
,
VLOOKUP(D7886,IMPORTRANGE(""https://docs.google.com/spreadsheets/d/14Bd19lYaqBhU8_DElYkX7l4wRkHqqCUFNJY4AfY3kHU/edit?usp=sharing  #gid=0"",""фіз особи new!relations_name""),6,FALSE)
,
(IF
(
C7886=""юридична особа""
,
VLOOKUP"&amp;"(D7886,IMPORTRANGE(""https://docs.google.com/spreadsheets/d/14Bd19lYaqBhU8_DElYkX7l4wRkHqqCUFNJY4AfY3kHU/edit?usp=sharing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G7885" s="7" t="s">
        <v>10</v>
      </c>
      <c r="H7885" s="7">
        <v>7998</v>
      </c>
      <c r="I7885" s="8" t="str">
        <f ca="1">IFERROR(__xludf.DUMMYFUNCTION("IF
(
G7886=""фізична особа""
,
VLOOKUP(H7886,IMPORTRANGE(""https://docs.google.com/spreadsheets/d/14Bd19lYaqBhU8_DElYkX7l4wRkHqqCUFNJY4AfY3kHU/edit?usp=sharing  #gid=0"",""фіз особи new!relations_name""),6,FALSE)
,
(IF
(
G7886=""юридична особа""
,
VLOOKUP"&amp;"(H7886,IMPORTRANGE(""https://docs.google.com/spreadsheets/d/14Bd19lYaqBhU8_DElYkX7l4wRkHqqCUFNJY4AfY3kHU/edit?usp=sharing  #gid=0"",""фіз особи new!relations_name_uo""),7,FALSE)
,
)
))"),"ШУРУНГОВ Олексій Антонович")</f>
        <v>ШУРУНГОВ Олексій Антонович</v>
      </c>
      <c r="J7885" s="7" t="s">
        <v>21</v>
      </c>
    </row>
    <row r="7886" spans="1:10" ht="13.2">
      <c r="A7886" s="7">
        <v>7885</v>
      </c>
      <c r="B7886" s="7">
        <v>1</v>
      </c>
      <c r="C7886" s="7" t="s">
        <v>10</v>
      </c>
      <c r="D7886" s="7">
        <v>8800</v>
      </c>
      <c r="E7886" s="7" t="s">
        <v>17</v>
      </c>
      <c r="F7886" s="8" t="str">
        <f ca="1">IFERROR(__xludf.DUMMYFUNCTION("IF
(
C7887=""фізична особа""
,
VLOOKUP(D7887,IMPORTRANGE(""https://docs.google.com/spreadsheets/d/14Bd19lYaqBhU8_DElYkX7l4wRkHqqCUFNJY4AfY3kHU/edit?usp=sharing  #gid=0"",""фіз особи new!relations_name""),6,FALSE)
,
(IF
(
C7887=""юридична особа""
,
VLOOKUP"&amp;"(D7887,IMPORTRANGE(""https://docs.google.com/spreadsheets/d/14Bd19lYaqBhU8_DElYkX7l4wRkHqqCUFNJY4AfY3kHU/edit?usp=sharing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G7886" s="7" t="s">
        <v>10</v>
      </c>
      <c r="H7886" s="7">
        <v>7999</v>
      </c>
      <c r="I7886" s="8" t="str">
        <f ca="1">IFERROR(__xludf.DUMMYFUNCTION("IF
(
G7887=""фізична особа""
,
VLOOKUP(H7887,IMPORTRANGE(""https://docs.google.com/spreadsheets/d/14Bd19lYaqBhU8_DElYkX7l4wRkHqqCUFNJY4AfY3kHU/edit?usp=sharing  #gid=0"",""фіз особи new!relations_name""),6,FALSE)
,
(IF
(
G7887=""юридична особа""
,
VLOOKUP"&amp;"(H7887,IMPORTRANGE(""https://docs.google.com/spreadsheets/d/14Bd19lYaqBhU8_DElYkX7l4wRkHqqCUFNJY4AfY3kHU/edit?usp=sharing  #gid=0"",""фіз особи new!relations_name_uo""),7,FALSE)
,
)
))"),"ТУРИГІН Михайло Петрович")</f>
        <v>ТУРИГІН Михайло Петрович</v>
      </c>
      <c r="J7886" s="7" t="s">
        <v>12</v>
      </c>
    </row>
    <row r="7887" spans="1:10" ht="13.2">
      <c r="A7887" s="7">
        <v>7886</v>
      </c>
      <c r="B7887" s="7">
        <v>1</v>
      </c>
      <c r="C7887" s="7" t="s">
        <v>10</v>
      </c>
      <c r="D7887" s="7">
        <v>8800</v>
      </c>
      <c r="E7887" s="7" t="s">
        <v>18</v>
      </c>
      <c r="F7887" s="8" t="str">
        <f ca="1">IFERROR(__xludf.DUMMYFUNCTION("IF
(
C7888=""фізична особа""
,
VLOOKUP(D7888,IMPORTRANGE(""https://docs.google.com/spreadsheets/d/14Bd19lYaqBhU8_DElYkX7l4wRkHqqCUFNJY4AfY3kHU/edit?usp=sharing  #gid=0"",""фіз особи new!relations_name""),6,FALSE)
,
(IF
(
C7888=""юридична особа""
,
VLOOKUP"&amp;"(D7888,IMPORTRANGE(""https://docs.google.com/spreadsheets/d/14Bd19lYaqBhU8_DElYkX7l4wRkHqqCUFNJY4AfY3kHU/edit?usp=sharing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G7887" s="7" t="s">
        <v>10</v>
      </c>
      <c r="H7887" s="7">
        <v>8801</v>
      </c>
      <c r="I7887" s="8" t="str">
        <f ca="1">IFERROR(__xludf.DUMMYFUNCTION("IF
(
G7888=""фізична особа""
,
VLOOKUP(H7888,IMPORTRANGE(""https://docs.google.com/spreadsheets/d/14Bd19lYaqBhU8_DElYkX7l4wRkHqqCUFNJY4AfY3kHU/edit?usp=sharing  #gid=0"",""фіз особи new!relations_name""),6,FALSE)
,
(IF
(
G7888=""юридична особа""
,
VLOOKUP"&amp;"(H7888,IMPORTRANGE(""https://docs.google.com/spreadsheets/d/14Bd19lYaqBhU8_DElYkX7l4wRkHqqCUFNJY4AfY3kHU/edit?usp=sharing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J7887" s="7" t="s">
        <v>18</v>
      </c>
    </row>
    <row r="7888" spans="1:10" ht="13.2">
      <c r="A7888" s="7">
        <v>7887</v>
      </c>
      <c r="B7888" s="7">
        <v>1</v>
      </c>
      <c r="C7888" s="7" t="s">
        <v>10</v>
      </c>
      <c r="D7888" s="7">
        <v>8801</v>
      </c>
      <c r="E7888" s="7" t="s">
        <v>17</v>
      </c>
      <c r="F7888" s="8" t="str">
        <f ca="1">IFERROR(__xludf.DUMMYFUNCTION("IF
(
C7889=""фізична особа""
,
VLOOKUP(D7889,IMPORTRANGE(""https://docs.google.com/spreadsheets/d/14Bd19lYaqBhU8_DElYkX7l4wRkHqqCUFNJY4AfY3kHU/edit?usp=sharing  #gid=0"",""фіз особи new!relations_name""),6,FALSE)
,
(IF
(
C7889=""юридична особа""
,
VLOOKUP"&amp;"(D7889,IMPORTRANGE(""https://docs.google.com/spreadsheets/d/14Bd19lYaqBhU8_DElYkX7l4wRkHqqCUFNJY4AfY3kHU/edit?usp=sharing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G7888" s="7" t="s">
        <v>10</v>
      </c>
      <c r="H7888" s="7">
        <v>7998</v>
      </c>
      <c r="I7888" s="8" t="str">
        <f ca="1">IFERROR(__xludf.DUMMYFUNCTION("IF
(
G7889=""фізична особа""
,
VLOOKUP(H7889,IMPORTRANGE(""https://docs.google.com/spreadsheets/d/14Bd19lYaqBhU8_DElYkX7l4wRkHqqCUFNJY4AfY3kHU/edit?usp=sharing  #gid=0"",""фіз особи new!relations_name""),6,FALSE)
,
(IF
(
G7889=""юридична особа""
,
VLOOKUP"&amp;"(H7889,IMPORTRANGE(""https://docs.google.com/spreadsheets/d/14Bd19lYaqBhU8_DElYkX7l4wRkHqqCUFNJY4AfY3kHU/edit?usp=sharing  #gid=0"",""фіз особи new!relations_name_uo""),7,FALSE)
,
)
))"),"ШУРУНГОВ Олексій Антонович")</f>
        <v>ШУРУНГОВ Олексій Антонович</v>
      </c>
      <c r="J7888" s="7" t="s">
        <v>21</v>
      </c>
    </row>
    <row r="7889" spans="1:10" ht="13.2">
      <c r="A7889" s="7">
        <v>7888</v>
      </c>
      <c r="B7889" s="7">
        <v>1</v>
      </c>
      <c r="C7889" s="7" t="s">
        <v>10</v>
      </c>
      <c r="D7889" s="7">
        <v>8801</v>
      </c>
      <c r="E7889" s="7" t="s">
        <v>17</v>
      </c>
      <c r="F7889" s="8" t="str">
        <f ca="1">IFERROR(__xludf.DUMMYFUNCTION("IF
(
C7890=""фізична особа""
,
VLOOKUP(D7890,IMPORTRANGE(""https://docs.google.com/spreadsheets/d/14Bd19lYaqBhU8_DElYkX7l4wRkHqqCUFNJY4AfY3kHU/edit?usp=sharing  #gid=0"",""фіз особи new!relations_name""),6,FALSE)
,
(IF
(
C7890=""юридична особа""
,
VLOOKUP"&amp;"(D7890,IMPORTRANGE(""https://docs.google.com/spreadsheets/d/14Bd19lYaqBhU8_DElYkX7l4wRkHqqCUFNJY4AfY3kHU/edit?usp=sharing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G7889" s="7" t="s">
        <v>10</v>
      </c>
      <c r="H7889" s="7">
        <v>7999</v>
      </c>
      <c r="I7889" s="8" t="str">
        <f ca="1">IFERROR(__xludf.DUMMYFUNCTION("IF
(
G7890=""фізична особа""
,
VLOOKUP(H7890,IMPORTRANGE(""https://docs.google.com/spreadsheets/d/14Bd19lYaqBhU8_DElYkX7l4wRkHqqCUFNJY4AfY3kHU/edit?usp=sharing  #gid=0"",""фіз особи new!relations_name""),6,FALSE)
,
(IF
(
G7890=""юридична особа""
,
VLOOKUP"&amp;"(H7890,IMPORTRANGE(""https://docs.google.com/spreadsheets/d/14Bd19lYaqBhU8_DElYkX7l4wRkHqqCUFNJY4AfY3kHU/edit?usp=sharing  #gid=0"",""фіз особи new!relations_name_uo""),7,FALSE)
,
)
))"),"ТУРИГІН Михайло Петрович")</f>
        <v>ТУРИГІН Михайло Петрович</v>
      </c>
      <c r="J7889" s="7" t="s">
        <v>12</v>
      </c>
    </row>
    <row r="7890" spans="1:10" ht="13.2">
      <c r="A7890" s="7">
        <v>7889</v>
      </c>
      <c r="B7890" s="7">
        <v>1</v>
      </c>
      <c r="C7890" s="7" t="s">
        <v>10</v>
      </c>
      <c r="D7890" s="7">
        <v>8801</v>
      </c>
      <c r="E7890" s="7" t="s">
        <v>18</v>
      </c>
      <c r="F7890" s="8" t="str">
        <f ca="1">IFERROR(__xludf.DUMMYFUNCTION("IF
(
C7891=""фізична особа""
,
VLOOKUP(D7891,IMPORTRANGE(""https://docs.google.com/spreadsheets/d/14Bd19lYaqBhU8_DElYkX7l4wRkHqqCUFNJY4AfY3kHU/edit?usp=sharing  #gid=0"",""фіз особи new!relations_name""),6,FALSE)
,
(IF
(
C7891=""юридична особа""
,
VLOOKUP"&amp;"(D7891,IMPORTRANGE(""https://docs.google.com/spreadsheets/d/14Bd19lYaqBhU8_DElYkX7l4wRkHqqCUFNJY4AfY3kHU/edit?usp=sharing  #gid=0"",""фіз особи new!relations_name_uo""),7,FALSE)
,
)
))"),"ШНАЙДЕР Сергій Іванович")</f>
        <v>ШНАЙДЕР Сергій Іванович</v>
      </c>
      <c r="G7890" s="7" t="s">
        <v>10</v>
      </c>
      <c r="H7890" s="7">
        <v>8800</v>
      </c>
      <c r="I7890" s="8" t="str">
        <f ca="1">IFERROR(__xludf.DUMMYFUNCTION("IF
(
G7891=""фізична особа""
,
VLOOKUP(H7891,IMPORTRANGE(""https://docs.google.com/spreadsheets/d/14Bd19lYaqBhU8_DElYkX7l4wRkHqqCUFNJY4AfY3kHU/edit?usp=sharing  #gid=0"",""фіз особи new!relations_name""),6,FALSE)
,
(IF
(
G7891=""юридична особа""
,
VLOOKUP"&amp;"(H7891,IMPORTRANGE(""https://docs.google.com/spreadsheets/d/14Bd19lYaqBhU8_DElYkX7l4wRkHqqCUFNJY4AfY3kHU/edit?usp=sharing  #gid=0"",""фіз особи new!relations_name_uo""),7,FALSE)
,
)
))"),"ШНАЙДЕР Андрій Іванович")</f>
        <v>ШНАЙДЕР Андрій Іванович</v>
      </c>
      <c r="J7890" s="7" t="s">
        <v>18</v>
      </c>
    </row>
    <row r="7891" spans="1:10" ht="13.2">
      <c r="A7891" s="7">
        <v>7890</v>
      </c>
      <c r="B7891" s="7">
        <v>1</v>
      </c>
      <c r="C7891" s="7" t="s">
        <v>10</v>
      </c>
      <c r="D7891" s="7">
        <v>8802</v>
      </c>
      <c r="E7891" s="7" t="s">
        <v>12</v>
      </c>
      <c r="F7891" s="8" t="str">
        <f ca="1">IFERROR(__xludf.DUMMYFUNCTION("IF
(
C7892=""фізична особа""
,
VLOOKUP(D7892,IMPORTRANGE(""https://docs.google.com/spreadsheets/d/14Bd19lYaqBhU8_DElYkX7l4wRkHqqCUFNJY4AfY3kHU/edit?usp=sharing  #gid=0"",""фіз особи new!relations_name""),6,FALSE)
,
(IF
(
C7892=""юридична особа""
,
VLOOKUP"&amp;"(D7892,IMPORTRANGE(""https://docs.google.com/spreadsheets/d/14Bd19lYaqBhU8_DElYkX7l4wRkHqqCUFNJY4AfY3kHU/edit?usp=sharing  #gid=0"",""фіз особи new!relations_name_uo""),7,FALSE)
,
)
))"),"ШТЕНГЕЛОВ Денис Миколайович")</f>
        <v>ШТЕНГЕЛОВ Денис Миколайович</v>
      </c>
      <c r="G7891" s="7" t="s">
        <v>10</v>
      </c>
      <c r="H7891" s="7">
        <v>0</v>
      </c>
      <c r="I7891" s="8" t="str">
        <f ca="1">IFERROR(__xludf.DUMMYFUNCTION("IF
(
G7892=""фізична особа""
,
VLOOKUP(H7892,IMPORTRANGE(""https://docs.google.com/spreadsheets/d/14Bd19lYaqBhU8_DElYkX7l4wRkHqqCUFNJY4AfY3kHU/edit?usp=sharing  #gid=0"",""фіз особи new!relations_name""),6,FALSE)
,
(IF
(
G7892=""юридична особа""
,
VLOOKUP"&amp;"(H7892,IMPORTRANGE(""https://docs.google.com/spreadsheets/d/14Bd19lYaqBhU8_DElYkX7l4wRkHqqCUFNJY4AfY3kHU/edit?usp=sharing  #gid=0"",""фіз особи new!relations_name_uo""),7,FALSE)
,
)
))"),"#N/A")</f>
        <v>#N/A</v>
      </c>
      <c r="J7891" s="7" t="s">
        <v>17</v>
      </c>
    </row>
    <row r="7892" spans="1:10" ht="13.2">
      <c r="A7892" s="7">
        <v>7891</v>
      </c>
      <c r="B7892" s="7">
        <v>1</v>
      </c>
      <c r="C7892" s="7" t="s">
        <v>10</v>
      </c>
      <c r="D7892" s="7">
        <v>8802</v>
      </c>
      <c r="E7892" s="7" t="s">
        <v>12</v>
      </c>
      <c r="F7892" s="8" t="str">
        <f ca="1">IFERROR(__xludf.DUMMYFUNCTION("IF
(
C7893=""фізична особа""
,
VLOOKUP(D7893,IMPORTRANGE(""https://docs.google.com/spreadsheets/d/14Bd19lYaqBhU8_DElYkX7l4wRkHqqCUFNJY4AfY3kHU/edit?usp=sharing  #gid=0"",""фіз особи new!relations_name""),6,FALSE)
,
(IF
(
C7893=""юридична особа""
,
VLOOKUP"&amp;"(D7893,IMPORTRANGE(""https://docs.google.com/spreadsheets/d/14Bd19lYaqBhU8_DElYkX7l4wRkHqqCUFNJY4AfY3kHU/edit?usp=sharing  #gid=0"",""фіз особи new!relations_name_uo""),7,FALSE)
,
)
))"),"ШТЕНГЕЛОВ Денис Миколайович")</f>
        <v>ШТЕНГЕЛОВ Денис Миколайович</v>
      </c>
      <c r="G7892" s="7" t="s">
        <v>10</v>
      </c>
      <c r="H7892" s="7">
        <v>0</v>
      </c>
      <c r="I7892" s="8" t="str">
        <f ca="1">IFERROR(__xludf.DUMMYFUNCTION("IF
(
G7893=""фізична особа""
,
VLOOKUP(H7893,IMPORTRANGE(""https://docs.google.com/spreadsheets/d/14Bd19lYaqBhU8_DElYkX7l4wRkHqqCUFNJY4AfY3kHU/edit?usp=sharing  #gid=0"",""фіз особи new!relations_name""),6,FALSE)
,
(IF
(
G7893=""юридична особа""
,
VLOOKUP"&amp;"(H7893,IMPORTRANGE(""https://docs.google.com/spreadsheets/d/14Bd19lYaqBhU8_DElYkX7l4wRkHqqCUFNJY4AfY3kHU/edit?usp=sharing  #gid=0"",""фіз особи new!relations_name_uo""),7,FALSE)
,
)
))"),"#N/A")</f>
        <v>#N/A</v>
      </c>
      <c r="J7892" s="7" t="s">
        <v>17</v>
      </c>
    </row>
    <row r="7893" spans="1:10" ht="13.2">
      <c r="A7893" s="7">
        <v>7892</v>
      </c>
      <c r="B7893" s="7">
        <v>1</v>
      </c>
      <c r="C7893" s="7" t="s">
        <v>10</v>
      </c>
      <c r="D7893" s="7">
        <v>8803</v>
      </c>
      <c r="E7893" s="7" t="s">
        <v>21</v>
      </c>
      <c r="F7893" s="8" t="str">
        <f ca="1">IFERROR(__xludf.DUMMYFUNCTION("IF
(
C7894=""фізична особа""
,
VLOOKUP(D7894,IMPORTRANGE(""https://docs.google.com/spreadsheets/d/14Bd19lYaqBhU8_DElYkX7l4wRkHqqCUFNJY4AfY3kHU/edit?usp=sharing  #gid=0"",""фіз особи new!relations_name""),6,FALSE)
,
(IF
(
C7894=""юридична особа""
,
VLOOKUP"&amp;"(D7894,IMPORTRANGE(""https://docs.google.com/spreadsheets/d/14Bd19lYaqBhU8_DElYkX7l4wRkHqqCUFNJY4AfY3kHU/edit?usp=sharing  #gid=0"",""фіз особи new!relations_name_uo""),7,FALSE)
,
)
))"),"БЄЛЯВЦЕВА Ольга Олексіївна")</f>
        <v>БЄЛЯВЦЕВА Ольга Олексіївна</v>
      </c>
      <c r="G7893" s="7" t="s">
        <v>10</v>
      </c>
      <c r="H7893" s="7">
        <v>0</v>
      </c>
      <c r="I7893" s="8" t="str">
        <f ca="1">IFERROR(__xludf.DUMMYFUNCTION("IF
(
G7894=""фізична особа""
,
VLOOKUP(H7894,IMPORTRANGE(""https://docs.google.com/spreadsheets/d/14Bd19lYaqBhU8_DElYkX7l4wRkHqqCUFNJY4AfY3kHU/edit?usp=sharing  #gid=0"",""фіз особи new!relations_name""),6,FALSE)
,
(IF
(
G7894=""юридична особа""
,
VLOOKUP"&amp;"(H7894,IMPORTRANGE(""https://docs.google.com/spreadsheets/d/14Bd19lYaqBhU8_DElYkX7l4wRkHqqCUFNJY4AfY3kHU/edit?usp=sharing  #gid=0"",""фіз особи new!relations_name_uo""),7,FALSE)
,
)
))"),"#N/A")</f>
        <v>#N/A</v>
      </c>
      <c r="J7893" s="7" t="s">
        <v>17</v>
      </c>
    </row>
    <row r="7894" spans="1:10" ht="13.2">
      <c r="A7894" s="7">
        <v>7893</v>
      </c>
      <c r="B7894" s="7">
        <v>1</v>
      </c>
      <c r="C7894" s="7" t="s">
        <v>10</v>
      </c>
      <c r="D7894" s="7">
        <v>8803</v>
      </c>
      <c r="E7894" s="7" t="s">
        <v>21</v>
      </c>
      <c r="F7894" s="8" t="str">
        <f ca="1">IFERROR(__xludf.DUMMYFUNCTION("IF
(
C7895=""фізична особа""
,
VLOOKUP(D7895,IMPORTRANGE(""https://docs.google.com/spreadsheets/d/14Bd19lYaqBhU8_DElYkX7l4wRkHqqCUFNJY4AfY3kHU/edit?usp=sharing  #gid=0"",""фіз особи new!relations_name""),6,FALSE)
,
(IF
(
C7895=""юридична особа""
,
VLOOKUP"&amp;"(D7895,IMPORTRANGE(""https://docs.google.com/spreadsheets/d/14Bd19lYaqBhU8_DElYkX7l4wRkHqqCUFNJY4AfY3kHU/edit?usp=sharing  #gid=0"",""фіз особи new!relations_name_uo""),7,FALSE)
,
)
))"),"БЄЛЯВЦЕВА Ольга Олексіївна")</f>
        <v>БЄЛЯВЦЕВА Ольга Олексіївна</v>
      </c>
      <c r="G7894" s="7" t="s">
        <v>10</v>
      </c>
      <c r="H7894" s="7">
        <v>0</v>
      </c>
      <c r="I7894" s="8" t="str">
        <f ca="1">IFERROR(__xludf.DUMMYFUNCTION("IF
(
G7895=""фізична особа""
,
VLOOKUP(H7895,IMPORTRANGE(""https://docs.google.com/spreadsheets/d/14Bd19lYaqBhU8_DElYkX7l4wRkHqqCUFNJY4AfY3kHU/edit?usp=sharing  #gid=0"",""фіз особи new!relations_name""),6,FALSE)
,
(IF
(
G7895=""юридична особа""
,
VLOOKUP"&amp;"(H7895,IMPORTRANGE(""https://docs.google.com/spreadsheets/d/14Bd19lYaqBhU8_DElYkX7l4wRkHqqCUFNJY4AfY3kHU/edit?usp=sharing  #gid=0"",""фіз особи new!relations_name_uo""),7,FALSE)
,
)
))"),"#N/A")</f>
        <v>#N/A</v>
      </c>
      <c r="J7894" s="7" t="s">
        <v>17</v>
      </c>
    </row>
    <row r="7895" spans="1:10" ht="13.2">
      <c r="A7895" s="7">
        <v>7894</v>
      </c>
      <c r="B7895" s="7">
        <v>1</v>
      </c>
      <c r="C7895" s="7" t="s">
        <v>10</v>
      </c>
      <c r="D7895" s="7">
        <v>8803</v>
      </c>
      <c r="E7895" s="7" t="s">
        <v>15</v>
      </c>
      <c r="F7895" s="8" t="str">
        <f ca="1">IFERROR(__xludf.DUMMYFUNCTION("IF
(
C7896=""фізична особа""
,
VLOOKUP(D7896,IMPORTRANGE(""https://docs.google.com/spreadsheets/d/14Bd19lYaqBhU8_DElYkX7l4wRkHqqCUFNJY4AfY3kHU/edit?usp=sharing  #gid=0"",""фіз особи new!relations_name""),6,FALSE)
,
(IF
(
C7896=""юридична особа""
,
VLOOKUP"&amp;"(D7896,IMPORTRANGE(""https://docs.google.com/spreadsheets/d/14Bd19lYaqBhU8_DElYkX7l4wRkHqqCUFNJY4AfY3kHU/edit?usp=sharing  #gid=0"",""фіз особи new!relations_name_uo""),7,FALSE)
,
)
))"),"БЄЛЯВЦЕВА Ольга Олексіївна")</f>
        <v>БЄЛЯВЦЕВА Ольга Олексіївна</v>
      </c>
      <c r="G7895" s="7" t="s">
        <v>10</v>
      </c>
      <c r="H7895" s="7">
        <v>8804</v>
      </c>
      <c r="I7895" s="8" t="str">
        <f ca="1">IFERROR(__xludf.DUMMYFUNCTION("IF
(
G7896=""фізична особа""
,
VLOOKUP(H7896,IMPORTRANGE(""https://docs.google.com/spreadsheets/d/14Bd19lYaqBhU8_DElYkX7l4wRkHqqCUFNJY4AfY3kHU/edit?usp=sharing  #gid=0"",""фіз особи new!relations_name""),6,FALSE)
,
(IF
(
G7896=""юридична особа""
,
VLOOKUP"&amp;"(H7896,IMPORTRANGE(""https://docs.google.com/spreadsheets/d/14Bd19lYaqBhU8_DElYkX7l4wRkHqqCUFNJY4AfY3kHU/edit?usp=sharing  #gid=0"",""фіз особи new!relations_name_uo""),7,FALSE)
,
)
))"),"МІЗАЄВ Віса Нохаєвич")</f>
        <v>МІЗАЄВ Віса Нохаєвич</v>
      </c>
      <c r="J7895" s="7" t="s">
        <v>14</v>
      </c>
    </row>
    <row r="7896" spans="1:10" ht="13.2">
      <c r="A7896" s="7">
        <v>7895</v>
      </c>
      <c r="B7896" s="7">
        <v>1</v>
      </c>
      <c r="C7896" s="7" t="s">
        <v>10</v>
      </c>
      <c r="D7896" s="7">
        <v>8804</v>
      </c>
      <c r="E7896" s="7" t="s">
        <v>14</v>
      </c>
      <c r="F7896" s="8" t="str">
        <f ca="1">IFERROR(__xludf.DUMMYFUNCTION("IF
(
C7897=""фізична особа""
,
VLOOKUP(D7897,IMPORTRANGE(""https://docs.google.com/spreadsheets/d/14Bd19lYaqBhU8_DElYkX7l4wRkHqqCUFNJY4AfY3kHU/edit?usp=sharing  #gid=0"",""фіз особи new!relations_name""),6,FALSE)
,
(IF
(
C7897=""юридична особа""
,
VLOOKUP"&amp;"(D7897,IMPORTRANGE(""https://docs.google.com/spreadsheets/d/14Bd19lYaqBhU8_DElYkX7l4wRkHqqCUFNJY4AfY3kHU/edit?usp=sharing  #gid=0"",""фіз особи new!relations_name_uo""),7,FALSE)
,
)
))"),"МІЗАЄВ Віса Нохаєвич")</f>
        <v>МІЗАЄВ Віса Нохаєвич</v>
      </c>
      <c r="G7896" s="7" t="s">
        <v>10</v>
      </c>
      <c r="H7896" s="7">
        <v>8803</v>
      </c>
      <c r="I7896" s="8" t="str">
        <f ca="1">IFERROR(__xludf.DUMMYFUNCTION("IF
(
G7897=""фізична особа""
,
VLOOKUP(H7897,IMPORTRANGE(""https://docs.google.com/spreadsheets/d/14Bd19lYaqBhU8_DElYkX7l4wRkHqqCUFNJY4AfY3kHU/edit?usp=sharing  #gid=0"",""фіз особи new!relations_name""),6,FALSE)
,
(IF
(
G7897=""юридична особа""
,
VLOOKUP"&amp;"(H7897,IMPORTRANGE(""https://docs.google.com/spreadsheets/d/14Bd19lYaqBhU8_DElYkX7l4wRkHqqCUFNJY4AfY3kHU/edit?usp=sharing  #gid=0"",""фіз особи new!relations_name_uo""),7,FALSE)
,
)
))"),"БЄЛЯВЦЕВА Ольга Олексіївна")</f>
        <v>БЄЛЯВЦЕВА Ольга Олексіївна</v>
      </c>
      <c r="J7896" s="7" t="s">
        <v>15</v>
      </c>
    </row>
    <row r="7897" spans="1:10" ht="13.2">
      <c r="A7897" s="7">
        <v>7896</v>
      </c>
      <c r="B7897" s="7">
        <v>1</v>
      </c>
      <c r="C7897" s="7" t="s">
        <v>10</v>
      </c>
      <c r="D7897" s="7">
        <v>8804</v>
      </c>
      <c r="E7897" s="7" t="s">
        <v>12</v>
      </c>
      <c r="F7897" s="8" t="str">
        <f ca="1">IFERROR(__xludf.DUMMYFUNCTION("IF
(
C7898=""фізична особа""
,
VLOOKUP(D7898,IMPORTRANGE(""https://docs.google.com/spreadsheets/d/14Bd19lYaqBhU8_DElYkX7l4wRkHqqCUFNJY4AfY3kHU/edit?usp=sharing  #gid=0"",""фіз особи new!relations_name""),6,FALSE)
,
(IF
(
C7898=""юридична особа""
,
VLOOKUP"&amp;"(D7898,IMPORTRANGE(""https://docs.google.com/spreadsheets/d/14Bd19lYaqBhU8_DElYkX7l4wRkHqqCUFNJY4AfY3kHU/edit?usp=sharing  #gid=0"",""фіз особи new!relations_name_uo""),7,FALSE)
,
)
))"),"МІЗАЄВ Віса Нохаєвич")</f>
        <v>МІЗАЄВ Віса Нохаєвич</v>
      </c>
      <c r="G7897" s="7" t="s">
        <v>10</v>
      </c>
      <c r="H7897" s="7">
        <v>0</v>
      </c>
      <c r="I7897" s="8" t="str">
        <f ca="1">IFERROR(__xludf.DUMMYFUNCTION("IF
(
G7898=""фізична особа""
,
VLOOKUP(H7898,IMPORTRANGE(""https://docs.google.com/spreadsheets/d/14Bd19lYaqBhU8_DElYkX7l4wRkHqqCUFNJY4AfY3kHU/edit?usp=sharing  #gid=0"",""фіз особи new!relations_name""),6,FALSE)
,
(IF
(
G7898=""юридична особа""
,
VLOOKUP"&amp;"(H7898,IMPORTRANGE(""https://docs.google.com/spreadsheets/d/14Bd19lYaqBhU8_DElYkX7l4wRkHqqCUFNJY4AfY3kHU/edit?usp=sharing  #gid=0"",""фіз особи new!relations_name_uo""),7,FALSE)
,
)
))"),"#N/A")</f>
        <v>#N/A</v>
      </c>
      <c r="J7897" s="7" t="s">
        <v>17</v>
      </c>
    </row>
    <row r="7898" spans="1:10" ht="13.2">
      <c r="A7898" s="7">
        <v>7897</v>
      </c>
      <c r="B7898" s="7">
        <v>1</v>
      </c>
      <c r="C7898" s="7" t="s">
        <v>10</v>
      </c>
      <c r="D7898" s="7">
        <v>8806</v>
      </c>
      <c r="E7898" s="7" t="s">
        <v>13</v>
      </c>
      <c r="F7898" s="8" t="str">
        <f ca="1">IFERROR(__xludf.DUMMYFUNCTION("IF
(
C7899=""фізична особа""
,
VLOOKUP(D7899,IMPORTRANGE(""https://docs.google.com/spreadsheets/d/14Bd19lYaqBhU8_DElYkX7l4wRkHqqCUFNJY4AfY3kHU/edit?usp=sharing  #gid=0"",""фіз особи new!relations_name""),6,FALSE)
,
(IF
(
C7899=""юридична особа""
,
VLOOKUP"&amp;"(D7899,IMPORTRANGE(""https://docs.google.com/spreadsheets/d/14Bd19lYaqBhU8_DElYkX7l4wRkHqqCUFNJY4AfY3kHU/edit?usp=sharing  #gid=0"",""фіз особи new!relations_name_uo""),7,FALSE)
,
)
))"),"МІХЕЛЬСОН Вікторія Леонідівна")</f>
        <v>МІХЕЛЬСОН Вікторія Леонідівна</v>
      </c>
      <c r="G7898" s="7" t="s">
        <v>10</v>
      </c>
      <c r="H7898" s="7">
        <v>2024</v>
      </c>
      <c r="I7898" s="8" t="str">
        <f ca="1">IFERROR(__xludf.DUMMYFUNCTION("IF
(
G7899=""фізична особа""
,
VLOOKUP(H7899,IMPORTRANGE(""https://docs.google.com/spreadsheets/d/14Bd19lYaqBhU8_DElYkX7l4wRkHqqCUFNJY4AfY3kHU/edit?usp=sharing  #gid=0"",""фіз особи new!relations_name""),6,FALSE)
,
(IF
(
G7899=""юридична особа""
,
VLOOKUP"&amp;"(H7899,IMPORTRANGE(""https://docs.google.com/spreadsheets/d/14Bd19lYaqBhU8_DElYkX7l4wRkHqqCUFNJY4AfY3kHU/edit?usp=sharing  #gid=0"",""фіз особи new!relations_name_uo""),7,FALSE)
,
)
))"),"МІХЕЛЬСОН Леонід Вікторович")</f>
        <v>МІХЕЛЬСОН Леонід Вікторович</v>
      </c>
      <c r="J7898" s="7" t="s">
        <v>12</v>
      </c>
    </row>
    <row r="7899" spans="1:10" ht="13.2">
      <c r="A7899" s="7">
        <v>7898</v>
      </c>
      <c r="B7899" s="7">
        <v>1</v>
      </c>
      <c r="C7899" s="7" t="s">
        <v>10</v>
      </c>
      <c r="D7899" s="7">
        <v>8808</v>
      </c>
      <c r="E7899" s="7" t="s">
        <v>15</v>
      </c>
      <c r="F7899" s="8" t="str">
        <f ca="1">IFERROR(__xludf.DUMMYFUNCTION("IF
(
C7900=""фізична особа""
,
VLOOKUP(D7900,IMPORTRANGE(""https://docs.google.com/spreadsheets/d/14Bd19lYaqBhU8_DElYkX7l4wRkHqqCUFNJY4AfY3kHU/edit?usp=sharing  #gid=0"",""фіз особи new!relations_name""),6,FALSE)
,
(IF
(
C7900=""юридична особа""
,
VLOOKUP"&amp;"(D7900,IMPORTRANGE(""https://docs.google.com/spreadsheets/d/14Bd19lYaqBhU8_DElYkX7l4wRkHqqCUFNJY4AfY3kHU/edit?usp=sharing  #gid=0"",""фіз особи new!relations_name_uo""),7,FALSE)
,
)
))"),"ПОТАНІНА Катерина")</f>
        <v>ПОТАНІНА Катерина</v>
      </c>
      <c r="G7899" s="7" t="s">
        <v>10</v>
      </c>
      <c r="H7899" s="7">
        <v>2172</v>
      </c>
      <c r="I7899" s="8" t="str">
        <f ca="1">IFERROR(__xludf.DUMMYFUNCTION("IF
(
G7900=""фізична особа""
,
VLOOKUP(H7900,IMPORTRANGE(""https://docs.google.com/spreadsheets/d/14Bd19lYaqBhU8_DElYkX7l4wRkHqqCUFNJY4AfY3kHU/edit?usp=sharing  #gid=0"",""фіз особи new!relations_name""),6,FALSE)
,
(IF
(
G7900=""юридична особа""
,
VLOOKUP"&amp;"(H7900,IMPORTRANGE(""https://docs.google.com/spreadsheets/d/14Bd19lYaqBhU8_DElYkX7l4wRkHqqCUFNJY4AfY3kHU/edit?usp=sharing  #gid=0"",""фіз особи new!relations_name_uo""),7,FALSE)
,
)
))"),"ПОТАНІН Володимир Олегович")</f>
        <v>ПОТАНІН Володимир Олегович</v>
      </c>
      <c r="J7899" s="7" t="s">
        <v>14</v>
      </c>
    </row>
    <row r="7900" spans="1:10" ht="13.2">
      <c r="A7900" s="7">
        <v>7899</v>
      </c>
      <c r="B7900" s="7">
        <v>1</v>
      </c>
      <c r="C7900" s="7" t="s">
        <v>10</v>
      </c>
      <c r="D7900" s="7">
        <v>8809</v>
      </c>
      <c r="E7900" s="7" t="s">
        <v>15</v>
      </c>
      <c r="F7900" s="8" t="str">
        <f ca="1">IFERROR(__xludf.DUMMYFUNCTION("IF
(
C7901=""фізична особа""
,
VLOOKUP(D7901,IMPORTRANGE(""https://docs.google.com/spreadsheets/d/14Bd19lYaqBhU8_DElYkX7l4wRkHqqCUFNJY4AfY3kHU/edit?usp=sharing  #gid=0"",""фіз особи new!relations_name""),6,FALSE)
,
(IF
(
C7901=""юридична особа""
,
VLOOKUP"&amp;"(D7901,IMPORTRANGE(""https://docs.google.com/spreadsheets/d/14Bd19lYaqBhU8_DElYkX7l4wRkHqqCUFNJY4AfY3kHU/edit?usp=sharing  #gid=0"",""фіз особи new!relations_name_uo""),7,FALSE)
,
)
))"),"ЛІСІНА Людмила")</f>
        <v>ЛІСІНА Людмила</v>
      </c>
      <c r="G7900" s="7" t="s">
        <v>10</v>
      </c>
      <c r="H7900" s="7">
        <v>2174</v>
      </c>
      <c r="I7900" s="8" t="str">
        <f ca="1">IFERROR(__xludf.DUMMYFUNCTION("IF
(
G7901=""фізична особа""
,
VLOOKUP(H7901,IMPORTRANGE(""https://docs.google.com/spreadsheets/d/14Bd19lYaqBhU8_DElYkX7l4wRkHqqCUFNJY4AfY3kHU/edit?usp=sharing  #gid=0"",""фіз особи new!relations_name""),6,FALSE)
,
(IF
(
G7901=""юридична особа""
,
VLOOKUP"&amp;"(H7901,IMPORTRANGE(""https://docs.google.com/spreadsheets/d/14Bd19lYaqBhU8_DElYkX7l4wRkHqqCUFNJY4AfY3kHU/edit?usp=sharing  #gid=0"",""фіз особи new!relations_name_uo""),7,FALSE)
,
)
))"),"ЛІСІН Володимир Сергійович")</f>
        <v>ЛІСІН Володимир Сергійович</v>
      </c>
      <c r="J7900" s="7" t="s">
        <v>14</v>
      </c>
    </row>
    <row r="7901" spans="1:10" ht="13.2">
      <c r="A7901" s="7">
        <v>7900</v>
      </c>
      <c r="B7901" s="7">
        <v>1</v>
      </c>
      <c r="C7901" s="7" t="s">
        <v>10</v>
      </c>
      <c r="D7901" s="7">
        <v>8810</v>
      </c>
      <c r="E7901" s="7" t="s">
        <v>17</v>
      </c>
      <c r="F7901" s="8" t="str">
        <f ca="1">IFERROR(__xludf.DUMMYFUNCTION("IF
(
C7902=""фізична особа""
,
VLOOKUP(D7902,IMPORTRANGE(""https://docs.google.com/spreadsheets/d/14Bd19lYaqBhU8_DElYkX7l4wRkHqqCUFNJY4AfY3kHU/edit?usp=sharing  #gid=0"",""фіз особи new!relations_name""),6,FALSE)
,
(IF
(
C7902=""юридична особа""
,
VLOOKUP"&amp;"(D7902,IMPORTRANGE(""https://docs.google.com/spreadsheets/d/14Bd19lYaqBhU8_DElYkX7l4wRkHqqCUFNJY4AfY3kHU/edit?usp=sharing  #gid=0"",""фіз особи new!relations_name_uo""),7,FALSE)
,
)
))"),"ЛІСІН Дмитро Володимирович")</f>
        <v>ЛІСІН Дмитро Володимирович</v>
      </c>
      <c r="G7901" s="7" t="s">
        <v>10</v>
      </c>
      <c r="H7901" s="7">
        <v>2174</v>
      </c>
      <c r="I7901" s="8" t="str">
        <f ca="1">IFERROR(__xludf.DUMMYFUNCTION("IF
(
G7902=""фізична особа""
,
VLOOKUP(H7902,IMPORTRANGE(""https://docs.google.com/spreadsheets/d/14Bd19lYaqBhU8_DElYkX7l4wRkHqqCUFNJY4AfY3kHU/edit?usp=sharing  #gid=0"",""фіз особи new!relations_name""),6,FALSE)
,
(IF
(
G7902=""юридична особа""
,
VLOOKUP"&amp;"(H7902,IMPORTRANGE(""https://docs.google.com/spreadsheets/d/14Bd19lYaqBhU8_DElYkX7l4wRkHqqCUFNJY4AfY3kHU/edit?usp=sharing  #gid=0"",""фіз особи new!relations_name_uo""),7,FALSE)
,
)
))"),"ЛІСІН Володимир Сергійович")</f>
        <v>ЛІСІН Володимир Сергійович</v>
      </c>
      <c r="J7901" s="7" t="s">
        <v>12</v>
      </c>
    </row>
    <row r="7902" spans="1:10" ht="13.2">
      <c r="A7902" s="7">
        <v>7901</v>
      </c>
      <c r="B7902" s="7">
        <v>1</v>
      </c>
      <c r="C7902" s="7" t="s">
        <v>10</v>
      </c>
      <c r="D7902" s="7">
        <v>8811</v>
      </c>
      <c r="E7902" s="7" t="s">
        <v>14</v>
      </c>
      <c r="F7902" s="8" t="str">
        <f ca="1">IFERROR(__xludf.DUMMYFUNCTION("IF
(
C7903=""фізична особа""
,
VLOOKUP(D7903,IMPORTRANGE(""https://docs.google.com/spreadsheets/d/14Bd19lYaqBhU8_DElYkX7l4wRkHqqCUFNJY4AfY3kHU/edit?usp=sharing  #gid=0"",""фіз особи new!relations_name""),6,FALSE)
,
(IF
(
C7903=""юридична особа""
,
VLOOKUP"&amp;"(D7903,IMPORTRANGE(""https://docs.google.com/spreadsheets/d/14Bd19lYaqBhU8_DElYkX7l4wRkHqqCUFNJY4AfY3kHU/edit?usp=sharing  #gid=0"",""фіз особи new!relations_name_uo""),7,FALSE)
,
)
))"),"БАКАЛЬЧУК Владислав Сергійович")</f>
        <v>БАКАЛЬЧУК Владислав Сергійович</v>
      </c>
      <c r="G7902" s="7" t="s">
        <v>10</v>
      </c>
      <c r="H7902" s="7">
        <v>1443</v>
      </c>
      <c r="I7902" s="8" t="str">
        <f ca="1">IFERROR(__xludf.DUMMYFUNCTION("IF
(
G7903=""фізична особа""
,
VLOOKUP(H7903,IMPORTRANGE(""https://docs.google.com/spreadsheets/d/14Bd19lYaqBhU8_DElYkX7l4wRkHqqCUFNJY4AfY3kHU/edit?usp=sharing  #gid=0"",""фіз особи new!relations_name""),6,FALSE)
,
(IF
(
G7903=""юридична особа""
,
VLOOKUP"&amp;"(H7903,IMPORTRANGE(""https://docs.google.com/spreadsheets/d/14Bd19lYaqBhU8_DElYkX7l4wRkHqqCUFNJY4AfY3kHU/edit?usp=sharing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7902" s="7" t="s">
        <v>15</v>
      </c>
    </row>
    <row r="7903" spans="1:10" ht="13.2">
      <c r="A7903" s="7">
        <v>7902</v>
      </c>
      <c r="B7903" s="7">
        <v>1</v>
      </c>
      <c r="C7903" s="7" t="s">
        <v>10</v>
      </c>
      <c r="D7903" s="7">
        <v>8812</v>
      </c>
      <c r="E7903" s="7" t="s">
        <v>14</v>
      </c>
      <c r="F7903" s="8" t="str">
        <f ca="1">IFERROR(__xludf.DUMMYFUNCTION("IF
(
C7904=""фізична особа""
,
VLOOKUP(D7904,IMPORTRANGE(""https://docs.google.com/spreadsheets/d/14Bd19lYaqBhU8_DElYkX7l4wRkHqqCUFNJY4AfY3kHU/edit?usp=sharing  #gid=0"",""фіз особи new!relations_name""),6,FALSE)
,
(IF
(
C7904=""юридична особа""
,
VLOOKUP"&amp;"(D7904,IMPORTRANGE(""https://docs.google.com/spreadsheets/d/14Bd19lYaqBhU8_DElYkX7l4wRkHqqCUFNJY4AfY3kHU/edit?usp=sharing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G7903" s="7" t="s">
        <v>10</v>
      </c>
      <c r="H7903" s="7">
        <v>8835</v>
      </c>
      <c r="I7903" s="8" t="str">
        <f ca="1">IFERROR(__xludf.DUMMYFUNCTION("IF
(
G7904=""фізична особа""
,
VLOOKUP(H7904,IMPORTRANGE(""https://docs.google.com/spreadsheets/d/14Bd19lYaqBhU8_DElYkX7l4wRkHqqCUFNJY4AfY3kHU/edit?usp=sharing  #gid=0"",""фіз особи new!relations_name""),6,FALSE)
,
(IF
(
G7904=""юридична особа""
,
VLOOKUP"&amp;"(H7904,IMPORTRANGE(""https://docs.google.com/spreadsheets/d/14Bd19lYaqBhU8_DElYkX7l4wRkHqqCUFNJY4AfY3kHU/edit?usp=sharing  #gid=0"",""фіз особи new!relations_name_uo""),7,FALSE)
,
)
))"),"МАЩИЦЬКА Ірина Вікторівна")</f>
        <v>МАЩИЦЬКА Ірина Вікторівна</v>
      </c>
      <c r="J7903" s="7" t="s">
        <v>15</v>
      </c>
    </row>
    <row r="7904" spans="1:10" ht="13.2">
      <c r="A7904" s="7">
        <v>7903</v>
      </c>
      <c r="B7904" s="7">
        <v>1</v>
      </c>
      <c r="C7904" s="7" t="s">
        <v>10</v>
      </c>
      <c r="D7904" s="7">
        <v>8812</v>
      </c>
      <c r="E7904" s="7" t="s">
        <v>12</v>
      </c>
      <c r="F7904" s="8" t="str">
        <f ca="1">IFERROR(__xludf.DUMMYFUNCTION("IF
(
C7905=""фізична особа""
,
VLOOKUP(D7905,IMPORTRANGE(""https://docs.google.com/spreadsheets/d/14Bd19lYaqBhU8_DElYkX7l4wRkHqqCUFNJY4AfY3kHU/edit?usp=sharing  #gid=0"",""фіз особи new!relations_name""),6,FALSE)
,
(IF
(
C7905=""юридична особа""
,
VLOOKUP"&amp;"(D7905,IMPORTRANGE(""https://docs.google.com/spreadsheets/d/14Bd19lYaqBhU8_DElYkX7l4wRkHqqCUFNJY4AfY3kHU/edit?usp=sharing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G7904" s="7" t="s">
        <v>10</v>
      </c>
      <c r="H7904" s="7">
        <v>8814</v>
      </c>
      <c r="I7904" s="8" t="str">
        <f ca="1">IFERROR(__xludf.DUMMYFUNCTION("IF
(
G7905=""фізична особа""
,
VLOOKUP(H7905,IMPORTRANGE(""https://docs.google.com/spreadsheets/d/14Bd19lYaqBhU8_DElYkX7l4wRkHqqCUFNJY4AfY3kHU/edit?usp=sharing  #gid=0"",""фіз особи new!relations_name""),6,FALSE)
,
(IF
(
G7905=""юридична особа""
,
VLOOKUP"&amp;"(H7905,IMPORTRANGE(""https://docs.google.com/spreadsheets/d/14Bd19lYaqBhU8_DElYkX7l4wRkHqqCUFNJY4AfY3kHU/edit?usp=sharing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J7904" s="7" t="s">
        <v>17</v>
      </c>
    </row>
    <row r="7905" spans="1:10" ht="13.2">
      <c r="A7905" s="7">
        <v>7904</v>
      </c>
      <c r="B7905" s="7">
        <v>1</v>
      </c>
      <c r="C7905" s="7" t="s">
        <v>10</v>
      </c>
      <c r="D7905" s="7">
        <v>8812</v>
      </c>
      <c r="E7905" s="7" t="s">
        <v>12</v>
      </c>
      <c r="F7905" s="8" t="str">
        <f ca="1">IFERROR(__xludf.DUMMYFUNCTION("IF
(
C7906=""фізична особа""
,
VLOOKUP(D7906,IMPORTRANGE(""https://docs.google.com/spreadsheets/d/14Bd19lYaqBhU8_DElYkX7l4wRkHqqCUFNJY4AfY3kHU/edit?usp=sharing  #gid=0"",""фіз особи new!relations_name""),6,FALSE)
,
(IF
(
C7906=""юридична особа""
,
VLOOKUP"&amp;"(D7906,IMPORTRANGE(""https://docs.google.com/spreadsheets/d/14Bd19lYaqBhU8_DElYkX7l4wRkHqqCUFNJY4AfY3kHU/edit?usp=sharing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G7905" s="7" t="s">
        <v>10</v>
      </c>
      <c r="H7905" s="7">
        <v>8813</v>
      </c>
      <c r="I7905" s="8" t="str">
        <f ca="1">IFERROR(__xludf.DUMMYFUNCTION("IF
(
G7906=""фізична особа""
,
VLOOKUP(H7906,IMPORTRANGE(""https://docs.google.com/spreadsheets/d/14Bd19lYaqBhU8_DElYkX7l4wRkHqqCUFNJY4AfY3kHU/edit?usp=sharing  #gid=0"",""фіз особи new!relations_name""),6,FALSE)
,
(IF
(
G7906=""юридична особа""
,
VLOOKUP"&amp;"(H7906,IMPORTRANGE(""https://docs.google.com/spreadsheets/d/14Bd19lYaqBhU8_DElYkX7l4wRkHqqCUFNJY4AfY3kHU/edit?usp=sharing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J7905" s="7" t="s">
        <v>17</v>
      </c>
    </row>
    <row r="7906" spans="1:10" ht="13.2">
      <c r="A7906" s="7">
        <v>7905</v>
      </c>
      <c r="B7906" s="7">
        <v>1</v>
      </c>
      <c r="C7906" s="7" t="s">
        <v>10</v>
      </c>
      <c r="D7906" s="7">
        <v>8813</v>
      </c>
      <c r="E7906" s="7" t="s">
        <v>17</v>
      </c>
      <c r="F7906" s="8" t="str">
        <f ca="1">IFERROR(__xludf.DUMMYFUNCTION("IF
(
C7907=""фізична особа""
,
VLOOKUP(D7907,IMPORTRANGE(""https://docs.google.com/spreadsheets/d/14Bd19lYaqBhU8_DElYkX7l4wRkHqqCUFNJY4AfY3kHU/edit?usp=sharing  #gid=0"",""фіз особи new!relations_name""),6,FALSE)
,
(IF
(
C7907=""юридична особа""
,
VLOOKUP"&amp;"(D7907,IMPORTRANGE(""https://docs.google.com/spreadsheets/d/14Bd19lYaqBhU8_DElYkX7l4wRkHqqCUFNJY4AfY3kHU/edit?usp=sharing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G7906" s="7" t="s">
        <v>10</v>
      </c>
      <c r="H7906" s="7">
        <v>8812</v>
      </c>
      <c r="I7906" s="8" t="str">
        <f ca="1">IFERROR(__xludf.DUMMYFUNCTION("IF
(
G7907=""фізична особа""
,
VLOOKUP(H7907,IMPORTRANGE(""https://docs.google.com/spreadsheets/d/14Bd19lYaqBhU8_DElYkX7l4wRkHqqCUFNJY4AfY3kHU/edit?usp=sharing  #gid=0"",""фіз особи new!relations_name""),6,FALSE)
,
(IF
(
G7907=""юридична особа""
,
VLOOKUP"&amp;"(H7907,IMPORTRANGE(""https://docs.google.com/spreadsheets/d/14Bd19lYaqBhU8_DElYkX7l4wRkHqqCUFNJY4AfY3kHU/edit?usp=sharing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J7906" s="7" t="s">
        <v>12</v>
      </c>
    </row>
    <row r="7907" spans="1:10" ht="13.2">
      <c r="A7907" s="7">
        <v>7906</v>
      </c>
      <c r="B7907" s="7">
        <v>1</v>
      </c>
      <c r="C7907" s="7" t="s">
        <v>10</v>
      </c>
      <c r="D7907" s="7">
        <v>8813</v>
      </c>
      <c r="E7907" s="7" t="s">
        <v>14</v>
      </c>
      <c r="F7907" s="8" t="str">
        <f ca="1">IFERROR(__xludf.DUMMYFUNCTION("IF
(
C7908=""фізична особа""
,
VLOOKUP(D7908,IMPORTRANGE(""https://docs.google.com/spreadsheets/d/14Bd19lYaqBhU8_DElYkX7l4wRkHqqCUFNJY4AfY3kHU/edit?usp=sharing  #gid=0"",""фіз особи new!relations_name""),6,FALSE)
,
(IF
(
C7908=""юридична особа""
,
VLOOKUP"&amp;"(D7908,IMPORTRANGE(""https://docs.google.com/spreadsheets/d/14Bd19lYaqBhU8_DElYkX7l4wRkHqqCUFNJY4AfY3kHU/edit?usp=sharing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G7907" s="7" t="s">
        <v>10</v>
      </c>
      <c r="H7907" s="7">
        <v>23577</v>
      </c>
      <c r="I7907" s="8" t="str">
        <f ca="1">IFERROR(__xludf.DUMMYFUNCTION("IF
(
G7908=""фізична особа""
,
VLOOKUP(H7908,IMPORTRANGE(""https://docs.google.com/spreadsheets/d/14Bd19lYaqBhU8_DElYkX7l4wRkHqqCUFNJY4AfY3kHU/edit?usp=sharing  #gid=0"",""фіз особи new!relations_name""),6,FALSE)
,
(IF
(
G7908=""юридична особа""
,
VLOOKUP"&amp;"(H7908,IMPORTRANGE(""https://docs.google.com/spreadsheets/d/14Bd19lYaqBhU8_DElYkX7l4wRkHqqCUFNJY4AfY3kHU/edit?usp=sharing  #gid=0"",""фіз особи new!relations_name_uo""),7,FALSE)
,
)
))"),"НІГМАТУЛІНА-МАЩИЦЬКА Каріма Робертівна")</f>
        <v>НІГМАТУЛІНА-МАЩИЦЬКА Каріма Робертівна</v>
      </c>
      <c r="J7907" s="7" t="s">
        <v>15</v>
      </c>
    </row>
    <row r="7908" spans="1:10" ht="13.2">
      <c r="A7908" s="7">
        <v>7907</v>
      </c>
      <c r="B7908" s="7">
        <v>1</v>
      </c>
      <c r="C7908" s="7" t="s">
        <v>10</v>
      </c>
      <c r="D7908" s="7">
        <v>8813</v>
      </c>
      <c r="E7908" s="7" t="s">
        <v>18</v>
      </c>
      <c r="F7908" s="8" t="str">
        <f ca="1">IFERROR(__xludf.DUMMYFUNCTION("IF
(
C7909=""фізична особа""
,
VLOOKUP(D7909,IMPORTRANGE(""https://docs.google.com/spreadsheets/d/14Bd19lYaqBhU8_DElYkX7l4wRkHqqCUFNJY4AfY3kHU/edit?usp=sharing  #gid=0"",""фіз особи new!relations_name""),6,FALSE)
,
(IF
(
C7909=""юридична особа""
,
VLOOKUP"&amp;"(D7909,IMPORTRANGE(""https://docs.google.com/spreadsheets/d/14Bd19lYaqBhU8_DElYkX7l4wRkHqqCUFNJY4AfY3kHU/edit?usp=sharing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G7908" s="7" t="s">
        <v>10</v>
      </c>
      <c r="H7908" s="7">
        <v>8814</v>
      </c>
      <c r="I7908" s="8" t="str">
        <f ca="1">IFERROR(__xludf.DUMMYFUNCTION("IF
(
G7909=""фізична особа""
,
VLOOKUP(H7909,IMPORTRANGE(""https://docs.google.com/spreadsheets/d/14Bd19lYaqBhU8_DElYkX7l4wRkHqqCUFNJY4AfY3kHU/edit?usp=sharing  #gid=0"",""фіз особи new!relations_name""),6,FALSE)
,
(IF
(
G7909=""юридична особа""
,
VLOOKUP"&amp;"(H7909,IMPORTRANGE(""https://docs.google.com/spreadsheets/d/14Bd19lYaqBhU8_DElYkX7l4wRkHqqCUFNJY4AfY3kHU/edit?usp=sharing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J7908" s="7" t="s">
        <v>18</v>
      </c>
    </row>
    <row r="7909" spans="1:10" ht="13.2">
      <c r="A7909" s="7">
        <v>7908</v>
      </c>
      <c r="B7909" s="7">
        <v>1</v>
      </c>
      <c r="C7909" s="7" t="s">
        <v>10</v>
      </c>
      <c r="D7909" s="7">
        <v>8814</v>
      </c>
      <c r="E7909" s="7" t="s">
        <v>17</v>
      </c>
      <c r="F7909" s="8" t="str">
        <f ca="1">IFERROR(__xludf.DUMMYFUNCTION("IF
(
C7910=""фізична особа""
,
VLOOKUP(D7910,IMPORTRANGE(""https://docs.google.com/spreadsheets/d/14Bd19lYaqBhU8_DElYkX7l4wRkHqqCUFNJY4AfY3kHU/edit?usp=sharing  #gid=0"",""фіз особи new!relations_name""),6,FALSE)
,
(IF
(
C7910=""юридична особа""
,
VLOOKUP"&amp;"(D7910,IMPORTRANGE(""https://docs.google.com/spreadsheets/d/14Bd19lYaqBhU8_DElYkX7l4wRkHqqCUFNJY4AfY3kHU/edit?usp=sharing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G7909" s="7" t="s">
        <v>10</v>
      </c>
      <c r="H7909" s="7">
        <v>8812</v>
      </c>
      <c r="I7909" s="8" t="str">
        <f ca="1">IFERROR(__xludf.DUMMYFUNCTION("IF
(
G7910=""фізична особа""
,
VLOOKUP(H7910,IMPORTRANGE(""https://docs.google.com/spreadsheets/d/14Bd19lYaqBhU8_DElYkX7l4wRkHqqCUFNJY4AfY3kHU/edit?usp=sharing  #gid=0"",""фіз особи new!relations_name""),6,FALSE)
,
(IF
(
G7910=""юридична особа""
,
VLOOKUP"&amp;"(H7910,IMPORTRANGE(""https://docs.google.com/spreadsheets/d/14Bd19lYaqBhU8_DElYkX7l4wRkHqqCUFNJY4AfY3kHU/edit?usp=sharing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J7909" s="7" t="s">
        <v>12</v>
      </c>
    </row>
    <row r="7910" spans="1:10" ht="13.2">
      <c r="A7910" s="7">
        <v>7909</v>
      </c>
      <c r="B7910" s="7">
        <v>1</v>
      </c>
      <c r="C7910" s="7" t="s">
        <v>10</v>
      </c>
      <c r="D7910" s="7">
        <v>8814</v>
      </c>
      <c r="E7910" s="7" t="s">
        <v>73</v>
      </c>
      <c r="F7910" s="8" t="str">
        <f ca="1">IFERROR(__xludf.DUMMYFUNCTION("IF
(
C7911=""фізична особа""
,
VLOOKUP(D7911,IMPORTRANGE(""https://docs.google.com/spreadsheets/d/14Bd19lYaqBhU8_DElYkX7l4wRkHqqCUFNJY4AfY3kHU/edit?usp=sharing  #gid=0"",""фіз особи new!relations_name""),6,FALSE)
,
(IF
(
C7911=""юридична особа""
,
VLOOKUP"&amp;"(D7911,IMPORTRANGE(""https://docs.google.com/spreadsheets/d/14Bd19lYaqBhU8_DElYkX7l4wRkHqqCUFNJY4AfY3kHU/edit?usp=sharing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G7910" s="7" t="s">
        <v>10</v>
      </c>
      <c r="H7910" s="7">
        <v>23577</v>
      </c>
      <c r="I7910" s="8" t="str">
        <f ca="1">IFERROR(__xludf.DUMMYFUNCTION("IF
(
G7911=""фізична особа""
,
VLOOKUP(H7911,IMPORTRANGE(""https://docs.google.com/spreadsheets/d/14Bd19lYaqBhU8_DElYkX7l4wRkHqqCUFNJY4AfY3kHU/edit?usp=sharing  #gid=0"",""фіз особи new!relations_name""),6,FALSE)
,
(IF
(
G7911=""юридична особа""
,
VLOOKUP"&amp;"(H7911,IMPORTRANGE(""https://docs.google.com/spreadsheets/d/14Bd19lYaqBhU8_DElYkX7l4wRkHqqCUFNJY4AfY3kHU/edit?usp=sharing  #gid=0"",""фіз особи new!relations_name_uo""),7,FALSE)
,
)
))"),"НІГМАТУЛІНА-МАЩИЦЬКА Каріма Робертівна")</f>
        <v>НІГМАТУЛІНА-МАЩИЦЬКА Каріма Робертівна</v>
      </c>
      <c r="J7910" s="7" t="s">
        <v>25</v>
      </c>
    </row>
    <row r="7911" spans="1:10" ht="13.2">
      <c r="A7911" s="7">
        <v>7910</v>
      </c>
      <c r="B7911" s="7">
        <v>1</v>
      </c>
      <c r="C7911" s="7" t="s">
        <v>10</v>
      </c>
      <c r="D7911" s="7">
        <v>8814</v>
      </c>
      <c r="E7911" s="7" t="s">
        <v>18</v>
      </c>
      <c r="F7911" s="8" t="str">
        <f ca="1">IFERROR(__xludf.DUMMYFUNCTION("IF
(
C7912=""фізична особа""
,
VLOOKUP(D7912,IMPORTRANGE(""https://docs.google.com/spreadsheets/d/14Bd19lYaqBhU8_DElYkX7l4wRkHqqCUFNJY4AfY3kHU/edit?usp=sharing  #gid=0"",""фіз особи new!relations_name""),6,FALSE)
,
(IF
(
C7912=""юридична особа""
,
VLOOKUP"&amp;"(D7912,IMPORTRANGE(""https://docs.google.com/spreadsheets/d/14Bd19lYaqBhU8_DElYkX7l4wRkHqqCUFNJY4AfY3kHU/edit?usp=sharing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G7911" s="7" t="s">
        <v>10</v>
      </c>
      <c r="H7911" s="7">
        <v>8813</v>
      </c>
      <c r="I7911" s="8" t="str">
        <f ca="1">IFERROR(__xludf.DUMMYFUNCTION("IF
(
G7912=""фізична особа""
,
VLOOKUP(H7912,IMPORTRANGE(""https://docs.google.com/spreadsheets/d/14Bd19lYaqBhU8_DElYkX7l4wRkHqqCUFNJY4AfY3kHU/edit?usp=sharing  #gid=0"",""фіз особи new!relations_name""),6,FALSE)
,
(IF
(
G7912=""юридична особа""
,
VLOOKUP"&amp;"(H7912,IMPORTRANGE(""https://docs.google.com/spreadsheets/d/14Bd19lYaqBhU8_DElYkX7l4wRkHqqCUFNJY4AfY3kHU/edit?usp=sharing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J7911" s="7" t="s">
        <v>18</v>
      </c>
    </row>
    <row r="7912" spans="1:10" ht="13.2">
      <c r="A7912" s="7">
        <v>7911</v>
      </c>
      <c r="B7912" s="7">
        <v>1</v>
      </c>
      <c r="C7912" s="7" t="s">
        <v>10</v>
      </c>
      <c r="D7912" s="7">
        <v>8818</v>
      </c>
      <c r="E7912" s="7" t="s">
        <v>24</v>
      </c>
      <c r="F7912" s="8" t="str">
        <f ca="1">IFERROR(__xludf.DUMMYFUNCTION("IF
(
C7913=""фізична особа""
,
VLOOKUP(D7913,IMPORTRANGE(""https://docs.google.com/spreadsheets/d/14Bd19lYaqBhU8_DElYkX7l4wRkHqqCUFNJY4AfY3kHU/edit?usp=sharing  #gid=0"",""фіз особи new!relations_name""),6,FALSE)
,
(IF
(
C7913=""юридична особа""
,
VLOOKUP"&amp;"(D7913,IMPORTRANGE(""https://docs.google.com/spreadsheets/d/14Bd19lYaqBhU8_DElYkX7l4wRkHqqCUFNJY4AfY3kHU/edit?usp=sharing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G7912" s="7" t="s">
        <v>10</v>
      </c>
      <c r="H7912" s="7">
        <v>0</v>
      </c>
      <c r="I7912" s="8" t="str">
        <f ca="1">IFERROR(__xludf.DUMMYFUNCTION("IF
(
G7913=""фізична особа""
,
VLOOKUP(H7913,IMPORTRANGE(""https://docs.google.com/spreadsheets/d/14Bd19lYaqBhU8_DElYkX7l4wRkHqqCUFNJY4AfY3kHU/edit?usp=sharing  #gid=0"",""фіз особи new!relations_name""),6,FALSE)
,
(IF
(
G7913=""юридична особа""
,
VLOOKUP"&amp;"(H7913,IMPORTRANGE(""https://docs.google.com/spreadsheets/d/14Bd19lYaqBhU8_DElYkX7l4wRkHqqCUFNJY4AfY3kHU/edit?usp=sharing  #gid=0"",""фіз особи new!relations_name_uo""),7,FALSE)
,
)
))"),"#N/A")</f>
        <v>#N/A</v>
      </c>
      <c r="J7912" s="7" t="s">
        <v>26</v>
      </c>
    </row>
    <row r="7913" spans="1:10" ht="13.2">
      <c r="A7913" s="7">
        <v>7912</v>
      </c>
      <c r="B7913" s="7">
        <v>1</v>
      </c>
      <c r="C7913" s="7" t="s">
        <v>10</v>
      </c>
      <c r="D7913" s="7">
        <v>8818</v>
      </c>
      <c r="E7913" s="7" t="s">
        <v>12</v>
      </c>
      <c r="F7913" s="8" t="str">
        <f ca="1">IFERROR(__xludf.DUMMYFUNCTION("IF
(
C7914=""фізична особа""
,
VLOOKUP(D7914,IMPORTRANGE(""https://docs.google.com/spreadsheets/d/14Bd19lYaqBhU8_DElYkX7l4wRkHqqCUFNJY4AfY3kHU/edit?usp=sharing  #gid=0"",""фіз особи new!relations_name""),6,FALSE)
,
(IF
(
C7914=""юридична особа""
,
VLOOKUP"&amp;"(D7914,IMPORTRANGE(""https://docs.google.com/spreadsheets/d/14Bd19lYaqBhU8_DElYkX7l4wRkHqqCUFNJY4AfY3kHU/edit?usp=sharing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G7913" s="7" t="s">
        <v>10</v>
      </c>
      <c r="H7913" s="7">
        <v>0</v>
      </c>
      <c r="I7913" s="8" t="str">
        <f ca="1">IFERROR(__xludf.DUMMYFUNCTION("IF
(
G7914=""фізична особа""
,
VLOOKUP(H7914,IMPORTRANGE(""https://docs.google.com/spreadsheets/d/14Bd19lYaqBhU8_DElYkX7l4wRkHqqCUFNJY4AfY3kHU/edit?usp=sharing  #gid=0"",""фіз особи new!relations_name""),6,FALSE)
,
(IF
(
G7914=""юридична особа""
,
VLOOKUP"&amp;"(H7914,IMPORTRANGE(""https://docs.google.com/spreadsheets/d/14Bd19lYaqBhU8_DElYkX7l4wRkHqqCUFNJY4AfY3kHU/edit?usp=sharing  #gid=0"",""фіз особи new!relations_name_uo""),7,FALSE)
,
)
))"),"#N/A")</f>
        <v>#N/A</v>
      </c>
      <c r="J7913" s="7" t="s">
        <v>13</v>
      </c>
    </row>
    <row r="7914" spans="1:10" ht="13.2">
      <c r="A7914" s="7">
        <v>7913</v>
      </c>
      <c r="B7914" s="7">
        <v>1</v>
      </c>
      <c r="C7914" s="7" t="s">
        <v>10</v>
      </c>
      <c r="D7914" s="7">
        <v>8819</v>
      </c>
      <c r="E7914" s="7" t="s">
        <v>20</v>
      </c>
      <c r="F7914" s="8" t="str">
        <f ca="1">IFERROR(__xludf.DUMMYFUNCTION("IF
(
C7915=""фізична особа""
,
VLOOKUP(D7915,IMPORTRANGE(""https://docs.google.com/spreadsheets/d/14Bd19lYaqBhU8_DElYkX7l4wRkHqqCUFNJY4AfY3kHU/edit?usp=sharing  #gid=0"",""фіз особи new!relations_name""),6,FALSE)
,
(IF
(
C7915=""юридична особа""
,
VLOOKUP"&amp;"(D7915,IMPORTRANGE(""https://docs.google.com/spreadsheets/d/14Bd19lYaqBhU8_DElYkX7l4wRkHqqCUFNJY4AfY3kHU/edit?usp=sharing  #gid=0"",""фіз особи new!relations_name_uo""),7,FALSE)
,
)
))"),"ШАЙМІЄВ Тимур Айратович")</f>
        <v>ШАЙМІЄВ Тимур Айратович</v>
      </c>
      <c r="G7914" s="7" t="s">
        <v>10</v>
      </c>
      <c r="H7914" s="7">
        <v>2058</v>
      </c>
      <c r="I7914" s="8" t="str">
        <f ca="1">IFERROR(__xludf.DUMMYFUNCTION("IF
(
G7915=""фізична особа""
,
VLOOKUP(H7915,IMPORTRANGE(""https://docs.google.com/spreadsheets/d/14Bd19lYaqBhU8_DElYkX7l4wRkHqqCUFNJY4AfY3kHU/edit?usp=sharing  #gid=0"",""фіз особи new!relations_name""),6,FALSE)
,
(IF
(
G7915=""юридична особа""
,
VLOOKUP"&amp;"(H7915,IMPORTRANGE(""https://docs.google.com/spreadsheets/d/14Bd19lYaqBhU8_DElYkX7l4wRkHqqCUFNJY4AfY3kHU/edit?usp=sharing  #gid=0"",""фіз особи new!relations_name_uo""),7,FALSE)
,
)
))"),"ШАЙМІЄВ Радик Мінтімерович")</f>
        <v>ШАЙМІЄВ Радик Мінтімерович</v>
      </c>
      <c r="J7914" s="7" t="s">
        <v>19</v>
      </c>
    </row>
    <row r="7915" spans="1:10" ht="13.2">
      <c r="A7915" s="7">
        <v>7914</v>
      </c>
      <c r="B7915" s="7">
        <v>1</v>
      </c>
      <c r="C7915" s="7" t="s">
        <v>10</v>
      </c>
      <c r="D7915" s="7">
        <v>8819</v>
      </c>
      <c r="E7915" s="7" t="s">
        <v>44</v>
      </c>
      <c r="F7915" s="8" t="str">
        <f ca="1">IFERROR(__xludf.DUMMYFUNCTION("IF
(
C7916=""фізична особа""
,
VLOOKUP(D7916,IMPORTRANGE(""https://docs.google.com/spreadsheets/d/14Bd19lYaqBhU8_DElYkX7l4wRkHqqCUFNJY4AfY3kHU/edit?usp=sharing  #gid=0"",""фіз особи new!relations_name""),6,FALSE)
,
(IF
(
C7916=""юридична особа""
,
VLOOKUP"&amp;"(D7916,IMPORTRANGE(""https://docs.google.com/spreadsheets/d/14Bd19lYaqBhU8_DElYkX7l4wRkHqqCUFNJY4AfY3kHU/edit?usp=sharing  #gid=0"",""фіз особи new!relations_name_uo""),7,FALSE)
,
)
))"),"ШАЙМІЄВ Тимур Айратович")</f>
        <v>ШАЙМІЄВ Тимур Айратович</v>
      </c>
      <c r="G7915" s="7" t="s">
        <v>10</v>
      </c>
      <c r="H7915" s="7">
        <v>2059</v>
      </c>
      <c r="I7915" s="8" t="str">
        <f ca="1">IFERROR(__xludf.DUMMYFUNCTION("IF
(
G7916=""фізична особа""
,
VLOOKUP(H7916,IMPORTRANGE(""https://docs.google.com/spreadsheets/d/14Bd19lYaqBhU8_DElYkX7l4wRkHqqCUFNJY4AfY3kHU/edit?usp=sharing  #gid=0"",""фіз особи new!relations_name""),6,FALSE)
,
(IF
(
G7916=""юридична особа""
,
VLOOKUP"&amp;"(H7916,IMPORTRANGE(""https://docs.google.com/spreadsheets/d/14Bd19lYaqBhU8_DElYkX7l4wRkHqqCUFNJY4AfY3kHU/edit?usp=sharing  #gid=0"",""фіз особи new!relations_name_uo""),7,FALSE)
,
)
))"),"ШАЙМІЄВА Каміля Радиківна")</f>
        <v>ШАЙМІЄВА Каміля Радиківна</v>
      </c>
      <c r="J7915" s="7" t="s">
        <v>112</v>
      </c>
    </row>
    <row r="7916" spans="1:10" ht="13.2">
      <c r="A7916" s="7">
        <v>7915</v>
      </c>
      <c r="B7916" s="7">
        <v>1</v>
      </c>
      <c r="C7916" s="7" t="s">
        <v>10</v>
      </c>
      <c r="D7916" s="7">
        <v>8819</v>
      </c>
      <c r="E7916" s="7" t="s">
        <v>17</v>
      </c>
      <c r="F7916" s="8" t="str">
        <f ca="1">IFERROR(__xludf.DUMMYFUNCTION("IF
(
C7917=""фізична особа""
,
VLOOKUP(D7917,IMPORTRANGE(""https://docs.google.com/spreadsheets/d/14Bd19lYaqBhU8_DElYkX7l4wRkHqqCUFNJY4AfY3kHU/edit?usp=sharing  #gid=0"",""фіз особи new!relations_name""),6,FALSE)
,
(IF
(
C7917=""юридична особа""
,
VLOOKUP"&amp;"(D7917,IMPORTRANGE(""https://docs.google.com/spreadsheets/d/14Bd19lYaqBhU8_DElYkX7l4wRkHqqCUFNJY4AfY3kHU/edit?usp=sharing  #gid=0"",""фіз особи new!relations_name_uo""),7,FALSE)
,
)
))"),"ШАЙМІЄВ Тимур Айратович")</f>
        <v>ШАЙМІЄВ Тимур Айратович</v>
      </c>
      <c r="G7916" s="7" t="s">
        <v>10</v>
      </c>
      <c r="H7916" s="7">
        <v>2057</v>
      </c>
      <c r="I7916" s="8" t="str">
        <f ca="1">IFERROR(__xludf.DUMMYFUNCTION("IF
(
G7917=""фізична особа""
,
VLOOKUP(H7917,IMPORTRANGE(""https://docs.google.com/spreadsheets/d/14Bd19lYaqBhU8_DElYkX7l4wRkHqqCUFNJY4AfY3kHU/edit?usp=sharing  #gid=0"",""фіз особи new!relations_name""),6,FALSE)
,
(IF
(
G7917=""юридична особа""
,
VLOOKUP"&amp;"(H7917,IMPORTRANGE(""https://docs.google.com/spreadsheets/d/14Bd19lYaqBhU8_DElYkX7l4wRkHqqCUFNJY4AfY3kHU/edit?usp=sharing  #gid=0"",""фіз особи new!relations_name_uo""),7,FALSE)
,
)
))"),"ШАЙМІЄВ Айрат Мінтімерович")</f>
        <v>ШАЙМІЄВ Айрат Мінтімерович</v>
      </c>
      <c r="J7916" s="7" t="s">
        <v>12</v>
      </c>
    </row>
    <row r="7917" spans="1:10" ht="13.2">
      <c r="A7917" s="7">
        <v>7916</v>
      </c>
      <c r="B7917" s="7">
        <v>1</v>
      </c>
      <c r="C7917" s="7" t="s">
        <v>10</v>
      </c>
      <c r="D7917" s="7">
        <v>8820</v>
      </c>
      <c r="E7917" s="7" t="s">
        <v>17</v>
      </c>
      <c r="F7917" s="8" t="str">
        <f ca="1">IFERROR(__xludf.DUMMYFUNCTION("IF
(
C7918=""фізична особа""
,
VLOOKUP(D7918,IMPORTRANGE(""https://docs.google.com/spreadsheets/d/14Bd19lYaqBhU8_DElYkX7l4wRkHqqCUFNJY4AfY3kHU/edit?usp=sharing  #gid=0"",""фіз особи new!relations_name""),6,FALSE)
,
(IF
(
C7918=""юридична особа""
,
VLOOKUP"&amp;"(D7918,IMPORTRANGE(""https://docs.google.com/spreadsheets/d/14Bd19lYaqBhU8_DElYkX7l4wRkHqqCUFNJY4AfY3kHU/edit?usp=sharing  #gid=0"",""фіз особи new!relations_name_uo""),7,FALSE)
,
)
))"),"МИХАЙЛОВ Сергій Ігорович")</f>
        <v>МИХАЙЛОВ Сергій Ігорович</v>
      </c>
      <c r="G7917" s="7" t="s">
        <v>10</v>
      </c>
      <c r="H7917" s="7">
        <v>23471</v>
      </c>
      <c r="I7917" s="8" t="str">
        <f ca="1">IFERROR(__xludf.DUMMYFUNCTION("IF
(
G7918=""фізична особа""
,
VLOOKUP(H7918,IMPORTRANGE(""https://docs.google.com/spreadsheets/d/14Bd19lYaqBhU8_DElYkX7l4wRkHqqCUFNJY4AfY3kHU/edit?usp=sharing  #gid=0"",""фіз особи new!relations_name""),6,FALSE)
,
(IF
(
G7918=""юридична особа""
,
VLOOKUP"&amp;"(H7918,IMPORTRANGE(""https://docs.google.com/spreadsheets/d/14Bd19lYaqBhU8_DElYkX7l4wRkHqqCUFNJY4AfY3kHU/edit?usp=sharing  #gid=0"",""фіз особи new!relations_name_uo""),7,FALSE)
,
)
))"),"БАБАЄВ Ігор Ерзолович")</f>
        <v>БАБАЄВ Ігор Ерзолович</v>
      </c>
      <c r="J7917" s="7" t="s">
        <v>12</v>
      </c>
    </row>
    <row r="7918" spans="1:10" ht="13.2">
      <c r="A7918" s="7">
        <v>7917</v>
      </c>
      <c r="B7918" s="7">
        <v>1</v>
      </c>
      <c r="C7918" s="7" t="s">
        <v>10</v>
      </c>
      <c r="D7918" s="7">
        <v>8820</v>
      </c>
      <c r="E7918" s="7" t="s">
        <v>17</v>
      </c>
      <c r="F7918" s="8" t="str">
        <f ca="1">IFERROR(__xludf.DUMMYFUNCTION("IF
(
C7919=""фізична особа""
,
VLOOKUP(D7919,IMPORTRANGE(""https://docs.google.com/spreadsheets/d/14Bd19lYaqBhU8_DElYkX7l4wRkHqqCUFNJY4AfY3kHU/edit?usp=sharing  #gid=0"",""фіз особи new!relations_name""),6,FALSE)
,
(IF
(
C7919=""юридична особа""
,
VLOOKUP"&amp;"(D7919,IMPORTRANGE(""https://docs.google.com/spreadsheets/d/14Bd19lYaqBhU8_DElYkX7l4wRkHqqCUFNJY4AfY3kHU/edit?usp=sharing  #gid=0"",""фіз особи new!relations_name_uo""),7,FALSE)
,
)
))"),"МИХАЙЛОВ Сергій Ігорович")</f>
        <v>МИХАЙЛОВ Сергій Ігорович</v>
      </c>
      <c r="G7918" s="7" t="s">
        <v>10</v>
      </c>
      <c r="H7918" s="7">
        <v>2023</v>
      </c>
      <c r="I7918" s="8" t="str">
        <f ca="1">IFERROR(__xludf.DUMMYFUNCTION("IF
(
G7919=""фізична особа""
,
VLOOKUP(H7919,IMPORTRANGE(""https://docs.google.com/spreadsheets/d/14Bd19lYaqBhU8_DElYkX7l4wRkHqqCUFNJY4AfY3kHU/edit?usp=sharing  #gid=0"",""фіз особи new!relations_name""),6,FALSE)
,
(IF
(
G7919=""юридична особа""
,
VLOOKUP"&amp;"(H7919,IMPORTRANGE(""https://docs.google.com/spreadsheets/d/14Bd19lYaqBhU8_DElYkX7l4wRkHqqCUFNJY4AfY3kHU/edit?usp=sharing  #gid=0"",""фіз особи new!relations_name_uo""),7,FALSE)
,
)
))"),"МИХАЙЛОВА Лідія Іллівна")</f>
        <v>МИХАЙЛОВА Лідія Іллівна</v>
      </c>
      <c r="J7918" s="7" t="s">
        <v>21</v>
      </c>
    </row>
    <row r="7919" spans="1:10" ht="13.2">
      <c r="A7919" s="7">
        <v>7918</v>
      </c>
      <c r="B7919" s="7">
        <v>1</v>
      </c>
      <c r="C7919" s="7" t="s">
        <v>10</v>
      </c>
      <c r="D7919" s="7">
        <v>8820</v>
      </c>
      <c r="E7919" s="7" t="s">
        <v>18</v>
      </c>
      <c r="F7919" s="8" t="str">
        <f ca="1">IFERROR(__xludf.DUMMYFUNCTION("IF
(
C7920=""фізична особа""
,
VLOOKUP(D7920,IMPORTRANGE(""https://docs.google.com/spreadsheets/d/14Bd19lYaqBhU8_DElYkX7l4wRkHqqCUFNJY4AfY3kHU/edit?usp=sharing  #gid=0"",""фіз особи new!relations_name""),6,FALSE)
,
(IF
(
C7920=""юридична особа""
,
VLOOKUP"&amp;"(D7920,IMPORTRANGE(""https://docs.google.com/spreadsheets/d/14Bd19lYaqBhU8_DElYkX7l4wRkHqqCUFNJY4AfY3kHU/edit?usp=sharing  #gid=0"",""фіз особи new!relations_name_uo""),7,FALSE)
,
)
))"),"МИХАЙЛОВ Сергій Ігорович")</f>
        <v>МИХАЙЛОВ Сергій Ігорович</v>
      </c>
      <c r="G7919" s="7" t="s">
        <v>10</v>
      </c>
      <c r="H7919" s="7">
        <v>8821</v>
      </c>
      <c r="I7919" s="8" t="str">
        <f ca="1">IFERROR(__xludf.DUMMYFUNCTION("IF
(
G7920=""фізична особа""
,
VLOOKUP(H7920,IMPORTRANGE(""https://docs.google.com/spreadsheets/d/14Bd19lYaqBhU8_DElYkX7l4wRkHqqCUFNJY4AfY3kHU/edit?usp=sharing  #gid=0"",""фіз особи new!relations_name""),6,FALSE)
,
(IF
(
G7920=""юридична особа""
,
VLOOKUP"&amp;"(H7920,IMPORTRANGE(""https://docs.google.com/spreadsheets/d/14Bd19lYaqBhU8_DElYkX7l4wRkHqqCUFNJY4AfY3kHU/edit?usp=sharing  #gid=0"",""фіз особи new!relations_name_uo""),7,FALSE)
,
)
))"),"МИХАЙЛОВ Євгеній Ігорович")</f>
        <v>МИХАЙЛОВ Євгеній Ігорович</v>
      </c>
      <c r="J7919" s="7" t="s">
        <v>18</v>
      </c>
    </row>
    <row r="7920" spans="1:10" ht="13.2">
      <c r="A7920" s="7">
        <v>7919</v>
      </c>
      <c r="B7920" s="7">
        <v>1</v>
      </c>
      <c r="C7920" s="7" t="s">
        <v>10</v>
      </c>
      <c r="D7920" s="7">
        <v>8821</v>
      </c>
      <c r="E7920" s="7" t="s">
        <v>17</v>
      </c>
      <c r="F7920" s="8" t="str">
        <f ca="1">IFERROR(__xludf.DUMMYFUNCTION("IF
(
C7921=""фізична особа""
,
VLOOKUP(D7921,IMPORTRANGE(""https://docs.google.com/spreadsheets/d/14Bd19lYaqBhU8_DElYkX7l4wRkHqqCUFNJY4AfY3kHU/edit?usp=sharing  #gid=0"",""фіз особи new!relations_name""),6,FALSE)
,
(IF
(
C7921=""юридична особа""
,
VLOOKUP"&amp;"(D7921,IMPORTRANGE(""https://docs.google.com/spreadsheets/d/14Bd19lYaqBhU8_DElYkX7l4wRkHqqCUFNJY4AfY3kHU/edit?usp=sharing  #gid=0"",""фіз особи new!relations_name_uo""),7,FALSE)
,
)
))"),"МИХАЙЛОВ Євгеній Ігорович")</f>
        <v>МИХАЙЛОВ Євгеній Ігорович</v>
      </c>
      <c r="G7920" s="7" t="s">
        <v>10</v>
      </c>
      <c r="H7920" s="7">
        <v>23471</v>
      </c>
      <c r="I7920" s="8" t="str">
        <f ca="1">IFERROR(__xludf.DUMMYFUNCTION("IF
(
G7921=""фізична особа""
,
VLOOKUP(H7921,IMPORTRANGE(""https://docs.google.com/spreadsheets/d/14Bd19lYaqBhU8_DElYkX7l4wRkHqqCUFNJY4AfY3kHU/edit?usp=sharing  #gid=0"",""фіз особи new!relations_name""),6,FALSE)
,
(IF
(
G7921=""юридична особа""
,
VLOOKUP"&amp;"(H7921,IMPORTRANGE(""https://docs.google.com/spreadsheets/d/14Bd19lYaqBhU8_DElYkX7l4wRkHqqCUFNJY4AfY3kHU/edit?usp=sharing  #gid=0"",""фіз особи new!relations_name_uo""),7,FALSE)
,
)
))"),"БАБАЄВ Ігор Ерзолович")</f>
        <v>БАБАЄВ Ігор Ерзолович</v>
      </c>
      <c r="J7920" s="7" t="s">
        <v>12</v>
      </c>
    </row>
    <row r="7921" spans="1:10" ht="13.2">
      <c r="A7921" s="7">
        <v>7920</v>
      </c>
      <c r="B7921" s="7">
        <v>1</v>
      </c>
      <c r="C7921" s="7" t="s">
        <v>10</v>
      </c>
      <c r="D7921" s="7">
        <v>8821</v>
      </c>
      <c r="E7921" s="7" t="s">
        <v>17</v>
      </c>
      <c r="F7921" s="8" t="str">
        <f ca="1">IFERROR(__xludf.DUMMYFUNCTION("IF
(
C7922=""фізична особа""
,
VLOOKUP(D7922,IMPORTRANGE(""https://docs.google.com/spreadsheets/d/14Bd19lYaqBhU8_DElYkX7l4wRkHqqCUFNJY4AfY3kHU/edit?usp=sharing  #gid=0"",""фіз особи new!relations_name""),6,FALSE)
,
(IF
(
C7922=""юридична особа""
,
VLOOKUP"&amp;"(D7922,IMPORTRANGE(""https://docs.google.com/spreadsheets/d/14Bd19lYaqBhU8_DElYkX7l4wRkHqqCUFNJY4AfY3kHU/edit?usp=sharing  #gid=0"",""фіз особи new!relations_name_uo""),7,FALSE)
,
)
))"),"МИХАЙЛОВ Євгеній Ігорович")</f>
        <v>МИХАЙЛОВ Євгеній Ігорович</v>
      </c>
      <c r="G7921" s="7" t="s">
        <v>10</v>
      </c>
      <c r="H7921" s="7">
        <v>2023</v>
      </c>
      <c r="I7921" s="8" t="str">
        <f ca="1">IFERROR(__xludf.DUMMYFUNCTION("IF
(
G7922=""фізична особа""
,
VLOOKUP(H7922,IMPORTRANGE(""https://docs.google.com/spreadsheets/d/14Bd19lYaqBhU8_DElYkX7l4wRkHqqCUFNJY4AfY3kHU/edit?usp=sharing  #gid=0"",""фіз особи new!relations_name""),6,FALSE)
,
(IF
(
G7922=""юридична особа""
,
VLOOKUP"&amp;"(H7922,IMPORTRANGE(""https://docs.google.com/spreadsheets/d/14Bd19lYaqBhU8_DElYkX7l4wRkHqqCUFNJY4AfY3kHU/edit?usp=sharing  #gid=0"",""фіз особи new!relations_name_uo""),7,FALSE)
,
)
))"),"МИХАЙЛОВА Лідія Іллівна")</f>
        <v>МИХАЙЛОВА Лідія Іллівна</v>
      </c>
      <c r="J7921" s="7" t="s">
        <v>21</v>
      </c>
    </row>
    <row r="7922" spans="1:10" ht="13.2">
      <c r="A7922" s="7">
        <v>7921</v>
      </c>
      <c r="B7922" s="7">
        <v>1</v>
      </c>
      <c r="C7922" s="7" t="s">
        <v>10</v>
      </c>
      <c r="D7922" s="7">
        <v>8821</v>
      </c>
      <c r="E7922" s="7" t="s">
        <v>18</v>
      </c>
      <c r="F7922" s="8" t="str">
        <f ca="1">IFERROR(__xludf.DUMMYFUNCTION("IF
(
C7923=""фізична особа""
,
VLOOKUP(D7923,IMPORTRANGE(""https://docs.google.com/spreadsheets/d/14Bd19lYaqBhU8_DElYkX7l4wRkHqqCUFNJY4AfY3kHU/edit?usp=sharing  #gid=0"",""фіз особи new!relations_name""),6,FALSE)
,
(IF
(
C7923=""юридична особа""
,
VLOOKUP"&amp;"(D7923,IMPORTRANGE(""https://docs.google.com/spreadsheets/d/14Bd19lYaqBhU8_DElYkX7l4wRkHqqCUFNJY4AfY3kHU/edit?usp=sharing  #gid=0"",""фіз особи new!relations_name_uo""),7,FALSE)
,
)
))"),"МИХАЙЛОВ Євгеній Ігорович")</f>
        <v>МИХАЙЛОВ Євгеній Ігорович</v>
      </c>
      <c r="G7922" s="7" t="s">
        <v>10</v>
      </c>
      <c r="H7922" s="7">
        <v>8820</v>
      </c>
      <c r="I7922" s="8" t="str">
        <f ca="1">IFERROR(__xludf.DUMMYFUNCTION("IF
(
G7923=""фізична особа""
,
VLOOKUP(H7923,IMPORTRANGE(""https://docs.google.com/spreadsheets/d/14Bd19lYaqBhU8_DElYkX7l4wRkHqqCUFNJY4AfY3kHU/edit?usp=sharing  #gid=0"",""фіз особи new!relations_name""),6,FALSE)
,
(IF
(
G7923=""юридична особа""
,
VLOOKUP"&amp;"(H7923,IMPORTRANGE(""https://docs.google.com/spreadsheets/d/14Bd19lYaqBhU8_DElYkX7l4wRkHqqCUFNJY4AfY3kHU/edit?usp=sharing  #gid=0"",""фіз особи new!relations_name_uo""),7,FALSE)
,
)
))"),"МИХАЙЛОВ Сергій Ігорович")</f>
        <v>МИХАЙЛОВ Сергій Ігорович</v>
      </c>
      <c r="J7922" s="7" t="s">
        <v>18</v>
      </c>
    </row>
    <row r="7923" spans="1:10" ht="13.2">
      <c r="A7923" s="7">
        <v>7922</v>
      </c>
      <c r="B7923" s="7">
        <v>1</v>
      </c>
      <c r="C7923" s="7" t="s">
        <v>10</v>
      </c>
      <c r="D7923" s="7">
        <v>8822</v>
      </c>
      <c r="E7923" s="7" t="s">
        <v>15</v>
      </c>
      <c r="F7923" s="8" t="str">
        <f ca="1">IFERROR(__xludf.DUMMYFUNCTION("IF
(
C7924=""фізична особа""
,
VLOOKUP(D7924,IMPORTRANGE(""https://docs.google.com/spreadsheets/d/14Bd19lYaqBhU8_DElYkX7l4wRkHqqCUFNJY4AfY3kHU/edit?usp=sharing  #gid=0"",""фіз особи new!relations_name""),6,FALSE)
,
(IF
(
C7924=""юридична особа""
,
VLOOKUP"&amp;"(D7924,IMPORTRANGE(""https://docs.google.com/spreadsheets/d/14Bd19lYaqBhU8_DElYkX7l4wRkHqqCUFNJY4AfY3kHU/edit?usp=sharing  #gid=0"",""фіз особи new!relations_name_uo""),7,FALSE)
,
)
))"),"НІКОЛАЄВА Світлана Іванівна")</f>
        <v>НІКОЛАЄВА Світлана Іванівна</v>
      </c>
      <c r="G7923" s="7" t="s">
        <v>10</v>
      </c>
      <c r="H7923" s="7">
        <v>2266</v>
      </c>
      <c r="I7923" s="8" t="str">
        <f ca="1">IFERROR(__xludf.DUMMYFUNCTION("IF
(
G7924=""фізична особа""
,
VLOOKUP(H7924,IMPORTRANGE(""https://docs.google.com/spreadsheets/d/14Bd19lYaqBhU8_DElYkX7l4wRkHqqCUFNJY4AfY3kHU/edit?usp=sharing  #gid=0"",""фіз особи new!relations_name""),6,FALSE)
,
(IF
(
G7924=""юридична особа""
,
VLOOKUP"&amp;"(H7924,IMPORTRANGE(""https://docs.google.com/spreadsheets/d/14Bd19lYaqBhU8_DElYkX7l4wRkHqqCUFNJY4AfY3kHU/edit?usp=sharing  #gid=0"",""фіз особи new!relations_name_uo""),7,FALSE)
,
)
))"),"НІКОЛАЄВ Костянтин Юрійович")</f>
        <v>НІКОЛАЄВ Костянтин Юрійович</v>
      </c>
      <c r="J7923" s="7" t="s">
        <v>14</v>
      </c>
    </row>
    <row r="7924" spans="1:10" ht="13.2">
      <c r="A7924" s="7">
        <v>7923</v>
      </c>
      <c r="B7924" s="7">
        <v>1</v>
      </c>
      <c r="C7924" s="7" t="s">
        <v>10</v>
      </c>
      <c r="D7924" s="7">
        <v>8823</v>
      </c>
      <c r="E7924" s="7" t="s">
        <v>17</v>
      </c>
      <c r="F7924" s="8" t="str">
        <f ca="1">IFERROR(__xludf.DUMMYFUNCTION("IF
(
C7925=""фізична особа""
,
VLOOKUP(D7925,IMPORTRANGE(""https://docs.google.com/spreadsheets/d/14Bd19lYaqBhU8_DElYkX7l4wRkHqqCUFNJY4AfY3kHU/edit?usp=sharing  #gid=0"",""фіз особи new!relations_name""),6,FALSE)
,
(IF
(
C7925=""юридична особа""
,
VLOOKUP"&amp;"(D7925,IMPORTRANGE(""https://docs.google.com/spreadsheets/d/14Bd19lYaqBhU8_DElYkX7l4wRkHqqCUFNJY4AfY3kHU/edit?usp=sharing  #gid=0"",""фіз особи new!relations_name_uo""),7,FALSE)
,
)
))"),"ЮСУФОВ Віталій Ігорович")</f>
        <v>ЮСУФОВ Віталій Ігорович</v>
      </c>
      <c r="G7924" s="7" t="s">
        <v>10</v>
      </c>
      <c r="H7924" s="7">
        <v>2092</v>
      </c>
      <c r="I7924" s="8" t="str">
        <f ca="1">IFERROR(__xludf.DUMMYFUNCTION("IF
(
G7925=""фізична особа""
,
VLOOKUP(H7925,IMPORTRANGE(""https://docs.google.com/spreadsheets/d/14Bd19lYaqBhU8_DElYkX7l4wRkHqqCUFNJY4AfY3kHU/edit?usp=sharing  #gid=0"",""фіз особи new!relations_name""),6,FALSE)
,
(IF
(
G7925=""юридична особа""
,
VLOOKUP"&amp;"(H7925,IMPORTRANGE(""https://docs.google.com/spreadsheets/d/14Bd19lYaqBhU8_DElYkX7l4wRkHqqCUFNJY4AfY3kHU/edit?usp=sharing  #gid=0"",""фіз особи new!relations_name_uo""),7,FALSE)
,
)
))"),"ЮСУФОВ Ігор Ханукович")</f>
        <v>ЮСУФОВ Ігор Ханукович</v>
      </c>
      <c r="J7924" s="7" t="s">
        <v>12</v>
      </c>
    </row>
    <row r="7925" spans="1:10" ht="13.2">
      <c r="A7925" s="7">
        <v>7924</v>
      </c>
      <c r="B7925" s="7">
        <v>1</v>
      </c>
      <c r="C7925" s="7" t="s">
        <v>10</v>
      </c>
      <c r="D7925" s="7">
        <v>8823</v>
      </c>
      <c r="E7925" s="7" t="s">
        <v>11</v>
      </c>
      <c r="F7925" s="8" t="str">
        <f ca="1">IFERROR(__xludf.DUMMYFUNCTION("IF
(
C7926=""фізична особа""
,
VLOOKUP(D7926,IMPORTRANGE(""https://docs.google.com/spreadsheets/d/14Bd19lYaqBhU8_DElYkX7l4wRkHqqCUFNJY4AfY3kHU/edit?usp=sharing  #gid=0"",""фіз особи new!relations_name""),6,FALSE)
,
(IF
(
C7926=""юридична особа""
,
VLOOKUP"&amp;"(D7926,IMPORTRANGE(""https://docs.google.com/spreadsheets/d/14Bd19lYaqBhU8_DElYkX7l4wRkHqqCUFNJY4AfY3kHU/edit?usp=sharing  #gid=0"",""фіз особи new!relations_name_uo""),7,FALSE)
,
)
))"),"ЮСУФОВ Віталій Ігорович")</f>
        <v>ЮСУФОВ Віталій Ігорович</v>
      </c>
      <c r="G7925" s="7" t="s">
        <v>10</v>
      </c>
      <c r="H7925" s="7">
        <v>0</v>
      </c>
      <c r="I7925" s="8" t="str">
        <f ca="1">IFERROR(__xludf.DUMMYFUNCTION("IF
(
G7926=""фізична особа""
,
VLOOKUP(H7926,IMPORTRANGE(""https://docs.google.com/spreadsheets/d/14Bd19lYaqBhU8_DElYkX7l4wRkHqqCUFNJY4AfY3kHU/edit?usp=sharing  #gid=0"",""фіз особи new!relations_name""),6,FALSE)
,
(IF
(
G7926=""юридична особа""
,
VLOOKUP"&amp;"(H7926,IMPORTRANGE(""https://docs.google.com/spreadsheets/d/14Bd19lYaqBhU8_DElYkX7l4wRkHqqCUFNJY4AfY3kHU/edit?usp=sharing  #gid=0"",""фіз особи new!relations_name_uo""),7,FALSE)
,
)
))"),"#N/A")</f>
        <v>#N/A</v>
      </c>
      <c r="J7925" s="7" t="s">
        <v>11</v>
      </c>
    </row>
    <row r="7926" spans="1:10" ht="13.2">
      <c r="A7926" s="7">
        <v>7925</v>
      </c>
      <c r="B7926" s="7">
        <v>1</v>
      </c>
      <c r="C7926" s="7" t="s">
        <v>10</v>
      </c>
      <c r="D7926" s="7">
        <v>8824</v>
      </c>
      <c r="E7926" s="7" t="s">
        <v>17</v>
      </c>
      <c r="F7926" s="8" t="str">
        <f ca="1">IFERROR(__xludf.DUMMYFUNCTION("IF
(
C7927=""фізична особа""
,
VLOOKUP(D7927,IMPORTRANGE(""https://docs.google.com/spreadsheets/d/14Bd19lYaqBhU8_DElYkX7l4wRkHqqCUFNJY4AfY3kHU/edit?usp=sharing  #gid=0"",""фіз особи new!relations_name""),6,FALSE)
,
(IF
(
C7927=""юридична особа""
,
VLOOKUP"&amp;"(D7927,IMPORTRANGE(""https://docs.google.com/spreadsheets/d/14Bd19lYaqBhU8_DElYkX7l4wRkHqqCUFNJY4AfY3kHU/edit?usp=sharing  #gid=0"",""фіз особи new!relations_name_uo""),7,FALSE)
,
)
))"),"КОЗОВИЙ Артем Геннадійович")</f>
        <v>КОЗОВИЙ Артем Геннадійович</v>
      </c>
      <c r="G7926" s="7" t="s">
        <v>10</v>
      </c>
      <c r="H7926" s="7">
        <v>2003</v>
      </c>
      <c r="I7926" s="8" t="str">
        <f ca="1">IFERROR(__xludf.DUMMYFUNCTION("IF
(
G7927=""фізична особа""
,
VLOOKUP(H7927,IMPORTRANGE(""https://docs.google.com/spreadsheets/d/14Bd19lYaqBhU8_DElYkX7l4wRkHqqCUFNJY4AfY3kHU/edit?usp=sharing  #gid=0"",""фіз особи new!relations_name""),6,FALSE)
,
(IF
(
G7927=""юридична особа""
,
VLOOKUP"&amp;"(H7927,IMPORTRANGE(""https://docs.google.com/spreadsheets/d/14Bd19lYaqBhU8_DElYkX7l4wRkHqqCUFNJY4AfY3kHU/edit?usp=sharing  #gid=0"",""фіз особи new!relations_name_uo""),7,FALSE)
,
)
))"),"КОЗОВИЙ Геннадій Іванович")</f>
        <v>КОЗОВИЙ Геннадій Іванович</v>
      </c>
      <c r="J7926" s="7" t="s">
        <v>12</v>
      </c>
    </row>
    <row r="7927" spans="1:10" ht="13.2">
      <c r="A7927" s="7">
        <v>7926</v>
      </c>
      <c r="B7927" s="7">
        <v>1</v>
      </c>
      <c r="C7927" s="7" t="s">
        <v>10</v>
      </c>
      <c r="D7927" s="7">
        <v>8825</v>
      </c>
      <c r="E7927" s="7" t="s">
        <v>15</v>
      </c>
      <c r="F7927" s="8" t="str">
        <f ca="1">IFERROR(__xludf.DUMMYFUNCTION("IF
(
C7928=""фізична особа""
,
VLOOKUP(D7928,IMPORTRANGE(""https://docs.google.com/spreadsheets/d/14Bd19lYaqBhU8_DElYkX7l4wRkHqqCUFNJY4AfY3kHU/edit?usp=sharing  #gid=0"",""фіз особи new!relations_name""),6,FALSE)
,
(IF
(
C7928=""юридична особа""
,
VLOOKUP"&amp;"(D7928,IMPORTRANGE(""https://docs.google.com/spreadsheets/d/14Bd19lYaqBhU8_DElYkX7l4wRkHqqCUFNJY4AfY3kHU/edit?usp=sharing  #gid=0"",""фіз особи new!relations_name_uo""),7,FALSE)
,
)
))"),"КАРАПЕТЯН Етері Вагінаківна")</f>
        <v>КАРАПЕТЯН Етері Вагінаківна</v>
      </c>
      <c r="G7927" s="7" t="s">
        <v>10</v>
      </c>
      <c r="H7927" s="7">
        <v>1991</v>
      </c>
      <c r="I7927" s="8" t="str">
        <f ca="1">IFERROR(__xludf.DUMMYFUNCTION("IF
(
G7928=""фізична особа""
,
VLOOKUP(H7928,IMPORTRANGE(""https://docs.google.com/spreadsheets/d/14Bd19lYaqBhU8_DElYkX7l4wRkHqqCUFNJY4AfY3kHU/edit?usp=sharing  #gid=0"",""фіз особи new!relations_name""),6,FALSE)
,
(IF
(
G7928=""юридична особа""
,
VLOOKUP"&amp;"(H7928,IMPORTRANGE(""https://docs.google.com/spreadsheets/d/14Bd19lYaqBhU8_DElYkX7l4wRkHqqCUFNJY4AfY3kHU/edit?usp=sharing  #gid=0"",""фіз особи new!relations_name_uo""),7,FALSE)
,
)
))"),"КАРАПЕТЯН Самвел Саркісович")</f>
        <v>КАРАПЕТЯН Самвел Саркісович</v>
      </c>
      <c r="J7927" s="7" t="s">
        <v>14</v>
      </c>
    </row>
    <row r="7928" spans="1:10" ht="13.2">
      <c r="A7928" s="7">
        <v>7927</v>
      </c>
      <c r="B7928" s="7">
        <v>1</v>
      </c>
      <c r="C7928" s="7" t="s">
        <v>10</v>
      </c>
      <c r="D7928" s="7">
        <v>8826</v>
      </c>
      <c r="E7928" s="7" t="s">
        <v>15</v>
      </c>
      <c r="F7928" s="8" t="str">
        <f ca="1">IFERROR(__xludf.DUMMYFUNCTION("IF
(
C7929=""фізична особа""
,
VLOOKUP(D7929,IMPORTRANGE(""https://docs.google.com/spreadsheets/d/14Bd19lYaqBhU8_DElYkX7l4wRkHqqCUFNJY4AfY3kHU/edit?usp=sharing  #gid=0"",""фіз особи new!relations_name""),6,FALSE)
,
(IF
(
C7929=""юридична особа""
,
VLOOKUP"&amp;"(D7929,IMPORTRANGE(""https://docs.google.com/spreadsheets/d/14Bd19lYaqBhU8_DElYkX7l4wRkHqqCUFNJY4AfY3kHU/edit?usp=sharing  #gid=0"",""фіз особи new!relations_name_uo""),7,FALSE)
,
)
))"),"САВВІДІ Кіріяки Георгіївна")</f>
        <v>САВВІДІ Кіріяки Георгіївна</v>
      </c>
      <c r="G7928" s="7" t="s">
        <v>10</v>
      </c>
      <c r="H7928" s="7">
        <v>2054</v>
      </c>
      <c r="I7928" s="8" t="str">
        <f ca="1">IFERROR(__xludf.DUMMYFUNCTION("IF
(
G7929=""фізична особа""
,
VLOOKUP(H7929,IMPORTRANGE(""https://docs.google.com/spreadsheets/d/14Bd19lYaqBhU8_DElYkX7l4wRkHqqCUFNJY4AfY3kHU/edit?usp=sharing  #gid=0"",""фіз особи new!relations_name""),6,FALSE)
,
(IF
(
G7929=""юридична особа""
,
VLOOKUP"&amp;"(H7929,IMPORTRANGE(""https://docs.google.com/spreadsheets/d/14Bd19lYaqBhU8_DElYkX7l4wRkHqqCUFNJY4AfY3kHU/edit?usp=sharing  #gid=0"",""фіз особи new!relations_name_uo""),7,FALSE)
,
)
))"),"САВВІДІ Іван Ігнатович")</f>
        <v>САВВІДІ Іван Ігнатович</v>
      </c>
      <c r="J7928" s="7" t="s">
        <v>14</v>
      </c>
    </row>
    <row r="7929" spans="1:10" ht="13.2">
      <c r="A7929" s="7">
        <v>7928</v>
      </c>
      <c r="B7929" s="7">
        <v>1</v>
      </c>
      <c r="C7929" s="7" t="s">
        <v>10</v>
      </c>
      <c r="D7929" s="7">
        <v>8826</v>
      </c>
      <c r="E7929" s="7" t="s">
        <v>21</v>
      </c>
      <c r="F7929" s="8" t="str">
        <f ca="1">IFERROR(__xludf.DUMMYFUNCTION("IF
(
C7930=""фізична особа""
,
VLOOKUP(D7930,IMPORTRANGE(""https://docs.google.com/spreadsheets/d/14Bd19lYaqBhU8_DElYkX7l4wRkHqqCUFNJY4AfY3kHU/edit?usp=sharing  #gid=0"",""фіз особи new!relations_name""),6,FALSE)
,
(IF
(
C7930=""юридична особа""
,
VLOOKUP"&amp;"(D7930,IMPORTRANGE(""https://docs.google.com/spreadsheets/d/14Bd19lYaqBhU8_DElYkX7l4wRkHqqCUFNJY4AfY3kHU/edit?usp=sharing  #gid=0"",""фіз особи new!relations_name_uo""),7,FALSE)
,
)
))"),"САВВІДІ Кіріяки Георгіївна")</f>
        <v>САВВІДІ Кіріяки Георгіївна</v>
      </c>
      <c r="G7929" s="7" t="s">
        <v>10</v>
      </c>
      <c r="H7929" s="7">
        <v>0</v>
      </c>
      <c r="I7929" s="8" t="str">
        <f ca="1">IFERROR(__xludf.DUMMYFUNCTION("IF
(
G7930=""фізична особа""
,
VLOOKUP(H7930,IMPORTRANGE(""https://docs.google.com/spreadsheets/d/14Bd19lYaqBhU8_DElYkX7l4wRkHqqCUFNJY4AfY3kHU/edit?usp=sharing  #gid=0"",""фіз особи new!relations_name""),6,FALSE)
,
(IF
(
G7930=""юридична особа""
,
VLOOKUP"&amp;"(H7930,IMPORTRANGE(""https://docs.google.com/spreadsheets/d/14Bd19lYaqBhU8_DElYkX7l4wRkHqqCUFNJY4AfY3kHU/edit?usp=sharing  #gid=0"",""фіз особи new!relations_name_uo""),7,FALSE)
,
)
))"),"#N/A")</f>
        <v>#N/A</v>
      </c>
      <c r="J7929" s="7" t="s">
        <v>17</v>
      </c>
    </row>
    <row r="7930" spans="1:10" ht="13.2">
      <c r="A7930" s="7">
        <v>7929</v>
      </c>
      <c r="B7930" s="7">
        <v>1</v>
      </c>
      <c r="C7930" s="7" t="s">
        <v>10</v>
      </c>
      <c r="D7930" s="7">
        <v>8827</v>
      </c>
      <c r="E7930" s="7" t="s">
        <v>15</v>
      </c>
      <c r="F7930" s="8" t="str">
        <f ca="1">IFERROR(__xludf.DUMMYFUNCTION("IF
(
C7931=""фізична особа""
,
VLOOKUP(D7931,IMPORTRANGE(""https://docs.google.com/spreadsheets/d/14Bd19lYaqBhU8_DElYkX7l4wRkHqqCUFNJY4AfY3kHU/edit?usp=sharing  #gid=0"",""фіз особи new!relations_name""),6,FALSE)
,
(IF
(
C7931=""юридична особа""
,
VLOOKUP"&amp;"(D7931,IMPORTRANGE(""https://docs.google.com/spreadsheets/d/14Bd19lYaqBhU8_DElYkX7l4wRkHqqCUFNJY4AfY3kHU/edit?usp=sharing  #gid=0"",""фіз особи new!relations_name_uo""),7,FALSE)
,
)
))"),"ЗОНАБЕНД / ВАДАНЯН Вероніка Феліксівна")</f>
        <v>ЗОНАБЕНД / ВАДАНЯН Вероніка Феліксівна</v>
      </c>
      <c r="G7930" s="7" t="s">
        <v>10</v>
      </c>
      <c r="H7930" s="7">
        <v>3346</v>
      </c>
      <c r="I7930" s="8" t="str">
        <f ca="1">IFERROR(__xludf.DUMMYFUNCTION("IF
(
G7931=""фізична особа""
,
VLOOKUP(H7931,IMPORTRANGE(""https://docs.google.com/spreadsheets/d/14Bd19lYaqBhU8_DElYkX7l4wRkHqqCUFNJY4AfY3kHU/edit?usp=sharing  #gid=0"",""фіз особи new!relations_name""),6,FALSE)
,
(IF
(
G7931=""юридична особа""
,
VLOOKUP"&amp;"(H7931,IMPORTRANGE(""https://docs.google.com/spreadsheets/d/14Bd19lYaqBhU8_DElYkX7l4wRkHqqCUFNJY4AfY3kHU/edit?usp=sharing  #gid=0"",""фіз особи new!relations_name_uo""),7,FALSE)
,
)
))"),"ВАРДАНЯН Рубен Карленович")</f>
        <v>ВАРДАНЯН Рубен Карленович</v>
      </c>
      <c r="J7930" s="7" t="s">
        <v>14</v>
      </c>
    </row>
    <row r="7931" spans="1:10" ht="13.2">
      <c r="A7931" s="7">
        <v>7930</v>
      </c>
      <c r="B7931" s="7">
        <v>1</v>
      </c>
      <c r="C7931" s="7" t="s">
        <v>10</v>
      </c>
      <c r="D7931" s="7">
        <v>8828</v>
      </c>
      <c r="E7931" s="7" t="s">
        <v>17</v>
      </c>
      <c r="F7931" s="8" t="str">
        <f ca="1">IFERROR(__xludf.DUMMYFUNCTION("IF
(
C7932=""фізична особа""
,
VLOOKUP(D7932,IMPORTRANGE(""https://docs.google.com/spreadsheets/d/14Bd19lYaqBhU8_DElYkX7l4wRkHqqCUFNJY4AfY3kHU/edit?usp=sharing  #gid=0"",""фіз особи new!relations_name""),6,FALSE)
,
(IF
(
C7932=""юридична особа""
,
VLOOKUP"&amp;"(D7932,IMPORTRANGE(""https://docs.google.com/spreadsheets/d/14Bd19lYaqBhU8_DElYkX7l4wRkHqqCUFNJY4AfY3kHU/edit?usp=sharing  #gid=0"",""фіз особи new!relations_name_uo""),7,FALSE)
,
)
))"),"ШИГАБУТДІНОВ Тимур Альбертович")</f>
        <v>ШИГАБУТДІНОВ Тимур Альбертович</v>
      </c>
      <c r="G7931" s="7" t="s">
        <v>10</v>
      </c>
      <c r="H7931" s="7">
        <v>2062</v>
      </c>
      <c r="I7931" s="8" t="str">
        <f ca="1">IFERROR(__xludf.DUMMYFUNCTION("IF
(
G7932=""фізична особа""
,
VLOOKUP(H7932,IMPORTRANGE(""https://docs.google.com/spreadsheets/d/14Bd19lYaqBhU8_DElYkX7l4wRkHqqCUFNJY4AfY3kHU/edit?usp=sharing  #gid=0"",""фіз особи new!relations_name""),6,FALSE)
,
(IF
(
G7932=""юридична особа""
,
VLOOKUP"&amp;"(H7932,IMPORTRANGE(""https://docs.google.com/spreadsheets/d/14Bd19lYaqBhU8_DElYkX7l4wRkHqqCUFNJY4AfY3kHU/edit?usp=sharing  #gid=0"",""фіз особи new!relations_name_uo""),7,FALSE)
,
)
))"),"ШИГАБУТДІНОВ Альберт Кашафович")</f>
        <v>ШИГАБУТДІНОВ Альберт Кашафович</v>
      </c>
      <c r="J7931" s="7" t="s">
        <v>12</v>
      </c>
    </row>
    <row r="7932" spans="1:10" ht="13.2">
      <c r="A7932" s="7">
        <v>7931</v>
      </c>
      <c r="B7932" s="7">
        <v>1</v>
      </c>
      <c r="C7932" s="7" t="s">
        <v>10</v>
      </c>
      <c r="D7932" s="7">
        <v>8828</v>
      </c>
      <c r="E7932" s="7" t="s">
        <v>17</v>
      </c>
      <c r="F7932" s="8" t="str">
        <f ca="1">IFERROR(__xludf.DUMMYFUNCTION("IF
(
C7933=""фізична особа""
,
VLOOKUP(D7933,IMPORTRANGE(""https://docs.google.com/spreadsheets/d/14Bd19lYaqBhU8_DElYkX7l4wRkHqqCUFNJY4AfY3kHU/edit?usp=sharing  #gid=0"",""фіз особи new!relations_name""),6,FALSE)
,
(IF
(
C7933=""юридична особа""
,
VLOOKUP"&amp;"(D7933,IMPORTRANGE(""https://docs.google.com/spreadsheets/d/14Bd19lYaqBhU8_DElYkX7l4wRkHqqCUFNJY4AfY3kHU/edit?usp=sharing  #gid=0"",""фіз особи new!relations_name_uo""),7,FALSE)
,
)
))"),"ШИГАБУТДІНОВ Тимур Альбертович")</f>
        <v>ШИГАБУТДІНОВ Тимур Альбертович</v>
      </c>
      <c r="G7932" s="7" t="s">
        <v>10</v>
      </c>
      <c r="H7932" s="7">
        <v>8829</v>
      </c>
      <c r="I7932" s="8" t="str">
        <f ca="1">IFERROR(__xludf.DUMMYFUNCTION("IF
(
G7933=""фізична особа""
,
VLOOKUP(H7933,IMPORTRANGE(""https://docs.google.com/spreadsheets/d/14Bd19lYaqBhU8_DElYkX7l4wRkHqqCUFNJY4AfY3kHU/edit?usp=sharing  #gid=0"",""фіз особи new!relations_name""),6,FALSE)
,
(IF
(
G7933=""юридична особа""
,
VLOOKUP"&amp;"(H7933,IMPORTRANGE(""https://docs.google.com/spreadsheets/d/14Bd19lYaqBhU8_DElYkX7l4wRkHqqCUFNJY4AfY3kHU/edit?usp=sharing  #gid=0"",""фіз особи new!relations_name_uo""),7,FALSE)
,
)
))"),"ШИГАБУТДІНОВА Галія Вагізівна")</f>
        <v>ШИГАБУТДІНОВА Галія Вагізівна</v>
      </c>
      <c r="J7932" s="7" t="s">
        <v>21</v>
      </c>
    </row>
    <row r="7933" spans="1:10" ht="13.2">
      <c r="A7933" s="7">
        <v>7932</v>
      </c>
      <c r="B7933" s="7">
        <v>1</v>
      </c>
      <c r="C7933" s="7" t="s">
        <v>10</v>
      </c>
      <c r="D7933" s="7">
        <v>8828</v>
      </c>
      <c r="E7933" s="7" t="s">
        <v>18</v>
      </c>
      <c r="F7933" s="8" t="str">
        <f ca="1">IFERROR(__xludf.DUMMYFUNCTION("IF
(
C7934=""фізична особа""
,
VLOOKUP(D7934,IMPORTRANGE(""https://docs.google.com/spreadsheets/d/14Bd19lYaqBhU8_DElYkX7l4wRkHqqCUFNJY4AfY3kHU/edit?usp=sharing  #gid=0"",""фіз особи new!relations_name""),6,FALSE)
,
(IF
(
C7934=""юридична особа""
,
VLOOKUP"&amp;"(D7934,IMPORTRANGE(""https://docs.google.com/spreadsheets/d/14Bd19lYaqBhU8_DElYkX7l4wRkHqqCUFNJY4AfY3kHU/edit?usp=sharing  #gid=0"",""фіз особи new!relations_name_uo""),7,FALSE)
,
)
))"),"ШИГАБУТДІНОВ Тимур Альбертович")</f>
        <v>ШИГАБУТДІНОВ Тимур Альбертович</v>
      </c>
      <c r="G7933" s="7" t="s">
        <v>10</v>
      </c>
      <c r="H7933" s="7">
        <v>23578</v>
      </c>
      <c r="I7933" s="8" t="str">
        <f ca="1">IFERROR(__xludf.DUMMYFUNCTION("IF
(
G7934=""фізична особа""
,
VLOOKUP(H7934,IMPORTRANGE(""https://docs.google.com/spreadsheets/d/14Bd19lYaqBhU8_DElYkX7l4wRkHqqCUFNJY4AfY3kHU/edit?usp=sharing  #gid=0"",""фіз особи new!relations_name""),6,FALSE)
,
(IF
(
G7934=""юридична особа""
,
VLOOKUP"&amp;"(H7934,IMPORTRANGE(""https://docs.google.com/spreadsheets/d/14Bd19lYaqBhU8_DElYkX7l4wRkHqqCUFNJY4AfY3kHU/edit?usp=sharing  #gid=0"",""фіз особи new!relations_name_uo""),7,FALSE)
,
)
))"),"ШИГАБУТДИНОВ Руслан Альбертович")</f>
        <v>ШИГАБУТДИНОВ Руслан Альбертович</v>
      </c>
      <c r="J7933" s="7" t="s">
        <v>18</v>
      </c>
    </row>
    <row r="7934" spans="1:10" ht="13.2">
      <c r="A7934" s="7">
        <v>7933</v>
      </c>
      <c r="B7934" s="7">
        <v>1</v>
      </c>
      <c r="C7934" s="7" t="s">
        <v>10</v>
      </c>
      <c r="D7934" s="7">
        <v>8829</v>
      </c>
      <c r="E7934" s="7" t="s">
        <v>15</v>
      </c>
      <c r="F7934" s="8" t="str">
        <f ca="1">IFERROR(__xludf.DUMMYFUNCTION("IF
(
C7935=""фізична особа""
,
VLOOKUP(D7935,IMPORTRANGE(""https://docs.google.com/spreadsheets/d/14Bd19lYaqBhU8_DElYkX7l4wRkHqqCUFNJY4AfY3kHU/edit?usp=sharing  #gid=0"",""фіз особи new!relations_name""),6,FALSE)
,
(IF
(
C7935=""юридична особа""
,
VLOOKUP"&amp;"(D7935,IMPORTRANGE(""https://docs.google.com/spreadsheets/d/14Bd19lYaqBhU8_DElYkX7l4wRkHqqCUFNJY4AfY3kHU/edit?usp=sharing  #gid=0"",""фіз особи new!relations_name_uo""),7,FALSE)
,
)
))"),"ШИГАБУТДІНОВА Галія Вагізівна")</f>
        <v>ШИГАБУТДІНОВА Галія Вагізівна</v>
      </c>
      <c r="G7934" s="7" t="s">
        <v>10</v>
      </c>
      <c r="H7934" s="7">
        <v>2062</v>
      </c>
      <c r="I7934" s="8" t="str">
        <f ca="1">IFERROR(__xludf.DUMMYFUNCTION("IF
(
G7935=""фізична особа""
,
VLOOKUP(H7935,IMPORTRANGE(""https://docs.google.com/spreadsheets/d/14Bd19lYaqBhU8_DElYkX7l4wRkHqqCUFNJY4AfY3kHU/edit?usp=sharing  #gid=0"",""фіз особи new!relations_name""),6,FALSE)
,
(IF
(
G7935=""юридична особа""
,
VLOOKUP"&amp;"(H7935,IMPORTRANGE(""https://docs.google.com/spreadsheets/d/14Bd19lYaqBhU8_DElYkX7l4wRkHqqCUFNJY4AfY3kHU/edit?usp=sharing  #gid=0"",""фіз особи new!relations_name_uo""),7,FALSE)
,
)
))"),"ШИГАБУТДІНОВ Альберт Кашафович")</f>
        <v>ШИГАБУТДІНОВ Альберт Кашафович</v>
      </c>
      <c r="J7934" s="7" t="s">
        <v>14</v>
      </c>
    </row>
    <row r="7935" spans="1:10" ht="13.2">
      <c r="A7935" s="7">
        <v>7934</v>
      </c>
      <c r="B7935" s="7">
        <v>1</v>
      </c>
      <c r="C7935" s="7" t="s">
        <v>10</v>
      </c>
      <c r="D7935" s="7">
        <v>8829</v>
      </c>
      <c r="E7935" s="7" t="s">
        <v>21</v>
      </c>
      <c r="F7935" s="8" t="str">
        <f ca="1">IFERROR(__xludf.DUMMYFUNCTION("IF
(
C7936=""фізична особа""
,
VLOOKUP(D7936,IMPORTRANGE(""https://docs.google.com/spreadsheets/d/14Bd19lYaqBhU8_DElYkX7l4wRkHqqCUFNJY4AfY3kHU/edit?usp=sharing  #gid=0"",""фіз особи new!relations_name""),6,FALSE)
,
(IF
(
C7936=""юридична особа""
,
VLOOKUP"&amp;"(D7936,IMPORTRANGE(""https://docs.google.com/spreadsheets/d/14Bd19lYaqBhU8_DElYkX7l4wRkHqqCUFNJY4AfY3kHU/edit?usp=sharing  #gid=0"",""фіз особи new!relations_name_uo""),7,FALSE)
,
)
))"),"ШИГАБУТДІНОВА Галія Вагізівна")</f>
        <v>ШИГАБУТДІНОВА Галія Вагізівна</v>
      </c>
      <c r="G7935" s="7" t="s">
        <v>10</v>
      </c>
      <c r="H7935" s="7">
        <v>8828</v>
      </c>
      <c r="I7935" s="8" t="str">
        <f ca="1">IFERROR(__xludf.DUMMYFUNCTION("IF
(
G7936=""фізична особа""
,
VLOOKUP(H7936,IMPORTRANGE(""https://docs.google.com/spreadsheets/d/14Bd19lYaqBhU8_DElYkX7l4wRkHqqCUFNJY4AfY3kHU/edit?usp=sharing  #gid=0"",""фіз особи new!relations_name""),6,FALSE)
,
(IF
(
G7936=""юридична особа""
,
VLOOKUP"&amp;"(H7936,IMPORTRANGE(""https://docs.google.com/spreadsheets/d/14Bd19lYaqBhU8_DElYkX7l4wRkHqqCUFNJY4AfY3kHU/edit?usp=sharing  #gid=0"",""фіз особи new!relations_name_uo""),7,FALSE)
,
)
))"),"ШИГАБУТДІНОВ Тимур Альбертович")</f>
        <v>ШИГАБУТДІНОВ Тимур Альбертович</v>
      </c>
      <c r="J7935" s="7" t="s">
        <v>17</v>
      </c>
    </row>
    <row r="7936" spans="1:10" ht="13.2">
      <c r="A7936" s="7">
        <v>7935</v>
      </c>
      <c r="B7936" s="7">
        <v>1</v>
      </c>
      <c r="C7936" s="7" t="s">
        <v>10</v>
      </c>
      <c r="D7936" s="7">
        <v>8829</v>
      </c>
      <c r="E7936" s="7" t="s">
        <v>21</v>
      </c>
      <c r="F7936" s="8" t="str">
        <f ca="1">IFERROR(__xludf.DUMMYFUNCTION("IF
(
C7937=""фізична особа""
,
VLOOKUP(D7937,IMPORTRANGE(""https://docs.google.com/spreadsheets/d/14Bd19lYaqBhU8_DElYkX7l4wRkHqqCUFNJY4AfY3kHU/edit?usp=sharing  #gid=0"",""фіз особи new!relations_name""),6,FALSE)
,
(IF
(
C7937=""юридична особа""
,
VLOOKUP"&amp;"(D7937,IMPORTRANGE(""https://docs.google.com/spreadsheets/d/14Bd19lYaqBhU8_DElYkX7l4wRkHqqCUFNJY4AfY3kHU/edit?usp=sharing  #gid=0"",""фіз особи new!relations_name_uo""),7,FALSE)
,
)
))"),"ШИГАБУТДІНОВА Галія Вагізівна")</f>
        <v>ШИГАБУТДІНОВА Галія Вагізівна</v>
      </c>
      <c r="G7936" s="7" t="s">
        <v>10</v>
      </c>
      <c r="H7936" s="7">
        <v>23578</v>
      </c>
      <c r="I7936" s="8" t="str">
        <f ca="1">IFERROR(__xludf.DUMMYFUNCTION("IF
(
G7937=""фізична особа""
,
VLOOKUP(H7937,IMPORTRANGE(""https://docs.google.com/spreadsheets/d/14Bd19lYaqBhU8_DElYkX7l4wRkHqqCUFNJY4AfY3kHU/edit?usp=sharing  #gid=0"",""фіз особи new!relations_name""),6,FALSE)
,
(IF
(
G7937=""юридична особа""
,
VLOOKUP"&amp;"(H7937,IMPORTRANGE(""https://docs.google.com/spreadsheets/d/14Bd19lYaqBhU8_DElYkX7l4wRkHqqCUFNJY4AfY3kHU/edit?usp=sharing  #gid=0"",""фіз особи new!relations_name_uo""),7,FALSE)
,
)
))"),"ШИГАБУТДИНОВ Руслан Альбертович")</f>
        <v>ШИГАБУТДИНОВ Руслан Альбертович</v>
      </c>
      <c r="J7936" s="7" t="s">
        <v>17</v>
      </c>
    </row>
    <row r="7937" spans="1:10" ht="13.2">
      <c r="A7937" s="7">
        <v>7936</v>
      </c>
      <c r="B7937" s="7">
        <v>1</v>
      </c>
      <c r="C7937" s="7" t="s">
        <v>10</v>
      </c>
      <c r="D7937" s="7">
        <v>8830</v>
      </c>
      <c r="E7937" s="7" t="s">
        <v>15</v>
      </c>
      <c r="F7937" s="8" t="str">
        <f ca="1">IFERROR(__xludf.DUMMYFUNCTION("IF
(
C7938=""фізична особа""
,
VLOOKUP(D7938,IMPORTRANGE(""https://docs.google.com/spreadsheets/d/14Bd19lYaqBhU8_DElYkX7l4wRkHqqCUFNJY4AfY3kHU/edit?usp=sharing  #gid=0"",""фіз особи new!relations_name""),6,FALSE)
,
(IF
(
C7938=""юридична особа""
,
VLOOKUP"&amp;"(D7938,IMPORTRANGE(""https://docs.google.com/spreadsheets/d/14Bd19lYaqBhU8_DElYkX7l4wRkHqqCUFNJY4AfY3kHU/edit?usp=sharing  #gid=0"",""фіз особи new!relations_name_uo""),7,FALSE)
,
)
))"),"ЗІНГАРЕВИЧ Тетяна Михайлівна")</f>
        <v>ЗІНГАРЕВИЧ Тетяна Михайлівна</v>
      </c>
      <c r="G7937" s="7" t="s">
        <v>10</v>
      </c>
      <c r="H7937" s="7">
        <v>2093</v>
      </c>
      <c r="I7937" s="8" t="str">
        <f ca="1">IFERROR(__xludf.DUMMYFUNCTION("IF
(
G7938=""фізична особа""
,
VLOOKUP(H7938,IMPORTRANGE(""https://docs.google.com/spreadsheets/d/14Bd19lYaqBhU8_DElYkX7l4wRkHqqCUFNJY4AfY3kHU/edit?usp=sharing  #gid=0"",""фіз особи new!relations_name""),6,FALSE)
,
(IF
(
G7938=""юридична особа""
,
VLOOKUP"&amp;"(H7938,IMPORTRANGE(""https://docs.google.com/spreadsheets/d/14Bd19lYaqBhU8_DElYkX7l4wRkHqqCUFNJY4AfY3kHU/edit?usp=sharing  #gid=0"",""фіз особи new!relations_name_uo""),7,FALSE)
,
)
))"),"ЗІНГАРЕВИЧ Борис Геннадійович")</f>
        <v>ЗІНГАРЕВИЧ Борис Геннадійович</v>
      </c>
      <c r="J7937" s="7" t="s">
        <v>14</v>
      </c>
    </row>
    <row r="7938" spans="1:10" ht="13.2">
      <c r="A7938" s="7">
        <v>7937</v>
      </c>
      <c r="B7938" s="7">
        <v>1</v>
      </c>
      <c r="C7938" s="7" t="s">
        <v>10</v>
      </c>
      <c r="D7938" s="7">
        <v>8830</v>
      </c>
      <c r="E7938" s="7" t="s">
        <v>21</v>
      </c>
      <c r="F7938" s="8" t="str">
        <f ca="1">IFERROR(__xludf.DUMMYFUNCTION("IF
(
C7939=""фізична особа""
,
VLOOKUP(D7939,IMPORTRANGE(""https://docs.google.com/spreadsheets/d/14Bd19lYaqBhU8_DElYkX7l4wRkHqqCUFNJY4AfY3kHU/edit?usp=sharing  #gid=0"",""фіз особи new!relations_name""),6,FALSE)
,
(IF
(
C7939=""юридична особа""
,
VLOOKUP"&amp;"(D7939,IMPORTRANGE(""https://docs.google.com/spreadsheets/d/14Bd19lYaqBhU8_DElYkX7l4wRkHqqCUFNJY4AfY3kHU/edit?usp=sharing  #gid=0"",""фіз особи new!relations_name_uo""),7,FALSE)
,
)
))"),"ЗІНГАРЕВИЧ Тетяна Михайлівна")</f>
        <v>ЗІНГАРЕВИЧ Тетяна Михайлівна</v>
      </c>
      <c r="G7938" s="7" t="s">
        <v>10</v>
      </c>
      <c r="H7938" s="7">
        <v>8831</v>
      </c>
      <c r="I7938" s="8" t="str">
        <f ca="1">IFERROR(__xludf.DUMMYFUNCTION("IF
(
G7939=""фізична особа""
,
VLOOKUP(H7939,IMPORTRANGE(""https://docs.google.com/spreadsheets/d/14Bd19lYaqBhU8_DElYkX7l4wRkHqqCUFNJY4AfY3kHU/edit?usp=sharing  #gid=0"",""фіз особи new!relations_name""),6,FALSE)
,
(IF
(
G7939=""юридична особа""
,
VLOOKUP"&amp;"(H7939,IMPORTRANGE(""https://docs.google.com/spreadsheets/d/14Bd19lYaqBhU8_DElYkX7l4wRkHqqCUFNJY4AfY3kHU/edit?usp=sharing  #gid=0"",""фіз особи new!relations_name_uo""),7,FALSE)
,
)
))"),"ЗІНГАРЕВИЧ Антон Борисович")</f>
        <v>ЗІНГАРЕВИЧ Антон Борисович</v>
      </c>
      <c r="J7938" s="7" t="s">
        <v>17</v>
      </c>
    </row>
    <row r="7939" spans="1:10" ht="13.2">
      <c r="A7939" s="7">
        <v>7938</v>
      </c>
      <c r="B7939" s="7">
        <v>1</v>
      </c>
      <c r="C7939" s="7" t="s">
        <v>10</v>
      </c>
      <c r="D7939" s="7">
        <v>8831</v>
      </c>
      <c r="E7939" s="7" t="s">
        <v>17</v>
      </c>
      <c r="F7939" s="8" t="str">
        <f ca="1">IFERROR(__xludf.DUMMYFUNCTION("IF
(
C7940=""фізична особа""
,
VLOOKUP(D7940,IMPORTRANGE(""https://docs.google.com/spreadsheets/d/14Bd19lYaqBhU8_DElYkX7l4wRkHqqCUFNJY4AfY3kHU/edit?usp=sharing  #gid=0"",""фіз особи new!relations_name""),6,FALSE)
,
(IF
(
C7940=""юридична особа""
,
VLOOKUP"&amp;"(D7940,IMPORTRANGE(""https://docs.google.com/spreadsheets/d/14Bd19lYaqBhU8_DElYkX7l4wRkHqqCUFNJY4AfY3kHU/edit?usp=sharing  #gid=0"",""фіз особи new!relations_name_uo""),7,FALSE)
,
)
))"),"ЗІНГАРЕВИЧ Антон Борисович")</f>
        <v>ЗІНГАРЕВИЧ Антон Борисович</v>
      </c>
      <c r="G7939" s="7" t="s">
        <v>10</v>
      </c>
      <c r="H7939" s="7">
        <v>2093</v>
      </c>
      <c r="I7939" s="8" t="str">
        <f ca="1">IFERROR(__xludf.DUMMYFUNCTION("IF
(
G7940=""фізична особа""
,
VLOOKUP(H7940,IMPORTRANGE(""https://docs.google.com/spreadsheets/d/14Bd19lYaqBhU8_DElYkX7l4wRkHqqCUFNJY4AfY3kHU/edit?usp=sharing  #gid=0"",""фіз особи new!relations_name""),6,FALSE)
,
(IF
(
G7940=""юридична особа""
,
VLOOKUP"&amp;"(H7940,IMPORTRANGE(""https://docs.google.com/spreadsheets/d/14Bd19lYaqBhU8_DElYkX7l4wRkHqqCUFNJY4AfY3kHU/edit?usp=sharing  #gid=0"",""фіз особи new!relations_name_uo""),7,FALSE)
,
)
))"),"ЗІНГАРЕВИЧ Борис Геннадійович")</f>
        <v>ЗІНГАРЕВИЧ Борис Геннадійович</v>
      </c>
      <c r="J7939" s="7" t="s">
        <v>12</v>
      </c>
    </row>
    <row r="7940" spans="1:10" ht="13.2">
      <c r="A7940" s="7">
        <v>7939</v>
      </c>
      <c r="B7940" s="7">
        <v>1</v>
      </c>
      <c r="C7940" s="7" t="s">
        <v>10</v>
      </c>
      <c r="D7940" s="7">
        <v>8831</v>
      </c>
      <c r="E7940" s="7" t="s">
        <v>17</v>
      </c>
      <c r="F7940" s="8" t="str">
        <f ca="1">IFERROR(__xludf.DUMMYFUNCTION("IF
(
C7941=""фізична особа""
,
VLOOKUP(D7941,IMPORTRANGE(""https://docs.google.com/spreadsheets/d/14Bd19lYaqBhU8_DElYkX7l4wRkHqqCUFNJY4AfY3kHU/edit?usp=sharing  #gid=0"",""фіз особи new!relations_name""),6,FALSE)
,
(IF
(
C7941=""юридична особа""
,
VLOOKUP"&amp;"(D7941,IMPORTRANGE(""https://docs.google.com/spreadsheets/d/14Bd19lYaqBhU8_DElYkX7l4wRkHqqCUFNJY4AfY3kHU/edit?usp=sharing  #gid=0"",""фіз особи new!relations_name_uo""),7,FALSE)
,
)
))"),"ЗІНГАРЕВИЧ Антон Борисович")</f>
        <v>ЗІНГАРЕВИЧ Антон Борисович</v>
      </c>
      <c r="G7940" s="7" t="s">
        <v>10</v>
      </c>
      <c r="H7940" s="7">
        <v>8830</v>
      </c>
      <c r="I7940" s="8" t="str">
        <f ca="1">IFERROR(__xludf.DUMMYFUNCTION("IF
(
G7941=""фізична особа""
,
VLOOKUP(H7941,IMPORTRANGE(""https://docs.google.com/spreadsheets/d/14Bd19lYaqBhU8_DElYkX7l4wRkHqqCUFNJY4AfY3kHU/edit?usp=sharing  #gid=0"",""фіз особи new!relations_name""),6,FALSE)
,
(IF
(
G7941=""юридична особа""
,
VLOOKUP"&amp;"(H7941,IMPORTRANGE(""https://docs.google.com/spreadsheets/d/14Bd19lYaqBhU8_DElYkX7l4wRkHqqCUFNJY4AfY3kHU/edit?usp=sharing  #gid=0"",""фіз особи new!relations_name_uo""),7,FALSE)
,
)
))"),"ЗІНГАРЕВИЧ Тетяна Михайлівна")</f>
        <v>ЗІНГАРЕВИЧ Тетяна Михайлівна</v>
      </c>
      <c r="J7940" s="7" t="s">
        <v>21</v>
      </c>
    </row>
    <row r="7941" spans="1:10" ht="13.2">
      <c r="A7941" s="7">
        <v>7940</v>
      </c>
      <c r="B7941" s="7">
        <v>1</v>
      </c>
      <c r="C7941" s="7" t="s">
        <v>10</v>
      </c>
      <c r="D7941" s="7">
        <v>8831</v>
      </c>
      <c r="E7941" s="7" t="s">
        <v>20</v>
      </c>
      <c r="F7941" s="8" t="str">
        <f ca="1">IFERROR(__xludf.DUMMYFUNCTION("IF
(
C7942=""фізична особа""
,
VLOOKUP(D7942,IMPORTRANGE(""https://docs.google.com/spreadsheets/d/14Bd19lYaqBhU8_DElYkX7l4wRkHqqCUFNJY4AfY3kHU/edit?usp=sharing  #gid=0"",""фіз особи new!relations_name""),6,FALSE)
,
(IF
(
C7942=""юридична особа""
,
VLOOKUP"&amp;"(D7942,IMPORTRANGE(""https://docs.google.com/spreadsheets/d/14Bd19lYaqBhU8_DElYkX7l4wRkHqqCUFNJY4AfY3kHU/edit?usp=sharing  #gid=0"",""фіз особи new!relations_name_uo""),7,FALSE)
,
)
))"),"ЗІНГАРЕВИЧ Антон Борисович")</f>
        <v>ЗІНГАРЕВИЧ Антон Борисович</v>
      </c>
      <c r="G7941" s="7" t="s">
        <v>10</v>
      </c>
      <c r="H7941" s="7">
        <v>0</v>
      </c>
      <c r="I7941" s="8" t="str">
        <f ca="1">IFERROR(__xludf.DUMMYFUNCTION("IF
(
G7942=""фізична особа""
,
VLOOKUP(H7942,IMPORTRANGE(""https://docs.google.com/spreadsheets/d/14Bd19lYaqBhU8_DElYkX7l4wRkHqqCUFNJY4AfY3kHU/edit?usp=sharing  #gid=0"",""фіз особи new!relations_name""),6,FALSE)
,
(IF
(
G7942=""юридична особа""
,
VLOOKUP"&amp;"(H7942,IMPORTRANGE(""https://docs.google.com/spreadsheets/d/14Bd19lYaqBhU8_DElYkX7l4wRkHqqCUFNJY4AfY3kHU/edit?usp=sharing  #gid=0"",""фіз особи new!relations_name_uo""),7,FALSE)
,
)
))"),"#N/A")</f>
        <v>#N/A</v>
      </c>
      <c r="J7941" s="7" t="s">
        <v>19</v>
      </c>
    </row>
    <row r="7942" spans="1:10" ht="13.2">
      <c r="A7942" s="7">
        <v>7941</v>
      </c>
      <c r="B7942" s="7">
        <v>1</v>
      </c>
      <c r="C7942" s="7" t="s">
        <v>10</v>
      </c>
      <c r="D7942" s="7">
        <v>8831</v>
      </c>
      <c r="E7942" s="7" t="s">
        <v>14</v>
      </c>
      <c r="F7942" s="8" t="str">
        <f ca="1">IFERROR(__xludf.DUMMYFUNCTION("IF
(
C7943=""фізична особа""
,
VLOOKUP(D7943,IMPORTRANGE(""https://docs.google.com/spreadsheets/d/14Bd19lYaqBhU8_DElYkX7l4wRkHqqCUFNJY4AfY3kHU/edit?usp=sharing  #gid=0"",""фіз особи new!relations_name""),6,FALSE)
,
(IF
(
C7943=""юридична особа""
,
VLOOKUP"&amp;"(D7943,IMPORTRANGE(""https://docs.google.com/spreadsheets/d/14Bd19lYaqBhU8_DElYkX7l4wRkHqqCUFNJY4AfY3kHU/edit?usp=sharing  #gid=0"",""фіз особи new!relations_name_uo""),7,FALSE)
,
)
))"),"ЗІНГАРЕВИЧ Антон Борисович")</f>
        <v>ЗІНГАРЕВИЧ Антон Борисович</v>
      </c>
      <c r="G7942" s="7" t="s">
        <v>10</v>
      </c>
      <c r="H7942" s="7">
        <v>0</v>
      </c>
      <c r="I7942" s="8" t="str">
        <f ca="1">IFERROR(__xludf.DUMMYFUNCTION("IF
(
G7943=""фізична особа""
,
VLOOKUP(H7943,IMPORTRANGE(""https://docs.google.com/spreadsheets/d/14Bd19lYaqBhU8_DElYkX7l4wRkHqqCUFNJY4AfY3kHU/edit?usp=sharing  #gid=0"",""фіз особи new!relations_name""),6,FALSE)
,
(IF
(
G7943=""юридична особа""
,
VLOOKUP"&amp;"(H7943,IMPORTRANGE(""https://docs.google.com/spreadsheets/d/14Bd19lYaqBhU8_DElYkX7l4wRkHqqCUFNJY4AfY3kHU/edit?usp=sharing  #gid=0"",""фіз особи new!relations_name_uo""),7,FALSE)
,
)
))"),"#N/A")</f>
        <v>#N/A</v>
      </c>
      <c r="J7942" s="7" t="s">
        <v>43</v>
      </c>
    </row>
    <row r="7943" spans="1:10" ht="13.2">
      <c r="A7943" s="7">
        <v>7942</v>
      </c>
      <c r="B7943" s="7">
        <v>1</v>
      </c>
      <c r="C7943" s="7" t="s">
        <v>10</v>
      </c>
      <c r="D7943" s="7">
        <v>8832</v>
      </c>
      <c r="E7943" s="7" t="s">
        <v>15</v>
      </c>
      <c r="F7943" s="8" t="str">
        <f ca="1">IFERROR(__xludf.DUMMYFUNCTION("IF
(
C7944=""фізична особа""
,
VLOOKUP(D7944,IMPORTRANGE(""https://docs.google.com/spreadsheets/d/14Bd19lYaqBhU8_DElYkX7l4wRkHqqCUFNJY4AfY3kHU/edit?usp=sharing  #gid=0"",""фіз особи new!relations_name""),6,FALSE)
,
(IF
(
C7944=""юридична особа""
,
VLOOKUP"&amp;"(D7944,IMPORTRANGE(""https://docs.google.com/spreadsheets/d/14Bd19lYaqBhU8_DElYkX7l4wRkHqqCUFNJY4AfY3kHU/edit?usp=sharing  #gid=0"",""фіз особи new!relations_name_uo""),7,FALSE)
,
)
))"),"ГОЛДІН Ганна")</f>
        <v>ГОЛДІН Ганна</v>
      </c>
      <c r="G7943" s="7" t="s">
        <v>10</v>
      </c>
      <c r="H7943" s="7">
        <v>1996</v>
      </c>
      <c r="I7943" s="8" t="str">
        <f ca="1">IFERROR(__xludf.DUMMYFUNCTION("IF
(
G7944=""фізична особа""
,
VLOOKUP(H7944,IMPORTRANGE(""https://docs.google.com/spreadsheets/d/14Bd19lYaqBhU8_DElYkX7l4wRkHqqCUFNJY4AfY3kHU/edit?usp=sharing  #gid=0"",""фіз особи new!relations_name""),6,FALSE)
,
(IF
(
G7944=""юридична особа""
,
VLOOKUP"&amp;"(H7944,IMPORTRANGE(""https://docs.google.com/spreadsheets/d/14Bd19lYaqBhU8_DElYkX7l4wRkHqqCUFNJY4AfY3kHU/edit?usp=sharing  #gid=0"",""фіз особи new!relations_name_uo""),7,FALSE)
,
)
))"),"КЛЯЧИН Олександр Ілліч")</f>
        <v>КЛЯЧИН Олександр Ілліч</v>
      </c>
      <c r="J7943" s="7" t="s">
        <v>14</v>
      </c>
    </row>
    <row r="7944" spans="1:10" ht="13.2">
      <c r="A7944" s="7">
        <v>7943</v>
      </c>
      <c r="B7944" s="7">
        <v>1</v>
      </c>
      <c r="C7944" s="7" t="s">
        <v>10</v>
      </c>
      <c r="D7944" s="7">
        <v>8833</v>
      </c>
      <c r="E7944" s="7" t="s">
        <v>13</v>
      </c>
      <c r="F7944" s="8" t="str">
        <f ca="1">IFERROR(__xludf.DUMMYFUNCTION("IF
(
C7945=""фізична особа""
,
VLOOKUP(D7945,IMPORTRANGE(""https://docs.google.com/spreadsheets/d/14Bd19lYaqBhU8_DElYkX7l4wRkHqqCUFNJY4AfY3kHU/edit?usp=sharing  #gid=0"",""фіз особи new!relations_name""),6,FALSE)
,
(IF
(
C7945=""юридична особа""
,
VLOOKUP"&amp;"(D7945,IMPORTRANGE(""https://docs.google.com/spreadsheets/d/14Bd19lYaqBhU8_DElYkX7l4wRkHqqCUFNJY4AfY3kHU/edit?usp=sharing  #gid=0"",""фіз особи new!relations_name_uo""),7,FALSE)
,
)
))"),"РАХНО / РАШНІКОВА Тетяна Вікторівна")</f>
        <v>РАХНО / РАШНІКОВА Тетяна Вікторівна</v>
      </c>
      <c r="G7944" s="7" t="s">
        <v>10</v>
      </c>
      <c r="H7944" s="7">
        <v>820</v>
      </c>
      <c r="I7944" s="8" t="str">
        <f ca="1">IFERROR(__xludf.DUMMYFUNCTION("IF
(
G7945=""фізична особа""
,
VLOOKUP(H7945,IMPORTRANGE(""https://docs.google.com/spreadsheets/d/14Bd19lYaqBhU8_DElYkX7l4wRkHqqCUFNJY4AfY3kHU/edit?usp=sharing  #gid=0"",""фіз особи new!relations_name""),6,FALSE)
,
(IF
(
G7945=""юридична особа""
,
VLOOKUP"&amp;"(H7945,IMPORTRANGE(""https://docs.google.com/spreadsheets/d/14Bd19lYaqBhU8_DElYkX7l4wRkHqqCUFNJY4AfY3kHU/edit?usp=sharing  #gid=0"",""фіз особи new!relations_name_uo""),7,FALSE)
,
)
))"),"РАШНІКОВ Віктор Пилипович")</f>
        <v>РАШНІКОВ Віктор Пилипович</v>
      </c>
      <c r="J7944" s="7" t="s">
        <v>12</v>
      </c>
    </row>
    <row r="7945" spans="1:10" ht="13.2">
      <c r="A7945" s="7">
        <v>7944</v>
      </c>
      <c r="B7945" s="7">
        <v>1</v>
      </c>
      <c r="C7945" s="7" t="s">
        <v>10</v>
      </c>
      <c r="D7945" s="7">
        <v>8834</v>
      </c>
      <c r="E7945" s="7" t="s">
        <v>17</v>
      </c>
      <c r="F7945" s="8" t="str">
        <f ca="1">IFERROR(__xludf.DUMMYFUNCTION("IF
(
C7946=""фізична особа""
,
VLOOKUP(D7946,IMPORTRANGE(""https://docs.google.com/spreadsheets/d/14Bd19lYaqBhU8_DElYkX7l4wRkHqqCUFNJY4AfY3kHU/edit?usp=sharing  #gid=0"",""фіз особи new!relations_name""),6,FALSE)
,
(IF
(
C7946=""юридична особа""
,
VLOOKUP"&amp;"(D7946,IMPORTRANGE(""https://docs.google.com/spreadsheets/d/14Bd19lYaqBhU8_DElYkX7l4wRkHqqCUFNJY4AfY3kHU/edit?usp=sharing  #gid=0"",""фіз особи new!relations_name_uo""),7,FALSE)
,
)
))"),"ФЕДУН Антон Леонідович")</f>
        <v>ФЕДУН Антон Леонідович</v>
      </c>
      <c r="G7945" s="7" t="s">
        <v>10</v>
      </c>
      <c r="H7945" s="7">
        <v>1977</v>
      </c>
      <c r="I7945" s="8" t="str">
        <f ca="1">IFERROR(__xludf.DUMMYFUNCTION("IF
(
G7946=""фізична особа""
,
VLOOKUP(H7946,IMPORTRANGE(""https://docs.google.com/spreadsheets/d/14Bd19lYaqBhU8_DElYkX7l4wRkHqqCUFNJY4AfY3kHU/edit?usp=sharing  #gid=0"",""фіз особи new!relations_name""),6,FALSE)
,
(IF
(
G7946=""юридична особа""
,
VLOOKUP"&amp;"(H7946,IMPORTRANGE(""https://docs.google.com/spreadsheets/d/14Bd19lYaqBhU8_DElYkX7l4wRkHqqCUFNJY4AfY3kHU/edit?usp=sharing  #gid=0"",""фіз особи new!relations_name_uo""),7,FALSE)
,
)
))"),"ФЕДУН Леонід Арнольдович")</f>
        <v>ФЕДУН Леонід Арнольдович</v>
      </c>
      <c r="J7945" s="7" t="s">
        <v>12</v>
      </c>
    </row>
    <row r="7946" spans="1:10" ht="13.2">
      <c r="A7946" s="7">
        <v>7945</v>
      </c>
      <c r="B7946" s="7">
        <v>1</v>
      </c>
      <c r="C7946" s="7" t="s">
        <v>10</v>
      </c>
      <c r="D7946" s="7">
        <v>8835</v>
      </c>
      <c r="E7946" s="7" t="s">
        <v>15</v>
      </c>
      <c r="F7946" s="8" t="str">
        <f ca="1">IFERROR(__xludf.DUMMYFUNCTION("IF
(
C7947=""фізична особа""
,
VLOOKUP(D7947,IMPORTRANGE(""https://docs.google.com/spreadsheets/d/14Bd19lYaqBhU8_DElYkX7l4wRkHqqCUFNJY4AfY3kHU/edit?usp=sharing  #gid=0"",""фіз особи new!relations_name""),6,FALSE)
,
(IF
(
C7947=""юридична особа""
,
VLOOKUP"&amp;"(D7947,IMPORTRANGE(""https://docs.google.com/spreadsheets/d/14Bd19lYaqBhU8_DElYkX7l4wRkHqqCUFNJY4AfY3kHU/edit?usp=sharing  #gid=0"",""фіз особи new!relations_name_uo""),7,FALSE)
,
)
))"),"МАЩИЦЬКА Ірина Вікторівна")</f>
        <v>МАЩИЦЬКА Ірина Вікторівна</v>
      </c>
      <c r="G7946" s="7" t="s">
        <v>10</v>
      </c>
      <c r="H7946" s="7">
        <v>8812</v>
      </c>
      <c r="I7946" s="8" t="str">
        <f ca="1">IFERROR(__xludf.DUMMYFUNCTION("IF
(
G7947=""фізична особа""
,
VLOOKUP(H7947,IMPORTRANGE(""https://docs.google.com/spreadsheets/d/14Bd19lYaqBhU8_DElYkX7l4wRkHqqCUFNJY4AfY3kHU/edit?usp=sharing  #gid=0"",""фіз особи new!relations_name""),6,FALSE)
,
(IF
(
G7947=""юридична особа""
,
VLOOKUP"&amp;"(H7947,IMPORTRANGE(""https://docs.google.com/spreadsheets/d/14Bd19lYaqBhU8_DElYkX7l4wRkHqqCUFNJY4AfY3kHU/edit?usp=sharing  #gid=0"",""фіз особи new!relations_name_uo""),7,FALSE)
,
)
))"),"МАЩИЦЬКИЙ Віталій Львович")</f>
        <v>МАЩИЦЬКИЙ Віталій Львович</v>
      </c>
      <c r="J7946" s="7" t="s">
        <v>14</v>
      </c>
    </row>
    <row r="7947" spans="1:10" ht="13.2">
      <c r="A7947" s="7">
        <v>7946</v>
      </c>
      <c r="B7947" s="7">
        <v>1</v>
      </c>
      <c r="C7947" s="7" t="s">
        <v>10</v>
      </c>
      <c r="D7947" s="7">
        <v>8835</v>
      </c>
      <c r="E7947" s="7" t="s">
        <v>58</v>
      </c>
      <c r="F7947" s="8" t="str">
        <f ca="1">IFERROR(__xludf.DUMMYFUNCTION("IF
(
C7948=""фізична особа""
,
VLOOKUP(D7948,IMPORTRANGE(""https://docs.google.com/spreadsheets/d/14Bd19lYaqBhU8_DElYkX7l4wRkHqqCUFNJY4AfY3kHU/edit?usp=sharing  #gid=0"",""фіз особи new!relations_name""),6,FALSE)
,
(IF
(
C7948=""юридична особа""
,
VLOOKUP"&amp;"(D7948,IMPORTRANGE(""https://docs.google.com/spreadsheets/d/14Bd19lYaqBhU8_DElYkX7l4wRkHqqCUFNJY4AfY3kHU/edit?usp=sharing  #gid=0"",""фіз особи new!relations_name_uo""),7,FALSE)
,
)
))"),"МАЩИЦЬКА Ірина Вікторівна")</f>
        <v>МАЩИЦЬКА Ірина Вікторівна</v>
      </c>
      <c r="G7947" s="7" t="s">
        <v>10</v>
      </c>
      <c r="H7947" s="7">
        <v>23577</v>
      </c>
      <c r="I7947" s="8" t="str">
        <f ca="1">IFERROR(__xludf.DUMMYFUNCTION("IF
(
G7948=""фізична особа""
,
VLOOKUP(H7948,IMPORTRANGE(""https://docs.google.com/spreadsheets/d/14Bd19lYaqBhU8_DElYkX7l4wRkHqqCUFNJY4AfY3kHU/edit?usp=sharing  #gid=0"",""фіз особи new!relations_name""),6,FALSE)
,
(IF
(
G7948=""юридична особа""
,
VLOOKUP"&amp;"(H7948,IMPORTRANGE(""https://docs.google.com/spreadsheets/d/14Bd19lYaqBhU8_DElYkX7l4wRkHqqCUFNJY4AfY3kHU/edit?usp=sharing  #gid=0"",""фіз особи new!relations_name_uo""),7,FALSE)
,
)
))"),"НІГМАТУЛІНА-МАЩИЦЬКА Каріма Робертівна")</f>
        <v>НІГМАТУЛІНА-МАЩИЦЬКА Каріма Робертівна</v>
      </c>
      <c r="J7947" s="7" t="s">
        <v>25</v>
      </c>
    </row>
    <row r="7948" spans="1:10" ht="13.2">
      <c r="A7948" s="7">
        <v>7947</v>
      </c>
      <c r="B7948" s="7">
        <v>1</v>
      </c>
      <c r="C7948" s="7" t="s">
        <v>10</v>
      </c>
      <c r="D7948" s="7">
        <v>8835</v>
      </c>
      <c r="E7948" s="7" t="s">
        <v>21</v>
      </c>
      <c r="F7948" s="8" t="str">
        <f ca="1">IFERROR(__xludf.DUMMYFUNCTION("IF
(
C7949=""фізична особа""
,
VLOOKUP(D7949,IMPORTRANGE(""https://docs.google.com/spreadsheets/d/14Bd19lYaqBhU8_DElYkX7l4wRkHqqCUFNJY4AfY3kHU/edit?usp=sharing  #gid=0"",""фіз особи new!relations_name""),6,FALSE)
,
(IF
(
C7949=""юридична особа""
,
VLOOKUP"&amp;"(D7949,IMPORTRANGE(""https://docs.google.com/spreadsheets/d/14Bd19lYaqBhU8_DElYkX7l4wRkHqqCUFNJY4AfY3kHU/edit?usp=sharing  #gid=0"",""фіз особи new!relations_name_uo""),7,FALSE)
,
)
))"),"МАЩИЦЬКА Ірина Вікторівна")</f>
        <v>МАЩИЦЬКА Ірина Вікторівна</v>
      </c>
      <c r="G7948" s="7" t="s">
        <v>10</v>
      </c>
      <c r="H7948" s="7">
        <v>8814</v>
      </c>
      <c r="I7948" s="8" t="str">
        <f ca="1">IFERROR(__xludf.DUMMYFUNCTION("IF
(
G7949=""фізична особа""
,
VLOOKUP(H7949,IMPORTRANGE(""https://docs.google.com/spreadsheets/d/14Bd19lYaqBhU8_DElYkX7l4wRkHqqCUFNJY4AfY3kHU/edit?usp=sharing  #gid=0"",""фіз особи new!relations_name""),6,FALSE)
,
(IF
(
G7949=""юридична особа""
,
VLOOKUP"&amp;"(H7949,IMPORTRANGE(""https://docs.google.com/spreadsheets/d/14Bd19lYaqBhU8_DElYkX7l4wRkHqqCUFNJY4AfY3kHU/edit?usp=sharing  #gid=0"",""фіз особи new!relations_name_uo""),7,FALSE)
,
)
))"),"МАЩИЦЬКИЙ Леонід Віталійович")</f>
        <v>МАЩИЦЬКИЙ Леонід Віталійович</v>
      </c>
      <c r="J7948" s="7" t="s">
        <v>17</v>
      </c>
    </row>
    <row r="7949" spans="1:10" ht="13.2">
      <c r="A7949" s="7">
        <v>7948</v>
      </c>
      <c r="B7949" s="7">
        <v>1</v>
      </c>
      <c r="C7949" s="7" t="s">
        <v>10</v>
      </c>
      <c r="D7949" s="7">
        <v>8835</v>
      </c>
      <c r="E7949" s="7" t="s">
        <v>21</v>
      </c>
      <c r="F7949" s="8" t="str">
        <f ca="1">IFERROR(__xludf.DUMMYFUNCTION("IF
(
C7950=""фізична особа""
,
VLOOKUP(D7950,IMPORTRANGE(""https://docs.google.com/spreadsheets/d/14Bd19lYaqBhU8_DElYkX7l4wRkHqqCUFNJY4AfY3kHU/edit?usp=sharing  #gid=0"",""фіз особи new!relations_name""),6,FALSE)
,
(IF
(
C7950=""юридична особа""
,
VLOOKUP"&amp;"(D7950,IMPORTRANGE(""https://docs.google.com/spreadsheets/d/14Bd19lYaqBhU8_DElYkX7l4wRkHqqCUFNJY4AfY3kHU/edit?usp=sharing  #gid=0"",""фіз особи new!relations_name_uo""),7,FALSE)
,
)
))"),"МАЩИЦЬКА Ірина Вікторівна")</f>
        <v>МАЩИЦЬКА Ірина Вікторівна</v>
      </c>
      <c r="G7949" s="7" t="s">
        <v>10</v>
      </c>
      <c r="H7949" s="7">
        <v>8813</v>
      </c>
      <c r="I7949" s="8" t="str">
        <f ca="1">IFERROR(__xludf.DUMMYFUNCTION("IF
(
G7950=""фізична особа""
,
VLOOKUP(H7950,IMPORTRANGE(""https://docs.google.com/spreadsheets/d/14Bd19lYaqBhU8_DElYkX7l4wRkHqqCUFNJY4AfY3kHU/edit?usp=sharing  #gid=0"",""фіз особи new!relations_name""),6,FALSE)
,
(IF
(
G7950=""юридична особа""
,
VLOOKUP"&amp;"(H7950,IMPORTRANGE(""https://docs.google.com/spreadsheets/d/14Bd19lYaqBhU8_DElYkX7l4wRkHqqCUFNJY4AfY3kHU/edit?usp=sharing  #gid=0"",""фіз особи new!relations_name_uo""),7,FALSE)
,
)
))"),"МАЩИЦЬКИЙ Павло Віталійович")</f>
        <v>МАЩИЦЬКИЙ Павло Віталійович</v>
      </c>
      <c r="J7949" s="7" t="s">
        <v>17</v>
      </c>
    </row>
    <row r="7950" spans="1:10" ht="13.2">
      <c r="A7950" s="7">
        <v>7949</v>
      </c>
      <c r="B7950" s="7">
        <v>1</v>
      </c>
      <c r="C7950" s="7" t="s">
        <v>10</v>
      </c>
      <c r="D7950" s="7">
        <v>8836</v>
      </c>
      <c r="E7950" s="7" t="s">
        <v>12</v>
      </c>
      <c r="F7950" s="8" t="str">
        <f ca="1">IFERROR(__xludf.DUMMYFUNCTION("IF
(
C7951=""фізична особа""
,
VLOOKUP(D7951,IMPORTRANGE(""https://docs.google.com/spreadsheets/d/14Bd19lYaqBhU8_DElYkX7l4wRkHqqCUFNJY4AfY3kHU/edit?usp=sharing  #gid=0"",""фіз особи new!relations_name""),6,FALSE)
,
(IF
(
C7951=""юридична особа""
,
VLOOKUP"&amp;"(D7951,IMPORTRANGE(""https://docs.google.com/spreadsheets/d/14Bd19lYaqBhU8_DElYkX7l4wRkHqqCUFNJY4AfY3kHU/edit?usp=sharing  #gid=0"",""фіз особи new!relations_name_uo""),7,FALSE)
,
)
))"),"СВИЩОВ Олександр Костянтинович")</f>
        <v>СВИЩОВ Олександр Костянтинович</v>
      </c>
      <c r="G7950" s="7" t="s">
        <v>10</v>
      </c>
      <c r="H7950" s="7">
        <v>180</v>
      </c>
      <c r="I7950" s="8" t="str">
        <f ca="1">IFERROR(__xludf.DUMMYFUNCTION("IF
(
G7951=""фізична особа""
,
VLOOKUP(H7951,IMPORTRANGE(""https://docs.google.com/spreadsheets/d/14Bd19lYaqBhU8_DElYkX7l4wRkHqqCUFNJY4AfY3kHU/edit?usp=sharing  #gid=0"",""фіз особи new!relations_name""),6,FALSE)
,
(IF
(
G7951=""юридична особа""
,
VLOOKUP"&amp;"(H7951,IMPORTRANGE(""https://docs.google.com/spreadsheets/d/14Bd19lYaqBhU8_DElYkX7l4wRkHqqCUFNJY4AfY3kHU/edit?usp=sharing  #gid=0"",""фіз особи new!relations_name_uo""),7,FALSE)
,
)
))"),"СВИЩЕВ Дмитро Олександрович")</f>
        <v>СВИЩЕВ Дмитро Олександрович</v>
      </c>
      <c r="J7950" s="7" t="s">
        <v>17</v>
      </c>
    </row>
    <row r="7951" spans="1:10" ht="13.2">
      <c r="A7951" s="7">
        <v>7950</v>
      </c>
      <c r="B7951" s="7">
        <v>1</v>
      </c>
      <c r="C7951" s="7" t="s">
        <v>10</v>
      </c>
      <c r="D7951" s="7">
        <v>8837</v>
      </c>
      <c r="E7951" s="7" t="s">
        <v>15</v>
      </c>
      <c r="F7951" s="8" t="str">
        <f ca="1">IFERROR(__xludf.DUMMYFUNCTION("IF
(
C7952=""фізична особа""
,
VLOOKUP(D7952,IMPORTRANGE(""https://docs.google.com/spreadsheets/d/14Bd19lYaqBhU8_DElYkX7l4wRkHqqCUFNJY4AfY3kHU/edit?usp=sharing  #gid=0"",""фіз особи new!relations_name""),6,FALSE)
,
(IF
(
C7952=""юридична особа""
,
VLOOKUP"&amp;"(D7952,IMPORTRANGE(""https://docs.google.com/spreadsheets/d/14Bd19lYaqBhU8_DElYkX7l4wRkHqqCUFNJY4AfY3kHU/edit?usp=sharing  #gid=0"",""фіз особи new!relations_name_uo""),7,FALSE)
,
)
))"),"СКРІВАНОВА Наталія В'ячеславівна")</f>
        <v>СКРІВАНОВА Наталія В'ячеславівна</v>
      </c>
      <c r="G7951" s="7" t="s">
        <v>10</v>
      </c>
      <c r="H7951" s="7">
        <v>205</v>
      </c>
      <c r="I7951" s="8" t="str">
        <f ca="1">IFERROR(__xludf.DUMMYFUNCTION("IF
(
G7952=""фізична особа""
,
VLOOKUP(H7952,IMPORTRANGE(""https://docs.google.com/spreadsheets/d/14Bd19lYaqBhU8_DElYkX7l4wRkHqqCUFNJY4AfY3kHU/edit?usp=sharing  #gid=0"",""фіз особи new!relations_name""),6,FALSE)
,
(IF
(
G7952=""юридична особа""
,
VLOOKUP"&amp;"(H7952,IMPORTRANGE(""https://docs.google.com/spreadsheets/d/14Bd19lYaqBhU8_DElYkX7l4wRkHqqCUFNJY4AfY3kHU/edit?usp=sharing  #gid=0"",""фіз особи new!relations_name_uo""),7,FALSE)
,
)
))"),"СКРИВАНОВ Дмитро Станіславович")</f>
        <v>СКРИВАНОВ Дмитро Станіславович</v>
      </c>
      <c r="J7951" s="7" t="s">
        <v>14</v>
      </c>
    </row>
    <row r="7952" spans="1:10" ht="13.2">
      <c r="A7952" s="7">
        <v>7951</v>
      </c>
      <c r="B7952" s="7">
        <v>1</v>
      </c>
      <c r="C7952" s="7" t="s">
        <v>10</v>
      </c>
      <c r="D7952" s="7">
        <v>8838</v>
      </c>
      <c r="E7952" s="7" t="s">
        <v>12</v>
      </c>
      <c r="F7952" s="8" t="str">
        <f ca="1">IFERROR(__xludf.DUMMYFUNCTION("IF
(
C7953=""фізична особа""
,
VLOOKUP(D7953,IMPORTRANGE(""https://docs.google.com/spreadsheets/d/14Bd19lYaqBhU8_DElYkX7l4wRkHqqCUFNJY4AfY3kHU/edit?usp=sharing  #gid=0"",""фіз особи new!relations_name""),6,FALSE)
,
(IF
(
C7953=""юридична особа""
,
VLOOKUP"&amp;"(D7953,IMPORTRANGE(""https://docs.google.com/spreadsheets/d/14Bd19lYaqBhU8_DElYkX7l4wRkHqqCUFNJY4AfY3kHU/edit?usp=sharing  #gid=0"",""фіз особи new!relations_name_uo""),7,FALSE)
,
)
))"),"ЛАМЕЙКІН Віктор Олександрович")</f>
        <v>ЛАМЕЙКІН Віктор Олександрович</v>
      </c>
      <c r="G7952" s="7" t="s">
        <v>10</v>
      </c>
      <c r="H7952" s="7">
        <v>209</v>
      </c>
      <c r="I7952" s="8" t="str">
        <f ca="1">IFERROR(__xludf.DUMMYFUNCTION("IF
(
G7953=""фізична особа""
,
VLOOKUP(H7953,IMPORTRANGE(""https://docs.google.com/spreadsheets/d/14Bd19lYaqBhU8_DElYkX7l4wRkHqqCUFNJY4AfY3kHU/edit?usp=sharing  #gid=0"",""фіз особи new!relations_name""),6,FALSE)
,
(IF
(
G7953=""юридична особа""
,
VLOOKUP"&amp;"(H7953,IMPORTRANGE(""https://docs.google.com/spreadsheets/d/14Bd19lYaqBhU8_DElYkX7l4wRkHqqCUFNJY4AfY3kHU/edit?usp=sharing  #gid=0"",""фіз особи new!relations_name_uo""),7,FALSE)
,
)
))"),"ЛАМЕЙКІН Дмитро Вікторович")</f>
        <v>ЛАМЕЙКІН Дмитро Вікторович</v>
      </c>
      <c r="J7952" s="7" t="s">
        <v>17</v>
      </c>
    </row>
    <row r="7953" spans="1:10" ht="13.2">
      <c r="A7953" s="7">
        <v>7952</v>
      </c>
      <c r="B7953" s="7">
        <v>1</v>
      </c>
      <c r="C7953" s="7" t="s">
        <v>10</v>
      </c>
      <c r="D7953" s="7">
        <v>8839</v>
      </c>
      <c r="E7953" s="7" t="s">
        <v>21</v>
      </c>
      <c r="F7953" s="8" t="str">
        <f ca="1">IFERROR(__xludf.DUMMYFUNCTION("IF
(
C7954=""фізична особа""
,
VLOOKUP(D7954,IMPORTRANGE(""https://docs.google.com/spreadsheets/d/14Bd19lYaqBhU8_DElYkX7l4wRkHqqCUFNJY4AfY3kHU/edit?usp=sharing  #gid=0"",""фіз особи new!relations_name""),6,FALSE)
,
(IF
(
C7954=""юридична особа""
,
VLOOKUP"&amp;"(D7954,IMPORTRANGE(""https://docs.google.com/spreadsheets/d/14Bd19lYaqBhU8_DElYkX7l4wRkHqqCUFNJY4AfY3kHU/edit?usp=sharing  #gid=0"",""фіз особи new!relations_name_uo""),7,FALSE)
,
)
))"),"ЛАМЕЙКІНА Ліна Миколаївна")</f>
        <v>ЛАМЕЙКІНА Ліна Миколаївна</v>
      </c>
      <c r="G7953" s="7" t="s">
        <v>10</v>
      </c>
      <c r="H7953" s="7">
        <v>209</v>
      </c>
      <c r="I7953" s="8" t="str">
        <f ca="1">IFERROR(__xludf.DUMMYFUNCTION("IF
(
G7954=""фізична особа""
,
VLOOKUP(H7954,IMPORTRANGE(""https://docs.google.com/spreadsheets/d/14Bd19lYaqBhU8_DElYkX7l4wRkHqqCUFNJY4AfY3kHU/edit?usp=sharing  #gid=0"",""фіз особи new!relations_name""),6,FALSE)
,
(IF
(
G7954=""юридична особа""
,
VLOOKUP"&amp;"(H7954,IMPORTRANGE(""https://docs.google.com/spreadsheets/d/14Bd19lYaqBhU8_DElYkX7l4wRkHqqCUFNJY4AfY3kHU/edit?usp=sharing  #gid=0"",""фіз особи new!relations_name_uo""),7,FALSE)
,
)
))"),"ЛАМЕЙКІН Дмитро Вікторович")</f>
        <v>ЛАМЕЙКІН Дмитро Вікторович</v>
      </c>
      <c r="J7953" s="7" t="s">
        <v>17</v>
      </c>
    </row>
    <row r="7954" spans="1:10" ht="13.2">
      <c r="A7954" s="7">
        <v>7953</v>
      </c>
      <c r="B7954" s="7">
        <v>1</v>
      </c>
      <c r="C7954" s="7" t="s">
        <v>10</v>
      </c>
      <c r="D7954" s="7">
        <v>8840</v>
      </c>
      <c r="E7954" s="7" t="s">
        <v>17</v>
      </c>
      <c r="F7954" s="8" t="str">
        <f ca="1">IFERROR(__xludf.DUMMYFUNCTION("IF
(
C7955=""фізична особа""
,
VLOOKUP(D7955,IMPORTRANGE(""https://docs.google.com/spreadsheets/d/14Bd19lYaqBhU8_DElYkX7l4wRkHqqCUFNJY4AfY3kHU/edit?usp=sharing  #gid=0"",""фіз особи new!relations_name""),6,FALSE)
,
(IF
(
C7955=""юридична особа""
,
VLOOKUP"&amp;"(D7955,IMPORTRANGE(""https://docs.google.com/spreadsheets/d/14Bd19lYaqBhU8_DElYkX7l4wRkHqqCUFNJY4AfY3kHU/edit?usp=sharing  #gid=0"",""фіз особи new!relations_name_uo""),7,FALSE)
,
)
))"),"ЛЕБЕДЄВ Віталій Євгенович")</f>
        <v>ЛЕБЕДЄВ Віталій Євгенович</v>
      </c>
      <c r="G7954" s="7" t="s">
        <v>10</v>
      </c>
      <c r="H7954" s="7">
        <v>250</v>
      </c>
      <c r="I7954" s="8" t="str">
        <f ca="1">IFERROR(__xludf.DUMMYFUNCTION("IF
(
G7955=""фізична особа""
,
VLOOKUP(H7955,IMPORTRANGE(""https://docs.google.com/spreadsheets/d/14Bd19lYaqBhU8_DElYkX7l4wRkHqqCUFNJY4AfY3kHU/edit?usp=sharing  #gid=0"",""фіз особи new!relations_name""),6,FALSE)
,
(IF
(
G7955=""юридична особа""
,
VLOOKUP"&amp;"(H7955,IMPORTRANGE(""https://docs.google.com/spreadsheets/d/14Bd19lYaqBhU8_DElYkX7l4wRkHqqCUFNJY4AfY3kHU/edit?usp=sharing  #gid=0"",""фіз особи new!relations_name_uo""),7,FALSE)
,
)
))"),"ЛЕБЕДЄВ Євген Вікторович")</f>
        <v>ЛЕБЕДЄВ Євген Вікторович</v>
      </c>
      <c r="J7954" s="7" t="s">
        <v>12</v>
      </c>
    </row>
    <row r="7955" spans="1:10" ht="13.2">
      <c r="A7955" s="7">
        <v>7954</v>
      </c>
      <c r="B7955" s="7">
        <v>1</v>
      </c>
      <c r="C7955" s="7" t="s">
        <v>10</v>
      </c>
      <c r="D7955" s="7">
        <v>8841</v>
      </c>
      <c r="E7955" s="7" t="s">
        <v>18</v>
      </c>
      <c r="F7955" s="8" t="str">
        <f ca="1">IFERROR(__xludf.DUMMYFUNCTION("IF
(
C7956=""фізична особа""
,
VLOOKUP(D7956,IMPORTRANGE(""https://docs.google.com/spreadsheets/d/14Bd19lYaqBhU8_DElYkX7l4wRkHqqCUFNJY4AfY3kHU/edit?usp=sharing  #gid=0"",""фіз особи new!relations_name""),6,FALSE)
,
(IF
(
C7956=""юридична особа""
,
VLOOKUP"&amp;"(D7956,IMPORTRANGE(""https://docs.google.com/spreadsheets/d/14Bd19lYaqBhU8_DElYkX7l4wRkHqqCUFNJY4AfY3kHU/edit?usp=sharing  #gid=0"",""фіз особи new!relations_name_uo""),7,FALSE)
,
)
))"),"МАРКОВ В'ячеслав Володимирович")</f>
        <v>МАРКОВ В'ячеслав Володимирович</v>
      </c>
      <c r="G7955" s="7" t="s">
        <v>10</v>
      </c>
      <c r="H7955" s="7">
        <v>251</v>
      </c>
      <c r="I7955" s="8" t="str">
        <f ca="1">IFERROR(__xludf.DUMMYFUNCTION("IF
(
G7956=""фізична особа""
,
VLOOKUP(H7956,IMPORTRANGE(""https://docs.google.com/spreadsheets/d/14Bd19lYaqBhU8_DElYkX7l4wRkHqqCUFNJY4AfY3kHU/edit?usp=sharing  #gid=0"",""фіз особи new!relations_name""),6,FALSE)
,
(IF
(
G7956=""юридична особа""
,
VLOOKUP"&amp;"(H7956,IMPORTRANGE(""https://docs.google.com/spreadsheets/d/14Bd19lYaqBhU8_DElYkX7l4wRkHqqCUFNJY4AfY3kHU/edit?usp=sharing  #gid=0"",""фіз особи new!relations_name_uo""),7,FALSE)
,
)
))"),"МАРКОВ Євген Володимирович")</f>
        <v>МАРКОВ Євген Володимирович</v>
      </c>
      <c r="J7955" s="7" t="s">
        <v>18</v>
      </c>
    </row>
    <row r="7956" spans="1:10" ht="13.2">
      <c r="A7956" s="7">
        <v>7955</v>
      </c>
      <c r="B7956" s="7">
        <v>1</v>
      </c>
      <c r="C7956" s="7" t="s">
        <v>10</v>
      </c>
      <c r="D7956" s="7">
        <v>8842</v>
      </c>
      <c r="E7956" s="7" t="s">
        <v>31</v>
      </c>
      <c r="F7956" s="8" t="str">
        <f ca="1">IFERROR(__xludf.DUMMYFUNCTION("IF
(
C7957=""фізична особа""
,
VLOOKUP(D7957,IMPORTRANGE(""https://docs.google.com/spreadsheets/d/14Bd19lYaqBhU8_DElYkX7l4wRkHqqCUFNJY4AfY3kHU/edit?usp=sharing  #gid=0"",""фіз особи new!relations_name""),6,FALSE)
,
(IF
(
C7957=""юридична особа""
,
VLOOKUP"&amp;"(D7957,IMPORTRANGE(""https://docs.google.com/spreadsheets/d/14Bd19lYaqBhU8_DElYkX7l4wRkHqqCUFNJY4AfY3kHU/edit?usp=sharing  #gid=0"",""фіз особи new!relations_name_uo""),7,FALSE)
,
)
))"),"ФІЛІППОВА Марфа Семенівна")</f>
        <v>ФІЛІППОВА Марфа Семенівна</v>
      </c>
      <c r="G7956" s="7" t="s">
        <v>10</v>
      </c>
      <c r="H7956" s="7">
        <v>254</v>
      </c>
      <c r="I7956" s="8" t="str">
        <f ca="1">IFERROR(__xludf.DUMMYFUNCTION("IF
(
G7957=""фізична особа""
,
VLOOKUP(H7957,IMPORTRANGE(""https://docs.google.com/spreadsheets/d/14Bd19lYaqBhU8_DElYkX7l4wRkHqqCUFNJY4AfY3kHU/edit?usp=sharing  #gid=0"",""фіз особи new!relations_name""),6,FALSE)
,
(IF
(
G7957=""юридична особа""
,
VLOOKUP"&amp;"(H7957,IMPORTRANGE(""https://docs.google.com/spreadsheets/d/14Bd19lYaqBhU8_DElYkX7l4wRkHqqCUFNJY4AfY3kHU/edit?usp=sharing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J7956" s="7" t="s">
        <v>18</v>
      </c>
    </row>
    <row r="7957" spans="1:10" ht="13.2">
      <c r="A7957" s="7">
        <v>7956</v>
      </c>
      <c r="B7957" s="7">
        <v>1</v>
      </c>
      <c r="C7957" s="7" t="s">
        <v>10</v>
      </c>
      <c r="D7957" s="7">
        <v>8843</v>
      </c>
      <c r="E7957" s="7" t="s">
        <v>12</v>
      </c>
      <c r="F7957" s="8" t="str">
        <f ca="1">IFERROR(__xludf.DUMMYFUNCTION("IF
(
C7958=""фізична особа""
,
VLOOKUP(D7958,IMPORTRANGE(""https://docs.google.com/spreadsheets/d/14Bd19lYaqBhU8_DElYkX7l4wRkHqqCUFNJY4AfY3kHU/edit?usp=sharing  #gid=0"",""фіз особи new!relations_name""),6,FALSE)
,
(IF
(
C7958=""юридична особа""
,
VLOOKUP"&amp;"(D7958,IMPORTRANGE(""https://docs.google.com/spreadsheets/d/14Bd19lYaqBhU8_DElYkX7l4wRkHqqCUFNJY4AfY3kHU/edit?usp=sharing  #gid=0"",""фіз особи new!relations_name_uo""),7,FALSE)
,
)
))"),"ТУМУСОВ Семен Семенович")</f>
        <v>ТУМУСОВ Семен Семенович</v>
      </c>
      <c r="G7957" s="7" t="s">
        <v>10</v>
      </c>
      <c r="H7957" s="7">
        <v>254</v>
      </c>
      <c r="I7957" s="8" t="str">
        <f ca="1">IFERROR(__xludf.DUMMYFUNCTION("IF
(
G7958=""фізична особа""
,
VLOOKUP(H7958,IMPORTRANGE(""https://docs.google.com/spreadsheets/d/14Bd19lYaqBhU8_DElYkX7l4wRkHqqCUFNJY4AfY3kHU/edit?usp=sharing  #gid=0"",""фіз особи new!relations_name""),6,FALSE)
,
(IF
(
G7958=""юридична особа""
,
VLOOKUP"&amp;"(H7958,IMPORTRANGE(""https://docs.google.com/spreadsheets/d/14Bd19lYaqBhU8_DElYkX7l4wRkHqqCUFNJY4AfY3kHU/edit?usp=sharing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J7957" s="7" t="s">
        <v>17</v>
      </c>
    </row>
    <row r="7958" spans="1:10" ht="13.2">
      <c r="A7958" s="7">
        <v>7957</v>
      </c>
      <c r="B7958" s="7">
        <v>1</v>
      </c>
      <c r="C7958" s="7" t="s">
        <v>10</v>
      </c>
      <c r="D7958" s="7">
        <v>8844</v>
      </c>
      <c r="E7958" s="7" t="s">
        <v>15</v>
      </c>
      <c r="F7958" s="8" t="str">
        <f ca="1">IFERROR(__xludf.DUMMYFUNCTION("IF
(
C7959=""фізична особа""
,
VLOOKUP(D7959,IMPORTRANGE(""https://docs.google.com/spreadsheets/d/14Bd19lYaqBhU8_DElYkX7l4wRkHqqCUFNJY4AfY3kHU/edit?usp=sharing  #gid=0"",""фіз особи new!relations_name""),6,FALSE)
,
(IF
(
C7959=""юридична особа""
,
VLOOKUP"&amp;"(D7959,IMPORTRANGE(""https://docs.google.com/spreadsheets/d/14Bd19lYaqBhU8_DElYkX7l4wRkHqqCUFNJY4AfY3kHU/edit?usp=sharing  #gid=0"",""фіз особи new!relations_name_uo""),7,FALSE)
,
)
))"),"ТУМУСОВА Зоя Єгорівна")</f>
        <v>ТУМУСОВА Зоя Єгорівна</v>
      </c>
      <c r="G7958" s="7" t="s">
        <v>10</v>
      </c>
      <c r="H7958" s="7">
        <v>254</v>
      </c>
      <c r="I7958" s="8" t="str">
        <f ca="1">IFERROR(__xludf.DUMMYFUNCTION("IF
(
G7959=""фізична особа""
,
VLOOKUP(H7959,IMPORTRANGE(""https://docs.google.com/spreadsheets/d/14Bd19lYaqBhU8_DElYkX7l4wRkHqqCUFNJY4AfY3kHU/edit?usp=sharing  #gid=0"",""фіз особи new!relations_name""),6,FALSE)
,
(IF
(
G7959=""юридична особа""
,
VLOOKUP"&amp;"(H7959,IMPORTRANGE(""https://docs.google.com/spreadsheets/d/14Bd19lYaqBhU8_DElYkX7l4wRkHqqCUFNJY4AfY3kHU/edit?usp=sharing  #gid=0"",""фіз особи new!relations_name_uo""),7,FALSE)
,
)
))"),"ТУМУСОВ Федот Семенович")</f>
        <v>ТУМУСОВ Федот Семенович</v>
      </c>
      <c r="J7958" s="7" t="s">
        <v>14</v>
      </c>
    </row>
    <row r="7959" spans="1:10" ht="13.2">
      <c r="A7959" s="7">
        <v>7958</v>
      </c>
      <c r="B7959" s="7">
        <v>1</v>
      </c>
      <c r="C7959" s="7" t="s">
        <v>10</v>
      </c>
      <c r="D7959" s="7">
        <v>8845</v>
      </c>
      <c r="E7959" s="7" t="s">
        <v>15</v>
      </c>
      <c r="F7959" s="8" t="str">
        <f ca="1">IFERROR(__xludf.DUMMYFUNCTION("IF
(
C7960=""фізична особа""
,
VLOOKUP(D7960,IMPORTRANGE(""https://docs.google.com/spreadsheets/d/14Bd19lYaqBhU8_DElYkX7l4wRkHqqCUFNJY4AfY3kHU/edit?usp=sharing  #gid=0"",""фіз особи new!relations_name""),6,FALSE)
,
(IF
(
C7960=""юридична особа""
,
VLOOKUP"&amp;"(D7960,IMPORTRANGE(""https://docs.google.com/spreadsheets/d/14Bd19lYaqBhU8_DElYkX7l4wRkHqqCUFNJY4AfY3kHU/edit?usp=sharing  #gid=0"",""фіз особи new!relations_name_uo""),7,FALSE)
,
)
))"),"ФЕТІСОВА Ладлена Юріївна")</f>
        <v>ФЕТІСОВА Ладлена Юріївна</v>
      </c>
      <c r="G7959" s="7" t="s">
        <v>10</v>
      </c>
      <c r="H7959" s="7">
        <v>255</v>
      </c>
      <c r="I7959" s="8" t="str">
        <f ca="1">IFERROR(__xludf.DUMMYFUNCTION("IF
(
G7960=""фізична особа""
,
VLOOKUP(H7960,IMPORTRANGE(""https://docs.google.com/spreadsheets/d/14Bd19lYaqBhU8_DElYkX7l4wRkHqqCUFNJY4AfY3kHU/edit?usp=sharing  #gid=0"",""фіз особи new!relations_name""),6,FALSE)
,
(IF
(
G7960=""юридична особа""
,
VLOOKUP"&amp;"(H7960,IMPORTRANGE(""https://docs.google.com/spreadsheets/d/14Bd19lYaqBhU8_DElYkX7l4wRkHqqCUFNJY4AfY3kHU/edit?usp=sharing  #gid=0"",""фіз особи new!relations_name_uo""),7,FALSE)
,
)
))"),"ФЕТІСОВ В'ячеслав Олександрович")</f>
        <v>ФЕТІСОВ В'ячеслав Олександрович</v>
      </c>
      <c r="J7959" s="7" t="s">
        <v>14</v>
      </c>
    </row>
    <row r="7960" spans="1:10" ht="13.2">
      <c r="A7960" s="7">
        <v>7959</v>
      </c>
      <c r="B7960" s="7">
        <v>1</v>
      </c>
      <c r="C7960" s="7" t="s">
        <v>10</v>
      </c>
      <c r="D7960" s="7">
        <v>8846</v>
      </c>
      <c r="E7960" s="7" t="s">
        <v>15</v>
      </c>
      <c r="F7960" s="8" t="str">
        <f ca="1">IFERROR(__xludf.DUMMYFUNCTION("IF
(
C7961=""фізична особа""
,
VLOOKUP(D7961,IMPORTRANGE(""https://docs.google.com/spreadsheets/d/14Bd19lYaqBhU8_DElYkX7l4wRkHqqCUFNJY4AfY3kHU/edit?usp=sharing  #gid=0"",""фіз особи new!relations_name""),6,FALSE)
,
(IF
(
C7961=""юридична особа""
,
VLOOKUP"&amp;"(D7961,IMPORTRANGE(""https://docs.google.com/spreadsheets/d/14Bd19lYaqBhU8_DElYkX7l4wRkHqqCUFNJY4AfY3kHU/edit?usp=sharing  #gid=0"",""фіз особи new!relations_name_uo""),7,FALSE)
,
)
))"),"КОВПАК Вероніка Олександрівна")</f>
        <v>КОВПАК Вероніка Олександрівна</v>
      </c>
      <c r="G7960" s="7" t="s">
        <v>10</v>
      </c>
      <c r="H7960" s="7">
        <v>403</v>
      </c>
      <c r="I7960" s="8" t="str">
        <f ca="1">IFERROR(__xludf.DUMMYFUNCTION("IF
(
G7961=""фізична особа""
,
VLOOKUP(H7961,IMPORTRANGE(""https://docs.google.com/spreadsheets/d/14Bd19lYaqBhU8_DElYkX7l4wRkHqqCUFNJY4AfY3kHU/edit?usp=sharing  #gid=0"",""фіз особи new!relations_name""),6,FALSE)
,
(IF
(
G7961=""юридична особа""
,
VLOOKUP"&amp;"(H7961,IMPORTRANGE(""https://docs.google.com/spreadsheets/d/14Bd19lYaqBhU8_DElYkX7l4wRkHqqCUFNJY4AfY3kHU/edit?usp=sharing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J7960" s="7" t="s">
        <v>14</v>
      </c>
    </row>
    <row r="7961" spans="1:10" ht="13.2">
      <c r="A7961" s="7">
        <v>7960</v>
      </c>
      <c r="B7961" s="7">
        <v>1</v>
      </c>
      <c r="C7961" s="7" t="s">
        <v>10</v>
      </c>
      <c r="D7961" s="7">
        <v>8847</v>
      </c>
      <c r="E7961" s="7" t="s">
        <v>12</v>
      </c>
      <c r="F7961" s="8" t="str">
        <f ca="1">IFERROR(__xludf.DUMMYFUNCTION("IF
(
C7962=""фізична особа""
,
VLOOKUP(D7962,IMPORTRANGE(""https://docs.google.com/spreadsheets/d/14Bd19lYaqBhU8_DElYkX7l4wRkHqqCUFNJY4AfY3kHU/edit?usp=sharing  #gid=0"",""фіз особи new!relations_name""),6,FALSE)
,
(IF
(
C7962=""юридична особа""
,
VLOOKUP"&amp;"(D7962,IMPORTRANGE(""https://docs.google.com/spreadsheets/d/14Bd19lYaqBhU8_DElYkX7l4wRkHqqCUFNJY4AfY3kHU/edit?usp=sharing  #gid=0"",""фіз особи new!relations_name_uo""),7,FALSE)
,
)
))"),"КОВПАК Ігор Іванович")</f>
        <v>КОВПАК Ігор Іванович</v>
      </c>
      <c r="G7961" s="7" t="s">
        <v>10</v>
      </c>
      <c r="H7961" s="7">
        <v>403</v>
      </c>
      <c r="I7961" s="8" t="str">
        <f ca="1">IFERROR(__xludf.DUMMYFUNCTION("IF
(
G7962=""фізична особа""
,
VLOOKUP(H7962,IMPORTRANGE(""https://docs.google.com/spreadsheets/d/14Bd19lYaqBhU8_DElYkX7l4wRkHqqCUFNJY4AfY3kHU/edit?usp=sharing  #gid=0"",""фіз особи new!relations_name""),6,FALSE)
,
(IF
(
G7962=""юридична особа""
,
VLOOKUP"&amp;"(H7962,IMPORTRANGE(""https://docs.google.com/spreadsheets/d/14Bd19lYaqBhU8_DElYkX7l4wRkHqqCUFNJY4AfY3kHU/edit?usp=sharing  #gid=0"",""фіз особи new!relations_name_uo""),7,FALSE)
,
)
))"),"КОВПАК Лев Ігорович")</f>
        <v>КОВПАК Лев Ігорович</v>
      </c>
      <c r="J7961" s="7" t="s">
        <v>17</v>
      </c>
    </row>
    <row r="7962" spans="1:10" ht="13.2">
      <c r="A7962" s="7">
        <v>7961</v>
      </c>
      <c r="B7962" s="7">
        <v>1</v>
      </c>
      <c r="C7962" s="7" t="s">
        <v>10</v>
      </c>
      <c r="D7962" s="7">
        <v>8848</v>
      </c>
      <c r="E7962" s="7" t="s">
        <v>15</v>
      </c>
      <c r="F7962" s="8" t="str">
        <f ca="1">IFERROR(__xludf.DUMMYFUNCTION("IF
(
C7963=""фізична особа""
,
VLOOKUP(D7963,IMPORTRANGE(""https://docs.google.com/spreadsheets/d/14Bd19lYaqBhU8_DElYkX7l4wRkHqqCUFNJY4AfY3kHU/edit?usp=sharing  #gid=0"",""фіз особи new!relations_name""),6,FALSE)
,
(IF
(
C7963=""юридична особа""
,
VLOOKUP"&amp;"(D7963,IMPORTRANGE(""https://docs.google.com/spreadsheets/d/14Bd19lYaqBhU8_DElYkX7l4wRkHqqCUFNJY4AfY3kHU/edit?usp=sharing  #gid=0"",""фіз особи new!relations_name_uo""),7,FALSE)
,
)
))"),"ТОПІЛІНА Марія Валентинівна")</f>
        <v>ТОПІЛІНА Марія Валентинівна</v>
      </c>
      <c r="G7962" s="7" t="s">
        <v>10</v>
      </c>
      <c r="H7962" s="7">
        <v>432</v>
      </c>
      <c r="I7962" s="8" t="str">
        <f ca="1">IFERROR(__xludf.DUMMYFUNCTION("IF
(
G7963=""фізична особа""
,
VLOOKUP(H7963,IMPORTRANGE(""https://docs.google.com/spreadsheets/d/14Bd19lYaqBhU8_DElYkX7l4wRkHqqCUFNJY4AfY3kHU/edit?usp=sharing  #gid=0"",""фіз особи new!relations_name""),6,FALSE)
,
(IF
(
G7963=""юридична особа""
,
VLOOKUP"&amp;"(H7963,IMPORTRANGE(""https://docs.google.com/spreadsheets/d/14Bd19lYaqBhU8_DElYkX7l4wRkHqqCUFNJY4AfY3kHU/edit?usp=sharing  #gid=0"",""фіз особи new!relations_name_uo""),7,FALSE)
,
)
))"),"ТОПІЛІН Максим Анатолійович")</f>
        <v>ТОПІЛІН Максим Анатолійович</v>
      </c>
      <c r="J7962" s="7" t="s">
        <v>14</v>
      </c>
    </row>
    <row r="7963" spans="1:10" ht="13.2">
      <c r="A7963" s="7">
        <v>7962</v>
      </c>
      <c r="B7963" s="7">
        <v>1</v>
      </c>
      <c r="C7963" s="7" t="s">
        <v>10</v>
      </c>
      <c r="D7963" s="7">
        <v>8849</v>
      </c>
      <c r="E7963" s="7" t="s">
        <v>15</v>
      </c>
      <c r="F7963" s="8" t="str">
        <f ca="1">IFERROR(__xludf.DUMMYFUNCTION("IF
(
C7964=""фізична особа""
,
VLOOKUP(D7964,IMPORTRANGE(""https://docs.google.com/spreadsheets/d/14Bd19lYaqBhU8_DElYkX7l4wRkHqqCUFNJY4AfY3kHU/edit?usp=sharing  #gid=0"",""фіз особи new!relations_name""),6,FALSE)
,
(IF
(
C7964=""юридична особа""
,
VLOOKUP"&amp;"(D7964,IMPORTRANGE(""https://docs.google.com/spreadsheets/d/14Bd19lYaqBhU8_DElYkX7l4wRkHqqCUFNJY4AfY3kHU/edit?usp=sharing  #gid=0"",""фіз особи new!relations_name_uo""),7,FALSE)
,
)
))"),"БЕРУЛАВА Галина Олексіївна")</f>
        <v>БЕРУЛАВА Галина Олексіївна</v>
      </c>
      <c r="G7963" s="7" t="s">
        <v>10</v>
      </c>
      <c r="H7963" s="7">
        <v>452</v>
      </c>
      <c r="I7963" s="8" t="str">
        <f ca="1">IFERROR(__xludf.DUMMYFUNCTION("IF
(
G7964=""фізична особа""
,
VLOOKUP(H7964,IMPORTRANGE(""https://docs.google.com/spreadsheets/d/14Bd19lYaqBhU8_DElYkX7l4wRkHqqCUFNJY4AfY3kHU/edit?usp=sharing  #gid=0"",""фіз особи new!relations_name""),6,FALSE)
,
(IF
(
G7964=""юридична особа""
,
VLOOKUP"&amp;"(H7964,IMPORTRANGE(""https://docs.google.com/spreadsheets/d/14Bd19lYaqBhU8_DElYkX7l4wRkHqqCUFNJY4AfY3kHU/edit?usp=sharing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J7963" s="7" t="s">
        <v>14</v>
      </c>
    </row>
    <row r="7964" spans="1:10" ht="13.2">
      <c r="A7964" s="7">
        <v>7963</v>
      </c>
      <c r="B7964" s="7">
        <v>1</v>
      </c>
      <c r="C7964" s="7" t="s">
        <v>10</v>
      </c>
      <c r="D7964" s="7">
        <v>8850</v>
      </c>
      <c r="E7964" s="7" t="s">
        <v>13</v>
      </c>
      <c r="F7964" s="8" t="str">
        <f ca="1">IFERROR(__xludf.DUMMYFUNCTION("IF
(
C7965=""фізична особа""
,
VLOOKUP(D7965,IMPORTRANGE(""https://docs.google.com/spreadsheets/d/14Bd19lYaqBhU8_DElYkX7l4wRkHqqCUFNJY4AfY3kHU/edit?usp=sharing  #gid=0"",""фіз особи new!relations_name""),6,FALSE)
,
(IF
(
C7965=""юридична особа""
,
VLOOKUP"&amp;"(D7965,IMPORTRANGE(""https://docs.google.com/spreadsheets/d/14Bd19lYaqBhU8_DElYkX7l4wRkHqqCUFNJY4AfY3kHU/edit?usp=sharing  #gid=0"",""фіз особи new!relations_name_uo""),7,FALSE)
,
)
))"),"БЕРУЛАВА Марія Михайлівна")</f>
        <v>БЕРУЛАВА Марія Михайлівна</v>
      </c>
      <c r="G7964" s="7" t="s">
        <v>10</v>
      </c>
      <c r="H7964" s="7">
        <v>452</v>
      </c>
      <c r="I7964" s="8" t="str">
        <f ca="1">IFERROR(__xludf.DUMMYFUNCTION("IF
(
G7965=""фізична особа""
,
VLOOKUP(H7965,IMPORTRANGE(""https://docs.google.com/spreadsheets/d/14Bd19lYaqBhU8_DElYkX7l4wRkHqqCUFNJY4AfY3kHU/edit?usp=sharing  #gid=0"",""фіз особи new!relations_name""),6,FALSE)
,
(IF
(
G7965=""юридична особа""
,
VLOOKUP"&amp;"(H7965,IMPORTRANGE(""https://docs.google.com/spreadsheets/d/14Bd19lYaqBhU8_DElYkX7l4wRkHqqCUFNJY4AfY3kHU/edit?usp=sharing  #gid=0"",""фіз особи new!relations_name_uo""),7,FALSE)
,
)
))"),"БЄРУЛАВА Михайло Миколайович")</f>
        <v>БЄРУЛАВА Михайло Миколайович</v>
      </c>
      <c r="J7964" s="7" t="s">
        <v>12</v>
      </c>
    </row>
    <row r="7965" spans="1:10" ht="13.2">
      <c r="A7965" s="7">
        <v>7964</v>
      </c>
      <c r="B7965" s="7">
        <v>1</v>
      </c>
      <c r="C7965" s="7" t="s">
        <v>10</v>
      </c>
      <c r="D7965" s="7">
        <v>8851</v>
      </c>
      <c r="E7965" s="7" t="s">
        <v>15</v>
      </c>
      <c r="F7965" s="8" t="str">
        <f ca="1">IFERROR(__xludf.DUMMYFUNCTION("IF
(
C7966=""фізична особа""
,
VLOOKUP(D7966,IMPORTRANGE(""https://docs.google.com/spreadsheets/d/14Bd19lYaqBhU8_DElYkX7l4wRkHqqCUFNJY4AfY3kHU/edit?usp=sharing  #gid=0"",""фіз особи new!relations_name""),6,FALSE)
,
(IF
(
C7966=""юридична особа""
,
VLOOKUP"&amp;"(D7966,IMPORTRANGE(""https://docs.google.com/spreadsheets/d/14Bd19lYaqBhU8_DElYkX7l4wRkHqqCUFNJY4AfY3kHU/edit?usp=sharing  #gid=0"",""фіз особи new!relations_name_uo""),7,FALSE)
,
)
))"),"ВАЛУЄВА Галина Борисівна")</f>
        <v>ВАЛУЄВА Галина Борисівна</v>
      </c>
      <c r="G7965" s="7" t="s">
        <v>10</v>
      </c>
      <c r="H7965" s="7">
        <v>505</v>
      </c>
      <c r="I7965" s="8" t="str">
        <f ca="1">IFERROR(__xludf.DUMMYFUNCTION("IF
(
G7966=""фізична особа""
,
VLOOKUP(H7966,IMPORTRANGE(""https://docs.google.com/spreadsheets/d/14Bd19lYaqBhU8_DElYkX7l4wRkHqqCUFNJY4AfY3kHU/edit?usp=sharing  #gid=0"",""фіз особи new!relations_name""),6,FALSE)
,
(IF
(
G7966=""юридична особа""
,
VLOOKUP"&amp;"(H7966,IMPORTRANGE(""https://docs.google.com/spreadsheets/d/14Bd19lYaqBhU8_DElYkX7l4wRkHqqCUFNJY4AfY3kHU/edit?usp=sharing  #gid=0"",""фіз особи new!relations_name_uo""),7,FALSE)
,
)
))"),"ВАЛУЄВ Микола Сергійович")</f>
        <v>ВАЛУЄВ Микола Сергійович</v>
      </c>
      <c r="J7965" s="7" t="s">
        <v>14</v>
      </c>
    </row>
    <row r="7966" spans="1:10" ht="13.2">
      <c r="A7966" s="7">
        <v>7965</v>
      </c>
      <c r="B7966" s="7">
        <v>1</v>
      </c>
      <c r="C7966" s="7" t="s">
        <v>10</v>
      </c>
      <c r="D7966" s="7">
        <v>8852</v>
      </c>
      <c r="E7966" s="7" t="s">
        <v>15</v>
      </c>
      <c r="F7966" s="8" t="str">
        <f ca="1">IFERROR(__xludf.DUMMYFUNCTION("IF
(
C7967=""фізична особа""
,
VLOOKUP(D7967,IMPORTRANGE(""https://docs.google.com/spreadsheets/d/14Bd19lYaqBhU8_DElYkX7l4wRkHqqCUFNJY4AfY3kHU/edit?usp=sharing  #gid=0"",""фіз особи new!relations_name""),6,FALSE)
,
(IF
(
C7967=""юридична особа""
,
VLOOKUP"&amp;"(D7967,IMPORTRANGE(""https://docs.google.com/spreadsheets/d/14Bd19lYaqBhU8_DElYkX7l4wRkHqqCUFNJY4AfY3kHU/edit?usp=sharing  #gid=0"",""фіз особи new!relations_name_uo""),7,FALSE)
,
)
))"),"ПЕТРОВА Маргарита Василівна")</f>
        <v>ПЕТРОВА Маргарита Василівна</v>
      </c>
      <c r="G7966" s="7" t="s">
        <v>10</v>
      </c>
      <c r="H7966" s="7">
        <v>634</v>
      </c>
      <c r="I7966" s="8" t="str">
        <f ca="1">IFERROR(__xludf.DUMMYFUNCTION("IF
(
G7967=""фізична особа""
,
VLOOKUP(H7967,IMPORTRANGE(""https://docs.google.com/spreadsheets/d/14Bd19lYaqBhU8_DElYkX7l4wRkHqqCUFNJY4AfY3kHU/edit?usp=sharing  #gid=0"",""фіз особи new!relations_name""),6,FALSE)
,
(IF
(
G7967=""юридична особа""
,
VLOOKUP"&amp;"(H7967,IMPORTRANGE(""https://docs.google.com/spreadsheets/d/14Bd19lYaqBhU8_DElYkX7l4wRkHqqCUFNJY4AfY3kHU/edit?usp=sharing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J7966" s="7" t="s">
        <v>14</v>
      </c>
    </row>
    <row r="7967" spans="1:10" ht="13.2">
      <c r="A7967" s="7">
        <v>7966</v>
      </c>
      <c r="B7967" s="7">
        <v>1</v>
      </c>
      <c r="C7967" s="7" t="s">
        <v>10</v>
      </c>
      <c r="D7967" s="7">
        <v>8853</v>
      </c>
      <c r="E7967" s="7" t="s">
        <v>17</v>
      </c>
      <c r="F7967" s="8" t="str">
        <f ca="1">IFERROR(__xludf.DUMMYFUNCTION("IF
(
C7968=""фізична особа""
,
VLOOKUP(D7968,IMPORTRANGE(""https://docs.google.com/spreadsheets/d/14Bd19lYaqBhU8_DElYkX7l4wRkHqqCUFNJY4AfY3kHU/edit?usp=sharing  #gid=0"",""фіз особи new!relations_name""),6,FALSE)
,
(IF
(
C7968=""юридична особа""
,
VLOOKUP"&amp;"(D7968,IMPORTRANGE(""https://docs.google.com/spreadsheets/d/14Bd19lYaqBhU8_DElYkX7l4wRkHqqCUFNJY4AfY3kHU/edit?usp=sharing  #gid=0"",""фіз особи new!relations_name_uo""),7,FALSE)
,
)
))"),"ПЕТРОВ Олександр Олександрович")</f>
        <v>ПЕТРОВ Олександр Олександрович</v>
      </c>
      <c r="G7967" s="7" t="s">
        <v>10</v>
      </c>
      <c r="H7967" s="7">
        <v>634</v>
      </c>
      <c r="I7967" s="8" t="str">
        <f ca="1">IFERROR(__xludf.DUMMYFUNCTION("IF
(
G7968=""фізична особа""
,
VLOOKUP(H7968,IMPORTRANGE(""https://docs.google.com/spreadsheets/d/14Bd19lYaqBhU8_DElYkX7l4wRkHqqCUFNJY4AfY3kHU/edit?usp=sharing  #gid=0"",""фіз особи new!relations_name""),6,FALSE)
,
(IF
(
G7968=""юридична особа""
,
VLOOKUP"&amp;"(H7968,IMPORTRANGE(""https://docs.google.com/spreadsheets/d/14Bd19lYaqBhU8_DElYkX7l4wRkHqqCUFNJY4AfY3kHU/edit?usp=sharing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J7967" s="7" t="s">
        <v>12</v>
      </c>
    </row>
    <row r="7968" spans="1:10" ht="13.2">
      <c r="A7968" s="7">
        <v>7967</v>
      </c>
      <c r="B7968" s="7">
        <v>1</v>
      </c>
      <c r="C7968" s="7" t="s">
        <v>10</v>
      </c>
      <c r="D7968" s="7">
        <v>8854</v>
      </c>
      <c r="E7968" s="7" t="s">
        <v>17</v>
      </c>
      <c r="F7968" s="8" t="str">
        <f ca="1">IFERROR(__xludf.DUMMYFUNCTION("IF
(
C7969=""фізична особа""
,
VLOOKUP(D7969,IMPORTRANGE(""https://docs.google.com/spreadsheets/d/14Bd19lYaqBhU8_DElYkX7l4wRkHqqCUFNJY4AfY3kHU/edit?usp=sharing  #gid=0"",""фіз особи new!relations_name""),6,FALSE)
,
(IF
(
C7969=""юридична особа""
,
VLOOKUP"&amp;"(D7969,IMPORTRANGE(""https://docs.google.com/spreadsheets/d/14Bd19lYaqBhU8_DElYkX7l4wRkHqqCUFNJY4AfY3kHU/edit?usp=sharing  #gid=0"",""фіз особи new!relations_name_uo""),7,FALSE)
,
)
))"),"ПЕТРОВ Денис Олександрович")</f>
        <v>ПЕТРОВ Денис Олександрович</v>
      </c>
      <c r="G7968" s="7" t="s">
        <v>10</v>
      </c>
      <c r="H7968" s="7">
        <v>634</v>
      </c>
      <c r="I7968" s="8" t="str">
        <f ca="1">IFERROR(__xludf.DUMMYFUNCTION("IF
(
G7969=""фізична особа""
,
VLOOKUP(H7969,IMPORTRANGE(""https://docs.google.com/spreadsheets/d/14Bd19lYaqBhU8_DElYkX7l4wRkHqqCUFNJY4AfY3kHU/edit?usp=sharing  #gid=0"",""фіз особи new!relations_name""),6,FALSE)
,
(IF
(
G7969=""юридична особа""
,
VLOOKUP"&amp;"(H7969,IMPORTRANGE(""https://docs.google.com/spreadsheets/d/14Bd19lYaqBhU8_DElYkX7l4wRkHqqCUFNJY4AfY3kHU/edit?usp=sharing  #gid=0"",""фіз особи new!relations_name_uo""),7,FALSE)
,
)
))"),"ПЕТРОВ Олександр Петрович")</f>
        <v>ПЕТРОВ Олександр Петрович</v>
      </c>
      <c r="J7968" s="7" t="s">
        <v>12</v>
      </c>
    </row>
    <row r="7969" spans="1:10" ht="13.2">
      <c r="A7969" s="7">
        <v>7968</v>
      </c>
      <c r="B7969" s="7">
        <v>1</v>
      </c>
      <c r="C7969" s="7" t="s">
        <v>10</v>
      </c>
      <c r="D7969" s="7">
        <v>8855</v>
      </c>
      <c r="E7969" s="7" t="s">
        <v>15</v>
      </c>
      <c r="F7969" s="8" t="str">
        <f ca="1">IFERROR(__xludf.DUMMYFUNCTION("IF
(
C7970=""фізична особа""
,
VLOOKUP(D7970,IMPORTRANGE(""https://docs.google.com/spreadsheets/d/14Bd19lYaqBhU8_DElYkX7l4wRkHqqCUFNJY4AfY3kHU/edit?usp=sharing  #gid=0"",""фіз особи new!relations_name""),6,FALSE)
,
(IF
(
C7970=""юридична особа""
,
VLOOKUP"&amp;"(D7970,IMPORTRANGE(""https://docs.google.com/spreadsheets/d/14Bd19lYaqBhU8_DElYkX7l4wRkHqqCUFNJY4AfY3kHU/edit?usp=sharing  #gid=0"",""фіз особи new!relations_name_uo""),7,FALSE)
,
)
))"),"ГАДЖИЄВА Ашура Магомедзагірівна")</f>
        <v>ГАДЖИЄВА Ашура Магомедзагірівна</v>
      </c>
      <c r="G7969" s="7" t="s">
        <v>10</v>
      </c>
      <c r="H7969" s="7">
        <v>471</v>
      </c>
      <c r="I7969" s="8" t="str">
        <f ca="1">IFERROR(__xludf.DUMMYFUNCTION("IF
(
G7970=""фізична особа""
,
VLOOKUP(H7970,IMPORTRANGE(""https://docs.google.com/spreadsheets/d/14Bd19lYaqBhU8_DElYkX7l4wRkHqqCUFNJY4AfY3kHU/edit?usp=sharing  #gid=0"",""фіз особи new!relations_name""),6,FALSE)
,
(IF
(
G7970=""юридична особа""
,
VLOOKUP"&amp;"(H7970,IMPORTRANGE(""https://docs.google.com/spreadsheets/d/14Bd19lYaqBhU8_DElYkX7l4wRkHqqCUFNJY4AfY3kHU/edit?usp=sharing  #gid=0"",""фіз особи new!relations_name_uo""),7,FALSE)
,
)
))"),"ГАДЖІЄВ Мурад Станіславович")</f>
        <v>ГАДЖІЄВ Мурад Станіславович</v>
      </c>
      <c r="J7969" s="7" t="s">
        <v>14</v>
      </c>
    </row>
    <row r="7970" spans="1:10" ht="13.2">
      <c r="A7970" s="7">
        <v>7969</v>
      </c>
      <c r="B7970" s="7">
        <v>1</v>
      </c>
      <c r="C7970" s="7" t="s">
        <v>10</v>
      </c>
      <c r="D7970" s="7">
        <v>8856</v>
      </c>
      <c r="E7970" s="7" t="s">
        <v>18</v>
      </c>
      <c r="F7970" s="8" t="str">
        <f ca="1">IFERROR(__xludf.DUMMYFUNCTION("IF
(
C7971=""фізична особа""
,
VLOOKUP(D7971,IMPORTRANGE(""https://docs.google.com/spreadsheets/d/14Bd19lYaqBhU8_DElYkX7l4wRkHqqCUFNJY4AfY3kHU/edit?usp=sharing  #gid=0"",""фіз особи new!relations_name""),6,FALSE)
,
(IF
(
C7971=""юридична особа""
,
VLOOKUP"&amp;"(D7971,IMPORTRANGE(""https://docs.google.com/spreadsheets/d/14Bd19lYaqBhU8_DElYkX7l4wRkHqqCUFNJY4AfY3kHU/edit?usp=sharing  #gid=0"",""фіз особи new!relations_name_uo""),7,FALSE)
,
)
))"),"ГАДЖИЄВ Рустам Станіславович")</f>
        <v>ГАДЖИЄВ Рустам Станіславович</v>
      </c>
      <c r="G7970" s="7" t="s">
        <v>10</v>
      </c>
      <c r="H7970" s="7">
        <v>471</v>
      </c>
      <c r="I7970" s="8" t="str">
        <f ca="1">IFERROR(__xludf.DUMMYFUNCTION("IF
(
G7971=""фізична особа""
,
VLOOKUP(H7971,IMPORTRANGE(""https://docs.google.com/spreadsheets/d/14Bd19lYaqBhU8_DElYkX7l4wRkHqqCUFNJY4AfY3kHU/edit?usp=sharing  #gid=0"",""фіз особи new!relations_name""),6,FALSE)
,
(IF
(
G7971=""юридична особа""
,
VLOOKUP"&amp;"(H7971,IMPORTRANGE(""https://docs.google.com/spreadsheets/d/14Bd19lYaqBhU8_DElYkX7l4wRkHqqCUFNJY4AfY3kHU/edit?usp=sharing  #gid=0"",""фіз особи new!relations_name_uo""),7,FALSE)
,
)
))"),"ГАДЖІЄВ Мурад Станіславович")</f>
        <v>ГАДЖІЄВ Мурад Станіславович</v>
      </c>
      <c r="J7970" s="7" t="s">
        <v>18</v>
      </c>
    </row>
    <row r="7971" spans="1:10" ht="13.2">
      <c r="A7971" s="7">
        <v>7970</v>
      </c>
      <c r="B7971" s="7">
        <v>1</v>
      </c>
      <c r="C7971" s="7" t="s">
        <v>10</v>
      </c>
      <c r="D7971" s="7">
        <v>8857</v>
      </c>
      <c r="E7971" s="7" t="s">
        <v>14</v>
      </c>
      <c r="F7971" s="8" t="str">
        <f ca="1">IFERROR(__xludf.DUMMYFUNCTION("IF
(
C7972=""фізична особа""
,
VLOOKUP(D7972,IMPORTRANGE(""https://docs.google.com/spreadsheets/d/14Bd19lYaqBhU8_DElYkX7l4wRkHqqCUFNJY4AfY3kHU/edit?usp=sharing  #gid=0"",""фіз особи new!relations_name""),6,FALSE)
,
(IF
(
C7972=""юридична особа""
,
VLOOKUP"&amp;"(D7972,IMPORTRANGE(""https://docs.google.com/spreadsheets/d/14Bd19lYaqBhU8_DElYkX7l4wRkHqqCUFNJY4AfY3kHU/edit?usp=sharing  #gid=0"",""фіз особи new!relations_name_uo""),7,FALSE)
,
)
))"),"ГРАЧЬОВ (Грачов) Іван Дмитрович")</f>
        <v>ГРАЧЬОВ (Грачов) Іван Дмитрович</v>
      </c>
      <c r="G7971" s="7" t="s">
        <v>10</v>
      </c>
      <c r="H7971" s="7">
        <v>533</v>
      </c>
      <c r="I7971" s="8" t="str">
        <f ca="1">IFERROR(__xludf.DUMMYFUNCTION("IF
(
G7972=""фізична особа""
,
VLOOKUP(H7972,IMPORTRANGE(""https://docs.google.com/spreadsheets/d/14Bd19lYaqBhU8_DElYkX7l4wRkHqqCUFNJY4AfY3kHU/edit?usp=sharing  #gid=0"",""фіз особи new!relations_name""),6,FALSE)
,
(IF
(
G7972=""юридична особа""
,
VLOOKUP"&amp;"(H7972,IMPORTRANGE(""https://docs.google.com/spreadsheets/d/14Bd19lYaqBhU8_DElYkX7l4wRkHqqCUFNJY4AfY3kHU/edit?usp=sharing  #gid=0"",""фіз особи new!relations_name_uo""),7,FALSE)
,
)
))"),"ДМІТРІЄВА Оксана Генріхівна")</f>
        <v>ДМІТРІЄВА Оксана Генріхівна</v>
      </c>
      <c r="J7971" s="7" t="s">
        <v>15</v>
      </c>
    </row>
    <row r="7972" spans="1:10" ht="13.2">
      <c r="A7972" s="7">
        <v>7971</v>
      </c>
      <c r="B7972" s="7">
        <v>1</v>
      </c>
      <c r="C7972" s="7" t="s">
        <v>10</v>
      </c>
      <c r="D7972" s="7">
        <v>8858</v>
      </c>
      <c r="E7972" s="7" t="s">
        <v>15</v>
      </c>
      <c r="F7972" s="8" t="str">
        <f ca="1">IFERROR(__xludf.DUMMYFUNCTION("IF
(
C7973=""фізична особа""
,
VLOOKUP(D7973,IMPORTRANGE(""https://docs.google.com/spreadsheets/d/14Bd19lYaqBhU8_DElYkX7l4wRkHqqCUFNJY4AfY3kHU/edit?usp=sharing  #gid=0"",""фіз особи new!relations_name""),6,FALSE)
,
(IF
(
C7973=""юридична особа""
,
VLOOKUP"&amp;"(D7973,IMPORTRANGE(""https://docs.google.com/spreadsheets/d/14Bd19lYaqBhU8_DElYkX7l4wRkHqqCUFNJY4AfY3kHU/edit?usp=sharing  #gid=0"",""фіз особи new!relations_name_uo""),7,FALSE)
,
)
))"),"КОЛЕСНІКОВА Олена Рафіківна")</f>
        <v>КОЛЕСНІКОВА Олена Рафіківна</v>
      </c>
      <c r="G7972" s="7" t="s">
        <v>10</v>
      </c>
      <c r="H7972" s="7">
        <v>539</v>
      </c>
      <c r="I7972" s="8" t="str">
        <f ca="1">IFERROR(__xludf.DUMMYFUNCTION("IF
(
G7973=""фізична особа""
,
VLOOKUP(H7973,IMPORTRANGE(""https://docs.google.com/spreadsheets/d/14Bd19lYaqBhU8_DElYkX7l4wRkHqqCUFNJY4AfY3kHU/edit?usp=sharing  #gid=0"",""фіз особи new!relations_name""),6,FALSE)
,
(IF
(
G7973=""юридична особа""
,
VLOOKUP"&amp;"(H7973,IMPORTRANGE(""https://docs.google.com/spreadsheets/d/14Bd19lYaqBhU8_DElYkX7l4wRkHqqCUFNJY4AfY3kHU/edit?usp=sharing  #gid=0"",""фіз особи new!relations_name_uo""),7,FALSE)
,
)
))"),"КОЛЕСНІКОВ Олег Олексійович")</f>
        <v>КОЛЕСНІКОВ Олег Олексійович</v>
      </c>
      <c r="J7972" s="7" t="s">
        <v>14</v>
      </c>
    </row>
    <row r="7973" spans="1:10" ht="13.2">
      <c r="A7973" s="7">
        <v>7972</v>
      </c>
      <c r="B7973" s="7">
        <v>1</v>
      </c>
      <c r="C7973" s="7" t="s">
        <v>10</v>
      </c>
      <c r="D7973" s="7">
        <v>8859</v>
      </c>
      <c r="E7973" s="7" t="s">
        <v>15</v>
      </c>
      <c r="F7973" s="8" t="str">
        <f ca="1">IFERROR(__xludf.DUMMYFUNCTION("IF
(
C7974=""фізична особа""
,
VLOOKUP(D7974,IMPORTRANGE(""https://docs.google.com/spreadsheets/d/14Bd19lYaqBhU8_DElYkX7l4wRkHqqCUFNJY4AfY3kHU/edit?usp=sharing  #gid=0"",""фіз особи new!relations_name""),6,FALSE)
,
(IF
(
C7974=""юридична особа""
,
VLOOKUP"&amp;"(D7974,IMPORTRANGE(""https://docs.google.com/spreadsheets/d/14Bd19lYaqBhU8_DElYkX7l4wRkHqqCUFNJY4AfY3kHU/edit?usp=sharing  #gid=0"",""фіз особи new!relations_name_uo""),7,FALSE)
,
)
))"),"МІКРЮКОВА Тетяна Петрівна")</f>
        <v>МІКРЮКОВА Тетяна Петрівна</v>
      </c>
      <c r="G7973" s="7" t="s">
        <v>10</v>
      </c>
      <c r="H7973" s="7">
        <v>546</v>
      </c>
      <c r="I7973" s="8" t="str">
        <f ca="1">IFERROR(__xludf.DUMMYFUNCTION("IF
(
G7974=""фізична особа""
,
VLOOKUP(H7974,IMPORTRANGE(""https://docs.google.com/spreadsheets/d/14Bd19lYaqBhU8_DElYkX7l4wRkHqqCUFNJY4AfY3kHU/edit?usp=sharing  #gid=0"",""фіз особи new!relations_name""),6,FALSE)
,
(IF
(
G7974=""юридична особа""
,
VLOOKUP"&amp;"(H7974,IMPORTRANGE(""https://docs.google.com/spreadsheets/d/14Bd19lYaqBhU8_DElYkX7l4wRkHqqCUFNJY4AfY3kHU/edit?usp=sharing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J7973" s="7" t="s">
        <v>14</v>
      </c>
    </row>
    <row r="7974" spans="1:10" ht="13.2">
      <c r="A7974" s="7">
        <v>7973</v>
      </c>
      <c r="B7974" s="7">
        <v>1</v>
      </c>
      <c r="C7974" s="7" t="s">
        <v>10</v>
      </c>
      <c r="D7974" s="7">
        <v>8860</v>
      </c>
      <c r="E7974" s="7" t="s">
        <v>13</v>
      </c>
      <c r="F7974" s="8" t="str">
        <f ca="1">IFERROR(__xludf.DUMMYFUNCTION("IF
(
C7975=""фізична особа""
,
VLOOKUP(D7975,IMPORTRANGE(""https://docs.google.com/spreadsheets/d/14Bd19lYaqBhU8_DElYkX7l4wRkHqqCUFNJY4AfY3kHU/edit?usp=sharing  #gid=0"",""фіз особи new!relations_name""),6,FALSE)
,
(IF
(
C7975=""юридична особа""
,
VLOOKUP"&amp;"(D7975,IMPORTRANGE(""https://docs.google.com/spreadsheets/d/14Bd19lYaqBhU8_DElYkX7l4wRkHqqCUFNJY4AfY3kHU/edit?usp=sharing  #gid=0"",""фіз особи new!relations_name_uo""),7,FALSE)
,
)
))"),"ВАЛЕНЧУК Поліна Олегівна")</f>
        <v>ВАЛЕНЧУК Поліна Олегівна</v>
      </c>
      <c r="G7974" s="7" t="s">
        <v>10</v>
      </c>
      <c r="H7974" s="7">
        <v>546</v>
      </c>
      <c r="I7974" s="8" t="str">
        <f ca="1">IFERROR(__xludf.DUMMYFUNCTION("IF
(
G7975=""фізична особа""
,
VLOOKUP(H7975,IMPORTRANGE(""https://docs.google.com/spreadsheets/d/14Bd19lYaqBhU8_DElYkX7l4wRkHqqCUFNJY4AfY3kHU/edit?usp=sharing  #gid=0"",""фіз особи new!relations_name""),6,FALSE)
,
(IF
(
G7975=""юридична особа""
,
VLOOKUP"&amp;"(H7975,IMPORTRANGE(""https://docs.google.com/spreadsheets/d/14Bd19lYaqBhU8_DElYkX7l4wRkHqqCUFNJY4AfY3kHU/edit?usp=sharing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J7974" s="7" t="s">
        <v>12</v>
      </c>
    </row>
    <row r="7975" spans="1:10" ht="13.2">
      <c r="A7975" s="7">
        <v>7974</v>
      </c>
      <c r="B7975" s="7">
        <v>1</v>
      </c>
      <c r="C7975" s="7" t="s">
        <v>10</v>
      </c>
      <c r="D7975" s="7">
        <v>8861</v>
      </c>
      <c r="E7975" s="7" t="s">
        <v>17</v>
      </c>
      <c r="F7975" s="8" t="str">
        <f ca="1">IFERROR(__xludf.DUMMYFUNCTION("IF
(
C7976=""фізична особа""
,
VLOOKUP(D7976,IMPORTRANGE(""https://docs.google.com/spreadsheets/d/14Bd19lYaqBhU8_DElYkX7l4wRkHqqCUFNJY4AfY3kHU/edit?usp=sharing  #gid=0"",""фіз особи new!relations_name""),6,FALSE)
,
(IF
(
C7976=""юридична особа""
,
VLOOKUP"&amp;"(D7976,IMPORTRANGE(""https://docs.google.com/spreadsheets/d/14Bd19lYaqBhU8_DElYkX7l4wRkHqqCUFNJY4AfY3kHU/edit?usp=sharing  #gid=0"",""фіз особи new!relations_name_uo""),7,FALSE)
,
)
))"),"ВАЛЕНЧУК Павло Олегович")</f>
        <v>ВАЛЕНЧУК Павло Олегович</v>
      </c>
      <c r="G7975" s="7" t="s">
        <v>10</v>
      </c>
      <c r="H7975" s="7">
        <v>546</v>
      </c>
      <c r="I7975" s="8" t="str">
        <f ca="1">IFERROR(__xludf.DUMMYFUNCTION("IF
(
G7976=""фізична особа""
,
VLOOKUP(H7976,IMPORTRANGE(""https://docs.google.com/spreadsheets/d/14Bd19lYaqBhU8_DElYkX7l4wRkHqqCUFNJY4AfY3kHU/edit?usp=sharing  #gid=0"",""фіз особи new!relations_name""),6,FALSE)
,
(IF
(
G7976=""юридична особа""
,
VLOOKUP"&amp;"(H7976,IMPORTRANGE(""https://docs.google.com/spreadsheets/d/14Bd19lYaqBhU8_DElYkX7l4wRkHqqCUFNJY4AfY3kHU/edit?usp=sharing  #gid=0"",""фіз особи new!relations_name_uo""),7,FALSE)
,
)
))"),"ВАЛЕНЧУК Олег Доріанович")</f>
        <v>ВАЛЕНЧУК Олег Доріанович</v>
      </c>
      <c r="J7975" s="7" t="s">
        <v>12</v>
      </c>
    </row>
    <row r="7976" spans="1:10" ht="13.2">
      <c r="A7976" s="7">
        <v>7975</v>
      </c>
      <c r="B7976" s="7">
        <v>1</v>
      </c>
      <c r="C7976" s="7" t="s">
        <v>10</v>
      </c>
      <c r="D7976" s="7">
        <v>8862</v>
      </c>
      <c r="E7976" s="7" t="s">
        <v>15</v>
      </c>
      <c r="F7976" s="8" t="str">
        <f ca="1">IFERROR(__xludf.DUMMYFUNCTION("IF
(
C7977=""фізична особа""
,
VLOOKUP(D7977,IMPORTRANGE(""https://docs.google.com/spreadsheets/d/14Bd19lYaqBhU8_DElYkX7l4wRkHqqCUFNJY4AfY3kHU/edit?usp=sharing  #gid=0"",""фіз особи new!relations_name""),6,FALSE)
,
(IF
(
C7977=""юридична особа""
,
VLOOKUP"&amp;"(D7977,IMPORTRANGE(""https://docs.google.com/spreadsheets/d/14Bd19lYaqBhU8_DElYkX7l4wRkHqqCUFNJY4AfY3kHU/edit?usp=sharing  #gid=0"",""фіз особи new!relations_name_uo""),7,FALSE)
,
)
))"),"СМОЛІНА Надія")</f>
        <v>СМОЛІНА Надія</v>
      </c>
      <c r="G7976" s="7" t="s">
        <v>10</v>
      </c>
      <c r="H7976" s="7">
        <v>553</v>
      </c>
      <c r="I7976" s="8" t="str">
        <f ca="1">IFERROR(__xludf.DUMMYFUNCTION("IF
(
G7977=""фізична особа""
,
VLOOKUP(H7977,IMPORTRANGE(""https://docs.google.com/spreadsheets/d/14Bd19lYaqBhU8_DElYkX7l4wRkHqqCUFNJY4AfY3kHU/edit?usp=sharing  #gid=0"",""фіз особи new!relations_name""),6,FALSE)
,
(IF
(
G7977=""юридична особа""
,
VLOOKUP"&amp;"(H7977,IMPORTRANGE(""https://docs.google.com/spreadsheets/d/14Bd19lYaqBhU8_DElYkX7l4wRkHqqCUFNJY4AfY3kHU/edit?usp=sharing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J7976" s="7" t="s">
        <v>14</v>
      </c>
    </row>
    <row r="7977" spans="1:10" ht="13.2">
      <c r="A7977" s="7">
        <v>7976</v>
      </c>
      <c r="B7977" s="7">
        <v>1</v>
      </c>
      <c r="C7977" s="7" t="s">
        <v>10</v>
      </c>
      <c r="D7977" s="7">
        <v>8863</v>
      </c>
      <c r="E7977" s="7" t="s">
        <v>17</v>
      </c>
      <c r="F7977" s="8" t="str">
        <f ca="1">IFERROR(__xludf.DUMMYFUNCTION("IF
(
C7978=""фізична особа""
,
VLOOKUP(D7978,IMPORTRANGE(""https://docs.google.com/spreadsheets/d/14Bd19lYaqBhU8_DElYkX7l4wRkHqqCUFNJY4AfY3kHU/edit?usp=sharing  #gid=0"",""фіз особи new!relations_name""),6,FALSE)
,
(IF
(
C7978=""юридична особа""
,
VLOOKUP"&amp;"(D7978,IMPORTRANGE(""https://docs.google.com/spreadsheets/d/14Bd19lYaqBhU8_DElYkX7l4wRkHqqCUFNJY4AfY3kHU/edit?usp=sharing  #gid=0"",""фіз особи new!relations_name_uo""),7,FALSE)
,
)
))"),"СМОЛІН Євгеній Олегович")</f>
        <v>СМОЛІН Євгеній Олегович</v>
      </c>
      <c r="G7977" s="7" t="s">
        <v>10</v>
      </c>
      <c r="H7977" s="7">
        <v>553</v>
      </c>
      <c r="I7977" s="8" t="str">
        <f ca="1">IFERROR(__xludf.DUMMYFUNCTION("IF
(
G7978=""фізична особа""
,
VLOOKUP(H7978,IMPORTRANGE(""https://docs.google.com/spreadsheets/d/14Bd19lYaqBhU8_DElYkX7l4wRkHqqCUFNJY4AfY3kHU/edit?usp=sharing  #gid=0"",""фіз особи new!relations_name""),6,FALSE)
,
(IF
(
G7978=""юридична особа""
,
VLOOKUP"&amp;"(H7978,IMPORTRANGE(""https://docs.google.com/spreadsheets/d/14Bd19lYaqBhU8_DElYkX7l4wRkHqqCUFNJY4AfY3kHU/edit?usp=sharing  #gid=0"",""фіз особи new!relations_name_uo""),7,FALSE)
,
)
))"),"СМОЛІН Олег Миколайович")</f>
        <v>СМОЛІН Олег Миколайович</v>
      </c>
      <c r="J7977" s="7" t="s">
        <v>12</v>
      </c>
    </row>
    <row r="7978" spans="1:10" ht="13.2">
      <c r="A7978" s="7">
        <v>7977</v>
      </c>
      <c r="B7978" s="7">
        <v>1</v>
      </c>
      <c r="C7978" s="7" t="s">
        <v>10</v>
      </c>
      <c r="D7978" s="7">
        <v>8864</v>
      </c>
      <c r="E7978" s="7" t="s">
        <v>15</v>
      </c>
      <c r="F7978" s="8" t="str">
        <f ca="1">IFERROR(__xludf.DUMMYFUNCTION("IF
(
C7979=""фізична особа""
,
VLOOKUP(D7979,IMPORTRANGE(""https://docs.google.com/spreadsheets/d/14Bd19lYaqBhU8_DElYkX7l4wRkHqqCUFNJY4AfY3kHU/edit?usp=sharing  #gid=0"",""фіз особи new!relations_name""),6,FALSE)
,
(IF
(
C7979=""юридична особа""
,
VLOOKUP"&amp;"(D7979,IMPORTRANGE(""https://docs.google.com/spreadsheets/d/14Bd19lYaqBhU8_DElYkX7l4wRkHqqCUFNJY4AfY3kHU/edit?usp=sharing  #gid=0"",""фіз особи new!relations_name_uo""),7,FALSE)
,
)
))"),"ФАРРАХОВА Гульнара Раіфівна")</f>
        <v>ФАРРАХОВА Гульнара Раіфівна</v>
      </c>
      <c r="G7978" s="7" t="s">
        <v>10</v>
      </c>
      <c r="H7978" s="7">
        <v>556</v>
      </c>
      <c r="I7978" s="8" t="str">
        <f ca="1">IFERROR(__xludf.DUMMYFUNCTION("IF
(
G7979=""фізична особа""
,
VLOOKUP(H7979,IMPORTRANGE(""https://docs.google.com/spreadsheets/d/14Bd19lYaqBhU8_DElYkX7l4wRkHqqCUFNJY4AfY3kHU/edit?usp=sharing  #gid=0"",""фіз особи new!relations_name""),6,FALSE)
,
(IF
(
G7979=""юридична особа""
,
VLOOKUP"&amp;"(H7979,IMPORTRANGE(""https://docs.google.com/spreadsheets/d/14Bd19lYaqBhU8_DElYkX7l4wRkHqqCUFNJY4AfY3kHU/edit?usp=sharing  #gid=0"",""фіз особи new!relations_name_uo""),7,FALSE)
,
)
))"),"ФАРРАХОВ Айрат Закієвич")</f>
        <v>ФАРРАХОВ Айрат Закієвич</v>
      </c>
      <c r="J7978" s="7" t="s">
        <v>14</v>
      </c>
    </row>
    <row r="7979" spans="1:10" ht="13.2">
      <c r="A7979" s="7">
        <v>7978</v>
      </c>
      <c r="B7979" s="7">
        <v>1</v>
      </c>
      <c r="C7979" s="7" t="s">
        <v>10</v>
      </c>
      <c r="D7979" s="7">
        <v>8865</v>
      </c>
      <c r="E7979" s="7" t="s">
        <v>13</v>
      </c>
      <c r="F7979" s="8" t="str">
        <f ca="1">IFERROR(__xludf.DUMMYFUNCTION("IF
(
C7980=""фізична особа""
,
VLOOKUP(D7980,IMPORTRANGE(""https://docs.google.com/spreadsheets/d/14Bd19lYaqBhU8_DElYkX7l4wRkHqqCUFNJY4AfY3kHU/edit?usp=sharing  #gid=0"",""фіз особи new!relations_name""),6,FALSE)
,
(IF
(
C7980=""юридична особа""
,
VLOOKUP"&amp;"(D7980,IMPORTRANGE(""https://docs.google.com/spreadsheets/d/14Bd19lYaqBhU8_DElYkX7l4wRkHqqCUFNJY4AfY3kHU/edit?usp=sharing  #gid=0"",""фіз особи new!relations_name_uo""),7,FALSE)
,
)
))"),"ЛЕ БРЕН / БАБАКОВА Ольга Олександрівна")</f>
        <v>ЛЕ БРЕН / БАБАКОВА Ольга Олександрівна</v>
      </c>
      <c r="G7979" s="7" t="s">
        <v>10</v>
      </c>
      <c r="H7979" s="7">
        <v>579</v>
      </c>
      <c r="I7979" s="8" t="str">
        <f ca="1">IFERROR(__xludf.DUMMYFUNCTION("IF
(
G7980=""фізична особа""
,
VLOOKUP(H7980,IMPORTRANGE(""https://docs.google.com/spreadsheets/d/14Bd19lYaqBhU8_DElYkX7l4wRkHqqCUFNJY4AfY3kHU/edit?usp=sharing  #gid=0"",""фіз особи new!relations_name""),6,FALSE)
,
(IF
(
G7980=""юридична особа""
,
VLOOKUP"&amp;"(H7980,IMPORTRANGE(""https://docs.google.com/spreadsheets/d/14Bd19lYaqBhU8_DElYkX7l4wRkHqqCUFNJY4AfY3kHU/edit?usp=sharing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J7979" s="7" t="s">
        <v>12</v>
      </c>
    </row>
    <row r="7980" spans="1:10" ht="13.2">
      <c r="A7980" s="7">
        <v>7979</v>
      </c>
      <c r="B7980" s="7">
        <v>1</v>
      </c>
      <c r="C7980" s="7" t="s">
        <v>10</v>
      </c>
      <c r="D7980" s="7">
        <v>8866</v>
      </c>
      <c r="E7980" s="7" t="s">
        <v>15</v>
      </c>
      <c r="F7980" s="8" t="str">
        <f ca="1">IFERROR(__xludf.DUMMYFUNCTION("IF
(
C7981=""фізична особа""
,
VLOOKUP(D7981,IMPORTRANGE(""https://docs.google.com/spreadsheets/d/14Bd19lYaqBhU8_DElYkX7l4wRkHqqCUFNJY4AfY3kHU/edit?usp=sharing  #gid=0"",""фіз особи new!relations_name""),6,FALSE)
,
(IF
(
C7981=""юридична особа""
,
VLOOKUP"&amp;"(D7981,IMPORTRANGE(""https://docs.google.com/spreadsheets/d/14Bd19lYaqBhU8_DElYkX7l4wRkHqqCUFNJY4AfY3kHU/edit?usp=sharing  #gid=0"",""фіз особи new!relations_name_uo""),7,FALSE)
,
)
))"),"ФЕДЯЄВА Надія Мулкадарівна")</f>
        <v>ФЕДЯЄВА Надія Мулкадарівна</v>
      </c>
      <c r="G7980" s="7" t="s">
        <v>10</v>
      </c>
      <c r="H7980" s="7">
        <v>584</v>
      </c>
      <c r="I7980" s="8" t="str">
        <f ca="1">IFERROR(__xludf.DUMMYFUNCTION("IF
(
G7981=""фізична особа""
,
VLOOKUP(H7981,IMPORTRANGE(""https://docs.google.com/spreadsheets/d/14Bd19lYaqBhU8_DElYkX7l4wRkHqqCUFNJY4AfY3kHU/edit?usp=sharing  #gid=0"",""фіз особи new!relations_name""),6,FALSE)
,
(IF
(
G7981=""юридична особа""
,
VLOOKUP"&amp;"(H7981,IMPORTRANGE(""https://docs.google.com/spreadsheets/d/14Bd19lYaqBhU8_DElYkX7l4wRkHqqCUFNJY4AfY3kHU/edit?usp=sharing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J7980" s="7" t="s">
        <v>14</v>
      </c>
    </row>
    <row r="7981" spans="1:10" ht="13.2">
      <c r="A7981" s="7">
        <v>7980</v>
      </c>
      <c r="B7981" s="7">
        <v>1</v>
      </c>
      <c r="C7981" s="7" t="s">
        <v>10</v>
      </c>
      <c r="D7981" s="7">
        <v>8867</v>
      </c>
      <c r="E7981" s="7" t="s">
        <v>18</v>
      </c>
      <c r="F7981" s="8" t="str">
        <f ca="1">IFERROR(__xludf.DUMMYFUNCTION("IF
(
C7982=""фізична особа""
,
VLOOKUP(D7982,IMPORTRANGE(""https://docs.google.com/spreadsheets/d/14Bd19lYaqBhU8_DElYkX7l4wRkHqqCUFNJY4AfY3kHU/edit?usp=sharing  #gid=0"",""фіз особи new!relations_name""),6,FALSE)
,
(IF
(
C7982=""юридична особа""
,
VLOOKUP"&amp;"(D7982,IMPORTRANGE(""https://docs.google.com/spreadsheets/d/14Bd19lYaqBhU8_DElYkX7l4wRkHqqCUFNJY4AfY3kHU/edit?usp=sharing  #gid=0"",""фіз особи new!relations_name_uo""),7,FALSE)
,
)
))"),"ФЕДЯЄВ Юрій Михайлович")</f>
        <v>ФЕДЯЄВ Юрій Михайлович</v>
      </c>
      <c r="G7981" s="7" t="s">
        <v>10</v>
      </c>
      <c r="H7981" s="7">
        <v>584</v>
      </c>
      <c r="I7981" s="8" t="str">
        <f ca="1">IFERROR(__xludf.DUMMYFUNCTION("IF
(
G7982=""фізична особа""
,
VLOOKUP(H7982,IMPORTRANGE(""https://docs.google.com/spreadsheets/d/14Bd19lYaqBhU8_DElYkX7l4wRkHqqCUFNJY4AfY3kHU/edit?usp=sharing  #gid=0"",""фіз особи new!relations_name""),6,FALSE)
,
(IF
(
G7982=""юридична особа""
,
VLOOKUP"&amp;"(H7982,IMPORTRANGE(""https://docs.google.com/spreadsheets/d/14Bd19lYaqBhU8_DElYkX7l4wRkHqqCUFNJY4AfY3kHU/edit?usp=sharing  #gid=0"",""фіз особи new!relations_name_uo""),7,FALSE)
,
)
))"),"ФЄДЯЄВ Павло Михайлович")</f>
        <v>ФЄДЯЄВ Павло Михайлович</v>
      </c>
      <c r="J7981" s="7" t="s">
        <v>18</v>
      </c>
    </row>
    <row r="7982" spans="1:10" ht="13.2">
      <c r="A7982" s="7">
        <v>7981</v>
      </c>
      <c r="B7982" s="7">
        <v>1</v>
      </c>
      <c r="C7982" s="7" t="s">
        <v>10</v>
      </c>
      <c r="D7982" s="7">
        <v>8868</v>
      </c>
      <c r="E7982" s="7" t="s">
        <v>15</v>
      </c>
      <c r="F7982" s="8" t="str">
        <f ca="1">IFERROR(__xludf.DUMMYFUNCTION("IF
(
C7983=""фізична особа""
,
VLOOKUP(D7983,IMPORTRANGE(""https://docs.google.com/spreadsheets/d/14Bd19lYaqBhU8_DElYkX7l4wRkHqqCUFNJY4AfY3kHU/edit?usp=sharing  #gid=0"",""фіз особи new!relations_name""),6,FALSE)
,
(IF
(
C7983=""юридична особа""
,
VLOOKUP"&amp;"(D7983,IMPORTRANGE(""https://docs.google.com/spreadsheets/d/14Bd19lYaqBhU8_DElYkX7l4wRkHqqCUFNJY4AfY3kHU/edit?usp=sharing  #gid=0"",""фіз особи new!relations_name_uo""),7,FALSE)
,
)
))"),"ШОЛОХОВА Валерія Володимирівна")</f>
        <v>ШОЛОХОВА Валерія Володимирівна</v>
      </c>
      <c r="G7982" s="7" t="s">
        <v>10</v>
      </c>
      <c r="H7982" s="7">
        <v>601</v>
      </c>
      <c r="I7982" s="8" t="str">
        <f ca="1">IFERROR(__xludf.DUMMYFUNCTION("IF
(
G7983=""фізична особа""
,
VLOOKUP(H7983,IMPORTRANGE(""https://docs.google.com/spreadsheets/d/14Bd19lYaqBhU8_DElYkX7l4wRkHqqCUFNJY4AfY3kHU/edit?usp=sharing  #gid=0"",""фіз особи new!relations_name""),6,FALSE)
,
(IF
(
G7983=""юридична особа""
,
VLOOKUP"&amp;"(H7983,IMPORTRANGE(""https://docs.google.com/spreadsheets/d/14Bd19lYaqBhU8_DElYkX7l4wRkHqqCUFNJY4AfY3kHU/edit?usp=sharing  #gid=0"",""фіз особи new!relations_name_uo""),7,FALSE)
,
)
))"),"ШОЛОХОВ Олександр Михайлович")</f>
        <v>ШОЛОХОВ Олександр Михайлович</v>
      </c>
      <c r="J7982" s="7" t="s">
        <v>14</v>
      </c>
    </row>
    <row r="7983" spans="1:10" ht="13.2">
      <c r="A7983" s="7">
        <v>7982</v>
      </c>
      <c r="B7983" s="7">
        <v>1</v>
      </c>
      <c r="C7983" s="7" t="s">
        <v>10</v>
      </c>
      <c r="D7983" s="7">
        <v>8869</v>
      </c>
      <c r="E7983" s="7" t="s">
        <v>15</v>
      </c>
      <c r="F7983" s="8" t="str">
        <f ca="1">IFERROR(__xludf.DUMMYFUNCTION("IF
(
C7984=""фізична особа""
,
VLOOKUP(D7984,IMPORTRANGE(""https://docs.google.com/spreadsheets/d/14Bd19lYaqBhU8_DElYkX7l4wRkHqqCUFNJY4AfY3kHU/edit?usp=sharing  #gid=0"",""фіз особи new!relations_name""),6,FALSE)
,
(IF
(
C7984=""юридична особа""
,
VLOOKUP"&amp;"(D7984,IMPORTRANGE(""https://docs.google.com/spreadsheets/d/14Bd19lYaqBhU8_DElYkX7l4wRkHqqCUFNJY4AfY3kHU/edit?usp=sharing  #gid=0"",""фіз особи new!relations_name_uo""),7,FALSE)
,
)
))"),"АЗІМОВА Олена Михайлівна")</f>
        <v>АЗІМОВА Олена Михайлівна</v>
      </c>
      <c r="G7983" s="7" t="s">
        <v>10</v>
      </c>
      <c r="H7983" s="7">
        <v>608</v>
      </c>
      <c r="I7983" s="8" t="str">
        <f ca="1">IFERROR(__xludf.DUMMYFUNCTION("IF
(
G7984=""фізична особа""
,
VLOOKUP(H7984,IMPORTRANGE(""https://docs.google.com/spreadsheets/d/14Bd19lYaqBhU8_DElYkX7l4wRkHqqCUFNJY4AfY3kHU/edit?usp=sharing  #gid=0"",""фіз особи new!relations_name""),6,FALSE)
,
(IF
(
G7984=""юридична особа""
,
VLOOKUP"&amp;"(H7984,IMPORTRANGE(""https://docs.google.com/spreadsheets/d/14Bd19lYaqBhU8_DElYkX7l4wRkHqqCUFNJY4AfY3kHU/edit?usp=sharing  #gid=0"",""фіз особи new!relations_name_uo""),7,FALSE)
,
)
))"),"АЗІМОВ Рахим Азизбойович")</f>
        <v>АЗІМОВ Рахим Азизбойович</v>
      </c>
      <c r="J7983" s="7" t="s">
        <v>14</v>
      </c>
    </row>
    <row r="7984" spans="1:10" ht="13.2">
      <c r="A7984" s="7">
        <v>7983</v>
      </c>
      <c r="B7984" s="7">
        <v>1</v>
      </c>
      <c r="C7984" s="7" t="s">
        <v>10</v>
      </c>
      <c r="D7984" s="7">
        <v>8870</v>
      </c>
      <c r="E7984" s="7" t="s">
        <v>13</v>
      </c>
      <c r="F7984" s="8" t="str">
        <f ca="1">IFERROR(__xludf.DUMMYFUNCTION("IF
(
C7985=""фізична особа""
,
VLOOKUP(D7985,IMPORTRANGE(""https://docs.google.com/spreadsheets/d/14Bd19lYaqBhU8_DElYkX7l4wRkHqqCUFNJY4AfY3kHU/edit?usp=sharing  #gid=0"",""фіз особи new!relations_name""),6,FALSE)
,
(IF
(
C7985=""юридична особа""
,
VLOOKUP"&amp;"(D7985,IMPORTRANGE(""https://docs.google.com/spreadsheets/d/14Bd19lYaqBhU8_DElYkX7l4wRkHqqCUFNJY4AfY3kHU/edit?usp=sharing  #gid=0"",""фіз особи new!relations_name_uo""),7,FALSE)
,
)
))"),"ШАЙХУТДІНОВА Ганна Ріфатівна")</f>
        <v>ШАЙХУТДІНОВА Ганна Ріфатівна</v>
      </c>
      <c r="G7984" s="7" t="s">
        <v>10</v>
      </c>
      <c r="H7984" s="7">
        <v>613</v>
      </c>
      <c r="I7984" s="8" t="str">
        <f ca="1">IFERROR(__xludf.DUMMYFUNCTION("IF
(
G7985=""фізична особа""
,
VLOOKUP(H7985,IMPORTRANGE(""https://docs.google.com/spreadsheets/d/14Bd19lYaqBhU8_DElYkX7l4wRkHqqCUFNJY4AfY3kHU/edit?usp=sharing  #gid=0"",""фіз особи new!relations_name""),6,FALSE)
,
(IF
(
G7985=""юридична особа""
,
VLOOKUP"&amp;"(H7985,IMPORTRANGE(""https://docs.google.com/spreadsheets/d/14Bd19lYaqBhU8_DElYkX7l4wRkHqqCUFNJY4AfY3kHU/edit?usp=sharing  #gid=0"",""фіз особи new!relations_name_uo""),7,FALSE)
,
)
))"),"ШАЙХУТДІНОВ Ріфат Габдулгакович")</f>
        <v>ШАЙХУТДІНОВ Ріфат Габдулгакович</v>
      </c>
      <c r="J7984" s="7" t="s">
        <v>12</v>
      </c>
    </row>
    <row r="7985" spans="1:10" ht="13.2">
      <c r="A7985" s="7">
        <v>7984</v>
      </c>
      <c r="B7985" s="7">
        <v>1</v>
      </c>
      <c r="C7985" s="7" t="s">
        <v>10</v>
      </c>
      <c r="D7985" s="7">
        <v>8871</v>
      </c>
      <c r="E7985" s="7" t="s">
        <v>15</v>
      </c>
      <c r="F7985" s="8" t="str">
        <f ca="1">IFERROR(__xludf.DUMMYFUNCTION("IF
(
C7986=""фізична особа""
,
VLOOKUP(D7986,IMPORTRANGE(""https://docs.google.com/spreadsheets/d/14Bd19lYaqBhU8_DElYkX7l4wRkHqqCUFNJY4AfY3kHU/edit?usp=sharing  #gid=0"",""фіз особи new!relations_name""),6,FALSE)
,
(IF
(
C7986=""юридична особа""
,
VLOOKUP"&amp;"(D7986,IMPORTRANGE(""https://docs.google.com/spreadsheets/d/14Bd19lYaqBhU8_DElYkX7l4wRkHqqCUFNJY4AfY3kHU/edit?usp=sharing  #gid=0"",""фіз особи new!relations_name_uo""),7,FALSE)
,
)
))"),"ВОДЯНОВА Марина Талгатівна")</f>
        <v>ВОДЯНОВА Марина Талгатівна</v>
      </c>
      <c r="G7985" s="7" t="s">
        <v>10</v>
      </c>
      <c r="H7985" s="7">
        <v>625</v>
      </c>
      <c r="I7985" s="8" t="str">
        <f ca="1">IFERROR(__xludf.DUMMYFUNCTION("IF
(
G7986=""фізична особа""
,
VLOOKUP(H7986,IMPORTRANGE(""https://docs.google.com/spreadsheets/d/14Bd19lYaqBhU8_DElYkX7l4wRkHqqCUFNJY4AfY3kHU/edit?usp=sharing  #gid=0"",""фіз особи new!relations_name""),6,FALSE)
,
(IF
(
G7986=""юридична особа""
,
VLOOKUP"&amp;"(H7986,IMPORTRANGE(""https://docs.google.com/spreadsheets/d/14Bd19lYaqBhU8_DElYkX7l4wRkHqqCUFNJY4AfY3kHU/edit?usp=sharing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J7985" s="7" t="s">
        <v>14</v>
      </c>
    </row>
    <row r="7986" spans="1:10" ht="13.2">
      <c r="A7986" s="7">
        <v>7985</v>
      </c>
      <c r="B7986" s="7">
        <v>1</v>
      </c>
      <c r="C7986" s="7" t="s">
        <v>10</v>
      </c>
      <c r="D7986" s="7">
        <v>8872</v>
      </c>
      <c r="E7986" s="7" t="s">
        <v>12</v>
      </c>
      <c r="F7986" s="8" t="str">
        <f ca="1">IFERROR(__xludf.DUMMYFUNCTION("IF
(
C7987=""фізична особа""
,
VLOOKUP(D7987,IMPORTRANGE(""https://docs.google.com/spreadsheets/d/14Bd19lYaqBhU8_DElYkX7l4wRkHqqCUFNJY4AfY3kHU/edit?usp=sharing  #gid=0"",""фіз особи new!relations_name""),6,FALSE)
,
(IF
(
C7987=""юридична особа""
,
VLOOKUP"&amp;"(D7987,IMPORTRANGE(""https://docs.google.com/spreadsheets/d/14Bd19lYaqBhU8_DElYkX7l4wRkHqqCUFNJY4AfY3kHU/edit?usp=sharing  #gid=0"",""фіз особи new!relations_name_uo""),7,FALSE)
,
)
))"),"ВОДЯНОВ Михайло Михайлович")</f>
        <v>ВОДЯНОВ Михайло Михайлович</v>
      </c>
      <c r="G7986" s="7" t="s">
        <v>10</v>
      </c>
      <c r="H7986" s="7">
        <v>625</v>
      </c>
      <c r="I7986" s="8" t="str">
        <f ca="1">IFERROR(__xludf.DUMMYFUNCTION("IF
(
G7987=""фізична особа""
,
VLOOKUP(H7987,IMPORTRANGE(""https://docs.google.com/spreadsheets/d/14Bd19lYaqBhU8_DElYkX7l4wRkHqqCUFNJY4AfY3kHU/edit?usp=sharing  #gid=0"",""фіз особи new!relations_name""),6,FALSE)
,
(IF
(
G7987=""юридична особа""
,
VLOOKUP"&amp;"(H7987,IMPORTRANGE(""https://docs.google.com/spreadsheets/d/14Bd19lYaqBhU8_DElYkX7l4wRkHqqCUFNJY4AfY3kHU/edit?usp=sharing  #gid=0"",""фіз особи new!relations_name_uo""),7,FALSE)
,
)
))"),"ВОДЯНОВ Роман Михайлович")</f>
        <v>ВОДЯНОВ Роман Михайлович</v>
      </c>
      <c r="J7986" s="7" t="s">
        <v>17</v>
      </c>
    </row>
    <row r="7987" spans="1:10" ht="13.2">
      <c r="A7987" s="7">
        <v>7986</v>
      </c>
      <c r="B7987" s="7">
        <v>1</v>
      </c>
      <c r="C7987" s="7" t="s">
        <v>10</v>
      </c>
      <c r="D7987" s="7">
        <v>8873</v>
      </c>
      <c r="E7987" s="7" t="s">
        <v>21</v>
      </c>
      <c r="F7987" s="8" t="str">
        <f ca="1">IFERROR(__xludf.DUMMYFUNCTION("IF
(
C7988=""фізична особа""
,
VLOOKUP(D7988,IMPORTRANGE(""https://docs.google.com/spreadsheets/d/14Bd19lYaqBhU8_DElYkX7l4wRkHqqCUFNJY4AfY3kHU/edit?usp=sharing  #gid=0"",""фіз особи new!relations_name""),6,FALSE)
,
(IF
(
C7988=""юридична особа""
,
VLOOKUP"&amp;"(D7988,IMPORTRANGE(""https://docs.google.com/spreadsheets/d/14Bd19lYaqBhU8_DElYkX7l4wRkHqqCUFNJY4AfY3kHU/edit?usp=sharing  #gid=0"",""фіз особи new!relations_name_uo""),7,FALSE)
,
)
))"),"АЮПОВА Гульжара Равіліївна")</f>
        <v>АЮПОВА Гульжара Равіліївна</v>
      </c>
      <c r="G7987" s="7" t="s">
        <v>10</v>
      </c>
      <c r="H7987" s="7">
        <v>617</v>
      </c>
      <c r="I7987" s="8" t="str">
        <f ca="1">IFERROR(__xludf.DUMMYFUNCTION("IF
(
G7988=""фізична особа""
,
VLOOKUP(H7988,IMPORTRANGE(""https://docs.google.com/spreadsheets/d/14Bd19lYaqBhU8_DElYkX7l4wRkHqqCUFNJY4AfY3kHU/edit?usp=sharing  #gid=0"",""фіз особи new!relations_name""),6,FALSE)
,
(IF
(
G7988=""юридична особа""
,
VLOOKUP"&amp;"(H7988,IMPORTRANGE(""https://docs.google.com/spreadsheets/d/14Bd19lYaqBhU8_DElYkX7l4wRkHqqCUFNJY4AfY3kHU/edit?usp=sharing  #gid=0"",""фіз особи new!relations_name_uo""),7,FALSE)
,
)
))"),"АЮПОВ Рінат Зайдулаєвич")</f>
        <v>АЮПОВ Рінат Зайдулаєвич</v>
      </c>
      <c r="J7987" s="7" t="s">
        <v>17</v>
      </c>
    </row>
    <row r="7988" spans="1:10" ht="13.2">
      <c r="A7988" s="7">
        <v>7987</v>
      </c>
      <c r="B7988" s="7">
        <v>1</v>
      </c>
      <c r="C7988" s="7" t="s">
        <v>10</v>
      </c>
      <c r="D7988" s="7">
        <v>8874</v>
      </c>
      <c r="E7988" s="7" t="s">
        <v>12</v>
      </c>
      <c r="F7988" s="8" t="str">
        <f ca="1">IFERROR(__xludf.DUMMYFUNCTION("IF
(
C7989=""фізична особа""
,
VLOOKUP(D7989,IMPORTRANGE(""https://docs.google.com/spreadsheets/d/14Bd19lYaqBhU8_DElYkX7l4wRkHqqCUFNJY4AfY3kHU/edit?usp=sharing  #gid=0"",""фіз особи new!relations_name""),6,FALSE)
,
(IF
(
C7989=""юридична особа""
,
VLOOKUP"&amp;"(D7989,IMPORTRANGE(""https://docs.google.com/spreadsheets/d/14Bd19lYaqBhU8_DElYkX7l4wRkHqqCUFNJY4AfY3kHU/edit?usp=sharing  #gid=0"",""фіз особи new!relations_name_uo""),7,FALSE)
,
)
))"),"АЮПОВ Зайдула Гаріфович")</f>
        <v>АЮПОВ Зайдула Гаріфович</v>
      </c>
      <c r="G7988" s="7" t="s">
        <v>10</v>
      </c>
      <c r="H7988" s="7">
        <v>617</v>
      </c>
      <c r="I7988" s="8" t="str">
        <f ca="1">IFERROR(__xludf.DUMMYFUNCTION("IF
(
G7989=""фізична особа""
,
VLOOKUP(H7989,IMPORTRANGE(""https://docs.google.com/spreadsheets/d/14Bd19lYaqBhU8_DElYkX7l4wRkHqqCUFNJY4AfY3kHU/edit?usp=sharing  #gid=0"",""фіз особи new!relations_name""),6,FALSE)
,
(IF
(
G7989=""юридична особа""
,
VLOOKUP"&amp;"(H7989,IMPORTRANGE(""https://docs.google.com/spreadsheets/d/14Bd19lYaqBhU8_DElYkX7l4wRkHqqCUFNJY4AfY3kHU/edit?usp=sharing  #gid=0"",""фіз особи new!relations_name_uo""),7,FALSE)
,
)
))"),"АЮПОВ Рінат Зайдулаєвич")</f>
        <v>АЮПОВ Рінат Зайдулаєвич</v>
      </c>
      <c r="J7988" s="7" t="s">
        <v>17</v>
      </c>
    </row>
    <row r="7989" spans="1:10" ht="13.2">
      <c r="A7989" s="7">
        <v>7988</v>
      </c>
      <c r="B7989" s="7">
        <v>1</v>
      </c>
      <c r="C7989" s="7" t="s">
        <v>10</v>
      </c>
      <c r="D7989" s="7">
        <v>8875</v>
      </c>
      <c r="E7989" s="7" t="s">
        <v>13</v>
      </c>
      <c r="F7989" s="8" t="str">
        <f ca="1">IFERROR(__xludf.DUMMYFUNCTION("IF
(
C7990=""фізична особа""
,
VLOOKUP(D7990,IMPORTRANGE(""https://docs.google.com/spreadsheets/d/14Bd19lYaqBhU8_DElYkX7l4wRkHqqCUFNJY4AfY3kHU/edit?usp=sharing  #gid=0"",""фіз особи new!relations_name""),6,FALSE)
,
(IF
(
C7990=""юридична особа""
,
VLOOKUP"&amp;"(D7990,IMPORTRANGE(""https://docs.google.com/spreadsheets/d/14Bd19lYaqBhU8_DElYkX7l4wRkHqqCUFNJY4AfY3kHU/edit?usp=sharing  #gid=0"",""фіз особи new!relations_name_uo""),7,FALSE)
,
)
))"),"ЛЯБІХОВА Марина Романівна")</f>
        <v>ЛЯБІХОВА Марина Романівна</v>
      </c>
      <c r="G7989" s="7" t="s">
        <v>10</v>
      </c>
      <c r="H7989" s="7">
        <v>624</v>
      </c>
      <c r="I7989" s="8" t="str">
        <f ca="1">IFERROR(__xludf.DUMMYFUNCTION("IF
(
G7990=""фізична особа""
,
VLOOKUP(H7990,IMPORTRANGE(""https://docs.google.com/spreadsheets/d/14Bd19lYaqBhU8_DElYkX7l4wRkHqqCUFNJY4AfY3kHU/edit?usp=sharing  #gid=0"",""фіз особи new!relations_name""),6,FALSE)
,
(IF
(
G7990=""юридична особа""
,
VLOOKUP"&amp;"(H7990,IMPORTRANGE(""https://docs.google.com/spreadsheets/d/14Bd19lYaqBhU8_DElYkX7l4wRkHqqCUFNJY4AfY3kHU/edit?usp=sharing  #gid=0"",""фіз особи new!relations_name_uo""),7,FALSE)
,
)
))"),"ЛЯБІХОВ Роман Михайлович")</f>
        <v>ЛЯБІХОВ Роман Михайлович</v>
      </c>
      <c r="J7989" s="7" t="s">
        <v>12</v>
      </c>
    </row>
    <row r="7990" spans="1:10" ht="13.2">
      <c r="A7990" s="7">
        <v>7989</v>
      </c>
      <c r="B7990" s="7">
        <v>1</v>
      </c>
      <c r="C7990" s="7" t="s">
        <v>10</v>
      </c>
      <c r="D7990" s="7">
        <v>8890</v>
      </c>
      <c r="E7990" s="7" t="s">
        <v>28</v>
      </c>
      <c r="F7990" s="8" t="str">
        <f ca="1">IFERROR(__xludf.DUMMYFUNCTION("IF
(
C7991=""фізична особа""
,
VLOOKUP(D7991,IMPORTRANGE(""https://docs.google.com/spreadsheets/d/14Bd19lYaqBhU8_DElYkX7l4wRkHqqCUFNJY4AfY3kHU/edit?usp=sharing  #gid=0"",""фіз особи new!relations_name""),6,FALSE)
,
(IF
(
C7991=""юридична особа""
,
VLOOKUP"&amp;"(D7991,IMPORTRANGE(""https://docs.google.com/spreadsheets/d/14Bd19lYaqBhU8_DElYkX7l4wRkHqqCUFNJY4AfY3kHU/edit?usp=sharing  #gid=0"",""фіз особи new!relations_name_uo""),7,FALSE)
,
)
))"),"ТАДЗЕТДІНОВ Талгат Сафіч")</f>
        <v>ТАДЗЕТДІНОВ Талгат Сафіч</v>
      </c>
      <c r="G7990" s="7" t="s">
        <v>10</v>
      </c>
      <c r="H7990" s="7">
        <v>23579</v>
      </c>
      <c r="I7990" s="8" t="str">
        <f ca="1">IFERROR(__xludf.DUMMYFUNCTION("IF
(
G7991=""фізична особа""
,
VLOOKUP(H7991,IMPORTRANGE(""https://docs.google.com/spreadsheets/d/14Bd19lYaqBhU8_DElYkX7l4wRkHqqCUFNJY4AfY3kHU/edit?usp=sharing  #gid=0"",""фіз особи new!relations_name""),6,FALSE)
,
(IF
(
G7991=""юридична особа""
,
VLOOKUP"&amp;"(H7991,IMPORTRANGE(""https://docs.google.com/spreadsheets/d/14Bd19lYaqBhU8_DElYkX7l4wRkHqqCUFNJY4AfY3kHU/edit?usp=sharing  #gid=0"",""фіз особи new!relations_name_uo""),7,FALSE)
,
)
))"),"ГАЙНУТДІНОВ Равіль Ісмагілович")</f>
        <v>ГАЙНУТДІНОВ Равіль Ісмагілович</v>
      </c>
      <c r="J7990" s="7" t="s">
        <v>29</v>
      </c>
    </row>
    <row r="7991" spans="1:10" ht="13.2">
      <c r="A7991" s="7">
        <v>7990</v>
      </c>
      <c r="B7991" s="7">
        <v>1</v>
      </c>
      <c r="C7991" s="7" t="s">
        <v>10</v>
      </c>
      <c r="D7991" s="7">
        <v>8891</v>
      </c>
      <c r="E7991" s="7" t="s">
        <v>28</v>
      </c>
      <c r="F7991" s="8" t="str">
        <f ca="1">IFERROR(__xludf.DUMMYFUNCTION("IF
(
C7992=""фізична особа""
,
VLOOKUP(D7992,IMPORTRANGE(""https://docs.google.com/spreadsheets/d/14Bd19lYaqBhU8_DElYkX7l4wRkHqqCUFNJY4AfY3kHU/edit?usp=sharing  #gid=0"",""фіз особи new!relations_name""),6,FALSE)
,
(IF
(
C7992=""юридична особа""
,
VLOOKUP"&amp;"(D7992,IMPORTRANGE(""https://docs.google.com/spreadsheets/d/14Bd19lYaqBhU8_DElYkX7l4wRkHqqCUFNJY4AfY3kHU/edit?usp=sharing  #gid=0"",""фіз особи new!relations_name_uo""),7,FALSE)
,
)
))"),"ВАСЮКОВ Микола Миколайович")</f>
        <v>ВАСЮКОВ Микола Миколайович</v>
      </c>
      <c r="G7991" s="7" t="s">
        <v>10</v>
      </c>
      <c r="H7991" s="7">
        <v>8913</v>
      </c>
      <c r="I7991" s="8" t="str">
        <f ca="1">IFERROR(__xludf.DUMMYFUNCTION("IF
(
G7992=""фізична особа""
,
VLOOKUP(H7992,IMPORTRANGE(""https://docs.google.com/spreadsheets/d/14Bd19lYaqBhU8_DElYkX7l4wRkHqqCUFNJY4AfY3kHU/edit?usp=sharing  #gid=0"",""фіз особи new!relations_name""),6,FALSE)
,
(IF
(
G7992=""юридична особа""
,
VLOOKUP"&amp;"(H7992,IMPORTRANGE(""https://docs.google.com/spreadsheets/d/14Bd19lYaqBhU8_DElYkX7l4wRkHqqCUFNJY4AfY3kHU/edit?usp=sharing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7991" s="7" t="s">
        <v>29</v>
      </c>
    </row>
    <row r="7992" spans="1:10" ht="13.2">
      <c r="A7992" s="7">
        <v>7991</v>
      </c>
      <c r="B7992" s="7">
        <v>1</v>
      </c>
      <c r="C7992" s="7" t="s">
        <v>10</v>
      </c>
      <c r="D7992" s="7">
        <v>8892</v>
      </c>
      <c r="E7992" s="7" t="s">
        <v>28</v>
      </c>
      <c r="F7992" s="8" t="str">
        <f ca="1">IFERROR(__xludf.DUMMYFUNCTION("IF
(
C7993=""фізична особа""
,
VLOOKUP(D7993,IMPORTRANGE(""https://docs.google.com/spreadsheets/d/14Bd19lYaqBhU8_DElYkX7l4wRkHqqCUFNJY4AfY3kHU/edit?usp=sharing  #gid=0"",""фіз особи new!relations_name""),6,FALSE)
,
(IF
(
C7993=""юридична особа""
,
VLOOKUP"&amp;"(D7993,IMPORTRANGE(""https://docs.google.com/spreadsheets/d/14Bd19lYaqBhU8_DElYkX7l4wRkHqqCUFNJY4AfY3kHU/edit?usp=sharing  #gid=0"",""фіз особи new!relations_name_uo""),7,FALSE)
,
)
))"),"БИРГАЛІН Айнур Азаматович")</f>
        <v>БИРГАЛІН Айнур Азаматович</v>
      </c>
      <c r="G7992" s="7" t="s">
        <v>10</v>
      </c>
      <c r="H7992" s="7">
        <v>8890</v>
      </c>
      <c r="I7992" s="8" t="str">
        <f ca="1">IFERROR(__xludf.DUMMYFUNCTION("IF
(
G7993=""фізична особа""
,
VLOOKUP(H7993,IMPORTRANGE(""https://docs.google.com/spreadsheets/d/14Bd19lYaqBhU8_DElYkX7l4wRkHqqCUFNJY4AfY3kHU/edit?usp=sharing  #gid=0"",""фіз особи new!relations_name""),6,FALSE)
,
(IF
(
G7993=""юридична особа""
,
VLOOKUP"&amp;"(H7993,IMPORTRANGE(""https://docs.google.com/spreadsheets/d/14Bd19lYaqBhU8_DElYkX7l4wRkHqqCUFNJY4AfY3kHU/edit?usp=sharing  #gid=0"",""фіз особи new!relations_name_uo""),7,FALSE)
,
)
))"),"ТАДЗЕТДІНОВ Талгат Сафіч")</f>
        <v>ТАДЗЕТДІНОВ Талгат Сафіч</v>
      </c>
      <c r="J7992" s="7" t="s">
        <v>29</v>
      </c>
    </row>
    <row r="7993" spans="1:10" ht="13.2">
      <c r="A7993" s="7">
        <v>7992</v>
      </c>
      <c r="B7993" s="7">
        <v>1</v>
      </c>
      <c r="C7993" s="7" t="s">
        <v>10</v>
      </c>
      <c r="D7993" s="7">
        <v>8892</v>
      </c>
      <c r="E7993" s="7" t="s">
        <v>28</v>
      </c>
      <c r="F7993" s="8" t="str">
        <f ca="1">IFERROR(__xludf.DUMMYFUNCTION("IF
(
C7994=""фізична особа""
,
VLOOKUP(D7994,IMPORTRANGE(""https://docs.google.com/spreadsheets/d/14Bd19lYaqBhU8_DElYkX7l4wRkHqqCUFNJY4AfY3kHU/edit?usp=sharing  #gid=0"",""фіз особи new!relations_name""),6,FALSE)
,
(IF
(
C7994=""юридична особа""
,
VLOOKUP"&amp;"(D7994,IMPORTRANGE(""https://docs.google.com/spreadsheets/d/14Bd19lYaqBhU8_DElYkX7l4wRkHqqCUFNJY4AfY3kHU/edit?usp=sharing  #gid=0"",""фіз особи new!relations_name_uo""),7,FALSE)
,
)
))"),"БИРГАЛІН Айнур Азаматович")</f>
        <v>БИРГАЛІН Айнур Азаматович</v>
      </c>
      <c r="G7993" s="7" t="s">
        <v>10</v>
      </c>
      <c r="H7993" s="7">
        <v>23579</v>
      </c>
      <c r="I7993" s="8" t="str">
        <f ca="1">IFERROR(__xludf.DUMMYFUNCTION("IF
(
G7994=""фізична особа""
,
VLOOKUP(H7994,IMPORTRANGE(""https://docs.google.com/spreadsheets/d/14Bd19lYaqBhU8_DElYkX7l4wRkHqqCUFNJY4AfY3kHU/edit?usp=sharing  #gid=0"",""фіз особи new!relations_name""),6,FALSE)
,
(IF
(
G7994=""юридична особа""
,
VLOOKUP"&amp;"(H7994,IMPORTRANGE(""https://docs.google.com/spreadsheets/d/14Bd19lYaqBhU8_DElYkX7l4wRkHqqCUFNJY4AfY3kHU/edit?usp=sharing  #gid=0"",""фіз особи new!relations_name_uo""),7,FALSE)
,
)
))"),"ГАЙНУТДІНОВ Равіль Ісмагілович")</f>
        <v>ГАЙНУТДІНОВ Равіль Ісмагілович</v>
      </c>
      <c r="J7993" s="7" t="s">
        <v>29</v>
      </c>
    </row>
    <row r="7994" spans="1:10" ht="13.2">
      <c r="A7994" s="7">
        <v>7993</v>
      </c>
      <c r="B7994" s="7">
        <v>1</v>
      </c>
      <c r="C7994" s="7" t="s">
        <v>10</v>
      </c>
      <c r="D7994" s="7">
        <v>8893</v>
      </c>
      <c r="E7994" s="7" t="s">
        <v>28</v>
      </c>
      <c r="F7994" s="8" t="str">
        <f ca="1">IFERROR(__xludf.DUMMYFUNCTION("IF
(
C7995=""фізична особа""
,
VLOOKUP(D7995,IMPORTRANGE(""https://docs.google.com/spreadsheets/d/14Bd19lYaqBhU8_DElYkX7l4wRkHqqCUFNJY4AfY3kHU/edit?usp=sharing  #gid=0"",""фіз особи new!relations_name""),6,FALSE)
,
(IF
(
C7995=""юридична особа""
,
VLOOKUP"&amp;"(D7995,IMPORTRANGE(""https://docs.google.com/spreadsheets/d/14Bd19lYaqBhU8_DElYkX7l4wRkHqqCUFNJY4AfY3kHU/edit?usp=sharing  #gid=0"",""фіз особи new!relations_name_uo""),7,FALSE)
,
)
))"),"КРИЧЕВСЬКИЙ Ашер / Дан")</f>
        <v>КРИЧЕВСЬКИЙ Ашер / Дан</v>
      </c>
      <c r="G7994" s="7" t="s">
        <v>10</v>
      </c>
      <c r="H7994" s="7">
        <v>0</v>
      </c>
      <c r="I7994" s="8" t="str">
        <f ca="1">IFERROR(__xludf.DUMMYFUNCTION("IF
(
G7995=""фізична особа""
,
VLOOKUP(H7995,IMPORTRANGE(""https://docs.google.com/spreadsheets/d/14Bd19lYaqBhU8_DElYkX7l4wRkHqqCUFNJY4AfY3kHU/edit?usp=sharing  #gid=0"",""фіз особи new!relations_name""),6,FALSE)
,
(IF
(
G7995=""юридична особа""
,
VLOOKUP"&amp;"(H7995,IMPORTRANGE(""https://docs.google.com/spreadsheets/d/14Bd19lYaqBhU8_DElYkX7l4wRkHqqCUFNJY4AfY3kHU/edit?usp=sharing  #gid=0"",""фіз особи new!relations_name_uo""),7,FALSE)
,
)
))"),"#N/A")</f>
        <v>#N/A</v>
      </c>
      <c r="J7994" s="7" t="s">
        <v>29</v>
      </c>
    </row>
    <row r="7995" spans="1:10" ht="13.2">
      <c r="A7995" s="7">
        <v>7994</v>
      </c>
      <c r="B7995" s="7">
        <v>1</v>
      </c>
      <c r="C7995" s="7" t="s">
        <v>10</v>
      </c>
      <c r="D7995" s="7">
        <v>8898</v>
      </c>
      <c r="E7995" s="7" t="s">
        <v>28</v>
      </c>
      <c r="F7995" s="8" t="str">
        <f ca="1">IFERROR(__xludf.DUMMYFUNCTION("IF
(
C7996=""фізична особа""
,
VLOOKUP(D7996,IMPORTRANGE(""https://docs.google.com/spreadsheets/d/14Bd19lYaqBhU8_DElYkX7l4wRkHqqCUFNJY4AfY3kHU/edit?usp=sharing  #gid=0"",""фіз особи new!relations_name""),6,FALSE)
,
(IF
(
C7996=""юридична особа""
,
VLOOKUP"&amp;"(D7996,IMPORTRANGE(""https://docs.google.com/spreadsheets/d/14Bd19lYaqBhU8_DElYkX7l4wRkHqqCUFNJY4AfY3kHU/edit?usp=sharing  #gid=0"",""фіз особи new!relations_name_uo""),7,FALSE)
,
)
))"),"МАКСИМОВ Віктор Миколайович")</f>
        <v>МАКСИМОВ Віктор Миколайович</v>
      </c>
      <c r="G7995" s="7" t="s">
        <v>10</v>
      </c>
      <c r="H7995" s="7">
        <v>8913</v>
      </c>
      <c r="I7995" s="8" t="str">
        <f ca="1">IFERROR(__xludf.DUMMYFUNCTION("IF
(
G7996=""фізична особа""
,
VLOOKUP(H7996,IMPORTRANGE(""https://docs.google.com/spreadsheets/d/14Bd19lYaqBhU8_DElYkX7l4wRkHqqCUFNJY4AfY3kHU/edit?usp=sharing  #gid=0"",""фіз особи new!relations_name""),6,FALSE)
,
(IF
(
G7996=""юридична особа""
,
VLOOKUP"&amp;"(H7996,IMPORTRANGE(""https://docs.google.com/spreadsheets/d/14Bd19lYaqBhU8_DElYkX7l4wRkHqqCUFNJY4AfY3kHU/edit?usp=sharing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7995" s="7" t="s">
        <v>29</v>
      </c>
    </row>
    <row r="7996" spans="1:10" ht="13.2">
      <c r="A7996" s="7">
        <v>7995</v>
      </c>
      <c r="B7996" s="7">
        <v>1</v>
      </c>
      <c r="C7996" s="7" t="s">
        <v>10</v>
      </c>
      <c r="D7996" s="7">
        <v>8899</v>
      </c>
      <c r="E7996" s="7" t="s">
        <v>28</v>
      </c>
      <c r="F7996" s="8" t="str">
        <f ca="1">IFERROR(__xludf.DUMMYFUNCTION("IF
(
C7997=""фізична особа""
,
VLOOKUP(D7997,IMPORTRANGE(""https://docs.google.com/spreadsheets/d/14Bd19lYaqBhU8_DElYkX7l4wRkHqqCUFNJY4AfY3kHU/edit?usp=sharing  #gid=0"",""фіз особи new!relations_name""),6,FALSE)
,
(IF
(
C7997=""юридична особа""
,
VLOOKUP"&amp;"(D7997,IMPORTRANGE(""https://docs.google.com/spreadsheets/d/14Bd19lYaqBhU8_DElYkX7l4wRkHqqCUFNJY4AfY3kHU/edit?usp=sharing  #gid=0"",""фіз особи new!relations_name_uo""),7,FALSE)
,
)
))"),"ХОВАНСЬКИЙ Євген Павлович")</f>
        <v>ХОВАНСЬКИЙ Євген Павлович</v>
      </c>
      <c r="G7996" s="7" t="s">
        <v>10</v>
      </c>
      <c r="H7996" s="7">
        <v>8913</v>
      </c>
      <c r="I7996" s="8" t="str">
        <f ca="1">IFERROR(__xludf.DUMMYFUNCTION("IF
(
G7997=""фізична особа""
,
VLOOKUP(H7997,IMPORTRANGE(""https://docs.google.com/spreadsheets/d/14Bd19lYaqBhU8_DElYkX7l4wRkHqqCUFNJY4AfY3kHU/edit?usp=sharing  #gid=0"",""фіз особи new!relations_name""),6,FALSE)
,
(IF
(
G7997=""юридична особа""
,
VLOOKUP"&amp;"(H7997,IMPORTRANGE(""https://docs.google.com/spreadsheets/d/14Bd19lYaqBhU8_DElYkX7l4wRkHqqCUFNJY4AfY3kHU/edit?usp=sharing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7996" s="7" t="s">
        <v>29</v>
      </c>
    </row>
    <row r="7997" spans="1:10" ht="13.2">
      <c r="A7997" s="7">
        <v>7996</v>
      </c>
      <c r="B7997" s="7">
        <v>1</v>
      </c>
      <c r="C7997" s="7" t="s">
        <v>10</v>
      </c>
      <c r="D7997" s="7">
        <v>8900</v>
      </c>
      <c r="E7997" s="7" t="s">
        <v>28</v>
      </c>
      <c r="F7997" s="8" t="str">
        <f ca="1">IFERROR(__xludf.DUMMYFUNCTION("IF
(
C7998=""фізична особа""
,
VLOOKUP(D7998,IMPORTRANGE(""https://docs.google.com/spreadsheets/d/14Bd19lYaqBhU8_DElYkX7l4wRkHqqCUFNJY4AfY3kHU/edit?usp=sharing  #gid=0"",""фіз особи new!relations_name""),6,FALSE)
,
(IF
(
C7998=""юридична особа""
,
VLOOKUP"&amp;"(D7998,IMPORTRANGE(""https://docs.google.com/spreadsheets/d/14Bd19lYaqBhU8_DElYkX7l4wRkHqqCUFNJY4AfY3kHU/edit?usp=sharing  #gid=0"",""фіз особи new!relations_name_uo""),7,FALSE)
,
)
))"),"ВАСИЛЕНКОВ Дмитро Володимирович")</f>
        <v>ВАСИЛЕНКОВ Дмитро Володимирович</v>
      </c>
      <c r="G7997" s="7" t="s">
        <v>10</v>
      </c>
      <c r="H7997" s="7">
        <v>8913</v>
      </c>
      <c r="I7997" s="8" t="str">
        <f ca="1">IFERROR(__xludf.DUMMYFUNCTION("IF
(
G7998=""фізична особа""
,
VLOOKUP(H7998,IMPORTRANGE(""https://docs.google.com/spreadsheets/d/14Bd19lYaqBhU8_DElYkX7l4wRkHqqCUFNJY4AfY3kHU/edit?usp=sharing  #gid=0"",""фіз особи new!relations_name""),6,FALSE)
,
(IF
(
G7998=""юридична особа""
,
VLOOKUP"&amp;"(H7998,IMPORTRANGE(""https://docs.google.com/spreadsheets/d/14Bd19lYaqBhU8_DElYkX7l4wRkHqqCUFNJY4AfY3kHU/edit?usp=sharing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7997" s="7" t="s">
        <v>29</v>
      </c>
    </row>
    <row r="7998" spans="1:10" ht="13.2">
      <c r="A7998" s="7">
        <v>7997</v>
      </c>
      <c r="B7998" s="7">
        <v>1</v>
      </c>
      <c r="C7998" s="7" t="s">
        <v>10</v>
      </c>
      <c r="D7998" s="7">
        <v>8908</v>
      </c>
      <c r="E7998" s="7" t="s">
        <v>28</v>
      </c>
      <c r="F7998" s="8" t="str">
        <f ca="1">IFERROR(__xludf.DUMMYFUNCTION("IF
(
C7999=""фізична особа""
,
VLOOKUP(D7999,IMPORTRANGE(""https://docs.google.com/spreadsheets/d/14Bd19lYaqBhU8_DElYkX7l4wRkHqqCUFNJY4AfY3kHU/edit?usp=sharing  #gid=0"",""фіз особи new!relations_name""),6,FALSE)
,
(IF
(
C7999=""юридична особа""
,
VLOOKUP"&amp;"(D7999,IMPORTRANGE(""https://docs.google.com/spreadsheets/d/14Bd19lYaqBhU8_DElYkX7l4wRkHqqCUFNJY4AfY3kHU/edit?usp=sharing  #gid=0"",""фіз особи new!relations_name_uo""),7,FALSE)
,
)
))"),"НАЗАРЕНКО Світлана Анатоліївна")</f>
        <v>НАЗАРЕНКО Світлана Анатоліївна</v>
      </c>
      <c r="G7998" s="7" t="s">
        <v>10</v>
      </c>
      <c r="H7998" s="7">
        <v>23351</v>
      </c>
      <c r="I7998" s="8" t="str">
        <f ca="1">IFERROR(__xludf.DUMMYFUNCTION("IF
(
G7999=""фізична особа""
,
VLOOKUP(H7999,IMPORTRANGE(""https://docs.google.com/spreadsheets/d/14Bd19lYaqBhU8_DElYkX7l4wRkHqqCUFNJY4AfY3kHU/edit?usp=sharing  #gid=0"",""фіз особи new!relations_name""),6,FALSE)
,
(IF
(
G7999=""юридична особа""
,
VLOOKUP"&amp;"(H7999,IMPORTRANGE(""https://docs.google.com/spreadsheets/d/14Bd19lYaqBhU8_DElYkX7l4wRkHqqCUFNJY4AfY3kHU/edit?usp=sharing  #gid=0"",""фіз особи new!relations_name_uo""),7,FALSE)
,
)
))"),"Лукінов Андрій Борисович")</f>
        <v>Лукінов Андрій Борисович</v>
      </c>
      <c r="J7998" s="7" t="s">
        <v>29</v>
      </c>
    </row>
    <row r="7999" spans="1:10" ht="13.2">
      <c r="A7999" s="7">
        <v>7998</v>
      </c>
      <c r="B7999" s="7">
        <v>1</v>
      </c>
      <c r="C7999" s="7" t="s">
        <v>10</v>
      </c>
      <c r="D7999" s="7">
        <v>8911</v>
      </c>
      <c r="E7999" s="7" t="s">
        <v>28</v>
      </c>
      <c r="F7999" s="8" t="str">
        <f ca="1">IFERROR(__xludf.DUMMYFUNCTION("IF
(
C8000=""фізична особа""
,
VLOOKUP(D8000,IMPORTRANGE(""https://docs.google.com/spreadsheets/d/14Bd19lYaqBhU8_DElYkX7l4wRkHqqCUFNJY4AfY3kHU/edit?usp=sharing  #gid=0"",""фіз особи new!relations_name""),6,FALSE)
,
(IF
(
C8000=""юридична особа""
,
VLOOKUP"&amp;"(D8000,IMPORTRANGE(""https://docs.google.com/spreadsheets/d/14Bd19lYaqBhU8_DElYkX7l4wRkHqqCUFNJY4AfY3kHU/edit?usp=sharing  #gid=0"",""фіз особи new!relations_name_uo""),7,FALSE)
,
)
))"),"РИЛОВ Євген Михайлович")</f>
        <v>РИЛОВ Євген Михайлович</v>
      </c>
      <c r="G7999" s="7" t="s">
        <v>10</v>
      </c>
      <c r="H7999" s="7">
        <v>0</v>
      </c>
      <c r="I7999" s="8" t="str">
        <f ca="1">IFERROR(__xludf.DUMMYFUNCTION("IF
(
G8000=""фізична особа""
,
VLOOKUP(H8000,IMPORTRANGE(""https://docs.google.com/spreadsheets/d/14Bd19lYaqBhU8_DElYkX7l4wRkHqqCUFNJY4AfY3kHU/edit?usp=sharing  #gid=0"",""фіз особи new!relations_name""),6,FALSE)
,
(IF
(
G8000=""юридична особа""
,
VLOOKUP"&amp;"(H8000,IMPORTRANGE(""https://docs.google.com/spreadsheets/d/14Bd19lYaqBhU8_DElYkX7l4wRkHqqCUFNJY4AfY3kHU/edit?usp=sharing  #gid=0"",""фіз особи new!relations_name_uo""),7,FALSE)
,
)
))"),"#N/A")</f>
        <v>#N/A</v>
      </c>
      <c r="J7999" s="7" t="s">
        <v>29</v>
      </c>
    </row>
    <row r="8000" spans="1:10" ht="13.2">
      <c r="A8000" s="7">
        <v>7999</v>
      </c>
      <c r="B8000" s="7">
        <v>1</v>
      </c>
      <c r="C8000" s="7" t="s">
        <v>10</v>
      </c>
      <c r="D8000" s="7">
        <v>8911</v>
      </c>
      <c r="E8000" s="7" t="s">
        <v>30</v>
      </c>
      <c r="F8000" s="8" t="str">
        <f ca="1">IFERROR(__xludf.DUMMYFUNCTION("IF
(
C8001=""фізична особа""
,
VLOOKUP(D8001,IMPORTRANGE(""https://docs.google.com/spreadsheets/d/14Bd19lYaqBhU8_DElYkX7l4wRkHqqCUFNJY4AfY3kHU/edit?usp=sharing  #gid=0"",""фіз особи new!relations_name""),6,FALSE)
,
(IF
(
C8001=""юридична особа""
,
VLOOKUP"&amp;"(D8001,IMPORTRANGE(""https://docs.google.com/spreadsheets/d/14Bd19lYaqBhU8_DElYkX7l4wRkHqqCUFNJY4AfY3kHU/edit?usp=sharing  #gid=0"",""фіз особи new!relations_name_uo""),7,FALSE)
,
)
))"),"РИЛОВ Євген Михайлович")</f>
        <v>РИЛОВ Євген Михайлович</v>
      </c>
      <c r="G8000" s="7" t="s">
        <v>10</v>
      </c>
      <c r="H8000" s="7">
        <v>0</v>
      </c>
      <c r="I8000" s="8" t="str">
        <f ca="1">IFERROR(__xludf.DUMMYFUNCTION("IF
(
G8001=""фізична особа""
,
VLOOKUP(H8001,IMPORTRANGE(""https://docs.google.com/spreadsheets/d/14Bd19lYaqBhU8_DElYkX7l4wRkHqqCUFNJY4AfY3kHU/edit?usp=sharing  #gid=0"",""фіз особи new!relations_name""),6,FALSE)
,
(IF
(
G8001=""юридична особа""
,
VLOOKUP"&amp;"(H8001,IMPORTRANGE(""https://docs.google.com/spreadsheets/d/14Bd19lYaqBhU8_DElYkX7l4wRkHqqCUFNJY4AfY3kHU/edit?usp=sharing  #gid=0"",""фіз особи new!relations_name_uo""),7,FALSE)
,
)
))"),"#N/A")</f>
        <v>#N/A</v>
      </c>
      <c r="J8000" s="7" t="s">
        <v>30</v>
      </c>
    </row>
    <row r="8001" spans="1:10" ht="13.2">
      <c r="A8001" s="7">
        <v>8000</v>
      </c>
      <c r="B8001" s="7">
        <v>1</v>
      </c>
      <c r="C8001" s="7" t="s">
        <v>10</v>
      </c>
      <c r="D8001" s="7">
        <v>8916</v>
      </c>
      <c r="E8001" s="7" t="s">
        <v>15</v>
      </c>
      <c r="F8001" s="8" t="str">
        <f ca="1">IFERROR(__xludf.DUMMYFUNCTION("IF
(
C8002=""фізична особа""
,
VLOOKUP(D8002,IMPORTRANGE(""https://docs.google.com/spreadsheets/d/14Bd19lYaqBhU8_DElYkX7l4wRkHqqCUFNJY4AfY3kHU/edit?usp=sharing  #gid=0"",""фіз особи new!relations_name""),6,FALSE)
,
(IF
(
C8002=""юридична особа""
,
VLOOKUP"&amp;"(D8002,IMPORTRANGE(""https://docs.google.com/spreadsheets/d/14Bd19lYaqBhU8_DElYkX7l4wRkHqqCUFNJY4AfY3kHU/edit?usp=sharing  #gid=0"",""фіз особи new!relations_name_uo""),7,FALSE)
,
)
))"),"ЦИГАНОВА / ЖУКОВА Вікторія Юріївна")</f>
        <v>ЦИГАНОВА / ЖУКОВА Вікторія Юріївна</v>
      </c>
      <c r="G8001" s="7" t="s">
        <v>10</v>
      </c>
      <c r="H8001" s="7">
        <v>0</v>
      </c>
      <c r="I8001" s="8" t="str">
        <f ca="1">IFERROR(__xludf.DUMMYFUNCTION("IF
(
G8002=""фізична особа""
,
VLOOKUP(H8002,IMPORTRANGE(""https://docs.google.com/spreadsheets/d/14Bd19lYaqBhU8_DElYkX7l4wRkHqqCUFNJY4AfY3kHU/edit?usp=sharing  #gid=0"",""фіз особи new!relations_name""),6,FALSE)
,
(IF
(
G8002=""юридична особа""
,
VLOOKUP"&amp;"(H8002,IMPORTRANGE(""https://docs.google.com/spreadsheets/d/14Bd19lYaqBhU8_DElYkX7l4wRkHqqCUFNJY4AfY3kHU/edit?usp=sharing  #gid=0"",""фіз особи new!relations_name_uo""),7,FALSE)
,
)
))"),"#N/A")</f>
        <v>#N/A</v>
      </c>
      <c r="J8001" s="7" t="s">
        <v>14</v>
      </c>
    </row>
    <row r="8002" spans="1:10" ht="13.2">
      <c r="A8002" s="7">
        <v>8001</v>
      </c>
      <c r="B8002" s="7">
        <v>1</v>
      </c>
      <c r="C8002" s="7" t="s">
        <v>10</v>
      </c>
      <c r="D8002" s="7">
        <v>8918</v>
      </c>
      <c r="E8002" s="7" t="s">
        <v>14</v>
      </c>
      <c r="F8002" s="8" t="str">
        <f ca="1">IFERROR(__xludf.DUMMYFUNCTION("IF
(
C8003=""фізична особа""
,
VLOOKUP(D8003,IMPORTRANGE(""https://docs.google.com/spreadsheets/d/14Bd19lYaqBhU8_DElYkX7l4wRkHqqCUFNJY4AfY3kHU/edit?usp=sharing  #gid=0"",""фіз особи new!relations_name""),6,FALSE)
,
(IF
(
C8003=""юридична особа""
,
VLOOKUP"&amp;"(D8003,IMPORTRANGE(""https://docs.google.com/spreadsheets/d/14Bd19lYaqBhU8_DElYkX7l4wRkHqqCUFNJY4AfY3kHU/edit?usp=sharing  #gid=0"",""фіз особи new!relations_name_uo""),7,FALSE)
,
)
))"),"БЄРОЄВ Єгор Вадимович")</f>
        <v>БЄРОЄВ Єгор Вадимович</v>
      </c>
      <c r="G8002" s="7" t="s">
        <v>10</v>
      </c>
      <c r="H8002" s="7">
        <v>0</v>
      </c>
      <c r="I8002" s="8" t="str">
        <f ca="1">IFERROR(__xludf.DUMMYFUNCTION("IF
(
G8003=""фізична особа""
,
VLOOKUP(H8003,IMPORTRANGE(""https://docs.google.com/spreadsheets/d/14Bd19lYaqBhU8_DElYkX7l4wRkHqqCUFNJY4AfY3kHU/edit?usp=sharing  #gid=0"",""фіз особи new!relations_name""),6,FALSE)
,
(IF
(
G8003=""юридична особа""
,
VLOOKUP"&amp;"(H8003,IMPORTRANGE(""https://docs.google.com/spreadsheets/d/14Bd19lYaqBhU8_DElYkX7l4wRkHqqCUFNJY4AfY3kHU/edit?usp=sharing  #gid=0"",""фіз особи new!relations_name_uo""),7,FALSE)
,
)
))"),"#N/A")</f>
        <v>#N/A</v>
      </c>
      <c r="J8002" s="7" t="s">
        <v>15</v>
      </c>
    </row>
    <row r="8003" spans="1:10" ht="13.2">
      <c r="A8003" s="7">
        <v>8002</v>
      </c>
      <c r="B8003" s="7">
        <v>1</v>
      </c>
      <c r="C8003" s="7" t="s">
        <v>10</v>
      </c>
      <c r="D8003" s="7">
        <v>8977</v>
      </c>
      <c r="E8003" s="7" t="s">
        <v>14</v>
      </c>
      <c r="F8003" s="8" t="str">
        <f ca="1">IFERROR(__xludf.DUMMYFUNCTION("IF
(
C8004=""фізична особа""
,
VLOOKUP(D8004,IMPORTRANGE(""https://docs.google.com/spreadsheets/d/14Bd19lYaqBhU8_DElYkX7l4wRkHqqCUFNJY4AfY3kHU/edit?usp=sharing  #gid=0"",""фіз особи new!relations_name""),6,FALSE)
,
(IF
(
C8004=""юридична особа""
,
VLOOKUP"&amp;"(D8004,IMPORTRANGE(""https://docs.google.com/spreadsheets/d/14Bd19lYaqBhU8_DElYkX7l4wRkHqqCUFNJY4AfY3kHU/edit?usp=sharing  #gid=0"",""фіз особи new!relations_name_uo""),7,FALSE)
,
)
))"),"ПЕТРОСЯН Євген Ваганович")</f>
        <v>ПЕТРОСЯН Євген Ваганович</v>
      </c>
      <c r="G8003" s="7" t="s">
        <v>10</v>
      </c>
      <c r="H8003" s="7">
        <v>0</v>
      </c>
      <c r="I8003" s="8" t="str">
        <f ca="1">IFERROR(__xludf.DUMMYFUNCTION("IF
(
G8004=""фізична особа""
,
VLOOKUP(H8004,IMPORTRANGE(""https://docs.google.com/spreadsheets/d/14Bd19lYaqBhU8_DElYkX7l4wRkHqqCUFNJY4AfY3kHU/edit?usp=sharing  #gid=0"",""фіз особи new!relations_name""),6,FALSE)
,
(IF
(
G8004=""юридична особа""
,
VLOOKUP"&amp;"(H8004,IMPORTRANGE(""https://docs.google.com/spreadsheets/d/14Bd19lYaqBhU8_DElYkX7l4wRkHqqCUFNJY4AfY3kHU/edit?usp=sharing  #gid=0"",""фіз особи new!relations_name_uo""),7,FALSE)
,
)
))"),"#N/A")</f>
        <v>#N/A</v>
      </c>
      <c r="J8003" s="7" t="s">
        <v>15</v>
      </c>
    </row>
    <row r="8004" spans="1:10" ht="13.2">
      <c r="A8004" s="7">
        <v>8003</v>
      </c>
      <c r="B8004" s="7">
        <v>1</v>
      </c>
      <c r="C8004" s="7" t="s">
        <v>10</v>
      </c>
      <c r="D8004" s="7">
        <v>8977</v>
      </c>
      <c r="E8004" s="7" t="s">
        <v>14</v>
      </c>
      <c r="F8004" s="8" t="str">
        <f ca="1">IFERROR(__xludf.DUMMYFUNCTION("IF
(
C8005=""фізична особа""
,
VLOOKUP(D8005,IMPORTRANGE(""https://docs.google.com/spreadsheets/d/14Bd19lYaqBhU8_DElYkX7l4wRkHqqCUFNJY4AfY3kHU/edit?usp=sharing  #gid=0"",""фіз особи new!relations_name""),6,FALSE)
,
(IF
(
C8005=""юридична особа""
,
VLOOKUP"&amp;"(D8005,IMPORTRANGE(""https://docs.google.com/spreadsheets/d/14Bd19lYaqBhU8_DElYkX7l4wRkHqqCUFNJY4AfY3kHU/edit?usp=sharing  #gid=0"",""фіз особи new!relations_name_uo""),7,FALSE)
,
)
))"),"ПЕТРОСЯН Євген Ваганович")</f>
        <v>ПЕТРОСЯН Євген Ваганович</v>
      </c>
      <c r="G8004" s="7" t="s">
        <v>10</v>
      </c>
      <c r="H8004" s="7">
        <v>0</v>
      </c>
      <c r="I8004" s="8" t="str">
        <f ca="1">IFERROR(__xludf.DUMMYFUNCTION("IF
(
G8005=""фізична особа""
,
VLOOKUP(H8005,IMPORTRANGE(""https://docs.google.com/spreadsheets/d/14Bd19lYaqBhU8_DElYkX7l4wRkHqqCUFNJY4AfY3kHU/edit?usp=sharing  #gid=0"",""фіз особи new!relations_name""),6,FALSE)
,
(IF
(
G8005=""юридична особа""
,
VLOOKUP"&amp;"(H8005,IMPORTRANGE(""https://docs.google.com/spreadsheets/d/14Bd19lYaqBhU8_DElYkX7l4wRkHqqCUFNJY4AfY3kHU/edit?usp=sharing  #gid=0"",""фіз особи new!relations_name_uo""),7,FALSE)
,
)
))"),"#N/A")</f>
        <v>#N/A</v>
      </c>
      <c r="J8004" s="7" t="s">
        <v>43</v>
      </c>
    </row>
    <row r="8005" spans="1:10" ht="13.2">
      <c r="A8005" s="7">
        <v>8004</v>
      </c>
      <c r="B8005" s="7">
        <v>1</v>
      </c>
      <c r="C8005" s="7" t="s">
        <v>10</v>
      </c>
      <c r="D8005" s="7">
        <v>8978</v>
      </c>
      <c r="E8005" s="7" t="s">
        <v>14</v>
      </c>
      <c r="F8005" s="8" t="str">
        <f ca="1">IFERROR(__xludf.DUMMYFUNCTION("IF
(
C8006=""фізична особа""
,
VLOOKUP(D8006,IMPORTRANGE(""https://docs.google.com/spreadsheets/d/14Bd19lYaqBhU8_DElYkX7l4wRkHqqCUFNJY4AfY3kHU/edit?usp=sharing  #gid=0"",""фіз особи new!relations_name""),6,FALSE)
,
(IF
(
C8006=""юридична особа""
,
VLOOKUP"&amp;"(D8006,IMPORTRANGE(""https://docs.google.com/spreadsheets/d/14Bd19lYaqBhU8_DElYkX7l4wRkHqqCUFNJY4AfY3kHU/edit?usp=sharing  #gid=0"",""фіз особи new!relations_name_uo""),7,FALSE)
,
)
))"),"ГЛУШКО Сергій Віталійович")</f>
        <v>ГЛУШКО Сергій Віталійович</v>
      </c>
      <c r="G8005" s="7" t="s">
        <v>10</v>
      </c>
      <c r="H8005" s="7">
        <v>0</v>
      </c>
      <c r="I8005" s="8" t="str">
        <f ca="1">IFERROR(__xludf.DUMMYFUNCTION("IF
(
G8006=""фізична особа""
,
VLOOKUP(H8006,IMPORTRANGE(""https://docs.google.com/spreadsheets/d/14Bd19lYaqBhU8_DElYkX7l4wRkHqqCUFNJY4AfY3kHU/edit?usp=sharing  #gid=0"",""фіз особи new!relations_name""),6,FALSE)
,
(IF
(
G8006=""юридична особа""
,
VLOOKUP"&amp;"(H8006,IMPORTRANGE(""https://docs.google.com/spreadsheets/d/14Bd19lYaqBhU8_DElYkX7l4wRkHqqCUFNJY4AfY3kHU/edit?usp=sharing  #gid=0"",""фіз особи new!relations_name_uo""),7,FALSE)
,
)
))"),"#N/A")</f>
        <v>#N/A</v>
      </c>
      <c r="J8005" s="7" t="s">
        <v>15</v>
      </c>
    </row>
    <row r="8006" spans="1:10" ht="13.2">
      <c r="A8006" s="7">
        <v>8005</v>
      </c>
      <c r="B8006" s="7">
        <v>1</v>
      </c>
      <c r="C8006" s="7" t="s">
        <v>10</v>
      </c>
      <c r="D8006" s="7">
        <v>8979</v>
      </c>
      <c r="E8006" s="7" t="s">
        <v>14</v>
      </c>
      <c r="F8006" s="8" t="str">
        <f ca="1">IFERROR(__xludf.DUMMYFUNCTION("IF
(
C8007=""фізична особа""
,
VLOOKUP(D8007,IMPORTRANGE(""https://docs.google.com/spreadsheets/d/14Bd19lYaqBhU8_DElYkX7l4wRkHqqCUFNJY4AfY3kHU/edit?usp=sharing  #gid=0"",""фіз особи new!relations_name""),6,FALSE)
,
(IF
(
C8007=""юридична особа""
,
VLOOKUP"&amp;"(D8007,IMPORTRANGE(""https://docs.google.com/spreadsheets/d/14Bd19lYaqBhU8_DElYkX7l4wRkHqqCUFNJY4AfY3kHU/edit?usp=sharing  #gid=0"",""фіз особи new!relations_name_uo""),7,FALSE)
,
)
))"),"МЕРЗЛІКІН Андрій Ілліч")</f>
        <v>МЕРЗЛІКІН Андрій Ілліч</v>
      </c>
      <c r="G8006" s="7" t="s">
        <v>10</v>
      </c>
      <c r="H8006" s="7">
        <v>0</v>
      </c>
      <c r="I8006" s="8" t="str">
        <f ca="1">IFERROR(__xludf.DUMMYFUNCTION("IF
(
G8007=""фізична особа""
,
VLOOKUP(H8007,IMPORTRANGE(""https://docs.google.com/spreadsheets/d/14Bd19lYaqBhU8_DElYkX7l4wRkHqqCUFNJY4AfY3kHU/edit?usp=sharing  #gid=0"",""фіз особи new!relations_name""),6,FALSE)
,
(IF
(
G8007=""юридична особа""
,
VLOOKUP"&amp;"(H8007,IMPORTRANGE(""https://docs.google.com/spreadsheets/d/14Bd19lYaqBhU8_DElYkX7l4wRkHqqCUFNJY4AfY3kHU/edit?usp=sharing  #gid=0"",""фіз особи new!relations_name_uo""),7,FALSE)
,
)
))"),"#N/A")</f>
        <v>#N/A</v>
      </c>
      <c r="J8006" s="7" t="s">
        <v>15</v>
      </c>
    </row>
    <row r="8007" spans="1:10" ht="13.2">
      <c r="A8007" s="7">
        <v>8006</v>
      </c>
      <c r="B8007" s="7">
        <v>1</v>
      </c>
      <c r="C8007" s="7" t="s">
        <v>10</v>
      </c>
      <c r="D8007" s="7">
        <v>8981</v>
      </c>
      <c r="E8007" s="7" t="s">
        <v>14</v>
      </c>
      <c r="F8007" s="8" t="str">
        <f ca="1">IFERROR(__xludf.DUMMYFUNCTION("IF
(
C8008=""фізична особа""
,
VLOOKUP(D8008,IMPORTRANGE(""https://docs.google.com/spreadsheets/d/14Bd19lYaqBhU8_DElYkX7l4wRkHqqCUFNJY4AfY3kHU/edit?usp=sharing  #gid=0"",""фіз особи new!relations_name""),6,FALSE)
,
(IF
(
C8008=""юридична особа""
,
VLOOKUP"&amp;"(D8008,IMPORTRANGE(""https://docs.google.com/spreadsheets/d/14Bd19lYaqBhU8_DElYkX7l4wRkHqqCUFNJY4AfY3kHU/edit?usp=sharing  #gid=0"",""фіз особи new!relations_name_uo""),7,FALSE)
,
)
))"),"КОРОБКОВ Антон Васильович")</f>
        <v>КОРОБКОВ Антон Васильович</v>
      </c>
      <c r="G8007" s="7" t="s">
        <v>10</v>
      </c>
      <c r="H8007" s="7">
        <v>0</v>
      </c>
      <c r="I8007" s="8" t="str">
        <f ca="1">IFERROR(__xludf.DUMMYFUNCTION("IF
(
G8008=""фізична особа""
,
VLOOKUP(H8008,IMPORTRANGE(""https://docs.google.com/spreadsheets/d/14Bd19lYaqBhU8_DElYkX7l4wRkHqqCUFNJY4AfY3kHU/edit?usp=sharing  #gid=0"",""фіз особи new!relations_name""),6,FALSE)
,
(IF
(
G8008=""юридична особа""
,
VLOOKUP"&amp;"(H8008,IMPORTRANGE(""https://docs.google.com/spreadsheets/d/14Bd19lYaqBhU8_DElYkX7l4wRkHqqCUFNJY4AfY3kHU/edit?usp=sharing  #gid=0"",""фіз особи new!relations_name_uo""),7,FALSE)
,
)
))"),"#N/A")</f>
        <v>#N/A</v>
      </c>
      <c r="J8007" s="7" t="s">
        <v>15</v>
      </c>
    </row>
    <row r="8008" spans="1:10" ht="13.2">
      <c r="A8008" s="7">
        <v>8007</v>
      </c>
      <c r="B8008" s="7">
        <v>1</v>
      </c>
      <c r="C8008" s="7" t="s">
        <v>10</v>
      </c>
      <c r="D8008" s="7">
        <v>8984</v>
      </c>
      <c r="E8008" s="7" t="s">
        <v>28</v>
      </c>
      <c r="F8008" s="8" t="str">
        <f ca="1">IFERROR(__xludf.DUMMYFUNCTION("IF
(
C8009=""фізична особа""
,
VLOOKUP(D8009,IMPORTRANGE(""https://docs.google.com/spreadsheets/d/14Bd19lYaqBhU8_DElYkX7l4wRkHqqCUFNJY4AfY3kHU/edit?usp=sharing  #gid=0"",""фіз особи new!relations_name""),6,FALSE)
,
(IF
(
C8009=""юридична особа""
,
VLOOKUP"&amp;"(D8009,IMPORTRANGE(""https://docs.google.com/spreadsheets/d/14Bd19lYaqBhU8_DElYkX7l4wRkHqqCUFNJY4AfY3kHU/edit?usp=sharing  #gid=0"",""фіз особи new!relations_name_uo""),7,FALSE)
,
)
))"),"БУРЦЕВ Андрій Вадимович")</f>
        <v>БУРЦЕВ Андрій Вадимович</v>
      </c>
      <c r="G8008" s="7" t="s">
        <v>10</v>
      </c>
      <c r="H8008" s="7">
        <v>8610</v>
      </c>
      <c r="I8008" s="8" t="str">
        <f ca="1">IFERROR(__xludf.DUMMYFUNCTION("IF
(
G8009=""фізична особа""
,
VLOOKUP(H8009,IMPORTRANGE(""https://docs.google.com/spreadsheets/d/14Bd19lYaqBhU8_DElYkX7l4wRkHqqCUFNJY4AfY3kHU/edit?usp=sharing  #gid=0"",""фіз особи new!relations_name""),6,FALSE)
,
(IF
(
G8009=""юридична особа""
,
VLOOKUP"&amp;"(H8009,IMPORTRANGE(""https://docs.google.com/spreadsheets/d/14Bd19lYaqBhU8_DElYkX7l4wRkHqqCUFNJY4AfY3kHU/edit?usp=sharing  #gid=0"",""фіз особи new!relations_name_uo""),7,FALSE)
,
)
))"),"ГАБРЕЛЯНОВ Арам Ашотович")</f>
        <v>ГАБРЕЛЯНОВ Арам Ашотович</v>
      </c>
      <c r="J8008" s="7" t="s">
        <v>29</v>
      </c>
    </row>
    <row r="8009" spans="1:10" ht="13.2">
      <c r="A8009" s="7">
        <v>8008</v>
      </c>
      <c r="B8009" s="7">
        <v>1</v>
      </c>
      <c r="C8009" s="7" t="s">
        <v>10</v>
      </c>
      <c r="D8009" s="7">
        <v>8995</v>
      </c>
      <c r="E8009" s="7" t="s">
        <v>28</v>
      </c>
      <c r="F8009" s="8" t="str">
        <f ca="1">IFERROR(__xludf.DUMMYFUNCTION("IF
(
C8010=""фізична особа""
,
VLOOKUP(D8010,IMPORTRANGE(""https://docs.google.com/spreadsheets/d/14Bd19lYaqBhU8_DElYkX7l4wRkHqqCUFNJY4AfY3kHU/edit?usp=sharing  #gid=0"",""фіз особи new!relations_name""),6,FALSE)
,
(IF
(
C8010=""юридична особа""
,
VLOOKUP"&amp;"(D8010,IMPORTRANGE(""https://docs.google.com/spreadsheets/d/14Bd19lYaqBhU8_DElYkX7l4wRkHqqCUFNJY4AfY3kHU/edit?usp=sharing  #gid=0"",""фіз особи new!relations_name_uo""),7,FALSE)
,
)
))"),"РИЧКОВ Кирило Вікторович")</f>
        <v>РИЧКОВ Кирило Вікторович</v>
      </c>
      <c r="G8009" s="7" t="s">
        <v>10</v>
      </c>
      <c r="H8009" s="7">
        <v>0</v>
      </c>
      <c r="I8009" s="8" t="str">
        <f ca="1">IFERROR(__xludf.DUMMYFUNCTION("IF
(
G8010=""фізична особа""
,
VLOOKUP(H8010,IMPORTRANGE(""https://docs.google.com/spreadsheets/d/14Bd19lYaqBhU8_DElYkX7l4wRkHqqCUFNJY4AfY3kHU/edit?usp=sharing  #gid=0"",""фіз особи new!relations_name""),6,FALSE)
,
(IF
(
G8010=""юридична особа""
,
VLOOKUP"&amp;"(H8010,IMPORTRANGE(""https://docs.google.com/spreadsheets/d/14Bd19lYaqBhU8_DElYkX7l4wRkHqqCUFNJY4AfY3kHU/edit?usp=sharing  #gid=0"",""фіз особи new!relations_name_uo""),7,FALSE)
,
)
))"),"#N/A")</f>
        <v>#N/A</v>
      </c>
      <c r="J8009" s="7" t="s">
        <v>29</v>
      </c>
    </row>
    <row r="8010" spans="1:10" ht="13.2">
      <c r="A8010" s="7">
        <v>8009</v>
      </c>
      <c r="B8010" s="7">
        <v>1</v>
      </c>
      <c r="C8010" s="7" t="s">
        <v>10</v>
      </c>
      <c r="D8010" s="7">
        <v>8998</v>
      </c>
      <c r="E8010" s="7" t="s">
        <v>14</v>
      </c>
      <c r="F8010" s="8" t="str">
        <f ca="1">IFERROR(__xludf.DUMMYFUNCTION("IF
(
C8011=""фізична особа""
,
VLOOKUP(D8011,IMPORTRANGE(""https://docs.google.com/spreadsheets/d/14Bd19lYaqBhU8_DElYkX7l4wRkHqqCUFNJY4AfY3kHU/edit?usp=sharing  #gid=0"",""фіз особи new!relations_name""),6,FALSE)
,
(IF
(
C8011=""юридична особа""
,
VLOOKUP"&amp;"(D8011,IMPORTRANGE(""https://docs.google.com/spreadsheets/d/14Bd19lYaqBhU8_DElYkX7l4wRkHqqCUFNJY4AfY3kHU/edit?usp=sharing  #gid=0"",""фіз особи new!relations_name_uo""),7,FALSE)
,
)
))"),"ЛІВАНОВ Василь Борисович")</f>
        <v>ЛІВАНОВ Василь Борисович</v>
      </c>
      <c r="G8010" s="7" t="s">
        <v>10</v>
      </c>
      <c r="H8010" s="7">
        <v>0</v>
      </c>
      <c r="I8010" s="8" t="str">
        <f ca="1">IFERROR(__xludf.DUMMYFUNCTION("IF
(
G8011=""фізична особа""
,
VLOOKUP(H8011,IMPORTRANGE(""https://docs.google.com/spreadsheets/d/14Bd19lYaqBhU8_DElYkX7l4wRkHqqCUFNJY4AfY3kHU/edit?usp=sharing  #gid=0"",""фіз особи new!relations_name""),6,FALSE)
,
(IF
(
G8011=""юридична особа""
,
VLOOKUP"&amp;"(H8011,IMPORTRANGE(""https://docs.google.com/spreadsheets/d/14Bd19lYaqBhU8_DElYkX7l4wRkHqqCUFNJY4AfY3kHU/edit?usp=sharing  #gid=0"",""фіз особи new!relations_name_uo""),7,FALSE)
,
)
))"),"#N/A")</f>
        <v>#N/A</v>
      </c>
      <c r="J8010" s="7" t="s">
        <v>15</v>
      </c>
    </row>
    <row r="8011" spans="1:10" ht="13.2">
      <c r="A8011" s="7">
        <v>8010</v>
      </c>
      <c r="B8011" s="7">
        <v>1</v>
      </c>
      <c r="C8011" s="7" t="s">
        <v>10</v>
      </c>
      <c r="D8011" s="7">
        <v>9009</v>
      </c>
      <c r="E8011" s="7" t="s">
        <v>14</v>
      </c>
      <c r="F8011" s="8" t="str">
        <f ca="1">IFERROR(__xludf.DUMMYFUNCTION("IF
(
C8012=""фізична особа""
,
VLOOKUP(D8012,IMPORTRANGE(""https://docs.google.com/spreadsheets/d/14Bd19lYaqBhU8_DElYkX7l4wRkHqqCUFNJY4AfY3kHU/edit?usp=sharing  #gid=0"",""фіз особи new!relations_name""),6,FALSE)
,
(IF
(
C8012=""юридична особа""
,
VLOOKUP"&amp;"(D8012,IMPORTRANGE(""https://docs.google.com/spreadsheets/d/14Bd19lYaqBhU8_DElYkX7l4wRkHqqCUFNJY4AfY3kHU/edit?usp=sharing  #gid=0"",""фіз особи new!relations_name_uo""),7,FALSE)
,
)
))"),"ПЕТРЕНКО Ігор Петрович")</f>
        <v>ПЕТРЕНКО Ігор Петрович</v>
      </c>
      <c r="G8011" s="7" t="s">
        <v>10</v>
      </c>
      <c r="H8011" s="7">
        <v>0</v>
      </c>
      <c r="I8011" s="8" t="str">
        <f ca="1">IFERROR(__xludf.DUMMYFUNCTION("IF
(
G8012=""фізична особа""
,
VLOOKUP(H8012,IMPORTRANGE(""https://docs.google.com/spreadsheets/d/14Bd19lYaqBhU8_DElYkX7l4wRkHqqCUFNJY4AfY3kHU/edit?usp=sharing  #gid=0"",""фіз особи new!relations_name""),6,FALSE)
,
(IF
(
G8012=""юридична особа""
,
VLOOKUP"&amp;"(H8012,IMPORTRANGE(""https://docs.google.com/spreadsheets/d/14Bd19lYaqBhU8_DElYkX7l4wRkHqqCUFNJY4AfY3kHU/edit?usp=sharing  #gid=0"",""фіз особи new!relations_name_uo""),7,FALSE)
,
)
))"),"#N/A")</f>
        <v>#N/A</v>
      </c>
      <c r="J8011" s="7" t="s">
        <v>15</v>
      </c>
    </row>
    <row r="8012" spans="1:10" ht="13.2">
      <c r="A8012" s="7">
        <v>8011</v>
      </c>
      <c r="B8012" s="7">
        <v>1</v>
      </c>
      <c r="C8012" s="7" t="s">
        <v>10</v>
      </c>
      <c r="D8012" s="7">
        <v>9011</v>
      </c>
      <c r="E8012" s="7" t="s">
        <v>14</v>
      </c>
      <c r="F8012" s="8" t="str">
        <f ca="1">IFERROR(__xludf.DUMMYFUNCTION("IF
(
C8013=""фізична особа""
,
VLOOKUP(D8013,IMPORTRANGE(""https://docs.google.com/spreadsheets/d/14Bd19lYaqBhU8_DElYkX7l4wRkHqqCUFNJY4AfY3kHU/edit?usp=sharing  #gid=0"",""фіз особи new!relations_name""),6,FALSE)
,
(IF
(
C8013=""юридична особа""
,
VLOOKUP"&amp;"(D8013,IMPORTRANGE(""https://docs.google.com/spreadsheets/d/14Bd19lYaqBhU8_DElYkX7l4wRkHqqCUFNJY4AfY3kHU/edit?usp=sharing  #gid=0"",""фіз особи new!relations_name_uo""),7,FALSE)
,
)
))"),"ШИЛОВ Олександр Максович")</f>
        <v>ШИЛОВ Олександр Максович</v>
      </c>
      <c r="G8012" s="7" t="s">
        <v>10</v>
      </c>
      <c r="H8012" s="7">
        <v>0</v>
      </c>
      <c r="I8012" s="8" t="str">
        <f ca="1">IFERROR(__xludf.DUMMYFUNCTION("IF
(
G8013=""фізична особа""
,
VLOOKUP(H8013,IMPORTRANGE(""https://docs.google.com/spreadsheets/d/14Bd19lYaqBhU8_DElYkX7l4wRkHqqCUFNJY4AfY3kHU/edit?usp=sharing  #gid=0"",""фіз особи new!relations_name""),6,FALSE)
,
(IF
(
G8013=""юридична особа""
,
VLOOKUP"&amp;"(H8013,IMPORTRANGE(""https://docs.google.com/spreadsheets/d/14Bd19lYaqBhU8_DElYkX7l4wRkHqqCUFNJY4AfY3kHU/edit?usp=sharing  #gid=0"",""фіз особи new!relations_name_uo""),7,FALSE)
,
)
))"),"#N/A")</f>
        <v>#N/A</v>
      </c>
      <c r="J8012" s="7" t="s">
        <v>43</v>
      </c>
    </row>
    <row r="8013" spans="1:10" ht="13.2">
      <c r="A8013" s="7">
        <v>8012</v>
      </c>
      <c r="B8013" s="7">
        <v>1</v>
      </c>
      <c r="C8013" s="7" t="s">
        <v>10</v>
      </c>
      <c r="D8013" s="7">
        <v>9012</v>
      </c>
      <c r="E8013" s="7" t="s">
        <v>14</v>
      </c>
      <c r="F8013" s="8" t="str">
        <f ca="1">IFERROR(__xludf.DUMMYFUNCTION("IF
(
C8014=""фізична особа""
,
VLOOKUP(D8014,IMPORTRANGE(""https://docs.google.com/spreadsheets/d/14Bd19lYaqBhU8_DElYkX7l4wRkHqqCUFNJY4AfY3kHU/edit?usp=sharing  #gid=0"",""фіз особи new!relations_name""),6,FALSE)
,
(IF
(
C8014=""юридична особа""
,
VLOOKUP"&amp;"(D8014,IMPORTRANGE(""https://docs.google.com/spreadsheets/d/14Bd19lYaqBhU8_DElYkX7l4wRkHqqCUFNJY4AfY3kHU/edit?usp=sharing  #gid=0"",""фіз особи new!relations_name_uo""),7,FALSE)
,
)
))"),"ДЮЖЕВ Дмитро Петрович")</f>
        <v>ДЮЖЕВ Дмитро Петрович</v>
      </c>
      <c r="G8013" s="7" t="s">
        <v>10</v>
      </c>
      <c r="H8013" s="7">
        <v>0</v>
      </c>
      <c r="I8013" s="8" t="str">
        <f ca="1">IFERROR(__xludf.DUMMYFUNCTION("IF
(
G8014=""фізична особа""
,
VLOOKUP(H8014,IMPORTRANGE(""https://docs.google.com/spreadsheets/d/14Bd19lYaqBhU8_DElYkX7l4wRkHqqCUFNJY4AfY3kHU/edit?usp=sharing  #gid=0"",""фіз особи new!relations_name""),6,FALSE)
,
(IF
(
G8014=""юридична особа""
,
VLOOKUP"&amp;"(H8014,IMPORTRANGE(""https://docs.google.com/spreadsheets/d/14Bd19lYaqBhU8_DElYkX7l4wRkHqqCUFNJY4AfY3kHU/edit?usp=sharing  #gid=0"",""фіз особи new!relations_name_uo""),7,FALSE)
,
)
))"),"#N/A")</f>
        <v>#N/A</v>
      </c>
      <c r="J8013" s="7" t="s">
        <v>15</v>
      </c>
    </row>
    <row r="8014" spans="1:10" ht="13.2">
      <c r="A8014" s="7">
        <v>8013</v>
      </c>
      <c r="B8014" s="7">
        <v>1</v>
      </c>
      <c r="C8014" s="7" t="s">
        <v>10</v>
      </c>
      <c r="D8014" s="7">
        <v>9013</v>
      </c>
      <c r="E8014" s="7" t="s">
        <v>15</v>
      </c>
      <c r="F8014" s="8" t="str">
        <f ca="1">IFERROR(__xludf.DUMMYFUNCTION("IF
(
C8015=""фізична особа""
,
VLOOKUP(D8015,IMPORTRANGE(""https://docs.google.com/spreadsheets/d/14Bd19lYaqBhU8_DElYkX7l4wRkHqqCUFNJY4AfY3kHU/edit?usp=sharing  #gid=0"",""фіз особи new!relations_name""),6,FALSE)
,
(IF
(
C8015=""юридична особа""
,
VLOOKUP"&amp;"(D8015,IMPORTRANGE(""https://docs.google.com/spreadsheets/d/14Bd19lYaqBhU8_DElYkX7l4wRkHqqCUFNJY4AfY3kHU/edit?usp=sharing  #gid=0"",""фіз особи new!relations_name_uo""),7,FALSE)
,
)
))"),"ПЕРФІЛОВА Алла/Валерія Юріївна")</f>
        <v>ПЕРФІЛОВА Алла/Валерія Юріївна</v>
      </c>
      <c r="G8014" s="7" t="s">
        <v>10</v>
      </c>
      <c r="H8014" s="7">
        <v>0</v>
      </c>
      <c r="I8014" s="8" t="str">
        <f ca="1">IFERROR(__xludf.DUMMYFUNCTION("IF
(
G8015=""фізична особа""
,
VLOOKUP(H8015,IMPORTRANGE(""https://docs.google.com/spreadsheets/d/14Bd19lYaqBhU8_DElYkX7l4wRkHqqCUFNJY4AfY3kHU/edit?usp=sharing  #gid=0"",""фіз особи new!relations_name""),6,FALSE)
,
(IF
(
G8015=""юридична особа""
,
VLOOKUP"&amp;"(H8015,IMPORTRANGE(""https://docs.google.com/spreadsheets/d/14Bd19lYaqBhU8_DElYkX7l4wRkHqqCUFNJY4AfY3kHU/edit?usp=sharing  #gid=0"",""фіз особи new!relations_name_uo""),7,FALSE)
,
)
))"),"#N/A")</f>
        <v>#N/A</v>
      </c>
      <c r="J8014" s="7" t="s">
        <v>14</v>
      </c>
    </row>
    <row r="8015" spans="1:10" ht="13.2">
      <c r="A8015" s="7">
        <v>8014</v>
      </c>
      <c r="B8015" s="7">
        <v>1</v>
      </c>
      <c r="C8015" s="7" t="s">
        <v>10</v>
      </c>
      <c r="D8015" s="7">
        <v>9014</v>
      </c>
      <c r="E8015" s="7" t="s">
        <v>14</v>
      </c>
      <c r="F8015" s="8" t="str">
        <f ca="1">IFERROR(__xludf.DUMMYFUNCTION("IF
(
C8016=""фізична особа""
,
VLOOKUP(D8016,IMPORTRANGE(""https://docs.google.com/spreadsheets/d/14Bd19lYaqBhU8_DElYkX7l4wRkHqqCUFNJY4AfY3kHU/edit?usp=sharing  #gid=0"",""фіз особи new!relations_name""),6,FALSE)
,
(IF
(
C8016=""юридична особа""
,
VLOOKUP"&amp;"(D8016,IMPORTRANGE(""https://docs.google.com/spreadsheets/d/14Bd19lYaqBhU8_DElYkX7l4wRkHqqCUFNJY4AfY3kHU/edit?usp=sharing  #gid=0"",""фіз особи new!relations_name_uo""),7,FALSE)
,
)
))"),"ХАРАТЬЯН Дмитро Вадимович")</f>
        <v>ХАРАТЬЯН Дмитро Вадимович</v>
      </c>
      <c r="G8015" s="7" t="s">
        <v>10</v>
      </c>
      <c r="H8015" s="7">
        <v>0</v>
      </c>
      <c r="I8015" s="8" t="str">
        <f ca="1">IFERROR(__xludf.DUMMYFUNCTION("IF
(
G8016=""фізична особа""
,
VLOOKUP(H8016,IMPORTRANGE(""https://docs.google.com/spreadsheets/d/14Bd19lYaqBhU8_DElYkX7l4wRkHqqCUFNJY4AfY3kHU/edit?usp=sharing  #gid=0"",""фіз особи new!relations_name""),6,FALSE)
,
(IF
(
G8016=""юридична особа""
,
VLOOKUP"&amp;"(H8016,IMPORTRANGE(""https://docs.google.com/spreadsheets/d/14Bd19lYaqBhU8_DElYkX7l4wRkHqqCUFNJY4AfY3kHU/edit?usp=sharing  #gid=0"",""фіз особи new!relations_name_uo""),7,FALSE)
,
)
))"),"#N/A")</f>
        <v>#N/A</v>
      </c>
      <c r="J8015" s="7" t="s">
        <v>15</v>
      </c>
    </row>
    <row r="8016" spans="1:10" ht="13.2">
      <c r="A8016" s="7">
        <v>8015</v>
      </c>
      <c r="B8016" s="7">
        <v>1</v>
      </c>
      <c r="C8016" s="7" t="s">
        <v>10</v>
      </c>
      <c r="D8016" s="7">
        <v>9015</v>
      </c>
      <c r="E8016" s="7" t="s">
        <v>28</v>
      </c>
      <c r="F8016" s="8" t="str">
        <f ca="1">IFERROR(__xludf.DUMMYFUNCTION("IF
(
C8017=""фізична особа""
,
VLOOKUP(D8017,IMPORTRANGE(""https://docs.google.com/spreadsheets/d/14Bd19lYaqBhU8_DElYkX7l4wRkHqqCUFNJY4AfY3kHU/edit?usp=sharing  #gid=0"",""фіз особи new!relations_name""),6,FALSE)
,
(IF
(
C8017=""юридична особа""
,
VLOOKUP"&amp;"(D8017,IMPORTRANGE(""https://docs.google.com/spreadsheets/d/14Bd19lYaqBhU8_DElYkX7l4wRkHqqCUFNJY4AfY3kHU/edit?usp=sharing  #gid=0"",""фіз особи new!relations_name_uo""),7,FALSE)
,
)
))"),"МАРКЄЛОВ Михайло Юрійович")</f>
        <v>МАРКЄЛОВ Михайло Юрійович</v>
      </c>
      <c r="G8016" s="7" t="s">
        <v>10</v>
      </c>
      <c r="H8016" s="7">
        <v>844</v>
      </c>
      <c r="I8016" s="8" t="str">
        <f ca="1">IFERROR(__xludf.DUMMYFUNCTION("IF
(
G8017=""фізична особа""
,
VLOOKUP(H8017,IMPORTRANGE(""https://docs.google.com/spreadsheets/d/14Bd19lYaqBhU8_DElYkX7l4wRkHqqCUFNJY4AfY3kHU/edit?usp=sharing  #gid=0"",""фіз особи new!relations_name""),6,FALSE)
,
(IF
(
G8017=""юридична особа""
,
VLOOKUP"&amp;"(H8017,IMPORTRANGE(""https://docs.google.com/spreadsheets/d/14Bd19lYaqBhU8_DElYkX7l4wRkHqqCUFNJY4AfY3kHU/edit?usp=sharing  #gid=0"",""фіз особи new!relations_name_uo""),7,FALSE)
,
)
))"),"ВАСИЛЬЄВ Володимир Абдуалійович")</f>
        <v>ВАСИЛЬЄВ Володимир Абдуалійович</v>
      </c>
      <c r="J8016" s="7" t="s">
        <v>29</v>
      </c>
    </row>
    <row r="8017" spans="1:10" ht="13.2">
      <c r="A8017" s="7">
        <v>8016</v>
      </c>
      <c r="B8017" s="7">
        <v>1</v>
      </c>
      <c r="C8017" s="7" t="s">
        <v>10</v>
      </c>
      <c r="D8017" s="7">
        <v>9020</v>
      </c>
      <c r="E8017" s="7" t="s">
        <v>15</v>
      </c>
      <c r="F8017" s="8" t="str">
        <f ca="1">IFERROR(__xludf.DUMMYFUNCTION("IF
(
C8018=""фізична особа""
,
VLOOKUP(D8018,IMPORTRANGE(""https://docs.google.com/spreadsheets/d/14Bd19lYaqBhU8_DElYkX7l4wRkHqqCUFNJY4AfY3kHU/edit?usp=sharing  #gid=0"",""фіз особи new!relations_name""),6,FALSE)
,
(IF
(
C8018=""юридична особа""
,
VLOOKUP"&amp;"(D8018,IMPORTRANGE(""https://docs.google.com/spreadsheets/d/14Bd19lYaqBhU8_DElYkX7l4wRkHqqCUFNJY4AfY3kHU/edit?usp=sharing  #gid=0"",""фіз особи new!relations_name_uo""),7,FALSE)
,
)
))"),"ПОДОЛЬСЬКА Наталья Юріївна")</f>
        <v>ПОДОЛЬСЬКА Наталья Юріївна</v>
      </c>
      <c r="G8017" s="7" t="s">
        <v>10</v>
      </c>
      <c r="H8017" s="7">
        <v>8956</v>
      </c>
      <c r="I8017" s="8" t="str">
        <f ca="1">IFERROR(__xludf.DUMMYFUNCTION("IF
(
G8018=""фізична особа""
,
VLOOKUP(H8018,IMPORTRANGE(""https://docs.google.com/spreadsheets/d/14Bd19lYaqBhU8_DElYkX7l4wRkHqqCUFNJY4AfY3kHU/edit?usp=sharing  #gid=0"",""фіз особи new!relations_name""),6,FALSE)
,
(IF
(
G8018=""юридична особа""
,
VLOOKUP"&amp;"(H8018,IMPORTRANGE(""https://docs.google.com/spreadsheets/d/14Bd19lYaqBhU8_DElYkX7l4wRkHqqCUFNJY4AfY3kHU/edit?usp=sharing  #gid=0"",""фіз особи new!relations_name_uo""),7,FALSE)
,
)
))"),"ПРЕСНЯКОВ Володимир Володимирович")</f>
        <v>ПРЕСНЯКОВ Володимир Володимирович</v>
      </c>
      <c r="J8017" s="7" t="s">
        <v>14</v>
      </c>
    </row>
    <row r="8018" spans="1:10" ht="13.2">
      <c r="A8018" s="7">
        <v>8017</v>
      </c>
      <c r="B8018" s="7">
        <v>1</v>
      </c>
      <c r="C8018" s="7" t="s">
        <v>10</v>
      </c>
      <c r="D8018" s="7">
        <v>9021</v>
      </c>
      <c r="E8018" s="7" t="s">
        <v>30</v>
      </c>
      <c r="F8018" s="8" t="str">
        <f ca="1">IFERROR(__xludf.DUMMYFUNCTION("IF
(
C8019=""фізична особа""
,
VLOOKUP(D8019,IMPORTRANGE(""https://docs.google.com/spreadsheets/d/14Bd19lYaqBhU8_DElYkX7l4wRkHqqCUFNJY4AfY3kHU/edit?usp=sharing  #gid=0"",""фіз особи new!relations_name""),6,FALSE)
,
(IF
(
C8019=""юридична особа""
,
VLOOKUP"&amp;"(D8019,IMPORTRANGE(""https://docs.google.com/spreadsheets/d/14Bd19lYaqBhU8_DElYkX7l4wRkHqqCUFNJY4AfY3kHU/edit?usp=sharing  #gid=0"",""фіз особи new!relations_name_uo""),7,FALSE)
,
)
))"),"БУЙНОВ Олександр Миколайович")</f>
        <v>БУЙНОВ Олександр Миколайович</v>
      </c>
      <c r="G8018" s="7" t="s">
        <v>10</v>
      </c>
      <c r="H8018" s="7">
        <v>185</v>
      </c>
      <c r="I8018" s="8" t="str">
        <f ca="1">IFERROR(__xludf.DUMMYFUNCTION("IF
(
G8019=""фізична особа""
,
VLOOKUP(H8019,IMPORTRANGE(""https://docs.google.com/spreadsheets/d/14Bd19lYaqBhU8_DElYkX7l4wRkHqqCUFNJY4AfY3kHU/edit?usp=sharing  #gid=0"",""фіз особи new!relations_name""),6,FALSE)
,
(IF
(
G8019=""юридична особа""
,
VLOOKUP"&amp;"(H8019,IMPORTRANGE(""https://docs.google.com/spreadsheets/d/14Bd19lYaqBhU8_DElYkX7l4wRkHqqCUFNJY4AfY3kHU/edit?usp=sharing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8018" s="7" t="s">
        <v>30</v>
      </c>
    </row>
    <row r="8019" spans="1:10" ht="13.2">
      <c r="A8019" s="7">
        <v>8018</v>
      </c>
      <c r="B8019" s="7">
        <v>1</v>
      </c>
      <c r="C8019" s="7" t="s">
        <v>10</v>
      </c>
      <c r="D8019" s="7">
        <v>9024</v>
      </c>
      <c r="E8019" s="7" t="s">
        <v>17</v>
      </c>
      <c r="F8019" s="8" t="str">
        <f ca="1">IFERROR(__xludf.DUMMYFUNCTION("IF
(
C8020=""фізична особа""
,
VLOOKUP(D8020,IMPORTRANGE(""https://docs.google.com/spreadsheets/d/14Bd19lYaqBhU8_DElYkX7l4wRkHqqCUFNJY4AfY3kHU/edit?usp=sharing  #gid=0"",""фіз особи new!relations_name""),6,FALSE)
,
(IF
(
C8020=""юридична особа""
,
VLOOKUP"&amp;"(D8020,IMPORTRANGE(""https://docs.google.com/spreadsheets/d/14Bd19lYaqBhU8_DElYkX7l4wRkHqqCUFNJY4AfY3kHU/edit?usp=sharing  #gid=0"",""фіз особи new!relations_name_uo""),7,FALSE)
,
)
))"),"ГАЗМАНОВ Родіон Олегович")</f>
        <v>ГАЗМАНОВ Родіон Олегович</v>
      </c>
      <c r="G8019" s="7" t="s">
        <v>10</v>
      </c>
      <c r="H8019" s="7">
        <v>1009</v>
      </c>
      <c r="I8019" s="8" t="str">
        <f ca="1">IFERROR(__xludf.DUMMYFUNCTION("IF
(
G8020=""фізична особа""
,
VLOOKUP(H8020,IMPORTRANGE(""https://docs.google.com/spreadsheets/d/14Bd19lYaqBhU8_DElYkX7l4wRkHqqCUFNJY4AfY3kHU/edit?usp=sharing  #gid=0"",""фіз особи new!relations_name""),6,FALSE)
,
(IF
(
G8020=""юридична особа""
,
VLOOKUP"&amp;"(H8020,IMPORTRANGE(""https://docs.google.com/spreadsheets/d/14Bd19lYaqBhU8_DElYkX7l4wRkHqqCUFNJY4AfY3kHU/edit?usp=sharing  #gid=0"",""фіз особи new!relations_name_uo""),7,FALSE)
,
)
))"),"ГАЗМАНОВ Олег Михайлович")</f>
        <v>ГАЗМАНОВ Олег Михайлович</v>
      </c>
      <c r="J8019" s="7" t="s">
        <v>12</v>
      </c>
    </row>
    <row r="8020" spans="1:10" ht="13.2">
      <c r="A8020" s="7">
        <v>8019</v>
      </c>
      <c r="B8020" s="7">
        <v>1</v>
      </c>
      <c r="C8020" s="7" t="s">
        <v>10</v>
      </c>
      <c r="D8020" s="7">
        <v>9026</v>
      </c>
      <c r="E8020" s="7" t="s">
        <v>18</v>
      </c>
      <c r="F8020" s="8" t="str">
        <f ca="1">IFERROR(__xludf.DUMMYFUNCTION("IF
(
C8021=""фізична особа""
,
VLOOKUP(D8021,IMPORTRANGE(""https://docs.google.com/spreadsheets/d/14Bd19lYaqBhU8_DElYkX7l4wRkHqqCUFNJY4AfY3kHU/edit?usp=sharing  #gid=0"",""фіз особи new!relations_name""),6,FALSE)
,
(IF
(
C8021=""юридична особа""
,
VLOOKUP"&amp;"(D8021,IMPORTRANGE(""https://docs.google.com/spreadsheets/d/14Bd19lYaqBhU8_DElYkX7l4wRkHqqCUFNJY4AfY3kHU/edit?usp=sharing  #gid=0"",""фіз особи new!relations_name_uo""),7,FALSE)
,
)
))"),"КРИСТОВСЬКИЙ Володимир Євгенійович")</f>
        <v>КРИСТОВСЬКИЙ Володимир Євгенійович</v>
      </c>
      <c r="G8020" s="7" t="s">
        <v>10</v>
      </c>
      <c r="H8020" s="7">
        <v>0</v>
      </c>
      <c r="I8020" s="8" t="str">
        <f ca="1">IFERROR(__xludf.DUMMYFUNCTION("IF
(
G8021=""фізична особа""
,
VLOOKUP(H8021,IMPORTRANGE(""https://docs.google.com/spreadsheets/d/14Bd19lYaqBhU8_DElYkX7l4wRkHqqCUFNJY4AfY3kHU/edit?usp=sharing  #gid=0"",""фіз особи new!relations_name""),6,FALSE)
,
(IF
(
G8021=""юридична особа""
,
VLOOKUP"&amp;"(H8021,IMPORTRANGE(""https://docs.google.com/spreadsheets/d/14Bd19lYaqBhU8_DElYkX7l4wRkHqqCUFNJY4AfY3kHU/edit?usp=sharing  #gid=0"",""фіз особи new!relations_name_uo""),7,FALSE)
,
)
))"),"#N/A")</f>
        <v>#N/A</v>
      </c>
      <c r="J8020" s="7" t="s">
        <v>18</v>
      </c>
    </row>
    <row r="8021" spans="1:10" ht="13.2">
      <c r="A8021" s="7">
        <v>8020</v>
      </c>
      <c r="B8021" s="7">
        <v>1</v>
      </c>
      <c r="C8021" s="7" t="s">
        <v>10</v>
      </c>
      <c r="D8021" s="7">
        <v>9026</v>
      </c>
      <c r="E8021" s="7" t="s">
        <v>14</v>
      </c>
      <c r="F8021" s="8" t="str">
        <f ca="1">IFERROR(__xludf.DUMMYFUNCTION("IF
(
C8022=""фізична особа""
,
VLOOKUP(D8022,IMPORTRANGE(""https://docs.google.com/spreadsheets/d/14Bd19lYaqBhU8_DElYkX7l4wRkHqqCUFNJY4AfY3kHU/edit?usp=sharing  #gid=0"",""фіз особи new!relations_name""),6,FALSE)
,
(IF
(
C8022=""юридична особа""
,
VLOOKUP"&amp;"(D8022,IMPORTRANGE(""https://docs.google.com/spreadsheets/d/14Bd19lYaqBhU8_DElYkX7l4wRkHqqCUFNJY4AfY3kHU/edit?usp=sharing  #gid=0"",""фіз особи new!relations_name_uo""),7,FALSE)
,
)
))"),"КРИСТОВСЬКИЙ Володимир Євгенійович")</f>
        <v>КРИСТОВСЬКИЙ Володимир Євгенійович</v>
      </c>
      <c r="G8021" s="7" t="s">
        <v>10</v>
      </c>
      <c r="H8021" s="7">
        <v>0</v>
      </c>
      <c r="I8021" s="8" t="str">
        <f ca="1">IFERROR(__xludf.DUMMYFUNCTION("IF
(
G8022=""фізична особа""
,
VLOOKUP(H8022,IMPORTRANGE(""https://docs.google.com/spreadsheets/d/14Bd19lYaqBhU8_DElYkX7l4wRkHqqCUFNJY4AfY3kHU/edit?usp=sharing  #gid=0"",""фіз особи new!relations_name""),6,FALSE)
,
(IF
(
G8022=""юридична особа""
,
VLOOKUP"&amp;"(H8022,IMPORTRANGE(""https://docs.google.com/spreadsheets/d/14Bd19lYaqBhU8_DElYkX7l4wRkHqqCUFNJY4AfY3kHU/edit?usp=sharing  #gid=0"",""фіз особи new!relations_name_uo""),7,FALSE)
,
)
))"),"#N/A")</f>
        <v>#N/A</v>
      </c>
      <c r="J8021" s="7" t="s">
        <v>15</v>
      </c>
    </row>
    <row r="8022" spans="1:10" ht="13.2">
      <c r="A8022" s="7">
        <v>8021</v>
      </c>
      <c r="B8022" s="7">
        <v>1</v>
      </c>
      <c r="C8022" s="7" t="s">
        <v>10</v>
      </c>
      <c r="D8022" s="7">
        <v>9028</v>
      </c>
      <c r="E8022" s="7" t="s">
        <v>14</v>
      </c>
      <c r="F8022" s="8" t="str">
        <f ca="1">IFERROR(__xludf.DUMMYFUNCTION("IF
(
C8023=""фізична особа""
,
VLOOKUP(D8023,IMPORTRANGE(""https://docs.google.com/spreadsheets/d/14Bd19lYaqBhU8_DElYkX7l4wRkHqqCUFNJY4AfY3kHU/edit?usp=sharing  #gid=0"",""фіз особи new!relations_name""),6,FALSE)
,
(IF
(
C8023=""юридична особа""
,
VLOOKUP"&amp;"(D8023,IMPORTRANGE(""https://docs.google.com/spreadsheets/d/14Bd19lYaqBhU8_DElYkX7l4wRkHqqCUFNJY4AfY3kHU/edit?usp=sharing  #gid=0"",""фіз особи new!relations_name_uo""),7,FALSE)
,
)
))"),"ГАЛАНІН Сергій Юрійович")</f>
        <v>ГАЛАНІН Сергій Юрійович</v>
      </c>
      <c r="G8022" s="7" t="s">
        <v>10</v>
      </c>
      <c r="H8022" s="7">
        <v>0</v>
      </c>
      <c r="I8022" s="8" t="str">
        <f ca="1">IFERROR(__xludf.DUMMYFUNCTION("IF
(
G8023=""фізична особа""
,
VLOOKUP(H8023,IMPORTRANGE(""https://docs.google.com/spreadsheets/d/14Bd19lYaqBhU8_DElYkX7l4wRkHqqCUFNJY4AfY3kHU/edit?usp=sharing  #gid=0"",""фіз особи new!relations_name""),6,FALSE)
,
(IF
(
G8023=""юридична особа""
,
VLOOKUP"&amp;"(H8023,IMPORTRANGE(""https://docs.google.com/spreadsheets/d/14Bd19lYaqBhU8_DElYkX7l4wRkHqqCUFNJY4AfY3kHU/edit?usp=sharing  #gid=0"",""фіз особи new!relations_name_uo""),7,FALSE)
,
)
))"),"#N/A")</f>
        <v>#N/A</v>
      </c>
      <c r="J8022" s="7" t="s">
        <v>15</v>
      </c>
    </row>
    <row r="8023" spans="1:10" ht="13.2">
      <c r="A8023" s="7">
        <v>8022</v>
      </c>
      <c r="B8023" s="7">
        <v>1</v>
      </c>
      <c r="C8023" s="7" t="s">
        <v>10</v>
      </c>
      <c r="D8023" s="7">
        <v>9029</v>
      </c>
      <c r="E8023" s="7" t="s">
        <v>14</v>
      </c>
      <c r="F8023" s="8" t="str">
        <f ca="1">IFERROR(__xludf.DUMMYFUNCTION("IF
(
C8024=""фізична особа""
,
VLOOKUP(D8024,IMPORTRANGE(""https://docs.google.com/spreadsheets/d/14Bd19lYaqBhU8_DElYkX7l4wRkHqqCUFNJY4AfY3kHU/edit?usp=sharing  #gid=0"",""фіз особи new!relations_name""),6,FALSE)
,
(IF
(
C8024=""юридична особа""
,
VLOOKUP"&amp;"(D8024,IMPORTRANGE(""https://docs.google.com/spreadsheets/d/14Bd19lYaqBhU8_DElYkX7l4wRkHqqCUFNJY4AfY3kHU/edit?usp=sharing  #gid=0"",""фіз особи new!relations_name_uo""),7,FALSE)
,
)
))"),"КНАБЕНГОФ Ілля Леонович")</f>
        <v>КНАБЕНГОФ Ілля Леонович</v>
      </c>
      <c r="G8023" s="7" t="s">
        <v>10</v>
      </c>
      <c r="H8023" s="7">
        <v>0</v>
      </c>
      <c r="I8023" s="8" t="str">
        <f ca="1">IFERROR(__xludf.DUMMYFUNCTION("IF
(
G8024=""фізична особа""
,
VLOOKUP(H8024,IMPORTRANGE(""https://docs.google.com/spreadsheets/d/14Bd19lYaqBhU8_DElYkX7l4wRkHqqCUFNJY4AfY3kHU/edit?usp=sharing  #gid=0"",""фіз особи new!relations_name""),6,FALSE)
,
(IF
(
G8024=""юридична особа""
,
VLOOKUP"&amp;"(H8024,IMPORTRANGE(""https://docs.google.com/spreadsheets/d/14Bd19lYaqBhU8_DElYkX7l4wRkHqqCUFNJY4AfY3kHU/edit?usp=sharing  #gid=0"",""фіз особи new!relations_name_uo""),7,FALSE)
,
)
))"),"#N/A")</f>
        <v>#N/A</v>
      </c>
      <c r="J8023" s="7" t="s">
        <v>15</v>
      </c>
    </row>
    <row r="8024" spans="1:10" ht="13.2">
      <c r="A8024" s="7">
        <v>8023</v>
      </c>
      <c r="B8024" s="7">
        <v>1</v>
      </c>
      <c r="C8024" s="7" t="s">
        <v>10</v>
      </c>
      <c r="D8024" s="7">
        <v>9030</v>
      </c>
      <c r="E8024" s="7" t="s">
        <v>30</v>
      </c>
      <c r="F8024" s="8" t="str">
        <f ca="1">IFERROR(__xludf.DUMMYFUNCTION("IF
(
C8025=""фізична особа""
,
VLOOKUP(D8025,IMPORTRANGE(""https://docs.google.com/spreadsheets/d/14Bd19lYaqBhU8_DElYkX7l4wRkHqqCUFNJY4AfY3kHU/edit?usp=sharing  #gid=0"",""фіз особи new!relations_name""),6,FALSE)
,
(IF
(
C8025=""юридична особа""
,
VLOOKUP"&amp;"(D8025,IMPORTRANGE(""https://docs.google.com/spreadsheets/d/14Bd19lYaqBhU8_DElYkX7l4wRkHqqCUFNJY4AfY3kHU/edit?usp=sharing  #gid=0"",""фіз особи new!relations_name_uo""),7,FALSE)
,
)
))"),"РЕМЕСЛО Ілля Борисович")</f>
        <v>РЕМЕСЛО Ілля Борисович</v>
      </c>
      <c r="G8024" s="7" t="s">
        <v>10</v>
      </c>
      <c r="H8024" s="7">
        <v>2467</v>
      </c>
      <c r="I8024" s="8" t="str">
        <f ca="1">IFERROR(__xludf.DUMMYFUNCTION("IF
(
G8025=""фізична особа""
,
VLOOKUP(H8025,IMPORTRANGE(""https://docs.google.com/spreadsheets/d/14Bd19lYaqBhU8_DElYkX7l4wRkHqqCUFNJY4AfY3kHU/edit?usp=sharing  #gid=0"",""фіз особи new!relations_name""),6,FALSE)
,
(IF
(
G8025=""юридична особа""
,
VLOOKUP"&amp;"(H8025,IMPORTRANGE(""https://docs.google.com/spreadsheets/d/14Bd19lYaqBhU8_DElYkX7l4wRkHqqCUFNJY4AfY3kHU/edit?usp=sharing  #gid=0"",""фіз особи new!relations_name_uo""),7,FALSE)
,
)
))"),"ФАДЄЄВ Валерій Олександрович")</f>
        <v>ФАДЄЄВ Валерій Олександрович</v>
      </c>
      <c r="J8024" s="7" t="s">
        <v>30</v>
      </c>
    </row>
    <row r="8025" spans="1:10" ht="13.2">
      <c r="A8025" s="7">
        <v>8024</v>
      </c>
      <c r="B8025" s="7">
        <v>1</v>
      </c>
      <c r="C8025" s="7" t="s">
        <v>10</v>
      </c>
      <c r="D8025" s="7">
        <v>9031</v>
      </c>
      <c r="E8025" s="7" t="s">
        <v>28</v>
      </c>
      <c r="F8025" s="8" t="str">
        <f ca="1">IFERROR(__xludf.DUMMYFUNCTION("IF
(
C8026=""фізична особа""
,
VLOOKUP(D8026,IMPORTRANGE(""https://docs.google.com/spreadsheets/d/14Bd19lYaqBhU8_DElYkX7l4wRkHqqCUFNJY4AfY3kHU/edit?usp=sharing  #gid=0"",""фіз особи new!relations_name""),6,FALSE)
,
(IF
(
C8026=""юридична особа""
,
VLOOKUP"&amp;"(D8026,IMPORTRANGE(""https://docs.google.com/spreadsheets/d/14Bd19lYaqBhU8_DElYkX7l4wRkHqqCUFNJY4AfY3kHU/edit?usp=sharing  #gid=0"",""фіз особи new!relations_name_uo""),7,FALSE)
,
)
))"),"ПЄГОВ Семен Володимирович")</f>
        <v>ПЄГОВ Семен Володимирович</v>
      </c>
      <c r="G8025" s="7" t="s">
        <v>10</v>
      </c>
      <c r="H8025" s="7">
        <v>8610</v>
      </c>
      <c r="I8025" s="8" t="str">
        <f ca="1">IFERROR(__xludf.DUMMYFUNCTION("IF
(
G8026=""фізична особа""
,
VLOOKUP(H8026,IMPORTRANGE(""https://docs.google.com/spreadsheets/d/14Bd19lYaqBhU8_DElYkX7l4wRkHqqCUFNJY4AfY3kHU/edit?usp=sharing  #gid=0"",""фіз особи new!relations_name""),6,FALSE)
,
(IF
(
G8026=""юридична особа""
,
VLOOKUP"&amp;"(H8026,IMPORTRANGE(""https://docs.google.com/spreadsheets/d/14Bd19lYaqBhU8_DElYkX7l4wRkHqqCUFNJY4AfY3kHU/edit?usp=sharing  #gid=0"",""фіз особи new!relations_name_uo""),7,FALSE)
,
)
))"),"ГАБРЕЛЯНОВ Арам Ашотович")</f>
        <v>ГАБРЕЛЯНОВ Арам Ашотович</v>
      </c>
      <c r="J8025" s="7" t="s">
        <v>29</v>
      </c>
    </row>
    <row r="8026" spans="1:10" ht="13.2">
      <c r="A8026" s="7">
        <v>8025</v>
      </c>
      <c r="B8026" s="7">
        <v>1</v>
      </c>
      <c r="C8026" s="7" t="s">
        <v>10</v>
      </c>
      <c r="D8026" s="7">
        <v>9054</v>
      </c>
      <c r="E8026" s="7" t="s">
        <v>18</v>
      </c>
      <c r="F8026" s="8" t="str">
        <f ca="1">IFERROR(__xludf.DUMMYFUNCTION("IF
(
C8027=""фізична особа""
,
VLOOKUP(D8027,IMPORTRANGE(""https://docs.google.com/spreadsheets/d/14Bd19lYaqBhU8_DElYkX7l4wRkHqqCUFNJY4AfY3kHU/edit?usp=sharing  #gid=0"",""фіз особи new!relations_name""),6,FALSE)
,
(IF
(
C8027=""юридична особа""
,
VLOOKUP"&amp;"(D8027,IMPORTRANGE(""https://docs.google.com/spreadsheets/d/14Bd19lYaqBhU8_DElYkX7l4wRkHqqCUFNJY4AfY3kHU/edit?usp=sharing  #gid=0"",""фіз особи new!relations_name_uo""),7,FALSE)
,
)
))"),"ТАЙМАСХАНОВ Масхуд Султанович")</f>
        <v>ТАЙМАСХАНОВ Масхуд Султанович</v>
      </c>
      <c r="G8026" s="7" t="s">
        <v>10</v>
      </c>
      <c r="H8026" s="7">
        <v>0</v>
      </c>
      <c r="I8026" s="8" t="str">
        <f ca="1">IFERROR(__xludf.DUMMYFUNCTION("IF
(
G8027=""фізична особа""
,
VLOOKUP(H8027,IMPORTRANGE(""https://docs.google.com/spreadsheets/d/14Bd19lYaqBhU8_DElYkX7l4wRkHqqCUFNJY4AfY3kHU/edit?usp=sharing  #gid=0"",""фіз особи new!relations_name""),6,FALSE)
,
(IF
(
G8027=""юридична особа""
,
VLOOKUP"&amp;"(H8027,IMPORTRANGE(""https://docs.google.com/spreadsheets/d/14Bd19lYaqBhU8_DElYkX7l4wRkHqqCUFNJY4AfY3kHU/edit?usp=sharing  #gid=0"",""фіз особи new!relations_name_uo""),7,FALSE)
,
)
))"),"#N/A")</f>
        <v>#N/A</v>
      </c>
      <c r="J8026" s="7" t="s">
        <v>18</v>
      </c>
    </row>
    <row r="8027" spans="1:10" ht="13.2">
      <c r="A8027" s="7">
        <v>8026</v>
      </c>
      <c r="B8027" s="7">
        <v>1</v>
      </c>
      <c r="C8027" s="7" t="s">
        <v>10</v>
      </c>
      <c r="D8027" s="7">
        <v>9054</v>
      </c>
      <c r="E8027" s="7" t="s">
        <v>16</v>
      </c>
      <c r="F8027" s="8" t="str">
        <f ca="1">IFERROR(__xludf.DUMMYFUNCTION("IF
(
C8028=""фізична особа""
,
VLOOKUP(D8028,IMPORTRANGE(""https://docs.google.com/spreadsheets/d/14Bd19lYaqBhU8_DElYkX7l4wRkHqqCUFNJY4AfY3kHU/edit?usp=sharing  #gid=0"",""фіз особи new!relations_name""),6,FALSE)
,
(IF
(
C8028=""юридична особа""
,
VLOOKUP"&amp;"(D8028,IMPORTRANGE(""https://docs.google.com/spreadsheets/d/14Bd19lYaqBhU8_DElYkX7l4wRkHqqCUFNJY4AfY3kHU/edit?usp=sharing  #gid=0"",""фіз особи new!relations_name_uo""),7,FALSE)
,
)
))"),"ТАЙМАСХАНОВ Масхуд Султанович")</f>
        <v>ТАЙМАСХАНОВ Масхуд Султанович</v>
      </c>
      <c r="G8027" s="7" t="s">
        <v>10</v>
      </c>
      <c r="H8027" s="7">
        <v>609</v>
      </c>
      <c r="I8027" s="8" t="str">
        <f ca="1">IFERROR(__xludf.DUMMYFUNCTION("IF
(
G8028=""фізична особа""
,
VLOOKUP(H8028,IMPORTRANGE(""https://docs.google.com/spreadsheets/d/14Bd19lYaqBhU8_DElYkX7l4wRkHqqCUFNJY4AfY3kHU/edit?usp=sharing  #gid=0"",""фіз особи new!relations_name""),6,FALSE)
,
(IF
(
G8028=""юридична особа""
,
VLOOKUP"&amp;"(H8028,IMPORTRANGE(""https://docs.google.com/spreadsheets/d/14Bd19lYaqBhU8_DElYkX7l4wRkHqqCUFNJY4AfY3kHU/edit?usp=sharing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8027" s="7" t="s">
        <v>16</v>
      </c>
    </row>
    <row r="8028" spans="1:10" ht="13.2">
      <c r="A8028" s="7">
        <v>8027</v>
      </c>
      <c r="B8028" s="7">
        <v>1</v>
      </c>
      <c r="C8028" s="7" t="s">
        <v>10</v>
      </c>
      <c r="D8028" s="7">
        <v>9133</v>
      </c>
      <c r="E8028" s="7" t="s">
        <v>14</v>
      </c>
      <c r="F8028" s="8" t="str">
        <f ca="1">IFERROR(__xludf.DUMMYFUNCTION("IF
(
C8029=""фізична особа""
,
VLOOKUP(D8029,IMPORTRANGE(""https://docs.google.com/spreadsheets/d/14Bd19lYaqBhU8_DElYkX7l4wRkHqqCUFNJY4AfY3kHU/edit?usp=sharing  #gid=0"",""фіз особи new!relations_name""),6,FALSE)
,
(IF
(
C8029=""юридична особа""
,
VLOOKUP"&amp;"(D8029,IMPORTRANGE(""https://docs.google.com/spreadsheets/d/14Bd19lYaqBhU8_DElYkX7l4wRkHqqCUFNJY4AfY3kHU/edit?usp=sharing  #gid=0"",""фіз особи new!relations_name_uo""),7,FALSE)
,
)
))"),"ШЕРЯКО Дмитро Іванович")</f>
        <v>ШЕРЯКО Дмитро Іванович</v>
      </c>
      <c r="G8028" s="7" t="s">
        <v>10</v>
      </c>
      <c r="H8028" s="7">
        <v>0</v>
      </c>
      <c r="I8028" s="8" t="str">
        <f ca="1">IFERROR(__xludf.DUMMYFUNCTION("IF
(
G8029=""фізична особа""
,
VLOOKUP(H8029,IMPORTRANGE(""https://docs.google.com/spreadsheets/d/14Bd19lYaqBhU8_DElYkX7l4wRkHqqCUFNJY4AfY3kHU/edit?usp=sharing  #gid=0"",""фіз особи new!relations_name""),6,FALSE)
,
(IF
(
G8029=""юридична особа""
,
VLOOKUP"&amp;"(H8029,IMPORTRANGE(""https://docs.google.com/spreadsheets/d/14Bd19lYaqBhU8_DElYkX7l4wRkHqqCUFNJY4AfY3kHU/edit?usp=sharing  #gid=0"",""фіз особи new!relations_name_uo""),7,FALSE)
,
)
))"),"#N/A")</f>
        <v>#N/A</v>
      </c>
      <c r="J8028" s="7" t="s">
        <v>15</v>
      </c>
    </row>
    <row r="8029" spans="1:10" ht="13.2">
      <c r="A8029" s="7">
        <v>8028</v>
      </c>
      <c r="B8029" s="7">
        <v>1</v>
      </c>
      <c r="C8029" s="7" t="s">
        <v>10</v>
      </c>
      <c r="D8029" s="7">
        <v>9205</v>
      </c>
      <c r="E8029" s="7" t="s">
        <v>28</v>
      </c>
      <c r="F8029" s="8" t="str">
        <f ca="1">IFERROR(__xludf.DUMMYFUNCTION("IF
(
C8030=""фізична особа""
,
VLOOKUP(D8030,IMPORTRANGE(""https://docs.google.com/spreadsheets/d/14Bd19lYaqBhU8_DElYkX7l4wRkHqqCUFNJY4AfY3kHU/edit?usp=sharing  #gid=0"",""фіз особи new!relations_name""),6,FALSE)
,
(IF
(
C8030=""юридична особа""
,
VLOOKUP"&amp;"(D8030,IMPORTRANGE(""https://docs.google.com/spreadsheets/d/14Bd19lYaqBhU8_DElYkX7l4wRkHqqCUFNJY4AfY3kHU/edit?usp=sharing  #gid=0"",""фіз особи new!relations_name_uo""),7,FALSE)
,
)
))"),"ЯКОВЛЄВА Світлана Вячеславівна")</f>
        <v>ЯКОВЛЄВА Світлана Вячеславівна</v>
      </c>
      <c r="G8029" s="7" t="s">
        <v>10</v>
      </c>
      <c r="H8029" s="7">
        <v>2525</v>
      </c>
      <c r="I8029" s="8" t="str">
        <f ca="1">IFERROR(__xludf.DUMMYFUNCTION("IF
(
G8030=""фізична особа""
,
VLOOKUP(H8030,IMPORTRANGE(""https://docs.google.com/spreadsheets/d/14Bd19lYaqBhU8_DElYkX7l4wRkHqqCUFNJY4AfY3kHU/edit?usp=sharing  #gid=0"",""фіз особи new!relations_name""),6,FALSE)
,
(IF
(
G8030=""юридична особа""
,
VLOOKUP"&amp;"(H8030,IMPORTRANGE(""https://docs.google.com/spreadsheets/d/14Bd19lYaqBhU8_DElYkX7l4wRkHqqCUFNJY4AfY3kHU/edit?usp=sharing  #gid=0"",""фіз особи new!relations_name_uo""),7,FALSE)
,
)
))"),"ОРЛОВ Василь Олександрович")</f>
        <v>ОРЛОВ Василь Олександрович</v>
      </c>
      <c r="J8029" s="7" t="s">
        <v>29</v>
      </c>
    </row>
    <row r="8030" spans="1:10" ht="13.2">
      <c r="A8030" s="7">
        <v>8029</v>
      </c>
      <c r="B8030" s="7">
        <v>1</v>
      </c>
      <c r="C8030" s="7" t="s">
        <v>10</v>
      </c>
      <c r="D8030" s="7">
        <v>9205</v>
      </c>
      <c r="E8030" s="7" t="s">
        <v>28</v>
      </c>
      <c r="F8030" s="8" t="str">
        <f ca="1">IFERROR(__xludf.DUMMYFUNCTION("IF
(
C8031=""фізична особа""
,
VLOOKUP(D8031,IMPORTRANGE(""https://docs.google.com/spreadsheets/d/14Bd19lYaqBhU8_DElYkX7l4wRkHqqCUFNJY4AfY3kHU/edit?usp=sharing  #gid=0"",""фіз особи new!relations_name""),6,FALSE)
,
(IF
(
C8031=""юридична особа""
,
VLOOKUP"&amp;"(D8031,IMPORTRANGE(""https://docs.google.com/spreadsheets/d/14Bd19lYaqBhU8_DElYkX7l4wRkHqqCUFNJY4AfY3kHU/edit?usp=sharing  #gid=0"",""фіз особи new!relations_name_uo""),7,FALSE)
,
)
))"),"ЯКОВЛЄВА Світлана Вячеславівна")</f>
        <v>ЯКОВЛЄВА Світлана Вячеславівна</v>
      </c>
      <c r="G8030" s="7" t="s">
        <v>10</v>
      </c>
      <c r="H8030" s="7">
        <v>3058</v>
      </c>
      <c r="I8030" s="8" t="str">
        <f ca="1">IFERROR(__xludf.DUMMYFUNCTION("IF
(
G8031=""фізична особа""
,
VLOOKUP(H8031,IMPORTRANGE(""https://docs.google.com/spreadsheets/d/14Bd19lYaqBhU8_DElYkX7l4wRkHqqCUFNJY4AfY3kHU/edit?usp=sharing  #gid=0"",""фіз особи new!relations_name""),6,FALSE)
,
(IF
(
G8031=""юридична особа""
,
VLOOKUP"&amp;"(H8031,IMPORTRANGE(""https://docs.google.com/spreadsheets/d/14Bd19lYaqBhU8_DElYkX7l4wRkHqqCUFNJY4AfY3kHU/edit?usp=sharing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0" s="7" t="s">
        <v>29</v>
      </c>
    </row>
    <row r="8031" spans="1:10" ht="13.2">
      <c r="A8031" s="7">
        <v>8030</v>
      </c>
      <c r="B8031" s="7">
        <v>1</v>
      </c>
      <c r="C8031" s="7" t="s">
        <v>10</v>
      </c>
      <c r="D8031" s="7">
        <v>9208</v>
      </c>
      <c r="E8031" s="7" t="s">
        <v>28</v>
      </c>
      <c r="F8031" s="8" t="str">
        <f ca="1">IFERROR(__xludf.DUMMYFUNCTION("IF
(
C8032=""фізична особа""
,
VLOOKUP(D8032,IMPORTRANGE(""https://docs.google.com/spreadsheets/d/14Bd19lYaqBhU8_DElYkX7l4wRkHqqCUFNJY4AfY3kHU/edit?usp=sharing  #gid=0"",""фіз особи new!relations_name""),6,FALSE)
,
(IF
(
C8032=""юридична особа""
,
VLOOKUP"&amp;"(D8032,IMPORTRANGE(""https://docs.google.com/spreadsheets/d/14Bd19lYaqBhU8_DElYkX7l4wRkHqqCUFNJY4AfY3kHU/edit?usp=sharing  #gid=0"",""фіз особи new!relations_name_uo""),7,FALSE)
,
)
))"),"МІЛЬОХІН Андрій Вікторович")</f>
        <v>МІЛЬОХІН Андрій Вікторович</v>
      </c>
      <c r="G8031" s="7" t="s">
        <v>10</v>
      </c>
      <c r="H8031" s="7">
        <v>2528</v>
      </c>
      <c r="I8031" s="8" t="str">
        <f ca="1">IFERROR(__xludf.DUMMYFUNCTION("IF
(
G8032=""фізична особа""
,
VLOOKUP(H8032,IMPORTRANGE(""https://docs.google.com/spreadsheets/d/14Bd19lYaqBhU8_DElYkX7l4wRkHqqCUFNJY4AfY3kHU/edit?usp=sharing  #gid=0"",""фіз особи new!relations_name""),6,FALSE)
,
(IF
(
G8032=""юридична особа""
,
VLOOKUP"&amp;"(H8032,IMPORTRANGE(""https://docs.google.com/spreadsheets/d/14Bd19lYaqBhU8_DElYkX7l4wRkHqqCUFNJY4AfY3kHU/edit?usp=sharing  #gid=0"",""фіз особи new!relations_name_uo""),7,FALSE)
,
)
))"),"ГЛАДКОВ Вячеслав Володимирович")</f>
        <v>ГЛАДКОВ Вячеслав Володимирович</v>
      </c>
      <c r="J8031" s="7" t="s">
        <v>29</v>
      </c>
    </row>
    <row r="8032" spans="1:10" ht="13.2">
      <c r="A8032" s="7">
        <v>8031</v>
      </c>
      <c r="B8032" s="7">
        <v>1</v>
      </c>
      <c r="C8032" s="7" t="s">
        <v>10</v>
      </c>
      <c r="D8032" s="7">
        <v>9211</v>
      </c>
      <c r="E8032" s="7" t="s">
        <v>28</v>
      </c>
      <c r="F8032" s="8" t="str">
        <f ca="1">IFERROR(__xludf.DUMMYFUNCTION("IF
(
C8033=""фізична особа""
,
VLOOKUP(D8033,IMPORTRANGE(""https://docs.google.com/spreadsheets/d/14Bd19lYaqBhU8_DElYkX7l4wRkHqqCUFNJY4AfY3kHU/edit?usp=sharing  #gid=0"",""фіз особи new!relations_name""),6,FALSE)
,
(IF
(
C8033=""юридична особа""
,
VLOOKUP"&amp;"(D8033,IMPORTRANGE(""https://docs.google.com/spreadsheets/d/14Bd19lYaqBhU8_DElYkX7l4wRkHqqCUFNJY4AfY3kHU/edit?usp=sharing  #gid=0"",""фіз особи new!relations_name_uo""),7,FALSE)
,
)
))"),"САВІНА Лариса Михайлівна")</f>
        <v>САВІНА Лариса Михайлівна</v>
      </c>
      <c r="G8032" s="7" t="s">
        <v>10</v>
      </c>
      <c r="H8032" s="7">
        <v>3058</v>
      </c>
      <c r="I8032" s="8" t="str">
        <f ca="1">IFERROR(__xludf.DUMMYFUNCTION("IF
(
G8033=""фізична особа""
,
VLOOKUP(H8033,IMPORTRANGE(""https://docs.google.com/spreadsheets/d/14Bd19lYaqBhU8_DElYkX7l4wRkHqqCUFNJY4AfY3kHU/edit?usp=sharing  #gid=0"",""фіз особи new!relations_name""),6,FALSE)
,
(IF
(
G8033=""юридична особа""
,
VLOOKUP"&amp;"(H8033,IMPORTRANGE(""https://docs.google.com/spreadsheets/d/14Bd19lYaqBhU8_DElYkX7l4wRkHqqCUFNJY4AfY3kHU/edit?usp=sharing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2" s="7" t="s">
        <v>29</v>
      </c>
    </row>
    <row r="8033" spans="1:10" ht="13.2">
      <c r="A8033" s="7">
        <v>8032</v>
      </c>
      <c r="B8033" s="7">
        <v>1</v>
      </c>
      <c r="C8033" s="7" t="s">
        <v>10</v>
      </c>
      <c r="D8033" s="7">
        <v>9213</v>
      </c>
      <c r="E8033" s="7" t="s">
        <v>28</v>
      </c>
      <c r="F8033" s="8" t="str">
        <f ca="1">IFERROR(__xludf.DUMMYFUNCTION("IF
(
C8034=""фізична особа""
,
VLOOKUP(D8034,IMPORTRANGE(""https://docs.google.com/spreadsheets/d/14Bd19lYaqBhU8_DElYkX7l4wRkHqqCUFNJY4AfY3kHU/edit?usp=sharing  #gid=0"",""фіз особи new!relations_name""),6,FALSE)
,
(IF
(
C8034=""юридична особа""
,
VLOOKUP"&amp;"(D8034,IMPORTRANGE(""https://docs.google.com/spreadsheets/d/14Bd19lYaqBhU8_DElYkX7l4wRkHqqCUFNJY4AfY3kHU/edit?usp=sharing  #gid=0"",""фіз особи new!relations_name_uo""),7,FALSE)
,
)
))"),"САЛОГУБОВА Наталія Валеріївна")</f>
        <v>САЛОГУБОВА Наталія Валеріївна</v>
      </c>
      <c r="G8033" s="7" t="s">
        <v>10</v>
      </c>
      <c r="H8033" s="7">
        <v>3058</v>
      </c>
      <c r="I8033" s="8" t="str">
        <f ca="1">IFERROR(__xludf.DUMMYFUNCTION("IF
(
G8034=""фізична особа""
,
VLOOKUP(H8034,IMPORTRANGE(""https://docs.google.com/spreadsheets/d/14Bd19lYaqBhU8_DElYkX7l4wRkHqqCUFNJY4AfY3kHU/edit?usp=sharing  #gid=0"",""фіз особи new!relations_name""),6,FALSE)
,
(IF
(
G8034=""юридична особа""
,
VLOOKUP"&amp;"(H8034,IMPORTRANGE(""https://docs.google.com/spreadsheets/d/14Bd19lYaqBhU8_DElYkX7l4wRkHqqCUFNJY4AfY3kHU/edit?usp=sharing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3" s="7" t="s">
        <v>29</v>
      </c>
    </row>
    <row r="8034" spans="1:10" ht="13.2">
      <c r="A8034" s="7">
        <v>8033</v>
      </c>
      <c r="B8034" s="7">
        <v>1</v>
      </c>
      <c r="C8034" s="7" t="s">
        <v>10</v>
      </c>
      <c r="D8034" s="7">
        <v>9215</v>
      </c>
      <c r="E8034" s="7" t="s">
        <v>28</v>
      </c>
      <c r="F8034" s="8" t="str">
        <f ca="1">IFERROR(__xludf.DUMMYFUNCTION("IF
(
C8035=""фізична особа""
,
VLOOKUP(D8035,IMPORTRANGE(""https://docs.google.com/spreadsheets/d/14Bd19lYaqBhU8_DElYkX7l4wRkHqqCUFNJY4AfY3kHU/edit?usp=sharing  #gid=0"",""фіз особи new!relations_name""),6,FALSE)
,
(IF
(
C8035=""юридична особа""
,
VLOOKUP"&amp;"(D8035,IMPORTRANGE(""https://docs.google.com/spreadsheets/d/14Bd19lYaqBhU8_DElYkX7l4wRkHqqCUFNJY4AfY3kHU/edit?usp=sharing  #gid=0"",""фіз особи new!relations_name_uo""),7,FALSE)
,
)
))"),"АНТОНОВА Ольга Генріхівна")</f>
        <v>АНТОНОВА Ольга Генріхівна</v>
      </c>
      <c r="G8034" s="7" t="s">
        <v>10</v>
      </c>
      <c r="H8034" s="7">
        <v>3058</v>
      </c>
      <c r="I8034" s="8" t="str">
        <f ca="1">IFERROR(__xludf.DUMMYFUNCTION("IF
(
G8035=""фізична особа""
,
VLOOKUP(H8035,IMPORTRANGE(""https://docs.google.com/spreadsheets/d/14Bd19lYaqBhU8_DElYkX7l4wRkHqqCUFNJY4AfY3kHU/edit?usp=sharing  #gid=0"",""фіз особи new!relations_name""),6,FALSE)
,
(IF
(
G8035=""юридична особа""
,
VLOOKUP"&amp;"(H8035,IMPORTRANGE(""https://docs.google.com/spreadsheets/d/14Bd19lYaqBhU8_DElYkX7l4wRkHqqCUFNJY4AfY3kHU/edit?usp=sharing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4" s="7" t="s">
        <v>29</v>
      </c>
    </row>
    <row r="8035" spans="1:10" ht="13.2">
      <c r="A8035" s="7">
        <v>8034</v>
      </c>
      <c r="B8035" s="7">
        <v>1</v>
      </c>
      <c r="C8035" s="7" t="s">
        <v>10</v>
      </c>
      <c r="D8035" s="7">
        <v>9217</v>
      </c>
      <c r="E8035" s="7" t="s">
        <v>15</v>
      </c>
      <c r="F8035" s="8" t="str">
        <f ca="1">IFERROR(__xludf.DUMMYFUNCTION("IF
(
C8036=""фізична особа""
,
VLOOKUP(D8036,IMPORTRANGE(""https://docs.google.com/spreadsheets/d/14Bd19lYaqBhU8_DElYkX7l4wRkHqqCUFNJY4AfY3kHU/edit?usp=sharing  #gid=0"",""фіз особи new!relations_name""),6,FALSE)
,
(IF
(
C8036=""юридична особа""
,
VLOOKUP"&amp;"(D8036,IMPORTRANGE(""https://docs.google.com/spreadsheets/d/14Bd19lYaqBhU8_DElYkX7l4wRkHqqCUFNJY4AfY3kHU/edit?usp=sharing  #gid=0"",""фіз особи new!relations_name_uo""),7,FALSE)
,
)
))"),"ТРУСЕНЬОВА Світлана Сергіївна")</f>
        <v>ТРУСЕНЬОВА Світлана Сергіївна</v>
      </c>
      <c r="G8035" s="7" t="s">
        <v>10</v>
      </c>
      <c r="H8035" s="7">
        <v>0</v>
      </c>
      <c r="I8035" s="8" t="str">
        <f ca="1">IFERROR(__xludf.DUMMYFUNCTION("IF
(
G8036=""фізична особа""
,
VLOOKUP(H8036,IMPORTRANGE(""https://docs.google.com/spreadsheets/d/14Bd19lYaqBhU8_DElYkX7l4wRkHqqCUFNJY4AfY3kHU/edit?usp=sharing  #gid=0"",""фіз особи new!relations_name""),6,FALSE)
,
(IF
(
G8036=""юридична особа""
,
VLOOKUP"&amp;"(H8036,IMPORTRANGE(""https://docs.google.com/spreadsheets/d/14Bd19lYaqBhU8_DElYkX7l4wRkHqqCUFNJY4AfY3kHU/edit?usp=sharing  #gid=0"",""фіз особи new!relations_name_uo""),7,FALSE)
,
)
))"),"#N/A")</f>
        <v>#N/A</v>
      </c>
      <c r="J8035" s="7" t="s">
        <v>14</v>
      </c>
    </row>
    <row r="8036" spans="1:10" ht="13.2">
      <c r="A8036" s="7">
        <v>8035</v>
      </c>
      <c r="B8036" s="7">
        <v>1</v>
      </c>
      <c r="C8036" s="7" t="s">
        <v>10</v>
      </c>
      <c r="D8036" s="7">
        <v>9217</v>
      </c>
      <c r="E8036" s="7" t="s">
        <v>21</v>
      </c>
      <c r="F8036" s="8" t="str">
        <f ca="1">IFERROR(__xludf.DUMMYFUNCTION("IF
(
C8037=""фізична особа""
,
VLOOKUP(D8037,IMPORTRANGE(""https://docs.google.com/spreadsheets/d/14Bd19lYaqBhU8_DElYkX7l4wRkHqqCUFNJY4AfY3kHU/edit?usp=sharing  #gid=0"",""фіз особи new!relations_name""),6,FALSE)
,
(IF
(
C8037=""юридична особа""
,
VLOOKUP"&amp;"(D8037,IMPORTRANGE(""https://docs.google.com/spreadsheets/d/14Bd19lYaqBhU8_DElYkX7l4wRkHqqCUFNJY4AfY3kHU/edit?usp=sharing  #gid=0"",""фіз особи new!relations_name_uo""),7,FALSE)
,
)
))"),"ТРУСЕНЬОВА Світлана Сергіївна")</f>
        <v>ТРУСЕНЬОВА Світлана Сергіївна</v>
      </c>
      <c r="G8036" s="7" t="s">
        <v>10</v>
      </c>
      <c r="H8036" s="7">
        <v>0</v>
      </c>
      <c r="I8036" s="8" t="str">
        <f ca="1">IFERROR(__xludf.DUMMYFUNCTION("IF
(
G8037=""фізична особа""
,
VLOOKUP(H8037,IMPORTRANGE(""https://docs.google.com/spreadsheets/d/14Bd19lYaqBhU8_DElYkX7l4wRkHqqCUFNJY4AfY3kHU/edit?usp=sharing  #gid=0"",""фіз особи new!relations_name""),6,FALSE)
,
(IF
(
G8037=""юридична особа""
,
VLOOKUP"&amp;"(H8037,IMPORTRANGE(""https://docs.google.com/spreadsheets/d/14Bd19lYaqBhU8_DElYkX7l4wRkHqqCUFNJY4AfY3kHU/edit?usp=sharing  #gid=0"",""фіз особи new!relations_name_uo""),7,FALSE)
,
)
))"),"#N/A")</f>
        <v>#N/A</v>
      </c>
      <c r="J8036" s="7" t="s">
        <v>13</v>
      </c>
    </row>
    <row r="8037" spans="1:10" ht="13.2">
      <c r="A8037" s="7">
        <v>8036</v>
      </c>
      <c r="B8037" s="7">
        <v>1</v>
      </c>
      <c r="C8037" s="7" t="s">
        <v>10</v>
      </c>
      <c r="D8037" s="7">
        <v>9217</v>
      </c>
      <c r="E8037" s="7" t="s">
        <v>30</v>
      </c>
      <c r="F8037" s="8" t="str">
        <f ca="1">IFERROR(__xludf.DUMMYFUNCTION("IF
(
C8038=""фізична особа""
,
VLOOKUP(D8038,IMPORTRANGE(""https://docs.google.com/spreadsheets/d/14Bd19lYaqBhU8_DElYkX7l4wRkHqqCUFNJY4AfY3kHU/edit?usp=sharing  #gid=0"",""фіз особи new!relations_name""),6,FALSE)
,
(IF
(
C8038=""юридична особа""
,
VLOOKUP"&amp;"(D8038,IMPORTRANGE(""https://docs.google.com/spreadsheets/d/14Bd19lYaqBhU8_DElYkX7l4wRkHqqCUFNJY4AfY3kHU/edit?usp=sharing  #gid=0"",""фіз особи new!relations_name_uo""),7,FALSE)
,
)
))"),"ТРУСЕНЬОВА Світлана Сергіївна")</f>
        <v>ТРУСЕНЬОВА Світлана Сергіївна</v>
      </c>
      <c r="G8037" s="7" t="s">
        <v>10</v>
      </c>
      <c r="H8037" s="7">
        <v>0</v>
      </c>
      <c r="I8037" s="8" t="str">
        <f ca="1">IFERROR(__xludf.DUMMYFUNCTION("IF
(
G8038=""фізична особа""
,
VLOOKUP(H8038,IMPORTRANGE(""https://docs.google.com/spreadsheets/d/14Bd19lYaqBhU8_DElYkX7l4wRkHqqCUFNJY4AfY3kHU/edit?usp=sharing  #gid=0"",""фіз особи new!relations_name""),6,FALSE)
,
(IF
(
G8038=""юридична особа""
,
VLOOKUP"&amp;"(H8038,IMPORTRANGE(""https://docs.google.com/spreadsheets/d/14Bd19lYaqBhU8_DElYkX7l4wRkHqqCUFNJY4AfY3kHU/edit?usp=sharing  #gid=0"",""фіз особи new!relations_name_uo""),7,FALSE)
,
)
))"),"#N/A")</f>
        <v>#N/A</v>
      </c>
      <c r="J8037" s="7" t="s">
        <v>30</v>
      </c>
    </row>
    <row r="8038" spans="1:10" ht="13.2">
      <c r="A8038" s="7">
        <v>8037</v>
      </c>
      <c r="B8038" s="7">
        <v>1</v>
      </c>
      <c r="C8038" s="7" t="s">
        <v>10</v>
      </c>
      <c r="D8038" s="7">
        <v>9218</v>
      </c>
      <c r="E8038" s="7" t="s">
        <v>28</v>
      </c>
      <c r="F8038" s="8" t="str">
        <f ca="1">IFERROR(__xludf.DUMMYFUNCTION("IF
(
C8039=""фізична особа""
,
VLOOKUP(D8039,IMPORTRANGE(""https://docs.google.com/spreadsheets/d/14Bd19lYaqBhU8_DElYkX7l4wRkHqqCUFNJY4AfY3kHU/edit?usp=sharing  #gid=0"",""фіз особи new!relations_name""),6,FALSE)
,
(IF
(
C8039=""юридична особа""
,
VLOOKUP"&amp;"(D8039,IMPORTRANGE(""https://docs.google.com/spreadsheets/d/14Bd19lYaqBhU8_DElYkX7l4wRkHqqCUFNJY4AfY3kHU/edit?usp=sharing  #gid=0"",""фіз особи new!relations_name_uo""),7,FALSE)
,
)
))"),"АНИКЕЄВ Олександр Сергійович")</f>
        <v>АНИКЕЄВ Олександр Сергійович</v>
      </c>
      <c r="G8038" s="7" t="s">
        <v>10</v>
      </c>
      <c r="H8038" s="7">
        <v>3058</v>
      </c>
      <c r="I8038" s="8" t="str">
        <f ca="1">IFERROR(__xludf.DUMMYFUNCTION("IF
(
G8039=""фізична особа""
,
VLOOKUP(H8039,IMPORTRANGE(""https://docs.google.com/spreadsheets/d/14Bd19lYaqBhU8_DElYkX7l4wRkHqqCUFNJY4AfY3kHU/edit?usp=sharing  #gid=0"",""фіз особи new!relations_name""),6,FALSE)
,
(IF
(
G8039=""юридична особа""
,
VLOOKUP"&amp;"(H8039,IMPORTRANGE(""https://docs.google.com/spreadsheets/d/14Bd19lYaqBhU8_DElYkX7l4wRkHqqCUFNJY4AfY3kHU/edit?usp=sharing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8" s="7" t="s">
        <v>29</v>
      </c>
    </row>
    <row r="8039" spans="1:10" ht="13.2">
      <c r="A8039" s="7">
        <v>8038</v>
      </c>
      <c r="B8039" s="7">
        <v>1</v>
      </c>
      <c r="C8039" s="7" t="s">
        <v>10</v>
      </c>
      <c r="D8039" s="7">
        <v>9223</v>
      </c>
      <c r="E8039" s="7" t="s">
        <v>28</v>
      </c>
      <c r="F8039" s="8" t="str">
        <f ca="1">IFERROR(__xludf.DUMMYFUNCTION("IF
(
C8040=""фізична особа""
,
VLOOKUP(D8040,IMPORTRANGE(""https://docs.google.com/spreadsheets/d/14Bd19lYaqBhU8_DElYkX7l4wRkHqqCUFNJY4AfY3kHU/edit?usp=sharing  #gid=0"",""фіз особи new!relations_name""),6,FALSE)
,
(IF
(
C8040=""юридична особа""
,
VLOOKUP"&amp;"(D8040,IMPORTRANGE(""https://docs.google.com/spreadsheets/d/14Bd19lYaqBhU8_DElYkX7l4wRkHqqCUFNJY4AfY3kHU/edit?usp=sharing  #gid=0"",""фіз особи new!relations_name_uo""),7,FALSE)
,
)
))"),"ВОРОБЙОВА Олена Вікторівна")</f>
        <v>ВОРОБЙОВА Олена Вікторівна</v>
      </c>
      <c r="G8039" s="7" t="s">
        <v>10</v>
      </c>
      <c r="H8039" s="7">
        <v>3058</v>
      </c>
      <c r="I8039" s="8" t="str">
        <f ca="1">IFERROR(__xludf.DUMMYFUNCTION("IF
(
G8040=""фізична особа""
,
VLOOKUP(H8040,IMPORTRANGE(""https://docs.google.com/spreadsheets/d/14Bd19lYaqBhU8_DElYkX7l4wRkHqqCUFNJY4AfY3kHU/edit?usp=sharing  #gid=0"",""фіз особи new!relations_name""),6,FALSE)
,
(IF
(
G8040=""юридична особа""
,
VLOOKUP"&amp;"(H8040,IMPORTRANGE(""https://docs.google.com/spreadsheets/d/14Bd19lYaqBhU8_DElYkX7l4wRkHqqCUFNJY4AfY3kHU/edit?usp=sharing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39" s="7" t="s">
        <v>29</v>
      </c>
    </row>
    <row r="8040" spans="1:10" ht="13.2">
      <c r="A8040" s="7">
        <v>8039</v>
      </c>
      <c r="B8040" s="7">
        <v>1</v>
      </c>
      <c r="C8040" s="7" t="s">
        <v>10</v>
      </c>
      <c r="D8040" s="7">
        <v>9225</v>
      </c>
      <c r="E8040" s="7" t="s">
        <v>12</v>
      </c>
      <c r="F8040" s="8" t="str">
        <f ca="1">IFERROR(__xludf.DUMMYFUNCTION("IF
(
C8041=""фізична особа""
,
VLOOKUP(D8041,IMPORTRANGE(""https://docs.google.com/spreadsheets/d/14Bd19lYaqBhU8_DElYkX7l4wRkHqqCUFNJY4AfY3kHU/edit?usp=sharing  #gid=0"",""фіз особи new!relations_name""),6,FALSE)
,
(IF
(
C8041=""юридична особа""
,
VLOOKUP"&amp;"(D8041,IMPORTRANGE(""https://docs.google.com/spreadsheets/d/14Bd19lYaqBhU8_DElYkX7l4wRkHqqCUFNJY4AfY3kHU/edit?usp=sharing  #gid=0"",""фіз особи new!relations_name_uo""),7,FALSE)
,
)
))"),"КОЧЕРОВ Андрій Борисович")</f>
        <v>КОЧЕРОВ Андрій Борисович</v>
      </c>
      <c r="G8040" s="7" t="s">
        <v>10</v>
      </c>
      <c r="H8040" s="7">
        <v>0</v>
      </c>
      <c r="I8040" s="8" t="str">
        <f ca="1">IFERROR(__xludf.DUMMYFUNCTION("IF
(
G8041=""фізична особа""
,
VLOOKUP(H8041,IMPORTRANGE(""https://docs.google.com/spreadsheets/d/14Bd19lYaqBhU8_DElYkX7l4wRkHqqCUFNJY4AfY3kHU/edit?usp=sharing  #gid=0"",""фіз особи new!relations_name""),6,FALSE)
,
(IF
(
G8041=""юридична особа""
,
VLOOKUP"&amp;"(H8041,IMPORTRANGE(""https://docs.google.com/spreadsheets/d/14Bd19lYaqBhU8_DElYkX7l4wRkHqqCUFNJY4AfY3kHU/edit?usp=sharing  #gid=0"",""фіз особи new!relations_name_uo""),7,FALSE)
,
)
))"),"#N/A")</f>
        <v>#N/A</v>
      </c>
      <c r="J8040" s="7" t="s">
        <v>17</v>
      </c>
    </row>
    <row r="8041" spans="1:10" ht="13.2">
      <c r="A8041" s="7">
        <v>8040</v>
      </c>
      <c r="B8041" s="7">
        <v>1</v>
      </c>
      <c r="C8041" s="7" t="s">
        <v>10</v>
      </c>
      <c r="D8041" s="7">
        <v>9232</v>
      </c>
      <c r="E8041" s="7" t="s">
        <v>28</v>
      </c>
      <c r="F8041" s="8" t="str">
        <f ca="1">IFERROR(__xludf.DUMMYFUNCTION("IF
(
C8042=""фізична особа""
,
VLOOKUP(D8042,IMPORTRANGE(""https://docs.google.com/spreadsheets/d/14Bd19lYaqBhU8_DElYkX7l4wRkHqqCUFNJY4AfY3kHU/edit?usp=sharing  #gid=0"",""фіз особи new!relations_name""),6,FALSE)
,
(IF
(
C8042=""юридична особа""
,
VLOOKUP"&amp;"(D8042,IMPORTRANGE(""https://docs.google.com/spreadsheets/d/14Bd19lYaqBhU8_DElYkX7l4wRkHqqCUFNJY4AfY3kHU/edit?usp=sharing  #gid=0"",""фіз особи new!relations_name_uo""),7,FALSE)
,
)
))"),"ПУСТОВАЛОВ Антон Геннадійович")</f>
        <v>ПУСТОВАЛОВ Антон Геннадійович</v>
      </c>
      <c r="G8041" s="7" t="s">
        <v>10</v>
      </c>
      <c r="H8041" s="7">
        <v>3058</v>
      </c>
      <c r="I8041" s="8" t="str">
        <f ca="1">IFERROR(__xludf.DUMMYFUNCTION("IF
(
G8042=""фізична особа""
,
VLOOKUP(H8042,IMPORTRANGE(""https://docs.google.com/spreadsheets/d/14Bd19lYaqBhU8_DElYkX7l4wRkHqqCUFNJY4AfY3kHU/edit?usp=sharing  #gid=0"",""фіз особи new!relations_name""),6,FALSE)
,
(IF
(
G8042=""юридична особа""
,
VLOOKUP"&amp;"(H8042,IMPORTRANGE(""https://docs.google.com/spreadsheets/d/14Bd19lYaqBhU8_DElYkX7l4wRkHqqCUFNJY4AfY3kHU/edit?usp=sharing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1" s="7" t="s">
        <v>29</v>
      </c>
    </row>
    <row r="8042" spans="1:10" ht="13.2">
      <c r="A8042" s="7">
        <v>8041</v>
      </c>
      <c r="B8042" s="7">
        <v>1</v>
      </c>
      <c r="C8042" s="7" t="s">
        <v>10</v>
      </c>
      <c r="D8042" s="7">
        <v>9233</v>
      </c>
      <c r="E8042" s="7" t="s">
        <v>28</v>
      </c>
      <c r="F8042" s="8" t="str">
        <f ca="1">IFERROR(__xludf.DUMMYFUNCTION("IF
(
C8043=""фізична особа""
,
VLOOKUP(D8043,IMPORTRANGE(""https://docs.google.com/spreadsheets/d/14Bd19lYaqBhU8_DElYkX7l4wRkHqqCUFNJY4AfY3kHU/edit?usp=sharing  #gid=0"",""фіз особи new!relations_name""),6,FALSE)
,
(IF
(
C8043=""юридична особа""
,
VLOOKUP"&amp;"(D8043,IMPORTRANGE(""https://docs.google.com/spreadsheets/d/14Bd19lYaqBhU8_DElYkX7l4wRkHqqCUFNJY4AfY3kHU/edit?usp=sharing  #gid=0"",""фіз особи new!relations_name_uo""),7,FALSE)
,
)
))"),"ПЕТРОВА Ольга Вікторівна")</f>
        <v>ПЕТРОВА Ольга Вікторівна</v>
      </c>
      <c r="G8042" s="7" t="s">
        <v>10</v>
      </c>
      <c r="H8042" s="7">
        <v>3058</v>
      </c>
      <c r="I8042" s="8" t="str">
        <f ca="1">IFERROR(__xludf.DUMMYFUNCTION("IF
(
G8043=""фізична особа""
,
VLOOKUP(H8043,IMPORTRANGE(""https://docs.google.com/spreadsheets/d/14Bd19lYaqBhU8_DElYkX7l4wRkHqqCUFNJY4AfY3kHU/edit?usp=sharing  #gid=0"",""фіз особи new!relations_name""),6,FALSE)
,
(IF
(
G8043=""юридична особа""
,
VLOOKUP"&amp;"(H8043,IMPORTRANGE(""https://docs.google.com/spreadsheets/d/14Bd19lYaqBhU8_DElYkX7l4wRkHqqCUFNJY4AfY3kHU/edit?usp=sharing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2" s="7" t="s">
        <v>29</v>
      </c>
    </row>
    <row r="8043" spans="1:10" ht="13.2">
      <c r="A8043" s="7">
        <v>8042</v>
      </c>
      <c r="B8043" s="7">
        <v>1</v>
      </c>
      <c r="C8043" s="7" t="s">
        <v>10</v>
      </c>
      <c r="D8043" s="7">
        <v>9235</v>
      </c>
      <c r="E8043" s="7" t="s">
        <v>28</v>
      </c>
      <c r="F8043" s="8" t="str">
        <f ca="1">IFERROR(__xludf.DUMMYFUNCTION("IF
(
C8044=""фізична особа""
,
VLOOKUP(D8044,IMPORTRANGE(""https://docs.google.com/spreadsheets/d/14Bd19lYaqBhU8_DElYkX7l4wRkHqqCUFNJY4AfY3kHU/edit?usp=sharing  #gid=0"",""фіз особи new!relations_name""),6,FALSE)
,
(IF
(
C8044=""юридична особа""
,
VLOOKUP"&amp;"(D8044,IMPORTRANGE(""https://docs.google.com/spreadsheets/d/14Bd19lYaqBhU8_DElYkX7l4wRkHqqCUFNJY4AfY3kHU/edit?usp=sharing  #gid=0"",""фіз особи new!relations_name_uo""),7,FALSE)
,
)
))"),"ФЕДОРЧУК Сергій Володимирович")</f>
        <v>ФЕДОРЧУК Сергій Володимирович</v>
      </c>
      <c r="G8043" s="7" t="s">
        <v>10</v>
      </c>
      <c r="H8043" s="7">
        <v>3058</v>
      </c>
      <c r="I8043" s="8" t="str">
        <f ca="1">IFERROR(__xludf.DUMMYFUNCTION("IF
(
G8044=""фізична особа""
,
VLOOKUP(H8044,IMPORTRANGE(""https://docs.google.com/spreadsheets/d/14Bd19lYaqBhU8_DElYkX7l4wRkHqqCUFNJY4AfY3kHU/edit?usp=sharing  #gid=0"",""фіз особи new!relations_name""),6,FALSE)
,
(IF
(
G8044=""юридична особа""
,
VLOOKUP"&amp;"(H8044,IMPORTRANGE(""https://docs.google.com/spreadsheets/d/14Bd19lYaqBhU8_DElYkX7l4wRkHqqCUFNJY4AfY3kHU/edit?usp=sharing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3" s="7" t="s">
        <v>29</v>
      </c>
    </row>
    <row r="8044" spans="1:10" ht="13.2">
      <c r="A8044" s="7">
        <v>8043</v>
      </c>
      <c r="B8044" s="7">
        <v>1</v>
      </c>
      <c r="C8044" s="7" t="s">
        <v>10</v>
      </c>
      <c r="D8044" s="7">
        <v>9242</v>
      </c>
      <c r="E8044" s="7" t="s">
        <v>28</v>
      </c>
      <c r="F8044" s="8" t="str">
        <f ca="1">IFERROR(__xludf.DUMMYFUNCTION("IF
(
C8045=""фізична особа""
,
VLOOKUP(D8045,IMPORTRANGE(""https://docs.google.com/spreadsheets/d/14Bd19lYaqBhU8_DElYkX7l4wRkHqqCUFNJY4AfY3kHU/edit?usp=sharing  #gid=0"",""фіз особи new!relations_name""),6,FALSE)
,
(IF
(
C8045=""юридична особа""
,
VLOOKUP"&amp;"(D8045,IMPORTRANGE(""https://docs.google.com/spreadsheets/d/14Bd19lYaqBhU8_DElYkX7l4wRkHqqCUFNJY4AfY3kHU/edit?usp=sharing  #gid=0"",""фіз особи new!relations_name_uo""),7,FALSE)
,
)
))"),"ЯКИМОВА Наталія Володимирівна")</f>
        <v>ЯКИМОВА Наталія Володимирівна</v>
      </c>
      <c r="G8044" s="7" t="s">
        <v>10</v>
      </c>
      <c r="H8044" s="7">
        <v>3058</v>
      </c>
      <c r="I8044" s="8" t="str">
        <f ca="1">IFERROR(__xludf.DUMMYFUNCTION("IF
(
G8045=""фізична особа""
,
VLOOKUP(H8045,IMPORTRANGE(""https://docs.google.com/spreadsheets/d/14Bd19lYaqBhU8_DElYkX7l4wRkHqqCUFNJY4AfY3kHU/edit?usp=sharing  #gid=0"",""фіз особи new!relations_name""),6,FALSE)
,
(IF
(
G8045=""юридична особа""
,
VLOOKUP"&amp;"(H8045,IMPORTRANGE(""https://docs.google.com/spreadsheets/d/14Bd19lYaqBhU8_DElYkX7l4wRkHqqCUFNJY4AfY3kHU/edit?usp=sharing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4" s="7" t="s">
        <v>29</v>
      </c>
    </row>
    <row r="8045" spans="1:10" ht="13.2">
      <c r="A8045" s="7">
        <v>8044</v>
      </c>
      <c r="B8045" s="7">
        <v>1</v>
      </c>
      <c r="C8045" s="7" t="s">
        <v>10</v>
      </c>
      <c r="D8045" s="7">
        <v>9250</v>
      </c>
      <c r="E8045" s="7" t="s">
        <v>28</v>
      </c>
      <c r="F8045" s="8" t="str">
        <f ca="1">IFERROR(__xludf.DUMMYFUNCTION("IF
(
C8046=""фізична особа""
,
VLOOKUP(D8046,IMPORTRANGE(""https://docs.google.com/spreadsheets/d/14Bd19lYaqBhU8_DElYkX7l4wRkHqqCUFNJY4AfY3kHU/edit?usp=sharing  #gid=0"",""фіз особи new!relations_name""),6,FALSE)
,
(IF
(
C8046=""юридична особа""
,
VLOOKUP"&amp;"(D8046,IMPORTRANGE(""https://docs.google.com/spreadsheets/d/14Bd19lYaqBhU8_DElYkX7l4wRkHqqCUFNJY4AfY3kHU/edit?usp=sharing  #gid=0"",""фіз особи new!relations_name_uo""),7,FALSE)
,
)
))"),"ГАМАЗУТІНА Лариса Миколаївна")</f>
        <v>ГАМАЗУТІНА Лариса Миколаївна</v>
      </c>
      <c r="G8045" s="7" t="s">
        <v>10</v>
      </c>
      <c r="H8045" s="7">
        <v>3058</v>
      </c>
      <c r="I8045" s="8" t="str">
        <f ca="1">IFERROR(__xludf.DUMMYFUNCTION("IF
(
G8046=""фізична особа""
,
VLOOKUP(H8046,IMPORTRANGE(""https://docs.google.com/spreadsheets/d/14Bd19lYaqBhU8_DElYkX7l4wRkHqqCUFNJY4AfY3kHU/edit?usp=sharing  #gid=0"",""фіз особи new!relations_name""),6,FALSE)
,
(IF
(
G8046=""юридична особа""
,
VLOOKUP"&amp;"(H8046,IMPORTRANGE(""https://docs.google.com/spreadsheets/d/14Bd19lYaqBhU8_DElYkX7l4wRkHqqCUFNJY4AfY3kHU/edit?usp=sharing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5" s="7" t="s">
        <v>29</v>
      </c>
    </row>
    <row r="8046" spans="1:10" ht="13.2">
      <c r="A8046" s="7">
        <v>8045</v>
      </c>
      <c r="B8046" s="7">
        <v>1</v>
      </c>
      <c r="C8046" s="7" t="s">
        <v>10</v>
      </c>
      <c r="D8046" s="7">
        <v>9252</v>
      </c>
      <c r="E8046" s="7" t="s">
        <v>28</v>
      </c>
      <c r="F8046" s="8" t="str">
        <f ca="1">IFERROR(__xludf.DUMMYFUNCTION("IF
(
C8047=""фізична особа""
,
VLOOKUP(D8047,IMPORTRANGE(""https://docs.google.com/spreadsheets/d/14Bd19lYaqBhU8_DElYkX7l4wRkHqqCUFNJY4AfY3kHU/edit?usp=sharing  #gid=0"",""фіз особи new!relations_name""),6,FALSE)
,
(IF
(
C8047=""юридична особа""
,
VLOOKUP"&amp;"(D8047,IMPORTRANGE(""https://docs.google.com/spreadsheets/d/14Bd19lYaqBhU8_DElYkX7l4wRkHqqCUFNJY4AfY3kHU/edit?usp=sharing  #gid=0"",""фіз особи new!relations_name_uo""),7,FALSE)
,
)
))"),"ЩЕТІНКІНА Ольга Сергіївна")</f>
        <v>ЩЕТІНКІНА Ольга Сергіївна</v>
      </c>
      <c r="G8046" s="7" t="s">
        <v>10</v>
      </c>
      <c r="H8046" s="7">
        <v>3058</v>
      </c>
      <c r="I8046" s="8" t="str">
        <f ca="1">IFERROR(__xludf.DUMMYFUNCTION("IF
(
G8047=""фізична особа""
,
VLOOKUP(H8047,IMPORTRANGE(""https://docs.google.com/spreadsheets/d/14Bd19lYaqBhU8_DElYkX7l4wRkHqqCUFNJY4AfY3kHU/edit?usp=sharing  #gid=0"",""фіз особи new!relations_name""),6,FALSE)
,
(IF
(
G8047=""юридична особа""
,
VLOOKUP"&amp;"(H8047,IMPORTRANGE(""https://docs.google.com/spreadsheets/d/14Bd19lYaqBhU8_DElYkX7l4wRkHqqCUFNJY4AfY3kHU/edit?usp=sharing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6" s="7" t="s">
        <v>29</v>
      </c>
    </row>
    <row r="8047" spans="1:10" ht="13.2">
      <c r="A8047" s="7">
        <v>8046</v>
      </c>
      <c r="B8047" s="7">
        <v>1</v>
      </c>
      <c r="C8047" s="7" t="s">
        <v>10</v>
      </c>
      <c r="D8047" s="7">
        <v>9257</v>
      </c>
      <c r="E8047" s="7" t="s">
        <v>28</v>
      </c>
      <c r="F8047" s="8" t="str">
        <f ca="1">IFERROR(__xludf.DUMMYFUNCTION("IF
(
C8048=""фізична особа""
,
VLOOKUP(D8048,IMPORTRANGE(""https://docs.google.com/spreadsheets/d/14Bd19lYaqBhU8_DElYkX7l4wRkHqqCUFNJY4AfY3kHU/edit?usp=sharing  #gid=0"",""фіз особи new!relations_name""),6,FALSE)
,
(IF
(
C8048=""юридична особа""
,
VLOOKUP"&amp;"(D8048,IMPORTRANGE(""https://docs.google.com/spreadsheets/d/14Bd19lYaqBhU8_DElYkX7l4wRkHqqCUFNJY4AfY3kHU/edit?usp=sharing  #gid=0"",""фіз особи new!relations_name_uo""),7,FALSE)
,
)
))"),"БІКТУГАНОВ Юрій Іванович")</f>
        <v>БІКТУГАНОВ Юрій Іванович</v>
      </c>
      <c r="G8047" s="7" t="s">
        <v>10</v>
      </c>
      <c r="H8047" s="7">
        <v>3058</v>
      </c>
      <c r="I8047" s="8" t="str">
        <f ca="1">IFERROR(__xludf.DUMMYFUNCTION("IF
(
G8048=""фізична особа""
,
VLOOKUP(H8048,IMPORTRANGE(""https://docs.google.com/spreadsheets/d/14Bd19lYaqBhU8_DElYkX7l4wRkHqqCUFNJY4AfY3kHU/edit?usp=sharing  #gid=0"",""фіз особи new!relations_name""),6,FALSE)
,
(IF
(
G8048=""юридична особа""
,
VLOOKUP"&amp;"(H8048,IMPORTRANGE(""https://docs.google.com/spreadsheets/d/14Bd19lYaqBhU8_DElYkX7l4wRkHqqCUFNJY4AfY3kHU/edit?usp=sharing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47" s="7" t="s">
        <v>29</v>
      </c>
    </row>
    <row r="8048" spans="1:10" ht="13.2">
      <c r="A8048" s="7">
        <v>8047</v>
      </c>
      <c r="B8048" s="7">
        <v>1</v>
      </c>
      <c r="C8048" s="7" t="s">
        <v>10</v>
      </c>
      <c r="D8048" s="7">
        <v>9265</v>
      </c>
      <c r="E8048" s="7" t="s">
        <v>12</v>
      </c>
      <c r="F8048" s="8" t="str">
        <f ca="1">IFERROR(__xludf.DUMMYFUNCTION("IF
(
C8049=""фізична особа""
,
VLOOKUP(D8049,IMPORTRANGE(""https://docs.google.com/spreadsheets/d/14Bd19lYaqBhU8_DElYkX7l4wRkHqqCUFNJY4AfY3kHU/edit?usp=sharing  #gid=0"",""фіз особи new!relations_name""),6,FALSE)
,
(IF
(
C8049=""юридична особа""
,
VLOOKUP"&amp;"(D8049,IMPORTRANGE(""https://docs.google.com/spreadsheets/d/14Bd19lYaqBhU8_DElYkX7l4wRkHqqCUFNJY4AfY3kHU/edit?usp=sharing  #gid=0"",""фіз особи new!relations_name_uo""),7,FALSE)
,
)
))"),"РАЙДЕР Олексій Володимирович")</f>
        <v>РАЙДЕР Олексій Володимирович</v>
      </c>
      <c r="G8048" s="7" t="s">
        <v>10</v>
      </c>
      <c r="H8048" s="7">
        <v>0</v>
      </c>
      <c r="I8048" s="8" t="str">
        <f ca="1">IFERROR(__xludf.DUMMYFUNCTION("IF
(
G8049=""фізична особа""
,
VLOOKUP(H8049,IMPORTRANGE(""https://docs.google.com/spreadsheets/d/14Bd19lYaqBhU8_DElYkX7l4wRkHqqCUFNJY4AfY3kHU/edit?usp=sharing  #gid=0"",""фіз особи new!relations_name""),6,FALSE)
,
(IF
(
G8049=""юридична особа""
,
VLOOKUP"&amp;"(H8049,IMPORTRANGE(""https://docs.google.com/spreadsheets/d/14Bd19lYaqBhU8_DElYkX7l4wRkHqqCUFNJY4AfY3kHU/edit?usp=sharing  #gid=0"",""фіз особи new!relations_name_uo""),7,FALSE)
,
)
))"),"#N/A")</f>
        <v>#N/A</v>
      </c>
      <c r="J8048" s="7" t="s">
        <v>13</v>
      </c>
    </row>
    <row r="8049" spans="1:10" ht="13.2">
      <c r="A8049" s="7">
        <v>8048</v>
      </c>
      <c r="B8049" s="7">
        <v>1</v>
      </c>
      <c r="C8049" s="7" t="s">
        <v>10</v>
      </c>
      <c r="D8049" s="7">
        <v>9265</v>
      </c>
      <c r="E8049" s="7" t="s">
        <v>14</v>
      </c>
      <c r="F8049" s="8" t="str">
        <f ca="1">IFERROR(__xludf.DUMMYFUNCTION("IF
(
C8050=""фізична особа""
,
VLOOKUP(D8050,IMPORTRANGE(""https://docs.google.com/spreadsheets/d/14Bd19lYaqBhU8_DElYkX7l4wRkHqqCUFNJY4AfY3kHU/edit?usp=sharing  #gid=0"",""фіз особи new!relations_name""),6,FALSE)
,
(IF
(
C8050=""юридична особа""
,
VLOOKUP"&amp;"(D8050,IMPORTRANGE(""https://docs.google.com/spreadsheets/d/14Bd19lYaqBhU8_DElYkX7l4wRkHqqCUFNJY4AfY3kHU/edit?usp=sharing  #gid=0"",""фіз особи new!relations_name_uo""),7,FALSE)
,
)
))"),"РАЙДЕР Олексій Володимирович")</f>
        <v>РАЙДЕР Олексій Володимирович</v>
      </c>
      <c r="G8049" s="7" t="s">
        <v>10</v>
      </c>
      <c r="H8049" s="7">
        <v>0</v>
      </c>
      <c r="I8049" s="8" t="str">
        <f ca="1">IFERROR(__xludf.DUMMYFUNCTION("IF
(
G8050=""фізична особа""
,
VLOOKUP(H8050,IMPORTRANGE(""https://docs.google.com/spreadsheets/d/14Bd19lYaqBhU8_DElYkX7l4wRkHqqCUFNJY4AfY3kHU/edit?usp=sharing  #gid=0"",""фіз особи new!relations_name""),6,FALSE)
,
(IF
(
G8050=""юридична особа""
,
VLOOKUP"&amp;"(H8050,IMPORTRANGE(""https://docs.google.com/spreadsheets/d/14Bd19lYaqBhU8_DElYkX7l4wRkHqqCUFNJY4AfY3kHU/edit?usp=sharing  #gid=0"",""фіз особи new!relations_name_uo""),7,FALSE)
,
)
))"),"#N/A")</f>
        <v>#N/A</v>
      </c>
      <c r="J8049" s="7" t="s">
        <v>15</v>
      </c>
    </row>
    <row r="8050" spans="1:10" ht="13.2">
      <c r="A8050" s="7">
        <v>8049</v>
      </c>
      <c r="B8050" s="7">
        <v>1</v>
      </c>
      <c r="C8050" s="7" t="s">
        <v>10</v>
      </c>
      <c r="D8050" s="7">
        <v>9269</v>
      </c>
      <c r="E8050" s="7" t="s">
        <v>28</v>
      </c>
      <c r="F8050" s="8" t="str">
        <f ca="1">IFERROR(__xludf.DUMMYFUNCTION("IF
(
C8051=""фізична особа""
,
VLOOKUP(D8051,IMPORTRANGE(""https://docs.google.com/spreadsheets/d/14Bd19lYaqBhU8_DElYkX7l4wRkHqqCUFNJY4AfY3kHU/edit?usp=sharing  #gid=0"",""фіз особи new!relations_name""),6,FALSE)
,
(IF
(
C8051=""юридична особа""
,
VLOOKUP"&amp;"(D8051,IMPORTRANGE(""https://docs.google.com/spreadsheets/d/14Bd19lYaqBhU8_DElYkX7l4wRkHqqCUFNJY4AfY3kHU/edit?usp=sharing  #gid=0"",""фіз особи new!relations_name_uo""),7,FALSE)
,
)
))"),"ДРЕНІН Олексій Анатолійович")</f>
        <v>ДРЕНІН Олексій Анатолійович</v>
      </c>
      <c r="G8050" s="7" t="s">
        <v>10</v>
      </c>
      <c r="H8050" s="7">
        <v>3058</v>
      </c>
      <c r="I8050" s="8" t="str">
        <f ca="1">IFERROR(__xludf.DUMMYFUNCTION("IF
(
G8051=""фізична особа""
,
VLOOKUP(H8051,IMPORTRANGE(""https://docs.google.com/spreadsheets/d/14Bd19lYaqBhU8_DElYkX7l4wRkHqqCUFNJY4AfY3kHU/edit?usp=sharing  #gid=0"",""фіз особи new!relations_name""),6,FALSE)
,
(IF
(
G8051=""юридична особа""
,
VLOOKUP"&amp;"(H8051,IMPORTRANGE(""https://docs.google.com/spreadsheets/d/14Bd19lYaqBhU8_DElYkX7l4wRkHqqCUFNJY4AfY3kHU/edit?usp=sharing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50" s="7" t="s">
        <v>29</v>
      </c>
    </row>
    <row r="8051" spans="1:10" ht="13.2">
      <c r="A8051" s="7">
        <v>8050</v>
      </c>
      <c r="B8051" s="7">
        <v>1</v>
      </c>
      <c r="C8051" s="7" t="s">
        <v>10</v>
      </c>
      <c r="D8051" s="7">
        <v>9272</v>
      </c>
      <c r="E8051" s="7" t="s">
        <v>28</v>
      </c>
      <c r="F8051" s="8" t="str">
        <f ca="1">IFERROR(__xludf.DUMMYFUNCTION("IF
(
C8052=""фізична особа""
,
VLOOKUP(D8052,IMPORTRANGE(""https://docs.google.com/spreadsheets/d/14Bd19lYaqBhU8_DElYkX7l4wRkHqqCUFNJY4AfY3kHU/edit?usp=sharing  #gid=0"",""фіз особи new!relations_name""),6,FALSE)
,
(IF
(
C8052=""юридична особа""
,
VLOOKUP"&amp;"(D8052,IMPORTRANGE(""https://docs.google.com/spreadsheets/d/14Bd19lYaqBhU8_DElYkX7l4wRkHqqCUFNJY4AfY3kHU/edit?usp=sharing  #gid=0"",""фіз особи new!relations_name_uo""),7,FALSE)
,
)
))"),"ЗАХАРОВ Дмитро Анатолійович")</f>
        <v>ЗАХАРОВ Дмитро Анатолійович</v>
      </c>
      <c r="G8051" s="7" t="s">
        <v>10</v>
      </c>
      <c r="H8051" s="7">
        <v>3058</v>
      </c>
      <c r="I8051" s="8" t="str">
        <f ca="1">IFERROR(__xludf.DUMMYFUNCTION("IF
(
G8052=""фізична особа""
,
VLOOKUP(H8052,IMPORTRANGE(""https://docs.google.com/spreadsheets/d/14Bd19lYaqBhU8_DElYkX7l4wRkHqqCUFNJY4AfY3kHU/edit?usp=sharing  #gid=0"",""фіз особи new!relations_name""),6,FALSE)
,
(IF
(
G8052=""юридична особа""
,
VLOOKUP"&amp;"(H8052,IMPORTRANGE(""https://docs.google.com/spreadsheets/d/14Bd19lYaqBhU8_DElYkX7l4wRkHqqCUFNJY4AfY3kHU/edit?usp=sharing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51" s="7" t="s">
        <v>29</v>
      </c>
    </row>
    <row r="8052" spans="1:10" ht="13.2">
      <c r="A8052" s="7">
        <v>8051</v>
      </c>
      <c r="B8052" s="7">
        <v>1</v>
      </c>
      <c r="C8052" s="7" t="s">
        <v>10</v>
      </c>
      <c r="D8052" s="7">
        <v>9275</v>
      </c>
      <c r="E8052" s="7" t="s">
        <v>30</v>
      </c>
      <c r="F8052" s="8" t="str">
        <f ca="1">IFERROR(__xludf.DUMMYFUNCTION("IF
(
C8053=""фізична особа""
,
VLOOKUP(D8053,IMPORTRANGE(""https://docs.google.com/spreadsheets/d/14Bd19lYaqBhU8_DElYkX7l4wRkHqqCUFNJY4AfY3kHU/edit?usp=sharing  #gid=0"",""фіз особи new!relations_name""),6,FALSE)
,
(IF
(
C8053=""юридична особа""
,
VLOOKUP"&amp;"(D8053,IMPORTRANGE(""https://docs.google.com/spreadsheets/d/14Bd19lYaqBhU8_DElYkX7l4wRkHqqCUFNJY4AfY3kHU/edit?usp=sharing  #gid=0"",""фіз особи new!relations_name_uo""),7,FALSE)
,
)
))"),"ЛЕОНОВ Володимир Олександрович")</f>
        <v>ЛЕОНОВ Володимир Олександрович</v>
      </c>
      <c r="G8052" s="7" t="s">
        <v>10</v>
      </c>
      <c r="H8052" s="7">
        <v>0</v>
      </c>
      <c r="I8052" s="8" t="str">
        <f ca="1">IFERROR(__xludf.DUMMYFUNCTION("IF
(
G8053=""фізична особа""
,
VLOOKUP(H8053,IMPORTRANGE(""https://docs.google.com/spreadsheets/d/14Bd19lYaqBhU8_DElYkX7l4wRkHqqCUFNJY4AfY3kHU/edit?usp=sharing  #gid=0"",""фіз особи new!relations_name""),6,FALSE)
,
(IF
(
G8053=""юридична особа""
,
VLOOKUP"&amp;"(H8053,IMPORTRANGE(""https://docs.google.com/spreadsheets/d/14Bd19lYaqBhU8_DElYkX7l4wRkHqqCUFNJY4AfY3kHU/edit?usp=sharing  #gid=0"",""фіз особи new!relations_name_uo""),7,FALSE)
,
)
))"),"#N/A")</f>
        <v>#N/A</v>
      </c>
      <c r="J8052" s="7" t="s">
        <v>30</v>
      </c>
    </row>
    <row r="8053" spans="1:10" ht="13.2">
      <c r="A8053" s="7">
        <v>8052</v>
      </c>
      <c r="B8053" s="7">
        <v>1</v>
      </c>
      <c r="C8053" s="7" t="s">
        <v>10</v>
      </c>
      <c r="D8053" s="7">
        <v>9276</v>
      </c>
      <c r="E8053" s="7" t="s">
        <v>28</v>
      </c>
      <c r="F8053" s="8" t="str">
        <f ca="1">IFERROR(__xludf.DUMMYFUNCTION("IF
(
C8054=""фізична особа""
,
VLOOKUP(D8054,IMPORTRANGE(""https://docs.google.com/spreadsheets/d/14Bd19lYaqBhU8_DElYkX7l4wRkHqqCUFNJY4AfY3kHU/edit?usp=sharing  #gid=0"",""фіз особи new!relations_name""),6,FALSE)
,
(IF
(
C8054=""юридична особа""
,
VLOOKUP"&amp;"(D8054,IMPORTRANGE(""https://docs.google.com/spreadsheets/d/14Bd19lYaqBhU8_DElYkX7l4wRkHqqCUFNJY4AfY3kHU/edit?usp=sharing  #gid=0"",""фіз особи new!relations_name_uo""),7,FALSE)
,
)
))"),"ІЩЕНКО Наталія Сергіївна")</f>
        <v>ІЩЕНКО Наталія Сергіївна</v>
      </c>
      <c r="G8053" s="7" t="s">
        <v>10</v>
      </c>
      <c r="H8053" s="7">
        <v>2535</v>
      </c>
      <c r="I8053" s="8" t="str">
        <f ca="1">IFERROR(__xludf.DUMMYFUNCTION("IF
(
G8054=""фізична особа""
,
VLOOKUP(H8054,IMPORTRANGE(""https://docs.google.com/spreadsheets/d/14Bd19lYaqBhU8_DElYkX7l4wRkHqqCUFNJY4AfY3kHU/edit?usp=sharing  #gid=0"",""фіз особи new!relations_name""),6,FALSE)
,
(IF
(
G8054=""юридична особа""
,
VLOOKUP"&amp;"(H8054,IMPORTRANGE(""https://docs.google.com/spreadsheets/d/14Bd19lYaqBhU8_DElYkX7l4wRkHqqCUFNJY4AfY3kHU/edit?usp=sharing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J8053" s="7" t="s">
        <v>29</v>
      </c>
    </row>
    <row r="8054" spans="1:10" ht="13.2">
      <c r="A8054" s="7">
        <v>8053</v>
      </c>
      <c r="B8054" s="7">
        <v>1</v>
      </c>
      <c r="C8054" s="7" t="s">
        <v>10</v>
      </c>
      <c r="D8054" s="7">
        <v>9277</v>
      </c>
      <c r="E8054" s="7" t="s">
        <v>104</v>
      </c>
      <c r="F8054" s="8" t="str">
        <f ca="1">IFERROR(__xludf.DUMMYFUNCTION("IF
(
C8055=""фізична особа""
,
VLOOKUP(D8055,IMPORTRANGE(""https://docs.google.com/spreadsheets/d/14Bd19lYaqBhU8_DElYkX7l4wRkHqqCUFNJY4AfY3kHU/edit?usp=sharing  #gid=0"",""фіз особи new!relations_name""),6,FALSE)
,
(IF
(
C8055=""юридична особа""
,
VLOOKUP"&amp;"(D8055,IMPORTRANGE(""https://docs.google.com/spreadsheets/d/14Bd19lYaqBhU8_DElYkX7l4wRkHqqCUFNJY4AfY3kHU/edit?usp=sharing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4" s="7" t="s">
        <v>10</v>
      </c>
      <c r="H8054" s="7">
        <v>0</v>
      </c>
      <c r="I8054" s="8" t="str">
        <f ca="1">IFERROR(__xludf.DUMMYFUNCTION("IF
(
G8055=""фізична особа""
,
VLOOKUP(H8055,IMPORTRANGE(""https://docs.google.com/spreadsheets/d/14Bd19lYaqBhU8_DElYkX7l4wRkHqqCUFNJY4AfY3kHU/edit?usp=sharing  #gid=0"",""фіз особи new!relations_name""),6,FALSE)
,
(IF
(
G8055=""юридична особа""
,
VLOOKUP"&amp;"(H8055,IMPORTRANGE(""https://docs.google.com/spreadsheets/d/14Bd19lYaqBhU8_DElYkX7l4wRkHqqCUFNJY4AfY3kHU/edit?usp=sharing  #gid=0"",""фіз особи new!relations_name_uo""),7,FALSE)
,
)
))"),"#N/A")</f>
        <v>#N/A</v>
      </c>
      <c r="J8054" s="7" t="s">
        <v>29</v>
      </c>
    </row>
    <row r="8055" spans="1:10" ht="13.2">
      <c r="A8055" s="7">
        <v>8054</v>
      </c>
      <c r="B8055" s="7">
        <v>1</v>
      </c>
      <c r="C8055" s="7" t="s">
        <v>10</v>
      </c>
      <c r="D8055" s="7">
        <v>9277</v>
      </c>
      <c r="E8055" s="7" t="s">
        <v>104</v>
      </c>
      <c r="F8055" s="8" t="str">
        <f ca="1">IFERROR(__xludf.DUMMYFUNCTION("IF
(
C8056=""фізична особа""
,
VLOOKUP(D8056,IMPORTRANGE(""https://docs.google.com/spreadsheets/d/14Bd19lYaqBhU8_DElYkX7l4wRkHqqCUFNJY4AfY3kHU/edit?usp=sharing  #gid=0"",""фіз особи new!relations_name""),6,FALSE)
,
(IF
(
C8056=""юридична особа""
,
VLOOKUP"&amp;"(D8056,IMPORTRANGE(""https://docs.google.com/spreadsheets/d/14Bd19lYaqBhU8_DElYkX7l4wRkHqqCUFNJY4AfY3kHU/edit?usp=sharing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5" s="7" t="s">
        <v>10</v>
      </c>
      <c r="H8055" s="7">
        <v>0</v>
      </c>
      <c r="I8055" s="8" t="str">
        <f ca="1">IFERROR(__xludf.DUMMYFUNCTION("IF
(
G8056=""фізична особа""
,
VLOOKUP(H8056,IMPORTRANGE(""https://docs.google.com/spreadsheets/d/14Bd19lYaqBhU8_DElYkX7l4wRkHqqCUFNJY4AfY3kHU/edit?usp=sharing  #gid=0"",""фіз особи new!relations_name""),6,FALSE)
,
(IF
(
G8056=""юридична особа""
,
VLOOKUP"&amp;"(H8056,IMPORTRANGE(""https://docs.google.com/spreadsheets/d/14Bd19lYaqBhU8_DElYkX7l4wRkHqqCUFNJY4AfY3kHU/edit?usp=sharing  #gid=0"",""фіз особи new!relations_name_uo""),7,FALSE)
,
)
))"),"#N/A")</f>
        <v>#N/A</v>
      </c>
      <c r="J8055" s="7" t="s">
        <v>29</v>
      </c>
    </row>
    <row r="8056" spans="1:10" ht="13.2">
      <c r="A8056" s="7">
        <v>8055</v>
      </c>
      <c r="B8056" s="7">
        <v>1</v>
      </c>
      <c r="C8056" s="7" t="s">
        <v>10</v>
      </c>
      <c r="D8056" s="7">
        <v>9277</v>
      </c>
      <c r="E8056" s="7" t="s">
        <v>104</v>
      </c>
      <c r="F8056" s="8" t="str">
        <f ca="1">IFERROR(__xludf.DUMMYFUNCTION("IF
(
C8057=""фізична особа""
,
VLOOKUP(D8057,IMPORTRANGE(""https://docs.google.com/spreadsheets/d/14Bd19lYaqBhU8_DElYkX7l4wRkHqqCUFNJY4AfY3kHU/edit?usp=sharing  #gid=0"",""фіз особи new!relations_name""),6,FALSE)
,
(IF
(
C8057=""юридична особа""
,
VLOOKUP"&amp;"(D8057,IMPORTRANGE(""https://docs.google.com/spreadsheets/d/14Bd19lYaqBhU8_DElYkX7l4wRkHqqCUFNJY4AfY3kHU/edit?usp=sharing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6" s="7" t="s">
        <v>10</v>
      </c>
      <c r="H8056" s="7">
        <v>0</v>
      </c>
      <c r="I8056" s="8" t="str">
        <f ca="1">IFERROR(__xludf.DUMMYFUNCTION("IF
(
G8057=""фізична особа""
,
VLOOKUP(H8057,IMPORTRANGE(""https://docs.google.com/spreadsheets/d/14Bd19lYaqBhU8_DElYkX7l4wRkHqqCUFNJY4AfY3kHU/edit?usp=sharing  #gid=0"",""фіз особи new!relations_name""),6,FALSE)
,
(IF
(
G8057=""юридична особа""
,
VLOOKUP"&amp;"(H8057,IMPORTRANGE(""https://docs.google.com/spreadsheets/d/14Bd19lYaqBhU8_DElYkX7l4wRkHqqCUFNJY4AfY3kHU/edit?usp=sharing  #gid=0"",""фіз особи new!relations_name_uo""),7,FALSE)
,
)
))"),"#N/A")</f>
        <v>#N/A</v>
      </c>
      <c r="J8056" s="7" t="s">
        <v>29</v>
      </c>
    </row>
    <row r="8057" spans="1:10" ht="13.2">
      <c r="A8057" s="7">
        <v>8056</v>
      </c>
      <c r="B8057" s="7">
        <v>1</v>
      </c>
      <c r="C8057" s="7" t="s">
        <v>10</v>
      </c>
      <c r="D8057" s="7">
        <v>9277</v>
      </c>
      <c r="E8057" s="7" t="s">
        <v>104</v>
      </c>
      <c r="F8057" s="8" t="str">
        <f ca="1">IFERROR(__xludf.DUMMYFUNCTION("IF
(
C8058=""фізична особа""
,
VLOOKUP(D8058,IMPORTRANGE(""https://docs.google.com/spreadsheets/d/14Bd19lYaqBhU8_DElYkX7l4wRkHqqCUFNJY4AfY3kHU/edit?usp=sharing  #gid=0"",""фіз особи new!relations_name""),6,FALSE)
,
(IF
(
C8058=""юридична особа""
,
VLOOKUP"&amp;"(D8058,IMPORTRANGE(""https://docs.google.com/spreadsheets/d/14Bd19lYaqBhU8_DElYkX7l4wRkHqqCUFNJY4AfY3kHU/edit?usp=sharing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7" s="7" t="s">
        <v>10</v>
      </c>
      <c r="H8057" s="7">
        <v>0</v>
      </c>
      <c r="I8057" s="8" t="str">
        <f ca="1">IFERROR(__xludf.DUMMYFUNCTION("IF
(
G8058=""фізична особа""
,
VLOOKUP(H8058,IMPORTRANGE(""https://docs.google.com/spreadsheets/d/14Bd19lYaqBhU8_DElYkX7l4wRkHqqCUFNJY4AfY3kHU/edit?usp=sharing  #gid=0"",""фіз особи new!relations_name""),6,FALSE)
,
(IF
(
G8058=""юридична особа""
,
VLOOKUP"&amp;"(H8058,IMPORTRANGE(""https://docs.google.com/spreadsheets/d/14Bd19lYaqBhU8_DElYkX7l4wRkHqqCUFNJY4AfY3kHU/edit?usp=sharing  #gid=0"",""фіз особи new!relations_name_uo""),7,FALSE)
,
)
))"),"#N/A")</f>
        <v>#N/A</v>
      </c>
      <c r="J8057" s="7" t="s">
        <v>29</v>
      </c>
    </row>
    <row r="8058" spans="1:10" ht="13.2">
      <c r="A8058" s="7">
        <v>8057</v>
      </c>
      <c r="B8058" s="7">
        <v>1</v>
      </c>
      <c r="C8058" s="7" t="s">
        <v>10</v>
      </c>
      <c r="D8058" s="7">
        <v>9277</v>
      </c>
      <c r="E8058" s="7" t="s">
        <v>30</v>
      </c>
      <c r="F8058" s="8" t="str">
        <f ca="1">IFERROR(__xludf.DUMMYFUNCTION("IF
(
C8059=""фізична особа""
,
VLOOKUP(D8059,IMPORTRANGE(""https://docs.google.com/spreadsheets/d/14Bd19lYaqBhU8_DElYkX7l4wRkHqqCUFNJY4AfY3kHU/edit?usp=sharing  #gid=0"",""фіз особи new!relations_name""),6,FALSE)
,
(IF
(
C8059=""юридична особа""
,
VLOOKUP"&amp;"(D8059,IMPORTRANGE(""https://docs.google.com/spreadsheets/d/14Bd19lYaqBhU8_DElYkX7l4wRkHqqCUFNJY4AfY3kHU/edit?usp=sharing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8" s="7" t="s">
        <v>10</v>
      </c>
      <c r="H8058" s="7">
        <v>0</v>
      </c>
      <c r="I8058" s="8" t="str">
        <f ca="1">IFERROR(__xludf.DUMMYFUNCTION("IF
(
G8059=""фізична особа""
,
VLOOKUP(H8059,IMPORTRANGE(""https://docs.google.com/spreadsheets/d/14Bd19lYaqBhU8_DElYkX7l4wRkHqqCUFNJY4AfY3kHU/edit?usp=sharing  #gid=0"",""фіз особи new!relations_name""),6,FALSE)
,
(IF
(
G8059=""юридична особа""
,
VLOOKUP"&amp;"(H8059,IMPORTRANGE(""https://docs.google.com/spreadsheets/d/14Bd19lYaqBhU8_DElYkX7l4wRkHqqCUFNJY4AfY3kHU/edit?usp=sharing  #gid=0"",""фіз особи new!relations_name_uo""),7,FALSE)
,
)
))"),"#N/A")</f>
        <v>#N/A</v>
      </c>
      <c r="J8058" s="7" t="s">
        <v>30</v>
      </c>
    </row>
    <row r="8059" spans="1:10" ht="13.2">
      <c r="A8059" s="7">
        <v>8058</v>
      </c>
      <c r="B8059" s="7">
        <v>1</v>
      </c>
      <c r="C8059" s="7" t="s">
        <v>10</v>
      </c>
      <c r="D8059" s="7">
        <v>9277</v>
      </c>
      <c r="E8059" s="7" t="s">
        <v>30</v>
      </c>
      <c r="F8059" s="8" t="str">
        <f ca="1">IFERROR(__xludf.DUMMYFUNCTION("IF
(
C8060=""фізична особа""
,
VLOOKUP(D8060,IMPORTRANGE(""https://docs.google.com/spreadsheets/d/14Bd19lYaqBhU8_DElYkX7l4wRkHqqCUFNJY4AfY3kHU/edit?usp=sharing  #gid=0"",""фіз особи new!relations_name""),6,FALSE)
,
(IF
(
C8060=""юридична особа""
,
VLOOKUP"&amp;"(D8060,IMPORTRANGE(""https://docs.google.com/spreadsheets/d/14Bd19lYaqBhU8_DElYkX7l4wRkHqqCUFNJY4AfY3kHU/edit?usp=sharing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59" s="7" t="s">
        <v>10</v>
      </c>
      <c r="H8059" s="7">
        <v>0</v>
      </c>
      <c r="I8059" s="8" t="str">
        <f ca="1">IFERROR(__xludf.DUMMYFUNCTION("IF
(
G8060=""фізична особа""
,
VLOOKUP(H8060,IMPORTRANGE(""https://docs.google.com/spreadsheets/d/14Bd19lYaqBhU8_DElYkX7l4wRkHqqCUFNJY4AfY3kHU/edit?usp=sharing  #gid=0"",""фіз особи new!relations_name""),6,FALSE)
,
(IF
(
G8060=""юридична особа""
,
VLOOKUP"&amp;"(H8060,IMPORTRANGE(""https://docs.google.com/spreadsheets/d/14Bd19lYaqBhU8_DElYkX7l4wRkHqqCUFNJY4AfY3kHU/edit?usp=sharing  #gid=0"",""фіз особи new!relations_name_uo""),7,FALSE)
,
)
))"),"#N/A")</f>
        <v>#N/A</v>
      </c>
      <c r="J8059" s="7" t="s">
        <v>30</v>
      </c>
    </row>
    <row r="8060" spans="1:10" ht="13.2">
      <c r="A8060" s="7">
        <v>8059</v>
      </c>
      <c r="B8060" s="7">
        <v>1</v>
      </c>
      <c r="C8060" s="7" t="s">
        <v>10</v>
      </c>
      <c r="D8060" s="7">
        <v>9277</v>
      </c>
      <c r="E8060" s="7" t="s">
        <v>104</v>
      </c>
      <c r="F8060" s="8" t="str">
        <f ca="1">IFERROR(__xludf.DUMMYFUNCTION("IF
(
C8061=""фізична особа""
,
VLOOKUP(D8061,IMPORTRANGE(""https://docs.google.com/spreadsheets/d/14Bd19lYaqBhU8_DElYkX7l4wRkHqqCUFNJY4AfY3kHU/edit?usp=sharing  #gid=0"",""фіз особи new!relations_name""),6,FALSE)
,
(IF
(
C8061=""юридична особа""
,
VLOOKUP"&amp;"(D8061,IMPORTRANGE(""https://docs.google.com/spreadsheets/d/14Bd19lYaqBhU8_DElYkX7l4wRkHqqCUFNJY4AfY3kHU/edit?usp=sharing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60" s="7" t="s">
        <v>10</v>
      </c>
      <c r="H8060" s="7">
        <v>0</v>
      </c>
      <c r="I8060" s="8" t="str">
        <f ca="1">IFERROR(__xludf.DUMMYFUNCTION("IF
(
G8061=""фізична особа""
,
VLOOKUP(H8061,IMPORTRANGE(""https://docs.google.com/spreadsheets/d/14Bd19lYaqBhU8_DElYkX7l4wRkHqqCUFNJY4AfY3kHU/edit?usp=sharing  #gid=0"",""фіз особи new!relations_name""),6,FALSE)
,
(IF
(
G8061=""юридична особа""
,
VLOOKUP"&amp;"(H8061,IMPORTRANGE(""https://docs.google.com/spreadsheets/d/14Bd19lYaqBhU8_DElYkX7l4wRkHqqCUFNJY4AfY3kHU/edit?usp=sharing  #gid=0"",""фіз особи new!relations_name_uo""),7,FALSE)
,
)
))"),"#N/A")</f>
        <v>#N/A</v>
      </c>
      <c r="J8060" s="7" t="s">
        <v>29</v>
      </c>
    </row>
    <row r="8061" spans="1:10" ht="13.2">
      <c r="A8061" s="7">
        <v>8060</v>
      </c>
      <c r="B8061" s="7">
        <v>1</v>
      </c>
      <c r="C8061" s="7" t="s">
        <v>10</v>
      </c>
      <c r="D8061" s="7">
        <v>9277</v>
      </c>
      <c r="E8061" s="7" t="s">
        <v>104</v>
      </c>
      <c r="F8061" s="8" t="str">
        <f ca="1">IFERROR(__xludf.DUMMYFUNCTION("IF
(
C8062=""фізична особа""
,
VLOOKUP(D8062,IMPORTRANGE(""https://docs.google.com/spreadsheets/d/14Bd19lYaqBhU8_DElYkX7l4wRkHqqCUFNJY4AfY3kHU/edit?usp=sharing  #gid=0"",""фіз особи new!relations_name""),6,FALSE)
,
(IF
(
C8062=""юридична особа""
,
VLOOKUP"&amp;"(D8062,IMPORTRANGE(""https://docs.google.com/spreadsheets/d/14Bd19lYaqBhU8_DElYkX7l4wRkHqqCUFNJY4AfY3kHU/edit?usp=sharing  #gid=0"",""фіз особи new!relations_name_uo""),7,FALSE)
,
)
))"),"ТИМЧЕНКО Серафим Вікторович")</f>
        <v>ТИМЧЕНКО Серафим Вікторович</v>
      </c>
      <c r="G8061" s="7" t="s">
        <v>10</v>
      </c>
      <c r="H8061" s="7">
        <v>0</v>
      </c>
      <c r="I8061" s="8" t="str">
        <f ca="1">IFERROR(__xludf.DUMMYFUNCTION("IF
(
G8062=""фізична особа""
,
VLOOKUP(H8062,IMPORTRANGE(""https://docs.google.com/spreadsheets/d/14Bd19lYaqBhU8_DElYkX7l4wRkHqqCUFNJY4AfY3kHU/edit?usp=sharing  #gid=0"",""фіз особи new!relations_name""),6,FALSE)
,
(IF
(
G8062=""юридична особа""
,
VLOOKUP"&amp;"(H8062,IMPORTRANGE(""https://docs.google.com/spreadsheets/d/14Bd19lYaqBhU8_DElYkX7l4wRkHqqCUFNJY4AfY3kHU/edit?usp=sharing  #gid=0"",""фіз особи new!relations_name_uo""),7,FALSE)
,
)
))"),"#N/A")</f>
        <v>#N/A</v>
      </c>
      <c r="J8061" s="7" t="s">
        <v>104</v>
      </c>
    </row>
    <row r="8062" spans="1:10" ht="13.2">
      <c r="A8062" s="7">
        <v>8061</v>
      </c>
      <c r="B8062" s="7">
        <v>1</v>
      </c>
      <c r="C8062" s="7" t="s">
        <v>10</v>
      </c>
      <c r="D8062" s="7">
        <v>9278</v>
      </c>
      <c r="E8062" s="7" t="s">
        <v>29</v>
      </c>
      <c r="F8062" s="8" t="str">
        <f ca="1">IFERROR(__xludf.DUMMYFUNCTION("IF
(
C8063=""фізична особа""
,
VLOOKUP(D8063,IMPORTRANGE(""https://docs.google.com/spreadsheets/d/14Bd19lYaqBhU8_DElYkX7l4wRkHqqCUFNJY4AfY3kHU/edit?usp=sharing  #gid=0"",""фіз особи new!relations_name""),6,FALSE)
,
(IF
(
C8063=""юридична особа""
,
VLOOKUP"&amp;"(D8063,IMPORTRANGE(""https://docs.google.com/spreadsheets/d/14Bd19lYaqBhU8_DElYkX7l4wRkHqqCUFNJY4AfY3kHU/edit?usp=sharing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2" s="7" t="s">
        <v>10</v>
      </c>
      <c r="H8062" s="7">
        <v>0</v>
      </c>
      <c r="I8062" s="8" t="str">
        <f ca="1">IFERROR(__xludf.DUMMYFUNCTION("IF
(
G8063=""фізична особа""
,
VLOOKUP(H8063,IMPORTRANGE(""https://docs.google.com/spreadsheets/d/14Bd19lYaqBhU8_DElYkX7l4wRkHqqCUFNJY4AfY3kHU/edit?usp=sharing  #gid=0"",""фіз особи new!relations_name""),6,FALSE)
,
(IF
(
G8063=""юридична особа""
,
VLOOKUP"&amp;"(H8063,IMPORTRANGE(""https://docs.google.com/spreadsheets/d/14Bd19lYaqBhU8_DElYkX7l4wRkHqqCUFNJY4AfY3kHU/edit?usp=sharing  #gid=0"",""фіз особи new!relations_name_uo""),7,FALSE)
,
)
))"),"#N/A")</f>
        <v>#N/A</v>
      </c>
      <c r="J8062" s="7" t="s">
        <v>28</v>
      </c>
    </row>
    <row r="8063" spans="1:10" ht="13.2">
      <c r="A8063" s="7">
        <v>8062</v>
      </c>
      <c r="B8063" s="7">
        <v>1</v>
      </c>
      <c r="C8063" s="7" t="s">
        <v>10</v>
      </c>
      <c r="D8063" s="7">
        <v>9278</v>
      </c>
      <c r="E8063" s="7" t="s">
        <v>30</v>
      </c>
      <c r="F8063" s="8" t="str">
        <f ca="1">IFERROR(__xludf.DUMMYFUNCTION("IF
(
C8064=""фізична особа""
,
VLOOKUP(D8064,IMPORTRANGE(""https://docs.google.com/spreadsheets/d/14Bd19lYaqBhU8_DElYkX7l4wRkHqqCUFNJY4AfY3kHU/edit?usp=sharing  #gid=0"",""фіз особи new!relations_name""),6,FALSE)
,
(IF
(
C8064=""юридична особа""
,
VLOOKUP"&amp;"(D8064,IMPORTRANGE(""https://docs.google.com/spreadsheets/d/14Bd19lYaqBhU8_DElYkX7l4wRkHqqCUFNJY4AfY3kHU/edit?usp=sharing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3" s="7" t="s">
        <v>10</v>
      </c>
      <c r="H8063" s="7">
        <v>0</v>
      </c>
      <c r="I8063" s="8" t="str">
        <f ca="1">IFERROR(__xludf.DUMMYFUNCTION("IF
(
G8064=""фізична особа""
,
VLOOKUP(H8064,IMPORTRANGE(""https://docs.google.com/spreadsheets/d/14Bd19lYaqBhU8_DElYkX7l4wRkHqqCUFNJY4AfY3kHU/edit?usp=sharing  #gid=0"",""фіз особи new!relations_name""),6,FALSE)
,
(IF
(
G8064=""юридична особа""
,
VLOOKUP"&amp;"(H8064,IMPORTRANGE(""https://docs.google.com/spreadsheets/d/14Bd19lYaqBhU8_DElYkX7l4wRkHqqCUFNJY4AfY3kHU/edit?usp=sharing  #gid=0"",""фіз особи new!relations_name_uo""),7,FALSE)
,
)
))"),"#N/A")</f>
        <v>#N/A</v>
      </c>
      <c r="J8063" s="7" t="s">
        <v>30</v>
      </c>
    </row>
    <row r="8064" spans="1:10" ht="13.2">
      <c r="A8064" s="7">
        <v>8063</v>
      </c>
      <c r="B8064" s="7">
        <v>1</v>
      </c>
      <c r="C8064" s="7" t="s">
        <v>10</v>
      </c>
      <c r="D8064" s="7">
        <v>9278</v>
      </c>
      <c r="E8064" s="7" t="s">
        <v>30</v>
      </c>
      <c r="F8064" s="8" t="str">
        <f ca="1">IFERROR(__xludf.DUMMYFUNCTION("IF
(
C8065=""фізична особа""
,
VLOOKUP(D8065,IMPORTRANGE(""https://docs.google.com/spreadsheets/d/14Bd19lYaqBhU8_DElYkX7l4wRkHqqCUFNJY4AfY3kHU/edit?usp=sharing  #gid=0"",""фіз особи new!relations_name""),6,FALSE)
,
(IF
(
C8065=""юридична особа""
,
VLOOKUP"&amp;"(D8065,IMPORTRANGE(""https://docs.google.com/spreadsheets/d/14Bd19lYaqBhU8_DElYkX7l4wRkHqqCUFNJY4AfY3kHU/edit?usp=sharing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4" s="7" t="s">
        <v>10</v>
      </c>
      <c r="H8064" s="7">
        <v>0</v>
      </c>
      <c r="I8064" s="8" t="str">
        <f ca="1">IFERROR(__xludf.DUMMYFUNCTION("IF
(
G8065=""фізична особа""
,
VLOOKUP(H8065,IMPORTRANGE(""https://docs.google.com/spreadsheets/d/14Bd19lYaqBhU8_DElYkX7l4wRkHqqCUFNJY4AfY3kHU/edit?usp=sharing  #gid=0"",""фіз особи new!relations_name""),6,FALSE)
,
(IF
(
G8065=""юридична особа""
,
VLOOKUP"&amp;"(H8065,IMPORTRANGE(""https://docs.google.com/spreadsheets/d/14Bd19lYaqBhU8_DElYkX7l4wRkHqqCUFNJY4AfY3kHU/edit?usp=sharing  #gid=0"",""фіз особи new!relations_name_uo""),7,FALSE)
,
)
))"),"#N/A")</f>
        <v>#N/A</v>
      </c>
      <c r="J8064" s="7" t="s">
        <v>30</v>
      </c>
    </row>
    <row r="8065" spans="1:10" ht="13.2">
      <c r="A8065" s="7">
        <v>8064</v>
      </c>
      <c r="B8065" s="7">
        <v>1</v>
      </c>
      <c r="C8065" s="7" t="s">
        <v>10</v>
      </c>
      <c r="D8065" s="7">
        <v>9278</v>
      </c>
      <c r="E8065" s="7" t="s">
        <v>30</v>
      </c>
      <c r="F8065" s="8" t="str">
        <f ca="1">IFERROR(__xludf.DUMMYFUNCTION("IF
(
C8066=""фізична особа""
,
VLOOKUP(D8066,IMPORTRANGE(""https://docs.google.com/spreadsheets/d/14Bd19lYaqBhU8_DElYkX7l4wRkHqqCUFNJY4AfY3kHU/edit?usp=sharing  #gid=0"",""фіз особи new!relations_name""),6,FALSE)
,
(IF
(
C8066=""юридична особа""
,
VLOOKUP"&amp;"(D8066,IMPORTRANGE(""https://docs.google.com/spreadsheets/d/14Bd19lYaqBhU8_DElYkX7l4wRkHqqCUFNJY4AfY3kHU/edit?usp=sharing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5" s="7" t="s">
        <v>10</v>
      </c>
      <c r="H8065" s="7">
        <v>0</v>
      </c>
      <c r="I8065" s="8" t="str">
        <f ca="1">IFERROR(__xludf.DUMMYFUNCTION("IF
(
G8066=""фізична особа""
,
VLOOKUP(H8066,IMPORTRANGE(""https://docs.google.com/spreadsheets/d/14Bd19lYaqBhU8_DElYkX7l4wRkHqqCUFNJY4AfY3kHU/edit?usp=sharing  #gid=0"",""фіз особи new!relations_name""),6,FALSE)
,
(IF
(
G8066=""юридична особа""
,
VLOOKUP"&amp;"(H8066,IMPORTRANGE(""https://docs.google.com/spreadsheets/d/14Bd19lYaqBhU8_DElYkX7l4wRkHqqCUFNJY4AfY3kHU/edit?usp=sharing  #gid=0"",""фіз особи new!relations_name_uo""),7,FALSE)
,
)
))"),"#N/A")</f>
        <v>#N/A</v>
      </c>
      <c r="J8065" s="7" t="s">
        <v>30</v>
      </c>
    </row>
    <row r="8066" spans="1:10" ht="13.2">
      <c r="A8066" s="7">
        <v>8065</v>
      </c>
      <c r="B8066" s="7">
        <v>1</v>
      </c>
      <c r="C8066" s="7" t="s">
        <v>10</v>
      </c>
      <c r="D8066" s="7">
        <v>9278</v>
      </c>
      <c r="E8066" s="7" t="s">
        <v>30</v>
      </c>
      <c r="F8066" s="8" t="str">
        <f ca="1">IFERROR(__xludf.DUMMYFUNCTION("IF
(
C8067=""фізична особа""
,
VLOOKUP(D8067,IMPORTRANGE(""https://docs.google.com/spreadsheets/d/14Bd19lYaqBhU8_DElYkX7l4wRkHqqCUFNJY4AfY3kHU/edit?usp=sharing  #gid=0"",""фіз особи new!relations_name""),6,FALSE)
,
(IF
(
C8067=""юридична особа""
,
VLOOKUP"&amp;"(D8067,IMPORTRANGE(""https://docs.google.com/spreadsheets/d/14Bd19lYaqBhU8_DElYkX7l4wRkHqqCUFNJY4AfY3kHU/edit?usp=sharing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6" s="7" t="s">
        <v>10</v>
      </c>
      <c r="H8066" s="7">
        <v>0</v>
      </c>
      <c r="I8066" s="8" t="str">
        <f ca="1">IFERROR(__xludf.DUMMYFUNCTION("IF
(
G8067=""фізична особа""
,
VLOOKUP(H8067,IMPORTRANGE(""https://docs.google.com/spreadsheets/d/14Bd19lYaqBhU8_DElYkX7l4wRkHqqCUFNJY4AfY3kHU/edit?usp=sharing  #gid=0"",""фіз особи new!relations_name""),6,FALSE)
,
(IF
(
G8067=""юридична особа""
,
VLOOKUP"&amp;"(H8067,IMPORTRANGE(""https://docs.google.com/spreadsheets/d/14Bd19lYaqBhU8_DElYkX7l4wRkHqqCUFNJY4AfY3kHU/edit?usp=sharing  #gid=0"",""фіз особи new!relations_name_uo""),7,FALSE)
,
)
))"),"#N/A")</f>
        <v>#N/A</v>
      </c>
      <c r="J8066" s="7" t="s">
        <v>30</v>
      </c>
    </row>
    <row r="8067" spans="1:10" ht="13.2">
      <c r="A8067" s="7">
        <v>8066</v>
      </c>
      <c r="B8067" s="7">
        <v>1</v>
      </c>
      <c r="C8067" s="7" t="s">
        <v>10</v>
      </c>
      <c r="D8067" s="7">
        <v>9278</v>
      </c>
      <c r="E8067" s="7" t="s">
        <v>30</v>
      </c>
      <c r="F8067" s="8" t="str">
        <f ca="1">IFERROR(__xludf.DUMMYFUNCTION("IF
(
C8068=""фізична особа""
,
VLOOKUP(D8068,IMPORTRANGE(""https://docs.google.com/spreadsheets/d/14Bd19lYaqBhU8_DElYkX7l4wRkHqqCUFNJY4AfY3kHU/edit?usp=sharing  #gid=0"",""фіз особи new!relations_name""),6,FALSE)
,
(IF
(
C8068=""юридична особа""
,
VLOOKUP"&amp;"(D8068,IMPORTRANGE(""https://docs.google.com/spreadsheets/d/14Bd19lYaqBhU8_DElYkX7l4wRkHqqCUFNJY4AfY3kHU/edit?usp=sharing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7" s="7" t="s">
        <v>10</v>
      </c>
      <c r="H8067" s="7">
        <v>0</v>
      </c>
      <c r="I8067" s="8" t="str">
        <f ca="1">IFERROR(__xludf.DUMMYFUNCTION("IF
(
G8068=""фізична особа""
,
VLOOKUP(H8068,IMPORTRANGE(""https://docs.google.com/spreadsheets/d/14Bd19lYaqBhU8_DElYkX7l4wRkHqqCUFNJY4AfY3kHU/edit?usp=sharing  #gid=0"",""фіз особи new!relations_name""),6,FALSE)
,
(IF
(
G8068=""юридична особа""
,
VLOOKUP"&amp;"(H8068,IMPORTRANGE(""https://docs.google.com/spreadsheets/d/14Bd19lYaqBhU8_DElYkX7l4wRkHqqCUFNJY4AfY3kHU/edit?usp=sharing  #gid=0"",""фіз особи new!relations_name_uo""),7,FALSE)
,
)
))"),"#N/A")</f>
        <v>#N/A</v>
      </c>
      <c r="J8067" s="7" t="s">
        <v>30</v>
      </c>
    </row>
    <row r="8068" spans="1:10" ht="13.2">
      <c r="A8068" s="7">
        <v>8067</v>
      </c>
      <c r="B8068" s="7">
        <v>1</v>
      </c>
      <c r="C8068" s="7" t="s">
        <v>10</v>
      </c>
      <c r="D8068" s="7">
        <v>9278</v>
      </c>
      <c r="E8068" s="7" t="s">
        <v>30</v>
      </c>
      <c r="F8068" s="8" t="str">
        <f ca="1">IFERROR(__xludf.DUMMYFUNCTION("IF
(
C8069=""фізична особа""
,
VLOOKUP(D8069,IMPORTRANGE(""https://docs.google.com/spreadsheets/d/14Bd19lYaqBhU8_DElYkX7l4wRkHqqCUFNJY4AfY3kHU/edit?usp=sharing  #gid=0"",""фіз особи new!relations_name""),6,FALSE)
,
(IF
(
C8069=""юридична особа""
,
VLOOKUP"&amp;"(D8069,IMPORTRANGE(""https://docs.google.com/spreadsheets/d/14Bd19lYaqBhU8_DElYkX7l4wRkHqqCUFNJY4AfY3kHU/edit?usp=sharing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8" s="7" t="s">
        <v>10</v>
      </c>
      <c r="H8068" s="7">
        <v>0</v>
      </c>
      <c r="I8068" s="8" t="str">
        <f ca="1">IFERROR(__xludf.DUMMYFUNCTION("IF
(
G8069=""фізична особа""
,
VLOOKUP(H8069,IMPORTRANGE(""https://docs.google.com/spreadsheets/d/14Bd19lYaqBhU8_DElYkX7l4wRkHqqCUFNJY4AfY3kHU/edit?usp=sharing  #gid=0"",""фіз особи new!relations_name""),6,FALSE)
,
(IF
(
G8069=""юридична особа""
,
VLOOKUP"&amp;"(H8069,IMPORTRANGE(""https://docs.google.com/spreadsheets/d/14Bd19lYaqBhU8_DElYkX7l4wRkHqqCUFNJY4AfY3kHU/edit?usp=sharing  #gid=0"",""фіз особи new!relations_name_uo""),7,FALSE)
,
)
))"),"#N/A")</f>
        <v>#N/A</v>
      </c>
      <c r="J8068" s="7" t="s">
        <v>30</v>
      </c>
    </row>
    <row r="8069" spans="1:10" ht="13.2">
      <c r="A8069" s="7">
        <v>8068</v>
      </c>
      <c r="B8069" s="7">
        <v>1</v>
      </c>
      <c r="C8069" s="7" t="s">
        <v>10</v>
      </c>
      <c r="D8069" s="7">
        <v>9278</v>
      </c>
      <c r="E8069" s="7" t="s">
        <v>30</v>
      </c>
      <c r="F8069" s="8" t="str">
        <f ca="1">IFERROR(__xludf.DUMMYFUNCTION("IF
(
C8070=""фізична особа""
,
VLOOKUP(D8070,IMPORTRANGE(""https://docs.google.com/spreadsheets/d/14Bd19lYaqBhU8_DElYkX7l4wRkHqqCUFNJY4AfY3kHU/edit?usp=sharing  #gid=0"",""фіз особи new!relations_name""),6,FALSE)
,
(IF
(
C8070=""юридична особа""
,
VLOOKUP"&amp;"(D8070,IMPORTRANGE(""https://docs.google.com/spreadsheets/d/14Bd19lYaqBhU8_DElYkX7l4wRkHqqCUFNJY4AfY3kHU/edit?usp=sharing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69" s="7" t="s">
        <v>10</v>
      </c>
      <c r="H8069" s="7">
        <v>0</v>
      </c>
      <c r="I8069" s="8" t="str">
        <f ca="1">IFERROR(__xludf.DUMMYFUNCTION("IF
(
G8070=""фізична особа""
,
VLOOKUP(H8070,IMPORTRANGE(""https://docs.google.com/spreadsheets/d/14Bd19lYaqBhU8_DElYkX7l4wRkHqqCUFNJY4AfY3kHU/edit?usp=sharing  #gid=0"",""фіз особи new!relations_name""),6,FALSE)
,
(IF
(
G8070=""юридична особа""
,
VLOOKUP"&amp;"(H8070,IMPORTRANGE(""https://docs.google.com/spreadsheets/d/14Bd19lYaqBhU8_DElYkX7l4wRkHqqCUFNJY4AfY3kHU/edit?usp=sharing  #gid=0"",""фіз особи new!relations_name_uo""),7,FALSE)
,
)
))"),"#N/A")</f>
        <v>#N/A</v>
      </c>
      <c r="J8069" s="7" t="s">
        <v>30</v>
      </c>
    </row>
    <row r="8070" spans="1:10" ht="13.2">
      <c r="A8070" s="7">
        <v>8069</v>
      </c>
      <c r="B8070" s="7">
        <v>1</v>
      </c>
      <c r="C8070" s="7" t="s">
        <v>10</v>
      </c>
      <c r="D8070" s="7">
        <v>9278</v>
      </c>
      <c r="E8070" s="7" t="s">
        <v>30</v>
      </c>
      <c r="F8070" s="8" t="str">
        <f ca="1">IFERROR(__xludf.DUMMYFUNCTION("IF
(
C8071=""фізична особа""
,
VLOOKUP(D8071,IMPORTRANGE(""https://docs.google.com/spreadsheets/d/14Bd19lYaqBhU8_DElYkX7l4wRkHqqCUFNJY4AfY3kHU/edit?usp=sharing  #gid=0"",""фіз особи new!relations_name""),6,FALSE)
,
(IF
(
C8071=""юридична особа""
,
VLOOKUP"&amp;"(D8071,IMPORTRANGE(""https://docs.google.com/spreadsheets/d/14Bd19lYaqBhU8_DElYkX7l4wRkHqqCUFNJY4AfY3kHU/edit?usp=sharing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0" s="7" t="s">
        <v>10</v>
      </c>
      <c r="H8070" s="7">
        <v>0</v>
      </c>
      <c r="I8070" s="8" t="str">
        <f ca="1">IFERROR(__xludf.DUMMYFUNCTION("IF
(
G8071=""фізична особа""
,
VLOOKUP(H8071,IMPORTRANGE(""https://docs.google.com/spreadsheets/d/14Bd19lYaqBhU8_DElYkX7l4wRkHqqCUFNJY4AfY3kHU/edit?usp=sharing  #gid=0"",""фіз особи new!relations_name""),6,FALSE)
,
(IF
(
G8071=""юридична особа""
,
VLOOKUP"&amp;"(H8071,IMPORTRANGE(""https://docs.google.com/spreadsheets/d/14Bd19lYaqBhU8_DElYkX7l4wRkHqqCUFNJY4AfY3kHU/edit?usp=sharing  #gid=0"",""фіз особи new!relations_name_uo""),7,FALSE)
,
)
))"),"#N/A")</f>
        <v>#N/A</v>
      </c>
      <c r="J8070" s="7" t="s">
        <v>30</v>
      </c>
    </row>
    <row r="8071" spans="1:10" ht="13.2">
      <c r="A8071" s="7">
        <v>8070</v>
      </c>
      <c r="B8071" s="7">
        <v>1</v>
      </c>
      <c r="C8071" s="7" t="s">
        <v>10</v>
      </c>
      <c r="D8071" s="7">
        <v>9278</v>
      </c>
      <c r="E8071" s="7" t="s">
        <v>30</v>
      </c>
      <c r="F8071" s="8" t="str">
        <f ca="1">IFERROR(__xludf.DUMMYFUNCTION("IF
(
C8072=""фізична особа""
,
VLOOKUP(D8072,IMPORTRANGE(""https://docs.google.com/spreadsheets/d/14Bd19lYaqBhU8_DElYkX7l4wRkHqqCUFNJY4AfY3kHU/edit?usp=sharing  #gid=0"",""фіз особи new!relations_name""),6,FALSE)
,
(IF
(
C8072=""юридична особа""
,
VLOOKUP"&amp;"(D8072,IMPORTRANGE(""https://docs.google.com/spreadsheets/d/14Bd19lYaqBhU8_DElYkX7l4wRkHqqCUFNJY4AfY3kHU/edit?usp=sharing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1" s="7" t="s">
        <v>10</v>
      </c>
      <c r="H8071" s="7">
        <v>0</v>
      </c>
      <c r="I8071" s="8" t="str">
        <f ca="1">IFERROR(__xludf.DUMMYFUNCTION("IF
(
G8072=""фізична особа""
,
VLOOKUP(H8072,IMPORTRANGE(""https://docs.google.com/spreadsheets/d/14Bd19lYaqBhU8_DElYkX7l4wRkHqqCUFNJY4AfY3kHU/edit?usp=sharing  #gid=0"",""фіз особи new!relations_name""),6,FALSE)
,
(IF
(
G8072=""юридична особа""
,
VLOOKUP"&amp;"(H8072,IMPORTRANGE(""https://docs.google.com/spreadsheets/d/14Bd19lYaqBhU8_DElYkX7l4wRkHqqCUFNJY4AfY3kHU/edit?usp=sharing  #gid=0"",""фіз особи new!relations_name_uo""),7,FALSE)
,
)
))"),"#N/A")</f>
        <v>#N/A</v>
      </c>
      <c r="J8071" s="7" t="s">
        <v>30</v>
      </c>
    </row>
    <row r="8072" spans="1:10" ht="13.2">
      <c r="A8072" s="7">
        <v>8071</v>
      </c>
      <c r="B8072" s="7">
        <v>1</v>
      </c>
      <c r="C8072" s="7" t="s">
        <v>10</v>
      </c>
      <c r="D8072" s="7">
        <v>9278</v>
      </c>
      <c r="E8072" s="7" t="s">
        <v>30</v>
      </c>
      <c r="F8072" s="8" t="str">
        <f ca="1">IFERROR(__xludf.DUMMYFUNCTION("IF
(
C8073=""фізична особа""
,
VLOOKUP(D8073,IMPORTRANGE(""https://docs.google.com/spreadsheets/d/14Bd19lYaqBhU8_DElYkX7l4wRkHqqCUFNJY4AfY3kHU/edit?usp=sharing  #gid=0"",""фіз особи new!relations_name""),6,FALSE)
,
(IF
(
C8073=""юридична особа""
,
VLOOKUP"&amp;"(D8073,IMPORTRANGE(""https://docs.google.com/spreadsheets/d/14Bd19lYaqBhU8_DElYkX7l4wRkHqqCUFNJY4AfY3kHU/edit?usp=sharing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2" s="7" t="s">
        <v>10</v>
      </c>
      <c r="H8072" s="7">
        <v>0</v>
      </c>
      <c r="I8072" s="8" t="str">
        <f ca="1">IFERROR(__xludf.DUMMYFUNCTION("IF
(
G8073=""фізична особа""
,
VLOOKUP(H8073,IMPORTRANGE(""https://docs.google.com/spreadsheets/d/14Bd19lYaqBhU8_DElYkX7l4wRkHqqCUFNJY4AfY3kHU/edit?usp=sharing  #gid=0"",""фіз особи new!relations_name""),6,FALSE)
,
(IF
(
G8073=""юридична особа""
,
VLOOKUP"&amp;"(H8073,IMPORTRANGE(""https://docs.google.com/spreadsheets/d/14Bd19lYaqBhU8_DElYkX7l4wRkHqqCUFNJY4AfY3kHU/edit?usp=sharing  #gid=0"",""фіз особи new!relations_name_uo""),7,FALSE)
,
)
))"),"#N/A")</f>
        <v>#N/A</v>
      </c>
      <c r="J8072" s="7" t="s">
        <v>30</v>
      </c>
    </row>
    <row r="8073" spans="1:10" ht="13.2">
      <c r="A8073" s="7">
        <v>8072</v>
      </c>
      <c r="B8073" s="7">
        <v>1</v>
      </c>
      <c r="C8073" s="7" t="s">
        <v>10</v>
      </c>
      <c r="D8073" s="7">
        <v>9278</v>
      </c>
      <c r="E8073" s="7" t="s">
        <v>30</v>
      </c>
      <c r="F8073" s="8" t="str">
        <f ca="1">IFERROR(__xludf.DUMMYFUNCTION("IF
(
C8074=""фізична особа""
,
VLOOKUP(D8074,IMPORTRANGE(""https://docs.google.com/spreadsheets/d/14Bd19lYaqBhU8_DElYkX7l4wRkHqqCUFNJY4AfY3kHU/edit?usp=sharing  #gid=0"",""фіз особи new!relations_name""),6,FALSE)
,
(IF
(
C8074=""юридична особа""
,
VLOOKUP"&amp;"(D8074,IMPORTRANGE(""https://docs.google.com/spreadsheets/d/14Bd19lYaqBhU8_DElYkX7l4wRkHqqCUFNJY4AfY3kHU/edit?usp=sharing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3" s="7" t="s">
        <v>10</v>
      </c>
      <c r="H8073" s="7">
        <v>0</v>
      </c>
      <c r="I8073" s="8" t="str">
        <f ca="1">IFERROR(__xludf.DUMMYFUNCTION("IF
(
G8074=""фізична особа""
,
VLOOKUP(H8074,IMPORTRANGE(""https://docs.google.com/spreadsheets/d/14Bd19lYaqBhU8_DElYkX7l4wRkHqqCUFNJY4AfY3kHU/edit?usp=sharing  #gid=0"",""фіз особи new!relations_name""),6,FALSE)
,
(IF
(
G8074=""юридична особа""
,
VLOOKUP"&amp;"(H8074,IMPORTRANGE(""https://docs.google.com/spreadsheets/d/14Bd19lYaqBhU8_DElYkX7l4wRkHqqCUFNJY4AfY3kHU/edit?usp=sharing  #gid=0"",""фіз особи new!relations_name_uo""),7,FALSE)
,
)
))"),"#N/A")</f>
        <v>#N/A</v>
      </c>
      <c r="J8073" s="7" t="s">
        <v>30</v>
      </c>
    </row>
    <row r="8074" spans="1:10" ht="13.2">
      <c r="A8074" s="7">
        <v>8073</v>
      </c>
      <c r="B8074" s="7">
        <v>1</v>
      </c>
      <c r="C8074" s="7" t="s">
        <v>10</v>
      </c>
      <c r="D8074" s="7">
        <v>9278</v>
      </c>
      <c r="E8074" s="7" t="s">
        <v>30</v>
      </c>
      <c r="F8074" s="8" t="str">
        <f ca="1">IFERROR(__xludf.DUMMYFUNCTION("IF
(
C8075=""фізична особа""
,
VLOOKUP(D8075,IMPORTRANGE(""https://docs.google.com/spreadsheets/d/14Bd19lYaqBhU8_DElYkX7l4wRkHqqCUFNJY4AfY3kHU/edit?usp=sharing  #gid=0"",""фіз особи new!relations_name""),6,FALSE)
,
(IF
(
C8075=""юридична особа""
,
VLOOKUP"&amp;"(D8075,IMPORTRANGE(""https://docs.google.com/spreadsheets/d/14Bd19lYaqBhU8_DElYkX7l4wRkHqqCUFNJY4AfY3kHU/edit?usp=sharing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4" s="7" t="s">
        <v>10</v>
      </c>
      <c r="H8074" s="7">
        <v>0</v>
      </c>
      <c r="I8074" s="8" t="str">
        <f ca="1">IFERROR(__xludf.DUMMYFUNCTION("IF
(
G8075=""фізична особа""
,
VLOOKUP(H8075,IMPORTRANGE(""https://docs.google.com/spreadsheets/d/14Bd19lYaqBhU8_DElYkX7l4wRkHqqCUFNJY4AfY3kHU/edit?usp=sharing  #gid=0"",""фіз особи new!relations_name""),6,FALSE)
,
(IF
(
G8075=""юридична особа""
,
VLOOKUP"&amp;"(H8075,IMPORTRANGE(""https://docs.google.com/spreadsheets/d/14Bd19lYaqBhU8_DElYkX7l4wRkHqqCUFNJY4AfY3kHU/edit?usp=sharing  #gid=0"",""фіз особи new!relations_name_uo""),7,FALSE)
,
)
))"),"#N/A")</f>
        <v>#N/A</v>
      </c>
      <c r="J8074" s="7" t="s">
        <v>30</v>
      </c>
    </row>
    <row r="8075" spans="1:10" ht="13.2">
      <c r="A8075" s="7">
        <v>8074</v>
      </c>
      <c r="B8075" s="7">
        <v>1</v>
      </c>
      <c r="C8075" s="7" t="s">
        <v>10</v>
      </c>
      <c r="D8075" s="7">
        <v>9278</v>
      </c>
      <c r="E8075" s="7" t="s">
        <v>30</v>
      </c>
      <c r="F8075" s="8" t="str">
        <f ca="1">IFERROR(__xludf.DUMMYFUNCTION("IF
(
C8076=""фізична особа""
,
VLOOKUP(D8076,IMPORTRANGE(""https://docs.google.com/spreadsheets/d/14Bd19lYaqBhU8_DElYkX7l4wRkHqqCUFNJY4AfY3kHU/edit?usp=sharing  #gid=0"",""фіз особи new!relations_name""),6,FALSE)
,
(IF
(
C8076=""юридична особа""
,
VLOOKUP"&amp;"(D8076,IMPORTRANGE(""https://docs.google.com/spreadsheets/d/14Bd19lYaqBhU8_DElYkX7l4wRkHqqCUFNJY4AfY3kHU/edit?usp=sharing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5" s="7" t="s">
        <v>10</v>
      </c>
      <c r="H8075" s="7">
        <v>0</v>
      </c>
      <c r="I8075" s="8" t="str">
        <f ca="1">IFERROR(__xludf.DUMMYFUNCTION("IF
(
G8076=""фізична особа""
,
VLOOKUP(H8076,IMPORTRANGE(""https://docs.google.com/spreadsheets/d/14Bd19lYaqBhU8_DElYkX7l4wRkHqqCUFNJY4AfY3kHU/edit?usp=sharing  #gid=0"",""фіз особи new!relations_name""),6,FALSE)
,
(IF
(
G8076=""юридична особа""
,
VLOOKUP"&amp;"(H8076,IMPORTRANGE(""https://docs.google.com/spreadsheets/d/14Bd19lYaqBhU8_DElYkX7l4wRkHqqCUFNJY4AfY3kHU/edit?usp=sharing  #gid=0"",""фіз особи new!relations_name_uo""),7,FALSE)
,
)
))"),"#N/A")</f>
        <v>#N/A</v>
      </c>
      <c r="J8075" s="7" t="s">
        <v>30</v>
      </c>
    </row>
    <row r="8076" spans="1:10" ht="13.2">
      <c r="A8076" s="7">
        <v>8075</v>
      </c>
      <c r="B8076" s="7">
        <v>1</v>
      </c>
      <c r="C8076" s="7" t="s">
        <v>10</v>
      </c>
      <c r="D8076" s="7">
        <v>9278</v>
      </c>
      <c r="E8076" s="7" t="s">
        <v>30</v>
      </c>
      <c r="F8076" s="8" t="str">
        <f ca="1">IFERROR(__xludf.DUMMYFUNCTION("IF
(
C8077=""фізична особа""
,
VLOOKUP(D8077,IMPORTRANGE(""https://docs.google.com/spreadsheets/d/14Bd19lYaqBhU8_DElYkX7l4wRkHqqCUFNJY4AfY3kHU/edit?usp=sharing  #gid=0"",""фіз особи new!relations_name""),6,FALSE)
,
(IF
(
C8077=""юридична особа""
,
VLOOKUP"&amp;"(D8077,IMPORTRANGE(""https://docs.google.com/spreadsheets/d/14Bd19lYaqBhU8_DElYkX7l4wRkHqqCUFNJY4AfY3kHU/edit?usp=sharing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6" s="7" t="s">
        <v>10</v>
      </c>
      <c r="H8076" s="7">
        <v>0</v>
      </c>
      <c r="I8076" s="8" t="str">
        <f ca="1">IFERROR(__xludf.DUMMYFUNCTION("IF
(
G8077=""фізична особа""
,
VLOOKUP(H8077,IMPORTRANGE(""https://docs.google.com/spreadsheets/d/14Bd19lYaqBhU8_DElYkX7l4wRkHqqCUFNJY4AfY3kHU/edit?usp=sharing  #gid=0"",""фіз особи new!relations_name""),6,FALSE)
,
(IF
(
G8077=""юридична особа""
,
VLOOKUP"&amp;"(H8077,IMPORTRANGE(""https://docs.google.com/spreadsheets/d/14Bd19lYaqBhU8_DElYkX7l4wRkHqqCUFNJY4AfY3kHU/edit?usp=sharing  #gid=0"",""фіз особи new!relations_name_uo""),7,FALSE)
,
)
))"),"#N/A")</f>
        <v>#N/A</v>
      </c>
      <c r="J8076" s="7" t="s">
        <v>30</v>
      </c>
    </row>
    <row r="8077" spans="1:10" ht="13.2">
      <c r="A8077" s="7">
        <v>8076</v>
      </c>
      <c r="B8077" s="7">
        <v>1</v>
      </c>
      <c r="C8077" s="7" t="s">
        <v>10</v>
      </c>
      <c r="D8077" s="7">
        <v>9278</v>
      </c>
      <c r="E8077" s="7" t="s">
        <v>30</v>
      </c>
      <c r="F8077" s="8" t="str">
        <f ca="1">IFERROR(__xludf.DUMMYFUNCTION("IF
(
C8078=""фізична особа""
,
VLOOKUP(D8078,IMPORTRANGE(""https://docs.google.com/spreadsheets/d/14Bd19lYaqBhU8_DElYkX7l4wRkHqqCUFNJY4AfY3kHU/edit?usp=sharing  #gid=0"",""фіз особи new!relations_name""),6,FALSE)
,
(IF
(
C8078=""юридична особа""
,
VLOOKUP"&amp;"(D8078,IMPORTRANGE(""https://docs.google.com/spreadsheets/d/14Bd19lYaqBhU8_DElYkX7l4wRkHqqCUFNJY4AfY3kHU/edit?usp=sharing  #gid=0"",""фіз особи new!relations_name_uo""),7,FALSE)
,
)
))"),"ПЕТРОВСЬКИЙ Денис Віталійович")</f>
        <v>ПЕТРОВСЬКИЙ Денис Віталійович</v>
      </c>
      <c r="G8077" s="7" t="s">
        <v>10</v>
      </c>
      <c r="H8077" s="7">
        <v>0</v>
      </c>
      <c r="I8077" s="8" t="str">
        <f ca="1">IFERROR(__xludf.DUMMYFUNCTION("IF
(
G8078=""фізична особа""
,
VLOOKUP(H8078,IMPORTRANGE(""https://docs.google.com/spreadsheets/d/14Bd19lYaqBhU8_DElYkX7l4wRkHqqCUFNJY4AfY3kHU/edit?usp=sharing  #gid=0"",""фіз особи new!relations_name""),6,FALSE)
,
(IF
(
G8078=""юридична особа""
,
VLOOKUP"&amp;"(H8078,IMPORTRANGE(""https://docs.google.com/spreadsheets/d/14Bd19lYaqBhU8_DElYkX7l4wRkHqqCUFNJY4AfY3kHU/edit?usp=sharing  #gid=0"",""фіз особи new!relations_name_uo""),7,FALSE)
,
)
))"),"#N/A")</f>
        <v>#N/A</v>
      </c>
      <c r="J8077" s="7" t="s">
        <v>30</v>
      </c>
    </row>
    <row r="8078" spans="1:10" ht="13.2">
      <c r="A8078" s="7">
        <v>8077</v>
      </c>
      <c r="B8078" s="7">
        <v>1</v>
      </c>
      <c r="C8078" s="7" t="s">
        <v>10</v>
      </c>
      <c r="D8078" s="7">
        <v>9279</v>
      </c>
      <c r="E8078" s="7" t="s">
        <v>30</v>
      </c>
      <c r="F8078" s="8" t="str">
        <f ca="1">IFERROR(__xludf.DUMMYFUNCTION("IF
(
C8079=""фізична особа""
,
VLOOKUP(D8079,IMPORTRANGE(""https://docs.google.com/spreadsheets/d/14Bd19lYaqBhU8_DElYkX7l4wRkHqqCUFNJY4AfY3kHU/edit?usp=sharing  #gid=0"",""фіз особи new!relations_name""),6,FALSE)
,
(IF
(
C8079=""юридична особа""
,
VLOOKUP"&amp;"(D8079,IMPORTRANGE(""https://docs.google.com/spreadsheets/d/14Bd19lYaqBhU8_DElYkX7l4wRkHqqCUFNJY4AfY3kHU/edit?usp=sharing  #gid=0"",""фіз особи new!relations_name_uo""),7,FALSE)
,
)
))"),"БОГАТИРЬОВ Павло Олександрович")</f>
        <v>БОГАТИРЬОВ Павло Олександрович</v>
      </c>
      <c r="G8078" s="7" t="s">
        <v>10</v>
      </c>
      <c r="H8078" s="7">
        <v>0</v>
      </c>
      <c r="I8078" s="8" t="str">
        <f ca="1">IFERROR(__xludf.DUMMYFUNCTION("IF
(
G8079=""фізична особа""
,
VLOOKUP(H8079,IMPORTRANGE(""https://docs.google.com/spreadsheets/d/14Bd19lYaqBhU8_DElYkX7l4wRkHqqCUFNJY4AfY3kHU/edit?usp=sharing  #gid=0"",""фіз особи new!relations_name""),6,FALSE)
,
(IF
(
G8079=""юридична особа""
,
VLOOKUP"&amp;"(H8079,IMPORTRANGE(""https://docs.google.com/spreadsheets/d/14Bd19lYaqBhU8_DElYkX7l4wRkHqqCUFNJY4AfY3kHU/edit?usp=sharing  #gid=0"",""фіз особи new!relations_name_uo""),7,FALSE)
,
)
))"),"#N/A")</f>
        <v>#N/A</v>
      </c>
      <c r="J8078" s="7" t="s">
        <v>30</v>
      </c>
    </row>
    <row r="8079" spans="1:10" ht="13.2">
      <c r="A8079" s="7">
        <v>8078</v>
      </c>
      <c r="B8079" s="7">
        <v>1</v>
      </c>
      <c r="C8079" s="7" t="s">
        <v>10</v>
      </c>
      <c r="D8079" s="7">
        <v>9279</v>
      </c>
      <c r="E8079" s="7" t="s">
        <v>30</v>
      </c>
      <c r="F8079" s="8" t="str">
        <f ca="1">IFERROR(__xludf.DUMMYFUNCTION("IF
(
C8080=""фізична особа""
,
VLOOKUP(D8080,IMPORTRANGE(""https://docs.google.com/spreadsheets/d/14Bd19lYaqBhU8_DElYkX7l4wRkHqqCUFNJY4AfY3kHU/edit?usp=sharing  #gid=0"",""фіз особи new!relations_name""),6,FALSE)
,
(IF
(
C8080=""юридична особа""
,
VLOOKUP"&amp;"(D8080,IMPORTRANGE(""https://docs.google.com/spreadsheets/d/14Bd19lYaqBhU8_DElYkX7l4wRkHqqCUFNJY4AfY3kHU/edit?usp=sharing  #gid=0"",""фіз особи new!relations_name_uo""),7,FALSE)
,
)
))"),"БОГАТИРЬОВ Павло Олександрович")</f>
        <v>БОГАТИРЬОВ Павло Олександрович</v>
      </c>
      <c r="G8079" s="7" t="s">
        <v>10</v>
      </c>
      <c r="H8079" s="7">
        <v>0</v>
      </c>
      <c r="I8079" s="8" t="str">
        <f ca="1">IFERROR(__xludf.DUMMYFUNCTION("IF
(
G8080=""фізична особа""
,
VLOOKUP(H8080,IMPORTRANGE(""https://docs.google.com/spreadsheets/d/14Bd19lYaqBhU8_DElYkX7l4wRkHqqCUFNJY4AfY3kHU/edit?usp=sharing  #gid=0"",""фіз особи new!relations_name""),6,FALSE)
,
(IF
(
G8080=""юридична особа""
,
VLOOKUP"&amp;"(H8080,IMPORTRANGE(""https://docs.google.com/spreadsheets/d/14Bd19lYaqBhU8_DElYkX7l4wRkHqqCUFNJY4AfY3kHU/edit?usp=sharing  #gid=0"",""фіз особи new!relations_name_uo""),7,FALSE)
,
)
))"),"#N/A")</f>
        <v>#N/A</v>
      </c>
      <c r="J8079" s="7" t="s">
        <v>30</v>
      </c>
    </row>
    <row r="8080" spans="1:10" ht="13.2">
      <c r="A8080" s="7">
        <v>8079</v>
      </c>
      <c r="B8080" s="7">
        <v>1</v>
      </c>
      <c r="C8080" s="7" t="s">
        <v>10</v>
      </c>
      <c r="D8080" s="7">
        <v>9279</v>
      </c>
      <c r="E8080" s="7" t="s">
        <v>30</v>
      </c>
      <c r="F8080" s="8" t="str">
        <f ca="1">IFERROR(__xludf.DUMMYFUNCTION("IF
(
C8081=""фізична особа""
,
VLOOKUP(D8081,IMPORTRANGE(""https://docs.google.com/spreadsheets/d/14Bd19lYaqBhU8_DElYkX7l4wRkHqqCUFNJY4AfY3kHU/edit?usp=sharing  #gid=0"",""фіз особи new!relations_name""),6,FALSE)
,
(IF
(
C8081=""юридична особа""
,
VLOOKUP"&amp;"(D8081,IMPORTRANGE(""https://docs.google.com/spreadsheets/d/14Bd19lYaqBhU8_DElYkX7l4wRkHqqCUFNJY4AfY3kHU/edit?usp=sharing  #gid=0"",""фіз особи new!relations_name_uo""),7,FALSE)
,
)
))"),"БОГАТИРЬОВ Павло Олександрович")</f>
        <v>БОГАТИРЬОВ Павло Олександрович</v>
      </c>
      <c r="G8080" s="7" t="s">
        <v>10</v>
      </c>
      <c r="H8080" s="7">
        <v>0</v>
      </c>
      <c r="I8080" s="8" t="str">
        <f ca="1">IFERROR(__xludf.DUMMYFUNCTION("IF
(
G8081=""фізична особа""
,
VLOOKUP(H8081,IMPORTRANGE(""https://docs.google.com/spreadsheets/d/14Bd19lYaqBhU8_DElYkX7l4wRkHqqCUFNJY4AfY3kHU/edit?usp=sharing  #gid=0"",""фіз особи new!relations_name""),6,FALSE)
,
(IF
(
G8081=""юридична особа""
,
VLOOKUP"&amp;"(H8081,IMPORTRANGE(""https://docs.google.com/spreadsheets/d/14Bd19lYaqBhU8_DElYkX7l4wRkHqqCUFNJY4AfY3kHU/edit?usp=sharing  #gid=0"",""фіз особи new!relations_name_uo""),7,FALSE)
,
)
))"),"#N/A")</f>
        <v>#N/A</v>
      </c>
      <c r="J8080" s="7" t="s">
        <v>30</v>
      </c>
    </row>
    <row r="8081" spans="1:10" ht="13.2">
      <c r="A8081" s="7">
        <v>8080</v>
      </c>
      <c r="B8081" s="7">
        <v>1</v>
      </c>
      <c r="C8081" s="7" t="s">
        <v>10</v>
      </c>
      <c r="D8081" s="7">
        <v>9279</v>
      </c>
      <c r="E8081" s="7" t="s">
        <v>30</v>
      </c>
      <c r="F8081" s="8" t="str">
        <f ca="1">IFERROR(__xludf.DUMMYFUNCTION("IF
(
C8082=""фізична особа""
,
VLOOKUP(D8082,IMPORTRANGE(""https://docs.google.com/spreadsheets/d/14Bd19lYaqBhU8_DElYkX7l4wRkHqqCUFNJY4AfY3kHU/edit?usp=sharing  #gid=0"",""фіз особи new!relations_name""),6,FALSE)
,
(IF
(
C8082=""юридична особа""
,
VLOOKUP"&amp;"(D8082,IMPORTRANGE(""https://docs.google.com/spreadsheets/d/14Bd19lYaqBhU8_DElYkX7l4wRkHqqCUFNJY4AfY3kHU/edit?usp=sharing  #gid=0"",""фіз особи new!relations_name_uo""),7,FALSE)
,
)
))"),"БОГАТИРЬОВ Павло Олександрович")</f>
        <v>БОГАТИРЬОВ Павло Олександрович</v>
      </c>
      <c r="G8081" s="7" t="s">
        <v>10</v>
      </c>
      <c r="H8081" s="7">
        <v>0</v>
      </c>
      <c r="I8081" s="8" t="str">
        <f ca="1">IFERROR(__xludf.DUMMYFUNCTION("IF
(
G8082=""фізична особа""
,
VLOOKUP(H8082,IMPORTRANGE(""https://docs.google.com/spreadsheets/d/14Bd19lYaqBhU8_DElYkX7l4wRkHqqCUFNJY4AfY3kHU/edit?usp=sharing  #gid=0"",""фіз особи new!relations_name""),6,FALSE)
,
(IF
(
G8082=""юридична особа""
,
VLOOKUP"&amp;"(H8082,IMPORTRANGE(""https://docs.google.com/spreadsheets/d/14Bd19lYaqBhU8_DElYkX7l4wRkHqqCUFNJY4AfY3kHU/edit?usp=sharing  #gid=0"",""фіз особи new!relations_name_uo""),7,FALSE)
,
)
))"),"#N/A")</f>
        <v>#N/A</v>
      </c>
      <c r="J8081" s="7" t="s">
        <v>30</v>
      </c>
    </row>
    <row r="8082" spans="1:10" ht="13.2">
      <c r="A8082" s="7">
        <v>8081</v>
      </c>
      <c r="B8082" s="7">
        <v>1</v>
      </c>
      <c r="C8082" s="7" t="s">
        <v>10</v>
      </c>
      <c r="D8082" s="7">
        <v>9280</v>
      </c>
      <c r="E8082" s="7" t="s">
        <v>30</v>
      </c>
      <c r="F8082" s="8" t="str">
        <f ca="1">IFERROR(__xludf.DUMMYFUNCTION("IF
(
C8083=""фізична особа""
,
VLOOKUP(D8083,IMPORTRANGE(""https://docs.google.com/spreadsheets/d/14Bd19lYaqBhU8_DElYkX7l4wRkHqqCUFNJY4AfY3kHU/edit?usp=sharing  #gid=0"",""фіз особи new!relations_name""),6,FALSE)
,
(IF
(
C8083=""юридична особа""
,
VLOOKUP"&amp;"(D8083,IMPORTRANGE(""https://docs.google.com/spreadsheets/d/14Bd19lYaqBhU8_DElYkX7l4wRkHqqCUFNJY4AfY3kHU/edit?usp=sharing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2" s="7" t="s">
        <v>10</v>
      </c>
      <c r="H8082" s="7">
        <v>0</v>
      </c>
      <c r="I8082" s="8" t="str">
        <f ca="1">IFERROR(__xludf.DUMMYFUNCTION("IF
(
G8083=""фізична особа""
,
VLOOKUP(H8083,IMPORTRANGE(""https://docs.google.com/spreadsheets/d/14Bd19lYaqBhU8_DElYkX7l4wRkHqqCUFNJY4AfY3kHU/edit?usp=sharing  #gid=0"",""фіз особи new!relations_name""),6,FALSE)
,
(IF
(
G8083=""юридична особа""
,
VLOOKUP"&amp;"(H8083,IMPORTRANGE(""https://docs.google.com/spreadsheets/d/14Bd19lYaqBhU8_DElYkX7l4wRkHqqCUFNJY4AfY3kHU/edit?usp=sharing  #gid=0"",""фіз особи new!relations_name_uo""),7,FALSE)
,
)
))"),"#N/A")</f>
        <v>#N/A</v>
      </c>
      <c r="J8082" s="7" t="s">
        <v>30</v>
      </c>
    </row>
    <row r="8083" spans="1:10" ht="13.2">
      <c r="A8083" s="7">
        <v>8082</v>
      </c>
      <c r="B8083" s="7">
        <v>1</v>
      </c>
      <c r="C8083" s="7" t="s">
        <v>10</v>
      </c>
      <c r="D8083" s="7">
        <v>9280</v>
      </c>
      <c r="E8083" s="7" t="s">
        <v>30</v>
      </c>
      <c r="F8083" s="8" t="str">
        <f ca="1">IFERROR(__xludf.DUMMYFUNCTION("IF
(
C8084=""фізична особа""
,
VLOOKUP(D8084,IMPORTRANGE(""https://docs.google.com/spreadsheets/d/14Bd19lYaqBhU8_DElYkX7l4wRkHqqCUFNJY4AfY3kHU/edit?usp=sharing  #gid=0"",""фіз особи new!relations_name""),6,FALSE)
,
(IF
(
C8084=""юридична особа""
,
VLOOKUP"&amp;"(D8084,IMPORTRANGE(""https://docs.google.com/spreadsheets/d/14Bd19lYaqBhU8_DElYkX7l4wRkHqqCUFNJY4AfY3kHU/edit?usp=sharing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3" s="7" t="s">
        <v>10</v>
      </c>
      <c r="H8083" s="7">
        <v>0</v>
      </c>
      <c r="I8083" s="8" t="str">
        <f ca="1">IFERROR(__xludf.DUMMYFUNCTION("IF
(
G8084=""фізична особа""
,
VLOOKUP(H8084,IMPORTRANGE(""https://docs.google.com/spreadsheets/d/14Bd19lYaqBhU8_DElYkX7l4wRkHqqCUFNJY4AfY3kHU/edit?usp=sharing  #gid=0"",""фіз особи new!relations_name""),6,FALSE)
,
(IF
(
G8084=""юридична особа""
,
VLOOKUP"&amp;"(H8084,IMPORTRANGE(""https://docs.google.com/spreadsheets/d/14Bd19lYaqBhU8_DElYkX7l4wRkHqqCUFNJY4AfY3kHU/edit?usp=sharing  #gid=0"",""фіз особи new!relations_name_uo""),7,FALSE)
,
)
))"),"#N/A")</f>
        <v>#N/A</v>
      </c>
      <c r="J8083" s="7" t="s">
        <v>30</v>
      </c>
    </row>
    <row r="8084" spans="1:10" ht="13.2">
      <c r="A8084" s="7">
        <v>8083</v>
      </c>
      <c r="B8084" s="7">
        <v>1</v>
      </c>
      <c r="C8084" s="7" t="s">
        <v>10</v>
      </c>
      <c r="D8084" s="7">
        <v>9280</v>
      </c>
      <c r="E8084" s="7" t="s">
        <v>30</v>
      </c>
      <c r="F8084" s="8" t="str">
        <f ca="1">IFERROR(__xludf.DUMMYFUNCTION("IF
(
C8085=""фізична особа""
,
VLOOKUP(D8085,IMPORTRANGE(""https://docs.google.com/spreadsheets/d/14Bd19lYaqBhU8_DElYkX7l4wRkHqqCUFNJY4AfY3kHU/edit?usp=sharing  #gid=0"",""фіз особи new!relations_name""),6,FALSE)
,
(IF
(
C8085=""юридична особа""
,
VLOOKUP"&amp;"(D8085,IMPORTRANGE(""https://docs.google.com/spreadsheets/d/14Bd19lYaqBhU8_DElYkX7l4wRkHqqCUFNJY4AfY3kHU/edit?usp=sharing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4" s="7" t="s">
        <v>10</v>
      </c>
      <c r="H8084" s="7">
        <v>0</v>
      </c>
      <c r="I8084" s="8" t="str">
        <f ca="1">IFERROR(__xludf.DUMMYFUNCTION("IF
(
G8085=""фізична особа""
,
VLOOKUP(H8085,IMPORTRANGE(""https://docs.google.com/spreadsheets/d/14Bd19lYaqBhU8_DElYkX7l4wRkHqqCUFNJY4AfY3kHU/edit?usp=sharing  #gid=0"",""фіз особи new!relations_name""),6,FALSE)
,
(IF
(
G8085=""юридична особа""
,
VLOOKUP"&amp;"(H8085,IMPORTRANGE(""https://docs.google.com/spreadsheets/d/14Bd19lYaqBhU8_DElYkX7l4wRkHqqCUFNJY4AfY3kHU/edit?usp=sharing  #gid=0"",""фіз особи new!relations_name_uo""),7,FALSE)
,
)
))"),"#N/A")</f>
        <v>#N/A</v>
      </c>
      <c r="J8084" s="7" t="s">
        <v>30</v>
      </c>
    </row>
    <row r="8085" spans="1:10" ht="13.2">
      <c r="A8085" s="7">
        <v>8084</v>
      </c>
      <c r="B8085" s="7">
        <v>1</v>
      </c>
      <c r="C8085" s="7" t="s">
        <v>10</v>
      </c>
      <c r="D8085" s="7">
        <v>9280</v>
      </c>
      <c r="E8085" s="7" t="s">
        <v>30</v>
      </c>
      <c r="F8085" s="8" t="str">
        <f ca="1">IFERROR(__xludf.DUMMYFUNCTION("IF
(
C8086=""фізична особа""
,
VLOOKUP(D8086,IMPORTRANGE(""https://docs.google.com/spreadsheets/d/14Bd19lYaqBhU8_DElYkX7l4wRkHqqCUFNJY4AfY3kHU/edit?usp=sharing  #gid=0"",""фіз особи new!relations_name""),6,FALSE)
,
(IF
(
C8086=""юридична особа""
,
VLOOKUP"&amp;"(D8086,IMPORTRANGE(""https://docs.google.com/spreadsheets/d/14Bd19lYaqBhU8_DElYkX7l4wRkHqqCUFNJY4AfY3kHU/edit?usp=sharing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5" s="7" t="s">
        <v>10</v>
      </c>
      <c r="H8085" s="7">
        <v>0</v>
      </c>
      <c r="I8085" s="8" t="str">
        <f ca="1">IFERROR(__xludf.DUMMYFUNCTION("IF
(
G8086=""фізична особа""
,
VLOOKUP(H8086,IMPORTRANGE(""https://docs.google.com/spreadsheets/d/14Bd19lYaqBhU8_DElYkX7l4wRkHqqCUFNJY4AfY3kHU/edit?usp=sharing  #gid=0"",""фіз особи new!relations_name""),6,FALSE)
,
(IF
(
G8086=""юридична особа""
,
VLOOKUP"&amp;"(H8086,IMPORTRANGE(""https://docs.google.com/spreadsheets/d/14Bd19lYaqBhU8_DElYkX7l4wRkHqqCUFNJY4AfY3kHU/edit?usp=sharing  #gid=0"",""фіз особи new!relations_name_uo""),7,FALSE)
,
)
))"),"#N/A")</f>
        <v>#N/A</v>
      </c>
      <c r="J8085" s="7" t="s">
        <v>30</v>
      </c>
    </row>
    <row r="8086" spans="1:10" ht="13.2">
      <c r="A8086" s="7">
        <v>8085</v>
      </c>
      <c r="B8086" s="7">
        <v>1</v>
      </c>
      <c r="C8086" s="7" t="s">
        <v>10</v>
      </c>
      <c r="D8086" s="7">
        <v>9280</v>
      </c>
      <c r="E8086" s="7" t="s">
        <v>30</v>
      </c>
      <c r="F8086" s="8" t="str">
        <f ca="1">IFERROR(__xludf.DUMMYFUNCTION("IF
(
C8087=""фізична особа""
,
VLOOKUP(D8087,IMPORTRANGE(""https://docs.google.com/spreadsheets/d/14Bd19lYaqBhU8_DElYkX7l4wRkHqqCUFNJY4AfY3kHU/edit?usp=sharing  #gid=0"",""фіз особи new!relations_name""),6,FALSE)
,
(IF
(
C8087=""юридична особа""
,
VLOOKUP"&amp;"(D8087,IMPORTRANGE(""https://docs.google.com/spreadsheets/d/14Bd19lYaqBhU8_DElYkX7l4wRkHqqCUFNJY4AfY3kHU/edit?usp=sharing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6" s="7" t="s">
        <v>10</v>
      </c>
      <c r="H8086" s="7">
        <v>0</v>
      </c>
      <c r="I8086" s="8" t="str">
        <f ca="1">IFERROR(__xludf.DUMMYFUNCTION("IF
(
G8087=""фізична особа""
,
VLOOKUP(H8087,IMPORTRANGE(""https://docs.google.com/spreadsheets/d/14Bd19lYaqBhU8_DElYkX7l4wRkHqqCUFNJY4AfY3kHU/edit?usp=sharing  #gid=0"",""фіз особи new!relations_name""),6,FALSE)
,
(IF
(
G8087=""юридична особа""
,
VLOOKUP"&amp;"(H8087,IMPORTRANGE(""https://docs.google.com/spreadsheets/d/14Bd19lYaqBhU8_DElYkX7l4wRkHqqCUFNJY4AfY3kHU/edit?usp=sharing  #gid=0"",""фіз особи new!relations_name_uo""),7,FALSE)
,
)
))"),"#N/A")</f>
        <v>#N/A</v>
      </c>
      <c r="J8086" s="7" t="s">
        <v>30</v>
      </c>
    </row>
    <row r="8087" spans="1:10" ht="13.2">
      <c r="A8087" s="7">
        <v>8086</v>
      </c>
      <c r="B8087" s="7">
        <v>1</v>
      </c>
      <c r="C8087" s="7" t="s">
        <v>10</v>
      </c>
      <c r="D8087" s="7">
        <v>9280</v>
      </c>
      <c r="E8087" s="7" t="s">
        <v>30</v>
      </c>
      <c r="F8087" s="8" t="str">
        <f ca="1">IFERROR(__xludf.DUMMYFUNCTION("IF
(
C8088=""фізична особа""
,
VLOOKUP(D8088,IMPORTRANGE(""https://docs.google.com/spreadsheets/d/14Bd19lYaqBhU8_DElYkX7l4wRkHqqCUFNJY4AfY3kHU/edit?usp=sharing  #gid=0"",""фіз особи new!relations_name""),6,FALSE)
,
(IF
(
C8088=""юридична особа""
,
VLOOKUP"&amp;"(D8088,IMPORTRANGE(""https://docs.google.com/spreadsheets/d/14Bd19lYaqBhU8_DElYkX7l4wRkHqqCUFNJY4AfY3kHU/edit?usp=sharing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7" s="7" t="s">
        <v>10</v>
      </c>
      <c r="H8087" s="7">
        <v>0</v>
      </c>
      <c r="I8087" s="8" t="str">
        <f ca="1">IFERROR(__xludf.DUMMYFUNCTION("IF
(
G8088=""фізична особа""
,
VLOOKUP(H8088,IMPORTRANGE(""https://docs.google.com/spreadsheets/d/14Bd19lYaqBhU8_DElYkX7l4wRkHqqCUFNJY4AfY3kHU/edit?usp=sharing  #gid=0"",""фіз особи new!relations_name""),6,FALSE)
,
(IF
(
G8088=""юридична особа""
,
VLOOKUP"&amp;"(H8088,IMPORTRANGE(""https://docs.google.com/spreadsheets/d/14Bd19lYaqBhU8_DElYkX7l4wRkHqqCUFNJY4AfY3kHU/edit?usp=sharing  #gid=0"",""фіз особи new!relations_name_uo""),7,FALSE)
,
)
))"),"#N/A")</f>
        <v>#N/A</v>
      </c>
      <c r="J8087" s="7" t="s">
        <v>30</v>
      </c>
    </row>
    <row r="8088" spans="1:10" ht="13.2">
      <c r="A8088" s="7">
        <v>8087</v>
      </c>
      <c r="B8088" s="7">
        <v>1</v>
      </c>
      <c r="C8088" s="7" t="s">
        <v>10</v>
      </c>
      <c r="D8088" s="7">
        <v>9280</v>
      </c>
      <c r="E8088" s="7" t="s">
        <v>30</v>
      </c>
      <c r="F8088" s="8" t="str">
        <f ca="1">IFERROR(__xludf.DUMMYFUNCTION("IF
(
C8089=""фізична особа""
,
VLOOKUP(D8089,IMPORTRANGE(""https://docs.google.com/spreadsheets/d/14Bd19lYaqBhU8_DElYkX7l4wRkHqqCUFNJY4AfY3kHU/edit?usp=sharing  #gid=0"",""фіз особи new!relations_name""),6,FALSE)
,
(IF
(
C8089=""юридична особа""
,
VLOOKUP"&amp;"(D8089,IMPORTRANGE(""https://docs.google.com/spreadsheets/d/14Bd19lYaqBhU8_DElYkX7l4wRkHqqCUFNJY4AfY3kHU/edit?usp=sharing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8" s="7" t="s">
        <v>10</v>
      </c>
      <c r="H8088" s="7">
        <v>0</v>
      </c>
      <c r="I8088" s="8" t="str">
        <f ca="1">IFERROR(__xludf.DUMMYFUNCTION("IF
(
G8089=""фізична особа""
,
VLOOKUP(H8089,IMPORTRANGE(""https://docs.google.com/spreadsheets/d/14Bd19lYaqBhU8_DElYkX7l4wRkHqqCUFNJY4AfY3kHU/edit?usp=sharing  #gid=0"",""фіз особи new!relations_name""),6,FALSE)
,
(IF
(
G8089=""юридична особа""
,
VLOOKUP"&amp;"(H8089,IMPORTRANGE(""https://docs.google.com/spreadsheets/d/14Bd19lYaqBhU8_DElYkX7l4wRkHqqCUFNJY4AfY3kHU/edit?usp=sharing  #gid=0"",""фіз особи new!relations_name_uo""),7,FALSE)
,
)
))"),"#N/A")</f>
        <v>#N/A</v>
      </c>
      <c r="J8088" s="7" t="s">
        <v>30</v>
      </c>
    </row>
    <row r="8089" spans="1:10" ht="13.2">
      <c r="A8089" s="7">
        <v>8088</v>
      </c>
      <c r="B8089" s="7">
        <v>1</v>
      </c>
      <c r="C8089" s="7" t="s">
        <v>10</v>
      </c>
      <c r="D8089" s="7">
        <v>9280</v>
      </c>
      <c r="E8089" s="7" t="s">
        <v>30</v>
      </c>
      <c r="F8089" s="8" t="str">
        <f ca="1">IFERROR(__xludf.DUMMYFUNCTION("IF
(
C8090=""фізична особа""
,
VLOOKUP(D8090,IMPORTRANGE(""https://docs.google.com/spreadsheets/d/14Bd19lYaqBhU8_DElYkX7l4wRkHqqCUFNJY4AfY3kHU/edit?usp=sharing  #gid=0"",""фіз особи new!relations_name""),6,FALSE)
,
(IF
(
C8090=""юридична особа""
,
VLOOKUP"&amp;"(D8090,IMPORTRANGE(""https://docs.google.com/spreadsheets/d/14Bd19lYaqBhU8_DElYkX7l4wRkHqqCUFNJY4AfY3kHU/edit?usp=sharing  #gid=0"",""фіз особи new!relations_name_uo""),7,FALSE)
,
)
))"),"МОНГУШ Субудай Радиславович")</f>
        <v>МОНГУШ Субудай Радиславович</v>
      </c>
      <c r="G8089" s="7" t="s">
        <v>10</v>
      </c>
      <c r="H8089" s="7">
        <v>0</v>
      </c>
      <c r="I8089" s="8" t="str">
        <f ca="1">IFERROR(__xludf.DUMMYFUNCTION("IF
(
G8090=""фізична особа""
,
VLOOKUP(H8090,IMPORTRANGE(""https://docs.google.com/spreadsheets/d/14Bd19lYaqBhU8_DElYkX7l4wRkHqqCUFNJY4AfY3kHU/edit?usp=sharing  #gid=0"",""фіз особи new!relations_name""),6,FALSE)
,
(IF
(
G8090=""юридична особа""
,
VLOOKUP"&amp;"(H8090,IMPORTRANGE(""https://docs.google.com/spreadsheets/d/14Bd19lYaqBhU8_DElYkX7l4wRkHqqCUFNJY4AfY3kHU/edit?usp=sharing  #gid=0"",""фіз особи new!relations_name_uo""),7,FALSE)
,
)
))"),"#N/A")</f>
        <v>#N/A</v>
      </c>
      <c r="J8089" s="7" t="s">
        <v>30</v>
      </c>
    </row>
    <row r="8090" spans="1:10" ht="13.2">
      <c r="A8090" s="7">
        <v>8089</v>
      </c>
      <c r="B8090" s="7">
        <v>1</v>
      </c>
      <c r="C8090" s="7" t="s">
        <v>10</v>
      </c>
      <c r="D8090" s="7">
        <v>9281</v>
      </c>
      <c r="E8090" s="7" t="s">
        <v>28</v>
      </c>
      <c r="F8090" s="8" t="str">
        <f ca="1">IFERROR(__xludf.DUMMYFUNCTION("IF
(
C8091=""фізична особа""
,
VLOOKUP(D8091,IMPORTRANGE(""https://docs.google.com/spreadsheets/d/14Bd19lYaqBhU8_DElYkX7l4wRkHqqCUFNJY4AfY3kHU/edit?usp=sharing  #gid=0"",""фіз особи new!relations_name""),6,FALSE)
,
(IF
(
C8091=""юридична особа""
,
VLOOKUP"&amp;"(D8091,IMPORTRANGE(""https://docs.google.com/spreadsheets/d/14Bd19lYaqBhU8_DElYkX7l4wRkHqqCUFNJY4AfY3kHU/edit?usp=sharing  #gid=0"",""фіз особи new!relations_name_uo""),7,FALSE)
,
)
))"),"ФРОЛОВ Владислав Вікторович")</f>
        <v>ФРОЛОВ Владислав Вікторович</v>
      </c>
      <c r="G8090" s="7" t="s">
        <v>10</v>
      </c>
      <c r="H8090" s="7">
        <v>2556</v>
      </c>
      <c r="I8090" s="8" t="str">
        <f ca="1">IFERROR(__xludf.DUMMYFUNCTION("IF
(
G8091=""фізична особа""
,
VLOOKUP(H8091,IMPORTRANGE(""https://docs.google.com/spreadsheets/d/14Bd19lYaqBhU8_DElYkX7l4wRkHqqCUFNJY4AfY3kHU/edit?usp=sharing  #gid=0"",""фіз особи new!relations_name""),6,FALSE)
,
(IF
(
G8091=""юридична особа""
,
VLOOKUP"&amp;"(H8091,IMPORTRANGE(""https://docs.google.com/spreadsheets/d/14Bd19lYaqBhU8_DElYkX7l4wRkHqqCUFNJY4AfY3kHU/edit?usp=sharing  #gid=0"",""фіз особи new!relations_name_uo""),7,FALSE)
,
)
))"),"ЛЮБІМОВ Микола Вікторович")</f>
        <v>ЛЮБІМОВ Микола Вікторович</v>
      </c>
      <c r="J8090" s="7" t="s">
        <v>29</v>
      </c>
    </row>
    <row r="8091" spans="1:10" ht="13.2">
      <c r="A8091" s="7">
        <v>8090</v>
      </c>
      <c r="B8091" s="7">
        <v>1</v>
      </c>
      <c r="C8091" s="7" t="s">
        <v>10</v>
      </c>
      <c r="D8091" s="7">
        <v>9282</v>
      </c>
      <c r="E8091" s="7" t="s">
        <v>28</v>
      </c>
      <c r="F8091" s="8" t="str">
        <f ca="1">IFERROR(__xludf.DUMMYFUNCTION("IF
(
C8092=""фізична особа""
,
VLOOKUP(D8092,IMPORTRANGE(""https://docs.google.com/spreadsheets/d/14Bd19lYaqBhU8_DElYkX7l4wRkHqqCUFNJY4AfY3kHU/edit?usp=sharing  #gid=0"",""фіз особи new!relations_name""),6,FALSE)
,
(IF
(
C8092=""юридична особа""
,
VLOOKUP"&amp;"(D8092,IMPORTRANGE(""https://docs.google.com/spreadsheets/d/14Bd19lYaqBhU8_DElYkX7l4wRkHqqCUFNJY4AfY3kHU/edit?usp=sharing  #gid=0"",""фіз особи new!relations_name_uo""),7,FALSE)
,
)
))"),"РАПОПОРТ Леонід Аронович")</f>
        <v>РАПОПОРТ Леонід Аронович</v>
      </c>
      <c r="G8091" s="7" t="s">
        <v>10</v>
      </c>
      <c r="H8091" s="7">
        <v>2560</v>
      </c>
      <c r="I8091" s="8" t="str">
        <f ca="1">IFERROR(__xludf.DUMMYFUNCTION("IF
(
G8092=""фізична особа""
,
VLOOKUP(H8092,IMPORTRANGE(""https://docs.google.com/spreadsheets/d/14Bd19lYaqBhU8_DElYkX7l4wRkHqqCUFNJY4AfY3kHU/edit?usp=sharing  #gid=0"",""фіз особи new!relations_name""),6,FALSE)
,
(IF
(
G8092=""юридична особа""
,
VLOOKUP"&amp;"(H8092,IMPORTRANGE(""https://docs.google.com/spreadsheets/d/14Bd19lYaqBhU8_DElYkX7l4wRkHqqCUFNJY4AfY3kHU/edit?usp=sharing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J8091" s="7" t="s">
        <v>29</v>
      </c>
    </row>
    <row r="8092" spans="1:10" ht="13.2">
      <c r="A8092" s="7">
        <v>8091</v>
      </c>
      <c r="B8092" s="7">
        <v>1</v>
      </c>
      <c r="C8092" s="7" t="s">
        <v>10</v>
      </c>
      <c r="D8092" s="7">
        <v>9283</v>
      </c>
      <c r="E8092" s="7" t="s">
        <v>28</v>
      </c>
      <c r="F8092" s="8" t="str">
        <f ca="1">IFERROR(__xludf.DUMMYFUNCTION("IF
(
C8093=""фізична особа""
,
VLOOKUP(D8093,IMPORTRANGE(""https://docs.google.com/spreadsheets/d/14Bd19lYaqBhU8_DElYkX7l4wRkHqqCUFNJY4AfY3kHU/edit?usp=sharing  #gid=0"",""фіз особи new!relations_name""),6,FALSE)
,
(IF
(
C8093=""юридична особа""
,
VLOOKUP"&amp;"(D8093,IMPORTRANGE(""https://docs.google.com/spreadsheets/d/14Bd19lYaqBhU8_DElYkX7l4wRkHqqCUFNJY4AfY3kHU/edit?usp=sharing  #gid=0"",""фіз особи new!relations_name_uo""),7,FALSE)
,
)
))"),"ШНАЙДЕР / БОЧКАРЬОВА Євгенія Олександрівна")</f>
        <v>ШНАЙДЕР / БОЧКАРЬОВА Євгенія Олександрівна</v>
      </c>
      <c r="G8092" s="7" t="s">
        <v>10</v>
      </c>
      <c r="H8092" s="7">
        <v>2553</v>
      </c>
      <c r="I8092" s="8" t="str">
        <f ca="1">IFERROR(__xludf.DUMMYFUNCTION("IF
(
G8093=""фізична особа""
,
VLOOKUP(H8093,IMPORTRANGE(""https://docs.google.com/spreadsheets/d/14Bd19lYaqBhU8_DElYkX7l4wRkHqqCUFNJY4AfY3kHU/edit?usp=sharing  #gid=0"",""фіз особи new!relations_name""),6,FALSE)
,
(IF
(
G8093=""юридична особа""
,
VLOOKUP"&amp;"(H8093,IMPORTRANGE(""https://docs.google.com/spreadsheets/d/14Bd19lYaqBhU8_DElYkX7l4wRkHqqCUFNJY4AfY3kHU/edit?usp=sharing  #gid=0"",""фіз особи new!relations_name_uo""),7,FALSE)
,
)
))"),"МЕЛЬНИЧЕНКО Олег Володимирович")</f>
        <v>МЕЛЬНИЧЕНКО Олег Володимирович</v>
      </c>
      <c r="J8092" s="7" t="s">
        <v>29</v>
      </c>
    </row>
    <row r="8093" spans="1:10" ht="13.2">
      <c r="A8093" s="7">
        <v>8092</v>
      </c>
      <c r="B8093" s="7">
        <v>1</v>
      </c>
      <c r="C8093" s="7" t="s">
        <v>10</v>
      </c>
      <c r="D8093" s="7">
        <v>9284</v>
      </c>
      <c r="E8093" s="7" t="s">
        <v>28</v>
      </c>
      <c r="F8093" s="8" t="str">
        <f ca="1">IFERROR(__xludf.DUMMYFUNCTION("IF
(
C8094=""фізична особа""
,
VLOOKUP(D8094,IMPORTRANGE(""https://docs.google.com/spreadsheets/d/14Bd19lYaqBhU8_DElYkX7l4wRkHqqCUFNJY4AfY3kHU/edit?usp=sharing  #gid=0"",""фіз особи new!relations_name""),6,FALSE)
,
(IF
(
C8094=""юридична особа""
,
VLOOKUP"&amp;"(D8094,IMPORTRANGE(""https://docs.google.com/spreadsheets/d/14Bd19lYaqBhU8_DElYkX7l4wRkHqqCUFNJY4AfY3kHU/edit?usp=sharing  #gid=0"",""фіз особи new!relations_name_uo""),7,FALSE)
,
)
))"),"АБАРЕНОВ Дмитро Олександрович")</f>
        <v>АБАРЕНОВ Дмитро Олександрович</v>
      </c>
      <c r="G8093" s="7" t="s">
        <v>10</v>
      </c>
      <c r="H8093" s="7">
        <v>2545</v>
      </c>
      <c r="I8093" s="8" t="str">
        <f ca="1">IFERROR(__xludf.DUMMYFUNCTION("IF
(
G8094=""фізична особа""
,
VLOOKUP(H8094,IMPORTRANGE(""https://docs.google.com/spreadsheets/d/14Bd19lYaqBhU8_DElYkX7l4wRkHqqCUFNJY4AfY3kHU/edit?usp=sharing  #gid=0"",""фіз особи new!relations_name""),6,FALSE)
,
(IF
(
G8094=""юридична особа""
,
VLOOKUP"&amp;"(H8094,IMPORTRANGE(""https://docs.google.com/spreadsheets/d/14Bd19lYaqBhU8_DElYkX7l4wRkHqqCUFNJY4AfY3kHU/edit?usp=sharing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8093" s="7" t="s">
        <v>29</v>
      </c>
    </row>
    <row r="8094" spans="1:10" ht="13.2">
      <c r="A8094" s="7">
        <v>8093</v>
      </c>
      <c r="B8094" s="7">
        <v>1</v>
      </c>
      <c r="C8094" s="7" t="s">
        <v>10</v>
      </c>
      <c r="D8094" s="7">
        <v>9285</v>
      </c>
      <c r="E8094" s="7" t="s">
        <v>28</v>
      </c>
      <c r="F8094" s="8" t="str">
        <f ca="1">IFERROR(__xludf.DUMMYFUNCTION("IF
(
C8095=""фізична особа""
,
VLOOKUP(D8095,IMPORTRANGE(""https://docs.google.com/spreadsheets/d/14Bd19lYaqBhU8_DElYkX7l4wRkHqqCUFNJY4AfY3kHU/edit?usp=sharing  #gid=0"",""фіз особи new!relations_name""),6,FALSE)
,
(IF
(
C8095=""юридична особа""
,
VLOOKUP"&amp;"(D8095,IMPORTRANGE(""https://docs.google.com/spreadsheets/d/14Bd19lYaqBhU8_DElYkX7l4wRkHqqCUFNJY4AfY3kHU/edit?usp=sharing  #gid=0"",""фіз особи new!relations_name_uo""),7,FALSE)
,
)
))"),"САВІЛОВ Олександр Володимирович")</f>
        <v>САВІЛОВ Олександр Володимирович</v>
      </c>
      <c r="G8094" s="7" t="s">
        <v>10</v>
      </c>
      <c r="H8094" s="7">
        <v>0</v>
      </c>
      <c r="I8094" s="8" t="str">
        <f ca="1">IFERROR(__xludf.DUMMYFUNCTION("IF
(
G8095=""фізична особа""
,
VLOOKUP(H8095,IMPORTRANGE(""https://docs.google.com/spreadsheets/d/14Bd19lYaqBhU8_DElYkX7l4wRkHqqCUFNJY4AfY3kHU/edit?usp=sharing  #gid=0"",""фіз особи new!relations_name""),6,FALSE)
,
(IF
(
G8095=""юридична особа""
,
VLOOKUP"&amp;"(H8095,IMPORTRANGE(""https://docs.google.com/spreadsheets/d/14Bd19lYaqBhU8_DElYkX7l4wRkHqqCUFNJY4AfY3kHU/edit?usp=sharing  #gid=0"",""фіз особи new!relations_name_uo""),7,FALSE)
,
)
))"),"#N/A")</f>
        <v>#N/A</v>
      </c>
      <c r="J8094" s="7" t="s">
        <v>29</v>
      </c>
    </row>
    <row r="8095" spans="1:10" ht="13.2">
      <c r="A8095" s="7">
        <v>8094</v>
      </c>
      <c r="B8095" s="7">
        <v>1</v>
      </c>
      <c r="C8095" s="7" t="s">
        <v>10</v>
      </c>
      <c r="D8095" s="7">
        <v>9285</v>
      </c>
      <c r="E8095" s="7" t="s">
        <v>28</v>
      </c>
      <c r="F8095" s="8" t="str">
        <f ca="1">IFERROR(__xludf.DUMMYFUNCTION("IF
(
C8096=""фізична особа""
,
VLOOKUP(D8096,IMPORTRANGE(""https://docs.google.com/spreadsheets/d/14Bd19lYaqBhU8_DElYkX7l4wRkHqqCUFNJY4AfY3kHU/edit?usp=sharing  #gid=0"",""фіз особи new!relations_name""),6,FALSE)
,
(IF
(
C8096=""юридична особа""
,
VLOOKUP"&amp;"(D8096,IMPORTRANGE(""https://docs.google.com/spreadsheets/d/14Bd19lYaqBhU8_DElYkX7l4wRkHqqCUFNJY4AfY3kHU/edit?usp=sharing  #gid=0"",""фіз особи new!relations_name_uo""),7,FALSE)
,
)
))"),"САВІЛОВ Олександр Володимирович")</f>
        <v>САВІЛОВ Олександр Володимирович</v>
      </c>
      <c r="G8095" s="7" t="s">
        <v>10</v>
      </c>
      <c r="H8095" s="7">
        <v>3058</v>
      </c>
      <c r="I8095" s="8" t="str">
        <f ca="1">IFERROR(__xludf.DUMMYFUNCTION("IF
(
G8096=""фізична особа""
,
VLOOKUP(H8096,IMPORTRANGE(""https://docs.google.com/spreadsheets/d/14Bd19lYaqBhU8_DElYkX7l4wRkHqqCUFNJY4AfY3kHU/edit?usp=sharing  #gid=0"",""фіз особи new!relations_name""),6,FALSE)
,
(IF
(
G8096=""юридична особа""
,
VLOOKUP"&amp;"(H8096,IMPORTRANGE(""https://docs.google.com/spreadsheets/d/14Bd19lYaqBhU8_DElYkX7l4wRkHqqCUFNJY4AfY3kHU/edit?usp=sharing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95" s="7" t="s">
        <v>29</v>
      </c>
    </row>
    <row r="8096" spans="1:10" ht="13.2">
      <c r="A8096" s="7">
        <v>8095</v>
      </c>
      <c r="B8096" s="7">
        <v>1</v>
      </c>
      <c r="C8096" s="7" t="s">
        <v>10</v>
      </c>
      <c r="D8096" s="7">
        <v>9292</v>
      </c>
      <c r="E8096" s="7" t="s">
        <v>28</v>
      </c>
      <c r="F8096" s="8" t="str">
        <f ca="1">IFERROR(__xludf.DUMMYFUNCTION("IF
(
C8097=""фізична особа""
,
VLOOKUP(D8097,IMPORTRANGE(""https://docs.google.com/spreadsheets/d/14Bd19lYaqBhU8_DElYkX7l4wRkHqqCUFNJY4AfY3kHU/edit?usp=sharing  #gid=0"",""фіз особи new!relations_name""),6,FALSE)
,
(IF
(
C8097=""юридична особа""
,
VLOOKUP"&amp;"(D8097,IMPORTRANGE(""https://docs.google.com/spreadsheets/d/14Bd19lYaqBhU8_DElYkX7l4wRkHqqCUFNJY4AfY3kHU/edit?usp=sharing  #gid=0"",""фіз особи new!relations_name_uo""),7,FALSE)
,
)
))"),"БАГРЕЦОВ Андрій Вячеславович")</f>
        <v>БАГРЕЦОВ Андрій Вячеславович</v>
      </c>
      <c r="G8096" s="7" t="s">
        <v>10</v>
      </c>
      <c r="H8096" s="7">
        <v>3058</v>
      </c>
      <c r="I8096" s="8" t="str">
        <f ca="1">IFERROR(__xludf.DUMMYFUNCTION("IF
(
G8097=""фізична особа""
,
VLOOKUP(H8097,IMPORTRANGE(""https://docs.google.com/spreadsheets/d/14Bd19lYaqBhU8_DElYkX7l4wRkHqqCUFNJY4AfY3kHU/edit?usp=sharing  #gid=0"",""фіз особи new!relations_name""),6,FALSE)
,
(IF
(
G8097=""юридична особа""
,
VLOOKUP"&amp;"(H8097,IMPORTRANGE(""https://docs.google.com/spreadsheets/d/14Bd19lYaqBhU8_DElYkX7l4wRkHqqCUFNJY4AfY3kHU/edit?usp=sharing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096" s="7" t="s">
        <v>29</v>
      </c>
    </row>
    <row r="8097" spans="1:10" ht="13.2">
      <c r="A8097" s="7">
        <v>8096</v>
      </c>
      <c r="B8097" s="7">
        <v>1</v>
      </c>
      <c r="C8097" s="7" t="s">
        <v>10</v>
      </c>
      <c r="D8097" s="7">
        <v>9292</v>
      </c>
      <c r="E8097" s="7" t="s">
        <v>14</v>
      </c>
      <c r="F8097" s="8" t="str">
        <f ca="1">IFERROR(__xludf.DUMMYFUNCTION("IF
(
C8098=""фізична особа""
,
VLOOKUP(D8098,IMPORTRANGE(""https://docs.google.com/spreadsheets/d/14Bd19lYaqBhU8_DElYkX7l4wRkHqqCUFNJY4AfY3kHU/edit?usp=sharing  #gid=0"",""фіз особи new!relations_name""),6,FALSE)
,
(IF
(
C8098=""юридична особа""
,
VLOOKUP"&amp;"(D8098,IMPORTRANGE(""https://docs.google.com/spreadsheets/d/14Bd19lYaqBhU8_DElYkX7l4wRkHqqCUFNJY4AfY3kHU/edit?usp=sharing  #gid=0"",""фіз особи new!relations_name_uo""),7,FALSE)
,
)
))"),"БАГРЕЦОВ Андрій Вячеславович")</f>
        <v>БАГРЕЦОВ Андрій Вячеславович</v>
      </c>
      <c r="G8097" s="7" t="s">
        <v>10</v>
      </c>
      <c r="H8097" s="7">
        <v>0</v>
      </c>
      <c r="I8097" s="8" t="str">
        <f ca="1">IFERROR(__xludf.DUMMYFUNCTION("IF
(
G8098=""фізична особа""
,
VLOOKUP(H8098,IMPORTRANGE(""https://docs.google.com/spreadsheets/d/14Bd19lYaqBhU8_DElYkX7l4wRkHqqCUFNJY4AfY3kHU/edit?usp=sharing  #gid=0"",""фіз особи new!relations_name""),6,FALSE)
,
(IF
(
G8098=""юридична особа""
,
VLOOKUP"&amp;"(H8098,IMPORTRANGE(""https://docs.google.com/spreadsheets/d/14Bd19lYaqBhU8_DElYkX7l4wRkHqqCUFNJY4AfY3kHU/edit?usp=sharing  #gid=0"",""фіз особи new!relations_name_uo""),7,FALSE)
,
)
))"),"#N/A")</f>
        <v>#N/A</v>
      </c>
      <c r="J8097" s="7" t="s">
        <v>15</v>
      </c>
    </row>
    <row r="8098" spans="1:10" ht="13.2">
      <c r="A8098" s="7">
        <v>8097</v>
      </c>
      <c r="B8098" s="7">
        <v>1</v>
      </c>
      <c r="C8098" s="7" t="s">
        <v>10</v>
      </c>
      <c r="D8098" s="7">
        <v>9292</v>
      </c>
      <c r="E8098" s="7" t="s">
        <v>18</v>
      </c>
      <c r="F8098" s="8" t="str">
        <f ca="1">IFERROR(__xludf.DUMMYFUNCTION("IF
(
C8099=""фізична особа""
,
VLOOKUP(D8099,IMPORTRANGE(""https://docs.google.com/spreadsheets/d/14Bd19lYaqBhU8_DElYkX7l4wRkHqqCUFNJY4AfY3kHU/edit?usp=sharing  #gid=0"",""фіз особи new!relations_name""),6,FALSE)
,
(IF
(
C8099=""юридична особа""
,
VLOOKUP"&amp;"(D8099,IMPORTRANGE(""https://docs.google.com/spreadsheets/d/14Bd19lYaqBhU8_DElYkX7l4wRkHqqCUFNJY4AfY3kHU/edit?usp=sharing  #gid=0"",""фіз особи new!relations_name_uo""),7,FALSE)
,
)
))"),"БАГРЕЦОВ Андрій Вячеславович")</f>
        <v>БАГРЕЦОВ Андрій Вячеславович</v>
      </c>
      <c r="G8098" s="7" t="s">
        <v>10</v>
      </c>
      <c r="H8098" s="7">
        <v>0</v>
      </c>
      <c r="I8098" s="8" t="str">
        <f ca="1">IFERROR(__xludf.DUMMYFUNCTION("IF
(
G8099=""фізична особа""
,
VLOOKUP(H8099,IMPORTRANGE(""https://docs.google.com/spreadsheets/d/14Bd19lYaqBhU8_DElYkX7l4wRkHqqCUFNJY4AfY3kHU/edit?usp=sharing  #gid=0"",""фіз особи new!relations_name""),6,FALSE)
,
(IF
(
G8099=""юридична особа""
,
VLOOKUP"&amp;"(H8099,IMPORTRANGE(""https://docs.google.com/spreadsheets/d/14Bd19lYaqBhU8_DElYkX7l4wRkHqqCUFNJY4AfY3kHU/edit?usp=sharing  #gid=0"",""фіз особи new!relations_name_uo""),7,FALSE)
,
)
))"),"#N/A")</f>
        <v>#N/A</v>
      </c>
      <c r="J8098" s="7" t="s">
        <v>18</v>
      </c>
    </row>
    <row r="8099" spans="1:10" ht="13.2">
      <c r="A8099" s="7">
        <v>8098</v>
      </c>
      <c r="B8099" s="7">
        <v>1</v>
      </c>
      <c r="C8099" s="7" t="s">
        <v>10</v>
      </c>
      <c r="D8099" s="7">
        <v>9292</v>
      </c>
      <c r="E8099" s="7" t="s">
        <v>12</v>
      </c>
      <c r="F8099" s="8" t="str">
        <f ca="1">IFERROR(__xludf.DUMMYFUNCTION("IF
(
C8100=""фізична особа""
,
VLOOKUP(D8100,IMPORTRANGE(""https://docs.google.com/spreadsheets/d/14Bd19lYaqBhU8_DElYkX7l4wRkHqqCUFNJY4AfY3kHU/edit?usp=sharing  #gid=0"",""фіз особи new!relations_name""),6,FALSE)
,
(IF
(
C8100=""юридична особа""
,
VLOOKUP"&amp;"(D8100,IMPORTRANGE(""https://docs.google.com/spreadsheets/d/14Bd19lYaqBhU8_DElYkX7l4wRkHqqCUFNJY4AfY3kHU/edit?usp=sharing  #gid=0"",""фіз особи new!relations_name_uo""),7,FALSE)
,
)
))"),"БАГРЕЦОВ Андрій Вячеславович")</f>
        <v>БАГРЕЦОВ Андрій Вячеславович</v>
      </c>
      <c r="G8099" s="7" t="s">
        <v>10</v>
      </c>
      <c r="H8099" s="7">
        <v>0</v>
      </c>
      <c r="I8099" s="8" t="str">
        <f ca="1">IFERROR(__xludf.DUMMYFUNCTION("IF
(
G8100=""фізична особа""
,
VLOOKUP(H8100,IMPORTRANGE(""https://docs.google.com/spreadsheets/d/14Bd19lYaqBhU8_DElYkX7l4wRkHqqCUFNJY4AfY3kHU/edit?usp=sharing  #gid=0"",""фіз особи new!relations_name""),6,FALSE)
,
(IF
(
G8100=""юридична особа""
,
VLOOKUP"&amp;"(H8100,IMPORTRANGE(""https://docs.google.com/spreadsheets/d/14Bd19lYaqBhU8_DElYkX7l4wRkHqqCUFNJY4AfY3kHU/edit?usp=sharing  #gid=0"",""фіз особи new!relations_name_uo""),7,FALSE)
,
)
))"),"#N/A")</f>
        <v>#N/A</v>
      </c>
      <c r="J8099" s="7" t="s">
        <v>17</v>
      </c>
    </row>
    <row r="8100" spans="1:10" ht="13.2">
      <c r="A8100" s="7">
        <v>8099</v>
      </c>
      <c r="B8100" s="7">
        <v>1</v>
      </c>
      <c r="C8100" s="7" t="s">
        <v>10</v>
      </c>
      <c r="D8100" s="7">
        <v>9292</v>
      </c>
      <c r="E8100" s="7" t="s">
        <v>12</v>
      </c>
      <c r="F8100" s="8" t="str">
        <f ca="1">IFERROR(__xludf.DUMMYFUNCTION("IF
(
C8101=""фізична особа""
,
VLOOKUP(D8101,IMPORTRANGE(""https://docs.google.com/spreadsheets/d/14Bd19lYaqBhU8_DElYkX7l4wRkHqqCUFNJY4AfY3kHU/edit?usp=sharing  #gid=0"",""фіз особи new!relations_name""),6,FALSE)
,
(IF
(
C8101=""юридична особа""
,
VLOOKUP"&amp;"(D8101,IMPORTRANGE(""https://docs.google.com/spreadsheets/d/14Bd19lYaqBhU8_DElYkX7l4wRkHqqCUFNJY4AfY3kHU/edit?usp=sharing  #gid=0"",""фіз особи new!relations_name_uo""),7,FALSE)
,
)
))"),"БАГРЕЦОВ Андрій Вячеславович")</f>
        <v>БАГРЕЦОВ Андрій Вячеславович</v>
      </c>
      <c r="G8100" s="7" t="s">
        <v>10</v>
      </c>
      <c r="H8100" s="7">
        <v>0</v>
      </c>
      <c r="I8100" s="8" t="str">
        <f ca="1">IFERROR(__xludf.DUMMYFUNCTION("IF
(
G8101=""фізична особа""
,
VLOOKUP(H8101,IMPORTRANGE(""https://docs.google.com/spreadsheets/d/14Bd19lYaqBhU8_DElYkX7l4wRkHqqCUFNJY4AfY3kHU/edit?usp=sharing  #gid=0"",""фіз особи new!relations_name""),6,FALSE)
,
(IF
(
G8101=""юридична особа""
,
VLOOKUP"&amp;"(H8101,IMPORTRANGE(""https://docs.google.com/spreadsheets/d/14Bd19lYaqBhU8_DElYkX7l4wRkHqqCUFNJY4AfY3kHU/edit?usp=sharing  #gid=0"",""фіз особи new!relations_name_uo""),7,FALSE)
,
)
))"),"#N/A")</f>
        <v>#N/A</v>
      </c>
      <c r="J8100" s="7" t="s">
        <v>13</v>
      </c>
    </row>
    <row r="8101" spans="1:10" ht="13.2">
      <c r="A8101" s="7">
        <v>8100</v>
      </c>
      <c r="B8101" s="7">
        <v>1</v>
      </c>
      <c r="C8101" s="7" t="s">
        <v>10</v>
      </c>
      <c r="D8101" s="7">
        <v>9474</v>
      </c>
      <c r="E8101" s="7" t="s">
        <v>28</v>
      </c>
      <c r="F8101" s="8" t="str">
        <f ca="1">IFERROR(__xludf.DUMMYFUNCTION("IF
(
C8102=""фізична особа""
,
VLOOKUP(D8102,IMPORTRANGE(""https://docs.google.com/spreadsheets/d/14Bd19lYaqBhU8_DElYkX7l4wRkHqqCUFNJY4AfY3kHU/edit?usp=sharing  #gid=0"",""фіз особи new!relations_name""),6,FALSE)
,
(IF
(
C8102=""юридична особа""
,
VLOOKUP"&amp;"(D8102,IMPORTRANGE(""https://docs.google.com/spreadsheets/d/14Bd19lYaqBhU8_DElYkX7l4wRkHqqCUFNJY4AfY3kHU/edit?usp=sharing  #gid=0"",""фіз особи new!relations_name_uo""),7,FALSE)
,
)
))"),"БАРМИНОВ Георгій Андрійович")</f>
        <v>БАРМИНОВ Георгій Андрійович</v>
      </c>
      <c r="G8101" s="7" t="s">
        <v>10</v>
      </c>
      <c r="H8101" s="7">
        <v>3058</v>
      </c>
      <c r="I8101" s="8" t="str">
        <f ca="1">IFERROR(__xludf.DUMMYFUNCTION("IF
(
G8102=""фізична особа""
,
VLOOKUP(H8102,IMPORTRANGE(""https://docs.google.com/spreadsheets/d/14Bd19lYaqBhU8_DElYkX7l4wRkHqqCUFNJY4AfY3kHU/edit?usp=sharing  #gid=0"",""фіз особи new!relations_name""),6,FALSE)
,
(IF
(
G8102=""юридична особа""
,
VLOOKUP"&amp;"(H8102,IMPORTRANGE(""https://docs.google.com/spreadsheets/d/14Bd19lYaqBhU8_DElYkX7l4wRkHqqCUFNJY4AfY3kHU/edit?usp=sharing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1" s="7" t="s">
        <v>29</v>
      </c>
    </row>
    <row r="8102" spans="1:10" ht="13.2">
      <c r="A8102" s="7">
        <v>8101</v>
      </c>
      <c r="B8102" s="7">
        <v>1</v>
      </c>
      <c r="C8102" s="7" t="s">
        <v>10</v>
      </c>
      <c r="D8102" s="7">
        <v>9478</v>
      </c>
      <c r="E8102" s="7" t="s">
        <v>28</v>
      </c>
      <c r="F8102" s="8" t="str">
        <f ca="1">IFERROR(__xludf.DUMMYFUNCTION("IF
(
C8103=""фізична особа""
,
VLOOKUP(D8103,IMPORTRANGE(""https://docs.google.com/spreadsheets/d/14Bd19lYaqBhU8_DElYkX7l4wRkHqqCUFNJY4AfY3kHU/edit?usp=sharing  #gid=0"",""фіз особи new!relations_name""),6,FALSE)
,
(IF
(
C8103=""юридична особа""
,
VLOOKUP"&amp;"(D8103,IMPORTRANGE(""https://docs.google.com/spreadsheets/d/14Bd19lYaqBhU8_DElYkX7l4wRkHqqCUFNJY4AfY3kHU/edit?usp=sharing  #gid=0"",""фіз особи new!relations_name_uo""),7,FALSE)
,
)
))"),"МИХАЙЛОВА Христина Юріївна")</f>
        <v>МИХАЙЛОВА Христина Юріївна</v>
      </c>
      <c r="G8102" s="7" t="s">
        <v>10</v>
      </c>
      <c r="H8102" s="7">
        <v>3058</v>
      </c>
      <c r="I8102" s="8" t="str">
        <f ca="1">IFERROR(__xludf.DUMMYFUNCTION("IF
(
G8103=""фізична особа""
,
VLOOKUP(H8103,IMPORTRANGE(""https://docs.google.com/spreadsheets/d/14Bd19lYaqBhU8_DElYkX7l4wRkHqqCUFNJY4AfY3kHU/edit?usp=sharing  #gid=0"",""фіз особи new!relations_name""),6,FALSE)
,
(IF
(
G8103=""юридична особа""
,
VLOOKUP"&amp;"(H8103,IMPORTRANGE(""https://docs.google.com/spreadsheets/d/14Bd19lYaqBhU8_DElYkX7l4wRkHqqCUFNJY4AfY3kHU/edit?usp=sharing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2" s="7" t="s">
        <v>29</v>
      </c>
    </row>
    <row r="8103" spans="1:10" ht="13.2">
      <c r="A8103" s="7">
        <v>8102</v>
      </c>
      <c r="B8103" s="7">
        <v>1</v>
      </c>
      <c r="C8103" s="7" t="s">
        <v>10</v>
      </c>
      <c r="D8103" s="7">
        <v>9480</v>
      </c>
      <c r="E8103" s="7" t="s">
        <v>28</v>
      </c>
      <c r="F8103" s="8" t="str">
        <f ca="1">IFERROR(__xludf.DUMMYFUNCTION("IF
(
C8104=""фізична особа""
,
VLOOKUP(D8104,IMPORTRANGE(""https://docs.google.com/spreadsheets/d/14Bd19lYaqBhU8_DElYkX7l4wRkHqqCUFNJY4AfY3kHU/edit?usp=sharing  #gid=0"",""фіз особи new!relations_name""),6,FALSE)
,
(IF
(
C8104=""юридична особа""
,
VLOOKUP"&amp;"(D8104,IMPORTRANGE(""https://docs.google.com/spreadsheets/d/14Bd19lYaqBhU8_DElYkX7l4wRkHqqCUFNJY4AfY3kHU/edit?usp=sharing  #gid=0"",""фіз особи new!relations_name_uo""),7,FALSE)
,
)
))"),"КРИКОР'ЯНЦ Дмитро Оганесович")</f>
        <v>КРИКОР'ЯНЦ Дмитро Оганесович</v>
      </c>
      <c r="G8103" s="7" t="s">
        <v>10</v>
      </c>
      <c r="H8103" s="7">
        <v>3058</v>
      </c>
      <c r="I8103" s="8" t="str">
        <f ca="1">IFERROR(__xludf.DUMMYFUNCTION("IF
(
G8104=""фізична особа""
,
VLOOKUP(H8104,IMPORTRANGE(""https://docs.google.com/spreadsheets/d/14Bd19lYaqBhU8_DElYkX7l4wRkHqqCUFNJY4AfY3kHU/edit?usp=sharing  #gid=0"",""фіз особи new!relations_name""),6,FALSE)
,
(IF
(
G8104=""юридична особа""
,
VLOOKUP"&amp;"(H8104,IMPORTRANGE(""https://docs.google.com/spreadsheets/d/14Bd19lYaqBhU8_DElYkX7l4wRkHqqCUFNJY4AfY3kHU/edit?usp=sharing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3" s="7" t="s">
        <v>29</v>
      </c>
    </row>
    <row r="8104" spans="1:10" ht="13.2">
      <c r="A8104" s="7">
        <v>8103</v>
      </c>
      <c r="B8104" s="7">
        <v>1</v>
      </c>
      <c r="C8104" s="7" t="s">
        <v>10</v>
      </c>
      <c r="D8104" s="7">
        <v>9519</v>
      </c>
      <c r="E8104" s="7" t="s">
        <v>28</v>
      </c>
      <c r="F8104" s="8" t="str">
        <f ca="1">IFERROR(__xludf.DUMMYFUNCTION("IF
(
C8105=""фізична особа""
,
VLOOKUP(D8105,IMPORTRANGE(""https://docs.google.com/spreadsheets/d/14Bd19lYaqBhU8_DElYkX7l4wRkHqqCUFNJY4AfY3kHU/edit?usp=sharing  #gid=0"",""фіз особи new!relations_name""),6,FALSE)
,
(IF
(
C8105=""юридична особа""
,
VLOOKUP"&amp;"(D8105,IMPORTRANGE(""https://docs.google.com/spreadsheets/d/14Bd19lYaqBhU8_DElYkX7l4wRkHqqCUFNJY4AfY3kHU/edit?usp=sharing  #gid=0"",""фіз особи new!relations_name_uo""),7,FALSE)
,
)
))"),"ХАБІБОВ Руслан Тагірович")</f>
        <v>ХАБІБОВ Руслан Тагірович</v>
      </c>
      <c r="G8104" s="7" t="s">
        <v>10</v>
      </c>
      <c r="H8104" s="7">
        <v>3058</v>
      </c>
      <c r="I8104" s="8" t="str">
        <f ca="1">IFERROR(__xludf.DUMMYFUNCTION("IF
(
G8105=""фізична особа""
,
VLOOKUP(H8105,IMPORTRANGE(""https://docs.google.com/spreadsheets/d/14Bd19lYaqBhU8_DElYkX7l4wRkHqqCUFNJY4AfY3kHU/edit?usp=sharing  #gid=0"",""фіз особи new!relations_name""),6,FALSE)
,
(IF
(
G8105=""юридична особа""
,
VLOOKUP"&amp;"(H8105,IMPORTRANGE(""https://docs.google.com/spreadsheets/d/14Bd19lYaqBhU8_DElYkX7l4wRkHqqCUFNJY4AfY3kHU/edit?usp=sharing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4" s="7" t="s">
        <v>29</v>
      </c>
    </row>
    <row r="8105" spans="1:10" ht="13.2">
      <c r="A8105" s="7">
        <v>8104</v>
      </c>
      <c r="B8105" s="7">
        <v>1</v>
      </c>
      <c r="C8105" s="7" t="s">
        <v>10</v>
      </c>
      <c r="D8105" s="7">
        <v>9522</v>
      </c>
      <c r="E8105" s="7" t="s">
        <v>28</v>
      </c>
      <c r="F8105" s="8" t="str">
        <f ca="1">IFERROR(__xludf.DUMMYFUNCTION("IF
(
C8106=""фізична особа""
,
VLOOKUP(D8106,IMPORTRANGE(""https://docs.google.com/spreadsheets/d/14Bd19lYaqBhU8_DElYkX7l4wRkHqqCUFNJY4AfY3kHU/edit?usp=sharing  #gid=0"",""фіз особи new!relations_name""),6,FALSE)
,
(IF
(
C8106=""юридична особа""
,
VLOOKUP"&amp;"(D8106,IMPORTRANGE(""https://docs.google.com/spreadsheets/d/14Bd19lYaqBhU8_DElYkX7l4wRkHqqCUFNJY4AfY3kHU/edit?usp=sharing  #gid=0"",""фіз особи new!relations_name_uo""),7,FALSE)
,
)
))"),"БАТИРОВ Костянтин Геннадійович")</f>
        <v>БАТИРОВ Костянтин Геннадійович</v>
      </c>
      <c r="G8105" s="7" t="s">
        <v>10</v>
      </c>
      <c r="H8105" s="7">
        <v>3058</v>
      </c>
      <c r="I8105" s="8" t="str">
        <f ca="1">IFERROR(__xludf.DUMMYFUNCTION("IF
(
G8106=""фізична особа""
,
VLOOKUP(H8106,IMPORTRANGE(""https://docs.google.com/spreadsheets/d/14Bd19lYaqBhU8_DElYkX7l4wRkHqqCUFNJY4AfY3kHU/edit?usp=sharing  #gid=0"",""фіз особи new!relations_name""),6,FALSE)
,
(IF
(
G8106=""юридична особа""
,
VLOOKUP"&amp;"(H8106,IMPORTRANGE(""https://docs.google.com/spreadsheets/d/14Bd19lYaqBhU8_DElYkX7l4wRkHqqCUFNJY4AfY3kHU/edit?usp=sharing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5" s="7" t="s">
        <v>29</v>
      </c>
    </row>
    <row r="8106" spans="1:10" ht="13.2">
      <c r="A8106" s="7">
        <v>8105</v>
      </c>
      <c r="B8106" s="7">
        <v>1</v>
      </c>
      <c r="C8106" s="7" t="s">
        <v>10</v>
      </c>
      <c r="D8106" s="7">
        <v>9524</v>
      </c>
      <c r="E8106" s="7" t="s">
        <v>28</v>
      </c>
      <c r="F8106" s="8" t="str">
        <f ca="1">IFERROR(__xludf.DUMMYFUNCTION("IF
(
C8107=""фізична особа""
,
VLOOKUP(D8107,IMPORTRANGE(""https://docs.google.com/spreadsheets/d/14Bd19lYaqBhU8_DElYkX7l4wRkHqqCUFNJY4AfY3kHU/edit?usp=sharing  #gid=0"",""фіз особи new!relations_name""),6,FALSE)
,
(IF
(
C8107=""юридична особа""
,
VLOOKUP"&amp;"(D8107,IMPORTRANGE(""https://docs.google.com/spreadsheets/d/14Bd19lYaqBhU8_DElYkX7l4wRkHqqCUFNJY4AfY3kHU/edit?usp=sharing  #gid=0"",""фіз особи new!relations_name_uo""),7,FALSE)
,
)
))"),"БАТЮКОВА Лідія Олександрівна")</f>
        <v>БАТЮКОВА Лідія Олександрівна</v>
      </c>
      <c r="G8106" s="7" t="s">
        <v>10</v>
      </c>
      <c r="H8106" s="7">
        <v>3058</v>
      </c>
      <c r="I8106" s="8" t="str">
        <f ca="1">IFERROR(__xludf.DUMMYFUNCTION("IF
(
G8107=""фізична особа""
,
VLOOKUP(H8107,IMPORTRANGE(""https://docs.google.com/spreadsheets/d/14Bd19lYaqBhU8_DElYkX7l4wRkHqqCUFNJY4AfY3kHU/edit?usp=sharing  #gid=0"",""фіз особи new!relations_name""),6,FALSE)
,
(IF
(
G8107=""юридична особа""
,
VLOOKUP"&amp;"(H8107,IMPORTRANGE(""https://docs.google.com/spreadsheets/d/14Bd19lYaqBhU8_DElYkX7l4wRkHqqCUFNJY4AfY3kHU/edit?usp=sharing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8106" s="7" t="s">
        <v>29</v>
      </c>
    </row>
    <row r="8107" spans="1:10" ht="13.2">
      <c r="A8107" s="7">
        <v>8106</v>
      </c>
      <c r="B8107" s="7">
        <v>1</v>
      </c>
      <c r="C8107" s="7" t="s">
        <v>10</v>
      </c>
      <c r="D8107" s="7">
        <v>9749</v>
      </c>
      <c r="E8107" s="7" t="s">
        <v>28</v>
      </c>
      <c r="F8107" s="8" t="str">
        <f ca="1">IFERROR(__xludf.DUMMYFUNCTION("IF
(
C8108=""фізична особа""
,
VLOOKUP(D8108,IMPORTRANGE(""https://docs.google.com/spreadsheets/d/14Bd19lYaqBhU8_DElYkX7l4wRkHqqCUFNJY4AfY3kHU/edit?usp=sharing  #gid=0"",""фіз особи new!relations_name""),6,FALSE)
,
(IF
(
C8108=""юридична особа""
,
VLOOKUP"&amp;"(D8108,IMPORTRANGE(""https://docs.google.com/spreadsheets/d/14Bd19lYaqBhU8_DElYkX7l4wRkHqqCUFNJY4AfY3kHU/edit?usp=sharing  #gid=0"",""фіз особи new!relations_name_uo""),7,FALSE)
,
)
))"),"РИЖИЙ Павло Анатолійович")</f>
        <v>РИЖИЙ Павло Анатолійович</v>
      </c>
      <c r="G8107" s="7" t="s">
        <v>10</v>
      </c>
      <c r="H8107" s="7">
        <v>797</v>
      </c>
      <c r="I8107" s="8" t="str">
        <f ca="1">IFERROR(__xludf.DUMMYFUNCTION("IF
(
G8108=""фізична особа""
,
VLOOKUP(H8108,IMPORTRANGE(""https://docs.google.com/spreadsheets/d/14Bd19lYaqBhU8_DElYkX7l4wRkHqqCUFNJY4AfY3kHU/edit?usp=sharing  #gid=0"",""фіз особи new!relations_name""),6,FALSE)
,
(IF
(
G8108=""юридична особа""
,
VLOOKUP"&amp;"(H8108,IMPORTRANGE(""https://docs.google.com/spreadsheets/d/14Bd19lYaqBhU8_DElYkX7l4wRkHqqCUFNJY4AfY3kHU/edit?usp=sharing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J8107" s="7" t="s">
        <v>29</v>
      </c>
    </row>
    <row r="8108" spans="1:10" ht="13.2">
      <c r="A8108" s="7">
        <v>8107</v>
      </c>
      <c r="B8108" s="7">
        <v>1</v>
      </c>
      <c r="C8108" s="7" t="s">
        <v>10</v>
      </c>
      <c r="D8108" s="7">
        <v>9750</v>
      </c>
      <c r="E8108" s="7" t="s">
        <v>21</v>
      </c>
      <c r="F8108" s="8" t="str">
        <f ca="1">IFERROR(__xludf.DUMMYFUNCTION("IF
(
C8109=""фізична особа""
,
VLOOKUP(D8109,IMPORTRANGE(""https://docs.google.com/spreadsheets/d/14Bd19lYaqBhU8_DElYkX7l4wRkHqqCUFNJY4AfY3kHU/edit?usp=sharing  #gid=0"",""фіз особи new!relations_name""),6,FALSE)
,
(IF
(
C8109=""юридична особа""
,
VLOOKUP"&amp;"(D8109,IMPORTRANGE(""https://docs.google.com/spreadsheets/d/14Bd19lYaqBhU8_DElYkX7l4wRkHqqCUFNJY4AfY3kHU/edit?usp=sharing  #gid=0"",""фіз особи new!relations_name_uo""),7,FALSE)
,
)
))"),"ЛУГАЧОВА Наталія Равилівна")</f>
        <v>ЛУГАЧОВА Наталія Равилівна</v>
      </c>
      <c r="G8108" s="7" t="s">
        <v>10</v>
      </c>
      <c r="H8108" s="7">
        <v>0</v>
      </c>
      <c r="I8108" s="8" t="str">
        <f ca="1">IFERROR(__xludf.DUMMYFUNCTION("IF
(
G8109=""фізична особа""
,
VLOOKUP(H8109,IMPORTRANGE(""https://docs.google.com/spreadsheets/d/14Bd19lYaqBhU8_DElYkX7l4wRkHqqCUFNJY4AfY3kHU/edit?usp=sharing  #gid=0"",""фіз особи new!relations_name""),6,FALSE)
,
(IF
(
G8109=""юридична особа""
,
VLOOKUP"&amp;"(H8109,IMPORTRANGE(""https://docs.google.com/spreadsheets/d/14Bd19lYaqBhU8_DElYkX7l4wRkHqqCUFNJY4AfY3kHU/edit?usp=sharing  #gid=0"",""фіз особи new!relations_name_uo""),7,FALSE)
,
)
))"),"#N/A")</f>
        <v>#N/A</v>
      </c>
      <c r="J8108" s="7" t="s">
        <v>13</v>
      </c>
    </row>
    <row r="8109" spans="1:10" ht="13.2">
      <c r="A8109" s="7">
        <v>8108</v>
      </c>
      <c r="B8109" s="7">
        <v>1</v>
      </c>
      <c r="C8109" s="7" t="s">
        <v>10</v>
      </c>
      <c r="D8109" s="7">
        <v>9750</v>
      </c>
      <c r="E8109" s="7" t="s">
        <v>27</v>
      </c>
      <c r="F8109" s="8" t="str">
        <f ca="1">IFERROR(__xludf.DUMMYFUNCTION("IF
(
C8110=""фізична особа""
,
VLOOKUP(D8110,IMPORTRANGE(""https://docs.google.com/spreadsheets/d/14Bd19lYaqBhU8_DElYkX7l4wRkHqqCUFNJY4AfY3kHU/edit?usp=sharing  #gid=0"",""фіз особи new!relations_name""),6,FALSE)
,
(IF
(
C8110=""юридична особа""
,
VLOOKUP"&amp;"(D8110,IMPORTRANGE(""https://docs.google.com/spreadsheets/d/14Bd19lYaqBhU8_DElYkX7l4wRkHqqCUFNJY4AfY3kHU/edit?usp=sharing  #gid=0"",""фіз особи new!relations_name_uo""),7,FALSE)
,
)
))"),"ЛУГАЧОВА Наталія Равилівна")</f>
        <v>ЛУГАЧОВА Наталія Равилівна</v>
      </c>
      <c r="G8109" s="7" t="s">
        <v>10</v>
      </c>
      <c r="H8109" s="7">
        <v>0</v>
      </c>
      <c r="I8109" s="8" t="str">
        <f ca="1">IFERROR(__xludf.DUMMYFUNCTION("IF
(
G8110=""фізична особа""
,
VLOOKUP(H8110,IMPORTRANGE(""https://docs.google.com/spreadsheets/d/14Bd19lYaqBhU8_DElYkX7l4wRkHqqCUFNJY4AfY3kHU/edit?usp=sharing  #gid=0"",""фіз особи new!relations_name""),6,FALSE)
,
(IF
(
G8110=""юридична особа""
,
VLOOKUP"&amp;"(H8110,IMPORTRANGE(""https://docs.google.com/spreadsheets/d/14Bd19lYaqBhU8_DElYkX7l4wRkHqqCUFNJY4AfY3kHU/edit?usp=sharing  #gid=0"",""фіз особи new!relations_name_uo""),7,FALSE)
,
)
))"),"#N/A")</f>
        <v>#N/A</v>
      </c>
      <c r="J8109" s="7" t="s">
        <v>26</v>
      </c>
    </row>
    <row r="8110" spans="1:10" ht="13.2">
      <c r="A8110" s="7">
        <v>8109</v>
      </c>
      <c r="B8110" s="7">
        <v>1</v>
      </c>
      <c r="C8110" s="7" t="s">
        <v>10</v>
      </c>
      <c r="D8110" s="7">
        <v>9751</v>
      </c>
      <c r="E8110" s="7" t="s">
        <v>17</v>
      </c>
      <c r="F8110" s="8" t="str">
        <f ca="1">IFERROR(__xludf.DUMMYFUNCTION("IF
(
C8111=""фізична особа""
,
VLOOKUP(D8111,IMPORTRANGE(""https://docs.google.com/spreadsheets/d/14Bd19lYaqBhU8_DElYkX7l4wRkHqqCUFNJY4AfY3kHU/edit?usp=sharing  #gid=0"",""фіз особи new!relations_name""),6,FALSE)
,
(IF
(
C8111=""юридична особа""
,
VLOOKUP"&amp;"(D8111,IMPORTRANGE(""https://docs.google.com/spreadsheets/d/14Bd19lYaqBhU8_DElYkX7l4wRkHqqCUFNJY4AfY3kHU/edit?usp=sharing  #gid=0"",""фіз особи new!relations_name_uo""),7,FALSE)
,
)
))"),"АМІНОВ Дмитро Володимирович")</f>
        <v>АМІНОВ Дмитро Володимирович</v>
      </c>
      <c r="G8110" s="7" t="s">
        <v>10</v>
      </c>
      <c r="H8110" s="7">
        <v>0</v>
      </c>
      <c r="I8110" s="8" t="str">
        <f ca="1">IFERROR(__xludf.DUMMYFUNCTION("IF
(
G8111=""фізична особа""
,
VLOOKUP(H8111,IMPORTRANGE(""https://docs.google.com/spreadsheets/d/14Bd19lYaqBhU8_DElYkX7l4wRkHqqCUFNJY4AfY3kHU/edit?usp=sharing  #gid=0"",""фіз особи new!relations_name""),6,FALSE)
,
(IF
(
G8111=""юридична особа""
,
VLOOKUP"&amp;"(H8111,IMPORTRANGE(""https://docs.google.com/spreadsheets/d/14Bd19lYaqBhU8_DElYkX7l4wRkHqqCUFNJY4AfY3kHU/edit?usp=sharing  #gid=0"",""фіз особи new!relations_name_uo""),7,FALSE)
,
)
))"),"#N/A")</f>
        <v>#N/A</v>
      </c>
      <c r="J8110" s="7" t="s">
        <v>12</v>
      </c>
    </row>
    <row r="8111" spans="1:10" ht="13.2">
      <c r="A8111" s="7">
        <v>8110</v>
      </c>
      <c r="B8111" s="7">
        <v>1</v>
      </c>
      <c r="C8111" s="7" t="s">
        <v>10</v>
      </c>
      <c r="D8111" s="7">
        <v>9751</v>
      </c>
      <c r="E8111" s="7" t="s">
        <v>17</v>
      </c>
      <c r="F8111" s="8" t="str">
        <f ca="1">IFERROR(__xludf.DUMMYFUNCTION("IF
(
C8112=""фізична особа""
,
VLOOKUP(D8112,IMPORTRANGE(""https://docs.google.com/spreadsheets/d/14Bd19lYaqBhU8_DElYkX7l4wRkHqqCUFNJY4AfY3kHU/edit?usp=sharing  #gid=0"",""фіз особи new!relations_name""),6,FALSE)
,
(IF
(
C8112=""юридична особа""
,
VLOOKUP"&amp;"(D8112,IMPORTRANGE(""https://docs.google.com/spreadsheets/d/14Bd19lYaqBhU8_DElYkX7l4wRkHqqCUFNJY4AfY3kHU/edit?usp=sharing  #gid=0"",""фіз особи new!relations_name_uo""),7,FALSE)
,
)
))"),"АМІНОВ Дмитро Володимирович")</f>
        <v>АМІНОВ Дмитро Володимирович</v>
      </c>
      <c r="G8111" s="7" t="s">
        <v>10</v>
      </c>
      <c r="H8111" s="7">
        <v>0</v>
      </c>
      <c r="I8111" s="8" t="str">
        <f ca="1">IFERROR(__xludf.DUMMYFUNCTION("IF
(
G8112=""фізична особа""
,
VLOOKUP(H8112,IMPORTRANGE(""https://docs.google.com/spreadsheets/d/14Bd19lYaqBhU8_DElYkX7l4wRkHqqCUFNJY4AfY3kHU/edit?usp=sharing  #gid=0"",""фіз особи new!relations_name""),6,FALSE)
,
(IF
(
G8112=""юридична особа""
,
VLOOKUP"&amp;"(H8112,IMPORTRANGE(""https://docs.google.com/spreadsheets/d/14Bd19lYaqBhU8_DElYkX7l4wRkHqqCUFNJY4AfY3kHU/edit?usp=sharing  #gid=0"",""фіз особи new!relations_name_uo""),7,FALSE)
,
)
))"),"#N/A")</f>
        <v>#N/A</v>
      </c>
      <c r="J8111" s="7" t="s">
        <v>21</v>
      </c>
    </row>
    <row r="8112" spans="1:10" ht="13.2">
      <c r="A8112" s="7">
        <v>8111</v>
      </c>
      <c r="B8112" s="7">
        <v>1</v>
      </c>
      <c r="C8112" s="7" t="s">
        <v>10</v>
      </c>
      <c r="D8112" s="7">
        <v>9846</v>
      </c>
      <c r="E8112" s="7" t="s">
        <v>30</v>
      </c>
      <c r="F8112" s="8" t="str">
        <f ca="1">IFERROR(__xludf.DUMMYFUNCTION("IF
(
C8113=""фізична особа""
,
VLOOKUP(D8113,IMPORTRANGE(""https://docs.google.com/spreadsheets/d/14Bd19lYaqBhU8_DElYkX7l4wRkHqqCUFNJY4AfY3kHU/edit?usp=sharing  #gid=0"",""фіз особи new!relations_name""),6,FALSE)
,
(IF
(
C8113=""юридична особа""
,
VLOOKUP"&amp;"(D8113,IMPORTRANGE(""https://docs.google.com/spreadsheets/d/14Bd19lYaqBhU8_DElYkX7l4wRkHqqCUFNJY4AfY3kHU/edit?usp=sharing  #gid=0"",""фіз особи new!relations_name_uo""),7,FALSE)
,
)
))"),"ІЛЬЇНА Марина Олександрівна")</f>
        <v>ІЛЬЇНА Марина Олександрівна</v>
      </c>
      <c r="G8112" s="7" t="s">
        <v>10</v>
      </c>
      <c r="H8112" s="7">
        <v>0</v>
      </c>
      <c r="I8112" s="8" t="str">
        <f ca="1">IFERROR(__xludf.DUMMYFUNCTION("IF
(
G8113=""фізична особа""
,
VLOOKUP(H8113,IMPORTRANGE(""https://docs.google.com/spreadsheets/d/14Bd19lYaqBhU8_DElYkX7l4wRkHqqCUFNJY4AfY3kHU/edit?usp=sharing  #gid=0"",""фіз особи new!relations_name""),6,FALSE)
,
(IF
(
G8113=""юридична особа""
,
VLOOKUP"&amp;"(H8113,IMPORTRANGE(""https://docs.google.com/spreadsheets/d/14Bd19lYaqBhU8_DElYkX7l4wRkHqqCUFNJY4AfY3kHU/edit?usp=sharing  #gid=0"",""фіз особи new!relations_name_uo""),7,FALSE)
,
)
))"),"#N/A")</f>
        <v>#N/A</v>
      </c>
      <c r="J8112" s="7" t="s">
        <v>30</v>
      </c>
    </row>
    <row r="8113" spans="1:10" ht="13.2">
      <c r="A8113" s="7">
        <v>8112</v>
      </c>
      <c r="B8113" s="7">
        <v>1</v>
      </c>
      <c r="C8113" s="7" t="s">
        <v>10</v>
      </c>
      <c r="D8113" s="7">
        <v>9871</v>
      </c>
      <c r="E8113" s="7" t="s">
        <v>28</v>
      </c>
      <c r="F8113" s="8" t="str">
        <f ca="1">IFERROR(__xludf.DUMMYFUNCTION("IF
(
C8114=""фізична особа""
,
VLOOKUP(D8114,IMPORTRANGE(""https://docs.google.com/spreadsheets/d/14Bd19lYaqBhU8_DElYkX7l4wRkHqqCUFNJY4AfY3kHU/edit?usp=sharing  #gid=0"",""фіз особи new!relations_name""),6,FALSE)
,
(IF
(
C8114=""юридична особа""
,
VLOOKUP"&amp;"(D8114,IMPORTRANGE(""https://docs.google.com/spreadsheets/d/14Bd19lYaqBhU8_DElYkX7l4wRkHqqCUFNJY4AfY3kHU/edit?usp=sharing  #gid=0"",""фіз особи new!relations_name_uo""),7,FALSE)
,
)
))"),"БАТАНОВА Олена Павлівна")</f>
        <v>БАТАНОВА Олена Павлівна</v>
      </c>
      <c r="G8113" s="7" t="s">
        <v>10</v>
      </c>
      <c r="H8113" s="7">
        <v>185</v>
      </c>
      <c r="I8113" s="8" t="str">
        <f ca="1">IFERROR(__xludf.DUMMYFUNCTION("IF
(
G8114=""фізична особа""
,
VLOOKUP(H8114,IMPORTRANGE(""https://docs.google.com/spreadsheets/d/14Bd19lYaqBhU8_DElYkX7l4wRkHqqCUFNJY4AfY3kHU/edit?usp=sharing  #gid=0"",""фіз особи new!relations_name""),6,FALSE)
,
(IF
(
G8114=""юридична особа""
,
VLOOKUP"&amp;"(H8114,IMPORTRANGE(""https://docs.google.com/spreadsheets/d/14Bd19lYaqBhU8_DElYkX7l4wRkHqqCUFNJY4AfY3kHU/edit?usp=sharing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8113" s="7" t="s">
        <v>29</v>
      </c>
    </row>
    <row r="8114" spans="1:10" ht="13.2">
      <c r="A8114" s="7">
        <v>8113</v>
      </c>
      <c r="B8114" s="7">
        <v>1</v>
      </c>
      <c r="C8114" s="7" t="s">
        <v>10</v>
      </c>
      <c r="D8114" s="7">
        <v>9905</v>
      </c>
      <c r="E8114" s="7" t="s">
        <v>23</v>
      </c>
      <c r="F8114" s="8" t="str">
        <f ca="1">IFERROR(__xludf.DUMMYFUNCTION("IF
(
C8115=""фізична особа""
,
VLOOKUP(D8115,IMPORTRANGE(""https://docs.google.com/spreadsheets/d/14Bd19lYaqBhU8_DElYkX7l4wRkHqqCUFNJY4AfY3kHU/edit?usp=sharing  #gid=0"",""фіз особи new!relations_name""),6,FALSE)
,
(IF
(
C8115=""юридична особа""
,
VLOOKUP"&amp;"(D8115,IMPORTRANGE(""https://docs.google.com/spreadsheets/d/14Bd19lYaqBhU8_DElYkX7l4wRkHqqCUFNJY4AfY3kHU/edit?usp=sharing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4" s="7" t="s">
        <v>10</v>
      </c>
      <c r="H8114" s="7">
        <v>3757</v>
      </c>
      <c r="I8114" s="8" t="str">
        <f ca="1">IFERROR(__xludf.DUMMYFUNCTION("IF
(
G8115=""фізична особа""
,
VLOOKUP(H8115,IMPORTRANGE(""https://docs.google.com/spreadsheets/d/14Bd19lYaqBhU8_DElYkX7l4wRkHqqCUFNJY4AfY3kHU/edit?usp=sharing  #gid=0"",""фіз особи new!relations_name""),6,FALSE)
,
(IF
(
G8115=""юридична особа""
,
VLOOKUP"&amp;"(H8115,IMPORTRANGE(""https://docs.google.com/spreadsheets/d/14Bd19lYaqBhU8_DElYkX7l4wRkHqqCUFNJY4AfY3kHU/edit?usp=sharing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8114" s="7" t="s">
        <v>23</v>
      </c>
    </row>
    <row r="8115" spans="1:10" ht="13.2">
      <c r="A8115" s="7">
        <v>8114</v>
      </c>
      <c r="B8115" s="7">
        <v>1</v>
      </c>
      <c r="C8115" s="7" t="s">
        <v>10</v>
      </c>
      <c r="D8115" s="7">
        <v>9905</v>
      </c>
      <c r="E8115" s="7" t="s">
        <v>23</v>
      </c>
      <c r="F8115" s="8" t="str">
        <f ca="1">IFERROR(__xludf.DUMMYFUNCTION("IF
(
C8116=""фізична особа""
,
VLOOKUP(D8116,IMPORTRANGE(""https://docs.google.com/spreadsheets/d/14Bd19lYaqBhU8_DElYkX7l4wRkHqqCUFNJY4AfY3kHU/edit?usp=sharing  #gid=0"",""фіз особи new!relations_name""),6,FALSE)
,
(IF
(
C8116=""юридична особа""
,
VLOOKUP"&amp;"(D8116,IMPORTRANGE(""https://docs.google.com/spreadsheets/d/14Bd19lYaqBhU8_DElYkX7l4wRkHqqCUFNJY4AfY3kHU/edit?usp=sharing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5" s="7" t="s">
        <v>10</v>
      </c>
      <c r="H8115" s="7">
        <v>16954</v>
      </c>
      <c r="I8115" s="8" t="str">
        <f ca="1">IFERROR(__xludf.DUMMYFUNCTION("IF
(
G8116=""фізична особа""
,
VLOOKUP(H8116,IMPORTRANGE(""https://docs.google.com/spreadsheets/d/14Bd19lYaqBhU8_DElYkX7l4wRkHqqCUFNJY4AfY3kHU/edit?usp=sharing  #gid=0"",""фіз особи new!relations_name""),6,FALSE)
,
(IF
(
G8116=""юридична особа""
,
VLOOKUP"&amp;"(H8116,IMPORTRANGE(""https://docs.google.com/spreadsheets/d/14Bd19lYaqBhU8_DElYkX7l4wRkHqqCUFNJY4AfY3kHU/edit?usp=sharing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J8115" s="7" t="s">
        <v>23</v>
      </c>
    </row>
    <row r="8116" spans="1:10" ht="13.2">
      <c r="A8116" s="7">
        <v>8115</v>
      </c>
      <c r="B8116" s="7">
        <v>1</v>
      </c>
      <c r="C8116" s="7" t="s">
        <v>10</v>
      </c>
      <c r="D8116" s="7">
        <v>9905</v>
      </c>
      <c r="E8116" s="7" t="s">
        <v>23</v>
      </c>
      <c r="F8116" s="8" t="str">
        <f ca="1">IFERROR(__xludf.DUMMYFUNCTION("IF
(
C8117=""фізична особа""
,
VLOOKUP(D8117,IMPORTRANGE(""https://docs.google.com/spreadsheets/d/14Bd19lYaqBhU8_DElYkX7l4wRkHqqCUFNJY4AfY3kHU/edit?usp=sharing  #gid=0"",""фіз особи new!relations_name""),6,FALSE)
,
(IF
(
C8117=""юридична особа""
,
VLOOKUP"&amp;"(D8117,IMPORTRANGE(""https://docs.google.com/spreadsheets/d/14Bd19lYaqBhU8_DElYkX7l4wRkHqqCUFNJY4AfY3kHU/edit?usp=sharing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6" s="7" t="s">
        <v>10</v>
      </c>
      <c r="H8116" s="7">
        <v>16955</v>
      </c>
      <c r="I8116" s="8" t="str">
        <f ca="1">IFERROR(__xludf.DUMMYFUNCTION("IF
(
G8117=""фізична особа""
,
VLOOKUP(H8117,IMPORTRANGE(""https://docs.google.com/spreadsheets/d/14Bd19lYaqBhU8_DElYkX7l4wRkHqqCUFNJY4AfY3kHU/edit?usp=sharing  #gid=0"",""фіз особи new!relations_name""),6,FALSE)
,
(IF
(
G8117=""юридична особа""
,
VLOOKUP"&amp;"(H8117,IMPORTRANGE(""https://docs.google.com/spreadsheets/d/14Bd19lYaqBhU8_DElYkX7l4wRkHqqCUFNJY4AfY3kHU/edit?usp=sharing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J8116" s="7" t="s">
        <v>23</v>
      </c>
    </row>
    <row r="8117" spans="1:10" ht="13.2">
      <c r="A8117" s="7">
        <v>8116</v>
      </c>
      <c r="B8117" s="7">
        <v>1</v>
      </c>
      <c r="C8117" s="7" t="s">
        <v>10</v>
      </c>
      <c r="D8117" s="7">
        <v>9905</v>
      </c>
      <c r="E8117" s="7" t="s">
        <v>23</v>
      </c>
      <c r="F8117" s="8" t="str">
        <f ca="1">IFERROR(__xludf.DUMMYFUNCTION("IF
(
C8118=""фізична особа""
,
VLOOKUP(D8118,IMPORTRANGE(""https://docs.google.com/spreadsheets/d/14Bd19lYaqBhU8_DElYkX7l4wRkHqqCUFNJY4AfY3kHU/edit?usp=sharing  #gid=0"",""фіз особи new!relations_name""),6,FALSE)
,
(IF
(
C8118=""юридична особа""
,
VLOOKUP"&amp;"(D8118,IMPORTRANGE(""https://docs.google.com/spreadsheets/d/14Bd19lYaqBhU8_DElYkX7l4wRkHqqCUFNJY4AfY3kHU/edit?usp=sharing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7" s="7" t="s">
        <v>10</v>
      </c>
      <c r="H8117" s="7">
        <v>16956</v>
      </c>
      <c r="I8117" s="8" t="str">
        <f ca="1">IFERROR(__xludf.DUMMYFUNCTION("IF
(
G8118=""фізична особа""
,
VLOOKUP(H8118,IMPORTRANGE(""https://docs.google.com/spreadsheets/d/14Bd19lYaqBhU8_DElYkX7l4wRkHqqCUFNJY4AfY3kHU/edit?usp=sharing  #gid=0"",""фіз особи new!relations_name""),6,FALSE)
,
(IF
(
G8118=""юридична особа""
,
VLOOKUP"&amp;"(H8118,IMPORTRANGE(""https://docs.google.com/spreadsheets/d/14Bd19lYaqBhU8_DElYkX7l4wRkHqqCUFNJY4AfY3kHU/edit?usp=sharing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J8117" s="7" t="s">
        <v>23</v>
      </c>
    </row>
    <row r="8118" spans="1:10" ht="13.2">
      <c r="A8118" s="7">
        <v>8117</v>
      </c>
      <c r="B8118" s="7">
        <v>1</v>
      </c>
      <c r="C8118" s="7" t="s">
        <v>10</v>
      </c>
      <c r="D8118" s="7">
        <v>9905</v>
      </c>
      <c r="E8118" s="7" t="s">
        <v>23</v>
      </c>
      <c r="F8118" s="8" t="str">
        <f ca="1">IFERROR(__xludf.DUMMYFUNCTION("IF
(
C8119=""фізична особа""
,
VLOOKUP(D8119,IMPORTRANGE(""https://docs.google.com/spreadsheets/d/14Bd19lYaqBhU8_DElYkX7l4wRkHqqCUFNJY4AfY3kHU/edit?usp=sharing  #gid=0"",""фіз особи new!relations_name""),6,FALSE)
,
(IF
(
C8119=""юридична особа""
,
VLOOKUP"&amp;"(D8119,IMPORTRANGE(""https://docs.google.com/spreadsheets/d/14Bd19lYaqBhU8_DElYkX7l4wRkHqqCUFNJY4AfY3kHU/edit?usp=sharing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8" s="7" t="s">
        <v>10</v>
      </c>
      <c r="H8118" s="7">
        <v>16957</v>
      </c>
      <c r="I8118" s="8" t="str">
        <f ca="1">IFERROR(__xludf.DUMMYFUNCTION("IF
(
G8119=""фізична особа""
,
VLOOKUP(H8119,IMPORTRANGE(""https://docs.google.com/spreadsheets/d/14Bd19lYaqBhU8_DElYkX7l4wRkHqqCUFNJY4AfY3kHU/edit?usp=sharing  #gid=0"",""фіз особи new!relations_name""),6,FALSE)
,
(IF
(
G8119=""юридична особа""
,
VLOOKUP"&amp;"(H8119,IMPORTRANGE(""https://docs.google.com/spreadsheets/d/14Bd19lYaqBhU8_DElYkX7l4wRkHqqCUFNJY4AfY3kHU/edit?usp=sharing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J8118" s="7" t="s">
        <v>23</v>
      </c>
    </row>
    <row r="8119" spans="1:10" ht="13.2">
      <c r="A8119" s="7">
        <v>8118</v>
      </c>
      <c r="B8119" s="7">
        <v>1</v>
      </c>
      <c r="C8119" s="7" t="s">
        <v>10</v>
      </c>
      <c r="D8119" s="7">
        <v>9905</v>
      </c>
      <c r="E8119" s="7" t="s">
        <v>23</v>
      </c>
      <c r="F8119" s="8" t="str">
        <f ca="1">IFERROR(__xludf.DUMMYFUNCTION("IF
(
C8120=""фізична особа""
,
VLOOKUP(D8120,IMPORTRANGE(""https://docs.google.com/spreadsheets/d/14Bd19lYaqBhU8_DElYkX7l4wRkHqqCUFNJY4AfY3kHU/edit?usp=sharing  #gid=0"",""фіз особи new!relations_name""),6,FALSE)
,
(IF
(
C8120=""юридична особа""
,
VLOOKUP"&amp;"(D8120,IMPORTRANGE(""https://docs.google.com/spreadsheets/d/14Bd19lYaqBhU8_DElYkX7l4wRkHqqCUFNJY4AfY3kHU/edit?usp=sharing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G8119" s="7" t="s">
        <v>10</v>
      </c>
      <c r="H8119" s="7">
        <v>16953</v>
      </c>
      <c r="I8119" s="8" t="str">
        <f ca="1">IFERROR(__xludf.DUMMYFUNCTION("IF
(
G8120=""фізична особа""
,
VLOOKUP(H8120,IMPORTRANGE(""https://docs.google.com/spreadsheets/d/14Bd19lYaqBhU8_DElYkX7l4wRkHqqCUFNJY4AfY3kHU/edit?usp=sharing  #gid=0"",""фіз особи new!relations_name""),6,FALSE)
,
(IF
(
G8120=""юридична особа""
,
VLOOKUP"&amp;"(H8120,IMPORTRANGE(""https://docs.google.com/spreadsheets/d/14Bd19lYaqBhU8_DElYkX7l4wRkHqqCUFNJY4AfY3kHU/edit?usp=sharing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J8119" s="7" t="s">
        <v>23</v>
      </c>
    </row>
    <row r="8120" spans="1:10" ht="13.2">
      <c r="A8120" s="7">
        <v>8119</v>
      </c>
      <c r="B8120" s="7">
        <v>1</v>
      </c>
      <c r="C8120" s="7" t="s">
        <v>10</v>
      </c>
      <c r="D8120" s="7">
        <v>9949</v>
      </c>
      <c r="E8120" s="7" t="s">
        <v>30</v>
      </c>
      <c r="F8120" s="8" t="str">
        <f ca="1">IFERROR(__xludf.DUMMYFUNCTION("IF
(
C8121=""фізична особа""
,
VLOOKUP(D8121,IMPORTRANGE(""https://docs.google.com/spreadsheets/d/14Bd19lYaqBhU8_DElYkX7l4wRkHqqCUFNJY4AfY3kHU/edit?usp=sharing  #gid=0"",""фіз особи new!relations_name""),6,FALSE)
,
(IF
(
C8121=""юридична особа""
,
VLOOKUP"&amp;"(D8121,IMPORTRANGE(""https://docs.google.com/spreadsheets/d/14Bd19lYaqBhU8_DElYkX7l4wRkHqqCUFNJY4AfY3kHU/edit?usp=sharing  #gid=0"",""фіз особи new!relations_name_uo""),7,FALSE)
,
)
))"),"ГАВРИЛІНА Ірина Олександрівна")</f>
        <v>ГАВРИЛІНА Ірина Олександрівна</v>
      </c>
      <c r="G8120" s="7" t="s">
        <v>10</v>
      </c>
      <c r="H8120" s="7">
        <v>0</v>
      </c>
      <c r="I8120" s="8" t="str">
        <f ca="1">IFERROR(__xludf.DUMMYFUNCTION("IF
(
G8121=""фізична особа""
,
VLOOKUP(H8121,IMPORTRANGE(""https://docs.google.com/spreadsheets/d/14Bd19lYaqBhU8_DElYkX7l4wRkHqqCUFNJY4AfY3kHU/edit?usp=sharing  #gid=0"",""фіз особи new!relations_name""),6,FALSE)
,
(IF
(
G8121=""юридична особа""
,
VLOOKUP"&amp;"(H8121,IMPORTRANGE(""https://docs.google.com/spreadsheets/d/14Bd19lYaqBhU8_DElYkX7l4wRkHqqCUFNJY4AfY3kHU/edit?usp=sharing  #gid=0"",""фіз особи new!relations_name_uo""),7,FALSE)
,
)
))"),"#N/A")</f>
        <v>#N/A</v>
      </c>
      <c r="J8120" s="7" t="s">
        <v>30</v>
      </c>
    </row>
    <row r="8121" spans="1:10" ht="13.2">
      <c r="A8121" s="7">
        <v>8120</v>
      </c>
      <c r="B8121" s="7">
        <v>1</v>
      </c>
      <c r="C8121" s="7" t="s">
        <v>10</v>
      </c>
      <c r="D8121" s="7">
        <v>10087</v>
      </c>
      <c r="E8121" s="7" t="s">
        <v>28</v>
      </c>
      <c r="F8121" s="8" t="str">
        <f ca="1">IFERROR(__xludf.DUMMYFUNCTION("IF
(
C8122=""фізична особа""
,
VLOOKUP(D8122,IMPORTRANGE(""https://docs.google.com/spreadsheets/d/14Bd19lYaqBhU8_DElYkX7l4wRkHqqCUFNJY4AfY3kHU/edit?usp=sharing  #gid=0"",""фіз особи new!relations_name""),6,FALSE)
,
(IF
(
C8122=""юридична особа""
,
VLOOKUP"&amp;"(D8122,IMPORTRANGE(""https://docs.google.com/spreadsheets/d/14Bd19lYaqBhU8_DElYkX7l4wRkHqqCUFNJY4AfY3kHU/edit?usp=sharing  #gid=0"",""фіз особи new!relations_name_uo""),7,FALSE)
,
)
))"),"КОПИЛЬЦОВ Юрій Валерійович")</f>
        <v>КОПИЛЬЦОВ Юрій Валерійович</v>
      </c>
      <c r="G8121" s="7" t="s">
        <v>10</v>
      </c>
      <c r="H8121" s="7">
        <v>1309</v>
      </c>
      <c r="I8121" s="8" t="str">
        <f ca="1">IFERROR(__xludf.DUMMYFUNCTION("IF
(
G8122=""фізична особа""
,
VLOOKUP(H8122,IMPORTRANGE(""https://docs.google.com/spreadsheets/d/14Bd19lYaqBhU8_DElYkX7l4wRkHqqCUFNJY4AfY3kHU/edit?usp=sharing  #gid=0"",""фіз особи new!relations_name""),6,FALSE)
,
(IF
(
G8122=""юридична особа""
,
VLOOKUP"&amp;"(H8122,IMPORTRANGE(""https://docs.google.com/spreadsheets/d/14Bd19lYaqBhU8_DElYkX7l4wRkHqqCUFNJY4AfY3kHU/edit?usp=sharing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1" s="7" t="s">
        <v>29</v>
      </c>
    </row>
    <row r="8122" spans="1:10" ht="13.2">
      <c r="A8122" s="7">
        <v>8121</v>
      </c>
      <c r="B8122" s="7">
        <v>1</v>
      </c>
      <c r="C8122" s="7" t="s">
        <v>10</v>
      </c>
      <c r="D8122" s="7">
        <v>10088</v>
      </c>
      <c r="E8122" s="7" t="s">
        <v>28</v>
      </c>
      <c r="F8122" s="8" t="str">
        <f ca="1">IFERROR(__xludf.DUMMYFUNCTION("IF
(
C8123=""фізична особа""
,
VLOOKUP(D8123,IMPORTRANGE(""https://docs.google.com/spreadsheets/d/14Bd19lYaqBhU8_DElYkX7l4wRkHqqCUFNJY4AfY3kHU/edit?usp=sharing  #gid=0"",""фіз особи new!relations_name""),6,FALSE)
,
(IF
(
C8123=""юридична особа""
,
VLOOKUP"&amp;"(D8123,IMPORTRANGE(""https://docs.google.com/spreadsheets/d/14Bd19lYaqBhU8_DElYkX7l4wRkHqqCUFNJY4AfY3kHU/edit?usp=sharing  #gid=0"",""фіз особи new!relations_name_uo""),7,FALSE)
,
)
))"),"РУДАКОВ Олександр Павлович")</f>
        <v>РУДАКОВ Олександр Павлович</v>
      </c>
      <c r="G8122" s="7" t="s">
        <v>10</v>
      </c>
      <c r="H8122" s="7">
        <v>1309</v>
      </c>
      <c r="I8122" s="8" t="str">
        <f ca="1">IFERROR(__xludf.DUMMYFUNCTION("IF
(
G8123=""фізична особа""
,
VLOOKUP(H8123,IMPORTRANGE(""https://docs.google.com/spreadsheets/d/14Bd19lYaqBhU8_DElYkX7l4wRkHqqCUFNJY4AfY3kHU/edit?usp=sharing  #gid=0"",""фіз особи new!relations_name""),6,FALSE)
,
(IF
(
G8123=""юридична особа""
,
VLOOKUP"&amp;"(H8123,IMPORTRANGE(""https://docs.google.com/spreadsheets/d/14Bd19lYaqBhU8_DElYkX7l4wRkHqqCUFNJY4AfY3kHU/edit?usp=sharing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2" s="7" t="s">
        <v>29</v>
      </c>
    </row>
    <row r="8123" spans="1:10" ht="13.2">
      <c r="A8123" s="7">
        <v>8122</v>
      </c>
      <c r="B8123" s="7">
        <v>1</v>
      </c>
      <c r="C8123" s="7" t="s">
        <v>10</v>
      </c>
      <c r="D8123" s="7">
        <v>10089</v>
      </c>
      <c r="E8123" s="7" t="s">
        <v>28</v>
      </c>
      <c r="F8123" s="8" t="str">
        <f ca="1">IFERROR(__xludf.DUMMYFUNCTION("IF
(
C8124=""фізична особа""
,
VLOOKUP(D8124,IMPORTRANGE(""https://docs.google.com/spreadsheets/d/14Bd19lYaqBhU8_DElYkX7l4wRkHqqCUFNJY4AfY3kHU/edit?usp=sharing  #gid=0"",""фіз особи new!relations_name""),6,FALSE)
,
(IF
(
C8124=""юридична особа""
,
VLOOKUP"&amp;"(D8124,IMPORTRANGE(""https://docs.google.com/spreadsheets/d/14Bd19lYaqBhU8_DElYkX7l4wRkHqqCUFNJY4AfY3kHU/edit?usp=sharing  #gid=0"",""фіз особи new!relations_name_uo""),7,FALSE)
,
)
))"),"ЛЕЛЕТКІН Дмитро Юрійович")</f>
        <v>ЛЕЛЕТКІН Дмитро Юрійович</v>
      </c>
      <c r="G8123" s="7" t="s">
        <v>10</v>
      </c>
      <c r="H8123" s="7">
        <v>1309</v>
      </c>
      <c r="I8123" s="8" t="str">
        <f ca="1">IFERROR(__xludf.DUMMYFUNCTION("IF
(
G8124=""фізична особа""
,
VLOOKUP(H8124,IMPORTRANGE(""https://docs.google.com/spreadsheets/d/14Bd19lYaqBhU8_DElYkX7l4wRkHqqCUFNJY4AfY3kHU/edit?usp=sharing  #gid=0"",""фіз особи new!relations_name""),6,FALSE)
,
(IF
(
G8124=""юридична особа""
,
VLOOKUP"&amp;"(H8124,IMPORTRANGE(""https://docs.google.com/spreadsheets/d/14Bd19lYaqBhU8_DElYkX7l4wRkHqqCUFNJY4AfY3kHU/edit?usp=sharing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3" s="7" t="s">
        <v>29</v>
      </c>
    </row>
    <row r="8124" spans="1:10" ht="13.2">
      <c r="A8124" s="7">
        <v>8123</v>
      </c>
      <c r="B8124" s="7">
        <v>1</v>
      </c>
      <c r="C8124" s="7" t="s">
        <v>10</v>
      </c>
      <c r="D8124" s="7">
        <v>10090</v>
      </c>
      <c r="E8124" s="7" t="s">
        <v>28</v>
      </c>
      <c r="F8124" s="8" t="str">
        <f ca="1">IFERROR(__xludf.DUMMYFUNCTION("IF
(
C8125=""фізична особа""
,
VLOOKUP(D8125,IMPORTRANGE(""https://docs.google.com/spreadsheets/d/14Bd19lYaqBhU8_DElYkX7l4wRkHqqCUFNJY4AfY3kHU/edit?usp=sharing  #gid=0"",""фіз особи new!relations_name""),6,FALSE)
,
(IF
(
C8125=""юридична особа""
,
VLOOKUP"&amp;"(D8125,IMPORTRANGE(""https://docs.google.com/spreadsheets/d/14Bd19lYaqBhU8_DElYkX7l4wRkHqqCUFNJY4AfY3kHU/edit?usp=sharing  #gid=0"",""фіз особи new!relations_name_uo""),7,FALSE)
,
)
))"),"ІЗМАЙЛОВ Сергій Євгенович")</f>
        <v>ІЗМАЙЛОВ Сергій Євгенович</v>
      </c>
      <c r="G8124" s="7" t="s">
        <v>10</v>
      </c>
      <c r="H8124" s="7">
        <v>1309</v>
      </c>
      <c r="I8124" s="8" t="str">
        <f ca="1">IFERROR(__xludf.DUMMYFUNCTION("IF
(
G8125=""фізична особа""
,
VLOOKUP(H8125,IMPORTRANGE(""https://docs.google.com/spreadsheets/d/14Bd19lYaqBhU8_DElYkX7l4wRkHqqCUFNJY4AfY3kHU/edit?usp=sharing  #gid=0"",""фіз особи new!relations_name""),6,FALSE)
,
(IF
(
G8125=""юридична особа""
,
VLOOKUP"&amp;"(H8125,IMPORTRANGE(""https://docs.google.com/spreadsheets/d/14Bd19lYaqBhU8_DElYkX7l4wRkHqqCUFNJY4AfY3kHU/edit?usp=sharing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4" s="7" t="s">
        <v>29</v>
      </c>
    </row>
    <row r="8125" spans="1:10" ht="13.2">
      <c r="A8125" s="7">
        <v>8124</v>
      </c>
      <c r="B8125" s="7">
        <v>1</v>
      </c>
      <c r="C8125" s="7" t="s">
        <v>10</v>
      </c>
      <c r="D8125" s="7">
        <v>10091</v>
      </c>
      <c r="E8125" s="7" t="s">
        <v>28</v>
      </c>
      <c r="F8125" s="8" t="str">
        <f ca="1">IFERROR(__xludf.DUMMYFUNCTION("IF
(
C8126=""фізична особа""
,
VLOOKUP(D8126,IMPORTRANGE(""https://docs.google.com/spreadsheets/d/14Bd19lYaqBhU8_DElYkX7l4wRkHqqCUFNJY4AfY3kHU/edit?usp=sharing  #gid=0"",""фіз особи new!relations_name""),6,FALSE)
,
(IF
(
C8126=""юридична особа""
,
VLOOKUP"&amp;"(D8126,IMPORTRANGE(""https://docs.google.com/spreadsheets/d/14Bd19lYaqBhU8_DElYkX7l4wRkHqqCUFNJY4AfY3kHU/edit?usp=sharing  #gid=0"",""фіз особи new!relations_name_uo""),7,FALSE)
,
)
))"),"ГЛАВНА Світлана Вікторівна")</f>
        <v>ГЛАВНА Світлана Вікторівна</v>
      </c>
      <c r="G8125" s="7" t="s">
        <v>10</v>
      </c>
      <c r="H8125" s="7">
        <v>1309</v>
      </c>
      <c r="I8125" s="8" t="str">
        <f ca="1">IFERROR(__xludf.DUMMYFUNCTION("IF
(
G8126=""фізична особа""
,
VLOOKUP(H8126,IMPORTRANGE(""https://docs.google.com/spreadsheets/d/14Bd19lYaqBhU8_DElYkX7l4wRkHqqCUFNJY4AfY3kHU/edit?usp=sharing  #gid=0"",""фіз особи new!relations_name""),6,FALSE)
,
(IF
(
G8126=""юридична особа""
,
VLOOKUP"&amp;"(H8126,IMPORTRANGE(""https://docs.google.com/spreadsheets/d/14Bd19lYaqBhU8_DElYkX7l4wRkHqqCUFNJY4AfY3kHU/edit?usp=sharing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5" s="7" t="s">
        <v>29</v>
      </c>
    </row>
    <row r="8126" spans="1:10" ht="13.2">
      <c r="A8126" s="7">
        <v>8125</v>
      </c>
      <c r="B8126" s="7">
        <v>1</v>
      </c>
      <c r="C8126" s="7" t="s">
        <v>10</v>
      </c>
      <c r="D8126" s="7">
        <v>10092</v>
      </c>
      <c r="E8126" s="7" t="s">
        <v>28</v>
      </c>
      <c r="F8126" s="8" t="str">
        <f ca="1">IFERROR(__xludf.DUMMYFUNCTION("IF
(
C8127=""фізична особа""
,
VLOOKUP(D8127,IMPORTRANGE(""https://docs.google.com/spreadsheets/d/14Bd19lYaqBhU8_DElYkX7l4wRkHqqCUFNJY4AfY3kHU/edit?usp=sharing  #gid=0"",""фіз особи new!relations_name""),6,FALSE)
,
(IF
(
C8127=""юридична особа""
,
VLOOKUP"&amp;"(D8127,IMPORTRANGE(""https://docs.google.com/spreadsheets/d/14Bd19lYaqBhU8_DElYkX7l4wRkHqqCUFNJY4AfY3kHU/edit?usp=sharing  #gid=0"",""фіз особи new!relations_name_uo""),7,FALSE)
,
)
))"),"КОДРІК Володимир Миколайович")</f>
        <v>КОДРІК Володимир Миколайович</v>
      </c>
      <c r="G8126" s="7" t="s">
        <v>10</v>
      </c>
      <c r="H8126" s="7">
        <v>1309</v>
      </c>
      <c r="I8126" s="8" t="str">
        <f ca="1">IFERROR(__xludf.DUMMYFUNCTION("IF
(
G8127=""фізична особа""
,
VLOOKUP(H8127,IMPORTRANGE(""https://docs.google.com/spreadsheets/d/14Bd19lYaqBhU8_DElYkX7l4wRkHqqCUFNJY4AfY3kHU/edit?usp=sharing  #gid=0"",""фіз особи new!relations_name""),6,FALSE)
,
(IF
(
G8127=""юридична особа""
,
VLOOKUP"&amp;"(H8127,IMPORTRANGE(""https://docs.google.com/spreadsheets/d/14Bd19lYaqBhU8_DElYkX7l4wRkHqqCUFNJY4AfY3kHU/edit?usp=sharing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6" s="7" t="s">
        <v>29</v>
      </c>
    </row>
    <row r="8127" spans="1:10" ht="13.2">
      <c r="A8127" s="7">
        <v>8126</v>
      </c>
      <c r="B8127" s="7">
        <v>1</v>
      </c>
      <c r="C8127" s="7" t="s">
        <v>10</v>
      </c>
      <c r="D8127" s="7">
        <v>10093</v>
      </c>
      <c r="E8127" s="7" t="s">
        <v>28</v>
      </c>
      <c r="F8127" s="8" t="str">
        <f ca="1">IFERROR(__xludf.DUMMYFUNCTION("IF
(
C8128=""фізична особа""
,
VLOOKUP(D8128,IMPORTRANGE(""https://docs.google.com/spreadsheets/d/14Bd19lYaqBhU8_DElYkX7l4wRkHqqCUFNJY4AfY3kHU/edit?usp=sharing  #gid=0"",""фіз особи new!relations_name""),6,FALSE)
,
(IF
(
C8128=""юридична особа""
,
VLOOKUP"&amp;"(D8128,IMPORTRANGE(""https://docs.google.com/spreadsheets/d/14Bd19lYaqBhU8_DElYkX7l4wRkHqqCUFNJY4AfY3kHU/edit?usp=sharing  #gid=0"",""фіз особи new!relations_name_uo""),7,FALSE)
,
)
))"),"ТИМОШЕНКО Іван Володимирович")</f>
        <v>ТИМОШЕНКО Іван Володимирович</v>
      </c>
      <c r="G8127" s="7" t="s">
        <v>10</v>
      </c>
      <c r="H8127" s="7">
        <v>1309</v>
      </c>
      <c r="I8127" s="8" t="str">
        <f ca="1">IFERROR(__xludf.DUMMYFUNCTION("IF
(
G8128=""фізична особа""
,
VLOOKUP(H8128,IMPORTRANGE(""https://docs.google.com/spreadsheets/d/14Bd19lYaqBhU8_DElYkX7l4wRkHqqCUFNJY4AfY3kHU/edit?usp=sharing  #gid=0"",""фіз особи new!relations_name""),6,FALSE)
,
(IF
(
G8128=""юридична особа""
,
VLOOKUP"&amp;"(H8128,IMPORTRANGE(""https://docs.google.com/spreadsheets/d/14Bd19lYaqBhU8_DElYkX7l4wRkHqqCUFNJY4AfY3kHU/edit?usp=sharing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7" s="7" t="s">
        <v>29</v>
      </c>
    </row>
    <row r="8128" spans="1:10" ht="13.2">
      <c r="A8128" s="7">
        <v>8127</v>
      </c>
      <c r="B8128" s="7">
        <v>1</v>
      </c>
      <c r="C8128" s="7" t="s">
        <v>10</v>
      </c>
      <c r="D8128" s="7">
        <v>10094</v>
      </c>
      <c r="E8128" s="7" t="s">
        <v>28</v>
      </c>
      <c r="F8128" s="8" t="str">
        <f ca="1">IFERROR(__xludf.DUMMYFUNCTION("IF
(
C8129=""фізична особа""
,
VLOOKUP(D8129,IMPORTRANGE(""https://docs.google.com/spreadsheets/d/14Bd19lYaqBhU8_DElYkX7l4wRkHqqCUFNJY4AfY3kHU/edit?usp=sharing  #gid=0"",""фіз особи new!relations_name""),6,FALSE)
,
(IF
(
C8129=""юридична особа""
,
VLOOKUP"&amp;"(D8129,IMPORTRANGE(""https://docs.google.com/spreadsheets/d/14Bd19lYaqBhU8_DElYkX7l4wRkHqqCUFNJY4AfY3kHU/edit?usp=sharing  #gid=0"",""фіз особи new!relations_name_uo""),7,FALSE)
,
)
))"),"РАГУЛІН Олександр Іванович")</f>
        <v>РАГУЛІН Олександр Іванович</v>
      </c>
      <c r="G8128" s="7" t="s">
        <v>10</v>
      </c>
      <c r="H8128" s="7">
        <v>1309</v>
      </c>
      <c r="I8128" s="8" t="str">
        <f ca="1">IFERROR(__xludf.DUMMYFUNCTION("IF
(
G8129=""фізична особа""
,
VLOOKUP(H8129,IMPORTRANGE(""https://docs.google.com/spreadsheets/d/14Bd19lYaqBhU8_DElYkX7l4wRkHqqCUFNJY4AfY3kHU/edit?usp=sharing  #gid=0"",""фіз особи new!relations_name""),6,FALSE)
,
(IF
(
G8129=""юридична особа""
,
VLOOKUP"&amp;"(H8129,IMPORTRANGE(""https://docs.google.com/spreadsheets/d/14Bd19lYaqBhU8_DElYkX7l4wRkHqqCUFNJY4AfY3kHU/edit?usp=sharing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8" s="7" t="s">
        <v>29</v>
      </c>
    </row>
    <row r="8129" spans="1:10" ht="13.2">
      <c r="A8129" s="7">
        <v>8128</v>
      </c>
      <c r="B8129" s="7">
        <v>1</v>
      </c>
      <c r="C8129" s="7" t="s">
        <v>10</v>
      </c>
      <c r="D8129" s="7">
        <v>10095</v>
      </c>
      <c r="E8129" s="7" t="s">
        <v>28</v>
      </c>
      <c r="F8129" s="8" t="str">
        <f ca="1">IFERROR(__xludf.DUMMYFUNCTION("IF
(
C8130=""фізична особа""
,
VLOOKUP(D8130,IMPORTRANGE(""https://docs.google.com/spreadsheets/d/14Bd19lYaqBhU8_DElYkX7l4wRkHqqCUFNJY4AfY3kHU/edit?usp=sharing  #gid=0"",""фіз особи new!relations_name""),6,FALSE)
,
(IF
(
C8130=""юридична особа""
,
VLOOKUP"&amp;"(D8130,IMPORTRANGE(""https://docs.google.com/spreadsheets/d/14Bd19lYaqBhU8_DElYkX7l4wRkHqqCUFNJY4AfY3kHU/edit?usp=sharing  #gid=0"",""фіз особи new!relations_name_uo""),7,FALSE)
,
)
))"),"СИНІЦИН Сергій Володимирович")</f>
        <v>СИНІЦИН Сергій Володимирович</v>
      </c>
      <c r="G8129" s="7" t="s">
        <v>10</v>
      </c>
      <c r="H8129" s="7">
        <v>1309</v>
      </c>
      <c r="I8129" s="8" t="str">
        <f ca="1">IFERROR(__xludf.DUMMYFUNCTION("IF
(
G8130=""фізична особа""
,
VLOOKUP(H8130,IMPORTRANGE(""https://docs.google.com/spreadsheets/d/14Bd19lYaqBhU8_DElYkX7l4wRkHqqCUFNJY4AfY3kHU/edit?usp=sharing  #gid=0"",""фіз особи new!relations_name""),6,FALSE)
,
(IF
(
G8130=""юридична особа""
,
VLOOKUP"&amp;"(H8130,IMPORTRANGE(""https://docs.google.com/spreadsheets/d/14Bd19lYaqBhU8_DElYkX7l4wRkHqqCUFNJY4AfY3kHU/edit?usp=sharing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29" s="7" t="s">
        <v>29</v>
      </c>
    </row>
    <row r="8130" spans="1:10" ht="13.2">
      <c r="A8130" s="7">
        <v>8129</v>
      </c>
      <c r="B8130" s="7">
        <v>1</v>
      </c>
      <c r="C8130" s="7" t="s">
        <v>10</v>
      </c>
      <c r="D8130" s="7">
        <v>10096</v>
      </c>
      <c r="E8130" s="7" t="s">
        <v>28</v>
      </c>
      <c r="F8130" s="8" t="str">
        <f ca="1">IFERROR(__xludf.DUMMYFUNCTION("IF
(
C8131=""фізична особа""
,
VLOOKUP(D8131,IMPORTRANGE(""https://docs.google.com/spreadsheets/d/14Bd19lYaqBhU8_DElYkX7l4wRkHqqCUFNJY4AfY3kHU/edit?usp=sharing  #gid=0"",""фіз особи new!relations_name""),6,FALSE)
,
(IF
(
C8131=""юридична особа""
,
VLOOKUP"&amp;"(D8131,IMPORTRANGE(""https://docs.google.com/spreadsheets/d/14Bd19lYaqBhU8_DElYkX7l4wRkHqqCUFNJY4AfY3kHU/edit?usp=sharing  #gid=0"",""фіз особи new!relations_name_uo""),7,FALSE)
,
)
))"),"НАУМОВ Сергій Юрійович")</f>
        <v>НАУМОВ Сергій Юрійович</v>
      </c>
      <c r="G8130" s="7" t="s">
        <v>10</v>
      </c>
      <c r="H8130" s="7">
        <v>1309</v>
      </c>
      <c r="I8130" s="8" t="str">
        <f ca="1">IFERROR(__xludf.DUMMYFUNCTION("IF
(
G8131=""фізична особа""
,
VLOOKUP(H8131,IMPORTRANGE(""https://docs.google.com/spreadsheets/d/14Bd19lYaqBhU8_DElYkX7l4wRkHqqCUFNJY4AfY3kHU/edit?usp=sharing  #gid=0"",""фіз особи new!relations_name""),6,FALSE)
,
(IF
(
G8131=""юридична особа""
,
VLOOKUP"&amp;"(H8131,IMPORTRANGE(""https://docs.google.com/spreadsheets/d/14Bd19lYaqBhU8_DElYkX7l4wRkHqqCUFNJY4AfY3kHU/edit?usp=sharing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0" s="7" t="s">
        <v>29</v>
      </c>
    </row>
    <row r="8131" spans="1:10" ht="13.2">
      <c r="A8131" s="7">
        <v>8130</v>
      </c>
      <c r="B8131" s="7">
        <v>1</v>
      </c>
      <c r="C8131" s="7" t="s">
        <v>10</v>
      </c>
      <c r="D8131" s="7">
        <v>10097</v>
      </c>
      <c r="E8131" s="7" t="s">
        <v>28</v>
      </c>
      <c r="F8131" s="8" t="str">
        <f ca="1">IFERROR(__xludf.DUMMYFUNCTION("IF
(
C8132=""фізична особа""
,
VLOOKUP(D8132,IMPORTRANGE(""https://docs.google.com/spreadsheets/d/14Bd19lYaqBhU8_DElYkX7l4wRkHqqCUFNJY4AfY3kHU/edit?usp=sharing  #gid=0"",""фіз особи new!relations_name""),6,FALSE)
,
(IF
(
C8132=""юридична особа""
,
VLOOKUP"&amp;"(D8132,IMPORTRANGE(""https://docs.google.com/spreadsheets/d/14Bd19lYaqBhU8_DElYkX7l4wRkHqqCUFNJY4AfY3kHU/edit?usp=sharing  #gid=0"",""фіз особи new!relations_name_uo""),7,FALSE)
,
)
))"),"ЧУБАРА Віктор Сезонтович")</f>
        <v>ЧУБАРА Віктор Сезонтович</v>
      </c>
      <c r="G8131" s="7" t="s">
        <v>10</v>
      </c>
      <c r="H8131" s="7">
        <v>1309</v>
      </c>
      <c r="I8131" s="8" t="str">
        <f ca="1">IFERROR(__xludf.DUMMYFUNCTION("IF
(
G8132=""фізична особа""
,
VLOOKUP(H8132,IMPORTRANGE(""https://docs.google.com/spreadsheets/d/14Bd19lYaqBhU8_DElYkX7l4wRkHqqCUFNJY4AfY3kHU/edit?usp=sharing  #gid=0"",""фіз особи new!relations_name""),6,FALSE)
,
(IF
(
G8132=""юридична особа""
,
VLOOKUP"&amp;"(H8132,IMPORTRANGE(""https://docs.google.com/spreadsheets/d/14Bd19lYaqBhU8_DElYkX7l4wRkHqqCUFNJY4AfY3kHU/edit?usp=sharing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1" s="7" t="s">
        <v>29</v>
      </c>
    </row>
    <row r="8132" spans="1:10" ht="13.2">
      <c r="A8132" s="7">
        <v>8131</v>
      </c>
      <c r="B8132" s="7">
        <v>1</v>
      </c>
      <c r="C8132" s="7" t="s">
        <v>10</v>
      </c>
      <c r="D8132" s="7">
        <v>10098</v>
      </c>
      <c r="E8132" s="7" t="s">
        <v>28</v>
      </c>
      <c r="F8132" s="8" t="str">
        <f ca="1">IFERROR(__xludf.DUMMYFUNCTION("IF
(
C8133=""фізична особа""
,
VLOOKUP(D8133,IMPORTRANGE(""https://docs.google.com/spreadsheets/d/14Bd19lYaqBhU8_DElYkX7l4wRkHqqCUFNJY4AfY3kHU/edit?usp=sharing  #gid=0"",""фіз особи new!relations_name""),6,FALSE)
,
(IF
(
C8133=""юридична особа""
,
VLOOKUP"&amp;"(D8133,IMPORTRANGE(""https://docs.google.com/spreadsheets/d/14Bd19lYaqBhU8_DElYkX7l4wRkHqqCUFNJY4AfY3kHU/edit?usp=sharing  #gid=0"",""фіз особи new!relations_name_uo""),7,FALSE)
,
)
))"),"КАПІЩЕНКО Володимир Михайлович")</f>
        <v>КАПІЩЕНКО Володимир Михайлович</v>
      </c>
      <c r="G8132" s="7" t="s">
        <v>10</v>
      </c>
      <c r="H8132" s="7">
        <v>1309</v>
      </c>
      <c r="I8132" s="8" t="str">
        <f ca="1">IFERROR(__xludf.DUMMYFUNCTION("IF
(
G8133=""фізична особа""
,
VLOOKUP(H8133,IMPORTRANGE(""https://docs.google.com/spreadsheets/d/14Bd19lYaqBhU8_DElYkX7l4wRkHqqCUFNJY4AfY3kHU/edit?usp=sharing  #gid=0"",""фіз особи new!relations_name""),6,FALSE)
,
(IF
(
G8133=""юридична особа""
,
VLOOKUP"&amp;"(H8133,IMPORTRANGE(""https://docs.google.com/spreadsheets/d/14Bd19lYaqBhU8_DElYkX7l4wRkHqqCUFNJY4AfY3kHU/edit?usp=sharing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2" s="7" t="s">
        <v>29</v>
      </c>
    </row>
    <row r="8133" spans="1:10" ht="13.2">
      <c r="A8133" s="7">
        <v>8132</v>
      </c>
      <c r="B8133" s="7">
        <v>1</v>
      </c>
      <c r="C8133" s="7" t="s">
        <v>10</v>
      </c>
      <c r="D8133" s="7">
        <v>10099</v>
      </c>
      <c r="E8133" s="7" t="s">
        <v>28</v>
      </c>
      <c r="F8133" s="8" t="str">
        <f ca="1">IFERROR(__xludf.DUMMYFUNCTION("IF
(
C8134=""фізична особа""
,
VLOOKUP(D8134,IMPORTRANGE(""https://docs.google.com/spreadsheets/d/14Bd19lYaqBhU8_DElYkX7l4wRkHqqCUFNJY4AfY3kHU/edit?usp=sharing  #gid=0"",""фіз особи new!relations_name""),6,FALSE)
,
(IF
(
C8134=""юридична особа""
,
VLOOKUP"&amp;"(D8134,IMPORTRANGE(""https://docs.google.com/spreadsheets/d/14Bd19lYaqBhU8_DElYkX7l4wRkHqqCUFNJY4AfY3kHU/edit?usp=sharing  #gid=0"",""фіз особи new!relations_name_uo""),7,FALSE)
,
)
))"),"ІСХАКОВ Надім Махмутович")</f>
        <v>ІСХАКОВ Надім Махмутович</v>
      </c>
      <c r="G8133" s="7" t="s">
        <v>10</v>
      </c>
      <c r="H8133" s="7">
        <v>1309</v>
      </c>
      <c r="I8133" s="8" t="str">
        <f ca="1">IFERROR(__xludf.DUMMYFUNCTION("IF
(
G8134=""фізична особа""
,
VLOOKUP(H8134,IMPORTRANGE(""https://docs.google.com/spreadsheets/d/14Bd19lYaqBhU8_DElYkX7l4wRkHqqCUFNJY4AfY3kHU/edit?usp=sharing  #gid=0"",""фіз особи new!relations_name""),6,FALSE)
,
(IF
(
G8134=""юридична особа""
,
VLOOKUP"&amp;"(H8134,IMPORTRANGE(""https://docs.google.com/spreadsheets/d/14Bd19lYaqBhU8_DElYkX7l4wRkHqqCUFNJY4AfY3kHU/edit?usp=sharing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3" s="7" t="s">
        <v>29</v>
      </c>
    </row>
    <row r="8134" spans="1:10" ht="13.2">
      <c r="A8134" s="7">
        <v>8133</v>
      </c>
      <c r="B8134" s="7">
        <v>1</v>
      </c>
      <c r="C8134" s="7" t="s">
        <v>10</v>
      </c>
      <c r="D8134" s="7">
        <v>10100</v>
      </c>
      <c r="E8134" s="7" t="s">
        <v>28</v>
      </c>
      <c r="F8134" s="8" t="str">
        <f ca="1">IFERROR(__xludf.DUMMYFUNCTION("IF
(
C8135=""фізична особа""
,
VLOOKUP(D8135,IMPORTRANGE(""https://docs.google.com/spreadsheets/d/14Bd19lYaqBhU8_DElYkX7l4wRkHqqCUFNJY4AfY3kHU/edit?usp=sharing  #gid=0"",""фіз особи new!relations_name""),6,FALSE)
,
(IF
(
C8135=""юридична особа""
,
VLOOKUP"&amp;"(D8135,IMPORTRANGE(""https://docs.google.com/spreadsheets/d/14Bd19lYaqBhU8_DElYkX7l4wRkHqqCUFNJY4AfY3kHU/edit?usp=sharing  #gid=0"",""фіз особи new!relations_name_uo""),7,FALSE)
,
)
))"),"БУТЕНКО Олексій Вікторович")</f>
        <v>БУТЕНКО Олексій Вікторович</v>
      </c>
      <c r="G8134" s="7" t="s">
        <v>10</v>
      </c>
      <c r="H8134" s="7">
        <v>1309</v>
      </c>
      <c r="I8134" s="8" t="str">
        <f ca="1">IFERROR(__xludf.DUMMYFUNCTION("IF
(
G8135=""фізична особа""
,
VLOOKUP(H8135,IMPORTRANGE(""https://docs.google.com/spreadsheets/d/14Bd19lYaqBhU8_DElYkX7l4wRkHqqCUFNJY4AfY3kHU/edit?usp=sharing  #gid=0"",""фіз особи new!relations_name""),6,FALSE)
,
(IF
(
G8135=""юридична особа""
,
VLOOKUP"&amp;"(H8135,IMPORTRANGE(""https://docs.google.com/spreadsheets/d/14Bd19lYaqBhU8_DElYkX7l4wRkHqqCUFNJY4AfY3kHU/edit?usp=sharing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4" s="7" t="s">
        <v>29</v>
      </c>
    </row>
    <row r="8135" spans="1:10" ht="13.2">
      <c r="A8135" s="7">
        <v>8134</v>
      </c>
      <c r="B8135" s="7">
        <v>1</v>
      </c>
      <c r="C8135" s="7" t="s">
        <v>10</v>
      </c>
      <c r="D8135" s="7">
        <v>10101</v>
      </c>
      <c r="E8135" s="7" t="s">
        <v>28</v>
      </c>
      <c r="F8135" s="8" t="str">
        <f ca="1">IFERROR(__xludf.DUMMYFUNCTION("IF
(
C8136=""фізична особа""
,
VLOOKUP(D8136,IMPORTRANGE(""https://docs.google.com/spreadsheets/d/14Bd19lYaqBhU8_DElYkX7l4wRkHqqCUFNJY4AfY3kHU/edit?usp=sharing  #gid=0"",""фіз особи new!relations_name""),6,FALSE)
,
(IF
(
C8136=""юридична особа""
,
VLOOKUP"&amp;"(D8136,IMPORTRANGE(""https://docs.google.com/spreadsheets/d/14Bd19lYaqBhU8_DElYkX7l4wRkHqqCUFNJY4AfY3kHU/edit?usp=sharing  #gid=0"",""фіз особи new!relations_name_uo""),7,FALSE)
,
)
))"),"КАСПЕРОВИЧ Дмитро Валерійович")</f>
        <v>КАСПЕРОВИЧ Дмитро Валерійович</v>
      </c>
      <c r="G8135" s="7" t="s">
        <v>10</v>
      </c>
      <c r="H8135" s="7">
        <v>1309</v>
      </c>
      <c r="I8135" s="8" t="str">
        <f ca="1">IFERROR(__xludf.DUMMYFUNCTION("IF
(
G8136=""фізична особа""
,
VLOOKUP(H8136,IMPORTRANGE(""https://docs.google.com/spreadsheets/d/14Bd19lYaqBhU8_DElYkX7l4wRkHqqCUFNJY4AfY3kHU/edit?usp=sharing  #gid=0"",""фіз особи new!relations_name""),6,FALSE)
,
(IF
(
G8136=""юридична особа""
,
VLOOKUP"&amp;"(H8136,IMPORTRANGE(""https://docs.google.com/spreadsheets/d/14Bd19lYaqBhU8_DElYkX7l4wRkHqqCUFNJY4AfY3kHU/edit?usp=sharing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5" s="7" t="s">
        <v>29</v>
      </c>
    </row>
    <row r="8136" spans="1:10" ht="13.2">
      <c r="A8136" s="7">
        <v>8135</v>
      </c>
      <c r="B8136" s="7">
        <v>1</v>
      </c>
      <c r="C8136" s="7" t="s">
        <v>10</v>
      </c>
      <c r="D8136" s="7">
        <v>10102</v>
      </c>
      <c r="E8136" s="7" t="s">
        <v>28</v>
      </c>
      <c r="F8136" s="8" t="str">
        <f ca="1">IFERROR(__xludf.DUMMYFUNCTION("IF
(
C8137=""фізична особа""
,
VLOOKUP(D8137,IMPORTRANGE(""https://docs.google.com/spreadsheets/d/14Bd19lYaqBhU8_DElYkX7l4wRkHqqCUFNJY4AfY3kHU/edit?usp=sharing  #gid=0"",""фіз особи new!relations_name""),6,FALSE)
,
(IF
(
C8137=""юридична особа""
,
VLOOKUP"&amp;"(D8137,IMPORTRANGE(""https://docs.google.com/spreadsheets/d/14Bd19lYaqBhU8_DElYkX7l4wRkHqqCUFNJY4AfY3kHU/edit?usp=sharing  #gid=0"",""фіз особи new!relations_name_uo""),7,FALSE)
,
)
))"),"ЛУКІН Родіон Вікторович")</f>
        <v>ЛУКІН Родіон Вікторович</v>
      </c>
      <c r="G8136" s="7" t="s">
        <v>10</v>
      </c>
      <c r="H8136" s="7">
        <v>1309</v>
      </c>
      <c r="I8136" s="8" t="str">
        <f ca="1">IFERROR(__xludf.DUMMYFUNCTION("IF
(
G8137=""фізична особа""
,
VLOOKUP(H8137,IMPORTRANGE(""https://docs.google.com/spreadsheets/d/14Bd19lYaqBhU8_DElYkX7l4wRkHqqCUFNJY4AfY3kHU/edit?usp=sharing  #gid=0"",""фіз особи new!relations_name""),6,FALSE)
,
(IF
(
G8137=""юридична особа""
,
VLOOKUP"&amp;"(H8137,IMPORTRANGE(""https://docs.google.com/spreadsheets/d/14Bd19lYaqBhU8_DElYkX7l4wRkHqqCUFNJY4AfY3kHU/edit?usp=sharing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6" s="7" t="s">
        <v>29</v>
      </c>
    </row>
    <row r="8137" spans="1:10" ht="13.2">
      <c r="A8137" s="7">
        <v>8136</v>
      </c>
      <c r="B8137" s="7">
        <v>1</v>
      </c>
      <c r="C8137" s="7" t="s">
        <v>10</v>
      </c>
      <c r="D8137" s="7">
        <v>10103</v>
      </c>
      <c r="E8137" s="7" t="s">
        <v>28</v>
      </c>
      <c r="F8137" s="8" t="str">
        <f ca="1">IFERROR(__xludf.DUMMYFUNCTION("IF
(
C8138=""фізична особа""
,
VLOOKUP(D8138,IMPORTRANGE(""https://docs.google.com/spreadsheets/d/14Bd19lYaqBhU8_DElYkX7l4wRkHqqCUFNJY4AfY3kHU/edit?usp=sharing  #gid=0"",""фіз особи new!relations_name""),6,FALSE)
,
(IF
(
C8138=""юридична особа""
,
VLOOKUP"&amp;"(D8138,IMPORTRANGE(""https://docs.google.com/spreadsheets/d/14Bd19lYaqBhU8_DElYkX7l4wRkHqqCUFNJY4AfY3kHU/edit?usp=sharing  #gid=0"",""фіз особи new!relations_name_uo""),7,FALSE)
,
)
))"),"ЯКОВЛЄВ Михайло Миколайович")</f>
        <v>ЯКОВЛЄВ Михайло Миколайович</v>
      </c>
      <c r="G8137" s="7" t="s">
        <v>10</v>
      </c>
      <c r="H8137" s="7">
        <v>1309</v>
      </c>
      <c r="I8137" s="8" t="str">
        <f ca="1">IFERROR(__xludf.DUMMYFUNCTION("IF
(
G8138=""фізична особа""
,
VLOOKUP(H8138,IMPORTRANGE(""https://docs.google.com/spreadsheets/d/14Bd19lYaqBhU8_DElYkX7l4wRkHqqCUFNJY4AfY3kHU/edit?usp=sharing  #gid=0"",""фіз особи new!relations_name""),6,FALSE)
,
(IF
(
G8138=""юридична особа""
,
VLOOKUP"&amp;"(H8138,IMPORTRANGE(""https://docs.google.com/spreadsheets/d/14Bd19lYaqBhU8_DElYkX7l4wRkHqqCUFNJY4AfY3kHU/edit?usp=sharing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7" s="7" t="s">
        <v>29</v>
      </c>
    </row>
    <row r="8138" spans="1:10" ht="13.2">
      <c r="A8138" s="7">
        <v>8137</v>
      </c>
      <c r="B8138" s="7">
        <v>1</v>
      </c>
      <c r="C8138" s="7" t="s">
        <v>10</v>
      </c>
      <c r="D8138" s="7">
        <v>10104</v>
      </c>
      <c r="E8138" s="7" t="s">
        <v>28</v>
      </c>
      <c r="F8138" s="8" t="str">
        <f ca="1">IFERROR(__xludf.DUMMYFUNCTION("IF
(
C8139=""фізична особа""
,
VLOOKUP(D8139,IMPORTRANGE(""https://docs.google.com/spreadsheets/d/14Bd19lYaqBhU8_DElYkX7l4wRkHqqCUFNJY4AfY3kHU/edit?usp=sharing  #gid=0"",""фіз особи new!relations_name""),6,FALSE)
,
(IF
(
C8139=""юридична особа""
,
VLOOKUP"&amp;"(D8139,IMPORTRANGE(""https://docs.google.com/spreadsheets/d/14Bd19lYaqBhU8_DElYkX7l4wRkHqqCUFNJY4AfY3kHU/edit?usp=sharing  #gid=0"",""фіз особи new!relations_name_uo""),7,FALSE)
,
)
))"),"УЛАНІН Сергій Євгенович")</f>
        <v>УЛАНІН Сергій Євгенович</v>
      </c>
      <c r="G8138" s="7" t="s">
        <v>10</v>
      </c>
      <c r="H8138" s="7">
        <v>1309</v>
      </c>
      <c r="I8138" s="8" t="str">
        <f ca="1">IFERROR(__xludf.DUMMYFUNCTION("IF
(
G8139=""фізична особа""
,
VLOOKUP(H8139,IMPORTRANGE(""https://docs.google.com/spreadsheets/d/14Bd19lYaqBhU8_DElYkX7l4wRkHqqCUFNJY4AfY3kHU/edit?usp=sharing  #gid=0"",""фіз особи new!relations_name""),6,FALSE)
,
(IF
(
G8139=""юридична особа""
,
VLOOKUP"&amp;"(H8139,IMPORTRANGE(""https://docs.google.com/spreadsheets/d/14Bd19lYaqBhU8_DElYkX7l4wRkHqqCUFNJY4AfY3kHU/edit?usp=sharing  #gid=0"",""фіз особи new!relations_name_uo""),7,FALSE)
,
)
))"),"ГОГІН Дмитро Юрійович")</f>
        <v>ГОГІН Дмитро Юрійович</v>
      </c>
      <c r="J8138" s="7" t="s">
        <v>29</v>
      </c>
    </row>
    <row r="8139" spans="1:10" ht="13.2">
      <c r="A8139" s="7">
        <v>8138</v>
      </c>
      <c r="B8139" s="7">
        <v>1</v>
      </c>
      <c r="C8139" s="7" t="s">
        <v>10</v>
      </c>
      <c r="D8139" s="7">
        <v>10105</v>
      </c>
      <c r="E8139" s="7" t="s">
        <v>28</v>
      </c>
      <c r="F8139" s="8" t="str">
        <f ca="1">IFERROR(__xludf.DUMMYFUNCTION("IF
(
C8140=""фізична особа""
,
VLOOKUP(D8140,IMPORTRANGE(""https://docs.google.com/spreadsheets/d/14Bd19lYaqBhU8_DElYkX7l4wRkHqqCUFNJY4AfY3kHU/edit?usp=sharing  #gid=0"",""фіз особи new!relations_name""),6,FALSE)
,
(IF
(
C8140=""юридична особа""
,
VLOOKUP"&amp;"(D8140,IMPORTRANGE(""https://docs.google.com/spreadsheets/d/14Bd19lYaqBhU8_DElYkX7l4wRkHqqCUFNJY4AfY3kHU/edit?usp=sharing  #gid=0"",""фіз особи new!relations_name_uo""),7,FALSE)
,
)
))"),"ШАРОНОВ Анатолій Миколайович")</f>
        <v>ШАРОНОВ Анатолій Миколайович</v>
      </c>
      <c r="G8139" s="7" t="s">
        <v>10</v>
      </c>
      <c r="H8139" s="7">
        <v>3082</v>
      </c>
      <c r="I8139" s="8" t="str">
        <f ca="1">IFERROR(__xludf.DUMMYFUNCTION("IF
(
G8140=""фізична особа""
,
VLOOKUP(H8140,IMPORTRANGE(""https://docs.google.com/spreadsheets/d/14Bd19lYaqBhU8_DElYkX7l4wRkHqqCUFNJY4AfY3kHU/edit?usp=sharing  #gid=0"",""фіз особи new!relations_name""),6,FALSE)
,
(IF
(
G8140=""юридична особа""
,
VLOOKUP"&amp;"(H8140,IMPORTRANGE(""https://docs.google.com/spreadsheets/d/14Bd19lYaqBhU8_DElYkX7l4wRkHqqCUFNJY4AfY3kHU/edit?usp=sharing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8139" s="7" t="s">
        <v>29</v>
      </c>
    </row>
    <row r="8140" spans="1:10" ht="13.2">
      <c r="A8140" s="7">
        <v>8139</v>
      </c>
      <c r="B8140" s="7">
        <v>1</v>
      </c>
      <c r="C8140" s="7" t="s">
        <v>10</v>
      </c>
      <c r="D8140" s="7">
        <v>10106</v>
      </c>
      <c r="E8140" s="7" t="s">
        <v>28</v>
      </c>
      <c r="F8140" s="8" t="str">
        <f ca="1">IFERROR(__xludf.DUMMYFUNCTION("IF
(
C8141=""фізична особа""
,
VLOOKUP(D8141,IMPORTRANGE(""https://docs.google.com/spreadsheets/d/14Bd19lYaqBhU8_DElYkX7l4wRkHqqCUFNJY4AfY3kHU/edit?usp=sharing  #gid=0"",""фіз особи new!relations_name""),6,FALSE)
,
(IF
(
C8141=""юридична особа""
,
VLOOKUP"&amp;"(D8141,IMPORTRANGE(""https://docs.google.com/spreadsheets/d/14Bd19lYaqBhU8_DElYkX7l4wRkHqqCUFNJY4AfY3kHU/edit?usp=sharing  #gid=0"",""фіз особи new!relations_name_uo""),7,FALSE)
,
)
))"),"ПАРХОМЕНКО Дмитро Всеволодович")</f>
        <v>ПАРХОМЕНКО Дмитро Всеволодович</v>
      </c>
      <c r="G8140" s="7" t="s">
        <v>10</v>
      </c>
      <c r="H8140" s="7">
        <v>3082</v>
      </c>
      <c r="I8140" s="8" t="str">
        <f ca="1">IFERROR(__xludf.DUMMYFUNCTION("IF
(
G8141=""фізична особа""
,
VLOOKUP(H8141,IMPORTRANGE(""https://docs.google.com/spreadsheets/d/14Bd19lYaqBhU8_DElYkX7l4wRkHqqCUFNJY4AfY3kHU/edit?usp=sharing  #gid=0"",""фіз особи new!relations_name""),6,FALSE)
,
(IF
(
G8141=""юридична особа""
,
VLOOKUP"&amp;"(H8141,IMPORTRANGE(""https://docs.google.com/spreadsheets/d/14Bd19lYaqBhU8_DElYkX7l4wRkHqqCUFNJY4AfY3kHU/edit?usp=sharing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8140" s="7" t="s">
        <v>29</v>
      </c>
    </row>
    <row r="8141" spans="1:10" ht="13.2">
      <c r="A8141" s="7">
        <v>8140</v>
      </c>
      <c r="B8141" s="7">
        <v>1</v>
      </c>
      <c r="C8141" s="7" t="s">
        <v>10</v>
      </c>
      <c r="D8141" s="7">
        <v>10107</v>
      </c>
      <c r="E8141" s="7" t="s">
        <v>28</v>
      </c>
      <c r="F8141" s="8" t="str">
        <f ca="1">IFERROR(__xludf.DUMMYFUNCTION("IF
(
C8142=""фізична особа""
,
VLOOKUP(D8142,IMPORTRANGE(""https://docs.google.com/spreadsheets/d/14Bd19lYaqBhU8_DElYkX7l4wRkHqqCUFNJY4AfY3kHU/edit?usp=sharing  #gid=0"",""фіз особи new!relations_name""),6,FALSE)
,
(IF
(
C8142=""юридична особа""
,
VLOOKUP"&amp;"(D8142,IMPORTRANGE(""https://docs.google.com/spreadsheets/d/14Bd19lYaqBhU8_DElYkX7l4wRkHqqCUFNJY4AfY3kHU/edit?usp=sharing  #gid=0"",""фіз особи new!relations_name_uo""),7,FALSE)
,
)
))"),"СЕРЬОГІНА Ірина Федорівна")</f>
        <v>СЕРЬОГІНА Ірина Федорівна</v>
      </c>
      <c r="G8141" s="7" t="s">
        <v>10</v>
      </c>
      <c r="H8141" s="7">
        <v>3082</v>
      </c>
      <c r="I8141" s="8" t="str">
        <f ca="1">IFERROR(__xludf.DUMMYFUNCTION("IF
(
G8142=""фізична особа""
,
VLOOKUP(H8142,IMPORTRANGE(""https://docs.google.com/spreadsheets/d/14Bd19lYaqBhU8_DElYkX7l4wRkHqqCUFNJY4AfY3kHU/edit?usp=sharing  #gid=0"",""фіз особи new!relations_name""),6,FALSE)
,
(IF
(
G8142=""юридична особа""
,
VLOOKUP"&amp;"(H8142,IMPORTRANGE(""https://docs.google.com/spreadsheets/d/14Bd19lYaqBhU8_DElYkX7l4wRkHqqCUFNJY4AfY3kHU/edit?usp=sharing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8141" s="7" t="s">
        <v>29</v>
      </c>
    </row>
    <row r="8142" spans="1:10" ht="13.2">
      <c r="A8142" s="7">
        <v>8141</v>
      </c>
      <c r="B8142" s="7">
        <v>1</v>
      </c>
      <c r="C8142" s="7" t="s">
        <v>10</v>
      </c>
      <c r="D8142" s="7">
        <v>10107</v>
      </c>
      <c r="E8142" s="7" t="s">
        <v>15</v>
      </c>
      <c r="F8142" s="8" t="str">
        <f ca="1">IFERROR(__xludf.DUMMYFUNCTION("IF
(
C8143=""фізична особа""
,
VLOOKUP(D8143,IMPORTRANGE(""https://docs.google.com/spreadsheets/d/14Bd19lYaqBhU8_DElYkX7l4wRkHqqCUFNJY4AfY3kHU/edit?usp=sharing  #gid=0"",""фіз особи new!relations_name""),6,FALSE)
,
(IF
(
C8143=""юридична особа""
,
VLOOKUP"&amp;"(D8143,IMPORTRANGE(""https://docs.google.com/spreadsheets/d/14Bd19lYaqBhU8_DElYkX7l4wRkHqqCUFNJY4AfY3kHU/edit?usp=sharing  #gid=0"",""фіз особи new!relations_name_uo""),7,FALSE)
,
)
))"),"СЕРЬОГІНА Ірина Федорівна")</f>
        <v>СЕРЬОГІНА Ірина Федорівна</v>
      </c>
      <c r="G8142" s="7" t="s">
        <v>10</v>
      </c>
      <c r="H8142" s="7">
        <v>0</v>
      </c>
      <c r="I8142" s="8" t="str">
        <f ca="1">IFERROR(__xludf.DUMMYFUNCTION("IF
(
G8143=""фізична особа""
,
VLOOKUP(H8143,IMPORTRANGE(""https://docs.google.com/spreadsheets/d/14Bd19lYaqBhU8_DElYkX7l4wRkHqqCUFNJY4AfY3kHU/edit?usp=sharing  #gid=0"",""фіз особи new!relations_name""),6,FALSE)
,
(IF
(
G8143=""юридична особа""
,
VLOOKUP"&amp;"(H8143,IMPORTRANGE(""https://docs.google.com/spreadsheets/d/14Bd19lYaqBhU8_DElYkX7l4wRkHqqCUFNJY4AfY3kHU/edit?usp=sharing  #gid=0"",""фіз особи new!relations_name_uo""),7,FALSE)
,
)
))"),"#N/A")</f>
        <v>#N/A</v>
      </c>
      <c r="J8142" s="7" t="s">
        <v>14</v>
      </c>
    </row>
    <row r="8143" spans="1:10" ht="13.2">
      <c r="A8143" s="7">
        <v>8142</v>
      </c>
      <c r="B8143" s="7">
        <v>1</v>
      </c>
      <c r="C8143" s="7" t="s">
        <v>10</v>
      </c>
      <c r="D8143" s="7">
        <v>10107</v>
      </c>
      <c r="E8143" s="7" t="s">
        <v>21</v>
      </c>
      <c r="F8143" s="8" t="str">
        <f ca="1">IFERROR(__xludf.DUMMYFUNCTION("IF
(
C8144=""фізична особа""
,
VLOOKUP(D8144,IMPORTRANGE(""https://docs.google.com/spreadsheets/d/14Bd19lYaqBhU8_DElYkX7l4wRkHqqCUFNJY4AfY3kHU/edit?usp=sharing  #gid=0"",""фіз особи new!relations_name""),6,FALSE)
,
(IF
(
C8144=""юридична особа""
,
VLOOKUP"&amp;"(D8144,IMPORTRANGE(""https://docs.google.com/spreadsheets/d/14Bd19lYaqBhU8_DElYkX7l4wRkHqqCUFNJY4AfY3kHU/edit?usp=sharing  #gid=0"",""фіз особи new!relations_name_uo""),7,FALSE)
,
)
))"),"СЕРЬОГІНА Ірина Федорівна")</f>
        <v>СЕРЬОГІНА Ірина Федорівна</v>
      </c>
      <c r="G8143" s="7" t="s">
        <v>10</v>
      </c>
      <c r="H8143" s="7">
        <v>0</v>
      </c>
      <c r="I8143" s="8" t="str">
        <f ca="1">IFERROR(__xludf.DUMMYFUNCTION("IF
(
G8144=""фізична особа""
,
VLOOKUP(H8144,IMPORTRANGE(""https://docs.google.com/spreadsheets/d/14Bd19lYaqBhU8_DElYkX7l4wRkHqqCUFNJY4AfY3kHU/edit?usp=sharing  #gid=0"",""фіз особи new!relations_name""),6,FALSE)
,
(IF
(
G8144=""юридична особа""
,
VLOOKUP"&amp;"(H8144,IMPORTRANGE(""https://docs.google.com/spreadsheets/d/14Bd19lYaqBhU8_DElYkX7l4wRkHqqCUFNJY4AfY3kHU/edit?usp=sharing  #gid=0"",""фіз особи new!relations_name_uo""),7,FALSE)
,
)
))"),"#N/A")</f>
        <v>#N/A</v>
      </c>
      <c r="J8143" s="7" t="s">
        <v>17</v>
      </c>
    </row>
    <row r="8144" spans="1:10" ht="13.2">
      <c r="A8144" s="7">
        <v>8143</v>
      </c>
      <c r="B8144" s="7">
        <v>1</v>
      </c>
      <c r="C8144" s="7" t="s">
        <v>10</v>
      </c>
      <c r="D8144" s="7">
        <v>10108</v>
      </c>
      <c r="E8144" s="7" t="s">
        <v>28</v>
      </c>
      <c r="F8144" s="8" t="str">
        <f ca="1">IFERROR(__xludf.DUMMYFUNCTION("IF
(
C8145=""фізична особа""
,
VLOOKUP(D8145,IMPORTRANGE(""https://docs.google.com/spreadsheets/d/14Bd19lYaqBhU8_DElYkX7l4wRkHqqCUFNJY4AfY3kHU/edit?usp=sharing  #gid=0"",""фіз особи new!relations_name""),6,FALSE)
,
(IF
(
C8145=""юридична особа""
,
VLOOKUP"&amp;"(D8145,IMPORTRANGE(""https://docs.google.com/spreadsheets/d/14Bd19lYaqBhU8_DElYkX7l4wRkHqqCUFNJY4AfY3kHU/edit?usp=sharing  #gid=0"",""фіз особи new!relations_name_uo""),7,FALSE)
,
)
))"),"ПАВЛЮКОВ Дмитро Юрійович")</f>
        <v>ПАВЛЮКОВ Дмитро Юрійович</v>
      </c>
      <c r="G8144" s="7" t="s">
        <v>10</v>
      </c>
      <c r="H8144" s="7">
        <v>3082</v>
      </c>
      <c r="I8144" s="8" t="str">
        <f ca="1">IFERROR(__xludf.DUMMYFUNCTION("IF
(
G8145=""фізична особа""
,
VLOOKUP(H8145,IMPORTRANGE(""https://docs.google.com/spreadsheets/d/14Bd19lYaqBhU8_DElYkX7l4wRkHqqCUFNJY4AfY3kHU/edit?usp=sharing  #gid=0"",""фіз особи new!relations_name""),6,FALSE)
,
(IF
(
G8145=""юридична особа""
,
VLOOKUP"&amp;"(H8145,IMPORTRANGE(""https://docs.google.com/spreadsheets/d/14Bd19lYaqBhU8_DElYkX7l4wRkHqqCUFNJY4AfY3kHU/edit?usp=sharing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8144" s="7" t="s">
        <v>29</v>
      </c>
    </row>
    <row r="8145" spans="1:10" ht="13.2">
      <c r="A8145" s="7">
        <v>8144</v>
      </c>
      <c r="B8145" s="7">
        <v>1</v>
      </c>
      <c r="C8145" s="7" t="s">
        <v>10</v>
      </c>
      <c r="D8145" s="7">
        <v>10108</v>
      </c>
      <c r="E8145" s="7" t="s">
        <v>12</v>
      </c>
      <c r="F8145" s="8" t="str">
        <f ca="1">IFERROR(__xludf.DUMMYFUNCTION("IF
(
C8146=""фізична особа""
,
VLOOKUP(D8146,IMPORTRANGE(""https://docs.google.com/spreadsheets/d/14Bd19lYaqBhU8_DElYkX7l4wRkHqqCUFNJY4AfY3kHU/edit?usp=sharing  #gid=0"",""фіз особи new!relations_name""),6,FALSE)
,
(IF
(
C8146=""юридична особа""
,
VLOOKUP"&amp;"(D8146,IMPORTRANGE(""https://docs.google.com/spreadsheets/d/14Bd19lYaqBhU8_DElYkX7l4wRkHqqCUFNJY4AfY3kHU/edit?usp=sharing  #gid=0"",""фіз особи new!relations_name_uo""),7,FALSE)
,
)
))"),"ПАВЛЮКОВ Дмитро Юрійович")</f>
        <v>ПАВЛЮКОВ Дмитро Юрійович</v>
      </c>
      <c r="G8145" s="7" t="s">
        <v>10</v>
      </c>
      <c r="H8145" s="7">
        <v>0</v>
      </c>
      <c r="I8145" s="8" t="str">
        <f ca="1">IFERROR(__xludf.DUMMYFUNCTION("IF
(
G8146=""фізична особа""
,
VLOOKUP(H8146,IMPORTRANGE(""https://docs.google.com/spreadsheets/d/14Bd19lYaqBhU8_DElYkX7l4wRkHqqCUFNJY4AfY3kHU/edit?usp=sharing  #gid=0"",""фіз особи new!relations_name""),6,FALSE)
,
(IF
(
G8146=""юридична особа""
,
VLOOKUP"&amp;"(H8146,IMPORTRANGE(""https://docs.google.com/spreadsheets/d/14Bd19lYaqBhU8_DElYkX7l4wRkHqqCUFNJY4AfY3kHU/edit?usp=sharing  #gid=0"",""фіз особи new!relations_name_uo""),7,FALSE)
,
)
))"),"#N/A")</f>
        <v>#N/A</v>
      </c>
      <c r="J8145" s="7" t="s">
        <v>13</v>
      </c>
    </row>
    <row r="8146" spans="1:10" ht="13.2">
      <c r="A8146" s="7">
        <v>8145</v>
      </c>
      <c r="B8146" s="7">
        <v>1</v>
      </c>
      <c r="C8146" s="7" t="s">
        <v>10</v>
      </c>
      <c r="D8146" s="7">
        <v>10108</v>
      </c>
      <c r="E8146" s="7" t="s">
        <v>14</v>
      </c>
      <c r="F8146" s="8" t="str">
        <f ca="1">IFERROR(__xludf.DUMMYFUNCTION("IF
(
C8147=""фізична особа""
,
VLOOKUP(D8147,IMPORTRANGE(""https://docs.google.com/spreadsheets/d/14Bd19lYaqBhU8_DElYkX7l4wRkHqqCUFNJY4AfY3kHU/edit?usp=sharing  #gid=0"",""фіз особи new!relations_name""),6,FALSE)
,
(IF
(
C8147=""юридична особа""
,
VLOOKUP"&amp;"(D8147,IMPORTRANGE(""https://docs.google.com/spreadsheets/d/14Bd19lYaqBhU8_DElYkX7l4wRkHqqCUFNJY4AfY3kHU/edit?usp=sharing  #gid=0"",""фіз особи new!relations_name_uo""),7,FALSE)
,
)
))"),"ПАВЛЮКОВ Дмитро Юрійович")</f>
        <v>ПАВЛЮКОВ Дмитро Юрійович</v>
      </c>
      <c r="G8146" s="7" t="s">
        <v>10</v>
      </c>
      <c r="H8146" s="7">
        <v>0</v>
      </c>
      <c r="I8146" s="8" t="str">
        <f ca="1">IFERROR(__xludf.DUMMYFUNCTION("IF
(
G8147=""фізична особа""
,
VLOOKUP(H8147,IMPORTRANGE(""https://docs.google.com/spreadsheets/d/14Bd19lYaqBhU8_DElYkX7l4wRkHqqCUFNJY4AfY3kHU/edit?usp=sharing  #gid=0"",""фіз особи new!relations_name""),6,FALSE)
,
(IF
(
G8147=""юридична особа""
,
VLOOKUP"&amp;"(H8147,IMPORTRANGE(""https://docs.google.com/spreadsheets/d/14Bd19lYaqBhU8_DElYkX7l4wRkHqqCUFNJY4AfY3kHU/edit?usp=sharing  #gid=0"",""фіз особи new!relations_name_uo""),7,FALSE)
,
)
))"),"#N/A")</f>
        <v>#N/A</v>
      </c>
      <c r="J8146" s="7" t="s">
        <v>15</v>
      </c>
    </row>
    <row r="8147" spans="1:10" ht="13.2">
      <c r="A8147" s="7">
        <v>8146</v>
      </c>
      <c r="B8147" s="7">
        <v>1</v>
      </c>
      <c r="C8147" s="7" t="s">
        <v>10</v>
      </c>
      <c r="D8147" s="7">
        <v>10109</v>
      </c>
      <c r="E8147" s="7" t="s">
        <v>28</v>
      </c>
      <c r="F8147" s="8" t="str">
        <f ca="1">IFERROR(__xludf.DUMMYFUNCTION("IF
(
C8148=""фізична особа""
,
VLOOKUP(D8148,IMPORTRANGE(""https://docs.google.com/spreadsheets/d/14Bd19lYaqBhU8_DElYkX7l4wRkHqqCUFNJY4AfY3kHU/edit?usp=sharing  #gid=0"",""фіз особи new!relations_name""),6,FALSE)
,
(IF
(
C8148=""юридична особа""
,
VLOOKUP"&amp;"(D8148,IMPORTRANGE(""https://docs.google.com/spreadsheets/d/14Bd19lYaqBhU8_DElYkX7l4wRkHqqCUFNJY4AfY3kHU/edit?usp=sharing  #gid=0"",""фіз особи new!relations_name_uo""),7,FALSE)
,
)
))"),"ЧЕУЗОВ Максим Анатолійович")</f>
        <v>ЧЕУЗОВ Максим Анатолійович</v>
      </c>
      <c r="G8147" s="7" t="s">
        <v>10</v>
      </c>
      <c r="H8147" s="7">
        <v>3036</v>
      </c>
      <c r="I8147" s="8" t="str">
        <f ca="1">IFERROR(__xludf.DUMMYFUNCTION("IF
(
G8148=""фізична особа""
,
VLOOKUP(H8148,IMPORTRANGE(""https://docs.google.com/spreadsheets/d/14Bd19lYaqBhU8_DElYkX7l4wRkHqqCUFNJY4AfY3kHU/edit?usp=sharing  #gid=0"",""фіз особи new!relations_name""),6,FALSE)
,
(IF
(
G8148=""юридична особа""
,
VLOOKUP"&amp;"(H8148,IMPORTRANGE(""https://docs.google.com/spreadsheets/d/14Bd19lYaqBhU8_DElYkX7l4wRkHqqCUFNJY4AfY3kHU/edit?usp=sharing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147" s="7" t="s">
        <v>29</v>
      </c>
    </row>
    <row r="8148" spans="1:10" ht="13.2">
      <c r="A8148" s="7">
        <v>8147</v>
      </c>
      <c r="B8148" s="7">
        <v>1</v>
      </c>
      <c r="C8148" s="7" t="s">
        <v>10</v>
      </c>
      <c r="D8148" s="7">
        <v>10110</v>
      </c>
      <c r="E8148" s="7" t="s">
        <v>28</v>
      </c>
      <c r="F8148" s="8" t="str">
        <f ca="1">IFERROR(__xludf.DUMMYFUNCTION("IF
(
C8149=""фізична особа""
,
VLOOKUP(D8149,IMPORTRANGE(""https://docs.google.com/spreadsheets/d/14Bd19lYaqBhU8_DElYkX7l4wRkHqqCUFNJY4AfY3kHU/edit?usp=sharing  #gid=0"",""фіз особи new!relations_name""),6,FALSE)
,
(IF
(
C8149=""юридична особа""
,
VLOOKUP"&amp;"(D8149,IMPORTRANGE(""https://docs.google.com/spreadsheets/d/14Bd19lYaqBhU8_DElYkX7l4wRkHqqCUFNJY4AfY3kHU/edit?usp=sharing  #gid=0"",""фіз особи new!relations_name_uo""),7,FALSE)
,
)
))"),"ТЮМЕНЦЕВ Євгеній Михайлович")</f>
        <v>ТЮМЕНЦЕВ Євгеній Михайлович</v>
      </c>
      <c r="G8148" s="7" t="s">
        <v>10</v>
      </c>
      <c r="H8148" s="7">
        <v>3036</v>
      </c>
      <c r="I8148" s="8" t="str">
        <f ca="1">IFERROR(__xludf.DUMMYFUNCTION("IF
(
G8149=""фізична особа""
,
VLOOKUP(H8149,IMPORTRANGE(""https://docs.google.com/spreadsheets/d/14Bd19lYaqBhU8_DElYkX7l4wRkHqqCUFNJY4AfY3kHU/edit?usp=sharing  #gid=0"",""фіз особи new!relations_name""),6,FALSE)
,
(IF
(
G8149=""юридична особа""
,
VLOOKUP"&amp;"(H8149,IMPORTRANGE(""https://docs.google.com/spreadsheets/d/14Bd19lYaqBhU8_DElYkX7l4wRkHqqCUFNJY4AfY3kHU/edit?usp=sharing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148" s="7" t="s">
        <v>29</v>
      </c>
    </row>
    <row r="8149" spans="1:10" ht="13.2">
      <c r="A8149" s="7">
        <v>8148</v>
      </c>
      <c r="B8149" s="7">
        <v>1</v>
      </c>
      <c r="C8149" s="7" t="s">
        <v>10</v>
      </c>
      <c r="D8149" s="7">
        <v>10111</v>
      </c>
      <c r="E8149" s="7" t="s">
        <v>28</v>
      </c>
      <c r="F8149" s="8" t="str">
        <f ca="1">IFERROR(__xludf.DUMMYFUNCTION("IF
(
C8150=""фізична особа""
,
VLOOKUP(D8150,IMPORTRANGE(""https://docs.google.com/spreadsheets/d/14Bd19lYaqBhU8_DElYkX7l4wRkHqqCUFNJY4AfY3kHU/edit?usp=sharing  #gid=0"",""фіз особи new!relations_name""),6,FALSE)
,
(IF
(
C8150=""юридична особа""
,
VLOOKUP"&amp;"(D8150,IMPORTRANGE(""https://docs.google.com/spreadsheets/d/14Bd19lYaqBhU8_DElYkX7l4wRkHqqCUFNJY4AfY3kHU/edit?usp=sharing  #gid=0"",""фіз особи new!relations_name_uo""),7,FALSE)
,
)
))"),"ДЕРНОВОЙ Володимир Михайлович")</f>
        <v>ДЕРНОВОЙ Володимир Михайлович</v>
      </c>
      <c r="G8149" s="7" t="s">
        <v>10</v>
      </c>
      <c r="H8149" s="7">
        <v>3036</v>
      </c>
      <c r="I8149" s="8" t="str">
        <f ca="1">IFERROR(__xludf.DUMMYFUNCTION("IF
(
G8150=""фізична особа""
,
VLOOKUP(H8150,IMPORTRANGE(""https://docs.google.com/spreadsheets/d/14Bd19lYaqBhU8_DElYkX7l4wRkHqqCUFNJY4AfY3kHU/edit?usp=sharing  #gid=0"",""фіз особи new!relations_name""),6,FALSE)
,
(IF
(
G8150=""юридична особа""
,
VLOOKUP"&amp;"(H8150,IMPORTRANGE(""https://docs.google.com/spreadsheets/d/14Bd19lYaqBhU8_DElYkX7l4wRkHqqCUFNJY4AfY3kHU/edit?usp=sharing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149" s="7" t="s">
        <v>29</v>
      </c>
    </row>
    <row r="8150" spans="1:10" ht="13.2">
      <c r="A8150" s="7">
        <v>8149</v>
      </c>
      <c r="B8150" s="7">
        <v>1</v>
      </c>
      <c r="C8150" s="7" t="s">
        <v>10</v>
      </c>
      <c r="D8150" s="7">
        <v>10112</v>
      </c>
      <c r="E8150" s="7" t="s">
        <v>28</v>
      </c>
      <c r="F8150" s="8" t="str">
        <f ca="1">IFERROR(__xludf.DUMMYFUNCTION("IF
(
C8151=""фізична особа""
,
VLOOKUP(D8151,IMPORTRANGE(""https://docs.google.com/spreadsheets/d/14Bd19lYaqBhU8_DElYkX7l4wRkHqqCUFNJY4AfY3kHU/edit?usp=sharing  #gid=0"",""фіз особи new!relations_name""),6,FALSE)
,
(IF
(
C8151=""юридична особа""
,
VLOOKUP"&amp;"(D8151,IMPORTRANGE(""https://docs.google.com/spreadsheets/d/14Bd19lYaqBhU8_DElYkX7l4wRkHqqCUFNJY4AfY3kHU/edit?usp=sharing  #gid=0"",""фіз особи new!relations_name_uo""),7,FALSE)
,
)
))"),"ЧЕЛЕНКО Василь Георгійович")</f>
        <v>ЧЕЛЕНКО Василь Георгійович</v>
      </c>
      <c r="G8150" s="7" t="s">
        <v>10</v>
      </c>
      <c r="H8150" s="7">
        <v>3036</v>
      </c>
      <c r="I8150" s="8" t="str">
        <f ca="1">IFERROR(__xludf.DUMMYFUNCTION("IF
(
G8151=""фізична особа""
,
VLOOKUP(H8151,IMPORTRANGE(""https://docs.google.com/spreadsheets/d/14Bd19lYaqBhU8_DElYkX7l4wRkHqqCUFNJY4AfY3kHU/edit?usp=sharing  #gid=0"",""фіз особи new!relations_name""),6,FALSE)
,
(IF
(
G8151=""юридична особа""
,
VLOOKUP"&amp;"(H8151,IMPORTRANGE(""https://docs.google.com/spreadsheets/d/14Bd19lYaqBhU8_DElYkX7l4wRkHqqCUFNJY4AfY3kHU/edit?usp=sharing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150" s="7" t="s">
        <v>29</v>
      </c>
    </row>
    <row r="8151" spans="1:10" ht="13.2">
      <c r="A8151" s="7">
        <v>8150</v>
      </c>
      <c r="B8151" s="7">
        <v>1</v>
      </c>
      <c r="C8151" s="7" t="s">
        <v>10</v>
      </c>
      <c r="D8151" s="7">
        <v>10113</v>
      </c>
      <c r="E8151" s="7" t="s">
        <v>28</v>
      </c>
      <c r="F8151" s="8" t="str">
        <f ca="1">IFERROR(__xludf.DUMMYFUNCTION("IF
(
C8152=""фізична особа""
,
VLOOKUP(D8152,IMPORTRANGE(""https://docs.google.com/spreadsheets/d/14Bd19lYaqBhU8_DElYkX7l4wRkHqqCUFNJY4AfY3kHU/edit?usp=sharing  #gid=0"",""фіз особи new!relations_name""),6,FALSE)
,
(IF
(
C8152=""юридична особа""
,
VLOOKUP"&amp;"(D8152,IMPORTRANGE(""https://docs.google.com/spreadsheets/d/14Bd19lYaqBhU8_DElYkX7l4wRkHqqCUFNJY4AfY3kHU/edit?usp=sharing  #gid=0"",""фіз особи new!relations_name_uo""),7,FALSE)
,
)
))"),"ЛУК'ЯНОВ Володимир Володимирович")</f>
        <v>ЛУК'ЯНОВ Володимир Володимирович</v>
      </c>
      <c r="G8151" s="7" t="s">
        <v>10</v>
      </c>
      <c r="H8151" s="7">
        <v>3002</v>
      </c>
      <c r="I8151" s="8" t="str">
        <f ca="1">IFERROR(__xludf.DUMMYFUNCTION("IF
(
G8152=""фізична особа""
,
VLOOKUP(H8152,IMPORTRANGE(""https://docs.google.com/spreadsheets/d/14Bd19lYaqBhU8_DElYkX7l4wRkHqqCUFNJY4AfY3kHU/edit?usp=sharing  #gid=0"",""фіз особи new!relations_name""),6,FALSE)
,
(IF
(
G8152=""юридична особа""
,
VLOOKUP"&amp;"(H8152,IMPORTRANGE(""https://docs.google.com/spreadsheets/d/14Bd19lYaqBhU8_DElYkX7l4wRkHqqCUFNJY4AfY3kHU/edit?usp=sharing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1" s="7" t="s">
        <v>29</v>
      </c>
    </row>
    <row r="8152" spans="1:10" ht="13.2">
      <c r="A8152" s="7">
        <v>8151</v>
      </c>
      <c r="B8152" s="7">
        <v>1</v>
      </c>
      <c r="C8152" s="7" t="s">
        <v>10</v>
      </c>
      <c r="D8152" s="7">
        <v>10114</v>
      </c>
      <c r="E8152" s="7" t="s">
        <v>28</v>
      </c>
      <c r="F8152" s="8" t="str">
        <f ca="1">IFERROR(__xludf.DUMMYFUNCTION("IF
(
C8153=""фізична особа""
,
VLOOKUP(D8153,IMPORTRANGE(""https://docs.google.com/spreadsheets/d/14Bd19lYaqBhU8_DElYkX7l4wRkHqqCUFNJY4AfY3kHU/edit?usp=sharing  #gid=0"",""фіз особи new!relations_name""),6,FALSE)
,
(IF
(
C8153=""юридична особа""
,
VLOOKUP"&amp;"(D8153,IMPORTRANGE(""https://docs.google.com/spreadsheets/d/14Bd19lYaqBhU8_DElYkX7l4wRkHqqCUFNJY4AfY3kHU/edit?usp=sharing  #gid=0"",""фіз особи new!relations_name_uo""),7,FALSE)
,
)
))"),"КАМЕНІР Микита Володимирович")</f>
        <v>КАМЕНІР Микита Володимирович</v>
      </c>
      <c r="G8152" s="7" t="s">
        <v>10</v>
      </c>
      <c r="H8152" s="7">
        <v>3002</v>
      </c>
      <c r="I8152" s="8" t="str">
        <f ca="1">IFERROR(__xludf.DUMMYFUNCTION("IF
(
G8153=""фізична особа""
,
VLOOKUP(H8153,IMPORTRANGE(""https://docs.google.com/spreadsheets/d/14Bd19lYaqBhU8_DElYkX7l4wRkHqqCUFNJY4AfY3kHU/edit?usp=sharing  #gid=0"",""фіз особи new!relations_name""),6,FALSE)
,
(IF
(
G8153=""юридична особа""
,
VLOOKUP"&amp;"(H8153,IMPORTRANGE(""https://docs.google.com/spreadsheets/d/14Bd19lYaqBhU8_DElYkX7l4wRkHqqCUFNJY4AfY3kHU/edit?usp=sharing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2" s="7" t="s">
        <v>29</v>
      </c>
    </row>
    <row r="8153" spans="1:10" ht="13.2">
      <c r="A8153" s="7">
        <v>8152</v>
      </c>
      <c r="B8153" s="7">
        <v>1</v>
      </c>
      <c r="C8153" s="7" t="s">
        <v>10</v>
      </c>
      <c r="D8153" s="7">
        <v>10115</v>
      </c>
      <c r="E8153" s="7" t="s">
        <v>28</v>
      </c>
      <c r="F8153" s="8" t="str">
        <f ca="1">IFERROR(__xludf.DUMMYFUNCTION("IF
(
C8154=""фізична особа""
,
VLOOKUP(D8154,IMPORTRANGE(""https://docs.google.com/spreadsheets/d/14Bd19lYaqBhU8_DElYkX7l4wRkHqqCUFNJY4AfY3kHU/edit?usp=sharing  #gid=0"",""фіз особи new!relations_name""),6,FALSE)
,
(IF
(
C8154=""юридична особа""
,
VLOOKUP"&amp;"(D8154,IMPORTRANGE(""https://docs.google.com/spreadsheets/d/14Bd19lYaqBhU8_DElYkX7l4wRkHqqCUFNJY4AfY3kHU/edit?usp=sharing  #gid=0"",""фіз особи new!relations_name_uo""),7,FALSE)
,
)
))"),"МИХАЛЬОВ В'ячеслав Георгійович")</f>
        <v>МИХАЛЬОВ В'ячеслав Георгійович</v>
      </c>
      <c r="G8153" s="7" t="s">
        <v>10</v>
      </c>
      <c r="H8153" s="7">
        <v>3002</v>
      </c>
      <c r="I8153" s="8" t="str">
        <f ca="1">IFERROR(__xludf.DUMMYFUNCTION("IF
(
G8154=""фізична особа""
,
VLOOKUP(H8154,IMPORTRANGE(""https://docs.google.com/spreadsheets/d/14Bd19lYaqBhU8_DElYkX7l4wRkHqqCUFNJY4AfY3kHU/edit?usp=sharing  #gid=0"",""фіз особи new!relations_name""),6,FALSE)
,
(IF
(
G8154=""юридична особа""
,
VLOOKUP"&amp;"(H8154,IMPORTRANGE(""https://docs.google.com/spreadsheets/d/14Bd19lYaqBhU8_DElYkX7l4wRkHqqCUFNJY4AfY3kHU/edit?usp=sharing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3" s="7" t="s">
        <v>29</v>
      </c>
    </row>
    <row r="8154" spans="1:10" ht="13.2">
      <c r="A8154" s="7">
        <v>8153</v>
      </c>
      <c r="B8154" s="7">
        <v>1</v>
      </c>
      <c r="C8154" s="7" t="s">
        <v>10</v>
      </c>
      <c r="D8154" s="7">
        <v>10116</v>
      </c>
      <c r="E8154" s="7" t="s">
        <v>28</v>
      </c>
      <c r="F8154" s="8" t="str">
        <f ca="1">IFERROR(__xludf.DUMMYFUNCTION("IF
(
C8155=""фізична особа""
,
VLOOKUP(D8155,IMPORTRANGE(""https://docs.google.com/spreadsheets/d/14Bd19lYaqBhU8_DElYkX7l4wRkHqqCUFNJY4AfY3kHU/edit?usp=sharing  #gid=0"",""фіз особи new!relations_name""),6,FALSE)
,
(IF
(
C8155=""юридична особа""
,
VLOOKUP"&amp;"(D8155,IMPORTRANGE(""https://docs.google.com/spreadsheets/d/14Bd19lYaqBhU8_DElYkX7l4wRkHqqCUFNJY4AfY3kHU/edit?usp=sharing  #gid=0"",""фіз особи new!relations_name_uo""),7,FALSE)
,
)
))"),"ФАТИХОВ Дамір Равхатович")</f>
        <v>ФАТИХОВ Дамір Равхатович</v>
      </c>
      <c r="G8154" s="7" t="s">
        <v>10</v>
      </c>
      <c r="H8154" s="7">
        <v>3002</v>
      </c>
      <c r="I8154" s="8" t="str">
        <f ca="1">IFERROR(__xludf.DUMMYFUNCTION("IF
(
G8155=""фізична особа""
,
VLOOKUP(H8155,IMPORTRANGE(""https://docs.google.com/spreadsheets/d/14Bd19lYaqBhU8_DElYkX7l4wRkHqqCUFNJY4AfY3kHU/edit?usp=sharing  #gid=0"",""фіз особи new!relations_name""),6,FALSE)
,
(IF
(
G8155=""юридична особа""
,
VLOOKUP"&amp;"(H8155,IMPORTRANGE(""https://docs.google.com/spreadsheets/d/14Bd19lYaqBhU8_DElYkX7l4wRkHqqCUFNJY4AfY3kHU/edit?usp=sharing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4" s="7" t="s">
        <v>29</v>
      </c>
    </row>
    <row r="8155" spans="1:10" ht="13.2">
      <c r="A8155" s="7">
        <v>8154</v>
      </c>
      <c r="B8155" s="7">
        <v>1</v>
      </c>
      <c r="C8155" s="7" t="s">
        <v>10</v>
      </c>
      <c r="D8155" s="7">
        <v>10117</v>
      </c>
      <c r="E8155" s="7" t="s">
        <v>28</v>
      </c>
      <c r="F8155" s="8" t="str">
        <f ca="1">IFERROR(__xludf.DUMMYFUNCTION("IF
(
C8156=""фізична особа""
,
VLOOKUP(D8156,IMPORTRANGE(""https://docs.google.com/spreadsheets/d/14Bd19lYaqBhU8_DElYkX7l4wRkHqqCUFNJY4AfY3kHU/edit?usp=sharing  #gid=0"",""фіз особи new!relations_name""),6,FALSE)
,
(IF
(
C8156=""юридична особа""
,
VLOOKUP"&amp;"(D8156,IMPORTRANGE(""https://docs.google.com/spreadsheets/d/14Bd19lYaqBhU8_DElYkX7l4wRkHqqCUFNJY4AfY3kHU/edit?usp=sharing  #gid=0"",""фіз особи new!relations_name_uo""),7,FALSE)
,
)
))"),"КОРОЛЬОВ Валерій Миколайович")</f>
        <v>КОРОЛЬОВ Валерій Миколайович</v>
      </c>
      <c r="G8155" s="7" t="s">
        <v>10</v>
      </c>
      <c r="H8155" s="7">
        <v>3002</v>
      </c>
      <c r="I8155" s="8" t="str">
        <f ca="1">IFERROR(__xludf.DUMMYFUNCTION("IF
(
G8156=""фізична особа""
,
VLOOKUP(H8156,IMPORTRANGE(""https://docs.google.com/spreadsheets/d/14Bd19lYaqBhU8_DElYkX7l4wRkHqqCUFNJY4AfY3kHU/edit?usp=sharing  #gid=0"",""фіз особи new!relations_name""),6,FALSE)
,
(IF
(
G8156=""юридична особа""
,
VLOOKUP"&amp;"(H8156,IMPORTRANGE(""https://docs.google.com/spreadsheets/d/14Bd19lYaqBhU8_DElYkX7l4wRkHqqCUFNJY4AfY3kHU/edit?usp=sharing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5" s="7" t="s">
        <v>29</v>
      </c>
    </row>
    <row r="8156" spans="1:10" ht="13.2">
      <c r="A8156" s="7">
        <v>8155</v>
      </c>
      <c r="B8156" s="7">
        <v>1</v>
      </c>
      <c r="C8156" s="7" t="s">
        <v>10</v>
      </c>
      <c r="D8156" s="7">
        <v>10118</v>
      </c>
      <c r="E8156" s="7" t="s">
        <v>28</v>
      </c>
      <c r="F8156" s="8" t="str">
        <f ca="1">IFERROR(__xludf.DUMMYFUNCTION("IF
(
C8157=""фізична особа""
,
VLOOKUP(D8157,IMPORTRANGE(""https://docs.google.com/spreadsheets/d/14Bd19lYaqBhU8_DElYkX7l4wRkHqqCUFNJY4AfY3kHU/edit?usp=sharing  #gid=0"",""фіз особи new!relations_name""),6,FALSE)
,
(IF
(
C8157=""юридична особа""
,
VLOOKUP"&amp;"(D8157,IMPORTRANGE(""https://docs.google.com/spreadsheets/d/14Bd19lYaqBhU8_DElYkX7l4wRkHqqCUFNJY4AfY3kHU/edit?usp=sharing  #gid=0"",""фіз особи new!relations_name_uo""),7,FALSE)
,
)
))"),"ДАВИДОВ Олег Миколайович")</f>
        <v>ДАВИДОВ Олег Миколайович</v>
      </c>
      <c r="G8156" s="7" t="s">
        <v>10</v>
      </c>
      <c r="H8156" s="7">
        <v>3002</v>
      </c>
      <c r="I8156" s="8" t="str">
        <f ca="1">IFERROR(__xludf.DUMMYFUNCTION("IF
(
G8157=""фізична особа""
,
VLOOKUP(H8157,IMPORTRANGE(""https://docs.google.com/spreadsheets/d/14Bd19lYaqBhU8_DElYkX7l4wRkHqqCUFNJY4AfY3kHU/edit?usp=sharing  #gid=0"",""фіз особи new!relations_name""),6,FALSE)
,
(IF
(
G8157=""юридична особа""
,
VLOOKUP"&amp;"(H8157,IMPORTRANGE(""https://docs.google.com/spreadsheets/d/14Bd19lYaqBhU8_DElYkX7l4wRkHqqCUFNJY4AfY3kHU/edit?usp=sharing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6" s="7" t="s">
        <v>29</v>
      </c>
    </row>
    <row r="8157" spans="1:10" ht="13.2">
      <c r="A8157" s="7">
        <v>8156</v>
      </c>
      <c r="B8157" s="7">
        <v>1</v>
      </c>
      <c r="C8157" s="7" t="s">
        <v>10</v>
      </c>
      <c r="D8157" s="7">
        <v>10119</v>
      </c>
      <c r="E8157" s="7" t="s">
        <v>28</v>
      </c>
      <c r="F8157" s="8" t="str">
        <f ca="1">IFERROR(__xludf.DUMMYFUNCTION("IF
(
C8158=""фізична особа""
,
VLOOKUP(D8158,IMPORTRANGE(""https://docs.google.com/spreadsheets/d/14Bd19lYaqBhU8_DElYkX7l4wRkHqqCUFNJY4AfY3kHU/edit?usp=sharing  #gid=0"",""фіз особи new!relations_name""),6,FALSE)
,
(IF
(
C8158=""юридична особа""
,
VLOOKUP"&amp;"(D8158,IMPORTRANGE(""https://docs.google.com/spreadsheets/d/14Bd19lYaqBhU8_DElYkX7l4wRkHqqCUFNJY4AfY3kHU/edit?usp=sharing  #gid=0"",""фіз особи new!relations_name_uo""),7,FALSE)
,
)
))"),"БУДЬЗДОРОВЕНКО Олександр Михайлович")</f>
        <v>БУДЬЗДОРОВЕНКО Олександр Михайлович</v>
      </c>
      <c r="G8157" s="7" t="s">
        <v>10</v>
      </c>
      <c r="H8157" s="7">
        <v>3002</v>
      </c>
      <c r="I8157" s="8" t="str">
        <f ca="1">IFERROR(__xludf.DUMMYFUNCTION("IF
(
G8158=""фізична особа""
,
VLOOKUP(H8158,IMPORTRANGE(""https://docs.google.com/spreadsheets/d/14Bd19lYaqBhU8_DElYkX7l4wRkHqqCUFNJY4AfY3kHU/edit?usp=sharing  #gid=0"",""фіз особи new!relations_name""),6,FALSE)
,
(IF
(
G8158=""юридична особа""
,
VLOOKUP"&amp;"(H8158,IMPORTRANGE(""https://docs.google.com/spreadsheets/d/14Bd19lYaqBhU8_DElYkX7l4wRkHqqCUFNJY4AfY3kHU/edit?usp=sharing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7" s="7" t="s">
        <v>29</v>
      </c>
    </row>
    <row r="8158" spans="1:10" ht="13.2">
      <c r="A8158" s="7">
        <v>8157</v>
      </c>
      <c r="B8158" s="7">
        <v>1</v>
      </c>
      <c r="C8158" s="7" t="s">
        <v>10</v>
      </c>
      <c r="D8158" s="7">
        <v>10120</v>
      </c>
      <c r="E8158" s="7" t="s">
        <v>28</v>
      </c>
      <c r="F8158" s="8" t="str">
        <f ca="1">IFERROR(__xludf.DUMMYFUNCTION("IF
(
C8159=""фізична особа""
,
VLOOKUP(D8159,IMPORTRANGE(""https://docs.google.com/spreadsheets/d/14Bd19lYaqBhU8_DElYkX7l4wRkHqqCUFNJY4AfY3kHU/edit?usp=sharing  #gid=0"",""фіз особи new!relations_name""),6,FALSE)
,
(IF
(
C8159=""юридична особа""
,
VLOOKUP"&amp;"(D8159,IMPORTRANGE(""https://docs.google.com/spreadsheets/d/14Bd19lYaqBhU8_DElYkX7l4wRkHqqCUFNJY4AfY3kHU/edit?usp=sharing  #gid=0"",""фіз особи new!relations_name_uo""),7,FALSE)
,
)
))"),"ГАПЧЕНКО Роман Вікторович")</f>
        <v>ГАПЧЕНКО Роман Вікторович</v>
      </c>
      <c r="G8158" s="7" t="s">
        <v>10</v>
      </c>
      <c r="H8158" s="7">
        <v>3002</v>
      </c>
      <c r="I8158" s="8" t="str">
        <f ca="1">IFERROR(__xludf.DUMMYFUNCTION("IF
(
G8159=""фізична особа""
,
VLOOKUP(H8159,IMPORTRANGE(""https://docs.google.com/spreadsheets/d/14Bd19lYaqBhU8_DElYkX7l4wRkHqqCUFNJY4AfY3kHU/edit?usp=sharing  #gid=0"",""фіз особи new!relations_name""),6,FALSE)
,
(IF
(
G8159=""юридична особа""
,
VLOOKUP"&amp;"(H8159,IMPORTRANGE(""https://docs.google.com/spreadsheets/d/14Bd19lYaqBhU8_DElYkX7l4wRkHqqCUFNJY4AfY3kHU/edit?usp=sharing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8158" s="7" t="s">
        <v>29</v>
      </c>
    </row>
    <row r="8159" spans="1:10" ht="13.2">
      <c r="A8159" s="7">
        <v>8158</v>
      </c>
      <c r="B8159" s="7">
        <v>1</v>
      </c>
      <c r="C8159" s="7" t="s">
        <v>10</v>
      </c>
      <c r="D8159" s="7">
        <v>10121</v>
      </c>
      <c r="E8159" s="7" t="s">
        <v>28</v>
      </c>
      <c r="F8159" s="8" t="str">
        <f ca="1">IFERROR(__xludf.DUMMYFUNCTION("IF
(
C8160=""фізична особа""
,
VLOOKUP(D8160,IMPORTRANGE(""https://docs.google.com/spreadsheets/d/14Bd19lYaqBhU8_DElYkX7l4wRkHqqCUFNJY4AfY3kHU/edit?usp=sharing  #gid=0"",""фіз особи new!relations_name""),6,FALSE)
,
(IF
(
C8160=""юридична особа""
,
VLOOKUP"&amp;"(D8160,IMPORTRANGE(""https://docs.google.com/spreadsheets/d/14Bd19lYaqBhU8_DElYkX7l4wRkHqqCUFNJY4AfY3kHU/edit?usp=sharing  #gid=0"",""фіз особи new!relations_name_uo""),7,FALSE)
,
)
))"),"БРАЖКО В'ячеслав Сергійович")</f>
        <v>БРАЖКО В'ячеслав Сергійович</v>
      </c>
      <c r="G8159" s="7" t="s">
        <v>10</v>
      </c>
      <c r="H8159" s="7">
        <v>3069</v>
      </c>
      <c r="I8159" s="8" t="str">
        <f ca="1">IFERROR(__xludf.DUMMYFUNCTION("IF
(
G8160=""фізична особа""
,
VLOOKUP(H8160,IMPORTRANGE(""https://docs.google.com/spreadsheets/d/14Bd19lYaqBhU8_DElYkX7l4wRkHqqCUFNJY4AfY3kHU/edit?usp=sharing  #gid=0"",""фіз особи new!relations_name""),6,FALSE)
,
(IF
(
G8160=""юридична особа""
,
VLOOKUP"&amp;"(H8160,IMPORTRANGE(""https://docs.google.com/spreadsheets/d/14Bd19lYaqBhU8_DElYkX7l4wRkHqqCUFNJY4AfY3kHU/edit?usp=sharing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59" s="7" t="s">
        <v>29</v>
      </c>
    </row>
    <row r="8160" spans="1:10" ht="13.2">
      <c r="A8160" s="7">
        <v>8159</v>
      </c>
      <c r="B8160" s="7">
        <v>1</v>
      </c>
      <c r="C8160" s="7" t="s">
        <v>10</v>
      </c>
      <c r="D8160" s="7">
        <v>10122</v>
      </c>
      <c r="E8160" s="7" t="s">
        <v>28</v>
      </c>
      <c r="F8160" s="8" t="str">
        <f ca="1">IFERROR(__xludf.DUMMYFUNCTION("IF
(
C8161=""фізична особа""
,
VLOOKUP(D8161,IMPORTRANGE(""https://docs.google.com/spreadsheets/d/14Bd19lYaqBhU8_DElYkX7l4wRkHqqCUFNJY4AfY3kHU/edit?usp=sharing  #gid=0"",""фіз особи new!relations_name""),6,FALSE)
,
(IF
(
C8161=""юридична особа""
,
VLOOKUP"&amp;"(D8161,IMPORTRANGE(""https://docs.google.com/spreadsheets/d/14Bd19lYaqBhU8_DElYkX7l4wRkHqqCUFNJY4AfY3kHU/edit?usp=sharing  #gid=0"",""фіз особи new!relations_name_uo""),7,FALSE)
,
)
))"),"РУДЬ Оксана Миколаївна")</f>
        <v>РУДЬ Оксана Миколаївна</v>
      </c>
      <c r="G8160" s="7" t="s">
        <v>10</v>
      </c>
      <c r="H8160" s="7">
        <v>3069</v>
      </c>
      <c r="I8160" s="8" t="str">
        <f ca="1">IFERROR(__xludf.DUMMYFUNCTION("IF
(
G8161=""фізична особа""
,
VLOOKUP(H8161,IMPORTRANGE(""https://docs.google.com/spreadsheets/d/14Bd19lYaqBhU8_DElYkX7l4wRkHqqCUFNJY4AfY3kHU/edit?usp=sharing  #gid=0"",""фіз особи new!relations_name""),6,FALSE)
,
(IF
(
G8161=""юридична особа""
,
VLOOKUP"&amp;"(H8161,IMPORTRANGE(""https://docs.google.com/spreadsheets/d/14Bd19lYaqBhU8_DElYkX7l4wRkHqqCUFNJY4AfY3kHU/edit?usp=sharing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0" s="7" t="s">
        <v>29</v>
      </c>
    </row>
    <row r="8161" spans="1:10" ht="13.2">
      <c r="A8161" s="7">
        <v>8160</v>
      </c>
      <c r="B8161" s="7">
        <v>1</v>
      </c>
      <c r="C8161" s="7" t="s">
        <v>10</v>
      </c>
      <c r="D8161" s="7">
        <v>10123</v>
      </c>
      <c r="E8161" s="7" t="s">
        <v>28</v>
      </c>
      <c r="F8161" s="8" t="str">
        <f ca="1">IFERROR(__xludf.DUMMYFUNCTION("IF
(
C8162=""фізична особа""
,
VLOOKUP(D8162,IMPORTRANGE(""https://docs.google.com/spreadsheets/d/14Bd19lYaqBhU8_DElYkX7l4wRkHqqCUFNJY4AfY3kHU/edit?usp=sharing  #gid=0"",""фіз особи new!relations_name""),6,FALSE)
,
(IF
(
C8162=""юридична особа""
,
VLOOKUP"&amp;"(D8162,IMPORTRANGE(""https://docs.google.com/spreadsheets/d/14Bd19lYaqBhU8_DElYkX7l4wRkHqqCUFNJY4AfY3kHU/edit?usp=sharing  #gid=0"",""фіз особи new!relations_name_uo""),7,FALSE)
,
)
))"),"ЧЕРВЯКОВ Олександр Олександрович")</f>
        <v>ЧЕРВЯКОВ Олександр Олександрович</v>
      </c>
      <c r="G8161" s="7" t="s">
        <v>10</v>
      </c>
      <c r="H8161" s="7">
        <v>3069</v>
      </c>
      <c r="I8161" s="8" t="str">
        <f ca="1">IFERROR(__xludf.DUMMYFUNCTION("IF
(
G8162=""фізична особа""
,
VLOOKUP(H8162,IMPORTRANGE(""https://docs.google.com/spreadsheets/d/14Bd19lYaqBhU8_DElYkX7l4wRkHqqCUFNJY4AfY3kHU/edit?usp=sharing  #gid=0"",""фіз особи new!relations_name""),6,FALSE)
,
(IF
(
G8162=""юридична особа""
,
VLOOKUP"&amp;"(H8162,IMPORTRANGE(""https://docs.google.com/spreadsheets/d/14Bd19lYaqBhU8_DElYkX7l4wRkHqqCUFNJY4AfY3kHU/edit?usp=sharing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1" s="7" t="s">
        <v>29</v>
      </c>
    </row>
    <row r="8162" spans="1:10" ht="13.2">
      <c r="A8162" s="7">
        <v>8161</v>
      </c>
      <c r="B8162" s="7">
        <v>1</v>
      </c>
      <c r="C8162" s="7" t="s">
        <v>10</v>
      </c>
      <c r="D8162" s="7">
        <v>10124</v>
      </c>
      <c r="E8162" s="7" t="s">
        <v>28</v>
      </c>
      <c r="F8162" s="8" t="str">
        <f ca="1">IFERROR(__xludf.DUMMYFUNCTION("IF
(
C8163=""фізична особа""
,
VLOOKUP(D8163,IMPORTRANGE(""https://docs.google.com/spreadsheets/d/14Bd19lYaqBhU8_DElYkX7l4wRkHqqCUFNJY4AfY3kHU/edit?usp=sharing  #gid=0"",""фіз особи new!relations_name""),6,FALSE)
,
(IF
(
C8163=""юридична особа""
,
VLOOKUP"&amp;"(D8163,IMPORTRANGE(""https://docs.google.com/spreadsheets/d/14Bd19lYaqBhU8_DElYkX7l4wRkHqqCUFNJY4AfY3kHU/edit?usp=sharing  #gid=0"",""фіз особи new!relations_name_uo""),7,FALSE)
,
)
))"),"КАЛЬЧЕНКО Ігор Володимирович")</f>
        <v>КАЛЬЧЕНКО Ігор Володимирович</v>
      </c>
      <c r="G8162" s="7" t="s">
        <v>10</v>
      </c>
      <c r="H8162" s="7">
        <v>3069</v>
      </c>
      <c r="I8162" s="8" t="str">
        <f ca="1">IFERROR(__xludf.DUMMYFUNCTION("IF
(
G8163=""фізична особа""
,
VLOOKUP(H8163,IMPORTRANGE(""https://docs.google.com/spreadsheets/d/14Bd19lYaqBhU8_DElYkX7l4wRkHqqCUFNJY4AfY3kHU/edit?usp=sharing  #gid=0"",""фіз особи new!relations_name""),6,FALSE)
,
(IF
(
G8163=""юридична особа""
,
VLOOKUP"&amp;"(H8163,IMPORTRANGE(""https://docs.google.com/spreadsheets/d/14Bd19lYaqBhU8_DElYkX7l4wRkHqqCUFNJY4AfY3kHU/edit?usp=sharing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2" s="7" t="s">
        <v>29</v>
      </c>
    </row>
    <row r="8163" spans="1:10" ht="13.2">
      <c r="A8163" s="7">
        <v>8162</v>
      </c>
      <c r="B8163" s="7">
        <v>1</v>
      </c>
      <c r="C8163" s="7" t="s">
        <v>10</v>
      </c>
      <c r="D8163" s="7">
        <v>10125</v>
      </c>
      <c r="E8163" s="7" t="s">
        <v>28</v>
      </c>
      <c r="F8163" s="8" t="str">
        <f ca="1">IFERROR(__xludf.DUMMYFUNCTION("IF
(
C8164=""фізична особа""
,
VLOOKUP(D8164,IMPORTRANGE(""https://docs.google.com/spreadsheets/d/14Bd19lYaqBhU8_DElYkX7l4wRkHqqCUFNJY4AfY3kHU/edit?usp=sharing  #gid=0"",""фіз особи new!relations_name""),6,FALSE)
,
(IF
(
C8164=""юридична особа""
,
VLOOKUP"&amp;"(D8164,IMPORTRANGE(""https://docs.google.com/spreadsheets/d/14Bd19lYaqBhU8_DElYkX7l4wRkHqqCUFNJY4AfY3kHU/edit?usp=sharing  #gid=0"",""фіз особи new!relations_name_uo""),7,FALSE)
,
)
))"),"СЕМЕНОВА Катерина Анатоліївна")</f>
        <v>СЕМЕНОВА Катерина Анатоліївна</v>
      </c>
      <c r="G8163" s="7" t="s">
        <v>10</v>
      </c>
      <c r="H8163" s="7">
        <v>3069</v>
      </c>
      <c r="I8163" s="8" t="str">
        <f ca="1">IFERROR(__xludf.DUMMYFUNCTION("IF
(
G8164=""фізична особа""
,
VLOOKUP(H8164,IMPORTRANGE(""https://docs.google.com/spreadsheets/d/14Bd19lYaqBhU8_DElYkX7l4wRkHqqCUFNJY4AfY3kHU/edit?usp=sharing  #gid=0"",""фіз особи new!relations_name""),6,FALSE)
,
(IF
(
G8164=""юридична особа""
,
VLOOKUP"&amp;"(H8164,IMPORTRANGE(""https://docs.google.com/spreadsheets/d/14Bd19lYaqBhU8_DElYkX7l4wRkHqqCUFNJY4AfY3kHU/edit?usp=sharing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3" s="7" t="s">
        <v>29</v>
      </c>
    </row>
    <row r="8164" spans="1:10" ht="13.2">
      <c r="A8164" s="7">
        <v>8163</v>
      </c>
      <c r="B8164" s="7">
        <v>1</v>
      </c>
      <c r="C8164" s="7" t="s">
        <v>10</v>
      </c>
      <c r="D8164" s="7">
        <v>10126</v>
      </c>
      <c r="E8164" s="7" t="s">
        <v>28</v>
      </c>
      <c r="F8164" s="8" t="str">
        <f ca="1">IFERROR(__xludf.DUMMYFUNCTION("IF
(
C8165=""фізична особа""
,
VLOOKUP(D8165,IMPORTRANGE(""https://docs.google.com/spreadsheets/d/14Bd19lYaqBhU8_DElYkX7l4wRkHqqCUFNJY4AfY3kHU/edit?usp=sharing  #gid=0"",""фіз особи new!relations_name""),6,FALSE)
,
(IF
(
C8165=""юридична особа""
,
VLOOKUP"&amp;"(D8165,IMPORTRANGE(""https://docs.google.com/spreadsheets/d/14Bd19lYaqBhU8_DElYkX7l4wRkHqqCUFNJY4AfY3kHU/edit?usp=sharing  #gid=0"",""фіз особи new!relations_name_uo""),7,FALSE)
,
)
))"),"ЖУРАВЛЬОВ Андрій Миколайович")</f>
        <v>ЖУРАВЛЬОВ Андрій Миколайович</v>
      </c>
      <c r="G8164" s="7" t="s">
        <v>10</v>
      </c>
      <c r="H8164" s="7">
        <v>3069</v>
      </c>
      <c r="I8164" s="8" t="str">
        <f ca="1">IFERROR(__xludf.DUMMYFUNCTION("IF
(
G8165=""фізична особа""
,
VLOOKUP(H8165,IMPORTRANGE(""https://docs.google.com/spreadsheets/d/14Bd19lYaqBhU8_DElYkX7l4wRkHqqCUFNJY4AfY3kHU/edit?usp=sharing  #gid=0"",""фіз особи new!relations_name""),6,FALSE)
,
(IF
(
G8165=""юридична особа""
,
VLOOKUP"&amp;"(H8165,IMPORTRANGE(""https://docs.google.com/spreadsheets/d/14Bd19lYaqBhU8_DElYkX7l4wRkHqqCUFNJY4AfY3kHU/edit?usp=sharing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4" s="7" t="s">
        <v>29</v>
      </c>
    </row>
    <row r="8165" spans="1:10" ht="13.2">
      <c r="A8165" s="7">
        <v>8164</v>
      </c>
      <c r="B8165" s="7">
        <v>1</v>
      </c>
      <c r="C8165" s="7" t="s">
        <v>10</v>
      </c>
      <c r="D8165" s="7">
        <v>10127</v>
      </c>
      <c r="E8165" s="7" t="s">
        <v>28</v>
      </c>
      <c r="F8165" s="8" t="str">
        <f ca="1">IFERROR(__xludf.DUMMYFUNCTION("IF
(
C8166=""фізична особа""
,
VLOOKUP(D8166,IMPORTRANGE(""https://docs.google.com/spreadsheets/d/14Bd19lYaqBhU8_DElYkX7l4wRkHqqCUFNJY4AfY3kHU/edit?usp=sharing  #gid=0"",""фіз особи new!relations_name""),6,FALSE)
,
(IF
(
C8166=""юридична особа""
,
VLOOKUP"&amp;"(D8166,IMPORTRANGE(""https://docs.google.com/spreadsheets/d/14Bd19lYaqBhU8_DElYkX7l4wRkHqqCUFNJY4AfY3kHU/edit?usp=sharing  #gid=0"",""фіз особи new!relations_name_uo""),7,FALSE)
,
)
))"),"ВАСІН Олександр Сергійович")</f>
        <v>ВАСІН Олександр Сергійович</v>
      </c>
      <c r="G8165" s="7" t="s">
        <v>10</v>
      </c>
      <c r="H8165" s="7">
        <v>3069</v>
      </c>
      <c r="I8165" s="8" t="str">
        <f ca="1">IFERROR(__xludf.DUMMYFUNCTION("IF
(
G8166=""фізична особа""
,
VLOOKUP(H8166,IMPORTRANGE(""https://docs.google.com/spreadsheets/d/14Bd19lYaqBhU8_DElYkX7l4wRkHqqCUFNJY4AfY3kHU/edit?usp=sharing  #gid=0"",""фіз особи new!relations_name""),6,FALSE)
,
(IF
(
G8166=""юридична особа""
,
VLOOKUP"&amp;"(H8166,IMPORTRANGE(""https://docs.google.com/spreadsheets/d/14Bd19lYaqBhU8_DElYkX7l4wRkHqqCUFNJY4AfY3kHU/edit?usp=sharing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5" s="7" t="s">
        <v>29</v>
      </c>
    </row>
    <row r="8166" spans="1:10" ht="13.2">
      <c r="A8166" s="7">
        <v>8165</v>
      </c>
      <c r="B8166" s="7">
        <v>1</v>
      </c>
      <c r="C8166" s="7" t="s">
        <v>10</v>
      </c>
      <c r="D8166" s="7">
        <v>10128</v>
      </c>
      <c r="E8166" s="7" t="s">
        <v>28</v>
      </c>
      <c r="F8166" s="8" t="str">
        <f ca="1">IFERROR(__xludf.DUMMYFUNCTION("IF
(
C8167=""фізична особа""
,
VLOOKUP(D8167,IMPORTRANGE(""https://docs.google.com/spreadsheets/d/14Bd19lYaqBhU8_DElYkX7l4wRkHqqCUFNJY4AfY3kHU/edit?usp=sharing  #gid=0"",""фіз особи new!relations_name""),6,FALSE)
,
(IF
(
C8167=""юридична особа""
,
VLOOKUP"&amp;"(D8167,IMPORTRANGE(""https://docs.google.com/spreadsheets/d/14Bd19lYaqBhU8_DElYkX7l4wRkHqqCUFNJY4AfY3kHU/edit?usp=sharing  #gid=0"",""фіз особи new!relations_name_uo""),7,FALSE)
,
)
))"),"КАРПЕНКО Вікторія Михайлівна")</f>
        <v>КАРПЕНКО Вікторія Михайлівна</v>
      </c>
      <c r="G8166" s="7" t="s">
        <v>10</v>
      </c>
      <c r="H8166" s="7">
        <v>3069</v>
      </c>
      <c r="I8166" s="8" t="str">
        <f ca="1">IFERROR(__xludf.DUMMYFUNCTION("IF
(
G8167=""фізична особа""
,
VLOOKUP(H8167,IMPORTRANGE(""https://docs.google.com/spreadsheets/d/14Bd19lYaqBhU8_DElYkX7l4wRkHqqCUFNJY4AfY3kHU/edit?usp=sharing  #gid=0"",""фіз особи new!relations_name""),6,FALSE)
,
(IF
(
G8167=""юридична особа""
,
VLOOKUP"&amp;"(H8167,IMPORTRANGE(""https://docs.google.com/spreadsheets/d/14Bd19lYaqBhU8_DElYkX7l4wRkHqqCUFNJY4AfY3kHU/edit?usp=sharing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6" s="7" t="s">
        <v>29</v>
      </c>
    </row>
    <row r="8167" spans="1:10" ht="13.2">
      <c r="A8167" s="7">
        <v>8166</v>
      </c>
      <c r="B8167" s="7">
        <v>1</v>
      </c>
      <c r="C8167" s="7" t="s">
        <v>10</v>
      </c>
      <c r="D8167" s="7">
        <v>10129</v>
      </c>
      <c r="E8167" s="7" t="s">
        <v>28</v>
      </c>
      <c r="F8167" s="8" t="str">
        <f ca="1">IFERROR(__xludf.DUMMYFUNCTION("IF
(
C8168=""фізична особа""
,
VLOOKUP(D8168,IMPORTRANGE(""https://docs.google.com/spreadsheets/d/14Bd19lYaqBhU8_DElYkX7l4wRkHqqCUFNJY4AfY3kHU/edit?usp=sharing  #gid=0"",""фіз особи new!relations_name""),6,FALSE)
,
(IF
(
C8168=""юридична особа""
,
VLOOKUP"&amp;"(D8168,IMPORTRANGE(""https://docs.google.com/spreadsheets/d/14Bd19lYaqBhU8_DElYkX7l4wRkHqqCUFNJY4AfY3kHU/edit?usp=sharing  #gid=0"",""фіз особи new!relations_name_uo""),7,FALSE)
,
)
))"),"МАЛЬЦЕВ Андрій Анатолійович")</f>
        <v>МАЛЬЦЕВ Андрій Анатолійович</v>
      </c>
      <c r="G8167" s="7" t="s">
        <v>10</v>
      </c>
      <c r="H8167" s="7">
        <v>3069</v>
      </c>
      <c r="I8167" s="8" t="str">
        <f ca="1">IFERROR(__xludf.DUMMYFUNCTION("IF
(
G8168=""фізична особа""
,
VLOOKUP(H8168,IMPORTRANGE(""https://docs.google.com/spreadsheets/d/14Bd19lYaqBhU8_DElYkX7l4wRkHqqCUFNJY4AfY3kHU/edit?usp=sharing  #gid=0"",""фіз особи new!relations_name""),6,FALSE)
,
(IF
(
G8168=""юридична особа""
,
VLOOKUP"&amp;"(H8168,IMPORTRANGE(""https://docs.google.com/spreadsheets/d/14Bd19lYaqBhU8_DElYkX7l4wRkHqqCUFNJY4AfY3kHU/edit?usp=sharing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7" s="7" t="s">
        <v>29</v>
      </c>
    </row>
    <row r="8168" spans="1:10" ht="13.2">
      <c r="A8168" s="7">
        <v>8167</v>
      </c>
      <c r="B8168" s="7">
        <v>1</v>
      </c>
      <c r="C8168" s="7" t="s">
        <v>10</v>
      </c>
      <c r="D8168" s="7">
        <v>10130</v>
      </c>
      <c r="E8168" s="7" t="s">
        <v>28</v>
      </c>
      <c r="F8168" s="8" t="str">
        <f ca="1">IFERROR(__xludf.DUMMYFUNCTION("IF
(
C8169=""фізична особа""
,
VLOOKUP(D8169,IMPORTRANGE(""https://docs.google.com/spreadsheets/d/14Bd19lYaqBhU8_DElYkX7l4wRkHqqCUFNJY4AfY3kHU/edit?usp=sharing  #gid=0"",""фіз особи new!relations_name""),6,FALSE)
,
(IF
(
C8169=""юридична особа""
,
VLOOKUP"&amp;"(D8169,IMPORTRANGE(""https://docs.google.com/spreadsheets/d/14Bd19lYaqBhU8_DElYkX7l4wRkHqqCUFNJY4AfY3kHU/edit?usp=sharing  #gid=0"",""фіз особи new!relations_name_uo""),7,FALSE)
,
)
))"),"ДОЛГАЛЄВ Олексій Вікторович")</f>
        <v>ДОЛГАЛЄВ Олексій Вікторович</v>
      </c>
      <c r="G8168" s="7" t="s">
        <v>10</v>
      </c>
      <c r="H8168" s="7">
        <v>3069</v>
      </c>
      <c r="I8168" s="8" t="str">
        <f ca="1">IFERROR(__xludf.DUMMYFUNCTION("IF
(
G8169=""фізична особа""
,
VLOOKUP(H8169,IMPORTRANGE(""https://docs.google.com/spreadsheets/d/14Bd19lYaqBhU8_DElYkX7l4wRkHqqCUFNJY4AfY3kHU/edit?usp=sharing  #gid=0"",""фіз особи new!relations_name""),6,FALSE)
,
(IF
(
G8169=""юридична особа""
,
VLOOKUP"&amp;"(H8169,IMPORTRANGE(""https://docs.google.com/spreadsheets/d/14Bd19lYaqBhU8_DElYkX7l4wRkHqqCUFNJY4AfY3kHU/edit?usp=sharing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8" s="7" t="s">
        <v>29</v>
      </c>
    </row>
    <row r="8169" spans="1:10" ht="13.2">
      <c r="A8169" s="7">
        <v>8168</v>
      </c>
      <c r="B8169" s="7">
        <v>1</v>
      </c>
      <c r="C8169" s="7" t="s">
        <v>10</v>
      </c>
      <c r="D8169" s="7">
        <v>10131</v>
      </c>
      <c r="E8169" s="7" t="s">
        <v>28</v>
      </c>
      <c r="F8169" s="8" t="str">
        <f ca="1">IFERROR(__xludf.DUMMYFUNCTION("IF
(
C8170=""фізична особа""
,
VLOOKUP(D8170,IMPORTRANGE(""https://docs.google.com/spreadsheets/d/14Bd19lYaqBhU8_DElYkX7l4wRkHqqCUFNJY4AfY3kHU/edit?usp=sharing  #gid=0"",""фіз особи new!relations_name""),6,FALSE)
,
(IF
(
C8170=""юридична особа""
,
VLOOKUP"&amp;"(D8170,IMPORTRANGE(""https://docs.google.com/spreadsheets/d/14Bd19lYaqBhU8_DElYkX7l4wRkHqqCUFNJY4AfY3kHU/edit?usp=sharing  #gid=0"",""фіз особи new!relations_name_uo""),7,FALSE)
,
)
))"),"КРИВЕНЕЦЬ Ганна Миколаївна")</f>
        <v>КРИВЕНЕЦЬ Ганна Миколаївна</v>
      </c>
      <c r="G8169" s="7" t="s">
        <v>10</v>
      </c>
      <c r="H8169" s="7">
        <v>3069</v>
      </c>
      <c r="I8169" s="8" t="str">
        <f ca="1">IFERROR(__xludf.DUMMYFUNCTION("IF
(
G8170=""фізична особа""
,
VLOOKUP(H8170,IMPORTRANGE(""https://docs.google.com/spreadsheets/d/14Bd19lYaqBhU8_DElYkX7l4wRkHqqCUFNJY4AfY3kHU/edit?usp=sharing  #gid=0"",""фіз особи new!relations_name""),6,FALSE)
,
(IF
(
G8170=""юридична особа""
,
VLOOKUP"&amp;"(H8170,IMPORTRANGE(""https://docs.google.com/spreadsheets/d/14Bd19lYaqBhU8_DElYkX7l4wRkHqqCUFNJY4AfY3kHU/edit?usp=sharing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69" s="7" t="s">
        <v>29</v>
      </c>
    </row>
    <row r="8170" spans="1:10" ht="13.2">
      <c r="A8170" s="7">
        <v>8169</v>
      </c>
      <c r="B8170" s="7">
        <v>1</v>
      </c>
      <c r="C8170" s="7" t="s">
        <v>10</v>
      </c>
      <c r="D8170" s="7">
        <v>10132</v>
      </c>
      <c r="E8170" s="7" t="s">
        <v>28</v>
      </c>
      <c r="F8170" s="8" t="str">
        <f ca="1">IFERROR(__xludf.DUMMYFUNCTION("IF
(
C8171=""фізична особа""
,
VLOOKUP(D8171,IMPORTRANGE(""https://docs.google.com/spreadsheets/d/14Bd19lYaqBhU8_DElYkX7l4wRkHqqCUFNJY4AfY3kHU/edit?usp=sharing  #gid=0"",""фіз особи new!relations_name""),6,FALSE)
,
(IF
(
C8171=""юридична особа""
,
VLOOKUP"&amp;"(D8171,IMPORTRANGE(""https://docs.google.com/spreadsheets/d/14Bd19lYaqBhU8_DElYkX7l4wRkHqqCUFNJY4AfY3kHU/edit?usp=sharing  #gid=0"",""фіз особи new!relations_name_uo""),7,FALSE)
,
)
))"),"МОРОЗОВА Венера Ілімдарівна")</f>
        <v>МОРОЗОВА Венера Ілімдарівна</v>
      </c>
      <c r="G8170" s="7" t="s">
        <v>10</v>
      </c>
      <c r="H8170" s="7">
        <v>3069</v>
      </c>
      <c r="I8170" s="8" t="str">
        <f ca="1">IFERROR(__xludf.DUMMYFUNCTION("IF
(
G8171=""фізична особа""
,
VLOOKUP(H8171,IMPORTRANGE(""https://docs.google.com/spreadsheets/d/14Bd19lYaqBhU8_DElYkX7l4wRkHqqCUFNJY4AfY3kHU/edit?usp=sharing  #gid=0"",""фіз особи new!relations_name""),6,FALSE)
,
(IF
(
G8171=""юридична особа""
,
VLOOKUP"&amp;"(H8171,IMPORTRANGE(""https://docs.google.com/spreadsheets/d/14Bd19lYaqBhU8_DElYkX7l4wRkHqqCUFNJY4AfY3kHU/edit?usp=sharing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0" s="7" t="s">
        <v>29</v>
      </c>
    </row>
    <row r="8171" spans="1:10" ht="13.2">
      <c r="A8171" s="7">
        <v>8170</v>
      </c>
      <c r="B8171" s="7">
        <v>1</v>
      </c>
      <c r="C8171" s="7" t="s">
        <v>10</v>
      </c>
      <c r="D8171" s="7">
        <v>10133</v>
      </c>
      <c r="E8171" s="7" t="s">
        <v>28</v>
      </c>
      <c r="F8171" s="8" t="str">
        <f ca="1">IFERROR(__xludf.DUMMYFUNCTION("IF
(
C8172=""фізична особа""
,
VLOOKUP(D8172,IMPORTRANGE(""https://docs.google.com/spreadsheets/d/14Bd19lYaqBhU8_DElYkX7l4wRkHqqCUFNJY4AfY3kHU/edit?usp=sharing  #gid=0"",""фіз особи new!relations_name""),6,FALSE)
,
(IF
(
C8172=""юридична особа""
,
VLOOKUP"&amp;"(D8172,IMPORTRANGE(""https://docs.google.com/spreadsheets/d/14Bd19lYaqBhU8_DElYkX7l4wRkHqqCUFNJY4AfY3kHU/edit?usp=sharing  #gid=0"",""фіз особи new!relations_name_uo""),7,FALSE)
,
)
))"),"АЮПОВА Оксана Василівна")</f>
        <v>АЮПОВА Оксана Василівна</v>
      </c>
      <c r="G8171" s="7" t="s">
        <v>10</v>
      </c>
      <c r="H8171" s="7">
        <v>3069</v>
      </c>
      <c r="I8171" s="8" t="str">
        <f ca="1">IFERROR(__xludf.DUMMYFUNCTION("IF
(
G8172=""фізична особа""
,
VLOOKUP(H8172,IMPORTRANGE(""https://docs.google.com/spreadsheets/d/14Bd19lYaqBhU8_DElYkX7l4wRkHqqCUFNJY4AfY3kHU/edit?usp=sharing  #gid=0"",""фіз особи new!relations_name""),6,FALSE)
,
(IF
(
G8172=""юридична особа""
,
VLOOKUP"&amp;"(H8172,IMPORTRANGE(""https://docs.google.com/spreadsheets/d/14Bd19lYaqBhU8_DElYkX7l4wRkHqqCUFNJY4AfY3kHU/edit?usp=sharing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1" s="7" t="s">
        <v>29</v>
      </c>
    </row>
    <row r="8172" spans="1:10" ht="13.2">
      <c r="A8172" s="7">
        <v>8171</v>
      </c>
      <c r="B8172" s="7">
        <v>1</v>
      </c>
      <c r="C8172" s="7" t="s">
        <v>10</v>
      </c>
      <c r="D8172" s="7">
        <v>10134</v>
      </c>
      <c r="E8172" s="7" t="s">
        <v>28</v>
      </c>
      <c r="F8172" s="8" t="str">
        <f ca="1">IFERROR(__xludf.DUMMYFUNCTION("IF
(
C8173=""фізична особа""
,
VLOOKUP(D8173,IMPORTRANGE(""https://docs.google.com/spreadsheets/d/14Bd19lYaqBhU8_DElYkX7l4wRkHqqCUFNJY4AfY3kHU/edit?usp=sharing  #gid=0"",""фіз особи new!relations_name""),6,FALSE)
,
(IF
(
C8173=""юридична особа""
,
VLOOKUP"&amp;"(D8173,IMPORTRANGE(""https://docs.google.com/spreadsheets/d/14Bd19lYaqBhU8_DElYkX7l4wRkHqqCUFNJY4AfY3kHU/edit?usp=sharing  #gid=0"",""фіз особи new!relations_name_uo""),7,FALSE)
,
)
))"),"ІВАНОВ Ігор Вікторович")</f>
        <v>ІВАНОВ Ігор Вікторович</v>
      </c>
      <c r="G8172" s="7" t="s">
        <v>10</v>
      </c>
      <c r="H8172" s="7">
        <v>3069</v>
      </c>
      <c r="I8172" s="8" t="str">
        <f ca="1">IFERROR(__xludf.DUMMYFUNCTION("IF
(
G8173=""фізична особа""
,
VLOOKUP(H8173,IMPORTRANGE(""https://docs.google.com/spreadsheets/d/14Bd19lYaqBhU8_DElYkX7l4wRkHqqCUFNJY4AfY3kHU/edit?usp=sharing  #gid=0"",""фіз особи new!relations_name""),6,FALSE)
,
(IF
(
G8173=""юридична особа""
,
VLOOKUP"&amp;"(H8173,IMPORTRANGE(""https://docs.google.com/spreadsheets/d/14Bd19lYaqBhU8_DElYkX7l4wRkHqqCUFNJY4AfY3kHU/edit?usp=sharing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2" s="7" t="s">
        <v>29</v>
      </c>
    </row>
    <row r="8173" spans="1:10" ht="13.2">
      <c r="A8173" s="7">
        <v>8172</v>
      </c>
      <c r="B8173" s="7">
        <v>1</v>
      </c>
      <c r="C8173" s="7" t="s">
        <v>10</v>
      </c>
      <c r="D8173" s="7">
        <v>10135</v>
      </c>
      <c r="E8173" s="7" t="s">
        <v>28</v>
      </c>
      <c r="F8173" s="8" t="str">
        <f ca="1">IFERROR(__xludf.DUMMYFUNCTION("IF
(
C8174=""фізична особа""
,
VLOOKUP(D8174,IMPORTRANGE(""https://docs.google.com/spreadsheets/d/14Bd19lYaqBhU8_DElYkX7l4wRkHqqCUFNJY4AfY3kHU/edit?usp=sharing  #gid=0"",""фіз особи new!relations_name""),6,FALSE)
,
(IF
(
C8174=""юридична особа""
,
VLOOKUP"&amp;"(D8174,IMPORTRANGE(""https://docs.google.com/spreadsheets/d/14Bd19lYaqBhU8_DElYkX7l4wRkHqqCUFNJY4AfY3kHU/edit?usp=sharing  #gid=0"",""фіз особи new!relations_name_uo""),7,FALSE)
,
)
))"),"МАКСИМОВ Олексій Анатолійович")</f>
        <v>МАКСИМОВ Олексій Анатолійович</v>
      </c>
      <c r="G8173" s="7" t="s">
        <v>10</v>
      </c>
      <c r="H8173" s="7">
        <v>3069</v>
      </c>
      <c r="I8173" s="8" t="str">
        <f ca="1">IFERROR(__xludf.DUMMYFUNCTION("IF
(
G8174=""фізична особа""
,
VLOOKUP(H8174,IMPORTRANGE(""https://docs.google.com/spreadsheets/d/14Bd19lYaqBhU8_DElYkX7l4wRkHqqCUFNJY4AfY3kHU/edit?usp=sharing  #gid=0"",""фіз особи new!relations_name""),6,FALSE)
,
(IF
(
G8174=""юридична особа""
,
VLOOKUP"&amp;"(H8174,IMPORTRANGE(""https://docs.google.com/spreadsheets/d/14Bd19lYaqBhU8_DElYkX7l4wRkHqqCUFNJY4AfY3kHU/edit?usp=sharing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3" s="7" t="s">
        <v>29</v>
      </c>
    </row>
    <row r="8174" spans="1:10" ht="13.2">
      <c r="A8174" s="7">
        <v>8173</v>
      </c>
      <c r="B8174" s="7">
        <v>1</v>
      </c>
      <c r="C8174" s="7" t="s">
        <v>10</v>
      </c>
      <c r="D8174" s="7">
        <v>10136</v>
      </c>
      <c r="E8174" s="7" t="s">
        <v>28</v>
      </c>
      <c r="F8174" s="8" t="str">
        <f ca="1">IFERROR(__xludf.DUMMYFUNCTION("IF
(
C8175=""фізична особа""
,
VLOOKUP(D8175,IMPORTRANGE(""https://docs.google.com/spreadsheets/d/14Bd19lYaqBhU8_DElYkX7l4wRkHqqCUFNJY4AfY3kHU/edit?usp=sharing  #gid=0"",""фіз особи new!relations_name""),6,FALSE)
,
(IF
(
C8175=""юридична особа""
,
VLOOKUP"&amp;"(D8175,IMPORTRANGE(""https://docs.google.com/spreadsheets/d/14Bd19lYaqBhU8_DElYkX7l4wRkHqqCUFNJY4AfY3kHU/edit?usp=sharing  #gid=0"",""фіз особи new!relations_name_uo""),7,FALSE)
,
)
))"),"ТАРАСОВА Олена Вікторівна")</f>
        <v>ТАРАСОВА Олена Вікторівна</v>
      </c>
      <c r="G8174" s="7" t="s">
        <v>10</v>
      </c>
      <c r="H8174" s="7">
        <v>3069</v>
      </c>
      <c r="I8174" s="8" t="str">
        <f ca="1">IFERROR(__xludf.DUMMYFUNCTION("IF
(
G8175=""фізична особа""
,
VLOOKUP(H8175,IMPORTRANGE(""https://docs.google.com/spreadsheets/d/14Bd19lYaqBhU8_DElYkX7l4wRkHqqCUFNJY4AfY3kHU/edit?usp=sharing  #gid=0"",""фіз особи new!relations_name""),6,FALSE)
,
(IF
(
G8175=""юридична особа""
,
VLOOKUP"&amp;"(H8175,IMPORTRANGE(""https://docs.google.com/spreadsheets/d/14Bd19lYaqBhU8_DElYkX7l4wRkHqqCUFNJY4AfY3kHU/edit?usp=sharing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4" s="7" t="s">
        <v>29</v>
      </c>
    </row>
    <row r="8175" spans="1:10" ht="13.2">
      <c r="A8175" s="7">
        <v>8174</v>
      </c>
      <c r="B8175" s="7">
        <v>1</v>
      </c>
      <c r="C8175" s="7" t="s">
        <v>10</v>
      </c>
      <c r="D8175" s="7">
        <v>10137</v>
      </c>
      <c r="E8175" s="7" t="s">
        <v>28</v>
      </c>
      <c r="F8175" s="8" t="str">
        <f ca="1">IFERROR(__xludf.DUMMYFUNCTION("IF
(
C8176=""фізична особа""
,
VLOOKUP(D8176,IMPORTRANGE(""https://docs.google.com/spreadsheets/d/14Bd19lYaqBhU8_DElYkX7l4wRkHqqCUFNJY4AfY3kHU/edit?usp=sharing  #gid=0"",""фіз особи new!relations_name""),6,FALSE)
,
(IF
(
C8176=""юридична особа""
,
VLOOKUP"&amp;"(D8176,IMPORTRANGE(""https://docs.google.com/spreadsheets/d/14Bd19lYaqBhU8_DElYkX7l4wRkHqqCUFNJY4AfY3kHU/edit?usp=sharing  #gid=0"",""фіз особи new!relations_name_uo""),7,FALSE)
,
)
))"),"НИКИФОРОВ Андрій Вікторович")</f>
        <v>НИКИФОРОВ Андрій Вікторович</v>
      </c>
      <c r="G8175" s="7" t="s">
        <v>10</v>
      </c>
      <c r="H8175" s="7">
        <v>3069</v>
      </c>
      <c r="I8175" s="8" t="str">
        <f ca="1">IFERROR(__xludf.DUMMYFUNCTION("IF
(
G8176=""фізична особа""
,
VLOOKUP(H8176,IMPORTRANGE(""https://docs.google.com/spreadsheets/d/14Bd19lYaqBhU8_DElYkX7l4wRkHqqCUFNJY4AfY3kHU/edit?usp=sharing  #gid=0"",""фіз особи new!relations_name""),6,FALSE)
,
(IF
(
G8176=""юридична особа""
,
VLOOKUP"&amp;"(H8176,IMPORTRANGE(""https://docs.google.com/spreadsheets/d/14Bd19lYaqBhU8_DElYkX7l4wRkHqqCUFNJY4AfY3kHU/edit?usp=sharing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5" s="7" t="s">
        <v>29</v>
      </c>
    </row>
    <row r="8176" spans="1:10" ht="13.2">
      <c r="A8176" s="7">
        <v>8175</v>
      </c>
      <c r="B8176" s="7">
        <v>1</v>
      </c>
      <c r="C8176" s="7" t="s">
        <v>10</v>
      </c>
      <c r="D8176" s="7">
        <v>10138</v>
      </c>
      <c r="E8176" s="7" t="s">
        <v>28</v>
      </c>
      <c r="F8176" s="8" t="str">
        <f ca="1">IFERROR(__xludf.DUMMYFUNCTION("IF
(
C8177=""фізична особа""
,
VLOOKUP(D8177,IMPORTRANGE(""https://docs.google.com/spreadsheets/d/14Bd19lYaqBhU8_DElYkX7l4wRkHqqCUFNJY4AfY3kHU/edit?usp=sharing  #gid=0"",""фіз особи new!relations_name""),6,FALSE)
,
(IF
(
C8177=""юридична особа""
,
VLOOKUP"&amp;"(D8177,IMPORTRANGE(""https://docs.google.com/spreadsheets/d/14Bd19lYaqBhU8_DElYkX7l4wRkHqqCUFNJY4AfY3kHU/edit?usp=sharing  #gid=0"",""фіз особи new!relations_name_uo""),7,FALSE)
,
)
))"),"ДМИТРІЄВ Павло Олександрович")</f>
        <v>ДМИТРІЄВ Павло Олександрович</v>
      </c>
      <c r="G8176" s="7" t="s">
        <v>10</v>
      </c>
      <c r="H8176" s="7">
        <v>3069</v>
      </c>
      <c r="I8176" s="8" t="str">
        <f ca="1">IFERROR(__xludf.DUMMYFUNCTION("IF
(
G8177=""фізична особа""
,
VLOOKUP(H8177,IMPORTRANGE(""https://docs.google.com/spreadsheets/d/14Bd19lYaqBhU8_DElYkX7l4wRkHqqCUFNJY4AfY3kHU/edit?usp=sharing  #gid=0"",""фіз особи new!relations_name""),6,FALSE)
,
(IF
(
G8177=""юридична особа""
,
VLOOKUP"&amp;"(H8177,IMPORTRANGE(""https://docs.google.com/spreadsheets/d/14Bd19lYaqBhU8_DElYkX7l4wRkHqqCUFNJY4AfY3kHU/edit?usp=sharing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6" s="7" t="s">
        <v>29</v>
      </c>
    </row>
    <row r="8177" spans="1:10" ht="13.2">
      <c r="A8177" s="7">
        <v>8176</v>
      </c>
      <c r="B8177" s="7">
        <v>1</v>
      </c>
      <c r="C8177" s="7" t="s">
        <v>10</v>
      </c>
      <c r="D8177" s="7">
        <v>10139</v>
      </c>
      <c r="E8177" s="7" t="s">
        <v>28</v>
      </c>
      <c r="F8177" s="8" t="str">
        <f ca="1">IFERROR(__xludf.DUMMYFUNCTION("IF
(
C8178=""фізична особа""
,
VLOOKUP(D8178,IMPORTRANGE(""https://docs.google.com/spreadsheets/d/14Bd19lYaqBhU8_DElYkX7l4wRkHqqCUFNJY4AfY3kHU/edit?usp=sharing  #gid=0"",""фіз особи new!relations_name""),6,FALSE)
,
(IF
(
C8178=""юридична особа""
,
VLOOKUP"&amp;"(D8178,IMPORTRANGE(""https://docs.google.com/spreadsheets/d/14Bd19lYaqBhU8_DElYkX7l4wRkHqqCUFNJY4AfY3kHU/edit?usp=sharing  #gid=0"",""фіз особи new!relations_name_uo""),7,FALSE)
,
)
))"),"БЄЛІКОВА Олена Олександрівна")</f>
        <v>БЄЛІКОВА Олена Олександрівна</v>
      </c>
      <c r="G8177" s="7" t="s">
        <v>10</v>
      </c>
      <c r="H8177" s="7">
        <v>3069</v>
      </c>
      <c r="I8177" s="8" t="str">
        <f ca="1">IFERROR(__xludf.DUMMYFUNCTION("IF
(
G8178=""фізична особа""
,
VLOOKUP(H8178,IMPORTRANGE(""https://docs.google.com/spreadsheets/d/14Bd19lYaqBhU8_DElYkX7l4wRkHqqCUFNJY4AfY3kHU/edit?usp=sharing  #gid=0"",""фіз особи new!relations_name""),6,FALSE)
,
(IF
(
G8178=""юридична особа""
,
VLOOKUP"&amp;"(H8178,IMPORTRANGE(""https://docs.google.com/spreadsheets/d/14Bd19lYaqBhU8_DElYkX7l4wRkHqqCUFNJY4AfY3kHU/edit?usp=sharing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7" s="7" t="s">
        <v>29</v>
      </c>
    </row>
    <row r="8178" spans="1:10" ht="13.2">
      <c r="A8178" s="7">
        <v>8177</v>
      </c>
      <c r="B8178" s="7">
        <v>1</v>
      </c>
      <c r="C8178" s="7" t="s">
        <v>10</v>
      </c>
      <c r="D8178" s="7">
        <v>10140</v>
      </c>
      <c r="E8178" s="7" t="s">
        <v>28</v>
      </c>
      <c r="F8178" s="8" t="str">
        <f ca="1">IFERROR(__xludf.DUMMYFUNCTION("IF
(
C8179=""фізична особа""
,
VLOOKUP(D8179,IMPORTRANGE(""https://docs.google.com/spreadsheets/d/14Bd19lYaqBhU8_DElYkX7l4wRkHqqCUFNJY4AfY3kHU/edit?usp=sharing  #gid=0"",""фіз особи new!relations_name""),6,FALSE)
,
(IF
(
C8179=""юридична особа""
,
VLOOKUP"&amp;"(D8179,IMPORTRANGE(""https://docs.google.com/spreadsheets/d/14Bd19lYaqBhU8_DElYkX7l4wRkHqqCUFNJY4AfY3kHU/edit?usp=sharing  #gid=0"",""фіз особи new!relations_name_uo""),7,FALSE)
,
)
))"),"БУРДЕЙН Олександр Валерійович")</f>
        <v>БУРДЕЙН Олександр Валерійович</v>
      </c>
      <c r="G8178" s="7" t="s">
        <v>10</v>
      </c>
      <c r="H8178" s="7">
        <v>3069</v>
      </c>
      <c r="I8178" s="8" t="str">
        <f ca="1">IFERROR(__xludf.DUMMYFUNCTION("IF
(
G8179=""фізична особа""
,
VLOOKUP(H8179,IMPORTRANGE(""https://docs.google.com/spreadsheets/d/14Bd19lYaqBhU8_DElYkX7l4wRkHqqCUFNJY4AfY3kHU/edit?usp=sharing  #gid=0"",""фіз особи new!relations_name""),6,FALSE)
,
(IF
(
G8179=""юридична особа""
,
VLOOKUP"&amp;"(H8179,IMPORTRANGE(""https://docs.google.com/spreadsheets/d/14Bd19lYaqBhU8_DElYkX7l4wRkHqqCUFNJY4AfY3kHU/edit?usp=sharing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8" s="7" t="s">
        <v>29</v>
      </c>
    </row>
    <row r="8179" spans="1:10" ht="13.2">
      <c r="A8179" s="7">
        <v>8178</v>
      </c>
      <c r="B8179" s="7">
        <v>1</v>
      </c>
      <c r="C8179" s="7" t="s">
        <v>10</v>
      </c>
      <c r="D8179" s="7">
        <v>10141</v>
      </c>
      <c r="E8179" s="7" t="s">
        <v>28</v>
      </c>
      <c r="F8179" s="8" t="str">
        <f ca="1">IFERROR(__xludf.DUMMYFUNCTION("IF
(
C8180=""фізична особа""
,
VLOOKUP(D8180,IMPORTRANGE(""https://docs.google.com/spreadsheets/d/14Bd19lYaqBhU8_DElYkX7l4wRkHqqCUFNJY4AfY3kHU/edit?usp=sharing  #gid=0"",""фіз особи new!relations_name""),6,FALSE)
,
(IF
(
C8180=""юридична особа""
,
VLOOKUP"&amp;"(D8180,IMPORTRANGE(""https://docs.google.com/spreadsheets/d/14Bd19lYaqBhU8_DElYkX7l4wRkHqqCUFNJY4AfY3kHU/edit?usp=sharing  #gid=0"",""фіз особи new!relations_name_uo""),7,FALSE)
,
)
))"),"МУРОМЦЕВА Людмила Халілівна")</f>
        <v>МУРОМЦЕВА Людмила Халілівна</v>
      </c>
      <c r="G8179" s="7" t="s">
        <v>10</v>
      </c>
      <c r="H8179" s="7">
        <v>3069</v>
      </c>
      <c r="I8179" s="8" t="str">
        <f ca="1">IFERROR(__xludf.DUMMYFUNCTION("IF
(
G8180=""фізична особа""
,
VLOOKUP(H8180,IMPORTRANGE(""https://docs.google.com/spreadsheets/d/14Bd19lYaqBhU8_DElYkX7l4wRkHqqCUFNJY4AfY3kHU/edit?usp=sharing  #gid=0"",""фіз особи new!relations_name""),6,FALSE)
,
(IF
(
G8180=""юридична особа""
,
VLOOKUP"&amp;"(H8180,IMPORTRANGE(""https://docs.google.com/spreadsheets/d/14Bd19lYaqBhU8_DElYkX7l4wRkHqqCUFNJY4AfY3kHU/edit?usp=sharing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79" s="7" t="s">
        <v>29</v>
      </c>
    </row>
    <row r="8180" spans="1:10" ht="13.2">
      <c r="A8180" s="7">
        <v>8179</v>
      </c>
      <c r="B8180" s="7">
        <v>1</v>
      </c>
      <c r="C8180" s="7" t="s">
        <v>10</v>
      </c>
      <c r="D8180" s="7">
        <v>10142</v>
      </c>
      <c r="E8180" s="7" t="s">
        <v>28</v>
      </c>
      <c r="F8180" s="8" t="str">
        <f ca="1">IFERROR(__xludf.DUMMYFUNCTION("IF
(
C8181=""фізична особа""
,
VLOOKUP(D8181,IMPORTRANGE(""https://docs.google.com/spreadsheets/d/14Bd19lYaqBhU8_DElYkX7l4wRkHqqCUFNJY4AfY3kHU/edit?usp=sharing  #gid=0"",""фіз особи new!relations_name""),6,FALSE)
,
(IF
(
C8181=""юридична особа""
,
VLOOKUP"&amp;"(D8181,IMPORTRANGE(""https://docs.google.com/spreadsheets/d/14Bd19lYaqBhU8_DElYkX7l4wRkHqqCUFNJY4AfY3kHU/edit?usp=sharing  #gid=0"",""фіз особи new!relations_name_uo""),7,FALSE)
,
)
))"),"САУЛЬ Світлана Миколаївна")</f>
        <v>САУЛЬ Світлана Миколаївна</v>
      </c>
      <c r="G8180" s="7" t="s">
        <v>10</v>
      </c>
      <c r="H8180" s="7">
        <v>3069</v>
      </c>
      <c r="I8180" s="8" t="str">
        <f ca="1">IFERROR(__xludf.DUMMYFUNCTION("IF
(
G8181=""фізична особа""
,
VLOOKUP(H8181,IMPORTRANGE(""https://docs.google.com/spreadsheets/d/14Bd19lYaqBhU8_DElYkX7l4wRkHqqCUFNJY4AfY3kHU/edit?usp=sharing  #gid=0"",""фіз особи new!relations_name""),6,FALSE)
,
(IF
(
G8181=""юридична особа""
,
VLOOKUP"&amp;"(H8181,IMPORTRANGE(""https://docs.google.com/spreadsheets/d/14Bd19lYaqBhU8_DElYkX7l4wRkHqqCUFNJY4AfY3kHU/edit?usp=sharing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180" s="7" t="s">
        <v>29</v>
      </c>
    </row>
    <row r="8181" spans="1:10" ht="13.2">
      <c r="A8181" s="7">
        <v>8180</v>
      </c>
      <c r="B8181" s="7">
        <v>1</v>
      </c>
      <c r="C8181" s="7" t="s">
        <v>10</v>
      </c>
      <c r="D8181" s="7">
        <v>10143</v>
      </c>
      <c r="E8181" s="7" t="s">
        <v>28</v>
      </c>
      <c r="F8181" s="8" t="str">
        <f ca="1">IFERROR(__xludf.DUMMYFUNCTION("IF
(
C8182=""фізична особа""
,
VLOOKUP(D8182,IMPORTRANGE(""https://docs.google.com/spreadsheets/d/14Bd19lYaqBhU8_DElYkX7l4wRkHqqCUFNJY4AfY3kHU/edit?usp=sharing  #gid=0"",""фіз особи new!relations_name""),6,FALSE)
,
(IF
(
C8182=""юридична особа""
,
VLOOKUP"&amp;"(D8182,IMPORTRANGE(""https://docs.google.com/spreadsheets/d/14Bd19lYaqBhU8_DElYkX7l4wRkHqqCUFNJY4AfY3kHU/edit?usp=sharing  #gid=0"",""фіз особи new!relations_name_uo""),7,FALSE)
,
)
))"),"ЗАПЛАТКІН Василь Олександрович")</f>
        <v>ЗАПЛАТКІН Василь Олександрович</v>
      </c>
      <c r="G8181" s="7" t="s">
        <v>10</v>
      </c>
      <c r="H8181" s="7">
        <v>208</v>
      </c>
      <c r="I8181" s="8" t="str">
        <f ca="1">IFERROR(__xludf.DUMMYFUNCTION("IF
(
G8182=""фізична особа""
,
VLOOKUP(H8182,IMPORTRANGE(""https://docs.google.com/spreadsheets/d/14Bd19lYaqBhU8_DElYkX7l4wRkHqqCUFNJY4AfY3kHU/edit?usp=sharing  #gid=0"",""фіз особи new!relations_name""),6,FALSE)
,
(IF
(
G8182=""юридична особа""
,
VLOOKUP"&amp;"(H8182,IMPORTRANGE(""https://docs.google.com/spreadsheets/d/14Bd19lYaqBhU8_DElYkX7l4wRkHqqCUFNJY4AfY3kHU/edit?usp=sharing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J8181" s="7" t="s">
        <v>29</v>
      </c>
    </row>
    <row r="8182" spans="1:10" ht="13.2">
      <c r="A8182" s="7">
        <v>8181</v>
      </c>
      <c r="B8182" s="7">
        <v>1</v>
      </c>
      <c r="C8182" s="7" t="s">
        <v>10</v>
      </c>
      <c r="D8182" s="7">
        <v>10144</v>
      </c>
      <c r="E8182" s="7" t="s">
        <v>28</v>
      </c>
      <c r="F8182" s="8" t="str">
        <f ca="1">IFERROR(__xludf.DUMMYFUNCTION("IF
(
C8183=""фізична особа""
,
VLOOKUP(D8183,IMPORTRANGE(""https://docs.google.com/spreadsheets/d/14Bd19lYaqBhU8_DElYkX7l4wRkHqqCUFNJY4AfY3kHU/edit?usp=sharing  #gid=0"",""фіз особи new!relations_name""),6,FALSE)
,
(IF
(
C8183=""юридична особа""
,
VLOOKUP"&amp;"(D8183,IMPORTRANGE(""https://docs.google.com/spreadsheets/d/14Bd19lYaqBhU8_DElYkX7l4wRkHqqCUFNJY4AfY3kHU/edit?usp=sharing  #gid=0"",""фіз особи new!relations_name_uo""),7,FALSE)
,
)
))"),"КОСЕНОК Ірина Генріхівна")</f>
        <v>КОСЕНОК Ірина Генріхівна</v>
      </c>
      <c r="G8182" s="7" t="s">
        <v>10</v>
      </c>
      <c r="H8182" s="7">
        <v>16565</v>
      </c>
      <c r="I8182" s="8" t="str">
        <f ca="1">IFERROR(__xludf.DUMMYFUNCTION("IF
(
G8183=""фізична особа""
,
VLOOKUP(H8183,IMPORTRANGE(""https://docs.google.com/spreadsheets/d/14Bd19lYaqBhU8_DElYkX7l4wRkHqqCUFNJY4AfY3kHU/edit?usp=sharing  #gid=0"",""фіз особи new!relations_name""),6,FALSE)
,
(IF
(
G8183=""юридична особа""
,
VLOOKUP"&amp;"(H8183,IMPORTRANGE(""https://docs.google.com/spreadsheets/d/14Bd19lYaqBhU8_DElYkX7l4wRkHqqCUFNJY4AfY3kHU/edit?usp=sharing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82" s="7" t="s">
        <v>29</v>
      </c>
    </row>
    <row r="8183" spans="1:10" ht="13.2">
      <c r="A8183" s="7">
        <v>8182</v>
      </c>
      <c r="B8183" s="7">
        <v>1</v>
      </c>
      <c r="C8183" s="7" t="s">
        <v>10</v>
      </c>
      <c r="D8183" s="7">
        <v>10145</v>
      </c>
      <c r="E8183" s="7" t="s">
        <v>28</v>
      </c>
      <c r="F8183" s="8" t="str">
        <f ca="1">IFERROR(__xludf.DUMMYFUNCTION("IF
(
C8184=""фізична особа""
,
VLOOKUP(D8184,IMPORTRANGE(""https://docs.google.com/spreadsheets/d/14Bd19lYaqBhU8_DElYkX7l4wRkHqqCUFNJY4AfY3kHU/edit?usp=sharing  #gid=0"",""фіз особи new!relations_name""),6,FALSE)
,
(IF
(
C8184=""юридична особа""
,
VLOOKUP"&amp;"(D8184,IMPORTRANGE(""https://docs.google.com/spreadsheets/d/14Bd19lYaqBhU8_DElYkX7l4wRkHqqCUFNJY4AfY3kHU/edit?usp=sharing  #gid=0"",""фіз особи new!relations_name_uo""),7,FALSE)
,
)
))"),"КОВАЛЕНКО Сергій Олексійович")</f>
        <v>КОВАЛЕНКО Сергій Олексійович</v>
      </c>
      <c r="G8183" s="7" t="s">
        <v>10</v>
      </c>
      <c r="H8183" s="7">
        <v>16565</v>
      </c>
      <c r="I8183" s="8" t="str">
        <f ca="1">IFERROR(__xludf.DUMMYFUNCTION("IF
(
G8184=""фізична особа""
,
VLOOKUP(H8184,IMPORTRANGE(""https://docs.google.com/spreadsheets/d/14Bd19lYaqBhU8_DElYkX7l4wRkHqqCUFNJY4AfY3kHU/edit?usp=sharing  #gid=0"",""фіз особи new!relations_name""),6,FALSE)
,
(IF
(
G8184=""юридична особа""
,
VLOOKUP"&amp;"(H8184,IMPORTRANGE(""https://docs.google.com/spreadsheets/d/14Bd19lYaqBhU8_DElYkX7l4wRkHqqCUFNJY4AfY3kHU/edit?usp=sharing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83" s="7" t="s">
        <v>29</v>
      </c>
    </row>
    <row r="8184" spans="1:10" ht="13.2">
      <c r="A8184" s="7">
        <v>8183</v>
      </c>
      <c r="B8184" s="7">
        <v>1</v>
      </c>
      <c r="C8184" s="7" t="s">
        <v>10</v>
      </c>
      <c r="D8184" s="7">
        <v>10145</v>
      </c>
      <c r="E8184" s="7" t="s">
        <v>28</v>
      </c>
      <c r="F8184" s="8" t="str">
        <f ca="1">IFERROR(__xludf.DUMMYFUNCTION("IF
(
C8185=""фізична особа""
,
VLOOKUP(D8185,IMPORTRANGE(""https://docs.google.com/spreadsheets/d/14Bd19lYaqBhU8_DElYkX7l4wRkHqqCUFNJY4AfY3kHU/edit?usp=sharing  #gid=0"",""фіз особи new!relations_name""),6,FALSE)
,
(IF
(
C8185=""юридична особа""
,
VLOOKUP"&amp;"(D8185,IMPORTRANGE(""https://docs.google.com/spreadsheets/d/14Bd19lYaqBhU8_DElYkX7l4wRkHqqCUFNJY4AfY3kHU/edit?usp=sharing  #gid=0"",""фіз особи new!relations_name_uo""),7,FALSE)
,
)
))"),"КОВАЛЕНКО Сергій Олексійович")</f>
        <v>КОВАЛЕНКО Сергій Олексійович</v>
      </c>
      <c r="G8184" s="7" t="s">
        <v>10</v>
      </c>
      <c r="H8184" s="7">
        <v>1610</v>
      </c>
      <c r="I8184" s="8" t="str">
        <f ca="1">IFERROR(__xludf.DUMMYFUNCTION("IF
(
G8185=""фізична особа""
,
VLOOKUP(H8185,IMPORTRANGE(""https://docs.google.com/spreadsheets/d/14Bd19lYaqBhU8_DElYkX7l4wRkHqqCUFNJY4AfY3kHU/edit?usp=sharing  #gid=0"",""фіз особи new!relations_name""),6,FALSE)
,
(IF
(
G8185=""юридична особа""
,
VLOOKUP"&amp;"(H8185,IMPORTRANGE(""https://docs.google.com/spreadsheets/d/14Bd19lYaqBhU8_DElYkX7l4wRkHqqCUFNJY4AfY3kHU/edit?usp=sharing  #gid=0"",""фіз особи new!relations_name_uo""),7,FALSE)
,
)
))"),"НЕГЛЯД Герман Юрійович")</f>
        <v>НЕГЛЯД Герман Юрійович</v>
      </c>
      <c r="J8184" s="7" t="s">
        <v>29</v>
      </c>
    </row>
    <row r="8185" spans="1:10" ht="13.2">
      <c r="A8185" s="7">
        <v>8184</v>
      </c>
      <c r="B8185" s="7">
        <v>1</v>
      </c>
      <c r="C8185" s="7" t="s">
        <v>10</v>
      </c>
      <c r="D8185" s="7">
        <v>10146</v>
      </c>
      <c r="E8185" s="7" t="s">
        <v>28</v>
      </c>
      <c r="F8185" s="8" t="str">
        <f ca="1">IFERROR(__xludf.DUMMYFUNCTION("IF
(
C8186=""фізична особа""
,
VLOOKUP(D8186,IMPORTRANGE(""https://docs.google.com/spreadsheets/d/14Bd19lYaqBhU8_DElYkX7l4wRkHqqCUFNJY4AfY3kHU/edit?usp=sharing  #gid=0"",""фіз особи new!relations_name""),6,FALSE)
,
(IF
(
C8186=""юридична особа""
,
VLOOKUP"&amp;"(D8186,IMPORTRANGE(""https://docs.google.com/spreadsheets/d/14Bd19lYaqBhU8_DElYkX7l4wRkHqqCUFNJY4AfY3kHU/edit?usp=sharing  #gid=0"",""фіз особи new!relations_name_uo""),7,FALSE)
,
)
))"),"СТЕБІХОВ Олексій Олександрович")</f>
        <v>СТЕБІХОВ Олексій Олександрович</v>
      </c>
      <c r="G8185" s="7" t="s">
        <v>10</v>
      </c>
      <c r="H8185" s="7">
        <v>16565</v>
      </c>
      <c r="I8185" s="8" t="str">
        <f ca="1">IFERROR(__xludf.DUMMYFUNCTION("IF
(
G8186=""фізична особа""
,
VLOOKUP(H8186,IMPORTRANGE(""https://docs.google.com/spreadsheets/d/14Bd19lYaqBhU8_DElYkX7l4wRkHqqCUFNJY4AfY3kHU/edit?usp=sharing  #gid=0"",""фіз особи new!relations_name""),6,FALSE)
,
(IF
(
G8186=""юридична особа""
,
VLOOKUP"&amp;"(H8186,IMPORTRANGE(""https://docs.google.com/spreadsheets/d/14Bd19lYaqBhU8_DElYkX7l4wRkHqqCUFNJY4AfY3kHU/edit?usp=sharing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85" s="7" t="s">
        <v>29</v>
      </c>
    </row>
    <row r="8186" spans="1:10" ht="13.2">
      <c r="A8186" s="7">
        <v>8185</v>
      </c>
      <c r="B8186" s="7">
        <v>1</v>
      </c>
      <c r="C8186" s="7" t="s">
        <v>10</v>
      </c>
      <c r="D8186" s="7">
        <v>10146</v>
      </c>
      <c r="E8186" s="7" t="s">
        <v>28</v>
      </c>
      <c r="F8186" s="8" t="str">
        <f ca="1">IFERROR(__xludf.DUMMYFUNCTION("IF
(
C8187=""фізична особа""
,
VLOOKUP(D8187,IMPORTRANGE(""https://docs.google.com/spreadsheets/d/14Bd19lYaqBhU8_DElYkX7l4wRkHqqCUFNJY4AfY3kHU/edit?usp=sharing  #gid=0"",""фіз особи new!relations_name""),6,FALSE)
,
(IF
(
C8187=""юридична особа""
,
VLOOKUP"&amp;"(D8187,IMPORTRANGE(""https://docs.google.com/spreadsheets/d/14Bd19lYaqBhU8_DElYkX7l4wRkHqqCUFNJY4AfY3kHU/edit?usp=sharing  #gid=0"",""фіз особи new!relations_name_uo""),7,FALSE)
,
)
))"),"СТЕБІХОВ Олексій Олександрович")</f>
        <v>СТЕБІХОВ Олексій Олександрович</v>
      </c>
      <c r="G8186" s="7" t="s">
        <v>10</v>
      </c>
      <c r="H8186" s="7">
        <v>1609</v>
      </c>
      <c r="I8186" s="8" t="str">
        <f ca="1">IFERROR(__xludf.DUMMYFUNCTION("IF
(
G8187=""фізична особа""
,
VLOOKUP(H8187,IMPORTRANGE(""https://docs.google.com/spreadsheets/d/14Bd19lYaqBhU8_DElYkX7l4wRkHqqCUFNJY4AfY3kHU/edit?usp=sharing  #gid=0"",""фіз особи new!relations_name""),6,FALSE)
,
(IF
(
G8187=""юридична особа""
,
VLOOKUP"&amp;"(H8187,IMPORTRANGE(""https://docs.google.com/spreadsheets/d/14Bd19lYaqBhU8_DElYkX7l4wRkHqqCUFNJY4AfY3kHU/edit?usp=sharing  #gid=0"",""фіз особи new!relations_name_uo""),7,FALSE)
,
)
))"),"КОРОТКИЙ Юрій Федорович")</f>
        <v>КОРОТКИЙ Юрій Федорович</v>
      </c>
      <c r="J8186" s="7" t="s">
        <v>29</v>
      </c>
    </row>
    <row r="8187" spans="1:10" ht="13.2">
      <c r="A8187" s="7">
        <v>8186</v>
      </c>
      <c r="B8187" s="7">
        <v>1</v>
      </c>
      <c r="C8187" s="7" t="s">
        <v>10</v>
      </c>
      <c r="D8187" s="7">
        <v>10147</v>
      </c>
      <c r="E8187" s="7" t="s">
        <v>28</v>
      </c>
      <c r="F8187" s="8" t="str">
        <f ca="1">IFERROR(__xludf.DUMMYFUNCTION("IF
(
C8188=""фізична особа""
,
VLOOKUP(D8188,IMPORTRANGE(""https://docs.google.com/spreadsheets/d/14Bd19lYaqBhU8_DElYkX7l4wRkHqqCUFNJY4AfY3kHU/edit?usp=sharing  #gid=0"",""фіз особи new!relations_name""),6,FALSE)
,
(IF
(
C8188=""юридична особа""
,
VLOOKUP"&amp;"(D8188,IMPORTRANGE(""https://docs.google.com/spreadsheets/d/14Bd19lYaqBhU8_DElYkX7l4wRkHqqCUFNJY4AfY3kHU/edit?usp=sharing  #gid=0"",""фіз особи new!relations_name_uo""),7,FALSE)
,
)
))"),"ФЕДОРОВ Михайло Миколайович")</f>
        <v>ФЕДОРОВ Михайло Миколайович</v>
      </c>
      <c r="G8187" s="7" t="s">
        <v>10</v>
      </c>
      <c r="H8187" s="7">
        <v>16565</v>
      </c>
      <c r="I8187" s="8" t="str">
        <f ca="1">IFERROR(__xludf.DUMMYFUNCTION("IF
(
G8188=""фізична особа""
,
VLOOKUP(H8188,IMPORTRANGE(""https://docs.google.com/spreadsheets/d/14Bd19lYaqBhU8_DElYkX7l4wRkHqqCUFNJY4AfY3kHU/edit?usp=sharing  #gid=0"",""фіз особи new!relations_name""),6,FALSE)
,
(IF
(
G8188=""юридична особа""
,
VLOOKUP"&amp;"(H8188,IMPORTRANGE(""https://docs.google.com/spreadsheets/d/14Bd19lYaqBhU8_DElYkX7l4wRkHqqCUFNJY4AfY3kHU/edit?usp=sharing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87" s="7" t="s">
        <v>29</v>
      </c>
    </row>
    <row r="8188" spans="1:10" ht="13.2">
      <c r="A8188" s="7">
        <v>8187</v>
      </c>
      <c r="B8188" s="7">
        <v>1</v>
      </c>
      <c r="C8188" s="7" t="s">
        <v>10</v>
      </c>
      <c r="D8188" s="7">
        <v>10147</v>
      </c>
      <c r="E8188" s="7" t="s">
        <v>28</v>
      </c>
      <c r="F8188" s="8" t="str">
        <f ca="1">IFERROR(__xludf.DUMMYFUNCTION("IF
(
C8189=""фізична особа""
,
VLOOKUP(D8189,IMPORTRANGE(""https://docs.google.com/spreadsheets/d/14Bd19lYaqBhU8_DElYkX7l4wRkHqqCUFNJY4AfY3kHU/edit?usp=sharing  #gid=0"",""фіз особи new!relations_name""),6,FALSE)
,
(IF
(
C8189=""юридична особа""
,
VLOOKUP"&amp;"(D8189,IMPORTRANGE(""https://docs.google.com/spreadsheets/d/14Bd19lYaqBhU8_DElYkX7l4wRkHqqCUFNJY4AfY3kHU/edit?usp=sharing  #gid=0"",""фіз особи new!relations_name_uo""),7,FALSE)
,
)
))"),"ФЕДОРОВ Михайло Миколайович")</f>
        <v>ФЕДОРОВ Михайло Миколайович</v>
      </c>
      <c r="G8188" s="7" t="s">
        <v>10</v>
      </c>
      <c r="H8188" s="7">
        <v>1609</v>
      </c>
      <c r="I8188" s="8" t="str">
        <f ca="1">IFERROR(__xludf.DUMMYFUNCTION("IF
(
G8189=""фізична особа""
,
VLOOKUP(H8189,IMPORTRANGE(""https://docs.google.com/spreadsheets/d/14Bd19lYaqBhU8_DElYkX7l4wRkHqqCUFNJY4AfY3kHU/edit?usp=sharing  #gid=0"",""фіз особи new!relations_name""),6,FALSE)
,
(IF
(
G8189=""юридична особа""
,
VLOOKUP"&amp;"(H8189,IMPORTRANGE(""https://docs.google.com/spreadsheets/d/14Bd19lYaqBhU8_DElYkX7l4wRkHqqCUFNJY4AfY3kHU/edit?usp=sharing  #gid=0"",""фіз особи new!relations_name_uo""),7,FALSE)
,
)
))"),"КОРОТКИЙ Юрій Федорович")</f>
        <v>КОРОТКИЙ Юрій Федорович</v>
      </c>
      <c r="J8188" s="7" t="s">
        <v>29</v>
      </c>
    </row>
    <row r="8189" spans="1:10" ht="13.2">
      <c r="A8189" s="7">
        <v>8188</v>
      </c>
      <c r="B8189" s="7">
        <v>1</v>
      </c>
      <c r="C8189" s="7" t="s">
        <v>10</v>
      </c>
      <c r="D8189" s="7">
        <v>10148</v>
      </c>
      <c r="E8189" s="7" t="s">
        <v>28</v>
      </c>
      <c r="F8189" s="8" t="str">
        <f ca="1">IFERROR(__xludf.DUMMYFUNCTION("IF
(
C8190=""фізична особа""
,
VLOOKUP(D8190,IMPORTRANGE(""https://docs.google.com/spreadsheets/d/14Bd19lYaqBhU8_DElYkX7l4wRkHqqCUFNJY4AfY3kHU/edit?usp=sharing  #gid=0"",""фіз особи new!relations_name""),6,FALSE)
,
(IF
(
C8190=""юридична особа""
,
VLOOKUP"&amp;"(D8190,IMPORTRANGE(""https://docs.google.com/spreadsheets/d/14Bd19lYaqBhU8_DElYkX7l4wRkHqqCUFNJY4AfY3kHU/edit?usp=sharing  #gid=0"",""фіз особи new!relations_name_uo""),7,FALSE)
,
)
))"),"АНДРЄЄВ Віталій В'ячеславович")</f>
        <v>АНДРЄЄВ Віталій В'ячеславович</v>
      </c>
      <c r="G8189" s="7" t="s">
        <v>10</v>
      </c>
      <c r="H8189" s="7">
        <v>16565</v>
      </c>
      <c r="I8189" s="8" t="str">
        <f ca="1">IFERROR(__xludf.DUMMYFUNCTION("IF
(
G8190=""фізична особа""
,
VLOOKUP(H8190,IMPORTRANGE(""https://docs.google.com/spreadsheets/d/14Bd19lYaqBhU8_DElYkX7l4wRkHqqCUFNJY4AfY3kHU/edit?usp=sharing  #gid=0"",""фіз особи new!relations_name""),6,FALSE)
,
(IF
(
G8190=""юридична особа""
,
VLOOKUP"&amp;"(H8190,IMPORTRANGE(""https://docs.google.com/spreadsheets/d/14Bd19lYaqBhU8_DElYkX7l4wRkHqqCUFNJY4AfY3kHU/edit?usp=sharing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89" s="7" t="s">
        <v>29</v>
      </c>
    </row>
    <row r="8190" spans="1:10" ht="13.2">
      <c r="A8190" s="7">
        <v>8189</v>
      </c>
      <c r="B8190" s="7">
        <v>1</v>
      </c>
      <c r="C8190" s="7" t="s">
        <v>10</v>
      </c>
      <c r="D8190" s="7">
        <v>10148</v>
      </c>
      <c r="E8190" s="7" t="s">
        <v>28</v>
      </c>
      <c r="F8190" s="8" t="str">
        <f ca="1">IFERROR(__xludf.DUMMYFUNCTION("IF
(
C8191=""фізична особа""
,
VLOOKUP(D8191,IMPORTRANGE(""https://docs.google.com/spreadsheets/d/14Bd19lYaqBhU8_DElYkX7l4wRkHqqCUFNJY4AfY3kHU/edit?usp=sharing  #gid=0"",""фіз особи new!relations_name""),6,FALSE)
,
(IF
(
C8191=""юридична особа""
,
VLOOKUP"&amp;"(D8191,IMPORTRANGE(""https://docs.google.com/spreadsheets/d/14Bd19lYaqBhU8_DElYkX7l4wRkHqqCUFNJY4AfY3kHU/edit?usp=sharing  #gid=0"",""фіз особи new!relations_name_uo""),7,FALSE)
,
)
))"),"АНДРЄЄВ Віталій В'ячеславович")</f>
        <v>АНДРЄЄВ Віталій В'ячеславович</v>
      </c>
      <c r="G8190" s="7" t="s">
        <v>10</v>
      </c>
      <c r="H8190" s="7">
        <v>1614</v>
      </c>
      <c r="I8190" s="8" t="str">
        <f ca="1">IFERROR(__xludf.DUMMYFUNCTION("IF
(
G8191=""фізична особа""
,
VLOOKUP(H8191,IMPORTRANGE(""https://docs.google.com/spreadsheets/d/14Bd19lYaqBhU8_DElYkX7l4wRkHqqCUFNJY4AfY3kHU/edit?usp=sharing  #gid=0"",""фіз особи new!relations_name""),6,FALSE)
,
(IF
(
G8191=""юридична особа""
,
VLOOKUP"&amp;"(H8191,IMPORTRANGE(""https://docs.google.com/spreadsheets/d/14Bd19lYaqBhU8_DElYkX7l4wRkHqqCUFNJY4AfY3kHU/edit?usp=sharing  #gid=0"",""фіз особи new!relations_name_uo""),7,FALSE)
,
)
))"),"КРИЛОВ Олег Валерійович")</f>
        <v>КРИЛОВ Олег Валерійович</v>
      </c>
      <c r="J8190" s="7" t="s">
        <v>29</v>
      </c>
    </row>
    <row r="8191" spans="1:10" ht="13.2">
      <c r="A8191" s="7">
        <v>8190</v>
      </c>
      <c r="B8191" s="7">
        <v>1</v>
      </c>
      <c r="C8191" s="7" t="s">
        <v>10</v>
      </c>
      <c r="D8191" s="7">
        <v>10149</v>
      </c>
      <c r="E8191" s="7" t="s">
        <v>28</v>
      </c>
      <c r="F8191" s="8" t="str">
        <f ca="1">IFERROR(__xludf.DUMMYFUNCTION("IF
(
C8192=""фізична особа""
,
VLOOKUP(D8192,IMPORTRANGE(""https://docs.google.com/spreadsheets/d/14Bd19lYaqBhU8_DElYkX7l4wRkHqqCUFNJY4AfY3kHU/edit?usp=sharing  #gid=0"",""фіз особи new!relations_name""),6,FALSE)
,
(IF
(
C8192=""юридична особа""
,
VLOOKUP"&amp;"(D8192,IMPORTRANGE(""https://docs.google.com/spreadsheets/d/14Bd19lYaqBhU8_DElYkX7l4wRkHqqCUFNJY4AfY3kHU/edit?usp=sharing  #gid=0"",""фіз особи new!relations_name_uo""),7,FALSE)
,
)
))"),"СЄДОВ Михайло Володимирович")</f>
        <v>СЄДОВ Михайло Володимирович</v>
      </c>
      <c r="G8191" s="7" t="s">
        <v>10</v>
      </c>
      <c r="H8191" s="7">
        <v>16565</v>
      </c>
      <c r="I8191" s="8" t="str">
        <f ca="1">IFERROR(__xludf.DUMMYFUNCTION("IF
(
G8192=""фізична особа""
,
VLOOKUP(H8192,IMPORTRANGE(""https://docs.google.com/spreadsheets/d/14Bd19lYaqBhU8_DElYkX7l4wRkHqqCUFNJY4AfY3kHU/edit?usp=sharing  #gid=0"",""фіз особи new!relations_name""),6,FALSE)
,
(IF
(
G8192=""юридична особа""
,
VLOOKUP"&amp;"(H8192,IMPORTRANGE(""https://docs.google.com/spreadsheets/d/14Bd19lYaqBhU8_DElYkX7l4wRkHqqCUFNJY4AfY3kHU/edit?usp=sharing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91" s="7" t="s">
        <v>29</v>
      </c>
    </row>
    <row r="8192" spans="1:10" ht="13.2">
      <c r="A8192" s="7">
        <v>8191</v>
      </c>
      <c r="B8192" s="7">
        <v>1</v>
      </c>
      <c r="C8192" s="7" t="s">
        <v>10</v>
      </c>
      <c r="D8192" s="7">
        <v>10149</v>
      </c>
      <c r="E8192" s="7" t="s">
        <v>28</v>
      </c>
      <c r="F8192" s="8" t="str">
        <f ca="1">IFERROR(__xludf.DUMMYFUNCTION("IF
(
C8193=""фізична особа""
,
VLOOKUP(D8193,IMPORTRANGE(""https://docs.google.com/spreadsheets/d/14Bd19lYaqBhU8_DElYkX7l4wRkHqqCUFNJY4AfY3kHU/edit?usp=sharing  #gid=0"",""фіз особи new!relations_name""),6,FALSE)
,
(IF
(
C8193=""юридична особа""
,
VLOOKUP"&amp;"(D8193,IMPORTRANGE(""https://docs.google.com/spreadsheets/d/14Bd19lYaqBhU8_DElYkX7l4wRkHqqCUFNJY4AfY3kHU/edit?usp=sharing  #gid=0"",""фіз особи new!relations_name_uo""),7,FALSE)
,
)
))"),"СЄДОВ Михайло Володимирович")</f>
        <v>СЄДОВ Михайло Володимирович</v>
      </c>
      <c r="G8192" s="7" t="s">
        <v>10</v>
      </c>
      <c r="H8192" s="7">
        <v>1614</v>
      </c>
      <c r="I8192" s="8" t="str">
        <f ca="1">IFERROR(__xludf.DUMMYFUNCTION("IF
(
G8193=""фізична особа""
,
VLOOKUP(H8193,IMPORTRANGE(""https://docs.google.com/spreadsheets/d/14Bd19lYaqBhU8_DElYkX7l4wRkHqqCUFNJY4AfY3kHU/edit?usp=sharing  #gid=0"",""фіз особи new!relations_name""),6,FALSE)
,
(IF
(
G8193=""юридична особа""
,
VLOOKUP"&amp;"(H8193,IMPORTRANGE(""https://docs.google.com/spreadsheets/d/14Bd19lYaqBhU8_DElYkX7l4wRkHqqCUFNJY4AfY3kHU/edit?usp=sharing  #gid=0"",""фіз особи new!relations_name_uo""),7,FALSE)
,
)
))"),"КРИЛОВ Олег Валерійович")</f>
        <v>КРИЛОВ Олег Валерійович</v>
      </c>
      <c r="J8192" s="7" t="s">
        <v>29</v>
      </c>
    </row>
    <row r="8193" spans="1:10" ht="13.2">
      <c r="A8193" s="7">
        <v>8192</v>
      </c>
      <c r="B8193" s="7">
        <v>1</v>
      </c>
      <c r="C8193" s="7" t="s">
        <v>10</v>
      </c>
      <c r="D8193" s="7">
        <v>10150</v>
      </c>
      <c r="E8193" s="7" t="s">
        <v>28</v>
      </c>
      <c r="F8193" s="8" t="str">
        <f ca="1">IFERROR(__xludf.DUMMYFUNCTION("IF
(
C8194=""фізична особа""
,
VLOOKUP(D8194,IMPORTRANGE(""https://docs.google.com/spreadsheets/d/14Bd19lYaqBhU8_DElYkX7l4wRkHqqCUFNJY4AfY3kHU/edit?usp=sharing  #gid=0"",""фіз особи new!relations_name""),6,FALSE)
,
(IF
(
C8194=""юридична особа""
,
VLOOKUP"&amp;"(D8194,IMPORTRANGE(""https://docs.google.com/spreadsheets/d/14Bd19lYaqBhU8_DElYkX7l4wRkHqqCUFNJY4AfY3kHU/edit?usp=sharing  #gid=0"",""фіз особи new!relations_name_uo""),7,FALSE)
,
)
))"),"КУР'ЯНОВ Олександр Михайлович")</f>
        <v>КУР'ЯНОВ Олександр Михайлович</v>
      </c>
      <c r="G8193" s="7" t="s">
        <v>10</v>
      </c>
      <c r="H8193" s="7">
        <v>16565</v>
      </c>
      <c r="I8193" s="8" t="str">
        <f ca="1">IFERROR(__xludf.DUMMYFUNCTION("IF
(
G8194=""фізична особа""
,
VLOOKUP(H8194,IMPORTRANGE(""https://docs.google.com/spreadsheets/d/14Bd19lYaqBhU8_DElYkX7l4wRkHqqCUFNJY4AfY3kHU/edit?usp=sharing  #gid=0"",""фіз особи new!relations_name""),6,FALSE)
,
(IF
(
G8194=""юридична особа""
,
VLOOKUP"&amp;"(H8194,IMPORTRANGE(""https://docs.google.com/spreadsheets/d/14Bd19lYaqBhU8_DElYkX7l4wRkHqqCUFNJY4AfY3kHU/edit?usp=sharing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93" s="7" t="s">
        <v>29</v>
      </c>
    </row>
    <row r="8194" spans="1:10" ht="13.2">
      <c r="A8194" s="7">
        <v>8193</v>
      </c>
      <c r="B8194" s="7">
        <v>1</v>
      </c>
      <c r="C8194" s="7" t="s">
        <v>10</v>
      </c>
      <c r="D8194" s="7">
        <v>10150</v>
      </c>
      <c r="E8194" s="7" t="s">
        <v>28</v>
      </c>
      <c r="F8194" s="8" t="str">
        <f ca="1">IFERROR(__xludf.DUMMYFUNCTION("IF
(
C8195=""фізична особа""
,
VLOOKUP(D8195,IMPORTRANGE(""https://docs.google.com/spreadsheets/d/14Bd19lYaqBhU8_DElYkX7l4wRkHqqCUFNJY4AfY3kHU/edit?usp=sharing  #gid=0"",""фіз особи new!relations_name""),6,FALSE)
,
(IF
(
C8195=""юридична особа""
,
VLOOKUP"&amp;"(D8195,IMPORTRANGE(""https://docs.google.com/spreadsheets/d/14Bd19lYaqBhU8_DElYkX7l4wRkHqqCUFNJY4AfY3kHU/edit?usp=sharing  #gid=0"",""фіз особи new!relations_name_uo""),7,FALSE)
,
)
))"),"КУР'ЯНОВ Олександр Михайлович")</f>
        <v>КУР'ЯНОВ Олександр Михайлович</v>
      </c>
      <c r="G8194" s="7" t="s">
        <v>10</v>
      </c>
      <c r="H8194" s="7">
        <v>1613</v>
      </c>
      <c r="I8194" s="8" t="str">
        <f ca="1">IFERROR(__xludf.DUMMYFUNCTION("IF
(
G8195=""фізична особа""
,
VLOOKUP(H8195,IMPORTRANGE(""https://docs.google.com/spreadsheets/d/14Bd19lYaqBhU8_DElYkX7l4wRkHqqCUFNJY4AfY3kHU/edit?usp=sharing  #gid=0"",""фіз особи new!relations_name""),6,FALSE)
,
(IF
(
G8195=""юридична особа""
,
VLOOKUP"&amp;"(H8195,IMPORTRANGE(""https://docs.google.com/spreadsheets/d/14Bd19lYaqBhU8_DElYkX7l4wRkHqqCUFNJY4AfY3kHU/edit?usp=sharing  #gid=0"",""фіз особи new!relations_name_uo""),7,FALSE)
,
)
))"),"БОБРИШЕВА Галина Володимирівна")</f>
        <v>БОБРИШЕВА Галина Володимирівна</v>
      </c>
      <c r="J8194" s="7" t="s">
        <v>29</v>
      </c>
    </row>
    <row r="8195" spans="1:10" ht="13.2">
      <c r="A8195" s="7">
        <v>8194</v>
      </c>
      <c r="B8195" s="7">
        <v>1</v>
      </c>
      <c r="C8195" s="7" t="s">
        <v>10</v>
      </c>
      <c r="D8195" s="7">
        <v>10151</v>
      </c>
      <c r="E8195" s="7" t="s">
        <v>28</v>
      </c>
      <c r="F8195" s="8" t="str">
        <f ca="1">IFERROR(__xludf.DUMMYFUNCTION("IF
(
C8196=""фізична особа""
,
VLOOKUP(D8196,IMPORTRANGE(""https://docs.google.com/spreadsheets/d/14Bd19lYaqBhU8_DElYkX7l4wRkHqqCUFNJY4AfY3kHU/edit?usp=sharing  #gid=0"",""фіз особи new!relations_name""),6,FALSE)
,
(IF
(
C8196=""юридична особа""
,
VLOOKUP"&amp;"(D8196,IMPORTRANGE(""https://docs.google.com/spreadsheets/d/14Bd19lYaqBhU8_DElYkX7l4wRkHqqCUFNJY4AfY3kHU/edit?usp=sharing  #gid=0"",""фіз особи new!relations_name_uo""),7,FALSE)
,
)
))"),"ПЕТРЕНКО Олексій Гурійович")</f>
        <v>ПЕТРЕНКО Олексій Гурійович</v>
      </c>
      <c r="G8195" s="7" t="s">
        <v>10</v>
      </c>
      <c r="H8195" s="7">
        <v>16565</v>
      </c>
      <c r="I8195" s="8" t="str">
        <f ca="1">IFERROR(__xludf.DUMMYFUNCTION("IF
(
G8196=""фізична особа""
,
VLOOKUP(H8196,IMPORTRANGE(""https://docs.google.com/spreadsheets/d/14Bd19lYaqBhU8_DElYkX7l4wRkHqqCUFNJY4AfY3kHU/edit?usp=sharing  #gid=0"",""фіз особи new!relations_name""),6,FALSE)
,
(IF
(
G8196=""юридична особа""
,
VLOOKUP"&amp;"(H8196,IMPORTRANGE(""https://docs.google.com/spreadsheets/d/14Bd19lYaqBhU8_DElYkX7l4wRkHqqCUFNJY4AfY3kHU/edit?usp=sharing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95" s="7" t="s">
        <v>29</v>
      </c>
    </row>
    <row r="8196" spans="1:10" ht="13.2">
      <c r="A8196" s="7">
        <v>8195</v>
      </c>
      <c r="B8196" s="7">
        <v>1</v>
      </c>
      <c r="C8196" s="7" t="s">
        <v>10</v>
      </c>
      <c r="D8196" s="7">
        <v>10151</v>
      </c>
      <c r="E8196" s="7" t="s">
        <v>28</v>
      </c>
      <c r="F8196" s="8" t="str">
        <f ca="1">IFERROR(__xludf.DUMMYFUNCTION("IF
(
C8197=""фізична особа""
,
VLOOKUP(D8197,IMPORTRANGE(""https://docs.google.com/spreadsheets/d/14Bd19lYaqBhU8_DElYkX7l4wRkHqqCUFNJY4AfY3kHU/edit?usp=sharing  #gid=0"",""фіз особи new!relations_name""),6,FALSE)
,
(IF
(
C8197=""юридична особа""
,
VLOOKUP"&amp;"(D8197,IMPORTRANGE(""https://docs.google.com/spreadsheets/d/14Bd19lYaqBhU8_DElYkX7l4wRkHqqCUFNJY4AfY3kHU/edit?usp=sharing  #gid=0"",""фіз особи new!relations_name_uo""),7,FALSE)
,
)
))"),"ПЕТРЕНКО Олексій Гурійович")</f>
        <v>ПЕТРЕНКО Олексій Гурійович</v>
      </c>
      <c r="G8196" s="7" t="s">
        <v>10</v>
      </c>
      <c r="H8196" s="7">
        <v>1612</v>
      </c>
      <c r="I8196" s="8" t="str">
        <f ca="1">IFERROR(__xludf.DUMMYFUNCTION("IF
(
G8197=""фізична особа""
,
VLOOKUP(H8197,IMPORTRANGE(""https://docs.google.com/spreadsheets/d/14Bd19lYaqBhU8_DElYkX7l4wRkHqqCUFNJY4AfY3kHU/edit?usp=sharing  #gid=0"",""фіз особи new!relations_name""),6,FALSE)
,
(IF
(
G8197=""юридична особа""
,
VLOOKUP"&amp;"(H8197,IMPORTRANGE(""https://docs.google.com/spreadsheets/d/14Bd19lYaqBhU8_DElYkX7l4wRkHqqCUFNJY4AfY3kHU/edit?usp=sharing  #gid=0"",""фіз особи new!relations_name_uo""),7,FALSE)
,
)
))"),"ГЛОТОВ Володимир Іванович")</f>
        <v>ГЛОТОВ Володимир Іванович</v>
      </c>
      <c r="J8196" s="7" t="s">
        <v>29</v>
      </c>
    </row>
    <row r="8197" spans="1:10" ht="13.2">
      <c r="A8197" s="7">
        <v>8196</v>
      </c>
      <c r="B8197" s="7">
        <v>1</v>
      </c>
      <c r="C8197" s="7" t="s">
        <v>10</v>
      </c>
      <c r="D8197" s="7">
        <v>10152</v>
      </c>
      <c r="E8197" s="7" t="s">
        <v>28</v>
      </c>
      <c r="F8197" s="8" t="str">
        <f ca="1">IFERROR(__xludf.DUMMYFUNCTION("IF
(
C8198=""фізична особа""
,
VLOOKUP(D8198,IMPORTRANGE(""https://docs.google.com/spreadsheets/d/14Bd19lYaqBhU8_DElYkX7l4wRkHqqCUFNJY4AfY3kHU/edit?usp=sharing  #gid=0"",""фіз особи new!relations_name""),6,FALSE)
,
(IF
(
C8198=""юридична особа""
,
VLOOKUP"&amp;"(D8198,IMPORTRANGE(""https://docs.google.com/spreadsheets/d/14Bd19lYaqBhU8_DElYkX7l4wRkHqqCUFNJY4AfY3kHU/edit?usp=sharing  #gid=0"",""фіз особи new!relations_name_uo""),7,FALSE)
,
)
))"),"ЛИСИЦИН Антон Сергійович")</f>
        <v>ЛИСИЦИН Антон Сергійович</v>
      </c>
      <c r="G8197" s="7" t="s">
        <v>10</v>
      </c>
      <c r="H8197" s="7">
        <v>16565</v>
      </c>
      <c r="I8197" s="8" t="str">
        <f ca="1">IFERROR(__xludf.DUMMYFUNCTION("IF
(
G8198=""фізична особа""
,
VLOOKUP(H8198,IMPORTRANGE(""https://docs.google.com/spreadsheets/d/14Bd19lYaqBhU8_DElYkX7l4wRkHqqCUFNJY4AfY3kHU/edit?usp=sharing  #gid=0"",""фіз особи new!relations_name""),6,FALSE)
,
(IF
(
G8198=""юридична особа""
,
VLOOKUP"&amp;"(H8198,IMPORTRANGE(""https://docs.google.com/spreadsheets/d/14Bd19lYaqBhU8_DElYkX7l4wRkHqqCUFNJY4AfY3kHU/edit?usp=sharing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197" s="7" t="s">
        <v>29</v>
      </c>
    </row>
    <row r="8198" spans="1:10" ht="13.2">
      <c r="A8198" s="7">
        <v>8197</v>
      </c>
      <c r="B8198" s="7">
        <v>1</v>
      </c>
      <c r="C8198" s="7" t="s">
        <v>10</v>
      </c>
      <c r="D8198" s="7">
        <v>10152</v>
      </c>
      <c r="E8198" s="7" t="s">
        <v>28</v>
      </c>
      <c r="F8198" s="8" t="str">
        <f ca="1">IFERROR(__xludf.DUMMYFUNCTION("IF
(
C8199=""фізична особа""
,
VLOOKUP(D8199,IMPORTRANGE(""https://docs.google.com/spreadsheets/d/14Bd19lYaqBhU8_DElYkX7l4wRkHqqCUFNJY4AfY3kHU/edit?usp=sharing  #gid=0"",""фіз особи new!relations_name""),6,FALSE)
,
(IF
(
C8199=""юридична особа""
,
VLOOKUP"&amp;"(D8199,IMPORTRANGE(""https://docs.google.com/spreadsheets/d/14Bd19lYaqBhU8_DElYkX7l4wRkHqqCUFNJY4AfY3kHU/edit?usp=sharing  #gid=0"",""фіз особи new!relations_name_uo""),7,FALSE)
,
)
))"),"ЛИСИЦИН Антон Сергійович")</f>
        <v>ЛИСИЦИН Антон Сергійович</v>
      </c>
      <c r="G8198" s="7" t="s">
        <v>10</v>
      </c>
      <c r="H8198" s="7">
        <v>1611</v>
      </c>
      <c r="I8198" s="8" t="str">
        <f ca="1">IFERROR(__xludf.DUMMYFUNCTION("IF
(
G8199=""фізична особа""
,
VLOOKUP(H8199,IMPORTRANGE(""https://docs.google.com/spreadsheets/d/14Bd19lYaqBhU8_DElYkX7l4wRkHqqCUFNJY4AfY3kHU/edit?usp=sharing  #gid=0"",""фіз особи new!relations_name""),6,FALSE)
,
(IF
(
G8199=""юридична особа""
,
VLOOKUP"&amp;"(H8199,IMPORTRANGE(""https://docs.google.com/spreadsheets/d/14Bd19lYaqBhU8_DElYkX7l4wRkHqqCUFNJY4AfY3kHU/edit?usp=sharing  #gid=0"",""фіз особи new!relations_name_uo""),7,FALSE)
,
)
))"),"КОРНЄВ Іван Олександрович")</f>
        <v>КОРНЄВ Іван Олександрович</v>
      </c>
      <c r="J8198" s="7" t="s">
        <v>29</v>
      </c>
    </row>
    <row r="8199" spans="1:10" ht="13.2">
      <c r="A8199" s="7">
        <v>8198</v>
      </c>
      <c r="B8199" s="7">
        <v>1</v>
      </c>
      <c r="C8199" s="7" t="s">
        <v>10</v>
      </c>
      <c r="D8199" s="7">
        <v>10153</v>
      </c>
      <c r="E8199" s="7" t="s">
        <v>28</v>
      </c>
      <c r="F8199" s="8" t="str">
        <f ca="1">IFERROR(__xludf.DUMMYFUNCTION("IF
(
C8200=""фізична особа""
,
VLOOKUP(D8200,IMPORTRANGE(""https://docs.google.com/spreadsheets/d/14Bd19lYaqBhU8_DElYkX7l4wRkHqqCUFNJY4AfY3kHU/edit?usp=sharing  #gid=0"",""фіз особи new!relations_name""),6,FALSE)
,
(IF
(
C8200=""юридична особа""
,
VLOOKUP"&amp;"(D8200,IMPORTRANGE(""https://docs.google.com/spreadsheets/d/14Bd19lYaqBhU8_DElYkX7l4wRkHqqCUFNJY4AfY3kHU/edit?usp=sharing  #gid=0"",""фіз особи new!relations_name_uo""),7,FALSE)
,
)
))"),"ВАСИЛЬЄВ Валерій Борисович")</f>
        <v>ВАСИЛЬЄВ Валерій Борисович</v>
      </c>
      <c r="G8199" s="7" t="s">
        <v>10</v>
      </c>
      <c r="H8199" s="7">
        <v>3020</v>
      </c>
      <c r="I8199" s="8" t="str">
        <f ca="1">IFERROR(__xludf.DUMMYFUNCTION("IF
(
G8200=""фізична особа""
,
VLOOKUP(H8200,IMPORTRANGE(""https://docs.google.com/spreadsheets/d/14Bd19lYaqBhU8_DElYkX7l4wRkHqqCUFNJY4AfY3kHU/edit?usp=sharing  #gid=0"",""фіз особи new!relations_name""),6,FALSE)
,
(IF
(
G8200=""юридична особа""
,
VLOOKUP"&amp;"(H8200,IMPORTRANGE(""https://docs.google.com/spreadsheets/d/14Bd19lYaqBhU8_DElYkX7l4wRkHqqCUFNJY4AfY3kHU/edit?usp=sharing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199" s="7" t="s">
        <v>29</v>
      </c>
    </row>
    <row r="8200" spans="1:10" ht="13.2">
      <c r="A8200" s="7">
        <v>8199</v>
      </c>
      <c r="B8200" s="7">
        <v>1</v>
      </c>
      <c r="C8200" s="7" t="s">
        <v>10</v>
      </c>
      <c r="D8200" s="7">
        <v>10154</v>
      </c>
      <c r="E8200" s="7" t="s">
        <v>28</v>
      </c>
      <c r="F8200" s="8" t="str">
        <f ca="1">IFERROR(__xludf.DUMMYFUNCTION("IF
(
C8201=""фізична особа""
,
VLOOKUP(D8201,IMPORTRANGE(""https://docs.google.com/spreadsheets/d/14Bd19lYaqBhU8_DElYkX7l4wRkHqqCUFNJY4AfY3kHU/edit?usp=sharing  #gid=0"",""фіз особи new!relations_name""),6,FALSE)
,
(IF
(
C8201=""юридична особа""
,
VLOOKUP"&amp;"(D8201,IMPORTRANGE(""https://docs.google.com/spreadsheets/d/14Bd19lYaqBhU8_DElYkX7l4wRkHqqCUFNJY4AfY3kHU/edit?usp=sharing  #gid=0"",""фіз особи new!relations_name_uo""),7,FALSE)
,
)
))"),"КОЛМАКОВ Віталій Борисович")</f>
        <v>КОЛМАКОВ Віталій Борисович</v>
      </c>
      <c r="G8200" s="7" t="s">
        <v>10</v>
      </c>
      <c r="H8200" s="7">
        <v>3020</v>
      </c>
      <c r="I8200" s="8" t="str">
        <f ca="1">IFERROR(__xludf.DUMMYFUNCTION("IF
(
G8201=""фізична особа""
,
VLOOKUP(H8201,IMPORTRANGE(""https://docs.google.com/spreadsheets/d/14Bd19lYaqBhU8_DElYkX7l4wRkHqqCUFNJY4AfY3kHU/edit?usp=sharing  #gid=0"",""фіз особи new!relations_name""),6,FALSE)
,
(IF
(
G8201=""юридична особа""
,
VLOOKUP"&amp;"(H8201,IMPORTRANGE(""https://docs.google.com/spreadsheets/d/14Bd19lYaqBhU8_DElYkX7l4wRkHqqCUFNJY4AfY3kHU/edit?usp=sharing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0" s="7" t="s">
        <v>29</v>
      </c>
    </row>
    <row r="8201" spans="1:10" ht="13.2">
      <c r="A8201" s="7">
        <v>8200</v>
      </c>
      <c r="B8201" s="7">
        <v>1</v>
      </c>
      <c r="C8201" s="7" t="s">
        <v>10</v>
      </c>
      <c r="D8201" s="7">
        <v>10155</v>
      </c>
      <c r="E8201" s="7" t="s">
        <v>28</v>
      </c>
      <c r="F8201" s="8" t="str">
        <f ca="1">IFERROR(__xludf.DUMMYFUNCTION("IF
(
C8202=""фізична особа""
,
VLOOKUP(D8202,IMPORTRANGE(""https://docs.google.com/spreadsheets/d/14Bd19lYaqBhU8_DElYkX7l4wRkHqqCUFNJY4AfY3kHU/edit?usp=sharing  #gid=0"",""фіз особи new!relations_name""),6,FALSE)
,
(IF
(
C8202=""юридична особа""
,
VLOOKUP"&amp;"(D8202,IMPORTRANGE(""https://docs.google.com/spreadsheets/d/14Bd19lYaqBhU8_DElYkX7l4wRkHqqCUFNJY4AfY3kHU/edit?usp=sharing  #gid=0"",""фіз особи new!relations_name_uo""),7,FALSE)
,
)
))"),"ВОРОНІН Олексій Сергійович")</f>
        <v>ВОРОНІН Олексій Сергійович</v>
      </c>
      <c r="G8201" s="7" t="s">
        <v>10</v>
      </c>
      <c r="H8201" s="7">
        <v>3020</v>
      </c>
      <c r="I8201" s="8" t="str">
        <f ca="1">IFERROR(__xludf.DUMMYFUNCTION("IF
(
G8202=""фізична особа""
,
VLOOKUP(H8202,IMPORTRANGE(""https://docs.google.com/spreadsheets/d/14Bd19lYaqBhU8_DElYkX7l4wRkHqqCUFNJY4AfY3kHU/edit?usp=sharing  #gid=0"",""фіз особи new!relations_name""),6,FALSE)
,
(IF
(
G8202=""юридична особа""
,
VLOOKUP"&amp;"(H8202,IMPORTRANGE(""https://docs.google.com/spreadsheets/d/14Bd19lYaqBhU8_DElYkX7l4wRkHqqCUFNJY4AfY3kHU/edit?usp=sharing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1" s="7" t="s">
        <v>29</v>
      </c>
    </row>
    <row r="8202" spans="1:10" ht="13.2">
      <c r="A8202" s="7">
        <v>8201</v>
      </c>
      <c r="B8202" s="7">
        <v>1</v>
      </c>
      <c r="C8202" s="7" t="s">
        <v>10</v>
      </c>
      <c r="D8202" s="7">
        <v>10156</v>
      </c>
      <c r="E8202" s="7" t="s">
        <v>28</v>
      </c>
      <c r="F8202" s="8" t="str">
        <f ca="1">IFERROR(__xludf.DUMMYFUNCTION("IF
(
C8203=""фізична особа""
,
VLOOKUP(D8203,IMPORTRANGE(""https://docs.google.com/spreadsheets/d/14Bd19lYaqBhU8_DElYkX7l4wRkHqqCUFNJY4AfY3kHU/edit?usp=sharing  #gid=0"",""фіз особи new!relations_name""),6,FALSE)
,
(IF
(
C8203=""юридична особа""
,
VLOOKUP"&amp;"(D8203,IMPORTRANGE(""https://docs.google.com/spreadsheets/d/14Bd19lYaqBhU8_DElYkX7l4wRkHqqCUFNJY4AfY3kHU/edit?usp=sharing  #gid=0"",""фіз особи new!relations_name_uo""),7,FALSE)
,
)
))"),"КУЗНЄЦОВА Оксана Миколаївна")</f>
        <v>КУЗНЄЦОВА Оксана Миколаївна</v>
      </c>
      <c r="G8202" s="7" t="s">
        <v>10</v>
      </c>
      <c r="H8202" s="7">
        <v>3020</v>
      </c>
      <c r="I8202" s="8" t="str">
        <f ca="1">IFERROR(__xludf.DUMMYFUNCTION("IF
(
G8203=""фізична особа""
,
VLOOKUP(H8203,IMPORTRANGE(""https://docs.google.com/spreadsheets/d/14Bd19lYaqBhU8_DElYkX7l4wRkHqqCUFNJY4AfY3kHU/edit?usp=sharing  #gid=0"",""фіз особи new!relations_name""),6,FALSE)
,
(IF
(
G8203=""юридична особа""
,
VLOOKUP"&amp;"(H8203,IMPORTRANGE(""https://docs.google.com/spreadsheets/d/14Bd19lYaqBhU8_DElYkX7l4wRkHqqCUFNJY4AfY3kHU/edit?usp=sharing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2" s="7" t="s">
        <v>29</v>
      </c>
    </row>
    <row r="8203" spans="1:10" ht="13.2">
      <c r="A8203" s="7">
        <v>8202</v>
      </c>
      <c r="B8203" s="7">
        <v>1</v>
      </c>
      <c r="C8203" s="7" t="s">
        <v>10</v>
      </c>
      <c r="D8203" s="7">
        <v>10157</v>
      </c>
      <c r="E8203" s="7" t="s">
        <v>28</v>
      </c>
      <c r="F8203" s="8" t="str">
        <f ca="1">IFERROR(__xludf.DUMMYFUNCTION("IF
(
C8204=""фізична особа""
,
VLOOKUP(D8204,IMPORTRANGE(""https://docs.google.com/spreadsheets/d/14Bd19lYaqBhU8_DElYkX7l4wRkHqqCUFNJY4AfY3kHU/edit?usp=sharing  #gid=0"",""фіз особи new!relations_name""),6,FALSE)
,
(IF
(
C8204=""юридична особа""
,
VLOOKUP"&amp;"(D8204,IMPORTRANGE(""https://docs.google.com/spreadsheets/d/14Bd19lYaqBhU8_DElYkX7l4wRkHqqCUFNJY4AfY3kHU/edit?usp=sharing  #gid=0"",""фіз особи new!relations_name_uo""),7,FALSE)
,
)
))"),"МАТЯШЕВСЬКА Мар'яна Ігорівна")</f>
        <v>МАТЯШЕВСЬКА Мар'яна Ігорівна</v>
      </c>
      <c r="G8203" s="7" t="s">
        <v>10</v>
      </c>
      <c r="H8203" s="7">
        <v>3020</v>
      </c>
      <c r="I8203" s="8" t="str">
        <f ca="1">IFERROR(__xludf.DUMMYFUNCTION("IF
(
G8204=""фізична особа""
,
VLOOKUP(H8204,IMPORTRANGE(""https://docs.google.com/spreadsheets/d/14Bd19lYaqBhU8_DElYkX7l4wRkHqqCUFNJY4AfY3kHU/edit?usp=sharing  #gid=0"",""фіз особи new!relations_name""),6,FALSE)
,
(IF
(
G8204=""юридична особа""
,
VLOOKUP"&amp;"(H8204,IMPORTRANGE(""https://docs.google.com/spreadsheets/d/14Bd19lYaqBhU8_DElYkX7l4wRkHqqCUFNJY4AfY3kHU/edit?usp=sharing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3" s="7" t="s">
        <v>29</v>
      </c>
    </row>
    <row r="8204" spans="1:10" ht="13.2">
      <c r="A8204" s="7">
        <v>8203</v>
      </c>
      <c r="B8204" s="7">
        <v>1</v>
      </c>
      <c r="C8204" s="7" t="s">
        <v>10</v>
      </c>
      <c r="D8204" s="7">
        <v>10158</v>
      </c>
      <c r="E8204" s="7" t="s">
        <v>28</v>
      </c>
      <c r="F8204" s="8" t="str">
        <f ca="1">IFERROR(__xludf.DUMMYFUNCTION("IF
(
C8205=""фізична особа""
,
VLOOKUP(D8205,IMPORTRANGE(""https://docs.google.com/spreadsheets/d/14Bd19lYaqBhU8_DElYkX7l4wRkHqqCUFNJY4AfY3kHU/edit?usp=sharing  #gid=0"",""фіз особи new!relations_name""),6,FALSE)
,
(IF
(
C8205=""юридична особа""
,
VLOOKUP"&amp;"(D8205,IMPORTRANGE(""https://docs.google.com/spreadsheets/d/14Bd19lYaqBhU8_DElYkX7l4wRkHqqCUFNJY4AfY3kHU/edit?usp=sharing  #gid=0"",""фіз особи new!relations_name_uo""),7,FALSE)
,
)
))"),"БАБІКОВА Марія Сергіївна")</f>
        <v>БАБІКОВА Марія Сергіївна</v>
      </c>
      <c r="G8204" s="7" t="s">
        <v>10</v>
      </c>
      <c r="H8204" s="7">
        <v>3020</v>
      </c>
      <c r="I8204" s="8" t="str">
        <f ca="1">IFERROR(__xludf.DUMMYFUNCTION("IF
(
G8205=""фізична особа""
,
VLOOKUP(H8205,IMPORTRANGE(""https://docs.google.com/spreadsheets/d/14Bd19lYaqBhU8_DElYkX7l4wRkHqqCUFNJY4AfY3kHU/edit?usp=sharing  #gid=0"",""фіз особи new!relations_name""),6,FALSE)
,
(IF
(
G8205=""юридична особа""
,
VLOOKUP"&amp;"(H8205,IMPORTRANGE(""https://docs.google.com/spreadsheets/d/14Bd19lYaqBhU8_DElYkX7l4wRkHqqCUFNJY4AfY3kHU/edit?usp=sharing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4" s="7" t="s">
        <v>29</v>
      </c>
    </row>
    <row r="8205" spans="1:10" ht="13.2">
      <c r="A8205" s="7">
        <v>8204</v>
      </c>
      <c r="B8205" s="7">
        <v>1</v>
      </c>
      <c r="C8205" s="7" t="s">
        <v>10</v>
      </c>
      <c r="D8205" s="7">
        <v>10159</v>
      </c>
      <c r="E8205" s="7" t="s">
        <v>28</v>
      </c>
      <c r="F8205" s="8" t="str">
        <f ca="1">IFERROR(__xludf.DUMMYFUNCTION("IF
(
C8206=""фізична особа""
,
VLOOKUP(D8206,IMPORTRANGE(""https://docs.google.com/spreadsheets/d/14Bd19lYaqBhU8_DElYkX7l4wRkHqqCUFNJY4AfY3kHU/edit?usp=sharing  #gid=0"",""фіз особи new!relations_name""),6,FALSE)
,
(IF
(
C8206=""юридична особа""
,
VLOOKUP"&amp;"(D8206,IMPORTRANGE(""https://docs.google.com/spreadsheets/d/14Bd19lYaqBhU8_DElYkX7l4wRkHqqCUFNJY4AfY3kHU/edit?usp=sharing  #gid=0"",""фіз особи new!relations_name_uo""),7,FALSE)
,
)
))"),"БЄЛОУСОВА Катерина Вікторівна")</f>
        <v>БЄЛОУСОВА Катерина Вікторівна</v>
      </c>
      <c r="G8205" s="7" t="s">
        <v>10</v>
      </c>
      <c r="H8205" s="7">
        <v>3020</v>
      </c>
      <c r="I8205" s="8" t="str">
        <f ca="1">IFERROR(__xludf.DUMMYFUNCTION("IF
(
G8206=""фізична особа""
,
VLOOKUP(H8206,IMPORTRANGE(""https://docs.google.com/spreadsheets/d/14Bd19lYaqBhU8_DElYkX7l4wRkHqqCUFNJY4AfY3kHU/edit?usp=sharing  #gid=0"",""фіз особи new!relations_name""),6,FALSE)
,
(IF
(
G8206=""юридична особа""
,
VLOOKUP"&amp;"(H8206,IMPORTRANGE(""https://docs.google.com/spreadsheets/d/14Bd19lYaqBhU8_DElYkX7l4wRkHqqCUFNJY4AfY3kHU/edit?usp=sharing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5" s="7" t="s">
        <v>29</v>
      </c>
    </row>
    <row r="8206" spans="1:10" ht="13.2">
      <c r="A8206" s="7">
        <v>8205</v>
      </c>
      <c r="B8206" s="7">
        <v>1</v>
      </c>
      <c r="C8206" s="7" t="s">
        <v>10</v>
      </c>
      <c r="D8206" s="7">
        <v>10160</v>
      </c>
      <c r="E8206" s="7" t="s">
        <v>28</v>
      </c>
      <c r="F8206" s="8" t="str">
        <f ca="1">IFERROR(__xludf.DUMMYFUNCTION("IF
(
C8207=""фізична особа""
,
VLOOKUP(D8207,IMPORTRANGE(""https://docs.google.com/spreadsheets/d/14Bd19lYaqBhU8_DElYkX7l4wRkHqqCUFNJY4AfY3kHU/edit?usp=sharing  #gid=0"",""фіз особи new!relations_name""),6,FALSE)
,
(IF
(
C8207=""юридична особа""
,
VLOOKUP"&amp;"(D8207,IMPORTRANGE(""https://docs.google.com/spreadsheets/d/14Bd19lYaqBhU8_DElYkX7l4wRkHqqCUFNJY4AfY3kHU/edit?usp=sharing  #gid=0"",""фіз особи new!relations_name_uo""),7,FALSE)
,
)
))"),"РАДІОНОВ Григорій Геннадійович")</f>
        <v>РАДІОНОВ Григорій Геннадійович</v>
      </c>
      <c r="G8206" s="7" t="s">
        <v>10</v>
      </c>
      <c r="H8206" s="7">
        <v>3020</v>
      </c>
      <c r="I8206" s="8" t="str">
        <f ca="1">IFERROR(__xludf.DUMMYFUNCTION("IF
(
G8207=""фізична особа""
,
VLOOKUP(H8207,IMPORTRANGE(""https://docs.google.com/spreadsheets/d/14Bd19lYaqBhU8_DElYkX7l4wRkHqqCUFNJY4AfY3kHU/edit?usp=sharing  #gid=0"",""фіз особи new!relations_name""),6,FALSE)
,
(IF
(
G8207=""юридична особа""
,
VLOOKUP"&amp;"(H8207,IMPORTRANGE(""https://docs.google.com/spreadsheets/d/14Bd19lYaqBhU8_DElYkX7l4wRkHqqCUFNJY4AfY3kHU/edit?usp=sharing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6" s="7" t="s">
        <v>29</v>
      </c>
    </row>
    <row r="8207" spans="1:10" ht="13.2">
      <c r="A8207" s="7">
        <v>8206</v>
      </c>
      <c r="B8207" s="7">
        <v>1</v>
      </c>
      <c r="C8207" s="7" t="s">
        <v>10</v>
      </c>
      <c r="D8207" s="7">
        <v>10161</v>
      </c>
      <c r="E8207" s="7" t="s">
        <v>28</v>
      </c>
      <c r="F8207" s="8" t="str">
        <f ca="1">IFERROR(__xludf.DUMMYFUNCTION("IF
(
C8208=""фізична особа""
,
VLOOKUP(D8208,IMPORTRANGE(""https://docs.google.com/spreadsheets/d/14Bd19lYaqBhU8_DElYkX7l4wRkHqqCUFNJY4AfY3kHU/edit?usp=sharing  #gid=0"",""фіз особи new!relations_name""),6,FALSE)
,
(IF
(
C8208=""юридична особа""
,
VLOOKUP"&amp;"(D8208,IMPORTRANGE(""https://docs.google.com/spreadsheets/d/14Bd19lYaqBhU8_DElYkX7l4wRkHqqCUFNJY4AfY3kHU/edit?usp=sharing  #gid=0"",""фіз особи new!relations_name_uo""),7,FALSE)
,
)
))"),"САЛІМЗЯНОВ Булат Ільдарович")</f>
        <v>САЛІМЗЯНОВ Булат Ільдарович</v>
      </c>
      <c r="G8207" s="7" t="s">
        <v>10</v>
      </c>
      <c r="H8207" s="7">
        <v>3020</v>
      </c>
      <c r="I8207" s="8" t="str">
        <f ca="1">IFERROR(__xludf.DUMMYFUNCTION("IF
(
G8208=""фізична особа""
,
VLOOKUP(H8208,IMPORTRANGE(""https://docs.google.com/spreadsheets/d/14Bd19lYaqBhU8_DElYkX7l4wRkHqqCUFNJY4AfY3kHU/edit?usp=sharing  #gid=0"",""фіз особи new!relations_name""),6,FALSE)
,
(IF
(
G8208=""юридична особа""
,
VLOOKUP"&amp;"(H8208,IMPORTRANGE(""https://docs.google.com/spreadsheets/d/14Bd19lYaqBhU8_DElYkX7l4wRkHqqCUFNJY4AfY3kHU/edit?usp=sharing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7" s="7" t="s">
        <v>29</v>
      </c>
    </row>
    <row r="8208" spans="1:10" ht="13.2">
      <c r="A8208" s="7">
        <v>8207</v>
      </c>
      <c r="B8208" s="7">
        <v>1</v>
      </c>
      <c r="C8208" s="7" t="s">
        <v>10</v>
      </c>
      <c r="D8208" s="7">
        <v>10162</v>
      </c>
      <c r="E8208" s="7" t="s">
        <v>28</v>
      </c>
      <c r="F8208" s="8" t="str">
        <f ca="1">IFERROR(__xludf.DUMMYFUNCTION("IF
(
C8209=""фізична особа""
,
VLOOKUP(D8209,IMPORTRANGE(""https://docs.google.com/spreadsheets/d/14Bd19lYaqBhU8_DElYkX7l4wRkHqqCUFNJY4AfY3kHU/edit?usp=sharing  #gid=0"",""фіз особи new!relations_name""),6,FALSE)
,
(IF
(
C8209=""юридична особа""
,
VLOOKUP"&amp;"(D8209,IMPORTRANGE(""https://docs.google.com/spreadsheets/d/14Bd19lYaqBhU8_DElYkX7l4wRkHqqCUFNJY4AfY3kHU/edit?usp=sharing  #gid=0"",""фіз особи new!relations_name_uo""),7,FALSE)
,
)
))"),"ЄВДОКИМОВ Іван Олександрович")</f>
        <v>ЄВДОКИМОВ Іван Олександрович</v>
      </c>
      <c r="G8208" s="7" t="s">
        <v>10</v>
      </c>
      <c r="H8208" s="7">
        <v>2942</v>
      </c>
      <c r="I8208" s="8" t="str">
        <f ca="1">IFERROR(__xludf.DUMMYFUNCTION("IF
(
G8209=""фізична особа""
,
VLOOKUP(H8209,IMPORTRANGE(""https://docs.google.com/spreadsheets/d/14Bd19lYaqBhU8_DElYkX7l4wRkHqqCUFNJY4AfY3kHU/edit?usp=sharing  #gid=0"",""фіз особи new!relations_name""),6,FALSE)
,
(IF
(
G8209=""юридична особа""
,
VLOOKUP"&amp;"(H8209,IMPORTRANGE(""https://docs.google.com/spreadsheets/d/14Bd19lYaqBhU8_DElYkX7l4wRkHqqCUFNJY4AfY3kHU/edit?usp=sharing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08" s="7" t="s">
        <v>29</v>
      </c>
    </row>
    <row r="8209" spans="1:10" ht="13.2">
      <c r="A8209" s="7">
        <v>8208</v>
      </c>
      <c r="B8209" s="7">
        <v>1</v>
      </c>
      <c r="C8209" s="7" t="s">
        <v>10</v>
      </c>
      <c r="D8209" s="7">
        <v>10163</v>
      </c>
      <c r="E8209" s="7" t="s">
        <v>28</v>
      </c>
      <c r="F8209" s="8" t="str">
        <f ca="1">IFERROR(__xludf.DUMMYFUNCTION("IF
(
C8210=""фізична особа""
,
VLOOKUP(D8210,IMPORTRANGE(""https://docs.google.com/spreadsheets/d/14Bd19lYaqBhU8_DElYkX7l4wRkHqqCUFNJY4AfY3kHU/edit?usp=sharing  #gid=0"",""фіз особи new!relations_name""),6,FALSE)
,
(IF
(
C8210=""юридична особа""
,
VLOOKUP"&amp;"(D8210,IMPORTRANGE(""https://docs.google.com/spreadsheets/d/14Bd19lYaqBhU8_DElYkX7l4wRkHqqCUFNJY4AfY3kHU/edit?usp=sharing  #gid=0"",""фіз особи new!relations_name_uo""),7,FALSE)
,
)
))"),"ВЯСЕЛЬОВА Аділя Іскандерівна")</f>
        <v>ВЯСЕЛЬОВА Аділя Іскандерівна</v>
      </c>
      <c r="G8209" s="7" t="s">
        <v>10</v>
      </c>
      <c r="H8209" s="7">
        <v>3020</v>
      </c>
      <c r="I8209" s="8" t="str">
        <f ca="1">IFERROR(__xludf.DUMMYFUNCTION("IF
(
G8210=""фізична особа""
,
VLOOKUP(H8210,IMPORTRANGE(""https://docs.google.com/spreadsheets/d/14Bd19lYaqBhU8_DElYkX7l4wRkHqqCUFNJY4AfY3kHU/edit?usp=sharing  #gid=0"",""фіз особи new!relations_name""),6,FALSE)
,
(IF
(
G8210=""юридична особа""
,
VLOOKUP"&amp;"(H8210,IMPORTRANGE(""https://docs.google.com/spreadsheets/d/14Bd19lYaqBhU8_DElYkX7l4wRkHqqCUFNJY4AfY3kHU/edit?usp=sharing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09" s="7" t="s">
        <v>29</v>
      </c>
    </row>
    <row r="8210" spans="1:10" ht="13.2">
      <c r="A8210" s="7">
        <v>8209</v>
      </c>
      <c r="B8210" s="7">
        <v>1</v>
      </c>
      <c r="C8210" s="7" t="s">
        <v>10</v>
      </c>
      <c r="D8210" s="7">
        <v>10164</v>
      </c>
      <c r="E8210" s="7" t="s">
        <v>28</v>
      </c>
      <c r="F8210" s="8" t="str">
        <f ca="1">IFERROR(__xludf.DUMMYFUNCTION("IF
(
C8211=""фізична особа""
,
VLOOKUP(D8211,IMPORTRANGE(""https://docs.google.com/spreadsheets/d/14Bd19lYaqBhU8_DElYkX7l4wRkHqqCUFNJY4AfY3kHU/edit?usp=sharing  #gid=0"",""фіз особи new!relations_name""),6,FALSE)
,
(IF
(
C8211=""юридична особа""
,
VLOOKUP"&amp;"(D8211,IMPORTRANGE(""https://docs.google.com/spreadsheets/d/14Bd19lYaqBhU8_DElYkX7l4wRkHqqCUFNJY4AfY3kHU/edit?usp=sharing  #gid=0"",""фіз особи new!relations_name_uo""),7,FALSE)
,
)
))"),"ГОРБАЧЕВА Ольга Вікторівна")</f>
        <v>ГОРБАЧЕВА Ольга Вікторівна</v>
      </c>
      <c r="G8210" s="7" t="s">
        <v>10</v>
      </c>
      <c r="H8210" s="7">
        <v>3020</v>
      </c>
      <c r="I8210" s="8" t="str">
        <f ca="1">IFERROR(__xludf.DUMMYFUNCTION("IF
(
G8211=""фізична особа""
,
VLOOKUP(H8211,IMPORTRANGE(""https://docs.google.com/spreadsheets/d/14Bd19lYaqBhU8_DElYkX7l4wRkHqqCUFNJY4AfY3kHU/edit?usp=sharing  #gid=0"",""фіз особи new!relations_name""),6,FALSE)
,
(IF
(
G8211=""юридична особа""
,
VLOOKUP"&amp;"(H8211,IMPORTRANGE(""https://docs.google.com/spreadsheets/d/14Bd19lYaqBhU8_DElYkX7l4wRkHqqCUFNJY4AfY3kHU/edit?usp=sharing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0" s="7" t="s">
        <v>29</v>
      </c>
    </row>
    <row r="8211" spans="1:10" ht="13.2">
      <c r="A8211" s="7">
        <v>8210</v>
      </c>
      <c r="B8211" s="7">
        <v>1</v>
      </c>
      <c r="C8211" s="7" t="s">
        <v>10</v>
      </c>
      <c r="D8211" s="7">
        <v>10165</v>
      </c>
      <c r="E8211" s="7" t="s">
        <v>28</v>
      </c>
      <c r="F8211" s="8" t="str">
        <f ca="1">IFERROR(__xludf.DUMMYFUNCTION("IF
(
C8212=""фізична особа""
,
VLOOKUP(D8212,IMPORTRANGE(""https://docs.google.com/spreadsheets/d/14Bd19lYaqBhU8_DElYkX7l4wRkHqqCUFNJY4AfY3kHU/edit?usp=sharing  #gid=0"",""фіз особи new!relations_name""),6,FALSE)
,
(IF
(
C8212=""юридична особа""
,
VLOOKUP"&amp;"(D8212,IMPORTRANGE(""https://docs.google.com/spreadsheets/d/14Bd19lYaqBhU8_DElYkX7l4wRkHqqCUFNJY4AfY3kHU/edit?usp=sharing  #gid=0"",""фіз особи new!relations_name_uo""),7,FALSE)
,
)
))"),"ЗАЄВА Олена Олександрівна")</f>
        <v>ЗАЄВА Олена Олександрівна</v>
      </c>
      <c r="G8211" s="7" t="s">
        <v>10</v>
      </c>
      <c r="H8211" s="7">
        <v>3020</v>
      </c>
      <c r="I8211" s="8" t="str">
        <f ca="1">IFERROR(__xludf.DUMMYFUNCTION("IF
(
G8212=""фізична особа""
,
VLOOKUP(H8212,IMPORTRANGE(""https://docs.google.com/spreadsheets/d/14Bd19lYaqBhU8_DElYkX7l4wRkHqqCUFNJY4AfY3kHU/edit?usp=sharing  #gid=0"",""фіз особи new!relations_name""),6,FALSE)
,
(IF
(
G8212=""юридична особа""
,
VLOOKUP"&amp;"(H8212,IMPORTRANGE(""https://docs.google.com/spreadsheets/d/14Bd19lYaqBhU8_DElYkX7l4wRkHqqCUFNJY4AfY3kHU/edit?usp=sharing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1" s="7" t="s">
        <v>29</v>
      </c>
    </row>
    <row r="8212" spans="1:10" ht="13.2">
      <c r="A8212" s="7">
        <v>8211</v>
      </c>
      <c r="B8212" s="7">
        <v>1</v>
      </c>
      <c r="C8212" s="7" t="s">
        <v>10</v>
      </c>
      <c r="D8212" s="7">
        <v>10166</v>
      </c>
      <c r="E8212" s="7" t="s">
        <v>28</v>
      </c>
      <c r="F8212" s="8" t="str">
        <f ca="1">IFERROR(__xludf.DUMMYFUNCTION("IF
(
C8213=""фізична особа""
,
VLOOKUP(D8213,IMPORTRANGE(""https://docs.google.com/spreadsheets/d/14Bd19lYaqBhU8_DElYkX7l4wRkHqqCUFNJY4AfY3kHU/edit?usp=sharing  #gid=0"",""фіз особи new!relations_name""),6,FALSE)
,
(IF
(
C8213=""юридична особа""
,
VLOOKUP"&amp;"(D8213,IMPORTRANGE(""https://docs.google.com/spreadsheets/d/14Bd19lYaqBhU8_DElYkX7l4wRkHqqCUFNJY4AfY3kHU/edit?usp=sharing  #gid=0"",""фіз особи new!relations_name_uo""),7,FALSE)
,
)
))"),"СЕРГЄЄВА Ольга Сергіївна")</f>
        <v>СЕРГЄЄВА Ольга Сергіївна</v>
      </c>
      <c r="G8212" s="7" t="s">
        <v>10</v>
      </c>
      <c r="H8212" s="7">
        <v>3020</v>
      </c>
      <c r="I8212" s="8" t="str">
        <f ca="1">IFERROR(__xludf.DUMMYFUNCTION("IF
(
G8213=""фізична особа""
,
VLOOKUP(H8213,IMPORTRANGE(""https://docs.google.com/spreadsheets/d/14Bd19lYaqBhU8_DElYkX7l4wRkHqqCUFNJY4AfY3kHU/edit?usp=sharing  #gid=0"",""фіз особи new!relations_name""),6,FALSE)
,
(IF
(
G8213=""юридична особа""
,
VLOOKUP"&amp;"(H8213,IMPORTRANGE(""https://docs.google.com/spreadsheets/d/14Bd19lYaqBhU8_DElYkX7l4wRkHqqCUFNJY4AfY3kHU/edit?usp=sharing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2" s="7" t="s">
        <v>29</v>
      </c>
    </row>
    <row r="8213" spans="1:10" ht="13.2">
      <c r="A8213" s="7">
        <v>8212</v>
      </c>
      <c r="B8213" s="7">
        <v>1</v>
      </c>
      <c r="C8213" s="7" t="s">
        <v>10</v>
      </c>
      <c r="D8213" s="7">
        <v>10167</v>
      </c>
      <c r="E8213" s="7" t="s">
        <v>28</v>
      </c>
      <c r="F8213" s="8" t="str">
        <f ca="1">IFERROR(__xludf.DUMMYFUNCTION("IF
(
C8214=""фізична особа""
,
VLOOKUP(D8214,IMPORTRANGE(""https://docs.google.com/spreadsheets/d/14Bd19lYaqBhU8_DElYkX7l4wRkHqqCUFNJY4AfY3kHU/edit?usp=sharing  #gid=0"",""фіз особи new!relations_name""),6,FALSE)
,
(IF
(
C8214=""юридична особа""
,
VLOOKUP"&amp;"(D8214,IMPORTRANGE(""https://docs.google.com/spreadsheets/d/14Bd19lYaqBhU8_DElYkX7l4wRkHqqCUFNJY4AfY3kHU/edit?usp=sharing  #gid=0"",""фіз особи new!relations_name_uo""),7,FALSE)
,
)
))"),"ТЕСЛЕНКО Антон Вікторович")</f>
        <v>ТЕСЛЕНКО Антон Вікторович</v>
      </c>
      <c r="G8213" s="7" t="s">
        <v>10</v>
      </c>
      <c r="H8213" s="7">
        <v>3020</v>
      </c>
      <c r="I8213" s="8" t="str">
        <f ca="1">IFERROR(__xludf.DUMMYFUNCTION("IF
(
G8214=""фізична особа""
,
VLOOKUP(H8214,IMPORTRANGE(""https://docs.google.com/spreadsheets/d/14Bd19lYaqBhU8_DElYkX7l4wRkHqqCUFNJY4AfY3kHU/edit?usp=sharing  #gid=0"",""фіз особи new!relations_name""),6,FALSE)
,
(IF
(
G8214=""юридична особа""
,
VLOOKUP"&amp;"(H8214,IMPORTRANGE(""https://docs.google.com/spreadsheets/d/14Bd19lYaqBhU8_DElYkX7l4wRkHqqCUFNJY4AfY3kHU/edit?usp=sharing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3" s="7" t="s">
        <v>29</v>
      </c>
    </row>
    <row r="8214" spans="1:10" ht="13.2">
      <c r="A8214" s="7">
        <v>8213</v>
      </c>
      <c r="B8214" s="7">
        <v>1</v>
      </c>
      <c r="C8214" s="7" t="s">
        <v>10</v>
      </c>
      <c r="D8214" s="7">
        <v>10168</v>
      </c>
      <c r="E8214" s="7" t="s">
        <v>28</v>
      </c>
      <c r="F8214" s="8" t="str">
        <f ca="1">IFERROR(__xludf.DUMMYFUNCTION("IF
(
C8215=""фізична особа""
,
VLOOKUP(D8215,IMPORTRANGE(""https://docs.google.com/spreadsheets/d/14Bd19lYaqBhU8_DElYkX7l4wRkHqqCUFNJY4AfY3kHU/edit?usp=sharing  #gid=0"",""фіз особи new!relations_name""),6,FALSE)
,
(IF
(
C8215=""юридична особа""
,
VLOOKUP"&amp;"(D8215,IMPORTRANGE(""https://docs.google.com/spreadsheets/d/14Bd19lYaqBhU8_DElYkX7l4wRkHqqCUFNJY4AfY3kHU/edit?usp=sharing  #gid=0"",""фіз особи new!relations_name_uo""),7,FALSE)
,
)
))"),"ВАСИЛЬЄВ Дмитро Андрійович")</f>
        <v>ВАСИЛЬЄВ Дмитро Андрійович</v>
      </c>
      <c r="G8214" s="7" t="s">
        <v>10</v>
      </c>
      <c r="H8214" s="7">
        <v>3020</v>
      </c>
      <c r="I8214" s="8" t="str">
        <f ca="1">IFERROR(__xludf.DUMMYFUNCTION("IF
(
G8215=""фізична особа""
,
VLOOKUP(H8215,IMPORTRANGE(""https://docs.google.com/spreadsheets/d/14Bd19lYaqBhU8_DElYkX7l4wRkHqqCUFNJY4AfY3kHU/edit?usp=sharing  #gid=0"",""фіз особи new!relations_name""),6,FALSE)
,
(IF
(
G8215=""юридична особа""
,
VLOOKUP"&amp;"(H8215,IMPORTRANGE(""https://docs.google.com/spreadsheets/d/14Bd19lYaqBhU8_DElYkX7l4wRkHqqCUFNJY4AfY3kHU/edit?usp=sharing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4" s="7" t="s">
        <v>29</v>
      </c>
    </row>
    <row r="8215" spans="1:10" ht="13.2">
      <c r="A8215" s="7">
        <v>8214</v>
      </c>
      <c r="B8215" s="7">
        <v>1</v>
      </c>
      <c r="C8215" s="7" t="s">
        <v>10</v>
      </c>
      <c r="D8215" s="7">
        <v>10169</v>
      </c>
      <c r="E8215" s="7" t="s">
        <v>28</v>
      </c>
      <c r="F8215" s="8" t="str">
        <f ca="1">IFERROR(__xludf.DUMMYFUNCTION("IF
(
C8216=""фізична особа""
,
VLOOKUP(D8216,IMPORTRANGE(""https://docs.google.com/spreadsheets/d/14Bd19lYaqBhU8_DElYkX7l4wRkHqqCUFNJY4AfY3kHU/edit?usp=sharing  #gid=0"",""фіз особи new!relations_name""),6,FALSE)
,
(IF
(
C8216=""юридична особа""
,
VLOOKUP"&amp;"(D8216,IMPORTRANGE(""https://docs.google.com/spreadsheets/d/14Bd19lYaqBhU8_DElYkX7l4wRkHqqCUFNJY4AfY3kHU/edit?usp=sharing  #gid=0"",""фіз особи new!relations_name_uo""),7,FALSE)
,
)
))"),"МАТЮХІН Олексій Геннадійович")</f>
        <v>МАТЮХІН Олексій Геннадійович</v>
      </c>
      <c r="G8215" s="7" t="s">
        <v>10</v>
      </c>
      <c r="H8215" s="7">
        <v>3020</v>
      </c>
      <c r="I8215" s="8" t="str">
        <f ca="1">IFERROR(__xludf.DUMMYFUNCTION("IF
(
G8216=""фізична особа""
,
VLOOKUP(H8216,IMPORTRANGE(""https://docs.google.com/spreadsheets/d/14Bd19lYaqBhU8_DElYkX7l4wRkHqqCUFNJY4AfY3kHU/edit?usp=sharing  #gid=0"",""фіз особи new!relations_name""),6,FALSE)
,
(IF
(
G8216=""юридична особа""
,
VLOOKUP"&amp;"(H8216,IMPORTRANGE(""https://docs.google.com/spreadsheets/d/14Bd19lYaqBhU8_DElYkX7l4wRkHqqCUFNJY4AfY3kHU/edit?usp=sharing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5" s="7" t="s">
        <v>29</v>
      </c>
    </row>
    <row r="8216" spans="1:10" ht="13.2">
      <c r="A8216" s="7">
        <v>8215</v>
      </c>
      <c r="B8216" s="7">
        <v>1</v>
      </c>
      <c r="C8216" s="7" t="s">
        <v>10</v>
      </c>
      <c r="D8216" s="7">
        <v>10170</v>
      </c>
      <c r="E8216" s="7" t="s">
        <v>28</v>
      </c>
      <c r="F8216" s="8" t="str">
        <f ca="1">IFERROR(__xludf.DUMMYFUNCTION("IF
(
C8217=""фізична особа""
,
VLOOKUP(D8217,IMPORTRANGE(""https://docs.google.com/spreadsheets/d/14Bd19lYaqBhU8_DElYkX7l4wRkHqqCUFNJY4AfY3kHU/edit?usp=sharing  #gid=0"",""фіз особи new!relations_name""),6,FALSE)
,
(IF
(
C8217=""юридична особа""
,
VLOOKUP"&amp;"(D8217,IMPORTRANGE(""https://docs.google.com/spreadsheets/d/14Bd19lYaqBhU8_DElYkX7l4wRkHqqCUFNJY4AfY3kHU/edit?usp=sharing  #gid=0"",""фіз особи new!relations_name_uo""),7,FALSE)
,
)
))"),"ЦИШЕВСЬКА Олена Віталіївна")</f>
        <v>ЦИШЕВСЬКА Олена Віталіївна</v>
      </c>
      <c r="G8216" s="7" t="s">
        <v>10</v>
      </c>
      <c r="H8216" s="7">
        <v>3020</v>
      </c>
      <c r="I8216" s="8" t="str">
        <f ca="1">IFERROR(__xludf.DUMMYFUNCTION("IF
(
G8217=""фізична особа""
,
VLOOKUP(H8217,IMPORTRANGE(""https://docs.google.com/spreadsheets/d/14Bd19lYaqBhU8_DElYkX7l4wRkHqqCUFNJY4AfY3kHU/edit?usp=sharing  #gid=0"",""фіз особи new!relations_name""),6,FALSE)
,
(IF
(
G8217=""юридична особа""
,
VLOOKUP"&amp;"(H8217,IMPORTRANGE(""https://docs.google.com/spreadsheets/d/14Bd19lYaqBhU8_DElYkX7l4wRkHqqCUFNJY4AfY3kHU/edit?usp=sharing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6" s="7" t="s">
        <v>29</v>
      </c>
    </row>
    <row r="8217" spans="1:10" ht="13.2">
      <c r="A8217" s="7">
        <v>8216</v>
      </c>
      <c r="B8217" s="7">
        <v>1</v>
      </c>
      <c r="C8217" s="7" t="s">
        <v>10</v>
      </c>
      <c r="D8217" s="7">
        <v>10171</v>
      </c>
      <c r="E8217" s="7" t="s">
        <v>28</v>
      </c>
      <c r="F8217" s="8" t="str">
        <f ca="1">IFERROR(__xludf.DUMMYFUNCTION("IF
(
C8218=""фізична особа""
,
VLOOKUP(D8218,IMPORTRANGE(""https://docs.google.com/spreadsheets/d/14Bd19lYaqBhU8_DElYkX7l4wRkHqqCUFNJY4AfY3kHU/edit?usp=sharing  #gid=0"",""фіз особи new!relations_name""),6,FALSE)
,
(IF
(
C8218=""юридична особа""
,
VLOOKUP"&amp;"(D8218,IMPORTRANGE(""https://docs.google.com/spreadsheets/d/14Bd19lYaqBhU8_DElYkX7l4wRkHqqCUFNJY4AfY3kHU/edit?usp=sharing  #gid=0"",""фіз особи new!relations_name_uo""),7,FALSE)
,
)
))"),"ВОВКІВСЬКА Лариса Валеріївна")</f>
        <v>ВОВКІВСЬКА Лариса Валеріївна</v>
      </c>
      <c r="G8217" s="7" t="s">
        <v>10</v>
      </c>
      <c r="H8217" s="7">
        <v>3020</v>
      </c>
      <c r="I8217" s="8" t="str">
        <f ca="1">IFERROR(__xludf.DUMMYFUNCTION("IF
(
G8218=""фізична особа""
,
VLOOKUP(H8218,IMPORTRANGE(""https://docs.google.com/spreadsheets/d/14Bd19lYaqBhU8_DElYkX7l4wRkHqqCUFNJY4AfY3kHU/edit?usp=sharing  #gid=0"",""фіз особи new!relations_name""),6,FALSE)
,
(IF
(
G8218=""юридична особа""
,
VLOOKUP"&amp;"(H8218,IMPORTRANGE(""https://docs.google.com/spreadsheets/d/14Bd19lYaqBhU8_DElYkX7l4wRkHqqCUFNJY4AfY3kHU/edit?usp=sharing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7" s="7" t="s">
        <v>29</v>
      </c>
    </row>
    <row r="8218" spans="1:10" ht="13.2">
      <c r="A8218" s="7">
        <v>8217</v>
      </c>
      <c r="B8218" s="7">
        <v>1</v>
      </c>
      <c r="C8218" s="7" t="s">
        <v>10</v>
      </c>
      <c r="D8218" s="7">
        <v>10172</v>
      </c>
      <c r="E8218" s="7" t="s">
        <v>28</v>
      </c>
      <c r="F8218" s="8" t="str">
        <f ca="1">IFERROR(__xludf.DUMMYFUNCTION("IF
(
C8219=""фізична особа""
,
VLOOKUP(D8219,IMPORTRANGE(""https://docs.google.com/spreadsheets/d/14Bd19lYaqBhU8_DElYkX7l4wRkHqqCUFNJY4AfY3kHU/edit?usp=sharing  #gid=0"",""фіз особи new!relations_name""),6,FALSE)
,
(IF
(
C8219=""юридична особа""
,
VLOOKUP"&amp;"(D8219,IMPORTRANGE(""https://docs.google.com/spreadsheets/d/14Bd19lYaqBhU8_DElYkX7l4wRkHqqCUFNJY4AfY3kHU/edit?usp=sharing  #gid=0"",""фіз особи new!relations_name_uo""),7,FALSE)
,
)
))"),"КОРНЄЄВ Олег Станіславович")</f>
        <v>КОРНЄЄВ Олег Станіславович</v>
      </c>
      <c r="G8218" s="7" t="s">
        <v>10</v>
      </c>
      <c r="H8218" s="7">
        <v>3020</v>
      </c>
      <c r="I8218" s="8" t="str">
        <f ca="1">IFERROR(__xludf.DUMMYFUNCTION("IF
(
G8219=""фізична особа""
,
VLOOKUP(H8219,IMPORTRANGE(""https://docs.google.com/spreadsheets/d/14Bd19lYaqBhU8_DElYkX7l4wRkHqqCUFNJY4AfY3kHU/edit?usp=sharing  #gid=0"",""фіз особи new!relations_name""),6,FALSE)
,
(IF
(
G8219=""юридична особа""
,
VLOOKUP"&amp;"(H8219,IMPORTRANGE(""https://docs.google.com/spreadsheets/d/14Bd19lYaqBhU8_DElYkX7l4wRkHqqCUFNJY4AfY3kHU/edit?usp=sharing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8" s="7" t="s">
        <v>29</v>
      </c>
    </row>
    <row r="8219" spans="1:10" ht="13.2">
      <c r="A8219" s="7">
        <v>8218</v>
      </c>
      <c r="B8219" s="7">
        <v>1</v>
      </c>
      <c r="C8219" s="7" t="s">
        <v>10</v>
      </c>
      <c r="D8219" s="7">
        <v>10173</v>
      </c>
      <c r="E8219" s="7" t="s">
        <v>28</v>
      </c>
      <c r="F8219" s="8" t="str">
        <f ca="1">IFERROR(__xludf.DUMMYFUNCTION("IF
(
C8220=""фізична особа""
,
VLOOKUP(D8220,IMPORTRANGE(""https://docs.google.com/spreadsheets/d/14Bd19lYaqBhU8_DElYkX7l4wRkHqqCUFNJY4AfY3kHU/edit?usp=sharing  #gid=0"",""фіз особи new!relations_name""),6,FALSE)
,
(IF
(
C8220=""юридична особа""
,
VLOOKUP"&amp;"(D8220,IMPORTRANGE(""https://docs.google.com/spreadsheets/d/14Bd19lYaqBhU8_DElYkX7l4wRkHqqCUFNJY4AfY3kHU/edit?usp=sharing  #gid=0"",""фіз особи new!relations_name_uo""),7,FALSE)
,
)
))"),"ПАНЮТИЩЕВ Олексій Миколайович")</f>
        <v>ПАНЮТИЩЕВ Олексій Миколайович</v>
      </c>
      <c r="G8219" s="7" t="s">
        <v>10</v>
      </c>
      <c r="H8219" s="7">
        <v>3020</v>
      </c>
      <c r="I8219" s="8" t="str">
        <f ca="1">IFERROR(__xludf.DUMMYFUNCTION("IF
(
G8220=""фізична особа""
,
VLOOKUP(H8220,IMPORTRANGE(""https://docs.google.com/spreadsheets/d/14Bd19lYaqBhU8_DElYkX7l4wRkHqqCUFNJY4AfY3kHU/edit?usp=sharing  #gid=0"",""фіз особи new!relations_name""),6,FALSE)
,
(IF
(
G8220=""юридична особа""
,
VLOOKUP"&amp;"(H8220,IMPORTRANGE(""https://docs.google.com/spreadsheets/d/14Bd19lYaqBhU8_DElYkX7l4wRkHqqCUFNJY4AfY3kHU/edit?usp=sharing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19" s="7" t="s">
        <v>29</v>
      </c>
    </row>
    <row r="8220" spans="1:10" ht="13.2">
      <c r="A8220" s="7">
        <v>8219</v>
      </c>
      <c r="B8220" s="7">
        <v>1</v>
      </c>
      <c r="C8220" s="7" t="s">
        <v>10</v>
      </c>
      <c r="D8220" s="7">
        <v>10174</v>
      </c>
      <c r="E8220" s="7" t="s">
        <v>28</v>
      </c>
      <c r="F8220" s="8" t="str">
        <f ca="1">IFERROR(__xludf.DUMMYFUNCTION("IF
(
C8221=""фізична особа""
,
VLOOKUP(D8221,IMPORTRANGE(""https://docs.google.com/spreadsheets/d/14Bd19lYaqBhU8_DElYkX7l4wRkHqqCUFNJY4AfY3kHU/edit?usp=sharing  #gid=0"",""фіз особи new!relations_name""),6,FALSE)
,
(IF
(
C8221=""юридична особа""
,
VLOOKUP"&amp;"(D8221,IMPORTRANGE(""https://docs.google.com/spreadsheets/d/14Bd19lYaqBhU8_DElYkX7l4wRkHqqCUFNJY4AfY3kHU/edit?usp=sharing  #gid=0"",""фіз особи new!relations_name_uo""),7,FALSE)
,
)
))"),"ФРОЛОВ Олексій Сергійович")</f>
        <v>ФРОЛОВ Олексій Сергійович</v>
      </c>
      <c r="G8220" s="7" t="s">
        <v>10</v>
      </c>
      <c r="H8220" s="7">
        <v>3020</v>
      </c>
      <c r="I8220" s="8" t="str">
        <f ca="1">IFERROR(__xludf.DUMMYFUNCTION("IF
(
G8221=""фізична особа""
,
VLOOKUP(H8221,IMPORTRANGE(""https://docs.google.com/spreadsheets/d/14Bd19lYaqBhU8_DElYkX7l4wRkHqqCUFNJY4AfY3kHU/edit?usp=sharing  #gid=0"",""фіз особи new!relations_name""),6,FALSE)
,
(IF
(
G8221=""юридична особа""
,
VLOOKUP"&amp;"(H8221,IMPORTRANGE(""https://docs.google.com/spreadsheets/d/14Bd19lYaqBhU8_DElYkX7l4wRkHqqCUFNJY4AfY3kHU/edit?usp=sharing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0" s="7" t="s">
        <v>29</v>
      </c>
    </row>
    <row r="8221" spans="1:10" ht="13.2">
      <c r="A8221" s="7">
        <v>8220</v>
      </c>
      <c r="B8221" s="7">
        <v>1</v>
      </c>
      <c r="C8221" s="7" t="s">
        <v>10</v>
      </c>
      <c r="D8221" s="7">
        <v>10175</v>
      </c>
      <c r="E8221" s="7" t="s">
        <v>28</v>
      </c>
      <c r="F8221" s="8" t="str">
        <f ca="1">IFERROR(__xludf.DUMMYFUNCTION("IF
(
C8222=""фізична особа""
,
VLOOKUP(D8222,IMPORTRANGE(""https://docs.google.com/spreadsheets/d/14Bd19lYaqBhU8_DElYkX7l4wRkHqqCUFNJY4AfY3kHU/edit?usp=sharing  #gid=0"",""фіз особи new!relations_name""),6,FALSE)
,
(IF
(
C8222=""юридична особа""
,
VLOOKUP"&amp;"(D8222,IMPORTRANGE(""https://docs.google.com/spreadsheets/d/14Bd19lYaqBhU8_DElYkX7l4wRkHqqCUFNJY4AfY3kHU/edit?usp=sharing  #gid=0"",""фіз особи new!relations_name_uo""),7,FALSE)
,
)
))"),"КЛОСТЕР Олена Олександрівна")</f>
        <v>КЛОСТЕР Олена Олександрівна</v>
      </c>
      <c r="G8221" s="7" t="s">
        <v>10</v>
      </c>
      <c r="H8221" s="7">
        <v>3020</v>
      </c>
      <c r="I8221" s="8" t="str">
        <f ca="1">IFERROR(__xludf.DUMMYFUNCTION("IF
(
G8222=""фізична особа""
,
VLOOKUP(H8222,IMPORTRANGE(""https://docs.google.com/spreadsheets/d/14Bd19lYaqBhU8_DElYkX7l4wRkHqqCUFNJY4AfY3kHU/edit?usp=sharing  #gid=0"",""фіз особи new!relations_name""),6,FALSE)
,
(IF
(
G8222=""юридична особа""
,
VLOOKUP"&amp;"(H8222,IMPORTRANGE(""https://docs.google.com/spreadsheets/d/14Bd19lYaqBhU8_DElYkX7l4wRkHqqCUFNJY4AfY3kHU/edit?usp=sharing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1" s="7" t="s">
        <v>29</v>
      </c>
    </row>
    <row r="8222" spans="1:10" ht="13.2">
      <c r="A8222" s="7">
        <v>8221</v>
      </c>
      <c r="B8222" s="7">
        <v>1</v>
      </c>
      <c r="C8222" s="7" t="s">
        <v>10</v>
      </c>
      <c r="D8222" s="7">
        <v>10176</v>
      </c>
      <c r="E8222" s="7" t="s">
        <v>28</v>
      </c>
      <c r="F8222" s="8" t="str">
        <f ca="1">IFERROR(__xludf.DUMMYFUNCTION("IF
(
C8223=""фізична особа""
,
VLOOKUP(D8223,IMPORTRANGE(""https://docs.google.com/spreadsheets/d/14Bd19lYaqBhU8_DElYkX7l4wRkHqqCUFNJY4AfY3kHU/edit?usp=sharing  #gid=0"",""фіз особи new!relations_name""),6,FALSE)
,
(IF
(
C8223=""юридична особа""
,
VLOOKUP"&amp;"(D8223,IMPORTRANGE(""https://docs.google.com/spreadsheets/d/14Bd19lYaqBhU8_DElYkX7l4wRkHqqCUFNJY4AfY3kHU/edit?usp=sharing  #gid=0"",""фіз особи new!relations_name_uo""),7,FALSE)
,
)
))"),"ШАРАВСЬКА Надія Олександрівна")</f>
        <v>ШАРАВСЬКА Надія Олександрівна</v>
      </c>
      <c r="G8222" s="7" t="s">
        <v>10</v>
      </c>
      <c r="H8222" s="7">
        <v>3020</v>
      </c>
      <c r="I8222" s="8" t="str">
        <f ca="1">IFERROR(__xludf.DUMMYFUNCTION("IF
(
G8223=""фізична особа""
,
VLOOKUP(H8223,IMPORTRANGE(""https://docs.google.com/spreadsheets/d/14Bd19lYaqBhU8_DElYkX7l4wRkHqqCUFNJY4AfY3kHU/edit?usp=sharing  #gid=0"",""фіз особи new!relations_name""),6,FALSE)
,
(IF
(
G8223=""юридична особа""
,
VLOOKUP"&amp;"(H8223,IMPORTRANGE(""https://docs.google.com/spreadsheets/d/14Bd19lYaqBhU8_DElYkX7l4wRkHqqCUFNJY4AfY3kHU/edit?usp=sharing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2" s="7" t="s">
        <v>29</v>
      </c>
    </row>
    <row r="8223" spans="1:10" ht="13.2">
      <c r="A8223" s="7">
        <v>8222</v>
      </c>
      <c r="B8223" s="7">
        <v>1</v>
      </c>
      <c r="C8223" s="7" t="s">
        <v>10</v>
      </c>
      <c r="D8223" s="7">
        <v>10177</v>
      </c>
      <c r="E8223" s="7" t="s">
        <v>28</v>
      </c>
      <c r="F8223" s="8" t="str">
        <f ca="1">IFERROR(__xludf.DUMMYFUNCTION("IF
(
C8224=""фізична особа""
,
VLOOKUP(D8224,IMPORTRANGE(""https://docs.google.com/spreadsheets/d/14Bd19lYaqBhU8_DElYkX7l4wRkHqqCUFNJY4AfY3kHU/edit?usp=sharing  #gid=0"",""фіз особи new!relations_name""),6,FALSE)
,
(IF
(
C8224=""юридична особа""
,
VLOOKUP"&amp;"(D8224,IMPORTRANGE(""https://docs.google.com/spreadsheets/d/14Bd19lYaqBhU8_DElYkX7l4wRkHqqCUFNJY4AfY3kHU/edit?usp=sharing  #gid=0"",""фіз особи new!relations_name_uo""),7,FALSE)
,
)
))"),"КАРАГАНОВА Жанна Валентинівна")</f>
        <v>КАРАГАНОВА Жанна Валентинівна</v>
      </c>
      <c r="G8223" s="7" t="s">
        <v>10</v>
      </c>
      <c r="H8223" s="7">
        <v>3020</v>
      </c>
      <c r="I8223" s="8" t="str">
        <f ca="1">IFERROR(__xludf.DUMMYFUNCTION("IF
(
G8224=""фізична особа""
,
VLOOKUP(H8224,IMPORTRANGE(""https://docs.google.com/spreadsheets/d/14Bd19lYaqBhU8_DElYkX7l4wRkHqqCUFNJY4AfY3kHU/edit?usp=sharing  #gid=0"",""фіз особи new!relations_name""),6,FALSE)
,
(IF
(
G8224=""юридична особа""
,
VLOOKUP"&amp;"(H8224,IMPORTRANGE(""https://docs.google.com/spreadsheets/d/14Bd19lYaqBhU8_DElYkX7l4wRkHqqCUFNJY4AfY3kHU/edit?usp=sharing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3" s="7" t="s">
        <v>29</v>
      </c>
    </row>
    <row r="8224" spans="1:10" ht="13.2">
      <c r="A8224" s="7">
        <v>8223</v>
      </c>
      <c r="B8224" s="7">
        <v>1</v>
      </c>
      <c r="C8224" s="7" t="s">
        <v>10</v>
      </c>
      <c r="D8224" s="7">
        <v>10178</v>
      </c>
      <c r="E8224" s="7" t="s">
        <v>28</v>
      </c>
      <c r="F8224" s="8" t="str">
        <f ca="1">IFERROR(__xludf.DUMMYFUNCTION("IF
(
C8225=""фізична особа""
,
VLOOKUP(D8225,IMPORTRANGE(""https://docs.google.com/spreadsheets/d/14Bd19lYaqBhU8_DElYkX7l4wRkHqqCUFNJY4AfY3kHU/edit?usp=sharing  #gid=0"",""фіз особи new!relations_name""),6,FALSE)
,
(IF
(
C8225=""юридична особа""
,
VLOOKUP"&amp;"(D8225,IMPORTRANGE(""https://docs.google.com/spreadsheets/d/14Bd19lYaqBhU8_DElYkX7l4wRkHqqCUFNJY4AfY3kHU/edit?usp=sharing  #gid=0"",""фіз особи new!relations_name_uo""),7,FALSE)
,
)
))"),"НІКІТІНА Тетяна Євгенівна")</f>
        <v>НІКІТІНА Тетяна Євгенівна</v>
      </c>
      <c r="G8224" s="7" t="s">
        <v>10</v>
      </c>
      <c r="H8224" s="7">
        <v>3020</v>
      </c>
      <c r="I8224" s="8" t="str">
        <f ca="1">IFERROR(__xludf.DUMMYFUNCTION("IF
(
G8225=""фізична особа""
,
VLOOKUP(H8225,IMPORTRANGE(""https://docs.google.com/spreadsheets/d/14Bd19lYaqBhU8_DElYkX7l4wRkHqqCUFNJY4AfY3kHU/edit?usp=sharing  #gid=0"",""фіз особи new!relations_name""),6,FALSE)
,
(IF
(
G8225=""юридична особа""
,
VLOOKUP"&amp;"(H8225,IMPORTRANGE(""https://docs.google.com/spreadsheets/d/14Bd19lYaqBhU8_DElYkX7l4wRkHqqCUFNJY4AfY3kHU/edit?usp=sharing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4" s="7" t="s">
        <v>29</v>
      </c>
    </row>
    <row r="8225" spans="1:10" ht="13.2">
      <c r="A8225" s="7">
        <v>8224</v>
      </c>
      <c r="B8225" s="7">
        <v>1</v>
      </c>
      <c r="C8225" s="7" t="s">
        <v>10</v>
      </c>
      <c r="D8225" s="7">
        <v>10179</v>
      </c>
      <c r="E8225" s="7" t="s">
        <v>28</v>
      </c>
      <c r="F8225" s="8" t="str">
        <f ca="1">IFERROR(__xludf.DUMMYFUNCTION("IF
(
C8226=""фізична особа""
,
VLOOKUP(D8226,IMPORTRANGE(""https://docs.google.com/spreadsheets/d/14Bd19lYaqBhU8_DElYkX7l4wRkHqqCUFNJY4AfY3kHU/edit?usp=sharing  #gid=0"",""фіз особи new!relations_name""),6,FALSE)
,
(IF
(
C8226=""юридична особа""
,
VLOOKUP"&amp;"(D8226,IMPORTRANGE(""https://docs.google.com/spreadsheets/d/14Bd19lYaqBhU8_DElYkX7l4wRkHqqCUFNJY4AfY3kHU/edit?usp=sharing  #gid=0"",""фіз особи new!relations_name_uo""),7,FALSE)
,
)
))"),"ГРЕШНЄВ Андрій Олексійович")</f>
        <v>ГРЕШНЄВ Андрій Олексійович</v>
      </c>
      <c r="G8225" s="7" t="s">
        <v>10</v>
      </c>
      <c r="H8225" s="7">
        <v>3020</v>
      </c>
      <c r="I8225" s="8" t="str">
        <f ca="1">IFERROR(__xludf.DUMMYFUNCTION("IF
(
G8226=""фізична особа""
,
VLOOKUP(H8226,IMPORTRANGE(""https://docs.google.com/spreadsheets/d/14Bd19lYaqBhU8_DElYkX7l4wRkHqqCUFNJY4AfY3kHU/edit?usp=sharing  #gid=0"",""фіз особи new!relations_name""),6,FALSE)
,
(IF
(
G8226=""юридична особа""
,
VLOOKUP"&amp;"(H8226,IMPORTRANGE(""https://docs.google.com/spreadsheets/d/14Bd19lYaqBhU8_DElYkX7l4wRkHqqCUFNJY4AfY3kHU/edit?usp=sharing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5" s="7" t="s">
        <v>29</v>
      </c>
    </row>
    <row r="8226" spans="1:10" ht="13.2">
      <c r="A8226" s="7">
        <v>8225</v>
      </c>
      <c r="B8226" s="7">
        <v>1</v>
      </c>
      <c r="C8226" s="7" t="s">
        <v>10</v>
      </c>
      <c r="D8226" s="7">
        <v>10180</v>
      </c>
      <c r="E8226" s="7" t="s">
        <v>28</v>
      </c>
      <c r="F8226" s="8" t="str">
        <f ca="1">IFERROR(__xludf.DUMMYFUNCTION("IF
(
C8227=""фізична особа""
,
VLOOKUP(D8227,IMPORTRANGE(""https://docs.google.com/spreadsheets/d/14Bd19lYaqBhU8_DElYkX7l4wRkHqqCUFNJY4AfY3kHU/edit?usp=sharing  #gid=0"",""фіз особи new!relations_name""),6,FALSE)
,
(IF
(
C8227=""юридична особа""
,
VLOOKUP"&amp;"(D8227,IMPORTRANGE(""https://docs.google.com/spreadsheets/d/14Bd19lYaqBhU8_DElYkX7l4wRkHqqCUFNJY4AfY3kHU/edit?usp=sharing  #gid=0"",""фіз особи new!relations_name_uo""),7,FALSE)
,
)
))"),"КОРОЛЕВА Ірина Олександрівна")</f>
        <v>КОРОЛЕВА Ірина Олександрівна</v>
      </c>
      <c r="G8226" s="7" t="s">
        <v>10</v>
      </c>
      <c r="H8226" s="7">
        <v>3020</v>
      </c>
      <c r="I8226" s="8" t="str">
        <f ca="1">IFERROR(__xludf.DUMMYFUNCTION("IF
(
G8227=""фізична особа""
,
VLOOKUP(H8227,IMPORTRANGE(""https://docs.google.com/spreadsheets/d/14Bd19lYaqBhU8_DElYkX7l4wRkHqqCUFNJY4AfY3kHU/edit?usp=sharing  #gid=0"",""фіз особи new!relations_name""),6,FALSE)
,
(IF
(
G8227=""юридична особа""
,
VLOOKUP"&amp;"(H8227,IMPORTRANGE(""https://docs.google.com/spreadsheets/d/14Bd19lYaqBhU8_DElYkX7l4wRkHqqCUFNJY4AfY3kHU/edit?usp=sharing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6" s="7" t="s">
        <v>29</v>
      </c>
    </row>
    <row r="8227" spans="1:10" ht="13.2">
      <c r="A8227" s="7">
        <v>8226</v>
      </c>
      <c r="B8227" s="7">
        <v>1</v>
      </c>
      <c r="C8227" s="7" t="s">
        <v>10</v>
      </c>
      <c r="D8227" s="7">
        <v>10181</v>
      </c>
      <c r="E8227" s="7" t="s">
        <v>28</v>
      </c>
      <c r="F8227" s="8" t="str">
        <f ca="1">IFERROR(__xludf.DUMMYFUNCTION("IF
(
C8228=""фізична особа""
,
VLOOKUP(D8228,IMPORTRANGE(""https://docs.google.com/spreadsheets/d/14Bd19lYaqBhU8_DElYkX7l4wRkHqqCUFNJY4AfY3kHU/edit?usp=sharing  #gid=0"",""фіз особи new!relations_name""),6,FALSE)
,
(IF
(
C8228=""юридична особа""
,
VLOOKUP"&amp;"(D8228,IMPORTRANGE(""https://docs.google.com/spreadsheets/d/14Bd19lYaqBhU8_DElYkX7l4wRkHqqCUFNJY4AfY3kHU/edit?usp=sharing  #gid=0"",""фіз особи new!relations_name_uo""),7,FALSE)
,
)
))"),"СТУКАНОВ Денис Володимирович")</f>
        <v>СТУКАНОВ Денис Володимирович</v>
      </c>
      <c r="G8227" s="7" t="s">
        <v>10</v>
      </c>
      <c r="H8227" s="7">
        <v>3020</v>
      </c>
      <c r="I8227" s="8" t="str">
        <f ca="1">IFERROR(__xludf.DUMMYFUNCTION("IF
(
G8228=""фізична особа""
,
VLOOKUP(H8228,IMPORTRANGE(""https://docs.google.com/spreadsheets/d/14Bd19lYaqBhU8_DElYkX7l4wRkHqqCUFNJY4AfY3kHU/edit?usp=sharing  #gid=0"",""фіз особи new!relations_name""),6,FALSE)
,
(IF
(
G8228=""юридична особа""
,
VLOOKUP"&amp;"(H8228,IMPORTRANGE(""https://docs.google.com/spreadsheets/d/14Bd19lYaqBhU8_DElYkX7l4wRkHqqCUFNJY4AfY3kHU/edit?usp=sharing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7" s="7" t="s">
        <v>29</v>
      </c>
    </row>
    <row r="8228" spans="1:10" ht="13.2">
      <c r="A8228" s="7">
        <v>8227</v>
      </c>
      <c r="B8228" s="7">
        <v>1</v>
      </c>
      <c r="C8228" s="7" t="s">
        <v>10</v>
      </c>
      <c r="D8228" s="7">
        <v>10182</v>
      </c>
      <c r="E8228" s="7" t="s">
        <v>28</v>
      </c>
      <c r="F8228" s="8" t="str">
        <f ca="1">IFERROR(__xludf.DUMMYFUNCTION("IF
(
C8229=""фізична особа""
,
VLOOKUP(D8229,IMPORTRANGE(""https://docs.google.com/spreadsheets/d/14Bd19lYaqBhU8_DElYkX7l4wRkHqqCUFNJY4AfY3kHU/edit?usp=sharing  #gid=0"",""фіз особи new!relations_name""),6,FALSE)
,
(IF
(
C8229=""юридична особа""
,
VLOOKUP"&amp;"(D8229,IMPORTRANGE(""https://docs.google.com/spreadsheets/d/14Bd19lYaqBhU8_DElYkX7l4wRkHqqCUFNJY4AfY3kHU/edit?usp=sharing  #gid=0"",""фіз особи new!relations_name_uo""),7,FALSE)
,
)
))"),"ШИХАЛІЄВ Рустам Мустафайович")</f>
        <v>ШИХАЛІЄВ Рустам Мустафайович</v>
      </c>
      <c r="G8228" s="7" t="s">
        <v>10</v>
      </c>
      <c r="H8228" s="7">
        <v>3020</v>
      </c>
      <c r="I8228" s="8" t="str">
        <f ca="1">IFERROR(__xludf.DUMMYFUNCTION("IF
(
G8229=""фізична особа""
,
VLOOKUP(H8229,IMPORTRANGE(""https://docs.google.com/spreadsheets/d/14Bd19lYaqBhU8_DElYkX7l4wRkHqqCUFNJY4AfY3kHU/edit?usp=sharing  #gid=0"",""фіз особи new!relations_name""),6,FALSE)
,
(IF
(
G8229=""юридична особа""
,
VLOOKUP"&amp;"(H8229,IMPORTRANGE(""https://docs.google.com/spreadsheets/d/14Bd19lYaqBhU8_DElYkX7l4wRkHqqCUFNJY4AfY3kHU/edit?usp=sharing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8" s="7" t="s">
        <v>29</v>
      </c>
    </row>
    <row r="8229" spans="1:10" ht="13.2">
      <c r="A8229" s="7">
        <v>8228</v>
      </c>
      <c r="B8229" s="7">
        <v>1</v>
      </c>
      <c r="C8229" s="7" t="s">
        <v>10</v>
      </c>
      <c r="D8229" s="7">
        <v>10183</v>
      </c>
      <c r="E8229" s="7" t="s">
        <v>28</v>
      </c>
      <c r="F8229" s="8" t="str">
        <f ca="1">IFERROR(__xludf.DUMMYFUNCTION("IF
(
C8230=""фізична особа""
,
VLOOKUP(D8230,IMPORTRANGE(""https://docs.google.com/spreadsheets/d/14Bd19lYaqBhU8_DElYkX7l4wRkHqqCUFNJY4AfY3kHU/edit?usp=sharing  #gid=0"",""фіз особи new!relations_name""),6,FALSE)
,
(IF
(
C8230=""юридична особа""
,
VLOOKUP"&amp;"(D8230,IMPORTRANGE(""https://docs.google.com/spreadsheets/d/14Bd19lYaqBhU8_DElYkX7l4wRkHqqCUFNJY4AfY3kHU/edit?usp=sharing  #gid=0"",""фіз особи new!relations_name_uo""),7,FALSE)
,
)
))"),"ДАВИДОВА Леся Євгенівна")</f>
        <v>ДАВИДОВА Леся Євгенівна</v>
      </c>
      <c r="G8229" s="7" t="s">
        <v>10</v>
      </c>
      <c r="H8229" s="7">
        <v>3020</v>
      </c>
      <c r="I8229" s="8" t="str">
        <f ca="1">IFERROR(__xludf.DUMMYFUNCTION("IF
(
G8230=""фізична особа""
,
VLOOKUP(H8230,IMPORTRANGE(""https://docs.google.com/spreadsheets/d/14Bd19lYaqBhU8_DElYkX7l4wRkHqqCUFNJY4AfY3kHU/edit?usp=sharing  #gid=0"",""фіз особи new!relations_name""),6,FALSE)
,
(IF
(
G8230=""юридична особа""
,
VLOOKUP"&amp;"(H8230,IMPORTRANGE(""https://docs.google.com/spreadsheets/d/14Bd19lYaqBhU8_DElYkX7l4wRkHqqCUFNJY4AfY3kHU/edit?usp=sharing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29" s="7" t="s">
        <v>29</v>
      </c>
    </row>
    <row r="8230" spans="1:10" ht="13.2">
      <c r="A8230" s="7">
        <v>8229</v>
      </c>
      <c r="B8230" s="7">
        <v>1</v>
      </c>
      <c r="C8230" s="7" t="s">
        <v>10</v>
      </c>
      <c r="D8230" s="7">
        <v>10184</v>
      </c>
      <c r="E8230" s="7" t="s">
        <v>28</v>
      </c>
      <c r="F8230" s="8" t="str">
        <f ca="1">IFERROR(__xludf.DUMMYFUNCTION("IF
(
C8231=""фізична особа""
,
VLOOKUP(D8231,IMPORTRANGE(""https://docs.google.com/spreadsheets/d/14Bd19lYaqBhU8_DElYkX7l4wRkHqqCUFNJY4AfY3kHU/edit?usp=sharing  #gid=0"",""фіз особи new!relations_name""),6,FALSE)
,
(IF
(
C8231=""юридична особа""
,
VLOOKUP"&amp;"(D8231,IMPORTRANGE(""https://docs.google.com/spreadsheets/d/14Bd19lYaqBhU8_DElYkX7l4wRkHqqCUFNJY4AfY3kHU/edit?usp=sharing  #gid=0"",""фіз особи new!relations_name_uo""),7,FALSE)
,
)
))"),"МІЛЬЧАКОВА Олеся Володимирівна")</f>
        <v>МІЛЬЧАКОВА Олеся Володимирівна</v>
      </c>
      <c r="G8230" s="7" t="s">
        <v>10</v>
      </c>
      <c r="H8230" s="7">
        <v>3020</v>
      </c>
      <c r="I8230" s="8" t="str">
        <f ca="1">IFERROR(__xludf.DUMMYFUNCTION("IF
(
G8231=""фізична особа""
,
VLOOKUP(H8231,IMPORTRANGE(""https://docs.google.com/spreadsheets/d/14Bd19lYaqBhU8_DElYkX7l4wRkHqqCUFNJY4AfY3kHU/edit?usp=sharing  #gid=0"",""фіз особи new!relations_name""),6,FALSE)
,
(IF
(
G8231=""юридична особа""
,
VLOOKUP"&amp;"(H8231,IMPORTRANGE(""https://docs.google.com/spreadsheets/d/14Bd19lYaqBhU8_DElYkX7l4wRkHqqCUFNJY4AfY3kHU/edit?usp=sharing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30" s="7" t="s">
        <v>29</v>
      </c>
    </row>
    <row r="8231" spans="1:10" ht="13.2">
      <c r="A8231" s="7">
        <v>8230</v>
      </c>
      <c r="B8231" s="7">
        <v>1</v>
      </c>
      <c r="C8231" s="7" t="s">
        <v>10</v>
      </c>
      <c r="D8231" s="7">
        <v>10185</v>
      </c>
      <c r="E8231" s="7" t="s">
        <v>28</v>
      </c>
      <c r="F8231" s="8" t="str">
        <f ca="1">IFERROR(__xludf.DUMMYFUNCTION("IF
(
C8232=""фізична особа""
,
VLOOKUP(D8232,IMPORTRANGE(""https://docs.google.com/spreadsheets/d/14Bd19lYaqBhU8_DElYkX7l4wRkHqqCUFNJY4AfY3kHU/edit?usp=sharing  #gid=0"",""фіз особи new!relations_name""),6,FALSE)
,
(IF
(
C8232=""юридична особа""
,
VLOOKUP"&amp;"(D8232,IMPORTRANGE(""https://docs.google.com/spreadsheets/d/14Bd19lYaqBhU8_DElYkX7l4wRkHqqCUFNJY4AfY3kHU/edit?usp=sharing  #gid=0"",""фіз особи new!relations_name_uo""),7,FALSE)
,
)
))"),"ШИРКОВ Олексій Вікторович")</f>
        <v>ШИРКОВ Олексій Вікторович</v>
      </c>
      <c r="G8231" s="7" t="s">
        <v>10</v>
      </c>
      <c r="H8231" s="7">
        <v>3020</v>
      </c>
      <c r="I8231" s="8" t="str">
        <f ca="1">IFERROR(__xludf.DUMMYFUNCTION("IF
(
G8232=""фізична особа""
,
VLOOKUP(H8232,IMPORTRANGE(""https://docs.google.com/spreadsheets/d/14Bd19lYaqBhU8_DElYkX7l4wRkHqqCUFNJY4AfY3kHU/edit?usp=sharing  #gid=0"",""фіз особи new!relations_name""),6,FALSE)
,
(IF
(
G8232=""юридична особа""
,
VLOOKUP"&amp;"(H8232,IMPORTRANGE(""https://docs.google.com/spreadsheets/d/14Bd19lYaqBhU8_DElYkX7l4wRkHqqCUFNJY4AfY3kHU/edit?usp=sharing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31" s="7" t="s">
        <v>29</v>
      </c>
    </row>
    <row r="8232" spans="1:10" ht="13.2">
      <c r="A8232" s="7">
        <v>8231</v>
      </c>
      <c r="B8232" s="7">
        <v>1</v>
      </c>
      <c r="C8232" s="7" t="s">
        <v>10</v>
      </c>
      <c r="D8232" s="7">
        <v>10186</v>
      </c>
      <c r="E8232" s="7" t="s">
        <v>28</v>
      </c>
      <c r="F8232" s="8" t="str">
        <f ca="1">IFERROR(__xludf.DUMMYFUNCTION("IF
(
C8233=""фізична особа""
,
VLOOKUP(D8233,IMPORTRANGE(""https://docs.google.com/spreadsheets/d/14Bd19lYaqBhU8_DElYkX7l4wRkHqqCUFNJY4AfY3kHU/edit?usp=sharing  #gid=0"",""фіз особи new!relations_name""),6,FALSE)
,
(IF
(
C8233=""юридична особа""
,
VLOOKUP"&amp;"(D8233,IMPORTRANGE(""https://docs.google.com/spreadsheets/d/14Bd19lYaqBhU8_DElYkX7l4wRkHqqCUFNJY4AfY3kHU/edit?usp=sharing  #gid=0"",""фіз особи new!relations_name_uo""),7,FALSE)
,
)
))"),"ПЄШКОВ Юрій Володимирович")</f>
        <v>ПЄШКОВ Юрій Володимирович</v>
      </c>
      <c r="G8232" s="7" t="s">
        <v>10</v>
      </c>
      <c r="H8232" s="7">
        <v>2942</v>
      </c>
      <c r="I8232" s="8" t="str">
        <f ca="1">IFERROR(__xludf.DUMMYFUNCTION("IF
(
G8233=""фізична особа""
,
VLOOKUP(H8233,IMPORTRANGE(""https://docs.google.com/spreadsheets/d/14Bd19lYaqBhU8_DElYkX7l4wRkHqqCUFNJY4AfY3kHU/edit?usp=sharing  #gid=0"",""фіз особи new!relations_name""),6,FALSE)
,
(IF
(
G8233=""юридична особа""
,
VLOOKUP"&amp;"(H8233,IMPORTRANGE(""https://docs.google.com/spreadsheets/d/14Bd19lYaqBhU8_DElYkX7l4wRkHqqCUFNJY4AfY3kHU/edit?usp=sharing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32" s="7" t="s">
        <v>29</v>
      </c>
    </row>
    <row r="8233" spans="1:10" ht="13.2">
      <c r="A8233" s="7">
        <v>8232</v>
      </c>
      <c r="B8233" s="7">
        <v>1</v>
      </c>
      <c r="C8233" s="7" t="s">
        <v>10</v>
      </c>
      <c r="D8233" s="7">
        <v>10187</v>
      </c>
      <c r="E8233" s="7" t="s">
        <v>28</v>
      </c>
      <c r="F8233" s="8" t="str">
        <f ca="1">IFERROR(__xludf.DUMMYFUNCTION("IF
(
C8234=""фізична особа""
,
VLOOKUP(D8234,IMPORTRANGE(""https://docs.google.com/spreadsheets/d/14Bd19lYaqBhU8_DElYkX7l4wRkHqqCUFNJY4AfY3kHU/edit?usp=sharing  #gid=0"",""фіз особи new!relations_name""),6,FALSE)
,
(IF
(
C8234=""юридична особа""
,
VLOOKUP"&amp;"(D8234,IMPORTRANGE(""https://docs.google.com/spreadsheets/d/14Bd19lYaqBhU8_DElYkX7l4wRkHqqCUFNJY4AfY3kHU/edit?usp=sharing  #gid=0"",""фіз особи new!relations_name_uo""),7,FALSE)
,
)
))"),"СТЕПАНОВ Олексій Алімович")</f>
        <v>СТЕПАНОВ Олексій Алімович</v>
      </c>
      <c r="G8233" s="7" t="s">
        <v>10</v>
      </c>
      <c r="H8233" s="7">
        <v>16565</v>
      </c>
      <c r="I8233" s="8" t="str">
        <f ca="1">IFERROR(__xludf.DUMMYFUNCTION("IF
(
G8234=""фізична особа""
,
VLOOKUP(H8234,IMPORTRANGE(""https://docs.google.com/spreadsheets/d/14Bd19lYaqBhU8_DElYkX7l4wRkHqqCUFNJY4AfY3kHU/edit?usp=sharing  #gid=0"",""фіз особи new!relations_name""),6,FALSE)
,
(IF
(
G8234=""юридична особа""
,
VLOOKUP"&amp;"(H8234,IMPORTRANGE(""https://docs.google.com/spreadsheets/d/14Bd19lYaqBhU8_DElYkX7l4wRkHqqCUFNJY4AfY3kHU/edit?usp=sharing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233" s="7" t="s">
        <v>29</v>
      </c>
    </row>
    <row r="8234" spans="1:10" ht="13.2">
      <c r="A8234" s="7">
        <v>8233</v>
      </c>
      <c r="B8234" s="7">
        <v>1</v>
      </c>
      <c r="C8234" s="7" t="s">
        <v>10</v>
      </c>
      <c r="D8234" s="7">
        <v>10187</v>
      </c>
      <c r="E8234" s="7" t="s">
        <v>28</v>
      </c>
      <c r="F8234" s="8" t="str">
        <f ca="1">IFERROR(__xludf.DUMMYFUNCTION("IF
(
C8235=""фізична особа""
,
VLOOKUP(D8235,IMPORTRANGE(""https://docs.google.com/spreadsheets/d/14Bd19lYaqBhU8_DElYkX7l4wRkHqqCUFNJY4AfY3kHU/edit?usp=sharing  #gid=0"",""фіз особи new!relations_name""),6,FALSE)
,
(IF
(
C8235=""юридична особа""
,
VLOOKUP"&amp;"(D8235,IMPORTRANGE(""https://docs.google.com/spreadsheets/d/14Bd19lYaqBhU8_DElYkX7l4wRkHqqCUFNJY4AfY3kHU/edit?usp=sharing  #gid=0"",""фіз особи new!relations_name_uo""),7,FALSE)
,
)
))"),"СТЕПАНОВ Олексій Алімович")</f>
        <v>СТЕПАНОВ Олексій Алімович</v>
      </c>
      <c r="G8234" s="7" t="s">
        <v>10</v>
      </c>
      <c r="H8234" s="7">
        <v>1613</v>
      </c>
      <c r="I8234" s="8" t="str">
        <f ca="1">IFERROR(__xludf.DUMMYFUNCTION("IF
(
G8235=""фізична особа""
,
VLOOKUP(H8235,IMPORTRANGE(""https://docs.google.com/spreadsheets/d/14Bd19lYaqBhU8_DElYkX7l4wRkHqqCUFNJY4AfY3kHU/edit?usp=sharing  #gid=0"",""фіз особи new!relations_name""),6,FALSE)
,
(IF
(
G8235=""юридична особа""
,
VLOOKUP"&amp;"(H8235,IMPORTRANGE(""https://docs.google.com/spreadsheets/d/14Bd19lYaqBhU8_DElYkX7l4wRkHqqCUFNJY4AfY3kHU/edit?usp=sharing  #gid=0"",""фіз особи new!relations_name_uo""),7,FALSE)
,
)
))"),"БОБРИШЕВА Галина Володимирівна")</f>
        <v>БОБРИШЕВА Галина Володимирівна</v>
      </c>
      <c r="J8234" s="7" t="s">
        <v>29</v>
      </c>
    </row>
    <row r="8235" spans="1:10" ht="13.2">
      <c r="A8235" s="7">
        <v>8234</v>
      </c>
      <c r="B8235" s="7">
        <v>1</v>
      </c>
      <c r="C8235" s="7" t="s">
        <v>10</v>
      </c>
      <c r="D8235" s="7">
        <v>10188</v>
      </c>
      <c r="E8235" s="7" t="s">
        <v>28</v>
      </c>
      <c r="F8235" s="8" t="str">
        <f ca="1">IFERROR(__xludf.DUMMYFUNCTION("IF
(
C8236=""фізична особа""
,
VLOOKUP(D8236,IMPORTRANGE(""https://docs.google.com/spreadsheets/d/14Bd19lYaqBhU8_DElYkX7l4wRkHqqCUFNJY4AfY3kHU/edit?usp=sharing  #gid=0"",""фіз особи new!relations_name""),6,FALSE)
,
(IF
(
C8236=""юридична особа""
,
VLOOKUP"&amp;"(D8236,IMPORTRANGE(""https://docs.google.com/spreadsheets/d/14Bd19lYaqBhU8_DElYkX7l4wRkHqqCUFNJY4AfY3kHU/edit?usp=sharing  #gid=0"",""фіз особи new!relations_name_uo""),7,FALSE)
,
)
))"),"ВЕДЕРНІКОВ Сергій Олександрович")</f>
        <v>ВЕДЕРНІКОВ Сергій Олександрович</v>
      </c>
      <c r="G8235" s="7" t="s">
        <v>10</v>
      </c>
      <c r="H8235" s="7">
        <v>3020</v>
      </c>
      <c r="I8235" s="8" t="str">
        <f ca="1">IFERROR(__xludf.DUMMYFUNCTION("IF
(
G8236=""фізична особа""
,
VLOOKUP(H8236,IMPORTRANGE(""https://docs.google.com/spreadsheets/d/14Bd19lYaqBhU8_DElYkX7l4wRkHqqCUFNJY4AfY3kHU/edit?usp=sharing  #gid=0"",""фіз особи new!relations_name""),6,FALSE)
,
(IF
(
G8236=""юридична особа""
,
VLOOKUP"&amp;"(H8236,IMPORTRANGE(""https://docs.google.com/spreadsheets/d/14Bd19lYaqBhU8_DElYkX7l4wRkHqqCUFNJY4AfY3kHU/edit?usp=sharing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35" s="7" t="s">
        <v>29</v>
      </c>
    </row>
    <row r="8236" spans="1:10" ht="13.2">
      <c r="A8236" s="7">
        <v>8235</v>
      </c>
      <c r="B8236" s="7">
        <v>1</v>
      </c>
      <c r="C8236" s="7" t="s">
        <v>10</v>
      </c>
      <c r="D8236" s="7">
        <v>10189</v>
      </c>
      <c r="E8236" s="7" t="s">
        <v>28</v>
      </c>
      <c r="F8236" s="8" t="str">
        <f ca="1">IFERROR(__xludf.DUMMYFUNCTION("IF
(
C8237=""фізична особа""
,
VLOOKUP(D8237,IMPORTRANGE(""https://docs.google.com/spreadsheets/d/14Bd19lYaqBhU8_DElYkX7l4wRkHqqCUFNJY4AfY3kHU/edit?usp=sharing  #gid=0"",""фіз особи new!relations_name""),6,FALSE)
,
(IF
(
C8237=""юридична особа""
,
VLOOKUP"&amp;"(D8237,IMPORTRANGE(""https://docs.google.com/spreadsheets/d/14Bd19lYaqBhU8_DElYkX7l4wRkHqqCUFNJY4AfY3kHU/edit?usp=sharing  #gid=0"",""фіз особи new!relations_name_uo""),7,FALSE)
,
)
))"),"ШЕВЛЯКОВ Євгеній Володимирович")</f>
        <v>ШЕВЛЯКОВ Євгеній Володимирович</v>
      </c>
      <c r="G8236" s="7" t="s">
        <v>10</v>
      </c>
      <c r="H8236" s="7">
        <v>16565</v>
      </c>
      <c r="I8236" s="8" t="str">
        <f ca="1">IFERROR(__xludf.DUMMYFUNCTION("IF
(
G8237=""фізична особа""
,
VLOOKUP(H8237,IMPORTRANGE(""https://docs.google.com/spreadsheets/d/14Bd19lYaqBhU8_DElYkX7l4wRkHqqCUFNJY4AfY3kHU/edit?usp=sharing  #gid=0"",""фіз особи new!relations_name""),6,FALSE)
,
(IF
(
G8237=""юридична особа""
,
VLOOKUP"&amp;"(H8237,IMPORTRANGE(""https://docs.google.com/spreadsheets/d/14Bd19lYaqBhU8_DElYkX7l4wRkHqqCUFNJY4AfY3kHU/edit?usp=sharing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236" s="7" t="s">
        <v>29</v>
      </c>
    </row>
    <row r="8237" spans="1:10" ht="13.2">
      <c r="A8237" s="7">
        <v>8236</v>
      </c>
      <c r="B8237" s="7">
        <v>1</v>
      </c>
      <c r="C8237" s="7" t="s">
        <v>10</v>
      </c>
      <c r="D8237" s="7">
        <v>10189</v>
      </c>
      <c r="E8237" s="7" t="s">
        <v>28</v>
      </c>
      <c r="F8237" s="8" t="str">
        <f ca="1">IFERROR(__xludf.DUMMYFUNCTION("IF
(
C8238=""фізична особа""
,
VLOOKUP(D8238,IMPORTRANGE(""https://docs.google.com/spreadsheets/d/14Bd19lYaqBhU8_DElYkX7l4wRkHqqCUFNJY4AfY3kHU/edit?usp=sharing  #gid=0"",""фіз особи new!relations_name""),6,FALSE)
,
(IF
(
C8238=""юридична особа""
,
VLOOKUP"&amp;"(D8238,IMPORTRANGE(""https://docs.google.com/spreadsheets/d/14Bd19lYaqBhU8_DElYkX7l4wRkHqqCUFNJY4AfY3kHU/edit?usp=sharing  #gid=0"",""фіз особи new!relations_name_uo""),7,FALSE)
,
)
))"),"ШЕВЛЯКОВ Євгеній Володимирович")</f>
        <v>ШЕВЛЯКОВ Євгеній Володимирович</v>
      </c>
      <c r="G8237" s="7" t="s">
        <v>10</v>
      </c>
      <c r="H8237" s="7">
        <v>1609</v>
      </c>
      <c r="I8237" s="8" t="str">
        <f ca="1">IFERROR(__xludf.DUMMYFUNCTION("IF
(
G8238=""фізична особа""
,
VLOOKUP(H8238,IMPORTRANGE(""https://docs.google.com/spreadsheets/d/14Bd19lYaqBhU8_DElYkX7l4wRkHqqCUFNJY4AfY3kHU/edit?usp=sharing  #gid=0"",""фіз особи new!relations_name""),6,FALSE)
,
(IF
(
G8238=""юридична особа""
,
VLOOKUP"&amp;"(H8238,IMPORTRANGE(""https://docs.google.com/spreadsheets/d/14Bd19lYaqBhU8_DElYkX7l4wRkHqqCUFNJY4AfY3kHU/edit?usp=sharing  #gid=0"",""фіз особи new!relations_name_uo""),7,FALSE)
,
)
))"),"КОРОТКИЙ Юрій Федорович")</f>
        <v>КОРОТКИЙ Юрій Федорович</v>
      </c>
      <c r="J8237" s="7" t="s">
        <v>29</v>
      </c>
    </row>
    <row r="8238" spans="1:10" ht="13.2">
      <c r="A8238" s="7">
        <v>8237</v>
      </c>
      <c r="B8238" s="7">
        <v>1</v>
      </c>
      <c r="C8238" s="7" t="s">
        <v>10</v>
      </c>
      <c r="D8238" s="7">
        <v>10190</v>
      </c>
      <c r="E8238" s="7" t="s">
        <v>28</v>
      </c>
      <c r="F8238" s="8" t="str">
        <f ca="1">IFERROR(__xludf.DUMMYFUNCTION("IF
(
C8239=""фізична особа""
,
VLOOKUP(D8239,IMPORTRANGE(""https://docs.google.com/spreadsheets/d/14Bd19lYaqBhU8_DElYkX7l4wRkHqqCUFNJY4AfY3kHU/edit?usp=sharing  #gid=0"",""фіз особи new!relations_name""),6,FALSE)
,
(IF
(
C8239=""юридична особа""
,
VLOOKUP"&amp;"(D8239,IMPORTRANGE(""https://docs.google.com/spreadsheets/d/14Bd19lYaqBhU8_DElYkX7l4wRkHqqCUFNJY4AfY3kHU/edit?usp=sharing  #gid=0"",""фіз особи new!relations_name_uo""),7,FALSE)
,
)
))"),"ДАВИДОВ Костянтин Олександрович")</f>
        <v>ДАВИДОВ Костянтин Олександрович</v>
      </c>
      <c r="G8238" s="7" t="s">
        <v>10</v>
      </c>
      <c r="H8238" s="7">
        <v>3036</v>
      </c>
      <c r="I8238" s="8" t="str">
        <f ca="1">IFERROR(__xludf.DUMMYFUNCTION("IF
(
G8239=""фізична особа""
,
VLOOKUP(H8239,IMPORTRANGE(""https://docs.google.com/spreadsheets/d/14Bd19lYaqBhU8_DElYkX7l4wRkHqqCUFNJY4AfY3kHU/edit?usp=sharing  #gid=0"",""фіз особи new!relations_name""),6,FALSE)
,
(IF
(
G8239=""юридична особа""
,
VLOOKUP"&amp;"(H8239,IMPORTRANGE(""https://docs.google.com/spreadsheets/d/14Bd19lYaqBhU8_DElYkX7l4wRkHqqCUFNJY4AfY3kHU/edit?usp=sharing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238" s="7" t="s">
        <v>29</v>
      </c>
    </row>
    <row r="8239" spans="1:10" ht="13.2">
      <c r="A8239" s="7">
        <v>8238</v>
      </c>
      <c r="B8239" s="7">
        <v>1</v>
      </c>
      <c r="C8239" s="7" t="s">
        <v>10</v>
      </c>
      <c r="D8239" s="7">
        <v>10191</v>
      </c>
      <c r="E8239" s="7" t="s">
        <v>28</v>
      </c>
      <c r="F8239" s="8" t="str">
        <f ca="1">IFERROR(__xludf.DUMMYFUNCTION("IF
(
C8240=""фізична особа""
,
VLOOKUP(D8240,IMPORTRANGE(""https://docs.google.com/spreadsheets/d/14Bd19lYaqBhU8_DElYkX7l4wRkHqqCUFNJY4AfY3kHU/edit?usp=sharing  #gid=0"",""фіз особи new!relations_name""),6,FALSE)
,
(IF
(
C8240=""юридична особа""
,
VLOOKUP"&amp;"(D8240,IMPORTRANGE(""https://docs.google.com/spreadsheets/d/14Bd19lYaqBhU8_DElYkX7l4wRkHqqCUFNJY4AfY3kHU/edit?usp=sharing  #gid=0"",""фіз особи new!relations_name_uo""),7,FALSE)
,
)
))"),"МОСКВІНА Марина Володимирівна")</f>
        <v>МОСКВІНА Марина Володимирівна</v>
      </c>
      <c r="G8239" s="7" t="s">
        <v>10</v>
      </c>
      <c r="H8239" s="7">
        <v>3036</v>
      </c>
      <c r="I8239" s="8" t="str">
        <f ca="1">IFERROR(__xludf.DUMMYFUNCTION("IF
(
G8240=""фізична особа""
,
VLOOKUP(H8240,IMPORTRANGE(""https://docs.google.com/spreadsheets/d/14Bd19lYaqBhU8_DElYkX7l4wRkHqqCUFNJY4AfY3kHU/edit?usp=sharing  #gid=0"",""фіз особи new!relations_name""),6,FALSE)
,
(IF
(
G8240=""юридична особа""
,
VLOOKUP"&amp;"(H8240,IMPORTRANGE(""https://docs.google.com/spreadsheets/d/14Bd19lYaqBhU8_DElYkX7l4wRkHqqCUFNJY4AfY3kHU/edit?usp=sharing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239" s="7" t="s">
        <v>29</v>
      </c>
    </row>
    <row r="8240" spans="1:10" ht="13.2">
      <c r="A8240" s="7">
        <v>8239</v>
      </c>
      <c r="B8240" s="7">
        <v>1</v>
      </c>
      <c r="C8240" s="7" t="s">
        <v>10</v>
      </c>
      <c r="D8240" s="7">
        <v>10191</v>
      </c>
      <c r="E8240" s="7" t="s">
        <v>28</v>
      </c>
      <c r="F8240" s="8" t="str">
        <f ca="1">IFERROR(__xludf.DUMMYFUNCTION("IF
(
C8241=""фізична особа""
,
VLOOKUP(D8241,IMPORTRANGE(""https://docs.google.com/spreadsheets/d/14Bd19lYaqBhU8_DElYkX7l4wRkHqqCUFNJY4AfY3kHU/edit?usp=sharing  #gid=0"",""фіз особи new!relations_name""),6,FALSE)
,
(IF
(
C8241=""юридична особа""
,
VLOOKUP"&amp;"(D8241,IMPORTRANGE(""https://docs.google.com/spreadsheets/d/14Bd19lYaqBhU8_DElYkX7l4wRkHqqCUFNJY4AfY3kHU/edit?usp=sharing  #gid=0"",""фіз особи new!relations_name_uo""),7,FALSE)
,
)
))"),"МОСКВІНА Марина Володимирівна")</f>
        <v>МОСКВІНА Марина Володимирівна</v>
      </c>
      <c r="G8240" s="7" t="s">
        <v>10</v>
      </c>
      <c r="H8240" s="7">
        <v>10190</v>
      </c>
      <c r="I8240" s="8" t="str">
        <f ca="1">IFERROR(__xludf.DUMMYFUNCTION("IF
(
G8241=""фізична особа""
,
VLOOKUP(H8241,IMPORTRANGE(""https://docs.google.com/spreadsheets/d/14Bd19lYaqBhU8_DElYkX7l4wRkHqqCUFNJY4AfY3kHU/edit?usp=sharing  #gid=0"",""фіз особи new!relations_name""),6,FALSE)
,
(IF
(
G8241=""юридична особа""
,
VLOOKUP"&amp;"(H8241,IMPORTRANGE(""https://docs.google.com/spreadsheets/d/14Bd19lYaqBhU8_DElYkX7l4wRkHqqCUFNJY4AfY3kHU/edit?usp=sharing  #gid=0"",""фіз особи new!relations_name_uo""),7,FALSE)
,
)
))"),"ДАВИДОВ Костянтин Олександрович")</f>
        <v>ДАВИДОВ Костянтин Олександрович</v>
      </c>
      <c r="J8240" s="7" t="s">
        <v>29</v>
      </c>
    </row>
    <row r="8241" spans="1:10" ht="13.2">
      <c r="A8241" s="7">
        <v>8240</v>
      </c>
      <c r="B8241" s="7">
        <v>1</v>
      </c>
      <c r="C8241" s="7" t="s">
        <v>10</v>
      </c>
      <c r="D8241" s="7">
        <v>10192</v>
      </c>
      <c r="E8241" s="7" t="s">
        <v>28</v>
      </c>
      <c r="F8241" s="8" t="str">
        <f ca="1">IFERROR(__xludf.DUMMYFUNCTION("IF
(
C8242=""фізична особа""
,
VLOOKUP(D8242,IMPORTRANGE(""https://docs.google.com/spreadsheets/d/14Bd19lYaqBhU8_DElYkX7l4wRkHqqCUFNJY4AfY3kHU/edit?usp=sharing  #gid=0"",""фіз особи new!relations_name""),6,FALSE)
,
(IF
(
C8242=""юридична особа""
,
VLOOKUP"&amp;"(D8242,IMPORTRANGE(""https://docs.google.com/spreadsheets/d/14Bd19lYaqBhU8_DElYkX7l4wRkHqqCUFNJY4AfY3kHU/edit?usp=sharing  #gid=0"",""фіз особи new!relations_name_uo""),7,FALSE)
,
)
))"),"КУТУЗОВ Михайло Юрійович")</f>
        <v>КУТУЗОВ Михайло Юрійович</v>
      </c>
      <c r="G8241" s="7" t="s">
        <v>10</v>
      </c>
      <c r="H8241" s="7">
        <v>2942</v>
      </c>
      <c r="I8241" s="8" t="str">
        <f ca="1">IFERROR(__xludf.DUMMYFUNCTION("IF
(
G8242=""фізична особа""
,
VLOOKUP(H8242,IMPORTRANGE(""https://docs.google.com/spreadsheets/d/14Bd19lYaqBhU8_DElYkX7l4wRkHqqCUFNJY4AfY3kHU/edit?usp=sharing  #gid=0"",""фіз особи new!relations_name""),6,FALSE)
,
(IF
(
G8242=""юридична особа""
,
VLOOKUP"&amp;"(H8242,IMPORTRANGE(""https://docs.google.com/spreadsheets/d/14Bd19lYaqBhU8_DElYkX7l4wRkHqqCUFNJY4AfY3kHU/edit?usp=sharing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41" s="7" t="s">
        <v>29</v>
      </c>
    </row>
    <row r="8242" spans="1:10" ht="13.2">
      <c r="A8242" s="7">
        <v>8241</v>
      </c>
      <c r="B8242" s="7">
        <v>1</v>
      </c>
      <c r="C8242" s="7" t="s">
        <v>10</v>
      </c>
      <c r="D8242" s="7">
        <v>10193</v>
      </c>
      <c r="E8242" s="7" t="s">
        <v>28</v>
      </c>
      <c r="F8242" s="8" t="str">
        <f ca="1">IFERROR(__xludf.DUMMYFUNCTION("IF
(
C8243=""фізична особа""
,
VLOOKUP(D8243,IMPORTRANGE(""https://docs.google.com/spreadsheets/d/14Bd19lYaqBhU8_DElYkX7l4wRkHqqCUFNJY4AfY3kHU/edit?usp=sharing  #gid=0"",""фіз особи new!relations_name""),6,FALSE)
,
(IF
(
C8243=""юридична особа""
,
VLOOKUP"&amp;"(D8243,IMPORTRANGE(""https://docs.google.com/spreadsheets/d/14Bd19lYaqBhU8_DElYkX7l4wRkHqqCUFNJY4AfY3kHU/edit?usp=sharing  #gid=0"",""фіз особи new!relations_name_uo""),7,FALSE)
,
)
))"),"ГАЛИНІН Сергій Миколайович")</f>
        <v>ГАЛИНІН Сергій Миколайович</v>
      </c>
      <c r="G8242" s="7" t="s">
        <v>10</v>
      </c>
      <c r="H8242" s="7">
        <v>3036</v>
      </c>
      <c r="I8242" s="8" t="str">
        <f ca="1">IFERROR(__xludf.DUMMYFUNCTION("IF
(
G8243=""фізична особа""
,
VLOOKUP(H8243,IMPORTRANGE(""https://docs.google.com/spreadsheets/d/14Bd19lYaqBhU8_DElYkX7l4wRkHqqCUFNJY4AfY3kHU/edit?usp=sharing  #gid=0"",""фіз особи new!relations_name""),6,FALSE)
,
(IF
(
G8243=""юридична особа""
,
VLOOKUP"&amp;"(H8243,IMPORTRANGE(""https://docs.google.com/spreadsheets/d/14Bd19lYaqBhU8_DElYkX7l4wRkHqqCUFNJY4AfY3kHU/edit?usp=sharing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242" s="7" t="s">
        <v>29</v>
      </c>
    </row>
    <row r="8243" spans="1:10" ht="13.2">
      <c r="A8243" s="7">
        <v>8242</v>
      </c>
      <c r="B8243" s="7">
        <v>1</v>
      </c>
      <c r="C8243" s="7" t="s">
        <v>10</v>
      </c>
      <c r="D8243" s="7">
        <v>10194</v>
      </c>
      <c r="E8243" s="7" t="s">
        <v>28</v>
      </c>
      <c r="F8243" s="8" t="str">
        <f ca="1">IFERROR(__xludf.DUMMYFUNCTION("IF
(
C8244=""фізична особа""
,
VLOOKUP(D8244,IMPORTRANGE(""https://docs.google.com/spreadsheets/d/14Bd19lYaqBhU8_DElYkX7l4wRkHqqCUFNJY4AfY3kHU/edit?usp=sharing  #gid=0"",""фіз особи new!relations_name""),6,FALSE)
,
(IF
(
C8244=""юридична особа""
,
VLOOKUP"&amp;"(D8244,IMPORTRANGE(""https://docs.google.com/spreadsheets/d/14Bd19lYaqBhU8_DElYkX7l4wRkHqqCUFNJY4AfY3kHU/edit?usp=sharing  #gid=0"",""фіз особи new!relations_name_uo""),7,FALSE)
,
)
))"),"ТІСЕН Ольга Миколаївна")</f>
        <v>ТІСЕН Ольга Миколаївна</v>
      </c>
      <c r="G8243" s="7" t="s">
        <v>10</v>
      </c>
      <c r="H8243" s="7">
        <v>16565</v>
      </c>
      <c r="I8243" s="8" t="str">
        <f ca="1">IFERROR(__xludf.DUMMYFUNCTION("IF
(
G8244=""фізична особа""
,
VLOOKUP(H8244,IMPORTRANGE(""https://docs.google.com/spreadsheets/d/14Bd19lYaqBhU8_DElYkX7l4wRkHqqCUFNJY4AfY3kHU/edit?usp=sharing  #gid=0"",""фіз особи new!relations_name""),6,FALSE)
,
(IF
(
G8244=""юридична особа""
,
VLOOKUP"&amp;"(H8244,IMPORTRANGE(""https://docs.google.com/spreadsheets/d/14Bd19lYaqBhU8_DElYkX7l4wRkHqqCUFNJY4AfY3kHU/edit?usp=sharing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243" s="7" t="s">
        <v>29</v>
      </c>
    </row>
    <row r="8244" spans="1:10" ht="13.2">
      <c r="A8244" s="7">
        <v>8243</v>
      </c>
      <c r="B8244" s="7">
        <v>1</v>
      </c>
      <c r="C8244" s="7" t="s">
        <v>10</v>
      </c>
      <c r="D8244" s="7">
        <v>10194</v>
      </c>
      <c r="E8244" s="7" t="s">
        <v>28</v>
      </c>
      <c r="F8244" s="8" t="str">
        <f ca="1">IFERROR(__xludf.DUMMYFUNCTION("IF
(
C8245=""фізична особа""
,
VLOOKUP(D8245,IMPORTRANGE(""https://docs.google.com/spreadsheets/d/14Bd19lYaqBhU8_DElYkX7l4wRkHqqCUFNJY4AfY3kHU/edit?usp=sharing  #gid=0"",""фіз особи new!relations_name""),6,FALSE)
,
(IF
(
C8245=""юридична особа""
,
VLOOKUP"&amp;"(D8245,IMPORTRANGE(""https://docs.google.com/spreadsheets/d/14Bd19lYaqBhU8_DElYkX7l4wRkHqqCUFNJY4AfY3kHU/edit?usp=sharing  #gid=0"",""фіз особи new!relations_name_uo""),7,FALSE)
,
)
))"),"ТІСЕН Ольга Миколаївна")</f>
        <v>ТІСЕН Ольга Миколаївна</v>
      </c>
      <c r="G8244" s="7" t="s">
        <v>10</v>
      </c>
      <c r="H8244" s="7">
        <v>1610</v>
      </c>
      <c r="I8244" s="8" t="str">
        <f ca="1">IFERROR(__xludf.DUMMYFUNCTION("IF
(
G8245=""фізична особа""
,
VLOOKUP(H8245,IMPORTRANGE(""https://docs.google.com/spreadsheets/d/14Bd19lYaqBhU8_DElYkX7l4wRkHqqCUFNJY4AfY3kHU/edit?usp=sharing  #gid=0"",""фіз особи new!relations_name""),6,FALSE)
,
(IF
(
G8245=""юридична особа""
,
VLOOKUP"&amp;"(H8245,IMPORTRANGE(""https://docs.google.com/spreadsheets/d/14Bd19lYaqBhU8_DElYkX7l4wRkHqqCUFNJY4AfY3kHU/edit?usp=sharing  #gid=0"",""фіз особи new!relations_name_uo""),7,FALSE)
,
)
))"),"НЕГЛЯД Герман Юрійович")</f>
        <v>НЕГЛЯД Герман Юрійович</v>
      </c>
      <c r="J8244" s="7" t="s">
        <v>29</v>
      </c>
    </row>
    <row r="8245" spans="1:10" ht="13.2">
      <c r="A8245" s="7">
        <v>8244</v>
      </c>
      <c r="B8245" s="7">
        <v>1</v>
      </c>
      <c r="C8245" s="7" t="s">
        <v>10</v>
      </c>
      <c r="D8245" s="7">
        <v>10195</v>
      </c>
      <c r="E8245" s="7" t="s">
        <v>28</v>
      </c>
      <c r="F8245" s="8" t="str">
        <f ca="1">IFERROR(__xludf.DUMMYFUNCTION("IF
(
C8246=""фізична особа""
,
VLOOKUP(D8246,IMPORTRANGE(""https://docs.google.com/spreadsheets/d/14Bd19lYaqBhU8_DElYkX7l4wRkHqqCUFNJY4AfY3kHU/edit?usp=sharing  #gid=0"",""фіз особи new!relations_name""),6,FALSE)
,
(IF
(
C8246=""юридична особа""
,
VLOOKUP"&amp;"(D8246,IMPORTRANGE(""https://docs.google.com/spreadsheets/d/14Bd19lYaqBhU8_DElYkX7l4wRkHqqCUFNJY4AfY3kHU/edit?usp=sharing  #gid=0"",""фіз особи new!relations_name_uo""),7,FALSE)
,
)
))"),"ШУСТОВА Ельвіра Сергіївна")</f>
        <v>ШУСТОВА Ельвіра Сергіївна</v>
      </c>
      <c r="G8245" s="7" t="s">
        <v>10</v>
      </c>
      <c r="H8245" s="7">
        <v>2942</v>
      </c>
      <c r="I8245" s="8" t="str">
        <f ca="1">IFERROR(__xludf.DUMMYFUNCTION("IF
(
G8246=""фізична особа""
,
VLOOKUP(H8246,IMPORTRANGE(""https://docs.google.com/spreadsheets/d/14Bd19lYaqBhU8_DElYkX7l4wRkHqqCUFNJY4AfY3kHU/edit?usp=sharing  #gid=0"",""фіз особи new!relations_name""),6,FALSE)
,
(IF
(
G8246=""юридична особа""
,
VLOOKUP"&amp;"(H8246,IMPORTRANGE(""https://docs.google.com/spreadsheets/d/14Bd19lYaqBhU8_DElYkX7l4wRkHqqCUFNJY4AfY3kHU/edit?usp=sharing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45" s="7" t="s">
        <v>29</v>
      </c>
    </row>
    <row r="8246" spans="1:10" ht="13.2">
      <c r="A8246" s="7">
        <v>8245</v>
      </c>
      <c r="B8246" s="7">
        <v>1</v>
      </c>
      <c r="C8246" s="7" t="s">
        <v>10</v>
      </c>
      <c r="D8246" s="7">
        <v>10196</v>
      </c>
      <c r="E8246" s="7" t="s">
        <v>28</v>
      </c>
      <c r="F8246" s="8" t="str">
        <f ca="1">IFERROR(__xludf.DUMMYFUNCTION("IF
(
C8247=""фізична особа""
,
VLOOKUP(D8247,IMPORTRANGE(""https://docs.google.com/spreadsheets/d/14Bd19lYaqBhU8_DElYkX7l4wRkHqqCUFNJY4AfY3kHU/edit?usp=sharing  #gid=0"",""фіз особи new!relations_name""),6,FALSE)
,
(IF
(
C8247=""юридична особа""
,
VLOOKUP"&amp;"(D8247,IMPORTRANGE(""https://docs.google.com/spreadsheets/d/14Bd19lYaqBhU8_DElYkX7l4wRkHqqCUFNJY4AfY3kHU/edit?usp=sharing  #gid=0"",""фіз особи new!relations_name_uo""),7,FALSE)
,
)
))"),"ШУМАЄВ Геннадій Іванович")</f>
        <v>ШУМАЄВ Геннадій Іванович</v>
      </c>
      <c r="G8246" s="7" t="s">
        <v>10</v>
      </c>
      <c r="H8246" s="7">
        <v>16565</v>
      </c>
      <c r="I8246" s="8" t="str">
        <f ca="1">IFERROR(__xludf.DUMMYFUNCTION("IF
(
G8247=""фізична особа""
,
VLOOKUP(H8247,IMPORTRANGE(""https://docs.google.com/spreadsheets/d/14Bd19lYaqBhU8_DElYkX7l4wRkHqqCUFNJY4AfY3kHU/edit?usp=sharing  #gid=0"",""фіз особи new!relations_name""),6,FALSE)
,
(IF
(
G8247=""юридична особа""
,
VLOOKUP"&amp;"(H8247,IMPORTRANGE(""https://docs.google.com/spreadsheets/d/14Bd19lYaqBhU8_DElYkX7l4wRkHqqCUFNJY4AfY3kHU/edit?usp=sharing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246" s="7" t="s">
        <v>29</v>
      </c>
    </row>
    <row r="8247" spans="1:10" ht="13.2">
      <c r="A8247" s="7">
        <v>8246</v>
      </c>
      <c r="B8247" s="7">
        <v>1</v>
      </c>
      <c r="C8247" s="7" t="s">
        <v>10</v>
      </c>
      <c r="D8247" s="7">
        <v>10196</v>
      </c>
      <c r="E8247" s="7" t="s">
        <v>28</v>
      </c>
      <c r="F8247" s="8" t="str">
        <f ca="1">IFERROR(__xludf.DUMMYFUNCTION("IF
(
C8248=""фізична особа""
,
VLOOKUP(D8248,IMPORTRANGE(""https://docs.google.com/spreadsheets/d/14Bd19lYaqBhU8_DElYkX7l4wRkHqqCUFNJY4AfY3kHU/edit?usp=sharing  #gid=0"",""фіз особи new!relations_name""),6,FALSE)
,
(IF
(
C8248=""юридична особа""
,
VLOOKUP"&amp;"(D8248,IMPORTRANGE(""https://docs.google.com/spreadsheets/d/14Bd19lYaqBhU8_DElYkX7l4wRkHqqCUFNJY4AfY3kHU/edit?usp=sharing  #gid=0"",""фіз особи new!relations_name_uo""),7,FALSE)
,
)
))"),"ШУМАЄВ Геннадій Іванович")</f>
        <v>ШУМАЄВ Геннадій Іванович</v>
      </c>
      <c r="G8247" s="7" t="s">
        <v>10</v>
      </c>
      <c r="H8247" s="7">
        <v>1611</v>
      </c>
      <c r="I8247" s="8" t="str">
        <f ca="1">IFERROR(__xludf.DUMMYFUNCTION("IF
(
G8248=""фізична особа""
,
VLOOKUP(H8248,IMPORTRANGE(""https://docs.google.com/spreadsheets/d/14Bd19lYaqBhU8_DElYkX7l4wRkHqqCUFNJY4AfY3kHU/edit?usp=sharing  #gid=0"",""фіз особи new!relations_name""),6,FALSE)
,
(IF
(
G8248=""юридична особа""
,
VLOOKUP"&amp;"(H8248,IMPORTRANGE(""https://docs.google.com/spreadsheets/d/14Bd19lYaqBhU8_DElYkX7l4wRkHqqCUFNJY4AfY3kHU/edit?usp=sharing  #gid=0"",""фіз особи new!relations_name_uo""),7,FALSE)
,
)
))"),"КОРНЄВ Іван Олександрович")</f>
        <v>КОРНЄВ Іван Олександрович</v>
      </c>
      <c r="J8247" s="7" t="s">
        <v>29</v>
      </c>
    </row>
    <row r="8248" spans="1:10" ht="13.2">
      <c r="A8248" s="7">
        <v>8247</v>
      </c>
      <c r="B8248" s="7">
        <v>1</v>
      </c>
      <c r="C8248" s="7" t="s">
        <v>10</v>
      </c>
      <c r="D8248" s="7">
        <v>10197</v>
      </c>
      <c r="E8248" s="7" t="s">
        <v>28</v>
      </c>
      <c r="F8248" s="8" t="str">
        <f ca="1">IFERROR(__xludf.DUMMYFUNCTION("IF
(
C8249=""фізична особа""
,
VLOOKUP(D8249,IMPORTRANGE(""https://docs.google.com/spreadsheets/d/14Bd19lYaqBhU8_DElYkX7l4wRkHqqCUFNJY4AfY3kHU/edit?usp=sharing  #gid=0"",""фіз особи new!relations_name""),6,FALSE)
,
(IF
(
C8249=""юридична особа""
,
VLOOKUP"&amp;"(D8249,IMPORTRANGE(""https://docs.google.com/spreadsheets/d/14Bd19lYaqBhU8_DElYkX7l4wRkHqqCUFNJY4AfY3kHU/edit?usp=sharing  #gid=0"",""фіз особи new!relations_name_uo""),7,FALSE)
,
)
))"),"ЛАПТЄВ Лев Олександрович")</f>
        <v>ЛАПТЄВ Лев Олександрович</v>
      </c>
      <c r="G8248" s="7" t="s">
        <v>10</v>
      </c>
      <c r="H8248" s="7">
        <v>2942</v>
      </c>
      <c r="I8248" s="8" t="str">
        <f ca="1">IFERROR(__xludf.DUMMYFUNCTION("IF
(
G8249=""фізична особа""
,
VLOOKUP(H8249,IMPORTRANGE(""https://docs.google.com/spreadsheets/d/14Bd19lYaqBhU8_DElYkX7l4wRkHqqCUFNJY4AfY3kHU/edit?usp=sharing  #gid=0"",""фіз особи new!relations_name""),6,FALSE)
,
(IF
(
G8249=""юридична особа""
,
VLOOKUP"&amp;"(H8249,IMPORTRANGE(""https://docs.google.com/spreadsheets/d/14Bd19lYaqBhU8_DElYkX7l4wRkHqqCUFNJY4AfY3kHU/edit?usp=sharing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48" s="7" t="s">
        <v>29</v>
      </c>
    </row>
    <row r="8249" spans="1:10" ht="13.2">
      <c r="A8249" s="7">
        <v>8248</v>
      </c>
      <c r="B8249" s="7">
        <v>1</v>
      </c>
      <c r="C8249" s="7" t="s">
        <v>10</v>
      </c>
      <c r="D8249" s="7">
        <v>10199</v>
      </c>
      <c r="E8249" s="7" t="s">
        <v>28</v>
      </c>
      <c r="F8249" s="8" t="str">
        <f ca="1">IFERROR(__xludf.DUMMYFUNCTION("IF
(
C8250=""фізична особа""
,
VLOOKUP(D8250,IMPORTRANGE(""https://docs.google.com/spreadsheets/d/14Bd19lYaqBhU8_DElYkX7l4wRkHqqCUFNJY4AfY3kHU/edit?usp=sharing  #gid=0"",""фіз особи new!relations_name""),6,FALSE)
,
(IF
(
C8250=""юридична особа""
,
VLOOKUP"&amp;"(D8250,IMPORTRANGE(""https://docs.google.com/spreadsheets/d/14Bd19lYaqBhU8_DElYkX7l4wRkHqqCUFNJY4AfY3kHU/edit?usp=sharing  #gid=0"",""фіз особи new!relations_name_uo""),7,FALSE)
,
)
))"),"ГРОШЕВ Олександр Володимирович")</f>
        <v>ГРОШЕВ Олександр Володимирович</v>
      </c>
      <c r="G8249" s="7" t="s">
        <v>10</v>
      </c>
      <c r="H8249" s="7">
        <v>16565</v>
      </c>
      <c r="I8249" s="8" t="str">
        <f ca="1">IFERROR(__xludf.DUMMYFUNCTION("IF
(
G8250=""фізична особа""
,
VLOOKUP(H8250,IMPORTRANGE(""https://docs.google.com/spreadsheets/d/14Bd19lYaqBhU8_DElYkX7l4wRkHqqCUFNJY4AfY3kHU/edit?usp=sharing  #gid=0"",""фіз особи new!relations_name""),6,FALSE)
,
(IF
(
G8250=""юридична особа""
,
VLOOKUP"&amp;"(H8250,IMPORTRANGE(""https://docs.google.com/spreadsheets/d/14Bd19lYaqBhU8_DElYkX7l4wRkHqqCUFNJY4AfY3kHU/edit?usp=sharing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J8249" s="7" t="s">
        <v>29</v>
      </c>
    </row>
    <row r="8250" spans="1:10" ht="13.2">
      <c r="A8250" s="7">
        <v>8249</v>
      </c>
      <c r="B8250" s="7">
        <v>1</v>
      </c>
      <c r="C8250" s="7" t="s">
        <v>10</v>
      </c>
      <c r="D8250" s="7">
        <v>10199</v>
      </c>
      <c r="E8250" s="7" t="s">
        <v>28</v>
      </c>
      <c r="F8250" s="8" t="str">
        <f ca="1">IFERROR(__xludf.DUMMYFUNCTION("IF
(
C8251=""фізична особа""
,
VLOOKUP(D8251,IMPORTRANGE(""https://docs.google.com/spreadsheets/d/14Bd19lYaqBhU8_DElYkX7l4wRkHqqCUFNJY4AfY3kHU/edit?usp=sharing  #gid=0"",""фіз особи new!relations_name""),6,FALSE)
,
(IF
(
C8251=""юридична особа""
,
VLOOKUP"&amp;"(D8251,IMPORTRANGE(""https://docs.google.com/spreadsheets/d/14Bd19lYaqBhU8_DElYkX7l4wRkHqqCUFNJY4AfY3kHU/edit?usp=sharing  #gid=0"",""фіз особи new!relations_name_uo""),7,FALSE)
,
)
))"),"ГРОШЕВ Олександр Володимирович")</f>
        <v>ГРОШЕВ Олександр Володимирович</v>
      </c>
      <c r="G8250" s="7" t="s">
        <v>10</v>
      </c>
      <c r="H8250" s="7">
        <v>1613</v>
      </c>
      <c r="I8250" s="8" t="str">
        <f ca="1">IFERROR(__xludf.DUMMYFUNCTION("IF
(
G8251=""фізична особа""
,
VLOOKUP(H8251,IMPORTRANGE(""https://docs.google.com/spreadsheets/d/14Bd19lYaqBhU8_DElYkX7l4wRkHqqCUFNJY4AfY3kHU/edit?usp=sharing  #gid=0"",""фіз особи new!relations_name""),6,FALSE)
,
(IF
(
G8251=""юридична особа""
,
VLOOKUP"&amp;"(H8251,IMPORTRANGE(""https://docs.google.com/spreadsheets/d/14Bd19lYaqBhU8_DElYkX7l4wRkHqqCUFNJY4AfY3kHU/edit?usp=sharing  #gid=0"",""фіз особи new!relations_name_uo""),7,FALSE)
,
)
))"),"БОБРИШЕВА Галина Володимирівна")</f>
        <v>БОБРИШЕВА Галина Володимирівна</v>
      </c>
      <c r="J8250" s="7" t="s">
        <v>29</v>
      </c>
    </row>
    <row r="8251" spans="1:10" ht="13.2">
      <c r="A8251" s="7">
        <v>8250</v>
      </c>
      <c r="B8251" s="7">
        <v>1</v>
      </c>
      <c r="C8251" s="7" t="s">
        <v>10</v>
      </c>
      <c r="D8251" s="7">
        <v>10199</v>
      </c>
      <c r="E8251" s="7" t="s">
        <v>28</v>
      </c>
      <c r="F8251" s="8" t="str">
        <f ca="1">IFERROR(__xludf.DUMMYFUNCTION("IF
(
C8252=""фізична особа""
,
VLOOKUP(D8252,IMPORTRANGE(""https://docs.google.com/spreadsheets/d/14Bd19lYaqBhU8_DElYkX7l4wRkHqqCUFNJY4AfY3kHU/edit?usp=sharing  #gid=0"",""фіз особи new!relations_name""),6,FALSE)
,
(IF
(
C8252=""юридична особа""
,
VLOOKUP"&amp;"(D8252,IMPORTRANGE(""https://docs.google.com/spreadsheets/d/14Bd19lYaqBhU8_DElYkX7l4wRkHqqCUFNJY4AfY3kHU/edit?usp=sharing  #gid=0"",""фіз особи new!relations_name_uo""),7,FALSE)
,
)
))"),"ГРОШЕВ Олександр Володимирович")</f>
        <v>ГРОШЕВ Олександр Володимирович</v>
      </c>
      <c r="G8251" s="7" t="s">
        <v>10</v>
      </c>
      <c r="H8251" s="7">
        <v>22386</v>
      </c>
      <c r="I8251" s="8" t="str">
        <f ca="1">IFERROR(__xludf.DUMMYFUNCTION("IF
(
G8252=""фізична особа""
,
VLOOKUP(H8252,IMPORTRANGE(""https://docs.google.com/spreadsheets/d/14Bd19lYaqBhU8_DElYkX7l4wRkHqqCUFNJY4AfY3kHU/edit?usp=sharing  #gid=0"",""фіз особи new!relations_name""),6,FALSE)
,
(IF
(
G8252=""юридична особа""
,
VLOOKUP"&amp;"(H8252,IMPORTRANGE(""https://docs.google.com/spreadsheets/d/14Bd19lYaqBhU8_DElYkX7l4wRkHqqCUFNJY4AfY3kHU/edit?usp=sharing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251" s="7" t="s">
        <v>29</v>
      </c>
    </row>
    <row r="8252" spans="1:10" ht="13.2">
      <c r="A8252" s="7">
        <v>8251</v>
      </c>
      <c r="B8252" s="7">
        <v>1</v>
      </c>
      <c r="C8252" s="7" t="s">
        <v>10</v>
      </c>
      <c r="D8252" s="7">
        <v>10199</v>
      </c>
      <c r="E8252" s="7" t="s">
        <v>28</v>
      </c>
      <c r="F8252" s="8" t="str">
        <f ca="1">IFERROR(__xludf.DUMMYFUNCTION("IF
(
C8253=""фізична особа""
,
VLOOKUP(D8253,IMPORTRANGE(""https://docs.google.com/spreadsheets/d/14Bd19lYaqBhU8_DElYkX7l4wRkHqqCUFNJY4AfY3kHU/edit?usp=sharing  #gid=0"",""фіз особи new!relations_name""),6,FALSE)
,
(IF
(
C8253=""юридична особа""
,
VLOOKUP"&amp;"(D8253,IMPORTRANGE(""https://docs.google.com/spreadsheets/d/14Bd19lYaqBhU8_DElYkX7l4wRkHqqCUFNJY4AfY3kHU/edit?usp=sharing  #gid=0"",""фіз особи new!relations_name_uo""),7,FALSE)
,
)
))"),"ГРОШЕВ Олександр Володимирович")</f>
        <v>ГРОШЕВ Олександр Володимирович</v>
      </c>
      <c r="G8252" s="7" t="s">
        <v>10</v>
      </c>
      <c r="H8252" s="7">
        <v>0</v>
      </c>
      <c r="I8252" s="8" t="str">
        <f ca="1">IFERROR(__xludf.DUMMYFUNCTION("IF
(
G8253=""фізична особа""
,
VLOOKUP(H8253,IMPORTRANGE(""https://docs.google.com/spreadsheets/d/14Bd19lYaqBhU8_DElYkX7l4wRkHqqCUFNJY4AfY3kHU/edit?usp=sharing  #gid=0"",""фіз особи new!relations_name""),6,FALSE)
,
(IF
(
G8253=""юридична особа""
,
VLOOKUP"&amp;"(H8253,IMPORTRANGE(""https://docs.google.com/spreadsheets/d/14Bd19lYaqBhU8_DElYkX7l4wRkHqqCUFNJY4AfY3kHU/edit?usp=sharing  #gid=0"",""фіз особи new!relations_name_uo""),7,FALSE)
,
)
))"),"#N/A")</f>
        <v>#N/A</v>
      </c>
      <c r="J8252" s="7" t="s">
        <v>29</v>
      </c>
    </row>
    <row r="8253" spans="1:10" ht="13.2">
      <c r="A8253" s="7">
        <v>8252</v>
      </c>
      <c r="B8253" s="7">
        <v>1</v>
      </c>
      <c r="C8253" s="7" t="s">
        <v>10</v>
      </c>
      <c r="D8253" s="7">
        <v>10200</v>
      </c>
      <c r="E8253" s="7" t="s">
        <v>28</v>
      </c>
      <c r="F8253" s="8" t="str">
        <f ca="1">IFERROR(__xludf.DUMMYFUNCTION("IF
(
C8254=""фізична особа""
,
VLOOKUP(D8254,IMPORTRANGE(""https://docs.google.com/spreadsheets/d/14Bd19lYaqBhU8_DElYkX7l4wRkHqqCUFNJY4AfY3kHU/edit?usp=sharing  #gid=0"",""фіз особи new!relations_name""),6,FALSE)
,
(IF
(
C8254=""юридична особа""
,
VLOOKUP"&amp;"(D8254,IMPORTRANGE(""https://docs.google.com/spreadsheets/d/14Bd19lYaqBhU8_DElYkX7l4wRkHqqCUFNJY4AfY3kHU/edit?usp=sharing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G8253" s="7" t="s">
        <v>10</v>
      </c>
      <c r="H8253" s="7">
        <v>3087</v>
      </c>
      <c r="I8253" s="8" t="str">
        <f ca="1">IFERROR(__xludf.DUMMYFUNCTION("IF
(
G8254=""фізична особа""
,
VLOOKUP(H8254,IMPORTRANGE(""https://docs.google.com/spreadsheets/d/14Bd19lYaqBhU8_DElYkX7l4wRkHqqCUFNJY4AfY3kHU/edit?usp=sharing  #gid=0"",""фіз особи new!relations_name""),6,FALSE)
,
(IF
(
G8254=""юридична особа""
,
VLOOKUP"&amp;"(H8254,IMPORTRANGE(""https://docs.google.com/spreadsheets/d/14Bd19lYaqBhU8_DElYkX7l4wRkHqqCUFNJY4AfY3kHU/edit?usp=sharing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3" s="7" t="s">
        <v>29</v>
      </c>
    </row>
    <row r="8254" spans="1:10" ht="13.2">
      <c r="A8254" s="7">
        <v>8253</v>
      </c>
      <c r="B8254" s="7">
        <v>1</v>
      </c>
      <c r="C8254" s="7" t="s">
        <v>10</v>
      </c>
      <c r="D8254" s="7">
        <v>10201</v>
      </c>
      <c r="E8254" s="7" t="s">
        <v>28</v>
      </c>
      <c r="F8254" s="8" t="str">
        <f ca="1">IFERROR(__xludf.DUMMYFUNCTION("IF
(
C8255=""фізична особа""
,
VLOOKUP(D8255,IMPORTRANGE(""https://docs.google.com/spreadsheets/d/14Bd19lYaqBhU8_DElYkX7l4wRkHqqCUFNJY4AfY3kHU/edit?usp=sharing  #gid=0"",""фіз особи new!relations_name""),6,FALSE)
,
(IF
(
C8255=""юридична особа""
,
VLOOKUP"&amp;"(D8255,IMPORTRANGE(""https://docs.google.com/spreadsheets/d/14Bd19lYaqBhU8_DElYkX7l4wRkHqqCUFNJY4AfY3kHU/edit?usp=sharing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G8254" s="7" t="s">
        <v>10</v>
      </c>
      <c r="H8254" s="7">
        <v>3087</v>
      </c>
      <c r="I8254" s="8" t="str">
        <f ca="1">IFERROR(__xludf.DUMMYFUNCTION("IF
(
G8255=""фізична особа""
,
VLOOKUP(H8255,IMPORTRANGE(""https://docs.google.com/spreadsheets/d/14Bd19lYaqBhU8_DElYkX7l4wRkHqqCUFNJY4AfY3kHU/edit?usp=sharing  #gid=0"",""фіз особи new!relations_name""),6,FALSE)
,
(IF
(
G8255=""юридична особа""
,
VLOOKUP"&amp;"(H8255,IMPORTRANGE(""https://docs.google.com/spreadsheets/d/14Bd19lYaqBhU8_DElYkX7l4wRkHqqCUFNJY4AfY3kHU/edit?usp=sharing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4" s="7" t="s">
        <v>29</v>
      </c>
    </row>
    <row r="8255" spans="1:10" ht="13.2">
      <c r="A8255" s="7">
        <v>8254</v>
      </c>
      <c r="B8255" s="7">
        <v>1</v>
      </c>
      <c r="C8255" s="7" t="s">
        <v>10</v>
      </c>
      <c r="D8255" s="7">
        <v>10202</v>
      </c>
      <c r="E8255" s="7" t="s">
        <v>28</v>
      </c>
      <c r="F8255" s="8" t="str">
        <f ca="1">IFERROR(__xludf.DUMMYFUNCTION("IF
(
C8256=""фізична особа""
,
VLOOKUP(D8256,IMPORTRANGE(""https://docs.google.com/spreadsheets/d/14Bd19lYaqBhU8_DElYkX7l4wRkHqqCUFNJY4AfY3kHU/edit?usp=sharing  #gid=0"",""фіз особи new!relations_name""),6,FALSE)
,
(IF
(
C8256=""юридична особа""
,
VLOOKUP"&amp;"(D8256,IMPORTRANGE(""https://docs.google.com/spreadsheets/d/14Bd19lYaqBhU8_DElYkX7l4wRkHqqCUFNJY4AfY3kHU/edit?usp=sharing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G8255" s="7" t="s">
        <v>10</v>
      </c>
      <c r="H8255" s="7">
        <v>3087</v>
      </c>
      <c r="I8255" s="8" t="str">
        <f ca="1">IFERROR(__xludf.DUMMYFUNCTION("IF
(
G8256=""фізична особа""
,
VLOOKUP(H8256,IMPORTRANGE(""https://docs.google.com/spreadsheets/d/14Bd19lYaqBhU8_DElYkX7l4wRkHqqCUFNJY4AfY3kHU/edit?usp=sharing  #gid=0"",""фіз особи new!relations_name""),6,FALSE)
,
(IF
(
G8256=""юридична особа""
,
VLOOKUP"&amp;"(H8256,IMPORTRANGE(""https://docs.google.com/spreadsheets/d/14Bd19lYaqBhU8_DElYkX7l4wRkHqqCUFNJY4AfY3kHU/edit?usp=sharing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5" s="7" t="s">
        <v>29</v>
      </c>
    </row>
    <row r="8256" spans="1:10" ht="13.2">
      <c r="A8256" s="7">
        <v>8255</v>
      </c>
      <c r="B8256" s="7">
        <v>1</v>
      </c>
      <c r="C8256" s="7" t="s">
        <v>10</v>
      </c>
      <c r="D8256" s="7">
        <v>10203</v>
      </c>
      <c r="E8256" s="7" t="s">
        <v>28</v>
      </c>
      <c r="F8256" s="8" t="str">
        <f ca="1">IFERROR(__xludf.DUMMYFUNCTION("IF
(
C8257=""фізична особа""
,
VLOOKUP(D8257,IMPORTRANGE(""https://docs.google.com/spreadsheets/d/14Bd19lYaqBhU8_DElYkX7l4wRkHqqCUFNJY4AfY3kHU/edit?usp=sharing  #gid=0"",""фіз особи new!relations_name""),6,FALSE)
,
(IF
(
C8257=""юридична особа""
,
VLOOKUP"&amp;"(D8257,IMPORTRANGE(""https://docs.google.com/spreadsheets/d/14Bd19lYaqBhU8_DElYkX7l4wRkHqqCUFNJY4AfY3kHU/edit?usp=sharing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G8256" s="7" t="s">
        <v>10</v>
      </c>
      <c r="H8256" s="7">
        <v>3087</v>
      </c>
      <c r="I8256" s="8" t="str">
        <f ca="1">IFERROR(__xludf.DUMMYFUNCTION("IF
(
G8257=""фізична особа""
,
VLOOKUP(H8257,IMPORTRANGE(""https://docs.google.com/spreadsheets/d/14Bd19lYaqBhU8_DElYkX7l4wRkHqqCUFNJY4AfY3kHU/edit?usp=sharing  #gid=0"",""фіз особи new!relations_name""),6,FALSE)
,
(IF
(
G8257=""юридична особа""
,
VLOOKUP"&amp;"(H8257,IMPORTRANGE(""https://docs.google.com/spreadsheets/d/14Bd19lYaqBhU8_DElYkX7l4wRkHqqCUFNJY4AfY3kHU/edit?usp=sharing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6" s="7" t="s">
        <v>29</v>
      </c>
    </row>
    <row r="8257" spans="1:10" ht="13.2">
      <c r="A8257" s="7">
        <v>8256</v>
      </c>
      <c r="B8257" s="7">
        <v>1</v>
      </c>
      <c r="C8257" s="7" t="s">
        <v>10</v>
      </c>
      <c r="D8257" s="7">
        <v>10204</v>
      </c>
      <c r="E8257" s="7" t="s">
        <v>28</v>
      </c>
      <c r="F8257" s="8" t="str">
        <f ca="1">IFERROR(__xludf.DUMMYFUNCTION("IF
(
C8258=""фізична особа""
,
VLOOKUP(D8258,IMPORTRANGE(""https://docs.google.com/spreadsheets/d/14Bd19lYaqBhU8_DElYkX7l4wRkHqqCUFNJY4AfY3kHU/edit?usp=sharing  #gid=0"",""фіз особи new!relations_name""),6,FALSE)
,
(IF
(
C8258=""юридична особа""
,
VLOOKUP"&amp;"(D8258,IMPORTRANGE(""https://docs.google.com/spreadsheets/d/14Bd19lYaqBhU8_DElYkX7l4wRkHqqCUFNJY4AfY3kHU/edit?usp=sharing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G8257" s="7" t="s">
        <v>10</v>
      </c>
      <c r="H8257" s="7">
        <v>3087</v>
      </c>
      <c r="I8257" s="8" t="str">
        <f ca="1">IFERROR(__xludf.DUMMYFUNCTION("IF
(
G8258=""фізична особа""
,
VLOOKUP(H8258,IMPORTRANGE(""https://docs.google.com/spreadsheets/d/14Bd19lYaqBhU8_DElYkX7l4wRkHqqCUFNJY4AfY3kHU/edit?usp=sharing  #gid=0"",""фіз особи new!relations_name""),6,FALSE)
,
(IF
(
G8258=""юридична особа""
,
VLOOKUP"&amp;"(H8258,IMPORTRANGE(""https://docs.google.com/spreadsheets/d/14Bd19lYaqBhU8_DElYkX7l4wRkHqqCUFNJY4AfY3kHU/edit?usp=sharing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7" s="7" t="s">
        <v>29</v>
      </c>
    </row>
    <row r="8258" spans="1:10" ht="13.2">
      <c r="A8258" s="7">
        <v>8257</v>
      </c>
      <c r="B8258" s="7">
        <v>1</v>
      </c>
      <c r="C8258" s="7" t="s">
        <v>10</v>
      </c>
      <c r="D8258" s="7">
        <v>10205</v>
      </c>
      <c r="E8258" s="7" t="s">
        <v>28</v>
      </c>
      <c r="F8258" s="8" t="str">
        <f ca="1">IFERROR(__xludf.DUMMYFUNCTION("IF
(
C8259=""фізична особа""
,
VLOOKUP(D8259,IMPORTRANGE(""https://docs.google.com/spreadsheets/d/14Bd19lYaqBhU8_DElYkX7l4wRkHqqCUFNJY4AfY3kHU/edit?usp=sharing  #gid=0"",""фіз особи new!relations_name""),6,FALSE)
,
(IF
(
C8259=""юридична особа""
,
VLOOKUP"&amp;"(D8259,IMPORTRANGE(""https://docs.google.com/spreadsheets/d/14Bd19lYaqBhU8_DElYkX7l4wRkHqqCUFNJY4AfY3kHU/edit?usp=sharing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G8258" s="7" t="s">
        <v>10</v>
      </c>
      <c r="H8258" s="7">
        <v>3087</v>
      </c>
      <c r="I8258" s="8" t="str">
        <f ca="1">IFERROR(__xludf.DUMMYFUNCTION("IF
(
G8259=""фізична особа""
,
VLOOKUP(H8259,IMPORTRANGE(""https://docs.google.com/spreadsheets/d/14Bd19lYaqBhU8_DElYkX7l4wRkHqqCUFNJY4AfY3kHU/edit?usp=sharing  #gid=0"",""фіз особи new!relations_name""),6,FALSE)
,
(IF
(
G8259=""юридична особа""
,
VLOOKUP"&amp;"(H8259,IMPORTRANGE(""https://docs.google.com/spreadsheets/d/14Bd19lYaqBhU8_DElYkX7l4wRkHqqCUFNJY4AfY3kHU/edit?usp=sharing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8" s="7" t="s">
        <v>29</v>
      </c>
    </row>
    <row r="8259" spans="1:10" ht="13.2">
      <c r="A8259" s="7">
        <v>8258</v>
      </c>
      <c r="B8259" s="7">
        <v>1</v>
      </c>
      <c r="C8259" s="7" t="s">
        <v>10</v>
      </c>
      <c r="D8259" s="7">
        <v>10206</v>
      </c>
      <c r="E8259" s="7" t="s">
        <v>28</v>
      </c>
      <c r="F8259" s="8" t="str">
        <f ca="1">IFERROR(__xludf.DUMMYFUNCTION("IF
(
C8260=""фізична особа""
,
VLOOKUP(D8260,IMPORTRANGE(""https://docs.google.com/spreadsheets/d/14Bd19lYaqBhU8_DElYkX7l4wRkHqqCUFNJY4AfY3kHU/edit?usp=sharing  #gid=0"",""фіз особи new!relations_name""),6,FALSE)
,
(IF
(
C8260=""юридична особа""
,
VLOOKUP"&amp;"(D8260,IMPORTRANGE(""https://docs.google.com/spreadsheets/d/14Bd19lYaqBhU8_DElYkX7l4wRkHqqCUFNJY4AfY3kHU/edit?usp=sharing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G8259" s="7" t="s">
        <v>10</v>
      </c>
      <c r="H8259" s="7">
        <v>3087</v>
      </c>
      <c r="I8259" s="8" t="str">
        <f ca="1">IFERROR(__xludf.DUMMYFUNCTION("IF
(
G8260=""фізична особа""
,
VLOOKUP(H8260,IMPORTRANGE(""https://docs.google.com/spreadsheets/d/14Bd19lYaqBhU8_DElYkX7l4wRkHqqCUFNJY4AfY3kHU/edit?usp=sharing  #gid=0"",""фіз особи new!relations_name""),6,FALSE)
,
(IF
(
G8260=""юридична особа""
,
VLOOKUP"&amp;"(H8260,IMPORTRANGE(""https://docs.google.com/spreadsheets/d/14Bd19lYaqBhU8_DElYkX7l4wRkHqqCUFNJY4AfY3kHU/edit?usp=sharing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259" s="7" t="s">
        <v>29</v>
      </c>
    </row>
    <row r="8260" spans="1:10" ht="13.2">
      <c r="A8260" s="7">
        <v>8259</v>
      </c>
      <c r="B8260" s="7">
        <v>1</v>
      </c>
      <c r="C8260" s="7" t="s">
        <v>10</v>
      </c>
      <c r="D8260" s="7">
        <v>10207</v>
      </c>
      <c r="E8260" s="7" t="s">
        <v>28</v>
      </c>
      <c r="F8260" s="8" t="str">
        <f ca="1">IFERROR(__xludf.DUMMYFUNCTION("IF
(
C8261=""фізична особа""
,
VLOOKUP(D8261,IMPORTRANGE(""https://docs.google.com/spreadsheets/d/14Bd19lYaqBhU8_DElYkX7l4wRkHqqCUFNJY4AfY3kHU/edit?usp=sharing  #gid=0"",""фіз особи new!relations_name""),6,FALSE)
,
(IF
(
C8261=""юридична особа""
,
VLOOKUP"&amp;"(D8261,IMPORTRANGE(""https://docs.google.com/spreadsheets/d/14Bd19lYaqBhU8_DElYkX7l4wRkHqqCUFNJY4AfY3kHU/edit?usp=sharing  #gid=0"",""фіз особи new!relations_name_uo""),7,FALSE)
,
)
))"),"ГАВРИЛОВ Олександр Васильович")</f>
        <v>ГАВРИЛОВ Олександр Васильович</v>
      </c>
      <c r="G8260" s="7" t="s">
        <v>10</v>
      </c>
      <c r="H8260" s="7">
        <v>2942</v>
      </c>
      <c r="I8260" s="8" t="str">
        <f ca="1">IFERROR(__xludf.DUMMYFUNCTION("IF
(
G8261=""фізична особа""
,
VLOOKUP(H8261,IMPORTRANGE(""https://docs.google.com/spreadsheets/d/14Bd19lYaqBhU8_DElYkX7l4wRkHqqCUFNJY4AfY3kHU/edit?usp=sharing  #gid=0"",""фіз особи new!relations_name""),6,FALSE)
,
(IF
(
G8261=""юридична особа""
,
VLOOKUP"&amp;"(H8261,IMPORTRANGE(""https://docs.google.com/spreadsheets/d/14Bd19lYaqBhU8_DElYkX7l4wRkHqqCUFNJY4AfY3kHU/edit?usp=sharing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0" s="7" t="s">
        <v>29</v>
      </c>
    </row>
    <row r="8261" spans="1:10" ht="13.2">
      <c r="A8261" s="7">
        <v>8260</v>
      </c>
      <c r="B8261" s="7">
        <v>1</v>
      </c>
      <c r="C8261" s="7" t="s">
        <v>10</v>
      </c>
      <c r="D8261" s="7">
        <v>10208</v>
      </c>
      <c r="E8261" s="7" t="s">
        <v>28</v>
      </c>
      <c r="F8261" s="8" t="str">
        <f ca="1">IFERROR(__xludf.DUMMYFUNCTION("IF
(
C8262=""фізична особа""
,
VLOOKUP(D8262,IMPORTRANGE(""https://docs.google.com/spreadsheets/d/14Bd19lYaqBhU8_DElYkX7l4wRkHqqCUFNJY4AfY3kHU/edit?usp=sharing  #gid=0"",""фіз особи new!relations_name""),6,FALSE)
,
(IF
(
C8262=""юридична особа""
,
VLOOKUP"&amp;"(D8262,IMPORTRANGE(""https://docs.google.com/spreadsheets/d/14Bd19lYaqBhU8_DElYkX7l4wRkHqqCUFNJY4AfY3kHU/edit?usp=sharing  #gid=0"",""фіз особи new!relations_name_uo""),7,FALSE)
,
)
))"),"ЧЕРНЯВСЬКИЙ Олександр Анатолійович")</f>
        <v>ЧЕРНЯВСЬКИЙ Олександр Анатолійович</v>
      </c>
      <c r="G8261" s="7" t="s">
        <v>10</v>
      </c>
      <c r="H8261" s="7">
        <v>2942</v>
      </c>
      <c r="I8261" s="8" t="str">
        <f ca="1">IFERROR(__xludf.DUMMYFUNCTION("IF
(
G8262=""фізична особа""
,
VLOOKUP(H8262,IMPORTRANGE(""https://docs.google.com/spreadsheets/d/14Bd19lYaqBhU8_DElYkX7l4wRkHqqCUFNJY4AfY3kHU/edit?usp=sharing  #gid=0"",""фіз особи new!relations_name""),6,FALSE)
,
(IF
(
G8262=""юридична особа""
,
VLOOKUP"&amp;"(H8262,IMPORTRANGE(""https://docs.google.com/spreadsheets/d/14Bd19lYaqBhU8_DElYkX7l4wRkHqqCUFNJY4AfY3kHU/edit?usp=sharing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1" s="7" t="s">
        <v>29</v>
      </c>
    </row>
    <row r="8262" spans="1:10" ht="13.2">
      <c r="A8262" s="7">
        <v>8261</v>
      </c>
      <c r="B8262" s="7">
        <v>1</v>
      </c>
      <c r="C8262" s="7" t="s">
        <v>10</v>
      </c>
      <c r="D8262" s="7">
        <v>10209</v>
      </c>
      <c r="E8262" s="7" t="s">
        <v>28</v>
      </c>
      <c r="F8262" s="8" t="str">
        <f ca="1">IFERROR(__xludf.DUMMYFUNCTION("IF
(
C8263=""фізична особа""
,
VLOOKUP(D8263,IMPORTRANGE(""https://docs.google.com/spreadsheets/d/14Bd19lYaqBhU8_DElYkX7l4wRkHqqCUFNJY4AfY3kHU/edit?usp=sharing  #gid=0"",""фіз особи new!relations_name""),6,FALSE)
,
(IF
(
C8263=""юридична особа""
,
VLOOKUP"&amp;"(D8263,IMPORTRANGE(""https://docs.google.com/spreadsheets/d/14Bd19lYaqBhU8_DElYkX7l4wRkHqqCUFNJY4AfY3kHU/edit?usp=sharing  #gid=0"",""фіз особи new!relations_name_uo""),7,FALSE)
,
)
))"),"ПОДОЛЬСЬКА Ольга Володимирівна")</f>
        <v>ПОДОЛЬСЬКА Ольга Володимирівна</v>
      </c>
      <c r="G8262" s="7" t="s">
        <v>10</v>
      </c>
      <c r="H8262" s="7">
        <v>2942</v>
      </c>
      <c r="I8262" s="8" t="str">
        <f ca="1">IFERROR(__xludf.DUMMYFUNCTION("IF
(
G8263=""фізична особа""
,
VLOOKUP(H8263,IMPORTRANGE(""https://docs.google.com/spreadsheets/d/14Bd19lYaqBhU8_DElYkX7l4wRkHqqCUFNJY4AfY3kHU/edit?usp=sharing  #gid=0"",""фіз особи new!relations_name""),6,FALSE)
,
(IF
(
G8263=""юридична особа""
,
VLOOKUP"&amp;"(H8263,IMPORTRANGE(""https://docs.google.com/spreadsheets/d/14Bd19lYaqBhU8_DElYkX7l4wRkHqqCUFNJY4AfY3kHU/edit?usp=sharing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2" s="7" t="s">
        <v>29</v>
      </c>
    </row>
    <row r="8263" spans="1:10" ht="13.2">
      <c r="A8263" s="7">
        <v>8262</v>
      </c>
      <c r="B8263" s="7">
        <v>1</v>
      </c>
      <c r="C8263" s="7" t="s">
        <v>10</v>
      </c>
      <c r="D8263" s="7">
        <v>10210</v>
      </c>
      <c r="E8263" s="7" t="s">
        <v>28</v>
      </c>
      <c r="F8263" s="8" t="str">
        <f ca="1">IFERROR(__xludf.DUMMYFUNCTION("IF
(
C8264=""фізична особа""
,
VLOOKUP(D8264,IMPORTRANGE(""https://docs.google.com/spreadsheets/d/14Bd19lYaqBhU8_DElYkX7l4wRkHqqCUFNJY4AfY3kHU/edit?usp=sharing  #gid=0"",""фіз особи new!relations_name""),6,FALSE)
,
(IF
(
C8264=""юридична особа""
,
VLOOKUP"&amp;"(D8264,IMPORTRANGE(""https://docs.google.com/spreadsheets/d/14Bd19lYaqBhU8_DElYkX7l4wRkHqqCUFNJY4AfY3kHU/edit?usp=sharing  #gid=0"",""фіз особи new!relations_name_uo""),7,FALSE)
,
)
))"),"ЗАБОЛОТНА Ольга Миколаївна")</f>
        <v>ЗАБОЛОТНА Ольга Миколаївна</v>
      </c>
      <c r="G8263" s="7" t="s">
        <v>10</v>
      </c>
      <c r="H8263" s="7">
        <v>2942</v>
      </c>
      <c r="I8263" s="8" t="str">
        <f ca="1">IFERROR(__xludf.DUMMYFUNCTION("IF
(
G8264=""фізична особа""
,
VLOOKUP(H8264,IMPORTRANGE(""https://docs.google.com/spreadsheets/d/14Bd19lYaqBhU8_DElYkX7l4wRkHqqCUFNJY4AfY3kHU/edit?usp=sharing  #gid=0"",""фіз особи new!relations_name""),6,FALSE)
,
(IF
(
G8264=""юридична особа""
,
VLOOKUP"&amp;"(H8264,IMPORTRANGE(""https://docs.google.com/spreadsheets/d/14Bd19lYaqBhU8_DElYkX7l4wRkHqqCUFNJY4AfY3kHU/edit?usp=sharing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3" s="7" t="s">
        <v>29</v>
      </c>
    </row>
    <row r="8264" spans="1:10" ht="13.2">
      <c r="A8264" s="7">
        <v>8263</v>
      </c>
      <c r="B8264" s="7">
        <v>1</v>
      </c>
      <c r="C8264" s="7" t="s">
        <v>10</v>
      </c>
      <c r="D8264" s="7">
        <v>10211</v>
      </c>
      <c r="E8264" s="7" t="s">
        <v>28</v>
      </c>
      <c r="F8264" s="8" t="str">
        <f ca="1">IFERROR(__xludf.DUMMYFUNCTION("IF
(
C8265=""фізична особа""
,
VLOOKUP(D8265,IMPORTRANGE(""https://docs.google.com/spreadsheets/d/14Bd19lYaqBhU8_DElYkX7l4wRkHqqCUFNJY4AfY3kHU/edit?usp=sharing  #gid=0"",""фіз особи new!relations_name""),6,FALSE)
,
(IF
(
C8265=""юридична особа""
,
VLOOKUP"&amp;"(D8265,IMPORTRANGE(""https://docs.google.com/spreadsheets/d/14Bd19lYaqBhU8_DElYkX7l4wRkHqqCUFNJY4AfY3kHU/edit?usp=sharing  #gid=0"",""фіз особи new!relations_name_uo""),7,FALSE)
,
)
))"),"ЛИСОВ Володимир Васильович")</f>
        <v>ЛИСОВ Володимир Васильович</v>
      </c>
      <c r="G8264" s="7" t="s">
        <v>10</v>
      </c>
      <c r="H8264" s="7">
        <v>2942</v>
      </c>
      <c r="I8264" s="8" t="str">
        <f ca="1">IFERROR(__xludf.DUMMYFUNCTION("IF
(
G8265=""фізична особа""
,
VLOOKUP(H8265,IMPORTRANGE(""https://docs.google.com/spreadsheets/d/14Bd19lYaqBhU8_DElYkX7l4wRkHqqCUFNJY4AfY3kHU/edit?usp=sharing  #gid=0"",""фіз особи new!relations_name""),6,FALSE)
,
(IF
(
G8265=""юридична особа""
,
VLOOKUP"&amp;"(H8265,IMPORTRANGE(""https://docs.google.com/spreadsheets/d/14Bd19lYaqBhU8_DElYkX7l4wRkHqqCUFNJY4AfY3kHU/edit?usp=sharing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4" s="7" t="s">
        <v>29</v>
      </c>
    </row>
    <row r="8265" spans="1:10" ht="13.2">
      <c r="A8265" s="7">
        <v>8264</v>
      </c>
      <c r="B8265" s="7">
        <v>1</v>
      </c>
      <c r="C8265" s="7" t="s">
        <v>10</v>
      </c>
      <c r="D8265" s="7">
        <v>10212</v>
      </c>
      <c r="E8265" s="7" t="s">
        <v>28</v>
      </c>
      <c r="F8265" s="8" t="str">
        <f ca="1">IFERROR(__xludf.DUMMYFUNCTION("IF
(
C8266=""фізична особа""
,
VLOOKUP(D8266,IMPORTRANGE(""https://docs.google.com/spreadsheets/d/14Bd19lYaqBhU8_DElYkX7l4wRkHqqCUFNJY4AfY3kHU/edit?usp=sharing  #gid=0"",""фіз особи new!relations_name""),6,FALSE)
,
(IF
(
C8266=""юридична особа""
,
VLOOKUP"&amp;"(D8266,IMPORTRANGE(""https://docs.google.com/spreadsheets/d/14Bd19lYaqBhU8_DElYkX7l4wRkHqqCUFNJY4AfY3kHU/edit?usp=sharing  #gid=0"",""фіз особи new!relations_name_uo""),7,FALSE)
,
)
))"),"СМІРНОВ Віктор Васильович")</f>
        <v>СМІРНОВ Віктор Васильович</v>
      </c>
      <c r="G8265" s="7" t="s">
        <v>10</v>
      </c>
      <c r="H8265" s="7">
        <v>2942</v>
      </c>
      <c r="I8265" s="8" t="str">
        <f ca="1">IFERROR(__xludf.DUMMYFUNCTION("IF
(
G8266=""фізична особа""
,
VLOOKUP(H8266,IMPORTRANGE(""https://docs.google.com/spreadsheets/d/14Bd19lYaqBhU8_DElYkX7l4wRkHqqCUFNJY4AfY3kHU/edit?usp=sharing  #gid=0"",""фіз особи new!relations_name""),6,FALSE)
,
(IF
(
G8266=""юридична особа""
,
VLOOKUP"&amp;"(H8266,IMPORTRANGE(""https://docs.google.com/spreadsheets/d/14Bd19lYaqBhU8_DElYkX7l4wRkHqqCUFNJY4AfY3kHU/edit?usp=sharing  #gid=0"",""фіз особи new!relations_name_uo""),7,FALSE)
,
)
))"),"ШУМАКОВ Ігор Анатолійович")</f>
        <v>ШУМАКОВ Ігор Анатолійович</v>
      </c>
      <c r="J8265" s="7" t="s">
        <v>29</v>
      </c>
    </row>
    <row r="8266" spans="1:10" ht="13.2">
      <c r="A8266" s="7">
        <v>8265</v>
      </c>
      <c r="B8266" s="7">
        <v>1</v>
      </c>
      <c r="C8266" s="7" t="s">
        <v>10</v>
      </c>
      <c r="D8266" s="7">
        <v>10213</v>
      </c>
      <c r="E8266" s="7" t="s">
        <v>28</v>
      </c>
      <c r="F8266" s="8" t="str">
        <f ca="1">IFERROR(__xludf.DUMMYFUNCTION("IF
(
C8267=""фізична особа""
,
VLOOKUP(D8267,IMPORTRANGE(""https://docs.google.com/spreadsheets/d/14Bd19lYaqBhU8_DElYkX7l4wRkHqqCUFNJY4AfY3kHU/edit?usp=sharing  #gid=0"",""фіз особи new!relations_name""),6,FALSE)
,
(IF
(
C8267=""юридична особа""
,
VLOOKUP"&amp;"(D8267,IMPORTRANGE(""https://docs.google.com/spreadsheets/d/14Bd19lYaqBhU8_DElYkX7l4wRkHqqCUFNJY4AfY3kHU/edit?usp=sharing  #gid=0"",""фіз особи new!relations_name_uo""),7,FALSE)
,
)
))"),"ЄФІМЕНКО Андрій Русланович")</f>
        <v>ЄФІМЕНКО Андрій Русланович</v>
      </c>
      <c r="G8266" s="7" t="s">
        <v>10</v>
      </c>
      <c r="H8266" s="7">
        <v>22386</v>
      </c>
      <c r="I8266" s="8" t="str">
        <f ca="1">IFERROR(__xludf.DUMMYFUNCTION("IF
(
G8267=""фізична особа""
,
VLOOKUP(H8267,IMPORTRANGE(""https://docs.google.com/spreadsheets/d/14Bd19lYaqBhU8_DElYkX7l4wRkHqqCUFNJY4AfY3kHU/edit?usp=sharing  #gid=0"",""фіз особи new!relations_name""),6,FALSE)
,
(IF
(
G8267=""юридична особа""
,
VLOOKUP"&amp;"(H8267,IMPORTRANGE(""https://docs.google.com/spreadsheets/d/14Bd19lYaqBhU8_DElYkX7l4wRkHqqCUFNJY4AfY3kHU/edit?usp=sharing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266" s="7" t="s">
        <v>29</v>
      </c>
    </row>
    <row r="8267" spans="1:10" ht="13.2">
      <c r="A8267" s="7">
        <v>8266</v>
      </c>
      <c r="B8267" s="7">
        <v>1</v>
      </c>
      <c r="C8267" s="7" t="s">
        <v>10</v>
      </c>
      <c r="D8267" s="7">
        <v>10213</v>
      </c>
      <c r="E8267" s="7" t="s">
        <v>28</v>
      </c>
      <c r="F8267" s="8" t="str">
        <f ca="1">IFERROR(__xludf.DUMMYFUNCTION("IF
(
C8268=""фізична особа""
,
VLOOKUP(D8268,IMPORTRANGE(""https://docs.google.com/spreadsheets/d/14Bd19lYaqBhU8_DElYkX7l4wRkHqqCUFNJY4AfY3kHU/edit?usp=sharing  #gid=0"",""фіз особи new!relations_name""),6,FALSE)
,
(IF
(
C8268=""юридична особа""
,
VLOOKUP"&amp;"(D8268,IMPORTRANGE(""https://docs.google.com/spreadsheets/d/14Bd19lYaqBhU8_DElYkX7l4wRkHqqCUFNJY4AfY3kHU/edit?usp=sharing  #gid=0"",""фіз особи new!relations_name_uo""),7,FALSE)
,
)
))"),"ЄФІМЕНКО Андрій Русланович")</f>
        <v>ЄФІМЕНКО Андрій Русланович</v>
      </c>
      <c r="G8267" s="7" t="s">
        <v>10</v>
      </c>
      <c r="H8267" s="7">
        <v>0</v>
      </c>
      <c r="I8267" s="8" t="str">
        <f ca="1">IFERROR(__xludf.DUMMYFUNCTION("IF
(
G8268=""фізична особа""
,
VLOOKUP(H8268,IMPORTRANGE(""https://docs.google.com/spreadsheets/d/14Bd19lYaqBhU8_DElYkX7l4wRkHqqCUFNJY4AfY3kHU/edit?usp=sharing  #gid=0"",""фіз особи new!relations_name""),6,FALSE)
,
(IF
(
G8268=""юридична особа""
,
VLOOKUP"&amp;"(H8268,IMPORTRANGE(""https://docs.google.com/spreadsheets/d/14Bd19lYaqBhU8_DElYkX7l4wRkHqqCUFNJY4AfY3kHU/edit?usp=sharing  #gid=0"",""фіз особи new!relations_name_uo""),7,FALSE)
,
)
))"),"#N/A")</f>
        <v>#N/A</v>
      </c>
      <c r="J8267" s="7" t="s">
        <v>29</v>
      </c>
    </row>
    <row r="8268" spans="1:10" ht="13.2">
      <c r="A8268" s="7">
        <v>8267</v>
      </c>
      <c r="B8268" s="7">
        <v>1</v>
      </c>
      <c r="C8268" s="7" t="s">
        <v>10</v>
      </c>
      <c r="D8268" s="7">
        <v>10214</v>
      </c>
      <c r="E8268" s="7" t="s">
        <v>28</v>
      </c>
      <c r="F8268" s="8" t="str">
        <f ca="1">IFERROR(__xludf.DUMMYFUNCTION("IF
(
C8269=""фізична особа""
,
VLOOKUP(D8269,IMPORTRANGE(""https://docs.google.com/spreadsheets/d/14Bd19lYaqBhU8_DElYkX7l4wRkHqqCUFNJY4AfY3kHU/edit?usp=sharing  #gid=0"",""фіз особи new!relations_name""),6,FALSE)
,
(IF
(
C8269=""юридична особа""
,
VLOOKUP"&amp;"(D8269,IMPORTRANGE(""https://docs.google.com/spreadsheets/d/14Bd19lYaqBhU8_DElYkX7l4wRkHqqCUFNJY4AfY3kHU/edit?usp=sharing  #gid=0"",""фіз особи new!relations_name_uo""),7,FALSE)
,
)
))"),"САВОСТИЦЬКИЙ Дмитро Валентинович")</f>
        <v>САВОСТИЦЬКИЙ Дмитро Валентинович</v>
      </c>
      <c r="G8268" s="7" t="s">
        <v>10</v>
      </c>
      <c r="H8268" s="7">
        <v>2960</v>
      </c>
      <c r="I8268" s="8" t="str">
        <f ca="1">IFERROR(__xludf.DUMMYFUNCTION("IF
(
G8269=""фізична особа""
,
VLOOKUP(H8269,IMPORTRANGE(""https://docs.google.com/spreadsheets/d/14Bd19lYaqBhU8_DElYkX7l4wRkHqqCUFNJY4AfY3kHU/edit?usp=sharing  #gid=0"",""фіз особи new!relations_name""),6,FALSE)
,
(IF
(
G8269=""юридична особа""
,
VLOOKUP"&amp;"(H8269,IMPORTRANGE(""https://docs.google.com/spreadsheets/d/14Bd19lYaqBhU8_DElYkX7l4wRkHqqCUFNJY4AfY3kHU/edit?usp=sharing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268" s="7" t="s">
        <v>29</v>
      </c>
    </row>
    <row r="8269" spans="1:10" ht="13.2">
      <c r="A8269" s="7">
        <v>8268</v>
      </c>
      <c r="B8269" s="7">
        <v>1</v>
      </c>
      <c r="C8269" s="7" t="s">
        <v>10</v>
      </c>
      <c r="D8269" s="7">
        <v>10215</v>
      </c>
      <c r="E8269" s="7" t="s">
        <v>28</v>
      </c>
      <c r="F8269" s="8" t="str">
        <f ca="1">IFERROR(__xludf.DUMMYFUNCTION("IF
(
C8270=""фізична особа""
,
VLOOKUP(D8270,IMPORTRANGE(""https://docs.google.com/spreadsheets/d/14Bd19lYaqBhU8_DElYkX7l4wRkHqqCUFNJY4AfY3kHU/edit?usp=sharing  #gid=0"",""фіз особи new!relations_name""),6,FALSE)
,
(IF
(
C8270=""юридична особа""
,
VLOOKUP"&amp;"(D8270,IMPORTRANGE(""https://docs.google.com/spreadsheets/d/14Bd19lYaqBhU8_DElYkX7l4wRkHqqCUFNJY4AfY3kHU/edit?usp=sharing  #gid=0"",""фіз особи new!relations_name_uo""),7,FALSE)
,
)
))"),"ГОРОБЧУК Ірина Валентинівна")</f>
        <v>ГОРОБЧУК Ірина Валентинівна</v>
      </c>
      <c r="G8269" s="7" t="s">
        <v>10</v>
      </c>
      <c r="H8269" s="7">
        <v>2960</v>
      </c>
      <c r="I8269" s="8" t="str">
        <f ca="1">IFERROR(__xludf.DUMMYFUNCTION("IF
(
G8270=""фізична особа""
,
VLOOKUP(H8270,IMPORTRANGE(""https://docs.google.com/spreadsheets/d/14Bd19lYaqBhU8_DElYkX7l4wRkHqqCUFNJY4AfY3kHU/edit?usp=sharing  #gid=0"",""фіз особи new!relations_name""),6,FALSE)
,
(IF
(
G8270=""юридична особа""
,
VLOOKUP"&amp;"(H8270,IMPORTRANGE(""https://docs.google.com/spreadsheets/d/14Bd19lYaqBhU8_DElYkX7l4wRkHqqCUFNJY4AfY3kHU/edit?usp=sharing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269" s="7" t="s">
        <v>29</v>
      </c>
    </row>
    <row r="8270" spans="1:10" ht="13.2">
      <c r="A8270" s="7">
        <v>8269</v>
      </c>
      <c r="B8270" s="7">
        <v>1</v>
      </c>
      <c r="C8270" s="7" t="s">
        <v>10</v>
      </c>
      <c r="D8270" s="7">
        <v>10216</v>
      </c>
      <c r="E8270" s="7" t="s">
        <v>28</v>
      </c>
      <c r="F8270" s="8" t="str">
        <f ca="1">IFERROR(__xludf.DUMMYFUNCTION("IF
(
C8271=""фізична особа""
,
VLOOKUP(D8271,IMPORTRANGE(""https://docs.google.com/spreadsheets/d/14Bd19lYaqBhU8_DElYkX7l4wRkHqqCUFNJY4AfY3kHU/edit?usp=sharing  #gid=0"",""фіз особи new!relations_name""),6,FALSE)
,
(IF
(
C8271=""юридична особа""
,
VLOOKUP"&amp;"(D8271,IMPORTRANGE(""https://docs.google.com/spreadsheets/d/14Bd19lYaqBhU8_DElYkX7l4wRkHqqCUFNJY4AfY3kHU/edit?usp=sharing  #gid=0"",""фіз особи new!relations_name_uo""),7,FALSE)
,
)
))"),"ПОТАНІН Олексій Михайлович")</f>
        <v>ПОТАНІН Олексій Михайлович</v>
      </c>
      <c r="G8270" s="7" t="s">
        <v>10</v>
      </c>
      <c r="H8270" s="7">
        <v>3020</v>
      </c>
      <c r="I8270" s="8" t="str">
        <f ca="1">IFERROR(__xludf.DUMMYFUNCTION("IF
(
G8271=""фізична особа""
,
VLOOKUP(H8271,IMPORTRANGE(""https://docs.google.com/spreadsheets/d/14Bd19lYaqBhU8_DElYkX7l4wRkHqqCUFNJY4AfY3kHU/edit?usp=sharing  #gid=0"",""фіз особи new!relations_name""),6,FALSE)
,
(IF
(
G8271=""юридична особа""
,
VLOOKUP"&amp;"(H8271,IMPORTRANGE(""https://docs.google.com/spreadsheets/d/14Bd19lYaqBhU8_DElYkX7l4wRkHqqCUFNJY4AfY3kHU/edit?usp=sharing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0" s="7" t="s">
        <v>29</v>
      </c>
    </row>
    <row r="8271" spans="1:10" ht="13.2">
      <c r="A8271" s="7">
        <v>8270</v>
      </c>
      <c r="B8271" s="7">
        <v>1</v>
      </c>
      <c r="C8271" s="7" t="s">
        <v>10</v>
      </c>
      <c r="D8271" s="7">
        <v>10217</v>
      </c>
      <c r="E8271" s="7" t="s">
        <v>28</v>
      </c>
      <c r="F8271" s="8" t="str">
        <f ca="1">IFERROR(__xludf.DUMMYFUNCTION("IF
(
C8272=""фізична особа""
,
VLOOKUP(D8272,IMPORTRANGE(""https://docs.google.com/spreadsheets/d/14Bd19lYaqBhU8_DElYkX7l4wRkHqqCUFNJY4AfY3kHU/edit?usp=sharing  #gid=0"",""фіз особи new!relations_name""),6,FALSE)
,
(IF
(
C8272=""юридична особа""
,
VLOOKUP"&amp;"(D8272,IMPORTRANGE(""https://docs.google.com/spreadsheets/d/14Bd19lYaqBhU8_DElYkX7l4wRkHqqCUFNJY4AfY3kHU/edit?usp=sharing  #gid=0"",""фіз особи new!relations_name_uo""),7,FALSE)
,
)
))"),"ЧУШКІН Денис Юрійович")</f>
        <v>ЧУШКІН Денис Юрійович</v>
      </c>
      <c r="G8271" s="7" t="s">
        <v>10</v>
      </c>
      <c r="H8271" s="7">
        <v>3020</v>
      </c>
      <c r="I8271" s="8" t="str">
        <f ca="1">IFERROR(__xludf.DUMMYFUNCTION("IF
(
G8272=""фізична особа""
,
VLOOKUP(H8272,IMPORTRANGE(""https://docs.google.com/spreadsheets/d/14Bd19lYaqBhU8_DElYkX7l4wRkHqqCUFNJY4AfY3kHU/edit?usp=sharing  #gid=0"",""фіз особи new!relations_name""),6,FALSE)
,
(IF
(
G8272=""юридична особа""
,
VLOOKUP"&amp;"(H8272,IMPORTRANGE(""https://docs.google.com/spreadsheets/d/14Bd19lYaqBhU8_DElYkX7l4wRkHqqCUFNJY4AfY3kHU/edit?usp=sharing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1" s="7" t="s">
        <v>29</v>
      </c>
    </row>
    <row r="8272" spans="1:10" ht="13.2">
      <c r="A8272" s="7">
        <v>8271</v>
      </c>
      <c r="B8272" s="7">
        <v>1</v>
      </c>
      <c r="C8272" s="7" t="s">
        <v>10</v>
      </c>
      <c r="D8272" s="7">
        <v>10218</v>
      </c>
      <c r="E8272" s="7" t="s">
        <v>28</v>
      </c>
      <c r="F8272" s="8" t="str">
        <f ca="1">IFERROR(__xludf.DUMMYFUNCTION("IF
(
C8273=""фізична особа""
,
VLOOKUP(D8273,IMPORTRANGE(""https://docs.google.com/spreadsheets/d/14Bd19lYaqBhU8_DElYkX7l4wRkHqqCUFNJY4AfY3kHU/edit?usp=sharing  #gid=0"",""фіз особи new!relations_name""),6,FALSE)
,
(IF
(
C8273=""юридична особа""
,
VLOOKUP"&amp;"(D8273,IMPORTRANGE(""https://docs.google.com/spreadsheets/d/14Bd19lYaqBhU8_DElYkX7l4wRkHqqCUFNJY4AfY3kHU/edit?usp=sharing  #gid=0"",""фіз особи new!relations_name_uo""),7,FALSE)
,
)
))"),"БОРОВКОВ Олександр Віталійович")</f>
        <v>БОРОВКОВ Олександр Віталійович</v>
      </c>
      <c r="G8272" s="7" t="s">
        <v>10</v>
      </c>
      <c r="H8272" s="7">
        <v>3020</v>
      </c>
      <c r="I8272" s="8" t="str">
        <f ca="1">IFERROR(__xludf.DUMMYFUNCTION("IF
(
G8273=""фізична особа""
,
VLOOKUP(H8273,IMPORTRANGE(""https://docs.google.com/spreadsheets/d/14Bd19lYaqBhU8_DElYkX7l4wRkHqqCUFNJY4AfY3kHU/edit?usp=sharing  #gid=0"",""фіз особи new!relations_name""),6,FALSE)
,
(IF
(
G8273=""юридична особа""
,
VLOOKUP"&amp;"(H8273,IMPORTRANGE(""https://docs.google.com/spreadsheets/d/14Bd19lYaqBhU8_DElYkX7l4wRkHqqCUFNJY4AfY3kHU/edit?usp=sharing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2" s="7" t="s">
        <v>29</v>
      </c>
    </row>
    <row r="8273" spans="1:10" ht="13.2">
      <c r="A8273" s="7">
        <v>8272</v>
      </c>
      <c r="B8273" s="7">
        <v>1</v>
      </c>
      <c r="C8273" s="7" t="s">
        <v>10</v>
      </c>
      <c r="D8273" s="7">
        <v>10219</v>
      </c>
      <c r="E8273" s="7" t="s">
        <v>28</v>
      </c>
      <c r="F8273" s="8" t="str">
        <f ca="1">IFERROR(__xludf.DUMMYFUNCTION("IF
(
C8274=""фізична особа""
,
VLOOKUP(D8274,IMPORTRANGE(""https://docs.google.com/spreadsheets/d/14Bd19lYaqBhU8_DElYkX7l4wRkHqqCUFNJY4AfY3kHU/edit?usp=sharing  #gid=0"",""фіз особи new!relations_name""),6,FALSE)
,
(IF
(
C8274=""юридична особа""
,
VLOOKUP"&amp;"(D8274,IMPORTRANGE(""https://docs.google.com/spreadsheets/d/14Bd19lYaqBhU8_DElYkX7l4wRkHqqCUFNJY4AfY3kHU/edit?usp=sharing  #gid=0"",""фіз особи new!relations_name_uo""),7,FALSE)
,
)
))"),"КАРЕТІН Дмитро В'ячеславович")</f>
        <v>КАРЕТІН Дмитро В'ячеславович</v>
      </c>
      <c r="G8273" s="7" t="s">
        <v>10</v>
      </c>
      <c r="H8273" s="7">
        <v>3020</v>
      </c>
      <c r="I8273" s="8" t="str">
        <f ca="1">IFERROR(__xludf.DUMMYFUNCTION("IF
(
G8274=""фізична особа""
,
VLOOKUP(H8274,IMPORTRANGE(""https://docs.google.com/spreadsheets/d/14Bd19lYaqBhU8_DElYkX7l4wRkHqqCUFNJY4AfY3kHU/edit?usp=sharing  #gid=0"",""фіз особи new!relations_name""),6,FALSE)
,
(IF
(
G8274=""юридична особа""
,
VLOOKUP"&amp;"(H8274,IMPORTRANGE(""https://docs.google.com/spreadsheets/d/14Bd19lYaqBhU8_DElYkX7l4wRkHqqCUFNJY4AfY3kHU/edit?usp=sharing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3" s="7" t="s">
        <v>29</v>
      </c>
    </row>
    <row r="8274" spans="1:10" ht="13.2">
      <c r="A8274" s="7">
        <v>8273</v>
      </c>
      <c r="B8274" s="7">
        <v>1</v>
      </c>
      <c r="C8274" s="7" t="s">
        <v>10</v>
      </c>
      <c r="D8274" s="7">
        <v>10220</v>
      </c>
      <c r="E8274" s="7" t="s">
        <v>28</v>
      </c>
      <c r="F8274" s="8" t="str">
        <f ca="1">IFERROR(__xludf.DUMMYFUNCTION("IF
(
C8275=""фізична особа""
,
VLOOKUP(D8275,IMPORTRANGE(""https://docs.google.com/spreadsheets/d/14Bd19lYaqBhU8_DElYkX7l4wRkHqqCUFNJY4AfY3kHU/edit?usp=sharing  #gid=0"",""фіз особи new!relations_name""),6,FALSE)
,
(IF
(
C8275=""юридична особа""
,
VLOOKUP"&amp;"(D8275,IMPORTRANGE(""https://docs.google.com/spreadsheets/d/14Bd19lYaqBhU8_DElYkX7l4wRkHqqCUFNJY4AfY3kHU/edit?usp=sharing  #gid=0"",""фіз особи new!relations_name_uo""),7,FALSE)
,
)
))"),"БАЧЕРІКОВА Світлана Сергіївна")</f>
        <v>БАЧЕРІКОВА Світлана Сергіївна</v>
      </c>
      <c r="G8274" s="7" t="s">
        <v>10</v>
      </c>
      <c r="H8274" s="7">
        <v>2960</v>
      </c>
      <c r="I8274" s="8" t="str">
        <f ca="1">IFERROR(__xludf.DUMMYFUNCTION("IF
(
G8275=""фізична особа""
,
VLOOKUP(H8275,IMPORTRANGE(""https://docs.google.com/spreadsheets/d/14Bd19lYaqBhU8_DElYkX7l4wRkHqqCUFNJY4AfY3kHU/edit?usp=sharing  #gid=0"",""фіз особи new!relations_name""),6,FALSE)
,
(IF
(
G8275=""юридична особа""
,
VLOOKUP"&amp;"(H8275,IMPORTRANGE(""https://docs.google.com/spreadsheets/d/14Bd19lYaqBhU8_DElYkX7l4wRkHqqCUFNJY4AfY3kHU/edit?usp=sharing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274" s="7" t="s">
        <v>29</v>
      </c>
    </row>
    <row r="8275" spans="1:10" ht="13.2">
      <c r="A8275" s="7">
        <v>8274</v>
      </c>
      <c r="B8275" s="7">
        <v>1</v>
      </c>
      <c r="C8275" s="7" t="s">
        <v>10</v>
      </c>
      <c r="D8275" s="7">
        <v>10221</v>
      </c>
      <c r="E8275" s="7" t="s">
        <v>28</v>
      </c>
      <c r="F8275" s="8" t="str">
        <f ca="1">IFERROR(__xludf.DUMMYFUNCTION("IF
(
C8276=""фізична особа""
,
VLOOKUP(D8276,IMPORTRANGE(""https://docs.google.com/spreadsheets/d/14Bd19lYaqBhU8_DElYkX7l4wRkHqqCUFNJY4AfY3kHU/edit?usp=sharing  #gid=0"",""фіз особи new!relations_name""),6,FALSE)
,
(IF
(
C8276=""юридична особа""
,
VLOOKUP"&amp;"(D8276,IMPORTRANGE(""https://docs.google.com/spreadsheets/d/14Bd19lYaqBhU8_DElYkX7l4wRkHqqCUFNJY4AfY3kHU/edit?usp=sharing  #gid=0"",""фіз особи new!relations_name_uo""),7,FALSE)
,
)
))"),"ІСМАЇЛОВ Мурсал Ісмаїлович")</f>
        <v>ІСМАЇЛОВ Мурсал Ісмаїлович</v>
      </c>
      <c r="G8275" s="7" t="s">
        <v>10</v>
      </c>
      <c r="H8275" s="7">
        <v>3020</v>
      </c>
      <c r="I8275" s="8" t="str">
        <f ca="1">IFERROR(__xludf.DUMMYFUNCTION("IF
(
G8276=""фізична особа""
,
VLOOKUP(H8276,IMPORTRANGE(""https://docs.google.com/spreadsheets/d/14Bd19lYaqBhU8_DElYkX7l4wRkHqqCUFNJY4AfY3kHU/edit?usp=sharing  #gid=0"",""фіз особи new!relations_name""),6,FALSE)
,
(IF
(
G8276=""юридична особа""
,
VLOOKUP"&amp;"(H8276,IMPORTRANGE(""https://docs.google.com/spreadsheets/d/14Bd19lYaqBhU8_DElYkX7l4wRkHqqCUFNJY4AfY3kHU/edit?usp=sharing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5" s="7" t="s">
        <v>29</v>
      </c>
    </row>
    <row r="8276" spans="1:10" ht="13.2">
      <c r="A8276" s="7">
        <v>8275</v>
      </c>
      <c r="B8276" s="7">
        <v>1</v>
      </c>
      <c r="C8276" s="7" t="s">
        <v>10</v>
      </c>
      <c r="D8276" s="7">
        <v>10222</v>
      </c>
      <c r="E8276" s="7" t="s">
        <v>28</v>
      </c>
      <c r="F8276" s="8" t="str">
        <f ca="1">IFERROR(__xludf.DUMMYFUNCTION("IF
(
C8277=""фізична особа""
,
VLOOKUP(D8277,IMPORTRANGE(""https://docs.google.com/spreadsheets/d/14Bd19lYaqBhU8_DElYkX7l4wRkHqqCUFNJY4AfY3kHU/edit?usp=sharing  #gid=0"",""фіз особи new!relations_name""),6,FALSE)
,
(IF
(
C8277=""юридична особа""
,
VLOOKUP"&amp;"(D8277,IMPORTRANGE(""https://docs.google.com/spreadsheets/d/14Bd19lYaqBhU8_DElYkX7l4wRkHqqCUFNJY4AfY3kHU/edit?usp=sharing  #gid=0"",""фіз особи new!relations_name_uo""),7,FALSE)
,
)
))"),"КОМОВ Юрій Олексійович")</f>
        <v>КОМОВ Юрій Олексійович</v>
      </c>
      <c r="G8276" s="7" t="s">
        <v>10</v>
      </c>
      <c r="H8276" s="7">
        <v>3020</v>
      </c>
      <c r="I8276" s="8" t="str">
        <f ca="1">IFERROR(__xludf.DUMMYFUNCTION("IF
(
G8277=""фізична особа""
,
VLOOKUP(H8277,IMPORTRANGE(""https://docs.google.com/spreadsheets/d/14Bd19lYaqBhU8_DElYkX7l4wRkHqqCUFNJY4AfY3kHU/edit?usp=sharing  #gid=0"",""фіз особи new!relations_name""),6,FALSE)
,
(IF
(
G8277=""юридична особа""
,
VLOOKUP"&amp;"(H8277,IMPORTRANGE(""https://docs.google.com/spreadsheets/d/14Bd19lYaqBhU8_DElYkX7l4wRkHqqCUFNJY4AfY3kHU/edit?usp=sharing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6" s="7" t="s">
        <v>29</v>
      </c>
    </row>
    <row r="8277" spans="1:10" ht="13.2">
      <c r="A8277" s="7">
        <v>8276</v>
      </c>
      <c r="B8277" s="7">
        <v>1</v>
      </c>
      <c r="C8277" s="7" t="s">
        <v>10</v>
      </c>
      <c r="D8277" s="7">
        <v>10223</v>
      </c>
      <c r="E8277" s="7" t="s">
        <v>28</v>
      </c>
      <c r="F8277" s="8" t="str">
        <f ca="1">IFERROR(__xludf.DUMMYFUNCTION("IF
(
C8278=""фізична особа""
,
VLOOKUP(D8278,IMPORTRANGE(""https://docs.google.com/spreadsheets/d/14Bd19lYaqBhU8_DElYkX7l4wRkHqqCUFNJY4AfY3kHU/edit?usp=sharing  #gid=0"",""фіз особи new!relations_name""),6,FALSE)
,
(IF
(
C8278=""юридична особа""
,
VLOOKUP"&amp;"(D8278,IMPORTRANGE(""https://docs.google.com/spreadsheets/d/14Bd19lYaqBhU8_DElYkX7l4wRkHqqCUFNJY4AfY3kHU/edit?usp=sharing  #gid=0"",""фіз особи new!relations_name_uo""),7,FALSE)
,
)
))"),"ПОТКІНА Ірина Володимирівна")</f>
        <v>ПОТКІНА Ірина Володимирівна</v>
      </c>
      <c r="G8277" s="7" t="s">
        <v>10</v>
      </c>
      <c r="H8277" s="7">
        <v>3020</v>
      </c>
      <c r="I8277" s="8" t="str">
        <f ca="1">IFERROR(__xludf.DUMMYFUNCTION("IF
(
G8278=""фізична особа""
,
VLOOKUP(H8278,IMPORTRANGE(""https://docs.google.com/spreadsheets/d/14Bd19lYaqBhU8_DElYkX7l4wRkHqqCUFNJY4AfY3kHU/edit?usp=sharing  #gid=0"",""фіз особи new!relations_name""),6,FALSE)
,
(IF
(
G8278=""юридична особа""
,
VLOOKUP"&amp;"(H8278,IMPORTRANGE(""https://docs.google.com/spreadsheets/d/14Bd19lYaqBhU8_DElYkX7l4wRkHqqCUFNJY4AfY3kHU/edit?usp=sharing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7" s="7" t="s">
        <v>29</v>
      </c>
    </row>
    <row r="8278" spans="1:10" ht="13.2">
      <c r="A8278" s="7">
        <v>8277</v>
      </c>
      <c r="B8278" s="7">
        <v>1</v>
      </c>
      <c r="C8278" s="7" t="s">
        <v>10</v>
      </c>
      <c r="D8278" s="7">
        <v>10224</v>
      </c>
      <c r="E8278" s="7" t="s">
        <v>28</v>
      </c>
      <c r="F8278" s="8" t="str">
        <f ca="1">IFERROR(__xludf.DUMMYFUNCTION("IF
(
C8279=""фізична особа""
,
VLOOKUP(D8279,IMPORTRANGE(""https://docs.google.com/spreadsheets/d/14Bd19lYaqBhU8_DElYkX7l4wRkHqqCUFNJY4AfY3kHU/edit?usp=sharing  #gid=0"",""фіз особи new!relations_name""),6,FALSE)
,
(IF
(
C8279=""юридична особа""
,
VLOOKUP"&amp;"(D8279,IMPORTRANGE(""https://docs.google.com/spreadsheets/d/14Bd19lYaqBhU8_DElYkX7l4wRkHqqCUFNJY4AfY3kHU/edit?usp=sharing  #gid=0"",""фіз особи new!relations_name_uo""),7,FALSE)
,
)
))"),"ЗОЛОТАРЬОВ Ігор Валерійович")</f>
        <v>ЗОЛОТАРЬОВ Ігор Валерійович</v>
      </c>
      <c r="G8278" s="7" t="s">
        <v>10</v>
      </c>
      <c r="H8278" s="7">
        <v>3020</v>
      </c>
      <c r="I8278" s="8" t="str">
        <f ca="1">IFERROR(__xludf.DUMMYFUNCTION("IF
(
G8279=""фізична особа""
,
VLOOKUP(H8279,IMPORTRANGE(""https://docs.google.com/spreadsheets/d/14Bd19lYaqBhU8_DElYkX7l4wRkHqqCUFNJY4AfY3kHU/edit?usp=sharing  #gid=0"",""фіз особи new!relations_name""),6,FALSE)
,
(IF
(
G8279=""юридична особа""
,
VLOOKUP"&amp;"(H8279,IMPORTRANGE(""https://docs.google.com/spreadsheets/d/14Bd19lYaqBhU8_DElYkX7l4wRkHqqCUFNJY4AfY3kHU/edit?usp=sharing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78" s="7" t="s">
        <v>29</v>
      </c>
    </row>
    <row r="8279" spans="1:10" ht="13.2">
      <c r="A8279" s="7">
        <v>8278</v>
      </c>
      <c r="B8279" s="7">
        <v>1</v>
      </c>
      <c r="C8279" s="7" t="s">
        <v>10</v>
      </c>
      <c r="D8279" s="7">
        <v>10225</v>
      </c>
      <c r="E8279" s="7" t="s">
        <v>28</v>
      </c>
      <c r="F8279" s="8" t="str">
        <f ca="1">IFERROR(__xludf.DUMMYFUNCTION("IF
(
C8280=""фізична особа""
,
VLOOKUP(D8280,IMPORTRANGE(""https://docs.google.com/spreadsheets/d/14Bd19lYaqBhU8_DElYkX7l4wRkHqqCUFNJY4AfY3kHU/edit?usp=sharing  #gid=0"",""фіз особи new!relations_name""),6,FALSE)
,
(IF
(
C8280=""юридична особа""
,
VLOOKUP"&amp;"(D8280,IMPORTRANGE(""https://docs.google.com/spreadsheets/d/14Bd19lYaqBhU8_DElYkX7l4wRkHqqCUFNJY4AfY3kHU/edit?usp=sharing  #gid=0"",""фіз особи new!relations_name_uo""),7,FALSE)
,
)
))"),"ВЕРБОВОЙ Дмитро Миколайович")</f>
        <v>ВЕРБОВОЙ Дмитро Миколайович</v>
      </c>
      <c r="G8279" s="7" t="s">
        <v>10</v>
      </c>
      <c r="H8279" s="7">
        <v>22397</v>
      </c>
      <c r="I8279" s="8" t="str">
        <f ca="1">IFERROR(__xludf.DUMMYFUNCTION("IF
(
G8280=""фізична особа""
,
VLOOKUP(H8280,IMPORTRANGE(""https://docs.google.com/spreadsheets/d/14Bd19lYaqBhU8_DElYkX7l4wRkHqqCUFNJY4AfY3kHU/edit?usp=sharing  #gid=0"",""фіз особи new!relations_name""),6,FALSE)
,
(IF
(
G8280=""юридична особа""
,
VLOOKUP"&amp;"(H8280,IMPORTRANGE(""https://docs.google.com/spreadsheets/d/14Bd19lYaqBhU8_DElYkX7l4wRkHqqCUFNJY4AfY3kHU/edit?usp=sharing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279" s="7" t="s">
        <v>29</v>
      </c>
    </row>
    <row r="8280" spans="1:10" ht="13.2">
      <c r="A8280" s="7">
        <v>8279</v>
      </c>
      <c r="B8280" s="7">
        <v>1</v>
      </c>
      <c r="C8280" s="7" t="s">
        <v>10</v>
      </c>
      <c r="D8280" s="7">
        <v>10225</v>
      </c>
      <c r="E8280" s="7" t="s">
        <v>14</v>
      </c>
      <c r="F8280" s="8" t="str">
        <f ca="1">IFERROR(__xludf.DUMMYFUNCTION("IF
(
C8281=""фізична особа""
,
VLOOKUP(D8281,IMPORTRANGE(""https://docs.google.com/spreadsheets/d/14Bd19lYaqBhU8_DElYkX7l4wRkHqqCUFNJY4AfY3kHU/edit?usp=sharing  #gid=0"",""фіз особи new!relations_name""),6,FALSE)
,
(IF
(
C8281=""юридична особа""
,
VLOOKUP"&amp;"(D8281,IMPORTRANGE(""https://docs.google.com/spreadsheets/d/14Bd19lYaqBhU8_DElYkX7l4wRkHqqCUFNJY4AfY3kHU/edit?usp=sharing  #gid=0"",""фіз особи new!relations_name_uo""),7,FALSE)
,
)
))"),"ВЕРБОВОЙ Дмитро Миколайович")</f>
        <v>ВЕРБОВОЙ Дмитро Миколайович</v>
      </c>
      <c r="G8280" s="7" t="s">
        <v>10</v>
      </c>
      <c r="H8280" s="7">
        <v>0</v>
      </c>
      <c r="I8280" s="8" t="str">
        <f ca="1">IFERROR(__xludf.DUMMYFUNCTION("IF
(
G8281=""фізична особа""
,
VLOOKUP(H8281,IMPORTRANGE(""https://docs.google.com/spreadsheets/d/14Bd19lYaqBhU8_DElYkX7l4wRkHqqCUFNJY4AfY3kHU/edit?usp=sharing  #gid=0"",""фіз особи new!relations_name""),6,FALSE)
,
(IF
(
G8281=""юридична особа""
,
VLOOKUP"&amp;"(H8281,IMPORTRANGE(""https://docs.google.com/spreadsheets/d/14Bd19lYaqBhU8_DElYkX7l4wRkHqqCUFNJY4AfY3kHU/edit?usp=sharing  #gid=0"",""фіз особи new!relations_name_uo""),7,FALSE)
,
)
))"),"#N/A")</f>
        <v>#N/A</v>
      </c>
      <c r="J8280" s="7" t="s">
        <v>15</v>
      </c>
    </row>
    <row r="8281" spans="1:10" ht="13.2">
      <c r="A8281" s="7">
        <v>8280</v>
      </c>
      <c r="B8281" s="7">
        <v>1</v>
      </c>
      <c r="C8281" s="7" t="s">
        <v>10</v>
      </c>
      <c r="D8281" s="7">
        <v>10225</v>
      </c>
      <c r="E8281" s="7" t="s">
        <v>12</v>
      </c>
      <c r="F8281" s="8" t="str">
        <f ca="1">IFERROR(__xludf.DUMMYFUNCTION("IF
(
C8282=""фізична особа""
,
VLOOKUP(D8282,IMPORTRANGE(""https://docs.google.com/spreadsheets/d/14Bd19lYaqBhU8_DElYkX7l4wRkHqqCUFNJY4AfY3kHU/edit?usp=sharing  #gid=0"",""фіз особи new!relations_name""),6,FALSE)
,
(IF
(
C8282=""юридична особа""
,
VLOOKUP"&amp;"(D8282,IMPORTRANGE(""https://docs.google.com/spreadsheets/d/14Bd19lYaqBhU8_DElYkX7l4wRkHqqCUFNJY4AfY3kHU/edit?usp=sharing  #gid=0"",""фіз особи new!relations_name_uo""),7,FALSE)
,
)
))"),"ВЕРБОВОЙ Дмитро Миколайович")</f>
        <v>ВЕРБОВОЙ Дмитро Миколайович</v>
      </c>
      <c r="G8281" s="7" t="s">
        <v>10</v>
      </c>
      <c r="H8281" s="7">
        <v>0</v>
      </c>
      <c r="I8281" s="8" t="str">
        <f ca="1">IFERROR(__xludf.DUMMYFUNCTION("IF
(
G8282=""фізична особа""
,
VLOOKUP(H8282,IMPORTRANGE(""https://docs.google.com/spreadsheets/d/14Bd19lYaqBhU8_DElYkX7l4wRkHqqCUFNJY4AfY3kHU/edit?usp=sharing  #gid=0"",""фіз особи new!relations_name""),6,FALSE)
,
(IF
(
G8282=""юридична особа""
,
VLOOKUP"&amp;"(H8282,IMPORTRANGE(""https://docs.google.com/spreadsheets/d/14Bd19lYaqBhU8_DElYkX7l4wRkHqqCUFNJY4AfY3kHU/edit?usp=sharing  #gid=0"",""фіз особи new!relations_name_uo""),7,FALSE)
,
)
))"),"#N/A")</f>
        <v>#N/A</v>
      </c>
      <c r="J8281" s="7" t="s">
        <v>13</v>
      </c>
    </row>
    <row r="8282" spans="1:10" ht="13.2">
      <c r="A8282" s="7">
        <v>8281</v>
      </c>
      <c r="B8282" s="7">
        <v>1</v>
      </c>
      <c r="C8282" s="7" t="s">
        <v>10</v>
      </c>
      <c r="D8282" s="7">
        <v>10226</v>
      </c>
      <c r="E8282" s="7" t="s">
        <v>28</v>
      </c>
      <c r="F8282" s="8" t="str">
        <f ca="1">IFERROR(__xludf.DUMMYFUNCTION("IF
(
C8283=""фізична особа""
,
VLOOKUP(D8283,IMPORTRANGE(""https://docs.google.com/spreadsheets/d/14Bd19lYaqBhU8_DElYkX7l4wRkHqqCUFNJY4AfY3kHU/edit?usp=sharing  #gid=0"",""фіз особи new!relations_name""),6,FALSE)
,
(IF
(
C8283=""юридична особа""
,
VLOOKUP"&amp;"(D8283,IMPORTRANGE(""https://docs.google.com/spreadsheets/d/14Bd19lYaqBhU8_DElYkX7l4wRkHqqCUFNJY4AfY3kHU/edit?usp=sharing  #gid=0"",""фіз особи new!relations_name_uo""),7,FALSE)
,
)
))"),"СОЛОВЙОВА Катерина Олександрівна")</f>
        <v>СОЛОВЙОВА Катерина Олександрівна</v>
      </c>
      <c r="G8282" s="7" t="s">
        <v>10</v>
      </c>
      <c r="H8282" s="7">
        <v>3020</v>
      </c>
      <c r="I8282" s="8" t="str">
        <f ca="1">IFERROR(__xludf.DUMMYFUNCTION("IF
(
G8283=""фізична особа""
,
VLOOKUP(H8283,IMPORTRANGE(""https://docs.google.com/spreadsheets/d/14Bd19lYaqBhU8_DElYkX7l4wRkHqqCUFNJY4AfY3kHU/edit?usp=sharing  #gid=0"",""фіз особи new!relations_name""),6,FALSE)
,
(IF
(
G8283=""юридична особа""
,
VLOOKUP"&amp;"(H8283,IMPORTRANGE(""https://docs.google.com/spreadsheets/d/14Bd19lYaqBhU8_DElYkX7l4wRkHqqCUFNJY4AfY3kHU/edit?usp=sharing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2" s="7" t="s">
        <v>29</v>
      </c>
    </row>
    <row r="8283" spans="1:10" ht="13.2">
      <c r="A8283" s="7">
        <v>8282</v>
      </c>
      <c r="B8283" s="7">
        <v>1</v>
      </c>
      <c r="C8283" s="7" t="s">
        <v>10</v>
      </c>
      <c r="D8283" s="7">
        <v>10227</v>
      </c>
      <c r="E8283" s="7" t="s">
        <v>28</v>
      </c>
      <c r="F8283" s="8" t="str">
        <f ca="1">IFERROR(__xludf.DUMMYFUNCTION("IF
(
C8284=""фізична особа""
,
VLOOKUP(D8284,IMPORTRANGE(""https://docs.google.com/spreadsheets/d/14Bd19lYaqBhU8_DElYkX7l4wRkHqqCUFNJY4AfY3kHU/edit?usp=sharing  #gid=0"",""фіз особи new!relations_name""),6,FALSE)
,
(IF
(
C8284=""юридична особа""
,
VLOOKUP"&amp;"(D8284,IMPORTRANGE(""https://docs.google.com/spreadsheets/d/14Bd19lYaqBhU8_DElYkX7l4wRkHqqCUFNJY4AfY3kHU/edit?usp=sharing  #gid=0"",""фіз особи new!relations_name_uo""),7,FALSE)
,
)
))"),"КІР'ЯНОВ Андрій Миколайович")</f>
        <v>КІР'ЯНОВ Андрій Миколайович</v>
      </c>
      <c r="G8283" s="7" t="s">
        <v>10</v>
      </c>
      <c r="H8283" s="7">
        <v>3020</v>
      </c>
      <c r="I8283" s="8" t="str">
        <f ca="1">IFERROR(__xludf.DUMMYFUNCTION("IF
(
G8284=""фізична особа""
,
VLOOKUP(H8284,IMPORTRANGE(""https://docs.google.com/spreadsheets/d/14Bd19lYaqBhU8_DElYkX7l4wRkHqqCUFNJY4AfY3kHU/edit?usp=sharing  #gid=0"",""фіз особи new!relations_name""),6,FALSE)
,
(IF
(
G8284=""юридична особа""
,
VLOOKUP"&amp;"(H8284,IMPORTRANGE(""https://docs.google.com/spreadsheets/d/14Bd19lYaqBhU8_DElYkX7l4wRkHqqCUFNJY4AfY3kHU/edit?usp=sharing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3" s="7" t="s">
        <v>29</v>
      </c>
    </row>
    <row r="8284" spans="1:10" ht="13.2">
      <c r="A8284" s="7">
        <v>8283</v>
      </c>
      <c r="B8284" s="7">
        <v>1</v>
      </c>
      <c r="C8284" s="7" t="s">
        <v>10</v>
      </c>
      <c r="D8284" s="7">
        <v>10228</v>
      </c>
      <c r="E8284" s="7" t="s">
        <v>28</v>
      </c>
      <c r="F8284" s="8" t="str">
        <f ca="1">IFERROR(__xludf.DUMMYFUNCTION("IF
(
C8285=""фізична особа""
,
VLOOKUP(D8285,IMPORTRANGE(""https://docs.google.com/spreadsheets/d/14Bd19lYaqBhU8_DElYkX7l4wRkHqqCUFNJY4AfY3kHU/edit?usp=sharing  #gid=0"",""фіз особи new!relations_name""),6,FALSE)
,
(IF
(
C8285=""юридична особа""
,
VLOOKUP"&amp;"(D8285,IMPORTRANGE(""https://docs.google.com/spreadsheets/d/14Bd19lYaqBhU8_DElYkX7l4wRkHqqCUFNJY4AfY3kHU/edit?usp=sharing  #gid=0"",""фіз особи new!relations_name_uo""),7,FALSE)
,
)
))"),"БОГОМОЛОВА Євгенія Едуардівна")</f>
        <v>БОГОМОЛОВА Євгенія Едуардівна</v>
      </c>
      <c r="G8284" s="7" t="s">
        <v>10</v>
      </c>
      <c r="H8284" s="7">
        <v>2960</v>
      </c>
      <c r="I8284" s="8" t="str">
        <f ca="1">IFERROR(__xludf.DUMMYFUNCTION("IF
(
G8285=""фізична особа""
,
VLOOKUP(H8285,IMPORTRANGE(""https://docs.google.com/spreadsheets/d/14Bd19lYaqBhU8_DElYkX7l4wRkHqqCUFNJY4AfY3kHU/edit?usp=sharing  #gid=0"",""фіз особи new!relations_name""),6,FALSE)
,
(IF
(
G8285=""юридична особа""
,
VLOOKUP"&amp;"(H8285,IMPORTRANGE(""https://docs.google.com/spreadsheets/d/14Bd19lYaqBhU8_DElYkX7l4wRkHqqCUFNJY4AfY3kHU/edit?usp=sharing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284" s="7" t="s">
        <v>29</v>
      </c>
    </row>
    <row r="8285" spans="1:10" ht="13.2">
      <c r="A8285" s="7">
        <v>8284</v>
      </c>
      <c r="B8285" s="7">
        <v>1</v>
      </c>
      <c r="C8285" s="7" t="s">
        <v>10</v>
      </c>
      <c r="D8285" s="7">
        <v>10229</v>
      </c>
      <c r="E8285" s="7" t="s">
        <v>28</v>
      </c>
      <c r="F8285" s="8" t="str">
        <f ca="1">IFERROR(__xludf.DUMMYFUNCTION("IF
(
C8286=""фізична особа""
,
VLOOKUP(D8286,IMPORTRANGE(""https://docs.google.com/spreadsheets/d/14Bd19lYaqBhU8_DElYkX7l4wRkHqqCUFNJY4AfY3kHU/edit?usp=sharing  #gid=0"",""фіз особи new!relations_name""),6,FALSE)
,
(IF
(
C8286=""юридична особа""
,
VLOOKUP"&amp;"(D8286,IMPORTRANGE(""https://docs.google.com/spreadsheets/d/14Bd19lYaqBhU8_DElYkX7l4wRkHqqCUFNJY4AfY3kHU/edit?usp=sharing  #gid=0"",""фіз особи new!relations_name_uo""),7,FALSE)
,
)
))"),"ГРЕБНЄВ Юрій Миколайович")</f>
        <v>ГРЕБНЄВ Юрій Миколайович</v>
      </c>
      <c r="G8285" s="7" t="s">
        <v>10</v>
      </c>
      <c r="H8285" s="7">
        <v>3020</v>
      </c>
      <c r="I8285" s="8" t="str">
        <f ca="1">IFERROR(__xludf.DUMMYFUNCTION("IF
(
G8286=""фізична особа""
,
VLOOKUP(H8286,IMPORTRANGE(""https://docs.google.com/spreadsheets/d/14Bd19lYaqBhU8_DElYkX7l4wRkHqqCUFNJY4AfY3kHU/edit?usp=sharing  #gid=0"",""фіз особи new!relations_name""),6,FALSE)
,
(IF
(
G8286=""юридична особа""
,
VLOOKUP"&amp;"(H8286,IMPORTRANGE(""https://docs.google.com/spreadsheets/d/14Bd19lYaqBhU8_DElYkX7l4wRkHqqCUFNJY4AfY3kHU/edit?usp=sharing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5" s="7" t="s">
        <v>29</v>
      </c>
    </row>
    <row r="8286" spans="1:10" ht="13.2">
      <c r="A8286" s="7">
        <v>8285</v>
      </c>
      <c r="B8286" s="7">
        <v>1</v>
      </c>
      <c r="C8286" s="7" t="s">
        <v>10</v>
      </c>
      <c r="D8286" s="7">
        <v>10230</v>
      </c>
      <c r="E8286" s="7" t="s">
        <v>28</v>
      </c>
      <c r="F8286" s="8" t="str">
        <f ca="1">IFERROR(__xludf.DUMMYFUNCTION("IF
(
C8287=""фізична особа""
,
VLOOKUP(D8287,IMPORTRANGE(""https://docs.google.com/spreadsheets/d/14Bd19lYaqBhU8_DElYkX7l4wRkHqqCUFNJY4AfY3kHU/edit?usp=sharing  #gid=0"",""фіз особи new!relations_name""),6,FALSE)
,
(IF
(
C8287=""юридична особа""
,
VLOOKUP"&amp;"(D8287,IMPORTRANGE(""https://docs.google.com/spreadsheets/d/14Bd19lYaqBhU8_DElYkX7l4wRkHqqCUFNJY4AfY3kHU/edit?usp=sharing  #gid=0"",""фіз особи new!relations_name_uo""),7,FALSE)
,
)
))"),"ФОМІН Володимир Михайлович")</f>
        <v>ФОМІН Володимир Михайлович</v>
      </c>
      <c r="G8286" s="7" t="s">
        <v>10</v>
      </c>
      <c r="H8286" s="7">
        <v>3020</v>
      </c>
      <c r="I8286" s="8" t="str">
        <f ca="1">IFERROR(__xludf.DUMMYFUNCTION("IF
(
G8287=""фізична особа""
,
VLOOKUP(H8287,IMPORTRANGE(""https://docs.google.com/spreadsheets/d/14Bd19lYaqBhU8_DElYkX7l4wRkHqqCUFNJY4AfY3kHU/edit?usp=sharing  #gid=0"",""фіз особи new!relations_name""),6,FALSE)
,
(IF
(
G8287=""юридична особа""
,
VLOOKUP"&amp;"(H8287,IMPORTRANGE(""https://docs.google.com/spreadsheets/d/14Bd19lYaqBhU8_DElYkX7l4wRkHqqCUFNJY4AfY3kHU/edit?usp=sharing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6" s="7" t="s">
        <v>29</v>
      </c>
    </row>
    <row r="8287" spans="1:10" ht="13.2">
      <c r="A8287" s="7">
        <v>8286</v>
      </c>
      <c r="B8287" s="7">
        <v>1</v>
      </c>
      <c r="C8287" s="7" t="s">
        <v>10</v>
      </c>
      <c r="D8287" s="7">
        <v>10231</v>
      </c>
      <c r="E8287" s="7" t="s">
        <v>28</v>
      </c>
      <c r="F8287" s="8" t="str">
        <f ca="1">IFERROR(__xludf.DUMMYFUNCTION("IF
(
C8288=""фізична особа""
,
VLOOKUP(D8288,IMPORTRANGE(""https://docs.google.com/spreadsheets/d/14Bd19lYaqBhU8_DElYkX7l4wRkHqqCUFNJY4AfY3kHU/edit?usp=sharing  #gid=0"",""фіз особи new!relations_name""),6,FALSE)
,
(IF
(
C8288=""юридична особа""
,
VLOOKUP"&amp;"(D8288,IMPORTRANGE(""https://docs.google.com/spreadsheets/d/14Bd19lYaqBhU8_DElYkX7l4wRkHqqCUFNJY4AfY3kHU/edit?usp=sharing  #gid=0"",""фіз особи new!relations_name_uo""),7,FALSE)
,
)
))"),"ГРЕЧІШНІКОВА Олена Анатоліївна")</f>
        <v>ГРЕЧІШНІКОВА Олена Анатоліївна</v>
      </c>
      <c r="G8287" s="7" t="s">
        <v>10</v>
      </c>
      <c r="H8287" s="7">
        <v>3020</v>
      </c>
      <c r="I8287" s="8" t="str">
        <f ca="1">IFERROR(__xludf.DUMMYFUNCTION("IF
(
G8288=""фізична особа""
,
VLOOKUP(H8288,IMPORTRANGE(""https://docs.google.com/spreadsheets/d/14Bd19lYaqBhU8_DElYkX7l4wRkHqqCUFNJY4AfY3kHU/edit?usp=sharing  #gid=0"",""фіз особи new!relations_name""),6,FALSE)
,
(IF
(
G8288=""юридична особа""
,
VLOOKUP"&amp;"(H8288,IMPORTRANGE(""https://docs.google.com/spreadsheets/d/14Bd19lYaqBhU8_DElYkX7l4wRkHqqCUFNJY4AfY3kHU/edit?usp=sharing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7" s="7" t="s">
        <v>29</v>
      </c>
    </row>
    <row r="8288" spans="1:10" ht="13.2">
      <c r="A8288" s="7">
        <v>8287</v>
      </c>
      <c r="B8288" s="7">
        <v>1</v>
      </c>
      <c r="C8288" s="7" t="s">
        <v>10</v>
      </c>
      <c r="D8288" s="7">
        <v>10232</v>
      </c>
      <c r="E8288" s="7" t="s">
        <v>28</v>
      </c>
      <c r="F8288" s="8" t="str">
        <f ca="1">IFERROR(__xludf.DUMMYFUNCTION("IF
(
C8289=""фізична особа""
,
VLOOKUP(D8289,IMPORTRANGE(""https://docs.google.com/spreadsheets/d/14Bd19lYaqBhU8_DElYkX7l4wRkHqqCUFNJY4AfY3kHU/edit?usp=sharing  #gid=0"",""фіз особи new!relations_name""),6,FALSE)
,
(IF
(
C8289=""юридична особа""
,
VLOOKUP"&amp;"(D8289,IMPORTRANGE(""https://docs.google.com/spreadsheets/d/14Bd19lYaqBhU8_DElYkX7l4wRkHqqCUFNJY4AfY3kHU/edit?usp=sharing  #gid=0"",""фіз особи new!relations_name_uo""),7,FALSE)
,
)
))"),"МИРОНЕНКО Павло Олександрович")</f>
        <v>МИРОНЕНКО Павло Олександрович</v>
      </c>
      <c r="G8288" s="7" t="s">
        <v>10</v>
      </c>
      <c r="H8288" s="7">
        <v>3020</v>
      </c>
      <c r="I8288" s="8" t="str">
        <f ca="1">IFERROR(__xludf.DUMMYFUNCTION("IF
(
G8289=""фізична особа""
,
VLOOKUP(H8289,IMPORTRANGE(""https://docs.google.com/spreadsheets/d/14Bd19lYaqBhU8_DElYkX7l4wRkHqqCUFNJY4AfY3kHU/edit?usp=sharing  #gid=0"",""фіз особи new!relations_name""),6,FALSE)
,
(IF
(
G8289=""юридична особа""
,
VLOOKUP"&amp;"(H8289,IMPORTRANGE(""https://docs.google.com/spreadsheets/d/14Bd19lYaqBhU8_DElYkX7l4wRkHqqCUFNJY4AfY3kHU/edit?usp=sharing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88" s="7" t="s">
        <v>29</v>
      </c>
    </row>
    <row r="8289" spans="1:10" ht="13.2">
      <c r="A8289" s="7">
        <v>8288</v>
      </c>
      <c r="B8289" s="7">
        <v>1</v>
      </c>
      <c r="C8289" s="7" t="s">
        <v>10</v>
      </c>
      <c r="D8289" s="7">
        <v>10233</v>
      </c>
      <c r="E8289" s="7" t="s">
        <v>28</v>
      </c>
      <c r="F8289" s="8" t="str">
        <f ca="1">IFERROR(__xludf.DUMMYFUNCTION("IF
(
C8290=""фізична особа""
,
VLOOKUP(D8290,IMPORTRANGE(""https://docs.google.com/spreadsheets/d/14Bd19lYaqBhU8_DElYkX7l4wRkHqqCUFNJY4AfY3kHU/edit?usp=sharing  #gid=0"",""фіз особи new!relations_name""),6,FALSE)
,
(IF
(
C8290=""юридична особа""
,
VLOOKUP"&amp;"(D8290,IMPORTRANGE(""https://docs.google.com/spreadsheets/d/14Bd19lYaqBhU8_DElYkX7l4wRkHqqCUFNJY4AfY3kHU/edit?usp=sharing  #gid=0"",""фіз особи new!relations_name_uo""),7,FALSE)
,
)
))"),"ТІТОВА Тетяна Анатоліївна")</f>
        <v>ТІТОВА Тетяна Анатоліївна</v>
      </c>
      <c r="G8289" s="7" t="s">
        <v>10</v>
      </c>
      <c r="H8289" s="7">
        <v>22397</v>
      </c>
      <c r="I8289" s="8" t="str">
        <f ca="1">IFERROR(__xludf.DUMMYFUNCTION("IF
(
G8290=""фізична особа""
,
VLOOKUP(H8290,IMPORTRANGE(""https://docs.google.com/spreadsheets/d/14Bd19lYaqBhU8_DElYkX7l4wRkHqqCUFNJY4AfY3kHU/edit?usp=sharing  #gid=0"",""фіз особи new!relations_name""),6,FALSE)
,
(IF
(
G8290=""юридична особа""
,
VLOOKUP"&amp;"(H8290,IMPORTRANGE(""https://docs.google.com/spreadsheets/d/14Bd19lYaqBhU8_DElYkX7l4wRkHqqCUFNJY4AfY3kHU/edit?usp=sharing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289" s="7" t="s">
        <v>29</v>
      </c>
    </row>
    <row r="8290" spans="1:10" ht="13.2">
      <c r="A8290" s="7">
        <v>8289</v>
      </c>
      <c r="B8290" s="7">
        <v>1</v>
      </c>
      <c r="C8290" s="7" t="s">
        <v>10</v>
      </c>
      <c r="D8290" s="7">
        <v>10234</v>
      </c>
      <c r="E8290" s="7" t="s">
        <v>28</v>
      </c>
      <c r="F8290" s="8" t="str">
        <f ca="1">IFERROR(__xludf.DUMMYFUNCTION("IF
(
C8291=""фізична особа""
,
VLOOKUP(D8291,IMPORTRANGE(""https://docs.google.com/spreadsheets/d/14Bd19lYaqBhU8_DElYkX7l4wRkHqqCUFNJY4AfY3kHU/edit?usp=sharing  #gid=0"",""фіз особи new!relations_name""),6,FALSE)
,
(IF
(
C8291=""юридична особа""
,
VLOOKUP"&amp;"(D8291,IMPORTRANGE(""https://docs.google.com/spreadsheets/d/14Bd19lYaqBhU8_DElYkX7l4wRkHqqCUFNJY4AfY3kHU/edit?usp=sharing  #gid=0"",""фіз особи new!relations_name_uo""),7,FALSE)
,
)
))"),"ЄЛАГІН Юрій Володимирович")</f>
        <v>ЄЛАГІН Юрій Володимирович</v>
      </c>
      <c r="G8290" s="7" t="s">
        <v>10</v>
      </c>
      <c r="H8290" s="7">
        <v>3020</v>
      </c>
      <c r="I8290" s="8" t="str">
        <f ca="1">IFERROR(__xludf.DUMMYFUNCTION("IF
(
G8291=""фізична особа""
,
VLOOKUP(H8291,IMPORTRANGE(""https://docs.google.com/spreadsheets/d/14Bd19lYaqBhU8_DElYkX7l4wRkHqqCUFNJY4AfY3kHU/edit?usp=sharing  #gid=0"",""фіз особи new!relations_name""),6,FALSE)
,
(IF
(
G8291=""юридична особа""
,
VLOOKUP"&amp;"(H8291,IMPORTRANGE(""https://docs.google.com/spreadsheets/d/14Bd19lYaqBhU8_DElYkX7l4wRkHqqCUFNJY4AfY3kHU/edit?usp=sharing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0" s="7" t="s">
        <v>29</v>
      </c>
    </row>
    <row r="8291" spans="1:10" ht="13.2">
      <c r="A8291" s="7">
        <v>8290</v>
      </c>
      <c r="B8291" s="7">
        <v>1</v>
      </c>
      <c r="C8291" s="7" t="s">
        <v>10</v>
      </c>
      <c r="D8291" s="7">
        <v>10235</v>
      </c>
      <c r="E8291" s="7" t="s">
        <v>28</v>
      </c>
      <c r="F8291" s="8" t="str">
        <f ca="1">IFERROR(__xludf.DUMMYFUNCTION("IF
(
C8292=""фізична особа""
,
VLOOKUP(D8292,IMPORTRANGE(""https://docs.google.com/spreadsheets/d/14Bd19lYaqBhU8_DElYkX7l4wRkHqqCUFNJY4AfY3kHU/edit?usp=sharing  #gid=0"",""фіз особи new!relations_name""),6,FALSE)
,
(IF
(
C8292=""юридична особа""
,
VLOOKUP"&amp;"(D8292,IMPORTRANGE(""https://docs.google.com/spreadsheets/d/14Bd19lYaqBhU8_DElYkX7l4wRkHqqCUFNJY4AfY3kHU/edit?usp=sharing  #gid=0"",""фіз особи new!relations_name_uo""),7,FALSE)
,
)
))"),"ПАУТОВ Іван Геннадійович")</f>
        <v>ПАУТОВ Іван Геннадійович</v>
      </c>
      <c r="G8291" s="7" t="s">
        <v>10</v>
      </c>
      <c r="H8291" s="7">
        <v>3020</v>
      </c>
      <c r="I8291" s="8" t="str">
        <f ca="1">IFERROR(__xludf.DUMMYFUNCTION("IF
(
G8292=""фізична особа""
,
VLOOKUP(H8292,IMPORTRANGE(""https://docs.google.com/spreadsheets/d/14Bd19lYaqBhU8_DElYkX7l4wRkHqqCUFNJY4AfY3kHU/edit?usp=sharing  #gid=0"",""фіз особи new!relations_name""),6,FALSE)
,
(IF
(
G8292=""юридична особа""
,
VLOOKUP"&amp;"(H8292,IMPORTRANGE(""https://docs.google.com/spreadsheets/d/14Bd19lYaqBhU8_DElYkX7l4wRkHqqCUFNJY4AfY3kHU/edit?usp=sharing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1" s="7" t="s">
        <v>29</v>
      </c>
    </row>
    <row r="8292" spans="1:10" ht="13.2">
      <c r="A8292" s="7">
        <v>8291</v>
      </c>
      <c r="B8292" s="7">
        <v>1</v>
      </c>
      <c r="C8292" s="7" t="s">
        <v>10</v>
      </c>
      <c r="D8292" s="7">
        <v>10236</v>
      </c>
      <c r="E8292" s="7" t="s">
        <v>28</v>
      </c>
      <c r="F8292" s="8" t="str">
        <f ca="1">IFERROR(__xludf.DUMMYFUNCTION("IF
(
C8293=""фізична особа""
,
VLOOKUP(D8293,IMPORTRANGE(""https://docs.google.com/spreadsheets/d/14Bd19lYaqBhU8_DElYkX7l4wRkHqqCUFNJY4AfY3kHU/edit?usp=sharing  #gid=0"",""фіз особи new!relations_name""),6,FALSE)
,
(IF
(
C8293=""юридична особа""
,
VLOOKUP"&amp;"(D8293,IMPORTRANGE(""https://docs.google.com/spreadsheets/d/14Bd19lYaqBhU8_DElYkX7l4wRkHqqCUFNJY4AfY3kHU/edit?usp=sharing  #gid=0"",""фіз особи new!relations_name_uo""),7,FALSE)
,
)
))"),"АРТАМОНОВА Катерина Анатоліївна")</f>
        <v>АРТАМОНОВА Катерина Анатоліївна</v>
      </c>
      <c r="G8292" s="7" t="s">
        <v>10</v>
      </c>
      <c r="H8292" s="7">
        <v>22397</v>
      </c>
      <c r="I8292" s="8" t="str">
        <f ca="1">IFERROR(__xludf.DUMMYFUNCTION("IF
(
G8293=""фізична особа""
,
VLOOKUP(H8293,IMPORTRANGE(""https://docs.google.com/spreadsheets/d/14Bd19lYaqBhU8_DElYkX7l4wRkHqqCUFNJY4AfY3kHU/edit?usp=sharing  #gid=0"",""фіз особи new!relations_name""),6,FALSE)
,
(IF
(
G8293=""юридична особа""
,
VLOOKUP"&amp;"(H8293,IMPORTRANGE(""https://docs.google.com/spreadsheets/d/14Bd19lYaqBhU8_DElYkX7l4wRkHqqCUFNJY4AfY3kHU/edit?usp=sharing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292" s="7" t="s">
        <v>29</v>
      </c>
    </row>
    <row r="8293" spans="1:10" ht="13.2">
      <c r="A8293" s="7">
        <v>8292</v>
      </c>
      <c r="B8293" s="7">
        <v>1</v>
      </c>
      <c r="C8293" s="7" t="s">
        <v>10</v>
      </c>
      <c r="D8293" s="7">
        <v>10237</v>
      </c>
      <c r="E8293" s="7" t="s">
        <v>28</v>
      </c>
      <c r="F8293" s="8" t="str">
        <f ca="1">IFERROR(__xludf.DUMMYFUNCTION("IF
(
C8294=""фізична особа""
,
VLOOKUP(D8294,IMPORTRANGE(""https://docs.google.com/spreadsheets/d/14Bd19lYaqBhU8_DElYkX7l4wRkHqqCUFNJY4AfY3kHU/edit?usp=sharing  #gid=0"",""фіз особи new!relations_name""),6,FALSE)
,
(IF
(
C8294=""юридична особа""
,
VLOOKUP"&amp;"(D8294,IMPORTRANGE(""https://docs.google.com/spreadsheets/d/14Bd19lYaqBhU8_DElYkX7l4wRkHqqCUFNJY4AfY3kHU/edit?usp=sharing  #gid=0"",""фіз особи new!relations_name_uo""),7,FALSE)
,
)
))"),"ПШИНШЕВ Анзор Галимович")</f>
        <v>ПШИНШЕВ Анзор Галимович</v>
      </c>
      <c r="G8293" s="7" t="s">
        <v>10</v>
      </c>
      <c r="H8293" s="7">
        <v>3020</v>
      </c>
      <c r="I8293" s="8" t="str">
        <f ca="1">IFERROR(__xludf.DUMMYFUNCTION("IF
(
G8294=""фізична особа""
,
VLOOKUP(H8294,IMPORTRANGE(""https://docs.google.com/spreadsheets/d/14Bd19lYaqBhU8_DElYkX7l4wRkHqqCUFNJY4AfY3kHU/edit?usp=sharing  #gid=0"",""фіз особи new!relations_name""),6,FALSE)
,
(IF
(
G8294=""юридична особа""
,
VLOOKUP"&amp;"(H8294,IMPORTRANGE(""https://docs.google.com/spreadsheets/d/14Bd19lYaqBhU8_DElYkX7l4wRkHqqCUFNJY4AfY3kHU/edit?usp=sharing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3" s="7" t="s">
        <v>29</v>
      </c>
    </row>
    <row r="8294" spans="1:10" ht="13.2">
      <c r="A8294" s="7">
        <v>8293</v>
      </c>
      <c r="B8294" s="7">
        <v>1</v>
      </c>
      <c r="C8294" s="7" t="s">
        <v>10</v>
      </c>
      <c r="D8294" s="7">
        <v>10238</v>
      </c>
      <c r="E8294" s="7" t="s">
        <v>28</v>
      </c>
      <c r="F8294" s="8" t="str">
        <f ca="1">IFERROR(__xludf.DUMMYFUNCTION("IF
(
C8295=""фізична особа""
,
VLOOKUP(D8295,IMPORTRANGE(""https://docs.google.com/spreadsheets/d/14Bd19lYaqBhU8_DElYkX7l4wRkHqqCUFNJY4AfY3kHU/edit?usp=sharing  #gid=0"",""фіз особи new!relations_name""),6,FALSE)
,
(IF
(
C8295=""юридична особа""
,
VLOOKUP"&amp;"(D8295,IMPORTRANGE(""https://docs.google.com/spreadsheets/d/14Bd19lYaqBhU8_DElYkX7l4wRkHqqCUFNJY4AfY3kHU/edit?usp=sharing  #gid=0"",""фіз особи new!relations_name_uo""),7,FALSE)
,
)
))"),"МЕРЗЛЯКОВА Наталія Валеріївна")</f>
        <v>МЕРЗЛЯКОВА Наталія Валеріївна</v>
      </c>
      <c r="G8294" s="7" t="s">
        <v>10</v>
      </c>
      <c r="H8294" s="7">
        <v>3020</v>
      </c>
      <c r="I8294" s="8" t="str">
        <f ca="1">IFERROR(__xludf.DUMMYFUNCTION("IF
(
G8295=""фізична особа""
,
VLOOKUP(H8295,IMPORTRANGE(""https://docs.google.com/spreadsheets/d/14Bd19lYaqBhU8_DElYkX7l4wRkHqqCUFNJY4AfY3kHU/edit?usp=sharing  #gid=0"",""фіз особи new!relations_name""),6,FALSE)
,
(IF
(
G8295=""юридична особа""
,
VLOOKUP"&amp;"(H8295,IMPORTRANGE(""https://docs.google.com/spreadsheets/d/14Bd19lYaqBhU8_DElYkX7l4wRkHqqCUFNJY4AfY3kHU/edit?usp=sharing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4" s="7" t="s">
        <v>29</v>
      </c>
    </row>
    <row r="8295" spans="1:10" ht="13.2">
      <c r="A8295" s="7">
        <v>8294</v>
      </c>
      <c r="B8295" s="7">
        <v>1</v>
      </c>
      <c r="C8295" s="7" t="s">
        <v>10</v>
      </c>
      <c r="D8295" s="7">
        <v>10239</v>
      </c>
      <c r="E8295" s="7" t="s">
        <v>28</v>
      </c>
      <c r="F8295" s="8" t="str">
        <f ca="1">IFERROR(__xludf.DUMMYFUNCTION("IF
(
C8296=""фізична особа""
,
VLOOKUP(D8296,IMPORTRANGE(""https://docs.google.com/spreadsheets/d/14Bd19lYaqBhU8_DElYkX7l4wRkHqqCUFNJY4AfY3kHU/edit?usp=sharing  #gid=0"",""фіз особи new!relations_name""),6,FALSE)
,
(IF
(
C8296=""юридична особа""
,
VLOOKUP"&amp;"(D8296,IMPORTRANGE(""https://docs.google.com/spreadsheets/d/14Bd19lYaqBhU8_DElYkX7l4wRkHqqCUFNJY4AfY3kHU/edit?usp=sharing  #gid=0"",""фіз особи new!relations_name_uo""),7,FALSE)
,
)
))"),"ДЕМКІН Артур Валерійович")</f>
        <v>ДЕМКІН Артур Валерійович</v>
      </c>
      <c r="G8295" s="7" t="s">
        <v>10</v>
      </c>
      <c r="H8295" s="7">
        <v>3020</v>
      </c>
      <c r="I8295" s="8" t="str">
        <f ca="1">IFERROR(__xludf.DUMMYFUNCTION("IF
(
G8296=""фізична особа""
,
VLOOKUP(H8296,IMPORTRANGE(""https://docs.google.com/spreadsheets/d/14Bd19lYaqBhU8_DElYkX7l4wRkHqqCUFNJY4AfY3kHU/edit?usp=sharing  #gid=0"",""фіз особи new!relations_name""),6,FALSE)
,
(IF
(
G8296=""юридична особа""
,
VLOOKUP"&amp;"(H8296,IMPORTRANGE(""https://docs.google.com/spreadsheets/d/14Bd19lYaqBhU8_DElYkX7l4wRkHqqCUFNJY4AfY3kHU/edit?usp=sharing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5" s="7" t="s">
        <v>29</v>
      </c>
    </row>
    <row r="8296" spans="1:10" ht="13.2">
      <c r="A8296" s="7">
        <v>8295</v>
      </c>
      <c r="B8296" s="7">
        <v>1</v>
      </c>
      <c r="C8296" s="7" t="s">
        <v>10</v>
      </c>
      <c r="D8296" s="7">
        <v>10240</v>
      </c>
      <c r="E8296" s="7" t="s">
        <v>28</v>
      </c>
      <c r="F8296" s="8" t="str">
        <f ca="1">IFERROR(__xludf.DUMMYFUNCTION("IF
(
C8297=""фізична особа""
,
VLOOKUP(D8297,IMPORTRANGE(""https://docs.google.com/spreadsheets/d/14Bd19lYaqBhU8_DElYkX7l4wRkHqqCUFNJY4AfY3kHU/edit?usp=sharing  #gid=0"",""фіз особи new!relations_name""),6,FALSE)
,
(IF
(
C8297=""юридична особа""
,
VLOOKUP"&amp;"(D8297,IMPORTRANGE(""https://docs.google.com/spreadsheets/d/14Bd19lYaqBhU8_DElYkX7l4wRkHqqCUFNJY4AfY3kHU/edit?usp=sharing  #gid=0"",""фіз особи new!relations_name_uo""),7,FALSE)
,
)
))"),"ПРЯХІН Артур Борисович")</f>
        <v>ПРЯХІН Артур Борисович</v>
      </c>
      <c r="G8296" s="7" t="s">
        <v>10</v>
      </c>
      <c r="H8296" s="7">
        <v>3020</v>
      </c>
      <c r="I8296" s="8" t="str">
        <f ca="1">IFERROR(__xludf.DUMMYFUNCTION("IF
(
G8297=""фізична особа""
,
VLOOKUP(H8297,IMPORTRANGE(""https://docs.google.com/spreadsheets/d/14Bd19lYaqBhU8_DElYkX7l4wRkHqqCUFNJY4AfY3kHU/edit?usp=sharing  #gid=0"",""фіз особи new!relations_name""),6,FALSE)
,
(IF
(
G8297=""юридична особа""
,
VLOOKUP"&amp;"(H8297,IMPORTRANGE(""https://docs.google.com/spreadsheets/d/14Bd19lYaqBhU8_DElYkX7l4wRkHqqCUFNJY4AfY3kHU/edit?usp=sharing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6" s="7" t="s">
        <v>29</v>
      </c>
    </row>
    <row r="8297" spans="1:10" ht="13.2">
      <c r="A8297" s="7">
        <v>8296</v>
      </c>
      <c r="B8297" s="7">
        <v>1</v>
      </c>
      <c r="C8297" s="7" t="s">
        <v>10</v>
      </c>
      <c r="D8297" s="7">
        <v>10241</v>
      </c>
      <c r="E8297" s="7" t="s">
        <v>28</v>
      </c>
      <c r="F8297" s="8" t="str">
        <f ca="1">IFERROR(__xludf.DUMMYFUNCTION("IF
(
C8298=""фізична особа""
,
VLOOKUP(D8298,IMPORTRANGE(""https://docs.google.com/spreadsheets/d/14Bd19lYaqBhU8_DElYkX7l4wRkHqqCUFNJY4AfY3kHU/edit?usp=sharing  #gid=0"",""фіз особи new!relations_name""),6,FALSE)
,
(IF
(
C8298=""юридична особа""
,
VLOOKUP"&amp;"(D8298,IMPORTRANGE(""https://docs.google.com/spreadsheets/d/14Bd19lYaqBhU8_DElYkX7l4wRkHqqCUFNJY4AfY3kHU/edit?usp=sharing  #gid=0"",""фіз особи new!relations_name_uo""),7,FALSE)
,
)
))"),"ГУРЕВСЬКА Наталія Володимирівна")</f>
        <v>ГУРЕВСЬКА Наталія Володимирівна</v>
      </c>
      <c r="G8297" s="7" t="s">
        <v>10</v>
      </c>
      <c r="H8297" s="7">
        <v>3020</v>
      </c>
      <c r="I8297" s="8" t="str">
        <f ca="1">IFERROR(__xludf.DUMMYFUNCTION("IF
(
G8298=""фізична особа""
,
VLOOKUP(H8298,IMPORTRANGE(""https://docs.google.com/spreadsheets/d/14Bd19lYaqBhU8_DElYkX7l4wRkHqqCUFNJY4AfY3kHU/edit?usp=sharing  #gid=0"",""фіз особи new!relations_name""),6,FALSE)
,
(IF
(
G8298=""юридична особа""
,
VLOOKUP"&amp;"(H8298,IMPORTRANGE(""https://docs.google.com/spreadsheets/d/14Bd19lYaqBhU8_DElYkX7l4wRkHqqCUFNJY4AfY3kHU/edit?usp=sharing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7" s="7" t="s">
        <v>29</v>
      </c>
    </row>
    <row r="8298" spans="1:10" ht="13.2">
      <c r="A8298" s="7">
        <v>8297</v>
      </c>
      <c r="B8298" s="7">
        <v>1</v>
      </c>
      <c r="C8298" s="7" t="s">
        <v>10</v>
      </c>
      <c r="D8298" s="7">
        <v>10242</v>
      </c>
      <c r="E8298" s="7" t="s">
        <v>28</v>
      </c>
      <c r="F8298" s="8" t="str">
        <f ca="1">IFERROR(__xludf.DUMMYFUNCTION("IF
(
C8299=""фізична особа""
,
VLOOKUP(D8299,IMPORTRANGE(""https://docs.google.com/spreadsheets/d/14Bd19lYaqBhU8_DElYkX7l4wRkHqqCUFNJY4AfY3kHU/edit?usp=sharing  #gid=0"",""фіз особи new!relations_name""),6,FALSE)
,
(IF
(
C8299=""юридична особа""
,
VLOOKUP"&amp;"(D8299,IMPORTRANGE(""https://docs.google.com/spreadsheets/d/14Bd19lYaqBhU8_DElYkX7l4wRkHqqCUFNJY4AfY3kHU/edit?usp=sharing  #gid=0"",""фіз особи new!relations_name_uo""),7,FALSE)
,
)
))"),"КРЮКОВ Тимофій Петрович")</f>
        <v>КРЮКОВ Тимофій Петрович</v>
      </c>
      <c r="G8298" s="7" t="s">
        <v>10</v>
      </c>
      <c r="H8298" s="7">
        <v>3020</v>
      </c>
      <c r="I8298" s="8" t="str">
        <f ca="1">IFERROR(__xludf.DUMMYFUNCTION("IF
(
G8299=""фізична особа""
,
VLOOKUP(H8299,IMPORTRANGE(""https://docs.google.com/spreadsheets/d/14Bd19lYaqBhU8_DElYkX7l4wRkHqqCUFNJY4AfY3kHU/edit?usp=sharing  #gid=0"",""фіз особи new!relations_name""),6,FALSE)
,
(IF
(
G8299=""юридична особа""
,
VLOOKUP"&amp;"(H8299,IMPORTRANGE(""https://docs.google.com/spreadsheets/d/14Bd19lYaqBhU8_DElYkX7l4wRkHqqCUFNJY4AfY3kHU/edit?usp=sharing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8" s="7" t="s">
        <v>29</v>
      </c>
    </row>
    <row r="8299" spans="1:10" ht="13.2">
      <c r="A8299" s="7">
        <v>8298</v>
      </c>
      <c r="B8299" s="7">
        <v>1</v>
      </c>
      <c r="C8299" s="7" t="s">
        <v>10</v>
      </c>
      <c r="D8299" s="7">
        <v>10243</v>
      </c>
      <c r="E8299" s="7" t="s">
        <v>28</v>
      </c>
      <c r="F8299" s="8" t="str">
        <f ca="1">IFERROR(__xludf.DUMMYFUNCTION("IF
(
C8300=""фізична особа""
,
VLOOKUP(D8300,IMPORTRANGE(""https://docs.google.com/spreadsheets/d/14Bd19lYaqBhU8_DElYkX7l4wRkHqqCUFNJY4AfY3kHU/edit?usp=sharing  #gid=0"",""фіз особи new!relations_name""),6,FALSE)
,
(IF
(
C8300=""юридична особа""
,
VLOOKUP"&amp;"(D8300,IMPORTRANGE(""https://docs.google.com/spreadsheets/d/14Bd19lYaqBhU8_DElYkX7l4wRkHqqCUFNJY4AfY3kHU/edit?usp=sharing  #gid=0"",""фіз особи new!relations_name_uo""),7,FALSE)
,
)
))"),"ЧЕЧЕНІНА Світлана Адольфівна")</f>
        <v>ЧЕЧЕНІНА Світлана Адольфівна</v>
      </c>
      <c r="G8299" s="7" t="s">
        <v>10</v>
      </c>
      <c r="H8299" s="7">
        <v>3020</v>
      </c>
      <c r="I8299" s="8" t="str">
        <f ca="1">IFERROR(__xludf.DUMMYFUNCTION("IF
(
G8300=""фізична особа""
,
VLOOKUP(H8300,IMPORTRANGE(""https://docs.google.com/spreadsheets/d/14Bd19lYaqBhU8_DElYkX7l4wRkHqqCUFNJY4AfY3kHU/edit?usp=sharing  #gid=0"",""фіз особи new!relations_name""),6,FALSE)
,
(IF
(
G8300=""юридична особа""
,
VLOOKUP"&amp;"(H8300,IMPORTRANGE(""https://docs.google.com/spreadsheets/d/14Bd19lYaqBhU8_DElYkX7l4wRkHqqCUFNJY4AfY3kHU/edit?usp=sharing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299" s="7" t="s">
        <v>29</v>
      </c>
    </row>
    <row r="8300" spans="1:10" ht="13.2">
      <c r="A8300" s="7">
        <v>8299</v>
      </c>
      <c r="B8300" s="7">
        <v>1</v>
      </c>
      <c r="C8300" s="7" t="s">
        <v>10</v>
      </c>
      <c r="D8300" s="7">
        <v>10244</v>
      </c>
      <c r="E8300" s="7" t="s">
        <v>28</v>
      </c>
      <c r="F8300" s="8" t="str">
        <f ca="1">IFERROR(__xludf.DUMMYFUNCTION("IF
(
C8301=""фізична особа""
,
VLOOKUP(D8301,IMPORTRANGE(""https://docs.google.com/spreadsheets/d/14Bd19lYaqBhU8_DElYkX7l4wRkHqqCUFNJY4AfY3kHU/edit?usp=sharing  #gid=0"",""фіз особи new!relations_name""),6,FALSE)
,
(IF
(
C8301=""юридична особа""
,
VLOOKUP"&amp;"(D8301,IMPORTRANGE(""https://docs.google.com/spreadsheets/d/14Bd19lYaqBhU8_DElYkX7l4wRkHqqCUFNJY4AfY3kHU/edit?usp=sharing  #gid=0"",""фіз особи new!relations_name_uo""),7,FALSE)
,
)
))"),"БЄЛОКОНЬ Ірина Володимирівна")</f>
        <v>БЄЛОКОНЬ Ірина Володимирівна</v>
      </c>
      <c r="G8300" s="7" t="s">
        <v>10</v>
      </c>
      <c r="H8300" s="7">
        <v>3020</v>
      </c>
      <c r="I8300" s="8" t="str">
        <f ca="1">IFERROR(__xludf.DUMMYFUNCTION("IF
(
G8301=""фізична особа""
,
VLOOKUP(H8301,IMPORTRANGE(""https://docs.google.com/spreadsheets/d/14Bd19lYaqBhU8_DElYkX7l4wRkHqqCUFNJY4AfY3kHU/edit?usp=sharing  #gid=0"",""фіз особи new!relations_name""),6,FALSE)
,
(IF
(
G8301=""юридична особа""
,
VLOOKUP"&amp;"(H8301,IMPORTRANGE(""https://docs.google.com/spreadsheets/d/14Bd19lYaqBhU8_DElYkX7l4wRkHqqCUFNJY4AfY3kHU/edit?usp=sharing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0" s="7" t="s">
        <v>29</v>
      </c>
    </row>
    <row r="8301" spans="1:10" ht="13.2">
      <c r="A8301" s="7">
        <v>8300</v>
      </c>
      <c r="B8301" s="7">
        <v>1</v>
      </c>
      <c r="C8301" s="7" t="s">
        <v>10</v>
      </c>
      <c r="D8301" s="7">
        <v>10245</v>
      </c>
      <c r="E8301" s="7" t="s">
        <v>28</v>
      </c>
      <c r="F8301" s="8" t="str">
        <f ca="1">IFERROR(__xludf.DUMMYFUNCTION("IF
(
C8302=""фізична особа""
,
VLOOKUP(D8302,IMPORTRANGE(""https://docs.google.com/spreadsheets/d/14Bd19lYaqBhU8_DElYkX7l4wRkHqqCUFNJY4AfY3kHU/edit?usp=sharing  #gid=0"",""фіз особи new!relations_name""),6,FALSE)
,
(IF
(
C8302=""юридична особа""
,
VLOOKUP"&amp;"(D8302,IMPORTRANGE(""https://docs.google.com/spreadsheets/d/14Bd19lYaqBhU8_DElYkX7l4wRkHqqCUFNJY4AfY3kHU/edit?usp=sharing  #gid=0"",""фіз особи new!relations_name_uo""),7,FALSE)
,
)
))"),"ВИНІЧЕНКО Ольга Сергіївна")</f>
        <v>ВИНІЧЕНКО Ольга Сергіївна</v>
      </c>
      <c r="G8301" s="7" t="s">
        <v>10</v>
      </c>
      <c r="H8301" s="7">
        <v>3020</v>
      </c>
      <c r="I8301" s="8" t="str">
        <f ca="1">IFERROR(__xludf.DUMMYFUNCTION("IF
(
G8302=""фізична особа""
,
VLOOKUP(H8302,IMPORTRANGE(""https://docs.google.com/spreadsheets/d/14Bd19lYaqBhU8_DElYkX7l4wRkHqqCUFNJY4AfY3kHU/edit?usp=sharing  #gid=0"",""фіз особи new!relations_name""),6,FALSE)
,
(IF
(
G8302=""юридична особа""
,
VLOOKUP"&amp;"(H8302,IMPORTRANGE(""https://docs.google.com/spreadsheets/d/14Bd19lYaqBhU8_DElYkX7l4wRkHqqCUFNJY4AfY3kHU/edit?usp=sharing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1" s="7" t="s">
        <v>29</v>
      </c>
    </row>
    <row r="8302" spans="1:10" ht="13.2">
      <c r="A8302" s="7">
        <v>8301</v>
      </c>
      <c r="B8302" s="7">
        <v>1</v>
      </c>
      <c r="C8302" s="7" t="s">
        <v>10</v>
      </c>
      <c r="D8302" s="7">
        <v>10246</v>
      </c>
      <c r="E8302" s="7" t="s">
        <v>28</v>
      </c>
      <c r="F8302" s="8" t="str">
        <f ca="1">IFERROR(__xludf.DUMMYFUNCTION("IF
(
C8303=""фізична особа""
,
VLOOKUP(D8303,IMPORTRANGE(""https://docs.google.com/spreadsheets/d/14Bd19lYaqBhU8_DElYkX7l4wRkHqqCUFNJY4AfY3kHU/edit?usp=sharing  #gid=0"",""фіз особи new!relations_name""),6,FALSE)
,
(IF
(
C8303=""юридична особа""
,
VLOOKUP"&amp;"(D8303,IMPORTRANGE(""https://docs.google.com/spreadsheets/d/14Bd19lYaqBhU8_DElYkX7l4wRkHqqCUFNJY4AfY3kHU/edit?usp=sharing  #gid=0"",""фіз особи new!relations_name_uo""),7,FALSE)
,
)
))"),"МИЛОНАЄЦЬ Ольга Вікторівна")</f>
        <v>МИЛОНАЄЦЬ Ольга Вікторівна</v>
      </c>
      <c r="G8302" s="7" t="s">
        <v>10</v>
      </c>
      <c r="H8302" s="7">
        <v>3020</v>
      </c>
      <c r="I8302" s="8" t="str">
        <f ca="1">IFERROR(__xludf.DUMMYFUNCTION("IF
(
G8303=""фізична особа""
,
VLOOKUP(H8303,IMPORTRANGE(""https://docs.google.com/spreadsheets/d/14Bd19lYaqBhU8_DElYkX7l4wRkHqqCUFNJY4AfY3kHU/edit?usp=sharing  #gid=0"",""фіз особи new!relations_name""),6,FALSE)
,
(IF
(
G8303=""юридична особа""
,
VLOOKUP"&amp;"(H8303,IMPORTRANGE(""https://docs.google.com/spreadsheets/d/14Bd19lYaqBhU8_DElYkX7l4wRkHqqCUFNJY4AfY3kHU/edit?usp=sharing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2" s="7" t="s">
        <v>29</v>
      </c>
    </row>
    <row r="8303" spans="1:10" ht="13.2">
      <c r="A8303" s="7">
        <v>8302</v>
      </c>
      <c r="B8303" s="7">
        <v>1</v>
      </c>
      <c r="C8303" s="7" t="s">
        <v>10</v>
      </c>
      <c r="D8303" s="7">
        <v>10247</v>
      </c>
      <c r="E8303" s="7" t="s">
        <v>28</v>
      </c>
      <c r="F8303" s="8" t="str">
        <f ca="1">IFERROR(__xludf.DUMMYFUNCTION("IF
(
C8304=""фізична особа""
,
VLOOKUP(D8304,IMPORTRANGE(""https://docs.google.com/spreadsheets/d/14Bd19lYaqBhU8_DElYkX7l4wRkHqqCUFNJY4AfY3kHU/edit?usp=sharing  #gid=0"",""фіз особи new!relations_name""),6,FALSE)
,
(IF
(
C8304=""юридична особа""
,
VLOOKUP"&amp;"(D8304,IMPORTRANGE(""https://docs.google.com/spreadsheets/d/14Bd19lYaqBhU8_DElYkX7l4wRkHqqCUFNJY4AfY3kHU/edit?usp=sharing  #gid=0"",""фіз особи new!relations_name_uo""),7,FALSE)
,
)
))"),"ПРОХОРОВ Ігор Євгенович")</f>
        <v>ПРОХОРОВ Ігор Євгенович</v>
      </c>
      <c r="G8303" s="7" t="s">
        <v>10</v>
      </c>
      <c r="H8303" s="7">
        <v>3020</v>
      </c>
      <c r="I8303" s="8" t="str">
        <f ca="1">IFERROR(__xludf.DUMMYFUNCTION("IF
(
G8304=""фізична особа""
,
VLOOKUP(H8304,IMPORTRANGE(""https://docs.google.com/spreadsheets/d/14Bd19lYaqBhU8_DElYkX7l4wRkHqqCUFNJY4AfY3kHU/edit?usp=sharing  #gid=0"",""фіз особи new!relations_name""),6,FALSE)
,
(IF
(
G8304=""юридична особа""
,
VLOOKUP"&amp;"(H8304,IMPORTRANGE(""https://docs.google.com/spreadsheets/d/14Bd19lYaqBhU8_DElYkX7l4wRkHqqCUFNJY4AfY3kHU/edit?usp=sharing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3" s="7" t="s">
        <v>29</v>
      </c>
    </row>
    <row r="8304" spans="1:10" ht="13.2">
      <c r="A8304" s="7">
        <v>8303</v>
      </c>
      <c r="B8304" s="7">
        <v>1</v>
      </c>
      <c r="C8304" s="7" t="s">
        <v>10</v>
      </c>
      <c r="D8304" s="7">
        <v>10248</v>
      </c>
      <c r="E8304" s="7" t="s">
        <v>28</v>
      </c>
      <c r="F8304" s="8" t="str">
        <f ca="1">IFERROR(__xludf.DUMMYFUNCTION("IF
(
C8305=""фізична особа""
,
VLOOKUP(D8305,IMPORTRANGE(""https://docs.google.com/spreadsheets/d/14Bd19lYaqBhU8_DElYkX7l4wRkHqqCUFNJY4AfY3kHU/edit?usp=sharing  #gid=0"",""фіз особи new!relations_name""),6,FALSE)
,
(IF
(
C8305=""юридична особа""
,
VLOOKUP"&amp;"(D8305,IMPORTRANGE(""https://docs.google.com/spreadsheets/d/14Bd19lYaqBhU8_DElYkX7l4wRkHqqCUFNJY4AfY3kHU/edit?usp=sharing  #gid=0"",""фіз особи new!relations_name_uo""),7,FALSE)
,
)
))"),"СОБОЛЕВСЬКА Тетяна Михайлівна")</f>
        <v>СОБОЛЕВСЬКА Тетяна Михайлівна</v>
      </c>
      <c r="G8304" s="7" t="s">
        <v>10</v>
      </c>
      <c r="H8304" s="7">
        <v>3020</v>
      </c>
      <c r="I8304" s="8" t="str">
        <f ca="1">IFERROR(__xludf.DUMMYFUNCTION("IF
(
G8305=""фізична особа""
,
VLOOKUP(H8305,IMPORTRANGE(""https://docs.google.com/spreadsheets/d/14Bd19lYaqBhU8_DElYkX7l4wRkHqqCUFNJY4AfY3kHU/edit?usp=sharing  #gid=0"",""фіз особи new!relations_name""),6,FALSE)
,
(IF
(
G8305=""юридична особа""
,
VLOOKUP"&amp;"(H8305,IMPORTRANGE(""https://docs.google.com/spreadsheets/d/14Bd19lYaqBhU8_DElYkX7l4wRkHqqCUFNJY4AfY3kHU/edit?usp=sharing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4" s="7" t="s">
        <v>29</v>
      </c>
    </row>
    <row r="8305" spans="1:10" ht="13.2">
      <c r="A8305" s="7">
        <v>8304</v>
      </c>
      <c r="B8305" s="7">
        <v>1</v>
      </c>
      <c r="C8305" s="7" t="s">
        <v>10</v>
      </c>
      <c r="D8305" s="7">
        <v>10249</v>
      </c>
      <c r="E8305" s="7" t="s">
        <v>28</v>
      </c>
      <c r="F8305" s="8" t="str">
        <f ca="1">IFERROR(__xludf.DUMMYFUNCTION("IF
(
C8306=""фізична особа""
,
VLOOKUP(D8306,IMPORTRANGE(""https://docs.google.com/spreadsheets/d/14Bd19lYaqBhU8_DElYkX7l4wRkHqqCUFNJY4AfY3kHU/edit?usp=sharing  #gid=0"",""фіз особи new!relations_name""),6,FALSE)
,
(IF
(
C8306=""юридична особа""
,
VLOOKUP"&amp;"(D8306,IMPORTRANGE(""https://docs.google.com/spreadsheets/d/14Bd19lYaqBhU8_DElYkX7l4wRkHqqCUFNJY4AfY3kHU/edit?usp=sharing  #gid=0"",""фіз особи new!relations_name_uo""),7,FALSE)
,
)
))"),"ШАЛАБОДОВ Дмитро Валерійович")</f>
        <v>ШАЛАБОДОВ Дмитро Валерійович</v>
      </c>
      <c r="G8305" s="7" t="s">
        <v>10</v>
      </c>
      <c r="H8305" s="7">
        <v>3020</v>
      </c>
      <c r="I8305" s="8" t="str">
        <f ca="1">IFERROR(__xludf.DUMMYFUNCTION("IF
(
G8306=""фізична особа""
,
VLOOKUP(H8306,IMPORTRANGE(""https://docs.google.com/spreadsheets/d/14Bd19lYaqBhU8_DElYkX7l4wRkHqqCUFNJY4AfY3kHU/edit?usp=sharing  #gid=0"",""фіз особи new!relations_name""),6,FALSE)
,
(IF
(
G8306=""юридична особа""
,
VLOOKUP"&amp;"(H8306,IMPORTRANGE(""https://docs.google.com/spreadsheets/d/14Bd19lYaqBhU8_DElYkX7l4wRkHqqCUFNJY4AfY3kHU/edit?usp=sharing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5" s="7" t="s">
        <v>29</v>
      </c>
    </row>
    <row r="8306" spans="1:10" ht="13.2">
      <c r="A8306" s="7">
        <v>8305</v>
      </c>
      <c r="B8306" s="7">
        <v>1</v>
      </c>
      <c r="C8306" s="7" t="s">
        <v>10</v>
      </c>
      <c r="D8306" s="7">
        <v>10250</v>
      </c>
      <c r="E8306" s="7" t="s">
        <v>28</v>
      </c>
      <c r="F8306" s="8" t="str">
        <f ca="1">IFERROR(__xludf.DUMMYFUNCTION("IF
(
C8307=""фізична особа""
,
VLOOKUP(D8307,IMPORTRANGE(""https://docs.google.com/spreadsheets/d/14Bd19lYaqBhU8_DElYkX7l4wRkHqqCUFNJY4AfY3kHU/edit?usp=sharing  #gid=0"",""фіз особи new!relations_name""),6,FALSE)
,
(IF
(
C8307=""юридична особа""
,
VLOOKUP"&amp;"(D8307,IMPORTRANGE(""https://docs.google.com/spreadsheets/d/14Bd19lYaqBhU8_DElYkX7l4wRkHqqCUFNJY4AfY3kHU/edit?usp=sharing  #gid=0"",""фіз особи new!relations_name_uo""),7,FALSE)
,
)
))"),"ВЕРЕТЕННІКОВ Ігор Валерійович")</f>
        <v>ВЕРЕТЕННІКОВ Ігор Валерійович</v>
      </c>
      <c r="G8306" s="7" t="s">
        <v>10</v>
      </c>
      <c r="H8306" s="7">
        <v>3020</v>
      </c>
      <c r="I8306" s="8" t="str">
        <f ca="1">IFERROR(__xludf.DUMMYFUNCTION("IF
(
G8307=""фізична особа""
,
VLOOKUP(H8307,IMPORTRANGE(""https://docs.google.com/spreadsheets/d/14Bd19lYaqBhU8_DElYkX7l4wRkHqqCUFNJY4AfY3kHU/edit?usp=sharing  #gid=0"",""фіз особи new!relations_name""),6,FALSE)
,
(IF
(
G8307=""юридична особа""
,
VLOOKUP"&amp;"(H8307,IMPORTRANGE(""https://docs.google.com/spreadsheets/d/14Bd19lYaqBhU8_DElYkX7l4wRkHqqCUFNJY4AfY3kHU/edit?usp=sharing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6" s="7" t="s">
        <v>29</v>
      </c>
    </row>
    <row r="8307" spans="1:10" ht="13.2">
      <c r="A8307" s="7">
        <v>8306</v>
      </c>
      <c r="B8307" s="7">
        <v>1</v>
      </c>
      <c r="C8307" s="7" t="s">
        <v>10</v>
      </c>
      <c r="D8307" s="7">
        <v>10251</v>
      </c>
      <c r="E8307" s="7" t="s">
        <v>28</v>
      </c>
      <c r="F8307" s="8" t="str">
        <f ca="1">IFERROR(__xludf.DUMMYFUNCTION("IF
(
C8308=""фізична особа""
,
VLOOKUP(D8308,IMPORTRANGE(""https://docs.google.com/spreadsheets/d/14Bd19lYaqBhU8_DElYkX7l4wRkHqqCUFNJY4AfY3kHU/edit?usp=sharing  #gid=0"",""фіз особи new!relations_name""),6,FALSE)
,
(IF
(
C8308=""юридична особа""
,
VLOOKUP"&amp;"(D8308,IMPORTRANGE(""https://docs.google.com/spreadsheets/d/14Bd19lYaqBhU8_DElYkX7l4wRkHqqCUFNJY4AfY3kHU/edit?usp=sharing  #gid=0"",""фіз особи new!relations_name_uo""),7,FALSE)
,
)
))"),"ХАБІБУЛЛІН Рузалін Раміловіч")</f>
        <v>ХАБІБУЛЛІН Рузалін Раміловіч</v>
      </c>
      <c r="G8307" s="7" t="s">
        <v>10</v>
      </c>
      <c r="H8307" s="7">
        <v>3020</v>
      </c>
      <c r="I8307" s="8" t="str">
        <f ca="1">IFERROR(__xludf.DUMMYFUNCTION("IF
(
G8308=""фізична особа""
,
VLOOKUP(H8308,IMPORTRANGE(""https://docs.google.com/spreadsheets/d/14Bd19lYaqBhU8_DElYkX7l4wRkHqqCUFNJY4AfY3kHU/edit?usp=sharing  #gid=0"",""фіз особи new!relations_name""),6,FALSE)
,
(IF
(
G8308=""юридична особа""
,
VLOOKUP"&amp;"(H8308,IMPORTRANGE(""https://docs.google.com/spreadsheets/d/14Bd19lYaqBhU8_DElYkX7l4wRkHqqCUFNJY4AfY3kHU/edit?usp=sharing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7" s="7" t="s">
        <v>29</v>
      </c>
    </row>
    <row r="8308" spans="1:10" ht="13.2">
      <c r="A8308" s="7">
        <v>8307</v>
      </c>
      <c r="B8308" s="7">
        <v>1</v>
      </c>
      <c r="C8308" s="7" t="s">
        <v>10</v>
      </c>
      <c r="D8308" s="7">
        <v>10252</v>
      </c>
      <c r="E8308" s="7" t="s">
        <v>28</v>
      </c>
      <c r="F8308" s="8" t="str">
        <f ca="1">IFERROR(__xludf.DUMMYFUNCTION("IF
(
C8309=""фізична особа""
,
VLOOKUP(D8309,IMPORTRANGE(""https://docs.google.com/spreadsheets/d/14Bd19lYaqBhU8_DElYkX7l4wRkHqqCUFNJY4AfY3kHU/edit?usp=sharing  #gid=0"",""фіз особи new!relations_name""),6,FALSE)
,
(IF
(
C8309=""юридична особа""
,
VLOOKUP"&amp;"(D8309,IMPORTRANGE(""https://docs.google.com/spreadsheets/d/14Bd19lYaqBhU8_DElYkX7l4wRkHqqCUFNJY4AfY3kHU/edit?usp=sharing  #gid=0"",""фіз особи new!relations_name_uo""),7,FALSE)
,
)
))"),"КОЗЛОВА Ганна Олексіївна")</f>
        <v>КОЗЛОВА Ганна Олексіївна</v>
      </c>
      <c r="G8308" s="7" t="s">
        <v>10</v>
      </c>
      <c r="H8308" s="7">
        <v>3020</v>
      </c>
      <c r="I8308" s="8" t="str">
        <f ca="1">IFERROR(__xludf.DUMMYFUNCTION("IF
(
G8309=""фізична особа""
,
VLOOKUP(H8309,IMPORTRANGE(""https://docs.google.com/spreadsheets/d/14Bd19lYaqBhU8_DElYkX7l4wRkHqqCUFNJY4AfY3kHU/edit?usp=sharing  #gid=0"",""фіз особи new!relations_name""),6,FALSE)
,
(IF
(
G8309=""юридична особа""
,
VLOOKUP"&amp;"(H8309,IMPORTRANGE(""https://docs.google.com/spreadsheets/d/14Bd19lYaqBhU8_DElYkX7l4wRkHqqCUFNJY4AfY3kHU/edit?usp=sharing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08" s="7" t="s">
        <v>29</v>
      </c>
    </row>
    <row r="8309" spans="1:10" ht="13.2">
      <c r="A8309" s="7">
        <v>8308</v>
      </c>
      <c r="B8309" s="7">
        <v>1</v>
      </c>
      <c r="C8309" s="7" t="s">
        <v>10</v>
      </c>
      <c r="D8309" s="7">
        <v>10253</v>
      </c>
      <c r="E8309" s="7" t="s">
        <v>28</v>
      </c>
      <c r="F8309" s="8" t="str">
        <f ca="1">IFERROR(__xludf.DUMMYFUNCTION("IF
(
C8310=""фізична особа""
,
VLOOKUP(D8310,IMPORTRANGE(""https://docs.google.com/spreadsheets/d/14Bd19lYaqBhU8_DElYkX7l4wRkHqqCUFNJY4AfY3kHU/edit?usp=sharing  #gid=0"",""фіз особи new!relations_name""),6,FALSE)
,
(IF
(
C8310=""юридична особа""
,
VLOOKUP"&amp;"(D8310,IMPORTRANGE(""https://docs.google.com/spreadsheets/d/14Bd19lYaqBhU8_DElYkX7l4wRkHqqCUFNJY4AfY3kHU/edit?usp=sharing  #gid=0"",""фіз особи new!relations_name_uo""),7,FALSE)
,
)
))"),"НІКОЛЬСЬКИЙ Сергій Валерійович")</f>
        <v>НІКОЛЬСЬКИЙ Сергій Валерійович</v>
      </c>
      <c r="G8309" s="7" t="s">
        <v>10</v>
      </c>
      <c r="H8309" s="7">
        <v>3155</v>
      </c>
      <c r="I8309" s="8" t="str">
        <f ca="1">IFERROR(__xludf.DUMMYFUNCTION("IF
(
G8310=""фізична особа""
,
VLOOKUP(H8310,IMPORTRANGE(""https://docs.google.com/spreadsheets/d/14Bd19lYaqBhU8_DElYkX7l4wRkHqqCUFNJY4AfY3kHU/edit?usp=sharing  #gid=0"",""фіз особи new!relations_name""),6,FALSE)
,
(IF
(
G8310=""юридична особа""
,
VLOOKUP"&amp;"(H8310,IMPORTRANGE(""https://docs.google.com/spreadsheets/d/14Bd19lYaqBhU8_DElYkX7l4wRkHqqCUFNJY4AfY3kHU/edit?usp=sharing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09" s="7" t="s">
        <v>29</v>
      </c>
    </row>
    <row r="8310" spans="1:10" ht="13.2">
      <c r="A8310" s="7">
        <v>8309</v>
      </c>
      <c r="B8310" s="7">
        <v>1</v>
      </c>
      <c r="C8310" s="7" t="s">
        <v>10</v>
      </c>
      <c r="D8310" s="7">
        <v>10254</v>
      </c>
      <c r="E8310" s="7" t="s">
        <v>28</v>
      </c>
      <c r="F8310" s="8" t="str">
        <f ca="1">IFERROR(__xludf.DUMMYFUNCTION("IF
(
C8311=""фізична особа""
,
VLOOKUP(D8311,IMPORTRANGE(""https://docs.google.com/spreadsheets/d/14Bd19lYaqBhU8_DElYkX7l4wRkHqqCUFNJY4AfY3kHU/edit?usp=sharing  #gid=0"",""фіз особи new!relations_name""),6,FALSE)
,
(IF
(
C8311=""юридична особа""
,
VLOOKUP"&amp;"(D8311,IMPORTRANGE(""https://docs.google.com/spreadsheets/d/14Bd19lYaqBhU8_DElYkX7l4wRkHqqCUFNJY4AfY3kHU/edit?usp=sharing  #gid=0"",""фіз особи new!relations_name_uo""),7,FALSE)
,
)
))"),"ГУСЄВА Ганна Олексіївна")</f>
        <v>ГУСЄВА Ганна Олексіївна</v>
      </c>
      <c r="G8310" s="7" t="s">
        <v>10</v>
      </c>
      <c r="H8310" s="7">
        <v>3155</v>
      </c>
      <c r="I8310" s="8" t="str">
        <f ca="1">IFERROR(__xludf.DUMMYFUNCTION("IF
(
G8311=""фізична особа""
,
VLOOKUP(H8311,IMPORTRANGE(""https://docs.google.com/spreadsheets/d/14Bd19lYaqBhU8_DElYkX7l4wRkHqqCUFNJY4AfY3kHU/edit?usp=sharing  #gid=0"",""фіз особи new!relations_name""),6,FALSE)
,
(IF
(
G8311=""юридична особа""
,
VLOOKUP"&amp;"(H8311,IMPORTRANGE(""https://docs.google.com/spreadsheets/d/14Bd19lYaqBhU8_DElYkX7l4wRkHqqCUFNJY4AfY3kHU/edit?usp=sharing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0" s="7" t="s">
        <v>29</v>
      </c>
    </row>
    <row r="8311" spans="1:10" ht="13.2">
      <c r="A8311" s="7">
        <v>8310</v>
      </c>
      <c r="B8311" s="7">
        <v>1</v>
      </c>
      <c r="C8311" s="7" t="s">
        <v>10</v>
      </c>
      <c r="D8311" s="7">
        <v>10255</v>
      </c>
      <c r="E8311" s="7" t="s">
        <v>28</v>
      </c>
      <c r="F8311" s="8" t="str">
        <f ca="1">IFERROR(__xludf.DUMMYFUNCTION("IF
(
C8312=""фізична особа""
,
VLOOKUP(D8312,IMPORTRANGE(""https://docs.google.com/spreadsheets/d/14Bd19lYaqBhU8_DElYkX7l4wRkHqqCUFNJY4AfY3kHU/edit?usp=sharing  #gid=0"",""фіз особи new!relations_name""),6,FALSE)
,
(IF
(
C8312=""юридична особа""
,
VLOOKUP"&amp;"(D8312,IMPORTRANGE(""https://docs.google.com/spreadsheets/d/14Bd19lYaqBhU8_DElYkX7l4wRkHqqCUFNJY4AfY3kHU/edit?usp=sharing  #gid=0"",""фіз особи new!relations_name_uo""),7,FALSE)
,
)
))"),"ФЕНСЬКИЙ Едуард Вільгельмович")</f>
        <v>ФЕНСЬКИЙ Едуард Вільгельмович</v>
      </c>
      <c r="G8311" s="7" t="s">
        <v>10</v>
      </c>
      <c r="H8311" s="7">
        <v>3155</v>
      </c>
      <c r="I8311" s="8" t="str">
        <f ca="1">IFERROR(__xludf.DUMMYFUNCTION("IF
(
G8312=""фізична особа""
,
VLOOKUP(H8312,IMPORTRANGE(""https://docs.google.com/spreadsheets/d/14Bd19lYaqBhU8_DElYkX7l4wRkHqqCUFNJY4AfY3kHU/edit?usp=sharing  #gid=0"",""фіз особи new!relations_name""),6,FALSE)
,
(IF
(
G8312=""юридична особа""
,
VLOOKUP"&amp;"(H8312,IMPORTRANGE(""https://docs.google.com/spreadsheets/d/14Bd19lYaqBhU8_DElYkX7l4wRkHqqCUFNJY4AfY3kHU/edit?usp=sharing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1" s="7" t="s">
        <v>29</v>
      </c>
    </row>
    <row r="8312" spans="1:10" ht="13.2">
      <c r="A8312" s="7">
        <v>8311</v>
      </c>
      <c r="B8312" s="7">
        <v>1</v>
      </c>
      <c r="C8312" s="7" t="s">
        <v>10</v>
      </c>
      <c r="D8312" s="7">
        <v>10256</v>
      </c>
      <c r="E8312" s="7" t="s">
        <v>28</v>
      </c>
      <c r="F8312" s="8" t="str">
        <f ca="1">IFERROR(__xludf.DUMMYFUNCTION("IF
(
C8313=""фізична особа""
,
VLOOKUP(D8313,IMPORTRANGE(""https://docs.google.com/spreadsheets/d/14Bd19lYaqBhU8_DElYkX7l4wRkHqqCUFNJY4AfY3kHU/edit?usp=sharing  #gid=0"",""фіз особи new!relations_name""),6,FALSE)
,
(IF
(
C8313=""юридична особа""
,
VLOOKUP"&amp;"(D8313,IMPORTRANGE(""https://docs.google.com/spreadsheets/d/14Bd19lYaqBhU8_DElYkX7l4wRkHqqCUFNJY4AfY3kHU/edit?usp=sharing  #gid=0"",""фіз особи new!relations_name_uo""),7,FALSE)
,
)
))"),"МИХАЛІН Олексій Валерійович")</f>
        <v>МИХАЛІН Олексій Валерійович</v>
      </c>
      <c r="G8312" s="7" t="s">
        <v>10</v>
      </c>
      <c r="H8312" s="7">
        <v>3155</v>
      </c>
      <c r="I8312" s="8" t="str">
        <f ca="1">IFERROR(__xludf.DUMMYFUNCTION("IF
(
G8313=""фізична особа""
,
VLOOKUP(H8313,IMPORTRANGE(""https://docs.google.com/spreadsheets/d/14Bd19lYaqBhU8_DElYkX7l4wRkHqqCUFNJY4AfY3kHU/edit?usp=sharing  #gid=0"",""фіз особи new!relations_name""),6,FALSE)
,
(IF
(
G8313=""юридична особа""
,
VLOOKUP"&amp;"(H8313,IMPORTRANGE(""https://docs.google.com/spreadsheets/d/14Bd19lYaqBhU8_DElYkX7l4wRkHqqCUFNJY4AfY3kHU/edit?usp=sharing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2" s="7" t="s">
        <v>29</v>
      </c>
    </row>
    <row r="8313" spans="1:10" ht="13.2">
      <c r="A8313" s="7">
        <v>8312</v>
      </c>
      <c r="B8313" s="7">
        <v>1</v>
      </c>
      <c r="C8313" s="7" t="s">
        <v>10</v>
      </c>
      <c r="D8313" s="7">
        <v>10257</v>
      </c>
      <c r="E8313" s="7" t="s">
        <v>28</v>
      </c>
      <c r="F8313" s="8" t="str">
        <f ca="1">IFERROR(__xludf.DUMMYFUNCTION("IF
(
C8314=""фізична особа""
,
VLOOKUP(D8314,IMPORTRANGE(""https://docs.google.com/spreadsheets/d/14Bd19lYaqBhU8_DElYkX7l4wRkHqqCUFNJY4AfY3kHU/edit?usp=sharing  #gid=0"",""фіз особи new!relations_name""),6,FALSE)
,
(IF
(
C8314=""юридична особа""
,
VLOOKUP"&amp;"(D8314,IMPORTRANGE(""https://docs.google.com/spreadsheets/d/14Bd19lYaqBhU8_DElYkX7l4wRkHqqCUFNJY4AfY3kHU/edit?usp=sharing  #gid=0"",""фіз особи new!relations_name_uo""),7,FALSE)
,
)
))"),"НУРМАГОМЕДОВ Нурмагомед Гаджійович")</f>
        <v>НУРМАГОМЕДОВ Нурмагомед Гаджійович</v>
      </c>
      <c r="G8313" s="7" t="s">
        <v>10</v>
      </c>
      <c r="H8313" s="7">
        <v>3155</v>
      </c>
      <c r="I8313" s="8" t="str">
        <f ca="1">IFERROR(__xludf.DUMMYFUNCTION("IF
(
G8314=""фізична особа""
,
VLOOKUP(H8314,IMPORTRANGE(""https://docs.google.com/spreadsheets/d/14Bd19lYaqBhU8_DElYkX7l4wRkHqqCUFNJY4AfY3kHU/edit?usp=sharing  #gid=0"",""фіз особи new!relations_name""),6,FALSE)
,
(IF
(
G8314=""юридична особа""
,
VLOOKUP"&amp;"(H8314,IMPORTRANGE(""https://docs.google.com/spreadsheets/d/14Bd19lYaqBhU8_DElYkX7l4wRkHqqCUFNJY4AfY3kHU/edit?usp=sharing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3" s="7" t="s">
        <v>29</v>
      </c>
    </row>
    <row r="8314" spans="1:10" ht="13.2">
      <c r="A8314" s="7">
        <v>8313</v>
      </c>
      <c r="B8314" s="7">
        <v>1</v>
      </c>
      <c r="C8314" s="7" t="s">
        <v>10</v>
      </c>
      <c r="D8314" s="7">
        <v>10258</v>
      </c>
      <c r="E8314" s="7" t="s">
        <v>28</v>
      </c>
      <c r="F8314" s="8" t="str">
        <f ca="1">IFERROR(__xludf.DUMMYFUNCTION("IF
(
C8315=""фізична особа""
,
VLOOKUP(D8315,IMPORTRANGE(""https://docs.google.com/spreadsheets/d/14Bd19lYaqBhU8_DElYkX7l4wRkHqqCUFNJY4AfY3kHU/edit?usp=sharing  #gid=0"",""фіз особи new!relations_name""),6,FALSE)
,
(IF
(
C8315=""юридична особа""
,
VLOOKUP"&amp;"(D8315,IMPORTRANGE(""https://docs.google.com/spreadsheets/d/14Bd19lYaqBhU8_DElYkX7l4wRkHqqCUFNJY4AfY3kHU/edit?usp=sharing  #gid=0"",""фіз особи new!relations_name_uo""),7,FALSE)
,
)
))"),"КОСТРОВА Наталія Петрівна")</f>
        <v>КОСТРОВА Наталія Петрівна</v>
      </c>
      <c r="G8314" s="7" t="s">
        <v>10</v>
      </c>
      <c r="H8314" s="7">
        <v>3155</v>
      </c>
      <c r="I8314" s="8" t="str">
        <f ca="1">IFERROR(__xludf.DUMMYFUNCTION("IF
(
G8315=""фізична особа""
,
VLOOKUP(H8315,IMPORTRANGE(""https://docs.google.com/spreadsheets/d/14Bd19lYaqBhU8_DElYkX7l4wRkHqqCUFNJY4AfY3kHU/edit?usp=sharing  #gid=0"",""фіз особи new!relations_name""),6,FALSE)
,
(IF
(
G8315=""юридична особа""
,
VLOOKUP"&amp;"(H8315,IMPORTRANGE(""https://docs.google.com/spreadsheets/d/14Bd19lYaqBhU8_DElYkX7l4wRkHqqCUFNJY4AfY3kHU/edit?usp=sharing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4" s="7" t="s">
        <v>29</v>
      </c>
    </row>
    <row r="8315" spans="1:10" ht="13.2">
      <c r="A8315" s="7">
        <v>8314</v>
      </c>
      <c r="B8315" s="7">
        <v>1</v>
      </c>
      <c r="C8315" s="7" t="s">
        <v>10</v>
      </c>
      <c r="D8315" s="7">
        <v>10259</v>
      </c>
      <c r="E8315" s="7" t="s">
        <v>28</v>
      </c>
      <c r="F8315" s="8" t="str">
        <f ca="1">IFERROR(__xludf.DUMMYFUNCTION("IF
(
C8316=""фізична особа""
,
VLOOKUP(D8316,IMPORTRANGE(""https://docs.google.com/spreadsheets/d/14Bd19lYaqBhU8_DElYkX7l4wRkHqqCUFNJY4AfY3kHU/edit?usp=sharing  #gid=0"",""фіз особи new!relations_name""),6,FALSE)
,
(IF
(
C8316=""юридична особа""
,
VLOOKUP"&amp;"(D8316,IMPORTRANGE(""https://docs.google.com/spreadsheets/d/14Bd19lYaqBhU8_DElYkX7l4wRkHqqCUFNJY4AfY3kHU/edit?usp=sharing  #gid=0"",""фіз особи new!relations_name_uo""),7,FALSE)
,
)
))"),"АГАФОНОВА Світлана Вадимівна")</f>
        <v>АГАФОНОВА Світлана Вадимівна</v>
      </c>
      <c r="G8315" s="7" t="s">
        <v>10</v>
      </c>
      <c r="H8315" s="7">
        <v>3155</v>
      </c>
      <c r="I8315" s="8" t="str">
        <f ca="1">IFERROR(__xludf.DUMMYFUNCTION("IF
(
G8316=""фізична особа""
,
VLOOKUP(H8316,IMPORTRANGE(""https://docs.google.com/spreadsheets/d/14Bd19lYaqBhU8_DElYkX7l4wRkHqqCUFNJY4AfY3kHU/edit?usp=sharing  #gid=0"",""фіз особи new!relations_name""),6,FALSE)
,
(IF
(
G8316=""юридична особа""
,
VLOOKUP"&amp;"(H8316,IMPORTRANGE(""https://docs.google.com/spreadsheets/d/14Bd19lYaqBhU8_DElYkX7l4wRkHqqCUFNJY4AfY3kHU/edit?usp=sharing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5" s="7" t="s">
        <v>29</v>
      </c>
    </row>
    <row r="8316" spans="1:10" ht="13.2">
      <c r="A8316" s="7">
        <v>8315</v>
      </c>
      <c r="B8316" s="7">
        <v>1</v>
      </c>
      <c r="C8316" s="7" t="s">
        <v>10</v>
      </c>
      <c r="D8316" s="7">
        <v>10260</v>
      </c>
      <c r="E8316" s="7" t="s">
        <v>28</v>
      </c>
      <c r="F8316" s="8" t="str">
        <f ca="1">IFERROR(__xludf.DUMMYFUNCTION("IF
(
C8317=""фізична особа""
,
VLOOKUP(D8317,IMPORTRANGE(""https://docs.google.com/spreadsheets/d/14Bd19lYaqBhU8_DElYkX7l4wRkHqqCUFNJY4AfY3kHU/edit?usp=sharing  #gid=0"",""фіз особи new!relations_name""),6,FALSE)
,
(IF
(
C8317=""юридична особа""
,
VLOOKUP"&amp;"(D8317,IMPORTRANGE(""https://docs.google.com/spreadsheets/d/14Bd19lYaqBhU8_DElYkX7l4wRkHqqCUFNJY4AfY3kHU/edit?usp=sharing  #gid=0"",""фіз особи new!relations_name_uo""),7,FALSE)
,
)
))"),"ДЕНИСЕВИЧ Олександр Георгійович")</f>
        <v>ДЕНИСЕВИЧ Олександр Георгійович</v>
      </c>
      <c r="G8316" s="7" t="s">
        <v>10</v>
      </c>
      <c r="H8316" s="7">
        <v>3155</v>
      </c>
      <c r="I8316" s="8" t="str">
        <f ca="1">IFERROR(__xludf.DUMMYFUNCTION("IF
(
G8317=""фізична особа""
,
VLOOKUP(H8317,IMPORTRANGE(""https://docs.google.com/spreadsheets/d/14Bd19lYaqBhU8_DElYkX7l4wRkHqqCUFNJY4AfY3kHU/edit?usp=sharing  #gid=0"",""фіз особи new!relations_name""),6,FALSE)
,
(IF
(
G8317=""юридична особа""
,
VLOOKUP"&amp;"(H8317,IMPORTRANGE(""https://docs.google.com/spreadsheets/d/14Bd19lYaqBhU8_DElYkX7l4wRkHqqCUFNJY4AfY3kHU/edit?usp=sharing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6" s="7" t="s">
        <v>29</v>
      </c>
    </row>
    <row r="8317" spans="1:10" ht="13.2">
      <c r="A8317" s="7">
        <v>8316</v>
      </c>
      <c r="B8317" s="7">
        <v>1</v>
      </c>
      <c r="C8317" s="7" t="s">
        <v>10</v>
      </c>
      <c r="D8317" s="7">
        <v>10261</v>
      </c>
      <c r="E8317" s="7" t="s">
        <v>28</v>
      </c>
      <c r="F8317" s="8" t="str">
        <f ca="1">IFERROR(__xludf.DUMMYFUNCTION("IF
(
C8318=""фізична особа""
,
VLOOKUP(D8318,IMPORTRANGE(""https://docs.google.com/spreadsheets/d/14Bd19lYaqBhU8_DElYkX7l4wRkHqqCUFNJY4AfY3kHU/edit?usp=sharing  #gid=0"",""фіз особи new!relations_name""),6,FALSE)
,
(IF
(
C8318=""юридична особа""
,
VLOOKUP"&amp;"(D8318,IMPORTRANGE(""https://docs.google.com/spreadsheets/d/14Bd19lYaqBhU8_DElYkX7l4wRkHqqCUFNJY4AfY3kHU/edit?usp=sharing  #gid=0"",""фіз особи new!relations_name_uo""),7,FALSE)
,
)
))"),"АРХІПОВ Володимир Віталійович")</f>
        <v>АРХІПОВ Володимир Віталійович</v>
      </c>
      <c r="G8317" s="7" t="s">
        <v>10</v>
      </c>
      <c r="H8317" s="7">
        <v>3155</v>
      </c>
      <c r="I8317" s="8" t="str">
        <f ca="1">IFERROR(__xludf.DUMMYFUNCTION("IF
(
G8318=""фізична особа""
,
VLOOKUP(H8318,IMPORTRANGE(""https://docs.google.com/spreadsheets/d/14Bd19lYaqBhU8_DElYkX7l4wRkHqqCUFNJY4AfY3kHU/edit?usp=sharing  #gid=0"",""фіз особи new!relations_name""),6,FALSE)
,
(IF
(
G8318=""юридична особа""
,
VLOOKUP"&amp;"(H8318,IMPORTRANGE(""https://docs.google.com/spreadsheets/d/14Bd19lYaqBhU8_DElYkX7l4wRkHqqCUFNJY4AfY3kHU/edit?usp=sharing  #gid=0"",""фіз особи new!relations_name_uo""),7,FALSE)
,
)
))"),"ЗУБАРЄВ Юрій Іванович")</f>
        <v>ЗУБАРЄВ Юрій Іванович</v>
      </c>
      <c r="J8317" s="7" t="s">
        <v>29</v>
      </c>
    </row>
    <row r="8318" spans="1:10" ht="13.2">
      <c r="A8318" s="7">
        <v>8317</v>
      </c>
      <c r="B8318" s="7">
        <v>1</v>
      </c>
      <c r="C8318" s="7" t="s">
        <v>10</v>
      </c>
      <c r="D8318" s="7">
        <v>10262</v>
      </c>
      <c r="E8318" s="7" t="s">
        <v>28</v>
      </c>
      <c r="F8318" s="8" t="str">
        <f ca="1">IFERROR(__xludf.DUMMYFUNCTION("IF
(
C8319=""фізична особа""
,
VLOOKUP(D8319,IMPORTRANGE(""https://docs.google.com/spreadsheets/d/14Bd19lYaqBhU8_DElYkX7l4wRkHqqCUFNJY4AfY3kHU/edit?usp=sharing  #gid=0"",""фіз особи new!relations_name""),6,FALSE)
,
(IF
(
C8319=""юридична особа""
,
VLOOKUP"&amp;"(D8319,IMPORTRANGE(""https://docs.google.com/spreadsheets/d/14Bd19lYaqBhU8_DElYkX7l4wRkHqqCUFNJY4AfY3kHU/edit?usp=sharing  #gid=0"",""фіз особи new!relations_name_uo""),7,FALSE)
,
)
))"),"РОГОЖКІН Андрій Геннадійович")</f>
        <v>РОГОЖКІН Андрій Геннадійович</v>
      </c>
      <c r="G8318" s="7" t="s">
        <v>10</v>
      </c>
      <c r="H8318" s="7">
        <v>3020</v>
      </c>
      <c r="I8318" s="8" t="str">
        <f ca="1">IFERROR(__xludf.DUMMYFUNCTION("IF
(
G8319=""фізична особа""
,
VLOOKUP(H8319,IMPORTRANGE(""https://docs.google.com/spreadsheets/d/14Bd19lYaqBhU8_DElYkX7l4wRkHqqCUFNJY4AfY3kHU/edit?usp=sharing  #gid=0"",""фіз особи new!relations_name""),6,FALSE)
,
(IF
(
G8319=""юридична особа""
,
VLOOKUP"&amp;"(H8319,IMPORTRANGE(""https://docs.google.com/spreadsheets/d/14Bd19lYaqBhU8_DElYkX7l4wRkHqqCUFNJY4AfY3kHU/edit?usp=sharing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18" s="7" t="s">
        <v>29</v>
      </c>
    </row>
    <row r="8319" spans="1:10" ht="13.2">
      <c r="A8319" s="7">
        <v>8318</v>
      </c>
      <c r="B8319" s="7">
        <v>1</v>
      </c>
      <c r="C8319" s="7" t="s">
        <v>10</v>
      </c>
      <c r="D8319" s="7">
        <v>10263</v>
      </c>
      <c r="E8319" s="7" t="s">
        <v>28</v>
      </c>
      <c r="F8319" s="8" t="str">
        <f ca="1">IFERROR(__xludf.DUMMYFUNCTION("IF
(
C8320=""фізична особа""
,
VLOOKUP(D8320,IMPORTRANGE(""https://docs.google.com/spreadsheets/d/14Bd19lYaqBhU8_DElYkX7l4wRkHqqCUFNJY4AfY3kHU/edit?usp=sharing  #gid=0"",""фіз особи new!relations_name""),6,FALSE)
,
(IF
(
C8320=""юридична особа""
,
VLOOKUP"&amp;"(D8320,IMPORTRANGE(""https://docs.google.com/spreadsheets/d/14Bd19lYaqBhU8_DElYkX7l4wRkHqqCUFNJY4AfY3kHU/edit?usp=sharing  #gid=0"",""фіз особи new!relations_name_uo""),7,FALSE)
,
)
))"),"БАБАЄВ Каїр Абуталібович")</f>
        <v>БАБАЄВ Каїр Абуталібович</v>
      </c>
      <c r="G8319" s="7" t="s">
        <v>10</v>
      </c>
      <c r="H8319" s="7">
        <v>3020</v>
      </c>
      <c r="I8319" s="8" t="str">
        <f ca="1">IFERROR(__xludf.DUMMYFUNCTION("IF
(
G8320=""фізична особа""
,
VLOOKUP(H8320,IMPORTRANGE(""https://docs.google.com/spreadsheets/d/14Bd19lYaqBhU8_DElYkX7l4wRkHqqCUFNJY4AfY3kHU/edit?usp=sharing  #gid=0"",""фіз особи new!relations_name""),6,FALSE)
,
(IF
(
G8320=""юридична особа""
,
VLOOKUP"&amp;"(H8320,IMPORTRANGE(""https://docs.google.com/spreadsheets/d/14Bd19lYaqBhU8_DElYkX7l4wRkHqqCUFNJY4AfY3kHU/edit?usp=sharing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19" s="7" t="s">
        <v>29</v>
      </c>
    </row>
    <row r="8320" spans="1:10" ht="13.2">
      <c r="A8320" s="7">
        <v>8319</v>
      </c>
      <c r="B8320" s="7">
        <v>1</v>
      </c>
      <c r="C8320" s="7" t="s">
        <v>10</v>
      </c>
      <c r="D8320" s="7">
        <v>10264</v>
      </c>
      <c r="E8320" s="7" t="s">
        <v>28</v>
      </c>
      <c r="F8320" s="8" t="str">
        <f ca="1">IFERROR(__xludf.DUMMYFUNCTION("IF
(
C8321=""фізична особа""
,
VLOOKUP(D8321,IMPORTRANGE(""https://docs.google.com/spreadsheets/d/14Bd19lYaqBhU8_DElYkX7l4wRkHqqCUFNJY4AfY3kHU/edit?usp=sharing  #gid=0"",""фіз особи new!relations_name""),6,FALSE)
,
(IF
(
C8321=""юридична особа""
,
VLOOKUP"&amp;"(D8321,IMPORTRANGE(""https://docs.google.com/spreadsheets/d/14Bd19lYaqBhU8_DElYkX7l4wRkHqqCUFNJY4AfY3kHU/edit?usp=sharing  #gid=0"",""фіз особи new!relations_name_uo""),7,FALSE)
,
)
))"),"ТОЧИЄВ Батир Бесланович")</f>
        <v>ТОЧИЄВ Батир Бесланович</v>
      </c>
      <c r="G8320" s="7" t="s">
        <v>10</v>
      </c>
      <c r="H8320" s="7">
        <v>3020</v>
      </c>
      <c r="I8320" s="8" t="str">
        <f ca="1">IFERROR(__xludf.DUMMYFUNCTION("IF
(
G8321=""фізична особа""
,
VLOOKUP(H8321,IMPORTRANGE(""https://docs.google.com/spreadsheets/d/14Bd19lYaqBhU8_DElYkX7l4wRkHqqCUFNJY4AfY3kHU/edit?usp=sharing  #gid=0"",""фіз особи new!relations_name""),6,FALSE)
,
(IF
(
G8321=""юридична особа""
,
VLOOKUP"&amp;"(H8321,IMPORTRANGE(""https://docs.google.com/spreadsheets/d/14Bd19lYaqBhU8_DElYkX7l4wRkHqqCUFNJY4AfY3kHU/edit?usp=sharing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0" s="7" t="s">
        <v>29</v>
      </c>
    </row>
    <row r="8321" spans="1:10" ht="13.2">
      <c r="A8321" s="7">
        <v>8320</v>
      </c>
      <c r="B8321" s="7">
        <v>1</v>
      </c>
      <c r="C8321" s="7" t="s">
        <v>10</v>
      </c>
      <c r="D8321" s="7">
        <v>10265</v>
      </c>
      <c r="E8321" s="7" t="s">
        <v>28</v>
      </c>
      <c r="F8321" s="8" t="str">
        <f ca="1">IFERROR(__xludf.DUMMYFUNCTION("IF
(
C8322=""фізична особа""
,
VLOOKUP(D8322,IMPORTRANGE(""https://docs.google.com/spreadsheets/d/14Bd19lYaqBhU8_DElYkX7l4wRkHqqCUFNJY4AfY3kHU/edit?usp=sharing  #gid=0"",""фіз особи new!relations_name""),6,FALSE)
,
(IF
(
C8322=""юридична особа""
,
VLOOKUP"&amp;"(D8322,IMPORTRANGE(""https://docs.google.com/spreadsheets/d/14Bd19lYaqBhU8_DElYkX7l4wRkHqqCUFNJY4AfY3kHU/edit?usp=sharing  #gid=0"",""фіз особи new!relations_name_uo""),7,FALSE)
,
)
))"),"ПШИНШЕВ Казбек Галімович")</f>
        <v>ПШИНШЕВ Казбек Галімович</v>
      </c>
      <c r="G8321" s="7" t="s">
        <v>10</v>
      </c>
      <c r="H8321" s="7">
        <v>3020</v>
      </c>
      <c r="I8321" s="8" t="str">
        <f ca="1">IFERROR(__xludf.DUMMYFUNCTION("IF
(
G8322=""фізична особа""
,
VLOOKUP(H8322,IMPORTRANGE(""https://docs.google.com/spreadsheets/d/14Bd19lYaqBhU8_DElYkX7l4wRkHqqCUFNJY4AfY3kHU/edit?usp=sharing  #gid=0"",""фіз особи new!relations_name""),6,FALSE)
,
(IF
(
G8322=""юридична особа""
,
VLOOKUP"&amp;"(H8322,IMPORTRANGE(""https://docs.google.com/spreadsheets/d/14Bd19lYaqBhU8_DElYkX7l4wRkHqqCUFNJY4AfY3kHU/edit?usp=sharing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1" s="7" t="s">
        <v>29</v>
      </c>
    </row>
    <row r="8322" spans="1:10" ht="13.2">
      <c r="A8322" s="7">
        <v>8321</v>
      </c>
      <c r="B8322" s="7">
        <v>1</v>
      </c>
      <c r="C8322" s="7" t="s">
        <v>10</v>
      </c>
      <c r="D8322" s="7">
        <v>10266</v>
      </c>
      <c r="E8322" s="7" t="s">
        <v>28</v>
      </c>
      <c r="F8322" s="8" t="str">
        <f ca="1">IFERROR(__xludf.DUMMYFUNCTION("IF
(
C8323=""фізична особа""
,
VLOOKUP(D8323,IMPORTRANGE(""https://docs.google.com/spreadsheets/d/14Bd19lYaqBhU8_DElYkX7l4wRkHqqCUFNJY4AfY3kHU/edit?usp=sharing  #gid=0"",""фіз особи new!relations_name""),6,FALSE)
,
(IF
(
C8323=""юридична особа""
,
VLOOKUP"&amp;"(D8323,IMPORTRANGE(""https://docs.google.com/spreadsheets/d/14Bd19lYaqBhU8_DElYkX7l4wRkHqqCUFNJY4AfY3kHU/edit?usp=sharing  #gid=0"",""фіз особи new!relations_name_uo""),7,FALSE)
,
)
))"),"КУАНТОВ Артур Станіславович")</f>
        <v>КУАНТОВ Артур Станіславович</v>
      </c>
      <c r="G8322" s="7" t="s">
        <v>10</v>
      </c>
      <c r="H8322" s="7">
        <v>3020</v>
      </c>
      <c r="I8322" s="8" t="str">
        <f ca="1">IFERROR(__xludf.DUMMYFUNCTION("IF
(
G8323=""фізична особа""
,
VLOOKUP(H8323,IMPORTRANGE(""https://docs.google.com/spreadsheets/d/14Bd19lYaqBhU8_DElYkX7l4wRkHqqCUFNJY4AfY3kHU/edit?usp=sharing  #gid=0"",""фіз особи new!relations_name""),6,FALSE)
,
(IF
(
G8323=""юридична особа""
,
VLOOKUP"&amp;"(H8323,IMPORTRANGE(""https://docs.google.com/spreadsheets/d/14Bd19lYaqBhU8_DElYkX7l4wRkHqqCUFNJY4AfY3kHU/edit?usp=sharing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2" s="7" t="s">
        <v>29</v>
      </c>
    </row>
    <row r="8323" spans="1:10" ht="13.2">
      <c r="A8323" s="7">
        <v>8322</v>
      </c>
      <c r="B8323" s="7">
        <v>1</v>
      </c>
      <c r="C8323" s="7" t="s">
        <v>10</v>
      </c>
      <c r="D8323" s="7">
        <v>10267</v>
      </c>
      <c r="E8323" s="7" t="s">
        <v>28</v>
      </c>
      <c r="F8323" s="8" t="str">
        <f ca="1">IFERROR(__xludf.DUMMYFUNCTION("IF
(
C8324=""фізична особа""
,
VLOOKUP(D8324,IMPORTRANGE(""https://docs.google.com/spreadsheets/d/14Bd19lYaqBhU8_DElYkX7l4wRkHqqCUFNJY4AfY3kHU/edit?usp=sharing  #gid=0"",""фіз особи new!relations_name""),6,FALSE)
,
(IF
(
C8324=""юридична особа""
,
VLOOKUP"&amp;"(D8324,IMPORTRANGE(""https://docs.google.com/spreadsheets/d/14Bd19lYaqBhU8_DElYkX7l4wRkHqqCUFNJY4AfY3kHU/edit?usp=sharing  #gid=0"",""фіз особи new!relations_name_uo""),7,FALSE)
,
)
))"),"ПЛІЄВ Алан Леванович")</f>
        <v>ПЛІЄВ Алан Леванович</v>
      </c>
      <c r="G8323" s="7" t="s">
        <v>10</v>
      </c>
      <c r="H8323" s="7">
        <v>3020</v>
      </c>
      <c r="I8323" s="8" t="str">
        <f ca="1">IFERROR(__xludf.DUMMYFUNCTION("IF
(
G8324=""фізична особа""
,
VLOOKUP(H8324,IMPORTRANGE(""https://docs.google.com/spreadsheets/d/14Bd19lYaqBhU8_DElYkX7l4wRkHqqCUFNJY4AfY3kHU/edit?usp=sharing  #gid=0"",""фіз особи new!relations_name""),6,FALSE)
,
(IF
(
G8324=""юридична особа""
,
VLOOKUP"&amp;"(H8324,IMPORTRANGE(""https://docs.google.com/spreadsheets/d/14Bd19lYaqBhU8_DElYkX7l4wRkHqqCUFNJY4AfY3kHU/edit?usp=sharing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3" s="7" t="s">
        <v>29</v>
      </c>
    </row>
    <row r="8324" spans="1:10" ht="13.2">
      <c r="A8324" s="7">
        <v>8323</v>
      </c>
      <c r="B8324" s="7">
        <v>1</v>
      </c>
      <c r="C8324" s="7" t="s">
        <v>10</v>
      </c>
      <c r="D8324" s="7">
        <v>10268</v>
      </c>
      <c r="E8324" s="7" t="s">
        <v>28</v>
      </c>
      <c r="F8324" s="8" t="str">
        <f ca="1">IFERROR(__xludf.DUMMYFUNCTION("IF
(
C8325=""фізична особа""
,
VLOOKUP(D8325,IMPORTRANGE(""https://docs.google.com/spreadsheets/d/14Bd19lYaqBhU8_DElYkX7l4wRkHqqCUFNJY4AfY3kHU/edit?usp=sharing  #gid=0"",""фіз особи new!relations_name""),6,FALSE)
,
(IF
(
C8325=""юридична особа""
,
VLOOKUP"&amp;"(D8325,IMPORTRANGE(""https://docs.google.com/spreadsheets/d/14Bd19lYaqBhU8_DElYkX7l4wRkHqqCUFNJY4AfY3kHU/edit?usp=sharing  #gid=0"",""фіз особи new!relations_name_uo""),7,FALSE)
,
)
))"),"НІКІТІН Сергій Іванович")</f>
        <v>НІКІТІН Сергій Іванович</v>
      </c>
      <c r="G8324" s="7" t="s">
        <v>10</v>
      </c>
      <c r="H8324" s="7">
        <v>3020</v>
      </c>
      <c r="I8324" s="8" t="str">
        <f ca="1">IFERROR(__xludf.DUMMYFUNCTION("IF
(
G8325=""фізична особа""
,
VLOOKUP(H8325,IMPORTRANGE(""https://docs.google.com/spreadsheets/d/14Bd19lYaqBhU8_DElYkX7l4wRkHqqCUFNJY4AfY3kHU/edit?usp=sharing  #gid=0"",""фіз особи new!relations_name""),6,FALSE)
,
(IF
(
G8325=""юридична особа""
,
VLOOKUP"&amp;"(H8325,IMPORTRANGE(""https://docs.google.com/spreadsheets/d/14Bd19lYaqBhU8_DElYkX7l4wRkHqqCUFNJY4AfY3kHU/edit?usp=sharing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4" s="7" t="s">
        <v>29</v>
      </c>
    </row>
    <row r="8325" spans="1:10" ht="13.2">
      <c r="A8325" s="7">
        <v>8324</v>
      </c>
      <c r="B8325" s="7">
        <v>1</v>
      </c>
      <c r="C8325" s="7" t="s">
        <v>10</v>
      </c>
      <c r="D8325" s="7">
        <v>10269</v>
      </c>
      <c r="E8325" s="7" t="s">
        <v>28</v>
      </c>
      <c r="F8325" s="8" t="str">
        <f ca="1">IFERROR(__xludf.DUMMYFUNCTION("IF
(
C8326=""фізична особа""
,
VLOOKUP(D8326,IMPORTRANGE(""https://docs.google.com/spreadsheets/d/14Bd19lYaqBhU8_DElYkX7l4wRkHqqCUFNJY4AfY3kHU/edit?usp=sharing  #gid=0"",""фіз особи new!relations_name""),6,FALSE)
,
(IF
(
C8326=""юридична особа""
,
VLOOKUP"&amp;"(D8326,IMPORTRANGE(""https://docs.google.com/spreadsheets/d/14Bd19lYaqBhU8_DElYkX7l4wRkHqqCUFNJY4AfY3kHU/edit?usp=sharing  #gid=0"",""фіз особи new!relations_name_uo""),7,FALSE)
,
)
))"),"ЕЛЬБУКАЄВ Асламбек Усманович")</f>
        <v>ЕЛЬБУКАЄВ Асламбек Усманович</v>
      </c>
      <c r="G8325" s="7" t="s">
        <v>10</v>
      </c>
      <c r="H8325" s="7">
        <v>3020</v>
      </c>
      <c r="I8325" s="8" t="str">
        <f ca="1">IFERROR(__xludf.DUMMYFUNCTION("IF
(
G8326=""фізична особа""
,
VLOOKUP(H8326,IMPORTRANGE(""https://docs.google.com/spreadsheets/d/14Bd19lYaqBhU8_DElYkX7l4wRkHqqCUFNJY4AfY3kHU/edit?usp=sharing  #gid=0"",""фіз особи new!relations_name""),6,FALSE)
,
(IF
(
G8326=""юридична особа""
,
VLOOKUP"&amp;"(H8326,IMPORTRANGE(""https://docs.google.com/spreadsheets/d/14Bd19lYaqBhU8_DElYkX7l4wRkHqqCUFNJY4AfY3kHU/edit?usp=sharing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25" s="7" t="s">
        <v>29</v>
      </c>
    </row>
    <row r="8326" spans="1:10" ht="13.2">
      <c r="A8326" s="7">
        <v>8325</v>
      </c>
      <c r="B8326" s="7">
        <v>1</v>
      </c>
      <c r="C8326" s="7" t="s">
        <v>10</v>
      </c>
      <c r="D8326" s="7">
        <v>10270</v>
      </c>
      <c r="E8326" s="7" t="s">
        <v>28</v>
      </c>
      <c r="F8326" s="8" t="str">
        <f ca="1">IFERROR(__xludf.DUMMYFUNCTION("IF
(
C8327=""фізична особа""
,
VLOOKUP(D8327,IMPORTRANGE(""https://docs.google.com/spreadsheets/d/14Bd19lYaqBhU8_DElYkX7l4wRkHqqCUFNJY4AfY3kHU/edit?usp=sharing  #gid=0"",""фіз особи new!relations_name""),6,FALSE)
,
(IF
(
C8327=""юридична особа""
,
VLOOKUP"&amp;"(D8327,IMPORTRANGE(""https://docs.google.com/spreadsheets/d/14Bd19lYaqBhU8_DElYkX7l4wRkHqqCUFNJY4AfY3kHU/edit?usp=sharing  #gid=0"",""фіз особи new!relations_name_uo""),7,FALSE)
,
)
))"),"СТЕПАНОВ Олексій Володимирович")</f>
        <v>СТЕПАНОВ Олексій Володимирович</v>
      </c>
      <c r="G8326" s="7" t="s">
        <v>10</v>
      </c>
      <c r="H8326" s="7">
        <v>22397</v>
      </c>
      <c r="I8326" s="8" t="str">
        <f ca="1">IFERROR(__xludf.DUMMYFUNCTION("IF
(
G8327=""фізична особа""
,
VLOOKUP(H8327,IMPORTRANGE(""https://docs.google.com/spreadsheets/d/14Bd19lYaqBhU8_DElYkX7l4wRkHqqCUFNJY4AfY3kHU/edit?usp=sharing  #gid=0"",""фіз особи new!relations_name""),6,FALSE)
,
(IF
(
G8327=""юридична особа""
,
VLOOKUP"&amp;"(H8327,IMPORTRANGE(""https://docs.google.com/spreadsheets/d/14Bd19lYaqBhU8_DElYkX7l4wRkHqqCUFNJY4AfY3kHU/edit?usp=sharing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26" s="7" t="s">
        <v>29</v>
      </c>
    </row>
    <row r="8327" spans="1:10" ht="13.2">
      <c r="A8327" s="7">
        <v>8326</v>
      </c>
      <c r="B8327" s="7">
        <v>1</v>
      </c>
      <c r="C8327" s="7" t="s">
        <v>10</v>
      </c>
      <c r="D8327" s="7">
        <v>10271</v>
      </c>
      <c r="E8327" s="7" t="s">
        <v>28</v>
      </c>
      <c r="F8327" s="8" t="str">
        <f ca="1">IFERROR(__xludf.DUMMYFUNCTION("IF
(
C8328=""фізична особа""
,
VLOOKUP(D8328,IMPORTRANGE(""https://docs.google.com/spreadsheets/d/14Bd19lYaqBhU8_DElYkX7l4wRkHqqCUFNJY4AfY3kHU/edit?usp=sharing  #gid=0"",""фіз особи new!relations_name""),6,FALSE)
,
(IF
(
C8328=""юридична особа""
,
VLOOKUP"&amp;"(D8328,IMPORTRANGE(""https://docs.google.com/spreadsheets/d/14Bd19lYaqBhU8_DElYkX7l4wRkHqqCUFNJY4AfY3kHU/edit?usp=sharing  #gid=0"",""фіз особи new!relations_name_uo""),7,FALSE)
,
)
))"),"ТІКК Олег Костянтинович")</f>
        <v>ТІКК Олег Костянтинович</v>
      </c>
      <c r="G8327" s="7" t="s">
        <v>10</v>
      </c>
      <c r="H8327" s="7">
        <v>22397</v>
      </c>
      <c r="I8327" s="8" t="str">
        <f ca="1">IFERROR(__xludf.DUMMYFUNCTION("IF
(
G8328=""фізична особа""
,
VLOOKUP(H8328,IMPORTRANGE(""https://docs.google.com/spreadsheets/d/14Bd19lYaqBhU8_DElYkX7l4wRkHqqCUFNJY4AfY3kHU/edit?usp=sharing  #gid=0"",""фіз особи new!relations_name""),6,FALSE)
,
(IF
(
G8328=""юридична особа""
,
VLOOKUP"&amp;"(H8328,IMPORTRANGE(""https://docs.google.com/spreadsheets/d/14Bd19lYaqBhU8_DElYkX7l4wRkHqqCUFNJY4AfY3kHU/edit?usp=sharing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27" s="7" t="s">
        <v>29</v>
      </c>
    </row>
    <row r="8328" spans="1:10" ht="13.2">
      <c r="A8328" s="7">
        <v>8327</v>
      </c>
      <c r="B8328" s="7">
        <v>1</v>
      </c>
      <c r="C8328" s="7" t="s">
        <v>10</v>
      </c>
      <c r="D8328" s="7">
        <v>10272</v>
      </c>
      <c r="E8328" s="7" t="s">
        <v>28</v>
      </c>
      <c r="F8328" s="8" t="str">
        <f ca="1">IFERROR(__xludf.DUMMYFUNCTION("IF
(
C8329=""фізична особа""
,
VLOOKUP(D8329,IMPORTRANGE(""https://docs.google.com/spreadsheets/d/14Bd19lYaqBhU8_DElYkX7l4wRkHqqCUFNJY4AfY3kHU/edit?usp=sharing  #gid=0"",""фіз особи new!relations_name""),6,FALSE)
,
(IF
(
C8329=""юридична особа""
,
VLOOKUP"&amp;"(D8329,IMPORTRANGE(""https://docs.google.com/spreadsheets/d/14Bd19lYaqBhU8_DElYkX7l4wRkHqqCUFNJY4AfY3kHU/edit?usp=sharing  #gid=0"",""фіз особи new!relations_name_uo""),7,FALSE)
,
)
))"),"ХАРЦІЙ Маріанна Михайлівна")</f>
        <v>ХАРЦІЙ Маріанна Михайлівна</v>
      </c>
      <c r="G8328" s="7" t="s">
        <v>10</v>
      </c>
      <c r="H8328" s="7">
        <v>3069</v>
      </c>
      <c r="I8328" s="8" t="str">
        <f ca="1">IFERROR(__xludf.DUMMYFUNCTION("IF
(
G8329=""фізична особа""
,
VLOOKUP(H8329,IMPORTRANGE(""https://docs.google.com/spreadsheets/d/14Bd19lYaqBhU8_DElYkX7l4wRkHqqCUFNJY4AfY3kHU/edit?usp=sharing  #gid=0"",""фіз особи new!relations_name""),6,FALSE)
,
(IF
(
G8329=""юридична особа""
,
VLOOKUP"&amp;"(H8329,IMPORTRANGE(""https://docs.google.com/spreadsheets/d/14Bd19lYaqBhU8_DElYkX7l4wRkHqqCUFNJY4AfY3kHU/edit?usp=sharing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28" s="7" t="s">
        <v>29</v>
      </c>
    </row>
    <row r="8329" spans="1:10" ht="13.2">
      <c r="A8329" s="7">
        <v>8328</v>
      </c>
      <c r="B8329" s="7">
        <v>1</v>
      </c>
      <c r="C8329" s="7" t="s">
        <v>10</v>
      </c>
      <c r="D8329" s="7">
        <v>10273</v>
      </c>
      <c r="E8329" s="7" t="s">
        <v>28</v>
      </c>
      <c r="F8329" s="8" t="str">
        <f ca="1">IFERROR(__xludf.DUMMYFUNCTION("IF
(
C8330=""фізична особа""
,
VLOOKUP(D8330,IMPORTRANGE(""https://docs.google.com/spreadsheets/d/14Bd19lYaqBhU8_DElYkX7l4wRkHqqCUFNJY4AfY3kHU/edit?usp=sharing  #gid=0"",""фіз особи new!relations_name""),6,FALSE)
,
(IF
(
C8330=""юридична особа""
,
VLOOKUP"&amp;"(D8330,IMPORTRANGE(""https://docs.google.com/spreadsheets/d/14Bd19lYaqBhU8_DElYkX7l4wRkHqqCUFNJY4AfY3kHU/edit?usp=sharing  #gid=0"",""фіз особи new!relations_name_uo""),7,FALSE)
,
)
))"),"МУДРОВА Лариса Володимирівна")</f>
        <v>МУДРОВА Лариса Володимирівна</v>
      </c>
      <c r="G8329" s="7" t="s">
        <v>10</v>
      </c>
      <c r="H8329" s="7">
        <v>3069</v>
      </c>
      <c r="I8329" s="8" t="str">
        <f ca="1">IFERROR(__xludf.DUMMYFUNCTION("IF
(
G8330=""фізична особа""
,
VLOOKUP(H8330,IMPORTRANGE(""https://docs.google.com/spreadsheets/d/14Bd19lYaqBhU8_DElYkX7l4wRkHqqCUFNJY4AfY3kHU/edit?usp=sharing  #gid=0"",""фіз особи new!relations_name""),6,FALSE)
,
(IF
(
G8330=""юридична особа""
,
VLOOKUP"&amp;"(H8330,IMPORTRANGE(""https://docs.google.com/spreadsheets/d/14Bd19lYaqBhU8_DElYkX7l4wRkHqqCUFNJY4AfY3kHU/edit?usp=sharing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29" s="7" t="s">
        <v>29</v>
      </c>
    </row>
    <row r="8330" spans="1:10" ht="13.2">
      <c r="A8330" s="7">
        <v>8329</v>
      </c>
      <c r="B8330" s="7">
        <v>1</v>
      </c>
      <c r="C8330" s="7" t="s">
        <v>10</v>
      </c>
      <c r="D8330" s="7">
        <v>10274</v>
      </c>
      <c r="E8330" s="7" t="s">
        <v>28</v>
      </c>
      <c r="F8330" s="8" t="str">
        <f ca="1">IFERROR(__xludf.DUMMYFUNCTION("IF
(
C8331=""фізична особа""
,
VLOOKUP(D8331,IMPORTRANGE(""https://docs.google.com/spreadsheets/d/14Bd19lYaqBhU8_DElYkX7l4wRkHqqCUFNJY4AfY3kHU/edit?usp=sharing  #gid=0"",""фіз особи new!relations_name""),6,FALSE)
,
(IF
(
C8331=""юридична особа""
,
VLOOKUP"&amp;"(D8331,IMPORTRANGE(""https://docs.google.com/spreadsheets/d/14Bd19lYaqBhU8_DElYkX7l4wRkHqqCUFNJY4AfY3kHU/edit?usp=sharing  #gid=0"",""фіз особи new!relations_name_uo""),7,FALSE)
,
)
))"),"ДРОЗДОВ Олег Ігорович")</f>
        <v>ДРОЗДОВ Олег Ігорович</v>
      </c>
      <c r="G8330" s="7" t="s">
        <v>10</v>
      </c>
      <c r="H8330" s="7">
        <v>3069</v>
      </c>
      <c r="I8330" s="8" t="str">
        <f ca="1">IFERROR(__xludf.DUMMYFUNCTION("IF
(
G8331=""фізична особа""
,
VLOOKUP(H8331,IMPORTRANGE(""https://docs.google.com/spreadsheets/d/14Bd19lYaqBhU8_DElYkX7l4wRkHqqCUFNJY4AfY3kHU/edit?usp=sharing  #gid=0"",""фіз особи new!relations_name""),6,FALSE)
,
(IF
(
G8331=""юридична особа""
,
VLOOKUP"&amp;"(H8331,IMPORTRANGE(""https://docs.google.com/spreadsheets/d/14Bd19lYaqBhU8_DElYkX7l4wRkHqqCUFNJY4AfY3kHU/edit?usp=sharing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0" s="7" t="s">
        <v>29</v>
      </c>
    </row>
    <row r="8331" spans="1:10" ht="13.2">
      <c r="A8331" s="7">
        <v>8330</v>
      </c>
      <c r="B8331" s="7">
        <v>1</v>
      </c>
      <c r="C8331" s="7" t="s">
        <v>10</v>
      </c>
      <c r="D8331" s="7">
        <v>10275</v>
      </c>
      <c r="E8331" s="7" t="s">
        <v>28</v>
      </c>
      <c r="F8331" s="8" t="str">
        <f ca="1">IFERROR(__xludf.DUMMYFUNCTION("IF
(
C8332=""фізична особа""
,
VLOOKUP(D8332,IMPORTRANGE(""https://docs.google.com/spreadsheets/d/14Bd19lYaqBhU8_DElYkX7l4wRkHqqCUFNJY4AfY3kHU/edit?usp=sharing  #gid=0"",""фіз особи new!relations_name""),6,FALSE)
,
(IF
(
C8332=""юридична особа""
,
VLOOKUP"&amp;"(D8332,IMPORTRANGE(""https://docs.google.com/spreadsheets/d/14Bd19lYaqBhU8_DElYkX7l4wRkHqqCUFNJY4AfY3kHU/edit?usp=sharing  #gid=0"",""фіз особи new!relations_name_uo""),7,FALSE)
,
)
))"),"КОСТІНА Валентина Михайлівна")</f>
        <v>КОСТІНА Валентина Михайлівна</v>
      </c>
      <c r="G8331" s="7" t="s">
        <v>10</v>
      </c>
      <c r="H8331" s="7">
        <v>3069</v>
      </c>
      <c r="I8331" s="8" t="str">
        <f ca="1">IFERROR(__xludf.DUMMYFUNCTION("IF
(
G8332=""фізична особа""
,
VLOOKUP(H8332,IMPORTRANGE(""https://docs.google.com/spreadsheets/d/14Bd19lYaqBhU8_DElYkX7l4wRkHqqCUFNJY4AfY3kHU/edit?usp=sharing  #gid=0"",""фіз особи new!relations_name""),6,FALSE)
,
(IF
(
G8332=""юридична особа""
,
VLOOKUP"&amp;"(H8332,IMPORTRANGE(""https://docs.google.com/spreadsheets/d/14Bd19lYaqBhU8_DElYkX7l4wRkHqqCUFNJY4AfY3kHU/edit?usp=sharing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1" s="7" t="s">
        <v>29</v>
      </c>
    </row>
    <row r="8332" spans="1:10" ht="13.2">
      <c r="A8332" s="7">
        <v>8331</v>
      </c>
      <c r="B8332" s="7">
        <v>1</v>
      </c>
      <c r="C8332" s="7" t="s">
        <v>10</v>
      </c>
      <c r="D8332" s="7">
        <v>10276</v>
      </c>
      <c r="E8332" s="7" t="s">
        <v>28</v>
      </c>
      <c r="F8332" s="8" t="str">
        <f ca="1">IFERROR(__xludf.DUMMYFUNCTION("IF
(
C8333=""фізична особа""
,
VLOOKUP(D8333,IMPORTRANGE(""https://docs.google.com/spreadsheets/d/14Bd19lYaqBhU8_DElYkX7l4wRkHqqCUFNJY4AfY3kHU/edit?usp=sharing  #gid=0"",""фіз особи new!relations_name""),6,FALSE)
,
(IF
(
C8333=""юридична особа""
,
VLOOKUP"&amp;"(D8333,IMPORTRANGE(""https://docs.google.com/spreadsheets/d/14Bd19lYaqBhU8_DElYkX7l4wRkHqqCUFNJY4AfY3kHU/edit?usp=sharing  #gid=0"",""фіз особи new!relations_name_uo""),7,FALSE)
,
)
))"),"БАЛАШОВА Світлана Вікторівна")</f>
        <v>БАЛАШОВА Світлана Вікторівна</v>
      </c>
      <c r="G8332" s="7" t="s">
        <v>10</v>
      </c>
      <c r="H8332" s="7">
        <v>3069</v>
      </c>
      <c r="I8332" s="8" t="str">
        <f ca="1">IFERROR(__xludf.DUMMYFUNCTION("IF
(
G8333=""фізична особа""
,
VLOOKUP(H8333,IMPORTRANGE(""https://docs.google.com/spreadsheets/d/14Bd19lYaqBhU8_DElYkX7l4wRkHqqCUFNJY4AfY3kHU/edit?usp=sharing  #gid=0"",""фіз особи new!relations_name""),6,FALSE)
,
(IF
(
G8333=""юридична особа""
,
VLOOKUP"&amp;"(H8333,IMPORTRANGE(""https://docs.google.com/spreadsheets/d/14Bd19lYaqBhU8_DElYkX7l4wRkHqqCUFNJY4AfY3kHU/edit?usp=sharing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2" s="7" t="s">
        <v>29</v>
      </c>
    </row>
    <row r="8333" spans="1:10" ht="13.2">
      <c r="A8333" s="7">
        <v>8332</v>
      </c>
      <c r="B8333" s="7">
        <v>1</v>
      </c>
      <c r="C8333" s="7" t="s">
        <v>10</v>
      </c>
      <c r="D8333" s="7">
        <v>10277</v>
      </c>
      <c r="E8333" s="7" t="s">
        <v>28</v>
      </c>
      <c r="F8333" s="8" t="str">
        <f ca="1">IFERROR(__xludf.DUMMYFUNCTION("IF
(
C8334=""фізична особа""
,
VLOOKUP(D8334,IMPORTRANGE(""https://docs.google.com/spreadsheets/d/14Bd19lYaqBhU8_DElYkX7l4wRkHqqCUFNJY4AfY3kHU/edit?usp=sharing  #gid=0"",""фіз особи new!relations_name""),6,FALSE)
,
(IF
(
C8334=""юридична особа""
,
VLOOKUP"&amp;"(D8334,IMPORTRANGE(""https://docs.google.com/spreadsheets/d/14Bd19lYaqBhU8_DElYkX7l4wRkHqqCUFNJY4AfY3kHU/edit?usp=sharing  #gid=0"",""фіз особи new!relations_name_uo""),7,FALSE)
,
)
))"),"БАСОВСЬКИЙ Михайло Степанович")</f>
        <v>БАСОВСЬКИЙ Михайло Степанович</v>
      </c>
      <c r="G8333" s="7" t="s">
        <v>10</v>
      </c>
      <c r="H8333" s="7">
        <v>3069</v>
      </c>
      <c r="I8333" s="8" t="str">
        <f ca="1">IFERROR(__xludf.DUMMYFUNCTION("IF
(
G8334=""фізична особа""
,
VLOOKUP(H8334,IMPORTRANGE(""https://docs.google.com/spreadsheets/d/14Bd19lYaqBhU8_DElYkX7l4wRkHqqCUFNJY4AfY3kHU/edit?usp=sharing  #gid=0"",""фіз особи new!relations_name""),6,FALSE)
,
(IF
(
G8334=""юридична особа""
,
VLOOKUP"&amp;"(H8334,IMPORTRANGE(""https://docs.google.com/spreadsheets/d/14Bd19lYaqBhU8_DElYkX7l4wRkHqqCUFNJY4AfY3kHU/edit?usp=sharing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3" s="7" t="s">
        <v>29</v>
      </c>
    </row>
    <row r="8334" spans="1:10" ht="13.2">
      <c r="A8334" s="7">
        <v>8333</v>
      </c>
      <c r="B8334" s="7">
        <v>1</v>
      </c>
      <c r="C8334" s="7" t="s">
        <v>10</v>
      </c>
      <c r="D8334" s="7">
        <v>10278</v>
      </c>
      <c r="E8334" s="7" t="s">
        <v>28</v>
      </c>
      <c r="F8334" s="8" t="str">
        <f ca="1">IFERROR(__xludf.DUMMYFUNCTION("IF
(
C8335=""фізична особа""
,
VLOOKUP(D8335,IMPORTRANGE(""https://docs.google.com/spreadsheets/d/14Bd19lYaqBhU8_DElYkX7l4wRkHqqCUFNJY4AfY3kHU/edit?usp=sharing  #gid=0"",""фіз особи new!relations_name""),6,FALSE)
,
(IF
(
C8335=""юридична особа""
,
VLOOKUP"&amp;"(D8335,IMPORTRANGE(""https://docs.google.com/spreadsheets/d/14Bd19lYaqBhU8_DElYkX7l4wRkHqqCUFNJY4AfY3kHU/edit?usp=sharing  #gid=0"",""фіз особи new!relations_name_uo""),7,FALSE)
,
)
))"),"САФРИГІН Юрій Володимирович")</f>
        <v>САФРИГІН Юрій Володимирович</v>
      </c>
      <c r="G8334" s="7" t="s">
        <v>10</v>
      </c>
      <c r="H8334" s="7">
        <v>3069</v>
      </c>
      <c r="I8334" s="8" t="str">
        <f ca="1">IFERROR(__xludf.DUMMYFUNCTION("IF
(
G8335=""фізична особа""
,
VLOOKUP(H8335,IMPORTRANGE(""https://docs.google.com/spreadsheets/d/14Bd19lYaqBhU8_DElYkX7l4wRkHqqCUFNJY4AfY3kHU/edit?usp=sharing  #gid=0"",""фіз особи new!relations_name""),6,FALSE)
,
(IF
(
G8335=""юридична особа""
,
VLOOKUP"&amp;"(H8335,IMPORTRANGE(""https://docs.google.com/spreadsheets/d/14Bd19lYaqBhU8_DElYkX7l4wRkHqqCUFNJY4AfY3kHU/edit?usp=sharing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4" s="7" t="s">
        <v>29</v>
      </c>
    </row>
    <row r="8335" spans="1:10" ht="13.2">
      <c r="A8335" s="7">
        <v>8334</v>
      </c>
      <c r="B8335" s="7">
        <v>1</v>
      </c>
      <c r="C8335" s="7" t="s">
        <v>10</v>
      </c>
      <c r="D8335" s="7">
        <v>10279</v>
      </c>
      <c r="E8335" s="7" t="s">
        <v>28</v>
      </c>
      <c r="F8335" s="8" t="str">
        <f ca="1">IFERROR(__xludf.DUMMYFUNCTION("IF
(
C8336=""фізична особа""
,
VLOOKUP(D8336,IMPORTRANGE(""https://docs.google.com/spreadsheets/d/14Bd19lYaqBhU8_DElYkX7l4wRkHqqCUFNJY4AfY3kHU/edit?usp=sharing  #gid=0"",""фіз особи new!relations_name""),6,FALSE)
,
(IF
(
C8336=""юридична особа""
,
VLOOKUP"&amp;"(D8336,IMPORTRANGE(""https://docs.google.com/spreadsheets/d/14Bd19lYaqBhU8_DElYkX7l4wRkHqqCUFNJY4AfY3kHU/edit?usp=sharing  #gid=0"",""фіз особи new!relations_name_uo""),7,FALSE)
,
)
))"),"СТЕПІНА Тетяна Іллівна")</f>
        <v>СТЕПІНА Тетяна Іллівна</v>
      </c>
      <c r="G8335" s="7" t="s">
        <v>10</v>
      </c>
      <c r="H8335" s="7">
        <v>3069</v>
      </c>
      <c r="I8335" s="8" t="str">
        <f ca="1">IFERROR(__xludf.DUMMYFUNCTION("IF
(
G8336=""фізична особа""
,
VLOOKUP(H8336,IMPORTRANGE(""https://docs.google.com/spreadsheets/d/14Bd19lYaqBhU8_DElYkX7l4wRkHqqCUFNJY4AfY3kHU/edit?usp=sharing  #gid=0"",""фіз особи new!relations_name""),6,FALSE)
,
(IF
(
G8336=""юридична особа""
,
VLOOKUP"&amp;"(H8336,IMPORTRANGE(""https://docs.google.com/spreadsheets/d/14Bd19lYaqBhU8_DElYkX7l4wRkHqqCUFNJY4AfY3kHU/edit?usp=sharing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5" s="7" t="s">
        <v>29</v>
      </c>
    </row>
    <row r="8336" spans="1:10" ht="13.2">
      <c r="A8336" s="7">
        <v>8335</v>
      </c>
      <c r="B8336" s="7">
        <v>1</v>
      </c>
      <c r="C8336" s="7" t="s">
        <v>10</v>
      </c>
      <c r="D8336" s="7">
        <v>10280</v>
      </c>
      <c r="E8336" s="7" t="s">
        <v>28</v>
      </c>
      <c r="F8336" s="8" t="str">
        <f ca="1">IFERROR(__xludf.DUMMYFUNCTION("IF
(
C8337=""фізична особа""
,
VLOOKUP(D8337,IMPORTRANGE(""https://docs.google.com/spreadsheets/d/14Bd19lYaqBhU8_DElYkX7l4wRkHqqCUFNJY4AfY3kHU/edit?usp=sharing  #gid=0"",""фіз особи new!relations_name""),6,FALSE)
,
(IF
(
C8337=""юридична особа""
,
VLOOKUP"&amp;"(D8337,IMPORTRANGE(""https://docs.google.com/spreadsheets/d/14Bd19lYaqBhU8_DElYkX7l4wRkHqqCUFNJY4AfY3kHU/edit?usp=sharing  #gid=0"",""фіз особи new!relations_name_uo""),7,FALSE)
,
)
))"),"МАКАРЕВИЧ Ігор Федорович")</f>
        <v>МАКАРЕВИЧ Ігор Федорович</v>
      </c>
      <c r="G8336" s="7" t="s">
        <v>10</v>
      </c>
      <c r="H8336" s="7">
        <v>3069</v>
      </c>
      <c r="I8336" s="8" t="str">
        <f ca="1">IFERROR(__xludf.DUMMYFUNCTION("IF
(
G8337=""фізична особа""
,
VLOOKUP(H8337,IMPORTRANGE(""https://docs.google.com/spreadsheets/d/14Bd19lYaqBhU8_DElYkX7l4wRkHqqCUFNJY4AfY3kHU/edit?usp=sharing  #gid=0"",""фіз особи new!relations_name""),6,FALSE)
,
(IF
(
G8337=""юридична особа""
,
VLOOKUP"&amp;"(H8337,IMPORTRANGE(""https://docs.google.com/spreadsheets/d/14Bd19lYaqBhU8_DElYkX7l4wRkHqqCUFNJY4AfY3kHU/edit?usp=sharing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6" s="7" t="s">
        <v>29</v>
      </c>
    </row>
    <row r="8337" spans="1:10" ht="13.2">
      <c r="A8337" s="7">
        <v>8336</v>
      </c>
      <c r="B8337" s="7">
        <v>1</v>
      </c>
      <c r="C8337" s="7" t="s">
        <v>10</v>
      </c>
      <c r="D8337" s="7">
        <v>10281</v>
      </c>
      <c r="E8337" s="7" t="s">
        <v>28</v>
      </c>
      <c r="F8337" s="8" t="str">
        <f ca="1">IFERROR(__xludf.DUMMYFUNCTION("IF
(
C8338=""фізична особа""
,
VLOOKUP(D8338,IMPORTRANGE(""https://docs.google.com/spreadsheets/d/14Bd19lYaqBhU8_DElYkX7l4wRkHqqCUFNJY4AfY3kHU/edit?usp=sharing  #gid=0"",""фіз особи new!relations_name""),6,FALSE)
,
(IF
(
C8338=""юридична особа""
,
VLOOKUP"&amp;"(D8338,IMPORTRANGE(""https://docs.google.com/spreadsheets/d/14Bd19lYaqBhU8_DElYkX7l4wRkHqqCUFNJY4AfY3kHU/edit?usp=sharing  #gid=0"",""фіз особи new!relations_name_uo""),7,FALSE)
,
)
))"),"ЗАГВАЗДІНА Світлана Миколаївна")</f>
        <v>ЗАГВАЗДІНА Світлана Миколаївна</v>
      </c>
      <c r="G8337" s="7" t="s">
        <v>10</v>
      </c>
      <c r="H8337" s="7">
        <v>3069</v>
      </c>
      <c r="I8337" s="8" t="str">
        <f ca="1">IFERROR(__xludf.DUMMYFUNCTION("IF
(
G8338=""фізична особа""
,
VLOOKUP(H8338,IMPORTRANGE(""https://docs.google.com/spreadsheets/d/14Bd19lYaqBhU8_DElYkX7l4wRkHqqCUFNJY4AfY3kHU/edit?usp=sharing  #gid=0"",""фіз особи new!relations_name""),6,FALSE)
,
(IF
(
G8338=""юридична особа""
,
VLOOKUP"&amp;"(H8338,IMPORTRANGE(""https://docs.google.com/spreadsheets/d/14Bd19lYaqBhU8_DElYkX7l4wRkHqqCUFNJY4AfY3kHU/edit?usp=sharing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7" s="7" t="s">
        <v>29</v>
      </c>
    </row>
    <row r="8338" spans="1:10" ht="13.2">
      <c r="A8338" s="7">
        <v>8337</v>
      </c>
      <c r="B8338" s="7">
        <v>1</v>
      </c>
      <c r="C8338" s="7" t="s">
        <v>10</v>
      </c>
      <c r="D8338" s="7">
        <v>10282</v>
      </c>
      <c r="E8338" s="7" t="s">
        <v>28</v>
      </c>
      <c r="F8338" s="8" t="str">
        <f ca="1">IFERROR(__xludf.DUMMYFUNCTION("IF
(
C8339=""фізична особа""
,
VLOOKUP(D8339,IMPORTRANGE(""https://docs.google.com/spreadsheets/d/14Bd19lYaqBhU8_DElYkX7l4wRkHqqCUFNJY4AfY3kHU/edit?usp=sharing  #gid=0"",""фіз особи new!relations_name""),6,FALSE)
,
(IF
(
C8339=""юридична особа""
,
VLOOKUP"&amp;"(D8339,IMPORTRANGE(""https://docs.google.com/spreadsheets/d/14Bd19lYaqBhU8_DElYkX7l4wRkHqqCUFNJY4AfY3kHU/edit?usp=sharing  #gid=0"",""фіз особи new!relations_name_uo""),7,FALSE)
,
)
))"),"ГЛАЗУНОВА Ольга Володимирівна")</f>
        <v>ГЛАЗУНОВА Ольга Володимирівна</v>
      </c>
      <c r="G8338" s="7" t="s">
        <v>10</v>
      </c>
      <c r="H8338" s="7">
        <v>3069</v>
      </c>
      <c r="I8338" s="8" t="str">
        <f ca="1">IFERROR(__xludf.DUMMYFUNCTION("IF
(
G8339=""фізична особа""
,
VLOOKUP(H8339,IMPORTRANGE(""https://docs.google.com/spreadsheets/d/14Bd19lYaqBhU8_DElYkX7l4wRkHqqCUFNJY4AfY3kHU/edit?usp=sharing  #gid=0"",""фіз особи new!relations_name""),6,FALSE)
,
(IF
(
G8339=""юридична особа""
,
VLOOKUP"&amp;"(H8339,IMPORTRANGE(""https://docs.google.com/spreadsheets/d/14Bd19lYaqBhU8_DElYkX7l4wRkHqqCUFNJY4AfY3kHU/edit?usp=sharing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8" s="7" t="s">
        <v>29</v>
      </c>
    </row>
    <row r="8339" spans="1:10" ht="13.2">
      <c r="A8339" s="7">
        <v>8338</v>
      </c>
      <c r="B8339" s="7">
        <v>1</v>
      </c>
      <c r="C8339" s="7" t="s">
        <v>10</v>
      </c>
      <c r="D8339" s="7">
        <v>10283</v>
      </c>
      <c r="E8339" s="7" t="s">
        <v>28</v>
      </c>
      <c r="F8339" s="8" t="str">
        <f ca="1">IFERROR(__xludf.DUMMYFUNCTION("IF
(
C8340=""фізична особа""
,
VLOOKUP(D8340,IMPORTRANGE(""https://docs.google.com/spreadsheets/d/14Bd19lYaqBhU8_DElYkX7l4wRkHqqCUFNJY4AfY3kHU/edit?usp=sharing  #gid=0"",""фіз особи new!relations_name""),6,FALSE)
,
(IF
(
C8340=""юридична особа""
,
VLOOKUP"&amp;"(D8340,IMPORTRANGE(""https://docs.google.com/spreadsheets/d/14Bd19lYaqBhU8_DElYkX7l4wRkHqqCUFNJY4AfY3kHU/edit?usp=sharing  #gid=0"",""фіз особи new!relations_name_uo""),7,FALSE)
,
)
))"),"МОРОЗОВА Ганна Юріївна")</f>
        <v>МОРОЗОВА Ганна Юріївна</v>
      </c>
      <c r="G8339" s="7" t="s">
        <v>10</v>
      </c>
      <c r="H8339" s="7">
        <v>3069</v>
      </c>
      <c r="I8339" s="8" t="str">
        <f ca="1">IFERROR(__xludf.DUMMYFUNCTION("IF
(
G8340=""фізична особа""
,
VLOOKUP(H8340,IMPORTRANGE(""https://docs.google.com/spreadsheets/d/14Bd19lYaqBhU8_DElYkX7l4wRkHqqCUFNJY4AfY3kHU/edit?usp=sharing  #gid=0"",""фіз особи new!relations_name""),6,FALSE)
,
(IF
(
G8340=""юридична особа""
,
VLOOKUP"&amp;"(H8340,IMPORTRANGE(""https://docs.google.com/spreadsheets/d/14Bd19lYaqBhU8_DElYkX7l4wRkHqqCUFNJY4AfY3kHU/edit?usp=sharing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39" s="7" t="s">
        <v>29</v>
      </c>
    </row>
    <row r="8340" spans="1:10" ht="13.2">
      <c r="A8340" s="7">
        <v>8339</v>
      </c>
      <c r="B8340" s="7">
        <v>1</v>
      </c>
      <c r="C8340" s="7" t="s">
        <v>10</v>
      </c>
      <c r="D8340" s="7">
        <v>10284</v>
      </c>
      <c r="E8340" s="7" t="s">
        <v>28</v>
      </c>
      <c r="F8340" s="8" t="str">
        <f ca="1">IFERROR(__xludf.DUMMYFUNCTION("IF
(
C8341=""фізична особа""
,
VLOOKUP(D8341,IMPORTRANGE(""https://docs.google.com/spreadsheets/d/14Bd19lYaqBhU8_DElYkX7l4wRkHqqCUFNJY4AfY3kHU/edit?usp=sharing  #gid=0"",""фіз особи new!relations_name""),6,FALSE)
,
(IF
(
C8341=""юридична особа""
,
VLOOKUP"&amp;"(D8341,IMPORTRANGE(""https://docs.google.com/spreadsheets/d/14Bd19lYaqBhU8_DElYkX7l4wRkHqqCUFNJY4AfY3kHU/edit?usp=sharing  #gid=0"",""фіз особи new!relations_name_uo""),7,FALSE)
,
)
))"),"ЗІНОВ'ЄВА Наталія Юріївна")</f>
        <v>ЗІНОВ'ЄВА Наталія Юріївна</v>
      </c>
      <c r="G8340" s="7" t="s">
        <v>10</v>
      </c>
      <c r="H8340" s="7">
        <v>3069</v>
      </c>
      <c r="I8340" s="8" t="str">
        <f ca="1">IFERROR(__xludf.DUMMYFUNCTION("IF
(
G8341=""фізична особа""
,
VLOOKUP(H8341,IMPORTRANGE(""https://docs.google.com/spreadsheets/d/14Bd19lYaqBhU8_DElYkX7l4wRkHqqCUFNJY4AfY3kHU/edit?usp=sharing  #gid=0"",""фіз особи new!relations_name""),6,FALSE)
,
(IF
(
G8341=""юридична особа""
,
VLOOKUP"&amp;"(H8341,IMPORTRANGE(""https://docs.google.com/spreadsheets/d/14Bd19lYaqBhU8_DElYkX7l4wRkHqqCUFNJY4AfY3kHU/edit?usp=sharing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0" s="7" t="s">
        <v>29</v>
      </c>
    </row>
    <row r="8341" spans="1:10" ht="13.2">
      <c r="A8341" s="7">
        <v>8340</v>
      </c>
      <c r="B8341" s="7">
        <v>1</v>
      </c>
      <c r="C8341" s="7" t="s">
        <v>10</v>
      </c>
      <c r="D8341" s="7">
        <v>10285</v>
      </c>
      <c r="E8341" s="7" t="s">
        <v>28</v>
      </c>
      <c r="F8341" s="8" t="str">
        <f ca="1">IFERROR(__xludf.DUMMYFUNCTION("IF
(
C8342=""фізична особа""
,
VLOOKUP(D8342,IMPORTRANGE(""https://docs.google.com/spreadsheets/d/14Bd19lYaqBhU8_DElYkX7l4wRkHqqCUFNJY4AfY3kHU/edit?usp=sharing  #gid=0"",""фіз особи new!relations_name""),6,FALSE)
,
(IF
(
C8342=""юридична особа""
,
VLOOKUP"&amp;"(D8342,IMPORTRANGE(""https://docs.google.com/spreadsheets/d/14Bd19lYaqBhU8_DElYkX7l4wRkHqqCUFNJY4AfY3kHU/edit?usp=sharing  #gid=0"",""фіз особи new!relations_name_uo""),7,FALSE)
,
)
))"),"АЛЬБЕКОВ Заурбек Адамович")</f>
        <v>АЛЬБЕКОВ Заурбек Адамович</v>
      </c>
      <c r="G8341" s="7" t="s">
        <v>10</v>
      </c>
      <c r="H8341" s="7">
        <v>3069</v>
      </c>
      <c r="I8341" s="8" t="str">
        <f ca="1">IFERROR(__xludf.DUMMYFUNCTION("IF
(
G8342=""фізична особа""
,
VLOOKUP(H8342,IMPORTRANGE(""https://docs.google.com/spreadsheets/d/14Bd19lYaqBhU8_DElYkX7l4wRkHqqCUFNJY4AfY3kHU/edit?usp=sharing  #gid=0"",""фіз особи new!relations_name""),6,FALSE)
,
(IF
(
G8342=""юридична особа""
,
VLOOKUP"&amp;"(H8342,IMPORTRANGE(""https://docs.google.com/spreadsheets/d/14Bd19lYaqBhU8_DElYkX7l4wRkHqqCUFNJY4AfY3kHU/edit?usp=sharing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1" s="7" t="s">
        <v>29</v>
      </c>
    </row>
    <row r="8342" spans="1:10" ht="13.2">
      <c r="A8342" s="7">
        <v>8341</v>
      </c>
      <c r="B8342" s="7">
        <v>1</v>
      </c>
      <c r="C8342" s="7" t="s">
        <v>10</v>
      </c>
      <c r="D8342" s="7">
        <v>10286</v>
      </c>
      <c r="E8342" s="7" t="s">
        <v>28</v>
      </c>
      <c r="F8342" s="8" t="str">
        <f ca="1">IFERROR(__xludf.DUMMYFUNCTION("IF
(
C8343=""фізична особа""
,
VLOOKUP(D8343,IMPORTRANGE(""https://docs.google.com/spreadsheets/d/14Bd19lYaqBhU8_DElYkX7l4wRkHqqCUFNJY4AfY3kHU/edit?usp=sharing  #gid=0"",""фіз особи new!relations_name""),6,FALSE)
,
(IF
(
C8343=""юридична особа""
,
VLOOKUP"&amp;"(D8343,IMPORTRANGE(""https://docs.google.com/spreadsheets/d/14Bd19lYaqBhU8_DElYkX7l4wRkHqqCUFNJY4AfY3kHU/edit?usp=sharing  #gid=0"",""фіз особи new!relations_name_uo""),7,FALSE)
,
)
))"),"ГАЛСАНОВ Чингіс Цидипович")</f>
        <v>ГАЛСАНОВ Чингіс Цидипович</v>
      </c>
      <c r="G8342" s="7" t="s">
        <v>10</v>
      </c>
      <c r="H8342" s="7">
        <v>3069</v>
      </c>
      <c r="I8342" s="8" t="str">
        <f ca="1">IFERROR(__xludf.DUMMYFUNCTION("IF
(
G8343=""фізична особа""
,
VLOOKUP(H8343,IMPORTRANGE(""https://docs.google.com/spreadsheets/d/14Bd19lYaqBhU8_DElYkX7l4wRkHqqCUFNJY4AfY3kHU/edit?usp=sharing  #gid=0"",""фіз особи new!relations_name""),6,FALSE)
,
(IF
(
G8343=""юридична особа""
,
VLOOKUP"&amp;"(H8343,IMPORTRANGE(""https://docs.google.com/spreadsheets/d/14Bd19lYaqBhU8_DElYkX7l4wRkHqqCUFNJY4AfY3kHU/edit?usp=sharing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2" s="7" t="s">
        <v>29</v>
      </c>
    </row>
    <row r="8343" spans="1:10" ht="13.2">
      <c r="A8343" s="7">
        <v>8342</v>
      </c>
      <c r="B8343" s="7">
        <v>1</v>
      </c>
      <c r="C8343" s="7" t="s">
        <v>10</v>
      </c>
      <c r="D8343" s="7">
        <v>10287</v>
      </c>
      <c r="E8343" s="7" t="s">
        <v>28</v>
      </c>
      <c r="F8343" s="8" t="str">
        <f ca="1">IFERROR(__xludf.DUMMYFUNCTION("IF
(
C8344=""фізична особа""
,
VLOOKUP(D8344,IMPORTRANGE(""https://docs.google.com/spreadsheets/d/14Bd19lYaqBhU8_DElYkX7l4wRkHqqCUFNJY4AfY3kHU/edit?usp=sharing  #gid=0"",""фіз особи new!relations_name""),6,FALSE)
,
(IF
(
C8344=""юридична особа""
,
VLOOKUP"&amp;"(D8344,IMPORTRANGE(""https://docs.google.com/spreadsheets/d/14Bd19lYaqBhU8_DElYkX7l4wRkHqqCUFNJY4AfY3kHU/edit?usp=sharing  #gid=0"",""фіз особи new!relations_name_uo""),7,FALSE)
,
)
))"),"ПОЛЄТАЄВ Олексій Володимирович")</f>
        <v>ПОЛЄТАЄВ Олексій Володимирович</v>
      </c>
      <c r="G8343" s="7" t="s">
        <v>10</v>
      </c>
      <c r="H8343" s="7">
        <v>3069</v>
      </c>
      <c r="I8343" s="8" t="str">
        <f ca="1">IFERROR(__xludf.DUMMYFUNCTION("IF
(
G8344=""фізична особа""
,
VLOOKUP(H8344,IMPORTRANGE(""https://docs.google.com/spreadsheets/d/14Bd19lYaqBhU8_DElYkX7l4wRkHqqCUFNJY4AfY3kHU/edit?usp=sharing  #gid=0"",""фіз особи new!relations_name""),6,FALSE)
,
(IF
(
G8344=""юридична особа""
,
VLOOKUP"&amp;"(H8344,IMPORTRANGE(""https://docs.google.com/spreadsheets/d/14Bd19lYaqBhU8_DElYkX7l4wRkHqqCUFNJY4AfY3kHU/edit?usp=sharing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3" s="7" t="s">
        <v>29</v>
      </c>
    </row>
    <row r="8344" spans="1:10" ht="13.2">
      <c r="A8344" s="7">
        <v>8343</v>
      </c>
      <c r="B8344" s="7">
        <v>1</v>
      </c>
      <c r="C8344" s="7" t="s">
        <v>10</v>
      </c>
      <c r="D8344" s="7">
        <v>10288</v>
      </c>
      <c r="E8344" s="7" t="s">
        <v>28</v>
      </c>
      <c r="F8344" s="8" t="str">
        <f ca="1">IFERROR(__xludf.DUMMYFUNCTION("IF
(
C8345=""фізична особа""
,
VLOOKUP(D8345,IMPORTRANGE(""https://docs.google.com/spreadsheets/d/14Bd19lYaqBhU8_DElYkX7l4wRkHqqCUFNJY4AfY3kHU/edit?usp=sharing  #gid=0"",""фіз особи new!relations_name""),6,FALSE)
,
(IF
(
C8345=""юридична особа""
,
VLOOKUP"&amp;"(D8345,IMPORTRANGE(""https://docs.google.com/spreadsheets/d/14Bd19lYaqBhU8_DElYkX7l4wRkHqqCUFNJY4AfY3kHU/edit?usp=sharing  #gid=0"",""фіз особи new!relations_name_uo""),7,FALSE)
,
)
))"),"МАЛИШЕВА Марія Олександрівна")</f>
        <v>МАЛИШЕВА Марія Олександрівна</v>
      </c>
      <c r="G8344" s="7" t="s">
        <v>10</v>
      </c>
      <c r="H8344" s="7">
        <v>3069</v>
      </c>
      <c r="I8344" s="8" t="str">
        <f ca="1">IFERROR(__xludf.DUMMYFUNCTION("IF
(
G8345=""фізична особа""
,
VLOOKUP(H8345,IMPORTRANGE(""https://docs.google.com/spreadsheets/d/14Bd19lYaqBhU8_DElYkX7l4wRkHqqCUFNJY4AfY3kHU/edit?usp=sharing  #gid=0"",""фіз особи new!relations_name""),6,FALSE)
,
(IF
(
G8345=""юридична особа""
,
VLOOKUP"&amp;"(H8345,IMPORTRANGE(""https://docs.google.com/spreadsheets/d/14Bd19lYaqBhU8_DElYkX7l4wRkHqqCUFNJY4AfY3kHU/edit?usp=sharing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4" s="7" t="s">
        <v>29</v>
      </c>
    </row>
    <row r="8345" spans="1:10" ht="13.2">
      <c r="A8345" s="7">
        <v>8344</v>
      </c>
      <c r="B8345" s="7">
        <v>1</v>
      </c>
      <c r="C8345" s="7" t="s">
        <v>10</v>
      </c>
      <c r="D8345" s="7">
        <v>10289</v>
      </c>
      <c r="E8345" s="7" t="s">
        <v>28</v>
      </c>
      <c r="F8345" s="8" t="str">
        <f ca="1">IFERROR(__xludf.DUMMYFUNCTION("IF
(
C8346=""фізична особа""
,
VLOOKUP(D8346,IMPORTRANGE(""https://docs.google.com/spreadsheets/d/14Bd19lYaqBhU8_DElYkX7l4wRkHqqCUFNJY4AfY3kHU/edit?usp=sharing  #gid=0"",""фіз особи new!relations_name""),6,FALSE)
,
(IF
(
C8346=""юридична особа""
,
VLOOKUP"&amp;"(D8346,IMPORTRANGE(""https://docs.google.com/spreadsheets/d/14Bd19lYaqBhU8_DElYkX7l4wRkHqqCUFNJY4AfY3kHU/edit?usp=sharing  #gid=0"",""фіз особи new!relations_name_uo""),7,FALSE)
,
)
))"),"УТІЖЕВ Шумахо Борисович")</f>
        <v>УТІЖЕВ Шумахо Борисович</v>
      </c>
      <c r="G8345" s="7" t="s">
        <v>10</v>
      </c>
      <c r="H8345" s="7">
        <v>3069</v>
      </c>
      <c r="I8345" s="8" t="str">
        <f ca="1">IFERROR(__xludf.DUMMYFUNCTION("IF
(
G8346=""фізична особа""
,
VLOOKUP(H8346,IMPORTRANGE(""https://docs.google.com/spreadsheets/d/14Bd19lYaqBhU8_DElYkX7l4wRkHqqCUFNJY4AfY3kHU/edit?usp=sharing  #gid=0"",""фіз особи new!relations_name""),6,FALSE)
,
(IF
(
G8346=""юридична особа""
,
VLOOKUP"&amp;"(H8346,IMPORTRANGE(""https://docs.google.com/spreadsheets/d/14Bd19lYaqBhU8_DElYkX7l4wRkHqqCUFNJY4AfY3kHU/edit?usp=sharing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5" s="7" t="s">
        <v>29</v>
      </c>
    </row>
    <row r="8346" spans="1:10" ht="13.2">
      <c r="A8346" s="7">
        <v>8345</v>
      </c>
      <c r="B8346" s="7">
        <v>1</v>
      </c>
      <c r="C8346" s="7" t="s">
        <v>10</v>
      </c>
      <c r="D8346" s="7">
        <v>10290</v>
      </c>
      <c r="E8346" s="7" t="s">
        <v>28</v>
      </c>
      <c r="F8346" s="8" t="str">
        <f ca="1">IFERROR(__xludf.DUMMYFUNCTION("IF
(
C8347=""фізична особа""
,
VLOOKUP(D8347,IMPORTRANGE(""https://docs.google.com/spreadsheets/d/14Bd19lYaqBhU8_DElYkX7l4wRkHqqCUFNJY4AfY3kHU/edit?usp=sharing  #gid=0"",""фіз особи new!relations_name""),6,FALSE)
,
(IF
(
C8347=""юридична особа""
,
VLOOKUP"&amp;"(D8347,IMPORTRANGE(""https://docs.google.com/spreadsheets/d/14Bd19lYaqBhU8_DElYkX7l4wRkHqqCUFNJY4AfY3kHU/edit?usp=sharing  #gid=0"",""фіз особи new!relations_name_uo""),7,FALSE)
,
)
))"),"КУЗЯЄВА Тетяна Федорівна")</f>
        <v>КУЗЯЄВА Тетяна Федорівна</v>
      </c>
      <c r="G8346" s="7" t="s">
        <v>10</v>
      </c>
      <c r="H8346" s="7">
        <v>3069</v>
      </c>
      <c r="I8346" s="8" t="str">
        <f ca="1">IFERROR(__xludf.DUMMYFUNCTION("IF
(
G8347=""фізична особа""
,
VLOOKUP(H8347,IMPORTRANGE(""https://docs.google.com/spreadsheets/d/14Bd19lYaqBhU8_DElYkX7l4wRkHqqCUFNJY4AfY3kHU/edit?usp=sharing  #gid=0"",""фіз особи new!relations_name""),6,FALSE)
,
(IF
(
G8347=""юридична особа""
,
VLOOKUP"&amp;"(H8347,IMPORTRANGE(""https://docs.google.com/spreadsheets/d/14Bd19lYaqBhU8_DElYkX7l4wRkHqqCUFNJY4AfY3kHU/edit?usp=sharing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6" s="7" t="s">
        <v>29</v>
      </c>
    </row>
    <row r="8347" spans="1:10" ht="13.2">
      <c r="A8347" s="7">
        <v>8346</v>
      </c>
      <c r="B8347" s="7">
        <v>1</v>
      </c>
      <c r="C8347" s="7" t="s">
        <v>10</v>
      </c>
      <c r="D8347" s="7">
        <v>10291</v>
      </c>
      <c r="E8347" s="7" t="s">
        <v>28</v>
      </c>
      <c r="F8347" s="8" t="str">
        <f ca="1">IFERROR(__xludf.DUMMYFUNCTION("IF
(
C8348=""фізична особа""
,
VLOOKUP(D8348,IMPORTRANGE(""https://docs.google.com/spreadsheets/d/14Bd19lYaqBhU8_DElYkX7l4wRkHqqCUFNJY4AfY3kHU/edit?usp=sharing  #gid=0"",""фіз особи new!relations_name""),6,FALSE)
,
(IF
(
C8348=""юридична особа""
,
VLOOKUP"&amp;"(D8348,IMPORTRANGE(""https://docs.google.com/spreadsheets/d/14Bd19lYaqBhU8_DElYkX7l4wRkHqqCUFNJY4AfY3kHU/edit?usp=sharing  #gid=0"",""фіз особи new!relations_name_uo""),7,FALSE)
,
)
))"),"ХВОСТЕНКО Микола Петрович")</f>
        <v>ХВОСТЕНКО Микола Петрович</v>
      </c>
      <c r="G8347" s="7" t="s">
        <v>10</v>
      </c>
      <c r="H8347" s="7">
        <v>3069</v>
      </c>
      <c r="I8347" s="8" t="str">
        <f ca="1">IFERROR(__xludf.DUMMYFUNCTION("IF
(
G8348=""фізична особа""
,
VLOOKUP(H8348,IMPORTRANGE(""https://docs.google.com/spreadsheets/d/14Bd19lYaqBhU8_DElYkX7l4wRkHqqCUFNJY4AfY3kHU/edit?usp=sharing  #gid=0"",""фіз особи new!relations_name""),6,FALSE)
,
(IF
(
G8348=""юридична особа""
,
VLOOKUP"&amp;"(H8348,IMPORTRANGE(""https://docs.google.com/spreadsheets/d/14Bd19lYaqBhU8_DElYkX7l4wRkHqqCUFNJY4AfY3kHU/edit?usp=sharing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7" s="7" t="s">
        <v>29</v>
      </c>
    </row>
    <row r="8348" spans="1:10" ht="13.2">
      <c r="A8348" s="7">
        <v>8347</v>
      </c>
      <c r="B8348" s="7">
        <v>1</v>
      </c>
      <c r="C8348" s="7" t="s">
        <v>10</v>
      </c>
      <c r="D8348" s="7">
        <v>10292</v>
      </c>
      <c r="E8348" s="7" t="s">
        <v>28</v>
      </c>
      <c r="F8348" s="8" t="str">
        <f ca="1">IFERROR(__xludf.DUMMYFUNCTION("IF
(
C8349=""фізична особа""
,
VLOOKUP(D8349,IMPORTRANGE(""https://docs.google.com/spreadsheets/d/14Bd19lYaqBhU8_DElYkX7l4wRkHqqCUFNJY4AfY3kHU/edit?usp=sharing  #gid=0"",""фіз особи new!relations_name""),6,FALSE)
,
(IF
(
C8349=""юридична особа""
,
VLOOKUP"&amp;"(D8349,IMPORTRANGE(""https://docs.google.com/spreadsheets/d/14Bd19lYaqBhU8_DElYkX7l4wRkHqqCUFNJY4AfY3kHU/edit?usp=sharing  #gid=0"",""фіз особи new!relations_name_uo""),7,FALSE)
,
)
))"),"ФІЛАТОВ Сергій Геннадійович")</f>
        <v>ФІЛАТОВ Сергій Геннадійович</v>
      </c>
      <c r="G8348" s="7" t="s">
        <v>10</v>
      </c>
      <c r="H8348" s="7">
        <v>3069</v>
      </c>
      <c r="I8348" s="8" t="str">
        <f ca="1">IFERROR(__xludf.DUMMYFUNCTION("IF
(
G8349=""фізична особа""
,
VLOOKUP(H8349,IMPORTRANGE(""https://docs.google.com/spreadsheets/d/14Bd19lYaqBhU8_DElYkX7l4wRkHqqCUFNJY4AfY3kHU/edit?usp=sharing  #gid=0"",""фіз особи new!relations_name""),6,FALSE)
,
(IF
(
G8349=""юридична особа""
,
VLOOKUP"&amp;"(H8349,IMPORTRANGE(""https://docs.google.com/spreadsheets/d/14Bd19lYaqBhU8_DElYkX7l4wRkHqqCUFNJY4AfY3kHU/edit?usp=sharing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8" s="7" t="s">
        <v>29</v>
      </c>
    </row>
    <row r="8349" spans="1:10" ht="13.2">
      <c r="A8349" s="7">
        <v>8348</v>
      </c>
      <c r="B8349" s="7">
        <v>1</v>
      </c>
      <c r="C8349" s="7" t="s">
        <v>10</v>
      </c>
      <c r="D8349" s="7">
        <v>10293</v>
      </c>
      <c r="E8349" s="7" t="s">
        <v>28</v>
      </c>
      <c r="F8349" s="8" t="str">
        <f ca="1">IFERROR(__xludf.DUMMYFUNCTION("IF
(
C8350=""фізична особа""
,
VLOOKUP(D8350,IMPORTRANGE(""https://docs.google.com/spreadsheets/d/14Bd19lYaqBhU8_DElYkX7l4wRkHqqCUFNJY4AfY3kHU/edit?usp=sharing  #gid=0"",""фіз особи new!relations_name""),6,FALSE)
,
(IF
(
C8350=""юридична особа""
,
VLOOKUP"&amp;"(D8350,IMPORTRANGE(""https://docs.google.com/spreadsheets/d/14Bd19lYaqBhU8_DElYkX7l4wRkHqqCUFNJY4AfY3kHU/edit?usp=sharing  #gid=0"",""фіз особи new!relations_name_uo""),7,FALSE)
,
)
))"),"ДОТДАЄВ Юрій Рашидович")</f>
        <v>ДОТДАЄВ Юрій Рашидович</v>
      </c>
      <c r="G8349" s="7" t="s">
        <v>10</v>
      </c>
      <c r="H8349" s="7">
        <v>3069</v>
      </c>
      <c r="I8349" s="8" t="str">
        <f ca="1">IFERROR(__xludf.DUMMYFUNCTION("IF
(
G8350=""фізична особа""
,
VLOOKUP(H8350,IMPORTRANGE(""https://docs.google.com/spreadsheets/d/14Bd19lYaqBhU8_DElYkX7l4wRkHqqCUFNJY4AfY3kHU/edit?usp=sharing  #gid=0"",""фіз особи new!relations_name""),6,FALSE)
,
(IF
(
G8350=""юридична особа""
,
VLOOKUP"&amp;"(H8350,IMPORTRANGE(""https://docs.google.com/spreadsheets/d/14Bd19lYaqBhU8_DElYkX7l4wRkHqqCUFNJY4AfY3kHU/edit?usp=sharing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49" s="7" t="s">
        <v>29</v>
      </c>
    </row>
    <row r="8350" spans="1:10" ht="13.2">
      <c r="A8350" s="7">
        <v>8349</v>
      </c>
      <c r="B8350" s="7">
        <v>1</v>
      </c>
      <c r="C8350" s="7" t="s">
        <v>10</v>
      </c>
      <c r="D8350" s="7">
        <v>10294</v>
      </c>
      <c r="E8350" s="7" t="s">
        <v>28</v>
      </c>
      <c r="F8350" s="8" t="str">
        <f ca="1">IFERROR(__xludf.DUMMYFUNCTION("IF
(
C8351=""фізична особа""
,
VLOOKUP(D8351,IMPORTRANGE(""https://docs.google.com/spreadsheets/d/14Bd19lYaqBhU8_DElYkX7l4wRkHqqCUFNJY4AfY3kHU/edit?usp=sharing  #gid=0"",""фіз особи new!relations_name""),6,FALSE)
,
(IF
(
C8351=""юридична особа""
,
VLOOKUP"&amp;"(D8351,IMPORTRANGE(""https://docs.google.com/spreadsheets/d/14Bd19lYaqBhU8_DElYkX7l4wRkHqqCUFNJY4AfY3kHU/edit?usp=sharing  #gid=0"",""фіз особи new!relations_name_uo""),7,FALSE)
,
)
))"),"МАЗУРОВА Людмила Петрівна")</f>
        <v>МАЗУРОВА Людмила Петрівна</v>
      </c>
      <c r="G8350" s="7" t="s">
        <v>10</v>
      </c>
      <c r="H8350" s="7">
        <v>3069</v>
      </c>
      <c r="I8350" s="8" t="str">
        <f ca="1">IFERROR(__xludf.DUMMYFUNCTION("IF
(
G8351=""фізична особа""
,
VLOOKUP(H8351,IMPORTRANGE(""https://docs.google.com/spreadsheets/d/14Bd19lYaqBhU8_DElYkX7l4wRkHqqCUFNJY4AfY3kHU/edit?usp=sharing  #gid=0"",""фіз особи new!relations_name""),6,FALSE)
,
(IF
(
G8351=""юридична особа""
,
VLOOKUP"&amp;"(H8351,IMPORTRANGE(""https://docs.google.com/spreadsheets/d/14Bd19lYaqBhU8_DElYkX7l4wRkHqqCUFNJY4AfY3kHU/edit?usp=sharing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50" s="7" t="s">
        <v>29</v>
      </c>
    </row>
    <row r="8351" spans="1:10" ht="13.2">
      <c r="A8351" s="7">
        <v>8350</v>
      </c>
      <c r="B8351" s="7">
        <v>1</v>
      </c>
      <c r="C8351" s="7" t="s">
        <v>10</v>
      </c>
      <c r="D8351" s="7">
        <v>10295</v>
      </c>
      <c r="E8351" s="7" t="s">
        <v>28</v>
      </c>
      <c r="F8351" s="8" t="str">
        <f ca="1">IFERROR(__xludf.DUMMYFUNCTION("IF
(
C8352=""фізична особа""
,
VLOOKUP(D8352,IMPORTRANGE(""https://docs.google.com/spreadsheets/d/14Bd19lYaqBhU8_DElYkX7l4wRkHqqCUFNJY4AfY3kHU/edit?usp=sharing  #gid=0"",""фіз особи new!relations_name""),6,FALSE)
,
(IF
(
C8352=""юридична особа""
,
VLOOKUP"&amp;"(D8352,IMPORTRANGE(""https://docs.google.com/spreadsheets/d/14Bd19lYaqBhU8_DElYkX7l4wRkHqqCUFNJY4AfY3kHU/edit?usp=sharing  #gid=0"",""фіз особи new!relations_name_uo""),7,FALSE)
,
)
))"),"ГВИЗІН Олег Леонідович")</f>
        <v>ГВИЗІН Олег Леонідович</v>
      </c>
      <c r="G8351" s="7" t="s">
        <v>10</v>
      </c>
      <c r="H8351" s="7">
        <v>3069</v>
      </c>
      <c r="I8351" s="8" t="str">
        <f ca="1">IFERROR(__xludf.DUMMYFUNCTION("IF
(
G8352=""фізична особа""
,
VLOOKUP(H8352,IMPORTRANGE(""https://docs.google.com/spreadsheets/d/14Bd19lYaqBhU8_DElYkX7l4wRkHqqCUFNJY4AfY3kHU/edit?usp=sharing  #gid=0"",""фіз особи new!relations_name""),6,FALSE)
,
(IF
(
G8352=""юридична особа""
,
VLOOKUP"&amp;"(H8352,IMPORTRANGE(""https://docs.google.com/spreadsheets/d/14Bd19lYaqBhU8_DElYkX7l4wRkHqqCUFNJY4AfY3kHU/edit?usp=sharing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51" s="7" t="s">
        <v>29</v>
      </c>
    </row>
    <row r="8352" spans="1:10" ht="13.2">
      <c r="A8352" s="7">
        <v>8351</v>
      </c>
      <c r="B8352" s="7">
        <v>1</v>
      </c>
      <c r="C8352" s="7" t="s">
        <v>10</v>
      </c>
      <c r="D8352" s="7">
        <v>10296</v>
      </c>
      <c r="E8352" s="7" t="s">
        <v>28</v>
      </c>
      <c r="F8352" s="8" t="str">
        <f ca="1">IFERROR(__xludf.DUMMYFUNCTION("IF
(
C8353=""фізична особа""
,
VLOOKUP(D8353,IMPORTRANGE(""https://docs.google.com/spreadsheets/d/14Bd19lYaqBhU8_DElYkX7l4wRkHqqCUFNJY4AfY3kHU/edit?usp=sharing  #gid=0"",""фіз особи new!relations_name""),6,FALSE)
,
(IF
(
C8353=""юридична особа""
,
VLOOKUP"&amp;"(D8353,IMPORTRANGE(""https://docs.google.com/spreadsheets/d/14Bd19lYaqBhU8_DElYkX7l4wRkHqqCUFNJY4AfY3kHU/edit?usp=sharing  #gid=0"",""фіз особи new!relations_name_uo""),7,FALSE)
,
)
))"),"ЛОЖНІКОВ Михайло Михайлович")</f>
        <v>ЛОЖНІКОВ Михайло Михайлович</v>
      </c>
      <c r="G8352" s="7" t="s">
        <v>10</v>
      </c>
      <c r="H8352" s="7">
        <v>3069</v>
      </c>
      <c r="I8352" s="8" t="str">
        <f ca="1">IFERROR(__xludf.DUMMYFUNCTION("IF
(
G8353=""фізична особа""
,
VLOOKUP(H8353,IMPORTRANGE(""https://docs.google.com/spreadsheets/d/14Bd19lYaqBhU8_DElYkX7l4wRkHqqCUFNJY4AfY3kHU/edit?usp=sharing  #gid=0"",""фіз особи new!relations_name""),6,FALSE)
,
(IF
(
G8353=""юридична особа""
,
VLOOKUP"&amp;"(H8353,IMPORTRANGE(""https://docs.google.com/spreadsheets/d/14Bd19lYaqBhU8_DElYkX7l4wRkHqqCUFNJY4AfY3kHU/edit?usp=sharing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52" s="7" t="s">
        <v>29</v>
      </c>
    </row>
    <row r="8353" spans="1:10" ht="13.2">
      <c r="A8353" s="7">
        <v>8352</v>
      </c>
      <c r="B8353" s="7">
        <v>1</v>
      </c>
      <c r="C8353" s="7" t="s">
        <v>10</v>
      </c>
      <c r="D8353" s="7">
        <v>10297</v>
      </c>
      <c r="E8353" s="7" t="s">
        <v>28</v>
      </c>
      <c r="F8353" s="8" t="str">
        <f ca="1">IFERROR(__xludf.DUMMYFUNCTION("IF
(
C8354=""фізична особа""
,
VLOOKUP(D8354,IMPORTRANGE(""https://docs.google.com/spreadsheets/d/14Bd19lYaqBhU8_DElYkX7l4wRkHqqCUFNJY4AfY3kHU/edit?usp=sharing  #gid=0"",""фіз особи new!relations_name""),6,FALSE)
,
(IF
(
C8354=""юридична особа""
,
VLOOKUP"&amp;"(D8354,IMPORTRANGE(""https://docs.google.com/spreadsheets/d/14Bd19lYaqBhU8_DElYkX7l4wRkHqqCUFNJY4AfY3kHU/edit?usp=sharing  #gid=0"",""фіз особи new!relations_name_uo""),7,FALSE)
,
)
))"),"БАДЯКІНА Тетяна Олегівна")</f>
        <v>БАДЯКІНА Тетяна Олегівна</v>
      </c>
      <c r="G8353" s="7" t="s">
        <v>10</v>
      </c>
      <c r="H8353" s="7">
        <v>3069</v>
      </c>
      <c r="I8353" s="8" t="str">
        <f ca="1">IFERROR(__xludf.DUMMYFUNCTION("IF
(
G8354=""фізична особа""
,
VLOOKUP(H8354,IMPORTRANGE(""https://docs.google.com/spreadsheets/d/14Bd19lYaqBhU8_DElYkX7l4wRkHqqCUFNJY4AfY3kHU/edit?usp=sharing  #gid=0"",""фіз особи new!relations_name""),6,FALSE)
,
(IF
(
G8354=""юридична особа""
,
VLOOKUP"&amp;"(H8354,IMPORTRANGE(""https://docs.google.com/spreadsheets/d/14Bd19lYaqBhU8_DElYkX7l4wRkHqqCUFNJY4AfY3kHU/edit?usp=sharing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53" s="7" t="s">
        <v>29</v>
      </c>
    </row>
    <row r="8354" spans="1:10" ht="13.2">
      <c r="A8354" s="7">
        <v>8353</v>
      </c>
      <c r="B8354" s="7">
        <v>1</v>
      </c>
      <c r="C8354" s="7" t="s">
        <v>10</v>
      </c>
      <c r="D8354" s="7">
        <v>10298</v>
      </c>
      <c r="E8354" s="7" t="s">
        <v>28</v>
      </c>
      <c r="F8354" s="8" t="str">
        <f ca="1">IFERROR(__xludf.DUMMYFUNCTION("IF
(
C8355=""фізична особа""
,
VLOOKUP(D8355,IMPORTRANGE(""https://docs.google.com/spreadsheets/d/14Bd19lYaqBhU8_DElYkX7l4wRkHqqCUFNJY4AfY3kHU/edit?usp=sharing  #gid=0"",""фіз особи new!relations_name""),6,FALSE)
,
(IF
(
C8355=""юридична особа""
,
VLOOKUP"&amp;"(D8355,IMPORTRANGE(""https://docs.google.com/spreadsheets/d/14Bd19lYaqBhU8_DElYkX7l4wRkHqqCUFNJY4AfY3kHU/edit?usp=sharing  #gid=0"",""фіз особи new!relations_name_uo""),7,FALSE)
,
)
))"),"БИЧЕНКОВ Володимир Вікторович")</f>
        <v>БИЧЕНКОВ Володимир Вікторович</v>
      </c>
      <c r="G8354" s="7" t="s">
        <v>10</v>
      </c>
      <c r="H8354" s="7">
        <v>3069</v>
      </c>
      <c r="I8354" s="8" t="str">
        <f ca="1">IFERROR(__xludf.DUMMYFUNCTION("IF
(
G8355=""фізична особа""
,
VLOOKUP(H8355,IMPORTRANGE(""https://docs.google.com/spreadsheets/d/14Bd19lYaqBhU8_DElYkX7l4wRkHqqCUFNJY4AfY3kHU/edit?usp=sharing  #gid=0"",""фіз особи new!relations_name""),6,FALSE)
,
(IF
(
G8355=""юридична особа""
,
VLOOKUP"&amp;"(H8355,IMPORTRANGE(""https://docs.google.com/spreadsheets/d/14Bd19lYaqBhU8_DElYkX7l4wRkHqqCUFNJY4AfY3kHU/edit?usp=sharing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354" s="7" t="s">
        <v>29</v>
      </c>
    </row>
    <row r="8355" spans="1:10" ht="13.2">
      <c r="A8355" s="7">
        <v>8354</v>
      </c>
      <c r="B8355" s="7">
        <v>1</v>
      </c>
      <c r="C8355" s="7" t="s">
        <v>10</v>
      </c>
      <c r="D8355" s="7">
        <v>10299</v>
      </c>
      <c r="E8355" s="7" t="s">
        <v>12</v>
      </c>
      <c r="F8355" s="8" t="str">
        <f ca="1">IFERROR(__xludf.DUMMYFUNCTION("IF
(
C8356=""фізична особа""
,
VLOOKUP(D8356,IMPORTRANGE(""https://docs.google.com/spreadsheets/d/14Bd19lYaqBhU8_DElYkX7l4wRkHqqCUFNJY4AfY3kHU/edit?usp=sharing  #gid=0"",""фіз особи new!relations_name""),6,FALSE)
,
(IF
(
C8356=""юридична особа""
,
VLOOKUP"&amp;"(D8356,IMPORTRANGE(""https://docs.google.com/spreadsheets/d/14Bd19lYaqBhU8_DElYkX7l4wRkHqqCUFNJY4AfY3kHU/edit?usp=sharing  #gid=0"",""фіз особи new!relations_name_uo""),7,FALSE)
,
)
))"),"ЗАКАР'ЯНОВ Болат Кабикевич")</f>
        <v>ЗАКАР'ЯНОВ Болат Кабикевич</v>
      </c>
      <c r="G8355" s="7" t="s">
        <v>10</v>
      </c>
      <c r="H8355" s="7">
        <v>0</v>
      </c>
      <c r="I8355" s="8" t="str">
        <f ca="1">IFERROR(__xludf.DUMMYFUNCTION("IF
(
G8356=""фізична особа""
,
VLOOKUP(H8356,IMPORTRANGE(""https://docs.google.com/spreadsheets/d/14Bd19lYaqBhU8_DElYkX7l4wRkHqqCUFNJY4AfY3kHU/edit?usp=sharing  #gid=0"",""фіз особи new!relations_name""),6,FALSE)
,
(IF
(
G8356=""юридична особа""
,
VLOOKUP"&amp;"(H8356,IMPORTRANGE(""https://docs.google.com/spreadsheets/d/14Bd19lYaqBhU8_DElYkX7l4wRkHqqCUFNJY4AfY3kHU/edit?usp=sharing  #gid=0"",""фіз особи new!relations_name_uo""),7,FALSE)
,
)
))"),"#N/A")</f>
        <v>#N/A</v>
      </c>
      <c r="J8355" s="7" t="s">
        <v>17</v>
      </c>
    </row>
    <row r="8356" spans="1:10" ht="13.2">
      <c r="A8356" s="7">
        <v>8355</v>
      </c>
      <c r="B8356" s="7">
        <v>1</v>
      </c>
      <c r="C8356" s="7" t="s">
        <v>10</v>
      </c>
      <c r="D8356" s="7">
        <v>10299</v>
      </c>
      <c r="E8356" s="7" t="s">
        <v>18</v>
      </c>
      <c r="F8356" s="8" t="str">
        <f ca="1">IFERROR(__xludf.DUMMYFUNCTION("IF
(
C8357=""фізична особа""
,
VLOOKUP(D8357,IMPORTRANGE(""https://docs.google.com/spreadsheets/d/14Bd19lYaqBhU8_DElYkX7l4wRkHqqCUFNJY4AfY3kHU/edit?usp=sharing  #gid=0"",""фіз особи new!relations_name""),6,FALSE)
,
(IF
(
C8357=""юридична особа""
,
VLOOKUP"&amp;"(D8357,IMPORTRANGE(""https://docs.google.com/spreadsheets/d/14Bd19lYaqBhU8_DElYkX7l4wRkHqqCUFNJY4AfY3kHU/edit?usp=sharing  #gid=0"",""фіз особи new!relations_name_uo""),7,FALSE)
,
)
))"),"ЗАКАР'ЯНОВ Болат Кабикевич")</f>
        <v>ЗАКАР'ЯНОВ Болат Кабикевич</v>
      </c>
      <c r="G8356" s="7" t="s">
        <v>10</v>
      </c>
      <c r="H8356" s="7">
        <v>0</v>
      </c>
      <c r="I8356" s="8" t="str">
        <f ca="1">IFERROR(__xludf.DUMMYFUNCTION("IF
(
G8357=""фізична особа""
,
VLOOKUP(H8357,IMPORTRANGE(""https://docs.google.com/spreadsheets/d/14Bd19lYaqBhU8_DElYkX7l4wRkHqqCUFNJY4AfY3kHU/edit?usp=sharing  #gid=0"",""фіз особи new!relations_name""),6,FALSE)
,
(IF
(
G8357=""юридична особа""
,
VLOOKUP"&amp;"(H8357,IMPORTRANGE(""https://docs.google.com/spreadsheets/d/14Bd19lYaqBhU8_DElYkX7l4wRkHqqCUFNJY4AfY3kHU/edit?usp=sharing  #gid=0"",""фіз особи new!relations_name_uo""),7,FALSE)
,
)
))"),"#N/A")</f>
        <v>#N/A</v>
      </c>
      <c r="J8356" s="7" t="s">
        <v>18</v>
      </c>
    </row>
    <row r="8357" spans="1:10" ht="13.2">
      <c r="A8357" s="7">
        <v>8356</v>
      </c>
      <c r="B8357" s="7">
        <v>1</v>
      </c>
      <c r="C8357" s="7" t="s">
        <v>10</v>
      </c>
      <c r="D8357" s="7">
        <v>10299</v>
      </c>
      <c r="E8357" s="7" t="s">
        <v>28</v>
      </c>
      <c r="F8357" s="8" t="str">
        <f ca="1">IFERROR(__xludf.DUMMYFUNCTION("IF
(
C8358=""фізична особа""
,
VLOOKUP(D8358,IMPORTRANGE(""https://docs.google.com/spreadsheets/d/14Bd19lYaqBhU8_DElYkX7l4wRkHqqCUFNJY4AfY3kHU/edit?usp=sharing  #gid=0"",""фіз особи new!relations_name""),6,FALSE)
,
(IF
(
C8358=""юридична особа""
,
VLOOKUP"&amp;"(D8358,IMPORTRANGE(""https://docs.google.com/spreadsheets/d/14Bd19lYaqBhU8_DElYkX7l4wRkHqqCUFNJY4AfY3kHU/edit?usp=sharing  #gid=0"",""фіз особи new!relations_name_uo""),7,FALSE)
,
)
))"),"ЗАКАР'ЯНОВ Болат Кабикевич")</f>
        <v>ЗАКАР'ЯНОВ Болат Кабикевич</v>
      </c>
      <c r="G8357" s="7" t="s">
        <v>10</v>
      </c>
      <c r="H8357" s="7">
        <v>22397</v>
      </c>
      <c r="I8357" s="8" t="str">
        <f ca="1">IFERROR(__xludf.DUMMYFUNCTION("IF
(
G8358=""фізична особа""
,
VLOOKUP(H8358,IMPORTRANGE(""https://docs.google.com/spreadsheets/d/14Bd19lYaqBhU8_DElYkX7l4wRkHqqCUFNJY4AfY3kHU/edit?usp=sharing  #gid=0"",""фіз особи new!relations_name""),6,FALSE)
,
(IF
(
G8358=""юридична особа""
,
VLOOKUP"&amp;"(H8358,IMPORTRANGE(""https://docs.google.com/spreadsheets/d/14Bd19lYaqBhU8_DElYkX7l4wRkHqqCUFNJY4AfY3kHU/edit?usp=sharing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57" s="7" t="s">
        <v>29</v>
      </c>
    </row>
    <row r="8358" spans="1:10" ht="13.2">
      <c r="A8358" s="7">
        <v>8357</v>
      </c>
      <c r="B8358" s="7">
        <v>1</v>
      </c>
      <c r="C8358" s="7" t="s">
        <v>10</v>
      </c>
      <c r="D8358" s="7">
        <v>10300</v>
      </c>
      <c r="E8358" s="7" t="s">
        <v>28</v>
      </c>
      <c r="F8358" s="8" t="str">
        <f ca="1">IFERROR(__xludf.DUMMYFUNCTION("IF
(
C8359=""фізична особа""
,
VLOOKUP(D8359,IMPORTRANGE(""https://docs.google.com/spreadsheets/d/14Bd19lYaqBhU8_DElYkX7l4wRkHqqCUFNJY4AfY3kHU/edit?usp=sharing  #gid=0"",""фіз особи new!relations_name""),6,FALSE)
,
(IF
(
C8359=""юридична особа""
,
VLOOKUP"&amp;"(D8359,IMPORTRANGE(""https://docs.google.com/spreadsheets/d/14Bd19lYaqBhU8_DElYkX7l4wRkHqqCUFNJY4AfY3kHU/edit?usp=sharing  #gid=0"",""фіз особи new!relations_name_uo""),7,FALSE)
,
)
))"),"ЖДАНОВИЧ Лариса Олександрівна")</f>
        <v>ЖДАНОВИЧ Лариса Олександрівна</v>
      </c>
      <c r="G8358" s="7" t="s">
        <v>10</v>
      </c>
      <c r="H8358" s="7">
        <v>22397</v>
      </c>
      <c r="I8358" s="8" t="str">
        <f ca="1">IFERROR(__xludf.DUMMYFUNCTION("IF
(
G8359=""фізична особа""
,
VLOOKUP(H8359,IMPORTRANGE(""https://docs.google.com/spreadsheets/d/14Bd19lYaqBhU8_DElYkX7l4wRkHqqCUFNJY4AfY3kHU/edit?usp=sharing  #gid=0"",""фіз особи new!relations_name""),6,FALSE)
,
(IF
(
G8359=""юридична особа""
,
VLOOKUP"&amp;"(H8359,IMPORTRANGE(""https://docs.google.com/spreadsheets/d/14Bd19lYaqBhU8_DElYkX7l4wRkHqqCUFNJY4AfY3kHU/edit?usp=sharing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58" s="7" t="s">
        <v>29</v>
      </c>
    </row>
    <row r="8359" spans="1:10" ht="13.2">
      <c r="A8359" s="7">
        <v>8358</v>
      </c>
      <c r="B8359" s="7">
        <v>1</v>
      </c>
      <c r="C8359" s="7" t="s">
        <v>10</v>
      </c>
      <c r="D8359" s="7">
        <v>10301</v>
      </c>
      <c r="E8359" s="7" t="s">
        <v>28</v>
      </c>
      <c r="F8359" s="8" t="str">
        <f ca="1">IFERROR(__xludf.DUMMYFUNCTION("IF
(
C8360=""фізична особа""
,
VLOOKUP(D8360,IMPORTRANGE(""https://docs.google.com/spreadsheets/d/14Bd19lYaqBhU8_DElYkX7l4wRkHqqCUFNJY4AfY3kHU/edit?usp=sharing  #gid=0"",""фіз особи new!relations_name""),6,FALSE)
,
(IF
(
C8360=""юридична особа""
,
VLOOKUP"&amp;"(D8360,IMPORTRANGE(""https://docs.google.com/spreadsheets/d/14Bd19lYaqBhU8_DElYkX7l4wRkHqqCUFNJY4AfY3kHU/edit?usp=sharing  #gid=0"",""фіз особи new!relations_name_uo""),7,FALSE)
,
)
))"),"ГАНЗЕН Євгеній Валерійович")</f>
        <v>ГАНЗЕН Євгеній Валерійович</v>
      </c>
      <c r="G8359" s="7" t="s">
        <v>10</v>
      </c>
      <c r="H8359" s="7">
        <v>22397</v>
      </c>
      <c r="I8359" s="8" t="str">
        <f ca="1">IFERROR(__xludf.DUMMYFUNCTION("IF
(
G8360=""фізична особа""
,
VLOOKUP(H8360,IMPORTRANGE(""https://docs.google.com/spreadsheets/d/14Bd19lYaqBhU8_DElYkX7l4wRkHqqCUFNJY4AfY3kHU/edit?usp=sharing  #gid=0"",""фіз особи new!relations_name""),6,FALSE)
,
(IF
(
G8360=""юридична особа""
,
VLOOKUP"&amp;"(H8360,IMPORTRANGE(""https://docs.google.com/spreadsheets/d/14Bd19lYaqBhU8_DElYkX7l4wRkHqqCUFNJY4AfY3kHU/edit?usp=sharing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59" s="7" t="s">
        <v>29</v>
      </c>
    </row>
    <row r="8360" spans="1:10" ht="13.2">
      <c r="A8360" s="7">
        <v>8359</v>
      </c>
      <c r="B8360" s="7">
        <v>1</v>
      </c>
      <c r="C8360" s="7" t="s">
        <v>10</v>
      </c>
      <c r="D8360" s="7">
        <v>10302</v>
      </c>
      <c r="E8360" s="7" t="s">
        <v>28</v>
      </c>
      <c r="F8360" s="8" t="str">
        <f ca="1">IFERROR(__xludf.DUMMYFUNCTION("IF
(
C8361=""фізична особа""
,
VLOOKUP(D8361,IMPORTRANGE(""https://docs.google.com/spreadsheets/d/14Bd19lYaqBhU8_DElYkX7l4wRkHqqCUFNJY4AfY3kHU/edit?usp=sharing  #gid=0"",""фіз особи new!relations_name""),6,FALSE)
,
(IF
(
C8361=""юридична особа""
,
VLOOKUP"&amp;"(D8361,IMPORTRANGE(""https://docs.google.com/spreadsheets/d/14Bd19lYaqBhU8_DElYkX7l4wRkHqqCUFNJY4AfY3kHU/edit?usp=sharing  #gid=0"",""фіз особи new!relations_name_uo""),7,FALSE)
,
)
))"),"СЕРДІТОВ Іван Миколайович")</f>
        <v>СЕРДІТОВ Іван Миколайович</v>
      </c>
      <c r="G8360" s="7" t="s">
        <v>10</v>
      </c>
      <c r="H8360" s="7">
        <v>22397</v>
      </c>
      <c r="I8360" s="8" t="str">
        <f ca="1">IFERROR(__xludf.DUMMYFUNCTION("IF
(
G8361=""фізична особа""
,
VLOOKUP(H8361,IMPORTRANGE(""https://docs.google.com/spreadsheets/d/14Bd19lYaqBhU8_DElYkX7l4wRkHqqCUFNJY4AfY3kHU/edit?usp=sharing  #gid=0"",""фіз особи new!relations_name""),6,FALSE)
,
(IF
(
G8361=""юридична особа""
,
VLOOKUP"&amp;"(H8361,IMPORTRANGE(""https://docs.google.com/spreadsheets/d/14Bd19lYaqBhU8_DElYkX7l4wRkHqqCUFNJY4AfY3kHU/edit?usp=sharing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60" s="7" t="s">
        <v>29</v>
      </c>
    </row>
    <row r="8361" spans="1:10" ht="13.2">
      <c r="A8361" s="7">
        <v>8360</v>
      </c>
      <c r="B8361" s="7">
        <v>1</v>
      </c>
      <c r="C8361" s="7" t="s">
        <v>10</v>
      </c>
      <c r="D8361" s="7">
        <v>10302</v>
      </c>
      <c r="E8361" s="7" t="s">
        <v>12</v>
      </c>
      <c r="F8361" s="8" t="str">
        <f ca="1">IFERROR(__xludf.DUMMYFUNCTION("IF
(
C8362=""фізична особа""
,
VLOOKUP(D8362,IMPORTRANGE(""https://docs.google.com/spreadsheets/d/14Bd19lYaqBhU8_DElYkX7l4wRkHqqCUFNJY4AfY3kHU/edit?usp=sharing  #gid=0"",""фіз особи new!relations_name""),6,FALSE)
,
(IF
(
C8362=""юридична особа""
,
VLOOKUP"&amp;"(D8362,IMPORTRANGE(""https://docs.google.com/spreadsheets/d/14Bd19lYaqBhU8_DElYkX7l4wRkHqqCUFNJY4AfY3kHU/edit?usp=sharing  #gid=0"",""фіз особи new!relations_name_uo""),7,FALSE)
,
)
))"),"СЕРДІТОВ Іван Миколайович")</f>
        <v>СЕРДІТОВ Іван Миколайович</v>
      </c>
      <c r="G8361" s="7" t="s">
        <v>10</v>
      </c>
      <c r="H8361" s="7">
        <v>0</v>
      </c>
      <c r="I8361" s="8" t="str">
        <f ca="1">IFERROR(__xludf.DUMMYFUNCTION("IF
(
G8362=""фізична особа""
,
VLOOKUP(H8362,IMPORTRANGE(""https://docs.google.com/spreadsheets/d/14Bd19lYaqBhU8_DElYkX7l4wRkHqqCUFNJY4AfY3kHU/edit?usp=sharing  #gid=0"",""фіз особи new!relations_name""),6,FALSE)
,
(IF
(
G8362=""юридична особа""
,
VLOOKUP"&amp;"(H8362,IMPORTRANGE(""https://docs.google.com/spreadsheets/d/14Bd19lYaqBhU8_DElYkX7l4wRkHqqCUFNJY4AfY3kHU/edit?usp=sharing  #gid=0"",""фіз особи new!relations_name_uo""),7,FALSE)
,
)
))"),"#N/A")</f>
        <v>#N/A</v>
      </c>
      <c r="J8361" s="7" t="s">
        <v>17</v>
      </c>
    </row>
    <row r="8362" spans="1:10" ht="13.2">
      <c r="A8362" s="7">
        <v>8361</v>
      </c>
      <c r="B8362" s="7">
        <v>1</v>
      </c>
      <c r="C8362" s="7" t="s">
        <v>10</v>
      </c>
      <c r="D8362" s="7">
        <v>10303</v>
      </c>
      <c r="E8362" s="7" t="s">
        <v>28</v>
      </c>
      <c r="F8362" s="8" t="str">
        <f ca="1">IFERROR(__xludf.DUMMYFUNCTION("IF
(
C8363=""фізична особа""
,
VLOOKUP(D8363,IMPORTRANGE(""https://docs.google.com/spreadsheets/d/14Bd19lYaqBhU8_DElYkX7l4wRkHqqCUFNJY4AfY3kHU/edit?usp=sharing  #gid=0"",""фіз особи new!relations_name""),6,FALSE)
,
(IF
(
C8363=""юридична особа""
,
VLOOKUP"&amp;"(D8363,IMPORTRANGE(""https://docs.google.com/spreadsheets/d/14Bd19lYaqBhU8_DElYkX7l4wRkHqqCUFNJY4AfY3kHU/edit?usp=sharing  #gid=0"",""фіз особи new!relations_name_uo""),7,FALSE)
,
)
))"),"КУЛІНІЧЕВ Юрій Петрович")</f>
        <v>КУЛІНІЧЕВ Юрій Петрович</v>
      </c>
      <c r="G8362" s="7" t="s">
        <v>10</v>
      </c>
      <c r="H8362" s="7">
        <v>3036</v>
      </c>
      <c r="I8362" s="8" t="str">
        <f ca="1">IFERROR(__xludf.DUMMYFUNCTION("IF
(
G8363=""фізична особа""
,
VLOOKUP(H8363,IMPORTRANGE(""https://docs.google.com/spreadsheets/d/14Bd19lYaqBhU8_DElYkX7l4wRkHqqCUFNJY4AfY3kHU/edit?usp=sharing  #gid=0"",""фіз особи new!relations_name""),6,FALSE)
,
(IF
(
G8363=""юридична особа""
,
VLOOKUP"&amp;"(H8363,IMPORTRANGE(""https://docs.google.com/spreadsheets/d/14Bd19lYaqBhU8_DElYkX7l4wRkHqqCUFNJY4AfY3kHU/edit?usp=sharing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2" s="7" t="s">
        <v>29</v>
      </c>
    </row>
    <row r="8363" spans="1:10" ht="13.2">
      <c r="A8363" s="7">
        <v>8362</v>
      </c>
      <c r="B8363" s="7">
        <v>1</v>
      </c>
      <c r="C8363" s="7" t="s">
        <v>10</v>
      </c>
      <c r="D8363" s="7">
        <v>10304</v>
      </c>
      <c r="E8363" s="7" t="s">
        <v>28</v>
      </c>
      <c r="F8363" s="8" t="str">
        <f ca="1">IFERROR(__xludf.DUMMYFUNCTION("IF
(
C8364=""фізична особа""
,
VLOOKUP(D8364,IMPORTRANGE(""https://docs.google.com/spreadsheets/d/14Bd19lYaqBhU8_DElYkX7l4wRkHqqCUFNJY4AfY3kHU/edit?usp=sharing  #gid=0"",""фіз особи new!relations_name""),6,FALSE)
,
(IF
(
C8364=""юридична особа""
,
VLOOKUP"&amp;"(D8364,IMPORTRANGE(""https://docs.google.com/spreadsheets/d/14Bd19lYaqBhU8_DElYkX7l4wRkHqqCUFNJY4AfY3kHU/edit?usp=sharing  #gid=0"",""фіз особи new!relations_name_uo""),7,FALSE)
,
)
))"),"МАСЛОВ Дмитро Валерійович")</f>
        <v>МАСЛОВ Дмитро Валерійович</v>
      </c>
      <c r="G8363" s="7" t="s">
        <v>10</v>
      </c>
      <c r="H8363" s="7">
        <v>3036</v>
      </c>
      <c r="I8363" s="8" t="str">
        <f ca="1">IFERROR(__xludf.DUMMYFUNCTION("IF
(
G8364=""фізична особа""
,
VLOOKUP(H8364,IMPORTRANGE(""https://docs.google.com/spreadsheets/d/14Bd19lYaqBhU8_DElYkX7l4wRkHqqCUFNJY4AfY3kHU/edit?usp=sharing  #gid=0"",""фіз особи new!relations_name""),6,FALSE)
,
(IF
(
G8364=""юридична особа""
,
VLOOKUP"&amp;"(H8364,IMPORTRANGE(""https://docs.google.com/spreadsheets/d/14Bd19lYaqBhU8_DElYkX7l4wRkHqqCUFNJY4AfY3kHU/edit?usp=sharing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3" s="7" t="s">
        <v>29</v>
      </c>
    </row>
    <row r="8364" spans="1:10" ht="13.2">
      <c r="A8364" s="7">
        <v>8363</v>
      </c>
      <c r="B8364" s="7">
        <v>1</v>
      </c>
      <c r="C8364" s="7" t="s">
        <v>10</v>
      </c>
      <c r="D8364" s="7">
        <v>10305</v>
      </c>
      <c r="E8364" s="7" t="s">
        <v>28</v>
      </c>
      <c r="F8364" s="8" t="str">
        <f ca="1">IFERROR(__xludf.DUMMYFUNCTION("IF
(
C8365=""фізична особа""
,
VLOOKUP(D8365,IMPORTRANGE(""https://docs.google.com/spreadsheets/d/14Bd19lYaqBhU8_DElYkX7l4wRkHqqCUFNJY4AfY3kHU/edit?usp=sharing  #gid=0"",""фіз особи new!relations_name""),6,FALSE)
,
(IF
(
C8365=""юридична особа""
,
VLOOKUP"&amp;"(D8365,IMPORTRANGE(""https://docs.google.com/spreadsheets/d/14Bd19lYaqBhU8_DElYkX7l4wRkHqqCUFNJY4AfY3kHU/edit?usp=sharing  #gid=0"",""фіз особи new!relations_name_uo""),7,FALSE)
,
)
))"),"КАРПУСЬ Володимир Валерійович")</f>
        <v>КАРПУСЬ Володимир Валерійович</v>
      </c>
      <c r="G8364" s="7" t="s">
        <v>10</v>
      </c>
      <c r="H8364" s="7">
        <v>3036</v>
      </c>
      <c r="I8364" s="8" t="str">
        <f ca="1">IFERROR(__xludf.DUMMYFUNCTION("IF
(
G8365=""фізична особа""
,
VLOOKUP(H8365,IMPORTRANGE(""https://docs.google.com/spreadsheets/d/14Bd19lYaqBhU8_DElYkX7l4wRkHqqCUFNJY4AfY3kHU/edit?usp=sharing  #gid=0"",""фіз особи new!relations_name""),6,FALSE)
,
(IF
(
G8365=""юридична особа""
,
VLOOKUP"&amp;"(H8365,IMPORTRANGE(""https://docs.google.com/spreadsheets/d/14Bd19lYaqBhU8_DElYkX7l4wRkHqqCUFNJY4AfY3kHU/edit?usp=sharing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4" s="7" t="s">
        <v>29</v>
      </c>
    </row>
    <row r="8365" spans="1:10" ht="13.2">
      <c r="A8365" s="7">
        <v>8364</v>
      </c>
      <c r="B8365" s="7">
        <v>1</v>
      </c>
      <c r="C8365" s="7" t="s">
        <v>10</v>
      </c>
      <c r="D8365" s="7">
        <v>10306</v>
      </c>
      <c r="E8365" s="7" t="s">
        <v>28</v>
      </c>
      <c r="F8365" s="8" t="str">
        <f ca="1">IFERROR(__xludf.DUMMYFUNCTION("IF
(
C8366=""фізична особа""
,
VLOOKUP(D8366,IMPORTRANGE(""https://docs.google.com/spreadsheets/d/14Bd19lYaqBhU8_DElYkX7l4wRkHqqCUFNJY4AfY3kHU/edit?usp=sharing  #gid=0"",""фіз особи new!relations_name""),6,FALSE)
,
(IF
(
C8366=""юридична особа""
,
VLOOKUP"&amp;"(D8366,IMPORTRANGE(""https://docs.google.com/spreadsheets/d/14Bd19lYaqBhU8_DElYkX7l4wRkHqqCUFNJY4AfY3kHU/edit?usp=sharing  #gid=0"",""фіз особи new!relations_name_uo""),7,FALSE)
,
)
))"),"ЧЕРЬОМУШКІН Костянтин Михайлович")</f>
        <v>ЧЕРЬОМУШКІН Костянтин Михайлович</v>
      </c>
      <c r="G8365" s="7" t="s">
        <v>10</v>
      </c>
      <c r="H8365" s="7">
        <v>3036</v>
      </c>
      <c r="I8365" s="8" t="str">
        <f ca="1">IFERROR(__xludf.DUMMYFUNCTION("IF
(
G8366=""фізична особа""
,
VLOOKUP(H8366,IMPORTRANGE(""https://docs.google.com/spreadsheets/d/14Bd19lYaqBhU8_DElYkX7l4wRkHqqCUFNJY4AfY3kHU/edit?usp=sharing  #gid=0"",""фіз особи new!relations_name""),6,FALSE)
,
(IF
(
G8366=""юридична особа""
,
VLOOKUP"&amp;"(H8366,IMPORTRANGE(""https://docs.google.com/spreadsheets/d/14Bd19lYaqBhU8_DElYkX7l4wRkHqqCUFNJY4AfY3kHU/edit?usp=sharing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5" s="7" t="s">
        <v>29</v>
      </c>
    </row>
    <row r="8366" spans="1:10" ht="13.2">
      <c r="A8366" s="7">
        <v>8365</v>
      </c>
      <c r="B8366" s="7">
        <v>1</v>
      </c>
      <c r="C8366" s="7" t="s">
        <v>10</v>
      </c>
      <c r="D8366" s="7">
        <v>10307</v>
      </c>
      <c r="E8366" s="7" t="s">
        <v>28</v>
      </c>
      <c r="F8366" s="8" t="str">
        <f ca="1">IFERROR(__xludf.DUMMYFUNCTION("IF
(
C8367=""фізична особа""
,
VLOOKUP(D8367,IMPORTRANGE(""https://docs.google.com/spreadsheets/d/14Bd19lYaqBhU8_DElYkX7l4wRkHqqCUFNJY4AfY3kHU/edit?usp=sharing  #gid=0"",""фіз особи new!relations_name""),6,FALSE)
,
(IF
(
C8367=""юридична особа""
,
VLOOKUP"&amp;"(D8367,IMPORTRANGE(""https://docs.google.com/spreadsheets/d/14Bd19lYaqBhU8_DElYkX7l4wRkHqqCUFNJY4AfY3kHU/edit?usp=sharing  #gid=0"",""фіз особи new!relations_name_uo""),7,FALSE)
,
)
))"),"МУБАРАКШИН Азат Фарідович")</f>
        <v>МУБАРАКШИН Азат Фарідович</v>
      </c>
      <c r="G8366" s="7" t="s">
        <v>10</v>
      </c>
      <c r="H8366" s="7">
        <v>3036</v>
      </c>
      <c r="I8366" s="8" t="str">
        <f ca="1">IFERROR(__xludf.DUMMYFUNCTION("IF
(
G8367=""фізична особа""
,
VLOOKUP(H8367,IMPORTRANGE(""https://docs.google.com/spreadsheets/d/14Bd19lYaqBhU8_DElYkX7l4wRkHqqCUFNJY4AfY3kHU/edit?usp=sharing  #gid=0"",""фіз особи new!relations_name""),6,FALSE)
,
(IF
(
G8367=""юридична особа""
,
VLOOKUP"&amp;"(H8367,IMPORTRANGE(""https://docs.google.com/spreadsheets/d/14Bd19lYaqBhU8_DElYkX7l4wRkHqqCUFNJY4AfY3kHU/edit?usp=sharing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6" s="7" t="s">
        <v>29</v>
      </c>
    </row>
    <row r="8367" spans="1:10" ht="13.2">
      <c r="A8367" s="7">
        <v>8366</v>
      </c>
      <c r="B8367" s="7">
        <v>1</v>
      </c>
      <c r="C8367" s="7" t="s">
        <v>10</v>
      </c>
      <c r="D8367" s="7">
        <v>10308</v>
      </c>
      <c r="E8367" s="7" t="s">
        <v>28</v>
      </c>
      <c r="F8367" s="8" t="str">
        <f ca="1">IFERROR(__xludf.DUMMYFUNCTION("IF
(
C8368=""фізична особа""
,
VLOOKUP(D8368,IMPORTRANGE(""https://docs.google.com/spreadsheets/d/14Bd19lYaqBhU8_DElYkX7l4wRkHqqCUFNJY4AfY3kHU/edit?usp=sharing  #gid=0"",""фіз особи new!relations_name""),6,FALSE)
,
(IF
(
C8368=""юридична особа""
,
VLOOKUP"&amp;"(D8368,IMPORTRANGE(""https://docs.google.com/spreadsheets/d/14Bd19lYaqBhU8_DElYkX7l4wRkHqqCUFNJY4AfY3kHU/edit?usp=sharing  #gid=0"",""фіз особи new!relations_name_uo""),7,FALSE)
,
)
))"),"ПАНФІЛОВА Ірина Валеріївна")</f>
        <v>ПАНФІЛОВА Ірина Валеріївна</v>
      </c>
      <c r="G8367" s="7" t="s">
        <v>10</v>
      </c>
      <c r="H8367" s="7">
        <v>3036</v>
      </c>
      <c r="I8367" s="8" t="str">
        <f ca="1">IFERROR(__xludf.DUMMYFUNCTION("IF
(
G8368=""фізична особа""
,
VLOOKUP(H8368,IMPORTRANGE(""https://docs.google.com/spreadsheets/d/14Bd19lYaqBhU8_DElYkX7l4wRkHqqCUFNJY4AfY3kHU/edit?usp=sharing  #gid=0"",""фіз особи new!relations_name""),6,FALSE)
,
(IF
(
G8368=""юридична особа""
,
VLOOKUP"&amp;"(H8368,IMPORTRANGE(""https://docs.google.com/spreadsheets/d/14Bd19lYaqBhU8_DElYkX7l4wRkHqqCUFNJY4AfY3kHU/edit?usp=sharing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7" s="7" t="s">
        <v>29</v>
      </c>
    </row>
    <row r="8368" spans="1:10" ht="13.2">
      <c r="A8368" s="7">
        <v>8367</v>
      </c>
      <c r="B8368" s="7">
        <v>1</v>
      </c>
      <c r="C8368" s="7" t="s">
        <v>10</v>
      </c>
      <c r="D8368" s="7">
        <v>10309</v>
      </c>
      <c r="E8368" s="7" t="s">
        <v>28</v>
      </c>
      <c r="F8368" s="8" t="str">
        <f ca="1">IFERROR(__xludf.DUMMYFUNCTION("IF
(
C8369=""фізична особа""
,
VLOOKUP(D8369,IMPORTRANGE(""https://docs.google.com/spreadsheets/d/14Bd19lYaqBhU8_DElYkX7l4wRkHqqCUFNJY4AfY3kHU/edit?usp=sharing  #gid=0"",""фіз особи new!relations_name""),6,FALSE)
,
(IF
(
C8369=""юридична особа""
,
VLOOKUP"&amp;"(D8369,IMPORTRANGE(""https://docs.google.com/spreadsheets/d/14Bd19lYaqBhU8_DElYkX7l4wRkHqqCUFNJY4AfY3kHU/edit?usp=sharing  #gid=0"",""фіз особи new!relations_name_uo""),7,FALSE)
,
)
))"),"КОКУНОВ Ігор Борисович")</f>
        <v>КОКУНОВ Ігор Борисович</v>
      </c>
      <c r="G8368" s="7" t="s">
        <v>10</v>
      </c>
      <c r="H8368" s="7">
        <v>3036</v>
      </c>
      <c r="I8368" s="8" t="str">
        <f ca="1">IFERROR(__xludf.DUMMYFUNCTION("IF
(
G8369=""фізична особа""
,
VLOOKUP(H8369,IMPORTRANGE(""https://docs.google.com/spreadsheets/d/14Bd19lYaqBhU8_DElYkX7l4wRkHqqCUFNJY4AfY3kHU/edit?usp=sharing  #gid=0"",""фіз особи new!relations_name""),6,FALSE)
,
(IF
(
G8369=""юридична особа""
,
VLOOKUP"&amp;"(H8369,IMPORTRANGE(""https://docs.google.com/spreadsheets/d/14Bd19lYaqBhU8_DElYkX7l4wRkHqqCUFNJY4AfY3kHU/edit?usp=sharing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368" s="7" t="s">
        <v>29</v>
      </c>
    </row>
    <row r="8369" spans="1:10" ht="13.2">
      <c r="A8369" s="7">
        <v>8368</v>
      </c>
      <c r="B8369" s="7">
        <v>1</v>
      </c>
      <c r="C8369" s="7" t="s">
        <v>10</v>
      </c>
      <c r="D8369" s="7">
        <v>10310</v>
      </c>
      <c r="E8369" s="7" t="s">
        <v>28</v>
      </c>
      <c r="F8369" s="8" t="str">
        <f ca="1">IFERROR(__xludf.DUMMYFUNCTION("IF
(
C8370=""фізична особа""
,
VLOOKUP(D8370,IMPORTRANGE(""https://docs.google.com/spreadsheets/d/14Bd19lYaqBhU8_DElYkX7l4wRkHqqCUFNJY4AfY3kHU/edit?usp=sharing  #gid=0"",""фіз особи new!relations_name""),6,FALSE)
,
(IF
(
C8370=""юридична особа""
,
VLOOKUP"&amp;"(D8370,IMPORTRANGE(""https://docs.google.com/spreadsheets/d/14Bd19lYaqBhU8_DElYkX7l4wRkHqqCUFNJY4AfY3kHU/edit?usp=sharing  #gid=0"",""фіз особи new!relations_name_uo""),7,FALSE)
,
)
))"),"ТЮКОВ Анатолій Павлович")</f>
        <v>ТЮКОВ Анатолій Павлович</v>
      </c>
      <c r="G8369" s="7" t="s">
        <v>10</v>
      </c>
      <c r="H8369" s="7">
        <v>22397</v>
      </c>
      <c r="I8369" s="8" t="str">
        <f ca="1">IFERROR(__xludf.DUMMYFUNCTION("IF
(
G8370=""фізична особа""
,
VLOOKUP(H8370,IMPORTRANGE(""https://docs.google.com/spreadsheets/d/14Bd19lYaqBhU8_DElYkX7l4wRkHqqCUFNJY4AfY3kHU/edit?usp=sharing  #gid=0"",""фіз особи new!relations_name""),6,FALSE)
,
(IF
(
G8370=""юридична особа""
,
VLOOKUP"&amp;"(H8370,IMPORTRANGE(""https://docs.google.com/spreadsheets/d/14Bd19lYaqBhU8_DElYkX7l4wRkHqqCUFNJY4AfY3kHU/edit?usp=sharing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69" s="7" t="s">
        <v>29</v>
      </c>
    </row>
    <row r="8370" spans="1:10" ht="13.2">
      <c r="A8370" s="7">
        <v>8369</v>
      </c>
      <c r="B8370" s="7">
        <v>1</v>
      </c>
      <c r="C8370" s="7" t="s">
        <v>10</v>
      </c>
      <c r="D8370" s="7">
        <v>10311</v>
      </c>
      <c r="E8370" s="7" t="s">
        <v>28</v>
      </c>
      <c r="F8370" s="8" t="str">
        <f ca="1">IFERROR(__xludf.DUMMYFUNCTION("IF
(
C8371=""фізична особа""
,
VLOOKUP(D8371,IMPORTRANGE(""https://docs.google.com/spreadsheets/d/14Bd19lYaqBhU8_DElYkX7l4wRkHqqCUFNJY4AfY3kHU/edit?usp=sharing  #gid=0"",""фіз особи new!relations_name""),6,FALSE)
,
(IF
(
C8371=""юридична особа""
,
VLOOKUP"&amp;"(D8371,IMPORTRANGE(""https://docs.google.com/spreadsheets/d/14Bd19lYaqBhU8_DElYkX7l4wRkHqqCUFNJY4AfY3kHU/edit?usp=sharing  #gid=0"",""фіз особи new!relations_name_uo""),7,FALSE)
,
)
))"),"СЄРІКОВ Андрій Андрійович")</f>
        <v>СЄРІКОВ Андрій Андрійович</v>
      </c>
      <c r="G8370" s="7" t="s">
        <v>10</v>
      </c>
      <c r="H8370" s="7">
        <v>22397</v>
      </c>
      <c r="I8370" s="8" t="str">
        <f ca="1">IFERROR(__xludf.DUMMYFUNCTION("IF
(
G8371=""фізична особа""
,
VLOOKUP(H8371,IMPORTRANGE(""https://docs.google.com/spreadsheets/d/14Bd19lYaqBhU8_DElYkX7l4wRkHqqCUFNJY4AfY3kHU/edit?usp=sharing  #gid=0"",""фіз особи new!relations_name""),6,FALSE)
,
(IF
(
G8371=""юридична особа""
,
VLOOKUP"&amp;"(H8371,IMPORTRANGE(""https://docs.google.com/spreadsheets/d/14Bd19lYaqBhU8_DElYkX7l4wRkHqqCUFNJY4AfY3kHU/edit?usp=sharing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0" s="7" t="s">
        <v>29</v>
      </c>
    </row>
    <row r="8371" spans="1:10" ht="13.2">
      <c r="A8371" s="7">
        <v>8370</v>
      </c>
      <c r="B8371" s="7">
        <v>1</v>
      </c>
      <c r="C8371" s="7" t="s">
        <v>10</v>
      </c>
      <c r="D8371" s="7">
        <v>10312</v>
      </c>
      <c r="E8371" s="7" t="s">
        <v>28</v>
      </c>
      <c r="F8371" s="8" t="str">
        <f ca="1">IFERROR(__xludf.DUMMYFUNCTION("IF
(
C8372=""фізична особа""
,
VLOOKUP(D8372,IMPORTRANGE(""https://docs.google.com/spreadsheets/d/14Bd19lYaqBhU8_DElYkX7l4wRkHqqCUFNJY4AfY3kHU/edit?usp=sharing  #gid=0"",""фіз особи new!relations_name""),6,FALSE)
,
(IF
(
C8372=""юридична особа""
,
VLOOKUP"&amp;"(D8372,IMPORTRANGE(""https://docs.google.com/spreadsheets/d/14Bd19lYaqBhU8_DElYkX7l4wRkHqqCUFNJY4AfY3kHU/edit?usp=sharing  #gid=0"",""фіз особи new!relations_name_uo""),7,FALSE)
,
)
))"),"ГРІНЕВИЧ Сергій Леонідович")</f>
        <v>ГРІНЕВИЧ Сергій Леонідович</v>
      </c>
      <c r="G8371" s="7" t="s">
        <v>10</v>
      </c>
      <c r="H8371" s="7">
        <v>22397</v>
      </c>
      <c r="I8371" s="8" t="str">
        <f ca="1">IFERROR(__xludf.DUMMYFUNCTION("IF
(
G8372=""фізична особа""
,
VLOOKUP(H8372,IMPORTRANGE(""https://docs.google.com/spreadsheets/d/14Bd19lYaqBhU8_DElYkX7l4wRkHqqCUFNJY4AfY3kHU/edit?usp=sharing  #gid=0"",""фіз особи new!relations_name""),6,FALSE)
,
(IF
(
G8372=""юридична особа""
,
VLOOKUP"&amp;"(H8372,IMPORTRANGE(""https://docs.google.com/spreadsheets/d/14Bd19lYaqBhU8_DElYkX7l4wRkHqqCUFNJY4AfY3kHU/edit?usp=sharing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1" s="7" t="s">
        <v>29</v>
      </c>
    </row>
    <row r="8372" spans="1:10" ht="13.2">
      <c r="A8372" s="7">
        <v>8371</v>
      </c>
      <c r="B8372" s="7">
        <v>1</v>
      </c>
      <c r="C8372" s="7" t="s">
        <v>10</v>
      </c>
      <c r="D8372" s="7">
        <v>10313</v>
      </c>
      <c r="E8372" s="7" t="s">
        <v>28</v>
      </c>
      <c r="F8372" s="8" t="str">
        <f ca="1">IFERROR(__xludf.DUMMYFUNCTION("IF
(
C8373=""фізична особа""
,
VLOOKUP(D8373,IMPORTRANGE(""https://docs.google.com/spreadsheets/d/14Bd19lYaqBhU8_DElYkX7l4wRkHqqCUFNJY4AfY3kHU/edit?usp=sharing  #gid=0"",""фіз особи new!relations_name""),6,FALSE)
,
(IF
(
C8373=""юридична особа""
,
VLOOKUP"&amp;"(D8373,IMPORTRANGE(""https://docs.google.com/spreadsheets/d/14Bd19lYaqBhU8_DElYkX7l4wRkHqqCUFNJY4AfY3kHU/edit?usp=sharing  #gid=0"",""фіз особи new!relations_name_uo""),7,FALSE)
,
)
))"),"КАРТИНКІН Антон Олександрович")</f>
        <v>КАРТИНКІН Антон Олександрович</v>
      </c>
      <c r="G8372" s="7" t="s">
        <v>10</v>
      </c>
      <c r="H8372" s="7">
        <v>22397</v>
      </c>
      <c r="I8372" s="8" t="str">
        <f ca="1">IFERROR(__xludf.DUMMYFUNCTION("IF
(
G8373=""фізична особа""
,
VLOOKUP(H8373,IMPORTRANGE(""https://docs.google.com/spreadsheets/d/14Bd19lYaqBhU8_DElYkX7l4wRkHqqCUFNJY4AfY3kHU/edit?usp=sharing  #gid=0"",""фіз особи new!relations_name""),6,FALSE)
,
(IF
(
G8373=""юридична особа""
,
VLOOKUP"&amp;"(H8373,IMPORTRANGE(""https://docs.google.com/spreadsheets/d/14Bd19lYaqBhU8_DElYkX7l4wRkHqqCUFNJY4AfY3kHU/edit?usp=sharing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2" s="7" t="s">
        <v>29</v>
      </c>
    </row>
    <row r="8373" spans="1:10" ht="13.2">
      <c r="A8373" s="7">
        <v>8372</v>
      </c>
      <c r="B8373" s="7">
        <v>1</v>
      </c>
      <c r="C8373" s="7" t="s">
        <v>10</v>
      </c>
      <c r="D8373" s="7">
        <v>10314</v>
      </c>
      <c r="E8373" s="7" t="s">
        <v>28</v>
      </c>
      <c r="F8373" s="8" t="str">
        <f ca="1">IFERROR(__xludf.DUMMYFUNCTION("IF
(
C8374=""фізична особа""
,
VLOOKUP(D8374,IMPORTRANGE(""https://docs.google.com/spreadsheets/d/14Bd19lYaqBhU8_DElYkX7l4wRkHqqCUFNJY4AfY3kHU/edit?usp=sharing  #gid=0"",""фіз особи new!relations_name""),6,FALSE)
,
(IF
(
C8374=""юридична особа""
,
VLOOKUP"&amp;"(D8374,IMPORTRANGE(""https://docs.google.com/spreadsheets/d/14Bd19lYaqBhU8_DElYkX7l4wRkHqqCUFNJY4AfY3kHU/edit?usp=sharing  #gid=0"",""фіз особи new!relations_name_uo""),7,FALSE)
,
)
))"),"ЛУНЬКОВ Володимир Олексійович")</f>
        <v>ЛУНЬКОВ Володимир Олексійович</v>
      </c>
      <c r="G8373" s="7" t="s">
        <v>10</v>
      </c>
      <c r="H8373" s="7">
        <v>22397</v>
      </c>
      <c r="I8373" s="8" t="str">
        <f ca="1">IFERROR(__xludf.DUMMYFUNCTION("IF
(
G8374=""фізична особа""
,
VLOOKUP(H8374,IMPORTRANGE(""https://docs.google.com/spreadsheets/d/14Bd19lYaqBhU8_DElYkX7l4wRkHqqCUFNJY4AfY3kHU/edit?usp=sharing  #gid=0"",""фіз особи new!relations_name""),6,FALSE)
,
(IF
(
G8374=""юридична особа""
,
VLOOKUP"&amp;"(H8374,IMPORTRANGE(""https://docs.google.com/spreadsheets/d/14Bd19lYaqBhU8_DElYkX7l4wRkHqqCUFNJY4AfY3kHU/edit?usp=sharing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3" s="7" t="s">
        <v>29</v>
      </c>
    </row>
    <row r="8374" spans="1:10" ht="13.2">
      <c r="A8374" s="7">
        <v>8373</v>
      </c>
      <c r="B8374" s="7">
        <v>1</v>
      </c>
      <c r="C8374" s="7" t="s">
        <v>10</v>
      </c>
      <c r="D8374" s="7">
        <v>10315</v>
      </c>
      <c r="E8374" s="7" t="s">
        <v>28</v>
      </c>
      <c r="F8374" s="8" t="str">
        <f ca="1">IFERROR(__xludf.DUMMYFUNCTION("IF
(
C8375=""фізична особа""
,
VLOOKUP(D8375,IMPORTRANGE(""https://docs.google.com/spreadsheets/d/14Bd19lYaqBhU8_DElYkX7l4wRkHqqCUFNJY4AfY3kHU/edit?usp=sharing  #gid=0"",""фіз особи new!relations_name""),6,FALSE)
,
(IF
(
C8375=""юридична особа""
,
VLOOKUP"&amp;"(D8375,IMPORTRANGE(""https://docs.google.com/spreadsheets/d/14Bd19lYaqBhU8_DElYkX7l4wRkHqqCUFNJY4AfY3kHU/edit?usp=sharing  #gid=0"",""фіз особи new!relations_name_uo""),7,FALSE)
,
)
))"),"БУРСОВА Ольга Григорівна")</f>
        <v>БУРСОВА Ольга Григорівна</v>
      </c>
      <c r="G8374" s="7" t="s">
        <v>10</v>
      </c>
      <c r="H8374" s="7">
        <v>22397</v>
      </c>
      <c r="I8374" s="8" t="str">
        <f ca="1">IFERROR(__xludf.DUMMYFUNCTION("IF
(
G8375=""фізична особа""
,
VLOOKUP(H8375,IMPORTRANGE(""https://docs.google.com/spreadsheets/d/14Bd19lYaqBhU8_DElYkX7l4wRkHqqCUFNJY4AfY3kHU/edit?usp=sharing  #gid=0"",""фіз особи new!relations_name""),6,FALSE)
,
(IF
(
G8375=""юридична особа""
,
VLOOKUP"&amp;"(H8375,IMPORTRANGE(""https://docs.google.com/spreadsheets/d/14Bd19lYaqBhU8_DElYkX7l4wRkHqqCUFNJY4AfY3kHU/edit?usp=sharing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4" s="7" t="s">
        <v>29</v>
      </c>
    </row>
    <row r="8375" spans="1:10" ht="13.2">
      <c r="A8375" s="7">
        <v>8374</v>
      </c>
      <c r="B8375" s="7">
        <v>1</v>
      </c>
      <c r="C8375" s="7" t="s">
        <v>10</v>
      </c>
      <c r="D8375" s="7">
        <v>10316</v>
      </c>
      <c r="E8375" s="7" t="s">
        <v>28</v>
      </c>
      <c r="F8375" s="8" t="str">
        <f ca="1">IFERROR(__xludf.DUMMYFUNCTION("IF
(
C8376=""фізична особа""
,
VLOOKUP(D8376,IMPORTRANGE(""https://docs.google.com/spreadsheets/d/14Bd19lYaqBhU8_DElYkX7l4wRkHqqCUFNJY4AfY3kHU/edit?usp=sharing  #gid=0"",""фіз особи new!relations_name""),6,FALSE)
,
(IF
(
C8376=""юридична особа""
,
VLOOKUP"&amp;"(D8376,IMPORTRANGE(""https://docs.google.com/spreadsheets/d/14Bd19lYaqBhU8_DElYkX7l4wRkHqqCUFNJY4AfY3kHU/edit?usp=sharing  #gid=0"",""фіз особи new!relations_name_uo""),7,FALSE)
,
)
))"),"СУХОРУКОВА Олена Юріївна")</f>
        <v>СУХОРУКОВА Олена Юріївна</v>
      </c>
      <c r="G8375" s="7" t="s">
        <v>10</v>
      </c>
      <c r="H8375" s="7">
        <v>22397</v>
      </c>
      <c r="I8375" s="8" t="str">
        <f ca="1">IFERROR(__xludf.DUMMYFUNCTION("IF
(
G8376=""фізична особа""
,
VLOOKUP(H8376,IMPORTRANGE(""https://docs.google.com/spreadsheets/d/14Bd19lYaqBhU8_DElYkX7l4wRkHqqCUFNJY4AfY3kHU/edit?usp=sharing  #gid=0"",""фіз особи new!relations_name""),6,FALSE)
,
(IF
(
G8376=""юридична особа""
,
VLOOKUP"&amp;"(H8376,IMPORTRANGE(""https://docs.google.com/spreadsheets/d/14Bd19lYaqBhU8_DElYkX7l4wRkHqqCUFNJY4AfY3kHU/edit?usp=sharing  #gid=0"",""фіз особи new!relations_name_uo""),7,FALSE)
,
)
))"),"КОЛПАКОВ Олександр Сергійович")</f>
        <v>КОЛПАКОВ Олександр Сергійович</v>
      </c>
      <c r="J8375" s="7" t="s">
        <v>29</v>
      </c>
    </row>
    <row r="8376" spans="1:10" ht="13.2">
      <c r="A8376" s="7">
        <v>8375</v>
      </c>
      <c r="B8376" s="7">
        <v>1</v>
      </c>
      <c r="C8376" s="7" t="s">
        <v>10</v>
      </c>
      <c r="D8376" s="7">
        <v>10317</v>
      </c>
      <c r="E8376" s="7" t="s">
        <v>28</v>
      </c>
      <c r="F8376" s="8" t="str">
        <f ca="1">IFERROR(__xludf.DUMMYFUNCTION("IF
(
C8377=""фізична особа""
,
VLOOKUP(D8377,IMPORTRANGE(""https://docs.google.com/spreadsheets/d/14Bd19lYaqBhU8_DElYkX7l4wRkHqqCUFNJY4AfY3kHU/edit?usp=sharing  #gid=0"",""фіз особи new!relations_name""),6,FALSE)
,
(IF
(
C8377=""юридична особа""
,
VLOOKUP"&amp;"(D8377,IMPORTRANGE(""https://docs.google.com/spreadsheets/d/14Bd19lYaqBhU8_DElYkX7l4wRkHqqCUFNJY4AfY3kHU/edit?usp=sharing  #gid=0"",""фіз особи new!relations_name_uo""),7,FALSE)
,
)
))"),"МЕДВЕДЬ Андрій Володимирович")</f>
        <v>МЕДВЕДЬ Андрій Володимирович</v>
      </c>
      <c r="G8376" s="7" t="s">
        <v>10</v>
      </c>
      <c r="H8376" s="7">
        <v>3162</v>
      </c>
      <c r="I8376" s="8" t="str">
        <f ca="1">IFERROR(__xludf.DUMMYFUNCTION("IF
(
G8377=""фізична особа""
,
VLOOKUP(H8377,IMPORTRANGE(""https://docs.google.com/spreadsheets/d/14Bd19lYaqBhU8_DElYkX7l4wRkHqqCUFNJY4AfY3kHU/edit?usp=sharing  #gid=0"",""фіз особи new!relations_name""),6,FALSE)
,
(IF
(
G8377=""юридична особа""
,
VLOOKUP"&amp;"(H8377,IMPORTRANGE(""https://docs.google.com/spreadsheets/d/14Bd19lYaqBhU8_DElYkX7l4wRkHqqCUFNJY4AfY3kHU/edit?usp=sharing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76" s="7" t="s">
        <v>29</v>
      </c>
    </row>
    <row r="8377" spans="1:10" ht="13.2">
      <c r="A8377" s="7">
        <v>8376</v>
      </c>
      <c r="B8377" s="7">
        <v>1</v>
      </c>
      <c r="C8377" s="7" t="s">
        <v>10</v>
      </c>
      <c r="D8377" s="7">
        <v>10318</v>
      </c>
      <c r="E8377" s="7" t="s">
        <v>28</v>
      </c>
      <c r="F8377" s="8" t="str">
        <f ca="1">IFERROR(__xludf.DUMMYFUNCTION("IF
(
C8378=""фізична особа""
,
VLOOKUP(D8378,IMPORTRANGE(""https://docs.google.com/spreadsheets/d/14Bd19lYaqBhU8_DElYkX7l4wRkHqqCUFNJY4AfY3kHU/edit?usp=sharing  #gid=0"",""фіз особи new!relations_name""),6,FALSE)
,
(IF
(
C8378=""юридична особа""
,
VLOOKUP"&amp;"(D8378,IMPORTRANGE(""https://docs.google.com/spreadsheets/d/14Bd19lYaqBhU8_DElYkX7l4wRkHqqCUFNJY4AfY3kHU/edit?usp=sharing  #gid=0"",""фіз особи new!relations_name_uo""),7,FALSE)
,
)
))"),"ЛЕБЕДЄВА Любов Вікторівна")</f>
        <v>ЛЕБЕДЄВА Любов Вікторівна</v>
      </c>
      <c r="G8377" s="7" t="s">
        <v>10</v>
      </c>
      <c r="H8377" s="7">
        <v>3162</v>
      </c>
      <c r="I8377" s="8" t="str">
        <f ca="1">IFERROR(__xludf.DUMMYFUNCTION("IF
(
G8378=""фізична особа""
,
VLOOKUP(H8378,IMPORTRANGE(""https://docs.google.com/spreadsheets/d/14Bd19lYaqBhU8_DElYkX7l4wRkHqqCUFNJY4AfY3kHU/edit?usp=sharing  #gid=0"",""фіз особи new!relations_name""),6,FALSE)
,
(IF
(
G8378=""юридична особа""
,
VLOOKUP"&amp;"(H8378,IMPORTRANGE(""https://docs.google.com/spreadsheets/d/14Bd19lYaqBhU8_DElYkX7l4wRkHqqCUFNJY4AfY3kHU/edit?usp=sharing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77" s="7" t="s">
        <v>29</v>
      </c>
    </row>
    <row r="8378" spans="1:10" ht="13.2">
      <c r="A8378" s="7">
        <v>8377</v>
      </c>
      <c r="B8378" s="7">
        <v>1</v>
      </c>
      <c r="C8378" s="7" t="s">
        <v>10</v>
      </c>
      <c r="D8378" s="7">
        <v>10319</v>
      </c>
      <c r="E8378" s="7" t="s">
        <v>28</v>
      </c>
      <c r="F8378" s="8" t="str">
        <f ca="1">IFERROR(__xludf.DUMMYFUNCTION("IF
(
C8379=""фізична особа""
,
VLOOKUP(D8379,IMPORTRANGE(""https://docs.google.com/spreadsheets/d/14Bd19lYaqBhU8_DElYkX7l4wRkHqqCUFNJY4AfY3kHU/edit?usp=sharing  #gid=0"",""фіз особи new!relations_name""),6,FALSE)
,
(IF
(
C8379=""юридична особа""
,
VLOOKUP"&amp;"(D8379,IMPORTRANGE(""https://docs.google.com/spreadsheets/d/14Bd19lYaqBhU8_DElYkX7l4wRkHqqCUFNJY4AfY3kHU/edit?usp=sharing  #gid=0"",""фіз особи new!relations_name_uo""),7,FALSE)
,
)
))"),"ТАТАРІНЦЕВ Тимур Олексійович")</f>
        <v>ТАТАРІНЦЕВ Тимур Олексійович</v>
      </c>
      <c r="G8378" s="7" t="s">
        <v>10</v>
      </c>
      <c r="H8378" s="7">
        <v>3162</v>
      </c>
      <c r="I8378" s="8" t="str">
        <f ca="1">IFERROR(__xludf.DUMMYFUNCTION("IF
(
G8379=""фізична особа""
,
VLOOKUP(H8379,IMPORTRANGE(""https://docs.google.com/spreadsheets/d/14Bd19lYaqBhU8_DElYkX7l4wRkHqqCUFNJY4AfY3kHU/edit?usp=sharing  #gid=0"",""фіз особи new!relations_name""),6,FALSE)
,
(IF
(
G8379=""юридична особа""
,
VLOOKUP"&amp;"(H8379,IMPORTRANGE(""https://docs.google.com/spreadsheets/d/14Bd19lYaqBhU8_DElYkX7l4wRkHqqCUFNJY4AfY3kHU/edit?usp=sharing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78" s="7" t="s">
        <v>29</v>
      </c>
    </row>
    <row r="8379" spans="1:10" ht="13.2">
      <c r="A8379" s="7">
        <v>8378</v>
      </c>
      <c r="B8379" s="7">
        <v>1</v>
      </c>
      <c r="C8379" s="7" t="s">
        <v>10</v>
      </c>
      <c r="D8379" s="7">
        <v>10320</v>
      </c>
      <c r="E8379" s="7" t="s">
        <v>28</v>
      </c>
      <c r="F8379" s="8" t="str">
        <f ca="1">IFERROR(__xludf.DUMMYFUNCTION("IF
(
C8380=""фізична особа""
,
VLOOKUP(D8380,IMPORTRANGE(""https://docs.google.com/spreadsheets/d/14Bd19lYaqBhU8_DElYkX7l4wRkHqqCUFNJY4AfY3kHU/edit?usp=sharing  #gid=0"",""фіз особи new!relations_name""),6,FALSE)
,
(IF
(
C8380=""юридична особа""
,
VLOOKUP"&amp;"(D8380,IMPORTRANGE(""https://docs.google.com/spreadsheets/d/14Bd19lYaqBhU8_DElYkX7l4wRkHqqCUFNJY4AfY3kHU/edit?usp=sharing  #gid=0"",""фіз особи new!relations_name_uo""),7,FALSE)
,
)
))"),"ФОМІЧЕНКО Оксана Миколаївна")</f>
        <v>ФОМІЧЕНКО Оксана Миколаївна</v>
      </c>
      <c r="G8379" s="7" t="s">
        <v>10</v>
      </c>
      <c r="H8379" s="7">
        <v>3162</v>
      </c>
      <c r="I8379" s="8" t="str">
        <f ca="1">IFERROR(__xludf.DUMMYFUNCTION("IF
(
G8380=""фізична особа""
,
VLOOKUP(H8380,IMPORTRANGE(""https://docs.google.com/spreadsheets/d/14Bd19lYaqBhU8_DElYkX7l4wRkHqqCUFNJY4AfY3kHU/edit?usp=sharing  #gid=0"",""фіз особи new!relations_name""),6,FALSE)
,
(IF
(
G8380=""юридична особа""
,
VLOOKUP"&amp;"(H8380,IMPORTRANGE(""https://docs.google.com/spreadsheets/d/14Bd19lYaqBhU8_DElYkX7l4wRkHqqCUFNJY4AfY3kHU/edit?usp=sharing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79" s="7" t="s">
        <v>29</v>
      </c>
    </row>
    <row r="8380" spans="1:10" ht="13.2">
      <c r="A8380" s="7">
        <v>8379</v>
      </c>
      <c r="B8380" s="7">
        <v>1</v>
      </c>
      <c r="C8380" s="7" t="s">
        <v>10</v>
      </c>
      <c r="D8380" s="7">
        <v>10321</v>
      </c>
      <c r="E8380" s="7" t="s">
        <v>28</v>
      </c>
      <c r="F8380" s="8" t="str">
        <f ca="1">IFERROR(__xludf.DUMMYFUNCTION("IF
(
C8381=""фізична особа""
,
VLOOKUP(D8381,IMPORTRANGE(""https://docs.google.com/spreadsheets/d/14Bd19lYaqBhU8_DElYkX7l4wRkHqqCUFNJY4AfY3kHU/edit?usp=sharing  #gid=0"",""фіз особи new!relations_name""),6,FALSE)
,
(IF
(
C8381=""юридична особа""
,
VLOOKUP"&amp;"(D8381,IMPORTRANGE(""https://docs.google.com/spreadsheets/d/14Bd19lYaqBhU8_DElYkX7l4wRkHqqCUFNJY4AfY3kHU/edit?usp=sharing  #gid=0"",""фіз особи new!relations_name_uo""),7,FALSE)
,
)
))"),"ЧАЩИН Юрій Володимирович")</f>
        <v>ЧАЩИН Юрій Володимирович</v>
      </c>
      <c r="G8380" s="7" t="s">
        <v>10</v>
      </c>
      <c r="H8380" s="7">
        <v>3162</v>
      </c>
      <c r="I8380" s="8" t="str">
        <f ca="1">IFERROR(__xludf.DUMMYFUNCTION("IF
(
G8381=""фізична особа""
,
VLOOKUP(H8381,IMPORTRANGE(""https://docs.google.com/spreadsheets/d/14Bd19lYaqBhU8_DElYkX7l4wRkHqqCUFNJY4AfY3kHU/edit?usp=sharing  #gid=0"",""фіз особи new!relations_name""),6,FALSE)
,
(IF
(
G8381=""юридична особа""
,
VLOOKUP"&amp;"(H8381,IMPORTRANGE(""https://docs.google.com/spreadsheets/d/14Bd19lYaqBhU8_DElYkX7l4wRkHqqCUFNJY4AfY3kHU/edit?usp=sharing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80" s="7" t="s">
        <v>29</v>
      </c>
    </row>
    <row r="8381" spans="1:10" ht="13.2">
      <c r="A8381" s="7">
        <v>8380</v>
      </c>
      <c r="B8381" s="7">
        <v>1</v>
      </c>
      <c r="C8381" s="7" t="s">
        <v>10</v>
      </c>
      <c r="D8381" s="7">
        <v>10322</v>
      </c>
      <c r="E8381" s="7" t="s">
        <v>28</v>
      </c>
      <c r="F8381" s="8" t="str">
        <f ca="1">IFERROR(__xludf.DUMMYFUNCTION("IF
(
C8382=""фізична особа""
,
VLOOKUP(D8382,IMPORTRANGE(""https://docs.google.com/spreadsheets/d/14Bd19lYaqBhU8_DElYkX7l4wRkHqqCUFNJY4AfY3kHU/edit?usp=sharing  #gid=0"",""фіз особи new!relations_name""),6,FALSE)
,
(IF
(
C8382=""юридична особа""
,
VLOOKUP"&amp;"(D8382,IMPORTRANGE(""https://docs.google.com/spreadsheets/d/14Bd19lYaqBhU8_DElYkX7l4wRkHqqCUFNJY4AfY3kHU/edit?usp=sharing  #gid=0"",""фіз особи new!relations_name_uo""),7,FALSE)
,
)
))"),"РОМАНОВА Світлана Олексіївна")</f>
        <v>РОМАНОВА Світлана Олексіївна</v>
      </c>
      <c r="G8381" s="7" t="s">
        <v>10</v>
      </c>
      <c r="H8381" s="7">
        <v>3162</v>
      </c>
      <c r="I8381" s="8" t="str">
        <f ca="1">IFERROR(__xludf.DUMMYFUNCTION("IF
(
G8382=""фізична особа""
,
VLOOKUP(H8382,IMPORTRANGE(""https://docs.google.com/spreadsheets/d/14Bd19lYaqBhU8_DElYkX7l4wRkHqqCUFNJY4AfY3kHU/edit?usp=sharing  #gid=0"",""фіз особи new!relations_name""),6,FALSE)
,
(IF
(
G8382=""юридична особа""
,
VLOOKUP"&amp;"(H8382,IMPORTRANGE(""https://docs.google.com/spreadsheets/d/14Bd19lYaqBhU8_DElYkX7l4wRkHqqCUFNJY4AfY3kHU/edit?usp=sharing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81" s="7" t="s">
        <v>29</v>
      </c>
    </row>
    <row r="8382" spans="1:10" ht="13.2">
      <c r="A8382" s="7">
        <v>8381</v>
      </c>
      <c r="B8382" s="7">
        <v>1</v>
      </c>
      <c r="C8382" s="7" t="s">
        <v>10</v>
      </c>
      <c r="D8382" s="7">
        <v>10323</v>
      </c>
      <c r="E8382" s="7" t="s">
        <v>28</v>
      </c>
      <c r="F8382" s="8" t="str">
        <f ca="1">IFERROR(__xludf.DUMMYFUNCTION("IF
(
C8383=""фізична особа""
,
VLOOKUP(D8383,IMPORTRANGE(""https://docs.google.com/spreadsheets/d/14Bd19lYaqBhU8_DElYkX7l4wRkHqqCUFNJY4AfY3kHU/edit?usp=sharing  #gid=0"",""фіз особи new!relations_name""),6,FALSE)
,
(IF
(
C8383=""юридична особа""
,
VLOOKUP"&amp;"(D8383,IMPORTRANGE(""https://docs.google.com/spreadsheets/d/14Bd19lYaqBhU8_DElYkX7l4wRkHqqCUFNJY4AfY3kHU/edit?usp=sharing  #gid=0"",""фіз особи new!relations_name_uo""),7,FALSE)
,
)
))"),"БОРОВСЬКОЙ Юрій Миколайович")</f>
        <v>БОРОВСЬКОЙ Юрій Миколайович</v>
      </c>
      <c r="G8382" s="7" t="s">
        <v>10</v>
      </c>
      <c r="H8382" s="7">
        <v>3162</v>
      </c>
      <c r="I8382" s="8" t="str">
        <f ca="1">IFERROR(__xludf.DUMMYFUNCTION("IF
(
G8383=""фізична особа""
,
VLOOKUP(H8383,IMPORTRANGE(""https://docs.google.com/spreadsheets/d/14Bd19lYaqBhU8_DElYkX7l4wRkHqqCUFNJY4AfY3kHU/edit?usp=sharing  #gid=0"",""фіз особи new!relations_name""),6,FALSE)
,
(IF
(
G8383=""юридична особа""
,
VLOOKUP"&amp;"(H8383,IMPORTRANGE(""https://docs.google.com/spreadsheets/d/14Bd19lYaqBhU8_DElYkX7l4wRkHqqCUFNJY4AfY3kHU/edit?usp=sharing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82" s="7" t="s">
        <v>29</v>
      </c>
    </row>
    <row r="8383" spans="1:10" ht="13.2">
      <c r="A8383" s="7">
        <v>8382</v>
      </c>
      <c r="B8383" s="7">
        <v>1</v>
      </c>
      <c r="C8383" s="7" t="s">
        <v>10</v>
      </c>
      <c r="D8383" s="7">
        <v>10324</v>
      </c>
      <c r="E8383" s="7" t="s">
        <v>28</v>
      </c>
      <c r="F8383" s="8" t="str">
        <f ca="1">IFERROR(__xludf.DUMMYFUNCTION("IF
(
C8384=""фізична особа""
,
VLOOKUP(D8384,IMPORTRANGE(""https://docs.google.com/spreadsheets/d/14Bd19lYaqBhU8_DElYkX7l4wRkHqqCUFNJY4AfY3kHU/edit?usp=sharing  #gid=0"",""фіз особи new!relations_name""),6,FALSE)
,
(IF
(
C8384=""юридична особа""
,
VLOOKUP"&amp;"(D8384,IMPORTRANGE(""https://docs.google.com/spreadsheets/d/14Bd19lYaqBhU8_DElYkX7l4wRkHqqCUFNJY4AfY3kHU/edit?usp=sharing  #gid=0"",""фіз особи new!relations_name_uo""),7,FALSE)
,
)
))"),"ЛЕВІН Денис Володимирович")</f>
        <v>ЛЕВІН Денис Володимирович</v>
      </c>
      <c r="G8383" s="7" t="s">
        <v>10</v>
      </c>
      <c r="H8383" s="7">
        <v>3162</v>
      </c>
      <c r="I8383" s="8" t="str">
        <f ca="1">IFERROR(__xludf.DUMMYFUNCTION("IF
(
G8384=""фізична особа""
,
VLOOKUP(H8384,IMPORTRANGE(""https://docs.google.com/spreadsheets/d/14Bd19lYaqBhU8_DElYkX7l4wRkHqqCUFNJY4AfY3kHU/edit?usp=sharing  #gid=0"",""фіз особи new!relations_name""),6,FALSE)
,
(IF
(
G8384=""юридична особа""
,
VLOOKUP"&amp;"(H8384,IMPORTRANGE(""https://docs.google.com/spreadsheets/d/14Bd19lYaqBhU8_DElYkX7l4wRkHqqCUFNJY4AfY3kHU/edit?usp=sharing  #gid=0"",""фіз особи new!relations_name_uo""),7,FALSE)
,
)
))"),"АЛЬОШИН Ігор Олегович")</f>
        <v>АЛЬОШИН Ігор Олегович</v>
      </c>
      <c r="J8383" s="7" t="s">
        <v>29</v>
      </c>
    </row>
    <row r="8384" spans="1:10" ht="13.2">
      <c r="A8384" s="7">
        <v>8383</v>
      </c>
      <c r="B8384" s="7">
        <v>1</v>
      </c>
      <c r="C8384" s="7" t="s">
        <v>10</v>
      </c>
      <c r="D8384" s="7">
        <v>10325</v>
      </c>
      <c r="E8384" s="7" t="s">
        <v>28</v>
      </c>
      <c r="F8384" s="8" t="str">
        <f ca="1">IFERROR(__xludf.DUMMYFUNCTION("IF
(
C8385=""фізична особа""
,
VLOOKUP(D8385,IMPORTRANGE(""https://docs.google.com/spreadsheets/d/14Bd19lYaqBhU8_DElYkX7l4wRkHqqCUFNJY4AfY3kHU/edit?usp=sharing  #gid=0"",""фіз особи new!relations_name""),6,FALSE)
,
(IF
(
C8385=""юридична особа""
,
VLOOKUP"&amp;"(D8385,IMPORTRANGE(""https://docs.google.com/spreadsheets/d/14Bd19lYaqBhU8_DElYkX7l4wRkHqqCUFNJY4AfY3kHU/edit?usp=sharing  #gid=0"",""фіз особи new!relations_name_uo""),7,FALSE)
,
)
))"),"ХОМЯКОВ Андрій Миколайович")</f>
        <v>ХОМЯКОВ Андрій Миколайович</v>
      </c>
      <c r="G8384" s="7" t="s">
        <v>10</v>
      </c>
      <c r="H8384" s="7">
        <v>3020</v>
      </c>
      <c r="I8384" s="8" t="str">
        <f ca="1">IFERROR(__xludf.DUMMYFUNCTION("IF
(
G8385=""фізична особа""
,
VLOOKUP(H8385,IMPORTRANGE(""https://docs.google.com/spreadsheets/d/14Bd19lYaqBhU8_DElYkX7l4wRkHqqCUFNJY4AfY3kHU/edit?usp=sharing  #gid=0"",""фіз особи new!relations_name""),6,FALSE)
,
(IF
(
G8385=""юридична особа""
,
VLOOKUP"&amp;"(H8385,IMPORTRANGE(""https://docs.google.com/spreadsheets/d/14Bd19lYaqBhU8_DElYkX7l4wRkHqqCUFNJY4AfY3kHU/edit?usp=sharing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4" s="7" t="s">
        <v>29</v>
      </c>
    </row>
    <row r="8385" spans="1:10" ht="13.2">
      <c r="A8385" s="7">
        <v>8384</v>
      </c>
      <c r="B8385" s="7">
        <v>1</v>
      </c>
      <c r="C8385" s="7" t="s">
        <v>10</v>
      </c>
      <c r="D8385" s="7">
        <v>10326</v>
      </c>
      <c r="E8385" s="7" t="s">
        <v>28</v>
      </c>
      <c r="F8385" s="8" t="str">
        <f ca="1">IFERROR(__xludf.DUMMYFUNCTION("IF
(
C8386=""фізична особа""
,
VLOOKUP(D8386,IMPORTRANGE(""https://docs.google.com/spreadsheets/d/14Bd19lYaqBhU8_DElYkX7l4wRkHqqCUFNJY4AfY3kHU/edit?usp=sharing  #gid=0"",""фіз особи new!relations_name""),6,FALSE)
,
(IF
(
C8386=""юридична особа""
,
VLOOKUP"&amp;"(D8386,IMPORTRANGE(""https://docs.google.com/spreadsheets/d/14Bd19lYaqBhU8_DElYkX7l4wRkHqqCUFNJY4AfY3kHU/edit?usp=sharing  #gid=0"",""фіз особи new!relations_name_uo""),7,FALSE)
,
)
))"),"НІКОНОВА Марина Леонідівна")</f>
        <v>НІКОНОВА Марина Леонідівна</v>
      </c>
      <c r="G8385" s="7" t="s">
        <v>10</v>
      </c>
      <c r="H8385" s="7">
        <v>3020</v>
      </c>
      <c r="I8385" s="8" t="str">
        <f ca="1">IFERROR(__xludf.DUMMYFUNCTION("IF
(
G8386=""фізична особа""
,
VLOOKUP(H8386,IMPORTRANGE(""https://docs.google.com/spreadsheets/d/14Bd19lYaqBhU8_DElYkX7l4wRkHqqCUFNJY4AfY3kHU/edit?usp=sharing  #gid=0"",""фіз особи new!relations_name""),6,FALSE)
,
(IF
(
G8386=""юридична особа""
,
VLOOKUP"&amp;"(H8386,IMPORTRANGE(""https://docs.google.com/spreadsheets/d/14Bd19lYaqBhU8_DElYkX7l4wRkHqqCUFNJY4AfY3kHU/edit?usp=sharing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5" s="7" t="s">
        <v>29</v>
      </c>
    </row>
    <row r="8386" spans="1:10" ht="13.2">
      <c r="A8386" s="7">
        <v>8385</v>
      </c>
      <c r="B8386" s="7">
        <v>1</v>
      </c>
      <c r="C8386" s="7" t="s">
        <v>10</v>
      </c>
      <c r="D8386" s="7">
        <v>10327</v>
      </c>
      <c r="E8386" s="7" t="s">
        <v>28</v>
      </c>
      <c r="F8386" s="8" t="str">
        <f ca="1">IFERROR(__xludf.DUMMYFUNCTION("IF
(
C8387=""фізична особа""
,
VLOOKUP(D8387,IMPORTRANGE(""https://docs.google.com/spreadsheets/d/14Bd19lYaqBhU8_DElYkX7l4wRkHqqCUFNJY4AfY3kHU/edit?usp=sharing  #gid=0"",""фіз особи new!relations_name""),6,FALSE)
,
(IF
(
C8387=""юридична особа""
,
VLOOKUP"&amp;"(D8387,IMPORTRANGE(""https://docs.google.com/spreadsheets/d/14Bd19lYaqBhU8_DElYkX7l4wRkHqqCUFNJY4AfY3kHU/edit?usp=sharing  #gid=0"",""фіз особи new!relations_name_uo""),7,FALSE)
,
)
))"),"КОЗЕЛ Павло Анатолійович")</f>
        <v>КОЗЕЛ Павло Анатолійович</v>
      </c>
      <c r="G8386" s="7" t="s">
        <v>10</v>
      </c>
      <c r="H8386" s="7">
        <v>3020</v>
      </c>
      <c r="I8386" s="8" t="str">
        <f ca="1">IFERROR(__xludf.DUMMYFUNCTION("IF
(
G8387=""фізична особа""
,
VLOOKUP(H8387,IMPORTRANGE(""https://docs.google.com/spreadsheets/d/14Bd19lYaqBhU8_DElYkX7l4wRkHqqCUFNJY4AfY3kHU/edit?usp=sharing  #gid=0"",""фіз особи new!relations_name""),6,FALSE)
,
(IF
(
G8387=""юридична особа""
,
VLOOKUP"&amp;"(H8387,IMPORTRANGE(""https://docs.google.com/spreadsheets/d/14Bd19lYaqBhU8_DElYkX7l4wRkHqqCUFNJY4AfY3kHU/edit?usp=sharing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6" s="7" t="s">
        <v>29</v>
      </c>
    </row>
    <row r="8387" spans="1:10" ht="13.2">
      <c r="A8387" s="7">
        <v>8386</v>
      </c>
      <c r="B8387" s="7">
        <v>1</v>
      </c>
      <c r="C8387" s="7" t="s">
        <v>10</v>
      </c>
      <c r="D8387" s="7">
        <v>10328</v>
      </c>
      <c r="E8387" s="7" t="s">
        <v>28</v>
      </c>
      <c r="F8387" s="8" t="str">
        <f ca="1">IFERROR(__xludf.DUMMYFUNCTION("IF
(
C8388=""фізична особа""
,
VLOOKUP(D8388,IMPORTRANGE(""https://docs.google.com/spreadsheets/d/14Bd19lYaqBhU8_DElYkX7l4wRkHqqCUFNJY4AfY3kHU/edit?usp=sharing  #gid=0"",""фіз особи new!relations_name""),6,FALSE)
,
(IF
(
C8388=""юридична особа""
,
VLOOKUP"&amp;"(D8388,IMPORTRANGE(""https://docs.google.com/spreadsheets/d/14Bd19lYaqBhU8_DElYkX7l4wRkHqqCUFNJY4AfY3kHU/edit?usp=sharing  #gid=0"",""фіз особи new!relations_name_uo""),7,FALSE)
,
)
))"),"ШАФІГУЛЛІН Ленар Нуруллович")</f>
        <v>ШАФІГУЛЛІН Ленар Нуруллович</v>
      </c>
      <c r="G8387" s="7" t="s">
        <v>10</v>
      </c>
      <c r="H8387" s="7">
        <v>3020</v>
      </c>
      <c r="I8387" s="8" t="str">
        <f ca="1">IFERROR(__xludf.DUMMYFUNCTION("IF
(
G8388=""фізична особа""
,
VLOOKUP(H8388,IMPORTRANGE(""https://docs.google.com/spreadsheets/d/14Bd19lYaqBhU8_DElYkX7l4wRkHqqCUFNJY4AfY3kHU/edit?usp=sharing  #gid=0"",""фіз особи new!relations_name""),6,FALSE)
,
(IF
(
G8388=""юридична особа""
,
VLOOKUP"&amp;"(H8388,IMPORTRANGE(""https://docs.google.com/spreadsheets/d/14Bd19lYaqBhU8_DElYkX7l4wRkHqqCUFNJY4AfY3kHU/edit?usp=sharing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7" s="7" t="s">
        <v>29</v>
      </c>
    </row>
    <row r="8388" spans="1:10" ht="13.2">
      <c r="A8388" s="7">
        <v>8387</v>
      </c>
      <c r="B8388" s="7">
        <v>1</v>
      </c>
      <c r="C8388" s="7" t="s">
        <v>10</v>
      </c>
      <c r="D8388" s="7">
        <v>10329</v>
      </c>
      <c r="E8388" s="7" t="s">
        <v>28</v>
      </c>
      <c r="F8388" s="8" t="str">
        <f ca="1">IFERROR(__xludf.DUMMYFUNCTION("IF
(
C8389=""фізична особа""
,
VLOOKUP(D8389,IMPORTRANGE(""https://docs.google.com/spreadsheets/d/14Bd19lYaqBhU8_DElYkX7l4wRkHqqCUFNJY4AfY3kHU/edit?usp=sharing  #gid=0"",""фіз особи new!relations_name""),6,FALSE)
,
(IF
(
C8389=""юридична особа""
,
VLOOKUP"&amp;"(D8389,IMPORTRANGE(""https://docs.google.com/spreadsheets/d/14Bd19lYaqBhU8_DElYkX7l4wRkHqqCUFNJY4AfY3kHU/edit?usp=sharing  #gid=0"",""фіз особи new!relations_name_uo""),7,FALSE)
,
)
))"),"ОКШИН Володимир Васильович")</f>
        <v>ОКШИН Володимир Васильович</v>
      </c>
      <c r="G8388" s="7" t="s">
        <v>10</v>
      </c>
      <c r="H8388" s="7">
        <v>3020</v>
      </c>
      <c r="I8388" s="8" t="str">
        <f ca="1">IFERROR(__xludf.DUMMYFUNCTION("IF
(
G8389=""фізична особа""
,
VLOOKUP(H8389,IMPORTRANGE(""https://docs.google.com/spreadsheets/d/14Bd19lYaqBhU8_DElYkX7l4wRkHqqCUFNJY4AfY3kHU/edit?usp=sharing  #gid=0"",""фіз особи new!relations_name""),6,FALSE)
,
(IF
(
G8389=""юридична особа""
,
VLOOKUP"&amp;"(H8389,IMPORTRANGE(""https://docs.google.com/spreadsheets/d/14Bd19lYaqBhU8_DElYkX7l4wRkHqqCUFNJY4AfY3kHU/edit?usp=sharing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8" s="7" t="s">
        <v>29</v>
      </c>
    </row>
    <row r="8389" spans="1:10" ht="13.2">
      <c r="A8389" s="7">
        <v>8388</v>
      </c>
      <c r="B8389" s="7">
        <v>1</v>
      </c>
      <c r="C8389" s="7" t="s">
        <v>10</v>
      </c>
      <c r="D8389" s="7">
        <v>10330</v>
      </c>
      <c r="E8389" s="7" t="s">
        <v>28</v>
      </c>
      <c r="F8389" s="8" t="str">
        <f ca="1">IFERROR(__xludf.DUMMYFUNCTION("IF
(
C8390=""фізична особа""
,
VLOOKUP(D8390,IMPORTRANGE(""https://docs.google.com/spreadsheets/d/14Bd19lYaqBhU8_DElYkX7l4wRkHqqCUFNJY4AfY3kHU/edit?usp=sharing  #gid=0"",""фіз особи new!relations_name""),6,FALSE)
,
(IF
(
C8390=""юридична особа""
,
VLOOKUP"&amp;"(D8390,IMPORTRANGE(""https://docs.google.com/spreadsheets/d/14Bd19lYaqBhU8_DElYkX7l4wRkHqqCUFNJY4AfY3kHU/edit?usp=sharing  #gid=0"",""фіз особи new!relations_name_uo""),7,FALSE)
,
)
))"),"ДЕМИДОВА Олена Миколаївна")</f>
        <v>ДЕМИДОВА Олена Миколаївна</v>
      </c>
      <c r="G8389" s="7" t="s">
        <v>10</v>
      </c>
      <c r="H8389" s="7">
        <v>3020</v>
      </c>
      <c r="I8389" s="8" t="str">
        <f ca="1">IFERROR(__xludf.DUMMYFUNCTION("IF
(
G8390=""фізична особа""
,
VLOOKUP(H8390,IMPORTRANGE(""https://docs.google.com/spreadsheets/d/14Bd19lYaqBhU8_DElYkX7l4wRkHqqCUFNJY4AfY3kHU/edit?usp=sharing  #gid=0"",""фіз особи new!relations_name""),6,FALSE)
,
(IF
(
G8390=""юридична особа""
,
VLOOKUP"&amp;"(H8390,IMPORTRANGE(""https://docs.google.com/spreadsheets/d/14Bd19lYaqBhU8_DElYkX7l4wRkHqqCUFNJY4AfY3kHU/edit?usp=sharing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89" s="7" t="s">
        <v>29</v>
      </c>
    </row>
    <row r="8390" spans="1:10" ht="13.2">
      <c r="A8390" s="7">
        <v>8389</v>
      </c>
      <c r="B8390" s="7">
        <v>1</v>
      </c>
      <c r="C8390" s="7" t="s">
        <v>10</v>
      </c>
      <c r="D8390" s="7">
        <v>10331</v>
      </c>
      <c r="E8390" s="7" t="s">
        <v>28</v>
      </c>
      <c r="F8390" s="8" t="str">
        <f ca="1">IFERROR(__xludf.DUMMYFUNCTION("IF
(
C8391=""фізична особа""
,
VLOOKUP(D8391,IMPORTRANGE(""https://docs.google.com/spreadsheets/d/14Bd19lYaqBhU8_DElYkX7l4wRkHqqCUFNJY4AfY3kHU/edit?usp=sharing  #gid=0"",""фіз особи new!relations_name""),6,FALSE)
,
(IF
(
C8391=""юридична особа""
,
VLOOKUP"&amp;"(D8391,IMPORTRANGE(""https://docs.google.com/spreadsheets/d/14Bd19lYaqBhU8_DElYkX7l4wRkHqqCUFNJY4AfY3kHU/edit?usp=sharing  #gid=0"",""фіз особи new!relations_name_uo""),7,FALSE)
,
)
))"),"ПЛАКСІН Олександр Володимирович")</f>
        <v>ПЛАКСІН Олександр Володимирович</v>
      </c>
      <c r="G8390" s="7" t="s">
        <v>10</v>
      </c>
      <c r="H8390" s="7">
        <v>3020</v>
      </c>
      <c r="I8390" s="8" t="str">
        <f ca="1">IFERROR(__xludf.DUMMYFUNCTION("IF
(
G8391=""фізична особа""
,
VLOOKUP(H8391,IMPORTRANGE(""https://docs.google.com/spreadsheets/d/14Bd19lYaqBhU8_DElYkX7l4wRkHqqCUFNJY4AfY3kHU/edit?usp=sharing  #gid=0"",""фіз особи new!relations_name""),6,FALSE)
,
(IF
(
G8391=""юридична особа""
,
VLOOKUP"&amp;"(H8391,IMPORTRANGE(""https://docs.google.com/spreadsheets/d/14Bd19lYaqBhU8_DElYkX7l4wRkHqqCUFNJY4AfY3kHU/edit?usp=sharing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0" s="7" t="s">
        <v>29</v>
      </c>
    </row>
    <row r="8391" spans="1:10" ht="13.2">
      <c r="A8391" s="7">
        <v>8390</v>
      </c>
      <c r="B8391" s="7">
        <v>1</v>
      </c>
      <c r="C8391" s="7" t="s">
        <v>10</v>
      </c>
      <c r="D8391" s="7">
        <v>10332</v>
      </c>
      <c r="E8391" s="7" t="s">
        <v>28</v>
      </c>
      <c r="F8391" s="8" t="str">
        <f ca="1">IFERROR(__xludf.DUMMYFUNCTION("IF
(
C8392=""фізична особа""
,
VLOOKUP(D8392,IMPORTRANGE(""https://docs.google.com/spreadsheets/d/14Bd19lYaqBhU8_DElYkX7l4wRkHqqCUFNJY4AfY3kHU/edit?usp=sharing  #gid=0"",""фіз особи new!relations_name""),6,FALSE)
,
(IF
(
C8392=""юридична особа""
,
VLOOKUP"&amp;"(D8392,IMPORTRANGE(""https://docs.google.com/spreadsheets/d/14Bd19lYaqBhU8_DElYkX7l4wRkHqqCUFNJY4AfY3kHU/edit?usp=sharing  #gid=0"",""фіз особи new!relations_name_uo""),7,FALSE)
,
)
))"),"ПАК Леонід Львович")</f>
        <v>ПАК Леонід Львович</v>
      </c>
      <c r="G8391" s="7" t="s">
        <v>10</v>
      </c>
      <c r="H8391" s="7">
        <v>3020</v>
      </c>
      <c r="I8391" s="8" t="str">
        <f ca="1">IFERROR(__xludf.DUMMYFUNCTION("IF
(
G8392=""фізична особа""
,
VLOOKUP(H8392,IMPORTRANGE(""https://docs.google.com/spreadsheets/d/14Bd19lYaqBhU8_DElYkX7l4wRkHqqCUFNJY4AfY3kHU/edit?usp=sharing  #gid=0"",""фіз особи new!relations_name""),6,FALSE)
,
(IF
(
G8392=""юридична особа""
,
VLOOKUP"&amp;"(H8392,IMPORTRANGE(""https://docs.google.com/spreadsheets/d/14Bd19lYaqBhU8_DElYkX7l4wRkHqqCUFNJY4AfY3kHU/edit?usp=sharing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1" s="7" t="s">
        <v>29</v>
      </c>
    </row>
    <row r="8392" spans="1:10" ht="13.2">
      <c r="A8392" s="7">
        <v>8391</v>
      </c>
      <c r="B8392" s="7">
        <v>1</v>
      </c>
      <c r="C8392" s="7" t="s">
        <v>10</v>
      </c>
      <c r="D8392" s="7">
        <v>10333</v>
      </c>
      <c r="E8392" s="7" t="s">
        <v>28</v>
      </c>
      <c r="F8392" s="8" t="str">
        <f ca="1">IFERROR(__xludf.DUMMYFUNCTION("IF
(
C8393=""фізична особа""
,
VLOOKUP(D8393,IMPORTRANGE(""https://docs.google.com/spreadsheets/d/14Bd19lYaqBhU8_DElYkX7l4wRkHqqCUFNJY4AfY3kHU/edit?usp=sharing  #gid=0"",""фіз особи new!relations_name""),6,FALSE)
,
(IF
(
C8393=""юридична особа""
,
VLOOKUP"&amp;"(D8393,IMPORTRANGE(""https://docs.google.com/spreadsheets/d/14Bd19lYaqBhU8_DElYkX7l4wRkHqqCUFNJY4AfY3kHU/edit?usp=sharing  #gid=0"",""фіз особи new!relations_name_uo""),7,FALSE)
,
)
))"),"РИСЄВА Олена Григорівна")</f>
        <v>РИСЄВА Олена Григорівна</v>
      </c>
      <c r="G8392" s="7" t="s">
        <v>10</v>
      </c>
      <c r="H8392" s="7">
        <v>3020</v>
      </c>
      <c r="I8392" s="8" t="str">
        <f ca="1">IFERROR(__xludf.DUMMYFUNCTION("IF
(
G8393=""фізична особа""
,
VLOOKUP(H8393,IMPORTRANGE(""https://docs.google.com/spreadsheets/d/14Bd19lYaqBhU8_DElYkX7l4wRkHqqCUFNJY4AfY3kHU/edit?usp=sharing  #gid=0"",""фіз особи new!relations_name""),6,FALSE)
,
(IF
(
G8393=""юридична особа""
,
VLOOKUP"&amp;"(H8393,IMPORTRANGE(""https://docs.google.com/spreadsheets/d/14Bd19lYaqBhU8_DElYkX7l4wRkHqqCUFNJY4AfY3kHU/edit?usp=sharing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2" s="7" t="s">
        <v>29</v>
      </c>
    </row>
    <row r="8393" spans="1:10" ht="13.2">
      <c r="A8393" s="7">
        <v>8392</v>
      </c>
      <c r="B8393" s="7">
        <v>1</v>
      </c>
      <c r="C8393" s="7" t="s">
        <v>10</v>
      </c>
      <c r="D8393" s="7">
        <v>10334</v>
      </c>
      <c r="E8393" s="7" t="s">
        <v>28</v>
      </c>
      <c r="F8393" s="8" t="str">
        <f ca="1">IFERROR(__xludf.DUMMYFUNCTION("IF
(
C8394=""фізична особа""
,
VLOOKUP(D8394,IMPORTRANGE(""https://docs.google.com/spreadsheets/d/14Bd19lYaqBhU8_DElYkX7l4wRkHqqCUFNJY4AfY3kHU/edit?usp=sharing  #gid=0"",""фіз особи new!relations_name""),6,FALSE)
,
(IF
(
C8394=""юридична особа""
,
VLOOKUP"&amp;"(D8394,IMPORTRANGE(""https://docs.google.com/spreadsheets/d/14Bd19lYaqBhU8_DElYkX7l4wRkHqqCUFNJY4AfY3kHU/edit?usp=sharing  #gid=0"",""фіз особи new!relations_name_uo""),7,FALSE)
,
)
))"),"ШАФІГУЛЛІН Айрат Радінович")</f>
        <v>ШАФІГУЛЛІН Айрат Радінович</v>
      </c>
      <c r="G8393" s="7" t="s">
        <v>10</v>
      </c>
      <c r="H8393" s="7">
        <v>3020</v>
      </c>
      <c r="I8393" s="8" t="str">
        <f ca="1">IFERROR(__xludf.DUMMYFUNCTION("IF
(
G8394=""фізична особа""
,
VLOOKUP(H8394,IMPORTRANGE(""https://docs.google.com/spreadsheets/d/14Bd19lYaqBhU8_DElYkX7l4wRkHqqCUFNJY4AfY3kHU/edit?usp=sharing  #gid=0"",""фіз особи new!relations_name""),6,FALSE)
,
(IF
(
G8394=""юридична особа""
,
VLOOKUP"&amp;"(H8394,IMPORTRANGE(""https://docs.google.com/spreadsheets/d/14Bd19lYaqBhU8_DElYkX7l4wRkHqqCUFNJY4AfY3kHU/edit?usp=sharing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3" s="7" t="s">
        <v>29</v>
      </c>
    </row>
    <row r="8394" spans="1:10" ht="13.2">
      <c r="A8394" s="7">
        <v>8393</v>
      </c>
      <c r="B8394" s="7">
        <v>1</v>
      </c>
      <c r="C8394" s="7" t="s">
        <v>10</v>
      </c>
      <c r="D8394" s="7">
        <v>10335</v>
      </c>
      <c r="E8394" s="7" t="s">
        <v>28</v>
      </c>
      <c r="F8394" s="8" t="str">
        <f ca="1">IFERROR(__xludf.DUMMYFUNCTION("IF
(
C8395=""фізична особа""
,
VLOOKUP(D8395,IMPORTRANGE(""https://docs.google.com/spreadsheets/d/14Bd19lYaqBhU8_DElYkX7l4wRkHqqCUFNJY4AfY3kHU/edit?usp=sharing  #gid=0"",""фіз особи new!relations_name""),6,FALSE)
,
(IF
(
C8395=""юридична особа""
,
VLOOKUP"&amp;"(D8395,IMPORTRANGE(""https://docs.google.com/spreadsheets/d/14Bd19lYaqBhU8_DElYkX7l4wRkHqqCUFNJY4AfY3kHU/edit?usp=sharing  #gid=0"",""фіз особи new!relations_name_uo""),7,FALSE)
,
)
))"),"КАПСУДІН Євгеній Володимирович")</f>
        <v>КАПСУДІН Євгеній Володимирович</v>
      </c>
      <c r="G8394" s="7" t="s">
        <v>10</v>
      </c>
      <c r="H8394" s="7">
        <v>3020</v>
      </c>
      <c r="I8394" s="8" t="str">
        <f ca="1">IFERROR(__xludf.DUMMYFUNCTION("IF
(
G8395=""фізична особа""
,
VLOOKUP(H8395,IMPORTRANGE(""https://docs.google.com/spreadsheets/d/14Bd19lYaqBhU8_DElYkX7l4wRkHqqCUFNJY4AfY3kHU/edit?usp=sharing  #gid=0"",""фіз особи new!relations_name""),6,FALSE)
,
(IF
(
G8395=""юридична особа""
,
VLOOKUP"&amp;"(H8395,IMPORTRANGE(""https://docs.google.com/spreadsheets/d/14Bd19lYaqBhU8_DElYkX7l4wRkHqqCUFNJY4AfY3kHU/edit?usp=sharing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4" s="7" t="s">
        <v>29</v>
      </c>
    </row>
    <row r="8395" spans="1:10" ht="13.2">
      <c r="A8395" s="7">
        <v>8394</v>
      </c>
      <c r="B8395" s="7">
        <v>1</v>
      </c>
      <c r="C8395" s="7" t="s">
        <v>10</v>
      </c>
      <c r="D8395" s="7">
        <v>10336</v>
      </c>
      <c r="E8395" s="7" t="s">
        <v>28</v>
      </c>
      <c r="F8395" s="8" t="str">
        <f ca="1">IFERROR(__xludf.DUMMYFUNCTION("IF
(
C8396=""фізична особа""
,
VLOOKUP(D8396,IMPORTRANGE(""https://docs.google.com/spreadsheets/d/14Bd19lYaqBhU8_DElYkX7l4wRkHqqCUFNJY4AfY3kHU/edit?usp=sharing  #gid=0"",""фіз особи new!relations_name""),6,FALSE)
,
(IF
(
C8396=""юридична особа""
,
VLOOKUP"&amp;"(D8396,IMPORTRANGE(""https://docs.google.com/spreadsheets/d/14Bd19lYaqBhU8_DElYkX7l4wRkHqqCUFNJY4AfY3kHU/edit?usp=sharing  #gid=0"",""фіз особи new!relations_name_uo""),7,FALSE)
,
)
))"),"СПІРЧАГОВ Геннадій Степанович")</f>
        <v>СПІРЧАГОВ Геннадій Степанович</v>
      </c>
      <c r="G8395" s="7" t="s">
        <v>10</v>
      </c>
      <c r="H8395" s="7">
        <v>3020</v>
      </c>
      <c r="I8395" s="8" t="str">
        <f ca="1">IFERROR(__xludf.DUMMYFUNCTION("IF
(
G8396=""фізична особа""
,
VLOOKUP(H8396,IMPORTRANGE(""https://docs.google.com/spreadsheets/d/14Bd19lYaqBhU8_DElYkX7l4wRkHqqCUFNJY4AfY3kHU/edit?usp=sharing  #gid=0"",""фіз особи new!relations_name""),6,FALSE)
,
(IF
(
G8396=""юридична особа""
,
VLOOKUP"&amp;"(H8396,IMPORTRANGE(""https://docs.google.com/spreadsheets/d/14Bd19lYaqBhU8_DElYkX7l4wRkHqqCUFNJY4AfY3kHU/edit?usp=sharing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5" s="7" t="s">
        <v>29</v>
      </c>
    </row>
    <row r="8396" spans="1:10" ht="13.2">
      <c r="A8396" s="7">
        <v>8395</v>
      </c>
      <c r="B8396" s="7">
        <v>1</v>
      </c>
      <c r="C8396" s="7" t="s">
        <v>10</v>
      </c>
      <c r="D8396" s="7">
        <v>10337</v>
      </c>
      <c r="E8396" s="7" t="s">
        <v>28</v>
      </c>
      <c r="F8396" s="8" t="str">
        <f ca="1">IFERROR(__xludf.DUMMYFUNCTION("IF
(
C8397=""фізична особа""
,
VLOOKUP(D8397,IMPORTRANGE(""https://docs.google.com/spreadsheets/d/14Bd19lYaqBhU8_DElYkX7l4wRkHqqCUFNJY4AfY3kHU/edit?usp=sharing  #gid=0"",""фіз особи new!relations_name""),6,FALSE)
,
(IF
(
C8397=""юридична особа""
,
VLOOKUP"&amp;"(D8397,IMPORTRANGE(""https://docs.google.com/spreadsheets/d/14Bd19lYaqBhU8_DElYkX7l4wRkHqqCUFNJY4AfY3kHU/edit?usp=sharing  #gid=0"",""фіз особи new!relations_name_uo""),7,FALSE)
,
)
))"),"КОТЄЄВ Валерій В'ячеславович")</f>
        <v>КОТЄЄВ Валерій В'ячеславович</v>
      </c>
      <c r="G8396" s="7" t="s">
        <v>10</v>
      </c>
      <c r="H8396" s="7">
        <v>3020</v>
      </c>
      <c r="I8396" s="8" t="str">
        <f ca="1">IFERROR(__xludf.DUMMYFUNCTION("IF
(
G8397=""фізична особа""
,
VLOOKUP(H8397,IMPORTRANGE(""https://docs.google.com/spreadsheets/d/14Bd19lYaqBhU8_DElYkX7l4wRkHqqCUFNJY4AfY3kHU/edit?usp=sharing  #gid=0"",""фіз особи new!relations_name""),6,FALSE)
,
(IF
(
G8397=""юридична особа""
,
VLOOKUP"&amp;"(H8397,IMPORTRANGE(""https://docs.google.com/spreadsheets/d/14Bd19lYaqBhU8_DElYkX7l4wRkHqqCUFNJY4AfY3kHU/edit?usp=sharing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6" s="7" t="s">
        <v>29</v>
      </c>
    </row>
    <row r="8397" spans="1:10" ht="13.2">
      <c r="A8397" s="7">
        <v>8396</v>
      </c>
      <c r="B8397" s="7">
        <v>1</v>
      </c>
      <c r="C8397" s="7" t="s">
        <v>10</v>
      </c>
      <c r="D8397" s="7">
        <v>10338</v>
      </c>
      <c r="E8397" s="7" t="s">
        <v>28</v>
      </c>
      <c r="F8397" s="8" t="str">
        <f ca="1">IFERROR(__xludf.DUMMYFUNCTION("IF
(
C8398=""фізична особа""
,
VLOOKUP(D8398,IMPORTRANGE(""https://docs.google.com/spreadsheets/d/14Bd19lYaqBhU8_DElYkX7l4wRkHqqCUFNJY4AfY3kHU/edit?usp=sharing  #gid=0"",""фіз особи new!relations_name""),6,FALSE)
,
(IF
(
C8398=""юридична особа""
,
VLOOKUP"&amp;"(D8398,IMPORTRANGE(""https://docs.google.com/spreadsheets/d/14Bd19lYaqBhU8_DElYkX7l4wRkHqqCUFNJY4AfY3kHU/edit?usp=sharing  #gid=0"",""фіз особи new!relations_name_uo""),7,FALSE)
,
)
))"),"ДЕГОДЬЄВ Олександр Сергійович")</f>
        <v>ДЕГОДЬЄВ Олександр Сергійович</v>
      </c>
      <c r="G8397" s="7" t="s">
        <v>10</v>
      </c>
      <c r="H8397" s="7">
        <v>3020</v>
      </c>
      <c r="I8397" s="8" t="str">
        <f ca="1">IFERROR(__xludf.DUMMYFUNCTION("IF
(
G8398=""фізична особа""
,
VLOOKUP(H8398,IMPORTRANGE(""https://docs.google.com/spreadsheets/d/14Bd19lYaqBhU8_DElYkX7l4wRkHqqCUFNJY4AfY3kHU/edit?usp=sharing  #gid=0"",""фіз особи new!relations_name""),6,FALSE)
,
(IF
(
G8398=""юридична особа""
,
VLOOKUP"&amp;"(H8398,IMPORTRANGE(""https://docs.google.com/spreadsheets/d/14Bd19lYaqBhU8_DElYkX7l4wRkHqqCUFNJY4AfY3kHU/edit?usp=sharing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7" s="7" t="s">
        <v>29</v>
      </c>
    </row>
    <row r="8398" spans="1:10" ht="13.2">
      <c r="A8398" s="7">
        <v>8397</v>
      </c>
      <c r="B8398" s="7">
        <v>1</v>
      </c>
      <c r="C8398" s="7" t="s">
        <v>10</v>
      </c>
      <c r="D8398" s="7">
        <v>10339</v>
      </c>
      <c r="E8398" s="7" t="s">
        <v>28</v>
      </c>
      <c r="F8398" s="8" t="str">
        <f ca="1">IFERROR(__xludf.DUMMYFUNCTION("IF
(
C8399=""фізична особа""
,
VLOOKUP(D8399,IMPORTRANGE(""https://docs.google.com/spreadsheets/d/14Bd19lYaqBhU8_DElYkX7l4wRkHqqCUFNJY4AfY3kHU/edit?usp=sharing  #gid=0"",""фіз особи new!relations_name""),6,FALSE)
,
(IF
(
C8399=""юридична особа""
,
VLOOKUP"&amp;"(D8399,IMPORTRANGE(""https://docs.google.com/spreadsheets/d/14Bd19lYaqBhU8_DElYkX7l4wRkHqqCUFNJY4AfY3kHU/edit?usp=sharing  #gid=0"",""фіз особи new!relations_name_uo""),7,FALSE)
,
)
))"),"ГРИБКО Віктор Анатолійович")</f>
        <v>ГРИБКО Віктор Анатолійович</v>
      </c>
      <c r="G8398" s="7" t="s">
        <v>10</v>
      </c>
      <c r="H8398" s="7">
        <v>3020</v>
      </c>
      <c r="I8398" s="8" t="str">
        <f ca="1">IFERROR(__xludf.DUMMYFUNCTION("IF
(
G8399=""фізична особа""
,
VLOOKUP(H8399,IMPORTRANGE(""https://docs.google.com/spreadsheets/d/14Bd19lYaqBhU8_DElYkX7l4wRkHqqCUFNJY4AfY3kHU/edit?usp=sharing  #gid=0"",""фіз особи new!relations_name""),6,FALSE)
,
(IF
(
G8399=""юридична особа""
,
VLOOKUP"&amp;"(H8399,IMPORTRANGE(""https://docs.google.com/spreadsheets/d/14Bd19lYaqBhU8_DElYkX7l4wRkHqqCUFNJY4AfY3kHU/edit?usp=sharing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8" s="7" t="s">
        <v>29</v>
      </c>
    </row>
    <row r="8399" spans="1:10" ht="13.2">
      <c r="A8399" s="7">
        <v>8398</v>
      </c>
      <c r="B8399" s="7">
        <v>1</v>
      </c>
      <c r="C8399" s="7" t="s">
        <v>10</v>
      </c>
      <c r="D8399" s="7">
        <v>10340</v>
      </c>
      <c r="E8399" s="7" t="s">
        <v>28</v>
      </c>
      <c r="F8399" s="8" t="str">
        <f ca="1">IFERROR(__xludf.DUMMYFUNCTION("IF
(
C8400=""фізична особа""
,
VLOOKUP(D8400,IMPORTRANGE(""https://docs.google.com/spreadsheets/d/14Bd19lYaqBhU8_DElYkX7l4wRkHqqCUFNJY4AfY3kHU/edit?usp=sharing  #gid=0"",""фіз особи new!relations_name""),6,FALSE)
,
(IF
(
C8400=""юридична особа""
,
VLOOKUP"&amp;"(D8400,IMPORTRANGE(""https://docs.google.com/spreadsheets/d/14Bd19lYaqBhU8_DElYkX7l4wRkHqqCUFNJY4AfY3kHU/edit?usp=sharing  #gid=0"",""фіз особи new!relations_name_uo""),7,FALSE)
,
)
))"),"ЛУНЬОВ Андрій Анатолійович")</f>
        <v>ЛУНЬОВ Андрій Анатолійович</v>
      </c>
      <c r="G8399" s="7" t="s">
        <v>10</v>
      </c>
      <c r="H8399" s="7">
        <v>3020</v>
      </c>
      <c r="I8399" s="8" t="str">
        <f ca="1">IFERROR(__xludf.DUMMYFUNCTION("IF
(
G8400=""фізична особа""
,
VLOOKUP(H8400,IMPORTRANGE(""https://docs.google.com/spreadsheets/d/14Bd19lYaqBhU8_DElYkX7l4wRkHqqCUFNJY4AfY3kHU/edit?usp=sharing  #gid=0"",""фіз особи new!relations_name""),6,FALSE)
,
(IF
(
G8400=""юридична особа""
,
VLOOKUP"&amp;"(H8400,IMPORTRANGE(""https://docs.google.com/spreadsheets/d/14Bd19lYaqBhU8_DElYkX7l4wRkHqqCUFNJY4AfY3kHU/edit?usp=sharing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399" s="7" t="s">
        <v>29</v>
      </c>
    </row>
    <row r="8400" spans="1:10" ht="13.2">
      <c r="A8400" s="7">
        <v>8399</v>
      </c>
      <c r="B8400" s="7">
        <v>1</v>
      </c>
      <c r="C8400" s="7" t="s">
        <v>10</v>
      </c>
      <c r="D8400" s="7">
        <v>10341</v>
      </c>
      <c r="E8400" s="7" t="s">
        <v>28</v>
      </c>
      <c r="F8400" s="8" t="str">
        <f ca="1">IFERROR(__xludf.DUMMYFUNCTION("IF
(
C8401=""фізична особа""
,
VLOOKUP(D8401,IMPORTRANGE(""https://docs.google.com/spreadsheets/d/14Bd19lYaqBhU8_DElYkX7l4wRkHqqCUFNJY4AfY3kHU/edit?usp=sharing  #gid=0"",""фіз особи new!relations_name""),6,FALSE)
,
(IF
(
C8401=""юридична особа""
,
VLOOKUP"&amp;"(D8401,IMPORTRANGE(""https://docs.google.com/spreadsheets/d/14Bd19lYaqBhU8_DElYkX7l4wRkHqqCUFNJY4AfY3kHU/edit?usp=sharing  #gid=0"",""фіз особи new!relations_name_uo""),7,FALSE)
,
)
))"),"ГОЙГОВ Микола Багаудінович")</f>
        <v>ГОЙГОВ Микола Багаудінович</v>
      </c>
      <c r="G8400" s="7" t="s">
        <v>10</v>
      </c>
      <c r="H8400" s="7">
        <v>3020</v>
      </c>
      <c r="I8400" s="8" t="str">
        <f ca="1">IFERROR(__xludf.DUMMYFUNCTION("IF
(
G8401=""фізична особа""
,
VLOOKUP(H8401,IMPORTRANGE(""https://docs.google.com/spreadsheets/d/14Bd19lYaqBhU8_DElYkX7l4wRkHqqCUFNJY4AfY3kHU/edit?usp=sharing  #gid=0"",""фіз особи new!relations_name""),6,FALSE)
,
(IF
(
G8401=""юридична особа""
,
VLOOKUP"&amp;"(H8401,IMPORTRANGE(""https://docs.google.com/spreadsheets/d/14Bd19lYaqBhU8_DElYkX7l4wRkHqqCUFNJY4AfY3kHU/edit?usp=sharing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0" s="7" t="s">
        <v>29</v>
      </c>
    </row>
    <row r="8401" spans="1:10" ht="13.2">
      <c r="A8401" s="7">
        <v>8400</v>
      </c>
      <c r="B8401" s="7">
        <v>1</v>
      </c>
      <c r="C8401" s="7" t="s">
        <v>10</v>
      </c>
      <c r="D8401" s="7">
        <v>10342</v>
      </c>
      <c r="E8401" s="7" t="s">
        <v>28</v>
      </c>
      <c r="F8401" s="8" t="str">
        <f ca="1">IFERROR(__xludf.DUMMYFUNCTION("IF
(
C8402=""фізична особа""
,
VLOOKUP(D8402,IMPORTRANGE(""https://docs.google.com/spreadsheets/d/14Bd19lYaqBhU8_DElYkX7l4wRkHqqCUFNJY4AfY3kHU/edit?usp=sharing  #gid=0"",""фіз особи new!relations_name""),6,FALSE)
,
(IF
(
C8402=""юридична особа""
,
VLOOKUP"&amp;"(D8402,IMPORTRANGE(""https://docs.google.com/spreadsheets/d/14Bd19lYaqBhU8_DElYkX7l4wRkHqqCUFNJY4AfY3kHU/edit?usp=sharing  #gid=0"",""фіз особи new!relations_name_uo""),7,FALSE)
,
)
))"),"РОМАНЕНКО Марина Анатоліївна")</f>
        <v>РОМАНЕНКО Марина Анатоліївна</v>
      </c>
      <c r="G8401" s="7" t="s">
        <v>10</v>
      </c>
      <c r="H8401" s="7">
        <v>3020</v>
      </c>
      <c r="I8401" s="8" t="str">
        <f ca="1">IFERROR(__xludf.DUMMYFUNCTION("IF
(
G8402=""фізична особа""
,
VLOOKUP(H8402,IMPORTRANGE(""https://docs.google.com/spreadsheets/d/14Bd19lYaqBhU8_DElYkX7l4wRkHqqCUFNJY4AfY3kHU/edit?usp=sharing  #gid=0"",""фіз особи new!relations_name""),6,FALSE)
,
(IF
(
G8402=""юридична особа""
,
VLOOKUP"&amp;"(H8402,IMPORTRANGE(""https://docs.google.com/spreadsheets/d/14Bd19lYaqBhU8_DElYkX7l4wRkHqqCUFNJY4AfY3kHU/edit?usp=sharing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1" s="7" t="s">
        <v>29</v>
      </c>
    </row>
    <row r="8402" spans="1:10" ht="13.2">
      <c r="A8402" s="7">
        <v>8401</v>
      </c>
      <c r="B8402" s="7">
        <v>1</v>
      </c>
      <c r="C8402" s="7" t="s">
        <v>10</v>
      </c>
      <c r="D8402" s="7">
        <v>10343</v>
      </c>
      <c r="E8402" s="7" t="s">
        <v>28</v>
      </c>
      <c r="F8402" s="8" t="str">
        <f ca="1">IFERROR(__xludf.DUMMYFUNCTION("IF
(
C8403=""фізична особа""
,
VLOOKUP(D8403,IMPORTRANGE(""https://docs.google.com/spreadsheets/d/14Bd19lYaqBhU8_DElYkX7l4wRkHqqCUFNJY4AfY3kHU/edit?usp=sharing  #gid=0"",""фіз особи new!relations_name""),6,FALSE)
,
(IF
(
C8403=""юридична особа""
,
VLOOKUP"&amp;"(D8403,IMPORTRANGE(""https://docs.google.com/spreadsheets/d/14Bd19lYaqBhU8_DElYkX7l4wRkHqqCUFNJY4AfY3kHU/edit?usp=sharing  #gid=0"",""фіз особи new!relations_name_uo""),7,FALSE)
,
)
))"),"ЄРЬКІНА Олена Петрівна")</f>
        <v>ЄРЬКІНА Олена Петрівна</v>
      </c>
      <c r="G8402" s="7" t="s">
        <v>10</v>
      </c>
      <c r="H8402" s="7">
        <v>3020</v>
      </c>
      <c r="I8402" s="8" t="str">
        <f ca="1">IFERROR(__xludf.DUMMYFUNCTION("IF
(
G8403=""фізична особа""
,
VLOOKUP(H8403,IMPORTRANGE(""https://docs.google.com/spreadsheets/d/14Bd19lYaqBhU8_DElYkX7l4wRkHqqCUFNJY4AfY3kHU/edit?usp=sharing  #gid=0"",""фіз особи new!relations_name""),6,FALSE)
,
(IF
(
G8403=""юридична особа""
,
VLOOKUP"&amp;"(H8403,IMPORTRANGE(""https://docs.google.com/spreadsheets/d/14Bd19lYaqBhU8_DElYkX7l4wRkHqqCUFNJY4AfY3kHU/edit?usp=sharing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2" s="7" t="s">
        <v>29</v>
      </c>
    </row>
    <row r="8403" spans="1:10" ht="13.2">
      <c r="A8403" s="7">
        <v>8402</v>
      </c>
      <c r="B8403" s="7">
        <v>1</v>
      </c>
      <c r="C8403" s="7" t="s">
        <v>10</v>
      </c>
      <c r="D8403" s="7">
        <v>10344</v>
      </c>
      <c r="E8403" s="7" t="s">
        <v>28</v>
      </c>
      <c r="F8403" s="8" t="str">
        <f ca="1">IFERROR(__xludf.DUMMYFUNCTION("IF
(
C8404=""фізична особа""
,
VLOOKUP(D8404,IMPORTRANGE(""https://docs.google.com/spreadsheets/d/14Bd19lYaqBhU8_DElYkX7l4wRkHqqCUFNJY4AfY3kHU/edit?usp=sharing  #gid=0"",""фіз особи new!relations_name""),6,FALSE)
,
(IF
(
C8404=""юридична особа""
,
VLOOKUP"&amp;"(D8404,IMPORTRANGE(""https://docs.google.com/spreadsheets/d/14Bd19lYaqBhU8_DElYkX7l4wRkHqqCUFNJY4AfY3kHU/edit?usp=sharing  #gid=0"",""фіз особи new!relations_name_uo""),7,FALSE)
,
)
))"),"СИЛІЧЕВ Максим Володимирович")</f>
        <v>СИЛІЧЕВ Максим Володимирович</v>
      </c>
      <c r="G8403" s="7" t="s">
        <v>10</v>
      </c>
      <c r="H8403" s="7">
        <v>3020</v>
      </c>
      <c r="I8403" s="8" t="str">
        <f ca="1">IFERROR(__xludf.DUMMYFUNCTION("IF
(
G8404=""фізична особа""
,
VLOOKUP(H8404,IMPORTRANGE(""https://docs.google.com/spreadsheets/d/14Bd19lYaqBhU8_DElYkX7l4wRkHqqCUFNJY4AfY3kHU/edit?usp=sharing  #gid=0"",""фіз особи new!relations_name""),6,FALSE)
,
(IF
(
G8404=""юридична особа""
,
VLOOKUP"&amp;"(H8404,IMPORTRANGE(""https://docs.google.com/spreadsheets/d/14Bd19lYaqBhU8_DElYkX7l4wRkHqqCUFNJY4AfY3kHU/edit?usp=sharing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3" s="7" t="s">
        <v>29</v>
      </c>
    </row>
    <row r="8404" spans="1:10" ht="13.2">
      <c r="A8404" s="7">
        <v>8403</v>
      </c>
      <c r="B8404" s="7">
        <v>1</v>
      </c>
      <c r="C8404" s="7" t="s">
        <v>10</v>
      </c>
      <c r="D8404" s="7">
        <v>10345</v>
      </c>
      <c r="E8404" s="7" t="s">
        <v>28</v>
      </c>
      <c r="F8404" s="8" t="str">
        <f ca="1">IFERROR(__xludf.DUMMYFUNCTION("IF
(
C8405=""фізична особа""
,
VLOOKUP(D8405,IMPORTRANGE(""https://docs.google.com/spreadsheets/d/14Bd19lYaqBhU8_DElYkX7l4wRkHqqCUFNJY4AfY3kHU/edit?usp=sharing  #gid=0"",""фіз особи new!relations_name""),6,FALSE)
,
(IF
(
C8405=""юридична особа""
,
VLOOKUP"&amp;"(D8405,IMPORTRANGE(""https://docs.google.com/spreadsheets/d/14Bd19lYaqBhU8_DElYkX7l4wRkHqqCUFNJY4AfY3kHU/edit?usp=sharing  #gid=0"",""фіз особи new!relations_name_uo""),7,FALSE)
,
)
))"),"ТЮТЯНІНА Тетяна Миколаївна")</f>
        <v>ТЮТЯНІНА Тетяна Миколаївна</v>
      </c>
      <c r="G8404" s="7" t="s">
        <v>10</v>
      </c>
      <c r="H8404" s="7">
        <v>3020</v>
      </c>
      <c r="I8404" s="8" t="str">
        <f ca="1">IFERROR(__xludf.DUMMYFUNCTION("IF
(
G8405=""фізична особа""
,
VLOOKUP(H8405,IMPORTRANGE(""https://docs.google.com/spreadsheets/d/14Bd19lYaqBhU8_DElYkX7l4wRkHqqCUFNJY4AfY3kHU/edit?usp=sharing  #gid=0"",""фіз особи new!relations_name""),6,FALSE)
,
(IF
(
G8405=""юридична особа""
,
VLOOKUP"&amp;"(H8405,IMPORTRANGE(""https://docs.google.com/spreadsheets/d/14Bd19lYaqBhU8_DElYkX7l4wRkHqqCUFNJY4AfY3kHU/edit?usp=sharing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4" s="7" t="s">
        <v>29</v>
      </c>
    </row>
    <row r="8405" spans="1:10" ht="13.2">
      <c r="A8405" s="7">
        <v>8404</v>
      </c>
      <c r="B8405" s="7">
        <v>1</v>
      </c>
      <c r="C8405" s="7" t="s">
        <v>10</v>
      </c>
      <c r="D8405" s="7">
        <v>10346</v>
      </c>
      <c r="E8405" s="7" t="s">
        <v>28</v>
      </c>
      <c r="F8405" s="8" t="str">
        <f ca="1">IFERROR(__xludf.DUMMYFUNCTION("IF
(
C8406=""фізична особа""
,
VLOOKUP(D8406,IMPORTRANGE(""https://docs.google.com/spreadsheets/d/14Bd19lYaqBhU8_DElYkX7l4wRkHqqCUFNJY4AfY3kHU/edit?usp=sharing  #gid=0"",""фіз особи new!relations_name""),6,FALSE)
,
(IF
(
C8406=""юридична особа""
,
VLOOKUP"&amp;"(D8406,IMPORTRANGE(""https://docs.google.com/spreadsheets/d/14Bd19lYaqBhU8_DElYkX7l4wRkHqqCUFNJY4AfY3kHU/edit?usp=sharing  #gid=0"",""фіз особи new!relations_name_uo""),7,FALSE)
,
)
))"),"ІГНАТЬЄВ Юрій Олексійович")</f>
        <v>ІГНАТЬЄВ Юрій Олексійович</v>
      </c>
      <c r="G8405" s="7" t="s">
        <v>10</v>
      </c>
      <c r="H8405" s="7">
        <v>3020</v>
      </c>
      <c r="I8405" s="8" t="str">
        <f ca="1">IFERROR(__xludf.DUMMYFUNCTION("IF
(
G8406=""фізична особа""
,
VLOOKUP(H8406,IMPORTRANGE(""https://docs.google.com/spreadsheets/d/14Bd19lYaqBhU8_DElYkX7l4wRkHqqCUFNJY4AfY3kHU/edit?usp=sharing  #gid=0"",""фіз особи new!relations_name""),6,FALSE)
,
(IF
(
G8406=""юридична особа""
,
VLOOKUP"&amp;"(H8406,IMPORTRANGE(""https://docs.google.com/spreadsheets/d/14Bd19lYaqBhU8_DElYkX7l4wRkHqqCUFNJY4AfY3kHU/edit?usp=sharing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5" s="7" t="s">
        <v>29</v>
      </c>
    </row>
    <row r="8406" spans="1:10" ht="13.2">
      <c r="A8406" s="7">
        <v>8405</v>
      </c>
      <c r="B8406" s="7">
        <v>1</v>
      </c>
      <c r="C8406" s="7" t="s">
        <v>10</v>
      </c>
      <c r="D8406" s="7">
        <v>10347</v>
      </c>
      <c r="E8406" s="7" t="s">
        <v>28</v>
      </c>
      <c r="F8406" s="8" t="str">
        <f ca="1">IFERROR(__xludf.DUMMYFUNCTION("IF
(
C8407=""фізична особа""
,
VLOOKUP(D8407,IMPORTRANGE(""https://docs.google.com/spreadsheets/d/14Bd19lYaqBhU8_DElYkX7l4wRkHqqCUFNJY4AfY3kHU/edit?usp=sharing  #gid=0"",""фіз особи new!relations_name""),6,FALSE)
,
(IF
(
C8407=""юридична особа""
,
VLOOKUP"&amp;"(D8407,IMPORTRANGE(""https://docs.google.com/spreadsheets/d/14Bd19lYaqBhU8_DElYkX7l4wRkHqqCUFNJY4AfY3kHU/edit?usp=sharing  #gid=0"",""фіз особи new!relations_name_uo""),7,FALSE)
,
)
))"),"ПОСПЄЛОВ Степан Степанович")</f>
        <v>ПОСПЄЛОВ Степан Степанович</v>
      </c>
      <c r="G8406" s="7" t="s">
        <v>10</v>
      </c>
      <c r="H8406" s="7">
        <v>3020</v>
      </c>
      <c r="I8406" s="8" t="str">
        <f ca="1">IFERROR(__xludf.DUMMYFUNCTION("IF
(
G8407=""фізична особа""
,
VLOOKUP(H8407,IMPORTRANGE(""https://docs.google.com/spreadsheets/d/14Bd19lYaqBhU8_DElYkX7l4wRkHqqCUFNJY4AfY3kHU/edit?usp=sharing  #gid=0"",""фіз особи new!relations_name""),6,FALSE)
,
(IF
(
G8407=""юридична особа""
,
VLOOKUP"&amp;"(H8407,IMPORTRANGE(""https://docs.google.com/spreadsheets/d/14Bd19lYaqBhU8_DElYkX7l4wRkHqqCUFNJY4AfY3kHU/edit?usp=sharing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6" s="7" t="s">
        <v>29</v>
      </c>
    </row>
    <row r="8407" spans="1:10" ht="13.2">
      <c r="A8407" s="7">
        <v>8406</v>
      </c>
      <c r="B8407" s="7">
        <v>1</v>
      </c>
      <c r="C8407" s="7" t="s">
        <v>10</v>
      </c>
      <c r="D8407" s="7">
        <v>10348</v>
      </c>
      <c r="E8407" s="7" t="s">
        <v>28</v>
      </c>
      <c r="F8407" s="8" t="str">
        <f ca="1">IFERROR(__xludf.DUMMYFUNCTION("IF
(
C8408=""фізична особа""
,
VLOOKUP(D8408,IMPORTRANGE(""https://docs.google.com/spreadsheets/d/14Bd19lYaqBhU8_DElYkX7l4wRkHqqCUFNJY4AfY3kHU/edit?usp=sharing  #gid=0"",""фіз особи new!relations_name""),6,FALSE)
,
(IF
(
C8408=""юридична особа""
,
VLOOKUP"&amp;"(D8408,IMPORTRANGE(""https://docs.google.com/spreadsheets/d/14Bd19lYaqBhU8_DElYkX7l4wRkHqqCUFNJY4AfY3kHU/edit?usp=sharing  #gid=0"",""фіз особи new!relations_name_uo""),7,FALSE)
,
)
))"),"ГОСТЮШЕВ Андрій Володимирович")</f>
        <v>ГОСТЮШЕВ Андрій Володимирович</v>
      </c>
      <c r="G8407" s="7" t="s">
        <v>10</v>
      </c>
      <c r="H8407" s="7">
        <v>3020</v>
      </c>
      <c r="I8407" s="8" t="str">
        <f ca="1">IFERROR(__xludf.DUMMYFUNCTION("IF
(
G8408=""фізична особа""
,
VLOOKUP(H8408,IMPORTRANGE(""https://docs.google.com/spreadsheets/d/14Bd19lYaqBhU8_DElYkX7l4wRkHqqCUFNJY4AfY3kHU/edit?usp=sharing  #gid=0"",""фіз особи new!relations_name""),6,FALSE)
,
(IF
(
G8408=""юридична особа""
,
VLOOKUP"&amp;"(H8408,IMPORTRANGE(""https://docs.google.com/spreadsheets/d/14Bd19lYaqBhU8_DElYkX7l4wRkHqqCUFNJY4AfY3kHU/edit?usp=sharing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7" s="7" t="s">
        <v>29</v>
      </c>
    </row>
    <row r="8408" spans="1:10" ht="13.2">
      <c r="A8408" s="7">
        <v>8407</v>
      </c>
      <c r="B8408" s="7">
        <v>1</v>
      </c>
      <c r="C8408" s="7" t="s">
        <v>10</v>
      </c>
      <c r="D8408" s="7">
        <v>10349</v>
      </c>
      <c r="E8408" s="7" t="s">
        <v>28</v>
      </c>
      <c r="F8408" s="8" t="str">
        <f ca="1">IFERROR(__xludf.DUMMYFUNCTION("IF
(
C8409=""фізична особа""
,
VLOOKUP(D8409,IMPORTRANGE(""https://docs.google.com/spreadsheets/d/14Bd19lYaqBhU8_DElYkX7l4wRkHqqCUFNJY4AfY3kHU/edit?usp=sharing  #gid=0"",""фіз особи new!relations_name""),6,FALSE)
,
(IF
(
C8409=""юридична особа""
,
VLOOKUP"&amp;"(D8409,IMPORTRANGE(""https://docs.google.com/spreadsheets/d/14Bd19lYaqBhU8_DElYkX7l4wRkHqqCUFNJY4AfY3kHU/edit?usp=sharing  #gid=0"",""фіз особи new!relations_name_uo""),7,FALSE)
,
)
))"),"КУЛІШ Олександр Володимирович")</f>
        <v>КУЛІШ Олександр Володимирович</v>
      </c>
      <c r="G8408" s="7" t="s">
        <v>10</v>
      </c>
      <c r="H8408" s="7">
        <v>3020</v>
      </c>
      <c r="I8408" s="8" t="str">
        <f ca="1">IFERROR(__xludf.DUMMYFUNCTION("IF
(
G8409=""фізична особа""
,
VLOOKUP(H8409,IMPORTRANGE(""https://docs.google.com/spreadsheets/d/14Bd19lYaqBhU8_DElYkX7l4wRkHqqCUFNJY4AfY3kHU/edit?usp=sharing  #gid=0"",""фіз особи new!relations_name""),6,FALSE)
,
(IF
(
G8409=""юридична особа""
,
VLOOKUP"&amp;"(H8409,IMPORTRANGE(""https://docs.google.com/spreadsheets/d/14Bd19lYaqBhU8_DElYkX7l4wRkHqqCUFNJY4AfY3kHU/edit?usp=sharing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8" s="7" t="s">
        <v>29</v>
      </c>
    </row>
    <row r="8409" spans="1:10" ht="13.2">
      <c r="A8409" s="7">
        <v>8408</v>
      </c>
      <c r="B8409" s="7">
        <v>1</v>
      </c>
      <c r="C8409" s="7" t="s">
        <v>10</v>
      </c>
      <c r="D8409" s="7">
        <v>10350</v>
      </c>
      <c r="E8409" s="7" t="s">
        <v>28</v>
      </c>
      <c r="F8409" s="8" t="str">
        <f ca="1">IFERROR(__xludf.DUMMYFUNCTION("IF
(
C8410=""фізична особа""
,
VLOOKUP(D8410,IMPORTRANGE(""https://docs.google.com/spreadsheets/d/14Bd19lYaqBhU8_DElYkX7l4wRkHqqCUFNJY4AfY3kHU/edit?usp=sharing  #gid=0"",""фіз особи new!relations_name""),6,FALSE)
,
(IF
(
C8410=""юридична особа""
,
VLOOKUP"&amp;"(D8410,IMPORTRANGE(""https://docs.google.com/spreadsheets/d/14Bd19lYaqBhU8_DElYkX7l4wRkHqqCUFNJY4AfY3kHU/edit?usp=sharing  #gid=0"",""фіз особи new!relations_name_uo""),7,FALSE)
,
)
))"),"КУХАРСЬКА Наталія Євгенівна")</f>
        <v>КУХАРСЬКА Наталія Євгенівна</v>
      </c>
      <c r="G8409" s="7" t="s">
        <v>10</v>
      </c>
      <c r="H8409" s="7">
        <v>3020</v>
      </c>
      <c r="I8409" s="8" t="str">
        <f ca="1">IFERROR(__xludf.DUMMYFUNCTION("IF
(
G8410=""фізична особа""
,
VLOOKUP(H8410,IMPORTRANGE(""https://docs.google.com/spreadsheets/d/14Bd19lYaqBhU8_DElYkX7l4wRkHqqCUFNJY4AfY3kHU/edit?usp=sharing  #gid=0"",""фіз особи new!relations_name""),6,FALSE)
,
(IF
(
G8410=""юридична особа""
,
VLOOKUP"&amp;"(H8410,IMPORTRANGE(""https://docs.google.com/spreadsheets/d/14Bd19lYaqBhU8_DElYkX7l4wRkHqqCUFNJY4AfY3kHU/edit?usp=sharing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09" s="7" t="s">
        <v>29</v>
      </c>
    </row>
    <row r="8410" spans="1:10" ht="13.2">
      <c r="A8410" s="7">
        <v>8409</v>
      </c>
      <c r="B8410" s="7">
        <v>1</v>
      </c>
      <c r="C8410" s="7" t="s">
        <v>10</v>
      </c>
      <c r="D8410" s="7">
        <v>10351</v>
      </c>
      <c r="E8410" s="7" t="s">
        <v>28</v>
      </c>
      <c r="F8410" s="8" t="str">
        <f ca="1">IFERROR(__xludf.DUMMYFUNCTION("IF
(
C8411=""фізична особа""
,
VLOOKUP(D8411,IMPORTRANGE(""https://docs.google.com/spreadsheets/d/14Bd19lYaqBhU8_DElYkX7l4wRkHqqCUFNJY4AfY3kHU/edit?usp=sharing  #gid=0"",""фіз особи new!relations_name""),6,FALSE)
,
(IF
(
C8411=""юридична особа""
,
VLOOKUP"&amp;"(D8411,IMPORTRANGE(""https://docs.google.com/spreadsheets/d/14Bd19lYaqBhU8_DElYkX7l4wRkHqqCUFNJY4AfY3kHU/edit?usp=sharing  #gid=0"",""фіз особи new!relations_name_uo""),7,FALSE)
,
)
))"),"ГОДОВАНЮК Олександр Олександрович")</f>
        <v>ГОДОВАНЮК Олександр Олександрович</v>
      </c>
      <c r="G8410" s="7" t="s">
        <v>10</v>
      </c>
      <c r="H8410" s="7">
        <v>3020</v>
      </c>
      <c r="I8410" s="8" t="str">
        <f ca="1">IFERROR(__xludf.DUMMYFUNCTION("IF
(
G8411=""фізична особа""
,
VLOOKUP(H8411,IMPORTRANGE(""https://docs.google.com/spreadsheets/d/14Bd19lYaqBhU8_DElYkX7l4wRkHqqCUFNJY4AfY3kHU/edit?usp=sharing  #gid=0"",""фіз особи new!relations_name""),6,FALSE)
,
(IF
(
G8411=""юридична особа""
,
VLOOKUP"&amp;"(H8411,IMPORTRANGE(""https://docs.google.com/spreadsheets/d/14Bd19lYaqBhU8_DElYkX7l4wRkHqqCUFNJY4AfY3kHU/edit?usp=sharing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0" s="7" t="s">
        <v>29</v>
      </c>
    </row>
    <row r="8411" spans="1:10" ht="13.2">
      <c r="A8411" s="7">
        <v>8410</v>
      </c>
      <c r="B8411" s="7">
        <v>1</v>
      </c>
      <c r="C8411" s="7" t="s">
        <v>10</v>
      </c>
      <c r="D8411" s="7">
        <v>10352</v>
      </c>
      <c r="E8411" s="7" t="s">
        <v>28</v>
      </c>
      <c r="F8411" s="8" t="str">
        <f ca="1">IFERROR(__xludf.DUMMYFUNCTION("IF
(
C8412=""фізична особа""
,
VLOOKUP(D8412,IMPORTRANGE(""https://docs.google.com/spreadsheets/d/14Bd19lYaqBhU8_DElYkX7l4wRkHqqCUFNJY4AfY3kHU/edit?usp=sharing  #gid=0"",""фіз особи new!relations_name""),6,FALSE)
,
(IF
(
C8412=""юридична особа""
,
VLOOKUP"&amp;"(D8412,IMPORTRANGE(""https://docs.google.com/spreadsheets/d/14Bd19lYaqBhU8_DElYkX7l4wRkHqqCUFNJY4AfY3kHU/edit?usp=sharing  #gid=0"",""фіз особи new!relations_name_uo""),7,FALSE)
,
)
))"),"СУХОПЛЮЄВ Дмитро Валерійович")</f>
        <v>СУХОПЛЮЄВ Дмитро Валерійович</v>
      </c>
      <c r="G8411" s="7" t="s">
        <v>10</v>
      </c>
      <c r="H8411" s="7">
        <v>3020</v>
      </c>
      <c r="I8411" s="8" t="str">
        <f ca="1">IFERROR(__xludf.DUMMYFUNCTION("IF
(
G8412=""фізична особа""
,
VLOOKUP(H8412,IMPORTRANGE(""https://docs.google.com/spreadsheets/d/14Bd19lYaqBhU8_DElYkX7l4wRkHqqCUFNJY4AfY3kHU/edit?usp=sharing  #gid=0"",""фіз особи new!relations_name""),6,FALSE)
,
(IF
(
G8412=""юридична особа""
,
VLOOKUP"&amp;"(H8412,IMPORTRANGE(""https://docs.google.com/spreadsheets/d/14Bd19lYaqBhU8_DElYkX7l4wRkHqqCUFNJY4AfY3kHU/edit?usp=sharing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1" s="7" t="s">
        <v>29</v>
      </c>
    </row>
    <row r="8412" spans="1:10" ht="13.2">
      <c r="A8412" s="7">
        <v>8411</v>
      </c>
      <c r="B8412" s="7">
        <v>1</v>
      </c>
      <c r="C8412" s="7" t="s">
        <v>10</v>
      </c>
      <c r="D8412" s="7">
        <v>10353</v>
      </c>
      <c r="E8412" s="7" t="s">
        <v>28</v>
      </c>
      <c r="F8412" s="8" t="str">
        <f ca="1">IFERROR(__xludf.DUMMYFUNCTION("IF
(
C8413=""фізична особа""
,
VLOOKUP(D8413,IMPORTRANGE(""https://docs.google.com/spreadsheets/d/14Bd19lYaqBhU8_DElYkX7l4wRkHqqCUFNJY4AfY3kHU/edit?usp=sharing  #gid=0"",""фіз особи new!relations_name""),6,FALSE)
,
(IF
(
C8413=""юридична особа""
,
VLOOKUP"&amp;"(D8413,IMPORTRANGE(""https://docs.google.com/spreadsheets/d/14Bd19lYaqBhU8_DElYkX7l4wRkHqqCUFNJY4AfY3kHU/edit?usp=sharing  #gid=0"",""фіз особи new!relations_name_uo""),7,FALSE)
,
)
))"),"КАБАНЕНКО Вадим Анатолійович")</f>
        <v>КАБАНЕНКО Вадим Анатолійович</v>
      </c>
      <c r="G8412" s="7" t="s">
        <v>10</v>
      </c>
      <c r="H8412" s="7">
        <v>3020</v>
      </c>
      <c r="I8412" s="8" t="str">
        <f ca="1">IFERROR(__xludf.DUMMYFUNCTION("IF
(
G8413=""фізична особа""
,
VLOOKUP(H8413,IMPORTRANGE(""https://docs.google.com/spreadsheets/d/14Bd19lYaqBhU8_DElYkX7l4wRkHqqCUFNJY4AfY3kHU/edit?usp=sharing  #gid=0"",""фіз особи new!relations_name""),6,FALSE)
,
(IF
(
G8413=""юридична особа""
,
VLOOKUP"&amp;"(H8413,IMPORTRANGE(""https://docs.google.com/spreadsheets/d/14Bd19lYaqBhU8_DElYkX7l4wRkHqqCUFNJY4AfY3kHU/edit?usp=sharing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2" s="7" t="s">
        <v>29</v>
      </c>
    </row>
    <row r="8413" spans="1:10" ht="13.2">
      <c r="A8413" s="7">
        <v>8412</v>
      </c>
      <c r="B8413" s="7">
        <v>1</v>
      </c>
      <c r="C8413" s="7" t="s">
        <v>10</v>
      </c>
      <c r="D8413" s="7">
        <v>10354</v>
      </c>
      <c r="E8413" s="7" t="s">
        <v>28</v>
      </c>
      <c r="F8413" s="8" t="str">
        <f ca="1">IFERROR(__xludf.DUMMYFUNCTION("IF
(
C8414=""фізична особа""
,
VLOOKUP(D8414,IMPORTRANGE(""https://docs.google.com/spreadsheets/d/14Bd19lYaqBhU8_DElYkX7l4wRkHqqCUFNJY4AfY3kHU/edit?usp=sharing  #gid=0"",""фіз особи new!relations_name""),6,FALSE)
,
(IF
(
C8414=""юридична особа""
,
VLOOKUP"&amp;"(D8414,IMPORTRANGE(""https://docs.google.com/spreadsheets/d/14Bd19lYaqBhU8_DElYkX7l4wRkHqqCUFNJY4AfY3kHU/edit?usp=sharing  #gid=0"",""фіз особи new!relations_name_uo""),7,FALSE)
,
)
))"),"АЛІЄВ Вадим Алійович")</f>
        <v>АЛІЄВ Вадим Алійович</v>
      </c>
      <c r="G8413" s="7" t="s">
        <v>10</v>
      </c>
      <c r="H8413" s="7">
        <v>3020</v>
      </c>
      <c r="I8413" s="8" t="str">
        <f ca="1">IFERROR(__xludf.DUMMYFUNCTION("IF
(
G8414=""фізична особа""
,
VLOOKUP(H8414,IMPORTRANGE(""https://docs.google.com/spreadsheets/d/14Bd19lYaqBhU8_DElYkX7l4wRkHqqCUFNJY4AfY3kHU/edit?usp=sharing  #gid=0"",""фіз особи new!relations_name""),6,FALSE)
,
(IF
(
G8414=""юридична особа""
,
VLOOKUP"&amp;"(H8414,IMPORTRANGE(""https://docs.google.com/spreadsheets/d/14Bd19lYaqBhU8_DElYkX7l4wRkHqqCUFNJY4AfY3kHU/edit?usp=sharing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3" s="7" t="s">
        <v>29</v>
      </c>
    </row>
    <row r="8414" spans="1:10" ht="13.2">
      <c r="A8414" s="7">
        <v>8413</v>
      </c>
      <c r="B8414" s="7">
        <v>1</v>
      </c>
      <c r="C8414" s="7" t="s">
        <v>10</v>
      </c>
      <c r="D8414" s="7">
        <v>10355</v>
      </c>
      <c r="E8414" s="7" t="s">
        <v>28</v>
      </c>
      <c r="F8414" s="8" t="str">
        <f ca="1">IFERROR(__xludf.DUMMYFUNCTION("IF
(
C8415=""фізична особа""
,
VLOOKUP(D8415,IMPORTRANGE(""https://docs.google.com/spreadsheets/d/14Bd19lYaqBhU8_DElYkX7l4wRkHqqCUFNJY4AfY3kHU/edit?usp=sharing  #gid=0"",""фіз особи new!relations_name""),6,FALSE)
,
(IF
(
C8415=""юридична особа""
,
VLOOKUP"&amp;"(D8415,IMPORTRANGE(""https://docs.google.com/spreadsheets/d/14Bd19lYaqBhU8_DElYkX7l4wRkHqqCUFNJY4AfY3kHU/edit?usp=sharing  #gid=0"",""фіз особи new!relations_name_uo""),7,FALSE)
,
)
))"),"ХАДЖИЄВ Фелікс Олексійович")</f>
        <v>ХАДЖИЄВ Фелікс Олексійович</v>
      </c>
      <c r="G8414" s="7" t="s">
        <v>10</v>
      </c>
      <c r="H8414" s="7">
        <v>3020</v>
      </c>
      <c r="I8414" s="8" t="str">
        <f ca="1">IFERROR(__xludf.DUMMYFUNCTION("IF
(
G8415=""фізична особа""
,
VLOOKUP(H8415,IMPORTRANGE(""https://docs.google.com/spreadsheets/d/14Bd19lYaqBhU8_DElYkX7l4wRkHqqCUFNJY4AfY3kHU/edit?usp=sharing  #gid=0"",""фіз особи new!relations_name""),6,FALSE)
,
(IF
(
G8415=""юридична особа""
,
VLOOKUP"&amp;"(H8415,IMPORTRANGE(""https://docs.google.com/spreadsheets/d/14Bd19lYaqBhU8_DElYkX7l4wRkHqqCUFNJY4AfY3kHU/edit?usp=sharing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4" s="7" t="s">
        <v>29</v>
      </c>
    </row>
    <row r="8415" spans="1:10" ht="13.2">
      <c r="A8415" s="7">
        <v>8414</v>
      </c>
      <c r="B8415" s="7">
        <v>1</v>
      </c>
      <c r="C8415" s="7" t="s">
        <v>10</v>
      </c>
      <c r="D8415" s="7">
        <v>10356</v>
      </c>
      <c r="E8415" s="7" t="s">
        <v>28</v>
      </c>
      <c r="F8415" s="8" t="str">
        <f ca="1">IFERROR(__xludf.DUMMYFUNCTION("IF
(
C8416=""фізична особа""
,
VLOOKUP(D8416,IMPORTRANGE(""https://docs.google.com/spreadsheets/d/14Bd19lYaqBhU8_DElYkX7l4wRkHqqCUFNJY4AfY3kHU/edit?usp=sharing  #gid=0"",""фіз особи new!relations_name""),6,FALSE)
,
(IF
(
C8416=""юридична особа""
,
VLOOKUP"&amp;"(D8416,IMPORTRANGE(""https://docs.google.com/spreadsheets/d/14Bd19lYaqBhU8_DElYkX7l4wRkHqqCUFNJY4AfY3kHU/edit?usp=sharing  #gid=0"",""фіз особи new!relations_name_uo""),7,FALSE)
,
)
))"),"ЛЕБЕДЄВА Ксенія Олександрівна")</f>
        <v>ЛЕБЕДЄВА Ксенія Олександрівна</v>
      </c>
      <c r="G8415" s="7" t="s">
        <v>10</v>
      </c>
      <c r="H8415" s="7">
        <v>3020</v>
      </c>
      <c r="I8415" s="8" t="str">
        <f ca="1">IFERROR(__xludf.DUMMYFUNCTION("IF
(
G8416=""фізична особа""
,
VLOOKUP(H8416,IMPORTRANGE(""https://docs.google.com/spreadsheets/d/14Bd19lYaqBhU8_DElYkX7l4wRkHqqCUFNJY4AfY3kHU/edit?usp=sharing  #gid=0"",""фіз особи new!relations_name""),6,FALSE)
,
(IF
(
G8416=""юридична особа""
,
VLOOKUP"&amp;"(H8416,IMPORTRANGE(""https://docs.google.com/spreadsheets/d/14Bd19lYaqBhU8_DElYkX7l4wRkHqqCUFNJY4AfY3kHU/edit?usp=sharing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5" s="7" t="s">
        <v>29</v>
      </c>
    </row>
    <row r="8416" spans="1:10" ht="13.2">
      <c r="A8416" s="7">
        <v>8415</v>
      </c>
      <c r="B8416" s="7">
        <v>1</v>
      </c>
      <c r="C8416" s="7" t="s">
        <v>10</v>
      </c>
      <c r="D8416" s="7">
        <v>10357</v>
      </c>
      <c r="E8416" s="7" t="s">
        <v>28</v>
      </c>
      <c r="F8416" s="8" t="str">
        <f ca="1">IFERROR(__xludf.DUMMYFUNCTION("IF
(
C8417=""фізична особа""
,
VLOOKUP(D8417,IMPORTRANGE(""https://docs.google.com/spreadsheets/d/14Bd19lYaqBhU8_DElYkX7l4wRkHqqCUFNJY4AfY3kHU/edit?usp=sharing  #gid=0"",""фіз особи new!relations_name""),6,FALSE)
,
(IF
(
C8417=""юридична особа""
,
VLOOKUP"&amp;"(D8417,IMPORTRANGE(""https://docs.google.com/spreadsheets/d/14Bd19lYaqBhU8_DElYkX7l4wRkHqqCUFNJY4AfY3kHU/edit?usp=sharing  #gid=0"",""фіз особи new!relations_name_uo""),7,FALSE)
,
)
))"),"ХАПАЧЕВ Аслан Нурбієвич")</f>
        <v>ХАПАЧЕВ Аслан Нурбієвич</v>
      </c>
      <c r="G8416" s="7" t="s">
        <v>10</v>
      </c>
      <c r="H8416" s="7">
        <v>3020</v>
      </c>
      <c r="I8416" s="8" t="str">
        <f ca="1">IFERROR(__xludf.DUMMYFUNCTION("IF
(
G8417=""фізична особа""
,
VLOOKUP(H8417,IMPORTRANGE(""https://docs.google.com/spreadsheets/d/14Bd19lYaqBhU8_DElYkX7l4wRkHqqCUFNJY4AfY3kHU/edit?usp=sharing  #gid=0"",""фіз особи new!relations_name""),6,FALSE)
,
(IF
(
G8417=""юридична особа""
,
VLOOKUP"&amp;"(H8417,IMPORTRANGE(""https://docs.google.com/spreadsheets/d/14Bd19lYaqBhU8_DElYkX7l4wRkHqqCUFNJY4AfY3kHU/edit?usp=sharing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6" s="7" t="s">
        <v>29</v>
      </c>
    </row>
    <row r="8417" spans="1:10" ht="13.2">
      <c r="A8417" s="7">
        <v>8416</v>
      </c>
      <c r="B8417" s="7">
        <v>1</v>
      </c>
      <c r="C8417" s="7" t="s">
        <v>10</v>
      </c>
      <c r="D8417" s="7">
        <v>10358</v>
      </c>
      <c r="E8417" s="7" t="s">
        <v>28</v>
      </c>
      <c r="F8417" s="8" t="str">
        <f ca="1">IFERROR(__xludf.DUMMYFUNCTION("IF
(
C8418=""фізична особа""
,
VLOOKUP(D8418,IMPORTRANGE(""https://docs.google.com/spreadsheets/d/14Bd19lYaqBhU8_DElYkX7l4wRkHqqCUFNJY4AfY3kHU/edit?usp=sharing  #gid=0"",""фіз особи new!relations_name""),6,FALSE)
,
(IF
(
C8418=""юридична особа""
,
VLOOKUP"&amp;"(D8418,IMPORTRANGE(""https://docs.google.com/spreadsheets/d/14Bd19lYaqBhU8_DElYkX7l4wRkHqqCUFNJY4AfY3kHU/edit?usp=sharing  #gid=0"",""фіз особи new!relations_name_uo""),7,FALSE)
,
)
))"),"РУБЄЖНОЙ Олексій Олександрович")</f>
        <v>РУБЄЖНОЙ Олексій Олександрович</v>
      </c>
      <c r="G8417" s="7" t="s">
        <v>10</v>
      </c>
      <c r="H8417" s="7">
        <v>208</v>
      </c>
      <c r="I8417" s="8" t="str">
        <f ca="1">IFERROR(__xludf.DUMMYFUNCTION("IF
(
G8418=""фізична особа""
,
VLOOKUP(H8418,IMPORTRANGE(""https://docs.google.com/spreadsheets/d/14Bd19lYaqBhU8_DElYkX7l4wRkHqqCUFNJY4AfY3kHU/edit?usp=sharing  #gid=0"",""фіз особи new!relations_name""),6,FALSE)
,
(IF
(
G8418=""юридична особа""
,
VLOOKUP"&amp;"(H8418,IMPORTRANGE(""https://docs.google.com/spreadsheets/d/14Bd19lYaqBhU8_DElYkX7l4wRkHqqCUFNJY4AfY3kHU/edit?usp=sharing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J8417" s="7" t="s">
        <v>29</v>
      </c>
    </row>
    <row r="8418" spans="1:10" ht="13.2">
      <c r="A8418" s="7">
        <v>8417</v>
      </c>
      <c r="B8418" s="7">
        <v>1</v>
      </c>
      <c r="C8418" s="7" t="s">
        <v>10</v>
      </c>
      <c r="D8418" s="7">
        <v>10358</v>
      </c>
      <c r="E8418" s="7" t="s">
        <v>30</v>
      </c>
      <c r="F8418" s="8" t="str">
        <f ca="1">IFERROR(__xludf.DUMMYFUNCTION("IF
(
C8419=""фізична особа""
,
VLOOKUP(D8419,IMPORTRANGE(""https://docs.google.com/spreadsheets/d/14Bd19lYaqBhU8_DElYkX7l4wRkHqqCUFNJY4AfY3kHU/edit?usp=sharing  #gid=0"",""фіз особи new!relations_name""),6,FALSE)
,
(IF
(
C8419=""юридична особа""
,
VLOOKUP"&amp;"(D8419,IMPORTRANGE(""https://docs.google.com/spreadsheets/d/14Bd19lYaqBhU8_DElYkX7l4wRkHqqCUFNJY4AfY3kHU/edit?usp=sharing  #gid=0"",""фіз особи new!relations_name_uo""),7,FALSE)
,
)
))"),"РУБЄЖНОЙ Олексій Олександрович")</f>
        <v>РУБЄЖНОЙ Олексій Олександрович</v>
      </c>
      <c r="G8418" s="7" t="s">
        <v>10</v>
      </c>
      <c r="H8418" s="7">
        <v>296</v>
      </c>
      <c r="I8418" s="8" t="str">
        <f ca="1">IFERROR(__xludf.DUMMYFUNCTION("IF
(
G8419=""фізична особа""
,
VLOOKUP(H8419,IMPORTRANGE(""https://docs.google.com/spreadsheets/d/14Bd19lYaqBhU8_DElYkX7l4wRkHqqCUFNJY4AfY3kHU/edit?usp=sharing  #gid=0"",""фіз особи new!relations_name""),6,FALSE)
,
(IF
(
G8419=""юридична особа""
,
VLOOKUP"&amp;"(H8419,IMPORTRANGE(""https://docs.google.com/spreadsheets/d/14Bd19lYaqBhU8_DElYkX7l4wRkHqqCUFNJY4AfY3kHU/edit?usp=sharing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8418" s="7" t="s">
        <v>30</v>
      </c>
    </row>
    <row r="8419" spans="1:10" ht="13.2">
      <c r="A8419" s="7">
        <v>8418</v>
      </c>
      <c r="B8419" s="7">
        <v>1</v>
      </c>
      <c r="C8419" s="7" t="s">
        <v>10</v>
      </c>
      <c r="D8419" s="7">
        <v>10359</v>
      </c>
      <c r="E8419" s="7" t="s">
        <v>28</v>
      </c>
      <c r="F8419" s="8" t="str">
        <f ca="1">IFERROR(__xludf.DUMMYFUNCTION("IF
(
C8420=""фізична особа""
,
VLOOKUP(D8420,IMPORTRANGE(""https://docs.google.com/spreadsheets/d/14Bd19lYaqBhU8_DElYkX7l4wRkHqqCUFNJY4AfY3kHU/edit?usp=sharing  #gid=0"",""фіз особи new!relations_name""),6,FALSE)
,
(IF
(
C8420=""юридична особа""
,
VLOOKUP"&amp;"(D8420,IMPORTRANGE(""https://docs.google.com/spreadsheets/d/14Bd19lYaqBhU8_DElYkX7l4wRkHqqCUFNJY4AfY3kHU/edit?usp=sharing  #gid=0"",""фіз особи new!relations_name_uo""),7,FALSE)
,
)
))"),"МЕРКУЛОВ Микола Станіславович")</f>
        <v>МЕРКУЛОВ Микола Станіславович</v>
      </c>
      <c r="G8419" s="7" t="s">
        <v>10</v>
      </c>
      <c r="H8419" s="7">
        <v>3020</v>
      </c>
      <c r="I8419" s="8" t="str">
        <f ca="1">IFERROR(__xludf.DUMMYFUNCTION("IF
(
G8420=""фізична особа""
,
VLOOKUP(H8420,IMPORTRANGE(""https://docs.google.com/spreadsheets/d/14Bd19lYaqBhU8_DElYkX7l4wRkHqqCUFNJY4AfY3kHU/edit?usp=sharing  #gid=0"",""фіз особи new!relations_name""),6,FALSE)
,
(IF
(
G8420=""юридична особа""
,
VLOOKUP"&amp;"(H8420,IMPORTRANGE(""https://docs.google.com/spreadsheets/d/14Bd19lYaqBhU8_DElYkX7l4wRkHqqCUFNJY4AfY3kHU/edit?usp=sharing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19" s="7" t="s">
        <v>29</v>
      </c>
    </row>
    <row r="8420" spans="1:10" ht="13.2">
      <c r="A8420" s="7">
        <v>8419</v>
      </c>
      <c r="B8420" s="7">
        <v>1</v>
      </c>
      <c r="C8420" s="7" t="s">
        <v>10</v>
      </c>
      <c r="D8420" s="7">
        <v>10360</v>
      </c>
      <c r="E8420" s="7" t="s">
        <v>28</v>
      </c>
      <c r="F8420" s="8" t="str">
        <f ca="1">IFERROR(__xludf.DUMMYFUNCTION("IF
(
C8421=""фізична особа""
,
VLOOKUP(D8421,IMPORTRANGE(""https://docs.google.com/spreadsheets/d/14Bd19lYaqBhU8_DElYkX7l4wRkHqqCUFNJY4AfY3kHU/edit?usp=sharing  #gid=0"",""фіз особи new!relations_name""),6,FALSE)
,
(IF
(
C8421=""юридична особа""
,
VLOOKUP"&amp;"(D8421,IMPORTRANGE(""https://docs.google.com/spreadsheets/d/14Bd19lYaqBhU8_DElYkX7l4wRkHqqCUFNJY4AfY3kHU/edit?usp=sharing  #gid=0"",""фіз особи new!relations_name_uo""),7,FALSE)
,
)
))"),"ЛУЧНІКОВ Роман Валерійович")</f>
        <v>ЛУЧНІКОВ Роман Валерійович</v>
      </c>
      <c r="G8420" s="7" t="s">
        <v>10</v>
      </c>
      <c r="H8420" s="7">
        <v>3020</v>
      </c>
      <c r="I8420" s="8" t="str">
        <f ca="1">IFERROR(__xludf.DUMMYFUNCTION("IF
(
G8421=""фізична особа""
,
VLOOKUP(H8421,IMPORTRANGE(""https://docs.google.com/spreadsheets/d/14Bd19lYaqBhU8_DElYkX7l4wRkHqqCUFNJY4AfY3kHU/edit?usp=sharing  #gid=0"",""фіз особи new!relations_name""),6,FALSE)
,
(IF
(
G8421=""юридична особа""
,
VLOOKUP"&amp;"(H8421,IMPORTRANGE(""https://docs.google.com/spreadsheets/d/14Bd19lYaqBhU8_DElYkX7l4wRkHqqCUFNJY4AfY3kHU/edit?usp=sharing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20" s="7" t="s">
        <v>29</v>
      </c>
    </row>
    <row r="8421" spans="1:10" ht="13.2">
      <c r="A8421" s="7">
        <v>8420</v>
      </c>
      <c r="B8421" s="7">
        <v>1</v>
      </c>
      <c r="C8421" s="7" t="s">
        <v>10</v>
      </c>
      <c r="D8421" s="7">
        <v>10361</v>
      </c>
      <c r="E8421" s="7" t="s">
        <v>28</v>
      </c>
      <c r="F8421" s="8" t="str">
        <f ca="1">IFERROR(__xludf.DUMMYFUNCTION("IF
(
C8422=""фізична особа""
,
VLOOKUP(D8422,IMPORTRANGE(""https://docs.google.com/spreadsheets/d/14Bd19lYaqBhU8_DElYkX7l4wRkHqqCUFNJY4AfY3kHU/edit?usp=sharing  #gid=0"",""фіз особи new!relations_name""),6,FALSE)
,
(IF
(
C8422=""юридична особа""
,
VLOOKUP"&amp;"(D8422,IMPORTRANGE(""https://docs.google.com/spreadsheets/d/14Bd19lYaqBhU8_DElYkX7l4wRkHqqCUFNJY4AfY3kHU/edit?usp=sharing  #gid=0"",""фіз особи new!relations_name_uo""),7,FALSE)
,
)
))"),"САНГАДЖИЄВА Манца Вікторівна")</f>
        <v>САНГАДЖИЄВА Манца Вікторівна</v>
      </c>
      <c r="G8421" s="7" t="s">
        <v>10</v>
      </c>
      <c r="H8421" s="7">
        <v>3020</v>
      </c>
      <c r="I8421" s="8" t="str">
        <f ca="1">IFERROR(__xludf.DUMMYFUNCTION("IF
(
G8422=""фізична особа""
,
VLOOKUP(H8422,IMPORTRANGE(""https://docs.google.com/spreadsheets/d/14Bd19lYaqBhU8_DElYkX7l4wRkHqqCUFNJY4AfY3kHU/edit?usp=sharing  #gid=0"",""фіз особи new!relations_name""),6,FALSE)
,
(IF
(
G8422=""юридична особа""
,
VLOOKUP"&amp;"(H8422,IMPORTRANGE(""https://docs.google.com/spreadsheets/d/14Bd19lYaqBhU8_DElYkX7l4wRkHqqCUFNJY4AfY3kHU/edit?usp=sharing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21" s="7" t="s">
        <v>29</v>
      </c>
    </row>
    <row r="8422" spans="1:10" ht="13.2">
      <c r="A8422" s="7">
        <v>8421</v>
      </c>
      <c r="B8422" s="7">
        <v>1</v>
      </c>
      <c r="C8422" s="7" t="s">
        <v>10</v>
      </c>
      <c r="D8422" s="7">
        <v>10362</v>
      </c>
      <c r="E8422" s="7" t="s">
        <v>28</v>
      </c>
      <c r="F8422" s="8" t="str">
        <f ca="1">IFERROR(__xludf.DUMMYFUNCTION("IF
(
C8423=""фізична особа""
,
VLOOKUP(D8423,IMPORTRANGE(""https://docs.google.com/spreadsheets/d/14Bd19lYaqBhU8_DElYkX7l4wRkHqqCUFNJY4AfY3kHU/edit?usp=sharing  #gid=0"",""фіз особи new!relations_name""),6,FALSE)
,
(IF
(
C8423=""юридична особа""
,
VLOOKUP"&amp;"(D8423,IMPORTRANGE(""https://docs.google.com/spreadsheets/d/14Bd19lYaqBhU8_DElYkX7l4wRkHqqCUFNJY4AfY3kHU/edit?usp=sharing  #gid=0"",""фіз особи new!relations_name_uo""),7,FALSE)
,
)
))"),"СТАРКОВ Гліб Леонідович")</f>
        <v>СТАРКОВ Гліб Леонідович</v>
      </c>
      <c r="G8422" s="7" t="s">
        <v>10</v>
      </c>
      <c r="H8422" s="7">
        <v>3020</v>
      </c>
      <c r="I8422" s="8" t="str">
        <f ca="1">IFERROR(__xludf.DUMMYFUNCTION("IF
(
G8423=""фізична особа""
,
VLOOKUP(H8423,IMPORTRANGE(""https://docs.google.com/spreadsheets/d/14Bd19lYaqBhU8_DElYkX7l4wRkHqqCUFNJY4AfY3kHU/edit?usp=sharing  #gid=0"",""фіз особи new!relations_name""),6,FALSE)
,
(IF
(
G8423=""юридична особа""
,
VLOOKUP"&amp;"(H8423,IMPORTRANGE(""https://docs.google.com/spreadsheets/d/14Bd19lYaqBhU8_DElYkX7l4wRkHqqCUFNJY4AfY3kHU/edit?usp=sharing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22" s="7" t="s">
        <v>29</v>
      </c>
    </row>
    <row r="8423" spans="1:10" ht="13.2">
      <c r="A8423" s="7">
        <v>8422</v>
      </c>
      <c r="B8423" s="7">
        <v>1</v>
      </c>
      <c r="C8423" s="7" t="s">
        <v>10</v>
      </c>
      <c r="D8423" s="7">
        <v>10363</v>
      </c>
      <c r="E8423" s="7" t="s">
        <v>28</v>
      </c>
      <c r="F8423" s="8" t="str">
        <f ca="1">IFERROR(__xludf.DUMMYFUNCTION("IF
(
C8424=""фізична особа""
,
VLOOKUP(D8424,IMPORTRANGE(""https://docs.google.com/spreadsheets/d/14Bd19lYaqBhU8_DElYkX7l4wRkHqqCUFNJY4AfY3kHU/edit?usp=sharing  #gid=0"",""фіз особи new!relations_name""),6,FALSE)
,
(IF
(
C8424=""юридична особа""
,
VLOOKUP"&amp;"(D8424,IMPORTRANGE(""https://docs.google.com/spreadsheets/d/14Bd19lYaqBhU8_DElYkX7l4wRkHqqCUFNJY4AfY3kHU/edit?usp=sharing  #gid=0"",""фіз особи new!relations_name_uo""),7,FALSE)
,
)
))"),"КОСТЮШИН Євгеній Костянтинович")</f>
        <v>КОСТЮШИН Євгеній Костянтинович</v>
      </c>
      <c r="G8423" s="7" t="s">
        <v>10</v>
      </c>
      <c r="H8423" s="7">
        <v>3020</v>
      </c>
      <c r="I8423" s="8" t="str">
        <f ca="1">IFERROR(__xludf.DUMMYFUNCTION("IF
(
G8424=""фізична особа""
,
VLOOKUP(H8424,IMPORTRANGE(""https://docs.google.com/spreadsheets/d/14Bd19lYaqBhU8_DElYkX7l4wRkHqqCUFNJY4AfY3kHU/edit?usp=sharing  #gid=0"",""фіз особи new!relations_name""),6,FALSE)
,
(IF
(
G8424=""юридична особа""
,
VLOOKUP"&amp;"(H8424,IMPORTRANGE(""https://docs.google.com/spreadsheets/d/14Bd19lYaqBhU8_DElYkX7l4wRkHqqCUFNJY4AfY3kHU/edit?usp=sharing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23" s="7" t="s">
        <v>29</v>
      </c>
    </row>
    <row r="8424" spans="1:10" ht="13.2">
      <c r="A8424" s="7">
        <v>8423</v>
      </c>
      <c r="B8424" s="7">
        <v>1</v>
      </c>
      <c r="C8424" s="7" t="s">
        <v>10</v>
      </c>
      <c r="D8424" s="7">
        <v>10364</v>
      </c>
      <c r="E8424" s="7" t="s">
        <v>28</v>
      </c>
      <c r="F8424" s="8" t="str">
        <f ca="1">IFERROR(__xludf.DUMMYFUNCTION("IF
(
C8425=""фізична особа""
,
VLOOKUP(D8425,IMPORTRANGE(""https://docs.google.com/spreadsheets/d/14Bd19lYaqBhU8_DElYkX7l4wRkHqqCUFNJY4AfY3kHU/edit?usp=sharing  #gid=0"",""фіз особи new!relations_name""),6,FALSE)
,
(IF
(
C8425=""юридична особа""
,
VLOOKUP"&amp;"(D8425,IMPORTRANGE(""https://docs.google.com/spreadsheets/d/14Bd19lYaqBhU8_DElYkX7l4wRkHqqCUFNJY4AfY3kHU/edit?usp=sharing  #gid=0"",""фіз особи new!relations_name_uo""),7,FALSE)
,
)
))"),"КОРНЄЄВ Вадим Григорович")</f>
        <v>КОРНЄЄВ Вадим Григорович</v>
      </c>
      <c r="G8424" s="7" t="s">
        <v>10</v>
      </c>
      <c r="H8424" s="7">
        <v>3020</v>
      </c>
      <c r="I8424" s="8" t="str">
        <f ca="1">IFERROR(__xludf.DUMMYFUNCTION("IF
(
G8425=""фізична особа""
,
VLOOKUP(H8425,IMPORTRANGE(""https://docs.google.com/spreadsheets/d/14Bd19lYaqBhU8_DElYkX7l4wRkHqqCUFNJY4AfY3kHU/edit?usp=sharing  #gid=0"",""фіз особи new!relations_name""),6,FALSE)
,
(IF
(
G8425=""юридична особа""
,
VLOOKUP"&amp;"(H8425,IMPORTRANGE(""https://docs.google.com/spreadsheets/d/14Bd19lYaqBhU8_DElYkX7l4wRkHqqCUFNJY4AfY3kHU/edit?usp=sharing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8424" s="7" t="s">
        <v>29</v>
      </c>
    </row>
    <row r="8425" spans="1:10" ht="13.2">
      <c r="A8425" s="7">
        <v>8424</v>
      </c>
      <c r="B8425" s="7">
        <v>1</v>
      </c>
      <c r="C8425" s="7" t="s">
        <v>10</v>
      </c>
      <c r="D8425" s="7">
        <v>10365</v>
      </c>
      <c r="E8425" s="7" t="s">
        <v>28</v>
      </c>
      <c r="F8425" s="8" t="str">
        <f ca="1">IFERROR(__xludf.DUMMYFUNCTION("IF
(
C8426=""фізична особа""
,
VLOOKUP(D8426,IMPORTRANGE(""https://docs.google.com/spreadsheets/d/14Bd19lYaqBhU8_DElYkX7l4wRkHqqCUFNJY4AfY3kHU/edit?usp=sharing  #gid=0"",""фіз особи new!relations_name""),6,FALSE)
,
(IF
(
C8426=""юридична особа""
,
VLOOKUP"&amp;"(D8426,IMPORTRANGE(""https://docs.google.com/spreadsheets/d/14Bd19lYaqBhU8_DElYkX7l4wRkHqqCUFNJY4AfY3kHU/edit?usp=sharing  #gid=0"",""фіз особи new!relations_name_uo""),7,FALSE)
,
)
))"),"УДОВЕНКО Сергій Миколайович")</f>
        <v>УДОВЕНКО Сергій Миколайович</v>
      </c>
      <c r="G8425" s="7" t="s">
        <v>10</v>
      </c>
      <c r="H8425" s="7">
        <v>208</v>
      </c>
      <c r="I8425" s="8" t="str">
        <f ca="1">IFERROR(__xludf.DUMMYFUNCTION("IF
(
G8426=""фізична особа""
,
VLOOKUP(H8426,IMPORTRANGE(""https://docs.google.com/spreadsheets/d/14Bd19lYaqBhU8_DElYkX7l4wRkHqqCUFNJY4AfY3kHU/edit?usp=sharing  #gid=0"",""фіз особи new!relations_name""),6,FALSE)
,
(IF
(
G8426=""юридична особа""
,
VLOOKUP"&amp;"(H8426,IMPORTRANGE(""https://docs.google.com/spreadsheets/d/14Bd19lYaqBhU8_DElYkX7l4wRkHqqCUFNJY4AfY3kHU/edit?usp=sharing  #gid=0"",""фіз особи new!relations_name_uo""),7,FALSE)
,
)
))"),"КОЧНЄВ Дмитро Вікторович")</f>
        <v>КОЧНЄВ Дмитро Вікторович</v>
      </c>
      <c r="J8425" s="7" t="s">
        <v>29</v>
      </c>
    </row>
    <row r="8426" spans="1:10" ht="13.2">
      <c r="A8426" s="7">
        <v>8425</v>
      </c>
      <c r="B8426" s="7">
        <v>1</v>
      </c>
      <c r="C8426" s="7" t="s">
        <v>10</v>
      </c>
      <c r="D8426" s="7">
        <v>10366</v>
      </c>
      <c r="E8426" s="7" t="s">
        <v>28</v>
      </c>
      <c r="F8426" s="8" t="str">
        <f ca="1">IFERROR(__xludf.DUMMYFUNCTION("IF
(
C8427=""фізична особа""
,
VLOOKUP(D8427,IMPORTRANGE(""https://docs.google.com/spreadsheets/d/14Bd19lYaqBhU8_DElYkX7l4wRkHqqCUFNJY4AfY3kHU/edit?usp=sharing  #gid=0"",""фіз особи new!relations_name""),6,FALSE)
,
(IF
(
C8427=""юридична особа""
,
VLOOKUP"&amp;"(D8427,IMPORTRANGE(""https://docs.google.com/spreadsheets/d/14Bd19lYaqBhU8_DElYkX7l4wRkHqqCUFNJY4AfY3kHU/edit?usp=sharing  #gid=0"",""фіз особи new!relations_name_uo""),7,FALSE)
,
)
))"),"МОСКОКОВА Олена Валеріївна")</f>
        <v>МОСКОКОВА Олена Валеріївна</v>
      </c>
      <c r="G8426" s="7" t="s">
        <v>10</v>
      </c>
      <c r="H8426" s="7">
        <v>2952</v>
      </c>
      <c r="I8426" s="8" t="str">
        <f ca="1">IFERROR(__xludf.DUMMYFUNCTION("IF
(
G8427=""фізична особа""
,
VLOOKUP(H8427,IMPORTRANGE(""https://docs.google.com/spreadsheets/d/14Bd19lYaqBhU8_DElYkX7l4wRkHqqCUFNJY4AfY3kHU/edit?usp=sharing  #gid=0"",""фіз особи new!relations_name""),6,FALSE)
,
(IF
(
G8427=""юридична особа""
,
VLOOKUP"&amp;"(H8427,IMPORTRANGE(""https://docs.google.com/spreadsheets/d/14Bd19lYaqBhU8_DElYkX7l4wRkHqqCUFNJY4AfY3kHU/edit?usp=sharing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26" s="7" t="s">
        <v>29</v>
      </c>
    </row>
    <row r="8427" spans="1:10" ht="13.2">
      <c r="A8427" s="7">
        <v>8426</v>
      </c>
      <c r="B8427" s="7">
        <v>1</v>
      </c>
      <c r="C8427" s="7" t="s">
        <v>10</v>
      </c>
      <c r="D8427" s="7">
        <v>10367</v>
      </c>
      <c r="E8427" s="7" t="s">
        <v>28</v>
      </c>
      <c r="F8427" s="8" t="str">
        <f ca="1">IFERROR(__xludf.DUMMYFUNCTION("IF
(
C8428=""фізична особа""
,
VLOOKUP(D8428,IMPORTRANGE(""https://docs.google.com/spreadsheets/d/14Bd19lYaqBhU8_DElYkX7l4wRkHqqCUFNJY4AfY3kHU/edit?usp=sharing  #gid=0"",""фіз особи new!relations_name""),6,FALSE)
,
(IF
(
C8428=""юридична особа""
,
VLOOKUP"&amp;"(D8428,IMPORTRANGE(""https://docs.google.com/spreadsheets/d/14Bd19lYaqBhU8_DElYkX7l4wRkHqqCUFNJY4AfY3kHU/edit?usp=sharing  #gid=0"",""фіз особи new!relations_name_uo""),7,FALSE)
,
)
))"),"ПЛАТОНОВ Валерій Вікторович")</f>
        <v>ПЛАТОНОВ Валерій Вікторович</v>
      </c>
      <c r="G8427" s="7" t="s">
        <v>10</v>
      </c>
      <c r="H8427" s="7">
        <v>2952</v>
      </c>
      <c r="I8427" s="8" t="str">
        <f ca="1">IFERROR(__xludf.DUMMYFUNCTION("IF
(
G8428=""фізична особа""
,
VLOOKUP(H8428,IMPORTRANGE(""https://docs.google.com/spreadsheets/d/14Bd19lYaqBhU8_DElYkX7l4wRkHqqCUFNJY4AfY3kHU/edit?usp=sharing  #gid=0"",""фіз особи new!relations_name""),6,FALSE)
,
(IF
(
G8428=""юридична особа""
,
VLOOKUP"&amp;"(H8428,IMPORTRANGE(""https://docs.google.com/spreadsheets/d/14Bd19lYaqBhU8_DElYkX7l4wRkHqqCUFNJY4AfY3kHU/edit?usp=sharing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27" s="7" t="s">
        <v>29</v>
      </c>
    </row>
    <row r="8428" spans="1:10" ht="13.2">
      <c r="A8428" s="7">
        <v>8427</v>
      </c>
      <c r="B8428" s="7">
        <v>1</v>
      </c>
      <c r="C8428" s="7" t="s">
        <v>10</v>
      </c>
      <c r="D8428" s="7">
        <v>10368</v>
      </c>
      <c r="E8428" s="7" t="s">
        <v>28</v>
      </c>
      <c r="F8428" s="8" t="str">
        <f ca="1">IFERROR(__xludf.DUMMYFUNCTION("IF
(
C8429=""фізична особа""
,
VLOOKUP(D8429,IMPORTRANGE(""https://docs.google.com/spreadsheets/d/14Bd19lYaqBhU8_DElYkX7l4wRkHqqCUFNJY4AfY3kHU/edit?usp=sharing  #gid=0"",""фіз особи new!relations_name""),6,FALSE)
,
(IF
(
C8429=""юридична особа""
,
VLOOKUP"&amp;"(D8429,IMPORTRANGE(""https://docs.google.com/spreadsheets/d/14Bd19lYaqBhU8_DElYkX7l4wRkHqqCUFNJY4AfY3kHU/edit?usp=sharing  #gid=0"",""фіз особи new!relations_name_uo""),7,FALSE)
,
)
))"),"БАРАНОВА Ольга Іванівна")</f>
        <v>БАРАНОВА Ольга Іванівна</v>
      </c>
      <c r="G8428" s="7" t="s">
        <v>10</v>
      </c>
      <c r="H8428" s="7">
        <v>2952</v>
      </c>
      <c r="I8428" s="8" t="str">
        <f ca="1">IFERROR(__xludf.DUMMYFUNCTION("IF
(
G8429=""фізична особа""
,
VLOOKUP(H8429,IMPORTRANGE(""https://docs.google.com/spreadsheets/d/14Bd19lYaqBhU8_DElYkX7l4wRkHqqCUFNJY4AfY3kHU/edit?usp=sharing  #gid=0"",""фіз особи new!relations_name""),6,FALSE)
,
(IF
(
G8429=""юридична особа""
,
VLOOKUP"&amp;"(H8429,IMPORTRANGE(""https://docs.google.com/spreadsheets/d/14Bd19lYaqBhU8_DElYkX7l4wRkHqqCUFNJY4AfY3kHU/edit?usp=sharing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28" s="7" t="s">
        <v>29</v>
      </c>
    </row>
    <row r="8429" spans="1:10" ht="13.2">
      <c r="A8429" s="7">
        <v>8428</v>
      </c>
      <c r="B8429" s="7">
        <v>1</v>
      </c>
      <c r="C8429" s="7" t="s">
        <v>10</v>
      </c>
      <c r="D8429" s="7">
        <v>10369</v>
      </c>
      <c r="E8429" s="7" t="s">
        <v>28</v>
      </c>
      <c r="F8429" s="8" t="str">
        <f ca="1">IFERROR(__xludf.DUMMYFUNCTION("IF
(
C8430=""фізична особа""
,
VLOOKUP(D8430,IMPORTRANGE(""https://docs.google.com/spreadsheets/d/14Bd19lYaqBhU8_DElYkX7l4wRkHqqCUFNJY4AfY3kHU/edit?usp=sharing  #gid=0"",""фіз особи new!relations_name""),6,FALSE)
,
(IF
(
C8430=""юридична особа""
,
VLOOKUP"&amp;"(D8430,IMPORTRANGE(""https://docs.google.com/spreadsheets/d/14Bd19lYaqBhU8_DElYkX7l4wRkHqqCUFNJY4AfY3kHU/edit?usp=sharing  #gid=0"",""фіз особи new!relations_name_uo""),7,FALSE)
,
)
))"),"ФЕДІН Олексій Михайлович")</f>
        <v>ФЕДІН Олексій Михайлович</v>
      </c>
      <c r="G8429" s="7" t="s">
        <v>10</v>
      </c>
      <c r="H8429" s="7">
        <v>2952</v>
      </c>
      <c r="I8429" s="8" t="str">
        <f ca="1">IFERROR(__xludf.DUMMYFUNCTION("IF
(
G8430=""фізична особа""
,
VLOOKUP(H8430,IMPORTRANGE(""https://docs.google.com/spreadsheets/d/14Bd19lYaqBhU8_DElYkX7l4wRkHqqCUFNJY4AfY3kHU/edit?usp=sharing  #gid=0"",""фіз особи new!relations_name""),6,FALSE)
,
(IF
(
G8430=""юридична особа""
,
VLOOKUP"&amp;"(H8430,IMPORTRANGE(""https://docs.google.com/spreadsheets/d/14Bd19lYaqBhU8_DElYkX7l4wRkHqqCUFNJY4AfY3kHU/edit?usp=sharing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29" s="7" t="s">
        <v>29</v>
      </c>
    </row>
    <row r="8430" spans="1:10" ht="13.2">
      <c r="A8430" s="7">
        <v>8429</v>
      </c>
      <c r="B8430" s="7">
        <v>1</v>
      </c>
      <c r="C8430" s="7" t="s">
        <v>10</v>
      </c>
      <c r="D8430" s="7">
        <v>10370</v>
      </c>
      <c r="E8430" s="7" t="s">
        <v>28</v>
      </c>
      <c r="F8430" s="8" t="str">
        <f ca="1">IFERROR(__xludf.DUMMYFUNCTION("IF
(
C8431=""фізична особа""
,
VLOOKUP(D8431,IMPORTRANGE(""https://docs.google.com/spreadsheets/d/14Bd19lYaqBhU8_DElYkX7l4wRkHqqCUFNJY4AfY3kHU/edit?usp=sharing  #gid=0"",""фіз особи new!relations_name""),6,FALSE)
,
(IF
(
C8431=""юридична особа""
,
VLOOKUP"&amp;"(D8431,IMPORTRANGE(""https://docs.google.com/spreadsheets/d/14Bd19lYaqBhU8_DElYkX7l4wRkHqqCUFNJY4AfY3kHU/edit?usp=sharing  #gid=0"",""фіз особи new!relations_name_uo""),7,FALSE)
,
)
))"),"СИНІЦИН Сергій Володимирович")</f>
        <v>СИНІЦИН Сергій Володимирович</v>
      </c>
      <c r="G8430" s="7" t="s">
        <v>10</v>
      </c>
      <c r="H8430" s="7">
        <v>2952</v>
      </c>
      <c r="I8430" s="8" t="str">
        <f ca="1">IFERROR(__xludf.DUMMYFUNCTION("IF
(
G8431=""фізична особа""
,
VLOOKUP(H8431,IMPORTRANGE(""https://docs.google.com/spreadsheets/d/14Bd19lYaqBhU8_DElYkX7l4wRkHqqCUFNJY4AfY3kHU/edit?usp=sharing  #gid=0"",""фіз особи new!relations_name""),6,FALSE)
,
(IF
(
G8431=""юридична особа""
,
VLOOKUP"&amp;"(H8431,IMPORTRANGE(""https://docs.google.com/spreadsheets/d/14Bd19lYaqBhU8_DElYkX7l4wRkHqqCUFNJY4AfY3kHU/edit?usp=sharing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0" s="7" t="s">
        <v>29</v>
      </c>
    </row>
    <row r="8431" spans="1:10" ht="13.2">
      <c r="A8431" s="7">
        <v>8430</v>
      </c>
      <c r="B8431" s="7">
        <v>1</v>
      </c>
      <c r="C8431" s="7" t="s">
        <v>10</v>
      </c>
      <c r="D8431" s="7">
        <v>10371</v>
      </c>
      <c r="E8431" s="7" t="s">
        <v>28</v>
      </c>
      <c r="F8431" s="8" t="str">
        <f ca="1">IFERROR(__xludf.DUMMYFUNCTION("IF
(
C8432=""фізична особа""
,
VLOOKUP(D8432,IMPORTRANGE(""https://docs.google.com/spreadsheets/d/14Bd19lYaqBhU8_DElYkX7l4wRkHqqCUFNJY4AfY3kHU/edit?usp=sharing  #gid=0"",""фіз особи new!relations_name""),6,FALSE)
,
(IF
(
C8432=""юридична особа""
,
VLOOKUP"&amp;"(D8432,IMPORTRANGE(""https://docs.google.com/spreadsheets/d/14Bd19lYaqBhU8_DElYkX7l4wRkHqqCUFNJY4AfY3kHU/edit?usp=sharing  #gid=0"",""фіз особи new!relations_name_uo""),7,FALSE)
,
)
))"),"ФРІДРІХСОН Надана Олександрівна")</f>
        <v>ФРІДРІХСОН Надана Олександрівна</v>
      </c>
      <c r="G8431" s="7" t="s">
        <v>10</v>
      </c>
      <c r="H8431" s="7">
        <v>2952</v>
      </c>
      <c r="I8431" s="8" t="str">
        <f ca="1">IFERROR(__xludf.DUMMYFUNCTION("IF
(
G8432=""фізична особа""
,
VLOOKUP(H8432,IMPORTRANGE(""https://docs.google.com/spreadsheets/d/14Bd19lYaqBhU8_DElYkX7l4wRkHqqCUFNJY4AfY3kHU/edit?usp=sharing  #gid=0"",""фіз особи new!relations_name""),6,FALSE)
,
(IF
(
G8432=""юридична особа""
,
VLOOKUP"&amp;"(H8432,IMPORTRANGE(""https://docs.google.com/spreadsheets/d/14Bd19lYaqBhU8_DElYkX7l4wRkHqqCUFNJY4AfY3kHU/edit?usp=sharing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1" s="7" t="s">
        <v>29</v>
      </c>
    </row>
    <row r="8432" spans="1:10" ht="13.2">
      <c r="A8432" s="7">
        <v>8431</v>
      </c>
      <c r="B8432" s="7">
        <v>1</v>
      </c>
      <c r="C8432" s="7" t="s">
        <v>10</v>
      </c>
      <c r="D8432" s="7">
        <v>10371</v>
      </c>
      <c r="E8432" s="7" t="s">
        <v>13</v>
      </c>
      <c r="F8432" s="8" t="str">
        <f ca="1">IFERROR(__xludf.DUMMYFUNCTION("IF
(
C8433=""фізична особа""
,
VLOOKUP(D8433,IMPORTRANGE(""https://docs.google.com/spreadsheets/d/14Bd19lYaqBhU8_DElYkX7l4wRkHqqCUFNJY4AfY3kHU/edit?usp=sharing  #gid=0"",""фіз особи new!relations_name""),6,FALSE)
,
(IF
(
C8433=""юридична особа""
,
VLOOKUP"&amp;"(D8433,IMPORTRANGE(""https://docs.google.com/spreadsheets/d/14Bd19lYaqBhU8_DElYkX7l4wRkHqqCUFNJY4AfY3kHU/edit?usp=sharing  #gid=0"",""фіз особи new!relations_name_uo""),7,FALSE)
,
)
))"),"ФРІДРІХСОН Надана Олександрівна")</f>
        <v>ФРІДРІХСОН Надана Олександрівна</v>
      </c>
      <c r="G8432" s="7" t="s">
        <v>10</v>
      </c>
      <c r="H8432" s="7">
        <v>0</v>
      </c>
      <c r="I8432" s="8" t="str">
        <f ca="1">IFERROR(__xludf.DUMMYFUNCTION("IF
(
G8433=""фізична особа""
,
VLOOKUP(H8433,IMPORTRANGE(""https://docs.google.com/spreadsheets/d/14Bd19lYaqBhU8_DElYkX7l4wRkHqqCUFNJY4AfY3kHU/edit?usp=sharing  #gid=0"",""фіз особи new!relations_name""),6,FALSE)
,
(IF
(
G8433=""юридична особа""
,
VLOOKUP"&amp;"(H8433,IMPORTRANGE(""https://docs.google.com/spreadsheets/d/14Bd19lYaqBhU8_DElYkX7l4wRkHqqCUFNJY4AfY3kHU/edit?usp=sharing  #gid=0"",""фіз особи new!relations_name_uo""),7,FALSE)
,
)
))"),"#N/A")</f>
        <v>#N/A</v>
      </c>
      <c r="J8432" s="7" t="s">
        <v>21</v>
      </c>
    </row>
    <row r="8433" spans="1:10" ht="13.2">
      <c r="A8433" s="7">
        <v>8432</v>
      </c>
      <c r="B8433" s="7">
        <v>1</v>
      </c>
      <c r="C8433" s="7" t="s">
        <v>10</v>
      </c>
      <c r="D8433" s="7">
        <v>10371</v>
      </c>
      <c r="E8433" s="7" t="s">
        <v>13</v>
      </c>
      <c r="F8433" s="8" t="str">
        <f ca="1">IFERROR(__xludf.DUMMYFUNCTION("IF
(
C8434=""фізична особа""
,
VLOOKUP(D8434,IMPORTRANGE(""https://docs.google.com/spreadsheets/d/14Bd19lYaqBhU8_DElYkX7l4wRkHqqCUFNJY4AfY3kHU/edit?usp=sharing  #gid=0"",""фіз особи new!relations_name""),6,FALSE)
,
(IF
(
C8434=""юридична особа""
,
VLOOKUP"&amp;"(D8434,IMPORTRANGE(""https://docs.google.com/spreadsheets/d/14Bd19lYaqBhU8_DElYkX7l4wRkHqqCUFNJY4AfY3kHU/edit?usp=sharing  #gid=0"",""фіз особи new!relations_name_uo""),7,FALSE)
,
)
))"),"ФРІДРІХСОН Надана Олександрівна")</f>
        <v>ФРІДРІХСОН Надана Олександрівна</v>
      </c>
      <c r="G8433" s="7" t="s">
        <v>10</v>
      </c>
      <c r="H8433" s="7">
        <v>0</v>
      </c>
      <c r="I8433" s="8" t="str">
        <f ca="1">IFERROR(__xludf.DUMMYFUNCTION("IF
(
G8434=""фізична особа""
,
VLOOKUP(H8434,IMPORTRANGE(""https://docs.google.com/spreadsheets/d/14Bd19lYaqBhU8_DElYkX7l4wRkHqqCUFNJY4AfY3kHU/edit?usp=sharing  #gid=0"",""фіз особи new!relations_name""),6,FALSE)
,
(IF
(
G8434=""юридична особа""
,
VLOOKUP"&amp;"(H8434,IMPORTRANGE(""https://docs.google.com/spreadsheets/d/14Bd19lYaqBhU8_DElYkX7l4wRkHqqCUFNJY4AfY3kHU/edit?usp=sharing  #gid=0"",""фіз особи new!relations_name_uo""),7,FALSE)
,
)
))"),"#N/A")</f>
        <v>#N/A</v>
      </c>
      <c r="J8433" s="7" t="s">
        <v>12</v>
      </c>
    </row>
    <row r="8434" spans="1:10" ht="13.2">
      <c r="A8434" s="7">
        <v>8433</v>
      </c>
      <c r="B8434" s="7">
        <v>1</v>
      </c>
      <c r="C8434" s="7" t="s">
        <v>10</v>
      </c>
      <c r="D8434" s="7">
        <v>10372</v>
      </c>
      <c r="E8434" s="7" t="s">
        <v>28</v>
      </c>
      <c r="F8434" s="8" t="str">
        <f ca="1">IFERROR(__xludf.DUMMYFUNCTION("IF
(
C8435=""фізична особа""
,
VLOOKUP(D8435,IMPORTRANGE(""https://docs.google.com/spreadsheets/d/14Bd19lYaqBhU8_DElYkX7l4wRkHqqCUFNJY4AfY3kHU/edit?usp=sharing  #gid=0"",""фіз особи new!relations_name""),6,FALSE)
,
(IF
(
C8435=""юридична особа""
,
VLOOKUP"&amp;"(D8435,IMPORTRANGE(""https://docs.google.com/spreadsheets/d/14Bd19lYaqBhU8_DElYkX7l4wRkHqqCUFNJY4AfY3kHU/edit?usp=sharing  #gid=0"",""фіз особи new!relations_name_uo""),7,FALSE)
,
)
))"),"ШЛІНЄВА Олена Олександрівна")</f>
        <v>ШЛІНЄВА Олена Олександрівна</v>
      </c>
      <c r="G8434" s="7" t="s">
        <v>10</v>
      </c>
      <c r="H8434" s="7">
        <v>2952</v>
      </c>
      <c r="I8434" s="8" t="str">
        <f ca="1">IFERROR(__xludf.DUMMYFUNCTION("IF
(
G8435=""фізична особа""
,
VLOOKUP(H8435,IMPORTRANGE(""https://docs.google.com/spreadsheets/d/14Bd19lYaqBhU8_DElYkX7l4wRkHqqCUFNJY4AfY3kHU/edit?usp=sharing  #gid=0"",""фіз особи new!relations_name""),6,FALSE)
,
(IF
(
G8435=""юридична особа""
,
VLOOKUP"&amp;"(H8435,IMPORTRANGE(""https://docs.google.com/spreadsheets/d/14Bd19lYaqBhU8_DElYkX7l4wRkHqqCUFNJY4AfY3kHU/edit?usp=sharing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4" s="7" t="s">
        <v>29</v>
      </c>
    </row>
    <row r="8435" spans="1:10" ht="13.2">
      <c r="A8435" s="7">
        <v>8434</v>
      </c>
      <c r="B8435" s="7">
        <v>1</v>
      </c>
      <c r="C8435" s="7" t="s">
        <v>10</v>
      </c>
      <c r="D8435" s="7">
        <v>10373</v>
      </c>
      <c r="E8435" s="7" t="s">
        <v>28</v>
      </c>
      <c r="F8435" s="8" t="str">
        <f ca="1">IFERROR(__xludf.DUMMYFUNCTION("IF
(
C8436=""фізична особа""
,
VLOOKUP(D8436,IMPORTRANGE(""https://docs.google.com/spreadsheets/d/14Bd19lYaqBhU8_DElYkX7l4wRkHqqCUFNJY4AfY3kHU/edit?usp=sharing  #gid=0"",""фіз особи new!relations_name""),6,FALSE)
,
(IF
(
C8436=""юридична особа""
,
VLOOKUP"&amp;"(D8436,IMPORTRANGE(""https://docs.google.com/spreadsheets/d/14Bd19lYaqBhU8_DElYkX7l4wRkHqqCUFNJY4AfY3kHU/edit?usp=sharing  #gid=0"",""фіз особи new!relations_name_uo""),7,FALSE)
,
)
))"),"ФІЛОНОВА Ольга Олександрівна")</f>
        <v>ФІЛОНОВА Ольга Олександрівна</v>
      </c>
      <c r="G8435" s="7" t="s">
        <v>10</v>
      </c>
      <c r="H8435" s="7">
        <v>2952</v>
      </c>
      <c r="I8435" s="8" t="str">
        <f ca="1">IFERROR(__xludf.DUMMYFUNCTION("IF
(
G8436=""фізична особа""
,
VLOOKUP(H8436,IMPORTRANGE(""https://docs.google.com/spreadsheets/d/14Bd19lYaqBhU8_DElYkX7l4wRkHqqCUFNJY4AfY3kHU/edit?usp=sharing  #gid=0"",""фіз особи new!relations_name""),6,FALSE)
,
(IF
(
G8436=""юридична особа""
,
VLOOKUP"&amp;"(H8436,IMPORTRANGE(""https://docs.google.com/spreadsheets/d/14Bd19lYaqBhU8_DElYkX7l4wRkHqqCUFNJY4AfY3kHU/edit?usp=sharing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5" s="7" t="s">
        <v>29</v>
      </c>
    </row>
    <row r="8436" spans="1:10" ht="13.2">
      <c r="A8436" s="7">
        <v>8435</v>
      </c>
      <c r="B8436" s="7">
        <v>1</v>
      </c>
      <c r="C8436" s="7" t="s">
        <v>10</v>
      </c>
      <c r="D8436" s="7">
        <v>10374</v>
      </c>
      <c r="E8436" s="7" t="s">
        <v>28</v>
      </c>
      <c r="F8436" s="8" t="str">
        <f ca="1">IFERROR(__xludf.DUMMYFUNCTION("IF
(
C8437=""фізична особа""
,
VLOOKUP(D8437,IMPORTRANGE(""https://docs.google.com/spreadsheets/d/14Bd19lYaqBhU8_DElYkX7l4wRkHqqCUFNJY4AfY3kHU/edit?usp=sharing  #gid=0"",""фіз особи new!relations_name""),6,FALSE)
,
(IF
(
C8437=""юридична особа""
,
VLOOKUP"&amp;"(D8437,IMPORTRANGE(""https://docs.google.com/spreadsheets/d/14Bd19lYaqBhU8_DElYkX7l4wRkHqqCUFNJY4AfY3kHU/edit?usp=sharing  #gid=0"",""фіз особи new!relations_name_uo""),7,FALSE)
,
)
))"),"БОГОМОЛОВ Кирило Сергійович")</f>
        <v>БОГОМОЛОВ Кирило Сергійович</v>
      </c>
      <c r="G8436" s="7" t="s">
        <v>10</v>
      </c>
      <c r="H8436" s="7">
        <v>2952</v>
      </c>
      <c r="I8436" s="8" t="str">
        <f ca="1">IFERROR(__xludf.DUMMYFUNCTION("IF
(
G8437=""фізична особа""
,
VLOOKUP(H8437,IMPORTRANGE(""https://docs.google.com/spreadsheets/d/14Bd19lYaqBhU8_DElYkX7l4wRkHqqCUFNJY4AfY3kHU/edit?usp=sharing  #gid=0"",""фіз особи new!relations_name""),6,FALSE)
,
(IF
(
G8437=""юридична особа""
,
VLOOKUP"&amp;"(H8437,IMPORTRANGE(""https://docs.google.com/spreadsheets/d/14Bd19lYaqBhU8_DElYkX7l4wRkHqqCUFNJY4AfY3kHU/edit?usp=sharing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6" s="7" t="s">
        <v>29</v>
      </c>
    </row>
    <row r="8437" spans="1:10" ht="13.2">
      <c r="A8437" s="7">
        <v>8436</v>
      </c>
      <c r="B8437" s="7">
        <v>1</v>
      </c>
      <c r="C8437" s="7" t="s">
        <v>10</v>
      </c>
      <c r="D8437" s="7">
        <v>10375</v>
      </c>
      <c r="E8437" s="7" t="s">
        <v>28</v>
      </c>
      <c r="F8437" s="8" t="str">
        <f ca="1">IFERROR(__xludf.DUMMYFUNCTION("IF
(
C8438=""фізична особа""
,
VLOOKUP(D8438,IMPORTRANGE(""https://docs.google.com/spreadsheets/d/14Bd19lYaqBhU8_DElYkX7l4wRkHqqCUFNJY4AfY3kHU/edit?usp=sharing  #gid=0"",""фіз особи new!relations_name""),6,FALSE)
,
(IF
(
C8438=""юридична особа""
,
VLOOKUP"&amp;"(D8438,IMPORTRANGE(""https://docs.google.com/spreadsheets/d/14Bd19lYaqBhU8_DElYkX7l4wRkHqqCUFNJY4AfY3kHU/edit?usp=sharing  #gid=0"",""фіз особи new!relations_name_uo""),7,FALSE)
,
)
))"),"КЛІМОВ Сергій Володимирович")</f>
        <v>КЛІМОВ Сергій Володимирович</v>
      </c>
      <c r="G8437" s="7" t="s">
        <v>10</v>
      </c>
      <c r="H8437" s="7">
        <v>2952</v>
      </c>
      <c r="I8437" s="8" t="str">
        <f ca="1">IFERROR(__xludf.DUMMYFUNCTION("IF
(
G8438=""фізична особа""
,
VLOOKUP(H8438,IMPORTRANGE(""https://docs.google.com/spreadsheets/d/14Bd19lYaqBhU8_DElYkX7l4wRkHqqCUFNJY4AfY3kHU/edit?usp=sharing  #gid=0"",""фіз особи new!relations_name""),6,FALSE)
,
(IF
(
G8438=""юридична особа""
,
VLOOKUP"&amp;"(H8438,IMPORTRANGE(""https://docs.google.com/spreadsheets/d/14Bd19lYaqBhU8_DElYkX7l4wRkHqqCUFNJY4AfY3kHU/edit?usp=sharing  #gid=0"",""фіз особи new!relations_name_uo""),7,FALSE)
,
)
))"),"ПРИМАКОВ Євген Олександрович")</f>
        <v>ПРИМАКОВ Євген Олександрович</v>
      </c>
      <c r="J8437" s="7" t="s">
        <v>29</v>
      </c>
    </row>
    <row r="8438" spans="1:10" ht="13.2">
      <c r="A8438" s="7">
        <v>8437</v>
      </c>
      <c r="B8438" s="7">
        <v>1</v>
      </c>
      <c r="C8438" s="7" t="s">
        <v>10</v>
      </c>
      <c r="D8438" s="7">
        <v>10376</v>
      </c>
      <c r="E8438" s="7" t="s">
        <v>28</v>
      </c>
      <c r="F8438" s="8" t="str">
        <f ca="1">IFERROR(__xludf.DUMMYFUNCTION("IF
(
C8439=""фізична особа""
,
VLOOKUP(D8439,IMPORTRANGE(""https://docs.google.com/spreadsheets/d/14Bd19lYaqBhU8_DElYkX7l4wRkHqqCUFNJY4AfY3kHU/edit?usp=sharing  #gid=0"",""фіз особи new!relations_name""),6,FALSE)
,
(IF
(
C8439=""юридична особа""
,
VLOOKUP"&amp;"(D8439,IMPORTRANGE(""https://docs.google.com/spreadsheets/d/14Bd19lYaqBhU8_DElYkX7l4wRkHqqCUFNJY4AfY3kHU/edit?usp=sharing  #gid=0"",""фіз особи new!relations_name_uo""),7,FALSE)
,
)
))"),"МАЙДАНОВ Ігор Іванович")</f>
        <v>МАЙДАНОВ Ігор Іванович</v>
      </c>
      <c r="G8438" s="7" t="s">
        <v>10</v>
      </c>
      <c r="H8438" s="7">
        <v>3029</v>
      </c>
      <c r="I8438" s="8" t="str">
        <f ca="1">IFERROR(__xludf.DUMMYFUNCTION("IF
(
G8439=""фізична особа""
,
VLOOKUP(H8439,IMPORTRANGE(""https://docs.google.com/spreadsheets/d/14Bd19lYaqBhU8_DElYkX7l4wRkHqqCUFNJY4AfY3kHU/edit?usp=sharing  #gid=0"",""фіз особи new!relations_name""),6,FALSE)
,
(IF
(
G8439=""юридична особа""
,
VLOOKUP"&amp;"(H8439,IMPORTRANGE(""https://docs.google.com/spreadsheets/d/14Bd19lYaqBhU8_DElYkX7l4wRkHqqCUFNJY4AfY3kHU/edit?usp=sharing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38" s="7" t="s">
        <v>29</v>
      </c>
    </row>
    <row r="8439" spans="1:10" ht="13.2">
      <c r="A8439" s="7">
        <v>8438</v>
      </c>
      <c r="B8439" s="7">
        <v>1</v>
      </c>
      <c r="C8439" s="7" t="s">
        <v>10</v>
      </c>
      <c r="D8439" s="7">
        <v>10377</v>
      </c>
      <c r="E8439" s="7" t="s">
        <v>28</v>
      </c>
      <c r="F8439" s="8" t="str">
        <f ca="1">IFERROR(__xludf.DUMMYFUNCTION("IF
(
C8440=""фізична особа""
,
VLOOKUP(D8440,IMPORTRANGE(""https://docs.google.com/spreadsheets/d/14Bd19lYaqBhU8_DElYkX7l4wRkHqqCUFNJY4AfY3kHU/edit?usp=sharing  #gid=0"",""фіз особи new!relations_name""),6,FALSE)
,
(IF
(
C8440=""юридична особа""
,
VLOOKUP"&amp;"(D8440,IMPORTRANGE(""https://docs.google.com/spreadsheets/d/14Bd19lYaqBhU8_DElYkX7l4wRkHqqCUFNJY4AfY3kHU/edit?usp=sharing  #gid=0"",""фіз особи new!relations_name_uo""),7,FALSE)
,
)
))"),"ЛІЛІНА Людмила Сергіївна")</f>
        <v>ЛІЛІНА Людмила Сергіївна</v>
      </c>
      <c r="G8439" s="7" t="s">
        <v>10</v>
      </c>
      <c r="H8439" s="7">
        <v>3029</v>
      </c>
      <c r="I8439" s="8" t="str">
        <f ca="1">IFERROR(__xludf.DUMMYFUNCTION("IF
(
G8440=""фізична особа""
,
VLOOKUP(H8440,IMPORTRANGE(""https://docs.google.com/spreadsheets/d/14Bd19lYaqBhU8_DElYkX7l4wRkHqqCUFNJY4AfY3kHU/edit?usp=sharing  #gid=0"",""фіз особи new!relations_name""),6,FALSE)
,
(IF
(
G8440=""юридична особа""
,
VLOOKUP"&amp;"(H8440,IMPORTRANGE(""https://docs.google.com/spreadsheets/d/14Bd19lYaqBhU8_DElYkX7l4wRkHqqCUFNJY4AfY3kHU/edit?usp=sharing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39" s="7" t="s">
        <v>29</v>
      </c>
    </row>
    <row r="8440" spans="1:10" ht="13.2">
      <c r="A8440" s="7">
        <v>8439</v>
      </c>
      <c r="B8440" s="7">
        <v>1</v>
      </c>
      <c r="C8440" s="7" t="s">
        <v>10</v>
      </c>
      <c r="D8440" s="7">
        <v>10378</v>
      </c>
      <c r="E8440" s="7" t="s">
        <v>28</v>
      </c>
      <c r="F8440" s="8" t="str">
        <f ca="1">IFERROR(__xludf.DUMMYFUNCTION("IF
(
C8441=""фізична особа""
,
VLOOKUP(D8441,IMPORTRANGE(""https://docs.google.com/spreadsheets/d/14Bd19lYaqBhU8_DElYkX7l4wRkHqqCUFNJY4AfY3kHU/edit?usp=sharing  #gid=0"",""фіз особи new!relations_name""),6,FALSE)
,
(IF
(
C8441=""юридична особа""
,
VLOOKUP"&amp;"(D8441,IMPORTRANGE(""https://docs.google.com/spreadsheets/d/14Bd19lYaqBhU8_DElYkX7l4wRkHqqCUFNJY4AfY3kHU/edit?usp=sharing  #gid=0"",""фіз особи new!relations_name_uo""),7,FALSE)
,
)
))"),"ВОЙТОВ Олександр Анатолійович")</f>
        <v>ВОЙТОВ Олександр Анатолійович</v>
      </c>
      <c r="G8440" s="7" t="s">
        <v>10</v>
      </c>
      <c r="H8440" s="7">
        <v>3029</v>
      </c>
      <c r="I8440" s="8" t="str">
        <f ca="1">IFERROR(__xludf.DUMMYFUNCTION("IF
(
G8441=""фізична особа""
,
VLOOKUP(H8441,IMPORTRANGE(""https://docs.google.com/spreadsheets/d/14Bd19lYaqBhU8_DElYkX7l4wRkHqqCUFNJY4AfY3kHU/edit?usp=sharing  #gid=0"",""фіз особи new!relations_name""),6,FALSE)
,
(IF
(
G8441=""юридична особа""
,
VLOOKUP"&amp;"(H8441,IMPORTRANGE(""https://docs.google.com/spreadsheets/d/14Bd19lYaqBhU8_DElYkX7l4wRkHqqCUFNJY4AfY3kHU/edit?usp=sharing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0" s="7" t="s">
        <v>29</v>
      </c>
    </row>
    <row r="8441" spans="1:10" ht="13.2">
      <c r="A8441" s="7">
        <v>8440</v>
      </c>
      <c r="B8441" s="7">
        <v>1</v>
      </c>
      <c r="C8441" s="7" t="s">
        <v>10</v>
      </c>
      <c r="D8441" s="7">
        <v>10379</v>
      </c>
      <c r="E8441" s="7" t="s">
        <v>28</v>
      </c>
      <c r="F8441" s="8" t="str">
        <f ca="1">IFERROR(__xludf.DUMMYFUNCTION("IF
(
C8442=""фізична особа""
,
VLOOKUP(D8442,IMPORTRANGE(""https://docs.google.com/spreadsheets/d/14Bd19lYaqBhU8_DElYkX7l4wRkHqqCUFNJY4AfY3kHU/edit?usp=sharing  #gid=0"",""фіз особи new!relations_name""),6,FALSE)
,
(IF
(
C8442=""юридична особа""
,
VLOOKUP"&amp;"(D8442,IMPORTRANGE(""https://docs.google.com/spreadsheets/d/14Bd19lYaqBhU8_DElYkX7l4wRkHqqCUFNJY4AfY3kHU/edit?usp=sharing  #gid=0"",""фіз особи new!relations_name_uo""),7,FALSE)
,
)
))"),"ТРЕТИННІКОВ Олександр Сергійович")</f>
        <v>ТРЕТИННІКОВ Олександр Сергійович</v>
      </c>
      <c r="G8441" s="7" t="s">
        <v>10</v>
      </c>
      <c r="H8441" s="7">
        <v>3029</v>
      </c>
      <c r="I8441" s="8" t="str">
        <f ca="1">IFERROR(__xludf.DUMMYFUNCTION("IF
(
G8442=""фізична особа""
,
VLOOKUP(H8442,IMPORTRANGE(""https://docs.google.com/spreadsheets/d/14Bd19lYaqBhU8_DElYkX7l4wRkHqqCUFNJY4AfY3kHU/edit?usp=sharing  #gid=0"",""фіз особи new!relations_name""),6,FALSE)
,
(IF
(
G8442=""юридична особа""
,
VLOOKUP"&amp;"(H8442,IMPORTRANGE(""https://docs.google.com/spreadsheets/d/14Bd19lYaqBhU8_DElYkX7l4wRkHqqCUFNJY4AfY3kHU/edit?usp=sharing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1" s="7" t="s">
        <v>29</v>
      </c>
    </row>
    <row r="8442" spans="1:10" ht="13.2">
      <c r="A8442" s="7">
        <v>8441</v>
      </c>
      <c r="B8442" s="7">
        <v>1</v>
      </c>
      <c r="C8442" s="7" t="s">
        <v>10</v>
      </c>
      <c r="D8442" s="7">
        <v>10380</v>
      </c>
      <c r="E8442" s="7" t="s">
        <v>28</v>
      </c>
      <c r="F8442" s="8" t="str">
        <f ca="1">IFERROR(__xludf.DUMMYFUNCTION("IF
(
C8443=""фізична особа""
,
VLOOKUP(D8443,IMPORTRANGE(""https://docs.google.com/spreadsheets/d/14Bd19lYaqBhU8_DElYkX7l4wRkHqqCUFNJY4AfY3kHU/edit?usp=sharing  #gid=0"",""фіз особи new!relations_name""),6,FALSE)
,
(IF
(
C8443=""юридична особа""
,
VLOOKUP"&amp;"(D8443,IMPORTRANGE(""https://docs.google.com/spreadsheets/d/14Bd19lYaqBhU8_DElYkX7l4wRkHqqCUFNJY4AfY3kHU/edit?usp=sharing  #gid=0"",""фіз особи new!relations_name_uo""),7,FALSE)
,
)
))"),"СОКОЛОВА Марина Георгіївна")</f>
        <v>СОКОЛОВА Марина Георгіївна</v>
      </c>
      <c r="G8442" s="7" t="s">
        <v>10</v>
      </c>
      <c r="H8442" s="7">
        <v>3029</v>
      </c>
      <c r="I8442" s="8" t="str">
        <f ca="1">IFERROR(__xludf.DUMMYFUNCTION("IF
(
G8443=""фізична особа""
,
VLOOKUP(H8443,IMPORTRANGE(""https://docs.google.com/spreadsheets/d/14Bd19lYaqBhU8_DElYkX7l4wRkHqqCUFNJY4AfY3kHU/edit?usp=sharing  #gid=0"",""фіз особи new!relations_name""),6,FALSE)
,
(IF
(
G8443=""юридична особа""
,
VLOOKUP"&amp;"(H8443,IMPORTRANGE(""https://docs.google.com/spreadsheets/d/14Bd19lYaqBhU8_DElYkX7l4wRkHqqCUFNJY4AfY3kHU/edit?usp=sharing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2" s="7" t="s">
        <v>29</v>
      </c>
    </row>
    <row r="8443" spans="1:10" ht="13.2">
      <c r="A8443" s="7">
        <v>8442</v>
      </c>
      <c r="B8443" s="7">
        <v>1</v>
      </c>
      <c r="C8443" s="7" t="s">
        <v>10</v>
      </c>
      <c r="D8443" s="7">
        <v>10381</v>
      </c>
      <c r="E8443" s="7" t="s">
        <v>28</v>
      </c>
      <c r="F8443" s="8" t="str">
        <f ca="1">IFERROR(__xludf.DUMMYFUNCTION("IF
(
C8444=""фізична особа""
,
VLOOKUP(D8444,IMPORTRANGE(""https://docs.google.com/spreadsheets/d/14Bd19lYaqBhU8_DElYkX7l4wRkHqqCUFNJY4AfY3kHU/edit?usp=sharing  #gid=0"",""фіз особи new!relations_name""),6,FALSE)
,
(IF
(
C8444=""юридична особа""
,
VLOOKUP"&amp;"(D8444,IMPORTRANGE(""https://docs.google.com/spreadsheets/d/14Bd19lYaqBhU8_DElYkX7l4wRkHqqCUFNJY4AfY3kHU/edit?usp=sharing  #gid=0"",""фіз особи new!relations_name_uo""),7,FALSE)
,
)
))"),"ДАНИЛІН Дмитро Валерійович")</f>
        <v>ДАНИЛІН Дмитро Валерійович</v>
      </c>
      <c r="G8443" s="7" t="s">
        <v>10</v>
      </c>
      <c r="H8443" s="7">
        <v>3029</v>
      </c>
      <c r="I8443" s="8" t="str">
        <f ca="1">IFERROR(__xludf.DUMMYFUNCTION("IF
(
G8444=""фізична особа""
,
VLOOKUP(H8444,IMPORTRANGE(""https://docs.google.com/spreadsheets/d/14Bd19lYaqBhU8_DElYkX7l4wRkHqqCUFNJY4AfY3kHU/edit?usp=sharing  #gid=0"",""фіз особи new!relations_name""),6,FALSE)
,
(IF
(
G8444=""юридична особа""
,
VLOOKUP"&amp;"(H8444,IMPORTRANGE(""https://docs.google.com/spreadsheets/d/14Bd19lYaqBhU8_DElYkX7l4wRkHqqCUFNJY4AfY3kHU/edit?usp=sharing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3" s="7" t="s">
        <v>29</v>
      </c>
    </row>
    <row r="8444" spans="1:10" ht="13.2">
      <c r="A8444" s="7">
        <v>8443</v>
      </c>
      <c r="B8444" s="7">
        <v>1</v>
      </c>
      <c r="C8444" s="7" t="s">
        <v>10</v>
      </c>
      <c r="D8444" s="7">
        <v>10382</v>
      </c>
      <c r="E8444" s="7" t="s">
        <v>28</v>
      </c>
      <c r="F8444" s="8" t="str">
        <f ca="1">IFERROR(__xludf.DUMMYFUNCTION("IF
(
C8445=""фізична особа""
,
VLOOKUP(D8445,IMPORTRANGE(""https://docs.google.com/spreadsheets/d/14Bd19lYaqBhU8_DElYkX7l4wRkHqqCUFNJY4AfY3kHU/edit?usp=sharing  #gid=0"",""фіз особи new!relations_name""),6,FALSE)
,
(IF
(
C8445=""юридична особа""
,
VLOOKUP"&amp;"(D8445,IMPORTRANGE(""https://docs.google.com/spreadsheets/d/14Bd19lYaqBhU8_DElYkX7l4wRkHqqCUFNJY4AfY3kHU/edit?usp=sharing  #gid=0"",""фіз особи new!relations_name_uo""),7,FALSE)
,
)
))"),"КИСЕЛЬОВ Сергій Олексійович")</f>
        <v>КИСЕЛЬОВ Сергій Олексійович</v>
      </c>
      <c r="G8444" s="7" t="s">
        <v>10</v>
      </c>
      <c r="H8444" s="7">
        <v>3029</v>
      </c>
      <c r="I8444" s="8" t="str">
        <f ca="1">IFERROR(__xludf.DUMMYFUNCTION("IF
(
G8445=""фізична особа""
,
VLOOKUP(H8445,IMPORTRANGE(""https://docs.google.com/spreadsheets/d/14Bd19lYaqBhU8_DElYkX7l4wRkHqqCUFNJY4AfY3kHU/edit?usp=sharing  #gid=0"",""фіз особи new!relations_name""),6,FALSE)
,
(IF
(
G8445=""юридична особа""
,
VLOOKUP"&amp;"(H8445,IMPORTRANGE(""https://docs.google.com/spreadsheets/d/14Bd19lYaqBhU8_DElYkX7l4wRkHqqCUFNJY4AfY3kHU/edit?usp=sharing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4" s="7" t="s">
        <v>29</v>
      </c>
    </row>
    <row r="8445" spans="1:10" ht="13.2">
      <c r="A8445" s="7">
        <v>8444</v>
      </c>
      <c r="B8445" s="7">
        <v>1</v>
      </c>
      <c r="C8445" s="7" t="s">
        <v>10</v>
      </c>
      <c r="D8445" s="7">
        <v>10383</v>
      </c>
      <c r="E8445" s="7" t="s">
        <v>28</v>
      </c>
      <c r="F8445" s="8" t="str">
        <f ca="1">IFERROR(__xludf.DUMMYFUNCTION("IF
(
C8446=""фізична особа""
,
VLOOKUP(D8446,IMPORTRANGE(""https://docs.google.com/spreadsheets/d/14Bd19lYaqBhU8_DElYkX7l4wRkHqqCUFNJY4AfY3kHU/edit?usp=sharing  #gid=0"",""фіз особи new!relations_name""),6,FALSE)
,
(IF
(
C8446=""юридична особа""
,
VLOOKUP"&amp;"(D8446,IMPORTRANGE(""https://docs.google.com/spreadsheets/d/14Bd19lYaqBhU8_DElYkX7l4wRkHqqCUFNJY4AfY3kHU/edit?usp=sharing  #gid=0"",""фіз особи new!relations_name_uo""),7,FALSE)
,
)
))"),"КУНІЦИНА Юлія Валеріївна")</f>
        <v>КУНІЦИНА Юлія Валеріївна</v>
      </c>
      <c r="G8445" s="7" t="s">
        <v>10</v>
      </c>
      <c r="H8445" s="7">
        <v>3029</v>
      </c>
      <c r="I8445" s="8" t="str">
        <f ca="1">IFERROR(__xludf.DUMMYFUNCTION("IF
(
G8446=""фізична особа""
,
VLOOKUP(H8446,IMPORTRANGE(""https://docs.google.com/spreadsheets/d/14Bd19lYaqBhU8_DElYkX7l4wRkHqqCUFNJY4AfY3kHU/edit?usp=sharing  #gid=0"",""фіз особи new!relations_name""),6,FALSE)
,
(IF
(
G8446=""юридична особа""
,
VLOOKUP"&amp;"(H8446,IMPORTRANGE(""https://docs.google.com/spreadsheets/d/14Bd19lYaqBhU8_DElYkX7l4wRkHqqCUFNJY4AfY3kHU/edit?usp=sharing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5" s="7" t="s">
        <v>29</v>
      </c>
    </row>
    <row r="8446" spans="1:10" ht="13.2">
      <c r="A8446" s="7">
        <v>8445</v>
      </c>
      <c r="B8446" s="7">
        <v>1</v>
      </c>
      <c r="C8446" s="7" t="s">
        <v>10</v>
      </c>
      <c r="D8446" s="7">
        <v>10384</v>
      </c>
      <c r="E8446" s="7" t="s">
        <v>28</v>
      </c>
      <c r="F8446" s="8" t="str">
        <f ca="1">IFERROR(__xludf.DUMMYFUNCTION("IF
(
C8447=""фізична особа""
,
VLOOKUP(D8447,IMPORTRANGE(""https://docs.google.com/spreadsheets/d/14Bd19lYaqBhU8_DElYkX7l4wRkHqqCUFNJY4AfY3kHU/edit?usp=sharing  #gid=0"",""фіз особи new!relations_name""),6,FALSE)
,
(IF
(
C8447=""юридична особа""
,
VLOOKUP"&amp;"(D8447,IMPORTRANGE(""https://docs.google.com/spreadsheets/d/14Bd19lYaqBhU8_DElYkX7l4wRkHqqCUFNJY4AfY3kHU/edit?usp=sharing  #gid=0"",""фіз особи new!relations_name_uo""),7,FALSE)
,
)
))"),"КАСТАНЬО Оксана Олексіївна")</f>
        <v>КАСТАНЬО Оксана Олексіївна</v>
      </c>
      <c r="G8446" s="7" t="s">
        <v>10</v>
      </c>
      <c r="H8446" s="7">
        <v>3029</v>
      </c>
      <c r="I8446" s="8" t="str">
        <f ca="1">IFERROR(__xludf.DUMMYFUNCTION("IF
(
G8447=""фізична особа""
,
VLOOKUP(H8447,IMPORTRANGE(""https://docs.google.com/spreadsheets/d/14Bd19lYaqBhU8_DElYkX7l4wRkHqqCUFNJY4AfY3kHU/edit?usp=sharing  #gid=0"",""фіз особи new!relations_name""),6,FALSE)
,
(IF
(
G8447=""юридична особа""
,
VLOOKUP"&amp;"(H8447,IMPORTRANGE(""https://docs.google.com/spreadsheets/d/14Bd19lYaqBhU8_DElYkX7l4wRkHqqCUFNJY4AfY3kHU/edit?usp=sharing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6" s="7" t="s">
        <v>29</v>
      </c>
    </row>
    <row r="8447" spans="1:10" ht="13.2">
      <c r="A8447" s="7">
        <v>8446</v>
      </c>
      <c r="B8447" s="7">
        <v>1</v>
      </c>
      <c r="C8447" s="7" t="s">
        <v>10</v>
      </c>
      <c r="D8447" s="7">
        <v>10385</v>
      </c>
      <c r="E8447" s="7" t="s">
        <v>28</v>
      </c>
      <c r="F8447" s="8" t="str">
        <f ca="1">IFERROR(__xludf.DUMMYFUNCTION("IF
(
C8448=""фізична особа""
,
VLOOKUP(D8448,IMPORTRANGE(""https://docs.google.com/spreadsheets/d/14Bd19lYaqBhU8_DElYkX7l4wRkHqqCUFNJY4AfY3kHU/edit?usp=sharing  #gid=0"",""фіз особи new!relations_name""),6,FALSE)
,
(IF
(
C8448=""юридична особа""
,
VLOOKUP"&amp;"(D8448,IMPORTRANGE(""https://docs.google.com/spreadsheets/d/14Bd19lYaqBhU8_DElYkX7l4wRkHqqCUFNJY4AfY3kHU/edit?usp=sharing  #gid=0"",""фіз особи new!relations_name_uo""),7,FALSE)
,
)
))"),"ДМИТРІЄВ Юрій Євгенович")</f>
        <v>ДМИТРІЄВ Юрій Євгенович</v>
      </c>
      <c r="G8447" s="7" t="s">
        <v>10</v>
      </c>
      <c r="H8447" s="7">
        <v>3029</v>
      </c>
      <c r="I8447" s="8" t="str">
        <f ca="1">IFERROR(__xludf.DUMMYFUNCTION("IF
(
G8448=""фізична особа""
,
VLOOKUP(H8448,IMPORTRANGE(""https://docs.google.com/spreadsheets/d/14Bd19lYaqBhU8_DElYkX7l4wRkHqqCUFNJY4AfY3kHU/edit?usp=sharing  #gid=0"",""фіз особи new!relations_name""),6,FALSE)
,
(IF
(
G8448=""юридична особа""
,
VLOOKUP"&amp;"(H8448,IMPORTRANGE(""https://docs.google.com/spreadsheets/d/14Bd19lYaqBhU8_DElYkX7l4wRkHqqCUFNJY4AfY3kHU/edit?usp=sharing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7" s="7" t="s">
        <v>29</v>
      </c>
    </row>
    <row r="8448" spans="1:10" ht="13.2">
      <c r="A8448" s="7">
        <v>8447</v>
      </c>
      <c r="B8448" s="7">
        <v>1</v>
      </c>
      <c r="C8448" s="7" t="s">
        <v>10</v>
      </c>
      <c r="D8448" s="7">
        <v>10386</v>
      </c>
      <c r="E8448" s="7" t="s">
        <v>28</v>
      </c>
      <c r="F8448" s="8" t="str">
        <f ca="1">IFERROR(__xludf.DUMMYFUNCTION("IF
(
C8449=""фізична особа""
,
VLOOKUP(D8449,IMPORTRANGE(""https://docs.google.com/spreadsheets/d/14Bd19lYaqBhU8_DElYkX7l4wRkHqqCUFNJY4AfY3kHU/edit?usp=sharing  #gid=0"",""фіз особи new!relations_name""),6,FALSE)
,
(IF
(
C8449=""юридична особа""
,
VLOOKUP"&amp;"(D8449,IMPORTRANGE(""https://docs.google.com/spreadsheets/d/14Bd19lYaqBhU8_DElYkX7l4wRkHqqCUFNJY4AfY3kHU/edit?usp=sharing  #gid=0"",""фіз особи new!relations_name_uo""),7,FALSE)
,
)
))"),"ХАРИТОВ Максим Дмитрович")</f>
        <v>ХАРИТОВ Максим Дмитрович</v>
      </c>
      <c r="G8448" s="7" t="s">
        <v>10</v>
      </c>
      <c r="H8448" s="7">
        <v>3029</v>
      </c>
      <c r="I8448" s="8" t="str">
        <f ca="1">IFERROR(__xludf.DUMMYFUNCTION("IF
(
G8449=""фізична особа""
,
VLOOKUP(H8449,IMPORTRANGE(""https://docs.google.com/spreadsheets/d/14Bd19lYaqBhU8_DElYkX7l4wRkHqqCUFNJY4AfY3kHU/edit?usp=sharing  #gid=0"",""фіз особи new!relations_name""),6,FALSE)
,
(IF
(
G8449=""юридична особа""
,
VLOOKUP"&amp;"(H8449,IMPORTRANGE(""https://docs.google.com/spreadsheets/d/14Bd19lYaqBhU8_DElYkX7l4wRkHqqCUFNJY4AfY3kHU/edit?usp=sharing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8" s="7" t="s">
        <v>29</v>
      </c>
    </row>
    <row r="8449" spans="1:10" ht="13.2">
      <c r="A8449" s="7">
        <v>8448</v>
      </c>
      <c r="B8449" s="7">
        <v>1</v>
      </c>
      <c r="C8449" s="7" t="s">
        <v>10</v>
      </c>
      <c r="D8449" s="7">
        <v>10387</v>
      </c>
      <c r="E8449" s="7" t="s">
        <v>28</v>
      </c>
      <c r="F8449" s="8" t="str">
        <f ca="1">IFERROR(__xludf.DUMMYFUNCTION("IF
(
C8450=""фізична особа""
,
VLOOKUP(D8450,IMPORTRANGE(""https://docs.google.com/spreadsheets/d/14Bd19lYaqBhU8_DElYkX7l4wRkHqqCUFNJY4AfY3kHU/edit?usp=sharing  #gid=0"",""фіз особи new!relations_name""),6,FALSE)
,
(IF
(
C8450=""юридична особа""
,
VLOOKUP"&amp;"(D8450,IMPORTRANGE(""https://docs.google.com/spreadsheets/d/14Bd19lYaqBhU8_DElYkX7l4wRkHqqCUFNJY4AfY3kHU/edit?usp=sharing  #gid=0"",""фіз особи new!relations_name_uo""),7,FALSE)
,
)
))"),"ІСМАЇЛОВА Діана Германівна")</f>
        <v>ІСМАЇЛОВА Діана Германівна</v>
      </c>
      <c r="G8449" s="7" t="s">
        <v>10</v>
      </c>
      <c r="H8449" s="7">
        <v>3029</v>
      </c>
      <c r="I8449" s="8" t="str">
        <f ca="1">IFERROR(__xludf.DUMMYFUNCTION("IF
(
G8450=""фізична особа""
,
VLOOKUP(H8450,IMPORTRANGE(""https://docs.google.com/spreadsheets/d/14Bd19lYaqBhU8_DElYkX7l4wRkHqqCUFNJY4AfY3kHU/edit?usp=sharing  #gid=0"",""фіз особи new!relations_name""),6,FALSE)
,
(IF
(
G8450=""юридична особа""
,
VLOOKUP"&amp;"(H8450,IMPORTRANGE(""https://docs.google.com/spreadsheets/d/14Bd19lYaqBhU8_DElYkX7l4wRkHqqCUFNJY4AfY3kHU/edit?usp=sharing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49" s="7" t="s">
        <v>29</v>
      </c>
    </row>
    <row r="8450" spans="1:10" ht="13.2">
      <c r="A8450" s="7">
        <v>8449</v>
      </c>
      <c r="B8450" s="7">
        <v>1</v>
      </c>
      <c r="C8450" s="7" t="s">
        <v>10</v>
      </c>
      <c r="D8450" s="7">
        <v>10388</v>
      </c>
      <c r="E8450" s="7" t="s">
        <v>28</v>
      </c>
      <c r="F8450" s="8" t="str">
        <f ca="1">IFERROR(__xludf.DUMMYFUNCTION("IF
(
C8451=""фізична особа""
,
VLOOKUP(D8451,IMPORTRANGE(""https://docs.google.com/spreadsheets/d/14Bd19lYaqBhU8_DElYkX7l4wRkHqqCUFNJY4AfY3kHU/edit?usp=sharing  #gid=0"",""фіз особи new!relations_name""),6,FALSE)
,
(IF
(
C8451=""юридична особа""
,
VLOOKUP"&amp;"(D8451,IMPORTRANGE(""https://docs.google.com/spreadsheets/d/14Bd19lYaqBhU8_DElYkX7l4wRkHqqCUFNJY4AfY3kHU/edit?usp=sharing  #gid=0"",""фіз особи new!relations_name_uo""),7,FALSE)
,
)
))"),"КОРНІЛОВИЧ Надія Володимирівна")</f>
        <v>КОРНІЛОВИЧ Надія Володимирівна</v>
      </c>
      <c r="G8450" s="7" t="s">
        <v>10</v>
      </c>
      <c r="H8450" s="7">
        <v>3029</v>
      </c>
      <c r="I8450" s="8" t="str">
        <f ca="1">IFERROR(__xludf.DUMMYFUNCTION("IF
(
G8451=""фізична особа""
,
VLOOKUP(H8451,IMPORTRANGE(""https://docs.google.com/spreadsheets/d/14Bd19lYaqBhU8_DElYkX7l4wRkHqqCUFNJY4AfY3kHU/edit?usp=sharing  #gid=0"",""фіз особи new!relations_name""),6,FALSE)
,
(IF
(
G8451=""юридична особа""
,
VLOOKUP"&amp;"(H8451,IMPORTRANGE(""https://docs.google.com/spreadsheets/d/14Bd19lYaqBhU8_DElYkX7l4wRkHqqCUFNJY4AfY3kHU/edit?usp=sharing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0" s="7" t="s">
        <v>29</v>
      </c>
    </row>
    <row r="8451" spans="1:10" ht="13.2">
      <c r="A8451" s="7">
        <v>8450</v>
      </c>
      <c r="B8451" s="7">
        <v>1</v>
      </c>
      <c r="C8451" s="7" t="s">
        <v>10</v>
      </c>
      <c r="D8451" s="7">
        <v>10389</v>
      </c>
      <c r="E8451" s="7" t="s">
        <v>28</v>
      </c>
      <c r="F8451" s="8" t="str">
        <f ca="1">IFERROR(__xludf.DUMMYFUNCTION("IF
(
C8452=""фізична особа""
,
VLOOKUP(D8452,IMPORTRANGE(""https://docs.google.com/spreadsheets/d/14Bd19lYaqBhU8_DElYkX7l4wRkHqqCUFNJY4AfY3kHU/edit?usp=sharing  #gid=0"",""фіз особи new!relations_name""),6,FALSE)
,
(IF
(
C8452=""юридична особа""
,
VLOOKUP"&amp;"(D8452,IMPORTRANGE(""https://docs.google.com/spreadsheets/d/14Bd19lYaqBhU8_DElYkX7l4wRkHqqCUFNJY4AfY3kHU/edit?usp=sharing  #gid=0"",""фіз особи new!relations_name_uo""),7,FALSE)
,
)
))"),"КОВАЛЬОВА Лариса Анатоліївна")</f>
        <v>КОВАЛЬОВА Лариса Анатоліївна</v>
      </c>
      <c r="G8451" s="7" t="s">
        <v>10</v>
      </c>
      <c r="H8451" s="7">
        <v>3029</v>
      </c>
      <c r="I8451" s="8" t="str">
        <f ca="1">IFERROR(__xludf.DUMMYFUNCTION("IF
(
G8452=""фізична особа""
,
VLOOKUP(H8452,IMPORTRANGE(""https://docs.google.com/spreadsheets/d/14Bd19lYaqBhU8_DElYkX7l4wRkHqqCUFNJY4AfY3kHU/edit?usp=sharing  #gid=0"",""фіз особи new!relations_name""),6,FALSE)
,
(IF
(
G8452=""юридична особа""
,
VLOOKUP"&amp;"(H8452,IMPORTRANGE(""https://docs.google.com/spreadsheets/d/14Bd19lYaqBhU8_DElYkX7l4wRkHqqCUFNJY4AfY3kHU/edit?usp=sharing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1" s="7" t="s">
        <v>29</v>
      </c>
    </row>
    <row r="8452" spans="1:10" ht="13.2">
      <c r="A8452" s="7">
        <v>8451</v>
      </c>
      <c r="B8452" s="7">
        <v>1</v>
      </c>
      <c r="C8452" s="7" t="s">
        <v>10</v>
      </c>
      <c r="D8452" s="7">
        <v>10390</v>
      </c>
      <c r="E8452" s="7" t="s">
        <v>28</v>
      </c>
      <c r="F8452" s="8" t="str">
        <f ca="1">IFERROR(__xludf.DUMMYFUNCTION("IF
(
C8453=""фізична особа""
,
VLOOKUP(D8453,IMPORTRANGE(""https://docs.google.com/spreadsheets/d/14Bd19lYaqBhU8_DElYkX7l4wRkHqqCUFNJY4AfY3kHU/edit?usp=sharing  #gid=0"",""фіз особи new!relations_name""),6,FALSE)
,
(IF
(
C8453=""юридична особа""
,
VLOOKUP"&amp;"(D8453,IMPORTRANGE(""https://docs.google.com/spreadsheets/d/14Bd19lYaqBhU8_DElYkX7l4wRkHqqCUFNJY4AfY3kHU/edit?usp=sharing  #gid=0"",""фіз особи new!relations_name_uo""),7,FALSE)
,
)
))"),"ГАЛІШИН Едуард Уралович")</f>
        <v>ГАЛІШИН Едуард Уралович</v>
      </c>
      <c r="G8452" s="7" t="s">
        <v>10</v>
      </c>
      <c r="H8452" s="7">
        <v>3029</v>
      </c>
      <c r="I8452" s="8" t="str">
        <f ca="1">IFERROR(__xludf.DUMMYFUNCTION("IF
(
G8453=""фізична особа""
,
VLOOKUP(H8453,IMPORTRANGE(""https://docs.google.com/spreadsheets/d/14Bd19lYaqBhU8_DElYkX7l4wRkHqqCUFNJY4AfY3kHU/edit?usp=sharing  #gid=0"",""фіз особи new!relations_name""),6,FALSE)
,
(IF
(
G8453=""юридична особа""
,
VLOOKUP"&amp;"(H8453,IMPORTRANGE(""https://docs.google.com/spreadsheets/d/14Bd19lYaqBhU8_DElYkX7l4wRkHqqCUFNJY4AfY3kHU/edit?usp=sharing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2" s="7" t="s">
        <v>29</v>
      </c>
    </row>
    <row r="8453" spans="1:10" ht="13.2">
      <c r="A8453" s="7">
        <v>8452</v>
      </c>
      <c r="B8453" s="7">
        <v>1</v>
      </c>
      <c r="C8453" s="7" t="s">
        <v>10</v>
      </c>
      <c r="D8453" s="7">
        <v>10391</v>
      </c>
      <c r="E8453" s="7" t="s">
        <v>28</v>
      </c>
      <c r="F8453" s="8" t="str">
        <f ca="1">IFERROR(__xludf.DUMMYFUNCTION("IF
(
C8454=""фізична особа""
,
VLOOKUP(D8454,IMPORTRANGE(""https://docs.google.com/spreadsheets/d/14Bd19lYaqBhU8_DElYkX7l4wRkHqqCUFNJY4AfY3kHU/edit?usp=sharing  #gid=0"",""фіз особи new!relations_name""),6,FALSE)
,
(IF
(
C8454=""юридична особа""
,
VLOOKUP"&amp;"(D8454,IMPORTRANGE(""https://docs.google.com/spreadsheets/d/14Bd19lYaqBhU8_DElYkX7l4wRkHqqCUFNJY4AfY3kHU/edit?usp=sharing  #gid=0"",""фіз особи new!relations_name_uo""),7,FALSE)
,
)
))"),"КОРЯКІН Василь Іванович")</f>
        <v>КОРЯКІН Василь Іванович</v>
      </c>
      <c r="G8453" s="7" t="s">
        <v>10</v>
      </c>
      <c r="H8453" s="7">
        <v>3029</v>
      </c>
      <c r="I8453" s="8" t="str">
        <f ca="1">IFERROR(__xludf.DUMMYFUNCTION("IF
(
G8454=""фізична особа""
,
VLOOKUP(H8454,IMPORTRANGE(""https://docs.google.com/spreadsheets/d/14Bd19lYaqBhU8_DElYkX7l4wRkHqqCUFNJY4AfY3kHU/edit?usp=sharing  #gid=0"",""фіз особи new!relations_name""),6,FALSE)
,
(IF
(
G8454=""юридична особа""
,
VLOOKUP"&amp;"(H8454,IMPORTRANGE(""https://docs.google.com/spreadsheets/d/14Bd19lYaqBhU8_DElYkX7l4wRkHqqCUFNJY4AfY3kHU/edit?usp=sharing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3" s="7" t="s">
        <v>29</v>
      </c>
    </row>
    <row r="8454" spans="1:10" ht="13.2">
      <c r="A8454" s="7">
        <v>8453</v>
      </c>
      <c r="B8454" s="7">
        <v>1</v>
      </c>
      <c r="C8454" s="7" t="s">
        <v>10</v>
      </c>
      <c r="D8454" s="7">
        <v>10392</v>
      </c>
      <c r="E8454" s="7" t="s">
        <v>28</v>
      </c>
      <c r="F8454" s="8" t="str">
        <f ca="1">IFERROR(__xludf.DUMMYFUNCTION("IF
(
C8455=""фізична особа""
,
VLOOKUP(D8455,IMPORTRANGE(""https://docs.google.com/spreadsheets/d/14Bd19lYaqBhU8_DElYkX7l4wRkHqqCUFNJY4AfY3kHU/edit?usp=sharing  #gid=0"",""фіз особи new!relations_name""),6,FALSE)
,
(IF
(
C8455=""юридична особа""
,
VLOOKUP"&amp;"(D8455,IMPORTRANGE(""https://docs.google.com/spreadsheets/d/14Bd19lYaqBhU8_DElYkX7l4wRkHqqCUFNJY4AfY3kHU/edit?usp=sharing  #gid=0"",""фіз особи new!relations_name_uo""),7,FALSE)
,
)
))"),"ВОЛОДЧЕНКО Ганна Михайлівна")</f>
        <v>ВОЛОДЧЕНКО Ганна Михайлівна</v>
      </c>
      <c r="G8454" s="7" t="s">
        <v>10</v>
      </c>
      <c r="H8454" s="7">
        <v>3029</v>
      </c>
      <c r="I8454" s="8" t="str">
        <f ca="1">IFERROR(__xludf.DUMMYFUNCTION("IF
(
G8455=""фізична особа""
,
VLOOKUP(H8455,IMPORTRANGE(""https://docs.google.com/spreadsheets/d/14Bd19lYaqBhU8_DElYkX7l4wRkHqqCUFNJY4AfY3kHU/edit?usp=sharing  #gid=0"",""фіз особи new!relations_name""),6,FALSE)
,
(IF
(
G8455=""юридична особа""
,
VLOOKUP"&amp;"(H8455,IMPORTRANGE(""https://docs.google.com/spreadsheets/d/14Bd19lYaqBhU8_DElYkX7l4wRkHqqCUFNJY4AfY3kHU/edit?usp=sharing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4" s="7" t="s">
        <v>29</v>
      </c>
    </row>
    <row r="8455" spans="1:10" ht="13.2">
      <c r="A8455" s="7">
        <v>8454</v>
      </c>
      <c r="B8455" s="7">
        <v>1</v>
      </c>
      <c r="C8455" s="7" t="s">
        <v>10</v>
      </c>
      <c r="D8455" s="7">
        <v>10393</v>
      </c>
      <c r="E8455" s="7" t="s">
        <v>28</v>
      </c>
      <c r="F8455" s="8" t="str">
        <f ca="1">IFERROR(__xludf.DUMMYFUNCTION("IF
(
C8456=""фізична особа""
,
VLOOKUP(D8456,IMPORTRANGE(""https://docs.google.com/spreadsheets/d/14Bd19lYaqBhU8_DElYkX7l4wRkHqqCUFNJY4AfY3kHU/edit?usp=sharing  #gid=0"",""фіз особи new!relations_name""),6,FALSE)
,
(IF
(
C8456=""юридична особа""
,
VLOOKUP"&amp;"(D8456,IMPORTRANGE(""https://docs.google.com/spreadsheets/d/14Bd19lYaqBhU8_DElYkX7l4wRkHqqCUFNJY4AfY3kHU/edit?usp=sharing  #gid=0"",""фіз особи new!relations_name_uo""),7,FALSE)
,
)
))"),"БЄЛОКОПИТОВ Сергій Васильович")</f>
        <v>БЄЛОКОПИТОВ Сергій Васильович</v>
      </c>
      <c r="G8455" s="7" t="s">
        <v>10</v>
      </c>
      <c r="H8455" s="7">
        <v>3029</v>
      </c>
      <c r="I8455" s="8" t="str">
        <f ca="1">IFERROR(__xludf.DUMMYFUNCTION("IF
(
G8456=""фізична особа""
,
VLOOKUP(H8456,IMPORTRANGE(""https://docs.google.com/spreadsheets/d/14Bd19lYaqBhU8_DElYkX7l4wRkHqqCUFNJY4AfY3kHU/edit?usp=sharing  #gid=0"",""фіз особи new!relations_name""),6,FALSE)
,
(IF
(
G8456=""юридична особа""
,
VLOOKUP"&amp;"(H8456,IMPORTRANGE(""https://docs.google.com/spreadsheets/d/14Bd19lYaqBhU8_DElYkX7l4wRkHqqCUFNJY4AfY3kHU/edit?usp=sharing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5" s="7" t="s">
        <v>29</v>
      </c>
    </row>
    <row r="8456" spans="1:10" ht="13.2">
      <c r="A8456" s="7">
        <v>8455</v>
      </c>
      <c r="B8456" s="7">
        <v>1</v>
      </c>
      <c r="C8456" s="7" t="s">
        <v>10</v>
      </c>
      <c r="D8456" s="7">
        <v>10394</v>
      </c>
      <c r="E8456" s="7" t="s">
        <v>28</v>
      </c>
      <c r="F8456" s="8" t="str">
        <f ca="1">IFERROR(__xludf.DUMMYFUNCTION("IF
(
C8457=""фізична особа""
,
VLOOKUP(D8457,IMPORTRANGE(""https://docs.google.com/spreadsheets/d/14Bd19lYaqBhU8_DElYkX7l4wRkHqqCUFNJY4AfY3kHU/edit?usp=sharing  #gid=0"",""фіз особи new!relations_name""),6,FALSE)
,
(IF
(
C8457=""юридична особа""
,
VLOOKUP"&amp;"(D8457,IMPORTRANGE(""https://docs.google.com/spreadsheets/d/14Bd19lYaqBhU8_DElYkX7l4wRkHqqCUFNJY4AfY3kHU/edit?usp=sharing  #gid=0"",""фіз особи new!relations_name_uo""),7,FALSE)
,
)
))"),"ДУБРОВА Сергій Миколайович")</f>
        <v>ДУБРОВА Сергій Миколайович</v>
      </c>
      <c r="G8456" s="7" t="s">
        <v>10</v>
      </c>
      <c r="H8456" s="7">
        <v>3029</v>
      </c>
      <c r="I8456" s="8" t="str">
        <f ca="1">IFERROR(__xludf.DUMMYFUNCTION("IF
(
G8457=""фізична особа""
,
VLOOKUP(H8457,IMPORTRANGE(""https://docs.google.com/spreadsheets/d/14Bd19lYaqBhU8_DElYkX7l4wRkHqqCUFNJY4AfY3kHU/edit?usp=sharing  #gid=0"",""фіз особи new!relations_name""),6,FALSE)
,
(IF
(
G8457=""юридична особа""
,
VLOOKUP"&amp;"(H8457,IMPORTRANGE(""https://docs.google.com/spreadsheets/d/14Bd19lYaqBhU8_DElYkX7l4wRkHqqCUFNJY4AfY3kHU/edit?usp=sharing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6" s="7" t="s">
        <v>29</v>
      </c>
    </row>
    <row r="8457" spans="1:10" ht="13.2">
      <c r="A8457" s="7">
        <v>8456</v>
      </c>
      <c r="B8457" s="7">
        <v>1</v>
      </c>
      <c r="C8457" s="7" t="s">
        <v>10</v>
      </c>
      <c r="D8457" s="7">
        <v>10395</v>
      </c>
      <c r="E8457" s="7" t="s">
        <v>28</v>
      </c>
      <c r="F8457" s="8" t="str">
        <f ca="1">IFERROR(__xludf.DUMMYFUNCTION("IF
(
C8458=""фізична особа""
,
VLOOKUP(D8458,IMPORTRANGE(""https://docs.google.com/spreadsheets/d/14Bd19lYaqBhU8_DElYkX7l4wRkHqqCUFNJY4AfY3kHU/edit?usp=sharing  #gid=0"",""фіз особи new!relations_name""),6,FALSE)
,
(IF
(
C8458=""юридична особа""
,
VLOOKUP"&amp;"(D8458,IMPORTRANGE(""https://docs.google.com/spreadsheets/d/14Bd19lYaqBhU8_DElYkX7l4wRkHqqCUFNJY4AfY3kHU/edit?usp=sharing  #gid=0"",""фіз особи new!relations_name_uo""),7,FALSE)
,
)
))"),"ЖДАНОВ Владислав Леонідович")</f>
        <v>ЖДАНОВ Владислав Леонідович</v>
      </c>
      <c r="G8457" s="7" t="s">
        <v>10</v>
      </c>
      <c r="H8457" s="7">
        <v>3029</v>
      </c>
      <c r="I8457" s="8" t="str">
        <f ca="1">IFERROR(__xludf.DUMMYFUNCTION("IF
(
G8458=""фізична особа""
,
VLOOKUP(H8458,IMPORTRANGE(""https://docs.google.com/spreadsheets/d/14Bd19lYaqBhU8_DElYkX7l4wRkHqqCUFNJY4AfY3kHU/edit?usp=sharing  #gid=0"",""фіз особи new!relations_name""),6,FALSE)
,
(IF
(
G8458=""юридична особа""
,
VLOOKUP"&amp;"(H8458,IMPORTRANGE(""https://docs.google.com/spreadsheets/d/14Bd19lYaqBhU8_DElYkX7l4wRkHqqCUFNJY4AfY3kHU/edit?usp=sharing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7" s="7" t="s">
        <v>29</v>
      </c>
    </row>
    <row r="8458" spans="1:10" ht="13.2">
      <c r="A8458" s="7">
        <v>8457</v>
      </c>
      <c r="B8458" s="7">
        <v>1</v>
      </c>
      <c r="C8458" s="7" t="s">
        <v>10</v>
      </c>
      <c r="D8458" s="7">
        <v>10396</v>
      </c>
      <c r="E8458" s="7" t="s">
        <v>28</v>
      </c>
      <c r="F8458" s="8" t="str">
        <f ca="1">IFERROR(__xludf.DUMMYFUNCTION("IF
(
C8459=""фізична особа""
,
VLOOKUP(D8459,IMPORTRANGE(""https://docs.google.com/spreadsheets/d/14Bd19lYaqBhU8_DElYkX7l4wRkHqqCUFNJY4AfY3kHU/edit?usp=sharing  #gid=0"",""фіз особи new!relations_name""),6,FALSE)
,
(IF
(
C8459=""юридична особа""
,
VLOOKUP"&amp;"(D8459,IMPORTRANGE(""https://docs.google.com/spreadsheets/d/14Bd19lYaqBhU8_DElYkX7l4wRkHqqCUFNJY4AfY3kHU/edit?usp=sharing  #gid=0"",""фіз особи new!relations_name_uo""),7,FALSE)
,
)
))"),"ТУРЧАНОВА Тетяна Петрівна")</f>
        <v>ТУРЧАНОВА Тетяна Петрівна</v>
      </c>
      <c r="G8458" s="7" t="s">
        <v>10</v>
      </c>
      <c r="H8458" s="7">
        <v>3029</v>
      </c>
      <c r="I8458" s="8" t="str">
        <f ca="1">IFERROR(__xludf.DUMMYFUNCTION("IF
(
G8459=""фізична особа""
,
VLOOKUP(H8459,IMPORTRANGE(""https://docs.google.com/spreadsheets/d/14Bd19lYaqBhU8_DElYkX7l4wRkHqqCUFNJY4AfY3kHU/edit?usp=sharing  #gid=0"",""фіз особи new!relations_name""),6,FALSE)
,
(IF
(
G8459=""юридична особа""
,
VLOOKUP"&amp;"(H8459,IMPORTRANGE(""https://docs.google.com/spreadsheets/d/14Bd19lYaqBhU8_DElYkX7l4wRkHqqCUFNJY4AfY3kHU/edit?usp=sharing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458" s="7" t="s">
        <v>29</v>
      </c>
    </row>
    <row r="8459" spans="1:10" ht="13.2">
      <c r="A8459" s="7">
        <v>8458</v>
      </c>
      <c r="B8459" s="7">
        <v>1</v>
      </c>
      <c r="C8459" s="7" t="s">
        <v>10</v>
      </c>
      <c r="D8459" s="7">
        <v>10397</v>
      </c>
      <c r="E8459" s="7" t="s">
        <v>28</v>
      </c>
      <c r="F8459" s="8" t="str">
        <f ca="1">IFERROR(__xludf.DUMMYFUNCTION("IF
(
C8460=""фізична особа""
,
VLOOKUP(D8460,IMPORTRANGE(""https://docs.google.com/spreadsheets/d/14Bd19lYaqBhU8_DElYkX7l4wRkHqqCUFNJY4AfY3kHU/edit?usp=sharing  #gid=0"",""фіз особи new!relations_name""),6,FALSE)
,
(IF
(
C8460=""юридична особа""
,
VLOOKUP"&amp;"(D8460,IMPORTRANGE(""https://docs.google.com/spreadsheets/d/14Bd19lYaqBhU8_DElYkX7l4wRkHqqCUFNJY4AfY3kHU/edit?usp=sharing  #gid=0"",""фіз особи new!relations_name_uo""),7,FALSE)
,
)
))"),"КУЛОВА / ХАДЖИБІЄКОВА Саїда Аскарбіївна")</f>
        <v>КУЛОВА / ХАДЖИБІЄКОВА Саїда Аскарбіївна</v>
      </c>
      <c r="G8459" s="7" t="s">
        <v>10</v>
      </c>
      <c r="H8459" s="7">
        <v>22386</v>
      </c>
      <c r="I8459" s="8" t="str">
        <f ca="1">IFERROR(__xludf.DUMMYFUNCTION("IF
(
G8460=""фізична особа""
,
VLOOKUP(H8460,IMPORTRANGE(""https://docs.google.com/spreadsheets/d/14Bd19lYaqBhU8_DElYkX7l4wRkHqqCUFNJY4AfY3kHU/edit?usp=sharing  #gid=0"",""фіз особи new!relations_name""),6,FALSE)
,
(IF
(
G8460=""юридична особа""
,
VLOOKUP"&amp;"(H8460,IMPORTRANGE(""https://docs.google.com/spreadsheets/d/14Bd19lYaqBhU8_DElYkX7l4wRkHqqCUFNJY4AfY3kHU/edit?usp=sharing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459" s="7" t="s">
        <v>29</v>
      </c>
    </row>
    <row r="8460" spans="1:10" ht="13.2">
      <c r="A8460" s="7">
        <v>8459</v>
      </c>
      <c r="B8460" s="7">
        <v>1</v>
      </c>
      <c r="C8460" s="7" t="s">
        <v>10</v>
      </c>
      <c r="D8460" s="7">
        <v>10398</v>
      </c>
      <c r="E8460" s="7" t="s">
        <v>28</v>
      </c>
      <c r="F8460" s="8" t="str">
        <f ca="1">IFERROR(__xludf.DUMMYFUNCTION("IF
(
C8461=""фізична особа""
,
VLOOKUP(D8461,IMPORTRANGE(""https://docs.google.com/spreadsheets/d/14Bd19lYaqBhU8_DElYkX7l4wRkHqqCUFNJY4AfY3kHU/edit?usp=sharing  #gid=0"",""фіз особи new!relations_name""),6,FALSE)
,
(IF
(
C8461=""юридична особа""
,
VLOOKUP"&amp;"(D8461,IMPORTRANGE(""https://docs.google.com/spreadsheets/d/14Bd19lYaqBhU8_DElYkX7l4wRkHqqCUFNJY4AfY3kHU/edit?usp=sharing  #gid=0"",""фіз особи new!relations_name_uo""),7,FALSE)
,
)
))"),"АНТАРАДОНОВА Наталія Петрівна")</f>
        <v>АНТАРАДОНОВА Наталія Петрівна</v>
      </c>
      <c r="G8460" s="7" t="s">
        <v>10</v>
      </c>
      <c r="H8460" s="7">
        <v>22386</v>
      </c>
      <c r="I8460" s="8" t="str">
        <f ca="1">IFERROR(__xludf.DUMMYFUNCTION("IF
(
G8461=""фізична особа""
,
VLOOKUP(H8461,IMPORTRANGE(""https://docs.google.com/spreadsheets/d/14Bd19lYaqBhU8_DElYkX7l4wRkHqqCUFNJY4AfY3kHU/edit?usp=sharing  #gid=0"",""фіз особи new!relations_name""),6,FALSE)
,
(IF
(
G8461=""юридична особа""
,
VLOOKUP"&amp;"(H8461,IMPORTRANGE(""https://docs.google.com/spreadsheets/d/14Bd19lYaqBhU8_DElYkX7l4wRkHqqCUFNJY4AfY3kHU/edit?usp=sharing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460" s="7" t="s">
        <v>29</v>
      </c>
    </row>
    <row r="8461" spans="1:10" ht="13.2">
      <c r="A8461" s="7">
        <v>8460</v>
      </c>
      <c r="B8461" s="7">
        <v>1</v>
      </c>
      <c r="C8461" s="7" t="s">
        <v>10</v>
      </c>
      <c r="D8461" s="7">
        <v>10399</v>
      </c>
      <c r="E8461" s="7" t="s">
        <v>28</v>
      </c>
      <c r="F8461" s="8" t="str">
        <f ca="1">IFERROR(__xludf.DUMMYFUNCTION("IF
(
C8462=""фізична особа""
,
VLOOKUP(D8462,IMPORTRANGE(""https://docs.google.com/spreadsheets/d/14Bd19lYaqBhU8_DElYkX7l4wRkHqqCUFNJY4AfY3kHU/edit?usp=sharing  #gid=0"",""фіз особи new!relations_name""),6,FALSE)
,
(IF
(
C8462=""юридична особа""
,
VLOOKUP"&amp;"(D8462,IMPORTRANGE(""https://docs.google.com/spreadsheets/d/14Bd19lYaqBhU8_DElYkX7l4wRkHqqCUFNJY4AfY3kHU/edit?usp=sharing  #gid=0"",""фіз особи new!relations_name_uo""),7,FALSE)
,
)
))"),"ФАТКУЛЛІН Ільгам Зуфарович")</f>
        <v>ФАТКУЛЛІН Ільгам Зуфарович</v>
      </c>
      <c r="G8461" s="7" t="s">
        <v>10</v>
      </c>
      <c r="H8461" s="7">
        <v>22386</v>
      </c>
      <c r="I8461" s="8" t="str">
        <f ca="1">IFERROR(__xludf.DUMMYFUNCTION("IF
(
G8462=""фізична особа""
,
VLOOKUP(H8462,IMPORTRANGE(""https://docs.google.com/spreadsheets/d/14Bd19lYaqBhU8_DElYkX7l4wRkHqqCUFNJY4AfY3kHU/edit?usp=sharing  #gid=0"",""фіз особи new!relations_name""),6,FALSE)
,
(IF
(
G8462=""юридична особа""
,
VLOOKUP"&amp;"(H8462,IMPORTRANGE(""https://docs.google.com/spreadsheets/d/14Bd19lYaqBhU8_DElYkX7l4wRkHqqCUFNJY4AfY3kHU/edit?usp=sharing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461" s="7" t="s">
        <v>29</v>
      </c>
    </row>
    <row r="8462" spans="1:10" ht="13.2">
      <c r="A8462" s="7">
        <v>8461</v>
      </c>
      <c r="B8462" s="7">
        <v>1</v>
      </c>
      <c r="C8462" s="7" t="s">
        <v>10</v>
      </c>
      <c r="D8462" s="7">
        <v>10400</v>
      </c>
      <c r="E8462" s="7" t="s">
        <v>28</v>
      </c>
      <c r="F8462" s="8" t="str">
        <f ca="1">IFERROR(__xludf.DUMMYFUNCTION("IF
(
C8463=""фізична особа""
,
VLOOKUP(D8463,IMPORTRANGE(""https://docs.google.com/spreadsheets/d/14Bd19lYaqBhU8_DElYkX7l4wRkHqqCUFNJY4AfY3kHU/edit?usp=sharing  #gid=0"",""фіз особи new!relations_name""),6,FALSE)
,
(IF
(
C8463=""юридична особа""
,
VLOOKUP"&amp;"(D8463,IMPORTRANGE(""https://docs.google.com/spreadsheets/d/14Bd19lYaqBhU8_DElYkX7l4wRkHqqCUFNJY4AfY3kHU/edit?usp=sharing  #gid=0"",""фіз особи new!relations_name_uo""),7,FALSE)
,
)
))"),"БОРОНОЄВА Даріма Цибіківна")</f>
        <v>БОРОНОЄВА Даріма Цибіківна</v>
      </c>
      <c r="G8462" s="7" t="s">
        <v>10</v>
      </c>
      <c r="H8462" s="7">
        <v>0</v>
      </c>
      <c r="I8462" s="8" t="str">
        <f ca="1">IFERROR(__xludf.DUMMYFUNCTION("IF
(
G8463=""фізична особа""
,
VLOOKUP(H8463,IMPORTRANGE(""https://docs.google.com/spreadsheets/d/14Bd19lYaqBhU8_DElYkX7l4wRkHqqCUFNJY4AfY3kHU/edit?usp=sharing  #gid=0"",""фіз особи new!relations_name""),6,FALSE)
,
(IF
(
G8463=""юридична особа""
,
VLOOKUP"&amp;"(H8463,IMPORTRANGE(""https://docs.google.com/spreadsheets/d/14Bd19lYaqBhU8_DElYkX7l4wRkHqqCUFNJY4AfY3kHU/edit?usp=sharing  #gid=0"",""фіз особи new!relations_name_uo""),7,FALSE)
,
)
))"),"#N/A")</f>
        <v>#N/A</v>
      </c>
      <c r="J8462" s="7" t="s">
        <v>29</v>
      </c>
    </row>
    <row r="8463" spans="1:10" ht="13.2">
      <c r="A8463" s="7">
        <v>8462</v>
      </c>
      <c r="B8463" s="7">
        <v>1</v>
      </c>
      <c r="C8463" s="7" t="s">
        <v>10</v>
      </c>
      <c r="D8463" s="7">
        <v>10401</v>
      </c>
      <c r="E8463" s="7" t="s">
        <v>28</v>
      </c>
      <c r="F8463" s="8" t="str">
        <f ca="1">IFERROR(__xludf.DUMMYFUNCTION("IF
(
C8464=""фізична особа""
,
VLOOKUP(D8464,IMPORTRANGE(""https://docs.google.com/spreadsheets/d/14Bd19lYaqBhU8_DElYkX7l4wRkHqqCUFNJY4AfY3kHU/edit?usp=sharing  #gid=0"",""фіз особи new!relations_name""),6,FALSE)
,
(IF
(
C8464=""юридична особа""
,
VLOOKUP"&amp;"(D8464,IMPORTRANGE(""https://docs.google.com/spreadsheets/d/14Bd19lYaqBhU8_DElYkX7l4wRkHqqCUFNJY4AfY3kHU/edit?usp=sharing  #gid=0"",""фіз особи new!relations_name_uo""),7,FALSE)
,
)
))"),"КОЛУПАЄВ Сергій Аркадійович")</f>
        <v>КОЛУПАЄВ Сергій Аркадійович</v>
      </c>
      <c r="G8463" s="7" t="s">
        <v>10</v>
      </c>
      <c r="H8463" s="7">
        <v>3069</v>
      </c>
      <c r="I8463" s="8" t="str">
        <f ca="1">IFERROR(__xludf.DUMMYFUNCTION("IF
(
G8464=""фізична особа""
,
VLOOKUP(H8464,IMPORTRANGE(""https://docs.google.com/spreadsheets/d/14Bd19lYaqBhU8_DElYkX7l4wRkHqqCUFNJY4AfY3kHU/edit?usp=sharing  #gid=0"",""фіз особи new!relations_name""),6,FALSE)
,
(IF
(
G8464=""юридична особа""
,
VLOOKUP"&amp;"(H8464,IMPORTRANGE(""https://docs.google.com/spreadsheets/d/14Bd19lYaqBhU8_DElYkX7l4wRkHqqCUFNJY4AfY3kHU/edit?usp=sharing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3" s="7" t="s">
        <v>29</v>
      </c>
    </row>
    <row r="8464" spans="1:10" ht="13.2">
      <c r="A8464" s="7">
        <v>8463</v>
      </c>
      <c r="B8464" s="7">
        <v>1</v>
      </c>
      <c r="C8464" s="7" t="s">
        <v>10</v>
      </c>
      <c r="D8464" s="7">
        <v>10402</v>
      </c>
      <c r="E8464" s="7" t="s">
        <v>28</v>
      </c>
      <c r="F8464" s="8" t="str">
        <f ca="1">IFERROR(__xludf.DUMMYFUNCTION("IF
(
C8465=""фізична особа""
,
VLOOKUP(D8465,IMPORTRANGE(""https://docs.google.com/spreadsheets/d/14Bd19lYaqBhU8_DElYkX7l4wRkHqqCUFNJY4AfY3kHU/edit?usp=sharing  #gid=0"",""фіз особи new!relations_name""),6,FALSE)
,
(IF
(
C8465=""юридична особа""
,
VLOOKUP"&amp;"(D8465,IMPORTRANGE(""https://docs.google.com/spreadsheets/d/14Bd19lYaqBhU8_DElYkX7l4wRkHqqCUFNJY4AfY3kHU/edit?usp=sharing  #gid=0"",""фіз особи new!relations_name_uo""),7,FALSE)
,
)
))"),"ЄПІФАНОВА Валентина Іванівна")</f>
        <v>ЄПІФАНОВА Валентина Іванівна</v>
      </c>
      <c r="G8464" s="7" t="s">
        <v>10</v>
      </c>
      <c r="H8464" s="7">
        <v>3069</v>
      </c>
      <c r="I8464" s="8" t="str">
        <f ca="1">IFERROR(__xludf.DUMMYFUNCTION("IF
(
G8465=""фізична особа""
,
VLOOKUP(H8465,IMPORTRANGE(""https://docs.google.com/spreadsheets/d/14Bd19lYaqBhU8_DElYkX7l4wRkHqqCUFNJY4AfY3kHU/edit?usp=sharing  #gid=0"",""фіз особи new!relations_name""),6,FALSE)
,
(IF
(
G8465=""юридична особа""
,
VLOOKUP"&amp;"(H8465,IMPORTRANGE(""https://docs.google.com/spreadsheets/d/14Bd19lYaqBhU8_DElYkX7l4wRkHqqCUFNJY4AfY3kHU/edit?usp=sharing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4" s="7" t="s">
        <v>29</v>
      </c>
    </row>
    <row r="8465" spans="1:10" ht="13.2">
      <c r="A8465" s="7">
        <v>8464</v>
      </c>
      <c r="B8465" s="7">
        <v>1</v>
      </c>
      <c r="C8465" s="7" t="s">
        <v>10</v>
      </c>
      <c r="D8465" s="7">
        <v>10403</v>
      </c>
      <c r="E8465" s="7" t="s">
        <v>28</v>
      </c>
      <c r="F8465" s="8" t="str">
        <f ca="1">IFERROR(__xludf.DUMMYFUNCTION("IF
(
C8466=""фізична особа""
,
VLOOKUP(D8466,IMPORTRANGE(""https://docs.google.com/spreadsheets/d/14Bd19lYaqBhU8_DElYkX7l4wRkHqqCUFNJY4AfY3kHU/edit?usp=sharing  #gid=0"",""фіз особи new!relations_name""),6,FALSE)
,
(IF
(
C8466=""юридична особа""
,
VLOOKUP"&amp;"(D8466,IMPORTRANGE(""https://docs.google.com/spreadsheets/d/14Bd19lYaqBhU8_DElYkX7l4wRkHqqCUFNJY4AfY3kHU/edit?usp=sharing  #gid=0"",""фіз особи new!relations_name_uo""),7,FALSE)
,
)
))"),"ЛУБОЯТНІКОВ Олександр Андрійович")</f>
        <v>ЛУБОЯТНІКОВ Олександр Андрійович</v>
      </c>
      <c r="G8465" s="7" t="s">
        <v>10</v>
      </c>
      <c r="H8465" s="7">
        <v>3069</v>
      </c>
      <c r="I8465" s="8" t="str">
        <f ca="1">IFERROR(__xludf.DUMMYFUNCTION("IF
(
G8466=""фізична особа""
,
VLOOKUP(H8466,IMPORTRANGE(""https://docs.google.com/spreadsheets/d/14Bd19lYaqBhU8_DElYkX7l4wRkHqqCUFNJY4AfY3kHU/edit?usp=sharing  #gid=0"",""фіз особи new!relations_name""),6,FALSE)
,
(IF
(
G8466=""юридична особа""
,
VLOOKUP"&amp;"(H8466,IMPORTRANGE(""https://docs.google.com/spreadsheets/d/14Bd19lYaqBhU8_DElYkX7l4wRkHqqCUFNJY4AfY3kHU/edit?usp=sharing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5" s="7" t="s">
        <v>29</v>
      </c>
    </row>
    <row r="8466" spans="1:10" ht="13.2">
      <c r="A8466" s="7">
        <v>8465</v>
      </c>
      <c r="B8466" s="7">
        <v>1</v>
      </c>
      <c r="C8466" s="7" t="s">
        <v>10</v>
      </c>
      <c r="D8466" s="7">
        <v>10404</v>
      </c>
      <c r="E8466" s="7" t="s">
        <v>28</v>
      </c>
      <c r="F8466" s="8" t="str">
        <f ca="1">IFERROR(__xludf.DUMMYFUNCTION("IF
(
C8467=""фізична особа""
,
VLOOKUP(D8467,IMPORTRANGE(""https://docs.google.com/spreadsheets/d/14Bd19lYaqBhU8_DElYkX7l4wRkHqqCUFNJY4AfY3kHU/edit?usp=sharing  #gid=0"",""фіз особи new!relations_name""),6,FALSE)
,
(IF
(
C8467=""юридична особа""
,
VLOOKUP"&amp;"(D8467,IMPORTRANGE(""https://docs.google.com/spreadsheets/d/14Bd19lYaqBhU8_DElYkX7l4wRkHqqCUFNJY4AfY3kHU/edit?usp=sharing  #gid=0"",""фіз особи new!relations_name_uo""),7,FALSE)
,
)
))"),"ПЕЛИПЕЦЬ Тетяна Михайлівна")</f>
        <v>ПЕЛИПЕЦЬ Тетяна Михайлівна</v>
      </c>
      <c r="G8466" s="7" t="s">
        <v>10</v>
      </c>
      <c r="H8466" s="7">
        <v>3069</v>
      </c>
      <c r="I8466" s="8" t="str">
        <f ca="1">IFERROR(__xludf.DUMMYFUNCTION("IF
(
G8467=""фізична особа""
,
VLOOKUP(H8467,IMPORTRANGE(""https://docs.google.com/spreadsheets/d/14Bd19lYaqBhU8_DElYkX7l4wRkHqqCUFNJY4AfY3kHU/edit?usp=sharing  #gid=0"",""фіз особи new!relations_name""),6,FALSE)
,
(IF
(
G8467=""юридична особа""
,
VLOOKUP"&amp;"(H8467,IMPORTRANGE(""https://docs.google.com/spreadsheets/d/14Bd19lYaqBhU8_DElYkX7l4wRkHqqCUFNJY4AfY3kHU/edit?usp=sharing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6" s="7" t="s">
        <v>29</v>
      </c>
    </row>
    <row r="8467" spans="1:10" ht="13.2">
      <c r="A8467" s="7">
        <v>8466</v>
      </c>
      <c r="B8467" s="7">
        <v>1</v>
      </c>
      <c r="C8467" s="7" t="s">
        <v>10</v>
      </c>
      <c r="D8467" s="7">
        <v>10405</v>
      </c>
      <c r="E8467" s="7" t="s">
        <v>28</v>
      </c>
      <c r="F8467" s="8" t="str">
        <f ca="1">IFERROR(__xludf.DUMMYFUNCTION("IF
(
C8468=""фізична особа""
,
VLOOKUP(D8468,IMPORTRANGE(""https://docs.google.com/spreadsheets/d/14Bd19lYaqBhU8_DElYkX7l4wRkHqqCUFNJY4AfY3kHU/edit?usp=sharing  #gid=0"",""фіз особи new!relations_name""),6,FALSE)
,
(IF
(
C8468=""юридична особа""
,
VLOOKUP"&amp;"(D8468,IMPORTRANGE(""https://docs.google.com/spreadsheets/d/14Bd19lYaqBhU8_DElYkX7l4wRkHqqCUFNJY4AfY3kHU/edit?usp=sharing  #gid=0"",""фіз особи new!relations_name_uo""),7,FALSE)
,
)
))"),"ПУТІВКІНА Ірина Анатоліївна")</f>
        <v>ПУТІВКІНА Ірина Анатоліївна</v>
      </c>
      <c r="G8467" s="7" t="s">
        <v>10</v>
      </c>
      <c r="H8467" s="7">
        <v>3069</v>
      </c>
      <c r="I8467" s="8" t="str">
        <f ca="1">IFERROR(__xludf.DUMMYFUNCTION("IF
(
G8468=""фізична особа""
,
VLOOKUP(H8468,IMPORTRANGE(""https://docs.google.com/spreadsheets/d/14Bd19lYaqBhU8_DElYkX7l4wRkHqqCUFNJY4AfY3kHU/edit?usp=sharing  #gid=0"",""фіз особи new!relations_name""),6,FALSE)
,
(IF
(
G8468=""юридична особа""
,
VLOOKUP"&amp;"(H8468,IMPORTRANGE(""https://docs.google.com/spreadsheets/d/14Bd19lYaqBhU8_DElYkX7l4wRkHqqCUFNJY4AfY3kHU/edit?usp=sharing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7" s="7" t="s">
        <v>29</v>
      </c>
    </row>
    <row r="8468" spans="1:10" ht="13.2">
      <c r="A8468" s="7">
        <v>8467</v>
      </c>
      <c r="B8468" s="7">
        <v>1</v>
      </c>
      <c r="C8468" s="7" t="s">
        <v>10</v>
      </c>
      <c r="D8468" s="7">
        <v>10406</v>
      </c>
      <c r="E8468" s="7" t="s">
        <v>28</v>
      </c>
      <c r="F8468" s="8" t="str">
        <f ca="1">IFERROR(__xludf.DUMMYFUNCTION("IF
(
C8469=""фізична особа""
,
VLOOKUP(D8469,IMPORTRANGE(""https://docs.google.com/spreadsheets/d/14Bd19lYaqBhU8_DElYkX7l4wRkHqqCUFNJY4AfY3kHU/edit?usp=sharing  #gid=0"",""фіз особи new!relations_name""),6,FALSE)
,
(IF
(
C8469=""юридична особа""
,
VLOOKUP"&amp;"(D8469,IMPORTRANGE(""https://docs.google.com/spreadsheets/d/14Bd19lYaqBhU8_DElYkX7l4wRkHqqCUFNJY4AfY3kHU/edit?usp=sharing  #gid=0"",""фіз особи new!relations_name_uo""),7,FALSE)
,
)
))"),"ЛУКАШОВ Андрій Іванович")</f>
        <v>ЛУКАШОВ Андрій Іванович</v>
      </c>
      <c r="G8468" s="7" t="s">
        <v>10</v>
      </c>
      <c r="H8468" s="7">
        <v>3069</v>
      </c>
      <c r="I8468" s="8" t="str">
        <f ca="1">IFERROR(__xludf.DUMMYFUNCTION("IF
(
G8469=""фізична особа""
,
VLOOKUP(H8469,IMPORTRANGE(""https://docs.google.com/spreadsheets/d/14Bd19lYaqBhU8_DElYkX7l4wRkHqqCUFNJY4AfY3kHU/edit?usp=sharing  #gid=0"",""фіз особи new!relations_name""),6,FALSE)
,
(IF
(
G8469=""юридична особа""
,
VLOOKUP"&amp;"(H8469,IMPORTRANGE(""https://docs.google.com/spreadsheets/d/14Bd19lYaqBhU8_DElYkX7l4wRkHqqCUFNJY4AfY3kHU/edit?usp=sharing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8" s="7" t="s">
        <v>29</v>
      </c>
    </row>
    <row r="8469" spans="1:10" ht="13.2">
      <c r="A8469" s="7">
        <v>8468</v>
      </c>
      <c r="B8469" s="7">
        <v>1</v>
      </c>
      <c r="C8469" s="7" t="s">
        <v>10</v>
      </c>
      <c r="D8469" s="7">
        <v>10407</v>
      </c>
      <c r="E8469" s="7" t="s">
        <v>28</v>
      </c>
      <c r="F8469" s="8" t="str">
        <f ca="1">IFERROR(__xludf.DUMMYFUNCTION("IF
(
C8470=""фізична особа""
,
VLOOKUP(D8470,IMPORTRANGE(""https://docs.google.com/spreadsheets/d/14Bd19lYaqBhU8_DElYkX7l4wRkHqqCUFNJY4AfY3kHU/edit?usp=sharing  #gid=0"",""фіз особи new!relations_name""),6,FALSE)
,
(IF
(
C8470=""юридична особа""
,
VLOOKUP"&amp;"(D8470,IMPORTRANGE(""https://docs.google.com/spreadsheets/d/14Bd19lYaqBhU8_DElYkX7l4wRkHqqCUFNJY4AfY3kHU/edit?usp=sharing  #gid=0"",""фіз особи new!relations_name_uo""),7,FALSE)
,
)
))"),"МАРТЬЯНОВА Віра Олександрівна")</f>
        <v>МАРТЬЯНОВА Віра Олександрівна</v>
      </c>
      <c r="G8469" s="7" t="s">
        <v>10</v>
      </c>
      <c r="H8469" s="7">
        <v>3069</v>
      </c>
      <c r="I8469" s="8" t="str">
        <f ca="1">IFERROR(__xludf.DUMMYFUNCTION("IF
(
G8470=""фізична особа""
,
VLOOKUP(H8470,IMPORTRANGE(""https://docs.google.com/spreadsheets/d/14Bd19lYaqBhU8_DElYkX7l4wRkHqqCUFNJY4AfY3kHU/edit?usp=sharing  #gid=0"",""фіз особи new!relations_name""),6,FALSE)
,
(IF
(
G8470=""юридична особа""
,
VLOOKUP"&amp;"(H8470,IMPORTRANGE(""https://docs.google.com/spreadsheets/d/14Bd19lYaqBhU8_DElYkX7l4wRkHqqCUFNJY4AfY3kHU/edit?usp=sharing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69" s="7" t="s">
        <v>29</v>
      </c>
    </row>
    <row r="8470" spans="1:10" ht="13.2">
      <c r="A8470" s="7">
        <v>8469</v>
      </c>
      <c r="B8470" s="7">
        <v>1</v>
      </c>
      <c r="C8470" s="7" t="s">
        <v>10</v>
      </c>
      <c r="D8470" s="7">
        <v>10408</v>
      </c>
      <c r="E8470" s="7" t="s">
        <v>28</v>
      </c>
      <c r="F8470" s="8" t="str">
        <f ca="1">IFERROR(__xludf.DUMMYFUNCTION("IF
(
C8471=""фізична особа""
,
VLOOKUP(D8471,IMPORTRANGE(""https://docs.google.com/spreadsheets/d/14Bd19lYaqBhU8_DElYkX7l4wRkHqqCUFNJY4AfY3kHU/edit?usp=sharing  #gid=0"",""фіз особи new!relations_name""),6,FALSE)
,
(IF
(
C8471=""юридична особа""
,
VLOOKUP"&amp;"(D8471,IMPORTRANGE(""https://docs.google.com/spreadsheets/d/14Bd19lYaqBhU8_DElYkX7l4wRkHqqCUFNJY4AfY3kHU/edit?usp=sharing  #gid=0"",""фіз особи new!relations_name_uo""),7,FALSE)
,
)
))"),"ГЛАДКІН Віталій Іванович")</f>
        <v>ГЛАДКІН Віталій Іванович</v>
      </c>
      <c r="G8470" s="7" t="s">
        <v>10</v>
      </c>
      <c r="H8470" s="7">
        <v>3069</v>
      </c>
      <c r="I8470" s="8" t="str">
        <f ca="1">IFERROR(__xludf.DUMMYFUNCTION("IF
(
G8471=""фізична особа""
,
VLOOKUP(H8471,IMPORTRANGE(""https://docs.google.com/spreadsheets/d/14Bd19lYaqBhU8_DElYkX7l4wRkHqqCUFNJY4AfY3kHU/edit?usp=sharing  #gid=0"",""фіз особи new!relations_name""),6,FALSE)
,
(IF
(
G8471=""юридична особа""
,
VLOOKUP"&amp;"(H8471,IMPORTRANGE(""https://docs.google.com/spreadsheets/d/14Bd19lYaqBhU8_DElYkX7l4wRkHqqCUFNJY4AfY3kHU/edit?usp=sharing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0" s="7" t="s">
        <v>29</v>
      </c>
    </row>
    <row r="8471" spans="1:10" ht="13.2">
      <c r="A8471" s="7">
        <v>8470</v>
      </c>
      <c r="B8471" s="7">
        <v>1</v>
      </c>
      <c r="C8471" s="7" t="s">
        <v>10</v>
      </c>
      <c r="D8471" s="7">
        <v>10409</v>
      </c>
      <c r="E8471" s="7" t="s">
        <v>28</v>
      </c>
      <c r="F8471" s="8" t="str">
        <f ca="1">IFERROR(__xludf.DUMMYFUNCTION("IF
(
C8472=""фізична особа""
,
VLOOKUP(D8472,IMPORTRANGE(""https://docs.google.com/spreadsheets/d/14Bd19lYaqBhU8_DElYkX7l4wRkHqqCUFNJY4AfY3kHU/edit?usp=sharing  #gid=0"",""фіз особи new!relations_name""),6,FALSE)
,
(IF
(
C8472=""юридична особа""
,
VLOOKUP"&amp;"(D8472,IMPORTRANGE(""https://docs.google.com/spreadsheets/d/14Bd19lYaqBhU8_DElYkX7l4wRkHqqCUFNJY4AfY3kHU/edit?usp=sharing  #gid=0"",""фіз особи new!relations_name_uo""),7,FALSE)
,
)
))"),"ЗАРУБІН Сергій Вадимович")</f>
        <v>ЗАРУБІН Сергій Вадимович</v>
      </c>
      <c r="G8471" s="7" t="s">
        <v>10</v>
      </c>
      <c r="H8471" s="7">
        <v>3069</v>
      </c>
      <c r="I8471" s="8" t="str">
        <f ca="1">IFERROR(__xludf.DUMMYFUNCTION("IF
(
G8472=""фізична особа""
,
VLOOKUP(H8472,IMPORTRANGE(""https://docs.google.com/spreadsheets/d/14Bd19lYaqBhU8_DElYkX7l4wRkHqqCUFNJY4AfY3kHU/edit?usp=sharing  #gid=0"",""фіз особи new!relations_name""),6,FALSE)
,
(IF
(
G8472=""юридична особа""
,
VLOOKUP"&amp;"(H8472,IMPORTRANGE(""https://docs.google.com/spreadsheets/d/14Bd19lYaqBhU8_DElYkX7l4wRkHqqCUFNJY4AfY3kHU/edit?usp=sharing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1" s="7" t="s">
        <v>29</v>
      </c>
    </row>
    <row r="8472" spans="1:10" ht="13.2">
      <c r="A8472" s="7">
        <v>8471</v>
      </c>
      <c r="B8472" s="7">
        <v>1</v>
      </c>
      <c r="C8472" s="7" t="s">
        <v>10</v>
      </c>
      <c r="D8472" s="7">
        <v>10410</v>
      </c>
      <c r="E8472" s="7" t="s">
        <v>28</v>
      </c>
      <c r="F8472" s="8" t="str">
        <f ca="1">IFERROR(__xludf.DUMMYFUNCTION("IF
(
C8473=""фізична особа""
,
VLOOKUP(D8473,IMPORTRANGE(""https://docs.google.com/spreadsheets/d/14Bd19lYaqBhU8_DElYkX7l4wRkHqqCUFNJY4AfY3kHU/edit?usp=sharing  #gid=0"",""фіз особи new!relations_name""),6,FALSE)
,
(IF
(
C8473=""юридична особа""
,
VLOOKUP"&amp;"(D8473,IMPORTRANGE(""https://docs.google.com/spreadsheets/d/14Bd19lYaqBhU8_DElYkX7l4wRkHqqCUFNJY4AfY3kHU/edit?usp=sharing  #gid=0"",""фіз особи new!relations_name_uo""),7,FALSE)
,
)
))"),"СМІРНОВ Володимир Юрійович")</f>
        <v>СМІРНОВ Володимир Юрійович</v>
      </c>
      <c r="G8472" s="7" t="s">
        <v>10</v>
      </c>
      <c r="H8472" s="7">
        <v>3069</v>
      </c>
      <c r="I8472" s="8" t="str">
        <f ca="1">IFERROR(__xludf.DUMMYFUNCTION("IF
(
G8473=""фізична особа""
,
VLOOKUP(H8473,IMPORTRANGE(""https://docs.google.com/spreadsheets/d/14Bd19lYaqBhU8_DElYkX7l4wRkHqqCUFNJY4AfY3kHU/edit?usp=sharing  #gid=0"",""фіз особи new!relations_name""),6,FALSE)
,
(IF
(
G8473=""юридична особа""
,
VLOOKUP"&amp;"(H8473,IMPORTRANGE(""https://docs.google.com/spreadsheets/d/14Bd19lYaqBhU8_DElYkX7l4wRkHqqCUFNJY4AfY3kHU/edit?usp=sharing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2" s="7" t="s">
        <v>29</v>
      </c>
    </row>
    <row r="8473" spans="1:10" ht="13.2">
      <c r="A8473" s="7">
        <v>8472</v>
      </c>
      <c r="B8473" s="7">
        <v>1</v>
      </c>
      <c r="C8473" s="7" t="s">
        <v>10</v>
      </c>
      <c r="D8473" s="7">
        <v>10411</v>
      </c>
      <c r="E8473" s="7" t="s">
        <v>28</v>
      </c>
      <c r="F8473" s="8" t="str">
        <f ca="1">IFERROR(__xludf.DUMMYFUNCTION("IF
(
C8474=""фізична особа""
,
VLOOKUP(D8474,IMPORTRANGE(""https://docs.google.com/spreadsheets/d/14Bd19lYaqBhU8_DElYkX7l4wRkHqqCUFNJY4AfY3kHU/edit?usp=sharing  #gid=0"",""фіз особи new!relations_name""),6,FALSE)
,
(IF
(
C8474=""юридична особа""
,
VLOOKUP"&amp;"(D8474,IMPORTRANGE(""https://docs.google.com/spreadsheets/d/14Bd19lYaqBhU8_DElYkX7l4wRkHqqCUFNJY4AfY3kHU/edit?usp=sharing  #gid=0"",""фіз особи new!relations_name_uo""),7,FALSE)
,
)
))"),"ГАЙДУК Андрій Володимирович")</f>
        <v>ГАЙДУК Андрій Володимирович</v>
      </c>
      <c r="G8473" s="7" t="s">
        <v>10</v>
      </c>
      <c r="H8473" s="7">
        <v>3069</v>
      </c>
      <c r="I8473" s="8" t="str">
        <f ca="1">IFERROR(__xludf.DUMMYFUNCTION("IF
(
G8474=""фізична особа""
,
VLOOKUP(H8474,IMPORTRANGE(""https://docs.google.com/spreadsheets/d/14Bd19lYaqBhU8_DElYkX7l4wRkHqqCUFNJY4AfY3kHU/edit?usp=sharing  #gid=0"",""фіз особи new!relations_name""),6,FALSE)
,
(IF
(
G8474=""юридична особа""
,
VLOOKUP"&amp;"(H8474,IMPORTRANGE(""https://docs.google.com/spreadsheets/d/14Bd19lYaqBhU8_DElYkX7l4wRkHqqCUFNJY4AfY3kHU/edit?usp=sharing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3" s="7" t="s">
        <v>29</v>
      </c>
    </row>
    <row r="8474" spans="1:10" ht="13.2">
      <c r="A8474" s="7">
        <v>8473</v>
      </c>
      <c r="B8474" s="7">
        <v>1</v>
      </c>
      <c r="C8474" s="7" t="s">
        <v>10</v>
      </c>
      <c r="D8474" s="7">
        <v>10412</v>
      </c>
      <c r="E8474" s="7" t="s">
        <v>28</v>
      </c>
      <c r="F8474" s="8" t="str">
        <f ca="1">IFERROR(__xludf.DUMMYFUNCTION("IF
(
C8475=""фізична особа""
,
VLOOKUP(D8475,IMPORTRANGE(""https://docs.google.com/spreadsheets/d/14Bd19lYaqBhU8_DElYkX7l4wRkHqqCUFNJY4AfY3kHU/edit?usp=sharing  #gid=0"",""фіз особи new!relations_name""),6,FALSE)
,
(IF
(
C8475=""юридична особа""
,
VLOOKUP"&amp;"(D8475,IMPORTRANGE(""https://docs.google.com/spreadsheets/d/14Bd19lYaqBhU8_DElYkX7l4wRkHqqCUFNJY4AfY3kHU/edit?usp=sharing  #gid=0"",""фіз особи new!relations_name_uo""),7,FALSE)
,
)
))"),"СЕРДЮКОВА Галина Миколаївна")</f>
        <v>СЕРДЮКОВА Галина Миколаївна</v>
      </c>
      <c r="G8474" s="7" t="s">
        <v>10</v>
      </c>
      <c r="H8474" s="7">
        <v>3069</v>
      </c>
      <c r="I8474" s="8" t="str">
        <f ca="1">IFERROR(__xludf.DUMMYFUNCTION("IF
(
G8475=""фізична особа""
,
VLOOKUP(H8475,IMPORTRANGE(""https://docs.google.com/spreadsheets/d/14Bd19lYaqBhU8_DElYkX7l4wRkHqqCUFNJY4AfY3kHU/edit?usp=sharing  #gid=0"",""фіз особи new!relations_name""),6,FALSE)
,
(IF
(
G8475=""юридична особа""
,
VLOOKUP"&amp;"(H8475,IMPORTRANGE(""https://docs.google.com/spreadsheets/d/14Bd19lYaqBhU8_DElYkX7l4wRkHqqCUFNJY4AfY3kHU/edit?usp=sharing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4" s="7" t="s">
        <v>29</v>
      </c>
    </row>
    <row r="8475" spans="1:10" ht="13.2">
      <c r="A8475" s="7">
        <v>8474</v>
      </c>
      <c r="B8475" s="7">
        <v>1</v>
      </c>
      <c r="C8475" s="7" t="s">
        <v>10</v>
      </c>
      <c r="D8475" s="7">
        <v>10413</v>
      </c>
      <c r="E8475" s="7" t="s">
        <v>28</v>
      </c>
      <c r="F8475" s="8" t="str">
        <f ca="1">IFERROR(__xludf.DUMMYFUNCTION("IF
(
C8476=""фізична особа""
,
VLOOKUP(D8476,IMPORTRANGE(""https://docs.google.com/spreadsheets/d/14Bd19lYaqBhU8_DElYkX7l4wRkHqqCUFNJY4AfY3kHU/edit?usp=sharing  #gid=0"",""фіз особи new!relations_name""),6,FALSE)
,
(IF
(
C8476=""юридична особа""
,
VLOOKUP"&amp;"(D8476,IMPORTRANGE(""https://docs.google.com/spreadsheets/d/14Bd19lYaqBhU8_DElYkX7l4wRkHqqCUFNJY4AfY3kHU/edit?usp=sharing  #gid=0"",""фіз особи new!relations_name_uo""),7,FALSE)
,
)
))"),"АРЦИБАШЕВА Людмила Борисівна")</f>
        <v>АРЦИБАШЕВА Людмила Борисівна</v>
      </c>
      <c r="G8475" s="7" t="s">
        <v>10</v>
      </c>
      <c r="H8475" s="7">
        <v>3069</v>
      </c>
      <c r="I8475" s="8" t="str">
        <f ca="1">IFERROR(__xludf.DUMMYFUNCTION("IF
(
G8476=""фізична особа""
,
VLOOKUP(H8476,IMPORTRANGE(""https://docs.google.com/spreadsheets/d/14Bd19lYaqBhU8_DElYkX7l4wRkHqqCUFNJY4AfY3kHU/edit?usp=sharing  #gid=0"",""фіз особи new!relations_name""),6,FALSE)
,
(IF
(
G8476=""юридична особа""
,
VLOOKUP"&amp;"(H8476,IMPORTRANGE(""https://docs.google.com/spreadsheets/d/14Bd19lYaqBhU8_DElYkX7l4wRkHqqCUFNJY4AfY3kHU/edit?usp=sharing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5" s="7" t="s">
        <v>29</v>
      </c>
    </row>
    <row r="8476" spans="1:10" ht="13.2">
      <c r="A8476" s="7">
        <v>8475</v>
      </c>
      <c r="B8476" s="7">
        <v>1</v>
      </c>
      <c r="C8476" s="7" t="s">
        <v>10</v>
      </c>
      <c r="D8476" s="7">
        <v>10414</v>
      </c>
      <c r="E8476" s="7" t="s">
        <v>28</v>
      </c>
      <c r="F8476" s="8" t="str">
        <f ca="1">IFERROR(__xludf.DUMMYFUNCTION("IF
(
C8477=""фізична особа""
,
VLOOKUP(D8477,IMPORTRANGE(""https://docs.google.com/spreadsheets/d/14Bd19lYaqBhU8_DElYkX7l4wRkHqqCUFNJY4AfY3kHU/edit?usp=sharing  #gid=0"",""фіз особи new!relations_name""),6,FALSE)
,
(IF
(
C8477=""юридична особа""
,
VLOOKUP"&amp;"(D8477,IMPORTRANGE(""https://docs.google.com/spreadsheets/d/14Bd19lYaqBhU8_DElYkX7l4wRkHqqCUFNJY4AfY3kHU/edit?usp=sharing  #gid=0"",""фіз особи new!relations_name_uo""),7,FALSE)
,
)
))"),"ЧЕРНЯВСЬКИЙ Олександр Миколайович")</f>
        <v>ЧЕРНЯВСЬКИЙ Олександр Миколайович</v>
      </c>
      <c r="G8476" s="7" t="s">
        <v>10</v>
      </c>
      <c r="H8476" s="7">
        <v>3069</v>
      </c>
      <c r="I8476" s="8" t="str">
        <f ca="1">IFERROR(__xludf.DUMMYFUNCTION("IF
(
G8477=""фізична особа""
,
VLOOKUP(H8477,IMPORTRANGE(""https://docs.google.com/spreadsheets/d/14Bd19lYaqBhU8_DElYkX7l4wRkHqqCUFNJY4AfY3kHU/edit?usp=sharing  #gid=0"",""фіз особи new!relations_name""),6,FALSE)
,
(IF
(
G8477=""юридична особа""
,
VLOOKUP"&amp;"(H8477,IMPORTRANGE(""https://docs.google.com/spreadsheets/d/14Bd19lYaqBhU8_DElYkX7l4wRkHqqCUFNJY4AfY3kHU/edit?usp=sharing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6" s="7" t="s">
        <v>29</v>
      </c>
    </row>
    <row r="8477" spans="1:10" ht="13.2">
      <c r="A8477" s="7">
        <v>8476</v>
      </c>
      <c r="B8477" s="7">
        <v>1</v>
      </c>
      <c r="C8477" s="7" t="s">
        <v>10</v>
      </c>
      <c r="D8477" s="7">
        <v>10415</v>
      </c>
      <c r="E8477" s="7" t="s">
        <v>28</v>
      </c>
      <c r="F8477" s="8" t="str">
        <f ca="1">IFERROR(__xludf.DUMMYFUNCTION("IF
(
C8478=""фізична особа""
,
VLOOKUP(D8478,IMPORTRANGE(""https://docs.google.com/spreadsheets/d/14Bd19lYaqBhU8_DElYkX7l4wRkHqqCUFNJY4AfY3kHU/edit?usp=sharing  #gid=0"",""фіз особи new!relations_name""),6,FALSE)
,
(IF
(
C8478=""юридична особа""
,
VLOOKUP"&amp;"(D8478,IMPORTRANGE(""https://docs.google.com/spreadsheets/d/14Bd19lYaqBhU8_DElYkX7l4wRkHqqCUFNJY4AfY3kHU/edit?usp=sharing  #gid=0"",""фіз особи new!relations_name_uo""),7,FALSE)
,
)
))"),"ВОЛЧКОВ Володимир Миколайович")</f>
        <v>ВОЛЧКОВ Володимир Миколайович</v>
      </c>
      <c r="G8477" s="7" t="s">
        <v>10</v>
      </c>
      <c r="H8477" s="7">
        <v>3069</v>
      </c>
      <c r="I8477" s="8" t="str">
        <f ca="1">IFERROR(__xludf.DUMMYFUNCTION("IF
(
G8478=""фізична особа""
,
VLOOKUP(H8478,IMPORTRANGE(""https://docs.google.com/spreadsheets/d/14Bd19lYaqBhU8_DElYkX7l4wRkHqqCUFNJY4AfY3kHU/edit?usp=sharing  #gid=0"",""фіз особи new!relations_name""),6,FALSE)
,
(IF
(
G8478=""юридична особа""
,
VLOOKUP"&amp;"(H8478,IMPORTRANGE(""https://docs.google.com/spreadsheets/d/14Bd19lYaqBhU8_DElYkX7l4wRkHqqCUFNJY4AfY3kHU/edit?usp=sharing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7" s="7" t="s">
        <v>29</v>
      </c>
    </row>
    <row r="8478" spans="1:10" ht="13.2">
      <c r="A8478" s="7">
        <v>8477</v>
      </c>
      <c r="B8478" s="7">
        <v>1</v>
      </c>
      <c r="C8478" s="7" t="s">
        <v>10</v>
      </c>
      <c r="D8478" s="7">
        <v>10416</v>
      </c>
      <c r="E8478" s="7" t="s">
        <v>28</v>
      </c>
      <c r="F8478" s="8" t="str">
        <f ca="1">IFERROR(__xludf.DUMMYFUNCTION("IF
(
C8479=""фізична особа""
,
VLOOKUP(D8479,IMPORTRANGE(""https://docs.google.com/spreadsheets/d/14Bd19lYaqBhU8_DElYkX7l4wRkHqqCUFNJY4AfY3kHU/edit?usp=sharing  #gid=0"",""фіз особи new!relations_name""),6,FALSE)
,
(IF
(
C8479=""юридична особа""
,
VLOOKUP"&amp;"(D8479,IMPORTRANGE(""https://docs.google.com/spreadsheets/d/14Bd19lYaqBhU8_DElYkX7l4wRkHqqCUFNJY4AfY3kHU/edit?usp=sharing  #gid=0"",""фіз особи new!relations_name_uo""),7,FALSE)
,
)
))"),"БОБКОВА Марина Борисівна")</f>
        <v>БОБКОВА Марина Борисівна</v>
      </c>
      <c r="G8478" s="7" t="s">
        <v>10</v>
      </c>
      <c r="H8478" s="7">
        <v>3069</v>
      </c>
      <c r="I8478" s="8" t="str">
        <f ca="1">IFERROR(__xludf.DUMMYFUNCTION("IF
(
G8479=""фізична особа""
,
VLOOKUP(H8479,IMPORTRANGE(""https://docs.google.com/spreadsheets/d/14Bd19lYaqBhU8_DElYkX7l4wRkHqqCUFNJY4AfY3kHU/edit?usp=sharing  #gid=0"",""фіз особи new!relations_name""),6,FALSE)
,
(IF
(
G8479=""юридична особа""
,
VLOOKUP"&amp;"(H8479,IMPORTRANGE(""https://docs.google.com/spreadsheets/d/14Bd19lYaqBhU8_DElYkX7l4wRkHqqCUFNJY4AfY3kHU/edit?usp=sharing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8" s="7" t="s">
        <v>29</v>
      </c>
    </row>
    <row r="8479" spans="1:10" ht="13.2">
      <c r="A8479" s="7">
        <v>8478</v>
      </c>
      <c r="B8479" s="7">
        <v>1</v>
      </c>
      <c r="C8479" s="7" t="s">
        <v>10</v>
      </c>
      <c r="D8479" s="7">
        <v>10417</v>
      </c>
      <c r="E8479" s="7" t="s">
        <v>28</v>
      </c>
      <c r="F8479" s="8" t="str">
        <f ca="1">IFERROR(__xludf.DUMMYFUNCTION("IF
(
C8480=""фізична особа""
,
VLOOKUP(D8480,IMPORTRANGE(""https://docs.google.com/spreadsheets/d/14Bd19lYaqBhU8_DElYkX7l4wRkHqqCUFNJY4AfY3kHU/edit?usp=sharing  #gid=0"",""фіз особи new!relations_name""),6,FALSE)
,
(IF
(
C8480=""юридична особа""
,
VLOOKUP"&amp;"(D8480,IMPORTRANGE(""https://docs.google.com/spreadsheets/d/14Bd19lYaqBhU8_DElYkX7l4wRkHqqCUFNJY4AfY3kHU/edit?usp=sharing  #gid=0"",""фіз особи new!relations_name_uo""),7,FALSE)
,
)
))"),"ПОЛУШКІН Ілля Олександрович")</f>
        <v>ПОЛУШКІН Ілля Олександрович</v>
      </c>
      <c r="G8479" s="7" t="s">
        <v>10</v>
      </c>
      <c r="H8479" s="7">
        <v>3069</v>
      </c>
      <c r="I8479" s="8" t="str">
        <f ca="1">IFERROR(__xludf.DUMMYFUNCTION("IF
(
G8480=""фізична особа""
,
VLOOKUP(H8480,IMPORTRANGE(""https://docs.google.com/spreadsheets/d/14Bd19lYaqBhU8_DElYkX7l4wRkHqqCUFNJY4AfY3kHU/edit?usp=sharing  #gid=0"",""фіз особи new!relations_name""),6,FALSE)
,
(IF
(
G8480=""юридична особа""
,
VLOOKUP"&amp;"(H8480,IMPORTRANGE(""https://docs.google.com/spreadsheets/d/14Bd19lYaqBhU8_DElYkX7l4wRkHqqCUFNJY4AfY3kHU/edit?usp=sharing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79" s="7" t="s">
        <v>29</v>
      </c>
    </row>
    <row r="8480" spans="1:10" ht="13.2">
      <c r="A8480" s="7">
        <v>8479</v>
      </c>
      <c r="B8480" s="7">
        <v>1</v>
      </c>
      <c r="C8480" s="7" t="s">
        <v>10</v>
      </c>
      <c r="D8480" s="7">
        <v>10418</v>
      </c>
      <c r="E8480" s="7" t="s">
        <v>28</v>
      </c>
      <c r="F8480" s="8" t="str">
        <f ca="1">IFERROR(__xludf.DUMMYFUNCTION("IF
(
C8481=""фізична особа""
,
VLOOKUP(D8481,IMPORTRANGE(""https://docs.google.com/spreadsheets/d/14Bd19lYaqBhU8_DElYkX7l4wRkHqqCUFNJY4AfY3kHU/edit?usp=sharing  #gid=0"",""фіз особи new!relations_name""),6,FALSE)
,
(IF
(
C8481=""юридична особа""
,
VLOOKUP"&amp;"(D8481,IMPORTRANGE(""https://docs.google.com/spreadsheets/d/14Bd19lYaqBhU8_DElYkX7l4wRkHqqCUFNJY4AfY3kHU/edit?usp=sharing  #gid=0"",""фіз особи new!relations_name_uo""),7,FALSE)
,
)
))"),"ГУБІН Дмитро Геннадійович")</f>
        <v>ГУБІН Дмитро Геннадійович</v>
      </c>
      <c r="G8480" s="7" t="s">
        <v>10</v>
      </c>
      <c r="H8480" s="7">
        <v>3069</v>
      </c>
      <c r="I8480" s="8" t="str">
        <f ca="1">IFERROR(__xludf.DUMMYFUNCTION("IF
(
G8481=""фізична особа""
,
VLOOKUP(H8481,IMPORTRANGE(""https://docs.google.com/spreadsheets/d/14Bd19lYaqBhU8_DElYkX7l4wRkHqqCUFNJY4AfY3kHU/edit?usp=sharing  #gid=0"",""фіз особи new!relations_name""),6,FALSE)
,
(IF
(
G8481=""юридична особа""
,
VLOOKUP"&amp;"(H8481,IMPORTRANGE(""https://docs.google.com/spreadsheets/d/14Bd19lYaqBhU8_DElYkX7l4wRkHqqCUFNJY4AfY3kHU/edit?usp=sharing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0" s="7" t="s">
        <v>29</v>
      </c>
    </row>
    <row r="8481" spans="1:10" ht="13.2">
      <c r="A8481" s="7">
        <v>8480</v>
      </c>
      <c r="B8481" s="7">
        <v>1</v>
      </c>
      <c r="C8481" s="7" t="s">
        <v>10</v>
      </c>
      <c r="D8481" s="7">
        <v>10419</v>
      </c>
      <c r="E8481" s="7" t="s">
        <v>28</v>
      </c>
      <c r="F8481" s="8" t="str">
        <f ca="1">IFERROR(__xludf.DUMMYFUNCTION("IF
(
C8482=""фізична особа""
,
VLOOKUP(D8482,IMPORTRANGE(""https://docs.google.com/spreadsheets/d/14Bd19lYaqBhU8_DElYkX7l4wRkHqqCUFNJY4AfY3kHU/edit?usp=sharing  #gid=0"",""фіз особи new!relations_name""),6,FALSE)
,
(IF
(
C8482=""юридична особа""
,
VLOOKUP"&amp;"(D8482,IMPORTRANGE(""https://docs.google.com/spreadsheets/d/14Bd19lYaqBhU8_DElYkX7l4wRkHqqCUFNJY4AfY3kHU/edit?usp=sharing  #gid=0"",""фіз особи new!relations_name_uo""),7,FALSE)
,
)
))"),"ЖАНЄ Мурат Русланович")</f>
        <v>ЖАНЄ Мурат Русланович</v>
      </c>
      <c r="G8481" s="7" t="s">
        <v>10</v>
      </c>
      <c r="H8481" s="7">
        <v>3069</v>
      </c>
      <c r="I8481" s="8" t="str">
        <f ca="1">IFERROR(__xludf.DUMMYFUNCTION("IF
(
G8482=""фізична особа""
,
VLOOKUP(H8482,IMPORTRANGE(""https://docs.google.com/spreadsheets/d/14Bd19lYaqBhU8_DElYkX7l4wRkHqqCUFNJY4AfY3kHU/edit?usp=sharing  #gid=0"",""фіз особи new!relations_name""),6,FALSE)
,
(IF
(
G8482=""юридична особа""
,
VLOOKUP"&amp;"(H8482,IMPORTRANGE(""https://docs.google.com/spreadsheets/d/14Bd19lYaqBhU8_DElYkX7l4wRkHqqCUFNJY4AfY3kHU/edit?usp=sharing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1" s="7" t="s">
        <v>29</v>
      </c>
    </row>
    <row r="8482" spans="1:10" ht="13.2">
      <c r="A8482" s="7">
        <v>8481</v>
      </c>
      <c r="B8482" s="7">
        <v>1</v>
      </c>
      <c r="C8482" s="7" t="s">
        <v>10</v>
      </c>
      <c r="D8482" s="7">
        <v>10420</v>
      </c>
      <c r="E8482" s="7" t="s">
        <v>28</v>
      </c>
      <c r="F8482" s="8" t="str">
        <f ca="1">IFERROR(__xludf.DUMMYFUNCTION("IF
(
C8483=""фізична особа""
,
VLOOKUP(D8483,IMPORTRANGE(""https://docs.google.com/spreadsheets/d/14Bd19lYaqBhU8_DElYkX7l4wRkHqqCUFNJY4AfY3kHU/edit?usp=sharing  #gid=0"",""фіз особи new!relations_name""),6,FALSE)
,
(IF
(
C8483=""юридична особа""
,
VLOOKUP"&amp;"(D8483,IMPORTRANGE(""https://docs.google.com/spreadsheets/d/14Bd19lYaqBhU8_DElYkX7l4wRkHqqCUFNJY4AfY3kHU/edit?usp=sharing  #gid=0"",""фіз особи new!relations_name_uo""),7,FALSE)
,
)
))"),"ЗАВГОРОДНЯ Галина Євгенівна")</f>
        <v>ЗАВГОРОДНЯ Галина Євгенівна</v>
      </c>
      <c r="G8482" s="7" t="s">
        <v>10</v>
      </c>
      <c r="H8482" s="7">
        <v>3069</v>
      </c>
      <c r="I8482" s="8" t="str">
        <f ca="1">IFERROR(__xludf.DUMMYFUNCTION("IF
(
G8483=""фізична особа""
,
VLOOKUP(H8483,IMPORTRANGE(""https://docs.google.com/spreadsheets/d/14Bd19lYaqBhU8_DElYkX7l4wRkHqqCUFNJY4AfY3kHU/edit?usp=sharing  #gid=0"",""фіз особи new!relations_name""),6,FALSE)
,
(IF
(
G8483=""юридична особа""
,
VLOOKUP"&amp;"(H8483,IMPORTRANGE(""https://docs.google.com/spreadsheets/d/14Bd19lYaqBhU8_DElYkX7l4wRkHqqCUFNJY4AfY3kHU/edit?usp=sharing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2" s="7" t="s">
        <v>29</v>
      </c>
    </row>
    <row r="8483" spans="1:10" ht="13.2">
      <c r="A8483" s="7">
        <v>8482</v>
      </c>
      <c r="B8483" s="7">
        <v>1</v>
      </c>
      <c r="C8483" s="7" t="s">
        <v>10</v>
      </c>
      <c r="D8483" s="7">
        <v>10421</v>
      </c>
      <c r="E8483" s="7" t="s">
        <v>28</v>
      </c>
      <c r="F8483" s="8" t="str">
        <f ca="1">IFERROR(__xludf.DUMMYFUNCTION("IF
(
C8484=""фізична особа""
,
VLOOKUP(D8484,IMPORTRANGE(""https://docs.google.com/spreadsheets/d/14Bd19lYaqBhU8_DElYkX7l4wRkHqqCUFNJY4AfY3kHU/edit?usp=sharing  #gid=0"",""фіз особи new!relations_name""),6,FALSE)
,
(IF
(
C8484=""юридична особа""
,
VLOOKUP"&amp;"(D8484,IMPORTRANGE(""https://docs.google.com/spreadsheets/d/14Bd19lYaqBhU8_DElYkX7l4wRkHqqCUFNJY4AfY3kHU/edit?usp=sharing  #gid=0"",""фіз особи new!relations_name_uo""),7,FALSE)
,
)
))"),"МАРВАРОВА Світлана Ревмерівна")</f>
        <v>МАРВАРОВА Світлана Ревмерівна</v>
      </c>
      <c r="G8483" s="7" t="s">
        <v>10</v>
      </c>
      <c r="H8483" s="7">
        <v>3069</v>
      </c>
      <c r="I8483" s="8" t="str">
        <f ca="1">IFERROR(__xludf.DUMMYFUNCTION("IF
(
G8484=""фізична особа""
,
VLOOKUP(H8484,IMPORTRANGE(""https://docs.google.com/spreadsheets/d/14Bd19lYaqBhU8_DElYkX7l4wRkHqqCUFNJY4AfY3kHU/edit?usp=sharing  #gid=0"",""фіз особи new!relations_name""),6,FALSE)
,
(IF
(
G8484=""юридична особа""
,
VLOOKUP"&amp;"(H8484,IMPORTRANGE(""https://docs.google.com/spreadsheets/d/14Bd19lYaqBhU8_DElYkX7l4wRkHqqCUFNJY4AfY3kHU/edit?usp=sharing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3" s="7" t="s">
        <v>29</v>
      </c>
    </row>
    <row r="8484" spans="1:10" ht="13.2">
      <c r="A8484" s="7">
        <v>8483</v>
      </c>
      <c r="B8484" s="7">
        <v>1</v>
      </c>
      <c r="C8484" s="7" t="s">
        <v>10</v>
      </c>
      <c r="D8484" s="7">
        <v>10422</v>
      </c>
      <c r="E8484" s="7" t="s">
        <v>28</v>
      </c>
      <c r="F8484" s="8" t="str">
        <f ca="1">IFERROR(__xludf.DUMMYFUNCTION("IF
(
C8485=""фізична особа""
,
VLOOKUP(D8485,IMPORTRANGE(""https://docs.google.com/spreadsheets/d/14Bd19lYaqBhU8_DElYkX7l4wRkHqqCUFNJY4AfY3kHU/edit?usp=sharing  #gid=0"",""фіз особи new!relations_name""),6,FALSE)
,
(IF
(
C8485=""юридична особа""
,
VLOOKUP"&amp;"(D8485,IMPORTRANGE(""https://docs.google.com/spreadsheets/d/14Bd19lYaqBhU8_DElYkX7l4wRkHqqCUFNJY4AfY3kHU/edit?usp=sharing  #gid=0"",""фіз особи new!relations_name_uo""),7,FALSE)
,
)
))"),"ЦИДЕНОВ Олег Дашинімаєвич")</f>
        <v>ЦИДЕНОВ Олег Дашинімаєвич</v>
      </c>
      <c r="G8484" s="7" t="s">
        <v>10</v>
      </c>
      <c r="H8484" s="7">
        <v>3069</v>
      </c>
      <c r="I8484" s="8" t="str">
        <f ca="1">IFERROR(__xludf.DUMMYFUNCTION("IF
(
G8485=""фізична особа""
,
VLOOKUP(H8485,IMPORTRANGE(""https://docs.google.com/spreadsheets/d/14Bd19lYaqBhU8_DElYkX7l4wRkHqqCUFNJY4AfY3kHU/edit?usp=sharing  #gid=0"",""фіз особи new!relations_name""),6,FALSE)
,
(IF
(
G8485=""юридична особа""
,
VLOOKUP"&amp;"(H8485,IMPORTRANGE(""https://docs.google.com/spreadsheets/d/14Bd19lYaqBhU8_DElYkX7l4wRkHqqCUFNJY4AfY3kHU/edit?usp=sharing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4" s="7" t="s">
        <v>29</v>
      </c>
    </row>
    <row r="8485" spans="1:10" ht="13.2">
      <c r="A8485" s="7">
        <v>8484</v>
      </c>
      <c r="B8485" s="7">
        <v>1</v>
      </c>
      <c r="C8485" s="7" t="s">
        <v>10</v>
      </c>
      <c r="D8485" s="7">
        <v>10423</v>
      </c>
      <c r="E8485" s="7" t="s">
        <v>28</v>
      </c>
      <c r="F8485" s="8" t="str">
        <f ca="1">IFERROR(__xludf.DUMMYFUNCTION("IF
(
C8486=""фізична особа""
,
VLOOKUP(D8486,IMPORTRANGE(""https://docs.google.com/spreadsheets/d/14Bd19lYaqBhU8_DElYkX7l4wRkHqqCUFNJY4AfY3kHU/edit?usp=sharing  #gid=0"",""фіз особи new!relations_name""),6,FALSE)
,
(IF
(
C8486=""юридична особа""
,
VLOOKUP"&amp;"(D8486,IMPORTRANGE(""https://docs.google.com/spreadsheets/d/14Bd19lYaqBhU8_DElYkX7l4wRkHqqCUFNJY4AfY3kHU/edit?usp=sharing  #gid=0"",""фіз особи new!relations_name_uo""),7,FALSE)
,
)
))"),"АМІРХАНОВ Абдулпатах Гаджійович")</f>
        <v>АМІРХАНОВ Абдулпатах Гаджійович</v>
      </c>
      <c r="G8485" s="7" t="s">
        <v>10</v>
      </c>
      <c r="H8485" s="7">
        <v>3069</v>
      </c>
      <c r="I8485" s="8" t="str">
        <f ca="1">IFERROR(__xludf.DUMMYFUNCTION("IF
(
G8486=""фізична особа""
,
VLOOKUP(H8486,IMPORTRANGE(""https://docs.google.com/spreadsheets/d/14Bd19lYaqBhU8_DElYkX7l4wRkHqqCUFNJY4AfY3kHU/edit?usp=sharing  #gid=0"",""фіз особи new!relations_name""),6,FALSE)
,
(IF
(
G8486=""юридична особа""
,
VLOOKUP"&amp;"(H8486,IMPORTRANGE(""https://docs.google.com/spreadsheets/d/14Bd19lYaqBhU8_DElYkX7l4wRkHqqCUFNJY4AfY3kHU/edit?usp=sharing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5" s="7" t="s">
        <v>29</v>
      </c>
    </row>
    <row r="8486" spans="1:10" ht="13.2">
      <c r="A8486" s="7">
        <v>8485</v>
      </c>
      <c r="B8486" s="7">
        <v>1</v>
      </c>
      <c r="C8486" s="7" t="s">
        <v>10</v>
      </c>
      <c r="D8486" s="7">
        <v>10424</v>
      </c>
      <c r="E8486" s="7" t="s">
        <v>28</v>
      </c>
      <c r="F8486" s="8" t="str">
        <f ca="1">IFERROR(__xludf.DUMMYFUNCTION("IF
(
C8487=""фізична особа""
,
VLOOKUP(D8487,IMPORTRANGE(""https://docs.google.com/spreadsheets/d/14Bd19lYaqBhU8_DElYkX7l4wRkHqqCUFNJY4AfY3kHU/edit?usp=sharing  #gid=0"",""фіз особи new!relations_name""),6,FALSE)
,
(IF
(
C8487=""юридична особа""
,
VLOOKUP"&amp;"(D8487,IMPORTRANGE(""https://docs.google.com/spreadsheets/d/14Bd19lYaqBhU8_DElYkX7l4wRkHqqCUFNJY4AfY3kHU/edit?usp=sharing  #gid=0"",""фіз особи new!relations_name_uo""),7,FALSE)
,
)
))"),"УГУРЧІЄВ Ільяс Якубович")</f>
        <v>УГУРЧІЄВ Ільяс Якубович</v>
      </c>
      <c r="G8486" s="7" t="s">
        <v>10</v>
      </c>
      <c r="H8486" s="7">
        <v>3069</v>
      </c>
      <c r="I8486" s="8" t="str">
        <f ca="1">IFERROR(__xludf.DUMMYFUNCTION("IF
(
G8487=""фізична особа""
,
VLOOKUP(H8487,IMPORTRANGE(""https://docs.google.com/spreadsheets/d/14Bd19lYaqBhU8_DElYkX7l4wRkHqqCUFNJY4AfY3kHU/edit?usp=sharing  #gid=0"",""фіз особи new!relations_name""),6,FALSE)
,
(IF
(
G8487=""юридична особа""
,
VLOOKUP"&amp;"(H8487,IMPORTRANGE(""https://docs.google.com/spreadsheets/d/14Bd19lYaqBhU8_DElYkX7l4wRkHqqCUFNJY4AfY3kHU/edit?usp=sharing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6" s="7" t="s">
        <v>29</v>
      </c>
    </row>
    <row r="8487" spans="1:10" ht="13.2">
      <c r="A8487" s="7">
        <v>8486</v>
      </c>
      <c r="B8487" s="7">
        <v>1</v>
      </c>
      <c r="C8487" s="7" t="s">
        <v>10</v>
      </c>
      <c r="D8487" s="7">
        <v>10425</v>
      </c>
      <c r="E8487" s="7" t="s">
        <v>28</v>
      </c>
      <c r="F8487" s="8" t="str">
        <f ca="1">IFERROR(__xludf.DUMMYFUNCTION("IF
(
C8488=""фізична особа""
,
VLOOKUP(D8488,IMPORTRANGE(""https://docs.google.com/spreadsheets/d/14Bd19lYaqBhU8_DElYkX7l4wRkHqqCUFNJY4AfY3kHU/edit?usp=sharing  #gid=0"",""фіз особи new!relations_name""),6,FALSE)
,
(IF
(
C8488=""юридична особа""
,
VLOOKUP"&amp;"(D8488,IMPORTRANGE(""https://docs.google.com/spreadsheets/d/14Bd19lYaqBhU8_DElYkX7l4wRkHqqCUFNJY4AfY3kHU/edit?usp=sharing  #gid=0"",""фіз особи new!relations_name_uo""),7,FALSE)
,
)
))"),"ШАКІРОВА Тогряш Антонівна")</f>
        <v>ШАКІРОВА Тогряш Антонівна</v>
      </c>
      <c r="G8487" s="7" t="s">
        <v>10</v>
      </c>
      <c r="H8487" s="7">
        <v>3069</v>
      </c>
      <c r="I8487" s="8" t="str">
        <f ca="1">IFERROR(__xludf.DUMMYFUNCTION("IF
(
G8488=""фізична особа""
,
VLOOKUP(H8488,IMPORTRANGE(""https://docs.google.com/spreadsheets/d/14Bd19lYaqBhU8_DElYkX7l4wRkHqqCUFNJY4AfY3kHU/edit?usp=sharing  #gid=0"",""фіз особи new!relations_name""),6,FALSE)
,
(IF
(
G8488=""юридична особа""
,
VLOOKUP"&amp;"(H8488,IMPORTRANGE(""https://docs.google.com/spreadsheets/d/14Bd19lYaqBhU8_DElYkX7l4wRkHqqCUFNJY4AfY3kHU/edit?usp=sharing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7" s="7" t="s">
        <v>29</v>
      </c>
    </row>
    <row r="8488" spans="1:10" ht="13.2">
      <c r="A8488" s="7">
        <v>8487</v>
      </c>
      <c r="B8488" s="7">
        <v>1</v>
      </c>
      <c r="C8488" s="7" t="s">
        <v>10</v>
      </c>
      <c r="D8488" s="7">
        <v>10426</v>
      </c>
      <c r="E8488" s="7" t="s">
        <v>28</v>
      </c>
      <c r="F8488" s="8" t="str">
        <f ca="1">IFERROR(__xludf.DUMMYFUNCTION("IF
(
C8489=""фізична особа""
,
VLOOKUP(D8489,IMPORTRANGE(""https://docs.google.com/spreadsheets/d/14Bd19lYaqBhU8_DElYkX7l4wRkHqqCUFNJY4AfY3kHU/edit?usp=sharing  #gid=0"",""фіз особи new!relations_name""),6,FALSE)
,
(IF
(
C8489=""юридична особа""
,
VLOOKUP"&amp;"(D8489,IMPORTRANGE(""https://docs.google.com/spreadsheets/d/14Bd19lYaqBhU8_DElYkX7l4wRkHqqCUFNJY4AfY3kHU/edit?usp=sharing  #gid=0"",""фіз особи new!relations_name_uo""),7,FALSE)
,
)
))"),"КОВАЛЬОВА Ольга Іванівна")</f>
        <v>КОВАЛЬОВА Ольга Іванівна</v>
      </c>
      <c r="G8488" s="7" t="s">
        <v>10</v>
      </c>
      <c r="H8488" s="7">
        <v>3069</v>
      </c>
      <c r="I8488" s="8" t="str">
        <f ca="1">IFERROR(__xludf.DUMMYFUNCTION("IF
(
G8489=""фізична особа""
,
VLOOKUP(H8489,IMPORTRANGE(""https://docs.google.com/spreadsheets/d/14Bd19lYaqBhU8_DElYkX7l4wRkHqqCUFNJY4AfY3kHU/edit?usp=sharing  #gid=0"",""фіз особи new!relations_name""),6,FALSE)
,
(IF
(
G8489=""юридична особа""
,
VLOOKUP"&amp;"(H8489,IMPORTRANGE(""https://docs.google.com/spreadsheets/d/14Bd19lYaqBhU8_DElYkX7l4wRkHqqCUFNJY4AfY3kHU/edit?usp=sharing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8" s="7" t="s">
        <v>29</v>
      </c>
    </row>
    <row r="8489" spans="1:10" ht="13.2">
      <c r="A8489" s="7">
        <v>8488</v>
      </c>
      <c r="B8489" s="7">
        <v>1</v>
      </c>
      <c r="C8489" s="7" t="s">
        <v>10</v>
      </c>
      <c r="D8489" s="7">
        <v>10427</v>
      </c>
      <c r="E8489" s="7" t="s">
        <v>28</v>
      </c>
      <c r="F8489" s="8" t="str">
        <f ca="1">IFERROR(__xludf.DUMMYFUNCTION("IF
(
C8490=""фізична особа""
,
VLOOKUP(D8490,IMPORTRANGE(""https://docs.google.com/spreadsheets/d/14Bd19lYaqBhU8_DElYkX7l4wRkHqqCUFNJY4AfY3kHU/edit?usp=sharing  #gid=0"",""фіз особи new!relations_name""),6,FALSE)
,
(IF
(
C8490=""юридична особа""
,
VLOOKUP"&amp;"(D8490,IMPORTRANGE(""https://docs.google.com/spreadsheets/d/14Bd19lYaqBhU8_DElYkX7l4wRkHqqCUFNJY4AfY3kHU/edit?usp=sharing  #gid=0"",""фіз особи new!relations_name_uo""),7,FALSE)
,
)
))"),"ЧЕСТНОВА Любов Іванівна")</f>
        <v>ЧЕСТНОВА Любов Іванівна</v>
      </c>
      <c r="G8489" s="7" t="s">
        <v>10</v>
      </c>
      <c r="H8489" s="7">
        <v>3069</v>
      </c>
      <c r="I8489" s="8" t="str">
        <f ca="1">IFERROR(__xludf.DUMMYFUNCTION("IF
(
G8490=""фізична особа""
,
VLOOKUP(H8490,IMPORTRANGE(""https://docs.google.com/spreadsheets/d/14Bd19lYaqBhU8_DElYkX7l4wRkHqqCUFNJY4AfY3kHU/edit?usp=sharing  #gid=0"",""фіз особи new!relations_name""),6,FALSE)
,
(IF
(
G8490=""юридична особа""
,
VLOOKUP"&amp;"(H8490,IMPORTRANGE(""https://docs.google.com/spreadsheets/d/14Bd19lYaqBhU8_DElYkX7l4wRkHqqCUFNJY4AfY3kHU/edit?usp=sharing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89" s="7" t="s">
        <v>29</v>
      </c>
    </row>
    <row r="8490" spans="1:10" ht="13.2">
      <c r="A8490" s="7">
        <v>8489</v>
      </c>
      <c r="B8490" s="7">
        <v>1</v>
      </c>
      <c r="C8490" s="7" t="s">
        <v>10</v>
      </c>
      <c r="D8490" s="7">
        <v>10428</v>
      </c>
      <c r="E8490" s="7" t="s">
        <v>28</v>
      </c>
      <c r="F8490" s="8" t="str">
        <f ca="1">IFERROR(__xludf.DUMMYFUNCTION("IF
(
C8491=""фізична особа""
,
VLOOKUP(D8491,IMPORTRANGE(""https://docs.google.com/spreadsheets/d/14Bd19lYaqBhU8_DElYkX7l4wRkHqqCUFNJY4AfY3kHU/edit?usp=sharing  #gid=0"",""фіз особи new!relations_name""),6,FALSE)
,
(IF
(
C8491=""юридична особа""
,
VLOOKUP"&amp;"(D8491,IMPORTRANGE(""https://docs.google.com/spreadsheets/d/14Bd19lYaqBhU8_DElYkX7l4wRkHqqCUFNJY4AfY3kHU/edit?usp=sharing  #gid=0"",""фіз особи new!relations_name_uo""),7,FALSE)
,
)
))"),"АСТАФ'ЄВА Ангеліна Юріївна")</f>
        <v>АСТАФ'ЄВА Ангеліна Юріївна</v>
      </c>
      <c r="G8490" s="7" t="s">
        <v>10</v>
      </c>
      <c r="H8490" s="7">
        <v>3069</v>
      </c>
      <c r="I8490" s="8" t="str">
        <f ca="1">IFERROR(__xludf.DUMMYFUNCTION("IF
(
G8491=""фізична особа""
,
VLOOKUP(H8491,IMPORTRANGE(""https://docs.google.com/spreadsheets/d/14Bd19lYaqBhU8_DElYkX7l4wRkHqqCUFNJY4AfY3kHU/edit?usp=sharing  #gid=0"",""фіз особи new!relations_name""),6,FALSE)
,
(IF
(
G8491=""юридична особа""
,
VLOOKUP"&amp;"(H8491,IMPORTRANGE(""https://docs.google.com/spreadsheets/d/14Bd19lYaqBhU8_DElYkX7l4wRkHqqCUFNJY4AfY3kHU/edit?usp=sharing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0" s="7" t="s">
        <v>29</v>
      </c>
    </row>
    <row r="8491" spans="1:10" ht="13.2">
      <c r="A8491" s="7">
        <v>8490</v>
      </c>
      <c r="B8491" s="7">
        <v>1</v>
      </c>
      <c r="C8491" s="7" t="s">
        <v>10</v>
      </c>
      <c r="D8491" s="7">
        <v>10429</v>
      </c>
      <c r="E8491" s="7" t="s">
        <v>28</v>
      </c>
      <c r="F8491" s="8" t="str">
        <f ca="1">IFERROR(__xludf.DUMMYFUNCTION("IF
(
C8492=""фізична особа""
,
VLOOKUP(D8492,IMPORTRANGE(""https://docs.google.com/spreadsheets/d/14Bd19lYaqBhU8_DElYkX7l4wRkHqqCUFNJY4AfY3kHU/edit?usp=sharing  #gid=0"",""фіз особи new!relations_name""),6,FALSE)
,
(IF
(
C8492=""юридична особа""
,
VLOOKUP"&amp;"(D8492,IMPORTRANGE(""https://docs.google.com/spreadsheets/d/14Bd19lYaqBhU8_DElYkX7l4wRkHqqCUFNJY4AfY3kHU/edit?usp=sharing  #gid=0"",""фіз особи new!relations_name_uo""),7,FALSE)
,
)
))"),"СОКОЛОВА Ольга Валентинівна")</f>
        <v>СОКОЛОВА Ольга Валентинівна</v>
      </c>
      <c r="G8491" s="7" t="s">
        <v>10</v>
      </c>
      <c r="H8491" s="7">
        <v>3069</v>
      </c>
      <c r="I8491" s="8" t="str">
        <f ca="1">IFERROR(__xludf.DUMMYFUNCTION("IF
(
G8492=""фізична особа""
,
VLOOKUP(H8492,IMPORTRANGE(""https://docs.google.com/spreadsheets/d/14Bd19lYaqBhU8_DElYkX7l4wRkHqqCUFNJY4AfY3kHU/edit?usp=sharing  #gid=0"",""фіз особи new!relations_name""),6,FALSE)
,
(IF
(
G8492=""юридична особа""
,
VLOOKUP"&amp;"(H8492,IMPORTRANGE(""https://docs.google.com/spreadsheets/d/14Bd19lYaqBhU8_DElYkX7l4wRkHqqCUFNJY4AfY3kHU/edit?usp=sharing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1" s="7" t="s">
        <v>29</v>
      </c>
    </row>
    <row r="8492" spans="1:10" ht="13.2">
      <c r="A8492" s="7">
        <v>8491</v>
      </c>
      <c r="B8492" s="7">
        <v>1</v>
      </c>
      <c r="C8492" s="7" t="s">
        <v>10</v>
      </c>
      <c r="D8492" s="7">
        <v>10430</v>
      </c>
      <c r="E8492" s="7" t="s">
        <v>28</v>
      </c>
      <c r="F8492" s="8" t="str">
        <f ca="1">IFERROR(__xludf.DUMMYFUNCTION("IF
(
C8493=""фізична особа""
,
VLOOKUP(D8493,IMPORTRANGE(""https://docs.google.com/spreadsheets/d/14Bd19lYaqBhU8_DElYkX7l4wRkHqqCUFNJY4AfY3kHU/edit?usp=sharing  #gid=0"",""фіз особи new!relations_name""),6,FALSE)
,
(IF
(
C8493=""юридична особа""
,
VLOOKUP"&amp;"(D8493,IMPORTRANGE(""https://docs.google.com/spreadsheets/d/14Bd19lYaqBhU8_DElYkX7l4wRkHqqCUFNJY4AfY3kHU/edit?usp=sharing  #gid=0"",""фіз особи new!relations_name_uo""),7,FALSE)
,
)
))"),"КУКЛІН Олексій Валерійович")</f>
        <v>КУКЛІН Олексій Валерійович</v>
      </c>
      <c r="G8492" s="7" t="s">
        <v>10</v>
      </c>
      <c r="H8492" s="7">
        <v>3069</v>
      </c>
      <c r="I8492" s="8" t="str">
        <f ca="1">IFERROR(__xludf.DUMMYFUNCTION("IF
(
G8493=""фізична особа""
,
VLOOKUP(H8493,IMPORTRANGE(""https://docs.google.com/spreadsheets/d/14Bd19lYaqBhU8_DElYkX7l4wRkHqqCUFNJY4AfY3kHU/edit?usp=sharing  #gid=0"",""фіз особи new!relations_name""),6,FALSE)
,
(IF
(
G8493=""юридична особа""
,
VLOOKUP"&amp;"(H8493,IMPORTRANGE(""https://docs.google.com/spreadsheets/d/14Bd19lYaqBhU8_DElYkX7l4wRkHqqCUFNJY4AfY3kHU/edit?usp=sharing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2" s="7" t="s">
        <v>29</v>
      </c>
    </row>
    <row r="8493" spans="1:10" ht="13.2">
      <c r="A8493" s="7">
        <v>8492</v>
      </c>
      <c r="B8493" s="7">
        <v>1</v>
      </c>
      <c r="C8493" s="7" t="s">
        <v>10</v>
      </c>
      <c r="D8493" s="7">
        <v>10431</v>
      </c>
      <c r="E8493" s="7" t="s">
        <v>28</v>
      </c>
      <c r="F8493" s="8" t="str">
        <f ca="1">IFERROR(__xludf.DUMMYFUNCTION("IF
(
C8494=""фізична особа""
,
VLOOKUP(D8494,IMPORTRANGE(""https://docs.google.com/spreadsheets/d/14Bd19lYaqBhU8_DElYkX7l4wRkHqqCUFNJY4AfY3kHU/edit?usp=sharing  #gid=0"",""фіз особи new!relations_name""),6,FALSE)
,
(IF
(
C8494=""юридична особа""
,
VLOOKUP"&amp;"(D8494,IMPORTRANGE(""https://docs.google.com/spreadsheets/d/14Bd19lYaqBhU8_DElYkX7l4wRkHqqCUFNJY4AfY3kHU/edit?usp=sharing  #gid=0"",""фіз особи new!relations_name_uo""),7,FALSE)
,
)
))"),"ДЗГОЄВ Тимур Валерійович")</f>
        <v>ДЗГОЄВ Тимур Валерійович</v>
      </c>
      <c r="G8493" s="7" t="s">
        <v>10</v>
      </c>
      <c r="H8493" s="7">
        <v>3069</v>
      </c>
      <c r="I8493" s="8" t="str">
        <f ca="1">IFERROR(__xludf.DUMMYFUNCTION("IF
(
G8494=""фізична особа""
,
VLOOKUP(H8494,IMPORTRANGE(""https://docs.google.com/spreadsheets/d/14Bd19lYaqBhU8_DElYkX7l4wRkHqqCUFNJY4AfY3kHU/edit?usp=sharing  #gid=0"",""фіз особи new!relations_name""),6,FALSE)
,
(IF
(
G8494=""юридична особа""
,
VLOOKUP"&amp;"(H8494,IMPORTRANGE(""https://docs.google.com/spreadsheets/d/14Bd19lYaqBhU8_DElYkX7l4wRkHqqCUFNJY4AfY3kHU/edit?usp=sharing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3" s="7" t="s">
        <v>29</v>
      </c>
    </row>
    <row r="8494" spans="1:10" ht="13.2">
      <c r="A8494" s="7">
        <v>8493</v>
      </c>
      <c r="B8494" s="7">
        <v>1</v>
      </c>
      <c r="C8494" s="7" t="s">
        <v>10</v>
      </c>
      <c r="D8494" s="7">
        <v>10432</v>
      </c>
      <c r="E8494" s="7" t="s">
        <v>28</v>
      </c>
      <c r="F8494" s="8" t="str">
        <f ca="1">IFERROR(__xludf.DUMMYFUNCTION("IF
(
C8495=""фізична особа""
,
VLOOKUP(D8495,IMPORTRANGE(""https://docs.google.com/spreadsheets/d/14Bd19lYaqBhU8_DElYkX7l4wRkHqqCUFNJY4AfY3kHU/edit?usp=sharing  #gid=0"",""фіз особи new!relations_name""),6,FALSE)
,
(IF
(
C8495=""юридична особа""
,
VLOOKUP"&amp;"(D8495,IMPORTRANGE(""https://docs.google.com/spreadsheets/d/14Bd19lYaqBhU8_DElYkX7l4wRkHqqCUFNJY4AfY3kHU/edit?usp=sharing  #gid=0"",""фіз особи new!relations_name_uo""),7,FALSE)
,
)
))"),"НУРІАХМЕТОВ Рустам Хусаїнович")</f>
        <v>НУРІАХМЕТОВ Рустам Хусаїнович</v>
      </c>
      <c r="G8494" s="7" t="s">
        <v>10</v>
      </c>
      <c r="H8494" s="7">
        <v>3069</v>
      </c>
      <c r="I8494" s="8" t="str">
        <f ca="1">IFERROR(__xludf.DUMMYFUNCTION("IF
(
G8495=""фізична особа""
,
VLOOKUP(H8495,IMPORTRANGE(""https://docs.google.com/spreadsheets/d/14Bd19lYaqBhU8_DElYkX7l4wRkHqqCUFNJY4AfY3kHU/edit?usp=sharing  #gid=0"",""фіз особи new!relations_name""),6,FALSE)
,
(IF
(
G8495=""юридична особа""
,
VLOOKUP"&amp;"(H8495,IMPORTRANGE(""https://docs.google.com/spreadsheets/d/14Bd19lYaqBhU8_DElYkX7l4wRkHqqCUFNJY4AfY3kHU/edit?usp=sharing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4" s="7" t="s">
        <v>29</v>
      </c>
    </row>
    <row r="8495" spans="1:10" ht="13.2">
      <c r="A8495" s="7">
        <v>8494</v>
      </c>
      <c r="B8495" s="7">
        <v>1</v>
      </c>
      <c r="C8495" s="7" t="s">
        <v>10</v>
      </c>
      <c r="D8495" s="7">
        <v>10433</v>
      </c>
      <c r="E8495" s="7" t="s">
        <v>28</v>
      </c>
      <c r="F8495" s="8" t="str">
        <f ca="1">IFERROR(__xludf.DUMMYFUNCTION("IF
(
C8496=""фізична особа""
,
VLOOKUP(D8496,IMPORTRANGE(""https://docs.google.com/spreadsheets/d/14Bd19lYaqBhU8_DElYkX7l4wRkHqqCUFNJY4AfY3kHU/edit?usp=sharing  #gid=0"",""фіз особи new!relations_name""),6,FALSE)
,
(IF
(
C8496=""юридична особа""
,
VLOOKUP"&amp;"(D8496,IMPORTRANGE(""https://docs.google.com/spreadsheets/d/14Bd19lYaqBhU8_DElYkX7l4wRkHqqCUFNJY4AfY3kHU/edit?usp=sharing  #gid=0"",""фіз особи new!relations_name_uo""),7,FALSE)
,
)
))"),"СААЯ Соланги Миколаївна")</f>
        <v>СААЯ Соланги Миколаївна</v>
      </c>
      <c r="G8495" s="7" t="s">
        <v>10</v>
      </c>
      <c r="H8495" s="7">
        <v>3069</v>
      </c>
      <c r="I8495" s="8" t="str">
        <f ca="1">IFERROR(__xludf.DUMMYFUNCTION("IF
(
G8496=""фізична особа""
,
VLOOKUP(H8496,IMPORTRANGE(""https://docs.google.com/spreadsheets/d/14Bd19lYaqBhU8_DElYkX7l4wRkHqqCUFNJY4AfY3kHU/edit?usp=sharing  #gid=0"",""фіз особи new!relations_name""),6,FALSE)
,
(IF
(
G8496=""юридична особа""
,
VLOOKUP"&amp;"(H8496,IMPORTRANGE(""https://docs.google.com/spreadsheets/d/14Bd19lYaqBhU8_DElYkX7l4wRkHqqCUFNJY4AfY3kHU/edit?usp=sharing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5" s="7" t="s">
        <v>29</v>
      </c>
    </row>
    <row r="8496" spans="1:10" ht="13.2">
      <c r="A8496" s="7">
        <v>8495</v>
      </c>
      <c r="B8496" s="7">
        <v>1</v>
      </c>
      <c r="C8496" s="7" t="s">
        <v>10</v>
      </c>
      <c r="D8496" s="7">
        <v>10434</v>
      </c>
      <c r="E8496" s="7" t="s">
        <v>28</v>
      </c>
      <c r="F8496" s="8" t="str">
        <f ca="1">IFERROR(__xludf.DUMMYFUNCTION("IF
(
C8497=""фізична особа""
,
VLOOKUP(D8497,IMPORTRANGE(""https://docs.google.com/spreadsheets/d/14Bd19lYaqBhU8_DElYkX7l4wRkHqqCUFNJY4AfY3kHU/edit?usp=sharing  #gid=0"",""фіз особи new!relations_name""),6,FALSE)
,
(IF
(
C8497=""юридична особа""
,
VLOOKUP"&amp;"(D8497,IMPORTRANGE(""https://docs.google.com/spreadsheets/d/14Bd19lYaqBhU8_DElYkX7l4wRkHqqCUFNJY4AfY3kHU/edit?usp=sharing  #gid=0"",""фіз особи new!relations_name_uo""),7,FALSE)
,
)
))"),"ЗАРІПОВА Фанія Музіпівна")</f>
        <v>ЗАРІПОВА Фанія Музіпівна</v>
      </c>
      <c r="G8496" s="7" t="s">
        <v>10</v>
      </c>
      <c r="H8496" s="7">
        <v>3069</v>
      </c>
      <c r="I8496" s="8" t="str">
        <f ca="1">IFERROR(__xludf.DUMMYFUNCTION("IF
(
G8497=""фізична особа""
,
VLOOKUP(H8497,IMPORTRANGE(""https://docs.google.com/spreadsheets/d/14Bd19lYaqBhU8_DElYkX7l4wRkHqqCUFNJY4AfY3kHU/edit?usp=sharing  #gid=0"",""фіз особи new!relations_name""),6,FALSE)
,
(IF
(
G8497=""юридична особа""
,
VLOOKUP"&amp;"(H8497,IMPORTRANGE(""https://docs.google.com/spreadsheets/d/14Bd19lYaqBhU8_DElYkX7l4wRkHqqCUFNJY4AfY3kHU/edit?usp=sharing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6" s="7" t="s">
        <v>29</v>
      </c>
    </row>
    <row r="8497" spans="1:10" ht="13.2">
      <c r="A8497" s="7">
        <v>8496</v>
      </c>
      <c r="B8497" s="7">
        <v>1</v>
      </c>
      <c r="C8497" s="7" t="s">
        <v>10</v>
      </c>
      <c r="D8497" s="7">
        <v>10435</v>
      </c>
      <c r="E8497" s="7" t="s">
        <v>28</v>
      </c>
      <c r="F8497" s="8" t="str">
        <f ca="1">IFERROR(__xludf.DUMMYFUNCTION("IF
(
C8498=""фізична особа""
,
VLOOKUP(D8498,IMPORTRANGE(""https://docs.google.com/spreadsheets/d/14Bd19lYaqBhU8_DElYkX7l4wRkHqqCUFNJY4AfY3kHU/edit?usp=sharing  #gid=0"",""фіз особи new!relations_name""),6,FALSE)
,
(IF
(
C8498=""юридична особа""
,
VLOOKUP"&amp;"(D8498,IMPORTRANGE(""https://docs.google.com/spreadsheets/d/14Bd19lYaqBhU8_DElYkX7l4wRkHqqCUFNJY4AfY3kHU/edit?usp=sharing  #gid=0"",""фіз особи new!relations_name_uo""),7,FALSE)
,
)
))"),"АВВЯСОВ Раміль Наріманович")</f>
        <v>АВВЯСОВ Раміль Наріманович</v>
      </c>
      <c r="G8497" s="7" t="s">
        <v>10</v>
      </c>
      <c r="H8497" s="7">
        <v>3069</v>
      </c>
      <c r="I8497" s="8" t="str">
        <f ca="1">IFERROR(__xludf.DUMMYFUNCTION("IF
(
G8498=""фізична особа""
,
VLOOKUP(H8498,IMPORTRANGE(""https://docs.google.com/spreadsheets/d/14Bd19lYaqBhU8_DElYkX7l4wRkHqqCUFNJY4AfY3kHU/edit?usp=sharing  #gid=0"",""фіз особи new!relations_name""),6,FALSE)
,
(IF
(
G8498=""юридична особа""
,
VLOOKUP"&amp;"(H8498,IMPORTRANGE(""https://docs.google.com/spreadsheets/d/14Bd19lYaqBhU8_DElYkX7l4wRkHqqCUFNJY4AfY3kHU/edit?usp=sharing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7" s="7" t="s">
        <v>29</v>
      </c>
    </row>
    <row r="8498" spans="1:10" ht="13.2">
      <c r="A8498" s="7">
        <v>8497</v>
      </c>
      <c r="B8498" s="7">
        <v>1</v>
      </c>
      <c r="C8498" s="7" t="s">
        <v>10</v>
      </c>
      <c r="D8498" s="7">
        <v>10436</v>
      </c>
      <c r="E8498" s="7" t="s">
        <v>28</v>
      </c>
      <c r="F8498" s="8" t="str">
        <f ca="1">IFERROR(__xludf.DUMMYFUNCTION("IF
(
C8499=""фізична особа""
,
VLOOKUP(D8499,IMPORTRANGE(""https://docs.google.com/spreadsheets/d/14Bd19lYaqBhU8_DElYkX7l4wRkHqqCUFNJY4AfY3kHU/edit?usp=sharing  #gid=0"",""фіз особи new!relations_name""),6,FALSE)
,
(IF
(
C8499=""юридична особа""
,
VLOOKUP"&amp;"(D8499,IMPORTRANGE(""https://docs.google.com/spreadsheets/d/14Bd19lYaqBhU8_DElYkX7l4wRkHqqCUFNJY4AfY3kHU/edit?usp=sharing  #gid=0"",""фіз особи new!relations_name_uo""),7,FALSE)
,
)
))"),"БОРОДУЛІН Валерій Юрійович")</f>
        <v>БОРОДУЛІН Валерій Юрійович</v>
      </c>
      <c r="G8498" s="7" t="s">
        <v>10</v>
      </c>
      <c r="H8498" s="7">
        <v>3069</v>
      </c>
      <c r="I8498" s="8" t="str">
        <f ca="1">IFERROR(__xludf.DUMMYFUNCTION("IF
(
G8499=""фізична особа""
,
VLOOKUP(H8499,IMPORTRANGE(""https://docs.google.com/spreadsheets/d/14Bd19lYaqBhU8_DElYkX7l4wRkHqqCUFNJY4AfY3kHU/edit?usp=sharing  #gid=0"",""фіз особи new!relations_name""),6,FALSE)
,
(IF
(
G8499=""юридична особа""
,
VLOOKUP"&amp;"(H8499,IMPORTRANGE(""https://docs.google.com/spreadsheets/d/14Bd19lYaqBhU8_DElYkX7l4wRkHqqCUFNJY4AfY3kHU/edit?usp=sharing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8" s="7" t="s">
        <v>29</v>
      </c>
    </row>
    <row r="8499" spans="1:10" ht="13.2">
      <c r="A8499" s="7">
        <v>8498</v>
      </c>
      <c r="B8499" s="7">
        <v>1</v>
      </c>
      <c r="C8499" s="7" t="s">
        <v>10</v>
      </c>
      <c r="D8499" s="7">
        <v>10437</v>
      </c>
      <c r="E8499" s="7" t="s">
        <v>28</v>
      </c>
      <c r="F8499" s="8" t="str">
        <f ca="1">IFERROR(__xludf.DUMMYFUNCTION("IF
(
C8500=""фізична особа""
,
VLOOKUP(D8500,IMPORTRANGE(""https://docs.google.com/spreadsheets/d/14Bd19lYaqBhU8_DElYkX7l4wRkHqqCUFNJY4AfY3kHU/edit?usp=sharing  #gid=0"",""фіз особи new!relations_name""),6,FALSE)
,
(IF
(
C8500=""юридична особа""
,
VLOOKUP"&amp;"(D8500,IMPORTRANGE(""https://docs.google.com/spreadsheets/d/14Bd19lYaqBhU8_DElYkX7l4wRkHqqCUFNJY4AfY3kHU/edit?usp=sharing  #gid=0"",""фіз особи new!relations_name_uo""),7,FALSE)
,
)
))"),"КІРЄЄВ В'ячеслав Геннадійович")</f>
        <v>КІРЄЄВ В'ячеслав Геннадійович</v>
      </c>
      <c r="G8499" s="7" t="s">
        <v>10</v>
      </c>
      <c r="H8499" s="7">
        <v>3069</v>
      </c>
      <c r="I8499" s="8" t="str">
        <f ca="1">IFERROR(__xludf.DUMMYFUNCTION("IF
(
G8500=""фізична особа""
,
VLOOKUP(H8500,IMPORTRANGE(""https://docs.google.com/spreadsheets/d/14Bd19lYaqBhU8_DElYkX7l4wRkHqqCUFNJY4AfY3kHU/edit?usp=sharing  #gid=0"",""фіз особи new!relations_name""),6,FALSE)
,
(IF
(
G8500=""юридична особа""
,
VLOOKUP"&amp;"(H8500,IMPORTRANGE(""https://docs.google.com/spreadsheets/d/14Bd19lYaqBhU8_DElYkX7l4wRkHqqCUFNJY4AfY3kHU/edit?usp=sharing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499" s="7" t="s">
        <v>29</v>
      </c>
    </row>
    <row r="8500" spans="1:10" ht="13.2">
      <c r="A8500" s="7">
        <v>8499</v>
      </c>
      <c r="B8500" s="7">
        <v>1</v>
      </c>
      <c r="C8500" s="7" t="s">
        <v>10</v>
      </c>
      <c r="D8500" s="7">
        <v>10438</v>
      </c>
      <c r="E8500" s="7" t="s">
        <v>28</v>
      </c>
      <c r="F8500" s="8" t="str">
        <f ca="1">IFERROR(__xludf.DUMMYFUNCTION("IF
(
C8501=""фізична особа""
,
VLOOKUP(D8501,IMPORTRANGE(""https://docs.google.com/spreadsheets/d/14Bd19lYaqBhU8_DElYkX7l4wRkHqqCUFNJY4AfY3kHU/edit?usp=sharing  #gid=0"",""фіз особи new!relations_name""),6,FALSE)
,
(IF
(
C8501=""юридична особа""
,
VLOOKUP"&amp;"(D8501,IMPORTRANGE(""https://docs.google.com/spreadsheets/d/14Bd19lYaqBhU8_DElYkX7l4wRkHqqCUFNJY4AfY3kHU/edit?usp=sharing  #gid=0"",""фіз особи new!relations_name_uo""),7,FALSE)
,
)
))"),"ЖУКОВ Олександр Михайлович")</f>
        <v>ЖУКОВ Олександр Михайлович</v>
      </c>
      <c r="G8500" s="7" t="s">
        <v>10</v>
      </c>
      <c r="H8500" s="7">
        <v>3069</v>
      </c>
      <c r="I8500" s="8" t="str">
        <f ca="1">IFERROR(__xludf.DUMMYFUNCTION("IF
(
G8501=""фізична особа""
,
VLOOKUP(H8501,IMPORTRANGE(""https://docs.google.com/spreadsheets/d/14Bd19lYaqBhU8_DElYkX7l4wRkHqqCUFNJY4AfY3kHU/edit?usp=sharing  #gid=0"",""фіз особи new!relations_name""),6,FALSE)
,
(IF
(
G8501=""юридична особа""
,
VLOOKUP"&amp;"(H8501,IMPORTRANGE(""https://docs.google.com/spreadsheets/d/14Bd19lYaqBhU8_DElYkX7l4wRkHqqCUFNJY4AfY3kHU/edit?usp=sharing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500" s="7" t="s">
        <v>29</v>
      </c>
    </row>
    <row r="8501" spans="1:10" ht="13.2">
      <c r="A8501" s="7">
        <v>8500</v>
      </c>
      <c r="B8501" s="7">
        <v>1</v>
      </c>
      <c r="C8501" s="7" t="s">
        <v>10</v>
      </c>
      <c r="D8501" s="7">
        <v>10439</v>
      </c>
      <c r="E8501" s="7" t="s">
        <v>28</v>
      </c>
      <c r="F8501" s="8" t="str">
        <f ca="1">IFERROR(__xludf.DUMMYFUNCTION("IF
(
C8502=""фізична особа""
,
VLOOKUP(D8502,IMPORTRANGE(""https://docs.google.com/spreadsheets/d/14Bd19lYaqBhU8_DElYkX7l4wRkHqqCUFNJY4AfY3kHU/edit?usp=sharing  #gid=0"",""фіз особи new!relations_name""),6,FALSE)
,
(IF
(
C8502=""юридична особа""
,
VLOOKUP"&amp;"(D8502,IMPORTRANGE(""https://docs.google.com/spreadsheets/d/14Bd19lYaqBhU8_DElYkX7l4wRkHqqCUFNJY4AfY3kHU/edit?usp=sharing  #gid=0"",""фіз особи new!relations_name_uo""),7,FALSE)
,
)
))"),"ОЛОВЯННІКОВ Дмитро Олександрович")</f>
        <v>ОЛОВЯННІКОВ Дмитро Олександрович</v>
      </c>
      <c r="G8501" s="7" t="s">
        <v>10</v>
      </c>
      <c r="H8501" s="7">
        <v>3069</v>
      </c>
      <c r="I8501" s="8" t="str">
        <f ca="1">IFERROR(__xludf.DUMMYFUNCTION("IF
(
G8502=""фізична особа""
,
VLOOKUP(H8502,IMPORTRANGE(""https://docs.google.com/spreadsheets/d/14Bd19lYaqBhU8_DElYkX7l4wRkHqqCUFNJY4AfY3kHU/edit?usp=sharing  #gid=0"",""фіз особи new!relations_name""),6,FALSE)
,
(IF
(
G8502=""юридична особа""
,
VLOOKUP"&amp;"(H8502,IMPORTRANGE(""https://docs.google.com/spreadsheets/d/14Bd19lYaqBhU8_DElYkX7l4wRkHqqCUFNJY4AfY3kHU/edit?usp=sharing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8501" s="7" t="s">
        <v>29</v>
      </c>
    </row>
    <row r="8502" spans="1:10" ht="13.2">
      <c r="A8502" s="7">
        <v>8501</v>
      </c>
      <c r="B8502" s="7">
        <v>1</v>
      </c>
      <c r="C8502" s="7" t="s">
        <v>10</v>
      </c>
      <c r="D8502" s="7">
        <v>10440</v>
      </c>
      <c r="E8502" s="7" t="s">
        <v>28</v>
      </c>
      <c r="F8502" s="8" t="str">
        <f ca="1">IFERROR(__xludf.DUMMYFUNCTION("IF
(
C8503=""фізична особа""
,
VLOOKUP(D8503,IMPORTRANGE(""https://docs.google.com/spreadsheets/d/14Bd19lYaqBhU8_DElYkX7l4wRkHqqCUFNJY4AfY3kHU/edit?usp=sharing  #gid=0"",""фіз особи new!relations_name""),6,FALSE)
,
(IF
(
C8503=""юридична особа""
,
VLOOKUP"&amp;"(D8503,IMPORTRANGE(""https://docs.google.com/spreadsheets/d/14Bd19lYaqBhU8_DElYkX7l4wRkHqqCUFNJY4AfY3kHU/edit?usp=sharing  #gid=0"",""фіз особи new!relations_name_uo""),7,FALSE)
,
)
))"),"КАРТОЄВ Магомет Мусаєвич")</f>
        <v>КАРТОЄВ Магомет Мусаєвич</v>
      </c>
      <c r="G8502" s="7" t="s">
        <v>10</v>
      </c>
      <c r="H8502" s="7">
        <v>22386</v>
      </c>
      <c r="I8502" s="8" t="str">
        <f ca="1">IFERROR(__xludf.DUMMYFUNCTION("IF
(
G8503=""фізична особа""
,
VLOOKUP(H8503,IMPORTRANGE(""https://docs.google.com/spreadsheets/d/14Bd19lYaqBhU8_DElYkX7l4wRkHqqCUFNJY4AfY3kHU/edit?usp=sharing  #gid=0"",""фіз особи new!relations_name""),6,FALSE)
,
(IF
(
G8503=""юридична особа""
,
VLOOKUP"&amp;"(H8503,IMPORTRANGE(""https://docs.google.com/spreadsheets/d/14Bd19lYaqBhU8_DElYkX7l4wRkHqqCUFNJY4AfY3kHU/edit?usp=sharing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02" s="7" t="s">
        <v>29</v>
      </c>
    </row>
    <row r="8503" spans="1:10" ht="13.2">
      <c r="A8503" s="7">
        <v>8502</v>
      </c>
      <c r="B8503" s="7">
        <v>1</v>
      </c>
      <c r="C8503" s="7" t="s">
        <v>10</v>
      </c>
      <c r="D8503" s="7">
        <v>10441</v>
      </c>
      <c r="E8503" s="7" t="s">
        <v>28</v>
      </c>
      <c r="F8503" s="8" t="str">
        <f ca="1">IFERROR(__xludf.DUMMYFUNCTION("IF
(
C8504=""фізична особа""
,
VLOOKUP(D8504,IMPORTRANGE(""https://docs.google.com/spreadsheets/d/14Bd19lYaqBhU8_DElYkX7l4wRkHqqCUFNJY4AfY3kHU/edit?usp=sharing  #gid=0"",""фіз особи new!relations_name""),6,FALSE)
,
(IF
(
C8504=""юридична особа""
,
VLOOKUP"&amp;"(D8504,IMPORTRANGE(""https://docs.google.com/spreadsheets/d/14Bd19lYaqBhU8_DElYkX7l4wRkHqqCUFNJY4AfY3kHU/edit?usp=sharing  #gid=0"",""фіз особи new!relations_name_uo""),7,FALSE)
,
)
))"),"ШОГЕНОВ Шахім Хаталієвич")</f>
        <v>ШОГЕНОВ Шахім Хаталієвич</v>
      </c>
      <c r="G8503" s="7" t="s">
        <v>10</v>
      </c>
      <c r="H8503" s="7">
        <v>22386</v>
      </c>
      <c r="I8503" s="8" t="str">
        <f ca="1">IFERROR(__xludf.DUMMYFUNCTION("IF
(
G8504=""фізична особа""
,
VLOOKUP(H8504,IMPORTRANGE(""https://docs.google.com/spreadsheets/d/14Bd19lYaqBhU8_DElYkX7l4wRkHqqCUFNJY4AfY3kHU/edit?usp=sharing  #gid=0"",""фіз особи new!relations_name""),6,FALSE)
,
(IF
(
G8504=""юридична особа""
,
VLOOKUP"&amp;"(H8504,IMPORTRANGE(""https://docs.google.com/spreadsheets/d/14Bd19lYaqBhU8_DElYkX7l4wRkHqqCUFNJY4AfY3kHU/edit?usp=sharing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03" s="7" t="s">
        <v>29</v>
      </c>
    </row>
    <row r="8504" spans="1:10" ht="13.2">
      <c r="A8504" s="7">
        <v>8503</v>
      </c>
      <c r="B8504" s="7">
        <v>1</v>
      </c>
      <c r="C8504" s="7" t="s">
        <v>10</v>
      </c>
      <c r="D8504" s="7">
        <v>10442</v>
      </c>
      <c r="E8504" s="7" t="s">
        <v>28</v>
      </c>
      <c r="F8504" s="8" t="str">
        <f ca="1">IFERROR(__xludf.DUMMYFUNCTION("IF
(
C8505=""фізична особа""
,
VLOOKUP(D8505,IMPORTRANGE(""https://docs.google.com/spreadsheets/d/14Bd19lYaqBhU8_DElYkX7l4wRkHqqCUFNJY4AfY3kHU/edit?usp=sharing  #gid=0"",""фіз особи new!relations_name""),6,FALSE)
,
(IF
(
C8505=""юридична особа""
,
VLOOKUP"&amp;"(D8505,IMPORTRANGE(""https://docs.google.com/spreadsheets/d/14Bd19lYaqBhU8_DElYkX7l4wRkHqqCUFNJY4AfY3kHU/edit?usp=sharing  #gid=0"",""фіз особи new!relations_name_uo""),7,FALSE)
,
)
))"),"ІЛЮМЖИНОВА Ельза Андріївна")</f>
        <v>ІЛЮМЖИНОВА Ельза Андріївна</v>
      </c>
      <c r="G8504" s="7" t="s">
        <v>10</v>
      </c>
      <c r="H8504" s="7">
        <v>0</v>
      </c>
      <c r="I8504" s="8" t="str">
        <f ca="1">IFERROR(__xludf.DUMMYFUNCTION("IF
(
G8505=""фізична особа""
,
VLOOKUP(H8505,IMPORTRANGE(""https://docs.google.com/spreadsheets/d/14Bd19lYaqBhU8_DElYkX7l4wRkHqqCUFNJY4AfY3kHU/edit?usp=sharing  #gid=0"",""фіз особи new!relations_name""),6,FALSE)
,
(IF
(
G8505=""юридична особа""
,
VLOOKUP"&amp;"(H8505,IMPORTRANGE(""https://docs.google.com/spreadsheets/d/14Bd19lYaqBhU8_DElYkX7l4wRkHqqCUFNJY4AfY3kHU/edit?usp=sharing  #gid=0"",""фіз особи new!relations_name_uo""),7,FALSE)
,
)
))"),"#N/A")</f>
        <v>#N/A</v>
      </c>
      <c r="J8504" s="7" t="s">
        <v>29</v>
      </c>
    </row>
    <row r="8505" spans="1:10" ht="13.2">
      <c r="A8505" s="7">
        <v>8504</v>
      </c>
      <c r="B8505" s="7">
        <v>1</v>
      </c>
      <c r="C8505" s="7" t="s">
        <v>10</v>
      </c>
      <c r="D8505" s="7">
        <v>10443</v>
      </c>
      <c r="E8505" s="7" t="s">
        <v>28</v>
      </c>
      <c r="F8505" s="8" t="str">
        <f ca="1">IFERROR(__xludf.DUMMYFUNCTION("IF
(
C8506=""фізична особа""
,
VLOOKUP(D8506,IMPORTRANGE(""https://docs.google.com/spreadsheets/d/14Bd19lYaqBhU8_DElYkX7l4wRkHqqCUFNJY4AfY3kHU/edit?usp=sharing  #gid=0"",""фіз особи new!relations_name""),6,FALSE)
,
(IF
(
C8506=""юридична особа""
,
VLOOKUP"&amp;"(D8506,IMPORTRANGE(""https://docs.google.com/spreadsheets/d/14Bd19lYaqBhU8_DElYkX7l4wRkHqqCUFNJY4AfY3kHU/edit?usp=sharing  #gid=0"",""фіз особи new!relations_name_uo""),7,FALSE)
,
)
))"),"ХУБІЄВА Ельміра Шахвазівна")</f>
        <v>ХУБІЄВА Ельміра Шахвазівна</v>
      </c>
      <c r="G8505" s="7" t="s">
        <v>10</v>
      </c>
      <c r="H8505" s="7">
        <v>22386</v>
      </c>
      <c r="I8505" s="8" t="str">
        <f ca="1">IFERROR(__xludf.DUMMYFUNCTION("IF
(
G8506=""фізична особа""
,
VLOOKUP(H8506,IMPORTRANGE(""https://docs.google.com/spreadsheets/d/14Bd19lYaqBhU8_DElYkX7l4wRkHqqCUFNJY4AfY3kHU/edit?usp=sharing  #gid=0"",""фіз особи new!relations_name""),6,FALSE)
,
(IF
(
G8506=""юридична особа""
,
VLOOKUP"&amp;"(H8506,IMPORTRANGE(""https://docs.google.com/spreadsheets/d/14Bd19lYaqBhU8_DElYkX7l4wRkHqqCUFNJY4AfY3kHU/edit?usp=sharing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05" s="7" t="s">
        <v>29</v>
      </c>
    </row>
    <row r="8506" spans="1:10" ht="13.2">
      <c r="A8506" s="7">
        <v>8505</v>
      </c>
      <c r="B8506" s="7">
        <v>1</v>
      </c>
      <c r="C8506" s="7" t="s">
        <v>10</v>
      </c>
      <c r="D8506" s="7">
        <v>10444</v>
      </c>
      <c r="E8506" s="7" t="s">
        <v>28</v>
      </c>
      <c r="F8506" s="8" t="str">
        <f ca="1">IFERROR(__xludf.DUMMYFUNCTION("IF
(
C8507=""фізична особа""
,
VLOOKUP(D8507,IMPORTRANGE(""https://docs.google.com/spreadsheets/d/14Bd19lYaqBhU8_DElYkX7l4wRkHqqCUFNJY4AfY3kHU/edit?usp=sharing  #gid=0"",""фіз особи new!relations_name""),6,FALSE)
,
(IF
(
C8507=""юридична особа""
,
VLOOKUP"&amp;"(D8507,IMPORTRANGE(""https://docs.google.com/spreadsheets/d/14Bd19lYaqBhU8_DElYkX7l4wRkHqqCUFNJY4AfY3kHU/edit?usp=sharing  #gid=0"",""фіз особи new!relations_name_uo""),7,FALSE)
,
)
))"),"БАЛМАСТОВА Марія Олексіївна")</f>
        <v>БАЛМАСТОВА Марія Олексіївна</v>
      </c>
      <c r="G8506" s="7" t="s">
        <v>10</v>
      </c>
      <c r="H8506" s="7">
        <v>22386</v>
      </c>
      <c r="I8506" s="8" t="str">
        <f ca="1">IFERROR(__xludf.DUMMYFUNCTION("IF
(
G8507=""фізична особа""
,
VLOOKUP(H8507,IMPORTRANGE(""https://docs.google.com/spreadsheets/d/14Bd19lYaqBhU8_DElYkX7l4wRkHqqCUFNJY4AfY3kHU/edit?usp=sharing  #gid=0"",""фіз особи new!relations_name""),6,FALSE)
,
(IF
(
G8507=""юридична особа""
,
VLOOKUP"&amp;"(H8507,IMPORTRANGE(""https://docs.google.com/spreadsheets/d/14Bd19lYaqBhU8_DElYkX7l4wRkHqqCUFNJY4AfY3kHU/edit?usp=sharing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06" s="7" t="s">
        <v>29</v>
      </c>
    </row>
    <row r="8507" spans="1:10" ht="13.2">
      <c r="A8507" s="7">
        <v>8506</v>
      </c>
      <c r="B8507" s="7">
        <v>1</v>
      </c>
      <c r="C8507" s="7" t="s">
        <v>10</v>
      </c>
      <c r="D8507" s="7">
        <v>10445</v>
      </c>
      <c r="E8507" s="7" t="s">
        <v>28</v>
      </c>
      <c r="F8507" s="8" t="str">
        <f ca="1">IFERROR(__xludf.DUMMYFUNCTION("IF
(
C8508=""фізична особа""
,
VLOOKUP(D8508,IMPORTRANGE(""https://docs.google.com/spreadsheets/d/14Bd19lYaqBhU8_DElYkX7l4wRkHqqCUFNJY4AfY3kHU/edit?usp=sharing  #gid=0"",""фіз особи new!relations_name""),6,FALSE)
,
(IF
(
C8508=""юридична особа""
,
VLOOKUP"&amp;"(D8508,IMPORTRANGE(""https://docs.google.com/spreadsheets/d/14Bd19lYaqBhU8_DElYkX7l4wRkHqqCUFNJY4AfY3kHU/edit?usp=sharing  #gid=0"",""фіз особи new!relations_name_uo""),7,FALSE)
,
)
))"),"ЛОБОВ Олег Володимирович")</f>
        <v>ЛОБОВ Олег Володимирович</v>
      </c>
      <c r="G8507" s="7" t="s">
        <v>10</v>
      </c>
      <c r="H8507" s="7">
        <v>22386</v>
      </c>
      <c r="I8507" s="8" t="str">
        <f ca="1">IFERROR(__xludf.DUMMYFUNCTION("IF
(
G8508=""фізична особа""
,
VLOOKUP(H8508,IMPORTRANGE(""https://docs.google.com/spreadsheets/d/14Bd19lYaqBhU8_DElYkX7l4wRkHqqCUFNJY4AfY3kHU/edit?usp=sharing  #gid=0"",""фіз особи new!relations_name""),6,FALSE)
,
(IF
(
G8508=""юридична особа""
,
VLOOKUP"&amp;"(H8508,IMPORTRANGE(""https://docs.google.com/spreadsheets/d/14Bd19lYaqBhU8_DElYkX7l4wRkHqqCUFNJY4AfY3kHU/edit?usp=sharing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07" s="7" t="s">
        <v>29</v>
      </c>
    </row>
    <row r="8508" spans="1:10" ht="13.2">
      <c r="A8508" s="7">
        <v>8507</v>
      </c>
      <c r="B8508" s="7">
        <v>1</v>
      </c>
      <c r="C8508" s="7" t="s">
        <v>10</v>
      </c>
      <c r="D8508" s="7">
        <v>10446</v>
      </c>
      <c r="E8508" s="7" t="s">
        <v>28</v>
      </c>
      <c r="F8508" s="8" t="str">
        <f ca="1">IFERROR(__xludf.DUMMYFUNCTION("IF
(
C8509=""фізична особа""
,
VLOOKUP(D8509,IMPORTRANGE(""https://docs.google.com/spreadsheets/d/14Bd19lYaqBhU8_DElYkX7l4wRkHqqCUFNJY4AfY3kHU/edit?usp=sharing  #gid=0"",""фіз особи new!relations_name""),6,FALSE)
,
(IF
(
C8509=""юридична особа""
,
VLOOKUP"&amp;"(D8509,IMPORTRANGE(""https://docs.google.com/spreadsheets/d/14Bd19lYaqBhU8_DElYkX7l4wRkHqqCUFNJY4AfY3kHU/edit?usp=sharing  #gid=0"",""фіз особи new!relations_name_uo""),7,FALSE)
,
)
))"),"НІСКОВСЬКИХ Ігор Євгенович")</f>
        <v>НІСКОВСЬКИХ Ігор Євгенович</v>
      </c>
      <c r="G8508" s="7" t="s">
        <v>10</v>
      </c>
      <c r="H8508" s="7">
        <v>3036</v>
      </c>
      <c r="I8508" s="8" t="str">
        <f ca="1">IFERROR(__xludf.DUMMYFUNCTION("IF
(
G8509=""фізична особа""
,
VLOOKUP(H8509,IMPORTRANGE(""https://docs.google.com/spreadsheets/d/14Bd19lYaqBhU8_DElYkX7l4wRkHqqCUFNJY4AfY3kHU/edit?usp=sharing  #gid=0"",""фіз особи new!relations_name""),6,FALSE)
,
(IF
(
G8509=""юридична особа""
,
VLOOKUP"&amp;"(H8509,IMPORTRANGE(""https://docs.google.com/spreadsheets/d/14Bd19lYaqBhU8_DElYkX7l4wRkHqqCUFNJY4AfY3kHU/edit?usp=sharing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08" s="7" t="s">
        <v>29</v>
      </c>
    </row>
    <row r="8509" spans="1:10" ht="13.2">
      <c r="A8509" s="7">
        <v>8508</v>
      </c>
      <c r="B8509" s="7">
        <v>1</v>
      </c>
      <c r="C8509" s="7" t="s">
        <v>10</v>
      </c>
      <c r="D8509" s="7">
        <v>10447</v>
      </c>
      <c r="E8509" s="7" t="s">
        <v>28</v>
      </c>
      <c r="F8509" s="8" t="str">
        <f ca="1">IFERROR(__xludf.DUMMYFUNCTION("IF
(
C8510=""фізична особа""
,
VLOOKUP(D8510,IMPORTRANGE(""https://docs.google.com/spreadsheets/d/14Bd19lYaqBhU8_DElYkX7l4wRkHqqCUFNJY4AfY3kHU/edit?usp=sharing  #gid=0"",""фіз особи new!relations_name""),6,FALSE)
,
(IF
(
C8510=""юридична особа""
,
VLOOKUP"&amp;"(D8510,IMPORTRANGE(""https://docs.google.com/spreadsheets/d/14Bd19lYaqBhU8_DElYkX7l4wRkHqqCUFNJY4AfY3kHU/edit?usp=sharing  #gid=0"",""фіз особи new!relations_name_uo""),7,FALSE)
,
)
))"),"ТАРАНОВ Андрій Миколайович")</f>
        <v>ТАРАНОВ Андрій Миколайович</v>
      </c>
      <c r="G8509" s="7" t="s">
        <v>10</v>
      </c>
      <c r="H8509" s="7">
        <v>3036</v>
      </c>
      <c r="I8509" s="8" t="str">
        <f ca="1">IFERROR(__xludf.DUMMYFUNCTION("IF
(
G8510=""фізична особа""
,
VLOOKUP(H8510,IMPORTRANGE(""https://docs.google.com/spreadsheets/d/14Bd19lYaqBhU8_DElYkX7l4wRkHqqCUFNJY4AfY3kHU/edit?usp=sharing  #gid=0"",""фіз особи new!relations_name""),6,FALSE)
,
(IF
(
G8510=""юридична особа""
,
VLOOKUP"&amp;"(H8510,IMPORTRANGE(""https://docs.google.com/spreadsheets/d/14Bd19lYaqBhU8_DElYkX7l4wRkHqqCUFNJY4AfY3kHU/edit?usp=sharing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09" s="7" t="s">
        <v>29</v>
      </c>
    </row>
    <row r="8510" spans="1:10" ht="13.2">
      <c r="A8510" s="7">
        <v>8509</v>
      </c>
      <c r="B8510" s="7">
        <v>1</v>
      </c>
      <c r="C8510" s="7" t="s">
        <v>10</v>
      </c>
      <c r="D8510" s="7">
        <v>10448</v>
      </c>
      <c r="E8510" s="7" t="s">
        <v>28</v>
      </c>
      <c r="F8510" s="8" t="str">
        <f ca="1">IFERROR(__xludf.DUMMYFUNCTION("IF
(
C8511=""фізична особа""
,
VLOOKUP(D8511,IMPORTRANGE(""https://docs.google.com/spreadsheets/d/14Bd19lYaqBhU8_DElYkX7l4wRkHqqCUFNJY4AfY3kHU/edit?usp=sharing  #gid=0"",""фіз особи new!relations_name""),6,FALSE)
,
(IF
(
C8511=""юридична особа""
,
VLOOKUP"&amp;"(D8511,IMPORTRANGE(""https://docs.google.com/spreadsheets/d/14Bd19lYaqBhU8_DElYkX7l4wRkHqqCUFNJY4AfY3kHU/edit?usp=sharing  #gid=0"",""фіз особи new!relations_name_uo""),7,FALSE)
,
)
))"),"ТИХОНОВ Ігор Юрійович")</f>
        <v>ТИХОНОВ Ігор Юрійович</v>
      </c>
      <c r="G8510" s="7" t="s">
        <v>10</v>
      </c>
      <c r="H8510" s="7">
        <v>3036</v>
      </c>
      <c r="I8510" s="8" t="str">
        <f ca="1">IFERROR(__xludf.DUMMYFUNCTION("IF
(
G8511=""фізична особа""
,
VLOOKUP(H8511,IMPORTRANGE(""https://docs.google.com/spreadsheets/d/14Bd19lYaqBhU8_DElYkX7l4wRkHqqCUFNJY4AfY3kHU/edit?usp=sharing  #gid=0"",""фіз особи new!relations_name""),6,FALSE)
,
(IF
(
G8511=""юридична особа""
,
VLOOKUP"&amp;"(H8511,IMPORTRANGE(""https://docs.google.com/spreadsheets/d/14Bd19lYaqBhU8_DElYkX7l4wRkHqqCUFNJY4AfY3kHU/edit?usp=sharing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0" s="7" t="s">
        <v>29</v>
      </c>
    </row>
    <row r="8511" spans="1:10" ht="13.2">
      <c r="A8511" s="7">
        <v>8510</v>
      </c>
      <c r="B8511" s="7">
        <v>1</v>
      </c>
      <c r="C8511" s="7" t="s">
        <v>10</v>
      </c>
      <c r="D8511" s="7">
        <v>10449</v>
      </c>
      <c r="E8511" s="7" t="s">
        <v>28</v>
      </c>
      <c r="F8511" s="8" t="str">
        <f ca="1">IFERROR(__xludf.DUMMYFUNCTION("IF
(
C8512=""фізична особа""
,
VLOOKUP(D8512,IMPORTRANGE(""https://docs.google.com/spreadsheets/d/14Bd19lYaqBhU8_DElYkX7l4wRkHqqCUFNJY4AfY3kHU/edit?usp=sharing  #gid=0"",""фіз особи new!relations_name""),6,FALSE)
,
(IF
(
C8512=""юридична особа""
,
VLOOKUP"&amp;"(D8512,IMPORTRANGE(""https://docs.google.com/spreadsheets/d/14Bd19lYaqBhU8_DElYkX7l4wRkHqqCUFNJY4AfY3kHU/edit?usp=sharing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G8511" s="7" t="s">
        <v>10</v>
      </c>
      <c r="H8511" s="7">
        <v>3036</v>
      </c>
      <c r="I8511" s="8" t="str">
        <f ca="1">IFERROR(__xludf.DUMMYFUNCTION("IF
(
G8512=""фізична особа""
,
VLOOKUP(H8512,IMPORTRANGE(""https://docs.google.com/spreadsheets/d/14Bd19lYaqBhU8_DElYkX7l4wRkHqqCUFNJY4AfY3kHU/edit?usp=sharing  #gid=0"",""фіз особи new!relations_name""),6,FALSE)
,
(IF
(
G8512=""юридична особа""
,
VLOOKUP"&amp;"(H8512,IMPORTRANGE(""https://docs.google.com/spreadsheets/d/14Bd19lYaqBhU8_DElYkX7l4wRkHqqCUFNJY4AfY3kHU/edit?usp=sharing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1" s="7" t="s">
        <v>29</v>
      </c>
    </row>
    <row r="8512" spans="1:10" ht="13.2">
      <c r="A8512" s="7">
        <v>8511</v>
      </c>
      <c r="B8512" s="7">
        <v>1</v>
      </c>
      <c r="C8512" s="7" t="s">
        <v>10</v>
      </c>
      <c r="D8512" s="7">
        <v>10450</v>
      </c>
      <c r="E8512" s="7" t="s">
        <v>28</v>
      </c>
      <c r="F8512" s="8" t="str">
        <f ca="1">IFERROR(__xludf.DUMMYFUNCTION("IF
(
C8513=""фізична особа""
,
VLOOKUP(D8513,IMPORTRANGE(""https://docs.google.com/spreadsheets/d/14Bd19lYaqBhU8_DElYkX7l4wRkHqqCUFNJY4AfY3kHU/edit?usp=sharing  #gid=0"",""фіз особи new!relations_name""),6,FALSE)
,
(IF
(
C8513=""юридична особа""
,
VLOOKUP"&amp;"(D8513,IMPORTRANGE(""https://docs.google.com/spreadsheets/d/14Bd19lYaqBhU8_DElYkX7l4wRkHqqCUFNJY4AfY3kHU/edit?usp=sharing  #gid=0"",""фіз особи new!relations_name_uo""),7,FALSE)
,
)
))"),"ШАФОРОСТ Володимир Олександрович")</f>
        <v>ШАФОРОСТ Володимир Олександрович</v>
      </c>
      <c r="G8512" s="7" t="s">
        <v>10</v>
      </c>
      <c r="H8512" s="7">
        <v>3036</v>
      </c>
      <c r="I8512" s="8" t="str">
        <f ca="1">IFERROR(__xludf.DUMMYFUNCTION("IF
(
G8513=""фізична особа""
,
VLOOKUP(H8513,IMPORTRANGE(""https://docs.google.com/spreadsheets/d/14Bd19lYaqBhU8_DElYkX7l4wRkHqqCUFNJY4AfY3kHU/edit?usp=sharing  #gid=0"",""фіз особи new!relations_name""),6,FALSE)
,
(IF
(
G8513=""юридична особа""
,
VLOOKUP"&amp;"(H8513,IMPORTRANGE(""https://docs.google.com/spreadsheets/d/14Bd19lYaqBhU8_DElYkX7l4wRkHqqCUFNJY4AfY3kHU/edit?usp=sharing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2" s="7" t="s">
        <v>29</v>
      </c>
    </row>
    <row r="8513" spans="1:10" ht="13.2">
      <c r="A8513" s="7">
        <v>8512</v>
      </c>
      <c r="B8513" s="7">
        <v>1</v>
      </c>
      <c r="C8513" s="7" t="s">
        <v>10</v>
      </c>
      <c r="D8513" s="7">
        <v>10450</v>
      </c>
      <c r="E8513" s="7" t="s">
        <v>28</v>
      </c>
      <c r="F8513" s="8" t="str">
        <f ca="1">IFERROR(__xludf.DUMMYFUNCTION("IF
(
C8514=""фізична особа""
,
VLOOKUP(D8514,IMPORTRANGE(""https://docs.google.com/spreadsheets/d/14Bd19lYaqBhU8_DElYkX7l4wRkHqqCUFNJY4AfY3kHU/edit?usp=sharing  #gid=0"",""фіз особи new!relations_name""),6,FALSE)
,
(IF
(
C8514=""юридична особа""
,
VLOOKUP"&amp;"(D8514,IMPORTRANGE(""https://docs.google.com/spreadsheets/d/14Bd19lYaqBhU8_DElYkX7l4wRkHqqCUFNJY4AfY3kHU/edit?usp=sharing  #gid=0"",""фіз особи new!relations_name_uo""),7,FALSE)
,
)
))"),"ШАФОРОСТ Володимир Олександрович")</f>
        <v>ШАФОРОСТ Володимир Олександрович</v>
      </c>
      <c r="G8513" s="7" t="s">
        <v>10</v>
      </c>
      <c r="H8513" s="7">
        <v>10449</v>
      </c>
      <c r="I8513" s="8" t="str">
        <f ca="1">IFERROR(__xludf.DUMMYFUNCTION("IF
(
G8514=""фізична особа""
,
VLOOKUP(H8514,IMPORTRANGE(""https://docs.google.com/spreadsheets/d/14Bd19lYaqBhU8_DElYkX7l4wRkHqqCUFNJY4AfY3kHU/edit?usp=sharing  #gid=0"",""фіз особи new!relations_name""),6,FALSE)
,
(IF
(
G8514=""юридична особа""
,
VLOOKUP"&amp;"(H8514,IMPORTRANGE(""https://docs.google.com/spreadsheets/d/14Bd19lYaqBhU8_DElYkX7l4wRkHqqCUFNJY4AfY3kHU/edit?usp=sharing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13" s="7" t="s">
        <v>29</v>
      </c>
    </row>
    <row r="8514" spans="1:10" ht="13.2">
      <c r="A8514" s="7">
        <v>8513</v>
      </c>
      <c r="B8514" s="7">
        <v>1</v>
      </c>
      <c r="C8514" s="7" t="s">
        <v>10</v>
      </c>
      <c r="D8514" s="7">
        <v>10451</v>
      </c>
      <c r="E8514" s="7" t="s">
        <v>28</v>
      </c>
      <c r="F8514" s="8" t="str">
        <f ca="1">IFERROR(__xludf.DUMMYFUNCTION("IF
(
C8515=""фізична особа""
,
VLOOKUP(D8515,IMPORTRANGE(""https://docs.google.com/spreadsheets/d/14Bd19lYaqBhU8_DElYkX7l4wRkHqqCUFNJY4AfY3kHU/edit?usp=sharing  #gid=0"",""фіз особи new!relations_name""),6,FALSE)
,
(IF
(
C8515=""юридична особа""
,
VLOOKUP"&amp;"(D8515,IMPORTRANGE(""https://docs.google.com/spreadsheets/d/14Bd19lYaqBhU8_DElYkX7l4wRkHqqCUFNJY4AfY3kHU/edit?usp=sharing  #gid=0"",""фіз особи new!relations_name_uo""),7,FALSE)
,
)
))"),"ДІРЧИН Аюш Сайзович")</f>
        <v>ДІРЧИН Аюш Сайзович</v>
      </c>
      <c r="G8514" s="7" t="s">
        <v>10</v>
      </c>
      <c r="H8514" s="7">
        <v>3036</v>
      </c>
      <c r="I8514" s="8" t="str">
        <f ca="1">IFERROR(__xludf.DUMMYFUNCTION("IF
(
G8515=""фізична особа""
,
VLOOKUP(H8515,IMPORTRANGE(""https://docs.google.com/spreadsheets/d/14Bd19lYaqBhU8_DElYkX7l4wRkHqqCUFNJY4AfY3kHU/edit?usp=sharing  #gid=0"",""фіз особи new!relations_name""),6,FALSE)
,
(IF
(
G8515=""юридична особа""
,
VLOOKUP"&amp;"(H8515,IMPORTRANGE(""https://docs.google.com/spreadsheets/d/14Bd19lYaqBhU8_DElYkX7l4wRkHqqCUFNJY4AfY3kHU/edit?usp=sharing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4" s="7" t="s">
        <v>29</v>
      </c>
    </row>
    <row r="8515" spans="1:10" ht="13.2">
      <c r="A8515" s="7">
        <v>8514</v>
      </c>
      <c r="B8515" s="7">
        <v>1</v>
      </c>
      <c r="C8515" s="7" t="s">
        <v>10</v>
      </c>
      <c r="D8515" s="7">
        <v>10451</v>
      </c>
      <c r="E8515" s="7" t="s">
        <v>28</v>
      </c>
      <c r="F8515" s="8" t="str">
        <f ca="1">IFERROR(__xludf.DUMMYFUNCTION("IF
(
C8516=""фізична особа""
,
VLOOKUP(D8516,IMPORTRANGE(""https://docs.google.com/spreadsheets/d/14Bd19lYaqBhU8_DElYkX7l4wRkHqqCUFNJY4AfY3kHU/edit?usp=sharing  #gid=0"",""фіз особи new!relations_name""),6,FALSE)
,
(IF
(
C8516=""юридична особа""
,
VLOOKUP"&amp;"(D8516,IMPORTRANGE(""https://docs.google.com/spreadsheets/d/14Bd19lYaqBhU8_DElYkX7l4wRkHqqCUFNJY4AfY3kHU/edit?usp=sharing  #gid=0"",""фіз особи new!relations_name_uo""),7,FALSE)
,
)
))"),"ДІРЧИН Аюш Сайзович")</f>
        <v>ДІРЧИН Аюш Сайзович</v>
      </c>
      <c r="G8515" s="7" t="s">
        <v>10</v>
      </c>
      <c r="H8515" s="7">
        <v>10449</v>
      </c>
      <c r="I8515" s="8" t="str">
        <f ca="1">IFERROR(__xludf.DUMMYFUNCTION("IF
(
G8516=""фізична особа""
,
VLOOKUP(H8516,IMPORTRANGE(""https://docs.google.com/spreadsheets/d/14Bd19lYaqBhU8_DElYkX7l4wRkHqqCUFNJY4AfY3kHU/edit?usp=sharing  #gid=0"",""фіз особи new!relations_name""),6,FALSE)
,
(IF
(
G8516=""юридична особа""
,
VLOOKUP"&amp;"(H8516,IMPORTRANGE(""https://docs.google.com/spreadsheets/d/14Bd19lYaqBhU8_DElYkX7l4wRkHqqCUFNJY4AfY3kHU/edit?usp=sharing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15" s="7" t="s">
        <v>29</v>
      </c>
    </row>
    <row r="8516" spans="1:10" ht="13.2">
      <c r="A8516" s="7">
        <v>8515</v>
      </c>
      <c r="B8516" s="7">
        <v>1</v>
      </c>
      <c r="C8516" s="7" t="s">
        <v>10</v>
      </c>
      <c r="D8516" s="7">
        <v>10452</v>
      </c>
      <c r="E8516" s="7" t="s">
        <v>28</v>
      </c>
      <c r="F8516" s="8" t="str">
        <f ca="1">IFERROR(__xludf.DUMMYFUNCTION("IF
(
C8517=""фізична особа""
,
VLOOKUP(D8517,IMPORTRANGE(""https://docs.google.com/spreadsheets/d/14Bd19lYaqBhU8_DElYkX7l4wRkHqqCUFNJY4AfY3kHU/edit?usp=sharing  #gid=0"",""фіз особи new!relations_name""),6,FALSE)
,
(IF
(
C8517=""юридична особа""
,
VLOOKUP"&amp;"(D8517,IMPORTRANGE(""https://docs.google.com/spreadsheets/d/14Bd19lYaqBhU8_DElYkX7l4wRkHqqCUFNJY4AfY3kHU/edit?usp=sharing  #gid=0"",""фіз особи new!relations_name_uo""),7,FALSE)
,
)
))"),"СМІРНОВ Михайло Євгенович")</f>
        <v>СМІРНОВ Михайло Євгенович</v>
      </c>
      <c r="G8516" s="7" t="s">
        <v>10</v>
      </c>
      <c r="H8516" s="7">
        <v>3036</v>
      </c>
      <c r="I8516" s="8" t="str">
        <f ca="1">IFERROR(__xludf.DUMMYFUNCTION("IF
(
G8517=""фізична особа""
,
VLOOKUP(H8517,IMPORTRANGE(""https://docs.google.com/spreadsheets/d/14Bd19lYaqBhU8_DElYkX7l4wRkHqqCUFNJY4AfY3kHU/edit?usp=sharing  #gid=0"",""фіз особи new!relations_name""),6,FALSE)
,
(IF
(
G8517=""юридична особа""
,
VLOOKUP"&amp;"(H8517,IMPORTRANGE(""https://docs.google.com/spreadsheets/d/14Bd19lYaqBhU8_DElYkX7l4wRkHqqCUFNJY4AfY3kHU/edit?usp=sharing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6" s="7" t="s">
        <v>29</v>
      </c>
    </row>
    <row r="8517" spans="1:10" ht="13.2">
      <c r="A8517" s="7">
        <v>8516</v>
      </c>
      <c r="B8517" s="7">
        <v>1</v>
      </c>
      <c r="C8517" s="7" t="s">
        <v>10</v>
      </c>
      <c r="D8517" s="7">
        <v>10452</v>
      </c>
      <c r="E8517" s="7" t="s">
        <v>28</v>
      </c>
      <c r="F8517" s="8" t="str">
        <f ca="1">IFERROR(__xludf.DUMMYFUNCTION("IF
(
C8518=""фізична особа""
,
VLOOKUP(D8518,IMPORTRANGE(""https://docs.google.com/spreadsheets/d/14Bd19lYaqBhU8_DElYkX7l4wRkHqqCUFNJY4AfY3kHU/edit?usp=sharing  #gid=0"",""фіз особи new!relations_name""),6,FALSE)
,
(IF
(
C8518=""юридична особа""
,
VLOOKUP"&amp;"(D8518,IMPORTRANGE(""https://docs.google.com/spreadsheets/d/14Bd19lYaqBhU8_DElYkX7l4wRkHqqCUFNJY4AfY3kHU/edit?usp=sharing  #gid=0"",""фіз особи new!relations_name_uo""),7,FALSE)
,
)
))"),"СМІРНОВ Михайло Євгенович")</f>
        <v>СМІРНОВ Михайло Євгенович</v>
      </c>
      <c r="G8517" s="7" t="s">
        <v>10</v>
      </c>
      <c r="H8517" s="7">
        <v>10449</v>
      </c>
      <c r="I8517" s="8" t="str">
        <f ca="1">IFERROR(__xludf.DUMMYFUNCTION("IF
(
G8518=""фізична особа""
,
VLOOKUP(H8518,IMPORTRANGE(""https://docs.google.com/spreadsheets/d/14Bd19lYaqBhU8_DElYkX7l4wRkHqqCUFNJY4AfY3kHU/edit?usp=sharing  #gid=0"",""фіз особи new!relations_name""),6,FALSE)
,
(IF
(
G8518=""юридична особа""
,
VLOOKUP"&amp;"(H8518,IMPORTRANGE(""https://docs.google.com/spreadsheets/d/14Bd19lYaqBhU8_DElYkX7l4wRkHqqCUFNJY4AfY3kHU/edit?usp=sharing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17" s="7" t="s">
        <v>29</v>
      </c>
    </row>
    <row r="8518" spans="1:10" ht="13.2">
      <c r="A8518" s="7">
        <v>8517</v>
      </c>
      <c r="B8518" s="7">
        <v>1</v>
      </c>
      <c r="C8518" s="7" t="s">
        <v>10</v>
      </c>
      <c r="D8518" s="7">
        <v>10453</v>
      </c>
      <c r="E8518" s="7" t="s">
        <v>28</v>
      </c>
      <c r="F8518" s="8" t="str">
        <f ca="1">IFERROR(__xludf.DUMMYFUNCTION("IF
(
C8519=""фізична особа""
,
VLOOKUP(D8519,IMPORTRANGE(""https://docs.google.com/spreadsheets/d/14Bd19lYaqBhU8_DElYkX7l4wRkHqqCUFNJY4AfY3kHU/edit?usp=sharing  #gid=0"",""фіз особи new!relations_name""),6,FALSE)
,
(IF
(
C8519=""юридична особа""
,
VLOOKUP"&amp;"(D8519,IMPORTRANGE(""https://docs.google.com/spreadsheets/d/14Bd19lYaqBhU8_DElYkX7l4wRkHqqCUFNJY4AfY3kHU/edit?usp=sharing  #gid=0"",""фіз особи new!relations_name_uo""),7,FALSE)
,
)
))"),"ГЕРМАН Павло Якович")</f>
        <v>ГЕРМАН Павло Якович</v>
      </c>
      <c r="G8518" s="7" t="s">
        <v>10</v>
      </c>
      <c r="H8518" s="7">
        <v>3036</v>
      </c>
      <c r="I8518" s="8" t="str">
        <f ca="1">IFERROR(__xludf.DUMMYFUNCTION("IF
(
G8519=""фізична особа""
,
VLOOKUP(H8519,IMPORTRANGE(""https://docs.google.com/spreadsheets/d/14Bd19lYaqBhU8_DElYkX7l4wRkHqqCUFNJY4AfY3kHU/edit?usp=sharing  #gid=0"",""фіз особи new!relations_name""),6,FALSE)
,
(IF
(
G8519=""юридична особа""
,
VLOOKUP"&amp;"(H8519,IMPORTRANGE(""https://docs.google.com/spreadsheets/d/14Bd19lYaqBhU8_DElYkX7l4wRkHqqCUFNJY4AfY3kHU/edit?usp=sharing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18" s="7" t="s">
        <v>29</v>
      </c>
    </row>
    <row r="8519" spans="1:10" ht="13.2">
      <c r="A8519" s="7">
        <v>8518</v>
      </c>
      <c r="B8519" s="7">
        <v>1</v>
      </c>
      <c r="C8519" s="7" t="s">
        <v>10</v>
      </c>
      <c r="D8519" s="7">
        <v>10453</v>
      </c>
      <c r="E8519" s="7" t="s">
        <v>28</v>
      </c>
      <c r="F8519" s="8" t="str">
        <f ca="1">IFERROR(__xludf.DUMMYFUNCTION("IF
(
C8520=""фізична особа""
,
VLOOKUP(D8520,IMPORTRANGE(""https://docs.google.com/spreadsheets/d/14Bd19lYaqBhU8_DElYkX7l4wRkHqqCUFNJY4AfY3kHU/edit?usp=sharing  #gid=0"",""фіз особи new!relations_name""),6,FALSE)
,
(IF
(
C8520=""юридична особа""
,
VLOOKUP"&amp;"(D8520,IMPORTRANGE(""https://docs.google.com/spreadsheets/d/14Bd19lYaqBhU8_DElYkX7l4wRkHqqCUFNJY4AfY3kHU/edit?usp=sharing  #gid=0"",""фіз особи new!relations_name_uo""),7,FALSE)
,
)
))"),"ГЕРМАН Павло Якович")</f>
        <v>ГЕРМАН Павло Якович</v>
      </c>
      <c r="G8519" s="7" t="s">
        <v>10</v>
      </c>
      <c r="H8519" s="7">
        <v>10449</v>
      </c>
      <c r="I8519" s="8" t="str">
        <f ca="1">IFERROR(__xludf.DUMMYFUNCTION("IF
(
G8520=""фізична особа""
,
VLOOKUP(H8520,IMPORTRANGE(""https://docs.google.com/spreadsheets/d/14Bd19lYaqBhU8_DElYkX7l4wRkHqqCUFNJY4AfY3kHU/edit?usp=sharing  #gid=0"",""фіз особи new!relations_name""),6,FALSE)
,
(IF
(
G8520=""юридична особа""
,
VLOOKUP"&amp;"(H8520,IMPORTRANGE(""https://docs.google.com/spreadsheets/d/14Bd19lYaqBhU8_DElYkX7l4wRkHqqCUFNJY4AfY3kHU/edit?usp=sharing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19" s="7" t="s">
        <v>29</v>
      </c>
    </row>
    <row r="8520" spans="1:10" ht="13.2">
      <c r="A8520" s="7">
        <v>8519</v>
      </c>
      <c r="B8520" s="7">
        <v>1</v>
      </c>
      <c r="C8520" s="7" t="s">
        <v>10</v>
      </c>
      <c r="D8520" s="7">
        <v>10454</v>
      </c>
      <c r="E8520" s="7" t="s">
        <v>28</v>
      </c>
      <c r="F8520" s="8" t="str">
        <f ca="1">IFERROR(__xludf.DUMMYFUNCTION("IF
(
C8521=""фізична особа""
,
VLOOKUP(D8521,IMPORTRANGE(""https://docs.google.com/spreadsheets/d/14Bd19lYaqBhU8_DElYkX7l4wRkHqqCUFNJY4AfY3kHU/edit?usp=sharing  #gid=0"",""фіз особи new!relations_name""),6,FALSE)
,
(IF
(
C8521=""юридична особа""
,
VLOOKUP"&amp;"(D8521,IMPORTRANGE(""https://docs.google.com/spreadsheets/d/14Bd19lYaqBhU8_DElYkX7l4wRkHqqCUFNJY4AfY3kHU/edit?usp=sharing  #gid=0"",""фіз особи new!relations_name_uo""),7,FALSE)
,
)
))"),"БУТЕНКО Ольга Олександрівна")</f>
        <v>БУТЕНКО Ольга Олександрівна</v>
      </c>
      <c r="G8520" s="7" t="s">
        <v>10</v>
      </c>
      <c r="H8520" s="7">
        <v>3036</v>
      </c>
      <c r="I8520" s="8" t="str">
        <f ca="1">IFERROR(__xludf.DUMMYFUNCTION("IF
(
G8521=""фізична особа""
,
VLOOKUP(H8521,IMPORTRANGE(""https://docs.google.com/spreadsheets/d/14Bd19lYaqBhU8_DElYkX7l4wRkHqqCUFNJY4AfY3kHU/edit?usp=sharing  #gid=0"",""фіз особи new!relations_name""),6,FALSE)
,
(IF
(
G8521=""юридична особа""
,
VLOOKUP"&amp;"(H8521,IMPORTRANGE(""https://docs.google.com/spreadsheets/d/14Bd19lYaqBhU8_DElYkX7l4wRkHqqCUFNJY4AfY3kHU/edit?usp=sharing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20" s="7" t="s">
        <v>29</v>
      </c>
    </row>
    <row r="8521" spans="1:10" ht="13.2">
      <c r="A8521" s="7">
        <v>8520</v>
      </c>
      <c r="B8521" s="7">
        <v>1</v>
      </c>
      <c r="C8521" s="7" t="s">
        <v>10</v>
      </c>
      <c r="D8521" s="7">
        <v>10454</v>
      </c>
      <c r="E8521" s="7" t="s">
        <v>28</v>
      </c>
      <c r="F8521" s="8" t="str">
        <f ca="1">IFERROR(__xludf.DUMMYFUNCTION("IF
(
C8522=""фізична особа""
,
VLOOKUP(D8522,IMPORTRANGE(""https://docs.google.com/spreadsheets/d/14Bd19lYaqBhU8_DElYkX7l4wRkHqqCUFNJY4AfY3kHU/edit?usp=sharing  #gid=0"",""фіз особи new!relations_name""),6,FALSE)
,
(IF
(
C8522=""юридична особа""
,
VLOOKUP"&amp;"(D8522,IMPORTRANGE(""https://docs.google.com/spreadsheets/d/14Bd19lYaqBhU8_DElYkX7l4wRkHqqCUFNJY4AfY3kHU/edit?usp=sharing  #gid=0"",""фіз особи new!relations_name_uo""),7,FALSE)
,
)
))"),"БУТЕНКО Ольга Олександрівна")</f>
        <v>БУТЕНКО Ольга Олександрівна</v>
      </c>
      <c r="G8521" s="7" t="s">
        <v>10</v>
      </c>
      <c r="H8521" s="7">
        <v>10449</v>
      </c>
      <c r="I8521" s="8" t="str">
        <f ca="1">IFERROR(__xludf.DUMMYFUNCTION("IF
(
G8522=""фізична особа""
,
VLOOKUP(H8522,IMPORTRANGE(""https://docs.google.com/spreadsheets/d/14Bd19lYaqBhU8_DElYkX7l4wRkHqqCUFNJY4AfY3kHU/edit?usp=sharing  #gid=0"",""фіз особи new!relations_name""),6,FALSE)
,
(IF
(
G8522=""юридична особа""
,
VLOOKUP"&amp;"(H8522,IMPORTRANGE(""https://docs.google.com/spreadsheets/d/14Bd19lYaqBhU8_DElYkX7l4wRkHqqCUFNJY4AfY3kHU/edit?usp=sharing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21" s="7" t="s">
        <v>29</v>
      </c>
    </row>
    <row r="8522" spans="1:10" ht="13.2">
      <c r="A8522" s="7">
        <v>8521</v>
      </c>
      <c r="B8522" s="7">
        <v>1</v>
      </c>
      <c r="C8522" s="7" t="s">
        <v>10</v>
      </c>
      <c r="D8522" s="7">
        <v>10455</v>
      </c>
      <c r="E8522" s="7" t="s">
        <v>28</v>
      </c>
      <c r="F8522" s="8" t="str">
        <f ca="1">IFERROR(__xludf.DUMMYFUNCTION("IF
(
C8523=""фізична особа""
,
VLOOKUP(D8523,IMPORTRANGE(""https://docs.google.com/spreadsheets/d/14Bd19lYaqBhU8_DElYkX7l4wRkHqqCUFNJY4AfY3kHU/edit?usp=sharing  #gid=0"",""фіз особи new!relations_name""),6,FALSE)
,
(IF
(
C8523=""юридична особа""
,
VLOOKUP"&amp;"(D8523,IMPORTRANGE(""https://docs.google.com/spreadsheets/d/14Bd19lYaqBhU8_DElYkX7l4wRkHqqCUFNJY4AfY3kHU/edit?usp=sharing  #gid=0"",""фіз особи new!relations_name_uo""),7,FALSE)
,
)
))"),"РУДЕНКО Сергій В'ячеславович")</f>
        <v>РУДЕНКО Сергій В'ячеславович</v>
      </c>
      <c r="G8522" s="7" t="s">
        <v>10</v>
      </c>
      <c r="H8522" s="7">
        <v>3036</v>
      </c>
      <c r="I8522" s="8" t="str">
        <f ca="1">IFERROR(__xludf.DUMMYFUNCTION("IF
(
G8523=""фізична особа""
,
VLOOKUP(H8523,IMPORTRANGE(""https://docs.google.com/spreadsheets/d/14Bd19lYaqBhU8_DElYkX7l4wRkHqqCUFNJY4AfY3kHU/edit?usp=sharing  #gid=0"",""фіз особи new!relations_name""),6,FALSE)
,
(IF
(
G8523=""юридична особа""
,
VLOOKUP"&amp;"(H8523,IMPORTRANGE(""https://docs.google.com/spreadsheets/d/14Bd19lYaqBhU8_DElYkX7l4wRkHqqCUFNJY4AfY3kHU/edit?usp=sharing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22" s="7" t="s">
        <v>29</v>
      </c>
    </row>
    <row r="8523" spans="1:10" ht="13.2">
      <c r="A8523" s="7">
        <v>8522</v>
      </c>
      <c r="B8523" s="7">
        <v>1</v>
      </c>
      <c r="C8523" s="7" t="s">
        <v>10</v>
      </c>
      <c r="D8523" s="7">
        <v>10455</v>
      </c>
      <c r="E8523" s="7" t="s">
        <v>28</v>
      </c>
      <c r="F8523" s="8" t="str">
        <f ca="1">IFERROR(__xludf.DUMMYFUNCTION("IF
(
C8524=""фізична особа""
,
VLOOKUP(D8524,IMPORTRANGE(""https://docs.google.com/spreadsheets/d/14Bd19lYaqBhU8_DElYkX7l4wRkHqqCUFNJY4AfY3kHU/edit?usp=sharing  #gid=0"",""фіз особи new!relations_name""),6,FALSE)
,
(IF
(
C8524=""юридична особа""
,
VLOOKUP"&amp;"(D8524,IMPORTRANGE(""https://docs.google.com/spreadsheets/d/14Bd19lYaqBhU8_DElYkX7l4wRkHqqCUFNJY4AfY3kHU/edit?usp=sharing  #gid=0"",""фіз особи new!relations_name_uo""),7,FALSE)
,
)
))"),"РУДЕНКО Сергій В'ячеславович")</f>
        <v>РУДЕНКО Сергій В'ячеславович</v>
      </c>
      <c r="G8523" s="7" t="s">
        <v>10</v>
      </c>
      <c r="H8523" s="7">
        <v>10449</v>
      </c>
      <c r="I8523" s="8" t="str">
        <f ca="1">IFERROR(__xludf.DUMMYFUNCTION("IF
(
G8524=""фізична особа""
,
VLOOKUP(H8524,IMPORTRANGE(""https://docs.google.com/spreadsheets/d/14Bd19lYaqBhU8_DElYkX7l4wRkHqqCUFNJY4AfY3kHU/edit?usp=sharing  #gid=0"",""фіз особи new!relations_name""),6,FALSE)
,
(IF
(
G8524=""юридична особа""
,
VLOOKUP"&amp;"(H8524,IMPORTRANGE(""https://docs.google.com/spreadsheets/d/14Bd19lYaqBhU8_DElYkX7l4wRkHqqCUFNJY4AfY3kHU/edit?usp=sharing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23" s="7" t="s">
        <v>29</v>
      </c>
    </row>
    <row r="8524" spans="1:10" ht="13.2">
      <c r="A8524" s="7">
        <v>8523</v>
      </c>
      <c r="B8524" s="7">
        <v>1</v>
      </c>
      <c r="C8524" s="7" t="s">
        <v>10</v>
      </c>
      <c r="D8524" s="7">
        <v>10456</v>
      </c>
      <c r="E8524" s="7" t="s">
        <v>28</v>
      </c>
      <c r="F8524" s="8" t="str">
        <f ca="1">IFERROR(__xludf.DUMMYFUNCTION("IF
(
C8525=""фізична особа""
,
VLOOKUP(D8525,IMPORTRANGE(""https://docs.google.com/spreadsheets/d/14Bd19lYaqBhU8_DElYkX7l4wRkHqqCUFNJY4AfY3kHU/edit?usp=sharing  #gid=0"",""фіз особи new!relations_name""),6,FALSE)
,
(IF
(
C8525=""юридична особа""
,
VLOOKUP"&amp;"(D8525,IMPORTRANGE(""https://docs.google.com/spreadsheets/d/14Bd19lYaqBhU8_DElYkX7l4wRkHqqCUFNJY4AfY3kHU/edit?usp=sharing  #gid=0"",""фіз особи new!relations_name_uo""),7,FALSE)
,
)
))"),"ДМИТРІЄВА Віра Сергіївна")</f>
        <v>ДМИТРІЄВА Віра Сергіївна</v>
      </c>
      <c r="G8524" s="7" t="s">
        <v>10</v>
      </c>
      <c r="H8524" s="7">
        <v>3036</v>
      </c>
      <c r="I8524" s="8" t="str">
        <f ca="1">IFERROR(__xludf.DUMMYFUNCTION("IF
(
G8525=""фізична особа""
,
VLOOKUP(H8525,IMPORTRANGE(""https://docs.google.com/spreadsheets/d/14Bd19lYaqBhU8_DElYkX7l4wRkHqqCUFNJY4AfY3kHU/edit?usp=sharing  #gid=0"",""фіз особи new!relations_name""),6,FALSE)
,
(IF
(
G8525=""юридична особа""
,
VLOOKUP"&amp;"(H8525,IMPORTRANGE(""https://docs.google.com/spreadsheets/d/14Bd19lYaqBhU8_DElYkX7l4wRkHqqCUFNJY4AfY3kHU/edit?usp=sharing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24" s="7" t="s">
        <v>29</v>
      </c>
    </row>
    <row r="8525" spans="1:10" ht="13.2">
      <c r="A8525" s="7">
        <v>8524</v>
      </c>
      <c r="B8525" s="7">
        <v>1</v>
      </c>
      <c r="C8525" s="7" t="s">
        <v>10</v>
      </c>
      <c r="D8525" s="7">
        <v>10456</v>
      </c>
      <c r="E8525" s="7" t="s">
        <v>28</v>
      </c>
      <c r="F8525" s="8" t="str">
        <f ca="1">IFERROR(__xludf.DUMMYFUNCTION("IF
(
C8526=""фізична особа""
,
VLOOKUP(D8526,IMPORTRANGE(""https://docs.google.com/spreadsheets/d/14Bd19lYaqBhU8_DElYkX7l4wRkHqqCUFNJY4AfY3kHU/edit?usp=sharing  #gid=0"",""фіз особи new!relations_name""),6,FALSE)
,
(IF
(
C8526=""юридична особа""
,
VLOOKUP"&amp;"(D8526,IMPORTRANGE(""https://docs.google.com/spreadsheets/d/14Bd19lYaqBhU8_DElYkX7l4wRkHqqCUFNJY4AfY3kHU/edit?usp=sharing  #gid=0"",""фіз особи new!relations_name_uo""),7,FALSE)
,
)
))"),"ДМИТРІЄВА Віра Сергіївна")</f>
        <v>ДМИТРІЄВА Віра Сергіївна</v>
      </c>
      <c r="G8525" s="7" t="s">
        <v>10</v>
      </c>
      <c r="H8525" s="7">
        <v>10449</v>
      </c>
      <c r="I8525" s="8" t="str">
        <f ca="1">IFERROR(__xludf.DUMMYFUNCTION("IF
(
G8526=""фізична особа""
,
VLOOKUP(H8526,IMPORTRANGE(""https://docs.google.com/spreadsheets/d/14Bd19lYaqBhU8_DElYkX7l4wRkHqqCUFNJY4AfY3kHU/edit?usp=sharing  #gid=0"",""фіз особи new!relations_name""),6,FALSE)
,
(IF
(
G8526=""юридична особа""
,
VLOOKUP"&amp;"(H8526,IMPORTRANGE(""https://docs.google.com/spreadsheets/d/14Bd19lYaqBhU8_DElYkX7l4wRkHqqCUFNJY4AfY3kHU/edit?usp=sharing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25" s="7" t="s">
        <v>29</v>
      </c>
    </row>
    <row r="8526" spans="1:10" ht="13.2">
      <c r="A8526" s="7">
        <v>8525</v>
      </c>
      <c r="B8526" s="7">
        <v>1</v>
      </c>
      <c r="C8526" s="7" t="s">
        <v>10</v>
      </c>
      <c r="D8526" s="7">
        <v>10457</v>
      </c>
      <c r="E8526" s="7" t="s">
        <v>28</v>
      </c>
      <c r="F8526" s="8" t="str">
        <f ca="1">IFERROR(__xludf.DUMMYFUNCTION("IF
(
C8527=""фізична особа""
,
VLOOKUP(D8527,IMPORTRANGE(""https://docs.google.com/spreadsheets/d/14Bd19lYaqBhU8_DElYkX7l4wRkHqqCUFNJY4AfY3kHU/edit?usp=sharing  #gid=0"",""фіз особи new!relations_name""),6,FALSE)
,
(IF
(
C8527=""юридична особа""
,
VLOOKUP"&amp;"(D8527,IMPORTRANGE(""https://docs.google.com/spreadsheets/d/14Bd19lYaqBhU8_DElYkX7l4wRkHqqCUFNJY4AfY3kHU/edit?usp=sharing  #gid=0"",""фіз особи new!relations_name_uo""),7,FALSE)
,
)
))"),"ВОХМІНА Олена Олексіївна")</f>
        <v>ВОХМІНА Олена Олексіївна</v>
      </c>
      <c r="G8526" s="7" t="s">
        <v>10</v>
      </c>
      <c r="H8526" s="7">
        <v>3036</v>
      </c>
      <c r="I8526" s="8" t="str">
        <f ca="1">IFERROR(__xludf.DUMMYFUNCTION("IF
(
G8527=""фізична особа""
,
VLOOKUP(H8527,IMPORTRANGE(""https://docs.google.com/spreadsheets/d/14Bd19lYaqBhU8_DElYkX7l4wRkHqqCUFNJY4AfY3kHU/edit?usp=sharing  #gid=0"",""фіз особи new!relations_name""),6,FALSE)
,
(IF
(
G8527=""юридична особа""
,
VLOOKUP"&amp;"(H8527,IMPORTRANGE(""https://docs.google.com/spreadsheets/d/14Bd19lYaqBhU8_DElYkX7l4wRkHqqCUFNJY4AfY3kHU/edit?usp=sharing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526" s="7" t="s">
        <v>29</v>
      </c>
    </row>
    <row r="8527" spans="1:10" ht="13.2">
      <c r="A8527" s="7">
        <v>8526</v>
      </c>
      <c r="B8527" s="7">
        <v>1</v>
      </c>
      <c r="C8527" s="7" t="s">
        <v>10</v>
      </c>
      <c r="D8527" s="7">
        <v>10457</v>
      </c>
      <c r="E8527" s="7" t="s">
        <v>28</v>
      </c>
      <c r="F8527" s="8" t="str">
        <f ca="1">IFERROR(__xludf.DUMMYFUNCTION("IF
(
C8528=""фізична особа""
,
VLOOKUP(D8528,IMPORTRANGE(""https://docs.google.com/spreadsheets/d/14Bd19lYaqBhU8_DElYkX7l4wRkHqqCUFNJY4AfY3kHU/edit?usp=sharing  #gid=0"",""фіз особи new!relations_name""),6,FALSE)
,
(IF
(
C8528=""юридична особа""
,
VLOOKUP"&amp;"(D8528,IMPORTRANGE(""https://docs.google.com/spreadsheets/d/14Bd19lYaqBhU8_DElYkX7l4wRkHqqCUFNJY4AfY3kHU/edit?usp=sharing  #gid=0"",""фіз особи new!relations_name_uo""),7,FALSE)
,
)
))"),"ВОХМІНА Олена Олексіївна")</f>
        <v>ВОХМІНА Олена Олексіївна</v>
      </c>
      <c r="G8527" s="7" t="s">
        <v>10</v>
      </c>
      <c r="H8527" s="7">
        <v>10449</v>
      </c>
      <c r="I8527" s="8" t="str">
        <f ca="1">IFERROR(__xludf.DUMMYFUNCTION("IF
(
G8528=""фізична особа""
,
VLOOKUP(H8528,IMPORTRANGE(""https://docs.google.com/spreadsheets/d/14Bd19lYaqBhU8_DElYkX7l4wRkHqqCUFNJY4AfY3kHU/edit?usp=sharing  #gid=0"",""фіз особи new!relations_name""),6,FALSE)
,
(IF
(
G8528=""юридична особа""
,
VLOOKUP"&amp;"(H8528,IMPORTRANGE(""https://docs.google.com/spreadsheets/d/14Bd19lYaqBhU8_DElYkX7l4wRkHqqCUFNJY4AfY3kHU/edit?usp=sharing  #gid=0"",""фіз особи new!relations_name_uo""),7,FALSE)
,
)
))"),"ХОДОСЕВИЧ Андрій Вікторович")</f>
        <v>ХОДОСЕВИЧ Андрій Вікторович</v>
      </c>
      <c r="J8527" s="7" t="s">
        <v>29</v>
      </c>
    </row>
    <row r="8528" spans="1:10" ht="13.2">
      <c r="A8528" s="7">
        <v>8527</v>
      </c>
      <c r="B8528" s="7">
        <v>1</v>
      </c>
      <c r="C8528" s="7" t="s">
        <v>10</v>
      </c>
      <c r="D8528" s="7">
        <v>10458</v>
      </c>
      <c r="E8528" s="7" t="s">
        <v>28</v>
      </c>
      <c r="F8528" s="8" t="str">
        <f ca="1">IFERROR(__xludf.DUMMYFUNCTION("IF
(
C8529=""фізична особа""
,
VLOOKUP(D8529,IMPORTRANGE(""https://docs.google.com/spreadsheets/d/14Bd19lYaqBhU8_DElYkX7l4wRkHqqCUFNJY4AfY3kHU/edit?usp=sharing  #gid=0"",""фіз особи new!relations_name""),6,FALSE)
,
(IF
(
C8529=""юридична особа""
,
VLOOKUP"&amp;"(D8529,IMPORTRANGE(""https://docs.google.com/spreadsheets/d/14Bd19lYaqBhU8_DElYkX7l4wRkHqqCUFNJY4AfY3kHU/edit?usp=sharing  #gid=0"",""фіз особи new!relations_name_uo""),7,FALSE)
,
)
))"),"ТЕБІЄВА Олена Шамільївна")</f>
        <v>ТЕБІЄВА Олена Шамільївна</v>
      </c>
      <c r="G8528" s="7" t="s">
        <v>10</v>
      </c>
      <c r="H8528" s="7">
        <v>22386</v>
      </c>
      <c r="I8528" s="8" t="str">
        <f ca="1">IFERROR(__xludf.DUMMYFUNCTION("IF
(
G8529=""фізична особа""
,
VLOOKUP(H8529,IMPORTRANGE(""https://docs.google.com/spreadsheets/d/14Bd19lYaqBhU8_DElYkX7l4wRkHqqCUFNJY4AfY3kHU/edit?usp=sharing  #gid=0"",""фіз особи new!relations_name""),6,FALSE)
,
(IF
(
G8529=""юридична особа""
,
VLOOKUP"&amp;"(H8529,IMPORTRANGE(""https://docs.google.com/spreadsheets/d/14Bd19lYaqBhU8_DElYkX7l4wRkHqqCUFNJY4AfY3kHU/edit?usp=sharing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28" s="7" t="s">
        <v>29</v>
      </c>
    </row>
    <row r="8529" spans="1:10" ht="13.2">
      <c r="A8529" s="7">
        <v>8528</v>
      </c>
      <c r="B8529" s="7">
        <v>1</v>
      </c>
      <c r="C8529" s="7" t="s">
        <v>10</v>
      </c>
      <c r="D8529" s="7">
        <v>10459</v>
      </c>
      <c r="E8529" s="7" t="s">
        <v>28</v>
      </c>
      <c r="F8529" s="8" t="str">
        <f ca="1">IFERROR(__xludf.DUMMYFUNCTION("IF
(
C8530=""фізична особа""
,
VLOOKUP(D8530,IMPORTRANGE(""https://docs.google.com/spreadsheets/d/14Bd19lYaqBhU8_DElYkX7l4wRkHqqCUFNJY4AfY3kHU/edit?usp=sharing  #gid=0"",""фіз особи new!relations_name""),6,FALSE)
,
(IF
(
C8530=""юридична особа""
,
VLOOKUP"&amp;"(D8530,IMPORTRANGE(""https://docs.google.com/spreadsheets/d/14Bd19lYaqBhU8_DElYkX7l4wRkHqqCUFNJY4AfY3kHU/edit?usp=sharing  #gid=0"",""фіз особи new!relations_name_uo""),7,FALSE)
,
)
))"),"ГАБДРАХМАНОВА Гульнара Закаріївна")</f>
        <v>ГАБДРАХМАНОВА Гульнара Закаріївна</v>
      </c>
      <c r="G8529" s="7" t="s">
        <v>10</v>
      </c>
      <c r="H8529" s="7">
        <v>22386</v>
      </c>
      <c r="I8529" s="8" t="str">
        <f ca="1">IFERROR(__xludf.DUMMYFUNCTION("IF
(
G8530=""фізична особа""
,
VLOOKUP(H8530,IMPORTRANGE(""https://docs.google.com/spreadsheets/d/14Bd19lYaqBhU8_DElYkX7l4wRkHqqCUFNJY4AfY3kHU/edit?usp=sharing  #gid=0"",""фіз особи new!relations_name""),6,FALSE)
,
(IF
(
G8530=""юридична особа""
,
VLOOKUP"&amp;"(H8530,IMPORTRANGE(""https://docs.google.com/spreadsheets/d/14Bd19lYaqBhU8_DElYkX7l4wRkHqqCUFNJY4AfY3kHU/edit?usp=sharing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29" s="7" t="s">
        <v>29</v>
      </c>
    </row>
    <row r="8530" spans="1:10" ht="13.2">
      <c r="A8530" s="7">
        <v>8529</v>
      </c>
      <c r="B8530" s="7">
        <v>1</v>
      </c>
      <c r="C8530" s="7" t="s">
        <v>10</v>
      </c>
      <c r="D8530" s="7">
        <v>10461</v>
      </c>
      <c r="E8530" s="7" t="s">
        <v>28</v>
      </c>
      <c r="F8530" s="8" t="str">
        <f ca="1">IFERROR(__xludf.DUMMYFUNCTION("IF
(
C8531=""фізична особа""
,
VLOOKUP(D8531,IMPORTRANGE(""https://docs.google.com/spreadsheets/d/14Bd19lYaqBhU8_DElYkX7l4wRkHqqCUFNJY4AfY3kHU/edit?usp=sharing  #gid=0"",""фіз особи new!relations_name""),6,FALSE)
,
(IF
(
C8531=""юридична особа""
,
VLOOKUP"&amp;"(D8531,IMPORTRANGE(""https://docs.google.com/spreadsheets/d/14Bd19lYaqBhU8_DElYkX7l4wRkHqqCUFNJY4AfY3kHU/edit?usp=sharing  #gid=0"",""фіз особи new!relations_name_uo""),7,FALSE)
,
)
))"),"АЙДАМІРОВ Шовхал Куршабович")</f>
        <v>АЙДАМІРОВ Шовхал Куршабович</v>
      </c>
      <c r="G8530" s="7" t="s">
        <v>10</v>
      </c>
      <c r="H8530" s="7">
        <v>22386</v>
      </c>
      <c r="I8530" s="8" t="str">
        <f ca="1">IFERROR(__xludf.DUMMYFUNCTION("IF
(
G8531=""фізична особа""
,
VLOOKUP(H8531,IMPORTRANGE(""https://docs.google.com/spreadsheets/d/14Bd19lYaqBhU8_DElYkX7l4wRkHqqCUFNJY4AfY3kHU/edit?usp=sharing  #gid=0"",""фіз особи new!relations_name""),6,FALSE)
,
(IF
(
G8531=""юридична особа""
,
VLOOKUP"&amp;"(H8531,IMPORTRANGE(""https://docs.google.com/spreadsheets/d/14Bd19lYaqBhU8_DElYkX7l4wRkHqqCUFNJY4AfY3kHU/edit?usp=sharing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30" s="7" t="s">
        <v>29</v>
      </c>
    </row>
    <row r="8531" spans="1:10" ht="13.2">
      <c r="A8531" s="7">
        <v>8530</v>
      </c>
      <c r="B8531" s="7">
        <v>1</v>
      </c>
      <c r="C8531" s="7" t="s">
        <v>10</v>
      </c>
      <c r="D8531" s="7">
        <v>10462</v>
      </c>
      <c r="E8531" s="7" t="s">
        <v>28</v>
      </c>
      <c r="F8531" s="8" t="str">
        <f ca="1">IFERROR(__xludf.DUMMYFUNCTION("IF
(
C8532=""фізична особа""
,
VLOOKUP(D8532,IMPORTRANGE(""https://docs.google.com/spreadsheets/d/14Bd19lYaqBhU8_DElYkX7l4wRkHqqCUFNJY4AfY3kHU/edit?usp=sharing  #gid=0"",""фіз особи new!relations_name""),6,FALSE)
,
(IF
(
C8532=""юридична особа""
,
VLOOKUP"&amp;"(D8532,IMPORTRANGE(""https://docs.google.com/spreadsheets/d/14Bd19lYaqBhU8_DElYkX7l4wRkHqqCUFNJY4AfY3kHU/edit?usp=sharing  #gid=0"",""фіз особи new!relations_name_uo""),7,FALSE)
,
)
))"),"ПОЛЬШИНА Наталія Олексіївна")</f>
        <v>ПОЛЬШИНА Наталія Олексіївна</v>
      </c>
      <c r="G8531" s="7" t="s">
        <v>10</v>
      </c>
      <c r="H8531" s="7">
        <v>22386</v>
      </c>
      <c r="I8531" s="8" t="str">
        <f ca="1">IFERROR(__xludf.DUMMYFUNCTION("IF
(
G8532=""фізична особа""
,
VLOOKUP(H8532,IMPORTRANGE(""https://docs.google.com/spreadsheets/d/14Bd19lYaqBhU8_DElYkX7l4wRkHqqCUFNJY4AfY3kHU/edit?usp=sharing  #gid=0"",""фіз особи new!relations_name""),6,FALSE)
,
(IF
(
G8532=""юридична особа""
,
VLOOKUP"&amp;"(H8532,IMPORTRANGE(""https://docs.google.com/spreadsheets/d/14Bd19lYaqBhU8_DElYkX7l4wRkHqqCUFNJY4AfY3kHU/edit?usp=sharing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31" s="7" t="s">
        <v>29</v>
      </c>
    </row>
    <row r="8532" spans="1:10" ht="13.2">
      <c r="A8532" s="7">
        <v>8531</v>
      </c>
      <c r="B8532" s="7">
        <v>1</v>
      </c>
      <c r="C8532" s="7" t="s">
        <v>10</v>
      </c>
      <c r="D8532" s="7">
        <v>10463</v>
      </c>
      <c r="E8532" s="7" t="s">
        <v>28</v>
      </c>
      <c r="F8532" s="8" t="str">
        <f ca="1">IFERROR(__xludf.DUMMYFUNCTION("IF
(
C8533=""фізична особа""
,
VLOOKUP(D8533,IMPORTRANGE(""https://docs.google.com/spreadsheets/d/14Bd19lYaqBhU8_DElYkX7l4wRkHqqCUFNJY4AfY3kHU/edit?usp=sharing  #gid=0"",""фіз особи new!relations_name""),6,FALSE)
,
(IF
(
C8533=""юридична особа""
,
VLOOKUP"&amp;"(D8533,IMPORTRANGE(""https://docs.google.com/spreadsheets/d/14Bd19lYaqBhU8_DElYkX7l4wRkHqqCUFNJY4AfY3kHU/edit?usp=sharing  #gid=0"",""фіз особи new!relations_name_uo""),7,FALSE)
,
)
))"),"РУБЦОВА Олена Юріївна")</f>
        <v>РУБЦОВА Олена Юріївна</v>
      </c>
      <c r="G8532" s="7" t="s">
        <v>10</v>
      </c>
      <c r="H8532" s="7">
        <v>22386</v>
      </c>
      <c r="I8532" s="8" t="str">
        <f ca="1">IFERROR(__xludf.DUMMYFUNCTION("IF
(
G8533=""фізична особа""
,
VLOOKUP(H8533,IMPORTRANGE(""https://docs.google.com/spreadsheets/d/14Bd19lYaqBhU8_DElYkX7l4wRkHqqCUFNJY4AfY3kHU/edit?usp=sharing  #gid=0"",""фіз особи new!relations_name""),6,FALSE)
,
(IF
(
G8533=""юридична особа""
,
VLOOKUP"&amp;"(H8533,IMPORTRANGE(""https://docs.google.com/spreadsheets/d/14Bd19lYaqBhU8_DElYkX7l4wRkHqqCUFNJY4AfY3kHU/edit?usp=sharing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32" s="7" t="s">
        <v>29</v>
      </c>
    </row>
    <row r="8533" spans="1:10" ht="13.2">
      <c r="A8533" s="7">
        <v>8532</v>
      </c>
      <c r="B8533" s="7">
        <v>1</v>
      </c>
      <c r="C8533" s="7" t="s">
        <v>10</v>
      </c>
      <c r="D8533" s="7">
        <v>10464</v>
      </c>
      <c r="E8533" s="7" t="s">
        <v>28</v>
      </c>
      <c r="F8533" s="8" t="str">
        <f ca="1">IFERROR(__xludf.DUMMYFUNCTION("IF
(
C8534=""фізична особа""
,
VLOOKUP(D8534,IMPORTRANGE(""https://docs.google.com/spreadsheets/d/14Bd19lYaqBhU8_DElYkX7l4wRkHqqCUFNJY4AfY3kHU/edit?usp=sharing  #gid=0"",""фіз особи new!relations_name""),6,FALSE)
,
(IF
(
C8534=""юридична особа""
,
VLOOKUP"&amp;"(D8534,IMPORTRANGE(""https://docs.google.com/spreadsheets/d/14Bd19lYaqBhU8_DElYkX7l4wRkHqqCUFNJY4AfY3kHU/edit?usp=sharing  #gid=0"",""фіз особи new!relations_name_uo""),7,FALSE)
,
)
))"),"КАЗІЦИН Олександр Борисович")</f>
        <v>КАЗІЦИН Олександр Борисович</v>
      </c>
      <c r="G8533" s="7" t="s">
        <v>10</v>
      </c>
      <c r="H8533" s="7">
        <v>22386</v>
      </c>
      <c r="I8533" s="8" t="str">
        <f ca="1">IFERROR(__xludf.DUMMYFUNCTION("IF
(
G8534=""фізична особа""
,
VLOOKUP(H8534,IMPORTRANGE(""https://docs.google.com/spreadsheets/d/14Bd19lYaqBhU8_DElYkX7l4wRkHqqCUFNJY4AfY3kHU/edit?usp=sharing  #gid=0"",""фіз особи new!relations_name""),6,FALSE)
,
(IF
(
G8534=""юридична особа""
,
VLOOKUP"&amp;"(H8534,IMPORTRANGE(""https://docs.google.com/spreadsheets/d/14Bd19lYaqBhU8_DElYkX7l4wRkHqqCUFNJY4AfY3kHU/edit?usp=sharing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33" s="7" t="s">
        <v>29</v>
      </c>
    </row>
    <row r="8534" spans="1:10" ht="13.2">
      <c r="A8534" s="7">
        <v>8533</v>
      </c>
      <c r="B8534" s="7">
        <v>1</v>
      </c>
      <c r="C8534" s="7" t="s">
        <v>10</v>
      </c>
      <c r="D8534" s="7">
        <v>10465</v>
      </c>
      <c r="E8534" s="7" t="s">
        <v>28</v>
      </c>
      <c r="F8534" s="8" t="str">
        <f ca="1">IFERROR(__xludf.DUMMYFUNCTION("IF
(
C8535=""фізична особа""
,
VLOOKUP(D8535,IMPORTRANGE(""https://docs.google.com/spreadsheets/d/14Bd19lYaqBhU8_DElYkX7l4wRkHqqCUFNJY4AfY3kHU/edit?usp=sharing  #gid=0"",""фіз особи new!relations_name""),6,FALSE)
,
(IF
(
C8535=""юридична особа""
,
VLOOKUP"&amp;"(D8535,IMPORTRANGE(""https://docs.google.com/spreadsheets/d/14Bd19lYaqBhU8_DElYkX7l4wRkHqqCUFNJY4AfY3kHU/edit?usp=sharing  #gid=0"",""фіз особи new!relations_name_uo""),7,FALSE)
,
)
))"),"НІКОЛЬСЬКА Віра Володимирівна")</f>
        <v>НІКОЛЬСЬКА Віра Володимирівна</v>
      </c>
      <c r="G8534" s="7" t="s">
        <v>10</v>
      </c>
      <c r="H8534" s="7">
        <v>22386</v>
      </c>
      <c r="I8534" s="8" t="str">
        <f ca="1">IFERROR(__xludf.DUMMYFUNCTION("IF
(
G8535=""фізична особа""
,
VLOOKUP(H8535,IMPORTRANGE(""https://docs.google.com/spreadsheets/d/14Bd19lYaqBhU8_DElYkX7l4wRkHqqCUFNJY4AfY3kHU/edit?usp=sharing  #gid=0"",""фіз особи new!relations_name""),6,FALSE)
,
(IF
(
G8535=""юридична особа""
,
VLOOKUP"&amp;"(H8535,IMPORTRANGE(""https://docs.google.com/spreadsheets/d/14Bd19lYaqBhU8_DElYkX7l4wRkHqqCUFNJY4AfY3kHU/edit?usp=sharing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534" s="7" t="s">
        <v>29</v>
      </c>
    </row>
    <row r="8535" spans="1:10" ht="13.2">
      <c r="A8535" s="7">
        <v>8534</v>
      </c>
      <c r="B8535" s="7">
        <v>1</v>
      </c>
      <c r="C8535" s="7" t="s">
        <v>10</v>
      </c>
      <c r="D8535" s="7">
        <v>10466</v>
      </c>
      <c r="E8535" s="7" t="s">
        <v>28</v>
      </c>
      <c r="F8535" s="8" t="str">
        <f ca="1">IFERROR(__xludf.DUMMYFUNCTION("IF
(
C8536=""фізична особа""
,
VLOOKUP(D8536,IMPORTRANGE(""https://docs.google.com/spreadsheets/d/14Bd19lYaqBhU8_DElYkX7l4wRkHqqCUFNJY4AfY3kHU/edit?usp=sharing  #gid=0"",""фіз особи new!relations_name""),6,FALSE)
,
(IF
(
C8536=""юридична особа""
,
VLOOKUP"&amp;"(D8536,IMPORTRANGE(""https://docs.google.com/spreadsheets/d/14Bd19lYaqBhU8_DElYkX7l4wRkHqqCUFNJY4AfY3kHU/edit?usp=sharing  #gid=0"",""фіз особи new!relations_name_uo""),7,FALSE)
,
)
))"),"ІВАНОВ Олександр Юрійович")</f>
        <v>ІВАНОВ Олександр Юрійович</v>
      </c>
      <c r="G8535" s="7" t="s">
        <v>10</v>
      </c>
      <c r="H8535" s="7">
        <v>1697</v>
      </c>
      <c r="I8535" s="8" t="str">
        <f ca="1">IFERROR(__xludf.DUMMYFUNCTION("IF
(
G8536=""фізична особа""
,
VLOOKUP(H8536,IMPORTRANGE(""https://docs.google.com/spreadsheets/d/14Bd19lYaqBhU8_DElYkX7l4wRkHqqCUFNJY4AfY3kHU/edit?usp=sharing  #gid=0"",""фіз особи new!relations_name""),6,FALSE)
,
(IF
(
G8536=""юридична особа""
,
VLOOKUP"&amp;"(H8536,IMPORTRANGE(""https://docs.google.com/spreadsheets/d/14Bd19lYaqBhU8_DElYkX7l4wRkHqqCUFNJY4AfY3kHU/edit?usp=sharing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35" s="7" t="s">
        <v>29</v>
      </c>
    </row>
    <row r="8536" spans="1:10" ht="13.2">
      <c r="A8536" s="7">
        <v>8535</v>
      </c>
      <c r="B8536" s="7">
        <v>1</v>
      </c>
      <c r="C8536" s="7" t="s">
        <v>10</v>
      </c>
      <c r="D8536" s="7">
        <v>10467</v>
      </c>
      <c r="E8536" s="7" t="s">
        <v>28</v>
      </c>
      <c r="F8536" s="8" t="str">
        <f ca="1">IFERROR(__xludf.DUMMYFUNCTION("IF
(
C8537=""фізична особа""
,
VLOOKUP(D8537,IMPORTRANGE(""https://docs.google.com/spreadsheets/d/14Bd19lYaqBhU8_DElYkX7l4wRkHqqCUFNJY4AfY3kHU/edit?usp=sharing  #gid=0"",""фіз особи new!relations_name""),6,FALSE)
,
(IF
(
C8537=""юридична особа""
,
VLOOKUP"&amp;"(D8537,IMPORTRANGE(""https://docs.google.com/spreadsheets/d/14Bd19lYaqBhU8_DElYkX7l4wRkHqqCUFNJY4AfY3kHU/edit?usp=sharing  #gid=0"",""фіз особи new!relations_name_uo""),7,FALSE)
,
)
))"),"КОЧНОВ В'ячеслав Олександрович")</f>
        <v>КОЧНОВ В'ячеслав Олександрович</v>
      </c>
      <c r="G8536" s="7" t="s">
        <v>10</v>
      </c>
      <c r="H8536" s="7">
        <v>1697</v>
      </c>
      <c r="I8536" s="8" t="str">
        <f ca="1">IFERROR(__xludf.DUMMYFUNCTION("IF
(
G8537=""фізична особа""
,
VLOOKUP(H8537,IMPORTRANGE(""https://docs.google.com/spreadsheets/d/14Bd19lYaqBhU8_DElYkX7l4wRkHqqCUFNJY4AfY3kHU/edit?usp=sharing  #gid=0"",""фіз особи new!relations_name""),6,FALSE)
,
(IF
(
G8537=""юридична особа""
,
VLOOKUP"&amp;"(H8537,IMPORTRANGE(""https://docs.google.com/spreadsheets/d/14Bd19lYaqBhU8_DElYkX7l4wRkHqqCUFNJY4AfY3kHU/edit?usp=sharing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36" s="7" t="s">
        <v>29</v>
      </c>
    </row>
    <row r="8537" spans="1:10" ht="13.2">
      <c r="A8537" s="7">
        <v>8536</v>
      </c>
      <c r="B8537" s="7">
        <v>1</v>
      </c>
      <c r="C8537" s="7" t="s">
        <v>10</v>
      </c>
      <c r="D8537" s="7">
        <v>10468</v>
      </c>
      <c r="E8537" s="7" t="s">
        <v>28</v>
      </c>
      <c r="F8537" s="8" t="str">
        <f ca="1">IFERROR(__xludf.DUMMYFUNCTION("IF
(
C8538=""фізична особа""
,
VLOOKUP(D8538,IMPORTRANGE(""https://docs.google.com/spreadsheets/d/14Bd19lYaqBhU8_DElYkX7l4wRkHqqCUFNJY4AfY3kHU/edit?usp=sharing  #gid=0"",""фіз особи new!relations_name""),6,FALSE)
,
(IF
(
C8538=""юридична особа""
,
VLOOKUP"&amp;"(D8538,IMPORTRANGE(""https://docs.google.com/spreadsheets/d/14Bd19lYaqBhU8_DElYkX7l4wRkHqqCUFNJY4AfY3kHU/edit?usp=sharing  #gid=0"",""фіз особи new!relations_name_uo""),7,FALSE)
,
)
))"),"КАПЛЕНКО Андрій Володимирович")</f>
        <v>КАПЛЕНКО Андрій Володимирович</v>
      </c>
      <c r="G8537" s="7" t="s">
        <v>10</v>
      </c>
      <c r="H8537" s="7">
        <v>1697</v>
      </c>
      <c r="I8537" s="8" t="str">
        <f ca="1">IFERROR(__xludf.DUMMYFUNCTION("IF
(
G8538=""фізична особа""
,
VLOOKUP(H8538,IMPORTRANGE(""https://docs.google.com/spreadsheets/d/14Bd19lYaqBhU8_DElYkX7l4wRkHqqCUFNJY4AfY3kHU/edit?usp=sharing  #gid=0"",""фіз особи new!relations_name""),6,FALSE)
,
(IF
(
G8538=""юридична особа""
,
VLOOKUP"&amp;"(H8538,IMPORTRANGE(""https://docs.google.com/spreadsheets/d/14Bd19lYaqBhU8_DElYkX7l4wRkHqqCUFNJY4AfY3kHU/edit?usp=sharing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37" s="7" t="s">
        <v>29</v>
      </c>
    </row>
    <row r="8538" spans="1:10" ht="13.2">
      <c r="A8538" s="7">
        <v>8537</v>
      </c>
      <c r="B8538" s="7">
        <v>1</v>
      </c>
      <c r="C8538" s="7" t="s">
        <v>10</v>
      </c>
      <c r="D8538" s="7">
        <v>10469</v>
      </c>
      <c r="E8538" s="7" t="s">
        <v>28</v>
      </c>
      <c r="F8538" s="8" t="str">
        <f ca="1">IFERROR(__xludf.DUMMYFUNCTION("IF
(
C8539=""фізична особа""
,
VLOOKUP(D8539,IMPORTRANGE(""https://docs.google.com/spreadsheets/d/14Bd19lYaqBhU8_DElYkX7l4wRkHqqCUFNJY4AfY3kHU/edit?usp=sharing  #gid=0"",""фіз особи new!relations_name""),6,FALSE)
,
(IF
(
C8539=""юридична особа""
,
VLOOKUP"&amp;"(D8539,IMPORTRANGE(""https://docs.google.com/spreadsheets/d/14Bd19lYaqBhU8_DElYkX7l4wRkHqqCUFNJY4AfY3kHU/edit?usp=sharing  #gid=0"",""фіз особи new!relations_name_uo""),7,FALSE)
,
)
))"),"АНДРІЄНКО Андрій Олександрович")</f>
        <v>АНДРІЄНКО Андрій Олександрович</v>
      </c>
      <c r="G8538" s="7" t="s">
        <v>10</v>
      </c>
      <c r="H8538" s="7">
        <v>1697</v>
      </c>
      <c r="I8538" s="8" t="str">
        <f ca="1">IFERROR(__xludf.DUMMYFUNCTION("IF
(
G8539=""фізична особа""
,
VLOOKUP(H8539,IMPORTRANGE(""https://docs.google.com/spreadsheets/d/14Bd19lYaqBhU8_DElYkX7l4wRkHqqCUFNJY4AfY3kHU/edit?usp=sharing  #gid=0"",""фіз особи new!relations_name""),6,FALSE)
,
(IF
(
G8539=""юридична особа""
,
VLOOKUP"&amp;"(H8539,IMPORTRANGE(""https://docs.google.com/spreadsheets/d/14Bd19lYaqBhU8_DElYkX7l4wRkHqqCUFNJY4AfY3kHU/edit?usp=sharing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38" s="7" t="s">
        <v>29</v>
      </c>
    </row>
    <row r="8539" spans="1:10" ht="13.2">
      <c r="A8539" s="7">
        <v>8538</v>
      </c>
      <c r="B8539" s="7">
        <v>1</v>
      </c>
      <c r="C8539" s="7" t="s">
        <v>10</v>
      </c>
      <c r="D8539" s="7">
        <v>10470</v>
      </c>
      <c r="E8539" s="7" t="s">
        <v>28</v>
      </c>
      <c r="F8539" s="8" t="str">
        <f ca="1">IFERROR(__xludf.DUMMYFUNCTION("IF
(
C8540=""фізична особа""
,
VLOOKUP(D8540,IMPORTRANGE(""https://docs.google.com/spreadsheets/d/14Bd19lYaqBhU8_DElYkX7l4wRkHqqCUFNJY4AfY3kHU/edit?usp=sharing  #gid=0"",""фіз особи new!relations_name""),6,FALSE)
,
(IF
(
C8540=""юридична особа""
,
VLOOKUP"&amp;"(D8540,IMPORTRANGE(""https://docs.google.com/spreadsheets/d/14Bd19lYaqBhU8_DElYkX7l4wRkHqqCUFNJY4AfY3kHU/edit?usp=sharing  #gid=0"",""фіз особи new!relations_name_uo""),7,FALSE)
,
)
))"),"МЕДВЕДЄВ Сергій Миколайович")</f>
        <v>МЕДВЕДЄВ Сергій Миколайович</v>
      </c>
      <c r="G8539" s="7" t="s">
        <v>10</v>
      </c>
      <c r="H8539" s="7">
        <v>1697</v>
      </c>
      <c r="I8539" s="8" t="str">
        <f ca="1">IFERROR(__xludf.DUMMYFUNCTION("IF
(
G8540=""фізична особа""
,
VLOOKUP(H8540,IMPORTRANGE(""https://docs.google.com/spreadsheets/d/14Bd19lYaqBhU8_DElYkX7l4wRkHqqCUFNJY4AfY3kHU/edit?usp=sharing  #gid=0"",""фіз особи new!relations_name""),6,FALSE)
,
(IF
(
G8540=""юридична особа""
,
VLOOKUP"&amp;"(H8540,IMPORTRANGE(""https://docs.google.com/spreadsheets/d/14Bd19lYaqBhU8_DElYkX7l4wRkHqqCUFNJY4AfY3kHU/edit?usp=sharing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39" s="7" t="s">
        <v>29</v>
      </c>
    </row>
    <row r="8540" spans="1:10" ht="13.2">
      <c r="A8540" s="7">
        <v>8539</v>
      </c>
      <c r="B8540" s="7">
        <v>1</v>
      </c>
      <c r="C8540" s="7" t="s">
        <v>10</v>
      </c>
      <c r="D8540" s="7">
        <v>10471</v>
      </c>
      <c r="E8540" s="7" t="s">
        <v>28</v>
      </c>
      <c r="F8540" s="8" t="str">
        <f ca="1">IFERROR(__xludf.DUMMYFUNCTION("IF
(
C8541=""фізична особа""
,
VLOOKUP(D8541,IMPORTRANGE(""https://docs.google.com/spreadsheets/d/14Bd19lYaqBhU8_DElYkX7l4wRkHqqCUFNJY4AfY3kHU/edit?usp=sharing  #gid=0"",""фіз особи new!relations_name""),6,FALSE)
,
(IF
(
C8541=""юридична особа""
,
VLOOKUP"&amp;"(D8541,IMPORTRANGE(""https://docs.google.com/spreadsheets/d/14Bd19lYaqBhU8_DElYkX7l4wRkHqqCUFNJY4AfY3kHU/edit?usp=sharing  #gid=0"",""фіз особи new!relations_name_uo""),7,FALSE)
,
)
))"),"СВИРИДЕНКО Олексій Володимирович")</f>
        <v>СВИРИДЕНКО Олексій Володимирович</v>
      </c>
      <c r="G8540" s="7" t="s">
        <v>10</v>
      </c>
      <c r="H8540" s="7">
        <v>1697</v>
      </c>
      <c r="I8540" s="8" t="str">
        <f ca="1">IFERROR(__xludf.DUMMYFUNCTION("IF
(
G8541=""фізична особа""
,
VLOOKUP(H8541,IMPORTRANGE(""https://docs.google.com/spreadsheets/d/14Bd19lYaqBhU8_DElYkX7l4wRkHqqCUFNJY4AfY3kHU/edit?usp=sharing  #gid=0"",""фіз особи new!relations_name""),6,FALSE)
,
(IF
(
G8541=""юридична особа""
,
VLOOKUP"&amp;"(H8541,IMPORTRANGE(""https://docs.google.com/spreadsheets/d/14Bd19lYaqBhU8_DElYkX7l4wRkHqqCUFNJY4AfY3kHU/edit?usp=sharing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40" s="7" t="s">
        <v>29</v>
      </c>
    </row>
    <row r="8541" spans="1:10" ht="13.2">
      <c r="A8541" s="7">
        <v>8540</v>
      </c>
      <c r="B8541" s="7">
        <v>1</v>
      </c>
      <c r="C8541" s="7" t="s">
        <v>10</v>
      </c>
      <c r="D8541" s="7">
        <v>10472</v>
      </c>
      <c r="E8541" s="7" t="s">
        <v>28</v>
      </c>
      <c r="F8541" s="8" t="str">
        <f ca="1">IFERROR(__xludf.DUMMYFUNCTION("IF
(
C8542=""фізична особа""
,
VLOOKUP(D8542,IMPORTRANGE(""https://docs.google.com/spreadsheets/d/14Bd19lYaqBhU8_DElYkX7l4wRkHqqCUFNJY4AfY3kHU/edit?usp=sharing  #gid=0"",""фіз особи new!relations_name""),6,FALSE)
,
(IF
(
C8542=""юридична особа""
,
VLOOKUP"&amp;"(D8542,IMPORTRANGE(""https://docs.google.com/spreadsheets/d/14Bd19lYaqBhU8_DElYkX7l4wRkHqqCUFNJY4AfY3kHU/edit?usp=sharing  #gid=0"",""фіз особи new!relations_name_uo""),7,FALSE)
,
)
))"),"ТАРАСЕНКО Дмитро Юрійович")</f>
        <v>ТАРАСЕНКО Дмитро Юрійович</v>
      </c>
      <c r="G8541" s="7" t="s">
        <v>10</v>
      </c>
      <c r="H8541" s="7">
        <v>1697</v>
      </c>
      <c r="I8541" s="8" t="str">
        <f ca="1">IFERROR(__xludf.DUMMYFUNCTION("IF
(
G8542=""фізична особа""
,
VLOOKUP(H8542,IMPORTRANGE(""https://docs.google.com/spreadsheets/d/14Bd19lYaqBhU8_DElYkX7l4wRkHqqCUFNJY4AfY3kHU/edit?usp=sharing  #gid=0"",""фіз особи new!relations_name""),6,FALSE)
,
(IF
(
G8542=""юридична особа""
,
VLOOKUP"&amp;"(H8542,IMPORTRANGE(""https://docs.google.com/spreadsheets/d/14Bd19lYaqBhU8_DElYkX7l4wRkHqqCUFNJY4AfY3kHU/edit?usp=sharing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41" s="7" t="s">
        <v>29</v>
      </c>
    </row>
    <row r="8542" spans="1:10" ht="13.2">
      <c r="A8542" s="7">
        <v>8541</v>
      </c>
      <c r="B8542" s="7">
        <v>1</v>
      </c>
      <c r="C8542" s="7" t="s">
        <v>10</v>
      </c>
      <c r="D8542" s="7">
        <v>10473</v>
      </c>
      <c r="E8542" s="7" t="s">
        <v>28</v>
      </c>
      <c r="F8542" s="8" t="str">
        <f ca="1">IFERROR(__xludf.DUMMYFUNCTION("IF
(
C8543=""фізична особа""
,
VLOOKUP(D8543,IMPORTRANGE(""https://docs.google.com/spreadsheets/d/14Bd19lYaqBhU8_DElYkX7l4wRkHqqCUFNJY4AfY3kHU/edit?usp=sharing  #gid=0"",""фіз особи new!relations_name""),6,FALSE)
,
(IF
(
C8543=""юридична особа""
,
VLOOKUP"&amp;"(D8543,IMPORTRANGE(""https://docs.google.com/spreadsheets/d/14Bd19lYaqBhU8_DElYkX7l4wRkHqqCUFNJY4AfY3kHU/edit?usp=sharing  #gid=0"",""фіз особи new!relations_name_uo""),7,FALSE)
,
)
))"),"МІНДОВ Олег Васильович")</f>
        <v>МІНДОВ Олег Васильович</v>
      </c>
      <c r="G8542" s="7" t="s">
        <v>10</v>
      </c>
      <c r="H8542" s="7">
        <v>1697</v>
      </c>
      <c r="I8542" s="8" t="str">
        <f ca="1">IFERROR(__xludf.DUMMYFUNCTION("IF
(
G8543=""фізична особа""
,
VLOOKUP(H8543,IMPORTRANGE(""https://docs.google.com/spreadsheets/d/14Bd19lYaqBhU8_DElYkX7l4wRkHqqCUFNJY4AfY3kHU/edit?usp=sharing  #gid=0"",""фіз особи new!relations_name""),6,FALSE)
,
(IF
(
G8543=""юридична особа""
,
VLOOKUP"&amp;"(H8543,IMPORTRANGE(""https://docs.google.com/spreadsheets/d/14Bd19lYaqBhU8_DElYkX7l4wRkHqqCUFNJY4AfY3kHU/edit?usp=sharing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42" s="7" t="s">
        <v>29</v>
      </c>
    </row>
    <row r="8543" spans="1:10" ht="13.2">
      <c r="A8543" s="7">
        <v>8542</v>
      </c>
      <c r="B8543" s="7">
        <v>1</v>
      </c>
      <c r="C8543" s="7" t="s">
        <v>10</v>
      </c>
      <c r="D8543" s="7">
        <v>10474</v>
      </c>
      <c r="E8543" s="7" t="s">
        <v>28</v>
      </c>
      <c r="F8543" s="8" t="str">
        <f ca="1">IFERROR(__xludf.DUMMYFUNCTION("IF
(
C8544=""фізична особа""
,
VLOOKUP(D8544,IMPORTRANGE(""https://docs.google.com/spreadsheets/d/14Bd19lYaqBhU8_DElYkX7l4wRkHqqCUFNJY4AfY3kHU/edit?usp=sharing  #gid=0"",""фіз особи new!relations_name""),6,FALSE)
,
(IF
(
C8544=""юридична особа""
,
VLOOKUP"&amp;"(D8544,IMPORTRANGE(""https://docs.google.com/spreadsheets/d/14Bd19lYaqBhU8_DElYkX7l4wRkHqqCUFNJY4AfY3kHU/edit?usp=sharing  #gid=0"",""фіз особи new!relations_name_uo""),7,FALSE)
,
)
))"),"КОВАЛЬ Вадим Віталійович")</f>
        <v>КОВАЛЬ Вадим Віталійович</v>
      </c>
      <c r="G8543" s="7" t="s">
        <v>10</v>
      </c>
      <c r="H8543" s="7">
        <v>1697</v>
      </c>
      <c r="I8543" s="8" t="str">
        <f ca="1">IFERROR(__xludf.DUMMYFUNCTION("IF
(
G8544=""фізична особа""
,
VLOOKUP(H8544,IMPORTRANGE(""https://docs.google.com/spreadsheets/d/14Bd19lYaqBhU8_DElYkX7l4wRkHqqCUFNJY4AfY3kHU/edit?usp=sharing  #gid=0"",""фіз особи new!relations_name""),6,FALSE)
,
(IF
(
G8544=""юридична особа""
,
VLOOKUP"&amp;"(H8544,IMPORTRANGE(""https://docs.google.com/spreadsheets/d/14Bd19lYaqBhU8_DElYkX7l4wRkHqqCUFNJY4AfY3kHU/edit?usp=sharing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543" s="7" t="s">
        <v>29</v>
      </c>
    </row>
    <row r="8544" spans="1:10" ht="13.2">
      <c r="A8544" s="7">
        <v>8543</v>
      </c>
      <c r="B8544" s="7">
        <v>1</v>
      </c>
      <c r="C8544" s="7" t="s">
        <v>10</v>
      </c>
      <c r="D8544" s="7">
        <v>10475</v>
      </c>
      <c r="E8544" s="7" t="s">
        <v>28</v>
      </c>
      <c r="F8544" s="8" t="str">
        <f ca="1">IFERROR(__xludf.DUMMYFUNCTION("IF
(
C8545=""фізична особа""
,
VLOOKUP(D8545,IMPORTRANGE(""https://docs.google.com/spreadsheets/d/14Bd19lYaqBhU8_DElYkX7l4wRkHqqCUFNJY4AfY3kHU/edit?usp=sharing  #gid=0"",""фіз особи new!relations_name""),6,FALSE)
,
(IF
(
C8545=""юридична особа""
,
VLOOKUP"&amp;"(D8545,IMPORTRANGE(""https://docs.google.com/spreadsheets/d/14Bd19lYaqBhU8_DElYkX7l4wRkHqqCUFNJY4AfY3kHU/edit?usp=sharing  #gid=0"",""фіз особи new!relations_name_uo""),7,FALSE)
,
)
))"),"ВАСИЛЬЄВ Микола Леонідович")</f>
        <v>ВАСИЛЬЄВ Микола Леонідович</v>
      </c>
      <c r="G8544" s="7" t="s">
        <v>10</v>
      </c>
      <c r="H8544" s="7">
        <v>2969</v>
      </c>
      <c r="I8544" s="8" t="str">
        <f ca="1">IFERROR(__xludf.DUMMYFUNCTION("IF
(
G8545=""фізична особа""
,
VLOOKUP(H8545,IMPORTRANGE(""https://docs.google.com/spreadsheets/d/14Bd19lYaqBhU8_DElYkX7l4wRkHqqCUFNJY4AfY3kHU/edit?usp=sharing  #gid=0"",""фіз особи new!relations_name""),6,FALSE)
,
(IF
(
G8545=""юридична особа""
,
VLOOKUP"&amp;"(H8545,IMPORTRANGE(""https://docs.google.com/spreadsheets/d/14Bd19lYaqBhU8_DElYkX7l4wRkHqqCUFNJY4AfY3kHU/edit?usp=sharing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44" s="7" t="s">
        <v>29</v>
      </c>
    </row>
    <row r="8545" spans="1:10" ht="13.2">
      <c r="A8545" s="7">
        <v>8544</v>
      </c>
      <c r="B8545" s="7">
        <v>1</v>
      </c>
      <c r="C8545" s="7" t="s">
        <v>10</v>
      </c>
      <c r="D8545" s="7">
        <v>10476</v>
      </c>
      <c r="E8545" s="7" t="s">
        <v>28</v>
      </c>
      <c r="F8545" s="8" t="str">
        <f ca="1">IFERROR(__xludf.DUMMYFUNCTION("IF
(
C8546=""фізична особа""
,
VLOOKUP(D8546,IMPORTRANGE(""https://docs.google.com/spreadsheets/d/14Bd19lYaqBhU8_DElYkX7l4wRkHqqCUFNJY4AfY3kHU/edit?usp=sharing  #gid=0"",""фіз особи new!relations_name""),6,FALSE)
,
(IF
(
C8546=""юридична особа""
,
VLOOKUP"&amp;"(D8546,IMPORTRANGE(""https://docs.google.com/spreadsheets/d/14Bd19lYaqBhU8_DElYkX7l4wRkHqqCUFNJY4AfY3kHU/edit?usp=sharing  #gid=0"",""фіз особи new!relations_name_uo""),7,FALSE)
,
)
))"),"ЩУГОРЄВ Андрій Володимирович")</f>
        <v>ЩУГОРЄВ Андрій Володимирович</v>
      </c>
      <c r="G8545" s="7" t="s">
        <v>10</v>
      </c>
      <c r="H8545" s="7">
        <v>2969</v>
      </c>
      <c r="I8545" s="8" t="str">
        <f ca="1">IFERROR(__xludf.DUMMYFUNCTION("IF
(
G8546=""фізична особа""
,
VLOOKUP(H8546,IMPORTRANGE(""https://docs.google.com/spreadsheets/d/14Bd19lYaqBhU8_DElYkX7l4wRkHqqCUFNJY4AfY3kHU/edit?usp=sharing  #gid=0"",""фіз особи new!relations_name""),6,FALSE)
,
(IF
(
G8546=""юридична особа""
,
VLOOKUP"&amp;"(H8546,IMPORTRANGE(""https://docs.google.com/spreadsheets/d/14Bd19lYaqBhU8_DElYkX7l4wRkHqqCUFNJY4AfY3kHU/edit?usp=sharing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45" s="7" t="s">
        <v>29</v>
      </c>
    </row>
    <row r="8546" spans="1:10" ht="13.2">
      <c r="A8546" s="7">
        <v>8545</v>
      </c>
      <c r="B8546" s="7">
        <v>1</v>
      </c>
      <c r="C8546" s="7" t="s">
        <v>10</v>
      </c>
      <c r="D8546" s="7">
        <v>10477</v>
      </c>
      <c r="E8546" s="7" t="s">
        <v>28</v>
      </c>
      <c r="F8546" s="8" t="str">
        <f ca="1">IFERROR(__xludf.DUMMYFUNCTION("IF
(
C8547=""фізична особа""
,
VLOOKUP(D8547,IMPORTRANGE(""https://docs.google.com/spreadsheets/d/14Bd19lYaqBhU8_DElYkX7l4wRkHqqCUFNJY4AfY3kHU/edit?usp=sharing  #gid=0"",""фіз особи new!relations_name""),6,FALSE)
,
(IF
(
C8547=""юридична особа""
,
VLOOKUP"&amp;"(D8547,IMPORTRANGE(""https://docs.google.com/spreadsheets/d/14Bd19lYaqBhU8_DElYkX7l4wRkHqqCUFNJY4AfY3kHU/edit?usp=sharing  #gid=0"",""фіз особи new!relations_name_uo""),7,FALSE)
,
)
))"),"КАРАСЬОВ Дмитро В'ячеславович")</f>
        <v>КАРАСЬОВ Дмитро В'ячеславович</v>
      </c>
      <c r="G8546" s="7" t="s">
        <v>10</v>
      </c>
      <c r="H8546" s="7">
        <v>2969</v>
      </c>
      <c r="I8546" s="8" t="str">
        <f ca="1">IFERROR(__xludf.DUMMYFUNCTION("IF
(
G8547=""фізична особа""
,
VLOOKUP(H8547,IMPORTRANGE(""https://docs.google.com/spreadsheets/d/14Bd19lYaqBhU8_DElYkX7l4wRkHqqCUFNJY4AfY3kHU/edit?usp=sharing  #gid=0"",""фіз особи new!relations_name""),6,FALSE)
,
(IF
(
G8547=""юридична особа""
,
VLOOKUP"&amp;"(H8547,IMPORTRANGE(""https://docs.google.com/spreadsheets/d/14Bd19lYaqBhU8_DElYkX7l4wRkHqqCUFNJY4AfY3kHU/edit?usp=sharing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46" s="7" t="s">
        <v>29</v>
      </c>
    </row>
    <row r="8547" spans="1:10" ht="13.2">
      <c r="A8547" s="7">
        <v>8546</v>
      </c>
      <c r="B8547" s="7">
        <v>1</v>
      </c>
      <c r="C8547" s="7" t="s">
        <v>10</v>
      </c>
      <c r="D8547" s="7">
        <v>10478</v>
      </c>
      <c r="E8547" s="7" t="s">
        <v>28</v>
      </c>
      <c r="F8547" s="8" t="str">
        <f ca="1">IFERROR(__xludf.DUMMYFUNCTION("IF
(
C8548=""фізична особа""
,
VLOOKUP(D8548,IMPORTRANGE(""https://docs.google.com/spreadsheets/d/14Bd19lYaqBhU8_DElYkX7l4wRkHqqCUFNJY4AfY3kHU/edit?usp=sharing  #gid=0"",""фіз особи new!relations_name""),6,FALSE)
,
(IF
(
C8548=""юридична особа""
,
VLOOKUP"&amp;"(D8548,IMPORTRANGE(""https://docs.google.com/spreadsheets/d/14Bd19lYaqBhU8_DElYkX7l4wRkHqqCUFNJY4AfY3kHU/edit?usp=sharing  #gid=0"",""фіз особи new!relations_name_uo""),7,FALSE)
,
)
))"),"ВЄТРОВА Ірина Вікторівна")</f>
        <v>ВЄТРОВА Ірина Вікторівна</v>
      </c>
      <c r="G8547" s="7" t="s">
        <v>10</v>
      </c>
      <c r="H8547" s="7">
        <v>2969</v>
      </c>
      <c r="I8547" s="8" t="str">
        <f ca="1">IFERROR(__xludf.DUMMYFUNCTION("IF
(
G8548=""фізична особа""
,
VLOOKUP(H8548,IMPORTRANGE(""https://docs.google.com/spreadsheets/d/14Bd19lYaqBhU8_DElYkX7l4wRkHqqCUFNJY4AfY3kHU/edit?usp=sharing  #gid=0"",""фіз особи new!relations_name""),6,FALSE)
,
(IF
(
G8548=""юридична особа""
,
VLOOKUP"&amp;"(H8548,IMPORTRANGE(""https://docs.google.com/spreadsheets/d/14Bd19lYaqBhU8_DElYkX7l4wRkHqqCUFNJY4AfY3kHU/edit?usp=sharing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47" s="7" t="s">
        <v>29</v>
      </c>
    </row>
    <row r="8548" spans="1:10" ht="13.2">
      <c r="A8548" s="7">
        <v>8547</v>
      </c>
      <c r="B8548" s="7">
        <v>1</v>
      </c>
      <c r="C8548" s="7" t="s">
        <v>10</v>
      </c>
      <c r="D8548" s="7">
        <v>10479</v>
      </c>
      <c r="E8548" s="7" t="s">
        <v>28</v>
      </c>
      <c r="F8548" s="8" t="str">
        <f ca="1">IFERROR(__xludf.DUMMYFUNCTION("IF
(
C8549=""фізична особа""
,
VLOOKUP(D8549,IMPORTRANGE(""https://docs.google.com/spreadsheets/d/14Bd19lYaqBhU8_DElYkX7l4wRkHqqCUFNJY4AfY3kHU/edit?usp=sharing  #gid=0"",""фіз особи new!relations_name""),6,FALSE)
,
(IF
(
C8549=""юридична особа""
,
VLOOKUP"&amp;"(D8549,IMPORTRANGE(""https://docs.google.com/spreadsheets/d/14Bd19lYaqBhU8_DElYkX7l4wRkHqqCUFNJY4AfY3kHU/edit?usp=sharing  #gid=0"",""фіз особи new!relations_name_uo""),7,FALSE)
,
)
))"),"БАБЕНКО Микола Миколайович")</f>
        <v>БАБЕНКО Микола Миколайович</v>
      </c>
      <c r="G8548" s="7" t="s">
        <v>10</v>
      </c>
      <c r="H8548" s="7">
        <v>2969</v>
      </c>
      <c r="I8548" s="8" t="str">
        <f ca="1">IFERROR(__xludf.DUMMYFUNCTION("IF
(
G8549=""фізична особа""
,
VLOOKUP(H8549,IMPORTRANGE(""https://docs.google.com/spreadsheets/d/14Bd19lYaqBhU8_DElYkX7l4wRkHqqCUFNJY4AfY3kHU/edit?usp=sharing  #gid=0"",""фіз особи new!relations_name""),6,FALSE)
,
(IF
(
G8549=""юридична особа""
,
VLOOKUP"&amp;"(H8549,IMPORTRANGE(""https://docs.google.com/spreadsheets/d/14Bd19lYaqBhU8_DElYkX7l4wRkHqqCUFNJY4AfY3kHU/edit?usp=sharing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48" s="7" t="s">
        <v>29</v>
      </c>
    </row>
    <row r="8549" spans="1:10" ht="13.2">
      <c r="A8549" s="7">
        <v>8548</v>
      </c>
      <c r="B8549" s="7">
        <v>1</v>
      </c>
      <c r="C8549" s="7" t="s">
        <v>10</v>
      </c>
      <c r="D8549" s="7">
        <v>10479</v>
      </c>
      <c r="E8549" s="7" t="s">
        <v>28</v>
      </c>
      <c r="F8549" s="8" t="str">
        <f ca="1">IFERROR(__xludf.DUMMYFUNCTION("IF
(
C8550=""фізична особа""
,
VLOOKUP(D8550,IMPORTRANGE(""https://docs.google.com/spreadsheets/d/14Bd19lYaqBhU8_DElYkX7l4wRkHqqCUFNJY4AfY3kHU/edit?usp=sharing  #gid=0"",""фіз особи new!relations_name""),6,FALSE)
,
(IF
(
C8550=""юридична особа""
,
VLOOKUP"&amp;"(D8550,IMPORTRANGE(""https://docs.google.com/spreadsheets/d/14Bd19lYaqBhU8_DElYkX7l4wRkHqqCUFNJY4AfY3kHU/edit?usp=sharing  #gid=0"",""фіз особи new!relations_name_uo""),7,FALSE)
,
)
))"),"БАБЕНКО Микола Миколайович")</f>
        <v>БАБЕНКО Микола Миколайович</v>
      </c>
      <c r="G8549" s="7" t="s">
        <v>10</v>
      </c>
      <c r="H8549" s="7">
        <v>10478</v>
      </c>
      <c r="I8549" s="8" t="str">
        <f ca="1">IFERROR(__xludf.DUMMYFUNCTION("IF
(
G8550=""фізична особа""
,
VLOOKUP(H8550,IMPORTRANGE(""https://docs.google.com/spreadsheets/d/14Bd19lYaqBhU8_DElYkX7l4wRkHqqCUFNJY4AfY3kHU/edit?usp=sharing  #gid=0"",""фіз особи new!relations_name""),6,FALSE)
,
(IF
(
G8550=""юридична особа""
,
VLOOKUP"&amp;"(H8550,IMPORTRANGE(""https://docs.google.com/spreadsheets/d/14Bd19lYaqBhU8_DElYkX7l4wRkHqqCUFNJY4AfY3kHU/edit?usp=sharing  #gid=0"",""фіз особи new!relations_name_uo""),7,FALSE)
,
)
))"),"ВЄТРОВА Ірина Вікторівна")</f>
        <v>ВЄТРОВА Ірина Вікторівна</v>
      </c>
      <c r="J8549" s="7" t="s">
        <v>29</v>
      </c>
    </row>
    <row r="8550" spans="1:10" ht="13.2">
      <c r="A8550" s="7">
        <v>8549</v>
      </c>
      <c r="B8550" s="7">
        <v>1</v>
      </c>
      <c r="C8550" s="7" t="s">
        <v>10</v>
      </c>
      <c r="D8550" s="7">
        <v>10480</v>
      </c>
      <c r="E8550" s="7" t="s">
        <v>28</v>
      </c>
      <c r="F8550" s="8" t="str">
        <f ca="1">IFERROR(__xludf.DUMMYFUNCTION("IF
(
C8551=""фізична особа""
,
VLOOKUP(D8551,IMPORTRANGE(""https://docs.google.com/spreadsheets/d/14Bd19lYaqBhU8_DElYkX7l4wRkHqqCUFNJY4AfY3kHU/edit?usp=sharing  #gid=0"",""фіз особи new!relations_name""),6,FALSE)
,
(IF
(
C8551=""юридична особа""
,
VLOOKUP"&amp;"(D8551,IMPORTRANGE(""https://docs.google.com/spreadsheets/d/14Bd19lYaqBhU8_DElYkX7l4wRkHqqCUFNJY4AfY3kHU/edit?usp=sharing  #gid=0"",""фіз особи new!relations_name_uo""),7,FALSE)
,
)
))"),"ЛІВАДНА Юлія Олександрівна")</f>
        <v>ЛІВАДНА Юлія Олександрівна</v>
      </c>
      <c r="G8550" s="7" t="s">
        <v>10</v>
      </c>
      <c r="H8550" s="7">
        <v>2969</v>
      </c>
      <c r="I8550" s="8" t="str">
        <f ca="1">IFERROR(__xludf.DUMMYFUNCTION("IF
(
G8551=""фізична особа""
,
VLOOKUP(H8551,IMPORTRANGE(""https://docs.google.com/spreadsheets/d/14Bd19lYaqBhU8_DElYkX7l4wRkHqqCUFNJY4AfY3kHU/edit?usp=sharing  #gid=0"",""фіз особи new!relations_name""),6,FALSE)
,
(IF
(
G8551=""юридична особа""
,
VLOOKUP"&amp;"(H8551,IMPORTRANGE(""https://docs.google.com/spreadsheets/d/14Bd19lYaqBhU8_DElYkX7l4wRkHqqCUFNJY4AfY3kHU/edit?usp=sharing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0" s="7" t="s">
        <v>29</v>
      </c>
    </row>
    <row r="8551" spans="1:10" ht="13.2">
      <c r="A8551" s="7">
        <v>8550</v>
      </c>
      <c r="B8551" s="7">
        <v>1</v>
      </c>
      <c r="C8551" s="7" t="s">
        <v>10</v>
      </c>
      <c r="D8551" s="7">
        <v>10480</v>
      </c>
      <c r="E8551" s="7" t="s">
        <v>28</v>
      </c>
      <c r="F8551" s="8" t="str">
        <f ca="1">IFERROR(__xludf.DUMMYFUNCTION("IF
(
C8552=""фізична особа""
,
VLOOKUP(D8552,IMPORTRANGE(""https://docs.google.com/spreadsheets/d/14Bd19lYaqBhU8_DElYkX7l4wRkHqqCUFNJY4AfY3kHU/edit?usp=sharing  #gid=0"",""фіз особи new!relations_name""),6,FALSE)
,
(IF
(
C8552=""юридична особа""
,
VLOOKUP"&amp;"(D8552,IMPORTRANGE(""https://docs.google.com/spreadsheets/d/14Bd19lYaqBhU8_DElYkX7l4wRkHqqCUFNJY4AfY3kHU/edit?usp=sharing  #gid=0"",""фіз особи new!relations_name_uo""),7,FALSE)
,
)
))"),"ЛІВАДНА Юлія Олександрівна")</f>
        <v>ЛІВАДНА Юлія Олександрівна</v>
      </c>
      <c r="G8551" s="7" t="s">
        <v>10</v>
      </c>
      <c r="H8551" s="7">
        <v>10478</v>
      </c>
      <c r="I8551" s="8" t="str">
        <f ca="1">IFERROR(__xludf.DUMMYFUNCTION("IF
(
G8552=""фізична особа""
,
VLOOKUP(H8552,IMPORTRANGE(""https://docs.google.com/spreadsheets/d/14Bd19lYaqBhU8_DElYkX7l4wRkHqqCUFNJY4AfY3kHU/edit?usp=sharing  #gid=0"",""фіз особи new!relations_name""),6,FALSE)
,
(IF
(
G8552=""юридична особа""
,
VLOOKUP"&amp;"(H8552,IMPORTRANGE(""https://docs.google.com/spreadsheets/d/14Bd19lYaqBhU8_DElYkX7l4wRkHqqCUFNJY4AfY3kHU/edit?usp=sharing  #gid=0"",""фіз особи new!relations_name_uo""),7,FALSE)
,
)
))"),"ВЄТРОВА Ірина Вікторівна")</f>
        <v>ВЄТРОВА Ірина Вікторівна</v>
      </c>
      <c r="J8551" s="7" t="s">
        <v>29</v>
      </c>
    </row>
    <row r="8552" spans="1:10" ht="13.2">
      <c r="A8552" s="7">
        <v>8551</v>
      </c>
      <c r="B8552" s="7">
        <v>1</v>
      </c>
      <c r="C8552" s="7" t="s">
        <v>10</v>
      </c>
      <c r="D8552" s="7">
        <v>10481</v>
      </c>
      <c r="E8552" s="7" t="s">
        <v>28</v>
      </c>
      <c r="F8552" s="8" t="str">
        <f ca="1">IFERROR(__xludf.DUMMYFUNCTION("IF
(
C8553=""фізична особа""
,
VLOOKUP(D8553,IMPORTRANGE(""https://docs.google.com/spreadsheets/d/14Bd19lYaqBhU8_DElYkX7l4wRkHqqCUFNJY4AfY3kHU/edit?usp=sharing  #gid=0"",""фіз особи new!relations_name""),6,FALSE)
,
(IF
(
C8553=""юридична особа""
,
VLOOKUP"&amp;"(D8553,IMPORTRANGE(""https://docs.google.com/spreadsheets/d/14Bd19lYaqBhU8_DElYkX7l4wRkHqqCUFNJY4AfY3kHU/edit?usp=sharing  #gid=0"",""фіз особи new!relations_name_uo""),7,FALSE)
,
)
))"),"ГОРОДНИЧА Надія Миколаївна")</f>
        <v>ГОРОДНИЧА Надія Миколаївна</v>
      </c>
      <c r="G8552" s="7" t="s">
        <v>10</v>
      </c>
      <c r="H8552" s="7">
        <v>2969</v>
      </c>
      <c r="I8552" s="8" t="str">
        <f ca="1">IFERROR(__xludf.DUMMYFUNCTION("IF
(
G8553=""фізична особа""
,
VLOOKUP(H8553,IMPORTRANGE(""https://docs.google.com/spreadsheets/d/14Bd19lYaqBhU8_DElYkX7l4wRkHqqCUFNJY4AfY3kHU/edit?usp=sharing  #gid=0"",""фіз особи new!relations_name""),6,FALSE)
,
(IF
(
G8553=""юридична особа""
,
VLOOKUP"&amp;"(H8553,IMPORTRANGE(""https://docs.google.com/spreadsheets/d/14Bd19lYaqBhU8_DElYkX7l4wRkHqqCUFNJY4AfY3kHU/edit?usp=sharing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2" s="7" t="s">
        <v>29</v>
      </c>
    </row>
    <row r="8553" spans="1:10" ht="13.2">
      <c r="A8553" s="7">
        <v>8552</v>
      </c>
      <c r="B8553" s="7">
        <v>1</v>
      </c>
      <c r="C8553" s="7" t="s">
        <v>10</v>
      </c>
      <c r="D8553" s="7">
        <v>10482</v>
      </c>
      <c r="E8553" s="7" t="s">
        <v>28</v>
      </c>
      <c r="F8553" s="8" t="str">
        <f ca="1">IFERROR(__xludf.DUMMYFUNCTION("IF
(
C8554=""фізична особа""
,
VLOOKUP(D8554,IMPORTRANGE(""https://docs.google.com/spreadsheets/d/14Bd19lYaqBhU8_DElYkX7l4wRkHqqCUFNJY4AfY3kHU/edit?usp=sharing  #gid=0"",""фіз особи new!relations_name""),6,FALSE)
,
(IF
(
C8554=""юридична особа""
,
VLOOKUP"&amp;"(D8554,IMPORTRANGE(""https://docs.google.com/spreadsheets/d/14Bd19lYaqBhU8_DElYkX7l4wRkHqqCUFNJY4AfY3kHU/edit?usp=sharing  #gid=0"",""фіз особи new!relations_name_uo""),7,FALSE)
,
)
))"),"ЄРЕМЕНКО Тетяна Ігорівна")</f>
        <v>ЄРЕМЕНКО Тетяна Ігорівна</v>
      </c>
      <c r="G8553" s="7" t="s">
        <v>10</v>
      </c>
      <c r="H8553" s="7">
        <v>2969</v>
      </c>
      <c r="I8553" s="8" t="str">
        <f ca="1">IFERROR(__xludf.DUMMYFUNCTION("IF
(
G8554=""фізична особа""
,
VLOOKUP(H8554,IMPORTRANGE(""https://docs.google.com/spreadsheets/d/14Bd19lYaqBhU8_DElYkX7l4wRkHqqCUFNJY4AfY3kHU/edit?usp=sharing  #gid=0"",""фіз особи new!relations_name""),6,FALSE)
,
(IF
(
G8554=""юридична особа""
,
VLOOKUP"&amp;"(H8554,IMPORTRANGE(""https://docs.google.com/spreadsheets/d/14Bd19lYaqBhU8_DElYkX7l4wRkHqqCUFNJY4AfY3kHU/edit?usp=sharing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3" s="7" t="s">
        <v>29</v>
      </c>
    </row>
    <row r="8554" spans="1:10" ht="13.2">
      <c r="A8554" s="7">
        <v>8553</v>
      </c>
      <c r="B8554" s="7">
        <v>1</v>
      </c>
      <c r="C8554" s="7" t="s">
        <v>10</v>
      </c>
      <c r="D8554" s="7">
        <v>10482</v>
      </c>
      <c r="E8554" s="7" t="s">
        <v>28</v>
      </c>
      <c r="F8554" s="8" t="str">
        <f ca="1">IFERROR(__xludf.DUMMYFUNCTION("IF
(
C8555=""фізична особа""
,
VLOOKUP(D8555,IMPORTRANGE(""https://docs.google.com/spreadsheets/d/14Bd19lYaqBhU8_DElYkX7l4wRkHqqCUFNJY4AfY3kHU/edit?usp=sharing  #gid=0"",""фіз особи new!relations_name""),6,FALSE)
,
(IF
(
C8555=""юридична особа""
,
VLOOKUP"&amp;"(D8555,IMPORTRANGE(""https://docs.google.com/spreadsheets/d/14Bd19lYaqBhU8_DElYkX7l4wRkHqqCUFNJY4AfY3kHU/edit?usp=sharing  #gid=0"",""фіз особи new!relations_name_uo""),7,FALSE)
,
)
))"),"ЄРЕМЕНКО Тетяна Ігорівна")</f>
        <v>ЄРЕМЕНКО Тетяна Ігорівна</v>
      </c>
      <c r="G8554" s="7" t="s">
        <v>10</v>
      </c>
      <c r="H8554" s="7">
        <v>10481</v>
      </c>
      <c r="I8554" s="8" t="str">
        <f ca="1">IFERROR(__xludf.DUMMYFUNCTION("IF
(
G8555=""фізична особа""
,
VLOOKUP(H8555,IMPORTRANGE(""https://docs.google.com/spreadsheets/d/14Bd19lYaqBhU8_DElYkX7l4wRkHqqCUFNJY4AfY3kHU/edit?usp=sharing  #gid=0"",""фіз особи new!relations_name""),6,FALSE)
,
(IF
(
G8555=""юридична особа""
,
VLOOKUP"&amp;"(H8555,IMPORTRANGE(""https://docs.google.com/spreadsheets/d/14Bd19lYaqBhU8_DElYkX7l4wRkHqqCUFNJY4AfY3kHU/edit?usp=sharing  #gid=0"",""фіз особи new!relations_name_uo""),7,FALSE)
,
)
))"),"ГОРОДНИЧА Надія Миколаївна")</f>
        <v>ГОРОДНИЧА Надія Миколаївна</v>
      </c>
      <c r="J8554" s="7" t="s">
        <v>29</v>
      </c>
    </row>
    <row r="8555" spans="1:10" ht="13.2">
      <c r="A8555" s="7">
        <v>8554</v>
      </c>
      <c r="B8555" s="7">
        <v>1</v>
      </c>
      <c r="C8555" s="7" t="s">
        <v>10</v>
      </c>
      <c r="D8555" s="7">
        <v>10483</v>
      </c>
      <c r="E8555" s="7" t="s">
        <v>28</v>
      </c>
      <c r="F8555" s="8" t="str">
        <f ca="1">IFERROR(__xludf.DUMMYFUNCTION("IF
(
C8556=""фізична особа""
,
VLOOKUP(D8556,IMPORTRANGE(""https://docs.google.com/spreadsheets/d/14Bd19lYaqBhU8_DElYkX7l4wRkHqqCUFNJY4AfY3kHU/edit?usp=sharing  #gid=0"",""фіз особи new!relations_name""),6,FALSE)
,
(IF
(
C8556=""юридична особа""
,
VLOOKUP"&amp;"(D8556,IMPORTRANGE(""https://docs.google.com/spreadsheets/d/14Bd19lYaqBhU8_DElYkX7l4wRkHqqCUFNJY4AfY3kHU/edit?usp=sharing  #gid=0"",""фіз особи new!relations_name_uo""),7,FALSE)
,
)
))"),"ДЕМЕНІШИН Андрій Віталійович")</f>
        <v>ДЕМЕНІШИН Андрій Віталійович</v>
      </c>
      <c r="G8555" s="7" t="s">
        <v>10</v>
      </c>
      <c r="H8555" s="7">
        <v>2969</v>
      </c>
      <c r="I8555" s="8" t="str">
        <f ca="1">IFERROR(__xludf.DUMMYFUNCTION("IF
(
G8556=""фізична особа""
,
VLOOKUP(H8556,IMPORTRANGE(""https://docs.google.com/spreadsheets/d/14Bd19lYaqBhU8_DElYkX7l4wRkHqqCUFNJY4AfY3kHU/edit?usp=sharing  #gid=0"",""фіз особи new!relations_name""),6,FALSE)
,
(IF
(
G8556=""юридична особа""
,
VLOOKUP"&amp;"(H8556,IMPORTRANGE(""https://docs.google.com/spreadsheets/d/14Bd19lYaqBhU8_DElYkX7l4wRkHqqCUFNJY4AfY3kHU/edit?usp=sharing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5" s="7" t="s">
        <v>29</v>
      </c>
    </row>
    <row r="8556" spans="1:10" ht="13.2">
      <c r="A8556" s="7">
        <v>8555</v>
      </c>
      <c r="B8556" s="7">
        <v>1</v>
      </c>
      <c r="C8556" s="7" t="s">
        <v>10</v>
      </c>
      <c r="D8556" s="7">
        <v>10483</v>
      </c>
      <c r="E8556" s="7" t="s">
        <v>28</v>
      </c>
      <c r="F8556" s="8" t="str">
        <f ca="1">IFERROR(__xludf.DUMMYFUNCTION("IF
(
C8557=""фізична особа""
,
VLOOKUP(D8557,IMPORTRANGE(""https://docs.google.com/spreadsheets/d/14Bd19lYaqBhU8_DElYkX7l4wRkHqqCUFNJY4AfY3kHU/edit?usp=sharing  #gid=0"",""фіз особи new!relations_name""),6,FALSE)
,
(IF
(
C8557=""юридична особа""
,
VLOOKUP"&amp;"(D8557,IMPORTRANGE(""https://docs.google.com/spreadsheets/d/14Bd19lYaqBhU8_DElYkX7l4wRkHqqCUFNJY4AfY3kHU/edit?usp=sharing  #gid=0"",""фіз особи new!relations_name_uo""),7,FALSE)
,
)
))"),"ДЕМЕНІШИН Андрій Віталійович")</f>
        <v>ДЕМЕНІШИН Андрій Віталійович</v>
      </c>
      <c r="G8556" s="7" t="s">
        <v>10</v>
      </c>
      <c r="H8556" s="7">
        <v>10481</v>
      </c>
      <c r="I8556" s="8" t="str">
        <f ca="1">IFERROR(__xludf.DUMMYFUNCTION("IF
(
G8557=""фізична особа""
,
VLOOKUP(H8557,IMPORTRANGE(""https://docs.google.com/spreadsheets/d/14Bd19lYaqBhU8_DElYkX7l4wRkHqqCUFNJY4AfY3kHU/edit?usp=sharing  #gid=0"",""фіз особи new!relations_name""),6,FALSE)
,
(IF
(
G8557=""юридична особа""
,
VLOOKUP"&amp;"(H8557,IMPORTRANGE(""https://docs.google.com/spreadsheets/d/14Bd19lYaqBhU8_DElYkX7l4wRkHqqCUFNJY4AfY3kHU/edit?usp=sharing  #gid=0"",""фіз особи new!relations_name_uo""),7,FALSE)
,
)
))"),"ГОРОДНИЧА Надія Миколаївна")</f>
        <v>ГОРОДНИЧА Надія Миколаївна</v>
      </c>
      <c r="J8556" s="7" t="s">
        <v>29</v>
      </c>
    </row>
    <row r="8557" spans="1:10" ht="13.2">
      <c r="A8557" s="7">
        <v>8556</v>
      </c>
      <c r="B8557" s="7">
        <v>1</v>
      </c>
      <c r="C8557" s="7" t="s">
        <v>10</v>
      </c>
      <c r="D8557" s="7">
        <v>10484</v>
      </c>
      <c r="E8557" s="7" t="s">
        <v>28</v>
      </c>
      <c r="F8557" s="8" t="str">
        <f ca="1">IFERROR(__xludf.DUMMYFUNCTION("IF
(
C8558=""фізична особа""
,
VLOOKUP(D8558,IMPORTRANGE(""https://docs.google.com/spreadsheets/d/14Bd19lYaqBhU8_DElYkX7l4wRkHqqCUFNJY4AfY3kHU/edit?usp=sharing  #gid=0"",""фіз особи new!relations_name""),6,FALSE)
,
(IF
(
C8558=""юридична особа""
,
VLOOKUP"&amp;"(D8558,IMPORTRANGE(""https://docs.google.com/spreadsheets/d/14Bd19lYaqBhU8_DElYkX7l4wRkHqqCUFNJY4AfY3kHU/edit?usp=sharing  #gid=0"",""фіз особи new!relations_name_uo""),7,FALSE)
,
)
))"),"РУБЕНОК Микола Ісаєвич")</f>
        <v>РУБЕНОК Микола Ісаєвич</v>
      </c>
      <c r="G8557" s="7" t="s">
        <v>10</v>
      </c>
      <c r="H8557" s="7">
        <v>2969</v>
      </c>
      <c r="I8557" s="8" t="str">
        <f ca="1">IFERROR(__xludf.DUMMYFUNCTION("IF
(
G8558=""фізична особа""
,
VLOOKUP(H8558,IMPORTRANGE(""https://docs.google.com/spreadsheets/d/14Bd19lYaqBhU8_DElYkX7l4wRkHqqCUFNJY4AfY3kHU/edit?usp=sharing  #gid=0"",""фіз особи new!relations_name""),6,FALSE)
,
(IF
(
G8558=""юридична особа""
,
VLOOKUP"&amp;"(H8558,IMPORTRANGE(""https://docs.google.com/spreadsheets/d/14Bd19lYaqBhU8_DElYkX7l4wRkHqqCUFNJY4AfY3kHU/edit?usp=sharing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7" s="7" t="s">
        <v>29</v>
      </c>
    </row>
    <row r="8558" spans="1:10" ht="13.2">
      <c r="A8558" s="7">
        <v>8557</v>
      </c>
      <c r="B8558" s="7">
        <v>1</v>
      </c>
      <c r="C8558" s="7" t="s">
        <v>10</v>
      </c>
      <c r="D8558" s="7">
        <v>10484</v>
      </c>
      <c r="E8558" s="7" t="s">
        <v>28</v>
      </c>
      <c r="F8558" s="8" t="str">
        <f ca="1">IFERROR(__xludf.DUMMYFUNCTION("IF
(
C8559=""фізична особа""
,
VLOOKUP(D8559,IMPORTRANGE(""https://docs.google.com/spreadsheets/d/14Bd19lYaqBhU8_DElYkX7l4wRkHqqCUFNJY4AfY3kHU/edit?usp=sharing  #gid=0"",""фіз особи new!relations_name""),6,FALSE)
,
(IF
(
C8559=""юридична особа""
,
VLOOKUP"&amp;"(D8559,IMPORTRANGE(""https://docs.google.com/spreadsheets/d/14Bd19lYaqBhU8_DElYkX7l4wRkHqqCUFNJY4AfY3kHU/edit?usp=sharing  #gid=0"",""фіз особи new!relations_name_uo""),7,FALSE)
,
)
))"),"РУБЕНОК Микола Ісаєвич")</f>
        <v>РУБЕНОК Микола Ісаєвич</v>
      </c>
      <c r="G8558" s="7" t="s">
        <v>10</v>
      </c>
      <c r="H8558" s="7">
        <v>10481</v>
      </c>
      <c r="I8558" s="8" t="str">
        <f ca="1">IFERROR(__xludf.DUMMYFUNCTION("IF
(
G8559=""фізична особа""
,
VLOOKUP(H8559,IMPORTRANGE(""https://docs.google.com/spreadsheets/d/14Bd19lYaqBhU8_DElYkX7l4wRkHqqCUFNJY4AfY3kHU/edit?usp=sharing  #gid=0"",""фіз особи new!relations_name""),6,FALSE)
,
(IF
(
G8559=""юридична особа""
,
VLOOKUP"&amp;"(H8559,IMPORTRANGE(""https://docs.google.com/spreadsheets/d/14Bd19lYaqBhU8_DElYkX7l4wRkHqqCUFNJY4AfY3kHU/edit?usp=sharing  #gid=0"",""фіз особи new!relations_name_uo""),7,FALSE)
,
)
))"),"ГОРОДНИЧА Надія Миколаївна")</f>
        <v>ГОРОДНИЧА Надія Миколаївна</v>
      </c>
      <c r="J8558" s="7" t="s">
        <v>29</v>
      </c>
    </row>
    <row r="8559" spans="1:10" ht="13.2">
      <c r="A8559" s="7">
        <v>8558</v>
      </c>
      <c r="B8559" s="7">
        <v>1</v>
      </c>
      <c r="C8559" s="7" t="s">
        <v>10</v>
      </c>
      <c r="D8559" s="7">
        <v>10485</v>
      </c>
      <c r="E8559" s="7" t="s">
        <v>28</v>
      </c>
      <c r="F8559" s="8" t="str">
        <f ca="1">IFERROR(__xludf.DUMMYFUNCTION("IF
(
C8560=""фізична особа""
,
VLOOKUP(D8560,IMPORTRANGE(""https://docs.google.com/spreadsheets/d/14Bd19lYaqBhU8_DElYkX7l4wRkHqqCUFNJY4AfY3kHU/edit?usp=sharing  #gid=0"",""фіз особи new!relations_name""),6,FALSE)
,
(IF
(
C8560=""юридична особа""
,
VLOOKUP"&amp;"(D8560,IMPORTRANGE(""https://docs.google.com/spreadsheets/d/14Bd19lYaqBhU8_DElYkX7l4wRkHqqCUFNJY4AfY3kHU/edit?usp=sharing  #gid=0"",""фіз особи new!relations_name_uo""),7,FALSE)
,
)
))"),"ДОДІНА Олена Анатоліївна")</f>
        <v>ДОДІНА Олена Анатоліївна</v>
      </c>
      <c r="G8559" s="7" t="s">
        <v>10</v>
      </c>
      <c r="H8559" s="7">
        <v>2969</v>
      </c>
      <c r="I8559" s="8" t="str">
        <f ca="1">IFERROR(__xludf.DUMMYFUNCTION("IF
(
G8560=""фізична особа""
,
VLOOKUP(H8560,IMPORTRANGE(""https://docs.google.com/spreadsheets/d/14Bd19lYaqBhU8_DElYkX7l4wRkHqqCUFNJY4AfY3kHU/edit?usp=sharing  #gid=0"",""фіз особи new!relations_name""),6,FALSE)
,
(IF
(
G8560=""юридична особа""
,
VLOOKUP"&amp;"(H8560,IMPORTRANGE(""https://docs.google.com/spreadsheets/d/14Bd19lYaqBhU8_DElYkX7l4wRkHqqCUFNJY4AfY3kHU/edit?usp=sharing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59" s="7" t="s">
        <v>29</v>
      </c>
    </row>
    <row r="8560" spans="1:10" ht="13.2">
      <c r="A8560" s="7">
        <v>8559</v>
      </c>
      <c r="B8560" s="7">
        <v>1</v>
      </c>
      <c r="C8560" s="7" t="s">
        <v>10</v>
      </c>
      <c r="D8560" s="7">
        <v>10486</v>
      </c>
      <c r="E8560" s="7" t="s">
        <v>28</v>
      </c>
      <c r="F8560" s="8" t="str">
        <f ca="1">IFERROR(__xludf.DUMMYFUNCTION("IF
(
C8561=""фізична особа""
,
VLOOKUP(D8561,IMPORTRANGE(""https://docs.google.com/spreadsheets/d/14Bd19lYaqBhU8_DElYkX7l4wRkHqqCUFNJY4AfY3kHU/edit?usp=sharing  #gid=0"",""фіз особи new!relations_name""),6,FALSE)
,
(IF
(
C8561=""юридична особа""
,
VLOOKUP"&amp;"(D8561,IMPORTRANGE(""https://docs.google.com/spreadsheets/d/14Bd19lYaqBhU8_DElYkX7l4wRkHqqCUFNJY4AfY3kHU/edit?usp=sharing  #gid=0"",""фіз особи new!relations_name_uo""),7,FALSE)
,
)
))"),"ШМІДКО Андрій Володимирович")</f>
        <v>ШМІДКО Андрій Володимирович</v>
      </c>
      <c r="G8560" s="7" t="s">
        <v>10</v>
      </c>
      <c r="H8560" s="7">
        <v>2969</v>
      </c>
      <c r="I8560" s="8" t="str">
        <f ca="1">IFERROR(__xludf.DUMMYFUNCTION("IF
(
G8561=""фізична особа""
,
VLOOKUP(H8561,IMPORTRANGE(""https://docs.google.com/spreadsheets/d/14Bd19lYaqBhU8_DElYkX7l4wRkHqqCUFNJY4AfY3kHU/edit?usp=sharing  #gid=0"",""фіз особи new!relations_name""),6,FALSE)
,
(IF
(
G8561=""юридична особа""
,
VLOOKUP"&amp;"(H8561,IMPORTRANGE(""https://docs.google.com/spreadsheets/d/14Bd19lYaqBhU8_DElYkX7l4wRkHqqCUFNJY4AfY3kHU/edit?usp=sharing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0" s="7" t="s">
        <v>29</v>
      </c>
    </row>
    <row r="8561" spans="1:10" ht="13.2">
      <c r="A8561" s="7">
        <v>8560</v>
      </c>
      <c r="B8561" s="7">
        <v>1</v>
      </c>
      <c r="C8561" s="7" t="s">
        <v>10</v>
      </c>
      <c r="D8561" s="7">
        <v>10487</v>
      </c>
      <c r="E8561" s="7" t="s">
        <v>28</v>
      </c>
      <c r="F8561" s="8" t="str">
        <f ca="1">IFERROR(__xludf.DUMMYFUNCTION("IF
(
C8562=""фізична особа""
,
VLOOKUP(D8562,IMPORTRANGE(""https://docs.google.com/spreadsheets/d/14Bd19lYaqBhU8_DElYkX7l4wRkHqqCUFNJY4AfY3kHU/edit?usp=sharing  #gid=0"",""фіз особи new!relations_name""),6,FALSE)
,
(IF
(
C8562=""юридична особа""
,
VLOOKUP"&amp;"(D8562,IMPORTRANGE(""https://docs.google.com/spreadsheets/d/14Bd19lYaqBhU8_DElYkX7l4wRkHqqCUFNJY4AfY3kHU/edit?usp=sharing  #gid=0"",""фіз особи new!relations_name_uo""),7,FALSE)
,
)
))"),"ТРЕТЬЯКОВ В'ячеслав Миколайович")</f>
        <v>ТРЕТЬЯКОВ В'ячеслав Миколайович</v>
      </c>
      <c r="G8561" s="7" t="s">
        <v>10</v>
      </c>
      <c r="H8561" s="7">
        <v>2969</v>
      </c>
      <c r="I8561" s="8" t="str">
        <f ca="1">IFERROR(__xludf.DUMMYFUNCTION("IF
(
G8562=""фізична особа""
,
VLOOKUP(H8562,IMPORTRANGE(""https://docs.google.com/spreadsheets/d/14Bd19lYaqBhU8_DElYkX7l4wRkHqqCUFNJY4AfY3kHU/edit?usp=sharing  #gid=0"",""фіз особи new!relations_name""),6,FALSE)
,
(IF
(
G8562=""юридична особа""
,
VLOOKUP"&amp;"(H8562,IMPORTRANGE(""https://docs.google.com/spreadsheets/d/14Bd19lYaqBhU8_DElYkX7l4wRkHqqCUFNJY4AfY3kHU/edit?usp=sharing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1" s="7" t="s">
        <v>29</v>
      </c>
    </row>
    <row r="8562" spans="1:10" ht="13.2">
      <c r="A8562" s="7">
        <v>8561</v>
      </c>
      <c r="B8562" s="7">
        <v>1</v>
      </c>
      <c r="C8562" s="7" t="s">
        <v>10</v>
      </c>
      <c r="D8562" s="7">
        <v>10487</v>
      </c>
      <c r="E8562" s="7" t="s">
        <v>28</v>
      </c>
      <c r="F8562" s="8" t="str">
        <f ca="1">IFERROR(__xludf.DUMMYFUNCTION("IF
(
C8563=""фізична особа""
,
VLOOKUP(D8563,IMPORTRANGE(""https://docs.google.com/spreadsheets/d/14Bd19lYaqBhU8_DElYkX7l4wRkHqqCUFNJY4AfY3kHU/edit?usp=sharing  #gid=0"",""фіз особи new!relations_name""),6,FALSE)
,
(IF
(
C8563=""юридична особа""
,
VLOOKUP"&amp;"(D8563,IMPORTRANGE(""https://docs.google.com/spreadsheets/d/14Bd19lYaqBhU8_DElYkX7l4wRkHqqCUFNJY4AfY3kHU/edit?usp=sharing  #gid=0"",""фіз особи new!relations_name_uo""),7,FALSE)
,
)
))"),"ТРЕТЬЯКОВ В'ячеслав Миколайович")</f>
        <v>ТРЕТЬЯКОВ В'ячеслав Миколайович</v>
      </c>
      <c r="G8562" s="7" t="s">
        <v>10</v>
      </c>
      <c r="H8562" s="7">
        <v>10486</v>
      </c>
      <c r="I8562" s="8" t="str">
        <f ca="1">IFERROR(__xludf.DUMMYFUNCTION("IF
(
G8563=""фізична особа""
,
VLOOKUP(H8563,IMPORTRANGE(""https://docs.google.com/spreadsheets/d/14Bd19lYaqBhU8_DElYkX7l4wRkHqqCUFNJY4AfY3kHU/edit?usp=sharing  #gid=0"",""фіз особи new!relations_name""),6,FALSE)
,
(IF
(
G8563=""юридична особа""
,
VLOOKUP"&amp;"(H8563,IMPORTRANGE(""https://docs.google.com/spreadsheets/d/14Bd19lYaqBhU8_DElYkX7l4wRkHqqCUFNJY4AfY3kHU/edit?usp=sharing  #gid=0"",""фіз особи new!relations_name_uo""),7,FALSE)
,
)
))"),"ШМІДКО Андрій Володимирович")</f>
        <v>ШМІДКО Андрій Володимирович</v>
      </c>
      <c r="J8562" s="7" t="s">
        <v>29</v>
      </c>
    </row>
    <row r="8563" spans="1:10" ht="13.2">
      <c r="A8563" s="7">
        <v>8562</v>
      </c>
      <c r="B8563" s="7">
        <v>1</v>
      </c>
      <c r="C8563" s="7" t="s">
        <v>10</v>
      </c>
      <c r="D8563" s="7">
        <v>10488</v>
      </c>
      <c r="E8563" s="7" t="s">
        <v>28</v>
      </c>
      <c r="F8563" s="8" t="str">
        <f ca="1">IFERROR(__xludf.DUMMYFUNCTION("IF
(
C8564=""фізична особа""
,
VLOOKUP(D8564,IMPORTRANGE(""https://docs.google.com/spreadsheets/d/14Bd19lYaqBhU8_DElYkX7l4wRkHqqCUFNJY4AfY3kHU/edit?usp=sharing  #gid=0"",""фіз особи new!relations_name""),6,FALSE)
,
(IF
(
C8564=""юридична особа""
,
VLOOKUP"&amp;"(D8564,IMPORTRANGE(""https://docs.google.com/spreadsheets/d/14Bd19lYaqBhU8_DElYkX7l4wRkHqqCUFNJY4AfY3kHU/edit?usp=sharing  #gid=0"",""фіз особи new!relations_name_uo""),7,FALSE)
,
)
))"),"МИХАЛЬОВА Ірина Володимирівна")</f>
        <v>МИХАЛЬОВА Ірина Володимирівна</v>
      </c>
      <c r="G8563" s="7" t="s">
        <v>10</v>
      </c>
      <c r="H8563" s="7">
        <v>2969</v>
      </c>
      <c r="I8563" s="8" t="str">
        <f ca="1">IFERROR(__xludf.DUMMYFUNCTION("IF
(
G8564=""фізична особа""
,
VLOOKUP(H8564,IMPORTRANGE(""https://docs.google.com/spreadsheets/d/14Bd19lYaqBhU8_DElYkX7l4wRkHqqCUFNJY4AfY3kHU/edit?usp=sharing  #gid=0"",""фіз особи new!relations_name""),6,FALSE)
,
(IF
(
G8564=""юридична особа""
,
VLOOKUP"&amp;"(H8564,IMPORTRANGE(""https://docs.google.com/spreadsheets/d/14Bd19lYaqBhU8_DElYkX7l4wRkHqqCUFNJY4AfY3kHU/edit?usp=sharing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3" s="7" t="s">
        <v>29</v>
      </c>
    </row>
    <row r="8564" spans="1:10" ht="13.2">
      <c r="A8564" s="7">
        <v>8563</v>
      </c>
      <c r="B8564" s="7">
        <v>1</v>
      </c>
      <c r="C8564" s="7" t="s">
        <v>10</v>
      </c>
      <c r="D8564" s="7">
        <v>10488</v>
      </c>
      <c r="E8564" s="7" t="s">
        <v>28</v>
      </c>
      <c r="F8564" s="8" t="str">
        <f ca="1">IFERROR(__xludf.DUMMYFUNCTION("IF
(
C8565=""фізична особа""
,
VLOOKUP(D8565,IMPORTRANGE(""https://docs.google.com/spreadsheets/d/14Bd19lYaqBhU8_DElYkX7l4wRkHqqCUFNJY4AfY3kHU/edit?usp=sharing  #gid=0"",""фіз особи new!relations_name""),6,FALSE)
,
(IF
(
C8565=""юридична особа""
,
VLOOKUP"&amp;"(D8565,IMPORTRANGE(""https://docs.google.com/spreadsheets/d/14Bd19lYaqBhU8_DElYkX7l4wRkHqqCUFNJY4AfY3kHU/edit?usp=sharing  #gid=0"",""фіз особи new!relations_name_uo""),7,FALSE)
,
)
))"),"МИХАЛЬОВА Ірина Володимирівна")</f>
        <v>МИХАЛЬОВА Ірина Володимирівна</v>
      </c>
      <c r="G8564" s="7" t="s">
        <v>10</v>
      </c>
      <c r="H8564" s="7">
        <v>10486</v>
      </c>
      <c r="I8564" s="8" t="str">
        <f ca="1">IFERROR(__xludf.DUMMYFUNCTION("IF
(
G8565=""фізична особа""
,
VLOOKUP(H8565,IMPORTRANGE(""https://docs.google.com/spreadsheets/d/14Bd19lYaqBhU8_DElYkX7l4wRkHqqCUFNJY4AfY3kHU/edit?usp=sharing  #gid=0"",""фіз особи new!relations_name""),6,FALSE)
,
(IF
(
G8565=""юридична особа""
,
VLOOKUP"&amp;"(H8565,IMPORTRANGE(""https://docs.google.com/spreadsheets/d/14Bd19lYaqBhU8_DElYkX7l4wRkHqqCUFNJY4AfY3kHU/edit?usp=sharing  #gid=0"",""фіз особи new!relations_name_uo""),7,FALSE)
,
)
))"),"ШМІДКО Андрій Володимирович")</f>
        <v>ШМІДКО Андрій Володимирович</v>
      </c>
      <c r="J8564" s="7" t="s">
        <v>29</v>
      </c>
    </row>
    <row r="8565" spans="1:10" ht="13.2">
      <c r="A8565" s="7">
        <v>8564</v>
      </c>
      <c r="B8565" s="7">
        <v>1</v>
      </c>
      <c r="C8565" s="7" t="s">
        <v>10</v>
      </c>
      <c r="D8565" s="7">
        <v>10489</v>
      </c>
      <c r="E8565" s="7" t="s">
        <v>28</v>
      </c>
      <c r="F8565" s="8" t="str">
        <f ca="1">IFERROR(__xludf.DUMMYFUNCTION("IF
(
C8566=""фізична особа""
,
VLOOKUP(D8566,IMPORTRANGE(""https://docs.google.com/spreadsheets/d/14Bd19lYaqBhU8_DElYkX7l4wRkHqqCUFNJY4AfY3kHU/edit?usp=sharing  #gid=0"",""фіз особи new!relations_name""),6,FALSE)
,
(IF
(
C8566=""юридична особа""
,
VLOOKUP"&amp;"(D8566,IMPORTRANGE(""https://docs.google.com/spreadsheets/d/14Bd19lYaqBhU8_DElYkX7l4wRkHqqCUFNJY4AfY3kHU/edit?usp=sharing  #gid=0"",""фіз особи new!relations_name_uo""),7,FALSE)
,
)
))"),"КОРОБКОВА Олена Олексіївна")</f>
        <v>КОРОБКОВА Олена Олексіївна</v>
      </c>
      <c r="G8565" s="7" t="s">
        <v>10</v>
      </c>
      <c r="H8565" s="7">
        <v>2969</v>
      </c>
      <c r="I8565" s="8" t="str">
        <f ca="1">IFERROR(__xludf.DUMMYFUNCTION("IF
(
G8566=""фізична особа""
,
VLOOKUP(H8566,IMPORTRANGE(""https://docs.google.com/spreadsheets/d/14Bd19lYaqBhU8_DElYkX7l4wRkHqqCUFNJY4AfY3kHU/edit?usp=sharing  #gid=0"",""фіз особи new!relations_name""),6,FALSE)
,
(IF
(
G8566=""юридична особа""
,
VLOOKUP"&amp;"(H8566,IMPORTRANGE(""https://docs.google.com/spreadsheets/d/14Bd19lYaqBhU8_DElYkX7l4wRkHqqCUFNJY4AfY3kHU/edit?usp=sharing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5" s="7" t="s">
        <v>29</v>
      </c>
    </row>
    <row r="8566" spans="1:10" ht="13.2">
      <c r="A8566" s="7">
        <v>8565</v>
      </c>
      <c r="B8566" s="7">
        <v>1</v>
      </c>
      <c r="C8566" s="7" t="s">
        <v>10</v>
      </c>
      <c r="D8566" s="7">
        <v>10490</v>
      </c>
      <c r="E8566" s="7" t="s">
        <v>28</v>
      </c>
      <c r="F8566" s="8" t="str">
        <f ca="1">IFERROR(__xludf.DUMMYFUNCTION("IF
(
C8567=""фізична особа""
,
VLOOKUP(D8567,IMPORTRANGE(""https://docs.google.com/spreadsheets/d/14Bd19lYaqBhU8_DElYkX7l4wRkHqqCUFNJY4AfY3kHU/edit?usp=sharing  #gid=0"",""фіз особи new!relations_name""),6,FALSE)
,
(IF
(
C8567=""юридична особа""
,
VLOOKUP"&amp;"(D8567,IMPORTRANGE(""https://docs.google.com/spreadsheets/d/14Bd19lYaqBhU8_DElYkX7l4wRkHqqCUFNJY4AfY3kHU/edit?usp=sharing  #gid=0"",""фіз особи new!relations_name_uo""),7,FALSE)
,
)
))"),"ВЕДІНЯПІН Ігор Вікторович")</f>
        <v>ВЕДІНЯПІН Ігор Вікторович</v>
      </c>
      <c r="G8566" s="7" t="s">
        <v>10</v>
      </c>
      <c r="H8566" s="7">
        <v>2969</v>
      </c>
      <c r="I8566" s="8" t="str">
        <f ca="1">IFERROR(__xludf.DUMMYFUNCTION("IF
(
G8567=""фізична особа""
,
VLOOKUP(H8567,IMPORTRANGE(""https://docs.google.com/spreadsheets/d/14Bd19lYaqBhU8_DElYkX7l4wRkHqqCUFNJY4AfY3kHU/edit?usp=sharing  #gid=0"",""фіз особи new!relations_name""),6,FALSE)
,
(IF
(
G8567=""юридична особа""
,
VLOOKUP"&amp;"(H8567,IMPORTRANGE(""https://docs.google.com/spreadsheets/d/14Bd19lYaqBhU8_DElYkX7l4wRkHqqCUFNJY4AfY3kHU/edit?usp=sharing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6" s="7" t="s">
        <v>29</v>
      </c>
    </row>
    <row r="8567" spans="1:10" ht="13.2">
      <c r="A8567" s="7">
        <v>8566</v>
      </c>
      <c r="B8567" s="7">
        <v>1</v>
      </c>
      <c r="C8567" s="7" t="s">
        <v>10</v>
      </c>
      <c r="D8567" s="7">
        <v>10491</v>
      </c>
      <c r="E8567" s="7" t="s">
        <v>28</v>
      </c>
      <c r="F8567" s="8" t="str">
        <f ca="1">IFERROR(__xludf.DUMMYFUNCTION("IF
(
C8568=""фізична особа""
,
VLOOKUP(D8568,IMPORTRANGE(""https://docs.google.com/spreadsheets/d/14Bd19lYaqBhU8_DElYkX7l4wRkHqqCUFNJY4AfY3kHU/edit?usp=sharing  #gid=0"",""фіз особи new!relations_name""),6,FALSE)
,
(IF
(
C8568=""юридична особа""
,
VLOOKUP"&amp;"(D8568,IMPORTRANGE(""https://docs.google.com/spreadsheets/d/14Bd19lYaqBhU8_DElYkX7l4wRkHqqCUFNJY4AfY3kHU/edit?usp=sharing  #gid=0"",""фіз особи new!relations_name_uo""),7,FALSE)
,
)
))"),"КУЛАГІН Ігор Анатолійович")</f>
        <v>КУЛАГІН Ігор Анатолійович</v>
      </c>
      <c r="G8567" s="7" t="s">
        <v>10</v>
      </c>
      <c r="H8567" s="7">
        <v>2969</v>
      </c>
      <c r="I8567" s="8" t="str">
        <f ca="1">IFERROR(__xludf.DUMMYFUNCTION("IF
(
G8568=""фізична особа""
,
VLOOKUP(H8568,IMPORTRANGE(""https://docs.google.com/spreadsheets/d/14Bd19lYaqBhU8_DElYkX7l4wRkHqqCUFNJY4AfY3kHU/edit?usp=sharing  #gid=0"",""фіз особи new!relations_name""),6,FALSE)
,
(IF
(
G8568=""юридична особа""
,
VLOOKUP"&amp;"(H8568,IMPORTRANGE(""https://docs.google.com/spreadsheets/d/14Bd19lYaqBhU8_DElYkX7l4wRkHqqCUFNJY4AfY3kHU/edit?usp=sharing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7" s="7" t="s">
        <v>29</v>
      </c>
    </row>
    <row r="8568" spans="1:10" ht="13.2">
      <c r="A8568" s="7">
        <v>8567</v>
      </c>
      <c r="B8568" s="7">
        <v>1</v>
      </c>
      <c r="C8568" s="7" t="s">
        <v>10</v>
      </c>
      <c r="D8568" s="7">
        <v>10492</v>
      </c>
      <c r="E8568" s="7" t="s">
        <v>28</v>
      </c>
      <c r="F8568" s="8" t="str">
        <f ca="1">IFERROR(__xludf.DUMMYFUNCTION("IF
(
C8569=""фізична особа""
,
VLOOKUP(D8569,IMPORTRANGE(""https://docs.google.com/spreadsheets/d/14Bd19lYaqBhU8_DElYkX7l4wRkHqqCUFNJY4AfY3kHU/edit?usp=sharing  #gid=0"",""фіз особи new!relations_name""),6,FALSE)
,
(IF
(
C8569=""юридична особа""
,
VLOOKUP"&amp;"(D8569,IMPORTRANGE(""https://docs.google.com/spreadsheets/d/14Bd19lYaqBhU8_DElYkX7l4wRkHqqCUFNJY4AfY3kHU/edit?usp=sharing  #gid=0"",""фіз особи new!relations_name_uo""),7,FALSE)
,
)
))"),"КЛІМОВ Олексій Миколайович")</f>
        <v>КЛІМОВ Олексій Миколайович</v>
      </c>
      <c r="G8568" s="7" t="s">
        <v>10</v>
      </c>
      <c r="H8568" s="7">
        <v>2969</v>
      </c>
      <c r="I8568" s="8" t="str">
        <f ca="1">IFERROR(__xludf.DUMMYFUNCTION("IF
(
G8569=""фізична особа""
,
VLOOKUP(H8569,IMPORTRANGE(""https://docs.google.com/spreadsheets/d/14Bd19lYaqBhU8_DElYkX7l4wRkHqqCUFNJY4AfY3kHU/edit?usp=sharing  #gid=0"",""фіз особи new!relations_name""),6,FALSE)
,
(IF
(
G8569=""юридична особа""
,
VLOOKUP"&amp;"(H8569,IMPORTRANGE(""https://docs.google.com/spreadsheets/d/14Bd19lYaqBhU8_DElYkX7l4wRkHqqCUFNJY4AfY3kHU/edit?usp=sharing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68" s="7" t="s">
        <v>29</v>
      </c>
    </row>
    <row r="8569" spans="1:10" ht="13.2">
      <c r="A8569" s="7">
        <v>8568</v>
      </c>
      <c r="B8569" s="7">
        <v>1</v>
      </c>
      <c r="C8569" s="7" t="s">
        <v>10</v>
      </c>
      <c r="D8569" s="7">
        <v>10492</v>
      </c>
      <c r="E8569" s="7" t="s">
        <v>28</v>
      </c>
      <c r="F8569" s="8" t="str">
        <f ca="1">IFERROR(__xludf.DUMMYFUNCTION("IF
(
C8570=""фізична особа""
,
VLOOKUP(D8570,IMPORTRANGE(""https://docs.google.com/spreadsheets/d/14Bd19lYaqBhU8_DElYkX7l4wRkHqqCUFNJY4AfY3kHU/edit?usp=sharing  #gid=0"",""фіз особи new!relations_name""),6,FALSE)
,
(IF
(
C8570=""юридична особа""
,
VLOOKUP"&amp;"(D8570,IMPORTRANGE(""https://docs.google.com/spreadsheets/d/14Bd19lYaqBhU8_DElYkX7l4wRkHqqCUFNJY4AfY3kHU/edit?usp=sharing  #gid=0"",""фіз особи new!relations_name_uo""),7,FALSE)
,
)
))"),"КЛІМОВ Олексій Миколайович")</f>
        <v>КЛІМОВ Олексій Миколайович</v>
      </c>
      <c r="G8569" s="7" t="s">
        <v>10</v>
      </c>
      <c r="H8569" s="7">
        <v>10491</v>
      </c>
      <c r="I8569" s="8" t="str">
        <f ca="1">IFERROR(__xludf.DUMMYFUNCTION("IF
(
G8570=""фізична особа""
,
VLOOKUP(H8570,IMPORTRANGE(""https://docs.google.com/spreadsheets/d/14Bd19lYaqBhU8_DElYkX7l4wRkHqqCUFNJY4AfY3kHU/edit?usp=sharing  #gid=0"",""фіз особи new!relations_name""),6,FALSE)
,
(IF
(
G8570=""юридична особа""
,
VLOOKUP"&amp;"(H8570,IMPORTRANGE(""https://docs.google.com/spreadsheets/d/14Bd19lYaqBhU8_DElYkX7l4wRkHqqCUFNJY4AfY3kHU/edit?usp=sharing  #gid=0"",""фіз особи new!relations_name_uo""),7,FALSE)
,
)
))"),"КУЛАГІН Ігор Анатолійович")</f>
        <v>КУЛАГІН Ігор Анатолійович</v>
      </c>
      <c r="J8569" s="7" t="s">
        <v>29</v>
      </c>
    </row>
    <row r="8570" spans="1:10" ht="13.2">
      <c r="A8570" s="7">
        <v>8569</v>
      </c>
      <c r="B8570" s="7">
        <v>1</v>
      </c>
      <c r="C8570" s="7" t="s">
        <v>10</v>
      </c>
      <c r="D8570" s="7">
        <v>10493</v>
      </c>
      <c r="E8570" s="7" t="s">
        <v>28</v>
      </c>
      <c r="F8570" s="8" t="str">
        <f ca="1">IFERROR(__xludf.DUMMYFUNCTION("IF
(
C8571=""фізична особа""
,
VLOOKUP(D8571,IMPORTRANGE(""https://docs.google.com/spreadsheets/d/14Bd19lYaqBhU8_DElYkX7l4wRkHqqCUFNJY4AfY3kHU/edit?usp=sharing  #gid=0"",""фіз особи new!relations_name""),6,FALSE)
,
(IF
(
C8571=""юридична особа""
,
VLOOKUP"&amp;"(D8571,IMPORTRANGE(""https://docs.google.com/spreadsheets/d/14Bd19lYaqBhU8_DElYkX7l4wRkHqqCUFNJY4AfY3kHU/edit?usp=sharing  #gid=0"",""фіз особи new!relations_name_uo""),7,FALSE)
,
)
))"),"ШЛЯХОВ Олександр Володимирович")</f>
        <v>ШЛЯХОВ Олександр Володимирович</v>
      </c>
      <c r="G8570" s="7" t="s">
        <v>10</v>
      </c>
      <c r="H8570" s="7">
        <v>2969</v>
      </c>
      <c r="I8570" s="8" t="str">
        <f ca="1">IFERROR(__xludf.DUMMYFUNCTION("IF
(
G8571=""фізична особа""
,
VLOOKUP(H8571,IMPORTRANGE(""https://docs.google.com/spreadsheets/d/14Bd19lYaqBhU8_DElYkX7l4wRkHqqCUFNJY4AfY3kHU/edit?usp=sharing  #gid=0"",""фіз особи new!relations_name""),6,FALSE)
,
(IF
(
G8571=""юридична особа""
,
VLOOKUP"&amp;"(H8571,IMPORTRANGE(""https://docs.google.com/spreadsheets/d/14Bd19lYaqBhU8_DElYkX7l4wRkHqqCUFNJY4AfY3kHU/edit?usp=sharing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0" s="7" t="s">
        <v>29</v>
      </c>
    </row>
    <row r="8571" spans="1:10" ht="13.2">
      <c r="A8571" s="7">
        <v>8570</v>
      </c>
      <c r="B8571" s="7">
        <v>1</v>
      </c>
      <c r="C8571" s="7" t="s">
        <v>10</v>
      </c>
      <c r="D8571" s="7">
        <v>10494</v>
      </c>
      <c r="E8571" s="7" t="s">
        <v>28</v>
      </c>
      <c r="F8571" s="8" t="str">
        <f ca="1">IFERROR(__xludf.DUMMYFUNCTION("IF
(
C8572=""фізична особа""
,
VLOOKUP(D8572,IMPORTRANGE(""https://docs.google.com/spreadsheets/d/14Bd19lYaqBhU8_DElYkX7l4wRkHqqCUFNJY4AfY3kHU/edit?usp=sharing  #gid=0"",""фіз особи new!relations_name""),6,FALSE)
,
(IF
(
C8572=""юридична особа""
,
VLOOKUP"&amp;"(D8572,IMPORTRANGE(""https://docs.google.com/spreadsheets/d/14Bd19lYaqBhU8_DElYkX7l4wRkHqqCUFNJY4AfY3kHU/edit?usp=sharing  #gid=0"",""фіз особи new!relations_name_uo""),7,FALSE)
,
)
))"),"МАТВЄЄНКО Олександр Віталійович")</f>
        <v>МАТВЄЄНКО Олександр Віталійович</v>
      </c>
      <c r="G8571" s="7" t="s">
        <v>10</v>
      </c>
      <c r="H8571" s="7">
        <v>2969</v>
      </c>
      <c r="I8571" s="8" t="str">
        <f ca="1">IFERROR(__xludf.DUMMYFUNCTION("IF
(
G8572=""фізична особа""
,
VLOOKUP(H8572,IMPORTRANGE(""https://docs.google.com/spreadsheets/d/14Bd19lYaqBhU8_DElYkX7l4wRkHqqCUFNJY4AfY3kHU/edit?usp=sharing  #gid=0"",""фіз особи new!relations_name""),6,FALSE)
,
(IF
(
G8572=""юридична особа""
,
VLOOKUP"&amp;"(H8572,IMPORTRANGE(""https://docs.google.com/spreadsheets/d/14Bd19lYaqBhU8_DElYkX7l4wRkHqqCUFNJY4AfY3kHU/edit?usp=sharing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1" s="7" t="s">
        <v>29</v>
      </c>
    </row>
    <row r="8572" spans="1:10" ht="13.2">
      <c r="A8572" s="7">
        <v>8571</v>
      </c>
      <c r="B8572" s="7">
        <v>1</v>
      </c>
      <c r="C8572" s="7" t="s">
        <v>10</v>
      </c>
      <c r="D8572" s="7">
        <v>10495</v>
      </c>
      <c r="E8572" s="7" t="s">
        <v>28</v>
      </c>
      <c r="F8572" s="8" t="str">
        <f ca="1">IFERROR(__xludf.DUMMYFUNCTION("IF
(
C8573=""фізична особа""
,
VLOOKUP(D8573,IMPORTRANGE(""https://docs.google.com/spreadsheets/d/14Bd19lYaqBhU8_DElYkX7l4wRkHqqCUFNJY4AfY3kHU/edit?usp=sharing  #gid=0"",""фіз особи new!relations_name""),6,FALSE)
,
(IF
(
C8573=""юридична особа""
,
VLOOKUP"&amp;"(D8573,IMPORTRANGE(""https://docs.google.com/spreadsheets/d/14Bd19lYaqBhU8_DElYkX7l4wRkHqqCUFNJY4AfY3kHU/edit?usp=sharing  #gid=0"",""фіз особи new!relations_name_uo""),7,FALSE)
,
)
))"),"КОЧУКОВ Андрій Леонідович")</f>
        <v>КОЧУКОВ Андрій Леонідович</v>
      </c>
      <c r="G8572" s="7" t="s">
        <v>10</v>
      </c>
      <c r="H8572" s="7">
        <v>2969</v>
      </c>
      <c r="I8572" s="8" t="str">
        <f ca="1">IFERROR(__xludf.DUMMYFUNCTION("IF
(
G8573=""фізична особа""
,
VLOOKUP(H8573,IMPORTRANGE(""https://docs.google.com/spreadsheets/d/14Bd19lYaqBhU8_DElYkX7l4wRkHqqCUFNJY4AfY3kHU/edit?usp=sharing  #gid=0"",""фіз особи new!relations_name""),6,FALSE)
,
(IF
(
G8573=""юридична особа""
,
VLOOKUP"&amp;"(H8573,IMPORTRANGE(""https://docs.google.com/spreadsheets/d/14Bd19lYaqBhU8_DElYkX7l4wRkHqqCUFNJY4AfY3kHU/edit?usp=sharing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2" s="7" t="s">
        <v>29</v>
      </c>
    </row>
    <row r="8573" spans="1:10" ht="13.2">
      <c r="A8573" s="7">
        <v>8572</v>
      </c>
      <c r="B8573" s="7">
        <v>1</v>
      </c>
      <c r="C8573" s="7" t="s">
        <v>10</v>
      </c>
      <c r="D8573" s="7">
        <v>10496</v>
      </c>
      <c r="E8573" s="7" t="s">
        <v>28</v>
      </c>
      <c r="F8573" s="8" t="str">
        <f ca="1">IFERROR(__xludf.DUMMYFUNCTION("IF
(
C8574=""фізична особа""
,
VLOOKUP(D8574,IMPORTRANGE(""https://docs.google.com/spreadsheets/d/14Bd19lYaqBhU8_DElYkX7l4wRkHqqCUFNJY4AfY3kHU/edit?usp=sharing  #gid=0"",""фіз особи new!relations_name""),6,FALSE)
,
(IF
(
C8574=""юридична особа""
,
VLOOKUP"&amp;"(D8574,IMPORTRANGE(""https://docs.google.com/spreadsheets/d/14Bd19lYaqBhU8_DElYkX7l4wRkHqqCUFNJY4AfY3kHU/edit?usp=sharing  #gid=0"",""фіз особи new!relations_name_uo""),7,FALSE)
,
)
))"),"ПАНТЕЛЄЄВ Валерій Олексійович")</f>
        <v>ПАНТЕЛЄЄВ Валерій Олексійович</v>
      </c>
      <c r="G8573" s="7" t="s">
        <v>10</v>
      </c>
      <c r="H8573" s="7">
        <v>2969</v>
      </c>
      <c r="I8573" s="8" t="str">
        <f ca="1">IFERROR(__xludf.DUMMYFUNCTION("IF
(
G8574=""фізична особа""
,
VLOOKUP(H8574,IMPORTRANGE(""https://docs.google.com/spreadsheets/d/14Bd19lYaqBhU8_DElYkX7l4wRkHqqCUFNJY4AfY3kHU/edit?usp=sharing  #gid=0"",""фіз особи new!relations_name""),6,FALSE)
,
(IF
(
G8574=""юридична особа""
,
VLOOKUP"&amp;"(H8574,IMPORTRANGE(""https://docs.google.com/spreadsheets/d/14Bd19lYaqBhU8_DElYkX7l4wRkHqqCUFNJY4AfY3kHU/edit?usp=sharing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3" s="7" t="s">
        <v>29</v>
      </c>
    </row>
    <row r="8574" spans="1:10" ht="13.2">
      <c r="A8574" s="7">
        <v>8573</v>
      </c>
      <c r="B8574" s="7">
        <v>1</v>
      </c>
      <c r="C8574" s="7" t="s">
        <v>10</v>
      </c>
      <c r="D8574" s="7">
        <v>10497</v>
      </c>
      <c r="E8574" s="7" t="s">
        <v>28</v>
      </c>
      <c r="F8574" s="8" t="str">
        <f ca="1">IFERROR(__xludf.DUMMYFUNCTION("IF
(
C8575=""фізична особа""
,
VLOOKUP(D8575,IMPORTRANGE(""https://docs.google.com/spreadsheets/d/14Bd19lYaqBhU8_DElYkX7l4wRkHqqCUFNJY4AfY3kHU/edit?usp=sharing  #gid=0"",""фіз особи new!relations_name""),6,FALSE)
,
(IF
(
C8575=""юридична особа""
,
VLOOKUP"&amp;"(D8575,IMPORTRANGE(""https://docs.google.com/spreadsheets/d/14Bd19lYaqBhU8_DElYkX7l4wRkHqqCUFNJY4AfY3kHU/edit?usp=sharing  #gid=0"",""фіз особи new!relations_name_uo""),7,FALSE)
,
)
))"),"МОГИЛЬНИКОВ Олексій Сергійович")</f>
        <v>МОГИЛЬНИКОВ Олексій Сергійович</v>
      </c>
      <c r="G8574" s="7" t="s">
        <v>10</v>
      </c>
      <c r="H8574" s="7">
        <v>2969</v>
      </c>
      <c r="I8574" s="8" t="str">
        <f ca="1">IFERROR(__xludf.DUMMYFUNCTION("IF
(
G8575=""фізична особа""
,
VLOOKUP(H8575,IMPORTRANGE(""https://docs.google.com/spreadsheets/d/14Bd19lYaqBhU8_DElYkX7l4wRkHqqCUFNJY4AfY3kHU/edit?usp=sharing  #gid=0"",""фіз особи new!relations_name""),6,FALSE)
,
(IF
(
G8575=""юридична особа""
,
VLOOKUP"&amp;"(H8575,IMPORTRANGE(""https://docs.google.com/spreadsheets/d/14Bd19lYaqBhU8_DElYkX7l4wRkHqqCUFNJY4AfY3kHU/edit?usp=sharing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4" s="7" t="s">
        <v>29</v>
      </c>
    </row>
    <row r="8575" spans="1:10" ht="13.2">
      <c r="A8575" s="7">
        <v>8574</v>
      </c>
      <c r="B8575" s="7">
        <v>1</v>
      </c>
      <c r="C8575" s="7" t="s">
        <v>10</v>
      </c>
      <c r="D8575" s="7">
        <v>10498</v>
      </c>
      <c r="E8575" s="7" t="s">
        <v>28</v>
      </c>
      <c r="F8575" s="8" t="str">
        <f ca="1">IFERROR(__xludf.DUMMYFUNCTION("IF
(
C8576=""фізична особа""
,
VLOOKUP(D8576,IMPORTRANGE(""https://docs.google.com/spreadsheets/d/14Bd19lYaqBhU8_DElYkX7l4wRkHqqCUFNJY4AfY3kHU/edit?usp=sharing  #gid=0"",""фіз особи new!relations_name""),6,FALSE)
,
(IF
(
C8576=""юридична особа""
,
VLOOKUP"&amp;"(D8576,IMPORTRANGE(""https://docs.google.com/spreadsheets/d/14Bd19lYaqBhU8_DElYkX7l4wRkHqqCUFNJY4AfY3kHU/edit?usp=sharing  #gid=0"",""фіз особи new!relations_name_uo""),7,FALSE)
,
)
))"),"РОДІОНОВ Володимир Віталійович")</f>
        <v>РОДІОНОВ Володимир Віталійович</v>
      </c>
      <c r="G8575" s="7" t="s">
        <v>10</v>
      </c>
      <c r="H8575" s="7">
        <v>2969</v>
      </c>
      <c r="I8575" s="8" t="str">
        <f ca="1">IFERROR(__xludf.DUMMYFUNCTION("IF
(
G8576=""фізична особа""
,
VLOOKUP(H8576,IMPORTRANGE(""https://docs.google.com/spreadsheets/d/14Bd19lYaqBhU8_DElYkX7l4wRkHqqCUFNJY4AfY3kHU/edit?usp=sharing  #gid=0"",""фіз особи new!relations_name""),6,FALSE)
,
(IF
(
G8576=""юридична особа""
,
VLOOKUP"&amp;"(H8576,IMPORTRANGE(""https://docs.google.com/spreadsheets/d/14Bd19lYaqBhU8_DElYkX7l4wRkHqqCUFNJY4AfY3kHU/edit?usp=sharing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5" s="7" t="s">
        <v>29</v>
      </c>
    </row>
    <row r="8576" spans="1:10" ht="13.2">
      <c r="A8576" s="7">
        <v>8575</v>
      </c>
      <c r="B8576" s="7">
        <v>1</v>
      </c>
      <c r="C8576" s="7" t="s">
        <v>10</v>
      </c>
      <c r="D8576" s="7">
        <v>10499</v>
      </c>
      <c r="E8576" s="7" t="s">
        <v>28</v>
      </c>
      <c r="F8576" s="8" t="str">
        <f ca="1">IFERROR(__xludf.DUMMYFUNCTION("IF
(
C8577=""фізична особа""
,
VLOOKUP(D8577,IMPORTRANGE(""https://docs.google.com/spreadsheets/d/14Bd19lYaqBhU8_DElYkX7l4wRkHqqCUFNJY4AfY3kHU/edit?usp=sharing  #gid=0"",""фіз особи new!relations_name""),6,FALSE)
,
(IF
(
C8577=""юридична особа""
,
VLOOKUP"&amp;"(D8577,IMPORTRANGE(""https://docs.google.com/spreadsheets/d/14Bd19lYaqBhU8_DElYkX7l4wRkHqqCUFNJY4AfY3kHU/edit?usp=sharing  #gid=0"",""фіз особи new!relations_name_uo""),7,FALSE)
,
)
))"),"ГАЛКІН Артем Андрійович")</f>
        <v>ГАЛКІН Артем Андрійович</v>
      </c>
      <c r="G8576" s="7" t="s">
        <v>10</v>
      </c>
      <c r="H8576" s="7">
        <v>2969</v>
      </c>
      <c r="I8576" s="8" t="str">
        <f ca="1">IFERROR(__xludf.DUMMYFUNCTION("IF
(
G8577=""фізична особа""
,
VLOOKUP(H8577,IMPORTRANGE(""https://docs.google.com/spreadsheets/d/14Bd19lYaqBhU8_DElYkX7l4wRkHqqCUFNJY4AfY3kHU/edit?usp=sharing  #gid=0"",""фіз особи new!relations_name""),6,FALSE)
,
(IF
(
G8577=""юридична особа""
,
VLOOKUP"&amp;"(H8577,IMPORTRANGE(""https://docs.google.com/spreadsheets/d/14Bd19lYaqBhU8_DElYkX7l4wRkHqqCUFNJY4AfY3kHU/edit?usp=sharing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6" s="7" t="s">
        <v>29</v>
      </c>
    </row>
    <row r="8577" spans="1:10" ht="13.2">
      <c r="A8577" s="7">
        <v>8576</v>
      </c>
      <c r="B8577" s="7">
        <v>1</v>
      </c>
      <c r="C8577" s="7" t="s">
        <v>10</v>
      </c>
      <c r="D8577" s="7">
        <v>10500</v>
      </c>
      <c r="E8577" s="7" t="s">
        <v>28</v>
      </c>
      <c r="F8577" s="8" t="str">
        <f ca="1">IFERROR(__xludf.DUMMYFUNCTION("IF
(
C8578=""фізична особа""
,
VLOOKUP(D8578,IMPORTRANGE(""https://docs.google.com/spreadsheets/d/14Bd19lYaqBhU8_DElYkX7l4wRkHqqCUFNJY4AfY3kHU/edit?usp=sharing  #gid=0"",""фіз особи new!relations_name""),6,FALSE)
,
(IF
(
C8578=""юридична особа""
,
VLOOKUP"&amp;"(D8578,IMPORTRANGE(""https://docs.google.com/spreadsheets/d/14Bd19lYaqBhU8_DElYkX7l4wRkHqqCUFNJY4AfY3kHU/edit?usp=sharing  #gid=0"",""фіз особи new!relations_name_uo""),7,FALSE)
,
)
))"),"ТАШИМОВ Сергій Петрович")</f>
        <v>ТАШИМОВ Сергій Петрович</v>
      </c>
      <c r="G8577" s="7" t="s">
        <v>10</v>
      </c>
      <c r="H8577" s="7">
        <v>2969</v>
      </c>
      <c r="I8577" s="8" t="str">
        <f ca="1">IFERROR(__xludf.DUMMYFUNCTION("IF
(
G8578=""фізична особа""
,
VLOOKUP(H8578,IMPORTRANGE(""https://docs.google.com/spreadsheets/d/14Bd19lYaqBhU8_DElYkX7l4wRkHqqCUFNJY4AfY3kHU/edit?usp=sharing  #gid=0"",""фіз особи new!relations_name""),6,FALSE)
,
(IF
(
G8578=""юридична особа""
,
VLOOKUP"&amp;"(H8578,IMPORTRANGE(""https://docs.google.com/spreadsheets/d/14Bd19lYaqBhU8_DElYkX7l4wRkHqqCUFNJY4AfY3kHU/edit?usp=sharing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577" s="7" t="s">
        <v>29</v>
      </c>
    </row>
    <row r="8578" spans="1:10" ht="13.2">
      <c r="A8578" s="7">
        <v>8577</v>
      </c>
      <c r="B8578" s="7">
        <v>1</v>
      </c>
      <c r="C8578" s="7" t="s">
        <v>10</v>
      </c>
      <c r="D8578" s="7">
        <v>10501</v>
      </c>
      <c r="E8578" s="7" t="s">
        <v>28</v>
      </c>
      <c r="F8578" s="8" t="str">
        <f ca="1">IFERROR(__xludf.DUMMYFUNCTION("IF
(
C8579=""фізична особа""
,
VLOOKUP(D8579,IMPORTRANGE(""https://docs.google.com/spreadsheets/d/14Bd19lYaqBhU8_DElYkX7l4wRkHqqCUFNJY4AfY3kHU/edit?usp=sharing  #gid=0"",""фіз особи new!relations_name""),6,FALSE)
,
(IF
(
C8579=""юридична особа""
,
VLOOKUP"&amp;"(D8579,IMPORTRANGE(""https://docs.google.com/spreadsheets/d/14Bd19lYaqBhU8_DElYkX7l4wRkHqqCUFNJY4AfY3kHU/edit?usp=sharing  #gid=0"",""фіз особи new!relations_name_uo""),7,FALSE)
,
)
))"),"КАЗАНОВ Денис Миколайович")</f>
        <v>КАЗАНОВ Денис Миколайович</v>
      </c>
      <c r="G8578" s="7" t="s">
        <v>10</v>
      </c>
      <c r="H8578" s="7">
        <v>2974</v>
      </c>
      <c r="I8578" s="8" t="str">
        <f ca="1">IFERROR(__xludf.DUMMYFUNCTION("IF
(
G8579=""фізична особа""
,
VLOOKUP(H8579,IMPORTRANGE(""https://docs.google.com/spreadsheets/d/14Bd19lYaqBhU8_DElYkX7l4wRkHqqCUFNJY4AfY3kHU/edit?usp=sharing  #gid=0"",""фіз особи new!relations_name""),6,FALSE)
,
(IF
(
G8579=""юридична особа""
,
VLOOKUP"&amp;"(H8579,IMPORTRANGE(""https://docs.google.com/spreadsheets/d/14Bd19lYaqBhU8_DElYkX7l4wRkHqqCUFNJY4AfY3kHU/edit?usp=sharing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78" s="7" t="s">
        <v>29</v>
      </c>
    </row>
    <row r="8579" spans="1:10" ht="13.2">
      <c r="A8579" s="7">
        <v>8578</v>
      </c>
      <c r="B8579" s="7">
        <v>1</v>
      </c>
      <c r="C8579" s="7" t="s">
        <v>10</v>
      </c>
      <c r="D8579" s="7">
        <v>10502</v>
      </c>
      <c r="E8579" s="7" t="s">
        <v>28</v>
      </c>
      <c r="F8579" s="8" t="str">
        <f ca="1">IFERROR(__xludf.DUMMYFUNCTION("IF
(
C8580=""фізична особа""
,
VLOOKUP(D8580,IMPORTRANGE(""https://docs.google.com/spreadsheets/d/14Bd19lYaqBhU8_DElYkX7l4wRkHqqCUFNJY4AfY3kHU/edit?usp=sharing  #gid=0"",""фіз особи new!relations_name""),6,FALSE)
,
(IF
(
C8580=""юридична особа""
,
VLOOKUP"&amp;"(D8580,IMPORTRANGE(""https://docs.google.com/spreadsheets/d/14Bd19lYaqBhU8_DElYkX7l4wRkHqqCUFNJY4AfY3kHU/edit?usp=sharing  #gid=0"",""фіз особи new!relations_name_uo""),7,FALSE)
,
)
))"),"БИВШЕВА Олена Федорівна")</f>
        <v>БИВШЕВА Олена Федорівна</v>
      </c>
      <c r="G8579" s="7" t="s">
        <v>10</v>
      </c>
      <c r="H8579" s="7">
        <v>2974</v>
      </c>
      <c r="I8579" s="8" t="str">
        <f ca="1">IFERROR(__xludf.DUMMYFUNCTION("IF
(
G8580=""фізична особа""
,
VLOOKUP(H8580,IMPORTRANGE(""https://docs.google.com/spreadsheets/d/14Bd19lYaqBhU8_DElYkX7l4wRkHqqCUFNJY4AfY3kHU/edit?usp=sharing  #gid=0"",""фіз особи new!relations_name""),6,FALSE)
,
(IF
(
G8580=""юридична особа""
,
VLOOKUP"&amp;"(H8580,IMPORTRANGE(""https://docs.google.com/spreadsheets/d/14Bd19lYaqBhU8_DElYkX7l4wRkHqqCUFNJY4AfY3kHU/edit?usp=sharing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79" s="7" t="s">
        <v>29</v>
      </c>
    </row>
    <row r="8580" spans="1:10" ht="13.2">
      <c r="A8580" s="7">
        <v>8579</v>
      </c>
      <c r="B8580" s="7">
        <v>1</v>
      </c>
      <c r="C8580" s="7" t="s">
        <v>10</v>
      </c>
      <c r="D8580" s="7">
        <v>10503</v>
      </c>
      <c r="E8580" s="7" t="s">
        <v>28</v>
      </c>
      <c r="F8580" s="8" t="str">
        <f ca="1">IFERROR(__xludf.DUMMYFUNCTION("IF
(
C8581=""фізична особа""
,
VLOOKUP(D8581,IMPORTRANGE(""https://docs.google.com/spreadsheets/d/14Bd19lYaqBhU8_DElYkX7l4wRkHqqCUFNJY4AfY3kHU/edit?usp=sharing  #gid=0"",""фіз особи new!relations_name""),6,FALSE)
,
(IF
(
C8581=""юридична особа""
,
VLOOKUP"&amp;"(D8581,IMPORTRANGE(""https://docs.google.com/spreadsheets/d/14Bd19lYaqBhU8_DElYkX7l4wRkHqqCUFNJY4AfY3kHU/edit?usp=sharing  #gid=0"",""фіз особи new!relations_name_uo""),7,FALSE)
,
)
))"),"ДЕНИСЕНКО Наталія Геннадіївна")</f>
        <v>ДЕНИСЕНКО Наталія Геннадіївна</v>
      </c>
      <c r="G8580" s="7" t="s">
        <v>10</v>
      </c>
      <c r="H8580" s="7">
        <v>2974</v>
      </c>
      <c r="I8580" s="8" t="str">
        <f ca="1">IFERROR(__xludf.DUMMYFUNCTION("IF
(
G8581=""фізична особа""
,
VLOOKUP(H8581,IMPORTRANGE(""https://docs.google.com/spreadsheets/d/14Bd19lYaqBhU8_DElYkX7l4wRkHqqCUFNJY4AfY3kHU/edit?usp=sharing  #gid=0"",""фіз особи new!relations_name""),6,FALSE)
,
(IF
(
G8581=""юридична особа""
,
VLOOKUP"&amp;"(H8581,IMPORTRANGE(""https://docs.google.com/spreadsheets/d/14Bd19lYaqBhU8_DElYkX7l4wRkHqqCUFNJY4AfY3kHU/edit?usp=sharing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0" s="7" t="s">
        <v>29</v>
      </c>
    </row>
    <row r="8581" spans="1:10" ht="13.2">
      <c r="A8581" s="7">
        <v>8580</v>
      </c>
      <c r="B8581" s="7">
        <v>1</v>
      </c>
      <c r="C8581" s="7" t="s">
        <v>10</v>
      </c>
      <c r="D8581" s="7">
        <v>10504</v>
      </c>
      <c r="E8581" s="7" t="s">
        <v>28</v>
      </c>
      <c r="F8581" s="8" t="str">
        <f ca="1">IFERROR(__xludf.DUMMYFUNCTION("IF
(
C8582=""фізична особа""
,
VLOOKUP(D8582,IMPORTRANGE(""https://docs.google.com/spreadsheets/d/14Bd19lYaqBhU8_DElYkX7l4wRkHqqCUFNJY4AfY3kHU/edit?usp=sharing  #gid=0"",""фіз особи new!relations_name""),6,FALSE)
,
(IF
(
C8582=""юридична особа""
,
VLOOKUP"&amp;"(D8582,IMPORTRANGE(""https://docs.google.com/spreadsheets/d/14Bd19lYaqBhU8_DElYkX7l4wRkHqqCUFNJY4AfY3kHU/edit?usp=sharing  #gid=0"",""фіз особи new!relations_name_uo""),7,FALSE)
,
)
))"),"ПАРІНОВ Руслан Миколайович")</f>
        <v>ПАРІНОВ Руслан Миколайович</v>
      </c>
      <c r="G8581" s="7" t="s">
        <v>10</v>
      </c>
      <c r="H8581" s="7">
        <v>2974</v>
      </c>
      <c r="I8581" s="8" t="str">
        <f ca="1">IFERROR(__xludf.DUMMYFUNCTION("IF
(
G8582=""фізична особа""
,
VLOOKUP(H8582,IMPORTRANGE(""https://docs.google.com/spreadsheets/d/14Bd19lYaqBhU8_DElYkX7l4wRkHqqCUFNJY4AfY3kHU/edit?usp=sharing  #gid=0"",""фіз особи new!relations_name""),6,FALSE)
,
(IF
(
G8582=""юридична особа""
,
VLOOKUP"&amp;"(H8582,IMPORTRANGE(""https://docs.google.com/spreadsheets/d/14Bd19lYaqBhU8_DElYkX7l4wRkHqqCUFNJY4AfY3kHU/edit?usp=sharing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1" s="7" t="s">
        <v>29</v>
      </c>
    </row>
    <row r="8582" spans="1:10" ht="13.2">
      <c r="A8582" s="7">
        <v>8581</v>
      </c>
      <c r="B8582" s="7">
        <v>1</v>
      </c>
      <c r="C8582" s="7" t="s">
        <v>10</v>
      </c>
      <c r="D8582" s="7">
        <v>10505</v>
      </c>
      <c r="E8582" s="7" t="s">
        <v>28</v>
      </c>
      <c r="F8582" s="8" t="str">
        <f ca="1">IFERROR(__xludf.DUMMYFUNCTION("IF
(
C8583=""фізична особа""
,
VLOOKUP(D8583,IMPORTRANGE(""https://docs.google.com/spreadsheets/d/14Bd19lYaqBhU8_DElYkX7l4wRkHqqCUFNJY4AfY3kHU/edit?usp=sharing  #gid=0"",""фіз особи new!relations_name""),6,FALSE)
,
(IF
(
C8583=""юридична особа""
,
VLOOKUP"&amp;"(D8583,IMPORTRANGE(""https://docs.google.com/spreadsheets/d/14Bd19lYaqBhU8_DElYkX7l4wRkHqqCUFNJY4AfY3kHU/edit?usp=sharing  #gid=0"",""фіз особи new!relations_name_uo""),7,FALSE)
,
)
))"),"ТЯПКІНА Наталія Віталіївна")</f>
        <v>ТЯПКІНА Наталія Віталіївна</v>
      </c>
      <c r="G8582" s="7" t="s">
        <v>10</v>
      </c>
      <c r="H8582" s="7">
        <v>2974</v>
      </c>
      <c r="I8582" s="8" t="str">
        <f ca="1">IFERROR(__xludf.DUMMYFUNCTION("IF
(
G8583=""фізична особа""
,
VLOOKUP(H8583,IMPORTRANGE(""https://docs.google.com/spreadsheets/d/14Bd19lYaqBhU8_DElYkX7l4wRkHqqCUFNJY4AfY3kHU/edit?usp=sharing  #gid=0"",""фіз особи new!relations_name""),6,FALSE)
,
(IF
(
G8583=""юридична особа""
,
VLOOKUP"&amp;"(H8583,IMPORTRANGE(""https://docs.google.com/spreadsheets/d/14Bd19lYaqBhU8_DElYkX7l4wRkHqqCUFNJY4AfY3kHU/edit?usp=sharing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2" s="7" t="s">
        <v>29</v>
      </c>
    </row>
    <row r="8583" spans="1:10" ht="13.2">
      <c r="A8583" s="7">
        <v>8582</v>
      </c>
      <c r="B8583" s="7">
        <v>1</v>
      </c>
      <c r="C8583" s="7" t="s">
        <v>10</v>
      </c>
      <c r="D8583" s="7">
        <v>10506</v>
      </c>
      <c r="E8583" s="7" t="s">
        <v>28</v>
      </c>
      <c r="F8583" s="8" t="str">
        <f ca="1">IFERROR(__xludf.DUMMYFUNCTION("IF
(
C8584=""фізична особа""
,
VLOOKUP(D8584,IMPORTRANGE(""https://docs.google.com/spreadsheets/d/14Bd19lYaqBhU8_DElYkX7l4wRkHqqCUFNJY4AfY3kHU/edit?usp=sharing  #gid=0"",""фіз особи new!relations_name""),6,FALSE)
,
(IF
(
C8584=""юридична особа""
,
VLOOKUP"&amp;"(D8584,IMPORTRANGE(""https://docs.google.com/spreadsheets/d/14Bd19lYaqBhU8_DElYkX7l4wRkHqqCUFNJY4AfY3kHU/edit?usp=sharing  #gid=0"",""фіз особи new!relations_name_uo""),7,FALSE)
,
)
))"),"ЗУБОВ Іван Олександрович")</f>
        <v>ЗУБОВ Іван Олександрович</v>
      </c>
      <c r="G8583" s="7" t="s">
        <v>10</v>
      </c>
      <c r="H8583" s="7">
        <v>2974</v>
      </c>
      <c r="I8583" s="8" t="str">
        <f ca="1">IFERROR(__xludf.DUMMYFUNCTION("IF
(
G8584=""фізична особа""
,
VLOOKUP(H8584,IMPORTRANGE(""https://docs.google.com/spreadsheets/d/14Bd19lYaqBhU8_DElYkX7l4wRkHqqCUFNJY4AfY3kHU/edit?usp=sharing  #gid=0"",""фіз особи new!relations_name""),6,FALSE)
,
(IF
(
G8584=""юридична особа""
,
VLOOKUP"&amp;"(H8584,IMPORTRANGE(""https://docs.google.com/spreadsheets/d/14Bd19lYaqBhU8_DElYkX7l4wRkHqqCUFNJY4AfY3kHU/edit?usp=sharing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3" s="7" t="s">
        <v>29</v>
      </c>
    </row>
    <row r="8584" spans="1:10" ht="13.2">
      <c r="A8584" s="7">
        <v>8583</v>
      </c>
      <c r="B8584" s="7">
        <v>1</v>
      </c>
      <c r="C8584" s="7" t="s">
        <v>10</v>
      </c>
      <c r="D8584" s="7">
        <v>10507</v>
      </c>
      <c r="E8584" s="7" t="s">
        <v>28</v>
      </c>
      <c r="F8584" s="8" t="str">
        <f ca="1">IFERROR(__xludf.DUMMYFUNCTION("IF
(
C8585=""фізична особа""
,
VLOOKUP(D8585,IMPORTRANGE(""https://docs.google.com/spreadsheets/d/14Bd19lYaqBhU8_DElYkX7l4wRkHqqCUFNJY4AfY3kHU/edit?usp=sharing  #gid=0"",""фіз особи new!relations_name""),6,FALSE)
,
(IF
(
C8585=""юридична особа""
,
VLOOKUP"&amp;"(D8585,IMPORTRANGE(""https://docs.google.com/spreadsheets/d/14Bd19lYaqBhU8_DElYkX7l4wRkHqqCUFNJY4AfY3kHU/edit?usp=sharing  #gid=0"",""фіз особи new!relations_name_uo""),7,FALSE)
,
)
))"),"ШИЛЬНІКОВ Денис Андрійович")</f>
        <v>ШИЛЬНІКОВ Денис Андрійович</v>
      </c>
      <c r="G8584" s="7" t="s">
        <v>10</v>
      </c>
      <c r="H8584" s="7">
        <v>2974</v>
      </c>
      <c r="I8584" s="8" t="str">
        <f ca="1">IFERROR(__xludf.DUMMYFUNCTION("IF
(
G8585=""фізична особа""
,
VLOOKUP(H8585,IMPORTRANGE(""https://docs.google.com/spreadsheets/d/14Bd19lYaqBhU8_DElYkX7l4wRkHqqCUFNJY4AfY3kHU/edit?usp=sharing  #gid=0"",""фіз особи new!relations_name""),6,FALSE)
,
(IF
(
G8585=""юридична особа""
,
VLOOKUP"&amp;"(H8585,IMPORTRANGE(""https://docs.google.com/spreadsheets/d/14Bd19lYaqBhU8_DElYkX7l4wRkHqqCUFNJY4AfY3kHU/edit?usp=sharing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4" s="7" t="s">
        <v>29</v>
      </c>
    </row>
    <row r="8585" spans="1:10" ht="13.2">
      <c r="A8585" s="7">
        <v>8584</v>
      </c>
      <c r="B8585" s="7">
        <v>1</v>
      </c>
      <c r="C8585" s="7" t="s">
        <v>10</v>
      </c>
      <c r="D8585" s="7">
        <v>10508</v>
      </c>
      <c r="E8585" s="7" t="s">
        <v>28</v>
      </c>
      <c r="F8585" s="8" t="str">
        <f ca="1">IFERROR(__xludf.DUMMYFUNCTION("IF
(
C8586=""фізична особа""
,
VLOOKUP(D8586,IMPORTRANGE(""https://docs.google.com/spreadsheets/d/14Bd19lYaqBhU8_DElYkX7l4wRkHqqCUFNJY4AfY3kHU/edit?usp=sharing  #gid=0"",""фіз особи new!relations_name""),6,FALSE)
,
(IF
(
C8586=""юридична особа""
,
VLOOKUP"&amp;"(D8586,IMPORTRANGE(""https://docs.google.com/spreadsheets/d/14Bd19lYaqBhU8_DElYkX7l4wRkHqqCUFNJY4AfY3kHU/edit?usp=sharing  #gid=0"",""фіз особи new!relations_name_uo""),7,FALSE)
,
)
))"),"ШКУРІНА Олена Василівна")</f>
        <v>ШКУРІНА Олена Василівна</v>
      </c>
      <c r="G8585" s="7" t="s">
        <v>10</v>
      </c>
      <c r="H8585" s="7">
        <v>2974</v>
      </c>
      <c r="I8585" s="8" t="str">
        <f ca="1">IFERROR(__xludf.DUMMYFUNCTION("IF
(
G8586=""фізична особа""
,
VLOOKUP(H8586,IMPORTRANGE(""https://docs.google.com/spreadsheets/d/14Bd19lYaqBhU8_DElYkX7l4wRkHqqCUFNJY4AfY3kHU/edit?usp=sharing  #gid=0"",""фіз особи new!relations_name""),6,FALSE)
,
(IF
(
G8586=""юридична особа""
,
VLOOKUP"&amp;"(H8586,IMPORTRANGE(""https://docs.google.com/spreadsheets/d/14Bd19lYaqBhU8_DElYkX7l4wRkHqqCUFNJY4AfY3kHU/edit?usp=sharing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5" s="7" t="s">
        <v>29</v>
      </c>
    </row>
    <row r="8586" spans="1:10" ht="13.2">
      <c r="A8586" s="7">
        <v>8585</v>
      </c>
      <c r="B8586" s="7">
        <v>1</v>
      </c>
      <c r="C8586" s="7" t="s">
        <v>10</v>
      </c>
      <c r="D8586" s="7">
        <v>10509</v>
      </c>
      <c r="E8586" s="7" t="s">
        <v>28</v>
      </c>
      <c r="F8586" s="8" t="str">
        <f ca="1">IFERROR(__xludf.DUMMYFUNCTION("IF
(
C8587=""фізична особа""
,
VLOOKUP(D8587,IMPORTRANGE(""https://docs.google.com/spreadsheets/d/14Bd19lYaqBhU8_DElYkX7l4wRkHqqCUFNJY4AfY3kHU/edit?usp=sharing  #gid=0"",""фіз особи new!relations_name""),6,FALSE)
,
(IF
(
C8587=""юридична особа""
,
VLOOKUP"&amp;"(D8587,IMPORTRANGE(""https://docs.google.com/spreadsheets/d/14Bd19lYaqBhU8_DElYkX7l4wRkHqqCUFNJY4AfY3kHU/edit?usp=sharing  #gid=0"",""фіз особи new!relations_name_uo""),7,FALSE)
,
)
))"),"МАКАРІВ Гліб Валентинович")</f>
        <v>МАКАРІВ Гліб Валентинович</v>
      </c>
      <c r="G8586" s="7" t="s">
        <v>10</v>
      </c>
      <c r="H8586" s="7">
        <v>2974</v>
      </c>
      <c r="I8586" s="8" t="str">
        <f ca="1">IFERROR(__xludf.DUMMYFUNCTION("IF
(
G8587=""фізична особа""
,
VLOOKUP(H8587,IMPORTRANGE(""https://docs.google.com/spreadsheets/d/14Bd19lYaqBhU8_DElYkX7l4wRkHqqCUFNJY4AfY3kHU/edit?usp=sharing  #gid=0"",""фіз особи new!relations_name""),6,FALSE)
,
(IF
(
G8587=""юридична особа""
,
VLOOKUP"&amp;"(H8587,IMPORTRANGE(""https://docs.google.com/spreadsheets/d/14Bd19lYaqBhU8_DElYkX7l4wRkHqqCUFNJY4AfY3kHU/edit?usp=sharing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6" s="7" t="s">
        <v>29</v>
      </c>
    </row>
    <row r="8587" spans="1:10" ht="13.2">
      <c r="A8587" s="7">
        <v>8586</v>
      </c>
      <c r="B8587" s="7">
        <v>1</v>
      </c>
      <c r="C8587" s="7" t="s">
        <v>10</v>
      </c>
      <c r="D8587" s="7">
        <v>10510</v>
      </c>
      <c r="E8587" s="7" t="s">
        <v>28</v>
      </c>
      <c r="F8587" s="8" t="str">
        <f ca="1">IFERROR(__xludf.DUMMYFUNCTION("IF
(
C8588=""фізична особа""
,
VLOOKUP(D8588,IMPORTRANGE(""https://docs.google.com/spreadsheets/d/14Bd19lYaqBhU8_DElYkX7l4wRkHqqCUFNJY4AfY3kHU/edit?usp=sharing  #gid=0"",""фіз особи new!relations_name""),6,FALSE)
,
(IF
(
C8588=""юридична особа""
,
VLOOKUP"&amp;"(D8588,IMPORTRANGE(""https://docs.google.com/spreadsheets/d/14Bd19lYaqBhU8_DElYkX7l4wRkHqqCUFNJY4AfY3kHU/edit?usp=sharing  #gid=0"",""фіз особи new!relations_name_uo""),7,FALSE)
,
)
))"),"КОНОВАЛОВ Микола Вікторович")</f>
        <v>КОНОВАЛОВ Микола Вікторович</v>
      </c>
      <c r="G8587" s="7" t="s">
        <v>10</v>
      </c>
      <c r="H8587" s="7">
        <v>2974</v>
      </c>
      <c r="I8587" s="8" t="str">
        <f ca="1">IFERROR(__xludf.DUMMYFUNCTION("IF
(
G8588=""фізична особа""
,
VLOOKUP(H8588,IMPORTRANGE(""https://docs.google.com/spreadsheets/d/14Bd19lYaqBhU8_DElYkX7l4wRkHqqCUFNJY4AfY3kHU/edit?usp=sharing  #gid=0"",""фіз особи new!relations_name""),6,FALSE)
,
(IF
(
G8588=""юридична особа""
,
VLOOKUP"&amp;"(H8588,IMPORTRANGE(""https://docs.google.com/spreadsheets/d/14Bd19lYaqBhU8_DElYkX7l4wRkHqqCUFNJY4AfY3kHU/edit?usp=sharing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7" s="7" t="s">
        <v>29</v>
      </c>
    </row>
    <row r="8588" spans="1:10" ht="13.2">
      <c r="A8588" s="7">
        <v>8587</v>
      </c>
      <c r="B8588" s="7">
        <v>1</v>
      </c>
      <c r="C8588" s="7" t="s">
        <v>10</v>
      </c>
      <c r="D8588" s="7">
        <v>10511</v>
      </c>
      <c r="E8588" s="7" t="s">
        <v>28</v>
      </c>
      <c r="F8588" s="8" t="str">
        <f ca="1">IFERROR(__xludf.DUMMYFUNCTION("IF
(
C8589=""фізична особа""
,
VLOOKUP(D8589,IMPORTRANGE(""https://docs.google.com/spreadsheets/d/14Bd19lYaqBhU8_DElYkX7l4wRkHqqCUFNJY4AfY3kHU/edit?usp=sharing  #gid=0"",""фіз особи new!relations_name""),6,FALSE)
,
(IF
(
C8589=""юридична особа""
,
VLOOKUP"&amp;"(D8589,IMPORTRANGE(""https://docs.google.com/spreadsheets/d/14Bd19lYaqBhU8_DElYkX7l4wRkHqqCUFNJY4AfY3kHU/edit?usp=sharing  #gid=0"",""фіз особи new!relations_name_uo""),7,FALSE)
,
)
))"),"СМІРНОВ Михайло Віталійович")</f>
        <v>СМІРНОВ Михайло Віталійович</v>
      </c>
      <c r="G8588" s="7" t="s">
        <v>10</v>
      </c>
      <c r="H8588" s="7">
        <v>2974</v>
      </c>
      <c r="I8588" s="8" t="str">
        <f ca="1">IFERROR(__xludf.DUMMYFUNCTION("IF
(
G8589=""фізична особа""
,
VLOOKUP(H8589,IMPORTRANGE(""https://docs.google.com/spreadsheets/d/14Bd19lYaqBhU8_DElYkX7l4wRkHqqCUFNJY4AfY3kHU/edit?usp=sharing  #gid=0"",""фіз особи new!relations_name""),6,FALSE)
,
(IF
(
G8589=""юридична особа""
,
VLOOKUP"&amp;"(H8589,IMPORTRANGE(""https://docs.google.com/spreadsheets/d/14Bd19lYaqBhU8_DElYkX7l4wRkHqqCUFNJY4AfY3kHU/edit?usp=sharing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8" s="7" t="s">
        <v>29</v>
      </c>
    </row>
    <row r="8589" spans="1:10" ht="13.2">
      <c r="A8589" s="7">
        <v>8588</v>
      </c>
      <c r="B8589" s="7">
        <v>1</v>
      </c>
      <c r="C8589" s="7" t="s">
        <v>10</v>
      </c>
      <c r="D8589" s="7">
        <v>10512</v>
      </c>
      <c r="E8589" s="7" t="s">
        <v>28</v>
      </c>
      <c r="F8589" s="8" t="str">
        <f ca="1">IFERROR(__xludf.DUMMYFUNCTION("IF
(
C8590=""фізична особа""
,
VLOOKUP(D8590,IMPORTRANGE(""https://docs.google.com/spreadsheets/d/14Bd19lYaqBhU8_DElYkX7l4wRkHqqCUFNJY4AfY3kHU/edit?usp=sharing  #gid=0"",""фіз особи new!relations_name""),6,FALSE)
,
(IF
(
C8590=""юридична особа""
,
VLOOKUP"&amp;"(D8590,IMPORTRANGE(""https://docs.google.com/spreadsheets/d/14Bd19lYaqBhU8_DElYkX7l4wRkHqqCUFNJY4AfY3kHU/edit?usp=sharing  #gid=0"",""фіз особи new!relations_name_uo""),7,FALSE)
,
)
))"),"НИРЕНКОВА Марина Юріївна")</f>
        <v>НИРЕНКОВА Марина Юріївна</v>
      </c>
      <c r="G8589" s="7" t="s">
        <v>10</v>
      </c>
      <c r="H8589" s="7">
        <v>2974</v>
      </c>
      <c r="I8589" s="8" t="str">
        <f ca="1">IFERROR(__xludf.DUMMYFUNCTION("IF
(
G8590=""фізична особа""
,
VLOOKUP(H8590,IMPORTRANGE(""https://docs.google.com/spreadsheets/d/14Bd19lYaqBhU8_DElYkX7l4wRkHqqCUFNJY4AfY3kHU/edit?usp=sharing  #gid=0"",""фіз особи new!relations_name""),6,FALSE)
,
(IF
(
G8590=""юридична особа""
,
VLOOKUP"&amp;"(H8590,IMPORTRANGE(""https://docs.google.com/spreadsheets/d/14Bd19lYaqBhU8_DElYkX7l4wRkHqqCUFNJY4AfY3kHU/edit?usp=sharing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89" s="7" t="s">
        <v>29</v>
      </c>
    </row>
    <row r="8590" spans="1:10" ht="13.2">
      <c r="A8590" s="7">
        <v>8589</v>
      </c>
      <c r="B8590" s="7">
        <v>1</v>
      </c>
      <c r="C8590" s="7" t="s">
        <v>10</v>
      </c>
      <c r="D8590" s="7">
        <v>10513</v>
      </c>
      <c r="E8590" s="7" t="s">
        <v>28</v>
      </c>
      <c r="F8590" s="8" t="str">
        <f ca="1">IFERROR(__xludf.DUMMYFUNCTION("IF
(
C8591=""фізична особа""
,
VLOOKUP(D8591,IMPORTRANGE(""https://docs.google.com/spreadsheets/d/14Bd19lYaqBhU8_DElYkX7l4wRkHqqCUFNJY4AfY3kHU/edit?usp=sharing  #gid=0"",""фіз особи new!relations_name""),6,FALSE)
,
(IF
(
C8591=""юридична особа""
,
VLOOKUP"&amp;"(D8591,IMPORTRANGE(""https://docs.google.com/spreadsheets/d/14Bd19lYaqBhU8_DElYkX7l4wRkHqqCUFNJY4AfY3kHU/edit?usp=sharing  #gid=0"",""фіз особи new!relations_name_uo""),7,FALSE)
,
)
))"),"ЕММАНУІЛІДІ Анжела Валентинівна")</f>
        <v>ЕММАНУІЛІДІ Анжела Валентинівна</v>
      </c>
      <c r="G8590" s="7" t="s">
        <v>10</v>
      </c>
      <c r="H8590" s="7">
        <v>2974</v>
      </c>
      <c r="I8590" s="8" t="str">
        <f ca="1">IFERROR(__xludf.DUMMYFUNCTION("IF
(
G8591=""фізична особа""
,
VLOOKUP(H8591,IMPORTRANGE(""https://docs.google.com/spreadsheets/d/14Bd19lYaqBhU8_DElYkX7l4wRkHqqCUFNJY4AfY3kHU/edit?usp=sharing  #gid=0"",""фіз особи new!relations_name""),6,FALSE)
,
(IF
(
G8591=""юридична особа""
,
VLOOKUP"&amp;"(H8591,IMPORTRANGE(""https://docs.google.com/spreadsheets/d/14Bd19lYaqBhU8_DElYkX7l4wRkHqqCUFNJY4AfY3kHU/edit?usp=sharing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0" s="7" t="s">
        <v>29</v>
      </c>
    </row>
    <row r="8591" spans="1:10" ht="13.2">
      <c r="A8591" s="7">
        <v>8590</v>
      </c>
      <c r="B8591" s="7">
        <v>1</v>
      </c>
      <c r="C8591" s="7" t="s">
        <v>10</v>
      </c>
      <c r="D8591" s="7">
        <v>10514</v>
      </c>
      <c r="E8591" s="7" t="s">
        <v>28</v>
      </c>
      <c r="F8591" s="8" t="str">
        <f ca="1">IFERROR(__xludf.DUMMYFUNCTION("IF
(
C8592=""фізична особа""
,
VLOOKUP(D8592,IMPORTRANGE(""https://docs.google.com/spreadsheets/d/14Bd19lYaqBhU8_DElYkX7l4wRkHqqCUFNJY4AfY3kHU/edit?usp=sharing  #gid=0"",""фіз особи new!relations_name""),6,FALSE)
,
(IF
(
C8592=""юридична особа""
,
VLOOKUP"&amp;"(D8592,IMPORTRANGE(""https://docs.google.com/spreadsheets/d/14Bd19lYaqBhU8_DElYkX7l4wRkHqqCUFNJY4AfY3kHU/edit?usp=sharing  #gid=0"",""фіз особи new!relations_name_uo""),7,FALSE)
,
)
))"),"ЛУЗАН Андрій Михайлович")</f>
        <v>ЛУЗАН Андрій Михайлович</v>
      </c>
      <c r="G8591" s="7" t="s">
        <v>10</v>
      </c>
      <c r="H8591" s="7">
        <v>2974</v>
      </c>
      <c r="I8591" s="8" t="str">
        <f ca="1">IFERROR(__xludf.DUMMYFUNCTION("IF
(
G8592=""фізична особа""
,
VLOOKUP(H8592,IMPORTRANGE(""https://docs.google.com/spreadsheets/d/14Bd19lYaqBhU8_DElYkX7l4wRkHqqCUFNJY4AfY3kHU/edit?usp=sharing  #gid=0"",""фіз особи new!relations_name""),6,FALSE)
,
(IF
(
G8592=""юридична особа""
,
VLOOKUP"&amp;"(H8592,IMPORTRANGE(""https://docs.google.com/spreadsheets/d/14Bd19lYaqBhU8_DElYkX7l4wRkHqqCUFNJY4AfY3kHU/edit?usp=sharing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1" s="7" t="s">
        <v>29</v>
      </c>
    </row>
    <row r="8592" spans="1:10" ht="13.2">
      <c r="A8592" s="7">
        <v>8591</v>
      </c>
      <c r="B8592" s="7">
        <v>1</v>
      </c>
      <c r="C8592" s="7" t="s">
        <v>10</v>
      </c>
      <c r="D8592" s="7">
        <v>10515</v>
      </c>
      <c r="E8592" s="7" t="s">
        <v>28</v>
      </c>
      <c r="F8592" s="8" t="str">
        <f ca="1">IFERROR(__xludf.DUMMYFUNCTION("IF
(
C8593=""фізична особа""
,
VLOOKUP(D8593,IMPORTRANGE(""https://docs.google.com/spreadsheets/d/14Bd19lYaqBhU8_DElYkX7l4wRkHqqCUFNJY4AfY3kHU/edit?usp=sharing  #gid=0"",""фіз особи new!relations_name""),6,FALSE)
,
(IF
(
C8593=""юридична особа""
,
VLOOKUP"&amp;"(D8593,IMPORTRANGE(""https://docs.google.com/spreadsheets/d/14Bd19lYaqBhU8_DElYkX7l4wRkHqqCUFNJY4AfY3kHU/edit?usp=sharing  #gid=0"",""фіз особи new!relations_name_uo""),7,FALSE)
,
)
))"),"СЕМЕНОВА Надія Геннадіївна")</f>
        <v>СЕМЕНОВА Надія Геннадіївна</v>
      </c>
      <c r="G8592" s="7" t="s">
        <v>10</v>
      </c>
      <c r="H8592" s="7">
        <v>2974</v>
      </c>
      <c r="I8592" s="8" t="str">
        <f ca="1">IFERROR(__xludf.DUMMYFUNCTION("IF
(
G8593=""фізична особа""
,
VLOOKUP(H8593,IMPORTRANGE(""https://docs.google.com/spreadsheets/d/14Bd19lYaqBhU8_DElYkX7l4wRkHqqCUFNJY4AfY3kHU/edit?usp=sharing  #gid=0"",""фіз особи new!relations_name""),6,FALSE)
,
(IF
(
G8593=""юридична особа""
,
VLOOKUP"&amp;"(H8593,IMPORTRANGE(""https://docs.google.com/spreadsheets/d/14Bd19lYaqBhU8_DElYkX7l4wRkHqqCUFNJY4AfY3kHU/edit?usp=sharing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2" s="7" t="s">
        <v>29</v>
      </c>
    </row>
    <row r="8593" spans="1:10" ht="13.2">
      <c r="A8593" s="7">
        <v>8592</v>
      </c>
      <c r="B8593" s="7">
        <v>1</v>
      </c>
      <c r="C8593" s="7" t="s">
        <v>10</v>
      </c>
      <c r="D8593" s="7">
        <v>10516</v>
      </c>
      <c r="E8593" s="7" t="s">
        <v>28</v>
      </c>
      <c r="F8593" s="8" t="str">
        <f ca="1">IFERROR(__xludf.DUMMYFUNCTION("IF
(
C8594=""фізична особа""
,
VLOOKUP(D8594,IMPORTRANGE(""https://docs.google.com/spreadsheets/d/14Bd19lYaqBhU8_DElYkX7l4wRkHqqCUFNJY4AfY3kHU/edit?usp=sharing  #gid=0"",""фіз особи new!relations_name""),6,FALSE)
,
(IF
(
C8594=""юридична особа""
,
VLOOKUP"&amp;"(D8594,IMPORTRANGE(""https://docs.google.com/spreadsheets/d/14Bd19lYaqBhU8_DElYkX7l4wRkHqqCUFNJY4AfY3kHU/edit?usp=sharing  #gid=0"",""фіз особи new!relations_name_uo""),7,FALSE)
,
)
))"),"КОНОНОВ Едуард Миколайович")</f>
        <v>КОНОНОВ Едуард Миколайович</v>
      </c>
      <c r="G8593" s="7" t="s">
        <v>10</v>
      </c>
      <c r="H8593" s="7">
        <v>2974</v>
      </c>
      <c r="I8593" s="8" t="str">
        <f ca="1">IFERROR(__xludf.DUMMYFUNCTION("IF
(
G8594=""фізична особа""
,
VLOOKUP(H8594,IMPORTRANGE(""https://docs.google.com/spreadsheets/d/14Bd19lYaqBhU8_DElYkX7l4wRkHqqCUFNJY4AfY3kHU/edit?usp=sharing  #gid=0"",""фіз особи new!relations_name""),6,FALSE)
,
(IF
(
G8594=""юридична особа""
,
VLOOKUP"&amp;"(H8594,IMPORTRANGE(""https://docs.google.com/spreadsheets/d/14Bd19lYaqBhU8_DElYkX7l4wRkHqqCUFNJY4AfY3kHU/edit?usp=sharing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3" s="7" t="s">
        <v>29</v>
      </c>
    </row>
    <row r="8594" spans="1:10" ht="13.2">
      <c r="A8594" s="7">
        <v>8593</v>
      </c>
      <c r="B8594" s="7">
        <v>1</v>
      </c>
      <c r="C8594" s="7" t="s">
        <v>10</v>
      </c>
      <c r="D8594" s="7">
        <v>10517</v>
      </c>
      <c r="E8594" s="7" t="s">
        <v>28</v>
      </c>
      <c r="F8594" s="8" t="str">
        <f ca="1">IFERROR(__xludf.DUMMYFUNCTION("IF
(
C8595=""фізична особа""
,
VLOOKUP(D8595,IMPORTRANGE(""https://docs.google.com/spreadsheets/d/14Bd19lYaqBhU8_DElYkX7l4wRkHqqCUFNJY4AfY3kHU/edit?usp=sharing  #gid=0"",""фіз особи new!relations_name""),6,FALSE)
,
(IF
(
C8595=""юридична особа""
,
VLOOKUP"&amp;"(D8595,IMPORTRANGE(""https://docs.google.com/spreadsheets/d/14Bd19lYaqBhU8_DElYkX7l4wRkHqqCUFNJY4AfY3kHU/edit?usp=sharing  #gid=0"",""фіз особи new!relations_name_uo""),7,FALSE)
,
)
))"),"АБРАМОВ Андрій Володимирович")</f>
        <v>АБРАМОВ Андрій Володимирович</v>
      </c>
      <c r="G8594" s="7" t="s">
        <v>10</v>
      </c>
      <c r="H8594" s="7">
        <v>2974</v>
      </c>
      <c r="I8594" s="8" t="str">
        <f ca="1">IFERROR(__xludf.DUMMYFUNCTION("IF
(
G8595=""фізична особа""
,
VLOOKUP(H8595,IMPORTRANGE(""https://docs.google.com/spreadsheets/d/14Bd19lYaqBhU8_DElYkX7l4wRkHqqCUFNJY4AfY3kHU/edit?usp=sharing  #gid=0"",""фіз особи new!relations_name""),6,FALSE)
,
(IF
(
G8595=""юридична особа""
,
VLOOKUP"&amp;"(H8595,IMPORTRANGE(""https://docs.google.com/spreadsheets/d/14Bd19lYaqBhU8_DElYkX7l4wRkHqqCUFNJY4AfY3kHU/edit?usp=sharing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4" s="7" t="s">
        <v>29</v>
      </c>
    </row>
    <row r="8595" spans="1:10" ht="13.2">
      <c r="A8595" s="7">
        <v>8594</v>
      </c>
      <c r="B8595" s="7">
        <v>1</v>
      </c>
      <c r="C8595" s="7" t="s">
        <v>10</v>
      </c>
      <c r="D8595" s="7">
        <v>10518</v>
      </c>
      <c r="E8595" s="7" t="s">
        <v>28</v>
      </c>
      <c r="F8595" s="8" t="str">
        <f ca="1">IFERROR(__xludf.DUMMYFUNCTION("IF
(
C8596=""фізична особа""
,
VLOOKUP(D8596,IMPORTRANGE(""https://docs.google.com/spreadsheets/d/14Bd19lYaqBhU8_DElYkX7l4wRkHqqCUFNJY4AfY3kHU/edit?usp=sharing  #gid=0"",""фіз особи new!relations_name""),6,FALSE)
,
(IF
(
C8596=""юридична особа""
,
VLOOKUP"&amp;"(D8596,IMPORTRANGE(""https://docs.google.com/spreadsheets/d/14Bd19lYaqBhU8_DElYkX7l4wRkHqqCUFNJY4AfY3kHU/edit?usp=sharing  #gid=0"",""фіз особи new!relations_name_uo""),7,FALSE)
,
)
))"),"МАХМУТОВ Ільнур Анварович")</f>
        <v>МАХМУТОВ Ільнур Анварович</v>
      </c>
      <c r="G8595" s="7" t="s">
        <v>10</v>
      </c>
      <c r="H8595" s="7">
        <v>2974</v>
      </c>
      <c r="I8595" s="8" t="str">
        <f ca="1">IFERROR(__xludf.DUMMYFUNCTION("IF
(
G8596=""фізична особа""
,
VLOOKUP(H8596,IMPORTRANGE(""https://docs.google.com/spreadsheets/d/14Bd19lYaqBhU8_DElYkX7l4wRkHqqCUFNJY4AfY3kHU/edit?usp=sharing  #gid=0"",""фіз особи new!relations_name""),6,FALSE)
,
(IF
(
G8596=""юридична особа""
,
VLOOKUP"&amp;"(H8596,IMPORTRANGE(""https://docs.google.com/spreadsheets/d/14Bd19lYaqBhU8_DElYkX7l4wRkHqqCUFNJY4AfY3kHU/edit?usp=sharing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5" s="7" t="s">
        <v>29</v>
      </c>
    </row>
    <row r="8596" spans="1:10" ht="13.2">
      <c r="A8596" s="7">
        <v>8595</v>
      </c>
      <c r="B8596" s="7">
        <v>1</v>
      </c>
      <c r="C8596" s="7" t="s">
        <v>10</v>
      </c>
      <c r="D8596" s="7">
        <v>10519</v>
      </c>
      <c r="E8596" s="7" t="s">
        <v>28</v>
      </c>
      <c r="F8596" s="8" t="str">
        <f ca="1">IFERROR(__xludf.DUMMYFUNCTION("IF
(
C8597=""фізична особа""
,
VLOOKUP(D8597,IMPORTRANGE(""https://docs.google.com/spreadsheets/d/14Bd19lYaqBhU8_DElYkX7l4wRkHqqCUFNJY4AfY3kHU/edit?usp=sharing  #gid=0"",""фіз особи new!relations_name""),6,FALSE)
,
(IF
(
C8597=""юридична особа""
,
VLOOKUP"&amp;"(D8597,IMPORTRANGE(""https://docs.google.com/spreadsheets/d/14Bd19lYaqBhU8_DElYkX7l4wRkHqqCUFNJY4AfY3kHU/edit?usp=sharing  #gid=0"",""фіз особи new!relations_name_uo""),7,FALSE)
,
)
))"),"ІВАНОВ Анатолій Юрійович")</f>
        <v>ІВАНОВ Анатолій Юрійович</v>
      </c>
      <c r="G8596" s="7" t="s">
        <v>10</v>
      </c>
      <c r="H8596" s="7">
        <v>2974</v>
      </c>
      <c r="I8596" s="8" t="str">
        <f ca="1">IFERROR(__xludf.DUMMYFUNCTION("IF
(
G8597=""фізична особа""
,
VLOOKUP(H8597,IMPORTRANGE(""https://docs.google.com/spreadsheets/d/14Bd19lYaqBhU8_DElYkX7l4wRkHqqCUFNJY4AfY3kHU/edit?usp=sharing  #gid=0"",""фіз особи new!relations_name""),6,FALSE)
,
(IF
(
G8597=""юридична особа""
,
VLOOKUP"&amp;"(H8597,IMPORTRANGE(""https://docs.google.com/spreadsheets/d/14Bd19lYaqBhU8_DElYkX7l4wRkHqqCUFNJY4AfY3kHU/edit?usp=sharing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6" s="7" t="s">
        <v>29</v>
      </c>
    </row>
    <row r="8597" spans="1:10" ht="13.2">
      <c r="A8597" s="7">
        <v>8596</v>
      </c>
      <c r="B8597" s="7">
        <v>1</v>
      </c>
      <c r="C8597" s="7" t="s">
        <v>10</v>
      </c>
      <c r="D8597" s="7">
        <v>10520</v>
      </c>
      <c r="E8597" s="7" t="s">
        <v>28</v>
      </c>
      <c r="F8597" s="8" t="str">
        <f ca="1">IFERROR(__xludf.DUMMYFUNCTION("IF
(
C8598=""фізична особа""
,
VLOOKUP(D8598,IMPORTRANGE(""https://docs.google.com/spreadsheets/d/14Bd19lYaqBhU8_DElYkX7l4wRkHqqCUFNJY4AfY3kHU/edit?usp=sharing  #gid=0"",""фіз особи new!relations_name""),6,FALSE)
,
(IF
(
C8598=""юридична особа""
,
VLOOKUP"&amp;"(D8598,IMPORTRANGE(""https://docs.google.com/spreadsheets/d/14Bd19lYaqBhU8_DElYkX7l4wRkHqqCUFNJY4AfY3kHU/edit?usp=sharing  #gid=0"",""фіз особи new!relations_name_uo""),7,FALSE)
,
)
))"),"МОГІН Юрій Олексійович")</f>
        <v>МОГІН Юрій Олексійович</v>
      </c>
      <c r="G8597" s="7" t="s">
        <v>10</v>
      </c>
      <c r="H8597" s="7">
        <v>2974</v>
      </c>
      <c r="I8597" s="8" t="str">
        <f ca="1">IFERROR(__xludf.DUMMYFUNCTION("IF
(
G8598=""фізична особа""
,
VLOOKUP(H8598,IMPORTRANGE(""https://docs.google.com/spreadsheets/d/14Bd19lYaqBhU8_DElYkX7l4wRkHqqCUFNJY4AfY3kHU/edit?usp=sharing  #gid=0"",""фіз особи new!relations_name""),6,FALSE)
,
(IF
(
G8598=""юридична особа""
,
VLOOKUP"&amp;"(H8598,IMPORTRANGE(""https://docs.google.com/spreadsheets/d/14Bd19lYaqBhU8_DElYkX7l4wRkHqqCUFNJY4AfY3kHU/edit?usp=sharing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7" s="7" t="s">
        <v>29</v>
      </c>
    </row>
    <row r="8598" spans="1:10" ht="13.2">
      <c r="A8598" s="7">
        <v>8597</v>
      </c>
      <c r="B8598" s="7">
        <v>1</v>
      </c>
      <c r="C8598" s="7" t="s">
        <v>10</v>
      </c>
      <c r="D8598" s="7">
        <v>10521</v>
      </c>
      <c r="E8598" s="7" t="s">
        <v>28</v>
      </c>
      <c r="F8598" s="8" t="str">
        <f ca="1">IFERROR(__xludf.DUMMYFUNCTION("IF
(
C8599=""фізична особа""
,
VLOOKUP(D8599,IMPORTRANGE(""https://docs.google.com/spreadsheets/d/14Bd19lYaqBhU8_DElYkX7l4wRkHqqCUFNJY4AfY3kHU/edit?usp=sharing  #gid=0"",""фіз особи new!relations_name""),6,FALSE)
,
(IF
(
C8599=""юридична особа""
,
VLOOKUP"&amp;"(D8599,IMPORTRANGE(""https://docs.google.com/spreadsheets/d/14Bd19lYaqBhU8_DElYkX7l4wRkHqqCUFNJY4AfY3kHU/edit?usp=sharing  #gid=0"",""фіз особи new!relations_name_uo""),7,FALSE)
,
)
))"),"ЗАКІРОВ Анвар Фаритович")</f>
        <v>ЗАКІРОВ Анвар Фаритович</v>
      </c>
      <c r="G8598" s="7" t="s">
        <v>10</v>
      </c>
      <c r="H8598" s="7">
        <v>2974</v>
      </c>
      <c r="I8598" s="8" t="str">
        <f ca="1">IFERROR(__xludf.DUMMYFUNCTION("IF
(
G8599=""фізична особа""
,
VLOOKUP(H8599,IMPORTRANGE(""https://docs.google.com/spreadsheets/d/14Bd19lYaqBhU8_DElYkX7l4wRkHqqCUFNJY4AfY3kHU/edit?usp=sharing  #gid=0"",""фіз особи new!relations_name""),6,FALSE)
,
(IF
(
G8599=""юридична особа""
,
VLOOKUP"&amp;"(H8599,IMPORTRANGE(""https://docs.google.com/spreadsheets/d/14Bd19lYaqBhU8_DElYkX7l4wRkHqqCUFNJY4AfY3kHU/edit?usp=sharing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8" s="7" t="s">
        <v>29</v>
      </c>
    </row>
    <row r="8599" spans="1:10" ht="13.2">
      <c r="A8599" s="7">
        <v>8598</v>
      </c>
      <c r="B8599" s="7">
        <v>1</v>
      </c>
      <c r="C8599" s="7" t="s">
        <v>10</v>
      </c>
      <c r="D8599" s="7">
        <v>10522</v>
      </c>
      <c r="E8599" s="7" t="s">
        <v>28</v>
      </c>
      <c r="F8599" s="8" t="str">
        <f ca="1">IFERROR(__xludf.DUMMYFUNCTION("IF
(
C8600=""фізична особа""
,
VLOOKUP(D8600,IMPORTRANGE(""https://docs.google.com/spreadsheets/d/14Bd19lYaqBhU8_DElYkX7l4wRkHqqCUFNJY4AfY3kHU/edit?usp=sharing  #gid=0"",""фіз особи new!relations_name""),6,FALSE)
,
(IF
(
C8600=""юридична особа""
,
VLOOKUP"&amp;"(D8600,IMPORTRANGE(""https://docs.google.com/spreadsheets/d/14Bd19lYaqBhU8_DElYkX7l4wRkHqqCUFNJY4AfY3kHU/edit?usp=sharing  #gid=0"",""фіз особи new!relations_name_uo""),7,FALSE)
,
)
))"),"НАГОВІЦИН Ігор Володимирович")</f>
        <v>НАГОВІЦИН Ігор Володимирович</v>
      </c>
      <c r="G8599" s="7" t="s">
        <v>10</v>
      </c>
      <c r="H8599" s="7">
        <v>2974</v>
      </c>
      <c r="I8599" s="8" t="str">
        <f ca="1">IFERROR(__xludf.DUMMYFUNCTION("IF
(
G8600=""фізична особа""
,
VLOOKUP(H8600,IMPORTRANGE(""https://docs.google.com/spreadsheets/d/14Bd19lYaqBhU8_DElYkX7l4wRkHqqCUFNJY4AfY3kHU/edit?usp=sharing  #gid=0"",""фіз особи new!relations_name""),6,FALSE)
,
(IF
(
G8600=""юридична особа""
,
VLOOKUP"&amp;"(H8600,IMPORTRANGE(""https://docs.google.com/spreadsheets/d/14Bd19lYaqBhU8_DElYkX7l4wRkHqqCUFNJY4AfY3kHU/edit?usp=sharing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599" s="7" t="s">
        <v>29</v>
      </c>
    </row>
    <row r="8600" spans="1:10" ht="13.2">
      <c r="A8600" s="7">
        <v>8599</v>
      </c>
      <c r="B8600" s="7">
        <v>1</v>
      </c>
      <c r="C8600" s="7" t="s">
        <v>10</v>
      </c>
      <c r="D8600" s="7">
        <v>10523</v>
      </c>
      <c r="E8600" s="7" t="s">
        <v>28</v>
      </c>
      <c r="F8600" s="8" t="str">
        <f ca="1">IFERROR(__xludf.DUMMYFUNCTION("IF
(
C8601=""фізична особа""
,
VLOOKUP(D8601,IMPORTRANGE(""https://docs.google.com/spreadsheets/d/14Bd19lYaqBhU8_DElYkX7l4wRkHqqCUFNJY4AfY3kHU/edit?usp=sharing  #gid=0"",""фіз особи new!relations_name""),6,FALSE)
,
(IF
(
C8601=""юридична особа""
,
VLOOKUP"&amp;"(D8601,IMPORTRANGE(""https://docs.google.com/spreadsheets/d/14Bd19lYaqBhU8_DElYkX7l4wRkHqqCUFNJY4AfY3kHU/edit?usp=sharing  #gid=0"",""фіз особи new!relations_name_uo""),7,FALSE)
,
)
))"),"БОРИСОВ Денис Анатолійович")</f>
        <v>БОРИСОВ Денис Анатолійович</v>
      </c>
      <c r="G8600" s="7" t="s">
        <v>10</v>
      </c>
      <c r="H8600" s="7">
        <v>2974</v>
      </c>
      <c r="I8600" s="8" t="str">
        <f ca="1">IFERROR(__xludf.DUMMYFUNCTION("IF
(
G8601=""фізична особа""
,
VLOOKUP(H8601,IMPORTRANGE(""https://docs.google.com/spreadsheets/d/14Bd19lYaqBhU8_DElYkX7l4wRkHqqCUFNJY4AfY3kHU/edit?usp=sharing  #gid=0"",""фіз особи new!relations_name""),6,FALSE)
,
(IF
(
G8601=""юридична особа""
,
VLOOKUP"&amp;"(H8601,IMPORTRANGE(""https://docs.google.com/spreadsheets/d/14Bd19lYaqBhU8_DElYkX7l4wRkHqqCUFNJY4AfY3kHU/edit?usp=sharing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0" s="7" t="s">
        <v>29</v>
      </c>
    </row>
    <row r="8601" spans="1:10" ht="13.2">
      <c r="A8601" s="7">
        <v>8600</v>
      </c>
      <c r="B8601" s="7">
        <v>1</v>
      </c>
      <c r="C8601" s="7" t="s">
        <v>10</v>
      </c>
      <c r="D8601" s="7">
        <v>10524</v>
      </c>
      <c r="E8601" s="7" t="s">
        <v>28</v>
      </c>
      <c r="F8601" s="8" t="str">
        <f ca="1">IFERROR(__xludf.DUMMYFUNCTION("IF
(
C8602=""фізична особа""
,
VLOOKUP(D8602,IMPORTRANGE(""https://docs.google.com/spreadsheets/d/14Bd19lYaqBhU8_DElYkX7l4wRkHqqCUFNJY4AfY3kHU/edit?usp=sharing  #gid=0"",""фіз особи new!relations_name""),6,FALSE)
,
(IF
(
C8602=""юридична особа""
,
VLOOKUP"&amp;"(D8602,IMPORTRANGE(""https://docs.google.com/spreadsheets/d/14Bd19lYaqBhU8_DElYkX7l4wRkHqqCUFNJY4AfY3kHU/edit?usp=sharing  #gid=0"",""фіз особи new!relations_name_uo""),7,FALSE)
,
)
))"),"НЕВЄДОМСЬКИЙ Сергій Анатолійович")</f>
        <v>НЕВЄДОМСЬКИЙ Сергій Анатолійович</v>
      </c>
      <c r="G8601" s="7" t="s">
        <v>10</v>
      </c>
      <c r="H8601" s="7">
        <v>2974</v>
      </c>
      <c r="I8601" s="8" t="str">
        <f ca="1">IFERROR(__xludf.DUMMYFUNCTION("IF
(
G8602=""фізична особа""
,
VLOOKUP(H8602,IMPORTRANGE(""https://docs.google.com/spreadsheets/d/14Bd19lYaqBhU8_DElYkX7l4wRkHqqCUFNJY4AfY3kHU/edit?usp=sharing  #gid=0"",""фіз особи new!relations_name""),6,FALSE)
,
(IF
(
G8602=""юридична особа""
,
VLOOKUP"&amp;"(H8602,IMPORTRANGE(""https://docs.google.com/spreadsheets/d/14Bd19lYaqBhU8_DElYkX7l4wRkHqqCUFNJY4AfY3kHU/edit?usp=sharing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1" s="7" t="s">
        <v>29</v>
      </c>
    </row>
    <row r="8602" spans="1:10" ht="13.2">
      <c r="A8602" s="7">
        <v>8601</v>
      </c>
      <c r="B8602" s="7">
        <v>1</v>
      </c>
      <c r="C8602" s="7" t="s">
        <v>10</v>
      </c>
      <c r="D8602" s="7">
        <v>10525</v>
      </c>
      <c r="E8602" s="7" t="s">
        <v>28</v>
      </c>
      <c r="F8602" s="8" t="str">
        <f ca="1">IFERROR(__xludf.DUMMYFUNCTION("IF
(
C8603=""фізична особа""
,
VLOOKUP(D8603,IMPORTRANGE(""https://docs.google.com/spreadsheets/d/14Bd19lYaqBhU8_DElYkX7l4wRkHqqCUFNJY4AfY3kHU/edit?usp=sharing  #gid=0"",""фіз особи new!relations_name""),6,FALSE)
,
(IF
(
C8603=""юридична особа""
,
VLOOKUP"&amp;"(D8603,IMPORTRANGE(""https://docs.google.com/spreadsheets/d/14Bd19lYaqBhU8_DElYkX7l4wRkHqqCUFNJY4AfY3kHU/edit?usp=sharing  #gid=0"",""фіз особи new!relations_name_uo""),7,FALSE)
,
)
))"),"БРОВЧЕНКО Дмитрий Леонидович")</f>
        <v>БРОВЧЕНКО Дмитрий Леонидович</v>
      </c>
      <c r="G8602" s="7" t="s">
        <v>10</v>
      </c>
      <c r="H8602" s="7">
        <v>2974</v>
      </c>
      <c r="I8602" s="8" t="str">
        <f ca="1">IFERROR(__xludf.DUMMYFUNCTION("IF
(
G8603=""фізична особа""
,
VLOOKUP(H8603,IMPORTRANGE(""https://docs.google.com/spreadsheets/d/14Bd19lYaqBhU8_DElYkX7l4wRkHqqCUFNJY4AfY3kHU/edit?usp=sharing  #gid=0"",""фіз особи new!relations_name""),6,FALSE)
,
(IF
(
G8603=""юридична особа""
,
VLOOKUP"&amp;"(H8603,IMPORTRANGE(""https://docs.google.com/spreadsheets/d/14Bd19lYaqBhU8_DElYkX7l4wRkHqqCUFNJY4AfY3kHU/edit?usp=sharing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2" s="7" t="s">
        <v>29</v>
      </c>
    </row>
    <row r="8603" spans="1:10" ht="13.2">
      <c r="A8603" s="7">
        <v>8602</v>
      </c>
      <c r="B8603" s="7">
        <v>1</v>
      </c>
      <c r="C8603" s="7" t="s">
        <v>10</v>
      </c>
      <c r="D8603" s="7">
        <v>10526</v>
      </c>
      <c r="E8603" s="7" t="s">
        <v>28</v>
      </c>
      <c r="F8603" s="8" t="str">
        <f ca="1">IFERROR(__xludf.DUMMYFUNCTION("IF
(
C8604=""фізична особа""
,
VLOOKUP(D8604,IMPORTRANGE(""https://docs.google.com/spreadsheets/d/14Bd19lYaqBhU8_DElYkX7l4wRkHqqCUFNJY4AfY3kHU/edit?usp=sharing  #gid=0"",""фіз особи new!relations_name""),6,FALSE)
,
(IF
(
C8604=""юридична особа""
,
VLOOKUP"&amp;"(D8604,IMPORTRANGE(""https://docs.google.com/spreadsheets/d/14Bd19lYaqBhU8_DElYkX7l4wRkHqqCUFNJY4AfY3kHU/edit?usp=sharing  #gid=0"",""фіз особи new!relations_name_uo""),7,FALSE)
,
)
))"),"МОРКОВКІН Леонід Ігорович")</f>
        <v>МОРКОВКІН Леонід Ігорович</v>
      </c>
      <c r="G8603" s="7" t="s">
        <v>10</v>
      </c>
      <c r="H8603" s="7">
        <v>2974</v>
      </c>
      <c r="I8603" s="8" t="str">
        <f ca="1">IFERROR(__xludf.DUMMYFUNCTION("IF
(
G8604=""фізична особа""
,
VLOOKUP(H8604,IMPORTRANGE(""https://docs.google.com/spreadsheets/d/14Bd19lYaqBhU8_DElYkX7l4wRkHqqCUFNJY4AfY3kHU/edit?usp=sharing  #gid=0"",""фіз особи new!relations_name""),6,FALSE)
,
(IF
(
G8604=""юридична особа""
,
VLOOKUP"&amp;"(H8604,IMPORTRANGE(""https://docs.google.com/spreadsheets/d/14Bd19lYaqBhU8_DElYkX7l4wRkHqqCUFNJY4AfY3kHU/edit?usp=sharing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3" s="7" t="s">
        <v>29</v>
      </c>
    </row>
    <row r="8604" spans="1:10" ht="13.2">
      <c r="A8604" s="7">
        <v>8603</v>
      </c>
      <c r="B8604" s="7">
        <v>1</v>
      </c>
      <c r="C8604" s="7" t="s">
        <v>10</v>
      </c>
      <c r="D8604" s="7">
        <v>10527</v>
      </c>
      <c r="E8604" s="7" t="s">
        <v>28</v>
      </c>
      <c r="F8604" s="8" t="str">
        <f ca="1">IFERROR(__xludf.DUMMYFUNCTION("IF
(
C8605=""фізична особа""
,
VLOOKUP(D8605,IMPORTRANGE(""https://docs.google.com/spreadsheets/d/14Bd19lYaqBhU8_DElYkX7l4wRkHqqCUFNJY4AfY3kHU/edit?usp=sharing  #gid=0"",""фіз особи new!relations_name""),6,FALSE)
,
(IF
(
C8605=""юридична особа""
,
VLOOKUP"&amp;"(D8605,IMPORTRANGE(""https://docs.google.com/spreadsheets/d/14Bd19lYaqBhU8_DElYkX7l4wRkHqqCUFNJY4AfY3kHU/edit?usp=sharing  #gid=0"",""фіз особи new!relations_name_uo""),7,FALSE)
,
)
))"),"ШЕРСТНЬОВ Руслан Олексійович")</f>
        <v>ШЕРСТНЬОВ Руслан Олексійович</v>
      </c>
      <c r="G8604" s="7" t="s">
        <v>10</v>
      </c>
      <c r="H8604" s="7">
        <v>2974</v>
      </c>
      <c r="I8604" s="8" t="str">
        <f ca="1">IFERROR(__xludf.DUMMYFUNCTION("IF
(
G8605=""фізична особа""
,
VLOOKUP(H8605,IMPORTRANGE(""https://docs.google.com/spreadsheets/d/14Bd19lYaqBhU8_DElYkX7l4wRkHqqCUFNJY4AfY3kHU/edit?usp=sharing  #gid=0"",""фіз особи new!relations_name""),6,FALSE)
,
(IF
(
G8605=""юридична особа""
,
VLOOKUP"&amp;"(H8605,IMPORTRANGE(""https://docs.google.com/spreadsheets/d/14Bd19lYaqBhU8_DElYkX7l4wRkHqqCUFNJY4AfY3kHU/edit?usp=sharing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4" s="7" t="s">
        <v>29</v>
      </c>
    </row>
    <row r="8605" spans="1:10" ht="13.2">
      <c r="A8605" s="7">
        <v>8604</v>
      </c>
      <c r="B8605" s="7">
        <v>1</v>
      </c>
      <c r="C8605" s="7" t="s">
        <v>10</v>
      </c>
      <c r="D8605" s="7">
        <v>10528</v>
      </c>
      <c r="E8605" s="7" t="s">
        <v>28</v>
      </c>
      <c r="F8605" s="8" t="str">
        <f ca="1">IFERROR(__xludf.DUMMYFUNCTION("IF
(
C8606=""фізична особа""
,
VLOOKUP(D8606,IMPORTRANGE(""https://docs.google.com/spreadsheets/d/14Bd19lYaqBhU8_DElYkX7l4wRkHqqCUFNJY4AfY3kHU/edit?usp=sharing  #gid=0"",""фіз особи new!relations_name""),6,FALSE)
,
(IF
(
C8606=""юридична особа""
,
VLOOKUP"&amp;"(D8606,IMPORTRANGE(""https://docs.google.com/spreadsheets/d/14Bd19lYaqBhU8_DElYkX7l4wRkHqqCUFNJY4AfY3kHU/edit?usp=sharing  #gid=0"",""фіз особи new!relations_name_uo""),7,FALSE)
,
)
))"),"ІЛЬКІН Микола Кузьмич")</f>
        <v>ІЛЬКІН Микола Кузьмич</v>
      </c>
      <c r="G8605" s="7" t="s">
        <v>10</v>
      </c>
      <c r="H8605" s="7">
        <v>2974</v>
      </c>
      <c r="I8605" s="8" t="str">
        <f ca="1">IFERROR(__xludf.DUMMYFUNCTION("IF
(
G8606=""фізична особа""
,
VLOOKUP(H8606,IMPORTRANGE(""https://docs.google.com/spreadsheets/d/14Bd19lYaqBhU8_DElYkX7l4wRkHqqCUFNJY4AfY3kHU/edit?usp=sharing  #gid=0"",""фіз особи new!relations_name""),6,FALSE)
,
(IF
(
G8606=""юридична особа""
,
VLOOKUP"&amp;"(H8606,IMPORTRANGE(""https://docs.google.com/spreadsheets/d/14Bd19lYaqBhU8_DElYkX7l4wRkHqqCUFNJY4AfY3kHU/edit?usp=sharing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5" s="7" t="s">
        <v>29</v>
      </c>
    </row>
    <row r="8606" spans="1:10" ht="13.2">
      <c r="A8606" s="7">
        <v>8605</v>
      </c>
      <c r="B8606" s="7">
        <v>1</v>
      </c>
      <c r="C8606" s="7" t="s">
        <v>10</v>
      </c>
      <c r="D8606" s="7">
        <v>10529</v>
      </c>
      <c r="E8606" s="7" t="s">
        <v>28</v>
      </c>
      <c r="F8606" s="8" t="str">
        <f ca="1">IFERROR(__xludf.DUMMYFUNCTION("IF
(
C8607=""фізична особа""
,
VLOOKUP(D8607,IMPORTRANGE(""https://docs.google.com/spreadsheets/d/14Bd19lYaqBhU8_DElYkX7l4wRkHqqCUFNJY4AfY3kHU/edit?usp=sharing  #gid=0"",""фіз особи new!relations_name""),6,FALSE)
,
(IF
(
C8607=""юридична особа""
,
VLOOKUP"&amp;"(D8607,IMPORTRANGE(""https://docs.google.com/spreadsheets/d/14Bd19lYaqBhU8_DElYkX7l4wRkHqqCUFNJY4AfY3kHU/edit?usp=sharing  #gid=0"",""фіз особи new!relations_name_uo""),7,FALSE)
,
)
))"),"МУРАТОВ Закір Рамільович")</f>
        <v>МУРАТОВ Закір Рамільович</v>
      </c>
      <c r="G8606" s="7" t="s">
        <v>10</v>
      </c>
      <c r="H8606" s="7">
        <v>2974</v>
      </c>
      <c r="I8606" s="8" t="str">
        <f ca="1">IFERROR(__xludf.DUMMYFUNCTION("IF
(
G8607=""фізична особа""
,
VLOOKUP(H8607,IMPORTRANGE(""https://docs.google.com/spreadsheets/d/14Bd19lYaqBhU8_DElYkX7l4wRkHqqCUFNJY4AfY3kHU/edit?usp=sharing  #gid=0"",""фіз особи new!relations_name""),6,FALSE)
,
(IF
(
G8607=""юридична особа""
,
VLOOKUP"&amp;"(H8607,IMPORTRANGE(""https://docs.google.com/spreadsheets/d/14Bd19lYaqBhU8_DElYkX7l4wRkHqqCUFNJY4AfY3kHU/edit?usp=sharing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6" s="7" t="s">
        <v>29</v>
      </c>
    </row>
    <row r="8607" spans="1:10" ht="13.2">
      <c r="A8607" s="7">
        <v>8606</v>
      </c>
      <c r="B8607" s="7">
        <v>1</v>
      </c>
      <c r="C8607" s="7" t="s">
        <v>10</v>
      </c>
      <c r="D8607" s="7">
        <v>10530</v>
      </c>
      <c r="E8607" s="7" t="s">
        <v>28</v>
      </c>
      <c r="F8607" s="8" t="str">
        <f ca="1">IFERROR(__xludf.DUMMYFUNCTION("IF
(
C8608=""фізична особа""
,
VLOOKUP(D8608,IMPORTRANGE(""https://docs.google.com/spreadsheets/d/14Bd19lYaqBhU8_DElYkX7l4wRkHqqCUFNJY4AfY3kHU/edit?usp=sharing  #gid=0"",""фіз особи new!relations_name""),6,FALSE)
,
(IF
(
C8608=""юридична особа""
,
VLOOKUP"&amp;"(D8608,IMPORTRANGE(""https://docs.google.com/spreadsheets/d/14Bd19lYaqBhU8_DElYkX7l4wRkHqqCUFNJY4AfY3kHU/edit?usp=sharing  #gid=0"",""фіз особи new!relations_name_uo""),7,FALSE)
,
)
))"),"РЕШЕТНЯК Ілля Миколайович")</f>
        <v>РЕШЕТНЯК Ілля Миколайович</v>
      </c>
      <c r="G8607" s="7" t="s">
        <v>10</v>
      </c>
      <c r="H8607" s="7">
        <v>2974</v>
      </c>
      <c r="I8607" s="8" t="str">
        <f ca="1">IFERROR(__xludf.DUMMYFUNCTION("IF
(
G8608=""фізична особа""
,
VLOOKUP(H8608,IMPORTRANGE(""https://docs.google.com/spreadsheets/d/14Bd19lYaqBhU8_DElYkX7l4wRkHqqCUFNJY4AfY3kHU/edit?usp=sharing  #gid=0"",""фіз особи new!relations_name""),6,FALSE)
,
(IF
(
G8608=""юридична особа""
,
VLOOKUP"&amp;"(H8608,IMPORTRANGE(""https://docs.google.com/spreadsheets/d/14Bd19lYaqBhU8_DElYkX7l4wRkHqqCUFNJY4AfY3kHU/edit?usp=sharing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7" s="7" t="s">
        <v>29</v>
      </c>
    </row>
    <row r="8608" spans="1:10" ht="13.2">
      <c r="A8608" s="7">
        <v>8607</v>
      </c>
      <c r="B8608" s="7">
        <v>1</v>
      </c>
      <c r="C8608" s="7" t="s">
        <v>10</v>
      </c>
      <c r="D8608" s="7">
        <v>10531</v>
      </c>
      <c r="E8608" s="7" t="s">
        <v>28</v>
      </c>
      <c r="F8608" s="8" t="str">
        <f ca="1">IFERROR(__xludf.DUMMYFUNCTION("IF
(
C8609=""фізична особа""
,
VLOOKUP(D8609,IMPORTRANGE(""https://docs.google.com/spreadsheets/d/14Bd19lYaqBhU8_DElYkX7l4wRkHqqCUFNJY4AfY3kHU/edit?usp=sharing  #gid=0"",""фіз особи new!relations_name""),6,FALSE)
,
(IF
(
C8609=""юридична особа""
,
VLOOKUP"&amp;"(D8609,IMPORTRANGE(""https://docs.google.com/spreadsheets/d/14Bd19lYaqBhU8_DElYkX7l4wRkHqqCUFNJY4AfY3kHU/edit?usp=sharing  #gid=0"",""фіз особи new!relations_name_uo""),7,FALSE)
,
)
))"),"ТАГАЄВ Андрій Олександрович")</f>
        <v>ТАГАЄВ Андрій Олександрович</v>
      </c>
      <c r="G8608" s="7" t="s">
        <v>10</v>
      </c>
      <c r="H8608" s="7">
        <v>2974</v>
      </c>
      <c r="I8608" s="8" t="str">
        <f ca="1">IFERROR(__xludf.DUMMYFUNCTION("IF
(
G8609=""фізична особа""
,
VLOOKUP(H8609,IMPORTRANGE(""https://docs.google.com/spreadsheets/d/14Bd19lYaqBhU8_DElYkX7l4wRkHqqCUFNJY4AfY3kHU/edit?usp=sharing  #gid=0"",""фіз особи new!relations_name""),6,FALSE)
,
(IF
(
G8609=""юридична особа""
,
VLOOKUP"&amp;"(H8609,IMPORTRANGE(""https://docs.google.com/spreadsheets/d/14Bd19lYaqBhU8_DElYkX7l4wRkHqqCUFNJY4AfY3kHU/edit?usp=sharing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8" s="7" t="s">
        <v>29</v>
      </c>
    </row>
    <row r="8609" spans="1:10" ht="13.2">
      <c r="A8609" s="7">
        <v>8608</v>
      </c>
      <c r="B8609" s="7">
        <v>1</v>
      </c>
      <c r="C8609" s="7" t="s">
        <v>10</v>
      </c>
      <c r="D8609" s="7">
        <v>10532</v>
      </c>
      <c r="E8609" s="7" t="s">
        <v>28</v>
      </c>
      <c r="F8609" s="8" t="str">
        <f ca="1">IFERROR(__xludf.DUMMYFUNCTION("IF
(
C8610=""фізична особа""
,
VLOOKUP(D8610,IMPORTRANGE(""https://docs.google.com/spreadsheets/d/14Bd19lYaqBhU8_DElYkX7l4wRkHqqCUFNJY4AfY3kHU/edit?usp=sharing  #gid=0"",""фіз особи new!relations_name""),6,FALSE)
,
(IF
(
C8610=""юридична особа""
,
VLOOKUP"&amp;"(D8610,IMPORTRANGE(""https://docs.google.com/spreadsheets/d/14Bd19lYaqBhU8_DElYkX7l4wRkHqqCUFNJY4AfY3kHU/edit?usp=sharing  #gid=0"",""фіз особи new!relations_name_uo""),7,FALSE)
,
)
))"),"ЛАШКОВА Ганна Євгенівна")</f>
        <v>ЛАШКОВА Ганна Євгенівна</v>
      </c>
      <c r="G8609" s="7" t="s">
        <v>10</v>
      </c>
      <c r="H8609" s="7">
        <v>2974</v>
      </c>
      <c r="I8609" s="8" t="str">
        <f ca="1">IFERROR(__xludf.DUMMYFUNCTION("IF
(
G8610=""фізична особа""
,
VLOOKUP(H8610,IMPORTRANGE(""https://docs.google.com/spreadsheets/d/14Bd19lYaqBhU8_DElYkX7l4wRkHqqCUFNJY4AfY3kHU/edit?usp=sharing  #gid=0"",""фіз особи new!relations_name""),6,FALSE)
,
(IF
(
G8610=""юридична особа""
,
VLOOKUP"&amp;"(H8610,IMPORTRANGE(""https://docs.google.com/spreadsheets/d/14Bd19lYaqBhU8_DElYkX7l4wRkHqqCUFNJY4AfY3kHU/edit?usp=sharing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09" s="7" t="s">
        <v>29</v>
      </c>
    </row>
    <row r="8610" spans="1:10" ht="13.2">
      <c r="A8610" s="7">
        <v>8609</v>
      </c>
      <c r="B8610" s="7">
        <v>1</v>
      </c>
      <c r="C8610" s="7" t="s">
        <v>10</v>
      </c>
      <c r="D8610" s="7">
        <v>10533</v>
      </c>
      <c r="E8610" s="7" t="s">
        <v>28</v>
      </c>
      <c r="F8610" s="8" t="str">
        <f ca="1">IFERROR(__xludf.DUMMYFUNCTION("IF
(
C8611=""фізична особа""
,
VLOOKUP(D8611,IMPORTRANGE(""https://docs.google.com/spreadsheets/d/14Bd19lYaqBhU8_DElYkX7l4wRkHqqCUFNJY4AfY3kHU/edit?usp=sharing  #gid=0"",""фіз особи new!relations_name""),6,FALSE)
,
(IF
(
C8611=""юридична особа""
,
VLOOKUP"&amp;"(D8611,IMPORTRANGE(""https://docs.google.com/spreadsheets/d/14Bd19lYaqBhU8_DElYkX7l4wRkHqqCUFNJY4AfY3kHU/edit?usp=sharing  #gid=0"",""фіз особи new!relations_name_uo""),7,FALSE)
,
)
))"),"ГОНЧАРОВ Олег Валерійович")</f>
        <v>ГОНЧАРОВ Олег Валерійович</v>
      </c>
      <c r="G8610" s="7" t="s">
        <v>10</v>
      </c>
      <c r="H8610" s="7">
        <v>2974</v>
      </c>
      <c r="I8610" s="8" t="str">
        <f ca="1">IFERROR(__xludf.DUMMYFUNCTION("IF
(
G8611=""фізична особа""
,
VLOOKUP(H8611,IMPORTRANGE(""https://docs.google.com/spreadsheets/d/14Bd19lYaqBhU8_DElYkX7l4wRkHqqCUFNJY4AfY3kHU/edit?usp=sharing  #gid=0"",""фіз особи new!relations_name""),6,FALSE)
,
(IF
(
G8611=""юридична особа""
,
VLOOKUP"&amp;"(H8611,IMPORTRANGE(""https://docs.google.com/spreadsheets/d/14Bd19lYaqBhU8_DElYkX7l4wRkHqqCUFNJY4AfY3kHU/edit?usp=sharing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0" s="7" t="s">
        <v>29</v>
      </c>
    </row>
    <row r="8611" spans="1:10" ht="13.2">
      <c r="A8611" s="7">
        <v>8610</v>
      </c>
      <c r="B8611" s="7">
        <v>1</v>
      </c>
      <c r="C8611" s="7" t="s">
        <v>10</v>
      </c>
      <c r="D8611" s="7">
        <v>10534</v>
      </c>
      <c r="E8611" s="7" t="s">
        <v>28</v>
      </c>
      <c r="F8611" s="8" t="str">
        <f ca="1">IFERROR(__xludf.DUMMYFUNCTION("IF
(
C8612=""фізична особа""
,
VLOOKUP(D8612,IMPORTRANGE(""https://docs.google.com/spreadsheets/d/14Bd19lYaqBhU8_DElYkX7l4wRkHqqCUFNJY4AfY3kHU/edit?usp=sharing  #gid=0"",""фіз особи new!relations_name""),6,FALSE)
,
(IF
(
C8612=""юридична особа""
,
VLOOKUP"&amp;"(D8612,IMPORTRANGE(""https://docs.google.com/spreadsheets/d/14Bd19lYaqBhU8_DElYkX7l4wRkHqqCUFNJY4AfY3kHU/edit?usp=sharing  #gid=0"",""фіз особи new!relations_name_uo""),7,FALSE)
,
)
))"),"КРУЧИНКІН ​​Дмитро Володимирович")</f>
        <v>КРУЧИНКІН ​​Дмитро Володимирович</v>
      </c>
      <c r="G8611" s="7" t="s">
        <v>10</v>
      </c>
      <c r="H8611" s="7">
        <v>2974</v>
      </c>
      <c r="I8611" s="8" t="str">
        <f ca="1">IFERROR(__xludf.DUMMYFUNCTION("IF
(
G8612=""фізична особа""
,
VLOOKUP(H8612,IMPORTRANGE(""https://docs.google.com/spreadsheets/d/14Bd19lYaqBhU8_DElYkX7l4wRkHqqCUFNJY4AfY3kHU/edit?usp=sharing  #gid=0"",""фіз особи new!relations_name""),6,FALSE)
,
(IF
(
G8612=""юридична особа""
,
VLOOKUP"&amp;"(H8612,IMPORTRANGE(""https://docs.google.com/spreadsheets/d/14Bd19lYaqBhU8_DElYkX7l4wRkHqqCUFNJY4AfY3kHU/edit?usp=sharing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1" s="7" t="s">
        <v>29</v>
      </c>
    </row>
    <row r="8612" spans="1:10" ht="13.2">
      <c r="A8612" s="7">
        <v>8611</v>
      </c>
      <c r="B8612" s="7">
        <v>1</v>
      </c>
      <c r="C8612" s="7" t="s">
        <v>10</v>
      </c>
      <c r="D8612" s="7">
        <v>10535</v>
      </c>
      <c r="E8612" s="7" t="s">
        <v>28</v>
      </c>
      <c r="F8612" s="8" t="str">
        <f ca="1">IFERROR(__xludf.DUMMYFUNCTION("IF
(
C8613=""фізична особа""
,
VLOOKUP(D8613,IMPORTRANGE(""https://docs.google.com/spreadsheets/d/14Bd19lYaqBhU8_DElYkX7l4wRkHqqCUFNJY4AfY3kHU/edit?usp=sharing  #gid=0"",""фіз особи new!relations_name""),6,FALSE)
,
(IF
(
C8613=""юридична особа""
,
VLOOKUP"&amp;"(D8613,IMPORTRANGE(""https://docs.google.com/spreadsheets/d/14Bd19lYaqBhU8_DElYkX7l4wRkHqqCUFNJY4AfY3kHU/edit?usp=sharing  #gid=0"",""фіз особи new!relations_name_uo""),7,FALSE)
,
)
))"),"САЛМІНА Ірина Олександрівна")</f>
        <v>САЛМІНА Ірина Олександрівна</v>
      </c>
      <c r="G8612" s="7" t="s">
        <v>10</v>
      </c>
      <c r="H8612" s="7">
        <v>2974</v>
      </c>
      <c r="I8612" s="8" t="str">
        <f ca="1">IFERROR(__xludf.DUMMYFUNCTION("IF
(
G8613=""фізична особа""
,
VLOOKUP(H8613,IMPORTRANGE(""https://docs.google.com/spreadsheets/d/14Bd19lYaqBhU8_DElYkX7l4wRkHqqCUFNJY4AfY3kHU/edit?usp=sharing  #gid=0"",""фіз особи new!relations_name""),6,FALSE)
,
(IF
(
G8613=""юридична особа""
,
VLOOKUP"&amp;"(H8613,IMPORTRANGE(""https://docs.google.com/spreadsheets/d/14Bd19lYaqBhU8_DElYkX7l4wRkHqqCUFNJY4AfY3kHU/edit?usp=sharing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2" s="7" t="s">
        <v>29</v>
      </c>
    </row>
    <row r="8613" spans="1:10" ht="13.2">
      <c r="A8613" s="7">
        <v>8612</v>
      </c>
      <c r="B8613" s="7">
        <v>1</v>
      </c>
      <c r="C8613" s="7" t="s">
        <v>10</v>
      </c>
      <c r="D8613" s="7">
        <v>10536</v>
      </c>
      <c r="E8613" s="7" t="s">
        <v>28</v>
      </c>
      <c r="F8613" s="8" t="str">
        <f ca="1">IFERROR(__xludf.DUMMYFUNCTION("IF
(
C8614=""фізична особа""
,
VLOOKUP(D8614,IMPORTRANGE(""https://docs.google.com/spreadsheets/d/14Bd19lYaqBhU8_DElYkX7l4wRkHqqCUFNJY4AfY3kHU/edit?usp=sharing  #gid=0"",""фіз особи new!relations_name""),6,FALSE)
,
(IF
(
C8614=""юридична особа""
,
VLOOKUP"&amp;"(D8614,IMPORTRANGE(""https://docs.google.com/spreadsheets/d/14Bd19lYaqBhU8_DElYkX7l4wRkHqqCUFNJY4AfY3kHU/edit?usp=sharing  #gid=0"",""фіз особи new!relations_name_uo""),7,FALSE)
,
)
))"),"ОЧКАЛОВ Олексій Валерійович")</f>
        <v>ОЧКАЛОВ Олексій Валерійович</v>
      </c>
      <c r="G8613" s="7" t="s">
        <v>10</v>
      </c>
      <c r="H8613" s="7">
        <v>2974</v>
      </c>
      <c r="I8613" s="8" t="str">
        <f ca="1">IFERROR(__xludf.DUMMYFUNCTION("IF
(
G8614=""фізична особа""
,
VLOOKUP(H8614,IMPORTRANGE(""https://docs.google.com/spreadsheets/d/14Bd19lYaqBhU8_DElYkX7l4wRkHqqCUFNJY4AfY3kHU/edit?usp=sharing  #gid=0"",""фіз особи new!relations_name""),6,FALSE)
,
(IF
(
G8614=""юридична особа""
,
VLOOKUP"&amp;"(H8614,IMPORTRANGE(""https://docs.google.com/spreadsheets/d/14Bd19lYaqBhU8_DElYkX7l4wRkHqqCUFNJY4AfY3kHU/edit?usp=sharing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3" s="7" t="s">
        <v>29</v>
      </c>
    </row>
    <row r="8614" spans="1:10" ht="13.2">
      <c r="A8614" s="7">
        <v>8613</v>
      </c>
      <c r="B8614" s="7">
        <v>1</v>
      </c>
      <c r="C8614" s="7" t="s">
        <v>10</v>
      </c>
      <c r="D8614" s="7">
        <v>10537</v>
      </c>
      <c r="E8614" s="7" t="s">
        <v>28</v>
      </c>
      <c r="F8614" s="8" t="str">
        <f ca="1">IFERROR(__xludf.DUMMYFUNCTION("IF
(
C8615=""фізична особа""
,
VLOOKUP(D8615,IMPORTRANGE(""https://docs.google.com/spreadsheets/d/14Bd19lYaqBhU8_DElYkX7l4wRkHqqCUFNJY4AfY3kHU/edit?usp=sharing  #gid=0"",""фіз особи new!relations_name""),6,FALSE)
,
(IF
(
C8615=""юридична особа""
,
VLOOKUP"&amp;"(D8615,IMPORTRANGE(""https://docs.google.com/spreadsheets/d/14Bd19lYaqBhU8_DElYkX7l4wRkHqqCUFNJY4AfY3kHU/edit?usp=sharing  #gid=0"",""фіз особи new!relations_name_uo""),7,FALSE)
,
)
))"),"АБАТУРОВ Гліб Володимирович")</f>
        <v>АБАТУРОВ Гліб Володимирович</v>
      </c>
      <c r="G8614" s="7" t="s">
        <v>10</v>
      </c>
      <c r="H8614" s="7">
        <v>2974</v>
      </c>
      <c r="I8614" s="8" t="str">
        <f ca="1">IFERROR(__xludf.DUMMYFUNCTION("IF
(
G8615=""фізична особа""
,
VLOOKUP(H8615,IMPORTRANGE(""https://docs.google.com/spreadsheets/d/14Bd19lYaqBhU8_DElYkX7l4wRkHqqCUFNJY4AfY3kHU/edit?usp=sharing  #gid=0"",""фіз особи new!relations_name""),6,FALSE)
,
(IF
(
G8615=""юридична особа""
,
VLOOKUP"&amp;"(H8615,IMPORTRANGE(""https://docs.google.com/spreadsheets/d/14Bd19lYaqBhU8_DElYkX7l4wRkHqqCUFNJY4AfY3kHU/edit?usp=sharing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4" s="7" t="s">
        <v>29</v>
      </c>
    </row>
    <row r="8615" spans="1:10" ht="13.2">
      <c r="A8615" s="7">
        <v>8614</v>
      </c>
      <c r="B8615" s="7">
        <v>1</v>
      </c>
      <c r="C8615" s="7" t="s">
        <v>10</v>
      </c>
      <c r="D8615" s="7">
        <v>10538</v>
      </c>
      <c r="E8615" s="7" t="s">
        <v>28</v>
      </c>
      <c r="F8615" s="8" t="str">
        <f ca="1">IFERROR(__xludf.DUMMYFUNCTION("IF
(
C8616=""фізична особа""
,
VLOOKUP(D8616,IMPORTRANGE(""https://docs.google.com/spreadsheets/d/14Bd19lYaqBhU8_DElYkX7l4wRkHqqCUFNJY4AfY3kHU/edit?usp=sharing  #gid=0"",""фіз особи new!relations_name""),6,FALSE)
,
(IF
(
C8616=""юридична особа""
,
VLOOKUP"&amp;"(D8616,IMPORTRANGE(""https://docs.google.com/spreadsheets/d/14Bd19lYaqBhU8_DElYkX7l4wRkHqqCUFNJY4AfY3kHU/edit?usp=sharing  #gid=0"",""фіз особи new!relations_name_uo""),7,FALSE)
,
)
))"),"МАЛЮШКІН Олександр Сергійович")</f>
        <v>МАЛЮШКІН Олександр Сергійович</v>
      </c>
      <c r="G8615" s="7" t="s">
        <v>10</v>
      </c>
      <c r="H8615" s="7">
        <v>2974</v>
      </c>
      <c r="I8615" s="8" t="str">
        <f ca="1">IFERROR(__xludf.DUMMYFUNCTION("IF
(
G8616=""фізична особа""
,
VLOOKUP(H8616,IMPORTRANGE(""https://docs.google.com/spreadsheets/d/14Bd19lYaqBhU8_DElYkX7l4wRkHqqCUFNJY4AfY3kHU/edit?usp=sharing  #gid=0"",""фіз особи new!relations_name""),6,FALSE)
,
(IF
(
G8616=""юридична особа""
,
VLOOKUP"&amp;"(H8616,IMPORTRANGE(""https://docs.google.com/spreadsheets/d/14Bd19lYaqBhU8_DElYkX7l4wRkHqqCUFNJY4AfY3kHU/edit?usp=sharing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5" s="7" t="s">
        <v>29</v>
      </c>
    </row>
    <row r="8616" spans="1:10" ht="13.2">
      <c r="A8616" s="7">
        <v>8615</v>
      </c>
      <c r="B8616" s="7">
        <v>1</v>
      </c>
      <c r="C8616" s="7" t="s">
        <v>10</v>
      </c>
      <c r="D8616" s="7">
        <v>10539</v>
      </c>
      <c r="E8616" s="7" t="s">
        <v>28</v>
      </c>
      <c r="F8616" s="8" t="str">
        <f ca="1">IFERROR(__xludf.DUMMYFUNCTION("IF
(
C8617=""фізична особа""
,
VLOOKUP(D8617,IMPORTRANGE(""https://docs.google.com/spreadsheets/d/14Bd19lYaqBhU8_DElYkX7l4wRkHqqCUFNJY4AfY3kHU/edit?usp=sharing  #gid=0"",""фіз особи new!relations_name""),6,FALSE)
,
(IF
(
C8617=""юридична особа""
,
VLOOKUP"&amp;"(D8617,IMPORTRANGE(""https://docs.google.com/spreadsheets/d/14Bd19lYaqBhU8_DElYkX7l4wRkHqqCUFNJY4AfY3kHU/edit?usp=sharing  #gid=0"",""фіз особи new!relations_name_uo""),7,FALSE)
,
)
))"),"БЕЗИЗВЕСТНИХ Тетяна Георгіївна")</f>
        <v>БЕЗИЗВЕСТНИХ Тетяна Георгіївна</v>
      </c>
      <c r="G8616" s="7" t="s">
        <v>10</v>
      </c>
      <c r="H8616" s="7">
        <v>2974</v>
      </c>
      <c r="I8616" s="8" t="str">
        <f ca="1">IFERROR(__xludf.DUMMYFUNCTION("IF
(
G8617=""фізична особа""
,
VLOOKUP(H8617,IMPORTRANGE(""https://docs.google.com/spreadsheets/d/14Bd19lYaqBhU8_DElYkX7l4wRkHqqCUFNJY4AfY3kHU/edit?usp=sharing  #gid=0"",""фіз особи new!relations_name""),6,FALSE)
,
(IF
(
G8617=""юридична особа""
,
VLOOKUP"&amp;"(H8617,IMPORTRANGE(""https://docs.google.com/spreadsheets/d/14Bd19lYaqBhU8_DElYkX7l4wRkHqqCUFNJY4AfY3kHU/edit?usp=sharing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6" s="7" t="s">
        <v>29</v>
      </c>
    </row>
    <row r="8617" spans="1:10" ht="13.2">
      <c r="A8617" s="7">
        <v>8616</v>
      </c>
      <c r="B8617" s="7">
        <v>1</v>
      </c>
      <c r="C8617" s="7" t="s">
        <v>10</v>
      </c>
      <c r="D8617" s="7">
        <v>10540</v>
      </c>
      <c r="E8617" s="7" t="s">
        <v>28</v>
      </c>
      <c r="F8617" s="8" t="str">
        <f ca="1">IFERROR(__xludf.DUMMYFUNCTION("IF
(
C8618=""фізична особа""
,
VLOOKUP(D8618,IMPORTRANGE(""https://docs.google.com/spreadsheets/d/14Bd19lYaqBhU8_DElYkX7l4wRkHqqCUFNJY4AfY3kHU/edit?usp=sharing  #gid=0"",""фіз особи new!relations_name""),6,FALSE)
,
(IF
(
C8618=""юридична особа""
,
VLOOKUP"&amp;"(D8618,IMPORTRANGE(""https://docs.google.com/spreadsheets/d/14Bd19lYaqBhU8_DElYkX7l4wRkHqqCUFNJY4AfY3kHU/edit?usp=sharing  #gid=0"",""фіз особи new!relations_name_uo""),7,FALSE)
,
)
))"),"КОЛЕСНІКОВ Сергій Анатолійович")</f>
        <v>КОЛЕСНІКОВ Сергій Анатолійович</v>
      </c>
      <c r="G8617" s="7" t="s">
        <v>10</v>
      </c>
      <c r="H8617" s="7">
        <v>2974</v>
      </c>
      <c r="I8617" s="8" t="str">
        <f ca="1">IFERROR(__xludf.DUMMYFUNCTION("IF
(
G8618=""фізична особа""
,
VLOOKUP(H8618,IMPORTRANGE(""https://docs.google.com/spreadsheets/d/14Bd19lYaqBhU8_DElYkX7l4wRkHqqCUFNJY4AfY3kHU/edit?usp=sharing  #gid=0"",""фіз особи new!relations_name""),6,FALSE)
,
(IF
(
G8618=""юридична особа""
,
VLOOKUP"&amp;"(H8618,IMPORTRANGE(""https://docs.google.com/spreadsheets/d/14Bd19lYaqBhU8_DElYkX7l4wRkHqqCUFNJY4AfY3kHU/edit?usp=sharing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7" s="7" t="s">
        <v>29</v>
      </c>
    </row>
    <row r="8618" spans="1:10" ht="13.2">
      <c r="A8618" s="7">
        <v>8617</v>
      </c>
      <c r="B8618" s="7">
        <v>1</v>
      </c>
      <c r="C8618" s="7" t="s">
        <v>10</v>
      </c>
      <c r="D8618" s="7">
        <v>10541</v>
      </c>
      <c r="E8618" s="7" t="s">
        <v>28</v>
      </c>
      <c r="F8618" s="8" t="str">
        <f ca="1">IFERROR(__xludf.DUMMYFUNCTION("IF
(
C8619=""фізична особа""
,
VLOOKUP(D8619,IMPORTRANGE(""https://docs.google.com/spreadsheets/d/14Bd19lYaqBhU8_DElYkX7l4wRkHqqCUFNJY4AfY3kHU/edit?usp=sharing  #gid=0"",""фіз особи new!relations_name""),6,FALSE)
,
(IF
(
C8619=""юридична особа""
,
VLOOKUP"&amp;"(D8619,IMPORTRANGE(""https://docs.google.com/spreadsheets/d/14Bd19lYaqBhU8_DElYkX7l4wRkHqqCUFNJY4AfY3kHU/edit?usp=sharing  #gid=0"",""фіз особи new!relations_name_uo""),7,FALSE)
,
)
))"),"ІХНО Олександр Олександрович")</f>
        <v>ІХНО Олександр Олександрович</v>
      </c>
      <c r="G8618" s="7" t="s">
        <v>10</v>
      </c>
      <c r="H8618" s="7">
        <v>2974</v>
      </c>
      <c r="I8618" s="8" t="str">
        <f ca="1">IFERROR(__xludf.DUMMYFUNCTION("IF
(
G8619=""фізична особа""
,
VLOOKUP(H8619,IMPORTRANGE(""https://docs.google.com/spreadsheets/d/14Bd19lYaqBhU8_DElYkX7l4wRkHqqCUFNJY4AfY3kHU/edit?usp=sharing  #gid=0"",""фіз особи new!relations_name""),6,FALSE)
,
(IF
(
G8619=""юридична особа""
,
VLOOKUP"&amp;"(H8619,IMPORTRANGE(""https://docs.google.com/spreadsheets/d/14Bd19lYaqBhU8_DElYkX7l4wRkHqqCUFNJY4AfY3kHU/edit?usp=sharing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8" s="7" t="s">
        <v>29</v>
      </c>
    </row>
    <row r="8619" spans="1:10" ht="13.2">
      <c r="A8619" s="7">
        <v>8618</v>
      </c>
      <c r="B8619" s="7">
        <v>1</v>
      </c>
      <c r="C8619" s="7" t="s">
        <v>10</v>
      </c>
      <c r="D8619" s="7">
        <v>10542</v>
      </c>
      <c r="E8619" s="7" t="s">
        <v>28</v>
      </c>
      <c r="F8619" s="8" t="str">
        <f ca="1">IFERROR(__xludf.DUMMYFUNCTION("IF
(
C8620=""фізична особа""
,
VLOOKUP(D8620,IMPORTRANGE(""https://docs.google.com/spreadsheets/d/14Bd19lYaqBhU8_DElYkX7l4wRkHqqCUFNJY4AfY3kHU/edit?usp=sharing  #gid=0"",""фіз особи new!relations_name""),6,FALSE)
,
(IF
(
C8620=""юридична особа""
,
VLOOKUP"&amp;"(D8620,IMPORTRANGE(""https://docs.google.com/spreadsheets/d/14Bd19lYaqBhU8_DElYkX7l4wRkHqqCUFNJY4AfY3kHU/edit?usp=sharing  #gid=0"",""фіз особи new!relations_name_uo""),7,FALSE)
,
)
))"),"МУХОРТОВ Роман Сергійович")</f>
        <v>МУХОРТОВ Роман Сергійович</v>
      </c>
      <c r="G8619" s="7" t="s">
        <v>10</v>
      </c>
      <c r="H8619" s="7">
        <v>2974</v>
      </c>
      <c r="I8619" s="8" t="str">
        <f ca="1">IFERROR(__xludf.DUMMYFUNCTION("IF
(
G8620=""фізична особа""
,
VLOOKUP(H8620,IMPORTRANGE(""https://docs.google.com/spreadsheets/d/14Bd19lYaqBhU8_DElYkX7l4wRkHqqCUFNJY4AfY3kHU/edit?usp=sharing  #gid=0"",""фіз особи new!relations_name""),6,FALSE)
,
(IF
(
G8620=""юридична особа""
,
VLOOKUP"&amp;"(H8620,IMPORTRANGE(""https://docs.google.com/spreadsheets/d/14Bd19lYaqBhU8_DElYkX7l4wRkHqqCUFNJY4AfY3kHU/edit?usp=sharing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19" s="7" t="s">
        <v>29</v>
      </c>
    </row>
    <row r="8620" spans="1:10" ht="13.2">
      <c r="A8620" s="7">
        <v>8619</v>
      </c>
      <c r="B8620" s="7">
        <v>1</v>
      </c>
      <c r="C8620" s="7" t="s">
        <v>10</v>
      </c>
      <c r="D8620" s="7">
        <v>10543</v>
      </c>
      <c r="E8620" s="7" t="s">
        <v>28</v>
      </c>
      <c r="F8620" s="8" t="str">
        <f ca="1">IFERROR(__xludf.DUMMYFUNCTION("IF
(
C8621=""фізична особа""
,
VLOOKUP(D8621,IMPORTRANGE(""https://docs.google.com/spreadsheets/d/14Bd19lYaqBhU8_DElYkX7l4wRkHqqCUFNJY4AfY3kHU/edit?usp=sharing  #gid=0"",""фіз особи new!relations_name""),6,FALSE)
,
(IF
(
C8621=""юридична особа""
,
VLOOKUP"&amp;"(D8621,IMPORTRANGE(""https://docs.google.com/spreadsheets/d/14Bd19lYaqBhU8_DElYkX7l4wRkHqqCUFNJY4AfY3kHU/edit?usp=sharing  #gid=0"",""фіз особи new!relations_name_uo""),7,FALSE)
,
)
))"),"РУДАКОВ Ігор Анатолійович")</f>
        <v>РУДАКОВ Ігор Анатолійович</v>
      </c>
      <c r="G8620" s="7" t="s">
        <v>10</v>
      </c>
      <c r="H8620" s="7">
        <v>2974</v>
      </c>
      <c r="I8620" s="8" t="str">
        <f ca="1">IFERROR(__xludf.DUMMYFUNCTION("IF
(
G8621=""фізична особа""
,
VLOOKUP(H8621,IMPORTRANGE(""https://docs.google.com/spreadsheets/d/14Bd19lYaqBhU8_DElYkX7l4wRkHqqCUFNJY4AfY3kHU/edit?usp=sharing  #gid=0"",""фіз особи new!relations_name""),6,FALSE)
,
(IF
(
G8621=""юридична особа""
,
VLOOKUP"&amp;"(H8621,IMPORTRANGE(""https://docs.google.com/spreadsheets/d/14Bd19lYaqBhU8_DElYkX7l4wRkHqqCUFNJY4AfY3kHU/edit?usp=sharing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0" s="7" t="s">
        <v>29</v>
      </c>
    </row>
    <row r="8621" spans="1:10" ht="13.2">
      <c r="A8621" s="7">
        <v>8620</v>
      </c>
      <c r="B8621" s="7">
        <v>1</v>
      </c>
      <c r="C8621" s="7" t="s">
        <v>10</v>
      </c>
      <c r="D8621" s="7">
        <v>10544</v>
      </c>
      <c r="E8621" s="7" t="s">
        <v>28</v>
      </c>
      <c r="F8621" s="8" t="str">
        <f ca="1">IFERROR(__xludf.DUMMYFUNCTION("IF
(
C8622=""фізична особа""
,
VLOOKUP(D8622,IMPORTRANGE(""https://docs.google.com/spreadsheets/d/14Bd19lYaqBhU8_DElYkX7l4wRkHqqCUFNJY4AfY3kHU/edit?usp=sharing  #gid=0"",""фіз особи new!relations_name""),6,FALSE)
,
(IF
(
C8622=""юридична особа""
,
VLOOKUP"&amp;"(D8622,IMPORTRANGE(""https://docs.google.com/spreadsheets/d/14Bd19lYaqBhU8_DElYkX7l4wRkHqqCUFNJY4AfY3kHU/edit?usp=sharing  #gid=0"",""фіз особи new!relations_name_uo""),7,FALSE)
,
)
))"),"ТКАЧЕНКО Дмитро Григорович")</f>
        <v>ТКАЧЕНКО Дмитро Григорович</v>
      </c>
      <c r="G8621" s="7" t="s">
        <v>10</v>
      </c>
      <c r="H8621" s="7">
        <v>2974</v>
      </c>
      <c r="I8621" s="8" t="str">
        <f ca="1">IFERROR(__xludf.DUMMYFUNCTION("IF
(
G8622=""фізична особа""
,
VLOOKUP(H8622,IMPORTRANGE(""https://docs.google.com/spreadsheets/d/14Bd19lYaqBhU8_DElYkX7l4wRkHqqCUFNJY4AfY3kHU/edit?usp=sharing  #gid=0"",""фіз особи new!relations_name""),6,FALSE)
,
(IF
(
G8622=""юридична особа""
,
VLOOKUP"&amp;"(H8622,IMPORTRANGE(""https://docs.google.com/spreadsheets/d/14Bd19lYaqBhU8_DElYkX7l4wRkHqqCUFNJY4AfY3kHU/edit?usp=sharing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1" s="7" t="s">
        <v>29</v>
      </c>
    </row>
    <row r="8622" spans="1:10" ht="13.2">
      <c r="A8622" s="7">
        <v>8621</v>
      </c>
      <c r="B8622" s="7">
        <v>1</v>
      </c>
      <c r="C8622" s="7" t="s">
        <v>10</v>
      </c>
      <c r="D8622" s="7">
        <v>10545</v>
      </c>
      <c r="E8622" s="7" t="s">
        <v>28</v>
      </c>
      <c r="F8622" s="8" t="str">
        <f ca="1">IFERROR(__xludf.DUMMYFUNCTION("IF
(
C8623=""фізична особа""
,
VLOOKUP(D8623,IMPORTRANGE(""https://docs.google.com/spreadsheets/d/14Bd19lYaqBhU8_DElYkX7l4wRkHqqCUFNJY4AfY3kHU/edit?usp=sharing  #gid=0"",""фіз особи new!relations_name""),6,FALSE)
,
(IF
(
C8623=""юридична особа""
,
VLOOKUP"&amp;"(D8623,IMPORTRANGE(""https://docs.google.com/spreadsheets/d/14Bd19lYaqBhU8_DElYkX7l4wRkHqqCUFNJY4AfY3kHU/edit?usp=sharing  #gid=0"",""фіз особи new!relations_name_uo""),7,FALSE)
,
)
))"),"ЮДІН Олександр Вікторович")</f>
        <v>ЮДІН Олександр Вікторович</v>
      </c>
      <c r="G8622" s="7" t="s">
        <v>10</v>
      </c>
      <c r="H8622" s="7">
        <v>2974</v>
      </c>
      <c r="I8622" s="8" t="str">
        <f ca="1">IFERROR(__xludf.DUMMYFUNCTION("IF
(
G8623=""фізична особа""
,
VLOOKUP(H8623,IMPORTRANGE(""https://docs.google.com/spreadsheets/d/14Bd19lYaqBhU8_DElYkX7l4wRkHqqCUFNJY4AfY3kHU/edit?usp=sharing  #gid=0"",""фіз особи new!relations_name""),6,FALSE)
,
(IF
(
G8623=""юридична особа""
,
VLOOKUP"&amp;"(H8623,IMPORTRANGE(""https://docs.google.com/spreadsheets/d/14Bd19lYaqBhU8_DElYkX7l4wRkHqqCUFNJY4AfY3kHU/edit?usp=sharing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2" s="7" t="s">
        <v>29</v>
      </c>
    </row>
    <row r="8623" spans="1:10" ht="13.2">
      <c r="A8623" s="7">
        <v>8622</v>
      </c>
      <c r="B8623" s="7">
        <v>1</v>
      </c>
      <c r="C8623" s="7" t="s">
        <v>10</v>
      </c>
      <c r="D8623" s="7">
        <v>10546</v>
      </c>
      <c r="E8623" s="7" t="s">
        <v>28</v>
      </c>
      <c r="F8623" s="8" t="str">
        <f ca="1">IFERROR(__xludf.DUMMYFUNCTION("IF
(
C8624=""фізична особа""
,
VLOOKUP(D8624,IMPORTRANGE(""https://docs.google.com/spreadsheets/d/14Bd19lYaqBhU8_DElYkX7l4wRkHqqCUFNJY4AfY3kHU/edit?usp=sharing  #gid=0"",""фіз особи new!relations_name""),6,FALSE)
,
(IF
(
C8624=""юридична особа""
,
VLOOKUP"&amp;"(D8624,IMPORTRANGE(""https://docs.google.com/spreadsheets/d/14Bd19lYaqBhU8_DElYkX7l4wRkHqqCUFNJY4AfY3kHU/edit?usp=sharing  #gid=0"",""фіз особи new!relations_name_uo""),7,FALSE)
,
)
))"),"КОСОГОРСЬКА Галина Володимирівна")</f>
        <v>КОСОГОРСЬКА Галина Володимирівна</v>
      </c>
      <c r="G8623" s="7" t="s">
        <v>10</v>
      </c>
      <c r="H8623" s="7">
        <v>2974</v>
      </c>
      <c r="I8623" s="8" t="str">
        <f ca="1">IFERROR(__xludf.DUMMYFUNCTION("IF
(
G8624=""фізична особа""
,
VLOOKUP(H8624,IMPORTRANGE(""https://docs.google.com/spreadsheets/d/14Bd19lYaqBhU8_DElYkX7l4wRkHqqCUFNJY4AfY3kHU/edit?usp=sharing  #gid=0"",""фіз особи new!relations_name""),6,FALSE)
,
(IF
(
G8624=""юридична особа""
,
VLOOKUP"&amp;"(H8624,IMPORTRANGE(""https://docs.google.com/spreadsheets/d/14Bd19lYaqBhU8_DElYkX7l4wRkHqqCUFNJY4AfY3kHU/edit?usp=sharing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3" s="7" t="s">
        <v>29</v>
      </c>
    </row>
    <row r="8624" spans="1:10" ht="13.2">
      <c r="A8624" s="7">
        <v>8623</v>
      </c>
      <c r="B8624" s="7">
        <v>1</v>
      </c>
      <c r="C8624" s="7" t="s">
        <v>10</v>
      </c>
      <c r="D8624" s="7">
        <v>10547</v>
      </c>
      <c r="E8624" s="7" t="s">
        <v>28</v>
      </c>
      <c r="F8624" s="8" t="str">
        <f ca="1">IFERROR(__xludf.DUMMYFUNCTION("IF
(
C8625=""фізична особа""
,
VLOOKUP(D8625,IMPORTRANGE(""https://docs.google.com/spreadsheets/d/14Bd19lYaqBhU8_DElYkX7l4wRkHqqCUFNJY4AfY3kHU/edit?usp=sharing  #gid=0"",""фіз особи new!relations_name""),6,FALSE)
,
(IF
(
C8625=""юридична особа""
,
VLOOKUP"&amp;"(D8625,IMPORTRANGE(""https://docs.google.com/spreadsheets/d/14Bd19lYaqBhU8_DElYkX7l4wRkHqqCUFNJY4AfY3kHU/edit?usp=sharing  #gid=0"",""фіз особи new!relations_name_uo""),7,FALSE)
,
)
))"),"КАЗАНОВ Євгеній Миколайович")</f>
        <v>КАЗАНОВ Євгеній Миколайович</v>
      </c>
      <c r="G8624" s="7" t="s">
        <v>10</v>
      </c>
      <c r="H8624" s="7">
        <v>2974</v>
      </c>
      <c r="I8624" s="8" t="str">
        <f ca="1">IFERROR(__xludf.DUMMYFUNCTION("IF
(
G8625=""фізична особа""
,
VLOOKUP(H8625,IMPORTRANGE(""https://docs.google.com/spreadsheets/d/14Bd19lYaqBhU8_DElYkX7l4wRkHqqCUFNJY4AfY3kHU/edit?usp=sharing  #gid=0"",""фіз особи new!relations_name""),6,FALSE)
,
(IF
(
G8625=""юридична особа""
,
VLOOKUP"&amp;"(H8625,IMPORTRANGE(""https://docs.google.com/spreadsheets/d/14Bd19lYaqBhU8_DElYkX7l4wRkHqqCUFNJY4AfY3kHU/edit?usp=sharing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4" s="7" t="s">
        <v>29</v>
      </c>
    </row>
    <row r="8625" spans="1:10" ht="13.2">
      <c r="A8625" s="7">
        <v>8624</v>
      </c>
      <c r="B8625" s="7">
        <v>1</v>
      </c>
      <c r="C8625" s="7" t="s">
        <v>10</v>
      </c>
      <c r="D8625" s="7">
        <v>10548</v>
      </c>
      <c r="E8625" s="7" t="s">
        <v>28</v>
      </c>
      <c r="F8625" s="8" t="str">
        <f ca="1">IFERROR(__xludf.DUMMYFUNCTION("IF
(
C8626=""фізична особа""
,
VLOOKUP(D8626,IMPORTRANGE(""https://docs.google.com/spreadsheets/d/14Bd19lYaqBhU8_DElYkX7l4wRkHqqCUFNJY4AfY3kHU/edit?usp=sharing  #gid=0"",""фіз особи new!relations_name""),6,FALSE)
,
(IF
(
C8626=""юридична особа""
,
VLOOKUP"&amp;"(D8626,IMPORTRANGE(""https://docs.google.com/spreadsheets/d/14Bd19lYaqBhU8_DElYkX7l4wRkHqqCUFNJY4AfY3kHU/edit?usp=sharing  #gid=0"",""фіз особи new!relations_name_uo""),7,FALSE)
,
)
))"),"МОСЄЄНКОВ Олександр Володимирович")</f>
        <v>МОСЄЄНКОВ Олександр Володимирович</v>
      </c>
      <c r="G8625" s="7" t="s">
        <v>10</v>
      </c>
      <c r="H8625" s="7">
        <v>2974</v>
      </c>
      <c r="I8625" s="8" t="str">
        <f ca="1">IFERROR(__xludf.DUMMYFUNCTION("IF
(
G8626=""фізична особа""
,
VLOOKUP(H8626,IMPORTRANGE(""https://docs.google.com/spreadsheets/d/14Bd19lYaqBhU8_DElYkX7l4wRkHqqCUFNJY4AfY3kHU/edit?usp=sharing  #gid=0"",""фіз особи new!relations_name""),6,FALSE)
,
(IF
(
G8626=""юридична особа""
,
VLOOKUP"&amp;"(H8626,IMPORTRANGE(""https://docs.google.com/spreadsheets/d/14Bd19lYaqBhU8_DElYkX7l4wRkHqqCUFNJY4AfY3kHU/edit?usp=sharing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5" s="7" t="s">
        <v>29</v>
      </c>
    </row>
    <row r="8626" spans="1:10" ht="13.2">
      <c r="A8626" s="7">
        <v>8625</v>
      </c>
      <c r="B8626" s="7">
        <v>1</v>
      </c>
      <c r="C8626" s="7" t="s">
        <v>10</v>
      </c>
      <c r="D8626" s="7">
        <v>10549</v>
      </c>
      <c r="E8626" s="7" t="s">
        <v>28</v>
      </c>
      <c r="F8626" s="8" t="str">
        <f ca="1">IFERROR(__xludf.DUMMYFUNCTION("IF
(
C8627=""фізична особа""
,
VLOOKUP(D8627,IMPORTRANGE(""https://docs.google.com/spreadsheets/d/14Bd19lYaqBhU8_DElYkX7l4wRkHqqCUFNJY4AfY3kHU/edit?usp=sharing  #gid=0"",""фіз особи new!relations_name""),6,FALSE)
,
(IF
(
C8627=""юридична особа""
,
VLOOKUP"&amp;"(D8627,IMPORTRANGE(""https://docs.google.com/spreadsheets/d/14Bd19lYaqBhU8_DElYkX7l4wRkHqqCUFNJY4AfY3kHU/edit?usp=sharing  #gid=0"",""фіз особи new!relations_name_uo""),7,FALSE)
,
)
))"),"АЛІЛОВ Алік Мірзабекович")</f>
        <v>АЛІЛОВ Алік Мірзабекович</v>
      </c>
      <c r="G8626" s="7" t="s">
        <v>10</v>
      </c>
      <c r="H8626" s="7">
        <v>2974</v>
      </c>
      <c r="I8626" s="8" t="str">
        <f ca="1">IFERROR(__xludf.DUMMYFUNCTION("IF
(
G8627=""фізична особа""
,
VLOOKUP(H8627,IMPORTRANGE(""https://docs.google.com/spreadsheets/d/14Bd19lYaqBhU8_DElYkX7l4wRkHqqCUFNJY4AfY3kHU/edit?usp=sharing  #gid=0"",""фіз особи new!relations_name""),6,FALSE)
,
(IF
(
G8627=""юридична особа""
,
VLOOKUP"&amp;"(H8627,IMPORTRANGE(""https://docs.google.com/spreadsheets/d/14Bd19lYaqBhU8_DElYkX7l4wRkHqqCUFNJY4AfY3kHU/edit?usp=sharing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6" s="7" t="s">
        <v>29</v>
      </c>
    </row>
    <row r="8627" spans="1:10" ht="13.2">
      <c r="A8627" s="7">
        <v>8626</v>
      </c>
      <c r="B8627" s="7">
        <v>1</v>
      </c>
      <c r="C8627" s="7" t="s">
        <v>10</v>
      </c>
      <c r="D8627" s="7">
        <v>10550</v>
      </c>
      <c r="E8627" s="7" t="s">
        <v>28</v>
      </c>
      <c r="F8627" s="8" t="str">
        <f ca="1">IFERROR(__xludf.DUMMYFUNCTION("IF
(
C8628=""фізична особа""
,
VLOOKUP(D8628,IMPORTRANGE(""https://docs.google.com/spreadsheets/d/14Bd19lYaqBhU8_DElYkX7l4wRkHqqCUFNJY4AfY3kHU/edit?usp=sharing  #gid=0"",""фіз особи new!relations_name""),6,FALSE)
,
(IF
(
C8628=""юридична особа""
,
VLOOKUP"&amp;"(D8628,IMPORTRANGE(""https://docs.google.com/spreadsheets/d/14Bd19lYaqBhU8_DElYkX7l4wRkHqqCUFNJY4AfY3kHU/edit?usp=sharing  #gid=0"",""фіз особи new!relations_name_uo""),7,FALSE)
,
)
))"),"ШАТІН Максим Олександрович")</f>
        <v>ШАТІН Максим Олександрович</v>
      </c>
      <c r="G8627" s="7" t="s">
        <v>10</v>
      </c>
      <c r="H8627" s="7">
        <v>2974</v>
      </c>
      <c r="I8627" s="8" t="str">
        <f ca="1">IFERROR(__xludf.DUMMYFUNCTION("IF
(
G8628=""фізична особа""
,
VLOOKUP(H8628,IMPORTRANGE(""https://docs.google.com/spreadsheets/d/14Bd19lYaqBhU8_DElYkX7l4wRkHqqCUFNJY4AfY3kHU/edit?usp=sharing  #gid=0"",""фіз особи new!relations_name""),6,FALSE)
,
(IF
(
G8628=""юридична особа""
,
VLOOKUP"&amp;"(H8628,IMPORTRANGE(""https://docs.google.com/spreadsheets/d/14Bd19lYaqBhU8_DElYkX7l4wRkHqqCUFNJY4AfY3kHU/edit?usp=sharing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7" s="7" t="s">
        <v>29</v>
      </c>
    </row>
    <row r="8628" spans="1:10" ht="13.2">
      <c r="A8628" s="7">
        <v>8627</v>
      </c>
      <c r="B8628" s="7">
        <v>1</v>
      </c>
      <c r="C8628" s="7" t="s">
        <v>10</v>
      </c>
      <c r="D8628" s="7">
        <v>10551</v>
      </c>
      <c r="E8628" s="7" t="s">
        <v>28</v>
      </c>
      <c r="F8628" s="8" t="str">
        <f ca="1">IFERROR(__xludf.DUMMYFUNCTION("IF
(
C8629=""фізична особа""
,
VLOOKUP(D8629,IMPORTRANGE(""https://docs.google.com/spreadsheets/d/14Bd19lYaqBhU8_DElYkX7l4wRkHqqCUFNJY4AfY3kHU/edit?usp=sharing  #gid=0"",""фіз особи new!relations_name""),6,FALSE)
,
(IF
(
C8629=""юридична особа""
,
VLOOKUP"&amp;"(D8629,IMPORTRANGE(""https://docs.google.com/spreadsheets/d/14Bd19lYaqBhU8_DElYkX7l4wRkHqqCUFNJY4AfY3kHU/edit?usp=sharing  #gid=0"",""фіз особи new!relations_name_uo""),7,FALSE)
,
)
))"),"БАУХАЄВ Ахмат Каллетович")</f>
        <v>БАУХАЄВ Ахмат Каллетович</v>
      </c>
      <c r="G8628" s="7" t="s">
        <v>10</v>
      </c>
      <c r="H8628" s="7">
        <v>2974</v>
      </c>
      <c r="I8628" s="8" t="str">
        <f ca="1">IFERROR(__xludf.DUMMYFUNCTION("IF
(
G8629=""фізична особа""
,
VLOOKUP(H8629,IMPORTRANGE(""https://docs.google.com/spreadsheets/d/14Bd19lYaqBhU8_DElYkX7l4wRkHqqCUFNJY4AfY3kHU/edit?usp=sharing  #gid=0"",""фіз особи new!relations_name""),6,FALSE)
,
(IF
(
G8629=""юридична особа""
,
VLOOKUP"&amp;"(H8629,IMPORTRANGE(""https://docs.google.com/spreadsheets/d/14Bd19lYaqBhU8_DElYkX7l4wRkHqqCUFNJY4AfY3kHU/edit?usp=sharing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8" s="7" t="s">
        <v>29</v>
      </c>
    </row>
    <row r="8629" spans="1:10" ht="13.2">
      <c r="A8629" s="7">
        <v>8628</v>
      </c>
      <c r="B8629" s="7">
        <v>1</v>
      </c>
      <c r="C8629" s="7" t="s">
        <v>10</v>
      </c>
      <c r="D8629" s="7">
        <v>10552</v>
      </c>
      <c r="E8629" s="7" t="s">
        <v>28</v>
      </c>
      <c r="F8629" s="8" t="str">
        <f ca="1">IFERROR(__xludf.DUMMYFUNCTION("IF
(
C8630=""фізична особа""
,
VLOOKUP(D8630,IMPORTRANGE(""https://docs.google.com/spreadsheets/d/14Bd19lYaqBhU8_DElYkX7l4wRkHqqCUFNJY4AfY3kHU/edit?usp=sharing  #gid=0"",""фіз особи new!relations_name""),6,FALSE)
,
(IF
(
C8630=""юридична особа""
,
VLOOKUP"&amp;"(D8630,IMPORTRANGE(""https://docs.google.com/spreadsheets/d/14Bd19lYaqBhU8_DElYkX7l4wRkHqqCUFNJY4AfY3kHU/edit?usp=sharing  #gid=0"",""фіз особи new!relations_name_uo""),7,FALSE)
,
)
))"),"УРУСОВ Рамазан Борисович")</f>
        <v>УРУСОВ Рамазан Борисович</v>
      </c>
      <c r="G8629" s="7" t="s">
        <v>10</v>
      </c>
      <c r="H8629" s="7">
        <v>2974</v>
      </c>
      <c r="I8629" s="8" t="str">
        <f ca="1">IFERROR(__xludf.DUMMYFUNCTION("IF
(
G8630=""фізична особа""
,
VLOOKUP(H8630,IMPORTRANGE(""https://docs.google.com/spreadsheets/d/14Bd19lYaqBhU8_DElYkX7l4wRkHqqCUFNJY4AfY3kHU/edit?usp=sharing  #gid=0"",""фіз особи new!relations_name""),6,FALSE)
,
(IF
(
G8630=""юридична особа""
,
VLOOKUP"&amp;"(H8630,IMPORTRANGE(""https://docs.google.com/spreadsheets/d/14Bd19lYaqBhU8_DElYkX7l4wRkHqqCUFNJY4AfY3kHU/edit?usp=sharing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29" s="7" t="s">
        <v>29</v>
      </c>
    </row>
    <row r="8630" spans="1:10" ht="13.2">
      <c r="A8630" s="7">
        <v>8629</v>
      </c>
      <c r="B8630" s="7">
        <v>1</v>
      </c>
      <c r="C8630" s="7" t="s">
        <v>10</v>
      </c>
      <c r="D8630" s="7">
        <v>10553</v>
      </c>
      <c r="E8630" s="7" t="s">
        <v>28</v>
      </c>
      <c r="F8630" s="8" t="str">
        <f ca="1">IFERROR(__xludf.DUMMYFUNCTION("IF
(
C8631=""фізична особа""
,
VLOOKUP(D8631,IMPORTRANGE(""https://docs.google.com/spreadsheets/d/14Bd19lYaqBhU8_DElYkX7l4wRkHqqCUFNJY4AfY3kHU/edit?usp=sharing  #gid=0"",""фіз особи new!relations_name""),6,FALSE)
,
(IF
(
C8631=""юридична особа""
,
VLOOKUP"&amp;"(D8631,IMPORTRANGE(""https://docs.google.com/spreadsheets/d/14Bd19lYaqBhU8_DElYkX7l4wRkHqqCUFNJY4AfY3kHU/edit?usp=sharing  #gid=0"",""фіз особи new!relations_name_uo""),7,FALSE)
,
)
))"),"КЕСАОНОВ Ігор Костянтинович")</f>
        <v>КЕСАОНОВ Ігор Костянтинович</v>
      </c>
      <c r="G8630" s="7" t="s">
        <v>10</v>
      </c>
      <c r="H8630" s="7">
        <v>2974</v>
      </c>
      <c r="I8630" s="8" t="str">
        <f ca="1">IFERROR(__xludf.DUMMYFUNCTION("IF
(
G8631=""фізична особа""
,
VLOOKUP(H8631,IMPORTRANGE(""https://docs.google.com/spreadsheets/d/14Bd19lYaqBhU8_DElYkX7l4wRkHqqCUFNJY4AfY3kHU/edit?usp=sharing  #gid=0"",""фіз особи new!relations_name""),6,FALSE)
,
(IF
(
G8631=""юридична особа""
,
VLOOKUP"&amp;"(H8631,IMPORTRANGE(""https://docs.google.com/spreadsheets/d/14Bd19lYaqBhU8_DElYkX7l4wRkHqqCUFNJY4AfY3kHU/edit?usp=sharing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0" s="7" t="s">
        <v>29</v>
      </c>
    </row>
    <row r="8631" spans="1:10" ht="13.2">
      <c r="A8631" s="7">
        <v>8630</v>
      </c>
      <c r="B8631" s="7">
        <v>1</v>
      </c>
      <c r="C8631" s="7" t="s">
        <v>10</v>
      </c>
      <c r="D8631" s="7">
        <v>10554</v>
      </c>
      <c r="E8631" s="7" t="s">
        <v>28</v>
      </c>
      <c r="F8631" s="8" t="str">
        <f ca="1">IFERROR(__xludf.DUMMYFUNCTION("IF
(
C8632=""фізична особа""
,
VLOOKUP(D8632,IMPORTRANGE(""https://docs.google.com/spreadsheets/d/14Bd19lYaqBhU8_DElYkX7l4wRkHqqCUFNJY4AfY3kHU/edit?usp=sharing  #gid=0"",""фіз особи new!relations_name""),6,FALSE)
,
(IF
(
C8632=""юридична особа""
,
VLOOKUP"&amp;"(D8632,IMPORTRANGE(""https://docs.google.com/spreadsheets/d/14Bd19lYaqBhU8_DElYkX7l4wRkHqqCUFNJY4AfY3kHU/edit?usp=sharing  #gid=0"",""фіз особи new!relations_name_uo""),7,FALSE)
,
)
))"),"ЗАХАРОВА Марина Анатоліївна")</f>
        <v>ЗАХАРОВА Марина Анатоліївна</v>
      </c>
      <c r="G8631" s="7" t="s">
        <v>10</v>
      </c>
      <c r="H8631" s="7">
        <v>2974</v>
      </c>
      <c r="I8631" s="8" t="str">
        <f ca="1">IFERROR(__xludf.DUMMYFUNCTION("IF
(
G8632=""фізична особа""
,
VLOOKUP(H8632,IMPORTRANGE(""https://docs.google.com/spreadsheets/d/14Bd19lYaqBhU8_DElYkX7l4wRkHqqCUFNJY4AfY3kHU/edit?usp=sharing  #gid=0"",""фіз особи new!relations_name""),6,FALSE)
,
(IF
(
G8632=""юридична особа""
,
VLOOKUP"&amp;"(H8632,IMPORTRANGE(""https://docs.google.com/spreadsheets/d/14Bd19lYaqBhU8_DElYkX7l4wRkHqqCUFNJY4AfY3kHU/edit?usp=sharing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1" s="7" t="s">
        <v>29</v>
      </c>
    </row>
    <row r="8632" spans="1:10" ht="13.2">
      <c r="A8632" s="7">
        <v>8631</v>
      </c>
      <c r="B8632" s="7">
        <v>1</v>
      </c>
      <c r="C8632" s="7" t="s">
        <v>10</v>
      </c>
      <c r="D8632" s="7">
        <v>10555</v>
      </c>
      <c r="E8632" s="7" t="s">
        <v>28</v>
      </c>
      <c r="F8632" s="8" t="str">
        <f ca="1">IFERROR(__xludf.DUMMYFUNCTION("IF
(
C8633=""фізична особа""
,
VLOOKUP(D8633,IMPORTRANGE(""https://docs.google.com/spreadsheets/d/14Bd19lYaqBhU8_DElYkX7l4wRkHqqCUFNJY4AfY3kHU/edit?usp=sharing  #gid=0"",""фіз особи new!relations_name""),6,FALSE)
,
(IF
(
C8633=""юридична особа""
,
VLOOKUP"&amp;"(D8633,IMPORTRANGE(""https://docs.google.com/spreadsheets/d/14Bd19lYaqBhU8_DElYkX7l4wRkHqqCUFNJY4AfY3kHU/edit?usp=sharing  #gid=0"",""фіз особи new!relations_name_uo""),7,FALSE)
,
)
))"),"УВАРОВА Ірина Лазарівна")</f>
        <v>УВАРОВА Ірина Лазарівна</v>
      </c>
      <c r="G8632" s="7" t="s">
        <v>10</v>
      </c>
      <c r="H8632" s="7">
        <v>2974</v>
      </c>
      <c r="I8632" s="8" t="str">
        <f ca="1">IFERROR(__xludf.DUMMYFUNCTION("IF
(
G8633=""фізична особа""
,
VLOOKUP(H8633,IMPORTRANGE(""https://docs.google.com/spreadsheets/d/14Bd19lYaqBhU8_DElYkX7l4wRkHqqCUFNJY4AfY3kHU/edit?usp=sharing  #gid=0"",""фіз особи new!relations_name""),6,FALSE)
,
(IF
(
G8633=""юридична особа""
,
VLOOKUP"&amp;"(H8633,IMPORTRANGE(""https://docs.google.com/spreadsheets/d/14Bd19lYaqBhU8_DElYkX7l4wRkHqqCUFNJY4AfY3kHU/edit?usp=sharing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2" s="7" t="s">
        <v>29</v>
      </c>
    </row>
    <row r="8633" spans="1:10" ht="13.2">
      <c r="A8633" s="7">
        <v>8632</v>
      </c>
      <c r="B8633" s="7">
        <v>1</v>
      </c>
      <c r="C8633" s="7" t="s">
        <v>10</v>
      </c>
      <c r="D8633" s="7">
        <v>10556</v>
      </c>
      <c r="E8633" s="7" t="s">
        <v>28</v>
      </c>
      <c r="F8633" s="8" t="str">
        <f ca="1">IFERROR(__xludf.DUMMYFUNCTION("IF
(
C8634=""фізична особа""
,
VLOOKUP(D8634,IMPORTRANGE(""https://docs.google.com/spreadsheets/d/14Bd19lYaqBhU8_DElYkX7l4wRkHqqCUFNJY4AfY3kHU/edit?usp=sharing  #gid=0"",""фіз особи new!relations_name""),6,FALSE)
,
(IF
(
C8634=""юридична особа""
,
VLOOKUP"&amp;"(D8634,IMPORTRANGE(""https://docs.google.com/spreadsheets/d/14Bd19lYaqBhU8_DElYkX7l4wRkHqqCUFNJY4AfY3kHU/edit?usp=sharing  #gid=0"",""фіз особи new!relations_name_uo""),7,FALSE)
,
)
))"),"СУХОРУКОВА Альбіна Халілівна")</f>
        <v>СУХОРУКОВА Альбіна Халілівна</v>
      </c>
      <c r="G8633" s="7" t="s">
        <v>10</v>
      </c>
      <c r="H8633" s="7">
        <v>2974</v>
      </c>
      <c r="I8633" s="8" t="str">
        <f ca="1">IFERROR(__xludf.DUMMYFUNCTION("IF
(
G8634=""фізична особа""
,
VLOOKUP(H8634,IMPORTRANGE(""https://docs.google.com/spreadsheets/d/14Bd19lYaqBhU8_DElYkX7l4wRkHqqCUFNJY4AfY3kHU/edit?usp=sharing  #gid=0"",""фіз особи new!relations_name""),6,FALSE)
,
(IF
(
G8634=""юридична особа""
,
VLOOKUP"&amp;"(H8634,IMPORTRANGE(""https://docs.google.com/spreadsheets/d/14Bd19lYaqBhU8_DElYkX7l4wRkHqqCUFNJY4AfY3kHU/edit?usp=sharing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3" s="7" t="s">
        <v>29</v>
      </c>
    </row>
    <row r="8634" spans="1:10" ht="13.2">
      <c r="A8634" s="7">
        <v>8633</v>
      </c>
      <c r="B8634" s="7">
        <v>1</v>
      </c>
      <c r="C8634" s="7" t="s">
        <v>10</v>
      </c>
      <c r="D8634" s="7">
        <v>10557</v>
      </c>
      <c r="E8634" s="7" t="s">
        <v>28</v>
      </c>
      <c r="F8634" s="8" t="str">
        <f ca="1">IFERROR(__xludf.DUMMYFUNCTION("IF
(
C8635=""фізична особа""
,
VLOOKUP(D8635,IMPORTRANGE(""https://docs.google.com/spreadsheets/d/14Bd19lYaqBhU8_DElYkX7l4wRkHqqCUFNJY4AfY3kHU/edit?usp=sharing  #gid=0"",""фіз особи new!relations_name""),6,FALSE)
,
(IF
(
C8635=""юридична особа""
,
VLOOKUP"&amp;"(D8635,IMPORTRANGE(""https://docs.google.com/spreadsheets/d/14Bd19lYaqBhU8_DElYkX7l4wRkHqqCUFNJY4AfY3kHU/edit?usp=sharing  #gid=0"",""фіз особи new!relations_name_uo""),7,FALSE)
,
)
))"),"ХАЙДАРОВ Кабдула Мурзахметович")</f>
        <v>ХАЙДАРОВ Кабдула Мурзахметович</v>
      </c>
      <c r="G8634" s="7" t="s">
        <v>10</v>
      </c>
      <c r="H8634" s="7">
        <v>2974</v>
      </c>
      <c r="I8634" s="8" t="str">
        <f ca="1">IFERROR(__xludf.DUMMYFUNCTION("IF
(
G8635=""фізична особа""
,
VLOOKUP(H8635,IMPORTRANGE(""https://docs.google.com/spreadsheets/d/14Bd19lYaqBhU8_DElYkX7l4wRkHqqCUFNJY4AfY3kHU/edit?usp=sharing  #gid=0"",""фіз особи new!relations_name""),6,FALSE)
,
(IF
(
G8635=""юридична особа""
,
VLOOKUP"&amp;"(H8635,IMPORTRANGE(""https://docs.google.com/spreadsheets/d/14Bd19lYaqBhU8_DElYkX7l4wRkHqqCUFNJY4AfY3kHU/edit?usp=sharing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4" s="7" t="s">
        <v>29</v>
      </c>
    </row>
    <row r="8635" spans="1:10" ht="13.2">
      <c r="A8635" s="7">
        <v>8634</v>
      </c>
      <c r="B8635" s="7">
        <v>1</v>
      </c>
      <c r="C8635" s="7" t="s">
        <v>10</v>
      </c>
      <c r="D8635" s="7">
        <v>10558</v>
      </c>
      <c r="E8635" s="7" t="s">
        <v>28</v>
      </c>
      <c r="F8635" s="8" t="str">
        <f ca="1">IFERROR(__xludf.DUMMYFUNCTION("IF
(
C8636=""фізична особа""
,
VLOOKUP(D8636,IMPORTRANGE(""https://docs.google.com/spreadsheets/d/14Bd19lYaqBhU8_DElYkX7l4wRkHqqCUFNJY4AfY3kHU/edit?usp=sharing  #gid=0"",""фіз особи new!relations_name""),6,FALSE)
,
(IF
(
C8636=""юридична особа""
,
VLOOKUP"&amp;"(D8636,IMPORTRANGE(""https://docs.google.com/spreadsheets/d/14Bd19lYaqBhU8_DElYkX7l4wRkHqqCUFNJY4AfY3kHU/edit?usp=sharing  #gid=0"",""фіз особи new!relations_name_uo""),7,FALSE)
,
)
))"),"ТРЕТЬЯКОВА Юлія Ігорівна")</f>
        <v>ТРЕТЬЯКОВА Юлія Ігорівна</v>
      </c>
      <c r="G8635" s="7" t="s">
        <v>10</v>
      </c>
      <c r="H8635" s="7">
        <v>2974</v>
      </c>
      <c r="I8635" s="8" t="str">
        <f ca="1">IFERROR(__xludf.DUMMYFUNCTION("IF
(
G8636=""фізична особа""
,
VLOOKUP(H8636,IMPORTRANGE(""https://docs.google.com/spreadsheets/d/14Bd19lYaqBhU8_DElYkX7l4wRkHqqCUFNJY4AfY3kHU/edit?usp=sharing  #gid=0"",""фіз особи new!relations_name""),6,FALSE)
,
(IF
(
G8636=""юридична особа""
,
VLOOKUP"&amp;"(H8636,IMPORTRANGE(""https://docs.google.com/spreadsheets/d/14Bd19lYaqBhU8_DElYkX7l4wRkHqqCUFNJY4AfY3kHU/edit?usp=sharing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5" s="7" t="s">
        <v>29</v>
      </c>
    </row>
    <row r="8636" spans="1:10" ht="13.2">
      <c r="A8636" s="7">
        <v>8635</v>
      </c>
      <c r="B8636" s="7">
        <v>1</v>
      </c>
      <c r="C8636" s="7" t="s">
        <v>10</v>
      </c>
      <c r="D8636" s="7">
        <v>10559</v>
      </c>
      <c r="E8636" s="7" t="s">
        <v>28</v>
      </c>
      <c r="F8636" s="8" t="str">
        <f ca="1">IFERROR(__xludf.DUMMYFUNCTION("IF
(
C8637=""фізична особа""
,
VLOOKUP(D8637,IMPORTRANGE(""https://docs.google.com/spreadsheets/d/14Bd19lYaqBhU8_DElYkX7l4wRkHqqCUFNJY4AfY3kHU/edit?usp=sharing  #gid=0"",""фіз особи new!relations_name""),6,FALSE)
,
(IF
(
C8637=""юридична особа""
,
VLOOKUP"&amp;"(D8637,IMPORTRANGE(""https://docs.google.com/spreadsheets/d/14Bd19lYaqBhU8_DElYkX7l4wRkHqqCUFNJY4AfY3kHU/edit?usp=sharing  #gid=0"",""фіз особи new!relations_name_uo""),7,FALSE)
,
)
))"),"ЛОВАНДО Олена Євгенівна")</f>
        <v>ЛОВАНДО Олена Євгенівна</v>
      </c>
      <c r="G8636" s="7" t="s">
        <v>10</v>
      </c>
      <c r="H8636" s="7">
        <v>2974</v>
      </c>
      <c r="I8636" s="8" t="str">
        <f ca="1">IFERROR(__xludf.DUMMYFUNCTION("IF
(
G8637=""фізична особа""
,
VLOOKUP(H8637,IMPORTRANGE(""https://docs.google.com/spreadsheets/d/14Bd19lYaqBhU8_DElYkX7l4wRkHqqCUFNJY4AfY3kHU/edit?usp=sharing  #gid=0"",""фіз особи new!relations_name""),6,FALSE)
,
(IF
(
G8637=""юридична особа""
,
VLOOKUP"&amp;"(H8637,IMPORTRANGE(""https://docs.google.com/spreadsheets/d/14Bd19lYaqBhU8_DElYkX7l4wRkHqqCUFNJY4AfY3kHU/edit?usp=sharing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6" s="7" t="s">
        <v>29</v>
      </c>
    </row>
    <row r="8637" spans="1:10" ht="13.2">
      <c r="A8637" s="7">
        <v>8636</v>
      </c>
      <c r="B8637" s="7">
        <v>1</v>
      </c>
      <c r="C8637" s="7" t="s">
        <v>10</v>
      </c>
      <c r="D8637" s="7">
        <v>10560</v>
      </c>
      <c r="E8637" s="7" t="s">
        <v>28</v>
      </c>
      <c r="F8637" s="8" t="str">
        <f ca="1">IFERROR(__xludf.DUMMYFUNCTION("IF
(
C8638=""фізична особа""
,
VLOOKUP(D8638,IMPORTRANGE(""https://docs.google.com/spreadsheets/d/14Bd19lYaqBhU8_DElYkX7l4wRkHqqCUFNJY4AfY3kHU/edit?usp=sharing  #gid=0"",""фіз особи new!relations_name""),6,FALSE)
,
(IF
(
C8638=""юридична особа""
,
VLOOKUP"&amp;"(D8638,IMPORTRANGE(""https://docs.google.com/spreadsheets/d/14Bd19lYaqBhU8_DElYkX7l4wRkHqqCUFNJY4AfY3kHU/edit?usp=sharing  #gid=0"",""фіз особи new!relations_name_uo""),7,FALSE)
,
)
))"),"СМИРНОВ Євгеній Олександрович")</f>
        <v>СМИРНОВ Євгеній Олександрович</v>
      </c>
      <c r="G8637" s="7" t="s">
        <v>10</v>
      </c>
      <c r="H8637" s="7">
        <v>2974</v>
      </c>
      <c r="I8637" s="8" t="str">
        <f ca="1">IFERROR(__xludf.DUMMYFUNCTION("IF
(
G8638=""фізична особа""
,
VLOOKUP(H8638,IMPORTRANGE(""https://docs.google.com/spreadsheets/d/14Bd19lYaqBhU8_DElYkX7l4wRkHqqCUFNJY4AfY3kHU/edit?usp=sharing  #gid=0"",""фіз особи new!relations_name""),6,FALSE)
,
(IF
(
G8638=""юридична особа""
,
VLOOKUP"&amp;"(H8638,IMPORTRANGE(""https://docs.google.com/spreadsheets/d/14Bd19lYaqBhU8_DElYkX7l4wRkHqqCUFNJY4AfY3kHU/edit?usp=sharing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7" s="7" t="s">
        <v>29</v>
      </c>
    </row>
    <row r="8638" spans="1:10" ht="13.2">
      <c r="A8638" s="7">
        <v>8637</v>
      </c>
      <c r="B8638" s="7">
        <v>1</v>
      </c>
      <c r="C8638" s="7" t="s">
        <v>10</v>
      </c>
      <c r="D8638" s="7">
        <v>10561</v>
      </c>
      <c r="E8638" s="7" t="s">
        <v>28</v>
      </c>
      <c r="F8638" s="8" t="str">
        <f ca="1">IFERROR(__xludf.DUMMYFUNCTION("IF
(
C8639=""фізична особа""
,
VLOOKUP(D8639,IMPORTRANGE(""https://docs.google.com/spreadsheets/d/14Bd19lYaqBhU8_DElYkX7l4wRkHqqCUFNJY4AfY3kHU/edit?usp=sharing  #gid=0"",""фіз особи new!relations_name""),6,FALSE)
,
(IF
(
C8639=""юридична особа""
,
VLOOKUP"&amp;"(D8639,IMPORTRANGE(""https://docs.google.com/spreadsheets/d/14Bd19lYaqBhU8_DElYkX7l4wRkHqqCUFNJY4AfY3kHU/edit?usp=sharing  #gid=0"",""фіз особи new!relations_name_uo""),7,FALSE)
,
)
))"),"ІЛЬЯСОВ Радік Мударисович")</f>
        <v>ІЛЬЯСОВ Радік Мударисович</v>
      </c>
      <c r="G8638" s="7" t="s">
        <v>10</v>
      </c>
      <c r="H8638" s="7">
        <v>2974</v>
      </c>
      <c r="I8638" s="8" t="str">
        <f ca="1">IFERROR(__xludf.DUMMYFUNCTION("IF
(
G8639=""фізична особа""
,
VLOOKUP(H8639,IMPORTRANGE(""https://docs.google.com/spreadsheets/d/14Bd19lYaqBhU8_DElYkX7l4wRkHqqCUFNJY4AfY3kHU/edit?usp=sharing  #gid=0"",""фіз особи new!relations_name""),6,FALSE)
,
(IF
(
G8639=""юридична особа""
,
VLOOKUP"&amp;"(H8639,IMPORTRANGE(""https://docs.google.com/spreadsheets/d/14Bd19lYaqBhU8_DElYkX7l4wRkHqqCUFNJY4AfY3kHU/edit?usp=sharing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8" s="7" t="s">
        <v>29</v>
      </c>
    </row>
    <row r="8639" spans="1:10" ht="13.2">
      <c r="A8639" s="7">
        <v>8638</v>
      </c>
      <c r="B8639" s="7">
        <v>1</v>
      </c>
      <c r="C8639" s="7" t="s">
        <v>10</v>
      </c>
      <c r="D8639" s="7">
        <v>10562</v>
      </c>
      <c r="E8639" s="7" t="s">
        <v>28</v>
      </c>
      <c r="F8639" s="8" t="str">
        <f ca="1">IFERROR(__xludf.DUMMYFUNCTION("IF
(
C8640=""фізична особа""
,
VLOOKUP(D8640,IMPORTRANGE(""https://docs.google.com/spreadsheets/d/14Bd19lYaqBhU8_DElYkX7l4wRkHqqCUFNJY4AfY3kHU/edit?usp=sharing  #gid=0"",""фіз особи new!relations_name""),6,FALSE)
,
(IF
(
C8640=""юридична особа""
,
VLOOKUP"&amp;"(D8640,IMPORTRANGE(""https://docs.google.com/spreadsheets/d/14Bd19lYaqBhU8_DElYkX7l4wRkHqqCUFNJY4AfY3kHU/edit?usp=sharing  #gid=0"",""фіз особи new!relations_name_uo""),7,FALSE)
,
)
))"),"ЄРТАНОВ Петро Вікторович")</f>
        <v>ЄРТАНОВ Петро Вікторович</v>
      </c>
      <c r="G8639" s="7" t="s">
        <v>10</v>
      </c>
      <c r="H8639" s="7">
        <v>2974</v>
      </c>
      <c r="I8639" s="8" t="str">
        <f ca="1">IFERROR(__xludf.DUMMYFUNCTION("IF
(
G8640=""фізична особа""
,
VLOOKUP(H8640,IMPORTRANGE(""https://docs.google.com/spreadsheets/d/14Bd19lYaqBhU8_DElYkX7l4wRkHqqCUFNJY4AfY3kHU/edit?usp=sharing  #gid=0"",""фіз особи new!relations_name""),6,FALSE)
,
(IF
(
G8640=""юридична особа""
,
VLOOKUP"&amp;"(H8640,IMPORTRANGE(""https://docs.google.com/spreadsheets/d/14Bd19lYaqBhU8_DElYkX7l4wRkHqqCUFNJY4AfY3kHU/edit?usp=sharing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39" s="7" t="s">
        <v>29</v>
      </c>
    </row>
    <row r="8640" spans="1:10" ht="13.2">
      <c r="A8640" s="7">
        <v>8639</v>
      </c>
      <c r="B8640" s="7">
        <v>1</v>
      </c>
      <c r="C8640" s="7" t="s">
        <v>10</v>
      </c>
      <c r="D8640" s="7">
        <v>10563</v>
      </c>
      <c r="E8640" s="7" t="s">
        <v>28</v>
      </c>
      <c r="F8640" s="8" t="str">
        <f ca="1">IFERROR(__xludf.DUMMYFUNCTION("IF
(
C8641=""фізична особа""
,
VLOOKUP(D8641,IMPORTRANGE(""https://docs.google.com/spreadsheets/d/14Bd19lYaqBhU8_DElYkX7l4wRkHqqCUFNJY4AfY3kHU/edit?usp=sharing  #gid=0"",""фіз особи new!relations_name""),6,FALSE)
,
(IF
(
C8641=""юридична особа""
,
VLOOKUP"&amp;"(D8641,IMPORTRANGE(""https://docs.google.com/spreadsheets/d/14Bd19lYaqBhU8_DElYkX7l4wRkHqqCUFNJY4AfY3kHU/edit?usp=sharing  #gid=0"",""фіз особи new!relations_name_uo""),7,FALSE)
,
)
))"),"ДОСТАЙ Омак Степанович")</f>
        <v>ДОСТАЙ Омак Степанович</v>
      </c>
      <c r="G8640" s="7" t="s">
        <v>10</v>
      </c>
      <c r="H8640" s="7">
        <v>2974</v>
      </c>
      <c r="I8640" s="8" t="str">
        <f ca="1">IFERROR(__xludf.DUMMYFUNCTION("IF
(
G8641=""фізична особа""
,
VLOOKUP(H8641,IMPORTRANGE(""https://docs.google.com/spreadsheets/d/14Bd19lYaqBhU8_DElYkX7l4wRkHqqCUFNJY4AfY3kHU/edit?usp=sharing  #gid=0"",""фіз особи new!relations_name""),6,FALSE)
,
(IF
(
G8641=""юридична особа""
,
VLOOKUP"&amp;"(H8641,IMPORTRANGE(""https://docs.google.com/spreadsheets/d/14Bd19lYaqBhU8_DElYkX7l4wRkHqqCUFNJY4AfY3kHU/edit?usp=sharing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0" s="7" t="s">
        <v>29</v>
      </c>
    </row>
    <row r="8641" spans="1:10" ht="13.2">
      <c r="A8641" s="7">
        <v>8640</v>
      </c>
      <c r="B8641" s="7">
        <v>1</v>
      </c>
      <c r="C8641" s="7" t="s">
        <v>10</v>
      </c>
      <c r="D8641" s="7">
        <v>10564</v>
      </c>
      <c r="E8641" s="7" t="s">
        <v>28</v>
      </c>
      <c r="F8641" s="8" t="str">
        <f ca="1">IFERROR(__xludf.DUMMYFUNCTION("IF
(
C8642=""фізична особа""
,
VLOOKUP(D8642,IMPORTRANGE(""https://docs.google.com/spreadsheets/d/14Bd19lYaqBhU8_DElYkX7l4wRkHqqCUFNJY4AfY3kHU/edit?usp=sharing  #gid=0"",""фіз особи new!relations_name""),6,FALSE)
,
(IF
(
C8642=""юридична особа""
,
VLOOKUP"&amp;"(D8642,IMPORTRANGE(""https://docs.google.com/spreadsheets/d/14Bd19lYaqBhU8_DElYkX7l4wRkHqqCUFNJY4AfY3kHU/edit?usp=sharing  #gid=0"",""фіз особи new!relations_name_uo""),7,FALSE)
,
)
))"),"РОМАНОВА Олена Анатоліївна")</f>
        <v>РОМАНОВА Олена Анатоліївна</v>
      </c>
      <c r="G8641" s="7" t="s">
        <v>10</v>
      </c>
      <c r="H8641" s="7">
        <v>2974</v>
      </c>
      <c r="I8641" s="8" t="str">
        <f ca="1">IFERROR(__xludf.DUMMYFUNCTION("IF
(
G8642=""фізична особа""
,
VLOOKUP(H8642,IMPORTRANGE(""https://docs.google.com/spreadsheets/d/14Bd19lYaqBhU8_DElYkX7l4wRkHqqCUFNJY4AfY3kHU/edit?usp=sharing  #gid=0"",""фіз особи new!relations_name""),6,FALSE)
,
(IF
(
G8642=""юридична особа""
,
VLOOKUP"&amp;"(H8642,IMPORTRANGE(""https://docs.google.com/spreadsheets/d/14Bd19lYaqBhU8_DElYkX7l4wRkHqqCUFNJY4AfY3kHU/edit?usp=sharing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1" s="7" t="s">
        <v>29</v>
      </c>
    </row>
    <row r="8642" spans="1:10" ht="13.2">
      <c r="A8642" s="7">
        <v>8641</v>
      </c>
      <c r="B8642" s="7">
        <v>1</v>
      </c>
      <c r="C8642" s="7" t="s">
        <v>10</v>
      </c>
      <c r="D8642" s="7">
        <v>10565</v>
      </c>
      <c r="E8642" s="7" t="s">
        <v>28</v>
      </c>
      <c r="F8642" s="8" t="str">
        <f ca="1">IFERROR(__xludf.DUMMYFUNCTION("IF
(
C8643=""фізична особа""
,
VLOOKUP(D8643,IMPORTRANGE(""https://docs.google.com/spreadsheets/d/14Bd19lYaqBhU8_DElYkX7l4wRkHqqCUFNJY4AfY3kHU/edit?usp=sharing  #gid=0"",""фіз особи new!relations_name""),6,FALSE)
,
(IF
(
C8643=""юридична особа""
,
VLOOKUP"&amp;"(D8643,IMPORTRANGE(""https://docs.google.com/spreadsheets/d/14Bd19lYaqBhU8_DElYkX7l4wRkHqqCUFNJY4AfY3kHU/edit?usp=sharing  #gid=0"",""фіз особи new!relations_name_uo""),7,FALSE)
,
)
))"),"ЛАБУТІН Дмитро Миколайович")</f>
        <v>ЛАБУТІН Дмитро Миколайович</v>
      </c>
      <c r="G8642" s="7" t="s">
        <v>10</v>
      </c>
      <c r="H8642" s="7">
        <v>2974</v>
      </c>
      <c r="I8642" s="8" t="str">
        <f ca="1">IFERROR(__xludf.DUMMYFUNCTION("IF
(
G8643=""фізична особа""
,
VLOOKUP(H8643,IMPORTRANGE(""https://docs.google.com/spreadsheets/d/14Bd19lYaqBhU8_DElYkX7l4wRkHqqCUFNJY4AfY3kHU/edit?usp=sharing  #gid=0"",""фіз особи new!relations_name""),6,FALSE)
,
(IF
(
G8643=""юридична особа""
,
VLOOKUP"&amp;"(H8643,IMPORTRANGE(""https://docs.google.com/spreadsheets/d/14Bd19lYaqBhU8_DElYkX7l4wRkHqqCUFNJY4AfY3kHU/edit?usp=sharing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2" s="7" t="s">
        <v>29</v>
      </c>
    </row>
    <row r="8643" spans="1:10" ht="13.2">
      <c r="A8643" s="7">
        <v>8642</v>
      </c>
      <c r="B8643" s="7">
        <v>1</v>
      </c>
      <c r="C8643" s="7" t="s">
        <v>10</v>
      </c>
      <c r="D8643" s="7">
        <v>10566</v>
      </c>
      <c r="E8643" s="7" t="s">
        <v>28</v>
      </c>
      <c r="F8643" s="8" t="str">
        <f ca="1">IFERROR(__xludf.DUMMYFUNCTION("IF
(
C8644=""фізична особа""
,
VLOOKUP(D8644,IMPORTRANGE(""https://docs.google.com/spreadsheets/d/14Bd19lYaqBhU8_DElYkX7l4wRkHqqCUFNJY4AfY3kHU/edit?usp=sharing  #gid=0"",""фіз особи new!relations_name""),6,FALSE)
,
(IF
(
C8644=""юридична особа""
,
VLOOKUP"&amp;"(D8644,IMPORTRANGE(""https://docs.google.com/spreadsheets/d/14Bd19lYaqBhU8_DElYkX7l4wRkHqqCUFNJY4AfY3kHU/edit?usp=sharing  #gid=0"",""фіз особи new!relations_name_uo""),7,FALSE)
,
)
))"),"ВАСИЛЬЄВ Віталій Сергійович")</f>
        <v>ВАСИЛЬЄВ Віталій Сергійович</v>
      </c>
      <c r="G8643" s="7" t="s">
        <v>10</v>
      </c>
      <c r="H8643" s="7">
        <v>2974</v>
      </c>
      <c r="I8643" s="8" t="str">
        <f ca="1">IFERROR(__xludf.DUMMYFUNCTION("IF
(
G8644=""фізична особа""
,
VLOOKUP(H8644,IMPORTRANGE(""https://docs.google.com/spreadsheets/d/14Bd19lYaqBhU8_DElYkX7l4wRkHqqCUFNJY4AfY3kHU/edit?usp=sharing  #gid=0"",""фіз особи new!relations_name""),6,FALSE)
,
(IF
(
G8644=""юридична особа""
,
VLOOKUP"&amp;"(H8644,IMPORTRANGE(""https://docs.google.com/spreadsheets/d/14Bd19lYaqBhU8_DElYkX7l4wRkHqqCUFNJY4AfY3kHU/edit?usp=sharing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3" s="7" t="s">
        <v>29</v>
      </c>
    </row>
    <row r="8644" spans="1:10" ht="13.2">
      <c r="A8644" s="7">
        <v>8643</v>
      </c>
      <c r="B8644" s="7">
        <v>1</v>
      </c>
      <c r="C8644" s="7" t="s">
        <v>10</v>
      </c>
      <c r="D8644" s="7">
        <v>10567</v>
      </c>
      <c r="E8644" s="7" t="s">
        <v>28</v>
      </c>
      <c r="F8644" s="8" t="str">
        <f ca="1">IFERROR(__xludf.DUMMYFUNCTION("IF
(
C8645=""фізична особа""
,
VLOOKUP(D8645,IMPORTRANGE(""https://docs.google.com/spreadsheets/d/14Bd19lYaqBhU8_DElYkX7l4wRkHqqCUFNJY4AfY3kHU/edit?usp=sharing  #gid=0"",""фіз особи new!relations_name""),6,FALSE)
,
(IF
(
C8645=""юридична особа""
,
VLOOKUP"&amp;"(D8645,IMPORTRANGE(""https://docs.google.com/spreadsheets/d/14Bd19lYaqBhU8_DElYkX7l4wRkHqqCUFNJY4AfY3kHU/edit?usp=sharing  #gid=0"",""фіз особи new!relations_name_uo""),7,FALSE)
,
)
))"),"БАБКОВ Едуард Віталійович")</f>
        <v>БАБКОВ Едуард Віталійович</v>
      </c>
      <c r="G8644" s="7" t="s">
        <v>10</v>
      </c>
      <c r="H8644" s="7">
        <v>2974</v>
      </c>
      <c r="I8644" s="8" t="str">
        <f ca="1">IFERROR(__xludf.DUMMYFUNCTION("IF
(
G8645=""фізична особа""
,
VLOOKUP(H8645,IMPORTRANGE(""https://docs.google.com/spreadsheets/d/14Bd19lYaqBhU8_DElYkX7l4wRkHqqCUFNJY4AfY3kHU/edit?usp=sharing  #gid=0"",""фіз особи new!relations_name""),6,FALSE)
,
(IF
(
G8645=""юридична особа""
,
VLOOKUP"&amp;"(H8645,IMPORTRANGE(""https://docs.google.com/spreadsheets/d/14Bd19lYaqBhU8_DElYkX7l4wRkHqqCUFNJY4AfY3kHU/edit?usp=sharing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4" s="7" t="s">
        <v>29</v>
      </c>
    </row>
    <row r="8645" spans="1:10" ht="13.2">
      <c r="A8645" s="7">
        <v>8644</v>
      </c>
      <c r="B8645" s="7">
        <v>1</v>
      </c>
      <c r="C8645" s="7" t="s">
        <v>10</v>
      </c>
      <c r="D8645" s="7">
        <v>10568</v>
      </c>
      <c r="E8645" s="7" t="s">
        <v>28</v>
      </c>
      <c r="F8645" s="8" t="str">
        <f ca="1">IFERROR(__xludf.DUMMYFUNCTION("IF
(
C8646=""фізична особа""
,
VLOOKUP(D8646,IMPORTRANGE(""https://docs.google.com/spreadsheets/d/14Bd19lYaqBhU8_DElYkX7l4wRkHqqCUFNJY4AfY3kHU/edit?usp=sharing  #gid=0"",""фіз особи new!relations_name""),6,FALSE)
,
(IF
(
C8646=""юридична особа""
,
VLOOKUP"&amp;"(D8646,IMPORTRANGE(""https://docs.google.com/spreadsheets/d/14Bd19lYaqBhU8_DElYkX7l4wRkHqqCUFNJY4AfY3kHU/edit?usp=sharing  #gid=0"",""фіз особи new!relations_name_uo""),7,FALSE)
,
)
))"),"ТІТОВА Галина Михайлівна")</f>
        <v>ТІТОВА Галина Михайлівна</v>
      </c>
      <c r="G8645" s="7" t="s">
        <v>10</v>
      </c>
      <c r="H8645" s="7">
        <v>2974</v>
      </c>
      <c r="I8645" s="8" t="str">
        <f ca="1">IFERROR(__xludf.DUMMYFUNCTION("IF
(
G8646=""фізична особа""
,
VLOOKUP(H8646,IMPORTRANGE(""https://docs.google.com/spreadsheets/d/14Bd19lYaqBhU8_DElYkX7l4wRkHqqCUFNJY4AfY3kHU/edit?usp=sharing  #gid=0"",""фіз особи new!relations_name""),6,FALSE)
,
(IF
(
G8646=""юридична особа""
,
VLOOKUP"&amp;"(H8646,IMPORTRANGE(""https://docs.google.com/spreadsheets/d/14Bd19lYaqBhU8_DElYkX7l4wRkHqqCUFNJY4AfY3kHU/edit?usp=sharing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5" s="7" t="s">
        <v>29</v>
      </c>
    </row>
    <row r="8646" spans="1:10" ht="13.2">
      <c r="A8646" s="7">
        <v>8645</v>
      </c>
      <c r="B8646" s="7">
        <v>1</v>
      </c>
      <c r="C8646" s="7" t="s">
        <v>10</v>
      </c>
      <c r="D8646" s="7">
        <v>10569</v>
      </c>
      <c r="E8646" s="7" t="s">
        <v>28</v>
      </c>
      <c r="F8646" s="8" t="str">
        <f ca="1">IFERROR(__xludf.DUMMYFUNCTION("IF
(
C8647=""фізична особа""
,
VLOOKUP(D8647,IMPORTRANGE(""https://docs.google.com/spreadsheets/d/14Bd19lYaqBhU8_DElYkX7l4wRkHqqCUFNJY4AfY3kHU/edit?usp=sharing  #gid=0"",""фіз особи new!relations_name""),6,FALSE)
,
(IF
(
C8647=""юридична особа""
,
VLOOKUP"&amp;"(D8647,IMPORTRANGE(""https://docs.google.com/spreadsheets/d/14Bd19lYaqBhU8_DElYkX7l4wRkHqqCUFNJY4AfY3kHU/edit?usp=sharing  #gid=0"",""фіз особи new!relations_name_uo""),7,FALSE)
,
)
))"),"НАДІРОВ Беніамін Едмундович")</f>
        <v>НАДІРОВ Беніамін Едмундович</v>
      </c>
      <c r="G8646" s="7" t="s">
        <v>10</v>
      </c>
      <c r="H8646" s="7">
        <v>2974</v>
      </c>
      <c r="I8646" s="8" t="str">
        <f ca="1">IFERROR(__xludf.DUMMYFUNCTION("IF
(
G8647=""фізична особа""
,
VLOOKUP(H8647,IMPORTRANGE(""https://docs.google.com/spreadsheets/d/14Bd19lYaqBhU8_DElYkX7l4wRkHqqCUFNJY4AfY3kHU/edit?usp=sharing  #gid=0"",""фіз особи new!relations_name""),6,FALSE)
,
(IF
(
G8647=""юридична особа""
,
VLOOKUP"&amp;"(H8647,IMPORTRANGE(""https://docs.google.com/spreadsheets/d/14Bd19lYaqBhU8_DElYkX7l4wRkHqqCUFNJY4AfY3kHU/edit?usp=sharing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6" s="7" t="s">
        <v>29</v>
      </c>
    </row>
    <row r="8647" spans="1:10" ht="13.2">
      <c r="A8647" s="7">
        <v>8646</v>
      </c>
      <c r="B8647" s="7">
        <v>1</v>
      </c>
      <c r="C8647" s="7" t="s">
        <v>10</v>
      </c>
      <c r="D8647" s="7">
        <v>10570</v>
      </c>
      <c r="E8647" s="7" t="s">
        <v>28</v>
      </c>
      <c r="F8647" s="8" t="str">
        <f ca="1">IFERROR(__xludf.DUMMYFUNCTION("IF
(
C8648=""фізична особа""
,
VLOOKUP(D8648,IMPORTRANGE(""https://docs.google.com/spreadsheets/d/14Bd19lYaqBhU8_DElYkX7l4wRkHqqCUFNJY4AfY3kHU/edit?usp=sharing  #gid=0"",""фіз особи new!relations_name""),6,FALSE)
,
(IF
(
C8648=""юридична особа""
,
VLOOKUP"&amp;"(D8648,IMPORTRANGE(""https://docs.google.com/spreadsheets/d/14Bd19lYaqBhU8_DElYkX7l4wRkHqqCUFNJY4AfY3kHU/edit?usp=sharing  #gid=0"",""фіз особи new!relations_name_uo""),7,FALSE)
,
)
))"),"ГРИГОР'ЄВА Наталія Миколаївна")</f>
        <v>ГРИГОР'ЄВА Наталія Миколаївна</v>
      </c>
      <c r="G8647" s="7" t="s">
        <v>10</v>
      </c>
      <c r="H8647" s="7">
        <v>2974</v>
      </c>
      <c r="I8647" s="8" t="str">
        <f ca="1">IFERROR(__xludf.DUMMYFUNCTION("IF
(
G8648=""фізична особа""
,
VLOOKUP(H8648,IMPORTRANGE(""https://docs.google.com/spreadsheets/d/14Bd19lYaqBhU8_DElYkX7l4wRkHqqCUFNJY4AfY3kHU/edit?usp=sharing  #gid=0"",""фіз особи new!relations_name""),6,FALSE)
,
(IF
(
G8648=""юридична особа""
,
VLOOKUP"&amp;"(H8648,IMPORTRANGE(""https://docs.google.com/spreadsheets/d/14Bd19lYaqBhU8_DElYkX7l4wRkHqqCUFNJY4AfY3kHU/edit?usp=sharing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7" s="7" t="s">
        <v>29</v>
      </c>
    </row>
    <row r="8648" spans="1:10" ht="13.2">
      <c r="A8648" s="7">
        <v>8647</v>
      </c>
      <c r="B8648" s="7">
        <v>1</v>
      </c>
      <c r="C8648" s="7" t="s">
        <v>10</v>
      </c>
      <c r="D8648" s="7">
        <v>10571</v>
      </c>
      <c r="E8648" s="7" t="s">
        <v>28</v>
      </c>
      <c r="F8648" s="8" t="str">
        <f ca="1">IFERROR(__xludf.DUMMYFUNCTION("IF
(
C8649=""фізична особа""
,
VLOOKUP(D8649,IMPORTRANGE(""https://docs.google.com/spreadsheets/d/14Bd19lYaqBhU8_DElYkX7l4wRkHqqCUFNJY4AfY3kHU/edit?usp=sharing  #gid=0"",""фіз особи new!relations_name""),6,FALSE)
,
(IF
(
C8649=""юридична особа""
,
VLOOKUP"&amp;"(D8649,IMPORTRANGE(""https://docs.google.com/spreadsheets/d/14Bd19lYaqBhU8_DElYkX7l4wRkHqqCUFNJY4AfY3kHU/edit?usp=sharing  #gid=0"",""фіз особи new!relations_name_uo""),7,FALSE)
,
)
))"),"СТАРОВ Дмитро Станіславович")</f>
        <v>СТАРОВ Дмитро Станіславович</v>
      </c>
      <c r="G8648" s="7" t="s">
        <v>10</v>
      </c>
      <c r="H8648" s="7">
        <v>2974</v>
      </c>
      <c r="I8648" s="8" t="str">
        <f ca="1">IFERROR(__xludf.DUMMYFUNCTION("IF
(
G8649=""фізична особа""
,
VLOOKUP(H8649,IMPORTRANGE(""https://docs.google.com/spreadsheets/d/14Bd19lYaqBhU8_DElYkX7l4wRkHqqCUFNJY4AfY3kHU/edit?usp=sharing  #gid=0"",""фіз особи new!relations_name""),6,FALSE)
,
(IF
(
G8649=""юридична особа""
,
VLOOKUP"&amp;"(H8649,IMPORTRANGE(""https://docs.google.com/spreadsheets/d/14Bd19lYaqBhU8_DElYkX7l4wRkHqqCUFNJY4AfY3kHU/edit?usp=sharing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8" s="7" t="s">
        <v>29</v>
      </c>
    </row>
    <row r="8649" spans="1:10" ht="13.2">
      <c r="A8649" s="7">
        <v>8648</v>
      </c>
      <c r="B8649" s="7">
        <v>1</v>
      </c>
      <c r="C8649" s="7" t="s">
        <v>10</v>
      </c>
      <c r="D8649" s="7">
        <v>10572</v>
      </c>
      <c r="E8649" s="7" t="s">
        <v>28</v>
      </c>
      <c r="F8649" s="8" t="str">
        <f ca="1">IFERROR(__xludf.DUMMYFUNCTION("IF
(
C8650=""фізична особа""
,
VLOOKUP(D8650,IMPORTRANGE(""https://docs.google.com/spreadsheets/d/14Bd19lYaqBhU8_DElYkX7l4wRkHqqCUFNJY4AfY3kHU/edit?usp=sharing  #gid=0"",""фіз особи new!relations_name""),6,FALSE)
,
(IF
(
C8650=""юридична особа""
,
VLOOKUP"&amp;"(D8650,IMPORTRANGE(""https://docs.google.com/spreadsheets/d/14Bd19lYaqBhU8_DElYkX7l4wRkHqqCUFNJY4AfY3kHU/edit?usp=sharing  #gid=0"",""фіз особи new!relations_name_uo""),7,FALSE)
,
)
))"),"ПРОТОПОПОВА Елеонора Борисівна")</f>
        <v>ПРОТОПОПОВА Елеонора Борисівна</v>
      </c>
      <c r="G8649" s="7" t="s">
        <v>10</v>
      </c>
      <c r="H8649" s="7">
        <v>2974</v>
      </c>
      <c r="I8649" s="8" t="str">
        <f ca="1">IFERROR(__xludf.DUMMYFUNCTION("IF
(
G8650=""фізична особа""
,
VLOOKUP(H8650,IMPORTRANGE(""https://docs.google.com/spreadsheets/d/14Bd19lYaqBhU8_DElYkX7l4wRkHqqCUFNJY4AfY3kHU/edit?usp=sharing  #gid=0"",""фіз особи new!relations_name""),6,FALSE)
,
(IF
(
G8650=""юридична особа""
,
VLOOKUP"&amp;"(H8650,IMPORTRANGE(""https://docs.google.com/spreadsheets/d/14Bd19lYaqBhU8_DElYkX7l4wRkHqqCUFNJY4AfY3kHU/edit?usp=sharing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49" s="7" t="s">
        <v>29</v>
      </c>
    </row>
    <row r="8650" spans="1:10" ht="13.2">
      <c r="A8650" s="7">
        <v>8649</v>
      </c>
      <c r="B8650" s="7">
        <v>1</v>
      </c>
      <c r="C8650" s="7" t="s">
        <v>10</v>
      </c>
      <c r="D8650" s="7">
        <v>10573</v>
      </c>
      <c r="E8650" s="7" t="s">
        <v>28</v>
      </c>
      <c r="F8650" s="8" t="str">
        <f ca="1">IFERROR(__xludf.DUMMYFUNCTION("IF
(
C8651=""фізична особа""
,
VLOOKUP(D8651,IMPORTRANGE(""https://docs.google.com/spreadsheets/d/14Bd19lYaqBhU8_DElYkX7l4wRkHqqCUFNJY4AfY3kHU/edit?usp=sharing  #gid=0"",""фіз особи new!relations_name""),6,FALSE)
,
(IF
(
C8651=""юридична особа""
,
VLOOKUP"&amp;"(D8651,IMPORTRANGE(""https://docs.google.com/spreadsheets/d/14Bd19lYaqBhU8_DElYkX7l4wRkHqqCUFNJY4AfY3kHU/edit?usp=sharing  #gid=0"",""фіз особи new!relations_name_uo""),7,FALSE)
,
)
))"),"ДАМДІНЖАПОВ Баясхалан Володимирович")</f>
        <v>ДАМДІНЖАПОВ Баясхалан Володимирович</v>
      </c>
      <c r="G8650" s="7" t="s">
        <v>10</v>
      </c>
      <c r="H8650" s="7">
        <v>2974</v>
      </c>
      <c r="I8650" s="8" t="str">
        <f ca="1">IFERROR(__xludf.DUMMYFUNCTION("IF
(
G8651=""фізична особа""
,
VLOOKUP(H8651,IMPORTRANGE(""https://docs.google.com/spreadsheets/d/14Bd19lYaqBhU8_DElYkX7l4wRkHqqCUFNJY4AfY3kHU/edit?usp=sharing  #gid=0"",""фіз особи new!relations_name""),6,FALSE)
,
(IF
(
G8651=""юридична особа""
,
VLOOKUP"&amp;"(H8651,IMPORTRANGE(""https://docs.google.com/spreadsheets/d/14Bd19lYaqBhU8_DElYkX7l4wRkHqqCUFNJY4AfY3kHU/edit?usp=sharing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50" s="7" t="s">
        <v>29</v>
      </c>
    </row>
    <row r="8651" spans="1:10" ht="13.2">
      <c r="A8651" s="7">
        <v>8650</v>
      </c>
      <c r="B8651" s="7">
        <v>1</v>
      </c>
      <c r="C8651" s="7" t="s">
        <v>10</v>
      </c>
      <c r="D8651" s="7">
        <v>10574</v>
      </c>
      <c r="E8651" s="7" t="s">
        <v>28</v>
      </c>
      <c r="F8651" s="8" t="str">
        <f ca="1">IFERROR(__xludf.DUMMYFUNCTION("IF
(
C8652=""фізична особа""
,
VLOOKUP(D8652,IMPORTRANGE(""https://docs.google.com/spreadsheets/d/14Bd19lYaqBhU8_DElYkX7l4wRkHqqCUFNJY4AfY3kHU/edit?usp=sharing  #gid=0"",""фіз особи new!relations_name""),6,FALSE)
,
(IF
(
C8652=""юридична особа""
,
VLOOKUP"&amp;"(D8652,IMPORTRANGE(""https://docs.google.com/spreadsheets/d/14Bd19lYaqBhU8_DElYkX7l4wRkHqqCUFNJY4AfY3kHU/edit?usp=sharing  #gid=0"",""фіз особи new!relations_name_uo""),7,FALSE)
,
)
))"),"КАСЬЯНЕНКО Анатолій Анатолійович")</f>
        <v>КАСЬЯНЕНКО Анатолій Анатолійович</v>
      </c>
      <c r="G8651" s="7" t="s">
        <v>10</v>
      </c>
      <c r="H8651" s="7">
        <v>2974</v>
      </c>
      <c r="I8651" s="8" t="str">
        <f ca="1">IFERROR(__xludf.DUMMYFUNCTION("IF
(
G8652=""фізична особа""
,
VLOOKUP(H8652,IMPORTRANGE(""https://docs.google.com/spreadsheets/d/14Bd19lYaqBhU8_DElYkX7l4wRkHqqCUFNJY4AfY3kHU/edit?usp=sharing  #gid=0"",""фіз особи new!relations_name""),6,FALSE)
,
(IF
(
G8652=""юридична особа""
,
VLOOKUP"&amp;"(H8652,IMPORTRANGE(""https://docs.google.com/spreadsheets/d/14Bd19lYaqBhU8_DElYkX7l4wRkHqqCUFNJY4AfY3kHU/edit?usp=sharing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51" s="7" t="s">
        <v>29</v>
      </c>
    </row>
    <row r="8652" spans="1:10" ht="13.2">
      <c r="A8652" s="7">
        <v>8651</v>
      </c>
      <c r="B8652" s="7">
        <v>1</v>
      </c>
      <c r="C8652" s="7" t="s">
        <v>10</v>
      </c>
      <c r="D8652" s="7">
        <v>10575</v>
      </c>
      <c r="E8652" s="7" t="s">
        <v>28</v>
      </c>
      <c r="F8652" s="8" t="str">
        <f ca="1">IFERROR(__xludf.DUMMYFUNCTION("IF
(
C8653=""фізична особа""
,
VLOOKUP(D8653,IMPORTRANGE(""https://docs.google.com/spreadsheets/d/14Bd19lYaqBhU8_DElYkX7l4wRkHqqCUFNJY4AfY3kHU/edit?usp=sharing  #gid=0"",""фіз особи new!relations_name""),6,FALSE)
,
(IF
(
C8653=""юридична особа""
,
VLOOKUP"&amp;"(D8653,IMPORTRANGE(""https://docs.google.com/spreadsheets/d/14Bd19lYaqBhU8_DElYkX7l4wRkHqqCUFNJY4AfY3kHU/edit?usp=sharing  #gid=0"",""фіз особи new!relations_name_uo""),7,FALSE)
,
)
))"),"ЗАСЯДЬКО Світлана Володимирівна")</f>
        <v>ЗАСЯДЬКО Світлана Володимирівна</v>
      </c>
      <c r="G8652" s="7" t="s">
        <v>10</v>
      </c>
      <c r="H8652" s="7">
        <v>2974</v>
      </c>
      <c r="I8652" s="8" t="str">
        <f ca="1">IFERROR(__xludf.DUMMYFUNCTION("IF
(
G8653=""фізична особа""
,
VLOOKUP(H8653,IMPORTRANGE(""https://docs.google.com/spreadsheets/d/14Bd19lYaqBhU8_DElYkX7l4wRkHqqCUFNJY4AfY3kHU/edit?usp=sharing  #gid=0"",""фіз особи new!relations_name""),6,FALSE)
,
(IF
(
G8653=""юридична особа""
,
VLOOKUP"&amp;"(H8653,IMPORTRANGE(""https://docs.google.com/spreadsheets/d/14Bd19lYaqBhU8_DElYkX7l4wRkHqqCUFNJY4AfY3kHU/edit?usp=sharing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52" s="7" t="s">
        <v>29</v>
      </c>
    </row>
    <row r="8653" spans="1:10" ht="13.2">
      <c r="A8653" s="7">
        <v>8652</v>
      </c>
      <c r="B8653" s="7">
        <v>1</v>
      </c>
      <c r="C8653" s="7" t="s">
        <v>10</v>
      </c>
      <c r="D8653" s="7">
        <v>10576</v>
      </c>
      <c r="E8653" s="7" t="s">
        <v>28</v>
      </c>
      <c r="F8653" s="8" t="str">
        <f ca="1">IFERROR(__xludf.DUMMYFUNCTION("IF
(
C8654=""фізична особа""
,
VLOOKUP(D8654,IMPORTRANGE(""https://docs.google.com/spreadsheets/d/14Bd19lYaqBhU8_DElYkX7l4wRkHqqCUFNJY4AfY3kHU/edit?usp=sharing  #gid=0"",""фіз особи new!relations_name""),6,FALSE)
,
(IF
(
C8654=""юридична особа""
,
VLOOKUP"&amp;"(D8654,IMPORTRANGE(""https://docs.google.com/spreadsheets/d/14Bd19lYaqBhU8_DElYkX7l4wRkHqqCUFNJY4AfY3kHU/edit?usp=sharing  #gid=0"",""фіз особи new!relations_name_uo""),7,FALSE)
,
)
))"),"ПРЯХІН Антон Миколайович")</f>
        <v>ПРЯХІН Антон Миколайович</v>
      </c>
      <c r="G8653" s="7" t="s">
        <v>10</v>
      </c>
      <c r="H8653" s="7">
        <v>2974</v>
      </c>
      <c r="I8653" s="8" t="str">
        <f ca="1">IFERROR(__xludf.DUMMYFUNCTION("IF
(
G8654=""фізична особа""
,
VLOOKUP(H8654,IMPORTRANGE(""https://docs.google.com/spreadsheets/d/14Bd19lYaqBhU8_DElYkX7l4wRkHqqCUFNJY4AfY3kHU/edit?usp=sharing  #gid=0"",""фіз особи new!relations_name""),6,FALSE)
,
(IF
(
G8654=""юридична особа""
,
VLOOKUP"&amp;"(H8654,IMPORTRANGE(""https://docs.google.com/spreadsheets/d/14Bd19lYaqBhU8_DElYkX7l4wRkHqqCUFNJY4AfY3kHU/edit?usp=sharing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53" s="7" t="s">
        <v>29</v>
      </c>
    </row>
    <row r="8654" spans="1:10" ht="13.2">
      <c r="A8654" s="7">
        <v>8653</v>
      </c>
      <c r="B8654" s="7">
        <v>1</v>
      </c>
      <c r="C8654" s="7" t="s">
        <v>10</v>
      </c>
      <c r="D8654" s="7">
        <v>10577</v>
      </c>
      <c r="E8654" s="7" t="s">
        <v>28</v>
      </c>
      <c r="F8654" s="8" t="str">
        <f ca="1">IFERROR(__xludf.DUMMYFUNCTION("IF
(
C8655=""фізична особа""
,
VLOOKUP(D8655,IMPORTRANGE(""https://docs.google.com/spreadsheets/d/14Bd19lYaqBhU8_DElYkX7l4wRkHqqCUFNJY4AfY3kHU/edit?usp=sharing  #gid=0"",""фіз особи new!relations_name""),6,FALSE)
,
(IF
(
C8655=""юридична особа""
,
VLOOKUP"&amp;"(D8655,IMPORTRANGE(""https://docs.google.com/spreadsheets/d/14Bd19lYaqBhU8_DElYkX7l4wRkHqqCUFNJY4AfY3kHU/edit?usp=sharing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8654" s="7" t="s">
        <v>10</v>
      </c>
      <c r="H8654" s="7">
        <v>2974</v>
      </c>
      <c r="I8654" s="8" t="str">
        <f ca="1">IFERROR(__xludf.DUMMYFUNCTION("IF
(
G8655=""фізична особа""
,
VLOOKUP(H8655,IMPORTRANGE(""https://docs.google.com/spreadsheets/d/14Bd19lYaqBhU8_DElYkX7l4wRkHqqCUFNJY4AfY3kHU/edit?usp=sharing  #gid=0"",""фіз особи new!relations_name""),6,FALSE)
,
(IF
(
G8655=""юридична особа""
,
VLOOKUP"&amp;"(H8655,IMPORTRANGE(""https://docs.google.com/spreadsheets/d/14Bd19lYaqBhU8_DElYkX7l4wRkHqqCUFNJY4AfY3kHU/edit?usp=sharing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654" s="7" t="s">
        <v>29</v>
      </c>
    </row>
    <row r="8655" spans="1:10" ht="13.2">
      <c r="A8655" s="7">
        <v>8654</v>
      </c>
      <c r="B8655" s="7">
        <v>1</v>
      </c>
      <c r="C8655" s="7" t="s">
        <v>10</v>
      </c>
      <c r="D8655" s="7">
        <v>10578</v>
      </c>
      <c r="E8655" s="7" t="s">
        <v>28</v>
      </c>
      <c r="F8655" s="8" t="str">
        <f ca="1">IFERROR(__xludf.DUMMYFUNCTION("IF
(
C8656=""фізична особа""
,
VLOOKUP(D8656,IMPORTRANGE(""https://docs.google.com/spreadsheets/d/14Bd19lYaqBhU8_DElYkX7l4wRkHqqCUFNJY4AfY3kHU/edit?usp=sharing  #gid=0"",""фіз особи new!relations_name""),6,FALSE)
,
(IF
(
C8656=""юридична особа""
,
VLOOKUP"&amp;"(D8656,IMPORTRANGE(""https://docs.google.com/spreadsheets/d/14Bd19lYaqBhU8_DElYkX7l4wRkHqqCUFNJY4AfY3kHU/edit?usp=sharing  #gid=0"",""фіз особи new!relations_name_uo""),7,FALSE)
,
)
))"),"ЗАЙЦЕВА Світлана Юріївна")</f>
        <v>ЗАЙЦЕВА Світлана Юріївна</v>
      </c>
      <c r="G8655" s="7" t="s">
        <v>10</v>
      </c>
      <c r="H8655" s="7">
        <v>3029</v>
      </c>
      <c r="I8655" s="8" t="str">
        <f ca="1">IFERROR(__xludf.DUMMYFUNCTION("IF
(
G8656=""фізична особа""
,
VLOOKUP(H8656,IMPORTRANGE(""https://docs.google.com/spreadsheets/d/14Bd19lYaqBhU8_DElYkX7l4wRkHqqCUFNJY4AfY3kHU/edit?usp=sharing  #gid=0"",""фіз особи new!relations_name""),6,FALSE)
,
(IF
(
G8656=""юридична особа""
,
VLOOKUP"&amp;"(H8656,IMPORTRANGE(""https://docs.google.com/spreadsheets/d/14Bd19lYaqBhU8_DElYkX7l4wRkHqqCUFNJY4AfY3kHU/edit?usp=sharing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55" s="7" t="s">
        <v>29</v>
      </c>
    </row>
    <row r="8656" spans="1:10" ht="13.2">
      <c r="A8656" s="7">
        <v>8655</v>
      </c>
      <c r="B8656" s="7">
        <v>1</v>
      </c>
      <c r="C8656" s="7" t="s">
        <v>10</v>
      </c>
      <c r="D8656" s="7">
        <v>10579</v>
      </c>
      <c r="E8656" s="7" t="s">
        <v>28</v>
      </c>
      <c r="F8656" s="8" t="str">
        <f ca="1">IFERROR(__xludf.DUMMYFUNCTION("IF
(
C8657=""фізична особа""
,
VLOOKUP(D8657,IMPORTRANGE(""https://docs.google.com/spreadsheets/d/14Bd19lYaqBhU8_DElYkX7l4wRkHqqCUFNJY4AfY3kHU/edit?usp=sharing  #gid=0"",""фіз особи new!relations_name""),6,FALSE)
,
(IF
(
C8657=""юридична особа""
,
VLOOKUP"&amp;"(D8657,IMPORTRANGE(""https://docs.google.com/spreadsheets/d/14Bd19lYaqBhU8_DElYkX7l4wRkHqqCUFNJY4AfY3kHU/edit?usp=sharing  #gid=0"",""фіз особи new!relations_name_uo""),7,FALSE)
,
)
))"),"ПІРМАГОМЕДОВ Арсен Аліфендійович")</f>
        <v>ПІРМАГОМЕДОВ Арсен Аліфендійович</v>
      </c>
      <c r="G8656" s="7" t="s">
        <v>10</v>
      </c>
      <c r="H8656" s="7">
        <v>3029</v>
      </c>
      <c r="I8656" s="8" t="str">
        <f ca="1">IFERROR(__xludf.DUMMYFUNCTION("IF
(
G8657=""фізична особа""
,
VLOOKUP(H8657,IMPORTRANGE(""https://docs.google.com/spreadsheets/d/14Bd19lYaqBhU8_DElYkX7l4wRkHqqCUFNJY4AfY3kHU/edit?usp=sharing  #gid=0"",""фіз особи new!relations_name""),6,FALSE)
,
(IF
(
G8657=""юридична особа""
,
VLOOKUP"&amp;"(H8657,IMPORTRANGE(""https://docs.google.com/spreadsheets/d/14Bd19lYaqBhU8_DElYkX7l4wRkHqqCUFNJY4AfY3kHU/edit?usp=sharing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56" s="7" t="s">
        <v>29</v>
      </c>
    </row>
    <row r="8657" spans="1:10" ht="13.2">
      <c r="A8657" s="7">
        <v>8656</v>
      </c>
      <c r="B8657" s="7">
        <v>1</v>
      </c>
      <c r="C8657" s="7" t="s">
        <v>10</v>
      </c>
      <c r="D8657" s="7">
        <v>10580</v>
      </c>
      <c r="E8657" s="7" t="s">
        <v>28</v>
      </c>
      <c r="F8657" s="8" t="str">
        <f ca="1">IFERROR(__xludf.DUMMYFUNCTION("IF
(
C8658=""фізична особа""
,
VLOOKUP(D8658,IMPORTRANGE(""https://docs.google.com/spreadsheets/d/14Bd19lYaqBhU8_DElYkX7l4wRkHqqCUFNJY4AfY3kHU/edit?usp=sharing  #gid=0"",""фіз особи new!relations_name""),6,FALSE)
,
(IF
(
C8658=""юридична особа""
,
VLOOKUP"&amp;"(D8658,IMPORTRANGE(""https://docs.google.com/spreadsheets/d/14Bd19lYaqBhU8_DElYkX7l4wRkHqqCUFNJY4AfY3kHU/edit?usp=sharing  #gid=0"",""фіз особи new!relations_name_uo""),7,FALSE)
,
)
))"),"ДОДОВ Ісса Адамович")</f>
        <v>ДОДОВ Ісса Адамович</v>
      </c>
      <c r="G8657" s="7" t="s">
        <v>10</v>
      </c>
      <c r="H8657" s="7">
        <v>3029</v>
      </c>
      <c r="I8657" s="8" t="str">
        <f ca="1">IFERROR(__xludf.DUMMYFUNCTION("IF
(
G8658=""фізична особа""
,
VLOOKUP(H8658,IMPORTRANGE(""https://docs.google.com/spreadsheets/d/14Bd19lYaqBhU8_DElYkX7l4wRkHqqCUFNJY4AfY3kHU/edit?usp=sharing  #gid=0"",""фіз особи new!relations_name""),6,FALSE)
,
(IF
(
G8658=""юридична особа""
,
VLOOKUP"&amp;"(H8658,IMPORTRANGE(""https://docs.google.com/spreadsheets/d/14Bd19lYaqBhU8_DElYkX7l4wRkHqqCUFNJY4AfY3kHU/edit?usp=sharing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57" s="7" t="s">
        <v>29</v>
      </c>
    </row>
    <row r="8658" spans="1:10" ht="13.2">
      <c r="A8658" s="7">
        <v>8657</v>
      </c>
      <c r="B8658" s="7">
        <v>1</v>
      </c>
      <c r="C8658" s="7" t="s">
        <v>10</v>
      </c>
      <c r="D8658" s="7">
        <v>10581</v>
      </c>
      <c r="E8658" s="7" t="s">
        <v>28</v>
      </c>
      <c r="F8658" s="8" t="str">
        <f ca="1">IFERROR(__xludf.DUMMYFUNCTION("IF
(
C8659=""фізична особа""
,
VLOOKUP(D8659,IMPORTRANGE(""https://docs.google.com/spreadsheets/d/14Bd19lYaqBhU8_DElYkX7l4wRkHqqCUFNJY4AfY3kHU/edit?usp=sharing  #gid=0"",""фіз особи new!relations_name""),6,FALSE)
,
(IF
(
C8659=""юридична особа""
,
VLOOKUP"&amp;"(D8659,IMPORTRANGE(""https://docs.google.com/spreadsheets/d/14Bd19lYaqBhU8_DElYkX7l4wRkHqqCUFNJY4AfY3kHU/edit?usp=sharing  #gid=0"",""фіз особи new!relations_name_uo""),7,FALSE)
,
)
))"),"ДМИТРІЄВ Віталій Сергійович")</f>
        <v>ДМИТРІЄВ Віталій Сергійович</v>
      </c>
      <c r="G8658" s="7" t="s">
        <v>10</v>
      </c>
      <c r="H8658" s="7">
        <v>3029</v>
      </c>
      <c r="I8658" s="8" t="str">
        <f ca="1">IFERROR(__xludf.DUMMYFUNCTION("IF
(
G8659=""фізична особа""
,
VLOOKUP(H8659,IMPORTRANGE(""https://docs.google.com/spreadsheets/d/14Bd19lYaqBhU8_DElYkX7l4wRkHqqCUFNJY4AfY3kHU/edit?usp=sharing  #gid=0"",""фіз особи new!relations_name""),6,FALSE)
,
(IF
(
G8659=""юридична особа""
,
VLOOKUP"&amp;"(H8659,IMPORTRANGE(""https://docs.google.com/spreadsheets/d/14Bd19lYaqBhU8_DElYkX7l4wRkHqqCUFNJY4AfY3kHU/edit?usp=sharing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58" s="7" t="s">
        <v>29</v>
      </c>
    </row>
    <row r="8659" spans="1:10" ht="13.2">
      <c r="A8659" s="7">
        <v>8658</v>
      </c>
      <c r="B8659" s="7">
        <v>1</v>
      </c>
      <c r="C8659" s="7" t="s">
        <v>10</v>
      </c>
      <c r="D8659" s="7">
        <v>10582</v>
      </c>
      <c r="E8659" s="7" t="s">
        <v>28</v>
      </c>
      <c r="F8659" s="8" t="str">
        <f ca="1">IFERROR(__xludf.DUMMYFUNCTION("IF
(
C8660=""фізична особа""
,
VLOOKUP(D8660,IMPORTRANGE(""https://docs.google.com/spreadsheets/d/14Bd19lYaqBhU8_DElYkX7l4wRkHqqCUFNJY4AfY3kHU/edit?usp=sharing  #gid=0"",""фіз особи new!relations_name""),6,FALSE)
,
(IF
(
C8660=""юридична особа""
,
VLOOKUP"&amp;"(D8660,IMPORTRANGE(""https://docs.google.com/spreadsheets/d/14Bd19lYaqBhU8_DElYkX7l4wRkHqqCUFNJY4AfY3kHU/edit?usp=sharing  #gid=0"",""фіз особи new!relations_name_uo""),7,FALSE)
,
)
))"),"БАТЧАЄВА Амінат Орусбіївна")</f>
        <v>БАТЧАЄВА Амінат Орусбіївна</v>
      </c>
      <c r="G8659" s="7" t="s">
        <v>10</v>
      </c>
      <c r="H8659" s="7">
        <v>3029</v>
      </c>
      <c r="I8659" s="8" t="str">
        <f ca="1">IFERROR(__xludf.DUMMYFUNCTION("IF
(
G8660=""фізична особа""
,
VLOOKUP(H8660,IMPORTRANGE(""https://docs.google.com/spreadsheets/d/14Bd19lYaqBhU8_DElYkX7l4wRkHqqCUFNJY4AfY3kHU/edit?usp=sharing  #gid=0"",""фіз особи new!relations_name""),6,FALSE)
,
(IF
(
G8660=""юридична особа""
,
VLOOKUP"&amp;"(H8660,IMPORTRANGE(""https://docs.google.com/spreadsheets/d/14Bd19lYaqBhU8_DElYkX7l4wRkHqqCUFNJY4AfY3kHU/edit?usp=sharing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59" s="7" t="s">
        <v>29</v>
      </c>
    </row>
    <row r="8660" spans="1:10" ht="13.2">
      <c r="A8660" s="7">
        <v>8659</v>
      </c>
      <c r="B8660" s="7">
        <v>1</v>
      </c>
      <c r="C8660" s="7" t="s">
        <v>10</v>
      </c>
      <c r="D8660" s="7">
        <v>10583</v>
      </c>
      <c r="E8660" s="7" t="s">
        <v>28</v>
      </c>
      <c r="F8660" s="8" t="str">
        <f ca="1">IFERROR(__xludf.DUMMYFUNCTION("IF
(
C8661=""фізична особа""
,
VLOOKUP(D8661,IMPORTRANGE(""https://docs.google.com/spreadsheets/d/14Bd19lYaqBhU8_DElYkX7l4wRkHqqCUFNJY4AfY3kHU/edit?usp=sharing  #gid=0"",""фіз особи new!relations_name""),6,FALSE)
,
(IF
(
C8661=""юридична особа""
,
VLOOKUP"&amp;"(D8661,IMPORTRANGE(""https://docs.google.com/spreadsheets/d/14Bd19lYaqBhU8_DElYkX7l4wRkHqqCUFNJY4AfY3kHU/edit?usp=sharing  #gid=0"",""фіз особи new!relations_name_uo""),7,FALSE)
,
)
))"),"ТОКАЄВ Казбек Назірович")</f>
        <v>ТОКАЄВ Казбек Назірович</v>
      </c>
      <c r="G8660" s="7" t="s">
        <v>10</v>
      </c>
      <c r="H8660" s="7">
        <v>3029</v>
      </c>
      <c r="I8660" s="8" t="str">
        <f ca="1">IFERROR(__xludf.DUMMYFUNCTION("IF
(
G8661=""фізична особа""
,
VLOOKUP(H8661,IMPORTRANGE(""https://docs.google.com/spreadsheets/d/14Bd19lYaqBhU8_DElYkX7l4wRkHqqCUFNJY4AfY3kHU/edit?usp=sharing  #gid=0"",""фіз особи new!relations_name""),6,FALSE)
,
(IF
(
G8661=""юридична особа""
,
VLOOKUP"&amp;"(H8661,IMPORTRANGE(""https://docs.google.com/spreadsheets/d/14Bd19lYaqBhU8_DElYkX7l4wRkHqqCUFNJY4AfY3kHU/edit?usp=sharing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60" s="7" t="s">
        <v>29</v>
      </c>
    </row>
    <row r="8661" spans="1:10" ht="13.2">
      <c r="A8661" s="7">
        <v>8660</v>
      </c>
      <c r="B8661" s="7">
        <v>1</v>
      </c>
      <c r="C8661" s="7" t="s">
        <v>10</v>
      </c>
      <c r="D8661" s="7">
        <v>10584</v>
      </c>
      <c r="E8661" s="7" t="s">
        <v>28</v>
      </c>
      <c r="F8661" s="8" t="str">
        <f ca="1">IFERROR(__xludf.DUMMYFUNCTION("IF
(
C8662=""фізична особа""
,
VLOOKUP(D8662,IMPORTRANGE(""https://docs.google.com/spreadsheets/d/14Bd19lYaqBhU8_DElYkX7l4wRkHqqCUFNJY4AfY3kHU/edit?usp=sharing  #gid=0"",""фіз особи new!relations_name""),6,FALSE)
,
(IF
(
C8662=""юридична особа""
,
VLOOKUP"&amp;"(D8662,IMPORTRANGE(""https://docs.google.com/spreadsheets/d/14Bd19lYaqBhU8_DElYkX7l4wRkHqqCUFNJY4AfY3kHU/edit?usp=sharing  #gid=0"",""фіз особи new!relations_name_uo""),7,FALSE)
,
)
))"),"САДУЛАЄВ Алі Сайдбекович")</f>
        <v>САДУЛАЄВ Алі Сайдбекович</v>
      </c>
      <c r="G8661" s="7" t="s">
        <v>10</v>
      </c>
      <c r="H8661" s="7">
        <v>3029</v>
      </c>
      <c r="I8661" s="8" t="str">
        <f ca="1">IFERROR(__xludf.DUMMYFUNCTION("IF
(
G8662=""фізична особа""
,
VLOOKUP(H8662,IMPORTRANGE(""https://docs.google.com/spreadsheets/d/14Bd19lYaqBhU8_DElYkX7l4wRkHqqCUFNJY4AfY3kHU/edit?usp=sharing  #gid=0"",""фіз особи new!relations_name""),6,FALSE)
,
(IF
(
G8662=""юридична особа""
,
VLOOKUP"&amp;"(H8662,IMPORTRANGE(""https://docs.google.com/spreadsheets/d/14Bd19lYaqBhU8_DElYkX7l4wRkHqqCUFNJY4AfY3kHU/edit?usp=sharing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61" s="7" t="s">
        <v>29</v>
      </c>
    </row>
    <row r="8662" spans="1:10" ht="13.2">
      <c r="A8662" s="7">
        <v>8661</v>
      </c>
      <c r="B8662" s="7">
        <v>1</v>
      </c>
      <c r="C8662" s="7" t="s">
        <v>10</v>
      </c>
      <c r="D8662" s="7">
        <v>10585</v>
      </c>
      <c r="E8662" s="7" t="s">
        <v>28</v>
      </c>
      <c r="F8662" s="8" t="str">
        <f ca="1">IFERROR(__xludf.DUMMYFUNCTION("IF
(
C8663=""фізична особа""
,
VLOOKUP(D8663,IMPORTRANGE(""https://docs.google.com/spreadsheets/d/14Bd19lYaqBhU8_DElYkX7l4wRkHqqCUFNJY4AfY3kHU/edit?usp=sharing  #gid=0"",""фіз особи new!relations_name""),6,FALSE)
,
(IF
(
C8663=""юридична особа""
,
VLOOKUP"&amp;"(D8663,IMPORTRANGE(""https://docs.google.com/spreadsheets/d/14Bd19lYaqBhU8_DElYkX7l4wRkHqqCUFNJY4AfY3kHU/edit?usp=sharing  #gid=0"",""фіз особи new!relations_name_uo""),7,FALSE)
,
)
))"),"ЧЕРНУХІН Микола Вікторович")</f>
        <v>ЧЕРНУХІН Микола Вікторович</v>
      </c>
      <c r="G8662" s="7" t="s">
        <v>10</v>
      </c>
      <c r="H8662" s="7">
        <v>3029</v>
      </c>
      <c r="I8662" s="8" t="str">
        <f ca="1">IFERROR(__xludf.DUMMYFUNCTION("IF
(
G8663=""фізична особа""
,
VLOOKUP(H8663,IMPORTRANGE(""https://docs.google.com/spreadsheets/d/14Bd19lYaqBhU8_DElYkX7l4wRkHqqCUFNJY4AfY3kHU/edit?usp=sharing  #gid=0"",""фіз особи new!relations_name""),6,FALSE)
,
(IF
(
G8663=""юридична особа""
,
VLOOKUP"&amp;"(H8663,IMPORTRANGE(""https://docs.google.com/spreadsheets/d/14Bd19lYaqBhU8_DElYkX7l4wRkHqqCUFNJY4AfY3kHU/edit?usp=sharing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62" s="7" t="s">
        <v>29</v>
      </c>
    </row>
    <row r="8663" spans="1:10" ht="13.2">
      <c r="A8663" s="7">
        <v>8662</v>
      </c>
      <c r="B8663" s="7">
        <v>1</v>
      </c>
      <c r="C8663" s="7" t="s">
        <v>10</v>
      </c>
      <c r="D8663" s="7">
        <v>10586</v>
      </c>
      <c r="E8663" s="7" t="s">
        <v>28</v>
      </c>
      <c r="F8663" s="8" t="str">
        <f ca="1">IFERROR(__xludf.DUMMYFUNCTION("IF
(
C8664=""фізична особа""
,
VLOOKUP(D8664,IMPORTRANGE(""https://docs.google.com/spreadsheets/d/14Bd19lYaqBhU8_DElYkX7l4wRkHqqCUFNJY4AfY3kHU/edit?usp=sharing  #gid=0"",""фіз особи new!relations_name""),6,FALSE)
,
(IF
(
C8664=""юридична особа""
,
VLOOKUP"&amp;"(D8664,IMPORTRANGE(""https://docs.google.com/spreadsheets/d/14Bd19lYaqBhU8_DElYkX7l4wRkHqqCUFNJY4AfY3kHU/edit?usp=sharing  #gid=0"",""фіз особи new!relations_name_uo""),7,FALSE)
,
)
))"),"ПЄСКОВ В'ячеслав Миколайович")</f>
        <v>ПЄСКОВ В'ячеслав Миколайович</v>
      </c>
      <c r="G8663" s="7" t="s">
        <v>10</v>
      </c>
      <c r="H8663" s="7">
        <v>3029</v>
      </c>
      <c r="I8663" s="8" t="str">
        <f ca="1">IFERROR(__xludf.DUMMYFUNCTION("IF
(
G8664=""фізична особа""
,
VLOOKUP(H8664,IMPORTRANGE(""https://docs.google.com/spreadsheets/d/14Bd19lYaqBhU8_DElYkX7l4wRkHqqCUFNJY4AfY3kHU/edit?usp=sharing  #gid=0"",""фіз особи new!relations_name""),6,FALSE)
,
(IF
(
G8664=""юридична особа""
,
VLOOKUP"&amp;"(H8664,IMPORTRANGE(""https://docs.google.com/spreadsheets/d/14Bd19lYaqBhU8_DElYkX7l4wRkHqqCUFNJY4AfY3kHU/edit?usp=sharing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63" s="7" t="s">
        <v>29</v>
      </c>
    </row>
    <row r="8664" spans="1:10" ht="13.2">
      <c r="A8664" s="7">
        <v>8663</v>
      </c>
      <c r="B8664" s="7">
        <v>1</v>
      </c>
      <c r="C8664" s="7" t="s">
        <v>10</v>
      </c>
      <c r="D8664" s="7">
        <v>10587</v>
      </c>
      <c r="E8664" s="7" t="s">
        <v>28</v>
      </c>
      <c r="F8664" s="8" t="str">
        <f ca="1">IFERROR(__xludf.DUMMYFUNCTION("IF
(
C8665=""фізична особа""
,
VLOOKUP(D8665,IMPORTRANGE(""https://docs.google.com/spreadsheets/d/14Bd19lYaqBhU8_DElYkX7l4wRkHqqCUFNJY4AfY3kHU/edit?usp=sharing  #gid=0"",""фіз особи new!relations_name""),6,FALSE)
,
(IF
(
C8665=""юридична особа""
,
VLOOKUP"&amp;"(D8665,IMPORTRANGE(""https://docs.google.com/spreadsheets/d/14Bd19lYaqBhU8_DElYkX7l4wRkHqqCUFNJY4AfY3kHU/edit?usp=sharing  #gid=0"",""фіз особи new!relations_name_uo""),7,FALSE)
,
)
))"),"АШКАЛОВ Агепсім Ісаакович")</f>
        <v>АШКАЛОВ Агепсім Ісаакович</v>
      </c>
      <c r="G8664" s="7" t="s">
        <v>10</v>
      </c>
      <c r="H8664" s="7">
        <v>860</v>
      </c>
      <c r="I8664" s="8" t="str">
        <f ca="1">IFERROR(__xludf.DUMMYFUNCTION("IF
(
G8665=""фізична особа""
,
VLOOKUP(H8665,IMPORTRANGE(""https://docs.google.com/spreadsheets/d/14Bd19lYaqBhU8_DElYkX7l4wRkHqqCUFNJY4AfY3kHU/edit?usp=sharing  #gid=0"",""фіз особи new!relations_name""),6,FALSE)
,
(IF
(
G8665=""юридична особа""
,
VLOOKUP"&amp;"(H8665,IMPORTRANGE(""https://docs.google.com/spreadsheets/d/14Bd19lYaqBhU8_DElYkX7l4wRkHqqCUFNJY4AfY3kHU/edit?usp=sharing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4" s="7" t="s">
        <v>29</v>
      </c>
    </row>
    <row r="8665" spans="1:10" ht="13.2">
      <c r="A8665" s="7">
        <v>8664</v>
      </c>
      <c r="B8665" s="7">
        <v>1</v>
      </c>
      <c r="C8665" s="7" t="s">
        <v>10</v>
      </c>
      <c r="D8665" s="7">
        <v>10588</v>
      </c>
      <c r="E8665" s="7" t="s">
        <v>28</v>
      </c>
      <c r="F8665" s="8" t="str">
        <f ca="1">IFERROR(__xludf.DUMMYFUNCTION("IF
(
C8666=""фізична особа""
,
VLOOKUP(D8666,IMPORTRANGE(""https://docs.google.com/spreadsheets/d/14Bd19lYaqBhU8_DElYkX7l4wRkHqqCUFNJY4AfY3kHU/edit?usp=sharing  #gid=0"",""фіз особи new!relations_name""),6,FALSE)
,
(IF
(
C8666=""юридична особа""
,
VLOOKUP"&amp;"(D8666,IMPORTRANGE(""https://docs.google.com/spreadsheets/d/14Bd19lYaqBhU8_DElYkX7l4wRkHqqCUFNJY4AfY3kHU/edit?usp=sharing  #gid=0"",""фіз особи new!relations_name_uo""),7,FALSE)
,
)
))"),"ПОВОД Олександр Вікторович")</f>
        <v>ПОВОД Олександр Вікторович</v>
      </c>
      <c r="G8665" s="7" t="s">
        <v>10</v>
      </c>
      <c r="H8665" s="7">
        <v>860</v>
      </c>
      <c r="I8665" s="8" t="str">
        <f ca="1">IFERROR(__xludf.DUMMYFUNCTION("IF
(
G8666=""фізична особа""
,
VLOOKUP(H8666,IMPORTRANGE(""https://docs.google.com/spreadsheets/d/14Bd19lYaqBhU8_DElYkX7l4wRkHqqCUFNJY4AfY3kHU/edit?usp=sharing  #gid=0"",""фіз особи new!relations_name""),6,FALSE)
,
(IF
(
G8666=""юридична особа""
,
VLOOKUP"&amp;"(H8666,IMPORTRANGE(""https://docs.google.com/spreadsheets/d/14Bd19lYaqBhU8_DElYkX7l4wRkHqqCUFNJY4AfY3kHU/edit?usp=sharing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5" s="7" t="s">
        <v>29</v>
      </c>
    </row>
    <row r="8666" spans="1:10" ht="13.2">
      <c r="A8666" s="7">
        <v>8665</v>
      </c>
      <c r="B8666" s="7">
        <v>1</v>
      </c>
      <c r="C8666" s="7" t="s">
        <v>10</v>
      </c>
      <c r="D8666" s="7">
        <v>10589</v>
      </c>
      <c r="E8666" s="7" t="s">
        <v>28</v>
      </c>
      <c r="F8666" s="8" t="str">
        <f ca="1">IFERROR(__xludf.DUMMYFUNCTION("IF
(
C8667=""фізична особа""
,
VLOOKUP(D8667,IMPORTRANGE(""https://docs.google.com/spreadsheets/d/14Bd19lYaqBhU8_DElYkX7l4wRkHqqCUFNJY4AfY3kHU/edit?usp=sharing  #gid=0"",""фіз особи new!relations_name""),6,FALSE)
,
(IF
(
C8667=""юридична особа""
,
VLOOKUP"&amp;"(D8667,IMPORTRANGE(""https://docs.google.com/spreadsheets/d/14Bd19lYaqBhU8_DElYkX7l4wRkHqqCUFNJY4AfY3kHU/edit?usp=sharing  #gid=0"",""фіз особи new!relations_name_uo""),7,FALSE)
,
)
))"),"ЛАДИГІН Юрій Михайлович")</f>
        <v>ЛАДИГІН Юрій Михайлович</v>
      </c>
      <c r="G8666" s="7" t="s">
        <v>10</v>
      </c>
      <c r="H8666" s="7">
        <v>860</v>
      </c>
      <c r="I8666" s="8" t="str">
        <f ca="1">IFERROR(__xludf.DUMMYFUNCTION("IF
(
G8667=""фізична особа""
,
VLOOKUP(H8667,IMPORTRANGE(""https://docs.google.com/spreadsheets/d/14Bd19lYaqBhU8_DElYkX7l4wRkHqqCUFNJY4AfY3kHU/edit?usp=sharing  #gid=0"",""фіз особи new!relations_name""),6,FALSE)
,
(IF
(
G8667=""юридична особа""
,
VLOOKUP"&amp;"(H8667,IMPORTRANGE(""https://docs.google.com/spreadsheets/d/14Bd19lYaqBhU8_DElYkX7l4wRkHqqCUFNJY4AfY3kHU/edit?usp=sharing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6" s="7" t="s">
        <v>29</v>
      </c>
    </row>
    <row r="8667" spans="1:10" ht="13.2">
      <c r="A8667" s="7">
        <v>8666</v>
      </c>
      <c r="B8667" s="7">
        <v>1</v>
      </c>
      <c r="C8667" s="7" t="s">
        <v>10</v>
      </c>
      <c r="D8667" s="7">
        <v>10590</v>
      </c>
      <c r="E8667" s="7" t="s">
        <v>28</v>
      </c>
      <c r="F8667" s="8" t="str">
        <f ca="1">IFERROR(__xludf.DUMMYFUNCTION("IF
(
C8668=""фізична особа""
,
VLOOKUP(D8668,IMPORTRANGE(""https://docs.google.com/spreadsheets/d/14Bd19lYaqBhU8_DElYkX7l4wRkHqqCUFNJY4AfY3kHU/edit?usp=sharing  #gid=0"",""фіз особи new!relations_name""),6,FALSE)
,
(IF
(
C8668=""юридична особа""
,
VLOOKUP"&amp;"(D8668,IMPORTRANGE(""https://docs.google.com/spreadsheets/d/14Bd19lYaqBhU8_DElYkX7l4wRkHqqCUFNJY4AfY3kHU/edit?usp=sharing  #gid=0"",""фіз особи new!relations_name_uo""),7,FALSE)
,
)
))"),"МАВЛІКОВ Альберт Вазілович")</f>
        <v>МАВЛІКОВ Альберт Вазілович</v>
      </c>
      <c r="G8667" s="7" t="s">
        <v>10</v>
      </c>
      <c r="H8667" s="7">
        <v>860</v>
      </c>
      <c r="I8667" s="8" t="str">
        <f ca="1">IFERROR(__xludf.DUMMYFUNCTION("IF
(
G8668=""фізична особа""
,
VLOOKUP(H8668,IMPORTRANGE(""https://docs.google.com/spreadsheets/d/14Bd19lYaqBhU8_DElYkX7l4wRkHqqCUFNJY4AfY3kHU/edit?usp=sharing  #gid=0"",""фіз особи new!relations_name""),6,FALSE)
,
(IF
(
G8668=""юридична особа""
,
VLOOKUP"&amp;"(H8668,IMPORTRANGE(""https://docs.google.com/spreadsheets/d/14Bd19lYaqBhU8_DElYkX7l4wRkHqqCUFNJY4AfY3kHU/edit?usp=sharing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7" s="7" t="s">
        <v>29</v>
      </c>
    </row>
    <row r="8668" spans="1:10" ht="13.2">
      <c r="A8668" s="7">
        <v>8667</v>
      </c>
      <c r="B8668" s="7">
        <v>1</v>
      </c>
      <c r="C8668" s="7" t="s">
        <v>10</v>
      </c>
      <c r="D8668" s="7">
        <v>10591</v>
      </c>
      <c r="E8668" s="7" t="s">
        <v>28</v>
      </c>
      <c r="F8668" s="8" t="str">
        <f ca="1">IFERROR(__xludf.DUMMYFUNCTION("IF
(
C8669=""фізична особа""
,
VLOOKUP(D8669,IMPORTRANGE(""https://docs.google.com/spreadsheets/d/14Bd19lYaqBhU8_DElYkX7l4wRkHqqCUFNJY4AfY3kHU/edit?usp=sharing  #gid=0"",""фіз особи new!relations_name""),6,FALSE)
,
(IF
(
C8669=""юридична особа""
,
VLOOKUP"&amp;"(D8669,IMPORTRANGE(""https://docs.google.com/spreadsheets/d/14Bd19lYaqBhU8_DElYkX7l4wRkHqqCUFNJY4AfY3kHU/edit?usp=sharing  #gid=0"",""фіз особи new!relations_name_uo""),7,FALSE)
,
)
))"),"ЯСТРЕБОВ Олександр Миколайович")</f>
        <v>ЯСТРЕБОВ Олександр Миколайович</v>
      </c>
      <c r="G8668" s="7" t="s">
        <v>10</v>
      </c>
      <c r="H8668" s="7">
        <v>860</v>
      </c>
      <c r="I8668" s="8" t="str">
        <f ca="1">IFERROR(__xludf.DUMMYFUNCTION("IF
(
G8669=""фізична особа""
,
VLOOKUP(H8669,IMPORTRANGE(""https://docs.google.com/spreadsheets/d/14Bd19lYaqBhU8_DElYkX7l4wRkHqqCUFNJY4AfY3kHU/edit?usp=sharing  #gid=0"",""фіз особи new!relations_name""),6,FALSE)
,
(IF
(
G8669=""юридична особа""
,
VLOOKUP"&amp;"(H8669,IMPORTRANGE(""https://docs.google.com/spreadsheets/d/14Bd19lYaqBhU8_DElYkX7l4wRkHqqCUFNJY4AfY3kHU/edit?usp=sharing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8" s="7" t="s">
        <v>29</v>
      </c>
    </row>
    <row r="8669" spans="1:10" ht="13.2">
      <c r="A8669" s="7">
        <v>8668</v>
      </c>
      <c r="B8669" s="7">
        <v>1</v>
      </c>
      <c r="C8669" s="7" t="s">
        <v>10</v>
      </c>
      <c r="D8669" s="7">
        <v>10592</v>
      </c>
      <c r="E8669" s="7" t="s">
        <v>28</v>
      </c>
      <c r="F8669" s="8" t="str">
        <f ca="1">IFERROR(__xludf.DUMMYFUNCTION("IF
(
C8670=""фізична особа""
,
VLOOKUP(D8670,IMPORTRANGE(""https://docs.google.com/spreadsheets/d/14Bd19lYaqBhU8_DElYkX7l4wRkHqqCUFNJY4AfY3kHU/edit?usp=sharing  #gid=0"",""фіз особи new!relations_name""),6,FALSE)
,
(IF
(
C8670=""юридична особа""
,
VLOOKUP"&amp;"(D8670,IMPORTRANGE(""https://docs.google.com/spreadsheets/d/14Bd19lYaqBhU8_DElYkX7l4wRkHqqCUFNJY4AfY3kHU/edit?usp=sharing  #gid=0"",""фіз особи new!relations_name_uo""),7,FALSE)
,
)
))"),"ФРОЛОВ Олексій Миколайович")</f>
        <v>ФРОЛОВ Олексій Миколайович</v>
      </c>
      <c r="G8669" s="7" t="s">
        <v>10</v>
      </c>
      <c r="H8669" s="7">
        <v>860</v>
      </c>
      <c r="I8669" s="8" t="str">
        <f ca="1">IFERROR(__xludf.DUMMYFUNCTION("IF
(
G8670=""фізична особа""
,
VLOOKUP(H8670,IMPORTRANGE(""https://docs.google.com/spreadsheets/d/14Bd19lYaqBhU8_DElYkX7l4wRkHqqCUFNJY4AfY3kHU/edit?usp=sharing  #gid=0"",""фіз особи new!relations_name""),6,FALSE)
,
(IF
(
G8670=""юридична особа""
,
VLOOKUP"&amp;"(H8670,IMPORTRANGE(""https://docs.google.com/spreadsheets/d/14Bd19lYaqBhU8_DElYkX7l4wRkHqqCUFNJY4AfY3kHU/edit?usp=sharing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69" s="7" t="s">
        <v>29</v>
      </c>
    </row>
    <row r="8670" spans="1:10" ht="13.2">
      <c r="A8670" s="7">
        <v>8669</v>
      </c>
      <c r="B8670" s="7">
        <v>1</v>
      </c>
      <c r="C8670" s="7" t="s">
        <v>10</v>
      </c>
      <c r="D8670" s="7">
        <v>10593</v>
      </c>
      <c r="E8670" s="7" t="s">
        <v>28</v>
      </c>
      <c r="F8670" s="8" t="str">
        <f ca="1">IFERROR(__xludf.DUMMYFUNCTION("IF
(
C8671=""фізична особа""
,
VLOOKUP(D8671,IMPORTRANGE(""https://docs.google.com/spreadsheets/d/14Bd19lYaqBhU8_DElYkX7l4wRkHqqCUFNJY4AfY3kHU/edit?usp=sharing  #gid=0"",""фіз особи new!relations_name""),6,FALSE)
,
(IF
(
C8671=""юридична особа""
,
VLOOKUP"&amp;"(D8671,IMPORTRANGE(""https://docs.google.com/spreadsheets/d/14Bd19lYaqBhU8_DElYkX7l4wRkHqqCUFNJY4AfY3kHU/edit?usp=sharing  #gid=0"",""фіз особи new!relations_name_uo""),7,FALSE)
,
)
))"),"РИБКІН Сергій Валентинович")</f>
        <v>РИБКІН Сергій Валентинович</v>
      </c>
      <c r="G8670" s="7" t="s">
        <v>10</v>
      </c>
      <c r="H8670" s="7">
        <v>860</v>
      </c>
      <c r="I8670" s="8" t="str">
        <f ca="1">IFERROR(__xludf.DUMMYFUNCTION("IF
(
G8671=""фізична особа""
,
VLOOKUP(H8671,IMPORTRANGE(""https://docs.google.com/spreadsheets/d/14Bd19lYaqBhU8_DElYkX7l4wRkHqqCUFNJY4AfY3kHU/edit?usp=sharing  #gid=0"",""фіз особи new!relations_name""),6,FALSE)
,
(IF
(
G8671=""юридична особа""
,
VLOOKUP"&amp;"(H8671,IMPORTRANGE(""https://docs.google.com/spreadsheets/d/14Bd19lYaqBhU8_DElYkX7l4wRkHqqCUFNJY4AfY3kHU/edit?usp=sharing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70" s="7" t="s">
        <v>29</v>
      </c>
    </row>
    <row r="8671" spans="1:10" ht="13.2">
      <c r="A8671" s="7">
        <v>8670</v>
      </c>
      <c r="B8671" s="7">
        <v>1</v>
      </c>
      <c r="C8671" s="7" t="s">
        <v>10</v>
      </c>
      <c r="D8671" s="7">
        <v>10594</v>
      </c>
      <c r="E8671" s="7" t="s">
        <v>28</v>
      </c>
      <c r="F8671" s="8" t="str">
        <f ca="1">IFERROR(__xludf.DUMMYFUNCTION("IF
(
C8672=""фізична особа""
,
VLOOKUP(D8672,IMPORTRANGE(""https://docs.google.com/spreadsheets/d/14Bd19lYaqBhU8_DElYkX7l4wRkHqqCUFNJY4AfY3kHU/edit?usp=sharing  #gid=0"",""фіз особи new!relations_name""),6,FALSE)
,
(IF
(
C8672=""юридична особа""
,
VLOOKUP"&amp;"(D8672,IMPORTRANGE(""https://docs.google.com/spreadsheets/d/14Bd19lYaqBhU8_DElYkX7l4wRkHqqCUFNJY4AfY3kHU/edit?usp=sharing  #gid=0"",""фіз особи new!relations_name_uo""),7,FALSE)
,
)
))"),"ПАШКО Сергій Вікторович")</f>
        <v>ПАШКО Сергій Вікторович</v>
      </c>
      <c r="G8671" s="7" t="s">
        <v>10</v>
      </c>
      <c r="H8671" s="7">
        <v>860</v>
      </c>
      <c r="I8671" s="8" t="str">
        <f ca="1">IFERROR(__xludf.DUMMYFUNCTION("IF
(
G8672=""фізична особа""
,
VLOOKUP(H8672,IMPORTRANGE(""https://docs.google.com/spreadsheets/d/14Bd19lYaqBhU8_DElYkX7l4wRkHqqCUFNJY4AfY3kHU/edit?usp=sharing  #gid=0"",""фіз особи new!relations_name""),6,FALSE)
,
(IF
(
G8672=""юридична особа""
,
VLOOKUP"&amp;"(H8672,IMPORTRANGE(""https://docs.google.com/spreadsheets/d/14Bd19lYaqBhU8_DElYkX7l4wRkHqqCUFNJY4AfY3kHU/edit?usp=sharing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8671" s="7" t="s">
        <v>29</v>
      </c>
    </row>
    <row r="8672" spans="1:10" ht="13.2">
      <c r="A8672" s="7">
        <v>8671</v>
      </c>
      <c r="B8672" s="7">
        <v>1</v>
      </c>
      <c r="C8672" s="7" t="s">
        <v>10</v>
      </c>
      <c r="D8672" s="7">
        <v>10595</v>
      </c>
      <c r="E8672" s="7" t="s">
        <v>28</v>
      </c>
      <c r="F8672" s="8" t="str">
        <f ca="1">IFERROR(__xludf.DUMMYFUNCTION("IF
(
C8673=""фізична особа""
,
VLOOKUP(D8673,IMPORTRANGE(""https://docs.google.com/spreadsheets/d/14Bd19lYaqBhU8_DElYkX7l4wRkHqqCUFNJY4AfY3kHU/edit?usp=sharing  #gid=0"",""фіз особи new!relations_name""),6,FALSE)
,
(IF
(
C8673=""юридична особа""
,
VLOOKUP"&amp;"(D8673,IMPORTRANGE(""https://docs.google.com/spreadsheets/d/14Bd19lYaqBhU8_DElYkX7l4wRkHqqCUFNJY4AfY3kHU/edit?usp=sharing  #gid=0"",""фіз особи new!relations_name_uo""),7,FALSE)
,
)
))"),"МАКАРОВ Андрій Валентинович")</f>
        <v>МАКАРОВ Андрій Валентинович</v>
      </c>
      <c r="G8672" s="7" t="s">
        <v>10</v>
      </c>
      <c r="H8672" s="7">
        <v>2960</v>
      </c>
      <c r="I8672" s="8" t="str">
        <f ca="1">IFERROR(__xludf.DUMMYFUNCTION("IF
(
G8673=""фізична особа""
,
VLOOKUP(H8673,IMPORTRANGE(""https://docs.google.com/spreadsheets/d/14Bd19lYaqBhU8_DElYkX7l4wRkHqqCUFNJY4AfY3kHU/edit?usp=sharing  #gid=0"",""фіз особи new!relations_name""),6,FALSE)
,
(IF
(
G8673=""юридична особа""
,
VLOOKUP"&amp;"(H8673,IMPORTRANGE(""https://docs.google.com/spreadsheets/d/14Bd19lYaqBhU8_DElYkX7l4wRkHqqCUFNJY4AfY3kHU/edit?usp=sharing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672" s="7" t="s">
        <v>29</v>
      </c>
    </row>
    <row r="8673" spans="1:10" ht="13.2">
      <c r="A8673" s="7">
        <v>8672</v>
      </c>
      <c r="B8673" s="7">
        <v>1</v>
      </c>
      <c r="C8673" s="7" t="s">
        <v>10</v>
      </c>
      <c r="D8673" s="7">
        <v>10596</v>
      </c>
      <c r="E8673" s="7" t="s">
        <v>28</v>
      </c>
      <c r="F8673" s="8" t="str">
        <f ca="1">IFERROR(__xludf.DUMMYFUNCTION("IF
(
C8674=""фізична особа""
,
VLOOKUP(D8674,IMPORTRANGE(""https://docs.google.com/spreadsheets/d/14Bd19lYaqBhU8_DElYkX7l4wRkHqqCUFNJY4AfY3kHU/edit?usp=sharing  #gid=0"",""фіз особи new!relations_name""),6,FALSE)
,
(IF
(
C8674=""юридична особа""
,
VLOOKUP"&amp;"(D8674,IMPORTRANGE(""https://docs.google.com/spreadsheets/d/14Bd19lYaqBhU8_DElYkX7l4wRkHqqCUFNJY4AfY3kHU/edit?usp=sharing  #gid=0"",""фіз особи new!relations_name_uo""),7,FALSE)
,
)
))"),"ГУСЕНКО Андрій Георгійович")</f>
        <v>ГУСЕНКО Андрій Георгійович</v>
      </c>
      <c r="G8673" s="7" t="s">
        <v>10</v>
      </c>
      <c r="H8673" s="7">
        <v>2964</v>
      </c>
      <c r="I8673" s="8" t="str">
        <f ca="1">IFERROR(__xludf.DUMMYFUNCTION("IF
(
G8674=""фізична особа""
,
VLOOKUP(H8674,IMPORTRANGE(""https://docs.google.com/spreadsheets/d/14Bd19lYaqBhU8_DElYkX7l4wRkHqqCUFNJY4AfY3kHU/edit?usp=sharing  #gid=0"",""фіз особи new!relations_name""),6,FALSE)
,
(IF
(
G8674=""юридична особа""
,
VLOOKUP"&amp;"(H8674,IMPORTRANGE(""https://docs.google.com/spreadsheets/d/14Bd19lYaqBhU8_DElYkX7l4wRkHqqCUFNJY4AfY3kHU/edit?usp=sharing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73" s="7" t="s">
        <v>29</v>
      </c>
    </row>
    <row r="8674" spans="1:10" ht="13.2">
      <c r="A8674" s="7">
        <v>8673</v>
      </c>
      <c r="B8674" s="7">
        <v>1</v>
      </c>
      <c r="C8674" s="7" t="s">
        <v>10</v>
      </c>
      <c r="D8674" s="7">
        <v>10597</v>
      </c>
      <c r="E8674" s="7" t="s">
        <v>28</v>
      </c>
      <c r="F8674" s="8" t="str">
        <f ca="1">IFERROR(__xludf.DUMMYFUNCTION("IF
(
C8675=""фізична особа""
,
VLOOKUP(D8675,IMPORTRANGE(""https://docs.google.com/spreadsheets/d/14Bd19lYaqBhU8_DElYkX7l4wRkHqqCUFNJY4AfY3kHU/edit?usp=sharing  #gid=0"",""фіз особи new!relations_name""),6,FALSE)
,
(IF
(
C8675=""юридична особа""
,
VLOOKUP"&amp;"(D8675,IMPORTRANGE(""https://docs.google.com/spreadsheets/d/14Bd19lYaqBhU8_DElYkX7l4wRkHqqCUFNJY4AfY3kHU/edit?usp=sharing  #gid=0"",""фіз особи new!relations_name_uo""),7,FALSE)
,
)
))"),"БАРИНОВ Олександр Миколайович")</f>
        <v>БАРИНОВ Олександр Миколайович</v>
      </c>
      <c r="G8674" s="7" t="s">
        <v>10</v>
      </c>
      <c r="H8674" s="7">
        <v>2960</v>
      </c>
      <c r="I8674" s="8" t="str">
        <f ca="1">IFERROR(__xludf.DUMMYFUNCTION("IF
(
G8675=""фізична особа""
,
VLOOKUP(H8675,IMPORTRANGE(""https://docs.google.com/spreadsheets/d/14Bd19lYaqBhU8_DElYkX7l4wRkHqqCUFNJY4AfY3kHU/edit?usp=sharing  #gid=0"",""фіз особи new!relations_name""),6,FALSE)
,
(IF
(
G8675=""юридична особа""
,
VLOOKUP"&amp;"(H8675,IMPORTRANGE(""https://docs.google.com/spreadsheets/d/14Bd19lYaqBhU8_DElYkX7l4wRkHqqCUFNJY4AfY3kHU/edit?usp=sharing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674" s="7" t="s">
        <v>29</v>
      </c>
    </row>
    <row r="8675" spans="1:10" ht="13.2">
      <c r="A8675" s="7">
        <v>8674</v>
      </c>
      <c r="B8675" s="7">
        <v>1</v>
      </c>
      <c r="C8675" s="7" t="s">
        <v>10</v>
      </c>
      <c r="D8675" s="7">
        <v>10598</v>
      </c>
      <c r="E8675" s="7" t="s">
        <v>28</v>
      </c>
      <c r="F8675" s="8" t="str">
        <f ca="1">IFERROR(__xludf.DUMMYFUNCTION("IF
(
C8676=""фізична особа""
,
VLOOKUP(D8676,IMPORTRANGE(""https://docs.google.com/spreadsheets/d/14Bd19lYaqBhU8_DElYkX7l4wRkHqqCUFNJY4AfY3kHU/edit?usp=sharing  #gid=0"",""фіз особи new!relations_name""),6,FALSE)
,
(IF
(
C8676=""юридична особа""
,
VLOOKUP"&amp;"(D8676,IMPORTRANGE(""https://docs.google.com/spreadsheets/d/14Bd19lYaqBhU8_DElYkX7l4wRkHqqCUFNJY4AfY3kHU/edit?usp=sharing  #gid=0"",""фіз особи new!relations_name_uo""),7,FALSE)
,
)
))"),"КОЗЛОВ Михайло Миколайович")</f>
        <v>КОЗЛОВ Михайло Миколайович</v>
      </c>
      <c r="G8675" s="7" t="s">
        <v>10</v>
      </c>
      <c r="H8675" s="7">
        <v>2964</v>
      </c>
      <c r="I8675" s="8" t="str">
        <f ca="1">IFERROR(__xludf.DUMMYFUNCTION("IF
(
G8676=""фізична особа""
,
VLOOKUP(H8676,IMPORTRANGE(""https://docs.google.com/spreadsheets/d/14Bd19lYaqBhU8_DElYkX7l4wRkHqqCUFNJY4AfY3kHU/edit?usp=sharing  #gid=0"",""фіз особи new!relations_name""),6,FALSE)
,
(IF
(
G8676=""юридична особа""
,
VLOOKUP"&amp;"(H8676,IMPORTRANGE(""https://docs.google.com/spreadsheets/d/14Bd19lYaqBhU8_DElYkX7l4wRkHqqCUFNJY4AfY3kHU/edit?usp=sharing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75" s="7" t="s">
        <v>29</v>
      </c>
    </row>
    <row r="8676" spans="1:10" ht="13.2">
      <c r="A8676" s="7">
        <v>8675</v>
      </c>
      <c r="B8676" s="7">
        <v>1</v>
      </c>
      <c r="C8676" s="7" t="s">
        <v>10</v>
      </c>
      <c r="D8676" s="7">
        <v>10599</v>
      </c>
      <c r="E8676" s="7" t="s">
        <v>28</v>
      </c>
      <c r="F8676" s="8" t="str">
        <f ca="1">IFERROR(__xludf.DUMMYFUNCTION("IF
(
C8677=""фізична особа""
,
VLOOKUP(D8677,IMPORTRANGE(""https://docs.google.com/spreadsheets/d/14Bd19lYaqBhU8_DElYkX7l4wRkHqqCUFNJY4AfY3kHU/edit?usp=sharing  #gid=0"",""фіз особи new!relations_name""),6,FALSE)
,
(IF
(
C8677=""юридична особа""
,
VLOOKUP"&amp;"(D8677,IMPORTRANGE(""https://docs.google.com/spreadsheets/d/14Bd19lYaqBhU8_DElYkX7l4wRkHqqCUFNJY4AfY3kHU/edit?usp=sharing  #gid=0"",""фіз особи new!relations_name_uo""),7,FALSE)
,
)
))"),"БОРИСЕНКО Василь Іванович")</f>
        <v>БОРИСЕНКО Василь Іванович</v>
      </c>
      <c r="G8676" s="7" t="s">
        <v>10</v>
      </c>
      <c r="H8676" s="7">
        <v>2960</v>
      </c>
      <c r="I8676" s="8" t="str">
        <f ca="1">IFERROR(__xludf.DUMMYFUNCTION("IF
(
G8677=""фізична особа""
,
VLOOKUP(H8677,IMPORTRANGE(""https://docs.google.com/spreadsheets/d/14Bd19lYaqBhU8_DElYkX7l4wRkHqqCUFNJY4AfY3kHU/edit?usp=sharing  #gid=0"",""фіз особи new!relations_name""),6,FALSE)
,
(IF
(
G8677=""юридична особа""
,
VLOOKUP"&amp;"(H8677,IMPORTRANGE(""https://docs.google.com/spreadsheets/d/14Bd19lYaqBhU8_DElYkX7l4wRkHqqCUFNJY4AfY3kHU/edit?usp=sharing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676" s="7" t="s">
        <v>29</v>
      </c>
    </row>
    <row r="8677" spans="1:10" ht="13.2">
      <c r="A8677" s="7">
        <v>8676</v>
      </c>
      <c r="B8677" s="7">
        <v>1</v>
      </c>
      <c r="C8677" s="7" t="s">
        <v>10</v>
      </c>
      <c r="D8677" s="7">
        <v>10600</v>
      </c>
      <c r="E8677" s="7" t="s">
        <v>28</v>
      </c>
      <c r="F8677" s="8" t="str">
        <f ca="1">IFERROR(__xludf.DUMMYFUNCTION("IF
(
C8678=""фізична особа""
,
VLOOKUP(D8678,IMPORTRANGE(""https://docs.google.com/spreadsheets/d/14Bd19lYaqBhU8_DElYkX7l4wRkHqqCUFNJY4AfY3kHU/edit?usp=sharing  #gid=0"",""фіз особи new!relations_name""),6,FALSE)
,
(IF
(
C8678=""юридична особа""
,
VLOOKUP"&amp;"(D8678,IMPORTRANGE(""https://docs.google.com/spreadsheets/d/14Bd19lYaqBhU8_DElYkX7l4wRkHqqCUFNJY4AfY3kHU/edit?usp=sharing  #gid=0"",""фіз особи new!relations_name_uo""),7,FALSE)
,
)
))"),"АБРАМОВ Олексій Вікторович")</f>
        <v>АБРАМОВ Олексій Вікторович</v>
      </c>
      <c r="G8677" s="7" t="s">
        <v>10</v>
      </c>
      <c r="H8677" s="7">
        <v>2964</v>
      </c>
      <c r="I8677" s="8" t="str">
        <f ca="1">IFERROR(__xludf.DUMMYFUNCTION("IF
(
G8678=""фізична особа""
,
VLOOKUP(H8678,IMPORTRANGE(""https://docs.google.com/spreadsheets/d/14Bd19lYaqBhU8_DElYkX7l4wRkHqqCUFNJY4AfY3kHU/edit?usp=sharing  #gid=0"",""фіз особи new!relations_name""),6,FALSE)
,
(IF
(
G8678=""юридична особа""
,
VLOOKUP"&amp;"(H8678,IMPORTRANGE(""https://docs.google.com/spreadsheets/d/14Bd19lYaqBhU8_DElYkX7l4wRkHqqCUFNJY4AfY3kHU/edit?usp=sharing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77" s="7" t="s">
        <v>29</v>
      </c>
    </row>
    <row r="8678" spans="1:10" ht="13.2">
      <c r="A8678" s="7">
        <v>8677</v>
      </c>
      <c r="B8678" s="7">
        <v>1</v>
      </c>
      <c r="C8678" s="7" t="s">
        <v>10</v>
      </c>
      <c r="D8678" s="7">
        <v>10601</v>
      </c>
      <c r="E8678" s="7" t="s">
        <v>28</v>
      </c>
      <c r="F8678" s="8" t="str">
        <f ca="1">IFERROR(__xludf.DUMMYFUNCTION("IF
(
C8679=""фізична особа""
,
VLOOKUP(D8679,IMPORTRANGE(""https://docs.google.com/spreadsheets/d/14Bd19lYaqBhU8_DElYkX7l4wRkHqqCUFNJY4AfY3kHU/edit?usp=sharing  #gid=0"",""фіз особи new!relations_name""),6,FALSE)
,
(IF
(
C8679=""юридична особа""
,
VLOOKUP"&amp;"(D8679,IMPORTRANGE(""https://docs.google.com/spreadsheets/d/14Bd19lYaqBhU8_DElYkX7l4wRkHqqCUFNJY4AfY3kHU/edit?usp=sharing  #gid=0"",""фіз особи new!relations_name_uo""),7,FALSE)
,
)
))"),"КУЗЕНКО Олександр Миколайович")</f>
        <v>КУЗЕНКО Олександр Миколайович</v>
      </c>
      <c r="G8678" s="7" t="s">
        <v>10</v>
      </c>
      <c r="H8678" s="7">
        <v>2964</v>
      </c>
      <c r="I8678" s="8" t="str">
        <f ca="1">IFERROR(__xludf.DUMMYFUNCTION("IF
(
G8679=""фізична особа""
,
VLOOKUP(H8679,IMPORTRANGE(""https://docs.google.com/spreadsheets/d/14Bd19lYaqBhU8_DElYkX7l4wRkHqqCUFNJY4AfY3kHU/edit?usp=sharing  #gid=0"",""фіз особи new!relations_name""),6,FALSE)
,
(IF
(
G8679=""юридична особа""
,
VLOOKUP"&amp;"(H8679,IMPORTRANGE(""https://docs.google.com/spreadsheets/d/14Bd19lYaqBhU8_DElYkX7l4wRkHqqCUFNJY4AfY3kHU/edit?usp=sharing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78" s="7" t="s">
        <v>29</v>
      </c>
    </row>
    <row r="8679" spans="1:10" ht="13.2">
      <c r="A8679" s="7">
        <v>8678</v>
      </c>
      <c r="B8679" s="7">
        <v>1</v>
      </c>
      <c r="C8679" s="7" t="s">
        <v>10</v>
      </c>
      <c r="D8679" s="7">
        <v>10602</v>
      </c>
      <c r="E8679" s="7" t="s">
        <v>28</v>
      </c>
      <c r="F8679" s="8" t="str">
        <f ca="1">IFERROR(__xludf.DUMMYFUNCTION("IF
(
C8680=""фізична особа""
,
VLOOKUP(D8680,IMPORTRANGE(""https://docs.google.com/spreadsheets/d/14Bd19lYaqBhU8_DElYkX7l4wRkHqqCUFNJY4AfY3kHU/edit?usp=sharing  #gid=0"",""фіз особи new!relations_name""),6,FALSE)
,
(IF
(
C8680=""юридична особа""
,
VLOOKUP"&amp;"(D8680,IMPORTRANGE(""https://docs.google.com/spreadsheets/d/14Bd19lYaqBhU8_DElYkX7l4wRkHqqCUFNJY4AfY3kHU/edit?usp=sharing  #gid=0"",""фіз особи new!relations_name_uo""),7,FALSE)
,
)
))"),"ПЛОТНІКОВ Дмитро Михайлович")</f>
        <v>ПЛОТНІКОВ Дмитро Михайлович</v>
      </c>
      <c r="G8679" s="7" t="s">
        <v>10</v>
      </c>
      <c r="H8679" s="7">
        <v>2964</v>
      </c>
      <c r="I8679" s="8" t="str">
        <f ca="1">IFERROR(__xludf.DUMMYFUNCTION("IF
(
G8680=""фізична особа""
,
VLOOKUP(H8680,IMPORTRANGE(""https://docs.google.com/spreadsheets/d/14Bd19lYaqBhU8_DElYkX7l4wRkHqqCUFNJY4AfY3kHU/edit?usp=sharing  #gid=0"",""фіз особи new!relations_name""),6,FALSE)
,
(IF
(
G8680=""юридична особа""
,
VLOOKUP"&amp;"(H8680,IMPORTRANGE(""https://docs.google.com/spreadsheets/d/14Bd19lYaqBhU8_DElYkX7l4wRkHqqCUFNJY4AfY3kHU/edit?usp=sharing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79" s="7" t="s">
        <v>29</v>
      </c>
    </row>
    <row r="8680" spans="1:10" ht="13.2">
      <c r="A8680" s="7">
        <v>8679</v>
      </c>
      <c r="B8680" s="7">
        <v>1</v>
      </c>
      <c r="C8680" s="7" t="s">
        <v>10</v>
      </c>
      <c r="D8680" s="7">
        <v>10603</v>
      </c>
      <c r="E8680" s="7" t="s">
        <v>28</v>
      </c>
      <c r="F8680" s="8" t="str">
        <f ca="1">IFERROR(__xludf.DUMMYFUNCTION("IF
(
C8681=""фізична особа""
,
VLOOKUP(D8681,IMPORTRANGE(""https://docs.google.com/spreadsheets/d/14Bd19lYaqBhU8_DElYkX7l4wRkHqqCUFNJY4AfY3kHU/edit?usp=sharing  #gid=0"",""фіз особи new!relations_name""),6,FALSE)
,
(IF
(
C8681=""юридична особа""
,
VLOOKUP"&amp;"(D8681,IMPORTRANGE(""https://docs.google.com/spreadsheets/d/14Bd19lYaqBhU8_DElYkX7l4wRkHqqCUFNJY4AfY3kHU/edit?usp=sharing  #gid=0"",""фіз особи new!relations_name_uo""),7,FALSE)
,
)
))"),"БОРОДАВКІНА Олена Іллівна")</f>
        <v>БОРОДАВКІНА Олена Іллівна</v>
      </c>
      <c r="G8680" s="7" t="s">
        <v>10</v>
      </c>
      <c r="H8680" s="7">
        <v>2964</v>
      </c>
      <c r="I8680" s="8" t="str">
        <f ca="1">IFERROR(__xludf.DUMMYFUNCTION("IF
(
G8681=""фізична особа""
,
VLOOKUP(H8681,IMPORTRANGE(""https://docs.google.com/spreadsheets/d/14Bd19lYaqBhU8_DElYkX7l4wRkHqqCUFNJY4AfY3kHU/edit?usp=sharing  #gid=0"",""фіз особи new!relations_name""),6,FALSE)
,
(IF
(
G8681=""юридична особа""
,
VLOOKUP"&amp;"(H8681,IMPORTRANGE(""https://docs.google.com/spreadsheets/d/14Bd19lYaqBhU8_DElYkX7l4wRkHqqCUFNJY4AfY3kHU/edit?usp=sharing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80" s="7" t="s">
        <v>29</v>
      </c>
    </row>
    <row r="8681" spans="1:10" ht="13.2">
      <c r="A8681" s="7">
        <v>8680</v>
      </c>
      <c r="B8681" s="7">
        <v>1</v>
      </c>
      <c r="C8681" s="7" t="s">
        <v>10</v>
      </c>
      <c r="D8681" s="7">
        <v>10604</v>
      </c>
      <c r="E8681" s="7" t="s">
        <v>28</v>
      </c>
      <c r="F8681" s="8" t="str">
        <f ca="1">IFERROR(__xludf.DUMMYFUNCTION("IF
(
C8682=""фізична особа""
,
VLOOKUP(D8682,IMPORTRANGE(""https://docs.google.com/spreadsheets/d/14Bd19lYaqBhU8_DElYkX7l4wRkHqqCUFNJY4AfY3kHU/edit?usp=sharing  #gid=0"",""фіз особи new!relations_name""),6,FALSE)
,
(IF
(
C8682=""юридична особа""
,
VLOOKUP"&amp;"(D8682,IMPORTRANGE(""https://docs.google.com/spreadsheets/d/14Bd19lYaqBhU8_DElYkX7l4wRkHqqCUFNJY4AfY3kHU/edit?usp=sharing  #gid=0"",""фіз особи new!relations_name_uo""),7,FALSE)
,
)
))"),"ДМИТРІЄВ Володимир Вікторович")</f>
        <v>ДМИТРІЄВ Володимир Вікторович</v>
      </c>
      <c r="G8681" s="7" t="s">
        <v>10</v>
      </c>
      <c r="H8681" s="7">
        <v>2964</v>
      </c>
      <c r="I8681" s="8" t="str">
        <f ca="1">IFERROR(__xludf.DUMMYFUNCTION("IF
(
G8682=""фізична особа""
,
VLOOKUP(H8682,IMPORTRANGE(""https://docs.google.com/spreadsheets/d/14Bd19lYaqBhU8_DElYkX7l4wRkHqqCUFNJY4AfY3kHU/edit?usp=sharing  #gid=0"",""фіз особи new!relations_name""),6,FALSE)
,
(IF
(
G8682=""юридична особа""
,
VLOOKUP"&amp;"(H8682,IMPORTRANGE(""https://docs.google.com/spreadsheets/d/14Bd19lYaqBhU8_DElYkX7l4wRkHqqCUFNJY4AfY3kHU/edit?usp=sharing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681" s="7" t="s">
        <v>29</v>
      </c>
    </row>
    <row r="8682" spans="1:10" ht="13.2">
      <c r="A8682" s="7">
        <v>8681</v>
      </c>
      <c r="B8682" s="7">
        <v>1</v>
      </c>
      <c r="C8682" s="7" t="s">
        <v>10</v>
      </c>
      <c r="D8682" s="7">
        <v>10605</v>
      </c>
      <c r="E8682" s="7" t="s">
        <v>28</v>
      </c>
      <c r="F8682" s="8" t="str">
        <f ca="1">IFERROR(__xludf.DUMMYFUNCTION("IF
(
C8683=""фізична особа""
,
VLOOKUP(D8683,IMPORTRANGE(""https://docs.google.com/spreadsheets/d/14Bd19lYaqBhU8_DElYkX7l4wRkHqqCUFNJY4AfY3kHU/edit?usp=sharing  #gid=0"",""фіз особи new!relations_name""),6,FALSE)
,
(IF
(
C8683=""юридична особа""
,
VLOOKUP"&amp;"(D8683,IMPORTRANGE(""https://docs.google.com/spreadsheets/d/14Bd19lYaqBhU8_DElYkX7l4wRkHqqCUFNJY4AfY3kHU/edit?usp=sharing  #gid=0"",""фіз особи new!relations_name_uo""),7,FALSE)
,
)
))"),"МОХОВ Валерій В'ячеславович")</f>
        <v>МОХОВ Валерій В'ячеславович</v>
      </c>
      <c r="G8682" s="7" t="s">
        <v>10</v>
      </c>
      <c r="H8682" s="7">
        <v>3029</v>
      </c>
      <c r="I8682" s="8" t="str">
        <f ca="1">IFERROR(__xludf.DUMMYFUNCTION("IF
(
G8683=""фізична особа""
,
VLOOKUP(H8683,IMPORTRANGE(""https://docs.google.com/spreadsheets/d/14Bd19lYaqBhU8_DElYkX7l4wRkHqqCUFNJY4AfY3kHU/edit?usp=sharing  #gid=0"",""фіз особи new!relations_name""),6,FALSE)
,
(IF
(
G8683=""юридична особа""
,
VLOOKUP"&amp;"(H8683,IMPORTRANGE(""https://docs.google.com/spreadsheets/d/14Bd19lYaqBhU8_DElYkX7l4wRkHqqCUFNJY4AfY3kHU/edit?usp=sharing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82" s="7" t="s">
        <v>29</v>
      </c>
    </row>
    <row r="8683" spans="1:10" ht="13.2">
      <c r="A8683" s="7">
        <v>8682</v>
      </c>
      <c r="B8683" s="7">
        <v>1</v>
      </c>
      <c r="C8683" s="7" t="s">
        <v>10</v>
      </c>
      <c r="D8683" s="7">
        <v>10606</v>
      </c>
      <c r="E8683" s="7" t="s">
        <v>28</v>
      </c>
      <c r="F8683" s="8" t="str">
        <f ca="1">IFERROR(__xludf.DUMMYFUNCTION("IF
(
C8684=""фізична особа""
,
VLOOKUP(D8684,IMPORTRANGE(""https://docs.google.com/spreadsheets/d/14Bd19lYaqBhU8_DElYkX7l4wRkHqqCUFNJY4AfY3kHU/edit?usp=sharing  #gid=0"",""фіз особи new!relations_name""),6,FALSE)
,
(IF
(
C8684=""юридична особа""
,
VLOOKUP"&amp;"(D8684,IMPORTRANGE(""https://docs.google.com/spreadsheets/d/14Bd19lYaqBhU8_DElYkX7l4wRkHqqCUFNJY4AfY3kHU/edit?usp=sharing  #gid=0"",""фіз особи new!relations_name_uo""),7,FALSE)
,
)
))"),"ЦИГАНАШ Ігор Миколайович")</f>
        <v>ЦИГАНАШ Ігор Миколайович</v>
      </c>
      <c r="G8683" s="7" t="s">
        <v>10</v>
      </c>
      <c r="H8683" s="7">
        <v>3029</v>
      </c>
      <c r="I8683" s="8" t="str">
        <f ca="1">IFERROR(__xludf.DUMMYFUNCTION("IF
(
G8684=""фізична особа""
,
VLOOKUP(H8684,IMPORTRANGE(""https://docs.google.com/spreadsheets/d/14Bd19lYaqBhU8_DElYkX7l4wRkHqqCUFNJY4AfY3kHU/edit?usp=sharing  #gid=0"",""фіз особи new!relations_name""),6,FALSE)
,
(IF
(
G8684=""юридична особа""
,
VLOOKUP"&amp;"(H8684,IMPORTRANGE(""https://docs.google.com/spreadsheets/d/14Bd19lYaqBhU8_DElYkX7l4wRkHqqCUFNJY4AfY3kHU/edit?usp=sharing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83" s="7" t="s">
        <v>29</v>
      </c>
    </row>
    <row r="8684" spans="1:10" ht="13.2">
      <c r="A8684" s="7">
        <v>8683</v>
      </c>
      <c r="B8684" s="7">
        <v>1</v>
      </c>
      <c r="C8684" s="7" t="s">
        <v>10</v>
      </c>
      <c r="D8684" s="7">
        <v>10607</v>
      </c>
      <c r="E8684" s="7" t="s">
        <v>28</v>
      </c>
      <c r="F8684" s="8" t="str">
        <f ca="1">IFERROR(__xludf.DUMMYFUNCTION("IF
(
C8685=""фізична особа""
,
VLOOKUP(D8685,IMPORTRANGE(""https://docs.google.com/spreadsheets/d/14Bd19lYaqBhU8_DElYkX7l4wRkHqqCUFNJY4AfY3kHU/edit?usp=sharing  #gid=0"",""фіз особи new!relations_name""),6,FALSE)
,
(IF
(
C8685=""юридична особа""
,
VLOOKUP"&amp;"(D8685,IMPORTRANGE(""https://docs.google.com/spreadsheets/d/14Bd19lYaqBhU8_DElYkX7l4wRkHqqCUFNJY4AfY3kHU/edit?usp=sharing  #gid=0"",""фіз особи new!relations_name_uo""),7,FALSE)
,
)
))"),"ДОРОЖКІН Євгеній Володимирович")</f>
        <v>ДОРОЖКІН Євгеній Володимирович</v>
      </c>
      <c r="G8684" s="7" t="s">
        <v>10</v>
      </c>
      <c r="H8684" s="7">
        <v>2960</v>
      </c>
      <c r="I8684" s="8" t="str">
        <f ca="1">IFERROR(__xludf.DUMMYFUNCTION("IF
(
G8685=""фізична особа""
,
VLOOKUP(H8685,IMPORTRANGE(""https://docs.google.com/spreadsheets/d/14Bd19lYaqBhU8_DElYkX7l4wRkHqqCUFNJY4AfY3kHU/edit?usp=sharing  #gid=0"",""фіз особи new!relations_name""),6,FALSE)
,
(IF
(
G8685=""юридична особа""
,
VLOOKUP"&amp;"(H8685,IMPORTRANGE(""https://docs.google.com/spreadsheets/d/14Bd19lYaqBhU8_DElYkX7l4wRkHqqCUFNJY4AfY3kHU/edit?usp=sharing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684" s="7" t="s">
        <v>29</v>
      </c>
    </row>
    <row r="8685" spans="1:10" ht="13.2">
      <c r="A8685" s="7">
        <v>8684</v>
      </c>
      <c r="B8685" s="7">
        <v>1</v>
      </c>
      <c r="C8685" s="7" t="s">
        <v>10</v>
      </c>
      <c r="D8685" s="7">
        <v>10608</v>
      </c>
      <c r="E8685" s="7" t="s">
        <v>28</v>
      </c>
      <c r="F8685" s="8" t="str">
        <f ca="1">IFERROR(__xludf.DUMMYFUNCTION("IF
(
C8686=""фізична особа""
,
VLOOKUP(D8686,IMPORTRANGE(""https://docs.google.com/spreadsheets/d/14Bd19lYaqBhU8_DElYkX7l4wRkHqqCUFNJY4AfY3kHU/edit?usp=sharing  #gid=0"",""фіз особи new!relations_name""),6,FALSE)
,
(IF
(
C8686=""юридична особа""
,
VLOOKUP"&amp;"(D8686,IMPORTRANGE(""https://docs.google.com/spreadsheets/d/14Bd19lYaqBhU8_DElYkX7l4wRkHqqCUFNJY4AfY3kHU/edit?usp=sharing  #gid=0"",""фіз особи new!relations_name_uo""),7,FALSE)
,
)
))"),"КОРАБЛЬОВ Володимир Геннадійович")</f>
        <v>КОРАБЛЬОВ Володимир Геннадійович</v>
      </c>
      <c r="G8685" s="7" t="s">
        <v>10</v>
      </c>
      <c r="H8685" s="7">
        <v>3029</v>
      </c>
      <c r="I8685" s="8" t="str">
        <f ca="1">IFERROR(__xludf.DUMMYFUNCTION("IF
(
G8686=""фізична особа""
,
VLOOKUP(H8686,IMPORTRANGE(""https://docs.google.com/spreadsheets/d/14Bd19lYaqBhU8_DElYkX7l4wRkHqqCUFNJY4AfY3kHU/edit?usp=sharing  #gid=0"",""фіз особи new!relations_name""),6,FALSE)
,
(IF
(
G8686=""юридична особа""
,
VLOOKUP"&amp;"(H8686,IMPORTRANGE(""https://docs.google.com/spreadsheets/d/14Bd19lYaqBhU8_DElYkX7l4wRkHqqCUFNJY4AfY3kHU/edit?usp=sharing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85" s="7" t="s">
        <v>29</v>
      </c>
    </row>
    <row r="8686" spans="1:10" ht="13.2">
      <c r="A8686" s="7">
        <v>8685</v>
      </c>
      <c r="B8686" s="7">
        <v>1</v>
      </c>
      <c r="C8686" s="7" t="s">
        <v>10</v>
      </c>
      <c r="D8686" s="7">
        <v>10609</v>
      </c>
      <c r="E8686" s="7" t="s">
        <v>28</v>
      </c>
      <c r="F8686" s="8" t="str">
        <f ca="1">IFERROR(__xludf.DUMMYFUNCTION("IF
(
C8687=""фізична особа""
,
VLOOKUP(D8687,IMPORTRANGE(""https://docs.google.com/spreadsheets/d/14Bd19lYaqBhU8_DElYkX7l4wRkHqqCUFNJY4AfY3kHU/edit?usp=sharing  #gid=0"",""фіз особи new!relations_name""),6,FALSE)
,
(IF
(
C8687=""юридична особа""
,
VLOOKUP"&amp;"(D8687,IMPORTRANGE(""https://docs.google.com/spreadsheets/d/14Bd19lYaqBhU8_DElYkX7l4wRkHqqCUFNJY4AfY3kHU/edit?usp=sharing  #gid=0"",""фіз особи new!relations_name_uo""),7,FALSE)
,
)
))"),"СМИРНИХ Ольга Фаритівна")</f>
        <v>СМИРНИХ Ольга Фаритівна</v>
      </c>
      <c r="G8686" s="7" t="s">
        <v>10</v>
      </c>
      <c r="H8686" s="7">
        <v>3029</v>
      </c>
      <c r="I8686" s="8" t="str">
        <f ca="1">IFERROR(__xludf.DUMMYFUNCTION("IF
(
G8687=""фізична особа""
,
VLOOKUP(H8687,IMPORTRANGE(""https://docs.google.com/spreadsheets/d/14Bd19lYaqBhU8_DElYkX7l4wRkHqqCUFNJY4AfY3kHU/edit?usp=sharing  #gid=0"",""фіз особи new!relations_name""),6,FALSE)
,
(IF
(
G8687=""юридична особа""
,
VLOOKUP"&amp;"(H8687,IMPORTRANGE(""https://docs.google.com/spreadsheets/d/14Bd19lYaqBhU8_DElYkX7l4wRkHqqCUFNJY4AfY3kHU/edit?usp=sharing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86" s="7" t="s">
        <v>29</v>
      </c>
    </row>
    <row r="8687" spans="1:10" ht="13.2">
      <c r="A8687" s="7">
        <v>8686</v>
      </c>
      <c r="B8687" s="7">
        <v>1</v>
      </c>
      <c r="C8687" s="7" t="s">
        <v>10</v>
      </c>
      <c r="D8687" s="7">
        <v>10610</v>
      </c>
      <c r="E8687" s="7" t="s">
        <v>28</v>
      </c>
      <c r="F8687" s="8" t="str">
        <f ca="1">IFERROR(__xludf.DUMMYFUNCTION("IF
(
C8688=""фізична особа""
,
VLOOKUP(D8688,IMPORTRANGE(""https://docs.google.com/spreadsheets/d/14Bd19lYaqBhU8_DElYkX7l4wRkHqqCUFNJY4AfY3kHU/edit?usp=sharing  #gid=0"",""фіз особи new!relations_name""),6,FALSE)
,
(IF
(
C8688=""юридична особа""
,
VLOOKUP"&amp;"(D8688,IMPORTRANGE(""https://docs.google.com/spreadsheets/d/14Bd19lYaqBhU8_DElYkX7l4wRkHqqCUFNJY4AfY3kHU/edit?usp=sharing  #gid=0"",""фіз особи new!relations_name_uo""),7,FALSE)
,
)
))"),"КУРБАНЧІЄВ Гусейн Саїдович")</f>
        <v>КУРБАНЧІЄВ Гусейн Саїдович</v>
      </c>
      <c r="G8687" s="7" t="s">
        <v>10</v>
      </c>
      <c r="H8687" s="7">
        <v>2960</v>
      </c>
      <c r="I8687" s="8" t="str">
        <f ca="1">IFERROR(__xludf.DUMMYFUNCTION("IF
(
G8688=""фізична особа""
,
VLOOKUP(H8688,IMPORTRANGE(""https://docs.google.com/spreadsheets/d/14Bd19lYaqBhU8_DElYkX7l4wRkHqqCUFNJY4AfY3kHU/edit?usp=sharing  #gid=0"",""фіз особи new!relations_name""),6,FALSE)
,
(IF
(
G8688=""юридична особа""
,
VLOOKUP"&amp;"(H8688,IMPORTRANGE(""https://docs.google.com/spreadsheets/d/14Bd19lYaqBhU8_DElYkX7l4wRkHqqCUFNJY4AfY3kHU/edit?usp=sharing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687" s="7" t="s">
        <v>29</v>
      </c>
    </row>
    <row r="8688" spans="1:10" ht="13.2">
      <c r="A8688" s="7">
        <v>8687</v>
      </c>
      <c r="B8688" s="7">
        <v>1</v>
      </c>
      <c r="C8688" s="7" t="s">
        <v>10</v>
      </c>
      <c r="D8688" s="7">
        <v>10611</v>
      </c>
      <c r="E8688" s="7" t="s">
        <v>28</v>
      </c>
      <c r="F8688" s="8" t="str">
        <f ca="1">IFERROR(__xludf.DUMMYFUNCTION("IF
(
C8689=""фізична особа""
,
VLOOKUP(D8689,IMPORTRANGE(""https://docs.google.com/spreadsheets/d/14Bd19lYaqBhU8_DElYkX7l4wRkHqqCUFNJY4AfY3kHU/edit?usp=sharing  #gid=0"",""фіз особи new!relations_name""),6,FALSE)
,
(IF
(
C8689=""юридична особа""
,
VLOOKUP"&amp;"(D8689,IMPORTRANGE(""https://docs.google.com/spreadsheets/d/14Bd19lYaqBhU8_DElYkX7l4wRkHqqCUFNJY4AfY3kHU/edit?usp=sharing  #gid=0"",""фіз особи new!relations_name_uo""),7,FALSE)
,
)
))"),"ХАПАЄВ Володимир Олександрович")</f>
        <v>ХАПАЄВ Володимир Олександрович</v>
      </c>
      <c r="G8688" s="7" t="s">
        <v>10</v>
      </c>
      <c r="H8688" s="7">
        <v>3029</v>
      </c>
      <c r="I8688" s="8" t="str">
        <f ca="1">IFERROR(__xludf.DUMMYFUNCTION("IF
(
G8689=""фізична особа""
,
VLOOKUP(H8689,IMPORTRANGE(""https://docs.google.com/spreadsheets/d/14Bd19lYaqBhU8_DElYkX7l4wRkHqqCUFNJY4AfY3kHU/edit?usp=sharing  #gid=0"",""фіз особи new!relations_name""),6,FALSE)
,
(IF
(
G8689=""юридична особа""
,
VLOOKUP"&amp;"(H8689,IMPORTRANGE(""https://docs.google.com/spreadsheets/d/14Bd19lYaqBhU8_DElYkX7l4wRkHqqCUFNJY4AfY3kHU/edit?usp=sharing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688" s="7" t="s">
        <v>29</v>
      </c>
    </row>
    <row r="8689" spans="1:10" ht="13.2">
      <c r="A8689" s="7">
        <v>8688</v>
      </c>
      <c r="B8689" s="7">
        <v>1</v>
      </c>
      <c r="C8689" s="7" t="s">
        <v>10</v>
      </c>
      <c r="D8689" s="7">
        <v>10612</v>
      </c>
      <c r="E8689" s="7" t="s">
        <v>28</v>
      </c>
      <c r="F8689" s="8" t="str">
        <f ca="1">IFERROR(__xludf.DUMMYFUNCTION("IF
(
C8690=""фізична особа""
,
VLOOKUP(D8690,IMPORTRANGE(""https://docs.google.com/spreadsheets/d/14Bd19lYaqBhU8_DElYkX7l4wRkHqqCUFNJY4AfY3kHU/edit?usp=sharing  #gid=0"",""фіз особи new!relations_name""),6,FALSE)
,
(IF
(
C8690=""юридична особа""
,
VLOOKUP"&amp;"(D8690,IMPORTRANGE(""https://docs.google.com/spreadsheets/d/14Bd19lYaqBhU8_DElYkX7l4wRkHqqCUFNJY4AfY3kHU/edit?usp=sharing  #gid=0"",""фіз особи new!relations_name_uo""),7,FALSE)
,
)
))"),"АВДЄЄВА Ольга Юріївна")</f>
        <v>АВДЄЄВА Ольга Юріївна</v>
      </c>
      <c r="G8689" s="7" t="s">
        <v>10</v>
      </c>
      <c r="H8689" s="7">
        <v>3167</v>
      </c>
      <c r="I8689" s="8" t="str">
        <f ca="1">IFERROR(__xludf.DUMMYFUNCTION("IF
(
G8690=""фізична особа""
,
VLOOKUP(H8690,IMPORTRANGE(""https://docs.google.com/spreadsheets/d/14Bd19lYaqBhU8_DElYkX7l4wRkHqqCUFNJY4AfY3kHU/edit?usp=sharing  #gid=0"",""фіз особи new!relations_name""),6,FALSE)
,
(IF
(
G8690=""юридична особа""
,
VLOOKUP"&amp;"(H8690,IMPORTRANGE(""https://docs.google.com/spreadsheets/d/14Bd19lYaqBhU8_DElYkX7l4wRkHqqCUFNJY4AfY3kHU/edit?usp=sharing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89" s="7" t="s">
        <v>29</v>
      </c>
    </row>
    <row r="8690" spans="1:10" ht="13.2">
      <c r="A8690" s="7">
        <v>8689</v>
      </c>
      <c r="B8690" s="7">
        <v>1</v>
      </c>
      <c r="C8690" s="7" t="s">
        <v>10</v>
      </c>
      <c r="D8690" s="7">
        <v>10613</v>
      </c>
      <c r="E8690" s="7" t="s">
        <v>28</v>
      </c>
      <c r="F8690" s="8" t="str">
        <f ca="1">IFERROR(__xludf.DUMMYFUNCTION("IF
(
C8691=""фізична особа""
,
VLOOKUP(D8691,IMPORTRANGE(""https://docs.google.com/spreadsheets/d/14Bd19lYaqBhU8_DElYkX7l4wRkHqqCUFNJY4AfY3kHU/edit?usp=sharing  #gid=0"",""фіз особи new!relations_name""),6,FALSE)
,
(IF
(
C8691=""юридична особа""
,
VLOOKUP"&amp;"(D8691,IMPORTRANGE(""https://docs.google.com/spreadsheets/d/14Bd19lYaqBhU8_DElYkX7l4wRkHqqCUFNJY4AfY3kHU/edit?usp=sharing  #gid=0"",""фіз особи new!relations_name_uo""),7,FALSE)
,
)
))"),"АФАНАСЬЄВА Ольга Володимирівна")</f>
        <v>АФАНАСЬЄВА Ольга Володимирівна</v>
      </c>
      <c r="G8690" s="7" t="s">
        <v>10</v>
      </c>
      <c r="H8690" s="7">
        <v>3167</v>
      </c>
      <c r="I8690" s="8" t="str">
        <f ca="1">IFERROR(__xludf.DUMMYFUNCTION("IF
(
G8691=""фізична особа""
,
VLOOKUP(H8691,IMPORTRANGE(""https://docs.google.com/spreadsheets/d/14Bd19lYaqBhU8_DElYkX7l4wRkHqqCUFNJY4AfY3kHU/edit?usp=sharing  #gid=0"",""фіз особи new!relations_name""),6,FALSE)
,
(IF
(
G8691=""юридична особа""
,
VLOOKUP"&amp;"(H8691,IMPORTRANGE(""https://docs.google.com/spreadsheets/d/14Bd19lYaqBhU8_DElYkX7l4wRkHqqCUFNJY4AfY3kHU/edit?usp=sharing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0" s="7" t="s">
        <v>29</v>
      </c>
    </row>
    <row r="8691" spans="1:10" ht="13.2">
      <c r="A8691" s="7">
        <v>8690</v>
      </c>
      <c r="B8691" s="7">
        <v>1</v>
      </c>
      <c r="C8691" s="7" t="s">
        <v>10</v>
      </c>
      <c r="D8691" s="7">
        <v>10614</v>
      </c>
      <c r="E8691" s="7" t="s">
        <v>28</v>
      </c>
      <c r="F8691" s="8" t="str">
        <f ca="1">IFERROR(__xludf.DUMMYFUNCTION("IF
(
C8692=""фізична особа""
,
VLOOKUP(D8692,IMPORTRANGE(""https://docs.google.com/spreadsheets/d/14Bd19lYaqBhU8_DElYkX7l4wRkHqqCUFNJY4AfY3kHU/edit?usp=sharing  #gid=0"",""фіз особи new!relations_name""),6,FALSE)
,
(IF
(
C8692=""юридична особа""
,
VLOOKUP"&amp;"(D8692,IMPORTRANGE(""https://docs.google.com/spreadsheets/d/14Bd19lYaqBhU8_DElYkX7l4wRkHqqCUFNJY4AfY3kHU/edit?usp=sharing  #gid=0"",""фіз особи new!relations_name_uo""),7,FALSE)
,
)
))"),"БУЧНЄВ Павло Володимирович")</f>
        <v>БУЧНЄВ Павло Володимирович</v>
      </c>
      <c r="G8691" s="7" t="s">
        <v>10</v>
      </c>
      <c r="H8691" s="7">
        <v>3167</v>
      </c>
      <c r="I8691" s="8" t="str">
        <f ca="1">IFERROR(__xludf.DUMMYFUNCTION("IF
(
G8692=""фізична особа""
,
VLOOKUP(H8692,IMPORTRANGE(""https://docs.google.com/spreadsheets/d/14Bd19lYaqBhU8_DElYkX7l4wRkHqqCUFNJY4AfY3kHU/edit?usp=sharing  #gid=0"",""фіз особи new!relations_name""),6,FALSE)
,
(IF
(
G8692=""юридична особа""
,
VLOOKUP"&amp;"(H8692,IMPORTRANGE(""https://docs.google.com/spreadsheets/d/14Bd19lYaqBhU8_DElYkX7l4wRkHqqCUFNJY4AfY3kHU/edit?usp=sharing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1" s="7" t="s">
        <v>29</v>
      </c>
    </row>
    <row r="8692" spans="1:10" ht="13.2">
      <c r="A8692" s="7">
        <v>8691</v>
      </c>
      <c r="B8692" s="7">
        <v>1</v>
      </c>
      <c r="C8692" s="7" t="s">
        <v>10</v>
      </c>
      <c r="D8692" s="7">
        <v>10615</v>
      </c>
      <c r="E8692" s="7" t="s">
        <v>28</v>
      </c>
      <c r="F8692" s="8" t="str">
        <f ca="1">IFERROR(__xludf.DUMMYFUNCTION("IF
(
C8693=""фізична особа""
,
VLOOKUP(D8693,IMPORTRANGE(""https://docs.google.com/spreadsheets/d/14Bd19lYaqBhU8_DElYkX7l4wRkHqqCUFNJY4AfY3kHU/edit?usp=sharing  #gid=0"",""фіз особи new!relations_name""),6,FALSE)
,
(IF
(
C8693=""юридична особа""
,
VLOOKUP"&amp;"(D8693,IMPORTRANGE(""https://docs.google.com/spreadsheets/d/14Bd19lYaqBhU8_DElYkX7l4wRkHqqCUFNJY4AfY3kHU/edit?usp=sharing  #gid=0"",""фіз особи new!relations_name_uo""),7,FALSE)
,
)
))"),"ВЕРШИНІН Андрій Юрійович")</f>
        <v>ВЕРШИНІН Андрій Юрійович</v>
      </c>
      <c r="G8692" s="7" t="s">
        <v>10</v>
      </c>
      <c r="H8692" s="7">
        <v>3167</v>
      </c>
      <c r="I8692" s="8" t="str">
        <f ca="1">IFERROR(__xludf.DUMMYFUNCTION("IF
(
G8693=""фізична особа""
,
VLOOKUP(H8693,IMPORTRANGE(""https://docs.google.com/spreadsheets/d/14Bd19lYaqBhU8_DElYkX7l4wRkHqqCUFNJY4AfY3kHU/edit?usp=sharing  #gid=0"",""фіз особи new!relations_name""),6,FALSE)
,
(IF
(
G8693=""юридична особа""
,
VLOOKUP"&amp;"(H8693,IMPORTRANGE(""https://docs.google.com/spreadsheets/d/14Bd19lYaqBhU8_DElYkX7l4wRkHqqCUFNJY4AfY3kHU/edit?usp=sharing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2" s="7" t="s">
        <v>29</v>
      </c>
    </row>
    <row r="8693" spans="1:10" ht="13.2">
      <c r="A8693" s="7">
        <v>8692</v>
      </c>
      <c r="B8693" s="7">
        <v>1</v>
      </c>
      <c r="C8693" s="7" t="s">
        <v>10</v>
      </c>
      <c r="D8693" s="7">
        <v>10616</v>
      </c>
      <c r="E8693" s="7" t="s">
        <v>28</v>
      </c>
      <c r="F8693" s="8" t="str">
        <f ca="1">IFERROR(__xludf.DUMMYFUNCTION("IF
(
C8694=""фізична особа""
,
VLOOKUP(D8694,IMPORTRANGE(""https://docs.google.com/spreadsheets/d/14Bd19lYaqBhU8_DElYkX7l4wRkHqqCUFNJY4AfY3kHU/edit?usp=sharing  #gid=0"",""фіз особи new!relations_name""),6,FALSE)
,
(IF
(
C8694=""юридична особа""
,
VLOOKUP"&amp;"(D8694,IMPORTRANGE(""https://docs.google.com/spreadsheets/d/14Bd19lYaqBhU8_DElYkX7l4wRkHqqCUFNJY4AfY3kHU/edit?usp=sharing  #gid=0"",""фіз особи new!relations_name_uo""),7,FALSE)
,
)
))"),"ГАЛАШКО Сергій Кімович")</f>
        <v>ГАЛАШКО Сергій Кімович</v>
      </c>
      <c r="G8693" s="7" t="s">
        <v>10</v>
      </c>
      <c r="H8693" s="7">
        <v>3167</v>
      </c>
      <c r="I8693" s="8" t="str">
        <f ca="1">IFERROR(__xludf.DUMMYFUNCTION("IF
(
G8694=""фізична особа""
,
VLOOKUP(H8694,IMPORTRANGE(""https://docs.google.com/spreadsheets/d/14Bd19lYaqBhU8_DElYkX7l4wRkHqqCUFNJY4AfY3kHU/edit?usp=sharing  #gid=0"",""фіз особи new!relations_name""),6,FALSE)
,
(IF
(
G8694=""юридична особа""
,
VLOOKUP"&amp;"(H8694,IMPORTRANGE(""https://docs.google.com/spreadsheets/d/14Bd19lYaqBhU8_DElYkX7l4wRkHqqCUFNJY4AfY3kHU/edit?usp=sharing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3" s="7" t="s">
        <v>29</v>
      </c>
    </row>
    <row r="8694" spans="1:10" ht="13.2">
      <c r="A8694" s="7">
        <v>8693</v>
      </c>
      <c r="B8694" s="7">
        <v>1</v>
      </c>
      <c r="C8694" s="7" t="s">
        <v>10</v>
      </c>
      <c r="D8694" s="7">
        <v>10617</v>
      </c>
      <c r="E8694" s="7" t="s">
        <v>28</v>
      </c>
      <c r="F8694" s="8" t="str">
        <f ca="1">IFERROR(__xludf.DUMMYFUNCTION("IF
(
C8695=""фізична особа""
,
VLOOKUP(D8695,IMPORTRANGE(""https://docs.google.com/spreadsheets/d/14Bd19lYaqBhU8_DElYkX7l4wRkHqqCUFNJY4AfY3kHU/edit?usp=sharing  #gid=0"",""фіз особи new!relations_name""),6,FALSE)
,
(IF
(
C8695=""юридична особа""
,
VLOOKUP"&amp;"(D8695,IMPORTRANGE(""https://docs.google.com/spreadsheets/d/14Bd19lYaqBhU8_DElYkX7l4wRkHqqCUFNJY4AfY3kHU/edit?usp=sharing  #gid=0"",""фіз особи new!relations_name_uo""),7,FALSE)
,
)
))"),"ЄЛЬЦОВ Денис Володимирович")</f>
        <v>ЄЛЬЦОВ Денис Володимирович</v>
      </c>
      <c r="G8694" s="7" t="s">
        <v>10</v>
      </c>
      <c r="H8694" s="7">
        <v>3167</v>
      </c>
      <c r="I8694" s="8" t="str">
        <f ca="1">IFERROR(__xludf.DUMMYFUNCTION("IF
(
G8695=""фізична особа""
,
VLOOKUP(H8695,IMPORTRANGE(""https://docs.google.com/spreadsheets/d/14Bd19lYaqBhU8_DElYkX7l4wRkHqqCUFNJY4AfY3kHU/edit?usp=sharing  #gid=0"",""фіз особи new!relations_name""),6,FALSE)
,
(IF
(
G8695=""юридична особа""
,
VLOOKUP"&amp;"(H8695,IMPORTRANGE(""https://docs.google.com/spreadsheets/d/14Bd19lYaqBhU8_DElYkX7l4wRkHqqCUFNJY4AfY3kHU/edit?usp=sharing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4" s="7" t="s">
        <v>29</v>
      </c>
    </row>
    <row r="8695" spans="1:10" ht="13.2">
      <c r="A8695" s="7">
        <v>8694</v>
      </c>
      <c r="B8695" s="7">
        <v>1</v>
      </c>
      <c r="C8695" s="7" t="s">
        <v>10</v>
      </c>
      <c r="D8695" s="7">
        <v>10618</v>
      </c>
      <c r="E8695" s="7" t="s">
        <v>28</v>
      </c>
      <c r="F8695" s="8" t="str">
        <f ca="1">IFERROR(__xludf.DUMMYFUNCTION("IF
(
C8696=""фізична особа""
,
VLOOKUP(D8696,IMPORTRANGE(""https://docs.google.com/spreadsheets/d/14Bd19lYaqBhU8_DElYkX7l4wRkHqqCUFNJY4AfY3kHU/edit?usp=sharing  #gid=0"",""фіз особи new!relations_name""),6,FALSE)
,
(IF
(
C8696=""юридична особа""
,
VLOOKUP"&amp;"(D8696,IMPORTRANGE(""https://docs.google.com/spreadsheets/d/14Bd19lYaqBhU8_DElYkX7l4wRkHqqCUFNJY4AfY3kHU/edit?usp=sharing  #gid=0"",""фіз особи new!relations_name_uo""),7,FALSE)
,
)
))"),"ЗЕЛЕНИЙ Андрій Миколайович")</f>
        <v>ЗЕЛЕНИЙ Андрій Миколайович</v>
      </c>
      <c r="G8695" s="7" t="s">
        <v>10</v>
      </c>
      <c r="H8695" s="7">
        <v>3167</v>
      </c>
      <c r="I8695" s="8" t="str">
        <f ca="1">IFERROR(__xludf.DUMMYFUNCTION("IF
(
G8696=""фізична особа""
,
VLOOKUP(H8696,IMPORTRANGE(""https://docs.google.com/spreadsheets/d/14Bd19lYaqBhU8_DElYkX7l4wRkHqqCUFNJY4AfY3kHU/edit?usp=sharing  #gid=0"",""фіз особи new!relations_name""),6,FALSE)
,
(IF
(
G8696=""юридична особа""
,
VLOOKUP"&amp;"(H8696,IMPORTRANGE(""https://docs.google.com/spreadsheets/d/14Bd19lYaqBhU8_DElYkX7l4wRkHqqCUFNJY4AfY3kHU/edit?usp=sharing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5" s="7" t="s">
        <v>29</v>
      </c>
    </row>
    <row r="8696" spans="1:10" ht="13.2">
      <c r="A8696" s="7">
        <v>8695</v>
      </c>
      <c r="B8696" s="7">
        <v>1</v>
      </c>
      <c r="C8696" s="7" t="s">
        <v>10</v>
      </c>
      <c r="D8696" s="7">
        <v>10619</v>
      </c>
      <c r="E8696" s="7" t="s">
        <v>28</v>
      </c>
      <c r="F8696" s="8" t="str">
        <f ca="1">IFERROR(__xludf.DUMMYFUNCTION("IF
(
C8697=""фізична особа""
,
VLOOKUP(D8697,IMPORTRANGE(""https://docs.google.com/spreadsheets/d/14Bd19lYaqBhU8_DElYkX7l4wRkHqqCUFNJY4AfY3kHU/edit?usp=sharing  #gid=0"",""фіз особи new!relations_name""),6,FALSE)
,
(IF
(
C8697=""юридична особа""
,
VLOOKUP"&amp;"(D8697,IMPORTRANGE(""https://docs.google.com/spreadsheets/d/14Bd19lYaqBhU8_DElYkX7l4wRkHqqCUFNJY4AfY3kHU/edit?usp=sharing  #gid=0"",""фіз особи new!relations_name_uo""),7,FALSE)
,
)
))"),"КАРПОВ Ілля Ігорович")</f>
        <v>КАРПОВ Ілля Ігорович</v>
      </c>
      <c r="G8696" s="7" t="s">
        <v>10</v>
      </c>
      <c r="H8696" s="7">
        <v>3167</v>
      </c>
      <c r="I8696" s="8" t="str">
        <f ca="1">IFERROR(__xludf.DUMMYFUNCTION("IF
(
G8697=""фізична особа""
,
VLOOKUP(H8697,IMPORTRANGE(""https://docs.google.com/spreadsheets/d/14Bd19lYaqBhU8_DElYkX7l4wRkHqqCUFNJY4AfY3kHU/edit?usp=sharing  #gid=0"",""фіз особи new!relations_name""),6,FALSE)
,
(IF
(
G8697=""юридична особа""
,
VLOOKUP"&amp;"(H8697,IMPORTRANGE(""https://docs.google.com/spreadsheets/d/14Bd19lYaqBhU8_DElYkX7l4wRkHqqCUFNJY4AfY3kHU/edit?usp=sharing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6" s="7" t="s">
        <v>29</v>
      </c>
    </row>
    <row r="8697" spans="1:10" ht="13.2">
      <c r="A8697" s="7">
        <v>8696</v>
      </c>
      <c r="B8697" s="7">
        <v>1</v>
      </c>
      <c r="C8697" s="7" t="s">
        <v>10</v>
      </c>
      <c r="D8697" s="7">
        <v>10620</v>
      </c>
      <c r="E8697" s="7" t="s">
        <v>28</v>
      </c>
      <c r="F8697" s="8" t="str">
        <f ca="1">IFERROR(__xludf.DUMMYFUNCTION("IF
(
C8698=""фізична особа""
,
VLOOKUP(D8698,IMPORTRANGE(""https://docs.google.com/spreadsheets/d/14Bd19lYaqBhU8_DElYkX7l4wRkHqqCUFNJY4AfY3kHU/edit?usp=sharing  #gid=0"",""фіз особи new!relations_name""),6,FALSE)
,
(IF
(
C8698=""юридична особа""
,
VLOOKUP"&amp;"(D8698,IMPORTRANGE(""https://docs.google.com/spreadsheets/d/14Bd19lYaqBhU8_DElYkX7l4wRkHqqCUFNJY4AfY3kHU/edit?usp=sharing  #gid=0"",""фіз особи new!relations_name_uo""),7,FALSE)
,
)
))"),"ПІЛУТТІ Алла Євгенівна")</f>
        <v>ПІЛУТТІ Алла Євгенівна</v>
      </c>
      <c r="G8697" s="7" t="s">
        <v>10</v>
      </c>
      <c r="H8697" s="7">
        <v>3167</v>
      </c>
      <c r="I8697" s="8" t="str">
        <f ca="1">IFERROR(__xludf.DUMMYFUNCTION("IF
(
G8698=""фізична особа""
,
VLOOKUP(H8698,IMPORTRANGE(""https://docs.google.com/spreadsheets/d/14Bd19lYaqBhU8_DElYkX7l4wRkHqqCUFNJY4AfY3kHU/edit?usp=sharing  #gid=0"",""фіз особи new!relations_name""),6,FALSE)
,
(IF
(
G8698=""юридична особа""
,
VLOOKUP"&amp;"(H8698,IMPORTRANGE(""https://docs.google.com/spreadsheets/d/14Bd19lYaqBhU8_DElYkX7l4wRkHqqCUFNJY4AfY3kHU/edit?usp=sharing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7" s="7" t="s">
        <v>29</v>
      </c>
    </row>
    <row r="8698" spans="1:10" ht="13.2">
      <c r="A8698" s="7">
        <v>8697</v>
      </c>
      <c r="B8698" s="7">
        <v>1</v>
      </c>
      <c r="C8698" s="7" t="s">
        <v>10</v>
      </c>
      <c r="D8698" s="7">
        <v>10621</v>
      </c>
      <c r="E8698" s="7" t="s">
        <v>28</v>
      </c>
      <c r="F8698" s="8" t="str">
        <f ca="1">IFERROR(__xludf.DUMMYFUNCTION("IF
(
C8699=""фізична особа""
,
VLOOKUP(D8699,IMPORTRANGE(""https://docs.google.com/spreadsheets/d/14Bd19lYaqBhU8_DElYkX7l4wRkHqqCUFNJY4AfY3kHU/edit?usp=sharing  #gid=0"",""фіз особи new!relations_name""),6,FALSE)
,
(IF
(
C8699=""юридична особа""
,
VLOOKUP"&amp;"(D8699,IMPORTRANGE(""https://docs.google.com/spreadsheets/d/14Bd19lYaqBhU8_DElYkX7l4wRkHqqCUFNJY4AfY3kHU/edit?usp=sharing  #gid=0"",""фіз особи new!relations_name_uo""),7,FALSE)
,
)
))"),"ПУСТОВАЛОВА Олена Олександрівна")</f>
        <v>ПУСТОВАЛОВА Олена Олександрівна</v>
      </c>
      <c r="G8698" s="7" t="s">
        <v>10</v>
      </c>
      <c r="H8698" s="7">
        <v>3167</v>
      </c>
      <c r="I8698" s="8" t="str">
        <f ca="1">IFERROR(__xludf.DUMMYFUNCTION("IF
(
G8699=""фізична особа""
,
VLOOKUP(H8699,IMPORTRANGE(""https://docs.google.com/spreadsheets/d/14Bd19lYaqBhU8_DElYkX7l4wRkHqqCUFNJY4AfY3kHU/edit?usp=sharing  #gid=0"",""фіз особи new!relations_name""),6,FALSE)
,
(IF
(
G8699=""юридична особа""
,
VLOOKUP"&amp;"(H8699,IMPORTRANGE(""https://docs.google.com/spreadsheets/d/14Bd19lYaqBhU8_DElYkX7l4wRkHqqCUFNJY4AfY3kHU/edit?usp=sharing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8" s="7" t="s">
        <v>29</v>
      </c>
    </row>
    <row r="8699" spans="1:10" ht="13.2">
      <c r="A8699" s="7">
        <v>8698</v>
      </c>
      <c r="B8699" s="7">
        <v>1</v>
      </c>
      <c r="C8699" s="7" t="s">
        <v>10</v>
      </c>
      <c r="D8699" s="7">
        <v>10622</v>
      </c>
      <c r="E8699" s="7" t="s">
        <v>28</v>
      </c>
      <c r="F8699" s="8" t="str">
        <f ca="1">IFERROR(__xludf.DUMMYFUNCTION("IF
(
C8700=""фізична особа""
,
VLOOKUP(D8700,IMPORTRANGE(""https://docs.google.com/spreadsheets/d/14Bd19lYaqBhU8_DElYkX7l4wRkHqqCUFNJY4AfY3kHU/edit?usp=sharing  #gid=0"",""фіз особи new!relations_name""),6,FALSE)
,
(IF
(
C8700=""юридична особа""
,
VLOOKUP"&amp;"(D8700,IMPORTRANGE(""https://docs.google.com/spreadsheets/d/14Bd19lYaqBhU8_DElYkX7l4wRkHqqCUFNJY4AfY3kHU/edit?usp=sharing  #gid=0"",""фіз особи new!relations_name_uo""),7,FALSE)
,
)
))"),"СЕРЬОГІН Андрій Ігорович")</f>
        <v>СЕРЬОГІН Андрій Ігорович</v>
      </c>
      <c r="G8699" s="7" t="s">
        <v>10</v>
      </c>
      <c r="H8699" s="7">
        <v>3167</v>
      </c>
      <c r="I8699" s="8" t="str">
        <f ca="1">IFERROR(__xludf.DUMMYFUNCTION("IF
(
G8700=""фізична особа""
,
VLOOKUP(H8700,IMPORTRANGE(""https://docs.google.com/spreadsheets/d/14Bd19lYaqBhU8_DElYkX7l4wRkHqqCUFNJY4AfY3kHU/edit?usp=sharing  #gid=0"",""фіз особи new!relations_name""),6,FALSE)
,
(IF
(
G8700=""юридична особа""
,
VLOOKUP"&amp;"(H8700,IMPORTRANGE(""https://docs.google.com/spreadsheets/d/14Bd19lYaqBhU8_DElYkX7l4wRkHqqCUFNJY4AfY3kHU/edit?usp=sharing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699" s="7" t="s">
        <v>29</v>
      </c>
    </row>
    <row r="8700" spans="1:10" ht="13.2">
      <c r="A8700" s="7">
        <v>8699</v>
      </c>
      <c r="B8700" s="7">
        <v>1</v>
      </c>
      <c r="C8700" s="7" t="s">
        <v>10</v>
      </c>
      <c r="D8700" s="7">
        <v>10623</v>
      </c>
      <c r="E8700" s="7" t="s">
        <v>28</v>
      </c>
      <c r="F8700" s="8" t="str">
        <f ca="1">IFERROR(__xludf.DUMMYFUNCTION("IF
(
C8701=""фізична особа""
,
VLOOKUP(D8701,IMPORTRANGE(""https://docs.google.com/spreadsheets/d/14Bd19lYaqBhU8_DElYkX7l4wRkHqqCUFNJY4AfY3kHU/edit?usp=sharing  #gid=0"",""фіз особи new!relations_name""),6,FALSE)
,
(IF
(
C8701=""юридична особа""
,
VLOOKUP"&amp;"(D8701,IMPORTRANGE(""https://docs.google.com/spreadsheets/d/14Bd19lYaqBhU8_DElYkX7l4wRkHqqCUFNJY4AfY3kHU/edit?usp=sharing  #gid=0"",""фіз особи new!relations_name_uo""),7,FALSE)
,
)
))"),"СМОЛЯКОВ Вадим Валерійович")</f>
        <v>СМОЛЯКОВ Вадим Валерійович</v>
      </c>
      <c r="G8700" s="7" t="s">
        <v>10</v>
      </c>
      <c r="H8700" s="7">
        <v>3167</v>
      </c>
      <c r="I8700" s="8" t="str">
        <f ca="1">IFERROR(__xludf.DUMMYFUNCTION("IF
(
G8701=""фізична особа""
,
VLOOKUP(H8701,IMPORTRANGE(""https://docs.google.com/spreadsheets/d/14Bd19lYaqBhU8_DElYkX7l4wRkHqqCUFNJY4AfY3kHU/edit?usp=sharing  #gid=0"",""фіз особи new!relations_name""),6,FALSE)
,
(IF
(
G8701=""юридична особа""
,
VLOOKUP"&amp;"(H8701,IMPORTRANGE(""https://docs.google.com/spreadsheets/d/14Bd19lYaqBhU8_DElYkX7l4wRkHqqCUFNJY4AfY3kHU/edit?usp=sharing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0" s="7" t="s">
        <v>29</v>
      </c>
    </row>
    <row r="8701" spans="1:10" ht="13.2">
      <c r="A8701" s="7">
        <v>8700</v>
      </c>
      <c r="B8701" s="7">
        <v>1</v>
      </c>
      <c r="C8701" s="7" t="s">
        <v>10</v>
      </c>
      <c r="D8701" s="7">
        <v>10624</v>
      </c>
      <c r="E8701" s="7" t="s">
        <v>28</v>
      </c>
      <c r="F8701" s="8" t="str">
        <f ca="1">IFERROR(__xludf.DUMMYFUNCTION("IF
(
C8702=""фізична особа""
,
VLOOKUP(D8702,IMPORTRANGE(""https://docs.google.com/spreadsheets/d/14Bd19lYaqBhU8_DElYkX7l4wRkHqqCUFNJY4AfY3kHU/edit?usp=sharing  #gid=0"",""фіз особи new!relations_name""),6,FALSE)
,
(IF
(
C8702=""юридична особа""
,
VLOOKUP"&amp;"(D8702,IMPORTRANGE(""https://docs.google.com/spreadsheets/d/14Bd19lYaqBhU8_DElYkX7l4wRkHqqCUFNJY4AfY3kHU/edit?usp=sharing  #gid=0"",""фіз особи new!relations_name_uo""),7,FALSE)
,
)
))"),"СОКОЛОВ Олег Анатолійович")</f>
        <v>СОКОЛОВ Олег Анатолійович</v>
      </c>
      <c r="G8701" s="7" t="s">
        <v>10</v>
      </c>
      <c r="H8701" s="7">
        <v>3167</v>
      </c>
      <c r="I8701" s="8" t="str">
        <f ca="1">IFERROR(__xludf.DUMMYFUNCTION("IF
(
G8702=""фізична особа""
,
VLOOKUP(H8702,IMPORTRANGE(""https://docs.google.com/spreadsheets/d/14Bd19lYaqBhU8_DElYkX7l4wRkHqqCUFNJY4AfY3kHU/edit?usp=sharing  #gid=0"",""фіз особи new!relations_name""),6,FALSE)
,
(IF
(
G8702=""юридична особа""
,
VLOOKUP"&amp;"(H8702,IMPORTRANGE(""https://docs.google.com/spreadsheets/d/14Bd19lYaqBhU8_DElYkX7l4wRkHqqCUFNJY4AfY3kHU/edit?usp=sharing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1" s="7" t="s">
        <v>29</v>
      </c>
    </row>
    <row r="8702" spans="1:10" ht="13.2">
      <c r="A8702" s="7">
        <v>8701</v>
      </c>
      <c r="B8702" s="7">
        <v>1</v>
      </c>
      <c r="C8702" s="7" t="s">
        <v>10</v>
      </c>
      <c r="D8702" s="7">
        <v>10625</v>
      </c>
      <c r="E8702" s="7" t="s">
        <v>28</v>
      </c>
      <c r="F8702" s="8" t="str">
        <f ca="1">IFERROR(__xludf.DUMMYFUNCTION("IF
(
C8703=""фізична особа""
,
VLOOKUP(D8703,IMPORTRANGE(""https://docs.google.com/spreadsheets/d/14Bd19lYaqBhU8_DElYkX7l4wRkHqqCUFNJY4AfY3kHU/edit?usp=sharing  #gid=0"",""фіз особи new!relations_name""),6,FALSE)
,
(IF
(
C8703=""юридична особа""
,
VLOOKUP"&amp;"(D8703,IMPORTRANGE(""https://docs.google.com/spreadsheets/d/14Bd19lYaqBhU8_DElYkX7l4wRkHqqCUFNJY4AfY3kHU/edit?usp=sharing  #gid=0"",""фіз особи new!relations_name_uo""),7,FALSE)
,
)
))"),"ШВАБ Ольга Вікторівна")</f>
        <v>ШВАБ Ольга Вікторівна</v>
      </c>
      <c r="G8702" s="7" t="s">
        <v>10</v>
      </c>
      <c r="H8702" s="7">
        <v>3167</v>
      </c>
      <c r="I8702" s="8" t="str">
        <f ca="1">IFERROR(__xludf.DUMMYFUNCTION("IF
(
G8703=""фізична особа""
,
VLOOKUP(H8703,IMPORTRANGE(""https://docs.google.com/spreadsheets/d/14Bd19lYaqBhU8_DElYkX7l4wRkHqqCUFNJY4AfY3kHU/edit?usp=sharing  #gid=0"",""фіз особи new!relations_name""),6,FALSE)
,
(IF
(
G8703=""юридична особа""
,
VLOOKUP"&amp;"(H8703,IMPORTRANGE(""https://docs.google.com/spreadsheets/d/14Bd19lYaqBhU8_DElYkX7l4wRkHqqCUFNJY4AfY3kHU/edit?usp=sharing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2" s="7" t="s">
        <v>29</v>
      </c>
    </row>
    <row r="8703" spans="1:10" ht="13.2">
      <c r="A8703" s="7">
        <v>8702</v>
      </c>
      <c r="B8703" s="7">
        <v>1</v>
      </c>
      <c r="C8703" s="7" t="s">
        <v>10</v>
      </c>
      <c r="D8703" s="7">
        <v>10626</v>
      </c>
      <c r="E8703" s="7" t="s">
        <v>28</v>
      </c>
      <c r="F8703" s="8" t="str">
        <f ca="1">IFERROR(__xludf.DUMMYFUNCTION("IF
(
C8704=""фізична особа""
,
VLOOKUP(D8704,IMPORTRANGE(""https://docs.google.com/spreadsheets/d/14Bd19lYaqBhU8_DElYkX7l4wRkHqqCUFNJY4AfY3kHU/edit?usp=sharing  #gid=0"",""фіз особи new!relations_name""),6,FALSE)
,
(IF
(
C8704=""юридична особа""
,
VLOOKUP"&amp;"(D8704,IMPORTRANGE(""https://docs.google.com/spreadsheets/d/14Bd19lYaqBhU8_DElYkX7l4wRkHqqCUFNJY4AfY3kHU/edit?usp=sharing  #gid=0"",""фіз особи new!relations_name_uo""),7,FALSE)
,
)
))"),"ШИРІКОВА Анастасія Павлівна")</f>
        <v>ШИРІКОВА Анастасія Павлівна</v>
      </c>
      <c r="G8703" s="7" t="s">
        <v>10</v>
      </c>
      <c r="H8703" s="7">
        <v>3167</v>
      </c>
      <c r="I8703" s="8" t="str">
        <f ca="1">IFERROR(__xludf.DUMMYFUNCTION("IF
(
G8704=""фізична особа""
,
VLOOKUP(H8704,IMPORTRANGE(""https://docs.google.com/spreadsheets/d/14Bd19lYaqBhU8_DElYkX7l4wRkHqqCUFNJY4AfY3kHU/edit?usp=sharing  #gid=0"",""фіз особи new!relations_name""),6,FALSE)
,
(IF
(
G8704=""юридична особа""
,
VLOOKUP"&amp;"(H8704,IMPORTRANGE(""https://docs.google.com/spreadsheets/d/14Bd19lYaqBhU8_DElYkX7l4wRkHqqCUFNJY4AfY3kHU/edit?usp=sharing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3" s="7" t="s">
        <v>29</v>
      </c>
    </row>
    <row r="8704" spans="1:10" ht="13.2">
      <c r="A8704" s="7">
        <v>8703</v>
      </c>
      <c r="B8704" s="7">
        <v>1</v>
      </c>
      <c r="C8704" s="7" t="s">
        <v>10</v>
      </c>
      <c r="D8704" s="7">
        <v>10627</v>
      </c>
      <c r="E8704" s="7" t="s">
        <v>28</v>
      </c>
      <c r="F8704" s="8" t="str">
        <f ca="1">IFERROR(__xludf.DUMMYFUNCTION("IF
(
C8705=""фізична особа""
,
VLOOKUP(D8705,IMPORTRANGE(""https://docs.google.com/spreadsheets/d/14Bd19lYaqBhU8_DElYkX7l4wRkHqqCUFNJY4AfY3kHU/edit?usp=sharing  #gid=0"",""фіз особи new!relations_name""),6,FALSE)
,
(IF
(
C8705=""юридична особа""
,
VLOOKUP"&amp;"(D8705,IMPORTRANGE(""https://docs.google.com/spreadsheets/d/14Bd19lYaqBhU8_DElYkX7l4wRkHqqCUFNJY4AfY3kHU/edit?usp=sharing  #gid=0"",""фіз особи new!relations_name_uo""),7,FALSE)
,
)
))"),"ЯХОВСЬКА Наталія Вікторівна")</f>
        <v>ЯХОВСЬКА Наталія Вікторівна</v>
      </c>
      <c r="G8704" s="7" t="s">
        <v>10</v>
      </c>
      <c r="H8704" s="7">
        <v>3167</v>
      </c>
      <c r="I8704" s="8" t="str">
        <f ca="1">IFERROR(__xludf.DUMMYFUNCTION("IF
(
G8705=""фізична особа""
,
VLOOKUP(H8705,IMPORTRANGE(""https://docs.google.com/spreadsheets/d/14Bd19lYaqBhU8_DElYkX7l4wRkHqqCUFNJY4AfY3kHU/edit?usp=sharing  #gid=0"",""фіз особи new!relations_name""),6,FALSE)
,
(IF
(
G8705=""юридична особа""
,
VLOOKUP"&amp;"(H8705,IMPORTRANGE(""https://docs.google.com/spreadsheets/d/14Bd19lYaqBhU8_DElYkX7l4wRkHqqCUFNJY4AfY3kHU/edit?usp=sharing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4" s="7" t="s">
        <v>29</v>
      </c>
    </row>
    <row r="8705" spans="1:10" ht="13.2">
      <c r="A8705" s="7">
        <v>8704</v>
      </c>
      <c r="B8705" s="7">
        <v>1</v>
      </c>
      <c r="C8705" s="7" t="s">
        <v>10</v>
      </c>
      <c r="D8705" s="7">
        <v>10628</v>
      </c>
      <c r="E8705" s="7" t="s">
        <v>28</v>
      </c>
      <c r="F8705" s="8" t="str">
        <f ca="1">IFERROR(__xludf.DUMMYFUNCTION("IF
(
C8706=""фізична особа""
,
VLOOKUP(D8706,IMPORTRANGE(""https://docs.google.com/spreadsheets/d/14Bd19lYaqBhU8_DElYkX7l4wRkHqqCUFNJY4AfY3kHU/edit?usp=sharing  #gid=0"",""фіз особи new!relations_name""),6,FALSE)
,
(IF
(
C8706=""юридична особа""
,
VLOOKUP"&amp;"(D8706,IMPORTRANGE(""https://docs.google.com/spreadsheets/d/14Bd19lYaqBhU8_DElYkX7l4wRkHqqCUFNJY4AfY3kHU/edit?usp=sharing  #gid=0"",""фіз особи new!relations_name_uo""),7,FALSE)
,
)
))"),"ЯШИН Олексій Олексійович")</f>
        <v>ЯШИН Олексій Олексійович</v>
      </c>
      <c r="G8705" s="7" t="s">
        <v>10</v>
      </c>
      <c r="H8705" s="7">
        <v>3167</v>
      </c>
      <c r="I8705" s="8" t="str">
        <f ca="1">IFERROR(__xludf.DUMMYFUNCTION("IF
(
G8706=""фізична особа""
,
VLOOKUP(H8706,IMPORTRANGE(""https://docs.google.com/spreadsheets/d/14Bd19lYaqBhU8_DElYkX7l4wRkHqqCUFNJY4AfY3kHU/edit?usp=sharing  #gid=0"",""фіз особи new!relations_name""),6,FALSE)
,
(IF
(
G8706=""юридична особа""
,
VLOOKUP"&amp;"(H8706,IMPORTRANGE(""https://docs.google.com/spreadsheets/d/14Bd19lYaqBhU8_DElYkX7l4wRkHqqCUFNJY4AfY3kHU/edit?usp=sharing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8705" s="7" t="s">
        <v>29</v>
      </c>
    </row>
    <row r="8706" spans="1:10" ht="13.2">
      <c r="A8706" s="7">
        <v>8705</v>
      </c>
      <c r="B8706" s="7">
        <v>1</v>
      </c>
      <c r="C8706" s="7" t="s">
        <v>10</v>
      </c>
      <c r="D8706" s="7">
        <v>10629</v>
      </c>
      <c r="E8706" s="7" t="s">
        <v>28</v>
      </c>
      <c r="F8706" s="8" t="str">
        <f ca="1">IFERROR(__xludf.DUMMYFUNCTION("IF
(
C8707=""фізична особа""
,
VLOOKUP(D8707,IMPORTRANGE(""https://docs.google.com/spreadsheets/d/14Bd19lYaqBhU8_DElYkX7l4wRkHqqCUFNJY4AfY3kHU/edit?usp=sharing  #gid=0"",""фіз особи new!relations_name""),6,FALSE)
,
(IF
(
C8707=""юридична особа""
,
VLOOKUP"&amp;"(D8707,IMPORTRANGE(""https://docs.google.com/spreadsheets/d/14Bd19lYaqBhU8_DElYkX7l4wRkHqqCUFNJY4AfY3kHU/edit?usp=sharing  #gid=0"",""фіз особи new!relations_name_uo""),7,FALSE)
,
)
))"),"КИРИЛЛОВ Михайло Вікторович")</f>
        <v>КИРИЛЛОВ Михайло Вікторович</v>
      </c>
      <c r="G8706" s="7" t="s">
        <v>10</v>
      </c>
      <c r="H8706" s="7">
        <v>3029</v>
      </c>
      <c r="I8706" s="8" t="str">
        <f ca="1">IFERROR(__xludf.DUMMYFUNCTION("IF
(
G8707=""фізична особа""
,
VLOOKUP(H8707,IMPORTRANGE(""https://docs.google.com/spreadsheets/d/14Bd19lYaqBhU8_DElYkX7l4wRkHqqCUFNJY4AfY3kHU/edit?usp=sharing  #gid=0"",""фіз особи new!relations_name""),6,FALSE)
,
(IF
(
G8707=""юридична особа""
,
VLOOKUP"&amp;"(H8707,IMPORTRANGE(""https://docs.google.com/spreadsheets/d/14Bd19lYaqBhU8_DElYkX7l4wRkHqqCUFNJY4AfY3kHU/edit?usp=sharing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06" s="7" t="s">
        <v>29</v>
      </c>
    </row>
    <row r="8707" spans="1:10" ht="13.2">
      <c r="A8707" s="7">
        <v>8706</v>
      </c>
      <c r="B8707" s="7">
        <v>1</v>
      </c>
      <c r="C8707" s="7" t="s">
        <v>10</v>
      </c>
      <c r="D8707" s="7">
        <v>10630</v>
      </c>
      <c r="E8707" s="7" t="s">
        <v>28</v>
      </c>
      <c r="F8707" s="8" t="str">
        <f ca="1">IFERROR(__xludf.DUMMYFUNCTION("IF
(
C8708=""фізична особа""
,
VLOOKUP(D8708,IMPORTRANGE(""https://docs.google.com/spreadsheets/d/14Bd19lYaqBhU8_DElYkX7l4wRkHqqCUFNJY4AfY3kHU/edit?usp=sharing  #gid=0"",""фіз особи new!relations_name""),6,FALSE)
,
(IF
(
C8708=""юридична особа""
,
VLOOKUP"&amp;"(D8708,IMPORTRANGE(""https://docs.google.com/spreadsheets/d/14Bd19lYaqBhU8_DElYkX7l4wRkHqqCUFNJY4AfY3kHU/edit?usp=sharing  #gid=0"",""фіз особи new!relations_name_uo""),7,FALSE)
,
)
))"),"БРАЗГУНОВА Ольга Геннадіївна")</f>
        <v>БРАЗГУНОВА Ольга Геннадіївна</v>
      </c>
      <c r="G8707" s="7" t="s">
        <v>10</v>
      </c>
      <c r="H8707" s="7">
        <v>2964</v>
      </c>
      <c r="I8707" s="8" t="str">
        <f ca="1">IFERROR(__xludf.DUMMYFUNCTION("IF
(
G8708=""фізична особа""
,
VLOOKUP(H8708,IMPORTRANGE(""https://docs.google.com/spreadsheets/d/14Bd19lYaqBhU8_DElYkX7l4wRkHqqCUFNJY4AfY3kHU/edit?usp=sharing  #gid=0"",""фіз особи new!relations_name""),6,FALSE)
,
(IF
(
G8708=""юридична особа""
,
VLOOKUP"&amp;"(H8708,IMPORTRANGE(""https://docs.google.com/spreadsheets/d/14Bd19lYaqBhU8_DElYkX7l4wRkHqqCUFNJY4AfY3kHU/edit?usp=sharing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07" s="7" t="s">
        <v>29</v>
      </c>
    </row>
    <row r="8708" spans="1:10" ht="13.2">
      <c r="A8708" s="7">
        <v>8707</v>
      </c>
      <c r="B8708" s="7">
        <v>1</v>
      </c>
      <c r="C8708" s="7" t="s">
        <v>10</v>
      </c>
      <c r="D8708" s="7">
        <v>10631</v>
      </c>
      <c r="E8708" s="7" t="s">
        <v>28</v>
      </c>
      <c r="F8708" s="8" t="str">
        <f ca="1">IFERROR(__xludf.DUMMYFUNCTION("IF
(
C8709=""фізична особа""
,
VLOOKUP(D8709,IMPORTRANGE(""https://docs.google.com/spreadsheets/d/14Bd19lYaqBhU8_DElYkX7l4wRkHqqCUFNJY4AfY3kHU/edit?usp=sharing  #gid=0"",""фіз особи new!relations_name""),6,FALSE)
,
(IF
(
C8709=""юридична особа""
,
VLOOKUP"&amp;"(D8709,IMPORTRANGE(""https://docs.google.com/spreadsheets/d/14Bd19lYaqBhU8_DElYkX7l4wRkHqqCUFNJY4AfY3kHU/edit?usp=sharing  #gid=0"",""фіз особи new!relations_name_uo""),7,FALSE)
,
)
))"),"ЄГОРОВА Ольга Миколаївна")</f>
        <v>ЄГОРОВА Ольга Миколаївна</v>
      </c>
      <c r="G8708" s="7" t="s">
        <v>10</v>
      </c>
      <c r="H8708" s="7">
        <v>3029</v>
      </c>
      <c r="I8708" s="8" t="str">
        <f ca="1">IFERROR(__xludf.DUMMYFUNCTION("IF
(
G8709=""фізична особа""
,
VLOOKUP(H8709,IMPORTRANGE(""https://docs.google.com/spreadsheets/d/14Bd19lYaqBhU8_DElYkX7l4wRkHqqCUFNJY4AfY3kHU/edit?usp=sharing  #gid=0"",""фіз особи new!relations_name""),6,FALSE)
,
(IF
(
G8709=""юридична особа""
,
VLOOKUP"&amp;"(H8709,IMPORTRANGE(""https://docs.google.com/spreadsheets/d/14Bd19lYaqBhU8_DElYkX7l4wRkHqqCUFNJY4AfY3kHU/edit?usp=sharing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08" s="7" t="s">
        <v>29</v>
      </c>
    </row>
    <row r="8709" spans="1:10" ht="13.2">
      <c r="A8709" s="7">
        <v>8708</v>
      </c>
      <c r="B8709" s="7">
        <v>1</v>
      </c>
      <c r="C8709" s="7" t="s">
        <v>10</v>
      </c>
      <c r="D8709" s="7">
        <v>10632</v>
      </c>
      <c r="E8709" s="7" t="s">
        <v>28</v>
      </c>
      <c r="F8709" s="8" t="str">
        <f ca="1">IFERROR(__xludf.DUMMYFUNCTION("IF
(
C8710=""фізична особа""
,
VLOOKUP(D8710,IMPORTRANGE(""https://docs.google.com/spreadsheets/d/14Bd19lYaqBhU8_DElYkX7l4wRkHqqCUFNJY4AfY3kHU/edit?usp=sharing  #gid=0"",""фіз особи new!relations_name""),6,FALSE)
,
(IF
(
C8710=""юридична особа""
,
VLOOKUP"&amp;"(D8710,IMPORTRANGE(""https://docs.google.com/spreadsheets/d/14Bd19lYaqBhU8_DElYkX7l4wRkHqqCUFNJY4AfY3kHU/edit?usp=sharing  #gid=0"",""фіз особи new!relations_name_uo""),7,FALSE)
,
)
))"),"МИХАЙЛОВ Олександр Володимирович")</f>
        <v>МИХАЙЛОВ Олександр Володимирович</v>
      </c>
      <c r="G8709" s="7" t="s">
        <v>10</v>
      </c>
      <c r="H8709" s="7">
        <v>2960</v>
      </c>
      <c r="I8709" s="8" t="str">
        <f ca="1">IFERROR(__xludf.DUMMYFUNCTION("IF
(
G8710=""фізична особа""
,
VLOOKUP(H8710,IMPORTRANGE(""https://docs.google.com/spreadsheets/d/14Bd19lYaqBhU8_DElYkX7l4wRkHqqCUFNJY4AfY3kHU/edit?usp=sharing  #gid=0"",""фіз особи new!relations_name""),6,FALSE)
,
(IF
(
G8710=""юридична особа""
,
VLOOKUP"&amp;"(H8710,IMPORTRANGE(""https://docs.google.com/spreadsheets/d/14Bd19lYaqBhU8_DElYkX7l4wRkHqqCUFNJY4AfY3kHU/edit?usp=sharing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09" s="7" t="s">
        <v>29</v>
      </c>
    </row>
    <row r="8710" spans="1:10" ht="13.2">
      <c r="A8710" s="7">
        <v>8709</v>
      </c>
      <c r="B8710" s="7">
        <v>1</v>
      </c>
      <c r="C8710" s="7" t="s">
        <v>10</v>
      </c>
      <c r="D8710" s="7">
        <v>10633</v>
      </c>
      <c r="E8710" s="7" t="s">
        <v>28</v>
      </c>
      <c r="F8710" s="8" t="str">
        <f ca="1">IFERROR(__xludf.DUMMYFUNCTION("IF
(
C8711=""фізична особа""
,
VLOOKUP(D8711,IMPORTRANGE(""https://docs.google.com/spreadsheets/d/14Bd19lYaqBhU8_DElYkX7l4wRkHqqCUFNJY4AfY3kHU/edit?usp=sharing  #gid=0"",""фіз особи new!relations_name""),6,FALSE)
,
(IF
(
C8711=""юридична особа""
,
VLOOKUP"&amp;"(D8711,IMPORTRANGE(""https://docs.google.com/spreadsheets/d/14Bd19lYaqBhU8_DElYkX7l4wRkHqqCUFNJY4AfY3kHU/edit?usp=sharing  #gid=0"",""фіз особи new!relations_name_uo""),7,FALSE)
,
)
))"),"РУСЕЦЬКИЙ Євгеній Олександрович")</f>
        <v>РУСЕЦЬКИЙ Євгеній Олександрович</v>
      </c>
      <c r="G8710" s="7" t="s">
        <v>10</v>
      </c>
      <c r="H8710" s="7">
        <v>3029</v>
      </c>
      <c r="I8710" s="8" t="str">
        <f ca="1">IFERROR(__xludf.DUMMYFUNCTION("IF
(
G8711=""фізична особа""
,
VLOOKUP(H8711,IMPORTRANGE(""https://docs.google.com/spreadsheets/d/14Bd19lYaqBhU8_DElYkX7l4wRkHqqCUFNJY4AfY3kHU/edit?usp=sharing  #gid=0"",""фіз особи new!relations_name""),6,FALSE)
,
(IF
(
G8711=""юридична особа""
,
VLOOKUP"&amp;"(H8711,IMPORTRANGE(""https://docs.google.com/spreadsheets/d/14Bd19lYaqBhU8_DElYkX7l4wRkHqqCUFNJY4AfY3kHU/edit?usp=sharing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0" s="7" t="s">
        <v>29</v>
      </c>
    </row>
    <row r="8711" spans="1:10" ht="13.2">
      <c r="A8711" s="7">
        <v>8710</v>
      </c>
      <c r="B8711" s="7">
        <v>1</v>
      </c>
      <c r="C8711" s="7" t="s">
        <v>10</v>
      </c>
      <c r="D8711" s="7">
        <v>10634</v>
      </c>
      <c r="E8711" s="7" t="s">
        <v>28</v>
      </c>
      <c r="F8711" s="8" t="str">
        <f ca="1">IFERROR(__xludf.DUMMYFUNCTION("IF
(
C8712=""фізична особа""
,
VLOOKUP(D8712,IMPORTRANGE(""https://docs.google.com/spreadsheets/d/14Bd19lYaqBhU8_DElYkX7l4wRkHqqCUFNJY4AfY3kHU/edit?usp=sharing  #gid=0"",""фіз особи new!relations_name""),6,FALSE)
,
(IF
(
C8712=""юридична особа""
,
VLOOKUP"&amp;"(D8712,IMPORTRANGE(""https://docs.google.com/spreadsheets/d/14Bd19lYaqBhU8_DElYkX7l4wRkHqqCUFNJY4AfY3kHU/edit?usp=sharing  #gid=0"",""фіз особи new!relations_name_uo""),7,FALSE)
,
)
))"),"НІКІТІН Михайло Андрійович")</f>
        <v>НІКІТІН Михайло Андрійович</v>
      </c>
      <c r="G8711" s="7" t="s">
        <v>10</v>
      </c>
      <c r="H8711" s="7">
        <v>2964</v>
      </c>
      <c r="I8711" s="8" t="str">
        <f ca="1">IFERROR(__xludf.DUMMYFUNCTION("IF
(
G8712=""фізична особа""
,
VLOOKUP(H8712,IMPORTRANGE(""https://docs.google.com/spreadsheets/d/14Bd19lYaqBhU8_DElYkX7l4wRkHqqCUFNJY4AfY3kHU/edit?usp=sharing  #gid=0"",""фіз особи new!relations_name""),6,FALSE)
,
(IF
(
G8712=""юридична особа""
,
VLOOKUP"&amp;"(H8712,IMPORTRANGE(""https://docs.google.com/spreadsheets/d/14Bd19lYaqBhU8_DElYkX7l4wRkHqqCUFNJY4AfY3kHU/edit?usp=sharing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11" s="7" t="s">
        <v>29</v>
      </c>
    </row>
    <row r="8712" spans="1:10" ht="13.2">
      <c r="A8712" s="7">
        <v>8711</v>
      </c>
      <c r="B8712" s="7">
        <v>1</v>
      </c>
      <c r="C8712" s="7" t="s">
        <v>10</v>
      </c>
      <c r="D8712" s="7">
        <v>10635</v>
      </c>
      <c r="E8712" s="7" t="s">
        <v>28</v>
      </c>
      <c r="F8712" s="8" t="str">
        <f ca="1">IFERROR(__xludf.DUMMYFUNCTION("IF
(
C8713=""фізична особа""
,
VLOOKUP(D8713,IMPORTRANGE(""https://docs.google.com/spreadsheets/d/14Bd19lYaqBhU8_DElYkX7l4wRkHqqCUFNJY4AfY3kHU/edit?usp=sharing  #gid=0"",""фіз особи new!relations_name""),6,FALSE)
,
(IF
(
C8713=""юридична особа""
,
VLOOKUP"&amp;"(D8713,IMPORTRANGE(""https://docs.google.com/spreadsheets/d/14Bd19lYaqBhU8_DElYkX7l4wRkHqqCUFNJY4AfY3kHU/edit?usp=sharing  #gid=0"",""фіз особи new!relations_name_uo""),7,FALSE)
,
)
))"),"ШАРГАЄВА Ірина Валеріївна")</f>
        <v>ШАРГАЄВА Ірина Валеріївна</v>
      </c>
      <c r="G8712" s="7" t="s">
        <v>10</v>
      </c>
      <c r="H8712" s="7">
        <v>3029</v>
      </c>
      <c r="I8712" s="8" t="str">
        <f ca="1">IFERROR(__xludf.DUMMYFUNCTION("IF
(
G8713=""фізична особа""
,
VLOOKUP(H8713,IMPORTRANGE(""https://docs.google.com/spreadsheets/d/14Bd19lYaqBhU8_DElYkX7l4wRkHqqCUFNJY4AfY3kHU/edit?usp=sharing  #gid=0"",""фіз особи new!relations_name""),6,FALSE)
,
(IF
(
G8713=""юридична особа""
,
VLOOKUP"&amp;"(H8713,IMPORTRANGE(""https://docs.google.com/spreadsheets/d/14Bd19lYaqBhU8_DElYkX7l4wRkHqqCUFNJY4AfY3kHU/edit?usp=sharing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2" s="7" t="s">
        <v>29</v>
      </c>
    </row>
    <row r="8713" spans="1:10" ht="13.2">
      <c r="A8713" s="7">
        <v>8712</v>
      </c>
      <c r="B8713" s="7">
        <v>1</v>
      </c>
      <c r="C8713" s="7" t="s">
        <v>10</v>
      </c>
      <c r="D8713" s="7">
        <v>10636</v>
      </c>
      <c r="E8713" s="7" t="s">
        <v>28</v>
      </c>
      <c r="F8713" s="8" t="str">
        <f ca="1">IFERROR(__xludf.DUMMYFUNCTION("IF
(
C8714=""фізична особа""
,
VLOOKUP(D8714,IMPORTRANGE(""https://docs.google.com/spreadsheets/d/14Bd19lYaqBhU8_DElYkX7l4wRkHqqCUFNJY4AfY3kHU/edit?usp=sharing  #gid=0"",""фіз особи new!relations_name""),6,FALSE)
,
(IF
(
C8714=""юридична особа""
,
VLOOKUP"&amp;"(D8714,IMPORTRANGE(""https://docs.google.com/spreadsheets/d/14Bd19lYaqBhU8_DElYkX7l4wRkHqqCUFNJY4AfY3kHU/edit?usp=sharing  #gid=0"",""фіз особи new!relations_name_uo""),7,FALSE)
,
)
))"),"ЩЕРБАКОВ Дмитро Вікторович")</f>
        <v>ЩЕРБАКОВ Дмитро Вікторович</v>
      </c>
      <c r="G8713" s="7" t="s">
        <v>10</v>
      </c>
      <c r="H8713" s="7">
        <v>3029</v>
      </c>
      <c r="I8713" s="8" t="str">
        <f ca="1">IFERROR(__xludf.DUMMYFUNCTION("IF
(
G8714=""фізична особа""
,
VLOOKUP(H8714,IMPORTRANGE(""https://docs.google.com/spreadsheets/d/14Bd19lYaqBhU8_DElYkX7l4wRkHqqCUFNJY4AfY3kHU/edit?usp=sharing  #gid=0"",""фіз особи new!relations_name""),6,FALSE)
,
(IF
(
G8714=""юридична особа""
,
VLOOKUP"&amp;"(H8714,IMPORTRANGE(""https://docs.google.com/spreadsheets/d/14Bd19lYaqBhU8_DElYkX7l4wRkHqqCUFNJY4AfY3kHU/edit?usp=sharing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3" s="7" t="s">
        <v>29</v>
      </c>
    </row>
    <row r="8714" spans="1:10" ht="13.2">
      <c r="A8714" s="7">
        <v>8713</v>
      </c>
      <c r="B8714" s="7">
        <v>1</v>
      </c>
      <c r="C8714" s="7" t="s">
        <v>10</v>
      </c>
      <c r="D8714" s="7">
        <v>10637</v>
      </c>
      <c r="E8714" s="7" t="s">
        <v>28</v>
      </c>
      <c r="F8714" s="8" t="str">
        <f ca="1">IFERROR(__xludf.DUMMYFUNCTION("IF
(
C8715=""фізична особа""
,
VLOOKUP(D8715,IMPORTRANGE(""https://docs.google.com/spreadsheets/d/14Bd19lYaqBhU8_DElYkX7l4wRkHqqCUFNJY4AfY3kHU/edit?usp=sharing  #gid=0"",""фіз особи new!relations_name""),6,FALSE)
,
(IF
(
C8715=""юридична особа""
,
VLOOKUP"&amp;"(D8715,IMPORTRANGE(""https://docs.google.com/spreadsheets/d/14Bd19lYaqBhU8_DElYkX7l4wRkHqqCUFNJY4AfY3kHU/edit?usp=sharing  #gid=0"",""фіз особи new!relations_name_uo""),7,FALSE)
,
)
))"),"КАТАШОВА Світлана Володимирівна")</f>
        <v>КАТАШОВА Світлана Володимирівна</v>
      </c>
      <c r="G8714" s="7" t="s">
        <v>10</v>
      </c>
      <c r="H8714" s="7">
        <v>3029</v>
      </c>
      <c r="I8714" s="8" t="str">
        <f ca="1">IFERROR(__xludf.DUMMYFUNCTION("IF
(
G8715=""фізична особа""
,
VLOOKUP(H8715,IMPORTRANGE(""https://docs.google.com/spreadsheets/d/14Bd19lYaqBhU8_DElYkX7l4wRkHqqCUFNJY4AfY3kHU/edit?usp=sharing  #gid=0"",""фіз особи new!relations_name""),6,FALSE)
,
(IF
(
G8715=""юридична особа""
,
VLOOKUP"&amp;"(H8715,IMPORTRANGE(""https://docs.google.com/spreadsheets/d/14Bd19lYaqBhU8_DElYkX7l4wRkHqqCUFNJY4AfY3kHU/edit?usp=sharing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4" s="7" t="s">
        <v>29</v>
      </c>
    </row>
    <row r="8715" spans="1:10" ht="13.2">
      <c r="A8715" s="7">
        <v>8714</v>
      </c>
      <c r="B8715" s="7">
        <v>1</v>
      </c>
      <c r="C8715" s="7" t="s">
        <v>10</v>
      </c>
      <c r="D8715" s="7">
        <v>10638</v>
      </c>
      <c r="E8715" s="7" t="s">
        <v>28</v>
      </c>
      <c r="F8715" s="8" t="str">
        <f ca="1">IFERROR(__xludf.DUMMYFUNCTION("IF
(
C8716=""фізична особа""
,
VLOOKUP(D8716,IMPORTRANGE(""https://docs.google.com/spreadsheets/d/14Bd19lYaqBhU8_DElYkX7l4wRkHqqCUFNJY4AfY3kHU/edit?usp=sharing  #gid=0"",""фіз особи new!relations_name""),6,FALSE)
,
(IF
(
C8716=""юридична особа""
,
VLOOKUP"&amp;"(D8716,IMPORTRANGE(""https://docs.google.com/spreadsheets/d/14Bd19lYaqBhU8_DElYkX7l4wRkHqqCUFNJY4AfY3kHU/edit?usp=sharing  #gid=0"",""фіз особи new!relations_name_uo""),7,FALSE)
,
)
))"),"МАСЛОВ Юрій Миколайович")</f>
        <v>МАСЛОВ Юрій Миколайович</v>
      </c>
      <c r="G8715" s="7" t="s">
        <v>10</v>
      </c>
      <c r="H8715" s="7">
        <v>3029</v>
      </c>
      <c r="I8715" s="8" t="str">
        <f ca="1">IFERROR(__xludf.DUMMYFUNCTION("IF
(
G8716=""фізична особа""
,
VLOOKUP(H8716,IMPORTRANGE(""https://docs.google.com/spreadsheets/d/14Bd19lYaqBhU8_DElYkX7l4wRkHqqCUFNJY4AfY3kHU/edit?usp=sharing  #gid=0"",""фіз особи new!relations_name""),6,FALSE)
,
(IF
(
G8716=""юридична особа""
,
VLOOKUP"&amp;"(H8716,IMPORTRANGE(""https://docs.google.com/spreadsheets/d/14Bd19lYaqBhU8_DElYkX7l4wRkHqqCUFNJY4AfY3kHU/edit?usp=sharing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5" s="7" t="s">
        <v>29</v>
      </c>
    </row>
    <row r="8716" spans="1:10" ht="13.2">
      <c r="A8716" s="7">
        <v>8715</v>
      </c>
      <c r="B8716" s="7">
        <v>1</v>
      </c>
      <c r="C8716" s="7" t="s">
        <v>10</v>
      </c>
      <c r="D8716" s="7">
        <v>10639</v>
      </c>
      <c r="E8716" s="7" t="s">
        <v>28</v>
      </c>
      <c r="F8716" s="8" t="str">
        <f ca="1">IFERROR(__xludf.DUMMYFUNCTION("IF
(
C8717=""фізична особа""
,
VLOOKUP(D8717,IMPORTRANGE(""https://docs.google.com/spreadsheets/d/14Bd19lYaqBhU8_DElYkX7l4wRkHqqCUFNJY4AfY3kHU/edit?usp=sharing  #gid=0"",""фіз особи new!relations_name""),6,FALSE)
,
(IF
(
C8717=""юридична особа""
,
VLOOKUP"&amp;"(D8717,IMPORTRANGE(""https://docs.google.com/spreadsheets/d/14Bd19lYaqBhU8_DElYkX7l4wRkHqqCUFNJY4AfY3kHU/edit?usp=sharing  #gid=0"",""фіз особи new!relations_name_uo""),7,FALSE)
,
)
))"),"АВДЄЄВ Роман Олександрович")</f>
        <v>АВДЄЄВ Роман Олександрович</v>
      </c>
      <c r="G8716" s="7" t="s">
        <v>10</v>
      </c>
      <c r="H8716" s="7">
        <v>2960</v>
      </c>
      <c r="I8716" s="8" t="str">
        <f ca="1">IFERROR(__xludf.DUMMYFUNCTION("IF
(
G8717=""фізична особа""
,
VLOOKUP(H8717,IMPORTRANGE(""https://docs.google.com/spreadsheets/d/14Bd19lYaqBhU8_DElYkX7l4wRkHqqCUFNJY4AfY3kHU/edit?usp=sharing  #gid=0"",""фіз особи new!relations_name""),6,FALSE)
,
(IF
(
G8717=""юридична особа""
,
VLOOKUP"&amp;"(H8717,IMPORTRANGE(""https://docs.google.com/spreadsheets/d/14Bd19lYaqBhU8_DElYkX7l4wRkHqqCUFNJY4AfY3kHU/edit?usp=sharing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16" s="7" t="s">
        <v>29</v>
      </c>
    </row>
    <row r="8717" spans="1:10" ht="13.2">
      <c r="A8717" s="7">
        <v>8716</v>
      </c>
      <c r="B8717" s="7">
        <v>1</v>
      </c>
      <c r="C8717" s="7" t="s">
        <v>10</v>
      </c>
      <c r="D8717" s="7">
        <v>10640</v>
      </c>
      <c r="E8717" s="7" t="s">
        <v>28</v>
      </c>
      <c r="F8717" s="8" t="str">
        <f ca="1">IFERROR(__xludf.DUMMYFUNCTION("IF
(
C8718=""фізична особа""
,
VLOOKUP(D8718,IMPORTRANGE(""https://docs.google.com/spreadsheets/d/14Bd19lYaqBhU8_DElYkX7l4wRkHqqCUFNJY4AfY3kHU/edit?usp=sharing  #gid=0"",""фіз особи new!relations_name""),6,FALSE)
,
(IF
(
C8718=""юридична особа""
,
VLOOKUP"&amp;"(D8718,IMPORTRANGE(""https://docs.google.com/spreadsheets/d/14Bd19lYaqBhU8_DElYkX7l4wRkHqqCUFNJY4AfY3kHU/edit?usp=sharing  #gid=0"",""фіз особи new!relations_name_uo""),7,FALSE)
,
)
))"),"КРИВОНОГОВ Володимир Костянтинович")</f>
        <v>КРИВОНОГОВ Володимир Костянтинович</v>
      </c>
      <c r="G8717" s="7" t="s">
        <v>10</v>
      </c>
      <c r="H8717" s="7">
        <v>3029</v>
      </c>
      <c r="I8717" s="8" t="str">
        <f ca="1">IFERROR(__xludf.DUMMYFUNCTION("IF
(
G8718=""фізична особа""
,
VLOOKUP(H8718,IMPORTRANGE(""https://docs.google.com/spreadsheets/d/14Bd19lYaqBhU8_DElYkX7l4wRkHqqCUFNJY4AfY3kHU/edit?usp=sharing  #gid=0"",""фіз особи new!relations_name""),6,FALSE)
,
(IF
(
G8718=""юридична особа""
,
VLOOKUP"&amp;"(H8718,IMPORTRANGE(""https://docs.google.com/spreadsheets/d/14Bd19lYaqBhU8_DElYkX7l4wRkHqqCUFNJY4AfY3kHU/edit?usp=sharing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7" s="7" t="s">
        <v>29</v>
      </c>
    </row>
    <row r="8718" spans="1:10" ht="13.2">
      <c r="A8718" s="7">
        <v>8717</v>
      </c>
      <c r="B8718" s="7">
        <v>1</v>
      </c>
      <c r="C8718" s="7" t="s">
        <v>10</v>
      </c>
      <c r="D8718" s="7">
        <v>10641</v>
      </c>
      <c r="E8718" s="7" t="s">
        <v>28</v>
      </c>
      <c r="F8718" s="8" t="str">
        <f ca="1">IFERROR(__xludf.DUMMYFUNCTION("IF
(
C8719=""фізична особа""
,
VLOOKUP(D8719,IMPORTRANGE(""https://docs.google.com/spreadsheets/d/14Bd19lYaqBhU8_DElYkX7l4wRkHqqCUFNJY4AfY3kHU/edit?usp=sharing  #gid=0"",""фіз особи new!relations_name""),6,FALSE)
,
(IF
(
C8719=""юридична особа""
,
VLOOKUP"&amp;"(D8719,IMPORTRANGE(""https://docs.google.com/spreadsheets/d/14Bd19lYaqBhU8_DElYkX7l4wRkHqqCUFNJY4AfY3kHU/edit?usp=sharing  #gid=0"",""фіз особи new!relations_name_uo""),7,FALSE)
,
)
))"),"БЛІНКОВА Алла Валеріївна")</f>
        <v>БЛІНКОВА Алла Валеріївна</v>
      </c>
      <c r="G8718" s="7" t="s">
        <v>10</v>
      </c>
      <c r="H8718" s="7">
        <v>3029</v>
      </c>
      <c r="I8718" s="8" t="str">
        <f ca="1">IFERROR(__xludf.DUMMYFUNCTION("IF
(
G8719=""фізична особа""
,
VLOOKUP(H8719,IMPORTRANGE(""https://docs.google.com/spreadsheets/d/14Bd19lYaqBhU8_DElYkX7l4wRkHqqCUFNJY4AfY3kHU/edit?usp=sharing  #gid=0"",""фіз особи new!relations_name""),6,FALSE)
,
(IF
(
G8719=""юридична особа""
,
VLOOKUP"&amp;"(H8719,IMPORTRANGE(""https://docs.google.com/spreadsheets/d/14Bd19lYaqBhU8_DElYkX7l4wRkHqqCUFNJY4AfY3kHU/edit?usp=sharing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8" s="7" t="s">
        <v>29</v>
      </c>
    </row>
    <row r="8719" spans="1:10" ht="13.2">
      <c r="A8719" s="7">
        <v>8718</v>
      </c>
      <c r="B8719" s="7">
        <v>1</v>
      </c>
      <c r="C8719" s="7" t="s">
        <v>10</v>
      </c>
      <c r="D8719" s="7">
        <v>10642</v>
      </c>
      <c r="E8719" s="7" t="s">
        <v>28</v>
      </c>
      <c r="F8719" s="8" t="str">
        <f ca="1">IFERROR(__xludf.DUMMYFUNCTION("IF
(
C8720=""фізична особа""
,
VLOOKUP(D8720,IMPORTRANGE(""https://docs.google.com/spreadsheets/d/14Bd19lYaqBhU8_DElYkX7l4wRkHqqCUFNJY4AfY3kHU/edit?usp=sharing  #gid=0"",""фіз особи new!relations_name""),6,FALSE)
,
(IF
(
C8720=""юридична особа""
,
VLOOKUP"&amp;"(D8720,IMPORTRANGE(""https://docs.google.com/spreadsheets/d/14Bd19lYaqBhU8_DElYkX7l4wRkHqqCUFNJY4AfY3kHU/edit?usp=sharing  #gid=0"",""фіз особи new!relations_name_uo""),7,FALSE)
,
)
))"),"ЗУЄВА Світлана Євгенівна")</f>
        <v>ЗУЄВА Світлана Євгенівна</v>
      </c>
      <c r="G8719" s="7" t="s">
        <v>10</v>
      </c>
      <c r="H8719" s="7">
        <v>3029</v>
      </c>
      <c r="I8719" s="8" t="str">
        <f ca="1">IFERROR(__xludf.DUMMYFUNCTION("IF
(
G8720=""фізична особа""
,
VLOOKUP(H8720,IMPORTRANGE(""https://docs.google.com/spreadsheets/d/14Bd19lYaqBhU8_DElYkX7l4wRkHqqCUFNJY4AfY3kHU/edit?usp=sharing  #gid=0"",""фіз особи new!relations_name""),6,FALSE)
,
(IF
(
G8720=""юридична особа""
,
VLOOKUP"&amp;"(H8720,IMPORTRANGE(""https://docs.google.com/spreadsheets/d/14Bd19lYaqBhU8_DElYkX7l4wRkHqqCUFNJY4AfY3kHU/edit?usp=sharing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19" s="7" t="s">
        <v>29</v>
      </c>
    </row>
    <row r="8720" spans="1:10" ht="13.2">
      <c r="A8720" s="7">
        <v>8719</v>
      </c>
      <c r="B8720" s="7">
        <v>1</v>
      </c>
      <c r="C8720" s="7" t="s">
        <v>10</v>
      </c>
      <c r="D8720" s="7">
        <v>10639</v>
      </c>
      <c r="E8720" s="7" t="s">
        <v>28</v>
      </c>
      <c r="F8720" s="8" t="str">
        <f ca="1">IFERROR(__xludf.DUMMYFUNCTION("IF
(
C8721=""фізична особа""
,
VLOOKUP(D8721,IMPORTRANGE(""https://docs.google.com/spreadsheets/d/14Bd19lYaqBhU8_DElYkX7l4wRkHqqCUFNJY4AfY3kHU/edit?usp=sharing  #gid=0"",""фіз особи new!relations_name""),6,FALSE)
,
(IF
(
C8721=""юридична особа""
,
VLOOKUP"&amp;"(D8721,IMPORTRANGE(""https://docs.google.com/spreadsheets/d/14Bd19lYaqBhU8_DElYkX7l4wRkHqqCUFNJY4AfY3kHU/edit?usp=sharing  #gid=0"",""фіз особи new!relations_name_uo""),7,FALSE)
,
)
))"),"АВДЄЄВ Роман Олександрович")</f>
        <v>АВДЄЄВ Роман Олександрович</v>
      </c>
      <c r="G8720" s="7" t="s">
        <v>10</v>
      </c>
      <c r="H8720" s="7">
        <v>2960</v>
      </c>
      <c r="I8720" s="8" t="str">
        <f ca="1">IFERROR(__xludf.DUMMYFUNCTION("IF
(
G8721=""фізична особа""
,
VLOOKUP(H8721,IMPORTRANGE(""https://docs.google.com/spreadsheets/d/14Bd19lYaqBhU8_DElYkX7l4wRkHqqCUFNJY4AfY3kHU/edit?usp=sharing  #gid=0"",""фіз особи new!relations_name""),6,FALSE)
,
(IF
(
G8721=""юридична особа""
,
VLOOKUP"&amp;"(H8721,IMPORTRANGE(""https://docs.google.com/spreadsheets/d/14Bd19lYaqBhU8_DElYkX7l4wRkHqqCUFNJY4AfY3kHU/edit?usp=sharing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20" s="7" t="s">
        <v>29</v>
      </c>
    </row>
    <row r="8721" spans="1:10" ht="13.2">
      <c r="A8721" s="7">
        <v>8720</v>
      </c>
      <c r="B8721" s="7">
        <v>1</v>
      </c>
      <c r="C8721" s="7" t="s">
        <v>10</v>
      </c>
      <c r="D8721" s="7">
        <v>10644</v>
      </c>
      <c r="E8721" s="7" t="s">
        <v>28</v>
      </c>
      <c r="F8721" s="8" t="str">
        <f ca="1">IFERROR(__xludf.DUMMYFUNCTION("IF
(
C8722=""фізична особа""
,
VLOOKUP(D8722,IMPORTRANGE(""https://docs.google.com/spreadsheets/d/14Bd19lYaqBhU8_DElYkX7l4wRkHqqCUFNJY4AfY3kHU/edit?usp=sharing  #gid=0"",""фіз особи new!relations_name""),6,FALSE)
,
(IF
(
C8722=""юридична особа""
,
VLOOKUP"&amp;"(D8722,IMPORTRANGE(""https://docs.google.com/spreadsheets/d/14Bd19lYaqBhU8_DElYkX7l4wRkHqqCUFNJY4AfY3kHU/edit?usp=sharing  #gid=0"",""фіз особи new!relations_name_uo""),7,FALSE)
,
)
))"),"КОРНЄВ Олександр Анатолійович")</f>
        <v>КОРНЄВ Олександр Анатолійович</v>
      </c>
      <c r="G8721" s="7" t="s">
        <v>10</v>
      </c>
      <c r="H8721" s="7">
        <v>3029</v>
      </c>
      <c r="I8721" s="8" t="str">
        <f ca="1">IFERROR(__xludf.DUMMYFUNCTION("IF
(
G8722=""фізична особа""
,
VLOOKUP(H8722,IMPORTRANGE(""https://docs.google.com/spreadsheets/d/14Bd19lYaqBhU8_DElYkX7l4wRkHqqCUFNJY4AfY3kHU/edit?usp=sharing  #gid=0"",""фіз особи new!relations_name""),6,FALSE)
,
(IF
(
G8722=""юридична особа""
,
VLOOKUP"&amp;"(H8722,IMPORTRANGE(""https://docs.google.com/spreadsheets/d/14Bd19lYaqBhU8_DElYkX7l4wRkHqqCUFNJY4AfY3kHU/edit?usp=sharing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21" s="7" t="s">
        <v>29</v>
      </c>
    </row>
    <row r="8722" spans="1:10" ht="13.2">
      <c r="A8722" s="7">
        <v>8721</v>
      </c>
      <c r="B8722" s="7">
        <v>1</v>
      </c>
      <c r="C8722" s="7" t="s">
        <v>10</v>
      </c>
      <c r="D8722" s="7">
        <v>10645</v>
      </c>
      <c r="E8722" s="7" t="s">
        <v>28</v>
      </c>
      <c r="F8722" s="8" t="str">
        <f ca="1">IFERROR(__xludf.DUMMYFUNCTION("IF
(
C8723=""фізична особа""
,
VLOOKUP(D8723,IMPORTRANGE(""https://docs.google.com/spreadsheets/d/14Bd19lYaqBhU8_DElYkX7l4wRkHqqCUFNJY4AfY3kHU/edit?usp=sharing  #gid=0"",""фіз особи new!relations_name""),6,FALSE)
,
(IF
(
C8723=""юридична особа""
,
VLOOKUP"&amp;"(D8723,IMPORTRANGE(""https://docs.google.com/spreadsheets/d/14Bd19lYaqBhU8_DElYkX7l4wRkHqqCUFNJY4AfY3kHU/edit?usp=sharing  #gid=0"",""фіз особи new!relations_name_uo""),7,FALSE)
,
)
))"),"ВОПІЛОВСЬКА Лариса Олександрівна")</f>
        <v>ВОПІЛОВСЬКА Лариса Олександрівна</v>
      </c>
      <c r="G8722" s="7" t="s">
        <v>10</v>
      </c>
      <c r="H8722" s="7">
        <v>3029</v>
      </c>
      <c r="I8722" s="8" t="str">
        <f ca="1">IFERROR(__xludf.DUMMYFUNCTION("IF
(
G8723=""фізична особа""
,
VLOOKUP(H8723,IMPORTRANGE(""https://docs.google.com/spreadsheets/d/14Bd19lYaqBhU8_DElYkX7l4wRkHqqCUFNJY4AfY3kHU/edit?usp=sharing  #gid=0"",""фіз особи new!relations_name""),6,FALSE)
,
(IF
(
G8723=""юридична особа""
,
VLOOKUP"&amp;"(H8723,IMPORTRANGE(""https://docs.google.com/spreadsheets/d/14Bd19lYaqBhU8_DElYkX7l4wRkHqqCUFNJY4AfY3kHU/edit?usp=sharing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22" s="7" t="s">
        <v>29</v>
      </c>
    </row>
    <row r="8723" spans="1:10" ht="13.2">
      <c r="A8723" s="7">
        <v>8722</v>
      </c>
      <c r="B8723" s="7">
        <v>1</v>
      </c>
      <c r="C8723" s="7" t="s">
        <v>10</v>
      </c>
      <c r="D8723" s="7">
        <v>10646</v>
      </c>
      <c r="E8723" s="7" t="s">
        <v>28</v>
      </c>
      <c r="F8723" s="8" t="str">
        <f ca="1">IFERROR(__xludf.DUMMYFUNCTION("IF
(
C8724=""фізична особа""
,
VLOOKUP(D8724,IMPORTRANGE(""https://docs.google.com/spreadsheets/d/14Bd19lYaqBhU8_DElYkX7l4wRkHqqCUFNJY4AfY3kHU/edit?usp=sharing  #gid=0"",""фіз особи new!relations_name""),6,FALSE)
,
(IF
(
C8724=""юридична особа""
,
VLOOKUP"&amp;"(D8724,IMPORTRANGE(""https://docs.google.com/spreadsheets/d/14Bd19lYaqBhU8_DElYkX7l4wRkHqqCUFNJY4AfY3kHU/edit?usp=sharing  #gid=0"",""фіз особи new!relations_name_uo""),7,FALSE)
,
)
))"),"ТУЛУШ Світлана Василівна")</f>
        <v>ТУЛУШ Світлана Василівна</v>
      </c>
      <c r="G8723" s="7" t="s">
        <v>10</v>
      </c>
      <c r="H8723" s="7">
        <v>3029</v>
      </c>
      <c r="I8723" s="8" t="str">
        <f ca="1">IFERROR(__xludf.DUMMYFUNCTION("IF
(
G8724=""фізична особа""
,
VLOOKUP(H8724,IMPORTRANGE(""https://docs.google.com/spreadsheets/d/14Bd19lYaqBhU8_DElYkX7l4wRkHqqCUFNJY4AfY3kHU/edit?usp=sharing  #gid=0"",""фіз особи new!relations_name""),6,FALSE)
,
(IF
(
G8724=""юридична особа""
,
VLOOKUP"&amp;"(H8724,IMPORTRANGE(""https://docs.google.com/spreadsheets/d/14Bd19lYaqBhU8_DElYkX7l4wRkHqqCUFNJY4AfY3kHU/edit?usp=sharing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23" s="7" t="s">
        <v>29</v>
      </c>
    </row>
    <row r="8724" spans="1:10" ht="13.2">
      <c r="A8724" s="7">
        <v>8723</v>
      </c>
      <c r="B8724" s="7">
        <v>1</v>
      </c>
      <c r="C8724" s="7" t="s">
        <v>10</v>
      </c>
      <c r="D8724" s="7">
        <v>10647</v>
      </c>
      <c r="E8724" s="7" t="s">
        <v>28</v>
      </c>
      <c r="F8724" s="8" t="str">
        <f ca="1">IFERROR(__xludf.DUMMYFUNCTION("IF
(
C8725=""фізична особа""
,
VLOOKUP(D8725,IMPORTRANGE(""https://docs.google.com/spreadsheets/d/14Bd19lYaqBhU8_DElYkX7l4wRkHqqCUFNJY4AfY3kHU/edit?usp=sharing  #gid=0"",""фіз особи new!relations_name""),6,FALSE)
,
(IF
(
C8725=""юридична особа""
,
VLOOKUP"&amp;"(D8725,IMPORTRANGE(""https://docs.google.com/spreadsheets/d/14Bd19lYaqBhU8_DElYkX7l4wRkHqqCUFNJY4AfY3kHU/edit?usp=sharing  #gid=0"",""фіз особи new!relations_name_uo""),7,FALSE)
,
)
))"),"АНІСІМОВА Ольга Михайлівна")</f>
        <v>АНІСІМОВА Ольга Михайлівна</v>
      </c>
      <c r="G8724" s="7" t="s">
        <v>10</v>
      </c>
      <c r="H8724" s="7">
        <v>3029</v>
      </c>
      <c r="I8724" s="8" t="str">
        <f ca="1">IFERROR(__xludf.DUMMYFUNCTION("IF
(
G8725=""фізична особа""
,
VLOOKUP(H8725,IMPORTRANGE(""https://docs.google.com/spreadsheets/d/14Bd19lYaqBhU8_DElYkX7l4wRkHqqCUFNJY4AfY3kHU/edit?usp=sharing  #gid=0"",""фіз особи new!relations_name""),6,FALSE)
,
(IF
(
G8725=""юридична особа""
,
VLOOKUP"&amp;"(H8725,IMPORTRANGE(""https://docs.google.com/spreadsheets/d/14Bd19lYaqBhU8_DElYkX7l4wRkHqqCUFNJY4AfY3kHU/edit?usp=sharing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24" s="7" t="s">
        <v>29</v>
      </c>
    </row>
    <row r="8725" spans="1:10" ht="13.2">
      <c r="A8725" s="7">
        <v>8724</v>
      </c>
      <c r="B8725" s="7">
        <v>1</v>
      </c>
      <c r="C8725" s="7" t="s">
        <v>10</v>
      </c>
      <c r="D8725" s="7">
        <v>10648</v>
      </c>
      <c r="E8725" s="7" t="s">
        <v>28</v>
      </c>
      <c r="F8725" s="8" t="str">
        <f ca="1">IFERROR(__xludf.DUMMYFUNCTION("IF
(
C8726=""фізична особа""
,
VLOOKUP(D8726,IMPORTRANGE(""https://docs.google.com/spreadsheets/d/14Bd19lYaqBhU8_DElYkX7l4wRkHqqCUFNJY4AfY3kHU/edit?usp=sharing  #gid=0"",""фіз особи new!relations_name""),6,FALSE)
,
(IF
(
C8726=""юридична особа""
,
VLOOKUP"&amp;"(D8726,IMPORTRANGE(""https://docs.google.com/spreadsheets/d/14Bd19lYaqBhU8_DElYkX7l4wRkHqqCUFNJY4AfY3kHU/edit?usp=sharing  #gid=0"",""фіз особи new!relations_name_uo""),7,FALSE)
,
)
))"),"КАЛАШНІКОВ Юрій Вікторович")</f>
        <v>КАЛАШНІКОВ Юрій Вікторович</v>
      </c>
      <c r="G8725" s="7" t="s">
        <v>10</v>
      </c>
      <c r="H8725" s="7">
        <v>3029</v>
      </c>
      <c r="I8725" s="8" t="str">
        <f ca="1">IFERROR(__xludf.DUMMYFUNCTION("IF
(
G8726=""фізична особа""
,
VLOOKUP(H8726,IMPORTRANGE(""https://docs.google.com/spreadsheets/d/14Bd19lYaqBhU8_DElYkX7l4wRkHqqCUFNJY4AfY3kHU/edit?usp=sharing  #gid=0"",""фіз особи new!relations_name""),6,FALSE)
,
(IF
(
G8726=""юридична особа""
,
VLOOKUP"&amp;"(H8726,IMPORTRANGE(""https://docs.google.com/spreadsheets/d/14Bd19lYaqBhU8_DElYkX7l4wRkHqqCUFNJY4AfY3kHU/edit?usp=sharing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25" s="7" t="s">
        <v>29</v>
      </c>
    </row>
    <row r="8726" spans="1:10" ht="13.2">
      <c r="A8726" s="7">
        <v>8725</v>
      </c>
      <c r="B8726" s="7">
        <v>1</v>
      </c>
      <c r="C8726" s="7" t="s">
        <v>10</v>
      </c>
      <c r="D8726" s="7">
        <v>10649</v>
      </c>
      <c r="E8726" s="7" t="s">
        <v>28</v>
      </c>
      <c r="F8726" s="8" t="str">
        <f ca="1">IFERROR(__xludf.DUMMYFUNCTION("IF
(
C8727=""фізична особа""
,
VLOOKUP(D8727,IMPORTRANGE(""https://docs.google.com/spreadsheets/d/14Bd19lYaqBhU8_DElYkX7l4wRkHqqCUFNJY4AfY3kHU/edit?usp=sharing  #gid=0"",""фіз особи new!relations_name""),6,FALSE)
,
(IF
(
C8727=""юридична особа""
,
VLOOKUP"&amp;"(D8727,IMPORTRANGE(""https://docs.google.com/spreadsheets/d/14Bd19lYaqBhU8_DElYkX7l4wRkHqqCUFNJY4AfY3kHU/edit?usp=sharing  #gid=0"",""фіз особи new!relations_name_uo""),7,FALSE)
,
)
))"),"АСТАХОВ Вахтанг Геннадійович")</f>
        <v>АСТАХОВ Вахтанг Геннадійович</v>
      </c>
      <c r="G8726" s="7" t="s">
        <v>10</v>
      </c>
      <c r="H8726" s="7">
        <v>2960</v>
      </c>
      <c r="I8726" s="8" t="str">
        <f ca="1">IFERROR(__xludf.DUMMYFUNCTION("IF
(
G8727=""фізична особа""
,
VLOOKUP(H8727,IMPORTRANGE(""https://docs.google.com/spreadsheets/d/14Bd19lYaqBhU8_DElYkX7l4wRkHqqCUFNJY4AfY3kHU/edit?usp=sharing  #gid=0"",""фіз особи new!relations_name""),6,FALSE)
,
(IF
(
G8727=""юридична особа""
,
VLOOKUP"&amp;"(H8727,IMPORTRANGE(""https://docs.google.com/spreadsheets/d/14Bd19lYaqBhU8_DElYkX7l4wRkHqqCUFNJY4AfY3kHU/edit?usp=sharing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26" s="7" t="s">
        <v>29</v>
      </c>
    </row>
    <row r="8727" spans="1:10" ht="13.2">
      <c r="A8727" s="7">
        <v>8726</v>
      </c>
      <c r="B8727" s="7">
        <v>1</v>
      </c>
      <c r="C8727" s="7" t="s">
        <v>10</v>
      </c>
      <c r="D8727" s="7">
        <v>10650</v>
      </c>
      <c r="E8727" s="7" t="s">
        <v>28</v>
      </c>
      <c r="F8727" s="8" t="str">
        <f ca="1">IFERROR(__xludf.DUMMYFUNCTION("IF
(
C8728=""фізична особа""
,
VLOOKUP(D8728,IMPORTRANGE(""https://docs.google.com/spreadsheets/d/14Bd19lYaqBhU8_DElYkX7l4wRkHqqCUFNJY4AfY3kHU/edit?usp=sharing  #gid=0"",""фіз особи new!relations_name""),6,FALSE)
,
(IF
(
C8728=""юридична особа""
,
VLOOKUP"&amp;"(D8728,IMPORTRANGE(""https://docs.google.com/spreadsheets/d/14Bd19lYaqBhU8_DElYkX7l4wRkHqqCUFNJY4AfY3kHU/edit?usp=sharing  #gid=0"",""фіз особи new!relations_name_uo""),7,FALSE)
,
)
))"),"КАЗЬМІНА Марина Вікторівна")</f>
        <v>КАЗЬМІНА Марина Вікторівна</v>
      </c>
      <c r="G8727" s="7" t="s">
        <v>10</v>
      </c>
      <c r="H8727" s="7">
        <v>2960</v>
      </c>
      <c r="I8727" s="8" t="str">
        <f ca="1">IFERROR(__xludf.DUMMYFUNCTION("IF
(
G8728=""фізична особа""
,
VLOOKUP(H8728,IMPORTRANGE(""https://docs.google.com/spreadsheets/d/14Bd19lYaqBhU8_DElYkX7l4wRkHqqCUFNJY4AfY3kHU/edit?usp=sharing  #gid=0"",""фіз особи new!relations_name""),6,FALSE)
,
(IF
(
G8728=""юридична особа""
,
VLOOKUP"&amp;"(H8728,IMPORTRANGE(""https://docs.google.com/spreadsheets/d/14Bd19lYaqBhU8_DElYkX7l4wRkHqqCUFNJY4AfY3kHU/edit?usp=sharing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27" s="7" t="s">
        <v>29</v>
      </c>
    </row>
    <row r="8728" spans="1:10" ht="13.2">
      <c r="A8728" s="7">
        <v>8727</v>
      </c>
      <c r="B8728" s="7">
        <v>1</v>
      </c>
      <c r="C8728" s="7" t="s">
        <v>10</v>
      </c>
      <c r="D8728" s="7">
        <v>10651</v>
      </c>
      <c r="E8728" s="7" t="s">
        <v>28</v>
      </c>
      <c r="F8728" s="8" t="str">
        <f ca="1">IFERROR(__xludf.DUMMYFUNCTION("IF
(
C8729=""фізична особа""
,
VLOOKUP(D8729,IMPORTRANGE(""https://docs.google.com/spreadsheets/d/14Bd19lYaqBhU8_DElYkX7l4wRkHqqCUFNJY4AfY3kHU/edit?usp=sharing  #gid=0"",""фіз особи new!relations_name""),6,FALSE)
,
(IF
(
C8729=""юридична особа""
,
VLOOKUP"&amp;"(D8729,IMPORTRANGE(""https://docs.google.com/spreadsheets/d/14Bd19lYaqBhU8_DElYkX7l4wRkHqqCUFNJY4AfY3kHU/edit?usp=sharing  #gid=0"",""фіз особи new!relations_name_uo""),7,FALSE)
,
)
))"),"ПОНОМАРЬОВ Микола Миколайович")</f>
        <v>ПОНОМАРЬОВ Микола Миколайович</v>
      </c>
      <c r="G8728" s="7" t="s">
        <v>10</v>
      </c>
      <c r="H8728" s="7">
        <v>2960</v>
      </c>
      <c r="I8728" s="8" t="str">
        <f ca="1">IFERROR(__xludf.DUMMYFUNCTION("IF
(
G8729=""фізична особа""
,
VLOOKUP(H8729,IMPORTRANGE(""https://docs.google.com/spreadsheets/d/14Bd19lYaqBhU8_DElYkX7l4wRkHqqCUFNJY4AfY3kHU/edit?usp=sharing  #gid=0"",""фіз особи new!relations_name""),6,FALSE)
,
(IF
(
G8729=""юридична особа""
,
VLOOKUP"&amp;"(H8729,IMPORTRANGE(""https://docs.google.com/spreadsheets/d/14Bd19lYaqBhU8_DElYkX7l4wRkHqqCUFNJY4AfY3kHU/edit?usp=sharing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28" s="7" t="s">
        <v>29</v>
      </c>
    </row>
    <row r="8729" spans="1:10" ht="13.2">
      <c r="A8729" s="7">
        <v>8728</v>
      </c>
      <c r="B8729" s="7">
        <v>1</v>
      </c>
      <c r="C8729" s="7" t="s">
        <v>10</v>
      </c>
      <c r="D8729" s="7">
        <v>10652</v>
      </c>
      <c r="E8729" s="7" t="s">
        <v>28</v>
      </c>
      <c r="F8729" s="8" t="str">
        <f ca="1">IFERROR(__xludf.DUMMYFUNCTION("IF
(
C8730=""фізична особа""
,
VLOOKUP(D8730,IMPORTRANGE(""https://docs.google.com/spreadsheets/d/14Bd19lYaqBhU8_DElYkX7l4wRkHqqCUFNJY4AfY3kHU/edit?usp=sharing  #gid=0"",""фіз особи new!relations_name""),6,FALSE)
,
(IF
(
C8730=""юридична особа""
,
VLOOKUP"&amp;"(D8730,IMPORTRANGE(""https://docs.google.com/spreadsheets/d/14Bd19lYaqBhU8_DElYkX7l4wRkHqqCUFNJY4AfY3kHU/edit?usp=sharing  #gid=0"",""фіз особи new!relations_name_uo""),7,FALSE)
,
)
))"),"ШАНТІНА Ірина Володимирівна")</f>
        <v>ШАНТІНА Ірина Володимирівна</v>
      </c>
      <c r="G8729" s="7" t="s">
        <v>10</v>
      </c>
      <c r="H8729" s="7">
        <v>2960</v>
      </c>
      <c r="I8729" s="8" t="str">
        <f ca="1">IFERROR(__xludf.DUMMYFUNCTION("IF
(
G8730=""фізична особа""
,
VLOOKUP(H8730,IMPORTRANGE(""https://docs.google.com/spreadsheets/d/14Bd19lYaqBhU8_DElYkX7l4wRkHqqCUFNJY4AfY3kHU/edit?usp=sharing  #gid=0"",""фіз особи new!relations_name""),6,FALSE)
,
(IF
(
G8730=""юридична особа""
,
VLOOKUP"&amp;"(H8730,IMPORTRANGE(""https://docs.google.com/spreadsheets/d/14Bd19lYaqBhU8_DElYkX7l4wRkHqqCUFNJY4AfY3kHU/edit?usp=sharing  #gid=0"",""фіз особи new!relations_name_uo""),7,FALSE)
,
)
))"),"КИРИЛОВ Дмитро Михайлович")</f>
        <v>КИРИЛОВ Дмитро Михайлович</v>
      </c>
      <c r="J8729" s="7" t="s">
        <v>29</v>
      </c>
    </row>
    <row r="8730" spans="1:10" ht="13.2">
      <c r="A8730" s="7">
        <v>8729</v>
      </c>
      <c r="B8730" s="7">
        <v>1</v>
      </c>
      <c r="C8730" s="7" t="s">
        <v>10</v>
      </c>
      <c r="D8730" s="7">
        <v>10653</v>
      </c>
      <c r="E8730" s="7" t="s">
        <v>28</v>
      </c>
      <c r="F8730" s="8" t="str">
        <f ca="1">IFERROR(__xludf.DUMMYFUNCTION("IF
(
C8731=""фізична особа""
,
VLOOKUP(D8731,IMPORTRANGE(""https://docs.google.com/spreadsheets/d/14Bd19lYaqBhU8_DElYkX7l4wRkHqqCUFNJY4AfY3kHU/edit?usp=sharing  #gid=0"",""фіз особи new!relations_name""),6,FALSE)
,
(IF
(
C8731=""юридична особа""
,
VLOOKUP"&amp;"(D8731,IMPORTRANGE(""https://docs.google.com/spreadsheets/d/14Bd19lYaqBhU8_DElYkX7l4wRkHqqCUFNJY4AfY3kHU/edit?usp=sharing  #gid=0"",""фіз особи new!relations_name_uo""),7,FALSE)
,
)
))"),"ГОЛДОБІНА Тетяна Володимирівна")</f>
        <v>ГОЛДОБІНА Тетяна Володимирівна</v>
      </c>
      <c r="G8730" s="7" t="s">
        <v>10</v>
      </c>
      <c r="H8730" s="7">
        <v>3029</v>
      </c>
      <c r="I8730" s="8" t="str">
        <f ca="1">IFERROR(__xludf.DUMMYFUNCTION("IF
(
G8731=""фізична особа""
,
VLOOKUP(H8731,IMPORTRANGE(""https://docs.google.com/spreadsheets/d/14Bd19lYaqBhU8_DElYkX7l4wRkHqqCUFNJY4AfY3kHU/edit?usp=sharing  #gid=0"",""фіз особи new!relations_name""),6,FALSE)
,
(IF
(
G8731=""юридична особа""
,
VLOOKUP"&amp;"(H8731,IMPORTRANGE(""https://docs.google.com/spreadsheets/d/14Bd19lYaqBhU8_DElYkX7l4wRkHqqCUFNJY4AfY3kHU/edit?usp=sharing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0" s="7" t="s">
        <v>29</v>
      </c>
    </row>
    <row r="8731" spans="1:10" ht="13.2">
      <c r="A8731" s="7">
        <v>8730</v>
      </c>
      <c r="B8731" s="7">
        <v>1</v>
      </c>
      <c r="C8731" s="7" t="s">
        <v>10</v>
      </c>
      <c r="D8731" s="7">
        <v>10654</v>
      </c>
      <c r="E8731" s="7" t="s">
        <v>28</v>
      </c>
      <c r="F8731" s="8" t="str">
        <f ca="1">IFERROR(__xludf.DUMMYFUNCTION("IF
(
C8732=""фізична особа""
,
VLOOKUP(D8732,IMPORTRANGE(""https://docs.google.com/spreadsheets/d/14Bd19lYaqBhU8_DElYkX7l4wRkHqqCUFNJY4AfY3kHU/edit?usp=sharing  #gid=0"",""фіз особи new!relations_name""),6,FALSE)
,
(IF
(
C8732=""юридична особа""
,
VLOOKUP"&amp;"(D8732,IMPORTRANGE(""https://docs.google.com/spreadsheets/d/14Bd19lYaqBhU8_DElYkX7l4wRkHqqCUFNJY4AfY3kHU/edit?usp=sharing  #gid=0"",""фіз особи new!relations_name_uo""),7,FALSE)
,
)
))"),"ЖЕРДЄВ Віктор Петрович")</f>
        <v>ЖЕРДЄВ Віктор Петрович</v>
      </c>
      <c r="G8731" s="7" t="s">
        <v>10</v>
      </c>
      <c r="H8731" s="7">
        <v>3029</v>
      </c>
      <c r="I8731" s="8" t="str">
        <f ca="1">IFERROR(__xludf.DUMMYFUNCTION("IF
(
G8732=""фізична особа""
,
VLOOKUP(H8732,IMPORTRANGE(""https://docs.google.com/spreadsheets/d/14Bd19lYaqBhU8_DElYkX7l4wRkHqqCUFNJY4AfY3kHU/edit?usp=sharing  #gid=0"",""фіз особи new!relations_name""),6,FALSE)
,
(IF
(
G8732=""юридична особа""
,
VLOOKUP"&amp;"(H8732,IMPORTRANGE(""https://docs.google.com/spreadsheets/d/14Bd19lYaqBhU8_DElYkX7l4wRkHqqCUFNJY4AfY3kHU/edit?usp=sharing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1" s="7" t="s">
        <v>29</v>
      </c>
    </row>
    <row r="8732" spans="1:10" ht="13.2">
      <c r="A8732" s="7">
        <v>8731</v>
      </c>
      <c r="B8732" s="7">
        <v>1</v>
      </c>
      <c r="C8732" s="7" t="s">
        <v>10</v>
      </c>
      <c r="D8732" s="7">
        <v>10655</v>
      </c>
      <c r="E8732" s="7" t="s">
        <v>28</v>
      </c>
      <c r="F8732" s="8" t="str">
        <f ca="1">IFERROR(__xludf.DUMMYFUNCTION("IF
(
C8733=""фізична особа""
,
VLOOKUP(D8733,IMPORTRANGE(""https://docs.google.com/spreadsheets/d/14Bd19lYaqBhU8_DElYkX7l4wRkHqqCUFNJY4AfY3kHU/edit?usp=sharing  #gid=0"",""фіз особи new!relations_name""),6,FALSE)
,
(IF
(
C8733=""юридична особа""
,
VLOOKUP"&amp;"(D8733,IMPORTRANGE(""https://docs.google.com/spreadsheets/d/14Bd19lYaqBhU8_DElYkX7l4wRkHqqCUFNJY4AfY3kHU/edit?usp=sharing  #gid=0"",""фіз особи new!relations_name_uo""),7,FALSE)
,
)
))"),"ТЮРІНА Ольга Анатоліївна")</f>
        <v>ТЮРІНА Ольга Анатоліївна</v>
      </c>
      <c r="G8732" s="7" t="s">
        <v>10</v>
      </c>
      <c r="H8732" s="7">
        <v>3029</v>
      </c>
      <c r="I8732" s="8" t="str">
        <f ca="1">IFERROR(__xludf.DUMMYFUNCTION("IF
(
G8733=""фізична особа""
,
VLOOKUP(H8733,IMPORTRANGE(""https://docs.google.com/spreadsheets/d/14Bd19lYaqBhU8_DElYkX7l4wRkHqqCUFNJY4AfY3kHU/edit?usp=sharing  #gid=0"",""фіз особи new!relations_name""),6,FALSE)
,
(IF
(
G8733=""юридична особа""
,
VLOOKUP"&amp;"(H8733,IMPORTRANGE(""https://docs.google.com/spreadsheets/d/14Bd19lYaqBhU8_DElYkX7l4wRkHqqCUFNJY4AfY3kHU/edit?usp=sharing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2" s="7" t="s">
        <v>29</v>
      </c>
    </row>
    <row r="8733" spans="1:10" ht="13.2">
      <c r="A8733" s="7">
        <v>8732</v>
      </c>
      <c r="B8733" s="7">
        <v>1</v>
      </c>
      <c r="C8733" s="7" t="s">
        <v>10</v>
      </c>
      <c r="D8733" s="7">
        <v>10656</v>
      </c>
      <c r="E8733" s="7" t="s">
        <v>28</v>
      </c>
      <c r="F8733" s="8" t="str">
        <f ca="1">IFERROR(__xludf.DUMMYFUNCTION("IF
(
C8734=""фізична особа""
,
VLOOKUP(D8734,IMPORTRANGE(""https://docs.google.com/spreadsheets/d/14Bd19lYaqBhU8_DElYkX7l4wRkHqqCUFNJY4AfY3kHU/edit?usp=sharing  #gid=0"",""фіз особи new!relations_name""),6,FALSE)
,
(IF
(
C8734=""юридична особа""
,
VLOOKUP"&amp;"(D8734,IMPORTRANGE(""https://docs.google.com/spreadsheets/d/14Bd19lYaqBhU8_DElYkX7l4wRkHqqCUFNJY4AfY3kHU/edit?usp=sharing  #gid=0"",""фіз особи new!relations_name_uo""),7,FALSE)
,
)
))"),"РЯГУЗОВА Світлана Євгенівна")</f>
        <v>РЯГУЗОВА Світлана Євгенівна</v>
      </c>
      <c r="G8733" s="7" t="s">
        <v>10</v>
      </c>
      <c r="H8733" s="7">
        <v>3029</v>
      </c>
      <c r="I8733" s="8" t="str">
        <f ca="1">IFERROR(__xludf.DUMMYFUNCTION("IF
(
G8734=""фізична особа""
,
VLOOKUP(H8734,IMPORTRANGE(""https://docs.google.com/spreadsheets/d/14Bd19lYaqBhU8_DElYkX7l4wRkHqqCUFNJY4AfY3kHU/edit?usp=sharing  #gid=0"",""фіз особи new!relations_name""),6,FALSE)
,
(IF
(
G8734=""юридична особа""
,
VLOOKUP"&amp;"(H8734,IMPORTRANGE(""https://docs.google.com/spreadsheets/d/14Bd19lYaqBhU8_DElYkX7l4wRkHqqCUFNJY4AfY3kHU/edit?usp=sharing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3" s="7" t="s">
        <v>29</v>
      </c>
    </row>
    <row r="8734" spans="1:10" ht="13.2">
      <c r="A8734" s="7">
        <v>8733</v>
      </c>
      <c r="B8734" s="7">
        <v>1</v>
      </c>
      <c r="C8734" s="7" t="s">
        <v>10</v>
      </c>
      <c r="D8734" s="7">
        <v>10657</v>
      </c>
      <c r="E8734" s="7" t="s">
        <v>28</v>
      </c>
      <c r="F8734" s="8" t="str">
        <f ca="1">IFERROR(__xludf.DUMMYFUNCTION("IF
(
C8735=""фізична особа""
,
VLOOKUP(D8735,IMPORTRANGE(""https://docs.google.com/spreadsheets/d/14Bd19lYaqBhU8_DElYkX7l4wRkHqqCUFNJY4AfY3kHU/edit?usp=sharing  #gid=0"",""фіз особи new!relations_name""),6,FALSE)
,
(IF
(
C8735=""юридична особа""
,
VLOOKUP"&amp;"(D8735,IMPORTRANGE(""https://docs.google.com/spreadsheets/d/14Bd19lYaqBhU8_DElYkX7l4wRkHqqCUFNJY4AfY3kHU/edit?usp=sharing  #gid=0"",""фіз особи new!relations_name_uo""),7,FALSE)
,
)
))"),"ОГУРЦОВА Наталія Миколаївна")</f>
        <v>ОГУРЦОВА Наталія Миколаївна</v>
      </c>
      <c r="G8734" s="7" t="s">
        <v>10</v>
      </c>
      <c r="H8734" s="7">
        <v>2946</v>
      </c>
      <c r="I8734" s="8" t="str">
        <f ca="1">IFERROR(__xludf.DUMMYFUNCTION("IF
(
G8735=""фізична особа""
,
VLOOKUP(H8735,IMPORTRANGE(""https://docs.google.com/spreadsheets/d/14Bd19lYaqBhU8_DElYkX7l4wRkHqqCUFNJY4AfY3kHU/edit?usp=sharing  #gid=0"",""фіз особи new!relations_name""),6,FALSE)
,
(IF
(
G8735=""юридична особа""
,
VLOOKUP"&amp;"(H8735,IMPORTRANGE(""https://docs.google.com/spreadsheets/d/14Bd19lYaqBhU8_DElYkX7l4wRkHqqCUFNJY4AfY3kHU/edit?usp=sharing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34" s="7" t="s">
        <v>29</v>
      </c>
    </row>
    <row r="8735" spans="1:10" ht="13.2">
      <c r="A8735" s="7">
        <v>8734</v>
      </c>
      <c r="B8735" s="7">
        <v>1</v>
      </c>
      <c r="C8735" s="7" t="s">
        <v>10</v>
      </c>
      <c r="D8735" s="7">
        <v>10658</v>
      </c>
      <c r="E8735" s="7" t="s">
        <v>28</v>
      </c>
      <c r="F8735" s="8" t="str">
        <f ca="1">IFERROR(__xludf.DUMMYFUNCTION("IF
(
C8736=""фізична особа""
,
VLOOKUP(D8736,IMPORTRANGE(""https://docs.google.com/spreadsheets/d/14Bd19lYaqBhU8_DElYkX7l4wRkHqqCUFNJY4AfY3kHU/edit?usp=sharing  #gid=0"",""фіз особи new!relations_name""),6,FALSE)
,
(IF
(
C8736=""юридична особа""
,
VLOOKUP"&amp;"(D8736,IMPORTRANGE(""https://docs.google.com/spreadsheets/d/14Bd19lYaqBhU8_DElYkX7l4wRkHqqCUFNJY4AfY3kHU/edit?usp=sharing  #gid=0"",""фіз особи new!relations_name_uo""),7,FALSE)
,
)
))"),"ЧАПЛІН Сергій Олександрович")</f>
        <v>ЧАПЛІН Сергій Олександрович</v>
      </c>
      <c r="G8735" s="7" t="s">
        <v>10</v>
      </c>
      <c r="H8735" s="7">
        <v>3029</v>
      </c>
      <c r="I8735" s="8" t="str">
        <f ca="1">IFERROR(__xludf.DUMMYFUNCTION("IF
(
G8736=""фізична особа""
,
VLOOKUP(H8736,IMPORTRANGE(""https://docs.google.com/spreadsheets/d/14Bd19lYaqBhU8_DElYkX7l4wRkHqqCUFNJY4AfY3kHU/edit?usp=sharing  #gid=0"",""фіз особи new!relations_name""),6,FALSE)
,
(IF
(
G8736=""юридична особа""
,
VLOOKUP"&amp;"(H8736,IMPORTRANGE(""https://docs.google.com/spreadsheets/d/14Bd19lYaqBhU8_DElYkX7l4wRkHqqCUFNJY4AfY3kHU/edit?usp=sharing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5" s="7" t="s">
        <v>29</v>
      </c>
    </row>
    <row r="8736" spans="1:10" ht="13.2">
      <c r="A8736" s="7">
        <v>8735</v>
      </c>
      <c r="B8736" s="7">
        <v>1</v>
      </c>
      <c r="C8736" s="7" t="s">
        <v>10</v>
      </c>
      <c r="D8736" s="7">
        <v>10659</v>
      </c>
      <c r="E8736" s="7" t="s">
        <v>28</v>
      </c>
      <c r="F8736" s="8" t="str">
        <f ca="1">IFERROR(__xludf.DUMMYFUNCTION("IF
(
C8737=""фізична особа""
,
VLOOKUP(D8737,IMPORTRANGE(""https://docs.google.com/spreadsheets/d/14Bd19lYaqBhU8_DElYkX7l4wRkHqqCUFNJY4AfY3kHU/edit?usp=sharing  #gid=0"",""фіз особи new!relations_name""),6,FALSE)
,
(IF
(
C8737=""юридична особа""
,
VLOOKUP"&amp;"(D8737,IMPORTRANGE(""https://docs.google.com/spreadsheets/d/14Bd19lYaqBhU8_DElYkX7l4wRkHqqCUFNJY4AfY3kHU/edit?usp=sharing  #gid=0"",""фіз особи new!relations_name_uo""),7,FALSE)
,
)
))"),"ЗОЛОТКОВА Олена Григорівна")</f>
        <v>ЗОЛОТКОВА Олена Григорівна</v>
      </c>
      <c r="G8736" s="7" t="s">
        <v>10</v>
      </c>
      <c r="H8736" s="7">
        <v>3029</v>
      </c>
      <c r="I8736" s="8" t="str">
        <f ca="1">IFERROR(__xludf.DUMMYFUNCTION("IF
(
G8737=""фізична особа""
,
VLOOKUP(H8737,IMPORTRANGE(""https://docs.google.com/spreadsheets/d/14Bd19lYaqBhU8_DElYkX7l4wRkHqqCUFNJY4AfY3kHU/edit?usp=sharing  #gid=0"",""фіз особи new!relations_name""),6,FALSE)
,
(IF
(
G8737=""юридична особа""
,
VLOOKUP"&amp;"(H8737,IMPORTRANGE(""https://docs.google.com/spreadsheets/d/14Bd19lYaqBhU8_DElYkX7l4wRkHqqCUFNJY4AfY3kHU/edit?usp=sharing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6" s="7" t="s">
        <v>29</v>
      </c>
    </row>
    <row r="8737" spans="1:10" ht="13.2">
      <c r="A8737" s="7">
        <v>8736</v>
      </c>
      <c r="B8737" s="7">
        <v>1</v>
      </c>
      <c r="C8737" s="7" t="s">
        <v>10</v>
      </c>
      <c r="D8737" s="7">
        <v>10660</v>
      </c>
      <c r="E8737" s="7" t="s">
        <v>28</v>
      </c>
      <c r="F8737" s="8" t="str">
        <f ca="1">IFERROR(__xludf.DUMMYFUNCTION("IF
(
C8738=""фізична особа""
,
VLOOKUP(D8738,IMPORTRANGE(""https://docs.google.com/spreadsheets/d/14Bd19lYaqBhU8_DElYkX7l4wRkHqqCUFNJY4AfY3kHU/edit?usp=sharing  #gid=0"",""фіз особи new!relations_name""),6,FALSE)
,
(IF
(
C8738=""юридична особа""
,
VLOOKUP"&amp;"(D8738,IMPORTRANGE(""https://docs.google.com/spreadsheets/d/14Bd19lYaqBhU8_DElYkX7l4wRkHqqCUFNJY4AfY3kHU/edit?usp=sharing  #gid=0"",""фіз особи new!relations_name_uo""),7,FALSE)
,
)
))"),"ЧЕРНИШЕВ Володимир Володимирович")</f>
        <v>ЧЕРНИШЕВ Володимир Володимирович</v>
      </c>
      <c r="G8737" s="7" t="s">
        <v>10</v>
      </c>
      <c r="H8737" s="7">
        <v>2946</v>
      </c>
      <c r="I8737" s="8" t="str">
        <f ca="1">IFERROR(__xludf.DUMMYFUNCTION("IF
(
G8738=""фізична особа""
,
VLOOKUP(H8738,IMPORTRANGE(""https://docs.google.com/spreadsheets/d/14Bd19lYaqBhU8_DElYkX7l4wRkHqqCUFNJY4AfY3kHU/edit?usp=sharing  #gid=0"",""фіз особи new!relations_name""),6,FALSE)
,
(IF
(
G8738=""юридична особа""
,
VLOOKUP"&amp;"(H8738,IMPORTRANGE(""https://docs.google.com/spreadsheets/d/14Bd19lYaqBhU8_DElYkX7l4wRkHqqCUFNJY4AfY3kHU/edit?usp=sharing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37" s="7" t="s">
        <v>29</v>
      </c>
    </row>
    <row r="8738" spans="1:10" ht="13.2">
      <c r="A8738" s="7">
        <v>8737</v>
      </c>
      <c r="B8738" s="7">
        <v>1</v>
      </c>
      <c r="C8738" s="7" t="s">
        <v>10</v>
      </c>
      <c r="D8738" s="7">
        <v>10661</v>
      </c>
      <c r="E8738" s="7" t="s">
        <v>28</v>
      </c>
      <c r="F8738" s="8" t="str">
        <f ca="1">IFERROR(__xludf.DUMMYFUNCTION("IF
(
C8739=""фізична особа""
,
VLOOKUP(D8739,IMPORTRANGE(""https://docs.google.com/spreadsheets/d/14Bd19lYaqBhU8_DElYkX7l4wRkHqqCUFNJY4AfY3kHU/edit?usp=sharing  #gid=0"",""фіз особи new!relations_name""),6,FALSE)
,
(IF
(
C8739=""юридична особа""
,
VLOOKUP"&amp;"(D8739,IMPORTRANGE(""https://docs.google.com/spreadsheets/d/14Bd19lYaqBhU8_DElYkX7l4wRkHqqCUFNJY4AfY3kHU/edit?usp=sharing  #gid=0"",""фіз особи new!relations_name_uo""),7,FALSE)
,
)
))"),"НІКІФОРОВА Марина Іванівна")</f>
        <v>НІКІФОРОВА Марина Іванівна</v>
      </c>
      <c r="G8738" s="7" t="s">
        <v>10</v>
      </c>
      <c r="H8738" s="7">
        <v>3029</v>
      </c>
      <c r="I8738" s="8" t="str">
        <f ca="1">IFERROR(__xludf.DUMMYFUNCTION("IF
(
G8739=""фізична особа""
,
VLOOKUP(H8739,IMPORTRANGE(""https://docs.google.com/spreadsheets/d/14Bd19lYaqBhU8_DElYkX7l4wRkHqqCUFNJY4AfY3kHU/edit?usp=sharing  #gid=0"",""фіз особи new!relations_name""),6,FALSE)
,
(IF
(
G8739=""юридична особа""
,
VLOOKUP"&amp;"(H8739,IMPORTRANGE(""https://docs.google.com/spreadsheets/d/14Bd19lYaqBhU8_DElYkX7l4wRkHqqCUFNJY4AfY3kHU/edit?usp=sharing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8" s="7" t="s">
        <v>29</v>
      </c>
    </row>
    <row r="8739" spans="1:10" ht="13.2">
      <c r="A8739" s="7">
        <v>8738</v>
      </c>
      <c r="B8739" s="7">
        <v>1</v>
      </c>
      <c r="C8739" s="7" t="s">
        <v>10</v>
      </c>
      <c r="D8739" s="7">
        <v>10662</v>
      </c>
      <c r="E8739" s="7" t="s">
        <v>28</v>
      </c>
      <c r="F8739" s="8" t="str">
        <f ca="1">IFERROR(__xludf.DUMMYFUNCTION("IF
(
C8740=""фізична особа""
,
VLOOKUP(D8740,IMPORTRANGE(""https://docs.google.com/spreadsheets/d/14Bd19lYaqBhU8_DElYkX7l4wRkHqqCUFNJY4AfY3kHU/edit?usp=sharing  #gid=0"",""фіз особи new!relations_name""),6,FALSE)
,
(IF
(
C8740=""юридична особа""
,
VLOOKUP"&amp;"(D8740,IMPORTRANGE(""https://docs.google.com/spreadsheets/d/14Bd19lYaqBhU8_DElYkX7l4wRkHqqCUFNJY4AfY3kHU/edit?usp=sharing  #gid=0"",""фіз особи new!relations_name_uo""),7,FALSE)
,
)
))"),"БУВАТІНОВ Дольган Іванович")</f>
        <v>БУВАТІНОВ Дольган Іванович</v>
      </c>
      <c r="G8739" s="7" t="s">
        <v>10</v>
      </c>
      <c r="H8739" s="7">
        <v>3029</v>
      </c>
      <c r="I8739" s="8" t="str">
        <f ca="1">IFERROR(__xludf.DUMMYFUNCTION("IF
(
G8740=""фізична особа""
,
VLOOKUP(H8740,IMPORTRANGE(""https://docs.google.com/spreadsheets/d/14Bd19lYaqBhU8_DElYkX7l4wRkHqqCUFNJY4AfY3kHU/edit?usp=sharing  #gid=0"",""фіз особи new!relations_name""),6,FALSE)
,
(IF
(
G8740=""юридична особа""
,
VLOOKUP"&amp;"(H8740,IMPORTRANGE(""https://docs.google.com/spreadsheets/d/14Bd19lYaqBhU8_DElYkX7l4wRkHqqCUFNJY4AfY3kHU/edit?usp=sharing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39" s="7" t="s">
        <v>29</v>
      </c>
    </row>
    <row r="8740" spans="1:10" ht="13.2">
      <c r="A8740" s="7">
        <v>8739</v>
      </c>
      <c r="B8740" s="7">
        <v>1</v>
      </c>
      <c r="C8740" s="7" t="s">
        <v>10</v>
      </c>
      <c r="D8740" s="7">
        <v>10663</v>
      </c>
      <c r="E8740" s="7" t="s">
        <v>28</v>
      </c>
      <c r="F8740" s="8" t="str">
        <f ca="1">IFERROR(__xludf.DUMMYFUNCTION("IF
(
C8741=""фізична особа""
,
VLOOKUP(D8741,IMPORTRANGE(""https://docs.google.com/spreadsheets/d/14Bd19lYaqBhU8_DElYkX7l4wRkHqqCUFNJY4AfY3kHU/edit?usp=sharing  #gid=0"",""фіз особи new!relations_name""),6,FALSE)
,
(IF
(
C8741=""юридична особа""
,
VLOOKUP"&amp;"(D8741,IMPORTRANGE(""https://docs.google.com/spreadsheets/d/14Bd19lYaqBhU8_DElYkX7l4wRkHqqCUFNJY4AfY3kHU/edit?usp=sharing  #gid=0"",""фіз особи new!relations_name_uo""),7,FALSE)
,
)
))"),"ЄЛІЗАР'ЄВА Марина Юріївна")</f>
        <v>ЄЛІЗАР'ЄВА Марина Юріївна</v>
      </c>
      <c r="G8740" s="7" t="s">
        <v>10</v>
      </c>
      <c r="H8740" s="7">
        <v>2946</v>
      </c>
      <c r="I8740" s="8" t="str">
        <f ca="1">IFERROR(__xludf.DUMMYFUNCTION("IF
(
G8741=""фізична особа""
,
VLOOKUP(H8741,IMPORTRANGE(""https://docs.google.com/spreadsheets/d/14Bd19lYaqBhU8_DElYkX7l4wRkHqqCUFNJY4AfY3kHU/edit?usp=sharing  #gid=0"",""фіз особи new!relations_name""),6,FALSE)
,
(IF
(
G8741=""юридична особа""
,
VLOOKUP"&amp;"(H8741,IMPORTRANGE(""https://docs.google.com/spreadsheets/d/14Bd19lYaqBhU8_DElYkX7l4wRkHqqCUFNJY4AfY3kHU/edit?usp=sharing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40" s="7" t="s">
        <v>29</v>
      </c>
    </row>
    <row r="8741" spans="1:10" ht="13.2">
      <c r="A8741" s="7">
        <v>8740</v>
      </c>
      <c r="B8741" s="7">
        <v>1</v>
      </c>
      <c r="C8741" s="7" t="s">
        <v>10</v>
      </c>
      <c r="D8741" s="7">
        <v>10664</v>
      </c>
      <c r="E8741" s="7" t="s">
        <v>28</v>
      </c>
      <c r="F8741" s="8" t="str">
        <f ca="1">IFERROR(__xludf.DUMMYFUNCTION("IF
(
C8742=""фізична особа""
,
VLOOKUP(D8742,IMPORTRANGE(""https://docs.google.com/spreadsheets/d/14Bd19lYaqBhU8_DElYkX7l4wRkHqqCUFNJY4AfY3kHU/edit?usp=sharing  #gid=0"",""фіз особи new!relations_name""),6,FALSE)
,
(IF
(
C8742=""юридична особа""
,
VLOOKUP"&amp;"(D8742,IMPORTRANGE(""https://docs.google.com/spreadsheets/d/14Bd19lYaqBhU8_DElYkX7l4wRkHqqCUFNJY4AfY3kHU/edit?usp=sharing  #gid=0"",""фіз особи new!relations_name_uo""),7,FALSE)
,
)
))"),"ДОЛГОВ Олександр Олександрович")</f>
        <v>ДОЛГОВ Олександр Олександрович</v>
      </c>
      <c r="G8741" s="7" t="s">
        <v>10</v>
      </c>
      <c r="H8741" s="7">
        <v>3029</v>
      </c>
      <c r="I8741" s="8" t="str">
        <f ca="1">IFERROR(__xludf.DUMMYFUNCTION("IF
(
G8742=""фізична особа""
,
VLOOKUP(H8742,IMPORTRANGE(""https://docs.google.com/spreadsheets/d/14Bd19lYaqBhU8_DElYkX7l4wRkHqqCUFNJY4AfY3kHU/edit?usp=sharing  #gid=0"",""фіз особи new!relations_name""),6,FALSE)
,
(IF
(
G8742=""юридична особа""
,
VLOOKUP"&amp;"(H8742,IMPORTRANGE(""https://docs.google.com/spreadsheets/d/14Bd19lYaqBhU8_DElYkX7l4wRkHqqCUFNJY4AfY3kHU/edit?usp=sharing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8741" s="7" t="s">
        <v>29</v>
      </c>
    </row>
    <row r="8742" spans="1:10" ht="13.2">
      <c r="A8742" s="7">
        <v>8741</v>
      </c>
      <c r="B8742" s="7">
        <v>1</v>
      </c>
      <c r="C8742" s="7" t="s">
        <v>10</v>
      </c>
      <c r="D8742" s="7">
        <v>10665</v>
      </c>
      <c r="E8742" s="7" t="s">
        <v>28</v>
      </c>
      <c r="F8742" s="8" t="str">
        <f ca="1">IFERROR(__xludf.DUMMYFUNCTION("IF
(
C8743=""фізична особа""
,
VLOOKUP(D8743,IMPORTRANGE(""https://docs.google.com/spreadsheets/d/14Bd19lYaqBhU8_DElYkX7l4wRkHqqCUFNJY4AfY3kHU/edit?usp=sharing  #gid=0"",""фіз особи new!relations_name""),6,FALSE)
,
(IF
(
C8743=""юридична особа""
,
VLOOKUP"&amp;"(D8743,IMPORTRANGE(""https://docs.google.com/spreadsheets/d/14Bd19lYaqBhU8_DElYkX7l4wRkHqqCUFNJY4AfY3kHU/edit?usp=sharing  #gid=0"",""фіз особи new!relations_name_uo""),7,FALSE)
,
)
))"),"БЄЛОВА Тетяна Михайлівна")</f>
        <v>БЄЛОВА Тетяна Михайлівна</v>
      </c>
      <c r="G8742" s="7" t="s">
        <v>10</v>
      </c>
      <c r="H8742" s="7">
        <v>2946</v>
      </c>
      <c r="I8742" s="8" t="str">
        <f ca="1">IFERROR(__xludf.DUMMYFUNCTION("IF
(
G8743=""фізична особа""
,
VLOOKUP(H8743,IMPORTRANGE(""https://docs.google.com/spreadsheets/d/14Bd19lYaqBhU8_DElYkX7l4wRkHqqCUFNJY4AfY3kHU/edit?usp=sharing  #gid=0"",""фіз особи new!relations_name""),6,FALSE)
,
(IF
(
G8743=""юридична особа""
,
VLOOKUP"&amp;"(H8743,IMPORTRANGE(""https://docs.google.com/spreadsheets/d/14Bd19lYaqBhU8_DElYkX7l4wRkHqqCUFNJY4AfY3kHU/edit?usp=sharing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42" s="7" t="s">
        <v>29</v>
      </c>
    </row>
    <row r="8743" spans="1:10" ht="13.2">
      <c r="A8743" s="7">
        <v>8742</v>
      </c>
      <c r="B8743" s="7">
        <v>1</v>
      </c>
      <c r="C8743" s="7" t="s">
        <v>10</v>
      </c>
      <c r="D8743" s="7">
        <v>10666</v>
      </c>
      <c r="E8743" s="7" t="s">
        <v>28</v>
      </c>
      <c r="F8743" s="8" t="str">
        <f ca="1">IFERROR(__xludf.DUMMYFUNCTION("IF
(
C8744=""фізична особа""
,
VLOOKUP(D8744,IMPORTRANGE(""https://docs.google.com/spreadsheets/d/14Bd19lYaqBhU8_DElYkX7l4wRkHqqCUFNJY4AfY3kHU/edit?usp=sharing  #gid=0"",""фіз особи new!relations_name""),6,FALSE)
,
(IF
(
C8744=""юридична особа""
,
VLOOKUP"&amp;"(D8744,IMPORTRANGE(""https://docs.google.com/spreadsheets/d/14Bd19lYaqBhU8_DElYkX7l4wRkHqqCUFNJY4AfY3kHU/edit?usp=sharing  #gid=0"",""фіз особи new!relations_name_uo""),7,FALSE)
,
)
))"),"РОЖКОВА Ірина Володимирівна")</f>
        <v>РОЖКОВА Ірина Володимирівна</v>
      </c>
      <c r="G8743" s="7" t="s">
        <v>10</v>
      </c>
      <c r="H8743" s="7">
        <v>2946</v>
      </c>
      <c r="I8743" s="8" t="str">
        <f ca="1">IFERROR(__xludf.DUMMYFUNCTION("IF
(
G8744=""фізична особа""
,
VLOOKUP(H8744,IMPORTRANGE(""https://docs.google.com/spreadsheets/d/14Bd19lYaqBhU8_DElYkX7l4wRkHqqCUFNJY4AfY3kHU/edit?usp=sharing  #gid=0"",""фіз особи new!relations_name""),6,FALSE)
,
(IF
(
G8744=""юридична особа""
,
VLOOKUP"&amp;"(H8744,IMPORTRANGE(""https://docs.google.com/spreadsheets/d/14Bd19lYaqBhU8_DElYkX7l4wRkHqqCUFNJY4AfY3kHU/edit?usp=sharing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43" s="7" t="s">
        <v>29</v>
      </c>
    </row>
    <row r="8744" spans="1:10" ht="13.2">
      <c r="A8744" s="7">
        <v>8743</v>
      </c>
      <c r="B8744" s="7">
        <v>1</v>
      </c>
      <c r="C8744" s="7" t="s">
        <v>10</v>
      </c>
      <c r="D8744" s="7">
        <v>10667</v>
      </c>
      <c r="E8744" s="7" t="s">
        <v>28</v>
      </c>
      <c r="F8744" s="8" t="str">
        <f ca="1">IFERROR(__xludf.DUMMYFUNCTION("IF
(
C8745=""фізична особа""
,
VLOOKUP(D8745,IMPORTRANGE(""https://docs.google.com/spreadsheets/d/14Bd19lYaqBhU8_DElYkX7l4wRkHqqCUFNJY4AfY3kHU/edit?usp=sharing  #gid=0"",""фіз особи new!relations_name""),6,FALSE)
,
(IF
(
C8745=""юридична особа""
,
VLOOKUP"&amp;"(D8745,IMPORTRANGE(""https://docs.google.com/spreadsheets/d/14Bd19lYaqBhU8_DElYkX7l4wRkHqqCUFNJY4AfY3kHU/edit?usp=sharing  #gid=0"",""фіз особи new!relations_name_uo""),7,FALSE)
,
)
))"),"ХОЛОДОВ Олексій Вікторович")</f>
        <v>ХОЛОДОВ Олексій Вікторович</v>
      </c>
      <c r="G8744" s="7" t="s">
        <v>10</v>
      </c>
      <c r="H8744" s="7">
        <v>2946</v>
      </c>
      <c r="I8744" s="8" t="str">
        <f ca="1">IFERROR(__xludf.DUMMYFUNCTION("IF
(
G8745=""фізична особа""
,
VLOOKUP(H8745,IMPORTRANGE(""https://docs.google.com/spreadsheets/d/14Bd19lYaqBhU8_DElYkX7l4wRkHqqCUFNJY4AfY3kHU/edit?usp=sharing  #gid=0"",""фіз особи new!relations_name""),6,FALSE)
,
(IF
(
G8745=""юридична особа""
,
VLOOKUP"&amp;"(H8745,IMPORTRANGE(""https://docs.google.com/spreadsheets/d/14Bd19lYaqBhU8_DElYkX7l4wRkHqqCUFNJY4AfY3kHU/edit?usp=sharing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44" s="7" t="s">
        <v>29</v>
      </c>
    </row>
    <row r="8745" spans="1:10" ht="13.2">
      <c r="A8745" s="7">
        <v>8744</v>
      </c>
      <c r="B8745" s="7">
        <v>1</v>
      </c>
      <c r="C8745" s="7" t="s">
        <v>10</v>
      </c>
      <c r="D8745" s="7">
        <v>10668</v>
      </c>
      <c r="E8745" s="7" t="s">
        <v>28</v>
      </c>
      <c r="F8745" s="8" t="str">
        <f ca="1">IFERROR(__xludf.DUMMYFUNCTION("IF
(
C8746=""фізична особа""
,
VLOOKUP(D8746,IMPORTRANGE(""https://docs.google.com/spreadsheets/d/14Bd19lYaqBhU8_DElYkX7l4wRkHqqCUFNJY4AfY3kHU/edit?usp=sharing  #gid=0"",""фіз особи new!relations_name""),6,FALSE)
,
(IF
(
C8746=""юридична особа""
,
VLOOKUP"&amp;"(D8746,IMPORTRANGE(""https://docs.google.com/spreadsheets/d/14Bd19lYaqBhU8_DElYkX7l4wRkHqqCUFNJY4AfY3kHU/edit?usp=sharing  #gid=0"",""фіз особи new!relations_name_uo""),7,FALSE)
,
)
))"),"КЛОЧКОВА Олена Миколаївна")</f>
        <v>КЛОЧКОВА Олена Миколаївна</v>
      </c>
      <c r="G8745" s="7" t="s">
        <v>10</v>
      </c>
      <c r="H8745" s="7">
        <v>15580</v>
      </c>
      <c r="I8745" s="8" t="str">
        <f ca="1">IFERROR(__xludf.DUMMYFUNCTION("IF
(
G8746=""фізична особа""
,
VLOOKUP(H8746,IMPORTRANGE(""https://docs.google.com/spreadsheets/d/14Bd19lYaqBhU8_DElYkX7l4wRkHqqCUFNJY4AfY3kHU/edit?usp=sharing  #gid=0"",""фіз особи new!relations_name""),6,FALSE)
,
(IF
(
G8746=""юридична особа""
,
VLOOKUP"&amp;"(H8746,IMPORTRANGE(""https://docs.google.com/spreadsheets/d/14Bd19lYaqBhU8_DElYkX7l4wRkHqqCUFNJY4AfY3kHU/edit?usp=sharing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45" s="7" t="s">
        <v>29</v>
      </c>
    </row>
    <row r="8746" spans="1:10" ht="13.2">
      <c r="A8746" s="7">
        <v>8745</v>
      </c>
      <c r="B8746" s="7">
        <v>1</v>
      </c>
      <c r="C8746" s="7" t="s">
        <v>10</v>
      </c>
      <c r="D8746" s="7">
        <v>10669</v>
      </c>
      <c r="E8746" s="7" t="s">
        <v>28</v>
      </c>
      <c r="F8746" s="8" t="str">
        <f ca="1">IFERROR(__xludf.DUMMYFUNCTION("IF
(
C8747=""фізична особа""
,
VLOOKUP(D8747,IMPORTRANGE(""https://docs.google.com/spreadsheets/d/14Bd19lYaqBhU8_DElYkX7l4wRkHqqCUFNJY4AfY3kHU/edit?usp=sharing  #gid=0"",""фіз особи new!relations_name""),6,FALSE)
,
(IF
(
C8747=""юридична особа""
,
VLOOKUP"&amp;"(D8747,IMPORTRANGE(""https://docs.google.com/spreadsheets/d/14Bd19lYaqBhU8_DElYkX7l4wRkHqqCUFNJY4AfY3kHU/edit?usp=sharing  #gid=0"",""фіз особи new!relations_name_uo""),7,FALSE)
,
)
))"),"ОКСЕНОЙТ Георгій Костянтинович")</f>
        <v>ОКСЕНОЙТ Георгій Костянтинович</v>
      </c>
      <c r="G8746" s="7" t="s">
        <v>10</v>
      </c>
      <c r="H8746" s="7">
        <v>15580</v>
      </c>
      <c r="I8746" s="8" t="str">
        <f ca="1">IFERROR(__xludf.DUMMYFUNCTION("IF
(
G8747=""фізична особа""
,
VLOOKUP(H8747,IMPORTRANGE(""https://docs.google.com/spreadsheets/d/14Bd19lYaqBhU8_DElYkX7l4wRkHqqCUFNJY4AfY3kHU/edit?usp=sharing  #gid=0"",""фіз особи new!relations_name""),6,FALSE)
,
(IF
(
G8747=""юридична особа""
,
VLOOKUP"&amp;"(H8747,IMPORTRANGE(""https://docs.google.com/spreadsheets/d/14Bd19lYaqBhU8_DElYkX7l4wRkHqqCUFNJY4AfY3kHU/edit?usp=sharing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46" s="7" t="s">
        <v>29</v>
      </c>
    </row>
    <row r="8747" spans="1:10" ht="13.2">
      <c r="A8747" s="7">
        <v>8746</v>
      </c>
      <c r="B8747" s="7">
        <v>1</v>
      </c>
      <c r="C8747" s="7" t="s">
        <v>10</v>
      </c>
      <c r="D8747" s="7">
        <v>10670</v>
      </c>
      <c r="E8747" s="7" t="s">
        <v>28</v>
      </c>
      <c r="F8747" s="8" t="str">
        <f ca="1">IFERROR(__xludf.DUMMYFUNCTION("IF
(
C8748=""фізична особа""
,
VLOOKUP(D8748,IMPORTRANGE(""https://docs.google.com/spreadsheets/d/14Bd19lYaqBhU8_DElYkX7l4wRkHqqCUFNJY4AfY3kHU/edit?usp=sharing  #gid=0"",""фіз особи new!relations_name""),6,FALSE)
,
(IF
(
C8748=""юридична особа""
,
VLOOKUP"&amp;"(D8748,IMPORTRANGE(""https://docs.google.com/spreadsheets/d/14Bd19lYaqBhU8_DElYkX7l4wRkHqqCUFNJY4AfY3kHU/edit?usp=sharing  #gid=0"",""фіз особи new!relations_name_uo""),7,FALSE)
,
)
))"),"ЗАРУБІНА Олена Володимирівна")</f>
        <v>ЗАРУБІНА Олена Володимирівна</v>
      </c>
      <c r="G8747" s="7" t="s">
        <v>10</v>
      </c>
      <c r="H8747" s="7">
        <v>15580</v>
      </c>
      <c r="I8747" s="8" t="str">
        <f ca="1">IFERROR(__xludf.DUMMYFUNCTION("IF
(
G8748=""фізична особа""
,
VLOOKUP(H8748,IMPORTRANGE(""https://docs.google.com/spreadsheets/d/14Bd19lYaqBhU8_DElYkX7l4wRkHqqCUFNJY4AfY3kHU/edit?usp=sharing  #gid=0"",""фіз особи new!relations_name""),6,FALSE)
,
(IF
(
G8748=""юридична особа""
,
VLOOKUP"&amp;"(H8748,IMPORTRANGE(""https://docs.google.com/spreadsheets/d/14Bd19lYaqBhU8_DElYkX7l4wRkHqqCUFNJY4AfY3kHU/edit?usp=sharing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47" s="7" t="s">
        <v>29</v>
      </c>
    </row>
    <row r="8748" spans="1:10" ht="13.2">
      <c r="A8748" s="7">
        <v>8747</v>
      </c>
      <c r="B8748" s="7">
        <v>1</v>
      </c>
      <c r="C8748" s="7" t="s">
        <v>10</v>
      </c>
      <c r="D8748" s="7">
        <v>10671</v>
      </c>
      <c r="E8748" s="7" t="s">
        <v>28</v>
      </c>
      <c r="F8748" s="8" t="str">
        <f ca="1">IFERROR(__xludf.DUMMYFUNCTION("IF
(
C8749=""фізична особа""
,
VLOOKUP(D8749,IMPORTRANGE(""https://docs.google.com/spreadsheets/d/14Bd19lYaqBhU8_DElYkX7l4wRkHqqCUFNJY4AfY3kHU/edit?usp=sharing  #gid=0"",""фіз особи new!relations_name""),6,FALSE)
,
(IF
(
C8749=""юридична особа""
,
VLOOKUP"&amp;"(D8749,IMPORTRANGE(""https://docs.google.com/spreadsheets/d/14Bd19lYaqBhU8_DElYkX7l4wRkHqqCUFNJY4AfY3kHU/edit?usp=sharing  #gid=0"",""фіз особи new!relations_name_uo""),7,FALSE)
,
)
))"),"ШВАКОВА Юлія Олександрівна")</f>
        <v>ШВАКОВА Юлія Олександрівна</v>
      </c>
      <c r="G8748" s="7" t="s">
        <v>10</v>
      </c>
      <c r="H8748" s="7">
        <v>15580</v>
      </c>
      <c r="I8748" s="8" t="str">
        <f ca="1">IFERROR(__xludf.DUMMYFUNCTION("IF
(
G8749=""фізична особа""
,
VLOOKUP(H8749,IMPORTRANGE(""https://docs.google.com/spreadsheets/d/14Bd19lYaqBhU8_DElYkX7l4wRkHqqCUFNJY4AfY3kHU/edit?usp=sharing  #gid=0"",""фіз особи new!relations_name""),6,FALSE)
,
(IF
(
G8749=""юридична особа""
,
VLOOKUP"&amp;"(H8749,IMPORTRANGE(""https://docs.google.com/spreadsheets/d/14Bd19lYaqBhU8_DElYkX7l4wRkHqqCUFNJY4AfY3kHU/edit?usp=sharing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48" s="7" t="s">
        <v>29</v>
      </c>
    </row>
    <row r="8749" spans="1:10" ht="13.2">
      <c r="A8749" s="7">
        <v>8748</v>
      </c>
      <c r="B8749" s="7">
        <v>1</v>
      </c>
      <c r="C8749" s="7" t="s">
        <v>10</v>
      </c>
      <c r="D8749" s="7">
        <v>10672</v>
      </c>
      <c r="E8749" s="7" t="s">
        <v>28</v>
      </c>
      <c r="F8749" s="8" t="str">
        <f ca="1">IFERROR(__xludf.DUMMYFUNCTION("IF
(
C8750=""фізична особа""
,
VLOOKUP(D8750,IMPORTRANGE(""https://docs.google.com/spreadsheets/d/14Bd19lYaqBhU8_DElYkX7l4wRkHqqCUFNJY4AfY3kHU/edit?usp=sharing  #gid=0"",""фіз особи new!relations_name""),6,FALSE)
,
(IF
(
C8750=""юридична особа""
,
VLOOKUP"&amp;"(D8750,IMPORTRANGE(""https://docs.google.com/spreadsheets/d/14Bd19lYaqBhU8_DElYkX7l4wRkHqqCUFNJY4AfY3kHU/edit?usp=sharing  #gid=0"",""фіз особи new!relations_name_uo""),7,FALSE)
,
)
))"),"ЯКОВЛЄВА Світлана Львівна")</f>
        <v>ЯКОВЛЄВА Світлана Львівна</v>
      </c>
      <c r="G8749" s="7" t="s">
        <v>10</v>
      </c>
      <c r="H8749" s="7">
        <v>15580</v>
      </c>
      <c r="I8749" s="8" t="str">
        <f ca="1">IFERROR(__xludf.DUMMYFUNCTION("IF
(
G8750=""фізична особа""
,
VLOOKUP(H8750,IMPORTRANGE(""https://docs.google.com/spreadsheets/d/14Bd19lYaqBhU8_DElYkX7l4wRkHqqCUFNJY4AfY3kHU/edit?usp=sharing  #gid=0"",""фіз особи new!relations_name""),6,FALSE)
,
(IF
(
G8750=""юридична особа""
,
VLOOKUP"&amp;"(H8750,IMPORTRANGE(""https://docs.google.com/spreadsheets/d/14Bd19lYaqBhU8_DElYkX7l4wRkHqqCUFNJY4AfY3kHU/edit?usp=sharing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49" s="7" t="s">
        <v>29</v>
      </c>
    </row>
    <row r="8750" spans="1:10" ht="13.2">
      <c r="A8750" s="7">
        <v>8749</v>
      </c>
      <c r="B8750" s="7">
        <v>1</v>
      </c>
      <c r="C8750" s="7" t="s">
        <v>10</v>
      </c>
      <c r="D8750" s="7">
        <v>10673</v>
      </c>
      <c r="E8750" s="7" t="s">
        <v>28</v>
      </c>
      <c r="F8750" s="8" t="str">
        <f ca="1">IFERROR(__xludf.DUMMYFUNCTION("IF
(
C8751=""фізична особа""
,
VLOOKUP(D8751,IMPORTRANGE(""https://docs.google.com/spreadsheets/d/14Bd19lYaqBhU8_DElYkX7l4wRkHqqCUFNJY4AfY3kHU/edit?usp=sharing  #gid=0"",""фіз особи new!relations_name""),6,FALSE)
,
(IF
(
C8751=""юридична особа""
,
VLOOKUP"&amp;"(D8751,IMPORTRANGE(""https://docs.google.com/spreadsheets/d/14Bd19lYaqBhU8_DElYkX7l4wRkHqqCUFNJY4AfY3kHU/edit?usp=sharing  #gid=0"",""фіз особи new!relations_name_uo""),7,FALSE)
,
)
))"),"ХОРЄВА Людмила Анатоліївна")</f>
        <v>ХОРЄВА Людмила Анатоліївна</v>
      </c>
      <c r="G8750" s="7" t="s">
        <v>10</v>
      </c>
      <c r="H8750" s="7">
        <v>15580</v>
      </c>
      <c r="I8750" s="8" t="str">
        <f ca="1">IFERROR(__xludf.DUMMYFUNCTION("IF
(
G8751=""фізична особа""
,
VLOOKUP(H8751,IMPORTRANGE(""https://docs.google.com/spreadsheets/d/14Bd19lYaqBhU8_DElYkX7l4wRkHqqCUFNJY4AfY3kHU/edit?usp=sharing  #gid=0"",""фіз особи new!relations_name""),6,FALSE)
,
(IF
(
G8751=""юридична особа""
,
VLOOKUP"&amp;"(H8751,IMPORTRANGE(""https://docs.google.com/spreadsheets/d/14Bd19lYaqBhU8_DElYkX7l4wRkHqqCUFNJY4AfY3kHU/edit?usp=sharing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0" s="7" t="s">
        <v>29</v>
      </c>
    </row>
    <row r="8751" spans="1:10" ht="13.2">
      <c r="A8751" s="7">
        <v>8750</v>
      </c>
      <c r="B8751" s="7">
        <v>1</v>
      </c>
      <c r="C8751" s="7" t="s">
        <v>10</v>
      </c>
      <c r="D8751" s="7">
        <v>10674</v>
      </c>
      <c r="E8751" s="7" t="s">
        <v>28</v>
      </c>
      <c r="F8751" s="8" t="str">
        <f ca="1">IFERROR(__xludf.DUMMYFUNCTION("IF
(
C8752=""фізична особа""
,
VLOOKUP(D8752,IMPORTRANGE(""https://docs.google.com/spreadsheets/d/14Bd19lYaqBhU8_DElYkX7l4wRkHqqCUFNJY4AfY3kHU/edit?usp=sharing  #gid=0"",""фіз особи new!relations_name""),6,FALSE)
,
(IF
(
C8752=""юридична особа""
,
VLOOKUP"&amp;"(D8752,IMPORTRANGE(""https://docs.google.com/spreadsheets/d/14Bd19lYaqBhU8_DElYkX7l4wRkHqqCUFNJY4AfY3kHU/edit?usp=sharing  #gid=0"",""фіз особи new!relations_name_uo""),7,FALSE)
,
)
))"),"НІКІТІНА Світлана Юріївна")</f>
        <v>НІКІТІНА Світлана Юріївна</v>
      </c>
      <c r="G8751" s="7" t="s">
        <v>10</v>
      </c>
      <c r="H8751" s="7">
        <v>15580</v>
      </c>
      <c r="I8751" s="8" t="str">
        <f ca="1">IFERROR(__xludf.DUMMYFUNCTION("IF
(
G8752=""фізична особа""
,
VLOOKUP(H8752,IMPORTRANGE(""https://docs.google.com/spreadsheets/d/14Bd19lYaqBhU8_DElYkX7l4wRkHqqCUFNJY4AfY3kHU/edit?usp=sharing  #gid=0"",""фіз особи new!relations_name""),6,FALSE)
,
(IF
(
G8752=""юридична особа""
,
VLOOKUP"&amp;"(H8752,IMPORTRANGE(""https://docs.google.com/spreadsheets/d/14Bd19lYaqBhU8_DElYkX7l4wRkHqqCUFNJY4AfY3kHU/edit?usp=sharing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1" s="7" t="s">
        <v>29</v>
      </c>
    </row>
    <row r="8752" spans="1:10" ht="13.2">
      <c r="A8752" s="7">
        <v>8751</v>
      </c>
      <c r="B8752" s="7">
        <v>1</v>
      </c>
      <c r="C8752" s="7" t="s">
        <v>10</v>
      </c>
      <c r="D8752" s="7">
        <v>10675</v>
      </c>
      <c r="E8752" s="7" t="s">
        <v>28</v>
      </c>
      <c r="F8752" s="8" t="str">
        <f ca="1">IFERROR(__xludf.DUMMYFUNCTION("IF
(
C8753=""фізична особа""
,
VLOOKUP(D8753,IMPORTRANGE(""https://docs.google.com/spreadsheets/d/14Bd19lYaqBhU8_DElYkX7l4wRkHqqCUFNJY4AfY3kHU/edit?usp=sharing  #gid=0"",""фіз особи new!relations_name""),6,FALSE)
,
(IF
(
C8753=""юридична особа""
,
VLOOKUP"&amp;"(D8753,IMPORTRANGE(""https://docs.google.com/spreadsheets/d/14Bd19lYaqBhU8_DElYkX7l4wRkHqqCUFNJY4AfY3kHU/edit?usp=sharing  #gid=0"",""фіз особи new!relations_name_uo""),7,FALSE)
,
)
))"),"ДУДОРОВА Ольга Юріївна")</f>
        <v>ДУДОРОВА Ольга Юріївна</v>
      </c>
      <c r="G8752" s="7" t="s">
        <v>10</v>
      </c>
      <c r="H8752" s="7">
        <v>15580</v>
      </c>
      <c r="I8752" s="8" t="str">
        <f ca="1">IFERROR(__xludf.DUMMYFUNCTION("IF
(
G8753=""фізична особа""
,
VLOOKUP(H8753,IMPORTRANGE(""https://docs.google.com/spreadsheets/d/14Bd19lYaqBhU8_DElYkX7l4wRkHqqCUFNJY4AfY3kHU/edit?usp=sharing  #gid=0"",""фіз особи new!relations_name""),6,FALSE)
,
(IF
(
G8753=""юридична особа""
,
VLOOKUP"&amp;"(H8753,IMPORTRANGE(""https://docs.google.com/spreadsheets/d/14Bd19lYaqBhU8_DElYkX7l4wRkHqqCUFNJY4AfY3kHU/edit?usp=sharing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2" s="7" t="s">
        <v>29</v>
      </c>
    </row>
    <row r="8753" spans="1:10" ht="13.2">
      <c r="A8753" s="7">
        <v>8752</v>
      </c>
      <c r="B8753" s="7">
        <v>1</v>
      </c>
      <c r="C8753" s="7" t="s">
        <v>10</v>
      </c>
      <c r="D8753" s="7">
        <v>10676</v>
      </c>
      <c r="E8753" s="7" t="s">
        <v>28</v>
      </c>
      <c r="F8753" s="8" t="str">
        <f ca="1">IFERROR(__xludf.DUMMYFUNCTION("IF
(
C8754=""фізична особа""
,
VLOOKUP(D8754,IMPORTRANGE(""https://docs.google.com/spreadsheets/d/14Bd19lYaqBhU8_DElYkX7l4wRkHqqCUFNJY4AfY3kHU/edit?usp=sharing  #gid=0"",""фіз особи new!relations_name""),6,FALSE)
,
(IF
(
C8754=""юридична особа""
,
VLOOKUP"&amp;"(D8754,IMPORTRANGE(""https://docs.google.com/spreadsheets/d/14Bd19lYaqBhU8_DElYkX7l4wRkHqqCUFNJY4AfY3kHU/edit?usp=sharing  #gid=0"",""фіз особи new!relations_name_uo""),7,FALSE)
,
)
))"),"САВОЧКІНА Олена Анатоліївна")</f>
        <v>САВОЧКІНА Олена Анатоліївна</v>
      </c>
      <c r="G8753" s="7" t="s">
        <v>10</v>
      </c>
      <c r="H8753" s="7">
        <v>15580</v>
      </c>
      <c r="I8753" s="8" t="str">
        <f ca="1">IFERROR(__xludf.DUMMYFUNCTION("IF
(
G8754=""фізична особа""
,
VLOOKUP(H8754,IMPORTRANGE(""https://docs.google.com/spreadsheets/d/14Bd19lYaqBhU8_DElYkX7l4wRkHqqCUFNJY4AfY3kHU/edit?usp=sharing  #gid=0"",""фіз особи new!relations_name""),6,FALSE)
,
(IF
(
G8754=""юридична особа""
,
VLOOKUP"&amp;"(H8754,IMPORTRANGE(""https://docs.google.com/spreadsheets/d/14Bd19lYaqBhU8_DElYkX7l4wRkHqqCUFNJY4AfY3kHU/edit?usp=sharing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3" s="7" t="s">
        <v>29</v>
      </c>
    </row>
    <row r="8754" spans="1:10" ht="13.2">
      <c r="A8754" s="7">
        <v>8753</v>
      </c>
      <c r="B8754" s="7">
        <v>1</v>
      </c>
      <c r="C8754" s="7" t="s">
        <v>10</v>
      </c>
      <c r="D8754" s="7">
        <v>10677</v>
      </c>
      <c r="E8754" s="7" t="s">
        <v>28</v>
      </c>
      <c r="F8754" s="8" t="str">
        <f ca="1">IFERROR(__xludf.DUMMYFUNCTION("IF
(
C8755=""фізична особа""
,
VLOOKUP(D8755,IMPORTRANGE(""https://docs.google.com/spreadsheets/d/14Bd19lYaqBhU8_DElYkX7l4wRkHqqCUFNJY4AfY3kHU/edit?usp=sharing  #gid=0"",""фіз особи new!relations_name""),6,FALSE)
,
(IF
(
C8755=""юридична особа""
,
VLOOKUP"&amp;"(D8755,IMPORTRANGE(""https://docs.google.com/spreadsheets/d/14Bd19lYaqBhU8_DElYkX7l4wRkHqqCUFNJY4AfY3kHU/edit?usp=sharing  #gid=0"",""фіз особи new!relations_name_uo""),7,FALSE)
,
)
))"),"КЛЄВАКІНА Марина Петрівна")</f>
        <v>КЛЄВАКІНА Марина Петрівна</v>
      </c>
      <c r="G8754" s="7" t="s">
        <v>10</v>
      </c>
      <c r="H8754" s="7">
        <v>15580</v>
      </c>
      <c r="I8754" s="8" t="str">
        <f ca="1">IFERROR(__xludf.DUMMYFUNCTION("IF
(
G8755=""фізична особа""
,
VLOOKUP(H8755,IMPORTRANGE(""https://docs.google.com/spreadsheets/d/14Bd19lYaqBhU8_DElYkX7l4wRkHqqCUFNJY4AfY3kHU/edit?usp=sharing  #gid=0"",""фіз особи new!relations_name""),6,FALSE)
,
(IF
(
G8755=""юридична особа""
,
VLOOKUP"&amp;"(H8755,IMPORTRANGE(""https://docs.google.com/spreadsheets/d/14Bd19lYaqBhU8_DElYkX7l4wRkHqqCUFNJY4AfY3kHU/edit?usp=sharing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4" s="7" t="s">
        <v>29</v>
      </c>
    </row>
    <row r="8755" spans="1:10" ht="13.2">
      <c r="A8755" s="7">
        <v>8754</v>
      </c>
      <c r="B8755" s="7">
        <v>1</v>
      </c>
      <c r="C8755" s="7" t="s">
        <v>10</v>
      </c>
      <c r="D8755" s="7">
        <v>10678</v>
      </c>
      <c r="E8755" s="7" t="s">
        <v>28</v>
      </c>
      <c r="F8755" s="8" t="str">
        <f ca="1">IFERROR(__xludf.DUMMYFUNCTION("IF
(
C8756=""фізична особа""
,
VLOOKUP(D8756,IMPORTRANGE(""https://docs.google.com/spreadsheets/d/14Bd19lYaqBhU8_DElYkX7l4wRkHqqCUFNJY4AfY3kHU/edit?usp=sharing  #gid=0"",""фіз особи new!relations_name""),6,FALSE)
,
(IF
(
C8756=""юридична особа""
,
VLOOKUP"&amp;"(D8756,IMPORTRANGE(""https://docs.google.com/spreadsheets/d/14Bd19lYaqBhU8_DElYkX7l4wRkHqqCUFNJY4AfY3kHU/edit?usp=sharing  #gid=0"",""фіз особи new!relations_name_uo""),7,FALSE)
,
)
))"),"ВЛАСЕНКО Ніна Олексіївна")</f>
        <v>ВЛАСЕНКО Ніна Олексіївна</v>
      </c>
      <c r="G8755" s="7" t="s">
        <v>10</v>
      </c>
      <c r="H8755" s="7">
        <v>15580</v>
      </c>
      <c r="I8755" s="8" t="str">
        <f ca="1">IFERROR(__xludf.DUMMYFUNCTION("IF
(
G8756=""фізична особа""
,
VLOOKUP(H8756,IMPORTRANGE(""https://docs.google.com/spreadsheets/d/14Bd19lYaqBhU8_DElYkX7l4wRkHqqCUFNJY4AfY3kHU/edit?usp=sharing  #gid=0"",""фіз особи new!relations_name""),6,FALSE)
,
(IF
(
G8756=""юридична особа""
,
VLOOKUP"&amp;"(H8756,IMPORTRANGE(""https://docs.google.com/spreadsheets/d/14Bd19lYaqBhU8_DElYkX7l4wRkHqqCUFNJY4AfY3kHU/edit?usp=sharing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5" s="7" t="s">
        <v>29</v>
      </c>
    </row>
    <row r="8756" spans="1:10" ht="13.2">
      <c r="A8756" s="7">
        <v>8755</v>
      </c>
      <c r="B8756" s="7">
        <v>1</v>
      </c>
      <c r="C8756" s="7" t="s">
        <v>10</v>
      </c>
      <c r="D8756" s="7">
        <v>10679</v>
      </c>
      <c r="E8756" s="7" t="s">
        <v>28</v>
      </c>
      <c r="F8756" s="8" t="str">
        <f ca="1">IFERROR(__xludf.DUMMYFUNCTION("IF
(
C8757=""фізична особа""
,
VLOOKUP(D8757,IMPORTRANGE(""https://docs.google.com/spreadsheets/d/14Bd19lYaqBhU8_DElYkX7l4wRkHqqCUFNJY4AfY3kHU/edit?usp=sharing  #gid=0"",""фіз особи new!relations_name""),6,FALSE)
,
(IF
(
C8757=""юридична особа""
,
VLOOKUP"&amp;"(D8757,IMPORTRANGE(""https://docs.google.com/spreadsheets/d/14Bd19lYaqBhU8_DElYkX7l4wRkHqqCUFNJY4AfY3kHU/edit?usp=sharing  #gid=0"",""фіз особи new!relations_name_uo""),7,FALSE)
,
)
))"),"БОБКОВА Наталія Олександрівна")</f>
        <v>БОБКОВА Наталія Олександрівна</v>
      </c>
      <c r="G8756" s="7" t="s">
        <v>10</v>
      </c>
      <c r="H8756" s="7">
        <v>15580</v>
      </c>
      <c r="I8756" s="8" t="str">
        <f ca="1">IFERROR(__xludf.DUMMYFUNCTION("IF
(
G8757=""фізична особа""
,
VLOOKUP(H8757,IMPORTRANGE(""https://docs.google.com/spreadsheets/d/14Bd19lYaqBhU8_DElYkX7l4wRkHqqCUFNJY4AfY3kHU/edit?usp=sharing  #gid=0"",""фіз особи new!relations_name""),6,FALSE)
,
(IF
(
G8757=""юридична особа""
,
VLOOKUP"&amp;"(H8757,IMPORTRANGE(""https://docs.google.com/spreadsheets/d/14Bd19lYaqBhU8_DElYkX7l4wRkHqqCUFNJY4AfY3kHU/edit?usp=sharing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6" s="7" t="s">
        <v>29</v>
      </c>
    </row>
    <row r="8757" spans="1:10" ht="13.2">
      <c r="A8757" s="7">
        <v>8756</v>
      </c>
      <c r="B8757" s="7">
        <v>1</v>
      </c>
      <c r="C8757" s="7" t="s">
        <v>10</v>
      </c>
      <c r="D8757" s="7">
        <v>10680</v>
      </c>
      <c r="E8757" s="7" t="s">
        <v>28</v>
      </c>
      <c r="F8757" s="8" t="str">
        <f ca="1">IFERROR(__xludf.DUMMYFUNCTION("IF
(
C8758=""фізична особа""
,
VLOOKUP(D8758,IMPORTRANGE(""https://docs.google.com/spreadsheets/d/14Bd19lYaqBhU8_DElYkX7l4wRkHqqCUFNJY4AfY3kHU/edit?usp=sharing  #gid=0"",""фіз особи new!relations_name""),6,FALSE)
,
(IF
(
C8758=""юридична особа""
,
VLOOKUP"&amp;"(D8758,IMPORTRANGE(""https://docs.google.com/spreadsheets/d/14Bd19lYaqBhU8_DElYkX7l4wRkHqqCUFNJY4AfY3kHU/edit?usp=sharing  #gid=0"",""фіз особи new!relations_name_uo""),7,FALSE)
,
)
))"),"ЗАЙНУЛЛІНА Зіфа Жаферівна")</f>
        <v>ЗАЙНУЛЛІНА Зіфа Жаферівна</v>
      </c>
      <c r="G8757" s="7" t="s">
        <v>10</v>
      </c>
      <c r="H8757" s="7">
        <v>15580</v>
      </c>
      <c r="I8757" s="8" t="str">
        <f ca="1">IFERROR(__xludf.DUMMYFUNCTION("IF
(
G8758=""фізична особа""
,
VLOOKUP(H8758,IMPORTRANGE(""https://docs.google.com/spreadsheets/d/14Bd19lYaqBhU8_DElYkX7l4wRkHqqCUFNJY4AfY3kHU/edit?usp=sharing  #gid=0"",""фіз особи new!relations_name""),6,FALSE)
,
(IF
(
G8758=""юридична особа""
,
VLOOKUP"&amp;"(H8758,IMPORTRANGE(""https://docs.google.com/spreadsheets/d/14Bd19lYaqBhU8_DElYkX7l4wRkHqqCUFNJY4AfY3kHU/edit?usp=sharing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7" s="7" t="s">
        <v>29</v>
      </c>
    </row>
    <row r="8758" spans="1:10" ht="13.2">
      <c r="A8758" s="7">
        <v>8757</v>
      </c>
      <c r="B8758" s="7">
        <v>1</v>
      </c>
      <c r="C8758" s="7" t="s">
        <v>10</v>
      </c>
      <c r="D8758" s="7">
        <v>10681</v>
      </c>
      <c r="E8758" s="7" t="s">
        <v>28</v>
      </c>
      <c r="F8758" s="8" t="str">
        <f ca="1">IFERROR(__xludf.DUMMYFUNCTION("IF
(
C8759=""фізична особа""
,
VLOOKUP(D8759,IMPORTRANGE(""https://docs.google.com/spreadsheets/d/14Bd19lYaqBhU8_DElYkX7l4wRkHqqCUFNJY4AfY3kHU/edit?usp=sharing  #gid=0"",""фіз особи new!relations_name""),6,FALSE)
,
(IF
(
C8759=""юридична особа""
,
VLOOKUP"&amp;"(D8759,IMPORTRANGE(""https://docs.google.com/spreadsheets/d/14Bd19lYaqBhU8_DElYkX7l4wRkHqqCUFNJY4AfY3kHU/edit?usp=sharing  #gid=0"",""фіз особи new!relations_name_uo""),7,FALSE)
,
)
))"),"ФРОЛОВА Олена Борисівна")</f>
        <v>ФРОЛОВА Олена Борисівна</v>
      </c>
      <c r="G8758" s="7" t="s">
        <v>10</v>
      </c>
      <c r="H8758" s="7">
        <v>15580</v>
      </c>
      <c r="I8758" s="8" t="str">
        <f ca="1">IFERROR(__xludf.DUMMYFUNCTION("IF
(
G8759=""фізична особа""
,
VLOOKUP(H8759,IMPORTRANGE(""https://docs.google.com/spreadsheets/d/14Bd19lYaqBhU8_DElYkX7l4wRkHqqCUFNJY4AfY3kHU/edit?usp=sharing  #gid=0"",""фіз особи new!relations_name""),6,FALSE)
,
(IF
(
G8759=""юридична особа""
,
VLOOKUP"&amp;"(H8759,IMPORTRANGE(""https://docs.google.com/spreadsheets/d/14Bd19lYaqBhU8_DElYkX7l4wRkHqqCUFNJY4AfY3kHU/edit?usp=sharing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8" s="7" t="s">
        <v>29</v>
      </c>
    </row>
    <row r="8759" spans="1:10" ht="13.2">
      <c r="A8759" s="7">
        <v>8758</v>
      </c>
      <c r="B8759" s="7">
        <v>1</v>
      </c>
      <c r="C8759" s="7" t="s">
        <v>10</v>
      </c>
      <c r="D8759" s="7">
        <v>10682</v>
      </c>
      <c r="E8759" s="7" t="s">
        <v>28</v>
      </c>
      <c r="F8759" s="8" t="str">
        <f ca="1">IFERROR(__xludf.DUMMYFUNCTION("IF
(
C8760=""фізична особа""
,
VLOOKUP(D8760,IMPORTRANGE(""https://docs.google.com/spreadsheets/d/14Bd19lYaqBhU8_DElYkX7l4wRkHqqCUFNJY4AfY3kHU/edit?usp=sharing  #gid=0"",""фіз особи new!relations_name""),6,FALSE)
,
(IF
(
C8760=""юридична особа""
,
VLOOKUP"&amp;"(D8760,IMPORTRANGE(""https://docs.google.com/spreadsheets/d/14Bd19lYaqBhU8_DElYkX7l4wRkHqqCUFNJY4AfY3kHU/edit?usp=sharing  #gid=0"",""фіз особи new!relations_name_uo""),7,FALSE)
,
)
))"),"АФОНІН Михайло Михайлович")</f>
        <v>АФОНІН Михайло Михайлович</v>
      </c>
      <c r="G8759" s="7" t="s">
        <v>10</v>
      </c>
      <c r="H8759" s="7">
        <v>15580</v>
      </c>
      <c r="I8759" s="8" t="str">
        <f ca="1">IFERROR(__xludf.DUMMYFUNCTION("IF
(
G8760=""фізична особа""
,
VLOOKUP(H8760,IMPORTRANGE(""https://docs.google.com/spreadsheets/d/14Bd19lYaqBhU8_DElYkX7l4wRkHqqCUFNJY4AfY3kHU/edit?usp=sharing  #gid=0"",""фіз особи new!relations_name""),6,FALSE)
,
(IF
(
G8760=""юридична особа""
,
VLOOKUP"&amp;"(H8760,IMPORTRANGE(""https://docs.google.com/spreadsheets/d/14Bd19lYaqBhU8_DElYkX7l4wRkHqqCUFNJY4AfY3kHU/edit?usp=sharing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59" s="7" t="s">
        <v>29</v>
      </c>
    </row>
    <row r="8760" spans="1:10" ht="13.2">
      <c r="A8760" s="7">
        <v>8759</v>
      </c>
      <c r="B8760" s="7">
        <v>1</v>
      </c>
      <c r="C8760" s="7" t="s">
        <v>10</v>
      </c>
      <c r="D8760" s="7">
        <v>10683</v>
      </c>
      <c r="E8760" s="7" t="s">
        <v>28</v>
      </c>
      <c r="F8760" s="8" t="str">
        <f ca="1">IFERROR(__xludf.DUMMYFUNCTION("IF
(
C8761=""фізична особа""
,
VLOOKUP(D8761,IMPORTRANGE(""https://docs.google.com/spreadsheets/d/14Bd19lYaqBhU8_DElYkX7l4wRkHqqCUFNJY4AfY3kHU/edit?usp=sharing  #gid=0"",""фіз особи new!relations_name""),6,FALSE)
,
(IF
(
C8761=""юридична особа""
,
VLOOKUP"&amp;"(D8761,IMPORTRANGE(""https://docs.google.com/spreadsheets/d/14Bd19lYaqBhU8_DElYkX7l4wRkHqqCUFNJY4AfY3kHU/edit?usp=sharing  #gid=0"",""фіз особи new!relations_name_uo""),7,FALSE)
,
)
))"),"ГОРОБЦОВ Олексій Володимирович")</f>
        <v>ГОРОБЦОВ Олексій Володимирович</v>
      </c>
      <c r="G8760" s="7" t="s">
        <v>10</v>
      </c>
      <c r="H8760" s="7">
        <v>15580</v>
      </c>
      <c r="I8760" s="8" t="str">
        <f ca="1">IFERROR(__xludf.DUMMYFUNCTION("IF
(
G8761=""фізична особа""
,
VLOOKUP(H8761,IMPORTRANGE(""https://docs.google.com/spreadsheets/d/14Bd19lYaqBhU8_DElYkX7l4wRkHqqCUFNJY4AfY3kHU/edit?usp=sharing  #gid=0"",""фіз особи new!relations_name""),6,FALSE)
,
(IF
(
G8761=""юридична особа""
,
VLOOKUP"&amp;"(H8761,IMPORTRANGE(""https://docs.google.com/spreadsheets/d/14Bd19lYaqBhU8_DElYkX7l4wRkHqqCUFNJY4AfY3kHU/edit?usp=sharing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60" s="7" t="s">
        <v>29</v>
      </c>
    </row>
    <row r="8761" spans="1:10" ht="13.2">
      <c r="A8761" s="7">
        <v>8760</v>
      </c>
      <c r="B8761" s="7">
        <v>1</v>
      </c>
      <c r="C8761" s="7" t="s">
        <v>10</v>
      </c>
      <c r="D8761" s="7">
        <v>10684</v>
      </c>
      <c r="E8761" s="7" t="s">
        <v>28</v>
      </c>
      <c r="F8761" s="8" t="str">
        <f ca="1">IFERROR(__xludf.DUMMYFUNCTION("IF
(
C8762=""фізична особа""
,
VLOOKUP(D8762,IMPORTRANGE(""https://docs.google.com/spreadsheets/d/14Bd19lYaqBhU8_DElYkX7l4wRkHqqCUFNJY4AfY3kHU/edit?usp=sharing  #gid=0"",""фіз особи new!relations_name""),6,FALSE)
,
(IF
(
C8762=""юридична особа""
,
VLOOKUP"&amp;"(D8762,IMPORTRANGE(""https://docs.google.com/spreadsheets/d/14Bd19lYaqBhU8_DElYkX7l4wRkHqqCUFNJY4AfY3kHU/edit?usp=sharing  #gid=0"",""фіз особи new!relations_name_uo""),7,FALSE)
,
)
))"),"ЛОМАКА Сергій Олександрович")</f>
        <v>ЛОМАКА Сергій Олександрович</v>
      </c>
      <c r="G8761" s="7" t="s">
        <v>10</v>
      </c>
      <c r="H8761" s="7">
        <v>15580</v>
      </c>
      <c r="I8761" s="8" t="str">
        <f ca="1">IFERROR(__xludf.DUMMYFUNCTION("IF
(
G8762=""фізична особа""
,
VLOOKUP(H8762,IMPORTRANGE(""https://docs.google.com/spreadsheets/d/14Bd19lYaqBhU8_DElYkX7l4wRkHqqCUFNJY4AfY3kHU/edit?usp=sharing  #gid=0"",""фіз особи new!relations_name""),6,FALSE)
,
(IF
(
G8762=""юридична особа""
,
VLOOKUP"&amp;"(H8762,IMPORTRANGE(""https://docs.google.com/spreadsheets/d/14Bd19lYaqBhU8_DElYkX7l4wRkHqqCUFNJY4AfY3kHU/edit?usp=sharing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61" s="7" t="s">
        <v>29</v>
      </c>
    </row>
    <row r="8762" spans="1:10" ht="13.2">
      <c r="A8762" s="7">
        <v>8761</v>
      </c>
      <c r="B8762" s="7">
        <v>1</v>
      </c>
      <c r="C8762" s="7" t="s">
        <v>10</v>
      </c>
      <c r="D8762" s="7">
        <v>10685</v>
      </c>
      <c r="E8762" s="7" t="s">
        <v>28</v>
      </c>
      <c r="F8762" s="8" t="str">
        <f ca="1">IFERROR(__xludf.DUMMYFUNCTION("IF
(
C8763=""фізична особа""
,
VLOOKUP(D8763,IMPORTRANGE(""https://docs.google.com/spreadsheets/d/14Bd19lYaqBhU8_DElYkX7l4wRkHqqCUFNJY4AfY3kHU/edit?usp=sharing  #gid=0"",""фіз особи new!relations_name""),6,FALSE)
,
(IF
(
C8763=""юридична особа""
,
VLOOKUP"&amp;"(D8763,IMPORTRANGE(""https://docs.google.com/spreadsheets/d/14Bd19lYaqBhU8_DElYkX7l4wRkHqqCUFNJY4AfY3kHU/edit?usp=sharing  #gid=0"",""фіз особи new!relations_name_uo""),7,FALSE)
,
)
))"),"БУДАНОВА Ірина Андріївна")</f>
        <v>БУДАНОВА Ірина Андріївна</v>
      </c>
      <c r="G8762" s="7" t="s">
        <v>10</v>
      </c>
      <c r="H8762" s="7">
        <v>15580</v>
      </c>
      <c r="I8762" s="8" t="str">
        <f ca="1">IFERROR(__xludf.DUMMYFUNCTION("IF
(
G8763=""фізична особа""
,
VLOOKUP(H8763,IMPORTRANGE(""https://docs.google.com/spreadsheets/d/14Bd19lYaqBhU8_DElYkX7l4wRkHqqCUFNJY4AfY3kHU/edit?usp=sharing  #gid=0"",""фіз особи new!relations_name""),6,FALSE)
,
(IF
(
G8763=""юридична особа""
,
VLOOKUP"&amp;"(H8763,IMPORTRANGE(""https://docs.google.com/spreadsheets/d/14Bd19lYaqBhU8_DElYkX7l4wRkHqqCUFNJY4AfY3kHU/edit?usp=sharing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62" s="7" t="s">
        <v>29</v>
      </c>
    </row>
    <row r="8763" spans="1:10" ht="13.2">
      <c r="A8763" s="7">
        <v>8762</v>
      </c>
      <c r="B8763" s="7">
        <v>1</v>
      </c>
      <c r="C8763" s="7" t="s">
        <v>10</v>
      </c>
      <c r="D8763" s="7">
        <v>10686</v>
      </c>
      <c r="E8763" s="7" t="s">
        <v>28</v>
      </c>
      <c r="F8763" s="8" t="str">
        <f ca="1">IFERROR(__xludf.DUMMYFUNCTION("IF
(
C8764=""фізична особа""
,
VLOOKUP(D8764,IMPORTRANGE(""https://docs.google.com/spreadsheets/d/14Bd19lYaqBhU8_DElYkX7l4wRkHqqCUFNJY4AfY3kHU/edit?usp=sharing  #gid=0"",""фіз особи new!relations_name""),6,FALSE)
,
(IF
(
C8764=""юридична особа""
,
VLOOKUP"&amp;"(D8764,IMPORTRANGE(""https://docs.google.com/spreadsheets/d/14Bd19lYaqBhU8_DElYkX7l4wRkHqqCUFNJY4AfY3kHU/edit?usp=sharing  #gid=0"",""фіз особи new!relations_name_uo""),7,FALSE)
,
)
))"),"БРАНОВ Артем Анатолійович")</f>
        <v>БРАНОВ Артем Анатолійович</v>
      </c>
      <c r="G8763" s="7" t="s">
        <v>10</v>
      </c>
      <c r="H8763" s="7">
        <v>15580</v>
      </c>
      <c r="I8763" s="8" t="str">
        <f ca="1">IFERROR(__xludf.DUMMYFUNCTION("IF
(
G8764=""фізична особа""
,
VLOOKUP(H8764,IMPORTRANGE(""https://docs.google.com/spreadsheets/d/14Bd19lYaqBhU8_DElYkX7l4wRkHqqCUFNJY4AfY3kHU/edit?usp=sharing  #gid=0"",""фіз особи new!relations_name""),6,FALSE)
,
(IF
(
G8764=""юридична особа""
,
VLOOKUP"&amp;"(H8764,IMPORTRANGE(""https://docs.google.com/spreadsheets/d/14Bd19lYaqBhU8_DElYkX7l4wRkHqqCUFNJY4AfY3kHU/edit?usp=sharing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63" s="7" t="s">
        <v>29</v>
      </c>
    </row>
    <row r="8764" spans="1:10" ht="13.2">
      <c r="A8764" s="7">
        <v>8763</v>
      </c>
      <c r="B8764" s="7">
        <v>1</v>
      </c>
      <c r="C8764" s="7" t="s">
        <v>10</v>
      </c>
      <c r="D8764" s="7">
        <v>10687</v>
      </c>
      <c r="E8764" s="7" t="s">
        <v>28</v>
      </c>
      <c r="F8764" s="8" t="str">
        <f ca="1">IFERROR(__xludf.DUMMYFUNCTION("IF
(
C8765=""фізична особа""
,
VLOOKUP(D8765,IMPORTRANGE(""https://docs.google.com/spreadsheets/d/14Bd19lYaqBhU8_DElYkX7l4wRkHqqCUFNJY4AfY3kHU/edit?usp=sharing  #gid=0"",""фіз особи new!relations_name""),6,FALSE)
,
(IF
(
C8765=""юридична особа""
,
VLOOKUP"&amp;"(D8765,IMPORTRANGE(""https://docs.google.com/spreadsheets/d/14Bd19lYaqBhU8_DElYkX7l4wRkHqqCUFNJY4AfY3kHU/edit?usp=sharing  #gid=0"",""фіз особи new!relations_name_uo""),7,FALSE)
,
)
))"),"СМОЛЬНІКОВ Дмитро Ігорович")</f>
        <v>СМОЛЬНІКОВ Дмитро Ігорович</v>
      </c>
      <c r="G8764" s="7" t="s">
        <v>10</v>
      </c>
      <c r="H8764" s="7">
        <v>15580</v>
      </c>
      <c r="I8764" s="8" t="str">
        <f ca="1">IFERROR(__xludf.DUMMYFUNCTION("IF
(
G8765=""фізична особа""
,
VLOOKUP(H8765,IMPORTRANGE(""https://docs.google.com/spreadsheets/d/14Bd19lYaqBhU8_DElYkX7l4wRkHqqCUFNJY4AfY3kHU/edit?usp=sharing  #gid=0"",""фіз особи new!relations_name""),6,FALSE)
,
(IF
(
G8765=""юридична особа""
,
VLOOKUP"&amp;"(H8765,IMPORTRANGE(""https://docs.google.com/spreadsheets/d/14Bd19lYaqBhU8_DElYkX7l4wRkHqqCUFNJY4AfY3kHU/edit?usp=sharing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8764" s="7" t="s">
        <v>29</v>
      </c>
    </row>
    <row r="8765" spans="1:10" ht="13.2">
      <c r="A8765" s="7">
        <v>8764</v>
      </c>
      <c r="B8765" s="7">
        <v>1</v>
      </c>
      <c r="C8765" s="7" t="s">
        <v>10</v>
      </c>
      <c r="D8765" s="7">
        <v>10688</v>
      </c>
      <c r="E8765" s="7" t="s">
        <v>28</v>
      </c>
      <c r="F8765" s="8" t="str">
        <f ca="1">IFERROR(__xludf.DUMMYFUNCTION("IF
(
C8766=""фізична особа""
,
VLOOKUP(D8766,IMPORTRANGE(""https://docs.google.com/spreadsheets/d/14Bd19lYaqBhU8_DElYkX7l4wRkHqqCUFNJY4AfY3kHU/edit?usp=sharing  #gid=0"",""фіз особи new!relations_name""),6,FALSE)
,
(IF
(
C8766=""юридична особа""
,
VLOOKUP"&amp;"(D8766,IMPORTRANGE(""https://docs.google.com/spreadsheets/d/14Bd19lYaqBhU8_DElYkX7l4wRkHqqCUFNJY4AfY3kHU/edit?usp=sharing  #gid=0"",""фіз особи new!relations_name_uo""),7,FALSE)
,
)
))"),"ТРАВНІКОВ Дмитро Володимирович")</f>
        <v>ТРАВНІКОВ Дмитро Володимирович</v>
      </c>
      <c r="G8765" s="7" t="s">
        <v>10</v>
      </c>
      <c r="H8765" s="7">
        <v>11875</v>
      </c>
      <c r="I8765" s="8" t="str">
        <f ca="1">IFERROR(__xludf.DUMMYFUNCTION("IF
(
G8766=""фізична особа""
,
VLOOKUP(H8766,IMPORTRANGE(""https://docs.google.com/spreadsheets/d/14Bd19lYaqBhU8_DElYkX7l4wRkHqqCUFNJY4AfY3kHU/edit?usp=sharing  #gid=0"",""фіз особи new!relations_name""),6,FALSE)
,
(IF
(
G8766=""юридична особа""
,
VLOOKUP"&amp;"(H8766,IMPORTRANGE(""https://docs.google.com/spreadsheets/d/14Bd19lYaqBhU8_DElYkX7l4wRkHqqCUFNJY4AfY3kHU/edit?usp=sharing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8765" s="7" t="s">
        <v>29</v>
      </c>
    </row>
    <row r="8766" spans="1:10" ht="13.2">
      <c r="A8766" s="7">
        <v>8765</v>
      </c>
      <c r="B8766" s="7">
        <v>1</v>
      </c>
      <c r="C8766" s="7" t="s">
        <v>10</v>
      </c>
      <c r="D8766" s="7">
        <v>10689</v>
      </c>
      <c r="E8766" s="7" t="s">
        <v>28</v>
      </c>
      <c r="F8766" s="8" t="str">
        <f ca="1">IFERROR(__xludf.DUMMYFUNCTION("IF
(
C8767=""фізична особа""
,
VLOOKUP(D8767,IMPORTRANGE(""https://docs.google.com/spreadsheets/d/14Bd19lYaqBhU8_DElYkX7l4wRkHqqCUFNJY4AfY3kHU/edit?usp=sharing  #gid=0"",""фіз особи new!relations_name""),6,FALSE)
,
(IF
(
C8767=""юридична особа""
,
VLOOKUP"&amp;"(D8767,IMPORTRANGE(""https://docs.google.com/spreadsheets/d/14Bd19lYaqBhU8_DElYkX7l4wRkHqqCUFNJY4AfY3kHU/edit?usp=sharing  #gid=0"",""фіз особи new!relations_name_uo""),7,FALSE)
,
)
))"),"КУСЬ Анжела Анатоліївна")</f>
        <v>КУСЬ Анжела Анатоліївна</v>
      </c>
      <c r="G8766" s="7" t="s">
        <v>10</v>
      </c>
      <c r="H8766" s="7">
        <v>11875</v>
      </c>
      <c r="I8766" s="8" t="str">
        <f ca="1">IFERROR(__xludf.DUMMYFUNCTION("IF
(
G8767=""фізична особа""
,
VLOOKUP(H8767,IMPORTRANGE(""https://docs.google.com/spreadsheets/d/14Bd19lYaqBhU8_DElYkX7l4wRkHqqCUFNJY4AfY3kHU/edit?usp=sharing  #gid=0"",""фіз особи new!relations_name""),6,FALSE)
,
(IF
(
G8767=""юридична особа""
,
VLOOKUP"&amp;"(H8767,IMPORTRANGE(""https://docs.google.com/spreadsheets/d/14Bd19lYaqBhU8_DElYkX7l4wRkHqqCUFNJY4AfY3kHU/edit?usp=sharing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8766" s="7" t="s">
        <v>29</v>
      </c>
    </row>
    <row r="8767" spans="1:10" ht="13.2">
      <c r="A8767" s="7">
        <v>8766</v>
      </c>
      <c r="B8767" s="7">
        <v>1</v>
      </c>
      <c r="C8767" s="7" t="s">
        <v>10</v>
      </c>
      <c r="D8767" s="7">
        <v>10690</v>
      </c>
      <c r="E8767" s="7" t="s">
        <v>28</v>
      </c>
      <c r="F8767" s="8" t="str">
        <f ca="1">IFERROR(__xludf.DUMMYFUNCTION("IF
(
C8768=""фізична особа""
,
VLOOKUP(D8768,IMPORTRANGE(""https://docs.google.com/spreadsheets/d/14Bd19lYaqBhU8_DElYkX7l4wRkHqqCUFNJY4AfY3kHU/edit?usp=sharing  #gid=0"",""фіз особи new!relations_name""),6,FALSE)
,
(IF
(
C8768=""юридична особа""
,
VLOOKUP"&amp;"(D8768,IMPORTRANGE(""https://docs.google.com/spreadsheets/d/14Bd19lYaqBhU8_DElYkX7l4wRkHqqCUFNJY4AfY3kHU/edit?usp=sharing  #gid=0"",""фіз особи new!relations_name_uo""),7,FALSE)
,
)
))"),"МІХЄЄВА Галина Олексіївна")</f>
        <v>МІХЄЄВА Галина Олексіївна</v>
      </c>
      <c r="G8767" s="7" t="s">
        <v>10</v>
      </c>
      <c r="H8767" s="7">
        <v>11875</v>
      </c>
      <c r="I8767" s="8" t="str">
        <f ca="1">IFERROR(__xludf.DUMMYFUNCTION("IF
(
G8768=""фізична особа""
,
VLOOKUP(H8768,IMPORTRANGE(""https://docs.google.com/spreadsheets/d/14Bd19lYaqBhU8_DElYkX7l4wRkHqqCUFNJY4AfY3kHU/edit?usp=sharing  #gid=0"",""фіз особи new!relations_name""),6,FALSE)
,
(IF
(
G8768=""юридична особа""
,
VLOOKUP"&amp;"(H8768,IMPORTRANGE(""https://docs.google.com/spreadsheets/d/14Bd19lYaqBhU8_DElYkX7l4wRkHqqCUFNJY4AfY3kHU/edit?usp=sharing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8767" s="7" t="s">
        <v>29</v>
      </c>
    </row>
    <row r="8768" spans="1:10" ht="13.2">
      <c r="A8768" s="7">
        <v>8767</v>
      </c>
      <c r="B8768" s="7">
        <v>1</v>
      </c>
      <c r="C8768" s="7" t="s">
        <v>10</v>
      </c>
      <c r="D8768" s="7">
        <v>10691</v>
      </c>
      <c r="E8768" s="7" t="s">
        <v>28</v>
      </c>
      <c r="F8768" s="8" t="str">
        <f ca="1">IFERROR(__xludf.DUMMYFUNCTION("IF
(
C8769=""фізична особа""
,
VLOOKUP(D8769,IMPORTRANGE(""https://docs.google.com/spreadsheets/d/14Bd19lYaqBhU8_DElYkX7l4wRkHqqCUFNJY4AfY3kHU/edit?usp=sharing  #gid=0"",""фіз особи new!relations_name""),6,FALSE)
,
(IF
(
C8769=""юридична особа""
,
VLOOKUP"&amp;"(D8769,IMPORTRANGE(""https://docs.google.com/spreadsheets/d/14Bd19lYaqBhU8_DElYkX7l4wRkHqqCUFNJY4AfY3kHU/edit?usp=sharing  #gid=0"",""фіз особи new!relations_name_uo""),7,FALSE)
,
)
))"),"КИСЕЛЬОВА Олена Олександрівна")</f>
        <v>КИСЕЛЬОВА Олена Олександрівна</v>
      </c>
      <c r="G8768" s="7" t="s">
        <v>10</v>
      </c>
      <c r="H8768" s="7">
        <v>11875</v>
      </c>
      <c r="I8768" s="8" t="str">
        <f ca="1">IFERROR(__xludf.DUMMYFUNCTION("IF
(
G8769=""фізична особа""
,
VLOOKUP(H8769,IMPORTRANGE(""https://docs.google.com/spreadsheets/d/14Bd19lYaqBhU8_DElYkX7l4wRkHqqCUFNJY4AfY3kHU/edit?usp=sharing  #gid=0"",""фіз особи new!relations_name""),6,FALSE)
,
(IF
(
G8769=""юридична особа""
,
VLOOKUP"&amp;"(H8769,IMPORTRANGE(""https://docs.google.com/spreadsheets/d/14Bd19lYaqBhU8_DElYkX7l4wRkHqqCUFNJY4AfY3kHU/edit?usp=sharing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8768" s="7" t="s">
        <v>29</v>
      </c>
    </row>
    <row r="8769" spans="1:10" ht="13.2">
      <c r="A8769" s="7">
        <v>8768</v>
      </c>
      <c r="B8769" s="7">
        <v>1</v>
      </c>
      <c r="C8769" s="7" t="s">
        <v>10</v>
      </c>
      <c r="D8769" s="7">
        <v>10692</v>
      </c>
      <c r="E8769" s="7" t="s">
        <v>28</v>
      </c>
      <c r="F8769" s="8" t="str">
        <f ca="1">IFERROR(__xludf.DUMMYFUNCTION("IF
(
C8770=""фізична особа""
,
VLOOKUP(D8770,IMPORTRANGE(""https://docs.google.com/spreadsheets/d/14Bd19lYaqBhU8_DElYkX7l4wRkHqqCUFNJY4AfY3kHU/edit?usp=sharing  #gid=0"",""фіз особи new!relations_name""),6,FALSE)
,
(IF
(
C8770=""юридична особа""
,
VLOOKUP"&amp;"(D8770,IMPORTRANGE(""https://docs.google.com/spreadsheets/d/14Bd19lYaqBhU8_DElYkX7l4wRkHqqCUFNJY4AfY3kHU/edit?usp=sharing  #gid=0"",""фіз особи new!relations_name_uo""),7,FALSE)
,
)
))"),"САПЕГА Наталія Олексіївна")</f>
        <v>САПЕГА Наталія Олексіївна</v>
      </c>
      <c r="G8769" s="7" t="s">
        <v>10</v>
      </c>
      <c r="H8769" s="7">
        <v>2946</v>
      </c>
      <c r="I8769" s="8" t="str">
        <f ca="1">IFERROR(__xludf.DUMMYFUNCTION("IF
(
G8770=""фізична особа""
,
VLOOKUP(H8770,IMPORTRANGE(""https://docs.google.com/spreadsheets/d/14Bd19lYaqBhU8_DElYkX7l4wRkHqqCUFNJY4AfY3kHU/edit?usp=sharing  #gid=0"",""фіз особи new!relations_name""),6,FALSE)
,
(IF
(
G8770=""юридична особа""
,
VLOOKUP"&amp;"(H8770,IMPORTRANGE(""https://docs.google.com/spreadsheets/d/14Bd19lYaqBhU8_DElYkX7l4wRkHqqCUFNJY4AfY3kHU/edit?usp=sharing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69" s="7" t="s">
        <v>29</v>
      </c>
    </row>
    <row r="8770" spans="1:10" ht="13.2">
      <c r="A8770" s="7">
        <v>8769</v>
      </c>
      <c r="B8770" s="7">
        <v>1</v>
      </c>
      <c r="C8770" s="7" t="s">
        <v>10</v>
      </c>
      <c r="D8770" s="7">
        <v>10693</v>
      </c>
      <c r="E8770" s="7" t="s">
        <v>28</v>
      </c>
      <c r="F8770" s="8" t="str">
        <f ca="1">IFERROR(__xludf.DUMMYFUNCTION("IF
(
C8771=""фізична особа""
,
VLOOKUP(D8771,IMPORTRANGE(""https://docs.google.com/spreadsheets/d/14Bd19lYaqBhU8_DElYkX7l4wRkHqqCUFNJY4AfY3kHU/edit?usp=sharing  #gid=0"",""фіз особи new!relations_name""),6,FALSE)
,
(IF
(
C8771=""юридична особа""
,
VLOOKUP"&amp;"(D8771,IMPORTRANGE(""https://docs.google.com/spreadsheets/d/14Bd19lYaqBhU8_DElYkX7l4wRkHqqCUFNJY4AfY3kHU/edit?usp=sharing  #gid=0"",""фіз особи new!relations_name_uo""),7,FALSE)
,
)
))"),"СИЧЕВА-МИХАЙЛОВА
ГАННА Сергіївна")</f>
        <v>СИЧЕВА-МИХАЙЛОВА
ГАННА Сергіївна</v>
      </c>
      <c r="G8770" s="7" t="s">
        <v>10</v>
      </c>
      <c r="H8770" s="7">
        <v>11871</v>
      </c>
      <c r="I8770" s="8" t="str">
        <f ca="1">IFERROR(__xludf.DUMMYFUNCTION("IF
(
G8771=""фізична особа""
,
VLOOKUP(H8771,IMPORTRANGE(""https://docs.google.com/spreadsheets/d/14Bd19lYaqBhU8_DElYkX7l4wRkHqqCUFNJY4AfY3kHU/edit?usp=sharing  #gid=0"",""фіз особи new!relations_name""),6,FALSE)
,
(IF
(
G8771=""юридична особа""
,
VLOOKUP"&amp;"(H8771,IMPORTRANGE(""https://docs.google.com/spreadsheets/d/14Bd19lYaqBhU8_DElYkX7l4wRkHqqCUFNJY4AfY3kHU/edit?usp=sharing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0" s="7" t="s">
        <v>29</v>
      </c>
    </row>
    <row r="8771" spans="1:10" ht="13.2">
      <c r="A8771" s="7">
        <v>8770</v>
      </c>
      <c r="B8771" s="7">
        <v>1</v>
      </c>
      <c r="C8771" s="7" t="s">
        <v>10</v>
      </c>
      <c r="D8771" s="7">
        <v>10694</v>
      </c>
      <c r="E8771" s="7" t="s">
        <v>28</v>
      </c>
      <c r="F8771" s="8" t="str">
        <f ca="1">IFERROR(__xludf.DUMMYFUNCTION("IF
(
C8772=""фізична особа""
,
VLOOKUP(D8772,IMPORTRANGE(""https://docs.google.com/spreadsheets/d/14Bd19lYaqBhU8_DElYkX7l4wRkHqqCUFNJY4AfY3kHU/edit?usp=sharing  #gid=0"",""фіз особи new!relations_name""),6,FALSE)
,
(IF
(
C8772=""юридична особа""
,
VLOOKUP"&amp;"(D8772,IMPORTRANGE(""https://docs.google.com/spreadsheets/d/14Bd19lYaqBhU8_DElYkX7l4wRkHqqCUFNJY4AfY3kHU/edit?usp=sharing  #gid=0"",""фіз особи new!relations_name_uo""),7,FALSE)
,
)
))"),"ЗОЛОТАРЕВСЬКИЙ Сергій Юрійович")</f>
        <v>ЗОЛОТАРЕВСЬКИЙ Сергій Юрійович</v>
      </c>
      <c r="G8771" s="7" t="s">
        <v>10</v>
      </c>
      <c r="H8771" s="7">
        <v>11871</v>
      </c>
      <c r="I8771" s="8" t="str">
        <f ca="1">IFERROR(__xludf.DUMMYFUNCTION("IF
(
G8772=""фізична особа""
,
VLOOKUP(H8772,IMPORTRANGE(""https://docs.google.com/spreadsheets/d/14Bd19lYaqBhU8_DElYkX7l4wRkHqqCUFNJY4AfY3kHU/edit?usp=sharing  #gid=0"",""фіз особи new!relations_name""),6,FALSE)
,
(IF
(
G8772=""юридична особа""
,
VLOOKUP"&amp;"(H8772,IMPORTRANGE(""https://docs.google.com/spreadsheets/d/14Bd19lYaqBhU8_DElYkX7l4wRkHqqCUFNJY4AfY3kHU/edit?usp=sharing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1" s="7" t="s">
        <v>29</v>
      </c>
    </row>
    <row r="8772" spans="1:10" ht="13.2">
      <c r="A8772" s="7">
        <v>8771</v>
      </c>
      <c r="B8772" s="7">
        <v>1</v>
      </c>
      <c r="C8772" s="7" t="s">
        <v>10</v>
      </c>
      <c r="D8772" s="7">
        <v>10695</v>
      </c>
      <c r="E8772" s="7" t="s">
        <v>28</v>
      </c>
      <c r="F8772" s="8" t="str">
        <f ca="1">IFERROR(__xludf.DUMMYFUNCTION("IF
(
C8773=""фізична особа""
,
VLOOKUP(D8773,IMPORTRANGE(""https://docs.google.com/spreadsheets/d/14Bd19lYaqBhU8_DElYkX7l4wRkHqqCUFNJY4AfY3kHU/edit?usp=sharing  #gid=0"",""фіз особи new!relations_name""),6,FALSE)
,
(IF
(
C8773=""юридична особа""
,
VLOOKUP"&amp;"(D8773,IMPORTRANGE(""https://docs.google.com/spreadsheets/d/14Bd19lYaqBhU8_DElYkX7l4wRkHqqCUFNJY4AfY3kHU/edit?usp=sharing  #gid=0"",""фіз особи new!relations_name_uo""),7,FALSE)
,
)
))"),"ДУНАЄВ Олег Ігорович")</f>
        <v>ДУНАЄВ Олег Ігорович</v>
      </c>
      <c r="G8772" s="7" t="s">
        <v>10</v>
      </c>
      <c r="H8772" s="7">
        <v>11871</v>
      </c>
      <c r="I8772" s="8" t="str">
        <f ca="1">IFERROR(__xludf.DUMMYFUNCTION("IF
(
G8773=""фізична особа""
,
VLOOKUP(H8773,IMPORTRANGE(""https://docs.google.com/spreadsheets/d/14Bd19lYaqBhU8_DElYkX7l4wRkHqqCUFNJY4AfY3kHU/edit?usp=sharing  #gid=0"",""фіз особи new!relations_name""),6,FALSE)
,
(IF
(
G8773=""юридична особа""
,
VLOOKUP"&amp;"(H8773,IMPORTRANGE(""https://docs.google.com/spreadsheets/d/14Bd19lYaqBhU8_DElYkX7l4wRkHqqCUFNJY4AfY3kHU/edit?usp=sharing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2" s="7" t="s">
        <v>29</v>
      </c>
    </row>
    <row r="8773" spans="1:10" ht="13.2">
      <c r="A8773" s="7">
        <v>8772</v>
      </c>
      <c r="B8773" s="7">
        <v>1</v>
      </c>
      <c r="C8773" s="7" t="s">
        <v>10</v>
      </c>
      <c r="D8773" s="7">
        <v>10696</v>
      </c>
      <c r="E8773" s="7" t="s">
        <v>28</v>
      </c>
      <c r="F8773" s="8" t="str">
        <f ca="1">IFERROR(__xludf.DUMMYFUNCTION("IF
(
C8774=""фізична особа""
,
VLOOKUP(D8774,IMPORTRANGE(""https://docs.google.com/spreadsheets/d/14Bd19lYaqBhU8_DElYkX7l4wRkHqqCUFNJY4AfY3kHU/edit?usp=sharing  #gid=0"",""фіз особи new!relations_name""),6,FALSE)
,
(IF
(
C8774=""юридична особа""
,
VLOOKUP"&amp;"(D8774,IMPORTRANGE(""https://docs.google.com/spreadsheets/d/14Bd19lYaqBhU8_DElYkX7l4wRkHqqCUFNJY4AfY3kHU/edit?usp=sharing  #gid=0"",""фіз особи new!relations_name_uo""),7,FALSE)
,
)
))"),"ПІГАЛІЦИН Михайло Сергійович")</f>
        <v>ПІГАЛІЦИН Михайло Сергійович</v>
      </c>
      <c r="G8773" s="7" t="s">
        <v>10</v>
      </c>
      <c r="H8773" s="7">
        <v>11871</v>
      </c>
      <c r="I8773" s="8" t="str">
        <f ca="1">IFERROR(__xludf.DUMMYFUNCTION("IF
(
G8774=""фізична особа""
,
VLOOKUP(H8774,IMPORTRANGE(""https://docs.google.com/spreadsheets/d/14Bd19lYaqBhU8_DElYkX7l4wRkHqqCUFNJY4AfY3kHU/edit?usp=sharing  #gid=0"",""фіз особи new!relations_name""),6,FALSE)
,
(IF
(
G8774=""юридична особа""
,
VLOOKUP"&amp;"(H8774,IMPORTRANGE(""https://docs.google.com/spreadsheets/d/14Bd19lYaqBhU8_DElYkX7l4wRkHqqCUFNJY4AfY3kHU/edit?usp=sharing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3" s="7" t="s">
        <v>29</v>
      </c>
    </row>
    <row r="8774" spans="1:10" ht="13.2">
      <c r="A8774" s="7">
        <v>8773</v>
      </c>
      <c r="B8774" s="7">
        <v>1</v>
      </c>
      <c r="C8774" s="7" t="s">
        <v>10</v>
      </c>
      <c r="D8774" s="7">
        <v>10697</v>
      </c>
      <c r="E8774" s="7" t="s">
        <v>28</v>
      </c>
      <c r="F8774" s="8" t="str">
        <f ca="1">IFERROR(__xludf.DUMMYFUNCTION("IF
(
C8775=""фізична особа""
,
VLOOKUP(D8775,IMPORTRANGE(""https://docs.google.com/spreadsheets/d/14Bd19lYaqBhU8_DElYkX7l4wRkHqqCUFNJY4AfY3kHU/edit?usp=sharing  #gid=0"",""фіз особи new!relations_name""),6,FALSE)
,
(IF
(
C8775=""юридична особа""
,
VLOOKUP"&amp;"(D8775,IMPORTRANGE(""https://docs.google.com/spreadsheets/d/14Bd19lYaqBhU8_DElYkX7l4wRkHqqCUFNJY4AfY3kHU/edit?usp=sharing  #gid=0"",""фіз особи new!relations_name_uo""),7,FALSE)
,
)
))"),"ВІХАРЄВ Олексій Олександрович")</f>
        <v>ВІХАРЄВ Олексій Олександрович</v>
      </c>
      <c r="G8774" s="7" t="s">
        <v>10</v>
      </c>
      <c r="H8774" s="7">
        <v>11871</v>
      </c>
      <c r="I8774" s="8" t="str">
        <f ca="1">IFERROR(__xludf.DUMMYFUNCTION("IF
(
G8775=""фізична особа""
,
VLOOKUP(H8775,IMPORTRANGE(""https://docs.google.com/spreadsheets/d/14Bd19lYaqBhU8_DElYkX7l4wRkHqqCUFNJY4AfY3kHU/edit?usp=sharing  #gid=0"",""фіз особи new!relations_name""),6,FALSE)
,
(IF
(
G8775=""юридична особа""
,
VLOOKUP"&amp;"(H8775,IMPORTRANGE(""https://docs.google.com/spreadsheets/d/14Bd19lYaqBhU8_DElYkX7l4wRkHqqCUFNJY4AfY3kHU/edit?usp=sharing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4" s="7" t="s">
        <v>29</v>
      </c>
    </row>
    <row r="8775" spans="1:10" ht="13.2">
      <c r="A8775" s="7">
        <v>8774</v>
      </c>
      <c r="B8775" s="7">
        <v>1</v>
      </c>
      <c r="C8775" s="7" t="s">
        <v>10</v>
      </c>
      <c r="D8775" s="7">
        <v>10698</v>
      </c>
      <c r="E8775" s="7" t="s">
        <v>28</v>
      </c>
      <c r="F8775" s="8" t="str">
        <f ca="1">IFERROR(__xludf.DUMMYFUNCTION("IF
(
C8776=""фізична особа""
,
VLOOKUP(D8776,IMPORTRANGE(""https://docs.google.com/spreadsheets/d/14Bd19lYaqBhU8_DElYkX7l4wRkHqqCUFNJY4AfY3kHU/edit?usp=sharing  #gid=0"",""фіз особи new!relations_name""),6,FALSE)
,
(IF
(
C8776=""юридична особа""
,
VLOOKUP"&amp;"(D8776,IMPORTRANGE(""https://docs.google.com/spreadsheets/d/14Bd19lYaqBhU8_DElYkX7l4wRkHqqCUFNJY4AfY3kHU/edit?usp=sharing  #gid=0"",""фіз особи new!relations_name_uo""),7,FALSE)
,
)
))"),"ГАМЗАТОВ Амін Якубович")</f>
        <v>ГАМЗАТОВ Амін Якубович</v>
      </c>
      <c r="G8775" s="7" t="s">
        <v>10</v>
      </c>
      <c r="H8775" s="7">
        <v>11871</v>
      </c>
      <c r="I8775" s="8" t="str">
        <f ca="1">IFERROR(__xludf.DUMMYFUNCTION("IF
(
G8776=""фізична особа""
,
VLOOKUP(H8776,IMPORTRANGE(""https://docs.google.com/spreadsheets/d/14Bd19lYaqBhU8_DElYkX7l4wRkHqqCUFNJY4AfY3kHU/edit?usp=sharing  #gid=0"",""фіз особи new!relations_name""),6,FALSE)
,
(IF
(
G8776=""юридична особа""
,
VLOOKUP"&amp;"(H8776,IMPORTRANGE(""https://docs.google.com/spreadsheets/d/14Bd19lYaqBhU8_DElYkX7l4wRkHqqCUFNJY4AfY3kHU/edit?usp=sharing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5" s="7" t="s">
        <v>29</v>
      </c>
    </row>
    <row r="8776" spans="1:10" ht="13.2">
      <c r="A8776" s="7">
        <v>8775</v>
      </c>
      <c r="B8776" s="7">
        <v>1</v>
      </c>
      <c r="C8776" s="7" t="s">
        <v>10</v>
      </c>
      <c r="D8776" s="7">
        <v>10699</v>
      </c>
      <c r="E8776" s="7" t="s">
        <v>28</v>
      </c>
      <c r="F8776" s="8" t="str">
        <f ca="1">IFERROR(__xludf.DUMMYFUNCTION("IF
(
C8777=""фізична особа""
,
VLOOKUP(D8777,IMPORTRANGE(""https://docs.google.com/spreadsheets/d/14Bd19lYaqBhU8_DElYkX7l4wRkHqqCUFNJY4AfY3kHU/edit?usp=sharing  #gid=0"",""фіз особи new!relations_name""),6,FALSE)
,
(IF
(
C8777=""юридична особа""
,
VLOOKUP"&amp;"(D8777,IMPORTRANGE(""https://docs.google.com/spreadsheets/d/14Bd19lYaqBhU8_DElYkX7l4wRkHqqCUFNJY4AfY3kHU/edit?usp=sharing  #gid=0"",""фіз особи new!relations_name_uo""),7,FALSE)
,
)
))"),"КОСТЕНІЧ Петро Стефанович")</f>
        <v>КОСТЕНІЧ Петро Стефанович</v>
      </c>
      <c r="G8776" s="7" t="s">
        <v>10</v>
      </c>
      <c r="H8776" s="7">
        <v>11871</v>
      </c>
      <c r="I8776" s="8" t="str">
        <f ca="1">IFERROR(__xludf.DUMMYFUNCTION("IF
(
G8777=""фізична особа""
,
VLOOKUP(H8777,IMPORTRANGE(""https://docs.google.com/spreadsheets/d/14Bd19lYaqBhU8_DElYkX7l4wRkHqqCUFNJY4AfY3kHU/edit?usp=sharing  #gid=0"",""фіз особи new!relations_name""),6,FALSE)
,
(IF
(
G8777=""юридична особа""
,
VLOOKUP"&amp;"(H8777,IMPORTRANGE(""https://docs.google.com/spreadsheets/d/14Bd19lYaqBhU8_DElYkX7l4wRkHqqCUFNJY4AfY3kHU/edit?usp=sharing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8776" s="7" t="s">
        <v>29</v>
      </c>
    </row>
    <row r="8777" spans="1:10" ht="13.2">
      <c r="A8777" s="7">
        <v>8776</v>
      </c>
      <c r="B8777" s="7">
        <v>1</v>
      </c>
      <c r="C8777" s="7" t="s">
        <v>10</v>
      </c>
      <c r="D8777" s="7">
        <v>10700</v>
      </c>
      <c r="E8777" s="7" t="s">
        <v>28</v>
      </c>
      <c r="F8777" s="8" t="str">
        <f ca="1">IFERROR(__xludf.DUMMYFUNCTION("IF
(
C8778=""фізична особа""
,
VLOOKUP(D8778,IMPORTRANGE(""https://docs.google.com/spreadsheets/d/14Bd19lYaqBhU8_DElYkX7l4wRkHqqCUFNJY4AfY3kHU/edit?usp=sharing  #gid=0"",""фіз особи new!relations_name""),6,FALSE)
,
(IF
(
C8778=""юридична особа""
,
VLOOKUP"&amp;"(D8778,IMPORTRANGE(""https://docs.google.com/spreadsheets/d/14Bd19lYaqBhU8_DElYkX7l4wRkHqqCUFNJY4AfY3kHU/edit?usp=sharing  #gid=0"",""фіз особи new!relations_name_uo""),7,FALSE)
,
)
))"),"ВАСИЛІНА Валерія Вікторівна")</f>
        <v>ВАСИЛІНА Валерія Вікторівна</v>
      </c>
      <c r="G8777" s="7" t="s">
        <v>10</v>
      </c>
      <c r="H8777" s="7">
        <v>2946</v>
      </c>
      <c r="I8777" s="8" t="str">
        <f ca="1">IFERROR(__xludf.DUMMYFUNCTION("IF
(
G8778=""фізична особа""
,
VLOOKUP(H8778,IMPORTRANGE(""https://docs.google.com/spreadsheets/d/14Bd19lYaqBhU8_DElYkX7l4wRkHqqCUFNJY4AfY3kHU/edit?usp=sharing  #gid=0"",""фіз особи new!relations_name""),6,FALSE)
,
(IF
(
G8778=""юридична особа""
,
VLOOKUP"&amp;"(H8778,IMPORTRANGE(""https://docs.google.com/spreadsheets/d/14Bd19lYaqBhU8_DElYkX7l4wRkHqqCUFNJY4AfY3kHU/edit?usp=sharing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77" s="7" t="s">
        <v>29</v>
      </c>
    </row>
    <row r="8778" spans="1:10" ht="13.2">
      <c r="A8778" s="7">
        <v>8777</v>
      </c>
      <c r="B8778" s="7">
        <v>1</v>
      </c>
      <c r="C8778" s="7" t="s">
        <v>10</v>
      </c>
      <c r="D8778" s="7">
        <v>10701</v>
      </c>
      <c r="E8778" s="7" t="s">
        <v>28</v>
      </c>
      <c r="F8778" s="8" t="str">
        <f ca="1">IFERROR(__xludf.DUMMYFUNCTION("IF
(
C8779=""фізична особа""
,
VLOOKUP(D8779,IMPORTRANGE(""https://docs.google.com/spreadsheets/d/14Bd19lYaqBhU8_DElYkX7l4wRkHqqCUFNJY4AfY3kHU/edit?usp=sharing  #gid=0"",""фіз особи new!relations_name""),6,FALSE)
,
(IF
(
C8779=""юридична особа""
,
VLOOKUP"&amp;"(D8779,IMPORTRANGE(""https://docs.google.com/spreadsheets/d/14Bd19lYaqBhU8_DElYkX7l4wRkHqqCUFNJY4AfY3kHU/edit?usp=sharing  #gid=0"",""фіз особи new!relations_name_uo""),7,FALSE)
,
)
))"),"ТРЕТЬЯКОВ Сергій Вікторович")</f>
        <v>ТРЕТЬЯКОВ Сергій Вікторович</v>
      </c>
      <c r="G8778" s="7" t="s">
        <v>10</v>
      </c>
      <c r="H8778" s="7">
        <v>2946</v>
      </c>
      <c r="I8778" s="8" t="str">
        <f ca="1">IFERROR(__xludf.DUMMYFUNCTION("IF
(
G8779=""фізична особа""
,
VLOOKUP(H8779,IMPORTRANGE(""https://docs.google.com/spreadsheets/d/14Bd19lYaqBhU8_DElYkX7l4wRkHqqCUFNJY4AfY3kHU/edit?usp=sharing  #gid=0"",""фіз особи new!relations_name""),6,FALSE)
,
(IF
(
G8779=""юридична особа""
,
VLOOKUP"&amp;"(H8779,IMPORTRANGE(""https://docs.google.com/spreadsheets/d/14Bd19lYaqBhU8_DElYkX7l4wRkHqqCUFNJY4AfY3kHU/edit?usp=sharing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78" s="7" t="s">
        <v>29</v>
      </c>
    </row>
    <row r="8779" spans="1:10" ht="13.2">
      <c r="A8779" s="7">
        <v>8778</v>
      </c>
      <c r="B8779" s="7">
        <v>1</v>
      </c>
      <c r="C8779" s="7" t="s">
        <v>10</v>
      </c>
      <c r="D8779" s="7">
        <v>10702</v>
      </c>
      <c r="E8779" s="7" t="s">
        <v>28</v>
      </c>
      <c r="F8779" s="8" t="str">
        <f ca="1">IFERROR(__xludf.DUMMYFUNCTION("IF
(
C8780=""фізична особа""
,
VLOOKUP(D8780,IMPORTRANGE(""https://docs.google.com/spreadsheets/d/14Bd19lYaqBhU8_DElYkX7l4wRkHqqCUFNJY4AfY3kHU/edit?usp=sharing  #gid=0"",""фіз особи new!relations_name""),6,FALSE)
,
(IF
(
C8780=""юридична особа""
,
VLOOKUP"&amp;"(D8780,IMPORTRANGE(""https://docs.google.com/spreadsheets/d/14Bd19lYaqBhU8_DElYkX7l4wRkHqqCUFNJY4AfY3kHU/edit?usp=sharing  #gid=0"",""фіз особи new!relations_name_uo""),7,FALSE)
,
)
))"),"СТЕФАНОВСЬКА Світлана Володимирівна")</f>
        <v>СТЕФАНОВСЬКА Світлана Володимирівна</v>
      </c>
      <c r="G8779" s="7" t="s">
        <v>10</v>
      </c>
      <c r="H8779" s="7">
        <v>2946</v>
      </c>
      <c r="I8779" s="8" t="str">
        <f ca="1">IFERROR(__xludf.DUMMYFUNCTION("IF
(
G8780=""фізична особа""
,
VLOOKUP(H8780,IMPORTRANGE(""https://docs.google.com/spreadsheets/d/14Bd19lYaqBhU8_DElYkX7l4wRkHqqCUFNJY4AfY3kHU/edit?usp=sharing  #gid=0"",""фіз особи new!relations_name""),6,FALSE)
,
(IF
(
G8780=""юридична особа""
,
VLOOKUP"&amp;"(H8780,IMPORTRANGE(""https://docs.google.com/spreadsheets/d/14Bd19lYaqBhU8_DElYkX7l4wRkHqqCUFNJY4AfY3kHU/edit?usp=sharing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79" s="7" t="s">
        <v>29</v>
      </c>
    </row>
    <row r="8780" spans="1:10" ht="13.2">
      <c r="A8780" s="7">
        <v>8779</v>
      </c>
      <c r="B8780" s="7">
        <v>1</v>
      </c>
      <c r="C8780" s="7" t="s">
        <v>10</v>
      </c>
      <c r="D8780" s="7">
        <v>10703</v>
      </c>
      <c r="E8780" s="7" t="s">
        <v>28</v>
      </c>
      <c r="F8780" s="8" t="str">
        <f ca="1">IFERROR(__xludf.DUMMYFUNCTION("IF
(
C8781=""фізична особа""
,
VLOOKUP(D8781,IMPORTRANGE(""https://docs.google.com/spreadsheets/d/14Bd19lYaqBhU8_DElYkX7l4wRkHqqCUFNJY4AfY3kHU/edit?usp=sharing  #gid=0"",""фіз особи new!relations_name""),6,FALSE)
,
(IF
(
C8781=""юридична особа""
,
VLOOKUP"&amp;"(D8781,IMPORTRANGE(""https://docs.google.com/spreadsheets/d/14Bd19lYaqBhU8_DElYkX7l4wRkHqqCUFNJY4AfY3kHU/edit?usp=sharing  #gid=0"",""фіз особи new!relations_name_uo""),7,FALSE)
,
)
))"),"АХУНЯНОВ Тимур Амірович")</f>
        <v>АХУНЯНОВ Тимур Амірович</v>
      </c>
      <c r="G8780" s="7" t="s">
        <v>10</v>
      </c>
      <c r="H8780" s="7">
        <v>2946</v>
      </c>
      <c r="I8780" s="8" t="str">
        <f ca="1">IFERROR(__xludf.DUMMYFUNCTION("IF
(
G8781=""фізична особа""
,
VLOOKUP(H8781,IMPORTRANGE(""https://docs.google.com/spreadsheets/d/14Bd19lYaqBhU8_DElYkX7l4wRkHqqCUFNJY4AfY3kHU/edit?usp=sharing  #gid=0"",""фіз особи new!relations_name""),6,FALSE)
,
(IF
(
G8781=""юридична особа""
,
VLOOKUP"&amp;"(H8781,IMPORTRANGE(""https://docs.google.com/spreadsheets/d/14Bd19lYaqBhU8_DElYkX7l4wRkHqqCUFNJY4AfY3kHU/edit?usp=sharing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80" s="7" t="s">
        <v>29</v>
      </c>
    </row>
    <row r="8781" spans="1:10" ht="13.2">
      <c r="A8781" s="7">
        <v>8780</v>
      </c>
      <c r="B8781" s="7">
        <v>1</v>
      </c>
      <c r="C8781" s="7" t="s">
        <v>10</v>
      </c>
      <c r="D8781" s="7">
        <v>10704</v>
      </c>
      <c r="E8781" s="7" t="s">
        <v>28</v>
      </c>
      <c r="F8781" s="8" t="str">
        <f ca="1">IFERROR(__xludf.DUMMYFUNCTION("IF
(
C8782=""фізична особа""
,
VLOOKUP(D8782,IMPORTRANGE(""https://docs.google.com/spreadsheets/d/14Bd19lYaqBhU8_DElYkX7l4wRkHqqCUFNJY4AfY3kHU/edit?usp=sharing  #gid=0"",""фіз особи new!relations_name""),6,FALSE)
,
(IF
(
C8782=""юридична особа""
,
VLOOKUP"&amp;"(D8782,IMPORTRANGE(""https://docs.google.com/spreadsheets/d/14Bd19lYaqBhU8_DElYkX7l4wRkHqqCUFNJY4AfY3kHU/edit?usp=sharing  #gid=0"",""фіз особи new!relations_name_uo""),7,FALSE)
,
)
))"),"ОРНАТСЬКИЙ Олександр Миколайович")</f>
        <v>ОРНАТСЬКИЙ Олександр Миколайович</v>
      </c>
      <c r="G8781" s="7" t="s">
        <v>10</v>
      </c>
      <c r="H8781" s="7">
        <v>2964</v>
      </c>
      <c r="I8781" s="8" t="str">
        <f ca="1">IFERROR(__xludf.DUMMYFUNCTION("IF
(
G8782=""фізична особа""
,
VLOOKUP(H8782,IMPORTRANGE(""https://docs.google.com/spreadsheets/d/14Bd19lYaqBhU8_DElYkX7l4wRkHqqCUFNJY4AfY3kHU/edit?usp=sharing  #gid=0"",""фіз особи new!relations_name""),6,FALSE)
,
(IF
(
G8782=""юридична особа""
,
VLOOKUP"&amp;"(H8782,IMPORTRANGE(""https://docs.google.com/spreadsheets/d/14Bd19lYaqBhU8_DElYkX7l4wRkHqqCUFNJY4AfY3kHU/edit?usp=sharing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81" s="7" t="s">
        <v>29</v>
      </c>
    </row>
    <row r="8782" spans="1:10" ht="13.2">
      <c r="A8782" s="7">
        <v>8781</v>
      </c>
      <c r="B8782" s="7">
        <v>1</v>
      </c>
      <c r="C8782" s="7" t="s">
        <v>10</v>
      </c>
      <c r="D8782" s="7">
        <v>10705</v>
      </c>
      <c r="E8782" s="7" t="s">
        <v>28</v>
      </c>
      <c r="F8782" s="8" t="str">
        <f ca="1">IFERROR(__xludf.DUMMYFUNCTION("IF
(
C8783=""фізична особа""
,
VLOOKUP(D8783,IMPORTRANGE(""https://docs.google.com/spreadsheets/d/14Bd19lYaqBhU8_DElYkX7l4wRkHqqCUFNJY4AfY3kHU/edit?usp=sharing  #gid=0"",""фіз особи new!relations_name""),6,FALSE)
,
(IF
(
C8783=""юридична особа""
,
VLOOKUP"&amp;"(D8783,IMPORTRANGE(""https://docs.google.com/spreadsheets/d/14Bd19lYaqBhU8_DElYkX7l4wRkHqqCUFNJY4AfY3kHU/edit?usp=sharing  #gid=0"",""фіз особи new!relations_name_uo""),7,FALSE)
,
)
))"),"САНДАКОВ Олег Миколайович")</f>
        <v>САНДАКОВ Олег Миколайович</v>
      </c>
      <c r="G8782" s="7" t="s">
        <v>10</v>
      </c>
      <c r="H8782" s="7">
        <v>2964</v>
      </c>
      <c r="I8782" s="8" t="str">
        <f ca="1">IFERROR(__xludf.DUMMYFUNCTION("IF
(
G8783=""фізична особа""
,
VLOOKUP(H8783,IMPORTRANGE(""https://docs.google.com/spreadsheets/d/14Bd19lYaqBhU8_DElYkX7l4wRkHqqCUFNJY4AfY3kHU/edit?usp=sharing  #gid=0"",""фіз особи new!relations_name""),6,FALSE)
,
(IF
(
G8783=""юридична особа""
,
VLOOKUP"&amp;"(H8783,IMPORTRANGE(""https://docs.google.com/spreadsheets/d/14Bd19lYaqBhU8_DElYkX7l4wRkHqqCUFNJY4AfY3kHU/edit?usp=sharing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82" s="7" t="s">
        <v>29</v>
      </c>
    </row>
    <row r="8783" spans="1:10" ht="13.2">
      <c r="A8783" s="7">
        <v>8782</v>
      </c>
      <c r="B8783" s="7">
        <v>1</v>
      </c>
      <c r="C8783" s="7" t="s">
        <v>10</v>
      </c>
      <c r="D8783" s="7">
        <v>10706</v>
      </c>
      <c r="E8783" s="7" t="s">
        <v>28</v>
      </c>
      <c r="F8783" s="8" t="str">
        <f ca="1">IFERROR(__xludf.DUMMYFUNCTION("IF
(
C8784=""фізична особа""
,
VLOOKUP(D8784,IMPORTRANGE(""https://docs.google.com/spreadsheets/d/14Bd19lYaqBhU8_DElYkX7l4wRkHqqCUFNJY4AfY3kHU/edit?usp=sharing  #gid=0"",""фіз особи new!relations_name""),6,FALSE)
,
(IF
(
C8784=""юридична особа""
,
VLOOKUP"&amp;"(D8784,IMPORTRANGE(""https://docs.google.com/spreadsheets/d/14Bd19lYaqBhU8_DElYkX7l4wRkHqqCUFNJY4AfY3kHU/edit?usp=sharing  #gid=0"",""фіз особи new!relations_name_uo""),7,FALSE)
,
)
))"),"ЧЕРНЯКОВА Тетяна Миколаївна")</f>
        <v>ЧЕРНЯКОВА Тетяна Миколаївна</v>
      </c>
      <c r="G8783" s="7" t="s">
        <v>10</v>
      </c>
      <c r="H8783" s="7">
        <v>2946</v>
      </c>
      <c r="I8783" s="8" t="str">
        <f ca="1">IFERROR(__xludf.DUMMYFUNCTION("IF
(
G8784=""фізична особа""
,
VLOOKUP(H8784,IMPORTRANGE(""https://docs.google.com/spreadsheets/d/14Bd19lYaqBhU8_DElYkX7l4wRkHqqCUFNJY4AfY3kHU/edit?usp=sharing  #gid=0"",""фіз особи new!relations_name""),6,FALSE)
,
(IF
(
G8784=""юридична особа""
,
VLOOKUP"&amp;"(H8784,IMPORTRANGE(""https://docs.google.com/spreadsheets/d/14Bd19lYaqBhU8_DElYkX7l4wRkHqqCUFNJY4AfY3kHU/edit?usp=sharing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83" s="7" t="s">
        <v>29</v>
      </c>
    </row>
    <row r="8784" spans="1:10" ht="13.2">
      <c r="A8784" s="7">
        <v>8783</v>
      </c>
      <c r="B8784" s="7">
        <v>1</v>
      </c>
      <c r="C8784" s="7" t="s">
        <v>10</v>
      </c>
      <c r="D8784" s="7">
        <v>10707</v>
      </c>
      <c r="E8784" s="7" t="s">
        <v>28</v>
      </c>
      <c r="F8784" s="8" t="str">
        <f ca="1">IFERROR(__xludf.DUMMYFUNCTION("IF
(
C8785=""фізична особа""
,
VLOOKUP(D8785,IMPORTRANGE(""https://docs.google.com/spreadsheets/d/14Bd19lYaqBhU8_DElYkX7l4wRkHqqCUFNJY4AfY3kHU/edit?usp=sharing  #gid=0"",""фіз особи new!relations_name""),6,FALSE)
,
(IF
(
C8785=""юридична особа""
,
VLOOKUP"&amp;"(D8785,IMPORTRANGE(""https://docs.google.com/spreadsheets/d/14Bd19lYaqBhU8_DElYkX7l4wRkHqqCUFNJY4AfY3kHU/edit?usp=sharing  #gid=0"",""фіз особи new!relations_name_uo""),7,FALSE)
,
)
))"),"СИРОТКІН Максим Геннадійович")</f>
        <v>СИРОТКІН Максим Геннадійович</v>
      </c>
      <c r="G8784" s="7" t="s">
        <v>10</v>
      </c>
      <c r="H8784" s="7">
        <v>2964</v>
      </c>
      <c r="I8784" s="8" t="str">
        <f ca="1">IFERROR(__xludf.DUMMYFUNCTION("IF
(
G8785=""фізична особа""
,
VLOOKUP(H8785,IMPORTRANGE(""https://docs.google.com/spreadsheets/d/14Bd19lYaqBhU8_DElYkX7l4wRkHqqCUFNJY4AfY3kHU/edit?usp=sharing  #gid=0"",""фіз особи new!relations_name""),6,FALSE)
,
(IF
(
G8785=""юридична особа""
,
VLOOKUP"&amp;"(H8785,IMPORTRANGE(""https://docs.google.com/spreadsheets/d/14Bd19lYaqBhU8_DElYkX7l4wRkHqqCUFNJY4AfY3kHU/edit?usp=sharing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84" s="7" t="s">
        <v>29</v>
      </c>
    </row>
    <row r="8785" spans="1:10" ht="13.2">
      <c r="A8785" s="7">
        <v>8784</v>
      </c>
      <c r="B8785" s="7">
        <v>1</v>
      </c>
      <c r="C8785" s="7" t="s">
        <v>10</v>
      </c>
      <c r="D8785" s="7">
        <v>10708</v>
      </c>
      <c r="E8785" s="7" t="s">
        <v>28</v>
      </c>
      <c r="F8785" s="8" t="str">
        <f ca="1">IFERROR(__xludf.DUMMYFUNCTION("IF
(
C8786=""фізична особа""
,
VLOOKUP(D8786,IMPORTRANGE(""https://docs.google.com/spreadsheets/d/14Bd19lYaqBhU8_DElYkX7l4wRkHqqCUFNJY4AfY3kHU/edit?usp=sharing  #gid=0"",""фіз особи new!relations_name""),6,FALSE)
,
(IF
(
C8786=""юридична особа""
,
VLOOKUP"&amp;"(D8786,IMPORTRANGE(""https://docs.google.com/spreadsheets/d/14Bd19lYaqBhU8_DElYkX7l4wRkHqqCUFNJY4AfY3kHU/edit?usp=sharing  #gid=0"",""фіз особи new!relations_name_uo""),7,FALSE)
,
)
))"),"ГАВРИЛОВ Андрій Вадимович")</f>
        <v>ГАВРИЛОВ Андрій Вадимович</v>
      </c>
      <c r="G8785" s="7" t="s">
        <v>10</v>
      </c>
      <c r="H8785" s="7">
        <v>2946</v>
      </c>
      <c r="I8785" s="8" t="str">
        <f ca="1">IFERROR(__xludf.DUMMYFUNCTION("IF
(
G8786=""фізична особа""
,
VLOOKUP(H8786,IMPORTRANGE(""https://docs.google.com/spreadsheets/d/14Bd19lYaqBhU8_DElYkX7l4wRkHqqCUFNJY4AfY3kHU/edit?usp=sharing  #gid=0"",""фіз особи new!relations_name""),6,FALSE)
,
(IF
(
G8786=""юридична особа""
,
VLOOKUP"&amp;"(H8786,IMPORTRANGE(""https://docs.google.com/spreadsheets/d/14Bd19lYaqBhU8_DElYkX7l4wRkHqqCUFNJY4AfY3kHU/edit?usp=sharing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85" s="7" t="s">
        <v>29</v>
      </c>
    </row>
    <row r="8786" spans="1:10" ht="13.2">
      <c r="A8786" s="7">
        <v>8785</v>
      </c>
      <c r="B8786" s="7">
        <v>1</v>
      </c>
      <c r="C8786" s="7" t="s">
        <v>10</v>
      </c>
      <c r="D8786" s="7">
        <v>10709</v>
      </c>
      <c r="E8786" s="7" t="s">
        <v>28</v>
      </c>
      <c r="F8786" s="8" t="str">
        <f ca="1">IFERROR(__xludf.DUMMYFUNCTION("IF
(
C8787=""фізична особа""
,
VLOOKUP(D8787,IMPORTRANGE(""https://docs.google.com/spreadsheets/d/14Bd19lYaqBhU8_DElYkX7l4wRkHqqCUFNJY4AfY3kHU/edit?usp=sharing  #gid=0"",""фіз особи new!relations_name""),6,FALSE)
,
(IF
(
C8787=""юридична особа""
,
VLOOKUP"&amp;"(D8787,IMPORTRANGE(""https://docs.google.com/spreadsheets/d/14Bd19lYaqBhU8_DElYkX7l4wRkHqqCUFNJY4AfY3kHU/edit?usp=sharing  #gid=0"",""фіз особи new!relations_name_uo""),7,FALSE)
,
)
))"),"ГУРА Олександр Михайлович")</f>
        <v>ГУРА Олександр Михайлович</v>
      </c>
      <c r="G8786" s="7" t="s">
        <v>10</v>
      </c>
      <c r="H8786" s="7">
        <v>2964</v>
      </c>
      <c r="I8786" s="8" t="str">
        <f ca="1">IFERROR(__xludf.DUMMYFUNCTION("IF
(
G8787=""фізична особа""
,
VLOOKUP(H8787,IMPORTRANGE(""https://docs.google.com/spreadsheets/d/14Bd19lYaqBhU8_DElYkX7l4wRkHqqCUFNJY4AfY3kHU/edit?usp=sharing  #gid=0"",""фіз особи new!relations_name""),6,FALSE)
,
(IF
(
G8787=""юридична особа""
,
VLOOKUP"&amp;"(H8787,IMPORTRANGE(""https://docs.google.com/spreadsheets/d/14Bd19lYaqBhU8_DElYkX7l4wRkHqqCUFNJY4AfY3kHU/edit?usp=sharing  #gid=0"",""фіз особи new!relations_name_uo""),7,FALSE)
,
)
))"),"СОВЄТНІКОВ Іван Васильович")</f>
        <v>СОВЄТНІКОВ Іван Васильович</v>
      </c>
      <c r="J8786" s="7" t="s">
        <v>29</v>
      </c>
    </row>
    <row r="8787" spans="1:10" ht="13.2">
      <c r="A8787" s="7">
        <v>8786</v>
      </c>
      <c r="B8787" s="7">
        <v>1</v>
      </c>
      <c r="C8787" s="7" t="s">
        <v>10</v>
      </c>
      <c r="D8787" s="7">
        <v>10710</v>
      </c>
      <c r="E8787" s="7" t="s">
        <v>28</v>
      </c>
      <c r="F8787" s="8" t="str">
        <f ca="1">IFERROR(__xludf.DUMMYFUNCTION("IF
(
C8788=""фізична особа""
,
VLOOKUP(D8788,IMPORTRANGE(""https://docs.google.com/spreadsheets/d/14Bd19lYaqBhU8_DElYkX7l4wRkHqqCUFNJY4AfY3kHU/edit?usp=sharing  #gid=0"",""фіз особи new!relations_name""),6,FALSE)
,
(IF
(
C8788=""юридична особа""
,
VLOOKUP"&amp;"(D8788,IMPORTRANGE(""https://docs.google.com/spreadsheets/d/14Bd19lYaqBhU8_DElYkX7l4wRkHqqCUFNJY4AfY3kHU/edit?usp=sharing  #gid=0"",""фіз особи new!relations_name_uo""),7,FALSE)
,
)
))"),"КАЗАКОВ Віктор Вікторович")</f>
        <v>КАЗАКОВ Віктор Вікторович</v>
      </c>
      <c r="G8787" s="7" t="s">
        <v>10</v>
      </c>
      <c r="H8787" s="7">
        <v>2946</v>
      </c>
      <c r="I8787" s="8" t="str">
        <f ca="1">IFERROR(__xludf.DUMMYFUNCTION("IF
(
G8788=""фізична особа""
,
VLOOKUP(H8788,IMPORTRANGE(""https://docs.google.com/spreadsheets/d/14Bd19lYaqBhU8_DElYkX7l4wRkHqqCUFNJY4AfY3kHU/edit?usp=sharing  #gid=0"",""фіз особи new!relations_name""),6,FALSE)
,
(IF
(
G8788=""юридична особа""
,
VLOOKUP"&amp;"(H8788,IMPORTRANGE(""https://docs.google.com/spreadsheets/d/14Bd19lYaqBhU8_DElYkX7l4wRkHqqCUFNJY4AfY3kHU/edit?usp=sharing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8787" s="7" t="s">
        <v>29</v>
      </c>
    </row>
    <row r="8788" spans="1:10" ht="13.2">
      <c r="A8788" s="7">
        <v>8787</v>
      </c>
      <c r="B8788" s="7">
        <v>1</v>
      </c>
      <c r="C8788" s="7" t="s">
        <v>10</v>
      </c>
      <c r="D8788" s="7">
        <v>10711</v>
      </c>
      <c r="E8788" s="7" t="s">
        <v>28</v>
      </c>
      <c r="F8788" s="8" t="str">
        <f ca="1">IFERROR(__xludf.DUMMYFUNCTION("IF
(
C8789=""фізична особа""
,
VLOOKUP(D8789,IMPORTRANGE(""https://docs.google.com/spreadsheets/d/14Bd19lYaqBhU8_DElYkX7l4wRkHqqCUFNJY4AfY3kHU/edit?usp=sharing  #gid=0"",""фіз особи new!relations_name""),6,FALSE)
,
(IF
(
C8789=""юридична особа""
,
VLOOKUP"&amp;"(D8789,IMPORTRANGE(""https://docs.google.com/spreadsheets/d/14Bd19lYaqBhU8_DElYkX7l4wRkHqqCUFNJY4AfY3kHU/edit?usp=sharing  #gid=0"",""фіз особи new!relations_name_uo""),7,FALSE)
,
)
))"),"ВІДАШЕВ Ігор Ігорович")</f>
        <v>ВІДАШЕВ Ігор Ігорович</v>
      </c>
      <c r="G8788" s="7" t="s">
        <v>10</v>
      </c>
      <c r="H8788" s="7">
        <v>2969</v>
      </c>
      <c r="I8788" s="8" t="str">
        <f ca="1">IFERROR(__xludf.DUMMYFUNCTION("IF
(
G8789=""фізична особа""
,
VLOOKUP(H8789,IMPORTRANGE(""https://docs.google.com/spreadsheets/d/14Bd19lYaqBhU8_DElYkX7l4wRkHqqCUFNJY4AfY3kHU/edit?usp=sharing  #gid=0"",""фіз особи new!relations_name""),6,FALSE)
,
(IF
(
G8789=""юридична особа""
,
VLOOKUP"&amp;"(H8789,IMPORTRANGE(""https://docs.google.com/spreadsheets/d/14Bd19lYaqBhU8_DElYkX7l4wRkHqqCUFNJY4AfY3kHU/edit?usp=sharing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788" s="7" t="s">
        <v>29</v>
      </c>
    </row>
    <row r="8789" spans="1:10" ht="13.2">
      <c r="A8789" s="7">
        <v>8788</v>
      </c>
      <c r="B8789" s="7">
        <v>1</v>
      </c>
      <c r="C8789" s="7" t="s">
        <v>10</v>
      </c>
      <c r="D8789" s="7">
        <v>10712</v>
      </c>
      <c r="E8789" s="7" t="s">
        <v>28</v>
      </c>
      <c r="F8789" s="8" t="str">
        <f ca="1">IFERROR(__xludf.DUMMYFUNCTION("IF
(
C8790=""фізична особа""
,
VLOOKUP(D8790,IMPORTRANGE(""https://docs.google.com/spreadsheets/d/14Bd19lYaqBhU8_DElYkX7l4wRkHqqCUFNJY4AfY3kHU/edit?usp=sharing  #gid=0"",""фіз особи new!relations_name""),6,FALSE)
,
(IF
(
C8790=""юридична особа""
,
VLOOKUP"&amp;"(D8790,IMPORTRANGE(""https://docs.google.com/spreadsheets/d/14Bd19lYaqBhU8_DElYkX7l4wRkHqqCUFNJY4AfY3kHU/edit?usp=sharing  #gid=0"",""фіз особи new!relations_name_uo""),7,FALSE)
,
)
))"),"ГЕРАСИМОВ Сергій Єрмагенович")</f>
        <v>ГЕРАСИМОВ Сергій Єрмагенович</v>
      </c>
      <c r="G8789" s="7" t="s">
        <v>10</v>
      </c>
      <c r="H8789" s="7">
        <v>2969</v>
      </c>
      <c r="I8789" s="8" t="str">
        <f ca="1">IFERROR(__xludf.DUMMYFUNCTION("IF
(
G8790=""фізична особа""
,
VLOOKUP(H8790,IMPORTRANGE(""https://docs.google.com/spreadsheets/d/14Bd19lYaqBhU8_DElYkX7l4wRkHqqCUFNJY4AfY3kHU/edit?usp=sharing  #gid=0"",""фіз особи new!relations_name""),6,FALSE)
,
(IF
(
G8790=""юридична особа""
,
VLOOKUP"&amp;"(H8790,IMPORTRANGE(""https://docs.google.com/spreadsheets/d/14Bd19lYaqBhU8_DElYkX7l4wRkHqqCUFNJY4AfY3kHU/edit?usp=sharing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789" s="7" t="s">
        <v>29</v>
      </c>
    </row>
    <row r="8790" spans="1:10" ht="13.2">
      <c r="A8790" s="7">
        <v>8789</v>
      </c>
      <c r="B8790" s="7">
        <v>1</v>
      </c>
      <c r="C8790" s="7" t="s">
        <v>10</v>
      </c>
      <c r="D8790" s="7">
        <v>10713</v>
      </c>
      <c r="E8790" s="7" t="s">
        <v>28</v>
      </c>
      <c r="F8790" s="8" t="str">
        <f ca="1">IFERROR(__xludf.DUMMYFUNCTION("IF
(
C8791=""фізична особа""
,
VLOOKUP(D8791,IMPORTRANGE(""https://docs.google.com/spreadsheets/d/14Bd19lYaqBhU8_DElYkX7l4wRkHqqCUFNJY4AfY3kHU/edit?usp=sharing  #gid=0"",""фіз особи new!relations_name""),6,FALSE)
,
(IF
(
C8791=""юридична особа""
,
VLOOKUP"&amp;"(D8791,IMPORTRANGE(""https://docs.google.com/spreadsheets/d/14Bd19lYaqBhU8_DElYkX7l4wRkHqqCUFNJY4AfY3kHU/edit?usp=sharing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0" s="7" t="s">
        <v>10</v>
      </c>
      <c r="H8790" s="7">
        <v>2969</v>
      </c>
      <c r="I8790" s="8" t="str">
        <f ca="1">IFERROR(__xludf.DUMMYFUNCTION("IF
(
G8791=""фізична особа""
,
VLOOKUP(H8791,IMPORTRANGE(""https://docs.google.com/spreadsheets/d/14Bd19lYaqBhU8_DElYkX7l4wRkHqqCUFNJY4AfY3kHU/edit?usp=sharing  #gid=0"",""фіз особи new!relations_name""),6,FALSE)
,
(IF
(
G8791=""юридична особа""
,
VLOOKUP"&amp;"(H8791,IMPORTRANGE(""https://docs.google.com/spreadsheets/d/14Bd19lYaqBhU8_DElYkX7l4wRkHqqCUFNJY4AfY3kHU/edit?usp=sharing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790" s="7" t="s">
        <v>29</v>
      </c>
    </row>
    <row r="8791" spans="1:10" ht="13.2">
      <c r="A8791" s="7">
        <v>8790</v>
      </c>
      <c r="B8791" s="7">
        <v>1</v>
      </c>
      <c r="C8791" s="7" t="s">
        <v>10</v>
      </c>
      <c r="D8791" s="7">
        <v>10713</v>
      </c>
      <c r="E8791" s="7" t="s">
        <v>35</v>
      </c>
      <c r="F8791" s="8" t="str">
        <f ca="1">IFERROR(__xludf.DUMMYFUNCTION("IF
(
C8792=""фізична особа""
,
VLOOKUP(D8792,IMPORTRANGE(""https://docs.google.com/spreadsheets/d/14Bd19lYaqBhU8_DElYkX7l4wRkHqqCUFNJY4AfY3kHU/edit?usp=sharing  #gid=0"",""фіз особи new!relations_name""),6,FALSE)
,
(IF
(
C8792=""юридична особа""
,
VLOOKUP"&amp;"(D8792,IMPORTRANGE(""https://docs.google.com/spreadsheets/d/14Bd19lYaqBhU8_DElYkX7l4wRkHqqCUFNJY4AfY3kHU/edit?usp=sharing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1" s="7" t="s">
        <v>10</v>
      </c>
      <c r="H8791" s="7">
        <v>10716</v>
      </c>
      <c r="I8791" s="8" t="str">
        <f ca="1">IFERROR(__xludf.DUMMYFUNCTION("IF
(
G8792=""фізична особа""
,
VLOOKUP(H8792,IMPORTRANGE(""https://docs.google.com/spreadsheets/d/14Bd19lYaqBhU8_DElYkX7l4wRkHqqCUFNJY4AfY3kHU/edit?usp=sharing  #gid=0"",""фіз особи new!relations_name""),6,FALSE)
,
(IF
(
G8792=""юридична особа""
,
VLOOKUP"&amp;"(H8792,IMPORTRANGE(""https://docs.google.com/spreadsheets/d/14Bd19lYaqBhU8_DElYkX7l4wRkHqqCUFNJY4AfY3kHU/edit?usp=sharing  #gid=0"",""фіз особи new!relations_name_uo""),7,FALSE)
,
)
))"),"МЕЛЮК Василь Олегович")</f>
        <v>МЕЛЮК Василь Олегович</v>
      </c>
      <c r="J8791" s="7" t="s">
        <v>35</v>
      </c>
    </row>
    <row r="8792" spans="1:10" ht="13.2">
      <c r="A8792" s="7">
        <v>8791</v>
      </c>
      <c r="B8792" s="7">
        <v>1</v>
      </c>
      <c r="C8792" s="7" t="s">
        <v>10</v>
      </c>
      <c r="D8792" s="7">
        <v>10713</v>
      </c>
      <c r="E8792" s="7" t="s">
        <v>29</v>
      </c>
      <c r="F8792" s="8" t="str">
        <f ca="1">IFERROR(__xludf.DUMMYFUNCTION("IF
(
C8793=""фізична особа""
,
VLOOKUP(D8793,IMPORTRANGE(""https://docs.google.com/spreadsheets/d/14Bd19lYaqBhU8_DElYkX7l4wRkHqqCUFNJY4AfY3kHU/edit?usp=sharing  #gid=0"",""фіз особи new!relations_name""),6,FALSE)
,
(IF
(
C8793=""юридична особа""
,
VLOOKUP"&amp;"(D8793,IMPORTRANGE(""https://docs.google.com/spreadsheets/d/14Bd19lYaqBhU8_DElYkX7l4wRkHqqCUFNJY4AfY3kHU/edit?usp=sharing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2" s="7" t="s">
        <v>10</v>
      </c>
      <c r="H8792" s="7">
        <v>0</v>
      </c>
      <c r="I8792" s="8" t="str">
        <f ca="1">IFERROR(__xludf.DUMMYFUNCTION("IF
(
G8793=""фізична особа""
,
VLOOKUP(H8793,IMPORTRANGE(""https://docs.google.com/spreadsheets/d/14Bd19lYaqBhU8_DElYkX7l4wRkHqqCUFNJY4AfY3kHU/edit?usp=sharing  #gid=0"",""фіз особи new!relations_name""),6,FALSE)
,
(IF
(
G8793=""юридична особа""
,
VLOOKUP"&amp;"(H8793,IMPORTRANGE(""https://docs.google.com/spreadsheets/d/14Bd19lYaqBhU8_DElYkX7l4wRkHqqCUFNJY4AfY3kHU/edit?usp=sharing  #gid=0"",""фіз особи new!relations_name_uo""),7,FALSE)
,
)
))"),"#N/A")</f>
        <v>#N/A</v>
      </c>
      <c r="J8792" s="7" t="s">
        <v>28</v>
      </c>
    </row>
    <row r="8793" spans="1:10" ht="13.2">
      <c r="A8793" s="7">
        <v>8792</v>
      </c>
      <c r="B8793" s="7">
        <v>1</v>
      </c>
      <c r="C8793" s="7" t="s">
        <v>10</v>
      </c>
      <c r="D8793" s="7">
        <v>10713</v>
      </c>
      <c r="E8793" s="7" t="s">
        <v>29</v>
      </c>
      <c r="F8793" s="8" t="str">
        <f ca="1">IFERROR(__xludf.DUMMYFUNCTION("IF
(
C8794=""фізична особа""
,
VLOOKUP(D8794,IMPORTRANGE(""https://docs.google.com/spreadsheets/d/14Bd19lYaqBhU8_DElYkX7l4wRkHqqCUFNJY4AfY3kHU/edit?usp=sharing  #gid=0"",""фіз особи new!relations_name""),6,FALSE)
,
(IF
(
C8794=""юридична особа""
,
VLOOKUP"&amp;"(D8794,IMPORTRANGE(""https://docs.google.com/spreadsheets/d/14Bd19lYaqBhU8_DElYkX7l4wRkHqqCUFNJY4AfY3kHU/edit?usp=sharing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3" s="7" t="s">
        <v>10</v>
      </c>
      <c r="H8793" s="7">
        <v>0</v>
      </c>
      <c r="I8793" s="8" t="str">
        <f ca="1">IFERROR(__xludf.DUMMYFUNCTION("IF
(
G8794=""фізична особа""
,
VLOOKUP(H8794,IMPORTRANGE(""https://docs.google.com/spreadsheets/d/14Bd19lYaqBhU8_DElYkX7l4wRkHqqCUFNJY4AfY3kHU/edit?usp=sharing  #gid=0"",""фіз особи new!relations_name""),6,FALSE)
,
(IF
(
G8794=""юридична особа""
,
VLOOKUP"&amp;"(H8794,IMPORTRANGE(""https://docs.google.com/spreadsheets/d/14Bd19lYaqBhU8_DElYkX7l4wRkHqqCUFNJY4AfY3kHU/edit?usp=sharing  #gid=0"",""фіз особи new!relations_name_uo""),7,FALSE)
,
)
))"),"#N/A")</f>
        <v>#N/A</v>
      </c>
      <c r="J8793" s="7" t="s">
        <v>28</v>
      </c>
    </row>
    <row r="8794" spans="1:10" ht="13.2">
      <c r="A8794" s="7">
        <v>8793</v>
      </c>
      <c r="B8794" s="7">
        <v>1</v>
      </c>
      <c r="C8794" s="7" t="s">
        <v>10</v>
      </c>
      <c r="D8794" s="7">
        <v>10713</v>
      </c>
      <c r="E8794" s="7" t="s">
        <v>29</v>
      </c>
      <c r="F8794" s="8" t="str">
        <f ca="1">IFERROR(__xludf.DUMMYFUNCTION("IF
(
C8795=""фізична особа""
,
VLOOKUP(D8795,IMPORTRANGE(""https://docs.google.com/spreadsheets/d/14Bd19lYaqBhU8_DElYkX7l4wRkHqqCUFNJY4AfY3kHU/edit?usp=sharing  #gid=0"",""фіз особи new!relations_name""),6,FALSE)
,
(IF
(
C8795=""юридична особа""
,
VLOOKUP"&amp;"(D8795,IMPORTRANGE(""https://docs.google.com/spreadsheets/d/14Bd19lYaqBhU8_DElYkX7l4wRkHqqCUFNJY4AfY3kHU/edit?usp=sharing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4" s="7" t="s">
        <v>10</v>
      </c>
      <c r="H8794" s="7">
        <v>0</v>
      </c>
      <c r="I8794" s="8" t="str">
        <f ca="1">IFERROR(__xludf.DUMMYFUNCTION("IF
(
G8795=""фізична особа""
,
VLOOKUP(H8795,IMPORTRANGE(""https://docs.google.com/spreadsheets/d/14Bd19lYaqBhU8_DElYkX7l4wRkHqqCUFNJY4AfY3kHU/edit?usp=sharing  #gid=0"",""фіз особи new!relations_name""),6,FALSE)
,
(IF
(
G8795=""юридична особа""
,
VLOOKUP"&amp;"(H8795,IMPORTRANGE(""https://docs.google.com/spreadsheets/d/14Bd19lYaqBhU8_DElYkX7l4wRkHqqCUFNJY4AfY3kHU/edit?usp=sharing  #gid=0"",""фіз особи new!relations_name_uo""),7,FALSE)
,
)
))"),"#N/A")</f>
        <v>#N/A</v>
      </c>
      <c r="J8794" s="7" t="s">
        <v>28</v>
      </c>
    </row>
    <row r="8795" spans="1:10" ht="13.2">
      <c r="A8795" s="7">
        <v>8794</v>
      </c>
      <c r="B8795" s="7">
        <v>1</v>
      </c>
      <c r="C8795" s="7" t="s">
        <v>10</v>
      </c>
      <c r="D8795" s="7">
        <v>10713</v>
      </c>
      <c r="E8795" s="7" t="s">
        <v>29</v>
      </c>
      <c r="F8795" s="8" t="str">
        <f ca="1">IFERROR(__xludf.DUMMYFUNCTION("IF
(
C8796=""фізична особа""
,
VLOOKUP(D8796,IMPORTRANGE(""https://docs.google.com/spreadsheets/d/14Bd19lYaqBhU8_DElYkX7l4wRkHqqCUFNJY4AfY3kHU/edit?usp=sharing  #gid=0"",""фіз особи new!relations_name""),6,FALSE)
,
(IF
(
C8796=""юридична особа""
,
VLOOKUP"&amp;"(D8796,IMPORTRANGE(""https://docs.google.com/spreadsheets/d/14Bd19lYaqBhU8_DElYkX7l4wRkHqqCUFNJY4AfY3kHU/edit?usp=sharing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G8795" s="7" t="s">
        <v>10</v>
      </c>
      <c r="H8795" s="7">
        <v>0</v>
      </c>
      <c r="I8795" s="8" t="str">
        <f ca="1">IFERROR(__xludf.DUMMYFUNCTION("IF
(
G8796=""фізична особа""
,
VLOOKUP(H8796,IMPORTRANGE(""https://docs.google.com/spreadsheets/d/14Bd19lYaqBhU8_DElYkX7l4wRkHqqCUFNJY4AfY3kHU/edit?usp=sharing  #gid=0"",""фіз особи new!relations_name""),6,FALSE)
,
(IF
(
G8796=""юридична особа""
,
VLOOKUP"&amp;"(H8796,IMPORTRANGE(""https://docs.google.com/spreadsheets/d/14Bd19lYaqBhU8_DElYkX7l4wRkHqqCUFNJY4AfY3kHU/edit?usp=sharing  #gid=0"",""фіз особи new!relations_name_uo""),7,FALSE)
,
)
))"),"#N/A")</f>
        <v>#N/A</v>
      </c>
      <c r="J8795" s="7" t="s">
        <v>28</v>
      </c>
    </row>
    <row r="8796" spans="1:10" ht="13.2">
      <c r="A8796" s="7">
        <v>8795</v>
      </c>
      <c r="B8796" s="7">
        <v>1</v>
      </c>
      <c r="C8796" s="7" t="s">
        <v>10</v>
      </c>
      <c r="D8796" s="7">
        <v>10714</v>
      </c>
      <c r="E8796" s="7" t="s">
        <v>28</v>
      </c>
      <c r="F8796" s="8" t="str">
        <f ca="1">IFERROR(__xludf.DUMMYFUNCTION("IF
(
C8797=""фізична особа""
,
VLOOKUP(D8797,IMPORTRANGE(""https://docs.google.com/spreadsheets/d/14Bd19lYaqBhU8_DElYkX7l4wRkHqqCUFNJY4AfY3kHU/edit?usp=sharing  #gid=0"",""фіз особи new!relations_name""),6,FALSE)
,
(IF
(
C8797=""юридична особа""
,
VLOOKUP"&amp;"(D8797,IMPORTRANGE(""https://docs.google.com/spreadsheets/d/14Bd19lYaqBhU8_DElYkX7l4wRkHqqCUFNJY4AfY3kHU/edit?usp=sharing  #gid=0"",""фіз особи new!relations_name_uo""),7,FALSE)
,
)
))"),"ЧЕРЕМУШКІН Віталій Валентинович")</f>
        <v>ЧЕРЕМУШКІН Віталій Валентинович</v>
      </c>
      <c r="G8796" s="7" t="s">
        <v>10</v>
      </c>
      <c r="H8796" s="7">
        <v>2969</v>
      </c>
      <c r="I8796" s="8" t="str">
        <f ca="1">IFERROR(__xludf.DUMMYFUNCTION("IF
(
G8797=""фізична особа""
,
VLOOKUP(H8797,IMPORTRANGE(""https://docs.google.com/spreadsheets/d/14Bd19lYaqBhU8_DElYkX7l4wRkHqqCUFNJY4AfY3kHU/edit?usp=sharing  #gid=0"",""фіз особи new!relations_name""),6,FALSE)
,
(IF
(
G8797=""юридична особа""
,
VLOOKUP"&amp;"(H8797,IMPORTRANGE(""https://docs.google.com/spreadsheets/d/14Bd19lYaqBhU8_DElYkX7l4wRkHqqCUFNJY4AfY3kHU/edit?usp=sharing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796" s="7" t="s">
        <v>29</v>
      </c>
    </row>
    <row r="8797" spans="1:10" ht="13.2">
      <c r="A8797" s="7">
        <v>8796</v>
      </c>
      <c r="B8797" s="7">
        <v>1</v>
      </c>
      <c r="C8797" s="7" t="s">
        <v>10</v>
      </c>
      <c r="D8797" s="7">
        <v>10715</v>
      </c>
      <c r="E8797" s="7" t="s">
        <v>28</v>
      </c>
      <c r="F8797" s="8" t="str">
        <f ca="1">IFERROR(__xludf.DUMMYFUNCTION("IF
(
C8798=""фізична особа""
,
VLOOKUP(D8798,IMPORTRANGE(""https://docs.google.com/spreadsheets/d/14Bd19lYaqBhU8_DElYkX7l4wRkHqqCUFNJY4AfY3kHU/edit?usp=sharing  #gid=0"",""фіз особи new!relations_name""),6,FALSE)
,
(IF
(
C8798=""юридична особа""
,
VLOOKUP"&amp;"(D8798,IMPORTRANGE(""https://docs.google.com/spreadsheets/d/14Bd19lYaqBhU8_DElYkX7l4wRkHqqCUFNJY4AfY3kHU/edit?usp=sharing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797" s="7" t="s">
        <v>10</v>
      </c>
      <c r="H8797" s="7">
        <v>2969</v>
      </c>
      <c r="I8797" s="8" t="str">
        <f ca="1">IFERROR(__xludf.DUMMYFUNCTION("IF
(
G8798=""фізична особа""
,
VLOOKUP(H8798,IMPORTRANGE(""https://docs.google.com/spreadsheets/d/14Bd19lYaqBhU8_DElYkX7l4wRkHqqCUFNJY4AfY3kHU/edit?usp=sharing  #gid=0"",""фіз особи new!relations_name""),6,FALSE)
,
(IF
(
G8798=""юридична особа""
,
VLOOKUP"&amp;"(H8798,IMPORTRANGE(""https://docs.google.com/spreadsheets/d/14Bd19lYaqBhU8_DElYkX7l4wRkHqqCUFNJY4AfY3kHU/edit?usp=sharing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797" s="7" t="s">
        <v>29</v>
      </c>
    </row>
    <row r="8798" spans="1:10" ht="13.2">
      <c r="A8798" s="7">
        <v>8797</v>
      </c>
      <c r="B8798" s="7">
        <v>1</v>
      </c>
      <c r="C8798" s="7" t="s">
        <v>10</v>
      </c>
      <c r="D8798" s="7">
        <v>10715</v>
      </c>
      <c r="E8798" s="7" t="s">
        <v>14</v>
      </c>
      <c r="F8798" s="8" t="str">
        <f ca="1">IFERROR(__xludf.DUMMYFUNCTION("IF
(
C8799=""фізична особа""
,
VLOOKUP(D8799,IMPORTRANGE(""https://docs.google.com/spreadsheets/d/14Bd19lYaqBhU8_DElYkX7l4wRkHqqCUFNJY4AfY3kHU/edit?usp=sharing  #gid=0"",""фіз особи new!relations_name""),6,FALSE)
,
(IF
(
C8799=""юридична особа""
,
VLOOKUP"&amp;"(D8799,IMPORTRANGE(""https://docs.google.com/spreadsheets/d/14Bd19lYaqBhU8_DElYkX7l4wRkHqqCUFNJY4AfY3kHU/edit?usp=sharing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798" s="7" t="s">
        <v>10</v>
      </c>
      <c r="H8798" s="7">
        <v>0</v>
      </c>
      <c r="I8798" s="8" t="str">
        <f ca="1">IFERROR(__xludf.DUMMYFUNCTION("IF
(
G8799=""фізична особа""
,
VLOOKUP(H8799,IMPORTRANGE(""https://docs.google.com/spreadsheets/d/14Bd19lYaqBhU8_DElYkX7l4wRkHqqCUFNJY4AfY3kHU/edit?usp=sharing  #gid=0"",""фіз особи new!relations_name""),6,FALSE)
,
(IF
(
G8799=""юридична особа""
,
VLOOKUP"&amp;"(H8799,IMPORTRANGE(""https://docs.google.com/spreadsheets/d/14Bd19lYaqBhU8_DElYkX7l4wRkHqqCUFNJY4AfY3kHU/edit?usp=sharing  #gid=0"",""фіз особи new!relations_name_uo""),7,FALSE)
,
)
))"),"#N/A")</f>
        <v>#N/A</v>
      </c>
      <c r="J8798" s="7" t="s">
        <v>15</v>
      </c>
    </row>
    <row r="8799" spans="1:10" ht="13.2">
      <c r="A8799" s="7">
        <v>8798</v>
      </c>
      <c r="B8799" s="7">
        <v>1</v>
      </c>
      <c r="C8799" s="7" t="s">
        <v>10</v>
      </c>
      <c r="D8799" s="7">
        <v>10715</v>
      </c>
      <c r="E8799" s="7" t="s">
        <v>12</v>
      </c>
      <c r="F8799" s="8" t="str">
        <f ca="1">IFERROR(__xludf.DUMMYFUNCTION("IF
(
C8800=""фізична особа""
,
VLOOKUP(D8800,IMPORTRANGE(""https://docs.google.com/spreadsheets/d/14Bd19lYaqBhU8_DElYkX7l4wRkHqqCUFNJY4AfY3kHU/edit?usp=sharing  #gid=0"",""фіз особи new!relations_name""),6,FALSE)
,
(IF
(
C8800=""юридична особа""
,
VLOOKUP"&amp;"(D8800,IMPORTRANGE(""https://docs.google.com/spreadsheets/d/14Bd19lYaqBhU8_DElYkX7l4wRkHqqCUFNJY4AfY3kHU/edit?usp=sharing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799" s="7" t="s">
        <v>10</v>
      </c>
      <c r="H8799" s="7">
        <v>0</v>
      </c>
      <c r="I8799" s="8" t="str">
        <f ca="1">IFERROR(__xludf.DUMMYFUNCTION("IF
(
G8800=""фізична особа""
,
VLOOKUP(H8800,IMPORTRANGE(""https://docs.google.com/spreadsheets/d/14Bd19lYaqBhU8_DElYkX7l4wRkHqqCUFNJY4AfY3kHU/edit?usp=sharing  #gid=0"",""фіз особи new!relations_name""),6,FALSE)
,
(IF
(
G8800=""юридична особа""
,
VLOOKUP"&amp;"(H8800,IMPORTRANGE(""https://docs.google.com/spreadsheets/d/14Bd19lYaqBhU8_DElYkX7l4wRkHqqCUFNJY4AfY3kHU/edit?usp=sharing  #gid=0"",""фіз особи new!relations_name_uo""),7,FALSE)
,
)
))"),"#N/A")</f>
        <v>#N/A</v>
      </c>
      <c r="J8799" s="7" t="s">
        <v>17</v>
      </c>
    </row>
    <row r="8800" spans="1:10" ht="13.2">
      <c r="A8800" s="7">
        <v>8799</v>
      </c>
      <c r="B8800" s="7">
        <v>1</v>
      </c>
      <c r="C8800" s="7" t="s">
        <v>10</v>
      </c>
      <c r="D8800" s="7">
        <v>10715</v>
      </c>
      <c r="E8800" s="7" t="s">
        <v>29</v>
      </c>
      <c r="F8800" s="8" t="str">
        <f ca="1">IFERROR(__xludf.DUMMYFUNCTION("IF
(
C8801=""фізична особа""
,
VLOOKUP(D8801,IMPORTRANGE(""https://docs.google.com/spreadsheets/d/14Bd19lYaqBhU8_DElYkX7l4wRkHqqCUFNJY4AfY3kHU/edit?usp=sharing  #gid=0"",""фіз особи new!relations_name""),6,FALSE)
,
(IF
(
C8801=""юридична особа""
,
VLOOKUP"&amp;"(D8801,IMPORTRANGE(""https://docs.google.com/spreadsheets/d/14Bd19lYaqBhU8_DElYkX7l4wRkHqqCUFNJY4AfY3kHU/edit?usp=sharing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800" s="7" t="s">
        <v>10</v>
      </c>
      <c r="H8800" s="7">
        <v>0</v>
      </c>
      <c r="I8800" s="8" t="str">
        <f ca="1">IFERROR(__xludf.DUMMYFUNCTION("IF
(
G8801=""фізична особа""
,
VLOOKUP(H8801,IMPORTRANGE(""https://docs.google.com/spreadsheets/d/14Bd19lYaqBhU8_DElYkX7l4wRkHqqCUFNJY4AfY3kHU/edit?usp=sharing  #gid=0"",""фіз особи new!relations_name""),6,FALSE)
,
(IF
(
G8801=""юридична особа""
,
VLOOKUP"&amp;"(H8801,IMPORTRANGE(""https://docs.google.com/spreadsheets/d/14Bd19lYaqBhU8_DElYkX7l4wRkHqqCUFNJY4AfY3kHU/edit?usp=sharing  #gid=0"",""фіз особи new!relations_name_uo""),7,FALSE)
,
)
))"),"#N/A")</f>
        <v>#N/A</v>
      </c>
      <c r="J8800" s="7" t="s">
        <v>28</v>
      </c>
    </row>
    <row r="8801" spans="1:10" ht="13.2">
      <c r="A8801" s="7">
        <v>8800</v>
      </c>
      <c r="B8801" s="7">
        <v>1</v>
      </c>
      <c r="C8801" s="7" t="s">
        <v>10</v>
      </c>
      <c r="D8801" s="7">
        <v>10715</v>
      </c>
      <c r="E8801" s="7" t="s">
        <v>29</v>
      </c>
      <c r="F8801" s="8" t="str">
        <f ca="1">IFERROR(__xludf.DUMMYFUNCTION("IF
(
C8802=""фізична особа""
,
VLOOKUP(D8802,IMPORTRANGE(""https://docs.google.com/spreadsheets/d/14Bd19lYaqBhU8_DElYkX7l4wRkHqqCUFNJY4AfY3kHU/edit?usp=sharing  #gid=0"",""фіз особи new!relations_name""),6,FALSE)
,
(IF
(
C8802=""юридична особа""
,
VLOOKUP"&amp;"(D8802,IMPORTRANGE(""https://docs.google.com/spreadsheets/d/14Bd19lYaqBhU8_DElYkX7l4wRkHqqCUFNJY4AfY3kHU/edit?usp=sharing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801" s="7" t="s">
        <v>10</v>
      </c>
      <c r="H8801" s="7">
        <v>0</v>
      </c>
      <c r="I8801" s="8" t="str">
        <f ca="1">IFERROR(__xludf.DUMMYFUNCTION("IF
(
G8802=""фізична особа""
,
VLOOKUP(H8802,IMPORTRANGE(""https://docs.google.com/spreadsheets/d/14Bd19lYaqBhU8_DElYkX7l4wRkHqqCUFNJY4AfY3kHU/edit?usp=sharing  #gid=0"",""фіз особи new!relations_name""),6,FALSE)
,
(IF
(
G8802=""юридична особа""
,
VLOOKUP"&amp;"(H8802,IMPORTRANGE(""https://docs.google.com/spreadsheets/d/14Bd19lYaqBhU8_DElYkX7l4wRkHqqCUFNJY4AfY3kHU/edit?usp=sharing  #gid=0"",""фіз особи new!relations_name_uo""),7,FALSE)
,
)
))"),"#N/A")</f>
        <v>#N/A</v>
      </c>
      <c r="J8801" s="7" t="s">
        <v>28</v>
      </c>
    </row>
    <row r="8802" spans="1:10" ht="13.2">
      <c r="A8802" s="7">
        <v>8801</v>
      </c>
      <c r="B8802" s="7">
        <v>1</v>
      </c>
      <c r="C8802" s="7" t="s">
        <v>10</v>
      </c>
      <c r="D8802" s="7">
        <v>10715</v>
      </c>
      <c r="E8802" s="7" t="s">
        <v>29</v>
      </c>
      <c r="F8802" s="8" t="str">
        <f ca="1">IFERROR(__xludf.DUMMYFUNCTION("IF
(
C8803=""фізична особа""
,
VLOOKUP(D8803,IMPORTRANGE(""https://docs.google.com/spreadsheets/d/14Bd19lYaqBhU8_DElYkX7l4wRkHqqCUFNJY4AfY3kHU/edit?usp=sharing  #gid=0"",""фіз особи new!relations_name""),6,FALSE)
,
(IF
(
C8803=""юридична особа""
,
VLOOKUP"&amp;"(D8803,IMPORTRANGE(""https://docs.google.com/spreadsheets/d/14Bd19lYaqBhU8_DElYkX7l4wRkHqqCUFNJY4AfY3kHU/edit?usp=sharing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802" s="7" t="s">
        <v>10</v>
      </c>
      <c r="H8802" s="7">
        <v>0</v>
      </c>
      <c r="I8802" s="8" t="str">
        <f ca="1">IFERROR(__xludf.DUMMYFUNCTION("IF
(
G8803=""фізична особа""
,
VLOOKUP(H8803,IMPORTRANGE(""https://docs.google.com/spreadsheets/d/14Bd19lYaqBhU8_DElYkX7l4wRkHqqCUFNJY4AfY3kHU/edit?usp=sharing  #gid=0"",""фіз особи new!relations_name""),6,FALSE)
,
(IF
(
G8803=""юридична особа""
,
VLOOKUP"&amp;"(H8803,IMPORTRANGE(""https://docs.google.com/spreadsheets/d/14Bd19lYaqBhU8_DElYkX7l4wRkHqqCUFNJY4AfY3kHU/edit?usp=sharing  #gid=0"",""фіз особи new!relations_name_uo""),7,FALSE)
,
)
))"),"#N/A")</f>
        <v>#N/A</v>
      </c>
      <c r="J8802" s="7" t="s">
        <v>28</v>
      </c>
    </row>
    <row r="8803" spans="1:10" ht="13.2">
      <c r="A8803" s="7">
        <v>8802</v>
      </c>
      <c r="B8803" s="7">
        <v>1</v>
      </c>
      <c r="C8803" s="7" t="s">
        <v>10</v>
      </c>
      <c r="D8803" s="7">
        <v>10715</v>
      </c>
      <c r="E8803" s="7" t="s">
        <v>29</v>
      </c>
      <c r="F8803" s="8" t="str">
        <f ca="1">IFERROR(__xludf.DUMMYFUNCTION("IF
(
C8804=""фізична особа""
,
VLOOKUP(D8804,IMPORTRANGE(""https://docs.google.com/spreadsheets/d/14Bd19lYaqBhU8_DElYkX7l4wRkHqqCUFNJY4AfY3kHU/edit?usp=sharing  #gid=0"",""фіз особи new!relations_name""),6,FALSE)
,
(IF
(
C8804=""юридична особа""
,
VLOOKUP"&amp;"(D8804,IMPORTRANGE(""https://docs.google.com/spreadsheets/d/14Bd19lYaqBhU8_DElYkX7l4wRkHqqCUFNJY4AfY3kHU/edit?usp=sharing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803" s="7" t="s">
        <v>10</v>
      </c>
      <c r="H8803" s="7">
        <v>0</v>
      </c>
      <c r="I8803" s="8" t="str">
        <f ca="1">IFERROR(__xludf.DUMMYFUNCTION("IF
(
G8804=""фізична особа""
,
VLOOKUP(H8804,IMPORTRANGE(""https://docs.google.com/spreadsheets/d/14Bd19lYaqBhU8_DElYkX7l4wRkHqqCUFNJY4AfY3kHU/edit?usp=sharing  #gid=0"",""фіз особи new!relations_name""),6,FALSE)
,
(IF
(
G8804=""юридична особа""
,
VLOOKUP"&amp;"(H8804,IMPORTRANGE(""https://docs.google.com/spreadsheets/d/14Bd19lYaqBhU8_DElYkX7l4wRkHqqCUFNJY4AfY3kHU/edit?usp=sharing  #gid=0"",""фіз особи new!relations_name_uo""),7,FALSE)
,
)
))"),"#N/A")</f>
        <v>#N/A</v>
      </c>
      <c r="J8803" s="7" t="s">
        <v>28</v>
      </c>
    </row>
    <row r="8804" spans="1:10" ht="13.2">
      <c r="A8804" s="7">
        <v>8803</v>
      </c>
      <c r="B8804" s="7">
        <v>1</v>
      </c>
      <c r="C8804" s="7" t="s">
        <v>10</v>
      </c>
      <c r="D8804" s="7">
        <v>10715</v>
      </c>
      <c r="E8804" s="7" t="s">
        <v>29</v>
      </c>
      <c r="F8804" s="8" t="str">
        <f ca="1">IFERROR(__xludf.DUMMYFUNCTION("IF
(
C8805=""фізична особа""
,
VLOOKUP(D8805,IMPORTRANGE(""https://docs.google.com/spreadsheets/d/14Bd19lYaqBhU8_DElYkX7l4wRkHqqCUFNJY4AfY3kHU/edit?usp=sharing  #gid=0"",""фіз особи new!relations_name""),6,FALSE)
,
(IF
(
C8805=""юридична особа""
,
VLOOKUP"&amp;"(D8805,IMPORTRANGE(""https://docs.google.com/spreadsheets/d/14Bd19lYaqBhU8_DElYkX7l4wRkHqqCUFNJY4AfY3kHU/edit?usp=sharing  #gid=0"",""фіз особи new!relations_name_uo""),7,FALSE)
,
)
))"),"МОРОЗ Сергій Анатолійович")</f>
        <v>МОРОЗ Сергій Анатолійович</v>
      </c>
      <c r="G8804" s="7" t="s">
        <v>10</v>
      </c>
      <c r="H8804" s="7">
        <v>0</v>
      </c>
      <c r="I8804" s="8" t="str">
        <f ca="1">IFERROR(__xludf.DUMMYFUNCTION("IF
(
G8805=""фізична особа""
,
VLOOKUP(H8805,IMPORTRANGE(""https://docs.google.com/spreadsheets/d/14Bd19lYaqBhU8_DElYkX7l4wRkHqqCUFNJY4AfY3kHU/edit?usp=sharing  #gid=0"",""фіз особи new!relations_name""),6,FALSE)
,
(IF
(
G8805=""юридична особа""
,
VLOOKUP"&amp;"(H8805,IMPORTRANGE(""https://docs.google.com/spreadsheets/d/14Bd19lYaqBhU8_DElYkX7l4wRkHqqCUFNJY4AfY3kHU/edit?usp=sharing  #gid=0"",""фіз особи new!relations_name_uo""),7,FALSE)
,
)
))"),"#N/A")</f>
        <v>#N/A</v>
      </c>
      <c r="J8804" s="7" t="s">
        <v>28</v>
      </c>
    </row>
    <row r="8805" spans="1:10" ht="13.2">
      <c r="A8805" s="7">
        <v>8804</v>
      </c>
      <c r="B8805" s="7">
        <v>1</v>
      </c>
      <c r="C8805" s="7" t="s">
        <v>10</v>
      </c>
      <c r="D8805" s="7">
        <v>10716</v>
      </c>
      <c r="E8805" s="7" t="s">
        <v>28</v>
      </c>
      <c r="F8805" s="8" t="str">
        <f ca="1">IFERROR(__xludf.DUMMYFUNCTION("IF
(
C8806=""фізична особа""
,
VLOOKUP(D8806,IMPORTRANGE(""https://docs.google.com/spreadsheets/d/14Bd19lYaqBhU8_DElYkX7l4wRkHqqCUFNJY4AfY3kHU/edit?usp=sharing  #gid=0"",""фіз особи new!relations_name""),6,FALSE)
,
(IF
(
C8806=""юридична особа""
,
VLOOKUP"&amp;"(D8806,IMPORTRANGE(""https://docs.google.com/spreadsheets/d/14Bd19lYaqBhU8_DElYkX7l4wRkHqqCUFNJY4AfY3kHU/edit?usp=sharing  #gid=0"",""фіз особи new!relations_name_uo""),7,FALSE)
,
)
))"),"МЕЛЮК Василь Олегович")</f>
        <v>МЕЛЮК Василь Олегович</v>
      </c>
      <c r="G8805" s="7" t="s">
        <v>10</v>
      </c>
      <c r="H8805" s="7">
        <v>2969</v>
      </c>
      <c r="I8805" s="8" t="str">
        <f ca="1">IFERROR(__xludf.DUMMYFUNCTION("IF
(
G8806=""фізична особа""
,
VLOOKUP(H8806,IMPORTRANGE(""https://docs.google.com/spreadsheets/d/14Bd19lYaqBhU8_DElYkX7l4wRkHqqCUFNJY4AfY3kHU/edit?usp=sharing  #gid=0"",""фіз особи new!relations_name""),6,FALSE)
,
(IF
(
G8806=""юридична особа""
,
VLOOKUP"&amp;"(H8806,IMPORTRANGE(""https://docs.google.com/spreadsheets/d/14Bd19lYaqBhU8_DElYkX7l4wRkHqqCUFNJY4AfY3kHU/edit?usp=sharing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05" s="7" t="s">
        <v>29</v>
      </c>
    </row>
    <row r="8806" spans="1:10" ht="13.2">
      <c r="A8806" s="7">
        <v>8805</v>
      </c>
      <c r="B8806" s="7">
        <v>1</v>
      </c>
      <c r="C8806" s="7" t="s">
        <v>10</v>
      </c>
      <c r="D8806" s="7">
        <v>10716</v>
      </c>
      <c r="E8806" s="7" t="s">
        <v>35</v>
      </c>
      <c r="F8806" s="8" t="str">
        <f ca="1">IFERROR(__xludf.DUMMYFUNCTION("IF
(
C8807=""фізична особа""
,
VLOOKUP(D8807,IMPORTRANGE(""https://docs.google.com/spreadsheets/d/14Bd19lYaqBhU8_DElYkX7l4wRkHqqCUFNJY4AfY3kHU/edit?usp=sharing  #gid=0"",""фіз особи new!relations_name""),6,FALSE)
,
(IF
(
C8807=""юридична особа""
,
VLOOKUP"&amp;"(D8807,IMPORTRANGE(""https://docs.google.com/spreadsheets/d/14Bd19lYaqBhU8_DElYkX7l4wRkHqqCUFNJY4AfY3kHU/edit?usp=sharing  #gid=0"",""фіз особи new!relations_name_uo""),7,FALSE)
,
)
))"),"МЕЛЮК Василь Олегович")</f>
        <v>МЕЛЮК Василь Олегович</v>
      </c>
      <c r="G8806" s="7" t="s">
        <v>10</v>
      </c>
      <c r="H8806" s="7">
        <v>10713</v>
      </c>
      <c r="I8806" s="8" t="str">
        <f ca="1">IFERROR(__xludf.DUMMYFUNCTION("IF
(
G8807=""фізична особа""
,
VLOOKUP(H8807,IMPORTRANGE(""https://docs.google.com/spreadsheets/d/14Bd19lYaqBhU8_DElYkX7l4wRkHqqCUFNJY4AfY3kHU/edit?usp=sharing  #gid=0"",""фіз особи new!relations_name""),6,FALSE)
,
(IF
(
G8807=""юридична особа""
,
VLOOKUP"&amp;"(H8807,IMPORTRANGE(""https://docs.google.com/spreadsheets/d/14Bd19lYaqBhU8_DElYkX7l4wRkHqqCUFNJY4AfY3kHU/edit?usp=sharing  #gid=0"",""фіз особи new!relations_name_uo""),7,FALSE)
,
)
))"),"ГИРІЧЕВ Олексій Іванович")</f>
        <v>ГИРІЧЕВ Олексій Іванович</v>
      </c>
      <c r="J8806" s="7" t="s">
        <v>35</v>
      </c>
    </row>
    <row r="8807" spans="1:10" ht="13.2">
      <c r="A8807" s="7">
        <v>8806</v>
      </c>
      <c r="B8807" s="7">
        <v>1</v>
      </c>
      <c r="C8807" s="7" t="s">
        <v>10</v>
      </c>
      <c r="D8807" s="7">
        <v>10717</v>
      </c>
      <c r="E8807" s="7" t="s">
        <v>28</v>
      </c>
      <c r="F8807" s="8" t="str">
        <f ca="1">IFERROR(__xludf.DUMMYFUNCTION("IF
(
C8808=""фізична особа""
,
VLOOKUP(D8808,IMPORTRANGE(""https://docs.google.com/spreadsheets/d/14Bd19lYaqBhU8_DElYkX7l4wRkHqqCUFNJY4AfY3kHU/edit?usp=sharing  #gid=0"",""фіз особи new!relations_name""),6,FALSE)
,
(IF
(
C8808=""юридична особа""
,
VLOOKUP"&amp;"(D8808,IMPORTRANGE(""https://docs.google.com/spreadsheets/d/14Bd19lYaqBhU8_DElYkX7l4wRkHqqCUFNJY4AfY3kHU/edit?usp=sharing  #gid=0"",""фіз особи new!relations_name_uo""),7,FALSE)
,
)
))"),"КОНЄВ Андрій Олексійович")</f>
        <v>КОНЄВ Андрій Олексійович</v>
      </c>
      <c r="G8807" s="7" t="s">
        <v>10</v>
      </c>
      <c r="H8807" s="7">
        <v>2969</v>
      </c>
      <c r="I8807" s="8" t="str">
        <f ca="1">IFERROR(__xludf.DUMMYFUNCTION("IF
(
G8808=""фізична особа""
,
VLOOKUP(H8808,IMPORTRANGE(""https://docs.google.com/spreadsheets/d/14Bd19lYaqBhU8_DElYkX7l4wRkHqqCUFNJY4AfY3kHU/edit?usp=sharing  #gid=0"",""фіз особи new!relations_name""),6,FALSE)
,
(IF
(
G8808=""юридична особа""
,
VLOOKUP"&amp;"(H8808,IMPORTRANGE(""https://docs.google.com/spreadsheets/d/14Bd19lYaqBhU8_DElYkX7l4wRkHqqCUFNJY4AfY3kHU/edit?usp=sharing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07" s="7" t="s">
        <v>29</v>
      </c>
    </row>
    <row r="8808" spans="1:10" ht="13.2">
      <c r="A8808" s="7">
        <v>8807</v>
      </c>
      <c r="B8808" s="7">
        <v>1</v>
      </c>
      <c r="C8808" s="7" t="s">
        <v>10</v>
      </c>
      <c r="D8808" s="7">
        <v>10718</v>
      </c>
      <c r="E8808" s="7" t="s">
        <v>28</v>
      </c>
      <c r="F8808" s="8" t="str">
        <f ca="1">IFERROR(__xludf.DUMMYFUNCTION("IF
(
C8809=""фізична особа""
,
VLOOKUP(D8809,IMPORTRANGE(""https://docs.google.com/spreadsheets/d/14Bd19lYaqBhU8_DElYkX7l4wRkHqqCUFNJY4AfY3kHU/edit?usp=sharing  #gid=0"",""фіз особи new!relations_name""),6,FALSE)
,
(IF
(
C8809=""юридична особа""
,
VLOOKUP"&amp;"(D8809,IMPORTRANGE(""https://docs.google.com/spreadsheets/d/14Bd19lYaqBhU8_DElYkX7l4wRkHqqCUFNJY4AfY3kHU/edit?usp=sharing  #gid=0"",""фіз особи new!relations_name_uo""),7,FALSE)
,
)
))"),"ВИНОГРАДОВ Андрій Леонідович")</f>
        <v>ВИНОГРАДОВ Андрій Леонідович</v>
      </c>
      <c r="G8808" s="7" t="s">
        <v>10</v>
      </c>
      <c r="H8808" s="7">
        <v>2969</v>
      </c>
      <c r="I8808" s="8" t="str">
        <f ca="1">IFERROR(__xludf.DUMMYFUNCTION("IF
(
G8809=""фізична особа""
,
VLOOKUP(H8809,IMPORTRANGE(""https://docs.google.com/spreadsheets/d/14Bd19lYaqBhU8_DElYkX7l4wRkHqqCUFNJY4AfY3kHU/edit?usp=sharing  #gid=0"",""фіз особи new!relations_name""),6,FALSE)
,
(IF
(
G8809=""юридична особа""
,
VLOOKUP"&amp;"(H8809,IMPORTRANGE(""https://docs.google.com/spreadsheets/d/14Bd19lYaqBhU8_DElYkX7l4wRkHqqCUFNJY4AfY3kHU/edit?usp=sharing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08" s="7" t="s">
        <v>29</v>
      </c>
    </row>
    <row r="8809" spans="1:10" ht="13.2">
      <c r="A8809" s="7">
        <v>8808</v>
      </c>
      <c r="B8809" s="7">
        <v>1</v>
      </c>
      <c r="C8809" s="7" t="s">
        <v>10</v>
      </c>
      <c r="D8809" s="7">
        <v>10719</v>
      </c>
      <c r="E8809" s="7" t="s">
        <v>28</v>
      </c>
      <c r="F8809" s="8" t="str">
        <f ca="1">IFERROR(__xludf.DUMMYFUNCTION("IF
(
C8810=""фізична особа""
,
VLOOKUP(D8810,IMPORTRANGE(""https://docs.google.com/spreadsheets/d/14Bd19lYaqBhU8_DElYkX7l4wRkHqqCUFNJY4AfY3kHU/edit?usp=sharing  #gid=0"",""фіз особи new!relations_name""),6,FALSE)
,
(IF
(
C8810=""юридична особа""
,
VLOOKUP"&amp;"(D8810,IMPORTRANGE(""https://docs.google.com/spreadsheets/d/14Bd19lYaqBhU8_DElYkX7l4wRkHqqCUFNJY4AfY3kHU/edit?usp=sharing  #gid=0"",""фіз особи new!relations_name_uo""),7,FALSE)
,
)
))"),"КОНОВАЛОВ Сергій Миколайович")</f>
        <v>КОНОВАЛОВ Сергій Миколайович</v>
      </c>
      <c r="G8809" s="7" t="s">
        <v>10</v>
      </c>
      <c r="H8809" s="7">
        <v>2969</v>
      </c>
      <c r="I8809" s="8" t="str">
        <f ca="1">IFERROR(__xludf.DUMMYFUNCTION("IF
(
G8810=""фізична особа""
,
VLOOKUP(H8810,IMPORTRANGE(""https://docs.google.com/spreadsheets/d/14Bd19lYaqBhU8_DElYkX7l4wRkHqqCUFNJY4AfY3kHU/edit?usp=sharing  #gid=0"",""фіз особи new!relations_name""),6,FALSE)
,
(IF
(
G8810=""юридична особа""
,
VLOOKUP"&amp;"(H8810,IMPORTRANGE(""https://docs.google.com/spreadsheets/d/14Bd19lYaqBhU8_DElYkX7l4wRkHqqCUFNJY4AfY3kHU/edit?usp=sharing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09" s="7" t="s">
        <v>29</v>
      </c>
    </row>
    <row r="8810" spans="1:10" ht="13.2">
      <c r="A8810" s="7">
        <v>8809</v>
      </c>
      <c r="B8810" s="7">
        <v>1</v>
      </c>
      <c r="C8810" s="7" t="s">
        <v>10</v>
      </c>
      <c r="D8810" s="7">
        <v>10720</v>
      </c>
      <c r="E8810" s="7" t="s">
        <v>28</v>
      </c>
      <c r="F8810" s="8" t="str">
        <f ca="1">IFERROR(__xludf.DUMMYFUNCTION("IF
(
C8811=""фізична особа""
,
VLOOKUP(D8811,IMPORTRANGE(""https://docs.google.com/spreadsheets/d/14Bd19lYaqBhU8_DElYkX7l4wRkHqqCUFNJY4AfY3kHU/edit?usp=sharing  #gid=0"",""фіз особи new!relations_name""),6,FALSE)
,
(IF
(
C8811=""юридична особа""
,
VLOOKUP"&amp;"(D8811,IMPORTRANGE(""https://docs.google.com/spreadsheets/d/14Bd19lYaqBhU8_DElYkX7l4wRkHqqCUFNJY4AfY3kHU/edit?usp=sharing  #gid=0"",""фіз особи new!relations_name_uo""),7,FALSE)
,
)
))"),"МЕЗІН Михайло Петрович")</f>
        <v>МЕЗІН Михайло Петрович</v>
      </c>
      <c r="G8810" s="7" t="s">
        <v>10</v>
      </c>
      <c r="H8810" s="7">
        <v>2969</v>
      </c>
      <c r="I8810" s="8" t="str">
        <f ca="1">IFERROR(__xludf.DUMMYFUNCTION("IF
(
G8811=""фізична особа""
,
VLOOKUP(H8811,IMPORTRANGE(""https://docs.google.com/spreadsheets/d/14Bd19lYaqBhU8_DElYkX7l4wRkHqqCUFNJY4AfY3kHU/edit?usp=sharing  #gid=0"",""фіз особи new!relations_name""),6,FALSE)
,
(IF
(
G8811=""юридична особа""
,
VLOOKUP"&amp;"(H8811,IMPORTRANGE(""https://docs.google.com/spreadsheets/d/14Bd19lYaqBhU8_DElYkX7l4wRkHqqCUFNJY4AfY3kHU/edit?usp=sharing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0" s="7" t="s">
        <v>29</v>
      </c>
    </row>
    <row r="8811" spans="1:10" ht="13.2">
      <c r="A8811" s="7">
        <v>8810</v>
      </c>
      <c r="B8811" s="7">
        <v>1</v>
      </c>
      <c r="C8811" s="7" t="s">
        <v>10</v>
      </c>
      <c r="D8811" s="7">
        <v>10721</v>
      </c>
      <c r="E8811" s="7" t="s">
        <v>28</v>
      </c>
      <c r="F8811" s="8" t="str">
        <f ca="1">IFERROR(__xludf.DUMMYFUNCTION("IF
(
C8812=""фізична особа""
,
VLOOKUP(D8812,IMPORTRANGE(""https://docs.google.com/spreadsheets/d/14Bd19lYaqBhU8_DElYkX7l4wRkHqqCUFNJY4AfY3kHU/edit?usp=sharing  #gid=0"",""фіз особи new!relations_name""),6,FALSE)
,
(IF
(
C8812=""юридична особа""
,
VLOOKUP"&amp;"(D8812,IMPORTRANGE(""https://docs.google.com/spreadsheets/d/14Bd19lYaqBhU8_DElYkX7l4wRkHqqCUFNJY4AfY3kHU/edit?usp=sharing  #gid=0"",""фіз особи new!relations_name_uo""),7,FALSE)
,
)
))"),"ВЄТРОВ Олександр Сергійович")</f>
        <v>ВЄТРОВ Олександр Сергійович</v>
      </c>
      <c r="G8811" s="7" t="s">
        <v>10</v>
      </c>
      <c r="H8811" s="7">
        <v>2969</v>
      </c>
      <c r="I8811" s="8" t="str">
        <f ca="1">IFERROR(__xludf.DUMMYFUNCTION("IF
(
G8812=""фізична особа""
,
VLOOKUP(H8812,IMPORTRANGE(""https://docs.google.com/spreadsheets/d/14Bd19lYaqBhU8_DElYkX7l4wRkHqqCUFNJY4AfY3kHU/edit?usp=sharing  #gid=0"",""фіз особи new!relations_name""),6,FALSE)
,
(IF
(
G8812=""юридична особа""
,
VLOOKUP"&amp;"(H8812,IMPORTRANGE(""https://docs.google.com/spreadsheets/d/14Bd19lYaqBhU8_DElYkX7l4wRkHqqCUFNJY4AfY3kHU/edit?usp=sharing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1" s="7" t="s">
        <v>29</v>
      </c>
    </row>
    <row r="8812" spans="1:10" ht="13.2">
      <c r="A8812" s="7">
        <v>8811</v>
      </c>
      <c r="B8812" s="7">
        <v>1</v>
      </c>
      <c r="C8812" s="7" t="s">
        <v>10</v>
      </c>
      <c r="D8812" s="7">
        <v>10722</v>
      </c>
      <c r="E8812" s="7" t="s">
        <v>28</v>
      </c>
      <c r="F8812" s="8" t="str">
        <f ca="1">IFERROR(__xludf.DUMMYFUNCTION("IF
(
C8813=""фізична особа""
,
VLOOKUP(D8813,IMPORTRANGE(""https://docs.google.com/spreadsheets/d/14Bd19lYaqBhU8_DElYkX7l4wRkHqqCUFNJY4AfY3kHU/edit?usp=sharing  #gid=0"",""фіз особи new!relations_name""),6,FALSE)
,
(IF
(
C8813=""юридична особа""
,
VLOOKUP"&amp;"(D8813,IMPORTRANGE(""https://docs.google.com/spreadsheets/d/14Bd19lYaqBhU8_DElYkX7l4wRkHqqCUFNJY4AfY3kHU/edit?usp=sharing  #gid=0"",""фіз особи new!relations_name_uo""),7,FALSE)
,
)
))"),"ВОЛОСЄВИЧ Володимир Володимирович")</f>
        <v>ВОЛОСЄВИЧ Володимир Володимирович</v>
      </c>
      <c r="G8812" s="7" t="s">
        <v>10</v>
      </c>
      <c r="H8812" s="7">
        <v>2969</v>
      </c>
      <c r="I8812" s="8" t="str">
        <f ca="1">IFERROR(__xludf.DUMMYFUNCTION("IF
(
G8813=""фізична особа""
,
VLOOKUP(H8813,IMPORTRANGE(""https://docs.google.com/spreadsheets/d/14Bd19lYaqBhU8_DElYkX7l4wRkHqqCUFNJY4AfY3kHU/edit?usp=sharing  #gid=0"",""фіз особи new!relations_name""),6,FALSE)
,
(IF
(
G8813=""юридична особа""
,
VLOOKUP"&amp;"(H8813,IMPORTRANGE(""https://docs.google.com/spreadsheets/d/14Bd19lYaqBhU8_DElYkX7l4wRkHqqCUFNJY4AfY3kHU/edit?usp=sharing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2" s="7" t="s">
        <v>29</v>
      </c>
    </row>
    <row r="8813" spans="1:10" ht="13.2">
      <c r="A8813" s="7">
        <v>8812</v>
      </c>
      <c r="B8813" s="7">
        <v>1</v>
      </c>
      <c r="C8813" s="7" t="s">
        <v>10</v>
      </c>
      <c r="D8813" s="7">
        <v>10723</v>
      </c>
      <c r="E8813" s="7" t="s">
        <v>28</v>
      </c>
      <c r="F8813" s="8" t="str">
        <f ca="1">IFERROR(__xludf.DUMMYFUNCTION("IF
(
C8814=""фізична особа""
,
VLOOKUP(D8814,IMPORTRANGE(""https://docs.google.com/spreadsheets/d/14Bd19lYaqBhU8_DElYkX7l4wRkHqqCUFNJY4AfY3kHU/edit?usp=sharing  #gid=0"",""фіз особи new!relations_name""),6,FALSE)
,
(IF
(
C8814=""юридична особа""
,
VLOOKUP"&amp;"(D8814,IMPORTRANGE(""https://docs.google.com/spreadsheets/d/14Bd19lYaqBhU8_DElYkX7l4wRkHqqCUFNJY4AfY3kHU/edit?usp=sharing  #gid=0"",""фіз особи new!relations_name_uo""),7,FALSE)
,
)
))"),"КОМКОВ Олександр Павлович")</f>
        <v>КОМКОВ Олександр Павлович</v>
      </c>
      <c r="G8813" s="7" t="s">
        <v>10</v>
      </c>
      <c r="H8813" s="7">
        <v>2969</v>
      </c>
      <c r="I8813" s="8" t="str">
        <f ca="1">IFERROR(__xludf.DUMMYFUNCTION("IF
(
G8814=""фізична особа""
,
VLOOKUP(H8814,IMPORTRANGE(""https://docs.google.com/spreadsheets/d/14Bd19lYaqBhU8_DElYkX7l4wRkHqqCUFNJY4AfY3kHU/edit?usp=sharing  #gid=0"",""фіз особи new!relations_name""),6,FALSE)
,
(IF
(
G8814=""юридична особа""
,
VLOOKUP"&amp;"(H8814,IMPORTRANGE(""https://docs.google.com/spreadsheets/d/14Bd19lYaqBhU8_DElYkX7l4wRkHqqCUFNJY4AfY3kHU/edit?usp=sharing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3" s="7" t="s">
        <v>29</v>
      </c>
    </row>
    <row r="8814" spans="1:10" ht="13.2">
      <c r="A8814" s="7">
        <v>8813</v>
      </c>
      <c r="B8814" s="7">
        <v>1</v>
      </c>
      <c r="C8814" s="7" t="s">
        <v>10</v>
      </c>
      <c r="D8814" s="7">
        <v>10724</v>
      </c>
      <c r="E8814" s="7" t="s">
        <v>28</v>
      </c>
      <c r="F8814" s="8" t="str">
        <f ca="1">IFERROR(__xludf.DUMMYFUNCTION("IF
(
C8815=""фізична особа""
,
VLOOKUP(D8815,IMPORTRANGE(""https://docs.google.com/spreadsheets/d/14Bd19lYaqBhU8_DElYkX7l4wRkHqqCUFNJY4AfY3kHU/edit?usp=sharing  #gid=0"",""фіз особи new!relations_name""),6,FALSE)
,
(IF
(
C8815=""юридична особа""
,
VLOOKUP"&amp;"(D8815,IMPORTRANGE(""https://docs.google.com/spreadsheets/d/14Bd19lYaqBhU8_DElYkX7l4wRkHqqCUFNJY4AfY3kHU/edit?usp=sharing  #gid=0"",""фіз особи new!relations_name_uo""),7,FALSE)
,
)
))"),"ТРАЧУК Олександр Володимирович")</f>
        <v>ТРАЧУК Олександр Володимирович</v>
      </c>
      <c r="G8814" s="7" t="s">
        <v>10</v>
      </c>
      <c r="H8814" s="7">
        <v>2969</v>
      </c>
      <c r="I8814" s="8" t="str">
        <f ca="1">IFERROR(__xludf.DUMMYFUNCTION("IF
(
G8815=""фізична особа""
,
VLOOKUP(H8815,IMPORTRANGE(""https://docs.google.com/spreadsheets/d/14Bd19lYaqBhU8_DElYkX7l4wRkHqqCUFNJY4AfY3kHU/edit?usp=sharing  #gid=0"",""фіз особи new!relations_name""),6,FALSE)
,
(IF
(
G8815=""юридична особа""
,
VLOOKUP"&amp;"(H8815,IMPORTRANGE(""https://docs.google.com/spreadsheets/d/14Bd19lYaqBhU8_DElYkX7l4wRkHqqCUFNJY4AfY3kHU/edit?usp=sharing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4" s="7" t="s">
        <v>29</v>
      </c>
    </row>
    <row r="8815" spans="1:10" ht="13.2">
      <c r="A8815" s="7">
        <v>8814</v>
      </c>
      <c r="B8815" s="7">
        <v>1</v>
      </c>
      <c r="C8815" s="7" t="s">
        <v>10</v>
      </c>
      <c r="D8815" s="7">
        <v>10725</v>
      </c>
      <c r="E8815" s="7" t="s">
        <v>28</v>
      </c>
      <c r="F8815" s="8" t="str">
        <f ca="1">IFERROR(__xludf.DUMMYFUNCTION("IF
(
C8816=""фізична особа""
,
VLOOKUP(D8816,IMPORTRANGE(""https://docs.google.com/spreadsheets/d/14Bd19lYaqBhU8_DElYkX7l4wRkHqqCUFNJY4AfY3kHU/edit?usp=sharing  #gid=0"",""фіз особи new!relations_name""),6,FALSE)
,
(IF
(
C8816=""юридична особа""
,
VLOOKUP"&amp;"(D8816,IMPORTRANGE(""https://docs.google.com/spreadsheets/d/14Bd19lYaqBhU8_DElYkX7l4wRkHqqCUFNJY4AfY3kHU/edit?usp=sharing  #gid=0"",""фіз особи new!relations_name_uo""),7,FALSE)
,
)
))"),"КУРБАН Михайло Іванович")</f>
        <v>КУРБАН Михайло Іванович</v>
      </c>
      <c r="G8815" s="7" t="s">
        <v>10</v>
      </c>
      <c r="H8815" s="7">
        <v>2969</v>
      </c>
      <c r="I8815" s="8" t="str">
        <f ca="1">IFERROR(__xludf.DUMMYFUNCTION("IF
(
G8816=""фізична особа""
,
VLOOKUP(H8816,IMPORTRANGE(""https://docs.google.com/spreadsheets/d/14Bd19lYaqBhU8_DElYkX7l4wRkHqqCUFNJY4AfY3kHU/edit?usp=sharing  #gid=0"",""фіз особи new!relations_name""),6,FALSE)
,
(IF
(
G8816=""юридична особа""
,
VLOOKUP"&amp;"(H8816,IMPORTRANGE(""https://docs.google.com/spreadsheets/d/14Bd19lYaqBhU8_DElYkX7l4wRkHqqCUFNJY4AfY3kHU/edit?usp=sharing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5" s="7" t="s">
        <v>29</v>
      </c>
    </row>
    <row r="8816" spans="1:10" ht="13.2">
      <c r="A8816" s="7">
        <v>8815</v>
      </c>
      <c r="B8816" s="7">
        <v>1</v>
      </c>
      <c r="C8816" s="7" t="s">
        <v>10</v>
      </c>
      <c r="D8816" s="7">
        <v>10726</v>
      </c>
      <c r="E8816" s="7" t="s">
        <v>28</v>
      </c>
      <c r="F8816" s="8" t="str">
        <f ca="1">IFERROR(__xludf.DUMMYFUNCTION("IF
(
C8817=""фізична особа""
,
VLOOKUP(D8817,IMPORTRANGE(""https://docs.google.com/spreadsheets/d/14Bd19lYaqBhU8_DElYkX7l4wRkHqqCUFNJY4AfY3kHU/edit?usp=sharing  #gid=0"",""фіз особи new!relations_name""),6,FALSE)
,
(IF
(
C8817=""юридична особа""
,
VLOOKUP"&amp;"(D8817,IMPORTRANGE(""https://docs.google.com/spreadsheets/d/14Bd19lYaqBhU8_DElYkX7l4wRkHqqCUFNJY4AfY3kHU/edit?usp=sharing  #gid=0"",""фіз особи new!relations_name_uo""),7,FALSE)
,
)
))"),"КУЗЬМІН Олександр Миколайович")</f>
        <v>КУЗЬМІН Олександр Миколайович</v>
      </c>
      <c r="G8816" s="7" t="s">
        <v>10</v>
      </c>
      <c r="H8816" s="7">
        <v>2969</v>
      </c>
      <c r="I8816" s="8" t="str">
        <f ca="1">IFERROR(__xludf.DUMMYFUNCTION("IF
(
G8817=""фізична особа""
,
VLOOKUP(H8817,IMPORTRANGE(""https://docs.google.com/spreadsheets/d/14Bd19lYaqBhU8_DElYkX7l4wRkHqqCUFNJY4AfY3kHU/edit?usp=sharing  #gid=0"",""фіз особи new!relations_name""),6,FALSE)
,
(IF
(
G8817=""юридична особа""
,
VLOOKUP"&amp;"(H8817,IMPORTRANGE(""https://docs.google.com/spreadsheets/d/14Bd19lYaqBhU8_DElYkX7l4wRkHqqCUFNJY4AfY3kHU/edit?usp=sharing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6" s="7" t="s">
        <v>29</v>
      </c>
    </row>
    <row r="8817" spans="1:10" ht="13.2">
      <c r="A8817" s="7">
        <v>8816</v>
      </c>
      <c r="B8817" s="7">
        <v>1</v>
      </c>
      <c r="C8817" s="7" t="s">
        <v>10</v>
      </c>
      <c r="D8817" s="7">
        <v>10727</v>
      </c>
      <c r="E8817" s="7" t="s">
        <v>28</v>
      </c>
      <c r="F8817" s="8" t="str">
        <f ca="1">IFERROR(__xludf.DUMMYFUNCTION("IF
(
C8818=""фізична особа""
,
VLOOKUP(D8818,IMPORTRANGE(""https://docs.google.com/spreadsheets/d/14Bd19lYaqBhU8_DElYkX7l4wRkHqqCUFNJY4AfY3kHU/edit?usp=sharing  #gid=0"",""фіз особи new!relations_name""),6,FALSE)
,
(IF
(
C8818=""юридична особа""
,
VLOOKUP"&amp;"(D8818,IMPORTRANGE(""https://docs.google.com/spreadsheets/d/14Bd19lYaqBhU8_DElYkX7l4wRkHqqCUFNJY4AfY3kHU/edit?usp=sharing  #gid=0"",""фіз особи new!relations_name_uo""),7,FALSE)
,
)
))"),"ПРОКОПЕНКО Іван Павлович")</f>
        <v>ПРОКОПЕНКО Іван Павлович</v>
      </c>
      <c r="G8817" s="7" t="s">
        <v>10</v>
      </c>
      <c r="H8817" s="7">
        <v>2969</v>
      </c>
      <c r="I8817" s="8" t="str">
        <f ca="1">IFERROR(__xludf.DUMMYFUNCTION("IF
(
G8818=""фізична особа""
,
VLOOKUP(H8818,IMPORTRANGE(""https://docs.google.com/spreadsheets/d/14Bd19lYaqBhU8_DElYkX7l4wRkHqqCUFNJY4AfY3kHU/edit?usp=sharing  #gid=0"",""фіз особи new!relations_name""),6,FALSE)
,
(IF
(
G8818=""юридична особа""
,
VLOOKUP"&amp;"(H8818,IMPORTRANGE(""https://docs.google.com/spreadsheets/d/14Bd19lYaqBhU8_DElYkX7l4wRkHqqCUFNJY4AfY3kHU/edit?usp=sharing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7" s="7" t="s">
        <v>29</v>
      </c>
    </row>
    <row r="8818" spans="1:10" ht="13.2">
      <c r="A8818" s="7">
        <v>8817</v>
      </c>
      <c r="B8818" s="7">
        <v>1</v>
      </c>
      <c r="C8818" s="7" t="s">
        <v>10</v>
      </c>
      <c r="D8818" s="7">
        <v>10727</v>
      </c>
      <c r="E8818" s="7" t="s">
        <v>30</v>
      </c>
      <c r="F8818" s="8" t="str">
        <f ca="1">IFERROR(__xludf.DUMMYFUNCTION("IF
(
C8819=""фізична особа""
,
VLOOKUP(D8819,IMPORTRANGE(""https://docs.google.com/spreadsheets/d/14Bd19lYaqBhU8_DElYkX7l4wRkHqqCUFNJY4AfY3kHU/edit?usp=sharing  #gid=0"",""фіз особи new!relations_name""),6,FALSE)
,
(IF
(
C8819=""юридична особа""
,
VLOOKUP"&amp;"(D8819,IMPORTRANGE(""https://docs.google.com/spreadsheets/d/14Bd19lYaqBhU8_DElYkX7l4wRkHqqCUFNJY4AfY3kHU/edit?usp=sharing  #gid=0"",""фіз особи new!relations_name_uo""),7,FALSE)
,
)
))"),"ПРОКОПЕНКО Іван Павлович")</f>
        <v>ПРОКОПЕНКО Іван Павлович</v>
      </c>
      <c r="G8818" s="7" t="s">
        <v>10</v>
      </c>
      <c r="H8818" s="7">
        <v>0</v>
      </c>
      <c r="I8818" s="8" t="str">
        <f ca="1">IFERROR(__xludf.DUMMYFUNCTION("IF
(
G8819=""фізична особа""
,
VLOOKUP(H8819,IMPORTRANGE(""https://docs.google.com/spreadsheets/d/14Bd19lYaqBhU8_DElYkX7l4wRkHqqCUFNJY4AfY3kHU/edit?usp=sharing  #gid=0"",""фіз особи new!relations_name""),6,FALSE)
,
(IF
(
G8819=""юридична особа""
,
VLOOKUP"&amp;"(H8819,IMPORTRANGE(""https://docs.google.com/spreadsheets/d/14Bd19lYaqBhU8_DElYkX7l4wRkHqqCUFNJY4AfY3kHU/edit?usp=sharing  #gid=0"",""фіз особи new!relations_name_uo""),7,FALSE)
,
)
))"),"#N/A")</f>
        <v>#N/A</v>
      </c>
      <c r="J8818" s="7" t="s">
        <v>30</v>
      </c>
    </row>
    <row r="8819" spans="1:10" ht="13.2">
      <c r="A8819" s="7">
        <v>8818</v>
      </c>
      <c r="B8819" s="7">
        <v>1</v>
      </c>
      <c r="C8819" s="7" t="s">
        <v>10</v>
      </c>
      <c r="D8819" s="7">
        <v>10728</v>
      </c>
      <c r="E8819" s="7" t="s">
        <v>28</v>
      </c>
      <c r="F8819" s="8" t="str">
        <f ca="1">IFERROR(__xludf.DUMMYFUNCTION("IF
(
C8820=""фізична особа""
,
VLOOKUP(D8820,IMPORTRANGE(""https://docs.google.com/spreadsheets/d/14Bd19lYaqBhU8_DElYkX7l4wRkHqqCUFNJY4AfY3kHU/edit?usp=sharing  #gid=0"",""фіз особи new!relations_name""),6,FALSE)
,
(IF
(
C8820=""юридична особа""
,
VLOOKUP"&amp;"(D8820,IMPORTRANGE(""https://docs.google.com/spreadsheets/d/14Bd19lYaqBhU8_DElYkX7l4wRkHqqCUFNJY4AfY3kHU/edit?usp=sharing  #gid=0"",""фіз особи new!relations_name_uo""),7,FALSE)
,
)
))"),"ЄМЕЦЬ Юрій Євгенович")</f>
        <v>ЄМЕЦЬ Юрій Євгенович</v>
      </c>
      <c r="G8819" s="7" t="s">
        <v>10</v>
      </c>
      <c r="H8819" s="7">
        <v>2969</v>
      </c>
      <c r="I8819" s="8" t="str">
        <f ca="1">IFERROR(__xludf.DUMMYFUNCTION("IF
(
G8820=""фізична особа""
,
VLOOKUP(H8820,IMPORTRANGE(""https://docs.google.com/spreadsheets/d/14Bd19lYaqBhU8_DElYkX7l4wRkHqqCUFNJY4AfY3kHU/edit?usp=sharing  #gid=0"",""фіз особи new!relations_name""),6,FALSE)
,
(IF
(
G8820=""юридична особа""
,
VLOOKUP"&amp;"(H8820,IMPORTRANGE(""https://docs.google.com/spreadsheets/d/14Bd19lYaqBhU8_DElYkX7l4wRkHqqCUFNJY4AfY3kHU/edit?usp=sharing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19" s="7" t="s">
        <v>29</v>
      </c>
    </row>
    <row r="8820" spans="1:10" ht="13.2">
      <c r="A8820" s="7">
        <v>8819</v>
      </c>
      <c r="B8820" s="7">
        <v>1</v>
      </c>
      <c r="C8820" s="7" t="s">
        <v>10</v>
      </c>
      <c r="D8820" s="7">
        <v>10729</v>
      </c>
      <c r="E8820" s="7" t="s">
        <v>28</v>
      </c>
      <c r="F8820" s="8" t="str">
        <f ca="1">IFERROR(__xludf.DUMMYFUNCTION("IF
(
C8821=""фізична особа""
,
VLOOKUP(D8821,IMPORTRANGE(""https://docs.google.com/spreadsheets/d/14Bd19lYaqBhU8_DElYkX7l4wRkHqqCUFNJY4AfY3kHU/edit?usp=sharing  #gid=0"",""фіз особи new!relations_name""),6,FALSE)
,
(IF
(
C8821=""юридична особа""
,
VLOOKUP"&amp;"(D8821,IMPORTRANGE(""https://docs.google.com/spreadsheets/d/14Bd19lYaqBhU8_DElYkX7l4wRkHqqCUFNJY4AfY3kHU/edit?usp=sharing  #gid=0"",""фіз особи new!relations_name_uo""),7,FALSE)
,
)
))"),"БОНДАР Сергій Миколайович")</f>
        <v>БОНДАР Сергій Миколайович</v>
      </c>
      <c r="G8820" s="7" t="s">
        <v>10</v>
      </c>
      <c r="H8820" s="7">
        <v>2969</v>
      </c>
      <c r="I8820" s="8" t="str">
        <f ca="1">IFERROR(__xludf.DUMMYFUNCTION("IF
(
G8821=""фізична особа""
,
VLOOKUP(H8821,IMPORTRANGE(""https://docs.google.com/spreadsheets/d/14Bd19lYaqBhU8_DElYkX7l4wRkHqqCUFNJY4AfY3kHU/edit?usp=sharing  #gid=0"",""фіз особи new!relations_name""),6,FALSE)
,
(IF
(
G8821=""юридична особа""
,
VLOOKUP"&amp;"(H8821,IMPORTRANGE(""https://docs.google.com/spreadsheets/d/14Bd19lYaqBhU8_DElYkX7l4wRkHqqCUFNJY4AfY3kHU/edit?usp=sharing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0" s="7" t="s">
        <v>29</v>
      </c>
    </row>
    <row r="8821" spans="1:10" ht="13.2">
      <c r="A8821" s="7">
        <v>8820</v>
      </c>
      <c r="B8821" s="7">
        <v>1</v>
      </c>
      <c r="C8821" s="7" t="s">
        <v>10</v>
      </c>
      <c r="D8821" s="7">
        <v>10730</v>
      </c>
      <c r="E8821" s="7" t="s">
        <v>28</v>
      </c>
      <c r="F8821" s="8" t="str">
        <f ca="1">IFERROR(__xludf.DUMMYFUNCTION("IF
(
C8822=""фізична особа""
,
VLOOKUP(D8822,IMPORTRANGE(""https://docs.google.com/spreadsheets/d/14Bd19lYaqBhU8_DElYkX7l4wRkHqqCUFNJY4AfY3kHU/edit?usp=sharing  #gid=0"",""фіз особи new!relations_name""),6,FALSE)
,
(IF
(
C8822=""юридична особа""
,
VLOOKUP"&amp;"(D8822,IMPORTRANGE(""https://docs.google.com/spreadsheets/d/14Bd19lYaqBhU8_DElYkX7l4wRkHqqCUFNJY4AfY3kHU/edit?usp=sharing  #gid=0"",""фіз особи new!relations_name_uo""),7,FALSE)
,
)
))"),"ЗЛОТНІКОВ Сергій Анатолійович")</f>
        <v>ЗЛОТНІКОВ Сергій Анатолійович</v>
      </c>
      <c r="G8821" s="7" t="s">
        <v>10</v>
      </c>
      <c r="H8821" s="7">
        <v>2969</v>
      </c>
      <c r="I8821" s="8" t="str">
        <f ca="1">IFERROR(__xludf.DUMMYFUNCTION("IF
(
G8822=""фізична особа""
,
VLOOKUP(H8822,IMPORTRANGE(""https://docs.google.com/spreadsheets/d/14Bd19lYaqBhU8_DElYkX7l4wRkHqqCUFNJY4AfY3kHU/edit?usp=sharing  #gid=0"",""фіз особи new!relations_name""),6,FALSE)
,
(IF
(
G8822=""юридична особа""
,
VLOOKUP"&amp;"(H8822,IMPORTRANGE(""https://docs.google.com/spreadsheets/d/14Bd19lYaqBhU8_DElYkX7l4wRkHqqCUFNJY4AfY3kHU/edit?usp=sharing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1" s="7" t="s">
        <v>29</v>
      </c>
    </row>
    <row r="8822" spans="1:10" ht="13.2">
      <c r="A8822" s="7">
        <v>8821</v>
      </c>
      <c r="B8822" s="7">
        <v>1</v>
      </c>
      <c r="C8822" s="7" t="s">
        <v>10</v>
      </c>
      <c r="D8822" s="7">
        <v>10731</v>
      </c>
      <c r="E8822" s="7" t="s">
        <v>28</v>
      </c>
      <c r="F8822" s="8" t="str">
        <f ca="1">IFERROR(__xludf.DUMMYFUNCTION("IF
(
C8823=""фізична особа""
,
VLOOKUP(D8823,IMPORTRANGE(""https://docs.google.com/spreadsheets/d/14Bd19lYaqBhU8_DElYkX7l4wRkHqqCUFNJY4AfY3kHU/edit?usp=sharing  #gid=0"",""фіз особи new!relations_name""),6,FALSE)
,
(IF
(
C8823=""юридична особа""
,
VLOOKUP"&amp;"(D8823,IMPORTRANGE(""https://docs.google.com/spreadsheets/d/14Bd19lYaqBhU8_DElYkX7l4wRkHqqCUFNJY4AfY3kHU/edit?usp=sharing  #gid=0"",""фіз особи new!relations_name_uo""),7,FALSE)
,
)
))"),"ПОТАПЕНКО Ігор Васильович")</f>
        <v>ПОТАПЕНКО Ігор Васильович</v>
      </c>
      <c r="G8822" s="7" t="s">
        <v>10</v>
      </c>
      <c r="H8822" s="7">
        <v>2969</v>
      </c>
      <c r="I8822" s="8" t="str">
        <f ca="1">IFERROR(__xludf.DUMMYFUNCTION("IF
(
G8823=""фізична особа""
,
VLOOKUP(H8823,IMPORTRANGE(""https://docs.google.com/spreadsheets/d/14Bd19lYaqBhU8_DElYkX7l4wRkHqqCUFNJY4AfY3kHU/edit?usp=sharing  #gid=0"",""фіз особи new!relations_name""),6,FALSE)
,
(IF
(
G8823=""юридична особа""
,
VLOOKUP"&amp;"(H8823,IMPORTRANGE(""https://docs.google.com/spreadsheets/d/14Bd19lYaqBhU8_DElYkX7l4wRkHqqCUFNJY4AfY3kHU/edit?usp=sharing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2" s="7" t="s">
        <v>29</v>
      </c>
    </row>
    <row r="8823" spans="1:10" ht="13.2">
      <c r="A8823" s="7">
        <v>8822</v>
      </c>
      <c r="B8823" s="7">
        <v>1</v>
      </c>
      <c r="C8823" s="7" t="s">
        <v>10</v>
      </c>
      <c r="D8823" s="7">
        <v>10732</v>
      </c>
      <c r="E8823" s="7" t="s">
        <v>28</v>
      </c>
      <c r="F8823" s="8" t="str">
        <f ca="1">IFERROR(__xludf.DUMMYFUNCTION("IF
(
C8824=""фізична особа""
,
VLOOKUP(D8824,IMPORTRANGE(""https://docs.google.com/spreadsheets/d/14Bd19lYaqBhU8_DElYkX7l4wRkHqqCUFNJY4AfY3kHU/edit?usp=sharing  #gid=0"",""фіз особи new!relations_name""),6,FALSE)
,
(IF
(
C8824=""юридична особа""
,
VLOOKUP"&amp;"(D8824,IMPORTRANGE(""https://docs.google.com/spreadsheets/d/14Bd19lYaqBhU8_DElYkX7l4wRkHqqCUFNJY4AfY3kHU/edit?usp=sharing  #gid=0"",""фіз особи new!relations_name_uo""),7,FALSE)
,
)
))"),"РУПП Дмитро Валерійович")</f>
        <v>РУПП Дмитро Валерійович</v>
      </c>
      <c r="G8823" s="7" t="s">
        <v>10</v>
      </c>
      <c r="H8823" s="7">
        <v>2969</v>
      </c>
      <c r="I8823" s="8" t="str">
        <f ca="1">IFERROR(__xludf.DUMMYFUNCTION("IF
(
G8824=""фізична особа""
,
VLOOKUP(H8824,IMPORTRANGE(""https://docs.google.com/spreadsheets/d/14Bd19lYaqBhU8_DElYkX7l4wRkHqqCUFNJY4AfY3kHU/edit?usp=sharing  #gid=0"",""фіз особи new!relations_name""),6,FALSE)
,
(IF
(
G8824=""юридична особа""
,
VLOOKUP"&amp;"(H8824,IMPORTRANGE(""https://docs.google.com/spreadsheets/d/14Bd19lYaqBhU8_DElYkX7l4wRkHqqCUFNJY4AfY3kHU/edit?usp=sharing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3" s="7" t="s">
        <v>29</v>
      </c>
    </row>
    <row r="8824" spans="1:10" ht="13.2">
      <c r="A8824" s="7">
        <v>8823</v>
      </c>
      <c r="B8824" s="7">
        <v>1</v>
      </c>
      <c r="C8824" s="7" t="s">
        <v>10</v>
      </c>
      <c r="D8824" s="7">
        <v>10733</v>
      </c>
      <c r="E8824" s="7" t="s">
        <v>28</v>
      </c>
      <c r="F8824" s="8" t="str">
        <f ca="1">IFERROR(__xludf.DUMMYFUNCTION("IF
(
C8825=""фізична особа""
,
VLOOKUP(D8825,IMPORTRANGE(""https://docs.google.com/spreadsheets/d/14Bd19lYaqBhU8_DElYkX7l4wRkHqqCUFNJY4AfY3kHU/edit?usp=sharing  #gid=0"",""фіз особи new!relations_name""),6,FALSE)
,
(IF
(
C8825=""юридична особа""
,
VLOOKUP"&amp;"(D8825,IMPORTRANGE(""https://docs.google.com/spreadsheets/d/14Bd19lYaqBhU8_DElYkX7l4wRkHqqCUFNJY4AfY3kHU/edit?usp=sharing  #gid=0"",""фіз особи new!relations_name_uo""),7,FALSE)
,
)
))"),"ТАРАСОВ Дмитро Анатолійович")</f>
        <v>ТАРАСОВ Дмитро Анатолійович</v>
      </c>
      <c r="G8824" s="7" t="s">
        <v>10</v>
      </c>
      <c r="H8824" s="7">
        <v>2969</v>
      </c>
      <c r="I8824" s="8" t="str">
        <f ca="1">IFERROR(__xludf.DUMMYFUNCTION("IF
(
G8825=""фізична особа""
,
VLOOKUP(H8825,IMPORTRANGE(""https://docs.google.com/spreadsheets/d/14Bd19lYaqBhU8_DElYkX7l4wRkHqqCUFNJY4AfY3kHU/edit?usp=sharing  #gid=0"",""фіз особи new!relations_name""),6,FALSE)
,
(IF
(
G8825=""юридична особа""
,
VLOOKUP"&amp;"(H8825,IMPORTRANGE(""https://docs.google.com/spreadsheets/d/14Bd19lYaqBhU8_DElYkX7l4wRkHqqCUFNJY4AfY3kHU/edit?usp=sharing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4" s="7" t="s">
        <v>29</v>
      </c>
    </row>
    <row r="8825" spans="1:10" ht="13.2">
      <c r="A8825" s="7">
        <v>8824</v>
      </c>
      <c r="B8825" s="7">
        <v>1</v>
      </c>
      <c r="C8825" s="7" t="s">
        <v>10</v>
      </c>
      <c r="D8825" s="7">
        <v>10734</v>
      </c>
      <c r="E8825" s="7" t="s">
        <v>28</v>
      </c>
      <c r="F8825" s="8" t="str">
        <f ca="1">IFERROR(__xludf.DUMMYFUNCTION("IF
(
C8826=""фізична особа""
,
VLOOKUP(D8826,IMPORTRANGE(""https://docs.google.com/spreadsheets/d/14Bd19lYaqBhU8_DElYkX7l4wRkHqqCUFNJY4AfY3kHU/edit?usp=sharing  #gid=0"",""фіз особи new!relations_name""),6,FALSE)
,
(IF
(
C8826=""юридична особа""
,
VLOOKUP"&amp;"(D8826,IMPORTRANGE(""https://docs.google.com/spreadsheets/d/14Bd19lYaqBhU8_DElYkX7l4wRkHqqCUFNJY4AfY3kHU/edit?usp=sharing  #gid=0"",""фіз особи new!relations_name_uo""),7,FALSE)
,
)
))"),"ДЕВ'ЯТОВ Михайло Анатолійович")</f>
        <v>ДЕВ'ЯТОВ Михайло Анатолійович</v>
      </c>
      <c r="G8825" s="7" t="s">
        <v>10</v>
      </c>
      <c r="H8825" s="7">
        <v>2969</v>
      </c>
      <c r="I8825" s="8" t="str">
        <f ca="1">IFERROR(__xludf.DUMMYFUNCTION("IF
(
G8826=""фізична особа""
,
VLOOKUP(H8826,IMPORTRANGE(""https://docs.google.com/spreadsheets/d/14Bd19lYaqBhU8_DElYkX7l4wRkHqqCUFNJY4AfY3kHU/edit?usp=sharing  #gid=0"",""фіз особи new!relations_name""),6,FALSE)
,
(IF
(
G8826=""юридична особа""
,
VLOOKUP"&amp;"(H8826,IMPORTRANGE(""https://docs.google.com/spreadsheets/d/14Bd19lYaqBhU8_DElYkX7l4wRkHqqCUFNJY4AfY3kHU/edit?usp=sharing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5" s="7" t="s">
        <v>29</v>
      </c>
    </row>
    <row r="8826" spans="1:10" ht="13.2">
      <c r="A8826" s="7">
        <v>8825</v>
      </c>
      <c r="B8826" s="7">
        <v>1</v>
      </c>
      <c r="C8826" s="7" t="s">
        <v>10</v>
      </c>
      <c r="D8826" s="7">
        <v>10735</v>
      </c>
      <c r="E8826" s="7" t="s">
        <v>28</v>
      </c>
      <c r="F8826" s="8" t="str">
        <f ca="1">IFERROR(__xludf.DUMMYFUNCTION("IF
(
C8827=""фізична особа""
,
VLOOKUP(D8827,IMPORTRANGE(""https://docs.google.com/spreadsheets/d/14Bd19lYaqBhU8_DElYkX7l4wRkHqqCUFNJY4AfY3kHU/edit?usp=sharing  #gid=0"",""фіз особи new!relations_name""),6,FALSE)
,
(IF
(
C8827=""юридична особа""
,
VLOOKUP"&amp;"(D8827,IMPORTRANGE(""https://docs.google.com/spreadsheets/d/14Bd19lYaqBhU8_DElYkX7l4wRkHqqCUFNJY4AfY3kHU/edit?usp=sharing  #gid=0"",""фіз особи new!relations_name_uo""),7,FALSE)
,
)
))"),"ЄМЕЛЬЯНОВ Олексій Юрійович")</f>
        <v>ЄМЕЛЬЯНОВ Олексій Юрійович</v>
      </c>
      <c r="G8826" s="7" t="s">
        <v>10</v>
      </c>
      <c r="H8826" s="7">
        <v>2969</v>
      </c>
      <c r="I8826" s="8" t="str">
        <f ca="1">IFERROR(__xludf.DUMMYFUNCTION("IF
(
G8827=""фізична особа""
,
VLOOKUP(H8827,IMPORTRANGE(""https://docs.google.com/spreadsheets/d/14Bd19lYaqBhU8_DElYkX7l4wRkHqqCUFNJY4AfY3kHU/edit?usp=sharing  #gid=0"",""фіз особи new!relations_name""),6,FALSE)
,
(IF
(
G8827=""юридична особа""
,
VLOOKUP"&amp;"(H8827,IMPORTRANGE(""https://docs.google.com/spreadsheets/d/14Bd19lYaqBhU8_DElYkX7l4wRkHqqCUFNJY4AfY3kHU/edit?usp=sharing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6" s="7" t="s">
        <v>29</v>
      </c>
    </row>
    <row r="8827" spans="1:10" ht="13.2">
      <c r="A8827" s="7">
        <v>8826</v>
      </c>
      <c r="B8827" s="7">
        <v>1</v>
      </c>
      <c r="C8827" s="7" t="s">
        <v>10</v>
      </c>
      <c r="D8827" s="7">
        <v>10736</v>
      </c>
      <c r="E8827" s="7" t="s">
        <v>28</v>
      </c>
      <c r="F8827" s="8" t="str">
        <f ca="1">IFERROR(__xludf.DUMMYFUNCTION("IF
(
C8828=""фізична особа""
,
VLOOKUP(D8828,IMPORTRANGE(""https://docs.google.com/spreadsheets/d/14Bd19lYaqBhU8_DElYkX7l4wRkHqqCUFNJY4AfY3kHU/edit?usp=sharing  #gid=0"",""фіз особи new!relations_name""),6,FALSE)
,
(IF
(
C8828=""юридична особа""
,
VLOOKUP"&amp;"(D8828,IMPORTRANGE(""https://docs.google.com/spreadsheets/d/14Bd19lYaqBhU8_DElYkX7l4wRkHqqCUFNJY4AfY3kHU/edit?usp=sharing  #gid=0"",""фіз особи new!relations_name_uo""),7,FALSE)
,
)
))"),"ТЕРЕХ Олександр Володимирович")</f>
        <v>ТЕРЕХ Олександр Володимирович</v>
      </c>
      <c r="G8827" s="7" t="s">
        <v>10</v>
      </c>
      <c r="H8827" s="7">
        <v>2969</v>
      </c>
      <c r="I8827" s="8" t="str">
        <f ca="1">IFERROR(__xludf.DUMMYFUNCTION("IF
(
G8828=""фізична особа""
,
VLOOKUP(H8828,IMPORTRANGE(""https://docs.google.com/spreadsheets/d/14Bd19lYaqBhU8_DElYkX7l4wRkHqqCUFNJY4AfY3kHU/edit?usp=sharing  #gid=0"",""фіз особи new!relations_name""),6,FALSE)
,
(IF
(
G8828=""юридична особа""
,
VLOOKUP"&amp;"(H8828,IMPORTRANGE(""https://docs.google.com/spreadsheets/d/14Bd19lYaqBhU8_DElYkX7l4wRkHqqCUFNJY4AfY3kHU/edit?usp=sharing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7" s="7" t="s">
        <v>29</v>
      </c>
    </row>
    <row r="8828" spans="1:10" ht="13.2">
      <c r="A8828" s="7">
        <v>8827</v>
      </c>
      <c r="B8828" s="7">
        <v>1</v>
      </c>
      <c r="C8828" s="7" t="s">
        <v>10</v>
      </c>
      <c r="D8828" s="7">
        <v>10737</v>
      </c>
      <c r="E8828" s="7" t="s">
        <v>28</v>
      </c>
      <c r="F8828" s="8" t="str">
        <f ca="1">IFERROR(__xludf.DUMMYFUNCTION("IF
(
C8829=""фізична особа""
,
VLOOKUP(D8829,IMPORTRANGE(""https://docs.google.com/spreadsheets/d/14Bd19lYaqBhU8_DElYkX7l4wRkHqqCUFNJY4AfY3kHU/edit?usp=sharing  #gid=0"",""фіз особи new!relations_name""),6,FALSE)
,
(IF
(
C8829=""юридична особа""
,
VLOOKUP"&amp;"(D8829,IMPORTRANGE(""https://docs.google.com/spreadsheets/d/14Bd19lYaqBhU8_DElYkX7l4wRkHqqCUFNJY4AfY3kHU/edit?usp=sharing  #gid=0"",""фіз особи new!relations_name_uo""),7,FALSE)
,
)
))"),"КОНОВАЛОВ Дмитро Миколайович")</f>
        <v>КОНОВАЛОВ Дмитро Миколайович</v>
      </c>
      <c r="G8828" s="7" t="s">
        <v>10</v>
      </c>
      <c r="H8828" s="7">
        <v>2969</v>
      </c>
      <c r="I8828" s="8" t="str">
        <f ca="1">IFERROR(__xludf.DUMMYFUNCTION("IF
(
G8829=""фізична особа""
,
VLOOKUP(H8829,IMPORTRANGE(""https://docs.google.com/spreadsheets/d/14Bd19lYaqBhU8_DElYkX7l4wRkHqqCUFNJY4AfY3kHU/edit?usp=sharing  #gid=0"",""фіз особи new!relations_name""),6,FALSE)
,
(IF
(
G8829=""юридична особа""
,
VLOOKUP"&amp;"(H8829,IMPORTRANGE(""https://docs.google.com/spreadsheets/d/14Bd19lYaqBhU8_DElYkX7l4wRkHqqCUFNJY4AfY3kHU/edit?usp=sharing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8" s="7" t="s">
        <v>29</v>
      </c>
    </row>
    <row r="8829" spans="1:10" ht="13.2">
      <c r="A8829" s="7">
        <v>8828</v>
      </c>
      <c r="B8829" s="7">
        <v>1</v>
      </c>
      <c r="C8829" s="7" t="s">
        <v>10</v>
      </c>
      <c r="D8829" s="7">
        <v>10738</v>
      </c>
      <c r="E8829" s="7" t="s">
        <v>28</v>
      </c>
      <c r="F8829" s="8" t="str">
        <f ca="1">IFERROR(__xludf.DUMMYFUNCTION("IF
(
C8830=""фізична особа""
,
VLOOKUP(D8830,IMPORTRANGE(""https://docs.google.com/spreadsheets/d/14Bd19lYaqBhU8_DElYkX7l4wRkHqqCUFNJY4AfY3kHU/edit?usp=sharing  #gid=0"",""фіз особи new!relations_name""),6,FALSE)
,
(IF
(
C8830=""юридична особа""
,
VLOOKUP"&amp;"(D8830,IMPORTRANGE(""https://docs.google.com/spreadsheets/d/14Bd19lYaqBhU8_DElYkX7l4wRkHqqCUFNJY4AfY3kHU/edit?usp=sharing  #gid=0"",""фіз особи new!relations_name_uo""),7,FALSE)
,
)
))"),"ЛІХОВ Аслан Чафльонович")</f>
        <v>ЛІХОВ Аслан Чафльонович</v>
      </c>
      <c r="G8829" s="7" t="s">
        <v>10</v>
      </c>
      <c r="H8829" s="7">
        <v>2969</v>
      </c>
      <c r="I8829" s="8" t="str">
        <f ca="1">IFERROR(__xludf.DUMMYFUNCTION("IF
(
G8830=""фізична особа""
,
VLOOKUP(H8830,IMPORTRANGE(""https://docs.google.com/spreadsheets/d/14Bd19lYaqBhU8_DElYkX7l4wRkHqqCUFNJY4AfY3kHU/edit?usp=sharing  #gid=0"",""фіз особи new!relations_name""),6,FALSE)
,
(IF
(
G8830=""юридична особа""
,
VLOOKUP"&amp;"(H8830,IMPORTRANGE(""https://docs.google.com/spreadsheets/d/14Bd19lYaqBhU8_DElYkX7l4wRkHqqCUFNJY4AfY3kHU/edit?usp=sharing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29" s="7" t="s">
        <v>29</v>
      </c>
    </row>
    <row r="8830" spans="1:10" ht="13.2">
      <c r="A8830" s="7">
        <v>8829</v>
      </c>
      <c r="B8830" s="7">
        <v>1</v>
      </c>
      <c r="C8830" s="7" t="s">
        <v>10</v>
      </c>
      <c r="D8830" s="7">
        <v>10739</v>
      </c>
      <c r="E8830" s="7" t="s">
        <v>28</v>
      </c>
      <c r="F8830" s="8" t="str">
        <f ca="1">IFERROR(__xludf.DUMMYFUNCTION("IF
(
C8831=""фізична особа""
,
VLOOKUP(D8831,IMPORTRANGE(""https://docs.google.com/spreadsheets/d/14Bd19lYaqBhU8_DElYkX7l4wRkHqqCUFNJY4AfY3kHU/edit?usp=sharing  #gid=0"",""фіз особи new!relations_name""),6,FALSE)
,
(IF
(
C8831=""юридична особа""
,
VLOOKUP"&amp;"(D8831,IMPORTRANGE(""https://docs.google.com/spreadsheets/d/14Bd19lYaqBhU8_DElYkX7l4wRkHqqCUFNJY4AfY3kHU/edit?usp=sharing  #gid=0"",""фіз особи new!relations_name_uo""),7,FALSE)
,
)
))"),"МУРАВЙОВ Антон Юрійович")</f>
        <v>МУРАВЙОВ Антон Юрійович</v>
      </c>
      <c r="G8830" s="7" t="s">
        <v>10</v>
      </c>
      <c r="H8830" s="7">
        <v>2969</v>
      </c>
      <c r="I8830" s="8" t="str">
        <f ca="1">IFERROR(__xludf.DUMMYFUNCTION("IF
(
G8831=""фізична особа""
,
VLOOKUP(H8831,IMPORTRANGE(""https://docs.google.com/spreadsheets/d/14Bd19lYaqBhU8_DElYkX7l4wRkHqqCUFNJY4AfY3kHU/edit?usp=sharing  #gid=0"",""фіз особи new!relations_name""),6,FALSE)
,
(IF
(
G8831=""юридична особа""
,
VLOOKUP"&amp;"(H8831,IMPORTRANGE(""https://docs.google.com/spreadsheets/d/14Bd19lYaqBhU8_DElYkX7l4wRkHqqCUFNJY4AfY3kHU/edit?usp=sharing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0" s="7" t="s">
        <v>29</v>
      </c>
    </row>
    <row r="8831" spans="1:10" ht="13.2">
      <c r="A8831" s="7">
        <v>8830</v>
      </c>
      <c r="B8831" s="7">
        <v>1</v>
      </c>
      <c r="C8831" s="7" t="s">
        <v>10</v>
      </c>
      <c r="D8831" s="7">
        <v>10740</v>
      </c>
      <c r="E8831" s="7" t="s">
        <v>28</v>
      </c>
      <c r="F8831" s="8" t="str">
        <f ca="1">IFERROR(__xludf.DUMMYFUNCTION("IF
(
C8832=""фізична особа""
,
VLOOKUP(D8832,IMPORTRANGE(""https://docs.google.com/spreadsheets/d/14Bd19lYaqBhU8_DElYkX7l4wRkHqqCUFNJY4AfY3kHU/edit?usp=sharing  #gid=0"",""фіз особи new!relations_name""),6,FALSE)
,
(IF
(
C8832=""юридична особа""
,
VLOOKUP"&amp;"(D8832,IMPORTRANGE(""https://docs.google.com/spreadsheets/d/14Bd19lYaqBhU8_DElYkX7l4wRkHqqCUFNJY4AfY3kHU/edit?usp=sharing  #gid=0"",""фіз особи new!relations_name_uo""),7,FALSE)
,
)
))"),"ПОЛЯКОВ Андрій Вікторович")</f>
        <v>ПОЛЯКОВ Андрій Вікторович</v>
      </c>
      <c r="G8831" s="7" t="s">
        <v>10</v>
      </c>
      <c r="H8831" s="7">
        <v>2969</v>
      </c>
      <c r="I8831" s="8" t="str">
        <f ca="1">IFERROR(__xludf.DUMMYFUNCTION("IF
(
G8832=""фізична особа""
,
VLOOKUP(H8832,IMPORTRANGE(""https://docs.google.com/spreadsheets/d/14Bd19lYaqBhU8_DElYkX7l4wRkHqqCUFNJY4AfY3kHU/edit?usp=sharing  #gid=0"",""фіз особи new!relations_name""),6,FALSE)
,
(IF
(
G8832=""юридична особа""
,
VLOOKUP"&amp;"(H8832,IMPORTRANGE(""https://docs.google.com/spreadsheets/d/14Bd19lYaqBhU8_DElYkX7l4wRkHqqCUFNJY4AfY3kHU/edit?usp=sharing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1" s="7" t="s">
        <v>29</v>
      </c>
    </row>
    <row r="8832" spans="1:10" ht="13.2">
      <c r="A8832" s="7">
        <v>8831</v>
      </c>
      <c r="B8832" s="7">
        <v>1</v>
      </c>
      <c r="C8832" s="7" t="s">
        <v>10</v>
      </c>
      <c r="D8832" s="7">
        <v>10741</v>
      </c>
      <c r="E8832" s="7" t="s">
        <v>28</v>
      </c>
      <c r="F8832" s="8" t="str">
        <f ca="1">IFERROR(__xludf.DUMMYFUNCTION("IF
(
C8833=""фізична особа""
,
VLOOKUP(D8833,IMPORTRANGE(""https://docs.google.com/spreadsheets/d/14Bd19lYaqBhU8_DElYkX7l4wRkHqqCUFNJY4AfY3kHU/edit?usp=sharing  #gid=0"",""фіз особи new!relations_name""),6,FALSE)
,
(IF
(
C8833=""юридична особа""
,
VLOOKUP"&amp;"(D8833,IMPORTRANGE(""https://docs.google.com/spreadsheets/d/14Bd19lYaqBhU8_DElYkX7l4wRkHqqCUFNJY4AfY3kHU/edit?usp=sharing  #gid=0"",""фіз особи new!relations_name_uo""),7,FALSE)
,
)
))"),"РОЛДУГІН Сергій Миколайович")</f>
        <v>РОЛДУГІН Сергій Миколайович</v>
      </c>
      <c r="G8832" s="7" t="s">
        <v>10</v>
      </c>
      <c r="H8832" s="7">
        <v>2969</v>
      </c>
      <c r="I8832" s="8" t="str">
        <f ca="1">IFERROR(__xludf.DUMMYFUNCTION("IF
(
G8833=""фізична особа""
,
VLOOKUP(H8833,IMPORTRANGE(""https://docs.google.com/spreadsheets/d/14Bd19lYaqBhU8_DElYkX7l4wRkHqqCUFNJY4AfY3kHU/edit?usp=sharing  #gid=0"",""фіз особи new!relations_name""),6,FALSE)
,
(IF
(
G8833=""юридична особа""
,
VLOOKUP"&amp;"(H8833,IMPORTRANGE(""https://docs.google.com/spreadsheets/d/14Bd19lYaqBhU8_DElYkX7l4wRkHqqCUFNJY4AfY3kHU/edit?usp=sharing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2" s="7" t="s">
        <v>29</v>
      </c>
    </row>
    <row r="8833" spans="1:10" ht="13.2">
      <c r="A8833" s="7">
        <v>8832</v>
      </c>
      <c r="B8833" s="7">
        <v>1</v>
      </c>
      <c r="C8833" s="7" t="s">
        <v>10</v>
      </c>
      <c r="D8833" s="7">
        <v>10742</v>
      </c>
      <c r="E8833" s="7" t="s">
        <v>28</v>
      </c>
      <c r="F8833" s="8" t="str">
        <f ca="1">IFERROR(__xludf.DUMMYFUNCTION("IF
(
C8834=""фізична особа""
,
VLOOKUP(D8834,IMPORTRANGE(""https://docs.google.com/spreadsheets/d/14Bd19lYaqBhU8_DElYkX7l4wRkHqqCUFNJY4AfY3kHU/edit?usp=sharing  #gid=0"",""фіз особи new!relations_name""),6,FALSE)
,
(IF
(
C8834=""юридична особа""
,
VLOOKUP"&amp;"(D8834,IMPORTRANGE(""https://docs.google.com/spreadsheets/d/14Bd19lYaqBhU8_DElYkX7l4wRkHqqCUFNJY4AfY3kHU/edit?usp=sharing  #gid=0"",""фіз особи new!relations_name_uo""),7,FALSE)
,
)
))"),"МОРАВЕЦЬ Володимир Валерійович")</f>
        <v>МОРАВЕЦЬ Володимир Валерійович</v>
      </c>
      <c r="G8833" s="7" t="s">
        <v>10</v>
      </c>
      <c r="H8833" s="7">
        <v>2969</v>
      </c>
      <c r="I8833" s="8" t="str">
        <f ca="1">IFERROR(__xludf.DUMMYFUNCTION("IF
(
G8834=""фізична особа""
,
VLOOKUP(H8834,IMPORTRANGE(""https://docs.google.com/spreadsheets/d/14Bd19lYaqBhU8_DElYkX7l4wRkHqqCUFNJY4AfY3kHU/edit?usp=sharing  #gid=0"",""фіз особи new!relations_name""),6,FALSE)
,
(IF
(
G8834=""юридична особа""
,
VLOOKUP"&amp;"(H8834,IMPORTRANGE(""https://docs.google.com/spreadsheets/d/14Bd19lYaqBhU8_DElYkX7l4wRkHqqCUFNJY4AfY3kHU/edit?usp=sharing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3" s="7" t="s">
        <v>29</v>
      </c>
    </row>
    <row r="8834" spans="1:10" ht="13.2">
      <c r="A8834" s="7">
        <v>8833</v>
      </c>
      <c r="B8834" s="7">
        <v>1</v>
      </c>
      <c r="C8834" s="7" t="s">
        <v>10</v>
      </c>
      <c r="D8834" s="7">
        <v>10743</v>
      </c>
      <c r="E8834" s="7" t="s">
        <v>28</v>
      </c>
      <c r="F8834" s="8" t="str">
        <f ca="1">IFERROR(__xludf.DUMMYFUNCTION("IF
(
C8835=""фізична особа""
,
VLOOKUP(D8835,IMPORTRANGE(""https://docs.google.com/spreadsheets/d/14Bd19lYaqBhU8_DElYkX7l4wRkHqqCUFNJY4AfY3kHU/edit?usp=sharing  #gid=0"",""фіз особи new!relations_name""),6,FALSE)
,
(IF
(
C8835=""юридична особа""
,
VLOOKUP"&amp;"(D8835,IMPORTRANGE(""https://docs.google.com/spreadsheets/d/14Bd19lYaqBhU8_DElYkX7l4wRkHqqCUFNJY4AfY3kHU/edit?usp=sharing  #gid=0"",""фіз особи new!relations_name_uo""),7,FALSE)
,
)
))"),"ІРІСХАНОВ Анзор Ахметович")</f>
        <v>ІРІСХАНОВ Анзор Ахметович</v>
      </c>
      <c r="G8834" s="7" t="s">
        <v>10</v>
      </c>
      <c r="H8834" s="7">
        <v>2969</v>
      </c>
      <c r="I8834" s="8" t="str">
        <f ca="1">IFERROR(__xludf.DUMMYFUNCTION("IF
(
G8835=""фізична особа""
,
VLOOKUP(H8835,IMPORTRANGE(""https://docs.google.com/spreadsheets/d/14Bd19lYaqBhU8_DElYkX7l4wRkHqqCUFNJY4AfY3kHU/edit?usp=sharing  #gid=0"",""фіз особи new!relations_name""),6,FALSE)
,
(IF
(
G8835=""юридична особа""
,
VLOOKUP"&amp;"(H8835,IMPORTRANGE(""https://docs.google.com/spreadsheets/d/14Bd19lYaqBhU8_DElYkX7l4wRkHqqCUFNJY4AfY3kHU/edit?usp=sharing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4" s="7" t="s">
        <v>29</v>
      </c>
    </row>
    <row r="8835" spans="1:10" ht="13.2">
      <c r="A8835" s="7">
        <v>8834</v>
      </c>
      <c r="B8835" s="7">
        <v>1</v>
      </c>
      <c r="C8835" s="7" t="s">
        <v>10</v>
      </c>
      <c r="D8835" s="7">
        <v>10744</v>
      </c>
      <c r="E8835" s="7" t="s">
        <v>28</v>
      </c>
      <c r="F8835" s="8" t="str">
        <f ca="1">IFERROR(__xludf.DUMMYFUNCTION("IF
(
C8836=""фізична особа""
,
VLOOKUP(D8836,IMPORTRANGE(""https://docs.google.com/spreadsheets/d/14Bd19lYaqBhU8_DElYkX7l4wRkHqqCUFNJY4AfY3kHU/edit?usp=sharing  #gid=0"",""фіз особи new!relations_name""),6,FALSE)
,
(IF
(
C8836=""юридична особа""
,
VLOOKUP"&amp;"(D8836,IMPORTRANGE(""https://docs.google.com/spreadsheets/d/14Bd19lYaqBhU8_DElYkX7l4wRkHqqCUFNJY4AfY3kHU/edit?usp=sharing  #gid=0"",""фіз особи new!relations_name_uo""),7,FALSE)
,
)
))"),"АДАЄВ Ахмед Алійович")</f>
        <v>АДАЄВ Ахмед Алійович</v>
      </c>
      <c r="G8835" s="7" t="s">
        <v>10</v>
      </c>
      <c r="H8835" s="7">
        <v>2969</v>
      </c>
      <c r="I8835" s="8" t="str">
        <f ca="1">IFERROR(__xludf.DUMMYFUNCTION("IF
(
G8836=""фізична особа""
,
VLOOKUP(H8836,IMPORTRANGE(""https://docs.google.com/spreadsheets/d/14Bd19lYaqBhU8_DElYkX7l4wRkHqqCUFNJY4AfY3kHU/edit?usp=sharing  #gid=0"",""фіз особи new!relations_name""),6,FALSE)
,
(IF
(
G8836=""юридична особа""
,
VLOOKUP"&amp;"(H8836,IMPORTRANGE(""https://docs.google.com/spreadsheets/d/14Bd19lYaqBhU8_DElYkX7l4wRkHqqCUFNJY4AfY3kHU/edit?usp=sharing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5" s="7" t="s">
        <v>29</v>
      </c>
    </row>
    <row r="8836" spans="1:10" ht="13.2">
      <c r="A8836" s="7">
        <v>8835</v>
      </c>
      <c r="B8836" s="7">
        <v>1</v>
      </c>
      <c r="C8836" s="7" t="s">
        <v>10</v>
      </c>
      <c r="D8836" s="7">
        <v>10745</v>
      </c>
      <c r="E8836" s="7" t="s">
        <v>28</v>
      </c>
      <c r="F8836" s="8" t="str">
        <f ca="1">IFERROR(__xludf.DUMMYFUNCTION("IF
(
C8837=""фізична особа""
,
VLOOKUP(D8837,IMPORTRANGE(""https://docs.google.com/spreadsheets/d/14Bd19lYaqBhU8_DElYkX7l4wRkHqqCUFNJY4AfY3kHU/edit?usp=sharing  #gid=0"",""фіз особи new!relations_name""),6,FALSE)
,
(IF
(
C8837=""юридична особа""
,
VLOOKUP"&amp;"(D8837,IMPORTRANGE(""https://docs.google.com/spreadsheets/d/14Bd19lYaqBhU8_DElYkX7l4wRkHqqCUFNJY4AfY3kHU/edit?usp=sharing  #gid=0"",""фіз особи new!relations_name_uo""),7,FALSE)
,
)
))"),"МАЧУШКІН Михайло Володимирович")</f>
        <v>МАЧУШКІН Михайло Володимирович</v>
      </c>
      <c r="G8836" s="7" t="s">
        <v>10</v>
      </c>
      <c r="H8836" s="7">
        <v>2969</v>
      </c>
      <c r="I8836" s="8" t="str">
        <f ca="1">IFERROR(__xludf.DUMMYFUNCTION("IF
(
G8837=""фізична особа""
,
VLOOKUP(H8837,IMPORTRANGE(""https://docs.google.com/spreadsheets/d/14Bd19lYaqBhU8_DElYkX7l4wRkHqqCUFNJY4AfY3kHU/edit?usp=sharing  #gid=0"",""фіз особи new!relations_name""),6,FALSE)
,
(IF
(
G8837=""юридична особа""
,
VLOOKUP"&amp;"(H8837,IMPORTRANGE(""https://docs.google.com/spreadsheets/d/14Bd19lYaqBhU8_DElYkX7l4wRkHqqCUFNJY4AfY3kHU/edit?usp=sharing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6" s="7" t="s">
        <v>29</v>
      </c>
    </row>
    <row r="8837" spans="1:10" ht="13.2">
      <c r="A8837" s="7">
        <v>8836</v>
      </c>
      <c r="B8837" s="7">
        <v>1</v>
      </c>
      <c r="C8837" s="7" t="s">
        <v>10</v>
      </c>
      <c r="D8837" s="7">
        <v>10746</v>
      </c>
      <c r="E8837" s="7" t="s">
        <v>28</v>
      </c>
      <c r="F8837" s="8" t="str">
        <f ca="1">IFERROR(__xludf.DUMMYFUNCTION("IF
(
C8838=""фізична особа""
,
VLOOKUP(D8838,IMPORTRANGE(""https://docs.google.com/spreadsheets/d/14Bd19lYaqBhU8_DElYkX7l4wRkHqqCUFNJY4AfY3kHU/edit?usp=sharing  #gid=0"",""фіз особи new!relations_name""),6,FALSE)
,
(IF
(
C8838=""юридична особа""
,
VLOOKUP"&amp;"(D8838,IMPORTRANGE(""https://docs.google.com/spreadsheets/d/14Bd19lYaqBhU8_DElYkX7l4wRkHqqCUFNJY4AfY3kHU/edit?usp=sharing  #gid=0"",""фіз особи new!relations_name_uo""),7,FALSE)
,
)
))"),"ФЕДОРОВ Олександр Іванович")</f>
        <v>ФЕДОРОВ Олександр Іванович</v>
      </c>
      <c r="G8837" s="7" t="s">
        <v>10</v>
      </c>
      <c r="H8837" s="7">
        <v>2969</v>
      </c>
      <c r="I8837" s="8" t="str">
        <f ca="1">IFERROR(__xludf.DUMMYFUNCTION("IF
(
G8838=""фізична особа""
,
VLOOKUP(H8838,IMPORTRANGE(""https://docs.google.com/spreadsheets/d/14Bd19lYaqBhU8_DElYkX7l4wRkHqqCUFNJY4AfY3kHU/edit?usp=sharing  #gid=0"",""фіз особи new!relations_name""),6,FALSE)
,
(IF
(
G8838=""юридична особа""
,
VLOOKUP"&amp;"(H8838,IMPORTRANGE(""https://docs.google.com/spreadsheets/d/14Bd19lYaqBhU8_DElYkX7l4wRkHqqCUFNJY4AfY3kHU/edit?usp=sharing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7" s="7" t="s">
        <v>29</v>
      </c>
    </row>
    <row r="8838" spans="1:10" ht="13.2">
      <c r="A8838" s="7">
        <v>8837</v>
      </c>
      <c r="B8838" s="7">
        <v>1</v>
      </c>
      <c r="C8838" s="7" t="s">
        <v>10</v>
      </c>
      <c r="D8838" s="7">
        <v>10747</v>
      </c>
      <c r="E8838" s="7" t="s">
        <v>28</v>
      </c>
      <c r="F8838" s="8" t="str">
        <f ca="1">IFERROR(__xludf.DUMMYFUNCTION("IF
(
C8839=""фізична особа""
,
VLOOKUP(D8839,IMPORTRANGE(""https://docs.google.com/spreadsheets/d/14Bd19lYaqBhU8_DElYkX7l4wRkHqqCUFNJY4AfY3kHU/edit?usp=sharing  #gid=0"",""фіз особи new!relations_name""),6,FALSE)
,
(IF
(
C8839=""юридична особа""
,
VLOOKUP"&amp;"(D8839,IMPORTRANGE(""https://docs.google.com/spreadsheets/d/14Bd19lYaqBhU8_DElYkX7l4wRkHqqCUFNJY4AfY3kHU/edit?usp=sharing  #gid=0"",""фіз особи new!relations_name_uo""),7,FALSE)
,
)
))"),"БІТТЕЛЬ Олександр Давидович")</f>
        <v>БІТТЕЛЬ Олександр Давидович</v>
      </c>
      <c r="G8838" s="7" t="s">
        <v>10</v>
      </c>
      <c r="H8838" s="7">
        <v>2969</v>
      </c>
      <c r="I8838" s="8" t="str">
        <f ca="1">IFERROR(__xludf.DUMMYFUNCTION("IF
(
G8839=""фізична особа""
,
VLOOKUP(H8839,IMPORTRANGE(""https://docs.google.com/spreadsheets/d/14Bd19lYaqBhU8_DElYkX7l4wRkHqqCUFNJY4AfY3kHU/edit?usp=sharing  #gid=0"",""фіз особи new!relations_name""),6,FALSE)
,
(IF
(
G8839=""юридична особа""
,
VLOOKUP"&amp;"(H8839,IMPORTRANGE(""https://docs.google.com/spreadsheets/d/14Bd19lYaqBhU8_DElYkX7l4wRkHqqCUFNJY4AfY3kHU/edit?usp=sharing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8" s="7" t="s">
        <v>29</v>
      </c>
    </row>
    <row r="8839" spans="1:10" ht="13.2">
      <c r="A8839" s="7">
        <v>8838</v>
      </c>
      <c r="B8839" s="7">
        <v>1</v>
      </c>
      <c r="C8839" s="7" t="s">
        <v>10</v>
      </c>
      <c r="D8839" s="7">
        <v>10748</v>
      </c>
      <c r="E8839" s="7" t="s">
        <v>28</v>
      </c>
      <c r="F8839" s="8" t="str">
        <f ca="1">IFERROR(__xludf.DUMMYFUNCTION("IF
(
C8840=""фізична особа""
,
VLOOKUP(D8840,IMPORTRANGE(""https://docs.google.com/spreadsheets/d/14Bd19lYaqBhU8_DElYkX7l4wRkHqqCUFNJY4AfY3kHU/edit?usp=sharing  #gid=0"",""фіз особи new!relations_name""),6,FALSE)
,
(IF
(
C8840=""юридична особа""
,
VLOOKUP"&amp;"(D8840,IMPORTRANGE(""https://docs.google.com/spreadsheets/d/14Bd19lYaqBhU8_DElYkX7l4wRkHqqCUFNJY4AfY3kHU/edit?usp=sharing  #gid=0"",""фіз особи new!relations_name_uo""),7,FALSE)
,
)
))"),"ФЕДОРОВ Олександр Володимирович")</f>
        <v>ФЕДОРОВ Олександр Володимирович</v>
      </c>
      <c r="G8839" s="7" t="s">
        <v>10</v>
      </c>
      <c r="H8839" s="7">
        <v>2969</v>
      </c>
      <c r="I8839" s="8" t="str">
        <f ca="1">IFERROR(__xludf.DUMMYFUNCTION("IF
(
G8840=""фізична особа""
,
VLOOKUP(H8840,IMPORTRANGE(""https://docs.google.com/spreadsheets/d/14Bd19lYaqBhU8_DElYkX7l4wRkHqqCUFNJY4AfY3kHU/edit?usp=sharing  #gid=0"",""фіз особи new!relations_name""),6,FALSE)
,
(IF
(
G8840=""юридична особа""
,
VLOOKUP"&amp;"(H8840,IMPORTRANGE(""https://docs.google.com/spreadsheets/d/14Bd19lYaqBhU8_DElYkX7l4wRkHqqCUFNJY4AfY3kHU/edit?usp=sharing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39" s="7" t="s">
        <v>29</v>
      </c>
    </row>
    <row r="8840" spans="1:10" ht="13.2">
      <c r="A8840" s="7">
        <v>8839</v>
      </c>
      <c r="B8840" s="7">
        <v>1</v>
      </c>
      <c r="C8840" s="7" t="s">
        <v>10</v>
      </c>
      <c r="D8840" s="7">
        <v>10749</v>
      </c>
      <c r="E8840" s="7" t="s">
        <v>28</v>
      </c>
      <c r="F8840" s="8" t="str">
        <f ca="1">IFERROR(__xludf.DUMMYFUNCTION("IF
(
C8841=""фізична особа""
,
VLOOKUP(D8841,IMPORTRANGE(""https://docs.google.com/spreadsheets/d/14Bd19lYaqBhU8_DElYkX7l4wRkHqqCUFNJY4AfY3kHU/edit?usp=sharing  #gid=0"",""фіз особи new!relations_name""),6,FALSE)
,
(IF
(
C8841=""юридична особа""
,
VLOOKUP"&amp;"(D8841,IMPORTRANGE(""https://docs.google.com/spreadsheets/d/14Bd19lYaqBhU8_DElYkX7l4wRkHqqCUFNJY4AfY3kHU/edit?usp=sharing  #gid=0"",""фіз особи new!relations_name_uo""),7,FALSE)
,
)
))"),"АРСЛАНОВ Михайло Нурнахметович")</f>
        <v>АРСЛАНОВ Михайло Нурнахметович</v>
      </c>
      <c r="G8840" s="7" t="s">
        <v>10</v>
      </c>
      <c r="H8840" s="7">
        <v>2969</v>
      </c>
      <c r="I8840" s="8" t="str">
        <f ca="1">IFERROR(__xludf.DUMMYFUNCTION("IF
(
G8841=""фізична особа""
,
VLOOKUP(H8841,IMPORTRANGE(""https://docs.google.com/spreadsheets/d/14Bd19lYaqBhU8_DElYkX7l4wRkHqqCUFNJY4AfY3kHU/edit?usp=sharing  #gid=0"",""фіз особи new!relations_name""),6,FALSE)
,
(IF
(
G8841=""юридична особа""
,
VLOOKUP"&amp;"(H8841,IMPORTRANGE(""https://docs.google.com/spreadsheets/d/14Bd19lYaqBhU8_DElYkX7l4wRkHqqCUFNJY4AfY3kHU/edit?usp=sharing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0" s="7" t="s">
        <v>29</v>
      </c>
    </row>
    <row r="8841" spans="1:10" ht="13.2">
      <c r="A8841" s="7">
        <v>8840</v>
      </c>
      <c r="B8841" s="7">
        <v>1</v>
      </c>
      <c r="C8841" s="7" t="s">
        <v>10</v>
      </c>
      <c r="D8841" s="7">
        <v>10750</v>
      </c>
      <c r="E8841" s="7" t="s">
        <v>28</v>
      </c>
      <c r="F8841" s="8" t="str">
        <f ca="1">IFERROR(__xludf.DUMMYFUNCTION("IF
(
C8842=""фізична особа""
,
VLOOKUP(D8842,IMPORTRANGE(""https://docs.google.com/spreadsheets/d/14Bd19lYaqBhU8_DElYkX7l4wRkHqqCUFNJY4AfY3kHU/edit?usp=sharing  #gid=0"",""фіз особи new!relations_name""),6,FALSE)
,
(IF
(
C8842=""юридична особа""
,
VLOOKUP"&amp;"(D8842,IMPORTRANGE(""https://docs.google.com/spreadsheets/d/14Bd19lYaqBhU8_DElYkX7l4wRkHqqCUFNJY4AfY3kHU/edit?usp=sharing  #gid=0"",""фіз особи new!relations_name_uo""),7,FALSE)
,
)
))"),"РАКІТІН Ігор Борисович")</f>
        <v>РАКІТІН Ігор Борисович</v>
      </c>
      <c r="G8841" s="7" t="s">
        <v>10</v>
      </c>
      <c r="H8841" s="7">
        <v>2969</v>
      </c>
      <c r="I8841" s="8" t="str">
        <f ca="1">IFERROR(__xludf.DUMMYFUNCTION("IF
(
G8842=""фізична особа""
,
VLOOKUP(H8842,IMPORTRANGE(""https://docs.google.com/spreadsheets/d/14Bd19lYaqBhU8_DElYkX7l4wRkHqqCUFNJY4AfY3kHU/edit?usp=sharing  #gid=0"",""фіз особи new!relations_name""),6,FALSE)
,
(IF
(
G8842=""юридична особа""
,
VLOOKUP"&amp;"(H8842,IMPORTRANGE(""https://docs.google.com/spreadsheets/d/14Bd19lYaqBhU8_DElYkX7l4wRkHqqCUFNJY4AfY3kHU/edit?usp=sharing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1" s="7" t="s">
        <v>29</v>
      </c>
    </row>
    <row r="8842" spans="1:10" ht="13.2">
      <c r="A8842" s="7">
        <v>8841</v>
      </c>
      <c r="B8842" s="7">
        <v>1</v>
      </c>
      <c r="C8842" s="7" t="s">
        <v>10</v>
      </c>
      <c r="D8842" s="7">
        <v>10751</v>
      </c>
      <c r="E8842" s="7" t="s">
        <v>28</v>
      </c>
      <c r="F8842" s="8" t="str">
        <f ca="1">IFERROR(__xludf.DUMMYFUNCTION("IF
(
C8843=""фізична особа""
,
VLOOKUP(D8843,IMPORTRANGE(""https://docs.google.com/spreadsheets/d/14Bd19lYaqBhU8_DElYkX7l4wRkHqqCUFNJY4AfY3kHU/edit?usp=sharing  #gid=0"",""фіз особи new!relations_name""),6,FALSE)
,
(IF
(
C8843=""юридична особа""
,
VLOOKUP"&amp;"(D8843,IMPORTRANGE(""https://docs.google.com/spreadsheets/d/14Bd19lYaqBhU8_DElYkX7l4wRkHqqCUFNJY4AfY3kHU/edit?usp=sharing  #gid=0"",""фіз особи new!relations_name_uo""),7,FALSE)
,
)
))"),"УСАЧЕВ Валерій Миколайович")</f>
        <v>УСАЧЕВ Валерій Миколайович</v>
      </c>
      <c r="G8842" s="7" t="s">
        <v>10</v>
      </c>
      <c r="H8842" s="7">
        <v>2969</v>
      </c>
      <c r="I8842" s="8" t="str">
        <f ca="1">IFERROR(__xludf.DUMMYFUNCTION("IF
(
G8843=""фізична особа""
,
VLOOKUP(H8843,IMPORTRANGE(""https://docs.google.com/spreadsheets/d/14Bd19lYaqBhU8_DElYkX7l4wRkHqqCUFNJY4AfY3kHU/edit?usp=sharing  #gid=0"",""фіз особи new!relations_name""),6,FALSE)
,
(IF
(
G8843=""юридична особа""
,
VLOOKUP"&amp;"(H8843,IMPORTRANGE(""https://docs.google.com/spreadsheets/d/14Bd19lYaqBhU8_DElYkX7l4wRkHqqCUFNJY4AfY3kHU/edit?usp=sharing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2" s="7" t="s">
        <v>29</v>
      </c>
    </row>
    <row r="8843" spans="1:10" ht="13.2">
      <c r="A8843" s="7">
        <v>8842</v>
      </c>
      <c r="B8843" s="7">
        <v>1</v>
      </c>
      <c r="C8843" s="7" t="s">
        <v>10</v>
      </c>
      <c r="D8843" s="7">
        <v>10752</v>
      </c>
      <c r="E8843" s="7" t="s">
        <v>28</v>
      </c>
      <c r="F8843" s="8" t="str">
        <f ca="1">IFERROR(__xludf.DUMMYFUNCTION("IF
(
C8844=""фізична особа""
,
VLOOKUP(D8844,IMPORTRANGE(""https://docs.google.com/spreadsheets/d/14Bd19lYaqBhU8_DElYkX7l4wRkHqqCUFNJY4AfY3kHU/edit?usp=sharing  #gid=0"",""фіз особи new!relations_name""),6,FALSE)
,
(IF
(
C8844=""юридична особа""
,
VLOOKUP"&amp;"(D8844,IMPORTRANGE(""https://docs.google.com/spreadsheets/d/14Bd19lYaqBhU8_DElYkX7l4wRkHqqCUFNJY4AfY3kHU/edit?usp=sharing  #gid=0"",""фіз особи new!relations_name_uo""),7,FALSE)
,
)
))"),"САГАЛАКОВ Леонід Олексійович")</f>
        <v>САГАЛАКОВ Леонід Олексійович</v>
      </c>
      <c r="G8843" s="7" t="s">
        <v>10</v>
      </c>
      <c r="H8843" s="7">
        <v>2969</v>
      </c>
      <c r="I8843" s="8" t="str">
        <f ca="1">IFERROR(__xludf.DUMMYFUNCTION("IF
(
G8844=""фізична особа""
,
VLOOKUP(H8844,IMPORTRANGE(""https://docs.google.com/spreadsheets/d/14Bd19lYaqBhU8_DElYkX7l4wRkHqqCUFNJY4AfY3kHU/edit?usp=sharing  #gid=0"",""фіз особи new!relations_name""),6,FALSE)
,
(IF
(
G8844=""юридична особа""
,
VLOOKUP"&amp;"(H8844,IMPORTRANGE(""https://docs.google.com/spreadsheets/d/14Bd19lYaqBhU8_DElYkX7l4wRkHqqCUFNJY4AfY3kHU/edit?usp=sharing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3" s="7" t="s">
        <v>29</v>
      </c>
    </row>
    <row r="8844" spans="1:10" ht="13.2">
      <c r="A8844" s="7">
        <v>8843</v>
      </c>
      <c r="B8844" s="7">
        <v>1</v>
      </c>
      <c r="C8844" s="7" t="s">
        <v>10</v>
      </c>
      <c r="D8844" s="7">
        <v>10755</v>
      </c>
      <c r="E8844" s="7" t="s">
        <v>28</v>
      </c>
      <c r="F8844" s="8" t="str">
        <f ca="1">IFERROR(__xludf.DUMMYFUNCTION("IF
(
C8845=""фізична особа""
,
VLOOKUP(D8845,IMPORTRANGE(""https://docs.google.com/spreadsheets/d/14Bd19lYaqBhU8_DElYkX7l4wRkHqqCUFNJY4AfY3kHU/edit?usp=sharing  #gid=0"",""фіз особи new!relations_name""),6,FALSE)
,
(IF
(
C8845=""юридична особа""
,
VLOOKUP"&amp;"(D8845,IMPORTRANGE(""https://docs.google.com/spreadsheets/d/14Bd19lYaqBhU8_DElYkX7l4wRkHqqCUFNJY4AfY3kHU/edit?usp=sharing  #gid=0"",""фіз особи new!relations_name_uo""),7,FALSE)
,
)
))"),"КУПЄЄВ Алан Борисович")</f>
        <v>КУПЄЄВ Алан Борисович</v>
      </c>
      <c r="G8844" s="7" t="s">
        <v>10</v>
      </c>
      <c r="H8844" s="7">
        <v>2969</v>
      </c>
      <c r="I8844" s="8" t="str">
        <f ca="1">IFERROR(__xludf.DUMMYFUNCTION("IF
(
G8845=""фізична особа""
,
VLOOKUP(H8845,IMPORTRANGE(""https://docs.google.com/spreadsheets/d/14Bd19lYaqBhU8_DElYkX7l4wRkHqqCUFNJY4AfY3kHU/edit?usp=sharing  #gid=0"",""фіз особи new!relations_name""),6,FALSE)
,
(IF
(
G8845=""юридична особа""
,
VLOOKUP"&amp;"(H8845,IMPORTRANGE(""https://docs.google.com/spreadsheets/d/14Bd19lYaqBhU8_DElYkX7l4wRkHqqCUFNJY4AfY3kHU/edit?usp=sharing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4" s="7" t="s">
        <v>29</v>
      </c>
    </row>
    <row r="8845" spans="1:10" ht="13.2">
      <c r="A8845" s="7">
        <v>8844</v>
      </c>
      <c r="B8845" s="7">
        <v>1</v>
      </c>
      <c r="C8845" s="7" t="s">
        <v>10</v>
      </c>
      <c r="D8845" s="7">
        <v>10754</v>
      </c>
      <c r="E8845" s="7" t="s">
        <v>28</v>
      </c>
      <c r="F8845" s="8" t="str">
        <f ca="1">IFERROR(__xludf.DUMMYFUNCTION("IF
(
C8846=""фізична особа""
,
VLOOKUP(D8846,IMPORTRANGE(""https://docs.google.com/spreadsheets/d/14Bd19lYaqBhU8_DElYkX7l4wRkHqqCUFNJY4AfY3kHU/edit?usp=sharing  #gid=0"",""фіз особи new!relations_name""),6,FALSE)
,
(IF
(
C8846=""юридична особа""
,
VLOOKUP"&amp;"(D8846,IMPORTRANGE(""https://docs.google.com/spreadsheets/d/14Bd19lYaqBhU8_DElYkX7l4wRkHqqCUFNJY4AfY3kHU/edit?usp=sharing  #gid=0"",""фіз особи new!relations_name_uo""),7,FALSE)
,
)
))"),"ПОПЕТО Андрій Леонідович")</f>
        <v>ПОПЕТО Андрій Леонідович</v>
      </c>
      <c r="G8845" s="7" t="s">
        <v>10</v>
      </c>
      <c r="H8845" s="7">
        <v>2969</v>
      </c>
      <c r="I8845" s="8" t="str">
        <f ca="1">IFERROR(__xludf.DUMMYFUNCTION("IF
(
G8846=""фізична особа""
,
VLOOKUP(H8846,IMPORTRANGE(""https://docs.google.com/spreadsheets/d/14Bd19lYaqBhU8_DElYkX7l4wRkHqqCUFNJY4AfY3kHU/edit?usp=sharing  #gid=0"",""фіз особи new!relations_name""),6,FALSE)
,
(IF
(
G8846=""юридична особа""
,
VLOOKUP"&amp;"(H8846,IMPORTRANGE(""https://docs.google.com/spreadsheets/d/14Bd19lYaqBhU8_DElYkX7l4wRkHqqCUFNJY4AfY3kHU/edit?usp=sharing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5" s="7" t="s">
        <v>29</v>
      </c>
    </row>
    <row r="8846" spans="1:10" ht="13.2">
      <c r="A8846" s="7">
        <v>8845</v>
      </c>
      <c r="B8846" s="7">
        <v>1</v>
      </c>
      <c r="C8846" s="7" t="s">
        <v>10</v>
      </c>
      <c r="D8846" s="7">
        <v>10755</v>
      </c>
      <c r="E8846" s="7" t="s">
        <v>28</v>
      </c>
      <c r="F8846" s="8" t="str">
        <f ca="1">IFERROR(__xludf.DUMMYFUNCTION("IF
(
C8847=""фізична особа""
,
VLOOKUP(D8847,IMPORTRANGE(""https://docs.google.com/spreadsheets/d/14Bd19lYaqBhU8_DElYkX7l4wRkHqqCUFNJY4AfY3kHU/edit?usp=sharing  #gid=0"",""фіз особи new!relations_name""),6,FALSE)
,
(IF
(
C8847=""юридична особа""
,
VLOOKUP"&amp;"(D8847,IMPORTRANGE(""https://docs.google.com/spreadsheets/d/14Bd19lYaqBhU8_DElYkX7l4wRkHqqCUFNJY4AfY3kHU/edit?usp=sharing  #gid=0"",""фіз особи new!relations_name_uo""),7,FALSE)
,
)
))"),"КУПЄЄВ Алан Борисович")</f>
        <v>КУПЄЄВ Алан Борисович</v>
      </c>
      <c r="G8846" s="7" t="s">
        <v>10</v>
      </c>
      <c r="H8846" s="7">
        <v>2969</v>
      </c>
      <c r="I8846" s="8" t="str">
        <f ca="1">IFERROR(__xludf.DUMMYFUNCTION("IF
(
G8847=""фізична особа""
,
VLOOKUP(H8847,IMPORTRANGE(""https://docs.google.com/spreadsheets/d/14Bd19lYaqBhU8_DElYkX7l4wRkHqqCUFNJY4AfY3kHU/edit?usp=sharing  #gid=0"",""фіз особи new!relations_name""),6,FALSE)
,
(IF
(
G8847=""юридична особа""
,
VLOOKUP"&amp;"(H8847,IMPORTRANGE(""https://docs.google.com/spreadsheets/d/14Bd19lYaqBhU8_DElYkX7l4wRkHqqCUFNJY4AfY3kHU/edit?usp=sharing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6" s="7" t="s">
        <v>29</v>
      </c>
    </row>
    <row r="8847" spans="1:10" ht="13.2">
      <c r="A8847" s="7">
        <v>8846</v>
      </c>
      <c r="B8847" s="7">
        <v>1</v>
      </c>
      <c r="C8847" s="7" t="s">
        <v>10</v>
      </c>
      <c r="D8847" s="7">
        <v>10756</v>
      </c>
      <c r="E8847" s="7" t="s">
        <v>28</v>
      </c>
      <c r="F8847" s="8" t="str">
        <f ca="1">IFERROR(__xludf.DUMMYFUNCTION("IF
(
C8848=""фізична особа""
,
VLOOKUP(D8848,IMPORTRANGE(""https://docs.google.com/spreadsheets/d/14Bd19lYaqBhU8_DElYkX7l4wRkHqqCUFNJY4AfY3kHU/edit?usp=sharing  #gid=0"",""фіз особи new!relations_name""),6,FALSE)
,
(IF
(
C8848=""юридична особа""
,
VLOOKUP"&amp;"(D8848,IMPORTRANGE(""https://docs.google.com/spreadsheets/d/14Bd19lYaqBhU8_DElYkX7l4wRkHqqCUFNJY4AfY3kHU/edit?usp=sharing  #gid=0"",""фіз особи new!relations_name_uo""),7,FALSE)
,
)
))"),"КНІС Костянтин Олександрович")</f>
        <v>КНІС Костянтин Олександрович</v>
      </c>
      <c r="G8847" s="7" t="s">
        <v>10</v>
      </c>
      <c r="H8847" s="7">
        <v>2969</v>
      </c>
      <c r="I8847" s="8" t="str">
        <f ca="1">IFERROR(__xludf.DUMMYFUNCTION("IF
(
G8848=""фізична особа""
,
VLOOKUP(H8848,IMPORTRANGE(""https://docs.google.com/spreadsheets/d/14Bd19lYaqBhU8_DElYkX7l4wRkHqqCUFNJY4AfY3kHU/edit?usp=sharing  #gid=0"",""фіз особи new!relations_name""),6,FALSE)
,
(IF
(
G8848=""юридична особа""
,
VLOOKUP"&amp;"(H8848,IMPORTRANGE(""https://docs.google.com/spreadsheets/d/14Bd19lYaqBhU8_DElYkX7l4wRkHqqCUFNJY4AfY3kHU/edit?usp=sharing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7" s="7" t="s">
        <v>29</v>
      </c>
    </row>
    <row r="8848" spans="1:10" ht="13.2">
      <c r="A8848" s="7">
        <v>8847</v>
      </c>
      <c r="B8848" s="7">
        <v>1</v>
      </c>
      <c r="C8848" s="7" t="s">
        <v>10</v>
      </c>
      <c r="D8848" s="7">
        <v>10757</v>
      </c>
      <c r="E8848" s="7" t="s">
        <v>28</v>
      </c>
      <c r="F8848" s="8" t="str">
        <f ca="1">IFERROR(__xludf.DUMMYFUNCTION("IF
(
C8849=""фізична особа""
,
VLOOKUP(D8849,IMPORTRANGE(""https://docs.google.com/spreadsheets/d/14Bd19lYaqBhU8_DElYkX7l4wRkHqqCUFNJY4AfY3kHU/edit?usp=sharing  #gid=0"",""фіз особи new!relations_name""),6,FALSE)
,
(IF
(
C8849=""юридична особа""
,
VLOOKUP"&amp;"(D8849,IMPORTRANGE(""https://docs.google.com/spreadsheets/d/14Bd19lYaqBhU8_DElYkX7l4wRkHqqCUFNJY4AfY3kHU/edit?usp=sharing  #gid=0"",""фіз особи new!relations_name_uo""),7,FALSE)
,
)
))"),"ЯКОВЛЄВ Іван Іванович")</f>
        <v>ЯКОВЛЄВ Іван Іванович</v>
      </c>
      <c r="G8848" s="7" t="s">
        <v>10</v>
      </c>
      <c r="H8848" s="7">
        <v>2969</v>
      </c>
      <c r="I8848" s="8" t="str">
        <f ca="1">IFERROR(__xludf.DUMMYFUNCTION("IF
(
G8849=""фізична особа""
,
VLOOKUP(H8849,IMPORTRANGE(""https://docs.google.com/spreadsheets/d/14Bd19lYaqBhU8_DElYkX7l4wRkHqqCUFNJY4AfY3kHU/edit?usp=sharing  #gid=0"",""фіз особи new!relations_name""),6,FALSE)
,
(IF
(
G8849=""юридична особа""
,
VLOOKUP"&amp;"(H8849,IMPORTRANGE(""https://docs.google.com/spreadsheets/d/14Bd19lYaqBhU8_DElYkX7l4wRkHqqCUFNJY4AfY3kHU/edit?usp=sharing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8" s="7" t="s">
        <v>29</v>
      </c>
    </row>
    <row r="8849" spans="1:10" ht="13.2">
      <c r="A8849" s="7">
        <v>8848</v>
      </c>
      <c r="B8849" s="7">
        <v>1</v>
      </c>
      <c r="C8849" s="7" t="s">
        <v>10</v>
      </c>
      <c r="D8849" s="7">
        <v>10758</v>
      </c>
      <c r="E8849" s="7" t="s">
        <v>28</v>
      </c>
      <c r="F8849" s="8" t="str">
        <f ca="1">IFERROR(__xludf.DUMMYFUNCTION("IF
(
C8850=""фізична особа""
,
VLOOKUP(D8850,IMPORTRANGE(""https://docs.google.com/spreadsheets/d/14Bd19lYaqBhU8_DElYkX7l4wRkHqqCUFNJY4AfY3kHU/edit?usp=sharing  #gid=0"",""фіз особи new!relations_name""),6,FALSE)
,
(IF
(
C8850=""юридична особа""
,
VLOOKUP"&amp;"(D8850,IMPORTRANGE(""https://docs.google.com/spreadsheets/d/14Bd19lYaqBhU8_DElYkX7l4wRkHqqCUFNJY4AfY3kHU/edit?usp=sharing  #gid=0"",""фіз особи new!relations_name_uo""),7,FALSE)
,
)
))"),"ОБЛОМІЙ Дмитро Іванович")</f>
        <v>ОБЛОМІЙ Дмитро Іванович</v>
      </c>
      <c r="G8849" s="7" t="s">
        <v>10</v>
      </c>
      <c r="H8849" s="7">
        <v>2969</v>
      </c>
      <c r="I8849" s="8" t="str">
        <f ca="1">IFERROR(__xludf.DUMMYFUNCTION("IF
(
G8850=""фізична особа""
,
VLOOKUP(H8850,IMPORTRANGE(""https://docs.google.com/spreadsheets/d/14Bd19lYaqBhU8_DElYkX7l4wRkHqqCUFNJY4AfY3kHU/edit?usp=sharing  #gid=0"",""фіз особи new!relations_name""),6,FALSE)
,
(IF
(
G8850=""юридична особа""
,
VLOOKUP"&amp;"(H8850,IMPORTRANGE(""https://docs.google.com/spreadsheets/d/14Bd19lYaqBhU8_DElYkX7l4wRkHqqCUFNJY4AfY3kHU/edit?usp=sharing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49" s="7" t="s">
        <v>29</v>
      </c>
    </row>
    <row r="8850" spans="1:10" ht="13.2">
      <c r="A8850" s="7">
        <v>8849</v>
      </c>
      <c r="B8850" s="7">
        <v>1</v>
      </c>
      <c r="C8850" s="7" t="s">
        <v>10</v>
      </c>
      <c r="D8850" s="7">
        <v>10759</v>
      </c>
      <c r="E8850" s="7" t="s">
        <v>28</v>
      </c>
      <c r="F8850" s="8" t="str">
        <f ca="1">IFERROR(__xludf.DUMMYFUNCTION("IF
(
C8851=""фізична особа""
,
VLOOKUP(D8851,IMPORTRANGE(""https://docs.google.com/spreadsheets/d/14Bd19lYaqBhU8_DElYkX7l4wRkHqqCUFNJY4AfY3kHU/edit?usp=sharing  #gid=0"",""фіз особи new!relations_name""),6,FALSE)
,
(IF
(
C8851=""юридична особа""
,
VLOOKUP"&amp;"(D8851,IMPORTRANGE(""https://docs.google.com/spreadsheets/d/14Bd19lYaqBhU8_DElYkX7l4wRkHqqCUFNJY4AfY3kHU/edit?usp=sharing  #gid=0"",""фіз особи new!relations_name_uo""),7,FALSE)
,
)
))"),"МІСЮРА Андрій Володимирович")</f>
        <v>МІСЮРА Андрій Володимирович</v>
      </c>
      <c r="G8850" s="7" t="s">
        <v>10</v>
      </c>
      <c r="H8850" s="7">
        <v>2969</v>
      </c>
      <c r="I8850" s="8" t="str">
        <f ca="1">IFERROR(__xludf.DUMMYFUNCTION("IF
(
G8851=""фізична особа""
,
VLOOKUP(H8851,IMPORTRANGE(""https://docs.google.com/spreadsheets/d/14Bd19lYaqBhU8_DElYkX7l4wRkHqqCUFNJY4AfY3kHU/edit?usp=sharing  #gid=0"",""фіз особи new!relations_name""),6,FALSE)
,
(IF
(
G8851=""юридична особа""
,
VLOOKUP"&amp;"(H8851,IMPORTRANGE(""https://docs.google.com/spreadsheets/d/14Bd19lYaqBhU8_DElYkX7l4wRkHqqCUFNJY4AfY3kHU/edit?usp=sharing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0" s="7" t="s">
        <v>29</v>
      </c>
    </row>
    <row r="8851" spans="1:10" ht="13.2">
      <c r="A8851" s="7">
        <v>8850</v>
      </c>
      <c r="B8851" s="7">
        <v>1</v>
      </c>
      <c r="C8851" s="7" t="s">
        <v>10</v>
      </c>
      <c r="D8851" s="7">
        <v>10760</v>
      </c>
      <c r="E8851" s="7" t="s">
        <v>28</v>
      </c>
      <c r="F8851" s="8" t="str">
        <f ca="1">IFERROR(__xludf.DUMMYFUNCTION("IF
(
C8852=""фізична особа""
,
VLOOKUP(D8852,IMPORTRANGE(""https://docs.google.com/spreadsheets/d/14Bd19lYaqBhU8_DElYkX7l4wRkHqqCUFNJY4AfY3kHU/edit?usp=sharing  #gid=0"",""фіз особи new!relations_name""),6,FALSE)
,
(IF
(
C8852=""юридична особа""
,
VLOOKUP"&amp;"(D8852,IMPORTRANGE(""https://docs.google.com/spreadsheets/d/14Bd19lYaqBhU8_DElYkX7l4wRkHqqCUFNJY4AfY3kHU/edit?usp=sharing  #gid=0"",""фіз особи new!relations_name_uo""),7,FALSE)
,
)
))"),"ЩЕРБА Віталій Юрійович")</f>
        <v>ЩЕРБА Віталій Юрійович</v>
      </c>
      <c r="G8851" s="7" t="s">
        <v>10</v>
      </c>
      <c r="H8851" s="7">
        <v>2969</v>
      </c>
      <c r="I8851" s="8" t="str">
        <f ca="1">IFERROR(__xludf.DUMMYFUNCTION("IF
(
G8852=""фізична особа""
,
VLOOKUP(H8852,IMPORTRANGE(""https://docs.google.com/spreadsheets/d/14Bd19lYaqBhU8_DElYkX7l4wRkHqqCUFNJY4AfY3kHU/edit?usp=sharing  #gid=0"",""фіз особи new!relations_name""),6,FALSE)
,
(IF
(
G8852=""юридична особа""
,
VLOOKUP"&amp;"(H8852,IMPORTRANGE(""https://docs.google.com/spreadsheets/d/14Bd19lYaqBhU8_DElYkX7l4wRkHqqCUFNJY4AfY3kHU/edit?usp=sharing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1" s="7" t="s">
        <v>29</v>
      </c>
    </row>
    <row r="8852" spans="1:10" ht="13.2">
      <c r="A8852" s="7">
        <v>8851</v>
      </c>
      <c r="B8852" s="7">
        <v>1</v>
      </c>
      <c r="C8852" s="7" t="s">
        <v>10</v>
      </c>
      <c r="D8852" s="7">
        <v>10761</v>
      </c>
      <c r="E8852" s="7" t="s">
        <v>28</v>
      </c>
      <c r="F8852" s="8" t="str">
        <f ca="1">IFERROR(__xludf.DUMMYFUNCTION("IF
(
C8853=""фізична особа""
,
VLOOKUP(D8853,IMPORTRANGE(""https://docs.google.com/spreadsheets/d/14Bd19lYaqBhU8_DElYkX7l4wRkHqqCUFNJY4AfY3kHU/edit?usp=sharing  #gid=0"",""фіз особи new!relations_name""),6,FALSE)
,
(IF
(
C8853=""юридична особа""
,
VLOOKUP"&amp;"(D8853,IMPORTRANGE(""https://docs.google.com/spreadsheets/d/14Bd19lYaqBhU8_DElYkX7l4wRkHqqCUFNJY4AfY3kHU/edit?usp=sharing  #gid=0"",""фіз особи new!relations_name_uo""),7,FALSE)
,
)
))"),"ЧАГДУРОВ Ігор Батожаргалович")</f>
        <v>ЧАГДУРОВ Ігор Батожаргалович</v>
      </c>
      <c r="G8852" s="7" t="s">
        <v>10</v>
      </c>
      <c r="H8852" s="7">
        <v>2969</v>
      </c>
      <c r="I8852" s="8" t="str">
        <f ca="1">IFERROR(__xludf.DUMMYFUNCTION("IF
(
G8853=""фізична особа""
,
VLOOKUP(H8853,IMPORTRANGE(""https://docs.google.com/spreadsheets/d/14Bd19lYaqBhU8_DElYkX7l4wRkHqqCUFNJY4AfY3kHU/edit?usp=sharing  #gid=0"",""фіз особи new!relations_name""),6,FALSE)
,
(IF
(
G8853=""юридична особа""
,
VLOOKUP"&amp;"(H8853,IMPORTRANGE(""https://docs.google.com/spreadsheets/d/14Bd19lYaqBhU8_DElYkX7l4wRkHqqCUFNJY4AfY3kHU/edit?usp=sharing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2" s="7" t="s">
        <v>29</v>
      </c>
    </row>
    <row r="8853" spans="1:10" ht="13.2">
      <c r="A8853" s="7">
        <v>8852</v>
      </c>
      <c r="B8853" s="7">
        <v>1</v>
      </c>
      <c r="C8853" s="7" t="s">
        <v>10</v>
      </c>
      <c r="D8853" s="7">
        <v>10762</v>
      </c>
      <c r="E8853" s="7" t="s">
        <v>28</v>
      </c>
      <c r="F8853" s="8" t="str">
        <f ca="1">IFERROR(__xludf.DUMMYFUNCTION("IF
(
C8854=""фізична особа""
,
VLOOKUP(D8854,IMPORTRANGE(""https://docs.google.com/spreadsheets/d/14Bd19lYaqBhU8_DElYkX7l4wRkHqqCUFNJY4AfY3kHU/edit?usp=sharing  #gid=0"",""фіз особи new!relations_name""),6,FALSE)
,
(IF
(
C8854=""юридична особа""
,
VLOOKUP"&amp;"(D8854,IMPORTRANGE(""https://docs.google.com/spreadsheets/d/14Bd19lYaqBhU8_DElYkX7l4wRkHqqCUFNJY4AfY3kHU/edit?usp=sharing  #gid=0"",""фіз особи new!relations_name_uo""),7,FALSE)
,
)
))"),"МИХАЙЛЕНКО Василь Євстахович")</f>
        <v>МИХАЙЛЕНКО Василь Євстахович</v>
      </c>
      <c r="G8853" s="7" t="s">
        <v>10</v>
      </c>
      <c r="H8853" s="7">
        <v>2969</v>
      </c>
      <c r="I8853" s="8" t="str">
        <f ca="1">IFERROR(__xludf.DUMMYFUNCTION("IF
(
G8854=""фізична особа""
,
VLOOKUP(H8854,IMPORTRANGE(""https://docs.google.com/spreadsheets/d/14Bd19lYaqBhU8_DElYkX7l4wRkHqqCUFNJY4AfY3kHU/edit?usp=sharing  #gid=0"",""фіз особи new!relations_name""),6,FALSE)
,
(IF
(
G8854=""юридична особа""
,
VLOOKUP"&amp;"(H8854,IMPORTRANGE(""https://docs.google.com/spreadsheets/d/14Bd19lYaqBhU8_DElYkX7l4wRkHqqCUFNJY4AfY3kHU/edit?usp=sharing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3" s="7" t="s">
        <v>29</v>
      </c>
    </row>
    <row r="8854" spans="1:10" ht="13.2">
      <c r="A8854" s="7">
        <v>8853</v>
      </c>
      <c r="B8854" s="7">
        <v>1</v>
      </c>
      <c r="C8854" s="7" t="s">
        <v>10</v>
      </c>
      <c r="D8854" s="7">
        <v>10763</v>
      </c>
      <c r="E8854" s="7" t="s">
        <v>28</v>
      </c>
      <c r="F8854" s="8" t="str">
        <f ca="1">IFERROR(__xludf.DUMMYFUNCTION("IF
(
C8855=""фізична особа""
,
VLOOKUP(D8855,IMPORTRANGE(""https://docs.google.com/spreadsheets/d/14Bd19lYaqBhU8_DElYkX7l4wRkHqqCUFNJY4AfY3kHU/edit?usp=sharing  #gid=0"",""фіз особи new!relations_name""),6,FALSE)
,
(IF
(
C8855=""юридична особа""
,
VLOOKUP"&amp;"(D8855,IMPORTRANGE(""https://docs.google.com/spreadsheets/d/14Bd19lYaqBhU8_DElYkX7l4wRkHqqCUFNJY4AfY3kHU/edit?usp=sharing  #gid=0"",""фіз особи new!relations_name_uo""),7,FALSE)
,
)
))"),"БЄЛОНОГОВ Сергій Миколайович")</f>
        <v>БЄЛОНОГОВ Сергій Миколайович</v>
      </c>
      <c r="G8854" s="7" t="s">
        <v>10</v>
      </c>
      <c r="H8854" s="7">
        <v>2969</v>
      </c>
      <c r="I8854" s="8" t="str">
        <f ca="1">IFERROR(__xludf.DUMMYFUNCTION("IF
(
G8855=""фізична особа""
,
VLOOKUP(H8855,IMPORTRANGE(""https://docs.google.com/spreadsheets/d/14Bd19lYaqBhU8_DElYkX7l4wRkHqqCUFNJY4AfY3kHU/edit?usp=sharing  #gid=0"",""фіз особи new!relations_name""),6,FALSE)
,
(IF
(
G8855=""юридична особа""
,
VLOOKUP"&amp;"(H8855,IMPORTRANGE(""https://docs.google.com/spreadsheets/d/14Bd19lYaqBhU8_DElYkX7l4wRkHqqCUFNJY4AfY3kHU/edit?usp=sharing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4" s="7" t="s">
        <v>29</v>
      </c>
    </row>
    <row r="8855" spans="1:10" ht="13.2">
      <c r="A8855" s="7">
        <v>8854</v>
      </c>
      <c r="B8855" s="7">
        <v>1</v>
      </c>
      <c r="C8855" s="7" t="s">
        <v>10</v>
      </c>
      <c r="D8855" s="7">
        <v>10764</v>
      </c>
      <c r="E8855" s="7" t="s">
        <v>28</v>
      </c>
      <c r="F8855" s="8" t="str">
        <f ca="1">IFERROR(__xludf.DUMMYFUNCTION("IF
(
C8856=""фізична особа""
,
VLOOKUP(D8856,IMPORTRANGE(""https://docs.google.com/spreadsheets/d/14Bd19lYaqBhU8_DElYkX7l4wRkHqqCUFNJY4AfY3kHU/edit?usp=sharing  #gid=0"",""фіз особи new!relations_name""),6,FALSE)
,
(IF
(
C8856=""юридична особа""
,
VLOOKUP"&amp;"(D8856,IMPORTRANGE(""https://docs.google.com/spreadsheets/d/14Bd19lYaqBhU8_DElYkX7l4wRkHqqCUFNJY4AfY3kHU/edit?usp=sharing  #gid=0"",""фіз особи new!relations_name_uo""),7,FALSE)
,
)
))"),"АБРАМЧУК Володимир Степанович")</f>
        <v>АБРАМЧУК Володимир Степанович</v>
      </c>
      <c r="G8855" s="7" t="s">
        <v>10</v>
      </c>
      <c r="H8855" s="7">
        <v>2969</v>
      </c>
      <c r="I8855" s="8" t="str">
        <f ca="1">IFERROR(__xludf.DUMMYFUNCTION("IF
(
G8856=""фізична особа""
,
VLOOKUP(H8856,IMPORTRANGE(""https://docs.google.com/spreadsheets/d/14Bd19lYaqBhU8_DElYkX7l4wRkHqqCUFNJY4AfY3kHU/edit?usp=sharing  #gid=0"",""фіз особи new!relations_name""),6,FALSE)
,
(IF
(
G8856=""юридична особа""
,
VLOOKUP"&amp;"(H8856,IMPORTRANGE(""https://docs.google.com/spreadsheets/d/14Bd19lYaqBhU8_DElYkX7l4wRkHqqCUFNJY4AfY3kHU/edit?usp=sharing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5" s="7" t="s">
        <v>29</v>
      </c>
    </row>
    <row r="8856" spans="1:10" ht="13.2">
      <c r="A8856" s="7">
        <v>8855</v>
      </c>
      <c r="B8856" s="7">
        <v>1</v>
      </c>
      <c r="C8856" s="7" t="s">
        <v>10</v>
      </c>
      <c r="D8856" s="7">
        <v>10765</v>
      </c>
      <c r="E8856" s="7" t="s">
        <v>28</v>
      </c>
      <c r="F8856" s="8" t="str">
        <f ca="1">IFERROR(__xludf.DUMMYFUNCTION("IF
(
C8857=""фізична особа""
,
VLOOKUP(D8857,IMPORTRANGE(""https://docs.google.com/spreadsheets/d/14Bd19lYaqBhU8_DElYkX7l4wRkHqqCUFNJY4AfY3kHU/edit?usp=sharing  #gid=0"",""фіз особи new!relations_name""),6,FALSE)
,
(IF
(
C8857=""юридична особа""
,
VLOOKUP"&amp;"(D8857,IMPORTRANGE(""https://docs.google.com/spreadsheets/d/14Bd19lYaqBhU8_DElYkX7l4wRkHqqCUFNJY4AfY3kHU/edit?usp=sharing  #gid=0"",""фіз особи new!relations_name_uo""),7,FALSE)
,
)
))"),"ШЕК Олександр Васильович")</f>
        <v>ШЕК Олександр Васильович</v>
      </c>
      <c r="G8856" s="7" t="s">
        <v>10</v>
      </c>
      <c r="H8856" s="7">
        <v>2969</v>
      </c>
      <c r="I8856" s="8" t="str">
        <f ca="1">IFERROR(__xludf.DUMMYFUNCTION("IF
(
G8857=""фізична особа""
,
VLOOKUP(H8857,IMPORTRANGE(""https://docs.google.com/spreadsheets/d/14Bd19lYaqBhU8_DElYkX7l4wRkHqqCUFNJY4AfY3kHU/edit?usp=sharing  #gid=0"",""фіз особи new!relations_name""),6,FALSE)
,
(IF
(
G8857=""юридична особа""
,
VLOOKUP"&amp;"(H8857,IMPORTRANGE(""https://docs.google.com/spreadsheets/d/14Bd19lYaqBhU8_DElYkX7l4wRkHqqCUFNJY4AfY3kHU/edit?usp=sharing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6" s="7" t="s">
        <v>29</v>
      </c>
    </row>
    <row r="8857" spans="1:10" ht="13.2">
      <c r="A8857" s="7">
        <v>8856</v>
      </c>
      <c r="B8857" s="7">
        <v>1</v>
      </c>
      <c r="C8857" s="7" t="s">
        <v>10</v>
      </c>
      <c r="D8857" s="7">
        <v>10766</v>
      </c>
      <c r="E8857" s="7" t="s">
        <v>28</v>
      </c>
      <c r="F8857" s="8" t="str">
        <f ca="1">IFERROR(__xludf.DUMMYFUNCTION("IF
(
C8858=""фізична особа""
,
VLOOKUP(D8858,IMPORTRANGE(""https://docs.google.com/spreadsheets/d/14Bd19lYaqBhU8_DElYkX7l4wRkHqqCUFNJY4AfY3kHU/edit?usp=sharing  #gid=0"",""фіз особи new!relations_name""),6,FALSE)
,
(IF
(
C8858=""юридична особа""
,
VLOOKUP"&amp;"(D8858,IMPORTRANGE(""https://docs.google.com/spreadsheets/d/14Bd19lYaqBhU8_DElYkX7l4wRkHqqCUFNJY4AfY3kHU/edit?usp=sharing  #gid=0"",""фіз особи new!relations_name_uo""),7,FALSE)
,
)
))"),"ВЕРСТКІН Вадим Вікторович")</f>
        <v>ВЕРСТКІН Вадим Вікторович</v>
      </c>
      <c r="G8857" s="7" t="s">
        <v>10</v>
      </c>
      <c r="H8857" s="7">
        <v>2969</v>
      </c>
      <c r="I8857" s="8" t="str">
        <f ca="1">IFERROR(__xludf.DUMMYFUNCTION("IF
(
G8858=""фізична особа""
,
VLOOKUP(H8858,IMPORTRANGE(""https://docs.google.com/spreadsheets/d/14Bd19lYaqBhU8_DElYkX7l4wRkHqqCUFNJY4AfY3kHU/edit?usp=sharing  #gid=0"",""фіз особи new!relations_name""),6,FALSE)
,
(IF
(
G8858=""юридична особа""
,
VLOOKUP"&amp;"(H8858,IMPORTRANGE(""https://docs.google.com/spreadsheets/d/14Bd19lYaqBhU8_DElYkX7l4wRkHqqCUFNJY4AfY3kHU/edit?usp=sharing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7" s="7" t="s">
        <v>29</v>
      </c>
    </row>
    <row r="8858" spans="1:10" ht="13.2">
      <c r="A8858" s="7">
        <v>8857</v>
      </c>
      <c r="B8858" s="7">
        <v>1</v>
      </c>
      <c r="C8858" s="7" t="s">
        <v>10</v>
      </c>
      <c r="D8858" s="7">
        <v>10766</v>
      </c>
      <c r="E8858" s="7" t="s">
        <v>12</v>
      </c>
      <c r="F8858" s="8" t="str">
        <f ca="1">IFERROR(__xludf.DUMMYFUNCTION("IF
(
C8859=""фізична особа""
,
VLOOKUP(D8859,IMPORTRANGE(""https://docs.google.com/spreadsheets/d/14Bd19lYaqBhU8_DElYkX7l4wRkHqqCUFNJY4AfY3kHU/edit?usp=sharing  #gid=0"",""фіз особи new!relations_name""),6,FALSE)
,
(IF
(
C8859=""юридична особа""
,
VLOOKUP"&amp;"(D8859,IMPORTRANGE(""https://docs.google.com/spreadsheets/d/14Bd19lYaqBhU8_DElYkX7l4wRkHqqCUFNJY4AfY3kHU/edit?usp=sharing  #gid=0"",""фіз особи new!relations_name_uo""),7,FALSE)
,
)
))"),"ВЕРСТКІН Вадим Вікторович")</f>
        <v>ВЕРСТКІН Вадим Вікторович</v>
      </c>
      <c r="G8858" s="7" t="s">
        <v>10</v>
      </c>
      <c r="H8858" s="7">
        <v>0</v>
      </c>
      <c r="I8858" s="8" t="str">
        <f ca="1">IFERROR(__xludf.DUMMYFUNCTION("IF
(
G8859=""фізична особа""
,
VLOOKUP(H8859,IMPORTRANGE(""https://docs.google.com/spreadsheets/d/14Bd19lYaqBhU8_DElYkX7l4wRkHqqCUFNJY4AfY3kHU/edit?usp=sharing  #gid=0"",""фіз особи new!relations_name""),6,FALSE)
,
(IF
(
G8859=""юридична особа""
,
VLOOKUP"&amp;"(H8859,IMPORTRANGE(""https://docs.google.com/spreadsheets/d/14Bd19lYaqBhU8_DElYkX7l4wRkHqqCUFNJY4AfY3kHU/edit?usp=sharing  #gid=0"",""фіз особи new!relations_name_uo""),7,FALSE)
,
)
))"),"#N/A")</f>
        <v>#N/A</v>
      </c>
      <c r="J8858" s="7" t="s">
        <v>13</v>
      </c>
    </row>
    <row r="8859" spans="1:10" ht="13.2">
      <c r="A8859" s="7">
        <v>8858</v>
      </c>
      <c r="B8859" s="7">
        <v>1</v>
      </c>
      <c r="C8859" s="7" t="s">
        <v>10</v>
      </c>
      <c r="D8859" s="7">
        <v>10767</v>
      </c>
      <c r="E8859" s="7" t="s">
        <v>28</v>
      </c>
      <c r="F8859" s="8" t="str">
        <f ca="1">IFERROR(__xludf.DUMMYFUNCTION("IF
(
C8860=""фізична особа""
,
VLOOKUP(D8860,IMPORTRANGE(""https://docs.google.com/spreadsheets/d/14Bd19lYaqBhU8_DElYkX7l4wRkHqqCUFNJY4AfY3kHU/edit?usp=sharing  #gid=0"",""фіз особи new!relations_name""),6,FALSE)
,
(IF
(
C8860=""юридична особа""
,
VLOOKUP"&amp;"(D8860,IMPORTRANGE(""https://docs.google.com/spreadsheets/d/14Bd19lYaqBhU8_DElYkX7l4wRkHqqCUFNJY4AfY3kHU/edit?usp=sharing  #gid=0"",""фіз особи new!relations_name_uo""),7,FALSE)
,
)
))"),"КУДРЯВЦЕВ Сергій Миколайович")</f>
        <v>КУДРЯВЦЕВ Сергій Миколайович</v>
      </c>
      <c r="G8859" s="7" t="s">
        <v>10</v>
      </c>
      <c r="H8859" s="7">
        <v>2969</v>
      </c>
      <c r="I8859" s="8" t="str">
        <f ca="1">IFERROR(__xludf.DUMMYFUNCTION("IF
(
G8860=""фізична особа""
,
VLOOKUP(H8860,IMPORTRANGE(""https://docs.google.com/spreadsheets/d/14Bd19lYaqBhU8_DElYkX7l4wRkHqqCUFNJY4AfY3kHU/edit?usp=sharing  #gid=0"",""фіз особи new!relations_name""),6,FALSE)
,
(IF
(
G8860=""юридична особа""
,
VLOOKUP"&amp;"(H8860,IMPORTRANGE(""https://docs.google.com/spreadsheets/d/14Bd19lYaqBhU8_DElYkX7l4wRkHqqCUFNJY4AfY3kHU/edit?usp=sharing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59" s="7" t="s">
        <v>29</v>
      </c>
    </row>
    <row r="8860" spans="1:10" ht="13.2">
      <c r="A8860" s="7">
        <v>8859</v>
      </c>
      <c r="B8860" s="7">
        <v>1</v>
      </c>
      <c r="C8860" s="7" t="s">
        <v>10</v>
      </c>
      <c r="D8860" s="7">
        <v>10768</v>
      </c>
      <c r="E8860" s="7" t="s">
        <v>28</v>
      </c>
      <c r="F8860" s="8" t="str">
        <f ca="1">IFERROR(__xludf.DUMMYFUNCTION("IF
(
C8861=""фізична особа""
,
VLOOKUP(D8861,IMPORTRANGE(""https://docs.google.com/spreadsheets/d/14Bd19lYaqBhU8_DElYkX7l4wRkHqqCUFNJY4AfY3kHU/edit?usp=sharing  #gid=0"",""фіз особи new!relations_name""),6,FALSE)
,
(IF
(
C8861=""юридична особа""
,
VLOOKUP"&amp;"(D8861,IMPORTRANGE(""https://docs.google.com/spreadsheets/d/14Bd19lYaqBhU8_DElYkX7l4wRkHqqCUFNJY4AfY3kHU/edit?usp=sharing  #gid=0"",""фіз особи new!relations_name_uo""),7,FALSE)
,
)
))"),"СЕДРІСЄВ Василь Васильович")</f>
        <v>СЕДРІСЄВ Василь Васильович</v>
      </c>
      <c r="G8860" s="7" t="s">
        <v>10</v>
      </c>
      <c r="H8860" s="7">
        <v>2969</v>
      </c>
      <c r="I8860" s="8" t="str">
        <f ca="1">IFERROR(__xludf.DUMMYFUNCTION("IF
(
G8861=""фізична особа""
,
VLOOKUP(H8861,IMPORTRANGE(""https://docs.google.com/spreadsheets/d/14Bd19lYaqBhU8_DElYkX7l4wRkHqqCUFNJY4AfY3kHU/edit?usp=sharing  #gid=0"",""фіз особи new!relations_name""),6,FALSE)
,
(IF
(
G8861=""юридична особа""
,
VLOOKUP"&amp;"(H8861,IMPORTRANGE(""https://docs.google.com/spreadsheets/d/14Bd19lYaqBhU8_DElYkX7l4wRkHqqCUFNJY4AfY3kHU/edit?usp=sharing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0" s="7" t="s">
        <v>29</v>
      </c>
    </row>
    <row r="8861" spans="1:10" ht="13.2">
      <c r="A8861" s="7">
        <v>8860</v>
      </c>
      <c r="B8861" s="7">
        <v>1</v>
      </c>
      <c r="C8861" s="7" t="s">
        <v>10</v>
      </c>
      <c r="D8861" s="7">
        <v>10769</v>
      </c>
      <c r="E8861" s="7" t="s">
        <v>28</v>
      </c>
      <c r="F8861" s="8" t="str">
        <f ca="1">IFERROR(__xludf.DUMMYFUNCTION("IF
(
C8862=""фізична особа""
,
VLOOKUP(D8862,IMPORTRANGE(""https://docs.google.com/spreadsheets/d/14Bd19lYaqBhU8_DElYkX7l4wRkHqqCUFNJY4AfY3kHU/edit?usp=sharing  #gid=0"",""фіз особи new!relations_name""),6,FALSE)
,
(IF
(
C8862=""юридична особа""
,
VLOOKUP"&amp;"(D8862,IMPORTRANGE(""https://docs.google.com/spreadsheets/d/14Bd19lYaqBhU8_DElYkX7l4wRkHqqCUFNJY4AfY3kHU/edit?usp=sharing  #gid=0"",""фіз особи new!relations_name_uo""),7,FALSE)
,
)
))"),"АЛТУХОВ Сергій Анатолійович")</f>
        <v>АЛТУХОВ Сергій Анатолійович</v>
      </c>
      <c r="G8861" s="7" t="s">
        <v>10</v>
      </c>
      <c r="H8861" s="7">
        <v>2969</v>
      </c>
      <c r="I8861" s="8" t="str">
        <f ca="1">IFERROR(__xludf.DUMMYFUNCTION("IF
(
G8862=""фізична особа""
,
VLOOKUP(H8862,IMPORTRANGE(""https://docs.google.com/spreadsheets/d/14Bd19lYaqBhU8_DElYkX7l4wRkHqqCUFNJY4AfY3kHU/edit?usp=sharing  #gid=0"",""фіз особи new!relations_name""),6,FALSE)
,
(IF
(
G8862=""юридична особа""
,
VLOOKUP"&amp;"(H8862,IMPORTRANGE(""https://docs.google.com/spreadsheets/d/14Bd19lYaqBhU8_DElYkX7l4wRkHqqCUFNJY4AfY3kHU/edit?usp=sharing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1" s="7" t="s">
        <v>29</v>
      </c>
    </row>
    <row r="8862" spans="1:10" ht="13.2">
      <c r="A8862" s="7">
        <v>8861</v>
      </c>
      <c r="B8862" s="7">
        <v>1</v>
      </c>
      <c r="C8862" s="7" t="s">
        <v>10</v>
      </c>
      <c r="D8862" s="7">
        <v>10770</v>
      </c>
      <c r="E8862" s="7" t="s">
        <v>28</v>
      </c>
      <c r="F8862" s="8" t="str">
        <f ca="1">IFERROR(__xludf.DUMMYFUNCTION("IF
(
C8863=""фізична особа""
,
VLOOKUP(D8863,IMPORTRANGE(""https://docs.google.com/spreadsheets/d/14Bd19lYaqBhU8_DElYkX7l4wRkHqqCUFNJY4AfY3kHU/edit?usp=sharing  #gid=0"",""фіз особи new!relations_name""),6,FALSE)
,
(IF
(
C8863=""юридична особа""
,
VLOOKUP"&amp;"(D8863,IMPORTRANGE(""https://docs.google.com/spreadsheets/d/14Bd19lYaqBhU8_DElYkX7l4wRkHqqCUFNJY4AfY3kHU/edit?usp=sharing  #gid=0"",""фіз особи new!relations_name_uo""),7,FALSE)
,
)
))"),"ДОРОХІН Юрій Віталійович")</f>
        <v>ДОРОХІН Юрій Віталійович</v>
      </c>
      <c r="G8862" s="7" t="s">
        <v>10</v>
      </c>
      <c r="H8862" s="7">
        <v>2969</v>
      </c>
      <c r="I8862" s="8" t="str">
        <f ca="1">IFERROR(__xludf.DUMMYFUNCTION("IF
(
G8863=""фізична особа""
,
VLOOKUP(H8863,IMPORTRANGE(""https://docs.google.com/spreadsheets/d/14Bd19lYaqBhU8_DElYkX7l4wRkHqqCUFNJY4AfY3kHU/edit?usp=sharing  #gid=0"",""фіз особи new!relations_name""),6,FALSE)
,
(IF
(
G8863=""юридична особа""
,
VLOOKUP"&amp;"(H8863,IMPORTRANGE(""https://docs.google.com/spreadsheets/d/14Bd19lYaqBhU8_DElYkX7l4wRkHqqCUFNJY4AfY3kHU/edit?usp=sharing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2" s="7" t="s">
        <v>29</v>
      </c>
    </row>
    <row r="8863" spans="1:10" ht="13.2">
      <c r="A8863" s="7">
        <v>8862</v>
      </c>
      <c r="B8863" s="7">
        <v>1</v>
      </c>
      <c r="C8863" s="7" t="s">
        <v>10</v>
      </c>
      <c r="D8863" s="7">
        <v>10771</v>
      </c>
      <c r="E8863" s="7" t="s">
        <v>28</v>
      </c>
      <c r="F8863" s="8" t="str">
        <f ca="1">IFERROR(__xludf.DUMMYFUNCTION("IF
(
C8864=""фізична особа""
,
VLOOKUP(D8864,IMPORTRANGE(""https://docs.google.com/spreadsheets/d/14Bd19lYaqBhU8_DElYkX7l4wRkHqqCUFNJY4AfY3kHU/edit?usp=sharing  #gid=0"",""фіз особи new!relations_name""),6,FALSE)
,
(IF
(
C8864=""юридична особа""
,
VLOOKUP"&amp;"(D8864,IMPORTRANGE(""https://docs.google.com/spreadsheets/d/14Bd19lYaqBhU8_DElYkX7l4wRkHqqCUFNJY4AfY3kHU/edit?usp=sharing  #gid=0"",""фіз особи new!relations_name_uo""),7,FALSE)
,
)
))"),"ВАГАНОВ Олексій Сергійович")</f>
        <v>ВАГАНОВ Олексій Сергійович</v>
      </c>
      <c r="G8863" s="7" t="s">
        <v>10</v>
      </c>
      <c r="H8863" s="7">
        <v>2969</v>
      </c>
      <c r="I8863" s="8" t="str">
        <f ca="1">IFERROR(__xludf.DUMMYFUNCTION("IF
(
G8864=""фізична особа""
,
VLOOKUP(H8864,IMPORTRANGE(""https://docs.google.com/spreadsheets/d/14Bd19lYaqBhU8_DElYkX7l4wRkHqqCUFNJY4AfY3kHU/edit?usp=sharing  #gid=0"",""фіз особи new!relations_name""),6,FALSE)
,
(IF
(
G8864=""юридична особа""
,
VLOOKUP"&amp;"(H8864,IMPORTRANGE(""https://docs.google.com/spreadsheets/d/14Bd19lYaqBhU8_DElYkX7l4wRkHqqCUFNJY4AfY3kHU/edit?usp=sharing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3" s="7" t="s">
        <v>29</v>
      </c>
    </row>
    <row r="8864" spans="1:10" ht="13.2">
      <c r="A8864" s="7">
        <v>8863</v>
      </c>
      <c r="B8864" s="7">
        <v>1</v>
      </c>
      <c r="C8864" s="7" t="s">
        <v>10</v>
      </c>
      <c r="D8864" s="7">
        <v>10772</v>
      </c>
      <c r="E8864" s="7" t="s">
        <v>28</v>
      </c>
      <c r="F8864" s="8" t="str">
        <f ca="1">IFERROR(__xludf.DUMMYFUNCTION("IF
(
C8865=""фізична особа""
,
VLOOKUP(D8865,IMPORTRANGE(""https://docs.google.com/spreadsheets/d/14Bd19lYaqBhU8_DElYkX7l4wRkHqqCUFNJY4AfY3kHU/edit?usp=sharing  #gid=0"",""фіз особи new!relations_name""),6,FALSE)
,
(IF
(
C8865=""юридична особа""
,
VLOOKUP"&amp;"(D8865,IMPORTRANGE(""https://docs.google.com/spreadsheets/d/14Bd19lYaqBhU8_DElYkX7l4wRkHqqCUFNJY4AfY3kHU/edit?usp=sharing  #gid=0"",""фіз особи new!relations_name_uo""),7,FALSE)
,
)
))"),"ПРОСВЕРНІН Олександр Олександрович")</f>
        <v>ПРОСВЕРНІН Олександр Олександрович</v>
      </c>
      <c r="G8864" s="7" t="s">
        <v>10</v>
      </c>
      <c r="H8864" s="7">
        <v>2969</v>
      </c>
      <c r="I8864" s="8" t="str">
        <f ca="1">IFERROR(__xludf.DUMMYFUNCTION("IF
(
G8865=""фізична особа""
,
VLOOKUP(H8865,IMPORTRANGE(""https://docs.google.com/spreadsheets/d/14Bd19lYaqBhU8_DElYkX7l4wRkHqqCUFNJY4AfY3kHU/edit?usp=sharing  #gid=0"",""фіз особи new!relations_name""),6,FALSE)
,
(IF
(
G8865=""юридична особа""
,
VLOOKUP"&amp;"(H8865,IMPORTRANGE(""https://docs.google.com/spreadsheets/d/14Bd19lYaqBhU8_DElYkX7l4wRkHqqCUFNJY4AfY3kHU/edit?usp=sharing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4" s="7" t="s">
        <v>29</v>
      </c>
    </row>
    <row r="8865" spans="1:10" ht="13.2">
      <c r="A8865" s="7">
        <v>8864</v>
      </c>
      <c r="B8865" s="7">
        <v>1</v>
      </c>
      <c r="C8865" s="7" t="s">
        <v>10</v>
      </c>
      <c r="D8865" s="7">
        <v>10773</v>
      </c>
      <c r="E8865" s="7" t="s">
        <v>28</v>
      </c>
      <c r="F8865" s="8" t="str">
        <f ca="1">IFERROR(__xludf.DUMMYFUNCTION("IF
(
C8866=""фізична особа""
,
VLOOKUP(D8866,IMPORTRANGE(""https://docs.google.com/spreadsheets/d/14Bd19lYaqBhU8_DElYkX7l4wRkHqqCUFNJY4AfY3kHU/edit?usp=sharing  #gid=0"",""фіз особи new!relations_name""),6,FALSE)
,
(IF
(
C8866=""юридична особа""
,
VLOOKUP"&amp;"(D8866,IMPORTRANGE(""https://docs.google.com/spreadsheets/d/14Bd19lYaqBhU8_DElYkX7l4wRkHqqCUFNJY4AfY3kHU/edit?usp=sharing  #gid=0"",""фіз особи new!relations_name_uo""),7,FALSE)
,
)
))"),"ПЄСТОВ Віктор Володимирович")</f>
        <v>ПЄСТОВ Віктор Володимирович</v>
      </c>
      <c r="G8865" s="7" t="s">
        <v>10</v>
      </c>
      <c r="H8865" s="7">
        <v>2969</v>
      </c>
      <c r="I8865" s="8" t="str">
        <f ca="1">IFERROR(__xludf.DUMMYFUNCTION("IF
(
G8866=""фізична особа""
,
VLOOKUP(H8866,IMPORTRANGE(""https://docs.google.com/spreadsheets/d/14Bd19lYaqBhU8_DElYkX7l4wRkHqqCUFNJY4AfY3kHU/edit?usp=sharing  #gid=0"",""фіз особи new!relations_name""),6,FALSE)
,
(IF
(
G8866=""юридична особа""
,
VLOOKUP"&amp;"(H8866,IMPORTRANGE(""https://docs.google.com/spreadsheets/d/14Bd19lYaqBhU8_DElYkX7l4wRkHqqCUFNJY4AfY3kHU/edit?usp=sharing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5" s="7" t="s">
        <v>29</v>
      </c>
    </row>
    <row r="8866" spans="1:10" ht="13.2">
      <c r="A8866" s="7">
        <v>8865</v>
      </c>
      <c r="B8866" s="7">
        <v>1</v>
      </c>
      <c r="C8866" s="7" t="s">
        <v>10</v>
      </c>
      <c r="D8866" s="7">
        <v>10774</v>
      </c>
      <c r="E8866" s="7" t="s">
        <v>28</v>
      </c>
      <c r="F8866" s="8" t="str">
        <f ca="1">IFERROR(__xludf.DUMMYFUNCTION("IF
(
C8867=""фізична особа""
,
VLOOKUP(D8867,IMPORTRANGE(""https://docs.google.com/spreadsheets/d/14Bd19lYaqBhU8_DElYkX7l4wRkHqqCUFNJY4AfY3kHU/edit?usp=sharing  #gid=0"",""фіз особи new!relations_name""),6,FALSE)
,
(IF
(
C8867=""юридична особа""
,
VLOOKUP"&amp;"(D8867,IMPORTRANGE(""https://docs.google.com/spreadsheets/d/14Bd19lYaqBhU8_DElYkX7l4wRkHqqCUFNJY4AfY3kHU/edit?usp=sharing  #gid=0"",""фіз особи new!relations_name_uo""),7,FALSE)
,
)
))"),"ПЕРХОРОВИЧ Віталій Володимирович")</f>
        <v>ПЕРХОРОВИЧ Віталій Володимирович</v>
      </c>
      <c r="G8866" s="7" t="s">
        <v>10</v>
      </c>
      <c r="H8866" s="7">
        <v>2969</v>
      </c>
      <c r="I8866" s="8" t="str">
        <f ca="1">IFERROR(__xludf.DUMMYFUNCTION("IF
(
G8867=""фізична особа""
,
VLOOKUP(H8867,IMPORTRANGE(""https://docs.google.com/spreadsheets/d/14Bd19lYaqBhU8_DElYkX7l4wRkHqqCUFNJY4AfY3kHU/edit?usp=sharing  #gid=0"",""фіз особи new!relations_name""),6,FALSE)
,
(IF
(
G8867=""юридична особа""
,
VLOOKUP"&amp;"(H8867,IMPORTRANGE(""https://docs.google.com/spreadsheets/d/14Bd19lYaqBhU8_DElYkX7l4wRkHqqCUFNJY4AfY3kHU/edit?usp=sharing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6" s="7" t="s">
        <v>29</v>
      </c>
    </row>
    <row r="8867" spans="1:10" ht="13.2">
      <c r="A8867" s="7">
        <v>8866</v>
      </c>
      <c r="B8867" s="7">
        <v>1</v>
      </c>
      <c r="C8867" s="7" t="s">
        <v>10</v>
      </c>
      <c r="D8867" s="7">
        <v>10775</v>
      </c>
      <c r="E8867" s="7" t="s">
        <v>28</v>
      </c>
      <c r="F8867" s="8" t="str">
        <f ca="1">IFERROR(__xludf.DUMMYFUNCTION("IF
(
C8868=""фізична особа""
,
VLOOKUP(D8868,IMPORTRANGE(""https://docs.google.com/spreadsheets/d/14Bd19lYaqBhU8_DElYkX7l4wRkHqqCUFNJY4AfY3kHU/edit?usp=sharing  #gid=0"",""фіз особи new!relations_name""),6,FALSE)
,
(IF
(
C8868=""юридична особа""
,
VLOOKUP"&amp;"(D8868,IMPORTRANGE(""https://docs.google.com/spreadsheets/d/14Bd19lYaqBhU8_DElYkX7l4wRkHqqCUFNJY4AfY3kHU/edit?usp=sharing  #gid=0"",""фіз особи new!relations_name_uo""),7,FALSE)
,
)
))"),"ХАЙРУЛІН Фарід Абсаматович")</f>
        <v>ХАЙРУЛІН Фарід Абсаматович</v>
      </c>
      <c r="G8867" s="7" t="s">
        <v>10</v>
      </c>
      <c r="H8867" s="7">
        <v>2969</v>
      </c>
      <c r="I8867" s="8" t="str">
        <f ca="1">IFERROR(__xludf.DUMMYFUNCTION("IF
(
G8868=""фізична особа""
,
VLOOKUP(H8868,IMPORTRANGE(""https://docs.google.com/spreadsheets/d/14Bd19lYaqBhU8_DElYkX7l4wRkHqqCUFNJY4AfY3kHU/edit?usp=sharing  #gid=0"",""фіз особи new!relations_name""),6,FALSE)
,
(IF
(
G8868=""юридична особа""
,
VLOOKUP"&amp;"(H8868,IMPORTRANGE(""https://docs.google.com/spreadsheets/d/14Bd19lYaqBhU8_DElYkX7l4wRkHqqCUFNJY4AfY3kHU/edit?usp=sharing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7" s="7" t="s">
        <v>29</v>
      </c>
    </row>
    <row r="8868" spans="1:10" ht="13.2">
      <c r="A8868" s="7">
        <v>8867</v>
      </c>
      <c r="B8868" s="7">
        <v>1</v>
      </c>
      <c r="C8868" s="7" t="s">
        <v>10</v>
      </c>
      <c r="D8868" s="7">
        <v>10776</v>
      </c>
      <c r="E8868" s="7" t="s">
        <v>28</v>
      </c>
      <c r="F8868" s="8" t="str">
        <f ca="1">IFERROR(__xludf.DUMMYFUNCTION("IF
(
C8869=""фізична особа""
,
VLOOKUP(D8869,IMPORTRANGE(""https://docs.google.com/spreadsheets/d/14Bd19lYaqBhU8_DElYkX7l4wRkHqqCUFNJY4AfY3kHU/edit?usp=sharing  #gid=0"",""фіз особи new!relations_name""),6,FALSE)
,
(IF
(
C8869=""юридична особа""
,
VLOOKUP"&amp;"(D8869,IMPORTRANGE(""https://docs.google.com/spreadsheets/d/14Bd19lYaqBhU8_DElYkX7l4wRkHqqCUFNJY4AfY3kHU/edit?usp=sharing  #gid=0"",""фіз особи new!relations_name_uo""),7,FALSE)
,
)
))"),"БЕЗРУКИХ Дмитро Миколайович")</f>
        <v>БЕЗРУКИХ Дмитро Миколайович</v>
      </c>
      <c r="G8868" s="7" t="s">
        <v>10</v>
      </c>
      <c r="H8868" s="7">
        <v>2969</v>
      </c>
      <c r="I8868" s="8" t="str">
        <f ca="1">IFERROR(__xludf.DUMMYFUNCTION("IF
(
G8869=""фізична особа""
,
VLOOKUP(H8869,IMPORTRANGE(""https://docs.google.com/spreadsheets/d/14Bd19lYaqBhU8_DElYkX7l4wRkHqqCUFNJY4AfY3kHU/edit?usp=sharing  #gid=0"",""фіз особи new!relations_name""),6,FALSE)
,
(IF
(
G8869=""юридична особа""
,
VLOOKUP"&amp;"(H8869,IMPORTRANGE(""https://docs.google.com/spreadsheets/d/14Bd19lYaqBhU8_DElYkX7l4wRkHqqCUFNJY4AfY3kHU/edit?usp=sharing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8" s="7" t="s">
        <v>29</v>
      </c>
    </row>
    <row r="8869" spans="1:10" ht="13.2">
      <c r="A8869" s="7">
        <v>8868</v>
      </c>
      <c r="B8869" s="7">
        <v>1</v>
      </c>
      <c r="C8869" s="7" t="s">
        <v>10</v>
      </c>
      <c r="D8869" s="7">
        <v>10777</v>
      </c>
      <c r="E8869" s="7" t="s">
        <v>28</v>
      </c>
      <c r="F8869" s="8" t="str">
        <f ca="1">IFERROR(__xludf.DUMMYFUNCTION("IF
(
C8870=""фізична особа""
,
VLOOKUP(D8870,IMPORTRANGE(""https://docs.google.com/spreadsheets/d/14Bd19lYaqBhU8_DElYkX7l4wRkHqqCUFNJY4AfY3kHU/edit?usp=sharing  #gid=0"",""фіз особи new!relations_name""),6,FALSE)
,
(IF
(
C8870=""юридична особа""
,
VLOOKUP"&amp;"(D8870,IMPORTRANGE(""https://docs.google.com/spreadsheets/d/14Bd19lYaqBhU8_DElYkX7l4wRkHqqCUFNJY4AfY3kHU/edit?usp=sharing  #gid=0"",""фіз особи new!relations_name_uo""),7,FALSE)
,
)
))"),"ПАВЛЕНКО Сергій Володимирович")</f>
        <v>ПАВЛЕНКО Сергій Володимирович</v>
      </c>
      <c r="G8869" s="7" t="s">
        <v>10</v>
      </c>
      <c r="H8869" s="7">
        <v>2969</v>
      </c>
      <c r="I8869" s="8" t="str">
        <f ca="1">IFERROR(__xludf.DUMMYFUNCTION("IF
(
G8870=""фізична особа""
,
VLOOKUP(H8870,IMPORTRANGE(""https://docs.google.com/spreadsheets/d/14Bd19lYaqBhU8_DElYkX7l4wRkHqqCUFNJY4AfY3kHU/edit?usp=sharing  #gid=0"",""фіз особи new!relations_name""),6,FALSE)
,
(IF
(
G8870=""юридична особа""
,
VLOOKUP"&amp;"(H8870,IMPORTRANGE(""https://docs.google.com/spreadsheets/d/14Bd19lYaqBhU8_DElYkX7l4wRkHqqCUFNJY4AfY3kHU/edit?usp=sharing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69" s="7" t="s">
        <v>29</v>
      </c>
    </row>
    <row r="8870" spans="1:10" ht="13.2">
      <c r="A8870" s="7">
        <v>8869</v>
      </c>
      <c r="B8870" s="7">
        <v>1</v>
      </c>
      <c r="C8870" s="7" t="s">
        <v>10</v>
      </c>
      <c r="D8870" s="7">
        <v>10778</v>
      </c>
      <c r="E8870" s="7" t="s">
        <v>28</v>
      </c>
      <c r="F8870" s="8" t="str">
        <f ca="1">IFERROR(__xludf.DUMMYFUNCTION("IF
(
C8871=""фізична особа""
,
VLOOKUP(D8871,IMPORTRANGE(""https://docs.google.com/spreadsheets/d/14Bd19lYaqBhU8_DElYkX7l4wRkHqqCUFNJY4AfY3kHU/edit?usp=sharing  #gid=0"",""фіз особи new!relations_name""),6,FALSE)
,
(IF
(
C8871=""юридична особа""
,
VLOOKUP"&amp;"(D8871,IMPORTRANGE(""https://docs.google.com/spreadsheets/d/14Bd19lYaqBhU8_DElYkX7l4wRkHqqCUFNJY4AfY3kHU/edit?usp=sharing  #gid=0"",""фіз особи new!relations_name_uo""),7,FALSE)
,
)
))"),"БРАНТ Віктор Адольфович")</f>
        <v>БРАНТ Віктор Адольфович</v>
      </c>
      <c r="G8870" s="7" t="s">
        <v>10</v>
      </c>
      <c r="H8870" s="7">
        <v>2969</v>
      </c>
      <c r="I8870" s="8" t="str">
        <f ca="1">IFERROR(__xludf.DUMMYFUNCTION("IF
(
G8871=""фізична особа""
,
VLOOKUP(H8871,IMPORTRANGE(""https://docs.google.com/spreadsheets/d/14Bd19lYaqBhU8_DElYkX7l4wRkHqqCUFNJY4AfY3kHU/edit?usp=sharing  #gid=0"",""фіз особи new!relations_name""),6,FALSE)
,
(IF
(
G8871=""юридична особа""
,
VLOOKUP"&amp;"(H8871,IMPORTRANGE(""https://docs.google.com/spreadsheets/d/14Bd19lYaqBhU8_DElYkX7l4wRkHqqCUFNJY4AfY3kHU/edit?usp=sharing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0" s="7" t="s">
        <v>29</v>
      </c>
    </row>
    <row r="8871" spans="1:10" ht="13.2">
      <c r="A8871" s="7">
        <v>8870</v>
      </c>
      <c r="B8871" s="7">
        <v>1</v>
      </c>
      <c r="C8871" s="7" t="s">
        <v>10</v>
      </c>
      <c r="D8871" s="7">
        <v>10779</v>
      </c>
      <c r="E8871" s="7" t="s">
        <v>28</v>
      </c>
      <c r="F8871" s="8" t="str">
        <f ca="1">IFERROR(__xludf.DUMMYFUNCTION("IF
(
C8872=""фізична особа""
,
VLOOKUP(D8872,IMPORTRANGE(""https://docs.google.com/spreadsheets/d/14Bd19lYaqBhU8_DElYkX7l4wRkHqqCUFNJY4AfY3kHU/edit?usp=sharing  #gid=0"",""фіз особи new!relations_name""),6,FALSE)
,
(IF
(
C8872=""юридична особа""
,
VLOOKUP"&amp;"(D8872,IMPORTRANGE(""https://docs.google.com/spreadsheets/d/14Bd19lYaqBhU8_DElYkX7l4wRkHqqCUFNJY4AfY3kHU/edit?usp=sharing  #gid=0"",""фіз особи new!relations_name_uo""),7,FALSE)
,
)
))"),"ПОРШИН Сергій Васильович")</f>
        <v>ПОРШИН Сергій Васильович</v>
      </c>
      <c r="G8871" s="7" t="s">
        <v>10</v>
      </c>
      <c r="H8871" s="7">
        <v>2969</v>
      </c>
      <c r="I8871" s="8" t="str">
        <f ca="1">IFERROR(__xludf.DUMMYFUNCTION("IF
(
G8872=""фізична особа""
,
VLOOKUP(H8872,IMPORTRANGE(""https://docs.google.com/spreadsheets/d/14Bd19lYaqBhU8_DElYkX7l4wRkHqqCUFNJY4AfY3kHU/edit?usp=sharing  #gid=0"",""фіз особи new!relations_name""),6,FALSE)
,
(IF
(
G8872=""юридична особа""
,
VLOOKUP"&amp;"(H8872,IMPORTRANGE(""https://docs.google.com/spreadsheets/d/14Bd19lYaqBhU8_DElYkX7l4wRkHqqCUFNJY4AfY3kHU/edit?usp=sharing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1" s="7" t="s">
        <v>29</v>
      </c>
    </row>
    <row r="8872" spans="1:10" ht="13.2">
      <c r="A8872" s="7">
        <v>8871</v>
      </c>
      <c r="B8872" s="7">
        <v>1</v>
      </c>
      <c r="C8872" s="7" t="s">
        <v>10</v>
      </c>
      <c r="D8872" s="7">
        <v>10780</v>
      </c>
      <c r="E8872" s="7" t="s">
        <v>28</v>
      </c>
      <c r="F8872" s="8" t="str">
        <f ca="1">IFERROR(__xludf.DUMMYFUNCTION("IF
(
C8873=""фізична особа""
,
VLOOKUP(D8873,IMPORTRANGE(""https://docs.google.com/spreadsheets/d/14Bd19lYaqBhU8_DElYkX7l4wRkHqqCUFNJY4AfY3kHU/edit?usp=sharing  #gid=0"",""фіз особи new!relations_name""),6,FALSE)
,
(IF
(
C8873=""юридична особа""
,
VLOOKUP"&amp;"(D8873,IMPORTRANGE(""https://docs.google.com/spreadsheets/d/14Bd19lYaqBhU8_DElYkX7l4wRkHqqCUFNJY4AfY3kHU/edit?usp=sharing  #gid=0"",""фіз особи new!relations_name_uo""),7,FALSE)
,
)
))"),"ФРОЛОВ Павло Валерійович")</f>
        <v>ФРОЛОВ Павло Валерійович</v>
      </c>
      <c r="G8872" s="7" t="s">
        <v>10</v>
      </c>
      <c r="H8872" s="7">
        <v>2969</v>
      </c>
      <c r="I8872" s="8" t="str">
        <f ca="1">IFERROR(__xludf.DUMMYFUNCTION("IF
(
G8873=""фізична особа""
,
VLOOKUP(H8873,IMPORTRANGE(""https://docs.google.com/spreadsheets/d/14Bd19lYaqBhU8_DElYkX7l4wRkHqqCUFNJY4AfY3kHU/edit?usp=sharing  #gid=0"",""фіз особи new!relations_name""),6,FALSE)
,
(IF
(
G8873=""юридична особа""
,
VLOOKUP"&amp;"(H8873,IMPORTRANGE(""https://docs.google.com/spreadsheets/d/14Bd19lYaqBhU8_DElYkX7l4wRkHqqCUFNJY4AfY3kHU/edit?usp=sharing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2" s="7" t="s">
        <v>29</v>
      </c>
    </row>
    <row r="8873" spans="1:10" ht="13.2">
      <c r="A8873" s="7">
        <v>8872</v>
      </c>
      <c r="B8873" s="7">
        <v>1</v>
      </c>
      <c r="C8873" s="7" t="s">
        <v>10</v>
      </c>
      <c r="D8873" s="7">
        <v>10781</v>
      </c>
      <c r="E8873" s="7" t="s">
        <v>28</v>
      </c>
      <c r="F8873" s="8" t="str">
        <f ca="1">IFERROR(__xludf.DUMMYFUNCTION("IF
(
C8874=""фізична особа""
,
VLOOKUP(D8874,IMPORTRANGE(""https://docs.google.com/spreadsheets/d/14Bd19lYaqBhU8_DElYkX7l4wRkHqqCUFNJY4AfY3kHU/edit?usp=sharing  #gid=0"",""фіз особи new!relations_name""),6,FALSE)
,
(IF
(
C8874=""юридична особа""
,
VLOOKUP"&amp;"(D8874,IMPORTRANGE(""https://docs.google.com/spreadsheets/d/14Bd19lYaqBhU8_DElYkX7l4wRkHqqCUFNJY4AfY3kHU/edit?usp=sharing  #gid=0"",""фіз особи new!relations_name_uo""),7,FALSE)
,
)
))"),"ЛИМАР Юрій Анатолійович")</f>
        <v>ЛИМАР Юрій Анатолійович</v>
      </c>
      <c r="G8873" s="7" t="s">
        <v>10</v>
      </c>
      <c r="H8873" s="7">
        <v>2969</v>
      </c>
      <c r="I8873" s="8" t="str">
        <f ca="1">IFERROR(__xludf.DUMMYFUNCTION("IF
(
G8874=""фізична особа""
,
VLOOKUP(H8874,IMPORTRANGE(""https://docs.google.com/spreadsheets/d/14Bd19lYaqBhU8_DElYkX7l4wRkHqqCUFNJY4AfY3kHU/edit?usp=sharing  #gid=0"",""фіз особи new!relations_name""),6,FALSE)
,
(IF
(
G8874=""юридична особа""
,
VLOOKUP"&amp;"(H8874,IMPORTRANGE(""https://docs.google.com/spreadsheets/d/14Bd19lYaqBhU8_DElYkX7l4wRkHqqCUFNJY4AfY3kHU/edit?usp=sharing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3" s="7" t="s">
        <v>29</v>
      </c>
    </row>
    <row r="8874" spans="1:10" ht="13.2">
      <c r="A8874" s="7">
        <v>8873</v>
      </c>
      <c r="B8874" s="7">
        <v>1</v>
      </c>
      <c r="C8874" s="7" t="s">
        <v>10</v>
      </c>
      <c r="D8874" s="7">
        <v>10782</v>
      </c>
      <c r="E8874" s="7" t="s">
        <v>28</v>
      </c>
      <c r="F8874" s="8" t="str">
        <f ca="1">IFERROR(__xludf.DUMMYFUNCTION("IF
(
C8875=""фізична особа""
,
VLOOKUP(D8875,IMPORTRANGE(""https://docs.google.com/spreadsheets/d/14Bd19lYaqBhU8_DElYkX7l4wRkHqqCUFNJY4AfY3kHU/edit?usp=sharing  #gid=0"",""фіз особи new!relations_name""),6,FALSE)
,
(IF
(
C8875=""юридична особа""
,
VLOOKUP"&amp;"(D8875,IMPORTRANGE(""https://docs.google.com/spreadsheets/d/14Bd19lYaqBhU8_DElYkX7l4wRkHqqCUFNJY4AfY3kHU/edit?usp=sharing  #gid=0"",""фіз особи new!relations_name_uo""),7,FALSE)
,
)
))"),"ДЗЮБА Владислав Володимирович")</f>
        <v>ДЗЮБА Владислав Володимирович</v>
      </c>
      <c r="G8874" s="7" t="s">
        <v>10</v>
      </c>
      <c r="H8874" s="7">
        <v>2969</v>
      </c>
      <c r="I8874" s="8" t="str">
        <f ca="1">IFERROR(__xludf.DUMMYFUNCTION("IF
(
G8875=""фізична особа""
,
VLOOKUP(H8875,IMPORTRANGE(""https://docs.google.com/spreadsheets/d/14Bd19lYaqBhU8_DElYkX7l4wRkHqqCUFNJY4AfY3kHU/edit?usp=sharing  #gid=0"",""фіз особи new!relations_name""),6,FALSE)
,
(IF
(
G8875=""юридична особа""
,
VLOOKUP"&amp;"(H8875,IMPORTRANGE(""https://docs.google.com/spreadsheets/d/14Bd19lYaqBhU8_DElYkX7l4wRkHqqCUFNJY4AfY3kHU/edit?usp=sharing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4" s="7" t="s">
        <v>29</v>
      </c>
    </row>
    <row r="8875" spans="1:10" ht="13.2">
      <c r="A8875" s="7">
        <v>8874</v>
      </c>
      <c r="B8875" s="7">
        <v>1</v>
      </c>
      <c r="C8875" s="7" t="s">
        <v>10</v>
      </c>
      <c r="D8875" s="7">
        <v>10783</v>
      </c>
      <c r="E8875" s="7" t="s">
        <v>28</v>
      </c>
      <c r="F8875" s="8" t="str">
        <f ca="1">IFERROR(__xludf.DUMMYFUNCTION("IF
(
C8876=""фізична особа""
,
VLOOKUP(D8876,IMPORTRANGE(""https://docs.google.com/spreadsheets/d/14Bd19lYaqBhU8_DElYkX7l4wRkHqqCUFNJY4AfY3kHU/edit?usp=sharing  #gid=0"",""фіз особи new!relations_name""),6,FALSE)
,
(IF
(
C8876=""юридична особа""
,
VLOOKUP"&amp;"(D8876,IMPORTRANGE(""https://docs.google.com/spreadsheets/d/14Bd19lYaqBhU8_DElYkX7l4wRkHqqCUFNJY4AfY3kHU/edit?usp=sharing  #gid=0"",""фіз особи new!relations_name_uo""),7,FALSE)
,
)
))"),"ТРЕТЬЯКОВ Ігор Євгенович")</f>
        <v>ТРЕТЬЯКОВ Ігор Євгенович</v>
      </c>
      <c r="G8875" s="7" t="s">
        <v>10</v>
      </c>
      <c r="H8875" s="7">
        <v>2969</v>
      </c>
      <c r="I8875" s="8" t="str">
        <f ca="1">IFERROR(__xludf.DUMMYFUNCTION("IF
(
G8876=""фізична особа""
,
VLOOKUP(H8876,IMPORTRANGE(""https://docs.google.com/spreadsheets/d/14Bd19lYaqBhU8_DElYkX7l4wRkHqqCUFNJY4AfY3kHU/edit?usp=sharing  #gid=0"",""фіз особи new!relations_name""),6,FALSE)
,
(IF
(
G8876=""юридична особа""
,
VLOOKUP"&amp;"(H8876,IMPORTRANGE(""https://docs.google.com/spreadsheets/d/14Bd19lYaqBhU8_DElYkX7l4wRkHqqCUFNJY4AfY3kHU/edit?usp=sharing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5" s="7" t="s">
        <v>29</v>
      </c>
    </row>
    <row r="8876" spans="1:10" ht="13.2">
      <c r="A8876" s="7">
        <v>8875</v>
      </c>
      <c r="B8876" s="7">
        <v>1</v>
      </c>
      <c r="C8876" s="7" t="s">
        <v>10</v>
      </c>
      <c r="D8876" s="7">
        <v>10784</v>
      </c>
      <c r="E8876" s="7" t="s">
        <v>28</v>
      </c>
      <c r="F8876" s="8" t="str">
        <f ca="1">IFERROR(__xludf.DUMMYFUNCTION("IF
(
C8877=""фізична особа""
,
VLOOKUP(D8877,IMPORTRANGE(""https://docs.google.com/spreadsheets/d/14Bd19lYaqBhU8_DElYkX7l4wRkHqqCUFNJY4AfY3kHU/edit?usp=sharing  #gid=0"",""фіз особи new!relations_name""),6,FALSE)
,
(IF
(
C8877=""юридична особа""
,
VLOOKUP"&amp;"(D8877,IMPORTRANGE(""https://docs.google.com/spreadsheets/d/14Bd19lYaqBhU8_DElYkX7l4wRkHqqCUFNJY4AfY3kHU/edit?usp=sharing  #gid=0"",""фіз особи new!relations_name_uo""),7,FALSE)
,
)
))"),"МУСТАЙКІН Леонід Вікторович")</f>
        <v>МУСТАЙКІН Леонід Вікторович</v>
      </c>
      <c r="G8876" s="7" t="s">
        <v>10</v>
      </c>
      <c r="H8876" s="7">
        <v>2969</v>
      </c>
      <c r="I8876" s="8" t="str">
        <f ca="1">IFERROR(__xludf.DUMMYFUNCTION("IF
(
G8877=""фізична особа""
,
VLOOKUP(H8877,IMPORTRANGE(""https://docs.google.com/spreadsheets/d/14Bd19lYaqBhU8_DElYkX7l4wRkHqqCUFNJY4AfY3kHU/edit?usp=sharing  #gid=0"",""фіз особи new!relations_name""),6,FALSE)
,
(IF
(
G8877=""юридична особа""
,
VLOOKUP"&amp;"(H8877,IMPORTRANGE(""https://docs.google.com/spreadsheets/d/14Bd19lYaqBhU8_DElYkX7l4wRkHqqCUFNJY4AfY3kHU/edit?usp=sharing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6" s="7" t="s">
        <v>29</v>
      </c>
    </row>
    <row r="8877" spans="1:10" ht="13.2">
      <c r="A8877" s="7">
        <v>8876</v>
      </c>
      <c r="B8877" s="7">
        <v>1</v>
      </c>
      <c r="C8877" s="7" t="s">
        <v>10</v>
      </c>
      <c r="D8877" s="7">
        <v>10785</v>
      </c>
      <c r="E8877" s="7" t="s">
        <v>28</v>
      </c>
      <c r="F8877" s="8" t="str">
        <f ca="1">IFERROR(__xludf.DUMMYFUNCTION("IF
(
C8878=""фізична особа""
,
VLOOKUP(D8878,IMPORTRANGE(""https://docs.google.com/spreadsheets/d/14Bd19lYaqBhU8_DElYkX7l4wRkHqqCUFNJY4AfY3kHU/edit?usp=sharing  #gid=0"",""фіз особи new!relations_name""),6,FALSE)
,
(IF
(
C8878=""юридична особа""
,
VLOOKUP"&amp;"(D8878,IMPORTRANGE(""https://docs.google.com/spreadsheets/d/14Bd19lYaqBhU8_DElYkX7l4wRkHqqCUFNJY4AfY3kHU/edit?usp=sharing  #gid=0"",""фіз особи new!relations_name_uo""),7,FALSE)
,
)
))"),"ХІАЛЄЄВ Едуард Данилович")</f>
        <v>ХІАЛЄЄВ Едуард Данилович</v>
      </c>
      <c r="G8877" s="7" t="s">
        <v>10</v>
      </c>
      <c r="H8877" s="7">
        <v>2969</v>
      </c>
      <c r="I8877" s="8" t="str">
        <f ca="1">IFERROR(__xludf.DUMMYFUNCTION("IF
(
G8878=""фізична особа""
,
VLOOKUP(H8878,IMPORTRANGE(""https://docs.google.com/spreadsheets/d/14Bd19lYaqBhU8_DElYkX7l4wRkHqqCUFNJY4AfY3kHU/edit?usp=sharing  #gid=0"",""фіз особи new!relations_name""),6,FALSE)
,
(IF
(
G8878=""юридична особа""
,
VLOOKUP"&amp;"(H8878,IMPORTRANGE(""https://docs.google.com/spreadsheets/d/14Bd19lYaqBhU8_DElYkX7l4wRkHqqCUFNJY4AfY3kHU/edit?usp=sharing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7" s="7" t="s">
        <v>29</v>
      </c>
    </row>
    <row r="8878" spans="1:10" ht="13.2">
      <c r="A8878" s="7">
        <v>8877</v>
      </c>
      <c r="B8878" s="7">
        <v>1</v>
      </c>
      <c r="C8878" s="7" t="s">
        <v>10</v>
      </c>
      <c r="D8878" s="7">
        <v>10786</v>
      </c>
      <c r="E8878" s="7" t="s">
        <v>28</v>
      </c>
      <c r="F8878" s="8" t="str">
        <f ca="1">IFERROR(__xludf.DUMMYFUNCTION("IF
(
C8879=""фізична особа""
,
VLOOKUP(D8879,IMPORTRANGE(""https://docs.google.com/spreadsheets/d/14Bd19lYaqBhU8_DElYkX7l4wRkHqqCUFNJY4AfY3kHU/edit?usp=sharing  #gid=0"",""фіз особи new!relations_name""),6,FALSE)
,
(IF
(
C8879=""юридична особа""
,
VLOOKUP"&amp;"(D8879,IMPORTRANGE(""https://docs.google.com/spreadsheets/d/14Bd19lYaqBhU8_DElYkX7l4wRkHqqCUFNJY4AfY3kHU/edit?usp=sharing  #gid=0"",""фіз особи new!relations_name_uo""),7,FALSE)
,
)
))"),"АЛМАЗОВ Раміз Чобан-Огли")</f>
        <v>АЛМАЗОВ Раміз Чобан-Огли</v>
      </c>
      <c r="G8878" s="7" t="s">
        <v>10</v>
      </c>
      <c r="H8878" s="7">
        <v>2969</v>
      </c>
      <c r="I8878" s="8" t="str">
        <f ca="1">IFERROR(__xludf.DUMMYFUNCTION("IF
(
G8879=""фізична особа""
,
VLOOKUP(H8879,IMPORTRANGE(""https://docs.google.com/spreadsheets/d/14Bd19lYaqBhU8_DElYkX7l4wRkHqqCUFNJY4AfY3kHU/edit?usp=sharing  #gid=0"",""фіз особи new!relations_name""),6,FALSE)
,
(IF
(
G8879=""юридична особа""
,
VLOOKUP"&amp;"(H8879,IMPORTRANGE(""https://docs.google.com/spreadsheets/d/14Bd19lYaqBhU8_DElYkX7l4wRkHqqCUFNJY4AfY3kHU/edit?usp=sharing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8" s="7" t="s">
        <v>29</v>
      </c>
    </row>
    <row r="8879" spans="1:10" ht="13.2">
      <c r="A8879" s="7">
        <v>8878</v>
      </c>
      <c r="B8879" s="7">
        <v>1</v>
      </c>
      <c r="C8879" s="7" t="s">
        <v>10</v>
      </c>
      <c r="D8879" s="7">
        <v>10787</v>
      </c>
      <c r="E8879" s="7" t="s">
        <v>28</v>
      </c>
      <c r="F8879" s="8" t="str">
        <f ca="1">IFERROR(__xludf.DUMMYFUNCTION("IF
(
C8880=""фізична особа""
,
VLOOKUP(D8880,IMPORTRANGE(""https://docs.google.com/spreadsheets/d/14Bd19lYaqBhU8_DElYkX7l4wRkHqqCUFNJY4AfY3kHU/edit?usp=sharing  #gid=0"",""фіз особи new!relations_name""),6,FALSE)
,
(IF
(
C8880=""юридична особа""
,
VLOOKUP"&amp;"(D8880,IMPORTRANGE(""https://docs.google.com/spreadsheets/d/14Bd19lYaqBhU8_DElYkX7l4wRkHqqCUFNJY4AfY3kHU/edit?usp=sharing  #gid=0"",""фіз особи new!relations_name_uo""),7,FALSE)
,
)
))"),"ЄФАРКІН Антон Анатолійович")</f>
        <v>ЄФАРКІН Антон Анатолійович</v>
      </c>
      <c r="G8879" s="7" t="s">
        <v>10</v>
      </c>
      <c r="H8879" s="7">
        <v>2969</v>
      </c>
      <c r="I8879" s="8" t="str">
        <f ca="1">IFERROR(__xludf.DUMMYFUNCTION("IF
(
G8880=""фізична особа""
,
VLOOKUP(H8880,IMPORTRANGE(""https://docs.google.com/spreadsheets/d/14Bd19lYaqBhU8_DElYkX7l4wRkHqqCUFNJY4AfY3kHU/edit?usp=sharing  #gid=0"",""фіз особи new!relations_name""),6,FALSE)
,
(IF
(
G8880=""юридична особа""
,
VLOOKUP"&amp;"(H8880,IMPORTRANGE(""https://docs.google.com/spreadsheets/d/14Bd19lYaqBhU8_DElYkX7l4wRkHqqCUFNJY4AfY3kHU/edit?usp=sharing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79" s="7" t="s">
        <v>29</v>
      </c>
    </row>
    <row r="8880" spans="1:10" ht="13.2">
      <c r="A8880" s="7">
        <v>8879</v>
      </c>
      <c r="B8880" s="7">
        <v>1</v>
      </c>
      <c r="C8880" s="7" t="s">
        <v>10</v>
      </c>
      <c r="D8880" s="7">
        <v>10788</v>
      </c>
      <c r="E8880" s="7" t="s">
        <v>28</v>
      </c>
      <c r="F8880" s="8" t="str">
        <f ca="1">IFERROR(__xludf.DUMMYFUNCTION("IF
(
C8881=""фізична особа""
,
VLOOKUP(D8881,IMPORTRANGE(""https://docs.google.com/spreadsheets/d/14Bd19lYaqBhU8_DElYkX7l4wRkHqqCUFNJY4AfY3kHU/edit?usp=sharing  #gid=0"",""фіз особи new!relations_name""),6,FALSE)
,
(IF
(
C8881=""юридична особа""
,
VLOOKUP"&amp;"(D8881,IMPORTRANGE(""https://docs.google.com/spreadsheets/d/14Bd19lYaqBhU8_DElYkX7l4wRkHqqCUFNJY4AfY3kHU/edit?usp=sharing  #gid=0"",""фіз особи new!relations_name_uo""),7,FALSE)
,
)
))"),"КІРЄЄВ Ігор Іванович")</f>
        <v>КІРЄЄВ Ігор Іванович</v>
      </c>
      <c r="G8880" s="7" t="s">
        <v>10</v>
      </c>
      <c r="H8880" s="7">
        <v>2969</v>
      </c>
      <c r="I8880" s="8" t="str">
        <f ca="1">IFERROR(__xludf.DUMMYFUNCTION("IF
(
G8881=""фізична особа""
,
VLOOKUP(H8881,IMPORTRANGE(""https://docs.google.com/spreadsheets/d/14Bd19lYaqBhU8_DElYkX7l4wRkHqqCUFNJY4AfY3kHU/edit?usp=sharing  #gid=0"",""фіз особи new!relations_name""),6,FALSE)
,
(IF
(
G8881=""юридична особа""
,
VLOOKUP"&amp;"(H8881,IMPORTRANGE(""https://docs.google.com/spreadsheets/d/14Bd19lYaqBhU8_DElYkX7l4wRkHqqCUFNJY4AfY3kHU/edit?usp=sharing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80" s="7" t="s">
        <v>29</v>
      </c>
    </row>
    <row r="8881" spans="1:10" ht="13.2">
      <c r="A8881" s="7">
        <v>8880</v>
      </c>
      <c r="B8881" s="7">
        <v>1</v>
      </c>
      <c r="C8881" s="7" t="s">
        <v>10</v>
      </c>
      <c r="D8881" s="7">
        <v>10789</v>
      </c>
      <c r="E8881" s="7" t="s">
        <v>28</v>
      </c>
      <c r="F8881" s="8" t="str">
        <f ca="1">IFERROR(__xludf.DUMMYFUNCTION("IF
(
C8882=""фізична особа""
,
VLOOKUP(D8882,IMPORTRANGE(""https://docs.google.com/spreadsheets/d/14Bd19lYaqBhU8_DElYkX7l4wRkHqqCUFNJY4AfY3kHU/edit?usp=sharing  #gid=0"",""фіз особи new!relations_name""),6,FALSE)
,
(IF
(
C8882=""юридична особа""
,
VLOOKUP"&amp;"(D8882,IMPORTRANGE(""https://docs.google.com/spreadsheets/d/14Bd19lYaqBhU8_DElYkX7l4wRkHqqCUFNJY4AfY3kHU/edit?usp=sharing  #gid=0"",""фіз особи new!relations_name_uo""),7,FALSE)
,
)
))"),"БАЛДІН Сергій Миколайович")</f>
        <v>БАЛДІН Сергій Миколайович</v>
      </c>
      <c r="G8881" s="7" t="s">
        <v>10</v>
      </c>
      <c r="H8881" s="7">
        <v>2969</v>
      </c>
      <c r="I8881" s="8" t="str">
        <f ca="1">IFERROR(__xludf.DUMMYFUNCTION("IF
(
G8882=""фізична особа""
,
VLOOKUP(H8882,IMPORTRANGE(""https://docs.google.com/spreadsheets/d/14Bd19lYaqBhU8_DElYkX7l4wRkHqqCUFNJY4AfY3kHU/edit?usp=sharing  #gid=0"",""фіз особи new!relations_name""),6,FALSE)
,
(IF
(
G8882=""юридична особа""
,
VLOOKUP"&amp;"(H8882,IMPORTRANGE(""https://docs.google.com/spreadsheets/d/14Bd19lYaqBhU8_DElYkX7l4wRkHqqCUFNJY4AfY3kHU/edit?usp=sharing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81" s="7" t="s">
        <v>29</v>
      </c>
    </row>
    <row r="8882" spans="1:10" ht="13.2">
      <c r="A8882" s="7">
        <v>8881</v>
      </c>
      <c r="B8882" s="7">
        <v>1</v>
      </c>
      <c r="C8882" s="7" t="s">
        <v>10</v>
      </c>
      <c r="D8882" s="7">
        <v>10790</v>
      </c>
      <c r="E8882" s="7" t="s">
        <v>28</v>
      </c>
      <c r="F8882" s="8" t="str">
        <f ca="1">IFERROR(__xludf.DUMMYFUNCTION("IF
(
C8883=""фізична особа""
,
VLOOKUP(D8883,IMPORTRANGE(""https://docs.google.com/spreadsheets/d/14Bd19lYaqBhU8_DElYkX7l4wRkHqqCUFNJY4AfY3kHU/edit?usp=sharing  #gid=0"",""фіз особи new!relations_name""),6,FALSE)
,
(IF
(
C8883=""юридична особа""
,
VLOOKUP"&amp;"(D8883,IMPORTRANGE(""https://docs.google.com/spreadsheets/d/14Bd19lYaqBhU8_DElYkX7l4wRkHqqCUFNJY4AfY3kHU/edit?usp=sharing  #gid=0"",""фіз особи new!relations_name_uo""),7,FALSE)
,
)
))"),"РОБОТА Олександр Леонідович")</f>
        <v>РОБОТА Олександр Леонідович</v>
      </c>
      <c r="G8882" s="7" t="s">
        <v>10</v>
      </c>
      <c r="H8882" s="7">
        <v>2969</v>
      </c>
      <c r="I8882" s="8" t="str">
        <f ca="1">IFERROR(__xludf.DUMMYFUNCTION("IF
(
G8883=""фізична особа""
,
VLOOKUP(H8883,IMPORTRANGE(""https://docs.google.com/spreadsheets/d/14Bd19lYaqBhU8_DElYkX7l4wRkHqqCUFNJY4AfY3kHU/edit?usp=sharing  #gid=0"",""фіз особи new!relations_name""),6,FALSE)
,
(IF
(
G8883=""юридична особа""
,
VLOOKUP"&amp;"(H8883,IMPORTRANGE(""https://docs.google.com/spreadsheets/d/14Bd19lYaqBhU8_DElYkX7l4wRkHqqCUFNJY4AfY3kHU/edit?usp=sharing  #gid=0"",""фіз особи new!relations_name_uo""),7,FALSE)
,
)
))"),"ГОСТЄВ Аркадій Олександрович")</f>
        <v>ГОСТЄВ Аркадій Олександрович</v>
      </c>
      <c r="J8882" s="7" t="s">
        <v>29</v>
      </c>
    </row>
    <row r="8883" spans="1:10" ht="13.2">
      <c r="A8883" s="7">
        <v>8882</v>
      </c>
      <c r="B8883" s="7">
        <v>1</v>
      </c>
      <c r="C8883" s="7" t="s">
        <v>10</v>
      </c>
      <c r="D8883" s="7">
        <v>10791</v>
      </c>
      <c r="E8883" s="7" t="s">
        <v>28</v>
      </c>
      <c r="F8883" s="8" t="str">
        <f ca="1">IFERROR(__xludf.DUMMYFUNCTION("IF
(
C8884=""фізична особа""
,
VLOOKUP(D8884,IMPORTRANGE(""https://docs.google.com/spreadsheets/d/14Bd19lYaqBhU8_DElYkX7l4wRkHqqCUFNJY4AfY3kHU/edit?usp=sharing  #gid=0"",""фіз особи new!relations_name""),6,FALSE)
,
(IF
(
C8884=""юридична особа""
,
VLOOKUP"&amp;"(D8884,IMPORTRANGE(""https://docs.google.com/spreadsheets/d/14Bd19lYaqBhU8_DElYkX7l4wRkHqqCUFNJY4AfY3kHU/edit?usp=sharing  #gid=0"",""фіз особи new!relations_name_uo""),7,FALSE)
,
)
))"),"ПОПОВА Наталія Євгенівна")</f>
        <v>ПОПОВА Наталія Євгенівна</v>
      </c>
      <c r="G8883" s="7" t="s">
        <v>10</v>
      </c>
      <c r="H8883" s="7">
        <v>3087</v>
      </c>
      <c r="I8883" s="8" t="str">
        <f ca="1">IFERROR(__xludf.DUMMYFUNCTION("IF
(
G8884=""фізична особа""
,
VLOOKUP(H8884,IMPORTRANGE(""https://docs.google.com/spreadsheets/d/14Bd19lYaqBhU8_DElYkX7l4wRkHqqCUFNJY4AfY3kHU/edit?usp=sharing  #gid=0"",""фіз особи new!relations_name""),6,FALSE)
,
(IF
(
G8884=""юридична особа""
,
VLOOKUP"&amp;"(H8884,IMPORTRANGE(""https://docs.google.com/spreadsheets/d/14Bd19lYaqBhU8_DElYkX7l4wRkHqqCUFNJY4AfY3kHU/edit?usp=sharing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83" s="7" t="s">
        <v>29</v>
      </c>
    </row>
    <row r="8884" spans="1:10" ht="13.2">
      <c r="A8884" s="7">
        <v>8883</v>
      </c>
      <c r="B8884" s="7">
        <v>1</v>
      </c>
      <c r="C8884" s="7" t="s">
        <v>10</v>
      </c>
      <c r="D8884" s="7">
        <v>10791</v>
      </c>
      <c r="E8884" s="7" t="s">
        <v>28</v>
      </c>
      <c r="F8884" s="8" t="str">
        <f ca="1">IFERROR(__xludf.DUMMYFUNCTION("IF
(
C8885=""фізична особа""
,
VLOOKUP(D8885,IMPORTRANGE(""https://docs.google.com/spreadsheets/d/14Bd19lYaqBhU8_DElYkX7l4wRkHqqCUFNJY4AfY3kHU/edit?usp=sharing  #gid=0"",""фіз особи new!relations_name""),6,FALSE)
,
(IF
(
C8885=""юридична особа""
,
VLOOKUP"&amp;"(D8885,IMPORTRANGE(""https://docs.google.com/spreadsheets/d/14Bd19lYaqBhU8_DElYkX7l4wRkHqqCUFNJY4AfY3kHU/edit?usp=sharing  #gid=0"",""фіз особи new!relations_name_uo""),7,FALSE)
,
)
))"),"ПОПОВА Наталія Євгенівна")</f>
        <v>ПОПОВА Наталія Євгенівна</v>
      </c>
      <c r="G8884" s="7" t="s">
        <v>10</v>
      </c>
      <c r="H8884" s="7">
        <v>10200</v>
      </c>
      <c r="I8884" s="8" t="str">
        <f ca="1">IFERROR(__xludf.DUMMYFUNCTION("IF
(
G8885=""фізична особа""
,
VLOOKUP(H8885,IMPORTRANGE(""https://docs.google.com/spreadsheets/d/14Bd19lYaqBhU8_DElYkX7l4wRkHqqCUFNJY4AfY3kHU/edit?usp=sharing  #gid=0"",""фіз особи new!relations_name""),6,FALSE)
,
(IF
(
G8885=""юридична особа""
,
VLOOKUP"&amp;"(H8885,IMPORTRANGE(""https://docs.google.com/spreadsheets/d/14Bd19lYaqBhU8_DElYkX7l4wRkHqqCUFNJY4AfY3kHU/edit?usp=sharing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84" s="7" t="s">
        <v>29</v>
      </c>
    </row>
    <row r="8885" spans="1:10" ht="13.2">
      <c r="A8885" s="7">
        <v>8884</v>
      </c>
      <c r="B8885" s="7">
        <v>1</v>
      </c>
      <c r="C8885" s="7" t="s">
        <v>10</v>
      </c>
      <c r="D8885" s="7">
        <v>10792</v>
      </c>
      <c r="E8885" s="7" t="s">
        <v>28</v>
      </c>
      <c r="F8885" s="8" t="str">
        <f ca="1">IFERROR(__xludf.DUMMYFUNCTION("IF
(
C8886=""фізична особа""
,
VLOOKUP(D8886,IMPORTRANGE(""https://docs.google.com/spreadsheets/d/14Bd19lYaqBhU8_DElYkX7l4wRkHqqCUFNJY4AfY3kHU/edit?usp=sharing  #gid=0"",""фіз особи new!relations_name""),6,FALSE)
,
(IF
(
C8886=""юридична особа""
,
VLOOKUP"&amp;"(D8886,IMPORTRANGE(""https://docs.google.com/spreadsheets/d/14Bd19lYaqBhU8_DElYkX7l4wRkHqqCUFNJY4AfY3kHU/edit?usp=sharing  #gid=0"",""фіз особи new!relations_name_uo""),7,FALSE)
,
)
))"),"МАРКЕЛОВ Андрій Олександрович")</f>
        <v>МАРКЕЛОВ Андрій Олександрович</v>
      </c>
      <c r="G8885" s="7" t="s">
        <v>10</v>
      </c>
      <c r="H8885" s="7">
        <v>3087</v>
      </c>
      <c r="I8885" s="8" t="str">
        <f ca="1">IFERROR(__xludf.DUMMYFUNCTION("IF
(
G8886=""фізична особа""
,
VLOOKUP(H8886,IMPORTRANGE(""https://docs.google.com/spreadsheets/d/14Bd19lYaqBhU8_DElYkX7l4wRkHqqCUFNJY4AfY3kHU/edit?usp=sharing  #gid=0"",""фіз особи new!relations_name""),6,FALSE)
,
(IF
(
G8886=""юридична особа""
,
VLOOKUP"&amp;"(H8886,IMPORTRANGE(""https://docs.google.com/spreadsheets/d/14Bd19lYaqBhU8_DElYkX7l4wRkHqqCUFNJY4AfY3kHU/edit?usp=sharing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85" s="7" t="s">
        <v>29</v>
      </c>
    </row>
    <row r="8886" spans="1:10" ht="13.2">
      <c r="A8886" s="7">
        <v>8885</v>
      </c>
      <c r="B8886" s="7">
        <v>1</v>
      </c>
      <c r="C8886" s="7" t="s">
        <v>10</v>
      </c>
      <c r="D8886" s="7">
        <v>10792</v>
      </c>
      <c r="E8886" s="7" t="s">
        <v>28</v>
      </c>
      <c r="F8886" s="8" t="str">
        <f ca="1">IFERROR(__xludf.DUMMYFUNCTION("IF
(
C8887=""фізична особа""
,
VLOOKUP(D8887,IMPORTRANGE(""https://docs.google.com/spreadsheets/d/14Bd19lYaqBhU8_DElYkX7l4wRkHqqCUFNJY4AfY3kHU/edit?usp=sharing  #gid=0"",""фіз особи new!relations_name""),6,FALSE)
,
(IF
(
C8887=""юридична особа""
,
VLOOKUP"&amp;"(D8887,IMPORTRANGE(""https://docs.google.com/spreadsheets/d/14Bd19lYaqBhU8_DElYkX7l4wRkHqqCUFNJY4AfY3kHU/edit?usp=sharing  #gid=0"",""фіз особи new!relations_name_uo""),7,FALSE)
,
)
))"),"МАРКЕЛОВ Андрій Олександрович")</f>
        <v>МАРКЕЛОВ Андрій Олександрович</v>
      </c>
      <c r="G8886" s="7" t="s">
        <v>10</v>
      </c>
      <c r="H8886" s="7">
        <v>10200</v>
      </c>
      <c r="I8886" s="8" t="str">
        <f ca="1">IFERROR(__xludf.DUMMYFUNCTION("IF
(
G8887=""фізична особа""
,
VLOOKUP(H8887,IMPORTRANGE(""https://docs.google.com/spreadsheets/d/14Bd19lYaqBhU8_DElYkX7l4wRkHqqCUFNJY4AfY3kHU/edit?usp=sharing  #gid=0"",""фіз особи new!relations_name""),6,FALSE)
,
(IF
(
G8887=""юридична особа""
,
VLOOKUP"&amp;"(H8887,IMPORTRANGE(""https://docs.google.com/spreadsheets/d/14Bd19lYaqBhU8_DElYkX7l4wRkHqqCUFNJY4AfY3kHU/edit?usp=sharing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86" s="7" t="s">
        <v>29</v>
      </c>
    </row>
    <row r="8887" spans="1:10" ht="13.2">
      <c r="A8887" s="7">
        <v>8886</v>
      </c>
      <c r="B8887" s="7">
        <v>1</v>
      </c>
      <c r="C8887" s="7" t="s">
        <v>10</v>
      </c>
      <c r="D8887" s="7">
        <v>10793</v>
      </c>
      <c r="E8887" s="7" t="s">
        <v>28</v>
      </c>
      <c r="F8887" s="8" t="str">
        <f ca="1">IFERROR(__xludf.DUMMYFUNCTION("IF
(
C8888=""фізична особа""
,
VLOOKUP(D8888,IMPORTRANGE(""https://docs.google.com/spreadsheets/d/14Bd19lYaqBhU8_DElYkX7l4wRkHqqCUFNJY4AfY3kHU/edit?usp=sharing  #gid=0"",""фіз особи new!relations_name""),6,FALSE)
,
(IF
(
C8888=""юридична особа""
,
VLOOKUP"&amp;"(D8888,IMPORTRANGE(""https://docs.google.com/spreadsheets/d/14Bd19lYaqBhU8_DElYkX7l4wRkHqqCUFNJY4AfY3kHU/edit?usp=sharing  #gid=0"",""фіз особи new!relations_name_uo""),7,FALSE)
,
)
))"),"ФАХРЕТДІНОВ Марат Мансурович")</f>
        <v>ФАХРЕТДІНОВ Марат Мансурович</v>
      </c>
      <c r="G8887" s="7" t="s">
        <v>10</v>
      </c>
      <c r="H8887" s="7">
        <v>3087</v>
      </c>
      <c r="I8887" s="8" t="str">
        <f ca="1">IFERROR(__xludf.DUMMYFUNCTION("IF
(
G8888=""фізична особа""
,
VLOOKUP(H8888,IMPORTRANGE(""https://docs.google.com/spreadsheets/d/14Bd19lYaqBhU8_DElYkX7l4wRkHqqCUFNJY4AfY3kHU/edit?usp=sharing  #gid=0"",""фіз особи new!relations_name""),6,FALSE)
,
(IF
(
G8888=""юридична особа""
,
VLOOKUP"&amp;"(H8888,IMPORTRANGE(""https://docs.google.com/spreadsheets/d/14Bd19lYaqBhU8_DElYkX7l4wRkHqqCUFNJY4AfY3kHU/edit?usp=sharing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87" s="7" t="s">
        <v>29</v>
      </c>
    </row>
    <row r="8888" spans="1:10" ht="13.2">
      <c r="A8888" s="7">
        <v>8887</v>
      </c>
      <c r="B8888" s="7">
        <v>1</v>
      </c>
      <c r="C8888" s="7" t="s">
        <v>10</v>
      </c>
      <c r="D8888" s="7">
        <v>10793</v>
      </c>
      <c r="E8888" s="7" t="s">
        <v>28</v>
      </c>
      <c r="F8888" s="8" t="str">
        <f ca="1">IFERROR(__xludf.DUMMYFUNCTION("IF
(
C8889=""фізична особа""
,
VLOOKUP(D8889,IMPORTRANGE(""https://docs.google.com/spreadsheets/d/14Bd19lYaqBhU8_DElYkX7l4wRkHqqCUFNJY4AfY3kHU/edit?usp=sharing  #gid=0"",""фіз особи new!relations_name""),6,FALSE)
,
(IF
(
C8889=""юридична особа""
,
VLOOKUP"&amp;"(D8889,IMPORTRANGE(""https://docs.google.com/spreadsheets/d/14Bd19lYaqBhU8_DElYkX7l4wRkHqqCUFNJY4AfY3kHU/edit?usp=sharing  #gid=0"",""фіз особи new!relations_name_uo""),7,FALSE)
,
)
))"),"ФАХРЕТДІНОВ Марат Мансурович")</f>
        <v>ФАХРЕТДІНОВ Марат Мансурович</v>
      </c>
      <c r="G8888" s="7" t="s">
        <v>10</v>
      </c>
      <c r="H8888" s="7">
        <v>10200</v>
      </c>
      <c r="I8888" s="8" t="str">
        <f ca="1">IFERROR(__xludf.DUMMYFUNCTION("IF
(
G8889=""фізична особа""
,
VLOOKUP(H8889,IMPORTRANGE(""https://docs.google.com/spreadsheets/d/14Bd19lYaqBhU8_DElYkX7l4wRkHqqCUFNJY4AfY3kHU/edit?usp=sharing  #gid=0"",""фіз особи new!relations_name""),6,FALSE)
,
(IF
(
G8889=""юридична особа""
,
VLOOKUP"&amp;"(H8889,IMPORTRANGE(""https://docs.google.com/spreadsheets/d/14Bd19lYaqBhU8_DElYkX7l4wRkHqqCUFNJY4AfY3kHU/edit?usp=sharing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88" s="7" t="s">
        <v>29</v>
      </c>
    </row>
    <row r="8889" spans="1:10" ht="13.2">
      <c r="A8889" s="7">
        <v>8888</v>
      </c>
      <c r="B8889" s="7">
        <v>1</v>
      </c>
      <c r="C8889" s="7" t="s">
        <v>10</v>
      </c>
      <c r="D8889" s="7">
        <v>10794</v>
      </c>
      <c r="E8889" s="7" t="s">
        <v>28</v>
      </c>
      <c r="F8889" s="8" t="str">
        <f ca="1">IFERROR(__xludf.DUMMYFUNCTION("IF
(
C8890=""фізична особа""
,
VLOOKUP(D8890,IMPORTRANGE(""https://docs.google.com/spreadsheets/d/14Bd19lYaqBhU8_DElYkX7l4wRkHqqCUFNJY4AfY3kHU/edit?usp=sharing  #gid=0"",""фіз особи new!relations_name""),6,FALSE)
,
(IF
(
C8890=""юридична особа""
,
VLOOKUP"&amp;"(D8890,IMPORTRANGE(""https://docs.google.com/spreadsheets/d/14Bd19lYaqBhU8_DElYkX7l4wRkHqqCUFNJY4AfY3kHU/edit?usp=sharing  #gid=0"",""фіз особи new!relations_name_uo""),7,FALSE)
,
)
))"),"ПРИСТАВКА Микола Миколайович")</f>
        <v>ПРИСТАВКА Микола Миколайович</v>
      </c>
      <c r="G8889" s="7" t="s">
        <v>10</v>
      </c>
      <c r="H8889" s="7">
        <v>3087</v>
      </c>
      <c r="I8889" s="8" t="str">
        <f ca="1">IFERROR(__xludf.DUMMYFUNCTION("IF
(
G8890=""фізична особа""
,
VLOOKUP(H8890,IMPORTRANGE(""https://docs.google.com/spreadsheets/d/14Bd19lYaqBhU8_DElYkX7l4wRkHqqCUFNJY4AfY3kHU/edit?usp=sharing  #gid=0"",""фіз особи new!relations_name""),6,FALSE)
,
(IF
(
G8890=""юридична особа""
,
VLOOKUP"&amp;"(H8890,IMPORTRANGE(""https://docs.google.com/spreadsheets/d/14Bd19lYaqBhU8_DElYkX7l4wRkHqqCUFNJY4AfY3kHU/edit?usp=sharing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89" s="7" t="s">
        <v>29</v>
      </c>
    </row>
    <row r="8890" spans="1:10" ht="13.2">
      <c r="A8890" s="7">
        <v>8889</v>
      </c>
      <c r="B8890" s="7">
        <v>1</v>
      </c>
      <c r="C8890" s="7" t="s">
        <v>10</v>
      </c>
      <c r="D8890" s="7">
        <v>10794</v>
      </c>
      <c r="E8890" s="7" t="s">
        <v>28</v>
      </c>
      <c r="F8890" s="8" t="str">
        <f ca="1">IFERROR(__xludf.DUMMYFUNCTION("IF
(
C8891=""фізична особа""
,
VLOOKUP(D8891,IMPORTRANGE(""https://docs.google.com/spreadsheets/d/14Bd19lYaqBhU8_DElYkX7l4wRkHqqCUFNJY4AfY3kHU/edit?usp=sharing  #gid=0"",""фіз особи new!relations_name""),6,FALSE)
,
(IF
(
C8891=""юридична особа""
,
VLOOKUP"&amp;"(D8891,IMPORTRANGE(""https://docs.google.com/spreadsheets/d/14Bd19lYaqBhU8_DElYkX7l4wRkHqqCUFNJY4AfY3kHU/edit?usp=sharing  #gid=0"",""фіз особи new!relations_name_uo""),7,FALSE)
,
)
))"),"ПРИСТАВКА Микола Миколайович")</f>
        <v>ПРИСТАВКА Микола Миколайович</v>
      </c>
      <c r="G8890" s="7" t="s">
        <v>10</v>
      </c>
      <c r="H8890" s="7">
        <v>10200</v>
      </c>
      <c r="I8890" s="8" t="str">
        <f ca="1">IFERROR(__xludf.DUMMYFUNCTION("IF
(
G8891=""фізична особа""
,
VLOOKUP(H8891,IMPORTRANGE(""https://docs.google.com/spreadsheets/d/14Bd19lYaqBhU8_DElYkX7l4wRkHqqCUFNJY4AfY3kHU/edit?usp=sharing  #gid=0"",""фіз особи new!relations_name""),6,FALSE)
,
(IF
(
G8891=""юридична особа""
,
VLOOKUP"&amp;"(H8891,IMPORTRANGE(""https://docs.google.com/spreadsheets/d/14Bd19lYaqBhU8_DElYkX7l4wRkHqqCUFNJY4AfY3kHU/edit?usp=sharing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90" s="7" t="s">
        <v>29</v>
      </c>
    </row>
    <row r="8891" spans="1:10" ht="13.2">
      <c r="A8891" s="7">
        <v>8890</v>
      </c>
      <c r="B8891" s="7">
        <v>1</v>
      </c>
      <c r="C8891" s="7" t="s">
        <v>10</v>
      </c>
      <c r="D8891" s="7">
        <v>10795</v>
      </c>
      <c r="E8891" s="7" t="s">
        <v>28</v>
      </c>
      <c r="F8891" s="8" t="str">
        <f ca="1">IFERROR(__xludf.DUMMYFUNCTION("IF
(
C8892=""фізична особа""
,
VLOOKUP(D8892,IMPORTRANGE(""https://docs.google.com/spreadsheets/d/14Bd19lYaqBhU8_DElYkX7l4wRkHqqCUFNJY4AfY3kHU/edit?usp=sharing  #gid=0"",""фіз особи new!relations_name""),6,FALSE)
,
(IF
(
C8892=""юридична особа""
,
VLOOKUP"&amp;"(D8892,IMPORTRANGE(""https://docs.google.com/spreadsheets/d/14Bd19lYaqBhU8_DElYkX7l4wRkHqqCUFNJY4AfY3kHU/edit?usp=sharing  #gid=0"",""фіз особи new!relations_name_uo""),7,FALSE)
,
)
))"),"ЯКОВИЦЬКИЙ Дмитро Анатолійович")</f>
        <v>ЯКОВИЦЬКИЙ Дмитро Анатолійович</v>
      </c>
      <c r="G8891" s="7" t="s">
        <v>10</v>
      </c>
      <c r="H8891" s="7">
        <v>3087</v>
      </c>
      <c r="I8891" s="8" t="str">
        <f ca="1">IFERROR(__xludf.DUMMYFUNCTION("IF
(
G8892=""фізична особа""
,
VLOOKUP(H8892,IMPORTRANGE(""https://docs.google.com/spreadsheets/d/14Bd19lYaqBhU8_DElYkX7l4wRkHqqCUFNJY4AfY3kHU/edit?usp=sharing  #gid=0"",""фіз особи new!relations_name""),6,FALSE)
,
(IF
(
G8892=""юридична особа""
,
VLOOKUP"&amp;"(H8892,IMPORTRANGE(""https://docs.google.com/spreadsheets/d/14Bd19lYaqBhU8_DElYkX7l4wRkHqqCUFNJY4AfY3kHU/edit?usp=sharing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91" s="7" t="s">
        <v>29</v>
      </c>
    </row>
    <row r="8892" spans="1:10" ht="13.2">
      <c r="A8892" s="7">
        <v>8891</v>
      </c>
      <c r="B8892" s="7">
        <v>1</v>
      </c>
      <c r="C8892" s="7" t="s">
        <v>10</v>
      </c>
      <c r="D8892" s="7">
        <v>10795</v>
      </c>
      <c r="E8892" s="7" t="s">
        <v>28</v>
      </c>
      <c r="F8892" s="8" t="str">
        <f ca="1">IFERROR(__xludf.DUMMYFUNCTION("IF
(
C8893=""фізична особа""
,
VLOOKUP(D8893,IMPORTRANGE(""https://docs.google.com/spreadsheets/d/14Bd19lYaqBhU8_DElYkX7l4wRkHqqCUFNJY4AfY3kHU/edit?usp=sharing  #gid=0"",""фіз особи new!relations_name""),6,FALSE)
,
(IF
(
C8893=""юридична особа""
,
VLOOKUP"&amp;"(D8893,IMPORTRANGE(""https://docs.google.com/spreadsheets/d/14Bd19lYaqBhU8_DElYkX7l4wRkHqqCUFNJY4AfY3kHU/edit?usp=sharing  #gid=0"",""фіз особи new!relations_name_uo""),7,FALSE)
,
)
))"),"ЯКОВИЦЬКИЙ Дмитро Анатолійович")</f>
        <v>ЯКОВИЦЬКИЙ Дмитро Анатолійович</v>
      </c>
      <c r="G8892" s="7" t="s">
        <v>10</v>
      </c>
      <c r="H8892" s="7">
        <v>10200</v>
      </c>
      <c r="I8892" s="8" t="str">
        <f ca="1">IFERROR(__xludf.DUMMYFUNCTION("IF
(
G8893=""фізична особа""
,
VLOOKUP(H8893,IMPORTRANGE(""https://docs.google.com/spreadsheets/d/14Bd19lYaqBhU8_DElYkX7l4wRkHqqCUFNJY4AfY3kHU/edit?usp=sharing  #gid=0"",""фіз особи new!relations_name""),6,FALSE)
,
(IF
(
G8893=""юридична особа""
,
VLOOKUP"&amp;"(H8893,IMPORTRANGE(""https://docs.google.com/spreadsheets/d/14Bd19lYaqBhU8_DElYkX7l4wRkHqqCUFNJY4AfY3kHU/edit?usp=sharing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92" s="7" t="s">
        <v>29</v>
      </c>
    </row>
    <row r="8893" spans="1:10" ht="13.2">
      <c r="A8893" s="7">
        <v>8892</v>
      </c>
      <c r="B8893" s="7">
        <v>1</v>
      </c>
      <c r="C8893" s="7" t="s">
        <v>10</v>
      </c>
      <c r="D8893" s="7">
        <v>10796</v>
      </c>
      <c r="E8893" s="7" t="s">
        <v>28</v>
      </c>
      <c r="F8893" s="8" t="str">
        <f ca="1">IFERROR(__xludf.DUMMYFUNCTION("IF
(
C8894=""фізична особа""
,
VLOOKUP(D8894,IMPORTRANGE(""https://docs.google.com/spreadsheets/d/14Bd19lYaqBhU8_DElYkX7l4wRkHqqCUFNJY4AfY3kHU/edit?usp=sharing  #gid=0"",""фіз особи new!relations_name""),6,FALSE)
,
(IF
(
C8894=""юридична особа""
,
VLOOKUP"&amp;"(D8894,IMPORTRANGE(""https://docs.google.com/spreadsheets/d/14Bd19lYaqBhU8_DElYkX7l4wRkHqqCUFNJY4AfY3kHU/edit?usp=sharing  #gid=0"",""фіз особи new!relations_name_uo""),7,FALSE)
,
)
))"),"ЛАМАКІН Андрій Юрійович")</f>
        <v>ЛАМАКІН Андрій Юрійович</v>
      </c>
      <c r="G8893" s="7" t="s">
        <v>10</v>
      </c>
      <c r="H8893" s="7">
        <v>3087</v>
      </c>
      <c r="I8893" s="8" t="str">
        <f ca="1">IFERROR(__xludf.DUMMYFUNCTION("IF
(
G8894=""фізична особа""
,
VLOOKUP(H8894,IMPORTRANGE(""https://docs.google.com/spreadsheets/d/14Bd19lYaqBhU8_DElYkX7l4wRkHqqCUFNJY4AfY3kHU/edit?usp=sharing  #gid=0"",""фіз особи new!relations_name""),6,FALSE)
,
(IF
(
G8894=""юридична особа""
,
VLOOKUP"&amp;"(H8894,IMPORTRANGE(""https://docs.google.com/spreadsheets/d/14Bd19lYaqBhU8_DElYkX7l4wRkHqqCUFNJY4AfY3kHU/edit?usp=sharing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93" s="7" t="s">
        <v>29</v>
      </c>
    </row>
    <row r="8894" spans="1:10" ht="13.2">
      <c r="A8894" s="7">
        <v>8893</v>
      </c>
      <c r="B8894" s="7">
        <v>1</v>
      </c>
      <c r="C8894" s="7" t="s">
        <v>10</v>
      </c>
      <c r="D8894" s="7">
        <v>10796</v>
      </c>
      <c r="E8894" s="7" t="s">
        <v>28</v>
      </c>
      <c r="F8894" s="8" t="str">
        <f ca="1">IFERROR(__xludf.DUMMYFUNCTION("IF
(
C8895=""фізична особа""
,
VLOOKUP(D8895,IMPORTRANGE(""https://docs.google.com/spreadsheets/d/14Bd19lYaqBhU8_DElYkX7l4wRkHqqCUFNJY4AfY3kHU/edit?usp=sharing  #gid=0"",""фіз особи new!relations_name""),6,FALSE)
,
(IF
(
C8895=""юридична особа""
,
VLOOKUP"&amp;"(D8895,IMPORTRANGE(""https://docs.google.com/spreadsheets/d/14Bd19lYaqBhU8_DElYkX7l4wRkHqqCUFNJY4AfY3kHU/edit?usp=sharing  #gid=0"",""фіз особи new!relations_name_uo""),7,FALSE)
,
)
))"),"ЛАМАКІН Андрій Юрійович")</f>
        <v>ЛАМАКІН Андрій Юрійович</v>
      </c>
      <c r="G8894" s="7" t="s">
        <v>10</v>
      </c>
      <c r="H8894" s="7">
        <v>10200</v>
      </c>
      <c r="I8894" s="8" t="str">
        <f ca="1">IFERROR(__xludf.DUMMYFUNCTION("IF
(
G8895=""фізична особа""
,
VLOOKUP(H8895,IMPORTRANGE(""https://docs.google.com/spreadsheets/d/14Bd19lYaqBhU8_DElYkX7l4wRkHqqCUFNJY4AfY3kHU/edit?usp=sharing  #gid=0"",""фіз особи new!relations_name""),6,FALSE)
,
(IF
(
G8895=""юридична особа""
,
VLOOKUP"&amp;"(H8895,IMPORTRANGE(""https://docs.google.com/spreadsheets/d/14Bd19lYaqBhU8_DElYkX7l4wRkHqqCUFNJY4AfY3kHU/edit?usp=sharing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94" s="7" t="s">
        <v>29</v>
      </c>
    </row>
    <row r="8895" spans="1:10" ht="13.2">
      <c r="A8895" s="7">
        <v>8894</v>
      </c>
      <c r="B8895" s="7">
        <v>1</v>
      </c>
      <c r="C8895" s="7" t="s">
        <v>10</v>
      </c>
      <c r="D8895" s="7">
        <v>10797</v>
      </c>
      <c r="E8895" s="7" t="s">
        <v>28</v>
      </c>
      <c r="F8895" s="8" t="str">
        <f ca="1">IFERROR(__xludf.DUMMYFUNCTION("IF
(
C8896=""фізична особа""
,
VLOOKUP(D8896,IMPORTRANGE(""https://docs.google.com/spreadsheets/d/14Bd19lYaqBhU8_DElYkX7l4wRkHqqCUFNJY4AfY3kHU/edit?usp=sharing  #gid=0"",""фіз особи new!relations_name""),6,FALSE)
,
(IF
(
C8896=""юридична особа""
,
VLOOKUP"&amp;"(D8896,IMPORTRANGE(""https://docs.google.com/spreadsheets/d/14Bd19lYaqBhU8_DElYkX7l4wRkHqqCUFNJY4AfY3kHU/edit?usp=sharing  #gid=0"",""фіз особи new!relations_name_uo""),7,FALSE)
,
)
))"),"БОГДАНОВА Наталія Олександрівна")</f>
        <v>БОГДАНОВА Наталія Олександрівна</v>
      </c>
      <c r="G8895" s="7" t="s">
        <v>10</v>
      </c>
      <c r="H8895" s="7">
        <v>3087</v>
      </c>
      <c r="I8895" s="8" t="str">
        <f ca="1">IFERROR(__xludf.DUMMYFUNCTION("IF
(
G8896=""фізична особа""
,
VLOOKUP(H8896,IMPORTRANGE(""https://docs.google.com/spreadsheets/d/14Bd19lYaqBhU8_DElYkX7l4wRkHqqCUFNJY4AfY3kHU/edit?usp=sharing  #gid=0"",""фіз особи new!relations_name""),6,FALSE)
,
(IF
(
G8896=""юридична особа""
,
VLOOKUP"&amp;"(H8896,IMPORTRANGE(""https://docs.google.com/spreadsheets/d/14Bd19lYaqBhU8_DElYkX7l4wRkHqqCUFNJY4AfY3kHU/edit?usp=sharing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95" s="7" t="s">
        <v>29</v>
      </c>
    </row>
    <row r="8896" spans="1:10" ht="13.2">
      <c r="A8896" s="7">
        <v>8895</v>
      </c>
      <c r="B8896" s="7">
        <v>1</v>
      </c>
      <c r="C8896" s="7" t="s">
        <v>10</v>
      </c>
      <c r="D8896" s="7">
        <v>10797</v>
      </c>
      <c r="E8896" s="7" t="s">
        <v>28</v>
      </c>
      <c r="F8896" s="8" t="str">
        <f ca="1">IFERROR(__xludf.DUMMYFUNCTION("IF
(
C8897=""фізична особа""
,
VLOOKUP(D8897,IMPORTRANGE(""https://docs.google.com/spreadsheets/d/14Bd19lYaqBhU8_DElYkX7l4wRkHqqCUFNJY4AfY3kHU/edit?usp=sharing  #gid=0"",""фіз особи new!relations_name""),6,FALSE)
,
(IF
(
C8897=""юридична особа""
,
VLOOKUP"&amp;"(D8897,IMPORTRANGE(""https://docs.google.com/spreadsheets/d/14Bd19lYaqBhU8_DElYkX7l4wRkHqqCUFNJY4AfY3kHU/edit?usp=sharing  #gid=0"",""фіз особи new!relations_name_uo""),7,FALSE)
,
)
))"),"БОГДАНОВА Наталія Олександрівна")</f>
        <v>БОГДАНОВА Наталія Олександрівна</v>
      </c>
      <c r="G8896" s="7" t="s">
        <v>10</v>
      </c>
      <c r="H8896" s="7">
        <v>10200</v>
      </c>
      <c r="I8896" s="8" t="str">
        <f ca="1">IFERROR(__xludf.DUMMYFUNCTION("IF
(
G8897=""фізична особа""
,
VLOOKUP(H8897,IMPORTRANGE(""https://docs.google.com/spreadsheets/d/14Bd19lYaqBhU8_DElYkX7l4wRkHqqCUFNJY4AfY3kHU/edit?usp=sharing  #gid=0"",""фіз особи new!relations_name""),6,FALSE)
,
(IF
(
G8897=""юридична особа""
,
VLOOKUP"&amp;"(H8897,IMPORTRANGE(""https://docs.google.com/spreadsheets/d/14Bd19lYaqBhU8_DElYkX7l4wRkHqqCUFNJY4AfY3kHU/edit?usp=sharing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96" s="7" t="s">
        <v>29</v>
      </c>
    </row>
    <row r="8897" spans="1:10" ht="13.2">
      <c r="A8897" s="7">
        <v>8896</v>
      </c>
      <c r="B8897" s="7">
        <v>1</v>
      </c>
      <c r="C8897" s="7" t="s">
        <v>10</v>
      </c>
      <c r="D8897" s="7">
        <v>10798</v>
      </c>
      <c r="E8897" s="7" t="s">
        <v>28</v>
      </c>
      <c r="F8897" s="8" t="str">
        <f ca="1">IFERROR(__xludf.DUMMYFUNCTION("IF
(
C8898=""фізична особа""
,
VLOOKUP(D8898,IMPORTRANGE(""https://docs.google.com/spreadsheets/d/14Bd19lYaqBhU8_DElYkX7l4wRkHqqCUFNJY4AfY3kHU/edit?usp=sharing  #gid=0"",""фіз особи new!relations_name""),6,FALSE)
,
(IF
(
C8898=""юридична особа""
,
VLOOKUP"&amp;"(D8898,IMPORTRANGE(""https://docs.google.com/spreadsheets/d/14Bd19lYaqBhU8_DElYkX7l4wRkHqqCUFNJY4AfY3kHU/edit?usp=sharing  #gid=0"",""фіз особи new!relations_name_uo""),7,FALSE)
,
)
))"),"ПЕТРОПОЛЬСЬКА Ганна Миколаївна")</f>
        <v>ПЕТРОПОЛЬСЬКА Ганна Миколаївна</v>
      </c>
      <c r="G8897" s="7" t="s">
        <v>10</v>
      </c>
      <c r="H8897" s="7">
        <v>3087</v>
      </c>
      <c r="I8897" s="8" t="str">
        <f ca="1">IFERROR(__xludf.DUMMYFUNCTION("IF
(
G8898=""фізична особа""
,
VLOOKUP(H8898,IMPORTRANGE(""https://docs.google.com/spreadsheets/d/14Bd19lYaqBhU8_DElYkX7l4wRkHqqCUFNJY4AfY3kHU/edit?usp=sharing  #gid=0"",""фіз особи new!relations_name""),6,FALSE)
,
(IF
(
G8898=""юридична особа""
,
VLOOKUP"&amp;"(H8898,IMPORTRANGE(""https://docs.google.com/spreadsheets/d/14Bd19lYaqBhU8_DElYkX7l4wRkHqqCUFNJY4AfY3kHU/edit?usp=sharing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97" s="7" t="s">
        <v>29</v>
      </c>
    </row>
    <row r="8898" spans="1:10" ht="13.2">
      <c r="A8898" s="7">
        <v>8897</v>
      </c>
      <c r="B8898" s="7">
        <v>1</v>
      </c>
      <c r="C8898" s="7" t="s">
        <v>10</v>
      </c>
      <c r="D8898" s="7">
        <v>10798</v>
      </c>
      <c r="E8898" s="7" t="s">
        <v>28</v>
      </c>
      <c r="F8898" s="8" t="str">
        <f ca="1">IFERROR(__xludf.DUMMYFUNCTION("IF
(
C8899=""фізична особа""
,
VLOOKUP(D8899,IMPORTRANGE(""https://docs.google.com/spreadsheets/d/14Bd19lYaqBhU8_DElYkX7l4wRkHqqCUFNJY4AfY3kHU/edit?usp=sharing  #gid=0"",""фіз особи new!relations_name""),6,FALSE)
,
(IF
(
C8899=""юридична особа""
,
VLOOKUP"&amp;"(D8899,IMPORTRANGE(""https://docs.google.com/spreadsheets/d/14Bd19lYaqBhU8_DElYkX7l4wRkHqqCUFNJY4AfY3kHU/edit?usp=sharing  #gid=0"",""фіз особи new!relations_name_uo""),7,FALSE)
,
)
))"),"ПЕТРОПОЛЬСЬКА Ганна Миколаївна")</f>
        <v>ПЕТРОПОЛЬСЬКА Ганна Миколаївна</v>
      </c>
      <c r="G8898" s="7" t="s">
        <v>10</v>
      </c>
      <c r="H8898" s="7">
        <v>10200</v>
      </c>
      <c r="I8898" s="8" t="str">
        <f ca="1">IFERROR(__xludf.DUMMYFUNCTION("IF
(
G8899=""фізична особа""
,
VLOOKUP(H8899,IMPORTRANGE(""https://docs.google.com/spreadsheets/d/14Bd19lYaqBhU8_DElYkX7l4wRkHqqCUFNJY4AfY3kHU/edit?usp=sharing  #gid=0"",""фіз особи new!relations_name""),6,FALSE)
,
(IF
(
G8899=""юридична особа""
,
VLOOKUP"&amp;"(H8899,IMPORTRANGE(""https://docs.google.com/spreadsheets/d/14Bd19lYaqBhU8_DElYkX7l4wRkHqqCUFNJY4AfY3kHU/edit?usp=sharing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898" s="7" t="s">
        <v>29</v>
      </c>
    </row>
    <row r="8899" spans="1:10" ht="13.2">
      <c r="A8899" s="7">
        <v>8898</v>
      </c>
      <c r="B8899" s="7">
        <v>1</v>
      </c>
      <c r="C8899" s="7" t="s">
        <v>10</v>
      </c>
      <c r="D8899" s="7">
        <v>10799</v>
      </c>
      <c r="E8899" s="7" t="s">
        <v>28</v>
      </c>
      <c r="F8899" s="8" t="str">
        <f ca="1">IFERROR(__xludf.DUMMYFUNCTION("IF
(
C8900=""фізична особа""
,
VLOOKUP(D8900,IMPORTRANGE(""https://docs.google.com/spreadsheets/d/14Bd19lYaqBhU8_DElYkX7l4wRkHqqCUFNJY4AfY3kHU/edit?usp=sharing  #gid=0"",""фіз особи new!relations_name""),6,FALSE)
,
(IF
(
C8900=""юридична особа""
,
VLOOKUP"&amp;"(D8900,IMPORTRANGE(""https://docs.google.com/spreadsheets/d/14Bd19lYaqBhU8_DElYkX7l4wRkHqqCUFNJY4AfY3kHU/edit?usp=sharing  #gid=0"",""фіз особи new!relations_name_uo""),7,FALSE)
,
)
))"),"МІРЗОЄВ Аслан Хусейнович")</f>
        <v>МІРЗОЄВ Аслан Хусейнович</v>
      </c>
      <c r="G8899" s="7" t="s">
        <v>10</v>
      </c>
      <c r="H8899" s="7">
        <v>3087</v>
      </c>
      <c r="I8899" s="8" t="str">
        <f ca="1">IFERROR(__xludf.DUMMYFUNCTION("IF
(
G8900=""фізична особа""
,
VLOOKUP(H8900,IMPORTRANGE(""https://docs.google.com/spreadsheets/d/14Bd19lYaqBhU8_DElYkX7l4wRkHqqCUFNJY4AfY3kHU/edit?usp=sharing  #gid=0"",""фіз особи new!relations_name""),6,FALSE)
,
(IF
(
G8900=""юридична особа""
,
VLOOKUP"&amp;"(H8900,IMPORTRANGE(""https://docs.google.com/spreadsheets/d/14Bd19lYaqBhU8_DElYkX7l4wRkHqqCUFNJY4AfY3kHU/edit?usp=sharing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899" s="7" t="s">
        <v>29</v>
      </c>
    </row>
    <row r="8900" spans="1:10" ht="13.2">
      <c r="A8900" s="7">
        <v>8899</v>
      </c>
      <c r="B8900" s="7">
        <v>1</v>
      </c>
      <c r="C8900" s="7" t="s">
        <v>10</v>
      </c>
      <c r="D8900" s="7">
        <v>10799</v>
      </c>
      <c r="E8900" s="7" t="s">
        <v>28</v>
      </c>
      <c r="F8900" s="8" t="str">
        <f ca="1">IFERROR(__xludf.DUMMYFUNCTION("IF
(
C8901=""фізична особа""
,
VLOOKUP(D8901,IMPORTRANGE(""https://docs.google.com/spreadsheets/d/14Bd19lYaqBhU8_DElYkX7l4wRkHqqCUFNJY4AfY3kHU/edit?usp=sharing  #gid=0"",""фіз особи new!relations_name""),6,FALSE)
,
(IF
(
C8901=""юридична особа""
,
VLOOKUP"&amp;"(D8901,IMPORTRANGE(""https://docs.google.com/spreadsheets/d/14Bd19lYaqBhU8_DElYkX7l4wRkHqqCUFNJY4AfY3kHU/edit?usp=sharing  #gid=0"",""фіз особи new!relations_name_uo""),7,FALSE)
,
)
))"),"МІРЗОЄВ Аслан Хусейнович")</f>
        <v>МІРЗОЄВ Аслан Хусейнович</v>
      </c>
      <c r="G8900" s="7" t="s">
        <v>10</v>
      </c>
      <c r="H8900" s="7">
        <v>10200</v>
      </c>
      <c r="I8900" s="8" t="str">
        <f ca="1">IFERROR(__xludf.DUMMYFUNCTION("IF
(
G8901=""фізична особа""
,
VLOOKUP(H8901,IMPORTRANGE(""https://docs.google.com/spreadsheets/d/14Bd19lYaqBhU8_DElYkX7l4wRkHqqCUFNJY4AfY3kHU/edit?usp=sharing  #gid=0"",""фіз особи new!relations_name""),6,FALSE)
,
(IF
(
G8901=""юридична особа""
,
VLOOKUP"&amp;"(H8901,IMPORTRANGE(""https://docs.google.com/spreadsheets/d/14Bd19lYaqBhU8_DElYkX7l4wRkHqqCUFNJY4AfY3kHU/edit?usp=sharing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00" s="7" t="s">
        <v>29</v>
      </c>
    </row>
    <row r="8901" spans="1:10" ht="13.2">
      <c r="A8901" s="7">
        <v>8900</v>
      </c>
      <c r="B8901" s="7">
        <v>1</v>
      </c>
      <c r="C8901" s="7" t="s">
        <v>10</v>
      </c>
      <c r="D8901" s="7">
        <v>10800</v>
      </c>
      <c r="E8901" s="7" t="s">
        <v>28</v>
      </c>
      <c r="F8901" s="8" t="str">
        <f ca="1">IFERROR(__xludf.DUMMYFUNCTION("IF
(
C8902=""фізична особа""
,
VLOOKUP(D8902,IMPORTRANGE(""https://docs.google.com/spreadsheets/d/14Bd19lYaqBhU8_DElYkX7l4wRkHqqCUFNJY4AfY3kHU/edit?usp=sharing  #gid=0"",""фіз особи new!relations_name""),6,FALSE)
,
(IF
(
C8902=""юридична особа""
,
VLOOKUP"&amp;"(D8902,IMPORTRANGE(""https://docs.google.com/spreadsheets/d/14Bd19lYaqBhU8_DElYkX7l4wRkHqqCUFNJY4AfY3kHU/edit?usp=sharing  #gid=0"",""фіз особи new!relations_name_uo""),7,FALSE)
,
)
))"),"МАКАРОВА Катерина Вікторівна")</f>
        <v>МАКАРОВА Катерина Вікторівна</v>
      </c>
      <c r="G8901" s="7" t="s">
        <v>10</v>
      </c>
      <c r="H8901" s="7">
        <v>3087</v>
      </c>
      <c r="I8901" s="8" t="str">
        <f ca="1">IFERROR(__xludf.DUMMYFUNCTION("IF
(
G8902=""фізична особа""
,
VLOOKUP(H8902,IMPORTRANGE(""https://docs.google.com/spreadsheets/d/14Bd19lYaqBhU8_DElYkX7l4wRkHqqCUFNJY4AfY3kHU/edit?usp=sharing  #gid=0"",""фіз особи new!relations_name""),6,FALSE)
,
(IF
(
G8902=""юридична особа""
,
VLOOKUP"&amp;"(H8902,IMPORTRANGE(""https://docs.google.com/spreadsheets/d/14Bd19lYaqBhU8_DElYkX7l4wRkHqqCUFNJY4AfY3kHU/edit?usp=sharing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01" s="7" t="s">
        <v>29</v>
      </c>
    </row>
    <row r="8902" spans="1:10" ht="13.2">
      <c r="A8902" s="7">
        <v>8901</v>
      </c>
      <c r="B8902" s="7">
        <v>1</v>
      </c>
      <c r="C8902" s="7" t="s">
        <v>10</v>
      </c>
      <c r="D8902" s="7">
        <v>10800</v>
      </c>
      <c r="E8902" s="7" t="s">
        <v>28</v>
      </c>
      <c r="F8902" s="8" t="str">
        <f ca="1">IFERROR(__xludf.DUMMYFUNCTION("IF
(
C8903=""фізична особа""
,
VLOOKUP(D8903,IMPORTRANGE(""https://docs.google.com/spreadsheets/d/14Bd19lYaqBhU8_DElYkX7l4wRkHqqCUFNJY4AfY3kHU/edit?usp=sharing  #gid=0"",""фіз особи new!relations_name""),6,FALSE)
,
(IF
(
C8903=""юридична особа""
,
VLOOKUP"&amp;"(D8903,IMPORTRANGE(""https://docs.google.com/spreadsheets/d/14Bd19lYaqBhU8_DElYkX7l4wRkHqqCUFNJY4AfY3kHU/edit?usp=sharing  #gid=0"",""фіз особи new!relations_name_uo""),7,FALSE)
,
)
))"),"МАКАРОВА Катерина Вікторівна")</f>
        <v>МАКАРОВА Катерина Вікторівна</v>
      </c>
      <c r="G8902" s="7" t="s">
        <v>10</v>
      </c>
      <c r="H8902" s="7">
        <v>10200</v>
      </c>
      <c r="I8902" s="8" t="str">
        <f ca="1">IFERROR(__xludf.DUMMYFUNCTION("IF
(
G8903=""фізична особа""
,
VLOOKUP(H8903,IMPORTRANGE(""https://docs.google.com/spreadsheets/d/14Bd19lYaqBhU8_DElYkX7l4wRkHqqCUFNJY4AfY3kHU/edit?usp=sharing  #gid=0"",""фіз особи new!relations_name""),6,FALSE)
,
(IF
(
G8903=""юридична особа""
,
VLOOKUP"&amp;"(H8903,IMPORTRANGE(""https://docs.google.com/spreadsheets/d/14Bd19lYaqBhU8_DElYkX7l4wRkHqqCUFNJY4AfY3kHU/edit?usp=sharing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02" s="7" t="s">
        <v>29</v>
      </c>
    </row>
    <row r="8903" spans="1:10" ht="13.2">
      <c r="A8903" s="7">
        <v>8902</v>
      </c>
      <c r="B8903" s="7">
        <v>1</v>
      </c>
      <c r="C8903" s="7" t="s">
        <v>10</v>
      </c>
      <c r="D8903" s="7">
        <v>10801</v>
      </c>
      <c r="E8903" s="7" t="s">
        <v>28</v>
      </c>
      <c r="F8903" s="8" t="str">
        <f ca="1">IFERROR(__xludf.DUMMYFUNCTION("IF
(
C8904=""фізична особа""
,
VLOOKUP(D8904,IMPORTRANGE(""https://docs.google.com/spreadsheets/d/14Bd19lYaqBhU8_DElYkX7l4wRkHqqCUFNJY4AfY3kHU/edit?usp=sharing  #gid=0"",""фіз особи new!relations_name""),6,FALSE)
,
(IF
(
C8904=""юридична особа""
,
VLOOKUP"&amp;"(D8904,IMPORTRANGE(""https://docs.google.com/spreadsheets/d/14Bd19lYaqBhU8_DElYkX7l4wRkHqqCUFNJY4AfY3kHU/edit?usp=sharing  #gid=0"",""фіз особи new!relations_name_uo""),7,FALSE)
,
)
))"),"ЄМЕЛЬЯНОВА Ірина Миколаївна")</f>
        <v>ЄМЕЛЬЯНОВА Ірина Миколаївна</v>
      </c>
      <c r="G8903" s="7" t="s">
        <v>10</v>
      </c>
      <c r="H8903" s="7">
        <v>3087</v>
      </c>
      <c r="I8903" s="8" t="str">
        <f ca="1">IFERROR(__xludf.DUMMYFUNCTION("IF
(
G8904=""фізична особа""
,
VLOOKUP(H8904,IMPORTRANGE(""https://docs.google.com/spreadsheets/d/14Bd19lYaqBhU8_DElYkX7l4wRkHqqCUFNJY4AfY3kHU/edit?usp=sharing  #gid=0"",""фіз особи new!relations_name""),6,FALSE)
,
(IF
(
G8904=""юридична особа""
,
VLOOKUP"&amp;"(H8904,IMPORTRANGE(""https://docs.google.com/spreadsheets/d/14Bd19lYaqBhU8_DElYkX7l4wRkHqqCUFNJY4AfY3kHU/edit?usp=sharing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03" s="7" t="s">
        <v>29</v>
      </c>
    </row>
    <row r="8904" spans="1:10" ht="13.2">
      <c r="A8904" s="7">
        <v>8903</v>
      </c>
      <c r="B8904" s="7">
        <v>1</v>
      </c>
      <c r="C8904" s="7" t="s">
        <v>10</v>
      </c>
      <c r="D8904" s="7">
        <v>10801</v>
      </c>
      <c r="E8904" s="7" t="s">
        <v>28</v>
      </c>
      <c r="F8904" s="8" t="str">
        <f ca="1">IFERROR(__xludf.DUMMYFUNCTION("IF
(
C8905=""фізична особа""
,
VLOOKUP(D8905,IMPORTRANGE(""https://docs.google.com/spreadsheets/d/14Bd19lYaqBhU8_DElYkX7l4wRkHqqCUFNJY4AfY3kHU/edit?usp=sharing  #gid=0"",""фіз особи new!relations_name""),6,FALSE)
,
(IF
(
C8905=""юридична особа""
,
VLOOKUP"&amp;"(D8905,IMPORTRANGE(""https://docs.google.com/spreadsheets/d/14Bd19lYaqBhU8_DElYkX7l4wRkHqqCUFNJY4AfY3kHU/edit?usp=sharing  #gid=0"",""фіз особи new!relations_name_uo""),7,FALSE)
,
)
))"),"ЄМЕЛЬЯНОВА Ірина Миколаївна")</f>
        <v>ЄМЕЛЬЯНОВА Ірина Миколаївна</v>
      </c>
      <c r="G8904" s="7" t="s">
        <v>10</v>
      </c>
      <c r="H8904" s="7">
        <v>10200</v>
      </c>
      <c r="I8904" s="8" t="str">
        <f ca="1">IFERROR(__xludf.DUMMYFUNCTION("IF
(
G8905=""фізична особа""
,
VLOOKUP(H8905,IMPORTRANGE(""https://docs.google.com/spreadsheets/d/14Bd19lYaqBhU8_DElYkX7l4wRkHqqCUFNJY4AfY3kHU/edit?usp=sharing  #gid=0"",""фіз особи new!relations_name""),6,FALSE)
,
(IF
(
G8905=""юридична особа""
,
VLOOKUP"&amp;"(H8905,IMPORTRANGE(""https://docs.google.com/spreadsheets/d/14Bd19lYaqBhU8_DElYkX7l4wRkHqqCUFNJY4AfY3kHU/edit?usp=sharing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04" s="7" t="s">
        <v>29</v>
      </c>
    </row>
    <row r="8905" spans="1:10" ht="13.2">
      <c r="A8905" s="7">
        <v>8904</v>
      </c>
      <c r="B8905" s="7">
        <v>1</v>
      </c>
      <c r="C8905" s="7" t="s">
        <v>10</v>
      </c>
      <c r="D8905" s="7">
        <v>10802</v>
      </c>
      <c r="E8905" s="7" t="s">
        <v>28</v>
      </c>
      <c r="F8905" s="8" t="str">
        <f ca="1">IFERROR(__xludf.DUMMYFUNCTION("IF
(
C8906=""фізична особа""
,
VLOOKUP(D8906,IMPORTRANGE(""https://docs.google.com/spreadsheets/d/14Bd19lYaqBhU8_DElYkX7l4wRkHqqCUFNJY4AfY3kHU/edit?usp=sharing  #gid=0"",""фіз особи new!relations_name""),6,FALSE)
,
(IF
(
C8906=""юридична особа""
,
VLOOKUP"&amp;"(D8906,IMPORTRANGE(""https://docs.google.com/spreadsheets/d/14Bd19lYaqBhU8_DElYkX7l4wRkHqqCUFNJY4AfY3kHU/edit?usp=sharing  #gid=0"",""фіз особи new!relations_name_uo""),7,FALSE)
,
)
))"),"МОРОЗОВ В'ячеслав Анатолійович")</f>
        <v>МОРОЗОВ В'ячеслав Анатолійович</v>
      </c>
      <c r="G8905" s="7" t="s">
        <v>10</v>
      </c>
      <c r="H8905" s="7">
        <v>3087</v>
      </c>
      <c r="I8905" s="8" t="str">
        <f ca="1">IFERROR(__xludf.DUMMYFUNCTION("IF
(
G8906=""фізична особа""
,
VLOOKUP(H8906,IMPORTRANGE(""https://docs.google.com/spreadsheets/d/14Bd19lYaqBhU8_DElYkX7l4wRkHqqCUFNJY4AfY3kHU/edit?usp=sharing  #gid=0"",""фіз особи new!relations_name""),6,FALSE)
,
(IF
(
G8906=""юридична особа""
,
VLOOKUP"&amp;"(H8906,IMPORTRANGE(""https://docs.google.com/spreadsheets/d/14Bd19lYaqBhU8_DElYkX7l4wRkHqqCUFNJY4AfY3kHU/edit?usp=sharing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05" s="7" t="s">
        <v>29</v>
      </c>
    </row>
    <row r="8906" spans="1:10" ht="13.2">
      <c r="A8906" s="7">
        <v>8905</v>
      </c>
      <c r="B8906" s="7">
        <v>1</v>
      </c>
      <c r="C8906" s="7" t="s">
        <v>10</v>
      </c>
      <c r="D8906" s="7">
        <v>10802</v>
      </c>
      <c r="E8906" s="7" t="s">
        <v>28</v>
      </c>
      <c r="F8906" s="8" t="str">
        <f ca="1">IFERROR(__xludf.DUMMYFUNCTION("IF
(
C8907=""фізична особа""
,
VLOOKUP(D8907,IMPORTRANGE(""https://docs.google.com/spreadsheets/d/14Bd19lYaqBhU8_DElYkX7l4wRkHqqCUFNJY4AfY3kHU/edit?usp=sharing  #gid=0"",""фіз особи new!relations_name""),6,FALSE)
,
(IF
(
C8907=""юридична особа""
,
VLOOKUP"&amp;"(D8907,IMPORTRANGE(""https://docs.google.com/spreadsheets/d/14Bd19lYaqBhU8_DElYkX7l4wRkHqqCUFNJY4AfY3kHU/edit?usp=sharing  #gid=0"",""фіз особи new!relations_name_uo""),7,FALSE)
,
)
))"),"МОРОЗОВ В'ячеслав Анатолійович")</f>
        <v>МОРОЗОВ В'ячеслав Анатолійович</v>
      </c>
      <c r="G8906" s="7" t="s">
        <v>10</v>
      </c>
      <c r="H8906" s="7">
        <v>10200</v>
      </c>
      <c r="I8906" s="8" t="str">
        <f ca="1">IFERROR(__xludf.DUMMYFUNCTION("IF
(
G8907=""фізична особа""
,
VLOOKUP(H8907,IMPORTRANGE(""https://docs.google.com/spreadsheets/d/14Bd19lYaqBhU8_DElYkX7l4wRkHqqCUFNJY4AfY3kHU/edit?usp=sharing  #gid=0"",""фіз особи new!relations_name""),6,FALSE)
,
(IF
(
G8907=""юридична особа""
,
VLOOKUP"&amp;"(H8907,IMPORTRANGE(""https://docs.google.com/spreadsheets/d/14Bd19lYaqBhU8_DElYkX7l4wRkHqqCUFNJY4AfY3kHU/edit?usp=sharing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06" s="7" t="s">
        <v>29</v>
      </c>
    </row>
    <row r="8907" spans="1:10" ht="13.2">
      <c r="A8907" s="7">
        <v>8906</v>
      </c>
      <c r="B8907" s="7">
        <v>1</v>
      </c>
      <c r="C8907" s="7" t="s">
        <v>10</v>
      </c>
      <c r="D8907" s="7">
        <v>10803</v>
      </c>
      <c r="E8907" s="7" t="s">
        <v>28</v>
      </c>
      <c r="F8907" s="8" t="str">
        <f ca="1">IFERROR(__xludf.DUMMYFUNCTION("IF
(
C8908=""фізична особа""
,
VLOOKUP(D8908,IMPORTRANGE(""https://docs.google.com/spreadsheets/d/14Bd19lYaqBhU8_DElYkX7l4wRkHqqCUFNJY4AfY3kHU/edit?usp=sharing  #gid=0"",""фіз особи new!relations_name""),6,FALSE)
,
(IF
(
C8908=""юридична особа""
,
VLOOKUP"&amp;"(D8908,IMPORTRANGE(""https://docs.google.com/spreadsheets/d/14Bd19lYaqBhU8_DElYkX7l4wRkHqqCUFNJY4AfY3kHU/edit?usp=sharing  #gid=0"",""фіз особи new!relations_name_uo""),7,FALSE)
,
)
))"),"РИБАЛКО Тетяна Анатоліївна")</f>
        <v>РИБАЛКО Тетяна Анатоліївна</v>
      </c>
      <c r="G8907" s="7" t="s">
        <v>10</v>
      </c>
      <c r="H8907" s="7">
        <v>3087</v>
      </c>
      <c r="I8907" s="8" t="str">
        <f ca="1">IFERROR(__xludf.DUMMYFUNCTION("IF
(
G8908=""фізична особа""
,
VLOOKUP(H8908,IMPORTRANGE(""https://docs.google.com/spreadsheets/d/14Bd19lYaqBhU8_DElYkX7l4wRkHqqCUFNJY4AfY3kHU/edit?usp=sharing  #gid=0"",""фіз особи new!relations_name""),6,FALSE)
,
(IF
(
G8908=""юридична особа""
,
VLOOKUP"&amp;"(H8908,IMPORTRANGE(""https://docs.google.com/spreadsheets/d/14Bd19lYaqBhU8_DElYkX7l4wRkHqqCUFNJY4AfY3kHU/edit?usp=sharing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07" s="7" t="s">
        <v>29</v>
      </c>
    </row>
    <row r="8908" spans="1:10" ht="13.2">
      <c r="A8908" s="7">
        <v>8907</v>
      </c>
      <c r="B8908" s="7">
        <v>1</v>
      </c>
      <c r="C8908" s="7" t="s">
        <v>10</v>
      </c>
      <c r="D8908" s="7">
        <v>10803</v>
      </c>
      <c r="E8908" s="7" t="s">
        <v>28</v>
      </c>
      <c r="F8908" s="8" t="str">
        <f ca="1">IFERROR(__xludf.DUMMYFUNCTION("IF
(
C8909=""фізична особа""
,
VLOOKUP(D8909,IMPORTRANGE(""https://docs.google.com/spreadsheets/d/14Bd19lYaqBhU8_DElYkX7l4wRkHqqCUFNJY4AfY3kHU/edit?usp=sharing  #gid=0"",""фіз особи new!relations_name""),6,FALSE)
,
(IF
(
C8909=""юридична особа""
,
VLOOKUP"&amp;"(D8909,IMPORTRANGE(""https://docs.google.com/spreadsheets/d/14Bd19lYaqBhU8_DElYkX7l4wRkHqqCUFNJY4AfY3kHU/edit?usp=sharing  #gid=0"",""фіз особи new!relations_name_uo""),7,FALSE)
,
)
))"),"РИБАЛКО Тетяна Анатоліївна")</f>
        <v>РИБАЛКО Тетяна Анатоліївна</v>
      </c>
      <c r="G8908" s="7" t="s">
        <v>10</v>
      </c>
      <c r="H8908" s="7">
        <v>10200</v>
      </c>
      <c r="I8908" s="8" t="str">
        <f ca="1">IFERROR(__xludf.DUMMYFUNCTION("IF
(
G8909=""фізична особа""
,
VLOOKUP(H8909,IMPORTRANGE(""https://docs.google.com/spreadsheets/d/14Bd19lYaqBhU8_DElYkX7l4wRkHqqCUFNJY4AfY3kHU/edit?usp=sharing  #gid=0"",""фіз особи new!relations_name""),6,FALSE)
,
(IF
(
G8909=""юридична особа""
,
VLOOKUP"&amp;"(H8909,IMPORTRANGE(""https://docs.google.com/spreadsheets/d/14Bd19lYaqBhU8_DElYkX7l4wRkHqqCUFNJY4AfY3kHU/edit?usp=sharing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08" s="7" t="s">
        <v>29</v>
      </c>
    </row>
    <row r="8909" spans="1:10" ht="13.2">
      <c r="A8909" s="7">
        <v>8908</v>
      </c>
      <c r="B8909" s="7">
        <v>1</v>
      </c>
      <c r="C8909" s="7" t="s">
        <v>10</v>
      </c>
      <c r="D8909" s="7">
        <v>10804</v>
      </c>
      <c r="E8909" s="7" t="s">
        <v>28</v>
      </c>
      <c r="F8909" s="8" t="str">
        <f ca="1">IFERROR(__xludf.DUMMYFUNCTION("IF
(
C8910=""фізична особа""
,
VLOOKUP(D8910,IMPORTRANGE(""https://docs.google.com/spreadsheets/d/14Bd19lYaqBhU8_DElYkX7l4wRkHqqCUFNJY4AfY3kHU/edit?usp=sharing  #gid=0"",""фіз особи new!relations_name""),6,FALSE)
,
(IF
(
C8910=""юридична особа""
,
VLOOKUP"&amp;"(D8910,IMPORTRANGE(""https://docs.google.com/spreadsheets/d/14Bd19lYaqBhU8_DElYkX7l4wRkHqqCUFNJY4AfY3kHU/edit?usp=sharing  #gid=0"",""фіз особи new!relations_name_uo""),7,FALSE)
,
)
))"),"ЖИТЛОВ Олексій Вікторович")</f>
        <v>ЖИТЛОВ Олексій Вікторович</v>
      </c>
      <c r="G8909" s="7" t="s">
        <v>10</v>
      </c>
      <c r="H8909" s="7">
        <v>3087</v>
      </c>
      <c r="I8909" s="8" t="str">
        <f ca="1">IFERROR(__xludf.DUMMYFUNCTION("IF
(
G8910=""фізична особа""
,
VLOOKUP(H8910,IMPORTRANGE(""https://docs.google.com/spreadsheets/d/14Bd19lYaqBhU8_DElYkX7l4wRkHqqCUFNJY4AfY3kHU/edit?usp=sharing  #gid=0"",""фіз особи new!relations_name""),6,FALSE)
,
(IF
(
G8910=""юридична особа""
,
VLOOKUP"&amp;"(H8910,IMPORTRANGE(""https://docs.google.com/spreadsheets/d/14Bd19lYaqBhU8_DElYkX7l4wRkHqqCUFNJY4AfY3kHU/edit?usp=sharing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09" s="7" t="s">
        <v>29</v>
      </c>
    </row>
    <row r="8910" spans="1:10" ht="13.2">
      <c r="A8910" s="7">
        <v>8909</v>
      </c>
      <c r="B8910" s="7">
        <v>1</v>
      </c>
      <c r="C8910" s="7" t="s">
        <v>10</v>
      </c>
      <c r="D8910" s="7">
        <v>10804</v>
      </c>
      <c r="E8910" s="7" t="s">
        <v>28</v>
      </c>
      <c r="F8910" s="8" t="str">
        <f ca="1">IFERROR(__xludf.DUMMYFUNCTION("IF
(
C8911=""фізична особа""
,
VLOOKUP(D8911,IMPORTRANGE(""https://docs.google.com/spreadsheets/d/14Bd19lYaqBhU8_DElYkX7l4wRkHqqCUFNJY4AfY3kHU/edit?usp=sharing  #gid=0"",""фіз особи new!relations_name""),6,FALSE)
,
(IF
(
C8911=""юридична особа""
,
VLOOKUP"&amp;"(D8911,IMPORTRANGE(""https://docs.google.com/spreadsheets/d/14Bd19lYaqBhU8_DElYkX7l4wRkHqqCUFNJY4AfY3kHU/edit?usp=sharing  #gid=0"",""фіз особи new!relations_name_uo""),7,FALSE)
,
)
))"),"ЖИТЛОВ Олексій Вікторович")</f>
        <v>ЖИТЛОВ Олексій Вікторович</v>
      </c>
      <c r="G8910" s="7" t="s">
        <v>10</v>
      </c>
      <c r="H8910" s="7">
        <v>10200</v>
      </c>
      <c r="I8910" s="8" t="str">
        <f ca="1">IFERROR(__xludf.DUMMYFUNCTION("IF
(
G8911=""фізична особа""
,
VLOOKUP(H8911,IMPORTRANGE(""https://docs.google.com/spreadsheets/d/14Bd19lYaqBhU8_DElYkX7l4wRkHqqCUFNJY4AfY3kHU/edit?usp=sharing  #gid=0"",""фіз особи new!relations_name""),6,FALSE)
,
(IF
(
G8911=""юридична особа""
,
VLOOKUP"&amp;"(H8911,IMPORTRANGE(""https://docs.google.com/spreadsheets/d/14Bd19lYaqBhU8_DElYkX7l4wRkHqqCUFNJY4AfY3kHU/edit?usp=sharing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10" s="7" t="s">
        <v>29</v>
      </c>
    </row>
    <row r="8911" spans="1:10" ht="13.2">
      <c r="A8911" s="7">
        <v>8910</v>
      </c>
      <c r="B8911" s="7">
        <v>1</v>
      </c>
      <c r="C8911" s="7" t="s">
        <v>10</v>
      </c>
      <c r="D8911" s="7">
        <v>10805</v>
      </c>
      <c r="E8911" s="7" t="s">
        <v>28</v>
      </c>
      <c r="F8911" s="8" t="str">
        <f ca="1">IFERROR(__xludf.DUMMYFUNCTION("IF
(
C8912=""фізична особа""
,
VLOOKUP(D8912,IMPORTRANGE(""https://docs.google.com/spreadsheets/d/14Bd19lYaqBhU8_DElYkX7l4wRkHqqCUFNJY4AfY3kHU/edit?usp=sharing  #gid=0"",""фіз особи new!relations_name""),6,FALSE)
,
(IF
(
C8912=""юридична особа""
,
VLOOKUP"&amp;"(D8912,IMPORTRANGE(""https://docs.google.com/spreadsheets/d/14Bd19lYaqBhU8_DElYkX7l4wRkHqqCUFNJY4AfY3kHU/edit?usp=sharing  #gid=0"",""фіз особи new!relations_name_uo""),7,FALSE)
,
)
))"),"СУХАНОВ Вадим Артемович")</f>
        <v>СУХАНОВ Вадим Артемович</v>
      </c>
      <c r="G8911" s="7" t="s">
        <v>10</v>
      </c>
      <c r="H8911" s="7">
        <v>3087</v>
      </c>
      <c r="I8911" s="8" t="str">
        <f ca="1">IFERROR(__xludf.DUMMYFUNCTION("IF
(
G8912=""фізична особа""
,
VLOOKUP(H8912,IMPORTRANGE(""https://docs.google.com/spreadsheets/d/14Bd19lYaqBhU8_DElYkX7l4wRkHqqCUFNJY4AfY3kHU/edit?usp=sharing  #gid=0"",""фіз особи new!relations_name""),6,FALSE)
,
(IF
(
G8912=""юридична особа""
,
VLOOKUP"&amp;"(H8912,IMPORTRANGE(""https://docs.google.com/spreadsheets/d/14Bd19lYaqBhU8_DElYkX7l4wRkHqqCUFNJY4AfY3kHU/edit?usp=sharing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11" s="7" t="s">
        <v>29</v>
      </c>
    </row>
    <row r="8912" spans="1:10" ht="13.2">
      <c r="A8912" s="7">
        <v>8911</v>
      </c>
      <c r="B8912" s="7">
        <v>1</v>
      </c>
      <c r="C8912" s="7" t="s">
        <v>10</v>
      </c>
      <c r="D8912" s="7">
        <v>10805</v>
      </c>
      <c r="E8912" s="7" t="s">
        <v>28</v>
      </c>
      <c r="F8912" s="8" t="str">
        <f ca="1">IFERROR(__xludf.DUMMYFUNCTION("IF
(
C8913=""фізична особа""
,
VLOOKUP(D8913,IMPORTRANGE(""https://docs.google.com/spreadsheets/d/14Bd19lYaqBhU8_DElYkX7l4wRkHqqCUFNJY4AfY3kHU/edit?usp=sharing  #gid=0"",""фіз особи new!relations_name""),6,FALSE)
,
(IF
(
C8913=""юридична особа""
,
VLOOKUP"&amp;"(D8913,IMPORTRANGE(""https://docs.google.com/spreadsheets/d/14Bd19lYaqBhU8_DElYkX7l4wRkHqqCUFNJY4AfY3kHU/edit?usp=sharing  #gid=0"",""фіз особи new!relations_name_uo""),7,FALSE)
,
)
))"),"СУХАНОВ Вадим Артемович")</f>
        <v>СУХАНОВ Вадим Артемович</v>
      </c>
      <c r="G8912" s="7" t="s">
        <v>10</v>
      </c>
      <c r="H8912" s="7">
        <v>10200</v>
      </c>
      <c r="I8912" s="8" t="str">
        <f ca="1">IFERROR(__xludf.DUMMYFUNCTION("IF
(
G8913=""фізична особа""
,
VLOOKUP(H8913,IMPORTRANGE(""https://docs.google.com/spreadsheets/d/14Bd19lYaqBhU8_DElYkX7l4wRkHqqCUFNJY4AfY3kHU/edit?usp=sharing  #gid=0"",""фіз особи new!relations_name""),6,FALSE)
,
(IF
(
G8913=""юридична особа""
,
VLOOKUP"&amp;"(H8913,IMPORTRANGE(""https://docs.google.com/spreadsheets/d/14Bd19lYaqBhU8_DElYkX7l4wRkHqqCUFNJY4AfY3kHU/edit?usp=sharing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12" s="7" t="s">
        <v>29</v>
      </c>
    </row>
    <row r="8913" spans="1:10" ht="13.2">
      <c r="A8913" s="7">
        <v>8912</v>
      </c>
      <c r="B8913" s="7">
        <v>1</v>
      </c>
      <c r="C8913" s="7" t="s">
        <v>10</v>
      </c>
      <c r="D8913" s="7">
        <v>10806</v>
      </c>
      <c r="E8913" s="7" t="s">
        <v>28</v>
      </c>
      <c r="F8913" s="8" t="str">
        <f ca="1">IFERROR(__xludf.DUMMYFUNCTION("IF
(
C8914=""фізична особа""
,
VLOOKUP(D8914,IMPORTRANGE(""https://docs.google.com/spreadsheets/d/14Bd19lYaqBhU8_DElYkX7l4wRkHqqCUFNJY4AfY3kHU/edit?usp=sharing  #gid=0"",""фіз особи new!relations_name""),6,FALSE)
,
(IF
(
C8914=""юридична особа""
,
VLOOKUP"&amp;"(D8914,IMPORTRANGE(""https://docs.google.com/spreadsheets/d/14Bd19lYaqBhU8_DElYkX7l4wRkHqqCUFNJY4AfY3kHU/edit?usp=sharing  #gid=0"",""фіз особи new!relations_name_uo""),7,FALSE)
,
)
))"),"ТРЕТЬЯКОВА Марина Вікторівна")</f>
        <v>ТРЕТЬЯКОВА Марина Вікторівна</v>
      </c>
      <c r="G8913" s="7" t="s">
        <v>10</v>
      </c>
      <c r="H8913" s="7">
        <v>3087</v>
      </c>
      <c r="I8913" s="8" t="str">
        <f ca="1">IFERROR(__xludf.DUMMYFUNCTION("IF
(
G8914=""фізична особа""
,
VLOOKUP(H8914,IMPORTRANGE(""https://docs.google.com/spreadsheets/d/14Bd19lYaqBhU8_DElYkX7l4wRkHqqCUFNJY4AfY3kHU/edit?usp=sharing  #gid=0"",""фіз особи new!relations_name""),6,FALSE)
,
(IF
(
G8914=""юридична особа""
,
VLOOKUP"&amp;"(H8914,IMPORTRANGE(""https://docs.google.com/spreadsheets/d/14Bd19lYaqBhU8_DElYkX7l4wRkHqqCUFNJY4AfY3kHU/edit?usp=sharing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13" s="7" t="s">
        <v>29</v>
      </c>
    </row>
    <row r="8914" spans="1:10" ht="13.2">
      <c r="A8914" s="7">
        <v>8913</v>
      </c>
      <c r="B8914" s="7">
        <v>1</v>
      </c>
      <c r="C8914" s="7" t="s">
        <v>10</v>
      </c>
      <c r="D8914" s="7">
        <v>10806</v>
      </c>
      <c r="E8914" s="7" t="s">
        <v>28</v>
      </c>
      <c r="F8914" s="8" t="str">
        <f ca="1">IFERROR(__xludf.DUMMYFUNCTION("IF
(
C8915=""фізична особа""
,
VLOOKUP(D8915,IMPORTRANGE(""https://docs.google.com/spreadsheets/d/14Bd19lYaqBhU8_DElYkX7l4wRkHqqCUFNJY4AfY3kHU/edit?usp=sharing  #gid=0"",""фіз особи new!relations_name""),6,FALSE)
,
(IF
(
C8915=""юридична особа""
,
VLOOKUP"&amp;"(D8915,IMPORTRANGE(""https://docs.google.com/spreadsheets/d/14Bd19lYaqBhU8_DElYkX7l4wRkHqqCUFNJY4AfY3kHU/edit?usp=sharing  #gid=0"",""фіз особи new!relations_name_uo""),7,FALSE)
,
)
))"),"ТРЕТЬЯКОВА Марина Вікторівна")</f>
        <v>ТРЕТЬЯКОВА Марина Вікторівна</v>
      </c>
      <c r="G8914" s="7" t="s">
        <v>10</v>
      </c>
      <c r="H8914" s="7">
        <v>10200</v>
      </c>
      <c r="I8914" s="8" t="str">
        <f ca="1">IFERROR(__xludf.DUMMYFUNCTION("IF
(
G8915=""фізична особа""
,
VLOOKUP(H8915,IMPORTRANGE(""https://docs.google.com/spreadsheets/d/14Bd19lYaqBhU8_DElYkX7l4wRkHqqCUFNJY4AfY3kHU/edit?usp=sharing  #gid=0"",""фіз особи new!relations_name""),6,FALSE)
,
(IF
(
G8915=""юридична особа""
,
VLOOKUP"&amp;"(H8915,IMPORTRANGE(""https://docs.google.com/spreadsheets/d/14Bd19lYaqBhU8_DElYkX7l4wRkHqqCUFNJY4AfY3kHU/edit?usp=sharing  #gid=0"",""фіз особи new!relations_name_uo""),7,FALSE)
,
)
))"),"АРШИНЦЕВА Любов Аркадіївна")</f>
        <v>АРШИНЦЕВА Любов Аркадіївна</v>
      </c>
      <c r="J8914" s="7" t="s">
        <v>29</v>
      </c>
    </row>
    <row r="8915" spans="1:10" ht="13.2">
      <c r="A8915" s="7">
        <v>8914</v>
      </c>
      <c r="B8915" s="7">
        <v>1</v>
      </c>
      <c r="C8915" s="7" t="s">
        <v>10</v>
      </c>
      <c r="D8915" s="7">
        <v>10807</v>
      </c>
      <c r="E8915" s="7" t="s">
        <v>28</v>
      </c>
      <c r="F8915" s="8" t="str">
        <f ca="1">IFERROR(__xludf.DUMMYFUNCTION("IF
(
C8916=""фізична особа""
,
VLOOKUP(D8916,IMPORTRANGE(""https://docs.google.com/spreadsheets/d/14Bd19lYaqBhU8_DElYkX7l4wRkHqqCUFNJY4AfY3kHU/edit?usp=sharing  #gid=0"",""фіз особи new!relations_name""),6,FALSE)
,
(IF
(
C8916=""юридична особа""
,
VLOOKUP"&amp;"(D8916,IMPORTRANGE(""https://docs.google.com/spreadsheets/d/14Bd19lYaqBhU8_DElYkX7l4wRkHqqCUFNJY4AfY3kHU/edit?usp=sharing  #gid=0"",""фіз особи new!relations_name_uo""),7,FALSE)
,
)
))"),"ДОЛГОВА Олена Іванівна")</f>
        <v>ДОЛГОВА Олена Іванівна</v>
      </c>
      <c r="G8915" s="7" t="s">
        <v>10</v>
      </c>
      <c r="H8915" s="7">
        <v>22386</v>
      </c>
      <c r="I8915" s="8" t="str">
        <f ca="1">IFERROR(__xludf.DUMMYFUNCTION("IF
(
G8916=""фізична особа""
,
VLOOKUP(H8916,IMPORTRANGE(""https://docs.google.com/spreadsheets/d/14Bd19lYaqBhU8_DElYkX7l4wRkHqqCUFNJY4AfY3kHU/edit?usp=sharing  #gid=0"",""фіз особи new!relations_name""),6,FALSE)
,
(IF
(
G8916=""юридична особа""
,
VLOOKUP"&amp;"(H8916,IMPORTRANGE(""https://docs.google.com/spreadsheets/d/14Bd19lYaqBhU8_DElYkX7l4wRkHqqCUFNJY4AfY3kHU/edit?usp=sharing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15" s="7" t="s">
        <v>29</v>
      </c>
    </row>
    <row r="8916" spans="1:10" ht="13.2">
      <c r="A8916" s="7">
        <v>8915</v>
      </c>
      <c r="B8916" s="7">
        <v>1</v>
      </c>
      <c r="C8916" s="7" t="s">
        <v>10</v>
      </c>
      <c r="D8916" s="7">
        <v>10808</v>
      </c>
      <c r="E8916" s="7" t="s">
        <v>28</v>
      </c>
      <c r="F8916" s="8" t="str">
        <f ca="1">IFERROR(__xludf.DUMMYFUNCTION("IF
(
C8917=""фізична особа""
,
VLOOKUP(D8917,IMPORTRANGE(""https://docs.google.com/spreadsheets/d/14Bd19lYaqBhU8_DElYkX7l4wRkHqqCUFNJY4AfY3kHU/edit?usp=sharing  #gid=0"",""фіз особи new!relations_name""),6,FALSE)
,
(IF
(
C8917=""юридична особа""
,
VLOOKUP"&amp;"(D8917,IMPORTRANGE(""https://docs.google.com/spreadsheets/d/14Bd19lYaqBhU8_DElYkX7l4wRkHqqCUFNJY4AfY3kHU/edit?usp=sharing  #gid=0"",""фіз особи new!relations_name_uo""),7,FALSE)
,
)
))"),"ТРЯПША Марина Валеріївна")</f>
        <v>ТРЯПША Марина Валеріївна</v>
      </c>
      <c r="G8916" s="7" t="s">
        <v>10</v>
      </c>
      <c r="H8916" s="7">
        <v>22386</v>
      </c>
      <c r="I8916" s="8" t="str">
        <f ca="1">IFERROR(__xludf.DUMMYFUNCTION("IF
(
G8917=""фізична особа""
,
VLOOKUP(H8917,IMPORTRANGE(""https://docs.google.com/spreadsheets/d/14Bd19lYaqBhU8_DElYkX7l4wRkHqqCUFNJY4AfY3kHU/edit?usp=sharing  #gid=0"",""фіз особи new!relations_name""),6,FALSE)
,
(IF
(
G8917=""юридична особа""
,
VLOOKUP"&amp;"(H8917,IMPORTRANGE(""https://docs.google.com/spreadsheets/d/14Bd19lYaqBhU8_DElYkX7l4wRkHqqCUFNJY4AfY3kHU/edit?usp=sharing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16" s="7" t="s">
        <v>29</v>
      </c>
    </row>
    <row r="8917" spans="1:10" ht="13.2">
      <c r="A8917" s="7">
        <v>8916</v>
      </c>
      <c r="B8917" s="7">
        <v>1</v>
      </c>
      <c r="C8917" s="7" t="s">
        <v>10</v>
      </c>
      <c r="D8917" s="7">
        <v>10809</v>
      </c>
      <c r="E8917" s="7" t="s">
        <v>28</v>
      </c>
      <c r="F8917" s="8" t="str">
        <f ca="1">IFERROR(__xludf.DUMMYFUNCTION("IF
(
C8918=""фізична особа""
,
VLOOKUP(D8918,IMPORTRANGE(""https://docs.google.com/spreadsheets/d/14Bd19lYaqBhU8_DElYkX7l4wRkHqqCUFNJY4AfY3kHU/edit?usp=sharing  #gid=0"",""фіз особи new!relations_name""),6,FALSE)
,
(IF
(
C8918=""юридична особа""
,
VLOOKUP"&amp;"(D8918,IMPORTRANGE(""https://docs.google.com/spreadsheets/d/14Bd19lYaqBhU8_DElYkX7l4wRkHqqCUFNJY4AfY3kHU/edit?usp=sharing  #gid=0"",""фіз особи new!relations_name_uo""),7,FALSE)
,
)
))"),"ОНОПЕНКО Ярослав Аксентійович")</f>
        <v>ОНОПЕНКО Ярослав Аксентійович</v>
      </c>
      <c r="G8917" s="7" t="s">
        <v>10</v>
      </c>
      <c r="H8917" s="7">
        <v>22386</v>
      </c>
      <c r="I8917" s="8" t="str">
        <f ca="1">IFERROR(__xludf.DUMMYFUNCTION("IF
(
G8918=""фізична особа""
,
VLOOKUP(H8918,IMPORTRANGE(""https://docs.google.com/spreadsheets/d/14Bd19lYaqBhU8_DElYkX7l4wRkHqqCUFNJY4AfY3kHU/edit?usp=sharing  #gid=0"",""фіз особи new!relations_name""),6,FALSE)
,
(IF
(
G8918=""юридична особа""
,
VLOOKUP"&amp;"(H8918,IMPORTRANGE(""https://docs.google.com/spreadsheets/d/14Bd19lYaqBhU8_DElYkX7l4wRkHqqCUFNJY4AfY3kHU/edit?usp=sharing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17" s="7" t="s">
        <v>29</v>
      </c>
    </row>
    <row r="8918" spans="1:10" ht="13.2">
      <c r="A8918" s="7">
        <v>8917</v>
      </c>
      <c r="B8918" s="7">
        <v>1</v>
      </c>
      <c r="C8918" s="7" t="s">
        <v>10</v>
      </c>
      <c r="D8918" s="7">
        <v>10810</v>
      </c>
      <c r="E8918" s="7" t="s">
        <v>28</v>
      </c>
      <c r="F8918" s="8" t="str">
        <f ca="1">IFERROR(__xludf.DUMMYFUNCTION("IF
(
C8919=""фізична особа""
,
VLOOKUP(D8919,IMPORTRANGE(""https://docs.google.com/spreadsheets/d/14Bd19lYaqBhU8_DElYkX7l4wRkHqqCUFNJY4AfY3kHU/edit?usp=sharing  #gid=0"",""фіз особи new!relations_name""),6,FALSE)
,
(IF
(
C8919=""юридична особа""
,
VLOOKUP"&amp;"(D8919,IMPORTRANGE(""https://docs.google.com/spreadsheets/d/14Bd19lYaqBhU8_DElYkX7l4wRkHqqCUFNJY4AfY3kHU/edit?usp=sharing  #gid=0"",""фіз особи new!relations_name_uo""),7,FALSE)
,
)
))"),"ТИЩЕНКО Петро Євгенович")</f>
        <v>ТИЩЕНКО Петро Євгенович</v>
      </c>
      <c r="G8918" s="7" t="s">
        <v>10</v>
      </c>
      <c r="H8918" s="7">
        <v>22386</v>
      </c>
      <c r="I8918" s="8" t="str">
        <f ca="1">IFERROR(__xludf.DUMMYFUNCTION("IF
(
G8919=""фізична особа""
,
VLOOKUP(H8919,IMPORTRANGE(""https://docs.google.com/spreadsheets/d/14Bd19lYaqBhU8_DElYkX7l4wRkHqqCUFNJY4AfY3kHU/edit?usp=sharing  #gid=0"",""фіз особи new!relations_name""),6,FALSE)
,
(IF
(
G8919=""юридична особа""
,
VLOOKUP"&amp;"(H8919,IMPORTRANGE(""https://docs.google.com/spreadsheets/d/14Bd19lYaqBhU8_DElYkX7l4wRkHqqCUFNJY4AfY3kHU/edit?usp=sharing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18" s="7" t="s">
        <v>29</v>
      </c>
    </row>
    <row r="8919" spans="1:10" ht="13.2">
      <c r="A8919" s="7">
        <v>8918</v>
      </c>
      <c r="B8919" s="7">
        <v>1</v>
      </c>
      <c r="C8919" s="7" t="s">
        <v>10</v>
      </c>
      <c r="D8919" s="7">
        <v>10811</v>
      </c>
      <c r="E8919" s="7" t="s">
        <v>28</v>
      </c>
      <c r="F8919" s="8" t="str">
        <f ca="1">IFERROR(__xludf.DUMMYFUNCTION("IF
(
C8920=""фізична особа""
,
VLOOKUP(D8920,IMPORTRANGE(""https://docs.google.com/spreadsheets/d/14Bd19lYaqBhU8_DElYkX7l4wRkHqqCUFNJY4AfY3kHU/edit?usp=sharing  #gid=0"",""фіз особи new!relations_name""),6,FALSE)
,
(IF
(
C8920=""юридична особа""
,
VLOOKUP"&amp;"(D8920,IMPORTRANGE(""https://docs.google.com/spreadsheets/d/14Bd19lYaqBhU8_DElYkX7l4wRkHqqCUFNJY4AfY3kHU/edit?usp=sharing  #gid=0"",""фіз особи new!relations_name_uo""),7,FALSE)
,
)
))"),"КАЛИНІНА Наталія Станіславна")</f>
        <v>КАЛИНІНА Наталія Станіславна</v>
      </c>
      <c r="G8919" s="7" t="s">
        <v>10</v>
      </c>
      <c r="H8919" s="7">
        <v>22386</v>
      </c>
      <c r="I8919" s="8" t="str">
        <f ca="1">IFERROR(__xludf.DUMMYFUNCTION("IF
(
G8920=""фізична особа""
,
VLOOKUP(H8920,IMPORTRANGE(""https://docs.google.com/spreadsheets/d/14Bd19lYaqBhU8_DElYkX7l4wRkHqqCUFNJY4AfY3kHU/edit?usp=sharing  #gid=0"",""фіз особи new!relations_name""),6,FALSE)
,
(IF
(
G8920=""юридична особа""
,
VLOOKUP"&amp;"(H8920,IMPORTRANGE(""https://docs.google.com/spreadsheets/d/14Bd19lYaqBhU8_DElYkX7l4wRkHqqCUFNJY4AfY3kHU/edit?usp=sharing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19" s="7" t="s">
        <v>29</v>
      </c>
    </row>
    <row r="8920" spans="1:10" ht="13.2">
      <c r="A8920" s="7">
        <v>8919</v>
      </c>
      <c r="B8920" s="7">
        <v>1</v>
      </c>
      <c r="C8920" s="7" t="s">
        <v>10</v>
      </c>
      <c r="D8920" s="7">
        <v>10812</v>
      </c>
      <c r="E8920" s="7" t="s">
        <v>28</v>
      </c>
      <c r="F8920" s="8" t="str">
        <f ca="1">IFERROR(__xludf.DUMMYFUNCTION("IF
(
C8921=""фізична особа""
,
VLOOKUP(D8921,IMPORTRANGE(""https://docs.google.com/spreadsheets/d/14Bd19lYaqBhU8_DElYkX7l4wRkHqqCUFNJY4AfY3kHU/edit?usp=sharing  #gid=0"",""фіз особи new!relations_name""),6,FALSE)
,
(IF
(
C8921=""юридична особа""
,
VLOOKUP"&amp;"(D8921,IMPORTRANGE(""https://docs.google.com/spreadsheets/d/14Bd19lYaqBhU8_DElYkX7l4wRkHqqCUFNJY4AfY3kHU/edit?usp=sharing  #gid=0"",""фіз особи new!relations_name_uo""),7,FALSE)
,
)
))"),"КОНЄВА Тетяна Костянтинівна")</f>
        <v>КОНЄВА Тетяна Костянтинівна</v>
      </c>
      <c r="G8920" s="7" t="s">
        <v>10</v>
      </c>
      <c r="H8920" s="7">
        <v>22386</v>
      </c>
      <c r="I8920" s="8" t="str">
        <f ca="1">IFERROR(__xludf.DUMMYFUNCTION("IF
(
G8921=""фізична особа""
,
VLOOKUP(H8921,IMPORTRANGE(""https://docs.google.com/spreadsheets/d/14Bd19lYaqBhU8_DElYkX7l4wRkHqqCUFNJY4AfY3kHU/edit?usp=sharing  #gid=0"",""фіз особи new!relations_name""),6,FALSE)
,
(IF
(
G8921=""юридична особа""
,
VLOOKUP"&amp;"(H8921,IMPORTRANGE(""https://docs.google.com/spreadsheets/d/14Bd19lYaqBhU8_DElYkX7l4wRkHqqCUFNJY4AfY3kHU/edit?usp=sharing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20" s="7" t="s">
        <v>29</v>
      </c>
    </row>
    <row r="8921" spans="1:10" ht="13.2">
      <c r="A8921" s="7">
        <v>8920</v>
      </c>
      <c r="B8921" s="7">
        <v>1</v>
      </c>
      <c r="C8921" s="7" t="s">
        <v>10</v>
      </c>
      <c r="D8921" s="7">
        <v>10813</v>
      </c>
      <c r="E8921" s="7" t="s">
        <v>28</v>
      </c>
      <c r="F8921" s="8" t="str">
        <f ca="1">IFERROR(__xludf.DUMMYFUNCTION("IF
(
C8922=""фізична особа""
,
VLOOKUP(D8922,IMPORTRANGE(""https://docs.google.com/spreadsheets/d/14Bd19lYaqBhU8_DElYkX7l4wRkHqqCUFNJY4AfY3kHU/edit?usp=sharing  #gid=0"",""фіз особи new!relations_name""),6,FALSE)
,
(IF
(
C8922=""юридична особа""
,
VLOOKUP"&amp;"(D8922,IMPORTRANGE(""https://docs.google.com/spreadsheets/d/14Bd19lYaqBhU8_DElYkX7l4wRkHqqCUFNJY4AfY3kHU/edit?usp=sharing  #gid=0"",""фіз особи new!relations_name_uo""),7,FALSE)
,
)
))"),"ДРУЖИНІНА Юлія Валеріївна")</f>
        <v>ДРУЖИНІНА Юлія Валеріївна</v>
      </c>
      <c r="G8921" s="7" t="s">
        <v>10</v>
      </c>
      <c r="H8921" s="7">
        <v>22386</v>
      </c>
      <c r="I8921" s="8" t="str">
        <f ca="1">IFERROR(__xludf.DUMMYFUNCTION("IF
(
G8922=""фізична особа""
,
VLOOKUP(H8922,IMPORTRANGE(""https://docs.google.com/spreadsheets/d/14Bd19lYaqBhU8_DElYkX7l4wRkHqqCUFNJY4AfY3kHU/edit?usp=sharing  #gid=0"",""фіз особи new!relations_name""),6,FALSE)
,
(IF
(
G8922=""юридична особа""
,
VLOOKUP"&amp;"(H8922,IMPORTRANGE(""https://docs.google.com/spreadsheets/d/14Bd19lYaqBhU8_DElYkX7l4wRkHqqCUFNJY4AfY3kHU/edit?usp=sharing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21" s="7" t="s">
        <v>29</v>
      </c>
    </row>
    <row r="8922" spans="1:10" ht="13.2">
      <c r="A8922" s="7">
        <v>8921</v>
      </c>
      <c r="B8922" s="7">
        <v>1</v>
      </c>
      <c r="C8922" s="7" t="s">
        <v>10</v>
      </c>
      <c r="D8922" s="7">
        <v>10814</v>
      </c>
      <c r="E8922" s="7" t="s">
        <v>28</v>
      </c>
      <c r="F8922" s="8" t="str">
        <f ca="1">IFERROR(__xludf.DUMMYFUNCTION("IF
(
C8923=""фізична особа""
,
VLOOKUP(D8923,IMPORTRANGE(""https://docs.google.com/spreadsheets/d/14Bd19lYaqBhU8_DElYkX7l4wRkHqqCUFNJY4AfY3kHU/edit?usp=sharing  #gid=0"",""фіз особи new!relations_name""),6,FALSE)
,
(IF
(
C8923=""юридична особа""
,
VLOOKUP"&amp;"(D8923,IMPORTRANGE(""https://docs.google.com/spreadsheets/d/14Bd19lYaqBhU8_DElYkX7l4wRkHqqCUFNJY4AfY3kHU/edit?usp=sharing  #gid=0"",""фіз особи new!relations_name_uo""),7,FALSE)
,
)
))"),"ГРЕБЕННІКОВ Дмитро Володимирович")</f>
        <v>ГРЕБЕННІКОВ Дмитро Володимирович</v>
      </c>
      <c r="G8922" s="7" t="s">
        <v>10</v>
      </c>
      <c r="H8922" s="7">
        <v>2974</v>
      </c>
      <c r="I8922" s="8" t="str">
        <f ca="1">IFERROR(__xludf.DUMMYFUNCTION("IF
(
G8923=""фізична особа""
,
VLOOKUP(H8923,IMPORTRANGE(""https://docs.google.com/spreadsheets/d/14Bd19lYaqBhU8_DElYkX7l4wRkHqqCUFNJY4AfY3kHU/edit?usp=sharing  #gid=0"",""фіз особи new!relations_name""),6,FALSE)
,
(IF
(
G8923=""юридична особа""
,
VLOOKUP"&amp;"(H8923,IMPORTRANGE(""https://docs.google.com/spreadsheets/d/14Bd19lYaqBhU8_DElYkX7l4wRkHqqCUFNJY4AfY3kHU/edit?usp=sharing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22" s="7" t="s">
        <v>29</v>
      </c>
    </row>
    <row r="8923" spans="1:10" ht="13.2">
      <c r="A8923" s="7">
        <v>8922</v>
      </c>
      <c r="B8923" s="7">
        <v>1</v>
      </c>
      <c r="C8923" s="7" t="s">
        <v>10</v>
      </c>
      <c r="D8923" s="7">
        <v>10815</v>
      </c>
      <c r="E8923" s="7" t="s">
        <v>28</v>
      </c>
      <c r="F8923" s="8" t="str">
        <f ca="1">IFERROR(__xludf.DUMMYFUNCTION("IF
(
C8924=""фізична особа""
,
VLOOKUP(D8924,IMPORTRANGE(""https://docs.google.com/spreadsheets/d/14Bd19lYaqBhU8_DElYkX7l4wRkHqqCUFNJY4AfY3kHU/edit?usp=sharing  #gid=0"",""фіз особи new!relations_name""),6,FALSE)
,
(IF
(
C8924=""юридична особа""
,
VLOOKUP"&amp;"(D8924,IMPORTRANGE(""https://docs.google.com/spreadsheets/d/14Bd19lYaqBhU8_DElYkX7l4wRkHqqCUFNJY4AfY3kHU/edit?usp=sharing  #gid=0"",""фіз особи new!relations_name_uo""),7,FALSE)
,
)
))"),"БРИКСІНА Олеся Олексіївна")</f>
        <v>БРИКСІНА Олеся Олексіївна</v>
      </c>
      <c r="G8923" s="7" t="s">
        <v>10</v>
      </c>
      <c r="H8923" s="7">
        <v>2974</v>
      </c>
      <c r="I8923" s="8" t="str">
        <f ca="1">IFERROR(__xludf.DUMMYFUNCTION("IF
(
G8924=""фізична особа""
,
VLOOKUP(H8924,IMPORTRANGE(""https://docs.google.com/spreadsheets/d/14Bd19lYaqBhU8_DElYkX7l4wRkHqqCUFNJY4AfY3kHU/edit?usp=sharing  #gid=0"",""фіз особи new!relations_name""),6,FALSE)
,
(IF
(
G8924=""юридична особа""
,
VLOOKUP"&amp;"(H8924,IMPORTRANGE(""https://docs.google.com/spreadsheets/d/14Bd19lYaqBhU8_DElYkX7l4wRkHqqCUFNJY4AfY3kHU/edit?usp=sharing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23" s="7" t="s">
        <v>29</v>
      </c>
    </row>
    <row r="8924" spans="1:10" ht="13.2">
      <c r="A8924" s="7">
        <v>8923</v>
      </c>
      <c r="B8924" s="7">
        <v>1</v>
      </c>
      <c r="C8924" s="7" t="s">
        <v>10</v>
      </c>
      <c r="D8924" s="7">
        <v>10816</v>
      </c>
      <c r="E8924" s="7" t="s">
        <v>28</v>
      </c>
      <c r="F8924" s="8" t="str">
        <f ca="1">IFERROR(__xludf.DUMMYFUNCTION("IF
(
C8925=""фізична особа""
,
VLOOKUP(D8925,IMPORTRANGE(""https://docs.google.com/spreadsheets/d/14Bd19lYaqBhU8_DElYkX7l4wRkHqqCUFNJY4AfY3kHU/edit?usp=sharing  #gid=0"",""фіз особи new!relations_name""),6,FALSE)
,
(IF
(
C8925=""юридична особа""
,
VLOOKUP"&amp;"(D8925,IMPORTRANGE(""https://docs.google.com/spreadsheets/d/14Bd19lYaqBhU8_DElYkX7l4wRkHqqCUFNJY4AfY3kHU/edit?usp=sharing  #gid=0"",""фіз особи new!relations_name_uo""),7,FALSE)
,
)
))"),"ГУЗАНОВ Євгеній Леонідович")</f>
        <v>ГУЗАНОВ Євгеній Леонідович</v>
      </c>
      <c r="G8924" s="7" t="s">
        <v>10</v>
      </c>
      <c r="H8924" s="7">
        <v>22386</v>
      </c>
      <c r="I8924" s="8" t="str">
        <f ca="1">IFERROR(__xludf.DUMMYFUNCTION("IF
(
G8925=""фізична особа""
,
VLOOKUP(H8925,IMPORTRANGE(""https://docs.google.com/spreadsheets/d/14Bd19lYaqBhU8_DElYkX7l4wRkHqqCUFNJY4AfY3kHU/edit?usp=sharing  #gid=0"",""фіз особи new!relations_name""),6,FALSE)
,
(IF
(
G8925=""юридична особа""
,
VLOOKUP"&amp;"(H8925,IMPORTRANGE(""https://docs.google.com/spreadsheets/d/14Bd19lYaqBhU8_DElYkX7l4wRkHqqCUFNJY4AfY3kHU/edit?usp=sharing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24" s="7" t="s">
        <v>29</v>
      </c>
    </row>
    <row r="8925" spans="1:10" ht="13.2">
      <c r="A8925" s="7">
        <v>8924</v>
      </c>
      <c r="B8925" s="7">
        <v>1</v>
      </c>
      <c r="C8925" s="7" t="s">
        <v>10</v>
      </c>
      <c r="D8925" s="7">
        <v>10817</v>
      </c>
      <c r="E8925" s="7" t="s">
        <v>28</v>
      </c>
      <c r="F8925" s="8" t="str">
        <f ca="1">IFERROR(__xludf.DUMMYFUNCTION("IF
(
C8926=""фізична особа""
,
VLOOKUP(D8926,IMPORTRANGE(""https://docs.google.com/spreadsheets/d/14Bd19lYaqBhU8_DElYkX7l4wRkHqqCUFNJY4AfY3kHU/edit?usp=sharing  #gid=0"",""фіз особи new!relations_name""),6,FALSE)
,
(IF
(
C8926=""юридична особа""
,
VLOOKUP"&amp;"(D8926,IMPORTRANGE(""https://docs.google.com/spreadsheets/d/14Bd19lYaqBhU8_DElYkX7l4wRkHqqCUFNJY4AfY3kHU/edit?usp=sharing  #gid=0"",""фіз особи new!relations_name_uo""),7,FALSE)
,
)
))"),"ІВАНОВ Сергій Михайлович")</f>
        <v>ІВАНОВ Сергій Михайлович</v>
      </c>
      <c r="G8925" s="7" t="s">
        <v>10</v>
      </c>
      <c r="H8925" s="7">
        <v>22386</v>
      </c>
      <c r="I8925" s="8" t="str">
        <f ca="1">IFERROR(__xludf.DUMMYFUNCTION("IF
(
G8926=""фізична особа""
,
VLOOKUP(H8926,IMPORTRANGE(""https://docs.google.com/spreadsheets/d/14Bd19lYaqBhU8_DElYkX7l4wRkHqqCUFNJY4AfY3kHU/edit?usp=sharing  #gid=0"",""фіз особи new!relations_name""),6,FALSE)
,
(IF
(
G8926=""юридична особа""
,
VLOOKUP"&amp;"(H8926,IMPORTRANGE(""https://docs.google.com/spreadsheets/d/14Bd19lYaqBhU8_DElYkX7l4wRkHqqCUFNJY4AfY3kHU/edit?usp=sharing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25" s="7" t="s">
        <v>29</v>
      </c>
    </row>
    <row r="8926" spans="1:10" ht="13.2">
      <c r="A8926" s="7">
        <v>8925</v>
      </c>
      <c r="B8926" s="7">
        <v>1</v>
      </c>
      <c r="C8926" s="7" t="s">
        <v>10</v>
      </c>
      <c r="D8926" s="7">
        <v>10818</v>
      </c>
      <c r="E8926" s="7" t="s">
        <v>28</v>
      </c>
      <c r="F8926" s="8" t="str">
        <f ca="1">IFERROR(__xludf.DUMMYFUNCTION("IF
(
C8927=""фізична особа""
,
VLOOKUP(D8927,IMPORTRANGE(""https://docs.google.com/spreadsheets/d/14Bd19lYaqBhU8_DElYkX7l4wRkHqqCUFNJY4AfY3kHU/edit?usp=sharing  #gid=0"",""фіз особи new!relations_name""),6,FALSE)
,
(IF
(
C8927=""юридична особа""
,
VLOOKUP"&amp;"(D8927,IMPORTRANGE(""https://docs.google.com/spreadsheets/d/14Bd19lYaqBhU8_DElYkX7l4wRkHqqCUFNJY4AfY3kHU/edit?usp=sharing  #gid=0"",""фіз особи new!relations_name_uo""),7,FALSE)
,
)
))"),"НЕСТЕРОВ Олексій Анатолійович")</f>
        <v>НЕСТЕРОВ Олексій Анатолійович</v>
      </c>
      <c r="G8926" s="7" t="s">
        <v>10</v>
      </c>
      <c r="H8926" s="7">
        <v>22386</v>
      </c>
      <c r="I8926" s="8" t="str">
        <f ca="1">IFERROR(__xludf.DUMMYFUNCTION("IF
(
G8927=""фізична особа""
,
VLOOKUP(H8927,IMPORTRANGE(""https://docs.google.com/spreadsheets/d/14Bd19lYaqBhU8_DElYkX7l4wRkHqqCUFNJY4AfY3kHU/edit?usp=sharing  #gid=0"",""фіз особи new!relations_name""),6,FALSE)
,
(IF
(
G8927=""юридична особа""
,
VLOOKUP"&amp;"(H8927,IMPORTRANGE(""https://docs.google.com/spreadsheets/d/14Bd19lYaqBhU8_DElYkX7l4wRkHqqCUFNJY4AfY3kHU/edit?usp=sharing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26" s="7" t="s">
        <v>29</v>
      </c>
    </row>
    <row r="8927" spans="1:10" ht="13.2">
      <c r="A8927" s="7">
        <v>8926</v>
      </c>
      <c r="B8927" s="7">
        <v>1</v>
      </c>
      <c r="C8927" s="7" t="s">
        <v>10</v>
      </c>
      <c r="D8927" s="7">
        <v>10819</v>
      </c>
      <c r="E8927" s="7" t="s">
        <v>28</v>
      </c>
      <c r="F8927" s="8" t="str">
        <f ca="1">IFERROR(__xludf.DUMMYFUNCTION("IF
(
C8928=""фізична особа""
,
VLOOKUP(D8928,IMPORTRANGE(""https://docs.google.com/spreadsheets/d/14Bd19lYaqBhU8_DElYkX7l4wRkHqqCUFNJY4AfY3kHU/edit?usp=sharing  #gid=0"",""фіз особи new!relations_name""),6,FALSE)
,
(IF
(
C8928=""юридична особа""
,
VLOOKUP"&amp;"(D8928,IMPORTRANGE(""https://docs.google.com/spreadsheets/d/14Bd19lYaqBhU8_DElYkX7l4wRkHqqCUFNJY4AfY3kHU/edit?usp=sharing  #gid=0"",""фіз особи new!relations_name_uo""),7,FALSE)
,
)
))"),"ПАНОВ Олександр Володимирович")</f>
        <v>ПАНОВ Олександр Володимирович</v>
      </c>
      <c r="G8927" s="7" t="s">
        <v>10</v>
      </c>
      <c r="H8927" s="7">
        <v>3036</v>
      </c>
      <c r="I8927" s="8" t="str">
        <f ca="1">IFERROR(__xludf.DUMMYFUNCTION("IF
(
G8928=""фізична особа""
,
VLOOKUP(H8928,IMPORTRANGE(""https://docs.google.com/spreadsheets/d/14Bd19lYaqBhU8_DElYkX7l4wRkHqqCUFNJY4AfY3kHU/edit?usp=sharing  #gid=0"",""фіз особи new!relations_name""),6,FALSE)
,
(IF
(
G8928=""юридична особа""
,
VLOOKUP"&amp;"(H8928,IMPORTRANGE(""https://docs.google.com/spreadsheets/d/14Bd19lYaqBhU8_DElYkX7l4wRkHqqCUFNJY4AfY3kHU/edit?usp=sharing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27" s="7" t="s">
        <v>29</v>
      </c>
    </row>
    <row r="8928" spans="1:10" ht="13.2">
      <c r="A8928" s="7">
        <v>8927</v>
      </c>
      <c r="B8928" s="7">
        <v>1</v>
      </c>
      <c r="C8928" s="7" t="s">
        <v>10</v>
      </c>
      <c r="D8928" s="7">
        <v>10820</v>
      </c>
      <c r="E8928" s="7" t="s">
        <v>28</v>
      </c>
      <c r="F8928" s="8" t="str">
        <f ca="1">IFERROR(__xludf.DUMMYFUNCTION("IF
(
C8929=""фізична особа""
,
VLOOKUP(D8929,IMPORTRANGE(""https://docs.google.com/spreadsheets/d/14Bd19lYaqBhU8_DElYkX7l4wRkHqqCUFNJY4AfY3kHU/edit?usp=sharing  #gid=0"",""фіз особи new!relations_name""),6,FALSE)
,
(IF
(
C8929=""юридична особа""
,
VLOOKUP"&amp;"(D8929,IMPORTRANGE(""https://docs.google.com/spreadsheets/d/14Bd19lYaqBhU8_DElYkX7l4wRkHqqCUFNJY4AfY3kHU/edit?usp=sharing  #gid=0"",""фіз особи new!relations_name_uo""),7,FALSE)
,
)
))"),"ІСТОМІН Сергій Григорович")</f>
        <v>ІСТОМІН Сергій Григорович</v>
      </c>
      <c r="G8928" s="7" t="s">
        <v>10</v>
      </c>
      <c r="H8928" s="7">
        <v>3036</v>
      </c>
      <c r="I8928" s="8" t="str">
        <f ca="1">IFERROR(__xludf.DUMMYFUNCTION("IF
(
G8929=""фізична особа""
,
VLOOKUP(H8929,IMPORTRANGE(""https://docs.google.com/spreadsheets/d/14Bd19lYaqBhU8_DElYkX7l4wRkHqqCUFNJY4AfY3kHU/edit?usp=sharing  #gid=0"",""фіз особи new!relations_name""),6,FALSE)
,
(IF
(
G8929=""юридична особа""
,
VLOOKUP"&amp;"(H8929,IMPORTRANGE(""https://docs.google.com/spreadsheets/d/14Bd19lYaqBhU8_DElYkX7l4wRkHqqCUFNJY4AfY3kHU/edit?usp=sharing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28" s="7" t="s">
        <v>29</v>
      </c>
    </row>
    <row r="8929" spans="1:10" ht="13.2">
      <c r="A8929" s="7">
        <v>8928</v>
      </c>
      <c r="B8929" s="7">
        <v>1</v>
      </c>
      <c r="C8929" s="7" t="s">
        <v>10</v>
      </c>
      <c r="D8929" s="7">
        <v>10821</v>
      </c>
      <c r="E8929" s="7" t="s">
        <v>28</v>
      </c>
      <c r="F8929" s="8" t="str">
        <f ca="1">IFERROR(__xludf.DUMMYFUNCTION("IF
(
C8930=""фізична особа""
,
VLOOKUP(D8930,IMPORTRANGE(""https://docs.google.com/spreadsheets/d/14Bd19lYaqBhU8_DElYkX7l4wRkHqqCUFNJY4AfY3kHU/edit?usp=sharing  #gid=0"",""фіз особи new!relations_name""),6,FALSE)
,
(IF
(
C8930=""юридична особа""
,
VLOOKUP"&amp;"(D8930,IMPORTRANGE(""https://docs.google.com/spreadsheets/d/14Bd19lYaqBhU8_DElYkX7l4wRkHqqCUFNJY4AfY3kHU/edit?usp=sharing  #gid=0"",""фіз особи new!relations_name_uo""),7,FALSE)
,
)
))"),"ГРИГОР'ЄВ Едуард Миколайович")</f>
        <v>ГРИГОР'ЄВ Едуард Миколайович</v>
      </c>
      <c r="G8929" s="7" t="s">
        <v>10</v>
      </c>
      <c r="H8929" s="7">
        <v>3036</v>
      </c>
      <c r="I8929" s="8" t="str">
        <f ca="1">IFERROR(__xludf.DUMMYFUNCTION("IF
(
G8930=""фізична особа""
,
VLOOKUP(H8930,IMPORTRANGE(""https://docs.google.com/spreadsheets/d/14Bd19lYaqBhU8_DElYkX7l4wRkHqqCUFNJY4AfY3kHU/edit?usp=sharing  #gid=0"",""фіз особи new!relations_name""),6,FALSE)
,
(IF
(
G8930=""юридична особа""
,
VLOOKUP"&amp;"(H8930,IMPORTRANGE(""https://docs.google.com/spreadsheets/d/14Bd19lYaqBhU8_DElYkX7l4wRkHqqCUFNJY4AfY3kHU/edit?usp=sharing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29" s="7" t="s">
        <v>29</v>
      </c>
    </row>
    <row r="8930" spans="1:10" ht="13.2">
      <c r="A8930" s="7">
        <v>8929</v>
      </c>
      <c r="B8930" s="7">
        <v>1</v>
      </c>
      <c r="C8930" s="7" t="s">
        <v>10</v>
      </c>
      <c r="D8930" s="7">
        <v>10822</v>
      </c>
      <c r="E8930" s="7" t="s">
        <v>28</v>
      </c>
      <c r="F8930" s="8" t="str">
        <f ca="1">IFERROR(__xludf.DUMMYFUNCTION("IF
(
C8931=""фізична особа""
,
VLOOKUP(D8931,IMPORTRANGE(""https://docs.google.com/spreadsheets/d/14Bd19lYaqBhU8_DElYkX7l4wRkHqqCUFNJY4AfY3kHU/edit?usp=sharing  #gid=0"",""фіз особи new!relations_name""),6,FALSE)
,
(IF
(
C8931=""юридична особа""
,
VLOOKUP"&amp;"(D8931,IMPORTRANGE(""https://docs.google.com/spreadsheets/d/14Bd19lYaqBhU8_DElYkX7l4wRkHqqCUFNJY4AfY3kHU/edit?usp=sharing  #gid=0"",""фіз особи new!relations_name_uo""),7,FALSE)
,
)
))"),"АКСЄНЕНКО Сергій Олексійович")</f>
        <v>АКСЄНЕНКО Сергій Олексійович</v>
      </c>
      <c r="G8930" s="7" t="s">
        <v>10</v>
      </c>
      <c r="H8930" s="7">
        <v>3036</v>
      </c>
      <c r="I8930" s="8" t="str">
        <f ca="1">IFERROR(__xludf.DUMMYFUNCTION("IF
(
G8931=""фізична особа""
,
VLOOKUP(H8931,IMPORTRANGE(""https://docs.google.com/spreadsheets/d/14Bd19lYaqBhU8_DElYkX7l4wRkHqqCUFNJY4AfY3kHU/edit?usp=sharing  #gid=0"",""фіз особи new!relations_name""),6,FALSE)
,
(IF
(
G8931=""юридична особа""
,
VLOOKUP"&amp;"(H8931,IMPORTRANGE(""https://docs.google.com/spreadsheets/d/14Bd19lYaqBhU8_DElYkX7l4wRkHqqCUFNJY4AfY3kHU/edit?usp=sharing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30" s="7" t="s">
        <v>29</v>
      </c>
    </row>
    <row r="8931" spans="1:10" ht="13.2">
      <c r="A8931" s="7">
        <v>8930</v>
      </c>
      <c r="B8931" s="7">
        <v>1</v>
      </c>
      <c r="C8931" s="7" t="s">
        <v>10</v>
      </c>
      <c r="D8931" s="7">
        <v>10823</v>
      </c>
      <c r="E8931" s="7" t="s">
        <v>28</v>
      </c>
      <c r="F8931" s="8" t="str">
        <f ca="1">IFERROR(__xludf.DUMMYFUNCTION("IF
(
C8932=""фізична особа""
,
VLOOKUP(D8932,IMPORTRANGE(""https://docs.google.com/spreadsheets/d/14Bd19lYaqBhU8_DElYkX7l4wRkHqqCUFNJY4AfY3kHU/edit?usp=sharing  #gid=0"",""фіз особи new!relations_name""),6,FALSE)
,
(IF
(
C8932=""юридична особа""
,
VLOOKUP"&amp;"(D8932,IMPORTRANGE(""https://docs.google.com/spreadsheets/d/14Bd19lYaqBhU8_DElYkX7l4wRkHqqCUFNJY4AfY3kHU/edit?usp=sharing  #gid=0"",""фіз особи new!relations_name_uo""),7,FALSE)
,
)
))"),"САРІН Ігор Леонідович")</f>
        <v>САРІН Ігор Леонідович</v>
      </c>
      <c r="G8931" s="7" t="s">
        <v>10</v>
      </c>
      <c r="H8931" s="7">
        <v>3036</v>
      </c>
      <c r="I8931" s="8" t="str">
        <f ca="1">IFERROR(__xludf.DUMMYFUNCTION("IF
(
G8932=""фізична особа""
,
VLOOKUP(H8932,IMPORTRANGE(""https://docs.google.com/spreadsheets/d/14Bd19lYaqBhU8_DElYkX7l4wRkHqqCUFNJY4AfY3kHU/edit?usp=sharing  #gid=0"",""фіз особи new!relations_name""),6,FALSE)
,
(IF
(
G8932=""юридична особа""
,
VLOOKUP"&amp;"(H8932,IMPORTRANGE(""https://docs.google.com/spreadsheets/d/14Bd19lYaqBhU8_DElYkX7l4wRkHqqCUFNJY4AfY3kHU/edit?usp=sharing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31" s="7" t="s">
        <v>29</v>
      </c>
    </row>
    <row r="8932" spans="1:10" ht="13.2">
      <c r="A8932" s="7">
        <v>8931</v>
      </c>
      <c r="B8932" s="7">
        <v>1</v>
      </c>
      <c r="C8932" s="7" t="s">
        <v>10</v>
      </c>
      <c r="D8932" s="7">
        <v>10824</v>
      </c>
      <c r="E8932" s="7" t="s">
        <v>28</v>
      </c>
      <c r="F8932" s="8" t="str">
        <f ca="1">IFERROR(__xludf.DUMMYFUNCTION("IF
(
C8933=""фізична особа""
,
VLOOKUP(D8933,IMPORTRANGE(""https://docs.google.com/spreadsheets/d/14Bd19lYaqBhU8_DElYkX7l4wRkHqqCUFNJY4AfY3kHU/edit?usp=sharing  #gid=0"",""фіз особи new!relations_name""),6,FALSE)
,
(IF
(
C8933=""юридична особа""
,
VLOOKUP"&amp;"(D8933,IMPORTRANGE(""https://docs.google.com/spreadsheets/d/14Bd19lYaqBhU8_DElYkX7l4wRkHqqCUFNJY4AfY3kHU/edit?usp=sharing  #gid=0"",""фіз особи new!relations_name_uo""),7,FALSE)
,
)
))"),"СОКОЛОВ Олексій Олександрович")</f>
        <v>СОКОЛОВ Олексій Олександрович</v>
      </c>
      <c r="G8932" s="7" t="s">
        <v>10</v>
      </c>
      <c r="H8932" s="7">
        <v>3036</v>
      </c>
      <c r="I8932" s="8" t="str">
        <f ca="1">IFERROR(__xludf.DUMMYFUNCTION("IF
(
G8933=""фізична особа""
,
VLOOKUP(H8933,IMPORTRANGE(""https://docs.google.com/spreadsheets/d/14Bd19lYaqBhU8_DElYkX7l4wRkHqqCUFNJY4AfY3kHU/edit?usp=sharing  #gid=0"",""фіз особи new!relations_name""),6,FALSE)
,
(IF
(
G8933=""юридична особа""
,
VLOOKUP"&amp;"(H8933,IMPORTRANGE(""https://docs.google.com/spreadsheets/d/14Bd19lYaqBhU8_DElYkX7l4wRkHqqCUFNJY4AfY3kHU/edit?usp=sharing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8932" s="7" t="s">
        <v>29</v>
      </c>
    </row>
    <row r="8933" spans="1:10" ht="13.2">
      <c r="A8933" s="7">
        <v>8932</v>
      </c>
      <c r="B8933" s="7">
        <v>1</v>
      </c>
      <c r="C8933" s="7" t="s">
        <v>10</v>
      </c>
      <c r="D8933" s="7">
        <v>10825</v>
      </c>
      <c r="E8933" s="7" t="s">
        <v>28</v>
      </c>
      <c r="F8933" s="8" t="str">
        <f ca="1">IFERROR(__xludf.DUMMYFUNCTION("IF
(
C8934=""фізична особа""
,
VLOOKUP(D8934,IMPORTRANGE(""https://docs.google.com/spreadsheets/d/14Bd19lYaqBhU8_DElYkX7l4wRkHqqCUFNJY4AfY3kHU/edit?usp=sharing  #gid=0"",""фіз особи new!relations_name""),6,FALSE)
,
(IF
(
C8934=""юридична особа""
,
VLOOKUP"&amp;"(D8934,IMPORTRANGE(""https://docs.google.com/spreadsheets/d/14Bd19lYaqBhU8_DElYkX7l4wRkHqqCUFNJY4AfY3kHU/edit?usp=sharing  #gid=0"",""фіз особи new!relations_name_uo""),7,FALSE)
,
)
))"),"МОГУТАЄВА Надія Дмитрівна")</f>
        <v>МОГУТАЄВА Надія Дмитрівна</v>
      </c>
      <c r="G8933" s="7" t="s">
        <v>10</v>
      </c>
      <c r="H8933" s="7">
        <v>0</v>
      </c>
      <c r="I8933" s="8" t="str">
        <f ca="1">IFERROR(__xludf.DUMMYFUNCTION("IF
(
G8934=""фізична особа""
,
VLOOKUP(H8934,IMPORTRANGE(""https://docs.google.com/spreadsheets/d/14Bd19lYaqBhU8_DElYkX7l4wRkHqqCUFNJY4AfY3kHU/edit?usp=sharing  #gid=0"",""фіз особи new!relations_name""),6,FALSE)
,
(IF
(
G8934=""юридична особа""
,
VLOOKUP"&amp;"(H8934,IMPORTRANGE(""https://docs.google.com/spreadsheets/d/14Bd19lYaqBhU8_DElYkX7l4wRkHqqCUFNJY4AfY3kHU/edit?usp=sharing  #gid=0"",""фіз особи new!relations_name_uo""),7,FALSE)
,
)
))"),"#N/A")</f>
        <v>#N/A</v>
      </c>
      <c r="J8933" s="7" t="s">
        <v>29</v>
      </c>
    </row>
    <row r="8934" spans="1:10" ht="13.2">
      <c r="A8934" s="7">
        <v>8933</v>
      </c>
      <c r="B8934" s="7">
        <v>1</v>
      </c>
      <c r="C8934" s="7" t="s">
        <v>10</v>
      </c>
      <c r="D8934" s="7">
        <v>10826</v>
      </c>
      <c r="E8934" s="7" t="s">
        <v>28</v>
      </c>
      <c r="F8934" s="8" t="str">
        <f ca="1">IFERROR(__xludf.DUMMYFUNCTION("IF
(
C8935=""фізична особа""
,
VLOOKUP(D8935,IMPORTRANGE(""https://docs.google.com/spreadsheets/d/14Bd19lYaqBhU8_DElYkX7l4wRkHqqCUFNJY4AfY3kHU/edit?usp=sharing  #gid=0"",""фіз особи new!relations_name""),6,FALSE)
,
(IF
(
C8935=""юридична особа""
,
VLOOKUP"&amp;"(D8935,IMPORTRANGE(""https://docs.google.com/spreadsheets/d/14Bd19lYaqBhU8_DElYkX7l4wRkHqqCUFNJY4AfY3kHU/edit?usp=sharing  #gid=0"",""фіз особи new!relations_name_uo""),7,FALSE)
,
)
))"),"ГОЛУБЄВ Юрій Миколайович")</f>
        <v>ГОЛУБЄВ Юрій Миколайович</v>
      </c>
      <c r="G8934" s="7" t="s">
        <v>10</v>
      </c>
      <c r="H8934" s="7">
        <v>22386</v>
      </c>
      <c r="I8934" s="8" t="str">
        <f ca="1">IFERROR(__xludf.DUMMYFUNCTION("IF
(
G8935=""фізична особа""
,
VLOOKUP(H8935,IMPORTRANGE(""https://docs.google.com/spreadsheets/d/14Bd19lYaqBhU8_DElYkX7l4wRkHqqCUFNJY4AfY3kHU/edit?usp=sharing  #gid=0"",""фіз особи new!relations_name""),6,FALSE)
,
(IF
(
G8935=""юридична особа""
,
VLOOKUP"&amp;"(H8935,IMPORTRANGE(""https://docs.google.com/spreadsheets/d/14Bd19lYaqBhU8_DElYkX7l4wRkHqqCUFNJY4AfY3kHU/edit?usp=sharing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34" s="7" t="s">
        <v>29</v>
      </c>
    </row>
    <row r="8935" spans="1:10" ht="13.2">
      <c r="A8935" s="7">
        <v>8934</v>
      </c>
      <c r="B8935" s="7">
        <v>1</v>
      </c>
      <c r="C8935" s="7" t="s">
        <v>10</v>
      </c>
      <c r="D8935" s="7">
        <v>10827</v>
      </c>
      <c r="E8935" s="7" t="s">
        <v>28</v>
      </c>
      <c r="F8935" s="8" t="str">
        <f ca="1">IFERROR(__xludf.DUMMYFUNCTION("IF
(
C8936=""фізична особа""
,
VLOOKUP(D8936,IMPORTRANGE(""https://docs.google.com/spreadsheets/d/14Bd19lYaqBhU8_DElYkX7l4wRkHqqCUFNJY4AfY3kHU/edit?usp=sharing  #gid=0"",""фіз особи new!relations_name""),6,FALSE)
,
(IF
(
C8936=""юридична особа""
,
VLOOKUP"&amp;"(D8936,IMPORTRANGE(""https://docs.google.com/spreadsheets/d/14Bd19lYaqBhU8_DElYkX7l4wRkHqqCUFNJY4AfY3kHU/edit?usp=sharing  #gid=0"",""фіз особи new!relations_name_uo""),7,FALSE)
,
)
))"),"ТАРАБОРІН Роман Сергійович")</f>
        <v>ТАРАБОРІН Роман Сергійович</v>
      </c>
      <c r="G8935" s="7" t="s">
        <v>10</v>
      </c>
      <c r="H8935" s="7">
        <v>22386</v>
      </c>
      <c r="I8935" s="8" t="str">
        <f ca="1">IFERROR(__xludf.DUMMYFUNCTION("IF
(
G8936=""фізична особа""
,
VLOOKUP(H8936,IMPORTRANGE(""https://docs.google.com/spreadsheets/d/14Bd19lYaqBhU8_DElYkX7l4wRkHqqCUFNJY4AfY3kHU/edit?usp=sharing  #gid=0"",""фіз особи new!relations_name""),6,FALSE)
,
(IF
(
G8936=""юридична особа""
,
VLOOKUP"&amp;"(H8936,IMPORTRANGE(""https://docs.google.com/spreadsheets/d/14Bd19lYaqBhU8_DElYkX7l4wRkHqqCUFNJY4AfY3kHU/edit?usp=sharing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35" s="7" t="s">
        <v>29</v>
      </c>
    </row>
    <row r="8936" spans="1:10" ht="13.2">
      <c r="A8936" s="7">
        <v>8935</v>
      </c>
      <c r="B8936" s="7">
        <v>1</v>
      </c>
      <c r="C8936" s="7" t="s">
        <v>10</v>
      </c>
      <c r="D8936" s="7">
        <v>10829</v>
      </c>
      <c r="E8936" s="7" t="s">
        <v>28</v>
      </c>
      <c r="F8936" s="8" t="str">
        <f ca="1">IFERROR(__xludf.DUMMYFUNCTION("IF
(
C8937=""фізична особа""
,
VLOOKUP(D8937,IMPORTRANGE(""https://docs.google.com/spreadsheets/d/14Bd19lYaqBhU8_DElYkX7l4wRkHqqCUFNJY4AfY3kHU/edit?usp=sharing  #gid=0"",""фіз особи new!relations_name""),6,FALSE)
,
(IF
(
C8937=""юридична особа""
,
VLOOKUP"&amp;"(D8937,IMPORTRANGE(""https://docs.google.com/spreadsheets/d/14Bd19lYaqBhU8_DElYkX7l4wRkHqqCUFNJY4AfY3kHU/edit?usp=sharing  #gid=0"",""фіз особи new!relations_name_uo""),7,FALSE)
,
)
))"),"ЛЕЛЮХІН Павло Юрійович")</f>
        <v>ЛЕЛЮХІН Павло Юрійович</v>
      </c>
      <c r="G8936" s="7" t="s">
        <v>10</v>
      </c>
      <c r="H8936" s="7">
        <v>0</v>
      </c>
      <c r="I8936" s="8" t="str">
        <f ca="1">IFERROR(__xludf.DUMMYFUNCTION("IF
(
G8937=""фізична особа""
,
VLOOKUP(H8937,IMPORTRANGE(""https://docs.google.com/spreadsheets/d/14Bd19lYaqBhU8_DElYkX7l4wRkHqqCUFNJY4AfY3kHU/edit?usp=sharing  #gid=0"",""фіз особи new!relations_name""),6,FALSE)
,
(IF
(
G8937=""юридична особа""
,
VLOOKUP"&amp;"(H8937,IMPORTRANGE(""https://docs.google.com/spreadsheets/d/14Bd19lYaqBhU8_DElYkX7l4wRkHqqCUFNJY4AfY3kHU/edit?usp=sharing  #gid=0"",""фіз особи new!relations_name_uo""),7,FALSE)
,
)
))"),"#N/A")</f>
        <v>#N/A</v>
      </c>
      <c r="J8936" s="7" t="s">
        <v>29</v>
      </c>
    </row>
    <row r="8937" spans="1:10" ht="13.2">
      <c r="A8937" s="7">
        <v>8936</v>
      </c>
      <c r="B8937" s="7">
        <v>1</v>
      </c>
      <c r="C8937" s="7" t="s">
        <v>10</v>
      </c>
      <c r="D8937" s="7">
        <v>10830</v>
      </c>
      <c r="E8937" s="7" t="s">
        <v>28</v>
      </c>
      <c r="F8937" s="8" t="str">
        <f ca="1">IFERROR(__xludf.DUMMYFUNCTION("IF
(
C8938=""фізична особа""
,
VLOOKUP(D8938,IMPORTRANGE(""https://docs.google.com/spreadsheets/d/14Bd19lYaqBhU8_DElYkX7l4wRkHqqCUFNJY4AfY3kHU/edit?usp=sharing  #gid=0"",""фіз особи new!relations_name""),6,FALSE)
,
(IF
(
C8938=""юридична особа""
,
VLOOKUP"&amp;"(D8938,IMPORTRANGE(""https://docs.google.com/spreadsheets/d/14Bd19lYaqBhU8_DElYkX7l4wRkHqqCUFNJY4AfY3kHU/edit?usp=sharing  #gid=0"",""фіз особи new!relations_name_uo""),7,FALSE)
,
)
))"),"ВОЛКОВ Олександр Анатолійович")</f>
        <v>ВОЛКОВ Олександр Анатолійович</v>
      </c>
      <c r="G8937" s="7" t="s">
        <v>10</v>
      </c>
      <c r="H8937" s="7">
        <v>2974</v>
      </c>
      <c r="I8937" s="8" t="str">
        <f ca="1">IFERROR(__xludf.DUMMYFUNCTION("IF
(
G8938=""фізична особа""
,
VLOOKUP(H8938,IMPORTRANGE(""https://docs.google.com/spreadsheets/d/14Bd19lYaqBhU8_DElYkX7l4wRkHqqCUFNJY4AfY3kHU/edit?usp=sharing  #gid=0"",""фіз особи new!relations_name""),6,FALSE)
,
(IF
(
G8938=""юридична особа""
,
VLOOKUP"&amp;"(H8938,IMPORTRANGE(""https://docs.google.com/spreadsheets/d/14Bd19lYaqBhU8_DElYkX7l4wRkHqqCUFNJY4AfY3kHU/edit?usp=sharing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37" s="7" t="s">
        <v>29</v>
      </c>
    </row>
    <row r="8938" spans="1:10" ht="13.2">
      <c r="A8938" s="7">
        <v>8937</v>
      </c>
      <c r="B8938" s="7">
        <v>1</v>
      </c>
      <c r="C8938" s="7" t="s">
        <v>10</v>
      </c>
      <c r="D8938" s="7">
        <v>10831</v>
      </c>
      <c r="E8938" s="7" t="s">
        <v>28</v>
      </c>
      <c r="F8938" s="8" t="str">
        <f ca="1">IFERROR(__xludf.DUMMYFUNCTION("IF
(
C8939=""фізична особа""
,
VLOOKUP(D8939,IMPORTRANGE(""https://docs.google.com/spreadsheets/d/14Bd19lYaqBhU8_DElYkX7l4wRkHqqCUFNJY4AfY3kHU/edit?usp=sharing  #gid=0"",""фіз особи new!relations_name""),6,FALSE)
,
(IF
(
C8939=""юридична особа""
,
VLOOKUP"&amp;"(D8939,IMPORTRANGE(""https://docs.google.com/spreadsheets/d/14Bd19lYaqBhU8_DElYkX7l4wRkHqqCUFNJY4AfY3kHU/edit?usp=sharing  #gid=0"",""фіз особи new!relations_name_uo""),7,FALSE)
,
)
))"),"НІКОЛАЄВ Іван Анатолійович")</f>
        <v>НІКОЛАЄВ Іван Анатолійович</v>
      </c>
      <c r="G8938" s="7" t="s">
        <v>10</v>
      </c>
      <c r="H8938" s="7">
        <v>2974</v>
      </c>
      <c r="I8938" s="8" t="str">
        <f ca="1">IFERROR(__xludf.DUMMYFUNCTION("IF
(
G8939=""фізична особа""
,
VLOOKUP(H8939,IMPORTRANGE(""https://docs.google.com/spreadsheets/d/14Bd19lYaqBhU8_DElYkX7l4wRkHqqCUFNJY4AfY3kHU/edit?usp=sharing  #gid=0"",""фіз особи new!relations_name""),6,FALSE)
,
(IF
(
G8939=""юридична особа""
,
VLOOKUP"&amp;"(H8939,IMPORTRANGE(""https://docs.google.com/spreadsheets/d/14Bd19lYaqBhU8_DElYkX7l4wRkHqqCUFNJY4AfY3kHU/edit?usp=sharing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38" s="7" t="s">
        <v>29</v>
      </c>
    </row>
    <row r="8939" spans="1:10" ht="13.2">
      <c r="A8939" s="7">
        <v>8938</v>
      </c>
      <c r="B8939" s="7">
        <v>1</v>
      </c>
      <c r="C8939" s="7" t="s">
        <v>10</v>
      </c>
      <c r="D8939" s="7">
        <v>10832</v>
      </c>
      <c r="E8939" s="7" t="s">
        <v>28</v>
      </c>
      <c r="F8939" s="8" t="str">
        <f ca="1">IFERROR(__xludf.DUMMYFUNCTION("IF
(
C8940=""фізична особа""
,
VLOOKUP(D8940,IMPORTRANGE(""https://docs.google.com/spreadsheets/d/14Bd19lYaqBhU8_DElYkX7l4wRkHqqCUFNJY4AfY3kHU/edit?usp=sharing  #gid=0"",""фіз особи new!relations_name""),6,FALSE)
,
(IF
(
C8940=""юридична особа""
,
VLOOKUP"&amp;"(D8940,IMPORTRANGE(""https://docs.google.com/spreadsheets/d/14Bd19lYaqBhU8_DElYkX7l4wRkHqqCUFNJY4AfY3kHU/edit?usp=sharing  #gid=0"",""фіз особи new!relations_name_uo""),7,FALSE)
,
)
))"),"ОЛЕНЬЧЕВА Анастасія Миколаївна")</f>
        <v>ОЛЕНЬЧЕВА Анастасія Миколаївна</v>
      </c>
      <c r="G8939" s="7" t="s">
        <v>10</v>
      </c>
      <c r="H8939" s="7">
        <v>2974</v>
      </c>
      <c r="I8939" s="8" t="str">
        <f ca="1">IFERROR(__xludf.DUMMYFUNCTION("IF
(
G8940=""фізична особа""
,
VLOOKUP(H8940,IMPORTRANGE(""https://docs.google.com/spreadsheets/d/14Bd19lYaqBhU8_DElYkX7l4wRkHqqCUFNJY4AfY3kHU/edit?usp=sharing  #gid=0"",""фіз особи new!relations_name""),6,FALSE)
,
(IF
(
G8940=""юридична особа""
,
VLOOKUP"&amp;"(H8940,IMPORTRANGE(""https://docs.google.com/spreadsheets/d/14Bd19lYaqBhU8_DElYkX7l4wRkHqqCUFNJY4AfY3kHU/edit?usp=sharing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39" s="7" t="s">
        <v>29</v>
      </c>
    </row>
    <row r="8940" spans="1:10" ht="13.2">
      <c r="A8940" s="7">
        <v>8939</v>
      </c>
      <c r="B8940" s="7">
        <v>1</v>
      </c>
      <c r="C8940" s="7" t="s">
        <v>10</v>
      </c>
      <c r="D8940" s="7">
        <v>10833</v>
      </c>
      <c r="E8940" s="7" t="s">
        <v>28</v>
      </c>
      <c r="F8940" s="8" t="str">
        <f ca="1">IFERROR(__xludf.DUMMYFUNCTION("IF
(
C8941=""фізична особа""
,
VLOOKUP(D8941,IMPORTRANGE(""https://docs.google.com/spreadsheets/d/14Bd19lYaqBhU8_DElYkX7l4wRkHqqCUFNJY4AfY3kHU/edit?usp=sharing  #gid=0"",""фіз особи new!relations_name""),6,FALSE)
,
(IF
(
C8941=""юридична особа""
,
VLOOKUP"&amp;"(D8941,IMPORTRANGE(""https://docs.google.com/spreadsheets/d/14Bd19lYaqBhU8_DElYkX7l4wRkHqqCUFNJY4AfY3kHU/edit?usp=sharing  #gid=0"",""фіз особи new!relations_name_uo""),7,FALSE)
,
)
))"),"ДАРІН Олександр Федорович")</f>
        <v>ДАРІН Олександр Федорович</v>
      </c>
      <c r="G8940" s="7" t="s">
        <v>10</v>
      </c>
      <c r="H8940" s="7">
        <v>2974</v>
      </c>
      <c r="I8940" s="8" t="str">
        <f ca="1">IFERROR(__xludf.DUMMYFUNCTION("IF
(
G8941=""фізична особа""
,
VLOOKUP(H8941,IMPORTRANGE(""https://docs.google.com/spreadsheets/d/14Bd19lYaqBhU8_DElYkX7l4wRkHqqCUFNJY4AfY3kHU/edit?usp=sharing  #gid=0"",""фіз особи new!relations_name""),6,FALSE)
,
(IF
(
G8941=""юридична особа""
,
VLOOKUP"&amp;"(H8941,IMPORTRANGE(""https://docs.google.com/spreadsheets/d/14Bd19lYaqBhU8_DElYkX7l4wRkHqqCUFNJY4AfY3kHU/edit?usp=sharing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0" s="7" t="s">
        <v>29</v>
      </c>
    </row>
    <row r="8941" spans="1:10" ht="13.2">
      <c r="A8941" s="7">
        <v>8940</v>
      </c>
      <c r="B8941" s="7">
        <v>1</v>
      </c>
      <c r="C8941" s="7" t="s">
        <v>10</v>
      </c>
      <c r="D8941" s="7">
        <v>10834</v>
      </c>
      <c r="E8941" s="7" t="s">
        <v>28</v>
      </c>
      <c r="F8941" s="8" t="str">
        <f ca="1">IFERROR(__xludf.DUMMYFUNCTION("IF
(
C8942=""фізична особа""
,
VLOOKUP(D8942,IMPORTRANGE(""https://docs.google.com/spreadsheets/d/14Bd19lYaqBhU8_DElYkX7l4wRkHqqCUFNJY4AfY3kHU/edit?usp=sharing  #gid=0"",""фіз особи new!relations_name""),6,FALSE)
,
(IF
(
C8942=""юридична особа""
,
VLOOKUP"&amp;"(D8942,IMPORTRANGE(""https://docs.google.com/spreadsheets/d/14Bd19lYaqBhU8_DElYkX7l4wRkHqqCUFNJY4AfY3kHU/edit?usp=sharing  #gid=0"",""фіз особи new!relations_name_uo""),7,FALSE)
,
)
))"),"ЗВЯГІНА Наталія Володимирівна")</f>
        <v>ЗВЯГІНА Наталія Володимирівна</v>
      </c>
      <c r="G8941" s="7" t="s">
        <v>10</v>
      </c>
      <c r="H8941" s="7">
        <v>2974</v>
      </c>
      <c r="I8941" s="8" t="str">
        <f ca="1">IFERROR(__xludf.DUMMYFUNCTION("IF
(
G8942=""фізична особа""
,
VLOOKUP(H8942,IMPORTRANGE(""https://docs.google.com/spreadsheets/d/14Bd19lYaqBhU8_DElYkX7l4wRkHqqCUFNJY4AfY3kHU/edit?usp=sharing  #gid=0"",""фіз особи new!relations_name""),6,FALSE)
,
(IF
(
G8942=""юридична особа""
,
VLOOKUP"&amp;"(H8942,IMPORTRANGE(""https://docs.google.com/spreadsheets/d/14Bd19lYaqBhU8_DElYkX7l4wRkHqqCUFNJY4AfY3kHU/edit?usp=sharing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1" s="7" t="s">
        <v>29</v>
      </c>
    </row>
    <row r="8942" spans="1:10" ht="13.2">
      <c r="A8942" s="7">
        <v>8941</v>
      </c>
      <c r="B8942" s="7">
        <v>1</v>
      </c>
      <c r="C8942" s="7" t="s">
        <v>10</v>
      </c>
      <c r="D8942" s="7">
        <v>10835</v>
      </c>
      <c r="E8942" s="7" t="s">
        <v>28</v>
      </c>
      <c r="F8942" s="8" t="str">
        <f ca="1">IFERROR(__xludf.DUMMYFUNCTION("IF
(
C8943=""фізична особа""
,
VLOOKUP(D8943,IMPORTRANGE(""https://docs.google.com/spreadsheets/d/14Bd19lYaqBhU8_DElYkX7l4wRkHqqCUFNJY4AfY3kHU/edit?usp=sharing  #gid=0"",""фіз особи new!relations_name""),6,FALSE)
,
(IF
(
C8943=""юридична особа""
,
VLOOKUP"&amp;"(D8943,IMPORTRANGE(""https://docs.google.com/spreadsheets/d/14Bd19lYaqBhU8_DElYkX7l4wRkHqqCUFNJY4AfY3kHU/edit?usp=sharing  #gid=0"",""фіз особи new!relations_name_uo""),7,FALSE)
,
)
))"),"КОМОЛИХ Сергій Валерійович")</f>
        <v>КОМОЛИХ Сергій Валерійович</v>
      </c>
      <c r="G8942" s="7" t="s">
        <v>10</v>
      </c>
      <c r="H8942" s="7">
        <v>2974</v>
      </c>
      <c r="I8942" s="8" t="str">
        <f ca="1">IFERROR(__xludf.DUMMYFUNCTION("IF
(
G8943=""фізична особа""
,
VLOOKUP(H8943,IMPORTRANGE(""https://docs.google.com/spreadsheets/d/14Bd19lYaqBhU8_DElYkX7l4wRkHqqCUFNJY4AfY3kHU/edit?usp=sharing  #gid=0"",""фіз особи new!relations_name""),6,FALSE)
,
(IF
(
G8943=""юридична особа""
,
VLOOKUP"&amp;"(H8943,IMPORTRANGE(""https://docs.google.com/spreadsheets/d/14Bd19lYaqBhU8_DElYkX7l4wRkHqqCUFNJY4AfY3kHU/edit?usp=sharing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2" s="7" t="s">
        <v>29</v>
      </c>
    </row>
    <row r="8943" spans="1:10" ht="13.2">
      <c r="A8943" s="7">
        <v>8942</v>
      </c>
      <c r="B8943" s="7">
        <v>1</v>
      </c>
      <c r="C8943" s="7" t="s">
        <v>10</v>
      </c>
      <c r="D8943" s="7">
        <v>10836</v>
      </c>
      <c r="E8943" s="7" t="s">
        <v>28</v>
      </c>
      <c r="F8943" s="8" t="str">
        <f ca="1">IFERROR(__xludf.DUMMYFUNCTION("IF
(
C8944=""фізична особа""
,
VLOOKUP(D8944,IMPORTRANGE(""https://docs.google.com/spreadsheets/d/14Bd19lYaqBhU8_DElYkX7l4wRkHqqCUFNJY4AfY3kHU/edit?usp=sharing  #gid=0"",""фіз особи new!relations_name""),6,FALSE)
,
(IF
(
C8944=""юридична особа""
,
VLOOKUP"&amp;"(D8944,IMPORTRANGE(""https://docs.google.com/spreadsheets/d/14Bd19lYaqBhU8_DElYkX7l4wRkHqqCUFNJY4AfY3kHU/edit?usp=sharing  #gid=0"",""фіз особи new!relations_name_uo""),7,FALSE)
,
)
))"),"В'ЮНОВ Андрій Володимирович")</f>
        <v>В'ЮНОВ Андрій Володимирович</v>
      </c>
      <c r="G8943" s="7" t="s">
        <v>10</v>
      </c>
      <c r="H8943" s="7">
        <v>2974</v>
      </c>
      <c r="I8943" s="8" t="str">
        <f ca="1">IFERROR(__xludf.DUMMYFUNCTION("IF
(
G8944=""фізична особа""
,
VLOOKUP(H8944,IMPORTRANGE(""https://docs.google.com/spreadsheets/d/14Bd19lYaqBhU8_DElYkX7l4wRkHqqCUFNJY4AfY3kHU/edit?usp=sharing  #gid=0"",""фіз особи new!relations_name""),6,FALSE)
,
(IF
(
G8944=""юридична особа""
,
VLOOKUP"&amp;"(H8944,IMPORTRANGE(""https://docs.google.com/spreadsheets/d/14Bd19lYaqBhU8_DElYkX7l4wRkHqqCUFNJY4AfY3kHU/edit?usp=sharing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3" s="7" t="s">
        <v>29</v>
      </c>
    </row>
    <row r="8944" spans="1:10" ht="13.2">
      <c r="A8944" s="7">
        <v>8943</v>
      </c>
      <c r="B8944" s="7">
        <v>1</v>
      </c>
      <c r="C8944" s="7" t="s">
        <v>10</v>
      </c>
      <c r="D8944" s="7">
        <v>10837</v>
      </c>
      <c r="E8944" s="7" t="s">
        <v>28</v>
      </c>
      <c r="F8944" s="8" t="str">
        <f ca="1">IFERROR(__xludf.DUMMYFUNCTION("IF
(
C8945=""фізична особа""
,
VLOOKUP(D8945,IMPORTRANGE(""https://docs.google.com/spreadsheets/d/14Bd19lYaqBhU8_DElYkX7l4wRkHqqCUFNJY4AfY3kHU/edit?usp=sharing  #gid=0"",""фіз особи new!relations_name""),6,FALSE)
,
(IF
(
C8945=""юридична особа""
,
VLOOKUP"&amp;"(D8945,IMPORTRANGE(""https://docs.google.com/spreadsheets/d/14Bd19lYaqBhU8_DElYkX7l4wRkHqqCUFNJY4AfY3kHU/edit?usp=sharing  #gid=0"",""фіз особи new!relations_name_uo""),7,FALSE)
,
)
))"),"ДЬОМІН Іван Петрович")</f>
        <v>ДЬОМІН Іван Петрович</v>
      </c>
      <c r="G8944" s="7" t="s">
        <v>10</v>
      </c>
      <c r="H8944" s="7">
        <v>2974</v>
      </c>
      <c r="I8944" s="8" t="str">
        <f ca="1">IFERROR(__xludf.DUMMYFUNCTION("IF
(
G8945=""фізична особа""
,
VLOOKUP(H8945,IMPORTRANGE(""https://docs.google.com/spreadsheets/d/14Bd19lYaqBhU8_DElYkX7l4wRkHqqCUFNJY4AfY3kHU/edit?usp=sharing  #gid=0"",""фіз особи new!relations_name""),6,FALSE)
,
(IF
(
G8945=""юридична особа""
,
VLOOKUP"&amp;"(H8945,IMPORTRANGE(""https://docs.google.com/spreadsheets/d/14Bd19lYaqBhU8_DElYkX7l4wRkHqqCUFNJY4AfY3kHU/edit?usp=sharing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4" s="7" t="s">
        <v>29</v>
      </c>
    </row>
    <row r="8945" spans="1:10" ht="13.2">
      <c r="A8945" s="7">
        <v>8944</v>
      </c>
      <c r="B8945" s="7">
        <v>1</v>
      </c>
      <c r="C8945" s="7" t="s">
        <v>10</v>
      </c>
      <c r="D8945" s="7">
        <v>10838</v>
      </c>
      <c r="E8945" s="7" t="s">
        <v>28</v>
      </c>
      <c r="F8945" s="8" t="str">
        <f ca="1">IFERROR(__xludf.DUMMYFUNCTION("IF
(
C8946=""фізична особа""
,
VLOOKUP(D8946,IMPORTRANGE(""https://docs.google.com/spreadsheets/d/14Bd19lYaqBhU8_DElYkX7l4wRkHqqCUFNJY4AfY3kHU/edit?usp=sharing  #gid=0"",""фіз особи new!relations_name""),6,FALSE)
,
(IF
(
C8946=""юридична особа""
,
VLOOKUP"&amp;"(D8946,IMPORTRANGE(""https://docs.google.com/spreadsheets/d/14Bd19lYaqBhU8_DElYkX7l4wRkHqqCUFNJY4AfY3kHU/edit?usp=sharing  #gid=0"",""фіз особи new!relations_name_uo""),7,FALSE)
,
)
))"),"КАЛАШНИК Максим Володимирович")</f>
        <v>КАЛАШНИК Максим Володимирович</v>
      </c>
      <c r="G8945" s="7" t="s">
        <v>10</v>
      </c>
      <c r="H8945" s="7">
        <v>2974</v>
      </c>
      <c r="I8945" s="8" t="str">
        <f ca="1">IFERROR(__xludf.DUMMYFUNCTION("IF
(
G8946=""фізична особа""
,
VLOOKUP(H8946,IMPORTRANGE(""https://docs.google.com/spreadsheets/d/14Bd19lYaqBhU8_DElYkX7l4wRkHqqCUFNJY4AfY3kHU/edit?usp=sharing  #gid=0"",""фіз особи new!relations_name""),6,FALSE)
,
(IF
(
G8946=""юридична особа""
,
VLOOKUP"&amp;"(H8946,IMPORTRANGE(""https://docs.google.com/spreadsheets/d/14Bd19lYaqBhU8_DElYkX7l4wRkHqqCUFNJY4AfY3kHU/edit?usp=sharing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5" s="7" t="s">
        <v>29</v>
      </c>
    </row>
    <row r="8946" spans="1:10" ht="13.2">
      <c r="A8946" s="7">
        <v>8945</v>
      </c>
      <c r="B8946" s="7">
        <v>1</v>
      </c>
      <c r="C8946" s="7" t="s">
        <v>10</v>
      </c>
      <c r="D8946" s="7">
        <v>10839</v>
      </c>
      <c r="E8946" s="7" t="s">
        <v>28</v>
      </c>
      <c r="F8946" s="8" t="str">
        <f ca="1">IFERROR(__xludf.DUMMYFUNCTION("IF
(
C8947=""фізична особа""
,
VLOOKUP(D8947,IMPORTRANGE(""https://docs.google.com/spreadsheets/d/14Bd19lYaqBhU8_DElYkX7l4wRkHqqCUFNJY4AfY3kHU/edit?usp=sharing  #gid=0"",""фіз особи new!relations_name""),6,FALSE)
,
(IF
(
C8947=""юридична особа""
,
VLOOKUP"&amp;"(D8947,IMPORTRANGE(""https://docs.google.com/spreadsheets/d/14Bd19lYaqBhU8_DElYkX7l4wRkHqqCUFNJY4AfY3kHU/edit?usp=sharing  #gid=0"",""фіз особи new!relations_name_uo""),7,FALSE)
,
)
))"),"ПРОКАЄВА Олена Борисівна")</f>
        <v>ПРОКАЄВА Олена Борисівна</v>
      </c>
      <c r="G8946" s="7" t="s">
        <v>10</v>
      </c>
      <c r="H8946" s="7">
        <v>2974</v>
      </c>
      <c r="I8946" s="8" t="str">
        <f ca="1">IFERROR(__xludf.DUMMYFUNCTION("IF
(
G8947=""фізична особа""
,
VLOOKUP(H8947,IMPORTRANGE(""https://docs.google.com/spreadsheets/d/14Bd19lYaqBhU8_DElYkX7l4wRkHqqCUFNJY4AfY3kHU/edit?usp=sharing  #gid=0"",""фіз особи new!relations_name""),6,FALSE)
,
(IF
(
G8947=""юридична особа""
,
VLOOKUP"&amp;"(H8947,IMPORTRANGE(""https://docs.google.com/spreadsheets/d/14Bd19lYaqBhU8_DElYkX7l4wRkHqqCUFNJY4AfY3kHU/edit?usp=sharing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6" s="7" t="s">
        <v>29</v>
      </c>
    </row>
    <row r="8947" spans="1:10" ht="13.2">
      <c r="A8947" s="7">
        <v>8946</v>
      </c>
      <c r="B8947" s="7">
        <v>1</v>
      </c>
      <c r="C8947" s="7" t="s">
        <v>10</v>
      </c>
      <c r="D8947" s="7">
        <v>10840</v>
      </c>
      <c r="E8947" s="7" t="s">
        <v>28</v>
      </c>
      <c r="F8947" s="8" t="str">
        <f ca="1">IFERROR(__xludf.DUMMYFUNCTION("IF
(
C8948=""фізична особа""
,
VLOOKUP(D8948,IMPORTRANGE(""https://docs.google.com/spreadsheets/d/14Bd19lYaqBhU8_DElYkX7l4wRkHqqCUFNJY4AfY3kHU/edit?usp=sharing  #gid=0"",""фіз особи new!relations_name""),6,FALSE)
,
(IF
(
C8948=""юридична особа""
,
VLOOKUP"&amp;"(D8948,IMPORTRANGE(""https://docs.google.com/spreadsheets/d/14Bd19lYaqBhU8_DElYkX7l4wRkHqqCUFNJY4AfY3kHU/edit?usp=sharing  #gid=0"",""фіз особи new!relations_name_uo""),7,FALSE)
,
)
))"),"РЕВА Олександр Іванович")</f>
        <v>РЕВА Олександр Іванович</v>
      </c>
      <c r="G8947" s="7" t="s">
        <v>10</v>
      </c>
      <c r="H8947" s="7">
        <v>2974</v>
      </c>
      <c r="I8947" s="8" t="str">
        <f ca="1">IFERROR(__xludf.DUMMYFUNCTION("IF
(
G8948=""фізична особа""
,
VLOOKUP(H8948,IMPORTRANGE(""https://docs.google.com/spreadsheets/d/14Bd19lYaqBhU8_DElYkX7l4wRkHqqCUFNJY4AfY3kHU/edit?usp=sharing  #gid=0"",""фіз особи new!relations_name""),6,FALSE)
,
(IF
(
G8948=""юридична особа""
,
VLOOKUP"&amp;"(H8948,IMPORTRANGE(""https://docs.google.com/spreadsheets/d/14Bd19lYaqBhU8_DElYkX7l4wRkHqqCUFNJY4AfY3kHU/edit?usp=sharing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7" s="7" t="s">
        <v>29</v>
      </c>
    </row>
    <row r="8948" spans="1:10" ht="13.2">
      <c r="A8948" s="7">
        <v>8947</v>
      </c>
      <c r="B8948" s="7">
        <v>1</v>
      </c>
      <c r="C8948" s="7" t="s">
        <v>10</v>
      </c>
      <c r="D8948" s="7">
        <v>10841</v>
      </c>
      <c r="E8948" s="7" t="s">
        <v>28</v>
      </c>
      <c r="F8948" s="8" t="str">
        <f ca="1">IFERROR(__xludf.DUMMYFUNCTION("IF
(
C8949=""фізична особа""
,
VLOOKUP(D8949,IMPORTRANGE(""https://docs.google.com/spreadsheets/d/14Bd19lYaqBhU8_DElYkX7l4wRkHqqCUFNJY4AfY3kHU/edit?usp=sharing  #gid=0"",""фіз особи new!relations_name""),6,FALSE)
,
(IF
(
C8949=""юридична особа""
,
VLOOKUP"&amp;"(D8949,IMPORTRANGE(""https://docs.google.com/spreadsheets/d/14Bd19lYaqBhU8_DElYkX7l4wRkHqqCUFNJY4AfY3kHU/edit?usp=sharing  #gid=0"",""фіз особи new!relations_name_uo""),7,FALSE)
,
)
))"),"САЛЬКОВА Наталія Володимирівна")</f>
        <v>САЛЬКОВА Наталія Володимирівна</v>
      </c>
      <c r="G8948" s="7" t="s">
        <v>10</v>
      </c>
      <c r="H8948" s="7">
        <v>2974</v>
      </c>
      <c r="I8948" s="8" t="str">
        <f ca="1">IFERROR(__xludf.DUMMYFUNCTION("IF
(
G8949=""фізична особа""
,
VLOOKUP(H8949,IMPORTRANGE(""https://docs.google.com/spreadsheets/d/14Bd19lYaqBhU8_DElYkX7l4wRkHqqCUFNJY4AfY3kHU/edit?usp=sharing  #gid=0"",""фіз особи new!relations_name""),6,FALSE)
,
(IF
(
G8949=""юридична особа""
,
VLOOKUP"&amp;"(H8949,IMPORTRANGE(""https://docs.google.com/spreadsheets/d/14Bd19lYaqBhU8_DElYkX7l4wRkHqqCUFNJY4AfY3kHU/edit?usp=sharing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8" s="7" t="s">
        <v>29</v>
      </c>
    </row>
    <row r="8949" spans="1:10" ht="13.2">
      <c r="A8949" s="7">
        <v>8948</v>
      </c>
      <c r="B8949" s="7">
        <v>1</v>
      </c>
      <c r="C8949" s="7" t="s">
        <v>10</v>
      </c>
      <c r="D8949" s="7">
        <v>10842</v>
      </c>
      <c r="E8949" s="7" t="s">
        <v>28</v>
      </c>
      <c r="F8949" s="8" t="str">
        <f ca="1">IFERROR(__xludf.DUMMYFUNCTION("IF
(
C8950=""фізична особа""
,
VLOOKUP(D8950,IMPORTRANGE(""https://docs.google.com/spreadsheets/d/14Bd19lYaqBhU8_DElYkX7l4wRkHqqCUFNJY4AfY3kHU/edit?usp=sharing  #gid=0"",""фіз особи new!relations_name""),6,FALSE)
,
(IF
(
C8950=""юридична особа""
,
VLOOKUP"&amp;"(D8950,IMPORTRANGE(""https://docs.google.com/spreadsheets/d/14Bd19lYaqBhU8_DElYkX7l4wRkHqqCUFNJY4AfY3kHU/edit?usp=sharing  #gid=0"",""фіз особи new!relations_name_uo""),7,FALSE)
,
)
))"),"СИНИЧКІН Сергій Львович")</f>
        <v>СИНИЧКІН Сергій Львович</v>
      </c>
      <c r="G8949" s="7" t="s">
        <v>10</v>
      </c>
      <c r="H8949" s="7">
        <v>2974</v>
      </c>
      <c r="I8949" s="8" t="str">
        <f ca="1">IFERROR(__xludf.DUMMYFUNCTION("IF
(
G8950=""фізична особа""
,
VLOOKUP(H8950,IMPORTRANGE(""https://docs.google.com/spreadsheets/d/14Bd19lYaqBhU8_DElYkX7l4wRkHqqCUFNJY4AfY3kHU/edit?usp=sharing  #gid=0"",""фіз особи new!relations_name""),6,FALSE)
,
(IF
(
G8950=""юридична особа""
,
VLOOKUP"&amp;"(H8950,IMPORTRANGE(""https://docs.google.com/spreadsheets/d/14Bd19lYaqBhU8_DElYkX7l4wRkHqqCUFNJY4AfY3kHU/edit?usp=sharing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49" s="7" t="s">
        <v>29</v>
      </c>
    </row>
    <row r="8950" spans="1:10" ht="13.2">
      <c r="A8950" s="7">
        <v>8949</v>
      </c>
      <c r="B8950" s="7">
        <v>1</v>
      </c>
      <c r="C8950" s="7" t="s">
        <v>10</v>
      </c>
      <c r="D8950" s="7">
        <v>10843</v>
      </c>
      <c r="E8950" s="7" t="s">
        <v>28</v>
      </c>
      <c r="F8950" s="8" t="str">
        <f ca="1">IFERROR(__xludf.DUMMYFUNCTION("IF
(
C8951=""фізична особа""
,
VLOOKUP(D8951,IMPORTRANGE(""https://docs.google.com/spreadsheets/d/14Bd19lYaqBhU8_DElYkX7l4wRkHqqCUFNJY4AfY3kHU/edit?usp=sharing  #gid=0"",""фіз особи new!relations_name""),6,FALSE)
,
(IF
(
C8951=""юридична особа""
,
VLOOKUP"&amp;"(D8951,IMPORTRANGE(""https://docs.google.com/spreadsheets/d/14Bd19lYaqBhU8_DElYkX7l4wRkHqqCUFNJY4AfY3kHU/edit?usp=sharing  #gid=0"",""фіз особи new!relations_name_uo""),7,FALSE)
,
)
))"),"ЛИПСЬКА Сніжанна Борисівна")</f>
        <v>ЛИПСЬКА Сніжанна Борисівна</v>
      </c>
      <c r="G8950" s="7" t="s">
        <v>10</v>
      </c>
      <c r="H8950" s="7">
        <v>2974</v>
      </c>
      <c r="I8950" s="8" t="str">
        <f ca="1">IFERROR(__xludf.DUMMYFUNCTION("IF
(
G8951=""фізична особа""
,
VLOOKUP(H8951,IMPORTRANGE(""https://docs.google.com/spreadsheets/d/14Bd19lYaqBhU8_DElYkX7l4wRkHqqCUFNJY4AfY3kHU/edit?usp=sharing  #gid=0"",""фіз особи new!relations_name""),6,FALSE)
,
(IF
(
G8951=""юридична особа""
,
VLOOKUP"&amp;"(H8951,IMPORTRANGE(""https://docs.google.com/spreadsheets/d/14Bd19lYaqBhU8_DElYkX7l4wRkHqqCUFNJY4AfY3kHU/edit?usp=sharing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0" s="7" t="s">
        <v>29</v>
      </c>
    </row>
    <row r="8951" spans="1:10" ht="13.2">
      <c r="A8951" s="7">
        <v>8950</v>
      </c>
      <c r="B8951" s="7">
        <v>1</v>
      </c>
      <c r="C8951" s="7" t="s">
        <v>10</v>
      </c>
      <c r="D8951" s="7">
        <v>10844</v>
      </c>
      <c r="E8951" s="7" t="s">
        <v>28</v>
      </c>
      <c r="F8951" s="8" t="str">
        <f ca="1">IFERROR(__xludf.DUMMYFUNCTION("IF
(
C8952=""фізична особа""
,
VLOOKUP(D8952,IMPORTRANGE(""https://docs.google.com/spreadsheets/d/14Bd19lYaqBhU8_DElYkX7l4wRkHqqCUFNJY4AfY3kHU/edit?usp=sharing  #gid=0"",""фіз особи new!relations_name""),6,FALSE)
,
(IF
(
C8952=""юридична особа""
,
VLOOKUP"&amp;"(D8952,IMPORTRANGE(""https://docs.google.com/spreadsheets/d/14Bd19lYaqBhU8_DElYkX7l4wRkHqqCUFNJY4AfY3kHU/edit?usp=sharing  #gid=0"",""фіз особи new!relations_name_uo""),7,FALSE)
,
)
))"),"САПРОНОВ Георгій Михайлович")</f>
        <v>САПРОНОВ Георгій Михайлович</v>
      </c>
      <c r="G8951" s="7" t="s">
        <v>10</v>
      </c>
      <c r="H8951" s="7">
        <v>2974</v>
      </c>
      <c r="I8951" s="8" t="str">
        <f ca="1">IFERROR(__xludf.DUMMYFUNCTION("IF
(
G8952=""фізична особа""
,
VLOOKUP(H8952,IMPORTRANGE(""https://docs.google.com/spreadsheets/d/14Bd19lYaqBhU8_DElYkX7l4wRkHqqCUFNJY4AfY3kHU/edit?usp=sharing  #gid=0"",""фіз особи new!relations_name""),6,FALSE)
,
(IF
(
G8952=""юридична особа""
,
VLOOKUP"&amp;"(H8952,IMPORTRANGE(""https://docs.google.com/spreadsheets/d/14Bd19lYaqBhU8_DElYkX7l4wRkHqqCUFNJY4AfY3kHU/edit?usp=sharing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1" s="7" t="s">
        <v>29</v>
      </c>
    </row>
    <row r="8952" spans="1:10" ht="13.2">
      <c r="A8952" s="7">
        <v>8951</v>
      </c>
      <c r="B8952" s="7">
        <v>1</v>
      </c>
      <c r="C8952" s="7" t="s">
        <v>10</v>
      </c>
      <c r="D8952" s="7">
        <v>10845</v>
      </c>
      <c r="E8952" s="7" t="s">
        <v>28</v>
      </c>
      <c r="F8952" s="8" t="str">
        <f ca="1">IFERROR(__xludf.DUMMYFUNCTION("IF
(
C8953=""фізична особа""
,
VLOOKUP(D8953,IMPORTRANGE(""https://docs.google.com/spreadsheets/d/14Bd19lYaqBhU8_DElYkX7l4wRkHqqCUFNJY4AfY3kHU/edit?usp=sharing  #gid=0"",""фіз особи new!relations_name""),6,FALSE)
,
(IF
(
C8953=""юридична особа""
,
VLOOKUP"&amp;"(D8953,IMPORTRANGE(""https://docs.google.com/spreadsheets/d/14Bd19lYaqBhU8_DElYkX7l4wRkHqqCUFNJY4AfY3kHU/edit?usp=sharing  #gid=0"",""фіз особи new!relations_name_uo""),7,FALSE)
,
)
))"),"ДАВИДОВА Ірина Миколаївна")</f>
        <v>ДАВИДОВА Ірина Миколаївна</v>
      </c>
      <c r="G8952" s="7" t="s">
        <v>10</v>
      </c>
      <c r="H8952" s="7">
        <v>2974</v>
      </c>
      <c r="I8952" s="8" t="str">
        <f ca="1">IFERROR(__xludf.DUMMYFUNCTION("IF
(
G8953=""фізична особа""
,
VLOOKUP(H8953,IMPORTRANGE(""https://docs.google.com/spreadsheets/d/14Bd19lYaqBhU8_DElYkX7l4wRkHqqCUFNJY4AfY3kHU/edit?usp=sharing  #gid=0"",""фіз особи new!relations_name""),6,FALSE)
,
(IF
(
G8953=""юридична особа""
,
VLOOKUP"&amp;"(H8953,IMPORTRANGE(""https://docs.google.com/spreadsheets/d/14Bd19lYaqBhU8_DElYkX7l4wRkHqqCUFNJY4AfY3kHU/edit?usp=sharing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2" s="7" t="s">
        <v>29</v>
      </c>
    </row>
    <row r="8953" spans="1:10" ht="13.2">
      <c r="A8953" s="7">
        <v>8952</v>
      </c>
      <c r="B8953" s="7">
        <v>1</v>
      </c>
      <c r="C8953" s="7" t="s">
        <v>10</v>
      </c>
      <c r="D8953" s="7">
        <v>10846</v>
      </c>
      <c r="E8953" s="7" t="s">
        <v>28</v>
      </c>
      <c r="F8953" s="8" t="str">
        <f ca="1">IFERROR(__xludf.DUMMYFUNCTION("IF
(
C8954=""фізична особа""
,
VLOOKUP(D8954,IMPORTRANGE(""https://docs.google.com/spreadsheets/d/14Bd19lYaqBhU8_DElYkX7l4wRkHqqCUFNJY4AfY3kHU/edit?usp=sharing  #gid=0"",""фіз особи new!relations_name""),6,FALSE)
,
(IF
(
C8954=""юридична особа""
,
VLOOKUP"&amp;"(D8954,IMPORTRANGE(""https://docs.google.com/spreadsheets/d/14Bd19lYaqBhU8_DElYkX7l4wRkHqqCUFNJY4AfY3kHU/edit?usp=sharing  #gid=0"",""фіз особи new!relations_name_uo""),7,FALSE)
,
)
))"),"ХУТОРЕНКО Павло Григорович")</f>
        <v>ХУТОРЕНКО Павло Григорович</v>
      </c>
      <c r="G8953" s="7" t="s">
        <v>10</v>
      </c>
      <c r="H8953" s="7">
        <v>2974</v>
      </c>
      <c r="I8953" s="8" t="str">
        <f ca="1">IFERROR(__xludf.DUMMYFUNCTION("IF
(
G8954=""фізична особа""
,
VLOOKUP(H8954,IMPORTRANGE(""https://docs.google.com/spreadsheets/d/14Bd19lYaqBhU8_DElYkX7l4wRkHqqCUFNJY4AfY3kHU/edit?usp=sharing  #gid=0"",""фіз особи new!relations_name""),6,FALSE)
,
(IF
(
G8954=""юридична особа""
,
VLOOKUP"&amp;"(H8954,IMPORTRANGE(""https://docs.google.com/spreadsheets/d/14Bd19lYaqBhU8_DElYkX7l4wRkHqqCUFNJY4AfY3kHU/edit?usp=sharing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3" s="7" t="s">
        <v>29</v>
      </c>
    </row>
    <row r="8954" spans="1:10" ht="13.2">
      <c r="A8954" s="7">
        <v>8953</v>
      </c>
      <c r="B8954" s="7">
        <v>1</v>
      </c>
      <c r="C8954" s="7" t="s">
        <v>10</v>
      </c>
      <c r="D8954" s="7">
        <v>10847</v>
      </c>
      <c r="E8954" s="7" t="s">
        <v>28</v>
      </c>
      <c r="F8954" s="8" t="str">
        <f ca="1">IFERROR(__xludf.DUMMYFUNCTION("IF
(
C8955=""фізична особа""
,
VLOOKUP(D8955,IMPORTRANGE(""https://docs.google.com/spreadsheets/d/14Bd19lYaqBhU8_DElYkX7l4wRkHqqCUFNJY4AfY3kHU/edit?usp=sharing  #gid=0"",""фіз особи new!relations_name""),6,FALSE)
,
(IF
(
C8955=""юридична особа""
,
VLOOKUP"&amp;"(D8955,IMPORTRANGE(""https://docs.google.com/spreadsheets/d/14Bd19lYaqBhU8_DElYkX7l4wRkHqqCUFNJY4AfY3kHU/edit?usp=sharing  #gid=0"",""фіз особи new!relations_name_uo""),7,FALSE)
,
)
))"),"КОЛОСКОВ Ігор Іванович")</f>
        <v>КОЛОСКОВ Ігор Іванович</v>
      </c>
      <c r="G8954" s="7" t="s">
        <v>10</v>
      </c>
      <c r="H8954" s="7">
        <v>2974</v>
      </c>
      <c r="I8954" s="8" t="str">
        <f ca="1">IFERROR(__xludf.DUMMYFUNCTION("IF
(
G8955=""фізична особа""
,
VLOOKUP(H8955,IMPORTRANGE(""https://docs.google.com/spreadsheets/d/14Bd19lYaqBhU8_DElYkX7l4wRkHqqCUFNJY4AfY3kHU/edit?usp=sharing  #gid=0"",""фіз особи new!relations_name""),6,FALSE)
,
(IF
(
G8955=""юридична особа""
,
VLOOKUP"&amp;"(H8955,IMPORTRANGE(""https://docs.google.com/spreadsheets/d/14Bd19lYaqBhU8_DElYkX7l4wRkHqqCUFNJY4AfY3kHU/edit?usp=sharing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4" s="7" t="s">
        <v>29</v>
      </c>
    </row>
    <row r="8955" spans="1:10" ht="13.2">
      <c r="A8955" s="7">
        <v>8954</v>
      </c>
      <c r="B8955" s="7">
        <v>1</v>
      </c>
      <c r="C8955" s="7" t="s">
        <v>10</v>
      </c>
      <c r="D8955" s="7">
        <v>10848</v>
      </c>
      <c r="E8955" s="7" t="s">
        <v>28</v>
      </c>
      <c r="F8955" s="8" t="str">
        <f ca="1">IFERROR(__xludf.DUMMYFUNCTION("IF
(
C8956=""фізична особа""
,
VLOOKUP(D8956,IMPORTRANGE(""https://docs.google.com/spreadsheets/d/14Bd19lYaqBhU8_DElYkX7l4wRkHqqCUFNJY4AfY3kHU/edit?usp=sharing  #gid=0"",""фіз особи new!relations_name""),6,FALSE)
,
(IF
(
C8956=""юридична особа""
,
VLOOKUP"&amp;"(D8956,IMPORTRANGE(""https://docs.google.com/spreadsheets/d/14Bd19lYaqBhU8_DElYkX7l4wRkHqqCUFNJY4AfY3kHU/edit?usp=sharing  #gid=0"",""фіз особи new!relations_name_uo""),7,FALSE)
,
)
))"),"МУЛОВ Володимир Миколайович")</f>
        <v>МУЛОВ Володимир Миколайович</v>
      </c>
      <c r="G8955" s="7" t="s">
        <v>10</v>
      </c>
      <c r="H8955" s="7">
        <v>2974</v>
      </c>
      <c r="I8955" s="8" t="str">
        <f ca="1">IFERROR(__xludf.DUMMYFUNCTION("IF
(
G8956=""фізична особа""
,
VLOOKUP(H8956,IMPORTRANGE(""https://docs.google.com/spreadsheets/d/14Bd19lYaqBhU8_DElYkX7l4wRkHqqCUFNJY4AfY3kHU/edit?usp=sharing  #gid=0"",""фіз особи new!relations_name""),6,FALSE)
,
(IF
(
G8956=""юридична особа""
,
VLOOKUP"&amp;"(H8956,IMPORTRANGE(""https://docs.google.com/spreadsheets/d/14Bd19lYaqBhU8_DElYkX7l4wRkHqqCUFNJY4AfY3kHU/edit?usp=sharing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5" s="7" t="s">
        <v>29</v>
      </c>
    </row>
    <row r="8956" spans="1:10" ht="13.2">
      <c r="A8956" s="7">
        <v>8955</v>
      </c>
      <c r="B8956" s="7">
        <v>1</v>
      </c>
      <c r="C8956" s="7" t="s">
        <v>10</v>
      </c>
      <c r="D8956" s="7">
        <v>10849</v>
      </c>
      <c r="E8956" s="7" t="s">
        <v>28</v>
      </c>
      <c r="F8956" s="8" t="str">
        <f ca="1">IFERROR(__xludf.DUMMYFUNCTION("IF
(
C8957=""фізична особа""
,
VLOOKUP(D8957,IMPORTRANGE(""https://docs.google.com/spreadsheets/d/14Bd19lYaqBhU8_DElYkX7l4wRkHqqCUFNJY4AfY3kHU/edit?usp=sharing  #gid=0"",""фіз особи new!relations_name""),6,FALSE)
,
(IF
(
C8957=""юридична особа""
,
VLOOKUP"&amp;"(D8957,IMPORTRANGE(""https://docs.google.com/spreadsheets/d/14Bd19lYaqBhU8_DElYkX7l4wRkHqqCUFNJY4AfY3kHU/edit?usp=sharing  #gid=0"",""фіз особи new!relations_name_uo""),7,FALSE)
,
)
))"),"КРАВЧЕНКО Анатолій Васильович")</f>
        <v>КРАВЧЕНКО Анатолій Васильович</v>
      </c>
      <c r="G8956" s="7" t="s">
        <v>10</v>
      </c>
      <c r="H8956" s="7">
        <v>2974</v>
      </c>
      <c r="I8956" s="8" t="str">
        <f ca="1">IFERROR(__xludf.DUMMYFUNCTION("IF
(
G8957=""фізична особа""
,
VLOOKUP(H8957,IMPORTRANGE(""https://docs.google.com/spreadsheets/d/14Bd19lYaqBhU8_DElYkX7l4wRkHqqCUFNJY4AfY3kHU/edit?usp=sharing  #gid=0"",""фіз особи new!relations_name""),6,FALSE)
,
(IF
(
G8957=""юридична особа""
,
VLOOKUP"&amp;"(H8957,IMPORTRANGE(""https://docs.google.com/spreadsheets/d/14Bd19lYaqBhU8_DElYkX7l4wRkHqqCUFNJY4AfY3kHU/edit?usp=sharing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8956" s="7" t="s">
        <v>29</v>
      </c>
    </row>
    <row r="8957" spans="1:10" ht="13.2">
      <c r="A8957" s="7">
        <v>8956</v>
      </c>
      <c r="B8957" s="7">
        <v>1</v>
      </c>
      <c r="C8957" s="7" t="s">
        <v>10</v>
      </c>
      <c r="D8957" s="7">
        <v>10850</v>
      </c>
      <c r="E8957" s="7" t="s">
        <v>28</v>
      </c>
      <c r="F8957" s="8" t="str">
        <f ca="1">IFERROR(__xludf.DUMMYFUNCTION("IF
(
C8958=""фізична особа""
,
VLOOKUP(D8958,IMPORTRANGE(""https://docs.google.com/spreadsheets/d/14Bd19lYaqBhU8_DElYkX7l4wRkHqqCUFNJY4AfY3kHU/edit?usp=sharing  #gid=0"",""фіз особи new!relations_name""),6,FALSE)
,
(IF
(
C8958=""юридична особа""
,
VLOOKUP"&amp;"(D8958,IMPORTRANGE(""https://docs.google.com/spreadsheets/d/14Bd19lYaqBhU8_DElYkX7l4wRkHqqCUFNJY4AfY3kHU/edit?usp=sharing  #gid=0"",""фіз особи new!relations_name_uo""),7,FALSE)
,
)
))"),"САФОНОВ Андрій Георгійович")</f>
        <v>САФОНОВ Андрій Георгійович</v>
      </c>
      <c r="G8957" s="7" t="s">
        <v>10</v>
      </c>
      <c r="H8957" s="7">
        <v>22386</v>
      </c>
      <c r="I8957" s="8" t="str">
        <f ca="1">IFERROR(__xludf.DUMMYFUNCTION("IF
(
G8958=""фізична особа""
,
VLOOKUP(H8958,IMPORTRANGE(""https://docs.google.com/spreadsheets/d/14Bd19lYaqBhU8_DElYkX7l4wRkHqqCUFNJY4AfY3kHU/edit?usp=sharing  #gid=0"",""фіз особи new!relations_name""),6,FALSE)
,
(IF
(
G8958=""юридична особа""
,
VLOOKUP"&amp;"(H8958,IMPORTRANGE(""https://docs.google.com/spreadsheets/d/14Bd19lYaqBhU8_DElYkX7l4wRkHqqCUFNJY4AfY3kHU/edit?usp=sharing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57" s="7" t="s">
        <v>29</v>
      </c>
    </row>
    <row r="8958" spans="1:10" ht="13.2">
      <c r="A8958" s="7">
        <v>8957</v>
      </c>
      <c r="B8958" s="7">
        <v>1</v>
      </c>
      <c r="C8958" s="7" t="s">
        <v>10</v>
      </c>
      <c r="D8958" s="7">
        <v>10851</v>
      </c>
      <c r="E8958" s="7" t="s">
        <v>28</v>
      </c>
      <c r="F8958" s="8" t="str">
        <f ca="1">IFERROR(__xludf.DUMMYFUNCTION("IF
(
C8959=""фізична особа""
,
VLOOKUP(D8959,IMPORTRANGE(""https://docs.google.com/spreadsheets/d/14Bd19lYaqBhU8_DElYkX7l4wRkHqqCUFNJY4AfY3kHU/edit?usp=sharing  #gid=0"",""фіз особи new!relations_name""),6,FALSE)
,
(IF
(
C8959=""юридична особа""
,
VLOOKUP"&amp;"(D8959,IMPORTRANGE(""https://docs.google.com/spreadsheets/d/14Bd19lYaqBhU8_DElYkX7l4wRkHqqCUFNJY4AfY3kHU/edit?usp=sharing  #gid=0"",""фіз особи new!relations_name_uo""),7,FALSE)
,
)
))"),"ПЕРЕХВАТОВА Олександра Вікторівна")</f>
        <v>ПЕРЕХВАТОВА Олександра Вікторівна</v>
      </c>
      <c r="G8958" s="7" t="s">
        <v>10</v>
      </c>
      <c r="H8958" s="7">
        <v>22386</v>
      </c>
      <c r="I8958" s="8" t="str">
        <f ca="1">IFERROR(__xludf.DUMMYFUNCTION("IF
(
G8959=""фізична особа""
,
VLOOKUP(H8959,IMPORTRANGE(""https://docs.google.com/spreadsheets/d/14Bd19lYaqBhU8_DElYkX7l4wRkHqqCUFNJY4AfY3kHU/edit?usp=sharing  #gid=0"",""фіз особи new!relations_name""),6,FALSE)
,
(IF
(
G8959=""юридична особа""
,
VLOOKUP"&amp;"(H8959,IMPORTRANGE(""https://docs.google.com/spreadsheets/d/14Bd19lYaqBhU8_DElYkX7l4wRkHqqCUFNJY4AfY3kHU/edit?usp=sharing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58" s="7" t="s">
        <v>29</v>
      </c>
    </row>
    <row r="8959" spans="1:10" ht="13.2">
      <c r="A8959" s="7">
        <v>8958</v>
      </c>
      <c r="B8959" s="7">
        <v>1</v>
      </c>
      <c r="C8959" s="7" t="s">
        <v>10</v>
      </c>
      <c r="D8959" s="7">
        <v>10852</v>
      </c>
      <c r="E8959" s="7" t="s">
        <v>28</v>
      </c>
      <c r="F8959" s="8" t="str">
        <f ca="1">IFERROR(__xludf.DUMMYFUNCTION("IF
(
C8960=""фізична особа""
,
VLOOKUP(D8960,IMPORTRANGE(""https://docs.google.com/spreadsheets/d/14Bd19lYaqBhU8_DElYkX7l4wRkHqqCUFNJY4AfY3kHU/edit?usp=sharing  #gid=0"",""фіз особи new!relations_name""),6,FALSE)
,
(IF
(
C8960=""юридична особа""
,
VLOOKUP"&amp;"(D8960,IMPORTRANGE(""https://docs.google.com/spreadsheets/d/14Bd19lYaqBhU8_DElYkX7l4wRkHqqCUFNJY4AfY3kHU/edit?usp=sharing  #gid=0"",""фіз особи new!relations_name_uo""),7,FALSE)
,
)
))"),"ФРОЛОВ Юрій Олександрович")</f>
        <v>ФРОЛОВ Юрій Олександрович</v>
      </c>
      <c r="G8959" s="7" t="s">
        <v>10</v>
      </c>
      <c r="H8959" s="7">
        <v>22386</v>
      </c>
      <c r="I8959" s="8" t="str">
        <f ca="1">IFERROR(__xludf.DUMMYFUNCTION("IF
(
G8960=""фізична особа""
,
VLOOKUP(H8960,IMPORTRANGE(""https://docs.google.com/spreadsheets/d/14Bd19lYaqBhU8_DElYkX7l4wRkHqqCUFNJY4AfY3kHU/edit?usp=sharing  #gid=0"",""фіз особи new!relations_name""),6,FALSE)
,
(IF
(
G8960=""юридична особа""
,
VLOOKUP"&amp;"(H8960,IMPORTRANGE(""https://docs.google.com/spreadsheets/d/14Bd19lYaqBhU8_DElYkX7l4wRkHqqCUFNJY4AfY3kHU/edit?usp=sharing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59" s="7" t="s">
        <v>29</v>
      </c>
    </row>
    <row r="8960" spans="1:10" ht="13.2">
      <c r="A8960" s="7">
        <v>8959</v>
      </c>
      <c r="B8960" s="7">
        <v>1</v>
      </c>
      <c r="C8960" s="7" t="s">
        <v>10</v>
      </c>
      <c r="D8960" s="7">
        <v>10853</v>
      </c>
      <c r="E8960" s="7" t="s">
        <v>28</v>
      </c>
      <c r="F8960" s="8" t="str">
        <f ca="1">IFERROR(__xludf.DUMMYFUNCTION("IF
(
C8961=""фізична особа""
,
VLOOKUP(D8961,IMPORTRANGE(""https://docs.google.com/spreadsheets/d/14Bd19lYaqBhU8_DElYkX7l4wRkHqqCUFNJY4AfY3kHU/edit?usp=sharing  #gid=0"",""фіз особи new!relations_name""),6,FALSE)
,
(IF
(
C8961=""юридична особа""
,
VLOOKUP"&amp;"(D8961,IMPORTRANGE(""https://docs.google.com/spreadsheets/d/14Bd19lYaqBhU8_DElYkX7l4wRkHqqCUFNJY4AfY3kHU/edit?usp=sharing  #gid=0"",""фіз особи new!relations_name_uo""),7,FALSE)
,
)
))"),"БІБАРСОВ Зуфяр Хамзінович")</f>
        <v>БІБАРСОВ Зуфяр Хамзінович</v>
      </c>
      <c r="G8960" s="7" t="s">
        <v>10</v>
      </c>
      <c r="H8960" s="7">
        <v>22386</v>
      </c>
      <c r="I8960" s="8" t="str">
        <f ca="1">IFERROR(__xludf.DUMMYFUNCTION("IF
(
G8961=""фізична особа""
,
VLOOKUP(H8961,IMPORTRANGE(""https://docs.google.com/spreadsheets/d/14Bd19lYaqBhU8_DElYkX7l4wRkHqqCUFNJY4AfY3kHU/edit?usp=sharing  #gid=0"",""фіз особи new!relations_name""),6,FALSE)
,
(IF
(
G8961=""юридична особа""
,
VLOOKUP"&amp;"(H8961,IMPORTRANGE(""https://docs.google.com/spreadsheets/d/14Bd19lYaqBhU8_DElYkX7l4wRkHqqCUFNJY4AfY3kHU/edit?usp=sharing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60" s="7" t="s">
        <v>29</v>
      </c>
    </row>
    <row r="8961" spans="1:10" ht="13.2">
      <c r="A8961" s="7">
        <v>8960</v>
      </c>
      <c r="B8961" s="7">
        <v>1</v>
      </c>
      <c r="C8961" s="7" t="s">
        <v>10</v>
      </c>
      <c r="D8961" s="7">
        <v>10854</v>
      </c>
      <c r="E8961" s="7" t="s">
        <v>28</v>
      </c>
      <c r="F8961" s="8" t="str">
        <f ca="1">IFERROR(__xludf.DUMMYFUNCTION("IF
(
C8962=""фізична особа""
,
VLOOKUP(D8962,IMPORTRANGE(""https://docs.google.com/spreadsheets/d/14Bd19lYaqBhU8_DElYkX7l4wRkHqqCUFNJY4AfY3kHU/edit?usp=sharing  #gid=0"",""фіз особи new!relations_name""),6,FALSE)
,
(IF
(
C8962=""юридична особа""
,
VLOOKUP"&amp;"(D8962,IMPORTRANGE(""https://docs.google.com/spreadsheets/d/14Bd19lYaqBhU8_DElYkX7l4wRkHqqCUFNJY4AfY3kHU/edit?usp=sharing  #gid=0"",""фіз особи new!relations_name_uo""),7,FALSE)
,
)
))"),"ШИЄНКОВ Олександр Олександрович")</f>
        <v>ШИЄНКОВ Олександр Олександрович</v>
      </c>
      <c r="G8961" s="7" t="s">
        <v>10</v>
      </c>
      <c r="H8961" s="7">
        <v>1697</v>
      </c>
      <c r="I8961" s="8" t="str">
        <f ca="1">IFERROR(__xludf.DUMMYFUNCTION("IF
(
G8962=""фізична особа""
,
VLOOKUP(H8962,IMPORTRANGE(""https://docs.google.com/spreadsheets/d/14Bd19lYaqBhU8_DElYkX7l4wRkHqqCUFNJY4AfY3kHU/edit?usp=sharing  #gid=0"",""фіз особи new!relations_name""),6,FALSE)
,
(IF
(
G8962=""юридична особа""
,
VLOOKUP"&amp;"(H8962,IMPORTRANGE(""https://docs.google.com/spreadsheets/d/14Bd19lYaqBhU8_DElYkX7l4wRkHqqCUFNJY4AfY3kHU/edit?usp=sharing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961" s="7" t="s">
        <v>29</v>
      </c>
    </row>
    <row r="8962" spans="1:10" ht="13.2">
      <c r="A8962" s="7">
        <v>8961</v>
      </c>
      <c r="B8962" s="7">
        <v>1</v>
      </c>
      <c r="C8962" s="7" t="s">
        <v>10</v>
      </c>
      <c r="D8962" s="7">
        <v>10855</v>
      </c>
      <c r="E8962" s="7" t="s">
        <v>28</v>
      </c>
      <c r="F8962" s="8" t="str">
        <f ca="1">IFERROR(__xludf.DUMMYFUNCTION("IF
(
C8963=""фізична особа""
,
VLOOKUP(D8963,IMPORTRANGE(""https://docs.google.com/spreadsheets/d/14Bd19lYaqBhU8_DElYkX7l4wRkHqqCUFNJY4AfY3kHU/edit?usp=sharing  #gid=0"",""фіз особи new!relations_name""),6,FALSE)
,
(IF
(
C8963=""юридична особа""
,
VLOOKUP"&amp;"(D8963,IMPORTRANGE(""https://docs.google.com/spreadsheets/d/14Bd19lYaqBhU8_DElYkX7l4wRkHqqCUFNJY4AfY3kHU/edit?usp=sharing  #gid=0"",""фіз особи new!relations_name_uo""),7,FALSE)
,
)
))"),"ГРИДНЄВ Олег Олексійович")</f>
        <v>ГРИДНЄВ Олег Олексійович</v>
      </c>
      <c r="G8962" s="7" t="s">
        <v>10</v>
      </c>
      <c r="H8962" s="7">
        <v>1697</v>
      </c>
      <c r="I8962" s="8" t="str">
        <f ca="1">IFERROR(__xludf.DUMMYFUNCTION("IF
(
G8963=""фізична особа""
,
VLOOKUP(H8963,IMPORTRANGE(""https://docs.google.com/spreadsheets/d/14Bd19lYaqBhU8_DElYkX7l4wRkHqqCUFNJY4AfY3kHU/edit?usp=sharing  #gid=0"",""фіз особи new!relations_name""),6,FALSE)
,
(IF
(
G8963=""юридична особа""
,
VLOOKUP"&amp;"(H8963,IMPORTRANGE(""https://docs.google.com/spreadsheets/d/14Bd19lYaqBhU8_DElYkX7l4wRkHqqCUFNJY4AfY3kHU/edit?usp=sharing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962" s="7" t="s">
        <v>29</v>
      </c>
    </row>
    <row r="8963" spans="1:10" ht="13.2">
      <c r="A8963" s="7">
        <v>8962</v>
      </c>
      <c r="B8963" s="7">
        <v>1</v>
      </c>
      <c r="C8963" s="7" t="s">
        <v>10</v>
      </c>
      <c r="D8963" s="7">
        <v>10856</v>
      </c>
      <c r="E8963" s="7" t="s">
        <v>28</v>
      </c>
      <c r="F8963" s="8" t="str">
        <f ca="1">IFERROR(__xludf.DUMMYFUNCTION("IF
(
C8964=""фізична особа""
,
VLOOKUP(D8964,IMPORTRANGE(""https://docs.google.com/spreadsheets/d/14Bd19lYaqBhU8_DElYkX7l4wRkHqqCUFNJY4AfY3kHU/edit?usp=sharing  #gid=0"",""фіз особи new!relations_name""),6,FALSE)
,
(IF
(
C8964=""юридична особа""
,
VLOOKUP"&amp;"(D8964,IMPORTRANGE(""https://docs.google.com/spreadsheets/d/14Bd19lYaqBhU8_DElYkX7l4wRkHqqCUFNJY4AfY3kHU/edit?usp=sharing  #gid=0"",""фіз особи new!relations_name_uo""),7,FALSE)
,
)
))"),"МОРЕЄВ Ігор Юрійович")</f>
        <v>МОРЕЄВ Ігор Юрійович</v>
      </c>
      <c r="G8963" s="7" t="s">
        <v>10</v>
      </c>
      <c r="H8963" s="7">
        <v>1697</v>
      </c>
      <c r="I8963" s="8" t="str">
        <f ca="1">IFERROR(__xludf.DUMMYFUNCTION("IF
(
G8964=""фізична особа""
,
VLOOKUP(H8964,IMPORTRANGE(""https://docs.google.com/spreadsheets/d/14Bd19lYaqBhU8_DElYkX7l4wRkHqqCUFNJY4AfY3kHU/edit?usp=sharing  #gid=0"",""фіз особи new!relations_name""),6,FALSE)
,
(IF
(
G8964=""юридична особа""
,
VLOOKUP"&amp;"(H8964,IMPORTRANGE(""https://docs.google.com/spreadsheets/d/14Bd19lYaqBhU8_DElYkX7l4wRkHqqCUFNJY4AfY3kHU/edit?usp=sharing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963" s="7" t="s">
        <v>29</v>
      </c>
    </row>
    <row r="8964" spans="1:10" ht="13.2">
      <c r="A8964" s="7">
        <v>8963</v>
      </c>
      <c r="B8964" s="7">
        <v>1</v>
      </c>
      <c r="C8964" s="7" t="s">
        <v>10</v>
      </c>
      <c r="D8964" s="7">
        <v>10857</v>
      </c>
      <c r="E8964" s="7" t="s">
        <v>28</v>
      </c>
      <c r="F8964" s="8" t="str">
        <f ca="1">IFERROR(__xludf.DUMMYFUNCTION("IF
(
C8965=""фізична особа""
,
VLOOKUP(D8965,IMPORTRANGE(""https://docs.google.com/spreadsheets/d/14Bd19lYaqBhU8_DElYkX7l4wRkHqqCUFNJY4AfY3kHU/edit?usp=sharing  #gid=0"",""фіз особи new!relations_name""),6,FALSE)
,
(IF
(
C8965=""юридична особа""
,
VLOOKUP"&amp;"(D8965,IMPORTRANGE(""https://docs.google.com/spreadsheets/d/14Bd19lYaqBhU8_DElYkX7l4wRkHqqCUFNJY4AfY3kHU/edit?usp=sharing  #gid=0"",""фіз особи new!relations_name_uo""),7,FALSE)
,
)
))"),"ГАЙДУКОВ Ігор Станіславович")</f>
        <v>ГАЙДУКОВ Ігор Станіславович</v>
      </c>
      <c r="G8964" s="7" t="s">
        <v>10</v>
      </c>
      <c r="H8964" s="7">
        <v>1697</v>
      </c>
      <c r="I8964" s="8" t="str">
        <f ca="1">IFERROR(__xludf.DUMMYFUNCTION("IF
(
G8965=""фізична особа""
,
VLOOKUP(H8965,IMPORTRANGE(""https://docs.google.com/spreadsheets/d/14Bd19lYaqBhU8_DElYkX7l4wRkHqqCUFNJY4AfY3kHU/edit?usp=sharing  #gid=0"",""фіз особи new!relations_name""),6,FALSE)
,
(IF
(
G8965=""юридична особа""
,
VLOOKUP"&amp;"(H8965,IMPORTRANGE(""https://docs.google.com/spreadsheets/d/14Bd19lYaqBhU8_DElYkX7l4wRkHqqCUFNJY4AfY3kHU/edit?usp=sharing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964" s="7" t="s">
        <v>29</v>
      </c>
    </row>
    <row r="8965" spans="1:10" ht="13.2">
      <c r="A8965" s="7">
        <v>8964</v>
      </c>
      <c r="B8965" s="7">
        <v>1</v>
      </c>
      <c r="C8965" s="7" t="s">
        <v>10</v>
      </c>
      <c r="D8965" s="7">
        <v>10858</v>
      </c>
      <c r="E8965" s="7" t="s">
        <v>28</v>
      </c>
      <c r="F8965" s="8" t="str">
        <f ca="1">IFERROR(__xludf.DUMMYFUNCTION("IF
(
C8966=""фізична особа""
,
VLOOKUP(D8966,IMPORTRANGE(""https://docs.google.com/spreadsheets/d/14Bd19lYaqBhU8_DElYkX7l4wRkHqqCUFNJY4AfY3kHU/edit?usp=sharing  #gid=0"",""фіз особи new!relations_name""),6,FALSE)
,
(IF
(
C8966=""юридична особа""
,
VLOOKUP"&amp;"(D8966,IMPORTRANGE(""https://docs.google.com/spreadsheets/d/14Bd19lYaqBhU8_DElYkX7l4wRkHqqCUFNJY4AfY3kHU/edit?usp=sharing  #gid=0"",""фіз особи new!relations_name_uo""),7,FALSE)
,
)
))"),"ОСТАНІНА Ірина Михайлівна")</f>
        <v>ОСТАНІНА Ірина Михайлівна</v>
      </c>
      <c r="G8965" s="7" t="s">
        <v>10</v>
      </c>
      <c r="H8965" s="7">
        <v>22386</v>
      </c>
      <c r="I8965" s="8" t="str">
        <f ca="1">IFERROR(__xludf.DUMMYFUNCTION("IF
(
G8966=""фізична особа""
,
VLOOKUP(H8966,IMPORTRANGE(""https://docs.google.com/spreadsheets/d/14Bd19lYaqBhU8_DElYkX7l4wRkHqqCUFNJY4AfY3kHU/edit?usp=sharing  #gid=0"",""фіз особи new!relations_name""),6,FALSE)
,
(IF
(
G8966=""юридична особа""
,
VLOOKUP"&amp;"(H8966,IMPORTRANGE(""https://docs.google.com/spreadsheets/d/14Bd19lYaqBhU8_DElYkX7l4wRkHqqCUFNJY4AfY3kHU/edit?usp=sharing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65" s="7" t="s">
        <v>29</v>
      </c>
    </row>
    <row r="8966" spans="1:10" ht="13.2">
      <c r="A8966" s="7">
        <v>8965</v>
      </c>
      <c r="B8966" s="7">
        <v>1</v>
      </c>
      <c r="C8966" s="7" t="s">
        <v>10</v>
      </c>
      <c r="D8966" s="7">
        <v>10859</v>
      </c>
      <c r="E8966" s="7" t="s">
        <v>28</v>
      </c>
      <c r="F8966" s="8" t="str">
        <f ca="1">IFERROR(__xludf.DUMMYFUNCTION("IF
(
C8967=""фізична особа""
,
VLOOKUP(D8967,IMPORTRANGE(""https://docs.google.com/spreadsheets/d/14Bd19lYaqBhU8_DElYkX7l4wRkHqqCUFNJY4AfY3kHU/edit?usp=sharing  #gid=0"",""фіз особи new!relations_name""),6,FALSE)
,
(IF
(
C8967=""юридична особа""
,
VLOOKUP"&amp;"(D8967,IMPORTRANGE(""https://docs.google.com/spreadsheets/d/14Bd19lYaqBhU8_DElYkX7l4wRkHqqCUFNJY4AfY3kHU/edit?usp=sharing  #gid=0"",""фіз особи new!relations_name_uo""),7,FALSE)
,
)
))"),"РАСТЯГАЄВА Галина Іванівна")</f>
        <v>РАСТЯГАЄВА Галина Іванівна</v>
      </c>
      <c r="G8966" s="7" t="s">
        <v>10</v>
      </c>
      <c r="H8966" s="7">
        <v>22386</v>
      </c>
      <c r="I8966" s="8" t="str">
        <f ca="1">IFERROR(__xludf.DUMMYFUNCTION("IF
(
G8967=""фізична особа""
,
VLOOKUP(H8967,IMPORTRANGE(""https://docs.google.com/spreadsheets/d/14Bd19lYaqBhU8_DElYkX7l4wRkHqqCUFNJY4AfY3kHU/edit?usp=sharing  #gid=0"",""фіз особи new!relations_name""),6,FALSE)
,
(IF
(
G8967=""юридична особа""
,
VLOOKUP"&amp;"(H8967,IMPORTRANGE(""https://docs.google.com/spreadsheets/d/14Bd19lYaqBhU8_DElYkX7l4wRkHqqCUFNJY4AfY3kHU/edit?usp=sharing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66" s="7" t="s">
        <v>29</v>
      </c>
    </row>
    <row r="8967" spans="1:10" ht="13.2">
      <c r="A8967" s="7">
        <v>8966</v>
      </c>
      <c r="B8967" s="7">
        <v>1</v>
      </c>
      <c r="C8967" s="7" t="s">
        <v>10</v>
      </c>
      <c r="D8967" s="7">
        <v>10860</v>
      </c>
      <c r="E8967" s="7" t="s">
        <v>28</v>
      </c>
      <c r="F8967" s="8" t="str">
        <f ca="1">IFERROR(__xludf.DUMMYFUNCTION("IF
(
C8968=""фізична особа""
,
VLOOKUP(D8968,IMPORTRANGE(""https://docs.google.com/spreadsheets/d/14Bd19lYaqBhU8_DElYkX7l4wRkHqqCUFNJY4AfY3kHU/edit?usp=sharing  #gid=0"",""фіз особи new!relations_name""),6,FALSE)
,
(IF
(
C8968=""юридична особа""
,
VLOOKUP"&amp;"(D8968,IMPORTRANGE(""https://docs.google.com/spreadsheets/d/14Bd19lYaqBhU8_DElYkX7l4wRkHqqCUFNJY4AfY3kHU/edit?usp=sharing  #gid=0"",""фіз особи new!relations_name_uo""),7,FALSE)
,
)
))"),"ЗАХАРОВ Костянтин Володимирович")</f>
        <v>ЗАХАРОВ Костянтин Володимирович</v>
      </c>
      <c r="G8967" s="7" t="s">
        <v>10</v>
      </c>
      <c r="H8967" s="7">
        <v>22386</v>
      </c>
      <c r="I8967" s="8" t="str">
        <f ca="1">IFERROR(__xludf.DUMMYFUNCTION("IF
(
G8968=""фізична особа""
,
VLOOKUP(H8968,IMPORTRANGE(""https://docs.google.com/spreadsheets/d/14Bd19lYaqBhU8_DElYkX7l4wRkHqqCUFNJY4AfY3kHU/edit?usp=sharing  #gid=0"",""фіз особи new!relations_name""),6,FALSE)
,
(IF
(
G8968=""юридична особа""
,
VLOOKUP"&amp;"(H8968,IMPORTRANGE(""https://docs.google.com/spreadsheets/d/14Bd19lYaqBhU8_DElYkX7l4wRkHqqCUFNJY4AfY3kHU/edit?usp=sharing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8967" s="7" t="s">
        <v>29</v>
      </c>
    </row>
    <row r="8968" spans="1:10" ht="13.2">
      <c r="A8968" s="7">
        <v>8967</v>
      </c>
      <c r="B8968" s="7">
        <v>1</v>
      </c>
      <c r="C8968" s="7" t="s">
        <v>10</v>
      </c>
      <c r="D8968" s="7">
        <v>10861</v>
      </c>
      <c r="E8968" s="7" t="s">
        <v>28</v>
      </c>
      <c r="F8968" s="8" t="str">
        <f ca="1">IFERROR(__xludf.DUMMYFUNCTION("IF
(
C8969=""фізична особа""
,
VLOOKUP(D8969,IMPORTRANGE(""https://docs.google.com/spreadsheets/d/14Bd19lYaqBhU8_DElYkX7l4wRkHqqCUFNJY4AfY3kHU/edit?usp=sharing  #gid=0"",""фіз особи new!relations_name""),6,FALSE)
,
(IF
(
C8969=""юридична особа""
,
VLOOKUP"&amp;"(D8969,IMPORTRANGE(""https://docs.google.com/spreadsheets/d/14Bd19lYaqBhU8_DElYkX7l4wRkHqqCUFNJY4AfY3kHU/edit?usp=sharing  #gid=0"",""фіз особи new!relations_name_uo""),7,FALSE)
,
)
))"),"ІЛЬЇНА Інна Володимирівна")</f>
        <v>ІЛЬЇНА Інна Володимирівна</v>
      </c>
      <c r="G8968" s="7" t="s">
        <v>10</v>
      </c>
      <c r="H8968" s="7">
        <v>3009</v>
      </c>
      <c r="I8968" s="8" t="str">
        <f ca="1">IFERROR(__xludf.DUMMYFUNCTION("IF
(
G8969=""фізична особа""
,
VLOOKUP(H8969,IMPORTRANGE(""https://docs.google.com/spreadsheets/d/14Bd19lYaqBhU8_DElYkX7l4wRkHqqCUFNJY4AfY3kHU/edit?usp=sharing  #gid=0"",""фіз особи new!relations_name""),6,FALSE)
,
(IF
(
G8969=""юридична особа""
,
VLOOKUP"&amp;"(H8969,IMPORTRANGE(""https://docs.google.com/spreadsheets/d/14Bd19lYaqBhU8_DElYkX7l4wRkHqqCUFNJY4AfY3kHU/edit?usp=sharing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68" s="7" t="s">
        <v>29</v>
      </c>
    </row>
    <row r="8969" spans="1:10" ht="13.2">
      <c r="A8969" s="7">
        <v>8968</v>
      </c>
      <c r="B8969" s="7">
        <v>1</v>
      </c>
      <c r="C8969" s="7" t="s">
        <v>10</v>
      </c>
      <c r="D8969" s="7">
        <v>10862</v>
      </c>
      <c r="E8969" s="7" t="s">
        <v>28</v>
      </c>
      <c r="F8969" s="8" t="str">
        <f ca="1">IFERROR(__xludf.DUMMYFUNCTION("IF
(
C8970=""фізична особа""
,
VLOOKUP(D8970,IMPORTRANGE(""https://docs.google.com/spreadsheets/d/14Bd19lYaqBhU8_DElYkX7l4wRkHqqCUFNJY4AfY3kHU/edit?usp=sharing  #gid=0"",""фіз особи new!relations_name""),6,FALSE)
,
(IF
(
C8970=""юридична особа""
,
VLOOKUP"&amp;"(D8970,IMPORTRANGE(""https://docs.google.com/spreadsheets/d/14Bd19lYaqBhU8_DElYkX7l4wRkHqqCUFNJY4AfY3kHU/edit?usp=sharing  #gid=0"",""фіз особи new!relations_name_uo""),7,FALSE)
,
)
))"),"ДЕНИСКІНА Тетяна Валеріївна")</f>
        <v>ДЕНИСКІНА Тетяна Валеріївна</v>
      </c>
      <c r="G8969" s="7" t="s">
        <v>10</v>
      </c>
      <c r="H8969" s="7">
        <v>3009</v>
      </c>
      <c r="I8969" s="8" t="str">
        <f ca="1">IFERROR(__xludf.DUMMYFUNCTION("IF
(
G8970=""фізична особа""
,
VLOOKUP(H8970,IMPORTRANGE(""https://docs.google.com/spreadsheets/d/14Bd19lYaqBhU8_DElYkX7l4wRkHqqCUFNJY4AfY3kHU/edit?usp=sharing  #gid=0"",""фіз особи new!relations_name""),6,FALSE)
,
(IF
(
G8970=""юридична особа""
,
VLOOKUP"&amp;"(H8970,IMPORTRANGE(""https://docs.google.com/spreadsheets/d/14Bd19lYaqBhU8_DElYkX7l4wRkHqqCUFNJY4AfY3kHU/edit?usp=sharing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69" s="7" t="s">
        <v>29</v>
      </c>
    </row>
    <row r="8970" spans="1:10" ht="13.2">
      <c r="A8970" s="7">
        <v>8969</v>
      </c>
      <c r="B8970" s="7">
        <v>1</v>
      </c>
      <c r="C8970" s="7" t="s">
        <v>10</v>
      </c>
      <c r="D8970" s="7">
        <v>10863</v>
      </c>
      <c r="E8970" s="7" t="s">
        <v>28</v>
      </c>
      <c r="F8970" s="8" t="str">
        <f ca="1">IFERROR(__xludf.DUMMYFUNCTION("IF
(
C8971=""фізична особа""
,
VLOOKUP(D8971,IMPORTRANGE(""https://docs.google.com/spreadsheets/d/14Bd19lYaqBhU8_DElYkX7l4wRkHqqCUFNJY4AfY3kHU/edit?usp=sharing  #gid=0"",""фіз особи new!relations_name""),6,FALSE)
,
(IF
(
C8971=""юридична особа""
,
VLOOKUP"&amp;"(D8971,IMPORTRANGE(""https://docs.google.com/spreadsheets/d/14Bd19lYaqBhU8_DElYkX7l4wRkHqqCUFNJY4AfY3kHU/edit?usp=sharing  #gid=0"",""фіз особи new!relations_name_uo""),7,FALSE)
,
)
))"),"РОДІОНОВ Володимир В'ячеславович")</f>
        <v>РОДІОНОВ Володимир В'ячеславович</v>
      </c>
      <c r="G8970" s="7" t="s">
        <v>10</v>
      </c>
      <c r="H8970" s="7">
        <v>3009</v>
      </c>
      <c r="I8970" s="8" t="str">
        <f ca="1">IFERROR(__xludf.DUMMYFUNCTION("IF
(
G8971=""фізична особа""
,
VLOOKUP(H8971,IMPORTRANGE(""https://docs.google.com/spreadsheets/d/14Bd19lYaqBhU8_DElYkX7l4wRkHqqCUFNJY4AfY3kHU/edit?usp=sharing  #gid=0"",""фіз особи new!relations_name""),6,FALSE)
,
(IF
(
G8971=""юридична особа""
,
VLOOKUP"&amp;"(H8971,IMPORTRANGE(""https://docs.google.com/spreadsheets/d/14Bd19lYaqBhU8_DElYkX7l4wRkHqqCUFNJY4AfY3kHU/edit?usp=sharing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0" s="7" t="s">
        <v>29</v>
      </c>
    </row>
    <row r="8971" spans="1:10" ht="13.2">
      <c r="A8971" s="7">
        <v>8970</v>
      </c>
      <c r="B8971" s="7">
        <v>1</v>
      </c>
      <c r="C8971" s="7" t="s">
        <v>10</v>
      </c>
      <c r="D8971" s="7">
        <v>10864</v>
      </c>
      <c r="E8971" s="7" t="s">
        <v>28</v>
      </c>
      <c r="F8971" s="8" t="str">
        <f ca="1">IFERROR(__xludf.DUMMYFUNCTION("IF
(
C8972=""фізична особа""
,
VLOOKUP(D8972,IMPORTRANGE(""https://docs.google.com/spreadsheets/d/14Bd19lYaqBhU8_DElYkX7l4wRkHqqCUFNJY4AfY3kHU/edit?usp=sharing  #gid=0"",""фіз особи new!relations_name""),6,FALSE)
,
(IF
(
C8972=""юридична особа""
,
VLOOKUP"&amp;"(D8972,IMPORTRANGE(""https://docs.google.com/spreadsheets/d/14Bd19lYaqBhU8_DElYkX7l4wRkHqqCUFNJY4AfY3kHU/edit?usp=sharing  #gid=0"",""фіз особи new!relations_name_uo""),7,FALSE)
,
)
))"),"КОНТЕМИРОВ Юрій Євгенович")</f>
        <v>КОНТЕМИРОВ Юрій Євгенович</v>
      </c>
      <c r="G8971" s="7" t="s">
        <v>10</v>
      </c>
      <c r="H8971" s="7">
        <v>3009</v>
      </c>
      <c r="I8971" s="8" t="str">
        <f ca="1">IFERROR(__xludf.DUMMYFUNCTION("IF
(
G8972=""фізична особа""
,
VLOOKUP(H8972,IMPORTRANGE(""https://docs.google.com/spreadsheets/d/14Bd19lYaqBhU8_DElYkX7l4wRkHqqCUFNJY4AfY3kHU/edit?usp=sharing  #gid=0"",""фіз особи new!relations_name""),6,FALSE)
,
(IF
(
G8972=""юридична особа""
,
VLOOKUP"&amp;"(H8972,IMPORTRANGE(""https://docs.google.com/spreadsheets/d/14Bd19lYaqBhU8_DElYkX7l4wRkHqqCUFNJY4AfY3kHU/edit?usp=sharing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1" s="7" t="s">
        <v>29</v>
      </c>
    </row>
    <row r="8972" spans="1:10" ht="13.2">
      <c r="A8972" s="7">
        <v>8971</v>
      </c>
      <c r="B8972" s="7">
        <v>1</v>
      </c>
      <c r="C8972" s="7" t="s">
        <v>10</v>
      </c>
      <c r="D8972" s="7">
        <v>10865</v>
      </c>
      <c r="E8972" s="7" t="s">
        <v>28</v>
      </c>
      <c r="F8972" s="8" t="str">
        <f ca="1">IFERROR(__xludf.DUMMYFUNCTION("IF
(
C8973=""фізична особа""
,
VLOOKUP(D8973,IMPORTRANGE(""https://docs.google.com/spreadsheets/d/14Bd19lYaqBhU8_DElYkX7l4wRkHqqCUFNJY4AfY3kHU/edit?usp=sharing  #gid=0"",""фіз особи new!relations_name""),6,FALSE)
,
(IF
(
C8973=""юридична особа""
,
VLOOKUP"&amp;"(D8973,IMPORTRANGE(""https://docs.google.com/spreadsheets/d/14Bd19lYaqBhU8_DElYkX7l4wRkHqqCUFNJY4AfY3kHU/edit?usp=sharing  #gid=0"",""фіз особи new!relations_name_uo""),7,FALSE)
,
)
))"),"ЗАВЕРЯЧОВ Олександр Юрійович")</f>
        <v>ЗАВЕРЯЧОВ Олександр Юрійович</v>
      </c>
      <c r="G8972" s="7" t="s">
        <v>10</v>
      </c>
      <c r="H8972" s="7">
        <v>3009</v>
      </c>
      <c r="I8972" s="8" t="str">
        <f ca="1">IFERROR(__xludf.DUMMYFUNCTION("IF
(
G8973=""фізична особа""
,
VLOOKUP(H8973,IMPORTRANGE(""https://docs.google.com/spreadsheets/d/14Bd19lYaqBhU8_DElYkX7l4wRkHqqCUFNJY4AfY3kHU/edit?usp=sharing  #gid=0"",""фіз особи new!relations_name""),6,FALSE)
,
(IF
(
G8973=""юридична особа""
,
VLOOKUP"&amp;"(H8973,IMPORTRANGE(""https://docs.google.com/spreadsheets/d/14Bd19lYaqBhU8_DElYkX7l4wRkHqqCUFNJY4AfY3kHU/edit?usp=sharing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2" s="7" t="s">
        <v>29</v>
      </c>
    </row>
    <row r="8973" spans="1:10" ht="13.2">
      <c r="A8973" s="7">
        <v>8972</v>
      </c>
      <c r="B8973" s="7">
        <v>1</v>
      </c>
      <c r="C8973" s="7" t="s">
        <v>10</v>
      </c>
      <c r="D8973" s="7">
        <v>10866</v>
      </c>
      <c r="E8973" s="7" t="s">
        <v>28</v>
      </c>
      <c r="F8973" s="8" t="str">
        <f ca="1">IFERROR(__xludf.DUMMYFUNCTION("IF
(
C8974=""фізична особа""
,
VLOOKUP(D8974,IMPORTRANGE(""https://docs.google.com/spreadsheets/d/14Bd19lYaqBhU8_DElYkX7l4wRkHqqCUFNJY4AfY3kHU/edit?usp=sharing  #gid=0"",""фіз особи new!relations_name""),6,FALSE)
,
(IF
(
C8974=""юридична особа""
,
VLOOKUP"&amp;"(D8974,IMPORTRANGE(""https://docs.google.com/spreadsheets/d/14Bd19lYaqBhU8_DElYkX7l4wRkHqqCUFNJY4AfY3kHU/edit?usp=sharing  #gid=0"",""фіз особи new!relations_name_uo""),7,FALSE)
,
)
))"),"ЗАЙЦЕВ Євгеній Юрійович")</f>
        <v>ЗАЙЦЕВ Євгеній Юрійович</v>
      </c>
      <c r="G8973" s="7" t="s">
        <v>10</v>
      </c>
      <c r="H8973" s="7">
        <v>3009</v>
      </c>
      <c r="I8973" s="8" t="str">
        <f ca="1">IFERROR(__xludf.DUMMYFUNCTION("IF
(
G8974=""фізична особа""
,
VLOOKUP(H8974,IMPORTRANGE(""https://docs.google.com/spreadsheets/d/14Bd19lYaqBhU8_DElYkX7l4wRkHqqCUFNJY4AfY3kHU/edit?usp=sharing  #gid=0"",""фіз особи new!relations_name""),6,FALSE)
,
(IF
(
G8974=""юридична особа""
,
VLOOKUP"&amp;"(H8974,IMPORTRANGE(""https://docs.google.com/spreadsheets/d/14Bd19lYaqBhU8_DElYkX7l4wRkHqqCUFNJY4AfY3kHU/edit?usp=sharing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3" s="7" t="s">
        <v>29</v>
      </c>
    </row>
    <row r="8974" spans="1:10" ht="13.2">
      <c r="A8974" s="7">
        <v>8973</v>
      </c>
      <c r="B8974" s="7">
        <v>1</v>
      </c>
      <c r="C8974" s="7" t="s">
        <v>10</v>
      </c>
      <c r="D8974" s="7">
        <v>10867</v>
      </c>
      <c r="E8974" s="7" t="s">
        <v>28</v>
      </c>
      <c r="F8974" s="8" t="str">
        <f ca="1">IFERROR(__xludf.DUMMYFUNCTION("IF
(
C8975=""фізична особа""
,
VLOOKUP(D8975,IMPORTRANGE(""https://docs.google.com/spreadsheets/d/14Bd19lYaqBhU8_DElYkX7l4wRkHqqCUFNJY4AfY3kHU/edit?usp=sharing  #gid=0"",""фіз особи new!relations_name""),6,FALSE)
,
(IF
(
C8975=""юридична особа""
,
VLOOKUP"&amp;"(D8975,IMPORTRANGE(""https://docs.google.com/spreadsheets/d/14Bd19lYaqBhU8_DElYkX7l4wRkHqqCUFNJY4AfY3kHU/edit?usp=sharing  #gid=0"",""фіз особи new!relations_name_uo""),7,FALSE)
,
)
))"),"КОЖЕВІНА Наталія Сергіївна")</f>
        <v>КОЖЕВІНА Наталія Сергіївна</v>
      </c>
      <c r="G8974" s="7" t="s">
        <v>10</v>
      </c>
      <c r="H8974" s="7">
        <v>3009</v>
      </c>
      <c r="I8974" s="8" t="str">
        <f ca="1">IFERROR(__xludf.DUMMYFUNCTION("IF
(
G8975=""фізична особа""
,
VLOOKUP(H8975,IMPORTRANGE(""https://docs.google.com/spreadsheets/d/14Bd19lYaqBhU8_DElYkX7l4wRkHqqCUFNJY4AfY3kHU/edit?usp=sharing  #gid=0"",""фіз особи new!relations_name""),6,FALSE)
,
(IF
(
G8975=""юридична особа""
,
VLOOKUP"&amp;"(H8975,IMPORTRANGE(""https://docs.google.com/spreadsheets/d/14Bd19lYaqBhU8_DElYkX7l4wRkHqqCUFNJY4AfY3kHU/edit?usp=sharing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4" s="7" t="s">
        <v>29</v>
      </c>
    </row>
    <row r="8975" spans="1:10" ht="13.2">
      <c r="A8975" s="7">
        <v>8974</v>
      </c>
      <c r="B8975" s="7">
        <v>1</v>
      </c>
      <c r="C8975" s="7" t="s">
        <v>10</v>
      </c>
      <c r="D8975" s="7">
        <v>10868</v>
      </c>
      <c r="E8975" s="7" t="s">
        <v>28</v>
      </c>
      <c r="F8975" s="8" t="str">
        <f ca="1">IFERROR(__xludf.DUMMYFUNCTION("IF
(
C8976=""фізична особа""
,
VLOOKUP(D8976,IMPORTRANGE(""https://docs.google.com/spreadsheets/d/14Bd19lYaqBhU8_DElYkX7l4wRkHqqCUFNJY4AfY3kHU/edit?usp=sharing  #gid=0"",""фіз особи new!relations_name""),6,FALSE)
,
(IF
(
C8976=""юридична особа""
,
VLOOKUP"&amp;"(D8976,IMPORTRANGE(""https://docs.google.com/spreadsheets/d/14Bd19lYaqBhU8_DElYkX7l4wRkHqqCUFNJY4AfY3kHU/edit?usp=sharing  #gid=0"",""фіз особи new!relations_name_uo""),7,FALSE)
,
)
))"),"СМЄЛЯНСЬКА Марія Юріївна")</f>
        <v>СМЄЛЯНСЬКА Марія Юріївна</v>
      </c>
      <c r="G8975" s="7" t="s">
        <v>10</v>
      </c>
      <c r="H8975" s="7">
        <v>3009</v>
      </c>
      <c r="I8975" s="8" t="str">
        <f ca="1">IFERROR(__xludf.DUMMYFUNCTION("IF
(
G8976=""фізична особа""
,
VLOOKUP(H8976,IMPORTRANGE(""https://docs.google.com/spreadsheets/d/14Bd19lYaqBhU8_DElYkX7l4wRkHqqCUFNJY4AfY3kHU/edit?usp=sharing  #gid=0"",""фіз особи new!relations_name""),6,FALSE)
,
(IF
(
G8976=""юридична особа""
,
VLOOKUP"&amp;"(H8976,IMPORTRANGE(""https://docs.google.com/spreadsheets/d/14Bd19lYaqBhU8_DElYkX7l4wRkHqqCUFNJY4AfY3kHU/edit?usp=sharing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8975" s="7" t="s">
        <v>29</v>
      </c>
    </row>
    <row r="8976" spans="1:10" ht="13.2">
      <c r="A8976" s="7">
        <v>8975</v>
      </c>
      <c r="B8976" s="7">
        <v>1</v>
      </c>
      <c r="C8976" s="7" t="s">
        <v>10</v>
      </c>
      <c r="D8976" s="7">
        <v>10869</v>
      </c>
      <c r="E8976" s="7" t="s">
        <v>28</v>
      </c>
      <c r="F8976" s="8" t="str">
        <f ca="1">IFERROR(__xludf.DUMMYFUNCTION("IF
(
C8977=""фізична особа""
,
VLOOKUP(D8977,IMPORTRANGE(""https://docs.google.com/spreadsheets/d/14Bd19lYaqBhU8_DElYkX7l4wRkHqqCUFNJY4AfY3kHU/edit?usp=sharing  #gid=0"",""фіз особи new!relations_name""),6,FALSE)
,
(IF
(
C8977=""юридична особа""
,
VLOOKUP"&amp;"(D8977,IMPORTRANGE(""https://docs.google.com/spreadsheets/d/14Bd19lYaqBhU8_DElYkX7l4wRkHqqCUFNJY4AfY3kHU/edit?usp=sharing  #gid=0"",""фіз особи new!relations_name_uo""),7,FALSE)
,
)
))"),"ТРИФАНОВ Євгеній Володимирович")</f>
        <v>ТРИФАНОВ Євгеній Володимирович</v>
      </c>
      <c r="G8976" s="7" t="s">
        <v>10</v>
      </c>
      <c r="H8976" s="7">
        <v>1697</v>
      </c>
      <c r="I8976" s="8" t="str">
        <f ca="1">IFERROR(__xludf.DUMMYFUNCTION("IF
(
G8977=""фізична особа""
,
VLOOKUP(H8977,IMPORTRANGE(""https://docs.google.com/spreadsheets/d/14Bd19lYaqBhU8_DElYkX7l4wRkHqqCUFNJY4AfY3kHU/edit?usp=sharing  #gid=0"",""фіз особи new!relations_name""),6,FALSE)
,
(IF
(
G8977=""юридична особа""
,
VLOOKUP"&amp;"(H8977,IMPORTRANGE(""https://docs.google.com/spreadsheets/d/14Bd19lYaqBhU8_DElYkX7l4wRkHqqCUFNJY4AfY3kHU/edit?usp=sharing  #gid=0"",""фіз особи new!relations_name_uo""),7,FALSE)
,
)
))"),"ТИХОНОВ Валерій Володимирович")</f>
        <v>ТИХОНОВ Валерій Володимирович</v>
      </c>
      <c r="J8976" s="7" t="s">
        <v>29</v>
      </c>
    </row>
    <row r="8977" spans="1:10" ht="13.2">
      <c r="A8977" s="7">
        <v>8976</v>
      </c>
      <c r="B8977" s="7">
        <v>1</v>
      </c>
      <c r="C8977" s="7" t="s">
        <v>10</v>
      </c>
      <c r="D8977" s="7">
        <v>10870</v>
      </c>
      <c r="E8977" s="7" t="s">
        <v>28</v>
      </c>
      <c r="F8977" s="8" t="str">
        <f ca="1">IFERROR(__xludf.DUMMYFUNCTION("IF
(
C8978=""фізична особа""
,
VLOOKUP(D8978,IMPORTRANGE(""https://docs.google.com/spreadsheets/d/14Bd19lYaqBhU8_DElYkX7l4wRkHqqCUFNJY4AfY3kHU/edit?usp=sharing  #gid=0"",""фіз особи new!relations_name""),6,FALSE)
,
(IF
(
C8978=""юридична особа""
,
VLOOKUP"&amp;"(D8978,IMPORTRANGE(""https://docs.google.com/spreadsheets/d/14Bd19lYaqBhU8_DElYkX7l4wRkHqqCUFNJY4AfY3kHU/edit?usp=sharing  #gid=0"",""фіз особи new!relations_name_uo""),7,FALSE)
,
)
))"),"ГАТІНА Лілія Назимівна")</f>
        <v>ГАТІНА Лілія Назимівна</v>
      </c>
      <c r="G8977" s="7" t="s">
        <v>10</v>
      </c>
      <c r="H8977" s="7">
        <v>3087</v>
      </c>
      <c r="I8977" s="8" t="str">
        <f ca="1">IFERROR(__xludf.DUMMYFUNCTION("IF
(
G8978=""фізична особа""
,
VLOOKUP(H8978,IMPORTRANGE(""https://docs.google.com/spreadsheets/d/14Bd19lYaqBhU8_DElYkX7l4wRkHqqCUFNJY4AfY3kHU/edit?usp=sharing  #gid=0"",""фіз особи new!relations_name""),6,FALSE)
,
(IF
(
G8978=""юридична особа""
,
VLOOKUP"&amp;"(H8978,IMPORTRANGE(""https://docs.google.com/spreadsheets/d/14Bd19lYaqBhU8_DElYkX7l4wRkHqqCUFNJY4AfY3kHU/edit?usp=sharing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77" s="7" t="s">
        <v>29</v>
      </c>
    </row>
    <row r="8978" spans="1:10" ht="13.2">
      <c r="A8978" s="7">
        <v>8977</v>
      </c>
      <c r="B8978" s="7">
        <v>1</v>
      </c>
      <c r="C8978" s="7" t="s">
        <v>10</v>
      </c>
      <c r="D8978" s="7">
        <v>10870</v>
      </c>
      <c r="E8978" s="7" t="s">
        <v>28</v>
      </c>
      <c r="F8978" s="8" t="str">
        <f ca="1">IFERROR(__xludf.DUMMYFUNCTION("IF
(
C8979=""фізична особа""
,
VLOOKUP(D8979,IMPORTRANGE(""https://docs.google.com/spreadsheets/d/14Bd19lYaqBhU8_DElYkX7l4wRkHqqCUFNJY4AfY3kHU/edit?usp=sharing  #gid=0"",""фіз особи new!relations_name""),6,FALSE)
,
(IF
(
C8979=""юридична особа""
,
VLOOKUP"&amp;"(D8979,IMPORTRANGE(""https://docs.google.com/spreadsheets/d/14Bd19lYaqBhU8_DElYkX7l4wRkHqqCUFNJY4AfY3kHU/edit?usp=sharing  #gid=0"",""фіз особи new!relations_name_uo""),7,FALSE)
,
)
))"),"ГАТІНА Лілія Назимівна")</f>
        <v>ГАТІНА Лілія Назимівна</v>
      </c>
      <c r="G8978" s="7" t="s">
        <v>10</v>
      </c>
      <c r="H8978" s="7">
        <v>10202</v>
      </c>
      <c r="I8978" s="8" t="str">
        <f ca="1">IFERROR(__xludf.DUMMYFUNCTION("IF
(
G8979=""фізична особа""
,
VLOOKUP(H8979,IMPORTRANGE(""https://docs.google.com/spreadsheets/d/14Bd19lYaqBhU8_DElYkX7l4wRkHqqCUFNJY4AfY3kHU/edit?usp=sharing  #gid=0"",""фіз особи new!relations_name""),6,FALSE)
,
(IF
(
G8979=""юридична особа""
,
VLOOKUP"&amp;"(H8979,IMPORTRANGE(""https://docs.google.com/spreadsheets/d/14Bd19lYaqBhU8_DElYkX7l4wRkHqqCUFNJY4AfY3kHU/edit?usp=sharing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78" s="7" t="s">
        <v>29</v>
      </c>
    </row>
    <row r="8979" spans="1:10" ht="13.2">
      <c r="A8979" s="7">
        <v>8978</v>
      </c>
      <c r="B8979" s="7">
        <v>1</v>
      </c>
      <c r="C8979" s="7" t="s">
        <v>10</v>
      </c>
      <c r="D8979" s="7">
        <v>10871</v>
      </c>
      <c r="E8979" s="7" t="s">
        <v>28</v>
      </c>
      <c r="F8979" s="8" t="str">
        <f ca="1">IFERROR(__xludf.DUMMYFUNCTION("IF
(
C8980=""фізична особа""
,
VLOOKUP(D8980,IMPORTRANGE(""https://docs.google.com/spreadsheets/d/14Bd19lYaqBhU8_DElYkX7l4wRkHqqCUFNJY4AfY3kHU/edit?usp=sharing  #gid=0"",""фіз особи new!relations_name""),6,FALSE)
,
(IF
(
C8980=""юридична особа""
,
VLOOKUP"&amp;"(D8980,IMPORTRANGE(""https://docs.google.com/spreadsheets/d/14Bd19lYaqBhU8_DElYkX7l4wRkHqqCUFNJY4AfY3kHU/edit?usp=sharing  #gid=0"",""фіз особи new!relations_name_uo""),7,FALSE)
,
)
))"),"ВИШНЯКОВА Світлана Вікторівна")</f>
        <v>ВИШНЯКОВА Світлана Вікторівна</v>
      </c>
      <c r="G8979" s="7" t="s">
        <v>10</v>
      </c>
      <c r="H8979" s="7">
        <v>3087</v>
      </c>
      <c r="I8979" s="8" t="str">
        <f ca="1">IFERROR(__xludf.DUMMYFUNCTION("IF
(
G8980=""фізична особа""
,
VLOOKUP(H8980,IMPORTRANGE(""https://docs.google.com/spreadsheets/d/14Bd19lYaqBhU8_DElYkX7l4wRkHqqCUFNJY4AfY3kHU/edit?usp=sharing  #gid=0"",""фіз особи new!relations_name""),6,FALSE)
,
(IF
(
G8980=""юридична особа""
,
VLOOKUP"&amp;"(H8980,IMPORTRANGE(""https://docs.google.com/spreadsheets/d/14Bd19lYaqBhU8_DElYkX7l4wRkHqqCUFNJY4AfY3kHU/edit?usp=sharing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79" s="7" t="s">
        <v>29</v>
      </c>
    </row>
    <row r="8980" spans="1:10" ht="13.2">
      <c r="A8980" s="7">
        <v>8979</v>
      </c>
      <c r="B8980" s="7">
        <v>1</v>
      </c>
      <c r="C8980" s="7" t="s">
        <v>10</v>
      </c>
      <c r="D8980" s="7">
        <v>10871</v>
      </c>
      <c r="E8980" s="7" t="s">
        <v>28</v>
      </c>
      <c r="F8980" s="8" t="str">
        <f ca="1">IFERROR(__xludf.DUMMYFUNCTION("IF
(
C8981=""фізична особа""
,
VLOOKUP(D8981,IMPORTRANGE(""https://docs.google.com/spreadsheets/d/14Bd19lYaqBhU8_DElYkX7l4wRkHqqCUFNJY4AfY3kHU/edit?usp=sharing  #gid=0"",""фіз особи new!relations_name""),6,FALSE)
,
(IF
(
C8981=""юридична особа""
,
VLOOKUP"&amp;"(D8981,IMPORTRANGE(""https://docs.google.com/spreadsheets/d/14Bd19lYaqBhU8_DElYkX7l4wRkHqqCUFNJY4AfY3kHU/edit?usp=sharing  #gid=0"",""фіз особи new!relations_name_uo""),7,FALSE)
,
)
))"),"ВИШНЯКОВА Світлана Вікторівна")</f>
        <v>ВИШНЯКОВА Світлана Вікторівна</v>
      </c>
      <c r="G8980" s="7" t="s">
        <v>10</v>
      </c>
      <c r="H8980" s="7">
        <v>10202</v>
      </c>
      <c r="I8980" s="8" t="str">
        <f ca="1">IFERROR(__xludf.DUMMYFUNCTION("IF
(
G8981=""фізична особа""
,
VLOOKUP(H8981,IMPORTRANGE(""https://docs.google.com/spreadsheets/d/14Bd19lYaqBhU8_DElYkX7l4wRkHqqCUFNJY4AfY3kHU/edit?usp=sharing  #gid=0"",""фіз особи new!relations_name""),6,FALSE)
,
(IF
(
G8981=""юридична особа""
,
VLOOKUP"&amp;"(H8981,IMPORTRANGE(""https://docs.google.com/spreadsheets/d/14Bd19lYaqBhU8_DElYkX7l4wRkHqqCUFNJY4AfY3kHU/edit?usp=sharing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80" s="7" t="s">
        <v>29</v>
      </c>
    </row>
    <row r="8981" spans="1:10" ht="13.2">
      <c r="A8981" s="7">
        <v>8980</v>
      </c>
      <c r="B8981" s="7">
        <v>1</v>
      </c>
      <c r="C8981" s="7" t="s">
        <v>10</v>
      </c>
      <c r="D8981" s="7">
        <v>10872</v>
      </c>
      <c r="E8981" s="7" t="s">
        <v>28</v>
      </c>
      <c r="F8981" s="8" t="str">
        <f ca="1">IFERROR(__xludf.DUMMYFUNCTION("IF
(
C8982=""фізична особа""
,
VLOOKUP(D8982,IMPORTRANGE(""https://docs.google.com/spreadsheets/d/14Bd19lYaqBhU8_DElYkX7l4wRkHqqCUFNJY4AfY3kHU/edit?usp=sharing  #gid=0"",""фіз особи new!relations_name""),6,FALSE)
,
(IF
(
C8982=""юридична особа""
,
VLOOKUP"&amp;"(D8982,IMPORTRANGE(""https://docs.google.com/spreadsheets/d/14Bd19lYaqBhU8_DElYkX7l4wRkHqqCUFNJY4AfY3kHU/edit?usp=sharing  #gid=0"",""фіз особи new!relations_name_uo""),7,FALSE)
,
)
))"),"САФІУЛЛІН Марат Адіпович")</f>
        <v>САФІУЛЛІН Марат Адіпович</v>
      </c>
      <c r="G8981" s="7" t="s">
        <v>10</v>
      </c>
      <c r="H8981" s="7">
        <v>3087</v>
      </c>
      <c r="I8981" s="8" t="str">
        <f ca="1">IFERROR(__xludf.DUMMYFUNCTION("IF
(
G8982=""фізична особа""
,
VLOOKUP(H8982,IMPORTRANGE(""https://docs.google.com/spreadsheets/d/14Bd19lYaqBhU8_DElYkX7l4wRkHqqCUFNJY4AfY3kHU/edit?usp=sharing  #gid=0"",""фіз особи new!relations_name""),6,FALSE)
,
(IF
(
G8982=""юридична особа""
,
VLOOKUP"&amp;"(H8982,IMPORTRANGE(""https://docs.google.com/spreadsheets/d/14Bd19lYaqBhU8_DElYkX7l4wRkHqqCUFNJY4AfY3kHU/edit?usp=sharing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81" s="7" t="s">
        <v>29</v>
      </c>
    </row>
    <row r="8982" spans="1:10" ht="13.2">
      <c r="A8982" s="7">
        <v>8981</v>
      </c>
      <c r="B8982" s="7">
        <v>1</v>
      </c>
      <c r="C8982" s="7" t="s">
        <v>10</v>
      </c>
      <c r="D8982" s="7">
        <v>10872</v>
      </c>
      <c r="E8982" s="7" t="s">
        <v>28</v>
      </c>
      <c r="F8982" s="8" t="str">
        <f ca="1">IFERROR(__xludf.DUMMYFUNCTION("IF
(
C8983=""фізична особа""
,
VLOOKUP(D8983,IMPORTRANGE(""https://docs.google.com/spreadsheets/d/14Bd19lYaqBhU8_DElYkX7l4wRkHqqCUFNJY4AfY3kHU/edit?usp=sharing  #gid=0"",""фіз особи new!relations_name""),6,FALSE)
,
(IF
(
C8983=""юридична особа""
,
VLOOKUP"&amp;"(D8983,IMPORTRANGE(""https://docs.google.com/spreadsheets/d/14Bd19lYaqBhU8_DElYkX7l4wRkHqqCUFNJY4AfY3kHU/edit?usp=sharing  #gid=0"",""фіз особи new!relations_name_uo""),7,FALSE)
,
)
))"),"САФІУЛЛІН Марат Адіпович")</f>
        <v>САФІУЛЛІН Марат Адіпович</v>
      </c>
      <c r="G8982" s="7" t="s">
        <v>10</v>
      </c>
      <c r="H8982" s="7">
        <v>10202</v>
      </c>
      <c r="I8982" s="8" t="str">
        <f ca="1">IFERROR(__xludf.DUMMYFUNCTION("IF
(
G8983=""фізична особа""
,
VLOOKUP(H8983,IMPORTRANGE(""https://docs.google.com/spreadsheets/d/14Bd19lYaqBhU8_DElYkX7l4wRkHqqCUFNJY4AfY3kHU/edit?usp=sharing  #gid=0"",""фіз особи new!relations_name""),6,FALSE)
,
(IF
(
G8983=""юридична особа""
,
VLOOKUP"&amp;"(H8983,IMPORTRANGE(""https://docs.google.com/spreadsheets/d/14Bd19lYaqBhU8_DElYkX7l4wRkHqqCUFNJY4AfY3kHU/edit?usp=sharing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82" s="7" t="s">
        <v>29</v>
      </c>
    </row>
    <row r="8983" spans="1:10" ht="13.2">
      <c r="A8983" s="7">
        <v>8982</v>
      </c>
      <c r="B8983" s="7">
        <v>1</v>
      </c>
      <c r="C8983" s="7" t="s">
        <v>10</v>
      </c>
      <c r="D8983" s="7">
        <v>10873</v>
      </c>
      <c r="E8983" s="7" t="s">
        <v>28</v>
      </c>
      <c r="F8983" s="8" t="str">
        <f ca="1">IFERROR(__xludf.DUMMYFUNCTION("IF
(
C8984=""фізична особа""
,
VLOOKUP(D8984,IMPORTRANGE(""https://docs.google.com/spreadsheets/d/14Bd19lYaqBhU8_DElYkX7l4wRkHqqCUFNJY4AfY3kHU/edit?usp=sharing  #gid=0"",""фіз особи new!relations_name""),6,FALSE)
,
(IF
(
C8984=""юридична особа""
,
VLOOKUP"&amp;"(D8984,IMPORTRANGE(""https://docs.google.com/spreadsheets/d/14Bd19lYaqBhU8_DElYkX7l4wRkHqqCUFNJY4AfY3kHU/edit?usp=sharing  #gid=0"",""фіз особи new!relations_name_uo""),7,FALSE)
,
)
))"),"ГОРЮНОВ Юрій Миколайович")</f>
        <v>ГОРЮНОВ Юрій Миколайович</v>
      </c>
      <c r="G8983" s="7" t="s">
        <v>10</v>
      </c>
      <c r="H8983" s="7">
        <v>3087</v>
      </c>
      <c r="I8983" s="8" t="str">
        <f ca="1">IFERROR(__xludf.DUMMYFUNCTION("IF
(
G8984=""фізична особа""
,
VLOOKUP(H8984,IMPORTRANGE(""https://docs.google.com/spreadsheets/d/14Bd19lYaqBhU8_DElYkX7l4wRkHqqCUFNJY4AfY3kHU/edit?usp=sharing  #gid=0"",""фіз особи new!relations_name""),6,FALSE)
,
(IF
(
G8984=""юридична особа""
,
VLOOKUP"&amp;"(H8984,IMPORTRANGE(""https://docs.google.com/spreadsheets/d/14Bd19lYaqBhU8_DElYkX7l4wRkHqqCUFNJY4AfY3kHU/edit?usp=sharing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83" s="7" t="s">
        <v>29</v>
      </c>
    </row>
    <row r="8984" spans="1:10" ht="13.2">
      <c r="A8984" s="7">
        <v>8983</v>
      </c>
      <c r="B8984" s="7">
        <v>1</v>
      </c>
      <c r="C8984" s="7" t="s">
        <v>10</v>
      </c>
      <c r="D8984" s="7">
        <v>10873</v>
      </c>
      <c r="E8984" s="7" t="s">
        <v>28</v>
      </c>
      <c r="F8984" s="8" t="str">
        <f ca="1">IFERROR(__xludf.DUMMYFUNCTION("IF
(
C8985=""фізична особа""
,
VLOOKUP(D8985,IMPORTRANGE(""https://docs.google.com/spreadsheets/d/14Bd19lYaqBhU8_DElYkX7l4wRkHqqCUFNJY4AfY3kHU/edit?usp=sharing  #gid=0"",""фіз особи new!relations_name""),6,FALSE)
,
(IF
(
C8985=""юридична особа""
,
VLOOKUP"&amp;"(D8985,IMPORTRANGE(""https://docs.google.com/spreadsheets/d/14Bd19lYaqBhU8_DElYkX7l4wRkHqqCUFNJY4AfY3kHU/edit?usp=sharing  #gid=0"",""фіз особи new!relations_name_uo""),7,FALSE)
,
)
))"),"ГОРЮНОВ Юрій Миколайович")</f>
        <v>ГОРЮНОВ Юрій Миколайович</v>
      </c>
      <c r="G8984" s="7" t="s">
        <v>10</v>
      </c>
      <c r="H8984" s="7">
        <v>10202</v>
      </c>
      <c r="I8984" s="8" t="str">
        <f ca="1">IFERROR(__xludf.DUMMYFUNCTION("IF
(
G8985=""фізична особа""
,
VLOOKUP(H8985,IMPORTRANGE(""https://docs.google.com/spreadsheets/d/14Bd19lYaqBhU8_DElYkX7l4wRkHqqCUFNJY4AfY3kHU/edit?usp=sharing  #gid=0"",""фіз особи new!relations_name""),6,FALSE)
,
(IF
(
G8985=""юридична особа""
,
VLOOKUP"&amp;"(H8985,IMPORTRANGE(""https://docs.google.com/spreadsheets/d/14Bd19lYaqBhU8_DElYkX7l4wRkHqqCUFNJY4AfY3kHU/edit?usp=sharing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84" s="7" t="s">
        <v>29</v>
      </c>
    </row>
    <row r="8985" spans="1:10" ht="13.2">
      <c r="A8985" s="7">
        <v>8984</v>
      </c>
      <c r="B8985" s="7">
        <v>1</v>
      </c>
      <c r="C8985" s="7" t="s">
        <v>10</v>
      </c>
      <c r="D8985" s="7">
        <v>10874</v>
      </c>
      <c r="E8985" s="7" t="s">
        <v>28</v>
      </c>
      <c r="F8985" s="8" t="str">
        <f ca="1">IFERROR(__xludf.DUMMYFUNCTION("IF
(
C8986=""фізична особа""
,
VLOOKUP(D8986,IMPORTRANGE(""https://docs.google.com/spreadsheets/d/14Bd19lYaqBhU8_DElYkX7l4wRkHqqCUFNJY4AfY3kHU/edit?usp=sharing  #gid=0"",""фіз особи new!relations_name""),6,FALSE)
,
(IF
(
C8986=""юридична особа""
,
VLOOKUP"&amp;"(D8986,IMPORTRANGE(""https://docs.google.com/spreadsheets/d/14Bd19lYaqBhU8_DElYkX7l4wRkHqqCUFNJY4AfY3kHU/edit?usp=sharing  #gid=0"",""фіз особи new!relations_name_uo""),7,FALSE)
,
)
))"),"СМЄХОВ Денис Олександрович")</f>
        <v>СМЄХОВ Денис Олександрович</v>
      </c>
      <c r="G8985" s="7" t="s">
        <v>10</v>
      </c>
      <c r="H8985" s="7">
        <v>3087</v>
      </c>
      <c r="I8985" s="8" t="str">
        <f ca="1">IFERROR(__xludf.DUMMYFUNCTION("IF
(
G8986=""фізична особа""
,
VLOOKUP(H8986,IMPORTRANGE(""https://docs.google.com/spreadsheets/d/14Bd19lYaqBhU8_DElYkX7l4wRkHqqCUFNJY4AfY3kHU/edit?usp=sharing  #gid=0"",""фіз особи new!relations_name""),6,FALSE)
,
(IF
(
G8986=""юридична особа""
,
VLOOKUP"&amp;"(H8986,IMPORTRANGE(""https://docs.google.com/spreadsheets/d/14Bd19lYaqBhU8_DElYkX7l4wRkHqqCUFNJY4AfY3kHU/edit?usp=sharing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85" s="7" t="s">
        <v>29</v>
      </c>
    </row>
    <row r="8986" spans="1:10" ht="13.2">
      <c r="A8986" s="7">
        <v>8985</v>
      </c>
      <c r="B8986" s="7">
        <v>1</v>
      </c>
      <c r="C8986" s="7" t="s">
        <v>10</v>
      </c>
      <c r="D8986" s="7">
        <v>10874</v>
      </c>
      <c r="E8986" s="7" t="s">
        <v>28</v>
      </c>
      <c r="F8986" s="8" t="str">
        <f ca="1">IFERROR(__xludf.DUMMYFUNCTION("IF
(
C8987=""фізична особа""
,
VLOOKUP(D8987,IMPORTRANGE(""https://docs.google.com/spreadsheets/d/14Bd19lYaqBhU8_DElYkX7l4wRkHqqCUFNJY4AfY3kHU/edit?usp=sharing  #gid=0"",""фіз особи new!relations_name""),6,FALSE)
,
(IF
(
C8987=""юридична особа""
,
VLOOKUP"&amp;"(D8987,IMPORTRANGE(""https://docs.google.com/spreadsheets/d/14Bd19lYaqBhU8_DElYkX7l4wRkHqqCUFNJY4AfY3kHU/edit?usp=sharing  #gid=0"",""фіз особи new!relations_name_uo""),7,FALSE)
,
)
))"),"СМЄХОВ Денис Олександрович")</f>
        <v>СМЄХОВ Денис Олександрович</v>
      </c>
      <c r="G8986" s="7" t="s">
        <v>10</v>
      </c>
      <c r="H8986" s="7">
        <v>10202</v>
      </c>
      <c r="I8986" s="8" t="str">
        <f ca="1">IFERROR(__xludf.DUMMYFUNCTION("IF
(
G8987=""фізична особа""
,
VLOOKUP(H8987,IMPORTRANGE(""https://docs.google.com/spreadsheets/d/14Bd19lYaqBhU8_DElYkX7l4wRkHqqCUFNJY4AfY3kHU/edit?usp=sharing  #gid=0"",""фіз особи new!relations_name""),6,FALSE)
,
(IF
(
G8987=""юридична особа""
,
VLOOKUP"&amp;"(H8987,IMPORTRANGE(""https://docs.google.com/spreadsheets/d/14Bd19lYaqBhU8_DElYkX7l4wRkHqqCUFNJY4AfY3kHU/edit?usp=sharing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86" s="7" t="s">
        <v>29</v>
      </c>
    </row>
    <row r="8987" spans="1:10" ht="13.2">
      <c r="A8987" s="7">
        <v>8986</v>
      </c>
      <c r="B8987" s="7">
        <v>1</v>
      </c>
      <c r="C8987" s="7" t="s">
        <v>10</v>
      </c>
      <c r="D8987" s="7">
        <v>10875</v>
      </c>
      <c r="E8987" s="7" t="s">
        <v>28</v>
      </c>
      <c r="F8987" s="8" t="str">
        <f ca="1">IFERROR(__xludf.DUMMYFUNCTION("IF
(
C8988=""фізична особа""
,
VLOOKUP(D8988,IMPORTRANGE(""https://docs.google.com/spreadsheets/d/14Bd19lYaqBhU8_DElYkX7l4wRkHqqCUFNJY4AfY3kHU/edit?usp=sharing  #gid=0"",""фіз особи new!relations_name""),6,FALSE)
,
(IF
(
C8988=""юридична особа""
,
VLOOKUP"&amp;"(D8988,IMPORTRANGE(""https://docs.google.com/spreadsheets/d/14Bd19lYaqBhU8_DElYkX7l4wRkHqqCUFNJY4AfY3kHU/edit?usp=sharing  #gid=0"",""фіз особи new!relations_name_uo""),7,FALSE)
,
)
))"),"БОЛЬШАКОВ Віктор Олексійович")</f>
        <v>БОЛЬШАКОВ Віктор Олексійович</v>
      </c>
      <c r="G8987" s="7" t="s">
        <v>10</v>
      </c>
      <c r="H8987" s="7">
        <v>3087</v>
      </c>
      <c r="I8987" s="8" t="str">
        <f ca="1">IFERROR(__xludf.DUMMYFUNCTION("IF
(
G8988=""фізична особа""
,
VLOOKUP(H8988,IMPORTRANGE(""https://docs.google.com/spreadsheets/d/14Bd19lYaqBhU8_DElYkX7l4wRkHqqCUFNJY4AfY3kHU/edit?usp=sharing  #gid=0"",""фіз особи new!relations_name""),6,FALSE)
,
(IF
(
G8988=""юридична особа""
,
VLOOKUP"&amp;"(H8988,IMPORTRANGE(""https://docs.google.com/spreadsheets/d/14Bd19lYaqBhU8_DElYkX7l4wRkHqqCUFNJY4AfY3kHU/edit?usp=sharing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87" s="7" t="s">
        <v>29</v>
      </c>
    </row>
    <row r="8988" spans="1:10" ht="13.2">
      <c r="A8988" s="7">
        <v>8987</v>
      </c>
      <c r="B8988" s="7">
        <v>1</v>
      </c>
      <c r="C8988" s="7" t="s">
        <v>10</v>
      </c>
      <c r="D8988" s="7">
        <v>10875</v>
      </c>
      <c r="E8988" s="7" t="s">
        <v>28</v>
      </c>
      <c r="F8988" s="8" t="str">
        <f ca="1">IFERROR(__xludf.DUMMYFUNCTION("IF
(
C8989=""фізична особа""
,
VLOOKUP(D8989,IMPORTRANGE(""https://docs.google.com/spreadsheets/d/14Bd19lYaqBhU8_DElYkX7l4wRkHqqCUFNJY4AfY3kHU/edit?usp=sharing  #gid=0"",""фіз особи new!relations_name""),6,FALSE)
,
(IF
(
C8989=""юридична особа""
,
VLOOKUP"&amp;"(D8989,IMPORTRANGE(""https://docs.google.com/spreadsheets/d/14Bd19lYaqBhU8_DElYkX7l4wRkHqqCUFNJY4AfY3kHU/edit?usp=sharing  #gid=0"",""фіз особи new!relations_name_uo""),7,FALSE)
,
)
))"),"БОЛЬШАКОВ Віктор Олексійович")</f>
        <v>БОЛЬШАКОВ Віктор Олексійович</v>
      </c>
      <c r="G8988" s="7" t="s">
        <v>10</v>
      </c>
      <c r="H8988" s="7">
        <v>10202</v>
      </c>
      <c r="I8988" s="8" t="str">
        <f ca="1">IFERROR(__xludf.DUMMYFUNCTION("IF
(
G8989=""фізична особа""
,
VLOOKUP(H8989,IMPORTRANGE(""https://docs.google.com/spreadsheets/d/14Bd19lYaqBhU8_DElYkX7l4wRkHqqCUFNJY4AfY3kHU/edit?usp=sharing  #gid=0"",""фіз особи new!relations_name""),6,FALSE)
,
(IF
(
G8989=""юридична особа""
,
VLOOKUP"&amp;"(H8989,IMPORTRANGE(""https://docs.google.com/spreadsheets/d/14Bd19lYaqBhU8_DElYkX7l4wRkHqqCUFNJY4AfY3kHU/edit?usp=sharing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88" s="7" t="s">
        <v>29</v>
      </c>
    </row>
    <row r="8989" spans="1:10" ht="13.2">
      <c r="A8989" s="7">
        <v>8988</v>
      </c>
      <c r="B8989" s="7">
        <v>1</v>
      </c>
      <c r="C8989" s="7" t="s">
        <v>10</v>
      </c>
      <c r="D8989" s="7">
        <v>10876</v>
      </c>
      <c r="E8989" s="7" t="s">
        <v>28</v>
      </c>
      <c r="F8989" s="8" t="str">
        <f ca="1">IFERROR(__xludf.DUMMYFUNCTION("IF
(
C8990=""фізична особа""
,
VLOOKUP(D8990,IMPORTRANGE(""https://docs.google.com/spreadsheets/d/14Bd19lYaqBhU8_DElYkX7l4wRkHqqCUFNJY4AfY3kHU/edit?usp=sharing  #gid=0"",""фіз особи new!relations_name""),6,FALSE)
,
(IF
(
C8990=""юридична особа""
,
VLOOKUP"&amp;"(D8990,IMPORTRANGE(""https://docs.google.com/spreadsheets/d/14Bd19lYaqBhU8_DElYkX7l4wRkHqqCUFNJY4AfY3kHU/edit?usp=sharing  #gid=0"",""фіз особи new!relations_name_uo""),7,FALSE)
,
)
))"),"КНЯЗЄВ Кирило Леонідович")</f>
        <v>КНЯЗЄВ Кирило Леонідович</v>
      </c>
      <c r="G8989" s="7" t="s">
        <v>10</v>
      </c>
      <c r="H8989" s="7">
        <v>3087</v>
      </c>
      <c r="I8989" s="8" t="str">
        <f ca="1">IFERROR(__xludf.DUMMYFUNCTION("IF
(
G8990=""фізична особа""
,
VLOOKUP(H8990,IMPORTRANGE(""https://docs.google.com/spreadsheets/d/14Bd19lYaqBhU8_DElYkX7l4wRkHqqCUFNJY4AfY3kHU/edit?usp=sharing  #gid=0"",""фіз особи new!relations_name""),6,FALSE)
,
(IF
(
G8990=""юридична особа""
,
VLOOKUP"&amp;"(H8990,IMPORTRANGE(""https://docs.google.com/spreadsheets/d/14Bd19lYaqBhU8_DElYkX7l4wRkHqqCUFNJY4AfY3kHU/edit?usp=sharing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89" s="7" t="s">
        <v>29</v>
      </c>
    </row>
    <row r="8990" spans="1:10" ht="13.2">
      <c r="A8990" s="7">
        <v>8989</v>
      </c>
      <c r="B8990" s="7">
        <v>1</v>
      </c>
      <c r="C8990" s="7" t="s">
        <v>10</v>
      </c>
      <c r="D8990" s="7">
        <v>10876</v>
      </c>
      <c r="E8990" s="7" t="s">
        <v>28</v>
      </c>
      <c r="F8990" s="8" t="str">
        <f ca="1">IFERROR(__xludf.DUMMYFUNCTION("IF
(
C8991=""фізична особа""
,
VLOOKUP(D8991,IMPORTRANGE(""https://docs.google.com/spreadsheets/d/14Bd19lYaqBhU8_DElYkX7l4wRkHqqCUFNJY4AfY3kHU/edit?usp=sharing  #gid=0"",""фіз особи new!relations_name""),6,FALSE)
,
(IF
(
C8991=""юридична особа""
,
VLOOKUP"&amp;"(D8991,IMPORTRANGE(""https://docs.google.com/spreadsheets/d/14Bd19lYaqBhU8_DElYkX7l4wRkHqqCUFNJY4AfY3kHU/edit?usp=sharing  #gid=0"",""фіз особи new!relations_name_uo""),7,FALSE)
,
)
))"),"КНЯЗЄВ Кирило Леонідович")</f>
        <v>КНЯЗЄВ Кирило Леонідович</v>
      </c>
      <c r="G8990" s="7" t="s">
        <v>10</v>
      </c>
      <c r="H8990" s="7">
        <v>10202</v>
      </c>
      <c r="I8990" s="8" t="str">
        <f ca="1">IFERROR(__xludf.DUMMYFUNCTION("IF
(
G8991=""фізична особа""
,
VLOOKUP(H8991,IMPORTRANGE(""https://docs.google.com/spreadsheets/d/14Bd19lYaqBhU8_DElYkX7l4wRkHqqCUFNJY4AfY3kHU/edit?usp=sharing  #gid=0"",""фіз особи new!relations_name""),6,FALSE)
,
(IF
(
G8991=""юридична особа""
,
VLOOKUP"&amp;"(H8991,IMPORTRANGE(""https://docs.google.com/spreadsheets/d/14Bd19lYaqBhU8_DElYkX7l4wRkHqqCUFNJY4AfY3kHU/edit?usp=sharing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90" s="7" t="s">
        <v>29</v>
      </c>
    </row>
    <row r="8991" spans="1:10" ht="13.2">
      <c r="A8991" s="7">
        <v>8990</v>
      </c>
      <c r="B8991" s="7">
        <v>1</v>
      </c>
      <c r="C8991" s="7" t="s">
        <v>10</v>
      </c>
      <c r="D8991" s="7">
        <v>10877</v>
      </c>
      <c r="E8991" s="7" t="s">
        <v>28</v>
      </c>
      <c r="F8991" s="8" t="str">
        <f ca="1">IFERROR(__xludf.DUMMYFUNCTION("IF
(
C8992=""фізична особа""
,
VLOOKUP(D8992,IMPORTRANGE(""https://docs.google.com/spreadsheets/d/14Bd19lYaqBhU8_DElYkX7l4wRkHqqCUFNJY4AfY3kHU/edit?usp=sharing  #gid=0"",""фіз особи new!relations_name""),6,FALSE)
,
(IF
(
C8992=""юридична особа""
,
VLOOKUP"&amp;"(D8992,IMPORTRANGE(""https://docs.google.com/spreadsheets/d/14Bd19lYaqBhU8_DElYkX7l4wRkHqqCUFNJY4AfY3kHU/edit?usp=sharing  #gid=0"",""фіз особи new!relations_name_uo""),7,FALSE)
,
)
))"),"КОЖЕВНІКОВА Людмила Борисівна")</f>
        <v>КОЖЕВНІКОВА Людмила Борисівна</v>
      </c>
      <c r="G8991" s="7" t="s">
        <v>10</v>
      </c>
      <c r="H8991" s="7">
        <v>3087</v>
      </c>
      <c r="I8991" s="8" t="str">
        <f ca="1">IFERROR(__xludf.DUMMYFUNCTION("IF
(
G8992=""фізична особа""
,
VLOOKUP(H8992,IMPORTRANGE(""https://docs.google.com/spreadsheets/d/14Bd19lYaqBhU8_DElYkX7l4wRkHqqCUFNJY4AfY3kHU/edit?usp=sharing  #gid=0"",""фіз особи new!relations_name""),6,FALSE)
,
(IF
(
G8992=""юридична особа""
,
VLOOKUP"&amp;"(H8992,IMPORTRANGE(""https://docs.google.com/spreadsheets/d/14Bd19lYaqBhU8_DElYkX7l4wRkHqqCUFNJY4AfY3kHU/edit?usp=sharing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91" s="7" t="s">
        <v>29</v>
      </c>
    </row>
    <row r="8992" spans="1:10" ht="13.2">
      <c r="A8992" s="7">
        <v>8991</v>
      </c>
      <c r="B8992" s="7">
        <v>1</v>
      </c>
      <c r="C8992" s="7" t="s">
        <v>10</v>
      </c>
      <c r="D8992" s="7">
        <v>10877</v>
      </c>
      <c r="E8992" s="7" t="s">
        <v>28</v>
      </c>
      <c r="F8992" s="8" t="str">
        <f ca="1">IFERROR(__xludf.DUMMYFUNCTION("IF
(
C8993=""фізична особа""
,
VLOOKUP(D8993,IMPORTRANGE(""https://docs.google.com/spreadsheets/d/14Bd19lYaqBhU8_DElYkX7l4wRkHqqCUFNJY4AfY3kHU/edit?usp=sharing  #gid=0"",""фіз особи new!relations_name""),6,FALSE)
,
(IF
(
C8993=""юридична особа""
,
VLOOKUP"&amp;"(D8993,IMPORTRANGE(""https://docs.google.com/spreadsheets/d/14Bd19lYaqBhU8_DElYkX7l4wRkHqqCUFNJY4AfY3kHU/edit?usp=sharing  #gid=0"",""фіз особи new!relations_name_uo""),7,FALSE)
,
)
))"),"КОЖЕВНІКОВА Людмила Борисівна")</f>
        <v>КОЖЕВНІКОВА Людмила Борисівна</v>
      </c>
      <c r="G8992" s="7" t="s">
        <v>10</v>
      </c>
      <c r="H8992" s="7">
        <v>10202</v>
      </c>
      <c r="I8992" s="8" t="str">
        <f ca="1">IFERROR(__xludf.DUMMYFUNCTION("IF
(
G8993=""фізична особа""
,
VLOOKUP(H8993,IMPORTRANGE(""https://docs.google.com/spreadsheets/d/14Bd19lYaqBhU8_DElYkX7l4wRkHqqCUFNJY4AfY3kHU/edit?usp=sharing  #gid=0"",""фіз особи new!relations_name""),6,FALSE)
,
(IF
(
G8993=""юридична особа""
,
VLOOKUP"&amp;"(H8993,IMPORTRANGE(""https://docs.google.com/spreadsheets/d/14Bd19lYaqBhU8_DElYkX7l4wRkHqqCUFNJY4AfY3kHU/edit?usp=sharing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92" s="7" t="s">
        <v>29</v>
      </c>
    </row>
    <row r="8993" spans="1:10" ht="13.2">
      <c r="A8993" s="7">
        <v>8992</v>
      </c>
      <c r="B8993" s="7">
        <v>1</v>
      </c>
      <c r="C8993" s="7" t="s">
        <v>10</v>
      </c>
      <c r="D8993" s="7">
        <v>10878</v>
      </c>
      <c r="E8993" s="7" t="s">
        <v>28</v>
      </c>
      <c r="F8993" s="8" t="str">
        <f ca="1">IFERROR(__xludf.DUMMYFUNCTION("IF
(
C8994=""фізична особа""
,
VLOOKUP(D8994,IMPORTRANGE(""https://docs.google.com/spreadsheets/d/14Bd19lYaqBhU8_DElYkX7l4wRkHqqCUFNJY4AfY3kHU/edit?usp=sharing  #gid=0"",""фіз особи new!relations_name""),6,FALSE)
,
(IF
(
C8994=""юридична особа""
,
VLOOKUP"&amp;"(D8994,IMPORTRANGE(""https://docs.google.com/spreadsheets/d/14Bd19lYaqBhU8_DElYkX7l4wRkHqqCUFNJY4AfY3kHU/edit?usp=sharing  #gid=0"",""фіз особи new!relations_name_uo""),7,FALSE)
,
)
))"),"КРИКОВА Ольга Олександрівна")</f>
        <v>КРИКОВА Ольга Олександрівна</v>
      </c>
      <c r="G8993" s="7" t="s">
        <v>10</v>
      </c>
      <c r="H8993" s="7">
        <v>3087</v>
      </c>
      <c r="I8993" s="8" t="str">
        <f ca="1">IFERROR(__xludf.DUMMYFUNCTION("IF
(
G8994=""фізична особа""
,
VLOOKUP(H8994,IMPORTRANGE(""https://docs.google.com/spreadsheets/d/14Bd19lYaqBhU8_DElYkX7l4wRkHqqCUFNJY4AfY3kHU/edit?usp=sharing  #gid=0"",""фіз особи new!relations_name""),6,FALSE)
,
(IF
(
G8994=""юридична особа""
,
VLOOKUP"&amp;"(H8994,IMPORTRANGE(""https://docs.google.com/spreadsheets/d/14Bd19lYaqBhU8_DElYkX7l4wRkHqqCUFNJY4AfY3kHU/edit?usp=sharing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93" s="7" t="s">
        <v>29</v>
      </c>
    </row>
    <row r="8994" spans="1:10" ht="13.2">
      <c r="A8994" s="7">
        <v>8993</v>
      </c>
      <c r="B8994" s="7">
        <v>1</v>
      </c>
      <c r="C8994" s="7" t="s">
        <v>10</v>
      </c>
      <c r="D8994" s="7">
        <v>10878</v>
      </c>
      <c r="E8994" s="7" t="s">
        <v>28</v>
      </c>
      <c r="F8994" s="8" t="str">
        <f ca="1">IFERROR(__xludf.DUMMYFUNCTION("IF
(
C8995=""фізична особа""
,
VLOOKUP(D8995,IMPORTRANGE(""https://docs.google.com/spreadsheets/d/14Bd19lYaqBhU8_DElYkX7l4wRkHqqCUFNJY4AfY3kHU/edit?usp=sharing  #gid=0"",""фіз особи new!relations_name""),6,FALSE)
,
(IF
(
C8995=""юридична особа""
,
VLOOKUP"&amp;"(D8995,IMPORTRANGE(""https://docs.google.com/spreadsheets/d/14Bd19lYaqBhU8_DElYkX7l4wRkHqqCUFNJY4AfY3kHU/edit?usp=sharing  #gid=0"",""фіз особи new!relations_name_uo""),7,FALSE)
,
)
))"),"КРИКОВА Ольга Олександрівна")</f>
        <v>КРИКОВА Ольга Олександрівна</v>
      </c>
      <c r="G8994" s="7" t="s">
        <v>10</v>
      </c>
      <c r="H8994" s="7">
        <v>10202</v>
      </c>
      <c r="I8994" s="8" t="str">
        <f ca="1">IFERROR(__xludf.DUMMYFUNCTION("IF
(
G8995=""фізична особа""
,
VLOOKUP(H8995,IMPORTRANGE(""https://docs.google.com/spreadsheets/d/14Bd19lYaqBhU8_DElYkX7l4wRkHqqCUFNJY4AfY3kHU/edit?usp=sharing  #gid=0"",""фіз особи new!relations_name""),6,FALSE)
,
(IF
(
G8995=""юридична особа""
,
VLOOKUP"&amp;"(H8995,IMPORTRANGE(""https://docs.google.com/spreadsheets/d/14Bd19lYaqBhU8_DElYkX7l4wRkHqqCUFNJY4AfY3kHU/edit?usp=sharing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94" s="7" t="s">
        <v>29</v>
      </c>
    </row>
    <row r="8995" spans="1:10" ht="13.2">
      <c r="A8995" s="7">
        <v>8994</v>
      </c>
      <c r="B8995" s="7">
        <v>1</v>
      </c>
      <c r="C8995" s="7" t="s">
        <v>10</v>
      </c>
      <c r="D8995" s="7">
        <v>10879</v>
      </c>
      <c r="E8995" s="7" t="s">
        <v>28</v>
      </c>
      <c r="F8995" s="8" t="str">
        <f ca="1">IFERROR(__xludf.DUMMYFUNCTION("IF
(
C8996=""фізична особа""
,
VLOOKUP(D8996,IMPORTRANGE(""https://docs.google.com/spreadsheets/d/14Bd19lYaqBhU8_DElYkX7l4wRkHqqCUFNJY4AfY3kHU/edit?usp=sharing  #gid=0"",""фіз особи new!relations_name""),6,FALSE)
,
(IF
(
C8996=""юридична особа""
,
VLOOKUP"&amp;"(D8996,IMPORTRANGE(""https://docs.google.com/spreadsheets/d/14Bd19lYaqBhU8_DElYkX7l4wRkHqqCUFNJY4AfY3kHU/edit?usp=sharing  #gid=0"",""фіз особи new!relations_name_uo""),7,FALSE)
,
)
))"),"КРАСНОВА Олена Олексіївна")</f>
        <v>КРАСНОВА Олена Олексіївна</v>
      </c>
      <c r="G8995" s="7" t="s">
        <v>10</v>
      </c>
      <c r="H8995" s="7">
        <v>3087</v>
      </c>
      <c r="I8995" s="8" t="str">
        <f ca="1">IFERROR(__xludf.DUMMYFUNCTION("IF
(
G8996=""фізична особа""
,
VLOOKUP(H8996,IMPORTRANGE(""https://docs.google.com/spreadsheets/d/14Bd19lYaqBhU8_DElYkX7l4wRkHqqCUFNJY4AfY3kHU/edit?usp=sharing  #gid=0"",""фіз особи new!relations_name""),6,FALSE)
,
(IF
(
G8996=""юридична особа""
,
VLOOKUP"&amp;"(H8996,IMPORTRANGE(""https://docs.google.com/spreadsheets/d/14Bd19lYaqBhU8_DElYkX7l4wRkHqqCUFNJY4AfY3kHU/edit?usp=sharing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95" s="7" t="s">
        <v>29</v>
      </c>
    </row>
    <row r="8996" spans="1:10" ht="13.2">
      <c r="A8996" s="7">
        <v>8995</v>
      </c>
      <c r="B8996" s="7">
        <v>1</v>
      </c>
      <c r="C8996" s="7" t="s">
        <v>10</v>
      </c>
      <c r="D8996" s="7">
        <v>10879</v>
      </c>
      <c r="E8996" s="7" t="s">
        <v>28</v>
      </c>
      <c r="F8996" s="8" t="str">
        <f ca="1">IFERROR(__xludf.DUMMYFUNCTION("IF
(
C8997=""фізична особа""
,
VLOOKUP(D8997,IMPORTRANGE(""https://docs.google.com/spreadsheets/d/14Bd19lYaqBhU8_DElYkX7l4wRkHqqCUFNJY4AfY3kHU/edit?usp=sharing  #gid=0"",""фіз особи new!relations_name""),6,FALSE)
,
(IF
(
C8997=""юридична особа""
,
VLOOKUP"&amp;"(D8997,IMPORTRANGE(""https://docs.google.com/spreadsheets/d/14Bd19lYaqBhU8_DElYkX7l4wRkHqqCUFNJY4AfY3kHU/edit?usp=sharing  #gid=0"",""фіз особи new!relations_name_uo""),7,FALSE)
,
)
))"),"КРАСНОВА Олена Олексіївна")</f>
        <v>КРАСНОВА Олена Олексіївна</v>
      </c>
      <c r="G8996" s="7" t="s">
        <v>10</v>
      </c>
      <c r="H8996" s="7">
        <v>10202</v>
      </c>
      <c r="I8996" s="8" t="str">
        <f ca="1">IFERROR(__xludf.DUMMYFUNCTION("IF
(
G8997=""фізична особа""
,
VLOOKUP(H8997,IMPORTRANGE(""https://docs.google.com/spreadsheets/d/14Bd19lYaqBhU8_DElYkX7l4wRkHqqCUFNJY4AfY3kHU/edit?usp=sharing  #gid=0"",""фіз особи new!relations_name""),6,FALSE)
,
(IF
(
G8997=""юридична особа""
,
VLOOKUP"&amp;"(H8997,IMPORTRANGE(""https://docs.google.com/spreadsheets/d/14Bd19lYaqBhU8_DElYkX7l4wRkHqqCUFNJY4AfY3kHU/edit?usp=sharing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96" s="7" t="s">
        <v>29</v>
      </c>
    </row>
    <row r="8997" spans="1:10" ht="13.2">
      <c r="A8997" s="7">
        <v>8996</v>
      </c>
      <c r="B8997" s="7">
        <v>1</v>
      </c>
      <c r="C8997" s="7" t="s">
        <v>10</v>
      </c>
      <c r="D8997" s="7">
        <v>10880</v>
      </c>
      <c r="E8997" s="7" t="s">
        <v>28</v>
      </c>
      <c r="F8997" s="8" t="str">
        <f ca="1">IFERROR(__xludf.DUMMYFUNCTION("IF
(
C8998=""фізична особа""
,
VLOOKUP(D8998,IMPORTRANGE(""https://docs.google.com/spreadsheets/d/14Bd19lYaqBhU8_DElYkX7l4wRkHqqCUFNJY4AfY3kHU/edit?usp=sharing  #gid=0"",""фіз особи new!relations_name""),6,FALSE)
,
(IF
(
C8998=""юридична особа""
,
VLOOKUP"&amp;"(D8998,IMPORTRANGE(""https://docs.google.com/spreadsheets/d/14Bd19lYaqBhU8_DElYkX7l4wRkHqqCUFNJY4AfY3kHU/edit?usp=sharing  #gid=0"",""фіз особи new!relations_name_uo""),7,FALSE)
,
)
))"),"МЮРК Ігор Вікторович")</f>
        <v>МЮРК Ігор Вікторович</v>
      </c>
      <c r="G8997" s="7" t="s">
        <v>10</v>
      </c>
      <c r="H8997" s="7">
        <v>3087</v>
      </c>
      <c r="I8997" s="8" t="str">
        <f ca="1">IFERROR(__xludf.DUMMYFUNCTION("IF
(
G8998=""фізична особа""
,
VLOOKUP(H8998,IMPORTRANGE(""https://docs.google.com/spreadsheets/d/14Bd19lYaqBhU8_DElYkX7l4wRkHqqCUFNJY4AfY3kHU/edit?usp=sharing  #gid=0"",""фіз особи new!relations_name""),6,FALSE)
,
(IF
(
G8998=""юридична особа""
,
VLOOKUP"&amp;"(H8998,IMPORTRANGE(""https://docs.google.com/spreadsheets/d/14Bd19lYaqBhU8_DElYkX7l4wRkHqqCUFNJY4AfY3kHU/edit?usp=sharing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8997" s="7" t="s">
        <v>29</v>
      </c>
    </row>
    <row r="8998" spans="1:10" ht="13.2">
      <c r="A8998" s="7">
        <v>8997</v>
      </c>
      <c r="B8998" s="7">
        <v>1</v>
      </c>
      <c r="C8998" s="7" t="s">
        <v>10</v>
      </c>
      <c r="D8998" s="7">
        <v>10880</v>
      </c>
      <c r="E8998" s="7" t="s">
        <v>28</v>
      </c>
      <c r="F8998" s="8" t="str">
        <f ca="1">IFERROR(__xludf.DUMMYFUNCTION("IF
(
C8999=""фізична особа""
,
VLOOKUP(D8999,IMPORTRANGE(""https://docs.google.com/spreadsheets/d/14Bd19lYaqBhU8_DElYkX7l4wRkHqqCUFNJY4AfY3kHU/edit?usp=sharing  #gid=0"",""фіз особи new!relations_name""),6,FALSE)
,
(IF
(
C8999=""юридична особа""
,
VLOOKUP"&amp;"(D8999,IMPORTRANGE(""https://docs.google.com/spreadsheets/d/14Bd19lYaqBhU8_DElYkX7l4wRkHqqCUFNJY4AfY3kHU/edit?usp=sharing  #gid=0"",""фіз особи new!relations_name_uo""),7,FALSE)
,
)
))"),"МЮРК Ігор Вікторович")</f>
        <v>МЮРК Ігор Вікторович</v>
      </c>
      <c r="G8998" s="7" t="s">
        <v>10</v>
      </c>
      <c r="H8998" s="7">
        <v>10202</v>
      </c>
      <c r="I8998" s="8" t="str">
        <f ca="1">IFERROR(__xludf.DUMMYFUNCTION("IF
(
G8999=""фізична особа""
,
VLOOKUP(H8999,IMPORTRANGE(""https://docs.google.com/spreadsheets/d/14Bd19lYaqBhU8_DElYkX7l4wRkHqqCUFNJY4AfY3kHU/edit?usp=sharing  #gid=0"",""фіз особи new!relations_name""),6,FALSE)
,
(IF
(
G8999=""юридична особа""
,
VLOOKUP"&amp;"(H8999,IMPORTRANGE(""https://docs.google.com/spreadsheets/d/14Bd19lYaqBhU8_DElYkX7l4wRkHqqCUFNJY4AfY3kHU/edit?usp=sharing  #gid=0"",""фіз особи new!relations_name_uo""),7,FALSE)
,
)
))"),"ЗАКАМСЬКИЙ Антон Сергійович")</f>
        <v>ЗАКАМСЬКИЙ Антон Сергійович</v>
      </c>
      <c r="J8998" s="7" t="s">
        <v>29</v>
      </c>
    </row>
    <row r="8999" spans="1:10" ht="13.2">
      <c r="A8999" s="7">
        <v>8998</v>
      </c>
      <c r="B8999" s="7">
        <v>1</v>
      </c>
      <c r="C8999" s="7" t="s">
        <v>10</v>
      </c>
      <c r="D8999" s="7">
        <v>10881</v>
      </c>
      <c r="E8999" s="7" t="s">
        <v>28</v>
      </c>
      <c r="F8999" s="8" t="str">
        <f ca="1">IFERROR(__xludf.DUMMYFUNCTION("IF
(
C9000=""фізична особа""
,
VLOOKUP(D9000,IMPORTRANGE(""https://docs.google.com/spreadsheets/d/14Bd19lYaqBhU8_DElYkX7l4wRkHqqCUFNJY4AfY3kHU/edit?usp=sharing  #gid=0"",""фіз особи new!relations_name""),6,FALSE)
,
(IF
(
C9000=""юридична особа""
,
VLOOKUP"&amp;"(D9000,IMPORTRANGE(""https://docs.google.com/spreadsheets/d/14Bd19lYaqBhU8_DElYkX7l4wRkHqqCUFNJY4AfY3kHU/edit?usp=sharing  #gid=0"",""фіз особи new!relations_name_uo""),7,FALSE)
,
)
))"),"НОВІКОВА Ніна Володимирівна")</f>
        <v>НОВІКОВА Ніна Володимирівна</v>
      </c>
      <c r="G8999" s="7" t="s">
        <v>10</v>
      </c>
      <c r="H8999" s="7">
        <v>3065</v>
      </c>
      <c r="I8999" s="8" t="str">
        <f ca="1">IFERROR(__xludf.DUMMYFUNCTION("IF
(
G9000=""фізична особа""
,
VLOOKUP(H9000,IMPORTRANGE(""https://docs.google.com/spreadsheets/d/14Bd19lYaqBhU8_DElYkX7l4wRkHqqCUFNJY4AfY3kHU/edit?usp=sharing  #gid=0"",""фіз особи new!relations_name""),6,FALSE)
,
(IF
(
G9000=""юридична особа""
,
VLOOKUP"&amp;"(H9000,IMPORTRANGE(""https://docs.google.com/spreadsheets/d/14Bd19lYaqBhU8_DElYkX7l4wRkHqqCUFNJY4AfY3kHU/edit?usp=sharing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8999" s="7" t="s">
        <v>29</v>
      </c>
    </row>
    <row r="9000" spans="1:10" ht="13.2">
      <c r="A9000" s="7">
        <v>8999</v>
      </c>
      <c r="B9000" s="7">
        <v>1</v>
      </c>
      <c r="C9000" s="7" t="s">
        <v>10</v>
      </c>
      <c r="D9000" s="7">
        <v>10882</v>
      </c>
      <c r="E9000" s="7" t="s">
        <v>28</v>
      </c>
      <c r="F9000" s="8" t="str">
        <f ca="1">IFERROR(__xludf.DUMMYFUNCTION("IF
(
C9001=""фізична особа""
,
VLOOKUP(D9001,IMPORTRANGE(""https://docs.google.com/spreadsheets/d/14Bd19lYaqBhU8_DElYkX7l4wRkHqqCUFNJY4AfY3kHU/edit?usp=sharing  #gid=0"",""фіз особи new!relations_name""),6,FALSE)
,
(IF
(
C9001=""юридична особа""
,
VLOOKUP"&amp;"(D9001,IMPORTRANGE(""https://docs.google.com/spreadsheets/d/14Bd19lYaqBhU8_DElYkX7l4wRkHqqCUFNJY4AfY3kHU/edit?usp=sharing  #gid=0"",""фіз особи new!relations_name_uo""),7,FALSE)
,
)
))"),"СМІРНОВА Наталія Леонідівна")</f>
        <v>СМІРНОВА Наталія Леонідівна</v>
      </c>
      <c r="G9000" s="7" t="s">
        <v>10</v>
      </c>
      <c r="H9000" s="7">
        <v>3065</v>
      </c>
      <c r="I9000" s="8" t="str">
        <f ca="1">IFERROR(__xludf.DUMMYFUNCTION("IF
(
G9001=""фізична особа""
,
VLOOKUP(H9001,IMPORTRANGE(""https://docs.google.com/spreadsheets/d/14Bd19lYaqBhU8_DElYkX7l4wRkHqqCUFNJY4AfY3kHU/edit?usp=sharing  #gid=0"",""фіз особи new!relations_name""),6,FALSE)
,
(IF
(
G9001=""юридична особа""
,
VLOOKUP"&amp;"(H9001,IMPORTRANGE(""https://docs.google.com/spreadsheets/d/14Bd19lYaqBhU8_DElYkX7l4wRkHqqCUFNJY4AfY3kHU/edit?usp=sharing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000" s="7" t="s">
        <v>29</v>
      </c>
    </row>
    <row r="9001" spans="1:10" ht="13.2">
      <c r="A9001" s="7">
        <v>9000</v>
      </c>
      <c r="B9001" s="7">
        <v>1</v>
      </c>
      <c r="C9001" s="7" t="s">
        <v>10</v>
      </c>
      <c r="D9001" s="7">
        <v>10883</v>
      </c>
      <c r="E9001" s="7" t="s">
        <v>28</v>
      </c>
      <c r="F9001" s="8" t="str">
        <f ca="1">IFERROR(__xludf.DUMMYFUNCTION("IF
(
C9002=""фізична особа""
,
VLOOKUP(D9002,IMPORTRANGE(""https://docs.google.com/spreadsheets/d/14Bd19lYaqBhU8_DElYkX7l4wRkHqqCUFNJY4AfY3kHU/edit?usp=sharing  #gid=0"",""фіз особи new!relations_name""),6,FALSE)
,
(IF
(
C9002=""юридична особа""
,
VLOOKUP"&amp;"(D9002,IMPORTRANGE(""https://docs.google.com/spreadsheets/d/14Bd19lYaqBhU8_DElYkX7l4wRkHqqCUFNJY4AfY3kHU/edit?usp=sharing  #gid=0"",""фіз особи new!relations_name_uo""),7,FALSE)
,
)
))"),"СМІЛЕВЕЦЬ Дем'ян Олегович")</f>
        <v>СМІЛЕВЕЦЬ Дем'ян Олегович</v>
      </c>
      <c r="G9001" s="7" t="s">
        <v>10</v>
      </c>
      <c r="H9001" s="7">
        <v>3065</v>
      </c>
      <c r="I9001" s="8" t="str">
        <f ca="1">IFERROR(__xludf.DUMMYFUNCTION("IF
(
G9002=""фізична особа""
,
VLOOKUP(H9002,IMPORTRANGE(""https://docs.google.com/spreadsheets/d/14Bd19lYaqBhU8_DElYkX7l4wRkHqqCUFNJY4AfY3kHU/edit?usp=sharing  #gid=0"",""фіз особи new!relations_name""),6,FALSE)
,
(IF
(
G9002=""юридична особа""
,
VLOOKUP"&amp;"(H9002,IMPORTRANGE(""https://docs.google.com/spreadsheets/d/14Bd19lYaqBhU8_DElYkX7l4wRkHqqCUFNJY4AfY3kHU/edit?usp=sharing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001" s="7" t="s">
        <v>29</v>
      </c>
    </row>
    <row r="9002" spans="1:10" ht="13.2">
      <c r="A9002" s="7">
        <v>9001</v>
      </c>
      <c r="B9002" s="7">
        <v>1</v>
      </c>
      <c r="C9002" s="7" t="s">
        <v>10</v>
      </c>
      <c r="D9002" s="7">
        <v>10884</v>
      </c>
      <c r="E9002" s="7" t="s">
        <v>28</v>
      </c>
      <c r="F9002" s="8" t="str">
        <f ca="1">IFERROR(__xludf.DUMMYFUNCTION("IF
(
C9003=""фізична особа""
,
VLOOKUP(D9003,IMPORTRANGE(""https://docs.google.com/spreadsheets/d/14Bd19lYaqBhU8_DElYkX7l4wRkHqqCUFNJY4AfY3kHU/edit?usp=sharing  #gid=0"",""фіз особи new!relations_name""),6,FALSE)
,
(IF
(
C9003=""юридична особа""
,
VLOOKUP"&amp;"(D9003,IMPORTRANGE(""https://docs.google.com/spreadsheets/d/14Bd19lYaqBhU8_DElYkX7l4wRkHqqCUFNJY4AfY3kHU/edit?usp=sharing  #gid=0"",""фіз особи new!relations_name_uo""),7,FALSE)
,
)
))"),"ХІДЗЄВ Алімбек Туземович")</f>
        <v>ХІДЗЄВ Алімбек Туземович</v>
      </c>
      <c r="G9002" s="7" t="s">
        <v>10</v>
      </c>
      <c r="H9002" s="7">
        <v>3065</v>
      </c>
      <c r="I9002" s="8" t="str">
        <f ca="1">IFERROR(__xludf.DUMMYFUNCTION("IF
(
G9003=""фізична особа""
,
VLOOKUP(H9003,IMPORTRANGE(""https://docs.google.com/spreadsheets/d/14Bd19lYaqBhU8_DElYkX7l4wRkHqqCUFNJY4AfY3kHU/edit?usp=sharing  #gid=0"",""фіз особи new!relations_name""),6,FALSE)
,
(IF
(
G9003=""юридична особа""
,
VLOOKUP"&amp;"(H9003,IMPORTRANGE(""https://docs.google.com/spreadsheets/d/14Bd19lYaqBhU8_DElYkX7l4wRkHqqCUFNJY4AfY3kHU/edit?usp=sharing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002" s="7" t="s">
        <v>29</v>
      </c>
    </row>
    <row r="9003" spans="1:10" ht="13.2">
      <c r="A9003" s="7">
        <v>9002</v>
      </c>
      <c r="B9003" s="7">
        <v>1</v>
      </c>
      <c r="C9003" s="7" t="s">
        <v>10</v>
      </c>
      <c r="D9003" s="7">
        <v>10885</v>
      </c>
      <c r="E9003" s="7" t="s">
        <v>28</v>
      </c>
      <c r="F9003" s="8" t="str">
        <f ca="1">IFERROR(__xludf.DUMMYFUNCTION("IF
(
C9004=""фізична особа""
,
VLOOKUP(D9004,IMPORTRANGE(""https://docs.google.com/spreadsheets/d/14Bd19lYaqBhU8_DElYkX7l4wRkHqqCUFNJY4AfY3kHU/edit?usp=sharing  #gid=0"",""фіз особи new!relations_name""),6,FALSE)
,
(IF
(
C9004=""юридична особа""
,
VLOOKUP"&amp;"(D9004,IMPORTRANGE(""https://docs.google.com/spreadsheets/d/14Bd19lYaqBhU8_DElYkX7l4wRkHqqCUFNJY4AfY3kHU/edit?usp=sharing  #gid=0"",""фіз особи new!relations_name_uo""),7,FALSE)
,
)
))"),"МАРТИНОВА Олена Євгенівна")</f>
        <v>МАРТИНОВА Олена Євгенівна</v>
      </c>
      <c r="G9003" s="7" t="s">
        <v>10</v>
      </c>
      <c r="H9003" s="7">
        <v>3065</v>
      </c>
      <c r="I9003" s="8" t="str">
        <f ca="1">IFERROR(__xludf.DUMMYFUNCTION("IF
(
G9004=""фізична особа""
,
VLOOKUP(H9004,IMPORTRANGE(""https://docs.google.com/spreadsheets/d/14Bd19lYaqBhU8_DElYkX7l4wRkHqqCUFNJY4AfY3kHU/edit?usp=sharing  #gid=0"",""фіз особи new!relations_name""),6,FALSE)
,
(IF
(
G9004=""юридична особа""
,
VLOOKUP"&amp;"(H9004,IMPORTRANGE(""https://docs.google.com/spreadsheets/d/14Bd19lYaqBhU8_DElYkX7l4wRkHqqCUFNJY4AfY3kHU/edit?usp=sharing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003" s="7" t="s">
        <v>29</v>
      </c>
    </row>
    <row r="9004" spans="1:10" ht="13.2">
      <c r="A9004" s="7">
        <v>9003</v>
      </c>
      <c r="B9004" s="7">
        <v>1</v>
      </c>
      <c r="C9004" s="7" t="s">
        <v>10</v>
      </c>
      <c r="D9004" s="7">
        <v>10886</v>
      </c>
      <c r="E9004" s="7" t="s">
        <v>28</v>
      </c>
      <c r="F9004" s="8" t="str">
        <f ca="1">IFERROR(__xludf.DUMMYFUNCTION("IF
(
C9005=""фізична особа""
,
VLOOKUP(D9005,IMPORTRANGE(""https://docs.google.com/spreadsheets/d/14Bd19lYaqBhU8_DElYkX7l4wRkHqqCUFNJY4AfY3kHU/edit?usp=sharing  #gid=0"",""фіз особи new!relations_name""),6,FALSE)
,
(IF
(
C9005=""юридична особа""
,
VLOOKUP"&amp;"(D9005,IMPORTRANGE(""https://docs.google.com/spreadsheets/d/14Bd19lYaqBhU8_DElYkX7l4wRkHqqCUFNJY4AfY3kHU/edit?usp=sharing  #gid=0"",""фіз особи new!relations_name_uo""),7,FALSE)
,
)
))"),"ПАНТЕЛЕЙЧУК Марія Миколаївна")</f>
        <v>ПАНТЕЛЕЙЧУК Марія Миколаївна</v>
      </c>
      <c r="G9004" s="7" t="s">
        <v>10</v>
      </c>
      <c r="H9004" s="7">
        <v>22386</v>
      </c>
      <c r="I9004" s="8" t="str">
        <f ca="1">IFERROR(__xludf.DUMMYFUNCTION("IF
(
G9005=""фізична особа""
,
VLOOKUP(H9005,IMPORTRANGE(""https://docs.google.com/spreadsheets/d/14Bd19lYaqBhU8_DElYkX7l4wRkHqqCUFNJY4AfY3kHU/edit?usp=sharing  #gid=0"",""фіз особи new!relations_name""),6,FALSE)
,
(IF
(
G9005=""юридична особа""
,
VLOOKUP"&amp;"(H9005,IMPORTRANGE(""https://docs.google.com/spreadsheets/d/14Bd19lYaqBhU8_DElYkX7l4wRkHqqCUFNJY4AfY3kHU/edit?usp=sharing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4" s="7" t="s">
        <v>29</v>
      </c>
    </row>
    <row r="9005" spans="1:10" ht="13.2">
      <c r="A9005" s="7">
        <v>9004</v>
      </c>
      <c r="B9005" s="7">
        <v>1</v>
      </c>
      <c r="C9005" s="7" t="s">
        <v>10</v>
      </c>
      <c r="D9005" s="7">
        <v>10887</v>
      </c>
      <c r="E9005" s="7" t="s">
        <v>28</v>
      </c>
      <c r="F9005" s="8" t="str">
        <f ca="1">IFERROR(__xludf.DUMMYFUNCTION("IF
(
C9006=""фізична особа""
,
VLOOKUP(D9006,IMPORTRANGE(""https://docs.google.com/spreadsheets/d/14Bd19lYaqBhU8_DElYkX7l4wRkHqqCUFNJY4AfY3kHU/edit?usp=sharing  #gid=0"",""фіз особи new!relations_name""),6,FALSE)
,
(IF
(
C9006=""юридична особа""
,
VLOOKUP"&amp;"(D9006,IMPORTRANGE(""https://docs.google.com/spreadsheets/d/14Bd19lYaqBhU8_DElYkX7l4wRkHqqCUFNJY4AfY3kHU/edit?usp=sharing  #gid=0"",""фіз особи new!relations_name_uo""),7,FALSE)
,
)
))"),"ПУДАЛОВ Борис Мойсейович")</f>
        <v>ПУДАЛОВ Борис Мойсейович</v>
      </c>
      <c r="G9005" s="7" t="s">
        <v>10</v>
      </c>
      <c r="H9005" s="7">
        <v>22386</v>
      </c>
      <c r="I9005" s="8" t="str">
        <f ca="1">IFERROR(__xludf.DUMMYFUNCTION("IF
(
G9006=""фізична особа""
,
VLOOKUP(H9006,IMPORTRANGE(""https://docs.google.com/spreadsheets/d/14Bd19lYaqBhU8_DElYkX7l4wRkHqqCUFNJY4AfY3kHU/edit?usp=sharing  #gid=0"",""фіз особи new!relations_name""),6,FALSE)
,
(IF
(
G9006=""юридична особа""
,
VLOOKUP"&amp;"(H9006,IMPORTRANGE(""https://docs.google.com/spreadsheets/d/14Bd19lYaqBhU8_DElYkX7l4wRkHqqCUFNJY4AfY3kHU/edit?usp=sharing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5" s="7" t="s">
        <v>29</v>
      </c>
    </row>
    <row r="9006" spans="1:10" ht="13.2">
      <c r="A9006" s="7">
        <v>9005</v>
      </c>
      <c r="B9006" s="7">
        <v>1</v>
      </c>
      <c r="C9006" s="7" t="s">
        <v>10</v>
      </c>
      <c r="D9006" s="7">
        <v>10888</v>
      </c>
      <c r="E9006" s="7" t="s">
        <v>28</v>
      </c>
      <c r="F9006" s="8" t="str">
        <f ca="1">IFERROR(__xludf.DUMMYFUNCTION("IF
(
C9007=""фізична особа""
,
VLOOKUP(D9007,IMPORTRANGE(""https://docs.google.com/spreadsheets/d/14Bd19lYaqBhU8_DElYkX7l4wRkHqqCUFNJY4AfY3kHU/edit?usp=sharing  #gid=0"",""фіз особи new!relations_name""),6,FALSE)
,
(IF
(
C9007=""юридична особа""
,
VLOOKUP"&amp;"(D9007,IMPORTRANGE(""https://docs.google.com/spreadsheets/d/14Bd19lYaqBhU8_DElYkX7l4wRkHqqCUFNJY4AfY3kHU/edit?usp=sharing  #gid=0"",""фіз особи new!relations_name_uo""),7,FALSE)
,
)
))"),"КОНДРАТОВА Людмила Юріївна")</f>
        <v>КОНДРАТОВА Людмила Юріївна</v>
      </c>
      <c r="G9006" s="7" t="s">
        <v>10</v>
      </c>
      <c r="H9006" s="7">
        <v>22386</v>
      </c>
      <c r="I9006" s="8" t="str">
        <f ca="1">IFERROR(__xludf.DUMMYFUNCTION("IF
(
G9007=""фізична особа""
,
VLOOKUP(H9007,IMPORTRANGE(""https://docs.google.com/spreadsheets/d/14Bd19lYaqBhU8_DElYkX7l4wRkHqqCUFNJY4AfY3kHU/edit?usp=sharing  #gid=0"",""фіз особи new!relations_name""),6,FALSE)
,
(IF
(
G9007=""юридична особа""
,
VLOOKUP"&amp;"(H9007,IMPORTRANGE(""https://docs.google.com/spreadsheets/d/14Bd19lYaqBhU8_DElYkX7l4wRkHqqCUFNJY4AfY3kHU/edit?usp=sharing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6" s="7" t="s">
        <v>29</v>
      </c>
    </row>
    <row r="9007" spans="1:10" ht="13.2">
      <c r="A9007" s="7">
        <v>9006</v>
      </c>
      <c r="B9007" s="7">
        <v>1</v>
      </c>
      <c r="C9007" s="7" t="s">
        <v>10</v>
      </c>
      <c r="D9007" s="7">
        <v>10889</v>
      </c>
      <c r="E9007" s="7" t="s">
        <v>28</v>
      </c>
      <c r="F9007" s="8" t="str">
        <f ca="1">IFERROR(__xludf.DUMMYFUNCTION("IF
(
C9008=""фізична особа""
,
VLOOKUP(D9008,IMPORTRANGE(""https://docs.google.com/spreadsheets/d/14Bd19lYaqBhU8_DElYkX7l4wRkHqqCUFNJY4AfY3kHU/edit?usp=sharing  #gid=0"",""фіз особи new!relations_name""),6,FALSE)
,
(IF
(
C9008=""юридична особа""
,
VLOOKUP"&amp;"(D9008,IMPORTRANGE(""https://docs.google.com/spreadsheets/d/14Bd19lYaqBhU8_DElYkX7l4wRkHqqCUFNJY4AfY3kHU/edit?usp=sharing  #gid=0"",""фіз особи new!relations_name_uo""),7,FALSE)
,
)
))"),"КОНОНОВА Ольга Євгенівна")</f>
        <v>КОНОНОВА Ольга Євгенівна</v>
      </c>
      <c r="G9007" s="7" t="s">
        <v>10</v>
      </c>
      <c r="H9007" s="7">
        <v>22386</v>
      </c>
      <c r="I9007" s="8" t="str">
        <f ca="1">IFERROR(__xludf.DUMMYFUNCTION("IF
(
G9008=""фізична особа""
,
VLOOKUP(H9008,IMPORTRANGE(""https://docs.google.com/spreadsheets/d/14Bd19lYaqBhU8_DElYkX7l4wRkHqqCUFNJY4AfY3kHU/edit?usp=sharing  #gid=0"",""фіз особи new!relations_name""),6,FALSE)
,
(IF
(
G9008=""юридична особа""
,
VLOOKUP"&amp;"(H9008,IMPORTRANGE(""https://docs.google.com/spreadsheets/d/14Bd19lYaqBhU8_DElYkX7l4wRkHqqCUFNJY4AfY3kHU/edit?usp=sharing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7" s="7" t="s">
        <v>29</v>
      </c>
    </row>
    <row r="9008" spans="1:10" ht="13.2">
      <c r="A9008" s="7">
        <v>9007</v>
      </c>
      <c r="B9008" s="7">
        <v>1</v>
      </c>
      <c r="C9008" s="7" t="s">
        <v>10</v>
      </c>
      <c r="D9008" s="7">
        <v>10890</v>
      </c>
      <c r="E9008" s="7" t="s">
        <v>28</v>
      </c>
      <c r="F9008" s="8" t="str">
        <f ca="1">IFERROR(__xludf.DUMMYFUNCTION("IF
(
C9009=""фізична особа""
,
VLOOKUP(D9009,IMPORTRANGE(""https://docs.google.com/spreadsheets/d/14Bd19lYaqBhU8_DElYkX7l4wRkHqqCUFNJY4AfY3kHU/edit?usp=sharing  #gid=0"",""фіз особи new!relations_name""),6,FALSE)
,
(IF
(
C9009=""юридична особа""
,
VLOOKUP"&amp;"(D9009,IMPORTRANGE(""https://docs.google.com/spreadsheets/d/14Bd19lYaqBhU8_DElYkX7l4wRkHqqCUFNJY4AfY3kHU/edit?usp=sharing  #gid=0"",""фіз особи new!relations_name_uo""),7,FALSE)
,
)
))"),"КОРОЛЬОВА Світлана Олександрівна")</f>
        <v>КОРОЛЬОВА Світлана Олександрівна</v>
      </c>
      <c r="G9008" s="7" t="s">
        <v>10</v>
      </c>
      <c r="H9008" s="7">
        <v>22386</v>
      </c>
      <c r="I9008" s="8" t="str">
        <f ca="1">IFERROR(__xludf.DUMMYFUNCTION("IF
(
G9009=""фізична особа""
,
VLOOKUP(H9009,IMPORTRANGE(""https://docs.google.com/spreadsheets/d/14Bd19lYaqBhU8_DElYkX7l4wRkHqqCUFNJY4AfY3kHU/edit?usp=sharing  #gid=0"",""фіз особи new!relations_name""),6,FALSE)
,
(IF
(
G9009=""юридична особа""
,
VLOOKUP"&amp;"(H9009,IMPORTRANGE(""https://docs.google.com/spreadsheets/d/14Bd19lYaqBhU8_DElYkX7l4wRkHqqCUFNJY4AfY3kHU/edit?usp=sharing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8" s="7" t="s">
        <v>29</v>
      </c>
    </row>
    <row r="9009" spans="1:10" ht="13.2">
      <c r="A9009" s="7">
        <v>9008</v>
      </c>
      <c r="B9009" s="7">
        <v>1</v>
      </c>
      <c r="C9009" s="7" t="s">
        <v>10</v>
      </c>
      <c r="D9009" s="7">
        <v>10891</v>
      </c>
      <c r="E9009" s="7" t="s">
        <v>28</v>
      </c>
      <c r="F9009" s="8" t="str">
        <f ca="1">IFERROR(__xludf.DUMMYFUNCTION("IF
(
C9010=""фізична особа""
,
VLOOKUP(D9010,IMPORTRANGE(""https://docs.google.com/spreadsheets/d/14Bd19lYaqBhU8_DElYkX7l4wRkHqqCUFNJY4AfY3kHU/edit?usp=sharing  #gid=0"",""фіз особи new!relations_name""),6,FALSE)
,
(IF
(
C9010=""юридична особа""
,
VLOOKUP"&amp;"(D9010,IMPORTRANGE(""https://docs.google.com/spreadsheets/d/14Bd19lYaqBhU8_DElYkX7l4wRkHqqCUFNJY4AfY3kHU/edit?usp=sharing  #gid=0"",""фіз особи new!relations_name_uo""),7,FALSE)
,
)
))"),"САВЧЕНКО Андрій Володимирович")</f>
        <v>САВЧЕНКО Андрій Володимирович</v>
      </c>
      <c r="G9009" s="7" t="s">
        <v>10</v>
      </c>
      <c r="H9009" s="7">
        <v>22386</v>
      </c>
      <c r="I9009" s="8" t="str">
        <f ca="1">IFERROR(__xludf.DUMMYFUNCTION("IF
(
G9010=""фізична особа""
,
VLOOKUP(H9010,IMPORTRANGE(""https://docs.google.com/spreadsheets/d/14Bd19lYaqBhU8_DElYkX7l4wRkHqqCUFNJY4AfY3kHU/edit?usp=sharing  #gid=0"",""фіз особи new!relations_name""),6,FALSE)
,
(IF
(
G9010=""юридична особа""
,
VLOOKUP"&amp;"(H9010,IMPORTRANGE(""https://docs.google.com/spreadsheets/d/14Bd19lYaqBhU8_DElYkX7l4wRkHqqCUFNJY4AfY3kHU/edit?usp=sharing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09" s="7" t="s">
        <v>29</v>
      </c>
    </row>
    <row r="9010" spans="1:10" ht="13.2">
      <c r="A9010" s="7">
        <v>9009</v>
      </c>
      <c r="B9010" s="7">
        <v>1</v>
      </c>
      <c r="C9010" s="7" t="s">
        <v>10</v>
      </c>
      <c r="D9010" s="7">
        <v>10892</v>
      </c>
      <c r="E9010" s="7" t="s">
        <v>28</v>
      </c>
      <c r="F9010" s="8" t="str">
        <f ca="1">IFERROR(__xludf.DUMMYFUNCTION("IF
(
C9011=""фізична особа""
,
VLOOKUP(D9011,IMPORTRANGE(""https://docs.google.com/spreadsheets/d/14Bd19lYaqBhU8_DElYkX7l4wRkHqqCUFNJY4AfY3kHU/edit?usp=sharing  #gid=0"",""фіз особи new!relations_name""),6,FALSE)
,
(IF
(
C9011=""юридична особа""
,
VLOOKUP"&amp;"(D9011,IMPORTRANGE(""https://docs.google.com/spreadsheets/d/14Bd19lYaqBhU8_DElYkX7l4wRkHqqCUFNJY4AfY3kHU/edit?usp=sharing  #gid=0"",""фіз особи new!relations_name_uo""),7,FALSE)
,
)
))"),"КЛЕЦЬ Петро В'ячеславович")</f>
        <v>КЛЕЦЬ Петро В'ячеславович</v>
      </c>
      <c r="G9010" s="7" t="s">
        <v>10</v>
      </c>
      <c r="H9010" s="7">
        <v>3029</v>
      </c>
      <c r="I9010" s="8" t="str">
        <f ca="1">IFERROR(__xludf.DUMMYFUNCTION("IF
(
G9011=""фізична особа""
,
VLOOKUP(H9011,IMPORTRANGE(""https://docs.google.com/spreadsheets/d/14Bd19lYaqBhU8_DElYkX7l4wRkHqqCUFNJY4AfY3kHU/edit?usp=sharing  #gid=0"",""фіз особи new!relations_name""),6,FALSE)
,
(IF
(
G9011=""юридична особа""
,
VLOOKUP"&amp;"(H9011,IMPORTRANGE(""https://docs.google.com/spreadsheets/d/14Bd19lYaqBhU8_DElYkX7l4wRkHqqCUFNJY4AfY3kHU/edit?usp=sharing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0" s="7" t="s">
        <v>29</v>
      </c>
    </row>
    <row r="9011" spans="1:10" ht="13.2">
      <c r="A9011" s="7">
        <v>9010</v>
      </c>
      <c r="B9011" s="7">
        <v>1</v>
      </c>
      <c r="C9011" s="7" t="s">
        <v>10</v>
      </c>
      <c r="D9011" s="7">
        <v>10893</v>
      </c>
      <c r="E9011" s="7" t="s">
        <v>28</v>
      </c>
      <c r="F9011" s="8" t="str">
        <f ca="1">IFERROR(__xludf.DUMMYFUNCTION("IF
(
C9012=""фізична особа""
,
VLOOKUP(D9012,IMPORTRANGE(""https://docs.google.com/spreadsheets/d/14Bd19lYaqBhU8_DElYkX7l4wRkHqqCUFNJY4AfY3kHU/edit?usp=sharing  #gid=0"",""фіз особи new!relations_name""),6,FALSE)
,
(IF
(
C9012=""юридична особа""
,
VLOOKUP"&amp;"(D9012,IMPORTRANGE(""https://docs.google.com/spreadsheets/d/14Bd19lYaqBhU8_DElYkX7l4wRkHqqCUFNJY4AfY3kHU/edit?usp=sharing  #gid=0"",""фіз особи new!relations_name_uo""),7,FALSE)
,
)
))"),"ВОЛКОВ В'ячеслав Валерійович")</f>
        <v>ВОЛКОВ В'ячеслав Валерійович</v>
      </c>
      <c r="G9011" s="7" t="s">
        <v>10</v>
      </c>
      <c r="H9011" s="7">
        <v>3029</v>
      </c>
      <c r="I9011" s="8" t="str">
        <f ca="1">IFERROR(__xludf.DUMMYFUNCTION("IF
(
G9012=""фізична особа""
,
VLOOKUP(H9012,IMPORTRANGE(""https://docs.google.com/spreadsheets/d/14Bd19lYaqBhU8_DElYkX7l4wRkHqqCUFNJY4AfY3kHU/edit?usp=sharing  #gid=0"",""фіз особи new!relations_name""),6,FALSE)
,
(IF
(
G9012=""юридична особа""
,
VLOOKUP"&amp;"(H9012,IMPORTRANGE(""https://docs.google.com/spreadsheets/d/14Bd19lYaqBhU8_DElYkX7l4wRkHqqCUFNJY4AfY3kHU/edit?usp=sharing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1" s="7" t="s">
        <v>29</v>
      </c>
    </row>
    <row r="9012" spans="1:10" ht="13.2">
      <c r="A9012" s="7">
        <v>9011</v>
      </c>
      <c r="B9012" s="7">
        <v>1</v>
      </c>
      <c r="C9012" s="7" t="s">
        <v>10</v>
      </c>
      <c r="D9012" s="7">
        <v>10894</v>
      </c>
      <c r="E9012" s="7" t="s">
        <v>28</v>
      </c>
      <c r="F9012" s="8" t="str">
        <f ca="1">IFERROR(__xludf.DUMMYFUNCTION("IF
(
C9013=""фізична особа""
,
VLOOKUP(D9013,IMPORTRANGE(""https://docs.google.com/spreadsheets/d/14Bd19lYaqBhU8_DElYkX7l4wRkHqqCUFNJY4AfY3kHU/edit?usp=sharing  #gid=0"",""фіз особи new!relations_name""),6,FALSE)
,
(IF
(
C9013=""юридична особа""
,
VLOOKUP"&amp;"(D9013,IMPORTRANGE(""https://docs.google.com/spreadsheets/d/14Bd19lYaqBhU8_DElYkX7l4wRkHqqCUFNJY4AfY3kHU/edit?usp=sharing  #gid=0"",""фіз особи new!relations_name_uo""),7,FALSE)
,
)
))"),"БАЛЕСКОВА Світлана Борисівна")</f>
        <v>БАЛЕСКОВА Світлана Борисівна</v>
      </c>
      <c r="G9012" s="7" t="s">
        <v>10</v>
      </c>
      <c r="H9012" s="7">
        <v>3029</v>
      </c>
      <c r="I9012" s="8" t="str">
        <f ca="1">IFERROR(__xludf.DUMMYFUNCTION("IF
(
G9013=""фізична особа""
,
VLOOKUP(H9013,IMPORTRANGE(""https://docs.google.com/spreadsheets/d/14Bd19lYaqBhU8_DElYkX7l4wRkHqqCUFNJY4AfY3kHU/edit?usp=sharing  #gid=0"",""фіз особи new!relations_name""),6,FALSE)
,
(IF
(
G9013=""юридична особа""
,
VLOOKUP"&amp;"(H9013,IMPORTRANGE(""https://docs.google.com/spreadsheets/d/14Bd19lYaqBhU8_DElYkX7l4wRkHqqCUFNJY4AfY3kHU/edit?usp=sharing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2" s="7" t="s">
        <v>29</v>
      </c>
    </row>
    <row r="9013" spans="1:10" ht="13.2">
      <c r="A9013" s="7">
        <v>9012</v>
      </c>
      <c r="B9013" s="7">
        <v>1</v>
      </c>
      <c r="C9013" s="7" t="s">
        <v>10</v>
      </c>
      <c r="D9013" s="7">
        <v>10895</v>
      </c>
      <c r="E9013" s="7" t="s">
        <v>28</v>
      </c>
      <c r="F9013" s="8" t="str">
        <f ca="1">IFERROR(__xludf.DUMMYFUNCTION("IF
(
C9014=""фізична особа""
,
VLOOKUP(D9014,IMPORTRANGE(""https://docs.google.com/spreadsheets/d/14Bd19lYaqBhU8_DElYkX7l4wRkHqqCUFNJY4AfY3kHU/edit?usp=sharing  #gid=0"",""фіз особи new!relations_name""),6,FALSE)
,
(IF
(
C9014=""юридична особа""
,
VLOOKUP"&amp;"(D9014,IMPORTRANGE(""https://docs.google.com/spreadsheets/d/14Bd19lYaqBhU8_DElYkX7l4wRkHqqCUFNJY4AfY3kHU/edit?usp=sharing  #gid=0"",""фіз особи new!relations_name_uo""),7,FALSE)
,
)
))"),"ЗЯББАРОВ Азат Галімзянович")</f>
        <v>ЗЯББАРОВ Азат Галімзянович</v>
      </c>
      <c r="G9013" s="7" t="s">
        <v>10</v>
      </c>
      <c r="H9013" s="7">
        <v>3029</v>
      </c>
      <c r="I9013" s="8" t="str">
        <f ca="1">IFERROR(__xludf.DUMMYFUNCTION("IF
(
G9014=""фізична особа""
,
VLOOKUP(H9014,IMPORTRANGE(""https://docs.google.com/spreadsheets/d/14Bd19lYaqBhU8_DElYkX7l4wRkHqqCUFNJY4AfY3kHU/edit?usp=sharing  #gid=0"",""фіз особи new!relations_name""),6,FALSE)
,
(IF
(
G9014=""юридична особа""
,
VLOOKUP"&amp;"(H9014,IMPORTRANGE(""https://docs.google.com/spreadsheets/d/14Bd19lYaqBhU8_DElYkX7l4wRkHqqCUFNJY4AfY3kHU/edit?usp=sharing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3" s="7" t="s">
        <v>29</v>
      </c>
    </row>
    <row r="9014" spans="1:10" ht="13.2">
      <c r="A9014" s="7">
        <v>9013</v>
      </c>
      <c r="B9014" s="7">
        <v>1</v>
      </c>
      <c r="C9014" s="7" t="s">
        <v>10</v>
      </c>
      <c r="D9014" s="7">
        <v>10896</v>
      </c>
      <c r="E9014" s="7" t="s">
        <v>28</v>
      </c>
      <c r="F9014" s="8" t="str">
        <f ca="1">IFERROR(__xludf.DUMMYFUNCTION("IF
(
C9015=""фізична особа""
,
VLOOKUP(D9015,IMPORTRANGE(""https://docs.google.com/spreadsheets/d/14Bd19lYaqBhU8_DElYkX7l4wRkHqqCUFNJY4AfY3kHU/edit?usp=sharing  #gid=0"",""фіз особи new!relations_name""),6,FALSE)
,
(IF
(
C9015=""юридична особа""
,
VLOOKUP"&amp;"(D9015,IMPORTRANGE(""https://docs.google.com/spreadsheets/d/14Bd19lYaqBhU8_DElYkX7l4wRkHqqCUFNJY4AfY3kHU/edit?usp=sharing  #gid=0"",""фіз особи new!relations_name_uo""),7,FALSE)
,
)
))"),"ЗВОРИГІНА Фаріда Аміровна")</f>
        <v>ЗВОРИГІНА Фаріда Аміровна</v>
      </c>
      <c r="G9014" s="7" t="s">
        <v>10</v>
      </c>
      <c r="H9014" s="7">
        <v>3029</v>
      </c>
      <c r="I9014" s="8" t="str">
        <f ca="1">IFERROR(__xludf.DUMMYFUNCTION("IF
(
G9015=""фізична особа""
,
VLOOKUP(H9015,IMPORTRANGE(""https://docs.google.com/spreadsheets/d/14Bd19lYaqBhU8_DElYkX7l4wRkHqqCUFNJY4AfY3kHU/edit?usp=sharing  #gid=0"",""фіз особи new!relations_name""),6,FALSE)
,
(IF
(
G9015=""юридична особа""
,
VLOOKUP"&amp;"(H9015,IMPORTRANGE(""https://docs.google.com/spreadsheets/d/14Bd19lYaqBhU8_DElYkX7l4wRkHqqCUFNJY4AfY3kHU/edit?usp=sharing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4" s="7" t="s">
        <v>29</v>
      </c>
    </row>
    <row r="9015" spans="1:10" ht="13.2">
      <c r="A9015" s="7">
        <v>9014</v>
      </c>
      <c r="B9015" s="7">
        <v>1</v>
      </c>
      <c r="C9015" s="7" t="s">
        <v>10</v>
      </c>
      <c r="D9015" s="7">
        <v>10897</v>
      </c>
      <c r="E9015" s="7" t="s">
        <v>28</v>
      </c>
      <c r="F9015" s="8" t="str">
        <f ca="1">IFERROR(__xludf.DUMMYFUNCTION("IF
(
C9016=""фізична особа""
,
VLOOKUP(D9016,IMPORTRANGE(""https://docs.google.com/spreadsheets/d/14Bd19lYaqBhU8_DElYkX7l4wRkHqqCUFNJY4AfY3kHU/edit?usp=sharing  #gid=0"",""фіз особи new!relations_name""),6,FALSE)
,
(IF
(
C9016=""юридична особа""
,
VLOOKUP"&amp;"(D9016,IMPORTRANGE(""https://docs.google.com/spreadsheets/d/14Bd19lYaqBhU8_DElYkX7l4wRkHqqCUFNJY4AfY3kHU/edit?usp=sharing  #gid=0"",""фіз особи new!relations_name_uo""),7,FALSE)
,
)
))"),"КАРПЄЄВА Катерина Володимирівна")</f>
        <v>КАРПЄЄВА Катерина Володимирівна</v>
      </c>
      <c r="G9015" s="7" t="s">
        <v>10</v>
      </c>
      <c r="H9015" s="7">
        <v>3029</v>
      </c>
      <c r="I9015" s="8" t="str">
        <f ca="1">IFERROR(__xludf.DUMMYFUNCTION("IF
(
G9016=""фізична особа""
,
VLOOKUP(H9016,IMPORTRANGE(""https://docs.google.com/spreadsheets/d/14Bd19lYaqBhU8_DElYkX7l4wRkHqqCUFNJY4AfY3kHU/edit?usp=sharing  #gid=0"",""фіз особи new!relations_name""),6,FALSE)
,
(IF
(
G9016=""юридична особа""
,
VLOOKUP"&amp;"(H9016,IMPORTRANGE(""https://docs.google.com/spreadsheets/d/14Bd19lYaqBhU8_DElYkX7l4wRkHqqCUFNJY4AfY3kHU/edit?usp=sharing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5" s="7" t="s">
        <v>29</v>
      </c>
    </row>
    <row r="9016" spans="1:10" ht="13.2">
      <c r="A9016" s="7">
        <v>9015</v>
      </c>
      <c r="B9016" s="7">
        <v>1</v>
      </c>
      <c r="C9016" s="7" t="s">
        <v>10</v>
      </c>
      <c r="D9016" s="7">
        <v>10898</v>
      </c>
      <c r="E9016" s="7" t="s">
        <v>28</v>
      </c>
      <c r="F9016" s="8" t="str">
        <f ca="1">IFERROR(__xludf.DUMMYFUNCTION("IF
(
C9017=""фізична особа""
,
VLOOKUP(D9017,IMPORTRANGE(""https://docs.google.com/spreadsheets/d/14Bd19lYaqBhU8_DElYkX7l4wRkHqqCUFNJY4AfY3kHU/edit?usp=sharing  #gid=0"",""фіз особи new!relations_name""),6,FALSE)
,
(IF
(
C9017=""юридична особа""
,
VLOOKUP"&amp;"(D9017,IMPORTRANGE(""https://docs.google.com/spreadsheets/d/14Bd19lYaqBhU8_DElYkX7l4wRkHqqCUFNJY4AfY3kHU/edit?usp=sharing  #gid=0"",""фіз особи new!relations_name_uo""),7,FALSE)
,
)
))"),"АРЖЕВІТІНА Лариса Володимирівна")</f>
        <v>АРЖЕВІТІНА Лариса Володимирівна</v>
      </c>
      <c r="G9016" s="7" t="s">
        <v>10</v>
      </c>
      <c r="H9016" s="7">
        <v>3029</v>
      </c>
      <c r="I9016" s="8" t="str">
        <f ca="1">IFERROR(__xludf.DUMMYFUNCTION("IF
(
G9017=""фізична особа""
,
VLOOKUP(H9017,IMPORTRANGE(""https://docs.google.com/spreadsheets/d/14Bd19lYaqBhU8_DElYkX7l4wRkHqqCUFNJY4AfY3kHU/edit?usp=sharing  #gid=0"",""фіз особи new!relations_name""),6,FALSE)
,
(IF
(
G9017=""юридична особа""
,
VLOOKUP"&amp;"(H9017,IMPORTRANGE(""https://docs.google.com/spreadsheets/d/14Bd19lYaqBhU8_DElYkX7l4wRkHqqCUFNJY4AfY3kHU/edit?usp=sharing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6" s="7" t="s">
        <v>29</v>
      </c>
    </row>
    <row r="9017" spans="1:10" ht="13.2">
      <c r="A9017" s="7">
        <v>9016</v>
      </c>
      <c r="B9017" s="7">
        <v>1</v>
      </c>
      <c r="C9017" s="7" t="s">
        <v>10</v>
      </c>
      <c r="D9017" s="7">
        <v>10899</v>
      </c>
      <c r="E9017" s="7" t="s">
        <v>28</v>
      </c>
      <c r="F9017" s="8" t="str">
        <f ca="1">IFERROR(__xludf.DUMMYFUNCTION("IF
(
C9018=""фізична особа""
,
VLOOKUP(D9018,IMPORTRANGE(""https://docs.google.com/spreadsheets/d/14Bd19lYaqBhU8_DElYkX7l4wRkHqqCUFNJY4AfY3kHU/edit?usp=sharing  #gid=0"",""фіз особи new!relations_name""),6,FALSE)
,
(IF
(
C9018=""юридична особа""
,
VLOOKUP"&amp;"(D9018,IMPORTRANGE(""https://docs.google.com/spreadsheets/d/14Bd19lYaqBhU8_DElYkX7l4wRkHqqCUFNJY4AfY3kHU/edit?usp=sharing  #gid=0"",""фіз особи new!relations_name_uo""),7,FALSE)
,
)
))"),"РЕШЕТОВ Владислав Євгенович")</f>
        <v>РЕШЕТОВ Владислав Євгенович</v>
      </c>
      <c r="G9017" s="7" t="s">
        <v>10</v>
      </c>
      <c r="H9017" s="7">
        <v>3029</v>
      </c>
      <c r="I9017" s="8" t="str">
        <f ca="1">IFERROR(__xludf.DUMMYFUNCTION("IF
(
G9018=""фізична особа""
,
VLOOKUP(H9018,IMPORTRANGE(""https://docs.google.com/spreadsheets/d/14Bd19lYaqBhU8_DElYkX7l4wRkHqqCUFNJY4AfY3kHU/edit?usp=sharing  #gid=0"",""фіз особи new!relations_name""),6,FALSE)
,
(IF
(
G9018=""юридична особа""
,
VLOOKUP"&amp;"(H9018,IMPORTRANGE(""https://docs.google.com/spreadsheets/d/14Bd19lYaqBhU8_DElYkX7l4wRkHqqCUFNJY4AfY3kHU/edit?usp=sharing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017" s="7" t="s">
        <v>29</v>
      </c>
    </row>
    <row r="9018" spans="1:10" ht="13.2">
      <c r="A9018" s="7">
        <v>9017</v>
      </c>
      <c r="B9018" s="7">
        <v>1</v>
      </c>
      <c r="C9018" s="7" t="s">
        <v>10</v>
      </c>
      <c r="D9018" s="7">
        <v>10900</v>
      </c>
      <c r="E9018" s="7" t="s">
        <v>28</v>
      </c>
      <c r="F9018" s="8" t="str">
        <f ca="1">IFERROR(__xludf.DUMMYFUNCTION("IF
(
C9019=""фізична особа""
,
VLOOKUP(D9019,IMPORTRANGE(""https://docs.google.com/spreadsheets/d/14Bd19lYaqBhU8_DElYkX7l4wRkHqqCUFNJY4AfY3kHU/edit?usp=sharing  #gid=0"",""фіз особи new!relations_name""),6,FALSE)
,
(IF
(
C9019=""юридична особа""
,
VLOOKUP"&amp;"(D9019,IMPORTRANGE(""https://docs.google.com/spreadsheets/d/14Bd19lYaqBhU8_DElYkX7l4wRkHqqCUFNJY4AfY3kHU/edit?usp=sharing  #gid=0"",""фіз особи new!relations_name_uo""),7,FALSE)
,
)
))"),"КУДРЯВЦЕВ Едуард Анатолійович")</f>
        <v>КУДРЯВЦЕВ Едуард Анатолійович</v>
      </c>
      <c r="G9018" s="7" t="s">
        <v>10</v>
      </c>
      <c r="H9018" s="7">
        <v>22386</v>
      </c>
      <c r="I9018" s="8" t="str">
        <f ca="1">IFERROR(__xludf.DUMMYFUNCTION("IF
(
G9019=""фізична особа""
,
VLOOKUP(H9019,IMPORTRANGE(""https://docs.google.com/spreadsheets/d/14Bd19lYaqBhU8_DElYkX7l4wRkHqqCUFNJY4AfY3kHU/edit?usp=sharing  #gid=0"",""фіз особи new!relations_name""),6,FALSE)
,
(IF
(
G9019=""юридична особа""
,
VLOOKUP"&amp;"(H9019,IMPORTRANGE(""https://docs.google.com/spreadsheets/d/14Bd19lYaqBhU8_DElYkX7l4wRkHqqCUFNJY4AfY3kHU/edit?usp=sharing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18" s="7" t="s">
        <v>29</v>
      </c>
    </row>
    <row r="9019" spans="1:10" ht="13.2">
      <c r="A9019" s="7">
        <v>9018</v>
      </c>
      <c r="B9019" s="7">
        <v>1</v>
      </c>
      <c r="C9019" s="7" t="s">
        <v>10</v>
      </c>
      <c r="D9019" s="7">
        <v>10901</v>
      </c>
      <c r="E9019" s="7" t="s">
        <v>28</v>
      </c>
      <c r="F9019" s="8" t="str">
        <f ca="1">IFERROR(__xludf.DUMMYFUNCTION("IF
(
C9020=""фізична особа""
,
VLOOKUP(D9020,IMPORTRANGE(""https://docs.google.com/spreadsheets/d/14Bd19lYaqBhU8_DElYkX7l4wRkHqqCUFNJY4AfY3kHU/edit?usp=sharing  #gid=0"",""фіз особи new!relations_name""),6,FALSE)
,
(IF
(
C9020=""юридична особа""
,
VLOOKUP"&amp;"(D9020,IMPORTRANGE(""https://docs.google.com/spreadsheets/d/14Bd19lYaqBhU8_DElYkX7l4wRkHqqCUFNJY4AfY3kHU/edit?usp=sharing  #gid=0"",""фіз особи new!relations_name_uo""),7,FALSE)
,
)
))"),"ГАЛЧЕНКО Лариса Вікторівна")</f>
        <v>ГАЛЧЕНКО Лариса Вікторівна</v>
      </c>
      <c r="G9019" s="7" t="s">
        <v>10</v>
      </c>
      <c r="H9019" s="7">
        <v>22386</v>
      </c>
      <c r="I9019" s="8" t="str">
        <f ca="1">IFERROR(__xludf.DUMMYFUNCTION("IF
(
G9020=""фізична особа""
,
VLOOKUP(H9020,IMPORTRANGE(""https://docs.google.com/spreadsheets/d/14Bd19lYaqBhU8_DElYkX7l4wRkHqqCUFNJY4AfY3kHU/edit?usp=sharing  #gid=0"",""фіз особи new!relations_name""),6,FALSE)
,
(IF
(
G9020=""юридична особа""
,
VLOOKUP"&amp;"(H9020,IMPORTRANGE(""https://docs.google.com/spreadsheets/d/14Bd19lYaqBhU8_DElYkX7l4wRkHqqCUFNJY4AfY3kHU/edit?usp=sharing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19" s="7" t="s">
        <v>29</v>
      </c>
    </row>
    <row r="9020" spans="1:10" ht="13.2">
      <c r="A9020" s="7">
        <v>9019</v>
      </c>
      <c r="B9020" s="7">
        <v>1</v>
      </c>
      <c r="C9020" s="7" t="s">
        <v>10</v>
      </c>
      <c r="D9020" s="7">
        <v>10902</v>
      </c>
      <c r="E9020" s="7" t="s">
        <v>28</v>
      </c>
      <c r="F9020" s="8" t="str">
        <f ca="1">IFERROR(__xludf.DUMMYFUNCTION("IF
(
C9021=""фізична особа""
,
VLOOKUP(D9021,IMPORTRANGE(""https://docs.google.com/spreadsheets/d/14Bd19lYaqBhU8_DElYkX7l4wRkHqqCUFNJY4AfY3kHU/edit?usp=sharing  #gid=0"",""фіз особи new!relations_name""),6,FALSE)
,
(IF
(
C9021=""юридична особа""
,
VLOOKUP"&amp;"(D9021,IMPORTRANGE(""https://docs.google.com/spreadsheets/d/14Bd19lYaqBhU8_DElYkX7l4wRkHqqCUFNJY4AfY3kHU/edit?usp=sharing  #gid=0"",""фіз особи new!relations_name_uo""),7,FALSE)
,
)
))"),"ДОБРИДІН Сергій Нікандрович")</f>
        <v>ДОБРИДІН Сергій Нікандрович</v>
      </c>
      <c r="G9020" s="7" t="s">
        <v>10</v>
      </c>
      <c r="H9020" s="7">
        <v>22386</v>
      </c>
      <c r="I9020" s="8" t="str">
        <f ca="1">IFERROR(__xludf.DUMMYFUNCTION("IF
(
G9021=""фізична особа""
,
VLOOKUP(H9021,IMPORTRANGE(""https://docs.google.com/spreadsheets/d/14Bd19lYaqBhU8_DElYkX7l4wRkHqqCUFNJY4AfY3kHU/edit?usp=sharing  #gid=0"",""фіз особи new!relations_name""),6,FALSE)
,
(IF
(
G9021=""юридична особа""
,
VLOOKUP"&amp;"(H9021,IMPORTRANGE(""https://docs.google.com/spreadsheets/d/14Bd19lYaqBhU8_DElYkX7l4wRkHqqCUFNJY4AfY3kHU/edit?usp=sharing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20" s="7" t="s">
        <v>29</v>
      </c>
    </row>
    <row r="9021" spans="1:10" ht="13.2">
      <c r="A9021" s="7">
        <v>9020</v>
      </c>
      <c r="B9021" s="7">
        <v>1</v>
      </c>
      <c r="C9021" s="7" t="s">
        <v>10</v>
      </c>
      <c r="D9021" s="7">
        <v>10903</v>
      </c>
      <c r="E9021" s="7" t="s">
        <v>28</v>
      </c>
      <c r="F9021" s="8" t="str">
        <f ca="1">IFERROR(__xludf.DUMMYFUNCTION("IF
(
C9022=""фізична особа""
,
VLOOKUP(D9022,IMPORTRANGE(""https://docs.google.com/spreadsheets/d/14Bd19lYaqBhU8_DElYkX7l4wRkHqqCUFNJY4AfY3kHU/edit?usp=sharing  #gid=0"",""фіз особи new!relations_name""),6,FALSE)
,
(IF
(
C9022=""юридична особа""
,
VLOOKUP"&amp;"(D9022,IMPORTRANGE(""https://docs.google.com/spreadsheets/d/14Bd19lYaqBhU8_DElYkX7l4wRkHqqCUFNJY4AfY3kHU/edit?usp=sharing  #gid=0"",""фіз особи new!relations_name_uo""),7,FALSE)
,
)
))"),"ДОБИЧИНА Майя Олександрівна")</f>
        <v>ДОБИЧИНА Майя Олександрівна</v>
      </c>
      <c r="G9021" s="7" t="s">
        <v>10</v>
      </c>
      <c r="H9021" s="7">
        <v>22386</v>
      </c>
      <c r="I9021" s="8" t="str">
        <f ca="1">IFERROR(__xludf.DUMMYFUNCTION("IF
(
G9022=""фізична особа""
,
VLOOKUP(H9022,IMPORTRANGE(""https://docs.google.com/spreadsheets/d/14Bd19lYaqBhU8_DElYkX7l4wRkHqqCUFNJY4AfY3kHU/edit?usp=sharing  #gid=0"",""фіз особи new!relations_name""),6,FALSE)
,
(IF
(
G9022=""юридична особа""
,
VLOOKUP"&amp;"(H9022,IMPORTRANGE(""https://docs.google.com/spreadsheets/d/14Bd19lYaqBhU8_DElYkX7l4wRkHqqCUFNJY4AfY3kHU/edit?usp=sharing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21" s="7" t="s">
        <v>29</v>
      </c>
    </row>
    <row r="9022" spans="1:10" ht="13.2">
      <c r="A9022" s="7">
        <v>9021</v>
      </c>
      <c r="B9022" s="7">
        <v>1</v>
      </c>
      <c r="C9022" s="7" t="s">
        <v>10</v>
      </c>
      <c r="D9022" s="7">
        <v>10904</v>
      </c>
      <c r="E9022" s="7" t="s">
        <v>28</v>
      </c>
      <c r="F9022" s="8" t="str">
        <f ca="1">IFERROR(__xludf.DUMMYFUNCTION("IF
(
C9023=""фізична особа""
,
VLOOKUP(D9023,IMPORTRANGE(""https://docs.google.com/spreadsheets/d/14Bd19lYaqBhU8_DElYkX7l4wRkHqqCUFNJY4AfY3kHU/edit?usp=sharing  #gid=0"",""фіз особи new!relations_name""),6,FALSE)
,
(IF
(
C9023=""юридична особа""
,
VLOOKUP"&amp;"(D9023,IMPORTRANGE(""https://docs.google.com/spreadsheets/d/14Bd19lYaqBhU8_DElYkX7l4wRkHqqCUFNJY4AfY3kHU/edit?usp=sharing  #gid=0"",""фіз особи new!relations_name_uo""),7,FALSE)
,
)
))"),"ЛЕБЄДЬ Ольга Миколаївна")</f>
        <v>ЛЕБЄДЬ Ольга Миколаївна</v>
      </c>
      <c r="G9022" s="7" t="s">
        <v>10</v>
      </c>
      <c r="H9022" s="7">
        <v>3082</v>
      </c>
      <c r="I9022" s="8" t="str">
        <f ca="1">IFERROR(__xludf.DUMMYFUNCTION("IF
(
G9023=""фізична особа""
,
VLOOKUP(H9023,IMPORTRANGE(""https://docs.google.com/spreadsheets/d/14Bd19lYaqBhU8_DElYkX7l4wRkHqqCUFNJY4AfY3kHU/edit?usp=sharing  #gid=0"",""фіз особи new!relations_name""),6,FALSE)
,
(IF
(
G9023=""юридична особа""
,
VLOOKUP"&amp;"(H9023,IMPORTRANGE(""https://docs.google.com/spreadsheets/d/14Bd19lYaqBhU8_DElYkX7l4wRkHqqCUFNJY4AfY3kHU/edit?usp=sharing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2" s="7" t="s">
        <v>29</v>
      </c>
    </row>
    <row r="9023" spans="1:10" ht="13.2">
      <c r="A9023" s="7">
        <v>9022</v>
      </c>
      <c r="B9023" s="7">
        <v>1</v>
      </c>
      <c r="C9023" s="7" t="s">
        <v>10</v>
      </c>
      <c r="D9023" s="7">
        <v>10905</v>
      </c>
      <c r="E9023" s="7" t="s">
        <v>28</v>
      </c>
      <c r="F9023" s="8" t="str">
        <f ca="1">IFERROR(__xludf.DUMMYFUNCTION("IF
(
C9024=""фізична особа""
,
VLOOKUP(D9024,IMPORTRANGE(""https://docs.google.com/spreadsheets/d/14Bd19lYaqBhU8_DElYkX7l4wRkHqqCUFNJY4AfY3kHU/edit?usp=sharing  #gid=0"",""фіз особи new!relations_name""),6,FALSE)
,
(IF
(
C9024=""юридична особа""
,
VLOOKUP"&amp;"(D9024,IMPORTRANGE(""https://docs.google.com/spreadsheets/d/14Bd19lYaqBhU8_DElYkX7l4wRkHqqCUFNJY4AfY3kHU/edit?usp=sharing  #gid=0"",""фіз особи new!relations_name_uo""),7,FALSE)
,
)
))"),"ОВЧИННІКОВ Сергій Геннадійович")</f>
        <v>ОВЧИННІКОВ Сергій Геннадійович</v>
      </c>
      <c r="G9023" s="7" t="s">
        <v>10</v>
      </c>
      <c r="H9023" s="7">
        <v>22386</v>
      </c>
      <c r="I9023" s="8" t="str">
        <f ca="1">IFERROR(__xludf.DUMMYFUNCTION("IF
(
G9024=""фізична особа""
,
VLOOKUP(H9024,IMPORTRANGE(""https://docs.google.com/spreadsheets/d/14Bd19lYaqBhU8_DElYkX7l4wRkHqqCUFNJY4AfY3kHU/edit?usp=sharing  #gid=0"",""фіз особи new!relations_name""),6,FALSE)
,
(IF
(
G9024=""юридична особа""
,
VLOOKUP"&amp;"(H9024,IMPORTRANGE(""https://docs.google.com/spreadsheets/d/14Bd19lYaqBhU8_DElYkX7l4wRkHqqCUFNJY4AfY3kHU/edit?usp=sharing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23" s="7" t="s">
        <v>29</v>
      </c>
    </row>
    <row r="9024" spans="1:10" ht="13.2">
      <c r="A9024" s="7">
        <v>9023</v>
      </c>
      <c r="B9024" s="7">
        <v>1</v>
      </c>
      <c r="C9024" s="7" t="s">
        <v>10</v>
      </c>
      <c r="D9024" s="7">
        <v>10906</v>
      </c>
      <c r="E9024" s="7" t="s">
        <v>28</v>
      </c>
      <c r="F9024" s="8" t="str">
        <f ca="1">IFERROR(__xludf.DUMMYFUNCTION("IF
(
C9025=""фізична особа""
,
VLOOKUP(D9025,IMPORTRANGE(""https://docs.google.com/spreadsheets/d/14Bd19lYaqBhU8_DElYkX7l4wRkHqqCUFNJY4AfY3kHU/edit?usp=sharing  #gid=0"",""фіз особи new!relations_name""),6,FALSE)
,
(IF
(
C9025=""юридична особа""
,
VLOOKUP"&amp;"(D9025,IMPORTRANGE(""https://docs.google.com/spreadsheets/d/14Bd19lYaqBhU8_DElYkX7l4wRkHqqCUFNJY4AfY3kHU/edit?usp=sharing  #gid=0"",""фіз особи new!relations_name_uo""),7,FALSE)
,
)
))"),"ПАНІНА Світлана Вікторівна")</f>
        <v>ПАНІНА Світлана Вікторівна</v>
      </c>
      <c r="G9024" s="7" t="s">
        <v>10</v>
      </c>
      <c r="H9024" s="7">
        <v>3082</v>
      </c>
      <c r="I9024" s="8" t="str">
        <f ca="1">IFERROR(__xludf.DUMMYFUNCTION("IF
(
G9025=""фізична особа""
,
VLOOKUP(H9025,IMPORTRANGE(""https://docs.google.com/spreadsheets/d/14Bd19lYaqBhU8_DElYkX7l4wRkHqqCUFNJY4AfY3kHU/edit?usp=sharing  #gid=0"",""фіз особи new!relations_name""),6,FALSE)
,
(IF
(
G9025=""юридична особа""
,
VLOOKUP"&amp;"(H9025,IMPORTRANGE(""https://docs.google.com/spreadsheets/d/14Bd19lYaqBhU8_DElYkX7l4wRkHqqCUFNJY4AfY3kHU/edit?usp=sharing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4" s="7" t="s">
        <v>29</v>
      </c>
    </row>
    <row r="9025" spans="1:10" ht="13.2">
      <c r="A9025" s="7">
        <v>9024</v>
      </c>
      <c r="B9025" s="7">
        <v>1</v>
      </c>
      <c r="C9025" s="7" t="s">
        <v>10</v>
      </c>
      <c r="D9025" s="7">
        <v>10907</v>
      </c>
      <c r="E9025" s="7" t="s">
        <v>28</v>
      </c>
      <c r="F9025" s="8" t="str">
        <f ca="1">IFERROR(__xludf.DUMMYFUNCTION("IF
(
C9026=""фізична особа""
,
VLOOKUP(D9026,IMPORTRANGE(""https://docs.google.com/spreadsheets/d/14Bd19lYaqBhU8_DElYkX7l4wRkHqqCUFNJY4AfY3kHU/edit?usp=sharing  #gid=0"",""фіз особи new!relations_name""),6,FALSE)
,
(IF
(
C9026=""юридична особа""
,
VLOOKUP"&amp;"(D9026,IMPORTRANGE(""https://docs.google.com/spreadsheets/d/14Bd19lYaqBhU8_DElYkX7l4wRkHqqCUFNJY4AfY3kHU/edit?usp=sharing  #gid=0"",""фіз особи new!relations_name_uo""),7,FALSE)
,
)
))"),"ХАПАЄВ Башир Алімджашарович")</f>
        <v>ХАПАЄВ Башир Алімджашарович</v>
      </c>
      <c r="G9025" s="7" t="s">
        <v>10</v>
      </c>
      <c r="H9025" s="7">
        <v>3082</v>
      </c>
      <c r="I9025" s="8" t="str">
        <f ca="1">IFERROR(__xludf.DUMMYFUNCTION("IF
(
G9026=""фізична особа""
,
VLOOKUP(H9026,IMPORTRANGE(""https://docs.google.com/spreadsheets/d/14Bd19lYaqBhU8_DElYkX7l4wRkHqqCUFNJY4AfY3kHU/edit?usp=sharing  #gid=0"",""фіз особи new!relations_name""),6,FALSE)
,
(IF
(
G9026=""юридична особа""
,
VLOOKUP"&amp;"(H9026,IMPORTRANGE(""https://docs.google.com/spreadsheets/d/14Bd19lYaqBhU8_DElYkX7l4wRkHqqCUFNJY4AfY3kHU/edit?usp=sharing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5" s="7" t="s">
        <v>29</v>
      </c>
    </row>
    <row r="9026" spans="1:10" ht="13.2">
      <c r="A9026" s="7">
        <v>9025</v>
      </c>
      <c r="B9026" s="7">
        <v>1</v>
      </c>
      <c r="C9026" s="7" t="s">
        <v>10</v>
      </c>
      <c r="D9026" s="7">
        <v>10908</v>
      </c>
      <c r="E9026" s="7" t="s">
        <v>28</v>
      </c>
      <c r="F9026" s="8" t="str">
        <f ca="1">IFERROR(__xludf.DUMMYFUNCTION("IF
(
C9027=""фізична особа""
,
VLOOKUP(D9027,IMPORTRANGE(""https://docs.google.com/spreadsheets/d/14Bd19lYaqBhU8_DElYkX7l4wRkHqqCUFNJY4AfY3kHU/edit?usp=sharing  #gid=0"",""фіз особи new!relations_name""),6,FALSE)
,
(IF
(
C9027=""юридична особа""
,
VLOOKUP"&amp;"(D9027,IMPORTRANGE(""https://docs.google.com/spreadsheets/d/14Bd19lYaqBhU8_DElYkX7l4wRkHqqCUFNJY4AfY3kHU/edit?usp=sharing  #gid=0"",""фіз особи new!relations_name_uo""),7,FALSE)
,
)
))"),"НАМДАК Алла Анчикаївна")</f>
        <v>НАМДАК Алла Анчикаївна</v>
      </c>
      <c r="G9026" s="7" t="s">
        <v>10</v>
      </c>
      <c r="H9026" s="7">
        <v>3082</v>
      </c>
      <c r="I9026" s="8" t="str">
        <f ca="1">IFERROR(__xludf.DUMMYFUNCTION("IF
(
G9027=""фізична особа""
,
VLOOKUP(H9027,IMPORTRANGE(""https://docs.google.com/spreadsheets/d/14Bd19lYaqBhU8_DElYkX7l4wRkHqqCUFNJY4AfY3kHU/edit?usp=sharing  #gid=0"",""фіз особи new!relations_name""),6,FALSE)
,
(IF
(
G9027=""юридична особа""
,
VLOOKUP"&amp;"(H9027,IMPORTRANGE(""https://docs.google.com/spreadsheets/d/14Bd19lYaqBhU8_DElYkX7l4wRkHqqCUFNJY4AfY3kHU/edit?usp=sharing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6" s="7" t="s">
        <v>29</v>
      </c>
    </row>
    <row r="9027" spans="1:10" ht="13.2">
      <c r="A9027" s="7">
        <v>9026</v>
      </c>
      <c r="B9027" s="7">
        <v>1</v>
      </c>
      <c r="C9027" s="7" t="s">
        <v>10</v>
      </c>
      <c r="D9027" s="7">
        <v>10909</v>
      </c>
      <c r="E9027" s="7" t="s">
        <v>28</v>
      </c>
      <c r="F9027" s="8" t="str">
        <f ca="1">IFERROR(__xludf.DUMMYFUNCTION("IF
(
C9028=""фізична особа""
,
VLOOKUP(D9028,IMPORTRANGE(""https://docs.google.com/spreadsheets/d/14Bd19lYaqBhU8_DElYkX7l4wRkHqqCUFNJY4AfY3kHU/edit?usp=sharing  #gid=0"",""фіз особи new!relations_name""),6,FALSE)
,
(IF
(
C9028=""юридична особа""
,
VLOOKUP"&amp;"(D9028,IMPORTRANGE(""https://docs.google.com/spreadsheets/d/14Bd19lYaqBhU8_DElYkX7l4wRkHqqCUFNJY4AfY3kHU/edit?usp=sharing  #gid=0"",""фіз особи new!relations_name_uo""),7,FALSE)
,
)
))"),"ДАНИЛЕНКО Геннадій Олександрович")</f>
        <v>ДАНИЛЕНКО Геннадій Олександрович</v>
      </c>
      <c r="G9027" s="7" t="s">
        <v>10</v>
      </c>
      <c r="H9027" s="7">
        <v>3082</v>
      </c>
      <c r="I9027" s="8" t="str">
        <f ca="1">IFERROR(__xludf.DUMMYFUNCTION("IF
(
G9028=""фізична особа""
,
VLOOKUP(H9028,IMPORTRANGE(""https://docs.google.com/spreadsheets/d/14Bd19lYaqBhU8_DElYkX7l4wRkHqqCUFNJY4AfY3kHU/edit?usp=sharing  #gid=0"",""фіз особи new!relations_name""),6,FALSE)
,
(IF
(
G9028=""юридична особа""
,
VLOOKUP"&amp;"(H9028,IMPORTRANGE(""https://docs.google.com/spreadsheets/d/14Bd19lYaqBhU8_DElYkX7l4wRkHqqCUFNJY4AfY3kHU/edit?usp=sharing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7" s="7" t="s">
        <v>29</v>
      </c>
    </row>
    <row r="9028" spans="1:10" ht="13.2">
      <c r="A9028" s="7">
        <v>9027</v>
      </c>
      <c r="B9028" s="7">
        <v>1</v>
      </c>
      <c r="C9028" s="7" t="s">
        <v>10</v>
      </c>
      <c r="D9028" s="7">
        <v>10910</v>
      </c>
      <c r="E9028" s="7" t="s">
        <v>28</v>
      </c>
      <c r="F9028" s="8" t="str">
        <f ca="1">IFERROR(__xludf.DUMMYFUNCTION("IF
(
C9029=""фізична особа""
,
VLOOKUP(D9029,IMPORTRANGE(""https://docs.google.com/spreadsheets/d/14Bd19lYaqBhU8_DElYkX7l4wRkHqqCUFNJY4AfY3kHU/edit?usp=sharing  #gid=0"",""фіз особи new!relations_name""),6,FALSE)
,
(IF
(
C9029=""юридична особа""
,
VLOOKUP"&amp;"(D9029,IMPORTRANGE(""https://docs.google.com/spreadsheets/d/14Bd19lYaqBhU8_DElYkX7l4wRkHqqCUFNJY4AfY3kHU/edit?usp=sharing  #gid=0"",""фіз особи new!relations_name_uo""),7,FALSE)
,
)
))"),"ГЛАДНЄВ Володимир Юрійович")</f>
        <v>ГЛАДНЄВ Володимир Юрійович</v>
      </c>
      <c r="G9028" s="7" t="s">
        <v>10</v>
      </c>
      <c r="H9028" s="7">
        <v>3082</v>
      </c>
      <c r="I9028" s="8" t="str">
        <f ca="1">IFERROR(__xludf.DUMMYFUNCTION("IF
(
G9029=""фізична особа""
,
VLOOKUP(H9029,IMPORTRANGE(""https://docs.google.com/spreadsheets/d/14Bd19lYaqBhU8_DElYkX7l4wRkHqqCUFNJY4AfY3kHU/edit?usp=sharing  #gid=0"",""фіз особи new!relations_name""),6,FALSE)
,
(IF
(
G9029=""юридична особа""
,
VLOOKUP"&amp;"(H9029,IMPORTRANGE(""https://docs.google.com/spreadsheets/d/14Bd19lYaqBhU8_DElYkX7l4wRkHqqCUFNJY4AfY3kHU/edit?usp=sharing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8" s="7" t="s">
        <v>29</v>
      </c>
    </row>
    <row r="9029" spans="1:10" ht="13.2">
      <c r="A9029" s="7">
        <v>9028</v>
      </c>
      <c r="B9029" s="7">
        <v>1</v>
      </c>
      <c r="C9029" s="7" t="s">
        <v>10</v>
      </c>
      <c r="D9029" s="7">
        <v>10911</v>
      </c>
      <c r="E9029" s="7" t="s">
        <v>28</v>
      </c>
      <c r="F9029" s="8" t="str">
        <f ca="1">IFERROR(__xludf.DUMMYFUNCTION("IF
(
C9030=""фізична особа""
,
VLOOKUP(D9030,IMPORTRANGE(""https://docs.google.com/spreadsheets/d/14Bd19lYaqBhU8_DElYkX7l4wRkHqqCUFNJY4AfY3kHU/edit?usp=sharing  #gid=0"",""фіз особи new!relations_name""),6,FALSE)
,
(IF
(
C9030=""юридична особа""
,
VLOOKUP"&amp;"(D9030,IMPORTRANGE(""https://docs.google.com/spreadsheets/d/14Bd19lYaqBhU8_DElYkX7l4wRkHqqCUFNJY4AfY3kHU/edit?usp=sharing  #gid=0"",""фіз особи new!relations_name_uo""),7,FALSE)
,
)
))"),"БАРАТОВ Андрій Володимирович")</f>
        <v>БАРАТОВ Андрій Володимирович</v>
      </c>
      <c r="G9029" s="7" t="s">
        <v>10</v>
      </c>
      <c r="H9029" s="7">
        <v>3082</v>
      </c>
      <c r="I9029" s="8" t="str">
        <f ca="1">IFERROR(__xludf.DUMMYFUNCTION("IF
(
G9030=""фізична особа""
,
VLOOKUP(H9030,IMPORTRANGE(""https://docs.google.com/spreadsheets/d/14Bd19lYaqBhU8_DElYkX7l4wRkHqqCUFNJY4AfY3kHU/edit?usp=sharing  #gid=0"",""фіз особи new!relations_name""),6,FALSE)
,
(IF
(
G9030=""юридична особа""
,
VLOOKUP"&amp;"(H9030,IMPORTRANGE(""https://docs.google.com/spreadsheets/d/14Bd19lYaqBhU8_DElYkX7l4wRkHqqCUFNJY4AfY3kHU/edit?usp=sharing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29" s="7" t="s">
        <v>29</v>
      </c>
    </row>
    <row r="9030" spans="1:10" ht="13.2">
      <c r="A9030" s="7">
        <v>9029</v>
      </c>
      <c r="B9030" s="7">
        <v>1</v>
      </c>
      <c r="C9030" s="7" t="s">
        <v>10</v>
      </c>
      <c r="D9030" s="7">
        <v>10912</v>
      </c>
      <c r="E9030" s="7" t="s">
        <v>28</v>
      </c>
      <c r="F9030" s="8" t="str">
        <f ca="1">IFERROR(__xludf.DUMMYFUNCTION("IF
(
C9031=""фізична особа""
,
VLOOKUP(D9031,IMPORTRANGE(""https://docs.google.com/spreadsheets/d/14Bd19lYaqBhU8_DElYkX7l4wRkHqqCUFNJY4AfY3kHU/edit?usp=sharing  #gid=0"",""фіз особи new!relations_name""),6,FALSE)
,
(IF
(
C9031=""юридична особа""
,
VLOOKUP"&amp;"(D9031,IMPORTRANGE(""https://docs.google.com/spreadsheets/d/14Bd19lYaqBhU8_DElYkX7l4wRkHqqCUFNJY4AfY3kHU/edit?usp=sharing  #gid=0"",""фіз особи new!relations_name_uo""),7,FALSE)
,
)
))"),"ШЕМГОХОВ Айтеч Муратович")</f>
        <v>ШЕМГОХОВ Айтеч Муратович</v>
      </c>
      <c r="G9030" s="7" t="s">
        <v>10</v>
      </c>
      <c r="H9030" s="7">
        <v>3082</v>
      </c>
      <c r="I9030" s="8" t="str">
        <f ca="1">IFERROR(__xludf.DUMMYFUNCTION("IF
(
G9031=""фізична особа""
,
VLOOKUP(H9031,IMPORTRANGE(""https://docs.google.com/spreadsheets/d/14Bd19lYaqBhU8_DElYkX7l4wRkHqqCUFNJY4AfY3kHU/edit?usp=sharing  #gid=0"",""фіз особи new!relations_name""),6,FALSE)
,
(IF
(
G9031=""юридична особа""
,
VLOOKUP"&amp;"(H9031,IMPORTRANGE(""https://docs.google.com/spreadsheets/d/14Bd19lYaqBhU8_DElYkX7l4wRkHqqCUFNJY4AfY3kHU/edit?usp=sharing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30" s="7" t="s">
        <v>29</v>
      </c>
    </row>
    <row r="9031" spans="1:10" ht="13.2">
      <c r="A9031" s="7">
        <v>9030</v>
      </c>
      <c r="B9031" s="7">
        <v>1</v>
      </c>
      <c r="C9031" s="7" t="s">
        <v>10</v>
      </c>
      <c r="D9031" s="7">
        <v>10913</v>
      </c>
      <c r="E9031" s="7" t="s">
        <v>28</v>
      </c>
      <c r="F9031" s="8" t="str">
        <f ca="1">IFERROR(__xludf.DUMMYFUNCTION("IF
(
C9032=""фізична особа""
,
VLOOKUP(D9032,IMPORTRANGE(""https://docs.google.com/spreadsheets/d/14Bd19lYaqBhU8_DElYkX7l4wRkHqqCUFNJY4AfY3kHU/edit?usp=sharing  #gid=0"",""фіз особи new!relations_name""),6,FALSE)
,
(IF
(
C9032=""юридична особа""
,
VLOOKUP"&amp;"(D9032,IMPORTRANGE(""https://docs.google.com/spreadsheets/d/14Bd19lYaqBhU8_DElYkX7l4wRkHqqCUFNJY4AfY3kHU/edit?usp=sharing  #gid=0"",""фіз особи new!relations_name_uo""),7,FALSE)
,
)
))"),"ПОЛІНСЬКА Тетяна Олексіївна")</f>
        <v>ПОЛІНСЬКА Тетяна Олексіївна</v>
      </c>
      <c r="G9031" s="7" t="s">
        <v>10</v>
      </c>
      <c r="H9031" s="7">
        <v>3082</v>
      </c>
      <c r="I9031" s="8" t="str">
        <f ca="1">IFERROR(__xludf.DUMMYFUNCTION("IF
(
G9032=""фізична особа""
,
VLOOKUP(H9032,IMPORTRANGE(""https://docs.google.com/spreadsheets/d/14Bd19lYaqBhU8_DElYkX7l4wRkHqqCUFNJY4AfY3kHU/edit?usp=sharing  #gid=0"",""фіз особи new!relations_name""),6,FALSE)
,
(IF
(
G9032=""юридична особа""
,
VLOOKUP"&amp;"(H9032,IMPORTRANGE(""https://docs.google.com/spreadsheets/d/14Bd19lYaqBhU8_DElYkX7l4wRkHqqCUFNJY4AfY3kHU/edit?usp=sharing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31" s="7" t="s">
        <v>29</v>
      </c>
    </row>
    <row r="9032" spans="1:10" ht="13.2">
      <c r="A9032" s="7">
        <v>9031</v>
      </c>
      <c r="B9032" s="7">
        <v>1</v>
      </c>
      <c r="C9032" s="7" t="s">
        <v>10</v>
      </c>
      <c r="D9032" s="7">
        <v>10914</v>
      </c>
      <c r="E9032" s="7" t="s">
        <v>28</v>
      </c>
      <c r="F9032" s="8" t="str">
        <f ca="1">IFERROR(__xludf.DUMMYFUNCTION("IF
(
C9033=""фізична особа""
,
VLOOKUP(D9033,IMPORTRANGE(""https://docs.google.com/spreadsheets/d/14Bd19lYaqBhU8_DElYkX7l4wRkHqqCUFNJY4AfY3kHU/edit?usp=sharing  #gid=0"",""фіз особи new!relations_name""),6,FALSE)
,
(IF
(
C9033=""юридична особа""
,
VLOOKUP"&amp;"(D9033,IMPORTRANGE(""https://docs.google.com/spreadsheets/d/14Bd19lYaqBhU8_DElYkX7l4wRkHqqCUFNJY4AfY3kHU/edit?usp=sharing  #gid=0"",""фіз особи new!relations_name_uo""),7,FALSE)
,
)
))"),"ТРЕТЬЯКОВ Георгій Владиславович")</f>
        <v>ТРЕТЬЯКОВ Георгій Владиславович</v>
      </c>
      <c r="G9032" s="7" t="s">
        <v>10</v>
      </c>
      <c r="H9032" s="7">
        <v>3082</v>
      </c>
      <c r="I9032" s="8" t="str">
        <f ca="1">IFERROR(__xludf.DUMMYFUNCTION("IF
(
G9033=""фізична особа""
,
VLOOKUP(H9033,IMPORTRANGE(""https://docs.google.com/spreadsheets/d/14Bd19lYaqBhU8_DElYkX7l4wRkHqqCUFNJY4AfY3kHU/edit?usp=sharing  #gid=0"",""фіз особи new!relations_name""),6,FALSE)
,
(IF
(
G9033=""юридична особа""
,
VLOOKUP"&amp;"(H9033,IMPORTRANGE(""https://docs.google.com/spreadsheets/d/14Bd19lYaqBhU8_DElYkX7l4wRkHqqCUFNJY4AfY3kHU/edit?usp=sharing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32" s="7" t="s">
        <v>29</v>
      </c>
    </row>
    <row r="9033" spans="1:10" ht="13.2">
      <c r="A9033" s="7">
        <v>9032</v>
      </c>
      <c r="B9033" s="7">
        <v>1</v>
      </c>
      <c r="C9033" s="7" t="s">
        <v>10</v>
      </c>
      <c r="D9033" s="7">
        <v>10915</v>
      </c>
      <c r="E9033" s="7" t="s">
        <v>28</v>
      </c>
      <c r="F9033" s="8" t="str">
        <f ca="1">IFERROR(__xludf.DUMMYFUNCTION("IF
(
C9034=""фізична особа""
,
VLOOKUP(D9034,IMPORTRANGE(""https://docs.google.com/spreadsheets/d/14Bd19lYaqBhU8_DElYkX7l4wRkHqqCUFNJY4AfY3kHU/edit?usp=sharing  #gid=0"",""фіз особи new!relations_name""),6,FALSE)
,
(IF
(
C9034=""юридична особа""
,
VLOOKUP"&amp;"(D9034,IMPORTRANGE(""https://docs.google.com/spreadsheets/d/14Bd19lYaqBhU8_DElYkX7l4wRkHqqCUFNJY4AfY3kHU/edit?usp=sharing  #gid=0"",""фіз особи new!relations_name_uo""),7,FALSE)
,
)
))"),"ІЛЬЇНА Оксана Анатоліївна")</f>
        <v>ІЛЬЇНА Оксана Анатоліївна</v>
      </c>
      <c r="G9033" s="7" t="s">
        <v>10</v>
      </c>
      <c r="H9033" s="7">
        <v>22386</v>
      </c>
      <c r="I9033" s="8" t="str">
        <f ca="1">IFERROR(__xludf.DUMMYFUNCTION("IF
(
G9034=""фізична особа""
,
VLOOKUP(H9034,IMPORTRANGE(""https://docs.google.com/spreadsheets/d/14Bd19lYaqBhU8_DElYkX7l4wRkHqqCUFNJY4AfY3kHU/edit?usp=sharing  #gid=0"",""фіз особи new!relations_name""),6,FALSE)
,
(IF
(
G9034=""юридична особа""
,
VLOOKUP"&amp;"(H9034,IMPORTRANGE(""https://docs.google.com/spreadsheets/d/14Bd19lYaqBhU8_DElYkX7l4wRkHqqCUFNJY4AfY3kHU/edit?usp=sharing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33" s="7" t="s">
        <v>29</v>
      </c>
    </row>
    <row r="9034" spans="1:10" ht="13.2">
      <c r="A9034" s="7">
        <v>9033</v>
      </c>
      <c r="B9034" s="7">
        <v>1</v>
      </c>
      <c r="C9034" s="7" t="s">
        <v>10</v>
      </c>
      <c r="D9034" s="7">
        <v>10914</v>
      </c>
      <c r="E9034" s="7" t="s">
        <v>28</v>
      </c>
      <c r="F9034" s="8" t="str">
        <f ca="1">IFERROR(__xludf.DUMMYFUNCTION("IF
(
C9035=""фізична особа""
,
VLOOKUP(D9035,IMPORTRANGE(""https://docs.google.com/spreadsheets/d/14Bd19lYaqBhU8_DElYkX7l4wRkHqqCUFNJY4AfY3kHU/edit?usp=sharing  #gid=0"",""фіз особи new!relations_name""),6,FALSE)
,
(IF
(
C9035=""юридична особа""
,
VLOOKUP"&amp;"(D9035,IMPORTRANGE(""https://docs.google.com/spreadsheets/d/14Bd19lYaqBhU8_DElYkX7l4wRkHqqCUFNJY4AfY3kHU/edit?usp=sharing  #gid=0"",""фіз особи new!relations_name_uo""),7,FALSE)
,
)
))"),"ТРЕТЬЯКОВ Георгій Владиславович")</f>
        <v>ТРЕТЬЯКОВ Георгій Владиславович</v>
      </c>
      <c r="G9034" s="7" t="s">
        <v>10</v>
      </c>
      <c r="H9034" s="7">
        <v>3082</v>
      </c>
      <c r="I9034" s="8" t="str">
        <f ca="1">IFERROR(__xludf.DUMMYFUNCTION("IF
(
G9035=""фізична особа""
,
VLOOKUP(H9035,IMPORTRANGE(""https://docs.google.com/spreadsheets/d/14Bd19lYaqBhU8_DElYkX7l4wRkHqqCUFNJY4AfY3kHU/edit?usp=sharing  #gid=0"",""фіз особи new!relations_name""),6,FALSE)
,
(IF
(
G9035=""юридична особа""
,
VLOOKUP"&amp;"(H9035,IMPORTRANGE(""https://docs.google.com/spreadsheets/d/14Bd19lYaqBhU8_DElYkX7l4wRkHqqCUFNJY4AfY3kHU/edit?usp=sharing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34" s="7" t="s">
        <v>29</v>
      </c>
    </row>
    <row r="9035" spans="1:10" ht="13.2">
      <c r="A9035" s="7">
        <v>9034</v>
      </c>
      <c r="B9035" s="7">
        <v>1</v>
      </c>
      <c r="C9035" s="7" t="s">
        <v>10</v>
      </c>
      <c r="D9035" s="7">
        <v>10917</v>
      </c>
      <c r="E9035" s="7" t="s">
        <v>28</v>
      </c>
      <c r="F9035" s="8" t="str">
        <f ca="1">IFERROR(__xludf.DUMMYFUNCTION("IF
(
C9036=""фізична особа""
,
VLOOKUP(D9036,IMPORTRANGE(""https://docs.google.com/spreadsheets/d/14Bd19lYaqBhU8_DElYkX7l4wRkHqqCUFNJY4AfY3kHU/edit?usp=sharing  #gid=0"",""фіз особи new!relations_name""),6,FALSE)
,
(IF
(
C9036=""юридична особа""
,
VLOOKUP"&amp;"(D9036,IMPORTRANGE(""https://docs.google.com/spreadsheets/d/14Bd19lYaqBhU8_DElYkX7l4wRkHqqCUFNJY4AfY3kHU/edit?usp=sharing  #gid=0"",""фіз особи new!relations_name_uo""),7,FALSE)
,
)
))"),"ПЕТРОВ Кирило Васильович")</f>
        <v>ПЕТРОВ Кирило Васильович</v>
      </c>
      <c r="G9035" s="7" t="s">
        <v>10</v>
      </c>
      <c r="H9035" s="7">
        <v>3069</v>
      </c>
      <c r="I9035" s="8" t="str">
        <f ca="1">IFERROR(__xludf.DUMMYFUNCTION("IF
(
G9036=""фізична особа""
,
VLOOKUP(H9036,IMPORTRANGE(""https://docs.google.com/spreadsheets/d/14Bd19lYaqBhU8_DElYkX7l4wRkHqqCUFNJY4AfY3kHU/edit?usp=sharing  #gid=0"",""фіз особи new!relations_name""),6,FALSE)
,
(IF
(
G9036=""юридична особа""
,
VLOOKUP"&amp;"(H9036,IMPORTRANGE(""https://docs.google.com/spreadsheets/d/14Bd19lYaqBhU8_DElYkX7l4wRkHqqCUFNJY4AfY3kHU/edit?usp=sharing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35" s="7" t="s">
        <v>29</v>
      </c>
    </row>
    <row r="9036" spans="1:10" ht="13.2">
      <c r="A9036" s="7">
        <v>9035</v>
      </c>
      <c r="B9036" s="7">
        <v>1</v>
      </c>
      <c r="C9036" s="7" t="s">
        <v>10</v>
      </c>
      <c r="D9036" s="7">
        <v>10918</v>
      </c>
      <c r="E9036" s="7" t="s">
        <v>28</v>
      </c>
      <c r="F9036" s="8" t="str">
        <f ca="1">IFERROR(__xludf.DUMMYFUNCTION("IF
(
C9037=""фізична особа""
,
VLOOKUP(D9037,IMPORTRANGE(""https://docs.google.com/spreadsheets/d/14Bd19lYaqBhU8_DElYkX7l4wRkHqqCUFNJY4AfY3kHU/edit?usp=sharing  #gid=0"",""фіз особи new!relations_name""),6,FALSE)
,
(IF
(
C9037=""юридична особа""
,
VLOOKUP"&amp;"(D9037,IMPORTRANGE(""https://docs.google.com/spreadsheets/d/14Bd19lYaqBhU8_DElYkX7l4wRkHqqCUFNJY4AfY3kHU/edit?usp=sharing  #gid=0"",""фіз особи new!relations_name_uo""),7,FALSE)
,
)
))"),"ПАНТЕЛЄЄВ Олексій Юрійович")</f>
        <v>ПАНТЕЛЄЄВ Олексій Юрійович</v>
      </c>
      <c r="G9036" s="7" t="s">
        <v>10</v>
      </c>
      <c r="H9036" s="7">
        <v>3069</v>
      </c>
      <c r="I9036" s="8" t="str">
        <f ca="1">IFERROR(__xludf.DUMMYFUNCTION("IF
(
G9037=""фізична особа""
,
VLOOKUP(H9037,IMPORTRANGE(""https://docs.google.com/spreadsheets/d/14Bd19lYaqBhU8_DElYkX7l4wRkHqqCUFNJY4AfY3kHU/edit?usp=sharing  #gid=0"",""фіз особи new!relations_name""),6,FALSE)
,
(IF
(
G9037=""юридична особа""
,
VLOOKUP"&amp;"(H9037,IMPORTRANGE(""https://docs.google.com/spreadsheets/d/14Bd19lYaqBhU8_DElYkX7l4wRkHqqCUFNJY4AfY3kHU/edit?usp=sharing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36" s="7" t="s">
        <v>29</v>
      </c>
    </row>
    <row r="9037" spans="1:10" ht="13.2">
      <c r="A9037" s="7">
        <v>9036</v>
      </c>
      <c r="B9037" s="7">
        <v>1</v>
      </c>
      <c r="C9037" s="7" t="s">
        <v>10</v>
      </c>
      <c r="D9037" s="7">
        <v>10919</v>
      </c>
      <c r="E9037" s="7" t="s">
        <v>28</v>
      </c>
      <c r="F9037" s="8" t="str">
        <f ca="1">IFERROR(__xludf.DUMMYFUNCTION("IF
(
C9038=""фізична особа""
,
VLOOKUP(D9038,IMPORTRANGE(""https://docs.google.com/spreadsheets/d/14Bd19lYaqBhU8_DElYkX7l4wRkHqqCUFNJY4AfY3kHU/edit?usp=sharing  #gid=0"",""фіз особи new!relations_name""),6,FALSE)
,
(IF
(
C9038=""юридична особа""
,
VLOOKUP"&amp;"(D9038,IMPORTRANGE(""https://docs.google.com/spreadsheets/d/14Bd19lYaqBhU8_DElYkX7l4wRkHqqCUFNJY4AfY3kHU/edit?usp=sharing  #gid=0"",""фіз особи new!relations_name_uo""),7,FALSE)
,
)
))"),"СКВОРЦОВ Артем Сергійович")</f>
        <v>СКВОРЦОВ Артем Сергійович</v>
      </c>
      <c r="G9037" s="7" t="s">
        <v>10</v>
      </c>
      <c r="H9037" s="7">
        <v>3069</v>
      </c>
      <c r="I9037" s="8" t="str">
        <f ca="1">IFERROR(__xludf.DUMMYFUNCTION("IF
(
G9038=""фізична особа""
,
VLOOKUP(H9038,IMPORTRANGE(""https://docs.google.com/spreadsheets/d/14Bd19lYaqBhU8_DElYkX7l4wRkHqqCUFNJY4AfY3kHU/edit?usp=sharing  #gid=0"",""фіз особи new!relations_name""),6,FALSE)
,
(IF
(
G9038=""юридична особа""
,
VLOOKUP"&amp;"(H9038,IMPORTRANGE(""https://docs.google.com/spreadsheets/d/14Bd19lYaqBhU8_DElYkX7l4wRkHqqCUFNJY4AfY3kHU/edit?usp=sharing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37" s="7" t="s">
        <v>29</v>
      </c>
    </row>
    <row r="9038" spans="1:10" ht="13.2">
      <c r="A9038" s="7">
        <v>9037</v>
      </c>
      <c r="B9038" s="7">
        <v>1</v>
      </c>
      <c r="C9038" s="7" t="s">
        <v>10</v>
      </c>
      <c r="D9038" s="7">
        <v>10920</v>
      </c>
      <c r="E9038" s="7" t="s">
        <v>28</v>
      </c>
      <c r="F9038" s="8" t="str">
        <f ca="1">IFERROR(__xludf.DUMMYFUNCTION("IF
(
C9039=""фізична особа""
,
VLOOKUP(D9039,IMPORTRANGE(""https://docs.google.com/spreadsheets/d/14Bd19lYaqBhU8_DElYkX7l4wRkHqqCUFNJY4AfY3kHU/edit?usp=sharing  #gid=0"",""фіз особи new!relations_name""),6,FALSE)
,
(IF
(
C9039=""юридична особа""
,
VLOOKUP"&amp;"(D9039,IMPORTRANGE(""https://docs.google.com/spreadsheets/d/14Bd19lYaqBhU8_DElYkX7l4wRkHqqCUFNJY4AfY3kHU/edit?usp=sharing  #gid=0"",""фіз особи new!relations_name_uo""),7,FALSE)
,
)
))"),"БОРОВИЧЕВА Світлана Євгенівна")</f>
        <v>БОРОВИЧЕВА Світлана Євгенівна</v>
      </c>
      <c r="G9038" s="7" t="s">
        <v>10</v>
      </c>
      <c r="H9038" s="7">
        <v>3069</v>
      </c>
      <c r="I9038" s="8" t="str">
        <f ca="1">IFERROR(__xludf.DUMMYFUNCTION("IF
(
G9039=""фізична особа""
,
VLOOKUP(H9039,IMPORTRANGE(""https://docs.google.com/spreadsheets/d/14Bd19lYaqBhU8_DElYkX7l4wRkHqqCUFNJY4AfY3kHU/edit?usp=sharing  #gid=0"",""фіз особи new!relations_name""),6,FALSE)
,
(IF
(
G9039=""юридична особа""
,
VLOOKUP"&amp;"(H9039,IMPORTRANGE(""https://docs.google.com/spreadsheets/d/14Bd19lYaqBhU8_DElYkX7l4wRkHqqCUFNJY4AfY3kHU/edit?usp=sharing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38" s="7" t="s">
        <v>29</v>
      </c>
    </row>
    <row r="9039" spans="1:10" ht="13.2">
      <c r="A9039" s="7">
        <v>9038</v>
      </c>
      <c r="B9039" s="7">
        <v>1</v>
      </c>
      <c r="C9039" s="7" t="s">
        <v>10</v>
      </c>
      <c r="D9039" s="7">
        <v>10921</v>
      </c>
      <c r="E9039" s="7" t="s">
        <v>28</v>
      </c>
      <c r="F9039" s="8" t="str">
        <f ca="1">IFERROR(__xludf.DUMMYFUNCTION("IF
(
C9040=""фізична особа""
,
VLOOKUP(D9040,IMPORTRANGE(""https://docs.google.com/spreadsheets/d/14Bd19lYaqBhU8_DElYkX7l4wRkHqqCUFNJY4AfY3kHU/edit?usp=sharing  #gid=0"",""фіз особи new!relations_name""),6,FALSE)
,
(IF
(
C9040=""юридична особа""
,
VLOOKUP"&amp;"(D9040,IMPORTRANGE(""https://docs.google.com/spreadsheets/d/14Bd19lYaqBhU8_DElYkX7l4wRkHqqCUFNJY4AfY3kHU/edit?usp=sharing  #gid=0"",""фіз особи new!relations_name_uo""),7,FALSE)
,
)
))"),"МАЖАРОВ Микола Вікторович")</f>
        <v>МАЖАРОВ Микола Вікторович</v>
      </c>
      <c r="G9039" s="7" t="s">
        <v>10</v>
      </c>
      <c r="H9039" s="7">
        <v>3069</v>
      </c>
      <c r="I9039" s="8" t="str">
        <f ca="1">IFERROR(__xludf.DUMMYFUNCTION("IF
(
G9040=""фізична особа""
,
VLOOKUP(H9040,IMPORTRANGE(""https://docs.google.com/spreadsheets/d/14Bd19lYaqBhU8_DElYkX7l4wRkHqqCUFNJY4AfY3kHU/edit?usp=sharing  #gid=0"",""фіз особи new!relations_name""),6,FALSE)
,
(IF
(
G9040=""юридична особа""
,
VLOOKUP"&amp;"(H9040,IMPORTRANGE(""https://docs.google.com/spreadsheets/d/14Bd19lYaqBhU8_DElYkX7l4wRkHqqCUFNJY4AfY3kHU/edit?usp=sharing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39" s="7" t="s">
        <v>29</v>
      </c>
    </row>
    <row r="9040" spans="1:10" ht="13.2">
      <c r="A9040" s="7">
        <v>9039</v>
      </c>
      <c r="B9040" s="7">
        <v>1</v>
      </c>
      <c r="C9040" s="7" t="s">
        <v>10</v>
      </c>
      <c r="D9040" s="7">
        <v>10921</v>
      </c>
      <c r="E9040" s="7" t="s">
        <v>17</v>
      </c>
      <c r="F9040" s="8" t="str">
        <f ca="1">IFERROR(__xludf.DUMMYFUNCTION("IF
(
C9041=""фізична особа""
,
VLOOKUP(D9041,IMPORTRANGE(""https://docs.google.com/spreadsheets/d/14Bd19lYaqBhU8_DElYkX7l4wRkHqqCUFNJY4AfY3kHU/edit?usp=sharing  #gid=0"",""фіз особи new!relations_name""),6,FALSE)
,
(IF
(
C9041=""юридична особа""
,
VLOOKUP"&amp;"(D9041,IMPORTRANGE(""https://docs.google.com/spreadsheets/d/14Bd19lYaqBhU8_DElYkX7l4wRkHqqCUFNJY4AfY3kHU/edit?usp=sharing  #gid=0"",""фіз особи new!relations_name_uo""),7,FALSE)
,
)
))"),"МАЖАРОВ Микола Вікторович")</f>
        <v>МАЖАРОВ Микола Вікторович</v>
      </c>
      <c r="G9040" s="7" t="s">
        <v>10</v>
      </c>
      <c r="H9040" s="7">
        <v>0</v>
      </c>
      <c r="I9040" s="8" t="str">
        <f ca="1">IFERROR(__xludf.DUMMYFUNCTION("IF
(
G9041=""фізична особа""
,
VLOOKUP(H9041,IMPORTRANGE(""https://docs.google.com/spreadsheets/d/14Bd19lYaqBhU8_DElYkX7l4wRkHqqCUFNJY4AfY3kHU/edit?usp=sharing  #gid=0"",""фіз особи new!relations_name""),6,FALSE)
,
(IF
(
G9041=""юридична особа""
,
VLOOKUP"&amp;"(H9041,IMPORTRANGE(""https://docs.google.com/spreadsheets/d/14Bd19lYaqBhU8_DElYkX7l4wRkHqqCUFNJY4AfY3kHU/edit?usp=sharing  #gid=0"",""фіз особи new!relations_name_uo""),7,FALSE)
,
)
))"),"#N/A")</f>
        <v>#N/A</v>
      </c>
      <c r="J9040" s="7" t="s">
        <v>12</v>
      </c>
    </row>
    <row r="9041" spans="1:10" ht="13.2">
      <c r="A9041" s="7">
        <v>9040</v>
      </c>
      <c r="B9041" s="7">
        <v>1</v>
      </c>
      <c r="C9041" s="7" t="s">
        <v>10</v>
      </c>
      <c r="D9041" s="7">
        <v>10922</v>
      </c>
      <c r="E9041" s="7" t="s">
        <v>28</v>
      </c>
      <c r="F9041" s="8" t="str">
        <f ca="1">IFERROR(__xludf.DUMMYFUNCTION("IF
(
C9042=""фізична особа""
,
VLOOKUP(D9042,IMPORTRANGE(""https://docs.google.com/spreadsheets/d/14Bd19lYaqBhU8_DElYkX7l4wRkHqqCUFNJY4AfY3kHU/edit?usp=sharing  #gid=0"",""фіз особи new!relations_name""),6,FALSE)
,
(IF
(
C9042=""юридична особа""
,
VLOOKUP"&amp;"(D9042,IMPORTRANGE(""https://docs.google.com/spreadsheets/d/14Bd19lYaqBhU8_DElYkX7l4wRkHqqCUFNJY4AfY3kHU/edit?usp=sharing  #gid=0"",""фіз особи new!relations_name_uo""),7,FALSE)
,
)
))"),"ГАВРИЛЮК Валерій Геннадійович")</f>
        <v>ГАВРИЛЮК Валерій Геннадійович</v>
      </c>
      <c r="G9041" s="7" t="s">
        <v>10</v>
      </c>
      <c r="H9041" s="7">
        <v>3069</v>
      </c>
      <c r="I9041" s="8" t="str">
        <f ca="1">IFERROR(__xludf.DUMMYFUNCTION("IF
(
G9042=""фізична особа""
,
VLOOKUP(H9042,IMPORTRANGE(""https://docs.google.com/spreadsheets/d/14Bd19lYaqBhU8_DElYkX7l4wRkHqqCUFNJY4AfY3kHU/edit?usp=sharing  #gid=0"",""фіз особи new!relations_name""),6,FALSE)
,
(IF
(
G9042=""юридична особа""
,
VLOOKUP"&amp;"(H9042,IMPORTRANGE(""https://docs.google.com/spreadsheets/d/14Bd19lYaqBhU8_DElYkX7l4wRkHqqCUFNJY4AfY3kHU/edit?usp=sharing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1" s="7" t="s">
        <v>29</v>
      </c>
    </row>
    <row r="9042" spans="1:10" ht="13.2">
      <c r="A9042" s="7">
        <v>9041</v>
      </c>
      <c r="B9042" s="7">
        <v>1</v>
      </c>
      <c r="C9042" s="7" t="s">
        <v>10</v>
      </c>
      <c r="D9042" s="7">
        <v>10923</v>
      </c>
      <c r="E9042" s="7" t="s">
        <v>28</v>
      </c>
      <c r="F9042" s="8" t="str">
        <f ca="1">IFERROR(__xludf.DUMMYFUNCTION("IF
(
C9043=""фізична особа""
,
VLOOKUP(D9043,IMPORTRANGE(""https://docs.google.com/spreadsheets/d/14Bd19lYaqBhU8_DElYkX7l4wRkHqqCUFNJY4AfY3kHU/edit?usp=sharing  #gid=0"",""фіз особи new!relations_name""),6,FALSE)
,
(IF
(
C9043=""юридична особа""
,
VLOOKUP"&amp;"(D9043,IMPORTRANGE(""https://docs.google.com/spreadsheets/d/14Bd19lYaqBhU8_DElYkX7l4wRkHqqCUFNJY4AfY3kHU/edit?usp=sharing  #gid=0"",""фіз особи new!relations_name_uo""),7,FALSE)
,
)
))"),"ЯН Дмитро Ханмович")</f>
        <v>ЯН Дмитро Ханмович</v>
      </c>
      <c r="G9042" s="7" t="s">
        <v>10</v>
      </c>
      <c r="H9042" s="7">
        <v>3069</v>
      </c>
      <c r="I9042" s="8" t="str">
        <f ca="1">IFERROR(__xludf.DUMMYFUNCTION("IF
(
G9043=""фізична особа""
,
VLOOKUP(H9043,IMPORTRANGE(""https://docs.google.com/spreadsheets/d/14Bd19lYaqBhU8_DElYkX7l4wRkHqqCUFNJY4AfY3kHU/edit?usp=sharing  #gid=0"",""фіз особи new!relations_name""),6,FALSE)
,
(IF
(
G9043=""юридична особа""
,
VLOOKUP"&amp;"(H9043,IMPORTRANGE(""https://docs.google.com/spreadsheets/d/14Bd19lYaqBhU8_DElYkX7l4wRkHqqCUFNJY4AfY3kHU/edit?usp=sharing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2" s="7" t="s">
        <v>29</v>
      </c>
    </row>
    <row r="9043" spans="1:10" ht="13.2">
      <c r="A9043" s="7">
        <v>9042</v>
      </c>
      <c r="B9043" s="7">
        <v>1</v>
      </c>
      <c r="C9043" s="7" t="s">
        <v>10</v>
      </c>
      <c r="D9043" s="7">
        <v>10924</v>
      </c>
      <c r="E9043" s="7" t="s">
        <v>28</v>
      </c>
      <c r="F9043" s="8" t="str">
        <f ca="1">IFERROR(__xludf.DUMMYFUNCTION("IF
(
C9044=""фізична особа""
,
VLOOKUP(D9044,IMPORTRANGE(""https://docs.google.com/spreadsheets/d/14Bd19lYaqBhU8_DElYkX7l4wRkHqqCUFNJY4AfY3kHU/edit?usp=sharing  #gid=0"",""фіз особи new!relations_name""),6,FALSE)
,
(IF
(
C9044=""юридична особа""
,
VLOOKUP"&amp;"(D9044,IMPORTRANGE(""https://docs.google.com/spreadsheets/d/14Bd19lYaqBhU8_DElYkX7l4wRkHqqCUFNJY4AfY3kHU/edit?usp=sharing  #gid=0"",""фіз особи new!relations_name_uo""),7,FALSE)
,
)
))"),"БРОДЮК Олена Миколаївна")</f>
        <v>БРОДЮК Олена Миколаївна</v>
      </c>
      <c r="G9043" s="7" t="s">
        <v>10</v>
      </c>
      <c r="H9043" s="7">
        <v>3069</v>
      </c>
      <c r="I9043" s="8" t="str">
        <f ca="1">IFERROR(__xludf.DUMMYFUNCTION("IF
(
G9044=""фізична особа""
,
VLOOKUP(H9044,IMPORTRANGE(""https://docs.google.com/spreadsheets/d/14Bd19lYaqBhU8_DElYkX7l4wRkHqqCUFNJY4AfY3kHU/edit?usp=sharing  #gid=0"",""фіз особи new!relations_name""),6,FALSE)
,
(IF
(
G9044=""юридична особа""
,
VLOOKUP"&amp;"(H9044,IMPORTRANGE(""https://docs.google.com/spreadsheets/d/14Bd19lYaqBhU8_DElYkX7l4wRkHqqCUFNJY4AfY3kHU/edit?usp=sharing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3" s="7" t="s">
        <v>29</v>
      </c>
    </row>
    <row r="9044" spans="1:10" ht="13.2">
      <c r="A9044" s="7">
        <v>9043</v>
      </c>
      <c r="B9044" s="7">
        <v>1</v>
      </c>
      <c r="C9044" s="7" t="s">
        <v>10</v>
      </c>
      <c r="D9044" s="7">
        <v>10925</v>
      </c>
      <c r="E9044" s="7" t="s">
        <v>28</v>
      </c>
      <c r="F9044" s="8" t="str">
        <f ca="1">IFERROR(__xludf.DUMMYFUNCTION("IF
(
C9045=""фізична особа""
,
VLOOKUP(D9045,IMPORTRANGE(""https://docs.google.com/spreadsheets/d/14Bd19lYaqBhU8_DElYkX7l4wRkHqqCUFNJY4AfY3kHU/edit?usp=sharing  #gid=0"",""фіз особи new!relations_name""),6,FALSE)
,
(IF
(
C9045=""юридична особа""
,
VLOOKUP"&amp;"(D9045,IMPORTRANGE(""https://docs.google.com/spreadsheets/d/14Bd19lYaqBhU8_DElYkX7l4wRkHqqCUFNJY4AfY3kHU/edit?usp=sharing  #gid=0"",""фіз особи new!relations_name_uo""),7,FALSE)
,
)
))"),"КУЗНЄЦОВА Людмила Миколаївна")</f>
        <v>КУЗНЄЦОВА Людмила Миколаївна</v>
      </c>
      <c r="G9044" s="7" t="s">
        <v>10</v>
      </c>
      <c r="H9044" s="7">
        <v>3069</v>
      </c>
      <c r="I9044" s="8" t="str">
        <f ca="1">IFERROR(__xludf.DUMMYFUNCTION("IF
(
G9045=""фізична особа""
,
VLOOKUP(H9045,IMPORTRANGE(""https://docs.google.com/spreadsheets/d/14Bd19lYaqBhU8_DElYkX7l4wRkHqqCUFNJY4AfY3kHU/edit?usp=sharing  #gid=0"",""фіз особи new!relations_name""),6,FALSE)
,
(IF
(
G9045=""юридична особа""
,
VLOOKUP"&amp;"(H9045,IMPORTRANGE(""https://docs.google.com/spreadsheets/d/14Bd19lYaqBhU8_DElYkX7l4wRkHqqCUFNJY4AfY3kHU/edit?usp=sharing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4" s="7" t="s">
        <v>29</v>
      </c>
    </row>
    <row r="9045" spans="1:10" ht="13.2">
      <c r="A9045" s="7">
        <v>9044</v>
      </c>
      <c r="B9045" s="7">
        <v>1</v>
      </c>
      <c r="C9045" s="7" t="s">
        <v>10</v>
      </c>
      <c r="D9045" s="7">
        <v>10926</v>
      </c>
      <c r="E9045" s="7" t="s">
        <v>28</v>
      </c>
      <c r="F9045" s="8" t="str">
        <f ca="1">IFERROR(__xludf.DUMMYFUNCTION("IF
(
C9046=""фізична особа""
,
VLOOKUP(D9046,IMPORTRANGE(""https://docs.google.com/spreadsheets/d/14Bd19lYaqBhU8_DElYkX7l4wRkHqqCUFNJY4AfY3kHU/edit?usp=sharing  #gid=0"",""фіз особи new!relations_name""),6,FALSE)
,
(IF
(
C9046=""юридична особа""
,
VLOOKUP"&amp;"(D9046,IMPORTRANGE(""https://docs.google.com/spreadsheets/d/14Bd19lYaqBhU8_DElYkX7l4wRkHqqCUFNJY4AfY3kHU/edit?usp=sharing  #gid=0"",""фіз особи new!relations_name_uo""),7,FALSE)
,
)
))"),"ДРУГАНОВА Світлана Вікторівна")</f>
        <v>ДРУГАНОВА Світлана Вікторівна</v>
      </c>
      <c r="G9045" s="7" t="s">
        <v>10</v>
      </c>
      <c r="H9045" s="7">
        <v>3069</v>
      </c>
      <c r="I9045" s="8" t="str">
        <f ca="1">IFERROR(__xludf.DUMMYFUNCTION("IF
(
G9046=""фізична особа""
,
VLOOKUP(H9046,IMPORTRANGE(""https://docs.google.com/spreadsheets/d/14Bd19lYaqBhU8_DElYkX7l4wRkHqqCUFNJY4AfY3kHU/edit?usp=sharing  #gid=0"",""фіз особи new!relations_name""),6,FALSE)
,
(IF
(
G9046=""юридична особа""
,
VLOOKUP"&amp;"(H9046,IMPORTRANGE(""https://docs.google.com/spreadsheets/d/14Bd19lYaqBhU8_DElYkX7l4wRkHqqCUFNJY4AfY3kHU/edit?usp=sharing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5" s="7" t="s">
        <v>29</v>
      </c>
    </row>
    <row r="9046" spans="1:10" ht="13.2">
      <c r="A9046" s="7">
        <v>9045</v>
      </c>
      <c r="B9046" s="7">
        <v>1</v>
      </c>
      <c r="C9046" s="7" t="s">
        <v>10</v>
      </c>
      <c r="D9046" s="7">
        <v>10927</v>
      </c>
      <c r="E9046" s="7" t="s">
        <v>28</v>
      </c>
      <c r="F9046" s="8" t="str">
        <f ca="1">IFERROR(__xludf.DUMMYFUNCTION("IF
(
C9047=""фізична особа""
,
VLOOKUP(D9047,IMPORTRANGE(""https://docs.google.com/spreadsheets/d/14Bd19lYaqBhU8_DElYkX7l4wRkHqqCUFNJY4AfY3kHU/edit?usp=sharing  #gid=0"",""фіз особи new!relations_name""),6,FALSE)
,
(IF
(
C9047=""юридична особа""
,
VLOOKUP"&amp;"(D9047,IMPORTRANGE(""https://docs.google.com/spreadsheets/d/14Bd19lYaqBhU8_DElYkX7l4wRkHqqCUFNJY4AfY3kHU/edit?usp=sharing  #gid=0"",""фіз особи new!relations_name_uo""),7,FALSE)
,
)
))"),"ЧУГУНКОВ Дмитро Миколайович")</f>
        <v>ЧУГУНКОВ Дмитро Миколайович</v>
      </c>
      <c r="G9046" s="7" t="s">
        <v>10</v>
      </c>
      <c r="H9046" s="7">
        <v>3069</v>
      </c>
      <c r="I9046" s="8" t="str">
        <f ca="1">IFERROR(__xludf.DUMMYFUNCTION("IF
(
G9047=""фізична особа""
,
VLOOKUP(H9047,IMPORTRANGE(""https://docs.google.com/spreadsheets/d/14Bd19lYaqBhU8_DElYkX7l4wRkHqqCUFNJY4AfY3kHU/edit?usp=sharing  #gid=0"",""фіз особи new!relations_name""),6,FALSE)
,
(IF
(
G9047=""юридична особа""
,
VLOOKUP"&amp;"(H9047,IMPORTRANGE(""https://docs.google.com/spreadsheets/d/14Bd19lYaqBhU8_DElYkX7l4wRkHqqCUFNJY4AfY3kHU/edit?usp=sharing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6" s="7" t="s">
        <v>29</v>
      </c>
    </row>
    <row r="9047" spans="1:10" ht="13.2">
      <c r="A9047" s="7">
        <v>9046</v>
      </c>
      <c r="B9047" s="7">
        <v>1</v>
      </c>
      <c r="C9047" s="7" t="s">
        <v>10</v>
      </c>
      <c r="D9047" s="7">
        <v>10928</v>
      </c>
      <c r="E9047" s="7" t="s">
        <v>28</v>
      </c>
      <c r="F9047" s="8" t="str">
        <f ca="1">IFERROR(__xludf.DUMMYFUNCTION("IF
(
C9048=""фізична особа""
,
VLOOKUP(D9048,IMPORTRANGE(""https://docs.google.com/spreadsheets/d/14Bd19lYaqBhU8_DElYkX7l4wRkHqqCUFNJY4AfY3kHU/edit?usp=sharing  #gid=0"",""фіз особи new!relations_name""),6,FALSE)
,
(IF
(
C9048=""юридична особа""
,
VLOOKUP"&amp;"(D9048,IMPORTRANGE(""https://docs.google.com/spreadsheets/d/14Bd19lYaqBhU8_DElYkX7l4wRkHqqCUFNJY4AfY3kHU/edit?usp=sharing  #gid=0"",""фіз особи new!relations_name_uo""),7,FALSE)
,
)
))"),"ЛИТВИНЮК Павло Геннадійович")</f>
        <v>ЛИТВИНЮК Павло Геннадійович</v>
      </c>
      <c r="G9047" s="7" t="s">
        <v>10</v>
      </c>
      <c r="H9047" s="7">
        <v>3069</v>
      </c>
      <c r="I9047" s="8" t="str">
        <f ca="1">IFERROR(__xludf.DUMMYFUNCTION("IF
(
G9048=""фізична особа""
,
VLOOKUP(H9048,IMPORTRANGE(""https://docs.google.com/spreadsheets/d/14Bd19lYaqBhU8_DElYkX7l4wRkHqqCUFNJY4AfY3kHU/edit?usp=sharing  #gid=0"",""фіз особи new!relations_name""),6,FALSE)
,
(IF
(
G9048=""юридична особа""
,
VLOOKUP"&amp;"(H9048,IMPORTRANGE(""https://docs.google.com/spreadsheets/d/14Bd19lYaqBhU8_DElYkX7l4wRkHqqCUFNJY4AfY3kHU/edit?usp=sharing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7" s="7" t="s">
        <v>29</v>
      </c>
    </row>
    <row r="9048" spans="1:10" ht="13.2">
      <c r="A9048" s="7">
        <v>9047</v>
      </c>
      <c r="B9048" s="7">
        <v>1</v>
      </c>
      <c r="C9048" s="7" t="s">
        <v>10</v>
      </c>
      <c r="D9048" s="7">
        <v>10929</v>
      </c>
      <c r="E9048" s="7" t="s">
        <v>28</v>
      </c>
      <c r="F9048" s="8" t="str">
        <f ca="1">IFERROR(__xludf.DUMMYFUNCTION("IF
(
C9049=""фізична особа""
,
VLOOKUP(D9049,IMPORTRANGE(""https://docs.google.com/spreadsheets/d/14Bd19lYaqBhU8_DElYkX7l4wRkHqqCUFNJY4AfY3kHU/edit?usp=sharing  #gid=0"",""фіз особи new!relations_name""),6,FALSE)
,
(IF
(
C9049=""юридична особа""
,
VLOOKUP"&amp;"(D9049,IMPORTRANGE(""https://docs.google.com/spreadsheets/d/14Bd19lYaqBhU8_DElYkX7l4wRkHqqCUFNJY4AfY3kHU/edit?usp=sharing  #gid=0"",""фіз особи new!relations_name_uo""),7,FALSE)
,
)
))"),"ЦИГАНЕНКО Анжеліка Віталіївна")</f>
        <v>ЦИГАНЕНКО Анжеліка Віталіївна</v>
      </c>
      <c r="G9048" s="7" t="s">
        <v>10</v>
      </c>
      <c r="H9048" s="7">
        <v>3069</v>
      </c>
      <c r="I9048" s="8" t="str">
        <f ca="1">IFERROR(__xludf.DUMMYFUNCTION("IF
(
G9049=""фізична особа""
,
VLOOKUP(H9049,IMPORTRANGE(""https://docs.google.com/spreadsheets/d/14Bd19lYaqBhU8_DElYkX7l4wRkHqqCUFNJY4AfY3kHU/edit?usp=sharing  #gid=0"",""фіз особи new!relations_name""),6,FALSE)
,
(IF
(
G9049=""юридична особа""
,
VLOOKUP"&amp;"(H9049,IMPORTRANGE(""https://docs.google.com/spreadsheets/d/14Bd19lYaqBhU8_DElYkX7l4wRkHqqCUFNJY4AfY3kHU/edit?usp=sharing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8" s="7" t="s">
        <v>29</v>
      </c>
    </row>
    <row r="9049" spans="1:10" ht="13.2">
      <c r="A9049" s="7">
        <v>9048</v>
      </c>
      <c r="B9049" s="7">
        <v>1</v>
      </c>
      <c r="C9049" s="7" t="s">
        <v>10</v>
      </c>
      <c r="D9049" s="7">
        <v>10930</v>
      </c>
      <c r="E9049" s="7" t="s">
        <v>28</v>
      </c>
      <c r="F9049" s="8" t="str">
        <f ca="1">IFERROR(__xludf.DUMMYFUNCTION("IF
(
C9050=""фізична особа""
,
VLOOKUP(D9050,IMPORTRANGE(""https://docs.google.com/spreadsheets/d/14Bd19lYaqBhU8_DElYkX7l4wRkHqqCUFNJY4AfY3kHU/edit?usp=sharing  #gid=0"",""фіз особи new!relations_name""),6,FALSE)
,
(IF
(
C9050=""юридична особа""
,
VLOOKUP"&amp;"(D9050,IMPORTRANGE(""https://docs.google.com/spreadsheets/d/14Bd19lYaqBhU8_DElYkX7l4wRkHqqCUFNJY4AfY3kHU/edit?usp=sharing  #gid=0"",""фіз особи new!relations_name_uo""),7,FALSE)
,
)
))"),"МАГОМАДОВ Абдул Абубакарович")</f>
        <v>МАГОМАДОВ Абдул Абубакарович</v>
      </c>
      <c r="G9049" s="7" t="s">
        <v>10</v>
      </c>
      <c r="H9049" s="7">
        <v>3069</v>
      </c>
      <c r="I9049" s="8" t="str">
        <f ca="1">IFERROR(__xludf.DUMMYFUNCTION("IF
(
G9050=""фізична особа""
,
VLOOKUP(H9050,IMPORTRANGE(""https://docs.google.com/spreadsheets/d/14Bd19lYaqBhU8_DElYkX7l4wRkHqqCUFNJY4AfY3kHU/edit?usp=sharing  #gid=0"",""фіз особи new!relations_name""),6,FALSE)
,
(IF
(
G9050=""юридична особа""
,
VLOOKUP"&amp;"(H9050,IMPORTRANGE(""https://docs.google.com/spreadsheets/d/14Bd19lYaqBhU8_DElYkX7l4wRkHqqCUFNJY4AfY3kHU/edit?usp=sharing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49" s="7" t="s">
        <v>29</v>
      </c>
    </row>
    <row r="9050" spans="1:10" ht="13.2">
      <c r="A9050" s="7">
        <v>9049</v>
      </c>
      <c r="B9050" s="7">
        <v>1</v>
      </c>
      <c r="C9050" s="7" t="s">
        <v>10</v>
      </c>
      <c r="D9050" s="7">
        <v>10931</v>
      </c>
      <c r="E9050" s="7" t="s">
        <v>28</v>
      </c>
      <c r="F9050" s="8" t="str">
        <f ca="1">IFERROR(__xludf.DUMMYFUNCTION("IF
(
C9051=""фізична особа""
,
VLOOKUP(D9051,IMPORTRANGE(""https://docs.google.com/spreadsheets/d/14Bd19lYaqBhU8_DElYkX7l4wRkHqqCUFNJY4AfY3kHU/edit?usp=sharing  #gid=0"",""фіз особи new!relations_name""),6,FALSE)
,
(IF
(
C9051=""юридична особа""
,
VLOOKUP"&amp;"(D9051,IMPORTRANGE(""https://docs.google.com/spreadsheets/d/14Bd19lYaqBhU8_DElYkX7l4wRkHqqCUFNJY4AfY3kHU/edit?usp=sharing  #gid=0"",""фіз особи new!relations_name_uo""),7,FALSE)
,
)
))"),"АНАНЬЄВА Олімпіада Миколаївна")</f>
        <v>АНАНЬЄВА Олімпіада Миколаївна</v>
      </c>
      <c r="G9050" s="7" t="s">
        <v>10</v>
      </c>
      <c r="H9050" s="7">
        <v>3069</v>
      </c>
      <c r="I9050" s="8" t="str">
        <f ca="1">IFERROR(__xludf.DUMMYFUNCTION("IF
(
G9051=""фізична особа""
,
VLOOKUP(H9051,IMPORTRANGE(""https://docs.google.com/spreadsheets/d/14Bd19lYaqBhU8_DElYkX7l4wRkHqqCUFNJY4AfY3kHU/edit?usp=sharing  #gid=0"",""фіз особи new!relations_name""),6,FALSE)
,
(IF
(
G9051=""юридична особа""
,
VLOOKUP"&amp;"(H9051,IMPORTRANGE(""https://docs.google.com/spreadsheets/d/14Bd19lYaqBhU8_DElYkX7l4wRkHqqCUFNJY4AfY3kHU/edit?usp=sharing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50" s="7" t="s">
        <v>29</v>
      </c>
    </row>
    <row r="9051" spans="1:10" ht="13.2">
      <c r="A9051" s="7">
        <v>9050</v>
      </c>
      <c r="B9051" s="7">
        <v>1</v>
      </c>
      <c r="C9051" s="7" t="s">
        <v>10</v>
      </c>
      <c r="D9051" s="7">
        <v>10932</v>
      </c>
      <c r="E9051" s="7" t="s">
        <v>28</v>
      </c>
      <c r="F9051" s="8" t="str">
        <f ca="1">IFERROR(__xludf.DUMMYFUNCTION("IF
(
C9052=""фізична особа""
,
VLOOKUP(D9052,IMPORTRANGE(""https://docs.google.com/spreadsheets/d/14Bd19lYaqBhU8_DElYkX7l4wRkHqqCUFNJY4AfY3kHU/edit?usp=sharing  #gid=0"",""фіз особи new!relations_name""),6,FALSE)
,
(IF
(
C9052=""юридична особа""
,
VLOOKUP"&amp;"(D9052,IMPORTRANGE(""https://docs.google.com/spreadsheets/d/14Bd19lYaqBhU8_DElYkX7l4wRkHqqCUFNJY4AfY3kHU/edit?usp=sharing  #gid=0"",""фіз особи new!relations_name_uo""),7,FALSE)
,
)
))"),"РОМАНЧЕНКО Тамара Миколаївна")</f>
        <v>РОМАНЧЕНКО Тамара Миколаївна</v>
      </c>
      <c r="G9051" s="7" t="s">
        <v>10</v>
      </c>
      <c r="H9051" s="7">
        <v>3069</v>
      </c>
      <c r="I9051" s="8" t="str">
        <f ca="1">IFERROR(__xludf.DUMMYFUNCTION("IF
(
G9052=""фізична особа""
,
VLOOKUP(H9052,IMPORTRANGE(""https://docs.google.com/spreadsheets/d/14Bd19lYaqBhU8_DElYkX7l4wRkHqqCUFNJY4AfY3kHU/edit?usp=sharing  #gid=0"",""фіз особи new!relations_name""),6,FALSE)
,
(IF
(
G9052=""юридична особа""
,
VLOOKUP"&amp;"(H9052,IMPORTRANGE(""https://docs.google.com/spreadsheets/d/14Bd19lYaqBhU8_DElYkX7l4wRkHqqCUFNJY4AfY3kHU/edit?usp=sharing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51" s="7" t="s">
        <v>29</v>
      </c>
    </row>
    <row r="9052" spans="1:10" ht="13.2">
      <c r="A9052" s="7">
        <v>9051</v>
      </c>
      <c r="B9052" s="7">
        <v>1</v>
      </c>
      <c r="C9052" s="7" t="s">
        <v>10</v>
      </c>
      <c r="D9052" s="7">
        <v>10933</v>
      </c>
      <c r="E9052" s="7" t="s">
        <v>28</v>
      </c>
      <c r="F9052" s="8" t="str">
        <f ca="1">IFERROR(__xludf.DUMMYFUNCTION("IF
(
C9053=""фізична особа""
,
VLOOKUP(D9053,IMPORTRANGE(""https://docs.google.com/spreadsheets/d/14Bd19lYaqBhU8_DElYkX7l4wRkHqqCUFNJY4AfY3kHU/edit?usp=sharing  #gid=0"",""фіз особи new!relations_name""),6,FALSE)
,
(IF
(
C9053=""юридична особа""
,
VLOOKUP"&amp;"(D9053,IMPORTRANGE(""https://docs.google.com/spreadsheets/d/14Bd19lYaqBhU8_DElYkX7l4wRkHqqCUFNJY4AfY3kHU/edit?usp=sharing  #gid=0"",""фіз особи new!relations_name_uo""),7,FALSE)
,
)
))"),"ЧИСТОФАТ Наталія Борисівна")</f>
        <v>ЧИСТОФАТ Наталія Борисівна</v>
      </c>
      <c r="G9052" s="7" t="s">
        <v>10</v>
      </c>
      <c r="H9052" s="7">
        <v>3069</v>
      </c>
      <c r="I9052" s="8" t="str">
        <f ca="1">IFERROR(__xludf.DUMMYFUNCTION("IF
(
G9053=""фізична особа""
,
VLOOKUP(H9053,IMPORTRANGE(""https://docs.google.com/spreadsheets/d/14Bd19lYaqBhU8_DElYkX7l4wRkHqqCUFNJY4AfY3kHU/edit?usp=sharing  #gid=0"",""фіз особи new!relations_name""),6,FALSE)
,
(IF
(
G9053=""юридична особа""
,
VLOOKUP"&amp;"(H9053,IMPORTRANGE(""https://docs.google.com/spreadsheets/d/14Bd19lYaqBhU8_DElYkX7l4wRkHqqCUFNJY4AfY3kHU/edit?usp=sharing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52" s="7" t="s">
        <v>29</v>
      </c>
    </row>
    <row r="9053" spans="1:10" ht="13.2">
      <c r="A9053" s="7">
        <v>9052</v>
      </c>
      <c r="B9053" s="7">
        <v>1</v>
      </c>
      <c r="C9053" s="7" t="s">
        <v>10</v>
      </c>
      <c r="D9053" s="7">
        <v>10934</v>
      </c>
      <c r="E9053" s="7" t="s">
        <v>28</v>
      </c>
      <c r="F9053" s="8" t="str">
        <f ca="1">IFERROR(__xludf.DUMMYFUNCTION("IF
(
C9054=""фізична особа""
,
VLOOKUP(D9054,IMPORTRANGE(""https://docs.google.com/spreadsheets/d/14Bd19lYaqBhU8_DElYkX7l4wRkHqqCUFNJY4AfY3kHU/edit?usp=sharing  #gid=0"",""фіз особи new!relations_name""),6,FALSE)
,
(IF
(
C9054=""юридична особа""
,
VLOOKUP"&amp;"(D9054,IMPORTRANGE(""https://docs.google.com/spreadsheets/d/14Bd19lYaqBhU8_DElYkX7l4wRkHqqCUFNJY4AfY3kHU/edit?usp=sharing  #gid=0"",""фіз особи new!relations_name_uo""),7,FALSE)
,
)
))"),"ТРИФОНОВ Олександр Олегович")</f>
        <v>ТРИФОНОВ Олександр Олегович</v>
      </c>
      <c r="G9053" s="7" t="s">
        <v>10</v>
      </c>
      <c r="H9053" s="7">
        <v>3069</v>
      </c>
      <c r="I9053" s="8" t="str">
        <f ca="1">IFERROR(__xludf.DUMMYFUNCTION("IF
(
G9054=""фізична особа""
,
VLOOKUP(H9054,IMPORTRANGE(""https://docs.google.com/spreadsheets/d/14Bd19lYaqBhU8_DElYkX7l4wRkHqqCUFNJY4AfY3kHU/edit?usp=sharing  #gid=0"",""фіз особи new!relations_name""),6,FALSE)
,
(IF
(
G9054=""юридична особа""
,
VLOOKUP"&amp;"(H9054,IMPORTRANGE(""https://docs.google.com/spreadsheets/d/14Bd19lYaqBhU8_DElYkX7l4wRkHqqCUFNJY4AfY3kHU/edit?usp=sharing  #gid=0"",""фіз особи new!relations_name_uo""),7,FALSE)
,
)
))"),"АРТЮХІН Роман Євгенович")</f>
        <v>АРТЮХІН Роман Євгенович</v>
      </c>
      <c r="J9053" s="7" t="s">
        <v>29</v>
      </c>
    </row>
    <row r="9054" spans="1:10" ht="13.2">
      <c r="A9054" s="7">
        <v>9053</v>
      </c>
      <c r="B9054" s="7">
        <v>1</v>
      </c>
      <c r="C9054" s="7" t="s">
        <v>10</v>
      </c>
      <c r="D9054" s="7">
        <v>10935</v>
      </c>
      <c r="E9054" s="7" t="s">
        <v>28</v>
      </c>
      <c r="F9054" s="8" t="str">
        <f ca="1">IFERROR(__xludf.DUMMYFUNCTION("IF
(
C9055=""фізична особа""
,
VLOOKUP(D9055,IMPORTRANGE(""https://docs.google.com/spreadsheets/d/14Bd19lYaqBhU8_DElYkX7l4wRkHqqCUFNJY4AfY3kHU/edit?usp=sharing  #gid=0"",""фіз особи new!relations_name""),6,FALSE)
,
(IF
(
C9055=""юридична особа""
,
VLOOKUP"&amp;"(D9055,IMPORTRANGE(""https://docs.google.com/spreadsheets/d/14Bd19lYaqBhU8_DElYkX7l4wRkHqqCUFNJY4AfY3kHU/edit?usp=sharing  #gid=0"",""фіз особи new!relations_name_uo""),7,FALSE)
,
)
))"),"ДЕНИСКІН Олександр Олександрович")</f>
        <v>ДЕНИСКІН Олександр Олександрович</v>
      </c>
      <c r="G9054" s="7" t="s">
        <v>10</v>
      </c>
      <c r="H9054" s="7">
        <v>3082</v>
      </c>
      <c r="I9054" s="8" t="str">
        <f ca="1">IFERROR(__xludf.DUMMYFUNCTION("IF
(
G9055=""фізична особа""
,
VLOOKUP(H9055,IMPORTRANGE(""https://docs.google.com/spreadsheets/d/14Bd19lYaqBhU8_DElYkX7l4wRkHqqCUFNJY4AfY3kHU/edit?usp=sharing  #gid=0"",""фіз особи new!relations_name""),6,FALSE)
,
(IF
(
G9055=""юридична особа""
,
VLOOKUP"&amp;"(H9055,IMPORTRANGE(""https://docs.google.com/spreadsheets/d/14Bd19lYaqBhU8_DElYkX7l4wRkHqqCUFNJY4AfY3kHU/edit?usp=sharing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54" s="7" t="s">
        <v>29</v>
      </c>
    </row>
    <row r="9055" spans="1:10" ht="13.2">
      <c r="A9055" s="7">
        <v>9054</v>
      </c>
      <c r="B9055" s="7">
        <v>1</v>
      </c>
      <c r="C9055" s="7" t="s">
        <v>10</v>
      </c>
      <c r="D9055" s="7">
        <v>10936</v>
      </c>
      <c r="E9055" s="7" t="s">
        <v>28</v>
      </c>
      <c r="F9055" s="8" t="str">
        <f ca="1">IFERROR(__xludf.DUMMYFUNCTION("IF
(
C9056=""фізична особа""
,
VLOOKUP(D9056,IMPORTRANGE(""https://docs.google.com/spreadsheets/d/14Bd19lYaqBhU8_DElYkX7l4wRkHqqCUFNJY4AfY3kHU/edit?usp=sharing  #gid=0"",""фіз особи new!relations_name""),6,FALSE)
,
(IF
(
C9056=""юридична особа""
,
VLOOKUP"&amp;"(D9056,IMPORTRANGE(""https://docs.google.com/spreadsheets/d/14Bd19lYaqBhU8_DElYkX7l4wRkHqqCUFNJY4AfY3kHU/edit?usp=sharing  #gid=0"",""фіз особи new!relations_name_uo""),7,FALSE)
,
)
))"),"СУББОТІН Павло Юрійович")</f>
        <v>СУББОТІН Павло Юрійович</v>
      </c>
      <c r="G9055" s="7" t="s">
        <v>10</v>
      </c>
      <c r="H9055" s="7">
        <v>22386</v>
      </c>
      <c r="I9055" s="8" t="str">
        <f ca="1">IFERROR(__xludf.DUMMYFUNCTION("IF
(
G9056=""фізична особа""
,
VLOOKUP(H9056,IMPORTRANGE(""https://docs.google.com/spreadsheets/d/14Bd19lYaqBhU8_DElYkX7l4wRkHqqCUFNJY4AfY3kHU/edit?usp=sharing  #gid=0"",""фіз особи new!relations_name""),6,FALSE)
,
(IF
(
G9056=""юридична особа""
,
VLOOKUP"&amp;"(H9056,IMPORTRANGE(""https://docs.google.com/spreadsheets/d/14Bd19lYaqBhU8_DElYkX7l4wRkHqqCUFNJY4AfY3kHU/edit?usp=sharing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55" s="7" t="s">
        <v>29</v>
      </c>
    </row>
    <row r="9056" spans="1:10" ht="13.2">
      <c r="A9056" s="7">
        <v>9055</v>
      </c>
      <c r="B9056" s="7">
        <v>1</v>
      </c>
      <c r="C9056" s="7" t="s">
        <v>10</v>
      </c>
      <c r="D9056" s="7">
        <v>10937</v>
      </c>
      <c r="E9056" s="7" t="s">
        <v>28</v>
      </c>
      <c r="F9056" s="8" t="str">
        <f ca="1">IFERROR(__xludf.DUMMYFUNCTION("IF
(
C9057=""фізична особа""
,
VLOOKUP(D9057,IMPORTRANGE(""https://docs.google.com/spreadsheets/d/14Bd19lYaqBhU8_DElYkX7l4wRkHqqCUFNJY4AfY3kHU/edit?usp=sharing  #gid=0"",""фіз особи new!relations_name""),6,FALSE)
,
(IF
(
C9057=""юридична особа""
,
VLOOKUP"&amp;"(D9057,IMPORTRANGE(""https://docs.google.com/spreadsheets/d/14Bd19lYaqBhU8_DElYkX7l4wRkHqqCUFNJY4AfY3kHU/edit?usp=sharing  #gid=0"",""фіз особи new!relations_name_uo""),7,FALSE)
,
)
))"),"МУХАМЕДОВ Тамірлан Гітіхманович")</f>
        <v>МУХАМЕДОВ Тамірлан Гітіхманович</v>
      </c>
      <c r="G9056" s="7" t="s">
        <v>10</v>
      </c>
      <c r="H9056" s="7">
        <v>3082</v>
      </c>
      <c r="I9056" s="8" t="str">
        <f ca="1">IFERROR(__xludf.DUMMYFUNCTION("IF
(
G9057=""фізична особа""
,
VLOOKUP(H9057,IMPORTRANGE(""https://docs.google.com/spreadsheets/d/14Bd19lYaqBhU8_DElYkX7l4wRkHqqCUFNJY4AfY3kHU/edit?usp=sharing  #gid=0"",""фіз особи new!relations_name""),6,FALSE)
,
(IF
(
G9057=""юридична особа""
,
VLOOKUP"&amp;"(H9057,IMPORTRANGE(""https://docs.google.com/spreadsheets/d/14Bd19lYaqBhU8_DElYkX7l4wRkHqqCUFNJY4AfY3kHU/edit?usp=sharing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56" s="7" t="s">
        <v>29</v>
      </c>
    </row>
    <row r="9057" spans="1:10" ht="13.2">
      <c r="A9057" s="7">
        <v>9056</v>
      </c>
      <c r="B9057" s="7">
        <v>1</v>
      </c>
      <c r="C9057" s="7" t="s">
        <v>10</v>
      </c>
      <c r="D9057" s="7">
        <v>10938</v>
      </c>
      <c r="E9057" s="7" t="s">
        <v>28</v>
      </c>
      <c r="F9057" s="8" t="str">
        <f ca="1">IFERROR(__xludf.DUMMYFUNCTION("IF
(
C9058=""фізична особа""
,
VLOOKUP(D9058,IMPORTRANGE(""https://docs.google.com/spreadsheets/d/14Bd19lYaqBhU8_DElYkX7l4wRkHqqCUFNJY4AfY3kHU/edit?usp=sharing  #gid=0"",""фіз особи new!relations_name""),6,FALSE)
,
(IF
(
C9058=""юридична особа""
,
VLOOKUP"&amp;"(D9058,IMPORTRANGE(""https://docs.google.com/spreadsheets/d/14Bd19lYaqBhU8_DElYkX7l4wRkHqqCUFNJY4AfY3kHU/edit?usp=sharing  #gid=0"",""фіз особи new!relations_name_uo""),7,FALSE)
,
)
))"),"СОЛОВЙОВ Василь Олексійович")</f>
        <v>СОЛОВЙОВ Василь Олексійович</v>
      </c>
      <c r="G9057" s="7" t="s">
        <v>10</v>
      </c>
      <c r="H9057" s="7">
        <v>22386</v>
      </c>
      <c r="I9057" s="8" t="str">
        <f ca="1">IFERROR(__xludf.DUMMYFUNCTION("IF
(
G9058=""фізична особа""
,
VLOOKUP(H9058,IMPORTRANGE(""https://docs.google.com/spreadsheets/d/14Bd19lYaqBhU8_DElYkX7l4wRkHqqCUFNJY4AfY3kHU/edit?usp=sharing  #gid=0"",""фіз особи new!relations_name""),6,FALSE)
,
(IF
(
G9058=""юридична особа""
,
VLOOKUP"&amp;"(H9058,IMPORTRANGE(""https://docs.google.com/spreadsheets/d/14Bd19lYaqBhU8_DElYkX7l4wRkHqqCUFNJY4AfY3kHU/edit?usp=sharing  #gid=0"",""фіз особи new!relations_name_uo""),7,FALSE)
,
)
))"),"АРТІЗОВ Андрій Миколайович")</f>
        <v>АРТІЗОВ Андрій Миколайович</v>
      </c>
      <c r="J9057" s="7" t="s">
        <v>29</v>
      </c>
    </row>
    <row r="9058" spans="1:10" ht="13.2">
      <c r="A9058" s="7">
        <v>9057</v>
      </c>
      <c r="B9058" s="7">
        <v>1</v>
      </c>
      <c r="C9058" s="7" t="s">
        <v>10</v>
      </c>
      <c r="D9058" s="7">
        <v>10939</v>
      </c>
      <c r="E9058" s="7" t="s">
        <v>28</v>
      </c>
      <c r="F9058" s="8" t="str">
        <f ca="1">IFERROR(__xludf.DUMMYFUNCTION("IF
(
C9059=""фізична особа""
,
VLOOKUP(D9059,IMPORTRANGE(""https://docs.google.com/spreadsheets/d/14Bd19lYaqBhU8_DElYkX7l4wRkHqqCUFNJY4AfY3kHU/edit?usp=sharing  #gid=0"",""фіз особи new!relations_name""),6,FALSE)
,
(IF
(
C9059=""юридична особа""
,
VLOOKUP"&amp;"(D9059,IMPORTRANGE(""https://docs.google.com/spreadsheets/d/14Bd19lYaqBhU8_DElYkX7l4wRkHqqCUFNJY4AfY3kHU/edit?usp=sharing  #gid=0"",""фіз особи new!relations_name_uo""),7,FALSE)
,
)
))"),"ЦАЛІЄВ Алан Валерійович")</f>
        <v>ЦАЛІЄВ Алан Валерійович</v>
      </c>
      <c r="G9058" s="7" t="s">
        <v>10</v>
      </c>
      <c r="H9058" s="7">
        <v>3036</v>
      </c>
      <c r="I9058" s="8" t="str">
        <f ca="1">IFERROR(__xludf.DUMMYFUNCTION("IF
(
G9059=""фізична особа""
,
VLOOKUP(H9059,IMPORTRANGE(""https://docs.google.com/spreadsheets/d/14Bd19lYaqBhU8_DElYkX7l4wRkHqqCUFNJY4AfY3kHU/edit?usp=sharing  #gid=0"",""фіз особи new!relations_name""),6,FALSE)
,
(IF
(
G9059=""юридична особа""
,
VLOOKUP"&amp;"(H9059,IMPORTRANGE(""https://docs.google.com/spreadsheets/d/14Bd19lYaqBhU8_DElYkX7l4wRkHqqCUFNJY4AfY3kHU/edit?usp=sharing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58" s="7" t="s">
        <v>29</v>
      </c>
    </row>
    <row r="9059" spans="1:10" ht="13.2">
      <c r="A9059" s="7">
        <v>9058</v>
      </c>
      <c r="B9059" s="7">
        <v>1</v>
      </c>
      <c r="C9059" s="7" t="s">
        <v>10</v>
      </c>
      <c r="D9059" s="7">
        <v>10940</v>
      </c>
      <c r="E9059" s="7" t="s">
        <v>28</v>
      </c>
      <c r="F9059" s="8" t="str">
        <f ca="1">IFERROR(__xludf.DUMMYFUNCTION("IF
(
C9060=""фізична особа""
,
VLOOKUP(D9060,IMPORTRANGE(""https://docs.google.com/spreadsheets/d/14Bd19lYaqBhU8_DElYkX7l4wRkHqqCUFNJY4AfY3kHU/edit?usp=sharing  #gid=0"",""фіз особи new!relations_name""),6,FALSE)
,
(IF
(
C9060=""юридична особа""
,
VLOOKUP"&amp;"(D9060,IMPORTRANGE(""https://docs.google.com/spreadsheets/d/14Bd19lYaqBhU8_DElYkX7l4wRkHqqCUFNJY4AfY3kHU/edit?usp=sharing  #gid=0"",""фіз особи new!relations_name_uo""),7,FALSE)
,
)
))"),"ПЕРЕВОЩИКОВ Сергій Георгійович")</f>
        <v>ПЕРЕВОЩИКОВ Сергій Георгійович</v>
      </c>
      <c r="G9059" s="7" t="s">
        <v>10</v>
      </c>
      <c r="H9059" s="7">
        <v>3036</v>
      </c>
      <c r="I9059" s="8" t="str">
        <f ca="1">IFERROR(__xludf.DUMMYFUNCTION("IF
(
G9060=""фізична особа""
,
VLOOKUP(H9060,IMPORTRANGE(""https://docs.google.com/spreadsheets/d/14Bd19lYaqBhU8_DElYkX7l4wRkHqqCUFNJY4AfY3kHU/edit?usp=sharing  #gid=0"",""фіз особи new!relations_name""),6,FALSE)
,
(IF
(
G9060=""юридична особа""
,
VLOOKUP"&amp;"(H9060,IMPORTRANGE(""https://docs.google.com/spreadsheets/d/14Bd19lYaqBhU8_DElYkX7l4wRkHqqCUFNJY4AfY3kHU/edit?usp=sharing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59" s="7" t="s">
        <v>29</v>
      </c>
    </row>
    <row r="9060" spans="1:10" ht="13.2">
      <c r="A9060" s="7">
        <v>9059</v>
      </c>
      <c r="B9060" s="7">
        <v>1</v>
      </c>
      <c r="C9060" s="7" t="s">
        <v>10</v>
      </c>
      <c r="D9060" s="7">
        <v>10941</v>
      </c>
      <c r="E9060" s="7" t="s">
        <v>28</v>
      </c>
      <c r="F9060" s="8" t="str">
        <f ca="1">IFERROR(__xludf.DUMMYFUNCTION("IF
(
C9061=""фізична особа""
,
VLOOKUP(D9061,IMPORTRANGE(""https://docs.google.com/spreadsheets/d/14Bd19lYaqBhU8_DElYkX7l4wRkHqqCUFNJY4AfY3kHU/edit?usp=sharing  #gid=0"",""фіз особи new!relations_name""),6,FALSE)
,
(IF
(
C9061=""юридична особа""
,
VLOOKUP"&amp;"(D9061,IMPORTRANGE(""https://docs.google.com/spreadsheets/d/14Bd19lYaqBhU8_DElYkX7l4wRkHqqCUFNJY4AfY3kHU/edit?usp=sharing  #gid=0"",""фіз особи new!relations_name_uo""),7,FALSE)
,
)
))"),"КАТКОВ Віктор Олександрович")</f>
        <v>КАТКОВ Віктор Олександрович</v>
      </c>
      <c r="G9060" s="7" t="s">
        <v>10</v>
      </c>
      <c r="H9060" s="7">
        <v>3036</v>
      </c>
      <c r="I9060" s="8" t="str">
        <f ca="1">IFERROR(__xludf.DUMMYFUNCTION("IF
(
G9061=""фізична особа""
,
VLOOKUP(H9061,IMPORTRANGE(""https://docs.google.com/spreadsheets/d/14Bd19lYaqBhU8_DElYkX7l4wRkHqqCUFNJY4AfY3kHU/edit?usp=sharing  #gid=0"",""фіз особи new!relations_name""),6,FALSE)
,
(IF
(
G9061=""юридична особа""
,
VLOOKUP"&amp;"(H9061,IMPORTRANGE(""https://docs.google.com/spreadsheets/d/14Bd19lYaqBhU8_DElYkX7l4wRkHqqCUFNJY4AfY3kHU/edit?usp=sharing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60" s="7" t="s">
        <v>29</v>
      </c>
    </row>
    <row r="9061" spans="1:10" ht="13.2">
      <c r="A9061" s="7">
        <v>9060</v>
      </c>
      <c r="B9061" s="7">
        <v>1</v>
      </c>
      <c r="C9061" s="7" t="s">
        <v>10</v>
      </c>
      <c r="D9061" s="7">
        <v>10942</v>
      </c>
      <c r="E9061" s="7" t="s">
        <v>28</v>
      </c>
      <c r="F9061" s="8" t="str">
        <f ca="1">IFERROR(__xludf.DUMMYFUNCTION("IF
(
C9062=""фізична особа""
,
VLOOKUP(D9062,IMPORTRANGE(""https://docs.google.com/spreadsheets/d/14Bd19lYaqBhU8_DElYkX7l4wRkHqqCUFNJY4AfY3kHU/edit?usp=sharing  #gid=0"",""фіз особи new!relations_name""),6,FALSE)
,
(IF
(
C9062=""юридична особа""
,
VLOOKUP"&amp;"(D9062,IMPORTRANGE(""https://docs.google.com/spreadsheets/d/14Bd19lYaqBhU8_DElYkX7l4wRkHqqCUFNJY4AfY3kHU/edit?usp=sharing  #gid=0"",""фіз особи new!relations_name_uo""),7,FALSE)
,
)
))"),"ГРИБКОВ Олександр Петрович")</f>
        <v>ГРИБКОВ Олександр Петрович</v>
      </c>
      <c r="G9061" s="7" t="s">
        <v>10</v>
      </c>
      <c r="H9061" s="7">
        <v>3036</v>
      </c>
      <c r="I9061" s="8" t="str">
        <f ca="1">IFERROR(__xludf.DUMMYFUNCTION("IF
(
G9062=""фізична особа""
,
VLOOKUP(H9062,IMPORTRANGE(""https://docs.google.com/spreadsheets/d/14Bd19lYaqBhU8_DElYkX7l4wRkHqqCUFNJY4AfY3kHU/edit?usp=sharing  #gid=0"",""фіз особи new!relations_name""),6,FALSE)
,
(IF
(
G9062=""юридична особа""
,
VLOOKUP"&amp;"(H9062,IMPORTRANGE(""https://docs.google.com/spreadsheets/d/14Bd19lYaqBhU8_DElYkX7l4wRkHqqCUFNJY4AfY3kHU/edit?usp=sharing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61" s="7" t="s">
        <v>29</v>
      </c>
    </row>
    <row r="9062" spans="1:10" ht="13.2">
      <c r="A9062" s="7">
        <v>9061</v>
      </c>
      <c r="B9062" s="7">
        <v>1</v>
      </c>
      <c r="C9062" s="7" t="s">
        <v>10</v>
      </c>
      <c r="D9062" s="7">
        <v>10943</v>
      </c>
      <c r="E9062" s="7" t="s">
        <v>28</v>
      </c>
      <c r="F9062" s="8" t="str">
        <f ca="1">IFERROR(__xludf.DUMMYFUNCTION("IF
(
C9063=""фізична особа""
,
VLOOKUP(D9063,IMPORTRANGE(""https://docs.google.com/spreadsheets/d/14Bd19lYaqBhU8_DElYkX7l4wRkHqqCUFNJY4AfY3kHU/edit?usp=sharing  #gid=0"",""фіз особи new!relations_name""),6,FALSE)
,
(IF
(
C9063=""юридична особа""
,
VLOOKUP"&amp;"(D9063,IMPORTRANGE(""https://docs.google.com/spreadsheets/d/14Bd19lYaqBhU8_DElYkX7l4wRkHqqCUFNJY4AfY3kHU/edit?usp=sharing  #gid=0"",""фіз особи new!relations_name_uo""),7,FALSE)
,
)
))"),"ОСТАНІН Ігор Володимирович")</f>
        <v>ОСТАНІН Ігор Володимирович</v>
      </c>
      <c r="G9062" s="7" t="s">
        <v>10</v>
      </c>
      <c r="H9062" s="7">
        <v>3036</v>
      </c>
      <c r="I9062" s="8" t="str">
        <f ca="1">IFERROR(__xludf.DUMMYFUNCTION("IF
(
G9063=""фізична особа""
,
VLOOKUP(H9063,IMPORTRANGE(""https://docs.google.com/spreadsheets/d/14Bd19lYaqBhU8_DElYkX7l4wRkHqqCUFNJY4AfY3kHU/edit?usp=sharing  #gid=0"",""фіз особи new!relations_name""),6,FALSE)
,
(IF
(
G9063=""юридична особа""
,
VLOOKUP"&amp;"(H9063,IMPORTRANGE(""https://docs.google.com/spreadsheets/d/14Bd19lYaqBhU8_DElYkX7l4wRkHqqCUFNJY4AfY3kHU/edit?usp=sharing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62" s="7" t="s">
        <v>29</v>
      </c>
    </row>
    <row r="9063" spans="1:10" ht="13.2">
      <c r="A9063" s="7">
        <v>9062</v>
      </c>
      <c r="B9063" s="7">
        <v>1</v>
      </c>
      <c r="C9063" s="7" t="s">
        <v>10</v>
      </c>
      <c r="D9063" s="7">
        <v>10944</v>
      </c>
      <c r="E9063" s="7" t="s">
        <v>28</v>
      </c>
      <c r="F9063" s="8" t="str">
        <f ca="1">IFERROR(__xludf.DUMMYFUNCTION("IF
(
C9064=""фізична особа""
,
VLOOKUP(D9064,IMPORTRANGE(""https://docs.google.com/spreadsheets/d/14Bd19lYaqBhU8_DElYkX7l4wRkHqqCUFNJY4AfY3kHU/edit?usp=sharing  #gid=0"",""фіз особи new!relations_name""),6,FALSE)
,
(IF
(
C9064=""юридична особа""
,
VLOOKUP"&amp;"(D9064,IMPORTRANGE(""https://docs.google.com/spreadsheets/d/14Bd19lYaqBhU8_DElYkX7l4wRkHqqCUFNJY4AfY3kHU/edit?usp=sharing  #gid=0"",""фіз особи new!relations_name_uo""),7,FALSE)
,
)
))"),"ЗУБАЇРОВ Маріус Марсович")</f>
        <v>ЗУБАЇРОВ Маріус Марсович</v>
      </c>
      <c r="G9063" s="7" t="s">
        <v>10</v>
      </c>
      <c r="H9063" s="7">
        <v>3036</v>
      </c>
      <c r="I9063" s="8" t="str">
        <f ca="1">IFERROR(__xludf.DUMMYFUNCTION("IF
(
G9064=""фізична особа""
,
VLOOKUP(H9064,IMPORTRANGE(""https://docs.google.com/spreadsheets/d/14Bd19lYaqBhU8_DElYkX7l4wRkHqqCUFNJY4AfY3kHU/edit?usp=sharing  #gid=0"",""фіз особи new!relations_name""),6,FALSE)
,
(IF
(
G9064=""юридична особа""
,
VLOOKUP"&amp;"(H9064,IMPORTRANGE(""https://docs.google.com/spreadsheets/d/14Bd19lYaqBhU8_DElYkX7l4wRkHqqCUFNJY4AfY3kHU/edit?usp=sharing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063" s="7" t="s">
        <v>29</v>
      </c>
    </row>
    <row r="9064" spans="1:10" ht="13.2">
      <c r="A9064" s="7">
        <v>9063</v>
      </c>
      <c r="B9064" s="7">
        <v>1</v>
      </c>
      <c r="C9064" s="7" t="s">
        <v>10</v>
      </c>
      <c r="D9064" s="7">
        <v>10945</v>
      </c>
      <c r="E9064" s="7" t="s">
        <v>28</v>
      </c>
      <c r="F9064" s="8" t="str">
        <f ca="1">IFERROR(__xludf.DUMMYFUNCTION("IF
(
C9065=""фізична особа""
,
VLOOKUP(D9065,IMPORTRANGE(""https://docs.google.com/spreadsheets/d/14Bd19lYaqBhU8_DElYkX7l4wRkHqqCUFNJY4AfY3kHU/edit?usp=sharing  #gid=0"",""фіз особи new!relations_name""),6,FALSE)
,
(IF
(
C9065=""юридична особа""
,
VLOOKUP"&amp;"(D9065,IMPORTRANGE(""https://docs.google.com/spreadsheets/d/14Bd19lYaqBhU8_DElYkX7l4wRkHqqCUFNJY4AfY3kHU/edit?usp=sharing  #gid=0"",""фіз особи new!relations_name_uo""),7,FALSE)
,
)
))"),"ЄГОРЕНКО Юрій В'ячеславович")</f>
        <v>ЄГОРЕНКО Юрій В'ячеславович</v>
      </c>
      <c r="G9064" s="7" t="s">
        <v>10</v>
      </c>
      <c r="H9064" s="7">
        <v>3002</v>
      </c>
      <c r="I9064" s="8" t="str">
        <f ca="1">IFERROR(__xludf.DUMMYFUNCTION("IF
(
G9065=""фізична особа""
,
VLOOKUP(H9065,IMPORTRANGE(""https://docs.google.com/spreadsheets/d/14Bd19lYaqBhU8_DElYkX7l4wRkHqqCUFNJY4AfY3kHU/edit?usp=sharing  #gid=0"",""фіз особи new!relations_name""),6,FALSE)
,
(IF
(
G9065=""юридична особа""
,
VLOOKUP"&amp;"(H9065,IMPORTRANGE(""https://docs.google.com/spreadsheets/d/14Bd19lYaqBhU8_DElYkX7l4wRkHqqCUFNJY4AfY3kHU/edit?usp=sharing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9064" s="7" t="s">
        <v>29</v>
      </c>
    </row>
    <row r="9065" spans="1:10" ht="13.2">
      <c r="A9065" s="7">
        <v>9064</v>
      </c>
      <c r="B9065" s="7">
        <v>1</v>
      </c>
      <c r="C9065" s="7" t="s">
        <v>10</v>
      </c>
      <c r="D9065" s="7">
        <v>10946</v>
      </c>
      <c r="E9065" s="7" t="s">
        <v>28</v>
      </c>
      <c r="F9065" s="8" t="str">
        <f ca="1">IFERROR(__xludf.DUMMYFUNCTION("IF
(
C9066=""фізична особа""
,
VLOOKUP(D9066,IMPORTRANGE(""https://docs.google.com/spreadsheets/d/14Bd19lYaqBhU8_DElYkX7l4wRkHqqCUFNJY4AfY3kHU/edit?usp=sharing  #gid=0"",""фіз особи new!relations_name""),6,FALSE)
,
(IF
(
C9066=""юридична особа""
,
VLOOKUP"&amp;"(D9066,IMPORTRANGE(""https://docs.google.com/spreadsheets/d/14Bd19lYaqBhU8_DElYkX7l4wRkHqqCUFNJY4AfY3kHU/edit?usp=sharing  #gid=0"",""фіз особи new!relations_name_uo""),7,FALSE)
,
)
))"),"ЗАХАРОВА Тетяна Вікторівна")</f>
        <v>ЗАХАРОВА Тетяна Вікторівна</v>
      </c>
      <c r="G9065" s="7" t="s">
        <v>10</v>
      </c>
      <c r="H9065" s="7">
        <v>3002</v>
      </c>
      <c r="I9065" s="8" t="str">
        <f ca="1">IFERROR(__xludf.DUMMYFUNCTION("IF
(
G9066=""фізична особа""
,
VLOOKUP(H9066,IMPORTRANGE(""https://docs.google.com/spreadsheets/d/14Bd19lYaqBhU8_DElYkX7l4wRkHqqCUFNJY4AfY3kHU/edit?usp=sharing  #gid=0"",""фіз особи new!relations_name""),6,FALSE)
,
(IF
(
G9066=""юридична особа""
,
VLOOKUP"&amp;"(H9066,IMPORTRANGE(""https://docs.google.com/spreadsheets/d/14Bd19lYaqBhU8_DElYkX7l4wRkHqqCUFNJY4AfY3kHU/edit?usp=sharing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9065" s="7" t="s">
        <v>29</v>
      </c>
    </row>
    <row r="9066" spans="1:10" ht="13.2">
      <c r="A9066" s="7">
        <v>9065</v>
      </c>
      <c r="B9066" s="7">
        <v>1</v>
      </c>
      <c r="C9066" s="7" t="s">
        <v>10</v>
      </c>
      <c r="D9066" s="7">
        <v>10947</v>
      </c>
      <c r="E9066" s="7" t="s">
        <v>28</v>
      </c>
      <c r="F9066" s="8" t="str">
        <f ca="1">IFERROR(__xludf.DUMMYFUNCTION("IF
(
C9067=""фізична особа""
,
VLOOKUP(D9067,IMPORTRANGE(""https://docs.google.com/spreadsheets/d/14Bd19lYaqBhU8_DElYkX7l4wRkHqqCUFNJY4AfY3kHU/edit?usp=sharing  #gid=0"",""фіз особи new!relations_name""),6,FALSE)
,
(IF
(
C9067=""юридична особа""
,
VLOOKUP"&amp;"(D9067,IMPORTRANGE(""https://docs.google.com/spreadsheets/d/14Bd19lYaqBhU8_DElYkX7l4wRkHqqCUFNJY4AfY3kHU/edit?usp=sharing  #gid=0"",""фіз особи new!relations_name_uo""),7,FALSE)
,
)
))"),"КАПУСТЯНСЬКИЙ Сергій Володимирович")</f>
        <v>КАПУСТЯНСЬКИЙ Сергій Володимирович</v>
      </c>
      <c r="G9066" s="7" t="s">
        <v>10</v>
      </c>
      <c r="H9066" s="7">
        <v>3002</v>
      </c>
      <c r="I9066" s="8" t="str">
        <f ca="1">IFERROR(__xludf.DUMMYFUNCTION("IF
(
G9067=""фізична особа""
,
VLOOKUP(H9067,IMPORTRANGE(""https://docs.google.com/spreadsheets/d/14Bd19lYaqBhU8_DElYkX7l4wRkHqqCUFNJY4AfY3kHU/edit?usp=sharing  #gid=0"",""фіз особи new!relations_name""),6,FALSE)
,
(IF
(
G9067=""юридична особа""
,
VLOOKUP"&amp;"(H9067,IMPORTRANGE(""https://docs.google.com/spreadsheets/d/14Bd19lYaqBhU8_DElYkX7l4wRkHqqCUFNJY4AfY3kHU/edit?usp=sharing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9066" s="7" t="s">
        <v>29</v>
      </c>
    </row>
    <row r="9067" spans="1:10" ht="13.2">
      <c r="A9067" s="7">
        <v>9066</v>
      </c>
      <c r="B9067" s="7">
        <v>1</v>
      </c>
      <c r="C9067" s="7" t="s">
        <v>10</v>
      </c>
      <c r="D9067" s="7">
        <v>10948</v>
      </c>
      <c r="E9067" s="7" t="s">
        <v>28</v>
      </c>
      <c r="F9067" s="8" t="str">
        <f ca="1">IFERROR(__xludf.DUMMYFUNCTION("IF
(
C9068=""фізична особа""
,
VLOOKUP(D9068,IMPORTRANGE(""https://docs.google.com/spreadsheets/d/14Bd19lYaqBhU8_DElYkX7l4wRkHqqCUFNJY4AfY3kHU/edit?usp=sharing  #gid=0"",""фіз особи new!relations_name""),6,FALSE)
,
(IF
(
C9068=""юридична особа""
,
VLOOKUP"&amp;"(D9068,IMPORTRANGE(""https://docs.google.com/spreadsheets/d/14Bd19lYaqBhU8_DElYkX7l4wRkHqqCUFNJY4AfY3kHU/edit?usp=sharing  #gid=0"",""фіз особи new!relations_name_uo""),7,FALSE)
,
)
))"),"БЕСПАЛОВ Андрій Михайлович")</f>
        <v>БЕСПАЛОВ Андрій Михайлович</v>
      </c>
      <c r="G9067" s="7" t="s">
        <v>10</v>
      </c>
      <c r="H9067" s="7">
        <v>3002</v>
      </c>
      <c r="I9067" s="8" t="str">
        <f ca="1">IFERROR(__xludf.DUMMYFUNCTION("IF
(
G9068=""фізична особа""
,
VLOOKUP(H9068,IMPORTRANGE(""https://docs.google.com/spreadsheets/d/14Bd19lYaqBhU8_DElYkX7l4wRkHqqCUFNJY4AfY3kHU/edit?usp=sharing  #gid=0"",""фіз особи new!relations_name""),6,FALSE)
,
(IF
(
G9068=""юридична особа""
,
VLOOKUP"&amp;"(H9068,IMPORTRANGE(""https://docs.google.com/spreadsheets/d/14Bd19lYaqBhU8_DElYkX7l4wRkHqqCUFNJY4AfY3kHU/edit?usp=sharing  #gid=0"",""фіз особи new!relations_name_uo""),7,FALSE)
,
)
))"),"ДРУЖИНІН Олексій Олександрович")</f>
        <v>ДРУЖИНІН Олексій Олександрович</v>
      </c>
      <c r="J9067" s="7" t="s">
        <v>29</v>
      </c>
    </row>
    <row r="9068" spans="1:10" ht="13.2">
      <c r="A9068" s="7">
        <v>9067</v>
      </c>
      <c r="B9068" s="7">
        <v>1</v>
      </c>
      <c r="C9068" s="7" t="s">
        <v>10</v>
      </c>
      <c r="D9068" s="7">
        <v>10949</v>
      </c>
      <c r="E9068" s="7" t="s">
        <v>28</v>
      </c>
      <c r="F9068" s="8" t="str">
        <f ca="1">IFERROR(__xludf.DUMMYFUNCTION("IF
(
C9069=""фізична особа""
,
VLOOKUP(D9069,IMPORTRANGE(""https://docs.google.com/spreadsheets/d/14Bd19lYaqBhU8_DElYkX7l4wRkHqqCUFNJY4AfY3kHU/edit?usp=sharing  #gid=0"",""фіз особи new!relations_name""),6,FALSE)
,
(IF
(
C9069=""юридична особа""
,
VLOOKUP"&amp;"(D9069,IMPORTRANGE(""https://docs.google.com/spreadsheets/d/14Bd19lYaqBhU8_DElYkX7l4wRkHqqCUFNJY4AfY3kHU/edit?usp=sharing  #gid=0"",""фіз особи new!relations_name_uo""),7,FALSE)
,
)
))"),"ПОКОЄВ Олександр Іванович")</f>
        <v>ПОКОЄВ Олександр Іванович</v>
      </c>
      <c r="G9068" s="7" t="s">
        <v>10</v>
      </c>
      <c r="H9068" s="7">
        <v>3082</v>
      </c>
      <c r="I9068" s="8" t="str">
        <f ca="1">IFERROR(__xludf.DUMMYFUNCTION("IF
(
G9069=""фізична особа""
,
VLOOKUP(H9069,IMPORTRANGE(""https://docs.google.com/spreadsheets/d/14Bd19lYaqBhU8_DElYkX7l4wRkHqqCUFNJY4AfY3kHU/edit?usp=sharing  #gid=0"",""фіз особи new!relations_name""),6,FALSE)
,
(IF
(
G9069=""юридична особа""
,
VLOOKUP"&amp;"(H9069,IMPORTRANGE(""https://docs.google.com/spreadsheets/d/14Bd19lYaqBhU8_DElYkX7l4wRkHqqCUFNJY4AfY3kHU/edit?usp=sharing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68" s="7" t="s">
        <v>29</v>
      </c>
    </row>
    <row r="9069" spans="1:10" ht="13.2">
      <c r="A9069" s="7">
        <v>9068</v>
      </c>
      <c r="B9069" s="7">
        <v>1</v>
      </c>
      <c r="C9069" s="7" t="s">
        <v>10</v>
      </c>
      <c r="D9069" s="7">
        <v>10950</v>
      </c>
      <c r="E9069" s="7" t="s">
        <v>28</v>
      </c>
      <c r="F9069" s="8" t="str">
        <f ca="1">IFERROR(__xludf.DUMMYFUNCTION("IF
(
C9070=""фізична особа""
,
VLOOKUP(D9070,IMPORTRANGE(""https://docs.google.com/spreadsheets/d/14Bd19lYaqBhU8_DElYkX7l4wRkHqqCUFNJY4AfY3kHU/edit?usp=sharing  #gid=0"",""фіз особи new!relations_name""),6,FALSE)
,
(IF
(
C9070=""юридична особа""
,
VLOOKUP"&amp;"(D9070,IMPORTRANGE(""https://docs.google.com/spreadsheets/d/14Bd19lYaqBhU8_DElYkX7l4wRkHqqCUFNJY4AfY3kHU/edit?usp=sharing  #gid=0"",""фіз особи new!relations_name_uo""),7,FALSE)
,
)
))"),"АНТОНЕНКО Анатолій Дмитрович")</f>
        <v>АНТОНЕНКО Анатолій Дмитрович</v>
      </c>
      <c r="G9069" s="7" t="s">
        <v>10</v>
      </c>
      <c r="H9069" s="7">
        <v>3082</v>
      </c>
      <c r="I9069" s="8" t="str">
        <f ca="1">IFERROR(__xludf.DUMMYFUNCTION("IF
(
G9070=""фізична особа""
,
VLOOKUP(H9070,IMPORTRANGE(""https://docs.google.com/spreadsheets/d/14Bd19lYaqBhU8_DElYkX7l4wRkHqqCUFNJY4AfY3kHU/edit?usp=sharing  #gid=0"",""фіз особи new!relations_name""),6,FALSE)
,
(IF
(
G9070=""юридична особа""
,
VLOOKUP"&amp;"(H9070,IMPORTRANGE(""https://docs.google.com/spreadsheets/d/14Bd19lYaqBhU8_DElYkX7l4wRkHqqCUFNJY4AfY3kHU/edit?usp=sharing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69" s="7" t="s">
        <v>29</v>
      </c>
    </row>
    <row r="9070" spans="1:10" ht="13.2">
      <c r="A9070" s="7">
        <v>9069</v>
      </c>
      <c r="B9070" s="7">
        <v>1</v>
      </c>
      <c r="C9070" s="7" t="s">
        <v>10</v>
      </c>
      <c r="D9070" s="7">
        <v>10951</v>
      </c>
      <c r="E9070" s="7" t="s">
        <v>28</v>
      </c>
      <c r="F9070" s="8" t="str">
        <f ca="1">IFERROR(__xludf.DUMMYFUNCTION("IF
(
C9071=""фізична особа""
,
VLOOKUP(D9071,IMPORTRANGE(""https://docs.google.com/spreadsheets/d/14Bd19lYaqBhU8_DElYkX7l4wRkHqqCUFNJY4AfY3kHU/edit?usp=sharing  #gid=0"",""фіз особи new!relations_name""),6,FALSE)
,
(IF
(
C9071=""юридична особа""
,
VLOOKUP"&amp;"(D9071,IMPORTRANGE(""https://docs.google.com/spreadsheets/d/14Bd19lYaqBhU8_DElYkX7l4wRkHqqCUFNJY4AfY3kHU/edit?usp=sharing  #gid=0"",""фіз особи new!relations_name_uo""),7,FALSE)
,
)
))"),"КОЧЕТКОВА Тетяна Пилипівна")</f>
        <v>КОЧЕТКОВА Тетяна Пилипівна</v>
      </c>
      <c r="G9070" s="7" t="s">
        <v>10</v>
      </c>
      <c r="H9070" s="7">
        <v>0</v>
      </c>
      <c r="I9070" s="8" t="str">
        <f ca="1">IFERROR(__xludf.DUMMYFUNCTION("IF
(
G9071=""фізична особа""
,
VLOOKUP(H9071,IMPORTRANGE(""https://docs.google.com/spreadsheets/d/14Bd19lYaqBhU8_DElYkX7l4wRkHqqCUFNJY4AfY3kHU/edit?usp=sharing  #gid=0"",""фіз особи new!relations_name""),6,FALSE)
,
(IF
(
G9071=""юридична особа""
,
VLOOKUP"&amp;"(H9071,IMPORTRANGE(""https://docs.google.com/spreadsheets/d/14Bd19lYaqBhU8_DElYkX7l4wRkHqqCUFNJY4AfY3kHU/edit?usp=sharing  #gid=0"",""фіз особи new!relations_name_uo""),7,FALSE)
,
)
))"),"#N/A")</f>
        <v>#N/A</v>
      </c>
      <c r="J9070" s="7" t="s">
        <v>29</v>
      </c>
    </row>
    <row r="9071" spans="1:10" ht="13.2">
      <c r="A9071" s="7">
        <v>9070</v>
      </c>
      <c r="B9071" s="7">
        <v>1</v>
      </c>
      <c r="C9071" s="7" t="s">
        <v>10</v>
      </c>
      <c r="D9071" s="7">
        <v>10952</v>
      </c>
      <c r="E9071" s="7" t="s">
        <v>28</v>
      </c>
      <c r="F9071" s="8" t="str">
        <f ca="1">IFERROR(__xludf.DUMMYFUNCTION("IF
(
C9072=""фізична особа""
,
VLOOKUP(D9072,IMPORTRANGE(""https://docs.google.com/spreadsheets/d/14Bd19lYaqBhU8_DElYkX7l4wRkHqqCUFNJY4AfY3kHU/edit?usp=sharing  #gid=0"",""фіз особи new!relations_name""),6,FALSE)
,
(IF
(
C9072=""юридична особа""
,
VLOOKUP"&amp;"(D9072,IMPORTRANGE(""https://docs.google.com/spreadsheets/d/14Bd19lYaqBhU8_DElYkX7l4wRkHqqCUFNJY4AfY3kHU/edit?usp=sharing  #gid=0"",""фіз особи new!relations_name_uo""),7,FALSE)
,
)
))"),"ЗЕМЛЯНСЬКА Лариса Олександрівна")</f>
        <v>ЗЕМЛЯНСЬКА Лариса Олександрівна</v>
      </c>
      <c r="G9071" s="7" t="s">
        <v>10</v>
      </c>
      <c r="H9071" s="7">
        <v>3082</v>
      </c>
      <c r="I9071" s="8" t="str">
        <f ca="1">IFERROR(__xludf.DUMMYFUNCTION("IF
(
G9072=""фізична особа""
,
VLOOKUP(H9072,IMPORTRANGE(""https://docs.google.com/spreadsheets/d/14Bd19lYaqBhU8_DElYkX7l4wRkHqqCUFNJY4AfY3kHU/edit?usp=sharing  #gid=0"",""фіз особи new!relations_name""),6,FALSE)
,
(IF
(
G9072=""юридична особа""
,
VLOOKUP"&amp;"(H9072,IMPORTRANGE(""https://docs.google.com/spreadsheets/d/14Bd19lYaqBhU8_DElYkX7l4wRkHqqCUFNJY4AfY3kHU/edit?usp=sharing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1" s="7" t="s">
        <v>29</v>
      </c>
    </row>
    <row r="9072" spans="1:10" ht="13.2">
      <c r="A9072" s="7">
        <v>9071</v>
      </c>
      <c r="B9072" s="7">
        <v>1</v>
      </c>
      <c r="C9072" s="7" t="s">
        <v>10</v>
      </c>
      <c r="D9072" s="7">
        <v>10953</v>
      </c>
      <c r="E9072" s="7" t="s">
        <v>28</v>
      </c>
      <c r="F9072" s="8" t="str">
        <f ca="1">IFERROR(__xludf.DUMMYFUNCTION("IF
(
C9073=""фізична особа""
,
VLOOKUP(D9073,IMPORTRANGE(""https://docs.google.com/spreadsheets/d/14Bd19lYaqBhU8_DElYkX7l4wRkHqqCUFNJY4AfY3kHU/edit?usp=sharing  #gid=0"",""фіз особи new!relations_name""),6,FALSE)
,
(IF
(
C9073=""юридична особа""
,
VLOOKUP"&amp;"(D9073,IMPORTRANGE(""https://docs.google.com/spreadsheets/d/14Bd19lYaqBhU8_DElYkX7l4wRkHqqCUFNJY4AfY3kHU/edit?usp=sharing  #gid=0"",""фіз особи new!relations_name_uo""),7,FALSE)
,
)
))"),"КАДОЧНІКОВА Любов Опанасівна")</f>
        <v>КАДОЧНІКОВА Любов Опанасівна</v>
      </c>
      <c r="G9072" s="7" t="s">
        <v>10</v>
      </c>
      <c r="H9072" s="7">
        <v>0</v>
      </c>
      <c r="I9072" s="8" t="str">
        <f ca="1">IFERROR(__xludf.DUMMYFUNCTION("IF
(
G9073=""фізична особа""
,
VLOOKUP(H9073,IMPORTRANGE(""https://docs.google.com/spreadsheets/d/14Bd19lYaqBhU8_DElYkX7l4wRkHqqCUFNJY4AfY3kHU/edit?usp=sharing  #gid=0"",""фіз особи new!relations_name""),6,FALSE)
,
(IF
(
G9073=""юридична особа""
,
VLOOKUP"&amp;"(H9073,IMPORTRANGE(""https://docs.google.com/spreadsheets/d/14Bd19lYaqBhU8_DElYkX7l4wRkHqqCUFNJY4AfY3kHU/edit?usp=sharing  #gid=0"",""фіз особи new!relations_name_uo""),7,FALSE)
,
)
))"),"#N/A")</f>
        <v>#N/A</v>
      </c>
      <c r="J9072" s="7" t="s">
        <v>29</v>
      </c>
    </row>
    <row r="9073" spans="1:10" ht="13.2">
      <c r="A9073" s="7">
        <v>9072</v>
      </c>
      <c r="B9073" s="7">
        <v>1</v>
      </c>
      <c r="C9073" s="7" t="s">
        <v>10</v>
      </c>
      <c r="D9073" s="7">
        <v>10954</v>
      </c>
      <c r="E9073" s="7" t="s">
        <v>28</v>
      </c>
      <c r="F9073" s="8" t="str">
        <f ca="1">IFERROR(__xludf.DUMMYFUNCTION("IF
(
C9074=""фізична особа""
,
VLOOKUP(D9074,IMPORTRANGE(""https://docs.google.com/spreadsheets/d/14Bd19lYaqBhU8_DElYkX7l4wRkHqqCUFNJY4AfY3kHU/edit?usp=sharing  #gid=0"",""фіз особи new!relations_name""),6,FALSE)
,
(IF
(
C9074=""юридична особа""
,
VLOOKUP"&amp;"(D9074,IMPORTRANGE(""https://docs.google.com/spreadsheets/d/14Bd19lYaqBhU8_DElYkX7l4wRkHqqCUFNJY4AfY3kHU/edit?usp=sharing  #gid=0"",""фіз особи new!relations_name_uo""),7,FALSE)
,
)
))"),"БАДМАЄВ Іван Іванович")</f>
        <v>БАДМАЄВ Іван Іванович</v>
      </c>
      <c r="G9073" s="7" t="s">
        <v>10</v>
      </c>
      <c r="H9073" s="7">
        <v>3082</v>
      </c>
      <c r="I9073" s="8" t="str">
        <f ca="1">IFERROR(__xludf.DUMMYFUNCTION("IF
(
G9074=""фізична особа""
,
VLOOKUP(H9074,IMPORTRANGE(""https://docs.google.com/spreadsheets/d/14Bd19lYaqBhU8_DElYkX7l4wRkHqqCUFNJY4AfY3kHU/edit?usp=sharing  #gid=0"",""фіз особи new!relations_name""),6,FALSE)
,
(IF
(
G9074=""юридична особа""
,
VLOOKUP"&amp;"(H9074,IMPORTRANGE(""https://docs.google.com/spreadsheets/d/14Bd19lYaqBhU8_DElYkX7l4wRkHqqCUFNJY4AfY3kHU/edit?usp=sharing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3" s="7" t="s">
        <v>29</v>
      </c>
    </row>
    <row r="9074" spans="1:10" ht="13.2">
      <c r="A9074" s="7">
        <v>9073</v>
      </c>
      <c r="B9074" s="7">
        <v>1</v>
      </c>
      <c r="C9074" s="7" t="s">
        <v>10</v>
      </c>
      <c r="D9074" s="7">
        <v>10955</v>
      </c>
      <c r="E9074" s="7" t="s">
        <v>28</v>
      </c>
      <c r="F9074" s="8" t="str">
        <f ca="1">IFERROR(__xludf.DUMMYFUNCTION("IF
(
C9075=""фізична особа""
,
VLOOKUP(D9075,IMPORTRANGE(""https://docs.google.com/spreadsheets/d/14Bd19lYaqBhU8_DElYkX7l4wRkHqqCUFNJY4AfY3kHU/edit?usp=sharing  #gid=0"",""фіз особи new!relations_name""),6,FALSE)
,
(IF
(
C9075=""юридична особа""
,
VLOOKUP"&amp;"(D9075,IMPORTRANGE(""https://docs.google.com/spreadsheets/d/14Bd19lYaqBhU8_DElYkX7l4wRkHqqCUFNJY4AfY3kHU/edit?usp=sharing  #gid=0"",""фіз особи new!relations_name_uo""),7,FALSE)
,
)
))"),"КИСЕЛЬОВ Микита Геннадійович")</f>
        <v>КИСЕЛЬОВ Микита Геннадійович</v>
      </c>
      <c r="G9074" s="7" t="s">
        <v>10</v>
      </c>
      <c r="H9074" s="7">
        <v>3082</v>
      </c>
      <c r="I9074" s="8" t="str">
        <f ca="1">IFERROR(__xludf.DUMMYFUNCTION("IF
(
G9075=""фізична особа""
,
VLOOKUP(H9075,IMPORTRANGE(""https://docs.google.com/spreadsheets/d/14Bd19lYaqBhU8_DElYkX7l4wRkHqqCUFNJY4AfY3kHU/edit?usp=sharing  #gid=0"",""фіз особи new!relations_name""),6,FALSE)
,
(IF
(
G9075=""юридична особа""
,
VLOOKUP"&amp;"(H9075,IMPORTRANGE(""https://docs.google.com/spreadsheets/d/14Bd19lYaqBhU8_DElYkX7l4wRkHqqCUFNJY4AfY3kHU/edit?usp=sharing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4" s="7" t="s">
        <v>29</v>
      </c>
    </row>
    <row r="9075" spans="1:10" ht="13.2">
      <c r="A9075" s="7">
        <v>9074</v>
      </c>
      <c r="B9075" s="7">
        <v>1</v>
      </c>
      <c r="C9075" s="7" t="s">
        <v>10</v>
      </c>
      <c r="D9075" s="7">
        <v>10956</v>
      </c>
      <c r="E9075" s="7" t="s">
        <v>28</v>
      </c>
      <c r="F9075" s="8" t="str">
        <f ca="1">IFERROR(__xludf.DUMMYFUNCTION("IF
(
C9076=""фізична особа""
,
VLOOKUP(D9076,IMPORTRANGE(""https://docs.google.com/spreadsheets/d/14Bd19lYaqBhU8_DElYkX7l4wRkHqqCUFNJY4AfY3kHU/edit?usp=sharing  #gid=0"",""фіз особи new!relations_name""),6,FALSE)
,
(IF
(
C9076=""юридична особа""
,
VLOOKUP"&amp;"(D9076,IMPORTRANGE(""https://docs.google.com/spreadsheets/d/14Bd19lYaqBhU8_DElYkX7l4wRkHqqCUFNJY4AfY3kHU/edit?usp=sharing  #gid=0"",""фіз особи new!relations_name_uo""),7,FALSE)
,
)
))"),"ЧЕРЕСЄВА Людмила Володимирівна")</f>
        <v>ЧЕРЕСЄВА Людмила Володимирівна</v>
      </c>
      <c r="G9075" s="7" t="s">
        <v>10</v>
      </c>
      <c r="H9075" s="7">
        <v>0</v>
      </c>
      <c r="I9075" s="8" t="str">
        <f ca="1">IFERROR(__xludf.DUMMYFUNCTION("IF
(
G9076=""фізична особа""
,
VLOOKUP(H9076,IMPORTRANGE(""https://docs.google.com/spreadsheets/d/14Bd19lYaqBhU8_DElYkX7l4wRkHqqCUFNJY4AfY3kHU/edit?usp=sharing  #gid=0"",""фіз особи new!relations_name""),6,FALSE)
,
(IF
(
G9076=""юридична особа""
,
VLOOKUP"&amp;"(H9076,IMPORTRANGE(""https://docs.google.com/spreadsheets/d/14Bd19lYaqBhU8_DElYkX7l4wRkHqqCUFNJY4AfY3kHU/edit?usp=sharing  #gid=0"",""фіз особи new!relations_name_uo""),7,FALSE)
,
)
))"),"#N/A")</f>
        <v>#N/A</v>
      </c>
      <c r="J9075" s="7" t="s">
        <v>29</v>
      </c>
    </row>
    <row r="9076" spans="1:10" ht="13.2">
      <c r="A9076" s="7">
        <v>9075</v>
      </c>
      <c r="B9076" s="7">
        <v>1</v>
      </c>
      <c r="C9076" s="7" t="s">
        <v>10</v>
      </c>
      <c r="D9076" s="7">
        <v>10957</v>
      </c>
      <c r="E9076" s="7" t="s">
        <v>28</v>
      </c>
      <c r="F9076" s="8" t="str">
        <f ca="1">IFERROR(__xludf.DUMMYFUNCTION("IF
(
C9077=""фізична особа""
,
VLOOKUP(D9077,IMPORTRANGE(""https://docs.google.com/spreadsheets/d/14Bd19lYaqBhU8_DElYkX7l4wRkHqqCUFNJY4AfY3kHU/edit?usp=sharing  #gid=0"",""фіз особи new!relations_name""),6,FALSE)
,
(IF
(
C9077=""юридична особа""
,
VLOOKUP"&amp;"(D9077,IMPORTRANGE(""https://docs.google.com/spreadsheets/d/14Bd19lYaqBhU8_DElYkX7l4wRkHqqCUFNJY4AfY3kHU/edit?usp=sharing  #gid=0"",""фіз особи new!relations_name_uo""),7,FALSE)
,
)
))"),"ТАРАСОВА Олена Іванівна")</f>
        <v>ТАРАСОВА Олена Іванівна</v>
      </c>
      <c r="G9076" s="7" t="s">
        <v>10</v>
      </c>
      <c r="H9076" s="7">
        <v>3082</v>
      </c>
      <c r="I9076" s="8" t="str">
        <f ca="1">IFERROR(__xludf.DUMMYFUNCTION("IF
(
G9077=""фізична особа""
,
VLOOKUP(H9077,IMPORTRANGE(""https://docs.google.com/spreadsheets/d/14Bd19lYaqBhU8_DElYkX7l4wRkHqqCUFNJY4AfY3kHU/edit?usp=sharing  #gid=0"",""фіз особи new!relations_name""),6,FALSE)
,
(IF
(
G9077=""юридична особа""
,
VLOOKUP"&amp;"(H9077,IMPORTRANGE(""https://docs.google.com/spreadsheets/d/14Bd19lYaqBhU8_DElYkX7l4wRkHqqCUFNJY4AfY3kHU/edit?usp=sharing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6" s="7" t="s">
        <v>29</v>
      </c>
    </row>
    <row r="9077" spans="1:10" ht="13.2">
      <c r="A9077" s="7">
        <v>9076</v>
      </c>
      <c r="B9077" s="7">
        <v>1</v>
      </c>
      <c r="C9077" s="7" t="s">
        <v>10</v>
      </c>
      <c r="D9077" s="7">
        <v>10958</v>
      </c>
      <c r="E9077" s="7" t="s">
        <v>28</v>
      </c>
      <c r="F9077" s="8" t="str">
        <f ca="1">IFERROR(__xludf.DUMMYFUNCTION("IF
(
C9078=""фізична особа""
,
VLOOKUP(D9078,IMPORTRANGE(""https://docs.google.com/spreadsheets/d/14Bd19lYaqBhU8_DElYkX7l4wRkHqqCUFNJY4AfY3kHU/edit?usp=sharing  #gid=0"",""фіз особи new!relations_name""),6,FALSE)
,
(IF
(
C9078=""юридична особа""
,
VLOOKUP"&amp;"(D9078,IMPORTRANGE(""https://docs.google.com/spreadsheets/d/14Bd19lYaqBhU8_DElYkX7l4wRkHqqCUFNJY4AfY3kHU/edit?usp=sharing  #gid=0"",""фіз особи new!relations_name_uo""),7,FALSE)
,
)
))"),"ТЕРГЮЛЬОВА Ірина Петрівна")</f>
        <v>ТЕРГЮЛЬОВА Ірина Петрівна</v>
      </c>
      <c r="G9077" s="7" t="s">
        <v>10</v>
      </c>
      <c r="H9077" s="7">
        <v>0</v>
      </c>
      <c r="I9077" s="8" t="str">
        <f ca="1">IFERROR(__xludf.DUMMYFUNCTION("IF
(
G9078=""фізична особа""
,
VLOOKUP(H9078,IMPORTRANGE(""https://docs.google.com/spreadsheets/d/14Bd19lYaqBhU8_DElYkX7l4wRkHqqCUFNJY4AfY3kHU/edit?usp=sharing  #gid=0"",""фіз особи new!relations_name""),6,FALSE)
,
(IF
(
G9078=""юридична особа""
,
VLOOKUP"&amp;"(H9078,IMPORTRANGE(""https://docs.google.com/spreadsheets/d/14Bd19lYaqBhU8_DElYkX7l4wRkHqqCUFNJY4AfY3kHU/edit?usp=sharing  #gid=0"",""фіз особи new!relations_name_uo""),7,FALSE)
,
)
))"),"#N/A")</f>
        <v>#N/A</v>
      </c>
      <c r="J9077" s="7" t="s">
        <v>29</v>
      </c>
    </row>
    <row r="9078" spans="1:10" ht="13.2">
      <c r="A9078" s="7">
        <v>9077</v>
      </c>
      <c r="B9078" s="7">
        <v>1</v>
      </c>
      <c r="C9078" s="7" t="s">
        <v>10</v>
      </c>
      <c r="D9078" s="7">
        <v>10959</v>
      </c>
      <c r="E9078" s="7" t="s">
        <v>28</v>
      </c>
      <c r="F9078" s="8" t="str">
        <f ca="1">IFERROR(__xludf.DUMMYFUNCTION("IF
(
C9079=""фізична особа""
,
VLOOKUP(D9079,IMPORTRANGE(""https://docs.google.com/spreadsheets/d/14Bd19lYaqBhU8_DElYkX7l4wRkHqqCUFNJY4AfY3kHU/edit?usp=sharing  #gid=0"",""фіз особи new!relations_name""),6,FALSE)
,
(IF
(
C9079=""юридична особа""
,
VLOOKUP"&amp;"(D9079,IMPORTRANGE(""https://docs.google.com/spreadsheets/d/14Bd19lYaqBhU8_DElYkX7l4wRkHqqCUFNJY4AfY3kHU/edit?usp=sharing  #gid=0"",""фіз особи new!relations_name_uo""),7,FALSE)
,
)
))"),"ДУНАЄВ Володимир Леонідович")</f>
        <v>ДУНАЄВ Володимир Леонідович</v>
      </c>
      <c r="G9078" s="7" t="s">
        <v>10</v>
      </c>
      <c r="H9078" s="7">
        <v>3082</v>
      </c>
      <c r="I9078" s="8" t="str">
        <f ca="1">IFERROR(__xludf.DUMMYFUNCTION("IF
(
G9079=""фізична особа""
,
VLOOKUP(H9079,IMPORTRANGE(""https://docs.google.com/spreadsheets/d/14Bd19lYaqBhU8_DElYkX7l4wRkHqqCUFNJY4AfY3kHU/edit?usp=sharing  #gid=0"",""фіз особи new!relations_name""),6,FALSE)
,
(IF
(
G9079=""юридична особа""
,
VLOOKUP"&amp;"(H9079,IMPORTRANGE(""https://docs.google.com/spreadsheets/d/14Bd19lYaqBhU8_DElYkX7l4wRkHqqCUFNJY4AfY3kHU/edit?usp=sharing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8" s="7" t="s">
        <v>29</v>
      </c>
    </row>
    <row r="9079" spans="1:10" ht="13.2">
      <c r="A9079" s="7">
        <v>9078</v>
      </c>
      <c r="B9079" s="7">
        <v>1</v>
      </c>
      <c r="C9079" s="7" t="s">
        <v>10</v>
      </c>
      <c r="D9079" s="7">
        <v>10960</v>
      </c>
      <c r="E9079" s="7" t="s">
        <v>28</v>
      </c>
      <c r="F9079" s="8" t="str">
        <f ca="1">IFERROR(__xludf.DUMMYFUNCTION("IF
(
C9080=""фізична особа""
,
VLOOKUP(D9080,IMPORTRANGE(""https://docs.google.com/spreadsheets/d/14Bd19lYaqBhU8_DElYkX7l4wRkHqqCUFNJY4AfY3kHU/edit?usp=sharing  #gid=0"",""фіз особи new!relations_name""),6,FALSE)
,
(IF
(
C9080=""юридична особа""
,
VLOOKUP"&amp;"(D9080,IMPORTRANGE(""https://docs.google.com/spreadsheets/d/14Bd19lYaqBhU8_DElYkX7l4wRkHqqCUFNJY4AfY3kHU/edit?usp=sharing  #gid=0"",""фіз особи new!relations_name_uo""),7,FALSE)
,
)
))"),"ЛОСКУТНІКОВ Олексій Геннадійович")</f>
        <v>ЛОСКУТНІКОВ Олексій Геннадійович</v>
      </c>
      <c r="G9079" s="7" t="s">
        <v>10</v>
      </c>
      <c r="H9079" s="7">
        <v>3082</v>
      </c>
      <c r="I9079" s="8" t="str">
        <f ca="1">IFERROR(__xludf.DUMMYFUNCTION("IF
(
G9080=""фізична особа""
,
VLOOKUP(H9080,IMPORTRANGE(""https://docs.google.com/spreadsheets/d/14Bd19lYaqBhU8_DElYkX7l4wRkHqqCUFNJY4AfY3kHU/edit?usp=sharing  #gid=0"",""фіз особи new!relations_name""),6,FALSE)
,
(IF
(
G9080=""юридична особа""
,
VLOOKUP"&amp;"(H9080,IMPORTRANGE(""https://docs.google.com/spreadsheets/d/14Bd19lYaqBhU8_DElYkX7l4wRkHqqCUFNJY4AfY3kHU/edit?usp=sharing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79" s="7" t="s">
        <v>29</v>
      </c>
    </row>
    <row r="9080" spans="1:10" ht="13.2">
      <c r="A9080" s="7">
        <v>9079</v>
      </c>
      <c r="B9080" s="7">
        <v>1</v>
      </c>
      <c r="C9080" s="7" t="s">
        <v>10</v>
      </c>
      <c r="D9080" s="7">
        <v>10961</v>
      </c>
      <c r="E9080" s="7" t="s">
        <v>28</v>
      </c>
      <c r="F9080" s="8" t="str">
        <f ca="1">IFERROR(__xludf.DUMMYFUNCTION("IF
(
C9081=""фізична особа""
,
VLOOKUP(D9081,IMPORTRANGE(""https://docs.google.com/spreadsheets/d/14Bd19lYaqBhU8_DElYkX7l4wRkHqqCUFNJY4AfY3kHU/edit?usp=sharing  #gid=0"",""фіз особи new!relations_name""),6,FALSE)
,
(IF
(
C9081=""юридична особа""
,
VLOOKUP"&amp;"(D9081,IMPORTRANGE(""https://docs.google.com/spreadsheets/d/14Bd19lYaqBhU8_DElYkX7l4wRkHqqCUFNJY4AfY3kHU/edit?usp=sharing  #gid=0"",""фіз особи new!relations_name_uo""),7,FALSE)
,
)
))"),"САНДАК Белекмаа Юріївна")</f>
        <v>САНДАК Белекмаа Юріївна</v>
      </c>
      <c r="G9080" s="7" t="s">
        <v>10</v>
      </c>
      <c r="H9080" s="7">
        <v>0</v>
      </c>
      <c r="I9080" s="8" t="str">
        <f ca="1">IFERROR(__xludf.DUMMYFUNCTION("IF
(
G9081=""фізична особа""
,
VLOOKUP(H9081,IMPORTRANGE(""https://docs.google.com/spreadsheets/d/14Bd19lYaqBhU8_DElYkX7l4wRkHqqCUFNJY4AfY3kHU/edit?usp=sharing  #gid=0"",""фіз особи new!relations_name""),6,FALSE)
,
(IF
(
G9081=""юридична особа""
,
VLOOKUP"&amp;"(H9081,IMPORTRANGE(""https://docs.google.com/spreadsheets/d/14Bd19lYaqBhU8_DElYkX7l4wRkHqqCUFNJY4AfY3kHU/edit?usp=sharing  #gid=0"",""фіз особи new!relations_name_uo""),7,FALSE)
,
)
))"),"#N/A")</f>
        <v>#N/A</v>
      </c>
      <c r="J9080" s="7" t="s">
        <v>29</v>
      </c>
    </row>
    <row r="9081" spans="1:10" ht="13.2">
      <c r="A9081" s="7">
        <v>9080</v>
      </c>
      <c r="B9081" s="7">
        <v>1</v>
      </c>
      <c r="C9081" s="7" t="s">
        <v>10</v>
      </c>
      <c r="D9081" s="7">
        <v>10962</v>
      </c>
      <c r="E9081" s="7" t="s">
        <v>28</v>
      </c>
      <c r="F9081" s="8" t="str">
        <f ca="1">IFERROR(__xludf.DUMMYFUNCTION("IF
(
C9082=""фізична особа""
,
VLOOKUP(D9082,IMPORTRANGE(""https://docs.google.com/spreadsheets/d/14Bd19lYaqBhU8_DElYkX7l4wRkHqqCUFNJY4AfY3kHU/edit?usp=sharing  #gid=0"",""фіз особи new!relations_name""),6,FALSE)
,
(IF
(
C9082=""юридична особа""
,
VLOOKUP"&amp;"(D9082,IMPORTRANGE(""https://docs.google.com/spreadsheets/d/14Bd19lYaqBhU8_DElYkX7l4wRkHqqCUFNJY4AfY3kHU/edit?usp=sharing  #gid=0"",""фіз особи new!relations_name_uo""),7,FALSE)
,
)
))"),"СЄМКОВА Марина Борисівна")</f>
        <v>СЄМКОВА Марина Борисівна</v>
      </c>
      <c r="G9081" s="7" t="s">
        <v>10</v>
      </c>
      <c r="H9081" s="7">
        <v>3082</v>
      </c>
      <c r="I9081" s="8" t="str">
        <f ca="1">IFERROR(__xludf.DUMMYFUNCTION("IF
(
G9082=""фізична особа""
,
VLOOKUP(H9082,IMPORTRANGE(""https://docs.google.com/spreadsheets/d/14Bd19lYaqBhU8_DElYkX7l4wRkHqqCUFNJY4AfY3kHU/edit?usp=sharing  #gid=0"",""фіз особи new!relations_name""),6,FALSE)
,
(IF
(
G9082=""юридична особа""
,
VLOOKUP"&amp;"(H9082,IMPORTRANGE(""https://docs.google.com/spreadsheets/d/14Bd19lYaqBhU8_DElYkX7l4wRkHqqCUFNJY4AfY3kHU/edit?usp=sharing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1" s="7" t="s">
        <v>29</v>
      </c>
    </row>
    <row r="9082" spans="1:10" ht="13.2">
      <c r="A9082" s="7">
        <v>9081</v>
      </c>
      <c r="B9082" s="7">
        <v>1</v>
      </c>
      <c r="C9082" s="7" t="s">
        <v>10</v>
      </c>
      <c r="D9082" s="7">
        <v>10963</v>
      </c>
      <c r="E9082" s="7" t="s">
        <v>28</v>
      </c>
      <c r="F9082" s="8" t="str">
        <f ca="1">IFERROR(__xludf.DUMMYFUNCTION("IF
(
C9083=""фізична особа""
,
VLOOKUP(D9083,IMPORTRANGE(""https://docs.google.com/spreadsheets/d/14Bd19lYaqBhU8_DElYkX7l4wRkHqqCUFNJY4AfY3kHU/edit?usp=sharing  #gid=0"",""фіз особи new!relations_name""),6,FALSE)
,
(IF
(
C9083=""юридична особа""
,
VLOOKUP"&amp;"(D9083,IMPORTRANGE(""https://docs.google.com/spreadsheets/d/14Bd19lYaqBhU8_DElYkX7l4wRkHqqCUFNJY4AfY3kHU/edit?usp=sharing  #gid=0"",""фіз особи new!relations_name_uo""),7,FALSE)
,
)
))"),"ЛЕВКІНА Олена Германівна")</f>
        <v>ЛЕВКІНА Олена Германівна</v>
      </c>
      <c r="G9082" s="7" t="s">
        <v>10</v>
      </c>
      <c r="H9082" s="7">
        <v>3082</v>
      </c>
      <c r="I9082" s="8" t="str">
        <f ca="1">IFERROR(__xludf.DUMMYFUNCTION("IF
(
G9083=""фізична особа""
,
VLOOKUP(H9083,IMPORTRANGE(""https://docs.google.com/spreadsheets/d/14Bd19lYaqBhU8_DElYkX7l4wRkHqqCUFNJY4AfY3kHU/edit?usp=sharing  #gid=0"",""фіз особи new!relations_name""),6,FALSE)
,
(IF
(
G9083=""юридична особа""
,
VLOOKUP"&amp;"(H9083,IMPORTRANGE(""https://docs.google.com/spreadsheets/d/14Bd19lYaqBhU8_DElYkX7l4wRkHqqCUFNJY4AfY3kHU/edit?usp=sharing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2" s="7" t="s">
        <v>29</v>
      </c>
    </row>
    <row r="9083" spans="1:10" ht="13.2">
      <c r="A9083" s="7">
        <v>9082</v>
      </c>
      <c r="B9083" s="7">
        <v>1</v>
      </c>
      <c r="C9083" s="7" t="s">
        <v>10</v>
      </c>
      <c r="D9083" s="7">
        <v>10964</v>
      </c>
      <c r="E9083" s="7" t="s">
        <v>28</v>
      </c>
      <c r="F9083" s="8" t="str">
        <f ca="1">IFERROR(__xludf.DUMMYFUNCTION("IF
(
C9084=""фізична особа""
,
VLOOKUP(D9084,IMPORTRANGE(""https://docs.google.com/spreadsheets/d/14Bd19lYaqBhU8_DElYkX7l4wRkHqqCUFNJY4AfY3kHU/edit?usp=sharing  #gid=0"",""фіз особи new!relations_name""),6,FALSE)
,
(IF
(
C9084=""юридична особа""
,
VLOOKUP"&amp;"(D9084,IMPORTRANGE(""https://docs.google.com/spreadsheets/d/14Bd19lYaqBhU8_DElYkX7l4wRkHqqCUFNJY4AfY3kHU/edit?usp=sharing  #gid=0"",""фіз особи new!relations_name_uo""),7,FALSE)
,
)
))"),"КОРОСТЕЛЬОВА Тетяна Вікторівна")</f>
        <v>КОРОСТЕЛЬОВА Тетяна Вікторівна</v>
      </c>
      <c r="G9083" s="7" t="s">
        <v>10</v>
      </c>
      <c r="H9083" s="7">
        <v>0</v>
      </c>
      <c r="I9083" s="8" t="str">
        <f ca="1">IFERROR(__xludf.DUMMYFUNCTION("IF
(
G9084=""фізична особа""
,
VLOOKUP(H9084,IMPORTRANGE(""https://docs.google.com/spreadsheets/d/14Bd19lYaqBhU8_DElYkX7l4wRkHqqCUFNJY4AfY3kHU/edit?usp=sharing  #gid=0"",""фіз особи new!relations_name""),6,FALSE)
,
(IF
(
G9084=""юридична особа""
,
VLOOKUP"&amp;"(H9084,IMPORTRANGE(""https://docs.google.com/spreadsheets/d/14Bd19lYaqBhU8_DElYkX7l4wRkHqqCUFNJY4AfY3kHU/edit?usp=sharing  #gid=0"",""фіз особи new!relations_name_uo""),7,FALSE)
,
)
))"),"#N/A")</f>
        <v>#N/A</v>
      </c>
      <c r="J9083" s="7" t="s">
        <v>29</v>
      </c>
    </row>
    <row r="9084" spans="1:10" ht="13.2">
      <c r="A9084" s="7">
        <v>9083</v>
      </c>
      <c r="B9084" s="7">
        <v>1</v>
      </c>
      <c r="C9084" s="7" t="s">
        <v>10</v>
      </c>
      <c r="D9084" s="7">
        <v>10965</v>
      </c>
      <c r="E9084" s="7" t="s">
        <v>28</v>
      </c>
      <c r="F9084" s="8" t="str">
        <f ca="1">IFERROR(__xludf.DUMMYFUNCTION("IF
(
C9085=""фізична особа""
,
VLOOKUP(D9085,IMPORTRANGE(""https://docs.google.com/spreadsheets/d/14Bd19lYaqBhU8_DElYkX7l4wRkHqqCUFNJY4AfY3kHU/edit?usp=sharing  #gid=0"",""фіз особи new!relations_name""),6,FALSE)
,
(IF
(
C9085=""юридична особа""
,
VLOOKUP"&amp;"(D9085,IMPORTRANGE(""https://docs.google.com/spreadsheets/d/14Bd19lYaqBhU8_DElYkX7l4wRkHqqCUFNJY4AfY3kHU/edit?usp=sharing  #gid=0"",""фіз особи new!relations_name_uo""),7,FALSE)
,
)
))"),"МАЛЄЄВА Тетяна Миколаївна")</f>
        <v>МАЛЄЄВА Тетяна Миколаївна</v>
      </c>
      <c r="G9084" s="7" t="s">
        <v>10</v>
      </c>
      <c r="H9084" s="7">
        <v>0</v>
      </c>
      <c r="I9084" s="8" t="str">
        <f ca="1">IFERROR(__xludf.DUMMYFUNCTION("IF
(
G9085=""фізична особа""
,
VLOOKUP(H9085,IMPORTRANGE(""https://docs.google.com/spreadsheets/d/14Bd19lYaqBhU8_DElYkX7l4wRkHqqCUFNJY4AfY3kHU/edit?usp=sharing  #gid=0"",""фіз особи new!relations_name""),6,FALSE)
,
(IF
(
G9085=""юридична особа""
,
VLOOKUP"&amp;"(H9085,IMPORTRANGE(""https://docs.google.com/spreadsheets/d/14Bd19lYaqBhU8_DElYkX7l4wRkHqqCUFNJY4AfY3kHU/edit?usp=sharing  #gid=0"",""фіз особи new!relations_name_uo""),7,FALSE)
,
)
))"),"#N/A")</f>
        <v>#N/A</v>
      </c>
      <c r="J9084" s="7" t="s">
        <v>29</v>
      </c>
    </row>
    <row r="9085" spans="1:10" ht="13.2">
      <c r="A9085" s="7">
        <v>9084</v>
      </c>
      <c r="B9085" s="7">
        <v>1</v>
      </c>
      <c r="C9085" s="7" t="s">
        <v>10</v>
      </c>
      <c r="D9085" s="7">
        <v>10966</v>
      </c>
      <c r="E9085" s="7" t="s">
        <v>28</v>
      </c>
      <c r="F9085" s="8" t="str">
        <f ca="1">IFERROR(__xludf.DUMMYFUNCTION("IF
(
C9086=""фізична особа""
,
VLOOKUP(D9086,IMPORTRANGE(""https://docs.google.com/spreadsheets/d/14Bd19lYaqBhU8_DElYkX7l4wRkHqqCUFNJY4AfY3kHU/edit?usp=sharing  #gid=0"",""фіз особи new!relations_name""),6,FALSE)
,
(IF
(
C9086=""юридична особа""
,
VLOOKUP"&amp;"(D9086,IMPORTRANGE(""https://docs.google.com/spreadsheets/d/14Bd19lYaqBhU8_DElYkX7l4wRkHqqCUFNJY4AfY3kHU/edit?usp=sharing  #gid=0"",""фіз особи new!relations_name_uo""),7,FALSE)
,
)
))"),"КУЛЬОВ Андрій Геннадійович")</f>
        <v>КУЛЬОВ Андрій Геннадійович</v>
      </c>
      <c r="G9085" s="7" t="s">
        <v>10</v>
      </c>
      <c r="H9085" s="7">
        <v>3082</v>
      </c>
      <c r="I9085" s="8" t="str">
        <f ca="1">IFERROR(__xludf.DUMMYFUNCTION("IF
(
G9086=""фізична особа""
,
VLOOKUP(H9086,IMPORTRANGE(""https://docs.google.com/spreadsheets/d/14Bd19lYaqBhU8_DElYkX7l4wRkHqqCUFNJY4AfY3kHU/edit?usp=sharing  #gid=0"",""фіз особи new!relations_name""),6,FALSE)
,
(IF
(
G9086=""юридична особа""
,
VLOOKUP"&amp;"(H9086,IMPORTRANGE(""https://docs.google.com/spreadsheets/d/14Bd19lYaqBhU8_DElYkX7l4wRkHqqCUFNJY4AfY3kHU/edit?usp=sharing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5" s="7" t="s">
        <v>29</v>
      </c>
    </row>
    <row r="9086" spans="1:10" ht="13.2">
      <c r="A9086" s="7">
        <v>9085</v>
      </c>
      <c r="B9086" s="7">
        <v>1</v>
      </c>
      <c r="C9086" s="7" t="s">
        <v>10</v>
      </c>
      <c r="D9086" s="7">
        <v>10967</v>
      </c>
      <c r="E9086" s="7" t="s">
        <v>28</v>
      </c>
      <c r="F9086" s="8" t="str">
        <f ca="1">IFERROR(__xludf.DUMMYFUNCTION("IF
(
C9087=""фізична особа""
,
VLOOKUP(D9087,IMPORTRANGE(""https://docs.google.com/spreadsheets/d/14Bd19lYaqBhU8_DElYkX7l4wRkHqqCUFNJY4AfY3kHU/edit?usp=sharing  #gid=0"",""фіз особи new!relations_name""),6,FALSE)
,
(IF
(
C9087=""юридична особа""
,
VLOOKUP"&amp;"(D9087,IMPORTRANGE(""https://docs.google.com/spreadsheets/d/14Bd19lYaqBhU8_DElYkX7l4wRkHqqCUFNJY4AfY3kHU/edit?usp=sharing  #gid=0"",""фіз особи new!relations_name_uo""),7,FALSE)
,
)
))"),"БОЧКОВА Ірина Анатоліївна")</f>
        <v>БОЧКОВА Ірина Анатоліївна</v>
      </c>
      <c r="G9086" s="7" t="s">
        <v>10</v>
      </c>
      <c r="H9086" s="7">
        <v>3082</v>
      </c>
      <c r="I9086" s="8" t="str">
        <f ca="1">IFERROR(__xludf.DUMMYFUNCTION("IF
(
G9087=""фізична особа""
,
VLOOKUP(H9087,IMPORTRANGE(""https://docs.google.com/spreadsheets/d/14Bd19lYaqBhU8_DElYkX7l4wRkHqqCUFNJY4AfY3kHU/edit?usp=sharing  #gid=0"",""фіз особи new!relations_name""),6,FALSE)
,
(IF
(
G9087=""юридична особа""
,
VLOOKUP"&amp;"(H9087,IMPORTRANGE(""https://docs.google.com/spreadsheets/d/14Bd19lYaqBhU8_DElYkX7l4wRkHqqCUFNJY4AfY3kHU/edit?usp=sharing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6" s="7" t="s">
        <v>29</v>
      </c>
    </row>
    <row r="9087" spans="1:10" ht="13.2">
      <c r="A9087" s="7">
        <v>9086</v>
      </c>
      <c r="B9087" s="7">
        <v>1</v>
      </c>
      <c r="C9087" s="7" t="s">
        <v>10</v>
      </c>
      <c r="D9087" s="7">
        <v>10968</v>
      </c>
      <c r="E9087" s="7" t="s">
        <v>28</v>
      </c>
      <c r="F9087" s="8" t="str">
        <f ca="1">IFERROR(__xludf.DUMMYFUNCTION("IF
(
C9088=""фізична особа""
,
VLOOKUP(D9088,IMPORTRANGE(""https://docs.google.com/spreadsheets/d/14Bd19lYaqBhU8_DElYkX7l4wRkHqqCUFNJY4AfY3kHU/edit?usp=sharing  #gid=0"",""фіз особи new!relations_name""),6,FALSE)
,
(IF
(
C9088=""юридична особа""
,
VLOOKUP"&amp;"(D9088,IMPORTRANGE(""https://docs.google.com/spreadsheets/d/14Bd19lYaqBhU8_DElYkX7l4wRkHqqCUFNJY4AfY3kHU/edit?usp=sharing  #gid=0"",""фіз особи new!relations_name_uo""),7,FALSE)
,
)
))"),"ХРУСТАЛЬОВА Олена Яківна")</f>
        <v>ХРУСТАЛЬОВА Олена Яківна</v>
      </c>
      <c r="G9087" s="7" t="s">
        <v>10</v>
      </c>
      <c r="H9087" s="7">
        <v>3082</v>
      </c>
      <c r="I9087" s="8" t="str">
        <f ca="1">IFERROR(__xludf.DUMMYFUNCTION("IF
(
G9088=""фізична особа""
,
VLOOKUP(H9088,IMPORTRANGE(""https://docs.google.com/spreadsheets/d/14Bd19lYaqBhU8_DElYkX7l4wRkHqqCUFNJY4AfY3kHU/edit?usp=sharing  #gid=0"",""фіз особи new!relations_name""),6,FALSE)
,
(IF
(
G9088=""юридична особа""
,
VLOOKUP"&amp;"(H9088,IMPORTRANGE(""https://docs.google.com/spreadsheets/d/14Bd19lYaqBhU8_DElYkX7l4wRkHqqCUFNJY4AfY3kHU/edit?usp=sharing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7" s="7" t="s">
        <v>29</v>
      </c>
    </row>
    <row r="9088" spans="1:10" ht="13.2">
      <c r="A9088" s="7">
        <v>9087</v>
      </c>
      <c r="B9088" s="7">
        <v>1</v>
      </c>
      <c r="C9088" s="7" t="s">
        <v>10</v>
      </c>
      <c r="D9088" s="7">
        <v>10969</v>
      </c>
      <c r="E9088" s="7" t="s">
        <v>28</v>
      </c>
      <c r="F9088" s="8" t="str">
        <f ca="1">IFERROR(__xludf.DUMMYFUNCTION("IF
(
C9089=""фізична особа""
,
VLOOKUP(D9089,IMPORTRANGE(""https://docs.google.com/spreadsheets/d/14Bd19lYaqBhU8_DElYkX7l4wRkHqqCUFNJY4AfY3kHU/edit?usp=sharing  #gid=0"",""фіз особи new!relations_name""),6,FALSE)
,
(IF
(
C9089=""юридична особа""
,
VLOOKUP"&amp;"(D9089,IMPORTRANGE(""https://docs.google.com/spreadsheets/d/14Bd19lYaqBhU8_DElYkX7l4wRkHqqCUFNJY4AfY3kHU/edit?usp=sharing  #gid=0"",""фіз особи new!relations_name_uo""),7,FALSE)
,
)
))"),"НІКІФОРОВА Людмила Анатоліївна")</f>
        <v>НІКІФОРОВА Людмила Анатоліївна</v>
      </c>
      <c r="G9088" s="7" t="s">
        <v>10</v>
      </c>
      <c r="H9088" s="7">
        <v>3082</v>
      </c>
      <c r="I9088" s="8" t="str">
        <f ca="1">IFERROR(__xludf.DUMMYFUNCTION("IF
(
G9089=""фізична особа""
,
VLOOKUP(H9089,IMPORTRANGE(""https://docs.google.com/spreadsheets/d/14Bd19lYaqBhU8_DElYkX7l4wRkHqqCUFNJY4AfY3kHU/edit?usp=sharing  #gid=0"",""фіз особи new!relations_name""),6,FALSE)
,
(IF
(
G9089=""юридична особа""
,
VLOOKUP"&amp;"(H9089,IMPORTRANGE(""https://docs.google.com/spreadsheets/d/14Bd19lYaqBhU8_DElYkX7l4wRkHqqCUFNJY4AfY3kHU/edit?usp=sharing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8" s="7" t="s">
        <v>29</v>
      </c>
    </row>
    <row r="9089" spans="1:10" ht="13.2">
      <c r="A9089" s="7">
        <v>9088</v>
      </c>
      <c r="B9089" s="7">
        <v>1</v>
      </c>
      <c r="C9089" s="7" t="s">
        <v>10</v>
      </c>
      <c r="D9089" s="7">
        <v>10970</v>
      </c>
      <c r="E9089" s="7" t="s">
        <v>28</v>
      </c>
      <c r="F9089" s="8" t="str">
        <f ca="1">IFERROR(__xludf.DUMMYFUNCTION("IF
(
C9090=""фізична особа""
,
VLOOKUP(D9090,IMPORTRANGE(""https://docs.google.com/spreadsheets/d/14Bd19lYaqBhU8_DElYkX7l4wRkHqqCUFNJY4AfY3kHU/edit?usp=sharing  #gid=0"",""фіз особи new!relations_name""),6,FALSE)
,
(IF
(
C9090=""юридична особа""
,
VLOOKUP"&amp;"(D9090,IMPORTRANGE(""https://docs.google.com/spreadsheets/d/14Bd19lYaqBhU8_DElYkX7l4wRkHqqCUFNJY4AfY3kHU/edit?usp=sharing  #gid=0"",""фіз особи new!relations_name_uo""),7,FALSE)
,
)
))"),"ЗАЙЦЕВ Віктор Іванович")</f>
        <v>ЗАЙЦЕВ Віктор Іванович</v>
      </c>
      <c r="G9089" s="7" t="s">
        <v>10</v>
      </c>
      <c r="H9089" s="7">
        <v>3082</v>
      </c>
      <c r="I9089" s="8" t="str">
        <f ca="1">IFERROR(__xludf.DUMMYFUNCTION("IF
(
G9090=""фізична особа""
,
VLOOKUP(H9090,IMPORTRANGE(""https://docs.google.com/spreadsheets/d/14Bd19lYaqBhU8_DElYkX7l4wRkHqqCUFNJY4AfY3kHU/edit?usp=sharing  #gid=0"",""фіз особи new!relations_name""),6,FALSE)
,
(IF
(
G9090=""юридична особа""
,
VLOOKUP"&amp;"(H9090,IMPORTRANGE(""https://docs.google.com/spreadsheets/d/14Bd19lYaqBhU8_DElYkX7l4wRkHqqCUFNJY4AfY3kHU/edit?usp=sharing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89" s="7" t="s">
        <v>29</v>
      </c>
    </row>
    <row r="9090" spans="1:10" ht="13.2">
      <c r="A9090" s="7">
        <v>9089</v>
      </c>
      <c r="B9090" s="7">
        <v>1</v>
      </c>
      <c r="C9090" s="7" t="s">
        <v>10</v>
      </c>
      <c r="D9090" s="7">
        <v>10971</v>
      </c>
      <c r="E9090" s="7" t="s">
        <v>28</v>
      </c>
      <c r="F9090" s="8" t="str">
        <f ca="1">IFERROR(__xludf.DUMMYFUNCTION("IF
(
C9091=""фізична особа""
,
VLOOKUP(D9091,IMPORTRANGE(""https://docs.google.com/spreadsheets/d/14Bd19lYaqBhU8_DElYkX7l4wRkHqqCUFNJY4AfY3kHU/edit?usp=sharing  #gid=0"",""фіз особи new!relations_name""),6,FALSE)
,
(IF
(
C9091=""юридична особа""
,
VLOOKUP"&amp;"(D9091,IMPORTRANGE(""https://docs.google.com/spreadsheets/d/14Bd19lYaqBhU8_DElYkX7l4wRkHqqCUFNJY4AfY3kHU/edit?usp=sharing  #gid=0"",""фіз особи new!relations_name_uo""),7,FALSE)
,
)
))"),"АНТОНЕНКО Вероніка Віталіївна")</f>
        <v>АНТОНЕНКО Вероніка Віталіївна</v>
      </c>
      <c r="G9090" s="7" t="s">
        <v>10</v>
      </c>
      <c r="H9090" s="7">
        <v>0</v>
      </c>
      <c r="I9090" s="8" t="str">
        <f ca="1">IFERROR(__xludf.DUMMYFUNCTION("IF
(
G9091=""фізична особа""
,
VLOOKUP(H9091,IMPORTRANGE(""https://docs.google.com/spreadsheets/d/14Bd19lYaqBhU8_DElYkX7l4wRkHqqCUFNJY4AfY3kHU/edit?usp=sharing  #gid=0"",""фіз особи new!relations_name""),6,FALSE)
,
(IF
(
G9091=""юридична особа""
,
VLOOKUP"&amp;"(H9091,IMPORTRANGE(""https://docs.google.com/spreadsheets/d/14Bd19lYaqBhU8_DElYkX7l4wRkHqqCUFNJY4AfY3kHU/edit?usp=sharing  #gid=0"",""фіз особи new!relations_name_uo""),7,FALSE)
,
)
))"),"#N/A")</f>
        <v>#N/A</v>
      </c>
      <c r="J9090" s="7" t="s">
        <v>29</v>
      </c>
    </row>
    <row r="9091" spans="1:10" ht="13.2">
      <c r="A9091" s="7">
        <v>9090</v>
      </c>
      <c r="B9091" s="7">
        <v>1</v>
      </c>
      <c r="C9091" s="7" t="s">
        <v>10</v>
      </c>
      <c r="D9091" s="7">
        <v>10972</v>
      </c>
      <c r="E9091" s="7" t="s">
        <v>28</v>
      </c>
      <c r="F9091" s="8" t="str">
        <f ca="1">IFERROR(__xludf.DUMMYFUNCTION("IF
(
C9092=""фізична особа""
,
VLOOKUP(D9092,IMPORTRANGE(""https://docs.google.com/spreadsheets/d/14Bd19lYaqBhU8_DElYkX7l4wRkHqqCUFNJY4AfY3kHU/edit?usp=sharing  #gid=0"",""фіз особи new!relations_name""),6,FALSE)
,
(IF
(
C9092=""юридична особа""
,
VLOOKUP"&amp;"(D9092,IMPORTRANGE(""https://docs.google.com/spreadsheets/d/14Bd19lYaqBhU8_DElYkX7l4wRkHqqCUFNJY4AfY3kHU/edit?usp=sharing  #gid=0"",""фіз особи new!relations_name_uo""),7,FALSE)
,
)
))"),"ГОНОХОВА Наталія Сергіївна")</f>
        <v>ГОНОХОВА Наталія Сергіївна</v>
      </c>
      <c r="G9091" s="7" t="s">
        <v>10</v>
      </c>
      <c r="H9091" s="7">
        <v>0</v>
      </c>
      <c r="I9091" s="8" t="str">
        <f ca="1">IFERROR(__xludf.DUMMYFUNCTION("IF
(
G9092=""фізична особа""
,
VLOOKUP(H9092,IMPORTRANGE(""https://docs.google.com/spreadsheets/d/14Bd19lYaqBhU8_DElYkX7l4wRkHqqCUFNJY4AfY3kHU/edit?usp=sharing  #gid=0"",""фіз особи new!relations_name""),6,FALSE)
,
(IF
(
G9092=""юридична особа""
,
VLOOKUP"&amp;"(H9092,IMPORTRANGE(""https://docs.google.com/spreadsheets/d/14Bd19lYaqBhU8_DElYkX7l4wRkHqqCUFNJY4AfY3kHU/edit?usp=sharing  #gid=0"",""фіз особи new!relations_name_uo""),7,FALSE)
,
)
))"),"#N/A")</f>
        <v>#N/A</v>
      </c>
      <c r="J9091" s="7" t="s">
        <v>29</v>
      </c>
    </row>
    <row r="9092" spans="1:10" ht="13.2">
      <c r="A9092" s="7">
        <v>9091</v>
      </c>
      <c r="B9092" s="7">
        <v>1</v>
      </c>
      <c r="C9092" s="7" t="s">
        <v>10</v>
      </c>
      <c r="D9092" s="7">
        <v>10973</v>
      </c>
      <c r="E9092" s="7" t="s">
        <v>28</v>
      </c>
      <c r="F9092" s="8" t="str">
        <f ca="1">IFERROR(__xludf.DUMMYFUNCTION("IF
(
C9093=""фізична особа""
,
VLOOKUP(D9093,IMPORTRANGE(""https://docs.google.com/spreadsheets/d/14Bd19lYaqBhU8_DElYkX7l4wRkHqqCUFNJY4AfY3kHU/edit?usp=sharing  #gid=0"",""фіз особи new!relations_name""),6,FALSE)
,
(IF
(
C9093=""юридична особа""
,
VLOOKUP"&amp;"(D9093,IMPORTRANGE(""https://docs.google.com/spreadsheets/d/14Bd19lYaqBhU8_DElYkX7l4wRkHqqCUFNJY4AfY3kHU/edit?usp=sharing  #gid=0"",""фіз особи new!relations_name_uo""),7,FALSE)
,
)
))"),"ДІДЕНКО Сергій Костянтинович")</f>
        <v>ДІДЕНКО Сергій Костянтинович</v>
      </c>
      <c r="G9092" s="7" t="s">
        <v>10</v>
      </c>
      <c r="H9092" s="7">
        <v>3004</v>
      </c>
      <c r="I9092" s="8" t="str">
        <f ca="1">IFERROR(__xludf.DUMMYFUNCTION("IF
(
G9093=""фізична особа""
,
VLOOKUP(H9093,IMPORTRANGE(""https://docs.google.com/spreadsheets/d/14Bd19lYaqBhU8_DElYkX7l4wRkHqqCUFNJY4AfY3kHU/edit?usp=sharing  #gid=0"",""фіз особи new!relations_name""),6,FALSE)
,
(IF
(
G9093=""юридична особа""
,
VLOOKUP"&amp;"(H9093,IMPORTRANGE(""https://docs.google.com/spreadsheets/d/14Bd19lYaqBhU8_DElYkX7l4wRkHqqCUFNJY4AfY3kHU/edit?usp=sharing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2" s="7" t="s">
        <v>29</v>
      </c>
    </row>
    <row r="9093" spans="1:10" ht="13.2">
      <c r="A9093" s="7">
        <v>9092</v>
      </c>
      <c r="B9093" s="7">
        <v>1</v>
      </c>
      <c r="C9093" s="7" t="s">
        <v>10</v>
      </c>
      <c r="D9093" s="7">
        <v>10974</v>
      </c>
      <c r="E9093" s="7" t="s">
        <v>28</v>
      </c>
      <c r="F9093" s="8" t="str">
        <f ca="1">IFERROR(__xludf.DUMMYFUNCTION("IF
(
C9094=""фізична особа""
,
VLOOKUP(D9094,IMPORTRANGE(""https://docs.google.com/spreadsheets/d/14Bd19lYaqBhU8_DElYkX7l4wRkHqqCUFNJY4AfY3kHU/edit?usp=sharing  #gid=0"",""фіз особи new!relations_name""),6,FALSE)
,
(IF
(
C9094=""юридична особа""
,
VLOOKUP"&amp;"(D9094,IMPORTRANGE(""https://docs.google.com/spreadsheets/d/14Bd19lYaqBhU8_DElYkX7l4wRkHqqCUFNJY4AfY3kHU/edit?usp=sharing  #gid=0"",""фіз особи new!relations_name_uo""),7,FALSE)
,
)
))"),"ПАРІНОВ Петро Петрович")</f>
        <v>ПАРІНОВ Петро Петрович</v>
      </c>
      <c r="G9093" s="7" t="s">
        <v>10</v>
      </c>
      <c r="H9093" s="7">
        <v>3004</v>
      </c>
      <c r="I9093" s="8" t="str">
        <f ca="1">IFERROR(__xludf.DUMMYFUNCTION("IF
(
G9094=""фізична особа""
,
VLOOKUP(H9094,IMPORTRANGE(""https://docs.google.com/spreadsheets/d/14Bd19lYaqBhU8_DElYkX7l4wRkHqqCUFNJY4AfY3kHU/edit?usp=sharing  #gid=0"",""фіз особи new!relations_name""),6,FALSE)
,
(IF
(
G9094=""юридична особа""
,
VLOOKUP"&amp;"(H9094,IMPORTRANGE(""https://docs.google.com/spreadsheets/d/14Bd19lYaqBhU8_DElYkX7l4wRkHqqCUFNJY4AfY3kHU/edit?usp=sharing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3" s="7" t="s">
        <v>29</v>
      </c>
    </row>
    <row r="9094" spans="1:10" ht="13.2">
      <c r="A9094" s="7">
        <v>9093</v>
      </c>
      <c r="B9094" s="7">
        <v>1</v>
      </c>
      <c r="C9094" s="7" t="s">
        <v>10</v>
      </c>
      <c r="D9094" s="7">
        <v>10975</v>
      </c>
      <c r="E9094" s="7" t="s">
        <v>28</v>
      </c>
      <c r="F9094" s="8" t="str">
        <f ca="1">IFERROR(__xludf.DUMMYFUNCTION("IF
(
C9095=""фізична особа""
,
VLOOKUP(D9095,IMPORTRANGE(""https://docs.google.com/spreadsheets/d/14Bd19lYaqBhU8_DElYkX7l4wRkHqqCUFNJY4AfY3kHU/edit?usp=sharing  #gid=0"",""фіз особи new!relations_name""),6,FALSE)
,
(IF
(
C9095=""юридична особа""
,
VLOOKUP"&amp;"(D9095,IMPORTRANGE(""https://docs.google.com/spreadsheets/d/14Bd19lYaqBhU8_DElYkX7l4wRkHqqCUFNJY4AfY3kHU/edit?usp=sharing  #gid=0"",""фіз особи new!relations_name_uo""),7,FALSE)
,
)
))"),"САФОНІЧЕВ Сергій Вікторович")</f>
        <v>САФОНІЧЕВ Сергій Вікторович</v>
      </c>
      <c r="G9094" s="7" t="s">
        <v>10</v>
      </c>
      <c r="H9094" s="7">
        <v>3004</v>
      </c>
      <c r="I9094" s="8" t="str">
        <f ca="1">IFERROR(__xludf.DUMMYFUNCTION("IF
(
G9095=""фізична особа""
,
VLOOKUP(H9095,IMPORTRANGE(""https://docs.google.com/spreadsheets/d/14Bd19lYaqBhU8_DElYkX7l4wRkHqqCUFNJY4AfY3kHU/edit?usp=sharing  #gid=0"",""фіз особи new!relations_name""),6,FALSE)
,
(IF
(
G9095=""юридична особа""
,
VLOOKUP"&amp;"(H9095,IMPORTRANGE(""https://docs.google.com/spreadsheets/d/14Bd19lYaqBhU8_DElYkX7l4wRkHqqCUFNJY4AfY3kHU/edit?usp=sharing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4" s="7" t="s">
        <v>29</v>
      </c>
    </row>
    <row r="9095" spans="1:10" ht="13.2">
      <c r="A9095" s="7">
        <v>9094</v>
      </c>
      <c r="B9095" s="7">
        <v>1</v>
      </c>
      <c r="C9095" s="7" t="s">
        <v>10</v>
      </c>
      <c r="D9095" s="7">
        <v>10976</v>
      </c>
      <c r="E9095" s="7" t="s">
        <v>28</v>
      </c>
      <c r="F9095" s="8" t="str">
        <f ca="1">IFERROR(__xludf.DUMMYFUNCTION("IF
(
C9096=""фізична особа""
,
VLOOKUP(D9096,IMPORTRANGE(""https://docs.google.com/spreadsheets/d/14Bd19lYaqBhU8_DElYkX7l4wRkHqqCUFNJY4AfY3kHU/edit?usp=sharing  #gid=0"",""фіз особи new!relations_name""),6,FALSE)
,
(IF
(
C9096=""юридична особа""
,
VLOOKUP"&amp;"(D9096,IMPORTRANGE(""https://docs.google.com/spreadsheets/d/14Bd19lYaqBhU8_DElYkX7l4wRkHqqCUFNJY4AfY3kHU/edit?usp=sharing  #gid=0"",""фіз особи new!relations_name_uo""),7,FALSE)
,
)
))"),"ТУЗІНКЕВИЧ Євгеній Володимирович")</f>
        <v>ТУЗІНКЕВИЧ Євгеній Володимирович</v>
      </c>
      <c r="G9095" s="7" t="s">
        <v>10</v>
      </c>
      <c r="H9095" s="7">
        <v>3004</v>
      </c>
      <c r="I9095" s="8" t="str">
        <f ca="1">IFERROR(__xludf.DUMMYFUNCTION("IF
(
G9096=""фізична особа""
,
VLOOKUP(H9096,IMPORTRANGE(""https://docs.google.com/spreadsheets/d/14Bd19lYaqBhU8_DElYkX7l4wRkHqqCUFNJY4AfY3kHU/edit?usp=sharing  #gid=0"",""фіз особи new!relations_name""),6,FALSE)
,
(IF
(
G9096=""юридична особа""
,
VLOOKUP"&amp;"(H9096,IMPORTRANGE(""https://docs.google.com/spreadsheets/d/14Bd19lYaqBhU8_DElYkX7l4wRkHqqCUFNJY4AfY3kHU/edit?usp=sharing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5" s="7" t="s">
        <v>29</v>
      </c>
    </row>
    <row r="9096" spans="1:10" ht="13.2">
      <c r="A9096" s="7">
        <v>9095</v>
      </c>
      <c r="B9096" s="7">
        <v>1</v>
      </c>
      <c r="C9096" s="7" t="s">
        <v>10</v>
      </c>
      <c r="D9096" s="7">
        <v>10977</v>
      </c>
      <c r="E9096" s="7" t="s">
        <v>28</v>
      </c>
      <c r="F9096" s="8" t="str">
        <f ca="1">IFERROR(__xludf.DUMMYFUNCTION("IF
(
C9097=""фізична особа""
,
VLOOKUP(D9097,IMPORTRANGE(""https://docs.google.com/spreadsheets/d/14Bd19lYaqBhU8_DElYkX7l4wRkHqqCUFNJY4AfY3kHU/edit?usp=sharing  #gid=0"",""фіз особи new!relations_name""),6,FALSE)
,
(IF
(
C9097=""юридична особа""
,
VLOOKUP"&amp;"(D9097,IMPORTRANGE(""https://docs.google.com/spreadsheets/d/14Bd19lYaqBhU8_DElYkX7l4wRkHqqCUFNJY4AfY3kHU/edit?usp=sharing  #gid=0"",""фіз особи new!relations_name_uo""),7,FALSE)
,
)
))"),"ДРЕГВАЛЬ Андрій Валентинович")</f>
        <v>ДРЕГВАЛЬ Андрій Валентинович</v>
      </c>
      <c r="G9096" s="7" t="s">
        <v>10</v>
      </c>
      <c r="H9096" s="7">
        <v>3004</v>
      </c>
      <c r="I9096" s="8" t="str">
        <f ca="1">IFERROR(__xludf.DUMMYFUNCTION("IF
(
G9097=""фізична особа""
,
VLOOKUP(H9097,IMPORTRANGE(""https://docs.google.com/spreadsheets/d/14Bd19lYaqBhU8_DElYkX7l4wRkHqqCUFNJY4AfY3kHU/edit?usp=sharing  #gid=0"",""фіз особи new!relations_name""),6,FALSE)
,
(IF
(
G9097=""юридична особа""
,
VLOOKUP"&amp;"(H9097,IMPORTRANGE(""https://docs.google.com/spreadsheets/d/14Bd19lYaqBhU8_DElYkX7l4wRkHqqCUFNJY4AfY3kHU/edit?usp=sharing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6" s="7" t="s">
        <v>29</v>
      </c>
    </row>
    <row r="9097" spans="1:10" ht="13.2">
      <c r="A9097" s="7">
        <v>9096</v>
      </c>
      <c r="B9097" s="7">
        <v>1</v>
      </c>
      <c r="C9097" s="7" t="s">
        <v>10</v>
      </c>
      <c r="D9097" s="7">
        <v>10978</v>
      </c>
      <c r="E9097" s="7" t="s">
        <v>28</v>
      </c>
      <c r="F9097" s="8" t="str">
        <f ca="1">IFERROR(__xludf.DUMMYFUNCTION("IF
(
C9098=""фізична особа""
,
VLOOKUP(D9098,IMPORTRANGE(""https://docs.google.com/spreadsheets/d/14Bd19lYaqBhU8_DElYkX7l4wRkHqqCUFNJY4AfY3kHU/edit?usp=sharing  #gid=0"",""фіз особи new!relations_name""),6,FALSE)
,
(IF
(
C9098=""юридична особа""
,
VLOOKUP"&amp;"(D9098,IMPORTRANGE(""https://docs.google.com/spreadsheets/d/14Bd19lYaqBhU8_DElYkX7l4wRkHqqCUFNJY4AfY3kHU/edit?usp=sharing  #gid=0"",""фіз особи new!relations_name_uo""),7,FALSE)
,
)
))"),"ТАТАРІНОВ Микола Петрович")</f>
        <v>ТАТАРІНОВ Микола Петрович</v>
      </c>
      <c r="G9097" s="7" t="s">
        <v>10</v>
      </c>
      <c r="H9097" s="7">
        <v>3004</v>
      </c>
      <c r="I9097" s="8" t="str">
        <f ca="1">IFERROR(__xludf.DUMMYFUNCTION("IF
(
G9098=""фізична особа""
,
VLOOKUP(H9098,IMPORTRANGE(""https://docs.google.com/spreadsheets/d/14Bd19lYaqBhU8_DElYkX7l4wRkHqqCUFNJY4AfY3kHU/edit?usp=sharing  #gid=0"",""фіз особи new!relations_name""),6,FALSE)
,
(IF
(
G9098=""юридична особа""
,
VLOOKUP"&amp;"(H9098,IMPORTRANGE(""https://docs.google.com/spreadsheets/d/14Bd19lYaqBhU8_DElYkX7l4wRkHqqCUFNJY4AfY3kHU/edit?usp=sharing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7" s="7" t="s">
        <v>29</v>
      </c>
    </row>
    <row r="9098" spans="1:10" ht="13.2">
      <c r="A9098" s="7">
        <v>9097</v>
      </c>
      <c r="B9098" s="7">
        <v>1</v>
      </c>
      <c r="C9098" s="7" t="s">
        <v>10</v>
      </c>
      <c r="D9098" s="7">
        <v>10979</v>
      </c>
      <c r="E9098" s="7" t="s">
        <v>28</v>
      </c>
      <c r="F9098" s="8" t="str">
        <f ca="1">IFERROR(__xludf.DUMMYFUNCTION("IF
(
C9099=""фізична особа""
,
VLOOKUP(D9099,IMPORTRANGE(""https://docs.google.com/spreadsheets/d/14Bd19lYaqBhU8_DElYkX7l4wRkHqqCUFNJY4AfY3kHU/edit?usp=sharing  #gid=0"",""фіз особи new!relations_name""),6,FALSE)
,
(IF
(
C9099=""юридична особа""
,
VLOOKUP"&amp;"(D9099,IMPORTRANGE(""https://docs.google.com/spreadsheets/d/14Bd19lYaqBhU8_DElYkX7l4wRkHqqCUFNJY4AfY3kHU/edit?usp=sharing  #gid=0"",""фіз особи new!relations_name_uo""),7,FALSE)
,
)
))"),"ШУТЬКО Володимир Анатолійович")</f>
        <v>ШУТЬКО Володимир Анатолійович</v>
      </c>
      <c r="G9098" s="7" t="s">
        <v>10</v>
      </c>
      <c r="H9098" s="7">
        <v>3004</v>
      </c>
      <c r="I9098" s="8" t="str">
        <f ca="1">IFERROR(__xludf.DUMMYFUNCTION("IF
(
G9099=""фізична особа""
,
VLOOKUP(H9099,IMPORTRANGE(""https://docs.google.com/spreadsheets/d/14Bd19lYaqBhU8_DElYkX7l4wRkHqqCUFNJY4AfY3kHU/edit?usp=sharing  #gid=0"",""фіз особи new!relations_name""),6,FALSE)
,
(IF
(
G9099=""юридична особа""
,
VLOOKUP"&amp;"(H9099,IMPORTRANGE(""https://docs.google.com/spreadsheets/d/14Bd19lYaqBhU8_DElYkX7l4wRkHqqCUFNJY4AfY3kHU/edit?usp=sharing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098" s="7" t="s">
        <v>29</v>
      </c>
    </row>
    <row r="9099" spans="1:10" ht="13.2">
      <c r="A9099" s="7">
        <v>9098</v>
      </c>
      <c r="B9099" s="7">
        <v>1</v>
      </c>
      <c r="C9099" s="7" t="s">
        <v>10</v>
      </c>
      <c r="D9099" s="7">
        <v>10980</v>
      </c>
      <c r="E9099" s="7" t="s">
        <v>28</v>
      </c>
      <c r="F9099" s="8" t="str">
        <f ca="1">IFERROR(__xludf.DUMMYFUNCTION("IF
(
C9100=""фізична особа""
,
VLOOKUP(D9100,IMPORTRANGE(""https://docs.google.com/spreadsheets/d/14Bd19lYaqBhU8_DElYkX7l4wRkHqqCUFNJY4AfY3kHU/edit?usp=sharing  #gid=0"",""фіз особи new!relations_name""),6,FALSE)
,
(IF
(
C9100=""юридична особа""
,
VLOOKUP"&amp;"(D9100,IMPORTRANGE(""https://docs.google.com/spreadsheets/d/14Bd19lYaqBhU8_DElYkX7l4wRkHqqCUFNJY4AfY3kHU/edit?usp=sharing  #gid=0"",""фіз особи new!relations_name_uo""),7,FALSE)
,
)
))"),"УМЕРОВА Аделя Равільївна")</f>
        <v>УМЕРОВА Аделя Равільївна</v>
      </c>
      <c r="G9099" s="7" t="s">
        <v>10</v>
      </c>
      <c r="H9099" s="7">
        <v>3082</v>
      </c>
      <c r="I9099" s="8" t="str">
        <f ca="1">IFERROR(__xludf.DUMMYFUNCTION("IF
(
G9100=""фізична особа""
,
VLOOKUP(H9100,IMPORTRANGE(""https://docs.google.com/spreadsheets/d/14Bd19lYaqBhU8_DElYkX7l4wRkHqqCUFNJY4AfY3kHU/edit?usp=sharing  #gid=0"",""фіз особи new!relations_name""),6,FALSE)
,
(IF
(
G9100=""юридична особа""
,
VLOOKUP"&amp;"(H9100,IMPORTRANGE(""https://docs.google.com/spreadsheets/d/14Bd19lYaqBhU8_DElYkX7l4wRkHqqCUFNJY4AfY3kHU/edit?usp=sharing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099" s="7" t="s">
        <v>29</v>
      </c>
    </row>
    <row r="9100" spans="1:10" ht="13.2">
      <c r="A9100" s="7">
        <v>9099</v>
      </c>
      <c r="B9100" s="7">
        <v>1</v>
      </c>
      <c r="C9100" s="7" t="s">
        <v>10</v>
      </c>
      <c r="D9100" s="7">
        <v>10981</v>
      </c>
      <c r="E9100" s="7" t="s">
        <v>28</v>
      </c>
      <c r="F9100" s="8" t="str">
        <f ca="1">IFERROR(__xludf.DUMMYFUNCTION("IF
(
C9101=""фізична особа""
,
VLOOKUP(D9101,IMPORTRANGE(""https://docs.google.com/spreadsheets/d/14Bd19lYaqBhU8_DElYkX7l4wRkHqqCUFNJY4AfY3kHU/edit?usp=sharing  #gid=0"",""фіз особи new!relations_name""),6,FALSE)
,
(IF
(
C9101=""юридична особа""
,
VLOOKUP"&amp;"(D9101,IMPORTRANGE(""https://docs.google.com/spreadsheets/d/14Bd19lYaqBhU8_DElYkX7l4wRkHqqCUFNJY4AfY3kHU/edit?usp=sharing  #gid=0"",""фіз особи new!relations_name_uo""),7,FALSE)
,
)
))"),"НЕФЬОДОВА Юлія Станіславівна")</f>
        <v>НЕФЬОДОВА Юлія Станіславівна</v>
      </c>
      <c r="G9100" s="7" t="s">
        <v>10</v>
      </c>
      <c r="H9100" s="7">
        <v>3082</v>
      </c>
      <c r="I9100" s="8" t="str">
        <f ca="1">IFERROR(__xludf.DUMMYFUNCTION("IF
(
G9101=""фізична особа""
,
VLOOKUP(H9101,IMPORTRANGE(""https://docs.google.com/spreadsheets/d/14Bd19lYaqBhU8_DElYkX7l4wRkHqqCUFNJY4AfY3kHU/edit?usp=sharing  #gid=0"",""фіз особи new!relations_name""),6,FALSE)
,
(IF
(
G9101=""юридична особа""
,
VLOOKUP"&amp;"(H9101,IMPORTRANGE(""https://docs.google.com/spreadsheets/d/14Bd19lYaqBhU8_DElYkX7l4wRkHqqCUFNJY4AfY3kHU/edit?usp=sharing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0" s="7" t="s">
        <v>29</v>
      </c>
    </row>
    <row r="9101" spans="1:10" ht="13.2">
      <c r="A9101" s="7">
        <v>9100</v>
      </c>
      <c r="B9101" s="7">
        <v>1</v>
      </c>
      <c r="C9101" s="7" t="s">
        <v>10</v>
      </c>
      <c r="D9101" s="7">
        <v>10982</v>
      </c>
      <c r="E9101" s="7" t="s">
        <v>28</v>
      </c>
      <c r="F9101" s="8" t="str">
        <f ca="1">IFERROR(__xludf.DUMMYFUNCTION("IF
(
C9102=""фізична особа""
,
VLOOKUP(D9102,IMPORTRANGE(""https://docs.google.com/spreadsheets/d/14Bd19lYaqBhU8_DElYkX7l4wRkHqqCUFNJY4AfY3kHU/edit?usp=sharing  #gid=0"",""фіз особи new!relations_name""),6,FALSE)
,
(IF
(
C9102=""юридична особа""
,
VLOOKUP"&amp;"(D9102,IMPORTRANGE(""https://docs.google.com/spreadsheets/d/14Bd19lYaqBhU8_DElYkX7l4wRkHqqCUFNJY4AfY3kHU/edit?usp=sharing  #gid=0"",""фіз особи new!relations_name_uo""),7,FALSE)
,
)
))"),"МІХЕЙКІН Михайло Степанович")</f>
        <v>МІХЕЙКІН Михайло Степанович</v>
      </c>
      <c r="G9101" s="7" t="s">
        <v>10</v>
      </c>
      <c r="H9101" s="7">
        <v>3082</v>
      </c>
      <c r="I9101" s="8" t="str">
        <f ca="1">IFERROR(__xludf.DUMMYFUNCTION("IF
(
G9102=""фізична особа""
,
VLOOKUP(H9102,IMPORTRANGE(""https://docs.google.com/spreadsheets/d/14Bd19lYaqBhU8_DElYkX7l4wRkHqqCUFNJY4AfY3kHU/edit?usp=sharing  #gid=0"",""фіз особи new!relations_name""),6,FALSE)
,
(IF
(
G9102=""юридична особа""
,
VLOOKUP"&amp;"(H9102,IMPORTRANGE(""https://docs.google.com/spreadsheets/d/14Bd19lYaqBhU8_DElYkX7l4wRkHqqCUFNJY4AfY3kHU/edit?usp=sharing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1" s="7" t="s">
        <v>29</v>
      </c>
    </row>
    <row r="9102" spans="1:10" ht="13.2">
      <c r="A9102" s="7">
        <v>9101</v>
      </c>
      <c r="B9102" s="7">
        <v>1</v>
      </c>
      <c r="C9102" s="7" t="s">
        <v>10</v>
      </c>
      <c r="D9102" s="7">
        <v>10983</v>
      </c>
      <c r="E9102" s="7" t="s">
        <v>28</v>
      </c>
      <c r="F9102" s="8" t="str">
        <f ca="1">IFERROR(__xludf.DUMMYFUNCTION("IF
(
C9103=""фізична особа""
,
VLOOKUP(D9103,IMPORTRANGE(""https://docs.google.com/spreadsheets/d/14Bd19lYaqBhU8_DElYkX7l4wRkHqqCUFNJY4AfY3kHU/edit?usp=sharing  #gid=0"",""фіз особи new!relations_name""),6,FALSE)
,
(IF
(
C9103=""юридична особа""
,
VLOOKUP"&amp;"(D9103,IMPORTRANGE(""https://docs.google.com/spreadsheets/d/14Bd19lYaqBhU8_DElYkX7l4wRkHqqCUFNJY4AfY3kHU/edit?usp=sharing  #gid=0"",""фіз особи new!relations_name_uo""),7,FALSE)
,
)
))"),"АНОСОВА Тетяна Миколаївна")</f>
        <v>АНОСОВА Тетяна Миколаївна</v>
      </c>
      <c r="G9102" s="7" t="s">
        <v>10</v>
      </c>
      <c r="H9102" s="7">
        <v>3082</v>
      </c>
      <c r="I9102" s="8" t="str">
        <f ca="1">IFERROR(__xludf.DUMMYFUNCTION("IF
(
G9103=""фізична особа""
,
VLOOKUP(H9103,IMPORTRANGE(""https://docs.google.com/spreadsheets/d/14Bd19lYaqBhU8_DElYkX7l4wRkHqqCUFNJY4AfY3kHU/edit?usp=sharing  #gid=0"",""фіз особи new!relations_name""),6,FALSE)
,
(IF
(
G9103=""юридична особа""
,
VLOOKUP"&amp;"(H9103,IMPORTRANGE(""https://docs.google.com/spreadsheets/d/14Bd19lYaqBhU8_DElYkX7l4wRkHqqCUFNJY4AfY3kHU/edit?usp=sharing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2" s="7" t="s">
        <v>29</v>
      </c>
    </row>
    <row r="9103" spans="1:10" ht="13.2">
      <c r="A9103" s="7">
        <v>9102</v>
      </c>
      <c r="B9103" s="7">
        <v>1</v>
      </c>
      <c r="C9103" s="7" t="s">
        <v>10</v>
      </c>
      <c r="D9103" s="7">
        <v>10984</v>
      </c>
      <c r="E9103" s="7" t="s">
        <v>28</v>
      </c>
      <c r="F9103" s="8" t="str">
        <f ca="1">IFERROR(__xludf.DUMMYFUNCTION("IF
(
C9104=""фізична особа""
,
VLOOKUP(D9104,IMPORTRANGE(""https://docs.google.com/spreadsheets/d/14Bd19lYaqBhU8_DElYkX7l4wRkHqqCUFNJY4AfY3kHU/edit?usp=sharing  #gid=0"",""фіз особи new!relations_name""),6,FALSE)
,
(IF
(
C9104=""юридична особа""
,
VLOOKUP"&amp;"(D9104,IMPORTRANGE(""https://docs.google.com/spreadsheets/d/14Bd19lYaqBhU8_DElYkX7l4wRkHqqCUFNJY4AfY3kHU/edit?usp=sharing  #gid=0"",""фіз особи new!relations_name_uo""),7,FALSE)
,
)
))"),"СКУГАР Юлія Михайлівна")</f>
        <v>СКУГАР Юлія Михайлівна</v>
      </c>
      <c r="G9103" s="7" t="s">
        <v>10</v>
      </c>
      <c r="H9103" s="7">
        <v>3082</v>
      </c>
      <c r="I9103" s="8" t="str">
        <f ca="1">IFERROR(__xludf.DUMMYFUNCTION("IF
(
G9104=""фізична особа""
,
VLOOKUP(H9104,IMPORTRANGE(""https://docs.google.com/spreadsheets/d/14Bd19lYaqBhU8_DElYkX7l4wRkHqqCUFNJY4AfY3kHU/edit?usp=sharing  #gid=0"",""фіз особи new!relations_name""),6,FALSE)
,
(IF
(
G9104=""юридична особа""
,
VLOOKUP"&amp;"(H9104,IMPORTRANGE(""https://docs.google.com/spreadsheets/d/14Bd19lYaqBhU8_DElYkX7l4wRkHqqCUFNJY4AfY3kHU/edit?usp=sharing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3" s="7" t="s">
        <v>29</v>
      </c>
    </row>
    <row r="9104" spans="1:10" ht="13.2">
      <c r="A9104" s="7">
        <v>9103</v>
      </c>
      <c r="B9104" s="7">
        <v>1</v>
      </c>
      <c r="C9104" s="7" t="s">
        <v>10</v>
      </c>
      <c r="D9104" s="7">
        <v>10985</v>
      </c>
      <c r="E9104" s="7" t="s">
        <v>28</v>
      </c>
      <c r="F9104" s="8" t="str">
        <f ca="1">IFERROR(__xludf.DUMMYFUNCTION("IF
(
C9105=""фізична особа""
,
VLOOKUP(D9105,IMPORTRANGE(""https://docs.google.com/spreadsheets/d/14Bd19lYaqBhU8_DElYkX7l4wRkHqqCUFNJY4AfY3kHU/edit?usp=sharing  #gid=0"",""фіз особи new!relations_name""),6,FALSE)
,
(IF
(
C9105=""юридична особа""
,
VLOOKUP"&amp;"(D9105,IMPORTRANGE(""https://docs.google.com/spreadsheets/d/14Bd19lYaqBhU8_DElYkX7l4wRkHqqCUFNJY4AfY3kHU/edit?usp=sharing  #gid=0"",""фіз особи new!relations_name_uo""),7,FALSE)
,
)
))"),"ПРИБЕЖИЩА Галина Миколаївна")</f>
        <v>ПРИБЕЖИЩА Галина Миколаївна</v>
      </c>
      <c r="G9104" s="7" t="s">
        <v>10</v>
      </c>
      <c r="H9104" s="7">
        <v>3082</v>
      </c>
      <c r="I9104" s="8" t="str">
        <f ca="1">IFERROR(__xludf.DUMMYFUNCTION("IF
(
G9105=""фізична особа""
,
VLOOKUP(H9105,IMPORTRANGE(""https://docs.google.com/spreadsheets/d/14Bd19lYaqBhU8_DElYkX7l4wRkHqqCUFNJY4AfY3kHU/edit?usp=sharing  #gid=0"",""фіз особи new!relations_name""),6,FALSE)
,
(IF
(
G9105=""юридична особа""
,
VLOOKUP"&amp;"(H9105,IMPORTRANGE(""https://docs.google.com/spreadsheets/d/14Bd19lYaqBhU8_DElYkX7l4wRkHqqCUFNJY4AfY3kHU/edit?usp=sharing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4" s="7" t="s">
        <v>29</v>
      </c>
    </row>
    <row r="9105" spans="1:10" ht="13.2">
      <c r="A9105" s="7">
        <v>9104</v>
      </c>
      <c r="B9105" s="7">
        <v>1</v>
      </c>
      <c r="C9105" s="7" t="s">
        <v>10</v>
      </c>
      <c r="D9105" s="7">
        <v>10986</v>
      </c>
      <c r="E9105" s="7" t="s">
        <v>28</v>
      </c>
      <c r="F9105" s="8" t="str">
        <f ca="1">IFERROR(__xludf.DUMMYFUNCTION("IF
(
C9106=""фізична особа""
,
VLOOKUP(D9106,IMPORTRANGE(""https://docs.google.com/spreadsheets/d/14Bd19lYaqBhU8_DElYkX7l4wRkHqqCUFNJY4AfY3kHU/edit?usp=sharing  #gid=0"",""фіз особи new!relations_name""),6,FALSE)
,
(IF
(
C9106=""юридична особа""
,
VLOOKUP"&amp;"(D9106,IMPORTRANGE(""https://docs.google.com/spreadsheets/d/14Bd19lYaqBhU8_DElYkX7l4wRkHqqCUFNJY4AfY3kHU/edit?usp=sharing  #gid=0"",""фіз особи new!relations_name_uo""),7,FALSE)
,
)
))"),"БЄЛІН Микола Борисович")</f>
        <v>БЄЛІН Микола Борисович</v>
      </c>
      <c r="G9105" s="7" t="s">
        <v>10</v>
      </c>
      <c r="H9105" s="7">
        <v>3082</v>
      </c>
      <c r="I9105" s="8" t="str">
        <f ca="1">IFERROR(__xludf.DUMMYFUNCTION("IF
(
G9106=""фізична особа""
,
VLOOKUP(H9106,IMPORTRANGE(""https://docs.google.com/spreadsheets/d/14Bd19lYaqBhU8_DElYkX7l4wRkHqqCUFNJY4AfY3kHU/edit?usp=sharing  #gid=0"",""фіз особи new!relations_name""),6,FALSE)
,
(IF
(
G9106=""юридична особа""
,
VLOOKUP"&amp;"(H9106,IMPORTRANGE(""https://docs.google.com/spreadsheets/d/14Bd19lYaqBhU8_DElYkX7l4wRkHqqCUFNJY4AfY3kHU/edit?usp=sharing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5" s="7" t="s">
        <v>29</v>
      </c>
    </row>
    <row r="9106" spans="1:10" ht="13.2">
      <c r="A9106" s="7">
        <v>9105</v>
      </c>
      <c r="B9106" s="7">
        <v>1</v>
      </c>
      <c r="C9106" s="7" t="s">
        <v>10</v>
      </c>
      <c r="D9106" s="7">
        <v>10987</v>
      </c>
      <c r="E9106" s="7" t="s">
        <v>28</v>
      </c>
      <c r="F9106" s="8" t="str">
        <f ca="1">IFERROR(__xludf.DUMMYFUNCTION("IF
(
C9107=""фізична особа""
,
VLOOKUP(D9107,IMPORTRANGE(""https://docs.google.com/spreadsheets/d/14Bd19lYaqBhU8_DElYkX7l4wRkHqqCUFNJY4AfY3kHU/edit?usp=sharing  #gid=0"",""фіз особи new!relations_name""),6,FALSE)
,
(IF
(
C9107=""юридична особа""
,
VLOOKUP"&amp;"(D9107,IMPORTRANGE(""https://docs.google.com/spreadsheets/d/14Bd19lYaqBhU8_DElYkX7l4wRkHqqCUFNJY4AfY3kHU/edit?usp=sharing  #gid=0"",""фіз особи new!relations_name_uo""),7,FALSE)
,
)
))"),"ЮШКОВ Олександр Олександрович")</f>
        <v>ЮШКОВ Олександр Олександрович</v>
      </c>
      <c r="G9106" s="7" t="s">
        <v>10</v>
      </c>
      <c r="H9106" s="7">
        <v>3082</v>
      </c>
      <c r="I9106" s="8" t="str">
        <f ca="1">IFERROR(__xludf.DUMMYFUNCTION("IF
(
G9107=""фізична особа""
,
VLOOKUP(H9107,IMPORTRANGE(""https://docs.google.com/spreadsheets/d/14Bd19lYaqBhU8_DElYkX7l4wRkHqqCUFNJY4AfY3kHU/edit?usp=sharing  #gid=0"",""фіз особи new!relations_name""),6,FALSE)
,
(IF
(
G9107=""юридична особа""
,
VLOOKUP"&amp;"(H9107,IMPORTRANGE(""https://docs.google.com/spreadsheets/d/14Bd19lYaqBhU8_DElYkX7l4wRkHqqCUFNJY4AfY3kHU/edit?usp=sharing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6" s="7" t="s">
        <v>29</v>
      </c>
    </row>
    <row r="9107" spans="1:10" ht="13.2">
      <c r="A9107" s="7">
        <v>9106</v>
      </c>
      <c r="B9107" s="7">
        <v>1</v>
      </c>
      <c r="C9107" s="7" t="s">
        <v>10</v>
      </c>
      <c r="D9107" s="7">
        <v>10988</v>
      </c>
      <c r="E9107" s="7" t="s">
        <v>28</v>
      </c>
      <c r="F9107" s="8" t="str">
        <f ca="1">IFERROR(__xludf.DUMMYFUNCTION("IF
(
C9108=""фізична особа""
,
VLOOKUP(D9108,IMPORTRANGE(""https://docs.google.com/spreadsheets/d/14Bd19lYaqBhU8_DElYkX7l4wRkHqqCUFNJY4AfY3kHU/edit?usp=sharing  #gid=0"",""фіз особи new!relations_name""),6,FALSE)
,
(IF
(
C9108=""юридична особа""
,
VLOOKUP"&amp;"(D9108,IMPORTRANGE(""https://docs.google.com/spreadsheets/d/14Bd19lYaqBhU8_DElYkX7l4wRkHqqCUFNJY4AfY3kHU/edit?usp=sharing  #gid=0"",""фіз особи new!relations_name_uo""),7,FALSE)
,
)
))"),"ДАВИДОВА Ольга Іванівна")</f>
        <v>ДАВИДОВА Ольга Іванівна</v>
      </c>
      <c r="G9107" s="7" t="s">
        <v>10</v>
      </c>
      <c r="H9107" s="7">
        <v>3082</v>
      </c>
      <c r="I9107" s="8" t="str">
        <f ca="1">IFERROR(__xludf.DUMMYFUNCTION("IF
(
G9108=""фізична особа""
,
VLOOKUP(H9108,IMPORTRANGE(""https://docs.google.com/spreadsheets/d/14Bd19lYaqBhU8_DElYkX7l4wRkHqqCUFNJY4AfY3kHU/edit?usp=sharing  #gid=0"",""фіз особи new!relations_name""),6,FALSE)
,
(IF
(
G9108=""юридична особа""
,
VLOOKUP"&amp;"(H9108,IMPORTRANGE(""https://docs.google.com/spreadsheets/d/14Bd19lYaqBhU8_DElYkX7l4wRkHqqCUFNJY4AfY3kHU/edit?usp=sharing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7" s="7" t="s">
        <v>29</v>
      </c>
    </row>
    <row r="9108" spans="1:10" ht="13.2">
      <c r="A9108" s="7">
        <v>9107</v>
      </c>
      <c r="B9108" s="7">
        <v>1</v>
      </c>
      <c r="C9108" s="7" t="s">
        <v>10</v>
      </c>
      <c r="D9108" s="7">
        <v>10989</v>
      </c>
      <c r="E9108" s="7" t="s">
        <v>28</v>
      </c>
      <c r="F9108" s="8" t="str">
        <f ca="1">IFERROR(__xludf.DUMMYFUNCTION("IF
(
C9109=""фізична особа""
,
VLOOKUP(D9109,IMPORTRANGE(""https://docs.google.com/spreadsheets/d/14Bd19lYaqBhU8_DElYkX7l4wRkHqqCUFNJY4AfY3kHU/edit?usp=sharing  #gid=0"",""фіз особи new!relations_name""),6,FALSE)
,
(IF
(
C9109=""юридична особа""
,
VLOOKUP"&amp;"(D9109,IMPORTRANGE(""https://docs.google.com/spreadsheets/d/14Bd19lYaqBhU8_DElYkX7l4wRkHqqCUFNJY4AfY3kHU/edit?usp=sharing  #gid=0"",""фіз особи new!relations_name_uo""),7,FALSE)
,
)
))"),"ГНАТЮК Олег Петрович")</f>
        <v>ГНАТЮК Олег Петрович</v>
      </c>
      <c r="G9108" s="7" t="s">
        <v>10</v>
      </c>
      <c r="H9108" s="7">
        <v>3082</v>
      </c>
      <c r="I9108" s="8" t="str">
        <f ca="1">IFERROR(__xludf.DUMMYFUNCTION("IF
(
G9109=""фізична особа""
,
VLOOKUP(H9109,IMPORTRANGE(""https://docs.google.com/spreadsheets/d/14Bd19lYaqBhU8_DElYkX7l4wRkHqqCUFNJY4AfY3kHU/edit?usp=sharing  #gid=0"",""фіз особи new!relations_name""),6,FALSE)
,
(IF
(
G9109=""юридична особа""
,
VLOOKUP"&amp;"(H9109,IMPORTRANGE(""https://docs.google.com/spreadsheets/d/14Bd19lYaqBhU8_DElYkX7l4wRkHqqCUFNJY4AfY3kHU/edit?usp=sharing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8" s="7" t="s">
        <v>29</v>
      </c>
    </row>
    <row r="9109" spans="1:10" ht="13.2">
      <c r="A9109" s="7">
        <v>9108</v>
      </c>
      <c r="B9109" s="7">
        <v>1</v>
      </c>
      <c r="C9109" s="7" t="s">
        <v>10</v>
      </c>
      <c r="D9109" s="7">
        <v>10990</v>
      </c>
      <c r="E9109" s="7" t="s">
        <v>28</v>
      </c>
      <c r="F9109" s="8" t="str">
        <f ca="1">IFERROR(__xludf.DUMMYFUNCTION("IF
(
C9110=""фізична особа""
,
VLOOKUP(D9110,IMPORTRANGE(""https://docs.google.com/spreadsheets/d/14Bd19lYaqBhU8_DElYkX7l4wRkHqqCUFNJY4AfY3kHU/edit?usp=sharing  #gid=0"",""фіз особи new!relations_name""),6,FALSE)
,
(IF
(
C9110=""юридична особа""
,
VLOOKUP"&amp;"(D9110,IMPORTRANGE(""https://docs.google.com/spreadsheets/d/14Bd19lYaqBhU8_DElYkX7l4wRkHqqCUFNJY4AfY3kHU/edit?usp=sharing  #gid=0"",""фіз особи new!relations_name_uo""),7,FALSE)
,
)
))"),"ЗІЛЬБЕР Наталія Олександрівна")</f>
        <v>ЗІЛЬБЕР Наталія Олександрівна</v>
      </c>
      <c r="G9109" s="7" t="s">
        <v>10</v>
      </c>
      <c r="H9109" s="7">
        <v>3082</v>
      </c>
      <c r="I9109" s="8" t="str">
        <f ca="1">IFERROR(__xludf.DUMMYFUNCTION("IF
(
G9110=""фізична особа""
,
VLOOKUP(H9110,IMPORTRANGE(""https://docs.google.com/spreadsheets/d/14Bd19lYaqBhU8_DElYkX7l4wRkHqqCUFNJY4AfY3kHU/edit?usp=sharing  #gid=0"",""фіз особи new!relations_name""),6,FALSE)
,
(IF
(
G9110=""юридична особа""
,
VLOOKUP"&amp;"(H9110,IMPORTRANGE(""https://docs.google.com/spreadsheets/d/14Bd19lYaqBhU8_DElYkX7l4wRkHqqCUFNJY4AfY3kHU/edit?usp=sharing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09" s="7" t="s">
        <v>29</v>
      </c>
    </row>
    <row r="9110" spans="1:10" ht="13.2">
      <c r="A9110" s="7">
        <v>9109</v>
      </c>
      <c r="B9110" s="7">
        <v>1</v>
      </c>
      <c r="C9110" s="7" t="s">
        <v>10</v>
      </c>
      <c r="D9110" s="7">
        <v>10991</v>
      </c>
      <c r="E9110" s="7" t="s">
        <v>28</v>
      </c>
      <c r="F9110" s="8" t="str">
        <f ca="1">IFERROR(__xludf.DUMMYFUNCTION("IF
(
C9111=""фізична особа""
,
VLOOKUP(D9111,IMPORTRANGE(""https://docs.google.com/spreadsheets/d/14Bd19lYaqBhU8_DElYkX7l4wRkHqqCUFNJY4AfY3kHU/edit?usp=sharing  #gid=0"",""фіз особи new!relations_name""),6,FALSE)
,
(IF
(
C9111=""юридична особа""
,
VLOOKUP"&amp;"(D9111,IMPORTRANGE(""https://docs.google.com/spreadsheets/d/14Bd19lYaqBhU8_DElYkX7l4wRkHqqCUFNJY4AfY3kHU/edit?usp=sharing  #gid=0"",""фіз особи new!relations_name_uo""),7,FALSE)
,
)
))"),"ЧЕРНИШЕВ Андрій Валентинович")</f>
        <v>ЧЕРНИШЕВ Андрій Валентинович</v>
      </c>
      <c r="G9110" s="7" t="s">
        <v>10</v>
      </c>
      <c r="H9110" s="7">
        <v>3082</v>
      </c>
      <c r="I9110" s="8" t="str">
        <f ca="1">IFERROR(__xludf.DUMMYFUNCTION("IF
(
G9111=""фізична особа""
,
VLOOKUP(H9111,IMPORTRANGE(""https://docs.google.com/spreadsheets/d/14Bd19lYaqBhU8_DElYkX7l4wRkHqqCUFNJY4AfY3kHU/edit?usp=sharing  #gid=0"",""фіз особи new!relations_name""),6,FALSE)
,
(IF
(
G9111=""юридична особа""
,
VLOOKUP"&amp;"(H9111,IMPORTRANGE(""https://docs.google.com/spreadsheets/d/14Bd19lYaqBhU8_DElYkX7l4wRkHqqCUFNJY4AfY3kHU/edit?usp=sharing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10" s="7" t="s">
        <v>29</v>
      </c>
    </row>
    <row r="9111" spans="1:10" ht="13.2">
      <c r="A9111" s="7">
        <v>9110</v>
      </c>
      <c r="B9111" s="7">
        <v>1</v>
      </c>
      <c r="C9111" s="7" t="s">
        <v>10</v>
      </c>
      <c r="D9111" s="7">
        <v>10992</v>
      </c>
      <c r="E9111" s="7" t="s">
        <v>28</v>
      </c>
      <c r="F9111" s="8" t="str">
        <f ca="1">IFERROR(__xludf.DUMMYFUNCTION("IF
(
C9112=""фізична особа""
,
VLOOKUP(D9112,IMPORTRANGE(""https://docs.google.com/spreadsheets/d/14Bd19lYaqBhU8_DElYkX7l4wRkHqqCUFNJY4AfY3kHU/edit?usp=sharing  #gid=0"",""фіз особи new!relations_name""),6,FALSE)
,
(IF
(
C9112=""юридична особа""
,
VLOOKUP"&amp;"(D9112,IMPORTRANGE(""https://docs.google.com/spreadsheets/d/14Bd19lYaqBhU8_DElYkX7l4wRkHqqCUFNJY4AfY3kHU/edit?usp=sharing  #gid=0"",""фіз особи new!relations_name_uo""),7,FALSE)
,
)
))"),"НОНУКОВА Ірина Василівна")</f>
        <v>НОНУКОВА Ірина Василівна</v>
      </c>
      <c r="G9111" s="7" t="s">
        <v>10</v>
      </c>
      <c r="H9111" s="7">
        <v>3082</v>
      </c>
      <c r="I9111" s="8" t="str">
        <f ca="1">IFERROR(__xludf.DUMMYFUNCTION("IF
(
G9112=""фізична особа""
,
VLOOKUP(H9112,IMPORTRANGE(""https://docs.google.com/spreadsheets/d/14Bd19lYaqBhU8_DElYkX7l4wRkHqqCUFNJY4AfY3kHU/edit?usp=sharing  #gid=0"",""фіз особи new!relations_name""),6,FALSE)
,
(IF
(
G9112=""юридична особа""
,
VLOOKUP"&amp;"(H9112,IMPORTRANGE(""https://docs.google.com/spreadsheets/d/14Bd19lYaqBhU8_DElYkX7l4wRkHqqCUFNJY4AfY3kHU/edit?usp=sharing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11" s="7" t="s">
        <v>29</v>
      </c>
    </row>
    <row r="9112" spans="1:10" ht="13.2">
      <c r="A9112" s="7">
        <v>9111</v>
      </c>
      <c r="B9112" s="7">
        <v>1</v>
      </c>
      <c r="C9112" s="7" t="s">
        <v>10</v>
      </c>
      <c r="D9112" s="7">
        <v>10993</v>
      </c>
      <c r="E9112" s="7" t="s">
        <v>28</v>
      </c>
      <c r="F9112" s="8" t="str">
        <f ca="1">IFERROR(__xludf.DUMMYFUNCTION("IF
(
C9113=""фізична особа""
,
VLOOKUP(D9113,IMPORTRANGE(""https://docs.google.com/spreadsheets/d/14Bd19lYaqBhU8_DElYkX7l4wRkHqqCUFNJY4AfY3kHU/edit?usp=sharing  #gid=0"",""фіз особи new!relations_name""),6,FALSE)
,
(IF
(
C9113=""юридична особа""
,
VLOOKUP"&amp;"(D9113,IMPORTRANGE(""https://docs.google.com/spreadsheets/d/14Bd19lYaqBhU8_DElYkX7l4wRkHqqCUFNJY4AfY3kHU/edit?usp=sharing  #gid=0"",""фіз особи new!relations_name_uo""),7,FALSE)
,
)
))"),"ТАРЧУКОВ Андрій Євгенович")</f>
        <v>ТАРЧУКОВ Андрій Євгенович</v>
      </c>
      <c r="G9112" s="7" t="s">
        <v>10</v>
      </c>
      <c r="H9112" s="7">
        <v>3036</v>
      </c>
      <c r="I9112" s="8" t="str">
        <f ca="1">IFERROR(__xludf.DUMMYFUNCTION("IF
(
G9113=""фізична особа""
,
VLOOKUP(H9113,IMPORTRANGE(""https://docs.google.com/spreadsheets/d/14Bd19lYaqBhU8_DElYkX7l4wRkHqqCUFNJY4AfY3kHU/edit?usp=sharing  #gid=0"",""фіз особи new!relations_name""),6,FALSE)
,
(IF
(
G9113=""юридична особа""
,
VLOOKUP"&amp;"(H9113,IMPORTRANGE(""https://docs.google.com/spreadsheets/d/14Bd19lYaqBhU8_DElYkX7l4wRkHqqCUFNJY4AfY3kHU/edit?usp=sharing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2" s="7" t="s">
        <v>29</v>
      </c>
    </row>
    <row r="9113" spans="1:10" ht="13.2">
      <c r="A9113" s="7">
        <v>9112</v>
      </c>
      <c r="B9113" s="7">
        <v>1</v>
      </c>
      <c r="C9113" s="7" t="s">
        <v>10</v>
      </c>
      <c r="D9113" s="7">
        <v>10994</v>
      </c>
      <c r="E9113" s="7" t="s">
        <v>28</v>
      </c>
      <c r="F9113" s="8" t="str">
        <f ca="1">IFERROR(__xludf.DUMMYFUNCTION("IF
(
C9114=""фізична особа""
,
VLOOKUP(D9114,IMPORTRANGE(""https://docs.google.com/spreadsheets/d/14Bd19lYaqBhU8_DElYkX7l4wRkHqqCUFNJY4AfY3kHU/edit?usp=sharing  #gid=0"",""фіз особи new!relations_name""),6,FALSE)
,
(IF
(
C9114=""юридична особа""
,
VLOOKUP"&amp;"(D9114,IMPORTRANGE(""https://docs.google.com/spreadsheets/d/14Bd19lYaqBhU8_DElYkX7l4wRkHqqCUFNJY4AfY3kHU/edit?usp=sharing  #gid=0"",""фіз особи new!relations_name_uo""),7,FALSE)
,
)
))"),"ЄМЕЛЬЯНЕНКО Єгор Валерійович")</f>
        <v>ЄМЕЛЬЯНЕНКО Єгор Валерійович</v>
      </c>
      <c r="G9113" s="7" t="s">
        <v>10</v>
      </c>
      <c r="H9113" s="7">
        <v>3036</v>
      </c>
      <c r="I9113" s="8" t="str">
        <f ca="1">IFERROR(__xludf.DUMMYFUNCTION("IF
(
G9114=""фізична особа""
,
VLOOKUP(H9114,IMPORTRANGE(""https://docs.google.com/spreadsheets/d/14Bd19lYaqBhU8_DElYkX7l4wRkHqqCUFNJY4AfY3kHU/edit?usp=sharing  #gid=0"",""фіз особи new!relations_name""),6,FALSE)
,
(IF
(
G9114=""юридична особа""
,
VLOOKUP"&amp;"(H9114,IMPORTRANGE(""https://docs.google.com/spreadsheets/d/14Bd19lYaqBhU8_DElYkX7l4wRkHqqCUFNJY4AfY3kHU/edit?usp=sharing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3" s="7" t="s">
        <v>29</v>
      </c>
    </row>
    <row r="9114" spans="1:10" ht="13.2">
      <c r="A9114" s="7">
        <v>9113</v>
      </c>
      <c r="B9114" s="7">
        <v>1</v>
      </c>
      <c r="C9114" s="7" t="s">
        <v>10</v>
      </c>
      <c r="D9114" s="7">
        <v>10995</v>
      </c>
      <c r="E9114" s="7" t="s">
        <v>28</v>
      </c>
      <c r="F9114" s="8" t="str">
        <f ca="1">IFERROR(__xludf.DUMMYFUNCTION("IF
(
C9115=""фізична особа""
,
VLOOKUP(D9115,IMPORTRANGE(""https://docs.google.com/spreadsheets/d/14Bd19lYaqBhU8_DElYkX7l4wRkHqqCUFNJY4AfY3kHU/edit?usp=sharing  #gid=0"",""фіз особи new!relations_name""),6,FALSE)
,
(IF
(
C9115=""юридична особа""
,
VLOOKUP"&amp;"(D9115,IMPORTRANGE(""https://docs.google.com/spreadsheets/d/14Bd19lYaqBhU8_DElYkX7l4wRkHqqCUFNJY4AfY3kHU/edit?usp=sharing  #gid=0"",""фіз особи new!relations_name_uo""),7,FALSE)
,
)
))"),"КАРСАКОВ Андрій Олександрович")</f>
        <v>КАРСАКОВ Андрій Олександрович</v>
      </c>
      <c r="G9114" s="7" t="s">
        <v>10</v>
      </c>
      <c r="H9114" s="7">
        <v>3036</v>
      </c>
      <c r="I9114" s="8" t="str">
        <f ca="1">IFERROR(__xludf.DUMMYFUNCTION("IF
(
G9115=""фізична особа""
,
VLOOKUP(H9115,IMPORTRANGE(""https://docs.google.com/spreadsheets/d/14Bd19lYaqBhU8_DElYkX7l4wRkHqqCUFNJY4AfY3kHU/edit?usp=sharing  #gid=0"",""фіз особи new!relations_name""),6,FALSE)
,
(IF
(
G9115=""юридична особа""
,
VLOOKUP"&amp;"(H9115,IMPORTRANGE(""https://docs.google.com/spreadsheets/d/14Bd19lYaqBhU8_DElYkX7l4wRkHqqCUFNJY4AfY3kHU/edit?usp=sharing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4" s="7" t="s">
        <v>29</v>
      </c>
    </row>
    <row r="9115" spans="1:10" ht="13.2">
      <c r="A9115" s="7">
        <v>9114</v>
      </c>
      <c r="B9115" s="7">
        <v>1</v>
      </c>
      <c r="C9115" s="7" t="s">
        <v>10</v>
      </c>
      <c r="D9115" s="7">
        <v>10996</v>
      </c>
      <c r="E9115" s="7" t="s">
        <v>28</v>
      </c>
      <c r="F9115" s="8" t="str">
        <f ca="1">IFERROR(__xludf.DUMMYFUNCTION("IF
(
C9116=""фізична особа""
,
VLOOKUP(D9116,IMPORTRANGE(""https://docs.google.com/spreadsheets/d/14Bd19lYaqBhU8_DElYkX7l4wRkHqqCUFNJY4AfY3kHU/edit?usp=sharing  #gid=0"",""фіз особи new!relations_name""),6,FALSE)
,
(IF
(
C9116=""юридична особа""
,
VLOOKUP"&amp;"(D9116,IMPORTRANGE(""https://docs.google.com/spreadsheets/d/14Bd19lYaqBhU8_DElYkX7l4wRkHqqCUFNJY4AfY3kHU/edit?usp=sharing  #gid=0"",""фіз особи new!relations_name_uo""),7,FALSE)
,
)
))"),"КОНЬКОВА Дар'я Сергіївна")</f>
        <v>КОНЬКОВА Дар'я Сергіївна</v>
      </c>
      <c r="G9115" s="7" t="s">
        <v>10</v>
      </c>
      <c r="H9115" s="7">
        <v>3036</v>
      </c>
      <c r="I9115" s="8" t="str">
        <f ca="1">IFERROR(__xludf.DUMMYFUNCTION("IF
(
G9116=""фізична особа""
,
VLOOKUP(H9116,IMPORTRANGE(""https://docs.google.com/spreadsheets/d/14Bd19lYaqBhU8_DElYkX7l4wRkHqqCUFNJY4AfY3kHU/edit?usp=sharing  #gid=0"",""фіз особи new!relations_name""),6,FALSE)
,
(IF
(
G9116=""юридична особа""
,
VLOOKUP"&amp;"(H9116,IMPORTRANGE(""https://docs.google.com/spreadsheets/d/14Bd19lYaqBhU8_DElYkX7l4wRkHqqCUFNJY4AfY3kHU/edit?usp=sharing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5" s="7" t="s">
        <v>29</v>
      </c>
    </row>
    <row r="9116" spans="1:10" ht="13.2">
      <c r="A9116" s="7">
        <v>9115</v>
      </c>
      <c r="B9116" s="7">
        <v>1</v>
      </c>
      <c r="C9116" s="7" t="s">
        <v>10</v>
      </c>
      <c r="D9116" s="7">
        <v>10997</v>
      </c>
      <c r="E9116" s="7" t="s">
        <v>28</v>
      </c>
      <c r="F9116" s="8" t="str">
        <f ca="1">IFERROR(__xludf.DUMMYFUNCTION("IF
(
C9117=""фізична особа""
,
VLOOKUP(D9117,IMPORTRANGE(""https://docs.google.com/spreadsheets/d/14Bd19lYaqBhU8_DElYkX7l4wRkHqqCUFNJY4AfY3kHU/edit?usp=sharing  #gid=0"",""фіз особи new!relations_name""),6,FALSE)
,
(IF
(
C9117=""юридична особа""
,
VLOOKUP"&amp;"(D9117,IMPORTRANGE(""https://docs.google.com/spreadsheets/d/14Bd19lYaqBhU8_DElYkX7l4wRkHqqCUFNJY4AfY3kHU/edit?usp=sharing  #gid=0"",""фіз особи new!relations_name_uo""),7,FALSE)
,
)
))"),"МАНАКОВ Владислав Олександрович")</f>
        <v>МАНАКОВ Владислав Олександрович</v>
      </c>
      <c r="G9116" s="7" t="s">
        <v>10</v>
      </c>
      <c r="H9116" s="7">
        <v>3036</v>
      </c>
      <c r="I9116" s="8" t="str">
        <f ca="1">IFERROR(__xludf.DUMMYFUNCTION("IF
(
G9117=""фізична особа""
,
VLOOKUP(H9117,IMPORTRANGE(""https://docs.google.com/spreadsheets/d/14Bd19lYaqBhU8_DElYkX7l4wRkHqqCUFNJY4AfY3kHU/edit?usp=sharing  #gid=0"",""фіз особи new!relations_name""),6,FALSE)
,
(IF
(
G9117=""юридична особа""
,
VLOOKUP"&amp;"(H9117,IMPORTRANGE(""https://docs.google.com/spreadsheets/d/14Bd19lYaqBhU8_DElYkX7l4wRkHqqCUFNJY4AfY3kHU/edit?usp=sharing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6" s="7" t="s">
        <v>29</v>
      </c>
    </row>
    <row r="9117" spans="1:10" ht="13.2">
      <c r="A9117" s="7">
        <v>9116</v>
      </c>
      <c r="B9117" s="7">
        <v>1</v>
      </c>
      <c r="C9117" s="7" t="s">
        <v>10</v>
      </c>
      <c r="D9117" s="7">
        <v>10998</v>
      </c>
      <c r="E9117" s="7" t="s">
        <v>28</v>
      </c>
      <c r="F9117" s="8" t="str">
        <f ca="1">IFERROR(__xludf.DUMMYFUNCTION("IF
(
C9118=""фізична особа""
,
VLOOKUP(D9118,IMPORTRANGE(""https://docs.google.com/spreadsheets/d/14Bd19lYaqBhU8_DElYkX7l4wRkHqqCUFNJY4AfY3kHU/edit?usp=sharing  #gid=0"",""фіз особи new!relations_name""),6,FALSE)
,
(IF
(
C9118=""юридична особа""
,
VLOOKUP"&amp;"(D9118,IMPORTRANGE(""https://docs.google.com/spreadsheets/d/14Bd19lYaqBhU8_DElYkX7l4wRkHqqCUFNJY4AfY3kHU/edit?usp=sharing  #gid=0"",""фіз особи new!relations_name_uo""),7,FALSE)
,
)
))"),"БОГДАНОВА Тетяна Юріївна")</f>
        <v>БОГДАНОВА Тетяна Юріївна</v>
      </c>
      <c r="G9117" s="7" t="s">
        <v>10</v>
      </c>
      <c r="H9117" s="7">
        <v>3036</v>
      </c>
      <c r="I9117" s="8" t="str">
        <f ca="1">IFERROR(__xludf.DUMMYFUNCTION("IF
(
G9118=""фізична особа""
,
VLOOKUP(H9118,IMPORTRANGE(""https://docs.google.com/spreadsheets/d/14Bd19lYaqBhU8_DElYkX7l4wRkHqqCUFNJY4AfY3kHU/edit?usp=sharing  #gid=0"",""фіз особи new!relations_name""),6,FALSE)
,
(IF
(
G9118=""юридична особа""
,
VLOOKUP"&amp;"(H9118,IMPORTRANGE(""https://docs.google.com/spreadsheets/d/14Bd19lYaqBhU8_DElYkX7l4wRkHqqCUFNJY4AfY3kHU/edit?usp=sharing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7" s="7" t="s">
        <v>29</v>
      </c>
    </row>
    <row r="9118" spans="1:10" ht="13.2">
      <c r="A9118" s="7">
        <v>9117</v>
      </c>
      <c r="B9118" s="7">
        <v>1</v>
      </c>
      <c r="C9118" s="7" t="s">
        <v>10</v>
      </c>
      <c r="D9118" s="7">
        <v>10999</v>
      </c>
      <c r="E9118" s="7" t="s">
        <v>28</v>
      </c>
      <c r="F9118" s="8" t="str">
        <f ca="1">IFERROR(__xludf.DUMMYFUNCTION("IF
(
C9119=""фізична особа""
,
VLOOKUP(D9119,IMPORTRANGE(""https://docs.google.com/spreadsheets/d/14Bd19lYaqBhU8_DElYkX7l4wRkHqqCUFNJY4AfY3kHU/edit?usp=sharing  #gid=0"",""фіз особи new!relations_name""),6,FALSE)
,
(IF
(
C9119=""юридична особа""
,
VLOOKUP"&amp;"(D9119,IMPORTRANGE(""https://docs.google.com/spreadsheets/d/14Bd19lYaqBhU8_DElYkX7l4wRkHqqCUFNJY4AfY3kHU/edit?usp=sharing  #gid=0"",""фіз особи new!relations_name_uo""),7,FALSE)
,
)
))"),"ТКАЧЕНКО Вадим Михайлович")</f>
        <v>ТКАЧЕНКО Вадим Михайлович</v>
      </c>
      <c r="G9118" s="7" t="s">
        <v>10</v>
      </c>
      <c r="H9118" s="7">
        <v>3036</v>
      </c>
      <c r="I9118" s="8" t="str">
        <f ca="1">IFERROR(__xludf.DUMMYFUNCTION("IF
(
G9119=""фізична особа""
,
VLOOKUP(H9119,IMPORTRANGE(""https://docs.google.com/spreadsheets/d/14Bd19lYaqBhU8_DElYkX7l4wRkHqqCUFNJY4AfY3kHU/edit?usp=sharing  #gid=0"",""фіз особи new!relations_name""),6,FALSE)
,
(IF
(
G9119=""юридична особа""
,
VLOOKUP"&amp;"(H9119,IMPORTRANGE(""https://docs.google.com/spreadsheets/d/14Bd19lYaqBhU8_DElYkX7l4wRkHqqCUFNJY4AfY3kHU/edit?usp=sharing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8" s="7" t="s">
        <v>29</v>
      </c>
    </row>
    <row r="9119" spans="1:10" ht="13.2">
      <c r="A9119" s="7">
        <v>9118</v>
      </c>
      <c r="B9119" s="7">
        <v>1</v>
      </c>
      <c r="C9119" s="7" t="s">
        <v>10</v>
      </c>
      <c r="D9119" s="7">
        <v>11000</v>
      </c>
      <c r="E9119" s="7" t="s">
        <v>28</v>
      </c>
      <c r="F9119" s="8" t="str">
        <f ca="1">IFERROR(__xludf.DUMMYFUNCTION("IF
(
C9120=""фізична особа""
,
VLOOKUP(D9120,IMPORTRANGE(""https://docs.google.com/spreadsheets/d/14Bd19lYaqBhU8_DElYkX7l4wRkHqqCUFNJY4AfY3kHU/edit?usp=sharing  #gid=0"",""фіз особи new!relations_name""),6,FALSE)
,
(IF
(
C9120=""юридична особа""
,
VLOOKUP"&amp;"(D9120,IMPORTRANGE(""https://docs.google.com/spreadsheets/d/14Bd19lYaqBhU8_DElYkX7l4wRkHqqCUFNJY4AfY3kHU/edit?usp=sharing  #gid=0"",""фіз особи new!relations_name_uo""),7,FALSE)
,
)
))"),"ФОМІНИХ Максим Валентинович")</f>
        <v>ФОМІНИХ Максим Валентинович</v>
      </c>
      <c r="G9119" s="7" t="s">
        <v>10</v>
      </c>
      <c r="H9119" s="7">
        <v>3036</v>
      </c>
      <c r="I9119" s="8" t="str">
        <f ca="1">IFERROR(__xludf.DUMMYFUNCTION("IF
(
G9120=""фізична особа""
,
VLOOKUP(H9120,IMPORTRANGE(""https://docs.google.com/spreadsheets/d/14Bd19lYaqBhU8_DElYkX7l4wRkHqqCUFNJY4AfY3kHU/edit?usp=sharing  #gid=0"",""фіз особи new!relations_name""),6,FALSE)
,
(IF
(
G9120=""юридична особа""
,
VLOOKUP"&amp;"(H9120,IMPORTRANGE(""https://docs.google.com/spreadsheets/d/14Bd19lYaqBhU8_DElYkX7l4wRkHqqCUFNJY4AfY3kHU/edit?usp=sharing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19" s="7" t="s">
        <v>29</v>
      </c>
    </row>
    <row r="9120" spans="1:10" ht="13.2">
      <c r="A9120" s="7">
        <v>9119</v>
      </c>
      <c r="B9120" s="7">
        <v>1</v>
      </c>
      <c r="C9120" s="7" t="s">
        <v>10</v>
      </c>
      <c r="D9120" s="7">
        <v>11001</v>
      </c>
      <c r="E9120" s="7" t="s">
        <v>28</v>
      </c>
      <c r="F9120" s="8" t="str">
        <f ca="1">IFERROR(__xludf.DUMMYFUNCTION("IF
(
C9121=""фізична особа""
,
VLOOKUP(D9121,IMPORTRANGE(""https://docs.google.com/spreadsheets/d/14Bd19lYaqBhU8_DElYkX7l4wRkHqqCUFNJY4AfY3kHU/edit?usp=sharing  #gid=0"",""фіз особи new!relations_name""),6,FALSE)
,
(IF
(
C9121=""юридична особа""
,
VLOOKUP"&amp;"(D9121,IMPORTRANGE(""https://docs.google.com/spreadsheets/d/14Bd19lYaqBhU8_DElYkX7l4wRkHqqCUFNJY4AfY3kHU/edit?usp=sharing  #gid=0"",""фіз особи new!relations_name_uo""),7,FALSE)
,
)
))"),"ГОРЛОВ Олександр Миколайович")</f>
        <v>ГОРЛОВ Олександр Миколайович</v>
      </c>
      <c r="G9120" s="7" t="s">
        <v>10</v>
      </c>
      <c r="H9120" s="7">
        <v>3036</v>
      </c>
      <c r="I9120" s="8" t="str">
        <f ca="1">IFERROR(__xludf.DUMMYFUNCTION("IF
(
G9121=""фізична особа""
,
VLOOKUP(H9121,IMPORTRANGE(""https://docs.google.com/spreadsheets/d/14Bd19lYaqBhU8_DElYkX7l4wRkHqqCUFNJY4AfY3kHU/edit?usp=sharing  #gid=0"",""фіз особи new!relations_name""),6,FALSE)
,
(IF
(
G9121=""юридична особа""
,
VLOOKUP"&amp;"(H9121,IMPORTRANGE(""https://docs.google.com/spreadsheets/d/14Bd19lYaqBhU8_DElYkX7l4wRkHqqCUFNJY4AfY3kHU/edit?usp=sharing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0" s="7" t="s">
        <v>29</v>
      </c>
    </row>
    <row r="9121" spans="1:10" ht="13.2">
      <c r="A9121" s="7">
        <v>9120</v>
      </c>
      <c r="B9121" s="7">
        <v>1</v>
      </c>
      <c r="C9121" s="7" t="s">
        <v>10</v>
      </c>
      <c r="D9121" s="7">
        <v>11002</v>
      </c>
      <c r="E9121" s="7" t="s">
        <v>28</v>
      </c>
      <c r="F9121" s="8" t="str">
        <f ca="1">IFERROR(__xludf.DUMMYFUNCTION("IF
(
C9122=""фізична особа""
,
VLOOKUP(D9122,IMPORTRANGE(""https://docs.google.com/spreadsheets/d/14Bd19lYaqBhU8_DElYkX7l4wRkHqqCUFNJY4AfY3kHU/edit?usp=sharing  #gid=0"",""фіз особи new!relations_name""),6,FALSE)
,
(IF
(
C9122=""юридична особа""
,
VLOOKUP"&amp;"(D9122,IMPORTRANGE(""https://docs.google.com/spreadsheets/d/14Bd19lYaqBhU8_DElYkX7l4wRkHqqCUFNJY4AfY3kHU/edit?usp=sharing  #gid=0"",""фіз особи new!relations_name_uo""),7,FALSE)
,
)
))"),"ЩУРСЬКИЙ Олег Михайлович")</f>
        <v>ЩУРСЬКИЙ Олег Михайлович</v>
      </c>
      <c r="G9121" s="7" t="s">
        <v>10</v>
      </c>
      <c r="H9121" s="7">
        <v>3036</v>
      </c>
      <c r="I9121" s="8" t="str">
        <f ca="1">IFERROR(__xludf.DUMMYFUNCTION("IF
(
G9122=""фізична особа""
,
VLOOKUP(H9122,IMPORTRANGE(""https://docs.google.com/spreadsheets/d/14Bd19lYaqBhU8_DElYkX7l4wRkHqqCUFNJY4AfY3kHU/edit?usp=sharing  #gid=0"",""фіз особи new!relations_name""),6,FALSE)
,
(IF
(
G9122=""юридична особа""
,
VLOOKUP"&amp;"(H9122,IMPORTRANGE(""https://docs.google.com/spreadsheets/d/14Bd19lYaqBhU8_DElYkX7l4wRkHqqCUFNJY4AfY3kHU/edit?usp=sharing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1" s="7" t="s">
        <v>29</v>
      </c>
    </row>
    <row r="9122" spans="1:10" ht="13.2">
      <c r="A9122" s="7">
        <v>9121</v>
      </c>
      <c r="B9122" s="7">
        <v>1</v>
      </c>
      <c r="C9122" s="7" t="s">
        <v>10</v>
      </c>
      <c r="D9122" s="7">
        <v>11003</v>
      </c>
      <c r="E9122" s="7" t="s">
        <v>28</v>
      </c>
      <c r="F9122" s="8" t="str">
        <f ca="1">IFERROR(__xludf.DUMMYFUNCTION("IF
(
C9123=""фізична особа""
,
VLOOKUP(D9123,IMPORTRANGE(""https://docs.google.com/spreadsheets/d/14Bd19lYaqBhU8_DElYkX7l4wRkHqqCUFNJY4AfY3kHU/edit?usp=sharing  #gid=0"",""фіз особи new!relations_name""),6,FALSE)
,
(IF
(
C9123=""юридична особа""
,
VLOOKUP"&amp;"(D9123,IMPORTRANGE(""https://docs.google.com/spreadsheets/d/14Bd19lYaqBhU8_DElYkX7l4wRkHqqCUFNJY4AfY3kHU/edit?usp=sharing  #gid=0"",""фіз особи new!relations_name_uo""),7,FALSE)
,
)
))"),"ЯКОВЛЄВ Дмитро Олексійович")</f>
        <v>ЯКОВЛЄВ Дмитро Олексійович</v>
      </c>
      <c r="G9122" s="7" t="s">
        <v>10</v>
      </c>
      <c r="H9122" s="7">
        <v>3036</v>
      </c>
      <c r="I9122" s="8" t="str">
        <f ca="1">IFERROR(__xludf.DUMMYFUNCTION("IF
(
G9123=""фізична особа""
,
VLOOKUP(H9123,IMPORTRANGE(""https://docs.google.com/spreadsheets/d/14Bd19lYaqBhU8_DElYkX7l4wRkHqqCUFNJY4AfY3kHU/edit?usp=sharing  #gid=0"",""фіз особи new!relations_name""),6,FALSE)
,
(IF
(
G9123=""юридична особа""
,
VLOOKUP"&amp;"(H9123,IMPORTRANGE(""https://docs.google.com/spreadsheets/d/14Bd19lYaqBhU8_DElYkX7l4wRkHqqCUFNJY4AfY3kHU/edit?usp=sharing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2" s="7" t="s">
        <v>29</v>
      </c>
    </row>
    <row r="9123" spans="1:10" ht="13.2">
      <c r="A9123" s="7">
        <v>9122</v>
      </c>
      <c r="B9123" s="7">
        <v>1</v>
      </c>
      <c r="C9123" s="7" t="s">
        <v>10</v>
      </c>
      <c r="D9123" s="7">
        <v>11004</v>
      </c>
      <c r="E9123" s="7" t="s">
        <v>28</v>
      </c>
      <c r="F9123" s="8" t="str">
        <f ca="1">IFERROR(__xludf.DUMMYFUNCTION("IF
(
C9124=""фізична особа""
,
VLOOKUP(D9124,IMPORTRANGE(""https://docs.google.com/spreadsheets/d/14Bd19lYaqBhU8_DElYkX7l4wRkHqqCUFNJY4AfY3kHU/edit?usp=sharing  #gid=0"",""фіз особи new!relations_name""),6,FALSE)
,
(IF
(
C9124=""юридична особа""
,
VLOOKUP"&amp;"(D9124,IMPORTRANGE(""https://docs.google.com/spreadsheets/d/14Bd19lYaqBhU8_DElYkX7l4wRkHqqCUFNJY4AfY3kHU/edit?usp=sharing  #gid=0"",""фіз особи new!relations_name_uo""),7,FALSE)
,
)
))"),"СОКОЛОВА Ірина Вікторівна")</f>
        <v>СОКОЛОВА Ірина Вікторівна</v>
      </c>
      <c r="G9123" s="7" t="s">
        <v>10</v>
      </c>
      <c r="H9123" s="7">
        <v>3036</v>
      </c>
      <c r="I9123" s="8" t="str">
        <f ca="1">IFERROR(__xludf.DUMMYFUNCTION("IF
(
G9124=""фізична особа""
,
VLOOKUP(H9124,IMPORTRANGE(""https://docs.google.com/spreadsheets/d/14Bd19lYaqBhU8_DElYkX7l4wRkHqqCUFNJY4AfY3kHU/edit?usp=sharing  #gid=0"",""фіз особи new!relations_name""),6,FALSE)
,
(IF
(
G9124=""юридична особа""
,
VLOOKUP"&amp;"(H9124,IMPORTRANGE(""https://docs.google.com/spreadsheets/d/14Bd19lYaqBhU8_DElYkX7l4wRkHqqCUFNJY4AfY3kHU/edit?usp=sharing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3" s="7" t="s">
        <v>29</v>
      </c>
    </row>
    <row r="9124" spans="1:10" ht="13.2">
      <c r="A9124" s="7">
        <v>9123</v>
      </c>
      <c r="B9124" s="7">
        <v>1</v>
      </c>
      <c r="C9124" s="7" t="s">
        <v>10</v>
      </c>
      <c r="D9124" s="7">
        <v>11005</v>
      </c>
      <c r="E9124" s="7" t="s">
        <v>28</v>
      </c>
      <c r="F9124" s="8" t="str">
        <f ca="1">IFERROR(__xludf.DUMMYFUNCTION("IF
(
C9125=""фізична особа""
,
VLOOKUP(D9125,IMPORTRANGE(""https://docs.google.com/spreadsheets/d/14Bd19lYaqBhU8_DElYkX7l4wRkHqqCUFNJY4AfY3kHU/edit?usp=sharing  #gid=0"",""фіз особи new!relations_name""),6,FALSE)
,
(IF
(
C9125=""юридична особа""
,
VLOOKUP"&amp;"(D9125,IMPORTRANGE(""https://docs.google.com/spreadsheets/d/14Bd19lYaqBhU8_DElYkX7l4wRkHqqCUFNJY4AfY3kHU/edit?usp=sharing  #gid=0"",""фіз особи new!relations_name_uo""),7,FALSE)
,
)
))"),"ЄРМАК Геннадій Павлович")</f>
        <v>ЄРМАК Геннадій Павлович</v>
      </c>
      <c r="G9124" s="7" t="s">
        <v>10</v>
      </c>
      <c r="H9124" s="7">
        <v>3036</v>
      </c>
      <c r="I9124" s="8" t="str">
        <f ca="1">IFERROR(__xludf.DUMMYFUNCTION("IF
(
G9125=""фізична особа""
,
VLOOKUP(H9125,IMPORTRANGE(""https://docs.google.com/spreadsheets/d/14Bd19lYaqBhU8_DElYkX7l4wRkHqqCUFNJY4AfY3kHU/edit?usp=sharing  #gid=0"",""фіз особи new!relations_name""),6,FALSE)
,
(IF
(
G9125=""юридична особа""
,
VLOOKUP"&amp;"(H9125,IMPORTRANGE(""https://docs.google.com/spreadsheets/d/14Bd19lYaqBhU8_DElYkX7l4wRkHqqCUFNJY4AfY3kHU/edit?usp=sharing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4" s="7" t="s">
        <v>29</v>
      </c>
    </row>
    <row r="9125" spans="1:10" ht="13.2">
      <c r="A9125" s="7">
        <v>9124</v>
      </c>
      <c r="B9125" s="7">
        <v>1</v>
      </c>
      <c r="C9125" s="7" t="s">
        <v>10</v>
      </c>
      <c r="D9125" s="7">
        <v>11006</v>
      </c>
      <c r="E9125" s="7" t="s">
        <v>28</v>
      </c>
      <c r="F9125" s="8" t="str">
        <f ca="1">IFERROR(__xludf.DUMMYFUNCTION("IF
(
C9126=""фізична особа""
,
VLOOKUP(D9126,IMPORTRANGE(""https://docs.google.com/spreadsheets/d/14Bd19lYaqBhU8_DElYkX7l4wRkHqqCUFNJY4AfY3kHU/edit?usp=sharing  #gid=0"",""фіз особи new!relations_name""),6,FALSE)
,
(IF
(
C9126=""юридична особа""
,
VLOOKUP"&amp;"(D9126,IMPORTRANGE(""https://docs.google.com/spreadsheets/d/14Bd19lYaqBhU8_DElYkX7l4wRkHqqCUFNJY4AfY3kHU/edit?usp=sharing  #gid=0"",""фіз особи new!relations_name_uo""),7,FALSE)
,
)
))"),"НЕСТЕРОВ Юрій Леонідович")</f>
        <v>НЕСТЕРОВ Юрій Леонідович</v>
      </c>
      <c r="G9125" s="7" t="s">
        <v>10</v>
      </c>
      <c r="H9125" s="7">
        <v>3036</v>
      </c>
      <c r="I9125" s="8" t="str">
        <f ca="1">IFERROR(__xludf.DUMMYFUNCTION("IF
(
G9126=""фізична особа""
,
VLOOKUP(H9126,IMPORTRANGE(""https://docs.google.com/spreadsheets/d/14Bd19lYaqBhU8_DElYkX7l4wRkHqqCUFNJY4AfY3kHU/edit?usp=sharing  #gid=0"",""фіз особи new!relations_name""),6,FALSE)
,
(IF
(
G9126=""юридична особа""
,
VLOOKUP"&amp;"(H9126,IMPORTRANGE(""https://docs.google.com/spreadsheets/d/14Bd19lYaqBhU8_DElYkX7l4wRkHqqCUFNJY4AfY3kHU/edit?usp=sharing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5" s="7" t="s">
        <v>29</v>
      </c>
    </row>
    <row r="9126" spans="1:10" ht="13.2">
      <c r="A9126" s="7">
        <v>9125</v>
      </c>
      <c r="B9126" s="7">
        <v>1</v>
      </c>
      <c r="C9126" s="7" t="s">
        <v>10</v>
      </c>
      <c r="D9126" s="7">
        <v>11007</v>
      </c>
      <c r="E9126" s="7" t="s">
        <v>28</v>
      </c>
      <c r="F9126" s="8" t="str">
        <f ca="1">IFERROR(__xludf.DUMMYFUNCTION("IF
(
C9127=""фізична особа""
,
VLOOKUP(D9127,IMPORTRANGE(""https://docs.google.com/spreadsheets/d/14Bd19lYaqBhU8_DElYkX7l4wRkHqqCUFNJY4AfY3kHU/edit?usp=sharing  #gid=0"",""фіз особи new!relations_name""),6,FALSE)
,
(IF
(
C9127=""юридична особа""
,
VLOOKUP"&amp;"(D9127,IMPORTRANGE(""https://docs.google.com/spreadsheets/d/14Bd19lYaqBhU8_DElYkX7l4wRkHqqCUFNJY4AfY3kHU/edit?usp=sharing  #gid=0"",""фіз особи new!relations_name_uo""),7,FALSE)
,
)
))"),"БОКОВ Дмитро Олександрович")</f>
        <v>БОКОВ Дмитро Олександрович</v>
      </c>
      <c r="G9126" s="7" t="s">
        <v>10</v>
      </c>
      <c r="H9126" s="7">
        <v>3036</v>
      </c>
      <c r="I9126" s="8" t="str">
        <f ca="1">IFERROR(__xludf.DUMMYFUNCTION("IF
(
G9127=""фізична особа""
,
VLOOKUP(H9127,IMPORTRANGE(""https://docs.google.com/spreadsheets/d/14Bd19lYaqBhU8_DElYkX7l4wRkHqqCUFNJY4AfY3kHU/edit?usp=sharing  #gid=0"",""фіз особи new!relations_name""),6,FALSE)
,
(IF
(
G9127=""юридична особа""
,
VLOOKUP"&amp;"(H9127,IMPORTRANGE(""https://docs.google.com/spreadsheets/d/14Bd19lYaqBhU8_DElYkX7l4wRkHqqCUFNJY4AfY3kHU/edit?usp=sharing  #gid=0"",""фіз особи new!relations_name_uo""),7,FALSE)
,
)
))"),"ТРЕМБІЦЬКИЙ Олександр В'ячеславович")</f>
        <v>ТРЕМБІЦЬКИЙ Олександр В'ячеславович</v>
      </c>
      <c r="J9126" s="7" t="s">
        <v>29</v>
      </c>
    </row>
    <row r="9127" spans="1:10" ht="13.2">
      <c r="A9127" s="7">
        <v>9126</v>
      </c>
      <c r="B9127" s="7">
        <v>1</v>
      </c>
      <c r="C9127" s="7" t="s">
        <v>10</v>
      </c>
      <c r="D9127" s="7">
        <v>11008</v>
      </c>
      <c r="E9127" s="7" t="s">
        <v>28</v>
      </c>
      <c r="F9127" s="8" t="str">
        <f ca="1">IFERROR(__xludf.DUMMYFUNCTION("IF
(
C9128=""фізична особа""
,
VLOOKUP(D9128,IMPORTRANGE(""https://docs.google.com/spreadsheets/d/14Bd19lYaqBhU8_DElYkX7l4wRkHqqCUFNJY4AfY3kHU/edit?usp=sharing  #gid=0"",""фіз особи new!relations_name""),6,FALSE)
,
(IF
(
C9128=""юридична особа""
,
VLOOKUP"&amp;"(D9128,IMPORTRANGE(""https://docs.google.com/spreadsheets/d/14Bd19lYaqBhU8_DElYkX7l4wRkHqqCUFNJY4AfY3kHU/edit?usp=sharing  #gid=0"",""фіз особи new!relations_name_uo""),7,FALSE)
,
)
))"),"ДАЧАЄВ Юнаді Хусаїнович")</f>
        <v>ДАЧАЄВ Юнаді Хусаїнович</v>
      </c>
      <c r="G9127" s="7" t="s">
        <v>10</v>
      </c>
      <c r="H9127" s="7">
        <v>3082</v>
      </c>
      <c r="I9127" s="8" t="str">
        <f ca="1">IFERROR(__xludf.DUMMYFUNCTION("IF
(
G9128=""фізична особа""
,
VLOOKUP(H9128,IMPORTRANGE(""https://docs.google.com/spreadsheets/d/14Bd19lYaqBhU8_DElYkX7l4wRkHqqCUFNJY4AfY3kHU/edit?usp=sharing  #gid=0"",""фіз особи new!relations_name""),6,FALSE)
,
(IF
(
G9128=""юридична особа""
,
VLOOKUP"&amp;"(H9128,IMPORTRANGE(""https://docs.google.com/spreadsheets/d/14Bd19lYaqBhU8_DElYkX7l4wRkHqqCUFNJY4AfY3kHU/edit?usp=sharing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27" s="7" t="s">
        <v>29</v>
      </c>
    </row>
    <row r="9128" spans="1:10" ht="13.2">
      <c r="A9128" s="7">
        <v>9127</v>
      </c>
      <c r="B9128" s="7">
        <v>1</v>
      </c>
      <c r="C9128" s="7" t="s">
        <v>10</v>
      </c>
      <c r="D9128" s="7">
        <v>11009</v>
      </c>
      <c r="E9128" s="7" t="s">
        <v>28</v>
      </c>
      <c r="F9128" s="8" t="str">
        <f ca="1">IFERROR(__xludf.DUMMYFUNCTION("IF
(
C9129=""фізична особа""
,
VLOOKUP(D9129,IMPORTRANGE(""https://docs.google.com/spreadsheets/d/14Bd19lYaqBhU8_DElYkX7l4wRkHqqCUFNJY4AfY3kHU/edit?usp=sharing  #gid=0"",""фіз особи new!relations_name""),6,FALSE)
,
(IF
(
C9129=""юридична особа""
,
VLOOKUP"&amp;"(D9129,IMPORTRANGE(""https://docs.google.com/spreadsheets/d/14Bd19lYaqBhU8_DElYkX7l4wRkHqqCUFNJY4AfY3kHU/edit?usp=sharing  #gid=0"",""фіз особи new!relations_name_uo""),7,FALSE)
,
)
))"),"ЄРЕМЄЄВ Антон Євгенович")</f>
        <v>ЄРЕМЄЄВ Антон Євгенович</v>
      </c>
      <c r="G9128" s="7" t="s">
        <v>10</v>
      </c>
      <c r="H9128" s="7">
        <v>3082</v>
      </c>
      <c r="I9128" s="8" t="str">
        <f ca="1">IFERROR(__xludf.DUMMYFUNCTION("IF
(
G9129=""фізична особа""
,
VLOOKUP(H9129,IMPORTRANGE(""https://docs.google.com/spreadsheets/d/14Bd19lYaqBhU8_DElYkX7l4wRkHqqCUFNJY4AfY3kHU/edit?usp=sharing  #gid=0"",""фіз особи new!relations_name""),6,FALSE)
,
(IF
(
G9129=""юридична особа""
,
VLOOKUP"&amp;"(H9129,IMPORTRANGE(""https://docs.google.com/spreadsheets/d/14Bd19lYaqBhU8_DElYkX7l4wRkHqqCUFNJY4AfY3kHU/edit?usp=sharing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28" s="7" t="s">
        <v>29</v>
      </c>
    </row>
    <row r="9129" spans="1:10" ht="13.2">
      <c r="A9129" s="7">
        <v>9128</v>
      </c>
      <c r="B9129" s="7">
        <v>1</v>
      </c>
      <c r="C9129" s="7" t="s">
        <v>10</v>
      </c>
      <c r="D9129" s="7">
        <v>11010</v>
      </c>
      <c r="E9129" s="7" t="s">
        <v>28</v>
      </c>
      <c r="F9129" s="8" t="str">
        <f ca="1">IFERROR(__xludf.DUMMYFUNCTION("IF
(
C9130=""фізична особа""
,
VLOOKUP(D9130,IMPORTRANGE(""https://docs.google.com/spreadsheets/d/14Bd19lYaqBhU8_DElYkX7l4wRkHqqCUFNJY4AfY3kHU/edit?usp=sharing  #gid=0"",""фіз особи new!relations_name""),6,FALSE)
,
(IF
(
C9130=""юридична особа""
,
VLOOKUP"&amp;"(D9130,IMPORTRANGE(""https://docs.google.com/spreadsheets/d/14Bd19lYaqBhU8_DElYkX7l4wRkHqqCUFNJY4AfY3kHU/edit?usp=sharing  #gid=0"",""фіз особи new!relations_name_uo""),7,FALSE)
,
)
))"),"ДРІГО Анжеліка Євгенівна")</f>
        <v>ДРІГО Анжеліка Євгенівна</v>
      </c>
      <c r="G9129" s="7" t="s">
        <v>10</v>
      </c>
      <c r="H9129" s="7">
        <v>3082</v>
      </c>
      <c r="I9129" s="8" t="str">
        <f ca="1">IFERROR(__xludf.DUMMYFUNCTION("IF
(
G9130=""фізична особа""
,
VLOOKUP(H9130,IMPORTRANGE(""https://docs.google.com/spreadsheets/d/14Bd19lYaqBhU8_DElYkX7l4wRkHqqCUFNJY4AfY3kHU/edit?usp=sharing  #gid=0"",""фіз особи new!relations_name""),6,FALSE)
,
(IF
(
G9130=""юридична особа""
,
VLOOKUP"&amp;"(H9130,IMPORTRANGE(""https://docs.google.com/spreadsheets/d/14Bd19lYaqBhU8_DElYkX7l4wRkHqqCUFNJY4AfY3kHU/edit?usp=sharing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29" s="7" t="s">
        <v>29</v>
      </c>
    </row>
    <row r="9130" spans="1:10" ht="13.2">
      <c r="A9130" s="7">
        <v>9129</v>
      </c>
      <c r="B9130" s="7">
        <v>1</v>
      </c>
      <c r="C9130" s="7" t="s">
        <v>10</v>
      </c>
      <c r="D9130" s="7">
        <v>11011</v>
      </c>
      <c r="E9130" s="7" t="s">
        <v>28</v>
      </c>
      <c r="F9130" s="8" t="str">
        <f ca="1">IFERROR(__xludf.DUMMYFUNCTION("IF
(
C9131=""фізична особа""
,
VLOOKUP(D9131,IMPORTRANGE(""https://docs.google.com/spreadsheets/d/14Bd19lYaqBhU8_DElYkX7l4wRkHqqCUFNJY4AfY3kHU/edit?usp=sharing  #gid=0"",""фіз особи new!relations_name""),6,FALSE)
,
(IF
(
C9131=""юридична особа""
,
VLOOKUP"&amp;"(D9131,IMPORTRANGE(""https://docs.google.com/spreadsheets/d/14Bd19lYaqBhU8_DElYkX7l4wRkHqqCUFNJY4AfY3kHU/edit?usp=sharing  #gid=0"",""фіз особи new!relations_name_uo""),7,FALSE)
,
)
))"),"ЮРЧАК Наталія Іванівна")</f>
        <v>ЮРЧАК Наталія Іванівна</v>
      </c>
      <c r="G9130" s="7" t="s">
        <v>10</v>
      </c>
      <c r="H9130" s="7">
        <v>3082</v>
      </c>
      <c r="I9130" s="8" t="str">
        <f ca="1">IFERROR(__xludf.DUMMYFUNCTION("IF
(
G9131=""фізична особа""
,
VLOOKUP(H9131,IMPORTRANGE(""https://docs.google.com/spreadsheets/d/14Bd19lYaqBhU8_DElYkX7l4wRkHqqCUFNJY4AfY3kHU/edit?usp=sharing  #gid=0"",""фіз особи new!relations_name""),6,FALSE)
,
(IF
(
G9131=""юридична особа""
,
VLOOKUP"&amp;"(H9131,IMPORTRANGE(""https://docs.google.com/spreadsheets/d/14Bd19lYaqBhU8_DElYkX7l4wRkHqqCUFNJY4AfY3kHU/edit?usp=sharing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30" s="7" t="s">
        <v>29</v>
      </c>
    </row>
    <row r="9131" spans="1:10" ht="13.2">
      <c r="A9131" s="7">
        <v>9130</v>
      </c>
      <c r="B9131" s="7">
        <v>1</v>
      </c>
      <c r="C9131" s="7" t="s">
        <v>10</v>
      </c>
      <c r="D9131" s="7">
        <v>11012</v>
      </c>
      <c r="E9131" s="7" t="s">
        <v>28</v>
      </c>
      <c r="F9131" s="8" t="str">
        <f ca="1">IFERROR(__xludf.DUMMYFUNCTION("IF
(
C9132=""фізична особа""
,
VLOOKUP(D9132,IMPORTRANGE(""https://docs.google.com/spreadsheets/d/14Bd19lYaqBhU8_DElYkX7l4wRkHqqCUFNJY4AfY3kHU/edit?usp=sharing  #gid=0"",""фіз особи new!relations_name""),6,FALSE)
,
(IF
(
C9132=""юридична особа""
,
VLOOKUP"&amp;"(D9132,IMPORTRANGE(""https://docs.google.com/spreadsheets/d/14Bd19lYaqBhU8_DElYkX7l4wRkHqqCUFNJY4AfY3kHU/edit?usp=sharing  #gid=0"",""фіз особи new!relations_name_uo""),7,FALSE)
,
)
))"),"ДЕГЕН Олена Валентинівна")</f>
        <v>ДЕГЕН Олена Валентинівна</v>
      </c>
      <c r="G9131" s="7" t="s">
        <v>10</v>
      </c>
      <c r="H9131" s="7">
        <v>3082</v>
      </c>
      <c r="I9131" s="8" t="str">
        <f ca="1">IFERROR(__xludf.DUMMYFUNCTION("IF
(
G9132=""фізична особа""
,
VLOOKUP(H9132,IMPORTRANGE(""https://docs.google.com/spreadsheets/d/14Bd19lYaqBhU8_DElYkX7l4wRkHqqCUFNJY4AfY3kHU/edit?usp=sharing  #gid=0"",""фіз особи new!relations_name""),6,FALSE)
,
(IF
(
G9132=""юридична особа""
,
VLOOKUP"&amp;"(H9132,IMPORTRANGE(""https://docs.google.com/spreadsheets/d/14Bd19lYaqBhU8_DElYkX7l4wRkHqqCUFNJY4AfY3kHU/edit?usp=sharing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31" s="7" t="s">
        <v>29</v>
      </c>
    </row>
    <row r="9132" spans="1:10" ht="13.2">
      <c r="A9132" s="7">
        <v>9131</v>
      </c>
      <c r="B9132" s="7">
        <v>1</v>
      </c>
      <c r="C9132" s="7" t="s">
        <v>10</v>
      </c>
      <c r="D9132" s="7">
        <v>11013</v>
      </c>
      <c r="E9132" s="7" t="s">
        <v>28</v>
      </c>
      <c r="F9132" s="8" t="str">
        <f ca="1">IFERROR(__xludf.DUMMYFUNCTION("IF
(
C9133=""фізична особа""
,
VLOOKUP(D9133,IMPORTRANGE(""https://docs.google.com/spreadsheets/d/14Bd19lYaqBhU8_DElYkX7l4wRkHqqCUFNJY4AfY3kHU/edit?usp=sharing  #gid=0"",""фіз особи new!relations_name""),6,FALSE)
,
(IF
(
C9133=""юридична особа""
,
VLOOKUP"&amp;"(D9133,IMPORTRANGE(""https://docs.google.com/spreadsheets/d/14Bd19lYaqBhU8_DElYkX7l4wRkHqqCUFNJY4AfY3kHU/edit?usp=sharing  #gid=0"",""фіз особи new!relations_name_uo""),7,FALSE)
,
)
))"),"КОНДРАТЬЄВ Юрій Олексійович")</f>
        <v>КОНДРАТЬЄВ Юрій Олексійович</v>
      </c>
      <c r="G9132" s="7" t="s">
        <v>10</v>
      </c>
      <c r="H9132" s="7">
        <v>3082</v>
      </c>
      <c r="I9132" s="8" t="str">
        <f ca="1">IFERROR(__xludf.DUMMYFUNCTION("IF
(
G9133=""фізична особа""
,
VLOOKUP(H9133,IMPORTRANGE(""https://docs.google.com/spreadsheets/d/14Bd19lYaqBhU8_DElYkX7l4wRkHqqCUFNJY4AfY3kHU/edit?usp=sharing  #gid=0"",""фіз особи new!relations_name""),6,FALSE)
,
(IF
(
G9133=""юридична особа""
,
VLOOKUP"&amp;"(H9133,IMPORTRANGE(""https://docs.google.com/spreadsheets/d/14Bd19lYaqBhU8_DElYkX7l4wRkHqqCUFNJY4AfY3kHU/edit?usp=sharing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32" s="7" t="s">
        <v>29</v>
      </c>
    </row>
    <row r="9133" spans="1:10" ht="13.2">
      <c r="A9133" s="7">
        <v>9132</v>
      </c>
      <c r="B9133" s="7">
        <v>1</v>
      </c>
      <c r="C9133" s="7" t="s">
        <v>10</v>
      </c>
      <c r="D9133" s="7">
        <v>11014</v>
      </c>
      <c r="E9133" s="7" t="s">
        <v>28</v>
      </c>
      <c r="F9133" s="8" t="str">
        <f ca="1">IFERROR(__xludf.DUMMYFUNCTION("IF
(
C9134=""фізична особа""
,
VLOOKUP(D9134,IMPORTRANGE(""https://docs.google.com/spreadsheets/d/14Bd19lYaqBhU8_DElYkX7l4wRkHqqCUFNJY4AfY3kHU/edit?usp=sharing  #gid=0"",""фіз особи new!relations_name""),6,FALSE)
,
(IF
(
C9134=""юридична особа""
,
VLOOKUP"&amp;"(D9134,IMPORTRANGE(""https://docs.google.com/spreadsheets/d/14Bd19lYaqBhU8_DElYkX7l4wRkHqqCUFNJY4AfY3kHU/edit?usp=sharing  #gid=0"",""фіз особи new!relations_name_uo""),7,FALSE)
,
)
))"),"БИСТРИХ Дмитро Олександрович")</f>
        <v>БИСТРИХ Дмитро Олександрович</v>
      </c>
      <c r="G9133" s="7" t="s">
        <v>10</v>
      </c>
      <c r="H9133" s="7">
        <v>3082</v>
      </c>
      <c r="I9133" s="8" t="str">
        <f ca="1">IFERROR(__xludf.DUMMYFUNCTION("IF
(
G9134=""фізична особа""
,
VLOOKUP(H9134,IMPORTRANGE(""https://docs.google.com/spreadsheets/d/14Bd19lYaqBhU8_DElYkX7l4wRkHqqCUFNJY4AfY3kHU/edit?usp=sharing  #gid=0"",""фіз особи new!relations_name""),6,FALSE)
,
(IF
(
G9134=""юридична особа""
,
VLOOKUP"&amp;"(H9134,IMPORTRANGE(""https://docs.google.com/spreadsheets/d/14Bd19lYaqBhU8_DElYkX7l4wRkHqqCUFNJY4AfY3kHU/edit?usp=sharing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133" s="7" t="s">
        <v>29</v>
      </c>
    </row>
    <row r="9134" spans="1:10" ht="13.2">
      <c r="A9134" s="7">
        <v>9133</v>
      </c>
      <c r="B9134" s="7">
        <v>1</v>
      </c>
      <c r="C9134" s="7" t="s">
        <v>10</v>
      </c>
      <c r="D9134" s="7">
        <v>11015</v>
      </c>
      <c r="E9134" s="7" t="s">
        <v>28</v>
      </c>
      <c r="F9134" s="8" t="str">
        <f ca="1">IFERROR(__xludf.DUMMYFUNCTION("IF
(
C9135=""фізична особа""
,
VLOOKUP(D9135,IMPORTRANGE(""https://docs.google.com/spreadsheets/d/14Bd19lYaqBhU8_DElYkX7l4wRkHqqCUFNJY4AfY3kHU/edit?usp=sharing  #gid=0"",""фіз особи new!relations_name""),6,FALSE)
,
(IF
(
C9135=""юридична особа""
,
VLOOKUP"&amp;"(D9135,IMPORTRANGE(""https://docs.google.com/spreadsheets/d/14Bd19lYaqBhU8_DElYkX7l4wRkHqqCUFNJY4AfY3kHU/edit?usp=sharing  #gid=0"",""фіз особи new!relations_name_uo""),7,FALSE)
,
)
))"),"РАСКІНА Ірина Олександрівна")</f>
        <v>РАСКІНА Ірина Олександрівна</v>
      </c>
      <c r="G9134" s="7" t="s">
        <v>10</v>
      </c>
      <c r="H9134" s="7">
        <v>2437</v>
      </c>
      <c r="I9134" s="8" t="str">
        <f ca="1">IFERROR(__xludf.DUMMYFUNCTION("IF
(
G9135=""фізична особа""
,
VLOOKUP(H9135,IMPORTRANGE(""https://docs.google.com/spreadsheets/d/14Bd19lYaqBhU8_DElYkX7l4wRkHqqCUFNJY4AfY3kHU/edit?usp=sharing  #gid=0"",""фіз особи new!relations_name""),6,FALSE)
,
(IF
(
G9135=""юридична особа""
,
VLOOKUP"&amp;"(H9135,IMPORTRANGE(""https://docs.google.com/spreadsheets/d/14Bd19lYaqBhU8_DElYkX7l4wRkHqqCUFNJY4AfY3kHU/edit?usp=sharing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4" s="7" t="s">
        <v>29</v>
      </c>
    </row>
    <row r="9135" spans="1:10" ht="13.2">
      <c r="A9135" s="7">
        <v>9134</v>
      </c>
      <c r="B9135" s="7">
        <v>1</v>
      </c>
      <c r="C9135" s="7" t="s">
        <v>10</v>
      </c>
      <c r="D9135" s="7">
        <v>11016</v>
      </c>
      <c r="E9135" s="7" t="s">
        <v>28</v>
      </c>
      <c r="F9135" s="8" t="str">
        <f ca="1">IFERROR(__xludf.DUMMYFUNCTION("IF
(
C9136=""фізична особа""
,
VLOOKUP(D9136,IMPORTRANGE(""https://docs.google.com/spreadsheets/d/14Bd19lYaqBhU8_DElYkX7l4wRkHqqCUFNJY4AfY3kHU/edit?usp=sharing  #gid=0"",""фіз особи new!relations_name""),6,FALSE)
,
(IF
(
C9136=""юридична особа""
,
VLOOKUP"&amp;"(D9136,IMPORTRANGE(""https://docs.google.com/spreadsheets/d/14Bd19lYaqBhU8_DElYkX7l4wRkHqqCUFNJY4AfY3kHU/edit?usp=sharing  #gid=0"",""фіз особи new!relations_name_uo""),7,FALSE)
,
)
))"),"КУЗЬМІН Олександр Михайлович")</f>
        <v>КУЗЬМІН Олександр Михайлович</v>
      </c>
      <c r="G9135" s="7" t="s">
        <v>10</v>
      </c>
      <c r="H9135" s="7">
        <v>2437</v>
      </c>
      <c r="I9135" s="8" t="str">
        <f ca="1">IFERROR(__xludf.DUMMYFUNCTION("IF
(
G9136=""фізична особа""
,
VLOOKUP(H9136,IMPORTRANGE(""https://docs.google.com/spreadsheets/d/14Bd19lYaqBhU8_DElYkX7l4wRkHqqCUFNJY4AfY3kHU/edit?usp=sharing  #gid=0"",""фіз особи new!relations_name""),6,FALSE)
,
(IF
(
G9136=""юридична особа""
,
VLOOKUP"&amp;"(H9136,IMPORTRANGE(""https://docs.google.com/spreadsheets/d/14Bd19lYaqBhU8_DElYkX7l4wRkHqqCUFNJY4AfY3kHU/edit?usp=sharing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5" s="7" t="s">
        <v>29</v>
      </c>
    </row>
    <row r="9136" spans="1:10" ht="13.2">
      <c r="A9136" s="7">
        <v>9135</v>
      </c>
      <c r="B9136" s="7">
        <v>1</v>
      </c>
      <c r="C9136" s="7" t="s">
        <v>10</v>
      </c>
      <c r="D9136" s="7">
        <v>11017</v>
      </c>
      <c r="E9136" s="7" t="s">
        <v>28</v>
      </c>
      <c r="F9136" s="8" t="str">
        <f ca="1">IFERROR(__xludf.DUMMYFUNCTION("IF
(
C9137=""фізична особа""
,
VLOOKUP(D9137,IMPORTRANGE(""https://docs.google.com/spreadsheets/d/14Bd19lYaqBhU8_DElYkX7l4wRkHqqCUFNJY4AfY3kHU/edit?usp=sharing  #gid=0"",""фіз особи new!relations_name""),6,FALSE)
,
(IF
(
C9137=""юридична особа""
,
VLOOKUP"&amp;"(D9137,IMPORTRANGE(""https://docs.google.com/spreadsheets/d/14Bd19lYaqBhU8_DElYkX7l4wRkHqqCUFNJY4AfY3kHU/edit?usp=sharing  #gid=0"",""фіз особи new!relations_name_uo""),7,FALSE)
,
)
))"),"КІРЄЄВА Ірина Олександрівна")</f>
        <v>КІРЄЄВА Ірина Олександрівна</v>
      </c>
      <c r="G9136" s="7" t="s">
        <v>10</v>
      </c>
      <c r="H9136" s="7">
        <v>2437</v>
      </c>
      <c r="I9136" s="8" t="str">
        <f ca="1">IFERROR(__xludf.DUMMYFUNCTION("IF
(
G9137=""фізична особа""
,
VLOOKUP(H9137,IMPORTRANGE(""https://docs.google.com/spreadsheets/d/14Bd19lYaqBhU8_DElYkX7l4wRkHqqCUFNJY4AfY3kHU/edit?usp=sharing  #gid=0"",""фіз особи new!relations_name""),6,FALSE)
,
(IF
(
G9137=""юридична особа""
,
VLOOKUP"&amp;"(H9137,IMPORTRANGE(""https://docs.google.com/spreadsheets/d/14Bd19lYaqBhU8_DElYkX7l4wRkHqqCUFNJY4AfY3kHU/edit?usp=sharing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6" s="7" t="s">
        <v>29</v>
      </c>
    </row>
    <row r="9137" spans="1:10" ht="13.2">
      <c r="A9137" s="7">
        <v>9136</v>
      </c>
      <c r="B9137" s="7">
        <v>1</v>
      </c>
      <c r="C9137" s="7" t="s">
        <v>10</v>
      </c>
      <c r="D9137" s="7">
        <v>11018</v>
      </c>
      <c r="E9137" s="7" t="s">
        <v>28</v>
      </c>
      <c r="F9137" s="8" t="str">
        <f ca="1">IFERROR(__xludf.DUMMYFUNCTION("IF
(
C9138=""фізична особа""
,
VLOOKUP(D9138,IMPORTRANGE(""https://docs.google.com/spreadsheets/d/14Bd19lYaqBhU8_DElYkX7l4wRkHqqCUFNJY4AfY3kHU/edit?usp=sharing  #gid=0"",""фіз особи new!relations_name""),6,FALSE)
,
(IF
(
C9138=""юридична особа""
,
VLOOKUP"&amp;"(D9138,IMPORTRANGE(""https://docs.google.com/spreadsheets/d/14Bd19lYaqBhU8_DElYkX7l4wRkHqqCUFNJY4AfY3kHU/edit?usp=sharing  #gid=0"",""фіз особи new!relations_name_uo""),7,FALSE)
,
)
))"),"ЩЕЛКАНОВ Роман Миколайович")</f>
        <v>ЩЕЛКАНОВ Роман Миколайович</v>
      </c>
      <c r="G9137" s="7" t="s">
        <v>10</v>
      </c>
      <c r="H9137" s="7">
        <v>2437</v>
      </c>
      <c r="I9137" s="8" t="str">
        <f ca="1">IFERROR(__xludf.DUMMYFUNCTION("IF
(
G9138=""фізична особа""
,
VLOOKUP(H9138,IMPORTRANGE(""https://docs.google.com/spreadsheets/d/14Bd19lYaqBhU8_DElYkX7l4wRkHqqCUFNJY4AfY3kHU/edit?usp=sharing  #gid=0"",""фіз особи new!relations_name""),6,FALSE)
,
(IF
(
G9138=""юридична особа""
,
VLOOKUP"&amp;"(H9138,IMPORTRANGE(""https://docs.google.com/spreadsheets/d/14Bd19lYaqBhU8_DElYkX7l4wRkHqqCUFNJY4AfY3kHU/edit?usp=sharing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7" s="7" t="s">
        <v>29</v>
      </c>
    </row>
    <row r="9138" spans="1:10" ht="13.2">
      <c r="A9138" s="7">
        <v>9137</v>
      </c>
      <c r="B9138" s="7">
        <v>1</v>
      </c>
      <c r="C9138" s="7" t="s">
        <v>10</v>
      </c>
      <c r="D9138" s="7">
        <v>11019</v>
      </c>
      <c r="E9138" s="7" t="s">
        <v>28</v>
      </c>
      <c r="F9138" s="8" t="str">
        <f ca="1">IFERROR(__xludf.DUMMYFUNCTION("IF
(
C9139=""фізична особа""
,
VLOOKUP(D9139,IMPORTRANGE(""https://docs.google.com/spreadsheets/d/14Bd19lYaqBhU8_DElYkX7l4wRkHqqCUFNJY4AfY3kHU/edit?usp=sharing  #gid=0"",""фіз особи new!relations_name""),6,FALSE)
,
(IF
(
C9139=""юридична особа""
,
VLOOKUP"&amp;"(D9139,IMPORTRANGE(""https://docs.google.com/spreadsheets/d/14Bd19lYaqBhU8_DElYkX7l4wRkHqqCUFNJY4AfY3kHU/edit?usp=sharing  #gid=0"",""фіз особи new!relations_name_uo""),7,FALSE)
,
)
))"),"МОЛЬДЕНГАУЕР Ігор Олександрович")</f>
        <v>МОЛЬДЕНГАУЕР Ігор Олександрович</v>
      </c>
      <c r="G9138" s="7" t="s">
        <v>10</v>
      </c>
      <c r="H9138" s="7">
        <v>2437</v>
      </c>
      <c r="I9138" s="8" t="str">
        <f ca="1">IFERROR(__xludf.DUMMYFUNCTION("IF
(
G9139=""фізична особа""
,
VLOOKUP(H9139,IMPORTRANGE(""https://docs.google.com/spreadsheets/d/14Bd19lYaqBhU8_DElYkX7l4wRkHqqCUFNJY4AfY3kHU/edit?usp=sharing  #gid=0"",""фіз особи new!relations_name""),6,FALSE)
,
(IF
(
G9139=""юридична особа""
,
VLOOKUP"&amp;"(H9139,IMPORTRANGE(""https://docs.google.com/spreadsheets/d/14Bd19lYaqBhU8_DElYkX7l4wRkHqqCUFNJY4AfY3kHU/edit?usp=sharing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8" s="7" t="s">
        <v>29</v>
      </c>
    </row>
    <row r="9139" spans="1:10" ht="13.2">
      <c r="A9139" s="7">
        <v>9138</v>
      </c>
      <c r="B9139" s="7">
        <v>1</v>
      </c>
      <c r="C9139" s="7" t="s">
        <v>10</v>
      </c>
      <c r="D9139" s="7">
        <v>11020</v>
      </c>
      <c r="E9139" s="7" t="s">
        <v>28</v>
      </c>
      <c r="F9139" s="8" t="str">
        <f ca="1">IFERROR(__xludf.DUMMYFUNCTION("IF
(
C9140=""фізична особа""
,
VLOOKUP(D9140,IMPORTRANGE(""https://docs.google.com/spreadsheets/d/14Bd19lYaqBhU8_DElYkX7l4wRkHqqCUFNJY4AfY3kHU/edit?usp=sharing  #gid=0"",""фіз особи new!relations_name""),6,FALSE)
,
(IF
(
C9140=""юридична особа""
,
VLOOKUP"&amp;"(D9140,IMPORTRANGE(""https://docs.google.com/spreadsheets/d/14Bd19lYaqBhU8_DElYkX7l4wRkHqqCUFNJY4AfY3kHU/edit?usp=sharing  #gid=0"",""фіз особи new!relations_name_uo""),7,FALSE)
,
)
))"),"ПОТЬОМКІН Борис Михайлович")</f>
        <v>ПОТЬОМКІН Борис Михайлович</v>
      </c>
      <c r="G9139" s="7" t="s">
        <v>10</v>
      </c>
      <c r="H9139" s="7">
        <v>2437</v>
      </c>
      <c r="I9139" s="8" t="str">
        <f ca="1">IFERROR(__xludf.DUMMYFUNCTION("IF
(
G9140=""фізична особа""
,
VLOOKUP(H9140,IMPORTRANGE(""https://docs.google.com/spreadsheets/d/14Bd19lYaqBhU8_DElYkX7l4wRkHqqCUFNJY4AfY3kHU/edit?usp=sharing  #gid=0"",""фіз особи new!relations_name""),6,FALSE)
,
(IF
(
G9140=""юридична особа""
,
VLOOKUP"&amp;"(H9140,IMPORTRANGE(""https://docs.google.com/spreadsheets/d/14Bd19lYaqBhU8_DElYkX7l4wRkHqqCUFNJY4AfY3kHU/edit?usp=sharing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39" s="7" t="s">
        <v>29</v>
      </c>
    </row>
    <row r="9140" spans="1:10" ht="13.2">
      <c r="A9140" s="7">
        <v>9139</v>
      </c>
      <c r="B9140" s="7">
        <v>1</v>
      </c>
      <c r="C9140" s="7" t="s">
        <v>10</v>
      </c>
      <c r="D9140" s="7">
        <v>11021</v>
      </c>
      <c r="E9140" s="7" t="s">
        <v>28</v>
      </c>
      <c r="F9140" s="8" t="str">
        <f ca="1">IFERROR(__xludf.DUMMYFUNCTION("IF
(
C9141=""фізична особа""
,
VLOOKUP(D9141,IMPORTRANGE(""https://docs.google.com/spreadsheets/d/14Bd19lYaqBhU8_DElYkX7l4wRkHqqCUFNJY4AfY3kHU/edit?usp=sharing  #gid=0"",""фіз особи new!relations_name""),6,FALSE)
,
(IF
(
C9141=""юридична особа""
,
VLOOKUP"&amp;"(D9141,IMPORTRANGE(""https://docs.google.com/spreadsheets/d/14Bd19lYaqBhU8_DElYkX7l4wRkHqqCUFNJY4AfY3kHU/edit?usp=sharing  #gid=0"",""фіз особи new!relations_name_uo""),7,FALSE)
,
)
))"),"ЛАЗАРЕНКО Євгеній Русланович")</f>
        <v>ЛАЗАРЕНКО Євгеній Русланович</v>
      </c>
      <c r="G9140" s="7" t="s">
        <v>10</v>
      </c>
      <c r="H9140" s="7">
        <v>2437</v>
      </c>
      <c r="I9140" s="8" t="str">
        <f ca="1">IFERROR(__xludf.DUMMYFUNCTION("IF
(
G9141=""фізична особа""
,
VLOOKUP(H9141,IMPORTRANGE(""https://docs.google.com/spreadsheets/d/14Bd19lYaqBhU8_DElYkX7l4wRkHqqCUFNJY4AfY3kHU/edit?usp=sharing  #gid=0"",""фіз особи new!relations_name""),6,FALSE)
,
(IF
(
G9141=""юридична особа""
,
VLOOKUP"&amp;"(H9141,IMPORTRANGE(""https://docs.google.com/spreadsheets/d/14Bd19lYaqBhU8_DElYkX7l4wRkHqqCUFNJY4AfY3kHU/edit?usp=sharing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0" s="7" t="s">
        <v>29</v>
      </c>
    </row>
    <row r="9141" spans="1:10" ht="13.2">
      <c r="A9141" s="7">
        <v>9140</v>
      </c>
      <c r="B9141" s="7">
        <v>1</v>
      </c>
      <c r="C9141" s="7" t="s">
        <v>10</v>
      </c>
      <c r="D9141" s="7">
        <v>11022</v>
      </c>
      <c r="E9141" s="7" t="s">
        <v>28</v>
      </c>
      <c r="F9141" s="8" t="str">
        <f ca="1">IFERROR(__xludf.DUMMYFUNCTION("IF
(
C9142=""фізична особа""
,
VLOOKUP(D9142,IMPORTRANGE(""https://docs.google.com/spreadsheets/d/14Bd19lYaqBhU8_DElYkX7l4wRkHqqCUFNJY4AfY3kHU/edit?usp=sharing  #gid=0"",""фіз особи new!relations_name""),6,FALSE)
,
(IF
(
C9142=""юридична особа""
,
VLOOKUP"&amp;"(D9142,IMPORTRANGE(""https://docs.google.com/spreadsheets/d/14Bd19lYaqBhU8_DElYkX7l4wRkHqqCUFNJY4AfY3kHU/edit?usp=sharing  #gid=0"",""фіз особи new!relations_name_uo""),7,FALSE)
,
)
))"),"ЄФІМОВ Сергій Юрійович")</f>
        <v>ЄФІМОВ Сергій Юрійович</v>
      </c>
      <c r="G9141" s="7" t="s">
        <v>10</v>
      </c>
      <c r="H9141" s="7">
        <v>2437</v>
      </c>
      <c r="I9141" s="8" t="str">
        <f ca="1">IFERROR(__xludf.DUMMYFUNCTION("IF
(
G9142=""фізична особа""
,
VLOOKUP(H9142,IMPORTRANGE(""https://docs.google.com/spreadsheets/d/14Bd19lYaqBhU8_DElYkX7l4wRkHqqCUFNJY4AfY3kHU/edit?usp=sharing  #gid=0"",""фіз особи new!relations_name""),6,FALSE)
,
(IF
(
G9142=""юридична особа""
,
VLOOKUP"&amp;"(H9142,IMPORTRANGE(""https://docs.google.com/spreadsheets/d/14Bd19lYaqBhU8_DElYkX7l4wRkHqqCUFNJY4AfY3kHU/edit?usp=sharing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1" s="7" t="s">
        <v>29</v>
      </c>
    </row>
    <row r="9142" spans="1:10" ht="13.2">
      <c r="A9142" s="7">
        <v>9141</v>
      </c>
      <c r="B9142" s="7">
        <v>1</v>
      </c>
      <c r="C9142" s="7" t="s">
        <v>10</v>
      </c>
      <c r="D9142" s="7">
        <v>11023</v>
      </c>
      <c r="E9142" s="7" t="s">
        <v>28</v>
      </c>
      <c r="F9142" s="8" t="str">
        <f ca="1">IFERROR(__xludf.DUMMYFUNCTION("IF
(
C9143=""фізична особа""
,
VLOOKUP(D9143,IMPORTRANGE(""https://docs.google.com/spreadsheets/d/14Bd19lYaqBhU8_DElYkX7l4wRkHqqCUFNJY4AfY3kHU/edit?usp=sharing  #gid=0"",""фіз особи new!relations_name""),6,FALSE)
,
(IF
(
C9143=""юридична особа""
,
VLOOKUP"&amp;"(D9143,IMPORTRANGE(""https://docs.google.com/spreadsheets/d/14Bd19lYaqBhU8_DElYkX7l4wRkHqqCUFNJY4AfY3kHU/edit?usp=sharing  #gid=0"",""фіз особи new!relations_name_uo""),7,FALSE)
,
)
))"),"ПАРХОМЕНКО Вадим Миколайович")</f>
        <v>ПАРХОМЕНКО Вадим Миколайович</v>
      </c>
      <c r="G9142" s="7" t="s">
        <v>10</v>
      </c>
      <c r="H9142" s="7">
        <v>2437</v>
      </c>
      <c r="I9142" s="8" t="str">
        <f ca="1">IFERROR(__xludf.DUMMYFUNCTION("IF
(
G9143=""фізична особа""
,
VLOOKUP(H9143,IMPORTRANGE(""https://docs.google.com/spreadsheets/d/14Bd19lYaqBhU8_DElYkX7l4wRkHqqCUFNJY4AfY3kHU/edit?usp=sharing  #gid=0"",""фіз особи new!relations_name""),6,FALSE)
,
(IF
(
G9143=""юридична особа""
,
VLOOKUP"&amp;"(H9143,IMPORTRANGE(""https://docs.google.com/spreadsheets/d/14Bd19lYaqBhU8_DElYkX7l4wRkHqqCUFNJY4AfY3kHU/edit?usp=sharing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2" s="7" t="s">
        <v>29</v>
      </c>
    </row>
    <row r="9143" spans="1:10" ht="13.2">
      <c r="A9143" s="7">
        <v>9142</v>
      </c>
      <c r="B9143" s="7">
        <v>1</v>
      </c>
      <c r="C9143" s="7" t="s">
        <v>10</v>
      </c>
      <c r="D9143" s="7">
        <v>11024</v>
      </c>
      <c r="E9143" s="7" t="s">
        <v>28</v>
      </c>
      <c r="F9143" s="8" t="str">
        <f ca="1">IFERROR(__xludf.DUMMYFUNCTION("IF
(
C9144=""фізична особа""
,
VLOOKUP(D9144,IMPORTRANGE(""https://docs.google.com/spreadsheets/d/14Bd19lYaqBhU8_DElYkX7l4wRkHqqCUFNJY4AfY3kHU/edit?usp=sharing  #gid=0"",""фіз особи new!relations_name""),6,FALSE)
,
(IF
(
C9144=""юридична особа""
,
VLOOKUP"&amp;"(D9144,IMPORTRANGE(""https://docs.google.com/spreadsheets/d/14Bd19lYaqBhU8_DElYkX7l4wRkHqqCUFNJY4AfY3kHU/edit?usp=sharing  #gid=0"",""фіз особи new!relations_name_uo""),7,FALSE)
,
)
))"),"КАЛЕНТЬЄВ Володимир Володимирович")</f>
        <v>КАЛЕНТЬЄВ Володимир Володимирович</v>
      </c>
      <c r="G9143" s="7" t="s">
        <v>10</v>
      </c>
      <c r="H9143" s="7">
        <v>2437</v>
      </c>
      <c r="I9143" s="8" t="str">
        <f ca="1">IFERROR(__xludf.DUMMYFUNCTION("IF
(
G9144=""фізична особа""
,
VLOOKUP(H9144,IMPORTRANGE(""https://docs.google.com/spreadsheets/d/14Bd19lYaqBhU8_DElYkX7l4wRkHqqCUFNJY4AfY3kHU/edit?usp=sharing  #gid=0"",""фіз особи new!relations_name""),6,FALSE)
,
(IF
(
G9144=""юридична особа""
,
VLOOKUP"&amp;"(H9144,IMPORTRANGE(""https://docs.google.com/spreadsheets/d/14Bd19lYaqBhU8_DElYkX7l4wRkHqqCUFNJY4AfY3kHU/edit?usp=sharing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3" s="7" t="s">
        <v>29</v>
      </c>
    </row>
    <row r="9144" spans="1:10" ht="13.2">
      <c r="A9144" s="7">
        <v>9143</v>
      </c>
      <c r="B9144" s="7">
        <v>1</v>
      </c>
      <c r="C9144" s="7" t="s">
        <v>10</v>
      </c>
      <c r="D9144" s="7">
        <v>11025</v>
      </c>
      <c r="E9144" s="7" t="s">
        <v>28</v>
      </c>
      <c r="F9144" s="8" t="str">
        <f ca="1">IFERROR(__xludf.DUMMYFUNCTION("IF
(
C9145=""фізична особа""
,
VLOOKUP(D9145,IMPORTRANGE(""https://docs.google.com/spreadsheets/d/14Bd19lYaqBhU8_DElYkX7l4wRkHqqCUFNJY4AfY3kHU/edit?usp=sharing  #gid=0"",""фіз особи new!relations_name""),6,FALSE)
,
(IF
(
C9145=""юридична особа""
,
VLOOKUP"&amp;"(D9145,IMPORTRANGE(""https://docs.google.com/spreadsheets/d/14Bd19lYaqBhU8_DElYkX7l4wRkHqqCUFNJY4AfY3kHU/edit?usp=sharing  #gid=0"",""фіз особи new!relations_name_uo""),7,FALSE)
,
)
))"),"КАЛИННІКОВА Марина Григорівна")</f>
        <v>КАЛИННІКОВА Марина Григорівна</v>
      </c>
      <c r="G9144" s="7" t="s">
        <v>10</v>
      </c>
      <c r="H9144" s="7">
        <v>2437</v>
      </c>
      <c r="I9144" s="8" t="str">
        <f ca="1">IFERROR(__xludf.DUMMYFUNCTION("IF
(
G9145=""фізична особа""
,
VLOOKUP(H9145,IMPORTRANGE(""https://docs.google.com/spreadsheets/d/14Bd19lYaqBhU8_DElYkX7l4wRkHqqCUFNJY4AfY3kHU/edit?usp=sharing  #gid=0"",""фіз особи new!relations_name""),6,FALSE)
,
(IF
(
G9145=""юридична особа""
,
VLOOKUP"&amp;"(H9145,IMPORTRANGE(""https://docs.google.com/spreadsheets/d/14Bd19lYaqBhU8_DElYkX7l4wRkHqqCUFNJY4AfY3kHU/edit?usp=sharing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4" s="7" t="s">
        <v>29</v>
      </c>
    </row>
    <row r="9145" spans="1:10" ht="13.2">
      <c r="A9145" s="7">
        <v>9144</v>
      </c>
      <c r="B9145" s="7">
        <v>1</v>
      </c>
      <c r="C9145" s="7" t="s">
        <v>10</v>
      </c>
      <c r="D9145" s="7">
        <v>11026</v>
      </c>
      <c r="E9145" s="7" t="s">
        <v>28</v>
      </c>
      <c r="F9145" s="8" t="str">
        <f ca="1">IFERROR(__xludf.DUMMYFUNCTION("IF
(
C9146=""фізична особа""
,
VLOOKUP(D9146,IMPORTRANGE(""https://docs.google.com/spreadsheets/d/14Bd19lYaqBhU8_DElYkX7l4wRkHqqCUFNJY4AfY3kHU/edit?usp=sharing  #gid=0"",""фіз особи new!relations_name""),6,FALSE)
,
(IF
(
C9146=""юридична особа""
,
VLOOKUP"&amp;"(D9146,IMPORTRANGE(""https://docs.google.com/spreadsheets/d/14Bd19lYaqBhU8_DElYkX7l4wRkHqqCUFNJY4AfY3kHU/edit?usp=sharing  #gid=0"",""фіз особи new!relations_name_uo""),7,FALSE)
,
)
))"),"КОНТАРЄВ Олексій Володимирович")</f>
        <v>КОНТАРЄВ Олексій Володимирович</v>
      </c>
      <c r="G9145" s="7" t="s">
        <v>10</v>
      </c>
      <c r="H9145" s="7">
        <v>2437</v>
      </c>
      <c r="I9145" s="8" t="str">
        <f ca="1">IFERROR(__xludf.DUMMYFUNCTION("IF
(
G9146=""фізична особа""
,
VLOOKUP(H9146,IMPORTRANGE(""https://docs.google.com/spreadsheets/d/14Bd19lYaqBhU8_DElYkX7l4wRkHqqCUFNJY4AfY3kHU/edit?usp=sharing  #gid=0"",""фіз особи new!relations_name""),6,FALSE)
,
(IF
(
G9146=""юридична особа""
,
VLOOKUP"&amp;"(H9146,IMPORTRANGE(""https://docs.google.com/spreadsheets/d/14Bd19lYaqBhU8_DElYkX7l4wRkHqqCUFNJY4AfY3kHU/edit?usp=sharing  #gid=0"",""фіз особи new!relations_name_uo""),7,FALSE)
,
)
))"),"ШАЛАЄВ Антон Павлович")</f>
        <v>ШАЛАЄВ Антон Павлович</v>
      </c>
      <c r="J9145" s="7" t="s">
        <v>29</v>
      </c>
    </row>
    <row r="9146" spans="1:10" ht="13.2">
      <c r="A9146" s="7">
        <v>9145</v>
      </c>
      <c r="B9146" s="7">
        <v>1</v>
      </c>
      <c r="C9146" s="7" t="s">
        <v>10</v>
      </c>
      <c r="D9146" s="7">
        <v>11027</v>
      </c>
      <c r="E9146" s="7" t="s">
        <v>28</v>
      </c>
      <c r="F9146" s="8" t="str">
        <f ca="1">IFERROR(__xludf.DUMMYFUNCTION("IF
(
C9147=""фізична особа""
,
VLOOKUP(D9147,IMPORTRANGE(""https://docs.google.com/spreadsheets/d/14Bd19lYaqBhU8_DElYkX7l4wRkHqqCUFNJY4AfY3kHU/edit?usp=sharing  #gid=0"",""фіз особи new!relations_name""),6,FALSE)
,
(IF
(
C9147=""юридична особа""
,
VLOOKUP"&amp;"(D9147,IMPORTRANGE(""https://docs.google.com/spreadsheets/d/14Bd19lYaqBhU8_DElYkX7l4wRkHqqCUFNJY4AfY3kHU/edit?usp=sharing  #gid=0"",""фіз особи new!relations_name_uo""),7,FALSE)
,
)
))"),"КИСЕЛЬОВА Ірина Олексіївна")</f>
        <v>КИСЕЛЬОВА Ірина Олексіївна</v>
      </c>
      <c r="G9146" s="7" t="s">
        <v>10</v>
      </c>
      <c r="H9146" s="7">
        <v>0</v>
      </c>
      <c r="I9146" s="8" t="str">
        <f ca="1">IFERROR(__xludf.DUMMYFUNCTION("IF
(
G9147=""фізична особа""
,
VLOOKUP(H9147,IMPORTRANGE(""https://docs.google.com/spreadsheets/d/14Bd19lYaqBhU8_DElYkX7l4wRkHqqCUFNJY4AfY3kHU/edit?usp=sharing  #gid=0"",""фіз особи new!relations_name""),6,FALSE)
,
(IF
(
G9147=""юридична особа""
,
VLOOKUP"&amp;"(H9147,IMPORTRANGE(""https://docs.google.com/spreadsheets/d/14Bd19lYaqBhU8_DElYkX7l4wRkHqqCUFNJY4AfY3kHU/edit?usp=sharing  #gid=0"",""фіз особи new!relations_name_uo""),7,FALSE)
,
)
))"),"#N/A")</f>
        <v>#N/A</v>
      </c>
      <c r="J9146" s="7" t="s">
        <v>29</v>
      </c>
    </row>
    <row r="9147" spans="1:10" ht="13.2">
      <c r="A9147" s="7">
        <v>9146</v>
      </c>
      <c r="B9147" s="7">
        <v>1</v>
      </c>
      <c r="C9147" s="7" t="s">
        <v>10</v>
      </c>
      <c r="D9147" s="7">
        <v>11028</v>
      </c>
      <c r="E9147" s="7" t="s">
        <v>28</v>
      </c>
      <c r="F9147" s="8" t="str">
        <f ca="1">IFERROR(__xludf.DUMMYFUNCTION("IF
(
C9148=""фізична особа""
,
VLOOKUP(D9148,IMPORTRANGE(""https://docs.google.com/spreadsheets/d/14Bd19lYaqBhU8_DElYkX7l4wRkHqqCUFNJY4AfY3kHU/edit?usp=sharing  #gid=0"",""фіз особи new!relations_name""),6,FALSE)
,
(IF
(
C9148=""юридична особа""
,
VLOOKUP"&amp;"(D9148,IMPORTRANGE(""https://docs.google.com/spreadsheets/d/14Bd19lYaqBhU8_DElYkX7l4wRkHqqCUFNJY4AfY3kHU/edit?usp=sharing  #gid=0"",""фіз особи new!relations_name_uo""),7,FALSE)
,
)
))"),"КАРЧЕВА Олена Артеміївна")</f>
        <v>КАРЧЕВА Олена Артеміївна</v>
      </c>
      <c r="G9147" s="7" t="s">
        <v>10</v>
      </c>
      <c r="H9147" s="7">
        <v>0</v>
      </c>
      <c r="I9147" s="8" t="str">
        <f ca="1">IFERROR(__xludf.DUMMYFUNCTION("IF
(
G9148=""фізична особа""
,
VLOOKUP(H9148,IMPORTRANGE(""https://docs.google.com/spreadsheets/d/14Bd19lYaqBhU8_DElYkX7l4wRkHqqCUFNJY4AfY3kHU/edit?usp=sharing  #gid=0"",""фіз особи new!relations_name""),6,FALSE)
,
(IF
(
G9148=""юридична особа""
,
VLOOKUP"&amp;"(H9148,IMPORTRANGE(""https://docs.google.com/spreadsheets/d/14Bd19lYaqBhU8_DElYkX7l4wRkHqqCUFNJY4AfY3kHU/edit?usp=sharing  #gid=0"",""фіз особи new!relations_name_uo""),7,FALSE)
,
)
))"),"#N/A")</f>
        <v>#N/A</v>
      </c>
      <c r="J9147" s="7" t="s">
        <v>29</v>
      </c>
    </row>
    <row r="9148" spans="1:10" ht="13.2">
      <c r="A9148" s="7">
        <v>9147</v>
      </c>
      <c r="B9148" s="7">
        <v>1</v>
      </c>
      <c r="C9148" s="7" t="s">
        <v>10</v>
      </c>
      <c r="D9148" s="7">
        <v>11029</v>
      </c>
      <c r="E9148" s="7" t="s">
        <v>28</v>
      </c>
      <c r="F9148" s="8" t="str">
        <f ca="1">IFERROR(__xludf.DUMMYFUNCTION("IF
(
C9149=""фізична особа""
,
VLOOKUP(D9149,IMPORTRANGE(""https://docs.google.com/spreadsheets/d/14Bd19lYaqBhU8_DElYkX7l4wRkHqqCUFNJY4AfY3kHU/edit?usp=sharing  #gid=0"",""фіз особи new!relations_name""),6,FALSE)
,
(IF
(
C9149=""юридична особа""
,
VLOOKUP"&amp;"(D9149,IMPORTRANGE(""https://docs.google.com/spreadsheets/d/14Bd19lYaqBhU8_DElYkX7l4wRkHqqCUFNJY4AfY3kHU/edit?usp=sharing  #gid=0"",""фіз особи new!relations_name_uo""),7,FALSE)
,
)
))"),"ЖДИХАНОВА Гузеллія Абдрашитівна")</f>
        <v>ЖДИХАНОВА Гузеллія Абдрашитівна</v>
      </c>
      <c r="G9148" s="7" t="s">
        <v>10</v>
      </c>
      <c r="H9148" s="7">
        <v>0</v>
      </c>
      <c r="I9148" s="8" t="str">
        <f ca="1">IFERROR(__xludf.DUMMYFUNCTION("IF
(
G9149=""фізична особа""
,
VLOOKUP(H9149,IMPORTRANGE(""https://docs.google.com/spreadsheets/d/14Bd19lYaqBhU8_DElYkX7l4wRkHqqCUFNJY4AfY3kHU/edit?usp=sharing  #gid=0"",""фіз особи new!relations_name""),6,FALSE)
,
(IF
(
G9149=""юридична особа""
,
VLOOKUP"&amp;"(H9149,IMPORTRANGE(""https://docs.google.com/spreadsheets/d/14Bd19lYaqBhU8_DElYkX7l4wRkHqqCUFNJY4AfY3kHU/edit?usp=sharing  #gid=0"",""фіз особи new!relations_name_uo""),7,FALSE)
,
)
))"),"#N/A")</f>
        <v>#N/A</v>
      </c>
      <c r="J9148" s="7" t="s">
        <v>29</v>
      </c>
    </row>
    <row r="9149" spans="1:10" ht="13.2">
      <c r="A9149" s="7">
        <v>9148</v>
      </c>
      <c r="B9149" s="7">
        <v>1</v>
      </c>
      <c r="C9149" s="7" t="s">
        <v>10</v>
      </c>
      <c r="D9149" s="7">
        <v>11030</v>
      </c>
      <c r="E9149" s="7" t="s">
        <v>28</v>
      </c>
      <c r="F9149" s="8" t="str">
        <f ca="1">IFERROR(__xludf.DUMMYFUNCTION("IF
(
C9150=""фізична особа""
,
VLOOKUP(D9150,IMPORTRANGE(""https://docs.google.com/spreadsheets/d/14Bd19lYaqBhU8_DElYkX7l4wRkHqqCUFNJY4AfY3kHU/edit?usp=sharing  #gid=0"",""фіз особи new!relations_name""),6,FALSE)
,
(IF
(
C9150=""юридична особа""
,
VLOOKUP"&amp;"(D9150,IMPORTRANGE(""https://docs.google.com/spreadsheets/d/14Bd19lYaqBhU8_DElYkX7l4wRkHqqCUFNJY4AfY3kHU/edit?usp=sharing  #gid=0"",""фіз особи new!relations_name_uo""),7,FALSE)
,
)
))"),"СОРОКІНА Олена Миколаївна")</f>
        <v>СОРОКІНА Олена Миколаївна</v>
      </c>
      <c r="G9149" s="7" t="s">
        <v>10</v>
      </c>
      <c r="H9149" s="7">
        <v>3029</v>
      </c>
      <c r="I9149" s="8" t="str">
        <f ca="1">IFERROR(__xludf.DUMMYFUNCTION("IF
(
G9150=""фізична особа""
,
VLOOKUP(H9150,IMPORTRANGE(""https://docs.google.com/spreadsheets/d/14Bd19lYaqBhU8_DElYkX7l4wRkHqqCUFNJY4AfY3kHU/edit?usp=sharing  #gid=0"",""фіз особи new!relations_name""),6,FALSE)
,
(IF
(
G9150=""юридична особа""
,
VLOOKUP"&amp;"(H9150,IMPORTRANGE(""https://docs.google.com/spreadsheets/d/14Bd19lYaqBhU8_DElYkX7l4wRkHqqCUFNJY4AfY3kHU/edit?usp=sharing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49" s="7" t="s">
        <v>29</v>
      </c>
    </row>
    <row r="9150" spans="1:10" ht="13.2">
      <c r="A9150" s="7">
        <v>9149</v>
      </c>
      <c r="B9150" s="7">
        <v>1</v>
      </c>
      <c r="C9150" s="7" t="s">
        <v>10</v>
      </c>
      <c r="D9150" s="7">
        <v>11031</v>
      </c>
      <c r="E9150" s="7" t="s">
        <v>28</v>
      </c>
      <c r="F9150" s="8" t="str">
        <f ca="1">IFERROR(__xludf.DUMMYFUNCTION("IF
(
C9151=""фізична особа""
,
VLOOKUP(D9151,IMPORTRANGE(""https://docs.google.com/spreadsheets/d/14Bd19lYaqBhU8_DElYkX7l4wRkHqqCUFNJY4AfY3kHU/edit?usp=sharing  #gid=0"",""фіз особи new!relations_name""),6,FALSE)
,
(IF
(
C9151=""юридична особа""
,
VLOOKUP"&amp;"(D9151,IMPORTRANGE(""https://docs.google.com/spreadsheets/d/14Bd19lYaqBhU8_DElYkX7l4wRkHqqCUFNJY4AfY3kHU/edit?usp=sharing  #gid=0"",""фіз особи new!relations_name_uo""),7,FALSE)
,
)
))"),"РОМАНОВА Оксана Анатоліївна")</f>
        <v>РОМАНОВА Оксана Анатоліївна</v>
      </c>
      <c r="G9150" s="7" t="s">
        <v>10</v>
      </c>
      <c r="H9150" s="7">
        <v>3029</v>
      </c>
      <c r="I9150" s="8" t="str">
        <f ca="1">IFERROR(__xludf.DUMMYFUNCTION("IF
(
G9151=""фізична особа""
,
VLOOKUP(H9151,IMPORTRANGE(""https://docs.google.com/spreadsheets/d/14Bd19lYaqBhU8_DElYkX7l4wRkHqqCUFNJY4AfY3kHU/edit?usp=sharing  #gid=0"",""фіз особи new!relations_name""),6,FALSE)
,
(IF
(
G9151=""юридична особа""
,
VLOOKUP"&amp;"(H9151,IMPORTRANGE(""https://docs.google.com/spreadsheets/d/14Bd19lYaqBhU8_DElYkX7l4wRkHqqCUFNJY4AfY3kHU/edit?usp=sharing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0" s="7" t="s">
        <v>29</v>
      </c>
    </row>
    <row r="9151" spans="1:10" ht="13.2">
      <c r="A9151" s="7">
        <v>9150</v>
      </c>
      <c r="B9151" s="7">
        <v>1</v>
      </c>
      <c r="C9151" s="7" t="s">
        <v>10</v>
      </c>
      <c r="D9151" s="7">
        <v>11032</v>
      </c>
      <c r="E9151" s="7" t="s">
        <v>28</v>
      </c>
      <c r="F9151" s="8" t="str">
        <f ca="1">IFERROR(__xludf.DUMMYFUNCTION("IF
(
C9152=""фізична особа""
,
VLOOKUP(D9152,IMPORTRANGE(""https://docs.google.com/spreadsheets/d/14Bd19lYaqBhU8_DElYkX7l4wRkHqqCUFNJY4AfY3kHU/edit?usp=sharing  #gid=0"",""фіз особи new!relations_name""),6,FALSE)
,
(IF
(
C9152=""юридична особа""
,
VLOOKUP"&amp;"(D9152,IMPORTRANGE(""https://docs.google.com/spreadsheets/d/14Bd19lYaqBhU8_DElYkX7l4wRkHqqCUFNJY4AfY3kHU/edit?usp=sharing  #gid=0"",""фіз особи new!relations_name_uo""),7,FALSE)
,
)
))"),"МАЛІКОВ Вадим Владиславович")</f>
        <v>МАЛІКОВ Вадим Владиславович</v>
      </c>
      <c r="G9151" s="7" t="s">
        <v>10</v>
      </c>
      <c r="H9151" s="7">
        <v>3029</v>
      </c>
      <c r="I9151" s="8" t="str">
        <f ca="1">IFERROR(__xludf.DUMMYFUNCTION("IF
(
G9152=""фізична особа""
,
VLOOKUP(H9152,IMPORTRANGE(""https://docs.google.com/spreadsheets/d/14Bd19lYaqBhU8_DElYkX7l4wRkHqqCUFNJY4AfY3kHU/edit?usp=sharing  #gid=0"",""фіз особи new!relations_name""),6,FALSE)
,
(IF
(
G9152=""юридична особа""
,
VLOOKUP"&amp;"(H9152,IMPORTRANGE(""https://docs.google.com/spreadsheets/d/14Bd19lYaqBhU8_DElYkX7l4wRkHqqCUFNJY4AfY3kHU/edit?usp=sharing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1" s="7" t="s">
        <v>29</v>
      </c>
    </row>
    <row r="9152" spans="1:10" ht="13.2">
      <c r="A9152" s="7">
        <v>9151</v>
      </c>
      <c r="B9152" s="7">
        <v>1</v>
      </c>
      <c r="C9152" s="7" t="s">
        <v>10</v>
      </c>
      <c r="D9152" s="7">
        <v>11033</v>
      </c>
      <c r="E9152" s="7" t="s">
        <v>28</v>
      </c>
      <c r="F9152" s="8" t="str">
        <f ca="1">IFERROR(__xludf.DUMMYFUNCTION("IF
(
C9153=""фізична особа""
,
VLOOKUP(D9153,IMPORTRANGE(""https://docs.google.com/spreadsheets/d/14Bd19lYaqBhU8_DElYkX7l4wRkHqqCUFNJY4AfY3kHU/edit?usp=sharing  #gid=0"",""фіз особи new!relations_name""),6,FALSE)
,
(IF
(
C9153=""юридична особа""
,
VLOOKUP"&amp;"(D9153,IMPORTRANGE(""https://docs.google.com/spreadsheets/d/14Bd19lYaqBhU8_DElYkX7l4wRkHqqCUFNJY4AfY3kHU/edit?usp=sharing  #gid=0"",""фіз особи new!relations_name_uo""),7,FALSE)
,
)
))"),"СОЛОВЙОВ Олександр Олександрович")</f>
        <v>СОЛОВЙОВ Олександр Олександрович</v>
      </c>
      <c r="G9152" s="7" t="s">
        <v>10</v>
      </c>
      <c r="H9152" s="7">
        <v>3029</v>
      </c>
      <c r="I9152" s="8" t="str">
        <f ca="1">IFERROR(__xludf.DUMMYFUNCTION("IF
(
G9153=""фізична особа""
,
VLOOKUP(H9153,IMPORTRANGE(""https://docs.google.com/spreadsheets/d/14Bd19lYaqBhU8_DElYkX7l4wRkHqqCUFNJY4AfY3kHU/edit?usp=sharing  #gid=0"",""фіз особи new!relations_name""),6,FALSE)
,
(IF
(
G9153=""юридична особа""
,
VLOOKUP"&amp;"(H9153,IMPORTRANGE(""https://docs.google.com/spreadsheets/d/14Bd19lYaqBhU8_DElYkX7l4wRkHqqCUFNJY4AfY3kHU/edit?usp=sharing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2" s="7" t="s">
        <v>29</v>
      </c>
    </row>
    <row r="9153" spans="1:10" ht="13.2">
      <c r="A9153" s="7">
        <v>9152</v>
      </c>
      <c r="B9153" s="7">
        <v>1</v>
      </c>
      <c r="C9153" s="7" t="s">
        <v>10</v>
      </c>
      <c r="D9153" s="7">
        <v>11034</v>
      </c>
      <c r="E9153" s="7" t="s">
        <v>28</v>
      </c>
      <c r="F9153" s="8" t="str">
        <f ca="1">IFERROR(__xludf.DUMMYFUNCTION("IF
(
C9154=""фізична особа""
,
VLOOKUP(D9154,IMPORTRANGE(""https://docs.google.com/spreadsheets/d/14Bd19lYaqBhU8_DElYkX7l4wRkHqqCUFNJY4AfY3kHU/edit?usp=sharing  #gid=0"",""фіз особи new!relations_name""),6,FALSE)
,
(IF
(
C9154=""юридична особа""
,
VLOOKUP"&amp;"(D9154,IMPORTRANGE(""https://docs.google.com/spreadsheets/d/14Bd19lYaqBhU8_DElYkX7l4wRkHqqCUFNJY4AfY3kHU/edit?usp=sharing  #gid=0"",""фіз особи new!relations_name_uo""),7,FALSE)
,
)
))"),"ПЄТУХОВА Ольга Іванівна")</f>
        <v>ПЄТУХОВА Ольга Іванівна</v>
      </c>
      <c r="G9153" s="7" t="s">
        <v>10</v>
      </c>
      <c r="H9153" s="7">
        <v>3029</v>
      </c>
      <c r="I9153" s="8" t="str">
        <f ca="1">IFERROR(__xludf.DUMMYFUNCTION("IF
(
G9154=""фізична особа""
,
VLOOKUP(H9154,IMPORTRANGE(""https://docs.google.com/spreadsheets/d/14Bd19lYaqBhU8_DElYkX7l4wRkHqqCUFNJY4AfY3kHU/edit?usp=sharing  #gid=0"",""фіз особи new!relations_name""),6,FALSE)
,
(IF
(
G9154=""юридична особа""
,
VLOOKUP"&amp;"(H9154,IMPORTRANGE(""https://docs.google.com/spreadsheets/d/14Bd19lYaqBhU8_DElYkX7l4wRkHqqCUFNJY4AfY3kHU/edit?usp=sharing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3" s="7" t="s">
        <v>29</v>
      </c>
    </row>
    <row r="9154" spans="1:10" ht="13.2">
      <c r="A9154" s="7">
        <v>9153</v>
      </c>
      <c r="B9154" s="7">
        <v>1</v>
      </c>
      <c r="C9154" s="7" t="s">
        <v>10</v>
      </c>
      <c r="D9154" s="7">
        <v>11035</v>
      </c>
      <c r="E9154" s="7" t="s">
        <v>28</v>
      </c>
      <c r="F9154" s="8" t="str">
        <f ca="1">IFERROR(__xludf.DUMMYFUNCTION("IF
(
C9155=""фізична особа""
,
VLOOKUP(D9155,IMPORTRANGE(""https://docs.google.com/spreadsheets/d/14Bd19lYaqBhU8_DElYkX7l4wRkHqqCUFNJY4AfY3kHU/edit?usp=sharing  #gid=0"",""фіз особи new!relations_name""),6,FALSE)
,
(IF
(
C9155=""юридична особа""
,
VLOOKUP"&amp;"(D9155,IMPORTRANGE(""https://docs.google.com/spreadsheets/d/14Bd19lYaqBhU8_DElYkX7l4wRkHqqCUFNJY4AfY3kHU/edit?usp=sharing  #gid=0"",""фіз особи new!relations_name_uo""),7,FALSE)
,
)
))"),"КОРІОНОВА Наталія Євгенівна")</f>
        <v>КОРІОНОВА Наталія Євгенівна</v>
      </c>
      <c r="G9154" s="7" t="s">
        <v>10</v>
      </c>
      <c r="H9154" s="7">
        <v>3029</v>
      </c>
      <c r="I9154" s="8" t="str">
        <f ca="1">IFERROR(__xludf.DUMMYFUNCTION("IF
(
G9155=""фізична особа""
,
VLOOKUP(H9155,IMPORTRANGE(""https://docs.google.com/spreadsheets/d/14Bd19lYaqBhU8_DElYkX7l4wRkHqqCUFNJY4AfY3kHU/edit?usp=sharing  #gid=0"",""фіз особи new!relations_name""),6,FALSE)
,
(IF
(
G9155=""юридична особа""
,
VLOOKUP"&amp;"(H9155,IMPORTRANGE(""https://docs.google.com/spreadsheets/d/14Bd19lYaqBhU8_DElYkX7l4wRkHqqCUFNJY4AfY3kHU/edit?usp=sharing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4" s="7" t="s">
        <v>29</v>
      </c>
    </row>
    <row r="9155" spans="1:10" ht="13.2">
      <c r="A9155" s="7">
        <v>9154</v>
      </c>
      <c r="B9155" s="7">
        <v>1</v>
      </c>
      <c r="C9155" s="7" t="s">
        <v>10</v>
      </c>
      <c r="D9155" s="7">
        <v>11036</v>
      </c>
      <c r="E9155" s="7" t="s">
        <v>28</v>
      </c>
      <c r="F9155" s="8" t="str">
        <f ca="1">IFERROR(__xludf.DUMMYFUNCTION("IF
(
C9156=""фізична особа""
,
VLOOKUP(D9156,IMPORTRANGE(""https://docs.google.com/spreadsheets/d/14Bd19lYaqBhU8_DElYkX7l4wRkHqqCUFNJY4AfY3kHU/edit?usp=sharing  #gid=0"",""фіз особи new!relations_name""),6,FALSE)
,
(IF
(
C9156=""юридична особа""
,
VLOOKUP"&amp;"(D9156,IMPORTRANGE(""https://docs.google.com/spreadsheets/d/14Bd19lYaqBhU8_DElYkX7l4wRkHqqCUFNJY4AfY3kHU/edit?usp=sharing  #gid=0"",""фіз особи new!relations_name_uo""),7,FALSE)
,
)
))"),"ЧМОРА Максим Володимирович")</f>
        <v>ЧМОРА Максим Володимирович</v>
      </c>
      <c r="G9155" s="7" t="s">
        <v>10</v>
      </c>
      <c r="H9155" s="7">
        <v>860</v>
      </c>
      <c r="I9155" s="8" t="str">
        <f ca="1">IFERROR(__xludf.DUMMYFUNCTION("IF
(
G9156=""фізична особа""
,
VLOOKUP(H9156,IMPORTRANGE(""https://docs.google.com/spreadsheets/d/14Bd19lYaqBhU8_DElYkX7l4wRkHqqCUFNJY4AfY3kHU/edit?usp=sharing  #gid=0"",""фіз особи new!relations_name""),6,FALSE)
,
(IF
(
G9156=""юридична особа""
,
VLOOKUP"&amp;"(H9156,IMPORTRANGE(""https://docs.google.com/spreadsheets/d/14Bd19lYaqBhU8_DElYkX7l4wRkHqqCUFNJY4AfY3kHU/edit?usp=sharing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9155" s="7" t="s">
        <v>29</v>
      </c>
    </row>
    <row r="9156" spans="1:10" ht="13.2">
      <c r="A9156" s="7">
        <v>9155</v>
      </c>
      <c r="B9156" s="7">
        <v>1</v>
      </c>
      <c r="C9156" s="7" t="s">
        <v>10</v>
      </c>
      <c r="D9156" s="7">
        <v>11037</v>
      </c>
      <c r="E9156" s="7" t="s">
        <v>28</v>
      </c>
      <c r="F9156" s="8" t="str">
        <f ca="1">IFERROR(__xludf.DUMMYFUNCTION("IF
(
C9157=""фізична особа""
,
VLOOKUP(D9157,IMPORTRANGE(""https://docs.google.com/spreadsheets/d/14Bd19lYaqBhU8_DElYkX7l4wRkHqqCUFNJY4AfY3kHU/edit?usp=sharing  #gid=0"",""фіз особи new!relations_name""),6,FALSE)
,
(IF
(
C9157=""юридична особа""
,
VLOOKUP"&amp;"(D9157,IMPORTRANGE(""https://docs.google.com/spreadsheets/d/14Bd19lYaqBhU8_DElYkX7l4wRkHqqCUFNJY4AfY3kHU/edit?usp=sharing  #gid=0"",""фіз особи new!relations_name_uo""),7,FALSE)
,
)
))"),"ПЄСЧАНСЬКІХ Георгій Володимирович")</f>
        <v>ПЄСЧАНСЬКІХ Георгій Володимирович</v>
      </c>
      <c r="G9156" s="7" t="s">
        <v>10</v>
      </c>
      <c r="H9156" s="7">
        <v>860</v>
      </c>
      <c r="I9156" s="8" t="str">
        <f ca="1">IFERROR(__xludf.DUMMYFUNCTION("IF
(
G9157=""фізична особа""
,
VLOOKUP(H9157,IMPORTRANGE(""https://docs.google.com/spreadsheets/d/14Bd19lYaqBhU8_DElYkX7l4wRkHqqCUFNJY4AfY3kHU/edit?usp=sharing  #gid=0"",""фіз особи new!relations_name""),6,FALSE)
,
(IF
(
G9157=""юридична особа""
,
VLOOKUP"&amp;"(H9157,IMPORTRANGE(""https://docs.google.com/spreadsheets/d/14Bd19lYaqBhU8_DElYkX7l4wRkHqqCUFNJY4AfY3kHU/edit?usp=sharing  #gid=0"",""фіз особи new!relations_name_uo""),7,FALSE)
,
)
))"),"БУЛАВІН Володимир Іванович")</f>
        <v>БУЛАВІН Володимир Іванович</v>
      </c>
      <c r="J9156" s="7" t="s">
        <v>29</v>
      </c>
    </row>
    <row r="9157" spans="1:10" ht="13.2">
      <c r="A9157" s="7">
        <v>9156</v>
      </c>
      <c r="B9157" s="7">
        <v>1</v>
      </c>
      <c r="C9157" s="7" t="s">
        <v>10</v>
      </c>
      <c r="D9157" s="7">
        <v>11038</v>
      </c>
      <c r="E9157" s="7" t="s">
        <v>28</v>
      </c>
      <c r="F9157" s="8" t="str">
        <f ca="1">IFERROR(__xludf.DUMMYFUNCTION("IF
(
C9158=""фізична особа""
,
VLOOKUP(D9158,IMPORTRANGE(""https://docs.google.com/spreadsheets/d/14Bd19lYaqBhU8_DElYkX7l4wRkHqqCUFNJY4AfY3kHU/edit?usp=sharing  #gid=0"",""фіз особи new!relations_name""),6,FALSE)
,
(IF
(
C9158=""юридична особа""
,
VLOOKUP"&amp;"(D9158,IMPORTRANGE(""https://docs.google.com/spreadsheets/d/14Bd19lYaqBhU8_DElYkX7l4wRkHqqCUFNJY4AfY3kHU/edit?usp=sharing  #gid=0"",""фіз особи new!relations_name_uo""),7,FALSE)
,
)
))"),"КОНДРАТЬЄВА Ганна Михайлівна")</f>
        <v>КОНДРАТЬЄВА Ганна Михайлівна</v>
      </c>
      <c r="G9157" s="7" t="s">
        <v>10</v>
      </c>
      <c r="H9157" s="7">
        <v>3029</v>
      </c>
      <c r="I9157" s="8" t="str">
        <f ca="1">IFERROR(__xludf.DUMMYFUNCTION("IF
(
G9158=""фізична особа""
,
VLOOKUP(H9158,IMPORTRANGE(""https://docs.google.com/spreadsheets/d/14Bd19lYaqBhU8_DElYkX7l4wRkHqqCUFNJY4AfY3kHU/edit?usp=sharing  #gid=0"",""фіз особи new!relations_name""),6,FALSE)
,
(IF
(
G9158=""юридична особа""
,
VLOOKUP"&amp;"(H9158,IMPORTRANGE(""https://docs.google.com/spreadsheets/d/14Bd19lYaqBhU8_DElYkX7l4wRkHqqCUFNJY4AfY3kHU/edit?usp=sharing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7" s="7" t="s">
        <v>29</v>
      </c>
    </row>
    <row r="9158" spans="1:10" ht="13.2">
      <c r="A9158" s="7">
        <v>9157</v>
      </c>
      <c r="B9158" s="7">
        <v>1</v>
      </c>
      <c r="C9158" s="7" t="s">
        <v>10</v>
      </c>
      <c r="D9158" s="7">
        <v>11039</v>
      </c>
      <c r="E9158" s="7" t="s">
        <v>28</v>
      </c>
      <c r="F9158" s="8" t="str">
        <f ca="1">IFERROR(__xludf.DUMMYFUNCTION("IF
(
C9159=""фізична особа""
,
VLOOKUP(D9159,IMPORTRANGE(""https://docs.google.com/spreadsheets/d/14Bd19lYaqBhU8_DElYkX7l4wRkHqqCUFNJY4AfY3kHU/edit?usp=sharing  #gid=0"",""фіз особи new!relations_name""),6,FALSE)
,
(IF
(
C9159=""юридична особа""
,
VLOOKUP"&amp;"(D9159,IMPORTRANGE(""https://docs.google.com/spreadsheets/d/14Bd19lYaqBhU8_DElYkX7l4wRkHqqCUFNJY4AfY3kHU/edit?usp=sharing  #gid=0"",""фіз особи new!relations_name_uo""),7,FALSE)
,
)
))"),"ВЕЛИЧКО Олена Валеріївна")</f>
        <v>ВЕЛИЧКО Олена Валеріївна</v>
      </c>
      <c r="G9158" s="7" t="s">
        <v>10</v>
      </c>
      <c r="H9158" s="7">
        <v>3029</v>
      </c>
      <c r="I9158" s="8" t="str">
        <f ca="1">IFERROR(__xludf.DUMMYFUNCTION("IF
(
G9159=""фізична особа""
,
VLOOKUP(H9159,IMPORTRANGE(""https://docs.google.com/spreadsheets/d/14Bd19lYaqBhU8_DElYkX7l4wRkHqqCUFNJY4AfY3kHU/edit?usp=sharing  #gid=0"",""фіз особи new!relations_name""),6,FALSE)
,
(IF
(
G9159=""юридична особа""
,
VLOOKUP"&amp;"(H9159,IMPORTRANGE(""https://docs.google.com/spreadsheets/d/14Bd19lYaqBhU8_DElYkX7l4wRkHqqCUFNJY4AfY3kHU/edit?usp=sharing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8" s="7" t="s">
        <v>29</v>
      </c>
    </row>
    <row r="9159" spans="1:10" ht="13.2">
      <c r="A9159" s="7">
        <v>9158</v>
      </c>
      <c r="B9159" s="7">
        <v>1</v>
      </c>
      <c r="C9159" s="7" t="s">
        <v>10</v>
      </c>
      <c r="D9159" s="7">
        <v>11040</v>
      </c>
      <c r="E9159" s="7" t="s">
        <v>28</v>
      </c>
      <c r="F9159" s="8" t="str">
        <f ca="1">IFERROR(__xludf.DUMMYFUNCTION("IF
(
C9160=""фізична особа""
,
VLOOKUP(D9160,IMPORTRANGE(""https://docs.google.com/spreadsheets/d/14Bd19lYaqBhU8_DElYkX7l4wRkHqqCUFNJY4AfY3kHU/edit?usp=sharing  #gid=0"",""фіз особи new!relations_name""),6,FALSE)
,
(IF
(
C9160=""юридична особа""
,
VLOOKUP"&amp;"(D9160,IMPORTRANGE(""https://docs.google.com/spreadsheets/d/14Bd19lYaqBhU8_DElYkX7l4wRkHqqCUFNJY4AfY3kHU/edit?usp=sharing  #gid=0"",""фіз особи new!relations_name_uo""),7,FALSE)
,
)
))"),"ОРЛОВА Тетяна Валентинівна")</f>
        <v>ОРЛОВА Тетяна Валентинівна</v>
      </c>
      <c r="G9159" s="7" t="s">
        <v>10</v>
      </c>
      <c r="H9159" s="7">
        <v>3029</v>
      </c>
      <c r="I9159" s="8" t="str">
        <f ca="1">IFERROR(__xludf.DUMMYFUNCTION("IF
(
G9160=""фізична особа""
,
VLOOKUP(H9160,IMPORTRANGE(""https://docs.google.com/spreadsheets/d/14Bd19lYaqBhU8_DElYkX7l4wRkHqqCUFNJY4AfY3kHU/edit?usp=sharing  #gid=0"",""фіз особи new!relations_name""),6,FALSE)
,
(IF
(
G9160=""юридична особа""
,
VLOOKUP"&amp;"(H9160,IMPORTRANGE(""https://docs.google.com/spreadsheets/d/14Bd19lYaqBhU8_DElYkX7l4wRkHqqCUFNJY4AfY3kHU/edit?usp=sharing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59" s="7" t="s">
        <v>29</v>
      </c>
    </row>
    <row r="9160" spans="1:10" ht="13.2">
      <c r="A9160" s="7">
        <v>9159</v>
      </c>
      <c r="B9160" s="7">
        <v>1</v>
      </c>
      <c r="C9160" s="7" t="s">
        <v>10</v>
      </c>
      <c r="D9160" s="7">
        <v>11041</v>
      </c>
      <c r="E9160" s="7" t="s">
        <v>28</v>
      </c>
      <c r="F9160" s="8" t="str">
        <f ca="1">IFERROR(__xludf.DUMMYFUNCTION("IF
(
C9161=""фізична особа""
,
VLOOKUP(D9161,IMPORTRANGE(""https://docs.google.com/spreadsheets/d/14Bd19lYaqBhU8_DElYkX7l4wRkHqqCUFNJY4AfY3kHU/edit?usp=sharing  #gid=0"",""фіз особи new!relations_name""),6,FALSE)
,
(IF
(
C9161=""юридична особа""
,
VLOOKUP"&amp;"(D9161,IMPORTRANGE(""https://docs.google.com/spreadsheets/d/14Bd19lYaqBhU8_DElYkX7l4wRkHqqCUFNJY4AfY3kHU/edit?usp=sharing  #gid=0"",""фіз особи new!relations_name_uo""),7,FALSE)
,
)
))"),"ТУЛІН Дмитро Євгенович")</f>
        <v>ТУЛІН Дмитро Євгенович</v>
      </c>
      <c r="G9160" s="7" t="s">
        <v>10</v>
      </c>
      <c r="H9160" s="7">
        <v>3029</v>
      </c>
      <c r="I9160" s="8" t="str">
        <f ca="1">IFERROR(__xludf.DUMMYFUNCTION("IF
(
G9161=""фізична особа""
,
VLOOKUP(H9161,IMPORTRANGE(""https://docs.google.com/spreadsheets/d/14Bd19lYaqBhU8_DElYkX7l4wRkHqqCUFNJY4AfY3kHU/edit?usp=sharing  #gid=0"",""фіз особи new!relations_name""),6,FALSE)
,
(IF
(
G9161=""юридична особа""
,
VLOOKUP"&amp;"(H9161,IMPORTRANGE(""https://docs.google.com/spreadsheets/d/14Bd19lYaqBhU8_DElYkX7l4wRkHqqCUFNJY4AfY3kHU/edit?usp=sharing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0" s="7" t="s">
        <v>29</v>
      </c>
    </row>
    <row r="9161" spans="1:10" ht="13.2">
      <c r="A9161" s="7">
        <v>9160</v>
      </c>
      <c r="B9161" s="7">
        <v>1</v>
      </c>
      <c r="C9161" s="7" t="s">
        <v>10</v>
      </c>
      <c r="D9161" s="7">
        <v>11042</v>
      </c>
      <c r="E9161" s="7" t="s">
        <v>28</v>
      </c>
      <c r="F9161" s="8" t="str">
        <f ca="1">IFERROR(__xludf.DUMMYFUNCTION("IF
(
C9162=""фізична особа""
,
VLOOKUP(D9162,IMPORTRANGE(""https://docs.google.com/spreadsheets/d/14Bd19lYaqBhU8_DElYkX7l4wRkHqqCUFNJY4AfY3kHU/edit?usp=sharing  #gid=0"",""фіз особи new!relations_name""),6,FALSE)
,
(IF
(
C9162=""юридична особа""
,
VLOOKUP"&amp;"(D9162,IMPORTRANGE(""https://docs.google.com/spreadsheets/d/14Bd19lYaqBhU8_DElYkX7l4wRkHqqCUFNJY4AfY3kHU/edit?usp=sharing  #gid=0"",""фіз особи new!relations_name_uo""),7,FALSE)
,
)
))"),"ПОДСКРЕБКІНА Христина Андріївна")</f>
        <v>ПОДСКРЕБКІНА Христина Андріївна</v>
      </c>
      <c r="G9161" s="7" t="s">
        <v>10</v>
      </c>
      <c r="H9161" s="7">
        <v>3029</v>
      </c>
      <c r="I9161" s="8" t="str">
        <f ca="1">IFERROR(__xludf.DUMMYFUNCTION("IF
(
G9162=""фізична особа""
,
VLOOKUP(H9162,IMPORTRANGE(""https://docs.google.com/spreadsheets/d/14Bd19lYaqBhU8_DElYkX7l4wRkHqqCUFNJY4AfY3kHU/edit?usp=sharing  #gid=0"",""фіз особи new!relations_name""),6,FALSE)
,
(IF
(
G9162=""юридична особа""
,
VLOOKUP"&amp;"(H9162,IMPORTRANGE(""https://docs.google.com/spreadsheets/d/14Bd19lYaqBhU8_DElYkX7l4wRkHqqCUFNJY4AfY3kHU/edit?usp=sharing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1" s="7" t="s">
        <v>29</v>
      </c>
    </row>
    <row r="9162" spans="1:10" ht="13.2">
      <c r="A9162" s="7">
        <v>9161</v>
      </c>
      <c r="B9162" s="7">
        <v>1</v>
      </c>
      <c r="C9162" s="7" t="s">
        <v>10</v>
      </c>
      <c r="D9162" s="7">
        <v>11043</v>
      </c>
      <c r="E9162" s="7" t="s">
        <v>28</v>
      </c>
      <c r="F9162" s="8" t="str">
        <f ca="1">IFERROR(__xludf.DUMMYFUNCTION("IF
(
C9163=""фізична особа""
,
VLOOKUP(D9163,IMPORTRANGE(""https://docs.google.com/spreadsheets/d/14Bd19lYaqBhU8_DElYkX7l4wRkHqqCUFNJY4AfY3kHU/edit?usp=sharing  #gid=0"",""фіз особи new!relations_name""),6,FALSE)
,
(IF
(
C9163=""юридична особа""
,
VLOOKUP"&amp;"(D9163,IMPORTRANGE(""https://docs.google.com/spreadsheets/d/14Bd19lYaqBhU8_DElYkX7l4wRkHqqCUFNJY4AfY3kHU/edit?usp=sharing  #gid=0"",""фіз особи new!relations_name_uo""),7,FALSE)
,
)
))"),"БОЙКО Ганна Сергіївна")</f>
        <v>БОЙКО Ганна Сергіївна</v>
      </c>
      <c r="G9162" s="7" t="s">
        <v>10</v>
      </c>
      <c r="H9162" s="7">
        <v>3029</v>
      </c>
      <c r="I9162" s="8" t="str">
        <f ca="1">IFERROR(__xludf.DUMMYFUNCTION("IF
(
G9163=""фізична особа""
,
VLOOKUP(H9163,IMPORTRANGE(""https://docs.google.com/spreadsheets/d/14Bd19lYaqBhU8_DElYkX7l4wRkHqqCUFNJY4AfY3kHU/edit?usp=sharing  #gid=0"",""фіз особи new!relations_name""),6,FALSE)
,
(IF
(
G9163=""юридична особа""
,
VLOOKUP"&amp;"(H9163,IMPORTRANGE(""https://docs.google.com/spreadsheets/d/14Bd19lYaqBhU8_DElYkX7l4wRkHqqCUFNJY4AfY3kHU/edit?usp=sharing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2" s="7" t="s">
        <v>29</v>
      </c>
    </row>
    <row r="9163" spans="1:10" ht="13.2">
      <c r="A9163" s="7">
        <v>9162</v>
      </c>
      <c r="B9163" s="7">
        <v>1</v>
      </c>
      <c r="C9163" s="7" t="s">
        <v>10</v>
      </c>
      <c r="D9163" s="7">
        <v>11044</v>
      </c>
      <c r="E9163" s="7" t="s">
        <v>28</v>
      </c>
      <c r="F9163" s="8" t="str">
        <f ca="1">IFERROR(__xludf.DUMMYFUNCTION("IF
(
C9164=""фізична особа""
,
VLOOKUP(D9164,IMPORTRANGE(""https://docs.google.com/spreadsheets/d/14Bd19lYaqBhU8_DElYkX7l4wRkHqqCUFNJY4AfY3kHU/edit?usp=sharing  #gid=0"",""фіз особи new!relations_name""),6,FALSE)
,
(IF
(
C9164=""юридична особа""
,
VLOOKUP"&amp;"(D9164,IMPORTRANGE(""https://docs.google.com/spreadsheets/d/14Bd19lYaqBhU8_DElYkX7l4wRkHqqCUFNJY4AfY3kHU/edit?usp=sharing  #gid=0"",""фіз особи new!relations_name_uo""),7,FALSE)
,
)
))"),"ЛУГОВЦОВА Світлана Валентинівна")</f>
        <v>ЛУГОВЦОВА Світлана Валентинівна</v>
      </c>
      <c r="G9163" s="7" t="s">
        <v>10</v>
      </c>
      <c r="H9163" s="7">
        <v>3029</v>
      </c>
      <c r="I9163" s="8" t="str">
        <f ca="1">IFERROR(__xludf.DUMMYFUNCTION("IF
(
G9164=""фізична особа""
,
VLOOKUP(H9164,IMPORTRANGE(""https://docs.google.com/spreadsheets/d/14Bd19lYaqBhU8_DElYkX7l4wRkHqqCUFNJY4AfY3kHU/edit?usp=sharing  #gid=0"",""фіз особи new!relations_name""),6,FALSE)
,
(IF
(
G9164=""юридична особа""
,
VLOOKUP"&amp;"(H9164,IMPORTRANGE(""https://docs.google.com/spreadsheets/d/14Bd19lYaqBhU8_DElYkX7l4wRkHqqCUFNJY4AfY3kHU/edit?usp=sharing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3" s="7" t="s">
        <v>29</v>
      </c>
    </row>
    <row r="9164" spans="1:10" ht="13.2">
      <c r="A9164" s="7">
        <v>9163</v>
      </c>
      <c r="B9164" s="7">
        <v>1</v>
      </c>
      <c r="C9164" s="7" t="s">
        <v>10</v>
      </c>
      <c r="D9164" s="7">
        <v>11045</v>
      </c>
      <c r="E9164" s="7" t="s">
        <v>28</v>
      </c>
      <c r="F9164" s="8" t="str">
        <f ca="1">IFERROR(__xludf.DUMMYFUNCTION("IF
(
C9165=""фізична особа""
,
VLOOKUP(D9165,IMPORTRANGE(""https://docs.google.com/spreadsheets/d/14Bd19lYaqBhU8_DElYkX7l4wRkHqqCUFNJY4AfY3kHU/edit?usp=sharing  #gid=0"",""фіз особи new!relations_name""),6,FALSE)
,
(IF
(
C9165=""юридична особа""
,
VLOOKUP"&amp;"(D9165,IMPORTRANGE(""https://docs.google.com/spreadsheets/d/14Bd19lYaqBhU8_DElYkX7l4wRkHqqCUFNJY4AfY3kHU/edit?usp=sharing  #gid=0"",""фіз особи new!relations_name_uo""),7,FALSE)
,
)
))"),"РЕБЕКО Олеся Євгенівна")</f>
        <v>РЕБЕКО Олеся Євгенівна</v>
      </c>
      <c r="G9164" s="7" t="s">
        <v>10</v>
      </c>
      <c r="H9164" s="7">
        <v>3029</v>
      </c>
      <c r="I9164" s="8" t="str">
        <f ca="1">IFERROR(__xludf.DUMMYFUNCTION("IF
(
G9165=""фізична особа""
,
VLOOKUP(H9165,IMPORTRANGE(""https://docs.google.com/spreadsheets/d/14Bd19lYaqBhU8_DElYkX7l4wRkHqqCUFNJY4AfY3kHU/edit?usp=sharing  #gid=0"",""фіз особи new!relations_name""),6,FALSE)
,
(IF
(
G9165=""юридична особа""
,
VLOOKUP"&amp;"(H9165,IMPORTRANGE(""https://docs.google.com/spreadsheets/d/14Bd19lYaqBhU8_DElYkX7l4wRkHqqCUFNJY4AfY3kHU/edit?usp=sharing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4" s="7" t="s">
        <v>29</v>
      </c>
    </row>
    <row r="9165" spans="1:10" ht="13.2">
      <c r="A9165" s="7">
        <v>9164</v>
      </c>
      <c r="B9165" s="7">
        <v>1</v>
      </c>
      <c r="C9165" s="7" t="s">
        <v>10</v>
      </c>
      <c r="D9165" s="7">
        <v>11046</v>
      </c>
      <c r="E9165" s="7" t="s">
        <v>28</v>
      </c>
      <c r="F9165" s="8" t="str">
        <f ca="1">IFERROR(__xludf.DUMMYFUNCTION("IF
(
C9166=""фізична особа""
,
VLOOKUP(D9166,IMPORTRANGE(""https://docs.google.com/spreadsheets/d/14Bd19lYaqBhU8_DElYkX7l4wRkHqqCUFNJY4AfY3kHU/edit?usp=sharing  #gid=0"",""фіз особи new!relations_name""),6,FALSE)
,
(IF
(
C9166=""юридична особа""
,
VLOOKUP"&amp;"(D9166,IMPORTRANGE(""https://docs.google.com/spreadsheets/d/14Bd19lYaqBhU8_DElYkX7l4wRkHqqCUFNJY4AfY3kHU/edit?usp=sharing  #gid=0"",""фіз особи new!relations_name_uo""),7,FALSE)
,
)
))"),"КОРЕЛІН Володимир Володимирович")</f>
        <v>КОРЕЛІН Володимир Володимирович</v>
      </c>
      <c r="G9165" s="7" t="s">
        <v>10</v>
      </c>
      <c r="H9165" s="7">
        <v>3029</v>
      </c>
      <c r="I9165" s="8" t="str">
        <f ca="1">IFERROR(__xludf.DUMMYFUNCTION("IF
(
G9166=""фізична особа""
,
VLOOKUP(H9166,IMPORTRANGE(""https://docs.google.com/spreadsheets/d/14Bd19lYaqBhU8_DElYkX7l4wRkHqqCUFNJY4AfY3kHU/edit?usp=sharing  #gid=0"",""фіз особи new!relations_name""),6,FALSE)
,
(IF
(
G9166=""юридична особа""
,
VLOOKUP"&amp;"(H9166,IMPORTRANGE(""https://docs.google.com/spreadsheets/d/14Bd19lYaqBhU8_DElYkX7l4wRkHqqCUFNJY4AfY3kHU/edit?usp=sharing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5" s="7" t="s">
        <v>29</v>
      </c>
    </row>
    <row r="9166" spans="1:10" ht="13.2">
      <c r="A9166" s="7">
        <v>9165</v>
      </c>
      <c r="B9166" s="7">
        <v>1</v>
      </c>
      <c r="C9166" s="7" t="s">
        <v>10</v>
      </c>
      <c r="D9166" s="7">
        <v>11047</v>
      </c>
      <c r="E9166" s="7" t="s">
        <v>28</v>
      </c>
      <c r="F9166" s="8" t="str">
        <f ca="1">IFERROR(__xludf.DUMMYFUNCTION("IF
(
C9167=""фізична особа""
,
VLOOKUP(D9167,IMPORTRANGE(""https://docs.google.com/spreadsheets/d/14Bd19lYaqBhU8_DElYkX7l4wRkHqqCUFNJY4AfY3kHU/edit?usp=sharing  #gid=0"",""фіз особи new!relations_name""),6,FALSE)
,
(IF
(
C9167=""юридична особа""
,
VLOOKUP"&amp;"(D9167,IMPORTRANGE(""https://docs.google.com/spreadsheets/d/14Bd19lYaqBhU8_DElYkX7l4wRkHqqCUFNJY4AfY3kHU/edit?usp=sharing  #gid=0"",""фіз особи new!relations_name_uo""),7,FALSE)
,
)
))"),"ШЕЛЯКОВ Ігор Михайлович")</f>
        <v>ШЕЛЯКОВ Ігор Михайлович</v>
      </c>
      <c r="G9166" s="7" t="s">
        <v>10</v>
      </c>
      <c r="H9166" s="7">
        <v>3029</v>
      </c>
      <c r="I9166" s="8" t="str">
        <f ca="1">IFERROR(__xludf.DUMMYFUNCTION("IF
(
G9167=""фізична особа""
,
VLOOKUP(H9167,IMPORTRANGE(""https://docs.google.com/spreadsheets/d/14Bd19lYaqBhU8_DElYkX7l4wRkHqqCUFNJY4AfY3kHU/edit?usp=sharing  #gid=0"",""фіз особи new!relations_name""),6,FALSE)
,
(IF
(
G9167=""юридична особа""
,
VLOOKUP"&amp;"(H9167,IMPORTRANGE(""https://docs.google.com/spreadsheets/d/14Bd19lYaqBhU8_DElYkX7l4wRkHqqCUFNJY4AfY3kHU/edit?usp=sharing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6" s="7" t="s">
        <v>29</v>
      </c>
    </row>
    <row r="9167" spans="1:10" ht="13.2">
      <c r="A9167" s="7">
        <v>9166</v>
      </c>
      <c r="B9167" s="7">
        <v>1</v>
      </c>
      <c r="C9167" s="7" t="s">
        <v>10</v>
      </c>
      <c r="D9167" s="7">
        <v>11048</v>
      </c>
      <c r="E9167" s="7" t="s">
        <v>28</v>
      </c>
      <c r="F9167" s="8" t="str">
        <f ca="1">IFERROR(__xludf.DUMMYFUNCTION("IF
(
C9168=""фізична особа""
,
VLOOKUP(D9168,IMPORTRANGE(""https://docs.google.com/spreadsheets/d/14Bd19lYaqBhU8_DElYkX7l4wRkHqqCUFNJY4AfY3kHU/edit?usp=sharing  #gid=0"",""фіз особи new!relations_name""),6,FALSE)
,
(IF
(
C9168=""юридична особа""
,
VLOOKUP"&amp;"(D9168,IMPORTRANGE(""https://docs.google.com/spreadsheets/d/14Bd19lYaqBhU8_DElYkX7l4wRkHqqCUFNJY4AfY3kHU/edit?usp=sharing  #gid=0"",""фіз особи new!relations_name_uo""),7,FALSE)
,
)
))"),"КОШЕЛЬ Євгеній Миколайович")</f>
        <v>КОШЕЛЬ Євгеній Миколайович</v>
      </c>
      <c r="G9167" s="7" t="s">
        <v>10</v>
      </c>
      <c r="H9167" s="7">
        <v>3029</v>
      </c>
      <c r="I9167" s="8" t="str">
        <f ca="1">IFERROR(__xludf.DUMMYFUNCTION("IF
(
G9168=""фізична особа""
,
VLOOKUP(H9168,IMPORTRANGE(""https://docs.google.com/spreadsheets/d/14Bd19lYaqBhU8_DElYkX7l4wRkHqqCUFNJY4AfY3kHU/edit?usp=sharing  #gid=0"",""фіз особи new!relations_name""),6,FALSE)
,
(IF
(
G9168=""юридична особа""
,
VLOOKUP"&amp;"(H9168,IMPORTRANGE(""https://docs.google.com/spreadsheets/d/14Bd19lYaqBhU8_DElYkX7l4wRkHqqCUFNJY4AfY3kHU/edit?usp=sharing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7" s="7" t="s">
        <v>29</v>
      </c>
    </row>
    <row r="9168" spans="1:10" ht="13.2">
      <c r="A9168" s="7">
        <v>9167</v>
      </c>
      <c r="B9168" s="7">
        <v>1</v>
      </c>
      <c r="C9168" s="7" t="s">
        <v>10</v>
      </c>
      <c r="D9168" s="7">
        <v>11049</v>
      </c>
      <c r="E9168" s="7" t="s">
        <v>28</v>
      </c>
      <c r="F9168" s="8" t="str">
        <f ca="1">IFERROR(__xludf.DUMMYFUNCTION("IF
(
C9169=""фізична особа""
,
VLOOKUP(D9169,IMPORTRANGE(""https://docs.google.com/spreadsheets/d/14Bd19lYaqBhU8_DElYkX7l4wRkHqqCUFNJY4AfY3kHU/edit?usp=sharing  #gid=0"",""фіз особи new!relations_name""),6,FALSE)
,
(IF
(
C9169=""юридична особа""
,
VLOOKUP"&amp;"(D9169,IMPORTRANGE(""https://docs.google.com/spreadsheets/d/14Bd19lYaqBhU8_DElYkX7l4wRkHqqCUFNJY4AfY3kHU/edit?usp=sharing  #gid=0"",""фіз особи new!relations_name_uo""),7,FALSE)
,
)
))"),"НОВІКОВ Андрій Володимирович")</f>
        <v>НОВІКОВ Андрій Володимирович</v>
      </c>
      <c r="G9168" s="7" t="s">
        <v>10</v>
      </c>
      <c r="H9168" s="7">
        <v>3029</v>
      </c>
      <c r="I9168" s="8" t="str">
        <f ca="1">IFERROR(__xludf.DUMMYFUNCTION("IF
(
G9169=""фізична особа""
,
VLOOKUP(H9169,IMPORTRANGE(""https://docs.google.com/spreadsheets/d/14Bd19lYaqBhU8_DElYkX7l4wRkHqqCUFNJY4AfY3kHU/edit?usp=sharing  #gid=0"",""фіз особи new!relations_name""),6,FALSE)
,
(IF
(
G9169=""юридична особа""
,
VLOOKUP"&amp;"(H9169,IMPORTRANGE(""https://docs.google.com/spreadsheets/d/14Bd19lYaqBhU8_DElYkX7l4wRkHqqCUFNJY4AfY3kHU/edit?usp=sharing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8" s="7" t="s">
        <v>29</v>
      </c>
    </row>
    <row r="9169" spans="1:10" ht="13.2">
      <c r="A9169" s="7">
        <v>9168</v>
      </c>
      <c r="B9169" s="7">
        <v>1</v>
      </c>
      <c r="C9169" s="7" t="s">
        <v>10</v>
      </c>
      <c r="D9169" s="7">
        <v>11050</v>
      </c>
      <c r="E9169" s="7" t="s">
        <v>28</v>
      </c>
      <c r="F9169" s="8" t="str">
        <f ca="1">IFERROR(__xludf.DUMMYFUNCTION("IF
(
C9170=""фізична особа""
,
VLOOKUP(D9170,IMPORTRANGE(""https://docs.google.com/spreadsheets/d/14Bd19lYaqBhU8_DElYkX7l4wRkHqqCUFNJY4AfY3kHU/edit?usp=sharing  #gid=0"",""фіз особи new!relations_name""),6,FALSE)
,
(IF
(
C9170=""юридична особа""
,
VLOOKUP"&amp;"(D9170,IMPORTRANGE(""https://docs.google.com/spreadsheets/d/14Bd19lYaqBhU8_DElYkX7l4wRkHqqCUFNJY4AfY3kHU/edit?usp=sharing  #gid=0"",""фіз особи new!relations_name_uo""),7,FALSE)
,
)
))"),"САРИГІН Олексій Олександрович")</f>
        <v>САРИГІН Олексій Олександрович</v>
      </c>
      <c r="G9169" s="7" t="s">
        <v>10</v>
      </c>
      <c r="H9169" s="7">
        <v>3029</v>
      </c>
      <c r="I9169" s="8" t="str">
        <f ca="1">IFERROR(__xludf.DUMMYFUNCTION("IF
(
G9170=""фізична особа""
,
VLOOKUP(H9170,IMPORTRANGE(""https://docs.google.com/spreadsheets/d/14Bd19lYaqBhU8_DElYkX7l4wRkHqqCUFNJY4AfY3kHU/edit?usp=sharing  #gid=0"",""фіз особи new!relations_name""),6,FALSE)
,
(IF
(
G9170=""юридична особа""
,
VLOOKUP"&amp;"(H9170,IMPORTRANGE(""https://docs.google.com/spreadsheets/d/14Bd19lYaqBhU8_DElYkX7l4wRkHqqCUFNJY4AfY3kHU/edit?usp=sharing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69" s="7" t="s">
        <v>29</v>
      </c>
    </row>
    <row r="9170" spans="1:10" ht="13.2">
      <c r="A9170" s="7">
        <v>9169</v>
      </c>
      <c r="B9170" s="7">
        <v>1</v>
      </c>
      <c r="C9170" s="7" t="s">
        <v>10</v>
      </c>
      <c r="D9170" s="7">
        <v>11051</v>
      </c>
      <c r="E9170" s="7" t="s">
        <v>28</v>
      </c>
      <c r="F9170" s="8" t="str">
        <f ca="1">IFERROR(__xludf.DUMMYFUNCTION("IF
(
C9171=""фізична особа""
,
VLOOKUP(D9171,IMPORTRANGE(""https://docs.google.com/spreadsheets/d/14Bd19lYaqBhU8_DElYkX7l4wRkHqqCUFNJY4AfY3kHU/edit?usp=sharing  #gid=0"",""фіз особи new!relations_name""),6,FALSE)
,
(IF
(
C9171=""юридична особа""
,
VLOOKUP"&amp;"(D9171,IMPORTRANGE(""https://docs.google.com/spreadsheets/d/14Bd19lYaqBhU8_DElYkX7l4wRkHqqCUFNJY4AfY3kHU/edit?usp=sharing  #gid=0"",""фіз особи new!relations_name_uo""),7,FALSE)
,
)
))"),"КУКСЕНКО Людмила Петрівна")</f>
        <v>КУКСЕНКО Людмила Петрівна</v>
      </c>
      <c r="G9170" s="7" t="s">
        <v>10</v>
      </c>
      <c r="H9170" s="7">
        <v>3029</v>
      </c>
      <c r="I9170" s="8" t="str">
        <f ca="1">IFERROR(__xludf.DUMMYFUNCTION("IF
(
G9171=""фізична особа""
,
VLOOKUP(H9171,IMPORTRANGE(""https://docs.google.com/spreadsheets/d/14Bd19lYaqBhU8_DElYkX7l4wRkHqqCUFNJY4AfY3kHU/edit?usp=sharing  #gid=0"",""фіз особи new!relations_name""),6,FALSE)
,
(IF
(
G9171=""юридична особа""
,
VLOOKUP"&amp;"(H9171,IMPORTRANGE(""https://docs.google.com/spreadsheets/d/14Bd19lYaqBhU8_DElYkX7l4wRkHqqCUFNJY4AfY3kHU/edit?usp=sharing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0" s="7" t="s">
        <v>29</v>
      </c>
    </row>
    <row r="9171" spans="1:10" ht="13.2">
      <c r="A9171" s="7">
        <v>9170</v>
      </c>
      <c r="B9171" s="7">
        <v>1</v>
      </c>
      <c r="C9171" s="7" t="s">
        <v>10</v>
      </c>
      <c r="D9171" s="7">
        <v>11052</v>
      </c>
      <c r="E9171" s="7" t="s">
        <v>28</v>
      </c>
      <c r="F9171" s="8" t="str">
        <f ca="1">IFERROR(__xludf.DUMMYFUNCTION("IF
(
C9172=""фізична особа""
,
VLOOKUP(D9172,IMPORTRANGE(""https://docs.google.com/spreadsheets/d/14Bd19lYaqBhU8_DElYkX7l4wRkHqqCUFNJY4AfY3kHU/edit?usp=sharing  #gid=0"",""фіз особи new!relations_name""),6,FALSE)
,
(IF
(
C9172=""юридична особа""
,
VLOOKUP"&amp;"(D9172,IMPORTRANGE(""https://docs.google.com/spreadsheets/d/14Bd19lYaqBhU8_DElYkX7l4wRkHqqCUFNJY4AfY3kHU/edit?usp=sharing  #gid=0"",""фіз особи new!relations_name_uo""),7,FALSE)
,
)
))"),"ДЕМ'ЯНЕНКО Марія Володимирівна")</f>
        <v>ДЕМ'ЯНЕНКО Марія Володимирівна</v>
      </c>
      <c r="G9171" s="7" t="s">
        <v>10</v>
      </c>
      <c r="H9171" s="7">
        <v>3029</v>
      </c>
      <c r="I9171" s="8" t="str">
        <f ca="1">IFERROR(__xludf.DUMMYFUNCTION("IF
(
G9172=""фізична особа""
,
VLOOKUP(H9172,IMPORTRANGE(""https://docs.google.com/spreadsheets/d/14Bd19lYaqBhU8_DElYkX7l4wRkHqqCUFNJY4AfY3kHU/edit?usp=sharing  #gid=0"",""фіз особи new!relations_name""),6,FALSE)
,
(IF
(
G9172=""юридична особа""
,
VLOOKUP"&amp;"(H9172,IMPORTRANGE(""https://docs.google.com/spreadsheets/d/14Bd19lYaqBhU8_DElYkX7l4wRkHqqCUFNJY4AfY3kHU/edit?usp=sharing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1" s="7" t="s">
        <v>29</v>
      </c>
    </row>
    <row r="9172" spans="1:10" ht="13.2">
      <c r="A9172" s="7">
        <v>9171</v>
      </c>
      <c r="B9172" s="7">
        <v>1</v>
      </c>
      <c r="C9172" s="7" t="s">
        <v>10</v>
      </c>
      <c r="D9172" s="7">
        <v>11053</v>
      </c>
      <c r="E9172" s="7" t="s">
        <v>28</v>
      </c>
      <c r="F9172" s="8" t="str">
        <f ca="1">IFERROR(__xludf.DUMMYFUNCTION("IF
(
C9173=""фізична особа""
,
VLOOKUP(D9173,IMPORTRANGE(""https://docs.google.com/spreadsheets/d/14Bd19lYaqBhU8_DElYkX7l4wRkHqqCUFNJY4AfY3kHU/edit?usp=sharing  #gid=0"",""фіз особи new!relations_name""),6,FALSE)
,
(IF
(
C9173=""юридична особа""
,
VLOOKUP"&amp;"(D9173,IMPORTRANGE(""https://docs.google.com/spreadsheets/d/14Bd19lYaqBhU8_DElYkX7l4wRkHqqCUFNJY4AfY3kHU/edit?usp=sharing  #gid=0"",""фіз особи new!relations_name_uo""),7,FALSE)
,
)
))"),"АХРОМЧЕНКОВА Ірина Федорівна")</f>
        <v>АХРОМЧЕНКОВА Ірина Федорівна</v>
      </c>
      <c r="G9172" s="7" t="s">
        <v>10</v>
      </c>
      <c r="H9172" s="7">
        <v>3029</v>
      </c>
      <c r="I9172" s="8" t="str">
        <f ca="1">IFERROR(__xludf.DUMMYFUNCTION("IF
(
G9173=""фізична особа""
,
VLOOKUP(H9173,IMPORTRANGE(""https://docs.google.com/spreadsheets/d/14Bd19lYaqBhU8_DElYkX7l4wRkHqqCUFNJY4AfY3kHU/edit?usp=sharing  #gid=0"",""фіз особи new!relations_name""),6,FALSE)
,
(IF
(
G9173=""юридична особа""
,
VLOOKUP"&amp;"(H9173,IMPORTRANGE(""https://docs.google.com/spreadsheets/d/14Bd19lYaqBhU8_DElYkX7l4wRkHqqCUFNJY4AfY3kHU/edit?usp=sharing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2" s="7" t="s">
        <v>29</v>
      </c>
    </row>
    <row r="9173" spans="1:10" ht="13.2">
      <c r="A9173" s="7">
        <v>9172</v>
      </c>
      <c r="B9173" s="7">
        <v>1</v>
      </c>
      <c r="C9173" s="7" t="s">
        <v>10</v>
      </c>
      <c r="D9173" s="7">
        <v>11054</v>
      </c>
      <c r="E9173" s="7" t="s">
        <v>28</v>
      </c>
      <c r="F9173" s="8" t="str">
        <f ca="1">IFERROR(__xludf.DUMMYFUNCTION("IF
(
C9174=""фізична особа""
,
VLOOKUP(D9174,IMPORTRANGE(""https://docs.google.com/spreadsheets/d/14Bd19lYaqBhU8_DElYkX7l4wRkHqqCUFNJY4AfY3kHU/edit?usp=sharing  #gid=0"",""фіз особи new!relations_name""),6,FALSE)
,
(IF
(
C9174=""юридична особа""
,
VLOOKUP"&amp;"(D9174,IMPORTRANGE(""https://docs.google.com/spreadsheets/d/14Bd19lYaqBhU8_DElYkX7l4wRkHqqCUFNJY4AfY3kHU/edit?usp=sharing  #gid=0"",""фіз особи new!relations_name_uo""),7,FALSE)
,
)
))"),"КОМОВА Світлана Миколаївна")</f>
        <v>КОМОВА Світлана Миколаївна</v>
      </c>
      <c r="G9173" s="7" t="s">
        <v>10</v>
      </c>
      <c r="H9173" s="7">
        <v>3029</v>
      </c>
      <c r="I9173" s="8" t="str">
        <f ca="1">IFERROR(__xludf.DUMMYFUNCTION("IF
(
G9174=""фізична особа""
,
VLOOKUP(H9174,IMPORTRANGE(""https://docs.google.com/spreadsheets/d/14Bd19lYaqBhU8_DElYkX7l4wRkHqqCUFNJY4AfY3kHU/edit?usp=sharing  #gid=0"",""фіз особи new!relations_name""),6,FALSE)
,
(IF
(
G9174=""юридична особа""
,
VLOOKUP"&amp;"(H9174,IMPORTRANGE(""https://docs.google.com/spreadsheets/d/14Bd19lYaqBhU8_DElYkX7l4wRkHqqCUFNJY4AfY3kHU/edit?usp=sharing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3" s="7" t="s">
        <v>29</v>
      </c>
    </row>
    <row r="9174" spans="1:10" ht="13.2">
      <c r="A9174" s="7">
        <v>9173</v>
      </c>
      <c r="B9174" s="7">
        <v>1</v>
      </c>
      <c r="C9174" s="7" t="s">
        <v>10</v>
      </c>
      <c r="D9174" s="7">
        <v>11055</v>
      </c>
      <c r="E9174" s="7" t="s">
        <v>28</v>
      </c>
      <c r="F9174" s="8" t="str">
        <f ca="1">IFERROR(__xludf.DUMMYFUNCTION("IF
(
C9175=""фізична особа""
,
VLOOKUP(D9175,IMPORTRANGE(""https://docs.google.com/spreadsheets/d/14Bd19lYaqBhU8_DElYkX7l4wRkHqqCUFNJY4AfY3kHU/edit?usp=sharing  #gid=0"",""фіз особи new!relations_name""),6,FALSE)
,
(IF
(
C9175=""юридична особа""
,
VLOOKUP"&amp;"(D9175,IMPORTRANGE(""https://docs.google.com/spreadsheets/d/14Bd19lYaqBhU8_DElYkX7l4wRkHqqCUFNJY4AfY3kHU/edit?usp=sharing  #gid=0"",""фіз особи new!relations_name_uo""),7,FALSE)
,
)
))"),"ТРУБІЦИН Олександр Миколайович")</f>
        <v>ТРУБІЦИН Олександр Миколайович</v>
      </c>
      <c r="G9174" s="7" t="s">
        <v>10</v>
      </c>
      <c r="H9174" s="7">
        <v>3029</v>
      </c>
      <c r="I9174" s="8" t="str">
        <f ca="1">IFERROR(__xludf.DUMMYFUNCTION("IF
(
G9175=""фізична особа""
,
VLOOKUP(H9175,IMPORTRANGE(""https://docs.google.com/spreadsheets/d/14Bd19lYaqBhU8_DElYkX7l4wRkHqqCUFNJY4AfY3kHU/edit?usp=sharing  #gid=0"",""фіз особи new!relations_name""),6,FALSE)
,
(IF
(
G9175=""юридична особа""
,
VLOOKUP"&amp;"(H9175,IMPORTRANGE(""https://docs.google.com/spreadsheets/d/14Bd19lYaqBhU8_DElYkX7l4wRkHqqCUFNJY4AfY3kHU/edit?usp=sharing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4" s="7" t="s">
        <v>29</v>
      </c>
    </row>
    <row r="9175" spans="1:10" ht="13.2">
      <c r="A9175" s="7">
        <v>9174</v>
      </c>
      <c r="B9175" s="7">
        <v>1</v>
      </c>
      <c r="C9175" s="7" t="s">
        <v>10</v>
      </c>
      <c r="D9175" s="7">
        <v>11056</v>
      </c>
      <c r="E9175" s="7" t="s">
        <v>28</v>
      </c>
      <c r="F9175" s="8" t="str">
        <f ca="1">IFERROR(__xludf.DUMMYFUNCTION("IF
(
C9176=""фізична особа""
,
VLOOKUP(D9176,IMPORTRANGE(""https://docs.google.com/spreadsheets/d/14Bd19lYaqBhU8_DElYkX7l4wRkHqqCUFNJY4AfY3kHU/edit?usp=sharing  #gid=0"",""фіз особи new!relations_name""),6,FALSE)
,
(IF
(
C9176=""юридична особа""
,
VLOOKUP"&amp;"(D9176,IMPORTRANGE(""https://docs.google.com/spreadsheets/d/14Bd19lYaqBhU8_DElYkX7l4wRkHqqCUFNJY4AfY3kHU/edit?usp=sharing  #gid=0"",""фіз особи new!relations_name_uo""),7,FALSE)
,
)
))"),"КАЦУРА Надія Георгіївна")</f>
        <v>КАЦУРА Надія Георгіївна</v>
      </c>
      <c r="G9175" s="7" t="s">
        <v>10</v>
      </c>
      <c r="H9175" s="7">
        <v>3029</v>
      </c>
      <c r="I9175" s="8" t="str">
        <f ca="1">IFERROR(__xludf.DUMMYFUNCTION("IF
(
G9176=""фізична особа""
,
VLOOKUP(H9176,IMPORTRANGE(""https://docs.google.com/spreadsheets/d/14Bd19lYaqBhU8_DElYkX7l4wRkHqqCUFNJY4AfY3kHU/edit?usp=sharing  #gid=0"",""фіз особи new!relations_name""),6,FALSE)
,
(IF
(
G9176=""юридична особа""
,
VLOOKUP"&amp;"(H9176,IMPORTRANGE(""https://docs.google.com/spreadsheets/d/14Bd19lYaqBhU8_DElYkX7l4wRkHqqCUFNJY4AfY3kHU/edit?usp=sharing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5" s="7" t="s">
        <v>29</v>
      </c>
    </row>
    <row r="9176" spans="1:10" ht="13.2">
      <c r="A9176" s="7">
        <v>9175</v>
      </c>
      <c r="B9176" s="7">
        <v>1</v>
      </c>
      <c r="C9176" s="7" t="s">
        <v>10</v>
      </c>
      <c r="D9176" s="7">
        <v>11057</v>
      </c>
      <c r="E9176" s="7" t="s">
        <v>28</v>
      </c>
      <c r="F9176" s="8" t="str">
        <f ca="1">IFERROR(__xludf.DUMMYFUNCTION("IF
(
C9177=""фізична особа""
,
VLOOKUP(D9177,IMPORTRANGE(""https://docs.google.com/spreadsheets/d/14Bd19lYaqBhU8_DElYkX7l4wRkHqqCUFNJY4AfY3kHU/edit?usp=sharing  #gid=0"",""фіз особи new!relations_name""),6,FALSE)
,
(IF
(
C9177=""юридична особа""
,
VLOOKUP"&amp;"(D9177,IMPORTRANGE(""https://docs.google.com/spreadsheets/d/14Bd19lYaqBhU8_DElYkX7l4wRkHqqCUFNJY4AfY3kHU/edit?usp=sharing  #gid=0"",""фіз особи new!relations_name_uo""),7,FALSE)
,
)
))"),"УСЕЙКІН Андрій Казимирович")</f>
        <v>УСЕЙКІН Андрій Казимирович</v>
      </c>
      <c r="G9176" s="7" t="s">
        <v>10</v>
      </c>
      <c r="H9176" s="7">
        <v>3029</v>
      </c>
      <c r="I9176" s="8" t="str">
        <f ca="1">IFERROR(__xludf.DUMMYFUNCTION("IF
(
G9177=""фізична особа""
,
VLOOKUP(H9177,IMPORTRANGE(""https://docs.google.com/spreadsheets/d/14Bd19lYaqBhU8_DElYkX7l4wRkHqqCUFNJY4AfY3kHU/edit?usp=sharing  #gid=0"",""фіз особи new!relations_name""),6,FALSE)
,
(IF
(
G9177=""юридична особа""
,
VLOOKUP"&amp;"(H9177,IMPORTRANGE(""https://docs.google.com/spreadsheets/d/14Bd19lYaqBhU8_DElYkX7l4wRkHqqCUFNJY4AfY3kHU/edit?usp=sharing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6" s="7" t="s">
        <v>29</v>
      </c>
    </row>
    <row r="9177" spans="1:10" ht="13.2">
      <c r="A9177" s="7">
        <v>9176</v>
      </c>
      <c r="B9177" s="7">
        <v>1</v>
      </c>
      <c r="C9177" s="7" t="s">
        <v>10</v>
      </c>
      <c r="D9177" s="7">
        <v>11058</v>
      </c>
      <c r="E9177" s="7" t="s">
        <v>28</v>
      </c>
      <c r="F9177" s="8" t="str">
        <f ca="1">IFERROR(__xludf.DUMMYFUNCTION("IF
(
C9178=""фізична особа""
,
VLOOKUP(D9178,IMPORTRANGE(""https://docs.google.com/spreadsheets/d/14Bd19lYaqBhU8_DElYkX7l4wRkHqqCUFNJY4AfY3kHU/edit?usp=sharing  #gid=0"",""фіз особи new!relations_name""),6,FALSE)
,
(IF
(
C9178=""юридична особа""
,
VLOOKUP"&amp;"(D9178,IMPORTRANGE(""https://docs.google.com/spreadsheets/d/14Bd19lYaqBhU8_DElYkX7l4wRkHqqCUFNJY4AfY3kHU/edit?usp=sharing  #gid=0"",""фіз особи new!relations_name_uo""),7,FALSE)
,
)
))"),"ШУРИГІНА Тетяна Олексіївна")</f>
        <v>ШУРИГІНА Тетяна Олексіївна</v>
      </c>
      <c r="G9177" s="7" t="s">
        <v>10</v>
      </c>
      <c r="H9177" s="7">
        <v>3029</v>
      </c>
      <c r="I9177" s="8" t="str">
        <f ca="1">IFERROR(__xludf.DUMMYFUNCTION("IF
(
G9178=""фізична особа""
,
VLOOKUP(H9178,IMPORTRANGE(""https://docs.google.com/spreadsheets/d/14Bd19lYaqBhU8_DElYkX7l4wRkHqqCUFNJY4AfY3kHU/edit?usp=sharing  #gid=0"",""фіз особи new!relations_name""),6,FALSE)
,
(IF
(
G9178=""юридична особа""
,
VLOOKUP"&amp;"(H9178,IMPORTRANGE(""https://docs.google.com/spreadsheets/d/14Bd19lYaqBhU8_DElYkX7l4wRkHqqCUFNJY4AfY3kHU/edit?usp=sharing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7" s="7" t="s">
        <v>29</v>
      </c>
    </row>
    <row r="9178" spans="1:10" ht="13.2">
      <c r="A9178" s="7">
        <v>9177</v>
      </c>
      <c r="B9178" s="7">
        <v>1</v>
      </c>
      <c r="C9178" s="7" t="s">
        <v>10</v>
      </c>
      <c r="D9178" s="7">
        <v>11059</v>
      </c>
      <c r="E9178" s="7" t="s">
        <v>28</v>
      </c>
      <c r="F9178" s="8" t="str">
        <f ca="1">IFERROR(__xludf.DUMMYFUNCTION("IF
(
C9179=""фізична особа""
,
VLOOKUP(D9179,IMPORTRANGE(""https://docs.google.com/spreadsheets/d/14Bd19lYaqBhU8_DElYkX7l4wRkHqqCUFNJY4AfY3kHU/edit?usp=sharing  #gid=0"",""фіз особи new!relations_name""),6,FALSE)
,
(IF
(
C9179=""юридична особа""
,
VLOOKUP"&amp;"(D9179,IMPORTRANGE(""https://docs.google.com/spreadsheets/d/14Bd19lYaqBhU8_DElYkX7l4wRkHqqCUFNJY4AfY3kHU/edit?usp=sharing  #gid=0"",""фіз особи new!relations_name_uo""),7,FALSE)
,
)
))"),"ЄЛЬЦОВ Микола Сергійович")</f>
        <v>ЄЛЬЦОВ Микола Сергійович</v>
      </c>
      <c r="G9178" s="7" t="s">
        <v>10</v>
      </c>
      <c r="H9178" s="7">
        <v>3029</v>
      </c>
      <c r="I9178" s="8" t="str">
        <f ca="1">IFERROR(__xludf.DUMMYFUNCTION("IF
(
G9179=""фізична особа""
,
VLOOKUP(H9179,IMPORTRANGE(""https://docs.google.com/spreadsheets/d/14Bd19lYaqBhU8_DElYkX7l4wRkHqqCUFNJY4AfY3kHU/edit?usp=sharing  #gid=0"",""фіз особи new!relations_name""),6,FALSE)
,
(IF
(
G9179=""юридична особа""
,
VLOOKUP"&amp;"(H9179,IMPORTRANGE(""https://docs.google.com/spreadsheets/d/14Bd19lYaqBhU8_DElYkX7l4wRkHqqCUFNJY4AfY3kHU/edit?usp=sharing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8" s="7" t="s">
        <v>29</v>
      </c>
    </row>
    <row r="9179" spans="1:10" ht="13.2">
      <c r="A9179" s="7">
        <v>9178</v>
      </c>
      <c r="B9179" s="7">
        <v>1</v>
      </c>
      <c r="C9179" s="7" t="s">
        <v>10</v>
      </c>
      <c r="D9179" s="7">
        <v>11060</v>
      </c>
      <c r="E9179" s="7" t="s">
        <v>28</v>
      </c>
      <c r="F9179" s="8" t="str">
        <f ca="1">IFERROR(__xludf.DUMMYFUNCTION("IF
(
C9180=""фізична особа""
,
VLOOKUP(D9180,IMPORTRANGE(""https://docs.google.com/spreadsheets/d/14Bd19lYaqBhU8_DElYkX7l4wRkHqqCUFNJY4AfY3kHU/edit?usp=sharing  #gid=0"",""фіз особи new!relations_name""),6,FALSE)
,
(IF
(
C9180=""юридична особа""
,
VLOOKUP"&amp;"(D9180,IMPORTRANGE(""https://docs.google.com/spreadsheets/d/14Bd19lYaqBhU8_DElYkX7l4wRkHqqCUFNJY4AfY3kHU/edit?usp=sharing  #gid=0"",""фіз особи new!relations_name_uo""),7,FALSE)
,
)
))"),"ФРОЛОВ Микола Миколайович")</f>
        <v>ФРОЛОВ Микола Миколайович</v>
      </c>
      <c r="G9179" s="7" t="s">
        <v>10</v>
      </c>
      <c r="H9179" s="7">
        <v>3029</v>
      </c>
      <c r="I9179" s="8" t="str">
        <f ca="1">IFERROR(__xludf.DUMMYFUNCTION("IF
(
G9180=""фізична особа""
,
VLOOKUP(H9180,IMPORTRANGE(""https://docs.google.com/spreadsheets/d/14Bd19lYaqBhU8_DElYkX7l4wRkHqqCUFNJY4AfY3kHU/edit?usp=sharing  #gid=0"",""фіз особи new!relations_name""),6,FALSE)
,
(IF
(
G9180=""юридична особа""
,
VLOOKUP"&amp;"(H9180,IMPORTRANGE(""https://docs.google.com/spreadsheets/d/14Bd19lYaqBhU8_DElYkX7l4wRkHqqCUFNJY4AfY3kHU/edit?usp=sharing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79" s="7" t="s">
        <v>29</v>
      </c>
    </row>
    <row r="9180" spans="1:10" ht="13.2">
      <c r="A9180" s="7">
        <v>9179</v>
      </c>
      <c r="B9180" s="7">
        <v>1</v>
      </c>
      <c r="C9180" s="7" t="s">
        <v>10</v>
      </c>
      <c r="D9180" s="7">
        <v>11061</v>
      </c>
      <c r="E9180" s="7" t="s">
        <v>28</v>
      </c>
      <c r="F9180" s="8" t="str">
        <f ca="1">IFERROR(__xludf.DUMMYFUNCTION("IF
(
C9181=""фізична особа""
,
VLOOKUP(D9181,IMPORTRANGE(""https://docs.google.com/spreadsheets/d/14Bd19lYaqBhU8_DElYkX7l4wRkHqqCUFNJY4AfY3kHU/edit?usp=sharing  #gid=0"",""фіз особи new!relations_name""),6,FALSE)
,
(IF
(
C9181=""юридична особа""
,
VLOOKUP"&amp;"(D9181,IMPORTRANGE(""https://docs.google.com/spreadsheets/d/14Bd19lYaqBhU8_DElYkX7l4wRkHqqCUFNJY4AfY3kHU/edit?usp=sharing  #gid=0"",""фіз особи new!relations_name_uo""),7,FALSE)
,
)
))"),"КАЛМИКОВА Світлана Валеріївна")</f>
        <v>КАЛМИКОВА Світлана Валеріївна</v>
      </c>
      <c r="G9180" s="7" t="s">
        <v>10</v>
      </c>
      <c r="H9180" s="7">
        <v>3029</v>
      </c>
      <c r="I9180" s="8" t="str">
        <f ca="1">IFERROR(__xludf.DUMMYFUNCTION("IF
(
G9181=""фізична особа""
,
VLOOKUP(H9181,IMPORTRANGE(""https://docs.google.com/spreadsheets/d/14Bd19lYaqBhU8_DElYkX7l4wRkHqqCUFNJY4AfY3kHU/edit?usp=sharing  #gid=0"",""фіз особи new!relations_name""),6,FALSE)
,
(IF
(
G9181=""юридична особа""
,
VLOOKUP"&amp;"(H9181,IMPORTRANGE(""https://docs.google.com/spreadsheets/d/14Bd19lYaqBhU8_DElYkX7l4wRkHqqCUFNJY4AfY3kHU/edit?usp=sharing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80" s="7" t="s">
        <v>29</v>
      </c>
    </row>
    <row r="9181" spans="1:10" ht="13.2">
      <c r="A9181" s="7">
        <v>9180</v>
      </c>
      <c r="B9181" s="7">
        <v>1</v>
      </c>
      <c r="C9181" s="7" t="s">
        <v>10</v>
      </c>
      <c r="D9181" s="7">
        <v>11062</v>
      </c>
      <c r="E9181" s="7" t="s">
        <v>28</v>
      </c>
      <c r="F9181" s="8" t="str">
        <f ca="1">IFERROR(__xludf.DUMMYFUNCTION("IF
(
C9182=""фізична особа""
,
VLOOKUP(D9182,IMPORTRANGE(""https://docs.google.com/spreadsheets/d/14Bd19lYaqBhU8_DElYkX7l4wRkHqqCUFNJY4AfY3kHU/edit?usp=sharing  #gid=0"",""фіз особи new!relations_name""),6,FALSE)
,
(IF
(
C9182=""юридична особа""
,
VLOOKUP"&amp;"(D9182,IMPORTRANGE(""https://docs.google.com/spreadsheets/d/14Bd19lYaqBhU8_DElYkX7l4wRkHqqCUFNJY4AfY3kHU/edit?usp=sharing  #gid=0"",""фіз особи new!relations_name_uo""),7,FALSE)
,
)
))"),"ГАЛЄЄВА Олена Олександрівна")</f>
        <v>ГАЛЄЄВА Олена Олександрівна</v>
      </c>
      <c r="G9181" s="7" t="s">
        <v>10</v>
      </c>
      <c r="H9181" s="7">
        <v>3029</v>
      </c>
      <c r="I9181" s="8" t="str">
        <f ca="1">IFERROR(__xludf.DUMMYFUNCTION("IF
(
G9182=""фізична особа""
,
VLOOKUP(H9182,IMPORTRANGE(""https://docs.google.com/spreadsheets/d/14Bd19lYaqBhU8_DElYkX7l4wRkHqqCUFNJY4AfY3kHU/edit?usp=sharing  #gid=0"",""фіз особи new!relations_name""),6,FALSE)
,
(IF
(
G9182=""юридична особа""
,
VLOOKUP"&amp;"(H9182,IMPORTRANGE(""https://docs.google.com/spreadsheets/d/14Bd19lYaqBhU8_DElYkX7l4wRkHqqCUFNJY4AfY3kHU/edit?usp=sharing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81" s="7" t="s">
        <v>29</v>
      </c>
    </row>
    <row r="9182" spans="1:10" ht="13.2">
      <c r="A9182" s="7">
        <v>9181</v>
      </c>
      <c r="B9182" s="7">
        <v>1</v>
      </c>
      <c r="C9182" s="7" t="s">
        <v>10</v>
      </c>
      <c r="D9182" s="7">
        <v>11063</v>
      </c>
      <c r="E9182" s="7" t="s">
        <v>28</v>
      </c>
      <c r="F9182" s="8" t="str">
        <f ca="1">IFERROR(__xludf.DUMMYFUNCTION("IF
(
C9183=""фізична особа""
,
VLOOKUP(D9183,IMPORTRANGE(""https://docs.google.com/spreadsheets/d/14Bd19lYaqBhU8_DElYkX7l4wRkHqqCUFNJY4AfY3kHU/edit?usp=sharing  #gid=0"",""фіз особи new!relations_name""),6,FALSE)
,
(IF
(
C9183=""юридична особа""
,
VLOOKUP"&amp;"(D9183,IMPORTRANGE(""https://docs.google.com/spreadsheets/d/14Bd19lYaqBhU8_DElYkX7l4wRkHqqCUFNJY4AfY3kHU/edit?usp=sharing  #gid=0"",""фіз особи new!relations_name_uo""),7,FALSE)
,
)
))"),"КАЛИНКІНА Олеся Геннадіївна")</f>
        <v>КАЛИНКІНА Олеся Геннадіївна</v>
      </c>
      <c r="G9182" s="7" t="s">
        <v>10</v>
      </c>
      <c r="H9182" s="7">
        <v>3029</v>
      </c>
      <c r="I9182" s="8" t="str">
        <f ca="1">IFERROR(__xludf.DUMMYFUNCTION("IF
(
G9183=""фізична особа""
,
VLOOKUP(H9183,IMPORTRANGE(""https://docs.google.com/spreadsheets/d/14Bd19lYaqBhU8_DElYkX7l4wRkHqqCUFNJY4AfY3kHU/edit?usp=sharing  #gid=0"",""фіз особи new!relations_name""),6,FALSE)
,
(IF
(
G9183=""юридична особа""
,
VLOOKUP"&amp;"(H9183,IMPORTRANGE(""https://docs.google.com/spreadsheets/d/14Bd19lYaqBhU8_DElYkX7l4wRkHqqCUFNJY4AfY3kHU/edit?usp=sharing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9182" s="7" t="s">
        <v>29</v>
      </c>
    </row>
    <row r="9183" spans="1:10" ht="13.2">
      <c r="A9183" s="7">
        <v>9182</v>
      </c>
      <c r="B9183" s="7">
        <v>1</v>
      </c>
      <c r="C9183" s="7" t="s">
        <v>10</v>
      </c>
      <c r="D9183" s="7">
        <v>11064</v>
      </c>
      <c r="E9183" s="7" t="s">
        <v>28</v>
      </c>
      <c r="F9183" s="8" t="str">
        <f ca="1">IFERROR(__xludf.DUMMYFUNCTION("IF
(
C9184=""фізична особа""
,
VLOOKUP(D9184,IMPORTRANGE(""https://docs.google.com/spreadsheets/d/14Bd19lYaqBhU8_DElYkX7l4wRkHqqCUFNJY4AfY3kHU/edit?usp=sharing  #gid=0"",""фіз особи new!relations_name""),6,FALSE)
,
(IF
(
C9184=""юридична особа""
,
VLOOKUP"&amp;"(D9184,IMPORTRANGE(""https://docs.google.com/spreadsheets/d/14Bd19lYaqBhU8_DElYkX7l4wRkHqqCUFNJY4AfY3kHU/edit?usp=sharing  #gid=0"",""фіз особи new!relations_name_uo""),7,FALSE)
,
)
))"),"СИТНІКОВА Ольга Валеріївна")</f>
        <v>СИТНІКОВА Ольга Валеріївна</v>
      </c>
      <c r="G9183" s="7" t="s">
        <v>10</v>
      </c>
      <c r="H9183" s="7">
        <v>15580</v>
      </c>
      <c r="I9183" s="8" t="str">
        <f ca="1">IFERROR(__xludf.DUMMYFUNCTION("IF
(
G9184=""фізична особа""
,
VLOOKUP(H9184,IMPORTRANGE(""https://docs.google.com/spreadsheets/d/14Bd19lYaqBhU8_DElYkX7l4wRkHqqCUFNJY4AfY3kHU/edit?usp=sharing  #gid=0"",""фіз особи new!relations_name""),6,FALSE)
,
(IF
(
G9184=""юридична особа""
,
VLOOKUP"&amp;"(H9184,IMPORTRANGE(""https://docs.google.com/spreadsheets/d/14Bd19lYaqBhU8_DElYkX7l4wRkHqqCUFNJY4AfY3kHU/edit?usp=sharing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3" s="7" t="s">
        <v>29</v>
      </c>
    </row>
    <row r="9184" spans="1:10" ht="13.2">
      <c r="A9184" s="7">
        <v>9183</v>
      </c>
      <c r="B9184" s="7">
        <v>1</v>
      </c>
      <c r="C9184" s="7" t="s">
        <v>10</v>
      </c>
      <c r="D9184" s="7">
        <v>11065</v>
      </c>
      <c r="E9184" s="7" t="s">
        <v>28</v>
      </c>
      <c r="F9184" s="8" t="str">
        <f ca="1">IFERROR(__xludf.DUMMYFUNCTION("IF
(
C9185=""фізична особа""
,
VLOOKUP(D9185,IMPORTRANGE(""https://docs.google.com/spreadsheets/d/14Bd19lYaqBhU8_DElYkX7l4wRkHqqCUFNJY4AfY3kHU/edit?usp=sharing  #gid=0"",""фіз особи new!relations_name""),6,FALSE)
,
(IF
(
C9185=""юридична особа""
,
VLOOKUP"&amp;"(D9185,IMPORTRANGE(""https://docs.google.com/spreadsheets/d/14Bd19lYaqBhU8_DElYkX7l4wRkHqqCUFNJY4AfY3kHU/edit?usp=sharing  #gid=0"",""фіз особи new!relations_name_uo""),7,FALSE)
,
)
))"),"КОЗАКОВА Ірина Миколаївна")</f>
        <v>КОЗАКОВА Ірина Миколаївна</v>
      </c>
      <c r="G9184" s="7" t="s">
        <v>10</v>
      </c>
      <c r="H9184" s="7">
        <v>15580</v>
      </c>
      <c r="I9184" s="8" t="str">
        <f ca="1">IFERROR(__xludf.DUMMYFUNCTION("IF
(
G9185=""фізична особа""
,
VLOOKUP(H9185,IMPORTRANGE(""https://docs.google.com/spreadsheets/d/14Bd19lYaqBhU8_DElYkX7l4wRkHqqCUFNJY4AfY3kHU/edit?usp=sharing  #gid=0"",""фіз особи new!relations_name""),6,FALSE)
,
(IF
(
G9185=""юридична особа""
,
VLOOKUP"&amp;"(H9185,IMPORTRANGE(""https://docs.google.com/spreadsheets/d/14Bd19lYaqBhU8_DElYkX7l4wRkHqqCUFNJY4AfY3kHU/edit?usp=sharing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4" s="7" t="s">
        <v>29</v>
      </c>
    </row>
    <row r="9185" spans="1:10" ht="13.2">
      <c r="A9185" s="7">
        <v>9184</v>
      </c>
      <c r="B9185" s="7">
        <v>1</v>
      </c>
      <c r="C9185" s="7" t="s">
        <v>10</v>
      </c>
      <c r="D9185" s="7">
        <v>11066</v>
      </c>
      <c r="E9185" s="7" t="s">
        <v>28</v>
      </c>
      <c r="F9185" s="8" t="str">
        <f ca="1">IFERROR(__xludf.DUMMYFUNCTION("IF
(
C9186=""фізична особа""
,
VLOOKUP(D9186,IMPORTRANGE(""https://docs.google.com/spreadsheets/d/14Bd19lYaqBhU8_DElYkX7l4wRkHqqCUFNJY4AfY3kHU/edit?usp=sharing  #gid=0"",""фіз особи new!relations_name""),6,FALSE)
,
(IF
(
C9186=""юридична особа""
,
VLOOKUP"&amp;"(D9186,IMPORTRANGE(""https://docs.google.com/spreadsheets/d/14Bd19lYaqBhU8_DElYkX7l4wRkHqqCUFNJY4AfY3kHU/edit?usp=sharing  #gid=0"",""фіз особи new!relations_name_uo""),7,FALSE)
,
)
))"),"КНОР Олена Володимирівна")</f>
        <v>КНОР Олена Володимирівна</v>
      </c>
      <c r="G9185" s="7" t="s">
        <v>10</v>
      </c>
      <c r="H9185" s="7">
        <v>15580</v>
      </c>
      <c r="I9185" s="8" t="str">
        <f ca="1">IFERROR(__xludf.DUMMYFUNCTION("IF
(
G9186=""фізична особа""
,
VLOOKUP(H9186,IMPORTRANGE(""https://docs.google.com/spreadsheets/d/14Bd19lYaqBhU8_DElYkX7l4wRkHqqCUFNJY4AfY3kHU/edit?usp=sharing  #gid=0"",""фіз особи new!relations_name""),6,FALSE)
,
(IF
(
G9186=""юридична особа""
,
VLOOKUP"&amp;"(H9186,IMPORTRANGE(""https://docs.google.com/spreadsheets/d/14Bd19lYaqBhU8_DElYkX7l4wRkHqqCUFNJY4AfY3kHU/edit?usp=sharing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5" s="7" t="s">
        <v>29</v>
      </c>
    </row>
    <row r="9186" spans="1:10" ht="13.2">
      <c r="A9186" s="7">
        <v>9185</v>
      </c>
      <c r="B9186" s="7">
        <v>1</v>
      </c>
      <c r="C9186" s="7" t="s">
        <v>10</v>
      </c>
      <c r="D9186" s="7">
        <v>11067</v>
      </c>
      <c r="E9186" s="7" t="s">
        <v>28</v>
      </c>
      <c r="F9186" s="8" t="str">
        <f ca="1">IFERROR(__xludf.DUMMYFUNCTION("IF
(
C9187=""фізична особа""
,
VLOOKUP(D9187,IMPORTRANGE(""https://docs.google.com/spreadsheets/d/14Bd19lYaqBhU8_DElYkX7l4wRkHqqCUFNJY4AfY3kHU/edit?usp=sharing  #gid=0"",""фіз особи new!relations_name""),6,FALSE)
,
(IF
(
C9187=""юридична особа""
,
VLOOKUP"&amp;"(D9187,IMPORTRANGE(""https://docs.google.com/spreadsheets/d/14Bd19lYaqBhU8_DElYkX7l4wRkHqqCUFNJY4AfY3kHU/edit?usp=sharing  #gid=0"",""фіз особи new!relations_name_uo""),7,FALSE)
,
)
))"),"БАЛДІНА Ольга Іванівна")</f>
        <v>БАЛДІНА Ольга Іванівна</v>
      </c>
      <c r="G9186" s="7" t="s">
        <v>10</v>
      </c>
      <c r="H9186" s="7">
        <v>15580</v>
      </c>
      <c r="I9186" s="8" t="str">
        <f ca="1">IFERROR(__xludf.DUMMYFUNCTION("IF
(
G9187=""фізична особа""
,
VLOOKUP(H9187,IMPORTRANGE(""https://docs.google.com/spreadsheets/d/14Bd19lYaqBhU8_DElYkX7l4wRkHqqCUFNJY4AfY3kHU/edit?usp=sharing  #gid=0"",""фіз особи new!relations_name""),6,FALSE)
,
(IF
(
G9187=""юридична особа""
,
VLOOKUP"&amp;"(H9187,IMPORTRANGE(""https://docs.google.com/spreadsheets/d/14Bd19lYaqBhU8_DElYkX7l4wRkHqqCUFNJY4AfY3kHU/edit?usp=sharing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6" s="7" t="s">
        <v>29</v>
      </c>
    </row>
    <row r="9187" spans="1:10" ht="13.2">
      <c r="A9187" s="7">
        <v>9186</v>
      </c>
      <c r="B9187" s="7">
        <v>1</v>
      </c>
      <c r="C9187" s="7" t="s">
        <v>10</v>
      </c>
      <c r="D9187" s="7">
        <v>11068</v>
      </c>
      <c r="E9187" s="7" t="s">
        <v>28</v>
      </c>
      <c r="F9187" s="8" t="str">
        <f ca="1">IFERROR(__xludf.DUMMYFUNCTION("IF
(
C9188=""фізична особа""
,
VLOOKUP(D9188,IMPORTRANGE(""https://docs.google.com/spreadsheets/d/14Bd19lYaqBhU8_DElYkX7l4wRkHqqCUFNJY4AfY3kHU/edit?usp=sharing  #gid=0"",""фіз особи new!relations_name""),6,FALSE)
,
(IF
(
C9188=""юридична особа""
,
VLOOKUP"&amp;"(D9188,IMPORTRANGE(""https://docs.google.com/spreadsheets/d/14Bd19lYaqBhU8_DElYkX7l4wRkHqqCUFNJY4AfY3kHU/edit?usp=sharing  #gid=0"",""фіз особи new!relations_name_uo""),7,FALSE)
,
)
))"),"КНЯЗЄВ Олег Сергійович")</f>
        <v>КНЯЗЄВ Олег Сергійович</v>
      </c>
      <c r="G9187" s="7" t="s">
        <v>10</v>
      </c>
      <c r="H9187" s="7">
        <v>15580</v>
      </c>
      <c r="I9187" s="8" t="str">
        <f ca="1">IFERROR(__xludf.DUMMYFUNCTION("IF
(
G9188=""фізична особа""
,
VLOOKUP(H9188,IMPORTRANGE(""https://docs.google.com/spreadsheets/d/14Bd19lYaqBhU8_DElYkX7l4wRkHqqCUFNJY4AfY3kHU/edit?usp=sharing  #gid=0"",""фіз особи new!relations_name""),6,FALSE)
,
(IF
(
G9188=""юридична особа""
,
VLOOKUP"&amp;"(H9188,IMPORTRANGE(""https://docs.google.com/spreadsheets/d/14Bd19lYaqBhU8_DElYkX7l4wRkHqqCUFNJY4AfY3kHU/edit?usp=sharing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7" s="7" t="s">
        <v>29</v>
      </c>
    </row>
    <row r="9188" spans="1:10" ht="13.2">
      <c r="A9188" s="7">
        <v>9187</v>
      </c>
      <c r="B9188" s="7">
        <v>1</v>
      </c>
      <c r="C9188" s="7" t="s">
        <v>10</v>
      </c>
      <c r="D9188" s="7">
        <v>11069</v>
      </c>
      <c r="E9188" s="7" t="s">
        <v>28</v>
      </c>
      <c r="F9188" s="8" t="str">
        <f ca="1">IFERROR(__xludf.DUMMYFUNCTION("IF
(
C9189=""фізична особа""
,
VLOOKUP(D9189,IMPORTRANGE(""https://docs.google.com/spreadsheets/d/14Bd19lYaqBhU8_DElYkX7l4wRkHqqCUFNJY4AfY3kHU/edit?usp=sharing  #gid=0"",""фіз особи new!relations_name""),6,FALSE)
,
(IF
(
C9189=""юридична особа""
,
VLOOKUP"&amp;"(D9189,IMPORTRANGE(""https://docs.google.com/spreadsheets/d/14Bd19lYaqBhU8_DElYkX7l4wRkHqqCUFNJY4AfY3kHU/edit?usp=sharing  #gid=0"",""фіз особи new!relations_name_uo""),7,FALSE)
,
)
))"),"НІКІФОРОВ Олег Миколайович")</f>
        <v>НІКІФОРОВ Олег Миколайович</v>
      </c>
      <c r="G9188" s="7" t="s">
        <v>10</v>
      </c>
      <c r="H9188" s="7">
        <v>15580</v>
      </c>
      <c r="I9188" s="8" t="str">
        <f ca="1">IFERROR(__xludf.DUMMYFUNCTION("IF
(
G9189=""фізична особа""
,
VLOOKUP(H9189,IMPORTRANGE(""https://docs.google.com/spreadsheets/d/14Bd19lYaqBhU8_DElYkX7l4wRkHqqCUFNJY4AfY3kHU/edit?usp=sharing  #gid=0"",""фіз особи new!relations_name""),6,FALSE)
,
(IF
(
G9189=""юридична особа""
,
VLOOKUP"&amp;"(H9189,IMPORTRANGE(""https://docs.google.com/spreadsheets/d/14Bd19lYaqBhU8_DElYkX7l4wRkHqqCUFNJY4AfY3kHU/edit?usp=sharing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8" s="7" t="s">
        <v>29</v>
      </c>
    </row>
    <row r="9189" spans="1:10" ht="13.2">
      <c r="A9189" s="7">
        <v>9188</v>
      </c>
      <c r="B9189" s="7">
        <v>1</v>
      </c>
      <c r="C9189" s="7" t="s">
        <v>10</v>
      </c>
      <c r="D9189" s="7">
        <v>11070</v>
      </c>
      <c r="E9189" s="7" t="s">
        <v>28</v>
      </c>
      <c r="F9189" s="8" t="str">
        <f ca="1">IFERROR(__xludf.DUMMYFUNCTION("IF
(
C9190=""фізична особа""
,
VLOOKUP(D9190,IMPORTRANGE(""https://docs.google.com/spreadsheets/d/14Bd19lYaqBhU8_DElYkX7l4wRkHqqCUFNJY4AfY3kHU/edit?usp=sharing  #gid=0"",""фіз особи new!relations_name""),6,FALSE)
,
(IF
(
C9190=""юридична особа""
,
VLOOKUP"&amp;"(D9190,IMPORTRANGE(""https://docs.google.com/spreadsheets/d/14Bd19lYaqBhU8_DElYkX7l4wRkHqqCUFNJY4AfY3kHU/edit?usp=sharing  #gid=0"",""фіз особи new!relations_name_uo""),7,FALSE)
,
)
))"),"СКОРКІНА Наталія Василівна")</f>
        <v>СКОРКІНА Наталія Василівна</v>
      </c>
      <c r="G9189" s="7" t="s">
        <v>10</v>
      </c>
      <c r="H9189" s="7">
        <v>15580</v>
      </c>
      <c r="I9189" s="8" t="str">
        <f ca="1">IFERROR(__xludf.DUMMYFUNCTION("IF
(
G9190=""фізична особа""
,
VLOOKUP(H9190,IMPORTRANGE(""https://docs.google.com/spreadsheets/d/14Bd19lYaqBhU8_DElYkX7l4wRkHqqCUFNJY4AfY3kHU/edit?usp=sharing  #gid=0"",""фіз особи new!relations_name""),6,FALSE)
,
(IF
(
G9190=""юридична особа""
,
VLOOKUP"&amp;"(H9190,IMPORTRANGE(""https://docs.google.com/spreadsheets/d/14Bd19lYaqBhU8_DElYkX7l4wRkHqqCUFNJY4AfY3kHU/edit?usp=sharing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89" s="7" t="s">
        <v>29</v>
      </c>
    </row>
    <row r="9190" spans="1:10" ht="13.2">
      <c r="A9190" s="7">
        <v>9189</v>
      </c>
      <c r="B9190" s="7">
        <v>1</v>
      </c>
      <c r="C9190" s="7" t="s">
        <v>10</v>
      </c>
      <c r="D9190" s="7">
        <v>11071</v>
      </c>
      <c r="E9190" s="7" t="s">
        <v>28</v>
      </c>
      <c r="F9190" s="8" t="str">
        <f ca="1">IFERROR(__xludf.DUMMYFUNCTION("IF
(
C9191=""фізична особа""
,
VLOOKUP(D9191,IMPORTRANGE(""https://docs.google.com/spreadsheets/d/14Bd19lYaqBhU8_DElYkX7l4wRkHqqCUFNJY4AfY3kHU/edit?usp=sharing  #gid=0"",""фіз особи new!relations_name""),6,FALSE)
,
(IF
(
C9191=""юридична особа""
,
VLOOKUP"&amp;"(D9191,IMPORTRANGE(""https://docs.google.com/spreadsheets/d/14Bd19lYaqBhU8_DElYkX7l4wRkHqqCUFNJY4AfY3kHU/edit?usp=sharing  #gid=0"",""фіз особи new!relations_name_uo""),7,FALSE)
,
)
))"),"САРАЄВА Лариса Олегівна")</f>
        <v>САРАЄВА Лариса Олегівна</v>
      </c>
      <c r="G9190" s="7" t="s">
        <v>10</v>
      </c>
      <c r="H9190" s="7">
        <v>15580</v>
      </c>
      <c r="I9190" s="8" t="str">
        <f ca="1">IFERROR(__xludf.DUMMYFUNCTION("IF
(
G9191=""фізична особа""
,
VLOOKUP(H9191,IMPORTRANGE(""https://docs.google.com/spreadsheets/d/14Bd19lYaqBhU8_DElYkX7l4wRkHqqCUFNJY4AfY3kHU/edit?usp=sharing  #gid=0"",""фіз особи new!relations_name""),6,FALSE)
,
(IF
(
G9191=""юридична особа""
,
VLOOKUP"&amp;"(H9191,IMPORTRANGE(""https://docs.google.com/spreadsheets/d/14Bd19lYaqBhU8_DElYkX7l4wRkHqqCUFNJY4AfY3kHU/edit?usp=sharing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0" s="7" t="s">
        <v>29</v>
      </c>
    </row>
    <row r="9191" spans="1:10" ht="13.2">
      <c r="A9191" s="7">
        <v>9190</v>
      </c>
      <c r="B9191" s="7">
        <v>1</v>
      </c>
      <c r="C9191" s="7" t="s">
        <v>10</v>
      </c>
      <c r="D9191" s="7">
        <v>11072</v>
      </c>
      <c r="E9191" s="7" t="s">
        <v>28</v>
      </c>
      <c r="F9191" s="8" t="str">
        <f ca="1">IFERROR(__xludf.DUMMYFUNCTION("IF
(
C9192=""фізична особа""
,
VLOOKUP(D9192,IMPORTRANGE(""https://docs.google.com/spreadsheets/d/14Bd19lYaqBhU8_DElYkX7l4wRkHqqCUFNJY4AfY3kHU/edit?usp=sharing  #gid=0"",""фіз особи new!relations_name""),6,FALSE)
,
(IF
(
C9192=""юридична особа""
,
VLOOKUP"&amp;"(D9192,IMPORTRANGE(""https://docs.google.com/spreadsheets/d/14Bd19lYaqBhU8_DElYkX7l4wRkHqqCUFNJY4AfY3kHU/edit?usp=sharing  #gid=0"",""фіз особи new!relations_name_uo""),7,FALSE)
,
)
))"),"ПОЗОЛОТІН Сергій Ігорович")</f>
        <v>ПОЗОЛОТІН Сергій Ігорович</v>
      </c>
      <c r="G9191" s="7" t="s">
        <v>10</v>
      </c>
      <c r="H9191" s="7">
        <v>15580</v>
      </c>
      <c r="I9191" s="8" t="str">
        <f ca="1">IFERROR(__xludf.DUMMYFUNCTION("IF
(
G9192=""фізична особа""
,
VLOOKUP(H9192,IMPORTRANGE(""https://docs.google.com/spreadsheets/d/14Bd19lYaqBhU8_DElYkX7l4wRkHqqCUFNJY4AfY3kHU/edit?usp=sharing  #gid=0"",""фіз особи new!relations_name""),6,FALSE)
,
(IF
(
G9192=""юридична особа""
,
VLOOKUP"&amp;"(H9192,IMPORTRANGE(""https://docs.google.com/spreadsheets/d/14Bd19lYaqBhU8_DElYkX7l4wRkHqqCUFNJY4AfY3kHU/edit?usp=sharing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1" s="7" t="s">
        <v>29</v>
      </c>
    </row>
    <row r="9192" spans="1:10" ht="13.2">
      <c r="A9192" s="7">
        <v>9191</v>
      </c>
      <c r="B9192" s="7">
        <v>1</v>
      </c>
      <c r="C9192" s="7" t="s">
        <v>10</v>
      </c>
      <c r="D9192" s="7">
        <v>11073</v>
      </c>
      <c r="E9192" s="7" t="s">
        <v>28</v>
      </c>
      <c r="F9192" s="8" t="str">
        <f ca="1">IFERROR(__xludf.DUMMYFUNCTION("IF
(
C9193=""фізична особа""
,
VLOOKUP(D9193,IMPORTRANGE(""https://docs.google.com/spreadsheets/d/14Bd19lYaqBhU8_DElYkX7l4wRkHqqCUFNJY4AfY3kHU/edit?usp=sharing  #gid=0"",""фіз особи new!relations_name""),6,FALSE)
,
(IF
(
C9193=""юридична особа""
,
VLOOKUP"&amp;"(D9193,IMPORTRANGE(""https://docs.google.com/spreadsheets/d/14Bd19lYaqBhU8_DElYkX7l4wRkHqqCUFNJY4AfY3kHU/edit?usp=sharing  #gid=0"",""фіз особи new!relations_name_uo""),7,FALSE)
,
)
))"),"ДАВИДОВА Галина Олександрівна")</f>
        <v>ДАВИДОВА Галина Олександрівна</v>
      </c>
      <c r="G9192" s="7" t="s">
        <v>10</v>
      </c>
      <c r="H9192" s="7">
        <v>15580</v>
      </c>
      <c r="I9192" s="8" t="str">
        <f ca="1">IFERROR(__xludf.DUMMYFUNCTION("IF
(
G9193=""фізична особа""
,
VLOOKUP(H9193,IMPORTRANGE(""https://docs.google.com/spreadsheets/d/14Bd19lYaqBhU8_DElYkX7l4wRkHqqCUFNJY4AfY3kHU/edit?usp=sharing  #gid=0"",""фіз особи new!relations_name""),6,FALSE)
,
(IF
(
G9193=""юридична особа""
,
VLOOKUP"&amp;"(H9193,IMPORTRANGE(""https://docs.google.com/spreadsheets/d/14Bd19lYaqBhU8_DElYkX7l4wRkHqqCUFNJY4AfY3kHU/edit?usp=sharing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2" s="7" t="s">
        <v>29</v>
      </c>
    </row>
    <row r="9193" spans="1:10" ht="13.2">
      <c r="A9193" s="7">
        <v>9192</v>
      </c>
      <c r="B9193" s="7">
        <v>1</v>
      </c>
      <c r="C9193" s="7" t="s">
        <v>10</v>
      </c>
      <c r="D9193" s="7">
        <v>11074</v>
      </c>
      <c r="E9193" s="7" t="s">
        <v>28</v>
      </c>
      <c r="F9193" s="8" t="str">
        <f ca="1">IFERROR(__xludf.DUMMYFUNCTION("IF
(
C9194=""фізична особа""
,
VLOOKUP(D9194,IMPORTRANGE(""https://docs.google.com/spreadsheets/d/14Bd19lYaqBhU8_DElYkX7l4wRkHqqCUFNJY4AfY3kHU/edit?usp=sharing  #gid=0"",""фіз особи new!relations_name""),6,FALSE)
,
(IF
(
C9194=""юридична особа""
,
VLOOKUP"&amp;"(D9194,IMPORTRANGE(""https://docs.google.com/spreadsheets/d/14Bd19lYaqBhU8_DElYkX7l4wRkHqqCUFNJY4AfY3kHU/edit?usp=sharing  #gid=0"",""фіз особи new!relations_name_uo""),7,FALSE)
,
)
))"),"ГАНІЄВ Акрам Мухаметович")</f>
        <v>ГАНІЄВ Акрам Мухаметович</v>
      </c>
      <c r="G9193" s="7" t="s">
        <v>10</v>
      </c>
      <c r="H9193" s="7">
        <v>15580</v>
      </c>
      <c r="I9193" s="8" t="str">
        <f ca="1">IFERROR(__xludf.DUMMYFUNCTION("IF
(
G9194=""фізична особа""
,
VLOOKUP(H9194,IMPORTRANGE(""https://docs.google.com/spreadsheets/d/14Bd19lYaqBhU8_DElYkX7l4wRkHqqCUFNJY4AfY3kHU/edit?usp=sharing  #gid=0"",""фіз особи new!relations_name""),6,FALSE)
,
(IF
(
G9194=""юридична особа""
,
VLOOKUP"&amp;"(H9194,IMPORTRANGE(""https://docs.google.com/spreadsheets/d/14Bd19lYaqBhU8_DElYkX7l4wRkHqqCUFNJY4AfY3kHU/edit?usp=sharing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3" s="7" t="s">
        <v>29</v>
      </c>
    </row>
    <row r="9194" spans="1:10" ht="13.2">
      <c r="A9194" s="7">
        <v>9193</v>
      </c>
      <c r="B9194" s="7">
        <v>1</v>
      </c>
      <c r="C9194" s="7" t="s">
        <v>10</v>
      </c>
      <c r="D9194" s="7">
        <v>11075</v>
      </c>
      <c r="E9194" s="7" t="s">
        <v>28</v>
      </c>
      <c r="F9194" s="8" t="str">
        <f ca="1">IFERROR(__xludf.DUMMYFUNCTION("IF
(
C9195=""фізична особа""
,
VLOOKUP(D9195,IMPORTRANGE(""https://docs.google.com/spreadsheets/d/14Bd19lYaqBhU8_DElYkX7l4wRkHqqCUFNJY4AfY3kHU/edit?usp=sharing  #gid=0"",""фіз особи new!relations_name""),6,FALSE)
,
(IF
(
C9195=""юридична особа""
,
VLOOKUP"&amp;"(D9195,IMPORTRANGE(""https://docs.google.com/spreadsheets/d/14Bd19lYaqBhU8_DElYkX7l4wRkHqqCUFNJY4AfY3kHU/edit?usp=sharing  #gid=0"",""фіз особи new!relations_name_uo""),7,FALSE)
,
)
))"),"АБРОСІМОВ Вадим Юрійович")</f>
        <v>АБРОСІМОВ Вадим Юрійович</v>
      </c>
      <c r="G9194" s="7" t="s">
        <v>10</v>
      </c>
      <c r="H9194" s="7">
        <v>15580</v>
      </c>
      <c r="I9194" s="8" t="str">
        <f ca="1">IFERROR(__xludf.DUMMYFUNCTION("IF
(
G9195=""фізична особа""
,
VLOOKUP(H9195,IMPORTRANGE(""https://docs.google.com/spreadsheets/d/14Bd19lYaqBhU8_DElYkX7l4wRkHqqCUFNJY4AfY3kHU/edit?usp=sharing  #gid=0"",""фіз особи new!relations_name""),6,FALSE)
,
(IF
(
G9195=""юридична особа""
,
VLOOKUP"&amp;"(H9195,IMPORTRANGE(""https://docs.google.com/spreadsheets/d/14Bd19lYaqBhU8_DElYkX7l4wRkHqqCUFNJY4AfY3kHU/edit?usp=sharing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4" s="7" t="s">
        <v>29</v>
      </c>
    </row>
    <row r="9195" spans="1:10" ht="13.2">
      <c r="A9195" s="7">
        <v>9194</v>
      </c>
      <c r="B9195" s="7">
        <v>1</v>
      </c>
      <c r="C9195" s="7" t="s">
        <v>10</v>
      </c>
      <c r="D9195" s="7">
        <v>11076</v>
      </c>
      <c r="E9195" s="7" t="s">
        <v>28</v>
      </c>
      <c r="F9195" s="8" t="str">
        <f ca="1">IFERROR(__xludf.DUMMYFUNCTION("IF
(
C9196=""фізична особа""
,
VLOOKUP(D9196,IMPORTRANGE(""https://docs.google.com/spreadsheets/d/14Bd19lYaqBhU8_DElYkX7l4wRkHqqCUFNJY4AfY3kHU/edit?usp=sharing  #gid=0"",""фіз особи new!relations_name""),6,FALSE)
,
(IF
(
C9196=""юридична особа""
,
VLOOKUP"&amp;"(D9196,IMPORTRANGE(""https://docs.google.com/spreadsheets/d/14Bd19lYaqBhU8_DElYkX7l4wRkHqqCUFNJY4AfY3kHU/edit?usp=sharing  #gid=0"",""фіз особи new!relations_name_uo""),7,FALSE)
,
)
))"),"КЛОРШТЕЙН Володимир Едуардович")</f>
        <v>КЛОРШТЕЙН Володимир Едуардович</v>
      </c>
      <c r="G9195" s="7" t="s">
        <v>10</v>
      </c>
      <c r="H9195" s="7">
        <v>15580</v>
      </c>
      <c r="I9195" s="8" t="str">
        <f ca="1">IFERROR(__xludf.DUMMYFUNCTION("IF
(
G9196=""фізична особа""
,
VLOOKUP(H9196,IMPORTRANGE(""https://docs.google.com/spreadsheets/d/14Bd19lYaqBhU8_DElYkX7l4wRkHqqCUFNJY4AfY3kHU/edit?usp=sharing  #gid=0"",""фіз особи new!relations_name""),6,FALSE)
,
(IF
(
G9196=""юридична особа""
,
VLOOKUP"&amp;"(H9196,IMPORTRANGE(""https://docs.google.com/spreadsheets/d/14Bd19lYaqBhU8_DElYkX7l4wRkHqqCUFNJY4AfY3kHU/edit?usp=sharing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5" s="7" t="s">
        <v>29</v>
      </c>
    </row>
    <row r="9196" spans="1:10" ht="13.2">
      <c r="A9196" s="7">
        <v>9195</v>
      </c>
      <c r="B9196" s="7">
        <v>1</v>
      </c>
      <c r="C9196" s="7" t="s">
        <v>10</v>
      </c>
      <c r="D9196" s="7">
        <v>11077</v>
      </c>
      <c r="E9196" s="7" t="s">
        <v>28</v>
      </c>
      <c r="F9196" s="8" t="str">
        <f ca="1">IFERROR(__xludf.DUMMYFUNCTION("IF
(
C9197=""фізична особа""
,
VLOOKUP(D9197,IMPORTRANGE(""https://docs.google.com/spreadsheets/d/14Bd19lYaqBhU8_DElYkX7l4wRkHqqCUFNJY4AfY3kHU/edit?usp=sharing  #gid=0"",""фіз особи new!relations_name""),6,FALSE)
,
(IF
(
C9197=""юридична особа""
,
VLOOKUP"&amp;"(D9197,IMPORTRANGE(""https://docs.google.com/spreadsheets/d/14Bd19lYaqBhU8_DElYkX7l4wRkHqqCUFNJY4AfY3kHU/edit?usp=sharing  #gid=0"",""фіз особи new!relations_name_uo""),7,FALSE)
,
)
))"),"САРАПОВ Олександр Валерійович")</f>
        <v>САРАПОВ Олександр Валерійович</v>
      </c>
      <c r="G9196" s="7" t="s">
        <v>10</v>
      </c>
      <c r="H9196" s="7">
        <v>15580</v>
      </c>
      <c r="I9196" s="8" t="str">
        <f ca="1">IFERROR(__xludf.DUMMYFUNCTION("IF
(
G9197=""фізична особа""
,
VLOOKUP(H9197,IMPORTRANGE(""https://docs.google.com/spreadsheets/d/14Bd19lYaqBhU8_DElYkX7l4wRkHqqCUFNJY4AfY3kHU/edit?usp=sharing  #gid=0"",""фіз особи new!relations_name""),6,FALSE)
,
(IF
(
G9197=""юридична особа""
,
VLOOKUP"&amp;"(H9197,IMPORTRANGE(""https://docs.google.com/spreadsheets/d/14Bd19lYaqBhU8_DElYkX7l4wRkHqqCUFNJY4AfY3kHU/edit?usp=sharing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6" s="7" t="s">
        <v>29</v>
      </c>
    </row>
    <row r="9197" spans="1:10" ht="13.2">
      <c r="A9197" s="7">
        <v>9196</v>
      </c>
      <c r="B9197" s="7">
        <v>1</v>
      </c>
      <c r="C9197" s="7" t="s">
        <v>10</v>
      </c>
      <c r="D9197" s="7">
        <v>11078</v>
      </c>
      <c r="E9197" s="7" t="s">
        <v>28</v>
      </c>
      <c r="F9197" s="8" t="str">
        <f ca="1">IFERROR(__xludf.DUMMYFUNCTION("IF
(
C9198=""фізична особа""
,
VLOOKUP(D9198,IMPORTRANGE(""https://docs.google.com/spreadsheets/d/14Bd19lYaqBhU8_DElYkX7l4wRkHqqCUFNJY4AfY3kHU/edit?usp=sharing  #gid=0"",""фіз особи new!relations_name""),6,FALSE)
,
(IF
(
C9198=""юридична особа""
,
VLOOKUP"&amp;"(D9198,IMPORTRANGE(""https://docs.google.com/spreadsheets/d/14Bd19lYaqBhU8_DElYkX7l4wRkHqqCUFNJY4AfY3kHU/edit?usp=sharing  #gid=0"",""фіз особи new!relations_name_uo""),7,FALSE)
,
)
))"),"БИКОВ Олександр Миколайович")</f>
        <v>БИКОВ Олександр Миколайович</v>
      </c>
      <c r="G9197" s="7" t="s">
        <v>10</v>
      </c>
      <c r="H9197" s="7">
        <v>15580</v>
      </c>
      <c r="I9197" s="8" t="str">
        <f ca="1">IFERROR(__xludf.DUMMYFUNCTION("IF
(
G9198=""фізична особа""
,
VLOOKUP(H9198,IMPORTRANGE(""https://docs.google.com/spreadsheets/d/14Bd19lYaqBhU8_DElYkX7l4wRkHqqCUFNJY4AfY3kHU/edit?usp=sharing  #gid=0"",""фіз особи new!relations_name""),6,FALSE)
,
(IF
(
G9198=""юридична особа""
,
VLOOKUP"&amp;"(H9198,IMPORTRANGE(""https://docs.google.com/spreadsheets/d/14Bd19lYaqBhU8_DElYkX7l4wRkHqqCUFNJY4AfY3kHU/edit?usp=sharing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7" s="7" t="s">
        <v>29</v>
      </c>
    </row>
    <row r="9198" spans="1:10" ht="13.2">
      <c r="A9198" s="7">
        <v>9197</v>
      </c>
      <c r="B9198" s="7">
        <v>1</v>
      </c>
      <c r="C9198" s="7" t="s">
        <v>10</v>
      </c>
      <c r="D9198" s="7">
        <v>11079</v>
      </c>
      <c r="E9198" s="7" t="s">
        <v>28</v>
      </c>
      <c r="F9198" s="8" t="str">
        <f ca="1">IFERROR(__xludf.DUMMYFUNCTION("IF
(
C9199=""фізична особа""
,
VLOOKUP(D9199,IMPORTRANGE(""https://docs.google.com/spreadsheets/d/14Bd19lYaqBhU8_DElYkX7l4wRkHqqCUFNJY4AfY3kHU/edit?usp=sharing  #gid=0"",""фіз особи new!relations_name""),6,FALSE)
,
(IF
(
C9199=""юридична особа""
,
VLOOKUP"&amp;"(D9199,IMPORTRANGE(""https://docs.google.com/spreadsheets/d/14Bd19lYaqBhU8_DElYkX7l4wRkHqqCUFNJY4AfY3kHU/edit?usp=sharing  #gid=0"",""фіз особи new!relations_name_uo""),7,FALSE)
,
)
))"),"ЧУНАКОВ Олександр Іванович")</f>
        <v>ЧУНАКОВ Олександр Іванович</v>
      </c>
      <c r="G9198" s="7" t="s">
        <v>10</v>
      </c>
      <c r="H9198" s="7">
        <v>15580</v>
      </c>
      <c r="I9198" s="8" t="str">
        <f ca="1">IFERROR(__xludf.DUMMYFUNCTION("IF
(
G9199=""фізична особа""
,
VLOOKUP(H9199,IMPORTRANGE(""https://docs.google.com/spreadsheets/d/14Bd19lYaqBhU8_DElYkX7l4wRkHqqCUFNJY4AfY3kHU/edit?usp=sharing  #gid=0"",""фіз особи new!relations_name""),6,FALSE)
,
(IF
(
G9199=""юридична особа""
,
VLOOKUP"&amp;"(H9199,IMPORTRANGE(""https://docs.google.com/spreadsheets/d/14Bd19lYaqBhU8_DElYkX7l4wRkHqqCUFNJY4AfY3kHU/edit?usp=sharing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8" s="7" t="s">
        <v>29</v>
      </c>
    </row>
    <row r="9199" spans="1:10" ht="13.2">
      <c r="A9199" s="7">
        <v>9198</v>
      </c>
      <c r="B9199" s="7">
        <v>1</v>
      </c>
      <c r="C9199" s="7" t="s">
        <v>10</v>
      </c>
      <c r="D9199" s="7">
        <v>11080</v>
      </c>
      <c r="E9199" s="7" t="s">
        <v>28</v>
      </c>
      <c r="F9199" s="8" t="str">
        <f ca="1">IFERROR(__xludf.DUMMYFUNCTION("IF
(
C9200=""фізична особа""
,
VLOOKUP(D9200,IMPORTRANGE(""https://docs.google.com/spreadsheets/d/14Bd19lYaqBhU8_DElYkX7l4wRkHqqCUFNJY4AfY3kHU/edit?usp=sharing  #gid=0"",""фіз особи new!relations_name""),6,FALSE)
,
(IF
(
C9200=""юридична особа""
,
VLOOKUP"&amp;"(D9200,IMPORTRANGE(""https://docs.google.com/spreadsheets/d/14Bd19lYaqBhU8_DElYkX7l4wRkHqqCUFNJY4AfY3kHU/edit?usp=sharing  #gid=0"",""фіз особи new!relations_name_uo""),7,FALSE)
,
)
))"),"ЛИСОВ Анатолій Геннадійович")</f>
        <v>ЛИСОВ Анатолій Геннадійович</v>
      </c>
      <c r="G9199" s="7" t="s">
        <v>10</v>
      </c>
      <c r="H9199" s="7">
        <v>15580</v>
      </c>
      <c r="I9199" s="8" t="str">
        <f ca="1">IFERROR(__xludf.DUMMYFUNCTION("IF
(
G9200=""фізична особа""
,
VLOOKUP(H9200,IMPORTRANGE(""https://docs.google.com/spreadsheets/d/14Bd19lYaqBhU8_DElYkX7l4wRkHqqCUFNJY4AfY3kHU/edit?usp=sharing  #gid=0"",""фіз особи new!relations_name""),6,FALSE)
,
(IF
(
G9200=""юридична особа""
,
VLOOKUP"&amp;"(H9200,IMPORTRANGE(""https://docs.google.com/spreadsheets/d/14Bd19lYaqBhU8_DElYkX7l4wRkHqqCUFNJY4AfY3kHU/edit?usp=sharing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199" s="7" t="s">
        <v>29</v>
      </c>
    </row>
    <row r="9200" spans="1:10" ht="13.2">
      <c r="A9200" s="7">
        <v>9199</v>
      </c>
      <c r="B9200" s="7">
        <v>1</v>
      </c>
      <c r="C9200" s="7" t="s">
        <v>10</v>
      </c>
      <c r="D9200" s="7">
        <v>11081</v>
      </c>
      <c r="E9200" s="7" t="s">
        <v>28</v>
      </c>
      <c r="F9200" s="8" t="str">
        <f ca="1">IFERROR(__xludf.DUMMYFUNCTION("IF
(
C9201=""фізична особа""
,
VLOOKUP(D9201,IMPORTRANGE(""https://docs.google.com/spreadsheets/d/14Bd19lYaqBhU8_DElYkX7l4wRkHqqCUFNJY4AfY3kHU/edit?usp=sharing  #gid=0"",""фіз особи new!relations_name""),6,FALSE)
,
(IF
(
C9201=""юридична особа""
,
VLOOKUP"&amp;"(D9201,IMPORTRANGE(""https://docs.google.com/spreadsheets/d/14Bd19lYaqBhU8_DElYkX7l4wRkHqqCUFNJY4AfY3kHU/edit?usp=sharing  #gid=0"",""фіз особи new!relations_name_uo""),7,FALSE)
,
)
))"),"СОЛОВЙОВА Ірина Володимирівна")</f>
        <v>СОЛОВЙОВА Ірина Володимирівна</v>
      </c>
      <c r="G9200" s="7" t="s">
        <v>10</v>
      </c>
      <c r="H9200" s="7">
        <v>15580</v>
      </c>
      <c r="I9200" s="8" t="str">
        <f ca="1">IFERROR(__xludf.DUMMYFUNCTION("IF
(
G9201=""фізична особа""
,
VLOOKUP(H9201,IMPORTRANGE(""https://docs.google.com/spreadsheets/d/14Bd19lYaqBhU8_DElYkX7l4wRkHqqCUFNJY4AfY3kHU/edit?usp=sharing  #gid=0"",""фіз особи new!relations_name""),6,FALSE)
,
(IF
(
G9201=""юридична особа""
,
VLOOKUP"&amp;"(H9201,IMPORTRANGE(""https://docs.google.com/spreadsheets/d/14Bd19lYaqBhU8_DElYkX7l4wRkHqqCUFNJY4AfY3kHU/edit?usp=sharing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0" s="7" t="s">
        <v>29</v>
      </c>
    </row>
    <row r="9201" spans="1:10" ht="13.2">
      <c r="A9201" s="7">
        <v>9200</v>
      </c>
      <c r="B9201" s="7">
        <v>1</v>
      </c>
      <c r="C9201" s="7" t="s">
        <v>10</v>
      </c>
      <c r="D9201" s="7">
        <v>11082</v>
      </c>
      <c r="E9201" s="7" t="s">
        <v>28</v>
      </c>
      <c r="F9201" s="8" t="str">
        <f ca="1">IFERROR(__xludf.DUMMYFUNCTION("IF
(
C9202=""фізична особа""
,
VLOOKUP(D9202,IMPORTRANGE(""https://docs.google.com/spreadsheets/d/14Bd19lYaqBhU8_DElYkX7l4wRkHqqCUFNJY4AfY3kHU/edit?usp=sharing  #gid=0"",""фіз особи new!relations_name""),6,FALSE)
,
(IF
(
C9202=""юридична особа""
,
VLOOKUP"&amp;"(D9202,IMPORTRANGE(""https://docs.google.com/spreadsheets/d/14Bd19lYaqBhU8_DElYkX7l4wRkHqqCUFNJY4AfY3kHU/edit?usp=sharing  #gid=0"",""фіз особи new!relations_name_uo""),7,FALSE)
,
)
))"),"ЕФЕНДІЄВА Айганат Шевкетівна")</f>
        <v>ЕФЕНДІЄВА Айганат Шевкетівна</v>
      </c>
      <c r="G9201" s="7" t="s">
        <v>10</v>
      </c>
      <c r="H9201" s="7">
        <v>15580</v>
      </c>
      <c r="I9201" s="8" t="str">
        <f ca="1">IFERROR(__xludf.DUMMYFUNCTION("IF
(
G9202=""фізична особа""
,
VLOOKUP(H9202,IMPORTRANGE(""https://docs.google.com/spreadsheets/d/14Bd19lYaqBhU8_DElYkX7l4wRkHqqCUFNJY4AfY3kHU/edit?usp=sharing  #gid=0"",""фіз особи new!relations_name""),6,FALSE)
,
(IF
(
G9202=""юридична особа""
,
VLOOKUP"&amp;"(H9202,IMPORTRANGE(""https://docs.google.com/spreadsheets/d/14Bd19lYaqBhU8_DElYkX7l4wRkHqqCUFNJY4AfY3kHU/edit?usp=sharing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1" s="7" t="s">
        <v>29</v>
      </c>
    </row>
    <row r="9202" spans="1:10" ht="13.2">
      <c r="A9202" s="7">
        <v>9201</v>
      </c>
      <c r="B9202" s="7">
        <v>1</v>
      </c>
      <c r="C9202" s="7" t="s">
        <v>10</v>
      </c>
      <c r="D9202" s="7">
        <v>11083</v>
      </c>
      <c r="E9202" s="7" t="s">
        <v>28</v>
      </c>
      <c r="F9202" s="8" t="str">
        <f ca="1">IFERROR(__xludf.DUMMYFUNCTION("IF
(
C9203=""фізична особа""
,
VLOOKUP(D9203,IMPORTRANGE(""https://docs.google.com/spreadsheets/d/14Bd19lYaqBhU8_DElYkX7l4wRkHqqCUFNJY4AfY3kHU/edit?usp=sharing  #gid=0"",""фіз особи new!relations_name""),6,FALSE)
,
(IF
(
C9203=""юридична особа""
,
VLOOKUP"&amp;"(D9203,IMPORTRANGE(""https://docs.google.com/spreadsheets/d/14Bd19lYaqBhU8_DElYkX7l4wRkHqqCUFNJY4AfY3kHU/edit?usp=sharing  #gid=0"",""фіз особи new!relations_name_uo""),7,FALSE)
,
)
))"),"ІЗЮМОВ ​​Олександр Миколайович")</f>
        <v>ІЗЮМОВ ​​Олександр Миколайович</v>
      </c>
      <c r="G9202" s="7" t="s">
        <v>10</v>
      </c>
      <c r="H9202" s="7">
        <v>15580</v>
      </c>
      <c r="I9202" s="8" t="str">
        <f ca="1">IFERROR(__xludf.DUMMYFUNCTION("IF
(
G9203=""фізична особа""
,
VLOOKUP(H9203,IMPORTRANGE(""https://docs.google.com/spreadsheets/d/14Bd19lYaqBhU8_DElYkX7l4wRkHqqCUFNJY4AfY3kHU/edit?usp=sharing  #gid=0"",""фіз особи new!relations_name""),6,FALSE)
,
(IF
(
G9203=""юридична особа""
,
VLOOKUP"&amp;"(H9203,IMPORTRANGE(""https://docs.google.com/spreadsheets/d/14Bd19lYaqBhU8_DElYkX7l4wRkHqqCUFNJY4AfY3kHU/edit?usp=sharing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2" s="7" t="s">
        <v>29</v>
      </c>
    </row>
    <row r="9203" spans="1:10" ht="13.2">
      <c r="A9203" s="7">
        <v>9202</v>
      </c>
      <c r="B9203" s="7">
        <v>1</v>
      </c>
      <c r="C9203" s="7" t="s">
        <v>10</v>
      </c>
      <c r="D9203" s="7">
        <v>11084</v>
      </c>
      <c r="E9203" s="7" t="s">
        <v>28</v>
      </c>
      <c r="F9203" s="8" t="str">
        <f ca="1">IFERROR(__xludf.DUMMYFUNCTION("IF
(
C9204=""фізична особа""
,
VLOOKUP(D9204,IMPORTRANGE(""https://docs.google.com/spreadsheets/d/14Bd19lYaqBhU8_DElYkX7l4wRkHqqCUFNJY4AfY3kHU/edit?usp=sharing  #gid=0"",""фіз особи new!relations_name""),6,FALSE)
,
(IF
(
C9204=""юридична особа""
,
VLOOKUP"&amp;"(D9204,IMPORTRANGE(""https://docs.google.com/spreadsheets/d/14Bd19lYaqBhU8_DElYkX7l4wRkHqqCUFNJY4AfY3kHU/edit?usp=sharing  #gid=0"",""фіз особи new!relations_name_uo""),7,FALSE)
,
)
))"),"КЛЮЗІНА Світлана Володимирівна")</f>
        <v>КЛЮЗІНА Світлана Володимирівна</v>
      </c>
      <c r="G9203" s="7" t="s">
        <v>10</v>
      </c>
      <c r="H9203" s="7">
        <v>15580</v>
      </c>
      <c r="I9203" s="8" t="str">
        <f ca="1">IFERROR(__xludf.DUMMYFUNCTION("IF
(
G9204=""фізична особа""
,
VLOOKUP(H9204,IMPORTRANGE(""https://docs.google.com/spreadsheets/d/14Bd19lYaqBhU8_DElYkX7l4wRkHqqCUFNJY4AfY3kHU/edit?usp=sharing  #gid=0"",""фіз особи new!relations_name""),6,FALSE)
,
(IF
(
G9204=""юридична особа""
,
VLOOKUP"&amp;"(H9204,IMPORTRANGE(""https://docs.google.com/spreadsheets/d/14Bd19lYaqBhU8_DElYkX7l4wRkHqqCUFNJY4AfY3kHU/edit?usp=sharing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3" s="7" t="s">
        <v>29</v>
      </c>
    </row>
    <row r="9204" spans="1:10" ht="13.2">
      <c r="A9204" s="7">
        <v>9203</v>
      </c>
      <c r="B9204" s="7">
        <v>1</v>
      </c>
      <c r="C9204" s="7" t="s">
        <v>10</v>
      </c>
      <c r="D9204" s="7">
        <v>11085</v>
      </c>
      <c r="E9204" s="7" t="s">
        <v>28</v>
      </c>
      <c r="F9204" s="8" t="str">
        <f ca="1">IFERROR(__xludf.DUMMYFUNCTION("IF
(
C9205=""фізична особа""
,
VLOOKUP(D9205,IMPORTRANGE(""https://docs.google.com/spreadsheets/d/14Bd19lYaqBhU8_DElYkX7l4wRkHqqCUFNJY4AfY3kHU/edit?usp=sharing  #gid=0"",""фіз особи new!relations_name""),6,FALSE)
,
(IF
(
C9205=""юридична особа""
,
VLOOKUP"&amp;"(D9205,IMPORTRANGE(""https://docs.google.com/spreadsheets/d/14Bd19lYaqBhU8_DElYkX7l4wRkHqqCUFNJY4AfY3kHU/edit?usp=sharing  #gid=0"",""фіз особи new!relations_name_uo""),7,FALSE)
,
)
))"),"ІВАНОВА Ірина Володимирівна")</f>
        <v>ІВАНОВА Ірина Володимирівна</v>
      </c>
      <c r="G9204" s="7" t="s">
        <v>10</v>
      </c>
      <c r="H9204" s="7">
        <v>15580</v>
      </c>
      <c r="I9204" s="8" t="str">
        <f ca="1">IFERROR(__xludf.DUMMYFUNCTION("IF
(
G9205=""фізична особа""
,
VLOOKUP(H9205,IMPORTRANGE(""https://docs.google.com/spreadsheets/d/14Bd19lYaqBhU8_DElYkX7l4wRkHqqCUFNJY4AfY3kHU/edit?usp=sharing  #gid=0"",""фіз особи new!relations_name""),6,FALSE)
,
(IF
(
G9205=""юридична особа""
,
VLOOKUP"&amp;"(H9205,IMPORTRANGE(""https://docs.google.com/spreadsheets/d/14Bd19lYaqBhU8_DElYkX7l4wRkHqqCUFNJY4AfY3kHU/edit?usp=sharing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4" s="7" t="s">
        <v>29</v>
      </c>
    </row>
    <row r="9205" spans="1:10" ht="13.2">
      <c r="A9205" s="7">
        <v>9204</v>
      </c>
      <c r="B9205" s="7">
        <v>1</v>
      </c>
      <c r="C9205" s="7" t="s">
        <v>10</v>
      </c>
      <c r="D9205" s="7">
        <v>11086</v>
      </c>
      <c r="E9205" s="7" t="s">
        <v>28</v>
      </c>
      <c r="F9205" s="8" t="str">
        <f ca="1">IFERROR(__xludf.DUMMYFUNCTION("IF
(
C9206=""фізична особа""
,
VLOOKUP(D9206,IMPORTRANGE(""https://docs.google.com/spreadsheets/d/14Bd19lYaqBhU8_DElYkX7l4wRkHqqCUFNJY4AfY3kHU/edit?usp=sharing  #gid=0"",""фіз особи new!relations_name""),6,FALSE)
,
(IF
(
C9206=""юридична особа""
,
VLOOKUP"&amp;"(D9206,IMPORTRANGE(""https://docs.google.com/spreadsheets/d/14Bd19lYaqBhU8_DElYkX7l4wRkHqqCUFNJY4AfY3kHU/edit?usp=sharing  #gid=0"",""фіз особи new!relations_name_uo""),7,FALSE)
,
)
))"),"АЛЕКСАНДРОВА Олена Станіславівна")</f>
        <v>АЛЕКСАНДРОВА Олена Станіславівна</v>
      </c>
      <c r="G9205" s="7" t="s">
        <v>10</v>
      </c>
      <c r="H9205" s="7">
        <v>15580</v>
      </c>
      <c r="I9205" s="8" t="str">
        <f ca="1">IFERROR(__xludf.DUMMYFUNCTION("IF
(
G9206=""фізична особа""
,
VLOOKUP(H9206,IMPORTRANGE(""https://docs.google.com/spreadsheets/d/14Bd19lYaqBhU8_DElYkX7l4wRkHqqCUFNJY4AfY3kHU/edit?usp=sharing  #gid=0"",""фіз особи new!relations_name""),6,FALSE)
,
(IF
(
G9206=""юридична особа""
,
VLOOKUP"&amp;"(H9206,IMPORTRANGE(""https://docs.google.com/spreadsheets/d/14Bd19lYaqBhU8_DElYkX7l4wRkHqqCUFNJY4AfY3kHU/edit?usp=sharing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5" s="7" t="s">
        <v>29</v>
      </c>
    </row>
    <row r="9206" spans="1:10" ht="13.2">
      <c r="A9206" s="7">
        <v>9205</v>
      </c>
      <c r="B9206" s="7">
        <v>1</v>
      </c>
      <c r="C9206" s="7" t="s">
        <v>10</v>
      </c>
      <c r="D9206" s="7">
        <v>11087</v>
      </c>
      <c r="E9206" s="7" t="s">
        <v>28</v>
      </c>
      <c r="F9206" s="8" t="str">
        <f ca="1">IFERROR(__xludf.DUMMYFUNCTION("IF
(
C9207=""фізична особа""
,
VLOOKUP(D9207,IMPORTRANGE(""https://docs.google.com/spreadsheets/d/14Bd19lYaqBhU8_DElYkX7l4wRkHqqCUFNJY4AfY3kHU/edit?usp=sharing  #gid=0"",""фіз особи new!relations_name""),6,FALSE)
,
(IF
(
C9207=""юридична особа""
,
VLOOKUP"&amp;"(D9207,IMPORTRANGE(""https://docs.google.com/spreadsheets/d/14Bd19lYaqBhU8_DElYkX7l4wRkHqqCUFNJY4AfY3kHU/edit?usp=sharing  #gid=0"",""фіз особи new!relations_name_uo""),7,FALSE)
,
)
))"),"СЕЛІВЕРСТОВА Неллі Геннадіївна")</f>
        <v>СЕЛІВЕРСТОВА Неллі Геннадіївна</v>
      </c>
      <c r="G9206" s="7" t="s">
        <v>10</v>
      </c>
      <c r="H9206" s="7">
        <v>15580</v>
      </c>
      <c r="I9206" s="8" t="str">
        <f ca="1">IFERROR(__xludf.DUMMYFUNCTION("IF
(
G9207=""фізична особа""
,
VLOOKUP(H9207,IMPORTRANGE(""https://docs.google.com/spreadsheets/d/14Bd19lYaqBhU8_DElYkX7l4wRkHqqCUFNJY4AfY3kHU/edit?usp=sharing  #gid=0"",""фіз особи new!relations_name""),6,FALSE)
,
(IF
(
G9207=""юридична особа""
,
VLOOKUP"&amp;"(H9207,IMPORTRANGE(""https://docs.google.com/spreadsheets/d/14Bd19lYaqBhU8_DElYkX7l4wRkHqqCUFNJY4AfY3kHU/edit?usp=sharing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6" s="7" t="s">
        <v>29</v>
      </c>
    </row>
    <row r="9207" spans="1:10" ht="13.2">
      <c r="A9207" s="7">
        <v>9206</v>
      </c>
      <c r="B9207" s="7">
        <v>1</v>
      </c>
      <c r="C9207" s="7" t="s">
        <v>10</v>
      </c>
      <c r="D9207" s="7">
        <v>11088</v>
      </c>
      <c r="E9207" s="7" t="s">
        <v>28</v>
      </c>
      <c r="F9207" s="8" t="str">
        <f ca="1">IFERROR(__xludf.DUMMYFUNCTION("IF
(
C9208=""фізична особа""
,
VLOOKUP(D9208,IMPORTRANGE(""https://docs.google.com/spreadsheets/d/14Bd19lYaqBhU8_DElYkX7l4wRkHqqCUFNJY4AfY3kHU/edit?usp=sharing  #gid=0"",""фіз особи new!relations_name""),6,FALSE)
,
(IF
(
C9208=""юридична особа""
,
VLOOKUP"&amp;"(D9208,IMPORTRANGE(""https://docs.google.com/spreadsheets/d/14Bd19lYaqBhU8_DElYkX7l4wRkHqqCUFNJY4AfY3kHU/edit?usp=sharing  #gid=0"",""фіз особи new!relations_name_uo""),7,FALSE)
,
)
))"),"МІРОШНИК Ірина Юріївна")</f>
        <v>МІРОШНИК Ірина Юріївна</v>
      </c>
      <c r="G9207" s="7" t="s">
        <v>10</v>
      </c>
      <c r="H9207" s="7">
        <v>15580</v>
      </c>
      <c r="I9207" s="8" t="str">
        <f ca="1">IFERROR(__xludf.DUMMYFUNCTION("IF
(
G9208=""фізична особа""
,
VLOOKUP(H9208,IMPORTRANGE(""https://docs.google.com/spreadsheets/d/14Bd19lYaqBhU8_DElYkX7l4wRkHqqCUFNJY4AfY3kHU/edit?usp=sharing  #gid=0"",""фіз особи new!relations_name""),6,FALSE)
,
(IF
(
G9208=""юридична особа""
,
VLOOKUP"&amp;"(H9208,IMPORTRANGE(""https://docs.google.com/spreadsheets/d/14Bd19lYaqBhU8_DElYkX7l4wRkHqqCUFNJY4AfY3kHU/edit?usp=sharing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7" s="7" t="s">
        <v>29</v>
      </c>
    </row>
    <row r="9208" spans="1:10" ht="13.2">
      <c r="A9208" s="7">
        <v>9207</v>
      </c>
      <c r="B9208" s="7">
        <v>1</v>
      </c>
      <c r="C9208" s="7" t="s">
        <v>10</v>
      </c>
      <c r="D9208" s="7">
        <v>11089</v>
      </c>
      <c r="E9208" s="7" t="s">
        <v>28</v>
      </c>
      <c r="F9208" s="8" t="str">
        <f ca="1">IFERROR(__xludf.DUMMYFUNCTION("IF
(
C9209=""фізична особа""
,
VLOOKUP(D9209,IMPORTRANGE(""https://docs.google.com/spreadsheets/d/14Bd19lYaqBhU8_DElYkX7l4wRkHqqCUFNJY4AfY3kHU/edit?usp=sharing  #gid=0"",""фіз особи new!relations_name""),6,FALSE)
,
(IF
(
C9209=""юридична особа""
,
VLOOKUP"&amp;"(D9209,IMPORTRANGE(""https://docs.google.com/spreadsheets/d/14Bd19lYaqBhU8_DElYkX7l4wRkHqqCUFNJY4AfY3kHU/edit?usp=sharing  #gid=0"",""фіз особи new!relations_name_uo""),7,FALSE)
,
)
))"),"ПЕРМЯКОВА Інга Юріївна")</f>
        <v>ПЕРМЯКОВА Інга Юріївна</v>
      </c>
      <c r="G9208" s="7" t="s">
        <v>10</v>
      </c>
      <c r="H9208" s="7">
        <v>15580</v>
      </c>
      <c r="I9208" s="8" t="str">
        <f ca="1">IFERROR(__xludf.DUMMYFUNCTION("IF
(
G9209=""фізична особа""
,
VLOOKUP(H9209,IMPORTRANGE(""https://docs.google.com/spreadsheets/d/14Bd19lYaqBhU8_DElYkX7l4wRkHqqCUFNJY4AfY3kHU/edit?usp=sharing  #gid=0"",""фіз особи new!relations_name""),6,FALSE)
,
(IF
(
G9209=""юридична особа""
,
VLOOKUP"&amp;"(H9209,IMPORTRANGE(""https://docs.google.com/spreadsheets/d/14Bd19lYaqBhU8_DElYkX7l4wRkHqqCUFNJY4AfY3kHU/edit?usp=sharing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8" s="7" t="s">
        <v>29</v>
      </c>
    </row>
    <row r="9209" spans="1:10" ht="13.2">
      <c r="A9209" s="7">
        <v>9208</v>
      </c>
      <c r="B9209" s="7">
        <v>1</v>
      </c>
      <c r="C9209" s="7" t="s">
        <v>10</v>
      </c>
      <c r="D9209" s="7">
        <v>11090</v>
      </c>
      <c r="E9209" s="7" t="s">
        <v>28</v>
      </c>
      <c r="F9209" s="8" t="str">
        <f ca="1">IFERROR(__xludf.DUMMYFUNCTION("IF
(
C9210=""фізична особа""
,
VLOOKUP(D9210,IMPORTRANGE(""https://docs.google.com/spreadsheets/d/14Bd19lYaqBhU8_DElYkX7l4wRkHqqCUFNJY4AfY3kHU/edit?usp=sharing  #gid=0"",""фіз особи new!relations_name""),6,FALSE)
,
(IF
(
C9210=""юридична особа""
,
VLOOKUP"&amp;"(D9210,IMPORTRANGE(""https://docs.google.com/spreadsheets/d/14Bd19lYaqBhU8_DElYkX7l4wRkHqqCUFNJY4AfY3kHU/edit?usp=sharing  #gid=0"",""фіз особи new!relations_name_uo""),7,FALSE)
,
)
))"),"АРДИШЕВ Михайло Володимирович")</f>
        <v>АРДИШЕВ Михайло Володимирович</v>
      </c>
      <c r="G9209" s="7" t="s">
        <v>10</v>
      </c>
      <c r="H9209" s="7">
        <v>15580</v>
      </c>
      <c r="I9209" s="8" t="str">
        <f ca="1">IFERROR(__xludf.DUMMYFUNCTION("IF
(
G9210=""фізична особа""
,
VLOOKUP(H9210,IMPORTRANGE(""https://docs.google.com/spreadsheets/d/14Bd19lYaqBhU8_DElYkX7l4wRkHqqCUFNJY4AfY3kHU/edit?usp=sharing  #gid=0"",""фіз особи new!relations_name""),6,FALSE)
,
(IF
(
G9210=""юридична особа""
,
VLOOKUP"&amp;"(H9210,IMPORTRANGE(""https://docs.google.com/spreadsheets/d/14Bd19lYaqBhU8_DElYkX7l4wRkHqqCUFNJY4AfY3kHU/edit?usp=sharing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09" s="7" t="s">
        <v>29</v>
      </c>
    </row>
    <row r="9210" spans="1:10" ht="13.2">
      <c r="A9210" s="7">
        <v>9209</v>
      </c>
      <c r="B9210" s="7">
        <v>1</v>
      </c>
      <c r="C9210" s="7" t="s">
        <v>10</v>
      </c>
      <c r="D9210" s="7">
        <v>11091</v>
      </c>
      <c r="E9210" s="7" t="s">
        <v>28</v>
      </c>
      <c r="F9210" s="8" t="str">
        <f ca="1">IFERROR(__xludf.DUMMYFUNCTION("IF
(
C9211=""фізична особа""
,
VLOOKUP(D9211,IMPORTRANGE(""https://docs.google.com/spreadsheets/d/14Bd19lYaqBhU8_DElYkX7l4wRkHqqCUFNJY4AfY3kHU/edit?usp=sharing  #gid=0"",""фіз особи new!relations_name""),6,FALSE)
,
(IF
(
C9211=""юридична особа""
,
VLOOKUP"&amp;"(D9211,IMPORTRANGE(""https://docs.google.com/spreadsheets/d/14Bd19lYaqBhU8_DElYkX7l4wRkHqqCUFNJY4AfY3kHU/edit?usp=sharing  #gid=0"",""фіз особи new!relations_name_uo""),7,FALSE)
,
)
))"),"КУДІНОВА Марина Юріївна")</f>
        <v>КУДІНОВА Марина Юріївна</v>
      </c>
      <c r="G9210" s="7" t="s">
        <v>10</v>
      </c>
      <c r="H9210" s="7">
        <v>15580</v>
      </c>
      <c r="I9210" s="8" t="str">
        <f ca="1">IFERROR(__xludf.DUMMYFUNCTION("IF
(
G9211=""фізична особа""
,
VLOOKUP(H9211,IMPORTRANGE(""https://docs.google.com/spreadsheets/d/14Bd19lYaqBhU8_DElYkX7l4wRkHqqCUFNJY4AfY3kHU/edit?usp=sharing  #gid=0"",""фіз особи new!relations_name""),6,FALSE)
,
(IF
(
G9211=""юридична особа""
,
VLOOKUP"&amp;"(H9211,IMPORTRANGE(""https://docs.google.com/spreadsheets/d/14Bd19lYaqBhU8_DElYkX7l4wRkHqqCUFNJY4AfY3kHU/edit?usp=sharing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0" s="7" t="s">
        <v>29</v>
      </c>
    </row>
    <row r="9211" spans="1:10" ht="13.2">
      <c r="A9211" s="7">
        <v>9210</v>
      </c>
      <c r="B9211" s="7">
        <v>1</v>
      </c>
      <c r="C9211" s="7" t="s">
        <v>10</v>
      </c>
      <c r="D9211" s="7">
        <v>11092</v>
      </c>
      <c r="E9211" s="7" t="s">
        <v>28</v>
      </c>
      <c r="F9211" s="8" t="str">
        <f ca="1">IFERROR(__xludf.DUMMYFUNCTION("IF
(
C9212=""фізична особа""
,
VLOOKUP(D9212,IMPORTRANGE(""https://docs.google.com/spreadsheets/d/14Bd19lYaqBhU8_DElYkX7l4wRkHqqCUFNJY4AfY3kHU/edit?usp=sharing  #gid=0"",""фіз особи new!relations_name""),6,FALSE)
,
(IF
(
C9212=""юридична особа""
,
VLOOKUP"&amp;"(D9212,IMPORTRANGE(""https://docs.google.com/spreadsheets/d/14Bd19lYaqBhU8_DElYkX7l4wRkHqqCUFNJY4AfY3kHU/edit?usp=sharing  #gid=0"",""фіз особи new!relations_name_uo""),7,FALSE)
,
)
))"),"ШАБАНОВА Любов Сергіївна")</f>
        <v>ШАБАНОВА Любов Сергіївна</v>
      </c>
      <c r="G9211" s="7" t="s">
        <v>10</v>
      </c>
      <c r="H9211" s="7">
        <v>15580</v>
      </c>
      <c r="I9211" s="8" t="str">
        <f ca="1">IFERROR(__xludf.DUMMYFUNCTION("IF
(
G9212=""фізична особа""
,
VLOOKUP(H9212,IMPORTRANGE(""https://docs.google.com/spreadsheets/d/14Bd19lYaqBhU8_DElYkX7l4wRkHqqCUFNJY4AfY3kHU/edit?usp=sharing  #gid=0"",""фіз особи new!relations_name""),6,FALSE)
,
(IF
(
G9212=""юридична особа""
,
VLOOKUP"&amp;"(H9212,IMPORTRANGE(""https://docs.google.com/spreadsheets/d/14Bd19lYaqBhU8_DElYkX7l4wRkHqqCUFNJY4AfY3kHU/edit?usp=sharing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1" s="7" t="s">
        <v>29</v>
      </c>
    </row>
    <row r="9212" spans="1:10" ht="13.2">
      <c r="A9212" s="7">
        <v>9211</v>
      </c>
      <c r="B9212" s="7">
        <v>1</v>
      </c>
      <c r="C9212" s="7" t="s">
        <v>10</v>
      </c>
      <c r="D9212" s="7">
        <v>11093</v>
      </c>
      <c r="E9212" s="7" t="s">
        <v>28</v>
      </c>
      <c r="F9212" s="8" t="str">
        <f ca="1">IFERROR(__xludf.DUMMYFUNCTION("IF
(
C9213=""фізична особа""
,
VLOOKUP(D9213,IMPORTRANGE(""https://docs.google.com/spreadsheets/d/14Bd19lYaqBhU8_DElYkX7l4wRkHqqCUFNJY4AfY3kHU/edit?usp=sharing  #gid=0"",""фіз особи new!relations_name""),6,FALSE)
,
(IF
(
C9213=""юридична особа""
,
VLOOKUP"&amp;"(D9213,IMPORTRANGE(""https://docs.google.com/spreadsheets/d/14Bd19lYaqBhU8_DElYkX7l4wRkHqqCUFNJY4AfY3kHU/edit?usp=sharing  #gid=0"",""фіз особи new!relations_name_uo""),7,FALSE)
,
)
))"),"ЗАЙЦЕВ Олександр Миколайович")</f>
        <v>ЗАЙЦЕВ Олександр Миколайович</v>
      </c>
      <c r="G9212" s="7" t="s">
        <v>10</v>
      </c>
      <c r="H9212" s="7">
        <v>15580</v>
      </c>
      <c r="I9212" s="8" t="str">
        <f ca="1">IFERROR(__xludf.DUMMYFUNCTION("IF
(
G9213=""фізична особа""
,
VLOOKUP(H9213,IMPORTRANGE(""https://docs.google.com/spreadsheets/d/14Bd19lYaqBhU8_DElYkX7l4wRkHqqCUFNJY4AfY3kHU/edit?usp=sharing  #gid=0"",""фіз особи new!relations_name""),6,FALSE)
,
(IF
(
G9213=""юридична особа""
,
VLOOKUP"&amp;"(H9213,IMPORTRANGE(""https://docs.google.com/spreadsheets/d/14Bd19lYaqBhU8_DElYkX7l4wRkHqqCUFNJY4AfY3kHU/edit?usp=sharing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2" s="7" t="s">
        <v>29</v>
      </c>
    </row>
    <row r="9213" spans="1:10" ht="13.2">
      <c r="A9213" s="7">
        <v>9212</v>
      </c>
      <c r="B9213" s="7">
        <v>1</v>
      </c>
      <c r="C9213" s="7" t="s">
        <v>10</v>
      </c>
      <c r="D9213" s="7">
        <v>11094</v>
      </c>
      <c r="E9213" s="7" t="s">
        <v>28</v>
      </c>
      <c r="F9213" s="8" t="str">
        <f ca="1">IFERROR(__xludf.DUMMYFUNCTION("IF
(
C9214=""фізична особа""
,
VLOOKUP(D9214,IMPORTRANGE(""https://docs.google.com/spreadsheets/d/14Bd19lYaqBhU8_DElYkX7l4wRkHqqCUFNJY4AfY3kHU/edit?usp=sharing  #gid=0"",""фіз особи new!relations_name""),6,FALSE)
,
(IF
(
C9214=""юридична особа""
,
VLOOKUP"&amp;"(D9214,IMPORTRANGE(""https://docs.google.com/spreadsheets/d/14Bd19lYaqBhU8_DElYkX7l4wRkHqqCUFNJY4AfY3kHU/edit?usp=sharing  #gid=0"",""фіз особи new!relations_name_uo""),7,FALSE)
,
)
))"),"ПЕТРОВА Інна Павлівна")</f>
        <v>ПЕТРОВА Інна Павлівна</v>
      </c>
      <c r="G9213" s="7" t="s">
        <v>10</v>
      </c>
      <c r="H9213" s="7">
        <v>15580</v>
      </c>
      <c r="I9213" s="8" t="str">
        <f ca="1">IFERROR(__xludf.DUMMYFUNCTION("IF
(
G9214=""фізична особа""
,
VLOOKUP(H9214,IMPORTRANGE(""https://docs.google.com/spreadsheets/d/14Bd19lYaqBhU8_DElYkX7l4wRkHqqCUFNJY4AfY3kHU/edit?usp=sharing  #gid=0"",""фіз особи new!relations_name""),6,FALSE)
,
(IF
(
G9214=""юридична особа""
,
VLOOKUP"&amp;"(H9214,IMPORTRANGE(""https://docs.google.com/spreadsheets/d/14Bd19lYaqBhU8_DElYkX7l4wRkHqqCUFNJY4AfY3kHU/edit?usp=sharing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3" s="7" t="s">
        <v>29</v>
      </c>
    </row>
    <row r="9214" spans="1:10" ht="13.2">
      <c r="A9214" s="7">
        <v>9213</v>
      </c>
      <c r="B9214" s="7">
        <v>1</v>
      </c>
      <c r="C9214" s="7" t="s">
        <v>10</v>
      </c>
      <c r="D9214" s="7">
        <v>11095</v>
      </c>
      <c r="E9214" s="7" t="s">
        <v>28</v>
      </c>
      <c r="F9214" s="8" t="str">
        <f ca="1">IFERROR(__xludf.DUMMYFUNCTION("IF
(
C9215=""фізична особа""
,
VLOOKUP(D9215,IMPORTRANGE(""https://docs.google.com/spreadsheets/d/14Bd19lYaqBhU8_DElYkX7l4wRkHqqCUFNJY4AfY3kHU/edit?usp=sharing  #gid=0"",""фіз особи new!relations_name""),6,FALSE)
,
(IF
(
C9215=""юридична особа""
,
VLOOKUP"&amp;"(D9215,IMPORTRANGE(""https://docs.google.com/spreadsheets/d/14Bd19lYaqBhU8_DElYkX7l4wRkHqqCUFNJY4AfY3kHU/edit?usp=sharing  #gid=0"",""фіз особи new!relations_name_uo""),7,FALSE)
,
)
))"),"ПАРАМОНОВА Ія Вадимівна")</f>
        <v>ПАРАМОНОВА Ія Вадимівна</v>
      </c>
      <c r="G9214" s="7" t="s">
        <v>10</v>
      </c>
      <c r="H9214" s="7">
        <v>15580</v>
      </c>
      <c r="I9214" s="8" t="str">
        <f ca="1">IFERROR(__xludf.DUMMYFUNCTION("IF
(
G9215=""фізична особа""
,
VLOOKUP(H9215,IMPORTRANGE(""https://docs.google.com/spreadsheets/d/14Bd19lYaqBhU8_DElYkX7l4wRkHqqCUFNJY4AfY3kHU/edit?usp=sharing  #gid=0"",""фіз особи new!relations_name""),6,FALSE)
,
(IF
(
G9215=""юридична особа""
,
VLOOKUP"&amp;"(H9215,IMPORTRANGE(""https://docs.google.com/spreadsheets/d/14Bd19lYaqBhU8_DElYkX7l4wRkHqqCUFNJY4AfY3kHU/edit?usp=sharing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4" s="7" t="s">
        <v>29</v>
      </c>
    </row>
    <row r="9215" spans="1:10" ht="13.2">
      <c r="A9215" s="7">
        <v>9214</v>
      </c>
      <c r="B9215" s="7">
        <v>1</v>
      </c>
      <c r="C9215" s="7" t="s">
        <v>10</v>
      </c>
      <c r="D9215" s="7">
        <v>11096</v>
      </c>
      <c r="E9215" s="7" t="s">
        <v>28</v>
      </c>
      <c r="F9215" s="8" t="str">
        <f ca="1">IFERROR(__xludf.DUMMYFUNCTION("IF
(
C9216=""фізична особа""
,
VLOOKUP(D9216,IMPORTRANGE(""https://docs.google.com/spreadsheets/d/14Bd19lYaqBhU8_DElYkX7l4wRkHqqCUFNJY4AfY3kHU/edit?usp=sharing  #gid=0"",""фіз особи new!relations_name""),6,FALSE)
,
(IF
(
C9216=""юридична особа""
,
VLOOKUP"&amp;"(D9216,IMPORTRANGE(""https://docs.google.com/spreadsheets/d/14Bd19lYaqBhU8_DElYkX7l4wRkHqqCUFNJY4AfY3kHU/edit?usp=sharing  #gid=0"",""фіз особи new!relations_name_uo""),7,FALSE)
,
)
))"),"МОРОЗОВ В'ячеслав Миколайович")</f>
        <v>МОРОЗОВ В'ячеслав Миколайович</v>
      </c>
      <c r="G9215" s="7" t="s">
        <v>10</v>
      </c>
      <c r="H9215" s="7">
        <v>15580</v>
      </c>
      <c r="I9215" s="8" t="str">
        <f ca="1">IFERROR(__xludf.DUMMYFUNCTION("IF
(
G9216=""фізична особа""
,
VLOOKUP(H9216,IMPORTRANGE(""https://docs.google.com/spreadsheets/d/14Bd19lYaqBhU8_DElYkX7l4wRkHqqCUFNJY4AfY3kHU/edit?usp=sharing  #gid=0"",""фіз особи new!relations_name""),6,FALSE)
,
(IF
(
G9216=""юридична особа""
,
VLOOKUP"&amp;"(H9216,IMPORTRANGE(""https://docs.google.com/spreadsheets/d/14Bd19lYaqBhU8_DElYkX7l4wRkHqqCUFNJY4AfY3kHU/edit?usp=sharing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5" s="7" t="s">
        <v>29</v>
      </c>
    </row>
    <row r="9216" spans="1:10" ht="13.2">
      <c r="A9216" s="7">
        <v>9215</v>
      </c>
      <c r="B9216" s="7">
        <v>1</v>
      </c>
      <c r="C9216" s="7" t="s">
        <v>10</v>
      </c>
      <c r="D9216" s="7">
        <v>11097</v>
      </c>
      <c r="E9216" s="7" t="s">
        <v>28</v>
      </c>
      <c r="F9216" s="8" t="str">
        <f ca="1">IFERROR(__xludf.DUMMYFUNCTION("IF
(
C9217=""фізична особа""
,
VLOOKUP(D9217,IMPORTRANGE(""https://docs.google.com/spreadsheets/d/14Bd19lYaqBhU8_DElYkX7l4wRkHqqCUFNJY4AfY3kHU/edit?usp=sharing  #gid=0"",""фіз особи new!relations_name""),6,FALSE)
,
(IF
(
C9217=""юридична особа""
,
VLOOKUP"&amp;"(D9217,IMPORTRANGE(""https://docs.google.com/spreadsheets/d/14Bd19lYaqBhU8_DElYkX7l4wRkHqqCUFNJY4AfY3kHU/edit?usp=sharing  #gid=0"",""фіз особи new!relations_name_uo""),7,FALSE)
,
)
))"),"МАСЛО Дмитро В'ячеславович")</f>
        <v>МАСЛО Дмитро В'ячеславович</v>
      </c>
      <c r="G9216" s="7" t="s">
        <v>10</v>
      </c>
      <c r="H9216" s="7">
        <v>15580</v>
      </c>
      <c r="I9216" s="8" t="str">
        <f ca="1">IFERROR(__xludf.DUMMYFUNCTION("IF
(
G9217=""фізична особа""
,
VLOOKUP(H9217,IMPORTRANGE(""https://docs.google.com/spreadsheets/d/14Bd19lYaqBhU8_DElYkX7l4wRkHqqCUFNJY4AfY3kHU/edit?usp=sharing  #gid=0"",""фіз особи new!relations_name""),6,FALSE)
,
(IF
(
G9217=""юридична особа""
,
VLOOKUP"&amp;"(H9217,IMPORTRANGE(""https://docs.google.com/spreadsheets/d/14Bd19lYaqBhU8_DElYkX7l4wRkHqqCUFNJY4AfY3kHU/edit?usp=sharing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6" s="7" t="s">
        <v>29</v>
      </c>
    </row>
    <row r="9217" spans="1:10" ht="13.2">
      <c r="A9217" s="7">
        <v>9216</v>
      </c>
      <c r="B9217" s="7">
        <v>1</v>
      </c>
      <c r="C9217" s="7" t="s">
        <v>10</v>
      </c>
      <c r="D9217" s="7">
        <v>11098</v>
      </c>
      <c r="E9217" s="7" t="s">
        <v>28</v>
      </c>
      <c r="F9217" s="8" t="str">
        <f ca="1">IFERROR(__xludf.DUMMYFUNCTION("IF
(
C9218=""фізична особа""
,
VLOOKUP(D9218,IMPORTRANGE(""https://docs.google.com/spreadsheets/d/14Bd19lYaqBhU8_DElYkX7l4wRkHqqCUFNJY4AfY3kHU/edit?usp=sharing  #gid=0"",""фіз особи new!relations_name""),6,FALSE)
,
(IF
(
C9218=""юридична особа""
,
VLOOKUP"&amp;"(D9218,IMPORTRANGE(""https://docs.google.com/spreadsheets/d/14Bd19lYaqBhU8_DElYkX7l4wRkHqqCUFNJY4AfY3kHU/edit?usp=sharing  #gid=0"",""фіз особи new!relations_name_uo""),7,FALSE)
,
)
))"),"ФЕРЕНЕЦЬ Михайло Леонідович")</f>
        <v>ФЕРЕНЕЦЬ Михайло Леонідович</v>
      </c>
      <c r="G9217" s="7" t="s">
        <v>10</v>
      </c>
      <c r="H9217" s="7">
        <v>15580</v>
      </c>
      <c r="I9217" s="8" t="str">
        <f ca="1">IFERROR(__xludf.DUMMYFUNCTION("IF
(
G9218=""фізична особа""
,
VLOOKUP(H9218,IMPORTRANGE(""https://docs.google.com/spreadsheets/d/14Bd19lYaqBhU8_DElYkX7l4wRkHqqCUFNJY4AfY3kHU/edit?usp=sharing  #gid=0"",""фіз особи new!relations_name""),6,FALSE)
,
(IF
(
G9218=""юридична особа""
,
VLOOKUP"&amp;"(H9218,IMPORTRANGE(""https://docs.google.com/spreadsheets/d/14Bd19lYaqBhU8_DElYkX7l4wRkHqqCUFNJY4AfY3kHU/edit?usp=sharing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7" s="7" t="s">
        <v>29</v>
      </c>
    </row>
    <row r="9218" spans="1:10" ht="13.2">
      <c r="A9218" s="7">
        <v>9217</v>
      </c>
      <c r="B9218" s="7">
        <v>1</v>
      </c>
      <c r="C9218" s="7" t="s">
        <v>10</v>
      </c>
      <c r="D9218" s="7">
        <v>11099</v>
      </c>
      <c r="E9218" s="7" t="s">
        <v>28</v>
      </c>
      <c r="F9218" s="8" t="str">
        <f ca="1">IFERROR(__xludf.DUMMYFUNCTION("IF
(
C9219=""фізична особа""
,
VLOOKUP(D9219,IMPORTRANGE(""https://docs.google.com/spreadsheets/d/14Bd19lYaqBhU8_DElYkX7l4wRkHqqCUFNJY4AfY3kHU/edit?usp=sharing  #gid=0"",""фіз особи new!relations_name""),6,FALSE)
,
(IF
(
C9219=""юридична особа""
,
VLOOKUP"&amp;"(D9219,IMPORTRANGE(""https://docs.google.com/spreadsheets/d/14Bd19lYaqBhU8_DElYkX7l4wRkHqqCUFNJY4AfY3kHU/edit?usp=sharing  #gid=0"",""фіз особи new!relations_name_uo""),7,FALSE)
,
)
))"),"ШОРІНА Олена Василівна")</f>
        <v>ШОРІНА Олена Василівна</v>
      </c>
      <c r="G9218" s="7" t="s">
        <v>10</v>
      </c>
      <c r="H9218" s="7">
        <v>15580</v>
      </c>
      <c r="I9218" s="8" t="str">
        <f ca="1">IFERROR(__xludf.DUMMYFUNCTION("IF
(
G9219=""фізична особа""
,
VLOOKUP(H9219,IMPORTRANGE(""https://docs.google.com/spreadsheets/d/14Bd19lYaqBhU8_DElYkX7l4wRkHqqCUFNJY4AfY3kHU/edit?usp=sharing  #gid=0"",""фіз особи new!relations_name""),6,FALSE)
,
(IF
(
G9219=""юридична особа""
,
VLOOKUP"&amp;"(H9219,IMPORTRANGE(""https://docs.google.com/spreadsheets/d/14Bd19lYaqBhU8_DElYkX7l4wRkHqqCUFNJY4AfY3kHU/edit?usp=sharing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8" s="7" t="s">
        <v>29</v>
      </c>
    </row>
    <row r="9219" spans="1:10" ht="13.2">
      <c r="A9219" s="7">
        <v>9218</v>
      </c>
      <c r="B9219" s="7">
        <v>1</v>
      </c>
      <c r="C9219" s="7" t="s">
        <v>10</v>
      </c>
      <c r="D9219" s="7">
        <v>11100</v>
      </c>
      <c r="E9219" s="7" t="s">
        <v>28</v>
      </c>
      <c r="F9219" s="8" t="str">
        <f ca="1">IFERROR(__xludf.DUMMYFUNCTION("IF
(
C9220=""фізична особа""
,
VLOOKUP(D9220,IMPORTRANGE(""https://docs.google.com/spreadsheets/d/14Bd19lYaqBhU8_DElYkX7l4wRkHqqCUFNJY4AfY3kHU/edit?usp=sharing  #gid=0"",""фіз особи new!relations_name""),6,FALSE)
,
(IF
(
C9220=""юридична особа""
,
VLOOKUP"&amp;"(D9220,IMPORTRANGE(""https://docs.google.com/spreadsheets/d/14Bd19lYaqBhU8_DElYkX7l4wRkHqqCUFNJY4AfY3kHU/edit?usp=sharing  #gid=0"",""фіз особи new!relations_name_uo""),7,FALSE)
,
)
))"),"СОЛОМКО Тетяна Володимирівна")</f>
        <v>СОЛОМКО Тетяна Володимирівна</v>
      </c>
      <c r="G9219" s="7" t="s">
        <v>10</v>
      </c>
      <c r="H9219" s="7">
        <v>15580</v>
      </c>
      <c r="I9219" s="8" t="str">
        <f ca="1">IFERROR(__xludf.DUMMYFUNCTION("IF
(
G9220=""фізична особа""
,
VLOOKUP(H9220,IMPORTRANGE(""https://docs.google.com/spreadsheets/d/14Bd19lYaqBhU8_DElYkX7l4wRkHqqCUFNJY4AfY3kHU/edit?usp=sharing  #gid=0"",""фіз особи new!relations_name""),6,FALSE)
,
(IF
(
G9220=""юридична особа""
,
VLOOKUP"&amp;"(H9220,IMPORTRANGE(""https://docs.google.com/spreadsheets/d/14Bd19lYaqBhU8_DElYkX7l4wRkHqqCUFNJY4AfY3kHU/edit?usp=sharing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19" s="7" t="s">
        <v>29</v>
      </c>
    </row>
    <row r="9220" spans="1:10" ht="13.2">
      <c r="A9220" s="7">
        <v>9219</v>
      </c>
      <c r="B9220" s="7">
        <v>1</v>
      </c>
      <c r="C9220" s="7" t="s">
        <v>10</v>
      </c>
      <c r="D9220" s="7">
        <v>11101</v>
      </c>
      <c r="E9220" s="7" t="s">
        <v>28</v>
      </c>
      <c r="F9220" s="8" t="str">
        <f ca="1">IFERROR(__xludf.DUMMYFUNCTION("IF
(
C9221=""фізична особа""
,
VLOOKUP(D9221,IMPORTRANGE(""https://docs.google.com/spreadsheets/d/14Bd19lYaqBhU8_DElYkX7l4wRkHqqCUFNJY4AfY3kHU/edit?usp=sharing  #gid=0"",""фіз особи new!relations_name""),6,FALSE)
,
(IF
(
C9221=""юридична особа""
,
VLOOKUP"&amp;"(D9221,IMPORTRANGE(""https://docs.google.com/spreadsheets/d/14Bd19lYaqBhU8_DElYkX7l4wRkHqqCUFNJY4AfY3kHU/edit?usp=sharing  #gid=0"",""фіз особи new!relations_name_uo""),7,FALSE)
,
)
))"),"ДМИТРІЄВА Неллі Євгенівна")</f>
        <v>ДМИТРІЄВА Неллі Євгенівна</v>
      </c>
      <c r="G9220" s="7" t="s">
        <v>10</v>
      </c>
      <c r="H9220" s="7">
        <v>15580</v>
      </c>
      <c r="I9220" s="8" t="str">
        <f ca="1">IFERROR(__xludf.DUMMYFUNCTION("IF
(
G9221=""фізична особа""
,
VLOOKUP(H9221,IMPORTRANGE(""https://docs.google.com/spreadsheets/d/14Bd19lYaqBhU8_DElYkX7l4wRkHqqCUFNJY4AfY3kHU/edit?usp=sharing  #gid=0"",""фіз особи new!relations_name""),6,FALSE)
,
(IF
(
G9221=""юридична особа""
,
VLOOKUP"&amp;"(H9221,IMPORTRANGE(""https://docs.google.com/spreadsheets/d/14Bd19lYaqBhU8_DElYkX7l4wRkHqqCUFNJY4AfY3kHU/edit?usp=sharing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20" s="7" t="s">
        <v>29</v>
      </c>
    </row>
    <row r="9221" spans="1:10" ht="13.2">
      <c r="A9221" s="7">
        <v>9220</v>
      </c>
      <c r="B9221" s="7">
        <v>1</v>
      </c>
      <c r="C9221" s="7" t="s">
        <v>10</v>
      </c>
      <c r="D9221" s="7">
        <v>11102</v>
      </c>
      <c r="E9221" s="7" t="s">
        <v>28</v>
      </c>
      <c r="F9221" s="8" t="str">
        <f ca="1">IFERROR(__xludf.DUMMYFUNCTION("IF
(
C9222=""фізична особа""
,
VLOOKUP(D9222,IMPORTRANGE(""https://docs.google.com/spreadsheets/d/14Bd19lYaqBhU8_DElYkX7l4wRkHqqCUFNJY4AfY3kHU/edit?usp=sharing  #gid=0"",""фіз особи new!relations_name""),6,FALSE)
,
(IF
(
C9222=""юридична особа""
,
VLOOKUP"&amp;"(D9222,IMPORTRANGE(""https://docs.google.com/spreadsheets/d/14Bd19lYaqBhU8_DElYkX7l4wRkHqqCUFNJY4AfY3kHU/edit?usp=sharing  #gid=0"",""фіз особи new!relations_name_uo""),7,FALSE)
,
)
))"),"УХАНОВ Максим Олександрович")</f>
        <v>УХАНОВ Максим Олександрович</v>
      </c>
      <c r="G9221" s="7" t="s">
        <v>10</v>
      </c>
      <c r="H9221" s="7">
        <v>15580</v>
      </c>
      <c r="I9221" s="8" t="str">
        <f ca="1">IFERROR(__xludf.DUMMYFUNCTION("IF
(
G9222=""фізична особа""
,
VLOOKUP(H9222,IMPORTRANGE(""https://docs.google.com/spreadsheets/d/14Bd19lYaqBhU8_DElYkX7l4wRkHqqCUFNJY4AfY3kHU/edit?usp=sharing  #gid=0"",""фіз особи new!relations_name""),6,FALSE)
,
(IF
(
G9222=""юридична особа""
,
VLOOKUP"&amp;"(H9222,IMPORTRANGE(""https://docs.google.com/spreadsheets/d/14Bd19lYaqBhU8_DElYkX7l4wRkHqqCUFNJY4AfY3kHU/edit?usp=sharing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21" s="7" t="s">
        <v>29</v>
      </c>
    </row>
    <row r="9222" spans="1:10" ht="13.2">
      <c r="A9222" s="7">
        <v>9221</v>
      </c>
      <c r="B9222" s="7">
        <v>1</v>
      </c>
      <c r="C9222" s="7" t="s">
        <v>10</v>
      </c>
      <c r="D9222" s="7">
        <v>11103</v>
      </c>
      <c r="E9222" s="7" t="s">
        <v>28</v>
      </c>
      <c r="F9222" s="8" t="str">
        <f ca="1">IFERROR(__xludf.DUMMYFUNCTION("IF
(
C9223=""фізична особа""
,
VLOOKUP(D9223,IMPORTRANGE(""https://docs.google.com/spreadsheets/d/14Bd19lYaqBhU8_DElYkX7l4wRkHqqCUFNJY4AfY3kHU/edit?usp=sharing  #gid=0"",""фіз особи new!relations_name""),6,FALSE)
,
(IF
(
C9223=""юридична особа""
,
VLOOKUP"&amp;"(D9223,IMPORTRANGE(""https://docs.google.com/spreadsheets/d/14Bd19lYaqBhU8_DElYkX7l4wRkHqqCUFNJY4AfY3kHU/edit?usp=sharing  #gid=0"",""фіз особи new!relations_name_uo""),7,FALSE)
,
)
))"),"БЄЛЯНІН Володимир Олексійович")</f>
        <v>БЄЛЯНІН Володимир Олексійович</v>
      </c>
      <c r="G9222" s="7" t="s">
        <v>10</v>
      </c>
      <c r="H9222" s="7">
        <v>15580</v>
      </c>
      <c r="I9222" s="8" t="str">
        <f ca="1">IFERROR(__xludf.DUMMYFUNCTION("IF
(
G9223=""фізична особа""
,
VLOOKUP(H9223,IMPORTRANGE(""https://docs.google.com/spreadsheets/d/14Bd19lYaqBhU8_DElYkX7l4wRkHqqCUFNJY4AfY3kHU/edit?usp=sharing  #gid=0"",""фіз особи new!relations_name""),6,FALSE)
,
(IF
(
G9223=""юридична особа""
,
VLOOKUP"&amp;"(H9223,IMPORTRANGE(""https://docs.google.com/spreadsheets/d/14Bd19lYaqBhU8_DElYkX7l4wRkHqqCUFNJY4AfY3kHU/edit?usp=sharing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222" s="7" t="s">
        <v>29</v>
      </c>
    </row>
    <row r="9223" spans="1:10" ht="13.2">
      <c r="A9223" s="7">
        <v>9222</v>
      </c>
      <c r="B9223" s="7">
        <v>1</v>
      </c>
      <c r="C9223" s="7" t="s">
        <v>10</v>
      </c>
      <c r="D9223" s="7">
        <v>11104</v>
      </c>
      <c r="E9223" s="7" t="s">
        <v>28</v>
      </c>
      <c r="F9223" s="8" t="str">
        <f ca="1">IFERROR(__xludf.DUMMYFUNCTION("IF
(
C9224=""фізична особа""
,
VLOOKUP(D9224,IMPORTRANGE(""https://docs.google.com/spreadsheets/d/14Bd19lYaqBhU8_DElYkX7l4wRkHqqCUFNJY4AfY3kHU/edit?usp=sharing  #gid=0"",""фіз особи new!relations_name""),6,FALSE)
,
(IF
(
C9224=""юридична особа""
,
VLOOKUP"&amp;"(D9224,IMPORTRANGE(""https://docs.google.com/spreadsheets/d/14Bd19lYaqBhU8_DElYkX7l4wRkHqqCUFNJY4AfY3kHU/edit?usp=sharing  #gid=0"",""фіз особи new!relations_name_uo""),7,FALSE)
,
)
))"),"ДИБОВ Олександр Іванович")</f>
        <v>ДИБОВ Олександр Іванович</v>
      </c>
      <c r="G9223" s="7" t="s">
        <v>10</v>
      </c>
      <c r="H9223" s="7">
        <v>2371</v>
      </c>
      <c r="I9223" s="8" t="str">
        <f ca="1">IFERROR(__xludf.DUMMYFUNCTION("IF
(
G9224=""фізична особа""
,
VLOOKUP(H9224,IMPORTRANGE(""https://docs.google.com/spreadsheets/d/14Bd19lYaqBhU8_DElYkX7l4wRkHqqCUFNJY4AfY3kHU/edit?usp=sharing  #gid=0"",""фіз особи new!relations_name""),6,FALSE)
,
(IF
(
G9224=""юридична особа""
,
VLOOKUP"&amp;"(H9224,IMPORTRANGE(""https://docs.google.com/spreadsheets/d/14Bd19lYaqBhU8_DElYkX7l4wRkHqqCUFNJY4AfY3kHU/edit?usp=sharing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3" s="7" t="s">
        <v>29</v>
      </c>
    </row>
    <row r="9224" spans="1:10" ht="13.2">
      <c r="A9224" s="7">
        <v>9223</v>
      </c>
      <c r="B9224" s="7">
        <v>1</v>
      </c>
      <c r="C9224" s="7" t="s">
        <v>10</v>
      </c>
      <c r="D9224" s="7">
        <v>11105</v>
      </c>
      <c r="E9224" s="7" t="s">
        <v>28</v>
      </c>
      <c r="F9224" s="8" t="str">
        <f ca="1">IFERROR(__xludf.DUMMYFUNCTION("IF
(
C9225=""фізична особа""
,
VLOOKUP(D9225,IMPORTRANGE(""https://docs.google.com/spreadsheets/d/14Bd19lYaqBhU8_DElYkX7l4wRkHqqCUFNJY4AfY3kHU/edit?usp=sharing  #gid=0"",""фіз особи new!relations_name""),6,FALSE)
,
(IF
(
C9225=""юридична особа""
,
VLOOKUP"&amp;"(D9225,IMPORTRANGE(""https://docs.google.com/spreadsheets/d/14Bd19lYaqBhU8_DElYkX7l4wRkHqqCUFNJY4AfY3kHU/edit?usp=sharing  #gid=0"",""фіз особи new!relations_name_uo""),7,FALSE)
,
)
))"),"КОСМІН Андрій Олександрович")</f>
        <v>КОСМІН Андрій Олександрович</v>
      </c>
      <c r="G9224" s="7" t="s">
        <v>10</v>
      </c>
      <c r="H9224" s="7">
        <v>2371</v>
      </c>
      <c r="I9224" s="8" t="str">
        <f ca="1">IFERROR(__xludf.DUMMYFUNCTION("IF
(
G9225=""фізична особа""
,
VLOOKUP(H9225,IMPORTRANGE(""https://docs.google.com/spreadsheets/d/14Bd19lYaqBhU8_DElYkX7l4wRkHqqCUFNJY4AfY3kHU/edit?usp=sharing  #gid=0"",""фіз особи new!relations_name""),6,FALSE)
,
(IF
(
G9225=""юридична особа""
,
VLOOKUP"&amp;"(H9225,IMPORTRANGE(""https://docs.google.com/spreadsheets/d/14Bd19lYaqBhU8_DElYkX7l4wRkHqqCUFNJY4AfY3kHU/edit?usp=sharing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4" s="7" t="s">
        <v>29</v>
      </c>
    </row>
    <row r="9225" spans="1:10" ht="13.2">
      <c r="A9225" s="7">
        <v>9224</v>
      </c>
      <c r="B9225" s="7">
        <v>1</v>
      </c>
      <c r="C9225" s="7" t="s">
        <v>10</v>
      </c>
      <c r="D9225" s="7">
        <v>11106</v>
      </c>
      <c r="E9225" s="7" t="s">
        <v>28</v>
      </c>
      <c r="F9225" s="8" t="str">
        <f ca="1">IFERROR(__xludf.DUMMYFUNCTION("IF
(
C9226=""фізична особа""
,
VLOOKUP(D9226,IMPORTRANGE(""https://docs.google.com/spreadsheets/d/14Bd19lYaqBhU8_DElYkX7l4wRkHqqCUFNJY4AfY3kHU/edit?usp=sharing  #gid=0"",""фіз особи new!relations_name""),6,FALSE)
,
(IF
(
C9226=""юридична особа""
,
VLOOKUP"&amp;"(D9226,IMPORTRANGE(""https://docs.google.com/spreadsheets/d/14Bd19lYaqBhU8_DElYkX7l4wRkHqqCUFNJY4AfY3kHU/edit?usp=sharing  #gid=0"",""фіз особи new!relations_name_uo""),7,FALSE)
,
)
))"),"СІМАКОВ Сергій Васильович")</f>
        <v>СІМАКОВ Сергій Васильович</v>
      </c>
      <c r="G9225" s="7" t="s">
        <v>10</v>
      </c>
      <c r="H9225" s="7">
        <v>2371</v>
      </c>
      <c r="I9225" s="8" t="str">
        <f ca="1">IFERROR(__xludf.DUMMYFUNCTION("IF
(
G9226=""фізична особа""
,
VLOOKUP(H9226,IMPORTRANGE(""https://docs.google.com/spreadsheets/d/14Bd19lYaqBhU8_DElYkX7l4wRkHqqCUFNJY4AfY3kHU/edit?usp=sharing  #gid=0"",""фіз особи new!relations_name""),6,FALSE)
,
(IF
(
G9226=""юридична особа""
,
VLOOKUP"&amp;"(H9226,IMPORTRANGE(""https://docs.google.com/spreadsheets/d/14Bd19lYaqBhU8_DElYkX7l4wRkHqqCUFNJY4AfY3kHU/edit?usp=sharing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5" s="7" t="s">
        <v>29</v>
      </c>
    </row>
    <row r="9226" spans="1:10" ht="13.2">
      <c r="A9226" s="7">
        <v>9225</v>
      </c>
      <c r="B9226" s="7">
        <v>1</v>
      </c>
      <c r="C9226" s="7" t="s">
        <v>10</v>
      </c>
      <c r="D9226" s="7">
        <v>11107</v>
      </c>
      <c r="E9226" s="7" t="s">
        <v>28</v>
      </c>
      <c r="F9226" s="8" t="str">
        <f ca="1">IFERROR(__xludf.DUMMYFUNCTION("IF
(
C9227=""фізична особа""
,
VLOOKUP(D9227,IMPORTRANGE(""https://docs.google.com/spreadsheets/d/14Bd19lYaqBhU8_DElYkX7l4wRkHqqCUFNJY4AfY3kHU/edit?usp=sharing  #gid=0"",""фіз особи new!relations_name""),6,FALSE)
,
(IF
(
C9227=""юридична особа""
,
VLOOKUP"&amp;"(D9227,IMPORTRANGE(""https://docs.google.com/spreadsheets/d/14Bd19lYaqBhU8_DElYkX7l4wRkHqqCUFNJY4AfY3kHU/edit?usp=sharing  #gid=0"",""фіз особи new!relations_name_uo""),7,FALSE)
,
)
))"),"МАЛАШЕНКО Олександр Сергійович")</f>
        <v>МАЛАШЕНКО Олександр Сергійович</v>
      </c>
      <c r="G9226" s="7" t="s">
        <v>10</v>
      </c>
      <c r="H9226" s="7">
        <v>2371</v>
      </c>
      <c r="I9226" s="8" t="str">
        <f ca="1">IFERROR(__xludf.DUMMYFUNCTION("IF
(
G9227=""фізична особа""
,
VLOOKUP(H9227,IMPORTRANGE(""https://docs.google.com/spreadsheets/d/14Bd19lYaqBhU8_DElYkX7l4wRkHqqCUFNJY4AfY3kHU/edit?usp=sharing  #gid=0"",""фіз особи new!relations_name""),6,FALSE)
,
(IF
(
G9227=""юридична особа""
,
VLOOKUP"&amp;"(H9227,IMPORTRANGE(""https://docs.google.com/spreadsheets/d/14Bd19lYaqBhU8_DElYkX7l4wRkHqqCUFNJY4AfY3kHU/edit?usp=sharing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6" s="7" t="s">
        <v>29</v>
      </c>
    </row>
    <row r="9227" spans="1:10" ht="13.2">
      <c r="A9227" s="7">
        <v>9226</v>
      </c>
      <c r="B9227" s="7">
        <v>1</v>
      </c>
      <c r="C9227" s="7" t="s">
        <v>10</v>
      </c>
      <c r="D9227" s="7">
        <v>11108</v>
      </c>
      <c r="E9227" s="7" t="s">
        <v>28</v>
      </c>
      <c r="F9227" s="8" t="str">
        <f ca="1">IFERROR(__xludf.DUMMYFUNCTION("IF
(
C9228=""фізична особа""
,
VLOOKUP(D9228,IMPORTRANGE(""https://docs.google.com/spreadsheets/d/14Bd19lYaqBhU8_DElYkX7l4wRkHqqCUFNJY4AfY3kHU/edit?usp=sharing  #gid=0"",""фіз особи new!relations_name""),6,FALSE)
,
(IF
(
C9228=""юридична особа""
,
VLOOKUP"&amp;"(D9228,IMPORTRANGE(""https://docs.google.com/spreadsheets/d/14Bd19lYaqBhU8_DElYkX7l4wRkHqqCUFNJY4AfY3kHU/edit?usp=sharing  #gid=0"",""фіз особи new!relations_name_uo""),7,FALSE)
,
)
))"),"РУЛЬОВ Ігор Володимирович")</f>
        <v>РУЛЬОВ Ігор Володимирович</v>
      </c>
      <c r="G9227" s="7" t="s">
        <v>10</v>
      </c>
      <c r="H9227" s="7">
        <v>2371</v>
      </c>
      <c r="I9227" s="8" t="str">
        <f ca="1">IFERROR(__xludf.DUMMYFUNCTION("IF
(
G9228=""фізична особа""
,
VLOOKUP(H9228,IMPORTRANGE(""https://docs.google.com/spreadsheets/d/14Bd19lYaqBhU8_DElYkX7l4wRkHqqCUFNJY4AfY3kHU/edit?usp=sharing  #gid=0"",""фіз особи new!relations_name""),6,FALSE)
,
(IF
(
G9228=""юридична особа""
,
VLOOKUP"&amp;"(H9228,IMPORTRANGE(""https://docs.google.com/spreadsheets/d/14Bd19lYaqBhU8_DElYkX7l4wRkHqqCUFNJY4AfY3kHU/edit?usp=sharing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7" s="7" t="s">
        <v>29</v>
      </c>
    </row>
    <row r="9228" spans="1:10" ht="13.2">
      <c r="A9228" s="7">
        <v>9227</v>
      </c>
      <c r="B9228" s="7">
        <v>1</v>
      </c>
      <c r="C9228" s="7" t="s">
        <v>10</v>
      </c>
      <c r="D9228" s="7">
        <v>11109</v>
      </c>
      <c r="E9228" s="7" t="s">
        <v>28</v>
      </c>
      <c r="F9228" s="8" t="str">
        <f ca="1">IFERROR(__xludf.DUMMYFUNCTION("IF
(
C9229=""фізична особа""
,
VLOOKUP(D9229,IMPORTRANGE(""https://docs.google.com/spreadsheets/d/14Bd19lYaqBhU8_DElYkX7l4wRkHqqCUFNJY4AfY3kHU/edit?usp=sharing  #gid=0"",""фіз особи new!relations_name""),6,FALSE)
,
(IF
(
C9229=""юридична особа""
,
VLOOKUP"&amp;"(D9229,IMPORTRANGE(""https://docs.google.com/spreadsheets/d/14Bd19lYaqBhU8_DElYkX7l4wRkHqqCUFNJY4AfY3kHU/edit?usp=sharing  #gid=0"",""фіз особи new!relations_name_uo""),7,FALSE)
,
)
))"),"ПАНОВ Олексій Борисович")</f>
        <v>ПАНОВ Олексій Борисович</v>
      </c>
      <c r="G9228" s="7" t="s">
        <v>10</v>
      </c>
      <c r="H9228" s="7">
        <v>2371</v>
      </c>
      <c r="I9228" s="8" t="str">
        <f ca="1">IFERROR(__xludf.DUMMYFUNCTION("IF
(
G9229=""фізична особа""
,
VLOOKUP(H9229,IMPORTRANGE(""https://docs.google.com/spreadsheets/d/14Bd19lYaqBhU8_DElYkX7l4wRkHqqCUFNJY4AfY3kHU/edit?usp=sharing  #gid=0"",""фіз особи new!relations_name""),6,FALSE)
,
(IF
(
G9229=""юридична особа""
,
VLOOKUP"&amp;"(H9229,IMPORTRANGE(""https://docs.google.com/spreadsheets/d/14Bd19lYaqBhU8_DElYkX7l4wRkHqqCUFNJY4AfY3kHU/edit?usp=sharing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8" s="7" t="s">
        <v>29</v>
      </c>
    </row>
    <row r="9229" spans="1:10" ht="13.2">
      <c r="A9229" s="7">
        <v>9228</v>
      </c>
      <c r="B9229" s="7">
        <v>1</v>
      </c>
      <c r="C9229" s="7" t="s">
        <v>10</v>
      </c>
      <c r="D9229" s="7">
        <v>11110</v>
      </c>
      <c r="E9229" s="7" t="s">
        <v>28</v>
      </c>
      <c r="F9229" s="8" t="str">
        <f ca="1">IFERROR(__xludf.DUMMYFUNCTION("IF
(
C9230=""фізична особа""
,
VLOOKUP(D9230,IMPORTRANGE(""https://docs.google.com/spreadsheets/d/14Bd19lYaqBhU8_DElYkX7l4wRkHqqCUFNJY4AfY3kHU/edit?usp=sharing  #gid=0"",""фіз особи new!relations_name""),6,FALSE)
,
(IF
(
C9230=""юридична особа""
,
VLOOKUP"&amp;"(D9230,IMPORTRANGE(""https://docs.google.com/spreadsheets/d/14Bd19lYaqBhU8_DElYkX7l4wRkHqqCUFNJY4AfY3kHU/edit?usp=sharing  #gid=0"",""фіз особи new!relations_name_uo""),7,FALSE)
,
)
))"),"МИХАЛЕВИЧ Андрій Геннадійович")</f>
        <v>МИХАЛЕВИЧ Андрій Геннадійович</v>
      </c>
      <c r="G9229" s="7" t="s">
        <v>10</v>
      </c>
      <c r="H9229" s="7">
        <v>2371</v>
      </c>
      <c r="I9229" s="8" t="str">
        <f ca="1">IFERROR(__xludf.DUMMYFUNCTION("IF
(
G9230=""фізична особа""
,
VLOOKUP(H9230,IMPORTRANGE(""https://docs.google.com/spreadsheets/d/14Bd19lYaqBhU8_DElYkX7l4wRkHqqCUFNJY4AfY3kHU/edit?usp=sharing  #gid=0"",""фіз особи new!relations_name""),6,FALSE)
,
(IF
(
G9230=""юридична особа""
,
VLOOKUP"&amp;"(H9230,IMPORTRANGE(""https://docs.google.com/spreadsheets/d/14Bd19lYaqBhU8_DElYkX7l4wRkHqqCUFNJY4AfY3kHU/edit?usp=sharing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29" s="7" t="s">
        <v>29</v>
      </c>
    </row>
    <row r="9230" spans="1:10" ht="13.2">
      <c r="A9230" s="7">
        <v>9229</v>
      </c>
      <c r="B9230" s="7">
        <v>1</v>
      </c>
      <c r="C9230" s="7" t="s">
        <v>10</v>
      </c>
      <c r="D9230" s="7">
        <v>11111</v>
      </c>
      <c r="E9230" s="7" t="s">
        <v>28</v>
      </c>
      <c r="F9230" s="8" t="str">
        <f ca="1">IFERROR(__xludf.DUMMYFUNCTION("IF
(
C9231=""фізична особа""
,
VLOOKUP(D9231,IMPORTRANGE(""https://docs.google.com/spreadsheets/d/14Bd19lYaqBhU8_DElYkX7l4wRkHqqCUFNJY4AfY3kHU/edit?usp=sharing  #gid=0"",""фіз особи new!relations_name""),6,FALSE)
,
(IF
(
C9231=""юридична особа""
,
VLOOKUP"&amp;"(D9231,IMPORTRANGE(""https://docs.google.com/spreadsheets/d/14Bd19lYaqBhU8_DElYkX7l4wRkHqqCUFNJY4AfY3kHU/edit?usp=sharing  #gid=0"",""фіз особи new!relations_name_uo""),7,FALSE)
,
)
))"),"СУСЛОВ Дмитро Михайлович")</f>
        <v>СУСЛОВ Дмитро Михайлович</v>
      </c>
      <c r="G9230" s="7" t="s">
        <v>10</v>
      </c>
      <c r="H9230" s="7">
        <v>2371</v>
      </c>
      <c r="I9230" s="8" t="str">
        <f ca="1">IFERROR(__xludf.DUMMYFUNCTION("IF
(
G9231=""фізична особа""
,
VLOOKUP(H9231,IMPORTRANGE(""https://docs.google.com/spreadsheets/d/14Bd19lYaqBhU8_DElYkX7l4wRkHqqCUFNJY4AfY3kHU/edit?usp=sharing  #gid=0"",""фіз особи new!relations_name""),6,FALSE)
,
(IF
(
G9231=""юридична особа""
,
VLOOKUP"&amp;"(H9231,IMPORTRANGE(""https://docs.google.com/spreadsheets/d/14Bd19lYaqBhU8_DElYkX7l4wRkHqqCUFNJY4AfY3kHU/edit?usp=sharing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0" s="7" t="s">
        <v>29</v>
      </c>
    </row>
    <row r="9231" spans="1:10" ht="13.2">
      <c r="A9231" s="7">
        <v>9230</v>
      </c>
      <c r="B9231" s="7">
        <v>1</v>
      </c>
      <c r="C9231" s="7" t="s">
        <v>10</v>
      </c>
      <c r="D9231" s="7">
        <v>11112</v>
      </c>
      <c r="E9231" s="7" t="s">
        <v>28</v>
      </c>
      <c r="F9231" s="8" t="str">
        <f ca="1">IFERROR(__xludf.DUMMYFUNCTION("IF
(
C9232=""фізична особа""
,
VLOOKUP(D9232,IMPORTRANGE(""https://docs.google.com/spreadsheets/d/14Bd19lYaqBhU8_DElYkX7l4wRkHqqCUFNJY4AfY3kHU/edit?usp=sharing  #gid=0"",""фіз особи new!relations_name""),6,FALSE)
,
(IF
(
C9232=""юридична особа""
,
VLOOKUP"&amp;"(D9232,IMPORTRANGE(""https://docs.google.com/spreadsheets/d/14Bd19lYaqBhU8_DElYkX7l4wRkHqqCUFNJY4AfY3kHU/edit?usp=sharing  #gid=0"",""фіз особи new!relations_name_uo""),7,FALSE)
,
)
))"),"КРИЛОВ Денис Олександрович")</f>
        <v>КРИЛОВ Денис Олександрович</v>
      </c>
      <c r="G9231" s="7" t="s">
        <v>10</v>
      </c>
      <c r="H9231" s="7">
        <v>2371</v>
      </c>
      <c r="I9231" s="8" t="str">
        <f ca="1">IFERROR(__xludf.DUMMYFUNCTION("IF
(
G9232=""фізична особа""
,
VLOOKUP(H9232,IMPORTRANGE(""https://docs.google.com/spreadsheets/d/14Bd19lYaqBhU8_DElYkX7l4wRkHqqCUFNJY4AfY3kHU/edit?usp=sharing  #gid=0"",""фіз особи new!relations_name""),6,FALSE)
,
(IF
(
G9232=""юридична особа""
,
VLOOKUP"&amp;"(H9232,IMPORTRANGE(""https://docs.google.com/spreadsheets/d/14Bd19lYaqBhU8_DElYkX7l4wRkHqqCUFNJY4AfY3kHU/edit?usp=sharing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1" s="7" t="s">
        <v>29</v>
      </c>
    </row>
    <row r="9232" spans="1:10" ht="13.2">
      <c r="A9232" s="7">
        <v>9231</v>
      </c>
      <c r="B9232" s="7">
        <v>1</v>
      </c>
      <c r="C9232" s="7" t="s">
        <v>10</v>
      </c>
      <c r="D9232" s="7">
        <v>11113</v>
      </c>
      <c r="E9232" s="7" t="s">
        <v>28</v>
      </c>
      <c r="F9232" s="8" t="str">
        <f ca="1">IFERROR(__xludf.DUMMYFUNCTION("IF
(
C9233=""фізична особа""
,
VLOOKUP(D9233,IMPORTRANGE(""https://docs.google.com/spreadsheets/d/14Bd19lYaqBhU8_DElYkX7l4wRkHqqCUFNJY4AfY3kHU/edit?usp=sharing  #gid=0"",""фіз особи new!relations_name""),6,FALSE)
,
(IF
(
C9233=""юридична особа""
,
VLOOKUP"&amp;"(D9233,IMPORTRANGE(""https://docs.google.com/spreadsheets/d/14Bd19lYaqBhU8_DElYkX7l4wRkHqqCUFNJY4AfY3kHU/edit?usp=sharing  #gid=0"",""фіз особи new!relations_name_uo""),7,FALSE)
,
)
))"),"АБОЗІН Олександр Володимирович")</f>
        <v>АБОЗІН Олександр Володимирович</v>
      </c>
      <c r="G9232" s="7" t="s">
        <v>10</v>
      </c>
      <c r="H9232" s="7">
        <v>2371</v>
      </c>
      <c r="I9232" s="8" t="str">
        <f ca="1">IFERROR(__xludf.DUMMYFUNCTION("IF
(
G9233=""фізична особа""
,
VLOOKUP(H9233,IMPORTRANGE(""https://docs.google.com/spreadsheets/d/14Bd19lYaqBhU8_DElYkX7l4wRkHqqCUFNJY4AfY3kHU/edit?usp=sharing  #gid=0"",""фіз особи new!relations_name""),6,FALSE)
,
(IF
(
G9233=""юридична особа""
,
VLOOKUP"&amp;"(H9233,IMPORTRANGE(""https://docs.google.com/spreadsheets/d/14Bd19lYaqBhU8_DElYkX7l4wRkHqqCUFNJY4AfY3kHU/edit?usp=sharing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2" s="7" t="s">
        <v>29</v>
      </c>
    </row>
    <row r="9233" spans="1:10" ht="13.2">
      <c r="A9233" s="7">
        <v>9232</v>
      </c>
      <c r="B9233" s="7">
        <v>1</v>
      </c>
      <c r="C9233" s="7" t="s">
        <v>10</v>
      </c>
      <c r="D9233" s="7">
        <v>11114</v>
      </c>
      <c r="E9233" s="7" t="s">
        <v>28</v>
      </c>
      <c r="F9233" s="8" t="str">
        <f ca="1">IFERROR(__xludf.DUMMYFUNCTION("IF
(
C9234=""фізична особа""
,
VLOOKUP(D9234,IMPORTRANGE(""https://docs.google.com/spreadsheets/d/14Bd19lYaqBhU8_DElYkX7l4wRkHqqCUFNJY4AfY3kHU/edit?usp=sharing  #gid=0"",""фіз особи new!relations_name""),6,FALSE)
,
(IF
(
C9234=""юридична особа""
,
VLOOKUP"&amp;"(D9234,IMPORTRANGE(""https://docs.google.com/spreadsheets/d/14Bd19lYaqBhU8_DElYkX7l4wRkHqqCUFNJY4AfY3kHU/edit?usp=sharing  #gid=0"",""фіз особи new!relations_name_uo""),7,FALSE)
,
)
))"),"ГАРМАЄВ Роман Васильович")</f>
        <v>ГАРМАЄВ Роман Васильович</v>
      </c>
      <c r="G9233" s="7" t="s">
        <v>10</v>
      </c>
      <c r="H9233" s="7">
        <v>2371</v>
      </c>
      <c r="I9233" s="8" t="str">
        <f ca="1">IFERROR(__xludf.DUMMYFUNCTION("IF
(
G9234=""фізична особа""
,
VLOOKUP(H9234,IMPORTRANGE(""https://docs.google.com/spreadsheets/d/14Bd19lYaqBhU8_DElYkX7l4wRkHqqCUFNJY4AfY3kHU/edit?usp=sharing  #gid=0"",""фіз особи new!relations_name""),6,FALSE)
,
(IF
(
G9234=""юридична особа""
,
VLOOKUP"&amp;"(H9234,IMPORTRANGE(""https://docs.google.com/spreadsheets/d/14Bd19lYaqBhU8_DElYkX7l4wRkHqqCUFNJY4AfY3kHU/edit?usp=sharing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3" s="7" t="s">
        <v>29</v>
      </c>
    </row>
    <row r="9234" spans="1:10" ht="13.2">
      <c r="A9234" s="7">
        <v>9233</v>
      </c>
      <c r="B9234" s="7">
        <v>1</v>
      </c>
      <c r="C9234" s="7" t="s">
        <v>10</v>
      </c>
      <c r="D9234" s="7">
        <v>11115</v>
      </c>
      <c r="E9234" s="7" t="s">
        <v>28</v>
      </c>
      <c r="F9234" s="8" t="str">
        <f ca="1">IFERROR(__xludf.DUMMYFUNCTION("IF
(
C9235=""фізична особа""
,
VLOOKUP(D9235,IMPORTRANGE(""https://docs.google.com/spreadsheets/d/14Bd19lYaqBhU8_DElYkX7l4wRkHqqCUFNJY4AfY3kHU/edit?usp=sharing  #gid=0"",""фіз особи new!relations_name""),6,FALSE)
,
(IF
(
C9235=""юридична особа""
,
VLOOKUP"&amp;"(D9235,IMPORTRANGE(""https://docs.google.com/spreadsheets/d/14Bd19lYaqBhU8_DElYkX7l4wRkHqqCUFNJY4AfY3kHU/edit?usp=sharing  #gid=0"",""фіз особи new!relations_name_uo""),7,FALSE)
,
)
))"),"ПІЩУЛІН Сергій Володимирович")</f>
        <v>ПІЩУЛІН Сергій Володимирович</v>
      </c>
      <c r="G9234" s="7" t="s">
        <v>10</v>
      </c>
      <c r="H9234" s="7">
        <v>2371</v>
      </c>
      <c r="I9234" s="8" t="str">
        <f ca="1">IFERROR(__xludf.DUMMYFUNCTION("IF
(
G9235=""фізична особа""
,
VLOOKUP(H9235,IMPORTRANGE(""https://docs.google.com/spreadsheets/d/14Bd19lYaqBhU8_DElYkX7l4wRkHqqCUFNJY4AfY3kHU/edit?usp=sharing  #gid=0"",""фіз особи new!relations_name""),6,FALSE)
,
(IF
(
G9235=""юридична особа""
,
VLOOKUP"&amp;"(H9235,IMPORTRANGE(""https://docs.google.com/spreadsheets/d/14Bd19lYaqBhU8_DElYkX7l4wRkHqqCUFNJY4AfY3kHU/edit?usp=sharing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4" s="7" t="s">
        <v>29</v>
      </c>
    </row>
    <row r="9235" spans="1:10" ht="13.2">
      <c r="A9235" s="7">
        <v>9234</v>
      </c>
      <c r="B9235" s="7">
        <v>1</v>
      </c>
      <c r="C9235" s="7" t="s">
        <v>10</v>
      </c>
      <c r="D9235" s="7">
        <v>11116</v>
      </c>
      <c r="E9235" s="7" t="s">
        <v>28</v>
      </c>
      <c r="F9235" s="8" t="str">
        <f ca="1">IFERROR(__xludf.DUMMYFUNCTION("IF
(
C9236=""фізична особа""
,
VLOOKUP(D9236,IMPORTRANGE(""https://docs.google.com/spreadsheets/d/14Bd19lYaqBhU8_DElYkX7l4wRkHqqCUFNJY4AfY3kHU/edit?usp=sharing  #gid=0"",""фіз особи new!relations_name""),6,FALSE)
,
(IF
(
C9236=""юридична особа""
,
VLOOKUP"&amp;"(D9236,IMPORTRANGE(""https://docs.google.com/spreadsheets/d/14Bd19lYaqBhU8_DElYkX7l4wRkHqqCUFNJY4AfY3kHU/edit?usp=sharing  #gid=0"",""фіз особи new!relations_name_uo""),7,FALSE)
,
)
))"),"МАЛКІН Олег Миколайович")</f>
        <v>МАЛКІН Олег Миколайович</v>
      </c>
      <c r="G9235" s="7" t="s">
        <v>10</v>
      </c>
      <c r="H9235" s="7">
        <v>2371</v>
      </c>
      <c r="I9235" s="8" t="str">
        <f ca="1">IFERROR(__xludf.DUMMYFUNCTION("IF
(
G9236=""фізична особа""
,
VLOOKUP(H9236,IMPORTRANGE(""https://docs.google.com/spreadsheets/d/14Bd19lYaqBhU8_DElYkX7l4wRkHqqCUFNJY4AfY3kHU/edit?usp=sharing  #gid=0"",""фіз особи new!relations_name""),6,FALSE)
,
(IF
(
G9236=""юридична особа""
,
VLOOKUP"&amp;"(H9236,IMPORTRANGE(""https://docs.google.com/spreadsheets/d/14Bd19lYaqBhU8_DElYkX7l4wRkHqqCUFNJY4AfY3kHU/edit?usp=sharing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5" s="7" t="s">
        <v>29</v>
      </c>
    </row>
    <row r="9236" spans="1:10" ht="13.2">
      <c r="A9236" s="7">
        <v>9235</v>
      </c>
      <c r="B9236" s="7">
        <v>1</v>
      </c>
      <c r="C9236" s="7" t="s">
        <v>10</v>
      </c>
      <c r="D9236" s="7">
        <v>11117</v>
      </c>
      <c r="E9236" s="7" t="s">
        <v>28</v>
      </c>
      <c r="F9236" s="8" t="str">
        <f ca="1">IFERROR(__xludf.DUMMYFUNCTION("IF
(
C9237=""фізична особа""
,
VLOOKUP(D9237,IMPORTRANGE(""https://docs.google.com/spreadsheets/d/14Bd19lYaqBhU8_DElYkX7l4wRkHqqCUFNJY4AfY3kHU/edit?usp=sharing  #gid=0"",""фіз особи new!relations_name""),6,FALSE)
,
(IF
(
C9237=""юридична особа""
,
VLOOKUP"&amp;"(D9237,IMPORTRANGE(""https://docs.google.com/spreadsheets/d/14Bd19lYaqBhU8_DElYkX7l4wRkHqqCUFNJY4AfY3kHU/edit?usp=sharing  #gid=0"",""фіз особи new!relations_name_uo""),7,FALSE)
,
)
))"),"ТОЛСТОУХОВ В'ячеслав Федорович")</f>
        <v>ТОЛСТОУХОВ В'ячеслав Федорович</v>
      </c>
      <c r="G9236" s="7" t="s">
        <v>10</v>
      </c>
      <c r="H9236" s="7">
        <v>2371</v>
      </c>
      <c r="I9236" s="8" t="str">
        <f ca="1">IFERROR(__xludf.DUMMYFUNCTION("IF
(
G9237=""фізична особа""
,
VLOOKUP(H9237,IMPORTRANGE(""https://docs.google.com/spreadsheets/d/14Bd19lYaqBhU8_DElYkX7l4wRkHqqCUFNJY4AfY3kHU/edit?usp=sharing  #gid=0"",""фіз особи new!relations_name""),6,FALSE)
,
(IF
(
G9237=""юридична особа""
,
VLOOKUP"&amp;"(H9237,IMPORTRANGE(""https://docs.google.com/spreadsheets/d/14Bd19lYaqBhU8_DElYkX7l4wRkHqqCUFNJY4AfY3kHU/edit?usp=sharing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6" s="7" t="s">
        <v>29</v>
      </c>
    </row>
    <row r="9237" spans="1:10" ht="13.2">
      <c r="A9237" s="7">
        <v>9236</v>
      </c>
      <c r="B9237" s="7">
        <v>1</v>
      </c>
      <c r="C9237" s="7" t="s">
        <v>10</v>
      </c>
      <c r="D9237" s="7">
        <v>11118</v>
      </c>
      <c r="E9237" s="7" t="s">
        <v>28</v>
      </c>
      <c r="F9237" s="8" t="str">
        <f ca="1">IFERROR(__xludf.DUMMYFUNCTION("IF
(
C9238=""фізична особа""
,
VLOOKUP(D9238,IMPORTRANGE(""https://docs.google.com/spreadsheets/d/14Bd19lYaqBhU8_DElYkX7l4wRkHqqCUFNJY4AfY3kHU/edit?usp=sharing  #gid=0"",""фіз особи new!relations_name""),6,FALSE)
,
(IF
(
C9238=""юридична особа""
,
VLOOKUP"&amp;"(D9238,IMPORTRANGE(""https://docs.google.com/spreadsheets/d/14Bd19lYaqBhU8_DElYkX7l4wRkHqqCUFNJY4AfY3kHU/edit?usp=sharing  #gid=0"",""фіз особи new!relations_name_uo""),7,FALSE)
,
)
))"),"ГОЛОНОПУЛОС Андрій Юрійович")</f>
        <v>ГОЛОНОПУЛОС Андрій Юрійович</v>
      </c>
      <c r="G9237" s="7" t="s">
        <v>10</v>
      </c>
      <c r="H9237" s="7">
        <v>2371</v>
      </c>
      <c r="I9237" s="8" t="str">
        <f ca="1">IFERROR(__xludf.DUMMYFUNCTION("IF
(
G9238=""фізична особа""
,
VLOOKUP(H9238,IMPORTRANGE(""https://docs.google.com/spreadsheets/d/14Bd19lYaqBhU8_DElYkX7l4wRkHqqCUFNJY4AfY3kHU/edit?usp=sharing  #gid=0"",""фіз особи new!relations_name""),6,FALSE)
,
(IF
(
G9238=""юридична особа""
,
VLOOKUP"&amp;"(H9238,IMPORTRANGE(""https://docs.google.com/spreadsheets/d/14Bd19lYaqBhU8_DElYkX7l4wRkHqqCUFNJY4AfY3kHU/edit?usp=sharing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7" s="7" t="s">
        <v>29</v>
      </c>
    </row>
    <row r="9238" spans="1:10" ht="13.2">
      <c r="A9238" s="7">
        <v>9237</v>
      </c>
      <c r="B9238" s="7">
        <v>1</v>
      </c>
      <c r="C9238" s="7" t="s">
        <v>10</v>
      </c>
      <c r="D9238" s="7">
        <v>11119</v>
      </c>
      <c r="E9238" s="7" t="s">
        <v>28</v>
      </c>
      <c r="F9238" s="8" t="str">
        <f ca="1">IFERROR(__xludf.DUMMYFUNCTION("IF
(
C9239=""фізична особа""
,
VLOOKUP(D9239,IMPORTRANGE(""https://docs.google.com/spreadsheets/d/14Bd19lYaqBhU8_DElYkX7l4wRkHqqCUFNJY4AfY3kHU/edit?usp=sharing  #gid=0"",""фіз особи new!relations_name""),6,FALSE)
,
(IF
(
C9239=""юридична особа""
,
VLOOKUP"&amp;"(D9239,IMPORTRANGE(""https://docs.google.com/spreadsheets/d/14Bd19lYaqBhU8_DElYkX7l4wRkHqqCUFNJY4AfY3kHU/edit?usp=sharing  #gid=0"",""фіз особи new!relations_name_uo""),7,FALSE)
,
)
))"),"ЖУКОВ Олександр Георгійович")</f>
        <v>ЖУКОВ Олександр Георгійович</v>
      </c>
      <c r="G9238" s="7" t="s">
        <v>10</v>
      </c>
      <c r="H9238" s="7">
        <v>2371</v>
      </c>
      <c r="I9238" s="8" t="str">
        <f ca="1">IFERROR(__xludf.DUMMYFUNCTION("IF
(
G9239=""фізична особа""
,
VLOOKUP(H9239,IMPORTRANGE(""https://docs.google.com/spreadsheets/d/14Bd19lYaqBhU8_DElYkX7l4wRkHqqCUFNJY4AfY3kHU/edit?usp=sharing  #gid=0"",""фіз особи new!relations_name""),6,FALSE)
,
(IF
(
G9239=""юридична особа""
,
VLOOKUP"&amp;"(H9239,IMPORTRANGE(""https://docs.google.com/spreadsheets/d/14Bd19lYaqBhU8_DElYkX7l4wRkHqqCUFNJY4AfY3kHU/edit?usp=sharing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8" s="7" t="s">
        <v>29</v>
      </c>
    </row>
    <row r="9239" spans="1:10" ht="13.2">
      <c r="A9239" s="7">
        <v>9238</v>
      </c>
      <c r="B9239" s="7">
        <v>1</v>
      </c>
      <c r="C9239" s="7" t="s">
        <v>10</v>
      </c>
      <c r="D9239" s="7">
        <v>11120</v>
      </c>
      <c r="E9239" s="7" t="s">
        <v>28</v>
      </c>
      <c r="F9239" s="8" t="str">
        <f ca="1">IFERROR(__xludf.DUMMYFUNCTION("IF
(
C9240=""фізична особа""
,
VLOOKUP(D9240,IMPORTRANGE(""https://docs.google.com/spreadsheets/d/14Bd19lYaqBhU8_DElYkX7l4wRkHqqCUFNJY4AfY3kHU/edit?usp=sharing  #gid=0"",""фіз особи new!relations_name""),6,FALSE)
,
(IF
(
C9240=""юридична особа""
,
VLOOKUP"&amp;"(D9240,IMPORTRANGE(""https://docs.google.com/spreadsheets/d/14Bd19lYaqBhU8_DElYkX7l4wRkHqqCUFNJY4AfY3kHU/edit?usp=sharing  #gid=0"",""фіз особи new!relations_name_uo""),7,FALSE)
,
)
))"),"ЯКОВЛЄВ Андрій Володимирович")</f>
        <v>ЯКОВЛЄВ Андрій Володимирович</v>
      </c>
      <c r="G9239" s="7" t="s">
        <v>10</v>
      </c>
      <c r="H9239" s="7">
        <v>2371</v>
      </c>
      <c r="I9239" s="8" t="str">
        <f ca="1">IFERROR(__xludf.DUMMYFUNCTION("IF
(
G9240=""фізична особа""
,
VLOOKUP(H9240,IMPORTRANGE(""https://docs.google.com/spreadsheets/d/14Bd19lYaqBhU8_DElYkX7l4wRkHqqCUFNJY4AfY3kHU/edit?usp=sharing  #gid=0"",""фіз особи new!relations_name""),6,FALSE)
,
(IF
(
G9240=""юридична особа""
,
VLOOKUP"&amp;"(H9240,IMPORTRANGE(""https://docs.google.com/spreadsheets/d/14Bd19lYaqBhU8_DElYkX7l4wRkHqqCUFNJY4AfY3kHU/edit?usp=sharing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39" s="7" t="s">
        <v>29</v>
      </c>
    </row>
    <row r="9240" spans="1:10" ht="13.2">
      <c r="A9240" s="7">
        <v>9239</v>
      </c>
      <c r="B9240" s="7">
        <v>1</v>
      </c>
      <c r="C9240" s="7" t="s">
        <v>10</v>
      </c>
      <c r="D9240" s="7">
        <v>11121</v>
      </c>
      <c r="E9240" s="7" t="s">
        <v>28</v>
      </c>
      <c r="F9240" s="8" t="str">
        <f ca="1">IFERROR(__xludf.DUMMYFUNCTION("IF
(
C9241=""фізична особа""
,
VLOOKUP(D9241,IMPORTRANGE(""https://docs.google.com/spreadsheets/d/14Bd19lYaqBhU8_DElYkX7l4wRkHqqCUFNJY4AfY3kHU/edit?usp=sharing  #gid=0"",""фіз особи new!relations_name""),6,FALSE)
,
(IF
(
C9241=""юридична особа""
,
VLOOKUP"&amp;"(D9241,IMPORTRANGE(""https://docs.google.com/spreadsheets/d/14Bd19lYaqBhU8_DElYkX7l4wRkHqqCUFNJY4AfY3kHU/edit?usp=sharing  #gid=0"",""фіз особи new!relations_name_uo""),7,FALSE)
,
)
))"),"МАТАЄВ Іван Володимирович")</f>
        <v>МАТАЄВ Іван Володимирович</v>
      </c>
      <c r="G9240" s="7" t="s">
        <v>10</v>
      </c>
      <c r="H9240" s="7">
        <v>2371</v>
      </c>
      <c r="I9240" s="8" t="str">
        <f ca="1">IFERROR(__xludf.DUMMYFUNCTION("IF
(
G9241=""фізична особа""
,
VLOOKUP(H9241,IMPORTRANGE(""https://docs.google.com/spreadsheets/d/14Bd19lYaqBhU8_DElYkX7l4wRkHqqCUFNJY4AfY3kHU/edit?usp=sharing  #gid=0"",""фіз особи new!relations_name""),6,FALSE)
,
(IF
(
G9241=""юридична особа""
,
VLOOKUP"&amp;"(H9241,IMPORTRANGE(""https://docs.google.com/spreadsheets/d/14Bd19lYaqBhU8_DElYkX7l4wRkHqqCUFNJY4AfY3kHU/edit?usp=sharing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0" s="7" t="s">
        <v>29</v>
      </c>
    </row>
    <row r="9241" spans="1:10" ht="13.2">
      <c r="A9241" s="7">
        <v>9240</v>
      </c>
      <c r="B9241" s="7">
        <v>1</v>
      </c>
      <c r="C9241" s="7" t="s">
        <v>10</v>
      </c>
      <c r="D9241" s="7">
        <v>11122</v>
      </c>
      <c r="E9241" s="7" t="s">
        <v>28</v>
      </c>
      <c r="F9241" s="8" t="str">
        <f ca="1">IFERROR(__xludf.DUMMYFUNCTION("IF
(
C9242=""фізична особа""
,
VLOOKUP(D9242,IMPORTRANGE(""https://docs.google.com/spreadsheets/d/14Bd19lYaqBhU8_DElYkX7l4wRkHqqCUFNJY4AfY3kHU/edit?usp=sharing  #gid=0"",""фіз особи new!relations_name""),6,FALSE)
,
(IF
(
C9242=""юридична особа""
,
VLOOKUP"&amp;"(D9242,IMPORTRANGE(""https://docs.google.com/spreadsheets/d/14Bd19lYaqBhU8_DElYkX7l4wRkHqqCUFNJY4AfY3kHU/edit?usp=sharing  #gid=0"",""фіз особи new!relations_name_uo""),7,FALSE)
,
)
))"),"КОТЮХ Сніжана Володимирівна")</f>
        <v>КОТЮХ Сніжана Володимирівна</v>
      </c>
      <c r="G9241" s="7" t="s">
        <v>10</v>
      </c>
      <c r="H9241" s="7">
        <v>2371</v>
      </c>
      <c r="I9241" s="8" t="str">
        <f ca="1">IFERROR(__xludf.DUMMYFUNCTION("IF
(
G9242=""фізична особа""
,
VLOOKUP(H9242,IMPORTRANGE(""https://docs.google.com/spreadsheets/d/14Bd19lYaqBhU8_DElYkX7l4wRkHqqCUFNJY4AfY3kHU/edit?usp=sharing  #gid=0"",""фіз особи new!relations_name""),6,FALSE)
,
(IF
(
G9242=""юридична особа""
,
VLOOKUP"&amp;"(H9242,IMPORTRANGE(""https://docs.google.com/spreadsheets/d/14Bd19lYaqBhU8_DElYkX7l4wRkHqqCUFNJY4AfY3kHU/edit?usp=sharing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1" s="7" t="s">
        <v>29</v>
      </c>
    </row>
    <row r="9242" spans="1:10" ht="13.2">
      <c r="A9242" s="7">
        <v>9241</v>
      </c>
      <c r="B9242" s="7">
        <v>1</v>
      </c>
      <c r="C9242" s="7" t="s">
        <v>10</v>
      </c>
      <c r="D9242" s="7">
        <v>11123</v>
      </c>
      <c r="E9242" s="7" t="s">
        <v>28</v>
      </c>
      <c r="F9242" s="8" t="str">
        <f ca="1">IFERROR(__xludf.DUMMYFUNCTION("IF
(
C9243=""фізична особа""
,
VLOOKUP(D9243,IMPORTRANGE(""https://docs.google.com/spreadsheets/d/14Bd19lYaqBhU8_DElYkX7l4wRkHqqCUFNJY4AfY3kHU/edit?usp=sharing  #gid=0"",""фіз особи new!relations_name""),6,FALSE)
,
(IF
(
C9243=""юридична особа""
,
VLOOKUP"&amp;"(D9243,IMPORTRANGE(""https://docs.google.com/spreadsheets/d/14Bd19lYaqBhU8_DElYkX7l4wRkHqqCUFNJY4AfY3kHU/edit?usp=sharing  #gid=0"",""фіз особи new!relations_name_uo""),7,FALSE)
,
)
))"),"РУМЯНЦЕВ Руслан Володимирович")</f>
        <v>РУМЯНЦЕВ Руслан Володимирович</v>
      </c>
      <c r="G9242" s="7" t="s">
        <v>10</v>
      </c>
      <c r="H9242" s="7">
        <v>2371</v>
      </c>
      <c r="I9242" s="8" t="str">
        <f ca="1">IFERROR(__xludf.DUMMYFUNCTION("IF
(
G9243=""фізична особа""
,
VLOOKUP(H9243,IMPORTRANGE(""https://docs.google.com/spreadsheets/d/14Bd19lYaqBhU8_DElYkX7l4wRkHqqCUFNJY4AfY3kHU/edit?usp=sharing  #gid=0"",""фіз особи new!relations_name""),6,FALSE)
,
(IF
(
G9243=""юридична особа""
,
VLOOKUP"&amp;"(H9243,IMPORTRANGE(""https://docs.google.com/spreadsheets/d/14Bd19lYaqBhU8_DElYkX7l4wRkHqqCUFNJY4AfY3kHU/edit?usp=sharing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2" s="7" t="s">
        <v>29</v>
      </c>
    </row>
    <row r="9243" spans="1:10" ht="13.2">
      <c r="A9243" s="7">
        <v>9242</v>
      </c>
      <c r="B9243" s="7">
        <v>1</v>
      </c>
      <c r="C9243" s="7" t="s">
        <v>10</v>
      </c>
      <c r="D9243" s="7">
        <v>11124</v>
      </c>
      <c r="E9243" s="7" t="s">
        <v>28</v>
      </c>
      <c r="F9243" s="8" t="str">
        <f ca="1">IFERROR(__xludf.DUMMYFUNCTION("IF
(
C9244=""фізична особа""
,
VLOOKUP(D9244,IMPORTRANGE(""https://docs.google.com/spreadsheets/d/14Bd19lYaqBhU8_DElYkX7l4wRkHqqCUFNJY4AfY3kHU/edit?usp=sharing  #gid=0"",""фіз особи new!relations_name""),6,FALSE)
,
(IF
(
C9244=""юридична особа""
,
VLOOKUP"&amp;"(D9244,IMPORTRANGE(""https://docs.google.com/spreadsheets/d/14Bd19lYaqBhU8_DElYkX7l4wRkHqqCUFNJY4AfY3kHU/edit?usp=sharing  #gid=0"",""фіз особи new!relations_name_uo""),7,FALSE)
,
)
))"),"ГРИШАКОВ Дмитро Володимирович")</f>
        <v>ГРИШАКОВ Дмитро Володимирович</v>
      </c>
      <c r="G9243" s="7" t="s">
        <v>10</v>
      </c>
      <c r="H9243" s="7">
        <v>2371</v>
      </c>
      <c r="I9243" s="8" t="str">
        <f ca="1">IFERROR(__xludf.DUMMYFUNCTION("IF
(
G9244=""фізична особа""
,
VLOOKUP(H9244,IMPORTRANGE(""https://docs.google.com/spreadsheets/d/14Bd19lYaqBhU8_DElYkX7l4wRkHqqCUFNJY4AfY3kHU/edit?usp=sharing  #gid=0"",""фіз особи new!relations_name""),6,FALSE)
,
(IF
(
G9244=""юридична особа""
,
VLOOKUP"&amp;"(H9244,IMPORTRANGE(""https://docs.google.com/spreadsheets/d/14Bd19lYaqBhU8_DElYkX7l4wRkHqqCUFNJY4AfY3kHU/edit?usp=sharing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3" s="7" t="s">
        <v>29</v>
      </c>
    </row>
    <row r="9244" spans="1:10" ht="13.2">
      <c r="A9244" s="7">
        <v>9243</v>
      </c>
      <c r="B9244" s="7">
        <v>1</v>
      </c>
      <c r="C9244" s="7" t="s">
        <v>10</v>
      </c>
      <c r="D9244" s="7">
        <v>11125</v>
      </c>
      <c r="E9244" s="7" t="s">
        <v>28</v>
      </c>
      <c r="F9244" s="8" t="str">
        <f ca="1">IFERROR(__xludf.DUMMYFUNCTION("IF
(
C9245=""фізична особа""
,
VLOOKUP(D9245,IMPORTRANGE(""https://docs.google.com/spreadsheets/d/14Bd19lYaqBhU8_DElYkX7l4wRkHqqCUFNJY4AfY3kHU/edit?usp=sharing  #gid=0"",""фіз особи new!relations_name""),6,FALSE)
,
(IF
(
C9245=""юридична особа""
,
VLOOKUP"&amp;"(D9245,IMPORTRANGE(""https://docs.google.com/spreadsheets/d/14Bd19lYaqBhU8_DElYkX7l4wRkHqqCUFNJY4AfY3kHU/edit?usp=sharing  #gid=0"",""фіз особи new!relations_name_uo""),7,FALSE)
,
)
))"),"ТАТАРІНОВ Юрій Олександрович")</f>
        <v>ТАТАРІНОВ Юрій Олександрович</v>
      </c>
      <c r="G9244" s="7" t="s">
        <v>10</v>
      </c>
      <c r="H9244" s="7">
        <v>2371</v>
      </c>
      <c r="I9244" s="8" t="str">
        <f ca="1">IFERROR(__xludf.DUMMYFUNCTION("IF
(
G9245=""фізична особа""
,
VLOOKUP(H9245,IMPORTRANGE(""https://docs.google.com/spreadsheets/d/14Bd19lYaqBhU8_DElYkX7l4wRkHqqCUFNJY4AfY3kHU/edit?usp=sharing  #gid=0"",""фіз особи new!relations_name""),6,FALSE)
,
(IF
(
G9245=""юридична особа""
,
VLOOKUP"&amp;"(H9245,IMPORTRANGE(""https://docs.google.com/spreadsheets/d/14Bd19lYaqBhU8_DElYkX7l4wRkHqqCUFNJY4AfY3kHU/edit?usp=sharing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4" s="7" t="s">
        <v>29</v>
      </c>
    </row>
    <row r="9245" spans="1:10" ht="13.2">
      <c r="A9245" s="7">
        <v>9244</v>
      </c>
      <c r="B9245" s="7">
        <v>1</v>
      </c>
      <c r="C9245" s="7" t="s">
        <v>10</v>
      </c>
      <c r="D9245" s="7">
        <v>11126</v>
      </c>
      <c r="E9245" s="7" t="s">
        <v>28</v>
      </c>
      <c r="F9245" s="8" t="str">
        <f ca="1">IFERROR(__xludf.DUMMYFUNCTION("IF
(
C9246=""фізична особа""
,
VLOOKUP(D9246,IMPORTRANGE(""https://docs.google.com/spreadsheets/d/14Bd19lYaqBhU8_DElYkX7l4wRkHqqCUFNJY4AfY3kHU/edit?usp=sharing  #gid=0"",""фіз особи new!relations_name""),6,FALSE)
,
(IF
(
C9246=""юридична особа""
,
VLOOKUP"&amp;"(D9246,IMPORTRANGE(""https://docs.google.com/spreadsheets/d/14Bd19lYaqBhU8_DElYkX7l4wRkHqqCUFNJY4AfY3kHU/edit?usp=sharing  #gid=0"",""фіз особи new!relations_name_uo""),7,FALSE)
,
)
))"),"ХРИСТЕНКО Олександр Вікторович")</f>
        <v>ХРИСТЕНКО Олександр Вікторович</v>
      </c>
      <c r="G9245" s="7" t="s">
        <v>10</v>
      </c>
      <c r="H9245" s="7">
        <v>2371</v>
      </c>
      <c r="I9245" s="8" t="str">
        <f ca="1">IFERROR(__xludf.DUMMYFUNCTION("IF
(
G9246=""фізична особа""
,
VLOOKUP(H9246,IMPORTRANGE(""https://docs.google.com/spreadsheets/d/14Bd19lYaqBhU8_DElYkX7l4wRkHqqCUFNJY4AfY3kHU/edit?usp=sharing  #gid=0"",""фіз особи new!relations_name""),6,FALSE)
,
(IF
(
G9246=""юридична особа""
,
VLOOKUP"&amp;"(H9246,IMPORTRANGE(""https://docs.google.com/spreadsheets/d/14Bd19lYaqBhU8_DElYkX7l4wRkHqqCUFNJY4AfY3kHU/edit?usp=sharing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5" s="7" t="s">
        <v>29</v>
      </c>
    </row>
    <row r="9246" spans="1:10" ht="13.2">
      <c r="A9246" s="7">
        <v>9245</v>
      </c>
      <c r="B9246" s="7">
        <v>1</v>
      </c>
      <c r="C9246" s="7" t="s">
        <v>10</v>
      </c>
      <c r="D9246" s="7">
        <v>11127</v>
      </c>
      <c r="E9246" s="7" t="s">
        <v>28</v>
      </c>
      <c r="F9246" s="8" t="str">
        <f ca="1">IFERROR(__xludf.DUMMYFUNCTION("IF
(
C9247=""фізична особа""
,
VLOOKUP(D9247,IMPORTRANGE(""https://docs.google.com/spreadsheets/d/14Bd19lYaqBhU8_DElYkX7l4wRkHqqCUFNJY4AfY3kHU/edit?usp=sharing  #gid=0"",""фіз особи new!relations_name""),6,FALSE)
,
(IF
(
C9247=""юридична особа""
,
VLOOKUP"&amp;"(D9247,IMPORTRANGE(""https://docs.google.com/spreadsheets/d/14Bd19lYaqBhU8_DElYkX7l4wRkHqqCUFNJY4AfY3kHU/edit?usp=sharing  #gid=0"",""фіз особи new!relations_name_uo""),7,FALSE)
,
)
))"),"ДЖАФАРОВ Магомед Раджабович")</f>
        <v>ДЖАФАРОВ Магомед Раджабович</v>
      </c>
      <c r="G9246" s="7" t="s">
        <v>10</v>
      </c>
      <c r="H9246" s="7">
        <v>2371</v>
      </c>
      <c r="I9246" s="8" t="str">
        <f ca="1">IFERROR(__xludf.DUMMYFUNCTION("IF
(
G9247=""фізична особа""
,
VLOOKUP(H9247,IMPORTRANGE(""https://docs.google.com/spreadsheets/d/14Bd19lYaqBhU8_DElYkX7l4wRkHqqCUFNJY4AfY3kHU/edit?usp=sharing  #gid=0"",""фіз особи new!relations_name""),6,FALSE)
,
(IF
(
G9247=""юридична особа""
,
VLOOKUP"&amp;"(H9247,IMPORTRANGE(""https://docs.google.com/spreadsheets/d/14Bd19lYaqBhU8_DElYkX7l4wRkHqqCUFNJY4AfY3kHU/edit?usp=sharing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6" s="7" t="s">
        <v>29</v>
      </c>
    </row>
    <row r="9247" spans="1:10" ht="13.2">
      <c r="A9247" s="7">
        <v>9246</v>
      </c>
      <c r="B9247" s="7">
        <v>1</v>
      </c>
      <c r="C9247" s="7" t="s">
        <v>10</v>
      </c>
      <c r="D9247" s="7">
        <v>11128</v>
      </c>
      <c r="E9247" s="7" t="s">
        <v>28</v>
      </c>
      <c r="F9247" s="8" t="str">
        <f ca="1">IFERROR(__xludf.DUMMYFUNCTION("IF
(
C9248=""фізична особа""
,
VLOOKUP(D9248,IMPORTRANGE(""https://docs.google.com/spreadsheets/d/14Bd19lYaqBhU8_DElYkX7l4wRkHqqCUFNJY4AfY3kHU/edit?usp=sharing  #gid=0"",""фіз особи new!relations_name""),6,FALSE)
,
(IF
(
C9248=""юридична особа""
,
VLOOKUP"&amp;"(D9248,IMPORTRANGE(""https://docs.google.com/spreadsheets/d/14Bd19lYaqBhU8_DElYkX7l4wRkHqqCUFNJY4AfY3kHU/edit?usp=sharing  #gid=0"",""фіз особи new!relations_name_uo""),7,FALSE)
,
)
))"),"РОЖНОВ Віктор Миколайович")</f>
        <v>РОЖНОВ Віктор Миколайович</v>
      </c>
      <c r="G9247" s="7" t="s">
        <v>10</v>
      </c>
      <c r="H9247" s="7">
        <v>2371</v>
      </c>
      <c r="I9247" s="8" t="str">
        <f ca="1">IFERROR(__xludf.DUMMYFUNCTION("IF
(
G9248=""фізична особа""
,
VLOOKUP(H9248,IMPORTRANGE(""https://docs.google.com/spreadsheets/d/14Bd19lYaqBhU8_DElYkX7l4wRkHqqCUFNJY4AfY3kHU/edit?usp=sharing  #gid=0"",""фіз особи new!relations_name""),6,FALSE)
,
(IF
(
G9248=""юридична особа""
,
VLOOKUP"&amp;"(H9248,IMPORTRANGE(""https://docs.google.com/spreadsheets/d/14Bd19lYaqBhU8_DElYkX7l4wRkHqqCUFNJY4AfY3kHU/edit?usp=sharing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7" s="7" t="s">
        <v>29</v>
      </c>
    </row>
    <row r="9248" spans="1:10" ht="13.2">
      <c r="A9248" s="7">
        <v>9247</v>
      </c>
      <c r="B9248" s="7">
        <v>1</v>
      </c>
      <c r="C9248" s="7" t="s">
        <v>10</v>
      </c>
      <c r="D9248" s="7">
        <v>11129</v>
      </c>
      <c r="E9248" s="7" t="s">
        <v>28</v>
      </c>
      <c r="F9248" s="8" t="str">
        <f ca="1">IFERROR(__xludf.DUMMYFUNCTION("IF
(
C9249=""фізична особа""
,
VLOOKUP(D9249,IMPORTRANGE(""https://docs.google.com/spreadsheets/d/14Bd19lYaqBhU8_DElYkX7l4wRkHqqCUFNJY4AfY3kHU/edit?usp=sharing  #gid=0"",""фіз особи new!relations_name""),6,FALSE)
,
(IF
(
C9249=""юридична особа""
,
VLOOKUP"&amp;"(D9249,IMPORTRANGE(""https://docs.google.com/spreadsheets/d/14Bd19lYaqBhU8_DElYkX7l4wRkHqqCUFNJY4AfY3kHU/edit?usp=sharing  #gid=0"",""фіз особи new!relations_name_uo""),7,FALSE)
,
)
))"),"ТКАЧЕВ Вадим Вікторович")</f>
        <v>ТКАЧЕВ Вадим Вікторович</v>
      </c>
      <c r="G9248" s="7" t="s">
        <v>10</v>
      </c>
      <c r="H9248" s="7">
        <v>2371</v>
      </c>
      <c r="I9248" s="8" t="str">
        <f ca="1">IFERROR(__xludf.DUMMYFUNCTION("IF
(
G9249=""фізична особа""
,
VLOOKUP(H9249,IMPORTRANGE(""https://docs.google.com/spreadsheets/d/14Bd19lYaqBhU8_DElYkX7l4wRkHqqCUFNJY4AfY3kHU/edit?usp=sharing  #gid=0"",""фіз особи new!relations_name""),6,FALSE)
,
(IF
(
G9249=""юридична особа""
,
VLOOKUP"&amp;"(H9249,IMPORTRANGE(""https://docs.google.com/spreadsheets/d/14Bd19lYaqBhU8_DElYkX7l4wRkHqqCUFNJY4AfY3kHU/edit?usp=sharing  #gid=0"",""фіз особи new!relations_name_uo""),7,FALSE)
,
)
))"),"ШЕСТАКОВ Ілля Васильович")</f>
        <v>ШЕСТАКОВ Ілля Васильович</v>
      </c>
      <c r="J9248" s="7" t="s">
        <v>29</v>
      </c>
    </row>
    <row r="9249" spans="1:10" ht="13.2">
      <c r="A9249" s="7">
        <v>9248</v>
      </c>
      <c r="B9249" s="7">
        <v>1</v>
      </c>
      <c r="C9249" s="7" t="s">
        <v>10</v>
      </c>
      <c r="D9249" s="7">
        <v>11130</v>
      </c>
      <c r="E9249" s="7" t="s">
        <v>28</v>
      </c>
      <c r="F9249" s="8" t="str">
        <f ca="1">IFERROR(__xludf.DUMMYFUNCTION("IF
(
C9250=""фізична особа""
,
VLOOKUP(D9250,IMPORTRANGE(""https://docs.google.com/spreadsheets/d/14Bd19lYaqBhU8_DElYkX7l4wRkHqqCUFNJY4AfY3kHU/edit?usp=sharing  #gid=0"",""фіз особи new!relations_name""),6,FALSE)
,
(IF
(
C9250=""юридична особа""
,
VLOOKUP"&amp;"(D9250,IMPORTRANGE(""https://docs.google.com/spreadsheets/d/14Bd19lYaqBhU8_DElYkX7l4wRkHqqCUFNJY4AfY3kHU/edit?usp=sharing  #gid=0"",""фіз особи new!relations_name_uo""),7,FALSE)
,
)
))"),"КРАВЧЕНКО Інна Василівна")</f>
        <v>КРАВЧЕНКО Інна Василівна</v>
      </c>
      <c r="G9249" s="7" t="s">
        <v>10</v>
      </c>
      <c r="H9249" s="7">
        <v>3087</v>
      </c>
      <c r="I9249" s="8" t="str">
        <f ca="1">IFERROR(__xludf.DUMMYFUNCTION("IF
(
G9250=""фізична особа""
,
VLOOKUP(H9250,IMPORTRANGE(""https://docs.google.com/spreadsheets/d/14Bd19lYaqBhU8_DElYkX7l4wRkHqqCUFNJY4AfY3kHU/edit?usp=sharing  #gid=0"",""фіз особи new!relations_name""),6,FALSE)
,
(IF
(
G9250=""юридична особа""
,
VLOOKUP"&amp;"(H9250,IMPORTRANGE(""https://docs.google.com/spreadsheets/d/14Bd19lYaqBhU8_DElYkX7l4wRkHqqCUFNJY4AfY3kHU/edit?usp=sharing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49" s="7" t="s">
        <v>29</v>
      </c>
    </row>
    <row r="9250" spans="1:10" ht="13.2">
      <c r="A9250" s="7">
        <v>9249</v>
      </c>
      <c r="B9250" s="7">
        <v>1</v>
      </c>
      <c r="C9250" s="7" t="s">
        <v>10</v>
      </c>
      <c r="D9250" s="7">
        <v>11130</v>
      </c>
      <c r="E9250" s="7" t="s">
        <v>28</v>
      </c>
      <c r="F9250" s="8" t="str">
        <f ca="1">IFERROR(__xludf.DUMMYFUNCTION("IF
(
C9251=""фізична особа""
,
VLOOKUP(D9251,IMPORTRANGE(""https://docs.google.com/spreadsheets/d/14Bd19lYaqBhU8_DElYkX7l4wRkHqqCUFNJY4AfY3kHU/edit?usp=sharing  #gid=0"",""фіз особи new!relations_name""),6,FALSE)
,
(IF
(
C9251=""юридична особа""
,
VLOOKUP"&amp;"(D9251,IMPORTRANGE(""https://docs.google.com/spreadsheets/d/14Bd19lYaqBhU8_DElYkX7l4wRkHqqCUFNJY4AfY3kHU/edit?usp=sharing  #gid=0"",""фіз особи new!relations_name_uo""),7,FALSE)
,
)
))"),"КРАВЧЕНКО Інна Василівна")</f>
        <v>КРАВЧЕНКО Інна Василівна</v>
      </c>
      <c r="G9250" s="7" t="s">
        <v>10</v>
      </c>
      <c r="H9250" s="7">
        <v>23580</v>
      </c>
      <c r="I9250" s="8" t="str">
        <f ca="1">IFERROR(__xludf.DUMMYFUNCTION("IF
(
G9251=""фізична особа""
,
VLOOKUP(H9251,IMPORTRANGE(""https://docs.google.com/spreadsheets/d/14Bd19lYaqBhU8_DElYkX7l4wRkHqqCUFNJY4AfY3kHU/edit?usp=sharing  #gid=0"",""фіз особи new!relations_name""),6,FALSE)
,
(IF
(
G9251=""юридична особа""
,
VLOOKUP"&amp;"(H9251,IMPORTRANGE(""https://docs.google.com/spreadsheets/d/14Bd19lYaqBhU8_DElYkX7l4wRkHqqCUFNJY4AfY3kHU/edit?usp=sharing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50" s="7" t="s">
        <v>116</v>
      </c>
    </row>
    <row r="9251" spans="1:10" ht="13.2">
      <c r="A9251" s="7">
        <v>9250</v>
      </c>
      <c r="B9251" s="7">
        <v>1</v>
      </c>
      <c r="C9251" s="7" t="s">
        <v>10</v>
      </c>
      <c r="D9251" s="7">
        <v>11131</v>
      </c>
      <c r="E9251" s="7" t="s">
        <v>28</v>
      </c>
      <c r="F9251" s="8" t="str">
        <f ca="1">IFERROR(__xludf.DUMMYFUNCTION("IF
(
C9252=""фізична особа""
,
VLOOKUP(D9252,IMPORTRANGE(""https://docs.google.com/spreadsheets/d/14Bd19lYaqBhU8_DElYkX7l4wRkHqqCUFNJY4AfY3kHU/edit?usp=sharing  #gid=0"",""фіз особи new!relations_name""),6,FALSE)
,
(IF
(
C9252=""юридична особа""
,
VLOOKUP"&amp;"(D9252,IMPORTRANGE(""https://docs.google.com/spreadsheets/d/14Bd19lYaqBhU8_DElYkX7l4wRkHqqCUFNJY4AfY3kHU/edit?usp=sharing  #gid=0"",""фіз особи new!relations_name_uo""),7,FALSE)
,
)
))"),"ПИЛИПЕНКО Галина Олександрівна")</f>
        <v>ПИЛИПЕНКО Галина Олександрівна</v>
      </c>
      <c r="G9251" s="7" t="s">
        <v>10</v>
      </c>
      <c r="H9251" s="7">
        <v>3087</v>
      </c>
      <c r="I9251" s="8" t="str">
        <f ca="1">IFERROR(__xludf.DUMMYFUNCTION("IF
(
G9252=""фізична особа""
,
VLOOKUP(H9252,IMPORTRANGE(""https://docs.google.com/spreadsheets/d/14Bd19lYaqBhU8_DElYkX7l4wRkHqqCUFNJY4AfY3kHU/edit?usp=sharing  #gid=0"",""фіз особи new!relations_name""),6,FALSE)
,
(IF
(
G9252=""юридична особа""
,
VLOOKUP"&amp;"(H9252,IMPORTRANGE(""https://docs.google.com/spreadsheets/d/14Bd19lYaqBhU8_DElYkX7l4wRkHqqCUFNJY4AfY3kHU/edit?usp=sharing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51" s="7" t="s">
        <v>29</v>
      </c>
    </row>
    <row r="9252" spans="1:10" ht="13.2">
      <c r="A9252" s="7">
        <v>9251</v>
      </c>
      <c r="B9252" s="7">
        <v>1</v>
      </c>
      <c r="C9252" s="7" t="s">
        <v>10</v>
      </c>
      <c r="D9252" s="7">
        <v>11131</v>
      </c>
      <c r="E9252" s="7" t="s">
        <v>28</v>
      </c>
      <c r="F9252" s="8" t="str">
        <f ca="1">IFERROR(__xludf.DUMMYFUNCTION("IF
(
C9253=""фізична особа""
,
VLOOKUP(D9253,IMPORTRANGE(""https://docs.google.com/spreadsheets/d/14Bd19lYaqBhU8_DElYkX7l4wRkHqqCUFNJY4AfY3kHU/edit?usp=sharing  #gid=0"",""фіз особи new!relations_name""),6,FALSE)
,
(IF
(
C9253=""юридична особа""
,
VLOOKUP"&amp;"(D9253,IMPORTRANGE(""https://docs.google.com/spreadsheets/d/14Bd19lYaqBhU8_DElYkX7l4wRkHqqCUFNJY4AfY3kHU/edit?usp=sharing  #gid=0"",""фіз особи new!relations_name_uo""),7,FALSE)
,
)
))"),"ПИЛИПЕНКО Галина Олександрівна")</f>
        <v>ПИЛИПЕНКО Галина Олександрівна</v>
      </c>
      <c r="G9252" s="7" t="s">
        <v>10</v>
      </c>
      <c r="H9252" s="7">
        <v>23580</v>
      </c>
      <c r="I9252" s="8" t="str">
        <f ca="1">IFERROR(__xludf.DUMMYFUNCTION("IF
(
G9253=""фізична особа""
,
VLOOKUP(H9253,IMPORTRANGE(""https://docs.google.com/spreadsheets/d/14Bd19lYaqBhU8_DElYkX7l4wRkHqqCUFNJY4AfY3kHU/edit?usp=sharing  #gid=0"",""фіз особи new!relations_name""),6,FALSE)
,
(IF
(
G9253=""юридична особа""
,
VLOOKUP"&amp;"(H9253,IMPORTRANGE(""https://docs.google.com/spreadsheets/d/14Bd19lYaqBhU8_DElYkX7l4wRkHqqCUFNJY4AfY3kHU/edit?usp=sharing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52" s="7" t="s">
        <v>116</v>
      </c>
    </row>
    <row r="9253" spans="1:10" ht="13.2">
      <c r="A9253" s="7">
        <v>9252</v>
      </c>
      <c r="B9253" s="7">
        <v>1</v>
      </c>
      <c r="C9253" s="7" t="s">
        <v>10</v>
      </c>
      <c r="D9253" s="7">
        <v>11132</v>
      </c>
      <c r="E9253" s="7" t="s">
        <v>28</v>
      </c>
      <c r="F9253" s="8" t="str">
        <f ca="1">IFERROR(__xludf.DUMMYFUNCTION("IF
(
C9254=""фізична особа""
,
VLOOKUP(D9254,IMPORTRANGE(""https://docs.google.com/spreadsheets/d/14Bd19lYaqBhU8_DElYkX7l4wRkHqqCUFNJY4AfY3kHU/edit?usp=sharing  #gid=0"",""фіз особи new!relations_name""),6,FALSE)
,
(IF
(
C9254=""юридична особа""
,
VLOOKUP"&amp;"(D9254,IMPORTRANGE(""https://docs.google.com/spreadsheets/d/14Bd19lYaqBhU8_DElYkX7l4wRkHqqCUFNJY4AfY3kHU/edit?usp=sharing  #gid=0"",""фіз особи new!relations_name_uo""),7,FALSE)
,
)
))"),"АСАДУЛЛІН Мідхат Наїльєвич")</f>
        <v>АСАДУЛЛІН Мідхат Наїльєвич</v>
      </c>
      <c r="G9253" s="7" t="s">
        <v>10</v>
      </c>
      <c r="H9253" s="7">
        <v>3087</v>
      </c>
      <c r="I9253" s="8" t="str">
        <f ca="1">IFERROR(__xludf.DUMMYFUNCTION("IF
(
G9254=""фізична особа""
,
VLOOKUP(H9254,IMPORTRANGE(""https://docs.google.com/spreadsheets/d/14Bd19lYaqBhU8_DElYkX7l4wRkHqqCUFNJY4AfY3kHU/edit?usp=sharing  #gid=0"",""фіз особи new!relations_name""),6,FALSE)
,
(IF
(
G9254=""юридична особа""
,
VLOOKUP"&amp;"(H9254,IMPORTRANGE(""https://docs.google.com/spreadsheets/d/14Bd19lYaqBhU8_DElYkX7l4wRkHqqCUFNJY4AfY3kHU/edit?usp=sharing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53" s="7" t="s">
        <v>29</v>
      </c>
    </row>
    <row r="9254" spans="1:10" ht="13.2">
      <c r="A9254" s="7">
        <v>9253</v>
      </c>
      <c r="B9254" s="7">
        <v>1</v>
      </c>
      <c r="C9254" s="7" t="s">
        <v>10</v>
      </c>
      <c r="D9254" s="7">
        <v>11132</v>
      </c>
      <c r="E9254" s="7" t="s">
        <v>28</v>
      </c>
      <c r="F9254" s="8" t="str">
        <f ca="1">IFERROR(__xludf.DUMMYFUNCTION("IF
(
C9255=""фізична особа""
,
VLOOKUP(D9255,IMPORTRANGE(""https://docs.google.com/spreadsheets/d/14Bd19lYaqBhU8_DElYkX7l4wRkHqqCUFNJY4AfY3kHU/edit?usp=sharing  #gid=0"",""фіз особи new!relations_name""),6,FALSE)
,
(IF
(
C9255=""юридична особа""
,
VLOOKUP"&amp;"(D9255,IMPORTRANGE(""https://docs.google.com/spreadsheets/d/14Bd19lYaqBhU8_DElYkX7l4wRkHqqCUFNJY4AfY3kHU/edit?usp=sharing  #gid=0"",""фіз особи new!relations_name_uo""),7,FALSE)
,
)
))"),"АСАДУЛЛІН Мідхат Наїльєвич")</f>
        <v>АСАДУЛЛІН Мідхат Наїльєвич</v>
      </c>
      <c r="G9254" s="7" t="s">
        <v>10</v>
      </c>
      <c r="H9254" s="7">
        <v>23580</v>
      </c>
      <c r="I9254" s="8" t="str">
        <f ca="1">IFERROR(__xludf.DUMMYFUNCTION("IF
(
G9255=""фізична особа""
,
VLOOKUP(H9255,IMPORTRANGE(""https://docs.google.com/spreadsheets/d/14Bd19lYaqBhU8_DElYkX7l4wRkHqqCUFNJY4AfY3kHU/edit?usp=sharing  #gid=0"",""фіз особи new!relations_name""),6,FALSE)
,
(IF
(
G9255=""юридична особа""
,
VLOOKUP"&amp;"(H9255,IMPORTRANGE(""https://docs.google.com/spreadsheets/d/14Bd19lYaqBhU8_DElYkX7l4wRkHqqCUFNJY4AfY3kHU/edit?usp=sharing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54" s="7" t="s">
        <v>116</v>
      </c>
    </row>
    <row r="9255" spans="1:10" ht="13.2">
      <c r="A9255" s="7">
        <v>9254</v>
      </c>
      <c r="B9255" s="7">
        <v>1</v>
      </c>
      <c r="C9255" s="7" t="s">
        <v>10</v>
      </c>
      <c r="D9255" s="7">
        <v>11133</v>
      </c>
      <c r="E9255" s="7" t="s">
        <v>28</v>
      </c>
      <c r="F9255" s="8" t="str">
        <f ca="1">IFERROR(__xludf.DUMMYFUNCTION("IF
(
C9256=""фізична особа""
,
VLOOKUP(D9256,IMPORTRANGE(""https://docs.google.com/spreadsheets/d/14Bd19lYaqBhU8_DElYkX7l4wRkHqqCUFNJY4AfY3kHU/edit?usp=sharing  #gid=0"",""фіз особи new!relations_name""),6,FALSE)
,
(IF
(
C9256=""юридична особа""
,
VLOOKUP"&amp;"(D9256,IMPORTRANGE(""https://docs.google.com/spreadsheets/d/14Bd19lYaqBhU8_DElYkX7l4wRkHqqCUFNJY4AfY3kHU/edit?usp=sharing  #gid=0"",""фіз особи new!relations_name_uo""),7,FALSE)
,
)
))"),"СУЩЕВСЬКА Юлія Володимирівна")</f>
        <v>СУЩЕВСЬКА Юлія Володимирівна</v>
      </c>
      <c r="G9255" s="7" t="s">
        <v>10</v>
      </c>
      <c r="H9255" s="7">
        <v>3087</v>
      </c>
      <c r="I9255" s="8" t="str">
        <f ca="1">IFERROR(__xludf.DUMMYFUNCTION("IF
(
G9256=""фізична особа""
,
VLOOKUP(H9256,IMPORTRANGE(""https://docs.google.com/spreadsheets/d/14Bd19lYaqBhU8_DElYkX7l4wRkHqqCUFNJY4AfY3kHU/edit?usp=sharing  #gid=0"",""фіз особи new!relations_name""),6,FALSE)
,
(IF
(
G9256=""юридична особа""
,
VLOOKUP"&amp;"(H9256,IMPORTRANGE(""https://docs.google.com/spreadsheets/d/14Bd19lYaqBhU8_DElYkX7l4wRkHqqCUFNJY4AfY3kHU/edit?usp=sharing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55" s="7" t="s">
        <v>29</v>
      </c>
    </row>
    <row r="9256" spans="1:10" ht="13.2">
      <c r="A9256" s="7">
        <v>9255</v>
      </c>
      <c r="B9256" s="7">
        <v>1</v>
      </c>
      <c r="C9256" s="7" t="s">
        <v>10</v>
      </c>
      <c r="D9256" s="7">
        <v>11133</v>
      </c>
      <c r="E9256" s="7" t="s">
        <v>28</v>
      </c>
      <c r="F9256" s="8" t="str">
        <f ca="1">IFERROR(__xludf.DUMMYFUNCTION("IF
(
C9257=""фізична особа""
,
VLOOKUP(D9257,IMPORTRANGE(""https://docs.google.com/spreadsheets/d/14Bd19lYaqBhU8_DElYkX7l4wRkHqqCUFNJY4AfY3kHU/edit?usp=sharing  #gid=0"",""фіз особи new!relations_name""),6,FALSE)
,
(IF
(
C9257=""юридична особа""
,
VLOOKUP"&amp;"(D9257,IMPORTRANGE(""https://docs.google.com/spreadsheets/d/14Bd19lYaqBhU8_DElYkX7l4wRkHqqCUFNJY4AfY3kHU/edit?usp=sharing  #gid=0"",""фіз особи new!relations_name_uo""),7,FALSE)
,
)
))"),"СУЩЕВСЬКА Юлія Володимирівна")</f>
        <v>СУЩЕВСЬКА Юлія Володимирівна</v>
      </c>
      <c r="G9256" s="7" t="s">
        <v>10</v>
      </c>
      <c r="H9256" s="7">
        <v>23580</v>
      </c>
      <c r="I9256" s="8" t="str">
        <f ca="1">IFERROR(__xludf.DUMMYFUNCTION("IF
(
G9257=""фізична особа""
,
VLOOKUP(H9257,IMPORTRANGE(""https://docs.google.com/spreadsheets/d/14Bd19lYaqBhU8_DElYkX7l4wRkHqqCUFNJY4AfY3kHU/edit?usp=sharing  #gid=0"",""фіз особи new!relations_name""),6,FALSE)
,
(IF
(
G9257=""юридична особа""
,
VLOOKUP"&amp;"(H9257,IMPORTRANGE(""https://docs.google.com/spreadsheets/d/14Bd19lYaqBhU8_DElYkX7l4wRkHqqCUFNJY4AfY3kHU/edit?usp=sharing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56" s="7" t="s">
        <v>116</v>
      </c>
    </row>
    <row r="9257" spans="1:10" ht="13.2">
      <c r="A9257" s="7">
        <v>9256</v>
      </c>
      <c r="B9257" s="7">
        <v>1</v>
      </c>
      <c r="C9257" s="7" t="s">
        <v>10</v>
      </c>
      <c r="D9257" s="7">
        <v>11134</v>
      </c>
      <c r="E9257" s="7" t="s">
        <v>28</v>
      </c>
      <c r="F9257" s="8" t="str">
        <f ca="1">IFERROR(__xludf.DUMMYFUNCTION("IF
(
C9258=""фізична особа""
,
VLOOKUP(D9258,IMPORTRANGE(""https://docs.google.com/spreadsheets/d/14Bd19lYaqBhU8_DElYkX7l4wRkHqqCUFNJY4AfY3kHU/edit?usp=sharing  #gid=0"",""фіз особи new!relations_name""),6,FALSE)
,
(IF
(
C9258=""юридична особа""
,
VLOOKUP"&amp;"(D9258,IMPORTRANGE(""https://docs.google.com/spreadsheets/d/14Bd19lYaqBhU8_DElYkX7l4wRkHqqCUFNJY4AfY3kHU/edit?usp=sharing  #gid=0"",""фіз особи new!relations_name_uo""),7,FALSE)
,
)
))"),"ОРОБЕЙ Сергій Геннадійович")</f>
        <v>ОРОБЕЙ Сергій Геннадійович</v>
      </c>
      <c r="G9257" s="7" t="s">
        <v>10</v>
      </c>
      <c r="H9257" s="7">
        <v>3087</v>
      </c>
      <c r="I9257" s="8" t="str">
        <f ca="1">IFERROR(__xludf.DUMMYFUNCTION("IF
(
G9258=""фізична особа""
,
VLOOKUP(H9258,IMPORTRANGE(""https://docs.google.com/spreadsheets/d/14Bd19lYaqBhU8_DElYkX7l4wRkHqqCUFNJY4AfY3kHU/edit?usp=sharing  #gid=0"",""фіз особи new!relations_name""),6,FALSE)
,
(IF
(
G9258=""юридична особа""
,
VLOOKUP"&amp;"(H9258,IMPORTRANGE(""https://docs.google.com/spreadsheets/d/14Bd19lYaqBhU8_DElYkX7l4wRkHqqCUFNJY4AfY3kHU/edit?usp=sharing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57" s="7" t="s">
        <v>29</v>
      </c>
    </row>
    <row r="9258" spans="1:10" ht="13.2">
      <c r="A9258" s="7">
        <v>9257</v>
      </c>
      <c r="B9258" s="7">
        <v>1</v>
      </c>
      <c r="C9258" s="7" t="s">
        <v>10</v>
      </c>
      <c r="D9258" s="7">
        <v>11134</v>
      </c>
      <c r="E9258" s="7" t="s">
        <v>28</v>
      </c>
      <c r="F9258" s="8" t="str">
        <f ca="1">IFERROR(__xludf.DUMMYFUNCTION("IF
(
C9259=""фізична особа""
,
VLOOKUP(D9259,IMPORTRANGE(""https://docs.google.com/spreadsheets/d/14Bd19lYaqBhU8_DElYkX7l4wRkHqqCUFNJY4AfY3kHU/edit?usp=sharing  #gid=0"",""фіз особи new!relations_name""),6,FALSE)
,
(IF
(
C9259=""юридична особа""
,
VLOOKUP"&amp;"(D9259,IMPORTRANGE(""https://docs.google.com/spreadsheets/d/14Bd19lYaqBhU8_DElYkX7l4wRkHqqCUFNJY4AfY3kHU/edit?usp=sharing  #gid=0"",""фіз особи new!relations_name_uo""),7,FALSE)
,
)
))"),"ОРОБЕЙ Сергій Геннадійович")</f>
        <v>ОРОБЕЙ Сергій Геннадійович</v>
      </c>
      <c r="G9258" s="7" t="s">
        <v>10</v>
      </c>
      <c r="H9258" s="7">
        <v>23580</v>
      </c>
      <c r="I9258" s="8" t="str">
        <f ca="1">IFERROR(__xludf.DUMMYFUNCTION("IF
(
G9259=""фізична особа""
,
VLOOKUP(H9259,IMPORTRANGE(""https://docs.google.com/spreadsheets/d/14Bd19lYaqBhU8_DElYkX7l4wRkHqqCUFNJY4AfY3kHU/edit?usp=sharing  #gid=0"",""фіз особи new!relations_name""),6,FALSE)
,
(IF
(
G9259=""юридична особа""
,
VLOOKUP"&amp;"(H9259,IMPORTRANGE(""https://docs.google.com/spreadsheets/d/14Bd19lYaqBhU8_DElYkX7l4wRkHqqCUFNJY4AfY3kHU/edit?usp=sharing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58" s="7" t="s">
        <v>116</v>
      </c>
    </row>
    <row r="9259" spans="1:10" ht="13.2">
      <c r="A9259" s="7">
        <v>9258</v>
      </c>
      <c r="B9259" s="7">
        <v>1</v>
      </c>
      <c r="C9259" s="7" t="s">
        <v>10</v>
      </c>
      <c r="D9259" s="7">
        <v>11135</v>
      </c>
      <c r="E9259" s="7" t="s">
        <v>28</v>
      </c>
      <c r="F9259" s="8" t="str">
        <f ca="1">IFERROR(__xludf.DUMMYFUNCTION("IF
(
C9260=""фізична особа""
,
VLOOKUP(D9260,IMPORTRANGE(""https://docs.google.com/spreadsheets/d/14Bd19lYaqBhU8_DElYkX7l4wRkHqqCUFNJY4AfY3kHU/edit?usp=sharing  #gid=0"",""фіз особи new!relations_name""),6,FALSE)
,
(IF
(
C9260=""юридична особа""
,
VLOOKUP"&amp;"(D9260,IMPORTRANGE(""https://docs.google.com/spreadsheets/d/14Bd19lYaqBhU8_DElYkX7l4wRkHqqCUFNJY4AfY3kHU/edit?usp=sharing  #gid=0"",""фіз особи new!relations_name_uo""),7,FALSE)
,
)
))"),"КОБЯКОВА Олена Анатоліївна")</f>
        <v>КОБЯКОВА Олена Анатоліївна</v>
      </c>
      <c r="G9259" s="7" t="s">
        <v>10</v>
      </c>
      <c r="H9259" s="7">
        <v>3087</v>
      </c>
      <c r="I9259" s="8" t="str">
        <f ca="1">IFERROR(__xludf.DUMMYFUNCTION("IF
(
G9260=""фізична особа""
,
VLOOKUP(H9260,IMPORTRANGE(""https://docs.google.com/spreadsheets/d/14Bd19lYaqBhU8_DElYkX7l4wRkHqqCUFNJY4AfY3kHU/edit?usp=sharing  #gid=0"",""фіз особи new!relations_name""),6,FALSE)
,
(IF
(
G9260=""юридична особа""
,
VLOOKUP"&amp;"(H9260,IMPORTRANGE(""https://docs.google.com/spreadsheets/d/14Bd19lYaqBhU8_DElYkX7l4wRkHqqCUFNJY4AfY3kHU/edit?usp=sharing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59" s="7" t="s">
        <v>29</v>
      </c>
    </row>
    <row r="9260" spans="1:10" ht="13.2">
      <c r="A9260" s="7">
        <v>9259</v>
      </c>
      <c r="B9260" s="7">
        <v>1</v>
      </c>
      <c r="C9260" s="7" t="s">
        <v>10</v>
      </c>
      <c r="D9260" s="7">
        <v>11135</v>
      </c>
      <c r="E9260" s="7" t="s">
        <v>28</v>
      </c>
      <c r="F9260" s="8" t="str">
        <f ca="1">IFERROR(__xludf.DUMMYFUNCTION("IF
(
C9261=""фізична особа""
,
VLOOKUP(D9261,IMPORTRANGE(""https://docs.google.com/spreadsheets/d/14Bd19lYaqBhU8_DElYkX7l4wRkHqqCUFNJY4AfY3kHU/edit?usp=sharing  #gid=0"",""фіз особи new!relations_name""),6,FALSE)
,
(IF
(
C9261=""юридична особа""
,
VLOOKUP"&amp;"(D9261,IMPORTRANGE(""https://docs.google.com/spreadsheets/d/14Bd19lYaqBhU8_DElYkX7l4wRkHqqCUFNJY4AfY3kHU/edit?usp=sharing  #gid=0"",""фіз особи new!relations_name_uo""),7,FALSE)
,
)
))"),"КОБЯКОВА Олена Анатоліївна")</f>
        <v>КОБЯКОВА Олена Анатоліївна</v>
      </c>
      <c r="G9260" s="7" t="s">
        <v>10</v>
      </c>
      <c r="H9260" s="7">
        <v>23580</v>
      </c>
      <c r="I9260" s="8" t="str">
        <f ca="1">IFERROR(__xludf.DUMMYFUNCTION("IF
(
G9261=""фізична особа""
,
VLOOKUP(H9261,IMPORTRANGE(""https://docs.google.com/spreadsheets/d/14Bd19lYaqBhU8_DElYkX7l4wRkHqqCUFNJY4AfY3kHU/edit?usp=sharing  #gid=0"",""фіз особи new!relations_name""),6,FALSE)
,
(IF
(
G9261=""юридична особа""
,
VLOOKUP"&amp;"(H9261,IMPORTRANGE(""https://docs.google.com/spreadsheets/d/14Bd19lYaqBhU8_DElYkX7l4wRkHqqCUFNJY4AfY3kHU/edit?usp=sharing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60" s="7" t="s">
        <v>116</v>
      </c>
    </row>
    <row r="9261" spans="1:10" ht="13.2">
      <c r="A9261" s="7">
        <v>9260</v>
      </c>
      <c r="B9261" s="7">
        <v>1</v>
      </c>
      <c r="C9261" s="7" t="s">
        <v>10</v>
      </c>
      <c r="D9261" s="7">
        <v>11136</v>
      </c>
      <c r="E9261" s="7" t="s">
        <v>28</v>
      </c>
      <c r="F9261" s="8" t="str">
        <f ca="1">IFERROR(__xludf.DUMMYFUNCTION("IF
(
C9262=""фізична особа""
,
VLOOKUP(D9262,IMPORTRANGE(""https://docs.google.com/spreadsheets/d/14Bd19lYaqBhU8_DElYkX7l4wRkHqqCUFNJY4AfY3kHU/edit?usp=sharing  #gid=0"",""фіз особи new!relations_name""),6,FALSE)
,
(IF
(
C9262=""юридична особа""
,
VLOOKUP"&amp;"(D9262,IMPORTRANGE(""https://docs.google.com/spreadsheets/d/14Bd19lYaqBhU8_DElYkX7l4wRkHqqCUFNJY4AfY3kHU/edit?usp=sharing  #gid=0"",""фіз особи new!relations_name_uo""),7,FALSE)
,
)
))"),"САВЧЕНКО Оксана Юріївна")</f>
        <v>САВЧЕНКО Оксана Юріївна</v>
      </c>
      <c r="G9261" s="7" t="s">
        <v>10</v>
      </c>
      <c r="H9261" s="7">
        <v>3087</v>
      </c>
      <c r="I9261" s="8" t="str">
        <f ca="1">IFERROR(__xludf.DUMMYFUNCTION("IF
(
G9262=""фізична особа""
,
VLOOKUP(H9262,IMPORTRANGE(""https://docs.google.com/spreadsheets/d/14Bd19lYaqBhU8_DElYkX7l4wRkHqqCUFNJY4AfY3kHU/edit?usp=sharing  #gid=0"",""фіз особи new!relations_name""),6,FALSE)
,
(IF
(
G9262=""юридична особа""
,
VLOOKUP"&amp;"(H9262,IMPORTRANGE(""https://docs.google.com/spreadsheets/d/14Bd19lYaqBhU8_DElYkX7l4wRkHqqCUFNJY4AfY3kHU/edit?usp=sharing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61" s="7" t="s">
        <v>29</v>
      </c>
    </row>
    <row r="9262" spans="1:10" ht="13.2">
      <c r="A9262" s="7">
        <v>9261</v>
      </c>
      <c r="B9262" s="7">
        <v>1</v>
      </c>
      <c r="C9262" s="7" t="s">
        <v>10</v>
      </c>
      <c r="D9262" s="7">
        <v>11136</v>
      </c>
      <c r="E9262" s="7" t="s">
        <v>28</v>
      </c>
      <c r="F9262" s="8" t="str">
        <f ca="1">IFERROR(__xludf.DUMMYFUNCTION("IF
(
C9263=""фізична особа""
,
VLOOKUP(D9263,IMPORTRANGE(""https://docs.google.com/spreadsheets/d/14Bd19lYaqBhU8_DElYkX7l4wRkHqqCUFNJY4AfY3kHU/edit?usp=sharing  #gid=0"",""фіз особи new!relations_name""),6,FALSE)
,
(IF
(
C9263=""юридична особа""
,
VLOOKUP"&amp;"(D9263,IMPORTRANGE(""https://docs.google.com/spreadsheets/d/14Bd19lYaqBhU8_DElYkX7l4wRkHqqCUFNJY4AfY3kHU/edit?usp=sharing  #gid=0"",""фіз особи new!relations_name_uo""),7,FALSE)
,
)
))"),"САВЧЕНКО Оксана Юріївна")</f>
        <v>САВЧЕНКО Оксана Юріївна</v>
      </c>
      <c r="G9262" s="7" t="s">
        <v>10</v>
      </c>
      <c r="H9262" s="7">
        <v>23580</v>
      </c>
      <c r="I9262" s="8" t="str">
        <f ca="1">IFERROR(__xludf.DUMMYFUNCTION("IF
(
G9263=""фізична особа""
,
VLOOKUP(H9263,IMPORTRANGE(""https://docs.google.com/spreadsheets/d/14Bd19lYaqBhU8_DElYkX7l4wRkHqqCUFNJY4AfY3kHU/edit?usp=sharing  #gid=0"",""фіз особи new!relations_name""),6,FALSE)
,
(IF
(
G9263=""юридична особа""
,
VLOOKUP"&amp;"(H9263,IMPORTRANGE(""https://docs.google.com/spreadsheets/d/14Bd19lYaqBhU8_DElYkX7l4wRkHqqCUFNJY4AfY3kHU/edit?usp=sharing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62" s="7" t="s">
        <v>116</v>
      </c>
    </row>
    <row r="9263" spans="1:10" ht="13.2">
      <c r="A9263" s="7">
        <v>9262</v>
      </c>
      <c r="B9263" s="7">
        <v>1</v>
      </c>
      <c r="C9263" s="7" t="s">
        <v>10</v>
      </c>
      <c r="D9263" s="7">
        <v>11137</v>
      </c>
      <c r="E9263" s="7" t="s">
        <v>28</v>
      </c>
      <c r="F9263" s="8" t="str">
        <f ca="1">IFERROR(__xludf.DUMMYFUNCTION("IF
(
C9264=""фізична особа""
,
VLOOKUP(D9264,IMPORTRANGE(""https://docs.google.com/spreadsheets/d/14Bd19lYaqBhU8_DElYkX7l4wRkHqqCUFNJY4AfY3kHU/edit?usp=sharing  #gid=0"",""фіз особи new!relations_name""),6,FALSE)
,
(IF
(
C9264=""юридична особа""
,
VLOOKUP"&amp;"(D9264,IMPORTRANGE(""https://docs.google.com/spreadsheets/d/14Bd19lYaqBhU8_DElYkX7l4wRkHqqCUFNJY4AfY3kHU/edit?usp=sharing  #gid=0"",""фіз особи new!relations_name_uo""),7,FALSE)
,
)
))"),"ВЕСЕЛОВ Андрій Геннадійович")</f>
        <v>ВЕСЕЛОВ Андрій Геннадійович</v>
      </c>
      <c r="G9263" s="7" t="s">
        <v>10</v>
      </c>
      <c r="H9263" s="7">
        <v>3087</v>
      </c>
      <c r="I9263" s="8" t="str">
        <f ca="1">IFERROR(__xludf.DUMMYFUNCTION("IF
(
G9264=""фізична особа""
,
VLOOKUP(H9264,IMPORTRANGE(""https://docs.google.com/spreadsheets/d/14Bd19lYaqBhU8_DElYkX7l4wRkHqqCUFNJY4AfY3kHU/edit?usp=sharing  #gid=0"",""фіз особи new!relations_name""),6,FALSE)
,
(IF
(
G9264=""юридична особа""
,
VLOOKUP"&amp;"(H9264,IMPORTRANGE(""https://docs.google.com/spreadsheets/d/14Bd19lYaqBhU8_DElYkX7l4wRkHqqCUFNJY4AfY3kHU/edit?usp=sharing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63" s="7" t="s">
        <v>29</v>
      </c>
    </row>
    <row r="9264" spans="1:10" ht="13.2">
      <c r="A9264" s="7">
        <v>9263</v>
      </c>
      <c r="B9264" s="7">
        <v>1</v>
      </c>
      <c r="C9264" s="7" t="s">
        <v>10</v>
      </c>
      <c r="D9264" s="7">
        <v>11137</v>
      </c>
      <c r="E9264" s="7" t="s">
        <v>28</v>
      </c>
      <c r="F9264" s="8" t="str">
        <f ca="1">IFERROR(__xludf.DUMMYFUNCTION("IF
(
C9265=""фізична особа""
,
VLOOKUP(D9265,IMPORTRANGE(""https://docs.google.com/spreadsheets/d/14Bd19lYaqBhU8_DElYkX7l4wRkHqqCUFNJY4AfY3kHU/edit?usp=sharing  #gid=0"",""фіз особи new!relations_name""),6,FALSE)
,
(IF
(
C9265=""юридична особа""
,
VLOOKUP"&amp;"(D9265,IMPORTRANGE(""https://docs.google.com/spreadsheets/d/14Bd19lYaqBhU8_DElYkX7l4wRkHqqCUFNJY4AfY3kHU/edit?usp=sharing  #gid=0"",""фіз особи new!relations_name_uo""),7,FALSE)
,
)
))"),"ВЕСЕЛОВ Андрій Геннадійович")</f>
        <v>ВЕСЕЛОВ Андрій Геннадійович</v>
      </c>
      <c r="G9264" s="7" t="s">
        <v>10</v>
      </c>
      <c r="H9264" s="7">
        <v>23580</v>
      </c>
      <c r="I9264" s="8" t="str">
        <f ca="1">IFERROR(__xludf.DUMMYFUNCTION("IF
(
G9265=""фізична особа""
,
VLOOKUP(H9265,IMPORTRANGE(""https://docs.google.com/spreadsheets/d/14Bd19lYaqBhU8_DElYkX7l4wRkHqqCUFNJY4AfY3kHU/edit?usp=sharing  #gid=0"",""фіз особи new!relations_name""),6,FALSE)
,
(IF
(
G9265=""юридична особа""
,
VLOOKUP"&amp;"(H9265,IMPORTRANGE(""https://docs.google.com/spreadsheets/d/14Bd19lYaqBhU8_DElYkX7l4wRkHqqCUFNJY4AfY3kHU/edit?usp=sharing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64" s="7" t="s">
        <v>116</v>
      </c>
    </row>
    <row r="9265" spans="1:10" ht="13.2">
      <c r="A9265" s="7">
        <v>9264</v>
      </c>
      <c r="B9265" s="7">
        <v>1</v>
      </c>
      <c r="C9265" s="7" t="s">
        <v>10</v>
      </c>
      <c r="D9265" s="7">
        <v>11138</v>
      </c>
      <c r="E9265" s="7" t="s">
        <v>28</v>
      </c>
      <c r="F9265" s="8" t="str">
        <f ca="1">IFERROR(__xludf.DUMMYFUNCTION("IF
(
C9266=""фізична особа""
,
VLOOKUP(D9266,IMPORTRANGE(""https://docs.google.com/spreadsheets/d/14Bd19lYaqBhU8_DElYkX7l4wRkHqqCUFNJY4AfY3kHU/edit?usp=sharing  #gid=0"",""фіз особи new!relations_name""),6,FALSE)
,
(IF
(
C9266=""юридична особа""
,
VLOOKUP"&amp;"(D9266,IMPORTRANGE(""https://docs.google.com/spreadsheets/d/14Bd19lYaqBhU8_DElYkX7l4wRkHqqCUFNJY4AfY3kHU/edit?usp=sharing  #gid=0"",""фіз особи new!relations_name_uo""),7,FALSE)
,
)
))"),"КУТУЗОВА Ганна Леонідівна")</f>
        <v>КУТУЗОВА Ганна Леонідівна</v>
      </c>
      <c r="G9265" s="7" t="s">
        <v>10</v>
      </c>
      <c r="H9265" s="7">
        <v>3087</v>
      </c>
      <c r="I9265" s="8" t="str">
        <f ca="1">IFERROR(__xludf.DUMMYFUNCTION("IF
(
G9266=""фізична особа""
,
VLOOKUP(H9266,IMPORTRANGE(""https://docs.google.com/spreadsheets/d/14Bd19lYaqBhU8_DElYkX7l4wRkHqqCUFNJY4AfY3kHU/edit?usp=sharing  #gid=0"",""фіз особи new!relations_name""),6,FALSE)
,
(IF
(
G9266=""юридична особа""
,
VLOOKUP"&amp;"(H9266,IMPORTRANGE(""https://docs.google.com/spreadsheets/d/14Bd19lYaqBhU8_DElYkX7l4wRkHqqCUFNJY4AfY3kHU/edit?usp=sharing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65" s="7" t="s">
        <v>29</v>
      </c>
    </row>
    <row r="9266" spans="1:10" ht="13.2">
      <c r="A9266" s="7">
        <v>9265</v>
      </c>
      <c r="B9266" s="7">
        <v>1</v>
      </c>
      <c r="C9266" s="7" t="s">
        <v>10</v>
      </c>
      <c r="D9266" s="7">
        <v>11138</v>
      </c>
      <c r="E9266" s="7" t="s">
        <v>28</v>
      </c>
      <c r="F9266" s="8" t="str">
        <f ca="1">IFERROR(__xludf.DUMMYFUNCTION("IF
(
C9267=""фізична особа""
,
VLOOKUP(D9267,IMPORTRANGE(""https://docs.google.com/spreadsheets/d/14Bd19lYaqBhU8_DElYkX7l4wRkHqqCUFNJY4AfY3kHU/edit?usp=sharing  #gid=0"",""фіз особи new!relations_name""),6,FALSE)
,
(IF
(
C9267=""юридична особа""
,
VLOOKUP"&amp;"(D9267,IMPORTRANGE(""https://docs.google.com/spreadsheets/d/14Bd19lYaqBhU8_DElYkX7l4wRkHqqCUFNJY4AfY3kHU/edit?usp=sharing  #gid=0"",""фіз особи new!relations_name_uo""),7,FALSE)
,
)
))"),"КУТУЗОВА Ганна Леонідівна")</f>
        <v>КУТУЗОВА Ганна Леонідівна</v>
      </c>
      <c r="G9266" s="7" t="s">
        <v>10</v>
      </c>
      <c r="H9266" s="7">
        <v>23580</v>
      </c>
      <c r="I9266" s="8" t="str">
        <f ca="1">IFERROR(__xludf.DUMMYFUNCTION("IF
(
G9267=""фізична особа""
,
VLOOKUP(H9267,IMPORTRANGE(""https://docs.google.com/spreadsheets/d/14Bd19lYaqBhU8_DElYkX7l4wRkHqqCUFNJY4AfY3kHU/edit?usp=sharing  #gid=0"",""фіз особи new!relations_name""),6,FALSE)
,
(IF
(
G9267=""юридична особа""
,
VLOOKUP"&amp;"(H9267,IMPORTRANGE(""https://docs.google.com/spreadsheets/d/14Bd19lYaqBhU8_DElYkX7l4wRkHqqCUFNJY4AfY3kHU/edit?usp=sharing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66" s="7" t="s">
        <v>116</v>
      </c>
    </row>
    <row r="9267" spans="1:10" ht="13.2">
      <c r="A9267" s="7">
        <v>9266</v>
      </c>
      <c r="B9267" s="7">
        <v>1</v>
      </c>
      <c r="C9267" s="7" t="s">
        <v>10</v>
      </c>
      <c r="D9267" s="7">
        <v>11139</v>
      </c>
      <c r="E9267" s="7" t="s">
        <v>28</v>
      </c>
      <c r="F9267" s="8" t="str">
        <f ca="1">IFERROR(__xludf.DUMMYFUNCTION("IF
(
C9268=""фізична особа""
,
VLOOKUP(D9268,IMPORTRANGE(""https://docs.google.com/spreadsheets/d/14Bd19lYaqBhU8_DElYkX7l4wRkHqqCUFNJY4AfY3kHU/edit?usp=sharing  #gid=0"",""фіз особи new!relations_name""),6,FALSE)
,
(IF
(
C9268=""юридична особа""
,
VLOOKUP"&amp;"(D9268,IMPORTRANGE(""https://docs.google.com/spreadsheets/d/14Bd19lYaqBhU8_DElYkX7l4wRkHqqCUFNJY4AfY3kHU/edit?usp=sharing  #gid=0"",""фіз особи new!relations_name_uo""),7,FALSE)
,
)
))"),"ГНЄДИХ Олександр Вікторович")</f>
        <v>ГНЄДИХ Олександр Вікторович</v>
      </c>
      <c r="G9267" s="7" t="s">
        <v>10</v>
      </c>
      <c r="H9267" s="7">
        <v>3087</v>
      </c>
      <c r="I9267" s="8" t="str">
        <f ca="1">IFERROR(__xludf.DUMMYFUNCTION("IF
(
G9268=""фізична особа""
,
VLOOKUP(H9268,IMPORTRANGE(""https://docs.google.com/spreadsheets/d/14Bd19lYaqBhU8_DElYkX7l4wRkHqqCUFNJY4AfY3kHU/edit?usp=sharing  #gid=0"",""фіз особи new!relations_name""),6,FALSE)
,
(IF
(
G9268=""юридична особа""
,
VLOOKUP"&amp;"(H9268,IMPORTRANGE(""https://docs.google.com/spreadsheets/d/14Bd19lYaqBhU8_DElYkX7l4wRkHqqCUFNJY4AfY3kHU/edit?usp=sharing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67" s="7" t="s">
        <v>29</v>
      </c>
    </row>
    <row r="9268" spans="1:10" ht="13.2">
      <c r="A9268" s="7">
        <v>9267</v>
      </c>
      <c r="B9268" s="7">
        <v>1</v>
      </c>
      <c r="C9268" s="7" t="s">
        <v>10</v>
      </c>
      <c r="D9268" s="7">
        <v>11139</v>
      </c>
      <c r="E9268" s="7" t="s">
        <v>28</v>
      </c>
      <c r="F9268" s="8" t="str">
        <f ca="1">IFERROR(__xludf.DUMMYFUNCTION("IF
(
C9269=""фізична особа""
,
VLOOKUP(D9269,IMPORTRANGE(""https://docs.google.com/spreadsheets/d/14Bd19lYaqBhU8_DElYkX7l4wRkHqqCUFNJY4AfY3kHU/edit?usp=sharing  #gid=0"",""фіз особи new!relations_name""),6,FALSE)
,
(IF
(
C9269=""юридична особа""
,
VLOOKUP"&amp;"(D9269,IMPORTRANGE(""https://docs.google.com/spreadsheets/d/14Bd19lYaqBhU8_DElYkX7l4wRkHqqCUFNJY4AfY3kHU/edit?usp=sharing  #gid=0"",""фіз особи new!relations_name_uo""),7,FALSE)
,
)
))"),"ГНЄДИХ Олександр Вікторович")</f>
        <v>ГНЄДИХ Олександр Вікторович</v>
      </c>
      <c r="G9268" s="7" t="s">
        <v>10</v>
      </c>
      <c r="H9268" s="7">
        <v>23580</v>
      </c>
      <c r="I9268" s="8" t="str">
        <f ca="1">IFERROR(__xludf.DUMMYFUNCTION("IF
(
G9269=""фізична особа""
,
VLOOKUP(H9269,IMPORTRANGE(""https://docs.google.com/spreadsheets/d/14Bd19lYaqBhU8_DElYkX7l4wRkHqqCUFNJY4AfY3kHU/edit?usp=sharing  #gid=0"",""фіз особи new!relations_name""),6,FALSE)
,
(IF
(
G9269=""юридична особа""
,
VLOOKUP"&amp;"(H9269,IMPORTRANGE(""https://docs.google.com/spreadsheets/d/14Bd19lYaqBhU8_DElYkX7l4wRkHqqCUFNJY4AfY3kHU/edit?usp=sharing  #gid=0"",""фіз особи new!relations_name_uo""),7,FALSE)
,
)
))"),"АЛЕКСЄЄВ Сергій Олександрович")</f>
        <v>АЛЕКСЄЄВ Сергій Олександрович</v>
      </c>
      <c r="J9268" s="7" t="s">
        <v>116</v>
      </c>
    </row>
    <row r="9269" spans="1:10" ht="13.2">
      <c r="A9269" s="7">
        <v>9268</v>
      </c>
      <c r="B9269" s="7">
        <v>1</v>
      </c>
      <c r="C9269" s="7" t="s">
        <v>10</v>
      </c>
      <c r="D9269" s="7">
        <v>11140</v>
      </c>
      <c r="E9269" s="7" t="s">
        <v>28</v>
      </c>
      <c r="F9269" s="8" t="str">
        <f ca="1">IFERROR(__xludf.DUMMYFUNCTION("IF
(
C9270=""фізична особа""
,
VLOOKUP(D9270,IMPORTRANGE(""https://docs.google.com/spreadsheets/d/14Bd19lYaqBhU8_DElYkX7l4wRkHqqCUFNJY4AfY3kHU/edit?usp=sharing  #gid=0"",""фіз особи new!relations_name""),6,FALSE)
,
(IF
(
C9270=""юридична особа""
,
VLOOKUP"&amp;"(D9270,IMPORTRANGE(""https://docs.google.com/spreadsheets/d/14Bd19lYaqBhU8_DElYkX7l4wRkHqqCUFNJY4AfY3kHU/edit?usp=sharing  #gid=0"",""фіз особи new!relations_name_uo""),7,FALSE)
,
)
))"),"САГІТУЛЛІН Марат Талхатович")</f>
        <v>САГІТУЛЛІН Марат Талхатович</v>
      </c>
      <c r="G9269" s="7" t="s">
        <v>10</v>
      </c>
      <c r="H9269" s="7">
        <v>3087</v>
      </c>
      <c r="I9269" s="8" t="str">
        <f ca="1">IFERROR(__xludf.DUMMYFUNCTION("IF
(
G9270=""фізична особа""
,
VLOOKUP(H9270,IMPORTRANGE(""https://docs.google.com/spreadsheets/d/14Bd19lYaqBhU8_DElYkX7l4wRkHqqCUFNJY4AfY3kHU/edit?usp=sharing  #gid=0"",""фіз особи new!relations_name""),6,FALSE)
,
(IF
(
G9270=""юридична особа""
,
VLOOKUP"&amp;"(H9270,IMPORTRANGE(""https://docs.google.com/spreadsheets/d/14Bd19lYaqBhU8_DElYkX7l4wRkHqqCUFNJY4AfY3kHU/edit?usp=sharing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69" s="7" t="s">
        <v>29</v>
      </c>
    </row>
    <row r="9270" spans="1:10" ht="13.2">
      <c r="A9270" s="7">
        <v>9269</v>
      </c>
      <c r="B9270" s="7">
        <v>1</v>
      </c>
      <c r="C9270" s="7" t="s">
        <v>10</v>
      </c>
      <c r="D9270" s="7">
        <v>11140</v>
      </c>
      <c r="E9270" s="7" t="s">
        <v>28</v>
      </c>
      <c r="F9270" s="8" t="str">
        <f ca="1">IFERROR(__xludf.DUMMYFUNCTION("IF
(
C9271=""фізична особа""
,
VLOOKUP(D9271,IMPORTRANGE(""https://docs.google.com/spreadsheets/d/14Bd19lYaqBhU8_DElYkX7l4wRkHqqCUFNJY4AfY3kHU/edit?usp=sharing  #gid=0"",""фіз особи new!relations_name""),6,FALSE)
,
(IF
(
C9271=""юридична особа""
,
VLOOKUP"&amp;"(D9271,IMPORTRANGE(""https://docs.google.com/spreadsheets/d/14Bd19lYaqBhU8_DElYkX7l4wRkHqqCUFNJY4AfY3kHU/edit?usp=sharing  #gid=0"",""фіз особи new!relations_name_uo""),7,FALSE)
,
)
))"),"САГІТУЛЛІН Марат Талхатович")</f>
        <v>САГІТУЛЛІН Марат Талхатович</v>
      </c>
      <c r="G9270" s="7" t="s">
        <v>10</v>
      </c>
      <c r="H9270" s="7">
        <v>10203</v>
      </c>
      <c r="I9270" s="8" t="str">
        <f ca="1">IFERROR(__xludf.DUMMYFUNCTION("IF
(
G9271=""фізична особа""
,
VLOOKUP(H9271,IMPORTRANGE(""https://docs.google.com/spreadsheets/d/14Bd19lYaqBhU8_DElYkX7l4wRkHqqCUFNJY4AfY3kHU/edit?usp=sharing  #gid=0"",""фіз особи new!relations_name""),6,FALSE)
,
(IF
(
G9271=""юридична особа""
,
VLOOKUP"&amp;"(H9271,IMPORTRANGE(""https://docs.google.com/spreadsheets/d/14Bd19lYaqBhU8_DElYkX7l4wRkHqqCUFNJY4AfY3kHU/edit?usp=sharing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J9270" s="7" t="s">
        <v>29</v>
      </c>
    </row>
    <row r="9271" spans="1:10" ht="13.2">
      <c r="A9271" s="7">
        <v>9270</v>
      </c>
      <c r="B9271" s="7">
        <v>1</v>
      </c>
      <c r="C9271" s="7" t="s">
        <v>10</v>
      </c>
      <c r="D9271" s="7">
        <v>11141</v>
      </c>
      <c r="E9271" s="7" t="s">
        <v>28</v>
      </c>
      <c r="F9271" s="8" t="str">
        <f ca="1">IFERROR(__xludf.DUMMYFUNCTION("IF
(
C9272=""фізична особа""
,
VLOOKUP(D9272,IMPORTRANGE(""https://docs.google.com/spreadsheets/d/14Bd19lYaqBhU8_DElYkX7l4wRkHqqCUFNJY4AfY3kHU/edit?usp=sharing  #gid=0"",""фіз особи new!relations_name""),6,FALSE)
,
(IF
(
C9272=""юридична особа""
,
VLOOKUP"&amp;"(D9272,IMPORTRANGE(""https://docs.google.com/spreadsheets/d/14Bd19lYaqBhU8_DElYkX7l4wRkHqqCUFNJY4AfY3kHU/edit?usp=sharing  #gid=0"",""фіз особи new!relations_name_uo""),7,FALSE)
,
)
))"),"ЛОГІНОВ Сергій Геннадійович")</f>
        <v>ЛОГІНОВ Сергій Геннадійович</v>
      </c>
      <c r="G9271" s="7" t="s">
        <v>10</v>
      </c>
      <c r="H9271" s="7">
        <v>3087</v>
      </c>
      <c r="I9271" s="8" t="str">
        <f ca="1">IFERROR(__xludf.DUMMYFUNCTION("IF
(
G9272=""фізична особа""
,
VLOOKUP(H9272,IMPORTRANGE(""https://docs.google.com/spreadsheets/d/14Bd19lYaqBhU8_DElYkX7l4wRkHqqCUFNJY4AfY3kHU/edit?usp=sharing  #gid=0"",""фіз особи new!relations_name""),6,FALSE)
,
(IF
(
G9272=""юридична особа""
,
VLOOKUP"&amp;"(H9272,IMPORTRANGE(""https://docs.google.com/spreadsheets/d/14Bd19lYaqBhU8_DElYkX7l4wRkHqqCUFNJY4AfY3kHU/edit?usp=sharing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71" s="7" t="s">
        <v>29</v>
      </c>
    </row>
    <row r="9272" spans="1:10" ht="13.2">
      <c r="A9272" s="7">
        <v>9271</v>
      </c>
      <c r="B9272" s="7">
        <v>1</v>
      </c>
      <c r="C9272" s="7" t="s">
        <v>10</v>
      </c>
      <c r="D9272" s="7">
        <v>11141</v>
      </c>
      <c r="E9272" s="7" t="s">
        <v>28</v>
      </c>
      <c r="F9272" s="8" t="str">
        <f ca="1">IFERROR(__xludf.DUMMYFUNCTION("IF
(
C9273=""фізична особа""
,
VLOOKUP(D9273,IMPORTRANGE(""https://docs.google.com/spreadsheets/d/14Bd19lYaqBhU8_DElYkX7l4wRkHqqCUFNJY4AfY3kHU/edit?usp=sharing  #gid=0"",""фіз особи new!relations_name""),6,FALSE)
,
(IF
(
C9273=""юридична особа""
,
VLOOKUP"&amp;"(D9273,IMPORTRANGE(""https://docs.google.com/spreadsheets/d/14Bd19lYaqBhU8_DElYkX7l4wRkHqqCUFNJY4AfY3kHU/edit?usp=sharing  #gid=0"",""фіз особи new!relations_name_uo""),7,FALSE)
,
)
))"),"ЛОГІНОВ Сергій Геннадійович")</f>
        <v>ЛОГІНОВ Сергій Геннадійович</v>
      </c>
      <c r="G9272" s="7" t="s">
        <v>10</v>
      </c>
      <c r="H9272" s="7">
        <v>10203</v>
      </c>
      <c r="I9272" s="8" t="str">
        <f ca="1">IFERROR(__xludf.DUMMYFUNCTION("IF
(
G9273=""фізична особа""
,
VLOOKUP(H9273,IMPORTRANGE(""https://docs.google.com/spreadsheets/d/14Bd19lYaqBhU8_DElYkX7l4wRkHqqCUFNJY4AfY3kHU/edit?usp=sharing  #gid=0"",""фіз особи new!relations_name""),6,FALSE)
,
(IF
(
G9273=""юридична особа""
,
VLOOKUP"&amp;"(H9273,IMPORTRANGE(""https://docs.google.com/spreadsheets/d/14Bd19lYaqBhU8_DElYkX7l4wRkHqqCUFNJY4AfY3kHU/edit?usp=sharing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J9272" s="7" t="s">
        <v>29</v>
      </c>
    </row>
    <row r="9273" spans="1:10" ht="13.2">
      <c r="A9273" s="7">
        <v>9272</v>
      </c>
      <c r="B9273" s="7">
        <v>1</v>
      </c>
      <c r="C9273" s="7" t="s">
        <v>10</v>
      </c>
      <c r="D9273" s="7">
        <v>11142</v>
      </c>
      <c r="E9273" s="7" t="s">
        <v>28</v>
      </c>
      <c r="F9273" s="8" t="str">
        <f ca="1">IFERROR(__xludf.DUMMYFUNCTION("IF
(
C9274=""фізична особа""
,
VLOOKUP(D9274,IMPORTRANGE(""https://docs.google.com/spreadsheets/d/14Bd19lYaqBhU8_DElYkX7l4wRkHqqCUFNJY4AfY3kHU/edit?usp=sharing  #gid=0"",""фіз особи new!relations_name""),6,FALSE)
,
(IF
(
C9274=""юридична особа""
,
VLOOKUP"&amp;"(D9274,IMPORTRANGE(""https://docs.google.com/spreadsheets/d/14Bd19lYaqBhU8_DElYkX7l4wRkHqqCUFNJY4AfY3kHU/edit?usp=sharing  #gid=0"",""фіз особи new!relations_name_uo""),7,FALSE)
,
)
))"),"ЧАЛІЛОВА Тетяна Михайлівна")</f>
        <v>ЧАЛІЛОВА Тетяна Михайлівна</v>
      </c>
      <c r="G9273" s="7" t="s">
        <v>10</v>
      </c>
      <c r="H9273" s="7">
        <v>3087</v>
      </c>
      <c r="I9273" s="8" t="str">
        <f ca="1">IFERROR(__xludf.DUMMYFUNCTION("IF
(
G9274=""фізична особа""
,
VLOOKUP(H9274,IMPORTRANGE(""https://docs.google.com/spreadsheets/d/14Bd19lYaqBhU8_DElYkX7l4wRkHqqCUFNJY4AfY3kHU/edit?usp=sharing  #gid=0"",""фіз особи new!relations_name""),6,FALSE)
,
(IF
(
G9274=""юридична особа""
,
VLOOKUP"&amp;"(H9274,IMPORTRANGE(""https://docs.google.com/spreadsheets/d/14Bd19lYaqBhU8_DElYkX7l4wRkHqqCUFNJY4AfY3kHU/edit?usp=sharing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73" s="7" t="s">
        <v>29</v>
      </c>
    </row>
    <row r="9274" spans="1:10" ht="13.2">
      <c r="A9274" s="7">
        <v>9273</v>
      </c>
      <c r="B9274" s="7">
        <v>1</v>
      </c>
      <c r="C9274" s="7" t="s">
        <v>10</v>
      </c>
      <c r="D9274" s="7">
        <v>11142</v>
      </c>
      <c r="E9274" s="7" t="s">
        <v>28</v>
      </c>
      <c r="F9274" s="8" t="str">
        <f ca="1">IFERROR(__xludf.DUMMYFUNCTION("IF
(
C9275=""фізична особа""
,
VLOOKUP(D9275,IMPORTRANGE(""https://docs.google.com/spreadsheets/d/14Bd19lYaqBhU8_DElYkX7l4wRkHqqCUFNJY4AfY3kHU/edit?usp=sharing  #gid=0"",""фіз особи new!relations_name""),6,FALSE)
,
(IF
(
C9275=""юридична особа""
,
VLOOKUP"&amp;"(D9275,IMPORTRANGE(""https://docs.google.com/spreadsheets/d/14Bd19lYaqBhU8_DElYkX7l4wRkHqqCUFNJY4AfY3kHU/edit?usp=sharing  #gid=0"",""фіз особи new!relations_name_uo""),7,FALSE)
,
)
))"),"ЧАЛІЛОВА Тетяна Михайлівна")</f>
        <v>ЧАЛІЛОВА Тетяна Михайлівна</v>
      </c>
      <c r="G9274" s="7" t="s">
        <v>10</v>
      </c>
      <c r="H9274" s="7">
        <v>10203</v>
      </c>
      <c r="I9274" s="8" t="str">
        <f ca="1">IFERROR(__xludf.DUMMYFUNCTION("IF
(
G9275=""фізична особа""
,
VLOOKUP(H9275,IMPORTRANGE(""https://docs.google.com/spreadsheets/d/14Bd19lYaqBhU8_DElYkX7l4wRkHqqCUFNJY4AfY3kHU/edit?usp=sharing  #gid=0"",""фіз особи new!relations_name""),6,FALSE)
,
(IF
(
G9275=""юридична особа""
,
VLOOKUP"&amp;"(H9275,IMPORTRANGE(""https://docs.google.com/spreadsheets/d/14Bd19lYaqBhU8_DElYkX7l4wRkHqqCUFNJY4AfY3kHU/edit?usp=sharing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J9274" s="7" t="s">
        <v>29</v>
      </c>
    </row>
    <row r="9275" spans="1:10" ht="13.2">
      <c r="A9275" s="7">
        <v>9274</v>
      </c>
      <c r="B9275" s="7">
        <v>1</v>
      </c>
      <c r="C9275" s="7" t="s">
        <v>10</v>
      </c>
      <c r="D9275" s="7">
        <v>11143</v>
      </c>
      <c r="E9275" s="7" t="s">
        <v>28</v>
      </c>
      <c r="F9275" s="8" t="str">
        <f ca="1">IFERROR(__xludf.DUMMYFUNCTION("IF
(
C9276=""фізична особа""
,
VLOOKUP(D9276,IMPORTRANGE(""https://docs.google.com/spreadsheets/d/14Bd19lYaqBhU8_DElYkX7l4wRkHqqCUFNJY4AfY3kHU/edit?usp=sharing  #gid=0"",""фіз особи new!relations_name""),6,FALSE)
,
(IF
(
C9276=""юридична особа""
,
VLOOKUP"&amp;"(D9276,IMPORTRANGE(""https://docs.google.com/spreadsheets/d/14Bd19lYaqBhU8_DElYkX7l4wRkHqqCUFNJY4AfY3kHU/edit?usp=sharing  #gid=0"",""фіз особи new!relations_name_uo""),7,FALSE)
,
)
))"),"БІРЮК Михайло Михайлович")</f>
        <v>БІРЮК Михайло Михайлович</v>
      </c>
      <c r="G9275" s="7" t="s">
        <v>10</v>
      </c>
      <c r="H9275" s="7">
        <v>3087</v>
      </c>
      <c r="I9275" s="8" t="str">
        <f ca="1">IFERROR(__xludf.DUMMYFUNCTION("IF
(
G9276=""фізична особа""
,
VLOOKUP(H9276,IMPORTRANGE(""https://docs.google.com/spreadsheets/d/14Bd19lYaqBhU8_DElYkX7l4wRkHqqCUFNJY4AfY3kHU/edit?usp=sharing  #gid=0"",""фіз особи new!relations_name""),6,FALSE)
,
(IF
(
G9276=""юридична особа""
,
VLOOKUP"&amp;"(H9276,IMPORTRANGE(""https://docs.google.com/spreadsheets/d/14Bd19lYaqBhU8_DElYkX7l4wRkHqqCUFNJY4AfY3kHU/edit?usp=sharing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75" s="7" t="s">
        <v>29</v>
      </c>
    </row>
    <row r="9276" spans="1:10" ht="13.2">
      <c r="A9276" s="7">
        <v>9275</v>
      </c>
      <c r="B9276" s="7">
        <v>1</v>
      </c>
      <c r="C9276" s="7" t="s">
        <v>10</v>
      </c>
      <c r="D9276" s="7">
        <v>11143</v>
      </c>
      <c r="E9276" s="7" t="s">
        <v>28</v>
      </c>
      <c r="F9276" s="8" t="str">
        <f ca="1">IFERROR(__xludf.DUMMYFUNCTION("IF
(
C9277=""фізична особа""
,
VLOOKUP(D9277,IMPORTRANGE(""https://docs.google.com/spreadsheets/d/14Bd19lYaqBhU8_DElYkX7l4wRkHqqCUFNJY4AfY3kHU/edit?usp=sharing  #gid=0"",""фіз особи new!relations_name""),6,FALSE)
,
(IF
(
C9277=""юридична особа""
,
VLOOKUP"&amp;"(D9277,IMPORTRANGE(""https://docs.google.com/spreadsheets/d/14Bd19lYaqBhU8_DElYkX7l4wRkHqqCUFNJY4AfY3kHU/edit?usp=sharing  #gid=0"",""фіз особи new!relations_name_uo""),7,FALSE)
,
)
))"),"БІРЮК Михайло Михайлович")</f>
        <v>БІРЮК Михайло Михайлович</v>
      </c>
      <c r="G9276" s="7" t="s">
        <v>10</v>
      </c>
      <c r="H9276" s="7">
        <v>10203</v>
      </c>
      <c r="I9276" s="8" t="str">
        <f ca="1">IFERROR(__xludf.DUMMYFUNCTION("IF
(
G9277=""фізична особа""
,
VLOOKUP(H9277,IMPORTRANGE(""https://docs.google.com/spreadsheets/d/14Bd19lYaqBhU8_DElYkX7l4wRkHqqCUFNJY4AfY3kHU/edit?usp=sharing  #gid=0"",""фіз особи new!relations_name""),6,FALSE)
,
(IF
(
G9277=""юридична особа""
,
VLOOKUP"&amp;"(H9277,IMPORTRANGE(""https://docs.google.com/spreadsheets/d/14Bd19lYaqBhU8_DElYkX7l4wRkHqqCUFNJY4AfY3kHU/edit?usp=sharing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J9276" s="7" t="s">
        <v>29</v>
      </c>
    </row>
    <row r="9277" spans="1:10" ht="13.2">
      <c r="A9277" s="7">
        <v>9276</v>
      </c>
      <c r="B9277" s="7">
        <v>1</v>
      </c>
      <c r="C9277" s="7" t="s">
        <v>10</v>
      </c>
      <c r="D9277" s="7">
        <v>11144</v>
      </c>
      <c r="E9277" s="7" t="s">
        <v>28</v>
      </c>
      <c r="F9277" s="8" t="str">
        <f ca="1">IFERROR(__xludf.DUMMYFUNCTION("IF
(
C9278=""фізична особа""
,
VLOOKUP(D9278,IMPORTRANGE(""https://docs.google.com/spreadsheets/d/14Bd19lYaqBhU8_DElYkX7l4wRkHqqCUFNJY4AfY3kHU/edit?usp=sharing  #gid=0"",""фіз особи new!relations_name""),6,FALSE)
,
(IF
(
C9278=""юридична особа""
,
VLOOKUP"&amp;"(D9278,IMPORTRANGE(""https://docs.google.com/spreadsheets/d/14Bd19lYaqBhU8_DElYkX7l4wRkHqqCUFNJY4AfY3kHU/edit?usp=sharing  #gid=0"",""фіз особи new!relations_name_uo""),7,FALSE)
,
)
))"),"КАЛЮЖИНА Яна Павлівна")</f>
        <v>КАЛЮЖИНА Яна Павлівна</v>
      </c>
      <c r="G9277" s="7" t="s">
        <v>10</v>
      </c>
      <c r="H9277" s="7">
        <v>3087</v>
      </c>
      <c r="I9277" s="8" t="str">
        <f ca="1">IFERROR(__xludf.DUMMYFUNCTION("IF
(
G9278=""фізична особа""
,
VLOOKUP(H9278,IMPORTRANGE(""https://docs.google.com/spreadsheets/d/14Bd19lYaqBhU8_DElYkX7l4wRkHqqCUFNJY4AfY3kHU/edit?usp=sharing  #gid=0"",""фіз особи new!relations_name""),6,FALSE)
,
(IF
(
G9278=""юридична особа""
,
VLOOKUP"&amp;"(H9278,IMPORTRANGE(""https://docs.google.com/spreadsheets/d/14Bd19lYaqBhU8_DElYkX7l4wRkHqqCUFNJY4AfY3kHU/edit?usp=sharing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77" s="7" t="s">
        <v>29</v>
      </c>
    </row>
    <row r="9278" spans="1:10" ht="13.2">
      <c r="A9278" s="7">
        <v>9277</v>
      </c>
      <c r="B9278" s="7">
        <v>1</v>
      </c>
      <c r="C9278" s="7" t="s">
        <v>10</v>
      </c>
      <c r="D9278" s="7">
        <v>11144</v>
      </c>
      <c r="E9278" s="7" t="s">
        <v>28</v>
      </c>
      <c r="F9278" s="8" t="str">
        <f ca="1">IFERROR(__xludf.DUMMYFUNCTION("IF
(
C9279=""фізична особа""
,
VLOOKUP(D9279,IMPORTRANGE(""https://docs.google.com/spreadsheets/d/14Bd19lYaqBhU8_DElYkX7l4wRkHqqCUFNJY4AfY3kHU/edit?usp=sharing  #gid=0"",""фіз особи new!relations_name""),6,FALSE)
,
(IF
(
C9279=""юридична особа""
,
VLOOKUP"&amp;"(D9279,IMPORTRANGE(""https://docs.google.com/spreadsheets/d/14Bd19lYaqBhU8_DElYkX7l4wRkHqqCUFNJY4AfY3kHU/edit?usp=sharing  #gid=0"",""фіз особи new!relations_name_uo""),7,FALSE)
,
)
))"),"КАЛЮЖИНА Яна Павлівна")</f>
        <v>КАЛЮЖИНА Яна Павлівна</v>
      </c>
      <c r="G9278" s="7" t="s">
        <v>10</v>
      </c>
      <c r="H9278" s="7">
        <v>10203</v>
      </c>
      <c r="I9278" s="8" t="str">
        <f ca="1">IFERROR(__xludf.DUMMYFUNCTION("IF
(
G9279=""фізична особа""
,
VLOOKUP(H9279,IMPORTRANGE(""https://docs.google.com/spreadsheets/d/14Bd19lYaqBhU8_DElYkX7l4wRkHqqCUFNJY4AfY3kHU/edit?usp=sharing  #gid=0"",""фіз особи new!relations_name""),6,FALSE)
,
(IF
(
G9279=""юридична особа""
,
VLOOKUP"&amp;"(H9279,IMPORTRANGE(""https://docs.google.com/spreadsheets/d/14Bd19lYaqBhU8_DElYkX7l4wRkHqqCUFNJY4AfY3kHU/edit?usp=sharing  #gid=0"",""фіз особи new!relations_name_uo""),7,FALSE)
,
)
))"),"ЖУРАВЛЬОВ Дмитро Євгенович")</f>
        <v>ЖУРАВЛЬОВ Дмитро Євгенович</v>
      </c>
      <c r="J9278" s="7" t="s">
        <v>29</v>
      </c>
    </row>
    <row r="9279" spans="1:10" ht="13.2">
      <c r="A9279" s="7">
        <v>9278</v>
      </c>
      <c r="B9279" s="7">
        <v>1</v>
      </c>
      <c r="C9279" s="7" t="s">
        <v>10</v>
      </c>
      <c r="D9279" s="7">
        <v>11145</v>
      </c>
      <c r="E9279" s="7" t="s">
        <v>28</v>
      </c>
      <c r="F9279" s="8" t="str">
        <f ca="1">IFERROR(__xludf.DUMMYFUNCTION("IF
(
C9280=""фізична особа""
,
VLOOKUP(D9280,IMPORTRANGE(""https://docs.google.com/spreadsheets/d/14Bd19lYaqBhU8_DElYkX7l4wRkHqqCUFNJY4AfY3kHU/edit?usp=sharing  #gid=0"",""фіз особи new!relations_name""),6,FALSE)
,
(IF
(
C9280=""юридична особа""
,
VLOOKUP"&amp;"(D9280,IMPORTRANGE(""https://docs.google.com/spreadsheets/d/14Bd19lYaqBhU8_DElYkX7l4wRkHqqCUFNJY4AfY3kHU/edit?usp=sharing  #gid=0"",""фіз особи new!relations_name_uo""),7,FALSE)
,
)
))"),"ДИШЕКОВ Адам Авесович")</f>
        <v>ДИШЕКОВ Адам Авесович</v>
      </c>
      <c r="G9279" s="7" t="s">
        <v>10</v>
      </c>
      <c r="H9279" s="7">
        <v>3087</v>
      </c>
      <c r="I9279" s="8" t="str">
        <f ca="1">IFERROR(__xludf.DUMMYFUNCTION("IF
(
G9280=""фізична особа""
,
VLOOKUP(H9280,IMPORTRANGE(""https://docs.google.com/spreadsheets/d/14Bd19lYaqBhU8_DElYkX7l4wRkHqqCUFNJY4AfY3kHU/edit?usp=sharing  #gid=0"",""фіз особи new!relations_name""),6,FALSE)
,
(IF
(
G9280=""юридична особа""
,
VLOOKUP"&amp;"(H9280,IMPORTRANGE(""https://docs.google.com/spreadsheets/d/14Bd19lYaqBhU8_DElYkX7l4wRkHqqCUFNJY4AfY3kHU/edit?usp=sharing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79" s="7" t="s">
        <v>29</v>
      </c>
    </row>
    <row r="9280" spans="1:10" ht="13.2">
      <c r="A9280" s="7">
        <v>9279</v>
      </c>
      <c r="B9280" s="7">
        <v>1</v>
      </c>
      <c r="C9280" s="7" t="s">
        <v>10</v>
      </c>
      <c r="D9280" s="7">
        <v>11145</v>
      </c>
      <c r="E9280" s="7" t="s">
        <v>28</v>
      </c>
      <c r="F9280" s="8" t="str">
        <f ca="1">IFERROR(__xludf.DUMMYFUNCTION("IF
(
C9281=""фізична особа""
,
VLOOKUP(D9281,IMPORTRANGE(""https://docs.google.com/spreadsheets/d/14Bd19lYaqBhU8_DElYkX7l4wRkHqqCUFNJY4AfY3kHU/edit?usp=sharing  #gid=0"",""фіз особи new!relations_name""),6,FALSE)
,
(IF
(
C9281=""юридична особа""
,
VLOOKUP"&amp;"(D9281,IMPORTRANGE(""https://docs.google.com/spreadsheets/d/14Bd19lYaqBhU8_DElYkX7l4wRkHqqCUFNJY4AfY3kHU/edit?usp=sharing  #gid=0"",""фіз особи new!relations_name_uo""),7,FALSE)
,
)
))"),"ДИШЕКОВ Адам Авесович")</f>
        <v>ДИШЕКОВ Адам Авесович</v>
      </c>
      <c r="G9280" s="7" t="s">
        <v>10</v>
      </c>
      <c r="H9280" s="7">
        <v>10201</v>
      </c>
      <c r="I9280" s="8" t="str">
        <f ca="1">IFERROR(__xludf.DUMMYFUNCTION("IF
(
G9281=""фізична особа""
,
VLOOKUP(H9281,IMPORTRANGE(""https://docs.google.com/spreadsheets/d/14Bd19lYaqBhU8_DElYkX7l4wRkHqqCUFNJY4AfY3kHU/edit?usp=sharing  #gid=0"",""фіз особи new!relations_name""),6,FALSE)
,
(IF
(
G9281=""юридична особа""
,
VLOOKUP"&amp;"(H9281,IMPORTRANGE(""https://docs.google.com/spreadsheets/d/14Bd19lYaqBhU8_DElYkX7l4wRkHqqCUFNJY4AfY3kHU/edit?usp=sharing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80" s="7" t="s">
        <v>29</v>
      </c>
    </row>
    <row r="9281" spans="1:10" ht="13.2">
      <c r="A9281" s="7">
        <v>9280</v>
      </c>
      <c r="B9281" s="7">
        <v>1</v>
      </c>
      <c r="C9281" s="7" t="s">
        <v>10</v>
      </c>
      <c r="D9281" s="7">
        <v>11146</v>
      </c>
      <c r="E9281" s="7" t="s">
        <v>28</v>
      </c>
      <c r="F9281" s="8" t="str">
        <f ca="1">IFERROR(__xludf.DUMMYFUNCTION("IF
(
C9282=""фізична особа""
,
VLOOKUP(D9282,IMPORTRANGE(""https://docs.google.com/spreadsheets/d/14Bd19lYaqBhU8_DElYkX7l4wRkHqqCUFNJY4AfY3kHU/edit?usp=sharing  #gid=0"",""фіз особи new!relations_name""),6,FALSE)
,
(IF
(
C9282=""юридична особа""
,
VLOOKUP"&amp;"(D9282,IMPORTRANGE(""https://docs.google.com/spreadsheets/d/14Bd19lYaqBhU8_DElYkX7l4wRkHqqCUFNJY4AfY3kHU/edit?usp=sharing  #gid=0"",""фіз особи new!relations_name_uo""),7,FALSE)
,
)
))"),"ЛАРІЄВ В'ячеслав Миколайович")</f>
        <v>ЛАРІЄВ В'ячеслав Миколайович</v>
      </c>
      <c r="G9281" s="7" t="s">
        <v>10</v>
      </c>
      <c r="H9281" s="7">
        <v>3087</v>
      </c>
      <c r="I9281" s="8" t="str">
        <f ca="1">IFERROR(__xludf.DUMMYFUNCTION("IF
(
G9282=""фізична особа""
,
VLOOKUP(H9282,IMPORTRANGE(""https://docs.google.com/spreadsheets/d/14Bd19lYaqBhU8_DElYkX7l4wRkHqqCUFNJY4AfY3kHU/edit?usp=sharing  #gid=0"",""фіз особи new!relations_name""),6,FALSE)
,
(IF
(
G9282=""юридична особа""
,
VLOOKUP"&amp;"(H9282,IMPORTRANGE(""https://docs.google.com/spreadsheets/d/14Bd19lYaqBhU8_DElYkX7l4wRkHqqCUFNJY4AfY3kHU/edit?usp=sharing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81" s="7" t="s">
        <v>29</v>
      </c>
    </row>
    <row r="9282" spans="1:10" ht="13.2">
      <c r="A9282" s="7">
        <v>9281</v>
      </c>
      <c r="B9282" s="7">
        <v>1</v>
      </c>
      <c r="C9282" s="7" t="s">
        <v>10</v>
      </c>
      <c r="D9282" s="7">
        <v>11146</v>
      </c>
      <c r="E9282" s="7" t="s">
        <v>28</v>
      </c>
      <c r="F9282" s="8" t="str">
        <f ca="1">IFERROR(__xludf.DUMMYFUNCTION("IF
(
C9283=""фізична особа""
,
VLOOKUP(D9283,IMPORTRANGE(""https://docs.google.com/spreadsheets/d/14Bd19lYaqBhU8_DElYkX7l4wRkHqqCUFNJY4AfY3kHU/edit?usp=sharing  #gid=0"",""фіз особи new!relations_name""),6,FALSE)
,
(IF
(
C9283=""юридична особа""
,
VLOOKUP"&amp;"(D9283,IMPORTRANGE(""https://docs.google.com/spreadsheets/d/14Bd19lYaqBhU8_DElYkX7l4wRkHqqCUFNJY4AfY3kHU/edit?usp=sharing  #gid=0"",""фіз особи new!relations_name_uo""),7,FALSE)
,
)
))"),"ЛАРІЄВ В'ячеслав Миколайович")</f>
        <v>ЛАРІЄВ В'ячеслав Миколайович</v>
      </c>
      <c r="G9282" s="7" t="s">
        <v>10</v>
      </c>
      <c r="H9282" s="7">
        <v>10201</v>
      </c>
      <c r="I9282" s="8" t="str">
        <f ca="1">IFERROR(__xludf.DUMMYFUNCTION("IF
(
G9283=""фізична особа""
,
VLOOKUP(H9283,IMPORTRANGE(""https://docs.google.com/spreadsheets/d/14Bd19lYaqBhU8_DElYkX7l4wRkHqqCUFNJY4AfY3kHU/edit?usp=sharing  #gid=0"",""фіз особи new!relations_name""),6,FALSE)
,
(IF
(
G9283=""юридична особа""
,
VLOOKUP"&amp;"(H9283,IMPORTRANGE(""https://docs.google.com/spreadsheets/d/14Bd19lYaqBhU8_DElYkX7l4wRkHqqCUFNJY4AfY3kHU/edit?usp=sharing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82" s="7" t="s">
        <v>29</v>
      </c>
    </row>
    <row r="9283" spans="1:10" ht="13.2">
      <c r="A9283" s="7">
        <v>9282</v>
      </c>
      <c r="B9283" s="7">
        <v>1</v>
      </c>
      <c r="C9283" s="7" t="s">
        <v>10</v>
      </c>
      <c r="D9283" s="7">
        <v>11147</v>
      </c>
      <c r="E9283" s="7" t="s">
        <v>28</v>
      </c>
      <c r="F9283" s="8" t="str">
        <f ca="1">IFERROR(__xludf.DUMMYFUNCTION("IF
(
C9284=""фізична особа""
,
VLOOKUP(D9284,IMPORTRANGE(""https://docs.google.com/spreadsheets/d/14Bd19lYaqBhU8_DElYkX7l4wRkHqqCUFNJY4AfY3kHU/edit?usp=sharing  #gid=0"",""фіз особи new!relations_name""),6,FALSE)
,
(IF
(
C9284=""юридична особа""
,
VLOOKUP"&amp;"(D9284,IMPORTRANGE(""https://docs.google.com/spreadsheets/d/14Bd19lYaqBhU8_DElYkX7l4wRkHqqCUFNJY4AfY3kHU/edit?usp=sharing  #gid=0"",""фіз особи new!relations_name_uo""),7,FALSE)
,
)
))"),"СЕМЕНОВ Олексій Миколайович")</f>
        <v>СЕМЕНОВ Олексій Миколайович</v>
      </c>
      <c r="G9283" s="7" t="s">
        <v>10</v>
      </c>
      <c r="H9283" s="7">
        <v>3087</v>
      </c>
      <c r="I9283" s="8" t="str">
        <f ca="1">IFERROR(__xludf.DUMMYFUNCTION("IF
(
G9284=""фізична особа""
,
VLOOKUP(H9284,IMPORTRANGE(""https://docs.google.com/spreadsheets/d/14Bd19lYaqBhU8_DElYkX7l4wRkHqqCUFNJY4AfY3kHU/edit?usp=sharing  #gid=0"",""фіз особи new!relations_name""),6,FALSE)
,
(IF
(
G9284=""юридична особа""
,
VLOOKUP"&amp;"(H9284,IMPORTRANGE(""https://docs.google.com/spreadsheets/d/14Bd19lYaqBhU8_DElYkX7l4wRkHqqCUFNJY4AfY3kHU/edit?usp=sharing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83" s="7" t="s">
        <v>29</v>
      </c>
    </row>
    <row r="9284" spans="1:10" ht="13.2">
      <c r="A9284" s="7">
        <v>9283</v>
      </c>
      <c r="B9284" s="7">
        <v>1</v>
      </c>
      <c r="C9284" s="7" t="s">
        <v>10</v>
      </c>
      <c r="D9284" s="7">
        <v>11147</v>
      </c>
      <c r="E9284" s="7" t="s">
        <v>28</v>
      </c>
      <c r="F9284" s="8" t="str">
        <f ca="1">IFERROR(__xludf.DUMMYFUNCTION("IF
(
C9285=""фізична особа""
,
VLOOKUP(D9285,IMPORTRANGE(""https://docs.google.com/spreadsheets/d/14Bd19lYaqBhU8_DElYkX7l4wRkHqqCUFNJY4AfY3kHU/edit?usp=sharing  #gid=0"",""фіз особи new!relations_name""),6,FALSE)
,
(IF
(
C9285=""юридична особа""
,
VLOOKUP"&amp;"(D9285,IMPORTRANGE(""https://docs.google.com/spreadsheets/d/14Bd19lYaqBhU8_DElYkX7l4wRkHqqCUFNJY4AfY3kHU/edit?usp=sharing  #gid=0"",""фіз особи new!relations_name_uo""),7,FALSE)
,
)
))"),"СЕМЕНОВ Олексій Миколайович")</f>
        <v>СЕМЕНОВ Олексій Миколайович</v>
      </c>
      <c r="G9284" s="7" t="s">
        <v>10</v>
      </c>
      <c r="H9284" s="7">
        <v>10201</v>
      </c>
      <c r="I9284" s="8" t="str">
        <f ca="1">IFERROR(__xludf.DUMMYFUNCTION("IF
(
G9285=""фізична особа""
,
VLOOKUP(H9285,IMPORTRANGE(""https://docs.google.com/spreadsheets/d/14Bd19lYaqBhU8_DElYkX7l4wRkHqqCUFNJY4AfY3kHU/edit?usp=sharing  #gid=0"",""фіз особи new!relations_name""),6,FALSE)
,
(IF
(
G9285=""юридична особа""
,
VLOOKUP"&amp;"(H9285,IMPORTRANGE(""https://docs.google.com/spreadsheets/d/14Bd19lYaqBhU8_DElYkX7l4wRkHqqCUFNJY4AfY3kHU/edit?usp=sharing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84" s="7" t="s">
        <v>29</v>
      </c>
    </row>
    <row r="9285" spans="1:10" ht="13.2">
      <c r="A9285" s="7">
        <v>9284</v>
      </c>
      <c r="B9285" s="7">
        <v>1</v>
      </c>
      <c r="C9285" s="7" t="s">
        <v>10</v>
      </c>
      <c r="D9285" s="7">
        <v>11148</v>
      </c>
      <c r="E9285" s="7" t="s">
        <v>28</v>
      </c>
      <c r="F9285" s="8" t="str">
        <f ca="1">IFERROR(__xludf.DUMMYFUNCTION("IF
(
C9286=""фізична особа""
,
VLOOKUP(D9286,IMPORTRANGE(""https://docs.google.com/spreadsheets/d/14Bd19lYaqBhU8_DElYkX7l4wRkHqqCUFNJY4AfY3kHU/edit?usp=sharing  #gid=0"",""фіз особи new!relations_name""),6,FALSE)
,
(IF
(
C9286=""юридична особа""
,
VLOOKUP"&amp;"(D9286,IMPORTRANGE(""https://docs.google.com/spreadsheets/d/14Bd19lYaqBhU8_DElYkX7l4wRkHqqCUFNJY4AfY3kHU/edit?usp=sharing  #gid=0"",""фіз особи new!relations_name_uo""),7,FALSE)
,
)
))"),"САВЕНКОВА Юлія Михайлівна")</f>
        <v>САВЕНКОВА Юлія Михайлівна</v>
      </c>
      <c r="G9285" s="7" t="s">
        <v>10</v>
      </c>
      <c r="H9285" s="7">
        <v>3087</v>
      </c>
      <c r="I9285" s="8" t="str">
        <f ca="1">IFERROR(__xludf.DUMMYFUNCTION("IF
(
G9286=""фізична особа""
,
VLOOKUP(H9286,IMPORTRANGE(""https://docs.google.com/spreadsheets/d/14Bd19lYaqBhU8_DElYkX7l4wRkHqqCUFNJY4AfY3kHU/edit?usp=sharing  #gid=0"",""фіз особи new!relations_name""),6,FALSE)
,
(IF
(
G9286=""юридична особа""
,
VLOOKUP"&amp;"(H9286,IMPORTRANGE(""https://docs.google.com/spreadsheets/d/14Bd19lYaqBhU8_DElYkX7l4wRkHqqCUFNJY4AfY3kHU/edit?usp=sharing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85" s="7" t="s">
        <v>29</v>
      </c>
    </row>
    <row r="9286" spans="1:10" ht="13.2">
      <c r="A9286" s="7">
        <v>9285</v>
      </c>
      <c r="B9286" s="7">
        <v>1</v>
      </c>
      <c r="C9286" s="7" t="s">
        <v>10</v>
      </c>
      <c r="D9286" s="7">
        <v>11148</v>
      </c>
      <c r="E9286" s="7" t="s">
        <v>28</v>
      </c>
      <c r="F9286" s="8" t="str">
        <f ca="1">IFERROR(__xludf.DUMMYFUNCTION("IF
(
C9287=""фізична особа""
,
VLOOKUP(D9287,IMPORTRANGE(""https://docs.google.com/spreadsheets/d/14Bd19lYaqBhU8_DElYkX7l4wRkHqqCUFNJY4AfY3kHU/edit?usp=sharing  #gid=0"",""фіз особи new!relations_name""),6,FALSE)
,
(IF
(
C9287=""юридична особа""
,
VLOOKUP"&amp;"(D9287,IMPORTRANGE(""https://docs.google.com/spreadsheets/d/14Bd19lYaqBhU8_DElYkX7l4wRkHqqCUFNJY4AfY3kHU/edit?usp=sharing  #gid=0"",""фіз особи new!relations_name_uo""),7,FALSE)
,
)
))"),"САВЕНКОВА Юлія Михайлівна")</f>
        <v>САВЕНКОВА Юлія Михайлівна</v>
      </c>
      <c r="G9286" s="7" t="s">
        <v>10</v>
      </c>
      <c r="H9286" s="7">
        <v>10201</v>
      </c>
      <c r="I9286" s="8" t="str">
        <f ca="1">IFERROR(__xludf.DUMMYFUNCTION("IF
(
G9287=""фізична особа""
,
VLOOKUP(H9287,IMPORTRANGE(""https://docs.google.com/spreadsheets/d/14Bd19lYaqBhU8_DElYkX7l4wRkHqqCUFNJY4AfY3kHU/edit?usp=sharing  #gid=0"",""фіз особи new!relations_name""),6,FALSE)
,
(IF
(
G9287=""юридична особа""
,
VLOOKUP"&amp;"(H9287,IMPORTRANGE(""https://docs.google.com/spreadsheets/d/14Bd19lYaqBhU8_DElYkX7l4wRkHqqCUFNJY4AfY3kHU/edit?usp=sharing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86" s="7" t="s">
        <v>29</v>
      </c>
    </row>
    <row r="9287" spans="1:10" ht="13.2">
      <c r="A9287" s="7">
        <v>9286</v>
      </c>
      <c r="B9287" s="7">
        <v>1</v>
      </c>
      <c r="C9287" s="7" t="s">
        <v>10</v>
      </c>
      <c r="D9287" s="7">
        <v>11149</v>
      </c>
      <c r="E9287" s="7" t="s">
        <v>28</v>
      </c>
      <c r="F9287" s="8" t="str">
        <f ca="1">IFERROR(__xludf.DUMMYFUNCTION("IF
(
C9288=""фізична особа""
,
VLOOKUP(D9288,IMPORTRANGE(""https://docs.google.com/spreadsheets/d/14Bd19lYaqBhU8_DElYkX7l4wRkHqqCUFNJY4AfY3kHU/edit?usp=sharing  #gid=0"",""фіз особи new!relations_name""),6,FALSE)
,
(IF
(
C9288=""юридична особа""
,
VLOOKUP"&amp;"(D9288,IMPORTRANGE(""https://docs.google.com/spreadsheets/d/14Bd19lYaqBhU8_DElYkX7l4wRkHqqCUFNJY4AfY3kHU/edit?usp=sharing  #gid=0"",""фіз особи new!relations_name_uo""),7,FALSE)
,
)
))"),"ІВАНОВ Роман Альбертович")</f>
        <v>ІВАНОВ Роман Альбертович</v>
      </c>
      <c r="G9287" s="7" t="s">
        <v>10</v>
      </c>
      <c r="H9287" s="7">
        <v>3087</v>
      </c>
      <c r="I9287" s="8" t="str">
        <f ca="1">IFERROR(__xludf.DUMMYFUNCTION("IF
(
G9288=""фізична особа""
,
VLOOKUP(H9288,IMPORTRANGE(""https://docs.google.com/spreadsheets/d/14Bd19lYaqBhU8_DElYkX7l4wRkHqqCUFNJY4AfY3kHU/edit?usp=sharing  #gid=0"",""фіз особи new!relations_name""),6,FALSE)
,
(IF
(
G9288=""юридична особа""
,
VLOOKUP"&amp;"(H9288,IMPORTRANGE(""https://docs.google.com/spreadsheets/d/14Bd19lYaqBhU8_DElYkX7l4wRkHqqCUFNJY4AfY3kHU/edit?usp=sharing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87" s="7" t="s">
        <v>29</v>
      </c>
    </row>
    <row r="9288" spans="1:10" ht="13.2">
      <c r="A9288" s="7">
        <v>9287</v>
      </c>
      <c r="B9288" s="7">
        <v>1</v>
      </c>
      <c r="C9288" s="7" t="s">
        <v>10</v>
      </c>
      <c r="D9288" s="7">
        <v>11149</v>
      </c>
      <c r="E9288" s="7" t="s">
        <v>28</v>
      </c>
      <c r="F9288" s="8" t="str">
        <f ca="1">IFERROR(__xludf.DUMMYFUNCTION("IF
(
C9289=""фізична особа""
,
VLOOKUP(D9289,IMPORTRANGE(""https://docs.google.com/spreadsheets/d/14Bd19lYaqBhU8_DElYkX7l4wRkHqqCUFNJY4AfY3kHU/edit?usp=sharing  #gid=0"",""фіз особи new!relations_name""),6,FALSE)
,
(IF
(
C9289=""юридична особа""
,
VLOOKUP"&amp;"(D9289,IMPORTRANGE(""https://docs.google.com/spreadsheets/d/14Bd19lYaqBhU8_DElYkX7l4wRkHqqCUFNJY4AfY3kHU/edit?usp=sharing  #gid=0"",""фіз особи new!relations_name_uo""),7,FALSE)
,
)
))"),"ІВАНОВ Роман Альбертович")</f>
        <v>ІВАНОВ Роман Альбертович</v>
      </c>
      <c r="G9288" s="7" t="s">
        <v>10</v>
      </c>
      <c r="H9288" s="7">
        <v>10201</v>
      </c>
      <c r="I9288" s="8" t="str">
        <f ca="1">IFERROR(__xludf.DUMMYFUNCTION("IF
(
G9289=""фізична особа""
,
VLOOKUP(H9289,IMPORTRANGE(""https://docs.google.com/spreadsheets/d/14Bd19lYaqBhU8_DElYkX7l4wRkHqqCUFNJY4AfY3kHU/edit?usp=sharing  #gid=0"",""фіз особи new!relations_name""),6,FALSE)
,
(IF
(
G9289=""юридична особа""
,
VLOOKUP"&amp;"(H9289,IMPORTRANGE(""https://docs.google.com/spreadsheets/d/14Bd19lYaqBhU8_DElYkX7l4wRkHqqCUFNJY4AfY3kHU/edit?usp=sharing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88" s="7" t="s">
        <v>29</v>
      </c>
    </row>
    <row r="9289" spans="1:10" ht="13.2">
      <c r="A9289" s="7">
        <v>9288</v>
      </c>
      <c r="B9289" s="7">
        <v>1</v>
      </c>
      <c r="C9289" s="7" t="s">
        <v>10</v>
      </c>
      <c r="D9289" s="7">
        <v>11150</v>
      </c>
      <c r="E9289" s="7" t="s">
        <v>28</v>
      </c>
      <c r="F9289" s="8" t="str">
        <f ca="1">IFERROR(__xludf.DUMMYFUNCTION("IF
(
C9290=""фізична особа""
,
VLOOKUP(D9290,IMPORTRANGE(""https://docs.google.com/spreadsheets/d/14Bd19lYaqBhU8_DElYkX7l4wRkHqqCUFNJY4AfY3kHU/edit?usp=sharing  #gid=0"",""фіз особи new!relations_name""),6,FALSE)
,
(IF
(
C9290=""юридична особа""
,
VLOOKUP"&amp;"(D9290,IMPORTRANGE(""https://docs.google.com/spreadsheets/d/14Bd19lYaqBhU8_DElYkX7l4wRkHqqCUFNJY4AfY3kHU/edit?usp=sharing  #gid=0"",""фіз особи new!relations_name_uo""),7,FALSE)
,
)
))"),"МОСІЄНКО Андрій Володимирович")</f>
        <v>МОСІЄНКО Андрій Володимирович</v>
      </c>
      <c r="G9289" s="7" t="s">
        <v>10</v>
      </c>
      <c r="H9289" s="7">
        <v>3087</v>
      </c>
      <c r="I9289" s="8" t="str">
        <f ca="1">IFERROR(__xludf.DUMMYFUNCTION("IF
(
G9290=""фізична особа""
,
VLOOKUP(H9290,IMPORTRANGE(""https://docs.google.com/spreadsheets/d/14Bd19lYaqBhU8_DElYkX7l4wRkHqqCUFNJY4AfY3kHU/edit?usp=sharing  #gid=0"",""фіз особи new!relations_name""),6,FALSE)
,
(IF
(
G9290=""юридична особа""
,
VLOOKUP"&amp;"(H9290,IMPORTRANGE(""https://docs.google.com/spreadsheets/d/14Bd19lYaqBhU8_DElYkX7l4wRkHqqCUFNJY4AfY3kHU/edit?usp=sharing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89" s="7" t="s">
        <v>29</v>
      </c>
    </row>
    <row r="9290" spans="1:10" ht="13.2">
      <c r="A9290" s="7">
        <v>9289</v>
      </c>
      <c r="B9290" s="7">
        <v>1</v>
      </c>
      <c r="C9290" s="7" t="s">
        <v>10</v>
      </c>
      <c r="D9290" s="7">
        <v>11150</v>
      </c>
      <c r="E9290" s="7" t="s">
        <v>28</v>
      </c>
      <c r="F9290" s="8" t="str">
        <f ca="1">IFERROR(__xludf.DUMMYFUNCTION("IF
(
C9291=""фізична особа""
,
VLOOKUP(D9291,IMPORTRANGE(""https://docs.google.com/spreadsheets/d/14Bd19lYaqBhU8_DElYkX7l4wRkHqqCUFNJY4AfY3kHU/edit?usp=sharing  #gid=0"",""фіз особи new!relations_name""),6,FALSE)
,
(IF
(
C9291=""юридична особа""
,
VLOOKUP"&amp;"(D9291,IMPORTRANGE(""https://docs.google.com/spreadsheets/d/14Bd19lYaqBhU8_DElYkX7l4wRkHqqCUFNJY4AfY3kHU/edit?usp=sharing  #gid=0"",""фіз особи new!relations_name_uo""),7,FALSE)
,
)
))"),"МОСІЄНКО Андрій Володимирович")</f>
        <v>МОСІЄНКО Андрій Володимирович</v>
      </c>
      <c r="G9290" s="7" t="s">
        <v>10</v>
      </c>
      <c r="H9290" s="7">
        <v>10201</v>
      </c>
      <c r="I9290" s="8" t="str">
        <f ca="1">IFERROR(__xludf.DUMMYFUNCTION("IF
(
G9291=""фізична особа""
,
VLOOKUP(H9291,IMPORTRANGE(""https://docs.google.com/spreadsheets/d/14Bd19lYaqBhU8_DElYkX7l4wRkHqqCUFNJY4AfY3kHU/edit?usp=sharing  #gid=0"",""фіз особи new!relations_name""),6,FALSE)
,
(IF
(
G9291=""юридична особа""
,
VLOOKUP"&amp;"(H9291,IMPORTRANGE(""https://docs.google.com/spreadsheets/d/14Bd19lYaqBhU8_DElYkX7l4wRkHqqCUFNJY4AfY3kHU/edit?usp=sharing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90" s="7" t="s">
        <v>29</v>
      </c>
    </row>
    <row r="9291" spans="1:10" ht="13.2">
      <c r="A9291" s="7">
        <v>9290</v>
      </c>
      <c r="B9291" s="7">
        <v>1</v>
      </c>
      <c r="C9291" s="7" t="s">
        <v>10</v>
      </c>
      <c r="D9291" s="7">
        <v>11151</v>
      </c>
      <c r="E9291" s="7" t="s">
        <v>28</v>
      </c>
      <c r="F9291" s="8" t="str">
        <f ca="1">IFERROR(__xludf.DUMMYFUNCTION("IF
(
C9292=""фізична особа""
,
VLOOKUP(D9292,IMPORTRANGE(""https://docs.google.com/spreadsheets/d/14Bd19lYaqBhU8_DElYkX7l4wRkHqqCUFNJY4AfY3kHU/edit?usp=sharing  #gid=0"",""фіз особи new!relations_name""),6,FALSE)
,
(IF
(
C9292=""юридична особа""
,
VLOOKUP"&amp;"(D9292,IMPORTRANGE(""https://docs.google.com/spreadsheets/d/14Bd19lYaqBhU8_DElYkX7l4wRkHqqCUFNJY4AfY3kHU/edit?usp=sharing  #gid=0"",""фіз особи new!relations_name_uo""),7,FALSE)
,
)
))"),"НАЗДРАЧЕВ Роман Борисович")</f>
        <v>НАЗДРАЧЕВ Роман Борисович</v>
      </c>
      <c r="G9291" s="7" t="s">
        <v>10</v>
      </c>
      <c r="H9291" s="7">
        <v>3087</v>
      </c>
      <c r="I9291" s="8" t="str">
        <f ca="1">IFERROR(__xludf.DUMMYFUNCTION("IF
(
G9292=""фізична особа""
,
VLOOKUP(H9292,IMPORTRANGE(""https://docs.google.com/spreadsheets/d/14Bd19lYaqBhU8_DElYkX7l4wRkHqqCUFNJY4AfY3kHU/edit?usp=sharing  #gid=0"",""фіз особи new!relations_name""),6,FALSE)
,
(IF
(
G9292=""юридична особа""
,
VLOOKUP"&amp;"(H9292,IMPORTRANGE(""https://docs.google.com/spreadsheets/d/14Bd19lYaqBhU8_DElYkX7l4wRkHqqCUFNJY4AfY3kHU/edit?usp=sharing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91" s="7" t="s">
        <v>29</v>
      </c>
    </row>
    <row r="9292" spans="1:10" ht="13.2">
      <c r="A9292" s="7">
        <v>9291</v>
      </c>
      <c r="B9292" s="7">
        <v>1</v>
      </c>
      <c r="C9292" s="7" t="s">
        <v>10</v>
      </c>
      <c r="D9292" s="7">
        <v>11151</v>
      </c>
      <c r="E9292" s="7" t="s">
        <v>28</v>
      </c>
      <c r="F9292" s="8" t="str">
        <f ca="1">IFERROR(__xludf.DUMMYFUNCTION("IF
(
C9293=""фізична особа""
,
VLOOKUP(D9293,IMPORTRANGE(""https://docs.google.com/spreadsheets/d/14Bd19lYaqBhU8_DElYkX7l4wRkHqqCUFNJY4AfY3kHU/edit?usp=sharing  #gid=0"",""фіз особи new!relations_name""),6,FALSE)
,
(IF
(
C9293=""юридична особа""
,
VLOOKUP"&amp;"(D9293,IMPORTRANGE(""https://docs.google.com/spreadsheets/d/14Bd19lYaqBhU8_DElYkX7l4wRkHqqCUFNJY4AfY3kHU/edit?usp=sharing  #gid=0"",""фіз особи new!relations_name_uo""),7,FALSE)
,
)
))"),"НАЗДРАЧЕВ Роман Борисович")</f>
        <v>НАЗДРАЧЕВ Роман Борисович</v>
      </c>
      <c r="G9292" s="7" t="s">
        <v>10</v>
      </c>
      <c r="H9292" s="7">
        <v>10201</v>
      </c>
      <c r="I9292" s="8" t="str">
        <f ca="1">IFERROR(__xludf.DUMMYFUNCTION("IF
(
G9293=""фізична особа""
,
VLOOKUP(H9293,IMPORTRANGE(""https://docs.google.com/spreadsheets/d/14Bd19lYaqBhU8_DElYkX7l4wRkHqqCUFNJY4AfY3kHU/edit?usp=sharing  #gid=0"",""фіз особи new!relations_name""),6,FALSE)
,
(IF
(
G9293=""юридична особа""
,
VLOOKUP"&amp;"(H9293,IMPORTRANGE(""https://docs.google.com/spreadsheets/d/14Bd19lYaqBhU8_DElYkX7l4wRkHqqCUFNJY4AfY3kHU/edit?usp=sharing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92" s="7" t="s">
        <v>29</v>
      </c>
    </row>
    <row r="9293" spans="1:10" ht="13.2">
      <c r="A9293" s="7">
        <v>9292</v>
      </c>
      <c r="B9293" s="7">
        <v>1</v>
      </c>
      <c r="C9293" s="7" t="s">
        <v>10</v>
      </c>
      <c r="D9293" s="7">
        <v>11152</v>
      </c>
      <c r="E9293" s="7" t="s">
        <v>28</v>
      </c>
      <c r="F9293" s="8" t="str">
        <f ca="1">IFERROR(__xludf.DUMMYFUNCTION("IF
(
C9294=""фізична особа""
,
VLOOKUP(D9294,IMPORTRANGE(""https://docs.google.com/spreadsheets/d/14Bd19lYaqBhU8_DElYkX7l4wRkHqqCUFNJY4AfY3kHU/edit?usp=sharing  #gid=0"",""фіз особи new!relations_name""),6,FALSE)
,
(IF
(
C9294=""юридична особа""
,
VLOOKUP"&amp;"(D9294,IMPORTRANGE(""https://docs.google.com/spreadsheets/d/14Bd19lYaqBhU8_DElYkX7l4wRkHqqCUFNJY4AfY3kHU/edit?usp=sharing  #gid=0"",""фіз особи new!relations_name_uo""),7,FALSE)
,
)
))"),"МОГИЛА Олексій Миколайович")</f>
        <v>МОГИЛА Олексій Миколайович</v>
      </c>
      <c r="G9293" s="7" t="s">
        <v>10</v>
      </c>
      <c r="H9293" s="7">
        <v>3087</v>
      </c>
      <c r="I9293" s="8" t="str">
        <f ca="1">IFERROR(__xludf.DUMMYFUNCTION("IF
(
G9294=""фізична особа""
,
VLOOKUP(H9294,IMPORTRANGE(""https://docs.google.com/spreadsheets/d/14Bd19lYaqBhU8_DElYkX7l4wRkHqqCUFNJY4AfY3kHU/edit?usp=sharing  #gid=0"",""фіз особи new!relations_name""),6,FALSE)
,
(IF
(
G9294=""юридична особа""
,
VLOOKUP"&amp;"(H9294,IMPORTRANGE(""https://docs.google.com/spreadsheets/d/14Bd19lYaqBhU8_DElYkX7l4wRkHqqCUFNJY4AfY3kHU/edit?usp=sharing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93" s="7" t="s">
        <v>29</v>
      </c>
    </row>
    <row r="9294" spans="1:10" ht="13.2">
      <c r="A9294" s="7">
        <v>9293</v>
      </c>
      <c r="B9294" s="7">
        <v>1</v>
      </c>
      <c r="C9294" s="7" t="s">
        <v>10</v>
      </c>
      <c r="D9294" s="7">
        <v>11152</v>
      </c>
      <c r="E9294" s="7" t="s">
        <v>28</v>
      </c>
      <c r="F9294" s="8" t="str">
        <f ca="1">IFERROR(__xludf.DUMMYFUNCTION("IF
(
C9295=""фізична особа""
,
VLOOKUP(D9295,IMPORTRANGE(""https://docs.google.com/spreadsheets/d/14Bd19lYaqBhU8_DElYkX7l4wRkHqqCUFNJY4AfY3kHU/edit?usp=sharing  #gid=0"",""фіз особи new!relations_name""),6,FALSE)
,
(IF
(
C9295=""юридична особа""
,
VLOOKUP"&amp;"(D9295,IMPORTRANGE(""https://docs.google.com/spreadsheets/d/14Bd19lYaqBhU8_DElYkX7l4wRkHqqCUFNJY4AfY3kHU/edit?usp=sharing  #gid=0"",""фіз особи new!relations_name_uo""),7,FALSE)
,
)
))"),"МОГИЛА Олексій Миколайович")</f>
        <v>МОГИЛА Олексій Миколайович</v>
      </c>
      <c r="G9294" s="7" t="s">
        <v>10</v>
      </c>
      <c r="H9294" s="7">
        <v>10201</v>
      </c>
      <c r="I9294" s="8" t="str">
        <f ca="1">IFERROR(__xludf.DUMMYFUNCTION("IF
(
G9295=""фізична особа""
,
VLOOKUP(H9295,IMPORTRANGE(""https://docs.google.com/spreadsheets/d/14Bd19lYaqBhU8_DElYkX7l4wRkHqqCUFNJY4AfY3kHU/edit?usp=sharing  #gid=0"",""фіз особи new!relations_name""),6,FALSE)
,
(IF
(
G9295=""юридична особа""
,
VLOOKUP"&amp;"(H9295,IMPORTRANGE(""https://docs.google.com/spreadsheets/d/14Bd19lYaqBhU8_DElYkX7l4wRkHqqCUFNJY4AfY3kHU/edit?usp=sharing  #gid=0"",""фіз особи new!relations_name_uo""),7,FALSE)
,
)
))"),"АБРЕКОВ Арсен Хасанбійович")</f>
        <v>АБРЕКОВ Арсен Хасанбійович</v>
      </c>
      <c r="J9294" s="7" t="s">
        <v>29</v>
      </c>
    </row>
    <row r="9295" spans="1:10" ht="13.2">
      <c r="A9295" s="7">
        <v>9294</v>
      </c>
      <c r="B9295" s="7">
        <v>1</v>
      </c>
      <c r="C9295" s="7" t="s">
        <v>10</v>
      </c>
      <c r="D9295" s="7">
        <v>11153</v>
      </c>
      <c r="E9295" s="7" t="s">
        <v>28</v>
      </c>
      <c r="F9295" s="8" t="str">
        <f ca="1">IFERROR(__xludf.DUMMYFUNCTION("IF
(
C9296=""фізична особа""
,
VLOOKUP(D9296,IMPORTRANGE(""https://docs.google.com/spreadsheets/d/14Bd19lYaqBhU8_DElYkX7l4wRkHqqCUFNJY4AfY3kHU/edit?usp=sharing  #gid=0"",""фіз особи new!relations_name""),6,FALSE)
,
(IF
(
C9296=""юридична особа""
,
VLOOKUP"&amp;"(D9296,IMPORTRANGE(""https://docs.google.com/spreadsheets/d/14Bd19lYaqBhU8_DElYkX7l4wRkHqqCUFNJY4AfY3kHU/edit?usp=sharing  #gid=0"",""фіз особи new!relations_name_uo""),7,FALSE)
,
)
))"),"ШМАКОВА Ольга Юріївна")</f>
        <v>ШМАКОВА Ольга Юріївна</v>
      </c>
      <c r="G9295" s="7" t="s">
        <v>10</v>
      </c>
      <c r="H9295" s="7">
        <v>3087</v>
      </c>
      <c r="I9295" s="8" t="str">
        <f ca="1">IFERROR(__xludf.DUMMYFUNCTION("IF
(
G9296=""фізична особа""
,
VLOOKUP(H9296,IMPORTRANGE(""https://docs.google.com/spreadsheets/d/14Bd19lYaqBhU8_DElYkX7l4wRkHqqCUFNJY4AfY3kHU/edit?usp=sharing  #gid=0"",""фіз особи new!relations_name""),6,FALSE)
,
(IF
(
G9296=""юридична особа""
,
VLOOKUP"&amp;"(H9296,IMPORTRANGE(""https://docs.google.com/spreadsheets/d/14Bd19lYaqBhU8_DElYkX7l4wRkHqqCUFNJY4AfY3kHU/edit?usp=sharing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95" s="7" t="s">
        <v>29</v>
      </c>
    </row>
    <row r="9296" spans="1:10" ht="13.2">
      <c r="A9296" s="7">
        <v>9295</v>
      </c>
      <c r="B9296" s="7">
        <v>1</v>
      </c>
      <c r="C9296" s="7" t="s">
        <v>10</v>
      </c>
      <c r="D9296" s="7">
        <v>11153</v>
      </c>
      <c r="E9296" s="7" t="s">
        <v>28</v>
      </c>
      <c r="F9296" s="8" t="str">
        <f ca="1">IFERROR(__xludf.DUMMYFUNCTION("IF
(
C9297=""фізична особа""
,
VLOOKUP(D9297,IMPORTRANGE(""https://docs.google.com/spreadsheets/d/14Bd19lYaqBhU8_DElYkX7l4wRkHqqCUFNJY4AfY3kHU/edit?usp=sharing  #gid=0"",""фіз особи new!relations_name""),6,FALSE)
,
(IF
(
C9297=""юридична особа""
,
VLOOKUP"&amp;"(D9297,IMPORTRANGE(""https://docs.google.com/spreadsheets/d/14Bd19lYaqBhU8_DElYkX7l4wRkHqqCUFNJY4AfY3kHU/edit?usp=sharing  #gid=0"",""фіз особи new!relations_name_uo""),7,FALSE)
,
)
))"),"ШМАКОВА Ольга Юріївна")</f>
        <v>ШМАКОВА Ольга Юріївна</v>
      </c>
      <c r="G9296" s="7" t="s">
        <v>10</v>
      </c>
      <c r="H9296" s="7">
        <v>10204</v>
      </c>
      <c r="I9296" s="8" t="str">
        <f ca="1">IFERROR(__xludf.DUMMYFUNCTION("IF
(
G9297=""фізична особа""
,
VLOOKUP(H9297,IMPORTRANGE(""https://docs.google.com/spreadsheets/d/14Bd19lYaqBhU8_DElYkX7l4wRkHqqCUFNJY4AfY3kHU/edit?usp=sharing  #gid=0"",""фіз особи new!relations_name""),6,FALSE)
,
(IF
(
G9297=""юридична особа""
,
VLOOKUP"&amp;"(H9297,IMPORTRANGE(""https://docs.google.com/spreadsheets/d/14Bd19lYaqBhU8_DElYkX7l4wRkHqqCUFNJY4AfY3kHU/edit?usp=sharing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296" s="7" t="s">
        <v>29</v>
      </c>
    </row>
    <row r="9297" spans="1:10" ht="13.2">
      <c r="A9297" s="7">
        <v>9296</v>
      </c>
      <c r="B9297" s="7">
        <v>1</v>
      </c>
      <c r="C9297" s="7" t="s">
        <v>10</v>
      </c>
      <c r="D9297" s="7">
        <v>11154</v>
      </c>
      <c r="E9297" s="7" t="s">
        <v>28</v>
      </c>
      <c r="F9297" s="8" t="str">
        <f ca="1">IFERROR(__xludf.DUMMYFUNCTION("IF
(
C9298=""фізична особа""
,
VLOOKUP(D9298,IMPORTRANGE(""https://docs.google.com/spreadsheets/d/14Bd19lYaqBhU8_DElYkX7l4wRkHqqCUFNJY4AfY3kHU/edit?usp=sharing  #gid=0"",""фіз особи new!relations_name""),6,FALSE)
,
(IF
(
C9298=""юридична особа""
,
VLOOKUP"&amp;"(D9298,IMPORTRANGE(""https://docs.google.com/spreadsheets/d/14Bd19lYaqBhU8_DElYkX7l4wRkHqqCUFNJY4AfY3kHU/edit?usp=sharing  #gid=0"",""фіз особи new!relations_name_uo""),7,FALSE)
,
)
))"),"КАРА-САЛ Алдин-Херел Павлович")</f>
        <v>КАРА-САЛ Алдин-Херел Павлович</v>
      </c>
      <c r="G9297" s="7" t="s">
        <v>10</v>
      </c>
      <c r="H9297" s="7">
        <v>3087</v>
      </c>
      <c r="I9297" s="8" t="str">
        <f ca="1">IFERROR(__xludf.DUMMYFUNCTION("IF
(
G9298=""фізична особа""
,
VLOOKUP(H9298,IMPORTRANGE(""https://docs.google.com/spreadsheets/d/14Bd19lYaqBhU8_DElYkX7l4wRkHqqCUFNJY4AfY3kHU/edit?usp=sharing  #gid=0"",""фіз особи new!relations_name""),6,FALSE)
,
(IF
(
G9298=""юридична особа""
,
VLOOKUP"&amp;"(H9298,IMPORTRANGE(""https://docs.google.com/spreadsheets/d/14Bd19lYaqBhU8_DElYkX7l4wRkHqqCUFNJY4AfY3kHU/edit?usp=sharing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97" s="7" t="s">
        <v>29</v>
      </c>
    </row>
    <row r="9298" spans="1:10" ht="13.2">
      <c r="A9298" s="7">
        <v>9297</v>
      </c>
      <c r="B9298" s="7">
        <v>1</v>
      </c>
      <c r="C9298" s="7" t="s">
        <v>10</v>
      </c>
      <c r="D9298" s="7">
        <v>11154</v>
      </c>
      <c r="E9298" s="7" t="s">
        <v>28</v>
      </c>
      <c r="F9298" s="8" t="str">
        <f ca="1">IFERROR(__xludf.DUMMYFUNCTION("IF
(
C9299=""фізична особа""
,
VLOOKUP(D9299,IMPORTRANGE(""https://docs.google.com/spreadsheets/d/14Bd19lYaqBhU8_DElYkX7l4wRkHqqCUFNJY4AfY3kHU/edit?usp=sharing  #gid=0"",""фіз особи new!relations_name""),6,FALSE)
,
(IF
(
C9299=""юридична особа""
,
VLOOKUP"&amp;"(D9299,IMPORTRANGE(""https://docs.google.com/spreadsheets/d/14Bd19lYaqBhU8_DElYkX7l4wRkHqqCUFNJY4AfY3kHU/edit?usp=sharing  #gid=0"",""фіз особи new!relations_name_uo""),7,FALSE)
,
)
))"),"КАРА-САЛ Алдин-Херел Павлович")</f>
        <v>КАРА-САЛ Алдин-Херел Павлович</v>
      </c>
      <c r="G9298" s="7" t="s">
        <v>10</v>
      </c>
      <c r="H9298" s="7">
        <v>10204</v>
      </c>
      <c r="I9298" s="8" t="str">
        <f ca="1">IFERROR(__xludf.DUMMYFUNCTION("IF
(
G9299=""фізична особа""
,
VLOOKUP(H9299,IMPORTRANGE(""https://docs.google.com/spreadsheets/d/14Bd19lYaqBhU8_DElYkX7l4wRkHqqCUFNJY4AfY3kHU/edit?usp=sharing  #gid=0"",""фіз особи new!relations_name""),6,FALSE)
,
(IF
(
G9299=""юридична особа""
,
VLOOKUP"&amp;"(H9299,IMPORTRANGE(""https://docs.google.com/spreadsheets/d/14Bd19lYaqBhU8_DElYkX7l4wRkHqqCUFNJY4AfY3kHU/edit?usp=sharing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298" s="7" t="s">
        <v>29</v>
      </c>
    </row>
    <row r="9299" spans="1:10" ht="13.2">
      <c r="A9299" s="7">
        <v>9298</v>
      </c>
      <c r="B9299" s="7">
        <v>1</v>
      </c>
      <c r="C9299" s="7" t="s">
        <v>10</v>
      </c>
      <c r="D9299" s="7">
        <v>11155</v>
      </c>
      <c r="E9299" s="7" t="s">
        <v>28</v>
      </c>
      <c r="F9299" s="8" t="str">
        <f ca="1">IFERROR(__xludf.DUMMYFUNCTION("IF
(
C9300=""фізична особа""
,
VLOOKUP(D9300,IMPORTRANGE(""https://docs.google.com/spreadsheets/d/14Bd19lYaqBhU8_DElYkX7l4wRkHqqCUFNJY4AfY3kHU/edit?usp=sharing  #gid=0"",""фіз особи new!relations_name""),6,FALSE)
,
(IF
(
C9300=""юридична особа""
,
VLOOKUP"&amp;"(D9300,IMPORTRANGE(""https://docs.google.com/spreadsheets/d/14Bd19lYaqBhU8_DElYkX7l4wRkHqqCUFNJY4AfY3kHU/edit?usp=sharing  #gid=0"",""фіз особи new!relations_name_uo""),7,FALSE)
,
)
))"),"ДІДЕНКО Світлана Миколаївна")</f>
        <v>ДІДЕНКО Світлана Миколаївна</v>
      </c>
      <c r="G9299" s="7" t="s">
        <v>10</v>
      </c>
      <c r="H9299" s="7">
        <v>3087</v>
      </c>
      <c r="I9299" s="8" t="str">
        <f ca="1">IFERROR(__xludf.DUMMYFUNCTION("IF
(
G9300=""фізична особа""
,
VLOOKUP(H9300,IMPORTRANGE(""https://docs.google.com/spreadsheets/d/14Bd19lYaqBhU8_DElYkX7l4wRkHqqCUFNJY4AfY3kHU/edit?usp=sharing  #gid=0"",""фіз особи new!relations_name""),6,FALSE)
,
(IF
(
G9300=""юридична особа""
,
VLOOKUP"&amp;"(H9300,IMPORTRANGE(""https://docs.google.com/spreadsheets/d/14Bd19lYaqBhU8_DElYkX7l4wRkHqqCUFNJY4AfY3kHU/edit?usp=sharing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299" s="7" t="s">
        <v>29</v>
      </c>
    </row>
    <row r="9300" spans="1:10" ht="13.2">
      <c r="A9300" s="7">
        <v>9299</v>
      </c>
      <c r="B9300" s="7">
        <v>1</v>
      </c>
      <c r="C9300" s="7" t="s">
        <v>10</v>
      </c>
      <c r="D9300" s="7">
        <v>11155</v>
      </c>
      <c r="E9300" s="7" t="s">
        <v>28</v>
      </c>
      <c r="F9300" s="8" t="str">
        <f ca="1">IFERROR(__xludf.DUMMYFUNCTION("IF
(
C9301=""фізична особа""
,
VLOOKUP(D9301,IMPORTRANGE(""https://docs.google.com/spreadsheets/d/14Bd19lYaqBhU8_DElYkX7l4wRkHqqCUFNJY4AfY3kHU/edit?usp=sharing  #gid=0"",""фіз особи new!relations_name""),6,FALSE)
,
(IF
(
C9301=""юридична особа""
,
VLOOKUP"&amp;"(D9301,IMPORTRANGE(""https://docs.google.com/spreadsheets/d/14Bd19lYaqBhU8_DElYkX7l4wRkHqqCUFNJY4AfY3kHU/edit?usp=sharing  #gid=0"",""фіз особи new!relations_name_uo""),7,FALSE)
,
)
))"),"ДІДЕНКО Світлана Миколаївна")</f>
        <v>ДІДЕНКО Світлана Миколаївна</v>
      </c>
      <c r="G9300" s="7" t="s">
        <v>10</v>
      </c>
      <c r="H9300" s="7">
        <v>10204</v>
      </c>
      <c r="I9300" s="8" t="str">
        <f ca="1">IFERROR(__xludf.DUMMYFUNCTION("IF
(
G9301=""фізична особа""
,
VLOOKUP(H9301,IMPORTRANGE(""https://docs.google.com/spreadsheets/d/14Bd19lYaqBhU8_DElYkX7l4wRkHqqCUFNJY4AfY3kHU/edit?usp=sharing  #gid=0"",""фіз особи new!relations_name""),6,FALSE)
,
(IF
(
G9301=""юридична особа""
,
VLOOKUP"&amp;"(H9301,IMPORTRANGE(""https://docs.google.com/spreadsheets/d/14Bd19lYaqBhU8_DElYkX7l4wRkHqqCUFNJY4AfY3kHU/edit?usp=sharing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00" s="7" t="s">
        <v>29</v>
      </c>
    </row>
    <row r="9301" spans="1:10" ht="13.2">
      <c r="A9301" s="7">
        <v>9300</v>
      </c>
      <c r="B9301" s="7">
        <v>1</v>
      </c>
      <c r="C9301" s="7" t="s">
        <v>10</v>
      </c>
      <c r="D9301" s="7">
        <v>11156</v>
      </c>
      <c r="E9301" s="7" t="s">
        <v>28</v>
      </c>
      <c r="F9301" s="8" t="str">
        <f ca="1">IFERROR(__xludf.DUMMYFUNCTION("IF
(
C9302=""фізична особа""
,
VLOOKUP(D9302,IMPORTRANGE(""https://docs.google.com/spreadsheets/d/14Bd19lYaqBhU8_DElYkX7l4wRkHqqCUFNJY4AfY3kHU/edit?usp=sharing  #gid=0"",""фіз особи new!relations_name""),6,FALSE)
,
(IF
(
C9302=""юридична особа""
,
VLOOKUP"&amp;"(D9302,IMPORTRANGE(""https://docs.google.com/spreadsheets/d/14Bd19lYaqBhU8_DElYkX7l4wRkHqqCUFNJY4AfY3kHU/edit?usp=sharing  #gid=0"",""фіз особи new!relations_name_uo""),7,FALSE)
,
)
))"),"КУРИЛЕНКО Юрій Олександрович")</f>
        <v>КУРИЛЕНКО Юрій Олександрович</v>
      </c>
      <c r="G9301" s="7" t="s">
        <v>10</v>
      </c>
      <c r="H9301" s="7">
        <v>3087</v>
      </c>
      <c r="I9301" s="8" t="str">
        <f ca="1">IFERROR(__xludf.DUMMYFUNCTION("IF
(
G9302=""фізична особа""
,
VLOOKUP(H9302,IMPORTRANGE(""https://docs.google.com/spreadsheets/d/14Bd19lYaqBhU8_DElYkX7l4wRkHqqCUFNJY4AfY3kHU/edit?usp=sharing  #gid=0"",""фіз особи new!relations_name""),6,FALSE)
,
(IF
(
G9302=""юридична особа""
,
VLOOKUP"&amp;"(H9302,IMPORTRANGE(""https://docs.google.com/spreadsheets/d/14Bd19lYaqBhU8_DElYkX7l4wRkHqqCUFNJY4AfY3kHU/edit?usp=sharing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01" s="7" t="s">
        <v>29</v>
      </c>
    </row>
    <row r="9302" spans="1:10" ht="13.2">
      <c r="A9302" s="7">
        <v>9301</v>
      </c>
      <c r="B9302" s="7">
        <v>1</v>
      </c>
      <c r="C9302" s="7" t="s">
        <v>10</v>
      </c>
      <c r="D9302" s="7">
        <v>11156</v>
      </c>
      <c r="E9302" s="7" t="s">
        <v>28</v>
      </c>
      <c r="F9302" s="8" t="str">
        <f ca="1">IFERROR(__xludf.DUMMYFUNCTION("IF
(
C9303=""фізична особа""
,
VLOOKUP(D9303,IMPORTRANGE(""https://docs.google.com/spreadsheets/d/14Bd19lYaqBhU8_DElYkX7l4wRkHqqCUFNJY4AfY3kHU/edit?usp=sharing  #gid=0"",""фіз особи new!relations_name""),6,FALSE)
,
(IF
(
C9303=""юридична особа""
,
VLOOKUP"&amp;"(D9303,IMPORTRANGE(""https://docs.google.com/spreadsheets/d/14Bd19lYaqBhU8_DElYkX7l4wRkHqqCUFNJY4AfY3kHU/edit?usp=sharing  #gid=0"",""фіз особи new!relations_name_uo""),7,FALSE)
,
)
))"),"КУРИЛЕНКО Юрій Олександрович")</f>
        <v>КУРИЛЕНКО Юрій Олександрович</v>
      </c>
      <c r="G9302" s="7" t="s">
        <v>10</v>
      </c>
      <c r="H9302" s="7">
        <v>10204</v>
      </c>
      <c r="I9302" s="8" t="str">
        <f ca="1">IFERROR(__xludf.DUMMYFUNCTION("IF
(
G9303=""фізична особа""
,
VLOOKUP(H9303,IMPORTRANGE(""https://docs.google.com/spreadsheets/d/14Bd19lYaqBhU8_DElYkX7l4wRkHqqCUFNJY4AfY3kHU/edit?usp=sharing  #gid=0"",""фіз особи new!relations_name""),6,FALSE)
,
(IF
(
G9303=""юридична особа""
,
VLOOKUP"&amp;"(H9303,IMPORTRANGE(""https://docs.google.com/spreadsheets/d/14Bd19lYaqBhU8_DElYkX7l4wRkHqqCUFNJY4AfY3kHU/edit?usp=sharing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02" s="7" t="s">
        <v>29</v>
      </c>
    </row>
    <row r="9303" spans="1:10" ht="13.2">
      <c r="A9303" s="7">
        <v>9302</v>
      </c>
      <c r="B9303" s="7">
        <v>1</v>
      </c>
      <c r="C9303" s="7" t="s">
        <v>10</v>
      </c>
      <c r="D9303" s="7">
        <v>11157</v>
      </c>
      <c r="E9303" s="7" t="s">
        <v>28</v>
      </c>
      <c r="F9303" s="8" t="str">
        <f ca="1">IFERROR(__xludf.DUMMYFUNCTION("IF
(
C9304=""фізична особа""
,
VLOOKUP(D9304,IMPORTRANGE(""https://docs.google.com/spreadsheets/d/14Bd19lYaqBhU8_DElYkX7l4wRkHqqCUFNJY4AfY3kHU/edit?usp=sharing  #gid=0"",""фіз особи new!relations_name""),6,FALSE)
,
(IF
(
C9304=""юридична особа""
,
VLOOKUP"&amp;"(D9304,IMPORTRANGE(""https://docs.google.com/spreadsheets/d/14Bd19lYaqBhU8_DElYkX7l4wRkHqqCUFNJY4AfY3kHU/edit?usp=sharing  #gid=0"",""фіз особи new!relations_name_uo""),7,FALSE)
,
)
))"),"БУРАКОВ Дмитро Сергійович")</f>
        <v>БУРАКОВ Дмитро Сергійович</v>
      </c>
      <c r="G9303" s="7" t="s">
        <v>10</v>
      </c>
      <c r="H9303" s="7">
        <v>3087</v>
      </c>
      <c r="I9303" s="8" t="str">
        <f ca="1">IFERROR(__xludf.DUMMYFUNCTION("IF
(
G9304=""фізична особа""
,
VLOOKUP(H9304,IMPORTRANGE(""https://docs.google.com/spreadsheets/d/14Bd19lYaqBhU8_DElYkX7l4wRkHqqCUFNJY4AfY3kHU/edit?usp=sharing  #gid=0"",""фіз особи new!relations_name""),6,FALSE)
,
(IF
(
G9304=""юридична особа""
,
VLOOKUP"&amp;"(H9304,IMPORTRANGE(""https://docs.google.com/spreadsheets/d/14Bd19lYaqBhU8_DElYkX7l4wRkHqqCUFNJY4AfY3kHU/edit?usp=sharing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03" s="7" t="s">
        <v>29</v>
      </c>
    </row>
    <row r="9304" spans="1:10" ht="13.2">
      <c r="A9304" s="7">
        <v>9303</v>
      </c>
      <c r="B9304" s="7">
        <v>1</v>
      </c>
      <c r="C9304" s="7" t="s">
        <v>10</v>
      </c>
      <c r="D9304" s="7">
        <v>11157</v>
      </c>
      <c r="E9304" s="7" t="s">
        <v>28</v>
      </c>
      <c r="F9304" s="8" t="str">
        <f ca="1">IFERROR(__xludf.DUMMYFUNCTION("IF
(
C9305=""фізична особа""
,
VLOOKUP(D9305,IMPORTRANGE(""https://docs.google.com/spreadsheets/d/14Bd19lYaqBhU8_DElYkX7l4wRkHqqCUFNJY4AfY3kHU/edit?usp=sharing  #gid=0"",""фіз особи new!relations_name""),6,FALSE)
,
(IF
(
C9305=""юридична особа""
,
VLOOKUP"&amp;"(D9305,IMPORTRANGE(""https://docs.google.com/spreadsheets/d/14Bd19lYaqBhU8_DElYkX7l4wRkHqqCUFNJY4AfY3kHU/edit?usp=sharing  #gid=0"",""фіз особи new!relations_name_uo""),7,FALSE)
,
)
))"),"БУРАКОВ Дмитро Сергійович")</f>
        <v>БУРАКОВ Дмитро Сергійович</v>
      </c>
      <c r="G9304" s="7" t="s">
        <v>10</v>
      </c>
      <c r="H9304" s="7">
        <v>10204</v>
      </c>
      <c r="I9304" s="8" t="str">
        <f ca="1">IFERROR(__xludf.DUMMYFUNCTION("IF
(
G9305=""фізична особа""
,
VLOOKUP(H9305,IMPORTRANGE(""https://docs.google.com/spreadsheets/d/14Bd19lYaqBhU8_DElYkX7l4wRkHqqCUFNJY4AfY3kHU/edit?usp=sharing  #gid=0"",""фіз особи new!relations_name""),6,FALSE)
,
(IF
(
G9305=""юридична особа""
,
VLOOKUP"&amp;"(H9305,IMPORTRANGE(""https://docs.google.com/spreadsheets/d/14Bd19lYaqBhU8_DElYkX7l4wRkHqqCUFNJY4AfY3kHU/edit?usp=sharing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04" s="7" t="s">
        <v>29</v>
      </c>
    </row>
    <row r="9305" spans="1:10" ht="13.2">
      <c r="A9305" s="7">
        <v>9304</v>
      </c>
      <c r="B9305" s="7">
        <v>1</v>
      </c>
      <c r="C9305" s="7" t="s">
        <v>10</v>
      </c>
      <c r="D9305" s="7">
        <v>11158</v>
      </c>
      <c r="E9305" s="7" t="s">
        <v>28</v>
      </c>
      <c r="F9305" s="8" t="str">
        <f ca="1">IFERROR(__xludf.DUMMYFUNCTION("IF
(
C9306=""фізична особа""
,
VLOOKUP(D9306,IMPORTRANGE(""https://docs.google.com/spreadsheets/d/14Bd19lYaqBhU8_DElYkX7l4wRkHqqCUFNJY4AfY3kHU/edit?usp=sharing  #gid=0"",""фіз особи new!relations_name""),6,FALSE)
,
(IF
(
C9306=""юридична особа""
,
VLOOKUP"&amp;"(D9306,IMPORTRANGE(""https://docs.google.com/spreadsheets/d/14Bd19lYaqBhU8_DElYkX7l4wRkHqqCUFNJY4AfY3kHU/edit?usp=sharing  #gid=0"",""фіз особи new!relations_name_uo""),7,FALSE)
,
)
))"),"АНТОНОВА Ірина Ігорівна")</f>
        <v>АНТОНОВА Ірина Ігорівна</v>
      </c>
      <c r="G9305" s="7" t="s">
        <v>10</v>
      </c>
      <c r="H9305" s="7">
        <v>3087</v>
      </c>
      <c r="I9305" s="8" t="str">
        <f ca="1">IFERROR(__xludf.DUMMYFUNCTION("IF
(
G9306=""фізична особа""
,
VLOOKUP(H9306,IMPORTRANGE(""https://docs.google.com/spreadsheets/d/14Bd19lYaqBhU8_DElYkX7l4wRkHqqCUFNJY4AfY3kHU/edit?usp=sharing  #gid=0"",""фіз особи new!relations_name""),6,FALSE)
,
(IF
(
G9306=""юридична особа""
,
VLOOKUP"&amp;"(H9306,IMPORTRANGE(""https://docs.google.com/spreadsheets/d/14Bd19lYaqBhU8_DElYkX7l4wRkHqqCUFNJY4AfY3kHU/edit?usp=sharing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05" s="7" t="s">
        <v>29</v>
      </c>
    </row>
    <row r="9306" spans="1:10" ht="13.2">
      <c r="A9306" s="7">
        <v>9305</v>
      </c>
      <c r="B9306" s="7">
        <v>1</v>
      </c>
      <c r="C9306" s="7" t="s">
        <v>10</v>
      </c>
      <c r="D9306" s="7">
        <v>11158</v>
      </c>
      <c r="E9306" s="7" t="s">
        <v>28</v>
      </c>
      <c r="F9306" s="8" t="str">
        <f ca="1">IFERROR(__xludf.DUMMYFUNCTION("IF
(
C9307=""фізична особа""
,
VLOOKUP(D9307,IMPORTRANGE(""https://docs.google.com/spreadsheets/d/14Bd19lYaqBhU8_DElYkX7l4wRkHqqCUFNJY4AfY3kHU/edit?usp=sharing  #gid=0"",""фіз особи new!relations_name""),6,FALSE)
,
(IF
(
C9307=""юридична особа""
,
VLOOKUP"&amp;"(D9307,IMPORTRANGE(""https://docs.google.com/spreadsheets/d/14Bd19lYaqBhU8_DElYkX7l4wRkHqqCUFNJY4AfY3kHU/edit?usp=sharing  #gid=0"",""фіз особи new!relations_name_uo""),7,FALSE)
,
)
))"),"АНТОНОВА Ірина Ігорівна")</f>
        <v>АНТОНОВА Ірина Ігорівна</v>
      </c>
      <c r="G9306" s="7" t="s">
        <v>10</v>
      </c>
      <c r="H9306" s="7">
        <v>10204</v>
      </c>
      <c r="I9306" s="8" t="str">
        <f ca="1">IFERROR(__xludf.DUMMYFUNCTION("IF
(
G9307=""фізична особа""
,
VLOOKUP(H9307,IMPORTRANGE(""https://docs.google.com/spreadsheets/d/14Bd19lYaqBhU8_DElYkX7l4wRkHqqCUFNJY4AfY3kHU/edit?usp=sharing  #gid=0"",""фіз особи new!relations_name""),6,FALSE)
,
(IF
(
G9307=""юридична особа""
,
VLOOKUP"&amp;"(H9307,IMPORTRANGE(""https://docs.google.com/spreadsheets/d/14Bd19lYaqBhU8_DElYkX7l4wRkHqqCUFNJY4AfY3kHU/edit?usp=sharing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06" s="7" t="s">
        <v>29</v>
      </c>
    </row>
    <row r="9307" spans="1:10" ht="13.2">
      <c r="A9307" s="7">
        <v>9306</v>
      </c>
      <c r="B9307" s="7">
        <v>1</v>
      </c>
      <c r="C9307" s="7" t="s">
        <v>10</v>
      </c>
      <c r="D9307" s="7">
        <v>11159</v>
      </c>
      <c r="E9307" s="7" t="s">
        <v>28</v>
      </c>
      <c r="F9307" s="8" t="str">
        <f ca="1">IFERROR(__xludf.DUMMYFUNCTION("IF
(
C9308=""фізична особа""
,
VLOOKUP(D9308,IMPORTRANGE(""https://docs.google.com/spreadsheets/d/14Bd19lYaqBhU8_DElYkX7l4wRkHqqCUFNJY4AfY3kHU/edit?usp=sharing  #gid=0"",""фіз особи new!relations_name""),6,FALSE)
,
(IF
(
C9308=""юридична особа""
,
VLOOKUP"&amp;"(D9308,IMPORTRANGE(""https://docs.google.com/spreadsheets/d/14Bd19lYaqBhU8_DElYkX7l4wRkHqqCUFNJY4AfY3kHU/edit?usp=sharing  #gid=0"",""фіз особи new!relations_name_uo""),7,FALSE)
,
)
))"),"ЛЕГОСТАЄВ Олексій Вікторович")</f>
        <v>ЛЕГОСТАЄВ Олексій Вікторович</v>
      </c>
      <c r="G9307" s="7" t="s">
        <v>10</v>
      </c>
      <c r="H9307" s="7">
        <v>3087</v>
      </c>
      <c r="I9307" s="8" t="str">
        <f ca="1">IFERROR(__xludf.DUMMYFUNCTION("IF
(
G9308=""фізична особа""
,
VLOOKUP(H9308,IMPORTRANGE(""https://docs.google.com/spreadsheets/d/14Bd19lYaqBhU8_DElYkX7l4wRkHqqCUFNJY4AfY3kHU/edit?usp=sharing  #gid=0"",""фіз особи new!relations_name""),6,FALSE)
,
(IF
(
G9308=""юридична особа""
,
VLOOKUP"&amp;"(H9308,IMPORTRANGE(""https://docs.google.com/spreadsheets/d/14Bd19lYaqBhU8_DElYkX7l4wRkHqqCUFNJY4AfY3kHU/edit?usp=sharing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07" s="7" t="s">
        <v>29</v>
      </c>
    </row>
    <row r="9308" spans="1:10" ht="13.2">
      <c r="A9308" s="7">
        <v>9307</v>
      </c>
      <c r="B9308" s="7">
        <v>1</v>
      </c>
      <c r="C9308" s="7" t="s">
        <v>10</v>
      </c>
      <c r="D9308" s="7">
        <v>11159</v>
      </c>
      <c r="E9308" s="7" t="s">
        <v>28</v>
      </c>
      <c r="F9308" s="8" t="str">
        <f ca="1">IFERROR(__xludf.DUMMYFUNCTION("IF
(
C9309=""фізична особа""
,
VLOOKUP(D9309,IMPORTRANGE(""https://docs.google.com/spreadsheets/d/14Bd19lYaqBhU8_DElYkX7l4wRkHqqCUFNJY4AfY3kHU/edit?usp=sharing  #gid=0"",""фіз особи new!relations_name""),6,FALSE)
,
(IF
(
C9309=""юридична особа""
,
VLOOKUP"&amp;"(D9309,IMPORTRANGE(""https://docs.google.com/spreadsheets/d/14Bd19lYaqBhU8_DElYkX7l4wRkHqqCUFNJY4AfY3kHU/edit?usp=sharing  #gid=0"",""фіз особи new!relations_name_uo""),7,FALSE)
,
)
))"),"ЛЕГОСТАЄВ Олексій Вікторович")</f>
        <v>ЛЕГОСТАЄВ Олексій Вікторович</v>
      </c>
      <c r="G9308" s="7" t="s">
        <v>10</v>
      </c>
      <c r="H9308" s="7">
        <v>10204</v>
      </c>
      <c r="I9308" s="8" t="str">
        <f ca="1">IFERROR(__xludf.DUMMYFUNCTION("IF
(
G9309=""фізична особа""
,
VLOOKUP(H9309,IMPORTRANGE(""https://docs.google.com/spreadsheets/d/14Bd19lYaqBhU8_DElYkX7l4wRkHqqCUFNJY4AfY3kHU/edit?usp=sharing  #gid=0"",""фіз особи new!relations_name""),6,FALSE)
,
(IF
(
G9309=""юридична особа""
,
VLOOKUP"&amp;"(H9309,IMPORTRANGE(""https://docs.google.com/spreadsheets/d/14Bd19lYaqBhU8_DElYkX7l4wRkHqqCUFNJY4AfY3kHU/edit?usp=sharing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08" s="7" t="s">
        <v>29</v>
      </c>
    </row>
    <row r="9309" spans="1:10" ht="13.2">
      <c r="A9309" s="7">
        <v>9308</v>
      </c>
      <c r="B9309" s="7">
        <v>1</v>
      </c>
      <c r="C9309" s="7" t="s">
        <v>10</v>
      </c>
      <c r="D9309" s="7">
        <v>11160</v>
      </c>
      <c r="E9309" s="7" t="s">
        <v>28</v>
      </c>
      <c r="F9309" s="8" t="str">
        <f ca="1">IFERROR(__xludf.DUMMYFUNCTION("IF
(
C9310=""фізична особа""
,
VLOOKUP(D9310,IMPORTRANGE(""https://docs.google.com/spreadsheets/d/14Bd19lYaqBhU8_DElYkX7l4wRkHqqCUFNJY4AfY3kHU/edit?usp=sharing  #gid=0"",""фіз особи new!relations_name""),6,FALSE)
,
(IF
(
C9310=""юридична особа""
,
VLOOKUP"&amp;"(D9310,IMPORTRANGE(""https://docs.google.com/spreadsheets/d/14Bd19lYaqBhU8_DElYkX7l4wRkHqqCUFNJY4AfY3kHU/edit?usp=sharing  #gid=0"",""фіз особи new!relations_name_uo""),7,FALSE)
,
)
))"),"РЄПІН Володимир Валерійович")</f>
        <v>РЄПІН Володимир Валерійович</v>
      </c>
      <c r="G9309" s="7" t="s">
        <v>10</v>
      </c>
      <c r="H9309" s="7">
        <v>3087</v>
      </c>
      <c r="I9309" s="8" t="str">
        <f ca="1">IFERROR(__xludf.DUMMYFUNCTION("IF
(
G9310=""фізична особа""
,
VLOOKUP(H9310,IMPORTRANGE(""https://docs.google.com/spreadsheets/d/14Bd19lYaqBhU8_DElYkX7l4wRkHqqCUFNJY4AfY3kHU/edit?usp=sharing  #gid=0"",""фіз особи new!relations_name""),6,FALSE)
,
(IF
(
G9310=""юридична особа""
,
VLOOKUP"&amp;"(H9310,IMPORTRANGE(""https://docs.google.com/spreadsheets/d/14Bd19lYaqBhU8_DElYkX7l4wRkHqqCUFNJY4AfY3kHU/edit?usp=sharing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09" s="7" t="s">
        <v>29</v>
      </c>
    </row>
    <row r="9310" spans="1:10" ht="13.2">
      <c r="A9310" s="7">
        <v>9309</v>
      </c>
      <c r="B9310" s="7">
        <v>1</v>
      </c>
      <c r="C9310" s="7" t="s">
        <v>10</v>
      </c>
      <c r="D9310" s="7">
        <v>11160</v>
      </c>
      <c r="E9310" s="7" t="s">
        <v>28</v>
      </c>
      <c r="F9310" s="8" t="str">
        <f ca="1">IFERROR(__xludf.DUMMYFUNCTION("IF
(
C9311=""фізична особа""
,
VLOOKUP(D9311,IMPORTRANGE(""https://docs.google.com/spreadsheets/d/14Bd19lYaqBhU8_DElYkX7l4wRkHqqCUFNJY4AfY3kHU/edit?usp=sharing  #gid=0"",""фіз особи new!relations_name""),6,FALSE)
,
(IF
(
C9311=""юридична особа""
,
VLOOKUP"&amp;"(D9311,IMPORTRANGE(""https://docs.google.com/spreadsheets/d/14Bd19lYaqBhU8_DElYkX7l4wRkHqqCUFNJY4AfY3kHU/edit?usp=sharing  #gid=0"",""фіз особи new!relations_name_uo""),7,FALSE)
,
)
))"),"РЄПІН Володимир Валерійович")</f>
        <v>РЄПІН Володимир Валерійович</v>
      </c>
      <c r="G9310" s="7" t="s">
        <v>10</v>
      </c>
      <c r="H9310" s="7">
        <v>10204</v>
      </c>
      <c r="I9310" s="8" t="str">
        <f ca="1">IFERROR(__xludf.DUMMYFUNCTION("IF
(
G9311=""фізична особа""
,
VLOOKUP(H9311,IMPORTRANGE(""https://docs.google.com/spreadsheets/d/14Bd19lYaqBhU8_DElYkX7l4wRkHqqCUFNJY4AfY3kHU/edit?usp=sharing  #gid=0"",""фіз особи new!relations_name""),6,FALSE)
,
(IF
(
G9311=""юридична особа""
,
VLOOKUP"&amp;"(H9311,IMPORTRANGE(""https://docs.google.com/spreadsheets/d/14Bd19lYaqBhU8_DElYkX7l4wRkHqqCUFNJY4AfY3kHU/edit?usp=sharing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10" s="7" t="s">
        <v>29</v>
      </c>
    </row>
    <row r="9311" spans="1:10" ht="13.2">
      <c r="A9311" s="7">
        <v>9310</v>
      </c>
      <c r="B9311" s="7">
        <v>1</v>
      </c>
      <c r="C9311" s="7" t="s">
        <v>10</v>
      </c>
      <c r="D9311" s="7">
        <v>11161</v>
      </c>
      <c r="E9311" s="7" t="s">
        <v>28</v>
      </c>
      <c r="F9311" s="8" t="str">
        <f ca="1">IFERROR(__xludf.DUMMYFUNCTION("IF
(
C9312=""фізична особа""
,
VLOOKUP(D9312,IMPORTRANGE(""https://docs.google.com/spreadsheets/d/14Bd19lYaqBhU8_DElYkX7l4wRkHqqCUFNJY4AfY3kHU/edit?usp=sharing  #gid=0"",""фіз особи new!relations_name""),6,FALSE)
,
(IF
(
C9312=""юридична особа""
,
VLOOKUP"&amp;"(D9312,IMPORTRANGE(""https://docs.google.com/spreadsheets/d/14Bd19lYaqBhU8_DElYkX7l4wRkHqqCUFNJY4AfY3kHU/edit?usp=sharing  #gid=0"",""фіз особи new!relations_name_uo""),7,FALSE)
,
)
))"),"МОРОЗОВ Геннадій Геннадійович")</f>
        <v>МОРОЗОВ Геннадій Геннадійович</v>
      </c>
      <c r="G9311" s="7" t="s">
        <v>10</v>
      </c>
      <c r="H9311" s="7">
        <v>3087</v>
      </c>
      <c r="I9311" s="8" t="str">
        <f ca="1">IFERROR(__xludf.DUMMYFUNCTION("IF
(
G9312=""фізична особа""
,
VLOOKUP(H9312,IMPORTRANGE(""https://docs.google.com/spreadsheets/d/14Bd19lYaqBhU8_DElYkX7l4wRkHqqCUFNJY4AfY3kHU/edit?usp=sharing  #gid=0"",""фіз особи new!relations_name""),6,FALSE)
,
(IF
(
G9312=""юридична особа""
,
VLOOKUP"&amp;"(H9312,IMPORTRANGE(""https://docs.google.com/spreadsheets/d/14Bd19lYaqBhU8_DElYkX7l4wRkHqqCUFNJY4AfY3kHU/edit?usp=sharing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11" s="7" t="s">
        <v>29</v>
      </c>
    </row>
    <row r="9312" spans="1:10" ht="13.2">
      <c r="A9312" s="7">
        <v>9311</v>
      </c>
      <c r="B9312" s="7">
        <v>1</v>
      </c>
      <c r="C9312" s="7" t="s">
        <v>10</v>
      </c>
      <c r="D9312" s="7">
        <v>11161</v>
      </c>
      <c r="E9312" s="7" t="s">
        <v>28</v>
      </c>
      <c r="F9312" s="8" t="str">
        <f ca="1">IFERROR(__xludf.DUMMYFUNCTION("IF
(
C9313=""фізична особа""
,
VLOOKUP(D9313,IMPORTRANGE(""https://docs.google.com/spreadsheets/d/14Bd19lYaqBhU8_DElYkX7l4wRkHqqCUFNJY4AfY3kHU/edit?usp=sharing  #gid=0"",""фіз особи new!relations_name""),6,FALSE)
,
(IF
(
C9313=""юридична особа""
,
VLOOKUP"&amp;"(D9313,IMPORTRANGE(""https://docs.google.com/spreadsheets/d/14Bd19lYaqBhU8_DElYkX7l4wRkHqqCUFNJY4AfY3kHU/edit?usp=sharing  #gid=0"",""фіз особи new!relations_name_uo""),7,FALSE)
,
)
))"),"МОРОЗОВ Геннадій Геннадійович")</f>
        <v>МОРОЗОВ Геннадій Геннадійович</v>
      </c>
      <c r="G9312" s="7" t="s">
        <v>10</v>
      </c>
      <c r="H9312" s="7">
        <v>10204</v>
      </c>
      <c r="I9312" s="8" t="str">
        <f ca="1">IFERROR(__xludf.DUMMYFUNCTION("IF
(
G9313=""фізична особа""
,
VLOOKUP(H9313,IMPORTRANGE(""https://docs.google.com/spreadsheets/d/14Bd19lYaqBhU8_DElYkX7l4wRkHqqCUFNJY4AfY3kHU/edit?usp=sharing  #gid=0"",""фіз особи new!relations_name""),6,FALSE)
,
(IF
(
G9313=""юридична особа""
,
VLOOKUP"&amp;"(H9313,IMPORTRANGE(""https://docs.google.com/spreadsheets/d/14Bd19lYaqBhU8_DElYkX7l4wRkHqqCUFNJY4AfY3kHU/edit?usp=sharing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12" s="7" t="s">
        <v>29</v>
      </c>
    </row>
    <row r="9313" spans="1:10" ht="13.2">
      <c r="A9313" s="7">
        <v>9312</v>
      </c>
      <c r="B9313" s="7">
        <v>1</v>
      </c>
      <c r="C9313" s="7" t="s">
        <v>10</v>
      </c>
      <c r="D9313" s="7">
        <v>11162</v>
      </c>
      <c r="E9313" s="7" t="s">
        <v>28</v>
      </c>
      <c r="F9313" s="8" t="str">
        <f ca="1">IFERROR(__xludf.DUMMYFUNCTION("IF
(
C9314=""фізична особа""
,
VLOOKUP(D9314,IMPORTRANGE(""https://docs.google.com/spreadsheets/d/14Bd19lYaqBhU8_DElYkX7l4wRkHqqCUFNJY4AfY3kHU/edit?usp=sharing  #gid=0"",""фіз особи new!relations_name""),6,FALSE)
,
(IF
(
C9314=""юридична особа""
,
VLOOKUP"&amp;"(D9314,IMPORTRANGE(""https://docs.google.com/spreadsheets/d/14Bd19lYaqBhU8_DElYkX7l4wRkHqqCUFNJY4AfY3kHU/edit?usp=sharing  #gid=0"",""фіз особи new!relations_name_uo""),7,FALSE)
,
)
))"),"ШАФРАН Тетяна Віталіївна")</f>
        <v>ШАФРАН Тетяна Віталіївна</v>
      </c>
      <c r="G9313" s="7" t="s">
        <v>10</v>
      </c>
      <c r="H9313" s="7">
        <v>3087</v>
      </c>
      <c r="I9313" s="8" t="str">
        <f ca="1">IFERROR(__xludf.DUMMYFUNCTION("IF
(
G9314=""фізична особа""
,
VLOOKUP(H9314,IMPORTRANGE(""https://docs.google.com/spreadsheets/d/14Bd19lYaqBhU8_DElYkX7l4wRkHqqCUFNJY4AfY3kHU/edit?usp=sharing  #gid=0"",""фіз особи new!relations_name""),6,FALSE)
,
(IF
(
G9314=""юридична особа""
,
VLOOKUP"&amp;"(H9314,IMPORTRANGE(""https://docs.google.com/spreadsheets/d/14Bd19lYaqBhU8_DElYkX7l4wRkHqqCUFNJY4AfY3kHU/edit?usp=sharing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13" s="7" t="s">
        <v>29</v>
      </c>
    </row>
    <row r="9314" spans="1:10" ht="13.2">
      <c r="A9314" s="7">
        <v>9313</v>
      </c>
      <c r="B9314" s="7">
        <v>1</v>
      </c>
      <c r="C9314" s="7" t="s">
        <v>10</v>
      </c>
      <c r="D9314" s="7">
        <v>11162</v>
      </c>
      <c r="E9314" s="7" t="s">
        <v>28</v>
      </c>
      <c r="F9314" s="8" t="str">
        <f ca="1">IFERROR(__xludf.DUMMYFUNCTION("IF
(
C9315=""фізична особа""
,
VLOOKUP(D9315,IMPORTRANGE(""https://docs.google.com/spreadsheets/d/14Bd19lYaqBhU8_DElYkX7l4wRkHqqCUFNJY4AfY3kHU/edit?usp=sharing  #gid=0"",""фіз особи new!relations_name""),6,FALSE)
,
(IF
(
C9315=""юридична особа""
,
VLOOKUP"&amp;"(D9315,IMPORTRANGE(""https://docs.google.com/spreadsheets/d/14Bd19lYaqBhU8_DElYkX7l4wRkHqqCUFNJY4AfY3kHU/edit?usp=sharing  #gid=0"",""фіз особи new!relations_name_uo""),7,FALSE)
,
)
))"),"ШАФРАН Тетяна Віталіївна")</f>
        <v>ШАФРАН Тетяна Віталіївна</v>
      </c>
      <c r="G9314" s="7" t="s">
        <v>10</v>
      </c>
      <c r="H9314" s="7">
        <v>10204</v>
      </c>
      <c r="I9314" s="8" t="str">
        <f ca="1">IFERROR(__xludf.DUMMYFUNCTION("IF
(
G9315=""фізична особа""
,
VLOOKUP(H9315,IMPORTRANGE(""https://docs.google.com/spreadsheets/d/14Bd19lYaqBhU8_DElYkX7l4wRkHqqCUFNJY4AfY3kHU/edit?usp=sharing  #gid=0"",""фіз особи new!relations_name""),6,FALSE)
,
(IF
(
G9315=""юридична особа""
,
VLOOKUP"&amp;"(H9315,IMPORTRANGE(""https://docs.google.com/spreadsheets/d/14Bd19lYaqBhU8_DElYkX7l4wRkHqqCUFNJY4AfY3kHU/edit?usp=sharing  #gid=0"",""фіз особи new!relations_name_uo""),7,FALSE)
,
)
))"),"АФАНАСІЄВ Руслан Григорович")</f>
        <v>АФАНАСІЄВ Руслан Григорович</v>
      </c>
      <c r="J9314" s="7" t="s">
        <v>29</v>
      </c>
    </row>
    <row r="9315" spans="1:10" ht="13.2">
      <c r="A9315" s="7">
        <v>9314</v>
      </c>
      <c r="B9315" s="7">
        <v>1</v>
      </c>
      <c r="C9315" s="7" t="s">
        <v>10</v>
      </c>
      <c r="D9315" s="7">
        <v>11163</v>
      </c>
      <c r="E9315" s="7" t="s">
        <v>28</v>
      </c>
      <c r="F9315" s="8" t="str">
        <f ca="1">IFERROR(__xludf.DUMMYFUNCTION("IF
(
C9316=""фізична особа""
,
VLOOKUP(D9316,IMPORTRANGE(""https://docs.google.com/spreadsheets/d/14Bd19lYaqBhU8_DElYkX7l4wRkHqqCUFNJY4AfY3kHU/edit?usp=sharing  #gid=0"",""фіз особи new!relations_name""),6,FALSE)
,
(IF
(
C9316=""юридична особа""
,
VLOOKUP"&amp;"(D9316,IMPORTRANGE(""https://docs.google.com/spreadsheets/d/14Bd19lYaqBhU8_DElYkX7l4wRkHqqCUFNJY4AfY3kHU/edit?usp=sharing  #gid=0"",""фіз особи new!relations_name_uo""),7,FALSE)
,
)
))"),"КОНДИРЕВА Євгенія Олександрівна")</f>
        <v>КОНДИРЕВА Євгенія Олександрівна</v>
      </c>
      <c r="G9315" s="7" t="s">
        <v>10</v>
      </c>
      <c r="H9315" s="7">
        <v>0</v>
      </c>
      <c r="I9315" s="8" t="str">
        <f ca="1">IFERROR(__xludf.DUMMYFUNCTION("IF
(
G9316=""фізична особа""
,
VLOOKUP(H9316,IMPORTRANGE(""https://docs.google.com/spreadsheets/d/14Bd19lYaqBhU8_DElYkX7l4wRkHqqCUFNJY4AfY3kHU/edit?usp=sharing  #gid=0"",""фіз особи new!relations_name""),6,FALSE)
,
(IF
(
G9316=""юридична особа""
,
VLOOKUP"&amp;"(H9316,IMPORTRANGE(""https://docs.google.com/spreadsheets/d/14Bd19lYaqBhU8_DElYkX7l4wRkHqqCUFNJY4AfY3kHU/edit?usp=sharing  #gid=0"",""фіз особи new!relations_name_uo""),7,FALSE)
,
)
))"),"#N/A")</f>
        <v>#N/A</v>
      </c>
      <c r="J9315" s="7" t="s">
        <v>29</v>
      </c>
    </row>
    <row r="9316" spans="1:10" ht="13.2">
      <c r="A9316" s="7">
        <v>9315</v>
      </c>
      <c r="B9316" s="7">
        <v>1</v>
      </c>
      <c r="C9316" s="7" t="s">
        <v>10</v>
      </c>
      <c r="D9316" s="7">
        <v>11164</v>
      </c>
      <c r="E9316" s="7" t="s">
        <v>28</v>
      </c>
      <c r="F9316" s="8" t="str">
        <f ca="1">IFERROR(__xludf.DUMMYFUNCTION("IF
(
C9317=""фізична особа""
,
VLOOKUP(D9317,IMPORTRANGE(""https://docs.google.com/spreadsheets/d/14Bd19lYaqBhU8_DElYkX7l4wRkHqqCUFNJY4AfY3kHU/edit?usp=sharing  #gid=0"",""фіз особи new!relations_name""),6,FALSE)
,
(IF
(
C9317=""юридична особа""
,
VLOOKUP"&amp;"(D9317,IMPORTRANGE(""https://docs.google.com/spreadsheets/d/14Bd19lYaqBhU8_DElYkX7l4wRkHqqCUFNJY4AfY3kHU/edit?usp=sharing  #gid=0"",""фіз особи new!relations_name_uo""),7,FALSE)
,
)
))"),"ГАВРИЛОВА Галина Вікторівна")</f>
        <v>ГАВРИЛОВА Галина Вікторівна</v>
      </c>
      <c r="G9316" s="7" t="s">
        <v>10</v>
      </c>
      <c r="H9316" s="7">
        <v>0</v>
      </c>
      <c r="I9316" s="8" t="str">
        <f ca="1">IFERROR(__xludf.DUMMYFUNCTION("IF
(
G9317=""фізична особа""
,
VLOOKUP(H9317,IMPORTRANGE(""https://docs.google.com/spreadsheets/d/14Bd19lYaqBhU8_DElYkX7l4wRkHqqCUFNJY4AfY3kHU/edit?usp=sharing  #gid=0"",""фіз особи new!relations_name""),6,FALSE)
,
(IF
(
G9317=""юридична особа""
,
VLOOKUP"&amp;"(H9317,IMPORTRANGE(""https://docs.google.com/spreadsheets/d/14Bd19lYaqBhU8_DElYkX7l4wRkHqqCUFNJY4AfY3kHU/edit?usp=sharing  #gid=0"",""фіз особи new!relations_name_uo""),7,FALSE)
,
)
))"),"#N/A")</f>
        <v>#N/A</v>
      </c>
      <c r="J9316" s="7" t="s">
        <v>29</v>
      </c>
    </row>
    <row r="9317" spans="1:10" ht="13.2">
      <c r="A9317" s="7">
        <v>9316</v>
      </c>
      <c r="B9317" s="7">
        <v>1</v>
      </c>
      <c r="C9317" s="7" t="s">
        <v>10</v>
      </c>
      <c r="D9317" s="7">
        <v>11165</v>
      </c>
      <c r="E9317" s="7" t="s">
        <v>28</v>
      </c>
      <c r="F9317" s="8" t="str">
        <f ca="1">IFERROR(__xludf.DUMMYFUNCTION("IF
(
C9318=""фізична особа""
,
VLOOKUP(D9318,IMPORTRANGE(""https://docs.google.com/spreadsheets/d/14Bd19lYaqBhU8_DElYkX7l4wRkHqqCUFNJY4AfY3kHU/edit?usp=sharing  #gid=0"",""фіз особи new!relations_name""),6,FALSE)
,
(IF
(
C9318=""юридична особа""
,
VLOOKUP"&amp;"(D9318,IMPORTRANGE(""https://docs.google.com/spreadsheets/d/14Bd19lYaqBhU8_DElYkX7l4wRkHqqCUFNJY4AfY3kHU/edit?usp=sharing  #gid=0"",""фіз особи new!relations_name_uo""),7,FALSE)
,
)
))"),"СОКОЛОВА Тетяна Олексіївна")</f>
        <v>СОКОЛОВА Тетяна Олексіївна</v>
      </c>
      <c r="G9317" s="7" t="s">
        <v>10</v>
      </c>
      <c r="H9317" s="7">
        <v>0</v>
      </c>
      <c r="I9317" s="8" t="str">
        <f ca="1">IFERROR(__xludf.DUMMYFUNCTION("IF
(
G9318=""фізична особа""
,
VLOOKUP(H9318,IMPORTRANGE(""https://docs.google.com/spreadsheets/d/14Bd19lYaqBhU8_DElYkX7l4wRkHqqCUFNJY4AfY3kHU/edit?usp=sharing  #gid=0"",""фіз особи new!relations_name""),6,FALSE)
,
(IF
(
G9318=""юридична особа""
,
VLOOKUP"&amp;"(H9318,IMPORTRANGE(""https://docs.google.com/spreadsheets/d/14Bd19lYaqBhU8_DElYkX7l4wRkHqqCUFNJY4AfY3kHU/edit?usp=sharing  #gid=0"",""фіз особи new!relations_name_uo""),7,FALSE)
,
)
))"),"#N/A")</f>
        <v>#N/A</v>
      </c>
      <c r="J9317" s="7" t="s">
        <v>29</v>
      </c>
    </row>
    <row r="9318" spans="1:10" ht="13.2">
      <c r="A9318" s="7">
        <v>9317</v>
      </c>
      <c r="B9318" s="7">
        <v>1</v>
      </c>
      <c r="C9318" s="7" t="s">
        <v>10</v>
      </c>
      <c r="D9318" s="7">
        <v>11166</v>
      </c>
      <c r="E9318" s="7" t="s">
        <v>28</v>
      </c>
      <c r="F9318" s="8" t="str">
        <f ca="1">IFERROR(__xludf.DUMMYFUNCTION("IF
(
C9319=""фізична особа""
,
VLOOKUP(D9319,IMPORTRANGE(""https://docs.google.com/spreadsheets/d/14Bd19lYaqBhU8_DElYkX7l4wRkHqqCUFNJY4AfY3kHU/edit?usp=sharing  #gid=0"",""фіз особи new!relations_name""),6,FALSE)
,
(IF
(
C9319=""юридична особа""
,
VLOOKUP"&amp;"(D9319,IMPORTRANGE(""https://docs.google.com/spreadsheets/d/14Bd19lYaqBhU8_DElYkX7l4wRkHqqCUFNJY4AfY3kHU/edit?usp=sharing  #gid=0"",""фіз особи new!relations_name_uo""),7,FALSE)
,
)
))"),"ПОЛІВАЄВА Валентина Олександрівна")</f>
        <v>ПОЛІВАЄВА Валентина Олександрівна</v>
      </c>
      <c r="G9318" s="7" t="s">
        <v>10</v>
      </c>
      <c r="H9318" s="7">
        <v>0</v>
      </c>
      <c r="I9318" s="8" t="str">
        <f ca="1">IFERROR(__xludf.DUMMYFUNCTION("IF
(
G9319=""фізична особа""
,
VLOOKUP(H9319,IMPORTRANGE(""https://docs.google.com/spreadsheets/d/14Bd19lYaqBhU8_DElYkX7l4wRkHqqCUFNJY4AfY3kHU/edit?usp=sharing  #gid=0"",""фіз особи new!relations_name""),6,FALSE)
,
(IF
(
G9319=""юридична особа""
,
VLOOKUP"&amp;"(H9319,IMPORTRANGE(""https://docs.google.com/spreadsheets/d/14Bd19lYaqBhU8_DElYkX7l4wRkHqqCUFNJY4AfY3kHU/edit?usp=sharing  #gid=0"",""фіз особи new!relations_name_uo""),7,FALSE)
,
)
))"),"#N/A")</f>
        <v>#N/A</v>
      </c>
      <c r="J9318" s="7" t="s">
        <v>29</v>
      </c>
    </row>
    <row r="9319" spans="1:10" ht="13.2">
      <c r="A9319" s="7">
        <v>9318</v>
      </c>
      <c r="B9319" s="7">
        <v>1</v>
      </c>
      <c r="C9319" s="7" t="s">
        <v>10</v>
      </c>
      <c r="D9319" s="7">
        <v>11167</v>
      </c>
      <c r="E9319" s="7" t="s">
        <v>28</v>
      </c>
      <c r="F9319" s="8" t="str">
        <f ca="1">IFERROR(__xludf.DUMMYFUNCTION("IF
(
C9320=""фізична особа""
,
VLOOKUP(D9320,IMPORTRANGE(""https://docs.google.com/spreadsheets/d/14Bd19lYaqBhU8_DElYkX7l4wRkHqqCUFNJY4AfY3kHU/edit?usp=sharing  #gid=0"",""фіз особи new!relations_name""),6,FALSE)
,
(IF
(
C9320=""юридична особа""
,
VLOOKUP"&amp;"(D9320,IMPORTRANGE(""https://docs.google.com/spreadsheets/d/14Bd19lYaqBhU8_DElYkX7l4wRkHqqCUFNJY4AfY3kHU/edit?usp=sharing  #gid=0"",""фіз особи new!relations_name_uo""),7,FALSE)
,
)
))"),"ШТЕФАНЕНКО Володимир Володимирович")</f>
        <v>ШТЕФАНЕНКО Володимир Володимирович</v>
      </c>
      <c r="G9319" s="7" t="s">
        <v>10</v>
      </c>
      <c r="H9319" s="7">
        <v>0</v>
      </c>
      <c r="I9319" s="8" t="str">
        <f ca="1">IFERROR(__xludf.DUMMYFUNCTION("IF
(
G9320=""фізична особа""
,
VLOOKUP(H9320,IMPORTRANGE(""https://docs.google.com/spreadsheets/d/14Bd19lYaqBhU8_DElYkX7l4wRkHqqCUFNJY4AfY3kHU/edit?usp=sharing  #gid=0"",""фіз особи new!relations_name""),6,FALSE)
,
(IF
(
G9320=""юридична особа""
,
VLOOKUP"&amp;"(H9320,IMPORTRANGE(""https://docs.google.com/spreadsheets/d/14Bd19lYaqBhU8_DElYkX7l4wRkHqqCUFNJY4AfY3kHU/edit?usp=sharing  #gid=0"",""фіз особи new!relations_name_uo""),7,FALSE)
,
)
))"),"#N/A")</f>
        <v>#N/A</v>
      </c>
      <c r="J9319" s="7" t="s">
        <v>29</v>
      </c>
    </row>
    <row r="9320" spans="1:10" ht="13.2">
      <c r="A9320" s="7">
        <v>9319</v>
      </c>
      <c r="B9320" s="7">
        <v>1</v>
      </c>
      <c r="C9320" s="7" t="s">
        <v>10</v>
      </c>
      <c r="D9320" s="7">
        <v>11168</v>
      </c>
      <c r="E9320" s="7" t="s">
        <v>28</v>
      </c>
      <c r="F9320" s="8" t="str">
        <f ca="1">IFERROR(__xludf.DUMMYFUNCTION("IF
(
C9321=""фізична особа""
,
VLOOKUP(D9321,IMPORTRANGE(""https://docs.google.com/spreadsheets/d/14Bd19lYaqBhU8_DElYkX7l4wRkHqqCUFNJY4AfY3kHU/edit?usp=sharing  #gid=0"",""фіз особи new!relations_name""),6,FALSE)
,
(IF
(
C9321=""юридична особа""
,
VLOOKUP"&amp;"(D9321,IMPORTRANGE(""https://docs.google.com/spreadsheets/d/14Bd19lYaqBhU8_DElYkX7l4wRkHqqCUFNJY4AfY3kHU/edit?usp=sharing  #gid=0"",""фіз особи new!relations_name_uo""),7,FALSE)
,
)
))"),"ШАЙНОВ Олександр Миколайович")</f>
        <v>ШАЙНОВ Олександр Миколайович</v>
      </c>
      <c r="G9320" s="7" t="s">
        <v>10</v>
      </c>
      <c r="H9320" s="7">
        <v>0</v>
      </c>
      <c r="I9320" s="8" t="str">
        <f ca="1">IFERROR(__xludf.DUMMYFUNCTION("IF
(
G9321=""фізична особа""
,
VLOOKUP(H9321,IMPORTRANGE(""https://docs.google.com/spreadsheets/d/14Bd19lYaqBhU8_DElYkX7l4wRkHqqCUFNJY4AfY3kHU/edit?usp=sharing  #gid=0"",""фіз особи new!relations_name""),6,FALSE)
,
(IF
(
G9321=""юридична особа""
,
VLOOKUP"&amp;"(H9321,IMPORTRANGE(""https://docs.google.com/spreadsheets/d/14Bd19lYaqBhU8_DElYkX7l4wRkHqqCUFNJY4AfY3kHU/edit?usp=sharing  #gid=0"",""фіз особи new!relations_name_uo""),7,FALSE)
,
)
))"),"#N/A")</f>
        <v>#N/A</v>
      </c>
      <c r="J9320" s="7" t="s">
        <v>29</v>
      </c>
    </row>
    <row r="9321" spans="1:10" ht="13.2">
      <c r="A9321" s="7">
        <v>9320</v>
      </c>
      <c r="B9321" s="7">
        <v>1</v>
      </c>
      <c r="C9321" s="7" t="s">
        <v>10</v>
      </c>
      <c r="D9321" s="7">
        <v>11169</v>
      </c>
      <c r="E9321" s="7" t="s">
        <v>28</v>
      </c>
      <c r="F9321" s="8" t="str">
        <f ca="1">IFERROR(__xludf.DUMMYFUNCTION("IF
(
C9322=""фізична особа""
,
VLOOKUP(D9322,IMPORTRANGE(""https://docs.google.com/spreadsheets/d/14Bd19lYaqBhU8_DElYkX7l4wRkHqqCUFNJY4AfY3kHU/edit?usp=sharing  #gid=0"",""фіз особи new!relations_name""),6,FALSE)
,
(IF
(
C9322=""юридична особа""
,
VLOOKUP"&amp;"(D9322,IMPORTRANGE(""https://docs.google.com/spreadsheets/d/14Bd19lYaqBhU8_DElYkX7l4wRkHqqCUFNJY4AfY3kHU/edit?usp=sharing  #gid=0"",""фіз особи new!relations_name_uo""),7,FALSE)
,
)
))"),"КАСІЛОВА Марина Рашитівна")</f>
        <v>КАСІЛОВА Марина Рашитівна</v>
      </c>
      <c r="G9321" s="7" t="s">
        <v>10</v>
      </c>
      <c r="H9321" s="7">
        <v>0</v>
      </c>
      <c r="I9321" s="8" t="str">
        <f ca="1">IFERROR(__xludf.DUMMYFUNCTION("IF
(
G9322=""фізична особа""
,
VLOOKUP(H9322,IMPORTRANGE(""https://docs.google.com/spreadsheets/d/14Bd19lYaqBhU8_DElYkX7l4wRkHqqCUFNJY4AfY3kHU/edit?usp=sharing  #gid=0"",""фіз особи new!relations_name""),6,FALSE)
,
(IF
(
G9322=""юридична особа""
,
VLOOKUP"&amp;"(H9322,IMPORTRANGE(""https://docs.google.com/spreadsheets/d/14Bd19lYaqBhU8_DElYkX7l4wRkHqqCUFNJY4AfY3kHU/edit?usp=sharing  #gid=0"",""фіз особи new!relations_name_uo""),7,FALSE)
,
)
))"),"#N/A")</f>
        <v>#N/A</v>
      </c>
      <c r="J9321" s="7" t="s">
        <v>29</v>
      </c>
    </row>
    <row r="9322" spans="1:10" ht="13.2">
      <c r="A9322" s="7">
        <v>9321</v>
      </c>
      <c r="B9322" s="7">
        <v>1</v>
      </c>
      <c r="C9322" s="7" t="s">
        <v>10</v>
      </c>
      <c r="D9322" s="7">
        <v>11170</v>
      </c>
      <c r="E9322" s="7" t="s">
        <v>28</v>
      </c>
      <c r="F9322" s="8" t="str">
        <f ca="1">IFERROR(__xludf.DUMMYFUNCTION("IF
(
C9323=""фізична особа""
,
VLOOKUP(D9323,IMPORTRANGE(""https://docs.google.com/spreadsheets/d/14Bd19lYaqBhU8_DElYkX7l4wRkHqqCUFNJY4AfY3kHU/edit?usp=sharing  #gid=0"",""фіз особи new!relations_name""),6,FALSE)
,
(IF
(
C9323=""юридична особа""
,
VLOOKUP"&amp;"(D9323,IMPORTRANGE(""https://docs.google.com/spreadsheets/d/14Bd19lYaqBhU8_DElYkX7l4wRkHqqCUFNJY4AfY3kHU/edit?usp=sharing  #gid=0"",""фіз особи new!relations_name_uo""),7,FALSE)
,
)
))"),"ІСТОМІНА Катерина Олексіївна")</f>
        <v>ІСТОМІНА Катерина Олексіївна</v>
      </c>
      <c r="G9322" s="7" t="s">
        <v>10</v>
      </c>
      <c r="H9322" s="7">
        <v>0</v>
      </c>
      <c r="I9322" s="8" t="str">
        <f ca="1">IFERROR(__xludf.DUMMYFUNCTION("IF
(
G9323=""фізична особа""
,
VLOOKUP(H9323,IMPORTRANGE(""https://docs.google.com/spreadsheets/d/14Bd19lYaqBhU8_DElYkX7l4wRkHqqCUFNJY4AfY3kHU/edit?usp=sharing  #gid=0"",""фіз особи new!relations_name""),6,FALSE)
,
(IF
(
G9323=""юридична особа""
,
VLOOKUP"&amp;"(H9323,IMPORTRANGE(""https://docs.google.com/spreadsheets/d/14Bd19lYaqBhU8_DElYkX7l4wRkHqqCUFNJY4AfY3kHU/edit?usp=sharing  #gid=0"",""фіз особи new!relations_name_uo""),7,FALSE)
,
)
))"),"#N/A")</f>
        <v>#N/A</v>
      </c>
      <c r="J9322" s="7" t="s">
        <v>116</v>
      </c>
    </row>
    <row r="9323" spans="1:10" ht="13.2">
      <c r="A9323" s="7">
        <v>9322</v>
      </c>
      <c r="B9323" s="7">
        <v>1</v>
      </c>
      <c r="C9323" s="7" t="s">
        <v>10</v>
      </c>
      <c r="D9323" s="7">
        <v>11171</v>
      </c>
      <c r="E9323" s="7" t="s">
        <v>28</v>
      </c>
      <c r="F9323" s="8" t="str">
        <f ca="1">IFERROR(__xludf.DUMMYFUNCTION("IF
(
C9324=""фізична особа""
,
VLOOKUP(D9324,IMPORTRANGE(""https://docs.google.com/spreadsheets/d/14Bd19lYaqBhU8_DElYkX7l4wRkHqqCUFNJY4AfY3kHU/edit?usp=sharing  #gid=0"",""фіз особи new!relations_name""),6,FALSE)
,
(IF
(
C9324=""юридична особа""
,
VLOOKUP"&amp;"(D9324,IMPORTRANGE(""https://docs.google.com/spreadsheets/d/14Bd19lYaqBhU8_DElYkX7l4wRkHqqCUFNJY4AfY3kHU/edit?usp=sharing  #gid=0"",""фіз особи new!relations_name_uo""),7,FALSE)
,
)
))"),"ПОТЄХІНА Світлана Сергіївна")</f>
        <v>ПОТЄХІНА Світлана Сергіївна</v>
      </c>
      <c r="G9323" s="7" t="s">
        <v>10</v>
      </c>
      <c r="H9323" s="7">
        <v>0</v>
      </c>
      <c r="I9323" s="8" t="str">
        <f ca="1">IFERROR(__xludf.DUMMYFUNCTION("IF
(
G9324=""фізична особа""
,
VLOOKUP(H9324,IMPORTRANGE(""https://docs.google.com/spreadsheets/d/14Bd19lYaqBhU8_DElYkX7l4wRkHqqCUFNJY4AfY3kHU/edit?usp=sharing  #gid=0"",""фіз особи new!relations_name""),6,FALSE)
,
(IF
(
G9324=""юридична особа""
,
VLOOKUP"&amp;"(H9324,IMPORTRANGE(""https://docs.google.com/spreadsheets/d/14Bd19lYaqBhU8_DElYkX7l4wRkHqqCUFNJY4AfY3kHU/edit?usp=sharing  #gid=0"",""фіз особи new!relations_name_uo""),7,FALSE)
,
)
))"),"#N/A")</f>
        <v>#N/A</v>
      </c>
      <c r="J9323" s="7" t="s">
        <v>29</v>
      </c>
    </row>
    <row r="9324" spans="1:10" ht="13.2">
      <c r="A9324" s="7">
        <v>9323</v>
      </c>
      <c r="B9324" s="7">
        <v>1</v>
      </c>
      <c r="C9324" s="7" t="s">
        <v>10</v>
      </c>
      <c r="D9324" s="7">
        <v>11172</v>
      </c>
      <c r="E9324" s="7" t="s">
        <v>28</v>
      </c>
      <c r="F9324" s="8" t="str">
        <f ca="1">IFERROR(__xludf.DUMMYFUNCTION("IF
(
C9325=""фізична особа""
,
VLOOKUP(D9325,IMPORTRANGE(""https://docs.google.com/spreadsheets/d/14Bd19lYaqBhU8_DElYkX7l4wRkHqqCUFNJY4AfY3kHU/edit?usp=sharing  #gid=0"",""фіз особи new!relations_name""),6,FALSE)
,
(IF
(
C9325=""юридична особа""
,
VLOOKUP"&amp;"(D9325,IMPORTRANGE(""https://docs.google.com/spreadsheets/d/14Bd19lYaqBhU8_DElYkX7l4wRkHqqCUFNJY4AfY3kHU/edit?usp=sharing  #gid=0"",""фіз особи new!relations_name_uo""),7,FALSE)
,
)
))"),"БАУКОВА Наталія Георгіївна")</f>
        <v>БАУКОВА Наталія Георгіївна</v>
      </c>
      <c r="G9324" s="7" t="s">
        <v>10</v>
      </c>
      <c r="H9324" s="7">
        <v>15580</v>
      </c>
      <c r="I9324" s="8" t="str">
        <f ca="1">IFERROR(__xludf.DUMMYFUNCTION("IF
(
G9325=""фізична особа""
,
VLOOKUP(H9325,IMPORTRANGE(""https://docs.google.com/spreadsheets/d/14Bd19lYaqBhU8_DElYkX7l4wRkHqqCUFNJY4AfY3kHU/edit?usp=sharing  #gid=0"",""фіз особи new!relations_name""),6,FALSE)
,
(IF
(
G9325=""юридична особа""
,
VLOOKUP"&amp;"(H9325,IMPORTRANGE(""https://docs.google.com/spreadsheets/d/14Bd19lYaqBhU8_DElYkX7l4wRkHqqCUFNJY4AfY3kHU/edit?usp=sharing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4" s="7" t="s">
        <v>29</v>
      </c>
    </row>
    <row r="9325" spans="1:10" ht="13.2">
      <c r="A9325" s="7">
        <v>9324</v>
      </c>
      <c r="B9325" s="7">
        <v>1</v>
      </c>
      <c r="C9325" s="7" t="s">
        <v>10</v>
      </c>
      <c r="D9325" s="7">
        <v>11173</v>
      </c>
      <c r="E9325" s="7" t="s">
        <v>28</v>
      </c>
      <c r="F9325" s="8" t="str">
        <f ca="1">IFERROR(__xludf.DUMMYFUNCTION("IF
(
C9326=""фізична особа""
,
VLOOKUP(D9326,IMPORTRANGE(""https://docs.google.com/spreadsheets/d/14Bd19lYaqBhU8_DElYkX7l4wRkHqqCUFNJY4AfY3kHU/edit?usp=sharing  #gid=0"",""фіз особи new!relations_name""),6,FALSE)
,
(IF
(
C9326=""юридична особа""
,
VLOOKUP"&amp;"(D9326,IMPORTRANGE(""https://docs.google.com/spreadsheets/d/14Bd19lYaqBhU8_DElYkX7l4wRkHqqCUFNJY4AfY3kHU/edit?usp=sharing  #gid=0"",""фіз особи new!relations_name_uo""),7,FALSE)
,
)
))"),"ВАЛІУЛЛІНА Валентина Геннадіївна")</f>
        <v>ВАЛІУЛЛІНА Валентина Геннадіївна</v>
      </c>
      <c r="G9325" s="7" t="s">
        <v>10</v>
      </c>
      <c r="H9325" s="7">
        <v>15580</v>
      </c>
      <c r="I9325" s="8" t="str">
        <f ca="1">IFERROR(__xludf.DUMMYFUNCTION("IF
(
G9326=""фізична особа""
,
VLOOKUP(H9326,IMPORTRANGE(""https://docs.google.com/spreadsheets/d/14Bd19lYaqBhU8_DElYkX7l4wRkHqqCUFNJY4AfY3kHU/edit?usp=sharing  #gid=0"",""фіз особи new!relations_name""),6,FALSE)
,
(IF
(
G9326=""юридична особа""
,
VLOOKUP"&amp;"(H9326,IMPORTRANGE(""https://docs.google.com/spreadsheets/d/14Bd19lYaqBhU8_DElYkX7l4wRkHqqCUFNJY4AfY3kHU/edit?usp=sharing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5" s="7" t="s">
        <v>29</v>
      </c>
    </row>
    <row r="9326" spans="1:10" ht="13.2">
      <c r="A9326" s="7">
        <v>9325</v>
      </c>
      <c r="B9326" s="7">
        <v>1</v>
      </c>
      <c r="C9326" s="7" t="s">
        <v>10</v>
      </c>
      <c r="D9326" s="7">
        <v>11174</v>
      </c>
      <c r="E9326" s="7" t="s">
        <v>28</v>
      </c>
      <c r="F9326" s="8" t="str">
        <f ca="1">IFERROR(__xludf.DUMMYFUNCTION("IF
(
C9327=""фізична особа""
,
VLOOKUP(D9327,IMPORTRANGE(""https://docs.google.com/spreadsheets/d/14Bd19lYaqBhU8_DElYkX7l4wRkHqqCUFNJY4AfY3kHU/edit?usp=sharing  #gid=0"",""фіз особи new!relations_name""),6,FALSE)
,
(IF
(
C9327=""юридична особа""
,
VLOOKUP"&amp;"(D9327,IMPORTRANGE(""https://docs.google.com/spreadsheets/d/14Bd19lYaqBhU8_DElYkX7l4wRkHqqCUFNJY4AfY3kHU/edit?usp=sharing  #gid=0"",""фіз особи new!relations_name_uo""),7,FALSE)
,
)
))"),"САМОЙЛОВА Марина Олександрівна")</f>
        <v>САМОЙЛОВА Марина Олександрівна</v>
      </c>
      <c r="G9326" s="7" t="s">
        <v>10</v>
      </c>
      <c r="H9326" s="7">
        <v>15580</v>
      </c>
      <c r="I9326" s="8" t="str">
        <f ca="1">IFERROR(__xludf.DUMMYFUNCTION("IF
(
G9327=""фізична особа""
,
VLOOKUP(H9327,IMPORTRANGE(""https://docs.google.com/spreadsheets/d/14Bd19lYaqBhU8_DElYkX7l4wRkHqqCUFNJY4AfY3kHU/edit?usp=sharing  #gid=0"",""фіз особи new!relations_name""),6,FALSE)
,
(IF
(
G9327=""юридична особа""
,
VLOOKUP"&amp;"(H9327,IMPORTRANGE(""https://docs.google.com/spreadsheets/d/14Bd19lYaqBhU8_DElYkX7l4wRkHqqCUFNJY4AfY3kHU/edit?usp=sharing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6" s="7" t="s">
        <v>29</v>
      </c>
    </row>
    <row r="9327" spans="1:10" ht="13.2">
      <c r="A9327" s="7">
        <v>9326</v>
      </c>
      <c r="B9327" s="7">
        <v>1</v>
      </c>
      <c r="C9327" s="7" t="s">
        <v>10</v>
      </c>
      <c r="D9327" s="7">
        <v>11175</v>
      </c>
      <c r="E9327" s="7" t="s">
        <v>28</v>
      </c>
      <c r="F9327" s="8" t="str">
        <f ca="1">IFERROR(__xludf.DUMMYFUNCTION("IF
(
C9328=""фізична особа""
,
VLOOKUP(D9328,IMPORTRANGE(""https://docs.google.com/spreadsheets/d/14Bd19lYaqBhU8_DElYkX7l4wRkHqqCUFNJY4AfY3kHU/edit?usp=sharing  #gid=0"",""фіз особи new!relations_name""),6,FALSE)
,
(IF
(
C9328=""юридична особа""
,
VLOOKUP"&amp;"(D9328,IMPORTRANGE(""https://docs.google.com/spreadsheets/d/14Bd19lYaqBhU8_DElYkX7l4wRkHqqCUFNJY4AfY3kHU/edit?usp=sharing  #gid=0"",""фіз особи new!relations_name_uo""),7,FALSE)
,
)
))"),"НЮНІНА Олена Олександрівна")</f>
        <v>НЮНІНА Олена Олександрівна</v>
      </c>
      <c r="G9327" s="7" t="s">
        <v>10</v>
      </c>
      <c r="H9327" s="7">
        <v>15580</v>
      </c>
      <c r="I9327" s="8" t="str">
        <f ca="1">IFERROR(__xludf.DUMMYFUNCTION("IF
(
G9328=""фізична особа""
,
VLOOKUP(H9328,IMPORTRANGE(""https://docs.google.com/spreadsheets/d/14Bd19lYaqBhU8_DElYkX7l4wRkHqqCUFNJY4AfY3kHU/edit?usp=sharing  #gid=0"",""фіз особи new!relations_name""),6,FALSE)
,
(IF
(
G9328=""юридична особа""
,
VLOOKUP"&amp;"(H9328,IMPORTRANGE(""https://docs.google.com/spreadsheets/d/14Bd19lYaqBhU8_DElYkX7l4wRkHqqCUFNJY4AfY3kHU/edit?usp=sharing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7" s="7" t="s">
        <v>29</v>
      </c>
    </row>
    <row r="9328" spans="1:10" ht="13.2">
      <c r="A9328" s="7">
        <v>9327</v>
      </c>
      <c r="B9328" s="7">
        <v>1</v>
      </c>
      <c r="C9328" s="7" t="s">
        <v>10</v>
      </c>
      <c r="D9328" s="7">
        <v>11176</v>
      </c>
      <c r="E9328" s="7" t="s">
        <v>28</v>
      </c>
      <c r="F9328" s="8" t="str">
        <f ca="1">IFERROR(__xludf.DUMMYFUNCTION("IF
(
C9329=""фізична особа""
,
VLOOKUP(D9329,IMPORTRANGE(""https://docs.google.com/spreadsheets/d/14Bd19lYaqBhU8_DElYkX7l4wRkHqqCUFNJY4AfY3kHU/edit?usp=sharing  #gid=0"",""фіз особи new!relations_name""),6,FALSE)
,
(IF
(
C9329=""юридична особа""
,
VLOOKUP"&amp;"(D9329,IMPORTRANGE(""https://docs.google.com/spreadsheets/d/14Bd19lYaqBhU8_DElYkX7l4wRkHqqCUFNJY4AfY3kHU/edit?usp=sharing  #gid=0"",""фіз особи new!relations_name_uo""),7,FALSE)
,
)
))"),"БАЖУТКІН Дмитро Геннадійович")</f>
        <v>БАЖУТКІН Дмитро Геннадійович</v>
      </c>
      <c r="G9328" s="7" t="s">
        <v>10</v>
      </c>
      <c r="H9328" s="7">
        <v>15580</v>
      </c>
      <c r="I9328" s="8" t="str">
        <f ca="1">IFERROR(__xludf.DUMMYFUNCTION("IF
(
G9329=""фізична особа""
,
VLOOKUP(H9329,IMPORTRANGE(""https://docs.google.com/spreadsheets/d/14Bd19lYaqBhU8_DElYkX7l4wRkHqqCUFNJY4AfY3kHU/edit?usp=sharing  #gid=0"",""фіз особи new!relations_name""),6,FALSE)
,
(IF
(
G9329=""юридична особа""
,
VLOOKUP"&amp;"(H9329,IMPORTRANGE(""https://docs.google.com/spreadsheets/d/14Bd19lYaqBhU8_DElYkX7l4wRkHqqCUFNJY4AfY3kHU/edit?usp=sharing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8" s="7" t="s">
        <v>29</v>
      </c>
    </row>
    <row r="9329" spans="1:10" ht="13.2">
      <c r="A9329" s="7">
        <v>9328</v>
      </c>
      <c r="B9329" s="7">
        <v>1</v>
      </c>
      <c r="C9329" s="7" t="s">
        <v>10</v>
      </c>
      <c r="D9329" s="7">
        <v>11177</v>
      </c>
      <c r="E9329" s="7" t="s">
        <v>28</v>
      </c>
      <c r="F9329" s="8" t="str">
        <f ca="1">IFERROR(__xludf.DUMMYFUNCTION("IF
(
C9330=""фізична особа""
,
VLOOKUP(D9330,IMPORTRANGE(""https://docs.google.com/spreadsheets/d/14Bd19lYaqBhU8_DElYkX7l4wRkHqqCUFNJY4AfY3kHU/edit?usp=sharing  #gid=0"",""фіз особи new!relations_name""),6,FALSE)
,
(IF
(
C9330=""юридична особа""
,
VLOOKUP"&amp;"(D9330,IMPORTRANGE(""https://docs.google.com/spreadsheets/d/14Bd19lYaqBhU8_DElYkX7l4wRkHqqCUFNJY4AfY3kHU/edit?usp=sharing  #gid=0"",""фіз особи new!relations_name_uo""),7,FALSE)
,
)
))"),"ГАЄВА Ірина Кулунтаріївна")</f>
        <v>ГАЄВА Ірина Кулунтаріївна</v>
      </c>
      <c r="G9329" s="7" t="s">
        <v>10</v>
      </c>
      <c r="H9329" s="7">
        <v>15580</v>
      </c>
      <c r="I9329" s="8" t="str">
        <f ca="1">IFERROR(__xludf.DUMMYFUNCTION("IF
(
G9330=""фізична особа""
,
VLOOKUP(H9330,IMPORTRANGE(""https://docs.google.com/spreadsheets/d/14Bd19lYaqBhU8_DElYkX7l4wRkHqqCUFNJY4AfY3kHU/edit?usp=sharing  #gid=0"",""фіз особи new!relations_name""),6,FALSE)
,
(IF
(
G9330=""юридична особа""
,
VLOOKUP"&amp;"(H9330,IMPORTRANGE(""https://docs.google.com/spreadsheets/d/14Bd19lYaqBhU8_DElYkX7l4wRkHqqCUFNJY4AfY3kHU/edit?usp=sharing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29" s="7" t="s">
        <v>29</v>
      </c>
    </row>
    <row r="9330" spans="1:10" ht="13.2">
      <c r="A9330" s="7">
        <v>9329</v>
      </c>
      <c r="B9330" s="7">
        <v>1</v>
      </c>
      <c r="C9330" s="7" t="s">
        <v>10</v>
      </c>
      <c r="D9330" s="7">
        <v>11178</v>
      </c>
      <c r="E9330" s="7" t="s">
        <v>28</v>
      </c>
      <c r="F9330" s="8" t="str">
        <f ca="1">IFERROR(__xludf.DUMMYFUNCTION("IF
(
C9331=""фізична особа""
,
VLOOKUP(D9331,IMPORTRANGE(""https://docs.google.com/spreadsheets/d/14Bd19lYaqBhU8_DElYkX7l4wRkHqqCUFNJY4AfY3kHU/edit?usp=sharing  #gid=0"",""фіз особи new!relations_name""),6,FALSE)
,
(IF
(
C9331=""юридична особа""
,
VLOOKUP"&amp;"(D9331,IMPORTRANGE(""https://docs.google.com/spreadsheets/d/14Bd19lYaqBhU8_DElYkX7l4wRkHqqCUFNJY4AfY3kHU/edit?usp=sharing  #gid=0"",""фіз особи new!relations_name_uo""),7,FALSE)
,
)
))"),"ЗУБКОВА Олена Юріївна")</f>
        <v>ЗУБКОВА Олена Юріївна</v>
      </c>
      <c r="G9330" s="7" t="s">
        <v>10</v>
      </c>
      <c r="H9330" s="7">
        <v>15580</v>
      </c>
      <c r="I9330" s="8" t="str">
        <f ca="1">IFERROR(__xludf.DUMMYFUNCTION("IF
(
G9331=""фізична особа""
,
VLOOKUP(H9331,IMPORTRANGE(""https://docs.google.com/spreadsheets/d/14Bd19lYaqBhU8_DElYkX7l4wRkHqqCUFNJY4AfY3kHU/edit?usp=sharing  #gid=0"",""фіз особи new!relations_name""),6,FALSE)
,
(IF
(
G9331=""юридична особа""
,
VLOOKUP"&amp;"(H9331,IMPORTRANGE(""https://docs.google.com/spreadsheets/d/14Bd19lYaqBhU8_DElYkX7l4wRkHqqCUFNJY4AfY3kHU/edit?usp=sharing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0" s="7" t="s">
        <v>29</v>
      </c>
    </row>
    <row r="9331" spans="1:10" ht="13.2">
      <c r="A9331" s="7">
        <v>9330</v>
      </c>
      <c r="B9331" s="7">
        <v>1</v>
      </c>
      <c r="C9331" s="7" t="s">
        <v>10</v>
      </c>
      <c r="D9331" s="7">
        <v>11179</v>
      </c>
      <c r="E9331" s="7" t="s">
        <v>28</v>
      </c>
      <c r="F9331" s="8" t="str">
        <f ca="1">IFERROR(__xludf.DUMMYFUNCTION("IF
(
C9332=""фізична особа""
,
VLOOKUP(D9332,IMPORTRANGE(""https://docs.google.com/spreadsheets/d/14Bd19lYaqBhU8_DElYkX7l4wRkHqqCUFNJY4AfY3kHU/edit?usp=sharing  #gid=0"",""фіз особи new!relations_name""),6,FALSE)
,
(IF
(
C9332=""юридична особа""
,
VLOOKUP"&amp;"(D9332,IMPORTRANGE(""https://docs.google.com/spreadsheets/d/14Bd19lYaqBhU8_DElYkX7l4wRkHqqCUFNJY4AfY3kHU/edit?usp=sharing  #gid=0"",""фіз особи new!relations_name_uo""),7,FALSE)
,
)
))"),"РУКІН Володимир Олексійович")</f>
        <v>РУКІН Володимир Олексійович</v>
      </c>
      <c r="G9331" s="7" t="s">
        <v>10</v>
      </c>
      <c r="H9331" s="7">
        <v>15580</v>
      </c>
      <c r="I9331" s="8" t="str">
        <f ca="1">IFERROR(__xludf.DUMMYFUNCTION("IF
(
G9332=""фізична особа""
,
VLOOKUP(H9332,IMPORTRANGE(""https://docs.google.com/spreadsheets/d/14Bd19lYaqBhU8_DElYkX7l4wRkHqqCUFNJY4AfY3kHU/edit?usp=sharing  #gid=0"",""фіз особи new!relations_name""),6,FALSE)
,
(IF
(
G9332=""юридична особа""
,
VLOOKUP"&amp;"(H9332,IMPORTRANGE(""https://docs.google.com/spreadsheets/d/14Bd19lYaqBhU8_DElYkX7l4wRkHqqCUFNJY4AfY3kHU/edit?usp=sharing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1" s="7" t="s">
        <v>29</v>
      </c>
    </row>
    <row r="9332" spans="1:10" ht="13.2">
      <c r="A9332" s="7">
        <v>9331</v>
      </c>
      <c r="B9332" s="7">
        <v>1</v>
      </c>
      <c r="C9332" s="7" t="s">
        <v>10</v>
      </c>
      <c r="D9332" s="7">
        <v>11180</v>
      </c>
      <c r="E9332" s="7" t="s">
        <v>28</v>
      </c>
      <c r="F9332" s="8" t="str">
        <f ca="1">IFERROR(__xludf.DUMMYFUNCTION("IF
(
C9333=""фізична особа""
,
VLOOKUP(D9333,IMPORTRANGE(""https://docs.google.com/spreadsheets/d/14Bd19lYaqBhU8_DElYkX7l4wRkHqqCUFNJY4AfY3kHU/edit?usp=sharing  #gid=0"",""фіз особи new!relations_name""),6,FALSE)
,
(IF
(
C9333=""юридична особа""
,
VLOOKUP"&amp;"(D9333,IMPORTRANGE(""https://docs.google.com/spreadsheets/d/14Bd19lYaqBhU8_DElYkX7l4wRkHqqCUFNJY4AfY3kHU/edit?usp=sharing  #gid=0"",""фіз особи new!relations_name_uo""),7,FALSE)
,
)
))"),"ГАТАУЛЛІНА Наталія В'ячеславівна")</f>
        <v>ГАТАУЛЛІНА Наталія В'ячеславівна</v>
      </c>
      <c r="G9332" s="7" t="s">
        <v>10</v>
      </c>
      <c r="H9332" s="7">
        <v>15580</v>
      </c>
      <c r="I9332" s="8" t="str">
        <f ca="1">IFERROR(__xludf.DUMMYFUNCTION("IF
(
G9333=""фізична особа""
,
VLOOKUP(H9333,IMPORTRANGE(""https://docs.google.com/spreadsheets/d/14Bd19lYaqBhU8_DElYkX7l4wRkHqqCUFNJY4AfY3kHU/edit?usp=sharing  #gid=0"",""фіз особи new!relations_name""),6,FALSE)
,
(IF
(
G9333=""юридична особа""
,
VLOOKUP"&amp;"(H9333,IMPORTRANGE(""https://docs.google.com/spreadsheets/d/14Bd19lYaqBhU8_DElYkX7l4wRkHqqCUFNJY4AfY3kHU/edit?usp=sharing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2" s="7" t="s">
        <v>29</v>
      </c>
    </row>
    <row r="9333" spans="1:10" ht="13.2">
      <c r="A9333" s="7">
        <v>9332</v>
      </c>
      <c r="B9333" s="7">
        <v>1</v>
      </c>
      <c r="C9333" s="7" t="s">
        <v>10</v>
      </c>
      <c r="D9333" s="7">
        <v>11181</v>
      </c>
      <c r="E9333" s="7" t="s">
        <v>28</v>
      </c>
      <c r="F9333" s="8" t="str">
        <f ca="1">IFERROR(__xludf.DUMMYFUNCTION("IF
(
C9334=""фізична особа""
,
VLOOKUP(D9334,IMPORTRANGE(""https://docs.google.com/spreadsheets/d/14Bd19lYaqBhU8_DElYkX7l4wRkHqqCUFNJY4AfY3kHU/edit?usp=sharing  #gid=0"",""фіз особи new!relations_name""),6,FALSE)
,
(IF
(
C9334=""юридична особа""
,
VLOOKUP"&amp;"(D9334,IMPORTRANGE(""https://docs.google.com/spreadsheets/d/14Bd19lYaqBhU8_DElYkX7l4wRkHqqCUFNJY4AfY3kHU/edit?usp=sharing  #gid=0"",""фіз особи new!relations_name_uo""),7,FALSE)
,
)
))"),"НЕХАЄВ Віктор Вікторович")</f>
        <v>НЕХАЄВ Віктор Вікторович</v>
      </c>
      <c r="G9333" s="7" t="s">
        <v>10</v>
      </c>
      <c r="H9333" s="7">
        <v>15580</v>
      </c>
      <c r="I9333" s="8" t="str">
        <f ca="1">IFERROR(__xludf.DUMMYFUNCTION("IF
(
G9334=""фізична особа""
,
VLOOKUP(H9334,IMPORTRANGE(""https://docs.google.com/spreadsheets/d/14Bd19lYaqBhU8_DElYkX7l4wRkHqqCUFNJY4AfY3kHU/edit?usp=sharing  #gid=0"",""фіз особи new!relations_name""),6,FALSE)
,
(IF
(
G9334=""юридична особа""
,
VLOOKUP"&amp;"(H9334,IMPORTRANGE(""https://docs.google.com/spreadsheets/d/14Bd19lYaqBhU8_DElYkX7l4wRkHqqCUFNJY4AfY3kHU/edit?usp=sharing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3" s="7" t="s">
        <v>29</v>
      </c>
    </row>
    <row r="9334" spans="1:10" ht="13.2">
      <c r="A9334" s="7">
        <v>9333</v>
      </c>
      <c r="B9334" s="7">
        <v>1</v>
      </c>
      <c r="C9334" s="7" t="s">
        <v>10</v>
      </c>
      <c r="D9334" s="7">
        <v>11182</v>
      </c>
      <c r="E9334" s="7" t="s">
        <v>28</v>
      </c>
      <c r="F9334" s="8" t="str">
        <f ca="1">IFERROR(__xludf.DUMMYFUNCTION("IF
(
C9335=""фізична особа""
,
VLOOKUP(D9335,IMPORTRANGE(""https://docs.google.com/spreadsheets/d/14Bd19lYaqBhU8_DElYkX7l4wRkHqqCUFNJY4AfY3kHU/edit?usp=sharing  #gid=0"",""фіз особи new!relations_name""),6,FALSE)
,
(IF
(
C9335=""юридична особа""
,
VLOOKUP"&amp;"(D9335,IMPORTRANGE(""https://docs.google.com/spreadsheets/d/14Bd19lYaqBhU8_DElYkX7l4wRkHqqCUFNJY4AfY3kHU/edit?usp=sharing  #gid=0"",""фіз особи new!relations_name_uo""),7,FALSE)
,
)
))"),"ДАНИЛОВ Євгеній Олександрович")</f>
        <v>ДАНИЛОВ Євгеній Олександрович</v>
      </c>
      <c r="G9334" s="7" t="s">
        <v>10</v>
      </c>
      <c r="H9334" s="7">
        <v>15580</v>
      </c>
      <c r="I9334" s="8" t="str">
        <f ca="1">IFERROR(__xludf.DUMMYFUNCTION("IF
(
G9335=""фізична особа""
,
VLOOKUP(H9335,IMPORTRANGE(""https://docs.google.com/spreadsheets/d/14Bd19lYaqBhU8_DElYkX7l4wRkHqqCUFNJY4AfY3kHU/edit?usp=sharing  #gid=0"",""фіз особи new!relations_name""),6,FALSE)
,
(IF
(
G9335=""юридична особа""
,
VLOOKUP"&amp;"(H9335,IMPORTRANGE(""https://docs.google.com/spreadsheets/d/14Bd19lYaqBhU8_DElYkX7l4wRkHqqCUFNJY4AfY3kHU/edit?usp=sharing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4" s="7" t="s">
        <v>29</v>
      </c>
    </row>
    <row r="9335" spans="1:10" ht="13.2">
      <c r="A9335" s="7">
        <v>9334</v>
      </c>
      <c r="B9335" s="7">
        <v>1</v>
      </c>
      <c r="C9335" s="7" t="s">
        <v>10</v>
      </c>
      <c r="D9335" s="7">
        <v>11183</v>
      </c>
      <c r="E9335" s="7" t="s">
        <v>28</v>
      </c>
      <c r="F9335" s="8" t="str">
        <f ca="1">IFERROR(__xludf.DUMMYFUNCTION("IF
(
C9336=""фізична особа""
,
VLOOKUP(D9336,IMPORTRANGE(""https://docs.google.com/spreadsheets/d/14Bd19lYaqBhU8_DElYkX7l4wRkHqqCUFNJY4AfY3kHU/edit?usp=sharing  #gid=0"",""фіз особи new!relations_name""),6,FALSE)
,
(IF
(
C9336=""юридична особа""
,
VLOOKUP"&amp;"(D9336,IMPORTRANGE(""https://docs.google.com/spreadsheets/d/14Bd19lYaqBhU8_DElYkX7l4wRkHqqCUFNJY4AfY3kHU/edit?usp=sharing  #gid=0"",""фіз особи new!relations_name_uo""),7,FALSE)
,
)
))"),"ГУДЗ Дмитро Юрійович")</f>
        <v>ГУДЗ Дмитро Юрійович</v>
      </c>
      <c r="G9335" s="7" t="s">
        <v>10</v>
      </c>
      <c r="H9335" s="7">
        <v>15580</v>
      </c>
      <c r="I9335" s="8" t="str">
        <f ca="1">IFERROR(__xludf.DUMMYFUNCTION("IF
(
G9336=""фізична особа""
,
VLOOKUP(H9336,IMPORTRANGE(""https://docs.google.com/spreadsheets/d/14Bd19lYaqBhU8_DElYkX7l4wRkHqqCUFNJY4AfY3kHU/edit?usp=sharing  #gid=0"",""фіз особи new!relations_name""),6,FALSE)
,
(IF
(
G9336=""юридична особа""
,
VLOOKUP"&amp;"(H9336,IMPORTRANGE(""https://docs.google.com/spreadsheets/d/14Bd19lYaqBhU8_DElYkX7l4wRkHqqCUFNJY4AfY3kHU/edit?usp=sharing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5" s="7" t="s">
        <v>29</v>
      </c>
    </row>
    <row r="9336" spans="1:10" ht="13.2">
      <c r="A9336" s="7">
        <v>9335</v>
      </c>
      <c r="B9336" s="7">
        <v>1</v>
      </c>
      <c r="C9336" s="7" t="s">
        <v>10</v>
      </c>
      <c r="D9336" s="7">
        <v>11184</v>
      </c>
      <c r="E9336" s="7" t="s">
        <v>28</v>
      </c>
      <c r="F9336" s="8" t="str">
        <f ca="1">IFERROR(__xludf.DUMMYFUNCTION("IF
(
C9337=""фізична особа""
,
VLOOKUP(D9337,IMPORTRANGE(""https://docs.google.com/spreadsheets/d/14Bd19lYaqBhU8_DElYkX7l4wRkHqqCUFNJY4AfY3kHU/edit?usp=sharing  #gid=0"",""фіз особи new!relations_name""),6,FALSE)
,
(IF
(
C9337=""юридична особа""
,
VLOOKUP"&amp;"(D9337,IMPORTRANGE(""https://docs.google.com/spreadsheets/d/14Bd19lYaqBhU8_DElYkX7l4wRkHqqCUFNJY4AfY3kHU/edit?usp=sharing  #gid=0"",""фіз особи new!relations_name_uo""),7,FALSE)
,
)
))"),"ЛОСЄВА Ольга Олександрівна")</f>
        <v>ЛОСЄВА Ольга Олександрівна</v>
      </c>
      <c r="G9336" s="7" t="s">
        <v>10</v>
      </c>
      <c r="H9336" s="7">
        <v>15580</v>
      </c>
      <c r="I9336" s="8" t="str">
        <f ca="1">IFERROR(__xludf.DUMMYFUNCTION("IF
(
G9337=""фізична особа""
,
VLOOKUP(H9337,IMPORTRANGE(""https://docs.google.com/spreadsheets/d/14Bd19lYaqBhU8_DElYkX7l4wRkHqqCUFNJY4AfY3kHU/edit?usp=sharing  #gid=0"",""фіз особи new!relations_name""),6,FALSE)
,
(IF
(
G9337=""юридична особа""
,
VLOOKUP"&amp;"(H9337,IMPORTRANGE(""https://docs.google.com/spreadsheets/d/14Bd19lYaqBhU8_DElYkX7l4wRkHqqCUFNJY4AfY3kHU/edit?usp=sharing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6" s="7" t="s">
        <v>29</v>
      </c>
    </row>
    <row r="9337" spans="1:10" ht="13.2">
      <c r="A9337" s="7">
        <v>9336</v>
      </c>
      <c r="B9337" s="7">
        <v>1</v>
      </c>
      <c r="C9337" s="7" t="s">
        <v>10</v>
      </c>
      <c r="D9337" s="7">
        <v>11185</v>
      </c>
      <c r="E9337" s="7" t="s">
        <v>28</v>
      </c>
      <c r="F9337" s="8" t="str">
        <f ca="1">IFERROR(__xludf.DUMMYFUNCTION("IF
(
C9338=""фізична особа""
,
VLOOKUP(D9338,IMPORTRANGE(""https://docs.google.com/spreadsheets/d/14Bd19lYaqBhU8_DElYkX7l4wRkHqqCUFNJY4AfY3kHU/edit?usp=sharing  #gid=0"",""фіз особи new!relations_name""),6,FALSE)
,
(IF
(
C9338=""юридична особа""
,
VLOOKUP"&amp;"(D9338,IMPORTRANGE(""https://docs.google.com/spreadsheets/d/14Bd19lYaqBhU8_DElYkX7l4wRkHqqCUFNJY4AfY3kHU/edit?usp=sharing  #gid=0"",""фіз особи new!relations_name_uo""),7,FALSE)
,
)
))"),"ДІГАЄВ Рамзан Дігаєвич")</f>
        <v>ДІГАЄВ Рамзан Дігаєвич</v>
      </c>
      <c r="G9337" s="7" t="s">
        <v>10</v>
      </c>
      <c r="H9337" s="7">
        <v>15580</v>
      </c>
      <c r="I9337" s="8" t="str">
        <f ca="1">IFERROR(__xludf.DUMMYFUNCTION("IF
(
G9338=""фізична особа""
,
VLOOKUP(H9338,IMPORTRANGE(""https://docs.google.com/spreadsheets/d/14Bd19lYaqBhU8_DElYkX7l4wRkHqqCUFNJY4AfY3kHU/edit?usp=sharing  #gid=0"",""фіз особи new!relations_name""),6,FALSE)
,
(IF
(
G9338=""юридична особа""
,
VLOOKUP"&amp;"(H9338,IMPORTRANGE(""https://docs.google.com/spreadsheets/d/14Bd19lYaqBhU8_DElYkX7l4wRkHqqCUFNJY4AfY3kHU/edit?usp=sharing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7" s="7" t="s">
        <v>29</v>
      </c>
    </row>
    <row r="9338" spans="1:10" ht="13.2">
      <c r="A9338" s="7">
        <v>9337</v>
      </c>
      <c r="B9338" s="7">
        <v>1</v>
      </c>
      <c r="C9338" s="7" t="s">
        <v>10</v>
      </c>
      <c r="D9338" s="7">
        <v>11186</v>
      </c>
      <c r="E9338" s="7" t="s">
        <v>28</v>
      </c>
      <c r="F9338" s="8" t="str">
        <f ca="1">IFERROR(__xludf.DUMMYFUNCTION("IF
(
C9339=""фізична особа""
,
VLOOKUP(D9339,IMPORTRANGE(""https://docs.google.com/spreadsheets/d/14Bd19lYaqBhU8_DElYkX7l4wRkHqqCUFNJY4AfY3kHU/edit?usp=sharing  #gid=0"",""фіз особи new!relations_name""),6,FALSE)
,
(IF
(
C9339=""юридична особа""
,
VLOOKUP"&amp;"(D9339,IMPORTRANGE(""https://docs.google.com/spreadsheets/d/14Bd19lYaqBhU8_DElYkX7l4wRkHqqCUFNJY4AfY3kHU/edit?usp=sharing  #gid=0"",""фіз особи new!relations_name_uo""),7,FALSE)
,
)
))"),"МАКСИМОВА Ельвіра Геннадіївна")</f>
        <v>МАКСИМОВА Ельвіра Геннадіївна</v>
      </c>
      <c r="G9338" s="7" t="s">
        <v>10</v>
      </c>
      <c r="H9338" s="7">
        <v>15580</v>
      </c>
      <c r="I9338" s="8" t="str">
        <f ca="1">IFERROR(__xludf.DUMMYFUNCTION("IF
(
G9339=""фізична особа""
,
VLOOKUP(H9339,IMPORTRANGE(""https://docs.google.com/spreadsheets/d/14Bd19lYaqBhU8_DElYkX7l4wRkHqqCUFNJY4AfY3kHU/edit?usp=sharing  #gid=0"",""фіз особи new!relations_name""),6,FALSE)
,
(IF
(
G9339=""юридична особа""
,
VLOOKUP"&amp;"(H9339,IMPORTRANGE(""https://docs.google.com/spreadsheets/d/14Bd19lYaqBhU8_DElYkX7l4wRkHqqCUFNJY4AfY3kHU/edit?usp=sharing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8" s="7" t="s">
        <v>29</v>
      </c>
    </row>
    <row r="9339" spans="1:10" ht="13.2">
      <c r="A9339" s="7">
        <v>9338</v>
      </c>
      <c r="B9339" s="7">
        <v>1</v>
      </c>
      <c r="C9339" s="7" t="s">
        <v>10</v>
      </c>
      <c r="D9339" s="7">
        <v>11187</v>
      </c>
      <c r="E9339" s="7" t="s">
        <v>28</v>
      </c>
      <c r="F9339" s="8" t="str">
        <f ca="1">IFERROR(__xludf.DUMMYFUNCTION("IF
(
C9340=""фізична особа""
,
VLOOKUP(D9340,IMPORTRANGE(""https://docs.google.com/spreadsheets/d/14Bd19lYaqBhU8_DElYkX7l4wRkHqqCUFNJY4AfY3kHU/edit?usp=sharing  #gid=0"",""фіз особи new!relations_name""),6,FALSE)
,
(IF
(
C9340=""юридична особа""
,
VLOOKUP"&amp;"(D9340,IMPORTRANGE(""https://docs.google.com/spreadsheets/d/14Bd19lYaqBhU8_DElYkX7l4wRkHqqCUFNJY4AfY3kHU/edit?usp=sharing  #gid=0"",""фіз особи new!relations_name_uo""),7,FALSE)
,
)
))"),"ЧИРКУН Сергій Іванович")</f>
        <v>ЧИРКУН Сергій Іванович</v>
      </c>
      <c r="G9339" s="7" t="s">
        <v>10</v>
      </c>
      <c r="H9339" s="7">
        <v>15580</v>
      </c>
      <c r="I9339" s="8" t="str">
        <f ca="1">IFERROR(__xludf.DUMMYFUNCTION("IF
(
G9340=""фізична особа""
,
VLOOKUP(H9340,IMPORTRANGE(""https://docs.google.com/spreadsheets/d/14Bd19lYaqBhU8_DElYkX7l4wRkHqqCUFNJY4AfY3kHU/edit?usp=sharing  #gid=0"",""фіз особи new!relations_name""),6,FALSE)
,
(IF
(
G9340=""юридична особа""
,
VLOOKUP"&amp;"(H9340,IMPORTRANGE(""https://docs.google.com/spreadsheets/d/14Bd19lYaqBhU8_DElYkX7l4wRkHqqCUFNJY4AfY3kHU/edit?usp=sharing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9339" s="7" t="s">
        <v>29</v>
      </c>
    </row>
    <row r="9340" spans="1:10" ht="13.2">
      <c r="A9340" s="7">
        <v>9339</v>
      </c>
      <c r="B9340" s="7">
        <v>1</v>
      </c>
      <c r="C9340" s="7" t="s">
        <v>10</v>
      </c>
      <c r="D9340" s="7">
        <v>11188</v>
      </c>
      <c r="E9340" s="7" t="s">
        <v>28</v>
      </c>
      <c r="F9340" s="8" t="str">
        <f ca="1">IFERROR(__xludf.DUMMYFUNCTION("IF
(
C9341=""фізична особа""
,
VLOOKUP(D9341,IMPORTRANGE(""https://docs.google.com/spreadsheets/d/14Bd19lYaqBhU8_DElYkX7l4wRkHqqCUFNJY4AfY3kHU/edit?usp=sharing  #gid=0"",""фіз особи new!relations_name""),6,FALSE)
,
(IF
(
C9341=""юридична особа""
,
VLOOKUP"&amp;"(D9341,IMPORTRANGE(""https://docs.google.com/spreadsheets/d/14Bd19lYaqBhU8_DElYkX7l4wRkHqqCUFNJY4AfY3kHU/edit?usp=sharing  #gid=0"",""фіз особи new!relations_name_uo""),7,FALSE)
,
)
))"),"ДАНИЛІНА Юлія В'ячеславівна")</f>
        <v>ДАНИЛІНА Юлія В'ячеславівна</v>
      </c>
      <c r="G9340" s="7" t="s">
        <v>10</v>
      </c>
      <c r="H9340" s="7">
        <v>11871</v>
      </c>
      <c r="I9340" s="8" t="str">
        <f ca="1">IFERROR(__xludf.DUMMYFUNCTION("IF
(
G9341=""фізична особа""
,
VLOOKUP(H9341,IMPORTRANGE(""https://docs.google.com/spreadsheets/d/14Bd19lYaqBhU8_DElYkX7l4wRkHqqCUFNJY4AfY3kHU/edit?usp=sharing  #gid=0"",""фіз особи new!relations_name""),6,FALSE)
,
(IF
(
G9341=""юридична особа""
,
VLOOKUP"&amp;"(H9341,IMPORTRANGE(""https://docs.google.com/spreadsheets/d/14Bd19lYaqBhU8_DElYkX7l4wRkHqqCUFNJY4AfY3kHU/edit?usp=sharing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9340" s="7" t="s">
        <v>29</v>
      </c>
    </row>
    <row r="9341" spans="1:10" ht="13.2">
      <c r="A9341" s="7">
        <v>9340</v>
      </c>
      <c r="B9341" s="7">
        <v>1</v>
      </c>
      <c r="C9341" s="7" t="s">
        <v>10</v>
      </c>
      <c r="D9341" s="7">
        <v>11189</v>
      </c>
      <c r="E9341" s="7" t="s">
        <v>28</v>
      </c>
      <c r="F9341" s="8" t="str">
        <f ca="1">IFERROR(__xludf.DUMMYFUNCTION("IF
(
C9342=""фізична особа""
,
VLOOKUP(D9342,IMPORTRANGE(""https://docs.google.com/spreadsheets/d/14Bd19lYaqBhU8_DElYkX7l4wRkHqqCUFNJY4AfY3kHU/edit?usp=sharing  #gid=0"",""фіз особи new!relations_name""),6,FALSE)
,
(IF
(
C9342=""юридична особа""
,
VLOOKUP"&amp;"(D9342,IMPORTRANGE(""https://docs.google.com/spreadsheets/d/14Bd19lYaqBhU8_DElYkX7l4wRkHqqCUFNJY4AfY3kHU/edit?usp=sharing  #gid=0"",""фіз особи new!relations_name_uo""),7,FALSE)
,
)
))"),"ЛОГІНОВ Олександр Іванович")</f>
        <v>ЛОГІНОВ Олександр Іванович</v>
      </c>
      <c r="G9341" s="7" t="s">
        <v>10</v>
      </c>
      <c r="H9341" s="7">
        <v>11871</v>
      </c>
      <c r="I9341" s="8" t="str">
        <f ca="1">IFERROR(__xludf.DUMMYFUNCTION("IF
(
G9342=""фізична особа""
,
VLOOKUP(H9342,IMPORTRANGE(""https://docs.google.com/spreadsheets/d/14Bd19lYaqBhU8_DElYkX7l4wRkHqqCUFNJY4AfY3kHU/edit?usp=sharing  #gid=0"",""фіз особи new!relations_name""),6,FALSE)
,
(IF
(
G9342=""юридична особа""
,
VLOOKUP"&amp;"(H9342,IMPORTRANGE(""https://docs.google.com/spreadsheets/d/14Bd19lYaqBhU8_DElYkX7l4wRkHqqCUFNJY4AfY3kHU/edit?usp=sharing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9341" s="7" t="s">
        <v>29</v>
      </c>
    </row>
    <row r="9342" spans="1:10" ht="13.2">
      <c r="A9342" s="7">
        <v>9341</v>
      </c>
      <c r="B9342" s="7">
        <v>1</v>
      </c>
      <c r="C9342" s="7" t="s">
        <v>10</v>
      </c>
      <c r="D9342" s="7">
        <v>11190</v>
      </c>
      <c r="E9342" s="7" t="s">
        <v>28</v>
      </c>
      <c r="F9342" s="8" t="str">
        <f ca="1">IFERROR(__xludf.DUMMYFUNCTION("IF
(
C9343=""фізична особа""
,
VLOOKUP(D9343,IMPORTRANGE(""https://docs.google.com/spreadsheets/d/14Bd19lYaqBhU8_DElYkX7l4wRkHqqCUFNJY4AfY3kHU/edit?usp=sharing  #gid=0"",""фіз особи new!relations_name""),6,FALSE)
,
(IF
(
C9343=""юридична особа""
,
VLOOKUP"&amp;"(D9343,IMPORTRANGE(""https://docs.google.com/spreadsheets/d/14Bd19lYaqBhU8_DElYkX7l4wRkHqqCUFNJY4AfY3kHU/edit?usp=sharing  #gid=0"",""фіз особи new!relations_name_uo""),7,FALSE)
,
)
))"),"ЗАЙЦЕВ Олександр Володимирович")</f>
        <v>ЗАЙЦЕВ Олександр Володимирович</v>
      </c>
      <c r="G9342" s="7" t="s">
        <v>10</v>
      </c>
      <c r="H9342" s="7">
        <v>11871</v>
      </c>
      <c r="I9342" s="8" t="str">
        <f ca="1">IFERROR(__xludf.DUMMYFUNCTION("IF
(
G9343=""фізична особа""
,
VLOOKUP(H9343,IMPORTRANGE(""https://docs.google.com/spreadsheets/d/14Bd19lYaqBhU8_DElYkX7l4wRkHqqCUFNJY4AfY3kHU/edit?usp=sharing  #gid=0"",""фіз особи new!relations_name""),6,FALSE)
,
(IF
(
G9343=""юридична особа""
,
VLOOKUP"&amp;"(H9343,IMPORTRANGE(""https://docs.google.com/spreadsheets/d/14Bd19lYaqBhU8_DElYkX7l4wRkHqqCUFNJY4AfY3kHU/edit?usp=sharing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9342" s="7" t="s">
        <v>29</v>
      </c>
    </row>
    <row r="9343" spans="1:10" ht="13.2">
      <c r="A9343" s="7">
        <v>9342</v>
      </c>
      <c r="B9343" s="7">
        <v>1</v>
      </c>
      <c r="C9343" s="7" t="s">
        <v>10</v>
      </c>
      <c r="D9343" s="7">
        <v>11191</v>
      </c>
      <c r="E9343" s="7" t="s">
        <v>28</v>
      </c>
      <c r="F9343" s="8" t="str">
        <f ca="1">IFERROR(__xludf.DUMMYFUNCTION("IF
(
C9344=""фізична особа""
,
VLOOKUP(D9344,IMPORTRANGE(""https://docs.google.com/spreadsheets/d/14Bd19lYaqBhU8_DElYkX7l4wRkHqqCUFNJY4AfY3kHU/edit?usp=sharing  #gid=0"",""фіз особи new!relations_name""),6,FALSE)
,
(IF
(
C9344=""юридична особа""
,
VLOOKUP"&amp;"(D9344,IMPORTRANGE(""https://docs.google.com/spreadsheets/d/14Bd19lYaqBhU8_DElYkX7l4wRkHqqCUFNJY4AfY3kHU/edit?usp=sharing  #gid=0"",""фіз особи new!relations_name_uo""),7,FALSE)
,
)
))"),"КУЦЕНКО Тетяна Володимирівна")</f>
        <v>КУЦЕНКО Тетяна Володимирівна</v>
      </c>
      <c r="G9343" s="7" t="s">
        <v>10</v>
      </c>
      <c r="H9343" s="7">
        <v>11871</v>
      </c>
      <c r="I9343" s="8" t="str">
        <f ca="1">IFERROR(__xludf.DUMMYFUNCTION("IF
(
G9344=""фізична особа""
,
VLOOKUP(H9344,IMPORTRANGE(""https://docs.google.com/spreadsheets/d/14Bd19lYaqBhU8_DElYkX7l4wRkHqqCUFNJY4AfY3kHU/edit?usp=sharing  #gid=0"",""фіз особи new!relations_name""),6,FALSE)
,
(IF
(
G9344=""юридична особа""
,
VLOOKUP"&amp;"(H9344,IMPORTRANGE(""https://docs.google.com/spreadsheets/d/14Bd19lYaqBhU8_DElYkX7l4wRkHqqCUFNJY4AfY3kHU/edit?usp=sharing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9343" s="7" t="s">
        <v>29</v>
      </c>
    </row>
    <row r="9344" spans="1:10" ht="13.2">
      <c r="A9344" s="7">
        <v>9343</v>
      </c>
      <c r="B9344" s="7">
        <v>1</v>
      </c>
      <c r="C9344" s="7" t="s">
        <v>10</v>
      </c>
      <c r="D9344" s="7">
        <v>11192</v>
      </c>
      <c r="E9344" s="7" t="s">
        <v>28</v>
      </c>
      <c r="F9344" s="8" t="str">
        <f ca="1">IFERROR(__xludf.DUMMYFUNCTION("IF
(
C9345=""фізична особа""
,
VLOOKUP(D9345,IMPORTRANGE(""https://docs.google.com/spreadsheets/d/14Bd19lYaqBhU8_DElYkX7l4wRkHqqCUFNJY4AfY3kHU/edit?usp=sharing  #gid=0"",""фіз особи new!relations_name""),6,FALSE)
,
(IF
(
C9345=""юридична особа""
,
VLOOKUP"&amp;"(D9345,IMPORTRANGE(""https://docs.google.com/spreadsheets/d/14Bd19lYaqBhU8_DElYkX7l4wRkHqqCUFNJY4AfY3kHU/edit?usp=sharing  #gid=0"",""фіз особи new!relations_name_uo""),7,FALSE)
,
)
))"),"ЛАВЕЛІНА Ірина Василівна")</f>
        <v>ЛАВЕЛІНА Ірина Василівна</v>
      </c>
      <c r="G9344" s="7" t="s">
        <v>10</v>
      </c>
      <c r="H9344" s="7">
        <v>11871</v>
      </c>
      <c r="I9344" s="8" t="str">
        <f ca="1">IFERROR(__xludf.DUMMYFUNCTION("IF
(
G9345=""фізична особа""
,
VLOOKUP(H9345,IMPORTRANGE(""https://docs.google.com/spreadsheets/d/14Bd19lYaqBhU8_DElYkX7l4wRkHqqCUFNJY4AfY3kHU/edit?usp=sharing  #gid=0"",""фіз особи new!relations_name""),6,FALSE)
,
(IF
(
G9345=""юридична особа""
,
VLOOKUP"&amp;"(H9345,IMPORTRANGE(""https://docs.google.com/spreadsheets/d/14Bd19lYaqBhU8_DElYkX7l4wRkHqqCUFNJY4AfY3kHU/edit?usp=sharing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9344" s="7" t="s">
        <v>29</v>
      </c>
    </row>
    <row r="9345" spans="1:10" ht="13.2">
      <c r="A9345" s="7">
        <v>9344</v>
      </c>
      <c r="B9345" s="7">
        <v>1</v>
      </c>
      <c r="C9345" s="7" t="s">
        <v>10</v>
      </c>
      <c r="D9345" s="7">
        <v>11193</v>
      </c>
      <c r="E9345" s="7" t="s">
        <v>28</v>
      </c>
      <c r="F9345" s="8" t="str">
        <f ca="1">IFERROR(__xludf.DUMMYFUNCTION("IF
(
C9346=""фізична особа""
,
VLOOKUP(D9346,IMPORTRANGE(""https://docs.google.com/spreadsheets/d/14Bd19lYaqBhU8_DElYkX7l4wRkHqqCUFNJY4AfY3kHU/edit?usp=sharing  #gid=0"",""фіз особи new!relations_name""),6,FALSE)
,
(IF
(
C9346=""юридична особа""
,
VLOOKUP"&amp;"(D9346,IMPORTRANGE(""https://docs.google.com/spreadsheets/d/14Bd19lYaqBhU8_DElYkX7l4wRkHqqCUFNJY4AfY3kHU/edit?usp=sharing  #gid=0"",""фіз особи new!relations_name_uo""),7,FALSE)
,
)
))"),"ТУРСУНБЕКОВ Кайрат Бурубекович")</f>
        <v>ТУРСУНБЕКОВ Кайрат Бурубекович</v>
      </c>
      <c r="G9345" s="7" t="s">
        <v>10</v>
      </c>
      <c r="H9345" s="7">
        <v>2997</v>
      </c>
      <c r="I9345" s="8" t="str">
        <f ca="1">IFERROR(__xludf.DUMMYFUNCTION("IF
(
G9346=""фізична особа""
,
VLOOKUP(H9346,IMPORTRANGE(""https://docs.google.com/spreadsheets/d/14Bd19lYaqBhU8_DElYkX7l4wRkHqqCUFNJY4AfY3kHU/edit?usp=sharing  #gid=0"",""фіз особи new!relations_name""),6,FALSE)
,
(IF
(
G9346=""юридична особа""
,
VLOOKUP"&amp;"(H9346,IMPORTRANGE(""https://docs.google.com/spreadsheets/d/14Bd19lYaqBhU8_DElYkX7l4wRkHqqCUFNJY4AfY3kHU/edit?usp=sharing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45" s="7" t="s">
        <v>29</v>
      </c>
    </row>
    <row r="9346" spans="1:10" ht="13.2">
      <c r="A9346" s="7">
        <v>9345</v>
      </c>
      <c r="B9346" s="7">
        <v>1</v>
      </c>
      <c r="C9346" s="7" t="s">
        <v>10</v>
      </c>
      <c r="D9346" s="7">
        <v>11194</v>
      </c>
      <c r="E9346" s="7" t="s">
        <v>28</v>
      </c>
      <c r="F9346" s="8" t="str">
        <f ca="1">IFERROR(__xludf.DUMMYFUNCTION("IF
(
C9347=""фізична особа""
,
VLOOKUP(D9347,IMPORTRANGE(""https://docs.google.com/spreadsheets/d/14Bd19lYaqBhU8_DElYkX7l4wRkHqqCUFNJY4AfY3kHU/edit?usp=sharing  #gid=0"",""фіз особи new!relations_name""),6,FALSE)
,
(IF
(
C9347=""юридична особа""
,
VLOOKUP"&amp;"(D9347,IMPORTRANGE(""https://docs.google.com/spreadsheets/d/14Bd19lYaqBhU8_DElYkX7l4wRkHqqCUFNJY4AfY3kHU/edit?usp=sharing  #gid=0"",""фіз особи new!relations_name_uo""),7,FALSE)
,
)
))"),"ГОЛІКОВ Віталій Сергійович")</f>
        <v>ГОЛІКОВ Віталій Сергійович</v>
      </c>
      <c r="G9346" s="7" t="s">
        <v>10</v>
      </c>
      <c r="H9346" s="7">
        <v>2997</v>
      </c>
      <c r="I9346" s="8" t="str">
        <f ca="1">IFERROR(__xludf.DUMMYFUNCTION("IF
(
G9347=""фізична особа""
,
VLOOKUP(H9347,IMPORTRANGE(""https://docs.google.com/spreadsheets/d/14Bd19lYaqBhU8_DElYkX7l4wRkHqqCUFNJY4AfY3kHU/edit?usp=sharing  #gid=0"",""фіз особи new!relations_name""),6,FALSE)
,
(IF
(
G9347=""юридична особа""
,
VLOOKUP"&amp;"(H9347,IMPORTRANGE(""https://docs.google.com/spreadsheets/d/14Bd19lYaqBhU8_DElYkX7l4wRkHqqCUFNJY4AfY3kHU/edit?usp=sharing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46" s="7" t="s">
        <v>29</v>
      </c>
    </row>
    <row r="9347" spans="1:10" ht="13.2">
      <c r="A9347" s="7">
        <v>9346</v>
      </c>
      <c r="B9347" s="7">
        <v>1</v>
      </c>
      <c r="C9347" s="7" t="s">
        <v>10</v>
      </c>
      <c r="D9347" s="7">
        <v>11195</v>
      </c>
      <c r="E9347" s="7" t="s">
        <v>28</v>
      </c>
      <c r="F9347" s="8" t="str">
        <f ca="1">IFERROR(__xludf.DUMMYFUNCTION("IF
(
C9348=""фізична особа""
,
VLOOKUP(D9348,IMPORTRANGE(""https://docs.google.com/spreadsheets/d/14Bd19lYaqBhU8_DElYkX7l4wRkHqqCUFNJY4AfY3kHU/edit?usp=sharing  #gid=0"",""фіз особи new!relations_name""),6,FALSE)
,
(IF
(
C9348=""юридична особа""
,
VLOOKUP"&amp;"(D9348,IMPORTRANGE(""https://docs.google.com/spreadsheets/d/14Bd19lYaqBhU8_DElYkX7l4wRkHqqCUFNJY4AfY3kHU/edit?usp=sharing  #gid=0"",""фіз особи new!relations_name_uo""),7,FALSE)
,
)
))"),"ВАХРУШЕВ Костянтин Геннадійович")</f>
        <v>ВАХРУШЕВ Костянтин Геннадійович</v>
      </c>
      <c r="G9347" s="7" t="s">
        <v>10</v>
      </c>
      <c r="H9347" s="7">
        <v>2997</v>
      </c>
      <c r="I9347" s="8" t="str">
        <f ca="1">IFERROR(__xludf.DUMMYFUNCTION("IF
(
G9348=""фізична особа""
,
VLOOKUP(H9348,IMPORTRANGE(""https://docs.google.com/spreadsheets/d/14Bd19lYaqBhU8_DElYkX7l4wRkHqqCUFNJY4AfY3kHU/edit?usp=sharing  #gid=0"",""фіз особи new!relations_name""),6,FALSE)
,
(IF
(
G9348=""юридична особа""
,
VLOOKUP"&amp;"(H9348,IMPORTRANGE(""https://docs.google.com/spreadsheets/d/14Bd19lYaqBhU8_DElYkX7l4wRkHqqCUFNJY4AfY3kHU/edit?usp=sharing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47" s="7" t="s">
        <v>29</v>
      </c>
    </row>
    <row r="9348" spans="1:10" ht="13.2">
      <c r="A9348" s="7">
        <v>9347</v>
      </c>
      <c r="B9348" s="7">
        <v>1</v>
      </c>
      <c r="C9348" s="7" t="s">
        <v>10</v>
      </c>
      <c r="D9348" s="7">
        <v>11196</v>
      </c>
      <c r="E9348" s="7" t="s">
        <v>28</v>
      </c>
      <c r="F9348" s="8" t="str">
        <f ca="1">IFERROR(__xludf.DUMMYFUNCTION("IF
(
C9349=""фізична особа""
,
VLOOKUP(D9349,IMPORTRANGE(""https://docs.google.com/spreadsheets/d/14Bd19lYaqBhU8_DElYkX7l4wRkHqqCUFNJY4AfY3kHU/edit?usp=sharing  #gid=0"",""фіз особи new!relations_name""),6,FALSE)
,
(IF
(
C9349=""юридична особа""
,
VLOOKUP"&amp;"(D9349,IMPORTRANGE(""https://docs.google.com/spreadsheets/d/14Bd19lYaqBhU8_DElYkX7l4wRkHqqCUFNJY4AfY3kHU/edit?usp=sharing  #gid=0"",""фіз особи new!relations_name_uo""),7,FALSE)
,
)
))"),"СОКОЛОВСЬКИЙ Олександр Ігорович")</f>
        <v>СОКОЛОВСЬКИЙ Олександр Ігорович</v>
      </c>
      <c r="G9348" s="7" t="s">
        <v>10</v>
      </c>
      <c r="H9348" s="7">
        <v>2997</v>
      </c>
      <c r="I9348" s="8" t="str">
        <f ca="1">IFERROR(__xludf.DUMMYFUNCTION("IF
(
G9349=""фізична особа""
,
VLOOKUP(H9349,IMPORTRANGE(""https://docs.google.com/spreadsheets/d/14Bd19lYaqBhU8_DElYkX7l4wRkHqqCUFNJY4AfY3kHU/edit?usp=sharing  #gid=0"",""фіз особи new!relations_name""),6,FALSE)
,
(IF
(
G9349=""юридична особа""
,
VLOOKUP"&amp;"(H9349,IMPORTRANGE(""https://docs.google.com/spreadsheets/d/14Bd19lYaqBhU8_DElYkX7l4wRkHqqCUFNJY4AfY3kHU/edit?usp=sharing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48" s="7" t="s">
        <v>29</v>
      </c>
    </row>
    <row r="9349" spans="1:10" ht="13.2">
      <c r="A9349" s="7">
        <v>9348</v>
      </c>
      <c r="B9349" s="7">
        <v>1</v>
      </c>
      <c r="C9349" s="7" t="s">
        <v>10</v>
      </c>
      <c r="D9349" s="7">
        <v>11197</v>
      </c>
      <c r="E9349" s="7" t="s">
        <v>28</v>
      </c>
      <c r="F9349" s="8" t="str">
        <f ca="1">IFERROR(__xludf.DUMMYFUNCTION("IF
(
C9350=""фізична особа""
,
VLOOKUP(D9350,IMPORTRANGE(""https://docs.google.com/spreadsheets/d/14Bd19lYaqBhU8_DElYkX7l4wRkHqqCUFNJY4AfY3kHU/edit?usp=sharing  #gid=0"",""фіз особи new!relations_name""),6,FALSE)
,
(IF
(
C9350=""юридична особа""
,
VLOOKUP"&amp;"(D9350,IMPORTRANGE(""https://docs.google.com/spreadsheets/d/14Bd19lYaqBhU8_DElYkX7l4wRkHqqCUFNJY4AfY3kHU/edit?usp=sharing  #gid=0"",""фіз особи new!relations_name_uo""),7,FALSE)
,
)
))"),"ЦВІГУН Ірина Германівна")</f>
        <v>ЦВІГУН Ірина Германівна</v>
      </c>
      <c r="G9349" s="7" t="s">
        <v>10</v>
      </c>
      <c r="H9349" s="7">
        <v>2997</v>
      </c>
      <c r="I9349" s="8" t="str">
        <f ca="1">IFERROR(__xludf.DUMMYFUNCTION("IF
(
G9350=""фізична особа""
,
VLOOKUP(H9350,IMPORTRANGE(""https://docs.google.com/spreadsheets/d/14Bd19lYaqBhU8_DElYkX7l4wRkHqqCUFNJY4AfY3kHU/edit?usp=sharing  #gid=0"",""фіз особи new!relations_name""),6,FALSE)
,
(IF
(
G9350=""юридична особа""
,
VLOOKUP"&amp;"(H9350,IMPORTRANGE(""https://docs.google.com/spreadsheets/d/14Bd19lYaqBhU8_DElYkX7l4wRkHqqCUFNJY4AfY3kHU/edit?usp=sharing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49" s="7" t="s">
        <v>29</v>
      </c>
    </row>
    <row r="9350" spans="1:10" ht="13.2">
      <c r="A9350" s="7">
        <v>9349</v>
      </c>
      <c r="B9350" s="7">
        <v>1</v>
      </c>
      <c r="C9350" s="7" t="s">
        <v>10</v>
      </c>
      <c r="D9350" s="7">
        <v>11198</v>
      </c>
      <c r="E9350" s="7" t="s">
        <v>28</v>
      </c>
      <c r="F9350" s="8" t="str">
        <f ca="1">IFERROR(__xludf.DUMMYFUNCTION("IF
(
C9351=""фізична особа""
,
VLOOKUP(D9351,IMPORTRANGE(""https://docs.google.com/spreadsheets/d/14Bd19lYaqBhU8_DElYkX7l4wRkHqqCUFNJY4AfY3kHU/edit?usp=sharing  #gid=0"",""фіз особи new!relations_name""),6,FALSE)
,
(IF
(
C9351=""юридична особа""
,
VLOOKUP"&amp;"(D9351,IMPORTRANGE(""https://docs.google.com/spreadsheets/d/14Bd19lYaqBhU8_DElYkX7l4wRkHqqCUFNJY4AfY3kHU/edit?usp=sharing  #gid=0"",""фіз особи new!relations_name_uo""),7,FALSE)
,
)
))"),"БЕДУСЕНКО Олександр Олександрович")</f>
        <v>БЕДУСЕНКО Олександр Олександрович</v>
      </c>
      <c r="G9350" s="7" t="s">
        <v>10</v>
      </c>
      <c r="H9350" s="7">
        <v>2997</v>
      </c>
      <c r="I9350" s="8" t="str">
        <f ca="1">IFERROR(__xludf.DUMMYFUNCTION("IF
(
G9351=""фізична особа""
,
VLOOKUP(H9351,IMPORTRANGE(""https://docs.google.com/spreadsheets/d/14Bd19lYaqBhU8_DElYkX7l4wRkHqqCUFNJY4AfY3kHU/edit?usp=sharing  #gid=0"",""фіз особи new!relations_name""),6,FALSE)
,
(IF
(
G9351=""юридична особа""
,
VLOOKUP"&amp;"(H9351,IMPORTRANGE(""https://docs.google.com/spreadsheets/d/14Bd19lYaqBhU8_DElYkX7l4wRkHqqCUFNJY4AfY3kHU/edit?usp=sharing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50" s="7" t="s">
        <v>29</v>
      </c>
    </row>
    <row r="9351" spans="1:10" ht="13.2">
      <c r="A9351" s="7">
        <v>9350</v>
      </c>
      <c r="B9351" s="7">
        <v>1</v>
      </c>
      <c r="C9351" s="7" t="s">
        <v>10</v>
      </c>
      <c r="D9351" s="7">
        <v>11199</v>
      </c>
      <c r="E9351" s="7" t="s">
        <v>28</v>
      </c>
      <c r="F9351" s="8" t="str">
        <f ca="1">IFERROR(__xludf.DUMMYFUNCTION("IF
(
C9352=""фізична особа""
,
VLOOKUP(D9352,IMPORTRANGE(""https://docs.google.com/spreadsheets/d/14Bd19lYaqBhU8_DElYkX7l4wRkHqqCUFNJY4AfY3kHU/edit?usp=sharing  #gid=0"",""фіз особи new!relations_name""),6,FALSE)
,
(IF
(
C9352=""юридична особа""
,
VLOOKUP"&amp;"(D9352,IMPORTRANGE(""https://docs.google.com/spreadsheets/d/14Bd19lYaqBhU8_DElYkX7l4wRkHqqCUFNJY4AfY3kHU/edit?usp=sharing  #gid=0"",""фіз особи new!relations_name_uo""),7,FALSE)
,
)
))"),"ФАРАЗУТДІНОВ Радік Хакімович")</f>
        <v>ФАРАЗУТДІНОВ Радік Хакімович</v>
      </c>
      <c r="G9351" s="7" t="s">
        <v>10</v>
      </c>
      <c r="H9351" s="7">
        <v>2997</v>
      </c>
      <c r="I9351" s="8" t="str">
        <f ca="1">IFERROR(__xludf.DUMMYFUNCTION("IF
(
G9352=""фізична особа""
,
VLOOKUP(H9352,IMPORTRANGE(""https://docs.google.com/spreadsheets/d/14Bd19lYaqBhU8_DElYkX7l4wRkHqqCUFNJY4AfY3kHU/edit?usp=sharing  #gid=0"",""фіз особи new!relations_name""),6,FALSE)
,
(IF
(
G9352=""юридична особа""
,
VLOOKUP"&amp;"(H9352,IMPORTRANGE(""https://docs.google.com/spreadsheets/d/14Bd19lYaqBhU8_DElYkX7l4wRkHqqCUFNJY4AfY3kHU/edit?usp=sharing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51" s="7" t="s">
        <v>29</v>
      </c>
    </row>
    <row r="9352" spans="1:10" ht="13.2">
      <c r="A9352" s="7">
        <v>9351</v>
      </c>
      <c r="B9352" s="7">
        <v>1</v>
      </c>
      <c r="C9352" s="7" t="s">
        <v>10</v>
      </c>
      <c r="D9352" s="7">
        <v>11200</v>
      </c>
      <c r="E9352" s="7" t="s">
        <v>28</v>
      </c>
      <c r="F9352" s="8" t="str">
        <f ca="1">IFERROR(__xludf.DUMMYFUNCTION("IF
(
C9353=""фізична особа""
,
VLOOKUP(D9353,IMPORTRANGE(""https://docs.google.com/spreadsheets/d/14Bd19lYaqBhU8_DElYkX7l4wRkHqqCUFNJY4AfY3kHU/edit?usp=sharing  #gid=0"",""фіз особи new!relations_name""),6,FALSE)
,
(IF
(
C9353=""юридична особа""
,
VLOOKUP"&amp;"(D9353,IMPORTRANGE(""https://docs.google.com/spreadsheets/d/14Bd19lYaqBhU8_DElYkX7l4wRkHqqCUFNJY4AfY3kHU/edit?usp=sharing  #gid=0"",""фіз особи new!relations_name_uo""),7,FALSE)
,
)
))"),"ЗАХАРОВ Олег Миколайович")</f>
        <v>ЗАХАРОВ Олег Миколайович</v>
      </c>
      <c r="G9352" s="7" t="s">
        <v>10</v>
      </c>
      <c r="H9352" s="7">
        <v>2997</v>
      </c>
      <c r="I9352" s="8" t="str">
        <f ca="1">IFERROR(__xludf.DUMMYFUNCTION("IF
(
G9353=""фізична особа""
,
VLOOKUP(H9353,IMPORTRANGE(""https://docs.google.com/spreadsheets/d/14Bd19lYaqBhU8_DElYkX7l4wRkHqqCUFNJY4AfY3kHU/edit?usp=sharing  #gid=0"",""фіз особи new!relations_name""),6,FALSE)
,
(IF
(
G9353=""юридична особа""
,
VLOOKUP"&amp;"(H9353,IMPORTRANGE(""https://docs.google.com/spreadsheets/d/14Bd19lYaqBhU8_DElYkX7l4wRkHqqCUFNJY4AfY3kHU/edit?usp=sharing  #gid=0"",""фіз особи new!relations_name_uo""),7,FALSE)
,
)
))"),"НОВІКОВ Роман Віталійович")</f>
        <v>НОВІКОВ Роман Віталійович</v>
      </c>
      <c r="J9352" s="7" t="s">
        <v>29</v>
      </c>
    </row>
    <row r="9353" spans="1:10" ht="13.2">
      <c r="A9353" s="7">
        <v>9352</v>
      </c>
      <c r="B9353" s="7">
        <v>1</v>
      </c>
      <c r="C9353" s="7" t="s">
        <v>10</v>
      </c>
      <c r="D9353" s="7">
        <v>11201</v>
      </c>
      <c r="E9353" s="7" t="s">
        <v>28</v>
      </c>
      <c r="F9353" s="8" t="str">
        <f ca="1">IFERROR(__xludf.DUMMYFUNCTION("IF
(
C9354=""фізична особа""
,
VLOOKUP(D9354,IMPORTRANGE(""https://docs.google.com/spreadsheets/d/14Bd19lYaqBhU8_DElYkX7l4wRkHqqCUFNJY4AfY3kHU/edit?usp=sharing  #gid=0"",""фіз особи new!relations_name""),6,FALSE)
,
(IF
(
C9354=""юридична особа""
,
VLOOKUP"&amp;"(D9354,IMPORTRANGE(""https://docs.google.com/spreadsheets/d/14Bd19lYaqBhU8_DElYkX7l4wRkHqqCUFNJY4AfY3kHU/edit?usp=sharing  #gid=0"",""фіз особи new!relations_name_uo""),7,FALSE)
,
)
))"),"КЛІМАНОВ Дмитро Олександрович")</f>
        <v>КЛІМАНОВ Дмитро Олександрович</v>
      </c>
      <c r="G9353" s="7" t="s">
        <v>10</v>
      </c>
      <c r="H9353" s="7">
        <v>0</v>
      </c>
      <c r="I9353" s="8" t="str">
        <f ca="1">IFERROR(__xludf.DUMMYFUNCTION("IF
(
G9354=""фізична особа""
,
VLOOKUP(H9354,IMPORTRANGE(""https://docs.google.com/spreadsheets/d/14Bd19lYaqBhU8_DElYkX7l4wRkHqqCUFNJY4AfY3kHU/edit?usp=sharing  #gid=0"",""фіз особи new!relations_name""),6,FALSE)
,
(IF
(
G9354=""юридична особа""
,
VLOOKUP"&amp;"(H9354,IMPORTRANGE(""https://docs.google.com/spreadsheets/d/14Bd19lYaqBhU8_DElYkX7l4wRkHqqCUFNJY4AfY3kHU/edit?usp=sharing  #gid=0"",""фіз особи new!relations_name_uo""),7,FALSE)
,
)
))"),"#N/A")</f>
        <v>#N/A</v>
      </c>
      <c r="J9353" s="7" t="s">
        <v>29</v>
      </c>
    </row>
    <row r="9354" spans="1:10" ht="13.2">
      <c r="A9354" s="7">
        <v>9353</v>
      </c>
      <c r="B9354" s="7">
        <v>1</v>
      </c>
      <c r="C9354" s="7" t="s">
        <v>10</v>
      </c>
      <c r="D9354" s="7">
        <v>11202</v>
      </c>
      <c r="E9354" s="7" t="s">
        <v>28</v>
      </c>
      <c r="F9354" s="8" t="str">
        <f ca="1">IFERROR(__xludf.DUMMYFUNCTION("IF
(
C9355=""фізична особа""
,
VLOOKUP(D9355,IMPORTRANGE(""https://docs.google.com/spreadsheets/d/14Bd19lYaqBhU8_DElYkX7l4wRkHqqCUFNJY4AfY3kHU/edit?usp=sharing  #gid=0"",""фіз особи new!relations_name""),6,FALSE)
,
(IF
(
C9355=""юридична особа""
,
VLOOKUP"&amp;"(D9355,IMPORTRANGE(""https://docs.google.com/spreadsheets/d/14Bd19lYaqBhU8_DElYkX7l4wRkHqqCUFNJY4AfY3kHU/edit?usp=sharing  #gid=0"",""фіз особи new!relations_name_uo""),7,FALSE)
,
)
))"),"ГОНЧАРОВ Сергій Анатолійович")</f>
        <v>ГОНЧАРОВ Сергій Анатолійович</v>
      </c>
      <c r="G9354" s="7" t="s">
        <v>10</v>
      </c>
      <c r="H9354" s="7">
        <v>0</v>
      </c>
      <c r="I9354" s="8" t="str">
        <f ca="1">IFERROR(__xludf.DUMMYFUNCTION("IF
(
G9355=""фізична особа""
,
VLOOKUP(H9355,IMPORTRANGE(""https://docs.google.com/spreadsheets/d/14Bd19lYaqBhU8_DElYkX7l4wRkHqqCUFNJY4AfY3kHU/edit?usp=sharing  #gid=0"",""фіз особи new!relations_name""),6,FALSE)
,
(IF
(
G9355=""юридична особа""
,
VLOOKUP"&amp;"(H9355,IMPORTRANGE(""https://docs.google.com/spreadsheets/d/14Bd19lYaqBhU8_DElYkX7l4wRkHqqCUFNJY4AfY3kHU/edit?usp=sharing  #gid=0"",""фіз особи new!relations_name_uo""),7,FALSE)
,
)
))"),"#N/A")</f>
        <v>#N/A</v>
      </c>
      <c r="J9354" s="7" t="s">
        <v>29</v>
      </c>
    </row>
    <row r="9355" spans="1:10" ht="13.2">
      <c r="A9355" s="7">
        <v>9354</v>
      </c>
      <c r="B9355" s="7">
        <v>1</v>
      </c>
      <c r="C9355" s="7" t="s">
        <v>10</v>
      </c>
      <c r="D9355" s="7">
        <v>11203</v>
      </c>
      <c r="E9355" s="7" t="s">
        <v>28</v>
      </c>
      <c r="F9355" s="8" t="str">
        <f ca="1">IFERROR(__xludf.DUMMYFUNCTION("IF
(
C9356=""фізична особа""
,
VLOOKUP(D9356,IMPORTRANGE(""https://docs.google.com/spreadsheets/d/14Bd19lYaqBhU8_DElYkX7l4wRkHqqCUFNJY4AfY3kHU/edit?usp=sharing  #gid=0"",""фіз особи new!relations_name""),6,FALSE)
,
(IF
(
C9356=""юридична особа""
,
VLOOKUP"&amp;"(D9356,IMPORTRANGE(""https://docs.google.com/spreadsheets/d/14Bd19lYaqBhU8_DElYkX7l4wRkHqqCUFNJY4AfY3kHU/edit?usp=sharing  #gid=0"",""фіз особи new!relations_name_uo""),7,FALSE)
,
)
))"),"ПОСПЄЛОВА Анастасія Костянтинівна")</f>
        <v>ПОСПЄЛОВА Анастасія Костянтинівна</v>
      </c>
      <c r="G9355" s="7" t="s">
        <v>10</v>
      </c>
      <c r="H9355" s="7">
        <v>0</v>
      </c>
      <c r="I9355" s="8" t="str">
        <f ca="1">IFERROR(__xludf.DUMMYFUNCTION("IF
(
G9356=""фізична особа""
,
VLOOKUP(H9356,IMPORTRANGE(""https://docs.google.com/spreadsheets/d/14Bd19lYaqBhU8_DElYkX7l4wRkHqqCUFNJY4AfY3kHU/edit?usp=sharing  #gid=0"",""фіз особи new!relations_name""),6,FALSE)
,
(IF
(
G9356=""юридична особа""
,
VLOOKUP"&amp;"(H9356,IMPORTRANGE(""https://docs.google.com/spreadsheets/d/14Bd19lYaqBhU8_DElYkX7l4wRkHqqCUFNJY4AfY3kHU/edit?usp=sharing  #gid=0"",""фіз особи new!relations_name_uo""),7,FALSE)
,
)
))"),"#N/A")</f>
        <v>#N/A</v>
      </c>
      <c r="J9355" s="7" t="s">
        <v>116</v>
      </c>
    </row>
    <row r="9356" spans="1:10" ht="13.2">
      <c r="A9356" s="7">
        <v>9355</v>
      </c>
      <c r="B9356" s="7">
        <v>1</v>
      </c>
      <c r="C9356" s="7" t="s">
        <v>10</v>
      </c>
      <c r="D9356" s="7">
        <v>11204</v>
      </c>
      <c r="E9356" s="7" t="s">
        <v>28</v>
      </c>
      <c r="F9356" s="8" t="str">
        <f ca="1">IFERROR(__xludf.DUMMYFUNCTION("IF
(
C9357=""фізична особа""
,
VLOOKUP(D9357,IMPORTRANGE(""https://docs.google.com/spreadsheets/d/14Bd19lYaqBhU8_DElYkX7l4wRkHqqCUFNJY4AfY3kHU/edit?usp=sharing  #gid=0"",""фіз особи new!relations_name""),6,FALSE)
,
(IF
(
C9357=""юридична особа""
,
VLOOKUP"&amp;"(D9357,IMPORTRANGE(""https://docs.google.com/spreadsheets/d/14Bd19lYaqBhU8_DElYkX7l4wRkHqqCUFNJY4AfY3kHU/edit?usp=sharing  #gid=0"",""фіз особи new!relations_name_uo""),7,FALSE)
,
)
))"),"ЛОВЯГО Олена Борисівна")</f>
        <v>ЛОВЯГО Олена Борисівна</v>
      </c>
      <c r="G9356" s="7" t="s">
        <v>10</v>
      </c>
      <c r="H9356" s="7">
        <v>0</v>
      </c>
      <c r="I9356" s="8" t="str">
        <f ca="1">IFERROR(__xludf.DUMMYFUNCTION("IF
(
G9357=""фізична особа""
,
VLOOKUP(H9357,IMPORTRANGE(""https://docs.google.com/spreadsheets/d/14Bd19lYaqBhU8_DElYkX7l4wRkHqqCUFNJY4AfY3kHU/edit?usp=sharing  #gid=0"",""фіз особи new!relations_name""),6,FALSE)
,
(IF
(
G9357=""юридична особа""
,
VLOOKUP"&amp;"(H9357,IMPORTRANGE(""https://docs.google.com/spreadsheets/d/14Bd19lYaqBhU8_DElYkX7l4wRkHqqCUFNJY4AfY3kHU/edit?usp=sharing  #gid=0"",""фіз особи new!relations_name_uo""),7,FALSE)
,
)
))"),"#N/A")</f>
        <v>#N/A</v>
      </c>
      <c r="J9356" s="7" t="s">
        <v>29</v>
      </c>
    </row>
    <row r="9357" spans="1:10" ht="13.2">
      <c r="A9357" s="7">
        <v>9356</v>
      </c>
      <c r="B9357" s="7">
        <v>1</v>
      </c>
      <c r="C9357" s="7" t="s">
        <v>10</v>
      </c>
      <c r="D9357" s="7">
        <v>11205</v>
      </c>
      <c r="E9357" s="7" t="s">
        <v>28</v>
      </c>
      <c r="F9357" s="8" t="str">
        <f ca="1">IFERROR(__xludf.DUMMYFUNCTION("IF
(
C9358=""фізична особа""
,
VLOOKUP(D9358,IMPORTRANGE(""https://docs.google.com/spreadsheets/d/14Bd19lYaqBhU8_DElYkX7l4wRkHqqCUFNJY4AfY3kHU/edit?usp=sharing  #gid=0"",""фіз особи new!relations_name""),6,FALSE)
,
(IF
(
C9358=""юридична особа""
,
VLOOKUP"&amp;"(D9358,IMPORTRANGE(""https://docs.google.com/spreadsheets/d/14Bd19lYaqBhU8_DElYkX7l4wRkHqqCUFNJY4AfY3kHU/edit?usp=sharing  #gid=0"",""фіз особи new!relations_name_uo""),7,FALSE)
,
)
))"),"РЕПНЕВСЬКИЙ Ігор Андрійович")</f>
        <v>РЕПНЕВСЬКИЙ Ігор Андрійович</v>
      </c>
      <c r="G9357" s="7" t="s">
        <v>10</v>
      </c>
      <c r="H9357" s="7">
        <v>0</v>
      </c>
      <c r="I9357" s="8" t="str">
        <f ca="1">IFERROR(__xludf.DUMMYFUNCTION("IF
(
G9358=""фізична особа""
,
VLOOKUP(H9358,IMPORTRANGE(""https://docs.google.com/spreadsheets/d/14Bd19lYaqBhU8_DElYkX7l4wRkHqqCUFNJY4AfY3kHU/edit?usp=sharing  #gid=0"",""фіз особи new!relations_name""),6,FALSE)
,
(IF
(
G9358=""юридична особа""
,
VLOOKUP"&amp;"(H9358,IMPORTRANGE(""https://docs.google.com/spreadsheets/d/14Bd19lYaqBhU8_DElYkX7l4wRkHqqCUFNJY4AfY3kHU/edit?usp=sharing  #gid=0"",""фіз особи new!relations_name_uo""),7,FALSE)
,
)
))"),"#N/A")</f>
        <v>#N/A</v>
      </c>
      <c r="J9357" s="7" t="s">
        <v>29</v>
      </c>
    </row>
    <row r="9358" spans="1:10" ht="13.2">
      <c r="A9358" s="7">
        <v>9357</v>
      </c>
      <c r="B9358" s="7">
        <v>1</v>
      </c>
      <c r="C9358" s="7" t="s">
        <v>10</v>
      </c>
      <c r="D9358" s="7">
        <v>11206</v>
      </c>
      <c r="E9358" s="7" t="s">
        <v>28</v>
      </c>
      <c r="F9358" s="8" t="str">
        <f ca="1">IFERROR(__xludf.DUMMYFUNCTION("IF
(
C9359=""фізична особа""
,
VLOOKUP(D9359,IMPORTRANGE(""https://docs.google.com/spreadsheets/d/14Bd19lYaqBhU8_DElYkX7l4wRkHqqCUFNJY4AfY3kHU/edit?usp=sharing  #gid=0"",""фіз особи new!relations_name""),6,FALSE)
,
(IF
(
C9359=""юридична особа""
,
VLOOKUP"&amp;"(D9359,IMPORTRANGE(""https://docs.google.com/spreadsheets/d/14Bd19lYaqBhU8_DElYkX7l4wRkHqqCUFNJY4AfY3kHU/edit?usp=sharing  #gid=0"",""фіз особи new!relations_name_uo""),7,FALSE)
,
)
))"),"ДЕПРЕМ Віра Шамільївна")</f>
        <v>ДЕПРЕМ Віра Шамільївна</v>
      </c>
      <c r="G9358" s="7" t="s">
        <v>10</v>
      </c>
      <c r="H9358" s="7">
        <v>0</v>
      </c>
      <c r="I9358" s="8" t="str">
        <f ca="1">IFERROR(__xludf.DUMMYFUNCTION("IF
(
G9359=""фізична особа""
,
VLOOKUP(H9359,IMPORTRANGE(""https://docs.google.com/spreadsheets/d/14Bd19lYaqBhU8_DElYkX7l4wRkHqqCUFNJY4AfY3kHU/edit?usp=sharing  #gid=0"",""фіз особи new!relations_name""),6,FALSE)
,
(IF
(
G9359=""юридична особа""
,
VLOOKUP"&amp;"(H9359,IMPORTRANGE(""https://docs.google.com/spreadsheets/d/14Bd19lYaqBhU8_DElYkX7l4wRkHqqCUFNJY4AfY3kHU/edit?usp=sharing  #gid=0"",""фіз особи new!relations_name_uo""),7,FALSE)
,
)
))"),"#N/A")</f>
        <v>#N/A</v>
      </c>
      <c r="J9358" s="7" t="s">
        <v>29</v>
      </c>
    </row>
    <row r="9359" spans="1:10" ht="13.2">
      <c r="A9359" s="7">
        <v>9358</v>
      </c>
      <c r="B9359" s="7">
        <v>1</v>
      </c>
      <c r="C9359" s="7" t="s">
        <v>10</v>
      </c>
      <c r="D9359" s="7">
        <v>11207</v>
      </c>
      <c r="E9359" s="7" t="s">
        <v>28</v>
      </c>
      <c r="F9359" s="8" t="str">
        <f ca="1">IFERROR(__xludf.DUMMYFUNCTION("IF
(
C9360=""фізична особа""
,
VLOOKUP(D9360,IMPORTRANGE(""https://docs.google.com/spreadsheets/d/14Bd19lYaqBhU8_DElYkX7l4wRkHqqCUFNJY4AfY3kHU/edit?usp=sharing  #gid=0"",""фіз особи new!relations_name""),6,FALSE)
,
(IF
(
C9360=""юридична особа""
,
VLOOKUP"&amp;"(D9360,IMPORTRANGE(""https://docs.google.com/spreadsheets/d/14Bd19lYaqBhU8_DElYkX7l4wRkHqqCUFNJY4AfY3kHU/edit?usp=sharing  #gid=0"",""фіз особи new!relations_name_uo""),7,FALSE)
,
)
))"),"АПСАЛЯМОВ Газінур Хазійович")</f>
        <v>АПСАЛЯМОВ Газінур Хазійович</v>
      </c>
      <c r="G9359" s="7" t="s">
        <v>10</v>
      </c>
      <c r="H9359" s="7">
        <v>3087</v>
      </c>
      <c r="I9359" s="8" t="str">
        <f ca="1">IFERROR(__xludf.DUMMYFUNCTION("IF
(
G9360=""фізична особа""
,
VLOOKUP(H9360,IMPORTRANGE(""https://docs.google.com/spreadsheets/d/14Bd19lYaqBhU8_DElYkX7l4wRkHqqCUFNJY4AfY3kHU/edit?usp=sharing  #gid=0"",""фіз особи new!relations_name""),6,FALSE)
,
(IF
(
G9360=""юридична особа""
,
VLOOKUP"&amp;"(H9360,IMPORTRANGE(""https://docs.google.com/spreadsheets/d/14Bd19lYaqBhU8_DElYkX7l4wRkHqqCUFNJY4AfY3kHU/edit?usp=sharing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59" s="7" t="s">
        <v>29</v>
      </c>
    </row>
    <row r="9360" spans="1:10" ht="13.2">
      <c r="A9360" s="7">
        <v>9359</v>
      </c>
      <c r="B9360" s="7">
        <v>1</v>
      </c>
      <c r="C9360" s="7" t="s">
        <v>10</v>
      </c>
      <c r="D9360" s="7">
        <v>11207</v>
      </c>
      <c r="E9360" s="7" t="s">
        <v>28</v>
      </c>
      <c r="F9360" s="8" t="str">
        <f ca="1">IFERROR(__xludf.DUMMYFUNCTION("IF
(
C9361=""фізична особа""
,
VLOOKUP(D9361,IMPORTRANGE(""https://docs.google.com/spreadsheets/d/14Bd19lYaqBhU8_DElYkX7l4wRkHqqCUFNJY4AfY3kHU/edit?usp=sharing  #gid=0"",""фіз особи new!relations_name""),6,FALSE)
,
(IF
(
C9361=""юридична особа""
,
VLOOKUP"&amp;"(D9361,IMPORTRANGE(""https://docs.google.com/spreadsheets/d/14Bd19lYaqBhU8_DElYkX7l4wRkHqqCUFNJY4AfY3kHU/edit?usp=sharing  #gid=0"",""фіз особи new!relations_name_uo""),7,FALSE)
,
)
))"),"АПСАЛЯМОВ Газінур Хазійович")</f>
        <v>АПСАЛЯМОВ Газінур Хазійович</v>
      </c>
      <c r="G9360" s="7" t="s">
        <v>10</v>
      </c>
      <c r="H9360" s="7">
        <v>10206</v>
      </c>
      <c r="I9360" s="8" t="str">
        <f ca="1">IFERROR(__xludf.DUMMYFUNCTION("IF
(
G9361=""фізична особа""
,
VLOOKUP(H9361,IMPORTRANGE(""https://docs.google.com/spreadsheets/d/14Bd19lYaqBhU8_DElYkX7l4wRkHqqCUFNJY4AfY3kHU/edit?usp=sharing  #gid=0"",""фіз особи new!relations_name""),6,FALSE)
,
(IF
(
G9361=""юридична особа""
,
VLOOKUP"&amp;"(H9361,IMPORTRANGE(""https://docs.google.com/spreadsheets/d/14Bd19lYaqBhU8_DElYkX7l4wRkHqqCUFNJY4AfY3kHU/edit?usp=sharing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60" s="7" t="s">
        <v>29</v>
      </c>
    </row>
    <row r="9361" spans="1:10" ht="13.2">
      <c r="A9361" s="7">
        <v>9360</v>
      </c>
      <c r="B9361" s="7">
        <v>1</v>
      </c>
      <c r="C9361" s="7" t="s">
        <v>10</v>
      </c>
      <c r="D9361" s="7">
        <v>11208</v>
      </c>
      <c r="E9361" s="7" t="s">
        <v>28</v>
      </c>
      <c r="F9361" s="8" t="str">
        <f ca="1">IFERROR(__xludf.DUMMYFUNCTION("IF
(
C9362=""фізична особа""
,
VLOOKUP(D9362,IMPORTRANGE(""https://docs.google.com/spreadsheets/d/14Bd19lYaqBhU8_DElYkX7l4wRkHqqCUFNJY4AfY3kHU/edit?usp=sharing  #gid=0"",""фіз особи new!relations_name""),6,FALSE)
,
(IF
(
C9362=""юридична особа""
,
VLOOKUP"&amp;"(D9362,IMPORTRANGE(""https://docs.google.com/spreadsheets/d/14Bd19lYaqBhU8_DElYkX7l4wRkHqqCUFNJY4AfY3kHU/edit?usp=sharing  #gid=0"",""фіз особи new!relations_name_uo""),7,FALSE)
,
)
))"),"КУШТОВ Магомед Русланович")</f>
        <v>КУШТОВ Магомед Русланович</v>
      </c>
      <c r="G9361" s="7" t="s">
        <v>10</v>
      </c>
      <c r="H9361" s="7">
        <v>3087</v>
      </c>
      <c r="I9361" s="8" t="str">
        <f ca="1">IFERROR(__xludf.DUMMYFUNCTION("IF
(
G9362=""фізична особа""
,
VLOOKUP(H9362,IMPORTRANGE(""https://docs.google.com/spreadsheets/d/14Bd19lYaqBhU8_DElYkX7l4wRkHqqCUFNJY4AfY3kHU/edit?usp=sharing  #gid=0"",""фіз особи new!relations_name""),6,FALSE)
,
(IF
(
G9362=""юридична особа""
,
VLOOKUP"&amp;"(H9362,IMPORTRANGE(""https://docs.google.com/spreadsheets/d/14Bd19lYaqBhU8_DElYkX7l4wRkHqqCUFNJY4AfY3kHU/edit?usp=sharing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61" s="7" t="s">
        <v>29</v>
      </c>
    </row>
    <row r="9362" spans="1:10" ht="13.2">
      <c r="A9362" s="7">
        <v>9361</v>
      </c>
      <c r="B9362" s="7">
        <v>1</v>
      </c>
      <c r="C9362" s="7" t="s">
        <v>10</v>
      </c>
      <c r="D9362" s="7">
        <v>11208</v>
      </c>
      <c r="E9362" s="7" t="s">
        <v>28</v>
      </c>
      <c r="F9362" s="8" t="str">
        <f ca="1">IFERROR(__xludf.DUMMYFUNCTION("IF
(
C9363=""фізична особа""
,
VLOOKUP(D9363,IMPORTRANGE(""https://docs.google.com/spreadsheets/d/14Bd19lYaqBhU8_DElYkX7l4wRkHqqCUFNJY4AfY3kHU/edit?usp=sharing  #gid=0"",""фіз особи new!relations_name""),6,FALSE)
,
(IF
(
C9363=""юридична особа""
,
VLOOKUP"&amp;"(D9363,IMPORTRANGE(""https://docs.google.com/spreadsheets/d/14Bd19lYaqBhU8_DElYkX7l4wRkHqqCUFNJY4AfY3kHU/edit?usp=sharing  #gid=0"",""фіз особи new!relations_name_uo""),7,FALSE)
,
)
))"),"КУШТОВ Магомед Русланович")</f>
        <v>КУШТОВ Магомед Русланович</v>
      </c>
      <c r="G9362" s="7" t="s">
        <v>10</v>
      </c>
      <c r="H9362" s="7">
        <v>10206</v>
      </c>
      <c r="I9362" s="8" t="str">
        <f ca="1">IFERROR(__xludf.DUMMYFUNCTION("IF
(
G9363=""фізична особа""
,
VLOOKUP(H9363,IMPORTRANGE(""https://docs.google.com/spreadsheets/d/14Bd19lYaqBhU8_DElYkX7l4wRkHqqCUFNJY4AfY3kHU/edit?usp=sharing  #gid=0"",""фіз особи new!relations_name""),6,FALSE)
,
(IF
(
G9363=""юридична особа""
,
VLOOKUP"&amp;"(H9363,IMPORTRANGE(""https://docs.google.com/spreadsheets/d/14Bd19lYaqBhU8_DElYkX7l4wRkHqqCUFNJY4AfY3kHU/edit?usp=sharing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62" s="7" t="s">
        <v>29</v>
      </c>
    </row>
    <row r="9363" spans="1:10" ht="13.2">
      <c r="A9363" s="7">
        <v>9362</v>
      </c>
      <c r="B9363" s="7">
        <v>1</v>
      </c>
      <c r="C9363" s="7" t="s">
        <v>10</v>
      </c>
      <c r="D9363" s="7">
        <v>11209</v>
      </c>
      <c r="E9363" s="7" t="s">
        <v>28</v>
      </c>
      <c r="F9363" s="8" t="str">
        <f ca="1">IFERROR(__xludf.DUMMYFUNCTION("IF
(
C9364=""фізична особа""
,
VLOOKUP(D9364,IMPORTRANGE(""https://docs.google.com/spreadsheets/d/14Bd19lYaqBhU8_DElYkX7l4wRkHqqCUFNJY4AfY3kHU/edit?usp=sharing  #gid=0"",""фіз особи new!relations_name""),6,FALSE)
,
(IF
(
C9364=""юридична особа""
,
VLOOKUP"&amp;"(D9364,IMPORTRANGE(""https://docs.google.com/spreadsheets/d/14Bd19lYaqBhU8_DElYkX7l4wRkHqqCUFNJY4AfY3kHU/edit?usp=sharing  #gid=0"",""фіз особи new!relations_name_uo""),7,FALSE)
,
)
))"),"ГУБАЧИКОВ Аслан Юрійович")</f>
        <v>ГУБАЧИКОВ Аслан Юрійович</v>
      </c>
      <c r="G9363" s="7" t="s">
        <v>10</v>
      </c>
      <c r="H9363" s="7">
        <v>3087</v>
      </c>
      <c r="I9363" s="8" t="str">
        <f ca="1">IFERROR(__xludf.DUMMYFUNCTION("IF
(
G9364=""фізична особа""
,
VLOOKUP(H9364,IMPORTRANGE(""https://docs.google.com/spreadsheets/d/14Bd19lYaqBhU8_DElYkX7l4wRkHqqCUFNJY4AfY3kHU/edit?usp=sharing  #gid=0"",""фіз особи new!relations_name""),6,FALSE)
,
(IF
(
G9364=""юридична особа""
,
VLOOKUP"&amp;"(H9364,IMPORTRANGE(""https://docs.google.com/spreadsheets/d/14Bd19lYaqBhU8_DElYkX7l4wRkHqqCUFNJY4AfY3kHU/edit?usp=sharing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63" s="7" t="s">
        <v>29</v>
      </c>
    </row>
    <row r="9364" spans="1:10" ht="13.2">
      <c r="A9364" s="7">
        <v>9363</v>
      </c>
      <c r="B9364" s="7">
        <v>1</v>
      </c>
      <c r="C9364" s="7" t="s">
        <v>10</v>
      </c>
      <c r="D9364" s="7">
        <v>11209</v>
      </c>
      <c r="E9364" s="7" t="s">
        <v>28</v>
      </c>
      <c r="F9364" s="8" t="str">
        <f ca="1">IFERROR(__xludf.DUMMYFUNCTION("IF
(
C9365=""фізична особа""
,
VLOOKUP(D9365,IMPORTRANGE(""https://docs.google.com/spreadsheets/d/14Bd19lYaqBhU8_DElYkX7l4wRkHqqCUFNJY4AfY3kHU/edit?usp=sharing  #gid=0"",""фіз особи new!relations_name""),6,FALSE)
,
(IF
(
C9365=""юридична особа""
,
VLOOKUP"&amp;"(D9365,IMPORTRANGE(""https://docs.google.com/spreadsheets/d/14Bd19lYaqBhU8_DElYkX7l4wRkHqqCUFNJY4AfY3kHU/edit?usp=sharing  #gid=0"",""фіз особи new!relations_name_uo""),7,FALSE)
,
)
))"),"ГУБАЧИКОВ Аслан Юрійович")</f>
        <v>ГУБАЧИКОВ Аслан Юрійович</v>
      </c>
      <c r="G9364" s="7" t="s">
        <v>10</v>
      </c>
      <c r="H9364" s="7">
        <v>10206</v>
      </c>
      <c r="I9364" s="8" t="str">
        <f ca="1">IFERROR(__xludf.DUMMYFUNCTION("IF
(
G9365=""фізична особа""
,
VLOOKUP(H9365,IMPORTRANGE(""https://docs.google.com/spreadsheets/d/14Bd19lYaqBhU8_DElYkX7l4wRkHqqCUFNJY4AfY3kHU/edit?usp=sharing  #gid=0"",""фіз особи new!relations_name""),6,FALSE)
,
(IF
(
G9365=""юридична особа""
,
VLOOKUP"&amp;"(H9365,IMPORTRANGE(""https://docs.google.com/spreadsheets/d/14Bd19lYaqBhU8_DElYkX7l4wRkHqqCUFNJY4AfY3kHU/edit?usp=sharing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64" s="7" t="s">
        <v>29</v>
      </c>
    </row>
    <row r="9365" spans="1:10" ht="13.2">
      <c r="A9365" s="7">
        <v>9364</v>
      </c>
      <c r="B9365" s="7">
        <v>1</v>
      </c>
      <c r="C9365" s="7" t="s">
        <v>10</v>
      </c>
      <c r="D9365" s="7">
        <v>11210</v>
      </c>
      <c r="E9365" s="7" t="s">
        <v>28</v>
      </c>
      <c r="F9365" s="8" t="str">
        <f ca="1">IFERROR(__xludf.DUMMYFUNCTION("IF
(
C9366=""фізична особа""
,
VLOOKUP(D9366,IMPORTRANGE(""https://docs.google.com/spreadsheets/d/14Bd19lYaqBhU8_DElYkX7l4wRkHqqCUFNJY4AfY3kHU/edit?usp=sharing  #gid=0"",""фіз особи new!relations_name""),6,FALSE)
,
(IF
(
C9366=""юридична особа""
,
VLOOKUP"&amp;"(D9366,IMPORTRANGE(""https://docs.google.com/spreadsheets/d/14Bd19lYaqBhU8_DElYkX7l4wRkHqqCUFNJY4AfY3kHU/edit?usp=sharing  #gid=0"",""фіз особи new!relations_name_uo""),7,FALSE)
,
)
))"),"НІРОВ Хазрет Дантесович")</f>
        <v>НІРОВ Хазрет Дантесович</v>
      </c>
      <c r="G9365" s="7" t="s">
        <v>10</v>
      </c>
      <c r="H9365" s="7">
        <v>3087</v>
      </c>
      <c r="I9365" s="8" t="str">
        <f ca="1">IFERROR(__xludf.DUMMYFUNCTION("IF
(
G9366=""фізична особа""
,
VLOOKUP(H9366,IMPORTRANGE(""https://docs.google.com/spreadsheets/d/14Bd19lYaqBhU8_DElYkX7l4wRkHqqCUFNJY4AfY3kHU/edit?usp=sharing  #gid=0"",""фіз особи new!relations_name""),6,FALSE)
,
(IF
(
G9366=""юридична особа""
,
VLOOKUP"&amp;"(H9366,IMPORTRANGE(""https://docs.google.com/spreadsheets/d/14Bd19lYaqBhU8_DElYkX7l4wRkHqqCUFNJY4AfY3kHU/edit?usp=sharing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65" s="7" t="s">
        <v>29</v>
      </c>
    </row>
    <row r="9366" spans="1:10" ht="13.2">
      <c r="A9366" s="7">
        <v>9365</v>
      </c>
      <c r="B9366" s="7">
        <v>1</v>
      </c>
      <c r="C9366" s="7" t="s">
        <v>10</v>
      </c>
      <c r="D9366" s="7">
        <v>11210</v>
      </c>
      <c r="E9366" s="7" t="s">
        <v>28</v>
      </c>
      <c r="F9366" s="8" t="str">
        <f ca="1">IFERROR(__xludf.DUMMYFUNCTION("IF
(
C9367=""фізична особа""
,
VLOOKUP(D9367,IMPORTRANGE(""https://docs.google.com/spreadsheets/d/14Bd19lYaqBhU8_DElYkX7l4wRkHqqCUFNJY4AfY3kHU/edit?usp=sharing  #gid=0"",""фіз особи new!relations_name""),6,FALSE)
,
(IF
(
C9367=""юридична особа""
,
VLOOKUP"&amp;"(D9367,IMPORTRANGE(""https://docs.google.com/spreadsheets/d/14Bd19lYaqBhU8_DElYkX7l4wRkHqqCUFNJY4AfY3kHU/edit?usp=sharing  #gid=0"",""фіз особи new!relations_name_uo""),7,FALSE)
,
)
))"),"НІРОВ Хазрет Дантесович")</f>
        <v>НІРОВ Хазрет Дантесович</v>
      </c>
      <c r="G9366" s="7" t="s">
        <v>10</v>
      </c>
      <c r="H9366" s="7">
        <v>10206</v>
      </c>
      <c r="I9366" s="8" t="str">
        <f ca="1">IFERROR(__xludf.DUMMYFUNCTION("IF
(
G9367=""фізична особа""
,
VLOOKUP(H9367,IMPORTRANGE(""https://docs.google.com/spreadsheets/d/14Bd19lYaqBhU8_DElYkX7l4wRkHqqCUFNJY4AfY3kHU/edit?usp=sharing  #gid=0"",""фіз особи new!relations_name""),6,FALSE)
,
(IF
(
G9367=""юридична особа""
,
VLOOKUP"&amp;"(H9367,IMPORTRANGE(""https://docs.google.com/spreadsheets/d/14Bd19lYaqBhU8_DElYkX7l4wRkHqqCUFNJY4AfY3kHU/edit?usp=sharing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66" s="7" t="s">
        <v>29</v>
      </c>
    </row>
    <row r="9367" spans="1:10" ht="13.2">
      <c r="A9367" s="7">
        <v>9366</v>
      </c>
      <c r="B9367" s="7">
        <v>1</v>
      </c>
      <c r="C9367" s="7" t="s">
        <v>10</v>
      </c>
      <c r="D9367" s="7">
        <v>11211</v>
      </c>
      <c r="E9367" s="7" t="s">
        <v>28</v>
      </c>
      <c r="F9367" s="8" t="str">
        <f ca="1">IFERROR(__xludf.DUMMYFUNCTION("IF
(
C9368=""фізична особа""
,
VLOOKUP(D9368,IMPORTRANGE(""https://docs.google.com/spreadsheets/d/14Bd19lYaqBhU8_DElYkX7l4wRkHqqCUFNJY4AfY3kHU/edit?usp=sharing  #gid=0"",""фіз особи new!relations_name""),6,FALSE)
,
(IF
(
C9368=""юридична особа""
,
VLOOKUP"&amp;"(D9368,IMPORTRANGE(""https://docs.google.com/spreadsheets/d/14Bd19lYaqBhU8_DElYkX7l4wRkHqqCUFNJY4AfY3kHU/edit?usp=sharing  #gid=0"",""фіз особи new!relations_name_uo""),7,FALSE)
,
)
))"),"ОСМАЄВ Муслім Ібрагімович")</f>
        <v>ОСМАЄВ Муслім Ібрагімович</v>
      </c>
      <c r="G9367" s="7" t="s">
        <v>10</v>
      </c>
      <c r="H9367" s="7">
        <v>3087</v>
      </c>
      <c r="I9367" s="8" t="str">
        <f ca="1">IFERROR(__xludf.DUMMYFUNCTION("IF
(
G9368=""фізична особа""
,
VLOOKUP(H9368,IMPORTRANGE(""https://docs.google.com/spreadsheets/d/14Bd19lYaqBhU8_DElYkX7l4wRkHqqCUFNJY4AfY3kHU/edit?usp=sharing  #gid=0"",""фіз особи new!relations_name""),6,FALSE)
,
(IF
(
G9368=""юридична особа""
,
VLOOKUP"&amp;"(H9368,IMPORTRANGE(""https://docs.google.com/spreadsheets/d/14Bd19lYaqBhU8_DElYkX7l4wRkHqqCUFNJY4AfY3kHU/edit?usp=sharing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67" s="7" t="s">
        <v>29</v>
      </c>
    </row>
    <row r="9368" spans="1:10" ht="13.2">
      <c r="A9368" s="7">
        <v>9367</v>
      </c>
      <c r="B9368" s="7">
        <v>1</v>
      </c>
      <c r="C9368" s="7" t="s">
        <v>10</v>
      </c>
      <c r="D9368" s="7">
        <v>11211</v>
      </c>
      <c r="E9368" s="7" t="s">
        <v>28</v>
      </c>
      <c r="F9368" s="8" t="str">
        <f ca="1">IFERROR(__xludf.DUMMYFUNCTION("IF
(
C9369=""фізична особа""
,
VLOOKUP(D9369,IMPORTRANGE(""https://docs.google.com/spreadsheets/d/14Bd19lYaqBhU8_DElYkX7l4wRkHqqCUFNJY4AfY3kHU/edit?usp=sharing  #gid=0"",""фіз особи new!relations_name""),6,FALSE)
,
(IF
(
C9369=""юридична особа""
,
VLOOKUP"&amp;"(D9369,IMPORTRANGE(""https://docs.google.com/spreadsheets/d/14Bd19lYaqBhU8_DElYkX7l4wRkHqqCUFNJY4AfY3kHU/edit?usp=sharing  #gid=0"",""фіз особи new!relations_name_uo""),7,FALSE)
,
)
))"),"ОСМАЄВ Муслім Ібрагімович")</f>
        <v>ОСМАЄВ Муслім Ібрагімович</v>
      </c>
      <c r="G9368" s="7" t="s">
        <v>10</v>
      </c>
      <c r="H9368" s="7">
        <v>10206</v>
      </c>
      <c r="I9368" s="8" t="str">
        <f ca="1">IFERROR(__xludf.DUMMYFUNCTION("IF
(
G9369=""фізична особа""
,
VLOOKUP(H9369,IMPORTRANGE(""https://docs.google.com/spreadsheets/d/14Bd19lYaqBhU8_DElYkX7l4wRkHqqCUFNJY4AfY3kHU/edit?usp=sharing  #gid=0"",""фіз особи new!relations_name""),6,FALSE)
,
(IF
(
G9369=""юридична особа""
,
VLOOKUP"&amp;"(H9369,IMPORTRANGE(""https://docs.google.com/spreadsheets/d/14Bd19lYaqBhU8_DElYkX7l4wRkHqqCUFNJY4AfY3kHU/edit?usp=sharing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68" s="7" t="s">
        <v>29</v>
      </c>
    </row>
    <row r="9369" spans="1:10" ht="13.2">
      <c r="A9369" s="7">
        <v>9368</v>
      </c>
      <c r="B9369" s="7">
        <v>1</v>
      </c>
      <c r="C9369" s="7" t="s">
        <v>10</v>
      </c>
      <c r="D9369" s="7">
        <v>11212</v>
      </c>
      <c r="E9369" s="7" t="s">
        <v>28</v>
      </c>
      <c r="F9369" s="8" t="str">
        <f ca="1">IFERROR(__xludf.DUMMYFUNCTION("IF
(
C9370=""фізична особа""
,
VLOOKUP(D9370,IMPORTRANGE(""https://docs.google.com/spreadsheets/d/14Bd19lYaqBhU8_DElYkX7l4wRkHqqCUFNJY4AfY3kHU/edit?usp=sharing  #gid=0"",""фіз особи new!relations_name""),6,FALSE)
,
(IF
(
C9370=""юридична особа""
,
VLOOKUP"&amp;"(D9370,IMPORTRANGE(""https://docs.google.com/spreadsheets/d/14Bd19lYaqBhU8_DElYkX7l4wRkHqqCUFNJY4AfY3kHU/edit?usp=sharing  #gid=0"",""фіз особи new!relations_name_uo""),7,FALSE)
,
)
))"),"АФОНІНА Олена Олексіївна")</f>
        <v>АФОНІНА Олена Олексіївна</v>
      </c>
      <c r="G9369" s="7" t="s">
        <v>10</v>
      </c>
      <c r="H9369" s="7">
        <v>3087</v>
      </c>
      <c r="I9369" s="8" t="str">
        <f ca="1">IFERROR(__xludf.DUMMYFUNCTION("IF
(
G9370=""фізична особа""
,
VLOOKUP(H9370,IMPORTRANGE(""https://docs.google.com/spreadsheets/d/14Bd19lYaqBhU8_DElYkX7l4wRkHqqCUFNJY4AfY3kHU/edit?usp=sharing  #gid=0"",""фіз особи new!relations_name""),6,FALSE)
,
(IF
(
G9370=""юридична особа""
,
VLOOKUP"&amp;"(H9370,IMPORTRANGE(""https://docs.google.com/spreadsheets/d/14Bd19lYaqBhU8_DElYkX7l4wRkHqqCUFNJY4AfY3kHU/edit?usp=sharing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69" s="7" t="s">
        <v>29</v>
      </c>
    </row>
    <row r="9370" spans="1:10" ht="13.2">
      <c r="A9370" s="7">
        <v>9369</v>
      </c>
      <c r="B9370" s="7">
        <v>1</v>
      </c>
      <c r="C9370" s="7" t="s">
        <v>10</v>
      </c>
      <c r="D9370" s="7">
        <v>11212</v>
      </c>
      <c r="E9370" s="7" t="s">
        <v>28</v>
      </c>
      <c r="F9370" s="8" t="str">
        <f ca="1">IFERROR(__xludf.DUMMYFUNCTION("IF
(
C9371=""фізична особа""
,
VLOOKUP(D9371,IMPORTRANGE(""https://docs.google.com/spreadsheets/d/14Bd19lYaqBhU8_DElYkX7l4wRkHqqCUFNJY4AfY3kHU/edit?usp=sharing  #gid=0"",""фіз особи new!relations_name""),6,FALSE)
,
(IF
(
C9371=""юридична особа""
,
VLOOKUP"&amp;"(D9371,IMPORTRANGE(""https://docs.google.com/spreadsheets/d/14Bd19lYaqBhU8_DElYkX7l4wRkHqqCUFNJY4AfY3kHU/edit?usp=sharing  #gid=0"",""фіз особи new!relations_name_uo""),7,FALSE)
,
)
))"),"АФОНІНА Олена Олексіївна")</f>
        <v>АФОНІНА Олена Олексіївна</v>
      </c>
      <c r="G9370" s="7" t="s">
        <v>10</v>
      </c>
      <c r="H9370" s="7">
        <v>10206</v>
      </c>
      <c r="I9370" s="8" t="str">
        <f ca="1">IFERROR(__xludf.DUMMYFUNCTION("IF
(
G9371=""фізична особа""
,
VLOOKUP(H9371,IMPORTRANGE(""https://docs.google.com/spreadsheets/d/14Bd19lYaqBhU8_DElYkX7l4wRkHqqCUFNJY4AfY3kHU/edit?usp=sharing  #gid=0"",""фіз особи new!relations_name""),6,FALSE)
,
(IF
(
G9371=""юридична особа""
,
VLOOKUP"&amp;"(H9371,IMPORTRANGE(""https://docs.google.com/spreadsheets/d/14Bd19lYaqBhU8_DElYkX7l4wRkHqqCUFNJY4AfY3kHU/edit?usp=sharing  #gid=0"",""фіз особи new!relations_name_uo""),7,FALSE)
,
)
))"),"РАДЧЕНКО Володимир Михайлович")</f>
        <v>РАДЧЕНКО Володимир Михайлович</v>
      </c>
      <c r="J9370" s="7" t="s">
        <v>29</v>
      </c>
    </row>
    <row r="9371" spans="1:10" ht="13.2">
      <c r="A9371" s="7">
        <v>9370</v>
      </c>
      <c r="B9371" s="7">
        <v>1</v>
      </c>
      <c r="C9371" s="7" t="s">
        <v>10</v>
      </c>
      <c r="D9371" s="7">
        <v>11213</v>
      </c>
      <c r="E9371" s="7" t="s">
        <v>28</v>
      </c>
      <c r="F9371" s="8" t="str">
        <f ca="1">IFERROR(__xludf.DUMMYFUNCTION("IF
(
C9372=""фізична особа""
,
VLOOKUP(D9372,IMPORTRANGE(""https://docs.google.com/spreadsheets/d/14Bd19lYaqBhU8_DElYkX7l4wRkHqqCUFNJY4AfY3kHU/edit?usp=sharing  #gid=0"",""фіз особи new!relations_name""),6,FALSE)
,
(IF
(
C9372=""юридична особа""
,
VLOOKUP"&amp;"(D9372,IMPORTRANGE(""https://docs.google.com/spreadsheets/d/14Bd19lYaqBhU8_DElYkX7l4wRkHqqCUFNJY4AfY3kHU/edit?usp=sharing  #gid=0"",""фіз особи new!relations_name_uo""),7,FALSE)
,
)
))"),"РУМЯНЦЕВА Олена Анатоліївна")</f>
        <v>РУМЯНЦЕВА Олена Анатоліївна</v>
      </c>
      <c r="G9371" s="7" t="s">
        <v>10</v>
      </c>
      <c r="H9371" s="7">
        <v>3042</v>
      </c>
      <c r="I9371" s="8" t="str">
        <f ca="1">IFERROR(__xludf.DUMMYFUNCTION("IF
(
G9372=""фізична особа""
,
VLOOKUP(H9372,IMPORTRANGE(""https://docs.google.com/spreadsheets/d/14Bd19lYaqBhU8_DElYkX7l4wRkHqqCUFNJY4AfY3kHU/edit?usp=sharing  #gid=0"",""фіз особи new!relations_name""),6,FALSE)
,
(IF
(
G9372=""юридична особа""
,
VLOOKUP"&amp;"(H9372,IMPORTRANGE(""https://docs.google.com/spreadsheets/d/14Bd19lYaqBhU8_DElYkX7l4wRkHqqCUFNJY4AfY3kHU/edit?usp=sharing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71" s="7" t="s">
        <v>29</v>
      </c>
    </row>
    <row r="9372" spans="1:10" ht="13.2">
      <c r="A9372" s="7">
        <v>9371</v>
      </c>
      <c r="B9372" s="7">
        <v>1</v>
      </c>
      <c r="C9372" s="7" t="s">
        <v>10</v>
      </c>
      <c r="D9372" s="7">
        <v>11214</v>
      </c>
      <c r="E9372" s="7" t="s">
        <v>28</v>
      </c>
      <c r="F9372" s="8" t="str">
        <f ca="1">IFERROR(__xludf.DUMMYFUNCTION("IF
(
C9373=""фізична особа""
,
VLOOKUP(D9373,IMPORTRANGE(""https://docs.google.com/spreadsheets/d/14Bd19lYaqBhU8_DElYkX7l4wRkHqqCUFNJY4AfY3kHU/edit?usp=sharing  #gid=0"",""фіз особи new!relations_name""),6,FALSE)
,
(IF
(
C9373=""юридична особа""
,
VLOOKUP"&amp;"(D9373,IMPORTRANGE(""https://docs.google.com/spreadsheets/d/14Bd19lYaqBhU8_DElYkX7l4wRkHqqCUFNJY4AfY3kHU/edit?usp=sharing  #gid=0"",""фіз особи new!relations_name_uo""),7,FALSE)
,
)
))"),"АНДРІЯШИНА Наталія Вадимівна")</f>
        <v>АНДРІЯШИНА Наталія Вадимівна</v>
      </c>
      <c r="G9372" s="7" t="s">
        <v>10</v>
      </c>
      <c r="H9372" s="7">
        <v>3042</v>
      </c>
      <c r="I9372" s="8" t="str">
        <f ca="1">IFERROR(__xludf.DUMMYFUNCTION("IF
(
G9373=""фізична особа""
,
VLOOKUP(H9373,IMPORTRANGE(""https://docs.google.com/spreadsheets/d/14Bd19lYaqBhU8_DElYkX7l4wRkHqqCUFNJY4AfY3kHU/edit?usp=sharing  #gid=0"",""фіз особи new!relations_name""),6,FALSE)
,
(IF
(
G9373=""юридична особа""
,
VLOOKUP"&amp;"(H9373,IMPORTRANGE(""https://docs.google.com/spreadsheets/d/14Bd19lYaqBhU8_DElYkX7l4wRkHqqCUFNJY4AfY3kHU/edit?usp=sharing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72" s="7" t="s">
        <v>29</v>
      </c>
    </row>
    <row r="9373" spans="1:10" ht="13.2">
      <c r="A9373" s="7">
        <v>9372</v>
      </c>
      <c r="B9373" s="7">
        <v>1</v>
      </c>
      <c r="C9373" s="7" t="s">
        <v>10</v>
      </c>
      <c r="D9373" s="7">
        <v>11215</v>
      </c>
      <c r="E9373" s="7" t="s">
        <v>28</v>
      </c>
      <c r="F9373" s="8" t="str">
        <f ca="1">IFERROR(__xludf.DUMMYFUNCTION("IF
(
C9374=""фізична особа""
,
VLOOKUP(D9374,IMPORTRANGE(""https://docs.google.com/spreadsheets/d/14Bd19lYaqBhU8_DElYkX7l4wRkHqqCUFNJY4AfY3kHU/edit?usp=sharing  #gid=0"",""фіз особи new!relations_name""),6,FALSE)
,
(IF
(
C9374=""юридична особа""
,
VLOOKUP"&amp;"(D9374,IMPORTRANGE(""https://docs.google.com/spreadsheets/d/14Bd19lYaqBhU8_DElYkX7l4wRkHqqCUFNJY4AfY3kHU/edit?usp=sharing  #gid=0"",""фіз особи new!relations_name_uo""),7,FALSE)
,
)
))"),"ТОМІЛОВА Анастасія Аліківна")</f>
        <v>ТОМІЛОВА Анастасія Аліківна</v>
      </c>
      <c r="G9373" s="7" t="s">
        <v>10</v>
      </c>
      <c r="H9373" s="7">
        <v>3042</v>
      </c>
      <c r="I9373" s="8" t="str">
        <f ca="1">IFERROR(__xludf.DUMMYFUNCTION("IF
(
G9374=""фізична особа""
,
VLOOKUP(H9374,IMPORTRANGE(""https://docs.google.com/spreadsheets/d/14Bd19lYaqBhU8_DElYkX7l4wRkHqqCUFNJY4AfY3kHU/edit?usp=sharing  #gid=0"",""фіз особи new!relations_name""),6,FALSE)
,
(IF
(
G9374=""юридична особа""
,
VLOOKUP"&amp;"(H9374,IMPORTRANGE(""https://docs.google.com/spreadsheets/d/14Bd19lYaqBhU8_DElYkX7l4wRkHqqCUFNJY4AfY3kHU/edit?usp=sharing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73" s="7" t="s">
        <v>29</v>
      </c>
    </row>
    <row r="9374" spans="1:10" ht="13.2">
      <c r="A9374" s="7">
        <v>9373</v>
      </c>
      <c r="B9374" s="7">
        <v>1</v>
      </c>
      <c r="C9374" s="7" t="s">
        <v>10</v>
      </c>
      <c r="D9374" s="7">
        <v>11216</v>
      </c>
      <c r="E9374" s="7" t="s">
        <v>28</v>
      </c>
      <c r="F9374" s="8" t="str">
        <f ca="1">IFERROR(__xludf.DUMMYFUNCTION("IF
(
C9375=""фізична особа""
,
VLOOKUP(D9375,IMPORTRANGE(""https://docs.google.com/spreadsheets/d/14Bd19lYaqBhU8_DElYkX7l4wRkHqqCUFNJY4AfY3kHU/edit?usp=sharing  #gid=0"",""фіз особи new!relations_name""),6,FALSE)
,
(IF
(
C9375=""юридична особа""
,
VLOOKUP"&amp;"(D9375,IMPORTRANGE(""https://docs.google.com/spreadsheets/d/14Bd19lYaqBhU8_DElYkX7l4wRkHqqCUFNJY4AfY3kHU/edit?usp=sharing  #gid=0"",""фіз особи new!relations_name_uo""),7,FALSE)
,
)
))"),"ШАЙХУТДІНОВА Любов Миколаївна")</f>
        <v>ШАЙХУТДІНОВА Любов Миколаївна</v>
      </c>
      <c r="G9374" s="7" t="s">
        <v>10</v>
      </c>
      <c r="H9374" s="7">
        <v>3082</v>
      </c>
      <c r="I9374" s="8" t="str">
        <f ca="1">IFERROR(__xludf.DUMMYFUNCTION("IF
(
G9375=""фізична особа""
,
VLOOKUP(H9375,IMPORTRANGE(""https://docs.google.com/spreadsheets/d/14Bd19lYaqBhU8_DElYkX7l4wRkHqqCUFNJY4AfY3kHU/edit?usp=sharing  #gid=0"",""фіз особи new!relations_name""),6,FALSE)
,
(IF
(
G9375=""юридична особа""
,
VLOOKUP"&amp;"(H9375,IMPORTRANGE(""https://docs.google.com/spreadsheets/d/14Bd19lYaqBhU8_DElYkX7l4wRkHqqCUFNJY4AfY3kHU/edit?usp=sharing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74" s="7" t="s">
        <v>29</v>
      </c>
    </row>
    <row r="9375" spans="1:10" ht="13.2">
      <c r="A9375" s="7">
        <v>9374</v>
      </c>
      <c r="B9375" s="7">
        <v>1</v>
      </c>
      <c r="C9375" s="7" t="s">
        <v>10</v>
      </c>
      <c r="D9375" s="7">
        <v>11217</v>
      </c>
      <c r="E9375" s="7" t="s">
        <v>28</v>
      </c>
      <c r="F9375" s="8" t="str">
        <f ca="1">IFERROR(__xludf.DUMMYFUNCTION("IF
(
C9376=""фізична особа""
,
VLOOKUP(D9376,IMPORTRANGE(""https://docs.google.com/spreadsheets/d/14Bd19lYaqBhU8_DElYkX7l4wRkHqqCUFNJY4AfY3kHU/edit?usp=sharing  #gid=0"",""фіз особи new!relations_name""),6,FALSE)
,
(IF
(
C9376=""юридична особа""
,
VLOOKUP"&amp;"(D9376,IMPORTRANGE(""https://docs.google.com/spreadsheets/d/14Bd19lYaqBhU8_DElYkX7l4wRkHqqCUFNJY4AfY3kHU/edit?usp=sharing  #gid=0"",""фіз особи new!relations_name_uo""),7,FALSE)
,
)
))"),"МАЛАФЄЄВА Ірина Борисівна")</f>
        <v>МАЛАФЄЄВА Ірина Борисівна</v>
      </c>
      <c r="G9375" s="7" t="s">
        <v>10</v>
      </c>
      <c r="H9375" s="7">
        <v>3082</v>
      </c>
      <c r="I9375" s="8" t="str">
        <f ca="1">IFERROR(__xludf.DUMMYFUNCTION("IF
(
G9376=""фізична особа""
,
VLOOKUP(H9376,IMPORTRANGE(""https://docs.google.com/spreadsheets/d/14Bd19lYaqBhU8_DElYkX7l4wRkHqqCUFNJY4AfY3kHU/edit?usp=sharing  #gid=0"",""фіз особи new!relations_name""),6,FALSE)
,
(IF
(
G9376=""юридична особа""
,
VLOOKUP"&amp;"(H9376,IMPORTRANGE(""https://docs.google.com/spreadsheets/d/14Bd19lYaqBhU8_DElYkX7l4wRkHqqCUFNJY4AfY3kHU/edit?usp=sharing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75" s="7" t="s">
        <v>29</v>
      </c>
    </row>
    <row r="9376" spans="1:10" ht="13.2">
      <c r="A9376" s="7">
        <v>9375</v>
      </c>
      <c r="B9376" s="7">
        <v>1</v>
      </c>
      <c r="C9376" s="7" t="s">
        <v>10</v>
      </c>
      <c r="D9376" s="7">
        <v>11218</v>
      </c>
      <c r="E9376" s="7" t="s">
        <v>28</v>
      </c>
      <c r="F9376" s="8" t="str">
        <f ca="1">IFERROR(__xludf.DUMMYFUNCTION("IF
(
C9377=""фізична особа""
,
VLOOKUP(D9377,IMPORTRANGE(""https://docs.google.com/spreadsheets/d/14Bd19lYaqBhU8_DElYkX7l4wRkHqqCUFNJY4AfY3kHU/edit?usp=sharing  #gid=0"",""фіз особи new!relations_name""),6,FALSE)
,
(IF
(
C9377=""юридична особа""
,
VLOOKUP"&amp;"(D9377,IMPORTRANGE(""https://docs.google.com/spreadsheets/d/14Bd19lYaqBhU8_DElYkX7l4wRkHqqCUFNJY4AfY3kHU/edit?usp=sharing  #gid=0"",""фіз особи new!relations_name_uo""),7,FALSE)
,
)
))"),"ЗАМІРАЛОВА Тетяна Борисівна")</f>
        <v>ЗАМІРАЛОВА Тетяна Борисівна</v>
      </c>
      <c r="G9376" s="7" t="s">
        <v>10</v>
      </c>
      <c r="H9376" s="7">
        <v>3082</v>
      </c>
      <c r="I9376" s="8" t="str">
        <f ca="1">IFERROR(__xludf.DUMMYFUNCTION("IF
(
G9377=""фізична особа""
,
VLOOKUP(H9377,IMPORTRANGE(""https://docs.google.com/spreadsheets/d/14Bd19lYaqBhU8_DElYkX7l4wRkHqqCUFNJY4AfY3kHU/edit?usp=sharing  #gid=0"",""фіз особи new!relations_name""),6,FALSE)
,
(IF
(
G9377=""юридична особа""
,
VLOOKUP"&amp;"(H9377,IMPORTRANGE(""https://docs.google.com/spreadsheets/d/14Bd19lYaqBhU8_DElYkX7l4wRkHqqCUFNJY4AfY3kHU/edit?usp=sharing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76" s="7" t="s">
        <v>29</v>
      </c>
    </row>
    <row r="9377" spans="1:10" ht="13.2">
      <c r="A9377" s="7">
        <v>9376</v>
      </c>
      <c r="B9377" s="7">
        <v>1</v>
      </c>
      <c r="C9377" s="7" t="s">
        <v>10</v>
      </c>
      <c r="D9377" s="7">
        <v>11219</v>
      </c>
      <c r="E9377" s="7" t="s">
        <v>28</v>
      </c>
      <c r="F9377" s="8" t="str">
        <f ca="1">IFERROR(__xludf.DUMMYFUNCTION("IF
(
C9378=""фізична особа""
,
VLOOKUP(D9378,IMPORTRANGE(""https://docs.google.com/spreadsheets/d/14Bd19lYaqBhU8_DElYkX7l4wRkHqqCUFNJY4AfY3kHU/edit?usp=sharing  #gid=0"",""фіз особи new!relations_name""),6,FALSE)
,
(IF
(
C9378=""юридична особа""
,
VLOOKUP"&amp;"(D9378,IMPORTRANGE(""https://docs.google.com/spreadsheets/d/14Bd19lYaqBhU8_DElYkX7l4wRkHqqCUFNJY4AfY3kHU/edit?usp=sharing  #gid=0"",""фіз особи new!relations_name_uo""),7,FALSE)
,
)
))"),"ПРОНІНА Ганна Олександрівна")</f>
        <v>ПРОНІНА Ганна Олександрівна</v>
      </c>
      <c r="G9377" s="7" t="s">
        <v>10</v>
      </c>
      <c r="H9377" s="7">
        <v>3042</v>
      </c>
      <c r="I9377" s="8" t="str">
        <f ca="1">IFERROR(__xludf.DUMMYFUNCTION("IF
(
G9378=""фізична особа""
,
VLOOKUP(H9378,IMPORTRANGE(""https://docs.google.com/spreadsheets/d/14Bd19lYaqBhU8_DElYkX7l4wRkHqqCUFNJY4AfY3kHU/edit?usp=sharing  #gid=0"",""фіз особи new!relations_name""),6,FALSE)
,
(IF
(
G9378=""юридична особа""
,
VLOOKUP"&amp;"(H9378,IMPORTRANGE(""https://docs.google.com/spreadsheets/d/14Bd19lYaqBhU8_DElYkX7l4wRkHqqCUFNJY4AfY3kHU/edit?usp=sharing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77" s="7" t="s">
        <v>29</v>
      </c>
    </row>
    <row r="9378" spans="1:10" ht="13.2">
      <c r="A9378" s="7">
        <v>9377</v>
      </c>
      <c r="B9378" s="7">
        <v>1</v>
      </c>
      <c r="C9378" s="7" t="s">
        <v>10</v>
      </c>
      <c r="D9378" s="7">
        <v>11220</v>
      </c>
      <c r="E9378" s="7" t="s">
        <v>28</v>
      </c>
      <c r="F9378" s="8" t="str">
        <f ca="1">IFERROR(__xludf.DUMMYFUNCTION("IF
(
C9379=""фізична особа""
,
VLOOKUP(D9379,IMPORTRANGE(""https://docs.google.com/spreadsheets/d/14Bd19lYaqBhU8_DElYkX7l4wRkHqqCUFNJY4AfY3kHU/edit?usp=sharing  #gid=0"",""фіз особи new!relations_name""),6,FALSE)
,
(IF
(
C9379=""юридична особа""
,
VLOOKUP"&amp;"(D9379,IMPORTRANGE(""https://docs.google.com/spreadsheets/d/14Bd19lYaqBhU8_DElYkX7l4wRkHqqCUFNJY4AfY3kHU/edit?usp=sharing  #gid=0"",""фіз особи new!relations_name_uo""),7,FALSE)
,
)
))"),"МАРКІНА Тетяна Петрівна")</f>
        <v>МАРКІНА Тетяна Петрівна</v>
      </c>
      <c r="G9378" s="7" t="s">
        <v>10</v>
      </c>
      <c r="H9378" s="7">
        <v>3082</v>
      </c>
      <c r="I9378" s="8" t="str">
        <f ca="1">IFERROR(__xludf.DUMMYFUNCTION("IF
(
G9379=""фізична особа""
,
VLOOKUP(H9379,IMPORTRANGE(""https://docs.google.com/spreadsheets/d/14Bd19lYaqBhU8_DElYkX7l4wRkHqqCUFNJY4AfY3kHU/edit?usp=sharing  #gid=0"",""фіз особи new!relations_name""),6,FALSE)
,
(IF
(
G9379=""юридична особа""
,
VLOOKUP"&amp;"(H9379,IMPORTRANGE(""https://docs.google.com/spreadsheets/d/14Bd19lYaqBhU8_DElYkX7l4wRkHqqCUFNJY4AfY3kHU/edit?usp=sharing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78" s="7" t="s">
        <v>29</v>
      </c>
    </row>
    <row r="9379" spans="1:10" ht="13.2">
      <c r="A9379" s="7">
        <v>9378</v>
      </c>
      <c r="B9379" s="7">
        <v>1</v>
      </c>
      <c r="C9379" s="7" t="s">
        <v>10</v>
      </c>
      <c r="D9379" s="7">
        <v>11221</v>
      </c>
      <c r="E9379" s="7" t="s">
        <v>28</v>
      </c>
      <c r="F9379" s="8" t="str">
        <f ca="1">IFERROR(__xludf.DUMMYFUNCTION("IF
(
C9380=""фізична особа""
,
VLOOKUP(D9380,IMPORTRANGE(""https://docs.google.com/spreadsheets/d/14Bd19lYaqBhU8_DElYkX7l4wRkHqqCUFNJY4AfY3kHU/edit?usp=sharing  #gid=0"",""фіз особи new!relations_name""),6,FALSE)
,
(IF
(
C9380=""юридична особа""
,
VLOOKUP"&amp;"(D9380,IMPORTRANGE(""https://docs.google.com/spreadsheets/d/14Bd19lYaqBhU8_DElYkX7l4wRkHqqCUFNJY4AfY3kHU/edit?usp=sharing  #gid=0"",""фіз особи new!relations_name_uo""),7,FALSE)
,
)
))"),"ЛЕТЮШЕВ Олександр Миколайович")</f>
        <v>ЛЕТЮШЕВ Олександр Миколайович</v>
      </c>
      <c r="G9379" s="7" t="s">
        <v>10</v>
      </c>
      <c r="H9379" s="7">
        <v>3042</v>
      </c>
      <c r="I9379" s="8" t="str">
        <f ca="1">IFERROR(__xludf.DUMMYFUNCTION("IF
(
G9380=""фізична особа""
,
VLOOKUP(H9380,IMPORTRANGE(""https://docs.google.com/spreadsheets/d/14Bd19lYaqBhU8_DElYkX7l4wRkHqqCUFNJY4AfY3kHU/edit?usp=sharing  #gid=0"",""фіз особи new!relations_name""),6,FALSE)
,
(IF
(
G9380=""юридична особа""
,
VLOOKUP"&amp;"(H9380,IMPORTRANGE(""https://docs.google.com/spreadsheets/d/14Bd19lYaqBhU8_DElYkX7l4wRkHqqCUFNJY4AfY3kHU/edit?usp=sharing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79" s="7" t="s">
        <v>29</v>
      </c>
    </row>
    <row r="9380" spans="1:10" ht="13.2">
      <c r="A9380" s="7">
        <v>9379</v>
      </c>
      <c r="B9380" s="7">
        <v>1</v>
      </c>
      <c r="C9380" s="7" t="s">
        <v>10</v>
      </c>
      <c r="D9380" s="7">
        <v>11222</v>
      </c>
      <c r="E9380" s="7" t="s">
        <v>28</v>
      </c>
      <c r="F9380" s="8" t="str">
        <f ca="1">IFERROR(__xludf.DUMMYFUNCTION("IF
(
C9381=""фізична особа""
,
VLOOKUP(D9381,IMPORTRANGE(""https://docs.google.com/spreadsheets/d/14Bd19lYaqBhU8_DElYkX7l4wRkHqqCUFNJY4AfY3kHU/edit?usp=sharing  #gid=0"",""фіз особи new!relations_name""),6,FALSE)
,
(IF
(
C9381=""юридична особа""
,
VLOOKUP"&amp;"(D9381,IMPORTRANGE(""https://docs.google.com/spreadsheets/d/14Bd19lYaqBhU8_DElYkX7l4wRkHqqCUFNJY4AfY3kHU/edit?usp=sharing  #gid=0"",""фіз особи new!relations_name_uo""),7,FALSE)
,
)
))"),"КОСТІНА Марина Олексіївна")</f>
        <v>КОСТІНА Марина Олексіївна</v>
      </c>
      <c r="G9380" s="7" t="s">
        <v>10</v>
      </c>
      <c r="H9380" s="7">
        <v>3042</v>
      </c>
      <c r="I9380" s="8" t="str">
        <f ca="1">IFERROR(__xludf.DUMMYFUNCTION("IF
(
G9381=""фізична особа""
,
VLOOKUP(H9381,IMPORTRANGE(""https://docs.google.com/spreadsheets/d/14Bd19lYaqBhU8_DElYkX7l4wRkHqqCUFNJY4AfY3kHU/edit?usp=sharing  #gid=0"",""фіз особи new!relations_name""),6,FALSE)
,
(IF
(
G9381=""юридична особа""
,
VLOOKUP"&amp;"(H9381,IMPORTRANGE(""https://docs.google.com/spreadsheets/d/14Bd19lYaqBhU8_DElYkX7l4wRkHqqCUFNJY4AfY3kHU/edit?usp=sharing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80" s="7" t="s">
        <v>29</v>
      </c>
    </row>
    <row r="9381" spans="1:10" ht="13.2">
      <c r="A9381" s="7">
        <v>9380</v>
      </c>
      <c r="B9381" s="7">
        <v>1</v>
      </c>
      <c r="C9381" s="7" t="s">
        <v>10</v>
      </c>
      <c r="D9381" s="7">
        <v>11223</v>
      </c>
      <c r="E9381" s="7" t="s">
        <v>28</v>
      </c>
      <c r="F9381" s="8" t="str">
        <f ca="1">IFERROR(__xludf.DUMMYFUNCTION("IF
(
C9382=""фізична особа""
,
VLOOKUP(D9382,IMPORTRANGE(""https://docs.google.com/spreadsheets/d/14Bd19lYaqBhU8_DElYkX7l4wRkHqqCUFNJY4AfY3kHU/edit?usp=sharing  #gid=0"",""фіз особи new!relations_name""),6,FALSE)
,
(IF
(
C9382=""юридична особа""
,
VLOOKUP"&amp;"(D9382,IMPORTRANGE(""https://docs.google.com/spreadsheets/d/14Bd19lYaqBhU8_DElYkX7l4wRkHqqCUFNJY4AfY3kHU/edit?usp=sharing  #gid=0"",""фіз особи new!relations_name_uo""),7,FALSE)
,
)
))"),"ІГНАТЬЄВ Андрій Вікторович")</f>
        <v>ІГНАТЬЄВ Андрій Вікторович</v>
      </c>
      <c r="G9381" s="7" t="s">
        <v>10</v>
      </c>
      <c r="H9381" s="7">
        <v>3082</v>
      </c>
      <c r="I9381" s="8" t="str">
        <f ca="1">IFERROR(__xludf.DUMMYFUNCTION("IF
(
G9382=""фізична особа""
,
VLOOKUP(H9382,IMPORTRANGE(""https://docs.google.com/spreadsheets/d/14Bd19lYaqBhU8_DElYkX7l4wRkHqqCUFNJY4AfY3kHU/edit?usp=sharing  #gid=0"",""фіз особи new!relations_name""),6,FALSE)
,
(IF
(
G9382=""юридична особа""
,
VLOOKUP"&amp;"(H9382,IMPORTRANGE(""https://docs.google.com/spreadsheets/d/14Bd19lYaqBhU8_DElYkX7l4wRkHqqCUFNJY4AfY3kHU/edit?usp=sharing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1" s="7" t="s">
        <v>29</v>
      </c>
    </row>
    <row r="9382" spans="1:10" ht="13.2">
      <c r="A9382" s="7">
        <v>9381</v>
      </c>
      <c r="B9382" s="7">
        <v>1</v>
      </c>
      <c r="C9382" s="7" t="s">
        <v>10</v>
      </c>
      <c r="D9382" s="7">
        <v>11224</v>
      </c>
      <c r="E9382" s="7" t="s">
        <v>28</v>
      </c>
      <c r="F9382" s="8" t="str">
        <f ca="1">IFERROR(__xludf.DUMMYFUNCTION("IF
(
C9383=""фізична особа""
,
VLOOKUP(D9383,IMPORTRANGE(""https://docs.google.com/spreadsheets/d/14Bd19lYaqBhU8_DElYkX7l4wRkHqqCUFNJY4AfY3kHU/edit?usp=sharing  #gid=0"",""фіз особи new!relations_name""),6,FALSE)
,
(IF
(
C9383=""юридична особа""
,
VLOOKUP"&amp;"(D9383,IMPORTRANGE(""https://docs.google.com/spreadsheets/d/14Bd19lYaqBhU8_DElYkX7l4wRkHqqCUFNJY4AfY3kHU/edit?usp=sharing  #gid=0"",""фіз особи new!relations_name_uo""),7,FALSE)
,
)
))"),"ЗАНАБАДАРОВА Зоя Михайлівна")</f>
        <v>ЗАНАБАДАРОВА Зоя Михайлівна</v>
      </c>
      <c r="G9382" s="7" t="s">
        <v>10</v>
      </c>
      <c r="H9382" s="7">
        <v>3082</v>
      </c>
      <c r="I9382" s="8" t="str">
        <f ca="1">IFERROR(__xludf.DUMMYFUNCTION("IF
(
G9383=""фізична особа""
,
VLOOKUP(H9383,IMPORTRANGE(""https://docs.google.com/spreadsheets/d/14Bd19lYaqBhU8_DElYkX7l4wRkHqqCUFNJY4AfY3kHU/edit?usp=sharing  #gid=0"",""фіз особи new!relations_name""),6,FALSE)
,
(IF
(
G9383=""юридична особа""
,
VLOOKUP"&amp;"(H9383,IMPORTRANGE(""https://docs.google.com/spreadsheets/d/14Bd19lYaqBhU8_DElYkX7l4wRkHqqCUFNJY4AfY3kHU/edit?usp=sharing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2" s="7" t="s">
        <v>29</v>
      </c>
    </row>
    <row r="9383" spans="1:10" ht="13.2">
      <c r="A9383" s="7">
        <v>9382</v>
      </c>
      <c r="B9383" s="7">
        <v>1</v>
      </c>
      <c r="C9383" s="7" t="s">
        <v>10</v>
      </c>
      <c r="D9383" s="7">
        <v>11225</v>
      </c>
      <c r="E9383" s="7" t="s">
        <v>28</v>
      </c>
      <c r="F9383" s="8" t="str">
        <f ca="1">IFERROR(__xludf.DUMMYFUNCTION("IF
(
C9384=""фізична особа""
,
VLOOKUP(D9384,IMPORTRANGE(""https://docs.google.com/spreadsheets/d/14Bd19lYaqBhU8_DElYkX7l4wRkHqqCUFNJY4AfY3kHU/edit?usp=sharing  #gid=0"",""фіз особи new!relations_name""),6,FALSE)
,
(IF
(
C9384=""юридична особа""
,
VLOOKUP"&amp;"(D9384,IMPORTRANGE(""https://docs.google.com/spreadsheets/d/14Bd19lYaqBhU8_DElYkX7l4wRkHqqCUFNJY4AfY3kHU/edit?usp=sharing  #gid=0"",""фіз особи new!relations_name_uo""),7,FALSE)
,
)
))"),"ПРУСАКОВ Олег Володимирович")</f>
        <v>ПРУСАКОВ Олег Володимирович</v>
      </c>
      <c r="G9383" s="7" t="s">
        <v>10</v>
      </c>
      <c r="H9383" s="7">
        <v>3042</v>
      </c>
      <c r="I9383" s="8" t="str">
        <f ca="1">IFERROR(__xludf.DUMMYFUNCTION("IF
(
G9384=""фізична особа""
,
VLOOKUP(H9384,IMPORTRANGE(""https://docs.google.com/spreadsheets/d/14Bd19lYaqBhU8_DElYkX7l4wRkHqqCUFNJY4AfY3kHU/edit?usp=sharing  #gid=0"",""фіз особи new!relations_name""),6,FALSE)
,
(IF
(
G9384=""юридична особа""
,
VLOOKUP"&amp;"(H9384,IMPORTRANGE(""https://docs.google.com/spreadsheets/d/14Bd19lYaqBhU8_DElYkX7l4wRkHqqCUFNJY4AfY3kHU/edit?usp=sharing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83" s="7" t="s">
        <v>29</v>
      </c>
    </row>
    <row r="9384" spans="1:10" ht="13.2">
      <c r="A9384" s="7">
        <v>9383</v>
      </c>
      <c r="B9384" s="7">
        <v>1</v>
      </c>
      <c r="C9384" s="7" t="s">
        <v>10</v>
      </c>
      <c r="D9384" s="7">
        <v>11226</v>
      </c>
      <c r="E9384" s="7" t="s">
        <v>28</v>
      </c>
      <c r="F9384" s="8" t="str">
        <f ca="1">IFERROR(__xludf.DUMMYFUNCTION("IF
(
C9385=""фізична особа""
,
VLOOKUP(D9385,IMPORTRANGE(""https://docs.google.com/spreadsheets/d/14Bd19lYaqBhU8_DElYkX7l4wRkHqqCUFNJY4AfY3kHU/edit?usp=sharing  #gid=0"",""фіз особи new!relations_name""),6,FALSE)
,
(IF
(
C9385=""юридична особа""
,
VLOOKUP"&amp;"(D9385,IMPORTRANGE(""https://docs.google.com/spreadsheets/d/14Bd19lYaqBhU8_DElYkX7l4wRkHqqCUFNJY4AfY3kHU/edit?usp=sharing  #gid=0"",""фіз особи new!relations_name_uo""),7,FALSE)
,
)
))"),"ДЬОМІНА Юлія Вікторівна")</f>
        <v>ДЬОМІНА Юлія Вікторівна</v>
      </c>
      <c r="G9384" s="7" t="s">
        <v>10</v>
      </c>
      <c r="H9384" s="7">
        <v>3042</v>
      </c>
      <c r="I9384" s="8" t="str">
        <f ca="1">IFERROR(__xludf.DUMMYFUNCTION("IF
(
G9385=""фізична особа""
,
VLOOKUP(H9385,IMPORTRANGE(""https://docs.google.com/spreadsheets/d/14Bd19lYaqBhU8_DElYkX7l4wRkHqqCUFNJY4AfY3kHU/edit?usp=sharing  #gid=0"",""фіз особи new!relations_name""),6,FALSE)
,
(IF
(
G9385=""юридична особа""
,
VLOOKUP"&amp;"(H9385,IMPORTRANGE(""https://docs.google.com/spreadsheets/d/14Bd19lYaqBhU8_DElYkX7l4wRkHqqCUFNJY4AfY3kHU/edit?usp=sharing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384" s="7" t="s">
        <v>29</v>
      </c>
    </row>
    <row r="9385" spans="1:10" ht="13.2">
      <c r="A9385" s="7">
        <v>9384</v>
      </c>
      <c r="B9385" s="7">
        <v>1</v>
      </c>
      <c r="C9385" s="7" t="s">
        <v>10</v>
      </c>
      <c r="D9385" s="7">
        <v>11227</v>
      </c>
      <c r="E9385" s="7" t="s">
        <v>28</v>
      </c>
      <c r="F9385" s="8" t="str">
        <f ca="1">IFERROR(__xludf.DUMMYFUNCTION("IF
(
C9386=""фізична особа""
,
VLOOKUP(D9386,IMPORTRANGE(""https://docs.google.com/spreadsheets/d/14Bd19lYaqBhU8_DElYkX7l4wRkHqqCUFNJY4AfY3kHU/edit?usp=sharing  #gid=0"",""фіз особи new!relations_name""),6,FALSE)
,
(IF
(
C9386=""юридична особа""
,
VLOOKUP"&amp;"(D9386,IMPORTRANGE(""https://docs.google.com/spreadsheets/d/14Bd19lYaqBhU8_DElYkX7l4wRkHqqCUFNJY4AfY3kHU/edit?usp=sharing  #gid=0"",""фіз особи new!relations_name_uo""),7,FALSE)
,
)
))"),"ЛЬОЗОВ Олександр Михайлович")</f>
        <v>ЛЬОЗОВ Олександр Михайлович</v>
      </c>
      <c r="G9385" s="7" t="s">
        <v>10</v>
      </c>
      <c r="H9385" s="7">
        <v>3082</v>
      </c>
      <c r="I9385" s="8" t="str">
        <f ca="1">IFERROR(__xludf.DUMMYFUNCTION("IF
(
G9386=""фізична особа""
,
VLOOKUP(H9386,IMPORTRANGE(""https://docs.google.com/spreadsheets/d/14Bd19lYaqBhU8_DElYkX7l4wRkHqqCUFNJY4AfY3kHU/edit?usp=sharing  #gid=0"",""фіз особи new!relations_name""),6,FALSE)
,
(IF
(
G9386=""юридична особа""
,
VLOOKUP"&amp;"(H9386,IMPORTRANGE(""https://docs.google.com/spreadsheets/d/14Bd19lYaqBhU8_DElYkX7l4wRkHqqCUFNJY4AfY3kHU/edit?usp=sharing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5" s="7" t="s">
        <v>29</v>
      </c>
    </row>
    <row r="9386" spans="1:10" ht="13.2">
      <c r="A9386" s="7">
        <v>9385</v>
      </c>
      <c r="B9386" s="7">
        <v>1</v>
      </c>
      <c r="C9386" s="7" t="s">
        <v>10</v>
      </c>
      <c r="D9386" s="7">
        <v>11228</v>
      </c>
      <c r="E9386" s="7" t="s">
        <v>28</v>
      </c>
      <c r="F9386" s="8" t="str">
        <f ca="1">IFERROR(__xludf.DUMMYFUNCTION("IF
(
C9387=""фізична особа""
,
VLOOKUP(D9387,IMPORTRANGE(""https://docs.google.com/spreadsheets/d/14Bd19lYaqBhU8_DElYkX7l4wRkHqqCUFNJY4AfY3kHU/edit?usp=sharing  #gid=0"",""фіз особи new!relations_name""),6,FALSE)
,
(IF
(
C9387=""юридична особа""
,
VLOOKUP"&amp;"(D9387,IMPORTRANGE(""https://docs.google.com/spreadsheets/d/14Bd19lYaqBhU8_DElYkX7l4wRkHqqCUFNJY4AfY3kHU/edit?usp=sharing  #gid=0"",""фіз особи new!relations_name_uo""),7,FALSE)
,
)
))"),"НОСОВА Марина Вікторівна")</f>
        <v>НОСОВА Марина Вікторівна</v>
      </c>
      <c r="G9386" s="7" t="s">
        <v>10</v>
      </c>
      <c r="H9386" s="7">
        <v>3047</v>
      </c>
      <c r="I9386" s="8" t="str">
        <f ca="1">IFERROR(__xludf.DUMMYFUNCTION("IF
(
G9387=""фізична особа""
,
VLOOKUP(H9387,IMPORTRANGE(""https://docs.google.com/spreadsheets/d/14Bd19lYaqBhU8_DElYkX7l4wRkHqqCUFNJY4AfY3kHU/edit?usp=sharing  #gid=0"",""фіз особи new!relations_name""),6,FALSE)
,
(IF
(
G9387=""юридична особа""
,
VLOOKUP"&amp;"(H9387,IMPORTRANGE(""https://docs.google.com/spreadsheets/d/14Bd19lYaqBhU8_DElYkX7l4wRkHqqCUFNJY4AfY3kHU/edit?usp=sharing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86" s="7" t="s">
        <v>29</v>
      </c>
    </row>
    <row r="9387" spans="1:10" ht="13.2">
      <c r="A9387" s="7">
        <v>9386</v>
      </c>
      <c r="B9387" s="7">
        <v>1</v>
      </c>
      <c r="C9387" s="7" t="s">
        <v>10</v>
      </c>
      <c r="D9387" s="7">
        <v>11229</v>
      </c>
      <c r="E9387" s="7" t="s">
        <v>28</v>
      </c>
      <c r="F9387" s="8" t="str">
        <f ca="1">IFERROR(__xludf.DUMMYFUNCTION("IF
(
C9388=""фізична особа""
,
VLOOKUP(D9388,IMPORTRANGE(""https://docs.google.com/spreadsheets/d/14Bd19lYaqBhU8_DElYkX7l4wRkHqqCUFNJY4AfY3kHU/edit?usp=sharing  #gid=0"",""фіз особи new!relations_name""),6,FALSE)
,
(IF
(
C9388=""юридична особа""
,
VLOOKUP"&amp;"(D9388,IMPORTRANGE(""https://docs.google.com/spreadsheets/d/14Bd19lYaqBhU8_DElYkX7l4wRkHqqCUFNJY4AfY3kHU/edit?usp=sharing  #gid=0"",""фіз особи new!relations_name_uo""),7,FALSE)
,
)
))"),"ГАВРИЛОВ Сергій Миколайович")</f>
        <v>ГАВРИЛОВ Сергій Миколайович</v>
      </c>
      <c r="G9387" s="7" t="s">
        <v>10</v>
      </c>
      <c r="H9387" s="7">
        <v>3082</v>
      </c>
      <c r="I9387" s="8" t="str">
        <f ca="1">IFERROR(__xludf.DUMMYFUNCTION("IF
(
G9388=""фізична особа""
,
VLOOKUP(H9388,IMPORTRANGE(""https://docs.google.com/spreadsheets/d/14Bd19lYaqBhU8_DElYkX7l4wRkHqqCUFNJY4AfY3kHU/edit?usp=sharing  #gid=0"",""фіз особи new!relations_name""),6,FALSE)
,
(IF
(
G9388=""юридична особа""
,
VLOOKUP"&amp;"(H9388,IMPORTRANGE(""https://docs.google.com/spreadsheets/d/14Bd19lYaqBhU8_DElYkX7l4wRkHqqCUFNJY4AfY3kHU/edit?usp=sharing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7" s="7" t="s">
        <v>29</v>
      </c>
    </row>
    <row r="9388" spans="1:10" ht="13.2">
      <c r="A9388" s="7">
        <v>9387</v>
      </c>
      <c r="B9388" s="7">
        <v>1</v>
      </c>
      <c r="C9388" s="7" t="s">
        <v>10</v>
      </c>
      <c r="D9388" s="7">
        <v>11230</v>
      </c>
      <c r="E9388" s="7" t="s">
        <v>28</v>
      </c>
      <c r="F9388" s="8" t="str">
        <f ca="1">IFERROR(__xludf.DUMMYFUNCTION("IF
(
C9389=""фізична особа""
,
VLOOKUP(D9389,IMPORTRANGE(""https://docs.google.com/spreadsheets/d/14Bd19lYaqBhU8_DElYkX7l4wRkHqqCUFNJY4AfY3kHU/edit?usp=sharing  #gid=0"",""фіз особи new!relations_name""),6,FALSE)
,
(IF
(
C9389=""юридична особа""
,
VLOOKUP"&amp;"(D9389,IMPORTRANGE(""https://docs.google.com/spreadsheets/d/14Bd19lYaqBhU8_DElYkX7l4wRkHqqCUFNJY4AfY3kHU/edit?usp=sharing  #gid=0"",""фіз особи new!relations_name_uo""),7,FALSE)
,
)
))"),"АБРАМОВА Марина Євгенівна")</f>
        <v>АБРАМОВА Марина Євгенівна</v>
      </c>
      <c r="G9388" s="7" t="s">
        <v>10</v>
      </c>
      <c r="H9388" s="7">
        <v>3082</v>
      </c>
      <c r="I9388" s="8" t="str">
        <f ca="1">IFERROR(__xludf.DUMMYFUNCTION("IF
(
G9389=""фізична особа""
,
VLOOKUP(H9389,IMPORTRANGE(""https://docs.google.com/spreadsheets/d/14Bd19lYaqBhU8_DElYkX7l4wRkHqqCUFNJY4AfY3kHU/edit?usp=sharing  #gid=0"",""фіз особи new!relations_name""),6,FALSE)
,
(IF
(
G9389=""юридична особа""
,
VLOOKUP"&amp;"(H9389,IMPORTRANGE(""https://docs.google.com/spreadsheets/d/14Bd19lYaqBhU8_DElYkX7l4wRkHqqCUFNJY4AfY3kHU/edit?usp=sharing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8" s="7" t="s">
        <v>29</v>
      </c>
    </row>
    <row r="9389" spans="1:10" ht="13.2">
      <c r="A9389" s="7">
        <v>9388</v>
      </c>
      <c r="B9389" s="7">
        <v>1</v>
      </c>
      <c r="C9389" s="7" t="s">
        <v>10</v>
      </c>
      <c r="D9389" s="7">
        <v>11231</v>
      </c>
      <c r="E9389" s="7" t="s">
        <v>28</v>
      </c>
      <c r="F9389" s="8" t="str">
        <f ca="1">IFERROR(__xludf.DUMMYFUNCTION("IF
(
C9390=""фізична особа""
,
VLOOKUP(D9390,IMPORTRANGE(""https://docs.google.com/spreadsheets/d/14Bd19lYaqBhU8_DElYkX7l4wRkHqqCUFNJY4AfY3kHU/edit?usp=sharing  #gid=0"",""фіз особи new!relations_name""),6,FALSE)
,
(IF
(
C9390=""юридична особа""
,
VLOOKUP"&amp;"(D9390,IMPORTRANGE(""https://docs.google.com/spreadsheets/d/14Bd19lYaqBhU8_DElYkX7l4wRkHqqCUFNJY4AfY3kHU/edit?usp=sharing  #gid=0"",""фіз особи new!relations_name_uo""),7,FALSE)
,
)
))"),"КЛІМОВ Василь Вікторович")</f>
        <v>КЛІМОВ Василь Вікторович</v>
      </c>
      <c r="G9389" s="7" t="s">
        <v>10</v>
      </c>
      <c r="H9389" s="7">
        <v>3082</v>
      </c>
      <c r="I9389" s="8" t="str">
        <f ca="1">IFERROR(__xludf.DUMMYFUNCTION("IF
(
G9390=""фізична особа""
,
VLOOKUP(H9390,IMPORTRANGE(""https://docs.google.com/spreadsheets/d/14Bd19lYaqBhU8_DElYkX7l4wRkHqqCUFNJY4AfY3kHU/edit?usp=sharing  #gid=0"",""фіз особи new!relations_name""),6,FALSE)
,
(IF
(
G9390=""юридична особа""
,
VLOOKUP"&amp;"(H9390,IMPORTRANGE(""https://docs.google.com/spreadsheets/d/14Bd19lYaqBhU8_DElYkX7l4wRkHqqCUFNJY4AfY3kHU/edit?usp=sharing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89" s="7" t="s">
        <v>29</v>
      </c>
    </row>
    <row r="9390" spans="1:10" ht="13.2">
      <c r="A9390" s="7">
        <v>9389</v>
      </c>
      <c r="B9390" s="7">
        <v>1</v>
      </c>
      <c r="C9390" s="7" t="s">
        <v>10</v>
      </c>
      <c r="D9390" s="7">
        <v>11232</v>
      </c>
      <c r="E9390" s="7" t="s">
        <v>28</v>
      </c>
      <c r="F9390" s="8" t="str">
        <f ca="1">IFERROR(__xludf.DUMMYFUNCTION("IF
(
C9391=""фізична особа""
,
VLOOKUP(D9391,IMPORTRANGE(""https://docs.google.com/spreadsheets/d/14Bd19lYaqBhU8_DElYkX7l4wRkHqqCUFNJY4AfY3kHU/edit?usp=sharing  #gid=0"",""фіз особи new!relations_name""),6,FALSE)
,
(IF
(
C9391=""юридична особа""
,
VLOOKUP"&amp;"(D9391,IMPORTRANGE(""https://docs.google.com/spreadsheets/d/14Bd19lYaqBhU8_DElYkX7l4wRkHqqCUFNJY4AfY3kHU/edit?usp=sharing  #gid=0"",""фіз особи new!relations_name_uo""),7,FALSE)
,
)
))"),"ІННОКЕНТЬЄВ Євгеній Миколайович")</f>
        <v>ІННОКЕНТЬЄВ Євгеній Миколайович</v>
      </c>
      <c r="G9390" s="7" t="s">
        <v>10</v>
      </c>
      <c r="H9390" s="7">
        <v>3082</v>
      </c>
      <c r="I9390" s="8" t="str">
        <f ca="1">IFERROR(__xludf.DUMMYFUNCTION("IF
(
G9391=""фізична особа""
,
VLOOKUP(H9391,IMPORTRANGE(""https://docs.google.com/spreadsheets/d/14Bd19lYaqBhU8_DElYkX7l4wRkHqqCUFNJY4AfY3kHU/edit?usp=sharing  #gid=0"",""фіз особи new!relations_name""),6,FALSE)
,
(IF
(
G9391=""юридична особа""
,
VLOOKUP"&amp;"(H9391,IMPORTRANGE(""https://docs.google.com/spreadsheets/d/14Bd19lYaqBhU8_DElYkX7l4wRkHqqCUFNJY4AfY3kHU/edit?usp=sharing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90" s="7" t="s">
        <v>29</v>
      </c>
    </row>
    <row r="9391" spans="1:10" ht="13.2">
      <c r="A9391" s="7">
        <v>9390</v>
      </c>
      <c r="B9391" s="7">
        <v>1</v>
      </c>
      <c r="C9391" s="7" t="s">
        <v>10</v>
      </c>
      <c r="D9391" s="7">
        <v>11233</v>
      </c>
      <c r="E9391" s="7" t="s">
        <v>28</v>
      </c>
      <c r="F9391" s="8" t="str">
        <f ca="1">IFERROR(__xludf.DUMMYFUNCTION("IF
(
C9392=""фізична особа""
,
VLOOKUP(D9392,IMPORTRANGE(""https://docs.google.com/spreadsheets/d/14Bd19lYaqBhU8_DElYkX7l4wRkHqqCUFNJY4AfY3kHU/edit?usp=sharing  #gid=0"",""фіз особи new!relations_name""),6,FALSE)
,
(IF
(
C9392=""юридична особа""
,
VLOOKUP"&amp;"(D9392,IMPORTRANGE(""https://docs.google.com/spreadsheets/d/14Bd19lYaqBhU8_DElYkX7l4wRkHqqCUFNJY4AfY3kHU/edit?usp=sharing  #gid=0"",""фіз особи new!relations_name_uo""),7,FALSE)
,
)
))"),"ВЕРІНА Тетяна Сергіївна")</f>
        <v>ВЕРІНА Тетяна Сергіївна</v>
      </c>
      <c r="G9391" s="7" t="s">
        <v>10</v>
      </c>
      <c r="H9391" s="7">
        <v>3047</v>
      </c>
      <c r="I9391" s="8" t="str">
        <f ca="1">IFERROR(__xludf.DUMMYFUNCTION("IF
(
G9392=""фізична особа""
,
VLOOKUP(H9392,IMPORTRANGE(""https://docs.google.com/spreadsheets/d/14Bd19lYaqBhU8_DElYkX7l4wRkHqqCUFNJY4AfY3kHU/edit?usp=sharing  #gid=0"",""фіз особи new!relations_name""),6,FALSE)
,
(IF
(
G9392=""юридична особа""
,
VLOOKUP"&amp;"(H9392,IMPORTRANGE(""https://docs.google.com/spreadsheets/d/14Bd19lYaqBhU8_DElYkX7l4wRkHqqCUFNJY4AfY3kHU/edit?usp=sharing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91" s="7" t="s">
        <v>29</v>
      </c>
    </row>
    <row r="9392" spans="1:10" ht="13.2">
      <c r="A9392" s="7">
        <v>9391</v>
      </c>
      <c r="B9392" s="7">
        <v>1</v>
      </c>
      <c r="C9392" s="7" t="s">
        <v>10</v>
      </c>
      <c r="D9392" s="7">
        <v>11234</v>
      </c>
      <c r="E9392" s="7" t="s">
        <v>28</v>
      </c>
      <c r="F9392" s="8" t="str">
        <f ca="1">IFERROR(__xludf.DUMMYFUNCTION("IF
(
C9393=""фізична особа""
,
VLOOKUP(D9393,IMPORTRANGE(""https://docs.google.com/spreadsheets/d/14Bd19lYaqBhU8_DElYkX7l4wRkHqqCUFNJY4AfY3kHU/edit?usp=sharing  #gid=0"",""фіз особи new!relations_name""),6,FALSE)
,
(IF
(
C9393=""юридична особа""
,
VLOOKUP"&amp;"(D9393,IMPORTRANGE(""https://docs.google.com/spreadsheets/d/14Bd19lYaqBhU8_DElYkX7l4wRkHqqCUFNJY4AfY3kHU/edit?usp=sharing  #gid=0"",""фіз особи new!relations_name_uo""),7,FALSE)
,
)
))"),"ВАСИЛЬЄВ Євгеній Олександрович")</f>
        <v>ВАСИЛЬЄВ Євгеній Олександрович</v>
      </c>
      <c r="G9392" s="7" t="s">
        <v>10</v>
      </c>
      <c r="H9392" s="7">
        <v>3082</v>
      </c>
      <c r="I9392" s="8" t="str">
        <f ca="1">IFERROR(__xludf.DUMMYFUNCTION("IF
(
G9393=""фізична особа""
,
VLOOKUP(H9393,IMPORTRANGE(""https://docs.google.com/spreadsheets/d/14Bd19lYaqBhU8_DElYkX7l4wRkHqqCUFNJY4AfY3kHU/edit?usp=sharing  #gid=0"",""фіз особи new!relations_name""),6,FALSE)
,
(IF
(
G9393=""юридична особа""
,
VLOOKUP"&amp;"(H9393,IMPORTRANGE(""https://docs.google.com/spreadsheets/d/14Bd19lYaqBhU8_DElYkX7l4wRkHqqCUFNJY4AfY3kHU/edit?usp=sharing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92" s="7" t="s">
        <v>29</v>
      </c>
    </row>
    <row r="9393" spans="1:10" ht="13.2">
      <c r="A9393" s="7">
        <v>9392</v>
      </c>
      <c r="B9393" s="7">
        <v>1</v>
      </c>
      <c r="C9393" s="7" t="s">
        <v>10</v>
      </c>
      <c r="D9393" s="7">
        <v>11235</v>
      </c>
      <c r="E9393" s="7" t="s">
        <v>28</v>
      </c>
      <c r="F9393" s="8" t="str">
        <f ca="1">IFERROR(__xludf.DUMMYFUNCTION("IF
(
C9394=""фізична особа""
,
VLOOKUP(D9394,IMPORTRANGE(""https://docs.google.com/spreadsheets/d/14Bd19lYaqBhU8_DElYkX7l4wRkHqqCUFNJY4AfY3kHU/edit?usp=sharing  #gid=0"",""фіз особи new!relations_name""),6,FALSE)
,
(IF
(
C9394=""юридична особа""
,
VLOOKUP"&amp;"(D9394,IMPORTRANGE(""https://docs.google.com/spreadsheets/d/14Bd19lYaqBhU8_DElYkX7l4wRkHqqCUFNJY4AfY3kHU/edit?usp=sharing  #gid=0"",""фіз особи new!relations_name_uo""),7,FALSE)
,
)
))"),"ЯКИМЧУК Ольга Миколаївна")</f>
        <v>ЯКИМЧУК Ольга Миколаївна</v>
      </c>
      <c r="G9393" s="7" t="s">
        <v>10</v>
      </c>
      <c r="H9393" s="7">
        <v>3047</v>
      </c>
      <c r="I9393" s="8" t="str">
        <f ca="1">IFERROR(__xludf.DUMMYFUNCTION("IF
(
G9394=""фізична особа""
,
VLOOKUP(H9394,IMPORTRANGE(""https://docs.google.com/spreadsheets/d/14Bd19lYaqBhU8_DElYkX7l4wRkHqqCUFNJY4AfY3kHU/edit?usp=sharing  #gid=0"",""фіз особи new!relations_name""),6,FALSE)
,
(IF
(
G9394=""юридична особа""
,
VLOOKUP"&amp;"(H9394,IMPORTRANGE(""https://docs.google.com/spreadsheets/d/14Bd19lYaqBhU8_DElYkX7l4wRkHqqCUFNJY4AfY3kHU/edit?usp=sharing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93" s="7" t="s">
        <v>29</v>
      </c>
    </row>
    <row r="9394" spans="1:10" ht="13.2">
      <c r="A9394" s="7">
        <v>9393</v>
      </c>
      <c r="B9394" s="7">
        <v>1</v>
      </c>
      <c r="C9394" s="7" t="s">
        <v>10</v>
      </c>
      <c r="D9394" s="7">
        <v>11236</v>
      </c>
      <c r="E9394" s="7" t="s">
        <v>28</v>
      </c>
      <c r="F9394" s="8" t="str">
        <f ca="1">IFERROR(__xludf.DUMMYFUNCTION("IF
(
C9395=""фізична особа""
,
VLOOKUP(D9395,IMPORTRANGE(""https://docs.google.com/spreadsheets/d/14Bd19lYaqBhU8_DElYkX7l4wRkHqqCUFNJY4AfY3kHU/edit?usp=sharing  #gid=0"",""фіз особи new!relations_name""),6,FALSE)
,
(IF
(
C9395=""юридична особа""
,
VLOOKUP"&amp;"(D9395,IMPORTRANGE(""https://docs.google.com/spreadsheets/d/14Bd19lYaqBhU8_DElYkX7l4wRkHqqCUFNJY4AfY3kHU/edit?usp=sharing  #gid=0"",""фіз особи new!relations_name_uo""),7,FALSE)
,
)
))"),"АХМАТОВ Алім Хамідович")</f>
        <v>АХМАТОВ Алім Хамідович</v>
      </c>
      <c r="G9394" s="7" t="s">
        <v>10</v>
      </c>
      <c r="H9394" s="7">
        <v>3082</v>
      </c>
      <c r="I9394" s="8" t="str">
        <f ca="1">IFERROR(__xludf.DUMMYFUNCTION("IF
(
G9395=""фізична особа""
,
VLOOKUP(H9395,IMPORTRANGE(""https://docs.google.com/spreadsheets/d/14Bd19lYaqBhU8_DElYkX7l4wRkHqqCUFNJY4AfY3kHU/edit?usp=sharing  #gid=0"",""фіз особи new!relations_name""),6,FALSE)
,
(IF
(
G9395=""юридична особа""
,
VLOOKUP"&amp;"(H9395,IMPORTRANGE(""https://docs.google.com/spreadsheets/d/14Bd19lYaqBhU8_DElYkX7l4wRkHqqCUFNJY4AfY3kHU/edit?usp=sharing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94" s="7" t="s">
        <v>29</v>
      </c>
    </row>
    <row r="9395" spans="1:10" ht="13.2">
      <c r="A9395" s="7">
        <v>9394</v>
      </c>
      <c r="B9395" s="7">
        <v>1</v>
      </c>
      <c r="C9395" s="7" t="s">
        <v>10</v>
      </c>
      <c r="D9395" s="7">
        <v>11237</v>
      </c>
      <c r="E9395" s="7" t="s">
        <v>28</v>
      </c>
      <c r="F9395" s="8" t="str">
        <f ca="1">IFERROR(__xludf.DUMMYFUNCTION("IF
(
C9396=""фізична особа""
,
VLOOKUP(D9396,IMPORTRANGE(""https://docs.google.com/spreadsheets/d/14Bd19lYaqBhU8_DElYkX7l4wRkHqqCUFNJY4AfY3kHU/edit?usp=sharing  #gid=0"",""фіз особи new!relations_name""),6,FALSE)
,
(IF
(
C9396=""юридична особа""
,
VLOOKUP"&amp;"(D9396,IMPORTRANGE(""https://docs.google.com/spreadsheets/d/14Bd19lYaqBhU8_DElYkX7l4wRkHqqCUFNJY4AfY3kHU/edit?usp=sharing  #gid=0"",""фіз особи new!relations_name_uo""),7,FALSE)
,
)
))"),"ЄЛІСЄЄВА Євгенія Миколаївна")</f>
        <v>ЄЛІСЄЄВА Євгенія Миколаївна</v>
      </c>
      <c r="G9395" s="7" t="s">
        <v>10</v>
      </c>
      <c r="H9395" s="7">
        <v>3047</v>
      </c>
      <c r="I9395" s="8" t="str">
        <f ca="1">IFERROR(__xludf.DUMMYFUNCTION("IF
(
G9396=""фізична особа""
,
VLOOKUP(H9396,IMPORTRANGE(""https://docs.google.com/spreadsheets/d/14Bd19lYaqBhU8_DElYkX7l4wRkHqqCUFNJY4AfY3kHU/edit?usp=sharing  #gid=0"",""фіз особи new!relations_name""),6,FALSE)
,
(IF
(
G9396=""юридична особа""
,
VLOOKUP"&amp;"(H9396,IMPORTRANGE(""https://docs.google.com/spreadsheets/d/14Bd19lYaqBhU8_DElYkX7l4wRkHqqCUFNJY4AfY3kHU/edit?usp=sharing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95" s="7" t="s">
        <v>29</v>
      </c>
    </row>
    <row r="9396" spans="1:10" ht="13.2">
      <c r="A9396" s="7">
        <v>9395</v>
      </c>
      <c r="B9396" s="7">
        <v>1</v>
      </c>
      <c r="C9396" s="7" t="s">
        <v>10</v>
      </c>
      <c r="D9396" s="7">
        <v>11238</v>
      </c>
      <c r="E9396" s="7" t="s">
        <v>28</v>
      </c>
      <c r="F9396" s="8" t="str">
        <f ca="1">IFERROR(__xludf.DUMMYFUNCTION("IF
(
C9397=""фізична особа""
,
VLOOKUP(D9397,IMPORTRANGE(""https://docs.google.com/spreadsheets/d/14Bd19lYaqBhU8_DElYkX7l4wRkHqqCUFNJY4AfY3kHU/edit?usp=sharing  #gid=0"",""фіз особи new!relations_name""),6,FALSE)
,
(IF
(
C9397=""юридична особа""
,
VLOOKUP"&amp;"(D9397,IMPORTRANGE(""https://docs.google.com/spreadsheets/d/14Bd19lYaqBhU8_DElYkX7l4wRkHqqCUFNJY4AfY3kHU/edit?usp=sharing  #gid=0"",""фіз особи new!relations_name_uo""),7,FALSE)
,
)
))"),"ЯВКІНА Ольга Юріївна")</f>
        <v>ЯВКІНА Ольга Юріївна</v>
      </c>
      <c r="G9396" s="7" t="s">
        <v>10</v>
      </c>
      <c r="H9396" s="7">
        <v>3047</v>
      </c>
      <c r="I9396" s="8" t="str">
        <f ca="1">IFERROR(__xludf.DUMMYFUNCTION("IF
(
G9397=""фізична особа""
,
VLOOKUP(H9397,IMPORTRANGE(""https://docs.google.com/spreadsheets/d/14Bd19lYaqBhU8_DElYkX7l4wRkHqqCUFNJY4AfY3kHU/edit?usp=sharing  #gid=0"",""фіз особи new!relations_name""),6,FALSE)
,
(IF
(
G9397=""юридична особа""
,
VLOOKUP"&amp;"(H9397,IMPORTRANGE(""https://docs.google.com/spreadsheets/d/14Bd19lYaqBhU8_DElYkX7l4wRkHqqCUFNJY4AfY3kHU/edit?usp=sharing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96" s="7" t="s">
        <v>29</v>
      </c>
    </row>
    <row r="9397" spans="1:10" ht="13.2">
      <c r="A9397" s="7">
        <v>9396</v>
      </c>
      <c r="B9397" s="7">
        <v>1</v>
      </c>
      <c r="C9397" s="7" t="s">
        <v>10</v>
      </c>
      <c r="D9397" s="7">
        <v>11239</v>
      </c>
      <c r="E9397" s="7" t="s">
        <v>28</v>
      </c>
      <c r="F9397" s="8" t="str">
        <f ca="1">IFERROR(__xludf.DUMMYFUNCTION("IF
(
C9398=""фізична особа""
,
VLOOKUP(D9398,IMPORTRANGE(""https://docs.google.com/spreadsheets/d/14Bd19lYaqBhU8_DElYkX7l4wRkHqqCUFNJY4AfY3kHU/edit?usp=sharing  #gid=0"",""фіз особи new!relations_name""),6,FALSE)
,
(IF
(
C9398=""юридична особа""
,
VLOOKUP"&amp;"(D9398,IMPORTRANGE(""https://docs.google.com/spreadsheets/d/14Bd19lYaqBhU8_DElYkX7l4wRkHqqCUFNJY4AfY3kHU/edit?usp=sharing  #gid=0"",""фіз особи new!relations_name_uo""),7,FALSE)
,
)
))"),"БУГУЛОВА Ніно Нодарівна")</f>
        <v>БУГУЛОВА Ніно Нодарівна</v>
      </c>
      <c r="G9397" s="7" t="s">
        <v>10</v>
      </c>
      <c r="H9397" s="7">
        <v>3047</v>
      </c>
      <c r="I9397" s="8" t="str">
        <f ca="1">IFERROR(__xludf.DUMMYFUNCTION("IF
(
G9398=""фізична особа""
,
VLOOKUP(H9398,IMPORTRANGE(""https://docs.google.com/spreadsheets/d/14Bd19lYaqBhU8_DElYkX7l4wRkHqqCUFNJY4AfY3kHU/edit?usp=sharing  #gid=0"",""фіз особи new!relations_name""),6,FALSE)
,
(IF
(
G9398=""юридична особа""
,
VLOOKUP"&amp;"(H9398,IMPORTRANGE(""https://docs.google.com/spreadsheets/d/14Bd19lYaqBhU8_DElYkX7l4wRkHqqCUFNJY4AfY3kHU/edit?usp=sharing  #gid=0"",""фіз особи new!relations_name_uo""),7,FALSE)
,
)
))"),"МУЗАЄВ Анзор Ахмедович")</f>
        <v>МУЗАЄВ Анзор Ахмедович</v>
      </c>
      <c r="J9397" s="7" t="s">
        <v>29</v>
      </c>
    </row>
    <row r="9398" spans="1:10" ht="13.2">
      <c r="A9398" s="7">
        <v>9397</v>
      </c>
      <c r="B9398" s="7">
        <v>1</v>
      </c>
      <c r="C9398" s="7" t="s">
        <v>10</v>
      </c>
      <c r="D9398" s="7">
        <v>11240</v>
      </c>
      <c r="E9398" s="7" t="s">
        <v>28</v>
      </c>
      <c r="F9398" s="8" t="str">
        <f ca="1">IFERROR(__xludf.DUMMYFUNCTION("IF
(
C9399=""фізична особа""
,
VLOOKUP(D9399,IMPORTRANGE(""https://docs.google.com/spreadsheets/d/14Bd19lYaqBhU8_DElYkX7l4wRkHqqCUFNJY4AfY3kHU/edit?usp=sharing  #gid=0"",""фіз особи new!relations_name""),6,FALSE)
,
(IF
(
C9399=""юридична особа""
,
VLOOKUP"&amp;"(D9399,IMPORTRANGE(""https://docs.google.com/spreadsheets/d/14Bd19lYaqBhU8_DElYkX7l4wRkHqqCUFNJY4AfY3kHU/edit?usp=sharing  #gid=0"",""фіз особи new!relations_name_uo""),7,FALSE)
,
)
))"),"НЕСТЕРЕНКО Тетяна Серафимівна")</f>
        <v>НЕСТЕРЕНКО Тетяна Серафимівна</v>
      </c>
      <c r="G9398" s="7" t="s">
        <v>10</v>
      </c>
      <c r="H9398" s="7">
        <v>3082</v>
      </c>
      <c r="I9398" s="8" t="str">
        <f ca="1">IFERROR(__xludf.DUMMYFUNCTION("IF
(
G9399=""фізична особа""
,
VLOOKUP(H9399,IMPORTRANGE(""https://docs.google.com/spreadsheets/d/14Bd19lYaqBhU8_DElYkX7l4wRkHqqCUFNJY4AfY3kHU/edit?usp=sharing  #gid=0"",""фіз особи new!relations_name""),6,FALSE)
,
(IF
(
G9399=""юридична особа""
,
VLOOKUP"&amp;"(H9399,IMPORTRANGE(""https://docs.google.com/spreadsheets/d/14Bd19lYaqBhU8_DElYkX7l4wRkHqqCUFNJY4AfY3kHU/edit?usp=sharing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398" s="7" t="s">
        <v>29</v>
      </c>
    </row>
    <row r="9399" spans="1:10" ht="13.2">
      <c r="A9399" s="7">
        <v>9398</v>
      </c>
      <c r="B9399" s="7">
        <v>1</v>
      </c>
      <c r="C9399" s="7" t="s">
        <v>10</v>
      </c>
      <c r="D9399" s="7">
        <v>11241</v>
      </c>
      <c r="E9399" s="7" t="s">
        <v>28</v>
      </c>
      <c r="F9399" s="8" t="str">
        <f ca="1">IFERROR(__xludf.DUMMYFUNCTION("IF
(
C9400=""фізична особа""
,
VLOOKUP(D9400,IMPORTRANGE(""https://docs.google.com/spreadsheets/d/14Bd19lYaqBhU8_DElYkX7l4wRkHqqCUFNJY4AfY3kHU/edit?usp=sharing  #gid=0"",""фіз особи new!relations_name""),6,FALSE)
,
(IF
(
C9400=""юридична особа""
,
VLOOKUP"&amp;"(D9400,IMPORTRANGE(""https://docs.google.com/spreadsheets/d/14Bd19lYaqBhU8_DElYkX7l4wRkHqqCUFNJY4AfY3kHU/edit?usp=sharing  #gid=0"",""фіз особи new!relations_name_uo""),7,FALSE)
,
)
))"),"ЛІ Марина Василівна")</f>
        <v>ЛІ Марина Василівна</v>
      </c>
      <c r="G9399" s="7" t="s">
        <v>10</v>
      </c>
      <c r="H9399" s="7">
        <v>3087</v>
      </c>
      <c r="I9399" s="8" t="str">
        <f ca="1">IFERROR(__xludf.DUMMYFUNCTION("IF
(
G9400=""фізична особа""
,
VLOOKUP(H9400,IMPORTRANGE(""https://docs.google.com/spreadsheets/d/14Bd19lYaqBhU8_DElYkX7l4wRkHqqCUFNJY4AfY3kHU/edit?usp=sharing  #gid=0"",""фіз особи new!relations_name""),6,FALSE)
,
(IF
(
G9400=""юридична особа""
,
VLOOKUP"&amp;"(H9400,IMPORTRANGE(""https://docs.google.com/spreadsheets/d/14Bd19lYaqBhU8_DElYkX7l4wRkHqqCUFNJY4AfY3kHU/edit?usp=sharing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399" s="7" t="s">
        <v>29</v>
      </c>
    </row>
    <row r="9400" spans="1:10" ht="13.2">
      <c r="A9400" s="7">
        <v>9399</v>
      </c>
      <c r="B9400" s="7">
        <v>1</v>
      </c>
      <c r="C9400" s="7" t="s">
        <v>10</v>
      </c>
      <c r="D9400" s="7">
        <v>11241</v>
      </c>
      <c r="E9400" s="7" t="s">
        <v>28</v>
      </c>
      <c r="F9400" s="8" t="str">
        <f ca="1">IFERROR(__xludf.DUMMYFUNCTION("IF
(
C9401=""фізична особа""
,
VLOOKUP(D9401,IMPORTRANGE(""https://docs.google.com/spreadsheets/d/14Bd19lYaqBhU8_DElYkX7l4wRkHqqCUFNJY4AfY3kHU/edit?usp=sharing  #gid=0"",""фіз особи new!relations_name""),6,FALSE)
,
(IF
(
C9401=""юридична особа""
,
VLOOKUP"&amp;"(D9401,IMPORTRANGE(""https://docs.google.com/spreadsheets/d/14Bd19lYaqBhU8_DElYkX7l4wRkHqqCUFNJY4AfY3kHU/edit?usp=sharing  #gid=0"",""фіз особи new!relations_name_uo""),7,FALSE)
,
)
))"),"ЛІ Марина Василівна")</f>
        <v>ЛІ Марина Василівна</v>
      </c>
      <c r="G9400" s="7" t="s">
        <v>10</v>
      </c>
      <c r="H9400" s="7">
        <v>10205</v>
      </c>
      <c r="I9400" s="8" t="str">
        <f ca="1">IFERROR(__xludf.DUMMYFUNCTION("IF
(
G9401=""фізична особа""
,
VLOOKUP(H9401,IMPORTRANGE(""https://docs.google.com/spreadsheets/d/14Bd19lYaqBhU8_DElYkX7l4wRkHqqCUFNJY4AfY3kHU/edit?usp=sharing  #gid=0"",""фіз особи new!relations_name""),6,FALSE)
,
(IF
(
G9401=""юридична особа""
,
VLOOKUP"&amp;"(H9401,IMPORTRANGE(""https://docs.google.com/spreadsheets/d/14Bd19lYaqBhU8_DElYkX7l4wRkHqqCUFNJY4AfY3kHU/edit?usp=sharing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00" s="7" t="s">
        <v>29</v>
      </c>
    </row>
    <row r="9401" spans="1:10" ht="13.2">
      <c r="A9401" s="7">
        <v>9400</v>
      </c>
      <c r="B9401" s="7">
        <v>1</v>
      </c>
      <c r="C9401" s="7" t="s">
        <v>10</v>
      </c>
      <c r="D9401" s="7">
        <v>11242</v>
      </c>
      <c r="E9401" s="7" t="s">
        <v>28</v>
      </c>
      <c r="F9401" s="8" t="str">
        <f ca="1">IFERROR(__xludf.DUMMYFUNCTION("IF
(
C9402=""фізична особа""
,
VLOOKUP(D9402,IMPORTRANGE(""https://docs.google.com/spreadsheets/d/14Bd19lYaqBhU8_DElYkX7l4wRkHqqCUFNJY4AfY3kHU/edit?usp=sharing  #gid=0"",""фіз особи new!relations_name""),6,FALSE)
,
(IF
(
C9402=""юридична особа""
,
VLOOKUP"&amp;"(D9402,IMPORTRANGE(""https://docs.google.com/spreadsheets/d/14Bd19lYaqBhU8_DElYkX7l4wRkHqqCUFNJY4AfY3kHU/edit?usp=sharing  #gid=0"",""фіз особи new!relations_name_uo""),7,FALSE)
,
)
))"),"ВОЙЛОШНІКОВА Ірина Анатоліївна")</f>
        <v>ВОЙЛОШНІКОВА Ірина Анатоліївна</v>
      </c>
      <c r="G9401" s="7" t="s">
        <v>10</v>
      </c>
      <c r="H9401" s="7">
        <v>3087</v>
      </c>
      <c r="I9401" s="8" t="str">
        <f ca="1">IFERROR(__xludf.DUMMYFUNCTION("IF
(
G9402=""фізична особа""
,
VLOOKUP(H9402,IMPORTRANGE(""https://docs.google.com/spreadsheets/d/14Bd19lYaqBhU8_DElYkX7l4wRkHqqCUFNJY4AfY3kHU/edit?usp=sharing  #gid=0"",""фіз особи new!relations_name""),6,FALSE)
,
(IF
(
G9402=""юридична особа""
,
VLOOKUP"&amp;"(H9402,IMPORTRANGE(""https://docs.google.com/spreadsheets/d/14Bd19lYaqBhU8_DElYkX7l4wRkHqqCUFNJY4AfY3kHU/edit?usp=sharing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01" s="7" t="s">
        <v>29</v>
      </c>
    </row>
    <row r="9402" spans="1:10" ht="13.2">
      <c r="A9402" s="7">
        <v>9401</v>
      </c>
      <c r="B9402" s="7">
        <v>1</v>
      </c>
      <c r="C9402" s="7" t="s">
        <v>10</v>
      </c>
      <c r="D9402" s="7">
        <v>11242</v>
      </c>
      <c r="E9402" s="7" t="s">
        <v>28</v>
      </c>
      <c r="F9402" s="8" t="str">
        <f ca="1">IFERROR(__xludf.DUMMYFUNCTION("IF
(
C9403=""фізична особа""
,
VLOOKUP(D9403,IMPORTRANGE(""https://docs.google.com/spreadsheets/d/14Bd19lYaqBhU8_DElYkX7l4wRkHqqCUFNJY4AfY3kHU/edit?usp=sharing  #gid=0"",""фіз особи new!relations_name""),6,FALSE)
,
(IF
(
C9403=""юридична особа""
,
VLOOKUP"&amp;"(D9403,IMPORTRANGE(""https://docs.google.com/spreadsheets/d/14Bd19lYaqBhU8_DElYkX7l4wRkHqqCUFNJY4AfY3kHU/edit?usp=sharing  #gid=0"",""фіз особи new!relations_name_uo""),7,FALSE)
,
)
))"),"ВОЙЛОШНІКОВА Ірина Анатоліївна")</f>
        <v>ВОЙЛОШНІКОВА Ірина Анатоліївна</v>
      </c>
      <c r="G9402" s="7" t="s">
        <v>10</v>
      </c>
      <c r="H9402" s="7">
        <v>10205</v>
      </c>
      <c r="I9402" s="8" t="str">
        <f ca="1">IFERROR(__xludf.DUMMYFUNCTION("IF
(
G9403=""фізична особа""
,
VLOOKUP(H9403,IMPORTRANGE(""https://docs.google.com/spreadsheets/d/14Bd19lYaqBhU8_DElYkX7l4wRkHqqCUFNJY4AfY3kHU/edit?usp=sharing  #gid=0"",""фіз особи new!relations_name""),6,FALSE)
,
(IF
(
G9403=""юридична особа""
,
VLOOKUP"&amp;"(H9403,IMPORTRANGE(""https://docs.google.com/spreadsheets/d/14Bd19lYaqBhU8_DElYkX7l4wRkHqqCUFNJY4AfY3kHU/edit?usp=sharing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02" s="7" t="s">
        <v>29</v>
      </c>
    </row>
    <row r="9403" spans="1:10" ht="13.2">
      <c r="A9403" s="7">
        <v>9402</v>
      </c>
      <c r="B9403" s="7">
        <v>1</v>
      </c>
      <c r="C9403" s="7" t="s">
        <v>10</v>
      </c>
      <c r="D9403" s="7">
        <v>11243</v>
      </c>
      <c r="E9403" s="7" t="s">
        <v>28</v>
      </c>
      <c r="F9403" s="8" t="str">
        <f ca="1">IFERROR(__xludf.DUMMYFUNCTION("IF
(
C9404=""фізична особа""
,
VLOOKUP(D9404,IMPORTRANGE(""https://docs.google.com/spreadsheets/d/14Bd19lYaqBhU8_DElYkX7l4wRkHqqCUFNJY4AfY3kHU/edit?usp=sharing  #gid=0"",""фіз особи new!relations_name""),6,FALSE)
,
(IF
(
C9404=""юридична особа""
,
VLOOKUP"&amp;"(D9404,IMPORTRANGE(""https://docs.google.com/spreadsheets/d/14Bd19lYaqBhU8_DElYkX7l4wRkHqqCUFNJY4AfY3kHU/edit?usp=sharing  #gid=0"",""фіз особи new!relations_name_uo""),7,FALSE)
,
)
))"),"АСТАЙКІНА Олена Сергіївна")</f>
        <v>АСТАЙКІНА Олена Сергіївна</v>
      </c>
      <c r="G9403" s="7" t="s">
        <v>10</v>
      </c>
      <c r="H9403" s="7">
        <v>3087</v>
      </c>
      <c r="I9403" s="8" t="str">
        <f ca="1">IFERROR(__xludf.DUMMYFUNCTION("IF
(
G9404=""фізична особа""
,
VLOOKUP(H9404,IMPORTRANGE(""https://docs.google.com/spreadsheets/d/14Bd19lYaqBhU8_DElYkX7l4wRkHqqCUFNJY4AfY3kHU/edit?usp=sharing  #gid=0"",""фіз особи new!relations_name""),6,FALSE)
,
(IF
(
G9404=""юридична особа""
,
VLOOKUP"&amp;"(H9404,IMPORTRANGE(""https://docs.google.com/spreadsheets/d/14Bd19lYaqBhU8_DElYkX7l4wRkHqqCUFNJY4AfY3kHU/edit?usp=sharing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03" s="7" t="s">
        <v>29</v>
      </c>
    </row>
    <row r="9404" spans="1:10" ht="13.2">
      <c r="A9404" s="7">
        <v>9403</v>
      </c>
      <c r="B9404" s="7">
        <v>1</v>
      </c>
      <c r="C9404" s="7" t="s">
        <v>10</v>
      </c>
      <c r="D9404" s="7">
        <v>11243</v>
      </c>
      <c r="E9404" s="7" t="s">
        <v>28</v>
      </c>
      <c r="F9404" s="8" t="str">
        <f ca="1">IFERROR(__xludf.DUMMYFUNCTION("IF
(
C9405=""фізична особа""
,
VLOOKUP(D9405,IMPORTRANGE(""https://docs.google.com/spreadsheets/d/14Bd19lYaqBhU8_DElYkX7l4wRkHqqCUFNJY4AfY3kHU/edit?usp=sharing  #gid=0"",""фіз особи new!relations_name""),6,FALSE)
,
(IF
(
C9405=""юридична особа""
,
VLOOKUP"&amp;"(D9405,IMPORTRANGE(""https://docs.google.com/spreadsheets/d/14Bd19lYaqBhU8_DElYkX7l4wRkHqqCUFNJY4AfY3kHU/edit?usp=sharing  #gid=0"",""фіз особи new!relations_name_uo""),7,FALSE)
,
)
))"),"АСТАЙКІНА Олена Сергіївна")</f>
        <v>АСТАЙКІНА Олена Сергіївна</v>
      </c>
      <c r="G9404" s="7" t="s">
        <v>10</v>
      </c>
      <c r="H9404" s="7">
        <v>10205</v>
      </c>
      <c r="I9404" s="8" t="str">
        <f ca="1">IFERROR(__xludf.DUMMYFUNCTION("IF
(
G9405=""фізична особа""
,
VLOOKUP(H9405,IMPORTRANGE(""https://docs.google.com/spreadsheets/d/14Bd19lYaqBhU8_DElYkX7l4wRkHqqCUFNJY4AfY3kHU/edit?usp=sharing  #gid=0"",""фіз особи new!relations_name""),6,FALSE)
,
(IF
(
G9405=""юридична особа""
,
VLOOKUP"&amp;"(H9405,IMPORTRANGE(""https://docs.google.com/spreadsheets/d/14Bd19lYaqBhU8_DElYkX7l4wRkHqqCUFNJY4AfY3kHU/edit?usp=sharing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04" s="7" t="s">
        <v>29</v>
      </c>
    </row>
    <row r="9405" spans="1:10" ht="13.2">
      <c r="A9405" s="7">
        <v>9404</v>
      </c>
      <c r="B9405" s="7">
        <v>1</v>
      </c>
      <c r="C9405" s="7" t="s">
        <v>10</v>
      </c>
      <c r="D9405" s="7">
        <v>11244</v>
      </c>
      <c r="E9405" s="7" t="s">
        <v>28</v>
      </c>
      <c r="F9405" s="8" t="str">
        <f ca="1">IFERROR(__xludf.DUMMYFUNCTION("IF
(
C9406=""фізична особа""
,
VLOOKUP(D9406,IMPORTRANGE(""https://docs.google.com/spreadsheets/d/14Bd19lYaqBhU8_DElYkX7l4wRkHqqCUFNJY4AfY3kHU/edit?usp=sharing  #gid=0"",""фіз особи new!relations_name""),6,FALSE)
,
(IF
(
C9406=""юридична особа""
,
VLOOKUP"&amp;"(D9406,IMPORTRANGE(""https://docs.google.com/spreadsheets/d/14Bd19lYaqBhU8_DElYkX7l4wRkHqqCUFNJY4AfY3kHU/edit?usp=sharing  #gid=0"",""фіз особи new!relations_name_uo""),7,FALSE)
,
)
))"),"ЄФРЕМОВ Сергій Вікторович")</f>
        <v>ЄФРЕМОВ Сергій Вікторович</v>
      </c>
      <c r="G9405" s="7" t="s">
        <v>10</v>
      </c>
      <c r="H9405" s="7">
        <v>3087</v>
      </c>
      <c r="I9405" s="8" t="str">
        <f ca="1">IFERROR(__xludf.DUMMYFUNCTION("IF
(
G9406=""фізична особа""
,
VLOOKUP(H9406,IMPORTRANGE(""https://docs.google.com/spreadsheets/d/14Bd19lYaqBhU8_DElYkX7l4wRkHqqCUFNJY4AfY3kHU/edit?usp=sharing  #gid=0"",""фіз особи new!relations_name""),6,FALSE)
,
(IF
(
G9406=""юридична особа""
,
VLOOKUP"&amp;"(H9406,IMPORTRANGE(""https://docs.google.com/spreadsheets/d/14Bd19lYaqBhU8_DElYkX7l4wRkHqqCUFNJY4AfY3kHU/edit?usp=sharing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05" s="7" t="s">
        <v>29</v>
      </c>
    </row>
    <row r="9406" spans="1:10" ht="13.2">
      <c r="A9406" s="7">
        <v>9405</v>
      </c>
      <c r="B9406" s="7">
        <v>1</v>
      </c>
      <c r="C9406" s="7" t="s">
        <v>10</v>
      </c>
      <c r="D9406" s="7">
        <v>11244</v>
      </c>
      <c r="E9406" s="7" t="s">
        <v>28</v>
      </c>
      <c r="F9406" s="8" t="str">
        <f ca="1">IFERROR(__xludf.DUMMYFUNCTION("IF
(
C9407=""фізична особа""
,
VLOOKUP(D9407,IMPORTRANGE(""https://docs.google.com/spreadsheets/d/14Bd19lYaqBhU8_DElYkX7l4wRkHqqCUFNJY4AfY3kHU/edit?usp=sharing  #gid=0"",""фіз особи new!relations_name""),6,FALSE)
,
(IF
(
C9407=""юридична особа""
,
VLOOKUP"&amp;"(D9407,IMPORTRANGE(""https://docs.google.com/spreadsheets/d/14Bd19lYaqBhU8_DElYkX7l4wRkHqqCUFNJY4AfY3kHU/edit?usp=sharing  #gid=0"",""фіз особи new!relations_name_uo""),7,FALSE)
,
)
))"),"ЄФРЕМОВ Сергій Вікторович")</f>
        <v>ЄФРЕМОВ Сергій Вікторович</v>
      </c>
      <c r="G9406" s="7" t="s">
        <v>10</v>
      </c>
      <c r="H9406" s="7">
        <v>10205</v>
      </c>
      <c r="I9406" s="8" t="str">
        <f ca="1">IFERROR(__xludf.DUMMYFUNCTION("IF
(
G9407=""фізична особа""
,
VLOOKUP(H9407,IMPORTRANGE(""https://docs.google.com/spreadsheets/d/14Bd19lYaqBhU8_DElYkX7l4wRkHqqCUFNJY4AfY3kHU/edit?usp=sharing  #gid=0"",""фіз особи new!relations_name""),6,FALSE)
,
(IF
(
G9407=""юридична особа""
,
VLOOKUP"&amp;"(H9407,IMPORTRANGE(""https://docs.google.com/spreadsheets/d/14Bd19lYaqBhU8_DElYkX7l4wRkHqqCUFNJY4AfY3kHU/edit?usp=sharing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06" s="7" t="s">
        <v>29</v>
      </c>
    </row>
    <row r="9407" spans="1:10" ht="13.2">
      <c r="A9407" s="7">
        <v>9406</v>
      </c>
      <c r="B9407" s="7">
        <v>1</v>
      </c>
      <c r="C9407" s="7" t="s">
        <v>10</v>
      </c>
      <c r="D9407" s="7">
        <v>11245</v>
      </c>
      <c r="E9407" s="7" t="s">
        <v>28</v>
      </c>
      <c r="F9407" s="8" t="str">
        <f ca="1">IFERROR(__xludf.DUMMYFUNCTION("IF
(
C9408=""фізична особа""
,
VLOOKUP(D9408,IMPORTRANGE(""https://docs.google.com/spreadsheets/d/14Bd19lYaqBhU8_DElYkX7l4wRkHqqCUFNJY4AfY3kHU/edit?usp=sharing  #gid=0"",""фіз особи new!relations_name""),6,FALSE)
,
(IF
(
C9408=""юридична особа""
,
VLOOKUP"&amp;"(D9408,IMPORTRANGE(""https://docs.google.com/spreadsheets/d/14Bd19lYaqBhU8_DElYkX7l4wRkHqqCUFNJY4AfY3kHU/edit?usp=sharing  #gid=0"",""фіз особи new!relations_name_uo""),7,FALSE)
,
)
))"),"ГЛУЩЕНКО Світлана Олександрівна")</f>
        <v>ГЛУЩЕНКО Світлана Олександрівна</v>
      </c>
      <c r="G9407" s="7" t="s">
        <v>10</v>
      </c>
      <c r="H9407" s="7">
        <v>3087</v>
      </c>
      <c r="I9407" s="8" t="str">
        <f ca="1">IFERROR(__xludf.DUMMYFUNCTION("IF
(
G9408=""фізична особа""
,
VLOOKUP(H9408,IMPORTRANGE(""https://docs.google.com/spreadsheets/d/14Bd19lYaqBhU8_DElYkX7l4wRkHqqCUFNJY4AfY3kHU/edit?usp=sharing  #gid=0"",""фіз особи new!relations_name""),6,FALSE)
,
(IF
(
G9408=""юридична особа""
,
VLOOKUP"&amp;"(H9408,IMPORTRANGE(""https://docs.google.com/spreadsheets/d/14Bd19lYaqBhU8_DElYkX7l4wRkHqqCUFNJY4AfY3kHU/edit?usp=sharing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07" s="7" t="s">
        <v>29</v>
      </c>
    </row>
    <row r="9408" spans="1:10" ht="13.2">
      <c r="A9408" s="7">
        <v>9407</v>
      </c>
      <c r="B9408" s="7">
        <v>1</v>
      </c>
      <c r="C9408" s="7" t="s">
        <v>10</v>
      </c>
      <c r="D9408" s="7">
        <v>11245</v>
      </c>
      <c r="E9408" s="7" t="s">
        <v>28</v>
      </c>
      <c r="F9408" s="8" t="str">
        <f ca="1">IFERROR(__xludf.DUMMYFUNCTION("IF
(
C9409=""фізична особа""
,
VLOOKUP(D9409,IMPORTRANGE(""https://docs.google.com/spreadsheets/d/14Bd19lYaqBhU8_DElYkX7l4wRkHqqCUFNJY4AfY3kHU/edit?usp=sharing  #gid=0"",""фіз особи new!relations_name""),6,FALSE)
,
(IF
(
C9409=""юридична особа""
,
VLOOKUP"&amp;"(D9409,IMPORTRANGE(""https://docs.google.com/spreadsheets/d/14Bd19lYaqBhU8_DElYkX7l4wRkHqqCUFNJY4AfY3kHU/edit?usp=sharing  #gid=0"",""фіз особи new!relations_name_uo""),7,FALSE)
,
)
))"),"ГЛУЩЕНКО Світлана Олександрівна")</f>
        <v>ГЛУЩЕНКО Світлана Олександрівна</v>
      </c>
      <c r="G9408" s="7" t="s">
        <v>10</v>
      </c>
      <c r="H9408" s="7">
        <v>10205</v>
      </c>
      <c r="I9408" s="8" t="str">
        <f ca="1">IFERROR(__xludf.DUMMYFUNCTION("IF
(
G9409=""фізична особа""
,
VLOOKUP(H9409,IMPORTRANGE(""https://docs.google.com/spreadsheets/d/14Bd19lYaqBhU8_DElYkX7l4wRkHqqCUFNJY4AfY3kHU/edit?usp=sharing  #gid=0"",""фіз особи new!relations_name""),6,FALSE)
,
(IF
(
G9409=""юридична особа""
,
VLOOKUP"&amp;"(H9409,IMPORTRANGE(""https://docs.google.com/spreadsheets/d/14Bd19lYaqBhU8_DElYkX7l4wRkHqqCUFNJY4AfY3kHU/edit?usp=sharing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08" s="7" t="s">
        <v>29</v>
      </c>
    </row>
    <row r="9409" spans="1:10" ht="13.2">
      <c r="A9409" s="7">
        <v>9408</v>
      </c>
      <c r="B9409" s="7">
        <v>1</v>
      </c>
      <c r="C9409" s="7" t="s">
        <v>10</v>
      </c>
      <c r="D9409" s="7">
        <v>11246</v>
      </c>
      <c r="E9409" s="7" t="s">
        <v>28</v>
      </c>
      <c r="F9409" s="8" t="str">
        <f ca="1">IFERROR(__xludf.DUMMYFUNCTION("IF
(
C9410=""фізична особа""
,
VLOOKUP(D9410,IMPORTRANGE(""https://docs.google.com/spreadsheets/d/14Bd19lYaqBhU8_DElYkX7l4wRkHqqCUFNJY4AfY3kHU/edit?usp=sharing  #gid=0"",""фіз особи new!relations_name""),6,FALSE)
,
(IF
(
C9410=""юридична особа""
,
VLOOKUP"&amp;"(D9410,IMPORTRANGE(""https://docs.google.com/spreadsheets/d/14Bd19lYaqBhU8_DElYkX7l4wRkHqqCUFNJY4AfY3kHU/edit?usp=sharing  #gid=0"",""фіз особи new!relations_name_uo""),7,FALSE)
,
)
))"),"КУЗЬМІНА Марина Юріївна")</f>
        <v>КУЗЬМІНА Марина Юріївна</v>
      </c>
      <c r="G9409" s="7" t="s">
        <v>10</v>
      </c>
      <c r="H9409" s="7">
        <v>3087</v>
      </c>
      <c r="I9409" s="8" t="str">
        <f ca="1">IFERROR(__xludf.DUMMYFUNCTION("IF
(
G9410=""фізична особа""
,
VLOOKUP(H9410,IMPORTRANGE(""https://docs.google.com/spreadsheets/d/14Bd19lYaqBhU8_DElYkX7l4wRkHqqCUFNJY4AfY3kHU/edit?usp=sharing  #gid=0"",""фіз особи new!relations_name""),6,FALSE)
,
(IF
(
G9410=""юридична особа""
,
VLOOKUP"&amp;"(H9410,IMPORTRANGE(""https://docs.google.com/spreadsheets/d/14Bd19lYaqBhU8_DElYkX7l4wRkHqqCUFNJY4AfY3kHU/edit?usp=sharing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09" s="7" t="s">
        <v>29</v>
      </c>
    </row>
    <row r="9410" spans="1:10" ht="13.2">
      <c r="A9410" s="7">
        <v>9409</v>
      </c>
      <c r="B9410" s="7">
        <v>1</v>
      </c>
      <c r="C9410" s="7" t="s">
        <v>10</v>
      </c>
      <c r="D9410" s="7">
        <v>11246</v>
      </c>
      <c r="E9410" s="7" t="s">
        <v>28</v>
      </c>
      <c r="F9410" s="8" t="str">
        <f ca="1">IFERROR(__xludf.DUMMYFUNCTION("IF
(
C9411=""фізична особа""
,
VLOOKUP(D9411,IMPORTRANGE(""https://docs.google.com/spreadsheets/d/14Bd19lYaqBhU8_DElYkX7l4wRkHqqCUFNJY4AfY3kHU/edit?usp=sharing  #gid=0"",""фіз особи new!relations_name""),6,FALSE)
,
(IF
(
C9411=""юридична особа""
,
VLOOKUP"&amp;"(D9411,IMPORTRANGE(""https://docs.google.com/spreadsheets/d/14Bd19lYaqBhU8_DElYkX7l4wRkHqqCUFNJY4AfY3kHU/edit?usp=sharing  #gid=0"",""фіз особи new!relations_name_uo""),7,FALSE)
,
)
))"),"КУЗЬМІНА Марина Юріївна")</f>
        <v>КУЗЬМІНА Марина Юріївна</v>
      </c>
      <c r="G9410" s="7" t="s">
        <v>10</v>
      </c>
      <c r="H9410" s="7">
        <v>10205</v>
      </c>
      <c r="I9410" s="8" t="str">
        <f ca="1">IFERROR(__xludf.DUMMYFUNCTION("IF
(
G9411=""фізична особа""
,
VLOOKUP(H9411,IMPORTRANGE(""https://docs.google.com/spreadsheets/d/14Bd19lYaqBhU8_DElYkX7l4wRkHqqCUFNJY4AfY3kHU/edit?usp=sharing  #gid=0"",""фіз особи new!relations_name""),6,FALSE)
,
(IF
(
G9411=""юридична особа""
,
VLOOKUP"&amp;"(H9411,IMPORTRANGE(""https://docs.google.com/spreadsheets/d/14Bd19lYaqBhU8_DElYkX7l4wRkHqqCUFNJY4AfY3kHU/edit?usp=sharing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10" s="7" t="s">
        <v>29</v>
      </c>
    </row>
    <row r="9411" spans="1:10" ht="13.2">
      <c r="A9411" s="7">
        <v>9410</v>
      </c>
      <c r="B9411" s="7">
        <v>1</v>
      </c>
      <c r="C9411" s="7" t="s">
        <v>10</v>
      </c>
      <c r="D9411" s="7">
        <v>11247</v>
      </c>
      <c r="E9411" s="7" t="s">
        <v>28</v>
      </c>
      <c r="F9411" s="8" t="str">
        <f ca="1">IFERROR(__xludf.DUMMYFUNCTION("IF
(
C9412=""фізична особа""
,
VLOOKUP(D9412,IMPORTRANGE(""https://docs.google.com/spreadsheets/d/14Bd19lYaqBhU8_DElYkX7l4wRkHqqCUFNJY4AfY3kHU/edit?usp=sharing  #gid=0"",""фіз особи new!relations_name""),6,FALSE)
,
(IF
(
C9412=""юридична особа""
,
VLOOKUP"&amp;"(D9412,IMPORTRANGE(""https://docs.google.com/spreadsheets/d/14Bd19lYaqBhU8_DElYkX7l4wRkHqqCUFNJY4AfY3kHU/edit?usp=sharing  #gid=0"",""фіз особи new!relations_name_uo""),7,FALSE)
,
)
))"),"ЛАВРЕНТЬЄВА Лариса Володимирівна")</f>
        <v>ЛАВРЕНТЬЄВА Лариса Володимирівна</v>
      </c>
      <c r="G9411" s="7" t="s">
        <v>10</v>
      </c>
      <c r="H9411" s="7">
        <v>3087</v>
      </c>
      <c r="I9411" s="8" t="str">
        <f ca="1">IFERROR(__xludf.DUMMYFUNCTION("IF
(
G9412=""фізична особа""
,
VLOOKUP(H9412,IMPORTRANGE(""https://docs.google.com/spreadsheets/d/14Bd19lYaqBhU8_DElYkX7l4wRkHqqCUFNJY4AfY3kHU/edit?usp=sharing  #gid=0"",""фіз особи new!relations_name""),6,FALSE)
,
(IF
(
G9412=""юридична особа""
,
VLOOKUP"&amp;"(H9412,IMPORTRANGE(""https://docs.google.com/spreadsheets/d/14Bd19lYaqBhU8_DElYkX7l4wRkHqqCUFNJY4AfY3kHU/edit?usp=sharing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11" s="7" t="s">
        <v>29</v>
      </c>
    </row>
    <row r="9412" spans="1:10" ht="13.2">
      <c r="A9412" s="7">
        <v>9411</v>
      </c>
      <c r="B9412" s="7">
        <v>1</v>
      </c>
      <c r="C9412" s="7" t="s">
        <v>10</v>
      </c>
      <c r="D9412" s="7">
        <v>11247</v>
      </c>
      <c r="E9412" s="7" t="s">
        <v>28</v>
      </c>
      <c r="F9412" s="8" t="str">
        <f ca="1">IFERROR(__xludf.DUMMYFUNCTION("IF
(
C9413=""фізична особа""
,
VLOOKUP(D9413,IMPORTRANGE(""https://docs.google.com/spreadsheets/d/14Bd19lYaqBhU8_DElYkX7l4wRkHqqCUFNJY4AfY3kHU/edit?usp=sharing  #gid=0"",""фіз особи new!relations_name""),6,FALSE)
,
(IF
(
C9413=""юридична особа""
,
VLOOKUP"&amp;"(D9413,IMPORTRANGE(""https://docs.google.com/spreadsheets/d/14Bd19lYaqBhU8_DElYkX7l4wRkHqqCUFNJY4AfY3kHU/edit?usp=sharing  #gid=0"",""фіз особи new!relations_name_uo""),7,FALSE)
,
)
))"),"ЛАВРЕНТЬЄВА Лариса Володимирівна")</f>
        <v>ЛАВРЕНТЬЄВА Лариса Володимирівна</v>
      </c>
      <c r="G9412" s="7" t="s">
        <v>10</v>
      </c>
      <c r="H9412" s="7">
        <v>10205</v>
      </c>
      <c r="I9412" s="8" t="str">
        <f ca="1">IFERROR(__xludf.DUMMYFUNCTION("IF
(
G9413=""фізична особа""
,
VLOOKUP(H9413,IMPORTRANGE(""https://docs.google.com/spreadsheets/d/14Bd19lYaqBhU8_DElYkX7l4wRkHqqCUFNJY4AfY3kHU/edit?usp=sharing  #gid=0"",""фіз особи new!relations_name""),6,FALSE)
,
(IF
(
G9413=""юридична особа""
,
VLOOKUP"&amp;"(H9413,IMPORTRANGE(""https://docs.google.com/spreadsheets/d/14Bd19lYaqBhU8_DElYkX7l4wRkHqqCUFNJY4AfY3kHU/edit?usp=sharing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12" s="7" t="s">
        <v>29</v>
      </c>
    </row>
    <row r="9413" spans="1:10" ht="13.2">
      <c r="A9413" s="7">
        <v>9412</v>
      </c>
      <c r="B9413" s="7">
        <v>1</v>
      </c>
      <c r="C9413" s="7" t="s">
        <v>10</v>
      </c>
      <c r="D9413" s="7">
        <v>11248</v>
      </c>
      <c r="E9413" s="7" t="s">
        <v>28</v>
      </c>
      <c r="F9413" s="8" t="str">
        <f ca="1">IFERROR(__xludf.DUMMYFUNCTION("IF
(
C9414=""фізична особа""
,
VLOOKUP(D9414,IMPORTRANGE(""https://docs.google.com/spreadsheets/d/14Bd19lYaqBhU8_DElYkX7l4wRkHqqCUFNJY4AfY3kHU/edit?usp=sharing  #gid=0"",""фіз особи new!relations_name""),6,FALSE)
,
(IF
(
C9414=""юридична особа""
,
VLOOKUP"&amp;"(D9414,IMPORTRANGE(""https://docs.google.com/spreadsheets/d/14Bd19lYaqBhU8_DElYkX7l4wRkHqqCUFNJY4AfY3kHU/edit?usp=sharing  #gid=0"",""фіз особи new!relations_name_uo""),7,FALSE)
,
)
))"),"ТРОШИН Олексій Геннадійович")</f>
        <v>ТРОШИН Олексій Геннадійович</v>
      </c>
      <c r="G9413" s="7" t="s">
        <v>10</v>
      </c>
      <c r="H9413" s="7">
        <v>3087</v>
      </c>
      <c r="I9413" s="8" t="str">
        <f ca="1">IFERROR(__xludf.DUMMYFUNCTION("IF
(
G9414=""фізична особа""
,
VLOOKUP(H9414,IMPORTRANGE(""https://docs.google.com/spreadsheets/d/14Bd19lYaqBhU8_DElYkX7l4wRkHqqCUFNJY4AfY3kHU/edit?usp=sharing  #gid=0"",""фіз особи new!relations_name""),6,FALSE)
,
(IF
(
G9414=""юридична особа""
,
VLOOKUP"&amp;"(H9414,IMPORTRANGE(""https://docs.google.com/spreadsheets/d/14Bd19lYaqBhU8_DElYkX7l4wRkHqqCUFNJY4AfY3kHU/edit?usp=sharing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13" s="7" t="s">
        <v>29</v>
      </c>
    </row>
    <row r="9414" spans="1:10" ht="13.2">
      <c r="A9414" s="7">
        <v>9413</v>
      </c>
      <c r="B9414" s="7">
        <v>1</v>
      </c>
      <c r="C9414" s="7" t="s">
        <v>10</v>
      </c>
      <c r="D9414" s="7">
        <v>11248</v>
      </c>
      <c r="E9414" s="7" t="s">
        <v>28</v>
      </c>
      <c r="F9414" s="8" t="str">
        <f ca="1">IFERROR(__xludf.DUMMYFUNCTION("IF
(
C9415=""фізична особа""
,
VLOOKUP(D9415,IMPORTRANGE(""https://docs.google.com/spreadsheets/d/14Bd19lYaqBhU8_DElYkX7l4wRkHqqCUFNJY4AfY3kHU/edit?usp=sharing  #gid=0"",""фіз особи new!relations_name""),6,FALSE)
,
(IF
(
C9415=""юридична особа""
,
VLOOKUP"&amp;"(D9415,IMPORTRANGE(""https://docs.google.com/spreadsheets/d/14Bd19lYaqBhU8_DElYkX7l4wRkHqqCUFNJY4AfY3kHU/edit?usp=sharing  #gid=0"",""фіз особи new!relations_name_uo""),7,FALSE)
,
)
))"),"ТРОШИН Олексій Геннадійович")</f>
        <v>ТРОШИН Олексій Геннадійович</v>
      </c>
      <c r="G9414" s="7" t="s">
        <v>10</v>
      </c>
      <c r="H9414" s="7">
        <v>10205</v>
      </c>
      <c r="I9414" s="8" t="str">
        <f ca="1">IFERROR(__xludf.DUMMYFUNCTION("IF
(
G9415=""фізична особа""
,
VLOOKUP(H9415,IMPORTRANGE(""https://docs.google.com/spreadsheets/d/14Bd19lYaqBhU8_DElYkX7l4wRkHqqCUFNJY4AfY3kHU/edit?usp=sharing  #gid=0"",""фіз особи new!relations_name""),6,FALSE)
,
(IF
(
G9415=""юридична особа""
,
VLOOKUP"&amp;"(H9415,IMPORTRANGE(""https://docs.google.com/spreadsheets/d/14Bd19lYaqBhU8_DElYkX7l4wRkHqqCUFNJY4AfY3kHU/edit?usp=sharing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14" s="7" t="s">
        <v>29</v>
      </c>
    </row>
    <row r="9415" spans="1:10" ht="13.2">
      <c r="A9415" s="7">
        <v>9414</v>
      </c>
      <c r="B9415" s="7">
        <v>1</v>
      </c>
      <c r="C9415" s="7" t="s">
        <v>10</v>
      </c>
      <c r="D9415" s="7">
        <v>11249</v>
      </c>
      <c r="E9415" s="7" t="s">
        <v>28</v>
      </c>
      <c r="F9415" s="8" t="str">
        <f ca="1">IFERROR(__xludf.DUMMYFUNCTION("IF
(
C9416=""фізична особа""
,
VLOOKUP(D9416,IMPORTRANGE(""https://docs.google.com/spreadsheets/d/14Bd19lYaqBhU8_DElYkX7l4wRkHqqCUFNJY4AfY3kHU/edit?usp=sharing  #gid=0"",""фіз особи new!relations_name""),6,FALSE)
,
(IF
(
C9416=""юридична особа""
,
VLOOKUP"&amp;"(D9416,IMPORTRANGE(""https://docs.google.com/spreadsheets/d/14Bd19lYaqBhU8_DElYkX7l4wRkHqqCUFNJY4AfY3kHU/edit?usp=sharing  #gid=0"",""фіз особи new!relations_name_uo""),7,FALSE)
,
)
))"),"АНДРОСОВА Наталія Вікторівна")</f>
        <v>АНДРОСОВА Наталія Вікторівна</v>
      </c>
      <c r="G9415" s="7" t="s">
        <v>10</v>
      </c>
      <c r="H9415" s="7">
        <v>3087</v>
      </c>
      <c r="I9415" s="8" t="str">
        <f ca="1">IFERROR(__xludf.DUMMYFUNCTION("IF
(
G9416=""фізична особа""
,
VLOOKUP(H9416,IMPORTRANGE(""https://docs.google.com/spreadsheets/d/14Bd19lYaqBhU8_DElYkX7l4wRkHqqCUFNJY4AfY3kHU/edit?usp=sharing  #gid=0"",""фіз особи new!relations_name""),6,FALSE)
,
(IF
(
G9416=""юридична особа""
,
VLOOKUP"&amp;"(H9416,IMPORTRANGE(""https://docs.google.com/spreadsheets/d/14Bd19lYaqBhU8_DElYkX7l4wRkHqqCUFNJY4AfY3kHU/edit?usp=sharing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15" s="7" t="s">
        <v>29</v>
      </c>
    </row>
    <row r="9416" spans="1:10" ht="13.2">
      <c r="A9416" s="7">
        <v>9415</v>
      </c>
      <c r="B9416" s="7">
        <v>1</v>
      </c>
      <c r="C9416" s="7" t="s">
        <v>10</v>
      </c>
      <c r="D9416" s="7">
        <v>11249</v>
      </c>
      <c r="E9416" s="7" t="s">
        <v>28</v>
      </c>
      <c r="F9416" s="8" t="str">
        <f ca="1">IFERROR(__xludf.DUMMYFUNCTION("IF
(
C9417=""фізична особа""
,
VLOOKUP(D9417,IMPORTRANGE(""https://docs.google.com/spreadsheets/d/14Bd19lYaqBhU8_DElYkX7l4wRkHqqCUFNJY4AfY3kHU/edit?usp=sharing  #gid=0"",""фіз особи new!relations_name""),6,FALSE)
,
(IF
(
C9417=""юридична особа""
,
VLOOKUP"&amp;"(D9417,IMPORTRANGE(""https://docs.google.com/spreadsheets/d/14Bd19lYaqBhU8_DElYkX7l4wRkHqqCUFNJY4AfY3kHU/edit?usp=sharing  #gid=0"",""фіз особи new!relations_name_uo""),7,FALSE)
,
)
))"),"АНДРОСОВА Наталія Вікторівна")</f>
        <v>АНДРОСОВА Наталія Вікторівна</v>
      </c>
      <c r="G9416" s="7" t="s">
        <v>10</v>
      </c>
      <c r="H9416" s="7">
        <v>10205</v>
      </c>
      <c r="I9416" s="8" t="str">
        <f ca="1">IFERROR(__xludf.DUMMYFUNCTION("IF
(
G9417=""фізична особа""
,
VLOOKUP(H9417,IMPORTRANGE(""https://docs.google.com/spreadsheets/d/14Bd19lYaqBhU8_DElYkX7l4wRkHqqCUFNJY4AfY3kHU/edit?usp=sharing  #gid=0"",""фіз особи new!relations_name""),6,FALSE)
,
(IF
(
G9417=""юридична особа""
,
VLOOKUP"&amp;"(H9417,IMPORTRANGE(""https://docs.google.com/spreadsheets/d/14Bd19lYaqBhU8_DElYkX7l4wRkHqqCUFNJY4AfY3kHU/edit?usp=sharing  #gid=0"",""фіз особи new!relations_name_uo""),7,FALSE)
,
)
))"),"САДОВ Михайло Володимирович")</f>
        <v>САДОВ Михайло Володимирович</v>
      </c>
      <c r="J9416" s="7" t="s">
        <v>29</v>
      </c>
    </row>
    <row r="9417" spans="1:10" ht="13.2">
      <c r="A9417" s="7">
        <v>9416</v>
      </c>
      <c r="B9417" s="7">
        <v>1</v>
      </c>
      <c r="C9417" s="7" t="s">
        <v>10</v>
      </c>
      <c r="D9417" s="7">
        <v>11250</v>
      </c>
      <c r="E9417" s="7" t="s">
        <v>28</v>
      </c>
      <c r="F9417" s="8" t="str">
        <f ca="1">IFERROR(__xludf.DUMMYFUNCTION("IF
(
C9418=""фізична особа""
,
VLOOKUP(D9418,IMPORTRANGE(""https://docs.google.com/spreadsheets/d/14Bd19lYaqBhU8_DElYkX7l4wRkHqqCUFNJY4AfY3kHU/edit?usp=sharing  #gid=0"",""фіз особи new!relations_name""),6,FALSE)
,
(IF
(
C9418=""юридична особа""
,
VLOOKUP"&amp;"(D9418,IMPORTRANGE(""https://docs.google.com/spreadsheets/d/14Bd19lYaqBhU8_DElYkX7l4wRkHqqCUFNJY4AfY3kHU/edit?usp=sharing  #gid=0"",""фіз особи new!relations_name_uo""),7,FALSE)
,
)
))"),"КУРИНІН Роман Вікторович")</f>
        <v>КУРИНІН Роман Вікторович</v>
      </c>
      <c r="G9417" s="7" t="s">
        <v>10</v>
      </c>
      <c r="H9417" s="7">
        <v>3082</v>
      </c>
      <c r="I9417" s="8" t="str">
        <f ca="1">IFERROR(__xludf.DUMMYFUNCTION("IF
(
G9418=""фізична особа""
,
VLOOKUP(H9418,IMPORTRANGE(""https://docs.google.com/spreadsheets/d/14Bd19lYaqBhU8_DElYkX7l4wRkHqqCUFNJY4AfY3kHU/edit?usp=sharing  #gid=0"",""фіз особи new!relations_name""),6,FALSE)
,
(IF
(
G9418=""юридична особа""
,
VLOOKUP"&amp;"(H9418,IMPORTRANGE(""https://docs.google.com/spreadsheets/d/14Bd19lYaqBhU8_DElYkX7l4wRkHqqCUFNJY4AfY3kHU/edit?usp=sharing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17" s="7" t="s">
        <v>29</v>
      </c>
    </row>
    <row r="9418" spans="1:10" ht="13.2">
      <c r="A9418" s="7">
        <v>9417</v>
      </c>
      <c r="B9418" s="7">
        <v>1</v>
      </c>
      <c r="C9418" s="7" t="s">
        <v>10</v>
      </c>
      <c r="D9418" s="7">
        <v>11251</v>
      </c>
      <c r="E9418" s="7" t="s">
        <v>28</v>
      </c>
      <c r="F9418" s="8" t="str">
        <f ca="1">IFERROR(__xludf.DUMMYFUNCTION("IF
(
C9419=""фізична особа""
,
VLOOKUP(D9419,IMPORTRANGE(""https://docs.google.com/spreadsheets/d/14Bd19lYaqBhU8_DElYkX7l4wRkHqqCUFNJY4AfY3kHU/edit?usp=sharing  #gid=0"",""фіз особи new!relations_name""),6,FALSE)
,
(IF
(
C9419=""юридична особа""
,
VLOOKUP"&amp;"(D9419,IMPORTRANGE(""https://docs.google.com/spreadsheets/d/14Bd19lYaqBhU8_DElYkX7l4wRkHqqCUFNJY4AfY3kHU/edit?usp=sharing  #gid=0"",""фіз особи new!relations_name_uo""),7,FALSE)
,
)
))"),"ЩУКІН Сергій Вікторович")</f>
        <v>ЩУКІН Сергій Вікторович</v>
      </c>
      <c r="G9418" s="7" t="s">
        <v>10</v>
      </c>
      <c r="H9418" s="7">
        <v>3082</v>
      </c>
      <c r="I9418" s="8" t="str">
        <f ca="1">IFERROR(__xludf.DUMMYFUNCTION("IF
(
G9419=""фізична особа""
,
VLOOKUP(H9419,IMPORTRANGE(""https://docs.google.com/spreadsheets/d/14Bd19lYaqBhU8_DElYkX7l4wRkHqqCUFNJY4AfY3kHU/edit?usp=sharing  #gid=0"",""фіз особи new!relations_name""),6,FALSE)
,
(IF
(
G9419=""юридична особа""
,
VLOOKUP"&amp;"(H9419,IMPORTRANGE(""https://docs.google.com/spreadsheets/d/14Bd19lYaqBhU8_DElYkX7l4wRkHqqCUFNJY4AfY3kHU/edit?usp=sharing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18" s="7" t="s">
        <v>29</v>
      </c>
    </row>
    <row r="9419" spans="1:10" ht="13.2">
      <c r="A9419" s="7">
        <v>9418</v>
      </c>
      <c r="B9419" s="7">
        <v>1</v>
      </c>
      <c r="C9419" s="7" t="s">
        <v>10</v>
      </c>
      <c r="D9419" s="7">
        <v>11252</v>
      </c>
      <c r="E9419" s="7" t="s">
        <v>28</v>
      </c>
      <c r="F9419" s="8" t="str">
        <f ca="1">IFERROR(__xludf.DUMMYFUNCTION("IF
(
C9420=""фізична особа""
,
VLOOKUP(D9420,IMPORTRANGE(""https://docs.google.com/spreadsheets/d/14Bd19lYaqBhU8_DElYkX7l4wRkHqqCUFNJY4AfY3kHU/edit?usp=sharing  #gid=0"",""фіз особи new!relations_name""),6,FALSE)
,
(IF
(
C9420=""юридична особа""
,
VLOOKUP"&amp;"(D9420,IMPORTRANGE(""https://docs.google.com/spreadsheets/d/14Bd19lYaqBhU8_DElYkX7l4wRkHqqCUFNJY4AfY3kHU/edit?usp=sharing  #gid=0"",""фіз особи new!relations_name_uo""),7,FALSE)
,
)
))"),"ГАШИМОВА Дінара Тимербаївна")</f>
        <v>ГАШИМОВА Дінара Тимербаївна</v>
      </c>
      <c r="G9419" s="7" t="s">
        <v>10</v>
      </c>
      <c r="H9419" s="7">
        <v>3082</v>
      </c>
      <c r="I9419" s="8" t="str">
        <f ca="1">IFERROR(__xludf.DUMMYFUNCTION("IF
(
G9420=""фізична особа""
,
VLOOKUP(H9420,IMPORTRANGE(""https://docs.google.com/spreadsheets/d/14Bd19lYaqBhU8_DElYkX7l4wRkHqqCUFNJY4AfY3kHU/edit?usp=sharing  #gid=0"",""фіз особи new!relations_name""),6,FALSE)
,
(IF
(
G9420=""юридична особа""
,
VLOOKUP"&amp;"(H9420,IMPORTRANGE(""https://docs.google.com/spreadsheets/d/14Bd19lYaqBhU8_DElYkX7l4wRkHqqCUFNJY4AfY3kHU/edit?usp=sharing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19" s="7" t="s">
        <v>29</v>
      </c>
    </row>
    <row r="9420" spans="1:10" ht="13.2">
      <c r="A9420" s="7">
        <v>9419</v>
      </c>
      <c r="B9420" s="7">
        <v>1</v>
      </c>
      <c r="C9420" s="7" t="s">
        <v>10</v>
      </c>
      <c r="D9420" s="7">
        <v>11253</v>
      </c>
      <c r="E9420" s="7" t="s">
        <v>28</v>
      </c>
      <c r="F9420" s="8" t="str">
        <f ca="1">IFERROR(__xludf.DUMMYFUNCTION("IF
(
C9421=""фізична особа""
,
VLOOKUP(D9421,IMPORTRANGE(""https://docs.google.com/spreadsheets/d/14Bd19lYaqBhU8_DElYkX7l4wRkHqqCUFNJY4AfY3kHU/edit?usp=sharing  #gid=0"",""фіз особи new!relations_name""),6,FALSE)
,
(IF
(
C9421=""юридична особа""
,
VLOOKUP"&amp;"(D9421,IMPORTRANGE(""https://docs.google.com/spreadsheets/d/14Bd19lYaqBhU8_DElYkX7l4wRkHqqCUFNJY4AfY3kHU/edit?usp=sharing  #gid=0"",""фіз особи new!relations_name_uo""),7,FALSE)
,
)
))"),"БАШАНКАЄВ Еренджен Миколайович")</f>
        <v>БАШАНКАЄВ Еренджен Миколайович</v>
      </c>
      <c r="G9420" s="7" t="s">
        <v>10</v>
      </c>
      <c r="H9420" s="7">
        <v>3082</v>
      </c>
      <c r="I9420" s="8" t="str">
        <f ca="1">IFERROR(__xludf.DUMMYFUNCTION("IF
(
G9421=""фізична особа""
,
VLOOKUP(H9421,IMPORTRANGE(""https://docs.google.com/spreadsheets/d/14Bd19lYaqBhU8_DElYkX7l4wRkHqqCUFNJY4AfY3kHU/edit?usp=sharing  #gid=0"",""фіз особи new!relations_name""),6,FALSE)
,
(IF
(
G9421=""юридична особа""
,
VLOOKUP"&amp;"(H9421,IMPORTRANGE(""https://docs.google.com/spreadsheets/d/14Bd19lYaqBhU8_DElYkX7l4wRkHqqCUFNJY4AfY3kHU/edit?usp=sharing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0" s="7" t="s">
        <v>29</v>
      </c>
    </row>
    <row r="9421" spans="1:10" ht="13.2">
      <c r="A9421" s="7">
        <v>9420</v>
      </c>
      <c r="B9421" s="7">
        <v>1</v>
      </c>
      <c r="C9421" s="7" t="s">
        <v>10</v>
      </c>
      <c r="D9421" s="7">
        <v>11254</v>
      </c>
      <c r="E9421" s="7" t="s">
        <v>28</v>
      </c>
      <c r="F9421" s="8" t="str">
        <f ca="1">IFERROR(__xludf.DUMMYFUNCTION("IF
(
C9422=""фізична особа""
,
VLOOKUP(D9422,IMPORTRANGE(""https://docs.google.com/spreadsheets/d/14Bd19lYaqBhU8_DElYkX7l4wRkHqqCUFNJY4AfY3kHU/edit?usp=sharing  #gid=0"",""фіз особи new!relations_name""),6,FALSE)
,
(IF
(
C9422=""юридична особа""
,
VLOOKUP"&amp;"(D9422,IMPORTRANGE(""https://docs.google.com/spreadsheets/d/14Bd19lYaqBhU8_DElYkX7l4wRkHqqCUFNJY4AfY3kHU/edit?usp=sharing  #gid=0"",""фіз особи new!relations_name_uo""),7,FALSE)
,
)
))"),"БОРОВ Ахмед Махмутович")</f>
        <v>БОРОВ Ахмед Махмутович</v>
      </c>
      <c r="G9421" s="7" t="s">
        <v>10</v>
      </c>
      <c r="H9421" s="7">
        <v>3082</v>
      </c>
      <c r="I9421" s="8" t="str">
        <f ca="1">IFERROR(__xludf.DUMMYFUNCTION("IF
(
G9422=""фізична особа""
,
VLOOKUP(H9422,IMPORTRANGE(""https://docs.google.com/spreadsheets/d/14Bd19lYaqBhU8_DElYkX7l4wRkHqqCUFNJY4AfY3kHU/edit?usp=sharing  #gid=0"",""фіз особи new!relations_name""),6,FALSE)
,
(IF
(
G9422=""юридична особа""
,
VLOOKUP"&amp;"(H9422,IMPORTRANGE(""https://docs.google.com/spreadsheets/d/14Bd19lYaqBhU8_DElYkX7l4wRkHqqCUFNJY4AfY3kHU/edit?usp=sharing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1" s="7" t="s">
        <v>29</v>
      </c>
    </row>
    <row r="9422" spans="1:10" ht="13.2">
      <c r="A9422" s="7">
        <v>9421</v>
      </c>
      <c r="B9422" s="7">
        <v>1</v>
      </c>
      <c r="C9422" s="7" t="s">
        <v>10</v>
      </c>
      <c r="D9422" s="7">
        <v>11255</v>
      </c>
      <c r="E9422" s="7" t="s">
        <v>28</v>
      </c>
      <c r="F9422" s="8" t="str">
        <f ca="1">IFERROR(__xludf.DUMMYFUNCTION("IF
(
C9423=""фізична особа""
,
VLOOKUP(D9423,IMPORTRANGE(""https://docs.google.com/spreadsheets/d/14Bd19lYaqBhU8_DElYkX7l4wRkHqqCUFNJY4AfY3kHU/edit?usp=sharing  #gid=0"",""фіз особи new!relations_name""),6,FALSE)
,
(IF
(
C9423=""юридична особа""
,
VLOOKUP"&amp;"(D9423,IMPORTRANGE(""https://docs.google.com/spreadsheets/d/14Bd19lYaqBhU8_DElYkX7l4wRkHqqCUFNJY4AfY3kHU/edit?usp=sharing  #gid=0"",""фіз особи new!relations_name_uo""),7,FALSE)
,
)
))"),"АГАЄВ Микола Миколайович")</f>
        <v>АГАЄВ Микола Миколайович</v>
      </c>
      <c r="G9422" s="7" t="s">
        <v>10</v>
      </c>
      <c r="H9422" s="7">
        <v>3082</v>
      </c>
      <c r="I9422" s="8" t="str">
        <f ca="1">IFERROR(__xludf.DUMMYFUNCTION("IF
(
G9423=""фізична особа""
,
VLOOKUP(H9423,IMPORTRANGE(""https://docs.google.com/spreadsheets/d/14Bd19lYaqBhU8_DElYkX7l4wRkHqqCUFNJY4AfY3kHU/edit?usp=sharing  #gid=0"",""фіз особи new!relations_name""),6,FALSE)
,
(IF
(
G9423=""юридична особа""
,
VLOOKUP"&amp;"(H9423,IMPORTRANGE(""https://docs.google.com/spreadsheets/d/14Bd19lYaqBhU8_DElYkX7l4wRkHqqCUFNJY4AfY3kHU/edit?usp=sharing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2" s="7" t="s">
        <v>29</v>
      </c>
    </row>
    <row r="9423" spans="1:10" ht="13.2">
      <c r="A9423" s="7">
        <v>9422</v>
      </c>
      <c r="B9423" s="7">
        <v>1</v>
      </c>
      <c r="C9423" s="7" t="s">
        <v>10</v>
      </c>
      <c r="D9423" s="7">
        <v>11256</v>
      </c>
      <c r="E9423" s="7" t="s">
        <v>28</v>
      </c>
      <c r="F9423" s="8" t="str">
        <f ca="1">IFERROR(__xludf.DUMMYFUNCTION("IF
(
C9424=""фізична особа""
,
VLOOKUP(D9424,IMPORTRANGE(""https://docs.google.com/spreadsheets/d/14Bd19lYaqBhU8_DElYkX7l4wRkHqqCUFNJY4AfY3kHU/edit?usp=sharing  #gid=0"",""фіз особи new!relations_name""),6,FALSE)
,
(IF
(
C9424=""юридична особа""
,
VLOOKUP"&amp;"(D9424,IMPORTRANGE(""https://docs.google.com/spreadsheets/d/14Bd19lYaqBhU8_DElYkX7l4wRkHqqCUFNJY4AfY3kHU/edit?usp=sharing  #gid=0"",""фіз особи new!relations_name_uo""),7,FALSE)
,
)
))"),"ФРОЛОВ Андрій Сергійович")</f>
        <v>ФРОЛОВ Андрій Сергійович</v>
      </c>
      <c r="G9423" s="7" t="s">
        <v>10</v>
      </c>
      <c r="H9423" s="7">
        <v>3082</v>
      </c>
      <c r="I9423" s="8" t="str">
        <f ca="1">IFERROR(__xludf.DUMMYFUNCTION("IF
(
G9424=""фізична особа""
,
VLOOKUP(H9424,IMPORTRANGE(""https://docs.google.com/spreadsheets/d/14Bd19lYaqBhU8_DElYkX7l4wRkHqqCUFNJY4AfY3kHU/edit?usp=sharing  #gid=0"",""фіз особи new!relations_name""),6,FALSE)
,
(IF
(
G9424=""юридична особа""
,
VLOOKUP"&amp;"(H9424,IMPORTRANGE(""https://docs.google.com/spreadsheets/d/14Bd19lYaqBhU8_DElYkX7l4wRkHqqCUFNJY4AfY3kHU/edit?usp=sharing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3" s="7" t="s">
        <v>29</v>
      </c>
    </row>
    <row r="9424" spans="1:10" ht="13.2">
      <c r="A9424" s="7">
        <v>9423</v>
      </c>
      <c r="B9424" s="7">
        <v>1</v>
      </c>
      <c r="C9424" s="7" t="s">
        <v>10</v>
      </c>
      <c r="D9424" s="7">
        <v>11257</v>
      </c>
      <c r="E9424" s="7" t="s">
        <v>28</v>
      </c>
      <c r="F9424" s="8" t="str">
        <f ca="1">IFERROR(__xludf.DUMMYFUNCTION("IF
(
C9425=""фізична особа""
,
VLOOKUP(D9425,IMPORTRANGE(""https://docs.google.com/spreadsheets/d/14Bd19lYaqBhU8_DElYkX7l4wRkHqqCUFNJY4AfY3kHU/edit?usp=sharing  #gid=0"",""фіз особи new!relations_name""),6,FALSE)
,
(IF
(
C9425=""юридична особа""
,
VLOOKUP"&amp;"(D9425,IMPORTRANGE(""https://docs.google.com/spreadsheets/d/14Bd19lYaqBhU8_DElYkX7l4wRkHqqCUFNJY4AfY3kHU/edit?usp=sharing  #gid=0"",""фіз особи new!relations_name_uo""),7,FALSE)
,
)
))"),"ШПАК Ірина Миколаївна")</f>
        <v>ШПАК Ірина Миколаївна</v>
      </c>
      <c r="G9424" s="7" t="s">
        <v>10</v>
      </c>
      <c r="H9424" s="7">
        <v>3082</v>
      </c>
      <c r="I9424" s="8" t="str">
        <f ca="1">IFERROR(__xludf.DUMMYFUNCTION("IF
(
G9425=""фізична особа""
,
VLOOKUP(H9425,IMPORTRANGE(""https://docs.google.com/spreadsheets/d/14Bd19lYaqBhU8_DElYkX7l4wRkHqqCUFNJY4AfY3kHU/edit?usp=sharing  #gid=0"",""фіз особи new!relations_name""),6,FALSE)
,
(IF
(
G9425=""юридична особа""
,
VLOOKUP"&amp;"(H9425,IMPORTRANGE(""https://docs.google.com/spreadsheets/d/14Bd19lYaqBhU8_DElYkX7l4wRkHqqCUFNJY4AfY3kHU/edit?usp=sharing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4" s="7" t="s">
        <v>29</v>
      </c>
    </row>
    <row r="9425" spans="1:10" ht="13.2">
      <c r="A9425" s="7">
        <v>9424</v>
      </c>
      <c r="B9425" s="7">
        <v>1</v>
      </c>
      <c r="C9425" s="7" t="s">
        <v>10</v>
      </c>
      <c r="D9425" s="7">
        <v>11258</v>
      </c>
      <c r="E9425" s="7" t="s">
        <v>28</v>
      </c>
      <c r="F9425" s="8" t="str">
        <f ca="1">IFERROR(__xludf.DUMMYFUNCTION("IF
(
C9426=""фізична особа""
,
VLOOKUP(D9426,IMPORTRANGE(""https://docs.google.com/spreadsheets/d/14Bd19lYaqBhU8_DElYkX7l4wRkHqqCUFNJY4AfY3kHU/edit?usp=sharing  #gid=0"",""фіз особи new!relations_name""),6,FALSE)
,
(IF
(
C9426=""юридична особа""
,
VLOOKUP"&amp;"(D9426,IMPORTRANGE(""https://docs.google.com/spreadsheets/d/14Bd19lYaqBhU8_DElYkX7l4wRkHqqCUFNJY4AfY3kHU/edit?usp=sharing  #gid=0"",""фіз особи new!relations_name_uo""),7,FALSE)
,
)
))"),"БОЛДИРЄВА / СМІРНОВА Тетяна Іванівна")</f>
        <v>БОЛДИРЄВА / СМІРНОВА Тетяна Іванівна</v>
      </c>
      <c r="G9425" s="7" t="s">
        <v>10</v>
      </c>
      <c r="H9425" s="7">
        <v>3082</v>
      </c>
      <c r="I9425" s="8" t="str">
        <f ca="1">IFERROR(__xludf.DUMMYFUNCTION("IF
(
G9426=""фізична особа""
,
VLOOKUP(H9426,IMPORTRANGE(""https://docs.google.com/spreadsheets/d/14Bd19lYaqBhU8_DElYkX7l4wRkHqqCUFNJY4AfY3kHU/edit?usp=sharing  #gid=0"",""фіз особи new!relations_name""),6,FALSE)
,
(IF
(
G9426=""юридична особа""
,
VLOOKUP"&amp;"(H9426,IMPORTRANGE(""https://docs.google.com/spreadsheets/d/14Bd19lYaqBhU8_DElYkX7l4wRkHqqCUFNJY4AfY3kHU/edit?usp=sharing  #gid=0"",""фіз особи new!relations_name_uo""),7,FALSE)
,
)
))"),"САМОЙЛОВА Алла Володимирівна")</f>
        <v>САМОЙЛОВА Алла Володимирівна</v>
      </c>
      <c r="J9425" s="7" t="s">
        <v>29</v>
      </c>
    </row>
    <row r="9426" spans="1:10" ht="13.2">
      <c r="A9426" s="7">
        <v>9425</v>
      </c>
      <c r="B9426" s="7">
        <v>1</v>
      </c>
      <c r="C9426" s="7" t="s">
        <v>10</v>
      </c>
      <c r="D9426" s="7">
        <v>11259</v>
      </c>
      <c r="E9426" s="7" t="s">
        <v>28</v>
      </c>
      <c r="F9426" s="8" t="str">
        <f ca="1">IFERROR(__xludf.DUMMYFUNCTION("IF
(
C9427=""фізична особа""
,
VLOOKUP(D9427,IMPORTRANGE(""https://docs.google.com/spreadsheets/d/14Bd19lYaqBhU8_DElYkX7l4wRkHqqCUFNJY4AfY3kHU/edit?usp=sharing  #gid=0"",""фіз особи new!relations_name""),6,FALSE)
,
(IF
(
C9427=""юридична особа""
,
VLOOKUP"&amp;"(D9427,IMPORTRANGE(""https://docs.google.com/spreadsheets/d/14Bd19lYaqBhU8_DElYkX7l4wRkHqqCUFNJY4AfY3kHU/edit?usp=sharing  #gid=0"",""фіз особи new!relations_name_uo""),7,FALSE)
,
)
))"),"ІСАКОВА Дар'я Георгіївна")</f>
        <v>ІСАКОВА Дар'я Георгіївна</v>
      </c>
      <c r="G9426" s="7" t="s">
        <v>10</v>
      </c>
      <c r="H9426" s="7">
        <v>3115</v>
      </c>
      <c r="I9426" s="8" t="str">
        <f ca="1">IFERROR(__xludf.DUMMYFUNCTION("IF
(
G9427=""фізична особа""
,
VLOOKUP(H9427,IMPORTRANGE(""https://docs.google.com/spreadsheets/d/14Bd19lYaqBhU8_DElYkX7l4wRkHqqCUFNJY4AfY3kHU/edit?usp=sharing  #gid=0"",""фіз особи new!relations_name""),6,FALSE)
,
(IF
(
G9427=""юридична особа""
,
VLOOKUP"&amp;"(H9427,IMPORTRANGE(""https://docs.google.com/spreadsheets/d/14Bd19lYaqBhU8_DElYkX7l4wRkHqqCUFNJY4AfY3kHU/edit?usp=sharing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26" s="7" t="s">
        <v>29</v>
      </c>
    </row>
    <row r="9427" spans="1:10" ht="13.2">
      <c r="A9427" s="7">
        <v>9426</v>
      </c>
      <c r="B9427" s="7">
        <v>1</v>
      </c>
      <c r="C9427" s="7" t="s">
        <v>10</v>
      </c>
      <c r="D9427" s="7">
        <v>11260</v>
      </c>
      <c r="E9427" s="7" t="s">
        <v>28</v>
      </c>
      <c r="F9427" s="8" t="str">
        <f ca="1">IFERROR(__xludf.DUMMYFUNCTION("IF
(
C9428=""фізична особа""
,
VLOOKUP(D9428,IMPORTRANGE(""https://docs.google.com/spreadsheets/d/14Bd19lYaqBhU8_DElYkX7l4wRkHqqCUFNJY4AfY3kHU/edit?usp=sharing  #gid=0"",""фіз особи new!relations_name""),6,FALSE)
,
(IF
(
C9428=""юридична особа""
,
VLOOKUP"&amp;"(D9428,IMPORTRANGE(""https://docs.google.com/spreadsheets/d/14Bd19lYaqBhU8_DElYkX7l4wRkHqqCUFNJY4AfY3kHU/edit?usp=sharing  #gid=0"",""фіз особи new!relations_name_uo""),7,FALSE)
,
)
))"),"БАЛАГУЛА Тетяна Вікторівна")</f>
        <v>БАЛАГУЛА Тетяна Вікторівна</v>
      </c>
      <c r="G9427" s="7" t="s">
        <v>10</v>
      </c>
      <c r="H9427" s="7">
        <v>3115</v>
      </c>
      <c r="I9427" s="8" t="str">
        <f ca="1">IFERROR(__xludf.DUMMYFUNCTION("IF
(
G9428=""фізична особа""
,
VLOOKUP(H9428,IMPORTRANGE(""https://docs.google.com/spreadsheets/d/14Bd19lYaqBhU8_DElYkX7l4wRkHqqCUFNJY4AfY3kHU/edit?usp=sharing  #gid=0"",""фіз особи new!relations_name""),6,FALSE)
,
(IF
(
G9428=""юридична особа""
,
VLOOKUP"&amp;"(H9428,IMPORTRANGE(""https://docs.google.com/spreadsheets/d/14Bd19lYaqBhU8_DElYkX7l4wRkHqqCUFNJY4AfY3kHU/edit?usp=sharing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27" s="7" t="s">
        <v>29</v>
      </c>
    </row>
    <row r="9428" spans="1:10" ht="13.2">
      <c r="A9428" s="7">
        <v>9427</v>
      </c>
      <c r="B9428" s="7">
        <v>1</v>
      </c>
      <c r="C9428" s="7" t="s">
        <v>10</v>
      </c>
      <c r="D9428" s="7">
        <v>11261</v>
      </c>
      <c r="E9428" s="7" t="s">
        <v>28</v>
      </c>
      <c r="F9428" s="8" t="str">
        <f ca="1">IFERROR(__xludf.DUMMYFUNCTION("IF
(
C9429=""фізична особа""
,
VLOOKUP(D9429,IMPORTRANGE(""https://docs.google.com/spreadsheets/d/14Bd19lYaqBhU8_DElYkX7l4wRkHqqCUFNJY4AfY3kHU/edit?usp=sharing  #gid=0"",""фіз особи new!relations_name""),6,FALSE)
,
(IF
(
C9429=""юридична особа""
,
VLOOKUP"&amp;"(D9429,IMPORTRANGE(""https://docs.google.com/spreadsheets/d/14Bd19lYaqBhU8_DElYkX7l4wRkHqqCUFNJY4AfY3kHU/edit?usp=sharing  #gid=0"",""фіз особи new!relations_name_uo""),7,FALSE)
,
)
))"),"СОЛОВЙОВА Наталія Миколаївна")</f>
        <v>СОЛОВЙОВА Наталія Миколаївна</v>
      </c>
      <c r="G9428" s="7" t="s">
        <v>10</v>
      </c>
      <c r="H9428" s="7">
        <v>3115</v>
      </c>
      <c r="I9428" s="8" t="str">
        <f ca="1">IFERROR(__xludf.DUMMYFUNCTION("IF
(
G9429=""фізична особа""
,
VLOOKUP(H9429,IMPORTRANGE(""https://docs.google.com/spreadsheets/d/14Bd19lYaqBhU8_DElYkX7l4wRkHqqCUFNJY4AfY3kHU/edit?usp=sharing  #gid=0"",""фіз особи new!relations_name""),6,FALSE)
,
(IF
(
G9429=""юридична особа""
,
VLOOKUP"&amp;"(H9429,IMPORTRANGE(""https://docs.google.com/spreadsheets/d/14Bd19lYaqBhU8_DElYkX7l4wRkHqqCUFNJY4AfY3kHU/edit?usp=sharing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28" s="7" t="s">
        <v>29</v>
      </c>
    </row>
    <row r="9429" spans="1:10" ht="13.2">
      <c r="A9429" s="7">
        <v>9428</v>
      </c>
      <c r="B9429" s="7">
        <v>1</v>
      </c>
      <c r="C9429" s="7" t="s">
        <v>10</v>
      </c>
      <c r="D9429" s="7">
        <v>11262</v>
      </c>
      <c r="E9429" s="7" t="s">
        <v>28</v>
      </c>
      <c r="F9429" s="8" t="str">
        <f ca="1">IFERROR(__xludf.DUMMYFUNCTION("IF
(
C9430=""фізична особа""
,
VLOOKUP(D9430,IMPORTRANGE(""https://docs.google.com/spreadsheets/d/14Bd19lYaqBhU8_DElYkX7l4wRkHqqCUFNJY4AfY3kHU/edit?usp=sharing  #gid=0"",""фіз особи new!relations_name""),6,FALSE)
,
(IF
(
C9430=""юридична особа""
,
VLOOKUP"&amp;"(D9430,IMPORTRANGE(""https://docs.google.com/spreadsheets/d/14Bd19lYaqBhU8_DElYkX7l4wRkHqqCUFNJY4AfY3kHU/edit?usp=sharing  #gid=0"",""фіз особи new!relations_name_uo""),7,FALSE)
,
)
))"),"ЗАХАРОВА Ольга Валеріївна")</f>
        <v>ЗАХАРОВА Ольга Валеріївна</v>
      </c>
      <c r="G9429" s="7" t="s">
        <v>10</v>
      </c>
      <c r="H9429" s="7">
        <v>3115</v>
      </c>
      <c r="I9429" s="8" t="str">
        <f ca="1">IFERROR(__xludf.DUMMYFUNCTION("IF
(
G9430=""фізична особа""
,
VLOOKUP(H9430,IMPORTRANGE(""https://docs.google.com/spreadsheets/d/14Bd19lYaqBhU8_DElYkX7l4wRkHqqCUFNJY4AfY3kHU/edit?usp=sharing  #gid=0"",""фіз особи new!relations_name""),6,FALSE)
,
(IF
(
G9430=""юридична особа""
,
VLOOKUP"&amp;"(H9430,IMPORTRANGE(""https://docs.google.com/spreadsheets/d/14Bd19lYaqBhU8_DElYkX7l4wRkHqqCUFNJY4AfY3kHU/edit?usp=sharing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29" s="7" t="s">
        <v>29</v>
      </c>
    </row>
    <row r="9430" spans="1:10" ht="13.2">
      <c r="A9430" s="7">
        <v>9429</v>
      </c>
      <c r="B9430" s="7">
        <v>1</v>
      </c>
      <c r="C9430" s="7" t="s">
        <v>10</v>
      </c>
      <c r="D9430" s="7">
        <v>11263</v>
      </c>
      <c r="E9430" s="7" t="s">
        <v>28</v>
      </c>
      <c r="F9430" s="8" t="str">
        <f ca="1">IFERROR(__xludf.DUMMYFUNCTION("IF
(
C9431=""фізична особа""
,
VLOOKUP(D9431,IMPORTRANGE(""https://docs.google.com/spreadsheets/d/14Bd19lYaqBhU8_DElYkX7l4wRkHqqCUFNJY4AfY3kHU/edit?usp=sharing  #gid=0"",""фіз особи new!relations_name""),6,FALSE)
,
(IF
(
C9431=""юридична особа""
,
VLOOKUP"&amp;"(D9431,IMPORTRANGE(""https://docs.google.com/spreadsheets/d/14Bd19lYaqBhU8_DElYkX7l4wRkHqqCUFNJY4AfY3kHU/edit?usp=sharing  #gid=0"",""фіз особи new!relations_name_uo""),7,FALSE)
,
)
))"),"ПАВЛОВ Сергій Олександрович")</f>
        <v>ПАВЛОВ Сергій Олександрович</v>
      </c>
      <c r="G9430" s="7" t="s">
        <v>10</v>
      </c>
      <c r="H9430" s="7">
        <v>3115</v>
      </c>
      <c r="I9430" s="8" t="str">
        <f ca="1">IFERROR(__xludf.DUMMYFUNCTION("IF
(
G9431=""фізична особа""
,
VLOOKUP(H9431,IMPORTRANGE(""https://docs.google.com/spreadsheets/d/14Bd19lYaqBhU8_DElYkX7l4wRkHqqCUFNJY4AfY3kHU/edit?usp=sharing  #gid=0"",""фіз особи new!relations_name""),6,FALSE)
,
(IF
(
G9431=""юридична особа""
,
VLOOKUP"&amp;"(H9431,IMPORTRANGE(""https://docs.google.com/spreadsheets/d/14Bd19lYaqBhU8_DElYkX7l4wRkHqqCUFNJY4AfY3kHU/edit?usp=sharing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0" s="7" t="s">
        <v>29</v>
      </c>
    </row>
    <row r="9431" spans="1:10" ht="13.2">
      <c r="A9431" s="7">
        <v>9430</v>
      </c>
      <c r="B9431" s="7">
        <v>1</v>
      </c>
      <c r="C9431" s="7" t="s">
        <v>10</v>
      </c>
      <c r="D9431" s="7">
        <v>11264</v>
      </c>
      <c r="E9431" s="7" t="s">
        <v>28</v>
      </c>
      <c r="F9431" s="8" t="str">
        <f ca="1">IFERROR(__xludf.DUMMYFUNCTION("IF
(
C9432=""фізична особа""
,
VLOOKUP(D9432,IMPORTRANGE(""https://docs.google.com/spreadsheets/d/14Bd19lYaqBhU8_DElYkX7l4wRkHqqCUFNJY4AfY3kHU/edit?usp=sharing  #gid=0"",""фіз особи new!relations_name""),6,FALSE)
,
(IF
(
C9432=""юридична особа""
,
VLOOKUP"&amp;"(D9432,IMPORTRANGE(""https://docs.google.com/spreadsheets/d/14Bd19lYaqBhU8_DElYkX7l4wRkHqqCUFNJY4AfY3kHU/edit?usp=sharing  #gid=0"",""фіз особи new!relations_name_uo""),7,FALSE)
,
)
))"),"МАКЕРОВА Ганна Володимирівна")</f>
        <v>МАКЕРОВА Ганна Володимирівна</v>
      </c>
      <c r="G9431" s="7" t="s">
        <v>10</v>
      </c>
      <c r="H9431" s="7">
        <v>3115</v>
      </c>
      <c r="I9431" s="8" t="str">
        <f ca="1">IFERROR(__xludf.DUMMYFUNCTION("IF
(
G9432=""фізична особа""
,
VLOOKUP(H9432,IMPORTRANGE(""https://docs.google.com/spreadsheets/d/14Bd19lYaqBhU8_DElYkX7l4wRkHqqCUFNJY4AfY3kHU/edit?usp=sharing  #gid=0"",""фіз особи new!relations_name""),6,FALSE)
,
(IF
(
G9432=""юридична особа""
,
VLOOKUP"&amp;"(H9432,IMPORTRANGE(""https://docs.google.com/spreadsheets/d/14Bd19lYaqBhU8_DElYkX7l4wRkHqqCUFNJY4AfY3kHU/edit?usp=sharing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1" s="7" t="s">
        <v>29</v>
      </c>
    </row>
    <row r="9432" spans="1:10" ht="13.2">
      <c r="A9432" s="7">
        <v>9431</v>
      </c>
      <c r="B9432" s="7">
        <v>1</v>
      </c>
      <c r="C9432" s="7" t="s">
        <v>10</v>
      </c>
      <c r="D9432" s="7">
        <v>11265</v>
      </c>
      <c r="E9432" s="7" t="s">
        <v>28</v>
      </c>
      <c r="F9432" s="8" t="str">
        <f ca="1">IFERROR(__xludf.DUMMYFUNCTION("IF
(
C9433=""фізична особа""
,
VLOOKUP(D9433,IMPORTRANGE(""https://docs.google.com/spreadsheets/d/14Bd19lYaqBhU8_DElYkX7l4wRkHqqCUFNJY4AfY3kHU/edit?usp=sharing  #gid=0"",""фіз особи new!relations_name""),6,FALSE)
,
(IF
(
C9433=""юридична особа""
,
VLOOKUP"&amp;"(D9433,IMPORTRANGE(""https://docs.google.com/spreadsheets/d/14Bd19lYaqBhU8_DElYkX7l4wRkHqqCUFNJY4AfY3kHU/edit?usp=sharing  #gid=0"",""фіз особи new!relations_name_uo""),7,FALSE)
,
)
))"),"ЗЕМЧЕНКОВА Світлана Олександрівна")</f>
        <v>ЗЕМЧЕНКОВА Світлана Олександрівна</v>
      </c>
      <c r="G9432" s="7" t="s">
        <v>10</v>
      </c>
      <c r="H9432" s="7">
        <v>3115</v>
      </c>
      <c r="I9432" s="8" t="str">
        <f ca="1">IFERROR(__xludf.DUMMYFUNCTION("IF
(
G9433=""фізична особа""
,
VLOOKUP(H9433,IMPORTRANGE(""https://docs.google.com/spreadsheets/d/14Bd19lYaqBhU8_DElYkX7l4wRkHqqCUFNJY4AfY3kHU/edit?usp=sharing  #gid=0"",""фіз особи new!relations_name""),6,FALSE)
,
(IF
(
G9433=""юридична особа""
,
VLOOKUP"&amp;"(H9433,IMPORTRANGE(""https://docs.google.com/spreadsheets/d/14Bd19lYaqBhU8_DElYkX7l4wRkHqqCUFNJY4AfY3kHU/edit?usp=sharing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2" s="7" t="s">
        <v>29</v>
      </c>
    </row>
    <row r="9433" spans="1:10" ht="13.2">
      <c r="A9433" s="7">
        <v>9432</v>
      </c>
      <c r="B9433" s="7">
        <v>1</v>
      </c>
      <c r="C9433" s="7" t="s">
        <v>10</v>
      </c>
      <c r="D9433" s="7">
        <v>11266</v>
      </c>
      <c r="E9433" s="7" t="s">
        <v>28</v>
      </c>
      <c r="F9433" s="8" t="str">
        <f ca="1">IFERROR(__xludf.DUMMYFUNCTION("IF
(
C9434=""фізична особа""
,
VLOOKUP(D9434,IMPORTRANGE(""https://docs.google.com/spreadsheets/d/14Bd19lYaqBhU8_DElYkX7l4wRkHqqCUFNJY4AfY3kHU/edit?usp=sharing  #gid=0"",""фіз особи new!relations_name""),6,FALSE)
,
(IF
(
C9434=""юридична особа""
,
VLOOKUP"&amp;"(D9434,IMPORTRANGE(""https://docs.google.com/spreadsheets/d/14Bd19lYaqBhU8_DElYkX7l4wRkHqqCUFNJY4AfY3kHU/edit?usp=sharing  #gid=0"",""фіз особи new!relations_name_uo""),7,FALSE)
,
)
))"),"АНТОНОВ Євгеній В'ячеславович")</f>
        <v>АНТОНОВ Євгеній В'ячеславович</v>
      </c>
      <c r="G9433" s="7" t="s">
        <v>10</v>
      </c>
      <c r="H9433" s="7">
        <v>3115</v>
      </c>
      <c r="I9433" s="8" t="str">
        <f ca="1">IFERROR(__xludf.DUMMYFUNCTION("IF
(
G9434=""фізична особа""
,
VLOOKUP(H9434,IMPORTRANGE(""https://docs.google.com/spreadsheets/d/14Bd19lYaqBhU8_DElYkX7l4wRkHqqCUFNJY4AfY3kHU/edit?usp=sharing  #gid=0"",""фіз особи new!relations_name""),6,FALSE)
,
(IF
(
G9434=""юридична особа""
,
VLOOKUP"&amp;"(H9434,IMPORTRANGE(""https://docs.google.com/spreadsheets/d/14Bd19lYaqBhU8_DElYkX7l4wRkHqqCUFNJY4AfY3kHU/edit?usp=sharing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3" s="7" t="s">
        <v>29</v>
      </c>
    </row>
    <row r="9434" spans="1:10" ht="13.2">
      <c r="A9434" s="7">
        <v>9433</v>
      </c>
      <c r="B9434" s="7">
        <v>1</v>
      </c>
      <c r="C9434" s="7" t="s">
        <v>10</v>
      </c>
      <c r="D9434" s="7">
        <v>11267</v>
      </c>
      <c r="E9434" s="7" t="s">
        <v>28</v>
      </c>
      <c r="F9434" s="8" t="str">
        <f ca="1">IFERROR(__xludf.DUMMYFUNCTION("IF
(
C9435=""фізична особа""
,
VLOOKUP(D9435,IMPORTRANGE(""https://docs.google.com/spreadsheets/d/14Bd19lYaqBhU8_DElYkX7l4wRkHqqCUFNJY4AfY3kHU/edit?usp=sharing  #gid=0"",""фіз особи new!relations_name""),6,FALSE)
,
(IF
(
C9435=""юридична особа""
,
VLOOKUP"&amp;"(D9435,IMPORTRANGE(""https://docs.google.com/spreadsheets/d/14Bd19lYaqBhU8_DElYkX7l4wRkHqqCUFNJY4AfY3kHU/edit?usp=sharing  #gid=0"",""фіз особи new!relations_name_uo""),7,FALSE)
,
)
))"),"ЧЕРНИЙ Євгеній Сергійович")</f>
        <v>ЧЕРНИЙ Євгеній Сергійович</v>
      </c>
      <c r="G9434" s="7" t="s">
        <v>10</v>
      </c>
      <c r="H9434" s="7">
        <v>3115</v>
      </c>
      <c r="I9434" s="8" t="str">
        <f ca="1">IFERROR(__xludf.DUMMYFUNCTION("IF
(
G9435=""фізична особа""
,
VLOOKUP(H9435,IMPORTRANGE(""https://docs.google.com/spreadsheets/d/14Bd19lYaqBhU8_DElYkX7l4wRkHqqCUFNJY4AfY3kHU/edit?usp=sharing  #gid=0"",""фіз особи new!relations_name""),6,FALSE)
,
(IF
(
G9435=""юридична особа""
,
VLOOKUP"&amp;"(H9435,IMPORTRANGE(""https://docs.google.com/spreadsheets/d/14Bd19lYaqBhU8_DElYkX7l4wRkHqqCUFNJY4AfY3kHU/edit?usp=sharing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4" s="7" t="s">
        <v>29</v>
      </c>
    </row>
    <row r="9435" spans="1:10" ht="13.2">
      <c r="A9435" s="7">
        <v>9434</v>
      </c>
      <c r="B9435" s="7">
        <v>1</v>
      </c>
      <c r="C9435" s="7" t="s">
        <v>10</v>
      </c>
      <c r="D9435" s="7">
        <v>11268</v>
      </c>
      <c r="E9435" s="7" t="s">
        <v>28</v>
      </c>
      <c r="F9435" s="8" t="str">
        <f ca="1">IFERROR(__xludf.DUMMYFUNCTION("IF
(
C9436=""фізична особа""
,
VLOOKUP(D9436,IMPORTRANGE(""https://docs.google.com/spreadsheets/d/14Bd19lYaqBhU8_DElYkX7l4wRkHqqCUFNJY4AfY3kHU/edit?usp=sharing  #gid=0"",""фіз особи new!relations_name""),6,FALSE)
,
(IF
(
C9436=""юридична особа""
,
VLOOKUP"&amp;"(D9436,IMPORTRANGE(""https://docs.google.com/spreadsheets/d/14Bd19lYaqBhU8_DElYkX7l4wRkHqqCUFNJY4AfY3kHU/edit?usp=sharing  #gid=0"",""фіз особи new!relations_name_uo""),7,FALSE)
,
)
))"),"НАУМОВ Олег Васильович")</f>
        <v>НАУМОВ Олег Васильович</v>
      </c>
      <c r="G9435" s="7" t="s">
        <v>10</v>
      </c>
      <c r="H9435" s="7">
        <v>3115</v>
      </c>
      <c r="I9435" s="8" t="str">
        <f ca="1">IFERROR(__xludf.DUMMYFUNCTION("IF
(
G9436=""фізична особа""
,
VLOOKUP(H9436,IMPORTRANGE(""https://docs.google.com/spreadsheets/d/14Bd19lYaqBhU8_DElYkX7l4wRkHqqCUFNJY4AfY3kHU/edit?usp=sharing  #gid=0"",""фіз особи new!relations_name""),6,FALSE)
,
(IF
(
G9436=""юридична особа""
,
VLOOKUP"&amp;"(H9436,IMPORTRANGE(""https://docs.google.com/spreadsheets/d/14Bd19lYaqBhU8_DElYkX7l4wRkHqqCUFNJY4AfY3kHU/edit?usp=sharing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5" s="7" t="s">
        <v>29</v>
      </c>
    </row>
    <row r="9436" spans="1:10" ht="13.2">
      <c r="A9436" s="7">
        <v>9435</v>
      </c>
      <c r="B9436" s="7">
        <v>1</v>
      </c>
      <c r="C9436" s="7" t="s">
        <v>10</v>
      </c>
      <c r="D9436" s="7">
        <v>11269</v>
      </c>
      <c r="E9436" s="7" t="s">
        <v>28</v>
      </c>
      <c r="F9436" s="8" t="str">
        <f ca="1">IFERROR(__xludf.DUMMYFUNCTION("IF
(
C9437=""фізична особа""
,
VLOOKUP(D9437,IMPORTRANGE(""https://docs.google.com/spreadsheets/d/14Bd19lYaqBhU8_DElYkX7l4wRkHqqCUFNJY4AfY3kHU/edit?usp=sharing  #gid=0"",""фіз особи new!relations_name""),6,FALSE)
,
(IF
(
C9437=""юридична особа""
,
VLOOKUP"&amp;"(D9437,IMPORTRANGE(""https://docs.google.com/spreadsheets/d/14Bd19lYaqBhU8_DElYkX7l4wRkHqqCUFNJY4AfY3kHU/edit?usp=sharing  #gid=0"",""фіз особи new!relations_name_uo""),7,FALSE)
,
)
))"),"ПАНТЮХІНА Світлана Сергіївна")</f>
        <v>ПАНТЮХІНА Світлана Сергіївна</v>
      </c>
      <c r="G9436" s="7" t="s">
        <v>10</v>
      </c>
      <c r="H9436" s="7">
        <v>3115</v>
      </c>
      <c r="I9436" s="8" t="str">
        <f ca="1">IFERROR(__xludf.DUMMYFUNCTION("IF
(
G9437=""фізична особа""
,
VLOOKUP(H9437,IMPORTRANGE(""https://docs.google.com/spreadsheets/d/14Bd19lYaqBhU8_DElYkX7l4wRkHqqCUFNJY4AfY3kHU/edit?usp=sharing  #gid=0"",""фіз особи new!relations_name""),6,FALSE)
,
(IF
(
G9437=""юридична особа""
,
VLOOKUP"&amp;"(H9437,IMPORTRANGE(""https://docs.google.com/spreadsheets/d/14Bd19lYaqBhU8_DElYkX7l4wRkHqqCUFNJY4AfY3kHU/edit?usp=sharing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6" s="7" t="s">
        <v>29</v>
      </c>
    </row>
    <row r="9437" spans="1:10" ht="13.2">
      <c r="A9437" s="7">
        <v>9436</v>
      </c>
      <c r="B9437" s="7">
        <v>1</v>
      </c>
      <c r="C9437" s="7" t="s">
        <v>10</v>
      </c>
      <c r="D9437" s="7">
        <v>11270</v>
      </c>
      <c r="E9437" s="7" t="s">
        <v>28</v>
      </c>
      <c r="F9437" s="8" t="str">
        <f ca="1">IFERROR(__xludf.DUMMYFUNCTION("IF
(
C9438=""фізична особа""
,
VLOOKUP(D9438,IMPORTRANGE(""https://docs.google.com/spreadsheets/d/14Bd19lYaqBhU8_DElYkX7l4wRkHqqCUFNJY4AfY3kHU/edit?usp=sharing  #gid=0"",""фіз особи new!relations_name""),6,FALSE)
,
(IF
(
C9438=""юридична особа""
,
VLOOKUP"&amp;"(D9438,IMPORTRANGE(""https://docs.google.com/spreadsheets/d/14Bd19lYaqBhU8_DElYkX7l4wRkHqqCUFNJY4AfY3kHU/edit?usp=sharing  #gid=0"",""фіз особи new!relations_name_uo""),7,FALSE)
,
)
))"),"АУШЕВА Тетяна Анатоліївна")</f>
        <v>АУШЕВА Тетяна Анатоліївна</v>
      </c>
      <c r="G9437" s="7" t="s">
        <v>10</v>
      </c>
      <c r="H9437" s="7">
        <v>3115</v>
      </c>
      <c r="I9437" s="8" t="str">
        <f ca="1">IFERROR(__xludf.DUMMYFUNCTION("IF
(
G9438=""фізична особа""
,
VLOOKUP(H9438,IMPORTRANGE(""https://docs.google.com/spreadsheets/d/14Bd19lYaqBhU8_DElYkX7l4wRkHqqCUFNJY4AfY3kHU/edit?usp=sharing  #gid=0"",""фіз особи new!relations_name""),6,FALSE)
,
(IF
(
G9438=""юридична особа""
,
VLOOKUP"&amp;"(H9438,IMPORTRANGE(""https://docs.google.com/spreadsheets/d/14Bd19lYaqBhU8_DElYkX7l4wRkHqqCUFNJY4AfY3kHU/edit?usp=sharing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7" s="7" t="s">
        <v>29</v>
      </c>
    </row>
    <row r="9438" spans="1:10" ht="13.2">
      <c r="A9438" s="7">
        <v>9437</v>
      </c>
      <c r="B9438" s="7">
        <v>1</v>
      </c>
      <c r="C9438" s="7" t="s">
        <v>10</v>
      </c>
      <c r="D9438" s="7">
        <v>11271</v>
      </c>
      <c r="E9438" s="7" t="s">
        <v>28</v>
      </c>
      <c r="F9438" s="8" t="str">
        <f ca="1">IFERROR(__xludf.DUMMYFUNCTION("IF
(
C9439=""фізична особа""
,
VLOOKUP(D9439,IMPORTRANGE(""https://docs.google.com/spreadsheets/d/14Bd19lYaqBhU8_DElYkX7l4wRkHqqCUFNJY4AfY3kHU/edit?usp=sharing  #gid=0"",""фіз особи new!relations_name""),6,FALSE)
,
(IF
(
C9439=""юридична особа""
,
VLOOKUP"&amp;"(D9439,IMPORTRANGE(""https://docs.google.com/spreadsheets/d/14Bd19lYaqBhU8_DElYkX7l4wRkHqqCUFNJY4AfY3kHU/edit?usp=sharing  #gid=0"",""фіз особи new!relations_name_uo""),7,FALSE)
,
)
))"),"МИЛОРАДОВ Роман Іванович")</f>
        <v>МИЛОРАДОВ Роман Іванович</v>
      </c>
      <c r="G9438" s="7" t="s">
        <v>10</v>
      </c>
      <c r="H9438" s="7">
        <v>3115</v>
      </c>
      <c r="I9438" s="8" t="str">
        <f ca="1">IFERROR(__xludf.DUMMYFUNCTION("IF
(
G9439=""фізична особа""
,
VLOOKUP(H9439,IMPORTRANGE(""https://docs.google.com/spreadsheets/d/14Bd19lYaqBhU8_DElYkX7l4wRkHqqCUFNJY4AfY3kHU/edit?usp=sharing  #gid=0"",""фіз особи new!relations_name""),6,FALSE)
,
(IF
(
G9439=""юридична особа""
,
VLOOKUP"&amp;"(H9439,IMPORTRANGE(""https://docs.google.com/spreadsheets/d/14Bd19lYaqBhU8_DElYkX7l4wRkHqqCUFNJY4AfY3kHU/edit?usp=sharing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8" s="7" t="s">
        <v>29</v>
      </c>
    </row>
    <row r="9439" spans="1:10" ht="13.2">
      <c r="A9439" s="7">
        <v>9438</v>
      </c>
      <c r="B9439" s="7">
        <v>1</v>
      </c>
      <c r="C9439" s="7" t="s">
        <v>10</v>
      </c>
      <c r="D9439" s="7">
        <v>11272</v>
      </c>
      <c r="E9439" s="7" t="s">
        <v>28</v>
      </c>
      <c r="F9439" s="8" t="str">
        <f ca="1">IFERROR(__xludf.DUMMYFUNCTION("IF
(
C9440=""фізична особа""
,
VLOOKUP(D9440,IMPORTRANGE(""https://docs.google.com/spreadsheets/d/14Bd19lYaqBhU8_DElYkX7l4wRkHqqCUFNJY4AfY3kHU/edit?usp=sharing  #gid=0"",""фіз особи new!relations_name""),6,FALSE)
,
(IF
(
C9440=""юридична особа""
,
VLOOKUP"&amp;"(D9440,IMPORTRANGE(""https://docs.google.com/spreadsheets/d/14Bd19lYaqBhU8_DElYkX7l4wRkHqqCUFNJY4AfY3kHU/edit?usp=sharing  #gid=0"",""фіз особи new!relations_name_uo""),7,FALSE)
,
)
))"),"КРУТІКОВ Микола Аркадійович")</f>
        <v>КРУТІКОВ Микола Аркадійович</v>
      </c>
      <c r="G9439" s="7" t="s">
        <v>10</v>
      </c>
      <c r="H9439" s="7">
        <v>3115</v>
      </c>
      <c r="I9439" s="8" t="str">
        <f ca="1">IFERROR(__xludf.DUMMYFUNCTION("IF
(
G9440=""фізична особа""
,
VLOOKUP(H9440,IMPORTRANGE(""https://docs.google.com/spreadsheets/d/14Bd19lYaqBhU8_DElYkX7l4wRkHqqCUFNJY4AfY3kHU/edit?usp=sharing  #gid=0"",""фіз особи new!relations_name""),6,FALSE)
,
(IF
(
G9440=""юридична особа""
,
VLOOKUP"&amp;"(H9440,IMPORTRANGE(""https://docs.google.com/spreadsheets/d/14Bd19lYaqBhU8_DElYkX7l4wRkHqqCUFNJY4AfY3kHU/edit?usp=sharing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39" s="7" t="s">
        <v>29</v>
      </c>
    </row>
    <row r="9440" spans="1:10" ht="13.2">
      <c r="A9440" s="7">
        <v>9439</v>
      </c>
      <c r="B9440" s="7">
        <v>1</v>
      </c>
      <c r="C9440" s="7" t="s">
        <v>10</v>
      </c>
      <c r="D9440" s="7">
        <v>11273</v>
      </c>
      <c r="E9440" s="7" t="s">
        <v>28</v>
      </c>
      <c r="F9440" s="8" t="str">
        <f ca="1">IFERROR(__xludf.DUMMYFUNCTION("IF
(
C9441=""фізична особа""
,
VLOOKUP(D9441,IMPORTRANGE(""https://docs.google.com/spreadsheets/d/14Bd19lYaqBhU8_DElYkX7l4wRkHqqCUFNJY4AfY3kHU/edit?usp=sharing  #gid=0"",""фіз особи new!relations_name""),6,FALSE)
,
(IF
(
C9441=""юридична особа""
,
VLOOKUP"&amp;"(D9441,IMPORTRANGE(""https://docs.google.com/spreadsheets/d/14Bd19lYaqBhU8_DElYkX7l4wRkHqqCUFNJY4AfY3kHU/edit?usp=sharing  #gid=0"",""фіз особи new!relations_name_uo""),7,FALSE)
,
)
))"),"МАКАРКІН Віктор Петрович")</f>
        <v>МАКАРКІН Віктор Петрович</v>
      </c>
      <c r="G9440" s="7" t="s">
        <v>10</v>
      </c>
      <c r="H9440" s="7">
        <v>3115</v>
      </c>
      <c r="I9440" s="8" t="str">
        <f ca="1">IFERROR(__xludf.DUMMYFUNCTION("IF
(
G9441=""фізична особа""
,
VLOOKUP(H9441,IMPORTRANGE(""https://docs.google.com/spreadsheets/d/14Bd19lYaqBhU8_DElYkX7l4wRkHqqCUFNJY4AfY3kHU/edit?usp=sharing  #gid=0"",""фіз особи new!relations_name""),6,FALSE)
,
(IF
(
G9441=""юридична особа""
,
VLOOKUP"&amp;"(H9441,IMPORTRANGE(""https://docs.google.com/spreadsheets/d/14Bd19lYaqBhU8_DElYkX7l4wRkHqqCUFNJY4AfY3kHU/edit?usp=sharing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0" s="7" t="s">
        <v>29</v>
      </c>
    </row>
    <row r="9441" spans="1:10" ht="13.2">
      <c r="A9441" s="7">
        <v>9440</v>
      </c>
      <c r="B9441" s="7">
        <v>1</v>
      </c>
      <c r="C9441" s="7" t="s">
        <v>10</v>
      </c>
      <c r="D9441" s="7">
        <v>11274</v>
      </c>
      <c r="E9441" s="7" t="s">
        <v>28</v>
      </c>
      <c r="F9441" s="8" t="str">
        <f ca="1">IFERROR(__xludf.DUMMYFUNCTION("IF
(
C9442=""фізична особа""
,
VLOOKUP(D9442,IMPORTRANGE(""https://docs.google.com/spreadsheets/d/14Bd19lYaqBhU8_DElYkX7l4wRkHqqCUFNJY4AfY3kHU/edit?usp=sharing  #gid=0"",""фіз особи new!relations_name""),6,FALSE)
,
(IF
(
C9442=""юридична особа""
,
VLOOKUP"&amp;"(D9442,IMPORTRANGE(""https://docs.google.com/spreadsheets/d/14Bd19lYaqBhU8_DElYkX7l4wRkHqqCUFNJY4AfY3kHU/edit?usp=sharing  #gid=0"",""фіз особи new!relations_name_uo""),7,FALSE)
,
)
))"),"ЄМЦЕВ Олег Георгійович")</f>
        <v>ЄМЦЕВ Олег Георгійович</v>
      </c>
      <c r="G9441" s="7" t="s">
        <v>10</v>
      </c>
      <c r="H9441" s="7">
        <v>3115</v>
      </c>
      <c r="I9441" s="8" t="str">
        <f ca="1">IFERROR(__xludf.DUMMYFUNCTION("IF
(
G9442=""фізична особа""
,
VLOOKUP(H9442,IMPORTRANGE(""https://docs.google.com/spreadsheets/d/14Bd19lYaqBhU8_DElYkX7l4wRkHqqCUFNJY4AfY3kHU/edit?usp=sharing  #gid=0"",""фіз особи new!relations_name""),6,FALSE)
,
(IF
(
G9442=""юридична особа""
,
VLOOKUP"&amp;"(H9442,IMPORTRANGE(""https://docs.google.com/spreadsheets/d/14Bd19lYaqBhU8_DElYkX7l4wRkHqqCUFNJY4AfY3kHU/edit?usp=sharing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1" s="7" t="s">
        <v>29</v>
      </c>
    </row>
    <row r="9442" spans="1:10" ht="13.2">
      <c r="A9442" s="7">
        <v>9441</v>
      </c>
      <c r="B9442" s="7">
        <v>1</v>
      </c>
      <c r="C9442" s="7" t="s">
        <v>10</v>
      </c>
      <c r="D9442" s="7">
        <v>11275</v>
      </c>
      <c r="E9442" s="7" t="s">
        <v>28</v>
      </c>
      <c r="F9442" s="8" t="str">
        <f ca="1">IFERROR(__xludf.DUMMYFUNCTION("IF
(
C9443=""фізична особа""
,
VLOOKUP(D9443,IMPORTRANGE(""https://docs.google.com/spreadsheets/d/14Bd19lYaqBhU8_DElYkX7l4wRkHqqCUFNJY4AfY3kHU/edit?usp=sharing  #gid=0"",""фіз особи new!relations_name""),6,FALSE)
,
(IF
(
C9443=""юридична особа""
,
VLOOKUP"&amp;"(D9443,IMPORTRANGE(""https://docs.google.com/spreadsheets/d/14Bd19lYaqBhU8_DElYkX7l4wRkHqqCUFNJY4AfY3kHU/edit?usp=sharing  #gid=0"",""фіз особи new!relations_name_uo""),7,FALSE)
,
)
))"),"ОКОРОКОВ Ігор Анатолійович")</f>
        <v>ОКОРОКОВ Ігор Анатолійович</v>
      </c>
      <c r="G9442" s="7" t="s">
        <v>10</v>
      </c>
      <c r="H9442" s="7">
        <v>3115</v>
      </c>
      <c r="I9442" s="8" t="str">
        <f ca="1">IFERROR(__xludf.DUMMYFUNCTION("IF
(
G9443=""фізична особа""
,
VLOOKUP(H9443,IMPORTRANGE(""https://docs.google.com/spreadsheets/d/14Bd19lYaqBhU8_DElYkX7l4wRkHqqCUFNJY4AfY3kHU/edit?usp=sharing  #gid=0"",""фіз особи new!relations_name""),6,FALSE)
,
(IF
(
G9443=""юридична особа""
,
VLOOKUP"&amp;"(H9443,IMPORTRANGE(""https://docs.google.com/spreadsheets/d/14Bd19lYaqBhU8_DElYkX7l4wRkHqqCUFNJY4AfY3kHU/edit?usp=sharing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2" s="7" t="s">
        <v>29</v>
      </c>
    </row>
    <row r="9443" spans="1:10" ht="13.2">
      <c r="A9443" s="7">
        <v>9442</v>
      </c>
      <c r="B9443" s="7">
        <v>1</v>
      </c>
      <c r="C9443" s="7" t="s">
        <v>10</v>
      </c>
      <c r="D9443" s="7">
        <v>11276</v>
      </c>
      <c r="E9443" s="7" t="s">
        <v>28</v>
      </c>
      <c r="F9443" s="8" t="str">
        <f ca="1">IFERROR(__xludf.DUMMYFUNCTION("IF
(
C9444=""фізична особа""
,
VLOOKUP(D9444,IMPORTRANGE(""https://docs.google.com/spreadsheets/d/14Bd19lYaqBhU8_DElYkX7l4wRkHqqCUFNJY4AfY3kHU/edit?usp=sharing  #gid=0"",""фіз особи new!relations_name""),6,FALSE)
,
(IF
(
C9444=""юридична особа""
,
VLOOKUP"&amp;"(D9444,IMPORTRANGE(""https://docs.google.com/spreadsheets/d/14Bd19lYaqBhU8_DElYkX7l4wRkHqqCUFNJY4AfY3kHU/edit?usp=sharing  #gid=0"",""фіз особи new!relations_name_uo""),7,FALSE)
,
)
))"),"ШИЧАНІН Владислав Миколайович")</f>
        <v>ШИЧАНІН Владислав Миколайович</v>
      </c>
      <c r="G9443" s="7" t="s">
        <v>10</v>
      </c>
      <c r="H9443" s="7">
        <v>3115</v>
      </c>
      <c r="I9443" s="8" t="str">
        <f ca="1">IFERROR(__xludf.DUMMYFUNCTION("IF
(
G9444=""фізична особа""
,
VLOOKUP(H9444,IMPORTRANGE(""https://docs.google.com/spreadsheets/d/14Bd19lYaqBhU8_DElYkX7l4wRkHqqCUFNJY4AfY3kHU/edit?usp=sharing  #gid=0"",""фіз особи new!relations_name""),6,FALSE)
,
(IF
(
G9444=""юридична особа""
,
VLOOKUP"&amp;"(H9444,IMPORTRANGE(""https://docs.google.com/spreadsheets/d/14Bd19lYaqBhU8_DElYkX7l4wRkHqqCUFNJY4AfY3kHU/edit?usp=sharing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3" s="7" t="s">
        <v>29</v>
      </c>
    </row>
    <row r="9444" spans="1:10" ht="13.2">
      <c r="A9444" s="7">
        <v>9443</v>
      </c>
      <c r="B9444" s="7">
        <v>1</v>
      </c>
      <c r="C9444" s="7" t="s">
        <v>10</v>
      </c>
      <c r="D9444" s="7">
        <v>11277</v>
      </c>
      <c r="E9444" s="7" t="s">
        <v>28</v>
      </c>
      <c r="F9444" s="8" t="str">
        <f ca="1">IFERROR(__xludf.DUMMYFUNCTION("IF
(
C9445=""фізична особа""
,
VLOOKUP(D9445,IMPORTRANGE(""https://docs.google.com/spreadsheets/d/14Bd19lYaqBhU8_DElYkX7l4wRkHqqCUFNJY4AfY3kHU/edit?usp=sharing  #gid=0"",""фіз особи new!relations_name""),6,FALSE)
,
(IF
(
C9445=""юридична особа""
,
VLOOKUP"&amp;"(D9445,IMPORTRANGE(""https://docs.google.com/spreadsheets/d/14Bd19lYaqBhU8_DElYkX7l4wRkHqqCUFNJY4AfY3kHU/edit?usp=sharing  #gid=0"",""фіз особи new!relations_name_uo""),7,FALSE)
,
)
))"),"БУРАНБАЄВ Вакіл Салаватович")</f>
        <v>БУРАНБАЄВ Вакіл Салаватович</v>
      </c>
      <c r="G9444" s="7" t="s">
        <v>10</v>
      </c>
      <c r="H9444" s="7">
        <v>3115</v>
      </c>
      <c r="I9444" s="8" t="str">
        <f ca="1">IFERROR(__xludf.DUMMYFUNCTION("IF
(
G9445=""фізична особа""
,
VLOOKUP(H9445,IMPORTRANGE(""https://docs.google.com/spreadsheets/d/14Bd19lYaqBhU8_DElYkX7l4wRkHqqCUFNJY4AfY3kHU/edit?usp=sharing  #gid=0"",""фіз особи new!relations_name""),6,FALSE)
,
(IF
(
G9445=""юридична особа""
,
VLOOKUP"&amp;"(H9445,IMPORTRANGE(""https://docs.google.com/spreadsheets/d/14Bd19lYaqBhU8_DElYkX7l4wRkHqqCUFNJY4AfY3kHU/edit?usp=sharing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4" s="7" t="s">
        <v>29</v>
      </c>
    </row>
    <row r="9445" spans="1:10" ht="13.2">
      <c r="A9445" s="7">
        <v>9444</v>
      </c>
      <c r="B9445" s="7">
        <v>1</v>
      </c>
      <c r="C9445" s="7" t="s">
        <v>10</v>
      </c>
      <c r="D9445" s="7">
        <v>11278</v>
      </c>
      <c r="E9445" s="7" t="s">
        <v>28</v>
      </c>
      <c r="F9445" s="8" t="str">
        <f ca="1">IFERROR(__xludf.DUMMYFUNCTION("IF
(
C9446=""фізична особа""
,
VLOOKUP(D9446,IMPORTRANGE(""https://docs.google.com/spreadsheets/d/14Bd19lYaqBhU8_DElYkX7l4wRkHqqCUFNJY4AfY3kHU/edit?usp=sharing  #gid=0"",""фіз особи new!relations_name""),6,FALSE)
,
(IF
(
C9446=""юридична особа""
,
VLOOKUP"&amp;"(D9446,IMPORTRANGE(""https://docs.google.com/spreadsheets/d/14Bd19lYaqBhU8_DElYkX7l4wRkHqqCUFNJY4AfY3kHU/edit?usp=sharing  #gid=0"",""фіз особи new!relations_name_uo""),7,FALSE)
,
)
))"),"КІДЯЄВ Віктор Вікторович")</f>
        <v>КІДЯЄВ Віктор Вікторович</v>
      </c>
      <c r="G9445" s="7" t="s">
        <v>10</v>
      </c>
      <c r="H9445" s="7">
        <v>3115</v>
      </c>
      <c r="I9445" s="8" t="str">
        <f ca="1">IFERROR(__xludf.DUMMYFUNCTION("IF
(
G9446=""фізична особа""
,
VLOOKUP(H9446,IMPORTRANGE(""https://docs.google.com/spreadsheets/d/14Bd19lYaqBhU8_DElYkX7l4wRkHqqCUFNJY4AfY3kHU/edit?usp=sharing  #gid=0"",""фіз особи new!relations_name""),6,FALSE)
,
(IF
(
G9446=""юридична особа""
,
VLOOKUP"&amp;"(H9446,IMPORTRANGE(""https://docs.google.com/spreadsheets/d/14Bd19lYaqBhU8_DElYkX7l4wRkHqqCUFNJY4AfY3kHU/edit?usp=sharing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5" s="7" t="s">
        <v>29</v>
      </c>
    </row>
    <row r="9446" spans="1:10" ht="13.2">
      <c r="A9446" s="7">
        <v>9445</v>
      </c>
      <c r="B9446" s="7">
        <v>1</v>
      </c>
      <c r="C9446" s="7" t="s">
        <v>10</v>
      </c>
      <c r="D9446" s="7">
        <v>11278</v>
      </c>
      <c r="E9446" s="7" t="s">
        <v>18</v>
      </c>
      <c r="F9446" s="8" t="str">
        <f ca="1">IFERROR(__xludf.DUMMYFUNCTION("IF
(
C9447=""фізична особа""
,
VLOOKUP(D9447,IMPORTRANGE(""https://docs.google.com/spreadsheets/d/14Bd19lYaqBhU8_DElYkX7l4wRkHqqCUFNJY4AfY3kHU/edit?usp=sharing  #gid=0"",""фіз особи new!relations_name""),6,FALSE)
,
(IF
(
C9447=""юридична особа""
,
VLOOKUP"&amp;"(D9447,IMPORTRANGE(""https://docs.google.com/spreadsheets/d/14Bd19lYaqBhU8_DElYkX7l4wRkHqqCUFNJY4AfY3kHU/edit?usp=sharing  #gid=0"",""фіз особи new!relations_name_uo""),7,FALSE)
,
)
))"),"КІДЯЄВ Віктор Вікторович")</f>
        <v>КІДЯЄВ Віктор Вікторович</v>
      </c>
      <c r="G9446" s="7" t="s">
        <v>10</v>
      </c>
      <c r="H9446" s="7">
        <v>23453</v>
      </c>
      <c r="I9446" s="8" t="str">
        <f ca="1">IFERROR(__xludf.DUMMYFUNCTION("IF
(
G9447=""фізична особа""
,
VLOOKUP(H9447,IMPORTRANGE(""https://docs.google.com/spreadsheets/d/14Bd19lYaqBhU8_DElYkX7l4wRkHqqCUFNJY4AfY3kHU/edit?usp=sharing  #gid=0"",""фіз особи new!relations_name""),6,FALSE)
,
(IF
(
G9447=""юридична особа""
,
VLOOKUP"&amp;"(H9447,IMPORTRANGE(""https://docs.google.com/spreadsheets/d/14Bd19lYaqBhU8_DElYkX7l4wRkHqqCUFNJY4AfY3kHU/edit?usp=sharing  #gid=0"",""фіз особи new!relations_name_uo""),7,FALSE)
,
)
))"),"БАЙКІНА Марина Вікторівна")</f>
        <v>БАЙКІНА Марина Вікторівна</v>
      </c>
      <c r="J9446" s="7" t="s">
        <v>31</v>
      </c>
    </row>
    <row r="9447" spans="1:10" ht="13.2">
      <c r="A9447" s="7">
        <v>9446</v>
      </c>
      <c r="B9447" s="7">
        <v>1</v>
      </c>
      <c r="C9447" s="7" t="s">
        <v>10</v>
      </c>
      <c r="D9447" s="7">
        <v>11278</v>
      </c>
      <c r="E9447" s="7" t="s">
        <v>17</v>
      </c>
      <c r="F9447" s="8" t="str">
        <f ca="1">IFERROR(__xludf.DUMMYFUNCTION("IF
(
C9448=""фізична особа""
,
VLOOKUP(D9448,IMPORTRANGE(""https://docs.google.com/spreadsheets/d/14Bd19lYaqBhU8_DElYkX7l4wRkHqqCUFNJY4AfY3kHU/edit?usp=sharing  #gid=0"",""фіз особи new!relations_name""),6,FALSE)
,
(IF
(
C9448=""юридична особа""
,
VLOOKUP"&amp;"(D9448,IMPORTRANGE(""https://docs.google.com/spreadsheets/d/14Bd19lYaqBhU8_DElYkX7l4wRkHqqCUFNJY4AfY3kHU/edit?usp=sharing  #gid=0"",""фіз особи new!relations_name_uo""),7,FALSE)
,
)
))"),"КІДЯЄВ Віктор Вікторович")</f>
        <v>КІДЯЄВ Віктор Вікторович</v>
      </c>
      <c r="G9447" s="7" t="s">
        <v>10</v>
      </c>
      <c r="H9447" s="7">
        <v>817</v>
      </c>
      <c r="I9447" s="8" t="str">
        <f ca="1">IFERROR(__xludf.DUMMYFUNCTION("IF
(
G9448=""фізична особа""
,
VLOOKUP(H9448,IMPORTRANGE(""https://docs.google.com/spreadsheets/d/14Bd19lYaqBhU8_DElYkX7l4wRkHqqCUFNJY4AfY3kHU/edit?usp=sharing  #gid=0"",""фіз особи new!relations_name""),6,FALSE)
,
(IF
(
G9448=""юридична особа""
,
VLOOKUP"&amp;"(H9448,IMPORTRANGE(""https://docs.google.com/spreadsheets/d/14Bd19lYaqBhU8_DElYkX7l4wRkHqqCUFNJY4AfY3kHU/edit?usp=sharing  #gid=0"",""фіз особи new!relations_name_uo""),7,FALSE)
,
)
))"),"КІДЯЄВ Віктор Борисович")</f>
        <v>КІДЯЄВ Віктор Борисович</v>
      </c>
      <c r="J9447" s="7" t="s">
        <v>12</v>
      </c>
    </row>
    <row r="9448" spans="1:10" ht="13.2">
      <c r="A9448" s="7">
        <v>9447</v>
      </c>
      <c r="B9448" s="7">
        <v>1</v>
      </c>
      <c r="C9448" s="7" t="s">
        <v>10</v>
      </c>
      <c r="D9448" s="7">
        <v>11279</v>
      </c>
      <c r="E9448" s="7" t="s">
        <v>28</v>
      </c>
      <c r="F9448" s="8" t="str">
        <f ca="1">IFERROR(__xludf.DUMMYFUNCTION("IF
(
C9449=""фізична особа""
,
VLOOKUP(D9449,IMPORTRANGE(""https://docs.google.com/spreadsheets/d/14Bd19lYaqBhU8_DElYkX7l4wRkHqqCUFNJY4AfY3kHU/edit?usp=sharing  #gid=0"",""фіз особи new!relations_name""),6,FALSE)
,
(IF
(
C9449=""юридична особа""
,
VLOOKUP"&amp;"(D9449,IMPORTRANGE(""https://docs.google.com/spreadsheets/d/14Bd19lYaqBhU8_DElYkX7l4wRkHqqCUFNJY4AfY3kHU/edit?usp=sharing  #gid=0"",""фіз особи new!relations_name_uo""),7,FALSE)
,
)
))"),"ГАЛЄЄВ Ільнур Наїлович")</f>
        <v>ГАЛЄЄВ Ільнур Наїлович</v>
      </c>
      <c r="G9448" s="7" t="s">
        <v>10</v>
      </c>
      <c r="H9448" s="7">
        <v>3115</v>
      </c>
      <c r="I9448" s="8" t="str">
        <f ca="1">IFERROR(__xludf.DUMMYFUNCTION("IF
(
G9449=""фізична особа""
,
VLOOKUP(H9449,IMPORTRANGE(""https://docs.google.com/spreadsheets/d/14Bd19lYaqBhU8_DElYkX7l4wRkHqqCUFNJY4AfY3kHU/edit?usp=sharing  #gid=0"",""фіз особи new!relations_name""),6,FALSE)
,
(IF
(
G9449=""юридична особа""
,
VLOOKUP"&amp;"(H9449,IMPORTRANGE(""https://docs.google.com/spreadsheets/d/14Bd19lYaqBhU8_DElYkX7l4wRkHqqCUFNJY4AfY3kHU/edit?usp=sharing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8" s="7" t="s">
        <v>29</v>
      </c>
    </row>
    <row r="9449" spans="1:10" ht="13.2">
      <c r="A9449" s="7">
        <v>9448</v>
      </c>
      <c r="B9449" s="7">
        <v>1</v>
      </c>
      <c r="C9449" s="7" t="s">
        <v>10</v>
      </c>
      <c r="D9449" s="7">
        <v>11280</v>
      </c>
      <c r="E9449" s="7" t="s">
        <v>28</v>
      </c>
      <c r="F9449" s="8" t="str">
        <f ca="1">IFERROR(__xludf.DUMMYFUNCTION("IF
(
C9450=""фізична особа""
,
VLOOKUP(D9450,IMPORTRANGE(""https://docs.google.com/spreadsheets/d/14Bd19lYaqBhU8_DElYkX7l4wRkHqqCUFNJY4AfY3kHU/edit?usp=sharing  #gid=0"",""фіз особи new!relations_name""),6,FALSE)
,
(IF
(
C9450=""юридична особа""
,
VLOOKUP"&amp;"(D9450,IMPORTRANGE(""https://docs.google.com/spreadsheets/d/14Bd19lYaqBhU8_DElYkX7l4wRkHqqCUFNJY4AfY3kHU/edit?usp=sharing  #gid=0"",""фіз особи new!relations_name_uo""),7,FALSE)
,
)
))"),"ПАЛЬКІН Олексій Миколайович")</f>
        <v>ПАЛЬКІН Олексій Миколайович</v>
      </c>
      <c r="G9449" s="7" t="s">
        <v>10</v>
      </c>
      <c r="H9449" s="7">
        <v>3115</v>
      </c>
      <c r="I9449" s="8" t="str">
        <f ca="1">IFERROR(__xludf.DUMMYFUNCTION("IF
(
G9450=""фізична особа""
,
VLOOKUP(H9450,IMPORTRANGE(""https://docs.google.com/spreadsheets/d/14Bd19lYaqBhU8_DElYkX7l4wRkHqqCUFNJY4AfY3kHU/edit?usp=sharing  #gid=0"",""фіз особи new!relations_name""),6,FALSE)
,
(IF
(
G9450=""юридична особа""
,
VLOOKUP"&amp;"(H9450,IMPORTRANGE(""https://docs.google.com/spreadsheets/d/14Bd19lYaqBhU8_DElYkX7l4wRkHqqCUFNJY4AfY3kHU/edit?usp=sharing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49" s="7" t="s">
        <v>29</v>
      </c>
    </row>
    <row r="9450" spans="1:10" ht="13.2">
      <c r="A9450" s="7">
        <v>9449</v>
      </c>
      <c r="B9450" s="7">
        <v>1</v>
      </c>
      <c r="C9450" s="7" t="s">
        <v>10</v>
      </c>
      <c r="D9450" s="7">
        <v>11281</v>
      </c>
      <c r="E9450" s="7" t="s">
        <v>28</v>
      </c>
      <c r="F9450" s="8" t="str">
        <f ca="1">IFERROR(__xludf.DUMMYFUNCTION("IF
(
C9451=""фізична особа""
,
VLOOKUP(D9451,IMPORTRANGE(""https://docs.google.com/spreadsheets/d/14Bd19lYaqBhU8_DElYkX7l4wRkHqqCUFNJY4AfY3kHU/edit?usp=sharing  #gid=0"",""фіз особи new!relations_name""),6,FALSE)
,
(IF
(
C9451=""юридична особа""
,
VLOOKUP"&amp;"(D9451,IMPORTRANGE(""https://docs.google.com/spreadsheets/d/14Bd19lYaqBhU8_DElYkX7l4wRkHqqCUFNJY4AfY3kHU/edit?usp=sharing  #gid=0"",""фіз особи new!relations_name_uo""),7,FALSE)
,
)
))"),"МАКАРИЧЕВ Володимир Олексійович")</f>
        <v>МАКАРИЧЕВ Володимир Олексійович</v>
      </c>
      <c r="G9450" s="7" t="s">
        <v>10</v>
      </c>
      <c r="H9450" s="7">
        <v>3115</v>
      </c>
      <c r="I9450" s="8" t="str">
        <f ca="1">IFERROR(__xludf.DUMMYFUNCTION("IF
(
G9451=""фізична особа""
,
VLOOKUP(H9451,IMPORTRANGE(""https://docs.google.com/spreadsheets/d/14Bd19lYaqBhU8_DElYkX7l4wRkHqqCUFNJY4AfY3kHU/edit?usp=sharing  #gid=0"",""фіз особи new!relations_name""),6,FALSE)
,
(IF
(
G9451=""юридична особа""
,
VLOOKUP"&amp;"(H9451,IMPORTRANGE(""https://docs.google.com/spreadsheets/d/14Bd19lYaqBhU8_DElYkX7l4wRkHqqCUFNJY4AfY3kHU/edit?usp=sharing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50" s="7" t="s">
        <v>29</v>
      </c>
    </row>
    <row r="9451" spans="1:10" ht="13.2">
      <c r="A9451" s="7">
        <v>9450</v>
      </c>
      <c r="B9451" s="7">
        <v>1</v>
      </c>
      <c r="C9451" s="7" t="s">
        <v>10</v>
      </c>
      <c r="D9451" s="7">
        <v>11282</v>
      </c>
      <c r="E9451" s="7" t="s">
        <v>28</v>
      </c>
      <c r="F9451" s="8" t="str">
        <f ca="1">IFERROR(__xludf.DUMMYFUNCTION("IF
(
C9452=""фізична особа""
,
VLOOKUP(D9452,IMPORTRANGE(""https://docs.google.com/spreadsheets/d/14Bd19lYaqBhU8_DElYkX7l4wRkHqqCUFNJY4AfY3kHU/edit?usp=sharing  #gid=0"",""фіз особи new!relations_name""),6,FALSE)
,
(IF
(
C9452=""юридична особа""
,
VLOOKUP"&amp;"(D9452,IMPORTRANGE(""https://docs.google.com/spreadsheets/d/14Bd19lYaqBhU8_DElYkX7l4wRkHqqCUFNJY4AfY3kHU/edit?usp=sharing  #gid=0"",""фіз особи new!relations_name_uo""),7,FALSE)
,
)
))"),"РЯБИХ Сергій Валерійович")</f>
        <v>РЯБИХ Сергій Валерійович</v>
      </c>
      <c r="G9451" s="7" t="s">
        <v>10</v>
      </c>
      <c r="H9451" s="7">
        <v>3115</v>
      </c>
      <c r="I9451" s="8" t="str">
        <f ca="1">IFERROR(__xludf.DUMMYFUNCTION("IF
(
G9452=""фізична особа""
,
VLOOKUP(H9452,IMPORTRANGE(""https://docs.google.com/spreadsheets/d/14Bd19lYaqBhU8_DElYkX7l4wRkHqqCUFNJY4AfY3kHU/edit?usp=sharing  #gid=0"",""фіз особи new!relations_name""),6,FALSE)
,
(IF
(
G9452=""юридична особа""
,
VLOOKUP"&amp;"(H9452,IMPORTRANGE(""https://docs.google.com/spreadsheets/d/14Bd19lYaqBhU8_DElYkX7l4wRkHqqCUFNJY4AfY3kHU/edit?usp=sharing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51" s="7" t="s">
        <v>29</v>
      </c>
    </row>
    <row r="9452" spans="1:10" ht="13.2">
      <c r="A9452" s="7">
        <v>9451</v>
      </c>
      <c r="B9452" s="7">
        <v>1</v>
      </c>
      <c r="C9452" s="7" t="s">
        <v>10</v>
      </c>
      <c r="D9452" s="7">
        <v>11283</v>
      </c>
      <c r="E9452" s="7" t="s">
        <v>28</v>
      </c>
      <c r="F9452" s="8" t="str">
        <f ca="1">IFERROR(__xludf.DUMMYFUNCTION("IF
(
C9453=""фізична особа""
,
VLOOKUP(D9453,IMPORTRANGE(""https://docs.google.com/spreadsheets/d/14Bd19lYaqBhU8_DElYkX7l4wRkHqqCUFNJY4AfY3kHU/edit?usp=sharing  #gid=0"",""фіз особи new!relations_name""),6,FALSE)
,
(IF
(
C9453=""юридична особа""
,
VLOOKUP"&amp;"(D9453,IMPORTRANGE(""https://docs.google.com/spreadsheets/d/14Bd19lYaqBhU8_DElYkX7l4wRkHqqCUFNJY4AfY3kHU/edit?usp=sharing  #gid=0"",""фіз особи new!relations_name_uo""),7,FALSE)
,
)
))"),"ЧАСТОВ Олексій Олександрович")</f>
        <v>ЧАСТОВ Олексій Олександрович</v>
      </c>
      <c r="G9452" s="7" t="s">
        <v>10</v>
      </c>
      <c r="H9452" s="7">
        <v>3115</v>
      </c>
      <c r="I9452" s="8" t="str">
        <f ca="1">IFERROR(__xludf.DUMMYFUNCTION("IF
(
G9453=""фізична особа""
,
VLOOKUP(H9453,IMPORTRANGE(""https://docs.google.com/spreadsheets/d/14Bd19lYaqBhU8_DElYkX7l4wRkHqqCUFNJY4AfY3kHU/edit?usp=sharing  #gid=0"",""фіз особи new!relations_name""),6,FALSE)
,
(IF
(
G9453=""юридична особа""
,
VLOOKUP"&amp;"(H9453,IMPORTRANGE(""https://docs.google.com/spreadsheets/d/14Bd19lYaqBhU8_DElYkX7l4wRkHqqCUFNJY4AfY3kHU/edit?usp=sharing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52" s="7" t="s">
        <v>29</v>
      </c>
    </row>
    <row r="9453" spans="1:10" ht="13.2">
      <c r="A9453" s="7">
        <v>9452</v>
      </c>
      <c r="B9453" s="7">
        <v>1</v>
      </c>
      <c r="C9453" s="7" t="s">
        <v>10</v>
      </c>
      <c r="D9453" s="7">
        <v>11284</v>
      </c>
      <c r="E9453" s="7" t="s">
        <v>28</v>
      </c>
      <c r="F9453" s="8" t="str">
        <f ca="1">IFERROR(__xludf.DUMMYFUNCTION("IF
(
C9454=""фізична особа""
,
VLOOKUP(D9454,IMPORTRANGE(""https://docs.google.com/spreadsheets/d/14Bd19lYaqBhU8_DElYkX7l4wRkHqqCUFNJY4AfY3kHU/edit?usp=sharing  #gid=0"",""фіз особи new!relations_name""),6,FALSE)
,
(IF
(
C9454=""юридична особа""
,
VLOOKUP"&amp;"(D9454,IMPORTRANGE(""https://docs.google.com/spreadsheets/d/14Bd19lYaqBhU8_DElYkX7l4wRkHqqCUFNJY4AfY3kHU/edit?usp=sharing  #gid=0"",""фіз особи new!relations_name_uo""),7,FALSE)
,
)
))"),"БЄЛЯЄВ Сергій Васильович")</f>
        <v>БЄЛЯЄВ Сергій Васильович</v>
      </c>
      <c r="G9453" s="7" t="s">
        <v>10</v>
      </c>
      <c r="H9453" s="7">
        <v>3115</v>
      </c>
      <c r="I9453" s="8" t="str">
        <f ca="1">IFERROR(__xludf.DUMMYFUNCTION("IF
(
G9454=""фізична особа""
,
VLOOKUP(H9454,IMPORTRANGE(""https://docs.google.com/spreadsheets/d/14Bd19lYaqBhU8_DElYkX7l4wRkHqqCUFNJY4AfY3kHU/edit?usp=sharing  #gid=0"",""фіз особи new!relations_name""),6,FALSE)
,
(IF
(
G9454=""юридична особа""
,
VLOOKUP"&amp;"(H9454,IMPORTRANGE(""https://docs.google.com/spreadsheets/d/14Bd19lYaqBhU8_DElYkX7l4wRkHqqCUFNJY4AfY3kHU/edit?usp=sharing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453" s="7" t="s">
        <v>29</v>
      </c>
    </row>
    <row r="9454" spans="1:10" ht="13.2">
      <c r="A9454" s="7">
        <v>9453</v>
      </c>
      <c r="B9454" s="7">
        <v>1</v>
      </c>
      <c r="C9454" s="7" t="s">
        <v>10</v>
      </c>
      <c r="D9454" s="7">
        <v>11285</v>
      </c>
      <c r="E9454" s="7" t="s">
        <v>28</v>
      </c>
      <c r="F9454" s="8" t="str">
        <f ca="1">IFERROR(__xludf.DUMMYFUNCTION("IF
(
C9455=""фізична особа""
,
VLOOKUP(D9455,IMPORTRANGE(""https://docs.google.com/spreadsheets/d/14Bd19lYaqBhU8_DElYkX7l4wRkHqqCUFNJY4AfY3kHU/edit?usp=sharing  #gid=0"",""фіз особи new!relations_name""),6,FALSE)
,
(IF
(
C9455=""юридична особа""
,
VLOOKUP"&amp;"(D9455,IMPORTRANGE(""https://docs.google.com/spreadsheets/d/14Bd19lYaqBhU8_DElYkX7l4wRkHqqCUFNJY4AfY3kHU/edit?usp=sharing  #gid=0"",""фіз особи new!relations_name_uo""),7,FALSE)
,
)
))"),"ЗАСЬКО Валерій Миколайович")</f>
        <v>ЗАСЬКО Валерій Миколайович</v>
      </c>
      <c r="G9454" s="7" t="s">
        <v>10</v>
      </c>
      <c r="H9454" s="7">
        <v>3087</v>
      </c>
      <c r="I9454" s="8" t="str">
        <f ca="1">IFERROR(__xludf.DUMMYFUNCTION("IF
(
G9455=""фізична особа""
,
VLOOKUP(H9455,IMPORTRANGE(""https://docs.google.com/spreadsheets/d/14Bd19lYaqBhU8_DElYkX7l4wRkHqqCUFNJY4AfY3kHU/edit?usp=sharing  #gid=0"",""фіз особи new!relations_name""),6,FALSE)
,
(IF
(
G9455=""юридична особа""
,
VLOOKUP"&amp;"(H9455,IMPORTRANGE(""https://docs.google.com/spreadsheets/d/14Bd19lYaqBhU8_DElYkX7l4wRkHqqCUFNJY4AfY3kHU/edit?usp=sharing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4" s="7" t="s">
        <v>29</v>
      </c>
    </row>
    <row r="9455" spans="1:10" ht="13.2">
      <c r="A9455" s="7">
        <v>9454</v>
      </c>
      <c r="B9455" s="7">
        <v>1</v>
      </c>
      <c r="C9455" s="7" t="s">
        <v>10</v>
      </c>
      <c r="D9455" s="7">
        <v>11286</v>
      </c>
      <c r="E9455" s="7" t="s">
        <v>28</v>
      </c>
      <c r="F9455" s="8" t="str">
        <f ca="1">IFERROR(__xludf.DUMMYFUNCTION("IF
(
C9456=""фізична особа""
,
VLOOKUP(D9456,IMPORTRANGE(""https://docs.google.com/spreadsheets/d/14Bd19lYaqBhU8_DElYkX7l4wRkHqqCUFNJY4AfY3kHU/edit?usp=sharing  #gid=0"",""фіз особи new!relations_name""),6,FALSE)
,
(IF
(
C9456=""юридична особа""
,
VLOOKUP"&amp;"(D9456,IMPORTRANGE(""https://docs.google.com/spreadsheets/d/14Bd19lYaqBhU8_DElYkX7l4wRkHqqCUFNJY4AfY3kHU/edit?usp=sharing  #gid=0"",""фіз особи new!relations_name_uo""),7,FALSE)
,
)
))"),"ЧАЛІКОВ Максим Владиленович")</f>
        <v>ЧАЛІКОВ Максим Владиленович</v>
      </c>
      <c r="G9455" s="7" t="s">
        <v>10</v>
      </c>
      <c r="H9455" s="7">
        <v>3087</v>
      </c>
      <c r="I9455" s="8" t="str">
        <f ca="1">IFERROR(__xludf.DUMMYFUNCTION("IF
(
G9456=""фізична особа""
,
VLOOKUP(H9456,IMPORTRANGE(""https://docs.google.com/spreadsheets/d/14Bd19lYaqBhU8_DElYkX7l4wRkHqqCUFNJY4AfY3kHU/edit?usp=sharing  #gid=0"",""фіз особи new!relations_name""),6,FALSE)
,
(IF
(
G9456=""юридична особа""
,
VLOOKUP"&amp;"(H9456,IMPORTRANGE(""https://docs.google.com/spreadsheets/d/14Bd19lYaqBhU8_DElYkX7l4wRkHqqCUFNJY4AfY3kHU/edit?usp=sharing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5" s="7" t="s">
        <v>29</v>
      </c>
    </row>
    <row r="9456" spans="1:10" ht="13.2">
      <c r="A9456" s="7">
        <v>9455</v>
      </c>
      <c r="B9456" s="7">
        <v>1</v>
      </c>
      <c r="C9456" s="7" t="s">
        <v>10</v>
      </c>
      <c r="D9456" s="7">
        <v>11287</v>
      </c>
      <c r="E9456" s="7" t="s">
        <v>28</v>
      </c>
      <c r="F9456" s="8" t="str">
        <f ca="1">IFERROR(__xludf.DUMMYFUNCTION("IF
(
C9457=""фізична особа""
,
VLOOKUP(D9457,IMPORTRANGE(""https://docs.google.com/spreadsheets/d/14Bd19lYaqBhU8_DElYkX7l4wRkHqqCUFNJY4AfY3kHU/edit?usp=sharing  #gid=0"",""фіз особи new!relations_name""),6,FALSE)
,
(IF
(
C9457=""юридична особа""
,
VLOOKUP"&amp;"(D9457,IMPORTRANGE(""https://docs.google.com/spreadsheets/d/14Bd19lYaqBhU8_DElYkX7l4wRkHqqCUFNJY4AfY3kHU/edit?usp=sharing  #gid=0"",""фіз особи new!relations_name_uo""),7,FALSE)
,
)
))"),"БАКЧЕЄВА Марина Вікторівна")</f>
        <v>БАКЧЕЄВА Марина Вікторівна</v>
      </c>
      <c r="G9456" s="7" t="s">
        <v>10</v>
      </c>
      <c r="H9456" s="7">
        <v>3087</v>
      </c>
      <c r="I9456" s="8" t="str">
        <f ca="1">IFERROR(__xludf.DUMMYFUNCTION("IF
(
G9457=""фізична особа""
,
VLOOKUP(H9457,IMPORTRANGE(""https://docs.google.com/spreadsheets/d/14Bd19lYaqBhU8_DElYkX7l4wRkHqqCUFNJY4AfY3kHU/edit?usp=sharing  #gid=0"",""фіз особи new!relations_name""),6,FALSE)
,
(IF
(
G9457=""юридична особа""
,
VLOOKUP"&amp;"(H9457,IMPORTRANGE(""https://docs.google.com/spreadsheets/d/14Bd19lYaqBhU8_DElYkX7l4wRkHqqCUFNJY4AfY3kHU/edit?usp=sharing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6" s="7" t="s">
        <v>29</v>
      </c>
    </row>
    <row r="9457" spans="1:10" ht="13.2">
      <c r="A9457" s="7">
        <v>9456</v>
      </c>
      <c r="B9457" s="7">
        <v>1</v>
      </c>
      <c r="C9457" s="7" t="s">
        <v>10</v>
      </c>
      <c r="D9457" s="7">
        <v>11288</v>
      </c>
      <c r="E9457" s="7" t="s">
        <v>28</v>
      </c>
      <c r="F9457" s="8" t="str">
        <f ca="1">IFERROR(__xludf.DUMMYFUNCTION("IF
(
C9458=""фізична особа""
,
VLOOKUP(D9458,IMPORTRANGE(""https://docs.google.com/spreadsheets/d/14Bd19lYaqBhU8_DElYkX7l4wRkHqqCUFNJY4AfY3kHU/edit?usp=sharing  #gid=0"",""фіз особи new!relations_name""),6,FALSE)
,
(IF
(
C9458=""юридична особа""
,
VLOOKUP"&amp;"(D9458,IMPORTRANGE(""https://docs.google.com/spreadsheets/d/14Bd19lYaqBhU8_DElYkX7l4wRkHqqCUFNJY4AfY3kHU/edit?usp=sharing  #gid=0"",""фіз особи new!relations_name_uo""),7,FALSE)
,
)
))"),"САХАРУК Валерій Адамович")</f>
        <v>САХАРУК Валерій Адамович</v>
      </c>
      <c r="G9457" s="7" t="s">
        <v>10</v>
      </c>
      <c r="H9457" s="7">
        <v>3087</v>
      </c>
      <c r="I9457" s="8" t="str">
        <f ca="1">IFERROR(__xludf.DUMMYFUNCTION("IF
(
G9458=""фізична особа""
,
VLOOKUP(H9458,IMPORTRANGE(""https://docs.google.com/spreadsheets/d/14Bd19lYaqBhU8_DElYkX7l4wRkHqqCUFNJY4AfY3kHU/edit?usp=sharing  #gid=0"",""фіз особи new!relations_name""),6,FALSE)
,
(IF
(
G9458=""юридична особа""
,
VLOOKUP"&amp;"(H9458,IMPORTRANGE(""https://docs.google.com/spreadsheets/d/14Bd19lYaqBhU8_DElYkX7l4wRkHqqCUFNJY4AfY3kHU/edit?usp=sharing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7" s="7" t="s">
        <v>29</v>
      </c>
    </row>
    <row r="9458" spans="1:10" ht="13.2">
      <c r="A9458" s="7">
        <v>9457</v>
      </c>
      <c r="B9458" s="7">
        <v>1</v>
      </c>
      <c r="C9458" s="7" t="s">
        <v>10</v>
      </c>
      <c r="D9458" s="7">
        <v>11289</v>
      </c>
      <c r="E9458" s="7" t="s">
        <v>28</v>
      </c>
      <c r="F9458" s="8" t="str">
        <f ca="1">IFERROR(__xludf.DUMMYFUNCTION("IF
(
C9459=""фізична особа""
,
VLOOKUP(D9459,IMPORTRANGE(""https://docs.google.com/spreadsheets/d/14Bd19lYaqBhU8_DElYkX7l4wRkHqqCUFNJY4AfY3kHU/edit?usp=sharing  #gid=0"",""фіз особи new!relations_name""),6,FALSE)
,
(IF
(
C9459=""юридична особа""
,
VLOOKUP"&amp;"(D9459,IMPORTRANGE(""https://docs.google.com/spreadsheets/d/14Bd19lYaqBhU8_DElYkX7l4wRkHqqCUFNJY4AfY3kHU/edit?usp=sharing  #gid=0"",""фіз особи new!relations_name_uo""),7,FALSE)
,
)
))"),"БАЛАШОВА Ірина Євгенівна")</f>
        <v>БАЛАШОВА Ірина Євгенівна</v>
      </c>
      <c r="G9458" s="7" t="s">
        <v>10</v>
      </c>
      <c r="H9458" s="7">
        <v>3087</v>
      </c>
      <c r="I9458" s="8" t="str">
        <f ca="1">IFERROR(__xludf.DUMMYFUNCTION("IF
(
G9459=""фізична особа""
,
VLOOKUP(H9459,IMPORTRANGE(""https://docs.google.com/spreadsheets/d/14Bd19lYaqBhU8_DElYkX7l4wRkHqqCUFNJY4AfY3kHU/edit?usp=sharing  #gid=0"",""фіз особи new!relations_name""),6,FALSE)
,
(IF
(
G9459=""юридична особа""
,
VLOOKUP"&amp;"(H9459,IMPORTRANGE(""https://docs.google.com/spreadsheets/d/14Bd19lYaqBhU8_DElYkX7l4wRkHqqCUFNJY4AfY3kHU/edit?usp=sharing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8" s="7" t="s">
        <v>29</v>
      </c>
    </row>
    <row r="9459" spans="1:10" ht="13.2">
      <c r="A9459" s="7">
        <v>9458</v>
      </c>
      <c r="B9459" s="7">
        <v>1</v>
      </c>
      <c r="C9459" s="7" t="s">
        <v>10</v>
      </c>
      <c r="D9459" s="7">
        <v>11290</v>
      </c>
      <c r="E9459" s="7" t="s">
        <v>28</v>
      </c>
      <c r="F9459" s="8" t="str">
        <f ca="1">IFERROR(__xludf.DUMMYFUNCTION("IF
(
C9460=""фізична особа""
,
VLOOKUP(D9460,IMPORTRANGE(""https://docs.google.com/spreadsheets/d/14Bd19lYaqBhU8_DElYkX7l4wRkHqqCUFNJY4AfY3kHU/edit?usp=sharing  #gid=0"",""фіз особи new!relations_name""),6,FALSE)
,
(IF
(
C9460=""юридична особа""
,
VLOOKUP"&amp;"(D9460,IMPORTRANGE(""https://docs.google.com/spreadsheets/d/14Bd19lYaqBhU8_DElYkX7l4wRkHqqCUFNJY4AfY3kHU/edit?usp=sharing  #gid=0"",""фіз особи new!relations_name_uo""),7,FALSE)
,
)
))"),"КУЛЄШОВ Василь Павлович")</f>
        <v>КУЛЄШОВ Василь Павлович</v>
      </c>
      <c r="G9459" s="7" t="s">
        <v>10</v>
      </c>
      <c r="H9459" s="7">
        <v>3087</v>
      </c>
      <c r="I9459" s="8" t="str">
        <f ca="1">IFERROR(__xludf.DUMMYFUNCTION("IF
(
G9460=""фізична особа""
,
VLOOKUP(H9460,IMPORTRANGE(""https://docs.google.com/spreadsheets/d/14Bd19lYaqBhU8_DElYkX7l4wRkHqqCUFNJY4AfY3kHU/edit?usp=sharing  #gid=0"",""фіз особи new!relations_name""),6,FALSE)
,
(IF
(
G9460=""юридична особа""
,
VLOOKUP"&amp;"(H9460,IMPORTRANGE(""https://docs.google.com/spreadsheets/d/14Bd19lYaqBhU8_DElYkX7l4wRkHqqCUFNJY4AfY3kHU/edit?usp=sharing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59" s="7" t="s">
        <v>29</v>
      </c>
    </row>
    <row r="9460" spans="1:10" ht="13.2">
      <c r="A9460" s="7">
        <v>9459</v>
      </c>
      <c r="B9460" s="7">
        <v>1</v>
      </c>
      <c r="C9460" s="7" t="s">
        <v>10</v>
      </c>
      <c r="D9460" s="7">
        <v>11291</v>
      </c>
      <c r="E9460" s="7" t="s">
        <v>28</v>
      </c>
      <c r="F9460" s="8" t="str">
        <f ca="1">IFERROR(__xludf.DUMMYFUNCTION("IF
(
C9461=""фізична особа""
,
VLOOKUP(D9461,IMPORTRANGE(""https://docs.google.com/spreadsheets/d/14Bd19lYaqBhU8_DElYkX7l4wRkHqqCUFNJY4AfY3kHU/edit?usp=sharing  #gid=0"",""фіз особи new!relations_name""),6,FALSE)
,
(IF
(
C9461=""юридична особа""
,
VLOOKUP"&amp;"(D9461,IMPORTRANGE(""https://docs.google.com/spreadsheets/d/14Bd19lYaqBhU8_DElYkX7l4wRkHqqCUFNJY4AfY3kHU/edit?usp=sharing  #gid=0"",""фіз особи new!relations_name_uo""),7,FALSE)
,
)
))"),"ЗВАНКОВ Віталій Валерійович")</f>
        <v>ЗВАНКОВ Віталій Валерійович</v>
      </c>
      <c r="G9460" s="7" t="s">
        <v>10</v>
      </c>
      <c r="H9460" s="7">
        <v>3087</v>
      </c>
      <c r="I9460" s="8" t="str">
        <f ca="1">IFERROR(__xludf.DUMMYFUNCTION("IF
(
G9461=""фізична особа""
,
VLOOKUP(H9461,IMPORTRANGE(""https://docs.google.com/spreadsheets/d/14Bd19lYaqBhU8_DElYkX7l4wRkHqqCUFNJY4AfY3kHU/edit?usp=sharing  #gid=0"",""фіз особи new!relations_name""),6,FALSE)
,
(IF
(
G9461=""юридична особа""
,
VLOOKUP"&amp;"(H9461,IMPORTRANGE(""https://docs.google.com/spreadsheets/d/14Bd19lYaqBhU8_DElYkX7l4wRkHqqCUFNJY4AfY3kHU/edit?usp=sharing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0" s="7" t="s">
        <v>29</v>
      </c>
    </row>
    <row r="9461" spans="1:10" ht="13.2">
      <c r="A9461" s="7">
        <v>9460</v>
      </c>
      <c r="B9461" s="7">
        <v>1</v>
      </c>
      <c r="C9461" s="7" t="s">
        <v>10</v>
      </c>
      <c r="D9461" s="7">
        <v>11292</v>
      </c>
      <c r="E9461" s="7" t="s">
        <v>28</v>
      </c>
      <c r="F9461" s="8" t="str">
        <f ca="1">IFERROR(__xludf.DUMMYFUNCTION("IF
(
C9462=""фізична особа""
,
VLOOKUP(D9462,IMPORTRANGE(""https://docs.google.com/spreadsheets/d/14Bd19lYaqBhU8_DElYkX7l4wRkHqqCUFNJY4AfY3kHU/edit?usp=sharing  #gid=0"",""фіз особи new!relations_name""),6,FALSE)
,
(IF
(
C9462=""юридична особа""
,
VLOOKUP"&amp;"(D9462,IMPORTRANGE(""https://docs.google.com/spreadsheets/d/14Bd19lYaqBhU8_DElYkX7l4wRkHqqCUFNJY4AfY3kHU/edit?usp=sharing  #gid=0"",""фіз особи new!relations_name_uo""),7,FALSE)
,
)
))"),"СОЛДАТЕНКОВ Вадим Юрійович")</f>
        <v>СОЛДАТЕНКОВ Вадим Юрійович</v>
      </c>
      <c r="G9461" s="7" t="s">
        <v>10</v>
      </c>
      <c r="H9461" s="7">
        <v>3087</v>
      </c>
      <c r="I9461" s="8" t="str">
        <f ca="1">IFERROR(__xludf.DUMMYFUNCTION("IF
(
G9462=""фізична особа""
,
VLOOKUP(H9462,IMPORTRANGE(""https://docs.google.com/spreadsheets/d/14Bd19lYaqBhU8_DElYkX7l4wRkHqqCUFNJY4AfY3kHU/edit?usp=sharing  #gid=0"",""фіз особи new!relations_name""),6,FALSE)
,
(IF
(
G9462=""юридична особа""
,
VLOOKUP"&amp;"(H9462,IMPORTRANGE(""https://docs.google.com/spreadsheets/d/14Bd19lYaqBhU8_DElYkX7l4wRkHqqCUFNJY4AfY3kHU/edit?usp=sharing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1" s="7" t="s">
        <v>29</v>
      </c>
    </row>
    <row r="9462" spans="1:10" ht="13.2">
      <c r="A9462" s="7">
        <v>9461</v>
      </c>
      <c r="B9462" s="7">
        <v>1</v>
      </c>
      <c r="C9462" s="7" t="s">
        <v>10</v>
      </c>
      <c r="D9462" s="7">
        <v>11293</v>
      </c>
      <c r="E9462" s="7" t="s">
        <v>28</v>
      </c>
      <c r="F9462" s="8" t="str">
        <f ca="1">IFERROR(__xludf.DUMMYFUNCTION("IF
(
C9463=""фізична особа""
,
VLOOKUP(D9463,IMPORTRANGE(""https://docs.google.com/spreadsheets/d/14Bd19lYaqBhU8_DElYkX7l4wRkHqqCUFNJY4AfY3kHU/edit?usp=sharing  #gid=0"",""фіз особи new!relations_name""),6,FALSE)
,
(IF
(
C9463=""юридична особа""
,
VLOOKUP"&amp;"(D9463,IMPORTRANGE(""https://docs.google.com/spreadsheets/d/14Bd19lYaqBhU8_DElYkX7l4wRkHqqCUFNJY4AfY3kHU/edit?usp=sharing  #gid=0"",""фіз особи new!relations_name_uo""),7,FALSE)
,
)
))"),"ШАЛИГІНА Наталія Вікторівна")</f>
        <v>ШАЛИГІНА Наталія Вікторівна</v>
      </c>
      <c r="G9462" s="7" t="s">
        <v>10</v>
      </c>
      <c r="H9462" s="7">
        <v>3087</v>
      </c>
      <c r="I9462" s="8" t="str">
        <f ca="1">IFERROR(__xludf.DUMMYFUNCTION("IF
(
G9463=""фізична особа""
,
VLOOKUP(H9463,IMPORTRANGE(""https://docs.google.com/spreadsheets/d/14Bd19lYaqBhU8_DElYkX7l4wRkHqqCUFNJY4AfY3kHU/edit?usp=sharing  #gid=0"",""фіз особи new!relations_name""),6,FALSE)
,
(IF
(
G9463=""юридична особа""
,
VLOOKUP"&amp;"(H9463,IMPORTRANGE(""https://docs.google.com/spreadsheets/d/14Bd19lYaqBhU8_DElYkX7l4wRkHqqCUFNJY4AfY3kHU/edit?usp=sharing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2" s="7" t="s">
        <v>29</v>
      </c>
    </row>
    <row r="9463" spans="1:10" ht="13.2">
      <c r="A9463" s="7">
        <v>9462</v>
      </c>
      <c r="B9463" s="7">
        <v>1</v>
      </c>
      <c r="C9463" s="7" t="s">
        <v>10</v>
      </c>
      <c r="D9463" s="7">
        <v>11294</v>
      </c>
      <c r="E9463" s="7" t="s">
        <v>28</v>
      </c>
      <c r="F9463" s="8" t="str">
        <f ca="1">IFERROR(__xludf.DUMMYFUNCTION("IF
(
C9464=""фізична особа""
,
VLOOKUP(D9464,IMPORTRANGE(""https://docs.google.com/spreadsheets/d/14Bd19lYaqBhU8_DElYkX7l4wRkHqqCUFNJY4AfY3kHU/edit?usp=sharing  #gid=0"",""фіз особи new!relations_name""),6,FALSE)
,
(IF
(
C9464=""юридична особа""
,
VLOOKUP"&amp;"(D9464,IMPORTRANGE(""https://docs.google.com/spreadsheets/d/14Bd19lYaqBhU8_DElYkX7l4wRkHqqCUFNJY4AfY3kHU/edit?usp=sharing  #gid=0"",""фіз особи new!relations_name_uo""),7,FALSE)
,
)
))"),"МАЛЬЦЕВ Володимир Григорович")</f>
        <v>МАЛЬЦЕВ Володимир Григорович</v>
      </c>
      <c r="G9463" s="7" t="s">
        <v>10</v>
      </c>
      <c r="H9463" s="7">
        <v>3087</v>
      </c>
      <c r="I9463" s="8" t="str">
        <f ca="1">IFERROR(__xludf.DUMMYFUNCTION("IF
(
G9464=""фізична особа""
,
VLOOKUP(H9464,IMPORTRANGE(""https://docs.google.com/spreadsheets/d/14Bd19lYaqBhU8_DElYkX7l4wRkHqqCUFNJY4AfY3kHU/edit?usp=sharing  #gid=0"",""фіз особи new!relations_name""),6,FALSE)
,
(IF
(
G9464=""юридична особа""
,
VLOOKUP"&amp;"(H9464,IMPORTRANGE(""https://docs.google.com/spreadsheets/d/14Bd19lYaqBhU8_DElYkX7l4wRkHqqCUFNJY4AfY3kHU/edit?usp=sharing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3" s="7" t="s">
        <v>29</v>
      </c>
    </row>
    <row r="9464" spans="1:10" ht="13.2">
      <c r="A9464" s="7">
        <v>9463</v>
      </c>
      <c r="B9464" s="7">
        <v>1</v>
      </c>
      <c r="C9464" s="7" t="s">
        <v>10</v>
      </c>
      <c r="D9464" s="7">
        <v>11295</v>
      </c>
      <c r="E9464" s="7" t="s">
        <v>28</v>
      </c>
      <c r="F9464" s="8" t="str">
        <f ca="1">IFERROR(__xludf.DUMMYFUNCTION("IF
(
C9465=""фізична особа""
,
VLOOKUP(D9465,IMPORTRANGE(""https://docs.google.com/spreadsheets/d/14Bd19lYaqBhU8_DElYkX7l4wRkHqqCUFNJY4AfY3kHU/edit?usp=sharing  #gid=0"",""фіз особи new!relations_name""),6,FALSE)
,
(IF
(
C9465=""юридична особа""
,
VLOOKUP"&amp;"(D9465,IMPORTRANGE(""https://docs.google.com/spreadsheets/d/14Bd19lYaqBhU8_DElYkX7l4wRkHqqCUFNJY4AfY3kHU/edit?usp=sharing  #gid=0"",""фіз особи new!relations_name_uo""),7,FALSE)
,
)
))"),"ЛАЩЕНОВ Олексій Васильович")</f>
        <v>ЛАЩЕНОВ Олексій Васильович</v>
      </c>
      <c r="G9464" s="7" t="s">
        <v>10</v>
      </c>
      <c r="H9464" s="7">
        <v>3087</v>
      </c>
      <c r="I9464" s="8" t="str">
        <f ca="1">IFERROR(__xludf.DUMMYFUNCTION("IF
(
G9465=""фізична особа""
,
VLOOKUP(H9465,IMPORTRANGE(""https://docs.google.com/spreadsheets/d/14Bd19lYaqBhU8_DElYkX7l4wRkHqqCUFNJY4AfY3kHU/edit?usp=sharing  #gid=0"",""фіз особи new!relations_name""),6,FALSE)
,
(IF
(
G9465=""юридична особа""
,
VLOOKUP"&amp;"(H9465,IMPORTRANGE(""https://docs.google.com/spreadsheets/d/14Bd19lYaqBhU8_DElYkX7l4wRkHqqCUFNJY4AfY3kHU/edit?usp=sharing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4" s="7" t="s">
        <v>29</v>
      </c>
    </row>
    <row r="9465" spans="1:10" ht="13.2">
      <c r="A9465" s="7">
        <v>9464</v>
      </c>
      <c r="B9465" s="7">
        <v>1</v>
      </c>
      <c r="C9465" s="7" t="s">
        <v>10</v>
      </c>
      <c r="D9465" s="7">
        <v>11296</v>
      </c>
      <c r="E9465" s="7" t="s">
        <v>28</v>
      </c>
      <c r="F9465" s="8" t="str">
        <f ca="1">IFERROR(__xludf.DUMMYFUNCTION("IF
(
C9466=""фізична особа""
,
VLOOKUP(D9466,IMPORTRANGE(""https://docs.google.com/spreadsheets/d/14Bd19lYaqBhU8_DElYkX7l4wRkHqqCUFNJY4AfY3kHU/edit?usp=sharing  #gid=0"",""фіз особи new!relations_name""),6,FALSE)
,
(IF
(
C9466=""юридична особа""
,
VLOOKUP"&amp;"(D9466,IMPORTRANGE(""https://docs.google.com/spreadsheets/d/14Bd19lYaqBhU8_DElYkX7l4wRkHqqCUFNJY4AfY3kHU/edit?usp=sharing  #gid=0"",""фіз особи new!relations_name_uo""),7,FALSE)
,
)
))"),"СУВОРОВА Олена Володимирівна")</f>
        <v>СУВОРОВА Олена Володимирівна</v>
      </c>
      <c r="G9465" s="7" t="s">
        <v>10</v>
      </c>
      <c r="H9465" s="7">
        <v>3087</v>
      </c>
      <c r="I9465" s="8" t="str">
        <f ca="1">IFERROR(__xludf.DUMMYFUNCTION("IF
(
G9466=""фізична особа""
,
VLOOKUP(H9466,IMPORTRANGE(""https://docs.google.com/spreadsheets/d/14Bd19lYaqBhU8_DElYkX7l4wRkHqqCUFNJY4AfY3kHU/edit?usp=sharing  #gid=0"",""фіз особи new!relations_name""),6,FALSE)
,
(IF
(
G9466=""юридична особа""
,
VLOOKUP"&amp;"(H9466,IMPORTRANGE(""https://docs.google.com/spreadsheets/d/14Bd19lYaqBhU8_DElYkX7l4wRkHqqCUFNJY4AfY3kHU/edit?usp=sharing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5" s="7" t="s">
        <v>29</v>
      </c>
    </row>
    <row r="9466" spans="1:10" ht="13.2">
      <c r="A9466" s="7">
        <v>9465</v>
      </c>
      <c r="B9466" s="7">
        <v>1</v>
      </c>
      <c r="C9466" s="7" t="s">
        <v>10</v>
      </c>
      <c r="D9466" s="7">
        <v>11297</v>
      </c>
      <c r="E9466" s="7" t="s">
        <v>28</v>
      </c>
      <c r="F9466" s="8" t="str">
        <f ca="1">IFERROR(__xludf.DUMMYFUNCTION("IF
(
C9467=""фізична особа""
,
VLOOKUP(D9467,IMPORTRANGE(""https://docs.google.com/spreadsheets/d/14Bd19lYaqBhU8_DElYkX7l4wRkHqqCUFNJY4AfY3kHU/edit?usp=sharing  #gid=0"",""фіз особи new!relations_name""),6,FALSE)
,
(IF
(
C9467=""юридична особа""
,
VLOOKUP"&amp;"(D9467,IMPORTRANGE(""https://docs.google.com/spreadsheets/d/14Bd19lYaqBhU8_DElYkX7l4wRkHqqCUFNJY4AfY3kHU/edit?usp=sharing  #gid=0"",""фіз особи new!relations_name_uo""),7,FALSE)
,
)
))"),"КРАШЕНІННІКОВА Марина Олександрівна")</f>
        <v>КРАШЕНІННІКОВА Марина Олександрівна</v>
      </c>
      <c r="G9466" s="7" t="s">
        <v>10</v>
      </c>
      <c r="H9466" s="7">
        <v>3087</v>
      </c>
      <c r="I9466" s="8" t="str">
        <f ca="1">IFERROR(__xludf.DUMMYFUNCTION("IF
(
G9467=""фізична особа""
,
VLOOKUP(H9467,IMPORTRANGE(""https://docs.google.com/spreadsheets/d/14Bd19lYaqBhU8_DElYkX7l4wRkHqqCUFNJY4AfY3kHU/edit?usp=sharing  #gid=0"",""фіз особи new!relations_name""),6,FALSE)
,
(IF
(
G9467=""юридична особа""
,
VLOOKUP"&amp;"(H9467,IMPORTRANGE(""https://docs.google.com/spreadsheets/d/14Bd19lYaqBhU8_DElYkX7l4wRkHqqCUFNJY4AfY3kHU/edit?usp=sharing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6" s="7" t="s">
        <v>29</v>
      </c>
    </row>
    <row r="9467" spans="1:10" ht="13.2">
      <c r="A9467" s="7">
        <v>9466</v>
      </c>
      <c r="B9467" s="7">
        <v>1</v>
      </c>
      <c r="C9467" s="7" t="s">
        <v>10</v>
      </c>
      <c r="D9467" s="7">
        <v>11298</v>
      </c>
      <c r="E9467" s="7" t="s">
        <v>28</v>
      </c>
      <c r="F9467" s="8" t="str">
        <f ca="1">IFERROR(__xludf.DUMMYFUNCTION("IF
(
C9468=""фізична особа""
,
VLOOKUP(D9468,IMPORTRANGE(""https://docs.google.com/spreadsheets/d/14Bd19lYaqBhU8_DElYkX7l4wRkHqqCUFNJY4AfY3kHU/edit?usp=sharing  #gid=0"",""фіз особи new!relations_name""),6,FALSE)
,
(IF
(
C9468=""юридична особа""
,
VLOOKUP"&amp;"(D9468,IMPORTRANGE(""https://docs.google.com/spreadsheets/d/14Bd19lYaqBhU8_DElYkX7l4wRkHqqCUFNJY4AfY3kHU/edit?usp=sharing  #gid=0"",""фіз особи new!relations_name_uo""),7,FALSE)
,
)
))"),"БАРАНОВ Роман Володимирович")</f>
        <v>БАРАНОВ Роман Володимирович</v>
      </c>
      <c r="G9467" s="7" t="s">
        <v>10</v>
      </c>
      <c r="H9467" s="7">
        <v>3087</v>
      </c>
      <c r="I9467" s="8" t="str">
        <f ca="1">IFERROR(__xludf.DUMMYFUNCTION("IF
(
G9468=""фізична особа""
,
VLOOKUP(H9468,IMPORTRANGE(""https://docs.google.com/spreadsheets/d/14Bd19lYaqBhU8_DElYkX7l4wRkHqqCUFNJY4AfY3kHU/edit?usp=sharing  #gid=0"",""фіз особи new!relations_name""),6,FALSE)
,
(IF
(
G9468=""юридична особа""
,
VLOOKUP"&amp;"(H9468,IMPORTRANGE(""https://docs.google.com/spreadsheets/d/14Bd19lYaqBhU8_DElYkX7l4wRkHqqCUFNJY4AfY3kHU/edit?usp=sharing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7" s="7" t="s">
        <v>29</v>
      </c>
    </row>
    <row r="9468" spans="1:10" ht="13.2">
      <c r="A9468" s="7">
        <v>9467</v>
      </c>
      <c r="B9468" s="7">
        <v>1</v>
      </c>
      <c r="C9468" s="7" t="s">
        <v>10</v>
      </c>
      <c r="D9468" s="7">
        <v>11299</v>
      </c>
      <c r="E9468" s="7" t="s">
        <v>28</v>
      </c>
      <c r="F9468" s="8" t="str">
        <f ca="1">IFERROR(__xludf.DUMMYFUNCTION("IF
(
C9469=""фізична особа""
,
VLOOKUP(D9469,IMPORTRANGE(""https://docs.google.com/spreadsheets/d/14Bd19lYaqBhU8_DElYkX7l4wRkHqqCUFNJY4AfY3kHU/edit?usp=sharing  #gid=0"",""фіз особи new!relations_name""),6,FALSE)
,
(IF
(
C9469=""юридична особа""
,
VLOOKUP"&amp;"(D9469,IMPORTRANGE(""https://docs.google.com/spreadsheets/d/14Bd19lYaqBhU8_DElYkX7l4wRkHqqCUFNJY4AfY3kHU/edit?usp=sharing  #gid=0"",""фіз особи new!relations_name_uo""),7,FALSE)
,
)
))"),"ПРИЩЕПА Вероніка Сергіївна")</f>
        <v>ПРИЩЕПА Вероніка Сергіївна</v>
      </c>
      <c r="G9468" s="7" t="s">
        <v>10</v>
      </c>
      <c r="H9468" s="7">
        <v>3087</v>
      </c>
      <c r="I9468" s="8" t="str">
        <f ca="1">IFERROR(__xludf.DUMMYFUNCTION("IF
(
G9469=""фізична особа""
,
VLOOKUP(H9469,IMPORTRANGE(""https://docs.google.com/spreadsheets/d/14Bd19lYaqBhU8_DElYkX7l4wRkHqqCUFNJY4AfY3kHU/edit?usp=sharing  #gid=0"",""фіз особи new!relations_name""),6,FALSE)
,
(IF
(
G9469=""юридична особа""
,
VLOOKUP"&amp;"(H9469,IMPORTRANGE(""https://docs.google.com/spreadsheets/d/14Bd19lYaqBhU8_DElYkX7l4wRkHqqCUFNJY4AfY3kHU/edit?usp=sharing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8" s="7" t="s">
        <v>29</v>
      </c>
    </row>
    <row r="9469" spans="1:10" ht="13.2">
      <c r="A9469" s="7">
        <v>9468</v>
      </c>
      <c r="B9469" s="7">
        <v>1</v>
      </c>
      <c r="C9469" s="7" t="s">
        <v>10</v>
      </c>
      <c r="D9469" s="7">
        <v>11300</v>
      </c>
      <c r="E9469" s="7" t="s">
        <v>28</v>
      </c>
      <c r="F9469" s="8" t="str">
        <f ca="1">IFERROR(__xludf.DUMMYFUNCTION("IF
(
C9470=""фізична особа""
,
VLOOKUP(D9470,IMPORTRANGE(""https://docs.google.com/spreadsheets/d/14Bd19lYaqBhU8_DElYkX7l4wRkHqqCUFNJY4AfY3kHU/edit?usp=sharing  #gid=0"",""фіз особи new!relations_name""),6,FALSE)
,
(IF
(
C9470=""юридична особа""
,
VLOOKUP"&amp;"(D9470,IMPORTRANGE(""https://docs.google.com/spreadsheets/d/14Bd19lYaqBhU8_DElYkX7l4wRkHqqCUFNJY4AfY3kHU/edit?usp=sharing  #gid=0"",""фіз особи new!relations_name_uo""),7,FALSE)
,
)
))"),"ТОКАРЄВ Сергій Ігорович")</f>
        <v>ТОКАРЄВ Сергій Ігорович</v>
      </c>
      <c r="G9469" s="7" t="s">
        <v>10</v>
      </c>
      <c r="H9469" s="7">
        <v>3087</v>
      </c>
      <c r="I9469" s="8" t="str">
        <f ca="1">IFERROR(__xludf.DUMMYFUNCTION("IF
(
G9470=""фізична особа""
,
VLOOKUP(H9470,IMPORTRANGE(""https://docs.google.com/spreadsheets/d/14Bd19lYaqBhU8_DElYkX7l4wRkHqqCUFNJY4AfY3kHU/edit?usp=sharing  #gid=0"",""фіз особи new!relations_name""),6,FALSE)
,
(IF
(
G9470=""юридична особа""
,
VLOOKUP"&amp;"(H9470,IMPORTRANGE(""https://docs.google.com/spreadsheets/d/14Bd19lYaqBhU8_DElYkX7l4wRkHqqCUFNJY4AfY3kHU/edit?usp=sharing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69" s="7" t="s">
        <v>29</v>
      </c>
    </row>
    <row r="9470" spans="1:10" ht="13.2">
      <c r="A9470" s="7">
        <v>9469</v>
      </c>
      <c r="B9470" s="7">
        <v>1</v>
      </c>
      <c r="C9470" s="7" t="s">
        <v>10</v>
      </c>
      <c r="D9470" s="7">
        <v>11301</v>
      </c>
      <c r="E9470" s="7" t="s">
        <v>28</v>
      </c>
      <c r="F9470" s="8" t="str">
        <f ca="1">IFERROR(__xludf.DUMMYFUNCTION("IF
(
C9471=""фізична особа""
,
VLOOKUP(D9471,IMPORTRANGE(""https://docs.google.com/spreadsheets/d/14Bd19lYaqBhU8_DElYkX7l4wRkHqqCUFNJY4AfY3kHU/edit?usp=sharing  #gid=0"",""фіз особи new!relations_name""),6,FALSE)
,
(IF
(
C9471=""юридична особа""
,
VLOOKUP"&amp;"(D9471,IMPORTRANGE(""https://docs.google.com/spreadsheets/d/14Bd19lYaqBhU8_DElYkX7l4wRkHqqCUFNJY4AfY3kHU/edit?usp=sharing  #gid=0"",""фіз особи new!relations_name_uo""),7,FALSE)
,
)
))"),"ЯКУШЕВ Роман В'ячеславович")</f>
        <v>ЯКУШЕВ Роман В'ячеславович</v>
      </c>
      <c r="G9470" s="7" t="s">
        <v>10</v>
      </c>
      <c r="H9470" s="7">
        <v>3087</v>
      </c>
      <c r="I9470" s="8" t="str">
        <f ca="1">IFERROR(__xludf.DUMMYFUNCTION("IF
(
G9471=""фізична особа""
,
VLOOKUP(H9471,IMPORTRANGE(""https://docs.google.com/spreadsheets/d/14Bd19lYaqBhU8_DElYkX7l4wRkHqqCUFNJY4AfY3kHU/edit?usp=sharing  #gid=0"",""фіз особи new!relations_name""),6,FALSE)
,
(IF
(
G9471=""юридична особа""
,
VLOOKUP"&amp;"(H9471,IMPORTRANGE(""https://docs.google.com/spreadsheets/d/14Bd19lYaqBhU8_DElYkX7l4wRkHqqCUFNJY4AfY3kHU/edit?usp=sharing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0" s="7" t="s">
        <v>29</v>
      </c>
    </row>
    <row r="9471" spans="1:10" ht="13.2">
      <c r="A9471" s="7">
        <v>9470</v>
      </c>
      <c r="B9471" s="7">
        <v>1</v>
      </c>
      <c r="C9471" s="7" t="s">
        <v>10</v>
      </c>
      <c r="D9471" s="7">
        <v>11302</v>
      </c>
      <c r="E9471" s="7" t="s">
        <v>28</v>
      </c>
      <c r="F9471" s="8" t="str">
        <f ca="1">IFERROR(__xludf.DUMMYFUNCTION("IF
(
C9472=""фізична особа""
,
VLOOKUP(D9472,IMPORTRANGE(""https://docs.google.com/spreadsheets/d/14Bd19lYaqBhU8_DElYkX7l4wRkHqqCUFNJY4AfY3kHU/edit?usp=sharing  #gid=0"",""фіз особи new!relations_name""),6,FALSE)
,
(IF
(
C9472=""юридична особа""
,
VLOOKUP"&amp;"(D9472,IMPORTRANGE(""https://docs.google.com/spreadsheets/d/14Bd19lYaqBhU8_DElYkX7l4wRkHqqCUFNJY4AfY3kHU/edit?usp=sharing  #gid=0"",""фіз особи new!relations_name_uo""),7,FALSE)
,
)
))"),"АКУНОВА Ірина Володимирівна")</f>
        <v>АКУНОВА Ірина Володимирівна</v>
      </c>
      <c r="G9471" s="7" t="s">
        <v>10</v>
      </c>
      <c r="H9471" s="7">
        <v>3087</v>
      </c>
      <c r="I9471" s="8" t="str">
        <f ca="1">IFERROR(__xludf.DUMMYFUNCTION("IF
(
G9472=""фізична особа""
,
VLOOKUP(H9472,IMPORTRANGE(""https://docs.google.com/spreadsheets/d/14Bd19lYaqBhU8_DElYkX7l4wRkHqqCUFNJY4AfY3kHU/edit?usp=sharing  #gid=0"",""фіз особи new!relations_name""),6,FALSE)
,
(IF
(
G9472=""юридична особа""
,
VLOOKUP"&amp;"(H9472,IMPORTRANGE(""https://docs.google.com/spreadsheets/d/14Bd19lYaqBhU8_DElYkX7l4wRkHqqCUFNJY4AfY3kHU/edit?usp=sharing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1" s="7" t="s">
        <v>29</v>
      </c>
    </row>
    <row r="9472" spans="1:10" ht="13.2">
      <c r="A9472" s="7">
        <v>9471</v>
      </c>
      <c r="B9472" s="7">
        <v>1</v>
      </c>
      <c r="C9472" s="7" t="s">
        <v>10</v>
      </c>
      <c r="D9472" s="7">
        <v>11303</v>
      </c>
      <c r="E9472" s="7" t="s">
        <v>28</v>
      </c>
      <c r="F9472" s="8" t="str">
        <f ca="1">IFERROR(__xludf.DUMMYFUNCTION("IF
(
C9473=""фізична особа""
,
VLOOKUP(D9473,IMPORTRANGE(""https://docs.google.com/spreadsheets/d/14Bd19lYaqBhU8_DElYkX7l4wRkHqqCUFNJY4AfY3kHU/edit?usp=sharing  #gid=0"",""фіз особи new!relations_name""),6,FALSE)
,
(IF
(
C9473=""юридична особа""
,
VLOOKUP"&amp;"(D9473,IMPORTRANGE(""https://docs.google.com/spreadsheets/d/14Bd19lYaqBhU8_DElYkX7l4wRkHqqCUFNJY4AfY3kHU/edit?usp=sharing  #gid=0"",""фіз особи new!relations_name_uo""),7,FALSE)
,
)
))"),"БАЛТА Єлісей Юрійович")</f>
        <v>БАЛТА Єлісей Юрійович</v>
      </c>
      <c r="G9472" s="7" t="s">
        <v>10</v>
      </c>
      <c r="H9472" s="7">
        <v>3087</v>
      </c>
      <c r="I9472" s="8" t="str">
        <f ca="1">IFERROR(__xludf.DUMMYFUNCTION("IF
(
G9473=""фізична особа""
,
VLOOKUP(H9473,IMPORTRANGE(""https://docs.google.com/spreadsheets/d/14Bd19lYaqBhU8_DElYkX7l4wRkHqqCUFNJY4AfY3kHU/edit?usp=sharing  #gid=0"",""фіз особи new!relations_name""),6,FALSE)
,
(IF
(
G9473=""юридична особа""
,
VLOOKUP"&amp;"(H9473,IMPORTRANGE(""https://docs.google.com/spreadsheets/d/14Bd19lYaqBhU8_DElYkX7l4wRkHqqCUFNJY4AfY3kHU/edit?usp=sharing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2" s="7" t="s">
        <v>29</v>
      </c>
    </row>
    <row r="9473" spans="1:10" ht="13.2">
      <c r="A9473" s="7">
        <v>9472</v>
      </c>
      <c r="B9473" s="7">
        <v>1</v>
      </c>
      <c r="C9473" s="7" t="s">
        <v>10</v>
      </c>
      <c r="D9473" s="7">
        <v>11304</v>
      </c>
      <c r="E9473" s="7" t="s">
        <v>28</v>
      </c>
      <c r="F9473" s="8" t="str">
        <f ca="1">IFERROR(__xludf.DUMMYFUNCTION("IF
(
C9474=""фізична особа""
,
VLOOKUP(D9474,IMPORTRANGE(""https://docs.google.com/spreadsheets/d/14Bd19lYaqBhU8_DElYkX7l4wRkHqqCUFNJY4AfY3kHU/edit?usp=sharing  #gid=0"",""фіз особи new!relations_name""),6,FALSE)
,
(IF
(
C9474=""юридична особа""
,
VLOOKUP"&amp;"(D9474,IMPORTRANGE(""https://docs.google.com/spreadsheets/d/14Bd19lYaqBhU8_DElYkX7l4wRkHqqCUFNJY4AfY3kHU/edit?usp=sharing  #gid=0"",""фіз особи new!relations_name_uo""),7,FALSE)
,
)
))"),"КУЗЬМИЧЕВ Денис Євгенович")</f>
        <v>КУЗЬМИЧЕВ Денис Євгенович</v>
      </c>
      <c r="G9473" s="7" t="s">
        <v>10</v>
      </c>
      <c r="H9473" s="7">
        <v>3087</v>
      </c>
      <c r="I9473" s="8" t="str">
        <f ca="1">IFERROR(__xludf.DUMMYFUNCTION("IF
(
G9474=""фізична особа""
,
VLOOKUP(H9474,IMPORTRANGE(""https://docs.google.com/spreadsheets/d/14Bd19lYaqBhU8_DElYkX7l4wRkHqqCUFNJY4AfY3kHU/edit?usp=sharing  #gid=0"",""фіз особи new!relations_name""),6,FALSE)
,
(IF
(
G9474=""юридична особа""
,
VLOOKUP"&amp;"(H9474,IMPORTRANGE(""https://docs.google.com/spreadsheets/d/14Bd19lYaqBhU8_DElYkX7l4wRkHqqCUFNJY4AfY3kHU/edit?usp=sharing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3" s="7" t="s">
        <v>29</v>
      </c>
    </row>
    <row r="9474" spans="1:10" ht="13.2">
      <c r="A9474" s="7">
        <v>9473</v>
      </c>
      <c r="B9474" s="7">
        <v>1</v>
      </c>
      <c r="C9474" s="7" t="s">
        <v>10</v>
      </c>
      <c r="D9474" s="7">
        <v>11305</v>
      </c>
      <c r="E9474" s="7" t="s">
        <v>28</v>
      </c>
      <c r="F9474" s="8" t="str">
        <f ca="1">IFERROR(__xludf.DUMMYFUNCTION("IF
(
C9475=""фізична особа""
,
VLOOKUP(D9475,IMPORTRANGE(""https://docs.google.com/spreadsheets/d/14Bd19lYaqBhU8_DElYkX7l4wRkHqqCUFNJY4AfY3kHU/edit?usp=sharing  #gid=0"",""фіз особи new!relations_name""),6,FALSE)
,
(IF
(
C9475=""юридична особа""
,
VLOOKUP"&amp;"(D9475,IMPORTRANGE(""https://docs.google.com/spreadsheets/d/14Bd19lYaqBhU8_DElYkX7l4wRkHqqCUFNJY4AfY3kHU/edit?usp=sharing  #gid=0"",""фіз особи new!relations_name_uo""),7,FALSE)
,
)
))"),"КАСЯНЮК Олексій Олександрович")</f>
        <v>КАСЯНЮК Олексій Олександрович</v>
      </c>
      <c r="G9474" s="7" t="s">
        <v>10</v>
      </c>
      <c r="H9474" s="7">
        <v>3087</v>
      </c>
      <c r="I9474" s="8" t="str">
        <f ca="1">IFERROR(__xludf.DUMMYFUNCTION("IF
(
G9475=""фізична особа""
,
VLOOKUP(H9475,IMPORTRANGE(""https://docs.google.com/spreadsheets/d/14Bd19lYaqBhU8_DElYkX7l4wRkHqqCUFNJY4AfY3kHU/edit?usp=sharing  #gid=0"",""фіз особи new!relations_name""),6,FALSE)
,
(IF
(
G9475=""юридична особа""
,
VLOOKUP"&amp;"(H9475,IMPORTRANGE(""https://docs.google.com/spreadsheets/d/14Bd19lYaqBhU8_DElYkX7l4wRkHqqCUFNJY4AfY3kHU/edit?usp=sharing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4" s="7" t="s">
        <v>29</v>
      </c>
    </row>
    <row r="9475" spans="1:10" ht="13.2">
      <c r="A9475" s="7">
        <v>9474</v>
      </c>
      <c r="B9475" s="7">
        <v>1</v>
      </c>
      <c r="C9475" s="7" t="s">
        <v>10</v>
      </c>
      <c r="D9475" s="7">
        <v>11306</v>
      </c>
      <c r="E9475" s="7" t="s">
        <v>28</v>
      </c>
      <c r="F9475" s="8" t="str">
        <f ca="1">IFERROR(__xludf.DUMMYFUNCTION("IF
(
C9476=""фізична особа""
,
VLOOKUP(D9476,IMPORTRANGE(""https://docs.google.com/spreadsheets/d/14Bd19lYaqBhU8_DElYkX7l4wRkHqqCUFNJY4AfY3kHU/edit?usp=sharing  #gid=0"",""фіз особи new!relations_name""),6,FALSE)
,
(IF
(
C9476=""юридична особа""
,
VLOOKUP"&amp;"(D9476,IMPORTRANGE(""https://docs.google.com/spreadsheets/d/14Bd19lYaqBhU8_DElYkX7l4wRkHqqCUFNJY4AfY3kHU/edit?usp=sharing  #gid=0"",""фіз особи new!relations_name_uo""),7,FALSE)
,
)
))"),"ЛАБАЗНОВ Павло Федорович")</f>
        <v>ЛАБАЗНОВ Павло Федорович</v>
      </c>
      <c r="G9475" s="7" t="s">
        <v>10</v>
      </c>
      <c r="H9475" s="7">
        <v>3087</v>
      </c>
      <c r="I9475" s="8" t="str">
        <f ca="1">IFERROR(__xludf.DUMMYFUNCTION("IF
(
G9476=""фізична особа""
,
VLOOKUP(H9476,IMPORTRANGE(""https://docs.google.com/spreadsheets/d/14Bd19lYaqBhU8_DElYkX7l4wRkHqqCUFNJY4AfY3kHU/edit?usp=sharing  #gid=0"",""фіз особи new!relations_name""),6,FALSE)
,
(IF
(
G9476=""юридична особа""
,
VLOOKUP"&amp;"(H9476,IMPORTRANGE(""https://docs.google.com/spreadsheets/d/14Bd19lYaqBhU8_DElYkX7l4wRkHqqCUFNJY4AfY3kHU/edit?usp=sharing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5" s="7" t="s">
        <v>29</v>
      </c>
    </row>
    <row r="9476" spans="1:10" ht="13.2">
      <c r="A9476" s="7">
        <v>9475</v>
      </c>
      <c r="B9476" s="7">
        <v>1</v>
      </c>
      <c r="C9476" s="7" t="s">
        <v>10</v>
      </c>
      <c r="D9476" s="7">
        <v>11307</v>
      </c>
      <c r="E9476" s="7" t="s">
        <v>28</v>
      </c>
      <c r="F9476" s="8" t="str">
        <f ca="1">IFERROR(__xludf.DUMMYFUNCTION("IF
(
C9477=""фізична особа""
,
VLOOKUP(D9477,IMPORTRANGE(""https://docs.google.com/spreadsheets/d/14Bd19lYaqBhU8_DElYkX7l4wRkHqqCUFNJY4AfY3kHU/edit?usp=sharing  #gid=0"",""фіз особи new!relations_name""),6,FALSE)
,
(IF
(
C9477=""юридична особа""
,
VLOOKUP"&amp;"(D9477,IMPORTRANGE(""https://docs.google.com/spreadsheets/d/14Bd19lYaqBhU8_DElYkX7l4wRkHqqCUFNJY4AfY3kHU/edit?usp=sharing  #gid=0"",""фіз особи new!relations_name_uo""),7,FALSE)
,
)
))"),"КАДЕТ Олександра Валеріївна")</f>
        <v>КАДЕТ Олександра Валеріївна</v>
      </c>
      <c r="G9476" s="7" t="s">
        <v>10</v>
      </c>
      <c r="H9476" s="7">
        <v>3087</v>
      </c>
      <c r="I9476" s="8" t="str">
        <f ca="1">IFERROR(__xludf.DUMMYFUNCTION("IF
(
G9477=""фізична особа""
,
VLOOKUP(H9477,IMPORTRANGE(""https://docs.google.com/spreadsheets/d/14Bd19lYaqBhU8_DElYkX7l4wRkHqqCUFNJY4AfY3kHU/edit?usp=sharing  #gid=0"",""фіз особи new!relations_name""),6,FALSE)
,
(IF
(
G9477=""юридична особа""
,
VLOOKUP"&amp;"(H9477,IMPORTRANGE(""https://docs.google.com/spreadsheets/d/14Bd19lYaqBhU8_DElYkX7l4wRkHqqCUFNJY4AfY3kHU/edit?usp=sharing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6" s="7" t="s">
        <v>29</v>
      </c>
    </row>
    <row r="9477" spans="1:10" ht="13.2">
      <c r="A9477" s="7">
        <v>9476</v>
      </c>
      <c r="B9477" s="7">
        <v>1</v>
      </c>
      <c r="C9477" s="7" t="s">
        <v>10</v>
      </c>
      <c r="D9477" s="7">
        <v>11308</v>
      </c>
      <c r="E9477" s="7" t="s">
        <v>28</v>
      </c>
      <c r="F9477" s="8" t="str">
        <f ca="1">IFERROR(__xludf.DUMMYFUNCTION("IF
(
C9478=""фізична особа""
,
VLOOKUP(D9478,IMPORTRANGE(""https://docs.google.com/spreadsheets/d/14Bd19lYaqBhU8_DElYkX7l4wRkHqqCUFNJY4AfY3kHU/edit?usp=sharing  #gid=0"",""фіз особи new!relations_name""),6,FALSE)
,
(IF
(
C9478=""юридична особа""
,
VLOOKUP"&amp;"(D9478,IMPORTRANGE(""https://docs.google.com/spreadsheets/d/14Bd19lYaqBhU8_DElYkX7l4wRkHqqCUFNJY4AfY3kHU/edit?usp=sharing  #gid=0"",""фіз особи new!relations_name_uo""),7,FALSE)
,
)
))"),"СЕМЕНОВ Максим Миколайович")</f>
        <v>СЕМЕНОВ Максим Миколайович</v>
      </c>
      <c r="G9477" s="7" t="s">
        <v>10</v>
      </c>
      <c r="H9477" s="7">
        <v>3087</v>
      </c>
      <c r="I9477" s="8" t="str">
        <f ca="1">IFERROR(__xludf.DUMMYFUNCTION("IF
(
G9478=""фізична особа""
,
VLOOKUP(H9478,IMPORTRANGE(""https://docs.google.com/spreadsheets/d/14Bd19lYaqBhU8_DElYkX7l4wRkHqqCUFNJY4AfY3kHU/edit?usp=sharing  #gid=0"",""фіз особи new!relations_name""),6,FALSE)
,
(IF
(
G9478=""юридична особа""
,
VLOOKUP"&amp;"(H9478,IMPORTRANGE(""https://docs.google.com/spreadsheets/d/14Bd19lYaqBhU8_DElYkX7l4wRkHqqCUFNJY4AfY3kHU/edit?usp=sharing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7" s="7" t="s">
        <v>29</v>
      </c>
    </row>
    <row r="9478" spans="1:10" ht="13.2">
      <c r="A9478" s="7">
        <v>9477</v>
      </c>
      <c r="B9478" s="7">
        <v>1</v>
      </c>
      <c r="C9478" s="7" t="s">
        <v>10</v>
      </c>
      <c r="D9478" s="7">
        <v>11309</v>
      </c>
      <c r="E9478" s="7" t="s">
        <v>28</v>
      </c>
      <c r="F9478" s="8" t="str">
        <f ca="1">IFERROR(__xludf.DUMMYFUNCTION("IF
(
C9479=""фізична особа""
,
VLOOKUP(D9479,IMPORTRANGE(""https://docs.google.com/spreadsheets/d/14Bd19lYaqBhU8_DElYkX7l4wRkHqqCUFNJY4AfY3kHU/edit?usp=sharing  #gid=0"",""фіз особи new!relations_name""),6,FALSE)
,
(IF
(
C9479=""юридична особа""
,
VLOOKUP"&amp;"(D9479,IMPORTRANGE(""https://docs.google.com/spreadsheets/d/14Bd19lYaqBhU8_DElYkX7l4wRkHqqCUFNJY4AfY3kHU/edit?usp=sharing  #gid=0"",""фіз особи new!relations_name_uo""),7,FALSE)
,
)
))"),"СЕРГЄЄВ Михайло Вікторович")</f>
        <v>СЕРГЄЄВ Михайло Вікторович</v>
      </c>
      <c r="G9478" s="7" t="s">
        <v>10</v>
      </c>
      <c r="H9478" s="7">
        <v>3087</v>
      </c>
      <c r="I9478" s="8" t="str">
        <f ca="1">IFERROR(__xludf.DUMMYFUNCTION("IF
(
G9479=""фізична особа""
,
VLOOKUP(H9479,IMPORTRANGE(""https://docs.google.com/spreadsheets/d/14Bd19lYaqBhU8_DElYkX7l4wRkHqqCUFNJY4AfY3kHU/edit?usp=sharing  #gid=0"",""фіз особи new!relations_name""),6,FALSE)
,
(IF
(
G9479=""юридична особа""
,
VLOOKUP"&amp;"(H9479,IMPORTRANGE(""https://docs.google.com/spreadsheets/d/14Bd19lYaqBhU8_DElYkX7l4wRkHqqCUFNJY4AfY3kHU/edit?usp=sharing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8" s="7" t="s">
        <v>29</v>
      </c>
    </row>
    <row r="9479" spans="1:10" ht="13.2">
      <c r="A9479" s="7">
        <v>9478</v>
      </c>
      <c r="B9479" s="7">
        <v>1</v>
      </c>
      <c r="C9479" s="7" t="s">
        <v>10</v>
      </c>
      <c r="D9479" s="7">
        <v>11310</v>
      </c>
      <c r="E9479" s="7" t="s">
        <v>28</v>
      </c>
      <c r="F9479" s="8" t="str">
        <f ca="1">IFERROR(__xludf.DUMMYFUNCTION("IF
(
C9480=""фізична особа""
,
VLOOKUP(D9480,IMPORTRANGE(""https://docs.google.com/spreadsheets/d/14Bd19lYaqBhU8_DElYkX7l4wRkHqqCUFNJY4AfY3kHU/edit?usp=sharing  #gid=0"",""фіз особи new!relations_name""),6,FALSE)
,
(IF
(
C9480=""юридична особа""
,
VLOOKUP"&amp;"(D9480,IMPORTRANGE(""https://docs.google.com/spreadsheets/d/14Bd19lYaqBhU8_DElYkX7l4wRkHqqCUFNJY4AfY3kHU/edit?usp=sharing  #gid=0"",""фіз особи new!relations_name_uo""),7,FALSE)
,
)
))"),"НОВІКОВ Федір Вадимович")</f>
        <v>НОВІКОВ Федір Вадимович</v>
      </c>
      <c r="G9479" s="7" t="s">
        <v>10</v>
      </c>
      <c r="H9479" s="7">
        <v>3087</v>
      </c>
      <c r="I9479" s="8" t="str">
        <f ca="1">IFERROR(__xludf.DUMMYFUNCTION("IF
(
G9480=""фізична особа""
,
VLOOKUP(H9480,IMPORTRANGE(""https://docs.google.com/spreadsheets/d/14Bd19lYaqBhU8_DElYkX7l4wRkHqqCUFNJY4AfY3kHU/edit?usp=sharing  #gid=0"",""фіз особи new!relations_name""),6,FALSE)
,
(IF
(
G9480=""юридична особа""
,
VLOOKUP"&amp;"(H9480,IMPORTRANGE(""https://docs.google.com/spreadsheets/d/14Bd19lYaqBhU8_DElYkX7l4wRkHqqCUFNJY4AfY3kHU/edit?usp=sharing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79" s="7" t="s">
        <v>29</v>
      </c>
    </row>
    <row r="9480" spans="1:10" ht="13.2">
      <c r="A9480" s="7">
        <v>9479</v>
      </c>
      <c r="B9480" s="7">
        <v>1</v>
      </c>
      <c r="C9480" s="7" t="s">
        <v>10</v>
      </c>
      <c r="D9480" s="7">
        <v>11311</v>
      </c>
      <c r="E9480" s="7" t="s">
        <v>28</v>
      </c>
      <c r="F9480" s="8" t="str">
        <f ca="1">IFERROR(__xludf.DUMMYFUNCTION("IF
(
C9481=""фізична особа""
,
VLOOKUP(D9481,IMPORTRANGE(""https://docs.google.com/spreadsheets/d/14Bd19lYaqBhU8_DElYkX7l4wRkHqqCUFNJY4AfY3kHU/edit?usp=sharing  #gid=0"",""фіз особи new!relations_name""),6,FALSE)
,
(IF
(
C9481=""юридична особа""
,
VLOOKUP"&amp;"(D9481,IMPORTRANGE(""https://docs.google.com/spreadsheets/d/14Bd19lYaqBhU8_DElYkX7l4wRkHqqCUFNJY4AfY3kHU/edit?usp=sharing  #gid=0"",""фіз особи new!relations_name_uo""),7,FALSE)
,
)
))"),"СУХОВЕЦЬКИЙ Владислав Анатолійович")</f>
        <v>СУХОВЕЦЬКИЙ Владислав Анатолійович</v>
      </c>
      <c r="G9480" s="7" t="s">
        <v>10</v>
      </c>
      <c r="H9480" s="7">
        <v>3087</v>
      </c>
      <c r="I9480" s="8" t="str">
        <f ca="1">IFERROR(__xludf.DUMMYFUNCTION("IF
(
G9481=""фізична особа""
,
VLOOKUP(H9481,IMPORTRANGE(""https://docs.google.com/spreadsheets/d/14Bd19lYaqBhU8_DElYkX7l4wRkHqqCUFNJY4AfY3kHU/edit?usp=sharing  #gid=0"",""фіз особи new!relations_name""),6,FALSE)
,
(IF
(
G9481=""юридична особа""
,
VLOOKUP"&amp;"(H9481,IMPORTRANGE(""https://docs.google.com/spreadsheets/d/14Bd19lYaqBhU8_DElYkX7l4wRkHqqCUFNJY4AfY3kHU/edit?usp=sharing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80" s="7" t="s">
        <v>29</v>
      </c>
    </row>
    <row r="9481" spans="1:10" ht="13.2">
      <c r="A9481" s="7">
        <v>9480</v>
      </c>
      <c r="B9481" s="7">
        <v>1</v>
      </c>
      <c r="C9481" s="7" t="s">
        <v>10</v>
      </c>
      <c r="D9481" s="7">
        <v>11312</v>
      </c>
      <c r="E9481" s="7" t="s">
        <v>28</v>
      </c>
      <c r="F9481" s="8" t="str">
        <f ca="1">IFERROR(__xludf.DUMMYFUNCTION("IF
(
C9482=""фізична особа""
,
VLOOKUP(D9482,IMPORTRANGE(""https://docs.google.com/spreadsheets/d/14Bd19lYaqBhU8_DElYkX7l4wRkHqqCUFNJY4AfY3kHU/edit?usp=sharing  #gid=0"",""фіз особи new!relations_name""),6,FALSE)
,
(IF
(
C9482=""юридична особа""
,
VLOOKUP"&amp;"(D9482,IMPORTRANGE(""https://docs.google.com/spreadsheets/d/14Bd19lYaqBhU8_DElYkX7l4wRkHqqCUFNJY4AfY3kHU/edit?usp=sharing  #gid=0"",""фіз особи new!relations_name_uo""),7,FALSE)
,
)
))"),"ГАЛЄЄВА Аліна Рафаелівна")</f>
        <v>ГАЛЄЄВА Аліна Рафаелівна</v>
      </c>
      <c r="G9481" s="7" t="s">
        <v>10</v>
      </c>
      <c r="H9481" s="7">
        <v>3087</v>
      </c>
      <c r="I9481" s="8" t="str">
        <f ca="1">IFERROR(__xludf.DUMMYFUNCTION("IF
(
G9482=""фізична особа""
,
VLOOKUP(H9482,IMPORTRANGE(""https://docs.google.com/spreadsheets/d/14Bd19lYaqBhU8_DElYkX7l4wRkHqqCUFNJY4AfY3kHU/edit?usp=sharing  #gid=0"",""фіз особи new!relations_name""),6,FALSE)
,
(IF
(
G9482=""юридична особа""
,
VLOOKUP"&amp;"(H9482,IMPORTRANGE(""https://docs.google.com/spreadsheets/d/14Bd19lYaqBhU8_DElYkX7l4wRkHqqCUFNJY4AfY3kHU/edit?usp=sharing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481" s="7" t="s">
        <v>29</v>
      </c>
    </row>
    <row r="9482" spans="1:10" ht="13.2">
      <c r="A9482" s="7">
        <v>9481</v>
      </c>
      <c r="B9482" s="7">
        <v>1</v>
      </c>
      <c r="C9482" s="7" t="s">
        <v>10</v>
      </c>
      <c r="D9482" s="7">
        <v>11313</v>
      </c>
      <c r="E9482" s="7" t="s">
        <v>28</v>
      </c>
      <c r="F9482" s="8" t="str">
        <f ca="1">IFERROR(__xludf.DUMMYFUNCTION("IF
(
C9483=""фізична особа""
,
VLOOKUP(D9483,IMPORTRANGE(""https://docs.google.com/spreadsheets/d/14Bd19lYaqBhU8_DElYkX7l4wRkHqqCUFNJY4AfY3kHU/edit?usp=sharing  #gid=0"",""фіз особи new!relations_name""),6,FALSE)
,
(IF
(
C9483=""юридична особа""
,
VLOOKUP"&amp;"(D9483,IMPORTRANGE(""https://docs.google.com/spreadsheets/d/14Bd19lYaqBhU8_DElYkX7l4wRkHqqCUFNJY4AfY3kHU/edit?usp=sharing  #gid=0"",""фіз особи new!relations_name_uo""),7,FALSE)
,
)
))"),"ОГЛЕЗНЄВА Олена Євгенівна")</f>
        <v>ОГЛЕЗНЄВА Олена Євгенівна</v>
      </c>
      <c r="G9482" s="7" t="s">
        <v>10</v>
      </c>
      <c r="H9482" s="7">
        <v>3042</v>
      </c>
      <c r="I9482" s="8" t="str">
        <f ca="1">IFERROR(__xludf.DUMMYFUNCTION("IF
(
G9483=""фізична особа""
,
VLOOKUP(H9483,IMPORTRANGE(""https://docs.google.com/spreadsheets/d/14Bd19lYaqBhU8_DElYkX7l4wRkHqqCUFNJY4AfY3kHU/edit?usp=sharing  #gid=0"",""фіз особи new!relations_name""),6,FALSE)
,
(IF
(
G9483=""юридична особа""
,
VLOOKUP"&amp;"(H9483,IMPORTRANGE(""https://docs.google.com/spreadsheets/d/14Bd19lYaqBhU8_DElYkX7l4wRkHqqCUFNJY4AfY3kHU/edit?usp=sharing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2" s="7" t="s">
        <v>29</v>
      </c>
    </row>
    <row r="9483" spans="1:10" ht="13.2">
      <c r="A9483" s="7">
        <v>9482</v>
      </c>
      <c r="B9483" s="7">
        <v>1</v>
      </c>
      <c r="C9483" s="7" t="s">
        <v>10</v>
      </c>
      <c r="D9483" s="7">
        <v>11314</v>
      </c>
      <c r="E9483" s="7" t="s">
        <v>28</v>
      </c>
      <c r="F9483" s="8" t="str">
        <f ca="1">IFERROR(__xludf.DUMMYFUNCTION("IF
(
C9484=""фізична особа""
,
VLOOKUP(D9484,IMPORTRANGE(""https://docs.google.com/spreadsheets/d/14Bd19lYaqBhU8_DElYkX7l4wRkHqqCUFNJY4AfY3kHU/edit?usp=sharing  #gid=0"",""фіз особи new!relations_name""),6,FALSE)
,
(IF
(
C9484=""юридична особа""
,
VLOOKUP"&amp;"(D9484,IMPORTRANGE(""https://docs.google.com/spreadsheets/d/14Bd19lYaqBhU8_DElYkX7l4wRkHqqCUFNJY4AfY3kHU/edit?usp=sharing  #gid=0"",""фіз особи new!relations_name_uo""),7,FALSE)
,
)
))"),"ТРАПЕЗНІКОВА Людмила Миколаївна")</f>
        <v>ТРАПЕЗНІКОВА Людмила Миколаївна</v>
      </c>
      <c r="G9483" s="7" t="s">
        <v>10</v>
      </c>
      <c r="H9483" s="7">
        <v>3042</v>
      </c>
      <c r="I9483" s="8" t="str">
        <f ca="1">IFERROR(__xludf.DUMMYFUNCTION("IF
(
G9484=""фізична особа""
,
VLOOKUP(H9484,IMPORTRANGE(""https://docs.google.com/spreadsheets/d/14Bd19lYaqBhU8_DElYkX7l4wRkHqqCUFNJY4AfY3kHU/edit?usp=sharing  #gid=0"",""фіз особи new!relations_name""),6,FALSE)
,
(IF
(
G9484=""юридична особа""
,
VLOOKUP"&amp;"(H9484,IMPORTRANGE(""https://docs.google.com/spreadsheets/d/14Bd19lYaqBhU8_DElYkX7l4wRkHqqCUFNJY4AfY3kHU/edit?usp=sharing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3" s="7" t="s">
        <v>29</v>
      </c>
    </row>
    <row r="9484" spans="1:10" ht="13.2">
      <c r="A9484" s="7">
        <v>9483</v>
      </c>
      <c r="B9484" s="7">
        <v>1</v>
      </c>
      <c r="C9484" s="7" t="s">
        <v>10</v>
      </c>
      <c r="D9484" s="7">
        <v>11315</v>
      </c>
      <c r="E9484" s="7" t="s">
        <v>28</v>
      </c>
      <c r="F9484" s="8" t="str">
        <f ca="1">IFERROR(__xludf.DUMMYFUNCTION("IF
(
C9485=""фізична особа""
,
VLOOKUP(D9485,IMPORTRANGE(""https://docs.google.com/spreadsheets/d/14Bd19lYaqBhU8_DElYkX7l4wRkHqqCUFNJY4AfY3kHU/edit?usp=sharing  #gid=0"",""фіз особи new!relations_name""),6,FALSE)
,
(IF
(
C9485=""юридична особа""
,
VLOOKUP"&amp;"(D9485,IMPORTRANGE(""https://docs.google.com/spreadsheets/d/14Bd19lYaqBhU8_DElYkX7l4wRkHqqCUFNJY4AfY3kHU/edit?usp=sharing  #gid=0"",""фіз особи new!relations_name_uo""),7,FALSE)
,
)
))"),"ДАНИЛОВА Тетяна Євгенівна")</f>
        <v>ДАНИЛОВА Тетяна Євгенівна</v>
      </c>
      <c r="G9484" s="7" t="s">
        <v>10</v>
      </c>
      <c r="H9484" s="7">
        <v>3042</v>
      </c>
      <c r="I9484" s="8" t="str">
        <f ca="1">IFERROR(__xludf.DUMMYFUNCTION("IF
(
G9485=""фізична особа""
,
VLOOKUP(H9485,IMPORTRANGE(""https://docs.google.com/spreadsheets/d/14Bd19lYaqBhU8_DElYkX7l4wRkHqqCUFNJY4AfY3kHU/edit?usp=sharing  #gid=0"",""фіз особи new!relations_name""),6,FALSE)
,
(IF
(
G9485=""юридична особа""
,
VLOOKUP"&amp;"(H9485,IMPORTRANGE(""https://docs.google.com/spreadsheets/d/14Bd19lYaqBhU8_DElYkX7l4wRkHqqCUFNJY4AfY3kHU/edit?usp=sharing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4" s="7" t="s">
        <v>29</v>
      </c>
    </row>
    <row r="9485" spans="1:10" ht="13.2">
      <c r="A9485" s="7">
        <v>9484</v>
      </c>
      <c r="B9485" s="7">
        <v>1</v>
      </c>
      <c r="C9485" s="7" t="s">
        <v>10</v>
      </c>
      <c r="D9485" s="7">
        <v>11316</v>
      </c>
      <c r="E9485" s="7" t="s">
        <v>28</v>
      </c>
      <c r="F9485" s="8" t="str">
        <f ca="1">IFERROR(__xludf.DUMMYFUNCTION("IF
(
C9486=""фізична особа""
,
VLOOKUP(D9486,IMPORTRANGE(""https://docs.google.com/spreadsheets/d/14Bd19lYaqBhU8_DElYkX7l4wRkHqqCUFNJY4AfY3kHU/edit?usp=sharing  #gid=0"",""фіз особи new!relations_name""),6,FALSE)
,
(IF
(
C9486=""юридична особа""
,
VLOOKUP"&amp;"(D9486,IMPORTRANGE(""https://docs.google.com/spreadsheets/d/14Bd19lYaqBhU8_DElYkX7l4wRkHqqCUFNJY4AfY3kHU/edit?usp=sharing  #gid=0"",""фіз особи new!relations_name_uo""),7,FALSE)
,
)
))"),"МЕХАНТЬЄВ Ігор Іванович")</f>
        <v>МЕХАНТЬЄВ Ігор Іванович</v>
      </c>
      <c r="G9485" s="7" t="s">
        <v>10</v>
      </c>
      <c r="H9485" s="7">
        <v>3042</v>
      </c>
      <c r="I9485" s="8" t="str">
        <f ca="1">IFERROR(__xludf.DUMMYFUNCTION("IF
(
G9486=""фізична особа""
,
VLOOKUP(H9486,IMPORTRANGE(""https://docs.google.com/spreadsheets/d/14Bd19lYaqBhU8_DElYkX7l4wRkHqqCUFNJY4AfY3kHU/edit?usp=sharing  #gid=0"",""фіз особи new!relations_name""),6,FALSE)
,
(IF
(
G9486=""юридична особа""
,
VLOOKUP"&amp;"(H9486,IMPORTRANGE(""https://docs.google.com/spreadsheets/d/14Bd19lYaqBhU8_DElYkX7l4wRkHqqCUFNJY4AfY3kHU/edit?usp=sharing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5" s="7" t="s">
        <v>29</v>
      </c>
    </row>
    <row r="9486" spans="1:10" ht="13.2">
      <c r="A9486" s="7">
        <v>9485</v>
      </c>
      <c r="B9486" s="7">
        <v>1</v>
      </c>
      <c r="C9486" s="7" t="s">
        <v>10</v>
      </c>
      <c r="D9486" s="7">
        <v>11317</v>
      </c>
      <c r="E9486" s="7" t="s">
        <v>28</v>
      </c>
      <c r="F9486" s="8" t="str">
        <f ca="1">IFERROR(__xludf.DUMMYFUNCTION("IF
(
C9487=""фізична особа""
,
VLOOKUP(D9487,IMPORTRANGE(""https://docs.google.com/spreadsheets/d/14Bd19lYaqBhU8_DElYkX7l4wRkHqqCUFNJY4AfY3kHU/edit?usp=sharing  #gid=0"",""фіз особи new!relations_name""),6,FALSE)
,
(IF
(
C9487=""юридична особа""
,
VLOOKUP"&amp;"(D9487,IMPORTRANGE(""https://docs.google.com/spreadsheets/d/14Bd19lYaqBhU8_DElYkX7l4wRkHqqCUFNJY4AfY3kHU/edit?usp=sharing  #gid=0"",""фіз особи new!relations_name_uo""),7,FALSE)
,
)
))"),"КОЛЕСНИК Павло Олександрович")</f>
        <v>КОЛЕСНИК Павло Олександрович</v>
      </c>
      <c r="G9486" s="7" t="s">
        <v>10</v>
      </c>
      <c r="H9486" s="7">
        <v>3042</v>
      </c>
      <c r="I9486" s="8" t="str">
        <f ca="1">IFERROR(__xludf.DUMMYFUNCTION("IF
(
G9487=""фізична особа""
,
VLOOKUP(H9487,IMPORTRANGE(""https://docs.google.com/spreadsheets/d/14Bd19lYaqBhU8_DElYkX7l4wRkHqqCUFNJY4AfY3kHU/edit?usp=sharing  #gid=0"",""фіз особи new!relations_name""),6,FALSE)
,
(IF
(
G9487=""юридична особа""
,
VLOOKUP"&amp;"(H9487,IMPORTRANGE(""https://docs.google.com/spreadsheets/d/14Bd19lYaqBhU8_DElYkX7l4wRkHqqCUFNJY4AfY3kHU/edit?usp=sharing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6" s="7" t="s">
        <v>29</v>
      </c>
    </row>
    <row r="9487" spans="1:10" ht="13.2">
      <c r="A9487" s="7">
        <v>9486</v>
      </c>
      <c r="B9487" s="7">
        <v>1</v>
      </c>
      <c r="C9487" s="7" t="s">
        <v>10</v>
      </c>
      <c r="D9487" s="7">
        <v>11318</v>
      </c>
      <c r="E9487" s="7" t="s">
        <v>28</v>
      </c>
      <c r="F9487" s="8" t="str">
        <f ca="1">IFERROR(__xludf.DUMMYFUNCTION("IF
(
C9488=""фізична особа""
,
VLOOKUP(D9488,IMPORTRANGE(""https://docs.google.com/spreadsheets/d/14Bd19lYaqBhU8_DElYkX7l4wRkHqqCUFNJY4AfY3kHU/edit?usp=sharing  #gid=0"",""фіз особи new!relations_name""),6,FALSE)
,
(IF
(
C9488=""юридична особа""
,
VLOOKUP"&amp;"(D9488,IMPORTRANGE(""https://docs.google.com/spreadsheets/d/14Bd19lYaqBhU8_DElYkX7l4wRkHqqCUFNJY4AfY3kHU/edit?usp=sharing  #gid=0"",""фіз особи new!relations_name_uo""),7,FALSE)
,
)
))"),"РОЖКОВА Світлана Олександрівна")</f>
        <v>РОЖКОВА Світлана Олександрівна</v>
      </c>
      <c r="G9487" s="7" t="s">
        <v>10</v>
      </c>
      <c r="H9487" s="7">
        <v>3042</v>
      </c>
      <c r="I9487" s="8" t="str">
        <f ca="1">IFERROR(__xludf.DUMMYFUNCTION("IF
(
G9488=""фізична особа""
,
VLOOKUP(H9488,IMPORTRANGE(""https://docs.google.com/spreadsheets/d/14Bd19lYaqBhU8_DElYkX7l4wRkHqqCUFNJY4AfY3kHU/edit?usp=sharing  #gid=0"",""фіз особи new!relations_name""),6,FALSE)
,
(IF
(
G9488=""юридична особа""
,
VLOOKUP"&amp;"(H9488,IMPORTRANGE(""https://docs.google.com/spreadsheets/d/14Bd19lYaqBhU8_DElYkX7l4wRkHqqCUFNJY4AfY3kHU/edit?usp=sharing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7" s="7" t="s">
        <v>29</v>
      </c>
    </row>
    <row r="9488" spans="1:10" ht="13.2">
      <c r="A9488" s="7">
        <v>9487</v>
      </c>
      <c r="B9488" s="7">
        <v>1</v>
      </c>
      <c r="C9488" s="7" t="s">
        <v>10</v>
      </c>
      <c r="D9488" s="7">
        <v>11319</v>
      </c>
      <c r="E9488" s="7" t="s">
        <v>28</v>
      </c>
      <c r="F9488" s="8" t="str">
        <f ca="1">IFERROR(__xludf.DUMMYFUNCTION("IF
(
C9489=""фізична особа""
,
VLOOKUP(D9489,IMPORTRANGE(""https://docs.google.com/spreadsheets/d/14Bd19lYaqBhU8_DElYkX7l4wRkHqqCUFNJY4AfY3kHU/edit?usp=sharing  #gid=0"",""фіз особи new!relations_name""),6,FALSE)
,
(IF
(
C9489=""юридична особа""
,
VLOOKUP"&amp;"(D9489,IMPORTRANGE(""https://docs.google.com/spreadsheets/d/14Bd19lYaqBhU8_DElYkX7l4wRkHqqCUFNJY4AfY3kHU/edit?usp=sharing  #gid=0"",""фіз особи new!relations_name_uo""),7,FALSE)
,
)
))"),"КОКОУЛІН Олександр Анатолійович")</f>
        <v>КОКОУЛІН Олександр Анатолійович</v>
      </c>
      <c r="G9488" s="7" t="s">
        <v>10</v>
      </c>
      <c r="H9488" s="7">
        <v>3042</v>
      </c>
      <c r="I9488" s="8" t="str">
        <f ca="1">IFERROR(__xludf.DUMMYFUNCTION("IF
(
G9489=""фізична особа""
,
VLOOKUP(H9489,IMPORTRANGE(""https://docs.google.com/spreadsheets/d/14Bd19lYaqBhU8_DElYkX7l4wRkHqqCUFNJY4AfY3kHU/edit?usp=sharing  #gid=0"",""фіз особи new!relations_name""),6,FALSE)
,
(IF
(
G9489=""юридична особа""
,
VLOOKUP"&amp;"(H9489,IMPORTRANGE(""https://docs.google.com/spreadsheets/d/14Bd19lYaqBhU8_DElYkX7l4wRkHqqCUFNJY4AfY3kHU/edit?usp=sharing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8" s="7" t="s">
        <v>29</v>
      </c>
    </row>
    <row r="9489" spans="1:10" ht="13.2">
      <c r="A9489" s="7">
        <v>9488</v>
      </c>
      <c r="B9489" s="7">
        <v>1</v>
      </c>
      <c r="C9489" s="7" t="s">
        <v>10</v>
      </c>
      <c r="D9489" s="7">
        <v>11320</v>
      </c>
      <c r="E9489" s="7" t="s">
        <v>28</v>
      </c>
      <c r="F9489" s="8" t="str">
        <f ca="1">IFERROR(__xludf.DUMMYFUNCTION("IF
(
C9490=""фізична особа""
,
VLOOKUP(D9490,IMPORTRANGE(""https://docs.google.com/spreadsheets/d/14Bd19lYaqBhU8_DElYkX7l4wRkHqqCUFNJY4AfY3kHU/edit?usp=sharing  #gid=0"",""фіз особи new!relations_name""),6,FALSE)
,
(IF
(
C9490=""юридична особа""
,
VLOOKUP"&amp;"(D9490,IMPORTRANGE(""https://docs.google.com/spreadsheets/d/14Bd19lYaqBhU8_DElYkX7l4wRkHqqCUFNJY4AfY3kHU/edit?usp=sharing  #gid=0"",""фіз особи new!relations_name_uo""),7,FALSE)
,
)
))"),"КЛІМУШИН Олег Дмитрович")</f>
        <v>КЛІМУШИН Олег Дмитрович</v>
      </c>
      <c r="G9489" s="7" t="s">
        <v>10</v>
      </c>
      <c r="H9489" s="7">
        <v>3042</v>
      </c>
      <c r="I9489" s="8" t="str">
        <f ca="1">IFERROR(__xludf.DUMMYFUNCTION("IF
(
G9490=""фізична особа""
,
VLOOKUP(H9490,IMPORTRANGE(""https://docs.google.com/spreadsheets/d/14Bd19lYaqBhU8_DElYkX7l4wRkHqqCUFNJY4AfY3kHU/edit?usp=sharing  #gid=0"",""фіз особи new!relations_name""),6,FALSE)
,
(IF
(
G9490=""юридична особа""
,
VLOOKUP"&amp;"(H9490,IMPORTRANGE(""https://docs.google.com/spreadsheets/d/14Bd19lYaqBhU8_DElYkX7l4wRkHqqCUFNJY4AfY3kHU/edit?usp=sharing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89" s="7" t="s">
        <v>29</v>
      </c>
    </row>
    <row r="9490" spans="1:10" ht="13.2">
      <c r="A9490" s="7">
        <v>9489</v>
      </c>
      <c r="B9490" s="7">
        <v>1</v>
      </c>
      <c r="C9490" s="7" t="s">
        <v>10</v>
      </c>
      <c r="D9490" s="7">
        <v>11321</v>
      </c>
      <c r="E9490" s="7" t="s">
        <v>28</v>
      </c>
      <c r="F9490" s="8" t="str">
        <f ca="1">IFERROR(__xludf.DUMMYFUNCTION("IF
(
C9491=""фізична особа""
,
VLOOKUP(D9491,IMPORTRANGE(""https://docs.google.com/spreadsheets/d/14Bd19lYaqBhU8_DElYkX7l4wRkHqqCUFNJY4AfY3kHU/edit?usp=sharing  #gid=0"",""фіз особи new!relations_name""),6,FALSE)
,
(IF
(
C9491=""юридична особа""
,
VLOOKUP"&amp;"(D9491,IMPORTRANGE(""https://docs.google.com/spreadsheets/d/14Bd19lYaqBhU8_DElYkX7l4wRkHqqCUFNJY4AfY3kHU/edit?usp=sharing  #gid=0"",""фіз особи new!relations_name_uo""),7,FALSE)
,
)
))"),"БОНДАРЄВ Володимир Олександрович")</f>
        <v>БОНДАРЄВ Володимир Олександрович</v>
      </c>
      <c r="G9490" s="7" t="s">
        <v>10</v>
      </c>
      <c r="H9490" s="7">
        <v>3042</v>
      </c>
      <c r="I9490" s="8" t="str">
        <f ca="1">IFERROR(__xludf.DUMMYFUNCTION("IF
(
G9491=""фізична особа""
,
VLOOKUP(H9491,IMPORTRANGE(""https://docs.google.com/spreadsheets/d/14Bd19lYaqBhU8_DElYkX7l4wRkHqqCUFNJY4AfY3kHU/edit?usp=sharing  #gid=0"",""фіз особи new!relations_name""),6,FALSE)
,
(IF
(
G9491=""юридична особа""
,
VLOOKUP"&amp;"(H9491,IMPORTRANGE(""https://docs.google.com/spreadsheets/d/14Bd19lYaqBhU8_DElYkX7l4wRkHqqCUFNJY4AfY3kHU/edit?usp=sharing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0" s="7" t="s">
        <v>29</v>
      </c>
    </row>
    <row r="9491" spans="1:10" ht="13.2">
      <c r="A9491" s="7">
        <v>9490</v>
      </c>
      <c r="B9491" s="7">
        <v>1</v>
      </c>
      <c r="C9491" s="7" t="s">
        <v>10</v>
      </c>
      <c r="D9491" s="7">
        <v>11322</v>
      </c>
      <c r="E9491" s="7" t="s">
        <v>28</v>
      </c>
      <c r="F9491" s="8" t="str">
        <f ca="1">IFERROR(__xludf.DUMMYFUNCTION("IF
(
C9492=""фізична особа""
,
VLOOKUP(D9492,IMPORTRANGE(""https://docs.google.com/spreadsheets/d/14Bd19lYaqBhU8_DElYkX7l4wRkHqqCUFNJY4AfY3kHU/edit?usp=sharing  #gid=0"",""фіз особи new!relations_name""),6,FALSE)
,
(IF
(
C9492=""юридична особа""
,
VLOOKUP"&amp;"(D9492,IMPORTRANGE(""https://docs.google.com/spreadsheets/d/14Bd19lYaqBhU8_DElYkX7l4wRkHqqCUFNJY4AfY3kHU/edit?usp=sharing  #gid=0"",""фіз особи new!relations_name_uo""),7,FALSE)
,
)
))"),"МИКАЇЛОВА Ольга Михайлівна")</f>
        <v>МИКАЇЛОВА Ольга Михайлівна</v>
      </c>
      <c r="G9491" s="7" t="s">
        <v>10</v>
      </c>
      <c r="H9491" s="7">
        <v>3042</v>
      </c>
      <c r="I9491" s="8" t="str">
        <f ca="1">IFERROR(__xludf.DUMMYFUNCTION("IF
(
G9492=""фізична особа""
,
VLOOKUP(H9492,IMPORTRANGE(""https://docs.google.com/spreadsheets/d/14Bd19lYaqBhU8_DElYkX7l4wRkHqqCUFNJY4AfY3kHU/edit?usp=sharing  #gid=0"",""фіз особи new!relations_name""),6,FALSE)
,
(IF
(
G9492=""юридична особа""
,
VLOOKUP"&amp;"(H9492,IMPORTRANGE(""https://docs.google.com/spreadsheets/d/14Bd19lYaqBhU8_DElYkX7l4wRkHqqCUFNJY4AfY3kHU/edit?usp=sharing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1" s="7" t="s">
        <v>29</v>
      </c>
    </row>
    <row r="9492" spans="1:10" ht="13.2">
      <c r="A9492" s="7">
        <v>9491</v>
      </c>
      <c r="B9492" s="7">
        <v>1</v>
      </c>
      <c r="C9492" s="7" t="s">
        <v>10</v>
      </c>
      <c r="D9492" s="7">
        <v>11323</v>
      </c>
      <c r="E9492" s="7" t="s">
        <v>28</v>
      </c>
      <c r="F9492" s="8" t="str">
        <f ca="1">IFERROR(__xludf.DUMMYFUNCTION("IF
(
C9493=""фізична особа""
,
VLOOKUP(D9493,IMPORTRANGE(""https://docs.google.com/spreadsheets/d/14Bd19lYaqBhU8_DElYkX7l4wRkHqqCUFNJY4AfY3kHU/edit?usp=sharing  #gid=0"",""фіз особи new!relations_name""),6,FALSE)
,
(IF
(
C9493=""юридична особа""
,
VLOOKUP"&amp;"(D9493,IMPORTRANGE(""https://docs.google.com/spreadsheets/d/14Bd19lYaqBhU8_DElYkX7l4wRkHqqCUFNJY4AfY3kHU/edit?usp=sharing  #gid=0"",""фіз особи new!relations_name_uo""),7,FALSE)
,
)
))"),"РУМЯНЦЕВ Олександр Павлович")</f>
        <v>РУМЯНЦЕВ Олександр Павлович</v>
      </c>
      <c r="G9492" s="7" t="s">
        <v>10</v>
      </c>
      <c r="H9492" s="7">
        <v>3042</v>
      </c>
      <c r="I9492" s="8" t="str">
        <f ca="1">IFERROR(__xludf.DUMMYFUNCTION("IF
(
G9493=""фізична особа""
,
VLOOKUP(H9493,IMPORTRANGE(""https://docs.google.com/spreadsheets/d/14Bd19lYaqBhU8_DElYkX7l4wRkHqqCUFNJY4AfY3kHU/edit?usp=sharing  #gid=0"",""фіз особи new!relations_name""),6,FALSE)
,
(IF
(
G9493=""юридична особа""
,
VLOOKUP"&amp;"(H9493,IMPORTRANGE(""https://docs.google.com/spreadsheets/d/14Bd19lYaqBhU8_DElYkX7l4wRkHqqCUFNJY4AfY3kHU/edit?usp=sharing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2" s="7" t="s">
        <v>29</v>
      </c>
    </row>
    <row r="9493" spans="1:10" ht="13.2">
      <c r="A9493" s="7">
        <v>9492</v>
      </c>
      <c r="B9493" s="7">
        <v>1</v>
      </c>
      <c r="C9493" s="7" t="s">
        <v>10</v>
      </c>
      <c r="D9493" s="7">
        <v>11324</v>
      </c>
      <c r="E9493" s="7" t="s">
        <v>28</v>
      </c>
      <c r="F9493" s="8" t="str">
        <f ca="1">IFERROR(__xludf.DUMMYFUNCTION("IF
(
C9494=""фізична особа""
,
VLOOKUP(D9494,IMPORTRANGE(""https://docs.google.com/spreadsheets/d/14Bd19lYaqBhU8_DElYkX7l4wRkHqqCUFNJY4AfY3kHU/edit?usp=sharing  #gid=0"",""фіз особи new!relations_name""),6,FALSE)
,
(IF
(
C9494=""юридична особа""
,
VLOOKUP"&amp;"(D9494,IMPORTRANGE(""https://docs.google.com/spreadsheets/d/14Bd19lYaqBhU8_DElYkX7l4wRkHqqCUFNJY4AfY3kHU/edit?usp=sharing  #gid=0"",""фіз особи new!relations_name_uo""),7,FALSE)
,
)
))"),"СИДОРЕНКОВА Лариса Михайлівна")</f>
        <v>СИДОРЕНКОВА Лариса Михайлівна</v>
      </c>
      <c r="G9493" s="7" t="s">
        <v>10</v>
      </c>
      <c r="H9493" s="7">
        <v>3042</v>
      </c>
      <c r="I9493" s="8" t="str">
        <f ca="1">IFERROR(__xludf.DUMMYFUNCTION("IF
(
G9494=""фізична особа""
,
VLOOKUP(H9494,IMPORTRANGE(""https://docs.google.com/spreadsheets/d/14Bd19lYaqBhU8_DElYkX7l4wRkHqqCUFNJY4AfY3kHU/edit?usp=sharing  #gid=0"",""фіз особи new!relations_name""),6,FALSE)
,
(IF
(
G9494=""юридична особа""
,
VLOOKUP"&amp;"(H9494,IMPORTRANGE(""https://docs.google.com/spreadsheets/d/14Bd19lYaqBhU8_DElYkX7l4wRkHqqCUFNJY4AfY3kHU/edit?usp=sharing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3" s="7" t="s">
        <v>29</v>
      </c>
    </row>
    <row r="9494" spans="1:10" ht="13.2">
      <c r="A9494" s="7">
        <v>9493</v>
      </c>
      <c r="B9494" s="7">
        <v>1</v>
      </c>
      <c r="C9494" s="7" t="s">
        <v>10</v>
      </c>
      <c r="D9494" s="7">
        <v>11325</v>
      </c>
      <c r="E9494" s="7" t="s">
        <v>28</v>
      </c>
      <c r="F9494" s="8" t="str">
        <f ca="1">IFERROR(__xludf.DUMMYFUNCTION("IF
(
C9495=""фізична особа""
,
VLOOKUP(D9495,IMPORTRANGE(""https://docs.google.com/spreadsheets/d/14Bd19lYaqBhU8_DElYkX7l4wRkHqqCUFNJY4AfY3kHU/edit?usp=sharing  #gid=0"",""фіз особи new!relations_name""),6,FALSE)
,
(IF
(
C9495=""юридична особа""
,
VLOOKUP"&amp;"(D9495,IMPORTRANGE(""https://docs.google.com/spreadsheets/d/14Bd19lYaqBhU8_DElYkX7l4wRkHqqCUFNJY4AfY3kHU/edit?usp=sharing  #gid=0"",""фіз особи new!relations_name_uo""),7,FALSE)
,
)
))"),"МАЛОВА Тетяна Іванівна")</f>
        <v>МАЛОВА Тетяна Іванівна</v>
      </c>
      <c r="G9494" s="7" t="s">
        <v>10</v>
      </c>
      <c r="H9494" s="7">
        <v>3042</v>
      </c>
      <c r="I9494" s="8" t="str">
        <f ca="1">IFERROR(__xludf.DUMMYFUNCTION("IF
(
G9495=""фізична особа""
,
VLOOKUP(H9495,IMPORTRANGE(""https://docs.google.com/spreadsheets/d/14Bd19lYaqBhU8_DElYkX7l4wRkHqqCUFNJY4AfY3kHU/edit?usp=sharing  #gid=0"",""фіз особи new!relations_name""),6,FALSE)
,
(IF
(
G9495=""юридична особа""
,
VLOOKUP"&amp;"(H9495,IMPORTRANGE(""https://docs.google.com/spreadsheets/d/14Bd19lYaqBhU8_DElYkX7l4wRkHqqCUFNJY4AfY3kHU/edit?usp=sharing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4" s="7" t="s">
        <v>29</v>
      </c>
    </row>
    <row r="9495" spans="1:10" ht="13.2">
      <c r="A9495" s="7">
        <v>9494</v>
      </c>
      <c r="B9495" s="7">
        <v>1</v>
      </c>
      <c r="C9495" s="7" t="s">
        <v>10</v>
      </c>
      <c r="D9495" s="7">
        <v>11326</v>
      </c>
      <c r="E9495" s="7" t="s">
        <v>28</v>
      </c>
      <c r="F9495" s="8" t="str">
        <f ca="1">IFERROR(__xludf.DUMMYFUNCTION("IF
(
C9496=""фізична особа""
,
VLOOKUP(D9496,IMPORTRANGE(""https://docs.google.com/spreadsheets/d/14Bd19lYaqBhU8_DElYkX7l4wRkHqqCUFNJY4AfY3kHU/edit?usp=sharing  #gid=0"",""фіз особи new!relations_name""),6,FALSE)
,
(IF
(
C9496=""юридична особа""
,
VLOOKUP"&amp;"(D9496,IMPORTRANGE(""https://docs.google.com/spreadsheets/d/14Bd19lYaqBhU8_DElYkX7l4wRkHqqCUFNJY4AfY3kHU/edit?usp=sharing  #gid=0"",""фіз особи new!relations_name_uo""),7,FALSE)
,
)
))"),"ВИСКУБОВ Арнольд Феліксович")</f>
        <v>ВИСКУБОВ Арнольд Феліксович</v>
      </c>
      <c r="G9495" s="7" t="s">
        <v>10</v>
      </c>
      <c r="H9495" s="7">
        <v>3042</v>
      </c>
      <c r="I9495" s="8" t="str">
        <f ca="1">IFERROR(__xludf.DUMMYFUNCTION("IF
(
G9496=""фізична особа""
,
VLOOKUP(H9496,IMPORTRANGE(""https://docs.google.com/spreadsheets/d/14Bd19lYaqBhU8_DElYkX7l4wRkHqqCUFNJY4AfY3kHU/edit?usp=sharing  #gid=0"",""фіз особи new!relations_name""),6,FALSE)
,
(IF
(
G9496=""юридична особа""
,
VLOOKUP"&amp;"(H9496,IMPORTRANGE(""https://docs.google.com/spreadsheets/d/14Bd19lYaqBhU8_DElYkX7l4wRkHqqCUFNJY4AfY3kHU/edit?usp=sharing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5" s="7" t="s">
        <v>29</v>
      </c>
    </row>
    <row r="9496" spans="1:10" ht="13.2">
      <c r="A9496" s="7">
        <v>9495</v>
      </c>
      <c r="B9496" s="7">
        <v>1</v>
      </c>
      <c r="C9496" s="7" t="s">
        <v>10</v>
      </c>
      <c r="D9496" s="7">
        <v>11327</v>
      </c>
      <c r="E9496" s="7" t="s">
        <v>28</v>
      </c>
      <c r="F9496" s="8" t="str">
        <f ca="1">IFERROR(__xludf.DUMMYFUNCTION("IF
(
C9497=""фізична особа""
,
VLOOKUP(D9497,IMPORTRANGE(""https://docs.google.com/spreadsheets/d/14Bd19lYaqBhU8_DElYkX7l4wRkHqqCUFNJY4AfY3kHU/edit?usp=sharing  #gid=0"",""фіз особи new!relations_name""),6,FALSE)
,
(IF
(
C9497=""юридична особа""
,
VLOOKUP"&amp;"(D9497,IMPORTRANGE(""https://docs.google.com/spreadsheets/d/14Bd19lYaqBhU8_DElYkX7l4wRkHqqCUFNJY4AfY3kHU/edit?usp=sharing  #gid=0"",""фіз особи new!relations_name_uo""),7,FALSE)
,
)
))"),"ЛОМОВЦЕВ Олександр Едуардович")</f>
        <v>ЛОМОВЦЕВ Олександр Едуардович</v>
      </c>
      <c r="G9496" s="7" t="s">
        <v>10</v>
      </c>
      <c r="H9496" s="7">
        <v>3042</v>
      </c>
      <c r="I9496" s="8" t="str">
        <f ca="1">IFERROR(__xludf.DUMMYFUNCTION("IF
(
G9497=""фізична особа""
,
VLOOKUP(H9497,IMPORTRANGE(""https://docs.google.com/spreadsheets/d/14Bd19lYaqBhU8_DElYkX7l4wRkHqqCUFNJY4AfY3kHU/edit?usp=sharing  #gid=0"",""фіз особи new!relations_name""),6,FALSE)
,
(IF
(
G9497=""юридична особа""
,
VLOOKUP"&amp;"(H9497,IMPORTRANGE(""https://docs.google.com/spreadsheets/d/14Bd19lYaqBhU8_DElYkX7l4wRkHqqCUFNJY4AfY3kHU/edit?usp=sharing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6" s="7" t="s">
        <v>29</v>
      </c>
    </row>
    <row r="9497" spans="1:10" ht="13.2">
      <c r="A9497" s="7">
        <v>9496</v>
      </c>
      <c r="B9497" s="7">
        <v>1</v>
      </c>
      <c r="C9497" s="7" t="s">
        <v>10</v>
      </c>
      <c r="D9497" s="7">
        <v>11328</v>
      </c>
      <c r="E9497" s="7" t="s">
        <v>28</v>
      </c>
      <c r="F9497" s="8" t="str">
        <f ca="1">IFERROR(__xludf.DUMMYFUNCTION("IF
(
C9498=""фізична особа""
,
VLOOKUP(D9498,IMPORTRANGE(""https://docs.google.com/spreadsheets/d/14Bd19lYaqBhU8_DElYkX7l4wRkHqqCUFNJY4AfY3kHU/edit?usp=sharing  #gid=0"",""фіз особи new!relations_name""),6,FALSE)
,
(IF
(
C9498=""юридична особа""
,
VLOOKUP"&amp;"(D9498,IMPORTRANGE(""https://docs.google.com/spreadsheets/d/14Bd19lYaqBhU8_DElYkX7l4wRkHqqCUFNJY4AfY3kHU/edit?usp=sharing  #gid=0"",""фіз особи new!relations_name_uo""),7,FALSE)
,
)
))"),"ЗВЯГІН Олександр Михайлович")</f>
        <v>ЗВЯГІН Олександр Михайлович</v>
      </c>
      <c r="G9497" s="7" t="s">
        <v>10</v>
      </c>
      <c r="H9497" s="7">
        <v>3042</v>
      </c>
      <c r="I9497" s="8" t="str">
        <f ca="1">IFERROR(__xludf.DUMMYFUNCTION("IF
(
G9498=""фізична особа""
,
VLOOKUP(H9498,IMPORTRANGE(""https://docs.google.com/spreadsheets/d/14Bd19lYaqBhU8_DElYkX7l4wRkHqqCUFNJY4AfY3kHU/edit?usp=sharing  #gid=0"",""фіз особи new!relations_name""),6,FALSE)
,
(IF
(
G9498=""юридична особа""
,
VLOOKUP"&amp;"(H9498,IMPORTRANGE(""https://docs.google.com/spreadsheets/d/14Bd19lYaqBhU8_DElYkX7l4wRkHqqCUFNJY4AfY3kHU/edit?usp=sharing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7" s="7" t="s">
        <v>29</v>
      </c>
    </row>
    <row r="9498" spans="1:10" ht="13.2">
      <c r="A9498" s="7">
        <v>9497</v>
      </c>
      <c r="B9498" s="7">
        <v>1</v>
      </c>
      <c r="C9498" s="7" t="s">
        <v>10</v>
      </c>
      <c r="D9498" s="7">
        <v>11329</v>
      </c>
      <c r="E9498" s="7" t="s">
        <v>28</v>
      </c>
      <c r="F9498" s="8" t="str">
        <f ca="1">IFERROR(__xludf.DUMMYFUNCTION("IF
(
C9499=""фізична особа""
,
VLOOKUP(D9499,IMPORTRANGE(""https://docs.google.com/spreadsheets/d/14Bd19lYaqBhU8_DElYkX7l4wRkHqqCUFNJY4AfY3kHU/edit?usp=sharing  #gid=0"",""фіз особи new!relations_name""),6,FALSE)
,
(IF
(
C9499=""юридична особа""
,
VLOOKUP"&amp;"(D9499,IMPORTRANGE(""https://docs.google.com/spreadsheets/d/14Bd19lYaqBhU8_DElYkX7l4wRkHqqCUFNJY4AfY3kHU/edit?usp=sharing  #gid=0"",""фіз особи new!relations_name_uo""),7,FALSE)
,
)
))"),"АНДРЄЄВА Олена Євгенівна")</f>
        <v>АНДРЄЄВА Олена Євгенівна</v>
      </c>
      <c r="G9498" s="7" t="s">
        <v>10</v>
      </c>
      <c r="H9498" s="7">
        <v>3042</v>
      </c>
      <c r="I9498" s="8" t="str">
        <f ca="1">IFERROR(__xludf.DUMMYFUNCTION("IF
(
G9499=""фізична особа""
,
VLOOKUP(H9499,IMPORTRANGE(""https://docs.google.com/spreadsheets/d/14Bd19lYaqBhU8_DElYkX7l4wRkHqqCUFNJY4AfY3kHU/edit?usp=sharing  #gid=0"",""фіз особи new!relations_name""),6,FALSE)
,
(IF
(
G9499=""юридична особа""
,
VLOOKUP"&amp;"(H9499,IMPORTRANGE(""https://docs.google.com/spreadsheets/d/14Bd19lYaqBhU8_DElYkX7l4wRkHqqCUFNJY4AfY3kHU/edit?usp=sharing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8" s="7" t="s">
        <v>29</v>
      </c>
    </row>
    <row r="9499" spans="1:10" ht="13.2">
      <c r="A9499" s="7">
        <v>9498</v>
      </c>
      <c r="B9499" s="7">
        <v>1</v>
      </c>
      <c r="C9499" s="7" t="s">
        <v>10</v>
      </c>
      <c r="D9499" s="7">
        <v>11330</v>
      </c>
      <c r="E9499" s="7" t="s">
        <v>28</v>
      </c>
      <c r="F9499" s="8" t="str">
        <f ca="1">IFERROR(__xludf.DUMMYFUNCTION("IF
(
C9500=""фізична особа""
,
VLOOKUP(D9500,IMPORTRANGE(""https://docs.google.com/spreadsheets/d/14Bd19lYaqBhU8_DElYkX7l4wRkHqqCUFNJY4AfY3kHU/edit?usp=sharing  #gid=0"",""фіз особи new!relations_name""),6,FALSE)
,
(IF
(
C9500=""юридична особа""
,
VLOOKUP"&amp;"(D9500,IMPORTRANGE(""https://docs.google.com/spreadsheets/d/14Bd19lYaqBhU8_DElYkX7l4wRkHqqCUFNJY4AfY3kHU/edit?usp=sharing  #gid=0"",""фіз особи new!relations_name_uo""),7,FALSE)
,
)
))"),"КАСЬКОВ Юрій Микитович")</f>
        <v>КАСЬКОВ Юрій Микитович</v>
      </c>
      <c r="G9499" s="7" t="s">
        <v>10</v>
      </c>
      <c r="H9499" s="7">
        <v>3042</v>
      </c>
      <c r="I9499" s="8" t="str">
        <f ca="1">IFERROR(__xludf.DUMMYFUNCTION("IF
(
G9500=""фізична особа""
,
VLOOKUP(H9500,IMPORTRANGE(""https://docs.google.com/spreadsheets/d/14Bd19lYaqBhU8_DElYkX7l4wRkHqqCUFNJY4AfY3kHU/edit?usp=sharing  #gid=0"",""фіз особи new!relations_name""),6,FALSE)
,
(IF
(
G9500=""юридична особа""
,
VLOOKUP"&amp;"(H9500,IMPORTRANGE(""https://docs.google.com/spreadsheets/d/14Bd19lYaqBhU8_DElYkX7l4wRkHqqCUFNJY4AfY3kHU/edit?usp=sharing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499" s="7" t="s">
        <v>29</v>
      </c>
    </row>
    <row r="9500" spans="1:10" ht="13.2">
      <c r="A9500" s="7">
        <v>9499</v>
      </c>
      <c r="B9500" s="7">
        <v>1</v>
      </c>
      <c r="C9500" s="7" t="s">
        <v>10</v>
      </c>
      <c r="D9500" s="7">
        <v>11331</v>
      </c>
      <c r="E9500" s="7" t="s">
        <v>28</v>
      </c>
      <c r="F9500" s="8" t="str">
        <f ca="1">IFERROR(__xludf.DUMMYFUNCTION("IF
(
C9501=""фізична особа""
,
VLOOKUP(D9501,IMPORTRANGE(""https://docs.google.com/spreadsheets/d/14Bd19lYaqBhU8_DElYkX7l4wRkHqqCUFNJY4AfY3kHU/edit?usp=sharing  #gid=0"",""фіз особи new!relations_name""),6,FALSE)
,
(IF
(
C9501=""юридична особа""
,
VLOOKUP"&amp;"(D9501,IMPORTRANGE(""https://docs.google.com/spreadsheets/d/14Bd19lYaqBhU8_DElYkX7l4wRkHqqCUFNJY4AfY3kHU/edit?usp=sharing  #gid=0"",""фіз особи new!relations_name_uo""),7,FALSE)
,
)
))"),"НОСОВСЬКИЙ Тарас Іванович")</f>
        <v>НОСОВСЬКИЙ Тарас Іванович</v>
      </c>
      <c r="G9500" s="7" t="s">
        <v>10</v>
      </c>
      <c r="H9500" s="7">
        <v>3042</v>
      </c>
      <c r="I9500" s="8" t="str">
        <f ca="1">IFERROR(__xludf.DUMMYFUNCTION("IF
(
G9501=""фізична особа""
,
VLOOKUP(H9501,IMPORTRANGE(""https://docs.google.com/spreadsheets/d/14Bd19lYaqBhU8_DElYkX7l4wRkHqqCUFNJY4AfY3kHU/edit?usp=sharing  #gid=0"",""фіз особи new!relations_name""),6,FALSE)
,
(IF
(
G9501=""юридична особа""
,
VLOOKUP"&amp;"(H9501,IMPORTRANGE(""https://docs.google.com/spreadsheets/d/14Bd19lYaqBhU8_DElYkX7l4wRkHqqCUFNJY4AfY3kHU/edit?usp=sharing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00" s="7" t="s">
        <v>29</v>
      </c>
    </row>
    <row r="9501" spans="1:10" ht="13.2">
      <c r="A9501" s="7">
        <v>9500</v>
      </c>
      <c r="B9501" s="7">
        <v>1</v>
      </c>
      <c r="C9501" s="7" t="s">
        <v>10</v>
      </c>
      <c r="D9501" s="7">
        <v>11332</v>
      </c>
      <c r="E9501" s="7" t="s">
        <v>28</v>
      </c>
      <c r="F9501" s="8" t="str">
        <f ca="1">IFERROR(__xludf.DUMMYFUNCTION("IF
(
C9502=""фізична особа""
,
VLOOKUP(D9502,IMPORTRANGE(""https://docs.google.com/spreadsheets/d/14Bd19lYaqBhU8_DElYkX7l4wRkHqqCUFNJY4AfY3kHU/edit?usp=sharing  #gid=0"",""фіз особи new!relations_name""),6,FALSE)
,
(IF
(
C9502=""юридична особа""
,
VLOOKUP"&amp;"(D9502,IMPORTRANGE(""https://docs.google.com/spreadsheets/d/14Bd19lYaqBhU8_DElYkX7l4wRkHqqCUFNJY4AfY3kHU/edit?usp=sharing  #gid=0"",""фіз особи new!relations_name_uo""),7,FALSE)
,
)
))"),"КУЗНЄЦОВА Ірина Анатоліївна")</f>
        <v>КУЗНЄЦОВА Ірина Анатоліївна</v>
      </c>
      <c r="G9501" s="7" t="s">
        <v>10</v>
      </c>
      <c r="H9501" s="7">
        <v>3042</v>
      </c>
      <c r="I9501" s="8" t="str">
        <f ca="1">IFERROR(__xludf.DUMMYFUNCTION("IF
(
G9502=""фізична особа""
,
VLOOKUP(H9502,IMPORTRANGE(""https://docs.google.com/spreadsheets/d/14Bd19lYaqBhU8_DElYkX7l4wRkHqqCUFNJY4AfY3kHU/edit?usp=sharing  #gid=0"",""фіз особи new!relations_name""),6,FALSE)
,
(IF
(
G9502=""юридична особа""
,
VLOOKUP"&amp;"(H9502,IMPORTRANGE(""https://docs.google.com/spreadsheets/d/14Bd19lYaqBhU8_DElYkX7l4wRkHqqCUFNJY4AfY3kHU/edit?usp=sharing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01" s="7" t="s">
        <v>29</v>
      </c>
    </row>
    <row r="9502" spans="1:10" ht="13.2">
      <c r="A9502" s="7">
        <v>9501</v>
      </c>
      <c r="B9502" s="7">
        <v>1</v>
      </c>
      <c r="C9502" s="7" t="s">
        <v>10</v>
      </c>
      <c r="D9502" s="7">
        <v>11333</v>
      </c>
      <c r="E9502" s="7" t="s">
        <v>28</v>
      </c>
      <c r="F9502" s="8" t="str">
        <f ca="1">IFERROR(__xludf.DUMMYFUNCTION("IF
(
C9503=""фізична особа""
,
VLOOKUP(D9503,IMPORTRANGE(""https://docs.google.com/spreadsheets/d/14Bd19lYaqBhU8_DElYkX7l4wRkHqqCUFNJY4AfY3kHU/edit?usp=sharing  #gid=0"",""фіз особи new!relations_name""),6,FALSE)
,
(IF
(
C9503=""юридична особа""
,
VLOOKUP"&amp;"(D9503,IMPORTRANGE(""https://docs.google.com/spreadsheets/d/14Bd19lYaqBhU8_DElYkX7l4wRkHqqCUFNJY4AfY3kHU/edit?usp=sharing  #gid=0"",""фіз особи new!relations_name_uo""),7,FALSE)
,
)
))"),"ГЛУШКОВА Людмила Іванівна")</f>
        <v>ГЛУШКОВА Людмила Іванівна</v>
      </c>
      <c r="G9502" s="7" t="s">
        <v>10</v>
      </c>
      <c r="H9502" s="7">
        <v>3042</v>
      </c>
      <c r="I9502" s="8" t="str">
        <f ca="1">IFERROR(__xludf.DUMMYFUNCTION("IF
(
G9503=""фізична особа""
,
VLOOKUP(H9503,IMPORTRANGE(""https://docs.google.com/spreadsheets/d/14Bd19lYaqBhU8_DElYkX7l4wRkHqqCUFNJY4AfY3kHU/edit?usp=sharing  #gid=0"",""фіз особи new!relations_name""),6,FALSE)
,
(IF
(
G9503=""юридична особа""
,
VLOOKUP"&amp;"(H9503,IMPORTRANGE(""https://docs.google.com/spreadsheets/d/14Bd19lYaqBhU8_DElYkX7l4wRkHqqCUFNJY4AfY3kHU/edit?usp=sharing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02" s="7" t="s">
        <v>29</v>
      </c>
    </row>
    <row r="9503" spans="1:10" ht="13.2">
      <c r="A9503" s="7">
        <v>9502</v>
      </c>
      <c r="B9503" s="7">
        <v>1</v>
      </c>
      <c r="C9503" s="7" t="s">
        <v>10</v>
      </c>
      <c r="D9503" s="7">
        <v>11334</v>
      </c>
      <c r="E9503" s="7" t="s">
        <v>28</v>
      </c>
      <c r="F9503" s="8" t="str">
        <f ca="1">IFERROR(__xludf.DUMMYFUNCTION("IF
(
C9504=""фізична особа""
,
VLOOKUP(D9504,IMPORTRANGE(""https://docs.google.com/spreadsheets/d/14Bd19lYaqBhU8_DElYkX7l4wRkHqqCUFNJY4AfY3kHU/edit?usp=sharing  #gid=0"",""фіз особи new!relations_name""),6,FALSE)
,
(IF
(
C9504=""юридична особа""
,
VLOOKUP"&amp;"(D9504,IMPORTRANGE(""https://docs.google.com/spreadsheets/d/14Bd19lYaqBhU8_DElYkX7l4wRkHqqCUFNJY4AfY3kHU/edit?usp=sharing  #gid=0"",""фіз особи new!relations_name_uo""),7,FALSE)
,
)
))"),"БУРАВЛЬОВ Юрій Вікторович")</f>
        <v>БУРАВЛЬОВ Юрій Вікторович</v>
      </c>
      <c r="G9503" s="7" t="s">
        <v>10</v>
      </c>
      <c r="H9503" s="7">
        <v>3167</v>
      </c>
      <c r="I9503" s="8" t="str">
        <f ca="1">IFERROR(__xludf.DUMMYFUNCTION("IF
(
G9504=""фізична особа""
,
VLOOKUP(H9504,IMPORTRANGE(""https://docs.google.com/spreadsheets/d/14Bd19lYaqBhU8_DElYkX7l4wRkHqqCUFNJY4AfY3kHU/edit?usp=sharing  #gid=0"",""фіз особи new!relations_name""),6,FALSE)
,
(IF
(
G9504=""юридична особа""
,
VLOOKUP"&amp;"(H9504,IMPORTRANGE(""https://docs.google.com/spreadsheets/d/14Bd19lYaqBhU8_DElYkX7l4wRkHqqCUFNJY4AfY3kHU/edit?usp=sharing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3" s="7" t="s">
        <v>29</v>
      </c>
    </row>
    <row r="9504" spans="1:10" ht="13.2">
      <c r="A9504" s="7">
        <v>9503</v>
      </c>
      <c r="B9504" s="7">
        <v>1</v>
      </c>
      <c r="C9504" s="7" t="s">
        <v>10</v>
      </c>
      <c r="D9504" s="7">
        <v>11335</v>
      </c>
      <c r="E9504" s="7" t="s">
        <v>28</v>
      </c>
      <c r="F9504" s="8" t="str">
        <f ca="1">IFERROR(__xludf.DUMMYFUNCTION("IF
(
C9505=""фізична особа""
,
VLOOKUP(D9505,IMPORTRANGE(""https://docs.google.com/spreadsheets/d/14Bd19lYaqBhU8_DElYkX7l4wRkHqqCUFNJY4AfY3kHU/edit?usp=sharing  #gid=0"",""фіз особи new!relations_name""),6,FALSE)
,
(IF
(
C9505=""юридична особа""
,
VLOOKUP"&amp;"(D9505,IMPORTRANGE(""https://docs.google.com/spreadsheets/d/14Bd19lYaqBhU8_DElYkX7l4wRkHqqCUFNJY4AfY3kHU/edit?usp=sharing  #gid=0"",""фіз особи new!relations_name_uo""),7,FALSE)
,
)
))"),"КОСТРОВА Олена Костянтинівна")</f>
        <v>КОСТРОВА Олена Костянтинівна</v>
      </c>
      <c r="G9504" s="7" t="s">
        <v>10</v>
      </c>
      <c r="H9504" s="7">
        <v>3167</v>
      </c>
      <c r="I9504" s="8" t="str">
        <f ca="1">IFERROR(__xludf.DUMMYFUNCTION("IF
(
G9505=""фізична особа""
,
VLOOKUP(H9505,IMPORTRANGE(""https://docs.google.com/spreadsheets/d/14Bd19lYaqBhU8_DElYkX7l4wRkHqqCUFNJY4AfY3kHU/edit?usp=sharing  #gid=0"",""фіз особи new!relations_name""),6,FALSE)
,
(IF
(
G9505=""юридична особа""
,
VLOOKUP"&amp;"(H9505,IMPORTRANGE(""https://docs.google.com/spreadsheets/d/14Bd19lYaqBhU8_DElYkX7l4wRkHqqCUFNJY4AfY3kHU/edit?usp=sharing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4" s="7" t="s">
        <v>29</v>
      </c>
    </row>
    <row r="9505" spans="1:10" ht="13.2">
      <c r="A9505" s="7">
        <v>9504</v>
      </c>
      <c r="B9505" s="7">
        <v>1</v>
      </c>
      <c r="C9505" s="7" t="s">
        <v>10</v>
      </c>
      <c r="D9505" s="7">
        <v>11336</v>
      </c>
      <c r="E9505" s="7" t="s">
        <v>28</v>
      </c>
      <c r="F9505" s="8" t="str">
        <f ca="1">IFERROR(__xludf.DUMMYFUNCTION("IF
(
C9506=""фізична особа""
,
VLOOKUP(D9506,IMPORTRANGE(""https://docs.google.com/spreadsheets/d/14Bd19lYaqBhU8_DElYkX7l4wRkHqqCUFNJY4AfY3kHU/edit?usp=sharing  #gid=0"",""фіз особи new!relations_name""),6,FALSE)
,
(IF
(
C9506=""юридична особа""
,
VLOOKUP"&amp;"(D9506,IMPORTRANGE(""https://docs.google.com/spreadsheets/d/14Bd19lYaqBhU8_DElYkX7l4wRkHqqCUFNJY4AfY3kHU/edit?usp=sharing  #gid=0"",""фіз особи new!relations_name_uo""),7,FALSE)
,
)
))"),"ФЕДЮНІН Григорій Ігорович")</f>
        <v>ФЕДЮНІН Григорій Ігорович</v>
      </c>
      <c r="G9505" s="7" t="s">
        <v>10</v>
      </c>
      <c r="H9505" s="7">
        <v>3167</v>
      </c>
      <c r="I9505" s="8" t="str">
        <f ca="1">IFERROR(__xludf.DUMMYFUNCTION("IF
(
G9506=""фізична особа""
,
VLOOKUP(H9506,IMPORTRANGE(""https://docs.google.com/spreadsheets/d/14Bd19lYaqBhU8_DElYkX7l4wRkHqqCUFNJY4AfY3kHU/edit?usp=sharing  #gid=0"",""фіз особи new!relations_name""),6,FALSE)
,
(IF
(
G9506=""юридична особа""
,
VLOOKUP"&amp;"(H9506,IMPORTRANGE(""https://docs.google.com/spreadsheets/d/14Bd19lYaqBhU8_DElYkX7l4wRkHqqCUFNJY4AfY3kHU/edit?usp=sharing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5" s="7" t="s">
        <v>29</v>
      </c>
    </row>
    <row r="9506" spans="1:10" ht="13.2">
      <c r="A9506" s="7">
        <v>9505</v>
      </c>
      <c r="B9506" s="7">
        <v>1</v>
      </c>
      <c r="C9506" s="7" t="s">
        <v>10</v>
      </c>
      <c r="D9506" s="7">
        <v>11337</v>
      </c>
      <c r="E9506" s="7" t="s">
        <v>28</v>
      </c>
      <c r="F9506" s="8" t="str">
        <f ca="1">IFERROR(__xludf.DUMMYFUNCTION("IF
(
C9507=""фізична особа""
,
VLOOKUP(D9507,IMPORTRANGE(""https://docs.google.com/spreadsheets/d/14Bd19lYaqBhU8_DElYkX7l4wRkHqqCUFNJY4AfY3kHU/edit?usp=sharing  #gid=0"",""фіз особи new!relations_name""),6,FALSE)
,
(IF
(
C9507=""юридична особа""
,
VLOOKUP"&amp;"(D9507,IMPORTRANGE(""https://docs.google.com/spreadsheets/d/14Bd19lYaqBhU8_DElYkX7l4wRkHqqCUFNJY4AfY3kHU/edit?usp=sharing  #gid=0"",""фіз особи new!relations_name_uo""),7,FALSE)
,
)
))"),"КОЛЕГОВ Антон Павлович")</f>
        <v>КОЛЕГОВ Антон Павлович</v>
      </c>
      <c r="G9506" s="7" t="s">
        <v>10</v>
      </c>
      <c r="H9506" s="7">
        <v>3167</v>
      </c>
      <c r="I9506" s="8" t="str">
        <f ca="1">IFERROR(__xludf.DUMMYFUNCTION("IF
(
G9507=""фізична особа""
,
VLOOKUP(H9507,IMPORTRANGE(""https://docs.google.com/spreadsheets/d/14Bd19lYaqBhU8_DElYkX7l4wRkHqqCUFNJY4AfY3kHU/edit?usp=sharing  #gid=0"",""фіз особи new!relations_name""),6,FALSE)
,
(IF
(
G9507=""юридична особа""
,
VLOOKUP"&amp;"(H9507,IMPORTRANGE(""https://docs.google.com/spreadsheets/d/14Bd19lYaqBhU8_DElYkX7l4wRkHqqCUFNJY4AfY3kHU/edit?usp=sharing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6" s="7" t="s">
        <v>29</v>
      </c>
    </row>
    <row r="9507" spans="1:10" ht="13.2">
      <c r="A9507" s="7">
        <v>9506</v>
      </c>
      <c r="B9507" s="7">
        <v>1</v>
      </c>
      <c r="C9507" s="7" t="s">
        <v>10</v>
      </c>
      <c r="D9507" s="7">
        <v>11338</v>
      </c>
      <c r="E9507" s="7" t="s">
        <v>28</v>
      </c>
      <c r="F9507" s="8" t="str">
        <f ca="1">IFERROR(__xludf.DUMMYFUNCTION("IF
(
C9508=""фізична особа""
,
VLOOKUP(D9508,IMPORTRANGE(""https://docs.google.com/spreadsheets/d/14Bd19lYaqBhU8_DElYkX7l4wRkHqqCUFNJY4AfY3kHU/edit?usp=sharing  #gid=0"",""фіз особи new!relations_name""),6,FALSE)
,
(IF
(
C9508=""юридична особа""
,
VLOOKUP"&amp;"(D9508,IMPORTRANGE(""https://docs.google.com/spreadsheets/d/14Bd19lYaqBhU8_DElYkX7l4wRkHqqCUFNJY4AfY3kHU/edit?usp=sharing  #gid=0"",""фіз особи new!relations_name_uo""),7,FALSE)
,
)
))"),"МАКУРІНА Маргарита Едуардівна")</f>
        <v>МАКУРІНА Маргарита Едуардівна</v>
      </c>
      <c r="G9507" s="7" t="s">
        <v>10</v>
      </c>
      <c r="H9507" s="7">
        <v>3167</v>
      </c>
      <c r="I9507" s="8" t="str">
        <f ca="1">IFERROR(__xludf.DUMMYFUNCTION("IF
(
G9508=""фізична особа""
,
VLOOKUP(H9508,IMPORTRANGE(""https://docs.google.com/spreadsheets/d/14Bd19lYaqBhU8_DElYkX7l4wRkHqqCUFNJY4AfY3kHU/edit?usp=sharing  #gid=0"",""фіз особи new!relations_name""),6,FALSE)
,
(IF
(
G9508=""юридична особа""
,
VLOOKUP"&amp;"(H9508,IMPORTRANGE(""https://docs.google.com/spreadsheets/d/14Bd19lYaqBhU8_DElYkX7l4wRkHqqCUFNJY4AfY3kHU/edit?usp=sharing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7" s="7" t="s">
        <v>29</v>
      </c>
    </row>
    <row r="9508" spans="1:10" ht="13.2">
      <c r="A9508" s="7">
        <v>9507</v>
      </c>
      <c r="B9508" s="7">
        <v>1</v>
      </c>
      <c r="C9508" s="7" t="s">
        <v>10</v>
      </c>
      <c r="D9508" s="7">
        <v>11339</v>
      </c>
      <c r="E9508" s="7" t="s">
        <v>28</v>
      </c>
      <c r="F9508" s="8" t="str">
        <f ca="1">IFERROR(__xludf.DUMMYFUNCTION("IF
(
C9509=""фізична особа""
,
VLOOKUP(D9509,IMPORTRANGE(""https://docs.google.com/spreadsheets/d/14Bd19lYaqBhU8_DElYkX7l4wRkHqqCUFNJY4AfY3kHU/edit?usp=sharing  #gid=0"",""фіз особи new!relations_name""),6,FALSE)
,
(IF
(
C9509=""юридична особа""
,
VLOOKUP"&amp;"(D9509,IMPORTRANGE(""https://docs.google.com/spreadsheets/d/14Bd19lYaqBhU8_DElYkX7l4wRkHqqCUFNJY4AfY3kHU/edit?usp=sharing  #gid=0"",""фіз особи new!relations_name_uo""),7,FALSE)
,
)
))"),"ЛЕБЕДЄВ Олександр Євгенович")</f>
        <v>ЛЕБЕДЄВ Олександр Євгенович</v>
      </c>
      <c r="G9508" s="7" t="s">
        <v>10</v>
      </c>
      <c r="H9508" s="7">
        <v>3167</v>
      </c>
      <c r="I9508" s="8" t="str">
        <f ca="1">IFERROR(__xludf.DUMMYFUNCTION("IF
(
G9509=""фізична особа""
,
VLOOKUP(H9509,IMPORTRANGE(""https://docs.google.com/spreadsheets/d/14Bd19lYaqBhU8_DElYkX7l4wRkHqqCUFNJY4AfY3kHU/edit?usp=sharing  #gid=0"",""фіз особи new!relations_name""),6,FALSE)
,
(IF
(
G9509=""юридична особа""
,
VLOOKUP"&amp;"(H9509,IMPORTRANGE(""https://docs.google.com/spreadsheets/d/14Bd19lYaqBhU8_DElYkX7l4wRkHqqCUFNJY4AfY3kHU/edit?usp=sharing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8" s="7" t="s">
        <v>29</v>
      </c>
    </row>
    <row r="9509" spans="1:10" ht="13.2">
      <c r="A9509" s="7">
        <v>9508</v>
      </c>
      <c r="B9509" s="7">
        <v>1</v>
      </c>
      <c r="C9509" s="7" t="s">
        <v>10</v>
      </c>
      <c r="D9509" s="7">
        <v>11340</v>
      </c>
      <c r="E9509" s="7" t="s">
        <v>28</v>
      </c>
      <c r="F9509" s="8" t="str">
        <f ca="1">IFERROR(__xludf.DUMMYFUNCTION("IF
(
C9510=""фізична особа""
,
VLOOKUP(D9510,IMPORTRANGE(""https://docs.google.com/spreadsheets/d/14Bd19lYaqBhU8_DElYkX7l4wRkHqqCUFNJY4AfY3kHU/edit?usp=sharing  #gid=0"",""фіз особи new!relations_name""),6,FALSE)
,
(IF
(
C9510=""юридична особа""
,
VLOOKUP"&amp;"(D9510,IMPORTRANGE(""https://docs.google.com/spreadsheets/d/14Bd19lYaqBhU8_DElYkX7l4wRkHqqCUFNJY4AfY3kHU/edit?usp=sharing  #gid=0"",""фіз особи new!relations_name_uo""),7,FALSE)
,
)
))"),"ШАЛГІН Дмитро Володимирович")</f>
        <v>ШАЛГІН Дмитро Володимирович</v>
      </c>
      <c r="G9509" s="7" t="s">
        <v>10</v>
      </c>
      <c r="H9509" s="7">
        <v>3167</v>
      </c>
      <c r="I9509" s="8" t="str">
        <f ca="1">IFERROR(__xludf.DUMMYFUNCTION("IF
(
G9510=""фізична особа""
,
VLOOKUP(H9510,IMPORTRANGE(""https://docs.google.com/spreadsheets/d/14Bd19lYaqBhU8_DElYkX7l4wRkHqqCUFNJY4AfY3kHU/edit?usp=sharing  #gid=0"",""фіз особи new!relations_name""),6,FALSE)
,
(IF
(
G9510=""юридична особа""
,
VLOOKUP"&amp;"(H9510,IMPORTRANGE(""https://docs.google.com/spreadsheets/d/14Bd19lYaqBhU8_DElYkX7l4wRkHqqCUFNJY4AfY3kHU/edit?usp=sharing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09" s="7" t="s">
        <v>29</v>
      </c>
    </row>
    <row r="9510" spans="1:10" ht="13.2">
      <c r="A9510" s="7">
        <v>9509</v>
      </c>
      <c r="B9510" s="7">
        <v>1</v>
      </c>
      <c r="C9510" s="7" t="s">
        <v>10</v>
      </c>
      <c r="D9510" s="7">
        <v>11341</v>
      </c>
      <c r="E9510" s="7" t="s">
        <v>28</v>
      </c>
      <c r="F9510" s="8" t="str">
        <f ca="1">IFERROR(__xludf.DUMMYFUNCTION("IF
(
C9511=""фізична особа""
,
VLOOKUP(D9511,IMPORTRANGE(""https://docs.google.com/spreadsheets/d/14Bd19lYaqBhU8_DElYkX7l4wRkHqqCUFNJY4AfY3kHU/edit?usp=sharing  #gid=0"",""фіз особи new!relations_name""),6,FALSE)
,
(IF
(
C9511=""юридична особа""
,
VLOOKUP"&amp;"(D9511,IMPORTRANGE(""https://docs.google.com/spreadsheets/d/14Bd19lYaqBhU8_DElYkX7l4wRkHqqCUFNJY4AfY3kHU/edit?usp=sharing  #gid=0"",""фіз особи new!relations_name_uo""),7,FALSE)
,
)
))"),"ХРИПКО Олександр Володимирович")</f>
        <v>ХРИПКО Олександр Володимирович</v>
      </c>
      <c r="G9510" s="7" t="s">
        <v>10</v>
      </c>
      <c r="H9510" s="7">
        <v>3167</v>
      </c>
      <c r="I9510" s="8" t="str">
        <f ca="1">IFERROR(__xludf.DUMMYFUNCTION("IF
(
G9511=""фізична особа""
,
VLOOKUP(H9511,IMPORTRANGE(""https://docs.google.com/spreadsheets/d/14Bd19lYaqBhU8_DElYkX7l4wRkHqqCUFNJY4AfY3kHU/edit?usp=sharing  #gid=0"",""фіз особи new!relations_name""),6,FALSE)
,
(IF
(
G9511=""юридична особа""
,
VLOOKUP"&amp;"(H9511,IMPORTRANGE(""https://docs.google.com/spreadsheets/d/14Bd19lYaqBhU8_DElYkX7l4wRkHqqCUFNJY4AfY3kHU/edit?usp=sharing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0" s="7" t="s">
        <v>29</v>
      </c>
    </row>
    <row r="9511" spans="1:10" ht="13.2">
      <c r="A9511" s="7">
        <v>9510</v>
      </c>
      <c r="B9511" s="7">
        <v>1</v>
      </c>
      <c r="C9511" s="7" t="s">
        <v>10</v>
      </c>
      <c r="D9511" s="7">
        <v>11342</v>
      </c>
      <c r="E9511" s="7" t="s">
        <v>28</v>
      </c>
      <c r="F9511" s="8" t="str">
        <f ca="1">IFERROR(__xludf.DUMMYFUNCTION("IF
(
C9512=""фізична особа""
,
VLOOKUP(D9512,IMPORTRANGE(""https://docs.google.com/spreadsheets/d/14Bd19lYaqBhU8_DElYkX7l4wRkHqqCUFNJY4AfY3kHU/edit?usp=sharing  #gid=0"",""фіз особи new!relations_name""),6,FALSE)
,
(IF
(
C9512=""юридична особа""
,
VLOOKUP"&amp;"(D9512,IMPORTRANGE(""https://docs.google.com/spreadsheets/d/14Bd19lYaqBhU8_DElYkX7l4wRkHqqCUFNJY4AfY3kHU/edit?usp=sharing  #gid=0"",""фіз особи new!relations_name_uo""),7,FALSE)
,
)
))"),"МАРКЕВИЧ Сергій Валерійович")</f>
        <v>МАРКЕВИЧ Сергій Валерійович</v>
      </c>
      <c r="G9511" s="7" t="s">
        <v>10</v>
      </c>
      <c r="H9511" s="7">
        <v>3167</v>
      </c>
      <c r="I9511" s="8" t="str">
        <f ca="1">IFERROR(__xludf.DUMMYFUNCTION("IF
(
G9512=""фізична особа""
,
VLOOKUP(H9512,IMPORTRANGE(""https://docs.google.com/spreadsheets/d/14Bd19lYaqBhU8_DElYkX7l4wRkHqqCUFNJY4AfY3kHU/edit?usp=sharing  #gid=0"",""фіз особи new!relations_name""),6,FALSE)
,
(IF
(
G9512=""юридична особа""
,
VLOOKUP"&amp;"(H9512,IMPORTRANGE(""https://docs.google.com/spreadsheets/d/14Bd19lYaqBhU8_DElYkX7l4wRkHqqCUFNJY4AfY3kHU/edit?usp=sharing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1" s="7" t="s">
        <v>29</v>
      </c>
    </row>
    <row r="9512" spans="1:10" ht="13.2">
      <c r="A9512" s="7">
        <v>9511</v>
      </c>
      <c r="B9512" s="7">
        <v>1</v>
      </c>
      <c r="C9512" s="7" t="s">
        <v>10</v>
      </c>
      <c r="D9512" s="7">
        <v>11343</v>
      </c>
      <c r="E9512" s="7" t="s">
        <v>28</v>
      </c>
      <c r="F9512" s="8" t="str">
        <f ca="1">IFERROR(__xludf.DUMMYFUNCTION("IF
(
C9513=""фізична особа""
,
VLOOKUP(D9513,IMPORTRANGE(""https://docs.google.com/spreadsheets/d/14Bd19lYaqBhU8_DElYkX7l4wRkHqqCUFNJY4AfY3kHU/edit?usp=sharing  #gid=0"",""фіз особи new!relations_name""),6,FALSE)
,
(IF
(
C9513=""юридична особа""
,
VLOOKUP"&amp;"(D9513,IMPORTRANGE(""https://docs.google.com/spreadsheets/d/14Bd19lYaqBhU8_DElYkX7l4wRkHqqCUFNJY4AfY3kHU/edit?usp=sharing  #gid=0"",""фіз особи new!relations_name_uo""),7,FALSE)
,
)
))"),"ПЕТРУШКІН Баатр Юрійович")</f>
        <v>ПЕТРУШКІН Баатр Юрійович</v>
      </c>
      <c r="G9512" s="7" t="s">
        <v>10</v>
      </c>
      <c r="H9512" s="7">
        <v>3167</v>
      </c>
      <c r="I9512" s="8" t="str">
        <f ca="1">IFERROR(__xludf.DUMMYFUNCTION("IF
(
G9513=""фізична особа""
,
VLOOKUP(H9513,IMPORTRANGE(""https://docs.google.com/spreadsheets/d/14Bd19lYaqBhU8_DElYkX7l4wRkHqqCUFNJY4AfY3kHU/edit?usp=sharing  #gid=0"",""фіз особи new!relations_name""),6,FALSE)
,
(IF
(
G9513=""юридична особа""
,
VLOOKUP"&amp;"(H9513,IMPORTRANGE(""https://docs.google.com/spreadsheets/d/14Bd19lYaqBhU8_DElYkX7l4wRkHqqCUFNJY4AfY3kHU/edit?usp=sharing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2" s="7" t="s">
        <v>29</v>
      </c>
    </row>
    <row r="9513" spans="1:10" ht="13.2">
      <c r="A9513" s="7">
        <v>9512</v>
      </c>
      <c r="B9513" s="7">
        <v>1</v>
      </c>
      <c r="C9513" s="7" t="s">
        <v>10</v>
      </c>
      <c r="D9513" s="7">
        <v>11344</v>
      </c>
      <c r="E9513" s="7" t="s">
        <v>28</v>
      </c>
      <c r="F9513" s="8" t="str">
        <f ca="1">IFERROR(__xludf.DUMMYFUNCTION("IF
(
C9514=""фізична особа""
,
VLOOKUP(D9514,IMPORTRANGE(""https://docs.google.com/spreadsheets/d/14Bd19lYaqBhU8_DElYkX7l4wRkHqqCUFNJY4AfY3kHU/edit?usp=sharing  #gid=0"",""фіз особи new!relations_name""),6,FALSE)
,
(IF
(
C9514=""юридична особа""
,
VLOOKUP"&amp;"(D9514,IMPORTRANGE(""https://docs.google.com/spreadsheets/d/14Bd19lYaqBhU8_DElYkX7l4wRkHqqCUFNJY4AfY3kHU/edit?usp=sharing  #gid=0"",""фіз особи new!relations_name_uo""),7,FALSE)
,
)
))"),"МАЗУРЕНКО Михайло Миколайович")</f>
        <v>МАЗУРЕНКО Михайло Миколайович</v>
      </c>
      <c r="G9513" s="7" t="s">
        <v>10</v>
      </c>
      <c r="H9513" s="7">
        <v>3167</v>
      </c>
      <c r="I9513" s="8" t="str">
        <f ca="1">IFERROR(__xludf.DUMMYFUNCTION("IF
(
G9514=""фізична особа""
,
VLOOKUP(H9514,IMPORTRANGE(""https://docs.google.com/spreadsheets/d/14Bd19lYaqBhU8_DElYkX7l4wRkHqqCUFNJY4AfY3kHU/edit?usp=sharing  #gid=0"",""фіз особи new!relations_name""),6,FALSE)
,
(IF
(
G9514=""юридична особа""
,
VLOOKUP"&amp;"(H9514,IMPORTRANGE(""https://docs.google.com/spreadsheets/d/14Bd19lYaqBhU8_DElYkX7l4wRkHqqCUFNJY4AfY3kHU/edit?usp=sharing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3" s="7" t="s">
        <v>29</v>
      </c>
    </row>
    <row r="9514" spans="1:10" ht="13.2">
      <c r="A9514" s="7">
        <v>9513</v>
      </c>
      <c r="B9514" s="7">
        <v>1</v>
      </c>
      <c r="C9514" s="7" t="s">
        <v>10</v>
      </c>
      <c r="D9514" s="7">
        <v>11345</v>
      </c>
      <c r="E9514" s="7" t="s">
        <v>28</v>
      </c>
      <c r="F9514" s="8" t="str">
        <f ca="1">IFERROR(__xludf.DUMMYFUNCTION("IF
(
C9515=""фізична особа""
,
VLOOKUP(D9515,IMPORTRANGE(""https://docs.google.com/spreadsheets/d/14Bd19lYaqBhU8_DElYkX7l4wRkHqqCUFNJY4AfY3kHU/edit?usp=sharing  #gid=0"",""фіз особи new!relations_name""),6,FALSE)
,
(IF
(
C9515=""юридична особа""
,
VLOOKUP"&amp;"(D9515,IMPORTRANGE(""https://docs.google.com/spreadsheets/d/14Bd19lYaqBhU8_DElYkX7l4wRkHqqCUFNJY4AfY3kHU/edit?usp=sharing  #gid=0"",""фіз особи new!relations_name_uo""),7,FALSE)
,
)
))"),"ЄРМОЛЕНКО Лілія Михайлівна")</f>
        <v>ЄРМОЛЕНКО Лілія Михайлівна</v>
      </c>
      <c r="G9514" s="7" t="s">
        <v>10</v>
      </c>
      <c r="H9514" s="7">
        <v>3167</v>
      </c>
      <c r="I9514" s="8" t="str">
        <f ca="1">IFERROR(__xludf.DUMMYFUNCTION("IF
(
G9515=""фізична особа""
,
VLOOKUP(H9515,IMPORTRANGE(""https://docs.google.com/spreadsheets/d/14Bd19lYaqBhU8_DElYkX7l4wRkHqqCUFNJY4AfY3kHU/edit?usp=sharing  #gid=0"",""фіз особи new!relations_name""),6,FALSE)
,
(IF
(
G9515=""юридична особа""
,
VLOOKUP"&amp;"(H9515,IMPORTRANGE(""https://docs.google.com/spreadsheets/d/14Bd19lYaqBhU8_DElYkX7l4wRkHqqCUFNJY4AfY3kHU/edit?usp=sharing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4" s="7" t="s">
        <v>29</v>
      </c>
    </row>
    <row r="9515" spans="1:10" ht="13.2">
      <c r="A9515" s="7">
        <v>9514</v>
      </c>
      <c r="B9515" s="7">
        <v>1</v>
      </c>
      <c r="C9515" s="7" t="s">
        <v>10</v>
      </c>
      <c r="D9515" s="7">
        <v>11346</v>
      </c>
      <c r="E9515" s="7" t="s">
        <v>28</v>
      </c>
      <c r="F9515" s="8" t="str">
        <f ca="1">IFERROR(__xludf.DUMMYFUNCTION("IF
(
C9516=""фізична особа""
,
VLOOKUP(D9516,IMPORTRANGE(""https://docs.google.com/spreadsheets/d/14Bd19lYaqBhU8_DElYkX7l4wRkHqqCUFNJY4AfY3kHU/edit?usp=sharing  #gid=0"",""фіз особи new!relations_name""),6,FALSE)
,
(IF
(
C9516=""юридична особа""
,
VLOOKUP"&amp;"(D9516,IMPORTRANGE(""https://docs.google.com/spreadsheets/d/14Bd19lYaqBhU8_DElYkX7l4wRkHqqCUFNJY4AfY3kHU/edit?usp=sharing  #gid=0"",""фіз особи new!relations_name_uo""),7,FALSE)
,
)
))"),"ФЕДОРОВА Олена Іванівна")</f>
        <v>ФЕДОРОВА Олена Іванівна</v>
      </c>
      <c r="G9515" s="7" t="s">
        <v>10</v>
      </c>
      <c r="H9515" s="7">
        <v>3167</v>
      </c>
      <c r="I9515" s="8" t="str">
        <f ca="1">IFERROR(__xludf.DUMMYFUNCTION("IF
(
G9516=""фізична особа""
,
VLOOKUP(H9516,IMPORTRANGE(""https://docs.google.com/spreadsheets/d/14Bd19lYaqBhU8_DElYkX7l4wRkHqqCUFNJY4AfY3kHU/edit?usp=sharing  #gid=0"",""фіз особи new!relations_name""),6,FALSE)
,
(IF
(
G9516=""юридична особа""
,
VLOOKUP"&amp;"(H9516,IMPORTRANGE(""https://docs.google.com/spreadsheets/d/14Bd19lYaqBhU8_DElYkX7l4wRkHqqCUFNJY4AfY3kHU/edit?usp=sharing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5" s="7" t="s">
        <v>29</v>
      </c>
    </row>
    <row r="9516" spans="1:10" ht="13.2">
      <c r="A9516" s="7">
        <v>9515</v>
      </c>
      <c r="B9516" s="7">
        <v>1</v>
      </c>
      <c r="C9516" s="7" t="s">
        <v>10</v>
      </c>
      <c r="D9516" s="7">
        <v>11347</v>
      </c>
      <c r="E9516" s="7" t="s">
        <v>28</v>
      </c>
      <c r="F9516" s="8" t="str">
        <f ca="1">IFERROR(__xludf.DUMMYFUNCTION("IF
(
C9517=""фізична особа""
,
VLOOKUP(D9517,IMPORTRANGE(""https://docs.google.com/spreadsheets/d/14Bd19lYaqBhU8_DElYkX7l4wRkHqqCUFNJY4AfY3kHU/edit?usp=sharing  #gid=0"",""фіз особи new!relations_name""),6,FALSE)
,
(IF
(
C9517=""юридична особа""
,
VLOOKUP"&amp;"(D9517,IMPORTRANGE(""https://docs.google.com/spreadsheets/d/14Bd19lYaqBhU8_DElYkX7l4wRkHqqCUFNJY4AfY3kHU/edit?usp=sharing  #gid=0"",""фіз особи new!relations_name_uo""),7,FALSE)
,
)
))"),"ЄРОЩЕНКО В'ячеслав Юрійович")</f>
        <v>ЄРОЩЕНКО В'ячеслав Юрійович</v>
      </c>
      <c r="G9516" s="7" t="s">
        <v>10</v>
      </c>
      <c r="H9516" s="7">
        <v>3167</v>
      </c>
      <c r="I9516" s="8" t="str">
        <f ca="1">IFERROR(__xludf.DUMMYFUNCTION("IF
(
G9517=""фізична особа""
,
VLOOKUP(H9517,IMPORTRANGE(""https://docs.google.com/spreadsheets/d/14Bd19lYaqBhU8_DElYkX7l4wRkHqqCUFNJY4AfY3kHU/edit?usp=sharing  #gid=0"",""фіз особи new!relations_name""),6,FALSE)
,
(IF
(
G9517=""юридична особа""
,
VLOOKUP"&amp;"(H9517,IMPORTRANGE(""https://docs.google.com/spreadsheets/d/14Bd19lYaqBhU8_DElYkX7l4wRkHqqCUFNJY4AfY3kHU/edit?usp=sharing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6" s="7" t="s">
        <v>29</v>
      </c>
    </row>
    <row r="9517" spans="1:10" ht="13.2">
      <c r="A9517" s="7">
        <v>9516</v>
      </c>
      <c r="B9517" s="7">
        <v>1</v>
      </c>
      <c r="C9517" s="7" t="s">
        <v>10</v>
      </c>
      <c r="D9517" s="7">
        <v>11348</v>
      </c>
      <c r="E9517" s="7" t="s">
        <v>28</v>
      </c>
      <c r="F9517" s="8" t="str">
        <f ca="1">IFERROR(__xludf.DUMMYFUNCTION("IF
(
C9518=""фізична особа""
,
VLOOKUP(D9518,IMPORTRANGE(""https://docs.google.com/spreadsheets/d/14Bd19lYaqBhU8_DElYkX7l4wRkHqqCUFNJY4AfY3kHU/edit?usp=sharing  #gid=0"",""фіз особи new!relations_name""),6,FALSE)
,
(IF
(
C9518=""юридична особа""
,
VLOOKUP"&amp;"(D9518,IMPORTRANGE(""https://docs.google.com/spreadsheets/d/14Bd19lYaqBhU8_DElYkX7l4wRkHqqCUFNJY4AfY3kHU/edit?usp=sharing  #gid=0"",""фіз особи new!relations_name_uo""),7,FALSE)
,
)
))"),"ЄВДОКІМОВ Дмитро Миколайович")</f>
        <v>ЄВДОКІМОВ Дмитро Миколайович</v>
      </c>
      <c r="G9517" s="7" t="s">
        <v>10</v>
      </c>
      <c r="H9517" s="7">
        <v>3167</v>
      </c>
      <c r="I9517" s="8" t="str">
        <f ca="1">IFERROR(__xludf.DUMMYFUNCTION("IF
(
G9518=""фізична особа""
,
VLOOKUP(H9518,IMPORTRANGE(""https://docs.google.com/spreadsheets/d/14Bd19lYaqBhU8_DElYkX7l4wRkHqqCUFNJY4AfY3kHU/edit?usp=sharing  #gid=0"",""фіз особи new!relations_name""),6,FALSE)
,
(IF
(
G9518=""юридична особа""
,
VLOOKUP"&amp;"(H9518,IMPORTRANGE(""https://docs.google.com/spreadsheets/d/14Bd19lYaqBhU8_DElYkX7l4wRkHqqCUFNJY4AfY3kHU/edit?usp=sharing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7" s="7" t="s">
        <v>29</v>
      </c>
    </row>
    <row r="9518" spans="1:10" ht="13.2">
      <c r="A9518" s="7">
        <v>9517</v>
      </c>
      <c r="B9518" s="7">
        <v>1</v>
      </c>
      <c r="C9518" s="7" t="s">
        <v>10</v>
      </c>
      <c r="D9518" s="7">
        <v>11349</v>
      </c>
      <c r="E9518" s="7" t="s">
        <v>28</v>
      </c>
      <c r="F9518" s="8" t="str">
        <f ca="1">IFERROR(__xludf.DUMMYFUNCTION("IF
(
C9519=""фізична особа""
,
VLOOKUP(D9519,IMPORTRANGE(""https://docs.google.com/spreadsheets/d/14Bd19lYaqBhU8_DElYkX7l4wRkHqqCUFNJY4AfY3kHU/edit?usp=sharing  #gid=0"",""фіз особи new!relations_name""),6,FALSE)
,
(IF
(
C9519=""юридична особа""
,
VLOOKUP"&amp;"(D9519,IMPORTRANGE(""https://docs.google.com/spreadsheets/d/14Bd19lYaqBhU8_DElYkX7l4wRkHqqCUFNJY4AfY3kHU/edit?usp=sharing  #gid=0"",""фіз особи new!relations_name_uo""),7,FALSE)
,
)
))"),"ПАЙВІНА Тетяна Миколаївна")</f>
        <v>ПАЙВІНА Тетяна Миколаївна</v>
      </c>
      <c r="G9518" s="7" t="s">
        <v>10</v>
      </c>
      <c r="H9518" s="7">
        <v>3167</v>
      </c>
      <c r="I9518" s="8" t="str">
        <f ca="1">IFERROR(__xludf.DUMMYFUNCTION("IF
(
G9519=""фізична особа""
,
VLOOKUP(H9519,IMPORTRANGE(""https://docs.google.com/spreadsheets/d/14Bd19lYaqBhU8_DElYkX7l4wRkHqqCUFNJY4AfY3kHU/edit?usp=sharing  #gid=0"",""фіз особи new!relations_name""),6,FALSE)
,
(IF
(
G9519=""юридична особа""
,
VLOOKUP"&amp;"(H9519,IMPORTRANGE(""https://docs.google.com/spreadsheets/d/14Bd19lYaqBhU8_DElYkX7l4wRkHqqCUFNJY4AfY3kHU/edit?usp=sharing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8" s="7" t="s">
        <v>29</v>
      </c>
    </row>
    <row r="9519" spans="1:10" ht="13.2">
      <c r="A9519" s="7">
        <v>9518</v>
      </c>
      <c r="B9519" s="7">
        <v>1</v>
      </c>
      <c r="C9519" s="7" t="s">
        <v>10</v>
      </c>
      <c r="D9519" s="7">
        <v>11350</v>
      </c>
      <c r="E9519" s="7" t="s">
        <v>28</v>
      </c>
      <c r="F9519" s="8" t="str">
        <f ca="1">IFERROR(__xludf.DUMMYFUNCTION("IF
(
C9520=""фізична особа""
,
VLOOKUP(D9520,IMPORTRANGE(""https://docs.google.com/spreadsheets/d/14Bd19lYaqBhU8_DElYkX7l4wRkHqqCUFNJY4AfY3kHU/edit?usp=sharing  #gid=0"",""фіз особи new!relations_name""),6,FALSE)
,
(IF
(
C9520=""юридична особа""
,
VLOOKUP"&amp;"(D9520,IMPORTRANGE(""https://docs.google.com/spreadsheets/d/14Bd19lYaqBhU8_DElYkX7l4wRkHqqCUFNJY4AfY3kHU/edit?usp=sharing  #gid=0"",""фіз особи new!relations_name_uo""),7,FALSE)
,
)
))"),"СЕНАТОРОВА Тетяна Миколаївна")</f>
        <v>СЕНАТОРОВА Тетяна Миколаївна</v>
      </c>
      <c r="G9519" s="7" t="s">
        <v>10</v>
      </c>
      <c r="H9519" s="7">
        <v>3167</v>
      </c>
      <c r="I9519" s="8" t="str">
        <f ca="1">IFERROR(__xludf.DUMMYFUNCTION("IF
(
G9520=""фізична особа""
,
VLOOKUP(H9520,IMPORTRANGE(""https://docs.google.com/spreadsheets/d/14Bd19lYaqBhU8_DElYkX7l4wRkHqqCUFNJY4AfY3kHU/edit?usp=sharing  #gid=0"",""фіз особи new!relations_name""),6,FALSE)
,
(IF
(
G9520=""юридична особа""
,
VLOOKUP"&amp;"(H9520,IMPORTRANGE(""https://docs.google.com/spreadsheets/d/14Bd19lYaqBhU8_DElYkX7l4wRkHqqCUFNJY4AfY3kHU/edit?usp=sharing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19" s="7" t="s">
        <v>29</v>
      </c>
    </row>
    <row r="9520" spans="1:10" ht="13.2">
      <c r="A9520" s="7">
        <v>9519</v>
      </c>
      <c r="B9520" s="7">
        <v>1</v>
      </c>
      <c r="C9520" s="7" t="s">
        <v>10</v>
      </c>
      <c r="D9520" s="7">
        <v>11351</v>
      </c>
      <c r="E9520" s="7" t="s">
        <v>28</v>
      </c>
      <c r="F9520" s="8" t="str">
        <f ca="1">IFERROR(__xludf.DUMMYFUNCTION("IF
(
C9521=""фізична особа""
,
VLOOKUP(D9521,IMPORTRANGE(""https://docs.google.com/spreadsheets/d/14Bd19lYaqBhU8_DElYkX7l4wRkHqqCUFNJY4AfY3kHU/edit?usp=sharing  #gid=0"",""фіз особи new!relations_name""),6,FALSE)
,
(IF
(
C9521=""юридична особа""
,
VLOOKUP"&amp;"(D9521,IMPORTRANGE(""https://docs.google.com/spreadsheets/d/14Bd19lYaqBhU8_DElYkX7l4wRkHqqCUFNJY4AfY3kHU/edit?usp=sharing  #gid=0"",""фіз особи new!relations_name_uo""),7,FALSE)
,
)
))"),"СУВОРОВА Світлана Олександрівна")</f>
        <v>СУВОРОВА Світлана Олександрівна</v>
      </c>
      <c r="G9520" s="7" t="s">
        <v>10</v>
      </c>
      <c r="H9520" s="7">
        <v>3167</v>
      </c>
      <c r="I9520" s="8" t="str">
        <f ca="1">IFERROR(__xludf.DUMMYFUNCTION("IF
(
G9521=""фізична особа""
,
VLOOKUP(H9521,IMPORTRANGE(""https://docs.google.com/spreadsheets/d/14Bd19lYaqBhU8_DElYkX7l4wRkHqqCUFNJY4AfY3kHU/edit?usp=sharing  #gid=0"",""фіз особи new!relations_name""),6,FALSE)
,
(IF
(
G9521=""юридична особа""
,
VLOOKUP"&amp;"(H9521,IMPORTRANGE(""https://docs.google.com/spreadsheets/d/14Bd19lYaqBhU8_DElYkX7l4wRkHqqCUFNJY4AfY3kHU/edit?usp=sharing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0" s="7" t="s">
        <v>29</v>
      </c>
    </row>
    <row r="9521" spans="1:10" ht="13.2">
      <c r="A9521" s="7">
        <v>9520</v>
      </c>
      <c r="B9521" s="7">
        <v>1</v>
      </c>
      <c r="C9521" s="7" t="s">
        <v>10</v>
      </c>
      <c r="D9521" s="7">
        <v>11352</v>
      </c>
      <c r="E9521" s="7" t="s">
        <v>28</v>
      </c>
      <c r="F9521" s="8" t="str">
        <f ca="1">IFERROR(__xludf.DUMMYFUNCTION("IF
(
C9522=""фізична особа""
,
VLOOKUP(D9522,IMPORTRANGE(""https://docs.google.com/spreadsheets/d/14Bd19lYaqBhU8_DElYkX7l4wRkHqqCUFNJY4AfY3kHU/edit?usp=sharing  #gid=0"",""фіз особи new!relations_name""),6,FALSE)
,
(IF
(
C9522=""юридична особа""
,
VLOOKUP"&amp;"(D9522,IMPORTRANGE(""https://docs.google.com/spreadsheets/d/14Bd19lYaqBhU8_DElYkX7l4wRkHqqCUFNJY4AfY3kHU/edit?usp=sharing  #gid=0"",""фіз особи new!relations_name_uo""),7,FALSE)
,
)
))"),"ПЕСТОВА Любов Олександрівна")</f>
        <v>ПЕСТОВА Любов Олександрівна</v>
      </c>
      <c r="G9521" s="7" t="s">
        <v>10</v>
      </c>
      <c r="H9521" s="7">
        <v>3167</v>
      </c>
      <c r="I9521" s="8" t="str">
        <f ca="1">IFERROR(__xludf.DUMMYFUNCTION("IF
(
G9522=""фізична особа""
,
VLOOKUP(H9522,IMPORTRANGE(""https://docs.google.com/spreadsheets/d/14Bd19lYaqBhU8_DElYkX7l4wRkHqqCUFNJY4AfY3kHU/edit?usp=sharing  #gid=0"",""фіз особи new!relations_name""),6,FALSE)
,
(IF
(
G9522=""юридична особа""
,
VLOOKUP"&amp;"(H9522,IMPORTRANGE(""https://docs.google.com/spreadsheets/d/14Bd19lYaqBhU8_DElYkX7l4wRkHqqCUFNJY4AfY3kHU/edit?usp=sharing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1" s="7" t="s">
        <v>29</v>
      </c>
    </row>
    <row r="9522" spans="1:10" ht="13.2">
      <c r="A9522" s="7">
        <v>9521</v>
      </c>
      <c r="B9522" s="7">
        <v>1</v>
      </c>
      <c r="C9522" s="7" t="s">
        <v>10</v>
      </c>
      <c r="D9522" s="7">
        <v>11353</v>
      </c>
      <c r="E9522" s="7" t="s">
        <v>28</v>
      </c>
      <c r="F9522" s="8" t="str">
        <f ca="1">IFERROR(__xludf.DUMMYFUNCTION("IF
(
C9523=""фізична особа""
,
VLOOKUP(D9523,IMPORTRANGE(""https://docs.google.com/spreadsheets/d/14Bd19lYaqBhU8_DElYkX7l4wRkHqqCUFNJY4AfY3kHU/edit?usp=sharing  #gid=0"",""фіз особи new!relations_name""),6,FALSE)
,
(IF
(
C9523=""юридична особа""
,
VLOOKUP"&amp;"(D9523,IMPORTRANGE(""https://docs.google.com/spreadsheets/d/14Bd19lYaqBhU8_DElYkX7l4wRkHqqCUFNJY4AfY3kHU/edit?usp=sharing  #gid=0"",""фіз особи new!relations_name_uo""),7,FALSE)
,
)
))"),"ПІЩУЛІНА Надія Вікторівна")</f>
        <v>ПІЩУЛІНА Надія Вікторівна</v>
      </c>
      <c r="G9522" s="7" t="s">
        <v>10</v>
      </c>
      <c r="H9522" s="7">
        <v>3167</v>
      </c>
      <c r="I9522" s="8" t="str">
        <f ca="1">IFERROR(__xludf.DUMMYFUNCTION("IF
(
G9523=""фізична особа""
,
VLOOKUP(H9523,IMPORTRANGE(""https://docs.google.com/spreadsheets/d/14Bd19lYaqBhU8_DElYkX7l4wRkHqqCUFNJY4AfY3kHU/edit?usp=sharing  #gid=0"",""фіз особи new!relations_name""),6,FALSE)
,
(IF
(
G9523=""юридична особа""
,
VLOOKUP"&amp;"(H9523,IMPORTRANGE(""https://docs.google.com/spreadsheets/d/14Bd19lYaqBhU8_DElYkX7l4wRkHqqCUFNJY4AfY3kHU/edit?usp=sharing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2" s="7" t="s">
        <v>29</v>
      </c>
    </row>
    <row r="9523" spans="1:10" ht="13.2">
      <c r="A9523" s="7">
        <v>9522</v>
      </c>
      <c r="B9523" s="7">
        <v>1</v>
      </c>
      <c r="C9523" s="7" t="s">
        <v>10</v>
      </c>
      <c r="D9523" s="7">
        <v>11354</v>
      </c>
      <c r="E9523" s="7" t="s">
        <v>28</v>
      </c>
      <c r="F9523" s="8" t="str">
        <f ca="1">IFERROR(__xludf.DUMMYFUNCTION("IF
(
C9524=""фізична особа""
,
VLOOKUP(D9524,IMPORTRANGE(""https://docs.google.com/spreadsheets/d/14Bd19lYaqBhU8_DElYkX7l4wRkHqqCUFNJY4AfY3kHU/edit?usp=sharing  #gid=0"",""фіз особи new!relations_name""),6,FALSE)
,
(IF
(
C9524=""юридична особа""
,
VLOOKUP"&amp;"(D9524,IMPORTRANGE(""https://docs.google.com/spreadsheets/d/14Bd19lYaqBhU8_DElYkX7l4wRkHqqCUFNJY4AfY3kHU/edit?usp=sharing  #gid=0"",""фіз особи new!relations_name_uo""),7,FALSE)
,
)
))"),"БОНДАРЕНКО Дмитро Васильович")</f>
        <v>БОНДАРЕНКО Дмитро Васильович</v>
      </c>
      <c r="G9523" s="7" t="s">
        <v>10</v>
      </c>
      <c r="H9523" s="7">
        <v>3167</v>
      </c>
      <c r="I9523" s="8" t="str">
        <f ca="1">IFERROR(__xludf.DUMMYFUNCTION("IF
(
G9524=""фізична особа""
,
VLOOKUP(H9524,IMPORTRANGE(""https://docs.google.com/spreadsheets/d/14Bd19lYaqBhU8_DElYkX7l4wRkHqqCUFNJY4AfY3kHU/edit?usp=sharing  #gid=0"",""фіз особи new!relations_name""),6,FALSE)
,
(IF
(
G9524=""юридична особа""
,
VLOOKUP"&amp;"(H9524,IMPORTRANGE(""https://docs.google.com/spreadsheets/d/14Bd19lYaqBhU8_DElYkX7l4wRkHqqCUFNJY4AfY3kHU/edit?usp=sharing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3" s="7" t="s">
        <v>29</v>
      </c>
    </row>
    <row r="9524" spans="1:10" ht="13.2">
      <c r="A9524" s="7">
        <v>9523</v>
      </c>
      <c r="B9524" s="7">
        <v>1</v>
      </c>
      <c r="C9524" s="7" t="s">
        <v>10</v>
      </c>
      <c r="D9524" s="7">
        <v>11355</v>
      </c>
      <c r="E9524" s="7" t="s">
        <v>28</v>
      </c>
      <c r="F9524" s="8" t="str">
        <f ca="1">IFERROR(__xludf.DUMMYFUNCTION("IF
(
C9525=""фізична особа""
,
VLOOKUP(D9525,IMPORTRANGE(""https://docs.google.com/spreadsheets/d/14Bd19lYaqBhU8_DElYkX7l4wRkHqqCUFNJY4AfY3kHU/edit?usp=sharing  #gid=0"",""фіз особи new!relations_name""),6,FALSE)
,
(IF
(
C9525=""юридична особа""
,
VLOOKUP"&amp;"(D9525,IMPORTRANGE(""https://docs.google.com/spreadsheets/d/14Bd19lYaqBhU8_DElYkX7l4wRkHqqCUFNJY4AfY3kHU/edit?usp=sharing  #gid=0"",""фіз особи new!relations_name_uo""),7,FALSE)
,
)
))"),"ЯКОВЛЄВ Олег Володимирович")</f>
        <v>ЯКОВЛЄВ Олег Володимирович</v>
      </c>
      <c r="G9524" s="7" t="s">
        <v>10</v>
      </c>
      <c r="H9524" s="7">
        <v>3167</v>
      </c>
      <c r="I9524" s="8" t="str">
        <f ca="1">IFERROR(__xludf.DUMMYFUNCTION("IF
(
G9525=""фізична особа""
,
VLOOKUP(H9525,IMPORTRANGE(""https://docs.google.com/spreadsheets/d/14Bd19lYaqBhU8_DElYkX7l4wRkHqqCUFNJY4AfY3kHU/edit?usp=sharing  #gid=0"",""фіз особи new!relations_name""),6,FALSE)
,
(IF
(
G9525=""юридична особа""
,
VLOOKUP"&amp;"(H9525,IMPORTRANGE(""https://docs.google.com/spreadsheets/d/14Bd19lYaqBhU8_DElYkX7l4wRkHqqCUFNJY4AfY3kHU/edit?usp=sharing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4" s="7" t="s">
        <v>29</v>
      </c>
    </row>
    <row r="9525" spans="1:10" ht="13.2">
      <c r="A9525" s="7">
        <v>9524</v>
      </c>
      <c r="B9525" s="7">
        <v>1</v>
      </c>
      <c r="C9525" s="7" t="s">
        <v>10</v>
      </c>
      <c r="D9525" s="7">
        <v>11356</v>
      </c>
      <c r="E9525" s="7" t="s">
        <v>28</v>
      </c>
      <c r="F9525" s="8" t="str">
        <f ca="1">IFERROR(__xludf.DUMMYFUNCTION("IF
(
C9526=""фізична особа""
,
VLOOKUP(D9526,IMPORTRANGE(""https://docs.google.com/spreadsheets/d/14Bd19lYaqBhU8_DElYkX7l4wRkHqqCUFNJY4AfY3kHU/edit?usp=sharing  #gid=0"",""фіз особи new!relations_name""),6,FALSE)
,
(IF
(
C9526=""юридична особа""
,
VLOOKUP"&amp;"(D9526,IMPORTRANGE(""https://docs.google.com/spreadsheets/d/14Bd19lYaqBhU8_DElYkX7l4wRkHqqCUFNJY4AfY3kHU/edit?usp=sharing  #gid=0"",""фіз особи new!relations_name_uo""),7,FALSE)
,
)
))"),"ГОРОВЧУК Денис Миколайович")</f>
        <v>ГОРОВЧУК Денис Миколайович</v>
      </c>
      <c r="G9525" s="7" t="s">
        <v>10</v>
      </c>
      <c r="H9525" s="7">
        <v>3167</v>
      </c>
      <c r="I9525" s="8" t="str">
        <f ca="1">IFERROR(__xludf.DUMMYFUNCTION("IF
(
G9526=""фізична особа""
,
VLOOKUP(H9526,IMPORTRANGE(""https://docs.google.com/spreadsheets/d/14Bd19lYaqBhU8_DElYkX7l4wRkHqqCUFNJY4AfY3kHU/edit?usp=sharing  #gid=0"",""фіз особи new!relations_name""),6,FALSE)
,
(IF
(
G9526=""юридична особа""
,
VLOOKUP"&amp;"(H9526,IMPORTRANGE(""https://docs.google.com/spreadsheets/d/14Bd19lYaqBhU8_DElYkX7l4wRkHqqCUFNJY4AfY3kHU/edit?usp=sharing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5" s="7" t="s">
        <v>29</v>
      </c>
    </row>
    <row r="9526" spans="1:10" ht="13.2">
      <c r="A9526" s="7">
        <v>9525</v>
      </c>
      <c r="B9526" s="7">
        <v>1</v>
      </c>
      <c r="C9526" s="7" t="s">
        <v>10</v>
      </c>
      <c r="D9526" s="7">
        <v>11357</v>
      </c>
      <c r="E9526" s="7" t="s">
        <v>28</v>
      </c>
      <c r="F9526" s="8" t="str">
        <f ca="1">IFERROR(__xludf.DUMMYFUNCTION("IF
(
C9527=""фізична особа""
,
VLOOKUP(D9527,IMPORTRANGE(""https://docs.google.com/spreadsheets/d/14Bd19lYaqBhU8_DElYkX7l4wRkHqqCUFNJY4AfY3kHU/edit?usp=sharing  #gid=0"",""фіз особи new!relations_name""),6,FALSE)
,
(IF
(
C9527=""юридична особа""
,
VLOOKUP"&amp;"(D9527,IMPORTRANGE(""https://docs.google.com/spreadsheets/d/14Bd19lYaqBhU8_DElYkX7l4wRkHqqCUFNJY4AfY3kHU/edit?usp=sharing  #gid=0"",""фіз особи new!relations_name_uo""),7,FALSE)
,
)
))"),"МИРОНОВА Катерина Костянтинівна")</f>
        <v>МИРОНОВА Катерина Костянтинівна</v>
      </c>
      <c r="G9526" s="7" t="s">
        <v>10</v>
      </c>
      <c r="H9526" s="7">
        <v>3167</v>
      </c>
      <c r="I9526" s="8" t="str">
        <f ca="1">IFERROR(__xludf.DUMMYFUNCTION("IF
(
G9527=""фізична особа""
,
VLOOKUP(H9527,IMPORTRANGE(""https://docs.google.com/spreadsheets/d/14Bd19lYaqBhU8_DElYkX7l4wRkHqqCUFNJY4AfY3kHU/edit?usp=sharing  #gid=0"",""фіз особи new!relations_name""),6,FALSE)
,
(IF
(
G9527=""юридична особа""
,
VLOOKUP"&amp;"(H9527,IMPORTRANGE(""https://docs.google.com/spreadsheets/d/14Bd19lYaqBhU8_DElYkX7l4wRkHqqCUFNJY4AfY3kHU/edit?usp=sharing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6" s="7" t="s">
        <v>29</v>
      </c>
    </row>
    <row r="9527" spans="1:10" ht="13.2">
      <c r="A9527" s="7">
        <v>9526</v>
      </c>
      <c r="B9527" s="7">
        <v>1</v>
      </c>
      <c r="C9527" s="7" t="s">
        <v>10</v>
      </c>
      <c r="D9527" s="7">
        <v>11358</v>
      </c>
      <c r="E9527" s="7" t="s">
        <v>28</v>
      </c>
      <c r="F9527" s="8" t="str">
        <f ca="1">IFERROR(__xludf.DUMMYFUNCTION("IF
(
C9528=""фізична особа""
,
VLOOKUP(D9528,IMPORTRANGE(""https://docs.google.com/spreadsheets/d/14Bd19lYaqBhU8_DElYkX7l4wRkHqqCUFNJY4AfY3kHU/edit?usp=sharing  #gid=0"",""фіз особи new!relations_name""),6,FALSE)
,
(IF
(
C9528=""юридична особа""
,
VLOOKUP"&amp;"(D9528,IMPORTRANGE(""https://docs.google.com/spreadsheets/d/14Bd19lYaqBhU8_DElYkX7l4wRkHqqCUFNJY4AfY3kHU/edit?usp=sharing  #gid=0"",""фіз особи new!relations_name_uo""),7,FALSE)
,
)
))"),"ІВАХОВ Роман Сергійович")</f>
        <v>ІВАХОВ Роман Сергійович</v>
      </c>
      <c r="G9527" s="7" t="s">
        <v>10</v>
      </c>
      <c r="H9527" s="7">
        <v>3167</v>
      </c>
      <c r="I9527" s="8" t="str">
        <f ca="1">IFERROR(__xludf.DUMMYFUNCTION("IF
(
G9528=""фізична особа""
,
VLOOKUP(H9528,IMPORTRANGE(""https://docs.google.com/spreadsheets/d/14Bd19lYaqBhU8_DElYkX7l4wRkHqqCUFNJY4AfY3kHU/edit?usp=sharing  #gid=0"",""фіз особи new!relations_name""),6,FALSE)
,
(IF
(
G9528=""юридична особа""
,
VLOOKUP"&amp;"(H9528,IMPORTRANGE(""https://docs.google.com/spreadsheets/d/14Bd19lYaqBhU8_DElYkX7l4wRkHqqCUFNJY4AfY3kHU/edit?usp=sharing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7" s="7" t="s">
        <v>29</v>
      </c>
    </row>
    <row r="9528" spans="1:10" ht="13.2">
      <c r="A9528" s="7">
        <v>9527</v>
      </c>
      <c r="B9528" s="7">
        <v>1</v>
      </c>
      <c r="C9528" s="7" t="s">
        <v>10</v>
      </c>
      <c r="D9528" s="7">
        <v>11359</v>
      </c>
      <c r="E9528" s="7" t="s">
        <v>28</v>
      </c>
      <c r="F9528" s="8" t="str">
        <f ca="1">IFERROR(__xludf.DUMMYFUNCTION("IF
(
C9529=""фізична особа""
,
VLOOKUP(D9529,IMPORTRANGE(""https://docs.google.com/spreadsheets/d/14Bd19lYaqBhU8_DElYkX7l4wRkHqqCUFNJY4AfY3kHU/edit?usp=sharing  #gid=0"",""фіз особи new!relations_name""),6,FALSE)
,
(IF
(
C9529=""юридична особа""
,
VLOOKUP"&amp;"(D9529,IMPORTRANGE(""https://docs.google.com/spreadsheets/d/14Bd19lYaqBhU8_DElYkX7l4wRkHqqCUFNJY4AfY3kHU/edit?usp=sharing  #gid=0"",""фіз особи new!relations_name_uo""),7,FALSE)
,
)
))"),"ХИЖНЯК Євгеній Михайлович")</f>
        <v>ХИЖНЯК Євгеній Михайлович</v>
      </c>
      <c r="G9528" s="7" t="s">
        <v>10</v>
      </c>
      <c r="H9528" s="7">
        <v>3167</v>
      </c>
      <c r="I9528" s="8" t="str">
        <f ca="1">IFERROR(__xludf.DUMMYFUNCTION("IF
(
G9529=""фізична особа""
,
VLOOKUP(H9529,IMPORTRANGE(""https://docs.google.com/spreadsheets/d/14Bd19lYaqBhU8_DElYkX7l4wRkHqqCUFNJY4AfY3kHU/edit?usp=sharing  #gid=0"",""фіз особи new!relations_name""),6,FALSE)
,
(IF
(
G9529=""юридична особа""
,
VLOOKUP"&amp;"(H9529,IMPORTRANGE(""https://docs.google.com/spreadsheets/d/14Bd19lYaqBhU8_DElYkX7l4wRkHqqCUFNJY4AfY3kHU/edit?usp=sharing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8" s="7" t="s">
        <v>29</v>
      </c>
    </row>
    <row r="9529" spans="1:10" ht="13.2">
      <c r="A9529" s="7">
        <v>9528</v>
      </c>
      <c r="B9529" s="7">
        <v>1</v>
      </c>
      <c r="C9529" s="7" t="s">
        <v>10</v>
      </c>
      <c r="D9529" s="7">
        <v>11360</v>
      </c>
      <c r="E9529" s="7" t="s">
        <v>28</v>
      </c>
      <c r="F9529" s="8" t="str">
        <f ca="1">IFERROR(__xludf.DUMMYFUNCTION("IF
(
C9530=""фізична особа""
,
VLOOKUP(D9530,IMPORTRANGE(""https://docs.google.com/spreadsheets/d/14Bd19lYaqBhU8_DElYkX7l4wRkHqqCUFNJY4AfY3kHU/edit?usp=sharing  #gid=0"",""фіз особи new!relations_name""),6,FALSE)
,
(IF
(
C9530=""юридична особа""
,
VLOOKUP"&amp;"(D9530,IMPORTRANGE(""https://docs.google.com/spreadsheets/d/14Bd19lYaqBhU8_DElYkX7l4wRkHqqCUFNJY4AfY3kHU/edit?usp=sharing  #gid=0"",""фіз особи new!relations_name_uo""),7,FALSE)
,
)
))"),"САРТАКОВА Наталія Володимирівна")</f>
        <v>САРТАКОВА Наталія Володимирівна</v>
      </c>
      <c r="G9529" s="7" t="s">
        <v>10</v>
      </c>
      <c r="H9529" s="7">
        <v>3167</v>
      </c>
      <c r="I9529" s="8" t="str">
        <f ca="1">IFERROR(__xludf.DUMMYFUNCTION("IF
(
G9530=""фізична особа""
,
VLOOKUP(H9530,IMPORTRANGE(""https://docs.google.com/spreadsheets/d/14Bd19lYaqBhU8_DElYkX7l4wRkHqqCUFNJY4AfY3kHU/edit?usp=sharing  #gid=0"",""фіз особи new!relations_name""),6,FALSE)
,
(IF
(
G9530=""юридична особа""
,
VLOOKUP"&amp;"(H9530,IMPORTRANGE(""https://docs.google.com/spreadsheets/d/14Bd19lYaqBhU8_DElYkX7l4wRkHqqCUFNJY4AfY3kHU/edit?usp=sharing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29" s="7" t="s">
        <v>29</v>
      </c>
    </row>
    <row r="9530" spans="1:10" ht="13.2">
      <c r="A9530" s="7">
        <v>9529</v>
      </c>
      <c r="B9530" s="7">
        <v>1</v>
      </c>
      <c r="C9530" s="7" t="s">
        <v>10</v>
      </c>
      <c r="D9530" s="7">
        <v>11361</v>
      </c>
      <c r="E9530" s="7" t="s">
        <v>28</v>
      </c>
      <c r="F9530" s="8" t="str">
        <f ca="1">IFERROR(__xludf.DUMMYFUNCTION("IF
(
C9531=""фізична особа""
,
VLOOKUP(D9531,IMPORTRANGE(""https://docs.google.com/spreadsheets/d/14Bd19lYaqBhU8_DElYkX7l4wRkHqqCUFNJY4AfY3kHU/edit?usp=sharing  #gid=0"",""фіз особи new!relations_name""),6,FALSE)
,
(IF
(
C9531=""юридична особа""
,
VLOOKUP"&amp;"(D9531,IMPORTRANGE(""https://docs.google.com/spreadsheets/d/14Bd19lYaqBhU8_DElYkX7l4wRkHqqCUFNJY4AfY3kHU/edit?usp=sharing  #gid=0"",""фіз особи new!relations_name_uo""),7,FALSE)
,
)
))"),"ЛОГІНОВА Ганна Іванівна")</f>
        <v>ЛОГІНОВА Ганна Іванівна</v>
      </c>
      <c r="G9530" s="7" t="s">
        <v>10</v>
      </c>
      <c r="H9530" s="7">
        <v>3167</v>
      </c>
      <c r="I9530" s="8" t="str">
        <f ca="1">IFERROR(__xludf.DUMMYFUNCTION("IF
(
G9531=""фізична особа""
,
VLOOKUP(H9531,IMPORTRANGE(""https://docs.google.com/spreadsheets/d/14Bd19lYaqBhU8_DElYkX7l4wRkHqqCUFNJY4AfY3kHU/edit?usp=sharing  #gid=0"",""фіз особи new!relations_name""),6,FALSE)
,
(IF
(
G9531=""юридична особа""
,
VLOOKUP"&amp;"(H9531,IMPORTRANGE(""https://docs.google.com/spreadsheets/d/14Bd19lYaqBhU8_DElYkX7l4wRkHqqCUFNJY4AfY3kHU/edit?usp=sharing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0" s="7" t="s">
        <v>29</v>
      </c>
    </row>
    <row r="9531" spans="1:10" ht="13.2">
      <c r="A9531" s="7">
        <v>9530</v>
      </c>
      <c r="B9531" s="7">
        <v>1</v>
      </c>
      <c r="C9531" s="7" t="s">
        <v>10</v>
      </c>
      <c r="D9531" s="7">
        <v>11362</v>
      </c>
      <c r="E9531" s="7" t="s">
        <v>28</v>
      </c>
      <c r="F9531" s="8" t="str">
        <f ca="1">IFERROR(__xludf.DUMMYFUNCTION("IF
(
C9532=""фізична особа""
,
VLOOKUP(D9532,IMPORTRANGE(""https://docs.google.com/spreadsheets/d/14Bd19lYaqBhU8_DElYkX7l4wRkHqqCUFNJY4AfY3kHU/edit?usp=sharing  #gid=0"",""фіз особи new!relations_name""),6,FALSE)
,
(IF
(
C9532=""юридична особа""
,
VLOOKUP"&amp;"(D9532,IMPORTRANGE(""https://docs.google.com/spreadsheets/d/14Bd19lYaqBhU8_DElYkX7l4wRkHqqCUFNJY4AfY3kHU/edit?usp=sharing  #gid=0"",""фіз особи new!relations_name_uo""),7,FALSE)
,
)
))"),"ГАЛЛЯМОВ Олег Рінатович")</f>
        <v>ГАЛЛЯМОВ Олег Рінатович</v>
      </c>
      <c r="G9531" s="7" t="s">
        <v>10</v>
      </c>
      <c r="H9531" s="7">
        <v>3167</v>
      </c>
      <c r="I9531" s="8" t="str">
        <f ca="1">IFERROR(__xludf.DUMMYFUNCTION("IF
(
G9532=""фізична особа""
,
VLOOKUP(H9532,IMPORTRANGE(""https://docs.google.com/spreadsheets/d/14Bd19lYaqBhU8_DElYkX7l4wRkHqqCUFNJY4AfY3kHU/edit?usp=sharing  #gid=0"",""фіз особи new!relations_name""),6,FALSE)
,
(IF
(
G9532=""юридична особа""
,
VLOOKUP"&amp;"(H9532,IMPORTRANGE(""https://docs.google.com/spreadsheets/d/14Bd19lYaqBhU8_DElYkX7l4wRkHqqCUFNJY4AfY3kHU/edit?usp=sharing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1" s="7" t="s">
        <v>29</v>
      </c>
    </row>
    <row r="9532" spans="1:10" ht="13.2">
      <c r="A9532" s="7">
        <v>9531</v>
      </c>
      <c r="B9532" s="7">
        <v>1</v>
      </c>
      <c r="C9532" s="7" t="s">
        <v>10</v>
      </c>
      <c r="D9532" s="7">
        <v>11363</v>
      </c>
      <c r="E9532" s="7" t="s">
        <v>28</v>
      </c>
      <c r="F9532" s="8" t="str">
        <f ca="1">IFERROR(__xludf.DUMMYFUNCTION("IF
(
C9533=""фізична особа""
,
VLOOKUP(D9533,IMPORTRANGE(""https://docs.google.com/spreadsheets/d/14Bd19lYaqBhU8_DElYkX7l4wRkHqqCUFNJY4AfY3kHU/edit?usp=sharing  #gid=0"",""фіз особи new!relations_name""),6,FALSE)
,
(IF
(
C9533=""юридична особа""
,
VLOOKUP"&amp;"(D9533,IMPORTRANGE(""https://docs.google.com/spreadsheets/d/14Bd19lYaqBhU8_DElYkX7l4wRkHqqCUFNJY4AfY3kHU/edit?usp=sharing  #gid=0"",""фіз особи new!relations_name_uo""),7,FALSE)
,
)
))"),"ЄРШОВ Володимир Анатолійович")</f>
        <v>ЄРШОВ Володимир Анатолійович</v>
      </c>
      <c r="G9532" s="7" t="s">
        <v>10</v>
      </c>
      <c r="H9532" s="7">
        <v>3167</v>
      </c>
      <c r="I9532" s="8" t="str">
        <f ca="1">IFERROR(__xludf.DUMMYFUNCTION("IF
(
G9533=""фізична особа""
,
VLOOKUP(H9533,IMPORTRANGE(""https://docs.google.com/spreadsheets/d/14Bd19lYaqBhU8_DElYkX7l4wRkHqqCUFNJY4AfY3kHU/edit?usp=sharing  #gid=0"",""фіз особи new!relations_name""),6,FALSE)
,
(IF
(
G9533=""юридична особа""
,
VLOOKUP"&amp;"(H9533,IMPORTRANGE(""https://docs.google.com/spreadsheets/d/14Bd19lYaqBhU8_DElYkX7l4wRkHqqCUFNJY4AfY3kHU/edit?usp=sharing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2" s="7" t="s">
        <v>29</v>
      </c>
    </row>
    <row r="9533" spans="1:10" ht="13.2">
      <c r="A9533" s="7">
        <v>9532</v>
      </c>
      <c r="B9533" s="7">
        <v>1</v>
      </c>
      <c r="C9533" s="7" t="s">
        <v>10</v>
      </c>
      <c r="D9533" s="7">
        <v>11364</v>
      </c>
      <c r="E9533" s="7" t="s">
        <v>28</v>
      </c>
      <c r="F9533" s="8" t="str">
        <f ca="1">IFERROR(__xludf.DUMMYFUNCTION("IF
(
C9534=""фізична особа""
,
VLOOKUP(D9534,IMPORTRANGE(""https://docs.google.com/spreadsheets/d/14Bd19lYaqBhU8_DElYkX7l4wRkHqqCUFNJY4AfY3kHU/edit?usp=sharing  #gid=0"",""фіз особи new!relations_name""),6,FALSE)
,
(IF
(
C9534=""юридична особа""
,
VLOOKUP"&amp;"(D9534,IMPORTRANGE(""https://docs.google.com/spreadsheets/d/14Bd19lYaqBhU8_DElYkX7l4wRkHqqCUFNJY4AfY3kHU/edit?usp=sharing  #gid=0"",""фіз особи new!relations_name_uo""),7,FALSE)
,
)
))"),"КОРНІЄНКО Віталій Володимирович")</f>
        <v>КОРНІЄНКО Віталій Володимирович</v>
      </c>
      <c r="G9533" s="7" t="s">
        <v>10</v>
      </c>
      <c r="H9533" s="7">
        <v>3167</v>
      </c>
      <c r="I9533" s="8" t="str">
        <f ca="1">IFERROR(__xludf.DUMMYFUNCTION("IF
(
G9534=""фізична особа""
,
VLOOKUP(H9534,IMPORTRANGE(""https://docs.google.com/spreadsheets/d/14Bd19lYaqBhU8_DElYkX7l4wRkHqqCUFNJY4AfY3kHU/edit?usp=sharing  #gid=0"",""фіз особи new!relations_name""),6,FALSE)
,
(IF
(
G9534=""юридична особа""
,
VLOOKUP"&amp;"(H9534,IMPORTRANGE(""https://docs.google.com/spreadsheets/d/14Bd19lYaqBhU8_DElYkX7l4wRkHqqCUFNJY4AfY3kHU/edit?usp=sharing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3" s="7" t="s">
        <v>29</v>
      </c>
    </row>
    <row r="9534" spans="1:10" ht="13.2">
      <c r="A9534" s="7">
        <v>9533</v>
      </c>
      <c r="B9534" s="7">
        <v>1</v>
      </c>
      <c r="C9534" s="7" t="s">
        <v>10</v>
      </c>
      <c r="D9534" s="7">
        <v>11365</v>
      </c>
      <c r="E9534" s="7" t="s">
        <v>28</v>
      </c>
      <c r="F9534" s="8" t="str">
        <f ca="1">IFERROR(__xludf.DUMMYFUNCTION("IF
(
C9535=""фізична особа""
,
VLOOKUP(D9535,IMPORTRANGE(""https://docs.google.com/spreadsheets/d/14Bd19lYaqBhU8_DElYkX7l4wRkHqqCUFNJY4AfY3kHU/edit?usp=sharing  #gid=0"",""фіз особи new!relations_name""),6,FALSE)
,
(IF
(
C9535=""юридична особа""
,
VLOOKUP"&amp;"(D9535,IMPORTRANGE(""https://docs.google.com/spreadsheets/d/14Bd19lYaqBhU8_DElYkX7l4wRkHqqCUFNJY4AfY3kHU/edit?usp=sharing  #gid=0"",""фіз особи new!relations_name_uo""),7,FALSE)
,
)
))"),"ЗУБЕНКО Сергій Сергійович")</f>
        <v>ЗУБЕНКО Сергій Сергійович</v>
      </c>
      <c r="G9534" s="7" t="s">
        <v>10</v>
      </c>
      <c r="H9534" s="7">
        <v>3167</v>
      </c>
      <c r="I9534" s="8" t="str">
        <f ca="1">IFERROR(__xludf.DUMMYFUNCTION("IF
(
G9535=""фізична особа""
,
VLOOKUP(H9535,IMPORTRANGE(""https://docs.google.com/spreadsheets/d/14Bd19lYaqBhU8_DElYkX7l4wRkHqqCUFNJY4AfY3kHU/edit?usp=sharing  #gid=0"",""фіз особи new!relations_name""),6,FALSE)
,
(IF
(
G9535=""юридична особа""
,
VLOOKUP"&amp;"(H9535,IMPORTRANGE(""https://docs.google.com/spreadsheets/d/14Bd19lYaqBhU8_DElYkX7l4wRkHqqCUFNJY4AfY3kHU/edit?usp=sharing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4" s="7" t="s">
        <v>29</v>
      </c>
    </row>
    <row r="9535" spans="1:10" ht="13.2">
      <c r="A9535" s="7">
        <v>9534</v>
      </c>
      <c r="B9535" s="7">
        <v>1</v>
      </c>
      <c r="C9535" s="7" t="s">
        <v>10</v>
      </c>
      <c r="D9535" s="7">
        <v>11366</v>
      </c>
      <c r="E9535" s="7" t="s">
        <v>28</v>
      </c>
      <c r="F9535" s="8" t="str">
        <f ca="1">IFERROR(__xludf.DUMMYFUNCTION("IF
(
C9536=""фізична особа""
,
VLOOKUP(D9536,IMPORTRANGE(""https://docs.google.com/spreadsheets/d/14Bd19lYaqBhU8_DElYkX7l4wRkHqqCUFNJY4AfY3kHU/edit?usp=sharing  #gid=0"",""фіз особи new!relations_name""),6,FALSE)
,
(IF
(
C9536=""юридична особа""
,
VLOOKUP"&amp;"(D9536,IMPORTRANGE(""https://docs.google.com/spreadsheets/d/14Bd19lYaqBhU8_DElYkX7l4wRkHqqCUFNJY4AfY3kHU/edit?usp=sharing  #gid=0"",""фіз особи new!relations_name_uo""),7,FALSE)
,
)
))"),"СТЕПИЧЕВ Петро Миколайович")</f>
        <v>СТЕПИЧЕВ Петро Миколайович</v>
      </c>
      <c r="G9535" s="7" t="s">
        <v>10</v>
      </c>
      <c r="H9535" s="7">
        <v>3167</v>
      </c>
      <c r="I9535" s="8" t="str">
        <f ca="1">IFERROR(__xludf.DUMMYFUNCTION("IF
(
G9536=""фізична особа""
,
VLOOKUP(H9536,IMPORTRANGE(""https://docs.google.com/spreadsheets/d/14Bd19lYaqBhU8_DElYkX7l4wRkHqqCUFNJY4AfY3kHU/edit?usp=sharing  #gid=0"",""фіз особи new!relations_name""),6,FALSE)
,
(IF
(
G9536=""юридична особа""
,
VLOOKUP"&amp;"(H9536,IMPORTRANGE(""https://docs.google.com/spreadsheets/d/14Bd19lYaqBhU8_DElYkX7l4wRkHqqCUFNJY4AfY3kHU/edit?usp=sharing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5" s="7" t="s">
        <v>29</v>
      </c>
    </row>
    <row r="9536" spans="1:10" ht="13.2">
      <c r="A9536" s="7">
        <v>9535</v>
      </c>
      <c r="B9536" s="7">
        <v>1</v>
      </c>
      <c r="C9536" s="7" t="s">
        <v>10</v>
      </c>
      <c r="D9536" s="7">
        <v>11367</v>
      </c>
      <c r="E9536" s="7" t="s">
        <v>28</v>
      </c>
      <c r="F9536" s="8" t="str">
        <f ca="1">IFERROR(__xludf.DUMMYFUNCTION("IF
(
C9537=""фізична особа""
,
VLOOKUP(D9537,IMPORTRANGE(""https://docs.google.com/spreadsheets/d/14Bd19lYaqBhU8_DElYkX7l4wRkHqqCUFNJY4AfY3kHU/edit?usp=sharing  #gid=0"",""фіз особи new!relations_name""),6,FALSE)
,
(IF
(
C9537=""юридична особа""
,
VLOOKUP"&amp;"(D9537,IMPORTRANGE(""https://docs.google.com/spreadsheets/d/14Bd19lYaqBhU8_DElYkX7l4wRkHqqCUFNJY4AfY3kHU/edit?usp=sharing  #gid=0"",""фіз особи new!relations_name_uo""),7,FALSE)
,
)
))"),"ЧАЙКА Сергій Валерійович")</f>
        <v>ЧАЙКА Сергій Валерійович</v>
      </c>
      <c r="G9536" s="7" t="s">
        <v>10</v>
      </c>
      <c r="H9536" s="7">
        <v>3167</v>
      </c>
      <c r="I9536" s="8" t="str">
        <f ca="1">IFERROR(__xludf.DUMMYFUNCTION("IF
(
G9537=""фізична особа""
,
VLOOKUP(H9537,IMPORTRANGE(""https://docs.google.com/spreadsheets/d/14Bd19lYaqBhU8_DElYkX7l4wRkHqqCUFNJY4AfY3kHU/edit?usp=sharing  #gid=0"",""фіз особи new!relations_name""),6,FALSE)
,
(IF
(
G9537=""юридична особа""
,
VLOOKUP"&amp;"(H9537,IMPORTRANGE(""https://docs.google.com/spreadsheets/d/14Bd19lYaqBhU8_DElYkX7l4wRkHqqCUFNJY4AfY3kHU/edit?usp=sharing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6" s="7" t="s">
        <v>29</v>
      </c>
    </row>
    <row r="9537" spans="1:10" ht="13.2">
      <c r="A9537" s="7">
        <v>9536</v>
      </c>
      <c r="B9537" s="7">
        <v>1</v>
      </c>
      <c r="C9537" s="7" t="s">
        <v>10</v>
      </c>
      <c r="D9537" s="7">
        <v>11368</v>
      </c>
      <c r="E9537" s="7" t="s">
        <v>28</v>
      </c>
      <c r="F9537" s="8" t="str">
        <f ca="1">IFERROR(__xludf.DUMMYFUNCTION("IF
(
C9538=""фізична особа""
,
VLOOKUP(D9538,IMPORTRANGE(""https://docs.google.com/spreadsheets/d/14Bd19lYaqBhU8_DElYkX7l4wRkHqqCUFNJY4AfY3kHU/edit?usp=sharing  #gid=0"",""фіз особи new!relations_name""),6,FALSE)
,
(IF
(
C9538=""юридична особа""
,
VLOOKUP"&amp;"(D9538,IMPORTRANGE(""https://docs.google.com/spreadsheets/d/14Bd19lYaqBhU8_DElYkX7l4wRkHqqCUFNJY4AfY3kHU/edit?usp=sharing  #gid=0"",""фіз особи new!relations_name_uo""),7,FALSE)
,
)
))"),"КОЛОТОВ Сергій Федорович")</f>
        <v>КОЛОТОВ Сергій Федорович</v>
      </c>
      <c r="G9537" s="7" t="s">
        <v>10</v>
      </c>
      <c r="H9537" s="7">
        <v>3167</v>
      </c>
      <c r="I9537" s="8" t="str">
        <f ca="1">IFERROR(__xludf.DUMMYFUNCTION("IF
(
G9538=""фізична особа""
,
VLOOKUP(H9538,IMPORTRANGE(""https://docs.google.com/spreadsheets/d/14Bd19lYaqBhU8_DElYkX7l4wRkHqqCUFNJY4AfY3kHU/edit?usp=sharing  #gid=0"",""фіз особи new!relations_name""),6,FALSE)
,
(IF
(
G9538=""юридична особа""
,
VLOOKUP"&amp;"(H9538,IMPORTRANGE(""https://docs.google.com/spreadsheets/d/14Bd19lYaqBhU8_DElYkX7l4wRkHqqCUFNJY4AfY3kHU/edit?usp=sharing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7" s="7" t="s">
        <v>29</v>
      </c>
    </row>
    <row r="9538" spans="1:10" ht="13.2">
      <c r="A9538" s="7">
        <v>9537</v>
      </c>
      <c r="B9538" s="7">
        <v>1</v>
      </c>
      <c r="C9538" s="7" t="s">
        <v>10</v>
      </c>
      <c r="D9538" s="7">
        <v>11369</v>
      </c>
      <c r="E9538" s="7" t="s">
        <v>28</v>
      </c>
      <c r="F9538" s="8" t="str">
        <f ca="1">IFERROR(__xludf.DUMMYFUNCTION("IF
(
C9539=""фізична особа""
,
VLOOKUP(D9539,IMPORTRANGE(""https://docs.google.com/spreadsheets/d/14Bd19lYaqBhU8_DElYkX7l4wRkHqqCUFNJY4AfY3kHU/edit?usp=sharing  #gid=0"",""фіз особи new!relations_name""),6,FALSE)
,
(IF
(
C9539=""юридична особа""
,
VLOOKUP"&amp;"(D9539,IMPORTRANGE(""https://docs.google.com/spreadsheets/d/14Bd19lYaqBhU8_DElYkX7l4wRkHqqCUFNJY4AfY3kHU/edit?usp=sharing  #gid=0"",""фіз особи new!relations_name_uo""),7,FALSE)
,
)
))"),"ВАНІНА Інна Андріївна")</f>
        <v>ВАНІНА Інна Андріївна</v>
      </c>
      <c r="G9538" s="7" t="s">
        <v>10</v>
      </c>
      <c r="H9538" s="7">
        <v>3167</v>
      </c>
      <c r="I9538" s="8" t="str">
        <f ca="1">IFERROR(__xludf.DUMMYFUNCTION("IF
(
G9539=""фізична особа""
,
VLOOKUP(H9539,IMPORTRANGE(""https://docs.google.com/spreadsheets/d/14Bd19lYaqBhU8_DElYkX7l4wRkHqqCUFNJY4AfY3kHU/edit?usp=sharing  #gid=0"",""фіз особи new!relations_name""),6,FALSE)
,
(IF
(
G9539=""юридична особа""
,
VLOOKUP"&amp;"(H9539,IMPORTRANGE(""https://docs.google.com/spreadsheets/d/14Bd19lYaqBhU8_DElYkX7l4wRkHqqCUFNJY4AfY3kHU/edit?usp=sharing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8" s="7" t="s">
        <v>29</v>
      </c>
    </row>
    <row r="9539" spans="1:10" ht="13.2">
      <c r="A9539" s="7">
        <v>9538</v>
      </c>
      <c r="B9539" s="7">
        <v>1</v>
      </c>
      <c r="C9539" s="7" t="s">
        <v>10</v>
      </c>
      <c r="D9539" s="7">
        <v>11370</v>
      </c>
      <c r="E9539" s="7" t="s">
        <v>28</v>
      </c>
      <c r="F9539" s="8" t="str">
        <f ca="1">IFERROR(__xludf.DUMMYFUNCTION("IF
(
C9540=""фізична особа""
,
VLOOKUP(D9540,IMPORTRANGE(""https://docs.google.com/spreadsheets/d/14Bd19lYaqBhU8_DElYkX7l4wRkHqqCUFNJY4AfY3kHU/edit?usp=sharing  #gid=0"",""фіз особи new!relations_name""),6,FALSE)
,
(IF
(
C9540=""юридична особа""
,
VLOOKUP"&amp;"(D9540,IMPORTRANGE(""https://docs.google.com/spreadsheets/d/14Bd19lYaqBhU8_DElYkX7l4wRkHqqCUFNJY4AfY3kHU/edit?usp=sharing  #gid=0"",""фіз особи new!relations_name_uo""),7,FALSE)
,
)
))"),"МИРОНОВА Олена Володимирівна")</f>
        <v>МИРОНОВА Олена Володимирівна</v>
      </c>
      <c r="G9539" s="7" t="s">
        <v>10</v>
      </c>
      <c r="H9539" s="7">
        <v>3167</v>
      </c>
      <c r="I9539" s="8" t="str">
        <f ca="1">IFERROR(__xludf.DUMMYFUNCTION("IF
(
G9540=""фізична особа""
,
VLOOKUP(H9540,IMPORTRANGE(""https://docs.google.com/spreadsheets/d/14Bd19lYaqBhU8_DElYkX7l4wRkHqqCUFNJY4AfY3kHU/edit?usp=sharing  #gid=0"",""фіз особи new!relations_name""),6,FALSE)
,
(IF
(
G9540=""юридична особа""
,
VLOOKUP"&amp;"(H9540,IMPORTRANGE(""https://docs.google.com/spreadsheets/d/14Bd19lYaqBhU8_DElYkX7l4wRkHqqCUFNJY4AfY3kHU/edit?usp=sharing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39" s="7" t="s">
        <v>29</v>
      </c>
    </row>
    <row r="9540" spans="1:10" ht="13.2">
      <c r="A9540" s="7">
        <v>9539</v>
      </c>
      <c r="B9540" s="7">
        <v>1</v>
      </c>
      <c r="C9540" s="7" t="s">
        <v>10</v>
      </c>
      <c r="D9540" s="7">
        <v>11371</v>
      </c>
      <c r="E9540" s="7" t="s">
        <v>28</v>
      </c>
      <c r="F9540" s="8" t="str">
        <f ca="1">IFERROR(__xludf.DUMMYFUNCTION("IF
(
C9541=""фізична особа""
,
VLOOKUP(D9541,IMPORTRANGE(""https://docs.google.com/spreadsheets/d/14Bd19lYaqBhU8_DElYkX7l4wRkHqqCUFNJY4AfY3kHU/edit?usp=sharing  #gid=0"",""фіз особи new!relations_name""),6,FALSE)
,
(IF
(
C9541=""юридична особа""
,
VLOOKUP"&amp;"(D9541,IMPORTRANGE(""https://docs.google.com/spreadsheets/d/14Bd19lYaqBhU8_DElYkX7l4wRkHqqCUFNJY4AfY3kHU/edit?usp=sharing  #gid=0"",""фіз особи new!relations_name_uo""),7,FALSE)
,
)
))"),"ІВАНОВ Олексій Юрійович")</f>
        <v>ІВАНОВ Олексій Юрійович</v>
      </c>
      <c r="G9540" s="7" t="s">
        <v>10</v>
      </c>
      <c r="H9540" s="7">
        <v>3167</v>
      </c>
      <c r="I9540" s="8" t="str">
        <f ca="1">IFERROR(__xludf.DUMMYFUNCTION("IF
(
G9541=""фізична особа""
,
VLOOKUP(H9541,IMPORTRANGE(""https://docs.google.com/spreadsheets/d/14Bd19lYaqBhU8_DElYkX7l4wRkHqqCUFNJY4AfY3kHU/edit?usp=sharing  #gid=0"",""фіз особи new!relations_name""),6,FALSE)
,
(IF
(
G9541=""юридична особа""
,
VLOOKUP"&amp;"(H9541,IMPORTRANGE(""https://docs.google.com/spreadsheets/d/14Bd19lYaqBhU8_DElYkX7l4wRkHqqCUFNJY4AfY3kHU/edit?usp=sharing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0" s="7" t="s">
        <v>29</v>
      </c>
    </row>
    <row r="9541" spans="1:10" ht="13.2">
      <c r="A9541" s="7">
        <v>9540</v>
      </c>
      <c r="B9541" s="7">
        <v>1</v>
      </c>
      <c r="C9541" s="7" t="s">
        <v>10</v>
      </c>
      <c r="D9541" s="7">
        <v>11372</v>
      </c>
      <c r="E9541" s="7" t="s">
        <v>28</v>
      </c>
      <c r="F9541" s="8" t="str">
        <f ca="1">IFERROR(__xludf.DUMMYFUNCTION("IF
(
C9542=""фізична особа""
,
VLOOKUP(D9542,IMPORTRANGE(""https://docs.google.com/spreadsheets/d/14Bd19lYaqBhU8_DElYkX7l4wRkHqqCUFNJY4AfY3kHU/edit?usp=sharing  #gid=0"",""фіз особи new!relations_name""),6,FALSE)
,
(IF
(
C9542=""юридична особа""
,
VLOOKUP"&amp;"(D9542,IMPORTRANGE(""https://docs.google.com/spreadsheets/d/14Bd19lYaqBhU8_DElYkX7l4wRkHqqCUFNJY4AfY3kHU/edit?usp=sharing  #gid=0"",""фіз особи new!relations_name_uo""),7,FALSE)
,
)
))"),"ХАЙРУТДІНОВ Альберт Маратович")</f>
        <v>ХАЙРУТДІНОВ Альберт Маратович</v>
      </c>
      <c r="G9541" s="7" t="s">
        <v>10</v>
      </c>
      <c r="H9541" s="7">
        <v>3167</v>
      </c>
      <c r="I9541" s="8" t="str">
        <f ca="1">IFERROR(__xludf.DUMMYFUNCTION("IF
(
G9542=""фізична особа""
,
VLOOKUP(H9542,IMPORTRANGE(""https://docs.google.com/spreadsheets/d/14Bd19lYaqBhU8_DElYkX7l4wRkHqqCUFNJY4AfY3kHU/edit?usp=sharing  #gid=0"",""фіз особи new!relations_name""),6,FALSE)
,
(IF
(
G9542=""юридична особа""
,
VLOOKUP"&amp;"(H9542,IMPORTRANGE(""https://docs.google.com/spreadsheets/d/14Bd19lYaqBhU8_DElYkX7l4wRkHqqCUFNJY4AfY3kHU/edit?usp=sharing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1" s="7" t="s">
        <v>29</v>
      </c>
    </row>
    <row r="9542" spans="1:10" ht="13.2">
      <c r="A9542" s="7">
        <v>9541</v>
      </c>
      <c r="B9542" s="7">
        <v>1</v>
      </c>
      <c r="C9542" s="7" t="s">
        <v>10</v>
      </c>
      <c r="D9542" s="7">
        <v>11373</v>
      </c>
      <c r="E9542" s="7" t="s">
        <v>28</v>
      </c>
      <c r="F9542" s="8" t="str">
        <f ca="1">IFERROR(__xludf.DUMMYFUNCTION("IF
(
C9543=""фізична особа""
,
VLOOKUP(D9543,IMPORTRANGE(""https://docs.google.com/spreadsheets/d/14Bd19lYaqBhU8_DElYkX7l4wRkHqqCUFNJY4AfY3kHU/edit?usp=sharing  #gid=0"",""фіз особи new!relations_name""),6,FALSE)
,
(IF
(
C9543=""юридична особа""
,
VLOOKUP"&amp;"(D9543,IMPORTRANGE(""https://docs.google.com/spreadsheets/d/14Bd19lYaqBhU8_DElYkX7l4wRkHqqCUFNJY4AfY3kHU/edit?usp=sharing  #gid=0"",""фіз особи new!relations_name_uo""),7,FALSE)
,
)
))"),"КІНЖАБАЄВ Айвар Азнабаєвич")</f>
        <v>КІНЖАБАЄВ Айвар Азнабаєвич</v>
      </c>
      <c r="G9542" s="7" t="s">
        <v>10</v>
      </c>
      <c r="H9542" s="7">
        <v>3167</v>
      </c>
      <c r="I9542" s="8" t="str">
        <f ca="1">IFERROR(__xludf.DUMMYFUNCTION("IF
(
G9543=""фізична особа""
,
VLOOKUP(H9543,IMPORTRANGE(""https://docs.google.com/spreadsheets/d/14Bd19lYaqBhU8_DElYkX7l4wRkHqqCUFNJY4AfY3kHU/edit?usp=sharing  #gid=0"",""фіз особи new!relations_name""),6,FALSE)
,
(IF
(
G9543=""юридична особа""
,
VLOOKUP"&amp;"(H9543,IMPORTRANGE(""https://docs.google.com/spreadsheets/d/14Bd19lYaqBhU8_DElYkX7l4wRkHqqCUFNJY4AfY3kHU/edit?usp=sharing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2" s="7" t="s">
        <v>29</v>
      </c>
    </row>
    <row r="9543" spans="1:10" ht="13.2">
      <c r="A9543" s="7">
        <v>9542</v>
      </c>
      <c r="B9543" s="7">
        <v>1</v>
      </c>
      <c r="C9543" s="7" t="s">
        <v>10</v>
      </c>
      <c r="D9543" s="7">
        <v>11374</v>
      </c>
      <c r="E9543" s="7" t="s">
        <v>28</v>
      </c>
      <c r="F9543" s="8" t="str">
        <f ca="1">IFERROR(__xludf.DUMMYFUNCTION("IF
(
C9544=""фізична особа""
,
VLOOKUP(D9544,IMPORTRANGE(""https://docs.google.com/spreadsheets/d/14Bd19lYaqBhU8_DElYkX7l4wRkHqqCUFNJY4AfY3kHU/edit?usp=sharing  #gid=0"",""фіз особи new!relations_name""),6,FALSE)
,
(IF
(
C9544=""юридична особа""
,
VLOOKUP"&amp;"(D9544,IMPORTRANGE(""https://docs.google.com/spreadsheets/d/14Bd19lYaqBhU8_DElYkX7l4wRkHqqCUFNJY4AfY3kHU/edit?usp=sharing  #gid=0"",""фіз особи new!relations_name_uo""),7,FALSE)
,
)
))"),"МЕРЕЖНИКОВА Катерина Вікторівна")</f>
        <v>МЕРЕЖНИКОВА Катерина Вікторівна</v>
      </c>
      <c r="G9543" s="7" t="s">
        <v>10</v>
      </c>
      <c r="H9543" s="7">
        <v>3167</v>
      </c>
      <c r="I9543" s="8" t="str">
        <f ca="1">IFERROR(__xludf.DUMMYFUNCTION("IF
(
G9544=""фізична особа""
,
VLOOKUP(H9544,IMPORTRANGE(""https://docs.google.com/spreadsheets/d/14Bd19lYaqBhU8_DElYkX7l4wRkHqqCUFNJY4AfY3kHU/edit?usp=sharing  #gid=0"",""фіз особи new!relations_name""),6,FALSE)
,
(IF
(
G9544=""юридична особа""
,
VLOOKUP"&amp;"(H9544,IMPORTRANGE(""https://docs.google.com/spreadsheets/d/14Bd19lYaqBhU8_DElYkX7l4wRkHqqCUFNJY4AfY3kHU/edit?usp=sharing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3" s="7" t="s">
        <v>29</v>
      </c>
    </row>
    <row r="9544" spans="1:10" ht="13.2">
      <c r="A9544" s="7">
        <v>9543</v>
      </c>
      <c r="B9544" s="7">
        <v>1</v>
      </c>
      <c r="C9544" s="7" t="s">
        <v>10</v>
      </c>
      <c r="D9544" s="7">
        <v>11375</v>
      </c>
      <c r="E9544" s="7" t="s">
        <v>28</v>
      </c>
      <c r="F9544" s="8" t="str">
        <f ca="1">IFERROR(__xludf.DUMMYFUNCTION("IF
(
C9545=""фізична особа""
,
VLOOKUP(D9545,IMPORTRANGE(""https://docs.google.com/spreadsheets/d/14Bd19lYaqBhU8_DElYkX7l4wRkHqqCUFNJY4AfY3kHU/edit?usp=sharing  #gid=0"",""фіз особи new!relations_name""),6,FALSE)
,
(IF
(
C9545=""юридична особа""
,
VLOOKUP"&amp;"(D9545,IMPORTRANGE(""https://docs.google.com/spreadsheets/d/14Bd19lYaqBhU8_DElYkX7l4wRkHqqCUFNJY4AfY3kHU/edit?usp=sharing  #gid=0"",""фіз особи new!relations_name_uo""),7,FALSE)
,
)
))"),"ЄФІМОВ Михайло Юрійович")</f>
        <v>ЄФІМОВ Михайло Юрійович</v>
      </c>
      <c r="G9544" s="7" t="s">
        <v>10</v>
      </c>
      <c r="H9544" s="7">
        <v>3167</v>
      </c>
      <c r="I9544" s="8" t="str">
        <f ca="1">IFERROR(__xludf.DUMMYFUNCTION("IF
(
G9545=""фізична особа""
,
VLOOKUP(H9545,IMPORTRANGE(""https://docs.google.com/spreadsheets/d/14Bd19lYaqBhU8_DElYkX7l4wRkHqqCUFNJY4AfY3kHU/edit?usp=sharing  #gid=0"",""фіз особи new!relations_name""),6,FALSE)
,
(IF
(
G9545=""юридична особа""
,
VLOOKUP"&amp;"(H9545,IMPORTRANGE(""https://docs.google.com/spreadsheets/d/14Bd19lYaqBhU8_DElYkX7l4wRkHqqCUFNJY4AfY3kHU/edit?usp=sharing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4" s="7" t="s">
        <v>29</v>
      </c>
    </row>
    <row r="9545" spans="1:10" ht="13.2">
      <c r="A9545" s="7">
        <v>9544</v>
      </c>
      <c r="B9545" s="7">
        <v>1</v>
      </c>
      <c r="C9545" s="7" t="s">
        <v>10</v>
      </c>
      <c r="D9545" s="7">
        <v>11376</v>
      </c>
      <c r="E9545" s="7" t="s">
        <v>28</v>
      </c>
      <c r="F9545" s="8" t="str">
        <f ca="1">IFERROR(__xludf.DUMMYFUNCTION("IF
(
C9546=""фізична особа""
,
VLOOKUP(D9546,IMPORTRANGE(""https://docs.google.com/spreadsheets/d/14Bd19lYaqBhU8_DElYkX7l4wRkHqqCUFNJY4AfY3kHU/edit?usp=sharing  #gid=0"",""фіз особи new!relations_name""),6,FALSE)
,
(IF
(
C9546=""юридична особа""
,
VLOOKUP"&amp;"(D9546,IMPORTRANGE(""https://docs.google.com/spreadsheets/d/14Bd19lYaqBhU8_DElYkX7l4wRkHqqCUFNJY4AfY3kHU/edit?usp=sharing  #gid=0"",""фіз особи new!relations_name_uo""),7,FALSE)
,
)
))"),"КАРАСОВ Едуард Кельдімуратович")</f>
        <v>КАРАСОВ Едуард Кельдімуратович</v>
      </c>
      <c r="G9545" s="7" t="s">
        <v>10</v>
      </c>
      <c r="H9545" s="7">
        <v>3167</v>
      </c>
      <c r="I9545" s="8" t="str">
        <f ca="1">IFERROR(__xludf.DUMMYFUNCTION("IF
(
G9546=""фізична особа""
,
VLOOKUP(H9546,IMPORTRANGE(""https://docs.google.com/spreadsheets/d/14Bd19lYaqBhU8_DElYkX7l4wRkHqqCUFNJY4AfY3kHU/edit?usp=sharing  #gid=0"",""фіз особи new!relations_name""),6,FALSE)
,
(IF
(
G9546=""юридична особа""
,
VLOOKUP"&amp;"(H9546,IMPORTRANGE(""https://docs.google.com/spreadsheets/d/14Bd19lYaqBhU8_DElYkX7l4wRkHqqCUFNJY4AfY3kHU/edit?usp=sharing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5" s="7" t="s">
        <v>29</v>
      </c>
    </row>
    <row r="9546" spans="1:10" ht="13.2">
      <c r="A9546" s="7">
        <v>9545</v>
      </c>
      <c r="B9546" s="7">
        <v>1</v>
      </c>
      <c r="C9546" s="7" t="s">
        <v>10</v>
      </c>
      <c r="D9546" s="7">
        <v>11377</v>
      </c>
      <c r="E9546" s="7" t="s">
        <v>28</v>
      </c>
      <c r="F9546" s="8" t="str">
        <f ca="1">IFERROR(__xludf.DUMMYFUNCTION("IF
(
C9547=""фізична особа""
,
VLOOKUP(D9547,IMPORTRANGE(""https://docs.google.com/spreadsheets/d/14Bd19lYaqBhU8_DElYkX7l4wRkHqqCUFNJY4AfY3kHU/edit?usp=sharing  #gid=0"",""фіз особи new!relations_name""),6,FALSE)
,
(IF
(
C9547=""юридична особа""
,
VLOOKUP"&amp;"(D9547,IMPORTRANGE(""https://docs.google.com/spreadsheets/d/14Bd19lYaqBhU8_DElYkX7l4wRkHqqCUFNJY4AfY3kHU/edit?usp=sharing  #gid=0"",""фіз особи new!relations_name_uo""),7,FALSE)
,
)
))"),"КОВАЛЬОВ Олександр Сергійович")</f>
        <v>КОВАЛЬОВ Олександр Сергійович</v>
      </c>
      <c r="G9546" s="7" t="s">
        <v>10</v>
      </c>
      <c r="H9546" s="7">
        <v>3167</v>
      </c>
      <c r="I9546" s="8" t="str">
        <f ca="1">IFERROR(__xludf.DUMMYFUNCTION("IF
(
G9547=""фізична особа""
,
VLOOKUP(H9547,IMPORTRANGE(""https://docs.google.com/spreadsheets/d/14Bd19lYaqBhU8_DElYkX7l4wRkHqqCUFNJY4AfY3kHU/edit?usp=sharing  #gid=0"",""фіз особи new!relations_name""),6,FALSE)
,
(IF
(
G9547=""юридична особа""
,
VLOOKUP"&amp;"(H9547,IMPORTRANGE(""https://docs.google.com/spreadsheets/d/14Bd19lYaqBhU8_DElYkX7l4wRkHqqCUFNJY4AfY3kHU/edit?usp=sharing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6" s="7" t="s">
        <v>29</v>
      </c>
    </row>
    <row r="9547" spans="1:10" ht="13.2">
      <c r="A9547" s="7">
        <v>9546</v>
      </c>
      <c r="B9547" s="7">
        <v>1</v>
      </c>
      <c r="C9547" s="7" t="s">
        <v>10</v>
      </c>
      <c r="D9547" s="7">
        <v>11378</v>
      </c>
      <c r="E9547" s="7" t="s">
        <v>28</v>
      </c>
      <c r="F9547" s="8" t="str">
        <f ca="1">IFERROR(__xludf.DUMMYFUNCTION("IF
(
C9548=""фізична особа""
,
VLOOKUP(D9548,IMPORTRANGE(""https://docs.google.com/spreadsheets/d/14Bd19lYaqBhU8_DElYkX7l4wRkHqqCUFNJY4AfY3kHU/edit?usp=sharing  #gid=0"",""фіз особи new!relations_name""),6,FALSE)
,
(IF
(
C9548=""юридична особа""
,
VLOOKUP"&amp;"(D9548,IMPORTRANGE(""https://docs.google.com/spreadsheets/d/14Bd19lYaqBhU8_DElYkX7l4wRkHqqCUFNJY4AfY3kHU/edit?usp=sharing  #gid=0"",""фіз особи new!relations_name_uo""),7,FALSE)
,
)
))"),"ШИДАЄВ Мусіт Лутаєвич")</f>
        <v>ШИДАЄВ Мусіт Лутаєвич</v>
      </c>
      <c r="G9547" s="7" t="s">
        <v>10</v>
      </c>
      <c r="H9547" s="7">
        <v>3167</v>
      </c>
      <c r="I9547" s="8" t="str">
        <f ca="1">IFERROR(__xludf.DUMMYFUNCTION("IF
(
G9548=""фізична особа""
,
VLOOKUP(H9548,IMPORTRANGE(""https://docs.google.com/spreadsheets/d/14Bd19lYaqBhU8_DElYkX7l4wRkHqqCUFNJY4AfY3kHU/edit?usp=sharing  #gid=0"",""фіз особи new!relations_name""),6,FALSE)
,
(IF
(
G9548=""юридична особа""
,
VLOOKUP"&amp;"(H9548,IMPORTRANGE(""https://docs.google.com/spreadsheets/d/14Bd19lYaqBhU8_DElYkX7l4wRkHqqCUFNJY4AfY3kHU/edit?usp=sharing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9547" s="7" t="s">
        <v>29</v>
      </c>
    </row>
    <row r="9548" spans="1:10" ht="13.2">
      <c r="A9548" s="7">
        <v>9547</v>
      </c>
      <c r="B9548" s="7">
        <v>1</v>
      </c>
      <c r="C9548" s="7" t="s">
        <v>10</v>
      </c>
      <c r="D9548" s="7">
        <v>11379</v>
      </c>
      <c r="E9548" s="7" t="s">
        <v>28</v>
      </c>
      <c r="F9548" s="8" t="str">
        <f ca="1">IFERROR(__xludf.DUMMYFUNCTION("IF
(
C9549=""фізична особа""
,
VLOOKUP(D9549,IMPORTRANGE(""https://docs.google.com/spreadsheets/d/14Bd19lYaqBhU8_DElYkX7l4wRkHqqCUFNJY4AfY3kHU/edit?usp=sharing  #gid=0"",""фіз особи new!relations_name""),6,FALSE)
,
(IF
(
C9549=""юридична особа""
,
VLOOKUP"&amp;"(D9549,IMPORTRANGE(""https://docs.google.com/spreadsheets/d/14Bd19lYaqBhU8_DElYkX7l4wRkHqqCUFNJY4AfY3kHU/edit?usp=sharing  #gid=0"",""фіз особи new!relations_name_uo""),7,FALSE)
,
)
))"),"СЕРГЄЄВ Олександр Олександрович")</f>
        <v>СЕРГЄЄВ Олександр Олександрович</v>
      </c>
      <c r="G9548" s="7" t="s">
        <v>10</v>
      </c>
      <c r="H9548" s="7">
        <v>3042</v>
      </c>
      <c r="I9548" s="8" t="str">
        <f ca="1">IFERROR(__xludf.DUMMYFUNCTION("IF
(
G9549=""фізична особа""
,
VLOOKUP(H9549,IMPORTRANGE(""https://docs.google.com/spreadsheets/d/14Bd19lYaqBhU8_DElYkX7l4wRkHqqCUFNJY4AfY3kHU/edit?usp=sharing  #gid=0"",""фіз особи new!relations_name""),6,FALSE)
,
(IF
(
G9549=""юридична особа""
,
VLOOKUP"&amp;"(H9549,IMPORTRANGE(""https://docs.google.com/spreadsheets/d/14Bd19lYaqBhU8_DElYkX7l4wRkHqqCUFNJY4AfY3kHU/edit?usp=sharing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48" s="7" t="s">
        <v>29</v>
      </c>
    </row>
    <row r="9549" spans="1:10" ht="13.2">
      <c r="A9549" s="7">
        <v>9548</v>
      </c>
      <c r="B9549" s="7">
        <v>1</v>
      </c>
      <c r="C9549" s="7" t="s">
        <v>10</v>
      </c>
      <c r="D9549" s="7">
        <v>11380</v>
      </c>
      <c r="E9549" s="7" t="s">
        <v>28</v>
      </c>
      <c r="F9549" s="8" t="str">
        <f ca="1">IFERROR(__xludf.DUMMYFUNCTION("IF
(
C9550=""фізична особа""
,
VLOOKUP(D9550,IMPORTRANGE(""https://docs.google.com/spreadsheets/d/14Bd19lYaqBhU8_DElYkX7l4wRkHqqCUFNJY4AfY3kHU/edit?usp=sharing  #gid=0"",""фіз особи new!relations_name""),6,FALSE)
,
(IF
(
C9550=""юридична особа""
,
VLOOKUP"&amp;"(D9550,IMPORTRANGE(""https://docs.google.com/spreadsheets/d/14Bd19lYaqBhU8_DElYkX7l4wRkHqqCUFNJY4AfY3kHU/edit?usp=sharing  #gid=0"",""фіз особи new!relations_name_uo""),7,FALSE)
,
)
))"),"МЕЩЕРЯКОВ Ігор Валентинович")</f>
        <v>МЕЩЕРЯКОВ Ігор Валентинович</v>
      </c>
      <c r="G9549" s="7" t="s">
        <v>10</v>
      </c>
      <c r="H9549" s="7">
        <v>3115</v>
      </c>
      <c r="I9549" s="8" t="str">
        <f ca="1">IFERROR(__xludf.DUMMYFUNCTION("IF
(
G9550=""фізична особа""
,
VLOOKUP(H9550,IMPORTRANGE(""https://docs.google.com/spreadsheets/d/14Bd19lYaqBhU8_DElYkX7l4wRkHqqCUFNJY4AfY3kHU/edit?usp=sharing  #gid=0"",""фіз особи new!relations_name""),6,FALSE)
,
(IF
(
G9550=""юридична особа""
,
VLOOKUP"&amp;"(H9550,IMPORTRANGE(""https://docs.google.com/spreadsheets/d/14Bd19lYaqBhU8_DElYkX7l4wRkHqqCUFNJY4AfY3kHU/edit?usp=sharing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49" s="7" t="s">
        <v>29</v>
      </c>
    </row>
    <row r="9550" spans="1:10" ht="13.2">
      <c r="A9550" s="7">
        <v>9549</v>
      </c>
      <c r="B9550" s="7">
        <v>1</v>
      </c>
      <c r="C9550" s="7" t="s">
        <v>10</v>
      </c>
      <c r="D9550" s="7">
        <v>11381</v>
      </c>
      <c r="E9550" s="7" t="s">
        <v>28</v>
      </c>
      <c r="F9550" s="8" t="str">
        <f ca="1">IFERROR(__xludf.DUMMYFUNCTION("IF
(
C9551=""фізична особа""
,
VLOOKUP(D9551,IMPORTRANGE(""https://docs.google.com/spreadsheets/d/14Bd19lYaqBhU8_DElYkX7l4wRkHqqCUFNJY4AfY3kHU/edit?usp=sharing  #gid=0"",""фіз особи new!relations_name""),6,FALSE)
,
(IF
(
C9551=""юридична особа""
,
VLOOKUP"&amp;"(D9551,IMPORTRANGE(""https://docs.google.com/spreadsheets/d/14Bd19lYaqBhU8_DElYkX7l4wRkHqqCUFNJY4AfY3kHU/edit?usp=sharing  #gid=0"",""фіз особи new!relations_name_uo""),7,FALSE)
,
)
))"),"ПАЛЕВИЧ Сергій Михайлович")</f>
        <v>ПАЛЕВИЧ Сергій Михайлович</v>
      </c>
      <c r="G9550" s="7" t="s">
        <v>10</v>
      </c>
      <c r="H9550" s="7">
        <v>3115</v>
      </c>
      <c r="I9550" s="8" t="str">
        <f ca="1">IFERROR(__xludf.DUMMYFUNCTION("IF
(
G9551=""фізична особа""
,
VLOOKUP(H9551,IMPORTRANGE(""https://docs.google.com/spreadsheets/d/14Bd19lYaqBhU8_DElYkX7l4wRkHqqCUFNJY4AfY3kHU/edit?usp=sharing  #gid=0"",""фіз особи new!relations_name""),6,FALSE)
,
(IF
(
G9551=""юридична особа""
,
VLOOKUP"&amp;"(H9551,IMPORTRANGE(""https://docs.google.com/spreadsheets/d/14Bd19lYaqBhU8_DElYkX7l4wRkHqqCUFNJY4AfY3kHU/edit?usp=sharing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0" s="7" t="s">
        <v>29</v>
      </c>
    </row>
    <row r="9551" spans="1:10" ht="13.2">
      <c r="A9551" s="7">
        <v>9550</v>
      </c>
      <c r="B9551" s="7">
        <v>1</v>
      </c>
      <c r="C9551" s="7" t="s">
        <v>10</v>
      </c>
      <c r="D9551" s="7">
        <v>11382</v>
      </c>
      <c r="E9551" s="7" t="s">
        <v>28</v>
      </c>
      <c r="F9551" s="8" t="str">
        <f ca="1">IFERROR(__xludf.DUMMYFUNCTION("IF
(
C9552=""фізична особа""
,
VLOOKUP(D9552,IMPORTRANGE(""https://docs.google.com/spreadsheets/d/14Bd19lYaqBhU8_DElYkX7l4wRkHqqCUFNJY4AfY3kHU/edit?usp=sharing  #gid=0"",""фіз особи new!relations_name""),6,FALSE)
,
(IF
(
C9552=""юридична особа""
,
VLOOKUP"&amp;"(D9552,IMPORTRANGE(""https://docs.google.com/spreadsheets/d/14Bd19lYaqBhU8_DElYkX7l4wRkHqqCUFNJY4AfY3kHU/edit?usp=sharing  #gid=0"",""фіз особи new!relations_name_uo""),7,FALSE)
,
)
))"),"МИРОНОВ Андрій Вікторович")</f>
        <v>МИРОНОВ Андрій Вікторович</v>
      </c>
      <c r="G9551" s="7" t="s">
        <v>10</v>
      </c>
      <c r="H9551" s="7">
        <v>3115</v>
      </c>
      <c r="I9551" s="8" t="str">
        <f ca="1">IFERROR(__xludf.DUMMYFUNCTION("IF
(
G9552=""фізична особа""
,
VLOOKUP(H9552,IMPORTRANGE(""https://docs.google.com/spreadsheets/d/14Bd19lYaqBhU8_DElYkX7l4wRkHqqCUFNJY4AfY3kHU/edit?usp=sharing  #gid=0"",""фіз особи new!relations_name""),6,FALSE)
,
(IF
(
G9552=""юридична особа""
,
VLOOKUP"&amp;"(H9552,IMPORTRANGE(""https://docs.google.com/spreadsheets/d/14Bd19lYaqBhU8_DElYkX7l4wRkHqqCUFNJY4AfY3kHU/edit?usp=sharing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1" s="7" t="s">
        <v>29</v>
      </c>
    </row>
    <row r="9552" spans="1:10" ht="13.2">
      <c r="A9552" s="7">
        <v>9551</v>
      </c>
      <c r="B9552" s="7">
        <v>1</v>
      </c>
      <c r="C9552" s="7" t="s">
        <v>10</v>
      </c>
      <c r="D9552" s="7">
        <v>11383</v>
      </c>
      <c r="E9552" s="7" t="s">
        <v>28</v>
      </c>
      <c r="F9552" s="8" t="str">
        <f ca="1">IFERROR(__xludf.DUMMYFUNCTION("IF
(
C9553=""фізична особа""
,
VLOOKUP(D9553,IMPORTRANGE(""https://docs.google.com/spreadsheets/d/14Bd19lYaqBhU8_DElYkX7l4wRkHqqCUFNJY4AfY3kHU/edit?usp=sharing  #gid=0"",""фіз особи new!relations_name""),6,FALSE)
,
(IF
(
C9553=""юридична особа""
,
VLOOKUP"&amp;"(D9553,IMPORTRANGE(""https://docs.google.com/spreadsheets/d/14Bd19lYaqBhU8_DElYkX7l4wRkHqqCUFNJY4AfY3kHU/edit?usp=sharing  #gid=0"",""фіз особи new!relations_name_uo""),7,FALSE)
,
)
))"),"МАШУКОВ Сергій Вікторович")</f>
        <v>МАШУКОВ Сергій Вікторович</v>
      </c>
      <c r="G9552" s="7" t="s">
        <v>10</v>
      </c>
      <c r="H9552" s="7">
        <v>3115</v>
      </c>
      <c r="I9552" s="8" t="str">
        <f ca="1">IFERROR(__xludf.DUMMYFUNCTION("IF
(
G9553=""фізична особа""
,
VLOOKUP(H9553,IMPORTRANGE(""https://docs.google.com/spreadsheets/d/14Bd19lYaqBhU8_DElYkX7l4wRkHqqCUFNJY4AfY3kHU/edit?usp=sharing  #gid=0"",""фіз особи new!relations_name""),6,FALSE)
,
(IF
(
G9553=""юридична особа""
,
VLOOKUP"&amp;"(H9553,IMPORTRANGE(""https://docs.google.com/spreadsheets/d/14Bd19lYaqBhU8_DElYkX7l4wRkHqqCUFNJY4AfY3kHU/edit?usp=sharing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2" s="7" t="s">
        <v>29</v>
      </c>
    </row>
    <row r="9553" spans="1:10" ht="13.2">
      <c r="A9553" s="7">
        <v>9552</v>
      </c>
      <c r="B9553" s="7">
        <v>1</v>
      </c>
      <c r="C9553" s="7" t="s">
        <v>10</v>
      </c>
      <c r="D9553" s="7">
        <v>11384</v>
      </c>
      <c r="E9553" s="7" t="s">
        <v>28</v>
      </c>
      <c r="F9553" s="8" t="str">
        <f ca="1">IFERROR(__xludf.DUMMYFUNCTION("IF
(
C9554=""фізична особа""
,
VLOOKUP(D9554,IMPORTRANGE(""https://docs.google.com/spreadsheets/d/14Bd19lYaqBhU8_DElYkX7l4wRkHqqCUFNJY4AfY3kHU/edit?usp=sharing  #gid=0"",""фіз особи new!relations_name""),6,FALSE)
,
(IF
(
C9554=""юридична особа""
,
VLOOKUP"&amp;"(D9554,IMPORTRANGE(""https://docs.google.com/spreadsheets/d/14Bd19lYaqBhU8_DElYkX7l4wRkHqqCUFNJY4AfY3kHU/edit?usp=sharing  #gid=0"",""фіз особи new!relations_name_uo""),7,FALSE)
,
)
))"),"КУЛЄШОВ Андрій Володимирович")</f>
        <v>КУЛЄШОВ Андрій Володимирович</v>
      </c>
      <c r="G9553" s="7" t="s">
        <v>10</v>
      </c>
      <c r="H9553" s="7">
        <v>3115</v>
      </c>
      <c r="I9553" s="8" t="str">
        <f ca="1">IFERROR(__xludf.DUMMYFUNCTION("IF
(
G9554=""фізична особа""
,
VLOOKUP(H9554,IMPORTRANGE(""https://docs.google.com/spreadsheets/d/14Bd19lYaqBhU8_DElYkX7l4wRkHqqCUFNJY4AfY3kHU/edit?usp=sharing  #gid=0"",""фіз особи new!relations_name""),6,FALSE)
,
(IF
(
G9554=""юридична особа""
,
VLOOKUP"&amp;"(H9554,IMPORTRANGE(""https://docs.google.com/spreadsheets/d/14Bd19lYaqBhU8_DElYkX7l4wRkHqqCUFNJY4AfY3kHU/edit?usp=sharing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3" s="7" t="s">
        <v>29</v>
      </c>
    </row>
    <row r="9554" spans="1:10" ht="13.2">
      <c r="A9554" s="7">
        <v>9553</v>
      </c>
      <c r="B9554" s="7">
        <v>1</v>
      </c>
      <c r="C9554" s="7" t="s">
        <v>10</v>
      </c>
      <c r="D9554" s="7">
        <v>11385</v>
      </c>
      <c r="E9554" s="7" t="s">
        <v>28</v>
      </c>
      <c r="F9554" s="8" t="str">
        <f ca="1">IFERROR(__xludf.DUMMYFUNCTION("IF
(
C9555=""фізична особа""
,
VLOOKUP(D9555,IMPORTRANGE(""https://docs.google.com/spreadsheets/d/14Bd19lYaqBhU8_DElYkX7l4wRkHqqCUFNJY4AfY3kHU/edit?usp=sharing  #gid=0"",""фіз особи new!relations_name""),6,FALSE)
,
(IF
(
C9555=""юридична особа""
,
VLOOKUP"&amp;"(D9555,IMPORTRANGE(""https://docs.google.com/spreadsheets/d/14Bd19lYaqBhU8_DElYkX7l4wRkHqqCUFNJY4AfY3kHU/edit?usp=sharing  #gid=0"",""фіз особи new!relations_name_uo""),7,FALSE)
,
)
))"),"ГАРМАЄВ Василь Петрович")</f>
        <v>ГАРМАЄВ Василь Петрович</v>
      </c>
      <c r="G9554" s="7" t="s">
        <v>10</v>
      </c>
      <c r="H9554" s="7">
        <v>3115</v>
      </c>
      <c r="I9554" s="8" t="str">
        <f ca="1">IFERROR(__xludf.DUMMYFUNCTION("IF
(
G9555=""фізична особа""
,
VLOOKUP(H9555,IMPORTRANGE(""https://docs.google.com/spreadsheets/d/14Bd19lYaqBhU8_DElYkX7l4wRkHqqCUFNJY4AfY3kHU/edit?usp=sharing  #gid=0"",""фіз особи new!relations_name""),6,FALSE)
,
(IF
(
G9555=""юридична особа""
,
VLOOKUP"&amp;"(H9555,IMPORTRANGE(""https://docs.google.com/spreadsheets/d/14Bd19lYaqBhU8_DElYkX7l4wRkHqqCUFNJY4AfY3kHU/edit?usp=sharing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4" s="7" t="s">
        <v>29</v>
      </c>
    </row>
    <row r="9555" spans="1:10" ht="13.2">
      <c r="A9555" s="7">
        <v>9554</v>
      </c>
      <c r="B9555" s="7">
        <v>1</v>
      </c>
      <c r="C9555" s="7" t="s">
        <v>10</v>
      </c>
      <c r="D9555" s="7">
        <v>11386</v>
      </c>
      <c r="E9555" s="7" t="s">
        <v>28</v>
      </c>
      <c r="F9555" s="8" t="str">
        <f ca="1">IFERROR(__xludf.DUMMYFUNCTION("IF
(
C9556=""фізична особа""
,
VLOOKUP(D9556,IMPORTRANGE(""https://docs.google.com/spreadsheets/d/14Bd19lYaqBhU8_DElYkX7l4wRkHqqCUFNJY4AfY3kHU/edit?usp=sharing  #gid=0"",""фіз особи new!relations_name""),6,FALSE)
,
(IF
(
C9556=""юридична особа""
,
VLOOKUP"&amp;"(D9556,IMPORTRANGE(""https://docs.google.com/spreadsheets/d/14Bd19lYaqBhU8_DElYkX7l4wRkHqqCUFNJY4AfY3kHU/edit?usp=sharing  #gid=0"",""фіз особи new!relations_name_uo""),7,FALSE)
,
)
))"),"БАЄВ Олександр Вікторович")</f>
        <v>БАЄВ Олександр Вікторович</v>
      </c>
      <c r="G9555" s="7" t="s">
        <v>10</v>
      </c>
      <c r="H9555" s="7">
        <v>3115</v>
      </c>
      <c r="I9555" s="8" t="str">
        <f ca="1">IFERROR(__xludf.DUMMYFUNCTION("IF
(
G9556=""фізична особа""
,
VLOOKUP(H9556,IMPORTRANGE(""https://docs.google.com/spreadsheets/d/14Bd19lYaqBhU8_DElYkX7l4wRkHqqCUFNJY4AfY3kHU/edit?usp=sharing  #gid=0"",""фіз особи new!relations_name""),6,FALSE)
,
(IF
(
G9556=""юридична особа""
,
VLOOKUP"&amp;"(H9556,IMPORTRANGE(""https://docs.google.com/spreadsheets/d/14Bd19lYaqBhU8_DElYkX7l4wRkHqqCUFNJY4AfY3kHU/edit?usp=sharing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5" s="7" t="s">
        <v>29</v>
      </c>
    </row>
    <row r="9556" spans="1:10" ht="13.2">
      <c r="A9556" s="7">
        <v>9555</v>
      </c>
      <c r="B9556" s="7">
        <v>1</v>
      </c>
      <c r="C9556" s="7" t="s">
        <v>10</v>
      </c>
      <c r="D9556" s="7">
        <v>11387</v>
      </c>
      <c r="E9556" s="7" t="s">
        <v>28</v>
      </c>
      <c r="F9556" s="8" t="str">
        <f ca="1">IFERROR(__xludf.DUMMYFUNCTION("IF
(
C9557=""фізична особа""
,
VLOOKUP(D9557,IMPORTRANGE(""https://docs.google.com/spreadsheets/d/14Bd19lYaqBhU8_DElYkX7l4wRkHqqCUFNJY4AfY3kHU/edit?usp=sharing  #gid=0"",""фіз особи new!relations_name""),6,FALSE)
,
(IF
(
C9557=""юридична особа""
,
VLOOKUP"&amp;"(D9557,IMPORTRANGE(""https://docs.google.com/spreadsheets/d/14Bd19lYaqBhU8_DElYkX7l4wRkHqqCUFNJY4AfY3kHU/edit?usp=sharing  #gid=0"",""фіз особи new!relations_name_uo""),7,FALSE)
,
)
))"),"ПОДКОРИТОВ Олег Миколайович")</f>
        <v>ПОДКОРИТОВ Олег Миколайович</v>
      </c>
      <c r="G9556" s="7" t="s">
        <v>10</v>
      </c>
      <c r="H9556" s="7">
        <v>3115</v>
      </c>
      <c r="I9556" s="8" t="str">
        <f ca="1">IFERROR(__xludf.DUMMYFUNCTION("IF
(
G9557=""фізична особа""
,
VLOOKUP(H9557,IMPORTRANGE(""https://docs.google.com/spreadsheets/d/14Bd19lYaqBhU8_DElYkX7l4wRkHqqCUFNJY4AfY3kHU/edit?usp=sharing  #gid=0"",""фіз особи new!relations_name""),6,FALSE)
,
(IF
(
G9557=""юридична особа""
,
VLOOKUP"&amp;"(H9557,IMPORTRANGE(""https://docs.google.com/spreadsheets/d/14Bd19lYaqBhU8_DElYkX7l4wRkHqqCUFNJY4AfY3kHU/edit?usp=sharing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6" s="7" t="s">
        <v>29</v>
      </c>
    </row>
    <row r="9557" spans="1:10" ht="13.2">
      <c r="A9557" s="7">
        <v>9556</v>
      </c>
      <c r="B9557" s="7">
        <v>1</v>
      </c>
      <c r="C9557" s="7" t="s">
        <v>10</v>
      </c>
      <c r="D9557" s="7">
        <v>11388</v>
      </c>
      <c r="E9557" s="7" t="s">
        <v>28</v>
      </c>
      <c r="F9557" s="8" t="str">
        <f ca="1">IFERROR(__xludf.DUMMYFUNCTION("IF
(
C9558=""фізична особа""
,
VLOOKUP(D9558,IMPORTRANGE(""https://docs.google.com/spreadsheets/d/14Bd19lYaqBhU8_DElYkX7l4wRkHqqCUFNJY4AfY3kHU/edit?usp=sharing  #gid=0"",""фіз особи new!relations_name""),6,FALSE)
,
(IF
(
C9558=""юридична особа""
,
VLOOKUP"&amp;"(D9558,IMPORTRANGE(""https://docs.google.com/spreadsheets/d/14Bd19lYaqBhU8_DElYkX7l4wRkHqqCUFNJY4AfY3kHU/edit?usp=sharing  #gid=0"",""фіз особи new!relations_name_uo""),7,FALSE)
,
)
))"),"ФЕДУЛОВ Владислав Анатолійович")</f>
        <v>ФЕДУЛОВ Владислав Анатолійович</v>
      </c>
      <c r="G9557" s="7" t="s">
        <v>10</v>
      </c>
      <c r="H9557" s="7">
        <v>3115</v>
      </c>
      <c r="I9557" s="8" t="str">
        <f ca="1">IFERROR(__xludf.DUMMYFUNCTION("IF
(
G9558=""фізична особа""
,
VLOOKUP(H9558,IMPORTRANGE(""https://docs.google.com/spreadsheets/d/14Bd19lYaqBhU8_DElYkX7l4wRkHqqCUFNJY4AfY3kHU/edit?usp=sharing  #gid=0"",""фіз особи new!relations_name""),6,FALSE)
,
(IF
(
G9558=""юридична особа""
,
VLOOKUP"&amp;"(H9558,IMPORTRANGE(""https://docs.google.com/spreadsheets/d/14Bd19lYaqBhU8_DElYkX7l4wRkHqqCUFNJY4AfY3kHU/edit?usp=sharing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7" s="7" t="s">
        <v>29</v>
      </c>
    </row>
    <row r="9558" spans="1:10" ht="13.2">
      <c r="A9558" s="7">
        <v>9557</v>
      </c>
      <c r="B9558" s="7">
        <v>1</v>
      </c>
      <c r="C9558" s="7" t="s">
        <v>10</v>
      </c>
      <c r="D9558" s="7">
        <v>11389</v>
      </c>
      <c r="E9558" s="7" t="s">
        <v>28</v>
      </c>
      <c r="F9558" s="8" t="str">
        <f ca="1">IFERROR(__xludf.DUMMYFUNCTION("IF
(
C9559=""фізична особа""
,
VLOOKUP(D9559,IMPORTRANGE(""https://docs.google.com/spreadsheets/d/14Bd19lYaqBhU8_DElYkX7l4wRkHqqCUFNJY4AfY3kHU/edit?usp=sharing  #gid=0"",""фіз особи new!relations_name""),6,FALSE)
,
(IF
(
C9559=""юридична особа""
,
VLOOKUP"&amp;"(D9559,IMPORTRANGE(""https://docs.google.com/spreadsheets/d/14Bd19lYaqBhU8_DElYkX7l4wRkHqqCUFNJY4AfY3kHU/edit?usp=sharing  #gid=0"",""фіз особи new!relations_name_uo""),7,FALSE)
,
)
))"),"ЯКИМОВ Віктор Олександрович")</f>
        <v>ЯКИМОВ Віктор Олександрович</v>
      </c>
      <c r="G9558" s="7" t="s">
        <v>10</v>
      </c>
      <c r="H9558" s="7">
        <v>3115</v>
      </c>
      <c r="I9558" s="8" t="str">
        <f ca="1">IFERROR(__xludf.DUMMYFUNCTION("IF
(
G9559=""фізична особа""
,
VLOOKUP(H9559,IMPORTRANGE(""https://docs.google.com/spreadsheets/d/14Bd19lYaqBhU8_DElYkX7l4wRkHqqCUFNJY4AfY3kHU/edit?usp=sharing  #gid=0"",""фіз особи new!relations_name""),6,FALSE)
,
(IF
(
G9559=""юридична особа""
,
VLOOKUP"&amp;"(H9559,IMPORTRANGE(""https://docs.google.com/spreadsheets/d/14Bd19lYaqBhU8_DElYkX7l4wRkHqqCUFNJY4AfY3kHU/edit?usp=sharing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8" s="7" t="s">
        <v>29</v>
      </c>
    </row>
    <row r="9559" spans="1:10" ht="13.2">
      <c r="A9559" s="7">
        <v>9558</v>
      </c>
      <c r="B9559" s="7">
        <v>1</v>
      </c>
      <c r="C9559" s="7" t="s">
        <v>10</v>
      </c>
      <c r="D9559" s="7">
        <v>11390</v>
      </c>
      <c r="E9559" s="7" t="s">
        <v>28</v>
      </c>
      <c r="F9559" s="8" t="str">
        <f ca="1">IFERROR(__xludf.DUMMYFUNCTION("IF
(
C9560=""фізична особа""
,
VLOOKUP(D9560,IMPORTRANGE(""https://docs.google.com/spreadsheets/d/14Bd19lYaqBhU8_DElYkX7l4wRkHqqCUFNJY4AfY3kHU/edit?usp=sharing  #gid=0"",""фіз особи new!relations_name""),6,FALSE)
,
(IF
(
C9560=""юридична особа""
,
VLOOKUP"&amp;"(D9560,IMPORTRANGE(""https://docs.google.com/spreadsheets/d/14Bd19lYaqBhU8_DElYkX7l4wRkHqqCUFNJY4AfY3kHU/edit?usp=sharing  #gid=0"",""фіз особи new!relations_name_uo""),7,FALSE)
,
)
))"),"ЛЮБЧЕНКОВА Яна Володимирівна")</f>
        <v>ЛЮБЧЕНКОВА Яна Володимирівна</v>
      </c>
      <c r="G9559" s="7" t="s">
        <v>10</v>
      </c>
      <c r="H9559" s="7">
        <v>3115</v>
      </c>
      <c r="I9559" s="8" t="str">
        <f ca="1">IFERROR(__xludf.DUMMYFUNCTION("IF
(
G9560=""фізична особа""
,
VLOOKUP(H9560,IMPORTRANGE(""https://docs.google.com/spreadsheets/d/14Bd19lYaqBhU8_DElYkX7l4wRkHqqCUFNJY4AfY3kHU/edit?usp=sharing  #gid=0"",""фіз особи new!relations_name""),6,FALSE)
,
(IF
(
G9560=""юридична особа""
,
VLOOKUP"&amp;"(H9560,IMPORTRANGE(""https://docs.google.com/spreadsheets/d/14Bd19lYaqBhU8_DElYkX7l4wRkHqqCUFNJY4AfY3kHU/edit?usp=sharing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59" s="7" t="s">
        <v>29</v>
      </c>
    </row>
    <row r="9560" spans="1:10" ht="13.2">
      <c r="A9560" s="7">
        <v>9559</v>
      </c>
      <c r="B9560" s="7">
        <v>1</v>
      </c>
      <c r="C9560" s="7" t="s">
        <v>10</v>
      </c>
      <c r="D9560" s="7">
        <v>11391</v>
      </c>
      <c r="E9560" s="7" t="s">
        <v>28</v>
      </c>
      <c r="F9560" s="8" t="str">
        <f ca="1">IFERROR(__xludf.DUMMYFUNCTION("IF
(
C9561=""фізична особа""
,
VLOOKUP(D9561,IMPORTRANGE(""https://docs.google.com/spreadsheets/d/14Bd19lYaqBhU8_DElYkX7l4wRkHqqCUFNJY4AfY3kHU/edit?usp=sharing  #gid=0"",""фіз особи new!relations_name""),6,FALSE)
,
(IF
(
C9561=""юридична особа""
,
VLOOKUP"&amp;"(D9561,IMPORTRANGE(""https://docs.google.com/spreadsheets/d/14Bd19lYaqBhU8_DElYkX7l4wRkHqqCUFNJY4AfY3kHU/edit?usp=sharing  #gid=0"",""фіз особи new!relations_name_uo""),7,FALSE)
,
)
))"),"ЗАМ'ЯНОВ Ігор Дашеєвич")</f>
        <v>ЗАМ'ЯНОВ Ігор Дашеєвич</v>
      </c>
      <c r="G9560" s="7" t="s">
        <v>10</v>
      </c>
      <c r="H9560" s="7">
        <v>3115</v>
      </c>
      <c r="I9560" s="8" t="str">
        <f ca="1">IFERROR(__xludf.DUMMYFUNCTION("IF
(
G9561=""фізична особа""
,
VLOOKUP(H9561,IMPORTRANGE(""https://docs.google.com/spreadsheets/d/14Bd19lYaqBhU8_DElYkX7l4wRkHqqCUFNJY4AfY3kHU/edit?usp=sharing  #gid=0"",""фіз особи new!relations_name""),6,FALSE)
,
(IF
(
G9561=""юридична особа""
,
VLOOKUP"&amp;"(H9561,IMPORTRANGE(""https://docs.google.com/spreadsheets/d/14Bd19lYaqBhU8_DElYkX7l4wRkHqqCUFNJY4AfY3kHU/edit?usp=sharing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0" s="7" t="s">
        <v>29</v>
      </c>
    </row>
    <row r="9561" spans="1:10" ht="13.2">
      <c r="A9561" s="7">
        <v>9560</v>
      </c>
      <c r="B9561" s="7">
        <v>1</v>
      </c>
      <c r="C9561" s="7" t="s">
        <v>10</v>
      </c>
      <c r="D9561" s="7">
        <v>11392</v>
      </c>
      <c r="E9561" s="7" t="s">
        <v>28</v>
      </c>
      <c r="F9561" s="8" t="str">
        <f ca="1">IFERROR(__xludf.DUMMYFUNCTION("IF
(
C9562=""фізична особа""
,
VLOOKUP(D9562,IMPORTRANGE(""https://docs.google.com/spreadsheets/d/14Bd19lYaqBhU8_DElYkX7l4wRkHqqCUFNJY4AfY3kHU/edit?usp=sharing  #gid=0"",""фіз особи new!relations_name""),6,FALSE)
,
(IF
(
C9562=""юридична особа""
,
VLOOKUP"&amp;"(D9562,IMPORTRANGE(""https://docs.google.com/spreadsheets/d/14Bd19lYaqBhU8_DElYkX7l4wRkHqqCUFNJY4AfY3kHU/edit?usp=sharing  #gid=0"",""фіз особи new!relations_name_uo""),7,FALSE)
,
)
))"),"ЗДАНОВИЧ Дмитро Георгійович")</f>
        <v>ЗДАНОВИЧ Дмитро Георгійович</v>
      </c>
      <c r="G9561" s="7" t="s">
        <v>10</v>
      </c>
      <c r="H9561" s="7">
        <v>3115</v>
      </c>
      <c r="I9561" s="8" t="str">
        <f ca="1">IFERROR(__xludf.DUMMYFUNCTION("IF
(
G9562=""фізична особа""
,
VLOOKUP(H9562,IMPORTRANGE(""https://docs.google.com/spreadsheets/d/14Bd19lYaqBhU8_DElYkX7l4wRkHqqCUFNJY4AfY3kHU/edit?usp=sharing  #gid=0"",""фіз особи new!relations_name""),6,FALSE)
,
(IF
(
G9562=""юридична особа""
,
VLOOKUP"&amp;"(H9562,IMPORTRANGE(""https://docs.google.com/spreadsheets/d/14Bd19lYaqBhU8_DElYkX7l4wRkHqqCUFNJY4AfY3kHU/edit?usp=sharing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1" s="7" t="s">
        <v>29</v>
      </c>
    </row>
    <row r="9562" spans="1:10" ht="13.2">
      <c r="A9562" s="7">
        <v>9561</v>
      </c>
      <c r="B9562" s="7">
        <v>1</v>
      </c>
      <c r="C9562" s="7" t="s">
        <v>10</v>
      </c>
      <c r="D9562" s="7">
        <v>11393</v>
      </c>
      <c r="E9562" s="7" t="s">
        <v>28</v>
      </c>
      <c r="F9562" s="8" t="str">
        <f ca="1">IFERROR(__xludf.DUMMYFUNCTION("IF
(
C9563=""фізична особа""
,
VLOOKUP(D9563,IMPORTRANGE(""https://docs.google.com/spreadsheets/d/14Bd19lYaqBhU8_DElYkX7l4wRkHqqCUFNJY4AfY3kHU/edit?usp=sharing  #gid=0"",""фіз особи new!relations_name""),6,FALSE)
,
(IF
(
C9563=""юридична особа""
,
VLOOKUP"&amp;"(D9563,IMPORTRANGE(""https://docs.google.com/spreadsheets/d/14Bd19lYaqBhU8_DElYkX7l4wRkHqqCUFNJY4AfY3kHU/edit?usp=sharing  #gid=0"",""фіз особи new!relations_name_uo""),7,FALSE)
,
)
))"),"ШВЕДОВ Андрій Володимирович")</f>
        <v>ШВЕДОВ Андрій Володимирович</v>
      </c>
      <c r="G9562" s="7" t="s">
        <v>10</v>
      </c>
      <c r="H9562" s="7">
        <v>3115</v>
      </c>
      <c r="I9562" s="8" t="str">
        <f ca="1">IFERROR(__xludf.DUMMYFUNCTION("IF
(
G9563=""фізична особа""
,
VLOOKUP(H9563,IMPORTRANGE(""https://docs.google.com/spreadsheets/d/14Bd19lYaqBhU8_DElYkX7l4wRkHqqCUFNJY4AfY3kHU/edit?usp=sharing  #gid=0"",""фіз особи new!relations_name""),6,FALSE)
,
(IF
(
G9563=""юридична особа""
,
VLOOKUP"&amp;"(H9563,IMPORTRANGE(""https://docs.google.com/spreadsheets/d/14Bd19lYaqBhU8_DElYkX7l4wRkHqqCUFNJY4AfY3kHU/edit?usp=sharing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2" s="7" t="s">
        <v>29</v>
      </c>
    </row>
    <row r="9563" spans="1:10" ht="13.2">
      <c r="A9563" s="7">
        <v>9562</v>
      </c>
      <c r="B9563" s="7">
        <v>1</v>
      </c>
      <c r="C9563" s="7" t="s">
        <v>10</v>
      </c>
      <c r="D9563" s="7">
        <v>11394</v>
      </c>
      <c r="E9563" s="7" t="s">
        <v>28</v>
      </c>
      <c r="F9563" s="8" t="str">
        <f ca="1">IFERROR(__xludf.DUMMYFUNCTION("IF
(
C9564=""фізична особа""
,
VLOOKUP(D9564,IMPORTRANGE(""https://docs.google.com/spreadsheets/d/14Bd19lYaqBhU8_DElYkX7l4wRkHqqCUFNJY4AfY3kHU/edit?usp=sharing  #gid=0"",""фіз особи new!relations_name""),6,FALSE)
,
(IF
(
C9564=""юридична особа""
,
VLOOKUP"&amp;"(D9564,IMPORTRANGE(""https://docs.google.com/spreadsheets/d/14Bd19lYaqBhU8_DElYkX7l4wRkHqqCUFNJY4AfY3kHU/edit?usp=sharing  #gid=0"",""фіз особи new!relations_name_uo""),7,FALSE)
,
)
))"),"ШАПОВАЛОВ Олег Михайлович")</f>
        <v>ШАПОВАЛОВ Олег Михайлович</v>
      </c>
      <c r="G9563" s="7" t="s">
        <v>10</v>
      </c>
      <c r="H9563" s="7">
        <v>3115</v>
      </c>
      <c r="I9563" s="8" t="str">
        <f ca="1">IFERROR(__xludf.DUMMYFUNCTION("IF
(
G9564=""фізична особа""
,
VLOOKUP(H9564,IMPORTRANGE(""https://docs.google.com/spreadsheets/d/14Bd19lYaqBhU8_DElYkX7l4wRkHqqCUFNJY4AfY3kHU/edit?usp=sharing  #gid=0"",""фіз особи new!relations_name""),6,FALSE)
,
(IF
(
G9564=""юридична особа""
,
VLOOKUP"&amp;"(H9564,IMPORTRANGE(""https://docs.google.com/spreadsheets/d/14Bd19lYaqBhU8_DElYkX7l4wRkHqqCUFNJY4AfY3kHU/edit?usp=sharing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3" s="7" t="s">
        <v>29</v>
      </c>
    </row>
    <row r="9564" spans="1:10" ht="13.2">
      <c r="A9564" s="7">
        <v>9563</v>
      </c>
      <c r="B9564" s="7">
        <v>1</v>
      </c>
      <c r="C9564" s="7" t="s">
        <v>10</v>
      </c>
      <c r="D9564" s="7">
        <v>11395</v>
      </c>
      <c r="E9564" s="7" t="s">
        <v>28</v>
      </c>
      <c r="F9564" s="8" t="str">
        <f ca="1">IFERROR(__xludf.DUMMYFUNCTION("IF
(
C9565=""фізична особа""
,
VLOOKUP(D9565,IMPORTRANGE(""https://docs.google.com/spreadsheets/d/14Bd19lYaqBhU8_DElYkX7l4wRkHqqCUFNJY4AfY3kHU/edit?usp=sharing  #gid=0"",""фіз особи new!relations_name""),6,FALSE)
,
(IF
(
C9565=""юридична особа""
,
VLOOKUP"&amp;"(D9565,IMPORTRANGE(""https://docs.google.com/spreadsheets/d/14Bd19lYaqBhU8_DElYkX7l4wRkHqqCUFNJY4AfY3kHU/edit?usp=sharing  #gid=0"",""фіз особи new!relations_name_uo""),7,FALSE)
,
)
))"),"РАМАЗАНОВ Курбан Гаджійович")</f>
        <v>РАМАЗАНОВ Курбан Гаджійович</v>
      </c>
      <c r="G9564" s="7" t="s">
        <v>10</v>
      </c>
      <c r="H9564" s="7">
        <v>3115</v>
      </c>
      <c r="I9564" s="8" t="str">
        <f ca="1">IFERROR(__xludf.DUMMYFUNCTION("IF
(
G9565=""фізична особа""
,
VLOOKUP(H9565,IMPORTRANGE(""https://docs.google.com/spreadsheets/d/14Bd19lYaqBhU8_DElYkX7l4wRkHqqCUFNJY4AfY3kHU/edit?usp=sharing  #gid=0"",""фіз особи new!relations_name""),6,FALSE)
,
(IF
(
G9565=""юридична особа""
,
VLOOKUP"&amp;"(H9565,IMPORTRANGE(""https://docs.google.com/spreadsheets/d/14Bd19lYaqBhU8_DElYkX7l4wRkHqqCUFNJY4AfY3kHU/edit?usp=sharing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4" s="7" t="s">
        <v>29</v>
      </c>
    </row>
    <row r="9565" spans="1:10" ht="13.2">
      <c r="A9565" s="7">
        <v>9564</v>
      </c>
      <c r="B9565" s="7">
        <v>1</v>
      </c>
      <c r="C9565" s="7" t="s">
        <v>10</v>
      </c>
      <c r="D9565" s="7">
        <v>11396</v>
      </c>
      <c r="E9565" s="7" t="s">
        <v>28</v>
      </c>
      <c r="F9565" s="8" t="str">
        <f ca="1">IFERROR(__xludf.DUMMYFUNCTION("IF
(
C9566=""фізична особа""
,
VLOOKUP(D9566,IMPORTRANGE(""https://docs.google.com/spreadsheets/d/14Bd19lYaqBhU8_DElYkX7l4wRkHqqCUFNJY4AfY3kHU/edit?usp=sharing  #gid=0"",""фіз особи new!relations_name""),6,FALSE)
,
(IF
(
C9566=""юридична особа""
,
VLOOKUP"&amp;"(D9566,IMPORTRANGE(""https://docs.google.com/spreadsheets/d/14Bd19lYaqBhU8_DElYkX7l4wRkHqqCUFNJY4AfY3kHU/edit?usp=sharing  #gid=0"",""фіз особи new!relations_name_uo""),7,FALSE)
,
)
))"),"МАРТИНОВЧЕНКО Віталій Віталійович")</f>
        <v>МАРТИНОВЧЕНКО Віталій Віталійович</v>
      </c>
      <c r="G9565" s="7" t="s">
        <v>10</v>
      </c>
      <c r="H9565" s="7">
        <v>3115</v>
      </c>
      <c r="I9565" s="8" t="str">
        <f ca="1">IFERROR(__xludf.DUMMYFUNCTION("IF
(
G9566=""фізична особа""
,
VLOOKUP(H9566,IMPORTRANGE(""https://docs.google.com/spreadsheets/d/14Bd19lYaqBhU8_DElYkX7l4wRkHqqCUFNJY4AfY3kHU/edit?usp=sharing  #gid=0"",""фіз особи new!relations_name""),6,FALSE)
,
(IF
(
G9566=""юридична особа""
,
VLOOKUP"&amp;"(H9566,IMPORTRANGE(""https://docs.google.com/spreadsheets/d/14Bd19lYaqBhU8_DElYkX7l4wRkHqqCUFNJY4AfY3kHU/edit?usp=sharing  #gid=0"",""фіз особи new!relations_name_uo""),7,FALSE)
,
)
))"),"ДАНКВЕРТ Сергій Олексійович")</f>
        <v>ДАНКВЕРТ Сергій Олексійович</v>
      </c>
      <c r="J9565" s="7" t="s">
        <v>29</v>
      </c>
    </row>
    <row r="9566" spans="1:10" ht="13.2">
      <c r="A9566" s="7">
        <v>9565</v>
      </c>
      <c r="B9566" s="7">
        <v>1</v>
      </c>
      <c r="C9566" s="7" t="s">
        <v>10</v>
      </c>
      <c r="D9566" s="7">
        <v>11397</v>
      </c>
      <c r="E9566" s="7" t="s">
        <v>28</v>
      </c>
      <c r="F9566" s="8" t="str">
        <f ca="1">IFERROR(__xludf.DUMMYFUNCTION("IF
(
C9567=""фізична особа""
,
VLOOKUP(D9567,IMPORTRANGE(""https://docs.google.com/spreadsheets/d/14Bd19lYaqBhU8_DElYkX7l4wRkHqqCUFNJY4AfY3kHU/edit?usp=sharing  #gid=0"",""фіз особи new!relations_name""),6,FALSE)
,
(IF
(
C9567=""юридична особа""
,
VLOOKUP"&amp;"(D9567,IMPORTRANGE(""https://docs.google.com/spreadsheets/d/14Bd19lYaqBhU8_DElYkX7l4wRkHqqCUFNJY4AfY3kHU/edit?usp=sharing  #gid=0"",""фіз особи new!relations_name_uo""),7,FALSE)
,
)
))"),"КІРХАР Наталія В'ячеславівна")</f>
        <v>КІРХАР Наталія В'ячеславівна</v>
      </c>
      <c r="G9566" s="7" t="s">
        <v>10</v>
      </c>
      <c r="H9566" s="7">
        <v>3042</v>
      </c>
      <c r="I9566" s="8" t="str">
        <f ca="1">IFERROR(__xludf.DUMMYFUNCTION("IF
(
G9567=""фізична особа""
,
VLOOKUP(H9567,IMPORTRANGE(""https://docs.google.com/spreadsheets/d/14Bd19lYaqBhU8_DElYkX7l4wRkHqqCUFNJY4AfY3kHU/edit?usp=sharing  #gid=0"",""фіз особи new!relations_name""),6,FALSE)
,
(IF
(
G9567=""юридична особа""
,
VLOOKUP"&amp;"(H9567,IMPORTRANGE(""https://docs.google.com/spreadsheets/d/14Bd19lYaqBhU8_DElYkX7l4wRkHqqCUFNJY4AfY3kHU/edit?usp=sharing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66" s="7" t="s">
        <v>29</v>
      </c>
    </row>
    <row r="9567" spans="1:10" ht="13.2">
      <c r="A9567" s="7">
        <v>9566</v>
      </c>
      <c r="B9567" s="7">
        <v>1</v>
      </c>
      <c r="C9567" s="7" t="s">
        <v>10</v>
      </c>
      <c r="D9567" s="7">
        <v>11398</v>
      </c>
      <c r="E9567" s="7" t="s">
        <v>28</v>
      </c>
      <c r="F9567" s="8" t="str">
        <f ca="1">IFERROR(__xludf.DUMMYFUNCTION("IF
(
C9568=""фізична особа""
,
VLOOKUP(D9568,IMPORTRANGE(""https://docs.google.com/spreadsheets/d/14Bd19lYaqBhU8_DElYkX7l4wRkHqqCUFNJY4AfY3kHU/edit?usp=sharing  #gid=0"",""фіз особи new!relations_name""),6,FALSE)
,
(IF
(
C9568=""юридична особа""
,
VLOOKUP"&amp;"(D9568,IMPORTRANGE(""https://docs.google.com/spreadsheets/d/14Bd19lYaqBhU8_DElYkX7l4wRkHqqCUFNJY4AfY3kHU/edit?usp=sharing  #gid=0"",""фіз особи new!relations_name_uo""),7,FALSE)
,
)
))"),"НІКІФОРОВА Олена Олександрівна")</f>
        <v>НІКІФОРОВА Олена Олександрівна</v>
      </c>
      <c r="G9567" s="7" t="s">
        <v>10</v>
      </c>
      <c r="H9567" s="7">
        <v>3042</v>
      </c>
      <c r="I9567" s="8" t="str">
        <f ca="1">IFERROR(__xludf.DUMMYFUNCTION("IF
(
G9568=""фізична особа""
,
VLOOKUP(H9568,IMPORTRANGE(""https://docs.google.com/spreadsheets/d/14Bd19lYaqBhU8_DElYkX7l4wRkHqqCUFNJY4AfY3kHU/edit?usp=sharing  #gid=0"",""фіз особи new!relations_name""),6,FALSE)
,
(IF
(
G9568=""юридична особа""
,
VLOOKUP"&amp;"(H9568,IMPORTRANGE(""https://docs.google.com/spreadsheets/d/14Bd19lYaqBhU8_DElYkX7l4wRkHqqCUFNJY4AfY3kHU/edit?usp=sharing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67" s="7" t="s">
        <v>29</v>
      </c>
    </row>
    <row r="9568" spans="1:10" ht="13.2">
      <c r="A9568" s="7">
        <v>9567</v>
      </c>
      <c r="B9568" s="7">
        <v>1</v>
      </c>
      <c r="C9568" s="7" t="s">
        <v>10</v>
      </c>
      <c r="D9568" s="7">
        <v>11399</v>
      </c>
      <c r="E9568" s="7" t="s">
        <v>28</v>
      </c>
      <c r="F9568" s="8" t="str">
        <f ca="1">IFERROR(__xludf.DUMMYFUNCTION("IF
(
C9569=""фізична особа""
,
VLOOKUP(D9569,IMPORTRANGE(""https://docs.google.com/spreadsheets/d/14Bd19lYaqBhU8_DElYkX7l4wRkHqqCUFNJY4AfY3kHU/edit?usp=sharing  #gid=0"",""фіз особи new!relations_name""),6,FALSE)
,
(IF
(
C9569=""юридична особа""
,
VLOOKUP"&amp;"(D9569,IMPORTRANGE(""https://docs.google.com/spreadsheets/d/14Bd19lYaqBhU8_DElYkX7l4wRkHqqCUFNJY4AfY3kHU/edit?usp=sharing  #gid=0"",""фіз особи new!relations_name_uo""),7,FALSE)
,
)
))"),"БАШКЕТОВА Наталія Семенівна")</f>
        <v>БАШКЕТОВА Наталія Семенівна</v>
      </c>
      <c r="G9568" s="7" t="s">
        <v>10</v>
      </c>
      <c r="H9568" s="7">
        <v>3042</v>
      </c>
      <c r="I9568" s="8" t="str">
        <f ca="1">IFERROR(__xludf.DUMMYFUNCTION("IF
(
G9569=""фізична особа""
,
VLOOKUP(H9569,IMPORTRANGE(""https://docs.google.com/spreadsheets/d/14Bd19lYaqBhU8_DElYkX7l4wRkHqqCUFNJY4AfY3kHU/edit?usp=sharing  #gid=0"",""фіз особи new!relations_name""),6,FALSE)
,
(IF
(
G9569=""юридична особа""
,
VLOOKUP"&amp;"(H9569,IMPORTRANGE(""https://docs.google.com/spreadsheets/d/14Bd19lYaqBhU8_DElYkX7l4wRkHqqCUFNJY4AfY3kHU/edit?usp=sharing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68" s="7" t="s">
        <v>29</v>
      </c>
    </row>
    <row r="9569" spans="1:10" ht="13.2">
      <c r="A9569" s="7">
        <v>9568</v>
      </c>
      <c r="B9569" s="7">
        <v>1</v>
      </c>
      <c r="C9569" s="7" t="s">
        <v>10</v>
      </c>
      <c r="D9569" s="7">
        <v>11400</v>
      </c>
      <c r="E9569" s="7" t="s">
        <v>28</v>
      </c>
      <c r="F9569" s="8" t="str">
        <f ca="1">IFERROR(__xludf.DUMMYFUNCTION("IF
(
C9570=""фізична особа""
,
VLOOKUP(D9570,IMPORTRANGE(""https://docs.google.com/spreadsheets/d/14Bd19lYaqBhU8_DElYkX7l4wRkHqqCUFNJY4AfY3kHU/edit?usp=sharing  #gid=0"",""фіз особи new!relations_name""),6,FALSE)
,
(IF
(
C9570=""юридична особа""
,
VLOOKUP"&amp;"(D9570,IMPORTRANGE(""https://docs.google.com/spreadsheets/d/14Bd19lYaqBhU8_DElYkX7l4wRkHqqCUFNJY4AfY3kHU/edit?usp=sharing  #gid=0"",""фіз особи new!relations_name_uo""),7,FALSE)
,
)
))"),"ЩУЧИНОВ Леонід Васильович")</f>
        <v>ЩУЧИНОВ Леонід Васильович</v>
      </c>
      <c r="G9569" s="7" t="s">
        <v>10</v>
      </c>
      <c r="H9569" s="7">
        <v>3042</v>
      </c>
      <c r="I9569" s="8" t="str">
        <f ca="1">IFERROR(__xludf.DUMMYFUNCTION("IF
(
G9570=""фізична особа""
,
VLOOKUP(H9570,IMPORTRANGE(""https://docs.google.com/spreadsheets/d/14Bd19lYaqBhU8_DElYkX7l4wRkHqqCUFNJY4AfY3kHU/edit?usp=sharing  #gid=0"",""фіз особи new!relations_name""),6,FALSE)
,
(IF
(
G9570=""юридична особа""
,
VLOOKUP"&amp;"(H9570,IMPORTRANGE(""https://docs.google.com/spreadsheets/d/14Bd19lYaqBhU8_DElYkX7l4wRkHqqCUFNJY4AfY3kHU/edit?usp=sharing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69" s="7" t="s">
        <v>29</v>
      </c>
    </row>
    <row r="9570" spans="1:10" ht="13.2">
      <c r="A9570" s="7">
        <v>9569</v>
      </c>
      <c r="B9570" s="7">
        <v>1</v>
      </c>
      <c r="C9570" s="7" t="s">
        <v>10</v>
      </c>
      <c r="D9570" s="7">
        <v>11401</v>
      </c>
      <c r="E9570" s="7" t="s">
        <v>28</v>
      </c>
      <c r="F9570" s="8" t="str">
        <f ca="1">IFERROR(__xludf.DUMMYFUNCTION("IF
(
C9571=""фізична особа""
,
VLOOKUP(D9571,IMPORTRANGE(""https://docs.google.com/spreadsheets/d/14Bd19lYaqBhU8_DElYkX7l4wRkHqqCUFNJY4AfY3kHU/edit?usp=sharing  #gid=0"",""фіз особи new!relations_name""),6,FALSE)
,
(IF
(
C9571=""юридична особа""
,
VLOOKUP"&amp;"(D9571,IMPORTRANGE(""https://docs.google.com/spreadsheets/d/14Bd19lYaqBhU8_DElYkX7l4wRkHqqCUFNJY4AfY3kHU/edit?usp=sharing  #gid=0"",""фіз особи new!relations_name_uo""),7,FALSE)
,
)
))"),"ВОЛКОВА Любов Олександрівна")</f>
        <v>ВОЛКОВА Любов Олександрівна</v>
      </c>
      <c r="G9570" s="7" t="s">
        <v>10</v>
      </c>
      <c r="H9570" s="7">
        <v>3087</v>
      </c>
      <c r="I9570" s="8" t="str">
        <f ca="1">IFERROR(__xludf.DUMMYFUNCTION("IF
(
G9571=""фізична особа""
,
VLOOKUP(H9571,IMPORTRANGE(""https://docs.google.com/spreadsheets/d/14Bd19lYaqBhU8_DElYkX7l4wRkHqqCUFNJY4AfY3kHU/edit?usp=sharing  #gid=0"",""фіз особи new!relations_name""),6,FALSE)
,
(IF
(
G9571=""юридична особа""
,
VLOOKUP"&amp;"(H9571,IMPORTRANGE(""https://docs.google.com/spreadsheets/d/14Bd19lYaqBhU8_DElYkX7l4wRkHqqCUFNJY4AfY3kHU/edit?usp=sharing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0" s="7" t="s">
        <v>29</v>
      </c>
    </row>
    <row r="9571" spans="1:10" ht="13.2">
      <c r="A9571" s="7">
        <v>9570</v>
      </c>
      <c r="B9571" s="7">
        <v>1</v>
      </c>
      <c r="C9571" s="7" t="s">
        <v>10</v>
      </c>
      <c r="D9571" s="7">
        <v>11402</v>
      </c>
      <c r="E9571" s="7" t="s">
        <v>28</v>
      </c>
      <c r="F9571" s="8" t="str">
        <f ca="1">IFERROR(__xludf.DUMMYFUNCTION("IF
(
C9572=""фізична особа""
,
VLOOKUP(D9572,IMPORTRANGE(""https://docs.google.com/spreadsheets/d/14Bd19lYaqBhU8_DElYkX7l4wRkHqqCUFNJY4AfY3kHU/edit?usp=sharing  #gid=0"",""фіз особи new!relations_name""),6,FALSE)
,
(IF
(
C9572=""юридична особа""
,
VLOOKUP"&amp;"(D9572,IMPORTRANGE(""https://docs.google.com/spreadsheets/d/14Bd19lYaqBhU8_DElYkX7l4wRkHqqCUFNJY4AfY3kHU/edit?usp=sharing  #gid=0"",""фіз особи new!relations_name_uo""),7,FALSE)
,
)
))"),"ДЄЄВА Тетяна Володимирівна")</f>
        <v>ДЄЄВА Тетяна Володимирівна</v>
      </c>
      <c r="G9571" s="7" t="s">
        <v>10</v>
      </c>
      <c r="H9571" s="7">
        <v>3087</v>
      </c>
      <c r="I9571" s="8" t="str">
        <f ca="1">IFERROR(__xludf.DUMMYFUNCTION("IF
(
G9572=""фізична особа""
,
VLOOKUP(H9572,IMPORTRANGE(""https://docs.google.com/spreadsheets/d/14Bd19lYaqBhU8_DElYkX7l4wRkHqqCUFNJY4AfY3kHU/edit?usp=sharing  #gid=0"",""фіз особи new!relations_name""),6,FALSE)
,
(IF
(
G9572=""юридична особа""
,
VLOOKUP"&amp;"(H9572,IMPORTRANGE(""https://docs.google.com/spreadsheets/d/14Bd19lYaqBhU8_DElYkX7l4wRkHqqCUFNJY4AfY3kHU/edit?usp=sharing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1" s="7" t="s">
        <v>29</v>
      </c>
    </row>
    <row r="9572" spans="1:10" ht="13.2">
      <c r="A9572" s="7">
        <v>9571</v>
      </c>
      <c r="B9572" s="7">
        <v>1</v>
      </c>
      <c r="C9572" s="7" t="s">
        <v>10</v>
      </c>
      <c r="D9572" s="7">
        <v>11403</v>
      </c>
      <c r="E9572" s="7" t="s">
        <v>28</v>
      </c>
      <c r="F9572" s="8" t="str">
        <f ca="1">IFERROR(__xludf.DUMMYFUNCTION("IF
(
C9573=""фізична особа""
,
VLOOKUP(D9573,IMPORTRANGE(""https://docs.google.com/spreadsheets/d/14Bd19lYaqBhU8_DElYkX7l4wRkHqqCUFNJY4AfY3kHU/edit?usp=sharing  #gid=0"",""фіз особи new!relations_name""),6,FALSE)
,
(IF
(
C9573=""юридична особа""
,
VLOOKUP"&amp;"(D9573,IMPORTRANGE(""https://docs.google.com/spreadsheets/d/14Bd19lYaqBhU8_DElYkX7l4wRkHqqCUFNJY4AfY3kHU/edit?usp=sharing  #gid=0"",""фіз особи new!relations_name_uo""),7,FALSE)
,
)
))"),"ШАУРІН Олександр Іванович")</f>
        <v>ШАУРІН Олександр Іванович</v>
      </c>
      <c r="G9572" s="7" t="s">
        <v>10</v>
      </c>
      <c r="H9572" s="7">
        <v>3087</v>
      </c>
      <c r="I9572" s="8" t="str">
        <f ca="1">IFERROR(__xludf.DUMMYFUNCTION("IF
(
G9573=""фізична особа""
,
VLOOKUP(H9573,IMPORTRANGE(""https://docs.google.com/spreadsheets/d/14Bd19lYaqBhU8_DElYkX7l4wRkHqqCUFNJY4AfY3kHU/edit?usp=sharing  #gid=0"",""фіз особи new!relations_name""),6,FALSE)
,
(IF
(
G9573=""юридична особа""
,
VLOOKUP"&amp;"(H9573,IMPORTRANGE(""https://docs.google.com/spreadsheets/d/14Bd19lYaqBhU8_DElYkX7l4wRkHqqCUFNJY4AfY3kHU/edit?usp=sharing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2" s="7" t="s">
        <v>29</v>
      </c>
    </row>
    <row r="9573" spans="1:10" ht="13.2">
      <c r="A9573" s="7">
        <v>9572</v>
      </c>
      <c r="B9573" s="7">
        <v>1</v>
      </c>
      <c r="C9573" s="7" t="s">
        <v>10</v>
      </c>
      <c r="D9573" s="7">
        <v>11404</v>
      </c>
      <c r="E9573" s="7" t="s">
        <v>28</v>
      </c>
      <c r="F9573" s="8" t="str">
        <f ca="1">IFERROR(__xludf.DUMMYFUNCTION("IF
(
C9574=""фізична особа""
,
VLOOKUP(D9574,IMPORTRANGE(""https://docs.google.com/spreadsheets/d/14Bd19lYaqBhU8_DElYkX7l4wRkHqqCUFNJY4AfY3kHU/edit?usp=sharing  #gid=0"",""фіз особи new!relations_name""),6,FALSE)
,
(IF
(
C9574=""юридична особа""
,
VLOOKUP"&amp;"(D9574,IMPORTRANGE(""https://docs.google.com/spreadsheets/d/14Bd19lYaqBhU8_DElYkX7l4wRkHqqCUFNJY4AfY3kHU/edit?usp=sharing  #gid=0"",""фіз особи new!relations_name_uo""),7,FALSE)
,
)
))"),"АЛЕКСАНДРОВА Ірина Юріївна")</f>
        <v>АЛЕКСАНДРОВА Ірина Юріївна</v>
      </c>
      <c r="G9573" s="7" t="s">
        <v>10</v>
      </c>
      <c r="H9573" s="7">
        <v>3087</v>
      </c>
      <c r="I9573" s="8" t="str">
        <f ca="1">IFERROR(__xludf.DUMMYFUNCTION("IF
(
G9574=""фізична особа""
,
VLOOKUP(H9574,IMPORTRANGE(""https://docs.google.com/spreadsheets/d/14Bd19lYaqBhU8_DElYkX7l4wRkHqqCUFNJY4AfY3kHU/edit?usp=sharing  #gid=0"",""фіз особи new!relations_name""),6,FALSE)
,
(IF
(
G9574=""юридична особа""
,
VLOOKUP"&amp;"(H9574,IMPORTRANGE(""https://docs.google.com/spreadsheets/d/14Bd19lYaqBhU8_DElYkX7l4wRkHqqCUFNJY4AfY3kHU/edit?usp=sharing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3" s="7" t="s">
        <v>29</v>
      </c>
    </row>
    <row r="9574" spans="1:10" ht="13.2">
      <c r="A9574" s="7">
        <v>9573</v>
      </c>
      <c r="B9574" s="7">
        <v>1</v>
      </c>
      <c r="C9574" s="7" t="s">
        <v>10</v>
      </c>
      <c r="D9574" s="7">
        <v>11405</v>
      </c>
      <c r="E9574" s="7" t="s">
        <v>28</v>
      </c>
      <c r="F9574" s="8" t="str">
        <f ca="1">IFERROR(__xludf.DUMMYFUNCTION("IF
(
C9575=""фізична особа""
,
VLOOKUP(D9575,IMPORTRANGE(""https://docs.google.com/spreadsheets/d/14Bd19lYaqBhU8_DElYkX7l4wRkHqqCUFNJY4AfY3kHU/edit?usp=sharing  #gid=0"",""фіз особи new!relations_name""),6,FALSE)
,
(IF
(
C9575=""юридична особа""
,
VLOOKUP"&amp;"(D9575,IMPORTRANGE(""https://docs.google.com/spreadsheets/d/14Bd19lYaqBhU8_DElYkX7l4wRkHqqCUFNJY4AfY3kHU/edit?usp=sharing  #gid=0"",""фіз особи new!relations_name_uo""),7,FALSE)
,
)
))"),"МАХАЛОВА Ольга Вікторівна")</f>
        <v>МАХАЛОВА Ольга Вікторівна</v>
      </c>
      <c r="G9574" s="7" t="s">
        <v>10</v>
      </c>
      <c r="H9574" s="7">
        <v>3087</v>
      </c>
      <c r="I9574" s="8" t="str">
        <f ca="1">IFERROR(__xludf.DUMMYFUNCTION("IF
(
G9575=""фізична особа""
,
VLOOKUP(H9575,IMPORTRANGE(""https://docs.google.com/spreadsheets/d/14Bd19lYaqBhU8_DElYkX7l4wRkHqqCUFNJY4AfY3kHU/edit?usp=sharing  #gid=0"",""фіз особи new!relations_name""),6,FALSE)
,
(IF
(
G9575=""юридична особа""
,
VLOOKUP"&amp;"(H9575,IMPORTRANGE(""https://docs.google.com/spreadsheets/d/14Bd19lYaqBhU8_DElYkX7l4wRkHqqCUFNJY4AfY3kHU/edit?usp=sharing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4" s="7" t="s">
        <v>29</v>
      </c>
    </row>
    <row r="9575" spans="1:10" ht="13.2">
      <c r="A9575" s="7">
        <v>9574</v>
      </c>
      <c r="B9575" s="7">
        <v>1</v>
      </c>
      <c r="C9575" s="7" t="s">
        <v>10</v>
      </c>
      <c r="D9575" s="7">
        <v>11406</v>
      </c>
      <c r="E9575" s="7" t="s">
        <v>28</v>
      </c>
      <c r="F9575" s="8" t="str">
        <f ca="1">IFERROR(__xludf.DUMMYFUNCTION("IF
(
C9576=""фізична особа""
,
VLOOKUP(D9576,IMPORTRANGE(""https://docs.google.com/spreadsheets/d/14Bd19lYaqBhU8_DElYkX7l4wRkHqqCUFNJY4AfY3kHU/edit?usp=sharing  #gid=0"",""фіз особи new!relations_name""),6,FALSE)
,
(IF
(
C9576=""юридична особа""
,
VLOOKUP"&amp;"(D9576,IMPORTRANGE(""https://docs.google.com/spreadsheets/d/14Bd19lYaqBhU8_DElYkX7l4wRkHqqCUFNJY4AfY3kHU/edit?usp=sharing  #gid=0"",""фіз особи new!relations_name_uo""),7,FALSE)
,
)
))"),"МАЗАЛОВА Олена Володимирівна")</f>
        <v>МАЗАЛОВА Олена Володимирівна</v>
      </c>
      <c r="G9575" s="7" t="s">
        <v>10</v>
      </c>
      <c r="H9575" s="7">
        <v>3087</v>
      </c>
      <c r="I9575" s="8" t="str">
        <f ca="1">IFERROR(__xludf.DUMMYFUNCTION("IF
(
G9576=""фізична особа""
,
VLOOKUP(H9576,IMPORTRANGE(""https://docs.google.com/spreadsheets/d/14Bd19lYaqBhU8_DElYkX7l4wRkHqqCUFNJY4AfY3kHU/edit?usp=sharing  #gid=0"",""фіз особи new!relations_name""),6,FALSE)
,
(IF
(
G9576=""юридична особа""
,
VLOOKUP"&amp;"(H9576,IMPORTRANGE(""https://docs.google.com/spreadsheets/d/14Bd19lYaqBhU8_DElYkX7l4wRkHqqCUFNJY4AfY3kHU/edit?usp=sharing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5" s="7" t="s">
        <v>29</v>
      </c>
    </row>
    <row r="9576" spans="1:10" ht="13.2">
      <c r="A9576" s="7">
        <v>9575</v>
      </c>
      <c r="B9576" s="7">
        <v>1</v>
      </c>
      <c r="C9576" s="7" t="s">
        <v>10</v>
      </c>
      <c r="D9576" s="7">
        <v>11407</v>
      </c>
      <c r="E9576" s="7" t="s">
        <v>28</v>
      </c>
      <c r="F9576" s="8" t="str">
        <f ca="1">IFERROR(__xludf.DUMMYFUNCTION("IF
(
C9577=""фізична особа""
,
VLOOKUP(D9577,IMPORTRANGE(""https://docs.google.com/spreadsheets/d/14Bd19lYaqBhU8_DElYkX7l4wRkHqqCUFNJY4AfY3kHU/edit?usp=sharing  #gid=0"",""фіз особи new!relations_name""),6,FALSE)
,
(IF
(
C9577=""юридична особа""
,
VLOOKUP"&amp;"(D9577,IMPORTRANGE(""https://docs.google.com/spreadsheets/d/14Bd19lYaqBhU8_DElYkX7l4wRkHqqCUFNJY4AfY3kHU/edit?usp=sharing  #gid=0"",""фіз особи new!relations_name_uo""),7,FALSE)
,
)
))"),"КАТЯЄВ Олексій Сергійович")</f>
        <v>КАТЯЄВ Олексій Сергійович</v>
      </c>
      <c r="G9576" s="7" t="s">
        <v>10</v>
      </c>
      <c r="H9576" s="7">
        <v>3087</v>
      </c>
      <c r="I9576" s="8" t="str">
        <f ca="1">IFERROR(__xludf.DUMMYFUNCTION("IF
(
G9577=""фізична особа""
,
VLOOKUP(H9577,IMPORTRANGE(""https://docs.google.com/spreadsheets/d/14Bd19lYaqBhU8_DElYkX7l4wRkHqqCUFNJY4AfY3kHU/edit?usp=sharing  #gid=0"",""фіз особи new!relations_name""),6,FALSE)
,
(IF
(
G9577=""юридична особа""
,
VLOOKUP"&amp;"(H9577,IMPORTRANGE(""https://docs.google.com/spreadsheets/d/14Bd19lYaqBhU8_DElYkX7l4wRkHqqCUFNJY4AfY3kHU/edit?usp=sharing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6" s="7" t="s">
        <v>29</v>
      </c>
    </row>
    <row r="9577" spans="1:10" ht="13.2">
      <c r="A9577" s="7">
        <v>9576</v>
      </c>
      <c r="B9577" s="7">
        <v>1</v>
      </c>
      <c r="C9577" s="7" t="s">
        <v>10</v>
      </c>
      <c r="D9577" s="7">
        <v>11408</v>
      </c>
      <c r="E9577" s="7" t="s">
        <v>28</v>
      </c>
      <c r="F9577" s="8" t="str">
        <f ca="1">IFERROR(__xludf.DUMMYFUNCTION("IF
(
C9578=""фізична особа""
,
VLOOKUP(D9578,IMPORTRANGE(""https://docs.google.com/spreadsheets/d/14Bd19lYaqBhU8_DElYkX7l4wRkHqqCUFNJY4AfY3kHU/edit?usp=sharing  #gid=0"",""фіз особи new!relations_name""),6,FALSE)
,
(IF
(
C9578=""юридична особа""
,
VLOOKUP"&amp;"(D9578,IMPORTRANGE(""https://docs.google.com/spreadsheets/d/14Bd19lYaqBhU8_DElYkX7l4wRkHqqCUFNJY4AfY3kHU/edit?usp=sharing  #gid=0"",""фіз особи new!relations_name_uo""),7,FALSE)
,
)
))"),"МУХАЧЕВ Олександр Володимирович")</f>
        <v>МУХАЧЕВ Олександр Володимирович</v>
      </c>
      <c r="G9577" s="7" t="s">
        <v>10</v>
      </c>
      <c r="H9577" s="7">
        <v>3087</v>
      </c>
      <c r="I9577" s="8" t="str">
        <f ca="1">IFERROR(__xludf.DUMMYFUNCTION("IF
(
G9578=""фізична особа""
,
VLOOKUP(H9578,IMPORTRANGE(""https://docs.google.com/spreadsheets/d/14Bd19lYaqBhU8_DElYkX7l4wRkHqqCUFNJY4AfY3kHU/edit?usp=sharing  #gid=0"",""фіз особи new!relations_name""),6,FALSE)
,
(IF
(
G9578=""юридична особа""
,
VLOOKUP"&amp;"(H9578,IMPORTRANGE(""https://docs.google.com/spreadsheets/d/14Bd19lYaqBhU8_DElYkX7l4wRkHqqCUFNJY4AfY3kHU/edit?usp=sharing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7" s="7" t="s">
        <v>29</v>
      </c>
    </row>
    <row r="9578" spans="1:10" ht="13.2">
      <c r="A9578" s="7">
        <v>9577</v>
      </c>
      <c r="B9578" s="7">
        <v>1</v>
      </c>
      <c r="C9578" s="7" t="s">
        <v>10</v>
      </c>
      <c r="D9578" s="7">
        <v>11409</v>
      </c>
      <c r="E9578" s="7" t="s">
        <v>28</v>
      </c>
      <c r="F9578" s="8" t="str">
        <f ca="1">IFERROR(__xludf.DUMMYFUNCTION("IF
(
C9579=""фізична особа""
,
VLOOKUP(D9579,IMPORTRANGE(""https://docs.google.com/spreadsheets/d/14Bd19lYaqBhU8_DElYkX7l4wRkHqqCUFNJY4AfY3kHU/edit?usp=sharing  #gid=0"",""фіз особи new!relations_name""),6,FALSE)
,
(IF
(
C9579=""юридична особа""
,
VLOOKUP"&amp;"(D9579,IMPORTRANGE(""https://docs.google.com/spreadsheets/d/14Bd19lYaqBhU8_DElYkX7l4wRkHqqCUFNJY4AfY3kHU/edit?usp=sharing  #gid=0"",""фіз особи new!relations_name_uo""),7,FALSE)
,
)
))"),"ПОЛЯНІЧЕВА Олена Євгенівна")</f>
        <v>ПОЛЯНІЧЕВА Олена Євгенівна</v>
      </c>
      <c r="G9578" s="7" t="s">
        <v>10</v>
      </c>
      <c r="H9578" s="7">
        <v>3087</v>
      </c>
      <c r="I9578" s="8" t="str">
        <f ca="1">IFERROR(__xludf.DUMMYFUNCTION("IF
(
G9579=""фізична особа""
,
VLOOKUP(H9579,IMPORTRANGE(""https://docs.google.com/spreadsheets/d/14Bd19lYaqBhU8_DElYkX7l4wRkHqqCUFNJY4AfY3kHU/edit?usp=sharing  #gid=0"",""фіз особи new!relations_name""),6,FALSE)
,
(IF
(
G9579=""юридична особа""
,
VLOOKUP"&amp;"(H9579,IMPORTRANGE(""https://docs.google.com/spreadsheets/d/14Bd19lYaqBhU8_DElYkX7l4wRkHqqCUFNJY4AfY3kHU/edit?usp=sharing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8" s="7" t="s">
        <v>29</v>
      </c>
    </row>
    <row r="9579" spans="1:10" ht="13.2">
      <c r="A9579" s="7">
        <v>9578</v>
      </c>
      <c r="B9579" s="7">
        <v>1</v>
      </c>
      <c r="C9579" s="7" t="s">
        <v>10</v>
      </c>
      <c r="D9579" s="7">
        <v>11410</v>
      </c>
      <c r="E9579" s="7" t="s">
        <v>28</v>
      </c>
      <c r="F9579" s="8" t="str">
        <f ca="1">IFERROR(__xludf.DUMMYFUNCTION("IF
(
C9580=""фізична особа""
,
VLOOKUP(D9580,IMPORTRANGE(""https://docs.google.com/spreadsheets/d/14Bd19lYaqBhU8_DElYkX7l4wRkHqqCUFNJY4AfY3kHU/edit?usp=sharing  #gid=0"",""фіз особи new!relations_name""),6,FALSE)
,
(IF
(
C9580=""юридична особа""
,
VLOOKUP"&amp;"(D9580,IMPORTRANGE(""https://docs.google.com/spreadsheets/d/14Bd19lYaqBhU8_DElYkX7l4wRkHqqCUFNJY4AfY3kHU/edit?usp=sharing  #gid=0"",""фіз особи new!relations_name_uo""),7,FALSE)
,
)
))"),"ТОЛОКО Борис Борисович")</f>
        <v>ТОЛОКО Борис Борисович</v>
      </c>
      <c r="G9579" s="7" t="s">
        <v>10</v>
      </c>
      <c r="H9579" s="7">
        <v>3087</v>
      </c>
      <c r="I9579" s="8" t="str">
        <f ca="1">IFERROR(__xludf.DUMMYFUNCTION("IF
(
G9580=""фізична особа""
,
VLOOKUP(H9580,IMPORTRANGE(""https://docs.google.com/spreadsheets/d/14Bd19lYaqBhU8_DElYkX7l4wRkHqqCUFNJY4AfY3kHU/edit?usp=sharing  #gid=0"",""фіз особи new!relations_name""),6,FALSE)
,
(IF
(
G9580=""юридична особа""
,
VLOOKUP"&amp;"(H9580,IMPORTRANGE(""https://docs.google.com/spreadsheets/d/14Bd19lYaqBhU8_DElYkX7l4wRkHqqCUFNJY4AfY3kHU/edit?usp=sharing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79" s="7" t="s">
        <v>29</v>
      </c>
    </row>
    <row r="9580" spans="1:10" ht="13.2">
      <c r="A9580" s="7">
        <v>9579</v>
      </c>
      <c r="B9580" s="7">
        <v>1</v>
      </c>
      <c r="C9580" s="7" t="s">
        <v>10</v>
      </c>
      <c r="D9580" s="7">
        <v>11411</v>
      </c>
      <c r="E9580" s="7" t="s">
        <v>28</v>
      </c>
      <c r="F9580" s="8" t="str">
        <f ca="1">IFERROR(__xludf.DUMMYFUNCTION("IF
(
C9581=""фізична особа""
,
VLOOKUP(D9581,IMPORTRANGE(""https://docs.google.com/spreadsheets/d/14Bd19lYaqBhU8_DElYkX7l4wRkHqqCUFNJY4AfY3kHU/edit?usp=sharing  #gid=0"",""фіз особи new!relations_name""),6,FALSE)
,
(IF
(
C9581=""юридична особа""
,
VLOOKUP"&amp;"(D9581,IMPORTRANGE(""https://docs.google.com/spreadsheets/d/14Bd19lYaqBhU8_DElYkX7l4wRkHqqCUFNJY4AfY3kHU/edit?usp=sharing  #gid=0"",""фіз особи new!relations_name_uo""),7,FALSE)
,
)
))"),"ШИНАЛІЄВ Тимур Миколайович")</f>
        <v>ШИНАЛІЄВ Тимур Миколайович</v>
      </c>
      <c r="G9580" s="7" t="s">
        <v>10</v>
      </c>
      <c r="H9580" s="7">
        <v>3087</v>
      </c>
      <c r="I9580" s="8" t="str">
        <f ca="1">IFERROR(__xludf.DUMMYFUNCTION("IF
(
G9581=""фізична особа""
,
VLOOKUP(H9581,IMPORTRANGE(""https://docs.google.com/spreadsheets/d/14Bd19lYaqBhU8_DElYkX7l4wRkHqqCUFNJY4AfY3kHU/edit?usp=sharing  #gid=0"",""фіз особи new!relations_name""),6,FALSE)
,
(IF
(
G9581=""юридична особа""
,
VLOOKUP"&amp;"(H9581,IMPORTRANGE(""https://docs.google.com/spreadsheets/d/14Bd19lYaqBhU8_DElYkX7l4wRkHqqCUFNJY4AfY3kHU/edit?usp=sharing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80" s="7" t="s">
        <v>29</v>
      </c>
    </row>
    <row r="9581" spans="1:10" ht="13.2">
      <c r="A9581" s="7">
        <v>9580</v>
      </c>
      <c r="B9581" s="7">
        <v>1</v>
      </c>
      <c r="C9581" s="7" t="s">
        <v>10</v>
      </c>
      <c r="D9581" s="7">
        <v>11412</v>
      </c>
      <c r="E9581" s="7" t="s">
        <v>28</v>
      </c>
      <c r="F9581" s="8" t="str">
        <f ca="1">IFERROR(__xludf.DUMMYFUNCTION("IF
(
C9582=""фізична особа""
,
VLOOKUP(D9582,IMPORTRANGE(""https://docs.google.com/spreadsheets/d/14Bd19lYaqBhU8_DElYkX7l4wRkHqqCUFNJY4AfY3kHU/edit?usp=sharing  #gid=0"",""фіз особи new!relations_name""),6,FALSE)
,
(IF
(
C9582=""юридична особа""
,
VLOOKUP"&amp;"(D9582,IMPORTRANGE(""https://docs.google.com/spreadsheets/d/14Bd19lYaqBhU8_DElYkX7l4wRkHqqCUFNJY4AfY3kHU/edit?usp=sharing  #gid=0"",""фіз особи new!relations_name_uo""),7,FALSE)
,
)
))"),"ГОРОДНІЧЕВ Андрій Олександрович")</f>
        <v>ГОРОДНІЧЕВ Андрій Олександрович</v>
      </c>
      <c r="G9581" s="7" t="s">
        <v>10</v>
      </c>
      <c r="H9581" s="7">
        <v>3087</v>
      </c>
      <c r="I9581" s="8" t="str">
        <f ca="1">IFERROR(__xludf.DUMMYFUNCTION("IF
(
G9582=""фізична особа""
,
VLOOKUP(H9582,IMPORTRANGE(""https://docs.google.com/spreadsheets/d/14Bd19lYaqBhU8_DElYkX7l4wRkHqqCUFNJY4AfY3kHU/edit?usp=sharing  #gid=0"",""фіз особи new!relations_name""),6,FALSE)
,
(IF
(
G9582=""юридична особа""
,
VLOOKUP"&amp;"(H9582,IMPORTRANGE(""https://docs.google.com/spreadsheets/d/14Bd19lYaqBhU8_DElYkX7l4wRkHqqCUFNJY4AfY3kHU/edit?usp=sharing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81" s="7" t="s">
        <v>29</v>
      </c>
    </row>
    <row r="9582" spans="1:10" ht="13.2">
      <c r="A9582" s="7">
        <v>9581</v>
      </c>
      <c r="B9582" s="7">
        <v>1</v>
      </c>
      <c r="C9582" s="7" t="s">
        <v>10</v>
      </c>
      <c r="D9582" s="7">
        <v>11413</v>
      </c>
      <c r="E9582" s="7" t="s">
        <v>28</v>
      </c>
      <c r="F9582" s="8" t="str">
        <f ca="1">IFERROR(__xludf.DUMMYFUNCTION("IF
(
C9583=""фізична особа""
,
VLOOKUP(D9583,IMPORTRANGE(""https://docs.google.com/spreadsheets/d/14Bd19lYaqBhU8_DElYkX7l4wRkHqqCUFNJY4AfY3kHU/edit?usp=sharing  #gid=0"",""фіз особи new!relations_name""),6,FALSE)
,
(IF
(
C9583=""юридична особа""
,
VLOOKUP"&amp;"(D9583,IMPORTRANGE(""https://docs.google.com/spreadsheets/d/14Bd19lYaqBhU8_DElYkX7l4wRkHqqCUFNJY4AfY3kHU/edit?usp=sharing  #gid=0"",""фіз особи new!relations_name_uo""),7,FALSE)
,
)
))"),"ХОРОШЕВ Роман Геннадійович")</f>
        <v>ХОРОШЕВ Роман Геннадійович</v>
      </c>
      <c r="G9582" s="7" t="s">
        <v>10</v>
      </c>
      <c r="H9582" s="7">
        <v>3087</v>
      </c>
      <c r="I9582" s="8" t="str">
        <f ca="1">IFERROR(__xludf.DUMMYFUNCTION("IF
(
G9583=""фізична особа""
,
VLOOKUP(H9583,IMPORTRANGE(""https://docs.google.com/spreadsheets/d/14Bd19lYaqBhU8_DElYkX7l4wRkHqqCUFNJY4AfY3kHU/edit?usp=sharing  #gid=0"",""фіз особи new!relations_name""),6,FALSE)
,
(IF
(
G9583=""юридична особа""
,
VLOOKUP"&amp;"(H9583,IMPORTRANGE(""https://docs.google.com/spreadsheets/d/14Bd19lYaqBhU8_DElYkX7l4wRkHqqCUFNJY4AfY3kHU/edit?usp=sharing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82" s="7" t="s">
        <v>29</v>
      </c>
    </row>
    <row r="9583" spans="1:10" ht="13.2">
      <c r="A9583" s="7">
        <v>9582</v>
      </c>
      <c r="B9583" s="7">
        <v>1</v>
      </c>
      <c r="C9583" s="7" t="s">
        <v>10</v>
      </c>
      <c r="D9583" s="7">
        <v>11414</v>
      </c>
      <c r="E9583" s="7" t="s">
        <v>28</v>
      </c>
      <c r="F9583" s="8" t="str">
        <f ca="1">IFERROR(__xludf.DUMMYFUNCTION("IF
(
C9584=""фізична особа""
,
VLOOKUP(D9584,IMPORTRANGE(""https://docs.google.com/spreadsheets/d/14Bd19lYaqBhU8_DElYkX7l4wRkHqqCUFNJY4AfY3kHU/edit?usp=sharing  #gid=0"",""фіз особи new!relations_name""),6,FALSE)
,
(IF
(
C9584=""юридична особа""
,
VLOOKUP"&amp;"(D9584,IMPORTRANGE(""https://docs.google.com/spreadsheets/d/14Bd19lYaqBhU8_DElYkX7l4wRkHqqCUFNJY4AfY3kHU/edit?usp=sharing  #gid=0"",""фіз особи new!relations_name_uo""),7,FALSE)
,
)
))"),"НОВІКОВ Альберт Вікторович")</f>
        <v>НОВІКОВ Альберт Вікторович</v>
      </c>
      <c r="G9583" s="7" t="s">
        <v>10</v>
      </c>
      <c r="H9583" s="7">
        <v>3087</v>
      </c>
      <c r="I9583" s="8" t="str">
        <f ca="1">IFERROR(__xludf.DUMMYFUNCTION("IF
(
G9584=""фізична особа""
,
VLOOKUP(H9584,IMPORTRANGE(""https://docs.google.com/spreadsheets/d/14Bd19lYaqBhU8_DElYkX7l4wRkHqqCUFNJY4AfY3kHU/edit?usp=sharing  #gid=0"",""фіз особи new!relations_name""),6,FALSE)
,
(IF
(
G9584=""юридична особа""
,
VLOOKUP"&amp;"(H9584,IMPORTRANGE(""https://docs.google.com/spreadsheets/d/14Bd19lYaqBhU8_DElYkX7l4wRkHqqCUFNJY4AfY3kHU/edit?usp=sharing  #gid=0"",""фіз особи new!relations_name_uo""),7,FALSE)
,
)
))"),"ЄГОРОВ Данило В'ячеславович")</f>
        <v>ЄГОРОВ Данило В'ячеславович</v>
      </c>
      <c r="J9583" s="7" t="s">
        <v>29</v>
      </c>
    </row>
    <row r="9584" spans="1:10" ht="13.2">
      <c r="A9584" s="7">
        <v>9583</v>
      </c>
      <c r="B9584" s="7">
        <v>1</v>
      </c>
      <c r="C9584" s="7" t="s">
        <v>10</v>
      </c>
      <c r="D9584" s="7">
        <v>11415</v>
      </c>
      <c r="E9584" s="7" t="s">
        <v>28</v>
      </c>
      <c r="F9584" s="8" t="str">
        <f ca="1">IFERROR(__xludf.DUMMYFUNCTION("IF
(
C9585=""фізична особа""
,
VLOOKUP(D9585,IMPORTRANGE(""https://docs.google.com/spreadsheets/d/14Bd19lYaqBhU8_DElYkX7l4wRkHqqCUFNJY4AfY3kHU/edit?usp=sharing  #gid=0"",""фіз особи new!relations_name""),6,FALSE)
,
(IF
(
C9585=""юридична особа""
,
VLOOKUP"&amp;"(D9585,IMPORTRANGE(""https://docs.google.com/spreadsheets/d/14Bd19lYaqBhU8_DElYkX7l4wRkHqqCUFNJY4AfY3kHU/edit?usp=sharing  #gid=0"",""фіз особи new!relations_name_uo""),7,FALSE)
,
)
))"),"ПАЩЕНКО Ірина Геннадіївна")</f>
        <v>ПАЩЕНКО Ірина Геннадіївна</v>
      </c>
      <c r="G9584" s="7" t="s">
        <v>10</v>
      </c>
      <c r="H9584" s="7">
        <v>3042</v>
      </c>
      <c r="I9584" s="8" t="str">
        <f ca="1">IFERROR(__xludf.DUMMYFUNCTION("IF
(
G9585=""фізична особа""
,
VLOOKUP(H9585,IMPORTRANGE(""https://docs.google.com/spreadsheets/d/14Bd19lYaqBhU8_DElYkX7l4wRkHqqCUFNJY4AfY3kHU/edit?usp=sharing  #gid=0"",""фіз особи new!relations_name""),6,FALSE)
,
(IF
(
G9585=""юридична особа""
,
VLOOKUP"&amp;"(H9585,IMPORTRANGE(""https://docs.google.com/spreadsheets/d/14Bd19lYaqBhU8_DElYkX7l4wRkHqqCUFNJY4AfY3kHU/edit?usp=sharing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4" s="7" t="s">
        <v>29</v>
      </c>
    </row>
    <row r="9585" spans="1:10" ht="13.2">
      <c r="A9585" s="7">
        <v>9584</v>
      </c>
      <c r="B9585" s="7">
        <v>1</v>
      </c>
      <c r="C9585" s="7" t="s">
        <v>10</v>
      </c>
      <c r="D9585" s="7">
        <v>11416</v>
      </c>
      <c r="E9585" s="7" t="s">
        <v>28</v>
      </c>
      <c r="F9585" s="8" t="str">
        <f ca="1">IFERROR(__xludf.DUMMYFUNCTION("IF
(
C9586=""фізична особа""
,
VLOOKUP(D9586,IMPORTRANGE(""https://docs.google.com/spreadsheets/d/14Bd19lYaqBhU8_DElYkX7l4wRkHqqCUFNJY4AfY3kHU/edit?usp=sharing  #gid=0"",""фіз особи new!relations_name""),6,FALSE)
,
(IF
(
C9586=""юридична особа""
,
VLOOKUP"&amp;"(D9586,IMPORTRANGE(""https://docs.google.com/spreadsheets/d/14Bd19lYaqBhU8_DElYkX7l4wRkHqqCUFNJY4AfY3kHU/edit?usp=sharing  #gid=0"",""фіз особи new!relations_name_uo""),7,FALSE)
,
)
))"),"САВІНИХ Дмитро Федорович")</f>
        <v>САВІНИХ Дмитро Федорович</v>
      </c>
      <c r="G9585" s="7" t="s">
        <v>10</v>
      </c>
      <c r="H9585" s="7">
        <v>3042</v>
      </c>
      <c r="I9585" s="8" t="str">
        <f ca="1">IFERROR(__xludf.DUMMYFUNCTION("IF
(
G9586=""фізична особа""
,
VLOOKUP(H9586,IMPORTRANGE(""https://docs.google.com/spreadsheets/d/14Bd19lYaqBhU8_DElYkX7l4wRkHqqCUFNJY4AfY3kHU/edit?usp=sharing  #gid=0"",""фіз особи new!relations_name""),6,FALSE)
,
(IF
(
G9586=""юридична особа""
,
VLOOKUP"&amp;"(H9586,IMPORTRANGE(""https://docs.google.com/spreadsheets/d/14Bd19lYaqBhU8_DElYkX7l4wRkHqqCUFNJY4AfY3kHU/edit?usp=sharing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5" s="7" t="s">
        <v>29</v>
      </c>
    </row>
    <row r="9586" spans="1:10" ht="13.2">
      <c r="A9586" s="7">
        <v>9585</v>
      </c>
      <c r="B9586" s="7">
        <v>1</v>
      </c>
      <c r="C9586" s="7" t="s">
        <v>10</v>
      </c>
      <c r="D9586" s="7">
        <v>11417</v>
      </c>
      <c r="E9586" s="7" t="s">
        <v>28</v>
      </c>
      <c r="F9586" s="8" t="str">
        <f ca="1">IFERROR(__xludf.DUMMYFUNCTION("IF
(
C9587=""фізична особа""
,
VLOOKUP(D9587,IMPORTRANGE(""https://docs.google.com/spreadsheets/d/14Bd19lYaqBhU8_DElYkX7l4wRkHqqCUFNJY4AfY3kHU/edit?usp=sharing  #gid=0"",""фіз особи new!relations_name""),6,FALSE)
,
(IF
(
C9587=""юридична особа""
,
VLOOKUP"&amp;"(D9587,IMPORTRANGE(""https://docs.google.com/spreadsheets/d/14Bd19lYaqBhU8_DElYkX7l4wRkHqqCUFNJY4AfY3kHU/edit?usp=sharing  #gid=0"",""фіз особи new!relations_name_uo""),7,FALSE)
,
)
))"),"ОКС Євгеній Іванович")</f>
        <v>ОКС Євгеній Іванович</v>
      </c>
      <c r="G9586" s="7" t="s">
        <v>10</v>
      </c>
      <c r="H9586" s="7">
        <v>3042</v>
      </c>
      <c r="I9586" s="8" t="str">
        <f ca="1">IFERROR(__xludf.DUMMYFUNCTION("IF
(
G9587=""фізична особа""
,
VLOOKUP(H9587,IMPORTRANGE(""https://docs.google.com/spreadsheets/d/14Bd19lYaqBhU8_DElYkX7l4wRkHqqCUFNJY4AfY3kHU/edit?usp=sharing  #gid=0"",""фіз особи new!relations_name""),6,FALSE)
,
(IF
(
G9587=""юридична особа""
,
VLOOKUP"&amp;"(H9587,IMPORTRANGE(""https://docs.google.com/spreadsheets/d/14Bd19lYaqBhU8_DElYkX7l4wRkHqqCUFNJY4AfY3kHU/edit?usp=sharing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6" s="7" t="s">
        <v>29</v>
      </c>
    </row>
    <row r="9587" spans="1:10" ht="13.2">
      <c r="A9587" s="7">
        <v>9586</v>
      </c>
      <c r="B9587" s="7">
        <v>1</v>
      </c>
      <c r="C9587" s="7" t="s">
        <v>10</v>
      </c>
      <c r="D9587" s="7">
        <v>11418</v>
      </c>
      <c r="E9587" s="7" t="s">
        <v>28</v>
      </c>
      <c r="F9587" s="8" t="str">
        <f ca="1">IFERROR(__xludf.DUMMYFUNCTION("IF
(
C9588=""фізична особа""
,
VLOOKUP(D9588,IMPORTRANGE(""https://docs.google.com/spreadsheets/d/14Bd19lYaqBhU8_DElYkX7l4wRkHqqCUFNJY4AfY3kHU/edit?usp=sharing  #gid=0"",""фіз особи new!relations_name""),6,FALSE)
,
(IF
(
C9588=""юридична особа""
,
VLOOKUP"&amp;"(D9588,IMPORTRANGE(""https://docs.google.com/spreadsheets/d/14Bd19lYaqBhU8_DElYkX7l4wRkHqqCUFNJY4AfY3kHU/edit?usp=sharing  #gid=0"",""фіз особи new!relations_name_uo""),7,FALSE)
,
)
))"),"ГОРЯЄВ Дмитро Володимирович")</f>
        <v>ГОРЯЄВ Дмитро Володимирович</v>
      </c>
      <c r="G9587" s="7" t="s">
        <v>10</v>
      </c>
      <c r="H9587" s="7">
        <v>3042</v>
      </c>
      <c r="I9587" s="8" t="str">
        <f ca="1">IFERROR(__xludf.DUMMYFUNCTION("IF
(
G9588=""фізична особа""
,
VLOOKUP(H9588,IMPORTRANGE(""https://docs.google.com/spreadsheets/d/14Bd19lYaqBhU8_DElYkX7l4wRkHqqCUFNJY4AfY3kHU/edit?usp=sharing  #gid=0"",""фіз особи new!relations_name""),6,FALSE)
,
(IF
(
G9588=""юридична особа""
,
VLOOKUP"&amp;"(H9588,IMPORTRANGE(""https://docs.google.com/spreadsheets/d/14Bd19lYaqBhU8_DElYkX7l4wRkHqqCUFNJY4AfY3kHU/edit?usp=sharing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7" s="7" t="s">
        <v>29</v>
      </c>
    </row>
    <row r="9588" spans="1:10" ht="13.2">
      <c r="A9588" s="7">
        <v>9587</v>
      </c>
      <c r="B9588" s="7">
        <v>1</v>
      </c>
      <c r="C9588" s="7" t="s">
        <v>10</v>
      </c>
      <c r="D9588" s="7">
        <v>11419</v>
      </c>
      <c r="E9588" s="7" t="s">
        <v>28</v>
      </c>
      <c r="F9588" s="8" t="str">
        <f ca="1">IFERROR(__xludf.DUMMYFUNCTION("IF
(
C9589=""фізична особа""
,
VLOOKUP(D9589,IMPORTRANGE(""https://docs.google.com/spreadsheets/d/14Bd19lYaqBhU8_DElYkX7l4wRkHqqCUFNJY4AfY3kHU/edit?usp=sharing  #gid=0"",""фіз особи new!relations_name""),6,FALSE)
,
(IF
(
C9589=""юридична особа""
,
VLOOKUP"&amp;"(D9589,IMPORTRANGE(""https://docs.google.com/spreadsheets/d/14Bd19lYaqBhU8_DElYkX7l4wRkHqqCUFNJY4AfY3kHU/edit?usp=sharing  #gid=0"",""фіз особи new!relations_name_uo""),7,FALSE)
,
)
))"),"КРИГА Олександр Сергійович")</f>
        <v>КРИГА Олександр Сергійович</v>
      </c>
      <c r="G9588" s="7" t="s">
        <v>10</v>
      </c>
      <c r="H9588" s="7">
        <v>3042</v>
      </c>
      <c r="I9588" s="8" t="str">
        <f ca="1">IFERROR(__xludf.DUMMYFUNCTION("IF
(
G9589=""фізична особа""
,
VLOOKUP(H9589,IMPORTRANGE(""https://docs.google.com/spreadsheets/d/14Bd19lYaqBhU8_DElYkX7l4wRkHqqCUFNJY4AfY3kHU/edit?usp=sharing  #gid=0"",""фіз особи new!relations_name""),6,FALSE)
,
(IF
(
G9589=""юридична особа""
,
VLOOKUP"&amp;"(H9589,IMPORTRANGE(""https://docs.google.com/spreadsheets/d/14Bd19lYaqBhU8_DElYkX7l4wRkHqqCUFNJY4AfY3kHU/edit?usp=sharing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8" s="7" t="s">
        <v>29</v>
      </c>
    </row>
    <row r="9589" spans="1:10" ht="13.2">
      <c r="A9589" s="7">
        <v>9588</v>
      </c>
      <c r="B9589" s="7">
        <v>1</v>
      </c>
      <c r="C9589" s="7" t="s">
        <v>10</v>
      </c>
      <c r="D9589" s="7">
        <v>11420</v>
      </c>
      <c r="E9589" s="7" t="s">
        <v>28</v>
      </c>
      <c r="F9589" s="8" t="str">
        <f ca="1">IFERROR(__xludf.DUMMYFUNCTION("IF
(
C9590=""фізична особа""
,
VLOOKUP(D9590,IMPORTRANGE(""https://docs.google.com/spreadsheets/d/14Bd19lYaqBhU8_DElYkX7l4wRkHqqCUFNJY4AfY3kHU/edit?usp=sharing  #gid=0"",""фіз особи new!relations_name""),6,FALSE)
,
(IF
(
C9590=""юридична особа""
,
VLOOKUP"&amp;"(D9590,IMPORTRANGE(""https://docs.google.com/spreadsheets/d/14Bd19lYaqBhU8_DElYkX7l4wRkHqqCUFNJY4AfY3kHU/edit?usp=sharing  #gid=0"",""фіз особи new!relations_name_uo""),7,FALSE)
,
)
))"),"ПІЧУГІНА Ольга Леонідівна")</f>
        <v>ПІЧУГІНА Ольга Леонідівна</v>
      </c>
      <c r="G9589" s="7" t="s">
        <v>10</v>
      </c>
      <c r="H9589" s="7">
        <v>3042</v>
      </c>
      <c r="I9589" s="8" t="str">
        <f ca="1">IFERROR(__xludf.DUMMYFUNCTION("IF
(
G9590=""фізична особа""
,
VLOOKUP(H9590,IMPORTRANGE(""https://docs.google.com/spreadsheets/d/14Bd19lYaqBhU8_DElYkX7l4wRkHqqCUFNJY4AfY3kHU/edit?usp=sharing  #gid=0"",""фіз особи new!relations_name""),6,FALSE)
,
(IF
(
G9590=""юридична особа""
,
VLOOKUP"&amp;"(H9590,IMPORTRANGE(""https://docs.google.com/spreadsheets/d/14Bd19lYaqBhU8_DElYkX7l4wRkHqqCUFNJY4AfY3kHU/edit?usp=sharing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89" s="7" t="s">
        <v>29</v>
      </c>
    </row>
    <row r="9590" spans="1:10" ht="13.2">
      <c r="A9590" s="7">
        <v>9589</v>
      </c>
      <c r="B9590" s="7">
        <v>1</v>
      </c>
      <c r="C9590" s="7" t="s">
        <v>10</v>
      </c>
      <c r="D9590" s="7">
        <v>11421</v>
      </c>
      <c r="E9590" s="7" t="s">
        <v>28</v>
      </c>
      <c r="F9590" s="8" t="str">
        <f ca="1">IFERROR(__xludf.DUMMYFUNCTION("IF
(
C9591=""фізична особа""
,
VLOOKUP(D9591,IMPORTRANGE(""https://docs.google.com/spreadsheets/d/14Bd19lYaqBhU8_DElYkX7l4wRkHqqCUFNJY4AfY3kHU/edit?usp=sharing  #gid=0"",""фіз особи new!relations_name""),6,FALSE)
,
(IF
(
C9591=""юридична особа""
,
VLOOKUP"&amp;"(D9591,IMPORTRANGE(""https://docs.google.com/spreadsheets/d/14Bd19lYaqBhU8_DElYkX7l4wRkHqqCUFNJY4AfY3kHU/edit?usp=sharing  #gid=0"",""фіз особи new!relations_name_uo""),7,FALSE)
,
)
))"),"РОМАНОВА Тетяна Геннадіївна")</f>
        <v>РОМАНОВА Тетяна Геннадіївна</v>
      </c>
      <c r="G9590" s="7" t="s">
        <v>10</v>
      </c>
      <c r="H9590" s="7">
        <v>3042</v>
      </c>
      <c r="I9590" s="8" t="str">
        <f ca="1">IFERROR(__xludf.DUMMYFUNCTION("IF
(
G9591=""фізична особа""
,
VLOOKUP(H9591,IMPORTRANGE(""https://docs.google.com/spreadsheets/d/14Bd19lYaqBhU8_DElYkX7l4wRkHqqCUFNJY4AfY3kHU/edit?usp=sharing  #gid=0"",""фіз особи new!relations_name""),6,FALSE)
,
(IF
(
G9591=""юридична особа""
,
VLOOKUP"&amp;"(H9591,IMPORTRANGE(""https://docs.google.com/spreadsheets/d/14Bd19lYaqBhU8_DElYkX7l4wRkHqqCUFNJY4AfY3kHU/edit?usp=sharing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0" s="7" t="s">
        <v>29</v>
      </c>
    </row>
    <row r="9591" spans="1:10" ht="13.2">
      <c r="A9591" s="7">
        <v>9590</v>
      </c>
      <c r="B9591" s="7">
        <v>1</v>
      </c>
      <c r="C9591" s="7" t="s">
        <v>10</v>
      </c>
      <c r="D9591" s="7">
        <v>11422</v>
      </c>
      <c r="E9591" s="7" t="s">
        <v>28</v>
      </c>
      <c r="F9591" s="8" t="str">
        <f ca="1">IFERROR(__xludf.DUMMYFUNCTION("IF
(
C9592=""фізична особа""
,
VLOOKUP(D9592,IMPORTRANGE(""https://docs.google.com/spreadsheets/d/14Bd19lYaqBhU8_DElYkX7l4wRkHqqCUFNJY4AfY3kHU/edit?usp=sharing  #gid=0"",""фіз особи new!relations_name""),6,FALSE)
,
(IF
(
C9592=""юридична особа""
,
VLOOKUP"&amp;"(D9592,IMPORTRANGE(""https://docs.google.com/spreadsheets/d/14Bd19lYaqBhU8_DElYkX7l4wRkHqqCUFNJY4AfY3kHU/edit?usp=sharing  #gid=0"",""фіз особи new!relations_name_uo""),7,FALSE)
,
)
))"),"ДЕТКОВСЬКА Тетяна Миколаївна")</f>
        <v>ДЕТКОВСЬКА Тетяна Миколаївна</v>
      </c>
      <c r="G9591" s="7" t="s">
        <v>10</v>
      </c>
      <c r="H9591" s="7">
        <v>3042</v>
      </c>
      <c r="I9591" s="8" t="str">
        <f ca="1">IFERROR(__xludf.DUMMYFUNCTION("IF
(
G9592=""фізична особа""
,
VLOOKUP(H9592,IMPORTRANGE(""https://docs.google.com/spreadsheets/d/14Bd19lYaqBhU8_DElYkX7l4wRkHqqCUFNJY4AfY3kHU/edit?usp=sharing  #gid=0"",""фіз особи new!relations_name""),6,FALSE)
,
(IF
(
G9592=""юридична особа""
,
VLOOKUP"&amp;"(H9592,IMPORTRANGE(""https://docs.google.com/spreadsheets/d/14Bd19lYaqBhU8_DElYkX7l4wRkHqqCUFNJY4AfY3kHU/edit?usp=sharing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1" s="7" t="s">
        <v>29</v>
      </c>
    </row>
    <row r="9592" spans="1:10" ht="13.2">
      <c r="A9592" s="7">
        <v>9591</v>
      </c>
      <c r="B9592" s="7">
        <v>1</v>
      </c>
      <c r="C9592" s="7" t="s">
        <v>10</v>
      </c>
      <c r="D9592" s="7">
        <v>11423</v>
      </c>
      <c r="E9592" s="7" t="s">
        <v>28</v>
      </c>
      <c r="F9592" s="8" t="str">
        <f ca="1">IFERROR(__xludf.DUMMYFUNCTION("IF
(
C9593=""фізична особа""
,
VLOOKUP(D9593,IMPORTRANGE(""https://docs.google.com/spreadsheets/d/14Bd19lYaqBhU8_DElYkX7l4wRkHqqCUFNJY4AfY3kHU/edit?usp=sharing  #gid=0"",""фіз особи new!relations_name""),6,FALSE)
,
(IF
(
C9593=""юридична особа""
,
VLOOKUP"&amp;"(D9593,IMPORTRANGE(""https://docs.google.com/spreadsheets/d/14Bd19lYaqBhU8_DElYkX7l4wRkHqqCUFNJY4AfY3kHU/edit?usp=sharing  #gid=0"",""фіз особи new!relations_name_uo""),7,FALSE)
,
)
))"),"ФУНТУСОВА Ольга Олексіївна")</f>
        <v>ФУНТУСОВА Ольга Олексіївна</v>
      </c>
      <c r="G9592" s="7" t="s">
        <v>10</v>
      </c>
      <c r="H9592" s="7">
        <v>3042</v>
      </c>
      <c r="I9592" s="8" t="str">
        <f ca="1">IFERROR(__xludf.DUMMYFUNCTION("IF
(
G9593=""фізична особа""
,
VLOOKUP(H9593,IMPORTRANGE(""https://docs.google.com/spreadsheets/d/14Bd19lYaqBhU8_DElYkX7l4wRkHqqCUFNJY4AfY3kHU/edit?usp=sharing  #gid=0"",""фіз особи new!relations_name""),6,FALSE)
,
(IF
(
G9593=""юридична особа""
,
VLOOKUP"&amp;"(H9593,IMPORTRANGE(""https://docs.google.com/spreadsheets/d/14Bd19lYaqBhU8_DElYkX7l4wRkHqqCUFNJY4AfY3kHU/edit?usp=sharing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2" s="7" t="s">
        <v>29</v>
      </c>
    </row>
    <row r="9593" spans="1:10" ht="13.2">
      <c r="A9593" s="7">
        <v>9592</v>
      </c>
      <c r="B9593" s="7">
        <v>1</v>
      </c>
      <c r="C9593" s="7" t="s">
        <v>10</v>
      </c>
      <c r="D9593" s="7">
        <v>11424</v>
      </c>
      <c r="E9593" s="7" t="s">
        <v>28</v>
      </c>
      <c r="F9593" s="8" t="str">
        <f ca="1">IFERROR(__xludf.DUMMYFUNCTION("IF
(
C9594=""фізична особа""
,
VLOOKUP(D9594,IMPORTRANGE(""https://docs.google.com/spreadsheets/d/14Bd19lYaqBhU8_DElYkX7l4wRkHqqCUFNJY4AfY3kHU/edit?usp=sharing  #gid=0"",""фіз особи new!relations_name""),6,FALSE)
,
(IF
(
C9594=""юридична особа""
,
VLOOKUP"&amp;"(D9594,IMPORTRANGE(""https://docs.google.com/spreadsheets/d/14Bd19lYaqBhU8_DElYkX7l4wRkHqqCUFNJY4AfY3kHU/edit?usp=sharing  #gid=0"",""фіз особи new!relations_name_uo""),7,FALSE)
,
)
))"),"ЗАЙЦЕВА Тетяна Анатоліївна")</f>
        <v>ЗАЙЦЕВА Тетяна Анатоліївна</v>
      </c>
      <c r="G9593" s="7" t="s">
        <v>10</v>
      </c>
      <c r="H9593" s="7">
        <v>3042</v>
      </c>
      <c r="I9593" s="8" t="str">
        <f ca="1">IFERROR(__xludf.DUMMYFUNCTION("IF
(
G9594=""фізична особа""
,
VLOOKUP(H9594,IMPORTRANGE(""https://docs.google.com/spreadsheets/d/14Bd19lYaqBhU8_DElYkX7l4wRkHqqCUFNJY4AfY3kHU/edit?usp=sharing  #gid=0"",""фіз особи new!relations_name""),6,FALSE)
,
(IF
(
G9594=""юридична особа""
,
VLOOKUP"&amp;"(H9594,IMPORTRANGE(""https://docs.google.com/spreadsheets/d/14Bd19lYaqBhU8_DElYkX7l4wRkHqqCUFNJY4AfY3kHU/edit?usp=sharing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3" s="7" t="s">
        <v>29</v>
      </c>
    </row>
    <row r="9594" spans="1:10" ht="13.2">
      <c r="A9594" s="7">
        <v>9593</v>
      </c>
      <c r="B9594" s="7">
        <v>1</v>
      </c>
      <c r="C9594" s="7" t="s">
        <v>10</v>
      </c>
      <c r="D9594" s="7">
        <v>11425</v>
      </c>
      <c r="E9594" s="7" t="s">
        <v>28</v>
      </c>
      <c r="F9594" s="8" t="str">
        <f ca="1">IFERROR(__xludf.DUMMYFUNCTION("IF
(
C9595=""фізична особа""
,
VLOOKUP(D9595,IMPORTRANGE(""https://docs.google.com/spreadsheets/d/14Bd19lYaqBhU8_DElYkX7l4wRkHqqCUFNJY4AfY3kHU/edit?usp=sharing  #gid=0"",""фіз особи new!relations_name""),6,FALSE)
,
(IF
(
C9595=""юридична особа""
,
VLOOKUP"&amp;"(D9595,IMPORTRANGE(""https://docs.google.com/spreadsheets/d/14Bd19lYaqBhU8_DElYkX7l4wRkHqqCUFNJY4AfY3kHU/edit?usp=sharing  #gid=0"",""фіз особи new!relations_name_uo""),7,FALSE)
,
)
))"),"ІГНАТЬЄВА Маргарита Єгорівна")</f>
        <v>ІГНАТЬЄВА Маргарита Єгорівна</v>
      </c>
      <c r="G9594" s="7" t="s">
        <v>10</v>
      </c>
      <c r="H9594" s="7">
        <v>3042</v>
      </c>
      <c r="I9594" s="8" t="str">
        <f ca="1">IFERROR(__xludf.DUMMYFUNCTION("IF
(
G9595=""фізична особа""
,
VLOOKUP(H9595,IMPORTRANGE(""https://docs.google.com/spreadsheets/d/14Bd19lYaqBhU8_DElYkX7l4wRkHqqCUFNJY4AfY3kHU/edit?usp=sharing  #gid=0"",""фіз особи new!relations_name""),6,FALSE)
,
(IF
(
G9595=""юридична особа""
,
VLOOKUP"&amp;"(H9595,IMPORTRANGE(""https://docs.google.com/spreadsheets/d/14Bd19lYaqBhU8_DElYkX7l4wRkHqqCUFNJY4AfY3kHU/edit?usp=sharing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4" s="7" t="s">
        <v>29</v>
      </c>
    </row>
    <row r="9595" spans="1:10" ht="13.2">
      <c r="A9595" s="7">
        <v>9594</v>
      </c>
      <c r="B9595" s="7">
        <v>1</v>
      </c>
      <c r="C9595" s="7" t="s">
        <v>10</v>
      </c>
      <c r="D9595" s="7">
        <v>11426</v>
      </c>
      <c r="E9595" s="7" t="s">
        <v>28</v>
      </c>
      <c r="F9595" s="8" t="str">
        <f ca="1">IFERROR(__xludf.DUMMYFUNCTION("IF
(
C9596=""фізична особа""
,
VLOOKUP(D9596,IMPORTRANGE(""https://docs.google.com/spreadsheets/d/14Bd19lYaqBhU8_DElYkX7l4wRkHqqCUFNJY4AfY3kHU/edit?usp=sharing  #gid=0"",""фіз особи new!relations_name""),6,FALSE)
,
(IF
(
C9596=""юридична особа""
,
VLOOKUP"&amp;"(D9596,IMPORTRANGE(""https://docs.google.com/spreadsheets/d/14Bd19lYaqBhU8_DElYkX7l4wRkHqqCUFNJY4AfY3kHU/edit?usp=sharing  #gid=0"",""фіз особи new!relations_name_uo""),7,FALSE)
,
)
))"),"ЛАПА Світлана Едуардівна")</f>
        <v>ЛАПА Світлана Едуардівна</v>
      </c>
      <c r="G9595" s="7" t="s">
        <v>10</v>
      </c>
      <c r="H9595" s="7">
        <v>3042</v>
      </c>
      <c r="I9595" s="8" t="str">
        <f ca="1">IFERROR(__xludf.DUMMYFUNCTION("IF
(
G9596=""фізична особа""
,
VLOOKUP(H9596,IMPORTRANGE(""https://docs.google.com/spreadsheets/d/14Bd19lYaqBhU8_DElYkX7l4wRkHqqCUFNJY4AfY3kHU/edit?usp=sharing  #gid=0"",""фіз особи new!relations_name""),6,FALSE)
,
(IF
(
G9596=""юридична особа""
,
VLOOKUP"&amp;"(H9596,IMPORTRANGE(""https://docs.google.com/spreadsheets/d/14Bd19lYaqBhU8_DElYkX7l4wRkHqqCUFNJY4AfY3kHU/edit?usp=sharing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5" s="7" t="s">
        <v>29</v>
      </c>
    </row>
    <row r="9596" spans="1:10" ht="13.2">
      <c r="A9596" s="7">
        <v>9595</v>
      </c>
      <c r="B9596" s="7">
        <v>1</v>
      </c>
      <c r="C9596" s="7" t="s">
        <v>10</v>
      </c>
      <c r="D9596" s="7">
        <v>11427</v>
      </c>
      <c r="E9596" s="7" t="s">
        <v>28</v>
      </c>
      <c r="F9596" s="8" t="str">
        <f ca="1">IFERROR(__xludf.DUMMYFUNCTION("IF
(
C9597=""фізична особа""
,
VLOOKUP(D9597,IMPORTRANGE(""https://docs.google.com/spreadsheets/d/14Bd19lYaqBhU8_DElYkX7l4wRkHqqCUFNJY4AfY3kHU/edit?usp=sharing  #gid=0"",""фіз особи new!relations_name""),6,FALSE)
,
(IF
(
C9597=""юридична особа""
,
VLOOKUP"&amp;"(D9597,IMPORTRANGE(""https://docs.google.com/spreadsheets/d/14Bd19lYaqBhU8_DElYkX7l4wRkHqqCUFNJY4AfY3kHU/edit?usp=sharing  #gid=0"",""фіз особи new!relations_name_uo""),7,FALSE)
,
)
))"),"ХАНХАРЕЄВ Сергій Степанович")</f>
        <v>ХАНХАРЕЄВ Сергій Степанович</v>
      </c>
      <c r="G9596" s="7" t="s">
        <v>10</v>
      </c>
      <c r="H9596" s="7">
        <v>3042</v>
      </c>
      <c r="I9596" s="8" t="str">
        <f ca="1">IFERROR(__xludf.DUMMYFUNCTION("IF
(
G9597=""фізична особа""
,
VLOOKUP(H9597,IMPORTRANGE(""https://docs.google.com/spreadsheets/d/14Bd19lYaqBhU8_DElYkX7l4wRkHqqCUFNJY4AfY3kHU/edit?usp=sharing  #gid=0"",""фіз особи new!relations_name""),6,FALSE)
,
(IF
(
G9597=""юридична особа""
,
VLOOKUP"&amp;"(H9597,IMPORTRANGE(""https://docs.google.com/spreadsheets/d/14Bd19lYaqBhU8_DElYkX7l4wRkHqqCUFNJY4AfY3kHU/edit?usp=sharing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6" s="7" t="s">
        <v>29</v>
      </c>
    </row>
    <row r="9597" spans="1:10" ht="13.2">
      <c r="A9597" s="7">
        <v>9596</v>
      </c>
      <c r="B9597" s="7">
        <v>1</v>
      </c>
      <c r="C9597" s="7" t="s">
        <v>10</v>
      </c>
      <c r="D9597" s="7">
        <v>11428</v>
      </c>
      <c r="E9597" s="7" t="s">
        <v>28</v>
      </c>
      <c r="F9597" s="8" t="str">
        <f ca="1">IFERROR(__xludf.DUMMYFUNCTION("IF
(
C9598=""фізична особа""
,
VLOOKUP(D9598,IMPORTRANGE(""https://docs.google.com/spreadsheets/d/14Bd19lYaqBhU8_DElYkX7l4wRkHqqCUFNJY4AfY3kHU/edit?usp=sharing  #gid=0"",""фіз особи new!relations_name""),6,FALSE)
,
(IF
(
C9598=""юридична особа""
,
VLOOKUP"&amp;"(D9598,IMPORTRANGE(""https://docs.google.com/spreadsheets/d/14Bd19lYaqBhU8_DElYkX7l4wRkHqqCUFNJY4AfY3kHU/edit?usp=sharing  #gid=0"",""фіз особи new!relations_name_uo""),7,FALSE)
,
)
))"),"НОСКОВА Людмила Миколаївна")</f>
        <v>НОСКОВА Людмила Миколаївна</v>
      </c>
      <c r="G9597" s="7" t="s">
        <v>10</v>
      </c>
      <c r="H9597" s="7">
        <v>3042</v>
      </c>
      <c r="I9597" s="8" t="str">
        <f ca="1">IFERROR(__xludf.DUMMYFUNCTION("IF
(
G9598=""фізична особа""
,
VLOOKUP(H9598,IMPORTRANGE(""https://docs.google.com/spreadsheets/d/14Bd19lYaqBhU8_DElYkX7l4wRkHqqCUFNJY4AfY3kHU/edit?usp=sharing  #gid=0"",""фіз особи new!relations_name""),6,FALSE)
,
(IF
(
G9598=""юридична особа""
,
VLOOKUP"&amp;"(H9598,IMPORTRANGE(""https://docs.google.com/spreadsheets/d/14Bd19lYaqBhU8_DElYkX7l4wRkHqqCUFNJY4AfY3kHU/edit?usp=sharing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7" s="7" t="s">
        <v>29</v>
      </c>
    </row>
    <row r="9598" spans="1:10" ht="13.2">
      <c r="A9598" s="7">
        <v>9597</v>
      </c>
      <c r="B9598" s="7">
        <v>1</v>
      </c>
      <c r="C9598" s="7" t="s">
        <v>10</v>
      </c>
      <c r="D9598" s="7">
        <v>11429</v>
      </c>
      <c r="E9598" s="7" t="s">
        <v>28</v>
      </c>
      <c r="F9598" s="8" t="str">
        <f ca="1">IFERROR(__xludf.DUMMYFUNCTION("IF
(
C9599=""фізична особа""
,
VLOOKUP(D9599,IMPORTRANGE(""https://docs.google.com/spreadsheets/d/14Bd19lYaqBhU8_DElYkX7l4wRkHqqCUFNJY4AfY3kHU/edit?usp=sharing  #gid=0"",""фіз особи new!relations_name""),6,FALSE)
,
(IF
(
C9599=""юридична особа""
,
VLOOKUP"&amp;"(D9599,IMPORTRANGE(""https://docs.google.com/spreadsheets/d/14Bd19lYaqBhU8_DElYkX7l4wRkHqqCUFNJY4AfY3kHU/edit?usp=sharing  #gid=0"",""фіз особи new!relations_name_uo""),7,FALSE)
,
)
))"),"ЗУБАРЄВА Ольга Володимирівна")</f>
        <v>ЗУБАРЄВА Ольга Володимирівна</v>
      </c>
      <c r="G9598" s="7" t="s">
        <v>10</v>
      </c>
      <c r="H9598" s="7">
        <v>3042</v>
      </c>
      <c r="I9598" s="8" t="str">
        <f ca="1">IFERROR(__xludf.DUMMYFUNCTION("IF
(
G9599=""фізична особа""
,
VLOOKUP(H9599,IMPORTRANGE(""https://docs.google.com/spreadsheets/d/14Bd19lYaqBhU8_DElYkX7l4wRkHqqCUFNJY4AfY3kHU/edit?usp=sharing  #gid=0"",""фіз особи new!relations_name""),6,FALSE)
,
(IF
(
G9599=""юридична особа""
,
VLOOKUP"&amp;"(H9599,IMPORTRANGE(""https://docs.google.com/spreadsheets/d/14Bd19lYaqBhU8_DElYkX7l4wRkHqqCUFNJY4AfY3kHU/edit?usp=sharing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8" s="7" t="s">
        <v>29</v>
      </c>
    </row>
    <row r="9599" spans="1:10" ht="13.2">
      <c r="A9599" s="7">
        <v>9598</v>
      </c>
      <c r="B9599" s="7">
        <v>1</v>
      </c>
      <c r="C9599" s="7" t="s">
        <v>10</v>
      </c>
      <c r="D9599" s="7">
        <v>11430</v>
      </c>
      <c r="E9599" s="7" t="s">
        <v>28</v>
      </c>
      <c r="F9599" s="8" t="str">
        <f ca="1">IFERROR(__xludf.DUMMYFUNCTION("IF
(
C9600=""фізична особа""
,
VLOOKUP(D9600,IMPORTRANGE(""https://docs.google.com/spreadsheets/d/14Bd19lYaqBhU8_DElYkX7l4wRkHqqCUFNJY4AfY3kHU/edit?usp=sharing  #gid=0"",""фіз особи new!relations_name""),6,FALSE)
,
(IF
(
C9600=""юридична особа""
,
VLOOKUP"&amp;"(D9600,IMPORTRANGE(""https://docs.google.com/spreadsheets/d/14Bd19lYaqBhU8_DElYkX7l4wRkHqqCUFNJY4AfY3kHU/edit?usp=sharing  #gid=0"",""фіз особи new!relations_name_uo""),7,FALSE)
,
)
))"),"САНДЖИЄВ Джангар Миколайович")</f>
        <v>САНДЖИЄВ Джангар Миколайович</v>
      </c>
      <c r="G9599" s="7" t="s">
        <v>10</v>
      </c>
      <c r="H9599" s="7">
        <v>3042</v>
      </c>
      <c r="I9599" s="8" t="str">
        <f ca="1">IFERROR(__xludf.DUMMYFUNCTION("IF
(
G9600=""фізична особа""
,
VLOOKUP(H9600,IMPORTRANGE(""https://docs.google.com/spreadsheets/d/14Bd19lYaqBhU8_DElYkX7l4wRkHqqCUFNJY4AfY3kHU/edit?usp=sharing  #gid=0"",""фіз особи new!relations_name""),6,FALSE)
,
(IF
(
G9600=""юридична особа""
,
VLOOKUP"&amp;"(H9600,IMPORTRANGE(""https://docs.google.com/spreadsheets/d/14Bd19lYaqBhU8_DElYkX7l4wRkHqqCUFNJY4AfY3kHU/edit?usp=sharing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599" s="7" t="s">
        <v>29</v>
      </c>
    </row>
    <row r="9600" spans="1:10" ht="13.2">
      <c r="A9600" s="7">
        <v>9599</v>
      </c>
      <c r="B9600" s="7">
        <v>1</v>
      </c>
      <c r="C9600" s="7" t="s">
        <v>10</v>
      </c>
      <c r="D9600" s="7">
        <v>11431</v>
      </c>
      <c r="E9600" s="7" t="s">
        <v>28</v>
      </c>
      <c r="F9600" s="8" t="str">
        <f ca="1">IFERROR(__xludf.DUMMYFUNCTION("IF
(
C9601=""фізична особа""
,
VLOOKUP(D9601,IMPORTRANGE(""https://docs.google.com/spreadsheets/d/14Bd19lYaqBhU8_DElYkX7l4wRkHqqCUFNJY4AfY3kHU/edit?usp=sharing  #gid=0"",""фіз особи new!relations_name""),6,FALSE)
,
(IF
(
C9601=""юридична особа""
,
VLOOKUP"&amp;"(D9601,IMPORTRANGE(""https://docs.google.com/spreadsheets/d/14Bd19lYaqBhU8_DElYkX7l4wRkHqqCUFNJY4AfY3kHU/edit?usp=sharing  #gid=0"",""фіз особи new!relations_name_uo""),7,FALSE)
,
)
))"),"ПОТЬОМКІНА Марія Олександрівна")</f>
        <v>ПОТЬОМКІНА Марія Олександрівна</v>
      </c>
      <c r="G9600" s="7" t="s">
        <v>10</v>
      </c>
      <c r="H9600" s="7">
        <v>3042</v>
      </c>
      <c r="I9600" s="8" t="str">
        <f ca="1">IFERROR(__xludf.DUMMYFUNCTION("IF
(
G9601=""фізична особа""
,
VLOOKUP(H9601,IMPORTRANGE(""https://docs.google.com/spreadsheets/d/14Bd19lYaqBhU8_DElYkX7l4wRkHqqCUFNJY4AfY3kHU/edit?usp=sharing  #gid=0"",""фіз особи new!relations_name""),6,FALSE)
,
(IF
(
G9601=""юридична особа""
,
VLOOKUP"&amp;"(H9601,IMPORTRANGE(""https://docs.google.com/spreadsheets/d/14Bd19lYaqBhU8_DElYkX7l4wRkHqqCUFNJY4AfY3kHU/edit?usp=sharing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00" s="7" t="s">
        <v>29</v>
      </c>
    </row>
    <row r="9601" spans="1:10" ht="13.2">
      <c r="A9601" s="7">
        <v>9600</v>
      </c>
      <c r="B9601" s="7">
        <v>1</v>
      </c>
      <c r="C9601" s="7" t="s">
        <v>10</v>
      </c>
      <c r="D9601" s="7">
        <v>11432</v>
      </c>
      <c r="E9601" s="7" t="s">
        <v>28</v>
      </c>
      <c r="F9601" s="8" t="str">
        <f ca="1">IFERROR(__xludf.DUMMYFUNCTION("IF
(
C9602=""фізична особа""
,
VLOOKUP(D9602,IMPORTRANGE(""https://docs.google.com/spreadsheets/d/14Bd19lYaqBhU8_DElYkX7l4wRkHqqCUFNJY4AfY3kHU/edit?usp=sharing  #gid=0"",""фіз особи new!relations_name""),6,FALSE)
,
(IF
(
C9602=""юридична особа""
,
VLOOKUP"&amp;"(D9602,IMPORTRANGE(""https://docs.google.com/spreadsheets/d/14Bd19lYaqBhU8_DElYkX7l4wRkHqqCUFNJY4AfY3kHU/edit?usp=sharing  #gid=0"",""фіз особи new!relations_name_uo""),7,FALSE)
,
)
))"),"КОВАЛЬОВ Євгеній Володимирович")</f>
        <v>КОВАЛЬОВ Євгеній Володимирович</v>
      </c>
      <c r="G9601" s="7" t="s">
        <v>10</v>
      </c>
      <c r="H9601" s="7">
        <v>3042</v>
      </c>
      <c r="I9601" s="8" t="str">
        <f ca="1">IFERROR(__xludf.DUMMYFUNCTION("IF
(
G9602=""фізична особа""
,
VLOOKUP(H9602,IMPORTRANGE(""https://docs.google.com/spreadsheets/d/14Bd19lYaqBhU8_DElYkX7l4wRkHqqCUFNJY4AfY3kHU/edit?usp=sharing  #gid=0"",""фіз особи new!relations_name""),6,FALSE)
,
(IF
(
G9602=""юридична особа""
,
VLOOKUP"&amp;"(H9602,IMPORTRANGE(""https://docs.google.com/spreadsheets/d/14Bd19lYaqBhU8_DElYkX7l4wRkHqqCUFNJY4AfY3kHU/edit?usp=sharing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01" s="7" t="s">
        <v>29</v>
      </c>
    </row>
    <row r="9602" spans="1:10" ht="13.2">
      <c r="A9602" s="7">
        <v>9601</v>
      </c>
      <c r="B9602" s="7">
        <v>1</v>
      </c>
      <c r="C9602" s="7" t="s">
        <v>10</v>
      </c>
      <c r="D9602" s="7">
        <v>11433</v>
      </c>
      <c r="E9602" s="7" t="s">
        <v>28</v>
      </c>
      <c r="F9602" s="8" t="str">
        <f ca="1">IFERROR(__xludf.DUMMYFUNCTION("IF
(
C9603=""фізична особа""
,
VLOOKUP(D9603,IMPORTRANGE(""https://docs.google.com/spreadsheets/d/14Bd19lYaqBhU8_DElYkX7l4wRkHqqCUFNJY4AfY3kHU/edit?usp=sharing  #gid=0"",""фіз особи new!relations_name""),6,FALSE)
,
(IF
(
C9603=""юридична особа""
,
VLOOKUP"&amp;"(D9603,IMPORTRANGE(""https://docs.google.com/spreadsheets/d/14Bd19lYaqBhU8_DElYkX7l4wRkHqqCUFNJY4AfY3kHU/edit?usp=sharing  #gid=0"",""фіз особи new!relations_name_uo""),7,FALSE)
,
)
))"),"ПЕНЬКОВСЬКА Наталія Олександрівна")</f>
        <v>ПЕНЬКОВСЬКА Наталія Олександрівна</v>
      </c>
      <c r="G9602" s="7" t="s">
        <v>10</v>
      </c>
      <c r="H9602" s="7">
        <v>3042</v>
      </c>
      <c r="I9602" s="8" t="str">
        <f ca="1">IFERROR(__xludf.DUMMYFUNCTION("IF
(
G9603=""фізична особа""
,
VLOOKUP(H9603,IMPORTRANGE(""https://docs.google.com/spreadsheets/d/14Bd19lYaqBhU8_DElYkX7l4wRkHqqCUFNJY4AfY3kHU/edit?usp=sharing  #gid=0"",""фіз особи new!relations_name""),6,FALSE)
,
(IF
(
G9603=""юридична особа""
,
VLOOKUP"&amp;"(H9603,IMPORTRANGE(""https://docs.google.com/spreadsheets/d/14Bd19lYaqBhU8_DElYkX7l4wRkHqqCUFNJY4AfY3kHU/edit?usp=sharing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02" s="7" t="s">
        <v>29</v>
      </c>
    </row>
    <row r="9603" spans="1:10" ht="13.2">
      <c r="A9603" s="7">
        <v>9602</v>
      </c>
      <c r="B9603" s="7">
        <v>1</v>
      </c>
      <c r="C9603" s="7" t="s">
        <v>10</v>
      </c>
      <c r="D9603" s="7">
        <v>11434</v>
      </c>
      <c r="E9603" s="7" t="s">
        <v>28</v>
      </c>
      <c r="F9603" s="8" t="str">
        <f ca="1">IFERROR(__xludf.DUMMYFUNCTION("IF
(
C9604=""фізична особа""
,
VLOOKUP(D9604,IMPORTRANGE(""https://docs.google.com/spreadsheets/d/14Bd19lYaqBhU8_DElYkX7l4wRkHqqCUFNJY4AfY3kHU/edit?usp=sharing  #gid=0"",""фіз особи new!relations_name""),6,FALSE)
,
(IF
(
C9604=""юридична особа""
,
VLOOKUP"&amp;"(D9604,IMPORTRANGE(""https://docs.google.com/spreadsheets/d/14Bd19lYaqBhU8_DElYkX7l4wRkHqqCUFNJY4AfY3kHU/edit?usp=sharing  #gid=0"",""фіз особи new!relations_name_uo""),7,FALSE)
,
)
))"),"МЯКОТНІКОВА Олена Олександрівна")</f>
        <v>МЯКОТНІКОВА Олена Олександрівна</v>
      </c>
      <c r="G9603" s="7" t="s">
        <v>10</v>
      </c>
      <c r="H9603" s="7">
        <v>3058</v>
      </c>
      <c r="I9603" s="8" t="str">
        <f ca="1">IFERROR(__xludf.DUMMYFUNCTION("IF
(
G9604=""фізична особа""
,
VLOOKUP(H9604,IMPORTRANGE(""https://docs.google.com/spreadsheets/d/14Bd19lYaqBhU8_DElYkX7l4wRkHqqCUFNJY4AfY3kHU/edit?usp=sharing  #gid=0"",""фіз особи new!relations_name""),6,FALSE)
,
(IF
(
G9604=""юридична особа""
,
VLOOKUP"&amp;"(H9604,IMPORTRANGE(""https://docs.google.com/spreadsheets/d/14Bd19lYaqBhU8_DElYkX7l4wRkHqqCUFNJY4AfY3kHU/edit?usp=sharing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9603" s="7" t="s">
        <v>29</v>
      </c>
    </row>
    <row r="9604" spans="1:10" ht="13.2">
      <c r="A9604" s="7">
        <v>9603</v>
      </c>
      <c r="B9604" s="7">
        <v>1</v>
      </c>
      <c r="C9604" s="7" t="s">
        <v>10</v>
      </c>
      <c r="D9604" s="7">
        <v>11435</v>
      </c>
      <c r="E9604" s="7" t="s">
        <v>28</v>
      </c>
      <c r="F9604" s="8" t="str">
        <f ca="1">IFERROR(__xludf.DUMMYFUNCTION("IF
(
C9605=""фізична особа""
,
VLOOKUP(D9605,IMPORTRANGE(""https://docs.google.com/spreadsheets/d/14Bd19lYaqBhU8_DElYkX7l4wRkHqqCUFNJY4AfY3kHU/edit?usp=sharing  #gid=0"",""фіз особи new!relations_name""),6,FALSE)
,
(IF
(
C9605=""юридична особа""
,
VLOOKUP"&amp;"(D9605,IMPORTRANGE(""https://docs.google.com/spreadsheets/d/14Bd19lYaqBhU8_DElYkX7l4wRkHqqCUFNJY4AfY3kHU/edit?usp=sharing  #gid=0"",""фіз особи new!relations_name_uo""),7,FALSE)
,
)
))"),"ПАШКОВ Антон Андрійович")</f>
        <v>ПАШКОВ Антон Андрійович</v>
      </c>
      <c r="G9604" s="7" t="s">
        <v>10</v>
      </c>
      <c r="H9604" s="7">
        <v>3058</v>
      </c>
      <c r="I9604" s="8" t="str">
        <f ca="1">IFERROR(__xludf.DUMMYFUNCTION("IF
(
G9605=""фізична особа""
,
VLOOKUP(H9605,IMPORTRANGE(""https://docs.google.com/spreadsheets/d/14Bd19lYaqBhU8_DElYkX7l4wRkHqqCUFNJY4AfY3kHU/edit?usp=sharing  #gid=0"",""фіз особи new!relations_name""),6,FALSE)
,
(IF
(
G9605=""юридична особа""
,
VLOOKUP"&amp;"(H9605,IMPORTRANGE(""https://docs.google.com/spreadsheets/d/14Bd19lYaqBhU8_DElYkX7l4wRkHqqCUFNJY4AfY3kHU/edit?usp=sharing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9604" s="7" t="s">
        <v>29</v>
      </c>
    </row>
    <row r="9605" spans="1:10" ht="13.2">
      <c r="A9605" s="7">
        <v>9604</v>
      </c>
      <c r="B9605" s="7">
        <v>1</v>
      </c>
      <c r="C9605" s="7" t="s">
        <v>10</v>
      </c>
      <c r="D9605" s="7">
        <v>11436</v>
      </c>
      <c r="E9605" s="7" t="s">
        <v>28</v>
      </c>
      <c r="F9605" s="8" t="str">
        <f ca="1">IFERROR(__xludf.DUMMYFUNCTION("IF
(
C9606=""фізична особа""
,
VLOOKUP(D9606,IMPORTRANGE(""https://docs.google.com/spreadsheets/d/14Bd19lYaqBhU8_DElYkX7l4wRkHqqCUFNJY4AfY3kHU/edit?usp=sharing  #gid=0"",""фіз особи new!relations_name""),6,FALSE)
,
(IF
(
C9606=""юридична особа""
,
VLOOKUP"&amp;"(D9606,IMPORTRANGE(""https://docs.google.com/spreadsheets/d/14Bd19lYaqBhU8_DElYkX7l4wRkHqqCUFNJY4AfY3kHU/edit?usp=sharing  #gid=0"",""фіз особи new!relations_name_uo""),7,FALSE)
,
)
))"),"ПОВТОРЕНКО Олексій Віталійович")</f>
        <v>ПОВТОРЕНКО Олексій Віталійович</v>
      </c>
      <c r="G9605" s="7" t="s">
        <v>10</v>
      </c>
      <c r="H9605" s="7">
        <v>3058</v>
      </c>
      <c r="I9605" s="8" t="str">
        <f ca="1">IFERROR(__xludf.DUMMYFUNCTION("IF
(
G9606=""фізична особа""
,
VLOOKUP(H9606,IMPORTRANGE(""https://docs.google.com/spreadsheets/d/14Bd19lYaqBhU8_DElYkX7l4wRkHqqCUFNJY4AfY3kHU/edit?usp=sharing  #gid=0"",""фіз особи new!relations_name""),6,FALSE)
,
(IF
(
G9606=""юридична особа""
,
VLOOKUP"&amp;"(H9606,IMPORTRANGE(""https://docs.google.com/spreadsheets/d/14Bd19lYaqBhU8_DElYkX7l4wRkHqqCUFNJY4AfY3kHU/edit?usp=sharing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9605" s="7" t="s">
        <v>29</v>
      </c>
    </row>
    <row r="9606" spans="1:10" ht="13.2">
      <c r="A9606" s="7">
        <v>9605</v>
      </c>
      <c r="B9606" s="7">
        <v>1</v>
      </c>
      <c r="C9606" s="7" t="s">
        <v>10</v>
      </c>
      <c r="D9606" s="7">
        <v>11437</v>
      </c>
      <c r="E9606" s="7" t="s">
        <v>28</v>
      </c>
      <c r="F9606" s="8" t="str">
        <f ca="1">IFERROR(__xludf.DUMMYFUNCTION("IF
(
C9607=""фізична особа""
,
VLOOKUP(D9607,IMPORTRANGE(""https://docs.google.com/spreadsheets/d/14Bd19lYaqBhU8_DElYkX7l4wRkHqqCUFNJY4AfY3kHU/edit?usp=sharing  #gid=0"",""фіз особи new!relations_name""),6,FALSE)
,
(IF
(
C9607=""юридична особа""
,
VLOOKUP"&amp;"(D9607,IMPORTRANGE(""https://docs.google.com/spreadsheets/d/14Bd19lYaqBhU8_DElYkX7l4wRkHqqCUFNJY4AfY3kHU/edit?usp=sharing  #gid=0"",""фіз особи new!relations_name_uo""),7,FALSE)
,
)
))"),"ПОКРОВСЬКИЙ Дмитро Євгенович")</f>
        <v>ПОКРОВСЬКИЙ Дмитро Євгенович</v>
      </c>
      <c r="G9606" s="7" t="s">
        <v>10</v>
      </c>
      <c r="H9606" s="7">
        <v>3058</v>
      </c>
      <c r="I9606" s="8" t="str">
        <f ca="1">IFERROR(__xludf.DUMMYFUNCTION("IF
(
G9607=""фізична особа""
,
VLOOKUP(H9607,IMPORTRANGE(""https://docs.google.com/spreadsheets/d/14Bd19lYaqBhU8_DElYkX7l4wRkHqqCUFNJY4AfY3kHU/edit?usp=sharing  #gid=0"",""фіз особи new!relations_name""),6,FALSE)
,
(IF
(
G9607=""юридична особа""
,
VLOOKUP"&amp;"(H9607,IMPORTRANGE(""https://docs.google.com/spreadsheets/d/14Bd19lYaqBhU8_DElYkX7l4wRkHqqCUFNJY4AfY3kHU/edit?usp=sharing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9606" s="7" t="s">
        <v>29</v>
      </c>
    </row>
    <row r="9607" spans="1:10" ht="13.2">
      <c r="A9607" s="7">
        <v>9606</v>
      </c>
      <c r="B9607" s="7">
        <v>1</v>
      </c>
      <c r="C9607" s="7" t="s">
        <v>10</v>
      </c>
      <c r="D9607" s="7">
        <v>11438</v>
      </c>
      <c r="E9607" s="7" t="s">
        <v>28</v>
      </c>
      <c r="F9607" s="8" t="str">
        <f ca="1">IFERROR(__xludf.DUMMYFUNCTION("IF
(
C9608=""фізична особа""
,
VLOOKUP(D9608,IMPORTRANGE(""https://docs.google.com/spreadsheets/d/14Bd19lYaqBhU8_DElYkX7l4wRkHqqCUFNJY4AfY3kHU/edit?usp=sharing  #gid=0"",""фіз особи new!relations_name""),6,FALSE)
,
(IF
(
C9608=""юридична особа""
,
VLOOKUP"&amp;"(D9608,IMPORTRANGE(""https://docs.google.com/spreadsheets/d/14Bd19lYaqBhU8_DElYkX7l4wRkHqqCUFNJY4AfY3kHU/edit?usp=sharing  #gid=0"",""фіз особи new!relations_name_uo""),7,FALSE)
,
)
))"),"ТИЦЬКИЙ Антон Робертович")</f>
        <v>ТИЦЬКИЙ Антон Робертович</v>
      </c>
      <c r="G9607" s="7" t="s">
        <v>10</v>
      </c>
      <c r="H9607" s="7">
        <v>3058</v>
      </c>
      <c r="I9607" s="8" t="str">
        <f ca="1">IFERROR(__xludf.DUMMYFUNCTION("IF
(
G9608=""фізична особа""
,
VLOOKUP(H9608,IMPORTRANGE(""https://docs.google.com/spreadsheets/d/14Bd19lYaqBhU8_DElYkX7l4wRkHqqCUFNJY4AfY3kHU/edit?usp=sharing  #gid=0"",""фіз особи new!relations_name""),6,FALSE)
,
(IF
(
G9608=""юридична особа""
,
VLOOKUP"&amp;"(H9608,IMPORTRANGE(""https://docs.google.com/spreadsheets/d/14Bd19lYaqBhU8_DElYkX7l4wRkHqqCUFNJY4AfY3kHU/edit?usp=sharing  #gid=0"",""фіз особи new!relations_name_uo""),7,FALSE)
,
)
))"),"РАЗУВАЄВА Ксенія Денисівна")</f>
        <v>РАЗУВАЄВА Ксенія Денисівна</v>
      </c>
      <c r="J9607" s="7" t="s">
        <v>29</v>
      </c>
    </row>
    <row r="9608" spans="1:10" ht="13.2">
      <c r="A9608" s="7">
        <v>9607</v>
      </c>
      <c r="B9608" s="7">
        <v>1</v>
      </c>
      <c r="C9608" s="7" t="s">
        <v>10</v>
      </c>
      <c r="D9608" s="7">
        <v>11439</v>
      </c>
      <c r="E9608" s="7" t="s">
        <v>28</v>
      </c>
      <c r="F9608" s="8" t="str">
        <f ca="1">IFERROR(__xludf.DUMMYFUNCTION("IF
(
C9609=""фізична особа""
,
VLOOKUP(D9609,IMPORTRANGE(""https://docs.google.com/spreadsheets/d/14Bd19lYaqBhU8_DElYkX7l4wRkHqqCUFNJY4AfY3kHU/edit?usp=sharing  #gid=0"",""фіз особи new!relations_name""),6,FALSE)
,
(IF
(
C9609=""юридична особа""
,
VLOOKUP"&amp;"(D9609,IMPORTRANGE(""https://docs.google.com/spreadsheets/d/14Bd19lYaqBhU8_DElYkX7l4wRkHqqCUFNJY4AfY3kHU/edit?usp=sharing  #gid=0"",""фіз особи new!relations_name_uo""),7,FALSE)
,
)
))"),"СЕРЬОГІН Олег Сергійович")</f>
        <v>СЕРЬОГІН Олег Сергійович</v>
      </c>
      <c r="G9608" s="7" t="s">
        <v>10</v>
      </c>
      <c r="H9608" s="7">
        <v>3062</v>
      </c>
      <c r="I9608" s="8" t="str">
        <f ca="1">IFERROR(__xludf.DUMMYFUNCTION("IF
(
G9609=""фізична особа""
,
VLOOKUP(H9609,IMPORTRANGE(""https://docs.google.com/spreadsheets/d/14Bd19lYaqBhU8_DElYkX7l4wRkHqqCUFNJY4AfY3kHU/edit?usp=sharing  #gid=0"",""фіз особи new!relations_name""),6,FALSE)
,
(IF
(
G9609=""юридична особа""
,
VLOOKUP"&amp;"(H9609,IMPORTRANGE(""https://docs.google.com/spreadsheets/d/14Bd19lYaqBhU8_DElYkX7l4wRkHqqCUFNJY4AfY3kHU/edit?usp=sharing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608" s="7" t="s">
        <v>29</v>
      </c>
    </row>
    <row r="9609" spans="1:10" ht="13.2">
      <c r="A9609" s="7">
        <v>9608</v>
      </c>
      <c r="B9609" s="7">
        <v>1</v>
      </c>
      <c r="C9609" s="7" t="s">
        <v>10</v>
      </c>
      <c r="D9609" s="7">
        <v>11440</v>
      </c>
      <c r="E9609" s="7" t="s">
        <v>28</v>
      </c>
      <c r="F9609" s="8" t="str">
        <f ca="1">IFERROR(__xludf.DUMMYFUNCTION("IF
(
C9610=""фізична особа""
,
VLOOKUP(D9610,IMPORTRANGE(""https://docs.google.com/spreadsheets/d/14Bd19lYaqBhU8_DElYkX7l4wRkHqqCUFNJY4AfY3kHU/edit?usp=sharing  #gid=0"",""фіз особи new!relations_name""),6,FALSE)
,
(IF
(
C9610=""юридична особа""
,
VLOOKUP"&amp;"(D9610,IMPORTRANGE(""https://docs.google.com/spreadsheets/d/14Bd19lYaqBhU8_DElYkX7l4wRkHqqCUFNJY4AfY3kHU/edit?usp=sharing  #gid=0"",""фіз особи new!relations_name_uo""),7,FALSE)
,
)
))"),"МІШИН Михайло Миколайович")</f>
        <v>МІШИН Михайло Миколайович</v>
      </c>
      <c r="G9609" s="7" t="s">
        <v>10</v>
      </c>
      <c r="H9609" s="7">
        <v>3062</v>
      </c>
      <c r="I9609" s="8" t="str">
        <f ca="1">IFERROR(__xludf.DUMMYFUNCTION("IF
(
G9610=""фізична особа""
,
VLOOKUP(H9610,IMPORTRANGE(""https://docs.google.com/spreadsheets/d/14Bd19lYaqBhU8_DElYkX7l4wRkHqqCUFNJY4AfY3kHU/edit?usp=sharing  #gid=0"",""фіз особи new!relations_name""),6,FALSE)
,
(IF
(
G9610=""юридична особа""
,
VLOOKUP"&amp;"(H9610,IMPORTRANGE(""https://docs.google.com/spreadsheets/d/14Bd19lYaqBhU8_DElYkX7l4wRkHqqCUFNJY4AfY3kHU/edit?usp=sharing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609" s="7" t="s">
        <v>29</v>
      </c>
    </row>
    <row r="9610" spans="1:10" ht="13.2">
      <c r="A9610" s="7">
        <v>9609</v>
      </c>
      <c r="B9610" s="7">
        <v>1</v>
      </c>
      <c r="C9610" s="7" t="s">
        <v>10</v>
      </c>
      <c r="D9610" s="7">
        <v>11441</v>
      </c>
      <c r="E9610" s="7" t="s">
        <v>28</v>
      </c>
      <c r="F9610" s="8" t="str">
        <f ca="1">IFERROR(__xludf.DUMMYFUNCTION("IF
(
C9611=""фізична особа""
,
VLOOKUP(D9611,IMPORTRANGE(""https://docs.google.com/spreadsheets/d/14Bd19lYaqBhU8_DElYkX7l4wRkHqqCUFNJY4AfY3kHU/edit?usp=sharing  #gid=0"",""фіз особи new!relations_name""),6,FALSE)
,
(IF
(
C9611=""юридична особа""
,
VLOOKUP"&amp;"(D9611,IMPORTRANGE(""https://docs.google.com/spreadsheets/d/14Bd19lYaqBhU8_DElYkX7l4wRkHqqCUFNJY4AfY3kHU/edit?usp=sharing  #gid=0"",""фіз особи new!relations_name_uo""),7,FALSE)
,
)
))"),"ПОЛЕЖАЄВА Ганна Андріївна")</f>
        <v>ПОЛЕЖАЄВА Ганна Андріївна</v>
      </c>
      <c r="G9610" s="7" t="s">
        <v>10</v>
      </c>
      <c r="H9610" s="7">
        <v>3062</v>
      </c>
      <c r="I9610" s="8" t="str">
        <f ca="1">IFERROR(__xludf.DUMMYFUNCTION("IF
(
G9611=""фізична особа""
,
VLOOKUP(H9611,IMPORTRANGE(""https://docs.google.com/spreadsheets/d/14Bd19lYaqBhU8_DElYkX7l4wRkHqqCUFNJY4AfY3kHU/edit?usp=sharing  #gid=0"",""фіз особи new!relations_name""),6,FALSE)
,
(IF
(
G9611=""юридична особа""
,
VLOOKUP"&amp;"(H9611,IMPORTRANGE(""https://docs.google.com/spreadsheets/d/14Bd19lYaqBhU8_DElYkX7l4wRkHqqCUFNJY4AfY3kHU/edit?usp=sharing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610" s="7" t="s">
        <v>29</v>
      </c>
    </row>
    <row r="9611" spans="1:10" ht="13.2">
      <c r="A9611" s="7">
        <v>9610</v>
      </c>
      <c r="B9611" s="7">
        <v>1</v>
      </c>
      <c r="C9611" s="7" t="s">
        <v>10</v>
      </c>
      <c r="D9611" s="7">
        <v>11442</v>
      </c>
      <c r="E9611" s="7" t="s">
        <v>28</v>
      </c>
      <c r="F9611" s="8" t="str">
        <f ca="1">IFERROR(__xludf.DUMMYFUNCTION("IF
(
C9612=""фізична особа""
,
VLOOKUP(D9612,IMPORTRANGE(""https://docs.google.com/spreadsheets/d/14Bd19lYaqBhU8_DElYkX7l4wRkHqqCUFNJY4AfY3kHU/edit?usp=sharing  #gid=0"",""фіз особи new!relations_name""),6,FALSE)
,
(IF
(
C9612=""юридична особа""
,
VLOOKUP"&amp;"(D9612,IMPORTRANGE(""https://docs.google.com/spreadsheets/d/14Bd19lYaqBhU8_DElYkX7l4wRkHqqCUFNJY4AfY3kHU/edit?usp=sharing  #gid=0"",""фіз особи new!relations_name_uo""),7,FALSE)
,
)
))"),"СЛЕПЧЕНКО Олег Юрійович")</f>
        <v>СЛЕПЧЕНКО Олег Юрійович</v>
      </c>
      <c r="G9611" s="7" t="s">
        <v>10</v>
      </c>
      <c r="H9611" s="7">
        <v>3062</v>
      </c>
      <c r="I9611" s="8" t="str">
        <f ca="1">IFERROR(__xludf.DUMMYFUNCTION("IF
(
G9612=""фізична особа""
,
VLOOKUP(H9612,IMPORTRANGE(""https://docs.google.com/spreadsheets/d/14Bd19lYaqBhU8_DElYkX7l4wRkHqqCUFNJY4AfY3kHU/edit?usp=sharing  #gid=0"",""фіз особи new!relations_name""),6,FALSE)
,
(IF
(
G9612=""юридична особа""
,
VLOOKUP"&amp;"(H9612,IMPORTRANGE(""https://docs.google.com/spreadsheets/d/14Bd19lYaqBhU8_DElYkX7l4wRkHqqCUFNJY4AfY3kHU/edit?usp=sharing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611" s="7" t="s">
        <v>29</v>
      </c>
    </row>
    <row r="9612" spans="1:10" ht="13.2">
      <c r="A9612" s="7">
        <v>9611</v>
      </c>
      <c r="B9612" s="7">
        <v>1</v>
      </c>
      <c r="C9612" s="7" t="s">
        <v>10</v>
      </c>
      <c r="D9612" s="7">
        <v>11443</v>
      </c>
      <c r="E9612" s="7" t="s">
        <v>28</v>
      </c>
      <c r="F9612" s="8" t="str">
        <f ca="1">IFERROR(__xludf.DUMMYFUNCTION("IF
(
C9613=""фізична особа""
,
VLOOKUP(D9613,IMPORTRANGE(""https://docs.google.com/spreadsheets/d/14Bd19lYaqBhU8_DElYkX7l4wRkHqqCUFNJY4AfY3kHU/edit?usp=sharing  #gid=0"",""фіз особи new!relations_name""),6,FALSE)
,
(IF
(
C9613=""юридична особа""
,
VLOOKUP"&amp;"(D9613,IMPORTRANGE(""https://docs.google.com/spreadsheets/d/14Bd19lYaqBhU8_DElYkX7l4wRkHqqCUFNJY4AfY3kHU/edit?usp=sharing  #gid=0"",""фіз особи new!relations_name_uo""),7,FALSE)
,
)
))"),"РИБАКОВА Юлія Львівна")</f>
        <v>РИБАКОВА Юлія Львівна</v>
      </c>
      <c r="G9612" s="7" t="s">
        <v>10</v>
      </c>
      <c r="H9612" s="7">
        <v>3065</v>
      </c>
      <c r="I9612" s="8" t="str">
        <f ca="1">IFERROR(__xludf.DUMMYFUNCTION("IF
(
G9613=""фізична особа""
,
VLOOKUP(H9613,IMPORTRANGE(""https://docs.google.com/spreadsheets/d/14Bd19lYaqBhU8_DElYkX7l4wRkHqqCUFNJY4AfY3kHU/edit?usp=sharing  #gid=0"",""фіз особи new!relations_name""),6,FALSE)
,
(IF
(
G9613=""юридична особа""
,
VLOOKUP"&amp;"(H9613,IMPORTRANGE(""https://docs.google.com/spreadsheets/d/14Bd19lYaqBhU8_DElYkX7l4wRkHqqCUFNJY4AfY3kHU/edit?usp=sharing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612" s="7" t="s">
        <v>29</v>
      </c>
    </row>
    <row r="9613" spans="1:10" ht="13.2">
      <c r="A9613" s="7">
        <v>9612</v>
      </c>
      <c r="B9613" s="7">
        <v>1</v>
      </c>
      <c r="C9613" s="7" t="s">
        <v>10</v>
      </c>
      <c r="D9613" s="7">
        <v>11444</v>
      </c>
      <c r="E9613" s="7" t="s">
        <v>28</v>
      </c>
      <c r="F9613" s="8" t="str">
        <f ca="1">IFERROR(__xludf.DUMMYFUNCTION("IF
(
C9614=""фізична особа""
,
VLOOKUP(D9614,IMPORTRANGE(""https://docs.google.com/spreadsheets/d/14Bd19lYaqBhU8_DElYkX7l4wRkHqqCUFNJY4AfY3kHU/edit?usp=sharing  #gid=0"",""фіз особи new!relations_name""),6,FALSE)
,
(IF
(
C9614=""юридична особа""
,
VLOOKUP"&amp;"(D9614,IMPORTRANGE(""https://docs.google.com/spreadsheets/d/14Bd19lYaqBhU8_DElYkX7l4wRkHqqCUFNJY4AfY3kHU/edit?usp=sharing  #gid=0"",""фіз особи new!relations_name_uo""),7,FALSE)
,
)
))"),"ГЕЛІСХАНОВ Іслам Зелімханович")</f>
        <v>ГЕЛІСХАНОВ Іслам Зелімханович</v>
      </c>
      <c r="G9613" s="7" t="s">
        <v>10</v>
      </c>
      <c r="H9613" s="7">
        <v>3065</v>
      </c>
      <c r="I9613" s="8" t="str">
        <f ca="1">IFERROR(__xludf.DUMMYFUNCTION("IF
(
G9614=""фізична особа""
,
VLOOKUP(H9614,IMPORTRANGE(""https://docs.google.com/spreadsheets/d/14Bd19lYaqBhU8_DElYkX7l4wRkHqqCUFNJY4AfY3kHU/edit?usp=sharing  #gid=0"",""фіз особи new!relations_name""),6,FALSE)
,
(IF
(
G9614=""юридична особа""
,
VLOOKUP"&amp;"(H9614,IMPORTRANGE(""https://docs.google.com/spreadsheets/d/14Bd19lYaqBhU8_DElYkX7l4wRkHqqCUFNJY4AfY3kHU/edit?usp=sharing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613" s="7" t="s">
        <v>29</v>
      </c>
    </row>
    <row r="9614" spans="1:10" ht="13.2">
      <c r="A9614" s="7">
        <v>9613</v>
      </c>
      <c r="B9614" s="7">
        <v>1</v>
      </c>
      <c r="C9614" s="7" t="s">
        <v>10</v>
      </c>
      <c r="D9614" s="7">
        <v>11445</v>
      </c>
      <c r="E9614" s="7" t="s">
        <v>28</v>
      </c>
      <c r="F9614" s="8" t="str">
        <f ca="1">IFERROR(__xludf.DUMMYFUNCTION("IF
(
C9615=""фізична особа""
,
VLOOKUP(D9615,IMPORTRANGE(""https://docs.google.com/spreadsheets/d/14Bd19lYaqBhU8_DElYkX7l4wRkHqqCUFNJY4AfY3kHU/edit?usp=sharing  #gid=0"",""фіз особи new!relations_name""),6,FALSE)
,
(IF
(
C9615=""юридична особа""
,
VLOOKUP"&amp;"(D9615,IMPORTRANGE(""https://docs.google.com/spreadsheets/d/14Bd19lYaqBhU8_DElYkX7l4wRkHqqCUFNJY4AfY3kHU/edit?usp=sharing  #gid=0"",""фіз особи new!relations_name_uo""),7,FALSE)
,
)
))"),"КУДЕЛЯ Євгеній Володимирович")</f>
        <v>КУДЕЛЯ Євгеній Володимирович</v>
      </c>
      <c r="G9614" s="7" t="s">
        <v>10</v>
      </c>
      <c r="H9614" s="7">
        <v>3065</v>
      </c>
      <c r="I9614" s="8" t="str">
        <f ca="1">IFERROR(__xludf.DUMMYFUNCTION("IF
(
G9615=""фізична особа""
,
VLOOKUP(H9615,IMPORTRANGE(""https://docs.google.com/spreadsheets/d/14Bd19lYaqBhU8_DElYkX7l4wRkHqqCUFNJY4AfY3kHU/edit?usp=sharing  #gid=0"",""фіз особи new!relations_name""),6,FALSE)
,
(IF
(
G9615=""юридична особа""
,
VLOOKUP"&amp;"(H9615,IMPORTRANGE(""https://docs.google.com/spreadsheets/d/14Bd19lYaqBhU8_DElYkX7l4wRkHqqCUFNJY4AfY3kHU/edit?usp=sharing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614" s="7" t="s">
        <v>29</v>
      </c>
    </row>
    <row r="9615" spans="1:10" ht="13.2">
      <c r="A9615" s="7">
        <v>9614</v>
      </c>
      <c r="B9615" s="7">
        <v>1</v>
      </c>
      <c r="C9615" s="7" t="s">
        <v>10</v>
      </c>
      <c r="D9615" s="7">
        <v>11446</v>
      </c>
      <c r="E9615" s="7" t="s">
        <v>28</v>
      </c>
      <c r="F9615" s="8" t="str">
        <f ca="1">IFERROR(__xludf.DUMMYFUNCTION("IF
(
C9616=""фізична особа""
,
VLOOKUP(D9616,IMPORTRANGE(""https://docs.google.com/spreadsheets/d/14Bd19lYaqBhU8_DElYkX7l4wRkHqqCUFNJY4AfY3kHU/edit?usp=sharing  #gid=0"",""фіз особи new!relations_name""),6,FALSE)
,
(IF
(
C9616=""юридична особа""
,
VLOOKUP"&amp;"(D9616,IMPORTRANGE(""https://docs.google.com/spreadsheets/d/14Bd19lYaqBhU8_DElYkX7l4wRkHqqCUFNJY4AfY3kHU/edit?usp=sharing  #gid=0"",""фіз особи new!relations_name_uo""),7,FALSE)
,
)
))"),"ПЕТЕРНЄВ Дмитро Анатолійович")</f>
        <v>ПЕТЕРНЄВ Дмитро Анатолійович</v>
      </c>
      <c r="G9615" s="7" t="s">
        <v>10</v>
      </c>
      <c r="H9615" s="7">
        <v>3065</v>
      </c>
      <c r="I9615" s="8" t="str">
        <f ca="1">IFERROR(__xludf.DUMMYFUNCTION("IF
(
G9616=""фізична особа""
,
VLOOKUP(H9616,IMPORTRANGE(""https://docs.google.com/spreadsheets/d/14Bd19lYaqBhU8_DElYkX7l4wRkHqqCUFNJY4AfY3kHU/edit?usp=sharing  #gid=0"",""фіз особи new!relations_name""),6,FALSE)
,
(IF
(
G9616=""юридична особа""
,
VLOOKUP"&amp;"(H9616,IMPORTRANGE(""https://docs.google.com/spreadsheets/d/14Bd19lYaqBhU8_DElYkX7l4wRkHqqCUFNJY4AfY3kHU/edit?usp=sharing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615" s="7" t="s">
        <v>29</v>
      </c>
    </row>
    <row r="9616" spans="1:10" ht="13.2">
      <c r="A9616" s="7">
        <v>9615</v>
      </c>
      <c r="B9616" s="7">
        <v>1</v>
      </c>
      <c r="C9616" s="7" t="s">
        <v>10</v>
      </c>
      <c r="D9616" s="7">
        <v>11447</v>
      </c>
      <c r="E9616" s="7" t="s">
        <v>28</v>
      </c>
      <c r="F9616" s="8" t="str">
        <f ca="1">IFERROR(__xludf.DUMMYFUNCTION("IF
(
C9617=""фізична особа""
,
VLOOKUP(D9617,IMPORTRANGE(""https://docs.google.com/spreadsheets/d/14Bd19lYaqBhU8_DElYkX7l4wRkHqqCUFNJY4AfY3kHU/edit?usp=sharing  #gid=0"",""фіз особи new!relations_name""),6,FALSE)
,
(IF
(
C9617=""юридична особа""
,
VLOOKUP"&amp;"(D9617,IMPORTRANGE(""https://docs.google.com/spreadsheets/d/14Bd19lYaqBhU8_DElYkX7l4wRkHqqCUFNJY4AfY3kHU/edit?usp=sharing  #gid=0"",""фіз особи new!relations_name_uo""),7,FALSE)
,
)
))"),"КАНЧЕРОВА Діана Алімівна")</f>
        <v>КАНЧЕРОВА Діана Алімівна</v>
      </c>
      <c r="G9616" s="7" t="s">
        <v>10</v>
      </c>
      <c r="H9616" s="7">
        <v>3065</v>
      </c>
      <c r="I9616" s="8" t="str">
        <f ca="1">IFERROR(__xludf.DUMMYFUNCTION("IF
(
G9617=""фізична особа""
,
VLOOKUP(H9617,IMPORTRANGE(""https://docs.google.com/spreadsheets/d/14Bd19lYaqBhU8_DElYkX7l4wRkHqqCUFNJY4AfY3kHU/edit?usp=sharing  #gid=0"",""фіз особи new!relations_name""),6,FALSE)
,
(IF
(
G9617=""юридична особа""
,
VLOOKUP"&amp;"(H9617,IMPORTRANGE(""https://docs.google.com/spreadsheets/d/14Bd19lYaqBhU8_DElYkX7l4wRkHqqCUFNJY4AfY3kHU/edit?usp=sharing  #gid=0"",""фіз особи new!relations_name_uo""),7,FALSE)
,
)
))"),"ДОГУЗОВА Заріна Валеріївна")</f>
        <v>ДОГУЗОВА Заріна Валеріївна</v>
      </c>
      <c r="J9616" s="7" t="s">
        <v>29</v>
      </c>
    </row>
    <row r="9617" spans="1:10" ht="13.2">
      <c r="A9617" s="7">
        <v>9616</v>
      </c>
      <c r="B9617" s="7">
        <v>1</v>
      </c>
      <c r="C9617" s="7" t="s">
        <v>10</v>
      </c>
      <c r="D9617" s="7">
        <v>11448</v>
      </c>
      <c r="E9617" s="7" t="s">
        <v>28</v>
      </c>
      <c r="F9617" s="8" t="str">
        <f ca="1">IFERROR(__xludf.DUMMYFUNCTION("IF
(
C9618=""фізична особа""
,
VLOOKUP(D9618,IMPORTRANGE(""https://docs.google.com/spreadsheets/d/14Bd19lYaqBhU8_DElYkX7l4wRkHqqCUFNJY4AfY3kHU/edit?usp=sharing  #gid=0"",""фіз особи new!relations_name""),6,FALSE)
,
(IF
(
C9618=""юридична особа""
,
VLOOKUP"&amp;"(D9618,IMPORTRANGE(""https://docs.google.com/spreadsheets/d/14Bd19lYaqBhU8_DElYkX7l4wRkHqqCUFNJY4AfY3kHU/edit?usp=sharing  #gid=0"",""фіз особи new!relations_name_uo""),7,FALSE)
,
)
))"),"КАЗАК Ганна Анріївна")</f>
        <v>КАЗАК Ганна Анріївна</v>
      </c>
      <c r="G9617" s="7" t="s">
        <v>10</v>
      </c>
      <c r="H9617" s="7">
        <v>3042</v>
      </c>
      <c r="I9617" s="8" t="str">
        <f ca="1">IFERROR(__xludf.DUMMYFUNCTION("IF
(
G9618=""фізична особа""
,
VLOOKUP(H9618,IMPORTRANGE(""https://docs.google.com/spreadsheets/d/14Bd19lYaqBhU8_DElYkX7l4wRkHqqCUFNJY4AfY3kHU/edit?usp=sharing  #gid=0"",""фіз особи new!relations_name""),6,FALSE)
,
(IF
(
G9618=""юридична особа""
,
VLOOKUP"&amp;"(H9618,IMPORTRANGE(""https://docs.google.com/spreadsheets/d/14Bd19lYaqBhU8_DElYkX7l4wRkHqqCUFNJY4AfY3kHU/edit?usp=sharing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17" s="7" t="s">
        <v>29</v>
      </c>
    </row>
    <row r="9618" spans="1:10" ht="13.2">
      <c r="A9618" s="7">
        <v>9617</v>
      </c>
      <c r="B9618" s="7">
        <v>1</v>
      </c>
      <c r="C9618" s="7" t="s">
        <v>10</v>
      </c>
      <c r="D9618" s="7">
        <v>11449</v>
      </c>
      <c r="E9618" s="7" t="s">
        <v>28</v>
      </c>
      <c r="F9618" s="8" t="str">
        <f ca="1">IFERROR(__xludf.DUMMYFUNCTION("IF
(
C9619=""фізична особа""
,
VLOOKUP(D9619,IMPORTRANGE(""https://docs.google.com/spreadsheets/d/14Bd19lYaqBhU8_DElYkX7l4wRkHqqCUFNJY4AfY3kHU/edit?usp=sharing  #gid=0"",""фіз особи new!relations_name""),6,FALSE)
,
(IF
(
C9619=""юридична особа""
,
VLOOKUP"&amp;"(D9619,IMPORTRANGE(""https://docs.google.com/spreadsheets/d/14Bd19lYaqBhU8_DElYkX7l4wRkHqqCUFNJY4AfY3kHU/edit?usp=sharing  #gid=0"",""фіз особи new!relations_name_uo""),7,FALSE)
,
)
))"),"БЄЛОУСОВА Єлизавета Аркадіївна")</f>
        <v>БЄЛОУСОВА Єлизавета Аркадіївна</v>
      </c>
      <c r="G9618" s="7" t="s">
        <v>10</v>
      </c>
      <c r="H9618" s="7">
        <v>3042</v>
      </c>
      <c r="I9618" s="8" t="str">
        <f ca="1">IFERROR(__xludf.DUMMYFUNCTION("IF
(
G9619=""фізична особа""
,
VLOOKUP(H9619,IMPORTRANGE(""https://docs.google.com/spreadsheets/d/14Bd19lYaqBhU8_DElYkX7l4wRkHqqCUFNJY4AfY3kHU/edit?usp=sharing  #gid=0"",""фіз особи new!relations_name""),6,FALSE)
,
(IF
(
G9619=""юридична особа""
,
VLOOKUP"&amp;"(H9619,IMPORTRANGE(""https://docs.google.com/spreadsheets/d/14Bd19lYaqBhU8_DElYkX7l4wRkHqqCUFNJY4AfY3kHU/edit?usp=sharing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18" s="7" t="s">
        <v>29</v>
      </c>
    </row>
    <row r="9619" spans="1:10" ht="13.2">
      <c r="A9619" s="7">
        <v>9618</v>
      </c>
      <c r="B9619" s="7">
        <v>1</v>
      </c>
      <c r="C9619" s="7" t="s">
        <v>10</v>
      </c>
      <c r="D9619" s="7">
        <v>11450</v>
      </c>
      <c r="E9619" s="7" t="s">
        <v>28</v>
      </c>
      <c r="F9619" s="8" t="str">
        <f ca="1">IFERROR(__xludf.DUMMYFUNCTION("IF
(
C9620=""фізична особа""
,
VLOOKUP(D9620,IMPORTRANGE(""https://docs.google.com/spreadsheets/d/14Bd19lYaqBhU8_DElYkX7l4wRkHqqCUFNJY4AfY3kHU/edit?usp=sharing  #gid=0"",""фіз особи new!relations_name""),6,FALSE)
,
(IF
(
C9620=""юридична особа""
,
VLOOKUP"&amp;"(D9620,IMPORTRANGE(""https://docs.google.com/spreadsheets/d/14Bd19lYaqBhU8_DElYkX7l4wRkHqqCUFNJY4AfY3kHU/edit?usp=sharing  #gid=0"",""фіз особи new!relations_name_uo""),7,FALSE)
,
)
))"),"ШАКІРОВ Фаяз Фанілович")</f>
        <v>ШАКІРОВ Фаяз Фанілович</v>
      </c>
      <c r="G9619" s="7" t="s">
        <v>10</v>
      </c>
      <c r="H9619" s="7">
        <v>2946</v>
      </c>
      <c r="I9619" s="8" t="str">
        <f ca="1">IFERROR(__xludf.DUMMYFUNCTION("IF
(
G9620=""фізична особа""
,
VLOOKUP(H9620,IMPORTRANGE(""https://docs.google.com/spreadsheets/d/14Bd19lYaqBhU8_DElYkX7l4wRkHqqCUFNJY4AfY3kHU/edit?usp=sharing  #gid=0"",""фіз особи new!relations_name""),6,FALSE)
,
(IF
(
G9620=""юридична особа""
,
VLOOKUP"&amp;"(H9620,IMPORTRANGE(""https://docs.google.com/spreadsheets/d/14Bd19lYaqBhU8_DElYkX7l4wRkHqqCUFNJY4AfY3kHU/edit?usp=sharing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19" s="7" t="s">
        <v>29</v>
      </c>
    </row>
    <row r="9620" spans="1:10" ht="13.2">
      <c r="A9620" s="7">
        <v>9619</v>
      </c>
      <c r="B9620" s="7">
        <v>1</v>
      </c>
      <c r="C9620" s="7" t="s">
        <v>10</v>
      </c>
      <c r="D9620" s="7">
        <v>11451</v>
      </c>
      <c r="E9620" s="7" t="s">
        <v>28</v>
      </c>
      <c r="F9620" s="8" t="str">
        <f ca="1">IFERROR(__xludf.DUMMYFUNCTION("IF
(
C9621=""фізична особа""
,
VLOOKUP(D9621,IMPORTRANGE(""https://docs.google.com/spreadsheets/d/14Bd19lYaqBhU8_DElYkX7l4wRkHqqCUFNJY4AfY3kHU/edit?usp=sharing  #gid=0"",""фіз особи new!relations_name""),6,FALSE)
,
(IF
(
C9621=""юридична особа""
,
VLOOKUP"&amp;"(D9621,IMPORTRANGE(""https://docs.google.com/spreadsheets/d/14Bd19lYaqBhU8_DElYkX7l4wRkHqqCUFNJY4AfY3kHU/edit?usp=sharing  #gid=0"",""фіз особи new!relations_name_uo""),7,FALSE)
,
)
))"),"МИХАЙЛОВ Сергій Валентинович")</f>
        <v>МИХАЙЛОВ Сергій Валентинович</v>
      </c>
      <c r="G9620" s="7" t="s">
        <v>10</v>
      </c>
      <c r="H9620" s="7">
        <v>2946</v>
      </c>
      <c r="I9620" s="8" t="str">
        <f ca="1">IFERROR(__xludf.DUMMYFUNCTION("IF
(
G9621=""фізична особа""
,
VLOOKUP(H9621,IMPORTRANGE(""https://docs.google.com/spreadsheets/d/14Bd19lYaqBhU8_DElYkX7l4wRkHqqCUFNJY4AfY3kHU/edit?usp=sharing  #gid=0"",""фіз особи new!relations_name""),6,FALSE)
,
(IF
(
G9621=""юридична особа""
,
VLOOKUP"&amp;"(H9621,IMPORTRANGE(""https://docs.google.com/spreadsheets/d/14Bd19lYaqBhU8_DElYkX7l4wRkHqqCUFNJY4AfY3kHU/edit?usp=sharing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0" s="7" t="s">
        <v>29</v>
      </c>
    </row>
    <row r="9621" spans="1:10" ht="13.2">
      <c r="A9621" s="7">
        <v>9620</v>
      </c>
      <c r="B9621" s="7">
        <v>1</v>
      </c>
      <c r="C9621" s="7" t="s">
        <v>10</v>
      </c>
      <c r="D9621" s="7">
        <v>11452</v>
      </c>
      <c r="E9621" s="7" t="s">
        <v>28</v>
      </c>
      <c r="F9621" s="8" t="str">
        <f ca="1">IFERROR(__xludf.DUMMYFUNCTION("IF
(
C9622=""фізична особа""
,
VLOOKUP(D9622,IMPORTRANGE(""https://docs.google.com/spreadsheets/d/14Bd19lYaqBhU8_DElYkX7l4wRkHqqCUFNJY4AfY3kHU/edit?usp=sharing  #gid=0"",""фіз особи new!relations_name""),6,FALSE)
,
(IF
(
C9622=""юридична особа""
,
VLOOKUP"&amp;"(D9622,IMPORTRANGE(""https://docs.google.com/spreadsheets/d/14Bd19lYaqBhU8_DElYkX7l4wRkHqqCUFNJY4AfY3kHU/edit?usp=sharing  #gid=0"",""фіз особи new!relations_name_uo""),7,FALSE)
,
)
))"),"БУЛАТОВА Світлана Ільгізівна")</f>
        <v>БУЛАТОВА Світлана Ільгізівна</v>
      </c>
      <c r="G9621" s="7" t="s">
        <v>10</v>
      </c>
      <c r="H9621" s="7">
        <v>3042</v>
      </c>
      <c r="I9621" s="8" t="str">
        <f ca="1">IFERROR(__xludf.DUMMYFUNCTION("IF
(
G9622=""фізична особа""
,
VLOOKUP(H9622,IMPORTRANGE(""https://docs.google.com/spreadsheets/d/14Bd19lYaqBhU8_DElYkX7l4wRkHqqCUFNJY4AfY3kHU/edit?usp=sharing  #gid=0"",""фіз особи new!relations_name""),6,FALSE)
,
(IF
(
G9622=""юридична особа""
,
VLOOKUP"&amp;"(H9622,IMPORTRANGE(""https://docs.google.com/spreadsheets/d/14Bd19lYaqBhU8_DElYkX7l4wRkHqqCUFNJY4AfY3kHU/edit?usp=sharing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21" s="7" t="s">
        <v>29</v>
      </c>
    </row>
    <row r="9622" spans="1:10" ht="13.2">
      <c r="A9622" s="7">
        <v>9621</v>
      </c>
      <c r="B9622" s="7">
        <v>1</v>
      </c>
      <c r="C9622" s="7" t="s">
        <v>10</v>
      </c>
      <c r="D9622" s="7">
        <v>11453</v>
      </c>
      <c r="E9622" s="7" t="s">
        <v>28</v>
      </c>
      <c r="F9622" s="8" t="str">
        <f ca="1">IFERROR(__xludf.DUMMYFUNCTION("IF
(
C9623=""фізична особа""
,
VLOOKUP(D9623,IMPORTRANGE(""https://docs.google.com/spreadsheets/d/14Bd19lYaqBhU8_DElYkX7l4wRkHqqCUFNJY4AfY3kHU/edit?usp=sharing  #gid=0"",""фіз особи new!relations_name""),6,FALSE)
,
(IF
(
C9623=""юридична особа""
,
VLOOKUP"&amp;"(D9623,IMPORTRANGE(""https://docs.google.com/spreadsheets/d/14Bd19lYaqBhU8_DElYkX7l4wRkHqqCUFNJY4AfY3kHU/edit?usp=sharing  #gid=0"",""фіз особи new!relations_name_uo""),7,FALSE)
,
)
))"),"ВЯЛЬЦИНА Наталія Єфімівна")</f>
        <v>ВЯЛЬЦИНА Наталія Єфімівна</v>
      </c>
      <c r="G9622" s="7" t="s">
        <v>10</v>
      </c>
      <c r="H9622" s="7">
        <v>3042</v>
      </c>
      <c r="I9622" s="8" t="str">
        <f ca="1">IFERROR(__xludf.DUMMYFUNCTION("IF
(
G9623=""фізична особа""
,
VLOOKUP(H9623,IMPORTRANGE(""https://docs.google.com/spreadsheets/d/14Bd19lYaqBhU8_DElYkX7l4wRkHqqCUFNJY4AfY3kHU/edit?usp=sharing  #gid=0"",""фіз особи new!relations_name""),6,FALSE)
,
(IF
(
G9623=""юридична особа""
,
VLOOKUP"&amp;"(H9623,IMPORTRANGE(""https://docs.google.com/spreadsheets/d/14Bd19lYaqBhU8_DElYkX7l4wRkHqqCUFNJY4AfY3kHU/edit?usp=sharing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22" s="7" t="s">
        <v>29</v>
      </c>
    </row>
    <row r="9623" spans="1:10" ht="13.2">
      <c r="A9623" s="7">
        <v>9622</v>
      </c>
      <c r="B9623" s="7">
        <v>1</v>
      </c>
      <c r="C9623" s="7" t="s">
        <v>10</v>
      </c>
      <c r="D9623" s="7">
        <v>11454</v>
      </c>
      <c r="E9623" s="7" t="s">
        <v>28</v>
      </c>
      <c r="F9623" s="8" t="str">
        <f ca="1">IFERROR(__xludf.DUMMYFUNCTION("IF
(
C9624=""фізична особа""
,
VLOOKUP(D9624,IMPORTRANGE(""https://docs.google.com/spreadsheets/d/14Bd19lYaqBhU8_DElYkX7l4wRkHqqCUFNJY4AfY3kHU/edit?usp=sharing  #gid=0"",""фіз особи new!relations_name""),6,FALSE)
,
(IF
(
C9624=""юридична особа""
,
VLOOKUP"&amp;"(D9624,IMPORTRANGE(""https://docs.google.com/spreadsheets/d/14Bd19lYaqBhU8_DElYkX7l4wRkHqqCUFNJY4AfY3kHU/edit?usp=sharing  #gid=0"",""фіз особи new!relations_name_uo""),7,FALSE)
,
)
))"),"ПОПОВ Станіслав Станіславич")</f>
        <v>ПОПОВ Станіслав Станіславич</v>
      </c>
      <c r="G9623" s="7" t="s">
        <v>10</v>
      </c>
      <c r="H9623" s="7">
        <v>2946</v>
      </c>
      <c r="I9623" s="8" t="str">
        <f ca="1">IFERROR(__xludf.DUMMYFUNCTION("IF
(
G9624=""фізична особа""
,
VLOOKUP(H9624,IMPORTRANGE(""https://docs.google.com/spreadsheets/d/14Bd19lYaqBhU8_DElYkX7l4wRkHqqCUFNJY4AfY3kHU/edit?usp=sharing  #gid=0"",""фіз особи new!relations_name""),6,FALSE)
,
(IF
(
G9624=""юридична особа""
,
VLOOKUP"&amp;"(H9624,IMPORTRANGE(""https://docs.google.com/spreadsheets/d/14Bd19lYaqBhU8_DElYkX7l4wRkHqqCUFNJY4AfY3kHU/edit?usp=sharing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3" s="7" t="s">
        <v>29</v>
      </c>
    </row>
    <row r="9624" spans="1:10" ht="13.2">
      <c r="A9624" s="7">
        <v>9623</v>
      </c>
      <c r="B9624" s="7">
        <v>1</v>
      </c>
      <c r="C9624" s="7" t="s">
        <v>10</v>
      </c>
      <c r="D9624" s="7">
        <v>11455</v>
      </c>
      <c r="E9624" s="7" t="s">
        <v>28</v>
      </c>
      <c r="F9624" s="8" t="str">
        <f ca="1">IFERROR(__xludf.DUMMYFUNCTION("IF
(
C9625=""фізична особа""
,
VLOOKUP(D9625,IMPORTRANGE(""https://docs.google.com/spreadsheets/d/14Bd19lYaqBhU8_DElYkX7l4wRkHqqCUFNJY4AfY3kHU/edit?usp=sharing  #gid=0"",""фіз особи new!relations_name""),6,FALSE)
,
(IF
(
C9625=""юридична особа""
,
VLOOKUP"&amp;"(D9625,IMPORTRANGE(""https://docs.google.com/spreadsheets/d/14Bd19lYaqBhU8_DElYkX7l4wRkHqqCUFNJY4AfY3kHU/edit?usp=sharing  #gid=0"",""фіз особи new!relations_name_uo""),7,FALSE)
,
)
))"),"ПЕРЕКУСИХІН Михайло Володимирович")</f>
        <v>ПЕРЕКУСИХІН Михайло Володимирович</v>
      </c>
      <c r="G9624" s="7" t="s">
        <v>10</v>
      </c>
      <c r="H9624" s="7">
        <v>3042</v>
      </c>
      <c r="I9624" s="8" t="str">
        <f ca="1">IFERROR(__xludf.DUMMYFUNCTION("IF
(
G9625=""фізична особа""
,
VLOOKUP(H9625,IMPORTRANGE(""https://docs.google.com/spreadsheets/d/14Bd19lYaqBhU8_DElYkX7l4wRkHqqCUFNJY4AfY3kHU/edit?usp=sharing  #gid=0"",""фіз особи new!relations_name""),6,FALSE)
,
(IF
(
G9625=""юридична особа""
,
VLOOKUP"&amp;"(H9625,IMPORTRANGE(""https://docs.google.com/spreadsheets/d/14Bd19lYaqBhU8_DElYkX7l4wRkHqqCUFNJY4AfY3kHU/edit?usp=sharing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24" s="7" t="s">
        <v>29</v>
      </c>
    </row>
    <row r="9625" spans="1:10" ht="13.2">
      <c r="A9625" s="7">
        <v>9624</v>
      </c>
      <c r="B9625" s="7">
        <v>1</v>
      </c>
      <c r="C9625" s="7" t="s">
        <v>10</v>
      </c>
      <c r="D9625" s="7">
        <v>11456</v>
      </c>
      <c r="E9625" s="7" t="s">
        <v>28</v>
      </c>
      <c r="F9625" s="8" t="str">
        <f ca="1">IFERROR(__xludf.DUMMYFUNCTION("IF
(
C9626=""фізична особа""
,
VLOOKUP(D9626,IMPORTRANGE(""https://docs.google.com/spreadsheets/d/14Bd19lYaqBhU8_DElYkX7l4wRkHqqCUFNJY4AfY3kHU/edit?usp=sharing  #gid=0"",""фіз особи new!relations_name""),6,FALSE)
,
(IF
(
C9626=""юридична особа""
,
VLOOKUP"&amp;"(D9626,IMPORTRANGE(""https://docs.google.com/spreadsheets/d/14Bd19lYaqBhU8_DElYkX7l4wRkHqqCUFNJY4AfY3kHU/edit?usp=sharing  #gid=0"",""фіз особи new!relations_name_uo""),7,FALSE)
,
)
))"),"КОСТАРЄВ Віталій Геннадійович")</f>
        <v>КОСТАРЄВ Віталій Геннадійович</v>
      </c>
      <c r="G9625" s="7" t="s">
        <v>10</v>
      </c>
      <c r="H9625" s="7">
        <v>3042</v>
      </c>
      <c r="I9625" s="8" t="str">
        <f ca="1">IFERROR(__xludf.DUMMYFUNCTION("IF
(
G9626=""фізична особа""
,
VLOOKUP(H9626,IMPORTRANGE(""https://docs.google.com/spreadsheets/d/14Bd19lYaqBhU8_DElYkX7l4wRkHqqCUFNJY4AfY3kHU/edit?usp=sharing  #gid=0"",""фіз особи new!relations_name""),6,FALSE)
,
(IF
(
G9626=""юридична особа""
,
VLOOKUP"&amp;"(H9626,IMPORTRANGE(""https://docs.google.com/spreadsheets/d/14Bd19lYaqBhU8_DElYkX7l4wRkHqqCUFNJY4AfY3kHU/edit?usp=sharing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25" s="7" t="s">
        <v>29</v>
      </c>
    </row>
    <row r="9626" spans="1:10" ht="13.2">
      <c r="A9626" s="7">
        <v>9625</v>
      </c>
      <c r="B9626" s="7">
        <v>1</v>
      </c>
      <c r="C9626" s="7" t="s">
        <v>10</v>
      </c>
      <c r="D9626" s="7">
        <v>11457</v>
      </c>
      <c r="E9626" s="7" t="s">
        <v>28</v>
      </c>
      <c r="F9626" s="8" t="str">
        <f ca="1">IFERROR(__xludf.DUMMYFUNCTION("IF
(
C9627=""фізична особа""
,
VLOOKUP(D9627,IMPORTRANGE(""https://docs.google.com/spreadsheets/d/14Bd19lYaqBhU8_DElYkX7l4wRkHqqCUFNJY4AfY3kHU/edit?usp=sharing  #gid=0"",""фіз особи new!relations_name""),6,FALSE)
,
(IF
(
C9627=""юридична особа""
,
VLOOKUP"&amp;"(D9627,IMPORTRANGE(""https://docs.google.com/spreadsheets/d/14Bd19lYaqBhU8_DElYkX7l4wRkHqqCUFNJY4AfY3kHU/edit?usp=sharing  #gid=0"",""фіз особи new!relations_name_uo""),7,FALSE)
,
)
))"),"ГАЛИЦИН Геннадій Миколайович")</f>
        <v>ГАЛИЦИН Геннадій Миколайович</v>
      </c>
      <c r="G9626" s="7" t="s">
        <v>10</v>
      </c>
      <c r="H9626" s="7">
        <v>2946</v>
      </c>
      <c r="I9626" s="8" t="str">
        <f ca="1">IFERROR(__xludf.DUMMYFUNCTION("IF
(
G9627=""фізична особа""
,
VLOOKUP(H9627,IMPORTRANGE(""https://docs.google.com/spreadsheets/d/14Bd19lYaqBhU8_DElYkX7l4wRkHqqCUFNJY4AfY3kHU/edit?usp=sharing  #gid=0"",""фіз особи new!relations_name""),6,FALSE)
,
(IF
(
G9627=""юридична особа""
,
VLOOKUP"&amp;"(H9627,IMPORTRANGE(""https://docs.google.com/spreadsheets/d/14Bd19lYaqBhU8_DElYkX7l4wRkHqqCUFNJY4AfY3kHU/edit?usp=sharing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6" s="7" t="s">
        <v>29</v>
      </c>
    </row>
    <row r="9627" spans="1:10" ht="13.2">
      <c r="A9627" s="7">
        <v>9626</v>
      </c>
      <c r="B9627" s="7">
        <v>1</v>
      </c>
      <c r="C9627" s="7" t="s">
        <v>10</v>
      </c>
      <c r="D9627" s="7">
        <v>11458</v>
      </c>
      <c r="E9627" s="7" t="s">
        <v>28</v>
      </c>
      <c r="F9627" s="8" t="str">
        <f ca="1">IFERROR(__xludf.DUMMYFUNCTION("IF
(
C9628=""фізична особа""
,
VLOOKUP(D9628,IMPORTRANGE(""https://docs.google.com/spreadsheets/d/14Bd19lYaqBhU8_DElYkX7l4wRkHqqCUFNJY4AfY3kHU/edit?usp=sharing  #gid=0"",""фіз особи new!relations_name""),6,FALSE)
,
(IF
(
C9628=""юридична особа""
,
VLOOKUP"&amp;"(D9628,IMPORTRANGE(""https://docs.google.com/spreadsheets/d/14Bd19lYaqBhU8_DElYkX7l4wRkHqqCUFNJY4AfY3kHU/edit?usp=sharing  #gid=0"",""фіз особи new!relations_name_uo""),7,FALSE)
,
)
))"),"КАПЛУНОВ Віталій Миколайович")</f>
        <v>КАПЛУНОВ Віталій Миколайович</v>
      </c>
      <c r="G9627" s="7" t="s">
        <v>10</v>
      </c>
      <c r="H9627" s="7">
        <v>2946</v>
      </c>
      <c r="I9627" s="8" t="str">
        <f ca="1">IFERROR(__xludf.DUMMYFUNCTION("IF
(
G9628=""фізична особа""
,
VLOOKUP(H9628,IMPORTRANGE(""https://docs.google.com/spreadsheets/d/14Bd19lYaqBhU8_DElYkX7l4wRkHqqCUFNJY4AfY3kHU/edit?usp=sharing  #gid=0"",""фіз особи new!relations_name""),6,FALSE)
,
(IF
(
G9628=""юридична особа""
,
VLOOKUP"&amp;"(H9628,IMPORTRANGE(""https://docs.google.com/spreadsheets/d/14Bd19lYaqBhU8_DElYkX7l4wRkHqqCUFNJY4AfY3kHU/edit?usp=sharing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7" s="7" t="s">
        <v>29</v>
      </c>
    </row>
    <row r="9628" spans="1:10" ht="13.2">
      <c r="A9628" s="7">
        <v>9627</v>
      </c>
      <c r="B9628" s="7">
        <v>1</v>
      </c>
      <c r="C9628" s="7" t="s">
        <v>10</v>
      </c>
      <c r="D9628" s="7">
        <v>11459</v>
      </c>
      <c r="E9628" s="7" t="s">
        <v>28</v>
      </c>
      <c r="F9628" s="8" t="str">
        <f ca="1">IFERROR(__xludf.DUMMYFUNCTION("IF
(
C9629=""фізична особа""
,
VLOOKUP(D9629,IMPORTRANGE(""https://docs.google.com/spreadsheets/d/14Bd19lYaqBhU8_DElYkX7l4wRkHqqCUFNJY4AfY3kHU/edit?usp=sharing  #gid=0"",""фіз особи new!relations_name""),6,FALSE)
,
(IF
(
C9629=""юридична особа""
,
VLOOKUP"&amp;"(D9629,IMPORTRANGE(""https://docs.google.com/spreadsheets/d/14Bd19lYaqBhU8_DElYkX7l4wRkHqqCUFNJY4AfY3kHU/edit?usp=sharing  #gid=0"",""фіз особи new!relations_name_uo""),7,FALSE)
,
)
))"),"ЛЮБЧЕНКО Марія Володимирівна")</f>
        <v>ЛЮБЧЕНКО Марія Володимирівна</v>
      </c>
      <c r="G9628" s="7" t="s">
        <v>10</v>
      </c>
      <c r="H9628" s="7">
        <v>2946</v>
      </c>
      <c r="I9628" s="8" t="str">
        <f ca="1">IFERROR(__xludf.DUMMYFUNCTION("IF
(
G9629=""фізична особа""
,
VLOOKUP(H9629,IMPORTRANGE(""https://docs.google.com/spreadsheets/d/14Bd19lYaqBhU8_DElYkX7l4wRkHqqCUFNJY4AfY3kHU/edit?usp=sharing  #gid=0"",""фіз особи new!relations_name""),6,FALSE)
,
(IF
(
G9629=""юридична особа""
,
VLOOKUP"&amp;"(H9629,IMPORTRANGE(""https://docs.google.com/spreadsheets/d/14Bd19lYaqBhU8_DElYkX7l4wRkHqqCUFNJY4AfY3kHU/edit?usp=sharing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8" s="7" t="s">
        <v>29</v>
      </c>
    </row>
    <row r="9629" spans="1:10" ht="13.2">
      <c r="A9629" s="7">
        <v>9628</v>
      </c>
      <c r="B9629" s="7">
        <v>1</v>
      </c>
      <c r="C9629" s="7" t="s">
        <v>10</v>
      </c>
      <c r="D9629" s="7">
        <v>11460</v>
      </c>
      <c r="E9629" s="7" t="s">
        <v>28</v>
      </c>
      <c r="F9629" s="8" t="str">
        <f ca="1">IFERROR(__xludf.DUMMYFUNCTION("IF
(
C9630=""фізична особа""
,
VLOOKUP(D9630,IMPORTRANGE(""https://docs.google.com/spreadsheets/d/14Bd19lYaqBhU8_DElYkX7l4wRkHqqCUFNJY4AfY3kHU/edit?usp=sharing  #gid=0"",""фіз особи new!relations_name""),6,FALSE)
,
(IF
(
C9630=""юридична особа""
,
VLOOKUP"&amp;"(D9630,IMPORTRANGE(""https://docs.google.com/spreadsheets/d/14Bd19lYaqBhU8_DElYkX7l4wRkHqqCUFNJY4AfY3kHU/edit?usp=sharing  #gid=0"",""фіз особи new!relations_name_uo""),7,FALSE)
,
)
))"),"МЕНОВЩИКОВ Олександр Павлович")</f>
        <v>МЕНОВЩИКОВ Олександр Павлович</v>
      </c>
      <c r="G9629" s="7" t="s">
        <v>10</v>
      </c>
      <c r="H9629" s="7">
        <v>2946</v>
      </c>
      <c r="I9629" s="8" t="str">
        <f ca="1">IFERROR(__xludf.DUMMYFUNCTION("IF
(
G9630=""фізична особа""
,
VLOOKUP(H9630,IMPORTRANGE(""https://docs.google.com/spreadsheets/d/14Bd19lYaqBhU8_DElYkX7l4wRkHqqCUFNJY4AfY3kHU/edit?usp=sharing  #gid=0"",""фіз особи new!relations_name""),6,FALSE)
,
(IF
(
G9630=""юридична особа""
,
VLOOKUP"&amp;"(H9630,IMPORTRANGE(""https://docs.google.com/spreadsheets/d/14Bd19lYaqBhU8_DElYkX7l4wRkHqqCUFNJY4AfY3kHU/edit?usp=sharing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29" s="7" t="s">
        <v>29</v>
      </c>
    </row>
    <row r="9630" spans="1:10" ht="13.2">
      <c r="A9630" s="7">
        <v>9629</v>
      </c>
      <c r="B9630" s="7">
        <v>1</v>
      </c>
      <c r="C9630" s="7" t="s">
        <v>10</v>
      </c>
      <c r="D9630" s="7">
        <v>11461</v>
      </c>
      <c r="E9630" s="7" t="s">
        <v>28</v>
      </c>
      <c r="F9630" s="8" t="str">
        <f ca="1">IFERROR(__xludf.DUMMYFUNCTION("IF
(
C9631=""фізична особа""
,
VLOOKUP(D9631,IMPORTRANGE(""https://docs.google.com/spreadsheets/d/14Bd19lYaqBhU8_DElYkX7l4wRkHqqCUFNJY4AfY3kHU/edit?usp=sharing  #gid=0"",""фіз особи new!relations_name""),6,FALSE)
,
(IF
(
C9631=""юридична особа""
,
VLOOKUP"&amp;"(D9631,IMPORTRANGE(""https://docs.google.com/spreadsheets/d/14Bd19lYaqBhU8_DElYkX7l4wRkHqqCUFNJY4AfY3kHU/edit?usp=sharing  #gid=0"",""фіз особи new!relations_name_uo""),7,FALSE)
,
)
))"),"АСТАРХАНОВ Ісламудін Магомедович")</f>
        <v>АСТАРХАНОВ Ісламудін Магомедович</v>
      </c>
      <c r="G9630" s="7" t="s">
        <v>10</v>
      </c>
      <c r="H9630" s="7">
        <v>2946</v>
      </c>
      <c r="I9630" s="8" t="str">
        <f ca="1">IFERROR(__xludf.DUMMYFUNCTION("IF
(
G9631=""фізична особа""
,
VLOOKUP(H9631,IMPORTRANGE(""https://docs.google.com/spreadsheets/d/14Bd19lYaqBhU8_DElYkX7l4wRkHqqCUFNJY4AfY3kHU/edit?usp=sharing  #gid=0"",""фіз особи new!relations_name""),6,FALSE)
,
(IF
(
G9631=""юридична особа""
,
VLOOKUP"&amp;"(H9631,IMPORTRANGE(""https://docs.google.com/spreadsheets/d/14Bd19lYaqBhU8_DElYkX7l4wRkHqqCUFNJY4AfY3kHU/edit?usp=sharing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0" s="7" t="s">
        <v>29</v>
      </c>
    </row>
    <row r="9631" spans="1:10" ht="13.2">
      <c r="A9631" s="7">
        <v>9630</v>
      </c>
      <c r="B9631" s="7">
        <v>1</v>
      </c>
      <c r="C9631" s="7" t="s">
        <v>10</v>
      </c>
      <c r="D9631" s="7">
        <v>11462</v>
      </c>
      <c r="E9631" s="7" t="s">
        <v>28</v>
      </c>
      <c r="F9631" s="8" t="str">
        <f ca="1">IFERROR(__xludf.DUMMYFUNCTION("IF
(
C9632=""фізична особа""
,
VLOOKUP(D9632,IMPORTRANGE(""https://docs.google.com/spreadsheets/d/14Bd19lYaqBhU8_DElYkX7l4wRkHqqCUFNJY4AfY3kHU/edit?usp=sharing  #gid=0"",""фіз особи new!relations_name""),6,FALSE)
,
(IF
(
C9632=""юридична особа""
,
VLOOKUP"&amp;"(D9632,IMPORTRANGE(""https://docs.google.com/spreadsheets/d/14Bd19lYaqBhU8_DElYkX7l4wRkHqqCUFNJY4AfY3kHU/edit?usp=sharing  #gid=0"",""фіз особи new!relations_name_uo""),7,FALSE)
,
)
))"),"ГАСАНОВ Руслан Агакішийович")</f>
        <v>ГАСАНОВ Руслан Агакішийович</v>
      </c>
      <c r="G9631" s="7" t="s">
        <v>10</v>
      </c>
      <c r="H9631" s="7">
        <v>2946</v>
      </c>
      <c r="I9631" s="8" t="str">
        <f ca="1">IFERROR(__xludf.DUMMYFUNCTION("IF
(
G9632=""фізична особа""
,
VLOOKUP(H9632,IMPORTRANGE(""https://docs.google.com/spreadsheets/d/14Bd19lYaqBhU8_DElYkX7l4wRkHqqCUFNJY4AfY3kHU/edit?usp=sharing  #gid=0"",""фіз особи new!relations_name""),6,FALSE)
,
(IF
(
G9632=""юридична особа""
,
VLOOKUP"&amp;"(H9632,IMPORTRANGE(""https://docs.google.com/spreadsheets/d/14Bd19lYaqBhU8_DElYkX7l4wRkHqqCUFNJY4AfY3kHU/edit?usp=sharing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1" s="7" t="s">
        <v>29</v>
      </c>
    </row>
    <row r="9632" spans="1:10" ht="13.2">
      <c r="A9632" s="7">
        <v>9631</v>
      </c>
      <c r="B9632" s="7">
        <v>1</v>
      </c>
      <c r="C9632" s="7" t="s">
        <v>10</v>
      </c>
      <c r="D9632" s="7">
        <v>11463</v>
      </c>
      <c r="E9632" s="7" t="s">
        <v>28</v>
      </c>
      <c r="F9632" s="8" t="str">
        <f ca="1">IFERROR(__xludf.DUMMYFUNCTION("IF
(
C9633=""фізична особа""
,
VLOOKUP(D9633,IMPORTRANGE(""https://docs.google.com/spreadsheets/d/14Bd19lYaqBhU8_DElYkX7l4wRkHqqCUFNJY4AfY3kHU/edit?usp=sharing  #gid=0"",""фіз особи new!relations_name""),6,FALSE)
,
(IF
(
C9633=""юридична особа""
,
VLOOKUP"&amp;"(D9633,IMPORTRANGE(""https://docs.google.com/spreadsheets/d/14Bd19lYaqBhU8_DElYkX7l4wRkHqqCUFNJY4AfY3kHU/edit?usp=sharing  #gid=0"",""фіз особи new!relations_name_uo""),7,FALSE)
,
)
))"),"ФЕДОТКІН Дмитро Вікторович")</f>
        <v>ФЕДОТКІН Дмитро Вікторович</v>
      </c>
      <c r="G9632" s="7" t="s">
        <v>10</v>
      </c>
      <c r="H9632" s="7">
        <v>2946</v>
      </c>
      <c r="I9632" s="8" t="str">
        <f ca="1">IFERROR(__xludf.DUMMYFUNCTION("IF
(
G9633=""фізична особа""
,
VLOOKUP(H9633,IMPORTRANGE(""https://docs.google.com/spreadsheets/d/14Bd19lYaqBhU8_DElYkX7l4wRkHqqCUFNJY4AfY3kHU/edit?usp=sharing  #gid=0"",""фіз особи new!relations_name""),6,FALSE)
,
(IF
(
G9633=""юридична особа""
,
VLOOKUP"&amp;"(H9633,IMPORTRANGE(""https://docs.google.com/spreadsheets/d/14Bd19lYaqBhU8_DElYkX7l4wRkHqqCUFNJY4AfY3kHU/edit?usp=sharing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2" s="7" t="s">
        <v>29</v>
      </c>
    </row>
    <row r="9633" spans="1:10" ht="13.2">
      <c r="A9633" s="7">
        <v>9632</v>
      </c>
      <c r="B9633" s="7">
        <v>1</v>
      </c>
      <c r="C9633" s="7" t="s">
        <v>10</v>
      </c>
      <c r="D9633" s="7">
        <v>11464</v>
      </c>
      <c r="E9633" s="7" t="s">
        <v>28</v>
      </c>
      <c r="F9633" s="8" t="str">
        <f ca="1">IFERROR(__xludf.DUMMYFUNCTION("IF
(
C9634=""фізична особа""
,
VLOOKUP(D9634,IMPORTRANGE(""https://docs.google.com/spreadsheets/d/14Bd19lYaqBhU8_DElYkX7l4wRkHqqCUFNJY4AfY3kHU/edit?usp=sharing  #gid=0"",""фіз особи new!relations_name""),6,FALSE)
,
(IF
(
C9634=""юридична особа""
,
VLOOKUP"&amp;"(D9634,IMPORTRANGE(""https://docs.google.com/spreadsheets/d/14Bd19lYaqBhU8_DElYkX7l4wRkHqqCUFNJY4AfY3kHU/edit?usp=sharing  #gid=0"",""фіз особи new!relations_name_uo""),7,FALSE)
,
)
))"),"АБДУЛМУСЛІМОВ Жамбулат Саїд-Хасанович")</f>
        <v>АБДУЛМУСЛІМОВ Жамбулат Саїд-Хасанович</v>
      </c>
      <c r="G9633" s="7" t="s">
        <v>10</v>
      </c>
      <c r="H9633" s="7">
        <v>2946</v>
      </c>
      <c r="I9633" s="8" t="str">
        <f ca="1">IFERROR(__xludf.DUMMYFUNCTION("IF
(
G9634=""фізична особа""
,
VLOOKUP(H9634,IMPORTRANGE(""https://docs.google.com/spreadsheets/d/14Bd19lYaqBhU8_DElYkX7l4wRkHqqCUFNJY4AfY3kHU/edit?usp=sharing  #gid=0"",""фіз особи new!relations_name""),6,FALSE)
,
(IF
(
G9634=""юридична особа""
,
VLOOKUP"&amp;"(H9634,IMPORTRANGE(""https://docs.google.com/spreadsheets/d/14Bd19lYaqBhU8_DElYkX7l4wRkHqqCUFNJY4AfY3kHU/edit?usp=sharing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3" s="7" t="s">
        <v>29</v>
      </c>
    </row>
    <row r="9634" spans="1:10" ht="13.2">
      <c r="A9634" s="7">
        <v>9633</v>
      </c>
      <c r="B9634" s="7">
        <v>1</v>
      </c>
      <c r="C9634" s="7" t="s">
        <v>10</v>
      </c>
      <c r="D9634" s="7">
        <v>11465</v>
      </c>
      <c r="E9634" s="7" t="s">
        <v>28</v>
      </c>
      <c r="F9634" s="8" t="str">
        <f ca="1">IFERROR(__xludf.DUMMYFUNCTION("IF
(
C9635=""фізична особа""
,
VLOOKUP(D9635,IMPORTRANGE(""https://docs.google.com/spreadsheets/d/14Bd19lYaqBhU8_DElYkX7l4wRkHqqCUFNJY4AfY3kHU/edit?usp=sharing  #gid=0"",""фіз особи new!relations_name""),6,FALSE)
,
(IF
(
C9635=""юридична особа""
,
VLOOKUP"&amp;"(D9635,IMPORTRANGE(""https://docs.google.com/spreadsheets/d/14Bd19lYaqBhU8_DElYkX7l4wRkHqqCUFNJY4AfY3kHU/edit?usp=sharing  #gid=0"",""фіз особи new!relations_name_uo""),7,FALSE)
,
)
))"),"КУРЕК Оксана Петрівна")</f>
        <v>КУРЕК Оксана Петрівна</v>
      </c>
      <c r="G9634" s="7" t="s">
        <v>10</v>
      </c>
      <c r="H9634" s="7">
        <v>2946</v>
      </c>
      <c r="I9634" s="8" t="str">
        <f ca="1">IFERROR(__xludf.DUMMYFUNCTION("IF
(
G9635=""фізична особа""
,
VLOOKUP(H9635,IMPORTRANGE(""https://docs.google.com/spreadsheets/d/14Bd19lYaqBhU8_DElYkX7l4wRkHqqCUFNJY4AfY3kHU/edit?usp=sharing  #gid=0"",""фіз особи new!relations_name""),6,FALSE)
,
(IF
(
G9635=""юридична особа""
,
VLOOKUP"&amp;"(H9635,IMPORTRANGE(""https://docs.google.com/spreadsheets/d/14Bd19lYaqBhU8_DElYkX7l4wRkHqqCUFNJY4AfY3kHU/edit?usp=sharing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4" s="7" t="s">
        <v>29</v>
      </c>
    </row>
    <row r="9635" spans="1:10" ht="13.2">
      <c r="A9635" s="7">
        <v>9634</v>
      </c>
      <c r="B9635" s="7">
        <v>1</v>
      </c>
      <c r="C9635" s="7" t="s">
        <v>10</v>
      </c>
      <c r="D9635" s="7">
        <v>11466</v>
      </c>
      <c r="E9635" s="7" t="s">
        <v>28</v>
      </c>
      <c r="F9635" s="8" t="str">
        <f ca="1">IFERROR(__xludf.DUMMYFUNCTION("IF
(
C9636=""фізична особа""
,
VLOOKUP(D9636,IMPORTRANGE(""https://docs.google.com/spreadsheets/d/14Bd19lYaqBhU8_DElYkX7l4wRkHqqCUFNJY4AfY3kHU/edit?usp=sharing  #gid=0"",""фіз особи new!relations_name""),6,FALSE)
,
(IF
(
C9636=""юридична особа""
,
VLOOKUP"&amp;"(D9636,IMPORTRANGE(""https://docs.google.com/spreadsheets/d/14Bd19lYaqBhU8_DElYkX7l4wRkHqqCUFNJY4AfY3kHU/edit?usp=sharing  #gid=0"",""фіз особи new!relations_name_uo""),7,FALSE)
,
)
))"),"АФАНАСЬЄВА Наталія Миколаївна")</f>
        <v>АФАНАСЬЄВА Наталія Миколаївна</v>
      </c>
      <c r="G9635" s="7" t="s">
        <v>10</v>
      </c>
      <c r="H9635" s="7">
        <v>2946</v>
      </c>
      <c r="I9635" s="8" t="str">
        <f ca="1">IFERROR(__xludf.DUMMYFUNCTION("IF
(
G9636=""фізична особа""
,
VLOOKUP(H9636,IMPORTRANGE(""https://docs.google.com/spreadsheets/d/14Bd19lYaqBhU8_DElYkX7l4wRkHqqCUFNJY4AfY3kHU/edit?usp=sharing  #gid=0"",""фіз особи new!relations_name""),6,FALSE)
,
(IF
(
G9636=""юридична особа""
,
VLOOKUP"&amp;"(H9636,IMPORTRANGE(""https://docs.google.com/spreadsheets/d/14Bd19lYaqBhU8_DElYkX7l4wRkHqqCUFNJY4AfY3kHU/edit?usp=sharing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35" s="7" t="s">
        <v>29</v>
      </c>
    </row>
    <row r="9636" spans="1:10" ht="13.2">
      <c r="A9636" s="7">
        <v>9635</v>
      </c>
      <c r="B9636" s="7">
        <v>1</v>
      </c>
      <c r="C9636" s="7" t="s">
        <v>10</v>
      </c>
      <c r="D9636" s="7">
        <v>11467</v>
      </c>
      <c r="E9636" s="7" t="s">
        <v>28</v>
      </c>
      <c r="F9636" s="8" t="str">
        <f ca="1">IFERROR(__xludf.DUMMYFUNCTION("IF
(
C9637=""фізична особа""
,
VLOOKUP(D9637,IMPORTRANGE(""https://docs.google.com/spreadsheets/d/14Bd19lYaqBhU8_DElYkX7l4wRkHqqCUFNJY4AfY3kHU/edit?usp=sharing  #gid=0"",""фіз особи new!relations_name""),6,FALSE)
,
(IF
(
C9637=""юридична особа""
,
VLOOKUP"&amp;"(D9637,IMPORTRANGE(""https://docs.google.com/spreadsheets/d/14Bd19lYaqBhU8_DElYkX7l4wRkHqqCUFNJY4AfY3kHU/edit?usp=sharing  #gid=0"",""фіз особи new!relations_name_uo""),7,FALSE)
,
)
))"),"АРХІПОВА Світлана Валеріївна")</f>
        <v>АРХІПОВА Світлана Валеріївна</v>
      </c>
      <c r="G9636" s="7" t="s">
        <v>10</v>
      </c>
      <c r="H9636" s="7">
        <v>3042</v>
      </c>
      <c r="I9636" s="8" t="str">
        <f ca="1">IFERROR(__xludf.DUMMYFUNCTION("IF
(
G9637=""фізична особа""
,
VLOOKUP(H9637,IMPORTRANGE(""https://docs.google.com/spreadsheets/d/14Bd19lYaqBhU8_DElYkX7l4wRkHqqCUFNJY4AfY3kHU/edit?usp=sharing  #gid=0"",""фіз особи new!relations_name""),6,FALSE)
,
(IF
(
G9637=""юридична особа""
,
VLOOKUP"&amp;"(H9637,IMPORTRANGE(""https://docs.google.com/spreadsheets/d/14Bd19lYaqBhU8_DElYkX7l4wRkHqqCUFNJY4AfY3kHU/edit?usp=sharing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36" s="7" t="s">
        <v>29</v>
      </c>
    </row>
    <row r="9637" spans="1:10" ht="13.2">
      <c r="A9637" s="7">
        <v>9636</v>
      </c>
      <c r="B9637" s="7">
        <v>1</v>
      </c>
      <c r="C9637" s="7" t="s">
        <v>10</v>
      </c>
      <c r="D9637" s="7">
        <v>11468</v>
      </c>
      <c r="E9637" s="7" t="s">
        <v>28</v>
      </c>
      <c r="F9637" s="8" t="str">
        <f ca="1">IFERROR(__xludf.DUMMYFUNCTION("IF
(
C9638=""фізична особа""
,
VLOOKUP(D9638,IMPORTRANGE(""https://docs.google.com/spreadsheets/d/14Bd19lYaqBhU8_DElYkX7l4wRkHqqCUFNJY4AfY3kHU/edit?usp=sharing  #gid=0"",""фіз особи new!relations_name""),6,FALSE)
,
(IF
(
C9638=""юридична особа""
,
VLOOKUP"&amp;"(D9638,IMPORTRANGE(""https://docs.google.com/spreadsheets/d/14Bd19lYaqBhU8_DElYkX7l4wRkHqqCUFNJY4AfY3kHU/edit?usp=sharing  #gid=0"",""фіз особи new!relations_name_uo""),7,FALSE)
,
)
))"),"ШИШЛАКОВ Федір Валерійович")</f>
        <v>ШИШЛАКОВ Федір Валерійович</v>
      </c>
      <c r="G9637" s="7" t="s">
        <v>10</v>
      </c>
      <c r="H9637" s="7">
        <v>3004</v>
      </c>
      <c r="I9637" s="8" t="str">
        <f ca="1">IFERROR(__xludf.DUMMYFUNCTION("IF
(
G9638=""фізична особа""
,
VLOOKUP(H9638,IMPORTRANGE(""https://docs.google.com/spreadsheets/d/14Bd19lYaqBhU8_DElYkX7l4wRkHqqCUFNJY4AfY3kHU/edit?usp=sharing  #gid=0"",""фіз особи new!relations_name""),6,FALSE)
,
(IF
(
G9638=""юридична особа""
,
VLOOKUP"&amp;"(H9638,IMPORTRANGE(""https://docs.google.com/spreadsheets/d/14Bd19lYaqBhU8_DElYkX7l4wRkHqqCUFNJY4AfY3kHU/edit?usp=sharing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37" s="7" t="s">
        <v>29</v>
      </c>
    </row>
    <row r="9638" spans="1:10" ht="13.2">
      <c r="A9638" s="7">
        <v>9637</v>
      </c>
      <c r="B9638" s="7">
        <v>1</v>
      </c>
      <c r="C9638" s="7" t="s">
        <v>10</v>
      </c>
      <c r="D9638" s="7">
        <v>11469</v>
      </c>
      <c r="E9638" s="7" t="s">
        <v>28</v>
      </c>
      <c r="F9638" s="8" t="str">
        <f ca="1">IFERROR(__xludf.DUMMYFUNCTION("IF
(
C9639=""фізична особа""
,
VLOOKUP(D9639,IMPORTRANGE(""https://docs.google.com/spreadsheets/d/14Bd19lYaqBhU8_DElYkX7l4wRkHqqCUFNJY4AfY3kHU/edit?usp=sharing  #gid=0"",""фіз особи new!relations_name""),6,FALSE)
,
(IF
(
C9639=""юридична особа""
,
VLOOKUP"&amp;"(D9639,IMPORTRANGE(""https://docs.google.com/spreadsheets/d/14Bd19lYaqBhU8_DElYkX7l4wRkHqqCUFNJY4AfY3kHU/edit?usp=sharing  #gid=0"",""фіз особи new!relations_name_uo""),7,FALSE)
,
)
))"),"СЄРОВ Анатолій Петрович")</f>
        <v>СЄРОВ Анатолій Петрович</v>
      </c>
      <c r="G9638" s="7" t="s">
        <v>10</v>
      </c>
      <c r="H9638" s="7">
        <v>3004</v>
      </c>
      <c r="I9638" s="8" t="str">
        <f ca="1">IFERROR(__xludf.DUMMYFUNCTION("IF
(
G9639=""фізична особа""
,
VLOOKUP(H9639,IMPORTRANGE(""https://docs.google.com/spreadsheets/d/14Bd19lYaqBhU8_DElYkX7l4wRkHqqCUFNJY4AfY3kHU/edit?usp=sharing  #gid=0"",""фіз особи new!relations_name""),6,FALSE)
,
(IF
(
G9639=""юридична особа""
,
VLOOKUP"&amp;"(H9639,IMPORTRANGE(""https://docs.google.com/spreadsheets/d/14Bd19lYaqBhU8_DElYkX7l4wRkHqqCUFNJY4AfY3kHU/edit?usp=sharing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38" s="7" t="s">
        <v>29</v>
      </c>
    </row>
    <row r="9639" spans="1:10" ht="13.2">
      <c r="A9639" s="7">
        <v>9638</v>
      </c>
      <c r="B9639" s="7">
        <v>1</v>
      </c>
      <c r="C9639" s="7" t="s">
        <v>10</v>
      </c>
      <c r="D9639" s="7">
        <v>11470</v>
      </c>
      <c r="E9639" s="7" t="s">
        <v>28</v>
      </c>
      <c r="F9639" s="8" t="str">
        <f ca="1">IFERROR(__xludf.DUMMYFUNCTION("IF
(
C9640=""фізична особа""
,
VLOOKUP(D9640,IMPORTRANGE(""https://docs.google.com/spreadsheets/d/14Bd19lYaqBhU8_DElYkX7l4wRkHqqCUFNJY4AfY3kHU/edit?usp=sharing  #gid=0"",""фіз особи new!relations_name""),6,FALSE)
,
(IF
(
C9640=""юридична особа""
,
VLOOKUP"&amp;"(D9640,IMPORTRANGE(""https://docs.google.com/spreadsheets/d/14Bd19lYaqBhU8_DElYkX7l4wRkHqqCUFNJY4AfY3kHU/edit?usp=sharing  #gid=0"",""фіз особи new!relations_name_uo""),7,FALSE)
,
)
))"),"ШМИКОВ Володимир Геннадійович")</f>
        <v>ШМИКОВ Володимир Геннадійович</v>
      </c>
      <c r="G9639" s="7" t="s">
        <v>10</v>
      </c>
      <c r="H9639" s="7">
        <v>3004</v>
      </c>
      <c r="I9639" s="8" t="str">
        <f ca="1">IFERROR(__xludf.DUMMYFUNCTION("IF
(
G9640=""фізична особа""
,
VLOOKUP(H9640,IMPORTRANGE(""https://docs.google.com/spreadsheets/d/14Bd19lYaqBhU8_DElYkX7l4wRkHqqCUFNJY4AfY3kHU/edit?usp=sharing  #gid=0"",""фіз особи new!relations_name""),6,FALSE)
,
(IF
(
G9640=""юридична особа""
,
VLOOKUP"&amp;"(H9640,IMPORTRANGE(""https://docs.google.com/spreadsheets/d/14Bd19lYaqBhU8_DElYkX7l4wRkHqqCUFNJY4AfY3kHU/edit?usp=sharing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39" s="7" t="s">
        <v>29</v>
      </c>
    </row>
    <row r="9640" spans="1:10" ht="13.2">
      <c r="A9640" s="7">
        <v>9639</v>
      </c>
      <c r="B9640" s="7">
        <v>1</v>
      </c>
      <c r="C9640" s="7" t="s">
        <v>10</v>
      </c>
      <c r="D9640" s="7">
        <v>11471</v>
      </c>
      <c r="E9640" s="7" t="s">
        <v>28</v>
      </c>
      <c r="F9640" s="8" t="str">
        <f ca="1">IFERROR(__xludf.DUMMYFUNCTION("IF
(
C9641=""фізична особа""
,
VLOOKUP(D9641,IMPORTRANGE(""https://docs.google.com/spreadsheets/d/14Bd19lYaqBhU8_DElYkX7l4wRkHqqCUFNJY4AfY3kHU/edit?usp=sharing  #gid=0"",""фіз особи new!relations_name""),6,FALSE)
,
(IF
(
C9641=""юридична особа""
,
VLOOKUP"&amp;"(D9641,IMPORTRANGE(""https://docs.google.com/spreadsheets/d/14Bd19lYaqBhU8_DElYkX7l4wRkHqqCUFNJY4AfY3kHU/edit?usp=sharing  #gid=0"",""фіз особи new!relations_name_uo""),7,FALSE)
,
)
))"),"КОНЧИНА Тетяна Іванівна")</f>
        <v>КОНЧИНА Тетяна Іванівна</v>
      </c>
      <c r="G9640" s="7" t="s">
        <v>10</v>
      </c>
      <c r="H9640" s="7">
        <v>3004</v>
      </c>
      <c r="I9640" s="8" t="str">
        <f ca="1">IFERROR(__xludf.DUMMYFUNCTION("IF
(
G9641=""фізична особа""
,
VLOOKUP(H9641,IMPORTRANGE(""https://docs.google.com/spreadsheets/d/14Bd19lYaqBhU8_DElYkX7l4wRkHqqCUFNJY4AfY3kHU/edit?usp=sharing  #gid=0"",""фіз особи new!relations_name""),6,FALSE)
,
(IF
(
G9641=""юридична особа""
,
VLOOKUP"&amp;"(H9641,IMPORTRANGE(""https://docs.google.com/spreadsheets/d/14Bd19lYaqBhU8_DElYkX7l4wRkHqqCUFNJY4AfY3kHU/edit?usp=sharing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0" s="7" t="s">
        <v>29</v>
      </c>
    </row>
    <row r="9641" spans="1:10" ht="13.2">
      <c r="A9641" s="7">
        <v>9640</v>
      </c>
      <c r="B9641" s="7">
        <v>1</v>
      </c>
      <c r="C9641" s="7" t="s">
        <v>10</v>
      </c>
      <c r="D9641" s="7">
        <v>11472</v>
      </c>
      <c r="E9641" s="7" t="s">
        <v>28</v>
      </c>
      <c r="F9641" s="8" t="str">
        <f ca="1">IFERROR(__xludf.DUMMYFUNCTION("IF
(
C9642=""фізична особа""
,
VLOOKUP(D9642,IMPORTRANGE(""https://docs.google.com/spreadsheets/d/14Bd19lYaqBhU8_DElYkX7l4wRkHqqCUFNJY4AfY3kHU/edit?usp=sharing  #gid=0"",""фіз особи new!relations_name""),6,FALSE)
,
(IF
(
C9642=""юридична особа""
,
VLOOKUP"&amp;"(D9642,IMPORTRANGE(""https://docs.google.com/spreadsheets/d/14Bd19lYaqBhU8_DElYkX7l4wRkHqqCUFNJY4AfY3kHU/edit?usp=sharing  #gid=0"",""фіз особи new!relations_name_uo""),7,FALSE)
,
)
))"),"ШАХМАРДАНОВ Олег Юнусович")</f>
        <v>ШАХМАРДАНОВ Олег Юнусович</v>
      </c>
      <c r="G9641" s="7" t="s">
        <v>10</v>
      </c>
      <c r="H9641" s="7">
        <v>3004</v>
      </c>
      <c r="I9641" s="8" t="str">
        <f ca="1">IFERROR(__xludf.DUMMYFUNCTION("IF
(
G9642=""фізична особа""
,
VLOOKUP(H9642,IMPORTRANGE(""https://docs.google.com/spreadsheets/d/14Bd19lYaqBhU8_DElYkX7l4wRkHqqCUFNJY4AfY3kHU/edit?usp=sharing  #gid=0"",""фіз особи new!relations_name""),6,FALSE)
,
(IF
(
G9642=""юридична особа""
,
VLOOKUP"&amp;"(H9642,IMPORTRANGE(""https://docs.google.com/spreadsheets/d/14Bd19lYaqBhU8_DElYkX7l4wRkHqqCUFNJY4AfY3kHU/edit?usp=sharing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1" s="7" t="s">
        <v>29</v>
      </c>
    </row>
    <row r="9642" spans="1:10" ht="13.2">
      <c r="A9642" s="7">
        <v>9641</v>
      </c>
      <c r="B9642" s="7">
        <v>1</v>
      </c>
      <c r="C9642" s="7" t="s">
        <v>10</v>
      </c>
      <c r="D9642" s="7">
        <v>11473</v>
      </c>
      <c r="E9642" s="7" t="s">
        <v>28</v>
      </c>
      <c r="F9642" s="8" t="str">
        <f ca="1">IFERROR(__xludf.DUMMYFUNCTION("IF
(
C9643=""фізична особа""
,
VLOOKUP(D9643,IMPORTRANGE(""https://docs.google.com/spreadsheets/d/14Bd19lYaqBhU8_DElYkX7l4wRkHqqCUFNJY4AfY3kHU/edit?usp=sharing  #gid=0"",""фіз особи new!relations_name""),6,FALSE)
,
(IF
(
C9643=""юридична особа""
,
VLOOKUP"&amp;"(D9643,IMPORTRANGE(""https://docs.google.com/spreadsheets/d/14Bd19lYaqBhU8_DElYkX7l4wRkHqqCUFNJY4AfY3kHU/edit?usp=sharing  #gid=0"",""фіз особи new!relations_name_uo""),7,FALSE)
,
)
))"),"БЕССМЕРТНИЙ Дмитро Едуардович")</f>
        <v>БЕССМЕРТНИЙ Дмитро Едуардович</v>
      </c>
      <c r="G9642" s="7" t="s">
        <v>10</v>
      </c>
      <c r="H9642" s="7">
        <v>3004</v>
      </c>
      <c r="I9642" s="8" t="str">
        <f ca="1">IFERROR(__xludf.DUMMYFUNCTION("IF
(
G9643=""фізична особа""
,
VLOOKUP(H9643,IMPORTRANGE(""https://docs.google.com/spreadsheets/d/14Bd19lYaqBhU8_DElYkX7l4wRkHqqCUFNJY4AfY3kHU/edit?usp=sharing  #gid=0"",""фіз особи new!relations_name""),6,FALSE)
,
(IF
(
G9643=""юридична особа""
,
VLOOKUP"&amp;"(H9643,IMPORTRANGE(""https://docs.google.com/spreadsheets/d/14Bd19lYaqBhU8_DElYkX7l4wRkHqqCUFNJY4AfY3kHU/edit?usp=sharing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2" s="7" t="s">
        <v>29</v>
      </c>
    </row>
    <row r="9643" spans="1:10" ht="13.2">
      <c r="A9643" s="7">
        <v>9642</v>
      </c>
      <c r="B9643" s="7">
        <v>1</v>
      </c>
      <c r="C9643" s="7" t="s">
        <v>10</v>
      </c>
      <c r="D9643" s="7">
        <v>11474</v>
      </c>
      <c r="E9643" s="7" t="s">
        <v>28</v>
      </c>
      <c r="F9643" s="8" t="str">
        <f ca="1">IFERROR(__xludf.DUMMYFUNCTION("IF
(
C9644=""фізична особа""
,
VLOOKUP(D9644,IMPORTRANGE(""https://docs.google.com/spreadsheets/d/14Bd19lYaqBhU8_DElYkX7l4wRkHqqCUFNJY4AfY3kHU/edit?usp=sharing  #gid=0"",""фіз особи new!relations_name""),6,FALSE)
,
(IF
(
C9644=""юридична особа""
,
VLOOKUP"&amp;"(D9644,IMPORTRANGE(""https://docs.google.com/spreadsheets/d/14Bd19lYaqBhU8_DElYkX7l4wRkHqqCUFNJY4AfY3kHU/edit?usp=sharing  #gid=0"",""фіз особи new!relations_name_uo""),7,FALSE)
,
)
))"),"СЕРГЄЄВ Сергій Миколайович")</f>
        <v>СЕРГЄЄВ Сергій Миколайович</v>
      </c>
      <c r="G9643" s="7" t="s">
        <v>10</v>
      </c>
      <c r="H9643" s="7">
        <v>3004</v>
      </c>
      <c r="I9643" s="8" t="str">
        <f ca="1">IFERROR(__xludf.DUMMYFUNCTION("IF
(
G9644=""фізична особа""
,
VLOOKUP(H9644,IMPORTRANGE(""https://docs.google.com/spreadsheets/d/14Bd19lYaqBhU8_DElYkX7l4wRkHqqCUFNJY4AfY3kHU/edit?usp=sharing  #gid=0"",""фіз особи new!relations_name""),6,FALSE)
,
(IF
(
G9644=""юридична особа""
,
VLOOKUP"&amp;"(H9644,IMPORTRANGE(""https://docs.google.com/spreadsheets/d/14Bd19lYaqBhU8_DElYkX7l4wRkHqqCUFNJY4AfY3kHU/edit?usp=sharing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3" s="7" t="s">
        <v>29</v>
      </c>
    </row>
    <row r="9644" spans="1:10" ht="13.2">
      <c r="A9644" s="7">
        <v>9643</v>
      </c>
      <c r="B9644" s="7">
        <v>1</v>
      </c>
      <c r="C9644" s="7" t="s">
        <v>10</v>
      </c>
      <c r="D9644" s="7">
        <v>11475</v>
      </c>
      <c r="E9644" s="7" t="s">
        <v>28</v>
      </c>
      <c r="F9644" s="8" t="str">
        <f ca="1">IFERROR(__xludf.DUMMYFUNCTION("IF
(
C9645=""фізична особа""
,
VLOOKUP(D9645,IMPORTRANGE(""https://docs.google.com/spreadsheets/d/14Bd19lYaqBhU8_DElYkX7l4wRkHqqCUFNJY4AfY3kHU/edit?usp=sharing  #gid=0"",""фіз особи new!relations_name""),6,FALSE)
,
(IF
(
C9645=""юридична особа""
,
VLOOKUP"&amp;"(D9645,IMPORTRANGE(""https://docs.google.com/spreadsheets/d/14Bd19lYaqBhU8_DElYkX7l4wRkHqqCUFNJY4AfY3kHU/edit?usp=sharing  #gid=0"",""фіз особи new!relations_name_uo""),7,FALSE)
,
)
))"),"ГАЙДАЄВ Сергій Костянтинович")</f>
        <v>ГАЙДАЄВ Сергій Костянтинович</v>
      </c>
      <c r="G9644" s="7" t="s">
        <v>10</v>
      </c>
      <c r="H9644" s="7">
        <v>3004</v>
      </c>
      <c r="I9644" s="8" t="str">
        <f ca="1">IFERROR(__xludf.DUMMYFUNCTION("IF
(
G9645=""фізична особа""
,
VLOOKUP(H9645,IMPORTRANGE(""https://docs.google.com/spreadsheets/d/14Bd19lYaqBhU8_DElYkX7l4wRkHqqCUFNJY4AfY3kHU/edit?usp=sharing  #gid=0"",""фіз особи new!relations_name""),6,FALSE)
,
(IF
(
G9645=""юридична особа""
,
VLOOKUP"&amp;"(H9645,IMPORTRANGE(""https://docs.google.com/spreadsheets/d/14Bd19lYaqBhU8_DElYkX7l4wRkHqqCUFNJY4AfY3kHU/edit?usp=sharing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4" s="7" t="s">
        <v>29</v>
      </c>
    </row>
    <row r="9645" spans="1:10" ht="13.2">
      <c r="A9645" s="7">
        <v>9644</v>
      </c>
      <c r="B9645" s="7">
        <v>1</v>
      </c>
      <c r="C9645" s="7" t="s">
        <v>10</v>
      </c>
      <c r="D9645" s="7">
        <v>11476</v>
      </c>
      <c r="E9645" s="7" t="s">
        <v>28</v>
      </c>
      <c r="F9645" s="8" t="str">
        <f ca="1">IFERROR(__xludf.DUMMYFUNCTION("IF
(
C9646=""фізична особа""
,
VLOOKUP(D9646,IMPORTRANGE(""https://docs.google.com/spreadsheets/d/14Bd19lYaqBhU8_DElYkX7l4wRkHqqCUFNJY4AfY3kHU/edit?usp=sharing  #gid=0"",""фіз особи new!relations_name""),6,FALSE)
,
(IF
(
C9646=""юридична особа""
,
VLOOKUP"&amp;"(D9646,IMPORTRANGE(""https://docs.google.com/spreadsheets/d/14Bd19lYaqBhU8_DElYkX7l4wRkHqqCUFNJY4AfY3kHU/edit?usp=sharing  #gid=0"",""фіз особи new!relations_name_uo""),7,FALSE)
,
)
))"),"ЧЕСНОКОВ Роман Олександрович")</f>
        <v>ЧЕСНОКОВ Роман Олександрович</v>
      </c>
      <c r="G9645" s="7" t="s">
        <v>10</v>
      </c>
      <c r="H9645" s="7">
        <v>3004</v>
      </c>
      <c r="I9645" s="8" t="str">
        <f ca="1">IFERROR(__xludf.DUMMYFUNCTION("IF
(
G9646=""фізична особа""
,
VLOOKUP(H9646,IMPORTRANGE(""https://docs.google.com/spreadsheets/d/14Bd19lYaqBhU8_DElYkX7l4wRkHqqCUFNJY4AfY3kHU/edit?usp=sharing  #gid=0"",""фіз особи new!relations_name""),6,FALSE)
,
(IF
(
G9646=""юридична особа""
,
VLOOKUP"&amp;"(H9646,IMPORTRANGE(""https://docs.google.com/spreadsheets/d/14Bd19lYaqBhU8_DElYkX7l4wRkHqqCUFNJY4AfY3kHU/edit?usp=sharing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5" s="7" t="s">
        <v>29</v>
      </c>
    </row>
    <row r="9646" spans="1:10" ht="13.2">
      <c r="A9646" s="7">
        <v>9645</v>
      </c>
      <c r="B9646" s="7">
        <v>1</v>
      </c>
      <c r="C9646" s="7" t="s">
        <v>10</v>
      </c>
      <c r="D9646" s="7">
        <v>11477</v>
      </c>
      <c r="E9646" s="7" t="s">
        <v>28</v>
      </c>
      <c r="F9646" s="8" t="str">
        <f ca="1">IFERROR(__xludf.DUMMYFUNCTION("IF
(
C9647=""фізична особа""
,
VLOOKUP(D9647,IMPORTRANGE(""https://docs.google.com/spreadsheets/d/14Bd19lYaqBhU8_DElYkX7l4wRkHqqCUFNJY4AfY3kHU/edit?usp=sharing  #gid=0"",""фіз особи new!relations_name""),6,FALSE)
,
(IF
(
C9647=""юридична особа""
,
VLOOKUP"&amp;"(D9647,IMPORTRANGE(""https://docs.google.com/spreadsheets/d/14Bd19lYaqBhU8_DElYkX7l4wRkHqqCUFNJY4AfY3kHU/edit?usp=sharing  #gid=0"",""фіз особи new!relations_name_uo""),7,FALSE)
,
)
))"),"ПАВЛУШКІН Сергій Валентинович")</f>
        <v>ПАВЛУШКІН Сергій Валентинович</v>
      </c>
      <c r="G9646" s="7" t="s">
        <v>10</v>
      </c>
      <c r="H9646" s="7">
        <v>3004</v>
      </c>
      <c r="I9646" s="8" t="str">
        <f ca="1">IFERROR(__xludf.DUMMYFUNCTION("IF
(
G9647=""фізична особа""
,
VLOOKUP(H9647,IMPORTRANGE(""https://docs.google.com/spreadsheets/d/14Bd19lYaqBhU8_DElYkX7l4wRkHqqCUFNJY4AfY3kHU/edit?usp=sharing  #gid=0"",""фіз особи new!relations_name""),6,FALSE)
,
(IF
(
G9647=""юридична особа""
,
VLOOKUP"&amp;"(H9647,IMPORTRANGE(""https://docs.google.com/spreadsheets/d/14Bd19lYaqBhU8_DElYkX7l4wRkHqqCUFNJY4AfY3kHU/edit?usp=sharing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6" s="7" t="s">
        <v>29</v>
      </c>
    </row>
    <row r="9647" spans="1:10" ht="13.2">
      <c r="A9647" s="7">
        <v>9646</v>
      </c>
      <c r="B9647" s="7">
        <v>1</v>
      </c>
      <c r="C9647" s="7" t="s">
        <v>10</v>
      </c>
      <c r="D9647" s="7">
        <v>11478</v>
      </c>
      <c r="E9647" s="7" t="s">
        <v>28</v>
      </c>
      <c r="F9647" s="8" t="str">
        <f ca="1">IFERROR(__xludf.DUMMYFUNCTION("IF
(
C9648=""фізична особа""
,
VLOOKUP(D9648,IMPORTRANGE(""https://docs.google.com/spreadsheets/d/14Bd19lYaqBhU8_DElYkX7l4wRkHqqCUFNJY4AfY3kHU/edit?usp=sharing  #gid=0"",""фіз особи new!relations_name""),6,FALSE)
,
(IF
(
C9648=""юридична особа""
,
VLOOKUP"&amp;"(D9648,IMPORTRANGE(""https://docs.google.com/spreadsheets/d/14Bd19lYaqBhU8_DElYkX7l4wRkHqqCUFNJY4AfY3kHU/edit?usp=sharing  #gid=0"",""фіз особи new!relations_name_uo""),7,FALSE)
,
)
))"),"СУРОВ Олег Анатолійович")</f>
        <v>СУРОВ Олег Анатолійович</v>
      </c>
      <c r="G9647" s="7" t="s">
        <v>10</v>
      </c>
      <c r="H9647" s="7">
        <v>3004</v>
      </c>
      <c r="I9647" s="8" t="str">
        <f ca="1">IFERROR(__xludf.DUMMYFUNCTION("IF
(
G9648=""фізична особа""
,
VLOOKUP(H9648,IMPORTRANGE(""https://docs.google.com/spreadsheets/d/14Bd19lYaqBhU8_DElYkX7l4wRkHqqCUFNJY4AfY3kHU/edit?usp=sharing  #gid=0"",""фіз особи new!relations_name""),6,FALSE)
,
(IF
(
G9648=""юридична особа""
,
VLOOKUP"&amp;"(H9648,IMPORTRANGE(""https://docs.google.com/spreadsheets/d/14Bd19lYaqBhU8_DElYkX7l4wRkHqqCUFNJY4AfY3kHU/edit?usp=sharing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7" s="7" t="s">
        <v>29</v>
      </c>
    </row>
    <row r="9648" spans="1:10" ht="13.2">
      <c r="A9648" s="7">
        <v>9647</v>
      </c>
      <c r="B9648" s="7">
        <v>1</v>
      </c>
      <c r="C9648" s="7" t="s">
        <v>10</v>
      </c>
      <c r="D9648" s="7">
        <v>11479</v>
      </c>
      <c r="E9648" s="7" t="s">
        <v>28</v>
      </c>
      <c r="F9648" s="8" t="str">
        <f ca="1">IFERROR(__xludf.DUMMYFUNCTION("IF
(
C9649=""фізична особа""
,
VLOOKUP(D9649,IMPORTRANGE(""https://docs.google.com/spreadsheets/d/14Bd19lYaqBhU8_DElYkX7l4wRkHqqCUFNJY4AfY3kHU/edit?usp=sharing  #gid=0"",""фіз особи new!relations_name""),6,FALSE)
,
(IF
(
C9649=""юридична особа""
,
VLOOKUP"&amp;"(D9649,IMPORTRANGE(""https://docs.google.com/spreadsheets/d/14Bd19lYaqBhU8_DElYkX7l4wRkHqqCUFNJY4AfY3kHU/edit?usp=sharing  #gid=0"",""фіз особи new!relations_name_uo""),7,FALSE)
,
)
))"),"БАЙКАЛОВ Володимир Вікторович")</f>
        <v>БАЙКАЛОВ Володимир Вікторович</v>
      </c>
      <c r="G9648" s="7" t="s">
        <v>10</v>
      </c>
      <c r="H9648" s="7">
        <v>3004</v>
      </c>
      <c r="I9648" s="8" t="str">
        <f ca="1">IFERROR(__xludf.DUMMYFUNCTION("IF
(
G9649=""фізична особа""
,
VLOOKUP(H9649,IMPORTRANGE(""https://docs.google.com/spreadsheets/d/14Bd19lYaqBhU8_DElYkX7l4wRkHqqCUFNJY4AfY3kHU/edit?usp=sharing  #gid=0"",""фіз особи new!relations_name""),6,FALSE)
,
(IF
(
G9649=""юридична особа""
,
VLOOKUP"&amp;"(H9649,IMPORTRANGE(""https://docs.google.com/spreadsheets/d/14Bd19lYaqBhU8_DElYkX7l4wRkHqqCUFNJY4AfY3kHU/edit?usp=sharing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8" s="7" t="s">
        <v>29</v>
      </c>
    </row>
    <row r="9649" spans="1:10" ht="13.2">
      <c r="A9649" s="7">
        <v>9648</v>
      </c>
      <c r="B9649" s="7">
        <v>1</v>
      </c>
      <c r="C9649" s="7" t="s">
        <v>10</v>
      </c>
      <c r="D9649" s="7">
        <v>11480</v>
      </c>
      <c r="E9649" s="7" t="s">
        <v>28</v>
      </c>
      <c r="F9649" s="8" t="str">
        <f ca="1">IFERROR(__xludf.DUMMYFUNCTION("IF
(
C9650=""фізична особа""
,
VLOOKUP(D9650,IMPORTRANGE(""https://docs.google.com/spreadsheets/d/14Bd19lYaqBhU8_DElYkX7l4wRkHqqCUFNJY4AfY3kHU/edit?usp=sharing  #gid=0"",""фіз особи new!relations_name""),6,FALSE)
,
(IF
(
C9650=""юридична особа""
,
VLOOKUP"&amp;"(D9650,IMPORTRANGE(""https://docs.google.com/spreadsheets/d/14Bd19lYaqBhU8_DElYkX7l4wRkHqqCUFNJY4AfY3kHU/edit?usp=sharing  #gid=0"",""фіз особи new!relations_name_uo""),7,FALSE)
,
)
))"),"САХАРОВ Андрій Іванович")</f>
        <v>САХАРОВ Андрій Іванович</v>
      </c>
      <c r="G9649" s="7" t="s">
        <v>10</v>
      </c>
      <c r="H9649" s="7">
        <v>3004</v>
      </c>
      <c r="I9649" s="8" t="str">
        <f ca="1">IFERROR(__xludf.DUMMYFUNCTION("IF
(
G9650=""фізична особа""
,
VLOOKUP(H9650,IMPORTRANGE(""https://docs.google.com/spreadsheets/d/14Bd19lYaqBhU8_DElYkX7l4wRkHqqCUFNJY4AfY3kHU/edit?usp=sharing  #gid=0"",""фіз особи new!relations_name""),6,FALSE)
,
(IF
(
G9650=""юридична особа""
,
VLOOKUP"&amp;"(H9650,IMPORTRANGE(""https://docs.google.com/spreadsheets/d/14Bd19lYaqBhU8_DElYkX7l4wRkHqqCUFNJY4AfY3kHU/edit?usp=sharing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49" s="7" t="s">
        <v>29</v>
      </c>
    </row>
    <row r="9650" spans="1:10" ht="13.2">
      <c r="A9650" s="7">
        <v>9649</v>
      </c>
      <c r="B9650" s="7">
        <v>1</v>
      </c>
      <c r="C9650" s="7" t="s">
        <v>10</v>
      </c>
      <c r="D9650" s="7">
        <v>11481</v>
      </c>
      <c r="E9650" s="7" t="s">
        <v>28</v>
      </c>
      <c r="F9650" s="8" t="str">
        <f ca="1">IFERROR(__xludf.DUMMYFUNCTION("IF
(
C9651=""фізична особа""
,
VLOOKUP(D9651,IMPORTRANGE(""https://docs.google.com/spreadsheets/d/14Bd19lYaqBhU8_DElYkX7l4wRkHqqCUFNJY4AfY3kHU/edit?usp=sharing  #gid=0"",""фіз особи new!relations_name""),6,FALSE)
,
(IF
(
C9651=""юридична особа""
,
VLOOKUP"&amp;"(D9651,IMPORTRANGE(""https://docs.google.com/spreadsheets/d/14Bd19lYaqBhU8_DElYkX7l4wRkHqqCUFNJY4AfY3kHU/edit?usp=sharing  #gid=0"",""фіз особи new!relations_name_uo""),7,FALSE)
,
)
))"),"САВІН Олександр Анатолійович")</f>
        <v>САВІН Олександр Анатолійович</v>
      </c>
      <c r="G9650" s="7" t="s">
        <v>10</v>
      </c>
      <c r="H9650" s="7">
        <v>3004</v>
      </c>
      <c r="I9650" s="8" t="str">
        <f ca="1">IFERROR(__xludf.DUMMYFUNCTION("IF
(
G9651=""фізична особа""
,
VLOOKUP(H9651,IMPORTRANGE(""https://docs.google.com/spreadsheets/d/14Bd19lYaqBhU8_DElYkX7l4wRkHqqCUFNJY4AfY3kHU/edit?usp=sharing  #gid=0"",""фіз особи new!relations_name""),6,FALSE)
,
(IF
(
G9651=""юридична особа""
,
VLOOKUP"&amp;"(H9651,IMPORTRANGE(""https://docs.google.com/spreadsheets/d/14Bd19lYaqBhU8_DElYkX7l4wRkHqqCUFNJY4AfY3kHU/edit?usp=sharing  #gid=0"",""фіз особи new!relations_name_uo""),7,FALSE)
,
)
))"),"ЛАВРИЩЕВ Андрій Васильович")</f>
        <v>ЛАВРИЩЕВ Андрій Васильович</v>
      </c>
      <c r="J9650" s="7" t="s">
        <v>29</v>
      </c>
    </row>
    <row r="9651" spans="1:10" ht="13.2">
      <c r="A9651" s="7">
        <v>9650</v>
      </c>
      <c r="B9651" s="7">
        <v>1</v>
      </c>
      <c r="C9651" s="7" t="s">
        <v>10</v>
      </c>
      <c r="D9651" s="7">
        <v>11482</v>
      </c>
      <c r="E9651" s="7" t="s">
        <v>28</v>
      </c>
      <c r="F9651" s="8" t="str">
        <f ca="1">IFERROR(__xludf.DUMMYFUNCTION("IF
(
C9652=""фізична особа""
,
VLOOKUP(D9652,IMPORTRANGE(""https://docs.google.com/spreadsheets/d/14Bd19lYaqBhU8_DElYkX7l4wRkHqqCUFNJY4AfY3kHU/edit?usp=sharing  #gid=0"",""фіз особи new!relations_name""),6,FALSE)
,
(IF
(
C9652=""юридична особа""
,
VLOOKUP"&amp;"(D9652,IMPORTRANGE(""https://docs.google.com/spreadsheets/d/14Bd19lYaqBhU8_DElYkX7l4wRkHqqCUFNJY4AfY3kHU/edit?usp=sharing  #gid=0"",""фіз особи new!relations_name_uo""),7,FALSE)
,
)
))"),"КУЗЬМІН Олексій Андрійович")</f>
        <v>КУЗЬМІН Олексій Андрійович</v>
      </c>
      <c r="G9651" s="7" t="s">
        <v>10</v>
      </c>
      <c r="H9651" s="7">
        <v>2946</v>
      </c>
      <c r="I9651" s="8" t="str">
        <f ca="1">IFERROR(__xludf.DUMMYFUNCTION("IF
(
G9652=""фізична особа""
,
VLOOKUP(H9652,IMPORTRANGE(""https://docs.google.com/spreadsheets/d/14Bd19lYaqBhU8_DElYkX7l4wRkHqqCUFNJY4AfY3kHU/edit?usp=sharing  #gid=0"",""фіз особи new!relations_name""),6,FALSE)
,
(IF
(
G9652=""юридична особа""
,
VLOOKUP"&amp;"(H9652,IMPORTRANGE(""https://docs.google.com/spreadsheets/d/14Bd19lYaqBhU8_DElYkX7l4wRkHqqCUFNJY4AfY3kHU/edit?usp=sharing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51" s="7" t="s">
        <v>29</v>
      </c>
    </row>
    <row r="9652" spans="1:10" ht="13.2">
      <c r="A9652" s="7">
        <v>9651</v>
      </c>
      <c r="B9652" s="7">
        <v>1</v>
      </c>
      <c r="C9652" s="7" t="s">
        <v>10</v>
      </c>
      <c r="D9652" s="7">
        <v>11483</v>
      </c>
      <c r="E9652" s="7" t="s">
        <v>28</v>
      </c>
      <c r="F9652" s="8" t="str">
        <f ca="1">IFERROR(__xludf.DUMMYFUNCTION("IF
(
C9653=""фізична особа""
,
VLOOKUP(D9653,IMPORTRANGE(""https://docs.google.com/spreadsheets/d/14Bd19lYaqBhU8_DElYkX7l4wRkHqqCUFNJY4AfY3kHU/edit?usp=sharing  #gid=0"",""фіз особи new!relations_name""),6,FALSE)
,
(IF
(
C9653=""юридична особа""
,
VLOOKUP"&amp;"(D9653,IMPORTRANGE(""https://docs.google.com/spreadsheets/d/14Bd19lYaqBhU8_DElYkX7l4wRkHqqCUFNJY4AfY3kHU/edit?usp=sharing  #gid=0"",""фіз особи new!relations_name_uo""),7,FALSE)
,
)
))"),"МЕДВЕДЄВ Олег Валерійович")</f>
        <v>МЕДВЕДЄВ Олег Валерійович</v>
      </c>
      <c r="G9652" s="7" t="s">
        <v>10</v>
      </c>
      <c r="H9652" s="7">
        <v>2946</v>
      </c>
      <c r="I9652" s="8" t="str">
        <f ca="1">IFERROR(__xludf.DUMMYFUNCTION("IF
(
G9653=""фізична особа""
,
VLOOKUP(H9653,IMPORTRANGE(""https://docs.google.com/spreadsheets/d/14Bd19lYaqBhU8_DElYkX7l4wRkHqqCUFNJY4AfY3kHU/edit?usp=sharing  #gid=0"",""фіз особи new!relations_name""),6,FALSE)
,
(IF
(
G9653=""юридична особа""
,
VLOOKUP"&amp;"(H9653,IMPORTRANGE(""https://docs.google.com/spreadsheets/d/14Bd19lYaqBhU8_DElYkX7l4wRkHqqCUFNJY4AfY3kHU/edit?usp=sharing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52" s="7" t="s">
        <v>29</v>
      </c>
    </row>
    <row r="9653" spans="1:10" ht="13.2">
      <c r="A9653" s="7">
        <v>9652</v>
      </c>
      <c r="B9653" s="7">
        <v>1</v>
      </c>
      <c r="C9653" s="7" t="s">
        <v>10</v>
      </c>
      <c r="D9653" s="7">
        <v>11484</v>
      </c>
      <c r="E9653" s="7" t="s">
        <v>28</v>
      </c>
      <c r="F9653" s="8" t="str">
        <f ca="1">IFERROR(__xludf.DUMMYFUNCTION("IF
(
C9654=""фізична особа""
,
VLOOKUP(D9654,IMPORTRANGE(""https://docs.google.com/spreadsheets/d/14Bd19lYaqBhU8_DElYkX7l4wRkHqqCUFNJY4AfY3kHU/edit?usp=sharing  #gid=0"",""фіз особи new!relations_name""),6,FALSE)
,
(IF
(
C9654=""юридична особа""
,
VLOOKUP"&amp;"(D9654,IMPORTRANGE(""https://docs.google.com/spreadsheets/d/14Bd19lYaqBhU8_DElYkX7l4wRkHqqCUFNJY4AfY3kHU/edit?usp=sharing  #gid=0"",""фіз особи new!relations_name_uo""),7,FALSE)
,
)
))"),"ПАТЯШИНА Марина Олександрівна")</f>
        <v>ПАТЯШИНА Марина Олександрівна</v>
      </c>
      <c r="G9653" s="7" t="s">
        <v>10</v>
      </c>
      <c r="H9653" s="7">
        <v>3042</v>
      </c>
      <c r="I9653" s="8" t="str">
        <f ca="1">IFERROR(__xludf.DUMMYFUNCTION("IF
(
G9654=""фізична особа""
,
VLOOKUP(H9654,IMPORTRANGE(""https://docs.google.com/spreadsheets/d/14Bd19lYaqBhU8_DElYkX7l4wRkHqqCUFNJY4AfY3kHU/edit?usp=sharing  #gid=0"",""фіз особи new!relations_name""),6,FALSE)
,
(IF
(
G9654=""юридична особа""
,
VLOOKUP"&amp;"(H9654,IMPORTRANGE(""https://docs.google.com/spreadsheets/d/14Bd19lYaqBhU8_DElYkX7l4wRkHqqCUFNJY4AfY3kHU/edit?usp=sharing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53" s="7" t="s">
        <v>29</v>
      </c>
    </row>
    <row r="9654" spans="1:10" ht="13.2">
      <c r="A9654" s="7">
        <v>9653</v>
      </c>
      <c r="B9654" s="7">
        <v>1</v>
      </c>
      <c r="C9654" s="7" t="s">
        <v>10</v>
      </c>
      <c r="D9654" s="7">
        <v>11485</v>
      </c>
      <c r="E9654" s="7" t="s">
        <v>28</v>
      </c>
      <c r="F9654" s="8" t="str">
        <f ca="1">IFERROR(__xludf.DUMMYFUNCTION("IF
(
C9655=""фізична особа""
,
VLOOKUP(D9655,IMPORTRANGE(""https://docs.google.com/spreadsheets/d/14Bd19lYaqBhU8_DElYkX7l4wRkHqqCUFNJY4AfY3kHU/edit?usp=sharing  #gid=0"",""фіз особи new!relations_name""),6,FALSE)
,
(IF
(
C9655=""юридична особа""
,
VLOOKUP"&amp;"(D9655,IMPORTRANGE(""https://docs.google.com/spreadsheets/d/14Bd19lYaqBhU8_DElYkX7l4wRkHqqCUFNJY4AfY3kHU/edit?usp=sharing  #gid=0"",""фіз особи new!relations_name_uo""),7,FALSE)
,
)
))"),"МАТЮШИНА Наталія Сергіївна")</f>
        <v>МАТЮШИНА Наталія Сергіївна</v>
      </c>
      <c r="G9654" s="7" t="s">
        <v>10</v>
      </c>
      <c r="H9654" s="7">
        <v>3042</v>
      </c>
      <c r="I9654" s="8" t="str">
        <f ca="1">IFERROR(__xludf.DUMMYFUNCTION("IF
(
G9655=""фізична особа""
,
VLOOKUP(H9655,IMPORTRANGE(""https://docs.google.com/spreadsheets/d/14Bd19lYaqBhU8_DElYkX7l4wRkHqqCUFNJY4AfY3kHU/edit?usp=sharing  #gid=0"",""фіз особи new!relations_name""),6,FALSE)
,
(IF
(
G9655=""юридична особа""
,
VLOOKUP"&amp;"(H9655,IMPORTRANGE(""https://docs.google.com/spreadsheets/d/14Bd19lYaqBhU8_DElYkX7l4wRkHqqCUFNJY4AfY3kHU/edit?usp=sharing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54" s="7" t="s">
        <v>29</v>
      </c>
    </row>
    <row r="9655" spans="1:10" ht="13.2">
      <c r="A9655" s="7">
        <v>9654</v>
      </c>
      <c r="B9655" s="7">
        <v>1</v>
      </c>
      <c r="C9655" s="7" t="s">
        <v>10</v>
      </c>
      <c r="D9655" s="7">
        <v>11486</v>
      </c>
      <c r="E9655" s="7" t="s">
        <v>28</v>
      </c>
      <c r="F9655" s="8" t="str">
        <f ca="1">IFERROR(__xludf.DUMMYFUNCTION("IF
(
C9656=""фізична особа""
,
VLOOKUP(D9656,IMPORTRANGE(""https://docs.google.com/spreadsheets/d/14Bd19lYaqBhU8_DElYkX7l4wRkHqqCUFNJY4AfY3kHU/edit?usp=sharing  #gid=0"",""фіз особи new!relations_name""),6,FALSE)
,
(IF
(
C9656=""юридична особа""
,
VLOOKUP"&amp;"(D9656,IMPORTRANGE(""https://docs.google.com/spreadsheets/d/14Bd19lYaqBhU8_DElYkX7l4wRkHqqCUFNJY4AfY3kHU/edit?usp=sharing  #gid=0"",""фіз особи new!relations_name_uo""),7,FALSE)
,
)
))"),"ДУБОВИЦЬКА Олена Миколаївна")</f>
        <v>ДУБОВИЦЬКА Олена Миколаївна</v>
      </c>
      <c r="G9655" s="7" t="s">
        <v>10</v>
      </c>
      <c r="H9655" s="7">
        <v>3042</v>
      </c>
      <c r="I9655" s="8" t="str">
        <f ca="1">IFERROR(__xludf.DUMMYFUNCTION("IF
(
G9656=""фізична особа""
,
VLOOKUP(H9656,IMPORTRANGE(""https://docs.google.com/spreadsheets/d/14Bd19lYaqBhU8_DElYkX7l4wRkHqqCUFNJY4AfY3kHU/edit?usp=sharing  #gid=0"",""фіз особи new!relations_name""),6,FALSE)
,
(IF
(
G9656=""юридична особа""
,
VLOOKUP"&amp;"(H9656,IMPORTRANGE(""https://docs.google.com/spreadsheets/d/14Bd19lYaqBhU8_DElYkX7l4wRkHqqCUFNJY4AfY3kHU/edit?usp=sharing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55" s="7" t="s">
        <v>29</v>
      </c>
    </row>
    <row r="9656" spans="1:10" ht="13.2">
      <c r="A9656" s="7">
        <v>9655</v>
      </c>
      <c r="B9656" s="7">
        <v>1</v>
      </c>
      <c r="C9656" s="7" t="s">
        <v>10</v>
      </c>
      <c r="D9656" s="7">
        <v>11487</v>
      </c>
      <c r="E9656" s="7" t="s">
        <v>28</v>
      </c>
      <c r="F9656" s="8" t="str">
        <f ca="1">IFERROR(__xludf.DUMMYFUNCTION("IF
(
C9657=""фізична особа""
,
VLOOKUP(D9657,IMPORTRANGE(""https://docs.google.com/spreadsheets/d/14Bd19lYaqBhU8_DElYkX7l4wRkHqqCUFNJY4AfY3kHU/edit?usp=sharing  #gid=0"",""фіз особи new!relations_name""),6,FALSE)
,
(IF
(
C9657=""юридична особа""
,
VLOOKUP"&amp;"(D9657,IMPORTRANGE(""https://docs.google.com/spreadsheets/d/14Bd19lYaqBhU8_DElYkX7l4wRkHqqCUFNJY4AfY3kHU/edit?usp=sharing  #gid=0"",""фіз особи new!relations_name_uo""),7,FALSE)
,
)
))"),"ЛУГОВСЬКА Надія Феофанівна")</f>
        <v>ЛУГОВСЬКА Надія Феофанівна</v>
      </c>
      <c r="G9656" s="7" t="s">
        <v>10</v>
      </c>
      <c r="H9656" s="7">
        <v>3042</v>
      </c>
      <c r="I9656" s="8" t="str">
        <f ca="1">IFERROR(__xludf.DUMMYFUNCTION("IF
(
G9657=""фізична особа""
,
VLOOKUP(H9657,IMPORTRANGE(""https://docs.google.com/spreadsheets/d/14Bd19lYaqBhU8_DElYkX7l4wRkHqqCUFNJY4AfY3kHU/edit?usp=sharing  #gid=0"",""фіз особи new!relations_name""),6,FALSE)
,
(IF
(
G9657=""юридична особа""
,
VLOOKUP"&amp;"(H9657,IMPORTRANGE(""https://docs.google.com/spreadsheets/d/14Bd19lYaqBhU8_DElYkX7l4wRkHqqCUFNJY4AfY3kHU/edit?usp=sharing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56" s="7" t="s">
        <v>29</v>
      </c>
    </row>
    <row r="9657" spans="1:10" ht="13.2">
      <c r="A9657" s="7">
        <v>9656</v>
      </c>
      <c r="B9657" s="7">
        <v>1</v>
      </c>
      <c r="C9657" s="7" t="s">
        <v>10</v>
      </c>
      <c r="D9657" s="7">
        <v>11488</v>
      </c>
      <c r="E9657" s="7" t="s">
        <v>28</v>
      </c>
      <c r="F9657" s="8" t="str">
        <f ca="1">IFERROR(__xludf.DUMMYFUNCTION("IF
(
C9658=""фізична особа""
,
VLOOKUP(D9658,IMPORTRANGE(""https://docs.google.com/spreadsheets/d/14Bd19lYaqBhU8_DElYkX7l4wRkHqqCUFNJY4AfY3kHU/edit?usp=sharing  #gid=0"",""фіз особи new!relations_name""),6,FALSE)
,
(IF
(
C9658=""юридична особа""
,
VLOOKUP"&amp;"(D9658,IMPORTRANGE(""https://docs.google.com/spreadsheets/d/14Bd19lYaqBhU8_DElYkX7l4wRkHqqCUFNJY4AfY3kHU/edit?usp=sharing  #gid=0"",""фіз особи new!relations_name_uo""),7,FALSE)
,
)
))"),"ХОХЛОВ Григорій Тимофійович")</f>
        <v>ХОХЛОВ Григорій Тимофійович</v>
      </c>
      <c r="G9657" s="7" t="s">
        <v>10</v>
      </c>
      <c r="H9657" s="7">
        <v>3042</v>
      </c>
      <c r="I9657" s="8" t="str">
        <f ca="1">IFERROR(__xludf.DUMMYFUNCTION("IF
(
G9658=""фізична особа""
,
VLOOKUP(H9658,IMPORTRANGE(""https://docs.google.com/spreadsheets/d/14Bd19lYaqBhU8_DElYkX7l4wRkHqqCUFNJY4AfY3kHU/edit?usp=sharing  #gid=0"",""фіз особи new!relations_name""),6,FALSE)
,
(IF
(
G9658=""юридична особа""
,
VLOOKUP"&amp;"(H9658,IMPORTRANGE(""https://docs.google.com/spreadsheets/d/14Bd19lYaqBhU8_DElYkX7l4wRkHqqCUFNJY4AfY3kHU/edit?usp=sharing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57" s="7" t="s">
        <v>29</v>
      </c>
    </row>
    <row r="9658" spans="1:10" ht="13.2">
      <c r="A9658" s="7">
        <v>9657</v>
      </c>
      <c r="B9658" s="7">
        <v>1</v>
      </c>
      <c r="C9658" s="7" t="s">
        <v>10</v>
      </c>
      <c r="D9658" s="7">
        <v>11489</v>
      </c>
      <c r="E9658" s="7" t="s">
        <v>28</v>
      </c>
      <c r="F9658" s="8" t="str">
        <f ca="1">IFERROR(__xludf.DUMMYFUNCTION("IF
(
C9659=""фізична особа""
,
VLOOKUP(D9659,IMPORTRANGE(""https://docs.google.com/spreadsheets/d/14Bd19lYaqBhU8_DElYkX7l4wRkHqqCUFNJY4AfY3kHU/edit?usp=sharing  #gid=0"",""фіз особи new!relations_name""),6,FALSE)
,
(IF
(
C9659=""юридична особа""
,
VLOOKUP"&amp;"(D9659,IMPORTRANGE(""https://docs.google.com/spreadsheets/d/14Bd19lYaqBhU8_DElYkX7l4wRkHqqCUFNJY4AfY3kHU/edit?usp=sharing  #gid=0"",""фіз особи new!relations_name_uo""),7,FALSE)
,
)
))"),"БОГУШ Олександр Олександрович")</f>
        <v>БОГУШ Олександр Олександрович</v>
      </c>
      <c r="G9658" s="7" t="s">
        <v>10</v>
      </c>
      <c r="H9658" s="7">
        <v>2946</v>
      </c>
      <c r="I9658" s="8" t="str">
        <f ca="1">IFERROR(__xludf.DUMMYFUNCTION("IF
(
G9659=""фізична особа""
,
VLOOKUP(H9659,IMPORTRANGE(""https://docs.google.com/spreadsheets/d/14Bd19lYaqBhU8_DElYkX7l4wRkHqqCUFNJY4AfY3kHU/edit?usp=sharing  #gid=0"",""фіз особи new!relations_name""),6,FALSE)
,
(IF
(
G9659=""юридична особа""
,
VLOOKUP"&amp;"(H9659,IMPORTRANGE(""https://docs.google.com/spreadsheets/d/14Bd19lYaqBhU8_DElYkX7l4wRkHqqCUFNJY4AfY3kHU/edit?usp=sharing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58" s="7" t="s">
        <v>29</v>
      </c>
    </row>
    <row r="9659" spans="1:10" ht="13.2">
      <c r="A9659" s="7">
        <v>9658</v>
      </c>
      <c r="B9659" s="7">
        <v>1</v>
      </c>
      <c r="C9659" s="7" t="s">
        <v>10</v>
      </c>
      <c r="D9659" s="7">
        <v>11490</v>
      </c>
      <c r="E9659" s="7" t="s">
        <v>28</v>
      </c>
      <c r="F9659" s="8" t="str">
        <f ca="1">IFERROR(__xludf.DUMMYFUNCTION("IF
(
C9660=""фізична особа""
,
VLOOKUP(D9660,IMPORTRANGE(""https://docs.google.com/spreadsheets/d/14Bd19lYaqBhU8_DElYkX7l4wRkHqqCUFNJY4AfY3kHU/edit?usp=sharing  #gid=0"",""фіз особи new!relations_name""),6,FALSE)
,
(IF
(
C9660=""юридична особа""
,
VLOOKUP"&amp;"(D9660,IMPORTRANGE(""https://docs.google.com/spreadsheets/d/14Bd19lYaqBhU8_DElYkX7l4wRkHqqCUFNJY4AfY3kHU/edit?usp=sharing  #gid=0"",""фіз особи new!relations_name_uo""),7,FALSE)
,
)
))"),"ГОРНІХ Олександр Федорович")</f>
        <v>ГОРНІХ Олександр Федорович</v>
      </c>
      <c r="G9659" s="7" t="s">
        <v>10</v>
      </c>
      <c r="H9659" s="7">
        <v>2946</v>
      </c>
      <c r="I9659" s="8" t="str">
        <f ca="1">IFERROR(__xludf.DUMMYFUNCTION("IF
(
G9660=""фізична особа""
,
VLOOKUP(H9660,IMPORTRANGE(""https://docs.google.com/spreadsheets/d/14Bd19lYaqBhU8_DElYkX7l4wRkHqqCUFNJY4AfY3kHU/edit?usp=sharing  #gid=0"",""фіз особи new!relations_name""),6,FALSE)
,
(IF
(
G9660=""юридична особа""
,
VLOOKUP"&amp;"(H9660,IMPORTRANGE(""https://docs.google.com/spreadsheets/d/14Bd19lYaqBhU8_DElYkX7l4wRkHqqCUFNJY4AfY3kHU/edit?usp=sharing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59" s="7" t="s">
        <v>29</v>
      </c>
    </row>
    <row r="9660" spans="1:10" ht="13.2">
      <c r="A9660" s="7">
        <v>9659</v>
      </c>
      <c r="B9660" s="7">
        <v>1</v>
      </c>
      <c r="C9660" s="7" t="s">
        <v>10</v>
      </c>
      <c r="D9660" s="7">
        <v>11491</v>
      </c>
      <c r="E9660" s="7" t="s">
        <v>28</v>
      </c>
      <c r="F9660" s="8" t="str">
        <f ca="1">IFERROR(__xludf.DUMMYFUNCTION("IF
(
C9661=""фізична особа""
,
VLOOKUP(D9661,IMPORTRANGE(""https://docs.google.com/spreadsheets/d/14Bd19lYaqBhU8_DElYkX7l4wRkHqqCUFNJY4AfY3kHU/edit?usp=sharing  #gid=0"",""фіз особи new!relations_name""),6,FALSE)
,
(IF
(
C9661=""юридична особа""
,
VLOOKUP"&amp;"(D9661,IMPORTRANGE(""https://docs.google.com/spreadsheets/d/14Bd19lYaqBhU8_DElYkX7l4wRkHqqCUFNJY4AfY3kHU/edit?usp=sharing  #gid=0"",""фіз особи new!relations_name_uo""),7,FALSE)
,
)
))"),"ШИМАНОВ Андрій Володимирович")</f>
        <v>ШИМАНОВ Андрій Володимирович</v>
      </c>
      <c r="G9660" s="7" t="s">
        <v>10</v>
      </c>
      <c r="H9660" s="7">
        <v>2946</v>
      </c>
      <c r="I9660" s="8" t="str">
        <f ca="1">IFERROR(__xludf.DUMMYFUNCTION("IF
(
G9661=""фізична особа""
,
VLOOKUP(H9661,IMPORTRANGE(""https://docs.google.com/spreadsheets/d/14Bd19lYaqBhU8_DElYkX7l4wRkHqqCUFNJY4AfY3kHU/edit?usp=sharing  #gid=0"",""фіз особи new!relations_name""),6,FALSE)
,
(IF
(
G9661=""юридична особа""
,
VLOOKUP"&amp;"(H9661,IMPORTRANGE(""https://docs.google.com/spreadsheets/d/14Bd19lYaqBhU8_DElYkX7l4wRkHqqCUFNJY4AfY3kHU/edit?usp=sharing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0" s="7" t="s">
        <v>29</v>
      </c>
    </row>
    <row r="9661" spans="1:10" ht="13.2">
      <c r="A9661" s="7">
        <v>9660</v>
      </c>
      <c r="B9661" s="7">
        <v>1</v>
      </c>
      <c r="C9661" s="7" t="s">
        <v>10</v>
      </c>
      <c r="D9661" s="7">
        <v>11492</v>
      </c>
      <c r="E9661" s="7" t="s">
        <v>28</v>
      </c>
      <c r="F9661" s="8" t="str">
        <f ca="1">IFERROR(__xludf.DUMMYFUNCTION("IF
(
C9662=""фізична особа""
,
VLOOKUP(D9662,IMPORTRANGE(""https://docs.google.com/spreadsheets/d/14Bd19lYaqBhU8_DElYkX7l4wRkHqqCUFNJY4AfY3kHU/edit?usp=sharing  #gid=0"",""фіз особи new!relations_name""),6,FALSE)
,
(IF
(
C9662=""юридична особа""
,
VLOOKUP"&amp;"(D9662,IMPORTRANGE(""https://docs.google.com/spreadsheets/d/14Bd19lYaqBhU8_DElYkX7l4wRkHqqCUFNJY4AfY3kHU/edit?usp=sharing  #gid=0"",""фіз особи new!relations_name_uo""),7,FALSE)
,
)
))"),"КОЗЬМІНИХ Михайло Юрійович")</f>
        <v>КОЗЬМІНИХ Михайло Юрійович</v>
      </c>
      <c r="G9661" s="7" t="s">
        <v>10</v>
      </c>
      <c r="H9661" s="7">
        <v>2946</v>
      </c>
      <c r="I9661" s="8" t="str">
        <f ca="1">IFERROR(__xludf.DUMMYFUNCTION("IF
(
G9662=""фізична особа""
,
VLOOKUP(H9662,IMPORTRANGE(""https://docs.google.com/spreadsheets/d/14Bd19lYaqBhU8_DElYkX7l4wRkHqqCUFNJY4AfY3kHU/edit?usp=sharing  #gid=0"",""фіз особи new!relations_name""),6,FALSE)
,
(IF
(
G9662=""юридична особа""
,
VLOOKUP"&amp;"(H9662,IMPORTRANGE(""https://docs.google.com/spreadsheets/d/14Bd19lYaqBhU8_DElYkX7l4wRkHqqCUFNJY4AfY3kHU/edit?usp=sharing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1" s="7" t="s">
        <v>29</v>
      </c>
    </row>
    <row r="9662" spans="1:10" ht="13.2">
      <c r="A9662" s="7">
        <v>9661</v>
      </c>
      <c r="B9662" s="7">
        <v>1</v>
      </c>
      <c r="C9662" s="7" t="s">
        <v>10</v>
      </c>
      <c r="D9662" s="7">
        <v>11493</v>
      </c>
      <c r="E9662" s="7" t="s">
        <v>28</v>
      </c>
      <c r="F9662" s="8" t="str">
        <f ca="1">IFERROR(__xludf.DUMMYFUNCTION("IF
(
C9663=""фізична особа""
,
VLOOKUP(D9663,IMPORTRANGE(""https://docs.google.com/spreadsheets/d/14Bd19lYaqBhU8_DElYkX7l4wRkHqqCUFNJY4AfY3kHU/edit?usp=sharing  #gid=0"",""фіз особи new!relations_name""),6,FALSE)
,
(IF
(
C9663=""юридична особа""
,
VLOOKUP"&amp;"(D9663,IMPORTRANGE(""https://docs.google.com/spreadsheets/d/14Bd19lYaqBhU8_DElYkX7l4wRkHqqCUFNJY4AfY3kHU/edit?usp=sharing  #gid=0"",""фіз особи new!relations_name_uo""),7,FALSE)
,
)
))"),"МОВСІСЯН Грант Олегович")</f>
        <v>МОВСІСЯН Грант Олегович</v>
      </c>
      <c r="G9662" s="7" t="s">
        <v>10</v>
      </c>
      <c r="H9662" s="7">
        <v>2946</v>
      </c>
      <c r="I9662" s="8" t="str">
        <f ca="1">IFERROR(__xludf.DUMMYFUNCTION("IF
(
G9663=""фізична особа""
,
VLOOKUP(H9663,IMPORTRANGE(""https://docs.google.com/spreadsheets/d/14Bd19lYaqBhU8_DElYkX7l4wRkHqqCUFNJY4AfY3kHU/edit?usp=sharing  #gid=0"",""фіз особи new!relations_name""),6,FALSE)
,
(IF
(
G9663=""юридична особа""
,
VLOOKUP"&amp;"(H9663,IMPORTRANGE(""https://docs.google.com/spreadsheets/d/14Bd19lYaqBhU8_DElYkX7l4wRkHqqCUFNJY4AfY3kHU/edit?usp=sharing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2" s="7" t="s">
        <v>29</v>
      </c>
    </row>
    <row r="9663" spans="1:10" ht="13.2">
      <c r="A9663" s="7">
        <v>9662</v>
      </c>
      <c r="B9663" s="7">
        <v>1</v>
      </c>
      <c r="C9663" s="7" t="s">
        <v>10</v>
      </c>
      <c r="D9663" s="7">
        <v>11494</v>
      </c>
      <c r="E9663" s="7" t="s">
        <v>28</v>
      </c>
      <c r="F9663" s="8" t="str">
        <f ca="1">IFERROR(__xludf.DUMMYFUNCTION("IF
(
C9664=""фізична особа""
,
VLOOKUP(D9664,IMPORTRANGE(""https://docs.google.com/spreadsheets/d/14Bd19lYaqBhU8_DElYkX7l4wRkHqqCUFNJY4AfY3kHU/edit?usp=sharing  #gid=0"",""фіз особи new!relations_name""),6,FALSE)
,
(IF
(
C9664=""юридична особа""
,
VLOOKUP"&amp;"(D9664,IMPORTRANGE(""https://docs.google.com/spreadsheets/d/14Bd19lYaqBhU8_DElYkX7l4wRkHqqCUFNJY4AfY3kHU/edit?usp=sharing  #gid=0"",""фіз особи new!relations_name_uo""),7,FALSE)
,
)
))"),"ГУРЖЕЄВ Андрій Олегович")</f>
        <v>ГУРЖЕЄВ Андрій Олегович</v>
      </c>
      <c r="G9663" s="7" t="s">
        <v>10</v>
      </c>
      <c r="H9663" s="7">
        <v>2946</v>
      </c>
      <c r="I9663" s="8" t="str">
        <f ca="1">IFERROR(__xludf.DUMMYFUNCTION("IF
(
G9664=""фізична особа""
,
VLOOKUP(H9664,IMPORTRANGE(""https://docs.google.com/spreadsheets/d/14Bd19lYaqBhU8_DElYkX7l4wRkHqqCUFNJY4AfY3kHU/edit?usp=sharing  #gid=0"",""фіз особи new!relations_name""),6,FALSE)
,
(IF
(
G9664=""юридична особа""
,
VLOOKUP"&amp;"(H9664,IMPORTRANGE(""https://docs.google.com/spreadsheets/d/14Bd19lYaqBhU8_DElYkX7l4wRkHqqCUFNJY4AfY3kHU/edit?usp=sharing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3" s="7" t="s">
        <v>29</v>
      </c>
    </row>
    <row r="9664" spans="1:10" ht="13.2">
      <c r="A9664" s="7">
        <v>9663</v>
      </c>
      <c r="B9664" s="7">
        <v>1</v>
      </c>
      <c r="C9664" s="7" t="s">
        <v>10</v>
      </c>
      <c r="D9664" s="7">
        <v>11495</v>
      </c>
      <c r="E9664" s="7" t="s">
        <v>28</v>
      </c>
      <c r="F9664" s="8" t="str">
        <f ca="1">IFERROR(__xludf.DUMMYFUNCTION("IF
(
C9665=""фізична особа""
,
VLOOKUP(D9665,IMPORTRANGE(""https://docs.google.com/spreadsheets/d/14Bd19lYaqBhU8_DElYkX7l4wRkHqqCUFNJY4AfY3kHU/edit?usp=sharing  #gid=0"",""фіз особи new!relations_name""),6,FALSE)
,
(IF
(
C9665=""юридична особа""
,
VLOOKUP"&amp;"(D9665,IMPORTRANGE(""https://docs.google.com/spreadsheets/d/14Bd19lYaqBhU8_DElYkX7l4wRkHqqCUFNJY4AfY3kHU/edit?usp=sharing  #gid=0"",""фіз особи new!relations_name_uo""),7,FALSE)
,
)
))"),"ШЕРЕМЕТЬЄВ Ігор Євгенович")</f>
        <v>ШЕРЕМЕТЬЄВ Ігор Євгенович</v>
      </c>
      <c r="G9664" s="7" t="s">
        <v>10</v>
      </c>
      <c r="H9664" s="7">
        <v>2946</v>
      </c>
      <c r="I9664" s="8" t="str">
        <f ca="1">IFERROR(__xludf.DUMMYFUNCTION("IF
(
G9665=""фізична особа""
,
VLOOKUP(H9665,IMPORTRANGE(""https://docs.google.com/spreadsheets/d/14Bd19lYaqBhU8_DElYkX7l4wRkHqqCUFNJY4AfY3kHU/edit?usp=sharing  #gid=0"",""фіз особи new!relations_name""),6,FALSE)
,
(IF
(
G9665=""юридична особа""
,
VLOOKUP"&amp;"(H9665,IMPORTRANGE(""https://docs.google.com/spreadsheets/d/14Bd19lYaqBhU8_DElYkX7l4wRkHqqCUFNJY4AfY3kHU/edit?usp=sharing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4" s="7" t="s">
        <v>29</v>
      </c>
    </row>
    <row r="9665" spans="1:10" ht="13.2">
      <c r="A9665" s="7">
        <v>9664</v>
      </c>
      <c r="B9665" s="7">
        <v>1</v>
      </c>
      <c r="C9665" s="7" t="s">
        <v>10</v>
      </c>
      <c r="D9665" s="7">
        <v>11496</v>
      </c>
      <c r="E9665" s="7" t="s">
        <v>28</v>
      </c>
      <c r="F9665" s="8" t="str">
        <f ca="1">IFERROR(__xludf.DUMMYFUNCTION("IF
(
C9666=""фізична особа""
,
VLOOKUP(D9666,IMPORTRANGE(""https://docs.google.com/spreadsheets/d/14Bd19lYaqBhU8_DElYkX7l4wRkHqqCUFNJY4AfY3kHU/edit?usp=sharing  #gid=0"",""фіз особи new!relations_name""),6,FALSE)
,
(IF
(
C9666=""юридична особа""
,
VLOOKUP"&amp;"(D9666,IMPORTRANGE(""https://docs.google.com/spreadsheets/d/14Bd19lYaqBhU8_DElYkX7l4wRkHqqCUFNJY4AfY3kHU/edit?usp=sharing  #gid=0"",""фіз особи new!relations_name_uo""),7,FALSE)
,
)
))"),"ЖОЛУДЄВ Андрій Вікторович")</f>
        <v>ЖОЛУДЄВ Андрій Вікторович</v>
      </c>
      <c r="G9665" s="7" t="s">
        <v>10</v>
      </c>
      <c r="H9665" s="7">
        <v>2946</v>
      </c>
      <c r="I9665" s="8" t="str">
        <f ca="1">IFERROR(__xludf.DUMMYFUNCTION("IF
(
G9666=""фізична особа""
,
VLOOKUP(H9666,IMPORTRANGE(""https://docs.google.com/spreadsheets/d/14Bd19lYaqBhU8_DElYkX7l4wRkHqqCUFNJY4AfY3kHU/edit?usp=sharing  #gid=0"",""фіз особи new!relations_name""),6,FALSE)
,
(IF
(
G9666=""юридична особа""
,
VLOOKUP"&amp;"(H9666,IMPORTRANGE(""https://docs.google.com/spreadsheets/d/14Bd19lYaqBhU8_DElYkX7l4wRkHqqCUFNJY4AfY3kHU/edit?usp=sharing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5" s="7" t="s">
        <v>29</v>
      </c>
    </row>
    <row r="9666" spans="1:10" ht="13.2">
      <c r="A9666" s="7">
        <v>9665</v>
      </c>
      <c r="B9666" s="7">
        <v>1</v>
      </c>
      <c r="C9666" s="7" t="s">
        <v>10</v>
      </c>
      <c r="D9666" s="7">
        <v>11497</v>
      </c>
      <c r="E9666" s="7" t="s">
        <v>28</v>
      </c>
      <c r="F9666" s="8" t="str">
        <f ca="1">IFERROR(__xludf.DUMMYFUNCTION("IF
(
C9667=""фізична особа""
,
VLOOKUP(D9667,IMPORTRANGE(""https://docs.google.com/spreadsheets/d/14Bd19lYaqBhU8_DElYkX7l4wRkHqqCUFNJY4AfY3kHU/edit?usp=sharing  #gid=0"",""фіз особи new!relations_name""),6,FALSE)
,
(IF
(
C9667=""юридична особа""
,
VLOOKUP"&amp;"(D9667,IMPORTRANGE(""https://docs.google.com/spreadsheets/d/14Bd19lYaqBhU8_DElYkX7l4wRkHqqCUFNJY4AfY3kHU/edit?usp=sharing  #gid=0"",""фіз особи new!relations_name_uo""),7,FALSE)
,
)
))"),"ТУЖИКОВ Роман Сергійович")</f>
        <v>ТУЖИКОВ Роман Сергійович</v>
      </c>
      <c r="G9666" s="7" t="s">
        <v>10</v>
      </c>
      <c r="H9666" s="7">
        <v>2946</v>
      </c>
      <c r="I9666" s="8" t="str">
        <f ca="1">IFERROR(__xludf.DUMMYFUNCTION("IF
(
G9667=""фізична особа""
,
VLOOKUP(H9667,IMPORTRANGE(""https://docs.google.com/spreadsheets/d/14Bd19lYaqBhU8_DElYkX7l4wRkHqqCUFNJY4AfY3kHU/edit?usp=sharing  #gid=0"",""фіз особи new!relations_name""),6,FALSE)
,
(IF
(
G9667=""юридична особа""
,
VLOOKUP"&amp;"(H9667,IMPORTRANGE(""https://docs.google.com/spreadsheets/d/14Bd19lYaqBhU8_DElYkX7l4wRkHqqCUFNJY4AfY3kHU/edit?usp=sharing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6" s="7" t="s">
        <v>29</v>
      </c>
    </row>
    <row r="9667" spans="1:10" ht="13.2">
      <c r="A9667" s="7">
        <v>9666</v>
      </c>
      <c r="B9667" s="7">
        <v>1</v>
      </c>
      <c r="C9667" s="7" t="s">
        <v>10</v>
      </c>
      <c r="D9667" s="7">
        <v>11498</v>
      </c>
      <c r="E9667" s="7" t="s">
        <v>28</v>
      </c>
      <c r="F9667" s="8" t="str">
        <f ca="1">IFERROR(__xludf.DUMMYFUNCTION("IF
(
C9668=""фізична особа""
,
VLOOKUP(D9668,IMPORTRANGE(""https://docs.google.com/spreadsheets/d/14Bd19lYaqBhU8_DElYkX7l4wRkHqqCUFNJY4AfY3kHU/edit?usp=sharing  #gid=0"",""фіз особи new!relations_name""),6,FALSE)
,
(IF
(
C9668=""юридична особа""
,
VLOOKUP"&amp;"(D9668,IMPORTRANGE(""https://docs.google.com/spreadsheets/d/14Bd19lYaqBhU8_DElYkX7l4wRkHqqCUFNJY4AfY3kHU/edit?usp=sharing  #gid=0"",""фіз особи new!relations_name_uo""),7,FALSE)
,
)
))"),"КАРЯКІН Олексій Федорович")</f>
        <v>КАРЯКІН Олексій Федорович</v>
      </c>
      <c r="G9667" s="7" t="s">
        <v>10</v>
      </c>
      <c r="H9667" s="7">
        <v>2946</v>
      </c>
      <c r="I9667" s="8" t="str">
        <f ca="1">IFERROR(__xludf.DUMMYFUNCTION("IF
(
G9668=""фізична особа""
,
VLOOKUP(H9668,IMPORTRANGE(""https://docs.google.com/spreadsheets/d/14Bd19lYaqBhU8_DElYkX7l4wRkHqqCUFNJY4AfY3kHU/edit?usp=sharing  #gid=0"",""фіз особи new!relations_name""),6,FALSE)
,
(IF
(
G9668=""юридична особа""
,
VLOOKUP"&amp;"(H9668,IMPORTRANGE(""https://docs.google.com/spreadsheets/d/14Bd19lYaqBhU8_DElYkX7l4wRkHqqCUFNJY4AfY3kHU/edit?usp=sharing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7" s="7" t="s">
        <v>29</v>
      </c>
    </row>
    <row r="9668" spans="1:10" ht="13.2">
      <c r="A9668" s="7">
        <v>9667</v>
      </c>
      <c r="B9668" s="7">
        <v>1</v>
      </c>
      <c r="C9668" s="7" t="s">
        <v>10</v>
      </c>
      <c r="D9668" s="7">
        <v>11499</v>
      </c>
      <c r="E9668" s="7" t="s">
        <v>28</v>
      </c>
      <c r="F9668" s="8" t="str">
        <f ca="1">IFERROR(__xludf.DUMMYFUNCTION("IF
(
C9669=""фізична особа""
,
VLOOKUP(D9669,IMPORTRANGE(""https://docs.google.com/spreadsheets/d/14Bd19lYaqBhU8_DElYkX7l4wRkHqqCUFNJY4AfY3kHU/edit?usp=sharing  #gid=0"",""фіз особи new!relations_name""),6,FALSE)
,
(IF
(
C9669=""юридична особа""
,
VLOOKUP"&amp;"(D9669,IMPORTRANGE(""https://docs.google.com/spreadsheets/d/14Bd19lYaqBhU8_DElYkX7l4wRkHqqCUFNJY4AfY3kHU/edit?usp=sharing  #gid=0"",""фіз особи new!relations_name_uo""),7,FALSE)
,
)
))"),"ЗОЛОТУХІН Євгеній Євгенович")</f>
        <v>ЗОЛОТУХІН Євгеній Євгенович</v>
      </c>
      <c r="G9668" s="7" t="s">
        <v>10</v>
      </c>
      <c r="H9668" s="7">
        <v>2946</v>
      </c>
      <c r="I9668" s="8" t="str">
        <f ca="1">IFERROR(__xludf.DUMMYFUNCTION("IF
(
G9669=""фізична особа""
,
VLOOKUP(H9669,IMPORTRANGE(""https://docs.google.com/spreadsheets/d/14Bd19lYaqBhU8_DElYkX7l4wRkHqqCUFNJY4AfY3kHU/edit?usp=sharing  #gid=0"",""фіз особи new!relations_name""),6,FALSE)
,
(IF
(
G9669=""юридична особа""
,
VLOOKUP"&amp;"(H9669,IMPORTRANGE(""https://docs.google.com/spreadsheets/d/14Bd19lYaqBhU8_DElYkX7l4wRkHqqCUFNJY4AfY3kHU/edit?usp=sharing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8" s="7" t="s">
        <v>29</v>
      </c>
    </row>
    <row r="9669" spans="1:10" ht="13.2">
      <c r="A9669" s="7">
        <v>9668</v>
      </c>
      <c r="B9669" s="7">
        <v>1</v>
      </c>
      <c r="C9669" s="7" t="s">
        <v>10</v>
      </c>
      <c r="D9669" s="7">
        <v>11500</v>
      </c>
      <c r="E9669" s="7" t="s">
        <v>40</v>
      </c>
      <c r="F9669" s="8" t="str">
        <f ca="1">IFERROR(__xludf.DUMMYFUNCTION("IF
(
C9670=""фізична особа""
,
VLOOKUP(D9670,IMPORTRANGE(""https://docs.google.com/spreadsheets/d/14Bd19lYaqBhU8_DElYkX7l4wRkHqqCUFNJY4AfY3kHU/edit?usp=sharing  #gid=0"",""фіз особи new!relations_name""),6,FALSE)
,
(IF
(
C9670=""юридична особа""
,
VLOOKUP"&amp;"(D9670,IMPORTRANGE(""https://docs.google.com/spreadsheets/d/14Bd19lYaqBhU8_DElYkX7l4wRkHqqCUFNJY4AfY3kHU/edit?usp=sharing  #gid=0"",""фіз особи new!relations_name_uo""),7,FALSE)
,
)
))"),"АЛДАТОВ Ерік Юрійович")</f>
        <v>АЛДАТОВ Ерік Юрійович</v>
      </c>
      <c r="G9669" s="7" t="s">
        <v>10</v>
      </c>
      <c r="H9669" s="7">
        <v>2946</v>
      </c>
      <c r="I9669" s="8" t="str">
        <f ca="1">IFERROR(__xludf.DUMMYFUNCTION("IF
(
G9670=""фізична особа""
,
VLOOKUP(H9670,IMPORTRANGE(""https://docs.google.com/spreadsheets/d/14Bd19lYaqBhU8_DElYkX7l4wRkHqqCUFNJY4AfY3kHU/edit?usp=sharing  #gid=0"",""фіз особи new!relations_name""),6,FALSE)
,
(IF
(
G9670=""юридична особа""
,
VLOOKUP"&amp;"(H9670,IMPORTRANGE(""https://docs.google.com/spreadsheets/d/14Bd19lYaqBhU8_DElYkX7l4wRkHqqCUFNJY4AfY3kHU/edit?usp=sharing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69" s="7" t="s">
        <v>41</v>
      </c>
    </row>
    <row r="9670" spans="1:10" ht="13.2">
      <c r="A9670" s="7">
        <v>9669</v>
      </c>
      <c r="B9670" s="7">
        <v>1</v>
      </c>
      <c r="C9670" s="7" t="s">
        <v>10</v>
      </c>
      <c r="D9670" s="7">
        <v>11501</v>
      </c>
      <c r="E9670" s="7" t="s">
        <v>28</v>
      </c>
      <c r="F9670" s="8" t="str">
        <f ca="1">IFERROR(__xludf.DUMMYFUNCTION("IF
(
C9671=""фізична особа""
,
VLOOKUP(D9671,IMPORTRANGE(""https://docs.google.com/spreadsheets/d/14Bd19lYaqBhU8_DElYkX7l4wRkHqqCUFNJY4AfY3kHU/edit?usp=sharing  #gid=0"",""фіз особи new!relations_name""),6,FALSE)
,
(IF
(
C9671=""юридична особа""
,
VLOOKUP"&amp;"(D9671,IMPORTRANGE(""https://docs.google.com/spreadsheets/d/14Bd19lYaqBhU8_DElYkX7l4wRkHqqCUFNJY4AfY3kHU/edit?usp=sharing  #gid=0"",""фіз особи new!relations_name_uo""),7,FALSE)
,
)
))"),"БОЛОТОВ Роман Олександрович")</f>
        <v>БОЛОТОВ Роман Олександрович</v>
      </c>
      <c r="G9670" s="7" t="s">
        <v>10</v>
      </c>
      <c r="H9670" s="7">
        <v>2946</v>
      </c>
      <c r="I9670" s="8" t="str">
        <f ca="1">IFERROR(__xludf.DUMMYFUNCTION("IF
(
G9671=""фізична особа""
,
VLOOKUP(H9671,IMPORTRANGE(""https://docs.google.com/spreadsheets/d/14Bd19lYaqBhU8_DElYkX7l4wRkHqqCUFNJY4AfY3kHU/edit?usp=sharing  #gid=0"",""фіз особи new!relations_name""),6,FALSE)
,
(IF
(
G9671=""юридична особа""
,
VLOOKUP"&amp;"(H9671,IMPORTRANGE(""https://docs.google.com/spreadsheets/d/14Bd19lYaqBhU8_DElYkX7l4wRkHqqCUFNJY4AfY3kHU/edit?usp=sharing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70" s="7" t="s">
        <v>29</v>
      </c>
    </row>
    <row r="9671" spans="1:10" ht="13.2">
      <c r="A9671" s="7">
        <v>9670</v>
      </c>
      <c r="B9671" s="7">
        <v>1</v>
      </c>
      <c r="C9671" s="7" t="s">
        <v>10</v>
      </c>
      <c r="D9671" s="7">
        <v>11502</v>
      </c>
      <c r="E9671" s="7" t="s">
        <v>28</v>
      </c>
      <c r="F9671" s="8" t="str">
        <f ca="1">IFERROR(__xludf.DUMMYFUNCTION("IF
(
C9672=""фізична особа""
,
VLOOKUP(D9672,IMPORTRANGE(""https://docs.google.com/spreadsheets/d/14Bd19lYaqBhU8_DElYkX7l4wRkHqqCUFNJY4AfY3kHU/edit?usp=sharing  #gid=0"",""фіз особи new!relations_name""),6,FALSE)
,
(IF
(
C9672=""юридична особа""
,
VLOOKUP"&amp;"(D9672,IMPORTRANGE(""https://docs.google.com/spreadsheets/d/14Bd19lYaqBhU8_DElYkX7l4wRkHqqCUFNJY4AfY3kHU/edit?usp=sharing  #gid=0"",""фіз особи new!relations_name_uo""),7,FALSE)
,
)
))"),"МОЛДОВАНОВ Роман Олександрович")</f>
        <v>МОЛДОВАНОВ Роман Олександрович</v>
      </c>
      <c r="G9671" s="7" t="s">
        <v>10</v>
      </c>
      <c r="H9671" s="7">
        <v>2946</v>
      </c>
      <c r="I9671" s="8" t="str">
        <f ca="1">IFERROR(__xludf.DUMMYFUNCTION("IF
(
G9672=""фізична особа""
,
VLOOKUP(H9672,IMPORTRANGE(""https://docs.google.com/spreadsheets/d/14Bd19lYaqBhU8_DElYkX7l4wRkHqqCUFNJY4AfY3kHU/edit?usp=sharing  #gid=0"",""фіз особи new!relations_name""),6,FALSE)
,
(IF
(
G9672=""юридична особа""
,
VLOOKUP"&amp;"(H9672,IMPORTRANGE(""https://docs.google.com/spreadsheets/d/14Bd19lYaqBhU8_DElYkX7l4wRkHqqCUFNJY4AfY3kHU/edit?usp=sharing  #gid=0"",""фіз особи new!relations_name_uo""),7,FALSE)
,
)
))"),"РАДІОНОВА Світлана Геннадіївна")</f>
        <v>РАДІОНОВА Світлана Геннадіївна</v>
      </c>
      <c r="J9671" s="7" t="s">
        <v>29</v>
      </c>
    </row>
    <row r="9672" spans="1:10" ht="13.2">
      <c r="A9672" s="7">
        <v>9671</v>
      </c>
      <c r="B9672" s="7">
        <v>1</v>
      </c>
      <c r="C9672" s="7" t="s">
        <v>10</v>
      </c>
      <c r="D9672" s="7">
        <v>11503</v>
      </c>
      <c r="E9672" s="7" t="s">
        <v>28</v>
      </c>
      <c r="F9672" s="8" t="str">
        <f ca="1">IFERROR(__xludf.DUMMYFUNCTION("IF
(
C9673=""фізична особа""
,
VLOOKUP(D9673,IMPORTRANGE(""https://docs.google.com/spreadsheets/d/14Bd19lYaqBhU8_DElYkX7l4wRkHqqCUFNJY4AfY3kHU/edit?usp=sharing  #gid=0"",""фіз особи new!relations_name""),6,FALSE)
,
(IF
(
C9673=""юридична особа""
,
VLOOKUP"&amp;"(D9673,IMPORTRANGE(""https://docs.google.com/spreadsheets/d/14Bd19lYaqBhU8_DElYkX7l4wRkHqqCUFNJY4AfY3kHU/edit?usp=sharing  #gid=0"",""фіз особи new!relations_name_uo""),7,FALSE)
,
)
))"),"КОЗЛОВСЬКИХ Дмитро Миколайович")</f>
        <v>КОЗЛОВСЬКИХ Дмитро Миколайович</v>
      </c>
      <c r="G9672" s="7" t="s">
        <v>10</v>
      </c>
      <c r="H9672" s="7">
        <v>3042</v>
      </c>
      <c r="I9672" s="8" t="str">
        <f ca="1">IFERROR(__xludf.DUMMYFUNCTION("IF
(
G9673=""фізична особа""
,
VLOOKUP(H9673,IMPORTRANGE(""https://docs.google.com/spreadsheets/d/14Bd19lYaqBhU8_DElYkX7l4wRkHqqCUFNJY4AfY3kHU/edit?usp=sharing  #gid=0"",""фіз особи new!relations_name""),6,FALSE)
,
(IF
(
G9673=""юридична особа""
,
VLOOKUP"&amp;"(H9673,IMPORTRANGE(""https://docs.google.com/spreadsheets/d/14Bd19lYaqBhU8_DElYkX7l4wRkHqqCUFNJY4AfY3kHU/edit?usp=sharing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72" s="7" t="s">
        <v>29</v>
      </c>
    </row>
    <row r="9673" spans="1:10" ht="13.2">
      <c r="A9673" s="7">
        <v>9672</v>
      </c>
      <c r="B9673" s="7">
        <v>1</v>
      </c>
      <c r="C9673" s="7" t="s">
        <v>10</v>
      </c>
      <c r="D9673" s="7">
        <v>11504</v>
      </c>
      <c r="E9673" s="7" t="s">
        <v>28</v>
      </c>
      <c r="F9673" s="8" t="str">
        <f ca="1">IFERROR(__xludf.DUMMYFUNCTION("IF
(
C9674=""фізична особа""
,
VLOOKUP(D9674,IMPORTRANGE(""https://docs.google.com/spreadsheets/d/14Bd19lYaqBhU8_DElYkX7l4wRkHqqCUFNJY4AfY3kHU/edit?usp=sharing  #gid=0"",""фіз особи new!relations_name""),6,FALSE)
,
(IF
(
C9674=""юридична особа""
,
VLOOKUP"&amp;"(D9674,IMPORTRANGE(""https://docs.google.com/spreadsheets/d/14Bd19lYaqBhU8_DElYkX7l4wRkHqqCUFNJY4AfY3kHU/edit?usp=sharing  #gid=0"",""фіз особи new!relations_name_uo""),7,FALSE)
,
)
))"),"ШАРУХО Галина Василівна")</f>
        <v>ШАРУХО Галина Василівна</v>
      </c>
      <c r="G9673" s="7" t="s">
        <v>10</v>
      </c>
      <c r="H9673" s="7">
        <v>3042</v>
      </c>
      <c r="I9673" s="8" t="str">
        <f ca="1">IFERROR(__xludf.DUMMYFUNCTION("IF
(
G9674=""фізична особа""
,
VLOOKUP(H9674,IMPORTRANGE(""https://docs.google.com/spreadsheets/d/14Bd19lYaqBhU8_DElYkX7l4wRkHqqCUFNJY4AfY3kHU/edit?usp=sharing  #gid=0"",""фіз особи new!relations_name""),6,FALSE)
,
(IF
(
G9674=""юридична особа""
,
VLOOKUP"&amp;"(H9674,IMPORTRANGE(""https://docs.google.com/spreadsheets/d/14Bd19lYaqBhU8_DElYkX7l4wRkHqqCUFNJY4AfY3kHU/edit?usp=sharing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73" s="7" t="s">
        <v>29</v>
      </c>
    </row>
    <row r="9674" spans="1:10" ht="13.2">
      <c r="A9674" s="7">
        <v>9673</v>
      </c>
      <c r="B9674" s="7">
        <v>1</v>
      </c>
      <c r="C9674" s="7" t="s">
        <v>10</v>
      </c>
      <c r="D9674" s="7">
        <v>11505</v>
      </c>
      <c r="E9674" s="7" t="s">
        <v>28</v>
      </c>
      <c r="F9674" s="8" t="str">
        <f ca="1">IFERROR(__xludf.DUMMYFUNCTION("IF
(
C9675=""фізична особа""
,
VLOOKUP(D9675,IMPORTRANGE(""https://docs.google.com/spreadsheets/d/14Bd19lYaqBhU8_DElYkX7l4wRkHqqCUFNJY4AfY3kHU/edit?usp=sharing  #gid=0"",""фіз особи new!relations_name""),6,FALSE)
,
(IF
(
C9675=""юридична особа""
,
VLOOKUP"&amp;"(D9675,IMPORTRANGE(""https://docs.google.com/spreadsheets/d/14Bd19lYaqBhU8_DElYkX7l4wRkHqqCUFNJY4AfY3kHU/edit?usp=sharing  #gid=0"",""фіз особи new!relations_name_uo""),7,FALSE)
,
)
))"),"СОЛОВЙОВА Майя Геннадіївна")</f>
        <v>СОЛОВЙОВА Майя Геннадіївна</v>
      </c>
      <c r="G9674" s="7" t="s">
        <v>10</v>
      </c>
      <c r="H9674" s="7">
        <v>3042</v>
      </c>
      <c r="I9674" s="8" t="str">
        <f ca="1">IFERROR(__xludf.DUMMYFUNCTION("IF
(
G9675=""фізична особа""
,
VLOOKUP(H9675,IMPORTRANGE(""https://docs.google.com/spreadsheets/d/14Bd19lYaqBhU8_DElYkX7l4wRkHqqCUFNJY4AfY3kHU/edit?usp=sharing  #gid=0"",""фіз особи new!relations_name""),6,FALSE)
,
(IF
(
G9675=""юридична особа""
,
VLOOKUP"&amp;"(H9675,IMPORTRANGE(""https://docs.google.com/spreadsheets/d/14Bd19lYaqBhU8_DElYkX7l4wRkHqqCUFNJY4AfY3kHU/edit?usp=sharing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74" s="7" t="s">
        <v>29</v>
      </c>
    </row>
    <row r="9675" spans="1:10" ht="13.2">
      <c r="A9675" s="7">
        <v>9674</v>
      </c>
      <c r="B9675" s="7">
        <v>1</v>
      </c>
      <c r="C9675" s="7" t="s">
        <v>10</v>
      </c>
      <c r="D9675" s="7">
        <v>11506</v>
      </c>
      <c r="E9675" s="7" t="s">
        <v>28</v>
      </c>
      <c r="F9675" s="8" t="str">
        <f ca="1">IFERROR(__xludf.DUMMYFUNCTION("IF
(
C9676=""фізична особа""
,
VLOOKUP(D9676,IMPORTRANGE(""https://docs.google.com/spreadsheets/d/14Bd19lYaqBhU8_DElYkX7l4wRkHqqCUFNJY4AfY3kHU/edit?usp=sharing  #gid=0"",""фіз особи new!relations_name""),6,FALSE)
,
(IF
(
C9676=""юридична особа""
,
VLOOKUP"&amp;"(D9676,IMPORTRANGE(""https://docs.google.com/spreadsheets/d/14Bd19lYaqBhU8_DElYkX7l4wRkHqqCUFNJY4AfY3kHU/edit?usp=sharing  #gid=0"",""фіз особи new!relations_name_uo""),7,FALSE)
,
)
))"),"СЕМЕНОВ Анатолій Іванович")</f>
        <v>СЕМЕНОВ Анатолій Іванович</v>
      </c>
      <c r="G9675" s="7" t="s">
        <v>10</v>
      </c>
      <c r="H9675" s="7">
        <v>3042</v>
      </c>
      <c r="I9675" s="8" t="str">
        <f ca="1">IFERROR(__xludf.DUMMYFUNCTION("IF
(
G9676=""фізична особа""
,
VLOOKUP(H9676,IMPORTRANGE(""https://docs.google.com/spreadsheets/d/14Bd19lYaqBhU8_DElYkX7l4wRkHqqCUFNJY4AfY3kHU/edit?usp=sharing  #gid=0"",""фіз особи new!relations_name""),6,FALSE)
,
(IF
(
G9676=""юридична особа""
,
VLOOKUP"&amp;"(H9676,IMPORTRANGE(""https://docs.google.com/spreadsheets/d/14Bd19lYaqBhU8_DElYkX7l4wRkHqqCUFNJY4AfY3kHU/edit?usp=sharing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675" s="7" t="s">
        <v>29</v>
      </c>
    </row>
    <row r="9676" spans="1:10" ht="13.2">
      <c r="A9676" s="7">
        <v>9675</v>
      </c>
      <c r="B9676" s="7">
        <v>1</v>
      </c>
      <c r="C9676" s="7" t="s">
        <v>10</v>
      </c>
      <c r="D9676" s="7">
        <v>11507</v>
      </c>
      <c r="E9676" s="7" t="s">
        <v>28</v>
      </c>
      <c r="F9676" s="8" t="str">
        <f ca="1">IFERROR(__xludf.DUMMYFUNCTION("IF
(
C9677=""фізична особа""
,
VLOOKUP(D9677,IMPORTRANGE(""https://docs.google.com/spreadsheets/d/14Bd19lYaqBhU8_DElYkX7l4wRkHqqCUFNJY4AfY3kHU/edit?usp=sharing  #gid=0"",""фіз особи new!relations_name""),6,FALSE)
,
(IF
(
C9677=""юридична особа""
,
VLOOKUP"&amp;"(D9677,IMPORTRANGE(""https://docs.google.com/spreadsheets/d/14Bd19lYaqBhU8_DElYkX7l4wRkHqqCUFNJY4AfY3kHU/edit?usp=sharing  #gid=0"",""фіз особи new!relations_name_uo""),7,FALSE)
,
)
))"),"СОКОУШИН Дмитро Валерійович")</f>
        <v>СОКОУШИН Дмитро Валерійович</v>
      </c>
      <c r="G9676" s="7" t="s">
        <v>10</v>
      </c>
      <c r="H9676" s="7">
        <v>3009</v>
      </c>
      <c r="I9676" s="8" t="str">
        <f ca="1">IFERROR(__xludf.DUMMYFUNCTION("IF
(
G9677=""фізична особа""
,
VLOOKUP(H9677,IMPORTRANGE(""https://docs.google.com/spreadsheets/d/14Bd19lYaqBhU8_DElYkX7l4wRkHqqCUFNJY4AfY3kHU/edit?usp=sharing  #gid=0"",""фіз особи new!relations_name""),6,FALSE)
,
(IF
(
G9677=""юридична особа""
,
VLOOKUP"&amp;"(H9677,IMPORTRANGE(""https://docs.google.com/spreadsheets/d/14Bd19lYaqBhU8_DElYkX7l4wRkHqqCUFNJY4AfY3kHU/edit?usp=sharing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76" s="7" t="s">
        <v>29</v>
      </c>
    </row>
    <row r="9677" spans="1:10" ht="13.2">
      <c r="A9677" s="7">
        <v>9676</v>
      </c>
      <c r="B9677" s="7">
        <v>1</v>
      </c>
      <c r="C9677" s="7" t="s">
        <v>10</v>
      </c>
      <c r="D9677" s="7">
        <v>11508</v>
      </c>
      <c r="E9677" s="7" t="s">
        <v>28</v>
      </c>
      <c r="F9677" s="8" t="str">
        <f ca="1">IFERROR(__xludf.DUMMYFUNCTION("IF
(
C9678=""фізична особа""
,
VLOOKUP(D9678,IMPORTRANGE(""https://docs.google.com/spreadsheets/d/14Bd19lYaqBhU8_DElYkX7l4wRkHqqCUFNJY4AfY3kHU/edit?usp=sharing  #gid=0"",""фіз особи new!relations_name""),6,FALSE)
,
(IF
(
C9678=""юридична особа""
,
VLOOKUP"&amp;"(D9678,IMPORTRANGE(""https://docs.google.com/spreadsheets/d/14Bd19lYaqBhU8_DElYkX7l4wRkHqqCUFNJY4AfY3kHU/edit?usp=sharing  #gid=0"",""фіз особи new!relations_name_uo""),7,FALSE)
,
)
))"),"НЕГОДІН Михайло Юрійович")</f>
        <v>НЕГОДІН Михайло Юрійович</v>
      </c>
      <c r="G9677" s="7" t="s">
        <v>10</v>
      </c>
      <c r="H9677" s="7">
        <v>3009</v>
      </c>
      <c r="I9677" s="8" t="str">
        <f ca="1">IFERROR(__xludf.DUMMYFUNCTION("IF
(
G9678=""фізична особа""
,
VLOOKUP(H9678,IMPORTRANGE(""https://docs.google.com/spreadsheets/d/14Bd19lYaqBhU8_DElYkX7l4wRkHqqCUFNJY4AfY3kHU/edit?usp=sharing  #gid=0"",""фіз особи new!relations_name""),6,FALSE)
,
(IF
(
G9678=""юридична особа""
,
VLOOKUP"&amp;"(H9678,IMPORTRANGE(""https://docs.google.com/spreadsheets/d/14Bd19lYaqBhU8_DElYkX7l4wRkHqqCUFNJY4AfY3kHU/edit?usp=sharing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77" s="7" t="s">
        <v>29</v>
      </c>
    </row>
    <row r="9678" spans="1:10" ht="13.2">
      <c r="A9678" s="7">
        <v>9677</v>
      </c>
      <c r="B9678" s="7">
        <v>1</v>
      </c>
      <c r="C9678" s="7" t="s">
        <v>10</v>
      </c>
      <c r="D9678" s="7">
        <v>11509</v>
      </c>
      <c r="E9678" s="7" t="s">
        <v>28</v>
      </c>
      <c r="F9678" s="8" t="str">
        <f ca="1">IFERROR(__xludf.DUMMYFUNCTION("IF
(
C9679=""фізична особа""
,
VLOOKUP(D9679,IMPORTRANGE(""https://docs.google.com/spreadsheets/d/14Bd19lYaqBhU8_DElYkX7l4wRkHqqCUFNJY4AfY3kHU/edit?usp=sharing  #gid=0"",""фіз особи new!relations_name""),6,FALSE)
,
(IF
(
C9679=""юридична особа""
,
VLOOKUP"&amp;"(D9679,IMPORTRANGE(""https://docs.google.com/spreadsheets/d/14Bd19lYaqBhU8_DElYkX7l4wRkHqqCUFNJY4AfY3kHU/edit?usp=sharing  #gid=0"",""фіз особи new!relations_name_uo""),7,FALSE)
,
)
))"),"КУЗІН Дмитро Володимирович")</f>
        <v>КУЗІН Дмитро Володимирович</v>
      </c>
      <c r="G9678" s="7" t="s">
        <v>10</v>
      </c>
      <c r="H9678" s="7">
        <v>3009</v>
      </c>
      <c r="I9678" s="8" t="str">
        <f ca="1">IFERROR(__xludf.DUMMYFUNCTION("IF
(
G9679=""фізична особа""
,
VLOOKUP(H9679,IMPORTRANGE(""https://docs.google.com/spreadsheets/d/14Bd19lYaqBhU8_DElYkX7l4wRkHqqCUFNJY4AfY3kHU/edit?usp=sharing  #gid=0"",""фіз особи new!relations_name""),6,FALSE)
,
(IF
(
G9679=""юридична особа""
,
VLOOKUP"&amp;"(H9679,IMPORTRANGE(""https://docs.google.com/spreadsheets/d/14Bd19lYaqBhU8_DElYkX7l4wRkHqqCUFNJY4AfY3kHU/edit?usp=sharing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78" s="7" t="s">
        <v>29</v>
      </c>
    </row>
    <row r="9679" spans="1:10" ht="13.2">
      <c r="A9679" s="7">
        <v>9678</v>
      </c>
      <c r="B9679" s="7">
        <v>1</v>
      </c>
      <c r="C9679" s="7" t="s">
        <v>10</v>
      </c>
      <c r="D9679" s="7">
        <v>11510</v>
      </c>
      <c r="E9679" s="7" t="s">
        <v>28</v>
      </c>
      <c r="F9679" s="8" t="str">
        <f ca="1">IFERROR(__xludf.DUMMYFUNCTION("IF
(
C9680=""фізична особа""
,
VLOOKUP(D9680,IMPORTRANGE(""https://docs.google.com/spreadsheets/d/14Bd19lYaqBhU8_DElYkX7l4wRkHqqCUFNJY4AfY3kHU/edit?usp=sharing  #gid=0"",""фіз особи new!relations_name""),6,FALSE)
,
(IF
(
C9680=""юридична особа""
,
VLOOKUP"&amp;"(D9680,IMPORTRANGE(""https://docs.google.com/spreadsheets/d/14Bd19lYaqBhU8_DElYkX7l4wRkHqqCUFNJY4AfY3kHU/edit?usp=sharing  #gid=0"",""фіз особи new!relations_name_uo""),7,FALSE)
,
)
))"),"НІКОНОРОВ Володимир Вікторович")</f>
        <v>НІКОНОРОВ Володимир Вікторович</v>
      </c>
      <c r="G9679" s="7" t="s">
        <v>10</v>
      </c>
      <c r="H9679" s="7">
        <v>3009</v>
      </c>
      <c r="I9679" s="8" t="str">
        <f ca="1">IFERROR(__xludf.DUMMYFUNCTION("IF
(
G9680=""фізична особа""
,
VLOOKUP(H9680,IMPORTRANGE(""https://docs.google.com/spreadsheets/d/14Bd19lYaqBhU8_DElYkX7l4wRkHqqCUFNJY4AfY3kHU/edit?usp=sharing  #gid=0"",""фіз особи new!relations_name""),6,FALSE)
,
(IF
(
G9680=""юридична особа""
,
VLOOKUP"&amp;"(H9680,IMPORTRANGE(""https://docs.google.com/spreadsheets/d/14Bd19lYaqBhU8_DElYkX7l4wRkHqqCUFNJY4AfY3kHU/edit?usp=sharing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79" s="7" t="s">
        <v>29</v>
      </c>
    </row>
    <row r="9680" spans="1:10" ht="13.2">
      <c r="A9680" s="7">
        <v>9679</v>
      </c>
      <c r="B9680" s="7">
        <v>1</v>
      </c>
      <c r="C9680" s="7" t="s">
        <v>10</v>
      </c>
      <c r="D9680" s="7">
        <v>11511</v>
      </c>
      <c r="E9680" s="7" t="s">
        <v>28</v>
      </c>
      <c r="F9680" s="8" t="str">
        <f ca="1">IFERROR(__xludf.DUMMYFUNCTION("IF
(
C9681=""фізична особа""
,
VLOOKUP(D9681,IMPORTRANGE(""https://docs.google.com/spreadsheets/d/14Bd19lYaqBhU8_DElYkX7l4wRkHqqCUFNJY4AfY3kHU/edit?usp=sharing  #gid=0"",""фіз особи new!relations_name""),6,FALSE)
,
(IF
(
C9681=""юридична особа""
,
VLOOKUP"&amp;"(D9681,IMPORTRANGE(""https://docs.google.com/spreadsheets/d/14Bd19lYaqBhU8_DElYkX7l4wRkHqqCUFNJY4AfY3kHU/edit?usp=sharing  #gid=0"",""фіз особи new!relations_name_uo""),7,FALSE)
,
)
))"),"ГРОМОВ Юрій Дмитрович")</f>
        <v>ГРОМОВ Юрій Дмитрович</v>
      </c>
      <c r="G9680" s="7" t="s">
        <v>10</v>
      </c>
      <c r="H9680" s="7">
        <v>3009</v>
      </c>
      <c r="I9680" s="8" t="str">
        <f ca="1">IFERROR(__xludf.DUMMYFUNCTION("IF
(
G9681=""фізична особа""
,
VLOOKUP(H9681,IMPORTRANGE(""https://docs.google.com/spreadsheets/d/14Bd19lYaqBhU8_DElYkX7l4wRkHqqCUFNJY4AfY3kHU/edit?usp=sharing  #gid=0"",""фіз особи new!relations_name""),6,FALSE)
,
(IF
(
G9681=""юридична особа""
,
VLOOKUP"&amp;"(H9681,IMPORTRANGE(""https://docs.google.com/spreadsheets/d/14Bd19lYaqBhU8_DElYkX7l4wRkHqqCUFNJY4AfY3kHU/edit?usp=sharing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0" s="7" t="s">
        <v>29</v>
      </c>
    </row>
    <row r="9681" spans="1:10" ht="13.2">
      <c r="A9681" s="7">
        <v>9680</v>
      </c>
      <c r="B9681" s="7">
        <v>1</v>
      </c>
      <c r="C9681" s="7" t="s">
        <v>10</v>
      </c>
      <c r="D9681" s="7">
        <v>11512</v>
      </c>
      <c r="E9681" s="7" t="s">
        <v>28</v>
      </c>
      <c r="F9681" s="8" t="str">
        <f ca="1">IFERROR(__xludf.DUMMYFUNCTION("IF
(
C9682=""фізична особа""
,
VLOOKUP(D9682,IMPORTRANGE(""https://docs.google.com/spreadsheets/d/14Bd19lYaqBhU8_DElYkX7l4wRkHqqCUFNJY4AfY3kHU/edit?usp=sharing  #gid=0"",""фіз особи new!relations_name""),6,FALSE)
,
(IF
(
C9682=""юридична особа""
,
VLOOKUP"&amp;"(D9682,IMPORTRANGE(""https://docs.google.com/spreadsheets/d/14Bd19lYaqBhU8_DElYkX7l4wRkHqqCUFNJY4AfY3kHU/edit?usp=sharing  #gid=0"",""фіз особи new!relations_name_uo""),7,FALSE)
,
)
))"),"ТІТОРЕНКО Сергій Васильович")</f>
        <v>ТІТОРЕНКО Сергій Васильович</v>
      </c>
      <c r="G9681" s="7" t="s">
        <v>10</v>
      </c>
      <c r="H9681" s="7">
        <v>3009</v>
      </c>
      <c r="I9681" s="8" t="str">
        <f ca="1">IFERROR(__xludf.DUMMYFUNCTION("IF
(
G9682=""фізична особа""
,
VLOOKUP(H9682,IMPORTRANGE(""https://docs.google.com/spreadsheets/d/14Bd19lYaqBhU8_DElYkX7l4wRkHqqCUFNJY4AfY3kHU/edit?usp=sharing  #gid=0"",""фіз особи new!relations_name""),6,FALSE)
,
(IF
(
G9682=""юридична особа""
,
VLOOKUP"&amp;"(H9682,IMPORTRANGE(""https://docs.google.com/spreadsheets/d/14Bd19lYaqBhU8_DElYkX7l4wRkHqqCUFNJY4AfY3kHU/edit?usp=sharing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1" s="7" t="s">
        <v>29</v>
      </c>
    </row>
    <row r="9682" spans="1:10" ht="13.2">
      <c r="A9682" s="7">
        <v>9681</v>
      </c>
      <c r="B9682" s="7">
        <v>1</v>
      </c>
      <c r="C9682" s="7" t="s">
        <v>10</v>
      </c>
      <c r="D9682" s="7">
        <v>11513</v>
      </c>
      <c r="E9682" s="7" t="s">
        <v>28</v>
      </c>
      <c r="F9682" s="8" t="str">
        <f ca="1">IFERROR(__xludf.DUMMYFUNCTION("IF
(
C9683=""фізична особа""
,
VLOOKUP(D9683,IMPORTRANGE(""https://docs.google.com/spreadsheets/d/14Bd19lYaqBhU8_DElYkX7l4wRkHqqCUFNJY4AfY3kHU/edit?usp=sharing  #gid=0"",""фіз особи new!relations_name""),6,FALSE)
,
(IF
(
C9683=""юридична особа""
,
VLOOKUP"&amp;"(D9683,IMPORTRANGE(""https://docs.google.com/spreadsheets/d/14Bd19lYaqBhU8_DElYkX7l4wRkHqqCUFNJY4AfY3kHU/edit?usp=sharing  #gid=0"",""фіз особи new!relations_name_uo""),7,FALSE)
,
)
))"),"КУЗЕНКОВ Юрій Олексійович")</f>
        <v>КУЗЕНКОВ Юрій Олексійович</v>
      </c>
      <c r="G9682" s="7" t="s">
        <v>10</v>
      </c>
      <c r="H9682" s="7">
        <v>3009</v>
      </c>
      <c r="I9682" s="8" t="str">
        <f ca="1">IFERROR(__xludf.DUMMYFUNCTION("IF
(
G9683=""фізична особа""
,
VLOOKUP(H9683,IMPORTRANGE(""https://docs.google.com/spreadsheets/d/14Bd19lYaqBhU8_DElYkX7l4wRkHqqCUFNJY4AfY3kHU/edit?usp=sharing  #gid=0"",""фіз особи new!relations_name""),6,FALSE)
,
(IF
(
G9683=""юридична особа""
,
VLOOKUP"&amp;"(H9683,IMPORTRANGE(""https://docs.google.com/spreadsheets/d/14Bd19lYaqBhU8_DElYkX7l4wRkHqqCUFNJY4AfY3kHU/edit?usp=sharing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2" s="7" t="s">
        <v>29</v>
      </c>
    </row>
    <row r="9683" spans="1:10" ht="13.2">
      <c r="A9683" s="7">
        <v>9682</v>
      </c>
      <c r="B9683" s="7">
        <v>1</v>
      </c>
      <c r="C9683" s="7" t="s">
        <v>10</v>
      </c>
      <c r="D9683" s="7">
        <v>11514</v>
      </c>
      <c r="E9683" s="7" t="s">
        <v>28</v>
      </c>
      <c r="F9683" s="8" t="str">
        <f ca="1">IFERROR(__xludf.DUMMYFUNCTION("IF
(
C9684=""фізична особа""
,
VLOOKUP(D9684,IMPORTRANGE(""https://docs.google.com/spreadsheets/d/14Bd19lYaqBhU8_DElYkX7l4wRkHqqCUFNJY4AfY3kHU/edit?usp=sharing  #gid=0"",""фіз особи new!relations_name""),6,FALSE)
,
(IF
(
C9684=""юридична особа""
,
VLOOKUP"&amp;"(D9684,IMPORTRANGE(""https://docs.google.com/spreadsheets/d/14Bd19lYaqBhU8_DElYkX7l4wRkHqqCUFNJY4AfY3kHU/edit?usp=sharing  #gid=0"",""фіз особи new!relations_name_uo""),7,FALSE)
,
)
))"),"ОЛЬХОВ Володимир Вікторович")</f>
        <v>ОЛЬХОВ Володимир Вікторович</v>
      </c>
      <c r="G9683" s="7" t="s">
        <v>10</v>
      </c>
      <c r="H9683" s="7">
        <v>3009</v>
      </c>
      <c r="I9683" s="8" t="str">
        <f ca="1">IFERROR(__xludf.DUMMYFUNCTION("IF
(
G9684=""фізична особа""
,
VLOOKUP(H9684,IMPORTRANGE(""https://docs.google.com/spreadsheets/d/14Bd19lYaqBhU8_DElYkX7l4wRkHqqCUFNJY4AfY3kHU/edit?usp=sharing  #gid=0"",""фіз особи new!relations_name""),6,FALSE)
,
(IF
(
G9684=""юридична особа""
,
VLOOKUP"&amp;"(H9684,IMPORTRANGE(""https://docs.google.com/spreadsheets/d/14Bd19lYaqBhU8_DElYkX7l4wRkHqqCUFNJY4AfY3kHU/edit?usp=sharing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3" s="7" t="s">
        <v>29</v>
      </c>
    </row>
    <row r="9684" spans="1:10" ht="13.2">
      <c r="A9684" s="7">
        <v>9683</v>
      </c>
      <c r="B9684" s="7">
        <v>1</v>
      </c>
      <c r="C9684" s="7" t="s">
        <v>10</v>
      </c>
      <c r="D9684" s="7">
        <v>11515</v>
      </c>
      <c r="E9684" s="7" t="s">
        <v>28</v>
      </c>
      <c r="F9684" s="8" t="str">
        <f ca="1">IFERROR(__xludf.DUMMYFUNCTION("IF
(
C9685=""фізична особа""
,
VLOOKUP(D9685,IMPORTRANGE(""https://docs.google.com/spreadsheets/d/14Bd19lYaqBhU8_DElYkX7l4wRkHqqCUFNJY4AfY3kHU/edit?usp=sharing  #gid=0"",""фіз особи new!relations_name""),6,FALSE)
,
(IF
(
C9685=""юридична особа""
,
VLOOKUP"&amp;"(D9685,IMPORTRANGE(""https://docs.google.com/spreadsheets/d/14Bd19lYaqBhU8_DElYkX7l4wRkHqqCUFNJY4AfY3kHU/edit?usp=sharing  #gid=0"",""фіз особи new!relations_name_uo""),7,FALSE)
,
)
))"),"АНПІЛОГОВ Андрій Вікторович")</f>
        <v>АНПІЛОГОВ Андрій Вікторович</v>
      </c>
      <c r="G9684" s="7" t="s">
        <v>10</v>
      </c>
      <c r="H9684" s="7">
        <v>3009</v>
      </c>
      <c r="I9684" s="8" t="str">
        <f ca="1">IFERROR(__xludf.DUMMYFUNCTION("IF
(
G9685=""фізична особа""
,
VLOOKUP(H9685,IMPORTRANGE(""https://docs.google.com/spreadsheets/d/14Bd19lYaqBhU8_DElYkX7l4wRkHqqCUFNJY4AfY3kHU/edit?usp=sharing  #gid=0"",""фіз особи new!relations_name""),6,FALSE)
,
(IF
(
G9685=""юридична особа""
,
VLOOKUP"&amp;"(H9685,IMPORTRANGE(""https://docs.google.com/spreadsheets/d/14Bd19lYaqBhU8_DElYkX7l4wRkHqqCUFNJY4AfY3kHU/edit?usp=sharing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4" s="7" t="s">
        <v>29</v>
      </c>
    </row>
    <row r="9685" spans="1:10" ht="13.2">
      <c r="A9685" s="7">
        <v>9684</v>
      </c>
      <c r="B9685" s="7">
        <v>1</v>
      </c>
      <c r="C9685" s="7" t="s">
        <v>10</v>
      </c>
      <c r="D9685" s="7">
        <v>11516</v>
      </c>
      <c r="E9685" s="7" t="s">
        <v>28</v>
      </c>
      <c r="F9685" s="8" t="str">
        <f ca="1">IFERROR(__xludf.DUMMYFUNCTION("IF
(
C9686=""фізична особа""
,
VLOOKUP(D9686,IMPORTRANGE(""https://docs.google.com/spreadsheets/d/14Bd19lYaqBhU8_DElYkX7l4wRkHqqCUFNJY4AfY3kHU/edit?usp=sharing  #gid=0"",""фіз особи new!relations_name""),6,FALSE)
,
(IF
(
C9686=""юридична особа""
,
VLOOKUP"&amp;"(D9686,IMPORTRANGE(""https://docs.google.com/spreadsheets/d/14Bd19lYaqBhU8_DElYkX7l4wRkHqqCUFNJY4AfY3kHU/edit?usp=sharing  #gid=0"",""фіз особи new!relations_name_uo""),7,FALSE)
,
)
))"),"СЛІПЕЦЬ Андрій Андрійович")</f>
        <v>СЛІПЕЦЬ Андрій Андрійович</v>
      </c>
      <c r="G9685" s="7" t="s">
        <v>10</v>
      </c>
      <c r="H9685" s="7">
        <v>3009</v>
      </c>
      <c r="I9685" s="8" t="str">
        <f ca="1">IFERROR(__xludf.DUMMYFUNCTION("IF
(
G9686=""фізична особа""
,
VLOOKUP(H9686,IMPORTRANGE(""https://docs.google.com/spreadsheets/d/14Bd19lYaqBhU8_DElYkX7l4wRkHqqCUFNJY4AfY3kHU/edit?usp=sharing  #gid=0"",""фіз особи new!relations_name""),6,FALSE)
,
(IF
(
G9686=""юридична особа""
,
VLOOKUP"&amp;"(H9686,IMPORTRANGE(""https://docs.google.com/spreadsheets/d/14Bd19lYaqBhU8_DElYkX7l4wRkHqqCUFNJY4AfY3kHU/edit?usp=sharing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5" s="7" t="s">
        <v>29</v>
      </c>
    </row>
    <row r="9686" spans="1:10" ht="13.2">
      <c r="A9686" s="7">
        <v>9685</v>
      </c>
      <c r="B9686" s="7">
        <v>1</v>
      </c>
      <c r="C9686" s="7" t="s">
        <v>10</v>
      </c>
      <c r="D9686" s="7">
        <v>11517</v>
      </c>
      <c r="E9686" s="7" t="s">
        <v>28</v>
      </c>
      <c r="F9686" s="8" t="str">
        <f ca="1">IFERROR(__xludf.DUMMYFUNCTION("IF
(
C9687=""фізична особа""
,
VLOOKUP(D9687,IMPORTRANGE(""https://docs.google.com/spreadsheets/d/14Bd19lYaqBhU8_DElYkX7l4wRkHqqCUFNJY4AfY3kHU/edit?usp=sharing  #gid=0"",""фіз особи new!relations_name""),6,FALSE)
,
(IF
(
C9687=""юридична особа""
,
VLOOKUP"&amp;"(D9687,IMPORTRANGE(""https://docs.google.com/spreadsheets/d/14Bd19lYaqBhU8_DElYkX7l4wRkHqqCUFNJY4AfY3kHU/edit?usp=sharing  #gid=0"",""фіз особи new!relations_name_uo""),7,FALSE)
,
)
))"),"ГЛАДКІХ Юрій Олександрович")</f>
        <v>ГЛАДКІХ Юрій Олександрович</v>
      </c>
      <c r="G9686" s="7" t="s">
        <v>10</v>
      </c>
      <c r="H9686" s="7">
        <v>3009</v>
      </c>
      <c r="I9686" s="8" t="str">
        <f ca="1">IFERROR(__xludf.DUMMYFUNCTION("IF
(
G9687=""фізична особа""
,
VLOOKUP(H9687,IMPORTRANGE(""https://docs.google.com/spreadsheets/d/14Bd19lYaqBhU8_DElYkX7l4wRkHqqCUFNJY4AfY3kHU/edit?usp=sharing  #gid=0"",""фіз особи new!relations_name""),6,FALSE)
,
(IF
(
G9687=""юридична особа""
,
VLOOKUP"&amp;"(H9687,IMPORTRANGE(""https://docs.google.com/spreadsheets/d/14Bd19lYaqBhU8_DElYkX7l4wRkHqqCUFNJY4AfY3kHU/edit?usp=sharing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6" s="7" t="s">
        <v>29</v>
      </c>
    </row>
    <row r="9687" spans="1:10" ht="13.2">
      <c r="A9687" s="7">
        <v>9686</v>
      </c>
      <c r="B9687" s="7">
        <v>1</v>
      </c>
      <c r="C9687" s="7" t="s">
        <v>10</v>
      </c>
      <c r="D9687" s="7">
        <v>11518</v>
      </c>
      <c r="E9687" s="7" t="s">
        <v>28</v>
      </c>
      <c r="F9687" s="8" t="str">
        <f ca="1">IFERROR(__xludf.DUMMYFUNCTION("IF
(
C9688=""фізична особа""
,
VLOOKUP(D9688,IMPORTRANGE(""https://docs.google.com/spreadsheets/d/14Bd19lYaqBhU8_DElYkX7l4wRkHqqCUFNJY4AfY3kHU/edit?usp=sharing  #gid=0"",""фіз особи new!relations_name""),6,FALSE)
,
(IF
(
C9688=""юридична особа""
,
VLOOKUP"&amp;"(D9688,IMPORTRANGE(""https://docs.google.com/spreadsheets/d/14Bd19lYaqBhU8_DElYkX7l4wRkHqqCUFNJY4AfY3kHU/edit?usp=sharing  #gid=0"",""фіз особи new!relations_name_uo""),7,FALSE)
,
)
))"),"МАЛІНКІН Євгеній Володимирович")</f>
        <v>МАЛІНКІН Євгеній Володимирович</v>
      </c>
      <c r="G9687" s="7" t="s">
        <v>10</v>
      </c>
      <c r="H9687" s="7">
        <v>3009</v>
      </c>
      <c r="I9687" s="8" t="str">
        <f ca="1">IFERROR(__xludf.DUMMYFUNCTION("IF
(
G9688=""фізична особа""
,
VLOOKUP(H9688,IMPORTRANGE(""https://docs.google.com/spreadsheets/d/14Bd19lYaqBhU8_DElYkX7l4wRkHqqCUFNJY4AfY3kHU/edit?usp=sharing  #gid=0"",""фіз особи new!relations_name""),6,FALSE)
,
(IF
(
G9688=""юридична особа""
,
VLOOKUP"&amp;"(H9688,IMPORTRANGE(""https://docs.google.com/spreadsheets/d/14Bd19lYaqBhU8_DElYkX7l4wRkHqqCUFNJY4AfY3kHU/edit?usp=sharing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7" s="7" t="s">
        <v>29</v>
      </c>
    </row>
    <row r="9688" spans="1:10" ht="13.2">
      <c r="A9688" s="7">
        <v>9687</v>
      </c>
      <c r="B9688" s="7">
        <v>1</v>
      </c>
      <c r="C9688" s="7" t="s">
        <v>10</v>
      </c>
      <c r="D9688" s="7">
        <v>11519</v>
      </c>
      <c r="E9688" s="7" t="s">
        <v>28</v>
      </c>
      <c r="F9688" s="8" t="str">
        <f ca="1">IFERROR(__xludf.DUMMYFUNCTION("IF
(
C9689=""фізична особа""
,
VLOOKUP(D9689,IMPORTRANGE(""https://docs.google.com/spreadsheets/d/14Bd19lYaqBhU8_DElYkX7l4wRkHqqCUFNJY4AfY3kHU/edit?usp=sharing  #gid=0"",""фіз особи new!relations_name""),6,FALSE)
,
(IF
(
C9689=""юридична особа""
,
VLOOKUP"&amp;"(D9689,IMPORTRANGE(""https://docs.google.com/spreadsheets/d/14Bd19lYaqBhU8_DElYkX7l4wRkHqqCUFNJY4AfY3kHU/edit?usp=sharing  #gid=0"",""фіз особи new!relations_name_uo""),7,FALSE)
,
)
))"),"ЖУКОВ Олексій Анатолійович")</f>
        <v>ЖУКОВ Олексій Анатолійович</v>
      </c>
      <c r="G9688" s="7" t="s">
        <v>10</v>
      </c>
      <c r="H9688" s="7">
        <v>3009</v>
      </c>
      <c r="I9688" s="8" t="str">
        <f ca="1">IFERROR(__xludf.DUMMYFUNCTION("IF
(
G9689=""фізична особа""
,
VLOOKUP(H9689,IMPORTRANGE(""https://docs.google.com/spreadsheets/d/14Bd19lYaqBhU8_DElYkX7l4wRkHqqCUFNJY4AfY3kHU/edit?usp=sharing  #gid=0"",""фіз особи new!relations_name""),6,FALSE)
,
(IF
(
G9689=""юридична особа""
,
VLOOKUP"&amp;"(H9689,IMPORTRANGE(""https://docs.google.com/spreadsheets/d/14Bd19lYaqBhU8_DElYkX7l4wRkHqqCUFNJY4AfY3kHU/edit?usp=sharing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8" s="7" t="s">
        <v>29</v>
      </c>
    </row>
    <row r="9689" spans="1:10" ht="13.2">
      <c r="A9689" s="7">
        <v>9688</v>
      </c>
      <c r="B9689" s="7">
        <v>1</v>
      </c>
      <c r="C9689" s="7" t="s">
        <v>10</v>
      </c>
      <c r="D9689" s="7">
        <v>11520</v>
      </c>
      <c r="E9689" s="7" t="s">
        <v>28</v>
      </c>
      <c r="F9689" s="8" t="str">
        <f ca="1">IFERROR(__xludf.DUMMYFUNCTION("IF
(
C9690=""фізична особа""
,
VLOOKUP(D9690,IMPORTRANGE(""https://docs.google.com/spreadsheets/d/14Bd19lYaqBhU8_DElYkX7l4wRkHqqCUFNJY4AfY3kHU/edit?usp=sharing  #gid=0"",""фіз особи new!relations_name""),6,FALSE)
,
(IF
(
C9690=""юридична особа""
,
VLOOKUP"&amp;"(D9690,IMPORTRANGE(""https://docs.google.com/spreadsheets/d/14Bd19lYaqBhU8_DElYkX7l4wRkHqqCUFNJY4AfY3kHU/edit?usp=sharing  #gid=0"",""фіз особи new!relations_name_uo""),7,FALSE)
,
)
))"),"ЧЕМЕРЧЕВА Ганна Андріївна")</f>
        <v>ЧЕМЕРЧЕВА Ганна Андріївна</v>
      </c>
      <c r="G9689" s="7" t="s">
        <v>10</v>
      </c>
      <c r="H9689" s="7">
        <v>3009</v>
      </c>
      <c r="I9689" s="8" t="str">
        <f ca="1">IFERROR(__xludf.DUMMYFUNCTION("IF
(
G9690=""фізична особа""
,
VLOOKUP(H9690,IMPORTRANGE(""https://docs.google.com/spreadsheets/d/14Bd19lYaqBhU8_DElYkX7l4wRkHqqCUFNJY4AfY3kHU/edit?usp=sharing  #gid=0"",""фіз особи new!relations_name""),6,FALSE)
,
(IF
(
G9690=""юридична особа""
,
VLOOKUP"&amp;"(H9690,IMPORTRANGE(""https://docs.google.com/spreadsheets/d/14Bd19lYaqBhU8_DElYkX7l4wRkHqqCUFNJY4AfY3kHU/edit?usp=sharing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89" s="7" t="s">
        <v>29</v>
      </c>
    </row>
    <row r="9690" spans="1:10" ht="13.2">
      <c r="A9690" s="7">
        <v>9689</v>
      </c>
      <c r="B9690" s="7">
        <v>1</v>
      </c>
      <c r="C9690" s="7" t="s">
        <v>10</v>
      </c>
      <c r="D9690" s="7">
        <v>11521</v>
      </c>
      <c r="E9690" s="7" t="s">
        <v>28</v>
      </c>
      <c r="F9690" s="8" t="str">
        <f ca="1">IFERROR(__xludf.DUMMYFUNCTION("IF
(
C9691=""фізична особа""
,
VLOOKUP(D9691,IMPORTRANGE(""https://docs.google.com/spreadsheets/d/14Bd19lYaqBhU8_DElYkX7l4wRkHqqCUFNJY4AfY3kHU/edit?usp=sharing  #gid=0"",""фіз особи new!relations_name""),6,FALSE)
,
(IF
(
C9691=""юридична особа""
,
VLOOKUP"&amp;"(D9691,IMPORTRANGE(""https://docs.google.com/spreadsheets/d/14Bd19lYaqBhU8_DElYkX7l4wRkHqqCUFNJY4AfY3kHU/edit?usp=sharing  #gid=0"",""фіз особи new!relations_name_uo""),7,FALSE)
,
)
))"),"КЛЮЧНІКОВ Олександр Геннадійович")</f>
        <v>КЛЮЧНІКОВ Олександр Геннадійович</v>
      </c>
      <c r="G9690" s="7" t="s">
        <v>10</v>
      </c>
      <c r="H9690" s="7">
        <v>3009</v>
      </c>
      <c r="I9690" s="8" t="str">
        <f ca="1">IFERROR(__xludf.DUMMYFUNCTION("IF
(
G9691=""фізична особа""
,
VLOOKUP(H9691,IMPORTRANGE(""https://docs.google.com/spreadsheets/d/14Bd19lYaqBhU8_DElYkX7l4wRkHqqCUFNJY4AfY3kHU/edit?usp=sharing  #gid=0"",""фіз особи new!relations_name""),6,FALSE)
,
(IF
(
G9691=""юридична особа""
,
VLOOKUP"&amp;"(H9691,IMPORTRANGE(""https://docs.google.com/spreadsheets/d/14Bd19lYaqBhU8_DElYkX7l4wRkHqqCUFNJY4AfY3kHU/edit?usp=sharing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0" s="7" t="s">
        <v>29</v>
      </c>
    </row>
    <row r="9691" spans="1:10" ht="13.2">
      <c r="A9691" s="7">
        <v>9690</v>
      </c>
      <c r="B9691" s="7">
        <v>1</v>
      </c>
      <c r="C9691" s="7" t="s">
        <v>10</v>
      </c>
      <c r="D9691" s="7">
        <v>11522</v>
      </c>
      <c r="E9691" s="7" t="s">
        <v>28</v>
      </c>
      <c r="F9691" s="8" t="str">
        <f ca="1">IFERROR(__xludf.DUMMYFUNCTION("IF
(
C9692=""фізична особа""
,
VLOOKUP(D9692,IMPORTRANGE(""https://docs.google.com/spreadsheets/d/14Bd19lYaqBhU8_DElYkX7l4wRkHqqCUFNJY4AfY3kHU/edit?usp=sharing  #gid=0"",""фіз особи new!relations_name""),6,FALSE)
,
(IF
(
C9692=""юридична особа""
,
VLOOKUP"&amp;"(D9692,IMPORTRANGE(""https://docs.google.com/spreadsheets/d/14Bd19lYaqBhU8_DElYkX7l4wRkHqqCUFNJY4AfY3kHU/edit?usp=sharing  #gid=0"",""фіз особи new!relations_name_uo""),7,FALSE)
,
)
))"),"ДИНАРІЄВА Надія Вікторівна")</f>
        <v>ДИНАРІЄВА Надія Вікторівна</v>
      </c>
      <c r="G9691" s="7" t="s">
        <v>10</v>
      </c>
      <c r="H9691" s="7">
        <v>3009</v>
      </c>
      <c r="I9691" s="8" t="str">
        <f ca="1">IFERROR(__xludf.DUMMYFUNCTION("IF
(
G9692=""фізична особа""
,
VLOOKUP(H9692,IMPORTRANGE(""https://docs.google.com/spreadsheets/d/14Bd19lYaqBhU8_DElYkX7l4wRkHqqCUFNJY4AfY3kHU/edit?usp=sharing  #gid=0"",""фіз особи new!relations_name""),6,FALSE)
,
(IF
(
G9692=""юридична особа""
,
VLOOKUP"&amp;"(H9692,IMPORTRANGE(""https://docs.google.com/spreadsheets/d/14Bd19lYaqBhU8_DElYkX7l4wRkHqqCUFNJY4AfY3kHU/edit?usp=sharing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1" s="7" t="s">
        <v>29</v>
      </c>
    </row>
    <row r="9692" spans="1:10" ht="13.2">
      <c r="A9692" s="7">
        <v>9691</v>
      </c>
      <c r="B9692" s="7">
        <v>1</v>
      </c>
      <c r="C9692" s="7" t="s">
        <v>10</v>
      </c>
      <c r="D9692" s="7">
        <v>11523</v>
      </c>
      <c r="E9692" s="7" t="s">
        <v>28</v>
      </c>
      <c r="F9692" s="8" t="str">
        <f ca="1">IFERROR(__xludf.DUMMYFUNCTION("IF
(
C9693=""фізична особа""
,
VLOOKUP(D9693,IMPORTRANGE(""https://docs.google.com/spreadsheets/d/14Bd19lYaqBhU8_DElYkX7l4wRkHqqCUFNJY4AfY3kHU/edit?usp=sharing  #gid=0"",""фіз особи new!relations_name""),6,FALSE)
,
(IF
(
C9693=""юридична особа""
,
VLOOKUP"&amp;"(D9693,IMPORTRANGE(""https://docs.google.com/spreadsheets/d/14Bd19lYaqBhU8_DElYkX7l4wRkHqqCUFNJY4AfY3kHU/edit?usp=sharing  #gid=0"",""фіз особи new!relations_name_uo""),7,FALSE)
,
)
))"),"ШЕСТАКОВ Альберт Володимирович")</f>
        <v>ШЕСТАКОВ Альберт Володимирович</v>
      </c>
      <c r="G9692" s="7" t="s">
        <v>10</v>
      </c>
      <c r="H9692" s="7">
        <v>3009</v>
      </c>
      <c r="I9692" s="8" t="str">
        <f ca="1">IFERROR(__xludf.DUMMYFUNCTION("IF
(
G9693=""фізична особа""
,
VLOOKUP(H9693,IMPORTRANGE(""https://docs.google.com/spreadsheets/d/14Bd19lYaqBhU8_DElYkX7l4wRkHqqCUFNJY4AfY3kHU/edit?usp=sharing  #gid=0"",""фіз особи new!relations_name""),6,FALSE)
,
(IF
(
G9693=""юридична особа""
,
VLOOKUP"&amp;"(H9693,IMPORTRANGE(""https://docs.google.com/spreadsheets/d/14Bd19lYaqBhU8_DElYkX7l4wRkHqqCUFNJY4AfY3kHU/edit?usp=sharing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2" s="7" t="s">
        <v>29</v>
      </c>
    </row>
    <row r="9693" spans="1:10" ht="13.2">
      <c r="A9693" s="7">
        <v>9692</v>
      </c>
      <c r="B9693" s="7">
        <v>1</v>
      </c>
      <c r="C9693" s="7" t="s">
        <v>10</v>
      </c>
      <c r="D9693" s="7">
        <v>11524</v>
      </c>
      <c r="E9693" s="7" t="s">
        <v>28</v>
      </c>
      <c r="F9693" s="8" t="str">
        <f ca="1">IFERROR(__xludf.DUMMYFUNCTION("IF
(
C9694=""фізична особа""
,
VLOOKUP(D9694,IMPORTRANGE(""https://docs.google.com/spreadsheets/d/14Bd19lYaqBhU8_DElYkX7l4wRkHqqCUFNJY4AfY3kHU/edit?usp=sharing  #gid=0"",""фіз особи new!relations_name""),6,FALSE)
,
(IF
(
C9694=""юридична особа""
,
VLOOKUP"&amp;"(D9694,IMPORTRANGE(""https://docs.google.com/spreadsheets/d/14Bd19lYaqBhU8_DElYkX7l4wRkHqqCUFNJY4AfY3kHU/edit?usp=sharing  #gid=0"",""фіз особи new!relations_name_uo""),7,FALSE)
,
)
))"),"КОСНОВ Роман Ігорович")</f>
        <v>КОСНОВ Роман Ігорович</v>
      </c>
      <c r="G9693" s="7" t="s">
        <v>10</v>
      </c>
      <c r="H9693" s="7">
        <v>3009</v>
      </c>
      <c r="I9693" s="8" t="str">
        <f ca="1">IFERROR(__xludf.DUMMYFUNCTION("IF
(
G9694=""фізична особа""
,
VLOOKUP(H9694,IMPORTRANGE(""https://docs.google.com/spreadsheets/d/14Bd19lYaqBhU8_DElYkX7l4wRkHqqCUFNJY4AfY3kHU/edit?usp=sharing  #gid=0"",""фіз особи new!relations_name""),6,FALSE)
,
(IF
(
G9694=""юридична особа""
,
VLOOKUP"&amp;"(H9694,IMPORTRANGE(""https://docs.google.com/spreadsheets/d/14Bd19lYaqBhU8_DElYkX7l4wRkHqqCUFNJY4AfY3kHU/edit?usp=sharing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3" s="7" t="s">
        <v>29</v>
      </c>
    </row>
    <row r="9694" spans="1:10" ht="13.2">
      <c r="A9694" s="7">
        <v>9693</v>
      </c>
      <c r="B9694" s="7">
        <v>1</v>
      </c>
      <c r="C9694" s="7" t="s">
        <v>10</v>
      </c>
      <c r="D9694" s="7">
        <v>11525</v>
      </c>
      <c r="E9694" s="7" t="s">
        <v>28</v>
      </c>
      <c r="F9694" s="8" t="str">
        <f ca="1">IFERROR(__xludf.DUMMYFUNCTION("IF
(
C9695=""фізична особа""
,
VLOOKUP(D9695,IMPORTRANGE(""https://docs.google.com/spreadsheets/d/14Bd19lYaqBhU8_DElYkX7l4wRkHqqCUFNJY4AfY3kHU/edit?usp=sharing  #gid=0"",""фіз особи new!relations_name""),6,FALSE)
,
(IF
(
C9695=""юридична особа""
,
VLOOKUP"&amp;"(D9695,IMPORTRANGE(""https://docs.google.com/spreadsheets/d/14Bd19lYaqBhU8_DElYkX7l4wRkHqqCUFNJY4AfY3kHU/edit?usp=sharing  #gid=0"",""фіз особи new!relations_name_uo""),7,FALSE)
,
)
))"),"ПІМЕНОВА Вікторія В'ячеславівна")</f>
        <v>ПІМЕНОВА Вікторія В'ячеславівна</v>
      </c>
      <c r="G9694" s="7" t="s">
        <v>10</v>
      </c>
      <c r="H9694" s="7">
        <v>3009</v>
      </c>
      <c r="I9694" s="8" t="str">
        <f ca="1">IFERROR(__xludf.DUMMYFUNCTION("IF
(
G9695=""фізична особа""
,
VLOOKUP(H9695,IMPORTRANGE(""https://docs.google.com/spreadsheets/d/14Bd19lYaqBhU8_DElYkX7l4wRkHqqCUFNJY4AfY3kHU/edit?usp=sharing  #gid=0"",""фіз особи new!relations_name""),6,FALSE)
,
(IF
(
G9695=""юридична особа""
,
VLOOKUP"&amp;"(H9695,IMPORTRANGE(""https://docs.google.com/spreadsheets/d/14Bd19lYaqBhU8_DElYkX7l4wRkHqqCUFNJY4AfY3kHU/edit?usp=sharing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4" s="7" t="s">
        <v>29</v>
      </c>
    </row>
    <row r="9695" spans="1:10" ht="13.2">
      <c r="A9695" s="7">
        <v>9694</v>
      </c>
      <c r="B9695" s="7">
        <v>1</v>
      </c>
      <c r="C9695" s="7" t="s">
        <v>10</v>
      </c>
      <c r="D9695" s="7">
        <v>11526</v>
      </c>
      <c r="E9695" s="7" t="s">
        <v>28</v>
      </c>
      <c r="F9695" s="8" t="str">
        <f ca="1">IFERROR(__xludf.DUMMYFUNCTION("IF
(
C9696=""фізична особа""
,
VLOOKUP(D9696,IMPORTRANGE(""https://docs.google.com/spreadsheets/d/14Bd19lYaqBhU8_DElYkX7l4wRkHqqCUFNJY4AfY3kHU/edit?usp=sharing  #gid=0"",""фіз особи new!relations_name""),6,FALSE)
,
(IF
(
C9696=""юридична особа""
,
VLOOKUP"&amp;"(D9696,IMPORTRANGE(""https://docs.google.com/spreadsheets/d/14Bd19lYaqBhU8_DElYkX7l4wRkHqqCUFNJY4AfY3kHU/edit?usp=sharing  #gid=0"",""фіз особи new!relations_name_uo""),7,FALSE)
,
)
))"),"КОЛОДКІН Олександр Миколайович")</f>
        <v>КОЛОДКІН Олександр Миколайович</v>
      </c>
      <c r="G9695" s="7" t="s">
        <v>10</v>
      </c>
      <c r="H9695" s="7">
        <v>3009</v>
      </c>
      <c r="I9695" s="8" t="str">
        <f ca="1">IFERROR(__xludf.DUMMYFUNCTION("IF
(
G9696=""фізична особа""
,
VLOOKUP(H9696,IMPORTRANGE(""https://docs.google.com/spreadsheets/d/14Bd19lYaqBhU8_DElYkX7l4wRkHqqCUFNJY4AfY3kHU/edit?usp=sharing  #gid=0"",""фіз особи new!relations_name""),6,FALSE)
,
(IF
(
G9696=""юридична особа""
,
VLOOKUP"&amp;"(H9696,IMPORTRANGE(""https://docs.google.com/spreadsheets/d/14Bd19lYaqBhU8_DElYkX7l4wRkHqqCUFNJY4AfY3kHU/edit?usp=sharing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5" s="7" t="s">
        <v>29</v>
      </c>
    </row>
    <row r="9696" spans="1:10" ht="13.2">
      <c r="A9696" s="7">
        <v>9695</v>
      </c>
      <c r="B9696" s="7">
        <v>1</v>
      </c>
      <c r="C9696" s="7" t="s">
        <v>10</v>
      </c>
      <c r="D9696" s="7">
        <v>11527</v>
      </c>
      <c r="E9696" s="7" t="s">
        <v>28</v>
      </c>
      <c r="F9696" s="8" t="str">
        <f ca="1">IFERROR(__xludf.DUMMYFUNCTION("IF
(
C9697=""фізична особа""
,
VLOOKUP(D9697,IMPORTRANGE(""https://docs.google.com/spreadsheets/d/14Bd19lYaqBhU8_DElYkX7l4wRkHqqCUFNJY4AfY3kHU/edit?usp=sharing  #gid=0"",""фіз особи new!relations_name""),6,FALSE)
,
(IF
(
C9697=""юридична особа""
,
VLOOKUP"&amp;"(D9697,IMPORTRANGE(""https://docs.google.com/spreadsheets/d/14Bd19lYaqBhU8_DElYkX7l4wRkHqqCUFNJY4AfY3kHU/edit?usp=sharing  #gid=0"",""фіз особи new!relations_name_uo""),7,FALSE)
,
)
))"),"ПАЛЬНИКОВ Анатолій Олексійович")</f>
        <v>ПАЛЬНИКОВ Анатолій Олексійович</v>
      </c>
      <c r="G9696" s="7" t="s">
        <v>10</v>
      </c>
      <c r="H9696" s="7">
        <v>3009</v>
      </c>
      <c r="I9696" s="8" t="str">
        <f ca="1">IFERROR(__xludf.DUMMYFUNCTION("IF
(
G9697=""фізична особа""
,
VLOOKUP(H9697,IMPORTRANGE(""https://docs.google.com/spreadsheets/d/14Bd19lYaqBhU8_DElYkX7l4wRkHqqCUFNJY4AfY3kHU/edit?usp=sharing  #gid=0"",""фіз особи new!relations_name""),6,FALSE)
,
(IF
(
G9697=""юридична особа""
,
VLOOKUP"&amp;"(H9697,IMPORTRANGE(""https://docs.google.com/spreadsheets/d/14Bd19lYaqBhU8_DElYkX7l4wRkHqqCUFNJY4AfY3kHU/edit?usp=sharing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6" s="7" t="s">
        <v>29</v>
      </c>
    </row>
    <row r="9697" spans="1:10" ht="13.2">
      <c r="A9697" s="7">
        <v>9696</v>
      </c>
      <c r="B9697" s="7">
        <v>1</v>
      </c>
      <c r="C9697" s="7" t="s">
        <v>10</v>
      </c>
      <c r="D9697" s="7">
        <v>11528</v>
      </c>
      <c r="E9697" s="7" t="s">
        <v>28</v>
      </c>
      <c r="F9697" s="8" t="str">
        <f ca="1">IFERROR(__xludf.DUMMYFUNCTION("IF
(
C9698=""фізична особа""
,
VLOOKUP(D9698,IMPORTRANGE(""https://docs.google.com/spreadsheets/d/14Bd19lYaqBhU8_DElYkX7l4wRkHqqCUFNJY4AfY3kHU/edit?usp=sharing  #gid=0"",""фіз особи new!relations_name""),6,FALSE)
,
(IF
(
C9698=""юридична особа""
,
VLOOKUP"&amp;"(D9698,IMPORTRANGE(""https://docs.google.com/spreadsheets/d/14Bd19lYaqBhU8_DElYkX7l4wRkHqqCUFNJY4AfY3kHU/edit?usp=sharing  #gid=0"",""фіз особи new!relations_name_uo""),7,FALSE)
,
)
))"),"ШУТОВ Едуард Юрійович")</f>
        <v>ШУТОВ Едуард Юрійович</v>
      </c>
      <c r="G9697" s="7" t="s">
        <v>10</v>
      </c>
      <c r="H9697" s="7">
        <v>3009</v>
      </c>
      <c r="I9697" s="8" t="str">
        <f ca="1">IFERROR(__xludf.DUMMYFUNCTION("IF
(
G9698=""фізична особа""
,
VLOOKUP(H9698,IMPORTRANGE(""https://docs.google.com/spreadsheets/d/14Bd19lYaqBhU8_DElYkX7l4wRkHqqCUFNJY4AfY3kHU/edit?usp=sharing  #gid=0"",""фіз особи new!relations_name""),6,FALSE)
,
(IF
(
G9698=""юридична особа""
,
VLOOKUP"&amp;"(H9698,IMPORTRANGE(""https://docs.google.com/spreadsheets/d/14Bd19lYaqBhU8_DElYkX7l4wRkHqqCUFNJY4AfY3kHU/edit?usp=sharing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7" s="7" t="s">
        <v>29</v>
      </c>
    </row>
    <row r="9698" spans="1:10" ht="13.2">
      <c r="A9698" s="7">
        <v>9697</v>
      </c>
      <c r="B9698" s="7">
        <v>1</v>
      </c>
      <c r="C9698" s="7" t="s">
        <v>10</v>
      </c>
      <c r="D9698" s="7">
        <v>11529</v>
      </c>
      <c r="E9698" s="7" t="s">
        <v>28</v>
      </c>
      <c r="F9698" s="8" t="str">
        <f ca="1">IFERROR(__xludf.DUMMYFUNCTION("IF
(
C9699=""фізична особа""
,
VLOOKUP(D9699,IMPORTRANGE(""https://docs.google.com/spreadsheets/d/14Bd19lYaqBhU8_DElYkX7l4wRkHqqCUFNJY4AfY3kHU/edit?usp=sharing  #gid=0"",""фіз особи new!relations_name""),6,FALSE)
,
(IF
(
C9699=""юридична особа""
,
VLOOKUP"&amp;"(D9699,IMPORTRANGE(""https://docs.google.com/spreadsheets/d/14Bd19lYaqBhU8_DElYkX7l4wRkHqqCUFNJY4AfY3kHU/edit?usp=sharing  #gid=0"",""фіз особи new!relations_name_uo""),7,FALSE)
,
)
))"),"КУДЕЛІН Олександр Володимирович")</f>
        <v>КУДЕЛІН Олександр Володимирович</v>
      </c>
      <c r="G9698" s="7" t="s">
        <v>10</v>
      </c>
      <c r="H9698" s="7">
        <v>3009</v>
      </c>
      <c r="I9698" s="8" t="str">
        <f ca="1">IFERROR(__xludf.DUMMYFUNCTION("IF
(
G9699=""фізична особа""
,
VLOOKUP(H9699,IMPORTRANGE(""https://docs.google.com/spreadsheets/d/14Bd19lYaqBhU8_DElYkX7l4wRkHqqCUFNJY4AfY3kHU/edit?usp=sharing  #gid=0"",""фіз особи new!relations_name""),6,FALSE)
,
(IF
(
G9699=""юридична особа""
,
VLOOKUP"&amp;"(H9699,IMPORTRANGE(""https://docs.google.com/spreadsheets/d/14Bd19lYaqBhU8_DElYkX7l4wRkHqqCUFNJY4AfY3kHU/edit?usp=sharing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8" s="7" t="s">
        <v>29</v>
      </c>
    </row>
    <row r="9699" spans="1:10" ht="13.2">
      <c r="A9699" s="7">
        <v>9698</v>
      </c>
      <c r="B9699" s="7">
        <v>1</v>
      </c>
      <c r="C9699" s="7" t="s">
        <v>10</v>
      </c>
      <c r="D9699" s="7">
        <v>11530</v>
      </c>
      <c r="E9699" s="7" t="s">
        <v>28</v>
      </c>
      <c r="F9699" s="8" t="str">
        <f ca="1">IFERROR(__xludf.DUMMYFUNCTION("IF
(
C9700=""фізична особа""
,
VLOOKUP(D9700,IMPORTRANGE(""https://docs.google.com/spreadsheets/d/14Bd19lYaqBhU8_DElYkX7l4wRkHqqCUFNJY4AfY3kHU/edit?usp=sharing  #gid=0"",""фіз особи new!relations_name""),6,FALSE)
,
(IF
(
C9700=""юридична особа""
,
VLOOKUP"&amp;"(D9700,IMPORTRANGE(""https://docs.google.com/spreadsheets/d/14Bd19lYaqBhU8_DElYkX7l4wRkHqqCUFNJY4AfY3kHU/edit?usp=sharing  #gid=0"",""фіз особи new!relations_name_uo""),7,FALSE)
,
)
))"),"СИДОРЦОВ Ігор Миколайович")</f>
        <v>СИДОРЦОВ Ігор Миколайович</v>
      </c>
      <c r="G9699" s="7" t="s">
        <v>10</v>
      </c>
      <c r="H9699" s="7">
        <v>3009</v>
      </c>
      <c r="I9699" s="8" t="str">
        <f ca="1">IFERROR(__xludf.DUMMYFUNCTION("IF
(
G9700=""фізична особа""
,
VLOOKUP(H9700,IMPORTRANGE(""https://docs.google.com/spreadsheets/d/14Bd19lYaqBhU8_DElYkX7l4wRkHqqCUFNJY4AfY3kHU/edit?usp=sharing  #gid=0"",""фіз особи new!relations_name""),6,FALSE)
,
(IF
(
G9700=""юридична особа""
,
VLOOKUP"&amp;"(H9700,IMPORTRANGE(""https://docs.google.com/spreadsheets/d/14Bd19lYaqBhU8_DElYkX7l4wRkHqqCUFNJY4AfY3kHU/edit?usp=sharing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699" s="7" t="s">
        <v>29</v>
      </c>
    </row>
    <row r="9700" spans="1:10" ht="13.2">
      <c r="A9700" s="7">
        <v>9699</v>
      </c>
      <c r="B9700" s="7">
        <v>1</v>
      </c>
      <c r="C9700" s="7" t="s">
        <v>10</v>
      </c>
      <c r="D9700" s="7">
        <v>11531</v>
      </c>
      <c r="E9700" s="7" t="s">
        <v>28</v>
      </c>
      <c r="F9700" s="8" t="str">
        <f ca="1">IFERROR(__xludf.DUMMYFUNCTION("IF
(
C9701=""фізична особа""
,
VLOOKUP(D9701,IMPORTRANGE(""https://docs.google.com/spreadsheets/d/14Bd19lYaqBhU8_DElYkX7l4wRkHqqCUFNJY4AfY3kHU/edit?usp=sharing  #gid=0"",""фіз особи new!relations_name""),6,FALSE)
,
(IF
(
C9701=""юридична особа""
,
VLOOKUP"&amp;"(D9701,IMPORTRANGE(""https://docs.google.com/spreadsheets/d/14Bd19lYaqBhU8_DElYkX7l4wRkHqqCUFNJY4AfY3kHU/edit?usp=sharing  #gid=0"",""фіз особи new!relations_name_uo""),7,FALSE)
,
)
))"),"МИХАЙЛОВ Володимир Сергійович")</f>
        <v>МИХАЙЛОВ Володимир Сергійович</v>
      </c>
      <c r="G9700" s="7" t="s">
        <v>10</v>
      </c>
      <c r="H9700" s="7">
        <v>3009</v>
      </c>
      <c r="I9700" s="8" t="str">
        <f ca="1">IFERROR(__xludf.DUMMYFUNCTION("IF
(
G9701=""фізична особа""
,
VLOOKUP(H9701,IMPORTRANGE(""https://docs.google.com/spreadsheets/d/14Bd19lYaqBhU8_DElYkX7l4wRkHqqCUFNJY4AfY3kHU/edit?usp=sharing  #gid=0"",""фіз особи new!relations_name""),6,FALSE)
,
(IF
(
G9701=""юридична особа""
,
VLOOKUP"&amp;"(H9701,IMPORTRANGE(""https://docs.google.com/spreadsheets/d/14Bd19lYaqBhU8_DElYkX7l4wRkHqqCUFNJY4AfY3kHU/edit?usp=sharing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0" s="7" t="s">
        <v>29</v>
      </c>
    </row>
    <row r="9701" spans="1:10" ht="13.2">
      <c r="A9701" s="7">
        <v>9700</v>
      </c>
      <c r="B9701" s="7">
        <v>1</v>
      </c>
      <c r="C9701" s="7" t="s">
        <v>10</v>
      </c>
      <c r="D9701" s="7">
        <v>11532</v>
      </c>
      <c r="E9701" s="7" t="s">
        <v>28</v>
      </c>
      <c r="F9701" s="8" t="str">
        <f ca="1">IFERROR(__xludf.DUMMYFUNCTION("IF
(
C9702=""фізична особа""
,
VLOOKUP(D9702,IMPORTRANGE(""https://docs.google.com/spreadsheets/d/14Bd19lYaqBhU8_DElYkX7l4wRkHqqCUFNJY4AfY3kHU/edit?usp=sharing  #gid=0"",""фіз особи new!relations_name""),6,FALSE)
,
(IF
(
C9702=""юридична особа""
,
VLOOKUP"&amp;"(D9702,IMPORTRANGE(""https://docs.google.com/spreadsheets/d/14Bd19lYaqBhU8_DElYkX7l4wRkHqqCUFNJY4AfY3kHU/edit?usp=sharing  #gid=0"",""фіз особи new!relations_name_uo""),7,FALSE)
,
)
))"),"ЛОГІНОВ Дмитро Юрійович")</f>
        <v>ЛОГІНОВ Дмитро Юрійович</v>
      </c>
      <c r="G9701" s="7" t="s">
        <v>10</v>
      </c>
      <c r="H9701" s="7">
        <v>3009</v>
      </c>
      <c r="I9701" s="8" t="str">
        <f ca="1">IFERROR(__xludf.DUMMYFUNCTION("IF
(
G9702=""фізична особа""
,
VLOOKUP(H9702,IMPORTRANGE(""https://docs.google.com/spreadsheets/d/14Bd19lYaqBhU8_DElYkX7l4wRkHqqCUFNJY4AfY3kHU/edit?usp=sharing  #gid=0"",""фіз особи new!relations_name""),6,FALSE)
,
(IF
(
G9702=""юридична особа""
,
VLOOKUP"&amp;"(H9702,IMPORTRANGE(""https://docs.google.com/spreadsheets/d/14Bd19lYaqBhU8_DElYkX7l4wRkHqqCUFNJY4AfY3kHU/edit?usp=sharing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1" s="7" t="s">
        <v>29</v>
      </c>
    </row>
    <row r="9702" spans="1:10" ht="13.2">
      <c r="A9702" s="7">
        <v>9701</v>
      </c>
      <c r="B9702" s="7">
        <v>1</v>
      </c>
      <c r="C9702" s="7" t="s">
        <v>10</v>
      </c>
      <c r="D9702" s="7">
        <v>11533</v>
      </c>
      <c r="E9702" s="7" t="s">
        <v>28</v>
      </c>
      <c r="F9702" s="8" t="str">
        <f ca="1">IFERROR(__xludf.DUMMYFUNCTION("IF
(
C9703=""фізична особа""
,
VLOOKUP(D9703,IMPORTRANGE(""https://docs.google.com/spreadsheets/d/14Bd19lYaqBhU8_DElYkX7l4wRkHqqCUFNJY4AfY3kHU/edit?usp=sharing  #gid=0"",""фіз особи new!relations_name""),6,FALSE)
,
(IF
(
C9703=""юридична особа""
,
VLOOKUP"&amp;"(D9703,IMPORTRANGE(""https://docs.google.com/spreadsheets/d/14Bd19lYaqBhU8_DElYkX7l4wRkHqqCUFNJY4AfY3kHU/edit?usp=sharing  #gid=0"",""фіз особи new!relations_name_uo""),7,FALSE)
,
)
))"),"ДУНАЄВА Вікторія Віталіївна")</f>
        <v>ДУНАЄВА Вікторія Віталіївна</v>
      </c>
      <c r="G9702" s="7" t="s">
        <v>10</v>
      </c>
      <c r="H9702" s="7">
        <v>3009</v>
      </c>
      <c r="I9702" s="8" t="str">
        <f ca="1">IFERROR(__xludf.DUMMYFUNCTION("IF
(
G9703=""фізична особа""
,
VLOOKUP(H9703,IMPORTRANGE(""https://docs.google.com/spreadsheets/d/14Bd19lYaqBhU8_DElYkX7l4wRkHqqCUFNJY4AfY3kHU/edit?usp=sharing  #gid=0"",""фіз особи new!relations_name""),6,FALSE)
,
(IF
(
G9703=""юридична особа""
,
VLOOKUP"&amp;"(H9703,IMPORTRANGE(""https://docs.google.com/spreadsheets/d/14Bd19lYaqBhU8_DElYkX7l4wRkHqqCUFNJY4AfY3kHU/edit?usp=sharing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2" s="7" t="s">
        <v>29</v>
      </c>
    </row>
    <row r="9703" spans="1:10" ht="13.2">
      <c r="A9703" s="7">
        <v>9702</v>
      </c>
      <c r="B9703" s="7">
        <v>1</v>
      </c>
      <c r="C9703" s="7" t="s">
        <v>10</v>
      </c>
      <c r="D9703" s="7">
        <v>11534</v>
      </c>
      <c r="E9703" s="7" t="s">
        <v>28</v>
      </c>
      <c r="F9703" s="8" t="str">
        <f ca="1">IFERROR(__xludf.DUMMYFUNCTION("IF
(
C9704=""фізична особа""
,
VLOOKUP(D9704,IMPORTRANGE(""https://docs.google.com/spreadsheets/d/14Bd19lYaqBhU8_DElYkX7l4wRkHqqCUFNJY4AfY3kHU/edit?usp=sharing  #gid=0"",""фіз особи new!relations_name""),6,FALSE)
,
(IF
(
C9704=""юридична особа""
,
VLOOKUP"&amp;"(D9704,IMPORTRANGE(""https://docs.google.com/spreadsheets/d/14Bd19lYaqBhU8_DElYkX7l4wRkHqqCUFNJY4AfY3kHU/edit?usp=sharing  #gid=0"",""фіз особи new!relations_name_uo""),7,FALSE)
,
)
))"),"ПОЛЯНІЧЄВ Дмитро В'ячеславович")</f>
        <v>ПОЛЯНІЧЄВ Дмитро В'ячеславович</v>
      </c>
      <c r="G9703" s="7" t="s">
        <v>10</v>
      </c>
      <c r="H9703" s="7">
        <v>3009</v>
      </c>
      <c r="I9703" s="8" t="str">
        <f ca="1">IFERROR(__xludf.DUMMYFUNCTION("IF
(
G9704=""фізична особа""
,
VLOOKUP(H9704,IMPORTRANGE(""https://docs.google.com/spreadsheets/d/14Bd19lYaqBhU8_DElYkX7l4wRkHqqCUFNJY4AfY3kHU/edit?usp=sharing  #gid=0"",""фіз особи new!relations_name""),6,FALSE)
,
(IF
(
G9704=""юридична особа""
,
VLOOKUP"&amp;"(H9704,IMPORTRANGE(""https://docs.google.com/spreadsheets/d/14Bd19lYaqBhU8_DElYkX7l4wRkHqqCUFNJY4AfY3kHU/edit?usp=sharing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3" s="7" t="s">
        <v>29</v>
      </c>
    </row>
    <row r="9704" spans="1:10" ht="13.2">
      <c r="A9704" s="7">
        <v>9703</v>
      </c>
      <c r="B9704" s="7">
        <v>1</v>
      </c>
      <c r="C9704" s="7" t="s">
        <v>10</v>
      </c>
      <c r="D9704" s="7">
        <v>11535</v>
      </c>
      <c r="E9704" s="7" t="s">
        <v>28</v>
      </c>
      <c r="F9704" s="8" t="str">
        <f ca="1">IFERROR(__xludf.DUMMYFUNCTION("IF
(
C9705=""фізична особа""
,
VLOOKUP(D9705,IMPORTRANGE(""https://docs.google.com/spreadsheets/d/14Bd19lYaqBhU8_DElYkX7l4wRkHqqCUFNJY4AfY3kHU/edit?usp=sharing  #gid=0"",""фіз особи new!relations_name""),6,FALSE)
,
(IF
(
C9705=""юридична особа""
,
VLOOKUP"&amp;"(D9705,IMPORTRANGE(""https://docs.google.com/spreadsheets/d/14Bd19lYaqBhU8_DElYkX7l4wRkHqqCUFNJY4AfY3kHU/edit?usp=sharing  #gid=0"",""фіз особи new!relations_name_uo""),7,FALSE)
,
)
))"),"МУНАЄВ Адам Ібрагімович")</f>
        <v>МУНАЄВ Адам Ібрагімович</v>
      </c>
      <c r="G9704" s="7" t="s">
        <v>10</v>
      </c>
      <c r="H9704" s="7">
        <v>3009</v>
      </c>
      <c r="I9704" s="8" t="str">
        <f ca="1">IFERROR(__xludf.DUMMYFUNCTION("IF
(
G9705=""фізична особа""
,
VLOOKUP(H9705,IMPORTRANGE(""https://docs.google.com/spreadsheets/d/14Bd19lYaqBhU8_DElYkX7l4wRkHqqCUFNJY4AfY3kHU/edit?usp=sharing  #gid=0"",""фіз особи new!relations_name""),6,FALSE)
,
(IF
(
G9705=""юридична особа""
,
VLOOKUP"&amp;"(H9705,IMPORTRANGE(""https://docs.google.com/spreadsheets/d/14Bd19lYaqBhU8_DElYkX7l4wRkHqqCUFNJY4AfY3kHU/edit?usp=sharing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4" s="7" t="s">
        <v>29</v>
      </c>
    </row>
    <row r="9705" spans="1:10" ht="13.2">
      <c r="A9705" s="7">
        <v>9704</v>
      </c>
      <c r="B9705" s="7">
        <v>1</v>
      </c>
      <c r="C9705" s="7" t="s">
        <v>10</v>
      </c>
      <c r="D9705" s="7">
        <v>11536</v>
      </c>
      <c r="E9705" s="7" t="s">
        <v>28</v>
      </c>
      <c r="F9705" s="8" t="str">
        <f ca="1">IFERROR(__xludf.DUMMYFUNCTION("IF
(
C9706=""фізична особа""
,
VLOOKUP(D9706,IMPORTRANGE(""https://docs.google.com/spreadsheets/d/14Bd19lYaqBhU8_DElYkX7l4wRkHqqCUFNJY4AfY3kHU/edit?usp=sharing  #gid=0"",""фіз особи new!relations_name""),6,FALSE)
,
(IF
(
C9706=""юридична особа""
,
VLOOKUP"&amp;"(D9706,IMPORTRANGE(""https://docs.google.com/spreadsheets/d/14Bd19lYaqBhU8_DElYkX7l4wRkHqqCUFNJY4AfY3kHU/edit?usp=sharing  #gid=0"",""фіз особи new!relations_name_uo""),7,FALSE)
,
)
))"),"МАГОМЕДОВ Шаміль Хаджалович")</f>
        <v>МАГОМЕДОВ Шаміль Хаджалович</v>
      </c>
      <c r="G9705" s="7" t="s">
        <v>10</v>
      </c>
      <c r="H9705" s="7">
        <v>3009</v>
      </c>
      <c r="I9705" s="8" t="str">
        <f ca="1">IFERROR(__xludf.DUMMYFUNCTION("IF
(
G9706=""фізична особа""
,
VLOOKUP(H9706,IMPORTRANGE(""https://docs.google.com/spreadsheets/d/14Bd19lYaqBhU8_DElYkX7l4wRkHqqCUFNJY4AfY3kHU/edit?usp=sharing  #gid=0"",""фіз особи new!relations_name""),6,FALSE)
,
(IF
(
G9706=""юридична особа""
,
VLOOKUP"&amp;"(H9706,IMPORTRANGE(""https://docs.google.com/spreadsheets/d/14Bd19lYaqBhU8_DElYkX7l4wRkHqqCUFNJY4AfY3kHU/edit?usp=sharing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5" s="7" t="s">
        <v>29</v>
      </c>
    </row>
    <row r="9706" spans="1:10" ht="13.2">
      <c r="A9706" s="7">
        <v>9705</v>
      </c>
      <c r="B9706" s="7">
        <v>1</v>
      </c>
      <c r="C9706" s="7" t="s">
        <v>10</v>
      </c>
      <c r="D9706" s="7">
        <v>11537</v>
      </c>
      <c r="E9706" s="7" t="s">
        <v>28</v>
      </c>
      <c r="F9706" s="8" t="str">
        <f ca="1">IFERROR(__xludf.DUMMYFUNCTION("IF
(
C9707=""фізична особа""
,
VLOOKUP(D9707,IMPORTRANGE(""https://docs.google.com/spreadsheets/d/14Bd19lYaqBhU8_DElYkX7l4wRkHqqCUFNJY4AfY3kHU/edit?usp=sharing  #gid=0"",""фіз особи new!relations_name""),6,FALSE)
,
(IF
(
C9707=""юридична особа""
,
VLOOKUP"&amp;"(D9707,IMPORTRANGE(""https://docs.google.com/spreadsheets/d/14Bd19lYaqBhU8_DElYkX7l4wRkHqqCUFNJY4AfY3kHU/edit?usp=sharing  #gid=0"",""фіз особи new!relations_name_uo""),7,FALSE)
,
)
))"),"КОЛОЄВ Аслан Магомедович")</f>
        <v>КОЛОЄВ Аслан Магомедович</v>
      </c>
      <c r="G9706" s="7" t="s">
        <v>10</v>
      </c>
      <c r="H9706" s="7">
        <v>3009</v>
      </c>
      <c r="I9706" s="8" t="str">
        <f ca="1">IFERROR(__xludf.DUMMYFUNCTION("IF
(
G9707=""фізична особа""
,
VLOOKUP(H9707,IMPORTRANGE(""https://docs.google.com/spreadsheets/d/14Bd19lYaqBhU8_DElYkX7l4wRkHqqCUFNJY4AfY3kHU/edit?usp=sharing  #gid=0"",""фіз особи new!relations_name""),6,FALSE)
,
(IF
(
G9707=""юридична особа""
,
VLOOKUP"&amp;"(H9707,IMPORTRANGE(""https://docs.google.com/spreadsheets/d/14Bd19lYaqBhU8_DElYkX7l4wRkHqqCUFNJY4AfY3kHU/edit?usp=sharing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6" s="7" t="s">
        <v>29</v>
      </c>
    </row>
    <row r="9707" spans="1:10" ht="13.2">
      <c r="A9707" s="7">
        <v>9706</v>
      </c>
      <c r="B9707" s="7">
        <v>1</v>
      </c>
      <c r="C9707" s="7" t="s">
        <v>10</v>
      </c>
      <c r="D9707" s="7">
        <v>11538</v>
      </c>
      <c r="E9707" s="7" t="s">
        <v>28</v>
      </c>
      <c r="F9707" s="8" t="str">
        <f ca="1">IFERROR(__xludf.DUMMYFUNCTION("IF
(
C9708=""фізична особа""
,
VLOOKUP(D9708,IMPORTRANGE(""https://docs.google.com/spreadsheets/d/14Bd19lYaqBhU8_DElYkX7l4wRkHqqCUFNJY4AfY3kHU/edit?usp=sharing  #gid=0"",""фіз особи new!relations_name""),6,FALSE)
,
(IF
(
C9708=""юридична особа""
,
VLOOKUP"&amp;"(D9708,IMPORTRANGE(""https://docs.google.com/spreadsheets/d/14Bd19lYaqBhU8_DElYkX7l4wRkHqqCUFNJY4AfY3kHU/edit?usp=sharing  #gid=0"",""фіз особи new!relations_name_uo""),7,FALSE)
,
)
))"),"ДОЄВ Таймураз Петрович")</f>
        <v>ДОЄВ Таймураз Петрович</v>
      </c>
      <c r="G9707" s="7" t="s">
        <v>10</v>
      </c>
      <c r="H9707" s="7">
        <v>3009</v>
      </c>
      <c r="I9707" s="8" t="str">
        <f ca="1">IFERROR(__xludf.DUMMYFUNCTION("IF
(
G9708=""фізична особа""
,
VLOOKUP(H9708,IMPORTRANGE(""https://docs.google.com/spreadsheets/d/14Bd19lYaqBhU8_DElYkX7l4wRkHqqCUFNJY4AfY3kHU/edit?usp=sharing  #gid=0"",""фіз особи new!relations_name""),6,FALSE)
,
(IF
(
G9708=""юридична особа""
,
VLOOKUP"&amp;"(H9708,IMPORTRANGE(""https://docs.google.com/spreadsheets/d/14Bd19lYaqBhU8_DElYkX7l4wRkHqqCUFNJY4AfY3kHU/edit?usp=sharing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7" s="7" t="s">
        <v>29</v>
      </c>
    </row>
    <row r="9708" spans="1:10" ht="13.2">
      <c r="A9708" s="7">
        <v>9707</v>
      </c>
      <c r="B9708" s="7">
        <v>1</v>
      </c>
      <c r="C9708" s="7" t="s">
        <v>10</v>
      </c>
      <c r="D9708" s="7">
        <v>11539</v>
      </c>
      <c r="E9708" s="7" t="s">
        <v>28</v>
      </c>
      <c r="F9708" s="8" t="str">
        <f ca="1">IFERROR(__xludf.DUMMYFUNCTION("IF
(
C9709=""фізична особа""
,
VLOOKUP(D9709,IMPORTRANGE(""https://docs.google.com/spreadsheets/d/14Bd19lYaqBhU8_DElYkX7l4wRkHqqCUFNJY4AfY3kHU/edit?usp=sharing  #gid=0"",""фіз особи new!relations_name""),6,FALSE)
,
(IF
(
C9709=""юридична особа""
,
VLOOKUP"&amp;"(D9709,IMPORTRANGE(""https://docs.google.com/spreadsheets/d/14Bd19lYaqBhU8_DElYkX7l4wRkHqqCUFNJY4AfY3kHU/edit?usp=sharing  #gid=0"",""фіз особи new!relations_name_uo""),7,FALSE)
,
)
))"),"АЛЬХІМОВИЧ Наталія Анатоліївна")</f>
        <v>АЛЬХІМОВИЧ Наталія Анатоліївна</v>
      </c>
      <c r="G9708" s="7" t="s">
        <v>10</v>
      </c>
      <c r="H9708" s="7">
        <v>3009</v>
      </c>
      <c r="I9708" s="8" t="str">
        <f ca="1">IFERROR(__xludf.DUMMYFUNCTION("IF
(
G9709=""фізична особа""
,
VLOOKUP(H9709,IMPORTRANGE(""https://docs.google.com/spreadsheets/d/14Bd19lYaqBhU8_DElYkX7l4wRkHqqCUFNJY4AfY3kHU/edit?usp=sharing  #gid=0"",""фіз особи new!relations_name""),6,FALSE)
,
(IF
(
G9709=""юридична особа""
,
VLOOKUP"&amp;"(H9709,IMPORTRANGE(""https://docs.google.com/spreadsheets/d/14Bd19lYaqBhU8_DElYkX7l4wRkHqqCUFNJY4AfY3kHU/edit?usp=sharing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8" s="7" t="s">
        <v>29</v>
      </c>
    </row>
    <row r="9709" spans="1:10" ht="13.2">
      <c r="A9709" s="7">
        <v>9708</v>
      </c>
      <c r="B9709" s="7">
        <v>1</v>
      </c>
      <c r="C9709" s="7" t="s">
        <v>10</v>
      </c>
      <c r="D9709" s="7">
        <v>11540</v>
      </c>
      <c r="E9709" s="7" t="s">
        <v>28</v>
      </c>
      <c r="F9709" s="8" t="str">
        <f ca="1">IFERROR(__xludf.DUMMYFUNCTION("IF
(
C9710=""фізична особа""
,
VLOOKUP(D9710,IMPORTRANGE(""https://docs.google.com/spreadsheets/d/14Bd19lYaqBhU8_DElYkX7l4wRkHqqCUFNJY4AfY3kHU/edit?usp=sharing  #gid=0"",""фіз особи new!relations_name""),6,FALSE)
,
(IF
(
C9710=""юридична особа""
,
VLOOKUP"&amp;"(D9710,IMPORTRANGE(""https://docs.google.com/spreadsheets/d/14Bd19lYaqBhU8_DElYkX7l4wRkHqqCUFNJY4AfY3kHU/edit?usp=sharing  #gid=0"",""фіз особи new!relations_name_uo""),7,FALSE)
,
)
))"),"СЕКНІН Олександр Леонтійович")</f>
        <v>СЕКНІН Олександр Леонтійович</v>
      </c>
      <c r="G9709" s="7" t="s">
        <v>10</v>
      </c>
      <c r="H9709" s="7">
        <v>3009</v>
      </c>
      <c r="I9709" s="8" t="str">
        <f ca="1">IFERROR(__xludf.DUMMYFUNCTION("IF
(
G9710=""фізична особа""
,
VLOOKUP(H9710,IMPORTRANGE(""https://docs.google.com/spreadsheets/d/14Bd19lYaqBhU8_DElYkX7l4wRkHqqCUFNJY4AfY3kHU/edit?usp=sharing  #gid=0"",""фіз особи new!relations_name""),6,FALSE)
,
(IF
(
G9710=""юридична особа""
,
VLOOKUP"&amp;"(H9710,IMPORTRANGE(""https://docs.google.com/spreadsheets/d/14Bd19lYaqBhU8_DElYkX7l4wRkHqqCUFNJY4AfY3kHU/edit?usp=sharing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09" s="7" t="s">
        <v>29</v>
      </c>
    </row>
    <row r="9710" spans="1:10" ht="13.2">
      <c r="A9710" s="7">
        <v>9709</v>
      </c>
      <c r="B9710" s="7">
        <v>1</v>
      </c>
      <c r="C9710" s="7" t="s">
        <v>10</v>
      </c>
      <c r="D9710" s="7">
        <v>11541</v>
      </c>
      <c r="E9710" s="7" t="s">
        <v>28</v>
      </c>
      <c r="F9710" s="8" t="str">
        <f ca="1">IFERROR(__xludf.DUMMYFUNCTION("IF
(
C9711=""фізична особа""
,
VLOOKUP(D9711,IMPORTRANGE(""https://docs.google.com/spreadsheets/d/14Bd19lYaqBhU8_DElYkX7l4wRkHqqCUFNJY4AfY3kHU/edit?usp=sharing  #gid=0"",""фіз особи new!relations_name""),6,FALSE)
,
(IF
(
C9711=""юридична особа""
,
VLOOKUP"&amp;"(D9711,IMPORTRANGE(""https://docs.google.com/spreadsheets/d/14Bd19lYaqBhU8_DElYkX7l4wRkHqqCUFNJY4AfY3kHU/edit?usp=sharing  #gid=0"",""фіз особи new!relations_name_uo""),7,FALSE)
,
)
))"),"РАЗІНОВ Борис Миколайович")</f>
        <v>РАЗІНОВ Борис Миколайович</v>
      </c>
      <c r="G9710" s="7" t="s">
        <v>10</v>
      </c>
      <c r="H9710" s="7">
        <v>3009</v>
      </c>
      <c r="I9710" s="8" t="str">
        <f ca="1">IFERROR(__xludf.DUMMYFUNCTION("IF
(
G9711=""фізична особа""
,
VLOOKUP(H9711,IMPORTRANGE(""https://docs.google.com/spreadsheets/d/14Bd19lYaqBhU8_DElYkX7l4wRkHqqCUFNJY4AfY3kHU/edit?usp=sharing  #gid=0"",""фіз особи new!relations_name""),6,FALSE)
,
(IF
(
G9711=""юридична особа""
,
VLOOKUP"&amp;"(H9711,IMPORTRANGE(""https://docs.google.com/spreadsheets/d/14Bd19lYaqBhU8_DElYkX7l4wRkHqqCUFNJY4AfY3kHU/edit?usp=sharing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0" s="7" t="s">
        <v>29</v>
      </c>
    </row>
    <row r="9711" spans="1:10" ht="13.2">
      <c r="A9711" s="7">
        <v>9710</v>
      </c>
      <c r="B9711" s="7">
        <v>1</v>
      </c>
      <c r="C9711" s="7" t="s">
        <v>10</v>
      </c>
      <c r="D9711" s="7">
        <v>11542</v>
      </c>
      <c r="E9711" s="7" t="s">
        <v>28</v>
      </c>
      <c r="F9711" s="8" t="str">
        <f ca="1">IFERROR(__xludf.DUMMYFUNCTION("IF
(
C9712=""фізична особа""
,
VLOOKUP(D9712,IMPORTRANGE(""https://docs.google.com/spreadsheets/d/14Bd19lYaqBhU8_DElYkX7l4wRkHqqCUFNJY4AfY3kHU/edit?usp=sharing  #gid=0"",""фіз особи new!relations_name""),6,FALSE)
,
(IF
(
C9712=""юридична особа""
,
VLOOKUP"&amp;"(D9712,IMPORTRANGE(""https://docs.google.com/spreadsheets/d/14Bd19lYaqBhU8_DElYkX7l4wRkHqqCUFNJY4AfY3kHU/edit?usp=sharing  #gid=0"",""фіз особи new!relations_name_uo""),7,FALSE)
,
)
))"),"ЮШКОВ Олексій Анатолійович")</f>
        <v>ЮШКОВ Олексій Анатолійович</v>
      </c>
      <c r="G9711" s="7" t="s">
        <v>10</v>
      </c>
      <c r="H9711" s="7">
        <v>3009</v>
      </c>
      <c r="I9711" s="8" t="str">
        <f ca="1">IFERROR(__xludf.DUMMYFUNCTION("IF
(
G9712=""фізична особа""
,
VLOOKUP(H9712,IMPORTRANGE(""https://docs.google.com/spreadsheets/d/14Bd19lYaqBhU8_DElYkX7l4wRkHqqCUFNJY4AfY3kHU/edit?usp=sharing  #gid=0"",""фіз особи new!relations_name""),6,FALSE)
,
(IF
(
G9712=""юридична особа""
,
VLOOKUP"&amp;"(H9712,IMPORTRANGE(""https://docs.google.com/spreadsheets/d/14Bd19lYaqBhU8_DElYkX7l4wRkHqqCUFNJY4AfY3kHU/edit?usp=sharing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1" s="7" t="s">
        <v>29</v>
      </c>
    </row>
    <row r="9712" spans="1:10" ht="13.2">
      <c r="A9712" s="7">
        <v>9711</v>
      </c>
      <c r="B9712" s="7">
        <v>1</v>
      </c>
      <c r="C9712" s="7" t="s">
        <v>10</v>
      </c>
      <c r="D9712" s="7">
        <v>11543</v>
      </c>
      <c r="E9712" s="7" t="s">
        <v>28</v>
      </c>
      <c r="F9712" s="8" t="str">
        <f ca="1">IFERROR(__xludf.DUMMYFUNCTION("IF
(
C9713=""фізична особа""
,
VLOOKUP(D9713,IMPORTRANGE(""https://docs.google.com/spreadsheets/d/14Bd19lYaqBhU8_DElYkX7l4wRkHqqCUFNJY4AfY3kHU/edit?usp=sharing  #gid=0"",""фіз особи new!relations_name""),6,FALSE)
,
(IF
(
C9713=""юридична особа""
,
VLOOKUP"&amp;"(D9713,IMPORTRANGE(""https://docs.google.com/spreadsheets/d/14Bd19lYaqBhU8_DElYkX7l4wRkHqqCUFNJY4AfY3kHU/edit?usp=sharing  #gid=0"",""фіз особи new!relations_name_uo""),7,FALSE)
,
)
))"),"КУНГУРОВ Сергій Андрійович")</f>
        <v>КУНГУРОВ Сергій Андрійович</v>
      </c>
      <c r="G9712" s="7" t="s">
        <v>10</v>
      </c>
      <c r="H9712" s="7">
        <v>3009</v>
      </c>
      <c r="I9712" s="8" t="str">
        <f ca="1">IFERROR(__xludf.DUMMYFUNCTION("IF
(
G9713=""фізична особа""
,
VLOOKUP(H9713,IMPORTRANGE(""https://docs.google.com/spreadsheets/d/14Bd19lYaqBhU8_DElYkX7l4wRkHqqCUFNJY4AfY3kHU/edit?usp=sharing  #gid=0"",""фіз особи new!relations_name""),6,FALSE)
,
(IF
(
G9713=""юридична особа""
,
VLOOKUP"&amp;"(H9713,IMPORTRANGE(""https://docs.google.com/spreadsheets/d/14Bd19lYaqBhU8_DElYkX7l4wRkHqqCUFNJY4AfY3kHU/edit?usp=sharing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2" s="7" t="s">
        <v>29</v>
      </c>
    </row>
    <row r="9713" spans="1:10" ht="13.2">
      <c r="A9713" s="7">
        <v>9712</v>
      </c>
      <c r="B9713" s="7">
        <v>1</v>
      </c>
      <c r="C9713" s="7" t="s">
        <v>10</v>
      </c>
      <c r="D9713" s="7">
        <v>11544</v>
      </c>
      <c r="E9713" s="7" t="s">
        <v>28</v>
      </c>
      <c r="F9713" s="8" t="str">
        <f ca="1">IFERROR(__xludf.DUMMYFUNCTION("IF
(
C9714=""фізична особа""
,
VLOOKUP(D9714,IMPORTRANGE(""https://docs.google.com/spreadsheets/d/14Bd19lYaqBhU8_DElYkX7l4wRkHqqCUFNJY4AfY3kHU/edit?usp=sharing  #gid=0"",""фіз особи new!relations_name""),6,FALSE)
,
(IF
(
C9714=""юридична особа""
,
VLOOKUP"&amp;"(D9714,IMPORTRANGE(""https://docs.google.com/spreadsheets/d/14Bd19lYaqBhU8_DElYkX7l4wRkHqqCUFNJY4AfY3kHU/edit?usp=sharing  #gid=0"",""фіз особи new!relations_name_uo""),7,FALSE)
,
)
))"),"ГРИГОР'ЄВ Андрій Олегович")</f>
        <v>ГРИГОР'ЄВ Андрій Олегович</v>
      </c>
      <c r="G9713" s="7" t="s">
        <v>10</v>
      </c>
      <c r="H9713" s="7">
        <v>3009</v>
      </c>
      <c r="I9713" s="8" t="str">
        <f ca="1">IFERROR(__xludf.DUMMYFUNCTION("IF
(
G9714=""фізична особа""
,
VLOOKUP(H9714,IMPORTRANGE(""https://docs.google.com/spreadsheets/d/14Bd19lYaqBhU8_DElYkX7l4wRkHqqCUFNJY4AfY3kHU/edit?usp=sharing  #gid=0"",""фіз особи new!relations_name""),6,FALSE)
,
(IF
(
G9714=""юридична особа""
,
VLOOKUP"&amp;"(H9714,IMPORTRANGE(""https://docs.google.com/spreadsheets/d/14Bd19lYaqBhU8_DElYkX7l4wRkHqqCUFNJY4AfY3kHU/edit?usp=sharing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3" s="7" t="s">
        <v>29</v>
      </c>
    </row>
    <row r="9714" spans="1:10" ht="13.2">
      <c r="A9714" s="7">
        <v>9713</v>
      </c>
      <c r="B9714" s="7">
        <v>1</v>
      </c>
      <c r="C9714" s="7" t="s">
        <v>10</v>
      </c>
      <c r="D9714" s="7">
        <v>11545</v>
      </c>
      <c r="E9714" s="7" t="s">
        <v>28</v>
      </c>
      <c r="F9714" s="8" t="str">
        <f ca="1">IFERROR(__xludf.DUMMYFUNCTION("IF
(
C9715=""фізична особа""
,
VLOOKUP(D9715,IMPORTRANGE(""https://docs.google.com/spreadsheets/d/14Bd19lYaqBhU8_DElYkX7l4wRkHqqCUFNJY4AfY3kHU/edit?usp=sharing  #gid=0"",""фіз особи new!relations_name""),6,FALSE)
,
(IF
(
C9715=""юридична особа""
,
VLOOKUP"&amp;"(D9715,IMPORTRANGE(""https://docs.google.com/spreadsheets/d/14Bd19lYaqBhU8_DElYkX7l4wRkHqqCUFNJY4AfY3kHU/edit?usp=sharing  #gid=0"",""фіз особи new!relations_name_uo""),7,FALSE)
,
)
))"),"КАПЛІНА Наталія Дмитрівна")</f>
        <v>КАПЛІНА Наталія Дмитрівна</v>
      </c>
      <c r="G9714" s="7" t="s">
        <v>10</v>
      </c>
      <c r="H9714" s="7">
        <v>3009</v>
      </c>
      <c r="I9714" s="8" t="str">
        <f ca="1">IFERROR(__xludf.DUMMYFUNCTION("IF
(
G9715=""фізична особа""
,
VLOOKUP(H9715,IMPORTRANGE(""https://docs.google.com/spreadsheets/d/14Bd19lYaqBhU8_DElYkX7l4wRkHqqCUFNJY4AfY3kHU/edit?usp=sharing  #gid=0"",""фіз особи new!relations_name""),6,FALSE)
,
(IF
(
G9715=""юридична особа""
,
VLOOKUP"&amp;"(H9715,IMPORTRANGE(""https://docs.google.com/spreadsheets/d/14Bd19lYaqBhU8_DElYkX7l4wRkHqqCUFNJY4AfY3kHU/edit?usp=sharing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4" s="7" t="s">
        <v>29</v>
      </c>
    </row>
    <row r="9715" spans="1:10" ht="13.2">
      <c r="A9715" s="7">
        <v>9714</v>
      </c>
      <c r="B9715" s="7">
        <v>1</v>
      </c>
      <c r="C9715" s="7" t="s">
        <v>10</v>
      </c>
      <c r="D9715" s="7">
        <v>11546</v>
      </c>
      <c r="E9715" s="7" t="s">
        <v>28</v>
      </c>
      <c r="F9715" s="8" t="str">
        <f ca="1">IFERROR(__xludf.DUMMYFUNCTION("IF
(
C9716=""фізична особа""
,
VLOOKUP(D9716,IMPORTRANGE(""https://docs.google.com/spreadsheets/d/14Bd19lYaqBhU8_DElYkX7l4wRkHqqCUFNJY4AfY3kHU/edit?usp=sharing  #gid=0"",""фіз особи new!relations_name""),6,FALSE)
,
(IF
(
C9716=""юридична особа""
,
VLOOKUP"&amp;"(D9716,IMPORTRANGE(""https://docs.google.com/spreadsheets/d/14Bd19lYaqBhU8_DElYkX7l4wRkHqqCUFNJY4AfY3kHU/edit?usp=sharing  #gid=0"",""фіз особи new!relations_name_uo""),7,FALSE)
,
)
))"),"ЧЕЧЕТІНА Наталія Ігорівна")</f>
        <v>ЧЕЧЕТІНА Наталія Ігорівна</v>
      </c>
      <c r="G9715" s="7" t="s">
        <v>10</v>
      </c>
      <c r="H9715" s="7">
        <v>3009</v>
      </c>
      <c r="I9715" s="8" t="str">
        <f ca="1">IFERROR(__xludf.DUMMYFUNCTION("IF
(
G9716=""фізична особа""
,
VLOOKUP(H9716,IMPORTRANGE(""https://docs.google.com/spreadsheets/d/14Bd19lYaqBhU8_DElYkX7l4wRkHqqCUFNJY4AfY3kHU/edit?usp=sharing  #gid=0"",""фіз особи new!relations_name""),6,FALSE)
,
(IF
(
G9716=""юридична особа""
,
VLOOKUP"&amp;"(H9716,IMPORTRANGE(""https://docs.google.com/spreadsheets/d/14Bd19lYaqBhU8_DElYkX7l4wRkHqqCUFNJY4AfY3kHU/edit?usp=sharing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5" s="7" t="s">
        <v>29</v>
      </c>
    </row>
    <row r="9716" spans="1:10" ht="13.2">
      <c r="A9716" s="7">
        <v>9715</v>
      </c>
      <c r="B9716" s="7">
        <v>1</v>
      </c>
      <c r="C9716" s="7" t="s">
        <v>10</v>
      </c>
      <c r="D9716" s="7">
        <v>11547</v>
      </c>
      <c r="E9716" s="7" t="s">
        <v>28</v>
      </c>
      <c r="F9716" s="8" t="str">
        <f ca="1">IFERROR(__xludf.DUMMYFUNCTION("IF
(
C9717=""фізична особа""
,
VLOOKUP(D9717,IMPORTRANGE(""https://docs.google.com/spreadsheets/d/14Bd19lYaqBhU8_DElYkX7l4wRkHqqCUFNJY4AfY3kHU/edit?usp=sharing  #gid=0"",""фіз особи new!relations_name""),6,FALSE)
,
(IF
(
C9717=""юридична особа""
,
VLOOKUP"&amp;"(D9717,IMPORTRANGE(""https://docs.google.com/spreadsheets/d/14Bd19lYaqBhU8_DElYkX7l4wRkHqqCUFNJY4AfY3kHU/edit?usp=sharing  #gid=0"",""фіз особи new!relations_name_uo""),7,FALSE)
,
)
))"),"МИХАЙЛОВА Наталія Олександрівна")</f>
        <v>МИХАЙЛОВА Наталія Олександрівна</v>
      </c>
      <c r="G9716" s="7" t="s">
        <v>10</v>
      </c>
      <c r="H9716" s="7">
        <v>3009</v>
      </c>
      <c r="I9716" s="8" t="str">
        <f ca="1">IFERROR(__xludf.DUMMYFUNCTION("IF
(
G9717=""фізична особа""
,
VLOOKUP(H9717,IMPORTRANGE(""https://docs.google.com/spreadsheets/d/14Bd19lYaqBhU8_DElYkX7l4wRkHqqCUFNJY4AfY3kHU/edit?usp=sharing  #gid=0"",""фіз особи new!relations_name""),6,FALSE)
,
(IF
(
G9717=""юридична особа""
,
VLOOKUP"&amp;"(H9717,IMPORTRANGE(""https://docs.google.com/spreadsheets/d/14Bd19lYaqBhU8_DElYkX7l4wRkHqqCUFNJY4AfY3kHU/edit?usp=sharing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6" s="7" t="s">
        <v>29</v>
      </c>
    </row>
    <row r="9717" spans="1:10" ht="13.2">
      <c r="A9717" s="7">
        <v>9716</v>
      </c>
      <c r="B9717" s="7">
        <v>1</v>
      </c>
      <c r="C9717" s="7" t="s">
        <v>10</v>
      </c>
      <c r="D9717" s="7">
        <v>11548</v>
      </c>
      <c r="E9717" s="7" t="s">
        <v>28</v>
      </c>
      <c r="F9717" s="8" t="str">
        <f ca="1">IFERROR(__xludf.DUMMYFUNCTION("IF
(
C9718=""фізична особа""
,
VLOOKUP(D9718,IMPORTRANGE(""https://docs.google.com/spreadsheets/d/14Bd19lYaqBhU8_DElYkX7l4wRkHqqCUFNJY4AfY3kHU/edit?usp=sharing  #gid=0"",""фіз особи new!relations_name""),6,FALSE)
,
(IF
(
C9718=""юридична особа""
,
VLOOKUP"&amp;"(D9718,IMPORTRANGE(""https://docs.google.com/spreadsheets/d/14Bd19lYaqBhU8_DElYkX7l4wRkHqqCUFNJY4AfY3kHU/edit?usp=sharing  #gid=0"",""фіз особи new!relations_name_uo""),7,FALSE)
,
)
))"),"ЧУЙЧЕНКО Роман Юрійович")</f>
        <v>ЧУЙЧЕНКО Роман Юрійович</v>
      </c>
      <c r="G9717" s="7" t="s">
        <v>10</v>
      </c>
      <c r="H9717" s="7">
        <v>3009</v>
      </c>
      <c r="I9717" s="8" t="str">
        <f ca="1">IFERROR(__xludf.DUMMYFUNCTION("IF
(
G9718=""фізична особа""
,
VLOOKUP(H9718,IMPORTRANGE(""https://docs.google.com/spreadsheets/d/14Bd19lYaqBhU8_DElYkX7l4wRkHqqCUFNJY4AfY3kHU/edit?usp=sharing  #gid=0"",""фіз особи new!relations_name""),6,FALSE)
,
(IF
(
G9718=""юридична особа""
,
VLOOKUP"&amp;"(H9718,IMPORTRANGE(""https://docs.google.com/spreadsheets/d/14Bd19lYaqBhU8_DElYkX7l4wRkHqqCUFNJY4AfY3kHU/edit?usp=sharing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7" s="7" t="s">
        <v>29</v>
      </c>
    </row>
    <row r="9718" spans="1:10" ht="13.2">
      <c r="A9718" s="7">
        <v>9717</v>
      </c>
      <c r="B9718" s="7">
        <v>1</v>
      </c>
      <c r="C9718" s="7" t="s">
        <v>10</v>
      </c>
      <c r="D9718" s="7">
        <v>11549</v>
      </c>
      <c r="E9718" s="7" t="s">
        <v>28</v>
      </c>
      <c r="F9718" s="8" t="str">
        <f ca="1">IFERROR(__xludf.DUMMYFUNCTION("IF
(
C9719=""фізична особа""
,
VLOOKUP(D9719,IMPORTRANGE(""https://docs.google.com/spreadsheets/d/14Bd19lYaqBhU8_DElYkX7l4wRkHqqCUFNJY4AfY3kHU/edit?usp=sharing  #gid=0"",""фіз особи new!relations_name""),6,FALSE)
,
(IF
(
C9719=""юридична особа""
,
VLOOKUP"&amp;"(D9719,IMPORTRANGE(""https://docs.google.com/spreadsheets/d/14Bd19lYaqBhU8_DElYkX7l4wRkHqqCUFNJY4AfY3kHU/edit?usp=sharing  #gid=0"",""фіз особи new!relations_name_uo""),7,FALSE)
,
)
))"),"БАГНЕНКО Ігор Валерійович")</f>
        <v>БАГНЕНКО Ігор Валерійович</v>
      </c>
      <c r="G9718" s="7" t="s">
        <v>10</v>
      </c>
      <c r="H9718" s="7">
        <v>3009</v>
      </c>
      <c r="I9718" s="8" t="str">
        <f ca="1">IFERROR(__xludf.DUMMYFUNCTION("IF
(
G9719=""фізична особа""
,
VLOOKUP(H9719,IMPORTRANGE(""https://docs.google.com/spreadsheets/d/14Bd19lYaqBhU8_DElYkX7l4wRkHqqCUFNJY4AfY3kHU/edit?usp=sharing  #gid=0"",""фіз особи new!relations_name""),6,FALSE)
,
(IF
(
G9719=""юридична особа""
,
VLOOKUP"&amp;"(H9719,IMPORTRANGE(""https://docs.google.com/spreadsheets/d/14Bd19lYaqBhU8_DElYkX7l4wRkHqqCUFNJY4AfY3kHU/edit?usp=sharing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8" s="7" t="s">
        <v>29</v>
      </c>
    </row>
    <row r="9719" spans="1:10" ht="13.2">
      <c r="A9719" s="7">
        <v>9718</v>
      </c>
      <c r="B9719" s="7">
        <v>1</v>
      </c>
      <c r="C9719" s="7" t="s">
        <v>10</v>
      </c>
      <c r="D9719" s="7">
        <v>11550</v>
      </c>
      <c r="E9719" s="7" t="s">
        <v>28</v>
      </c>
      <c r="F9719" s="8" t="str">
        <f ca="1">IFERROR(__xludf.DUMMYFUNCTION("IF
(
C9720=""фізична особа""
,
VLOOKUP(D9720,IMPORTRANGE(""https://docs.google.com/spreadsheets/d/14Bd19lYaqBhU8_DElYkX7l4wRkHqqCUFNJY4AfY3kHU/edit?usp=sharing  #gid=0"",""фіз особи new!relations_name""),6,FALSE)
,
(IF
(
C9720=""юридична особа""
,
VLOOKUP"&amp;"(D9720,IMPORTRANGE(""https://docs.google.com/spreadsheets/d/14Bd19lYaqBhU8_DElYkX7l4wRkHqqCUFNJY4AfY3kHU/edit?usp=sharing  #gid=0"",""фіз особи new!relations_name_uo""),7,FALSE)
,
)
))"),"ЄРМАКОВ Олександр Олександрович")</f>
        <v>ЄРМАКОВ Олександр Олександрович</v>
      </c>
      <c r="G9719" s="7" t="s">
        <v>10</v>
      </c>
      <c r="H9719" s="7">
        <v>3009</v>
      </c>
      <c r="I9719" s="8" t="str">
        <f ca="1">IFERROR(__xludf.DUMMYFUNCTION("IF
(
G9720=""фізична особа""
,
VLOOKUP(H9720,IMPORTRANGE(""https://docs.google.com/spreadsheets/d/14Bd19lYaqBhU8_DElYkX7l4wRkHqqCUFNJY4AfY3kHU/edit?usp=sharing  #gid=0"",""фіз особи new!relations_name""),6,FALSE)
,
(IF
(
G9720=""юридична особа""
,
VLOOKUP"&amp;"(H9720,IMPORTRANGE(""https://docs.google.com/spreadsheets/d/14Bd19lYaqBhU8_DElYkX7l4wRkHqqCUFNJY4AfY3kHU/edit?usp=sharing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19" s="7" t="s">
        <v>29</v>
      </c>
    </row>
    <row r="9720" spans="1:10" ht="13.2">
      <c r="A9720" s="7">
        <v>9719</v>
      </c>
      <c r="B9720" s="7">
        <v>1</v>
      </c>
      <c r="C9720" s="7" t="s">
        <v>10</v>
      </c>
      <c r="D9720" s="7">
        <v>11551</v>
      </c>
      <c r="E9720" s="7" t="s">
        <v>28</v>
      </c>
      <c r="F9720" s="8" t="str">
        <f ca="1">IFERROR(__xludf.DUMMYFUNCTION("IF
(
C9721=""фізична особа""
,
VLOOKUP(D9721,IMPORTRANGE(""https://docs.google.com/spreadsheets/d/14Bd19lYaqBhU8_DElYkX7l4wRkHqqCUFNJY4AfY3kHU/edit?usp=sharing  #gid=0"",""фіз особи new!relations_name""),6,FALSE)
,
(IF
(
C9721=""юридична особа""
,
VLOOKUP"&amp;"(D9721,IMPORTRANGE(""https://docs.google.com/spreadsheets/d/14Bd19lYaqBhU8_DElYkX7l4wRkHqqCUFNJY4AfY3kHU/edit?usp=sharing  #gid=0"",""фіз особи new!relations_name_uo""),7,FALSE)
,
)
))"),"ОВЧИННІКОВА Олена Анатоліївна")</f>
        <v>ОВЧИННІКОВА Олена Анатоліївна</v>
      </c>
      <c r="G9720" s="7" t="s">
        <v>10</v>
      </c>
      <c r="H9720" s="7">
        <v>3009</v>
      </c>
      <c r="I9720" s="8" t="str">
        <f ca="1">IFERROR(__xludf.DUMMYFUNCTION("IF
(
G9721=""фізична особа""
,
VLOOKUP(H9721,IMPORTRANGE(""https://docs.google.com/spreadsheets/d/14Bd19lYaqBhU8_DElYkX7l4wRkHqqCUFNJY4AfY3kHU/edit?usp=sharing  #gid=0"",""фіз особи new!relations_name""),6,FALSE)
,
(IF
(
G9721=""юридична особа""
,
VLOOKUP"&amp;"(H9721,IMPORTRANGE(""https://docs.google.com/spreadsheets/d/14Bd19lYaqBhU8_DElYkX7l4wRkHqqCUFNJY4AfY3kHU/edit?usp=sharing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0" s="7" t="s">
        <v>29</v>
      </c>
    </row>
    <row r="9721" spans="1:10" ht="13.2">
      <c r="A9721" s="7">
        <v>9720</v>
      </c>
      <c r="B9721" s="7">
        <v>1</v>
      </c>
      <c r="C9721" s="7" t="s">
        <v>10</v>
      </c>
      <c r="D9721" s="7">
        <v>11552</v>
      </c>
      <c r="E9721" s="7" t="s">
        <v>28</v>
      </c>
      <c r="F9721" s="8" t="str">
        <f ca="1">IFERROR(__xludf.DUMMYFUNCTION("IF
(
C9722=""фізична особа""
,
VLOOKUP(D9722,IMPORTRANGE(""https://docs.google.com/spreadsheets/d/14Bd19lYaqBhU8_DElYkX7l4wRkHqqCUFNJY4AfY3kHU/edit?usp=sharing  #gid=0"",""фіз особи new!relations_name""),6,FALSE)
,
(IF
(
C9722=""юридична особа""
,
VLOOKUP"&amp;"(D9722,IMPORTRANGE(""https://docs.google.com/spreadsheets/d/14Bd19lYaqBhU8_DElYkX7l4wRkHqqCUFNJY4AfY3kHU/edit?usp=sharing  #gid=0"",""фіз особи new!relations_name_uo""),7,FALSE)
,
)
))"),"ШЕВЧЕНКА Оксана Дмитрівна")</f>
        <v>ШЕВЧЕНКА Оксана Дмитрівна</v>
      </c>
      <c r="G9721" s="7" t="s">
        <v>10</v>
      </c>
      <c r="H9721" s="7">
        <v>3009</v>
      </c>
      <c r="I9721" s="8" t="str">
        <f ca="1">IFERROR(__xludf.DUMMYFUNCTION("IF
(
G9722=""фізична особа""
,
VLOOKUP(H9722,IMPORTRANGE(""https://docs.google.com/spreadsheets/d/14Bd19lYaqBhU8_DElYkX7l4wRkHqqCUFNJY4AfY3kHU/edit?usp=sharing  #gid=0"",""фіз особи new!relations_name""),6,FALSE)
,
(IF
(
G9722=""юридична особа""
,
VLOOKUP"&amp;"(H9722,IMPORTRANGE(""https://docs.google.com/spreadsheets/d/14Bd19lYaqBhU8_DElYkX7l4wRkHqqCUFNJY4AfY3kHU/edit?usp=sharing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1" s="7" t="s">
        <v>29</v>
      </c>
    </row>
    <row r="9722" spans="1:10" ht="13.2">
      <c r="A9722" s="7">
        <v>9721</v>
      </c>
      <c r="B9722" s="7">
        <v>1</v>
      </c>
      <c r="C9722" s="7" t="s">
        <v>10</v>
      </c>
      <c r="D9722" s="7">
        <v>11553</v>
      </c>
      <c r="E9722" s="7" t="s">
        <v>28</v>
      </c>
      <c r="F9722" s="8" t="str">
        <f ca="1">IFERROR(__xludf.DUMMYFUNCTION("IF
(
C9723=""фізична особа""
,
VLOOKUP(D9723,IMPORTRANGE(""https://docs.google.com/spreadsheets/d/14Bd19lYaqBhU8_DElYkX7l4wRkHqqCUFNJY4AfY3kHU/edit?usp=sharing  #gid=0"",""фіз особи new!relations_name""),6,FALSE)
,
(IF
(
C9723=""юридична особа""
,
VLOOKUP"&amp;"(D9723,IMPORTRANGE(""https://docs.google.com/spreadsheets/d/14Bd19lYaqBhU8_DElYkX7l4wRkHqqCUFNJY4AfY3kHU/edit?usp=sharing  #gid=0"",""фіз особи new!relations_name_uo""),7,FALSE)
,
)
))"),"ОЛЕНІНА Марина Іванівна")</f>
        <v>ОЛЕНІНА Марина Іванівна</v>
      </c>
      <c r="G9722" s="7" t="s">
        <v>10</v>
      </c>
      <c r="H9722" s="7">
        <v>3009</v>
      </c>
      <c r="I9722" s="8" t="str">
        <f ca="1">IFERROR(__xludf.DUMMYFUNCTION("IF
(
G9723=""фізична особа""
,
VLOOKUP(H9723,IMPORTRANGE(""https://docs.google.com/spreadsheets/d/14Bd19lYaqBhU8_DElYkX7l4wRkHqqCUFNJY4AfY3kHU/edit?usp=sharing  #gid=0"",""фіз особи new!relations_name""),6,FALSE)
,
(IF
(
G9723=""юридична особа""
,
VLOOKUP"&amp;"(H9723,IMPORTRANGE(""https://docs.google.com/spreadsheets/d/14Bd19lYaqBhU8_DElYkX7l4wRkHqqCUFNJY4AfY3kHU/edit?usp=sharing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2" s="7" t="s">
        <v>29</v>
      </c>
    </row>
    <row r="9723" spans="1:10" ht="13.2">
      <c r="A9723" s="7">
        <v>9722</v>
      </c>
      <c r="B9723" s="7">
        <v>1</v>
      </c>
      <c r="C9723" s="7" t="s">
        <v>10</v>
      </c>
      <c r="D9723" s="7">
        <v>11554</v>
      </c>
      <c r="E9723" s="7" t="s">
        <v>28</v>
      </c>
      <c r="F9723" s="8" t="str">
        <f ca="1">IFERROR(__xludf.DUMMYFUNCTION("IF
(
C9724=""фізична особа""
,
VLOOKUP(D9724,IMPORTRANGE(""https://docs.google.com/spreadsheets/d/14Bd19lYaqBhU8_DElYkX7l4wRkHqqCUFNJY4AfY3kHU/edit?usp=sharing  #gid=0"",""фіз особи new!relations_name""),6,FALSE)
,
(IF
(
C9724=""юридична особа""
,
VLOOKUP"&amp;"(D9724,IMPORTRANGE(""https://docs.google.com/spreadsheets/d/14Bd19lYaqBhU8_DElYkX7l4wRkHqqCUFNJY4AfY3kHU/edit?usp=sharing  #gid=0"",""фіз особи new!relations_name_uo""),7,FALSE)
,
)
))"),"ЗІНЕНКО Ігор Олексійович")</f>
        <v>ЗІНЕНКО Ігор Олексійович</v>
      </c>
      <c r="G9723" s="7" t="s">
        <v>10</v>
      </c>
      <c r="H9723" s="7">
        <v>3009</v>
      </c>
      <c r="I9723" s="8" t="str">
        <f ca="1">IFERROR(__xludf.DUMMYFUNCTION("IF
(
G9724=""фізична особа""
,
VLOOKUP(H9724,IMPORTRANGE(""https://docs.google.com/spreadsheets/d/14Bd19lYaqBhU8_DElYkX7l4wRkHqqCUFNJY4AfY3kHU/edit?usp=sharing  #gid=0"",""фіз особи new!relations_name""),6,FALSE)
,
(IF
(
G9724=""юридична особа""
,
VLOOKUP"&amp;"(H9724,IMPORTRANGE(""https://docs.google.com/spreadsheets/d/14Bd19lYaqBhU8_DElYkX7l4wRkHqqCUFNJY4AfY3kHU/edit?usp=sharing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3" s="7" t="s">
        <v>29</v>
      </c>
    </row>
    <row r="9724" spans="1:10" ht="13.2">
      <c r="A9724" s="7">
        <v>9723</v>
      </c>
      <c r="B9724" s="7">
        <v>1</v>
      </c>
      <c r="C9724" s="7" t="s">
        <v>10</v>
      </c>
      <c r="D9724" s="7">
        <v>11555</v>
      </c>
      <c r="E9724" s="7" t="s">
        <v>28</v>
      </c>
      <c r="F9724" s="8" t="str">
        <f ca="1">IFERROR(__xludf.DUMMYFUNCTION("IF
(
C9725=""фізична особа""
,
VLOOKUP(D9725,IMPORTRANGE(""https://docs.google.com/spreadsheets/d/14Bd19lYaqBhU8_DElYkX7l4wRkHqqCUFNJY4AfY3kHU/edit?usp=sharing  #gid=0"",""фіз особи new!relations_name""),6,FALSE)
,
(IF
(
C9725=""юридична особа""
,
VLOOKUP"&amp;"(D9725,IMPORTRANGE(""https://docs.google.com/spreadsheets/d/14Bd19lYaqBhU8_DElYkX7l4wRkHqqCUFNJY4AfY3kHU/edit?usp=sharing  #gid=0"",""фіз особи new!relations_name_uo""),7,FALSE)
,
)
))"),"БУРДЮКОВА Наталія Анатоліївна")</f>
        <v>БУРДЮКОВА Наталія Анатоліївна</v>
      </c>
      <c r="G9724" s="7" t="s">
        <v>10</v>
      </c>
      <c r="H9724" s="7">
        <v>3009</v>
      </c>
      <c r="I9724" s="8" t="str">
        <f ca="1">IFERROR(__xludf.DUMMYFUNCTION("IF
(
G9725=""фізична особа""
,
VLOOKUP(H9725,IMPORTRANGE(""https://docs.google.com/spreadsheets/d/14Bd19lYaqBhU8_DElYkX7l4wRkHqqCUFNJY4AfY3kHU/edit?usp=sharing  #gid=0"",""фіз особи new!relations_name""),6,FALSE)
,
(IF
(
G9725=""юридична особа""
,
VLOOKUP"&amp;"(H9725,IMPORTRANGE(""https://docs.google.com/spreadsheets/d/14Bd19lYaqBhU8_DElYkX7l4wRkHqqCUFNJY4AfY3kHU/edit?usp=sharing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4" s="7" t="s">
        <v>29</v>
      </c>
    </row>
    <row r="9725" spans="1:10" ht="13.2">
      <c r="A9725" s="7">
        <v>9724</v>
      </c>
      <c r="B9725" s="7">
        <v>1</v>
      </c>
      <c r="C9725" s="7" t="s">
        <v>10</v>
      </c>
      <c r="D9725" s="7">
        <v>11556</v>
      </c>
      <c r="E9725" s="7" t="s">
        <v>28</v>
      </c>
      <c r="F9725" s="8" t="str">
        <f ca="1">IFERROR(__xludf.DUMMYFUNCTION("IF
(
C9726=""фізична особа""
,
VLOOKUP(D9726,IMPORTRANGE(""https://docs.google.com/spreadsheets/d/14Bd19lYaqBhU8_DElYkX7l4wRkHqqCUFNJY4AfY3kHU/edit?usp=sharing  #gid=0"",""фіз особи new!relations_name""),6,FALSE)
,
(IF
(
C9726=""юридична особа""
,
VLOOKUP"&amp;"(D9726,IMPORTRANGE(""https://docs.google.com/spreadsheets/d/14Bd19lYaqBhU8_DElYkX7l4wRkHqqCUFNJY4AfY3kHU/edit?usp=sharing  #gid=0"",""фіз особи new!relations_name_uo""),7,FALSE)
,
)
))"),"ІВАНОВ Віктор Семенович")</f>
        <v>ІВАНОВ Віктор Семенович</v>
      </c>
      <c r="G9725" s="7" t="s">
        <v>10</v>
      </c>
      <c r="H9725" s="7">
        <v>3009</v>
      </c>
      <c r="I9725" s="8" t="str">
        <f ca="1">IFERROR(__xludf.DUMMYFUNCTION("IF
(
G9726=""фізична особа""
,
VLOOKUP(H9726,IMPORTRANGE(""https://docs.google.com/spreadsheets/d/14Bd19lYaqBhU8_DElYkX7l4wRkHqqCUFNJY4AfY3kHU/edit?usp=sharing  #gid=0"",""фіз особи new!relations_name""),6,FALSE)
,
(IF
(
G9726=""юридична особа""
,
VLOOKUP"&amp;"(H9726,IMPORTRANGE(""https://docs.google.com/spreadsheets/d/14Bd19lYaqBhU8_DElYkX7l4wRkHqqCUFNJY4AfY3kHU/edit?usp=sharing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5" s="7" t="s">
        <v>29</v>
      </c>
    </row>
    <row r="9726" spans="1:10" ht="13.2">
      <c r="A9726" s="7">
        <v>9725</v>
      </c>
      <c r="B9726" s="7">
        <v>1</v>
      </c>
      <c r="C9726" s="7" t="s">
        <v>10</v>
      </c>
      <c r="D9726" s="7">
        <v>11557</v>
      </c>
      <c r="E9726" s="7" t="s">
        <v>28</v>
      </c>
      <c r="F9726" s="8" t="str">
        <f ca="1">IFERROR(__xludf.DUMMYFUNCTION("IF
(
C9727=""фізична особа""
,
VLOOKUP(D9727,IMPORTRANGE(""https://docs.google.com/spreadsheets/d/14Bd19lYaqBhU8_DElYkX7l4wRkHqqCUFNJY4AfY3kHU/edit?usp=sharing  #gid=0"",""фіз особи new!relations_name""),6,FALSE)
,
(IF
(
C9727=""юридична особа""
,
VLOOKUP"&amp;"(D9727,IMPORTRANGE(""https://docs.google.com/spreadsheets/d/14Bd19lYaqBhU8_DElYkX7l4wRkHqqCUFNJY4AfY3kHU/edit?usp=sharing  #gid=0"",""фіз особи new!relations_name_uo""),7,FALSE)
,
)
))"),"КОСТИЛОВ Сергій Євгенович")</f>
        <v>КОСТИЛОВ Сергій Євгенович</v>
      </c>
      <c r="G9726" s="7" t="s">
        <v>10</v>
      </c>
      <c r="H9726" s="7">
        <v>3009</v>
      </c>
      <c r="I9726" s="8" t="str">
        <f ca="1">IFERROR(__xludf.DUMMYFUNCTION("IF
(
G9727=""фізична особа""
,
VLOOKUP(H9727,IMPORTRANGE(""https://docs.google.com/spreadsheets/d/14Bd19lYaqBhU8_DElYkX7l4wRkHqqCUFNJY4AfY3kHU/edit?usp=sharing  #gid=0"",""фіз особи new!relations_name""),6,FALSE)
,
(IF
(
G9727=""юридична особа""
,
VLOOKUP"&amp;"(H9727,IMPORTRANGE(""https://docs.google.com/spreadsheets/d/14Bd19lYaqBhU8_DElYkX7l4wRkHqqCUFNJY4AfY3kHU/edit?usp=sharing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6" s="7" t="s">
        <v>29</v>
      </c>
    </row>
    <row r="9727" spans="1:10" ht="13.2">
      <c r="A9727" s="7">
        <v>9726</v>
      </c>
      <c r="B9727" s="7">
        <v>1</v>
      </c>
      <c r="C9727" s="7" t="s">
        <v>10</v>
      </c>
      <c r="D9727" s="7">
        <v>11558</v>
      </c>
      <c r="E9727" s="7" t="s">
        <v>28</v>
      </c>
      <c r="F9727" s="8" t="str">
        <f ca="1">IFERROR(__xludf.DUMMYFUNCTION("IF
(
C9728=""фізична особа""
,
VLOOKUP(D9728,IMPORTRANGE(""https://docs.google.com/spreadsheets/d/14Bd19lYaqBhU8_DElYkX7l4wRkHqqCUFNJY4AfY3kHU/edit?usp=sharing  #gid=0"",""фіз особи new!relations_name""),6,FALSE)
,
(IF
(
C9728=""юридична особа""
,
VLOOKUP"&amp;"(D9728,IMPORTRANGE(""https://docs.google.com/spreadsheets/d/14Bd19lYaqBhU8_DElYkX7l4wRkHqqCUFNJY4AfY3kHU/edit?usp=sharing  #gid=0"",""фіз особи new!relations_name_uo""),7,FALSE)
,
)
))"),"ЖАРОНКІН Валерій Миколайович")</f>
        <v>ЖАРОНКІН Валерій Миколайович</v>
      </c>
      <c r="G9727" s="7" t="s">
        <v>10</v>
      </c>
      <c r="H9727" s="7">
        <v>3009</v>
      </c>
      <c r="I9727" s="8" t="str">
        <f ca="1">IFERROR(__xludf.DUMMYFUNCTION("IF
(
G9728=""фізична особа""
,
VLOOKUP(H9728,IMPORTRANGE(""https://docs.google.com/spreadsheets/d/14Bd19lYaqBhU8_DElYkX7l4wRkHqqCUFNJY4AfY3kHU/edit?usp=sharing  #gid=0"",""фіз особи new!relations_name""),6,FALSE)
,
(IF
(
G9728=""юридична особа""
,
VLOOKUP"&amp;"(H9728,IMPORTRANGE(""https://docs.google.com/spreadsheets/d/14Bd19lYaqBhU8_DElYkX7l4wRkHqqCUFNJY4AfY3kHU/edit?usp=sharing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7" s="7" t="s">
        <v>29</v>
      </c>
    </row>
    <row r="9728" spans="1:10" ht="13.2">
      <c r="A9728" s="7">
        <v>9727</v>
      </c>
      <c r="B9728" s="7">
        <v>1</v>
      </c>
      <c r="C9728" s="7" t="s">
        <v>10</v>
      </c>
      <c r="D9728" s="7">
        <v>11559</v>
      </c>
      <c r="E9728" s="7" t="s">
        <v>28</v>
      </c>
      <c r="F9728" s="8" t="str">
        <f ca="1">IFERROR(__xludf.DUMMYFUNCTION("IF
(
C9729=""фізична особа""
,
VLOOKUP(D9729,IMPORTRANGE(""https://docs.google.com/spreadsheets/d/14Bd19lYaqBhU8_DElYkX7l4wRkHqqCUFNJY4AfY3kHU/edit?usp=sharing  #gid=0"",""фіз особи new!relations_name""),6,FALSE)
,
(IF
(
C9729=""юридична особа""
,
VLOOKUP"&amp;"(D9729,IMPORTRANGE(""https://docs.google.com/spreadsheets/d/14Bd19lYaqBhU8_DElYkX7l4wRkHqqCUFNJY4AfY3kHU/edit?usp=sharing  #gid=0"",""фіз особи new!relations_name_uo""),7,FALSE)
,
)
))"),"ГАГЛОЄВ Сергій Гівіч")</f>
        <v>ГАГЛОЄВ Сергій Гівіч</v>
      </c>
      <c r="G9728" s="7" t="s">
        <v>10</v>
      </c>
      <c r="H9728" s="7">
        <v>3009</v>
      </c>
      <c r="I9728" s="8" t="str">
        <f ca="1">IFERROR(__xludf.DUMMYFUNCTION("IF
(
G9729=""фізична особа""
,
VLOOKUP(H9729,IMPORTRANGE(""https://docs.google.com/spreadsheets/d/14Bd19lYaqBhU8_DElYkX7l4wRkHqqCUFNJY4AfY3kHU/edit?usp=sharing  #gid=0"",""фіз особи new!relations_name""),6,FALSE)
,
(IF
(
G9729=""юридична особа""
,
VLOOKUP"&amp;"(H9729,IMPORTRANGE(""https://docs.google.com/spreadsheets/d/14Bd19lYaqBhU8_DElYkX7l4wRkHqqCUFNJY4AfY3kHU/edit?usp=sharing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8" s="7" t="s">
        <v>29</v>
      </c>
    </row>
    <row r="9729" spans="1:10" ht="13.2">
      <c r="A9729" s="7">
        <v>9728</v>
      </c>
      <c r="B9729" s="7">
        <v>1</v>
      </c>
      <c r="C9729" s="7" t="s">
        <v>10</v>
      </c>
      <c r="D9729" s="7">
        <v>11560</v>
      </c>
      <c r="E9729" s="7" t="s">
        <v>28</v>
      </c>
      <c r="F9729" s="8" t="str">
        <f ca="1">IFERROR(__xludf.DUMMYFUNCTION("IF
(
C9730=""фізична особа""
,
VLOOKUP(D9730,IMPORTRANGE(""https://docs.google.com/spreadsheets/d/14Bd19lYaqBhU8_DElYkX7l4wRkHqqCUFNJY4AfY3kHU/edit?usp=sharing  #gid=0"",""фіз особи new!relations_name""),6,FALSE)
,
(IF
(
C9730=""юридична особа""
,
VLOOKUP"&amp;"(D9730,IMPORTRANGE(""https://docs.google.com/spreadsheets/d/14Bd19lYaqBhU8_DElYkX7l4wRkHqqCUFNJY4AfY3kHU/edit?usp=sharing  #gid=0"",""фіз особи new!relations_name_uo""),7,FALSE)
,
)
))"),"БЄЛЯКОВ Микола Володимирович")</f>
        <v>БЄЛЯКОВ Микола Володимирович</v>
      </c>
      <c r="G9729" s="7" t="s">
        <v>10</v>
      </c>
      <c r="H9729" s="7">
        <v>3009</v>
      </c>
      <c r="I9729" s="8" t="str">
        <f ca="1">IFERROR(__xludf.DUMMYFUNCTION("IF
(
G9730=""фізична особа""
,
VLOOKUP(H9730,IMPORTRANGE(""https://docs.google.com/spreadsheets/d/14Bd19lYaqBhU8_DElYkX7l4wRkHqqCUFNJY4AfY3kHU/edit?usp=sharing  #gid=0"",""фіз особи new!relations_name""),6,FALSE)
,
(IF
(
G9730=""юридична особа""
,
VLOOKUP"&amp;"(H9730,IMPORTRANGE(""https://docs.google.com/spreadsheets/d/14Bd19lYaqBhU8_DElYkX7l4wRkHqqCUFNJY4AfY3kHU/edit?usp=sharing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29" s="7" t="s">
        <v>29</v>
      </c>
    </row>
    <row r="9730" spans="1:10" ht="13.2">
      <c r="A9730" s="7">
        <v>9729</v>
      </c>
      <c r="B9730" s="7">
        <v>1</v>
      </c>
      <c r="C9730" s="7" t="s">
        <v>10</v>
      </c>
      <c r="D9730" s="7">
        <v>11561</v>
      </c>
      <c r="E9730" s="7" t="s">
        <v>28</v>
      </c>
      <c r="F9730" s="8" t="str">
        <f ca="1">IFERROR(__xludf.DUMMYFUNCTION("IF
(
C9731=""фізична особа""
,
VLOOKUP(D9731,IMPORTRANGE(""https://docs.google.com/spreadsheets/d/14Bd19lYaqBhU8_DElYkX7l4wRkHqqCUFNJY4AfY3kHU/edit?usp=sharing  #gid=0"",""фіз особи new!relations_name""),6,FALSE)
,
(IF
(
C9731=""юридична особа""
,
VLOOKUP"&amp;"(D9731,IMPORTRANGE(""https://docs.google.com/spreadsheets/d/14Bd19lYaqBhU8_DElYkX7l4wRkHqqCUFNJY4AfY3kHU/edit?usp=sharing  #gid=0"",""фіз особи new!relations_name_uo""),7,FALSE)
,
)
))"),"МУНКОЖАРГАЛОВ Цирен Батомункуєвич")</f>
        <v>МУНКОЖАРГАЛОВ Цирен Батомункуєвич</v>
      </c>
      <c r="G9730" s="7" t="s">
        <v>10</v>
      </c>
      <c r="H9730" s="7">
        <v>3009</v>
      </c>
      <c r="I9730" s="8" t="str">
        <f ca="1">IFERROR(__xludf.DUMMYFUNCTION("IF
(
G9731=""фізична особа""
,
VLOOKUP(H9731,IMPORTRANGE(""https://docs.google.com/spreadsheets/d/14Bd19lYaqBhU8_DElYkX7l4wRkHqqCUFNJY4AfY3kHU/edit?usp=sharing  #gid=0"",""фіз особи new!relations_name""),6,FALSE)
,
(IF
(
G9731=""юридична особа""
,
VLOOKUP"&amp;"(H9731,IMPORTRANGE(""https://docs.google.com/spreadsheets/d/14Bd19lYaqBhU8_DElYkX7l4wRkHqqCUFNJY4AfY3kHU/edit?usp=sharing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0" s="7" t="s">
        <v>29</v>
      </c>
    </row>
    <row r="9731" spans="1:10" ht="13.2">
      <c r="A9731" s="7">
        <v>9730</v>
      </c>
      <c r="B9731" s="7">
        <v>1</v>
      </c>
      <c r="C9731" s="7" t="s">
        <v>10</v>
      </c>
      <c r="D9731" s="7">
        <v>11562</v>
      </c>
      <c r="E9731" s="7" t="s">
        <v>28</v>
      </c>
      <c r="F9731" s="8" t="str">
        <f ca="1">IFERROR(__xludf.DUMMYFUNCTION("IF
(
C9732=""фізична особа""
,
VLOOKUP(D9732,IMPORTRANGE(""https://docs.google.com/spreadsheets/d/14Bd19lYaqBhU8_DElYkX7l4wRkHqqCUFNJY4AfY3kHU/edit?usp=sharing  #gid=0"",""фіз особи new!relations_name""),6,FALSE)
,
(IF
(
C9732=""юридична особа""
,
VLOOKUP"&amp;"(D9732,IMPORTRANGE(""https://docs.google.com/spreadsheets/d/14Bd19lYaqBhU8_DElYkX7l4wRkHqqCUFNJY4AfY3kHU/edit?usp=sharing  #gid=0"",""фіз особи new!relations_name_uo""),7,FALSE)
,
)
))"),"НІКІТІН Анатолій Володимирович")</f>
        <v>НІКІТІН Анатолій Володимирович</v>
      </c>
      <c r="G9731" s="7" t="s">
        <v>10</v>
      </c>
      <c r="H9731" s="7">
        <v>3009</v>
      </c>
      <c r="I9731" s="8" t="str">
        <f ca="1">IFERROR(__xludf.DUMMYFUNCTION("IF
(
G9732=""фізична особа""
,
VLOOKUP(H9732,IMPORTRANGE(""https://docs.google.com/spreadsheets/d/14Bd19lYaqBhU8_DElYkX7l4wRkHqqCUFNJY4AfY3kHU/edit?usp=sharing  #gid=0"",""фіз особи new!relations_name""),6,FALSE)
,
(IF
(
G9732=""юридична особа""
,
VLOOKUP"&amp;"(H9732,IMPORTRANGE(""https://docs.google.com/spreadsheets/d/14Bd19lYaqBhU8_DElYkX7l4wRkHqqCUFNJY4AfY3kHU/edit?usp=sharing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1" s="7" t="s">
        <v>29</v>
      </c>
    </row>
    <row r="9732" spans="1:10" ht="13.2">
      <c r="A9732" s="7">
        <v>9731</v>
      </c>
      <c r="B9732" s="7">
        <v>1</v>
      </c>
      <c r="C9732" s="7" t="s">
        <v>10</v>
      </c>
      <c r="D9732" s="7">
        <v>11563</v>
      </c>
      <c r="E9732" s="7" t="s">
        <v>28</v>
      </c>
      <c r="F9732" s="8" t="str">
        <f ca="1">IFERROR(__xludf.DUMMYFUNCTION("IF
(
C9733=""фізична особа""
,
VLOOKUP(D9733,IMPORTRANGE(""https://docs.google.com/spreadsheets/d/14Bd19lYaqBhU8_DElYkX7l4wRkHqqCUFNJY4AfY3kHU/edit?usp=sharing  #gid=0"",""фіз особи new!relations_name""),6,FALSE)
,
(IF
(
C9733=""юридична особа""
,
VLOOKUP"&amp;"(D9733,IMPORTRANGE(""https://docs.google.com/spreadsheets/d/14Bd19lYaqBhU8_DElYkX7l4wRkHqqCUFNJY4AfY3kHU/edit?usp=sharing  #gid=0"",""фіз особи new!relations_name_uo""),7,FALSE)
,
)
))"),"ЛОГАНОВ Максим Ігорович")</f>
        <v>ЛОГАНОВ Максим Ігорович</v>
      </c>
      <c r="G9732" s="7" t="s">
        <v>10</v>
      </c>
      <c r="H9732" s="7">
        <v>3009</v>
      </c>
      <c r="I9732" s="8" t="str">
        <f ca="1">IFERROR(__xludf.DUMMYFUNCTION("IF
(
G9733=""фізична особа""
,
VLOOKUP(H9733,IMPORTRANGE(""https://docs.google.com/spreadsheets/d/14Bd19lYaqBhU8_DElYkX7l4wRkHqqCUFNJY4AfY3kHU/edit?usp=sharing  #gid=0"",""фіз особи new!relations_name""),6,FALSE)
,
(IF
(
G9733=""юридична особа""
,
VLOOKUP"&amp;"(H9733,IMPORTRANGE(""https://docs.google.com/spreadsheets/d/14Bd19lYaqBhU8_DElYkX7l4wRkHqqCUFNJY4AfY3kHU/edit?usp=sharing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2" s="7" t="s">
        <v>29</v>
      </c>
    </row>
    <row r="9733" spans="1:10" ht="13.2">
      <c r="A9733" s="7">
        <v>9732</v>
      </c>
      <c r="B9733" s="7">
        <v>1</v>
      </c>
      <c r="C9733" s="7" t="s">
        <v>10</v>
      </c>
      <c r="D9733" s="7">
        <v>11564</v>
      </c>
      <c r="E9733" s="7" t="s">
        <v>28</v>
      </c>
      <c r="F9733" s="8" t="str">
        <f ca="1">IFERROR(__xludf.DUMMYFUNCTION("IF
(
C9734=""фізична особа""
,
VLOOKUP(D9734,IMPORTRANGE(""https://docs.google.com/spreadsheets/d/14Bd19lYaqBhU8_DElYkX7l4wRkHqqCUFNJY4AfY3kHU/edit?usp=sharing  #gid=0"",""фіз особи new!relations_name""),6,FALSE)
,
(IF
(
C9734=""юридична особа""
,
VLOOKUP"&amp;"(D9734,IMPORTRANGE(""https://docs.google.com/spreadsheets/d/14Bd19lYaqBhU8_DElYkX7l4wRkHqqCUFNJY4AfY3kHU/edit?usp=sharing  #gid=0"",""фіз особи new!relations_name_uo""),7,FALSE)
,
)
))"),"РОМАНОВА Яна Вікторівна")</f>
        <v>РОМАНОВА Яна Вікторівна</v>
      </c>
      <c r="G9733" s="7" t="s">
        <v>10</v>
      </c>
      <c r="H9733" s="7">
        <v>3009</v>
      </c>
      <c r="I9733" s="8" t="str">
        <f ca="1">IFERROR(__xludf.DUMMYFUNCTION("IF
(
G9734=""фізична особа""
,
VLOOKUP(H9734,IMPORTRANGE(""https://docs.google.com/spreadsheets/d/14Bd19lYaqBhU8_DElYkX7l4wRkHqqCUFNJY4AfY3kHU/edit?usp=sharing  #gid=0"",""фіз особи new!relations_name""),6,FALSE)
,
(IF
(
G9734=""юридична особа""
,
VLOOKUP"&amp;"(H9734,IMPORTRANGE(""https://docs.google.com/spreadsheets/d/14Bd19lYaqBhU8_DElYkX7l4wRkHqqCUFNJY4AfY3kHU/edit?usp=sharing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3" s="7" t="s">
        <v>29</v>
      </c>
    </row>
    <row r="9734" spans="1:10" ht="13.2">
      <c r="A9734" s="7">
        <v>9733</v>
      </c>
      <c r="B9734" s="7">
        <v>1</v>
      </c>
      <c r="C9734" s="7" t="s">
        <v>10</v>
      </c>
      <c r="D9734" s="7">
        <v>11565</v>
      </c>
      <c r="E9734" s="7" t="s">
        <v>28</v>
      </c>
      <c r="F9734" s="8" t="str">
        <f ca="1">IFERROR(__xludf.DUMMYFUNCTION("IF
(
C9735=""фізична особа""
,
VLOOKUP(D9735,IMPORTRANGE(""https://docs.google.com/spreadsheets/d/14Bd19lYaqBhU8_DElYkX7l4wRkHqqCUFNJY4AfY3kHU/edit?usp=sharing  #gid=0"",""фіз особи new!relations_name""),6,FALSE)
,
(IF
(
C9735=""юридична особа""
,
VLOOKUP"&amp;"(D9735,IMPORTRANGE(""https://docs.google.com/spreadsheets/d/14Bd19lYaqBhU8_DElYkX7l4wRkHqqCUFNJY4AfY3kHU/edit?usp=sharing  #gid=0"",""фіз особи new!relations_name_uo""),7,FALSE)
,
)
))"),"ІСАКІН Денис Вікторович")</f>
        <v>ІСАКІН Денис Вікторович</v>
      </c>
      <c r="G9734" s="7" t="s">
        <v>10</v>
      </c>
      <c r="H9734" s="7">
        <v>3009</v>
      </c>
      <c r="I9734" s="8" t="str">
        <f ca="1">IFERROR(__xludf.DUMMYFUNCTION("IF
(
G9735=""фізична особа""
,
VLOOKUP(H9735,IMPORTRANGE(""https://docs.google.com/spreadsheets/d/14Bd19lYaqBhU8_DElYkX7l4wRkHqqCUFNJY4AfY3kHU/edit?usp=sharing  #gid=0"",""фіз особи new!relations_name""),6,FALSE)
,
(IF
(
G9735=""юридична особа""
,
VLOOKUP"&amp;"(H9735,IMPORTRANGE(""https://docs.google.com/spreadsheets/d/14Bd19lYaqBhU8_DElYkX7l4wRkHqqCUFNJY4AfY3kHU/edit?usp=sharing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4" s="7" t="s">
        <v>29</v>
      </c>
    </row>
    <row r="9735" spans="1:10" ht="13.2">
      <c r="A9735" s="7">
        <v>9734</v>
      </c>
      <c r="B9735" s="7">
        <v>1</v>
      </c>
      <c r="C9735" s="7" t="s">
        <v>10</v>
      </c>
      <c r="D9735" s="7">
        <v>11566</v>
      </c>
      <c r="E9735" s="7" t="s">
        <v>28</v>
      </c>
      <c r="F9735" s="8" t="str">
        <f ca="1">IFERROR(__xludf.DUMMYFUNCTION("IF
(
C9736=""фізична особа""
,
VLOOKUP(D9736,IMPORTRANGE(""https://docs.google.com/spreadsheets/d/14Bd19lYaqBhU8_DElYkX7l4wRkHqqCUFNJY4AfY3kHU/edit?usp=sharing  #gid=0"",""фіз особи new!relations_name""),6,FALSE)
,
(IF
(
C9736=""юридична особа""
,
VLOOKUP"&amp;"(D9736,IMPORTRANGE(""https://docs.google.com/spreadsheets/d/14Bd19lYaqBhU8_DElYkX7l4wRkHqqCUFNJY4AfY3kHU/edit?usp=sharing  #gid=0"",""фіз особи new!relations_name_uo""),7,FALSE)
,
)
))"),"КРУКОВСЬКИЙ Олександр Валерійович")</f>
        <v>КРУКОВСЬКИЙ Олександр Валерійович</v>
      </c>
      <c r="G9735" s="7" t="s">
        <v>10</v>
      </c>
      <c r="H9735" s="7">
        <v>3009</v>
      </c>
      <c r="I9735" s="8" t="str">
        <f ca="1">IFERROR(__xludf.DUMMYFUNCTION("IF
(
G9736=""фізична особа""
,
VLOOKUP(H9736,IMPORTRANGE(""https://docs.google.com/spreadsheets/d/14Bd19lYaqBhU8_DElYkX7l4wRkHqqCUFNJY4AfY3kHU/edit?usp=sharing  #gid=0"",""фіз особи new!relations_name""),6,FALSE)
,
(IF
(
G9736=""юридична особа""
,
VLOOKUP"&amp;"(H9736,IMPORTRANGE(""https://docs.google.com/spreadsheets/d/14Bd19lYaqBhU8_DElYkX7l4wRkHqqCUFNJY4AfY3kHU/edit?usp=sharing  #gid=0"",""фіз особи new!relations_name_uo""),7,FALSE)
,
)
))"),"ЛИПОВ Андрій Юрійович")</f>
        <v>ЛИПОВ Андрій Юрійович</v>
      </c>
      <c r="J9735" s="7" t="s">
        <v>29</v>
      </c>
    </row>
    <row r="9736" spans="1:10" ht="13.2">
      <c r="A9736" s="7">
        <v>9735</v>
      </c>
      <c r="B9736" s="7">
        <v>1</v>
      </c>
      <c r="C9736" s="7" t="s">
        <v>10</v>
      </c>
      <c r="D9736" s="7">
        <v>11567</v>
      </c>
      <c r="E9736" s="7" t="s">
        <v>28</v>
      </c>
      <c r="F9736" s="8" t="str">
        <f ca="1">IFERROR(__xludf.DUMMYFUNCTION("IF
(
C9737=""фізична особа""
,
VLOOKUP(D9737,IMPORTRANGE(""https://docs.google.com/spreadsheets/d/14Bd19lYaqBhU8_DElYkX7l4wRkHqqCUFNJY4AfY3kHU/edit?usp=sharing  #gid=0"",""фіз особи new!relations_name""),6,FALSE)
,
(IF
(
C9737=""юридична особа""
,
VLOOKUP"&amp;"(D9737,IMPORTRANGE(""https://docs.google.com/spreadsheets/d/14Bd19lYaqBhU8_DElYkX7l4wRkHqqCUFNJY4AfY3kHU/edit?usp=sharing  #gid=0"",""фіз особи new!relations_name_uo""),7,FALSE)
,
)
))"),"НЕЧЕПУРЕНКО Людмила Олександрівна")</f>
        <v>НЕЧЕПУРЕНКО Людмила Олександрівна</v>
      </c>
      <c r="G9736" s="7" t="s">
        <v>10</v>
      </c>
      <c r="H9736" s="7">
        <v>3042</v>
      </c>
      <c r="I9736" s="8" t="str">
        <f ca="1">IFERROR(__xludf.DUMMYFUNCTION("IF
(
G9737=""фізична особа""
,
VLOOKUP(H9737,IMPORTRANGE(""https://docs.google.com/spreadsheets/d/14Bd19lYaqBhU8_DElYkX7l4wRkHqqCUFNJY4AfY3kHU/edit?usp=sharing  #gid=0"",""фіз особи new!relations_name""),6,FALSE)
,
(IF
(
G9737=""юридична особа""
,
VLOOKUP"&amp;"(H9737,IMPORTRANGE(""https://docs.google.com/spreadsheets/d/14Bd19lYaqBhU8_DElYkX7l4wRkHqqCUFNJY4AfY3kHU/edit?usp=sharing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36" s="7" t="s">
        <v>29</v>
      </c>
    </row>
    <row r="9737" spans="1:10" ht="13.2">
      <c r="A9737" s="7">
        <v>9736</v>
      </c>
      <c r="B9737" s="7">
        <v>1</v>
      </c>
      <c r="C9737" s="7" t="s">
        <v>10</v>
      </c>
      <c r="D9737" s="7">
        <v>11568</v>
      </c>
      <c r="E9737" s="7" t="s">
        <v>28</v>
      </c>
      <c r="F9737" s="8" t="str">
        <f ca="1">IFERROR(__xludf.DUMMYFUNCTION("IF
(
C9738=""фізична особа""
,
VLOOKUP(D9738,IMPORTRANGE(""https://docs.google.com/spreadsheets/d/14Bd19lYaqBhU8_DElYkX7l4wRkHqqCUFNJY4AfY3kHU/edit?usp=sharing  #gid=0"",""фіз особи new!relations_name""),6,FALSE)
,
(IF
(
C9738=""юридична особа""
,
VLOOKUP"&amp;"(D9738,IMPORTRANGE(""https://docs.google.com/spreadsheets/d/14Bd19lYaqBhU8_DElYkX7l4wRkHqqCUFNJY4AfY3kHU/edit?usp=sharing  #gid=0"",""фіз особи new!relations_name_uo""),7,FALSE)
,
)
))"),"ПАВЛОВ Микола Миколайович")</f>
        <v>ПАВЛОВ Микола Миколайович</v>
      </c>
      <c r="G9737" s="7" t="s">
        <v>10</v>
      </c>
      <c r="H9737" s="7">
        <v>3042</v>
      </c>
      <c r="I9737" s="8" t="str">
        <f ca="1">IFERROR(__xludf.DUMMYFUNCTION("IF
(
G9738=""фізична особа""
,
VLOOKUP(H9738,IMPORTRANGE(""https://docs.google.com/spreadsheets/d/14Bd19lYaqBhU8_DElYkX7l4wRkHqqCUFNJY4AfY3kHU/edit?usp=sharing  #gid=0"",""фіз особи new!relations_name""),6,FALSE)
,
(IF
(
G9738=""юридична особа""
,
VLOOKUP"&amp;"(H9738,IMPORTRANGE(""https://docs.google.com/spreadsheets/d/14Bd19lYaqBhU8_DElYkX7l4wRkHqqCUFNJY4AfY3kHU/edit?usp=sharing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37" s="7" t="s">
        <v>29</v>
      </c>
    </row>
    <row r="9738" spans="1:10" ht="13.2">
      <c r="A9738" s="7">
        <v>9737</v>
      </c>
      <c r="B9738" s="7">
        <v>1</v>
      </c>
      <c r="C9738" s="7" t="s">
        <v>10</v>
      </c>
      <c r="D9738" s="7">
        <v>11569</v>
      </c>
      <c r="E9738" s="7" t="s">
        <v>28</v>
      </c>
      <c r="F9738" s="8" t="str">
        <f ca="1">IFERROR(__xludf.DUMMYFUNCTION("IF
(
C9739=""фізична особа""
,
VLOOKUP(D9739,IMPORTRANGE(""https://docs.google.com/spreadsheets/d/14Bd19lYaqBhU8_DElYkX7l4wRkHqqCUFNJY4AfY3kHU/edit?usp=sharing  #gid=0"",""фіз особи new!relations_name""),6,FALSE)
,
(IF
(
C9739=""юридична особа""
,
VLOOKUP"&amp;"(D9739,IMPORTRANGE(""https://docs.google.com/spreadsheets/d/14Bd19lYaqBhU8_DElYkX7l4wRkHqqCUFNJY4AfY3kHU/edit?usp=sharing  #gid=0"",""фіз особи new!relations_name_uo""),7,FALSE)
,
)
))"),"ЗАБУРДЕНКО Андрій Ігорович")</f>
        <v>ЗАБУРДЕНКО Андрій Ігорович</v>
      </c>
      <c r="G9738" s="7" t="s">
        <v>10</v>
      </c>
      <c r="H9738" s="7">
        <v>2982</v>
      </c>
      <c r="I9738" s="8" t="str">
        <f ca="1">IFERROR(__xludf.DUMMYFUNCTION("IF
(
G9739=""фізична особа""
,
VLOOKUP(H9739,IMPORTRANGE(""https://docs.google.com/spreadsheets/d/14Bd19lYaqBhU8_DElYkX7l4wRkHqqCUFNJY4AfY3kHU/edit?usp=sharing  #gid=0"",""фіз особи new!relations_name""),6,FALSE)
,
(IF
(
G9739=""юридична особа""
,
VLOOKUP"&amp;"(H9739,IMPORTRANGE(""https://docs.google.com/spreadsheets/d/14Bd19lYaqBhU8_DElYkX7l4wRkHqqCUFNJY4AfY3kHU/edit?usp=sharing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38" s="7" t="s">
        <v>29</v>
      </c>
    </row>
    <row r="9739" spans="1:10" ht="13.2">
      <c r="A9739" s="7">
        <v>9738</v>
      </c>
      <c r="B9739" s="7">
        <v>1</v>
      </c>
      <c r="C9739" s="7" t="s">
        <v>10</v>
      </c>
      <c r="D9739" s="7">
        <v>11570</v>
      </c>
      <c r="E9739" s="7" t="s">
        <v>28</v>
      </c>
      <c r="F9739" s="8" t="str">
        <f ca="1">IFERROR(__xludf.DUMMYFUNCTION("IF
(
C9740=""фізична особа""
,
VLOOKUP(D9740,IMPORTRANGE(""https://docs.google.com/spreadsheets/d/14Bd19lYaqBhU8_DElYkX7l4wRkHqqCUFNJY4AfY3kHU/edit?usp=sharing  #gid=0"",""фіз особи new!relations_name""),6,FALSE)
,
(IF
(
C9740=""юридична особа""
,
VLOOKUP"&amp;"(D9740,IMPORTRANGE(""https://docs.google.com/spreadsheets/d/14Bd19lYaqBhU8_DElYkX7l4wRkHqqCUFNJY4AfY3kHU/edit?usp=sharing  #gid=0"",""фіз особи new!relations_name_uo""),7,FALSE)
,
)
))"),"ІГОНІН Сергій Володимирович")</f>
        <v>ІГОНІН Сергій Володимирович</v>
      </c>
      <c r="G9739" s="7" t="s">
        <v>10</v>
      </c>
      <c r="H9739" s="7">
        <v>2982</v>
      </c>
      <c r="I9739" s="8" t="str">
        <f ca="1">IFERROR(__xludf.DUMMYFUNCTION("IF
(
G9740=""фізична особа""
,
VLOOKUP(H9740,IMPORTRANGE(""https://docs.google.com/spreadsheets/d/14Bd19lYaqBhU8_DElYkX7l4wRkHqqCUFNJY4AfY3kHU/edit?usp=sharing  #gid=0"",""фіз особи new!relations_name""),6,FALSE)
,
(IF
(
G9740=""юридична особа""
,
VLOOKUP"&amp;"(H9740,IMPORTRANGE(""https://docs.google.com/spreadsheets/d/14Bd19lYaqBhU8_DElYkX7l4wRkHqqCUFNJY4AfY3kHU/edit?usp=sharing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39" s="7" t="s">
        <v>29</v>
      </c>
    </row>
    <row r="9740" spans="1:10" ht="13.2">
      <c r="A9740" s="7">
        <v>9739</v>
      </c>
      <c r="B9740" s="7">
        <v>1</v>
      </c>
      <c r="C9740" s="7" t="s">
        <v>10</v>
      </c>
      <c r="D9740" s="7">
        <v>11571</v>
      </c>
      <c r="E9740" s="7" t="s">
        <v>28</v>
      </c>
      <c r="F9740" s="8" t="str">
        <f ca="1">IFERROR(__xludf.DUMMYFUNCTION("IF
(
C9741=""фізична особа""
,
VLOOKUP(D9741,IMPORTRANGE(""https://docs.google.com/spreadsheets/d/14Bd19lYaqBhU8_DElYkX7l4wRkHqqCUFNJY4AfY3kHU/edit?usp=sharing  #gid=0"",""фіз особи new!relations_name""),6,FALSE)
,
(IF
(
C9741=""юридична особа""
,
VLOOKUP"&amp;"(D9741,IMPORTRANGE(""https://docs.google.com/spreadsheets/d/14Bd19lYaqBhU8_DElYkX7l4wRkHqqCUFNJY4AfY3kHU/edit?usp=sharing  #gid=0"",""фіз особи new!relations_name_uo""),7,FALSE)
,
)
))"),"ЦИБАЄВ Володимир Володимирович")</f>
        <v>ЦИБАЄВ Володимир Володимирович</v>
      </c>
      <c r="G9740" s="7" t="s">
        <v>10</v>
      </c>
      <c r="H9740" s="7">
        <v>2982</v>
      </c>
      <c r="I9740" s="8" t="str">
        <f ca="1">IFERROR(__xludf.DUMMYFUNCTION("IF
(
G9741=""фізична особа""
,
VLOOKUP(H9741,IMPORTRANGE(""https://docs.google.com/spreadsheets/d/14Bd19lYaqBhU8_DElYkX7l4wRkHqqCUFNJY4AfY3kHU/edit?usp=sharing  #gid=0"",""фіз особи new!relations_name""),6,FALSE)
,
(IF
(
G9741=""юридична особа""
,
VLOOKUP"&amp;"(H9741,IMPORTRANGE(""https://docs.google.com/spreadsheets/d/14Bd19lYaqBhU8_DElYkX7l4wRkHqqCUFNJY4AfY3kHU/edit?usp=sharing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0" s="7" t="s">
        <v>29</v>
      </c>
    </row>
    <row r="9741" spans="1:10" ht="13.2">
      <c r="A9741" s="7">
        <v>9740</v>
      </c>
      <c r="B9741" s="7">
        <v>1</v>
      </c>
      <c r="C9741" s="7" t="s">
        <v>10</v>
      </c>
      <c r="D9741" s="7">
        <v>11572</v>
      </c>
      <c r="E9741" s="7" t="s">
        <v>28</v>
      </c>
      <c r="F9741" s="8" t="str">
        <f ca="1">IFERROR(__xludf.DUMMYFUNCTION("IF
(
C9742=""фізична особа""
,
VLOOKUP(D9742,IMPORTRANGE(""https://docs.google.com/spreadsheets/d/14Bd19lYaqBhU8_DElYkX7l4wRkHqqCUFNJY4AfY3kHU/edit?usp=sharing  #gid=0"",""фіз особи new!relations_name""),6,FALSE)
,
(IF
(
C9742=""юридична особа""
,
VLOOKUP"&amp;"(D9742,IMPORTRANGE(""https://docs.google.com/spreadsheets/d/14Bd19lYaqBhU8_DElYkX7l4wRkHqqCUFNJY4AfY3kHU/edit?usp=sharing  #gid=0"",""фіз особи new!relations_name_uo""),7,FALSE)
,
)
))"),"ГРИШКІН Сергій Геннадійович")</f>
        <v>ГРИШКІН Сергій Геннадійович</v>
      </c>
      <c r="G9741" s="7" t="s">
        <v>10</v>
      </c>
      <c r="H9741" s="7">
        <v>2982</v>
      </c>
      <c r="I9741" s="8" t="str">
        <f ca="1">IFERROR(__xludf.DUMMYFUNCTION("IF
(
G9742=""фізична особа""
,
VLOOKUP(H9742,IMPORTRANGE(""https://docs.google.com/spreadsheets/d/14Bd19lYaqBhU8_DElYkX7l4wRkHqqCUFNJY4AfY3kHU/edit?usp=sharing  #gid=0"",""фіз особи new!relations_name""),6,FALSE)
,
(IF
(
G9742=""юридична особа""
,
VLOOKUP"&amp;"(H9742,IMPORTRANGE(""https://docs.google.com/spreadsheets/d/14Bd19lYaqBhU8_DElYkX7l4wRkHqqCUFNJY4AfY3kHU/edit?usp=sharing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1" s="7" t="s">
        <v>29</v>
      </c>
    </row>
    <row r="9742" spans="1:10" ht="13.2">
      <c r="A9742" s="7">
        <v>9741</v>
      </c>
      <c r="B9742" s="7">
        <v>1</v>
      </c>
      <c r="C9742" s="7" t="s">
        <v>10</v>
      </c>
      <c r="D9742" s="7">
        <v>11573</v>
      </c>
      <c r="E9742" s="7" t="s">
        <v>28</v>
      </c>
      <c r="F9742" s="8" t="str">
        <f ca="1">IFERROR(__xludf.DUMMYFUNCTION("IF
(
C9743=""фізична особа""
,
VLOOKUP(D9743,IMPORTRANGE(""https://docs.google.com/spreadsheets/d/14Bd19lYaqBhU8_DElYkX7l4wRkHqqCUFNJY4AfY3kHU/edit?usp=sharing  #gid=0"",""фіз особи new!relations_name""),6,FALSE)
,
(IF
(
C9743=""юридична особа""
,
VLOOKUP"&amp;"(D9743,IMPORTRANGE(""https://docs.google.com/spreadsheets/d/14Bd19lYaqBhU8_DElYkX7l4wRkHqqCUFNJY4AfY3kHU/edit?usp=sharing  #gid=0"",""фіз особи new!relations_name_uo""),7,FALSE)
,
)
))"),"БАШЛАЄВ Андрій Петрович")</f>
        <v>БАШЛАЄВ Андрій Петрович</v>
      </c>
      <c r="G9742" s="7" t="s">
        <v>10</v>
      </c>
      <c r="H9742" s="7">
        <v>2982</v>
      </c>
      <c r="I9742" s="8" t="str">
        <f ca="1">IFERROR(__xludf.DUMMYFUNCTION("IF
(
G9743=""фізична особа""
,
VLOOKUP(H9743,IMPORTRANGE(""https://docs.google.com/spreadsheets/d/14Bd19lYaqBhU8_DElYkX7l4wRkHqqCUFNJY4AfY3kHU/edit?usp=sharing  #gid=0"",""фіз особи new!relations_name""),6,FALSE)
,
(IF
(
G9743=""юридична особа""
,
VLOOKUP"&amp;"(H9743,IMPORTRANGE(""https://docs.google.com/spreadsheets/d/14Bd19lYaqBhU8_DElYkX7l4wRkHqqCUFNJY4AfY3kHU/edit?usp=sharing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2" s="7" t="s">
        <v>29</v>
      </c>
    </row>
    <row r="9743" spans="1:10" ht="13.2">
      <c r="A9743" s="7">
        <v>9742</v>
      </c>
      <c r="B9743" s="7">
        <v>1</v>
      </c>
      <c r="C9743" s="7" t="s">
        <v>10</v>
      </c>
      <c r="D9743" s="7">
        <v>11574</v>
      </c>
      <c r="E9743" s="7" t="s">
        <v>28</v>
      </c>
      <c r="F9743" s="8" t="str">
        <f ca="1">IFERROR(__xludf.DUMMYFUNCTION("IF
(
C9744=""фізична особа""
,
VLOOKUP(D9744,IMPORTRANGE(""https://docs.google.com/spreadsheets/d/14Bd19lYaqBhU8_DElYkX7l4wRkHqqCUFNJY4AfY3kHU/edit?usp=sharing  #gid=0"",""фіз особи new!relations_name""),6,FALSE)
,
(IF
(
C9744=""юридична особа""
,
VLOOKUP"&amp;"(D9744,IMPORTRANGE(""https://docs.google.com/spreadsheets/d/14Bd19lYaqBhU8_DElYkX7l4wRkHqqCUFNJY4AfY3kHU/edit?usp=sharing  #gid=0"",""фіз особи new!relations_name_uo""),7,FALSE)
,
)
))"),"ДОРОФЄЄВ Андрій Володимирович")</f>
        <v>ДОРОФЄЄВ Андрій Володимирович</v>
      </c>
      <c r="G9743" s="7" t="s">
        <v>10</v>
      </c>
      <c r="H9743" s="7">
        <v>2982</v>
      </c>
      <c r="I9743" s="8" t="str">
        <f ca="1">IFERROR(__xludf.DUMMYFUNCTION("IF
(
G9744=""фізична особа""
,
VLOOKUP(H9744,IMPORTRANGE(""https://docs.google.com/spreadsheets/d/14Bd19lYaqBhU8_DElYkX7l4wRkHqqCUFNJY4AfY3kHU/edit?usp=sharing  #gid=0"",""фіз особи new!relations_name""),6,FALSE)
,
(IF
(
G9744=""юридична особа""
,
VLOOKUP"&amp;"(H9744,IMPORTRANGE(""https://docs.google.com/spreadsheets/d/14Bd19lYaqBhU8_DElYkX7l4wRkHqqCUFNJY4AfY3kHU/edit?usp=sharing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3" s="7" t="s">
        <v>29</v>
      </c>
    </row>
    <row r="9744" spans="1:10" ht="13.2">
      <c r="A9744" s="7">
        <v>9743</v>
      </c>
      <c r="B9744" s="7">
        <v>1</v>
      </c>
      <c r="C9744" s="7" t="s">
        <v>10</v>
      </c>
      <c r="D9744" s="7">
        <v>11575</v>
      </c>
      <c r="E9744" s="7" t="s">
        <v>28</v>
      </c>
      <c r="F9744" s="8" t="str">
        <f ca="1">IFERROR(__xludf.DUMMYFUNCTION("IF
(
C9745=""фізична особа""
,
VLOOKUP(D9745,IMPORTRANGE(""https://docs.google.com/spreadsheets/d/14Bd19lYaqBhU8_DElYkX7l4wRkHqqCUFNJY4AfY3kHU/edit?usp=sharing  #gid=0"",""фіз особи new!relations_name""),6,FALSE)
,
(IF
(
C9745=""юридична особа""
,
VLOOKUP"&amp;"(D9745,IMPORTRANGE(""https://docs.google.com/spreadsheets/d/14Bd19lYaqBhU8_DElYkX7l4wRkHqqCUFNJY4AfY3kHU/edit?usp=sharing  #gid=0"",""фіз особи new!relations_name_uo""),7,FALSE)
,
)
))"),"ФОМІН Сергій Вікторович")</f>
        <v>ФОМІН Сергій Вікторович</v>
      </c>
      <c r="G9744" s="7" t="s">
        <v>10</v>
      </c>
      <c r="H9744" s="7">
        <v>2982</v>
      </c>
      <c r="I9744" s="8" t="str">
        <f ca="1">IFERROR(__xludf.DUMMYFUNCTION("IF
(
G9745=""фізична особа""
,
VLOOKUP(H9745,IMPORTRANGE(""https://docs.google.com/spreadsheets/d/14Bd19lYaqBhU8_DElYkX7l4wRkHqqCUFNJY4AfY3kHU/edit?usp=sharing  #gid=0"",""фіз особи new!relations_name""),6,FALSE)
,
(IF
(
G9745=""юридична особа""
,
VLOOKUP"&amp;"(H9745,IMPORTRANGE(""https://docs.google.com/spreadsheets/d/14Bd19lYaqBhU8_DElYkX7l4wRkHqqCUFNJY4AfY3kHU/edit?usp=sharing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4" s="7" t="s">
        <v>29</v>
      </c>
    </row>
    <row r="9745" spans="1:10" ht="13.2">
      <c r="A9745" s="7">
        <v>9744</v>
      </c>
      <c r="B9745" s="7">
        <v>1</v>
      </c>
      <c r="C9745" s="7" t="s">
        <v>10</v>
      </c>
      <c r="D9745" s="7">
        <v>11576</v>
      </c>
      <c r="E9745" s="7" t="s">
        <v>28</v>
      </c>
      <c r="F9745" s="8" t="str">
        <f ca="1">IFERROR(__xludf.DUMMYFUNCTION("IF
(
C9746=""фізична особа""
,
VLOOKUP(D9746,IMPORTRANGE(""https://docs.google.com/spreadsheets/d/14Bd19lYaqBhU8_DElYkX7l4wRkHqqCUFNJY4AfY3kHU/edit?usp=sharing  #gid=0"",""фіз особи new!relations_name""),6,FALSE)
,
(IF
(
C9746=""юридична особа""
,
VLOOKUP"&amp;"(D9746,IMPORTRANGE(""https://docs.google.com/spreadsheets/d/14Bd19lYaqBhU8_DElYkX7l4wRkHqqCUFNJY4AfY3kHU/edit?usp=sharing  #gid=0"",""фіз особи new!relations_name_uo""),7,FALSE)
,
)
))"),"РОЖКО Юрій Григорович")</f>
        <v>РОЖКО Юрій Григорович</v>
      </c>
      <c r="G9745" s="7" t="s">
        <v>10</v>
      </c>
      <c r="H9745" s="7">
        <v>2982</v>
      </c>
      <c r="I9745" s="8" t="str">
        <f ca="1">IFERROR(__xludf.DUMMYFUNCTION("IF
(
G9746=""фізична особа""
,
VLOOKUP(H9746,IMPORTRANGE(""https://docs.google.com/spreadsheets/d/14Bd19lYaqBhU8_DElYkX7l4wRkHqqCUFNJY4AfY3kHU/edit?usp=sharing  #gid=0"",""фіз особи new!relations_name""),6,FALSE)
,
(IF
(
G9746=""юридична особа""
,
VLOOKUP"&amp;"(H9746,IMPORTRANGE(""https://docs.google.com/spreadsheets/d/14Bd19lYaqBhU8_DElYkX7l4wRkHqqCUFNJY4AfY3kHU/edit?usp=sharing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5" s="7" t="s">
        <v>29</v>
      </c>
    </row>
    <row r="9746" spans="1:10" ht="13.2">
      <c r="A9746" s="7">
        <v>9745</v>
      </c>
      <c r="B9746" s="7">
        <v>1</v>
      </c>
      <c r="C9746" s="7" t="s">
        <v>10</v>
      </c>
      <c r="D9746" s="7">
        <v>11577</v>
      </c>
      <c r="E9746" s="7" t="s">
        <v>28</v>
      </c>
      <c r="F9746" s="8" t="str">
        <f ca="1">IFERROR(__xludf.DUMMYFUNCTION("IF
(
C9747=""фізична особа""
,
VLOOKUP(D9747,IMPORTRANGE(""https://docs.google.com/spreadsheets/d/14Bd19lYaqBhU8_DElYkX7l4wRkHqqCUFNJY4AfY3kHU/edit?usp=sharing  #gid=0"",""фіз особи new!relations_name""),6,FALSE)
,
(IF
(
C9747=""юридична особа""
,
VLOOKUP"&amp;"(D9747,IMPORTRANGE(""https://docs.google.com/spreadsheets/d/14Bd19lYaqBhU8_DElYkX7l4wRkHqqCUFNJY4AfY3kHU/edit?usp=sharing  #gid=0"",""фіз особи new!relations_name_uo""),7,FALSE)
,
)
))"),"ТУРІЩЕВ Ігор Петрович")</f>
        <v>ТУРІЩЕВ Ігор Петрович</v>
      </c>
      <c r="G9746" s="7" t="s">
        <v>10</v>
      </c>
      <c r="H9746" s="7">
        <v>2982</v>
      </c>
      <c r="I9746" s="8" t="str">
        <f ca="1">IFERROR(__xludf.DUMMYFUNCTION("IF
(
G9747=""фізична особа""
,
VLOOKUP(H9747,IMPORTRANGE(""https://docs.google.com/spreadsheets/d/14Bd19lYaqBhU8_DElYkX7l4wRkHqqCUFNJY4AfY3kHU/edit?usp=sharing  #gid=0"",""фіз особи new!relations_name""),6,FALSE)
,
(IF
(
G9747=""юридична особа""
,
VLOOKUP"&amp;"(H9747,IMPORTRANGE(""https://docs.google.com/spreadsheets/d/14Bd19lYaqBhU8_DElYkX7l4wRkHqqCUFNJY4AfY3kHU/edit?usp=sharing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6" s="7" t="s">
        <v>29</v>
      </c>
    </row>
    <row r="9747" spans="1:10" ht="13.2">
      <c r="A9747" s="7">
        <v>9746</v>
      </c>
      <c r="B9747" s="7">
        <v>1</v>
      </c>
      <c r="C9747" s="7" t="s">
        <v>10</v>
      </c>
      <c r="D9747" s="7">
        <v>11578</v>
      </c>
      <c r="E9747" s="7" t="s">
        <v>28</v>
      </c>
      <c r="F9747" s="8" t="str">
        <f ca="1">IFERROR(__xludf.DUMMYFUNCTION("IF
(
C9748=""фізична особа""
,
VLOOKUP(D9748,IMPORTRANGE(""https://docs.google.com/spreadsheets/d/14Bd19lYaqBhU8_DElYkX7l4wRkHqqCUFNJY4AfY3kHU/edit?usp=sharing  #gid=0"",""фіз особи new!relations_name""),6,FALSE)
,
(IF
(
C9748=""юридична особа""
,
VLOOKUP"&amp;"(D9748,IMPORTRANGE(""https://docs.google.com/spreadsheets/d/14Bd19lYaqBhU8_DElYkX7l4wRkHqqCUFNJY4AfY3kHU/edit?usp=sharing  #gid=0"",""фіз особи new!relations_name_uo""),7,FALSE)
,
)
))"),"КРАВЦОВ Дмитро Володимирович")</f>
        <v>КРАВЦОВ Дмитро Володимирович</v>
      </c>
      <c r="G9747" s="7" t="s">
        <v>10</v>
      </c>
      <c r="H9747" s="7">
        <v>2982</v>
      </c>
      <c r="I9747" s="8" t="str">
        <f ca="1">IFERROR(__xludf.DUMMYFUNCTION("IF
(
G9748=""фізична особа""
,
VLOOKUP(H9748,IMPORTRANGE(""https://docs.google.com/spreadsheets/d/14Bd19lYaqBhU8_DElYkX7l4wRkHqqCUFNJY4AfY3kHU/edit?usp=sharing  #gid=0"",""фіз особи new!relations_name""),6,FALSE)
,
(IF
(
G9748=""юридична особа""
,
VLOOKUP"&amp;"(H9748,IMPORTRANGE(""https://docs.google.com/spreadsheets/d/14Bd19lYaqBhU8_DElYkX7l4wRkHqqCUFNJY4AfY3kHU/edit?usp=sharing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7" s="7" t="s">
        <v>29</v>
      </c>
    </row>
    <row r="9748" spans="1:10" ht="13.2">
      <c r="A9748" s="7">
        <v>9747</v>
      </c>
      <c r="B9748" s="7">
        <v>1</v>
      </c>
      <c r="C9748" s="7" t="s">
        <v>10</v>
      </c>
      <c r="D9748" s="7">
        <v>11579</v>
      </c>
      <c r="E9748" s="7" t="s">
        <v>28</v>
      </c>
      <c r="F9748" s="8" t="str">
        <f ca="1">IFERROR(__xludf.DUMMYFUNCTION("IF
(
C9749=""фізична особа""
,
VLOOKUP(D9749,IMPORTRANGE(""https://docs.google.com/spreadsheets/d/14Bd19lYaqBhU8_DElYkX7l4wRkHqqCUFNJY4AfY3kHU/edit?usp=sharing  #gid=0"",""фіз особи new!relations_name""),6,FALSE)
,
(IF
(
C9749=""юридична особа""
,
VLOOKUP"&amp;"(D9749,IMPORTRANGE(""https://docs.google.com/spreadsheets/d/14Bd19lYaqBhU8_DElYkX7l4wRkHqqCUFNJY4AfY3kHU/edit?usp=sharing  #gid=0"",""фіз особи new!relations_name_uo""),7,FALSE)
,
)
))"),"ПАСЬКО Олександр Миколайович")</f>
        <v>ПАСЬКО Олександр Миколайович</v>
      </c>
      <c r="G9748" s="7" t="s">
        <v>10</v>
      </c>
      <c r="H9748" s="7">
        <v>2982</v>
      </c>
      <c r="I9748" s="8" t="str">
        <f ca="1">IFERROR(__xludf.DUMMYFUNCTION("IF
(
G9749=""фізична особа""
,
VLOOKUP(H9749,IMPORTRANGE(""https://docs.google.com/spreadsheets/d/14Bd19lYaqBhU8_DElYkX7l4wRkHqqCUFNJY4AfY3kHU/edit?usp=sharing  #gid=0"",""фіз особи new!relations_name""),6,FALSE)
,
(IF
(
G9749=""юридична особа""
,
VLOOKUP"&amp;"(H9749,IMPORTRANGE(""https://docs.google.com/spreadsheets/d/14Bd19lYaqBhU8_DElYkX7l4wRkHqqCUFNJY4AfY3kHU/edit?usp=sharing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8" s="7" t="s">
        <v>29</v>
      </c>
    </row>
    <row r="9749" spans="1:10" ht="13.2">
      <c r="A9749" s="7">
        <v>9748</v>
      </c>
      <c r="B9749" s="7">
        <v>1</v>
      </c>
      <c r="C9749" s="7" t="s">
        <v>10</v>
      </c>
      <c r="D9749" s="7">
        <v>11580</v>
      </c>
      <c r="E9749" s="7" t="s">
        <v>28</v>
      </c>
      <c r="F9749" s="8" t="str">
        <f ca="1">IFERROR(__xludf.DUMMYFUNCTION("IF
(
C9750=""фізична особа""
,
VLOOKUP(D9750,IMPORTRANGE(""https://docs.google.com/spreadsheets/d/14Bd19lYaqBhU8_DElYkX7l4wRkHqqCUFNJY4AfY3kHU/edit?usp=sharing  #gid=0"",""фіз особи new!relations_name""),6,FALSE)
,
(IF
(
C9750=""юридична особа""
,
VLOOKUP"&amp;"(D9750,IMPORTRANGE(""https://docs.google.com/spreadsheets/d/14Bd19lYaqBhU8_DElYkX7l4wRkHqqCUFNJY4AfY3kHU/edit?usp=sharing  #gid=0"",""фіз особи new!relations_name_uo""),7,FALSE)
,
)
))"),"СЕМЕНОВ Сергій Вікторович")</f>
        <v>СЕМЕНОВ Сергій Вікторович</v>
      </c>
      <c r="G9749" s="7" t="s">
        <v>10</v>
      </c>
      <c r="H9749" s="7">
        <v>2982</v>
      </c>
      <c r="I9749" s="8" t="str">
        <f ca="1">IFERROR(__xludf.DUMMYFUNCTION("IF
(
G9750=""фізична особа""
,
VLOOKUP(H9750,IMPORTRANGE(""https://docs.google.com/spreadsheets/d/14Bd19lYaqBhU8_DElYkX7l4wRkHqqCUFNJY4AfY3kHU/edit?usp=sharing  #gid=0"",""фіз особи new!relations_name""),6,FALSE)
,
(IF
(
G9750=""юридична особа""
,
VLOOKUP"&amp;"(H9750,IMPORTRANGE(""https://docs.google.com/spreadsheets/d/14Bd19lYaqBhU8_DElYkX7l4wRkHqqCUFNJY4AfY3kHU/edit?usp=sharing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49" s="7" t="s">
        <v>29</v>
      </c>
    </row>
    <row r="9750" spans="1:10" ht="13.2">
      <c r="A9750" s="7">
        <v>9749</v>
      </c>
      <c r="B9750" s="7">
        <v>1</v>
      </c>
      <c r="C9750" s="7" t="s">
        <v>10</v>
      </c>
      <c r="D9750" s="7">
        <v>11581</v>
      </c>
      <c r="E9750" s="7" t="s">
        <v>28</v>
      </c>
      <c r="F9750" s="8" t="str">
        <f ca="1">IFERROR(__xludf.DUMMYFUNCTION("IF
(
C9751=""фізична особа""
,
VLOOKUP(D9751,IMPORTRANGE(""https://docs.google.com/spreadsheets/d/14Bd19lYaqBhU8_DElYkX7l4wRkHqqCUFNJY4AfY3kHU/edit?usp=sharing  #gid=0"",""фіз особи new!relations_name""),6,FALSE)
,
(IF
(
C9751=""юридична особа""
,
VLOOKUP"&amp;"(D9751,IMPORTRANGE(""https://docs.google.com/spreadsheets/d/14Bd19lYaqBhU8_DElYkX7l4wRkHqqCUFNJY4AfY3kHU/edit?usp=sharing  #gid=0"",""фіз особи new!relations_name_uo""),7,FALSE)
,
)
))"),"ШУЛЬГІН Сергій Олексійович")</f>
        <v>ШУЛЬГІН Сергій Олексійович</v>
      </c>
      <c r="G9750" s="7" t="s">
        <v>10</v>
      </c>
      <c r="H9750" s="7">
        <v>2982</v>
      </c>
      <c r="I9750" s="8" t="str">
        <f ca="1">IFERROR(__xludf.DUMMYFUNCTION("IF
(
G9751=""фізична особа""
,
VLOOKUP(H9751,IMPORTRANGE(""https://docs.google.com/spreadsheets/d/14Bd19lYaqBhU8_DElYkX7l4wRkHqqCUFNJY4AfY3kHU/edit?usp=sharing  #gid=0"",""фіз особи new!relations_name""),6,FALSE)
,
(IF
(
G9751=""юридична особа""
,
VLOOKUP"&amp;"(H9751,IMPORTRANGE(""https://docs.google.com/spreadsheets/d/14Bd19lYaqBhU8_DElYkX7l4wRkHqqCUFNJY4AfY3kHU/edit?usp=sharing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0" s="7" t="s">
        <v>29</v>
      </c>
    </row>
    <row r="9751" spans="1:10" ht="13.2">
      <c r="A9751" s="7">
        <v>9750</v>
      </c>
      <c r="B9751" s="7">
        <v>1</v>
      </c>
      <c r="C9751" s="7" t="s">
        <v>10</v>
      </c>
      <c r="D9751" s="7">
        <v>11582</v>
      </c>
      <c r="E9751" s="7" t="s">
        <v>28</v>
      </c>
      <c r="F9751" s="8" t="str">
        <f ca="1">IFERROR(__xludf.DUMMYFUNCTION("IF
(
C9752=""фізична особа""
,
VLOOKUP(D9752,IMPORTRANGE(""https://docs.google.com/spreadsheets/d/14Bd19lYaqBhU8_DElYkX7l4wRkHqqCUFNJY4AfY3kHU/edit?usp=sharing  #gid=0"",""фіз особи new!relations_name""),6,FALSE)
,
(IF
(
C9752=""юридична особа""
,
VLOOKUP"&amp;"(D9752,IMPORTRANGE(""https://docs.google.com/spreadsheets/d/14Bd19lYaqBhU8_DElYkX7l4wRkHqqCUFNJY4AfY3kHU/edit?usp=sharing  #gid=0"",""фіз особи new!relations_name_uo""),7,FALSE)
,
)
))"),"ОСИПОВ Андрій Володимирович")</f>
        <v>ОСИПОВ Андрій Володимирович</v>
      </c>
      <c r="G9751" s="7" t="s">
        <v>10</v>
      </c>
      <c r="H9751" s="7">
        <v>2982</v>
      </c>
      <c r="I9751" s="8" t="str">
        <f ca="1">IFERROR(__xludf.DUMMYFUNCTION("IF
(
G9752=""фізична особа""
,
VLOOKUP(H9752,IMPORTRANGE(""https://docs.google.com/spreadsheets/d/14Bd19lYaqBhU8_DElYkX7l4wRkHqqCUFNJY4AfY3kHU/edit?usp=sharing  #gid=0"",""фіз особи new!relations_name""),6,FALSE)
,
(IF
(
G9752=""юридична особа""
,
VLOOKUP"&amp;"(H9752,IMPORTRANGE(""https://docs.google.com/spreadsheets/d/14Bd19lYaqBhU8_DElYkX7l4wRkHqqCUFNJY4AfY3kHU/edit?usp=sharing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1" s="7" t="s">
        <v>29</v>
      </c>
    </row>
    <row r="9752" spans="1:10" ht="13.2">
      <c r="A9752" s="7">
        <v>9751</v>
      </c>
      <c r="B9752" s="7">
        <v>1</v>
      </c>
      <c r="C9752" s="7" t="s">
        <v>10</v>
      </c>
      <c r="D9752" s="7">
        <v>11583</v>
      </c>
      <c r="E9752" s="7" t="s">
        <v>28</v>
      </c>
      <c r="F9752" s="8" t="str">
        <f ca="1">IFERROR(__xludf.DUMMYFUNCTION("IF
(
C9753=""фізична особа""
,
VLOOKUP(D9753,IMPORTRANGE(""https://docs.google.com/spreadsheets/d/14Bd19lYaqBhU8_DElYkX7l4wRkHqqCUFNJY4AfY3kHU/edit?usp=sharing  #gid=0"",""фіз особи new!relations_name""),6,FALSE)
,
(IF
(
C9753=""юридична особа""
,
VLOOKUP"&amp;"(D9753,IMPORTRANGE(""https://docs.google.com/spreadsheets/d/14Bd19lYaqBhU8_DElYkX7l4wRkHqqCUFNJY4AfY3kHU/edit?usp=sharing  #gid=0"",""фіз особи new!relations_name_uo""),7,FALSE)
,
)
))"),"КУСТОВ Олег Борисович")</f>
        <v>КУСТОВ Олег Борисович</v>
      </c>
      <c r="G9752" s="7" t="s">
        <v>10</v>
      </c>
      <c r="H9752" s="7">
        <v>2982</v>
      </c>
      <c r="I9752" s="8" t="str">
        <f ca="1">IFERROR(__xludf.DUMMYFUNCTION("IF
(
G9753=""фізична особа""
,
VLOOKUP(H9753,IMPORTRANGE(""https://docs.google.com/spreadsheets/d/14Bd19lYaqBhU8_DElYkX7l4wRkHqqCUFNJY4AfY3kHU/edit?usp=sharing  #gid=0"",""фіз особи new!relations_name""),6,FALSE)
,
(IF
(
G9753=""юридична особа""
,
VLOOKUP"&amp;"(H9753,IMPORTRANGE(""https://docs.google.com/spreadsheets/d/14Bd19lYaqBhU8_DElYkX7l4wRkHqqCUFNJY4AfY3kHU/edit?usp=sharing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2" s="7" t="s">
        <v>29</v>
      </c>
    </row>
    <row r="9753" spans="1:10" ht="13.2">
      <c r="A9753" s="7">
        <v>9752</v>
      </c>
      <c r="B9753" s="7">
        <v>1</v>
      </c>
      <c r="C9753" s="7" t="s">
        <v>10</v>
      </c>
      <c r="D9753" s="7">
        <v>11584</v>
      </c>
      <c r="E9753" s="7" t="s">
        <v>28</v>
      </c>
      <c r="F9753" s="8" t="str">
        <f ca="1">IFERROR(__xludf.DUMMYFUNCTION("IF
(
C9754=""фізична особа""
,
VLOOKUP(D9754,IMPORTRANGE(""https://docs.google.com/spreadsheets/d/14Bd19lYaqBhU8_DElYkX7l4wRkHqqCUFNJY4AfY3kHU/edit?usp=sharing  #gid=0"",""фіз особи new!relations_name""),6,FALSE)
,
(IF
(
C9754=""юридична особа""
,
VLOOKUP"&amp;"(D9754,IMPORTRANGE(""https://docs.google.com/spreadsheets/d/14Bd19lYaqBhU8_DElYkX7l4wRkHqqCUFNJY4AfY3kHU/edit?usp=sharing  #gid=0"",""фіз особи new!relations_name_uo""),7,FALSE)
,
)
))"),"ЄРМОЛАЄВ Олександр Євгенович")</f>
        <v>ЄРМОЛАЄВ Олександр Євгенович</v>
      </c>
      <c r="G9753" s="7" t="s">
        <v>10</v>
      </c>
      <c r="H9753" s="7">
        <v>2982</v>
      </c>
      <c r="I9753" s="8" t="str">
        <f ca="1">IFERROR(__xludf.DUMMYFUNCTION("IF
(
G9754=""фізична особа""
,
VLOOKUP(H9754,IMPORTRANGE(""https://docs.google.com/spreadsheets/d/14Bd19lYaqBhU8_DElYkX7l4wRkHqqCUFNJY4AfY3kHU/edit?usp=sharing  #gid=0"",""фіз особи new!relations_name""),6,FALSE)
,
(IF
(
G9754=""юридична особа""
,
VLOOKUP"&amp;"(H9754,IMPORTRANGE(""https://docs.google.com/spreadsheets/d/14Bd19lYaqBhU8_DElYkX7l4wRkHqqCUFNJY4AfY3kHU/edit?usp=sharing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3" s="7" t="s">
        <v>29</v>
      </c>
    </row>
    <row r="9754" spans="1:10" ht="13.2">
      <c r="A9754" s="7">
        <v>9753</v>
      </c>
      <c r="B9754" s="7">
        <v>1</v>
      </c>
      <c r="C9754" s="7" t="s">
        <v>10</v>
      </c>
      <c r="D9754" s="7">
        <v>11585</v>
      </c>
      <c r="E9754" s="7" t="s">
        <v>28</v>
      </c>
      <c r="F9754" s="8" t="str">
        <f ca="1">IFERROR(__xludf.DUMMYFUNCTION("IF
(
C9755=""фізична особа""
,
VLOOKUP(D9755,IMPORTRANGE(""https://docs.google.com/spreadsheets/d/14Bd19lYaqBhU8_DElYkX7l4wRkHqqCUFNJY4AfY3kHU/edit?usp=sharing  #gid=0"",""фіз особи new!relations_name""),6,FALSE)
,
(IF
(
C9755=""юридична особа""
,
VLOOKUP"&amp;"(D9755,IMPORTRANGE(""https://docs.google.com/spreadsheets/d/14Bd19lYaqBhU8_DElYkX7l4wRkHqqCUFNJY4AfY3kHU/edit?usp=sharing  #gid=0"",""фіз особи new!relations_name_uo""),7,FALSE)
,
)
))"),"КРЮКОВ Олександр Миколайович")</f>
        <v>КРЮКОВ Олександр Миколайович</v>
      </c>
      <c r="G9754" s="7" t="s">
        <v>10</v>
      </c>
      <c r="H9754" s="7">
        <v>2982</v>
      </c>
      <c r="I9754" s="8" t="str">
        <f ca="1">IFERROR(__xludf.DUMMYFUNCTION("IF
(
G9755=""фізична особа""
,
VLOOKUP(H9755,IMPORTRANGE(""https://docs.google.com/spreadsheets/d/14Bd19lYaqBhU8_DElYkX7l4wRkHqqCUFNJY4AfY3kHU/edit?usp=sharing  #gid=0"",""фіз особи new!relations_name""),6,FALSE)
,
(IF
(
G9755=""юридична особа""
,
VLOOKUP"&amp;"(H9755,IMPORTRANGE(""https://docs.google.com/spreadsheets/d/14Bd19lYaqBhU8_DElYkX7l4wRkHqqCUFNJY4AfY3kHU/edit?usp=sharing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4" s="7" t="s">
        <v>29</v>
      </c>
    </row>
    <row r="9755" spans="1:10" ht="13.2">
      <c r="A9755" s="7">
        <v>9754</v>
      </c>
      <c r="B9755" s="7">
        <v>1</v>
      </c>
      <c r="C9755" s="7" t="s">
        <v>10</v>
      </c>
      <c r="D9755" s="7">
        <v>11586</v>
      </c>
      <c r="E9755" s="7" t="s">
        <v>28</v>
      </c>
      <c r="F9755" s="8" t="str">
        <f ca="1">IFERROR(__xludf.DUMMYFUNCTION("IF
(
C9756=""фізична особа""
,
VLOOKUP(D9756,IMPORTRANGE(""https://docs.google.com/spreadsheets/d/14Bd19lYaqBhU8_DElYkX7l4wRkHqqCUFNJY4AfY3kHU/edit?usp=sharing  #gid=0"",""фіз особи new!relations_name""),6,FALSE)
,
(IF
(
C9756=""юридична особа""
,
VLOOKUP"&amp;"(D9756,IMPORTRANGE(""https://docs.google.com/spreadsheets/d/14Bd19lYaqBhU8_DElYkX7l4wRkHqqCUFNJY4AfY3kHU/edit?usp=sharing  #gid=0"",""фіз особи new!relations_name_uo""),7,FALSE)
,
)
))"),"РУДЯК Володимир Васильович")</f>
        <v>РУДЯК Володимир Васильович</v>
      </c>
      <c r="G9755" s="7" t="s">
        <v>10</v>
      </c>
      <c r="H9755" s="7">
        <v>2982</v>
      </c>
      <c r="I9755" s="8" t="str">
        <f ca="1">IFERROR(__xludf.DUMMYFUNCTION("IF
(
G9756=""фізична особа""
,
VLOOKUP(H9756,IMPORTRANGE(""https://docs.google.com/spreadsheets/d/14Bd19lYaqBhU8_DElYkX7l4wRkHqqCUFNJY4AfY3kHU/edit?usp=sharing  #gid=0"",""фіз особи new!relations_name""),6,FALSE)
,
(IF
(
G9756=""юридична особа""
,
VLOOKUP"&amp;"(H9756,IMPORTRANGE(""https://docs.google.com/spreadsheets/d/14Bd19lYaqBhU8_DElYkX7l4wRkHqqCUFNJY4AfY3kHU/edit?usp=sharing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5" s="7" t="s">
        <v>29</v>
      </c>
    </row>
    <row r="9756" spans="1:10" ht="13.2">
      <c r="A9756" s="7">
        <v>9755</v>
      </c>
      <c r="B9756" s="7">
        <v>1</v>
      </c>
      <c r="C9756" s="7" t="s">
        <v>10</v>
      </c>
      <c r="D9756" s="7">
        <v>11587</v>
      </c>
      <c r="E9756" s="7" t="s">
        <v>28</v>
      </c>
      <c r="F9756" s="8" t="str">
        <f ca="1">IFERROR(__xludf.DUMMYFUNCTION("IF
(
C9757=""фізична особа""
,
VLOOKUP(D9757,IMPORTRANGE(""https://docs.google.com/spreadsheets/d/14Bd19lYaqBhU8_DElYkX7l4wRkHqqCUFNJY4AfY3kHU/edit?usp=sharing  #gid=0"",""фіз особи new!relations_name""),6,FALSE)
,
(IF
(
C9757=""юридична особа""
,
VLOOKUP"&amp;"(D9757,IMPORTRANGE(""https://docs.google.com/spreadsheets/d/14Bd19lYaqBhU8_DElYkX7l4wRkHqqCUFNJY4AfY3kHU/edit?usp=sharing  #gid=0"",""фіз особи new!relations_name_uo""),7,FALSE)
,
)
))"),"ГЛАДКОВ Данило Борисович")</f>
        <v>ГЛАДКОВ Данило Борисович</v>
      </c>
      <c r="G9756" s="7" t="s">
        <v>10</v>
      </c>
      <c r="H9756" s="7">
        <v>2982</v>
      </c>
      <c r="I9756" s="8" t="str">
        <f ca="1">IFERROR(__xludf.DUMMYFUNCTION("IF
(
G9757=""фізична особа""
,
VLOOKUP(H9757,IMPORTRANGE(""https://docs.google.com/spreadsheets/d/14Bd19lYaqBhU8_DElYkX7l4wRkHqqCUFNJY4AfY3kHU/edit?usp=sharing  #gid=0"",""фіз особи new!relations_name""),6,FALSE)
,
(IF
(
G9757=""юридична особа""
,
VLOOKUP"&amp;"(H9757,IMPORTRANGE(""https://docs.google.com/spreadsheets/d/14Bd19lYaqBhU8_DElYkX7l4wRkHqqCUFNJY4AfY3kHU/edit?usp=sharing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6" s="7" t="s">
        <v>29</v>
      </c>
    </row>
    <row r="9757" spans="1:10" ht="13.2">
      <c r="A9757" s="7">
        <v>9756</v>
      </c>
      <c r="B9757" s="7">
        <v>1</v>
      </c>
      <c r="C9757" s="7" t="s">
        <v>10</v>
      </c>
      <c r="D9757" s="7">
        <v>11588</v>
      </c>
      <c r="E9757" s="7" t="s">
        <v>28</v>
      </c>
      <c r="F9757" s="8" t="str">
        <f ca="1">IFERROR(__xludf.DUMMYFUNCTION("IF
(
C9758=""фізична особа""
,
VLOOKUP(D9758,IMPORTRANGE(""https://docs.google.com/spreadsheets/d/14Bd19lYaqBhU8_DElYkX7l4wRkHqqCUFNJY4AfY3kHU/edit?usp=sharing  #gid=0"",""фіз особи new!relations_name""),6,FALSE)
,
(IF
(
C9758=""юридична особа""
,
VLOOKUP"&amp;"(D9758,IMPORTRANGE(""https://docs.google.com/spreadsheets/d/14Bd19lYaqBhU8_DElYkX7l4wRkHqqCUFNJY4AfY3kHU/edit?usp=sharing  #gid=0"",""фіз особи new!relations_name_uo""),7,FALSE)
,
)
))"),"ЄРЕГІН Микола Олексійович")</f>
        <v>ЄРЕГІН Микола Олексійович</v>
      </c>
      <c r="G9757" s="7" t="s">
        <v>10</v>
      </c>
      <c r="H9757" s="7">
        <v>2982</v>
      </c>
      <c r="I9757" s="8" t="str">
        <f ca="1">IFERROR(__xludf.DUMMYFUNCTION("IF
(
G9758=""фізична особа""
,
VLOOKUP(H9758,IMPORTRANGE(""https://docs.google.com/spreadsheets/d/14Bd19lYaqBhU8_DElYkX7l4wRkHqqCUFNJY4AfY3kHU/edit?usp=sharing  #gid=0"",""фіз особи new!relations_name""),6,FALSE)
,
(IF
(
G9758=""юридична особа""
,
VLOOKUP"&amp;"(H9758,IMPORTRANGE(""https://docs.google.com/spreadsheets/d/14Bd19lYaqBhU8_DElYkX7l4wRkHqqCUFNJY4AfY3kHU/edit?usp=sharing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7" s="7" t="s">
        <v>29</v>
      </c>
    </row>
    <row r="9758" spans="1:10" ht="13.2">
      <c r="A9758" s="7">
        <v>9757</v>
      </c>
      <c r="B9758" s="7">
        <v>1</v>
      </c>
      <c r="C9758" s="7" t="s">
        <v>10</v>
      </c>
      <c r="D9758" s="7">
        <v>11589</v>
      </c>
      <c r="E9758" s="7" t="s">
        <v>28</v>
      </c>
      <c r="F9758" s="8" t="str">
        <f ca="1">IFERROR(__xludf.DUMMYFUNCTION("IF
(
C9759=""фізична особа""
,
VLOOKUP(D9759,IMPORTRANGE(""https://docs.google.com/spreadsheets/d/14Bd19lYaqBhU8_DElYkX7l4wRkHqqCUFNJY4AfY3kHU/edit?usp=sharing  #gid=0"",""фіз особи new!relations_name""),6,FALSE)
,
(IF
(
C9759=""юридична особа""
,
VLOOKUP"&amp;"(D9759,IMPORTRANGE(""https://docs.google.com/spreadsheets/d/14Bd19lYaqBhU8_DElYkX7l4wRkHqqCUFNJY4AfY3kHU/edit?usp=sharing  #gid=0"",""фіз особи new!relations_name_uo""),7,FALSE)
,
)
))"),"КУЗНЄЦОВ Андрій Сергійович")</f>
        <v>КУЗНЄЦОВ Андрій Сергійович</v>
      </c>
      <c r="G9758" s="7" t="s">
        <v>10</v>
      </c>
      <c r="H9758" s="7">
        <v>2982</v>
      </c>
      <c r="I9758" s="8" t="str">
        <f ca="1">IFERROR(__xludf.DUMMYFUNCTION("IF
(
G9759=""фізична особа""
,
VLOOKUP(H9759,IMPORTRANGE(""https://docs.google.com/spreadsheets/d/14Bd19lYaqBhU8_DElYkX7l4wRkHqqCUFNJY4AfY3kHU/edit?usp=sharing  #gid=0"",""фіз особи new!relations_name""),6,FALSE)
,
(IF
(
G9759=""юридична особа""
,
VLOOKUP"&amp;"(H9759,IMPORTRANGE(""https://docs.google.com/spreadsheets/d/14Bd19lYaqBhU8_DElYkX7l4wRkHqqCUFNJY4AfY3kHU/edit?usp=sharing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8" s="7" t="s">
        <v>29</v>
      </c>
    </row>
    <row r="9759" spans="1:10" ht="13.2">
      <c r="A9759" s="7">
        <v>9758</v>
      </c>
      <c r="B9759" s="7">
        <v>1</v>
      </c>
      <c r="C9759" s="7" t="s">
        <v>10</v>
      </c>
      <c r="D9759" s="7">
        <v>11590</v>
      </c>
      <c r="E9759" s="7" t="s">
        <v>28</v>
      </c>
      <c r="F9759" s="8" t="str">
        <f ca="1">IFERROR(__xludf.DUMMYFUNCTION("IF
(
C9760=""фізична особа""
,
VLOOKUP(D9760,IMPORTRANGE(""https://docs.google.com/spreadsheets/d/14Bd19lYaqBhU8_DElYkX7l4wRkHqqCUFNJY4AfY3kHU/edit?usp=sharing  #gid=0"",""фіз особи new!relations_name""),6,FALSE)
,
(IF
(
C9760=""юридична особа""
,
VLOOKUP"&amp;"(D9760,IMPORTRANGE(""https://docs.google.com/spreadsheets/d/14Bd19lYaqBhU8_DElYkX7l4wRkHqqCUFNJY4AfY3kHU/edit?usp=sharing  #gid=0"",""фіз особи new!relations_name_uo""),7,FALSE)
,
)
))"),"БАКЛАГОВ Сергій Анатолійович")</f>
        <v>БАКЛАГОВ Сергій Анатолійович</v>
      </c>
      <c r="G9759" s="7" t="s">
        <v>10</v>
      </c>
      <c r="H9759" s="7">
        <v>2982</v>
      </c>
      <c r="I9759" s="8" t="str">
        <f ca="1">IFERROR(__xludf.DUMMYFUNCTION("IF
(
G9760=""фізична особа""
,
VLOOKUP(H9760,IMPORTRANGE(""https://docs.google.com/spreadsheets/d/14Bd19lYaqBhU8_DElYkX7l4wRkHqqCUFNJY4AfY3kHU/edit?usp=sharing  #gid=0"",""фіз особи new!relations_name""),6,FALSE)
,
(IF
(
G9760=""юридична особа""
,
VLOOKUP"&amp;"(H9760,IMPORTRANGE(""https://docs.google.com/spreadsheets/d/14Bd19lYaqBhU8_DElYkX7l4wRkHqqCUFNJY4AfY3kHU/edit?usp=sharing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59" s="7" t="s">
        <v>29</v>
      </c>
    </row>
    <row r="9760" spans="1:10" ht="13.2">
      <c r="A9760" s="7">
        <v>9759</v>
      </c>
      <c r="B9760" s="7">
        <v>1</v>
      </c>
      <c r="C9760" s="7" t="s">
        <v>10</v>
      </c>
      <c r="D9760" s="7">
        <v>11591</v>
      </c>
      <c r="E9760" s="7" t="s">
        <v>28</v>
      </c>
      <c r="F9760" s="8" t="str">
        <f ca="1">IFERROR(__xludf.DUMMYFUNCTION("IF
(
C9761=""фізична особа""
,
VLOOKUP(D9761,IMPORTRANGE(""https://docs.google.com/spreadsheets/d/14Bd19lYaqBhU8_DElYkX7l4wRkHqqCUFNJY4AfY3kHU/edit?usp=sharing  #gid=0"",""фіз особи new!relations_name""),6,FALSE)
,
(IF
(
C9761=""юридична особа""
,
VLOOKUP"&amp;"(D9761,IMPORTRANGE(""https://docs.google.com/spreadsheets/d/14Bd19lYaqBhU8_DElYkX7l4wRkHqqCUFNJY4AfY3kHU/edit?usp=sharing  #gid=0"",""фіз особи new!relations_name_uo""),7,FALSE)
,
)
))"),"ЦУКАНОВ Андрій Михайлович")</f>
        <v>ЦУКАНОВ Андрій Михайлович</v>
      </c>
      <c r="G9760" s="7" t="s">
        <v>10</v>
      </c>
      <c r="H9760" s="7">
        <v>2982</v>
      </c>
      <c r="I9760" s="8" t="str">
        <f ca="1">IFERROR(__xludf.DUMMYFUNCTION("IF
(
G9761=""фізична особа""
,
VLOOKUP(H9761,IMPORTRANGE(""https://docs.google.com/spreadsheets/d/14Bd19lYaqBhU8_DElYkX7l4wRkHqqCUFNJY4AfY3kHU/edit?usp=sharing  #gid=0"",""фіз особи new!relations_name""),6,FALSE)
,
(IF
(
G9761=""юридична особа""
,
VLOOKUP"&amp;"(H9761,IMPORTRANGE(""https://docs.google.com/spreadsheets/d/14Bd19lYaqBhU8_DElYkX7l4wRkHqqCUFNJY4AfY3kHU/edit?usp=sharing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60" s="7" t="s">
        <v>29</v>
      </c>
    </row>
    <row r="9761" spans="1:10" ht="13.2">
      <c r="A9761" s="7">
        <v>9760</v>
      </c>
      <c r="B9761" s="7">
        <v>1</v>
      </c>
      <c r="C9761" s="7" t="s">
        <v>10</v>
      </c>
      <c r="D9761" s="7">
        <v>11592</v>
      </c>
      <c r="E9761" s="7" t="s">
        <v>28</v>
      </c>
      <c r="F9761" s="8" t="str">
        <f ca="1">IFERROR(__xludf.DUMMYFUNCTION("IF
(
C9762=""фізична особа""
,
VLOOKUP(D9762,IMPORTRANGE(""https://docs.google.com/spreadsheets/d/14Bd19lYaqBhU8_DElYkX7l4wRkHqqCUFNJY4AfY3kHU/edit?usp=sharing  #gid=0"",""фіз особи new!relations_name""),6,FALSE)
,
(IF
(
C9762=""юридична особа""
,
VLOOKUP"&amp;"(D9762,IMPORTRANGE(""https://docs.google.com/spreadsheets/d/14Bd19lYaqBhU8_DElYkX7l4wRkHqqCUFNJY4AfY3kHU/edit?usp=sharing  #gid=0"",""фіз особи new!relations_name_uo""),7,FALSE)
,
)
))"),"КОНСТАНТІНОВ Владислав Олександрович")</f>
        <v>КОНСТАНТІНОВ Владислав Олександрович</v>
      </c>
      <c r="G9761" s="7" t="s">
        <v>10</v>
      </c>
      <c r="H9761" s="7">
        <v>2982</v>
      </c>
      <c r="I9761" s="8" t="str">
        <f ca="1">IFERROR(__xludf.DUMMYFUNCTION("IF
(
G9762=""фізична особа""
,
VLOOKUP(H9762,IMPORTRANGE(""https://docs.google.com/spreadsheets/d/14Bd19lYaqBhU8_DElYkX7l4wRkHqqCUFNJY4AfY3kHU/edit?usp=sharing  #gid=0"",""фіз особи new!relations_name""),6,FALSE)
,
(IF
(
G9762=""юридична особа""
,
VLOOKUP"&amp;"(H9762,IMPORTRANGE(""https://docs.google.com/spreadsheets/d/14Bd19lYaqBhU8_DElYkX7l4wRkHqqCUFNJY4AfY3kHU/edit?usp=sharing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61" s="7" t="s">
        <v>29</v>
      </c>
    </row>
    <row r="9762" spans="1:10" ht="13.2">
      <c r="A9762" s="7">
        <v>9761</v>
      </c>
      <c r="B9762" s="7">
        <v>1</v>
      </c>
      <c r="C9762" s="7" t="s">
        <v>10</v>
      </c>
      <c r="D9762" s="7">
        <v>11593</v>
      </c>
      <c r="E9762" s="7" t="s">
        <v>28</v>
      </c>
      <c r="F9762" s="8" t="str">
        <f ca="1">IFERROR(__xludf.DUMMYFUNCTION("IF
(
C9763=""фізична особа""
,
VLOOKUP(D9763,IMPORTRANGE(""https://docs.google.com/spreadsheets/d/14Bd19lYaqBhU8_DElYkX7l4wRkHqqCUFNJY4AfY3kHU/edit?usp=sharing  #gid=0"",""фіз особи new!relations_name""),6,FALSE)
,
(IF
(
C9763=""юридична особа""
,
VLOOKUP"&amp;"(D9763,IMPORTRANGE(""https://docs.google.com/spreadsheets/d/14Bd19lYaqBhU8_DElYkX7l4wRkHqqCUFNJY4AfY3kHU/edit?usp=sharing  #gid=0"",""фіз особи new!relations_name_uo""),7,FALSE)
,
)
))"),"ПАГОВ Жирослан Ахмедович")</f>
        <v>ПАГОВ Жирослан Ахмедович</v>
      </c>
      <c r="G9762" s="7" t="s">
        <v>10</v>
      </c>
      <c r="H9762" s="7">
        <v>3042</v>
      </c>
      <c r="I9762" s="8" t="str">
        <f ca="1">IFERROR(__xludf.DUMMYFUNCTION("IF
(
G9763=""фізична особа""
,
VLOOKUP(H9763,IMPORTRANGE(""https://docs.google.com/spreadsheets/d/14Bd19lYaqBhU8_DElYkX7l4wRkHqqCUFNJY4AfY3kHU/edit?usp=sharing  #gid=0"",""фіз особи new!relations_name""),6,FALSE)
,
(IF
(
G9763=""юридична особа""
,
VLOOKUP"&amp;"(H9763,IMPORTRANGE(""https://docs.google.com/spreadsheets/d/14Bd19lYaqBhU8_DElYkX7l4wRkHqqCUFNJY4AfY3kHU/edit?usp=sharing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62" s="7" t="s">
        <v>29</v>
      </c>
    </row>
    <row r="9763" spans="1:10" ht="13.2">
      <c r="A9763" s="7">
        <v>9762</v>
      </c>
      <c r="B9763" s="7">
        <v>1</v>
      </c>
      <c r="C9763" s="7" t="s">
        <v>10</v>
      </c>
      <c r="D9763" s="7">
        <v>11594</v>
      </c>
      <c r="E9763" s="7" t="s">
        <v>28</v>
      </c>
      <c r="F9763" s="8" t="str">
        <f ca="1">IFERROR(__xludf.DUMMYFUNCTION("IF
(
C9764=""фізична особа""
,
VLOOKUP(D9764,IMPORTRANGE(""https://docs.google.com/spreadsheets/d/14Bd19lYaqBhU8_DElYkX7l4wRkHqqCUFNJY4AfY3kHU/edit?usp=sharing  #gid=0"",""фіз особи new!relations_name""),6,FALSE)
,
(IF
(
C9764=""юридична особа""
,
VLOOKUP"&amp;"(D9764,IMPORTRANGE(""https://docs.google.com/spreadsheets/d/14Bd19lYaqBhU8_DElYkX7l4wRkHqqCUFNJY4AfY3kHU/edit?usp=sharing  #gid=0"",""фіз особи new!relations_name_uo""),7,FALSE)
,
)
))"),"ТІБІЛОВ Алан Германович")</f>
        <v>ТІБІЛОВ Алан Германович</v>
      </c>
      <c r="G9763" s="7" t="s">
        <v>10</v>
      </c>
      <c r="H9763" s="7">
        <v>3042</v>
      </c>
      <c r="I9763" s="8" t="str">
        <f ca="1">IFERROR(__xludf.DUMMYFUNCTION("IF
(
G9764=""фізична особа""
,
VLOOKUP(H9764,IMPORTRANGE(""https://docs.google.com/spreadsheets/d/14Bd19lYaqBhU8_DElYkX7l4wRkHqqCUFNJY4AfY3kHU/edit?usp=sharing  #gid=0"",""фіз особи new!relations_name""),6,FALSE)
,
(IF
(
G9764=""юридична особа""
,
VLOOKUP"&amp;"(H9764,IMPORTRANGE(""https://docs.google.com/spreadsheets/d/14Bd19lYaqBhU8_DElYkX7l4wRkHqqCUFNJY4AfY3kHU/edit?usp=sharing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63" s="7" t="s">
        <v>29</v>
      </c>
    </row>
    <row r="9764" spans="1:10" ht="13.2">
      <c r="A9764" s="7">
        <v>9763</v>
      </c>
      <c r="B9764" s="7">
        <v>1</v>
      </c>
      <c r="C9764" s="7" t="s">
        <v>10</v>
      </c>
      <c r="D9764" s="7">
        <v>11595</v>
      </c>
      <c r="E9764" s="7" t="s">
        <v>28</v>
      </c>
      <c r="F9764" s="8" t="str">
        <f ca="1">IFERROR(__xludf.DUMMYFUNCTION("IF
(
C9765=""фізична особа""
,
VLOOKUP(D9765,IMPORTRANGE(""https://docs.google.com/spreadsheets/d/14Bd19lYaqBhU8_DElYkX7l4wRkHqqCUFNJY4AfY3kHU/edit?usp=sharing  #gid=0"",""фіз особи new!relations_name""),6,FALSE)
,
(IF
(
C9765=""юридична особа""
,
VLOOKUP"&amp;"(D9765,IMPORTRANGE(""https://docs.google.com/spreadsheets/d/14Bd19lYaqBhU8_DElYkX7l4wRkHqqCUFNJY4AfY3kHU/edit?usp=sharing  #gid=0"",""фіз особи new!relations_name_uo""),7,FALSE)
,
)
))"),"ТЕРМУЛАЄВА Рита Магомедівна")</f>
        <v>ТЕРМУЛАЄВА Рита Магомедівна</v>
      </c>
      <c r="G9764" s="7" t="s">
        <v>10</v>
      </c>
      <c r="H9764" s="7">
        <v>3042</v>
      </c>
      <c r="I9764" s="8" t="str">
        <f ca="1">IFERROR(__xludf.DUMMYFUNCTION("IF
(
G9765=""фізична особа""
,
VLOOKUP(H9765,IMPORTRANGE(""https://docs.google.com/spreadsheets/d/14Bd19lYaqBhU8_DElYkX7l4wRkHqqCUFNJY4AfY3kHU/edit?usp=sharing  #gid=0"",""фіз особи new!relations_name""),6,FALSE)
,
(IF
(
G9765=""юридична особа""
,
VLOOKUP"&amp;"(H9765,IMPORTRANGE(""https://docs.google.com/spreadsheets/d/14Bd19lYaqBhU8_DElYkX7l4wRkHqqCUFNJY4AfY3kHU/edit?usp=sharing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64" s="7" t="s">
        <v>29</v>
      </c>
    </row>
    <row r="9765" spans="1:10" ht="13.2">
      <c r="A9765" s="7">
        <v>9764</v>
      </c>
      <c r="B9765" s="7">
        <v>1</v>
      </c>
      <c r="C9765" s="7" t="s">
        <v>10</v>
      </c>
      <c r="D9765" s="7">
        <v>11596</v>
      </c>
      <c r="E9765" s="7" t="s">
        <v>28</v>
      </c>
      <c r="F9765" s="8" t="str">
        <f ca="1">IFERROR(__xludf.DUMMYFUNCTION("IF
(
C9766=""фізична особа""
,
VLOOKUP(D9766,IMPORTRANGE(""https://docs.google.com/spreadsheets/d/14Bd19lYaqBhU8_DElYkX7l4wRkHqqCUFNJY4AfY3kHU/edit?usp=sharing  #gid=0"",""фіз особи new!relations_name""),6,FALSE)
,
(IF
(
C9766=""юридична особа""
,
VLOOKUP"&amp;"(D9766,IMPORTRANGE(""https://docs.google.com/spreadsheets/d/14Bd19lYaqBhU8_DElYkX7l4wRkHqqCUFNJY4AfY3kHU/edit?usp=sharing  #gid=0"",""фіз особи new!relations_name_uo""),7,FALSE)
,
)
))"),"ЄРМАКОВ Олександр Вікторович")</f>
        <v>ЄРМАКОВ Олександр Вікторович</v>
      </c>
      <c r="G9765" s="7" t="s">
        <v>10</v>
      </c>
      <c r="H9765" s="7">
        <v>3042</v>
      </c>
      <c r="I9765" s="8" t="str">
        <f ca="1">IFERROR(__xludf.DUMMYFUNCTION("IF
(
G9766=""фізична особа""
,
VLOOKUP(H9766,IMPORTRANGE(""https://docs.google.com/spreadsheets/d/14Bd19lYaqBhU8_DElYkX7l4wRkHqqCUFNJY4AfY3kHU/edit?usp=sharing  #gid=0"",""фіз особи new!relations_name""),6,FALSE)
,
(IF
(
G9766=""юридична особа""
,
VLOOKUP"&amp;"(H9766,IMPORTRANGE(""https://docs.google.com/spreadsheets/d/14Bd19lYaqBhU8_DElYkX7l4wRkHqqCUFNJY4AfY3kHU/edit?usp=sharing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65" s="7" t="s">
        <v>29</v>
      </c>
    </row>
    <row r="9766" spans="1:10" ht="13.2">
      <c r="A9766" s="7">
        <v>9765</v>
      </c>
      <c r="B9766" s="7">
        <v>1</v>
      </c>
      <c r="C9766" s="7" t="s">
        <v>10</v>
      </c>
      <c r="D9766" s="7">
        <v>11597</v>
      </c>
      <c r="E9766" s="7" t="s">
        <v>28</v>
      </c>
      <c r="F9766" s="8" t="str">
        <f ca="1">IFERROR(__xludf.DUMMYFUNCTION("IF
(
C9767=""фізична особа""
,
VLOOKUP(D9767,IMPORTRANGE(""https://docs.google.com/spreadsheets/d/14Bd19lYaqBhU8_DElYkX7l4wRkHqqCUFNJY4AfY3kHU/edit?usp=sharing  #gid=0"",""фіз особи new!relations_name""),6,FALSE)
,
(IF
(
C9767=""юридична особа""
,
VLOOKUP"&amp;"(D9767,IMPORTRANGE(""https://docs.google.com/spreadsheets/d/14Bd19lYaqBhU8_DElYkX7l4wRkHqqCUFNJY4AfY3kHU/edit?usp=sharing  #gid=0"",""фіз особи new!relations_name_uo""),7,FALSE)
,
)
))"),"БУДУЩЕВ Едуард Борисович")</f>
        <v>БУДУЩЕВ Едуард Борисович</v>
      </c>
      <c r="G9766" s="7" t="s">
        <v>10</v>
      </c>
      <c r="H9766" s="7">
        <v>1185</v>
      </c>
      <c r="I9766" s="8" t="str">
        <f ca="1">IFERROR(__xludf.DUMMYFUNCTION("IF
(
G9767=""фізична особа""
,
VLOOKUP(H9767,IMPORTRANGE(""https://docs.google.com/spreadsheets/d/14Bd19lYaqBhU8_DElYkX7l4wRkHqqCUFNJY4AfY3kHU/edit?usp=sharing  #gid=0"",""фіз особи new!relations_name""),6,FALSE)
,
(IF
(
G9767=""юридична особа""
,
VLOOKUP"&amp;"(H9767,IMPORTRANGE(""https://docs.google.com/spreadsheets/d/14Bd19lYaqBhU8_DElYkX7l4wRkHqqCUFNJY4AfY3kHU/edit?usp=sharing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66" s="7" t="s">
        <v>29</v>
      </c>
    </row>
    <row r="9767" spans="1:10" ht="13.2">
      <c r="A9767" s="7">
        <v>9766</v>
      </c>
      <c r="B9767" s="7">
        <v>1</v>
      </c>
      <c r="C9767" s="7" t="s">
        <v>10</v>
      </c>
      <c r="D9767" s="7">
        <v>11598</v>
      </c>
      <c r="E9767" s="7" t="s">
        <v>28</v>
      </c>
      <c r="F9767" s="8" t="str">
        <f ca="1">IFERROR(__xludf.DUMMYFUNCTION("IF
(
C9768=""фізична особа""
,
VLOOKUP(D9768,IMPORTRANGE(""https://docs.google.com/spreadsheets/d/14Bd19lYaqBhU8_DElYkX7l4wRkHqqCUFNJY4AfY3kHU/edit?usp=sharing  #gid=0"",""фіз особи new!relations_name""),6,FALSE)
,
(IF
(
C9768=""юридична особа""
,
VLOOKUP"&amp;"(D9768,IMPORTRANGE(""https://docs.google.com/spreadsheets/d/14Bd19lYaqBhU8_DElYkX7l4wRkHqqCUFNJY4AfY3kHU/edit?usp=sharing  #gid=0"",""фіз особи new!relations_name_uo""),7,FALSE)
,
)
))"),"ВЕРЬОВКІН Василь Дмитрович")</f>
        <v>ВЕРЬОВКІН Василь Дмитрович</v>
      </c>
      <c r="G9767" s="7" t="s">
        <v>10</v>
      </c>
      <c r="H9767" s="7">
        <v>1185</v>
      </c>
      <c r="I9767" s="8" t="str">
        <f ca="1">IFERROR(__xludf.DUMMYFUNCTION("IF
(
G9768=""фізична особа""
,
VLOOKUP(H9768,IMPORTRANGE(""https://docs.google.com/spreadsheets/d/14Bd19lYaqBhU8_DElYkX7l4wRkHqqCUFNJY4AfY3kHU/edit?usp=sharing  #gid=0"",""фіз особи new!relations_name""),6,FALSE)
,
(IF
(
G9768=""юридична особа""
,
VLOOKUP"&amp;"(H9768,IMPORTRANGE(""https://docs.google.com/spreadsheets/d/14Bd19lYaqBhU8_DElYkX7l4wRkHqqCUFNJY4AfY3kHU/edit?usp=sharing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67" s="7" t="s">
        <v>29</v>
      </c>
    </row>
    <row r="9768" spans="1:10" ht="13.2">
      <c r="A9768" s="7">
        <v>9767</v>
      </c>
      <c r="B9768" s="7">
        <v>1</v>
      </c>
      <c r="C9768" s="7" t="s">
        <v>10</v>
      </c>
      <c r="D9768" s="7">
        <v>11599</v>
      </c>
      <c r="E9768" s="7" t="s">
        <v>28</v>
      </c>
      <c r="F9768" s="8" t="str">
        <f ca="1">IFERROR(__xludf.DUMMYFUNCTION("IF
(
C9769=""фізична особа""
,
VLOOKUP(D9769,IMPORTRANGE(""https://docs.google.com/spreadsheets/d/14Bd19lYaqBhU8_DElYkX7l4wRkHqqCUFNJY4AfY3kHU/edit?usp=sharing  #gid=0"",""фіз особи new!relations_name""),6,FALSE)
,
(IF
(
C9769=""юридична особа""
,
VLOOKUP"&amp;"(D9769,IMPORTRANGE(""https://docs.google.com/spreadsheets/d/14Bd19lYaqBhU8_DElYkX7l4wRkHqqCUFNJY4AfY3kHU/edit?usp=sharing  #gid=0"",""фіз особи new!relations_name_uo""),7,FALSE)
,
)
))"),"МІРОШКІН Євгеній Олексійович")</f>
        <v>МІРОШКІН Євгеній Олексійович</v>
      </c>
      <c r="G9768" s="7" t="s">
        <v>10</v>
      </c>
      <c r="H9768" s="7">
        <v>1185</v>
      </c>
      <c r="I9768" s="8" t="str">
        <f ca="1">IFERROR(__xludf.DUMMYFUNCTION("IF
(
G9769=""фізична особа""
,
VLOOKUP(H9769,IMPORTRANGE(""https://docs.google.com/spreadsheets/d/14Bd19lYaqBhU8_DElYkX7l4wRkHqqCUFNJY4AfY3kHU/edit?usp=sharing  #gid=0"",""фіз особи new!relations_name""),6,FALSE)
,
(IF
(
G9769=""юридична особа""
,
VLOOKUP"&amp;"(H9769,IMPORTRANGE(""https://docs.google.com/spreadsheets/d/14Bd19lYaqBhU8_DElYkX7l4wRkHqqCUFNJY4AfY3kHU/edit?usp=sharing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68" s="7" t="s">
        <v>29</v>
      </c>
    </row>
    <row r="9769" spans="1:10" ht="13.2">
      <c r="A9769" s="7">
        <v>9768</v>
      </c>
      <c r="B9769" s="7">
        <v>1</v>
      </c>
      <c r="C9769" s="7" t="s">
        <v>10</v>
      </c>
      <c r="D9769" s="7">
        <v>11600</v>
      </c>
      <c r="E9769" s="7" t="s">
        <v>28</v>
      </c>
      <c r="F9769" s="8" t="str">
        <f ca="1">IFERROR(__xludf.DUMMYFUNCTION("IF
(
C9770=""фізична особа""
,
VLOOKUP(D9770,IMPORTRANGE(""https://docs.google.com/spreadsheets/d/14Bd19lYaqBhU8_DElYkX7l4wRkHqqCUFNJY4AfY3kHU/edit?usp=sharing  #gid=0"",""фіз особи new!relations_name""),6,FALSE)
,
(IF
(
C9770=""юридична особа""
,
VLOOKUP"&amp;"(D9770,IMPORTRANGE(""https://docs.google.com/spreadsheets/d/14Bd19lYaqBhU8_DElYkX7l4wRkHqqCUFNJY4AfY3kHU/edit?usp=sharing  #gid=0"",""фіз особи new!relations_name_uo""),7,FALSE)
,
)
))"),"ПРУДНІКОВ Валерій Леонідович")</f>
        <v>ПРУДНІКОВ Валерій Леонідович</v>
      </c>
      <c r="G9769" s="7" t="s">
        <v>10</v>
      </c>
      <c r="H9769" s="7">
        <v>1185</v>
      </c>
      <c r="I9769" s="8" t="str">
        <f ca="1">IFERROR(__xludf.DUMMYFUNCTION("IF
(
G9770=""фізична особа""
,
VLOOKUP(H9770,IMPORTRANGE(""https://docs.google.com/spreadsheets/d/14Bd19lYaqBhU8_DElYkX7l4wRkHqqCUFNJY4AfY3kHU/edit?usp=sharing  #gid=0"",""фіз особи new!relations_name""),6,FALSE)
,
(IF
(
G9770=""юридична особа""
,
VLOOKUP"&amp;"(H9770,IMPORTRANGE(""https://docs.google.com/spreadsheets/d/14Bd19lYaqBhU8_DElYkX7l4wRkHqqCUFNJY4AfY3kHU/edit?usp=sharing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69" s="7" t="s">
        <v>29</v>
      </c>
    </row>
    <row r="9770" spans="1:10" ht="13.2">
      <c r="A9770" s="7">
        <v>9769</v>
      </c>
      <c r="B9770" s="7">
        <v>1</v>
      </c>
      <c r="C9770" s="7" t="s">
        <v>10</v>
      </c>
      <c r="D9770" s="7">
        <v>11601</v>
      </c>
      <c r="E9770" s="7" t="s">
        <v>28</v>
      </c>
      <c r="F9770" s="8" t="str">
        <f ca="1">IFERROR(__xludf.DUMMYFUNCTION("IF
(
C9771=""фізична особа""
,
VLOOKUP(D9771,IMPORTRANGE(""https://docs.google.com/spreadsheets/d/14Bd19lYaqBhU8_DElYkX7l4wRkHqqCUFNJY4AfY3kHU/edit?usp=sharing  #gid=0"",""фіз особи new!relations_name""),6,FALSE)
,
(IF
(
C9771=""юридична особа""
,
VLOOKUP"&amp;"(D9771,IMPORTRANGE(""https://docs.google.com/spreadsheets/d/14Bd19lYaqBhU8_DElYkX7l4wRkHqqCUFNJY4AfY3kHU/edit?usp=sharing  #gid=0"",""фіз особи new!relations_name_uo""),7,FALSE)
,
)
))"),"СТАРОСТЮК Станіслав Юрійович")</f>
        <v>СТАРОСТЮК Станіслав Юрійович</v>
      </c>
      <c r="G9770" s="7" t="s">
        <v>10</v>
      </c>
      <c r="H9770" s="7">
        <v>1185</v>
      </c>
      <c r="I9770" s="8" t="str">
        <f ca="1">IFERROR(__xludf.DUMMYFUNCTION("IF
(
G9771=""фізична особа""
,
VLOOKUP(H9771,IMPORTRANGE(""https://docs.google.com/spreadsheets/d/14Bd19lYaqBhU8_DElYkX7l4wRkHqqCUFNJY4AfY3kHU/edit?usp=sharing  #gid=0"",""фіз особи new!relations_name""),6,FALSE)
,
(IF
(
G9771=""юридична особа""
,
VLOOKUP"&amp;"(H9771,IMPORTRANGE(""https://docs.google.com/spreadsheets/d/14Bd19lYaqBhU8_DElYkX7l4wRkHqqCUFNJY4AfY3kHU/edit?usp=sharing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0" s="7" t="s">
        <v>29</v>
      </c>
    </row>
    <row r="9771" spans="1:10" ht="13.2">
      <c r="A9771" s="7">
        <v>9770</v>
      </c>
      <c r="B9771" s="7">
        <v>1</v>
      </c>
      <c r="C9771" s="7" t="s">
        <v>10</v>
      </c>
      <c r="D9771" s="7">
        <v>11602</v>
      </c>
      <c r="E9771" s="7" t="s">
        <v>28</v>
      </c>
      <c r="F9771" s="8" t="str">
        <f ca="1">IFERROR(__xludf.DUMMYFUNCTION("IF
(
C9772=""фізична особа""
,
VLOOKUP(D9772,IMPORTRANGE(""https://docs.google.com/spreadsheets/d/14Bd19lYaqBhU8_DElYkX7l4wRkHqqCUFNJY4AfY3kHU/edit?usp=sharing  #gid=0"",""фіз особи new!relations_name""),6,FALSE)
,
(IF
(
C9772=""юридична особа""
,
VLOOKUP"&amp;"(D9772,IMPORTRANGE(""https://docs.google.com/spreadsheets/d/14Bd19lYaqBhU8_DElYkX7l4wRkHqqCUFNJY4AfY3kHU/edit?usp=sharing  #gid=0"",""фіз особи new!relations_name_uo""),7,FALSE)
,
)
))"),"МАРКОВ Володимир Федорович")</f>
        <v>МАРКОВ Володимир Федорович</v>
      </c>
      <c r="G9771" s="7" t="s">
        <v>10</v>
      </c>
      <c r="H9771" s="7">
        <v>1185</v>
      </c>
      <c r="I9771" s="8" t="str">
        <f ca="1">IFERROR(__xludf.DUMMYFUNCTION("IF
(
G9772=""фізична особа""
,
VLOOKUP(H9772,IMPORTRANGE(""https://docs.google.com/spreadsheets/d/14Bd19lYaqBhU8_DElYkX7l4wRkHqqCUFNJY4AfY3kHU/edit?usp=sharing  #gid=0"",""фіз особи new!relations_name""),6,FALSE)
,
(IF
(
G9772=""юридична особа""
,
VLOOKUP"&amp;"(H9772,IMPORTRANGE(""https://docs.google.com/spreadsheets/d/14Bd19lYaqBhU8_DElYkX7l4wRkHqqCUFNJY4AfY3kHU/edit?usp=sharing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1" s="7" t="s">
        <v>29</v>
      </c>
    </row>
    <row r="9772" spans="1:10" ht="13.2">
      <c r="A9772" s="7">
        <v>9771</v>
      </c>
      <c r="B9772" s="7">
        <v>1</v>
      </c>
      <c r="C9772" s="7" t="s">
        <v>10</v>
      </c>
      <c r="D9772" s="7">
        <v>11603</v>
      </c>
      <c r="E9772" s="7" t="s">
        <v>28</v>
      </c>
      <c r="F9772" s="8" t="str">
        <f ca="1">IFERROR(__xludf.DUMMYFUNCTION("IF
(
C9773=""фізична особа""
,
VLOOKUP(D9773,IMPORTRANGE(""https://docs.google.com/spreadsheets/d/14Bd19lYaqBhU8_DElYkX7l4wRkHqqCUFNJY4AfY3kHU/edit?usp=sharing  #gid=0"",""фіз особи new!relations_name""),6,FALSE)
,
(IF
(
C9773=""юридична особа""
,
VLOOKUP"&amp;"(D9773,IMPORTRANGE(""https://docs.google.com/spreadsheets/d/14Bd19lYaqBhU8_DElYkX7l4wRkHqqCUFNJY4AfY3kHU/edit?usp=sharing  #gid=0"",""фіз особи new!relations_name_uo""),7,FALSE)
,
)
))"),"КРУГЛИК Юлія Миколаївна")</f>
        <v>КРУГЛИК Юлія Миколаївна</v>
      </c>
      <c r="G9772" s="7" t="s">
        <v>10</v>
      </c>
      <c r="H9772" s="7">
        <v>1185</v>
      </c>
      <c r="I9772" s="8" t="str">
        <f ca="1">IFERROR(__xludf.DUMMYFUNCTION("IF
(
G9773=""фізична особа""
,
VLOOKUP(H9773,IMPORTRANGE(""https://docs.google.com/spreadsheets/d/14Bd19lYaqBhU8_DElYkX7l4wRkHqqCUFNJY4AfY3kHU/edit?usp=sharing  #gid=0"",""фіз особи new!relations_name""),6,FALSE)
,
(IF
(
G9773=""юридична особа""
,
VLOOKUP"&amp;"(H9773,IMPORTRANGE(""https://docs.google.com/spreadsheets/d/14Bd19lYaqBhU8_DElYkX7l4wRkHqqCUFNJY4AfY3kHU/edit?usp=sharing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2" s="7" t="s">
        <v>29</v>
      </c>
    </row>
    <row r="9773" spans="1:10" ht="13.2">
      <c r="A9773" s="7">
        <v>9772</v>
      </c>
      <c r="B9773" s="7">
        <v>1</v>
      </c>
      <c r="C9773" s="7" t="s">
        <v>10</v>
      </c>
      <c r="D9773" s="7">
        <v>11604</v>
      </c>
      <c r="E9773" s="7" t="s">
        <v>28</v>
      </c>
      <c r="F9773" s="8" t="str">
        <f ca="1">IFERROR(__xludf.DUMMYFUNCTION("IF
(
C9774=""фізична особа""
,
VLOOKUP(D9774,IMPORTRANGE(""https://docs.google.com/spreadsheets/d/14Bd19lYaqBhU8_DElYkX7l4wRkHqqCUFNJY4AfY3kHU/edit?usp=sharing  #gid=0"",""фіз особи new!relations_name""),6,FALSE)
,
(IF
(
C9774=""юридична особа""
,
VLOOKUP"&amp;"(D9774,IMPORTRANGE(""https://docs.google.com/spreadsheets/d/14Bd19lYaqBhU8_DElYkX7l4wRkHqqCUFNJY4AfY3kHU/edit?usp=sharing  #gid=0"",""фіз особи new!relations_name_uo""),7,FALSE)
,
)
))"),"ВАРЛАМОВА Валентина Олександрівна")</f>
        <v>ВАРЛАМОВА Валентина Олександрівна</v>
      </c>
      <c r="G9773" s="7" t="s">
        <v>10</v>
      </c>
      <c r="H9773" s="7">
        <v>1185</v>
      </c>
      <c r="I9773" s="8" t="str">
        <f ca="1">IFERROR(__xludf.DUMMYFUNCTION("IF
(
G9774=""фізична особа""
,
VLOOKUP(H9774,IMPORTRANGE(""https://docs.google.com/spreadsheets/d/14Bd19lYaqBhU8_DElYkX7l4wRkHqqCUFNJY4AfY3kHU/edit?usp=sharing  #gid=0"",""фіз особи new!relations_name""),6,FALSE)
,
(IF
(
G9774=""юридична особа""
,
VLOOKUP"&amp;"(H9774,IMPORTRANGE(""https://docs.google.com/spreadsheets/d/14Bd19lYaqBhU8_DElYkX7l4wRkHqqCUFNJY4AfY3kHU/edit?usp=sharing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3" s="7" t="s">
        <v>29</v>
      </c>
    </row>
    <row r="9774" spans="1:10" ht="13.2">
      <c r="A9774" s="7">
        <v>9773</v>
      </c>
      <c r="B9774" s="7">
        <v>1</v>
      </c>
      <c r="C9774" s="7" t="s">
        <v>10</v>
      </c>
      <c r="D9774" s="7">
        <v>11605</v>
      </c>
      <c r="E9774" s="7" t="s">
        <v>28</v>
      </c>
      <c r="F9774" s="8" t="str">
        <f ca="1">IFERROR(__xludf.DUMMYFUNCTION("IF
(
C9775=""фізична особа""
,
VLOOKUP(D9775,IMPORTRANGE(""https://docs.google.com/spreadsheets/d/14Bd19lYaqBhU8_DElYkX7l4wRkHqqCUFNJY4AfY3kHU/edit?usp=sharing  #gid=0"",""фіз особи new!relations_name""),6,FALSE)
,
(IF
(
C9775=""юридична особа""
,
VLOOKUP"&amp;"(D9775,IMPORTRANGE(""https://docs.google.com/spreadsheets/d/14Bd19lYaqBhU8_DElYkX7l4wRkHqqCUFNJY4AfY3kHU/edit?usp=sharing  #gid=0"",""фіз особи new!relations_name_uo""),7,FALSE)
,
)
))"),"БАВЕНКОВА Тетяна Геннадіївна")</f>
        <v>БАВЕНКОВА Тетяна Геннадіївна</v>
      </c>
      <c r="G9774" s="7" t="s">
        <v>10</v>
      </c>
      <c r="H9774" s="7">
        <v>1185</v>
      </c>
      <c r="I9774" s="8" t="str">
        <f ca="1">IFERROR(__xludf.DUMMYFUNCTION("IF
(
G9775=""фізична особа""
,
VLOOKUP(H9775,IMPORTRANGE(""https://docs.google.com/spreadsheets/d/14Bd19lYaqBhU8_DElYkX7l4wRkHqqCUFNJY4AfY3kHU/edit?usp=sharing  #gid=0"",""фіз особи new!relations_name""),6,FALSE)
,
(IF
(
G9775=""юридична особа""
,
VLOOKUP"&amp;"(H9775,IMPORTRANGE(""https://docs.google.com/spreadsheets/d/14Bd19lYaqBhU8_DElYkX7l4wRkHqqCUFNJY4AfY3kHU/edit?usp=sharing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4" s="7" t="s">
        <v>29</v>
      </c>
    </row>
    <row r="9775" spans="1:10" ht="13.2">
      <c r="A9775" s="7">
        <v>9774</v>
      </c>
      <c r="B9775" s="7">
        <v>1</v>
      </c>
      <c r="C9775" s="7" t="s">
        <v>10</v>
      </c>
      <c r="D9775" s="7">
        <v>11606</v>
      </c>
      <c r="E9775" s="7" t="s">
        <v>28</v>
      </c>
      <c r="F9775" s="8" t="str">
        <f ca="1">IFERROR(__xludf.DUMMYFUNCTION("IF
(
C9776=""фізична особа""
,
VLOOKUP(D9776,IMPORTRANGE(""https://docs.google.com/spreadsheets/d/14Bd19lYaqBhU8_DElYkX7l4wRkHqqCUFNJY4AfY3kHU/edit?usp=sharing  #gid=0"",""фіз особи new!relations_name""),6,FALSE)
,
(IF
(
C9776=""юридична особа""
,
VLOOKUP"&amp;"(D9776,IMPORTRANGE(""https://docs.google.com/spreadsheets/d/14Bd19lYaqBhU8_DElYkX7l4wRkHqqCUFNJY4AfY3kHU/edit?usp=sharing  #gid=0"",""фіз особи new!relations_name_uo""),7,FALSE)
,
)
))"),"РИЖКІНА Ірина Володимирівна")</f>
        <v>РИЖКІНА Ірина Володимирівна</v>
      </c>
      <c r="G9775" s="7" t="s">
        <v>10</v>
      </c>
      <c r="H9775" s="7">
        <v>1185</v>
      </c>
      <c r="I9775" s="8" t="str">
        <f ca="1">IFERROR(__xludf.DUMMYFUNCTION("IF
(
G9776=""фізична особа""
,
VLOOKUP(H9776,IMPORTRANGE(""https://docs.google.com/spreadsheets/d/14Bd19lYaqBhU8_DElYkX7l4wRkHqqCUFNJY4AfY3kHU/edit?usp=sharing  #gid=0"",""фіз особи new!relations_name""),6,FALSE)
,
(IF
(
G9776=""юридична особа""
,
VLOOKUP"&amp;"(H9776,IMPORTRANGE(""https://docs.google.com/spreadsheets/d/14Bd19lYaqBhU8_DElYkX7l4wRkHqqCUFNJY4AfY3kHU/edit?usp=sharing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5" s="7" t="s">
        <v>29</v>
      </c>
    </row>
    <row r="9776" spans="1:10" ht="13.2">
      <c r="A9776" s="7">
        <v>9775</v>
      </c>
      <c r="B9776" s="7">
        <v>1</v>
      </c>
      <c r="C9776" s="7" t="s">
        <v>10</v>
      </c>
      <c r="D9776" s="7">
        <v>11607</v>
      </c>
      <c r="E9776" s="7" t="s">
        <v>28</v>
      </c>
      <c r="F9776" s="8" t="str">
        <f ca="1">IFERROR(__xludf.DUMMYFUNCTION("IF
(
C9777=""фізична особа""
,
VLOOKUP(D9777,IMPORTRANGE(""https://docs.google.com/spreadsheets/d/14Bd19lYaqBhU8_DElYkX7l4wRkHqqCUFNJY4AfY3kHU/edit?usp=sharing  #gid=0"",""фіз особи new!relations_name""),6,FALSE)
,
(IF
(
C9777=""юридична особа""
,
VLOOKUP"&amp;"(D9777,IMPORTRANGE(""https://docs.google.com/spreadsheets/d/14Bd19lYaqBhU8_DElYkX7l4wRkHqqCUFNJY4AfY3kHU/edit?usp=sharing  #gid=0"",""фіз особи new!relations_name_uo""),7,FALSE)
,
)
))"),"СТОЛЯРОВА Марина Володимирівна")</f>
        <v>СТОЛЯРОВА Марина Володимирівна</v>
      </c>
      <c r="G9776" s="7" t="s">
        <v>10</v>
      </c>
      <c r="H9776" s="7">
        <v>1185</v>
      </c>
      <c r="I9776" s="8" t="str">
        <f ca="1">IFERROR(__xludf.DUMMYFUNCTION("IF
(
G9777=""фізична особа""
,
VLOOKUP(H9777,IMPORTRANGE(""https://docs.google.com/spreadsheets/d/14Bd19lYaqBhU8_DElYkX7l4wRkHqqCUFNJY4AfY3kHU/edit?usp=sharing  #gid=0"",""фіз особи new!relations_name""),6,FALSE)
,
(IF
(
G9777=""юридична особа""
,
VLOOKUP"&amp;"(H9777,IMPORTRANGE(""https://docs.google.com/spreadsheets/d/14Bd19lYaqBhU8_DElYkX7l4wRkHqqCUFNJY4AfY3kHU/edit?usp=sharing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6" s="7" t="s">
        <v>29</v>
      </c>
    </row>
    <row r="9777" spans="1:10" ht="13.2">
      <c r="A9777" s="7">
        <v>9776</v>
      </c>
      <c r="B9777" s="7">
        <v>1</v>
      </c>
      <c r="C9777" s="7" t="s">
        <v>10</v>
      </c>
      <c r="D9777" s="7">
        <v>11608</v>
      </c>
      <c r="E9777" s="7" t="s">
        <v>28</v>
      </c>
      <c r="F9777" s="8" t="str">
        <f ca="1">IFERROR(__xludf.DUMMYFUNCTION("IF
(
C9778=""фізична особа""
,
VLOOKUP(D9778,IMPORTRANGE(""https://docs.google.com/spreadsheets/d/14Bd19lYaqBhU8_DElYkX7l4wRkHqqCUFNJY4AfY3kHU/edit?usp=sharing  #gid=0"",""фіз особи new!relations_name""),6,FALSE)
,
(IF
(
C9778=""юридична особа""
,
VLOOKUP"&amp;"(D9778,IMPORTRANGE(""https://docs.google.com/spreadsheets/d/14Bd19lYaqBhU8_DElYkX7l4wRkHqqCUFNJY4AfY3kHU/edit?usp=sharing  #gid=0"",""фіз особи new!relations_name_uo""),7,FALSE)
,
)
))"),"ІГНАТЬЄВА Ірина Олександрівна")</f>
        <v>ІГНАТЬЄВА Ірина Олександрівна</v>
      </c>
      <c r="G9777" s="7" t="s">
        <v>10</v>
      </c>
      <c r="H9777" s="7">
        <v>1185</v>
      </c>
      <c r="I9777" s="8" t="str">
        <f ca="1">IFERROR(__xludf.DUMMYFUNCTION("IF
(
G9778=""фізична особа""
,
VLOOKUP(H9778,IMPORTRANGE(""https://docs.google.com/spreadsheets/d/14Bd19lYaqBhU8_DElYkX7l4wRkHqqCUFNJY4AfY3kHU/edit?usp=sharing  #gid=0"",""фіз особи new!relations_name""),6,FALSE)
,
(IF
(
G9778=""юридична особа""
,
VLOOKUP"&amp;"(H9778,IMPORTRANGE(""https://docs.google.com/spreadsheets/d/14Bd19lYaqBhU8_DElYkX7l4wRkHqqCUFNJY4AfY3kHU/edit?usp=sharing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7" s="7" t="s">
        <v>29</v>
      </c>
    </row>
    <row r="9778" spans="1:10" ht="13.2">
      <c r="A9778" s="7">
        <v>9777</v>
      </c>
      <c r="B9778" s="7">
        <v>1</v>
      </c>
      <c r="C9778" s="7" t="s">
        <v>10</v>
      </c>
      <c r="D9778" s="7">
        <v>11609</v>
      </c>
      <c r="E9778" s="7" t="s">
        <v>28</v>
      </c>
      <c r="F9778" s="8" t="str">
        <f ca="1">IFERROR(__xludf.DUMMYFUNCTION("IF
(
C9779=""фізична особа""
,
VLOOKUP(D9779,IMPORTRANGE(""https://docs.google.com/spreadsheets/d/14Bd19lYaqBhU8_DElYkX7l4wRkHqqCUFNJY4AfY3kHU/edit?usp=sharing  #gid=0"",""фіз особи new!relations_name""),6,FALSE)
,
(IF
(
C9779=""юридична особа""
,
VLOOKUP"&amp;"(D9779,IMPORTRANGE(""https://docs.google.com/spreadsheets/d/14Bd19lYaqBhU8_DElYkX7l4wRkHqqCUFNJY4AfY3kHU/edit?usp=sharing  #gid=0"",""фіз особи new!relations_name_uo""),7,FALSE)
,
)
))"),"БЛОХІН Володимир Петрович")</f>
        <v>БЛОХІН Володимир Петрович</v>
      </c>
      <c r="G9778" s="7" t="s">
        <v>10</v>
      </c>
      <c r="H9778" s="7">
        <v>1185</v>
      </c>
      <c r="I9778" s="8" t="str">
        <f ca="1">IFERROR(__xludf.DUMMYFUNCTION("IF
(
G9779=""фізична особа""
,
VLOOKUP(H9779,IMPORTRANGE(""https://docs.google.com/spreadsheets/d/14Bd19lYaqBhU8_DElYkX7l4wRkHqqCUFNJY4AfY3kHU/edit?usp=sharing  #gid=0"",""фіз особи new!relations_name""),6,FALSE)
,
(IF
(
G9779=""юридична особа""
,
VLOOKUP"&amp;"(H9779,IMPORTRANGE(""https://docs.google.com/spreadsheets/d/14Bd19lYaqBhU8_DElYkX7l4wRkHqqCUFNJY4AfY3kHU/edit?usp=sharing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78" s="7" t="s">
        <v>29</v>
      </c>
    </row>
    <row r="9779" spans="1:10" ht="13.2">
      <c r="A9779" s="7">
        <v>9778</v>
      </c>
      <c r="B9779" s="7">
        <v>1</v>
      </c>
      <c r="C9779" s="7" t="s">
        <v>10</v>
      </c>
      <c r="D9779" s="7">
        <v>11610</v>
      </c>
      <c r="E9779" s="7" t="s">
        <v>28</v>
      </c>
      <c r="F9779" s="8" t="str">
        <f ca="1">IFERROR(__xludf.DUMMYFUNCTION("IF
(
C9780=""фізична особа""
,
VLOOKUP(D9780,IMPORTRANGE(""https://docs.google.com/spreadsheets/d/14Bd19lYaqBhU8_DElYkX7l4wRkHqqCUFNJY4AfY3kHU/edit?usp=sharing  #gid=0"",""фіз особи new!relations_name""),6,FALSE)
,
(IF
(
C9780=""юридична особа""
,
VLOOKUP"&amp;"(D9780,IMPORTRANGE(""https://docs.google.com/spreadsheets/d/14Bd19lYaqBhU8_DElYkX7l4wRkHqqCUFNJY4AfY3kHU/edit?usp=sharing  #gid=0"",""фіз особи new!relations_name_uo""),7,FALSE)
,
)
))"),"БАБУРА Олена Анатоліївна")</f>
        <v>БАБУРА Олена Анатоліївна</v>
      </c>
      <c r="G9779" s="7" t="s">
        <v>10</v>
      </c>
      <c r="H9779" s="7">
        <v>3042</v>
      </c>
      <c r="I9779" s="8" t="str">
        <f ca="1">IFERROR(__xludf.DUMMYFUNCTION("IF
(
G9780=""фізична особа""
,
VLOOKUP(H9780,IMPORTRANGE(""https://docs.google.com/spreadsheets/d/14Bd19lYaqBhU8_DElYkX7l4wRkHqqCUFNJY4AfY3kHU/edit?usp=sharing  #gid=0"",""фіз особи new!relations_name""),6,FALSE)
,
(IF
(
G9780=""юридична особа""
,
VLOOKUP"&amp;"(H9780,IMPORTRANGE(""https://docs.google.com/spreadsheets/d/14Bd19lYaqBhU8_DElYkX7l4wRkHqqCUFNJY4AfY3kHU/edit?usp=sharing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79" s="7" t="s">
        <v>29</v>
      </c>
    </row>
    <row r="9780" spans="1:10" ht="13.2">
      <c r="A9780" s="7">
        <v>9779</v>
      </c>
      <c r="B9780" s="7">
        <v>1</v>
      </c>
      <c r="C9780" s="7" t="s">
        <v>10</v>
      </c>
      <c r="D9780" s="7">
        <v>11611</v>
      </c>
      <c r="E9780" s="7" t="s">
        <v>28</v>
      </c>
      <c r="F9780" s="8" t="str">
        <f ca="1">IFERROR(__xludf.DUMMYFUNCTION("IF
(
C9781=""фізична особа""
,
VLOOKUP(D9781,IMPORTRANGE(""https://docs.google.com/spreadsheets/d/14Bd19lYaqBhU8_DElYkX7l4wRkHqqCUFNJY4AfY3kHU/edit?usp=sharing  #gid=0"",""фіз особи new!relations_name""),6,FALSE)
,
(IF
(
C9781=""юридична особа""
,
VLOOKUP"&amp;"(D9781,IMPORTRANGE(""https://docs.google.com/spreadsheets/d/14Bd19lYaqBhU8_DElYkX7l4wRkHqqCUFNJY4AfY3kHU/edit?usp=sharing  #gid=0"",""фіз особи new!relations_name_uo""),7,FALSE)
,
)
))"),"ІСТОРИК Ольга Олександрівна")</f>
        <v>ІСТОРИК Ольга Олександрівна</v>
      </c>
      <c r="G9780" s="7" t="s">
        <v>10</v>
      </c>
      <c r="H9780" s="7">
        <v>3042</v>
      </c>
      <c r="I9780" s="8" t="str">
        <f ca="1">IFERROR(__xludf.DUMMYFUNCTION("IF
(
G9781=""фізична особа""
,
VLOOKUP(H9781,IMPORTRANGE(""https://docs.google.com/spreadsheets/d/14Bd19lYaqBhU8_DElYkX7l4wRkHqqCUFNJY4AfY3kHU/edit?usp=sharing  #gid=0"",""фіз особи new!relations_name""),6,FALSE)
,
(IF
(
G9781=""юридична особа""
,
VLOOKUP"&amp;"(H9781,IMPORTRANGE(""https://docs.google.com/spreadsheets/d/14Bd19lYaqBhU8_DElYkX7l4wRkHqqCUFNJY4AfY3kHU/edit?usp=sharing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780" s="7" t="s">
        <v>29</v>
      </c>
    </row>
    <row r="9781" spans="1:10" ht="13.2">
      <c r="A9781" s="7">
        <v>9780</v>
      </c>
      <c r="B9781" s="7">
        <v>1</v>
      </c>
      <c r="C9781" s="7" t="s">
        <v>10</v>
      </c>
      <c r="D9781" s="7">
        <v>11612</v>
      </c>
      <c r="E9781" s="7" t="s">
        <v>28</v>
      </c>
      <c r="F9781" s="8" t="str">
        <f ca="1">IFERROR(__xludf.DUMMYFUNCTION("IF
(
C9782=""фізична особа""
,
VLOOKUP(D9782,IMPORTRANGE(""https://docs.google.com/spreadsheets/d/14Bd19lYaqBhU8_DElYkX7l4wRkHqqCUFNJY4AfY3kHU/edit?usp=sharing  #gid=0"",""фіз особи new!relations_name""),6,FALSE)
,
(IF
(
C9782=""юридична особа""
,
VLOOKUP"&amp;"(D9782,IMPORTRANGE(""https://docs.google.com/spreadsheets/d/14Bd19lYaqBhU8_DElYkX7l4wRkHqqCUFNJY4AfY3kHU/edit?usp=sharing  #gid=0"",""фіз особи new!relations_name_uo""),7,FALSE)
,
)
))"),"КУНЦОВА Ірина Вікторівна")</f>
        <v>КУНЦОВА Ірина Вікторівна</v>
      </c>
      <c r="G9781" s="7" t="s">
        <v>10</v>
      </c>
      <c r="H9781" s="7">
        <v>1185</v>
      </c>
      <c r="I9781" s="8" t="str">
        <f ca="1">IFERROR(__xludf.DUMMYFUNCTION("IF
(
G9782=""фізична особа""
,
VLOOKUP(H9782,IMPORTRANGE(""https://docs.google.com/spreadsheets/d/14Bd19lYaqBhU8_DElYkX7l4wRkHqqCUFNJY4AfY3kHU/edit?usp=sharing  #gid=0"",""фіз особи new!relations_name""),6,FALSE)
,
(IF
(
G9782=""юридична особа""
,
VLOOKUP"&amp;"(H9782,IMPORTRANGE(""https://docs.google.com/spreadsheets/d/14Bd19lYaqBhU8_DElYkX7l4wRkHqqCUFNJY4AfY3kHU/edit?usp=sharing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1" s="7" t="s">
        <v>29</v>
      </c>
    </row>
    <row r="9782" spans="1:10" ht="13.2">
      <c r="A9782" s="7">
        <v>9781</v>
      </c>
      <c r="B9782" s="7">
        <v>1</v>
      </c>
      <c r="C9782" s="7" t="s">
        <v>10</v>
      </c>
      <c r="D9782" s="7">
        <v>11613</v>
      </c>
      <c r="E9782" s="7" t="s">
        <v>28</v>
      </c>
      <c r="F9782" s="8" t="str">
        <f ca="1">IFERROR(__xludf.DUMMYFUNCTION("IF
(
C9783=""фізична особа""
,
VLOOKUP(D9783,IMPORTRANGE(""https://docs.google.com/spreadsheets/d/14Bd19lYaqBhU8_DElYkX7l4wRkHqqCUFNJY4AfY3kHU/edit?usp=sharing  #gid=0"",""фіз особи new!relations_name""),6,FALSE)
,
(IF
(
C9783=""юридична особа""
,
VLOOKUP"&amp;"(D9783,IMPORTRANGE(""https://docs.google.com/spreadsheets/d/14Bd19lYaqBhU8_DElYkX7l4wRkHqqCUFNJY4AfY3kHU/edit?usp=sharing  #gid=0"",""фіз особи new!relations_name_uo""),7,FALSE)
,
)
))"),"МИРОНЧУК Дмитро Олександрович")</f>
        <v>МИРОНЧУК Дмитро Олександрович</v>
      </c>
      <c r="G9782" s="7" t="s">
        <v>10</v>
      </c>
      <c r="H9782" s="7">
        <v>1185</v>
      </c>
      <c r="I9782" s="8" t="str">
        <f ca="1">IFERROR(__xludf.DUMMYFUNCTION("IF
(
G9783=""фізична особа""
,
VLOOKUP(H9783,IMPORTRANGE(""https://docs.google.com/spreadsheets/d/14Bd19lYaqBhU8_DElYkX7l4wRkHqqCUFNJY4AfY3kHU/edit?usp=sharing  #gid=0"",""фіз особи new!relations_name""),6,FALSE)
,
(IF
(
G9783=""юридична особа""
,
VLOOKUP"&amp;"(H9783,IMPORTRANGE(""https://docs.google.com/spreadsheets/d/14Bd19lYaqBhU8_DElYkX7l4wRkHqqCUFNJY4AfY3kHU/edit?usp=sharing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2" s="7" t="s">
        <v>29</v>
      </c>
    </row>
    <row r="9783" spans="1:10" ht="13.2">
      <c r="A9783" s="7">
        <v>9782</v>
      </c>
      <c r="B9783" s="7">
        <v>1</v>
      </c>
      <c r="C9783" s="7" t="s">
        <v>10</v>
      </c>
      <c r="D9783" s="7">
        <v>11614</v>
      </c>
      <c r="E9783" s="7" t="s">
        <v>28</v>
      </c>
      <c r="F9783" s="8" t="str">
        <f ca="1">IFERROR(__xludf.DUMMYFUNCTION("IF
(
C9784=""фізична особа""
,
VLOOKUP(D9784,IMPORTRANGE(""https://docs.google.com/spreadsheets/d/14Bd19lYaqBhU8_DElYkX7l4wRkHqqCUFNJY4AfY3kHU/edit?usp=sharing  #gid=0"",""фіз особи new!relations_name""),6,FALSE)
,
(IF
(
C9784=""юридична особа""
,
VLOOKUP"&amp;"(D9784,IMPORTRANGE(""https://docs.google.com/spreadsheets/d/14Bd19lYaqBhU8_DElYkX7l4wRkHqqCUFNJY4AfY3kHU/edit?usp=sharing  #gid=0"",""фіз особи new!relations_name_uo""),7,FALSE)
,
)
))"),"БРЯНЦЕВ Валерій Ілліч")</f>
        <v>БРЯНЦЕВ Валерій Ілліч</v>
      </c>
      <c r="G9783" s="7" t="s">
        <v>10</v>
      </c>
      <c r="H9783" s="7">
        <v>1185</v>
      </c>
      <c r="I9783" s="8" t="str">
        <f ca="1">IFERROR(__xludf.DUMMYFUNCTION("IF
(
G9784=""фізична особа""
,
VLOOKUP(H9784,IMPORTRANGE(""https://docs.google.com/spreadsheets/d/14Bd19lYaqBhU8_DElYkX7l4wRkHqqCUFNJY4AfY3kHU/edit?usp=sharing  #gid=0"",""фіз особи new!relations_name""),6,FALSE)
,
(IF
(
G9784=""юридична особа""
,
VLOOKUP"&amp;"(H9784,IMPORTRANGE(""https://docs.google.com/spreadsheets/d/14Bd19lYaqBhU8_DElYkX7l4wRkHqqCUFNJY4AfY3kHU/edit?usp=sharing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3" s="7" t="s">
        <v>29</v>
      </c>
    </row>
    <row r="9784" spans="1:10" ht="13.2">
      <c r="A9784" s="7">
        <v>9783</v>
      </c>
      <c r="B9784" s="7">
        <v>1</v>
      </c>
      <c r="C9784" s="7" t="s">
        <v>10</v>
      </c>
      <c r="D9784" s="7">
        <v>11615</v>
      </c>
      <c r="E9784" s="7" t="s">
        <v>28</v>
      </c>
      <c r="F9784" s="8" t="str">
        <f ca="1">IFERROR(__xludf.DUMMYFUNCTION("IF
(
C9785=""фізична особа""
,
VLOOKUP(D9785,IMPORTRANGE(""https://docs.google.com/spreadsheets/d/14Bd19lYaqBhU8_DElYkX7l4wRkHqqCUFNJY4AfY3kHU/edit?usp=sharing  #gid=0"",""фіз особи new!relations_name""),6,FALSE)
,
(IF
(
C9785=""юридична особа""
,
VLOOKUP"&amp;"(D9785,IMPORTRANGE(""https://docs.google.com/spreadsheets/d/14Bd19lYaqBhU8_DElYkX7l4wRkHqqCUFNJY4AfY3kHU/edit?usp=sharing  #gid=0"",""фіз особи new!relations_name_uo""),7,FALSE)
,
)
))"),"ЧЕРНОВ Михайло Олександрович")</f>
        <v>ЧЕРНОВ Михайло Олександрович</v>
      </c>
      <c r="G9784" s="7" t="s">
        <v>10</v>
      </c>
      <c r="H9784" s="7">
        <v>1185</v>
      </c>
      <c r="I9784" s="8" t="str">
        <f ca="1">IFERROR(__xludf.DUMMYFUNCTION("IF
(
G9785=""фізична особа""
,
VLOOKUP(H9785,IMPORTRANGE(""https://docs.google.com/spreadsheets/d/14Bd19lYaqBhU8_DElYkX7l4wRkHqqCUFNJY4AfY3kHU/edit?usp=sharing  #gid=0"",""фіз особи new!relations_name""),6,FALSE)
,
(IF
(
G9785=""юридична особа""
,
VLOOKUP"&amp;"(H9785,IMPORTRANGE(""https://docs.google.com/spreadsheets/d/14Bd19lYaqBhU8_DElYkX7l4wRkHqqCUFNJY4AfY3kHU/edit?usp=sharing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4" s="7" t="s">
        <v>29</v>
      </c>
    </row>
    <row r="9785" spans="1:10" ht="13.2">
      <c r="A9785" s="7">
        <v>9784</v>
      </c>
      <c r="B9785" s="7">
        <v>1</v>
      </c>
      <c r="C9785" s="7" t="s">
        <v>10</v>
      </c>
      <c r="D9785" s="7">
        <v>11616</v>
      </c>
      <c r="E9785" s="7" t="s">
        <v>28</v>
      </c>
      <c r="F9785" s="8" t="str">
        <f ca="1">IFERROR(__xludf.DUMMYFUNCTION("IF
(
C9786=""фізична особа""
,
VLOOKUP(D9786,IMPORTRANGE(""https://docs.google.com/spreadsheets/d/14Bd19lYaqBhU8_DElYkX7l4wRkHqqCUFNJY4AfY3kHU/edit?usp=sharing  #gid=0"",""фіз особи new!relations_name""),6,FALSE)
,
(IF
(
C9786=""юридична особа""
,
VLOOKUP"&amp;"(D9786,IMPORTRANGE(""https://docs.google.com/spreadsheets/d/14Bd19lYaqBhU8_DElYkX7l4wRkHqqCUFNJY4AfY3kHU/edit?usp=sharing  #gid=0"",""фіз особи new!relations_name_uo""),7,FALSE)
,
)
))"),"ЧЕРНОБАЙ Ліля Олександрівна")</f>
        <v>ЧЕРНОБАЙ Ліля Олександрівна</v>
      </c>
      <c r="G9785" s="7" t="s">
        <v>10</v>
      </c>
      <c r="H9785" s="7">
        <v>1185</v>
      </c>
      <c r="I9785" s="8" t="str">
        <f ca="1">IFERROR(__xludf.DUMMYFUNCTION("IF
(
G9786=""фізична особа""
,
VLOOKUP(H9786,IMPORTRANGE(""https://docs.google.com/spreadsheets/d/14Bd19lYaqBhU8_DElYkX7l4wRkHqqCUFNJY4AfY3kHU/edit?usp=sharing  #gid=0"",""фіз особи new!relations_name""),6,FALSE)
,
(IF
(
G9786=""юридична особа""
,
VLOOKUP"&amp;"(H9786,IMPORTRANGE(""https://docs.google.com/spreadsheets/d/14Bd19lYaqBhU8_DElYkX7l4wRkHqqCUFNJY4AfY3kHU/edit?usp=sharing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5" s="7" t="s">
        <v>29</v>
      </c>
    </row>
    <row r="9786" spans="1:10" ht="13.2">
      <c r="A9786" s="7">
        <v>9785</v>
      </c>
      <c r="B9786" s="7">
        <v>1</v>
      </c>
      <c r="C9786" s="7" t="s">
        <v>10</v>
      </c>
      <c r="D9786" s="7">
        <v>11617</v>
      </c>
      <c r="E9786" s="7" t="s">
        <v>28</v>
      </c>
      <c r="F9786" s="8" t="str">
        <f ca="1">IFERROR(__xludf.DUMMYFUNCTION("IF
(
C9787=""фізична особа""
,
VLOOKUP(D9787,IMPORTRANGE(""https://docs.google.com/spreadsheets/d/14Bd19lYaqBhU8_DElYkX7l4wRkHqqCUFNJY4AfY3kHU/edit?usp=sharing  #gid=0"",""фіз особи new!relations_name""),6,FALSE)
,
(IF
(
C9787=""юридична особа""
,
VLOOKUP"&amp;"(D9787,IMPORTRANGE(""https://docs.google.com/spreadsheets/d/14Bd19lYaqBhU8_DElYkX7l4wRkHqqCUFNJY4AfY3kHU/edit?usp=sharing  #gid=0"",""фіз особи new!relations_name_uo""),7,FALSE)
,
)
))"),"ХОХЛОВА Олена Анатоліївна")</f>
        <v>ХОХЛОВА Олена Анатоліївна</v>
      </c>
      <c r="G9786" s="7" t="s">
        <v>10</v>
      </c>
      <c r="H9786" s="7">
        <v>1185</v>
      </c>
      <c r="I9786" s="8" t="str">
        <f ca="1">IFERROR(__xludf.DUMMYFUNCTION("IF
(
G9787=""фізична особа""
,
VLOOKUP(H9787,IMPORTRANGE(""https://docs.google.com/spreadsheets/d/14Bd19lYaqBhU8_DElYkX7l4wRkHqqCUFNJY4AfY3kHU/edit?usp=sharing  #gid=0"",""фіз особи new!relations_name""),6,FALSE)
,
(IF
(
G9787=""юридична особа""
,
VLOOKUP"&amp;"(H9787,IMPORTRANGE(""https://docs.google.com/spreadsheets/d/14Bd19lYaqBhU8_DElYkX7l4wRkHqqCUFNJY4AfY3kHU/edit?usp=sharing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6" s="7" t="s">
        <v>29</v>
      </c>
    </row>
    <row r="9787" spans="1:10" ht="13.2">
      <c r="A9787" s="7">
        <v>9786</v>
      </c>
      <c r="B9787" s="7">
        <v>1</v>
      </c>
      <c r="C9787" s="7" t="s">
        <v>10</v>
      </c>
      <c r="D9787" s="7">
        <v>11618</v>
      </c>
      <c r="E9787" s="7" t="s">
        <v>28</v>
      </c>
      <c r="F9787" s="8" t="str">
        <f ca="1">IFERROR(__xludf.DUMMYFUNCTION("IF
(
C9788=""фізична особа""
,
VLOOKUP(D9788,IMPORTRANGE(""https://docs.google.com/spreadsheets/d/14Bd19lYaqBhU8_DElYkX7l4wRkHqqCUFNJY4AfY3kHU/edit?usp=sharing  #gid=0"",""фіз особи new!relations_name""),6,FALSE)
,
(IF
(
C9788=""юридична особа""
,
VLOOKUP"&amp;"(D9788,IMPORTRANGE(""https://docs.google.com/spreadsheets/d/14Bd19lYaqBhU8_DElYkX7l4wRkHqqCUFNJY4AfY3kHU/edit?usp=sharing  #gid=0"",""фіз особи new!relations_name_uo""),7,FALSE)
,
)
))"),"РОМАНОВА Юлія Віталіївна")</f>
        <v>РОМАНОВА Юлія Віталіївна</v>
      </c>
      <c r="G9787" s="7" t="s">
        <v>10</v>
      </c>
      <c r="H9787" s="7">
        <v>1185</v>
      </c>
      <c r="I9787" s="8" t="str">
        <f ca="1">IFERROR(__xludf.DUMMYFUNCTION("IF
(
G9788=""фізична особа""
,
VLOOKUP(H9788,IMPORTRANGE(""https://docs.google.com/spreadsheets/d/14Bd19lYaqBhU8_DElYkX7l4wRkHqqCUFNJY4AfY3kHU/edit?usp=sharing  #gid=0"",""фіз особи new!relations_name""),6,FALSE)
,
(IF
(
G9788=""юридична особа""
,
VLOOKUP"&amp;"(H9788,IMPORTRANGE(""https://docs.google.com/spreadsheets/d/14Bd19lYaqBhU8_DElYkX7l4wRkHqqCUFNJY4AfY3kHU/edit?usp=sharing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7" s="7" t="s">
        <v>29</v>
      </c>
    </row>
    <row r="9788" spans="1:10" ht="13.2">
      <c r="A9788" s="7">
        <v>9787</v>
      </c>
      <c r="B9788" s="7">
        <v>1</v>
      </c>
      <c r="C9788" s="7" t="s">
        <v>10</v>
      </c>
      <c r="D9788" s="7">
        <v>11619</v>
      </c>
      <c r="E9788" s="7" t="s">
        <v>28</v>
      </c>
      <c r="F9788" s="8" t="str">
        <f ca="1">IFERROR(__xludf.DUMMYFUNCTION("IF
(
C9789=""фізична особа""
,
VLOOKUP(D9789,IMPORTRANGE(""https://docs.google.com/spreadsheets/d/14Bd19lYaqBhU8_DElYkX7l4wRkHqqCUFNJY4AfY3kHU/edit?usp=sharing  #gid=0"",""фіз особи new!relations_name""),6,FALSE)
,
(IF
(
C9789=""юридична особа""
,
VLOOKUP"&amp;"(D9789,IMPORTRANGE(""https://docs.google.com/spreadsheets/d/14Bd19lYaqBhU8_DElYkX7l4wRkHqqCUFNJY4AfY3kHU/edit?usp=sharing  #gid=0"",""фіз особи new!relations_name_uo""),7,FALSE)
,
)
))"),"КЕМСЬКИЙ Ігор Анатолійович")</f>
        <v>КЕМСЬКИЙ Ігор Анатолійович</v>
      </c>
      <c r="G9788" s="7" t="s">
        <v>10</v>
      </c>
      <c r="H9788" s="7">
        <v>1185</v>
      </c>
      <c r="I9788" s="8" t="str">
        <f ca="1">IFERROR(__xludf.DUMMYFUNCTION("IF
(
G9789=""фізична особа""
,
VLOOKUP(H9789,IMPORTRANGE(""https://docs.google.com/spreadsheets/d/14Bd19lYaqBhU8_DElYkX7l4wRkHqqCUFNJY4AfY3kHU/edit?usp=sharing  #gid=0"",""фіз особи new!relations_name""),6,FALSE)
,
(IF
(
G9789=""юридична особа""
,
VLOOKUP"&amp;"(H9789,IMPORTRANGE(""https://docs.google.com/spreadsheets/d/14Bd19lYaqBhU8_DElYkX7l4wRkHqqCUFNJY4AfY3kHU/edit?usp=sharing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8" s="7" t="s">
        <v>29</v>
      </c>
    </row>
    <row r="9789" spans="1:10" ht="13.2">
      <c r="A9789" s="7">
        <v>9788</v>
      </c>
      <c r="B9789" s="7">
        <v>1</v>
      </c>
      <c r="C9789" s="7" t="s">
        <v>10</v>
      </c>
      <c r="D9789" s="7">
        <v>11620</v>
      </c>
      <c r="E9789" s="7" t="s">
        <v>28</v>
      </c>
      <c r="F9789" s="8" t="str">
        <f ca="1">IFERROR(__xludf.DUMMYFUNCTION("IF
(
C9790=""фізична особа""
,
VLOOKUP(D9790,IMPORTRANGE(""https://docs.google.com/spreadsheets/d/14Bd19lYaqBhU8_DElYkX7l4wRkHqqCUFNJY4AfY3kHU/edit?usp=sharing  #gid=0"",""фіз особи new!relations_name""),6,FALSE)
,
(IF
(
C9790=""юридична особа""
,
VLOOKUP"&amp;"(D9790,IMPORTRANGE(""https://docs.google.com/spreadsheets/d/14Bd19lYaqBhU8_DElYkX7l4wRkHqqCUFNJY4AfY3kHU/edit?usp=sharing  #gid=0"",""фіз особи new!relations_name_uo""),7,FALSE)
,
)
))"),"САВОЙСЬКО Ніна Іванівна")</f>
        <v>САВОЙСЬКО Ніна Іванівна</v>
      </c>
      <c r="G9789" s="7" t="s">
        <v>10</v>
      </c>
      <c r="H9789" s="7">
        <v>1185</v>
      </c>
      <c r="I9789" s="8" t="str">
        <f ca="1">IFERROR(__xludf.DUMMYFUNCTION("IF
(
G9790=""фізична особа""
,
VLOOKUP(H9790,IMPORTRANGE(""https://docs.google.com/spreadsheets/d/14Bd19lYaqBhU8_DElYkX7l4wRkHqqCUFNJY4AfY3kHU/edit?usp=sharing  #gid=0"",""фіз особи new!relations_name""),6,FALSE)
,
(IF
(
G9790=""юридична особа""
,
VLOOKUP"&amp;"(H9790,IMPORTRANGE(""https://docs.google.com/spreadsheets/d/14Bd19lYaqBhU8_DElYkX7l4wRkHqqCUFNJY4AfY3kHU/edit?usp=sharing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789" s="7" t="s">
        <v>29</v>
      </c>
    </row>
    <row r="9790" spans="1:10" ht="13.2">
      <c r="A9790" s="7">
        <v>9789</v>
      </c>
      <c r="B9790" s="7">
        <v>1</v>
      </c>
      <c r="C9790" s="7" t="s">
        <v>10</v>
      </c>
      <c r="D9790" s="7">
        <v>11621</v>
      </c>
      <c r="E9790" s="7" t="s">
        <v>28</v>
      </c>
      <c r="F9790" s="8" t="str">
        <f ca="1">IFERROR(__xludf.DUMMYFUNCTION("IF
(
C9791=""фізична особа""
,
VLOOKUP(D9791,IMPORTRANGE(""https://docs.google.com/spreadsheets/d/14Bd19lYaqBhU8_DElYkX7l4wRkHqqCUFNJY4AfY3kHU/edit?usp=sharing  #gid=0"",""фіз особи new!relations_name""),6,FALSE)
,
(IF
(
C9791=""юридична особа""
,
VLOOKUP"&amp;"(D9791,IMPORTRANGE(""https://docs.google.com/spreadsheets/d/14Bd19lYaqBhU8_DElYkX7l4wRkHqqCUFNJY4AfY3kHU/edit?usp=sharing  #gid=0"",""фіз особи new!relations_name_uo""),7,FALSE)
,
)
))"),"ПАВЛОВ Павло Павлович")</f>
        <v>ПАВЛОВ Павло Павлович</v>
      </c>
      <c r="G9790" s="7" t="s">
        <v>10</v>
      </c>
      <c r="H9790" s="7">
        <v>2982</v>
      </c>
      <c r="I9790" s="8" t="str">
        <f ca="1">IFERROR(__xludf.DUMMYFUNCTION("IF
(
G9791=""фізична особа""
,
VLOOKUP(H9791,IMPORTRANGE(""https://docs.google.com/spreadsheets/d/14Bd19lYaqBhU8_DElYkX7l4wRkHqqCUFNJY4AfY3kHU/edit?usp=sharing  #gid=0"",""фіз особи new!relations_name""),6,FALSE)
,
(IF
(
G9791=""юридична особа""
,
VLOOKUP"&amp;"(H9791,IMPORTRANGE(""https://docs.google.com/spreadsheets/d/14Bd19lYaqBhU8_DElYkX7l4wRkHqqCUFNJY4AfY3kHU/edit?usp=sharing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0" s="7" t="s">
        <v>29</v>
      </c>
    </row>
    <row r="9791" spans="1:10" ht="13.2">
      <c r="A9791" s="7">
        <v>9790</v>
      </c>
      <c r="B9791" s="7">
        <v>1</v>
      </c>
      <c r="C9791" s="7" t="s">
        <v>10</v>
      </c>
      <c r="D9791" s="7">
        <v>11622</v>
      </c>
      <c r="E9791" s="7" t="s">
        <v>28</v>
      </c>
      <c r="F9791" s="8" t="str">
        <f ca="1">IFERROR(__xludf.DUMMYFUNCTION("IF
(
C9792=""фізична особа""
,
VLOOKUP(D9792,IMPORTRANGE(""https://docs.google.com/spreadsheets/d/14Bd19lYaqBhU8_DElYkX7l4wRkHqqCUFNJY4AfY3kHU/edit?usp=sharing  #gid=0"",""фіз особи new!relations_name""),6,FALSE)
,
(IF
(
C9792=""юридична особа""
,
VLOOKUP"&amp;"(D9792,IMPORTRANGE(""https://docs.google.com/spreadsheets/d/14Bd19lYaqBhU8_DElYkX7l4wRkHqqCUFNJY4AfY3kHU/edit?usp=sharing  #gid=0"",""фіз особи new!relations_name_uo""),7,FALSE)
,
)
))"),"АСТАШОВ Ярослав Миколайович")</f>
        <v>АСТАШОВ Ярослав Миколайович</v>
      </c>
      <c r="G9791" s="7" t="s">
        <v>10</v>
      </c>
      <c r="H9791" s="7">
        <v>2982</v>
      </c>
      <c r="I9791" s="8" t="str">
        <f ca="1">IFERROR(__xludf.DUMMYFUNCTION("IF
(
G9792=""фізична особа""
,
VLOOKUP(H9792,IMPORTRANGE(""https://docs.google.com/spreadsheets/d/14Bd19lYaqBhU8_DElYkX7l4wRkHqqCUFNJY4AfY3kHU/edit?usp=sharing  #gid=0"",""фіз особи new!relations_name""),6,FALSE)
,
(IF
(
G9792=""юридична особа""
,
VLOOKUP"&amp;"(H9792,IMPORTRANGE(""https://docs.google.com/spreadsheets/d/14Bd19lYaqBhU8_DElYkX7l4wRkHqqCUFNJY4AfY3kHU/edit?usp=sharing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1" s="7" t="s">
        <v>29</v>
      </c>
    </row>
    <row r="9792" spans="1:10" ht="13.2">
      <c r="A9792" s="7">
        <v>9791</v>
      </c>
      <c r="B9792" s="7">
        <v>1</v>
      </c>
      <c r="C9792" s="7" t="s">
        <v>10</v>
      </c>
      <c r="D9792" s="7">
        <v>11623</v>
      </c>
      <c r="E9792" s="7" t="s">
        <v>28</v>
      </c>
      <c r="F9792" s="8" t="str">
        <f ca="1">IFERROR(__xludf.DUMMYFUNCTION("IF
(
C9793=""фізична особа""
,
VLOOKUP(D9793,IMPORTRANGE(""https://docs.google.com/spreadsheets/d/14Bd19lYaqBhU8_DElYkX7l4wRkHqqCUFNJY4AfY3kHU/edit?usp=sharing  #gid=0"",""фіз особи new!relations_name""),6,FALSE)
,
(IF
(
C9793=""юридична особа""
,
VLOOKUP"&amp;"(D9793,IMPORTRANGE(""https://docs.google.com/spreadsheets/d/14Bd19lYaqBhU8_DElYkX7l4wRkHqqCUFNJY4AfY3kHU/edit?usp=sharing  #gid=0"",""фіз особи new!relations_name_uo""),7,FALSE)
,
)
))"),"ЛЕОНОВ Олександр Павлович")</f>
        <v>ЛЕОНОВ Олександр Павлович</v>
      </c>
      <c r="G9792" s="7" t="s">
        <v>10</v>
      </c>
      <c r="H9792" s="7">
        <v>2982</v>
      </c>
      <c r="I9792" s="8" t="str">
        <f ca="1">IFERROR(__xludf.DUMMYFUNCTION("IF
(
G9793=""фізична особа""
,
VLOOKUP(H9793,IMPORTRANGE(""https://docs.google.com/spreadsheets/d/14Bd19lYaqBhU8_DElYkX7l4wRkHqqCUFNJY4AfY3kHU/edit?usp=sharing  #gid=0"",""фіз особи new!relations_name""),6,FALSE)
,
(IF
(
G9793=""юридична особа""
,
VLOOKUP"&amp;"(H9793,IMPORTRANGE(""https://docs.google.com/spreadsheets/d/14Bd19lYaqBhU8_DElYkX7l4wRkHqqCUFNJY4AfY3kHU/edit?usp=sharing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2" s="7" t="s">
        <v>29</v>
      </c>
    </row>
    <row r="9793" spans="1:10" ht="13.2">
      <c r="A9793" s="7">
        <v>9792</v>
      </c>
      <c r="B9793" s="7">
        <v>1</v>
      </c>
      <c r="C9793" s="7" t="s">
        <v>10</v>
      </c>
      <c r="D9793" s="7">
        <v>11624</v>
      </c>
      <c r="E9793" s="7" t="s">
        <v>28</v>
      </c>
      <c r="F9793" s="8" t="str">
        <f ca="1">IFERROR(__xludf.DUMMYFUNCTION("IF
(
C9794=""фізична особа""
,
VLOOKUP(D9794,IMPORTRANGE(""https://docs.google.com/spreadsheets/d/14Bd19lYaqBhU8_DElYkX7l4wRkHqqCUFNJY4AfY3kHU/edit?usp=sharing  #gid=0"",""фіз особи new!relations_name""),6,FALSE)
,
(IF
(
C9794=""юридична особа""
,
VLOOKUP"&amp;"(D9794,IMPORTRANGE(""https://docs.google.com/spreadsheets/d/14Bd19lYaqBhU8_DElYkX7l4wRkHqqCUFNJY4AfY3kHU/edit?usp=sharing  #gid=0"",""фіз особи new!relations_name_uo""),7,FALSE)
,
)
))"),"СІЮХОВ Азамат Борисович")</f>
        <v>СІЮХОВ Азамат Борисович</v>
      </c>
      <c r="G9793" s="7" t="s">
        <v>10</v>
      </c>
      <c r="H9793" s="7">
        <v>2982</v>
      </c>
      <c r="I9793" s="8" t="str">
        <f ca="1">IFERROR(__xludf.DUMMYFUNCTION("IF
(
G9794=""фізична особа""
,
VLOOKUP(H9794,IMPORTRANGE(""https://docs.google.com/spreadsheets/d/14Bd19lYaqBhU8_DElYkX7l4wRkHqqCUFNJY4AfY3kHU/edit?usp=sharing  #gid=0"",""фіз особи new!relations_name""),6,FALSE)
,
(IF
(
G9794=""юридична особа""
,
VLOOKUP"&amp;"(H9794,IMPORTRANGE(""https://docs.google.com/spreadsheets/d/14Bd19lYaqBhU8_DElYkX7l4wRkHqqCUFNJY4AfY3kHU/edit?usp=sharing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3" s="7" t="s">
        <v>29</v>
      </c>
    </row>
    <row r="9794" spans="1:10" ht="13.2">
      <c r="A9794" s="7">
        <v>9793</v>
      </c>
      <c r="B9794" s="7">
        <v>1</v>
      </c>
      <c r="C9794" s="7" t="s">
        <v>10</v>
      </c>
      <c r="D9794" s="7">
        <v>11625</v>
      </c>
      <c r="E9794" s="7" t="s">
        <v>28</v>
      </c>
      <c r="F9794" s="8" t="str">
        <f ca="1">IFERROR(__xludf.DUMMYFUNCTION("IF
(
C9795=""фізична особа""
,
VLOOKUP(D9795,IMPORTRANGE(""https://docs.google.com/spreadsheets/d/14Bd19lYaqBhU8_DElYkX7l4wRkHqqCUFNJY4AfY3kHU/edit?usp=sharing  #gid=0"",""фіз особи new!relations_name""),6,FALSE)
,
(IF
(
C9795=""юридична особа""
,
VLOOKUP"&amp;"(D9795,IMPORTRANGE(""https://docs.google.com/spreadsheets/d/14Bd19lYaqBhU8_DElYkX7l4wRkHqqCUFNJY4AfY3kHU/edit?usp=sharing  #gid=0"",""фіз особи new!relations_name_uo""),7,FALSE)
,
)
))"),"ВАСІН Андрій Анатолійович")</f>
        <v>ВАСІН Андрій Анатолійович</v>
      </c>
      <c r="G9794" s="7" t="s">
        <v>10</v>
      </c>
      <c r="H9794" s="7">
        <v>2982</v>
      </c>
      <c r="I9794" s="8" t="str">
        <f ca="1">IFERROR(__xludf.DUMMYFUNCTION("IF
(
G9795=""фізична особа""
,
VLOOKUP(H9795,IMPORTRANGE(""https://docs.google.com/spreadsheets/d/14Bd19lYaqBhU8_DElYkX7l4wRkHqqCUFNJY4AfY3kHU/edit?usp=sharing  #gid=0"",""фіз особи new!relations_name""),6,FALSE)
,
(IF
(
G9795=""юридична особа""
,
VLOOKUP"&amp;"(H9795,IMPORTRANGE(""https://docs.google.com/spreadsheets/d/14Bd19lYaqBhU8_DElYkX7l4wRkHqqCUFNJY4AfY3kHU/edit?usp=sharing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4" s="7" t="s">
        <v>29</v>
      </c>
    </row>
    <row r="9795" spans="1:10" ht="13.2">
      <c r="A9795" s="7">
        <v>9794</v>
      </c>
      <c r="B9795" s="7">
        <v>1</v>
      </c>
      <c r="C9795" s="7" t="s">
        <v>10</v>
      </c>
      <c r="D9795" s="7">
        <v>11626</v>
      </c>
      <c r="E9795" s="7" t="s">
        <v>28</v>
      </c>
      <c r="F9795" s="8" t="str">
        <f ca="1">IFERROR(__xludf.DUMMYFUNCTION("IF
(
C9796=""фізична особа""
,
VLOOKUP(D9796,IMPORTRANGE(""https://docs.google.com/spreadsheets/d/14Bd19lYaqBhU8_DElYkX7l4wRkHqqCUFNJY4AfY3kHU/edit?usp=sharing  #gid=0"",""фіз особи new!relations_name""),6,FALSE)
,
(IF
(
C9796=""юридична особа""
,
VLOOKUP"&amp;"(D9796,IMPORTRANGE(""https://docs.google.com/spreadsheets/d/14Bd19lYaqBhU8_DElYkX7l4wRkHqqCUFNJY4AfY3kHU/edit?usp=sharing  #gid=0"",""фіз особи new!relations_name_uo""),7,FALSE)
,
)
))"),"БАШИРОВ Мансур Рустамович")</f>
        <v>БАШИРОВ Мансур Рустамович</v>
      </c>
      <c r="G9795" s="7" t="s">
        <v>10</v>
      </c>
      <c r="H9795" s="7">
        <v>2982</v>
      </c>
      <c r="I9795" s="8" t="str">
        <f ca="1">IFERROR(__xludf.DUMMYFUNCTION("IF
(
G9796=""фізична особа""
,
VLOOKUP(H9796,IMPORTRANGE(""https://docs.google.com/spreadsheets/d/14Bd19lYaqBhU8_DElYkX7l4wRkHqqCUFNJY4AfY3kHU/edit?usp=sharing  #gid=0"",""фіз особи new!relations_name""),6,FALSE)
,
(IF
(
G9796=""юридична особа""
,
VLOOKUP"&amp;"(H9796,IMPORTRANGE(""https://docs.google.com/spreadsheets/d/14Bd19lYaqBhU8_DElYkX7l4wRkHqqCUFNJY4AfY3kHU/edit?usp=sharing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5" s="7" t="s">
        <v>29</v>
      </c>
    </row>
    <row r="9796" spans="1:10" ht="13.2">
      <c r="A9796" s="7">
        <v>9795</v>
      </c>
      <c r="B9796" s="7">
        <v>1</v>
      </c>
      <c r="C9796" s="7" t="s">
        <v>10</v>
      </c>
      <c r="D9796" s="7">
        <v>11627</v>
      </c>
      <c r="E9796" s="7" t="s">
        <v>28</v>
      </c>
      <c r="F9796" s="8" t="str">
        <f ca="1">IFERROR(__xludf.DUMMYFUNCTION("IF
(
C9797=""фізична особа""
,
VLOOKUP(D9797,IMPORTRANGE(""https://docs.google.com/spreadsheets/d/14Bd19lYaqBhU8_DElYkX7l4wRkHqqCUFNJY4AfY3kHU/edit?usp=sharing  #gid=0"",""фіз особи new!relations_name""),6,FALSE)
,
(IF
(
C9797=""юридична особа""
,
VLOOKUP"&amp;"(D9797,IMPORTRANGE(""https://docs.google.com/spreadsheets/d/14Bd19lYaqBhU8_DElYkX7l4wRkHqqCUFNJY4AfY3kHU/edit?usp=sharing  #gid=0"",""фіз особи new!relations_name_uo""),7,FALSE)
,
)
))"),"ПРИМЕРОВ Сергій Іванович")</f>
        <v>ПРИМЕРОВ Сергій Іванович</v>
      </c>
      <c r="G9796" s="7" t="s">
        <v>10</v>
      </c>
      <c r="H9796" s="7">
        <v>2982</v>
      </c>
      <c r="I9796" s="8" t="str">
        <f ca="1">IFERROR(__xludf.DUMMYFUNCTION("IF
(
G9797=""фізична особа""
,
VLOOKUP(H9797,IMPORTRANGE(""https://docs.google.com/spreadsheets/d/14Bd19lYaqBhU8_DElYkX7l4wRkHqqCUFNJY4AfY3kHU/edit?usp=sharing  #gid=0"",""фіз особи new!relations_name""),6,FALSE)
,
(IF
(
G9797=""юридична особа""
,
VLOOKUP"&amp;"(H9797,IMPORTRANGE(""https://docs.google.com/spreadsheets/d/14Bd19lYaqBhU8_DElYkX7l4wRkHqqCUFNJY4AfY3kHU/edit?usp=sharing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6" s="7" t="s">
        <v>29</v>
      </c>
    </row>
    <row r="9797" spans="1:10" ht="13.2">
      <c r="A9797" s="7">
        <v>9796</v>
      </c>
      <c r="B9797" s="7">
        <v>1</v>
      </c>
      <c r="C9797" s="7" t="s">
        <v>10</v>
      </c>
      <c r="D9797" s="7">
        <v>11628</v>
      </c>
      <c r="E9797" s="7" t="s">
        <v>28</v>
      </c>
      <c r="F9797" s="8" t="str">
        <f ca="1">IFERROR(__xludf.DUMMYFUNCTION("IF
(
C9798=""фізична особа""
,
VLOOKUP(D9798,IMPORTRANGE(""https://docs.google.com/spreadsheets/d/14Bd19lYaqBhU8_DElYkX7l4wRkHqqCUFNJY4AfY3kHU/edit?usp=sharing  #gid=0"",""фіз особи new!relations_name""),6,FALSE)
,
(IF
(
C9798=""юридична особа""
,
VLOOKUP"&amp;"(D9798,IMPORTRANGE(""https://docs.google.com/spreadsheets/d/14Bd19lYaqBhU8_DElYkX7l4wRkHqqCUFNJY4AfY3kHU/edit?usp=sharing  #gid=0"",""фіз особи new!relations_name_uo""),7,FALSE)
,
)
))"),"СИЛЬЧЕНКОВ Ігор Олександрович")</f>
        <v>СИЛЬЧЕНКОВ Ігор Олександрович</v>
      </c>
      <c r="G9797" s="7" t="s">
        <v>10</v>
      </c>
      <c r="H9797" s="7">
        <v>2982</v>
      </c>
      <c r="I9797" s="8" t="str">
        <f ca="1">IFERROR(__xludf.DUMMYFUNCTION("IF
(
G9798=""фізична особа""
,
VLOOKUP(H9798,IMPORTRANGE(""https://docs.google.com/spreadsheets/d/14Bd19lYaqBhU8_DElYkX7l4wRkHqqCUFNJY4AfY3kHU/edit?usp=sharing  #gid=0"",""фіз особи new!relations_name""),6,FALSE)
,
(IF
(
G9798=""юридична особа""
,
VLOOKUP"&amp;"(H9798,IMPORTRANGE(""https://docs.google.com/spreadsheets/d/14Bd19lYaqBhU8_DElYkX7l4wRkHqqCUFNJY4AfY3kHU/edit?usp=sharing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7" s="7" t="s">
        <v>29</v>
      </c>
    </row>
    <row r="9798" spans="1:10" ht="13.2">
      <c r="A9798" s="7">
        <v>9797</v>
      </c>
      <c r="B9798" s="7">
        <v>1</v>
      </c>
      <c r="C9798" s="7" t="s">
        <v>10</v>
      </c>
      <c r="D9798" s="7">
        <v>11629</v>
      </c>
      <c r="E9798" s="7" t="s">
        <v>28</v>
      </c>
      <c r="F9798" s="8" t="str">
        <f ca="1">IFERROR(__xludf.DUMMYFUNCTION("IF
(
C9799=""фізична особа""
,
VLOOKUP(D9799,IMPORTRANGE(""https://docs.google.com/spreadsheets/d/14Bd19lYaqBhU8_DElYkX7l4wRkHqqCUFNJY4AfY3kHU/edit?usp=sharing  #gid=0"",""фіз особи new!relations_name""),6,FALSE)
,
(IF
(
C9799=""юридична особа""
,
VLOOKUP"&amp;"(D9799,IMPORTRANGE(""https://docs.google.com/spreadsheets/d/14Bd19lYaqBhU8_DElYkX7l4wRkHqqCUFNJY4AfY3kHU/edit?usp=sharing  #gid=0"",""фіз особи new!relations_name_uo""),7,FALSE)
,
)
))"),"ВИСОЦЬКИЙ Ігор Юрійович")</f>
        <v>ВИСОЦЬКИЙ Ігор Юрійович</v>
      </c>
      <c r="G9798" s="7" t="s">
        <v>10</v>
      </c>
      <c r="H9798" s="7">
        <v>2982</v>
      </c>
      <c r="I9798" s="8" t="str">
        <f ca="1">IFERROR(__xludf.DUMMYFUNCTION("IF
(
G9799=""фізична особа""
,
VLOOKUP(H9799,IMPORTRANGE(""https://docs.google.com/spreadsheets/d/14Bd19lYaqBhU8_DElYkX7l4wRkHqqCUFNJY4AfY3kHU/edit?usp=sharing  #gid=0"",""фіз особи new!relations_name""),6,FALSE)
,
(IF
(
G9799=""юридична особа""
,
VLOOKUP"&amp;"(H9799,IMPORTRANGE(""https://docs.google.com/spreadsheets/d/14Bd19lYaqBhU8_DElYkX7l4wRkHqqCUFNJY4AfY3kHU/edit?usp=sharing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8" s="7" t="s">
        <v>29</v>
      </c>
    </row>
    <row r="9799" spans="1:10" ht="13.2">
      <c r="A9799" s="7">
        <v>9798</v>
      </c>
      <c r="B9799" s="7">
        <v>1</v>
      </c>
      <c r="C9799" s="7" t="s">
        <v>10</v>
      </c>
      <c r="D9799" s="7">
        <v>11630</v>
      </c>
      <c r="E9799" s="7" t="s">
        <v>28</v>
      </c>
      <c r="F9799" s="8" t="str">
        <f ca="1">IFERROR(__xludf.DUMMYFUNCTION("IF
(
C9800=""фізична особа""
,
VLOOKUP(D9800,IMPORTRANGE(""https://docs.google.com/spreadsheets/d/14Bd19lYaqBhU8_DElYkX7l4wRkHqqCUFNJY4AfY3kHU/edit?usp=sharing  #gid=0"",""фіз особи new!relations_name""),6,FALSE)
,
(IF
(
C9800=""юридична особа""
,
VLOOKUP"&amp;"(D9800,IMPORTRANGE(""https://docs.google.com/spreadsheets/d/14Bd19lYaqBhU8_DElYkX7l4wRkHqqCUFNJY4AfY3kHU/edit?usp=sharing  #gid=0"",""фіз особи new!relations_name_uo""),7,FALSE)
,
)
))"),"ПЕРЕВЕРЗА Павло Вікторович")</f>
        <v>ПЕРЕВЕРЗА Павло Вікторович</v>
      </c>
      <c r="G9799" s="7" t="s">
        <v>10</v>
      </c>
      <c r="H9799" s="7">
        <v>2982</v>
      </c>
      <c r="I9799" s="8" t="str">
        <f ca="1">IFERROR(__xludf.DUMMYFUNCTION("IF
(
G9800=""фізична особа""
,
VLOOKUP(H9800,IMPORTRANGE(""https://docs.google.com/spreadsheets/d/14Bd19lYaqBhU8_DElYkX7l4wRkHqqCUFNJY4AfY3kHU/edit?usp=sharing  #gid=0"",""фіз особи new!relations_name""),6,FALSE)
,
(IF
(
G9800=""юридична особа""
,
VLOOKUP"&amp;"(H9800,IMPORTRANGE(""https://docs.google.com/spreadsheets/d/14Bd19lYaqBhU8_DElYkX7l4wRkHqqCUFNJY4AfY3kHU/edit?usp=sharing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799" s="7" t="s">
        <v>29</v>
      </c>
    </row>
    <row r="9800" spans="1:10" ht="13.2">
      <c r="A9800" s="7">
        <v>9799</v>
      </c>
      <c r="B9800" s="7">
        <v>1</v>
      </c>
      <c r="C9800" s="7" t="s">
        <v>10</v>
      </c>
      <c r="D9800" s="7">
        <v>11631</v>
      </c>
      <c r="E9800" s="7" t="s">
        <v>28</v>
      </c>
      <c r="F9800" s="8" t="str">
        <f ca="1">IFERROR(__xludf.DUMMYFUNCTION("IF
(
C9801=""фізична особа""
,
VLOOKUP(D9801,IMPORTRANGE(""https://docs.google.com/spreadsheets/d/14Bd19lYaqBhU8_DElYkX7l4wRkHqqCUFNJY4AfY3kHU/edit?usp=sharing  #gid=0"",""фіз особи new!relations_name""),6,FALSE)
,
(IF
(
C9801=""юридична особа""
,
VLOOKUP"&amp;"(D9801,IMPORTRANGE(""https://docs.google.com/spreadsheets/d/14Bd19lYaqBhU8_DElYkX7l4wRkHqqCUFNJY4AfY3kHU/edit?usp=sharing  #gid=0"",""фіз особи new!relations_name_uo""),7,FALSE)
,
)
))"),"ДУРБАЖОВ Сергій Володимирович")</f>
        <v>ДУРБАЖОВ Сергій Володимирович</v>
      </c>
      <c r="G9800" s="7" t="s">
        <v>10</v>
      </c>
      <c r="H9800" s="7">
        <v>2982</v>
      </c>
      <c r="I9800" s="8" t="str">
        <f ca="1">IFERROR(__xludf.DUMMYFUNCTION("IF
(
G9801=""фізична особа""
,
VLOOKUP(H9801,IMPORTRANGE(""https://docs.google.com/spreadsheets/d/14Bd19lYaqBhU8_DElYkX7l4wRkHqqCUFNJY4AfY3kHU/edit?usp=sharing  #gid=0"",""фіз особи new!relations_name""),6,FALSE)
,
(IF
(
G9801=""юридична особа""
,
VLOOKUP"&amp;"(H9801,IMPORTRANGE(""https://docs.google.com/spreadsheets/d/14Bd19lYaqBhU8_DElYkX7l4wRkHqqCUFNJY4AfY3kHU/edit?usp=sharing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0" s="7" t="s">
        <v>29</v>
      </c>
    </row>
    <row r="9801" spans="1:10" ht="13.2">
      <c r="A9801" s="7">
        <v>9800</v>
      </c>
      <c r="B9801" s="7">
        <v>1</v>
      </c>
      <c r="C9801" s="7" t="s">
        <v>10</v>
      </c>
      <c r="D9801" s="7">
        <v>11632</v>
      </c>
      <c r="E9801" s="7" t="s">
        <v>28</v>
      </c>
      <c r="F9801" s="8" t="str">
        <f ca="1">IFERROR(__xludf.DUMMYFUNCTION("IF
(
C9802=""фізична особа""
,
VLOOKUP(D9802,IMPORTRANGE(""https://docs.google.com/spreadsheets/d/14Bd19lYaqBhU8_DElYkX7l4wRkHqqCUFNJY4AfY3kHU/edit?usp=sharing  #gid=0"",""фіз особи new!relations_name""),6,FALSE)
,
(IF
(
C9802=""юридична особа""
,
VLOOKUP"&amp;"(D9802,IMPORTRANGE(""https://docs.google.com/spreadsheets/d/14Bd19lYaqBhU8_DElYkX7l4wRkHqqCUFNJY4AfY3kHU/edit?usp=sharing  #gid=0"",""фіз особи new!relations_name_uo""),7,FALSE)
,
)
))"),"НЕДОКОНЦЕВ Віталій Віталійович")</f>
        <v>НЕДОКОНЦЕВ Віталій Віталійович</v>
      </c>
      <c r="G9801" s="7" t="s">
        <v>10</v>
      </c>
      <c r="H9801" s="7">
        <v>2982</v>
      </c>
      <c r="I9801" s="8" t="str">
        <f ca="1">IFERROR(__xludf.DUMMYFUNCTION("IF
(
G9802=""фізична особа""
,
VLOOKUP(H9802,IMPORTRANGE(""https://docs.google.com/spreadsheets/d/14Bd19lYaqBhU8_DElYkX7l4wRkHqqCUFNJY4AfY3kHU/edit?usp=sharing  #gid=0"",""фіз особи new!relations_name""),6,FALSE)
,
(IF
(
G9802=""юридична особа""
,
VLOOKUP"&amp;"(H9802,IMPORTRANGE(""https://docs.google.com/spreadsheets/d/14Bd19lYaqBhU8_DElYkX7l4wRkHqqCUFNJY4AfY3kHU/edit?usp=sharing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1" s="7" t="s">
        <v>29</v>
      </c>
    </row>
    <row r="9802" spans="1:10" ht="13.2">
      <c r="A9802" s="7">
        <v>9801</v>
      </c>
      <c r="B9802" s="7">
        <v>1</v>
      </c>
      <c r="C9802" s="7" t="s">
        <v>10</v>
      </c>
      <c r="D9802" s="7">
        <v>11633</v>
      </c>
      <c r="E9802" s="7" t="s">
        <v>28</v>
      </c>
      <c r="F9802" s="8" t="str">
        <f ca="1">IFERROR(__xludf.DUMMYFUNCTION("IF
(
C9803=""фізична особа""
,
VLOOKUP(D9803,IMPORTRANGE(""https://docs.google.com/spreadsheets/d/14Bd19lYaqBhU8_DElYkX7l4wRkHqqCUFNJY4AfY3kHU/edit?usp=sharing  #gid=0"",""фіз особи new!relations_name""),6,FALSE)
,
(IF
(
C9803=""юридична особа""
,
VLOOKUP"&amp;"(D9803,IMPORTRANGE(""https://docs.google.com/spreadsheets/d/14Bd19lYaqBhU8_DElYkX7l4wRkHqqCUFNJY4AfY3kHU/edit?usp=sharing  #gid=0"",""фіз особи new!relations_name_uo""),7,FALSE)
,
)
))"),"МЕРЕЖКО Сергій Миколайович")</f>
        <v>МЕРЕЖКО Сергій Миколайович</v>
      </c>
      <c r="G9802" s="7" t="s">
        <v>10</v>
      </c>
      <c r="H9802" s="7">
        <v>2982</v>
      </c>
      <c r="I9802" s="8" t="str">
        <f ca="1">IFERROR(__xludf.DUMMYFUNCTION("IF
(
G9803=""фізична особа""
,
VLOOKUP(H9803,IMPORTRANGE(""https://docs.google.com/spreadsheets/d/14Bd19lYaqBhU8_DElYkX7l4wRkHqqCUFNJY4AfY3kHU/edit?usp=sharing  #gid=0"",""фіз особи new!relations_name""),6,FALSE)
,
(IF
(
G9803=""юридична особа""
,
VLOOKUP"&amp;"(H9803,IMPORTRANGE(""https://docs.google.com/spreadsheets/d/14Bd19lYaqBhU8_DElYkX7l4wRkHqqCUFNJY4AfY3kHU/edit?usp=sharing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2" s="7" t="s">
        <v>29</v>
      </c>
    </row>
    <row r="9803" spans="1:10" ht="13.2">
      <c r="A9803" s="7">
        <v>9802</v>
      </c>
      <c r="B9803" s="7">
        <v>1</v>
      </c>
      <c r="C9803" s="7" t="s">
        <v>10</v>
      </c>
      <c r="D9803" s="7">
        <v>11634</v>
      </c>
      <c r="E9803" s="7" t="s">
        <v>28</v>
      </c>
      <c r="F9803" s="8" t="str">
        <f ca="1">IFERROR(__xludf.DUMMYFUNCTION("IF
(
C9804=""фізична особа""
,
VLOOKUP(D9804,IMPORTRANGE(""https://docs.google.com/spreadsheets/d/14Bd19lYaqBhU8_DElYkX7l4wRkHqqCUFNJY4AfY3kHU/edit?usp=sharing  #gid=0"",""фіз особи new!relations_name""),6,FALSE)
,
(IF
(
C9804=""юридична особа""
,
VLOOKUP"&amp;"(D9804,IMPORTRANGE(""https://docs.google.com/spreadsheets/d/14Bd19lYaqBhU8_DElYkX7l4wRkHqqCUFNJY4AfY3kHU/edit?usp=sharing  #gid=0"",""фіз особи new!relations_name_uo""),7,FALSE)
,
)
))"),"РАМАЗАНОВ Радік Вахітович")</f>
        <v>РАМАЗАНОВ Радік Вахітович</v>
      </c>
      <c r="G9803" s="7" t="s">
        <v>10</v>
      </c>
      <c r="H9803" s="7">
        <v>2982</v>
      </c>
      <c r="I9803" s="8" t="str">
        <f ca="1">IFERROR(__xludf.DUMMYFUNCTION("IF
(
G9804=""фізична особа""
,
VLOOKUP(H9804,IMPORTRANGE(""https://docs.google.com/spreadsheets/d/14Bd19lYaqBhU8_DElYkX7l4wRkHqqCUFNJY4AfY3kHU/edit?usp=sharing  #gid=0"",""фіз особи new!relations_name""),6,FALSE)
,
(IF
(
G9804=""юридична особа""
,
VLOOKUP"&amp;"(H9804,IMPORTRANGE(""https://docs.google.com/spreadsheets/d/14Bd19lYaqBhU8_DElYkX7l4wRkHqqCUFNJY4AfY3kHU/edit?usp=sharing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3" s="7" t="s">
        <v>29</v>
      </c>
    </row>
    <row r="9804" spans="1:10" ht="13.2">
      <c r="A9804" s="7">
        <v>9803</v>
      </c>
      <c r="B9804" s="7">
        <v>1</v>
      </c>
      <c r="C9804" s="7" t="s">
        <v>10</v>
      </c>
      <c r="D9804" s="7">
        <v>11635</v>
      </c>
      <c r="E9804" s="7" t="s">
        <v>28</v>
      </c>
      <c r="F9804" s="8" t="str">
        <f ca="1">IFERROR(__xludf.DUMMYFUNCTION("IF
(
C9805=""фізична особа""
,
VLOOKUP(D9805,IMPORTRANGE(""https://docs.google.com/spreadsheets/d/14Bd19lYaqBhU8_DElYkX7l4wRkHqqCUFNJY4AfY3kHU/edit?usp=sharing  #gid=0"",""фіз особи new!relations_name""),6,FALSE)
,
(IF
(
C9805=""юридична особа""
,
VLOOKUP"&amp;"(D9805,IMPORTRANGE(""https://docs.google.com/spreadsheets/d/14Bd19lYaqBhU8_DElYkX7l4wRkHqqCUFNJY4AfY3kHU/edit?usp=sharing  #gid=0"",""фіз особи new!relations_name_uo""),7,FALSE)
,
)
))"),"ГАЛЬДІН Олександр Геннадійович")</f>
        <v>ГАЛЬДІН Олександр Геннадійович</v>
      </c>
      <c r="G9804" s="7" t="s">
        <v>10</v>
      </c>
      <c r="H9804" s="7">
        <v>2982</v>
      </c>
      <c r="I9804" s="8" t="str">
        <f ca="1">IFERROR(__xludf.DUMMYFUNCTION("IF
(
G9805=""фізична особа""
,
VLOOKUP(H9805,IMPORTRANGE(""https://docs.google.com/spreadsheets/d/14Bd19lYaqBhU8_DElYkX7l4wRkHqqCUFNJY4AfY3kHU/edit?usp=sharing  #gid=0"",""фіз особи new!relations_name""),6,FALSE)
,
(IF
(
G9805=""юридична особа""
,
VLOOKUP"&amp;"(H9805,IMPORTRANGE(""https://docs.google.com/spreadsheets/d/14Bd19lYaqBhU8_DElYkX7l4wRkHqqCUFNJY4AfY3kHU/edit?usp=sharing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4" s="7" t="s">
        <v>29</v>
      </c>
    </row>
    <row r="9805" spans="1:10" ht="13.2">
      <c r="A9805" s="7">
        <v>9804</v>
      </c>
      <c r="B9805" s="7">
        <v>1</v>
      </c>
      <c r="C9805" s="7" t="s">
        <v>10</v>
      </c>
      <c r="D9805" s="7">
        <v>11636</v>
      </c>
      <c r="E9805" s="7" t="s">
        <v>28</v>
      </c>
      <c r="F9805" s="8" t="str">
        <f ca="1">IFERROR(__xludf.DUMMYFUNCTION("IF
(
C9806=""фізична особа""
,
VLOOKUP(D9806,IMPORTRANGE(""https://docs.google.com/spreadsheets/d/14Bd19lYaqBhU8_DElYkX7l4wRkHqqCUFNJY4AfY3kHU/edit?usp=sharing  #gid=0"",""фіз особи new!relations_name""),6,FALSE)
,
(IF
(
C9806=""юридична особа""
,
VLOOKUP"&amp;"(D9806,IMPORTRANGE(""https://docs.google.com/spreadsheets/d/14Bd19lYaqBhU8_DElYkX7l4wRkHqqCUFNJY4AfY3kHU/edit?usp=sharing  #gid=0"",""фіз особи new!relations_name_uo""),7,FALSE)
,
)
))"),"ДРОБОТ Олександр Федорович")</f>
        <v>ДРОБОТ Олександр Федорович</v>
      </c>
      <c r="G9805" s="7" t="s">
        <v>10</v>
      </c>
      <c r="H9805" s="7">
        <v>2982</v>
      </c>
      <c r="I9805" s="8" t="str">
        <f ca="1">IFERROR(__xludf.DUMMYFUNCTION("IF
(
G9806=""фізична особа""
,
VLOOKUP(H9806,IMPORTRANGE(""https://docs.google.com/spreadsheets/d/14Bd19lYaqBhU8_DElYkX7l4wRkHqqCUFNJY4AfY3kHU/edit?usp=sharing  #gid=0"",""фіз особи new!relations_name""),6,FALSE)
,
(IF
(
G9806=""юридична особа""
,
VLOOKUP"&amp;"(H9806,IMPORTRANGE(""https://docs.google.com/spreadsheets/d/14Bd19lYaqBhU8_DElYkX7l4wRkHqqCUFNJY4AfY3kHU/edit?usp=sharing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5" s="7" t="s">
        <v>29</v>
      </c>
    </row>
    <row r="9806" spans="1:10" ht="13.2">
      <c r="A9806" s="7">
        <v>9805</v>
      </c>
      <c r="B9806" s="7">
        <v>1</v>
      </c>
      <c r="C9806" s="7" t="s">
        <v>10</v>
      </c>
      <c r="D9806" s="7">
        <v>11637</v>
      </c>
      <c r="E9806" s="7" t="s">
        <v>28</v>
      </c>
      <c r="F9806" s="8" t="str">
        <f ca="1">IFERROR(__xludf.DUMMYFUNCTION("IF
(
C9807=""фізична особа""
,
VLOOKUP(D9807,IMPORTRANGE(""https://docs.google.com/spreadsheets/d/14Bd19lYaqBhU8_DElYkX7l4wRkHqqCUFNJY4AfY3kHU/edit?usp=sharing  #gid=0"",""фіз особи new!relations_name""),6,FALSE)
,
(IF
(
C9807=""юридична особа""
,
VLOOKUP"&amp;"(D9807,IMPORTRANGE(""https://docs.google.com/spreadsheets/d/14Bd19lYaqBhU8_DElYkX7l4wRkHqqCUFNJY4AfY3kHU/edit?usp=sharing  #gid=0"",""фіз особи new!relations_name_uo""),7,FALSE)
,
)
))"),"ЖИГЛОВ Віктор Володимирович")</f>
        <v>ЖИГЛОВ Віктор Володимирович</v>
      </c>
      <c r="G9806" s="7" t="s">
        <v>10</v>
      </c>
      <c r="H9806" s="7">
        <v>2982</v>
      </c>
      <c r="I9806" s="8" t="str">
        <f ca="1">IFERROR(__xludf.DUMMYFUNCTION("IF
(
G9807=""фізична особа""
,
VLOOKUP(H9807,IMPORTRANGE(""https://docs.google.com/spreadsheets/d/14Bd19lYaqBhU8_DElYkX7l4wRkHqqCUFNJY4AfY3kHU/edit?usp=sharing  #gid=0"",""фіз особи new!relations_name""),6,FALSE)
,
(IF
(
G9807=""юридична особа""
,
VLOOKUP"&amp;"(H9807,IMPORTRANGE(""https://docs.google.com/spreadsheets/d/14Bd19lYaqBhU8_DElYkX7l4wRkHqqCUFNJY4AfY3kHU/edit?usp=sharing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6" s="7" t="s">
        <v>29</v>
      </c>
    </row>
    <row r="9807" spans="1:10" ht="13.2">
      <c r="A9807" s="7">
        <v>9806</v>
      </c>
      <c r="B9807" s="7">
        <v>1</v>
      </c>
      <c r="C9807" s="7" t="s">
        <v>10</v>
      </c>
      <c r="D9807" s="7">
        <v>11638</v>
      </c>
      <c r="E9807" s="7" t="s">
        <v>28</v>
      </c>
      <c r="F9807" s="8" t="str">
        <f ca="1">IFERROR(__xludf.DUMMYFUNCTION("IF
(
C9808=""фізична особа""
,
VLOOKUP(D9808,IMPORTRANGE(""https://docs.google.com/spreadsheets/d/14Bd19lYaqBhU8_DElYkX7l4wRkHqqCUFNJY4AfY3kHU/edit?usp=sharing  #gid=0"",""фіз особи new!relations_name""),6,FALSE)
,
(IF
(
C9808=""юридична особа""
,
VLOOKUP"&amp;"(D9808,IMPORTRANGE(""https://docs.google.com/spreadsheets/d/14Bd19lYaqBhU8_DElYkX7l4wRkHqqCUFNJY4AfY3kHU/edit?usp=sharing  #gid=0"",""фіз особи new!relations_name_uo""),7,FALSE)
,
)
))"),"ПЕРЕПЕЛИЦЯ Олександр Іванович")</f>
        <v>ПЕРЕПЕЛИЦЯ Олександр Іванович</v>
      </c>
      <c r="G9807" s="7" t="s">
        <v>10</v>
      </c>
      <c r="H9807" s="7">
        <v>2982</v>
      </c>
      <c r="I9807" s="8" t="str">
        <f ca="1">IFERROR(__xludf.DUMMYFUNCTION("IF
(
G9808=""фізична особа""
,
VLOOKUP(H9808,IMPORTRANGE(""https://docs.google.com/spreadsheets/d/14Bd19lYaqBhU8_DElYkX7l4wRkHqqCUFNJY4AfY3kHU/edit?usp=sharing  #gid=0"",""фіз особи new!relations_name""),6,FALSE)
,
(IF
(
G9808=""юридична особа""
,
VLOOKUP"&amp;"(H9808,IMPORTRANGE(""https://docs.google.com/spreadsheets/d/14Bd19lYaqBhU8_DElYkX7l4wRkHqqCUFNJY4AfY3kHU/edit?usp=sharing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7" s="7" t="s">
        <v>29</v>
      </c>
    </row>
    <row r="9808" spans="1:10" ht="13.2">
      <c r="A9808" s="7">
        <v>9807</v>
      </c>
      <c r="B9808" s="7">
        <v>1</v>
      </c>
      <c r="C9808" s="7" t="s">
        <v>10</v>
      </c>
      <c r="D9808" s="7">
        <v>11639</v>
      </c>
      <c r="E9808" s="7" t="s">
        <v>28</v>
      </c>
      <c r="F9808" s="8" t="str">
        <f ca="1">IFERROR(__xludf.DUMMYFUNCTION("IF
(
C9809=""фізична особа""
,
VLOOKUP(D9809,IMPORTRANGE(""https://docs.google.com/spreadsheets/d/14Bd19lYaqBhU8_DElYkX7l4wRkHqqCUFNJY4AfY3kHU/edit?usp=sharing  #gid=0"",""фіз особи new!relations_name""),6,FALSE)
,
(IF
(
C9809=""юридична особа""
,
VLOOKUP"&amp;"(D9809,IMPORTRANGE(""https://docs.google.com/spreadsheets/d/14Bd19lYaqBhU8_DElYkX7l4wRkHqqCUFNJY4AfY3kHU/edit?usp=sharing  #gid=0"",""фіз особи new!relations_name_uo""),7,FALSE)
,
)
))"),"СЕМЕНКОВ Федір Григорович")</f>
        <v>СЕМЕНКОВ Федір Григорович</v>
      </c>
      <c r="G9808" s="7" t="s">
        <v>10</v>
      </c>
      <c r="H9808" s="7">
        <v>2982</v>
      </c>
      <c r="I9808" s="8" t="str">
        <f ca="1">IFERROR(__xludf.DUMMYFUNCTION("IF
(
G9809=""фізична особа""
,
VLOOKUP(H9809,IMPORTRANGE(""https://docs.google.com/spreadsheets/d/14Bd19lYaqBhU8_DElYkX7l4wRkHqqCUFNJY4AfY3kHU/edit?usp=sharing  #gid=0"",""фіз особи new!relations_name""),6,FALSE)
,
(IF
(
G9809=""юридична особа""
,
VLOOKUP"&amp;"(H9809,IMPORTRANGE(""https://docs.google.com/spreadsheets/d/14Bd19lYaqBhU8_DElYkX7l4wRkHqqCUFNJY4AfY3kHU/edit?usp=sharing  #gid=0"",""фіз особи new!relations_name_uo""),7,FALSE)
,
)
))"),"БАСАРГІН Віктор Федорович")</f>
        <v>БАСАРГІН Віктор Федорович</v>
      </c>
      <c r="J9808" s="7" t="s">
        <v>29</v>
      </c>
    </row>
    <row r="9809" spans="1:10" ht="13.2">
      <c r="A9809" s="7">
        <v>9808</v>
      </c>
      <c r="B9809" s="7">
        <v>1</v>
      </c>
      <c r="C9809" s="7" t="s">
        <v>10</v>
      </c>
      <c r="D9809" s="7">
        <v>11640</v>
      </c>
      <c r="E9809" s="7" t="s">
        <v>28</v>
      </c>
      <c r="F9809" s="8" t="str">
        <f ca="1">IFERROR(__xludf.DUMMYFUNCTION("IF
(
C9810=""фізична особа""
,
VLOOKUP(D9810,IMPORTRANGE(""https://docs.google.com/spreadsheets/d/14Bd19lYaqBhU8_DElYkX7l4wRkHqqCUFNJY4AfY3kHU/edit?usp=sharing  #gid=0"",""фіз особи new!relations_name""),6,FALSE)
,
(IF
(
C9810=""юридична особа""
,
VLOOKUP"&amp;"(D9810,IMPORTRANGE(""https://docs.google.com/spreadsheets/d/14Bd19lYaqBhU8_DElYkX7l4wRkHqqCUFNJY4AfY3kHU/edit?usp=sharing  #gid=0"",""фіз особи new!relations_name_uo""),7,FALSE)
,
)
))"),"ЛИТВИНЕНКО Єгор Васильович")</f>
        <v>ЛИТВИНЕНКО Єгор Васильович</v>
      </c>
      <c r="G9809" s="7" t="s">
        <v>10</v>
      </c>
      <c r="H9809" s="7">
        <v>3028</v>
      </c>
      <c r="I9809" s="8" t="str">
        <f ca="1">IFERROR(__xludf.DUMMYFUNCTION("IF
(
G9810=""фізична особа""
,
VLOOKUP(H9810,IMPORTRANGE(""https://docs.google.com/spreadsheets/d/14Bd19lYaqBhU8_DElYkX7l4wRkHqqCUFNJY4AfY3kHU/edit?usp=sharing  #gid=0"",""фіз особи new!relations_name""),6,FALSE)
,
(IF
(
G9810=""юридична особа""
,
VLOOKUP"&amp;"(H9810,IMPORTRANGE(""https://docs.google.com/spreadsheets/d/14Bd19lYaqBhU8_DElYkX7l4wRkHqqCUFNJY4AfY3kHU/edit?usp=sharing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09" s="7" t="s">
        <v>29</v>
      </c>
    </row>
    <row r="9810" spans="1:10" ht="13.2">
      <c r="A9810" s="7">
        <v>9809</v>
      </c>
      <c r="B9810" s="7">
        <v>1</v>
      </c>
      <c r="C9810" s="7" t="s">
        <v>10</v>
      </c>
      <c r="D9810" s="7">
        <v>11641</v>
      </c>
      <c r="E9810" s="7" t="s">
        <v>28</v>
      </c>
      <c r="F9810" s="8" t="str">
        <f ca="1">IFERROR(__xludf.DUMMYFUNCTION("IF
(
C9811=""фізична особа""
,
VLOOKUP(D9811,IMPORTRANGE(""https://docs.google.com/spreadsheets/d/14Bd19lYaqBhU8_DElYkX7l4wRkHqqCUFNJY4AfY3kHU/edit?usp=sharing  #gid=0"",""фіз особи new!relations_name""),6,FALSE)
,
(IF
(
C9811=""юридична особа""
,
VLOOKUP"&amp;"(D9811,IMPORTRANGE(""https://docs.google.com/spreadsheets/d/14Bd19lYaqBhU8_DElYkX7l4wRkHqqCUFNJY4AfY3kHU/edit?usp=sharing  #gid=0"",""фіз особи new!relations_name_uo""),7,FALSE)
,
)
))"),"САМОШЕСТ Максим Ігорович")</f>
        <v>САМОШЕСТ Максим Ігорович</v>
      </c>
      <c r="G9810" s="7" t="s">
        <v>10</v>
      </c>
      <c r="H9810" s="7">
        <v>3028</v>
      </c>
      <c r="I9810" s="8" t="str">
        <f ca="1">IFERROR(__xludf.DUMMYFUNCTION("IF
(
G9811=""фізична особа""
,
VLOOKUP(H9811,IMPORTRANGE(""https://docs.google.com/spreadsheets/d/14Bd19lYaqBhU8_DElYkX7l4wRkHqqCUFNJY4AfY3kHU/edit?usp=sharing  #gid=0"",""фіз особи new!relations_name""),6,FALSE)
,
(IF
(
G9811=""юридична особа""
,
VLOOKUP"&amp;"(H9811,IMPORTRANGE(""https://docs.google.com/spreadsheets/d/14Bd19lYaqBhU8_DElYkX7l4wRkHqqCUFNJY4AfY3kHU/edit?usp=sharing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0" s="7" t="s">
        <v>29</v>
      </c>
    </row>
    <row r="9811" spans="1:10" ht="13.2">
      <c r="A9811" s="7">
        <v>9810</v>
      </c>
      <c r="B9811" s="7">
        <v>1</v>
      </c>
      <c r="C9811" s="7" t="s">
        <v>10</v>
      </c>
      <c r="D9811" s="7">
        <v>11642</v>
      </c>
      <c r="E9811" s="7" t="s">
        <v>28</v>
      </c>
      <c r="F9811" s="8" t="str">
        <f ca="1">IFERROR(__xludf.DUMMYFUNCTION("IF
(
C9812=""фізична особа""
,
VLOOKUP(D9812,IMPORTRANGE(""https://docs.google.com/spreadsheets/d/14Bd19lYaqBhU8_DElYkX7l4wRkHqqCUFNJY4AfY3kHU/edit?usp=sharing  #gid=0"",""фіз особи new!relations_name""),6,FALSE)
,
(IF
(
C9812=""юридична особа""
,
VLOOKUP"&amp;"(D9812,IMPORTRANGE(""https://docs.google.com/spreadsheets/d/14Bd19lYaqBhU8_DElYkX7l4wRkHqqCUFNJY4AfY3kHU/edit?usp=sharing  #gid=0"",""фіз особи new!relations_name_uo""),7,FALSE)
,
)
))"),"ДЕМ'ЯНОВ Анатолій Анатолійович")</f>
        <v>ДЕМ'ЯНОВ Анатолій Анатолійович</v>
      </c>
      <c r="G9811" s="7" t="s">
        <v>10</v>
      </c>
      <c r="H9811" s="7">
        <v>3028</v>
      </c>
      <c r="I9811" s="8" t="str">
        <f ca="1">IFERROR(__xludf.DUMMYFUNCTION("IF
(
G9812=""фізична особа""
,
VLOOKUP(H9812,IMPORTRANGE(""https://docs.google.com/spreadsheets/d/14Bd19lYaqBhU8_DElYkX7l4wRkHqqCUFNJY4AfY3kHU/edit?usp=sharing  #gid=0"",""фіз особи new!relations_name""),6,FALSE)
,
(IF
(
G9812=""юридична особа""
,
VLOOKUP"&amp;"(H9812,IMPORTRANGE(""https://docs.google.com/spreadsheets/d/14Bd19lYaqBhU8_DElYkX7l4wRkHqqCUFNJY4AfY3kHU/edit?usp=sharing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1" s="7" t="s">
        <v>29</v>
      </c>
    </row>
    <row r="9812" spans="1:10" ht="13.2">
      <c r="A9812" s="7">
        <v>9811</v>
      </c>
      <c r="B9812" s="7">
        <v>1</v>
      </c>
      <c r="C9812" s="7" t="s">
        <v>10</v>
      </c>
      <c r="D9812" s="7">
        <v>11643</v>
      </c>
      <c r="E9812" s="7" t="s">
        <v>28</v>
      </c>
      <c r="F9812" s="8" t="str">
        <f ca="1">IFERROR(__xludf.DUMMYFUNCTION("IF
(
C9813=""фізична особа""
,
VLOOKUP(D9813,IMPORTRANGE(""https://docs.google.com/spreadsheets/d/14Bd19lYaqBhU8_DElYkX7l4wRkHqqCUFNJY4AfY3kHU/edit?usp=sharing  #gid=0"",""фіз особи new!relations_name""),6,FALSE)
,
(IF
(
C9813=""юридична особа""
,
VLOOKUP"&amp;"(D9813,IMPORTRANGE(""https://docs.google.com/spreadsheets/d/14Bd19lYaqBhU8_DElYkX7l4wRkHqqCUFNJY4AfY3kHU/edit?usp=sharing  #gid=0"",""фіз особи new!relations_name_uo""),7,FALSE)
,
)
))"),"ГЛАДИШ Анастасія Олегівна")</f>
        <v>ГЛАДИШ Анастасія Олегівна</v>
      </c>
      <c r="G9812" s="7" t="s">
        <v>10</v>
      </c>
      <c r="H9812" s="7">
        <v>3028</v>
      </c>
      <c r="I9812" s="8" t="str">
        <f ca="1">IFERROR(__xludf.DUMMYFUNCTION("IF
(
G9813=""фізична особа""
,
VLOOKUP(H9813,IMPORTRANGE(""https://docs.google.com/spreadsheets/d/14Bd19lYaqBhU8_DElYkX7l4wRkHqqCUFNJY4AfY3kHU/edit?usp=sharing  #gid=0"",""фіз особи new!relations_name""),6,FALSE)
,
(IF
(
G9813=""юридична особа""
,
VLOOKUP"&amp;"(H9813,IMPORTRANGE(""https://docs.google.com/spreadsheets/d/14Bd19lYaqBhU8_DElYkX7l4wRkHqqCUFNJY4AfY3kHU/edit?usp=sharing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2" s="7" t="s">
        <v>29</v>
      </c>
    </row>
    <row r="9813" spans="1:10" ht="13.2">
      <c r="A9813" s="7">
        <v>9812</v>
      </c>
      <c r="B9813" s="7">
        <v>1</v>
      </c>
      <c r="C9813" s="7" t="s">
        <v>10</v>
      </c>
      <c r="D9813" s="7">
        <v>11644</v>
      </c>
      <c r="E9813" s="7" t="s">
        <v>28</v>
      </c>
      <c r="F9813" s="8" t="str">
        <f ca="1">IFERROR(__xludf.DUMMYFUNCTION("IF
(
C9814=""фізична особа""
,
VLOOKUP(D9814,IMPORTRANGE(""https://docs.google.com/spreadsheets/d/14Bd19lYaqBhU8_DElYkX7l4wRkHqqCUFNJY4AfY3kHU/edit?usp=sharing  #gid=0"",""фіз особи new!relations_name""),6,FALSE)
,
(IF
(
C9814=""юридична особа""
,
VLOOKUP"&amp;"(D9814,IMPORTRANGE(""https://docs.google.com/spreadsheets/d/14Bd19lYaqBhU8_DElYkX7l4wRkHqqCUFNJY4AfY3kHU/edit?usp=sharing  #gid=0"",""фіз особи new!relations_name_uo""),7,FALSE)
,
)
))"),"БОГОМАЗ Катерина Євгенівна")</f>
        <v>БОГОМАЗ Катерина Євгенівна</v>
      </c>
      <c r="G9813" s="7" t="s">
        <v>10</v>
      </c>
      <c r="H9813" s="7">
        <v>3028</v>
      </c>
      <c r="I9813" s="8" t="str">
        <f ca="1">IFERROR(__xludf.DUMMYFUNCTION("IF
(
G9814=""фізична особа""
,
VLOOKUP(H9814,IMPORTRANGE(""https://docs.google.com/spreadsheets/d/14Bd19lYaqBhU8_DElYkX7l4wRkHqqCUFNJY4AfY3kHU/edit?usp=sharing  #gid=0"",""фіз особи new!relations_name""),6,FALSE)
,
(IF
(
G9814=""юридична особа""
,
VLOOKUP"&amp;"(H9814,IMPORTRANGE(""https://docs.google.com/spreadsheets/d/14Bd19lYaqBhU8_DElYkX7l4wRkHqqCUFNJY4AfY3kHU/edit?usp=sharing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3" s="7" t="s">
        <v>29</v>
      </c>
    </row>
    <row r="9814" spans="1:10" ht="13.2">
      <c r="A9814" s="7">
        <v>9813</v>
      </c>
      <c r="B9814" s="7">
        <v>1</v>
      </c>
      <c r="C9814" s="7" t="s">
        <v>10</v>
      </c>
      <c r="D9814" s="7">
        <v>11645</v>
      </c>
      <c r="E9814" s="7" t="s">
        <v>28</v>
      </c>
      <c r="F9814" s="8" t="str">
        <f ca="1">IFERROR(__xludf.DUMMYFUNCTION("IF
(
C9815=""фізична особа""
,
VLOOKUP(D9815,IMPORTRANGE(""https://docs.google.com/spreadsheets/d/14Bd19lYaqBhU8_DElYkX7l4wRkHqqCUFNJY4AfY3kHU/edit?usp=sharing  #gid=0"",""фіз особи new!relations_name""),6,FALSE)
,
(IF
(
C9815=""юридична особа""
,
VLOOKUP"&amp;"(D9815,IMPORTRANGE(""https://docs.google.com/spreadsheets/d/14Bd19lYaqBhU8_DElYkX7l4wRkHqqCUFNJY4AfY3kHU/edit?usp=sharing  #gid=0"",""фіз особи new!relations_name_uo""),7,FALSE)
,
)
))"),"НОСКОВА Ольга Сергіївна")</f>
        <v>НОСКОВА Ольга Сергіївна</v>
      </c>
      <c r="G9814" s="7" t="s">
        <v>10</v>
      </c>
      <c r="H9814" s="7">
        <v>3028</v>
      </c>
      <c r="I9814" s="8" t="str">
        <f ca="1">IFERROR(__xludf.DUMMYFUNCTION("IF
(
G9815=""фізична особа""
,
VLOOKUP(H9815,IMPORTRANGE(""https://docs.google.com/spreadsheets/d/14Bd19lYaqBhU8_DElYkX7l4wRkHqqCUFNJY4AfY3kHU/edit?usp=sharing  #gid=0"",""фіз особи new!relations_name""),6,FALSE)
,
(IF
(
G9815=""юридична особа""
,
VLOOKUP"&amp;"(H9815,IMPORTRANGE(""https://docs.google.com/spreadsheets/d/14Bd19lYaqBhU8_DElYkX7l4wRkHqqCUFNJY4AfY3kHU/edit?usp=sharing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4" s="7" t="s">
        <v>29</v>
      </c>
    </row>
    <row r="9815" spans="1:10" ht="13.2">
      <c r="A9815" s="7">
        <v>9814</v>
      </c>
      <c r="B9815" s="7">
        <v>1</v>
      </c>
      <c r="C9815" s="7" t="s">
        <v>10</v>
      </c>
      <c r="D9815" s="7">
        <v>11646</v>
      </c>
      <c r="E9815" s="7" t="s">
        <v>28</v>
      </c>
      <c r="F9815" s="8" t="str">
        <f ca="1">IFERROR(__xludf.DUMMYFUNCTION("IF
(
C9816=""фізична особа""
,
VLOOKUP(D9816,IMPORTRANGE(""https://docs.google.com/spreadsheets/d/14Bd19lYaqBhU8_DElYkX7l4wRkHqqCUFNJY4AfY3kHU/edit?usp=sharing  #gid=0"",""фіз особи new!relations_name""),6,FALSE)
,
(IF
(
C9816=""юридична особа""
,
VLOOKUP"&amp;"(D9816,IMPORTRANGE(""https://docs.google.com/spreadsheets/d/14Bd19lYaqBhU8_DElYkX7l4wRkHqqCUFNJY4AfY3kHU/edit?usp=sharing  #gid=0"",""фіз особи new!relations_name_uo""),7,FALSE)
,
)
))"),"ЛЕБЕДЄВ Євгеній Костянтинович")</f>
        <v>ЛЕБЕДЄВ Євгеній Костянтинович</v>
      </c>
      <c r="G9815" s="7" t="s">
        <v>10</v>
      </c>
      <c r="H9815" s="7">
        <v>2499</v>
      </c>
      <c r="I9815" s="8" t="str">
        <f ca="1">IFERROR(__xludf.DUMMYFUNCTION("IF
(
G9816=""фізична особа""
,
VLOOKUP(H9816,IMPORTRANGE(""https://docs.google.com/spreadsheets/d/14Bd19lYaqBhU8_DElYkX7l4wRkHqqCUFNJY4AfY3kHU/edit?usp=sharing  #gid=0"",""фіз особи new!relations_name""),6,FALSE)
,
(IF
(
G9816=""юридична особа""
,
VLOOKUP"&amp;"(H9816,IMPORTRANGE(""https://docs.google.com/spreadsheets/d/14Bd19lYaqBhU8_DElYkX7l4wRkHqqCUFNJY4AfY3kHU/edit?usp=sharing  #gid=0"",""фіз особи new!relations_name_uo""),7,FALSE)
,
)
))"),"КУМПІЛОВ Мурат Каральбієвич")</f>
        <v>КУМПІЛОВ Мурат Каральбієвич</v>
      </c>
      <c r="J9815" s="7" t="s">
        <v>29</v>
      </c>
    </row>
    <row r="9816" spans="1:10" ht="13.2">
      <c r="A9816" s="7">
        <v>9815</v>
      </c>
      <c r="B9816" s="7">
        <v>1</v>
      </c>
      <c r="C9816" s="7" t="s">
        <v>10</v>
      </c>
      <c r="D9816" s="7">
        <v>11647</v>
      </c>
      <c r="E9816" s="7" t="s">
        <v>28</v>
      </c>
      <c r="F9816" s="8" t="str">
        <f ca="1">IFERROR(__xludf.DUMMYFUNCTION("IF
(
C9817=""фізична особа""
,
VLOOKUP(D9817,IMPORTRANGE(""https://docs.google.com/spreadsheets/d/14Bd19lYaqBhU8_DElYkX7l4wRkHqqCUFNJY4AfY3kHU/edit?usp=sharing  #gid=0"",""фіз особи new!relations_name""),6,FALSE)
,
(IF
(
C9817=""юридична особа""
,
VLOOKUP"&amp;"(D9817,IMPORTRANGE(""https://docs.google.com/spreadsheets/d/14Bd19lYaqBhU8_DElYkX7l4wRkHqqCUFNJY4AfY3kHU/edit?usp=sharing  #gid=0"",""фіз особи new!relations_name_uo""),7,FALSE)
,
)
))"),"САВРАСОВА Ольга Станіславівна")</f>
        <v>САВРАСОВА Ольга Станіславівна</v>
      </c>
      <c r="G9816" s="7" t="s">
        <v>10</v>
      </c>
      <c r="H9816" s="7">
        <v>3028</v>
      </c>
      <c r="I9816" s="8" t="str">
        <f ca="1">IFERROR(__xludf.DUMMYFUNCTION("IF
(
G9817=""фізична особа""
,
VLOOKUP(H9817,IMPORTRANGE(""https://docs.google.com/spreadsheets/d/14Bd19lYaqBhU8_DElYkX7l4wRkHqqCUFNJY4AfY3kHU/edit?usp=sharing  #gid=0"",""фіз особи new!relations_name""),6,FALSE)
,
(IF
(
G9817=""юридична особа""
,
VLOOKUP"&amp;"(H9817,IMPORTRANGE(""https://docs.google.com/spreadsheets/d/14Bd19lYaqBhU8_DElYkX7l4wRkHqqCUFNJY4AfY3kHU/edit?usp=sharing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6" s="7" t="s">
        <v>29</v>
      </c>
    </row>
    <row r="9817" spans="1:10" ht="13.2">
      <c r="A9817" s="7">
        <v>9816</v>
      </c>
      <c r="B9817" s="7">
        <v>1</v>
      </c>
      <c r="C9817" s="7" t="s">
        <v>10</v>
      </c>
      <c r="D9817" s="7">
        <v>11648</v>
      </c>
      <c r="E9817" s="7" t="s">
        <v>28</v>
      </c>
      <c r="F9817" s="8" t="str">
        <f ca="1">IFERROR(__xludf.DUMMYFUNCTION("IF
(
C9818=""фізична особа""
,
VLOOKUP(D9818,IMPORTRANGE(""https://docs.google.com/spreadsheets/d/14Bd19lYaqBhU8_DElYkX7l4wRkHqqCUFNJY4AfY3kHU/edit?usp=sharing  #gid=0"",""фіз особи new!relations_name""),6,FALSE)
,
(IF
(
C9818=""юридична особа""
,
VLOOKUP"&amp;"(D9818,IMPORTRANGE(""https://docs.google.com/spreadsheets/d/14Bd19lYaqBhU8_DElYkX7l4wRkHqqCUFNJY4AfY3kHU/edit?usp=sharing  #gid=0"",""фіз особи new!relations_name_uo""),7,FALSE)
,
)
))"),"ЧЕТОШНІКОВА Катерина Вікторівна")</f>
        <v>ЧЕТОШНІКОВА Катерина Вікторівна</v>
      </c>
      <c r="G9817" s="7" t="s">
        <v>10</v>
      </c>
      <c r="H9817" s="7">
        <v>3028</v>
      </c>
      <c r="I9817" s="8" t="str">
        <f ca="1">IFERROR(__xludf.DUMMYFUNCTION("IF
(
G9818=""фізична особа""
,
VLOOKUP(H9818,IMPORTRANGE(""https://docs.google.com/spreadsheets/d/14Bd19lYaqBhU8_DElYkX7l4wRkHqqCUFNJY4AfY3kHU/edit?usp=sharing  #gid=0"",""фіз особи new!relations_name""),6,FALSE)
,
(IF
(
G9818=""юридична особа""
,
VLOOKUP"&amp;"(H9818,IMPORTRANGE(""https://docs.google.com/spreadsheets/d/14Bd19lYaqBhU8_DElYkX7l4wRkHqqCUFNJY4AfY3kHU/edit?usp=sharing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7" s="7" t="s">
        <v>29</v>
      </c>
    </row>
    <row r="9818" spans="1:10" ht="13.2">
      <c r="A9818" s="7">
        <v>9817</v>
      </c>
      <c r="B9818" s="7">
        <v>1</v>
      </c>
      <c r="C9818" s="7" t="s">
        <v>10</v>
      </c>
      <c r="D9818" s="7">
        <v>11649</v>
      </c>
      <c r="E9818" s="7" t="s">
        <v>28</v>
      </c>
      <c r="F9818" s="8" t="str">
        <f ca="1">IFERROR(__xludf.DUMMYFUNCTION("IF
(
C9819=""фізична особа""
,
VLOOKUP(D9819,IMPORTRANGE(""https://docs.google.com/spreadsheets/d/14Bd19lYaqBhU8_DElYkX7l4wRkHqqCUFNJY4AfY3kHU/edit?usp=sharing  #gid=0"",""фіз особи new!relations_name""),6,FALSE)
,
(IF
(
C9819=""юридична особа""
,
VLOOKUP"&amp;"(D9819,IMPORTRANGE(""https://docs.google.com/spreadsheets/d/14Bd19lYaqBhU8_DElYkX7l4wRkHqqCUFNJY4AfY3kHU/edit?usp=sharing  #gid=0"",""фіз особи new!relations_name_uo""),7,FALSE)
,
)
))"),"НУРТАЗІН Віктор Сергійович")</f>
        <v>НУРТАЗІН Віктор Сергійович</v>
      </c>
      <c r="G9818" s="7" t="s">
        <v>10</v>
      </c>
      <c r="H9818" s="7">
        <v>3028</v>
      </c>
      <c r="I9818" s="8" t="str">
        <f ca="1">IFERROR(__xludf.DUMMYFUNCTION("IF
(
G9819=""фізична особа""
,
VLOOKUP(H9819,IMPORTRANGE(""https://docs.google.com/spreadsheets/d/14Bd19lYaqBhU8_DElYkX7l4wRkHqqCUFNJY4AfY3kHU/edit?usp=sharing  #gid=0"",""фіз особи new!relations_name""),6,FALSE)
,
(IF
(
G9819=""юридична особа""
,
VLOOKUP"&amp;"(H9819,IMPORTRANGE(""https://docs.google.com/spreadsheets/d/14Bd19lYaqBhU8_DElYkX7l4wRkHqqCUFNJY4AfY3kHU/edit?usp=sharing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8" s="7" t="s">
        <v>29</v>
      </c>
    </row>
    <row r="9819" spans="1:10" ht="13.2">
      <c r="A9819" s="7">
        <v>9818</v>
      </c>
      <c r="B9819" s="7">
        <v>1</v>
      </c>
      <c r="C9819" s="7" t="s">
        <v>10</v>
      </c>
      <c r="D9819" s="7">
        <v>11650</v>
      </c>
      <c r="E9819" s="7" t="s">
        <v>28</v>
      </c>
      <c r="F9819" s="8" t="str">
        <f ca="1">IFERROR(__xludf.DUMMYFUNCTION("IF
(
C9820=""фізична особа""
,
VLOOKUP(D9820,IMPORTRANGE(""https://docs.google.com/spreadsheets/d/14Bd19lYaqBhU8_DElYkX7l4wRkHqqCUFNJY4AfY3kHU/edit?usp=sharing  #gid=0"",""фіз особи new!relations_name""),6,FALSE)
,
(IF
(
C9820=""юридична особа""
,
VLOOKUP"&amp;"(D9820,IMPORTRANGE(""https://docs.google.com/spreadsheets/d/14Bd19lYaqBhU8_DElYkX7l4wRkHqqCUFNJY4AfY3kHU/edit?usp=sharing  #gid=0"",""фіз особи new!relations_name_uo""),7,FALSE)
,
)
))"),"ЛИПОВЧЕНКО Юлія Миколаївна")</f>
        <v>ЛИПОВЧЕНКО Юлія Миколаївна</v>
      </c>
      <c r="G9819" s="7" t="s">
        <v>10</v>
      </c>
      <c r="H9819" s="7">
        <v>3028</v>
      </c>
      <c r="I9819" s="8" t="str">
        <f ca="1">IFERROR(__xludf.DUMMYFUNCTION("IF
(
G9820=""фізична особа""
,
VLOOKUP(H9820,IMPORTRANGE(""https://docs.google.com/spreadsheets/d/14Bd19lYaqBhU8_DElYkX7l4wRkHqqCUFNJY4AfY3kHU/edit?usp=sharing  #gid=0"",""фіз особи new!relations_name""),6,FALSE)
,
(IF
(
G9820=""юридична особа""
,
VLOOKUP"&amp;"(H9820,IMPORTRANGE(""https://docs.google.com/spreadsheets/d/14Bd19lYaqBhU8_DElYkX7l4wRkHqqCUFNJY4AfY3kHU/edit?usp=sharing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19" s="7" t="s">
        <v>29</v>
      </c>
    </row>
    <row r="9820" spans="1:10" ht="13.2">
      <c r="A9820" s="7">
        <v>9819</v>
      </c>
      <c r="B9820" s="7">
        <v>1</v>
      </c>
      <c r="C9820" s="7" t="s">
        <v>10</v>
      </c>
      <c r="D9820" s="7">
        <v>11651</v>
      </c>
      <c r="E9820" s="7" t="s">
        <v>28</v>
      </c>
      <c r="F9820" s="8" t="str">
        <f ca="1">IFERROR(__xludf.DUMMYFUNCTION("IF
(
C9821=""фізична особа""
,
VLOOKUP(D9821,IMPORTRANGE(""https://docs.google.com/spreadsheets/d/14Bd19lYaqBhU8_DElYkX7l4wRkHqqCUFNJY4AfY3kHU/edit?usp=sharing  #gid=0"",""фіз особи new!relations_name""),6,FALSE)
,
(IF
(
C9821=""юридична особа""
,
VLOOKUP"&amp;"(D9821,IMPORTRANGE(""https://docs.google.com/spreadsheets/d/14Bd19lYaqBhU8_DElYkX7l4wRkHqqCUFNJY4AfY3kHU/edit?usp=sharing  #gid=0"",""фіз особи new!relations_name_uo""),7,FALSE)
,
)
))"),"ЩЕРБА Катерина Сергіївна")</f>
        <v>ЩЕРБА Катерина Сергіївна</v>
      </c>
      <c r="G9820" s="7" t="s">
        <v>10</v>
      </c>
      <c r="H9820" s="7">
        <v>3028</v>
      </c>
      <c r="I9820" s="8" t="str">
        <f ca="1">IFERROR(__xludf.DUMMYFUNCTION("IF
(
G9821=""фізична особа""
,
VLOOKUP(H9821,IMPORTRANGE(""https://docs.google.com/spreadsheets/d/14Bd19lYaqBhU8_DElYkX7l4wRkHqqCUFNJY4AfY3kHU/edit?usp=sharing  #gid=0"",""фіз особи new!relations_name""),6,FALSE)
,
(IF
(
G9821=""юридична особа""
,
VLOOKUP"&amp;"(H9821,IMPORTRANGE(""https://docs.google.com/spreadsheets/d/14Bd19lYaqBhU8_DElYkX7l4wRkHqqCUFNJY4AfY3kHU/edit?usp=sharing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0" s="7" t="s">
        <v>29</v>
      </c>
    </row>
    <row r="9821" spans="1:10" ht="13.2">
      <c r="A9821" s="7">
        <v>9820</v>
      </c>
      <c r="B9821" s="7">
        <v>1</v>
      </c>
      <c r="C9821" s="7" t="s">
        <v>10</v>
      </c>
      <c r="D9821" s="7">
        <v>11652</v>
      </c>
      <c r="E9821" s="7" t="s">
        <v>28</v>
      </c>
      <c r="F9821" s="8" t="str">
        <f ca="1">IFERROR(__xludf.DUMMYFUNCTION("IF
(
C9822=""фізична особа""
,
VLOOKUP(D9822,IMPORTRANGE(""https://docs.google.com/spreadsheets/d/14Bd19lYaqBhU8_DElYkX7l4wRkHqqCUFNJY4AfY3kHU/edit?usp=sharing  #gid=0"",""фіз особи new!relations_name""),6,FALSE)
,
(IF
(
C9822=""юридична особа""
,
VLOOKUP"&amp;"(D9822,IMPORTRANGE(""https://docs.google.com/spreadsheets/d/14Bd19lYaqBhU8_DElYkX7l4wRkHqqCUFNJY4AfY3kHU/edit?usp=sharing  #gid=0"",""фіз особи new!relations_name_uo""),7,FALSE)
,
)
))"),"КОЗИРЄВ Іван Валерійович")</f>
        <v>КОЗИРЄВ Іван Валерійович</v>
      </c>
      <c r="G9821" s="7" t="s">
        <v>10</v>
      </c>
      <c r="H9821" s="7">
        <v>3028</v>
      </c>
      <c r="I9821" s="8" t="str">
        <f ca="1">IFERROR(__xludf.DUMMYFUNCTION("IF
(
G9822=""фізична особа""
,
VLOOKUP(H9822,IMPORTRANGE(""https://docs.google.com/spreadsheets/d/14Bd19lYaqBhU8_DElYkX7l4wRkHqqCUFNJY4AfY3kHU/edit?usp=sharing  #gid=0"",""фіз особи new!relations_name""),6,FALSE)
,
(IF
(
G9822=""юридична особа""
,
VLOOKUP"&amp;"(H9822,IMPORTRANGE(""https://docs.google.com/spreadsheets/d/14Bd19lYaqBhU8_DElYkX7l4wRkHqqCUFNJY4AfY3kHU/edit?usp=sharing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1" s="7" t="s">
        <v>29</v>
      </c>
    </row>
    <row r="9822" spans="1:10" ht="13.2">
      <c r="A9822" s="7">
        <v>9821</v>
      </c>
      <c r="B9822" s="7">
        <v>1</v>
      </c>
      <c r="C9822" s="7" t="s">
        <v>10</v>
      </c>
      <c r="D9822" s="7">
        <v>11653</v>
      </c>
      <c r="E9822" s="7" t="s">
        <v>28</v>
      </c>
      <c r="F9822" s="8" t="str">
        <f ca="1">IFERROR(__xludf.DUMMYFUNCTION("IF
(
C9823=""фізична особа""
,
VLOOKUP(D9823,IMPORTRANGE(""https://docs.google.com/spreadsheets/d/14Bd19lYaqBhU8_DElYkX7l4wRkHqqCUFNJY4AfY3kHU/edit?usp=sharing  #gid=0"",""фіз особи new!relations_name""),6,FALSE)
,
(IF
(
C9823=""юридична особа""
,
VLOOKUP"&amp;"(D9823,IMPORTRANGE(""https://docs.google.com/spreadsheets/d/14Bd19lYaqBhU8_DElYkX7l4wRkHqqCUFNJY4AfY3kHU/edit?usp=sharing  #gid=0"",""фіз особи new!relations_name_uo""),7,FALSE)
,
)
))"),"КАТКОВА Діна Андріївна")</f>
        <v>КАТКОВА Діна Андріївна</v>
      </c>
      <c r="G9822" s="7" t="s">
        <v>10</v>
      </c>
      <c r="H9822" s="7">
        <v>3028</v>
      </c>
      <c r="I9822" s="8" t="str">
        <f ca="1">IFERROR(__xludf.DUMMYFUNCTION("IF
(
G9823=""фізична особа""
,
VLOOKUP(H9823,IMPORTRANGE(""https://docs.google.com/spreadsheets/d/14Bd19lYaqBhU8_DElYkX7l4wRkHqqCUFNJY4AfY3kHU/edit?usp=sharing  #gid=0"",""фіз особи new!relations_name""),6,FALSE)
,
(IF
(
G9823=""юридична особа""
,
VLOOKUP"&amp;"(H9823,IMPORTRANGE(""https://docs.google.com/spreadsheets/d/14Bd19lYaqBhU8_DElYkX7l4wRkHqqCUFNJY4AfY3kHU/edit?usp=sharing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2" s="7" t="s">
        <v>29</v>
      </c>
    </row>
    <row r="9823" spans="1:10" ht="13.2">
      <c r="A9823" s="7">
        <v>9822</v>
      </c>
      <c r="B9823" s="7">
        <v>1</v>
      </c>
      <c r="C9823" s="7" t="s">
        <v>10</v>
      </c>
      <c r="D9823" s="7">
        <v>11654</v>
      </c>
      <c r="E9823" s="7" t="s">
        <v>28</v>
      </c>
      <c r="F9823" s="8" t="str">
        <f ca="1">IFERROR(__xludf.DUMMYFUNCTION("IF
(
C9824=""фізична особа""
,
VLOOKUP(D9824,IMPORTRANGE(""https://docs.google.com/spreadsheets/d/14Bd19lYaqBhU8_DElYkX7l4wRkHqqCUFNJY4AfY3kHU/edit?usp=sharing  #gid=0"",""фіз особи new!relations_name""),6,FALSE)
,
(IF
(
C9824=""юридична особа""
,
VLOOKUP"&amp;"(D9824,IMPORTRANGE(""https://docs.google.com/spreadsheets/d/14Bd19lYaqBhU8_DElYkX7l4wRkHqqCUFNJY4AfY3kHU/edit?usp=sharing  #gid=0"",""фіз особи new!relations_name_uo""),7,FALSE)
,
)
))"),"КОБИЛЬНІКОВ Віталій Павлович")</f>
        <v>КОБИЛЬНІКОВ Віталій Павлович</v>
      </c>
      <c r="G9823" s="7" t="s">
        <v>10</v>
      </c>
      <c r="H9823" s="7">
        <v>3028</v>
      </c>
      <c r="I9823" s="8" t="str">
        <f ca="1">IFERROR(__xludf.DUMMYFUNCTION("IF
(
G9824=""фізична особа""
,
VLOOKUP(H9824,IMPORTRANGE(""https://docs.google.com/spreadsheets/d/14Bd19lYaqBhU8_DElYkX7l4wRkHqqCUFNJY4AfY3kHU/edit?usp=sharing  #gid=0"",""фіз особи new!relations_name""),6,FALSE)
,
(IF
(
G9824=""юридична особа""
,
VLOOKUP"&amp;"(H9824,IMPORTRANGE(""https://docs.google.com/spreadsheets/d/14Bd19lYaqBhU8_DElYkX7l4wRkHqqCUFNJY4AfY3kHU/edit?usp=sharing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3" s="7" t="s">
        <v>29</v>
      </c>
    </row>
    <row r="9824" spans="1:10" ht="13.2">
      <c r="A9824" s="7">
        <v>9823</v>
      </c>
      <c r="B9824" s="7">
        <v>1</v>
      </c>
      <c r="C9824" s="7" t="s">
        <v>10</v>
      </c>
      <c r="D9824" s="7">
        <v>11655</v>
      </c>
      <c r="E9824" s="7" t="s">
        <v>28</v>
      </c>
      <c r="F9824" s="8" t="str">
        <f ca="1">IFERROR(__xludf.DUMMYFUNCTION("IF
(
C9825=""фізична особа""
,
VLOOKUP(D9825,IMPORTRANGE(""https://docs.google.com/spreadsheets/d/14Bd19lYaqBhU8_DElYkX7l4wRkHqqCUFNJY4AfY3kHU/edit?usp=sharing  #gid=0"",""фіз особи new!relations_name""),6,FALSE)
,
(IF
(
C9825=""юридична особа""
,
VLOOKUP"&amp;"(D9825,IMPORTRANGE(""https://docs.google.com/spreadsheets/d/14Bd19lYaqBhU8_DElYkX7l4wRkHqqCUFNJY4AfY3kHU/edit?usp=sharing  #gid=0"",""фіз особи new!relations_name_uo""),7,FALSE)
,
)
))"),"САЇДОВ Каміл Рамазанович")</f>
        <v>САЇДОВ Каміл Рамазанович</v>
      </c>
      <c r="G9824" s="7" t="s">
        <v>10</v>
      </c>
      <c r="H9824" s="7">
        <v>3028</v>
      </c>
      <c r="I9824" s="8" t="str">
        <f ca="1">IFERROR(__xludf.DUMMYFUNCTION("IF
(
G9825=""фізична особа""
,
VLOOKUP(H9825,IMPORTRANGE(""https://docs.google.com/spreadsheets/d/14Bd19lYaqBhU8_DElYkX7l4wRkHqqCUFNJY4AfY3kHU/edit?usp=sharing  #gid=0"",""фіз особи new!relations_name""),6,FALSE)
,
(IF
(
G9825=""юридична особа""
,
VLOOKUP"&amp;"(H9825,IMPORTRANGE(""https://docs.google.com/spreadsheets/d/14Bd19lYaqBhU8_DElYkX7l4wRkHqqCUFNJY4AfY3kHU/edit?usp=sharing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4" s="7" t="s">
        <v>29</v>
      </c>
    </row>
    <row r="9825" spans="1:10" ht="13.2">
      <c r="A9825" s="7">
        <v>9824</v>
      </c>
      <c r="B9825" s="7">
        <v>1</v>
      </c>
      <c r="C9825" s="7" t="s">
        <v>10</v>
      </c>
      <c r="D9825" s="7">
        <v>11656</v>
      </c>
      <c r="E9825" s="7" t="s">
        <v>28</v>
      </c>
      <c r="F9825" s="8" t="str">
        <f ca="1">IFERROR(__xludf.DUMMYFUNCTION("IF
(
C9826=""фізична особа""
,
VLOOKUP(D9826,IMPORTRANGE(""https://docs.google.com/spreadsheets/d/14Bd19lYaqBhU8_DElYkX7l4wRkHqqCUFNJY4AfY3kHU/edit?usp=sharing  #gid=0"",""фіз особи new!relations_name""),6,FALSE)
,
(IF
(
C9826=""юридична особа""
,
VLOOKUP"&amp;"(D9826,IMPORTRANGE(""https://docs.google.com/spreadsheets/d/14Bd19lYaqBhU8_DElYkX7l4wRkHqqCUFNJY4AfY3kHU/edit?usp=sharing  #gid=0"",""фіз особи new!relations_name_uo""),7,FALSE)
,
)
))"),"КОЛИВАНОВ Костянтин Володимирович")</f>
        <v>КОЛИВАНОВ Костянтин Володимирович</v>
      </c>
      <c r="G9825" s="7" t="s">
        <v>10</v>
      </c>
      <c r="H9825" s="7">
        <v>3028</v>
      </c>
      <c r="I9825" s="8" t="str">
        <f ca="1">IFERROR(__xludf.DUMMYFUNCTION("IF
(
G9826=""фізична особа""
,
VLOOKUP(H9826,IMPORTRANGE(""https://docs.google.com/spreadsheets/d/14Bd19lYaqBhU8_DElYkX7l4wRkHqqCUFNJY4AfY3kHU/edit?usp=sharing  #gid=0"",""фіз особи new!relations_name""),6,FALSE)
,
(IF
(
G9826=""юридична особа""
,
VLOOKUP"&amp;"(H9826,IMPORTRANGE(""https://docs.google.com/spreadsheets/d/14Bd19lYaqBhU8_DElYkX7l4wRkHqqCUFNJY4AfY3kHU/edit?usp=sharing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5" s="7" t="s">
        <v>29</v>
      </c>
    </row>
    <row r="9826" spans="1:10" ht="13.2">
      <c r="A9826" s="7">
        <v>9825</v>
      </c>
      <c r="B9826" s="7">
        <v>1</v>
      </c>
      <c r="C9826" s="7" t="s">
        <v>10</v>
      </c>
      <c r="D9826" s="7">
        <v>11657</v>
      </c>
      <c r="E9826" s="7" t="s">
        <v>28</v>
      </c>
      <c r="F9826" s="8" t="str">
        <f ca="1">IFERROR(__xludf.DUMMYFUNCTION("IF
(
C9827=""фізична особа""
,
VLOOKUP(D9827,IMPORTRANGE(""https://docs.google.com/spreadsheets/d/14Bd19lYaqBhU8_DElYkX7l4wRkHqqCUFNJY4AfY3kHU/edit?usp=sharing  #gid=0"",""фіз особи new!relations_name""),6,FALSE)
,
(IF
(
C9827=""юридична особа""
,
VLOOKUP"&amp;"(D9827,IMPORTRANGE(""https://docs.google.com/spreadsheets/d/14Bd19lYaqBhU8_DElYkX7l4wRkHqqCUFNJY4AfY3kHU/edit?usp=sharing  #gid=0"",""фіз особи new!relations_name_uo""),7,FALSE)
,
)
))"),"МАРХІЄВ Анзор Загірович")</f>
        <v>МАРХІЄВ Анзор Загірович</v>
      </c>
      <c r="G9826" s="7" t="s">
        <v>10</v>
      </c>
      <c r="H9826" s="7">
        <v>3028</v>
      </c>
      <c r="I9826" s="8" t="str">
        <f ca="1">IFERROR(__xludf.DUMMYFUNCTION("IF
(
G9827=""фізична особа""
,
VLOOKUP(H9827,IMPORTRANGE(""https://docs.google.com/spreadsheets/d/14Bd19lYaqBhU8_DElYkX7l4wRkHqqCUFNJY4AfY3kHU/edit?usp=sharing  #gid=0"",""фіз особи new!relations_name""),6,FALSE)
,
(IF
(
G9827=""юридична особа""
,
VLOOKUP"&amp;"(H9827,IMPORTRANGE(""https://docs.google.com/spreadsheets/d/14Bd19lYaqBhU8_DElYkX7l4wRkHqqCUFNJY4AfY3kHU/edit?usp=sharing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6" s="7" t="s">
        <v>29</v>
      </c>
    </row>
    <row r="9827" spans="1:10" ht="13.2">
      <c r="A9827" s="7">
        <v>9826</v>
      </c>
      <c r="B9827" s="7">
        <v>1</v>
      </c>
      <c r="C9827" s="7" t="s">
        <v>10</v>
      </c>
      <c r="D9827" s="7">
        <v>11658</v>
      </c>
      <c r="E9827" s="7" t="s">
        <v>28</v>
      </c>
      <c r="F9827" s="8" t="str">
        <f ca="1">IFERROR(__xludf.DUMMYFUNCTION("IF
(
C9828=""фізична особа""
,
VLOOKUP(D9828,IMPORTRANGE(""https://docs.google.com/spreadsheets/d/14Bd19lYaqBhU8_DElYkX7l4wRkHqqCUFNJY4AfY3kHU/edit?usp=sharing  #gid=0"",""фіз особи new!relations_name""),6,FALSE)
,
(IF
(
C9828=""юридична особа""
,
VLOOKUP"&amp;"(D9828,IMPORTRANGE(""https://docs.google.com/spreadsheets/d/14Bd19lYaqBhU8_DElYkX7l4wRkHqqCUFNJY4AfY3kHU/edit?usp=sharing  #gid=0"",""фіз особи new!relations_name_uo""),7,FALSE)
,
)
))"),"ЦИГАНОВА Маргарита Михайлівна")</f>
        <v>ЦИГАНОВА Маргарита Михайлівна</v>
      </c>
      <c r="G9827" s="7" t="s">
        <v>10</v>
      </c>
      <c r="H9827" s="7">
        <v>3028</v>
      </c>
      <c r="I9827" s="8" t="str">
        <f ca="1">IFERROR(__xludf.DUMMYFUNCTION("IF
(
G9828=""фізична особа""
,
VLOOKUP(H9828,IMPORTRANGE(""https://docs.google.com/spreadsheets/d/14Bd19lYaqBhU8_DElYkX7l4wRkHqqCUFNJY4AfY3kHU/edit?usp=sharing  #gid=0"",""фіз особи new!relations_name""),6,FALSE)
,
(IF
(
G9828=""юридична особа""
,
VLOOKUP"&amp;"(H9828,IMPORTRANGE(""https://docs.google.com/spreadsheets/d/14Bd19lYaqBhU8_DElYkX7l4wRkHqqCUFNJY4AfY3kHU/edit?usp=sharing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7" s="7" t="s">
        <v>29</v>
      </c>
    </row>
    <row r="9828" spans="1:10" ht="13.2">
      <c r="A9828" s="7">
        <v>9827</v>
      </c>
      <c r="B9828" s="7">
        <v>1</v>
      </c>
      <c r="C9828" s="7" t="s">
        <v>10</v>
      </c>
      <c r="D9828" s="7">
        <v>11659</v>
      </c>
      <c r="E9828" s="7" t="s">
        <v>28</v>
      </c>
      <c r="F9828" s="8" t="str">
        <f ca="1">IFERROR(__xludf.DUMMYFUNCTION("IF
(
C9829=""фізична особа""
,
VLOOKUP(D9829,IMPORTRANGE(""https://docs.google.com/spreadsheets/d/14Bd19lYaqBhU8_DElYkX7l4wRkHqqCUFNJY4AfY3kHU/edit?usp=sharing  #gid=0"",""фіз особи new!relations_name""),6,FALSE)
,
(IF
(
C9829=""юридична особа""
,
VLOOKUP"&amp;"(D9829,IMPORTRANGE(""https://docs.google.com/spreadsheets/d/14Bd19lYaqBhU8_DElYkX7l4wRkHqqCUFNJY4AfY3kHU/edit?usp=sharing  #gid=0"",""фіз особи new!relations_name_uo""),7,FALSE)
,
)
))"),"ЄЗАОВ Анзор Клішбієвич")</f>
        <v>ЄЗАОВ Анзор Клішбієвич</v>
      </c>
      <c r="G9828" s="7" t="s">
        <v>10</v>
      </c>
      <c r="H9828" s="7">
        <v>3028</v>
      </c>
      <c r="I9828" s="8" t="str">
        <f ca="1">IFERROR(__xludf.DUMMYFUNCTION("IF
(
G9829=""фізична особа""
,
VLOOKUP(H9829,IMPORTRANGE(""https://docs.google.com/spreadsheets/d/14Bd19lYaqBhU8_DElYkX7l4wRkHqqCUFNJY4AfY3kHU/edit?usp=sharing  #gid=0"",""фіз особи new!relations_name""),6,FALSE)
,
(IF
(
G9829=""юридична особа""
,
VLOOKUP"&amp;"(H9829,IMPORTRANGE(""https://docs.google.com/spreadsheets/d/14Bd19lYaqBhU8_DElYkX7l4wRkHqqCUFNJY4AfY3kHU/edit?usp=sharing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8" s="7" t="s">
        <v>29</v>
      </c>
    </row>
    <row r="9829" spans="1:10" ht="13.2">
      <c r="A9829" s="7">
        <v>9828</v>
      </c>
      <c r="B9829" s="7">
        <v>1</v>
      </c>
      <c r="C9829" s="7" t="s">
        <v>10</v>
      </c>
      <c r="D9829" s="7">
        <v>11660</v>
      </c>
      <c r="E9829" s="7" t="s">
        <v>28</v>
      </c>
      <c r="F9829" s="8" t="str">
        <f ca="1">IFERROR(__xludf.DUMMYFUNCTION("IF
(
C9830=""фізична особа""
,
VLOOKUP(D9830,IMPORTRANGE(""https://docs.google.com/spreadsheets/d/14Bd19lYaqBhU8_DElYkX7l4wRkHqqCUFNJY4AfY3kHU/edit?usp=sharing  #gid=0"",""фіз особи new!relations_name""),6,FALSE)
,
(IF
(
C9830=""юридична особа""
,
VLOOKUP"&amp;"(D9830,IMPORTRANGE(""https://docs.google.com/spreadsheets/d/14Bd19lYaqBhU8_DElYkX7l4wRkHqqCUFNJY4AfY3kHU/edit?usp=sharing  #gid=0"",""фіз особи new!relations_name_uo""),7,FALSE)
,
)
))"),"МУСЕВИЧ Ганна Сергіївна")</f>
        <v>МУСЕВИЧ Ганна Сергіївна</v>
      </c>
      <c r="G9829" s="7" t="s">
        <v>10</v>
      </c>
      <c r="H9829" s="7">
        <v>3028</v>
      </c>
      <c r="I9829" s="8" t="str">
        <f ca="1">IFERROR(__xludf.DUMMYFUNCTION("IF
(
G9830=""фізична особа""
,
VLOOKUP(H9830,IMPORTRANGE(""https://docs.google.com/spreadsheets/d/14Bd19lYaqBhU8_DElYkX7l4wRkHqqCUFNJY4AfY3kHU/edit?usp=sharing  #gid=0"",""фіз особи new!relations_name""),6,FALSE)
,
(IF
(
G9830=""юридична особа""
,
VLOOKUP"&amp;"(H9830,IMPORTRANGE(""https://docs.google.com/spreadsheets/d/14Bd19lYaqBhU8_DElYkX7l4wRkHqqCUFNJY4AfY3kHU/edit?usp=sharing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29" s="7" t="s">
        <v>29</v>
      </c>
    </row>
    <row r="9830" spans="1:10" ht="13.2">
      <c r="A9830" s="7">
        <v>9829</v>
      </c>
      <c r="B9830" s="7">
        <v>1</v>
      </c>
      <c r="C9830" s="7" t="s">
        <v>10</v>
      </c>
      <c r="D9830" s="7">
        <v>11661</v>
      </c>
      <c r="E9830" s="7" t="s">
        <v>28</v>
      </c>
      <c r="F9830" s="8" t="str">
        <f ca="1">IFERROR(__xludf.DUMMYFUNCTION("IF
(
C9831=""фізична особа""
,
VLOOKUP(D9831,IMPORTRANGE(""https://docs.google.com/spreadsheets/d/14Bd19lYaqBhU8_DElYkX7l4wRkHqqCUFNJY4AfY3kHU/edit?usp=sharing  #gid=0"",""фіз особи new!relations_name""),6,FALSE)
,
(IF
(
C9831=""юридична особа""
,
VLOOKUP"&amp;"(D9831,IMPORTRANGE(""https://docs.google.com/spreadsheets/d/14Bd19lYaqBhU8_DElYkX7l4wRkHqqCUFNJY4AfY3kHU/edit?usp=sharing  #gid=0"",""фіз особи new!relations_name_uo""),7,FALSE)
,
)
))"),"КОВАЛИК Ганна Юріївна")</f>
        <v>КОВАЛИК Ганна Юріївна</v>
      </c>
      <c r="G9830" s="7" t="s">
        <v>10</v>
      </c>
      <c r="H9830" s="7">
        <v>3028</v>
      </c>
      <c r="I9830" s="8" t="str">
        <f ca="1">IFERROR(__xludf.DUMMYFUNCTION("IF
(
G9831=""фізична особа""
,
VLOOKUP(H9831,IMPORTRANGE(""https://docs.google.com/spreadsheets/d/14Bd19lYaqBhU8_DElYkX7l4wRkHqqCUFNJY4AfY3kHU/edit?usp=sharing  #gid=0"",""фіз особи new!relations_name""),6,FALSE)
,
(IF
(
G9831=""юридична особа""
,
VLOOKUP"&amp;"(H9831,IMPORTRANGE(""https://docs.google.com/spreadsheets/d/14Bd19lYaqBhU8_DElYkX7l4wRkHqqCUFNJY4AfY3kHU/edit?usp=sharing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0" s="7" t="s">
        <v>29</v>
      </c>
    </row>
    <row r="9831" spans="1:10" ht="13.2">
      <c r="A9831" s="7">
        <v>9830</v>
      </c>
      <c r="B9831" s="7">
        <v>1</v>
      </c>
      <c r="C9831" s="7" t="s">
        <v>10</v>
      </c>
      <c r="D9831" s="7">
        <v>11662</v>
      </c>
      <c r="E9831" s="7" t="s">
        <v>28</v>
      </c>
      <c r="F9831" s="8" t="str">
        <f ca="1">IFERROR(__xludf.DUMMYFUNCTION("IF
(
C9832=""фізична особа""
,
VLOOKUP(D9832,IMPORTRANGE(""https://docs.google.com/spreadsheets/d/14Bd19lYaqBhU8_DElYkX7l4wRkHqqCUFNJY4AfY3kHU/edit?usp=sharing  #gid=0"",""фіз особи new!relations_name""),6,FALSE)
,
(IF
(
C9832=""юридична особа""
,
VLOOKUP"&amp;"(D9832,IMPORTRANGE(""https://docs.google.com/spreadsheets/d/14Bd19lYaqBhU8_DElYkX7l4wRkHqqCUFNJY4AfY3kHU/edit?usp=sharing  #gid=0"",""фіз особи new!relations_name_uo""),7,FALSE)
,
)
))"),"ТЕКЕЄВ Расул Магомедович")</f>
        <v>ТЕКЕЄВ Расул Магомедович</v>
      </c>
      <c r="G9831" s="7" t="s">
        <v>10</v>
      </c>
      <c r="H9831" s="7">
        <v>3028</v>
      </c>
      <c r="I9831" s="8" t="str">
        <f ca="1">IFERROR(__xludf.DUMMYFUNCTION("IF
(
G9832=""фізична особа""
,
VLOOKUP(H9832,IMPORTRANGE(""https://docs.google.com/spreadsheets/d/14Bd19lYaqBhU8_DElYkX7l4wRkHqqCUFNJY4AfY3kHU/edit?usp=sharing  #gid=0"",""фіз особи new!relations_name""),6,FALSE)
,
(IF
(
G9832=""юридична особа""
,
VLOOKUP"&amp;"(H9832,IMPORTRANGE(""https://docs.google.com/spreadsheets/d/14Bd19lYaqBhU8_DElYkX7l4wRkHqqCUFNJY4AfY3kHU/edit?usp=sharing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1" s="7" t="s">
        <v>29</v>
      </c>
    </row>
    <row r="9832" spans="1:10" ht="13.2">
      <c r="A9832" s="7">
        <v>9831</v>
      </c>
      <c r="B9832" s="7">
        <v>1</v>
      </c>
      <c r="C9832" s="7" t="s">
        <v>10</v>
      </c>
      <c r="D9832" s="7">
        <v>11663</v>
      </c>
      <c r="E9832" s="7" t="s">
        <v>28</v>
      </c>
      <c r="F9832" s="8" t="str">
        <f ca="1">IFERROR(__xludf.DUMMYFUNCTION("IF
(
C9833=""фізична особа""
,
VLOOKUP(D9833,IMPORTRANGE(""https://docs.google.com/spreadsheets/d/14Bd19lYaqBhU8_DElYkX7l4wRkHqqCUFNJY4AfY3kHU/edit?usp=sharing  #gid=0"",""фіз особи new!relations_name""),6,FALSE)
,
(IF
(
C9833=""юридична особа""
,
VLOOKUP"&amp;"(D9833,IMPORTRANGE(""https://docs.google.com/spreadsheets/d/14Bd19lYaqBhU8_DElYkX7l4wRkHqqCUFNJY4AfY3kHU/edit?usp=sharing  #gid=0"",""фіз особи new!relations_name_uo""),7,FALSE)
,
)
))"),"ГОЛУБЄВ Роман Геннадійович")</f>
        <v>ГОЛУБЄВ Роман Геннадійович</v>
      </c>
      <c r="G9832" s="7" t="s">
        <v>10</v>
      </c>
      <c r="H9832" s="7">
        <v>3028</v>
      </c>
      <c r="I9832" s="8" t="str">
        <f ca="1">IFERROR(__xludf.DUMMYFUNCTION("IF
(
G9833=""фізична особа""
,
VLOOKUP(H9833,IMPORTRANGE(""https://docs.google.com/spreadsheets/d/14Bd19lYaqBhU8_DElYkX7l4wRkHqqCUFNJY4AfY3kHU/edit?usp=sharing  #gid=0"",""фіз особи new!relations_name""),6,FALSE)
,
(IF
(
G9833=""юридична особа""
,
VLOOKUP"&amp;"(H9833,IMPORTRANGE(""https://docs.google.com/spreadsheets/d/14Bd19lYaqBhU8_DElYkX7l4wRkHqqCUFNJY4AfY3kHU/edit?usp=sharing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2" s="7" t="s">
        <v>29</v>
      </c>
    </row>
    <row r="9833" spans="1:10" ht="13.2">
      <c r="A9833" s="7">
        <v>9832</v>
      </c>
      <c r="B9833" s="7">
        <v>1</v>
      </c>
      <c r="C9833" s="7" t="s">
        <v>10</v>
      </c>
      <c r="D9833" s="7">
        <v>11664</v>
      </c>
      <c r="E9833" s="7" t="s">
        <v>28</v>
      </c>
      <c r="F9833" s="8" t="str">
        <f ca="1">IFERROR(__xludf.DUMMYFUNCTION("IF
(
C9834=""фізична особа""
,
VLOOKUP(D9834,IMPORTRANGE(""https://docs.google.com/spreadsheets/d/14Bd19lYaqBhU8_DElYkX7l4wRkHqqCUFNJY4AfY3kHU/edit?usp=sharing  #gid=0"",""фіз особи new!relations_name""),6,FALSE)
,
(IF
(
C9834=""юридична особа""
,
VLOOKUP"&amp;"(D9834,IMPORTRANGE(""https://docs.google.com/spreadsheets/d/14Bd19lYaqBhU8_DElYkX7l4wRkHqqCUFNJY4AfY3kHU/edit?usp=sharing  #gid=0"",""фіз особи new!relations_name_uo""),7,FALSE)
,
)
))"),"ПЯТОВСЬКИЙ Антон Олександрович")</f>
        <v>ПЯТОВСЬКИЙ Антон Олександрович</v>
      </c>
      <c r="G9833" s="7" t="s">
        <v>10</v>
      </c>
      <c r="H9833" s="7">
        <v>3028</v>
      </c>
      <c r="I9833" s="8" t="str">
        <f ca="1">IFERROR(__xludf.DUMMYFUNCTION("IF
(
G9834=""фізична особа""
,
VLOOKUP(H9834,IMPORTRANGE(""https://docs.google.com/spreadsheets/d/14Bd19lYaqBhU8_DElYkX7l4wRkHqqCUFNJY4AfY3kHU/edit?usp=sharing  #gid=0"",""фіз особи new!relations_name""),6,FALSE)
,
(IF
(
G9834=""юридична особа""
,
VLOOKUP"&amp;"(H9834,IMPORTRANGE(""https://docs.google.com/spreadsheets/d/14Bd19lYaqBhU8_DElYkX7l4wRkHqqCUFNJY4AfY3kHU/edit?usp=sharing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3" s="7" t="s">
        <v>29</v>
      </c>
    </row>
    <row r="9834" spans="1:10" ht="13.2">
      <c r="A9834" s="7">
        <v>9833</v>
      </c>
      <c r="B9834" s="7">
        <v>1</v>
      </c>
      <c r="C9834" s="7" t="s">
        <v>10</v>
      </c>
      <c r="D9834" s="7">
        <v>11665</v>
      </c>
      <c r="E9834" s="7" t="s">
        <v>28</v>
      </c>
      <c r="F9834" s="8" t="str">
        <f ca="1">IFERROR(__xludf.DUMMYFUNCTION("IF
(
C9835=""фізична особа""
,
VLOOKUP(D9835,IMPORTRANGE(""https://docs.google.com/spreadsheets/d/14Bd19lYaqBhU8_DElYkX7l4wRkHqqCUFNJY4AfY3kHU/edit?usp=sharing  #gid=0"",""фіз особи new!relations_name""),6,FALSE)
,
(IF
(
C9835=""юридична особа""
,
VLOOKUP"&amp;"(D9835,IMPORTRANGE(""https://docs.google.com/spreadsheets/d/14Bd19lYaqBhU8_DElYkX7l4wRkHqqCUFNJY4AfY3kHU/edit?usp=sharing  #gid=0"",""фіз особи new!relations_name_uo""),7,FALSE)
,
)
))"),"ІСАКОВА Олена Павлівна")</f>
        <v>ІСАКОВА Олена Павлівна</v>
      </c>
      <c r="G9834" s="7" t="s">
        <v>10</v>
      </c>
      <c r="H9834" s="7">
        <v>3028</v>
      </c>
      <c r="I9834" s="8" t="str">
        <f ca="1">IFERROR(__xludf.DUMMYFUNCTION("IF
(
G9835=""фізична особа""
,
VLOOKUP(H9835,IMPORTRANGE(""https://docs.google.com/spreadsheets/d/14Bd19lYaqBhU8_DElYkX7l4wRkHqqCUFNJY4AfY3kHU/edit?usp=sharing  #gid=0"",""фіз особи new!relations_name""),6,FALSE)
,
(IF
(
G9835=""юридична особа""
,
VLOOKUP"&amp;"(H9835,IMPORTRANGE(""https://docs.google.com/spreadsheets/d/14Bd19lYaqBhU8_DElYkX7l4wRkHqqCUFNJY4AfY3kHU/edit?usp=sharing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4" s="7" t="s">
        <v>29</v>
      </c>
    </row>
    <row r="9835" spans="1:10" ht="13.2">
      <c r="A9835" s="7">
        <v>9834</v>
      </c>
      <c r="B9835" s="7">
        <v>1</v>
      </c>
      <c r="C9835" s="7" t="s">
        <v>10</v>
      </c>
      <c r="D9835" s="7">
        <v>11666</v>
      </c>
      <c r="E9835" s="7" t="s">
        <v>28</v>
      </c>
      <c r="F9835" s="8" t="str">
        <f ca="1">IFERROR(__xludf.DUMMYFUNCTION("IF
(
C9836=""фізична особа""
,
VLOOKUP(D9836,IMPORTRANGE(""https://docs.google.com/spreadsheets/d/14Bd19lYaqBhU8_DElYkX7l4wRkHqqCUFNJY4AfY3kHU/edit?usp=sharing  #gid=0"",""фіз особи new!relations_name""),6,FALSE)
,
(IF
(
C9836=""юридична особа""
,
VLOOKUP"&amp;"(D9836,IMPORTRANGE(""https://docs.google.com/spreadsheets/d/14Bd19lYaqBhU8_DElYkX7l4wRkHqqCUFNJY4AfY3kHU/edit?usp=sharing  #gid=0"",""фіз особи new!relations_name_uo""),7,FALSE)
,
)
))"),"АНТОНОВ Денис Олександрович")</f>
        <v>АНТОНОВ Денис Олександрович</v>
      </c>
      <c r="G9835" s="7" t="s">
        <v>10</v>
      </c>
      <c r="H9835" s="7">
        <v>3028</v>
      </c>
      <c r="I9835" s="8" t="str">
        <f ca="1">IFERROR(__xludf.DUMMYFUNCTION("IF
(
G9836=""фізична особа""
,
VLOOKUP(H9836,IMPORTRANGE(""https://docs.google.com/spreadsheets/d/14Bd19lYaqBhU8_DElYkX7l4wRkHqqCUFNJY4AfY3kHU/edit?usp=sharing  #gid=0"",""фіз особи new!relations_name""),6,FALSE)
,
(IF
(
G9836=""юридична особа""
,
VLOOKUP"&amp;"(H9836,IMPORTRANGE(""https://docs.google.com/spreadsheets/d/14Bd19lYaqBhU8_DElYkX7l4wRkHqqCUFNJY4AfY3kHU/edit?usp=sharing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5" s="7" t="s">
        <v>29</v>
      </c>
    </row>
    <row r="9836" spans="1:10" ht="13.2">
      <c r="A9836" s="7">
        <v>9835</v>
      </c>
      <c r="B9836" s="7">
        <v>1</v>
      </c>
      <c r="C9836" s="7" t="s">
        <v>10</v>
      </c>
      <c r="D9836" s="7">
        <v>11667</v>
      </c>
      <c r="E9836" s="7" t="s">
        <v>28</v>
      </c>
      <c r="F9836" s="8" t="str">
        <f ca="1">IFERROR(__xludf.DUMMYFUNCTION("IF
(
C9837=""фізична особа""
,
VLOOKUP(D9837,IMPORTRANGE(""https://docs.google.com/spreadsheets/d/14Bd19lYaqBhU8_DElYkX7l4wRkHqqCUFNJY4AfY3kHU/edit?usp=sharing  #gid=0"",""фіз особи new!relations_name""),6,FALSE)
,
(IF
(
C9837=""юридична особа""
,
VLOOKUP"&amp;"(D9837,IMPORTRANGE(""https://docs.google.com/spreadsheets/d/14Bd19lYaqBhU8_DElYkX7l4wRkHqqCUFNJY4AfY3kHU/edit?usp=sharing  #gid=0"",""фіз особи new!relations_name_uo""),7,FALSE)
,
)
))"),"СЕЛІМОВ Сергій Серверович")</f>
        <v>СЕЛІМОВ Сергій Серверович</v>
      </c>
      <c r="G9836" s="7" t="s">
        <v>10</v>
      </c>
      <c r="H9836" s="7">
        <v>3028</v>
      </c>
      <c r="I9836" s="8" t="str">
        <f ca="1">IFERROR(__xludf.DUMMYFUNCTION("IF
(
G9837=""фізична особа""
,
VLOOKUP(H9837,IMPORTRANGE(""https://docs.google.com/spreadsheets/d/14Bd19lYaqBhU8_DElYkX7l4wRkHqqCUFNJY4AfY3kHU/edit?usp=sharing  #gid=0"",""фіз особи new!relations_name""),6,FALSE)
,
(IF
(
G9837=""юридична особа""
,
VLOOKUP"&amp;"(H9837,IMPORTRANGE(""https://docs.google.com/spreadsheets/d/14Bd19lYaqBhU8_DElYkX7l4wRkHqqCUFNJY4AfY3kHU/edit?usp=sharing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6" s="7" t="s">
        <v>29</v>
      </c>
    </row>
    <row r="9837" spans="1:10" ht="13.2">
      <c r="A9837" s="7">
        <v>9836</v>
      </c>
      <c r="B9837" s="7">
        <v>1</v>
      </c>
      <c r="C9837" s="7" t="s">
        <v>10</v>
      </c>
      <c r="D9837" s="7">
        <v>11668</v>
      </c>
      <c r="E9837" s="7" t="s">
        <v>28</v>
      </c>
      <c r="F9837" s="8" t="str">
        <f ca="1">IFERROR(__xludf.DUMMYFUNCTION("IF
(
C9838=""фізична особа""
,
VLOOKUP(D9838,IMPORTRANGE(""https://docs.google.com/spreadsheets/d/14Bd19lYaqBhU8_DElYkX7l4wRkHqqCUFNJY4AfY3kHU/edit?usp=sharing  #gid=0"",""фіз особи new!relations_name""),6,FALSE)
,
(IF
(
C9838=""юридична особа""
,
VLOOKUP"&amp;"(D9838,IMPORTRANGE(""https://docs.google.com/spreadsheets/d/14Bd19lYaqBhU8_DElYkX7l4wRkHqqCUFNJY4AfY3kHU/edit?usp=sharing  #gid=0"",""фіз особи new!relations_name_uo""),7,FALSE)
,
)
))"),"ХЛЄБНІКОВ Іван Миколайович")</f>
        <v>ХЛЄБНІКОВ Іван Миколайович</v>
      </c>
      <c r="G9837" s="7" t="s">
        <v>10</v>
      </c>
      <c r="H9837" s="7">
        <v>3028</v>
      </c>
      <c r="I9837" s="8" t="str">
        <f ca="1">IFERROR(__xludf.DUMMYFUNCTION("IF
(
G9838=""фізична особа""
,
VLOOKUP(H9838,IMPORTRANGE(""https://docs.google.com/spreadsheets/d/14Bd19lYaqBhU8_DElYkX7l4wRkHqqCUFNJY4AfY3kHU/edit?usp=sharing  #gid=0"",""фіз особи new!relations_name""),6,FALSE)
,
(IF
(
G9838=""юридична особа""
,
VLOOKUP"&amp;"(H9838,IMPORTRANGE(""https://docs.google.com/spreadsheets/d/14Bd19lYaqBhU8_DElYkX7l4wRkHqqCUFNJY4AfY3kHU/edit?usp=sharing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7" s="7" t="s">
        <v>29</v>
      </c>
    </row>
    <row r="9838" spans="1:10" ht="13.2">
      <c r="A9838" s="7">
        <v>9837</v>
      </c>
      <c r="B9838" s="7">
        <v>1</v>
      </c>
      <c r="C9838" s="7" t="s">
        <v>10</v>
      </c>
      <c r="D9838" s="7">
        <v>11669</v>
      </c>
      <c r="E9838" s="7" t="s">
        <v>28</v>
      </c>
      <c r="F9838" s="8" t="str">
        <f ca="1">IFERROR(__xludf.DUMMYFUNCTION("IF
(
C9839=""фізична особа""
,
VLOOKUP(D9839,IMPORTRANGE(""https://docs.google.com/spreadsheets/d/14Bd19lYaqBhU8_DElYkX7l4wRkHqqCUFNJY4AfY3kHU/edit?usp=sharing  #gid=0"",""фіз особи new!relations_name""),6,FALSE)
,
(IF
(
C9839=""юридична особа""
,
VLOOKUP"&amp;"(D9839,IMPORTRANGE(""https://docs.google.com/spreadsheets/d/14Bd19lYaqBhU8_DElYkX7l4wRkHqqCUFNJY4AfY3kHU/edit?usp=sharing  #gid=0"",""фіз особи new!relations_name_uo""),7,FALSE)
,
)
))"),"КОНДРАШОВА Марія Андріївна")</f>
        <v>КОНДРАШОВА Марія Андріївна</v>
      </c>
      <c r="G9838" s="7" t="s">
        <v>10</v>
      </c>
      <c r="H9838" s="7">
        <v>3028</v>
      </c>
      <c r="I9838" s="8" t="str">
        <f ca="1">IFERROR(__xludf.DUMMYFUNCTION("IF
(
G9839=""фізична особа""
,
VLOOKUP(H9839,IMPORTRANGE(""https://docs.google.com/spreadsheets/d/14Bd19lYaqBhU8_DElYkX7l4wRkHqqCUFNJY4AfY3kHU/edit?usp=sharing  #gid=0"",""фіз особи new!relations_name""),6,FALSE)
,
(IF
(
G9839=""юридична особа""
,
VLOOKUP"&amp;"(H9839,IMPORTRANGE(""https://docs.google.com/spreadsheets/d/14Bd19lYaqBhU8_DElYkX7l4wRkHqqCUFNJY4AfY3kHU/edit?usp=sharing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8" s="7" t="s">
        <v>29</v>
      </c>
    </row>
    <row r="9839" spans="1:10" ht="13.2">
      <c r="A9839" s="7">
        <v>9838</v>
      </c>
      <c r="B9839" s="7">
        <v>1</v>
      </c>
      <c r="C9839" s="7" t="s">
        <v>10</v>
      </c>
      <c r="D9839" s="7">
        <v>11670</v>
      </c>
      <c r="E9839" s="7" t="s">
        <v>28</v>
      </c>
      <c r="F9839" s="8" t="str">
        <f ca="1">IFERROR(__xludf.DUMMYFUNCTION("IF
(
C9840=""фізична особа""
,
VLOOKUP(D9840,IMPORTRANGE(""https://docs.google.com/spreadsheets/d/14Bd19lYaqBhU8_DElYkX7l4wRkHqqCUFNJY4AfY3kHU/edit?usp=sharing  #gid=0"",""фіз особи new!relations_name""),6,FALSE)
,
(IF
(
C9840=""юридична особа""
,
VLOOKUP"&amp;"(D9840,IMPORTRANGE(""https://docs.google.com/spreadsheets/d/14Bd19lYaqBhU8_DElYkX7l4wRkHqqCUFNJY4AfY3kHU/edit?usp=sharing  #gid=0"",""фіз особи new!relations_name_uo""),7,FALSE)
,
)
))"),"ГРИГОР'ЄВА Марина Андріївна")</f>
        <v>ГРИГОР'ЄВА Марина Андріївна</v>
      </c>
      <c r="G9839" s="7" t="s">
        <v>10</v>
      </c>
      <c r="H9839" s="7">
        <v>3028</v>
      </c>
      <c r="I9839" s="8" t="str">
        <f ca="1">IFERROR(__xludf.DUMMYFUNCTION("IF
(
G9840=""фізична особа""
,
VLOOKUP(H9840,IMPORTRANGE(""https://docs.google.com/spreadsheets/d/14Bd19lYaqBhU8_DElYkX7l4wRkHqqCUFNJY4AfY3kHU/edit?usp=sharing  #gid=0"",""фіз особи new!relations_name""),6,FALSE)
,
(IF
(
G9840=""юридична особа""
,
VLOOKUP"&amp;"(H9840,IMPORTRANGE(""https://docs.google.com/spreadsheets/d/14Bd19lYaqBhU8_DElYkX7l4wRkHqqCUFNJY4AfY3kHU/edit?usp=sharing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39" s="7" t="s">
        <v>29</v>
      </c>
    </row>
    <row r="9840" spans="1:10" ht="13.2">
      <c r="A9840" s="7">
        <v>9839</v>
      </c>
      <c r="B9840" s="7">
        <v>1</v>
      </c>
      <c r="C9840" s="7" t="s">
        <v>10</v>
      </c>
      <c r="D9840" s="7">
        <v>11671</v>
      </c>
      <c r="E9840" s="7" t="s">
        <v>28</v>
      </c>
      <c r="F9840" s="8" t="str">
        <f ca="1">IFERROR(__xludf.DUMMYFUNCTION("IF
(
C9841=""фізична особа""
,
VLOOKUP(D9841,IMPORTRANGE(""https://docs.google.com/spreadsheets/d/14Bd19lYaqBhU8_DElYkX7l4wRkHqqCUFNJY4AfY3kHU/edit?usp=sharing  #gid=0"",""фіз особи new!relations_name""),6,FALSE)
,
(IF
(
C9841=""юридична особа""
,
VLOOKUP"&amp;"(D9841,IMPORTRANGE(""https://docs.google.com/spreadsheets/d/14Bd19lYaqBhU8_DElYkX7l4wRkHqqCUFNJY4AfY3kHU/edit?usp=sharing  #gid=0"",""фіз особи new!relations_name_uo""),7,FALSE)
,
)
))"),"КАРЕЛІНА Світлана Іванівна")</f>
        <v>КАРЕЛІНА Світлана Іванівна</v>
      </c>
      <c r="G9840" s="7" t="s">
        <v>10</v>
      </c>
      <c r="H9840" s="7">
        <v>3028</v>
      </c>
      <c r="I9840" s="8" t="str">
        <f ca="1">IFERROR(__xludf.DUMMYFUNCTION("IF
(
G9841=""фізична особа""
,
VLOOKUP(H9841,IMPORTRANGE(""https://docs.google.com/spreadsheets/d/14Bd19lYaqBhU8_DElYkX7l4wRkHqqCUFNJY4AfY3kHU/edit?usp=sharing  #gid=0"",""фіз особи new!relations_name""),6,FALSE)
,
(IF
(
G9841=""юридична особа""
,
VLOOKUP"&amp;"(H9841,IMPORTRANGE(""https://docs.google.com/spreadsheets/d/14Bd19lYaqBhU8_DElYkX7l4wRkHqqCUFNJY4AfY3kHU/edit?usp=sharing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0" s="7" t="s">
        <v>29</v>
      </c>
    </row>
    <row r="9841" spans="1:10" ht="13.2">
      <c r="A9841" s="7">
        <v>9840</v>
      </c>
      <c r="B9841" s="7">
        <v>1</v>
      </c>
      <c r="C9841" s="7" t="s">
        <v>10</v>
      </c>
      <c r="D9841" s="7">
        <v>11672</v>
      </c>
      <c r="E9841" s="7" t="s">
        <v>28</v>
      </c>
      <c r="F9841" s="8" t="str">
        <f ca="1">IFERROR(__xludf.DUMMYFUNCTION("IF
(
C9842=""фізична особа""
,
VLOOKUP(D9842,IMPORTRANGE(""https://docs.google.com/spreadsheets/d/14Bd19lYaqBhU8_DElYkX7l4wRkHqqCUFNJY4AfY3kHU/edit?usp=sharing  #gid=0"",""фіз особи new!relations_name""),6,FALSE)
,
(IF
(
C9842=""юридична особа""
,
VLOOKUP"&amp;"(D9842,IMPORTRANGE(""https://docs.google.com/spreadsheets/d/14Bd19lYaqBhU8_DElYkX7l4wRkHqqCUFNJY4AfY3kHU/edit?usp=sharing  #gid=0"",""фіз особи new!relations_name_uo""),7,FALSE)
,
)
))"),"БРОДКІН Максим Сергійович")</f>
        <v>БРОДКІН Максим Сергійович</v>
      </c>
      <c r="G9841" s="7" t="s">
        <v>10</v>
      </c>
      <c r="H9841" s="7">
        <v>3028</v>
      </c>
      <c r="I9841" s="8" t="str">
        <f ca="1">IFERROR(__xludf.DUMMYFUNCTION("IF
(
G9842=""фізична особа""
,
VLOOKUP(H9842,IMPORTRANGE(""https://docs.google.com/spreadsheets/d/14Bd19lYaqBhU8_DElYkX7l4wRkHqqCUFNJY4AfY3kHU/edit?usp=sharing  #gid=0"",""фіз особи new!relations_name""),6,FALSE)
,
(IF
(
G9842=""юридична особа""
,
VLOOKUP"&amp;"(H9842,IMPORTRANGE(""https://docs.google.com/spreadsheets/d/14Bd19lYaqBhU8_DElYkX7l4wRkHqqCUFNJY4AfY3kHU/edit?usp=sharing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1" s="7" t="s">
        <v>29</v>
      </c>
    </row>
    <row r="9842" spans="1:10" ht="13.2">
      <c r="A9842" s="7">
        <v>9841</v>
      </c>
      <c r="B9842" s="7">
        <v>1</v>
      </c>
      <c r="C9842" s="7" t="s">
        <v>10</v>
      </c>
      <c r="D9842" s="7">
        <v>11673</v>
      </c>
      <c r="E9842" s="7" t="s">
        <v>28</v>
      </c>
      <c r="F9842" s="8" t="str">
        <f ca="1">IFERROR(__xludf.DUMMYFUNCTION("IF
(
C9843=""фізична особа""
,
VLOOKUP(D9843,IMPORTRANGE(""https://docs.google.com/spreadsheets/d/14Bd19lYaqBhU8_DElYkX7l4wRkHqqCUFNJY4AfY3kHU/edit?usp=sharing  #gid=0"",""фіз особи new!relations_name""),6,FALSE)
,
(IF
(
C9843=""юридична особа""
,
VLOOKUP"&amp;"(D9843,IMPORTRANGE(""https://docs.google.com/spreadsheets/d/14Bd19lYaqBhU8_DElYkX7l4wRkHqqCUFNJY4AfY3kHU/edit?usp=sharing  #gid=0"",""фіз особи new!relations_name_uo""),7,FALSE)
,
)
))"),"БЄЛОУСОВ Юрій Володимирович")</f>
        <v>БЄЛОУСОВ Юрій Володимирович</v>
      </c>
      <c r="G9842" s="7" t="s">
        <v>10</v>
      </c>
      <c r="H9842" s="7">
        <v>3028</v>
      </c>
      <c r="I9842" s="8" t="str">
        <f ca="1">IFERROR(__xludf.DUMMYFUNCTION("IF
(
G9843=""фізична особа""
,
VLOOKUP(H9843,IMPORTRANGE(""https://docs.google.com/spreadsheets/d/14Bd19lYaqBhU8_DElYkX7l4wRkHqqCUFNJY4AfY3kHU/edit?usp=sharing  #gid=0"",""фіз особи new!relations_name""),6,FALSE)
,
(IF
(
G9843=""юридична особа""
,
VLOOKUP"&amp;"(H9843,IMPORTRANGE(""https://docs.google.com/spreadsheets/d/14Bd19lYaqBhU8_DElYkX7l4wRkHqqCUFNJY4AfY3kHU/edit?usp=sharing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2" s="7" t="s">
        <v>29</v>
      </c>
    </row>
    <row r="9843" spans="1:10" ht="13.2">
      <c r="A9843" s="7">
        <v>9842</v>
      </c>
      <c r="B9843" s="7">
        <v>1</v>
      </c>
      <c r="C9843" s="7" t="s">
        <v>10</v>
      </c>
      <c r="D9843" s="7">
        <v>11674</v>
      </c>
      <c r="E9843" s="7" t="s">
        <v>28</v>
      </c>
      <c r="F9843" s="8" t="str">
        <f ca="1">IFERROR(__xludf.DUMMYFUNCTION("IF
(
C9844=""фізична особа""
,
VLOOKUP(D9844,IMPORTRANGE(""https://docs.google.com/spreadsheets/d/14Bd19lYaqBhU8_DElYkX7l4wRkHqqCUFNJY4AfY3kHU/edit?usp=sharing  #gid=0"",""фіз особи new!relations_name""),6,FALSE)
,
(IF
(
C9844=""юридична особа""
,
VLOOKUP"&amp;"(D9844,IMPORTRANGE(""https://docs.google.com/spreadsheets/d/14Bd19lYaqBhU8_DElYkX7l4wRkHqqCUFNJY4AfY3kHU/edit?usp=sharing  #gid=0"",""фіз особи new!relations_name_uo""),7,FALSE)
,
)
))"),"ДРАГУНОВА Катерина В'ячеславівна")</f>
        <v>ДРАГУНОВА Катерина В'ячеславівна</v>
      </c>
      <c r="G9843" s="7" t="s">
        <v>10</v>
      </c>
      <c r="H9843" s="7">
        <v>3028</v>
      </c>
      <c r="I9843" s="8" t="str">
        <f ca="1">IFERROR(__xludf.DUMMYFUNCTION("IF
(
G9844=""фізична особа""
,
VLOOKUP(H9844,IMPORTRANGE(""https://docs.google.com/spreadsheets/d/14Bd19lYaqBhU8_DElYkX7l4wRkHqqCUFNJY4AfY3kHU/edit?usp=sharing  #gid=0"",""фіз особи new!relations_name""),6,FALSE)
,
(IF
(
G9844=""юридична особа""
,
VLOOKUP"&amp;"(H9844,IMPORTRANGE(""https://docs.google.com/spreadsheets/d/14Bd19lYaqBhU8_DElYkX7l4wRkHqqCUFNJY4AfY3kHU/edit?usp=sharing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3" s="7" t="s">
        <v>29</v>
      </c>
    </row>
    <row r="9844" spans="1:10" ht="13.2">
      <c r="A9844" s="7">
        <v>9843</v>
      </c>
      <c r="B9844" s="7">
        <v>1</v>
      </c>
      <c r="C9844" s="7" t="s">
        <v>10</v>
      </c>
      <c r="D9844" s="7">
        <v>11675</v>
      </c>
      <c r="E9844" s="7" t="s">
        <v>28</v>
      </c>
      <c r="F9844" s="8" t="str">
        <f ca="1">IFERROR(__xludf.DUMMYFUNCTION("IF
(
C9845=""фізична особа""
,
VLOOKUP(D9845,IMPORTRANGE(""https://docs.google.com/spreadsheets/d/14Bd19lYaqBhU8_DElYkX7l4wRkHqqCUFNJY4AfY3kHU/edit?usp=sharing  #gid=0"",""фіз особи new!relations_name""),6,FALSE)
,
(IF
(
C9845=""юридична особа""
,
VLOOKUP"&amp;"(D9845,IMPORTRANGE(""https://docs.google.com/spreadsheets/d/14Bd19lYaqBhU8_DElYkX7l4wRkHqqCUFNJY4AfY3kHU/edit?usp=sharing  #gid=0"",""фіз особи new!relations_name_uo""),7,FALSE)
,
)
))"),"ШВЕЛІДЗЕ Катерина Георгіївна")</f>
        <v>ШВЕЛІДЗЕ Катерина Георгіївна</v>
      </c>
      <c r="G9844" s="7" t="s">
        <v>10</v>
      </c>
      <c r="H9844" s="7">
        <v>3028</v>
      </c>
      <c r="I9844" s="8" t="str">
        <f ca="1">IFERROR(__xludf.DUMMYFUNCTION("IF
(
G9845=""фізична особа""
,
VLOOKUP(H9845,IMPORTRANGE(""https://docs.google.com/spreadsheets/d/14Bd19lYaqBhU8_DElYkX7l4wRkHqqCUFNJY4AfY3kHU/edit?usp=sharing  #gid=0"",""фіз особи new!relations_name""),6,FALSE)
,
(IF
(
G9845=""юридична особа""
,
VLOOKUP"&amp;"(H9845,IMPORTRANGE(""https://docs.google.com/spreadsheets/d/14Bd19lYaqBhU8_DElYkX7l4wRkHqqCUFNJY4AfY3kHU/edit?usp=sharing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4" s="7" t="s">
        <v>29</v>
      </c>
    </row>
    <row r="9845" spans="1:10" ht="13.2">
      <c r="A9845" s="7">
        <v>9844</v>
      </c>
      <c r="B9845" s="7">
        <v>1</v>
      </c>
      <c r="C9845" s="7" t="s">
        <v>10</v>
      </c>
      <c r="D9845" s="7">
        <v>11676</v>
      </c>
      <c r="E9845" s="7" t="s">
        <v>28</v>
      </c>
      <c r="F9845" s="8" t="str">
        <f ca="1">IFERROR(__xludf.DUMMYFUNCTION("IF
(
C9846=""фізична особа""
,
VLOOKUP(D9846,IMPORTRANGE(""https://docs.google.com/spreadsheets/d/14Bd19lYaqBhU8_DElYkX7l4wRkHqqCUFNJY4AfY3kHU/edit?usp=sharing  #gid=0"",""фіз особи new!relations_name""),6,FALSE)
,
(IF
(
C9846=""юридична особа""
,
VLOOKUP"&amp;"(D9846,IMPORTRANGE(""https://docs.google.com/spreadsheets/d/14Bd19lYaqBhU8_DElYkX7l4wRkHqqCUFNJY4AfY3kHU/edit?usp=sharing  #gid=0"",""фіз особи new!relations_name_uo""),7,FALSE)
,
)
))"),"ХАЦЕНКО Єгор Сергійович")</f>
        <v>ХАЦЕНКО Єгор Сергійович</v>
      </c>
      <c r="G9845" s="7" t="s">
        <v>10</v>
      </c>
      <c r="H9845" s="7">
        <v>3028</v>
      </c>
      <c r="I9845" s="8" t="str">
        <f ca="1">IFERROR(__xludf.DUMMYFUNCTION("IF
(
G9846=""фізична особа""
,
VLOOKUP(H9846,IMPORTRANGE(""https://docs.google.com/spreadsheets/d/14Bd19lYaqBhU8_DElYkX7l4wRkHqqCUFNJY4AfY3kHU/edit?usp=sharing  #gid=0"",""фіз особи new!relations_name""),6,FALSE)
,
(IF
(
G9846=""юридична особа""
,
VLOOKUP"&amp;"(H9846,IMPORTRANGE(""https://docs.google.com/spreadsheets/d/14Bd19lYaqBhU8_DElYkX7l4wRkHqqCUFNJY4AfY3kHU/edit?usp=sharing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5" s="7" t="s">
        <v>29</v>
      </c>
    </row>
    <row r="9846" spans="1:10" ht="13.2">
      <c r="A9846" s="7">
        <v>9845</v>
      </c>
      <c r="B9846" s="7">
        <v>1</v>
      </c>
      <c r="C9846" s="7" t="s">
        <v>10</v>
      </c>
      <c r="D9846" s="7">
        <v>11677</v>
      </c>
      <c r="E9846" s="7" t="s">
        <v>28</v>
      </c>
      <c r="F9846" s="8" t="str">
        <f ca="1">IFERROR(__xludf.DUMMYFUNCTION("IF
(
C9847=""фізична особа""
,
VLOOKUP(D9847,IMPORTRANGE(""https://docs.google.com/spreadsheets/d/14Bd19lYaqBhU8_DElYkX7l4wRkHqqCUFNJY4AfY3kHU/edit?usp=sharing  #gid=0"",""фіз особи new!relations_name""),6,FALSE)
,
(IF
(
C9847=""юридична особа""
,
VLOOKUP"&amp;"(D9847,IMPORTRANGE(""https://docs.google.com/spreadsheets/d/14Bd19lYaqBhU8_DElYkX7l4wRkHqqCUFNJY4AfY3kHU/edit?usp=sharing  #gid=0"",""фіз особи new!relations_name_uo""),7,FALSE)
,
)
))"),"МОЛЧАНОВ Сергій Володимирович")</f>
        <v>МОЛЧАНОВ Сергій Володимирович</v>
      </c>
      <c r="G9846" s="7" t="s">
        <v>10</v>
      </c>
      <c r="H9846" s="7">
        <v>3028</v>
      </c>
      <c r="I9846" s="8" t="str">
        <f ca="1">IFERROR(__xludf.DUMMYFUNCTION("IF
(
G9847=""фізична особа""
,
VLOOKUP(H9847,IMPORTRANGE(""https://docs.google.com/spreadsheets/d/14Bd19lYaqBhU8_DElYkX7l4wRkHqqCUFNJY4AfY3kHU/edit?usp=sharing  #gid=0"",""фіз особи new!relations_name""),6,FALSE)
,
(IF
(
G9847=""юридична особа""
,
VLOOKUP"&amp;"(H9847,IMPORTRANGE(""https://docs.google.com/spreadsheets/d/14Bd19lYaqBhU8_DElYkX7l4wRkHqqCUFNJY4AfY3kHU/edit?usp=sharing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6" s="7" t="s">
        <v>29</v>
      </c>
    </row>
    <row r="9847" spans="1:10" ht="13.2">
      <c r="A9847" s="7">
        <v>9846</v>
      </c>
      <c r="B9847" s="7">
        <v>1</v>
      </c>
      <c r="C9847" s="7" t="s">
        <v>10</v>
      </c>
      <c r="D9847" s="7">
        <v>11678</v>
      </c>
      <c r="E9847" s="7" t="s">
        <v>28</v>
      </c>
      <c r="F9847" s="8" t="str">
        <f ca="1">IFERROR(__xludf.DUMMYFUNCTION("IF
(
C9848=""фізична особа""
,
VLOOKUP(D9848,IMPORTRANGE(""https://docs.google.com/spreadsheets/d/14Bd19lYaqBhU8_DElYkX7l4wRkHqqCUFNJY4AfY3kHU/edit?usp=sharing  #gid=0"",""фіз особи new!relations_name""),6,FALSE)
,
(IF
(
C9848=""юридична особа""
,
VLOOKUP"&amp;"(D9848,IMPORTRANGE(""https://docs.google.com/spreadsheets/d/14Bd19lYaqBhU8_DElYkX7l4wRkHqqCUFNJY4AfY3kHU/edit?usp=sharing  #gid=0"",""фіз особи new!relations_name_uo""),7,FALSE)
,
)
))"),"ТИХОМИРОВА Ганна Олексіївна")</f>
        <v>ТИХОМИРОВА Ганна Олексіївна</v>
      </c>
      <c r="G9847" s="7" t="s">
        <v>10</v>
      </c>
      <c r="H9847" s="7">
        <v>3028</v>
      </c>
      <c r="I9847" s="8" t="str">
        <f ca="1">IFERROR(__xludf.DUMMYFUNCTION("IF
(
G9848=""фізична особа""
,
VLOOKUP(H9848,IMPORTRANGE(""https://docs.google.com/spreadsheets/d/14Bd19lYaqBhU8_DElYkX7l4wRkHqqCUFNJY4AfY3kHU/edit?usp=sharing  #gid=0"",""фіз особи new!relations_name""),6,FALSE)
,
(IF
(
G9848=""юридична особа""
,
VLOOKUP"&amp;"(H9848,IMPORTRANGE(""https://docs.google.com/spreadsheets/d/14Bd19lYaqBhU8_DElYkX7l4wRkHqqCUFNJY4AfY3kHU/edit?usp=sharing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7" s="7" t="s">
        <v>29</v>
      </c>
    </row>
    <row r="9848" spans="1:10" ht="13.2">
      <c r="A9848" s="7">
        <v>9847</v>
      </c>
      <c r="B9848" s="7">
        <v>1</v>
      </c>
      <c r="C9848" s="7" t="s">
        <v>10</v>
      </c>
      <c r="D9848" s="7">
        <v>11679</v>
      </c>
      <c r="E9848" s="7" t="s">
        <v>28</v>
      </c>
      <c r="F9848" s="8" t="str">
        <f ca="1">IFERROR(__xludf.DUMMYFUNCTION("IF
(
C9849=""фізична особа""
,
VLOOKUP(D9849,IMPORTRANGE(""https://docs.google.com/spreadsheets/d/14Bd19lYaqBhU8_DElYkX7l4wRkHqqCUFNJY4AfY3kHU/edit?usp=sharing  #gid=0"",""фіз особи new!relations_name""),6,FALSE)
,
(IF
(
C9849=""юридична особа""
,
VLOOKUP"&amp;"(D9849,IMPORTRANGE(""https://docs.google.com/spreadsheets/d/14Bd19lYaqBhU8_DElYkX7l4wRkHqqCUFNJY4AfY3kHU/edit?usp=sharing  #gid=0"",""фіз особи new!relations_name_uo""),7,FALSE)
,
)
))"),"ВОРОНКОВ Олександр Геннадійович")</f>
        <v>ВОРОНКОВ Олександр Геннадійович</v>
      </c>
      <c r="G9848" s="7" t="s">
        <v>10</v>
      </c>
      <c r="H9848" s="7">
        <v>3028</v>
      </c>
      <c r="I9848" s="8" t="str">
        <f ca="1">IFERROR(__xludf.DUMMYFUNCTION("IF
(
G9849=""фізична особа""
,
VLOOKUP(H9849,IMPORTRANGE(""https://docs.google.com/spreadsheets/d/14Bd19lYaqBhU8_DElYkX7l4wRkHqqCUFNJY4AfY3kHU/edit?usp=sharing  #gid=0"",""фіз особи new!relations_name""),6,FALSE)
,
(IF
(
G9849=""юридична особа""
,
VLOOKUP"&amp;"(H9849,IMPORTRANGE(""https://docs.google.com/spreadsheets/d/14Bd19lYaqBhU8_DElYkX7l4wRkHqqCUFNJY4AfY3kHU/edit?usp=sharing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8" s="7" t="s">
        <v>29</v>
      </c>
    </row>
    <row r="9849" spans="1:10" ht="13.2">
      <c r="A9849" s="7">
        <v>9848</v>
      </c>
      <c r="B9849" s="7">
        <v>1</v>
      </c>
      <c r="C9849" s="7" t="s">
        <v>10</v>
      </c>
      <c r="D9849" s="7">
        <v>11680</v>
      </c>
      <c r="E9849" s="7" t="s">
        <v>28</v>
      </c>
      <c r="F9849" s="8" t="str">
        <f ca="1">IFERROR(__xludf.DUMMYFUNCTION("IF
(
C9850=""фізична особа""
,
VLOOKUP(D9850,IMPORTRANGE(""https://docs.google.com/spreadsheets/d/14Bd19lYaqBhU8_DElYkX7l4wRkHqqCUFNJY4AfY3kHU/edit?usp=sharing  #gid=0"",""фіз особи new!relations_name""),6,FALSE)
,
(IF
(
C9850=""юридична особа""
,
VLOOKUP"&amp;"(D9850,IMPORTRANGE(""https://docs.google.com/spreadsheets/d/14Bd19lYaqBhU8_DElYkX7l4wRkHqqCUFNJY4AfY3kHU/edit?usp=sharing  #gid=0"",""фіз особи new!relations_name_uo""),7,FALSE)
,
)
))"),"ВЄТОШКІНА Юлія Альбертівна")</f>
        <v>ВЄТОШКІНА Юлія Альбертівна</v>
      </c>
      <c r="G9849" s="7" t="s">
        <v>10</v>
      </c>
      <c r="H9849" s="7">
        <v>3028</v>
      </c>
      <c r="I9849" s="8" t="str">
        <f ca="1">IFERROR(__xludf.DUMMYFUNCTION("IF
(
G9850=""фізична особа""
,
VLOOKUP(H9850,IMPORTRANGE(""https://docs.google.com/spreadsheets/d/14Bd19lYaqBhU8_DElYkX7l4wRkHqqCUFNJY4AfY3kHU/edit?usp=sharing  #gid=0"",""фіз особи new!relations_name""),6,FALSE)
,
(IF
(
G9850=""юридична особа""
,
VLOOKUP"&amp;"(H9850,IMPORTRANGE(""https://docs.google.com/spreadsheets/d/14Bd19lYaqBhU8_DElYkX7l4wRkHqqCUFNJY4AfY3kHU/edit?usp=sharing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49" s="7" t="s">
        <v>29</v>
      </c>
    </row>
    <row r="9850" spans="1:10" ht="13.2">
      <c r="A9850" s="7">
        <v>9849</v>
      </c>
      <c r="B9850" s="7">
        <v>1</v>
      </c>
      <c r="C9850" s="7" t="s">
        <v>10</v>
      </c>
      <c r="D9850" s="7">
        <v>11681</v>
      </c>
      <c r="E9850" s="7" t="s">
        <v>28</v>
      </c>
      <c r="F9850" s="8" t="str">
        <f ca="1">IFERROR(__xludf.DUMMYFUNCTION("IF
(
C9851=""фізична особа""
,
VLOOKUP(D9851,IMPORTRANGE(""https://docs.google.com/spreadsheets/d/14Bd19lYaqBhU8_DElYkX7l4wRkHqqCUFNJY4AfY3kHU/edit?usp=sharing  #gid=0"",""фіз особи new!relations_name""),6,FALSE)
,
(IF
(
C9851=""юридична особа""
,
VLOOKUP"&amp;"(D9851,IMPORTRANGE(""https://docs.google.com/spreadsheets/d/14Bd19lYaqBhU8_DElYkX7l4wRkHqqCUFNJY4AfY3kHU/edit?usp=sharing  #gid=0"",""фіз особи new!relations_name_uo""),7,FALSE)
,
)
))"),"АСТАФУРОВ Денис Володимирович")</f>
        <v>АСТАФУРОВ Денис Володимирович</v>
      </c>
      <c r="G9850" s="7" t="s">
        <v>10</v>
      </c>
      <c r="H9850" s="7">
        <v>3028</v>
      </c>
      <c r="I9850" s="8" t="str">
        <f ca="1">IFERROR(__xludf.DUMMYFUNCTION("IF
(
G9851=""фізична особа""
,
VLOOKUP(H9851,IMPORTRANGE(""https://docs.google.com/spreadsheets/d/14Bd19lYaqBhU8_DElYkX7l4wRkHqqCUFNJY4AfY3kHU/edit?usp=sharing  #gid=0"",""фіз особи new!relations_name""),6,FALSE)
,
(IF
(
G9851=""юридична особа""
,
VLOOKUP"&amp;"(H9851,IMPORTRANGE(""https://docs.google.com/spreadsheets/d/14Bd19lYaqBhU8_DElYkX7l4wRkHqqCUFNJY4AfY3kHU/edit?usp=sharing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0" s="7" t="s">
        <v>29</v>
      </c>
    </row>
    <row r="9851" spans="1:10" ht="13.2">
      <c r="A9851" s="7">
        <v>9850</v>
      </c>
      <c r="B9851" s="7">
        <v>1</v>
      </c>
      <c r="C9851" s="7" t="s">
        <v>10</v>
      </c>
      <c r="D9851" s="7">
        <v>11682</v>
      </c>
      <c r="E9851" s="7" t="s">
        <v>28</v>
      </c>
      <c r="F9851" s="8" t="str">
        <f ca="1">IFERROR(__xludf.DUMMYFUNCTION("IF
(
C9852=""фізична особа""
,
VLOOKUP(D9852,IMPORTRANGE(""https://docs.google.com/spreadsheets/d/14Bd19lYaqBhU8_DElYkX7l4wRkHqqCUFNJY4AfY3kHU/edit?usp=sharing  #gid=0"",""фіз особи new!relations_name""),6,FALSE)
,
(IF
(
C9852=""юридична особа""
,
VLOOKUP"&amp;"(D9852,IMPORTRANGE(""https://docs.google.com/spreadsheets/d/14Bd19lYaqBhU8_DElYkX7l4wRkHqqCUFNJY4AfY3kHU/edit?usp=sharing  #gid=0"",""фіз особи new!relations_name_uo""),7,FALSE)
,
)
))"),"ПЛЯВІНСЬКА Наталія Германівна")</f>
        <v>ПЛЯВІНСЬКА Наталія Германівна</v>
      </c>
      <c r="G9851" s="7" t="s">
        <v>10</v>
      </c>
      <c r="H9851" s="7">
        <v>3028</v>
      </c>
      <c r="I9851" s="8" t="str">
        <f ca="1">IFERROR(__xludf.DUMMYFUNCTION("IF
(
G9852=""фізична особа""
,
VLOOKUP(H9852,IMPORTRANGE(""https://docs.google.com/spreadsheets/d/14Bd19lYaqBhU8_DElYkX7l4wRkHqqCUFNJY4AfY3kHU/edit?usp=sharing  #gid=0"",""фіз особи new!relations_name""),6,FALSE)
,
(IF
(
G9852=""юридична особа""
,
VLOOKUP"&amp;"(H9852,IMPORTRANGE(""https://docs.google.com/spreadsheets/d/14Bd19lYaqBhU8_DElYkX7l4wRkHqqCUFNJY4AfY3kHU/edit?usp=sharing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1" s="7" t="s">
        <v>29</v>
      </c>
    </row>
    <row r="9852" spans="1:10" ht="13.2">
      <c r="A9852" s="7">
        <v>9851</v>
      </c>
      <c r="B9852" s="7">
        <v>1</v>
      </c>
      <c r="C9852" s="7" t="s">
        <v>10</v>
      </c>
      <c r="D9852" s="7">
        <v>11683</v>
      </c>
      <c r="E9852" s="7" t="s">
        <v>28</v>
      </c>
      <c r="F9852" s="8" t="str">
        <f ca="1">IFERROR(__xludf.DUMMYFUNCTION("IF
(
C9853=""фізична особа""
,
VLOOKUP(D9853,IMPORTRANGE(""https://docs.google.com/spreadsheets/d/14Bd19lYaqBhU8_DElYkX7l4wRkHqqCUFNJY4AfY3kHU/edit?usp=sharing  #gid=0"",""фіз особи new!relations_name""),6,FALSE)
,
(IF
(
C9853=""юридична особа""
,
VLOOKUP"&amp;"(D9853,IMPORTRANGE(""https://docs.google.com/spreadsheets/d/14Bd19lYaqBhU8_DElYkX7l4wRkHqqCUFNJY4AfY3kHU/edit?usp=sharing  #gid=0"",""фіз особи new!relations_name_uo""),7,FALSE)
,
)
))"),"НІКІТОЧКІН Олександр Сергійович")</f>
        <v>НІКІТОЧКІН Олександр Сергійович</v>
      </c>
      <c r="G9852" s="7" t="s">
        <v>10</v>
      </c>
      <c r="H9852" s="7">
        <v>3028</v>
      </c>
      <c r="I9852" s="8" t="str">
        <f ca="1">IFERROR(__xludf.DUMMYFUNCTION("IF
(
G9853=""фізична особа""
,
VLOOKUP(H9853,IMPORTRANGE(""https://docs.google.com/spreadsheets/d/14Bd19lYaqBhU8_DElYkX7l4wRkHqqCUFNJY4AfY3kHU/edit?usp=sharing  #gid=0"",""фіз особи new!relations_name""),6,FALSE)
,
(IF
(
G9853=""юридична особа""
,
VLOOKUP"&amp;"(H9853,IMPORTRANGE(""https://docs.google.com/spreadsheets/d/14Bd19lYaqBhU8_DElYkX7l4wRkHqqCUFNJY4AfY3kHU/edit?usp=sharing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2" s="7" t="s">
        <v>29</v>
      </c>
    </row>
    <row r="9853" spans="1:10" ht="13.2">
      <c r="A9853" s="7">
        <v>9852</v>
      </c>
      <c r="B9853" s="7">
        <v>1</v>
      </c>
      <c r="C9853" s="7" t="s">
        <v>10</v>
      </c>
      <c r="D9853" s="7">
        <v>11684</v>
      </c>
      <c r="E9853" s="7" t="s">
        <v>28</v>
      </c>
      <c r="F9853" s="8" t="str">
        <f ca="1">IFERROR(__xludf.DUMMYFUNCTION("IF
(
C9854=""фізична особа""
,
VLOOKUP(D9854,IMPORTRANGE(""https://docs.google.com/spreadsheets/d/14Bd19lYaqBhU8_DElYkX7l4wRkHqqCUFNJY4AfY3kHU/edit?usp=sharing  #gid=0"",""фіз особи new!relations_name""),6,FALSE)
,
(IF
(
C9854=""юридична особа""
,
VLOOKUP"&amp;"(D9854,IMPORTRANGE(""https://docs.google.com/spreadsheets/d/14Bd19lYaqBhU8_DElYkX7l4wRkHqqCUFNJY4AfY3kHU/edit?usp=sharing  #gid=0"",""фіз особи new!relations_name_uo""),7,FALSE)
,
)
))"),"БУРЦЕВ Сергій Олександрович")</f>
        <v>БУРЦЕВ Сергій Олександрович</v>
      </c>
      <c r="G9853" s="7" t="s">
        <v>10</v>
      </c>
      <c r="H9853" s="7">
        <v>3028</v>
      </c>
      <c r="I9853" s="8" t="str">
        <f ca="1">IFERROR(__xludf.DUMMYFUNCTION("IF
(
G9854=""фізична особа""
,
VLOOKUP(H9854,IMPORTRANGE(""https://docs.google.com/spreadsheets/d/14Bd19lYaqBhU8_DElYkX7l4wRkHqqCUFNJY4AfY3kHU/edit?usp=sharing  #gid=0"",""фіз особи new!relations_name""),6,FALSE)
,
(IF
(
G9854=""юридична особа""
,
VLOOKUP"&amp;"(H9854,IMPORTRANGE(""https://docs.google.com/spreadsheets/d/14Bd19lYaqBhU8_DElYkX7l4wRkHqqCUFNJY4AfY3kHU/edit?usp=sharing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3" s="7" t="s">
        <v>29</v>
      </c>
    </row>
    <row r="9854" spans="1:10" ht="13.2">
      <c r="A9854" s="7">
        <v>9853</v>
      </c>
      <c r="B9854" s="7">
        <v>1</v>
      </c>
      <c r="C9854" s="7" t="s">
        <v>10</v>
      </c>
      <c r="D9854" s="7">
        <v>11684</v>
      </c>
      <c r="E9854" s="7" t="s">
        <v>28</v>
      </c>
      <c r="F9854" s="8" t="str">
        <f ca="1">IFERROR(__xludf.DUMMYFUNCTION("IF
(
C9855=""фізична особа""
,
VLOOKUP(D9855,IMPORTRANGE(""https://docs.google.com/spreadsheets/d/14Bd19lYaqBhU8_DElYkX7l4wRkHqqCUFNJY4AfY3kHU/edit?usp=sharing  #gid=0"",""фіз особи new!relations_name""),6,FALSE)
,
(IF
(
C9855=""юридична особа""
,
VLOOKUP"&amp;"(D9855,IMPORTRANGE(""https://docs.google.com/spreadsheets/d/14Bd19lYaqBhU8_DElYkX7l4wRkHqqCUFNJY4AfY3kHU/edit?usp=sharing  #gid=0"",""фіз особи new!relations_name_uo""),7,FALSE)
,
)
))"),"БУРЦЕВ Сергій Олександрович")</f>
        <v>БУРЦЕВ Сергій Олександрович</v>
      </c>
      <c r="G9854" s="7" t="s">
        <v>10</v>
      </c>
      <c r="H9854" s="7">
        <v>9253</v>
      </c>
      <c r="I9854" s="8" t="str">
        <f ca="1">IFERROR(__xludf.DUMMYFUNCTION("IF
(
G9855=""фізична особа""
,
VLOOKUP(H9855,IMPORTRANGE(""https://docs.google.com/spreadsheets/d/14Bd19lYaqBhU8_DElYkX7l4wRkHqqCUFNJY4AfY3kHU/edit?usp=sharing  #gid=0"",""фіз особи new!relations_name""),6,FALSE)
,
(IF
(
G9855=""юридична особа""
,
VLOOKUP"&amp;"(H9855,IMPORTRANGE(""https://docs.google.com/spreadsheets/d/14Bd19lYaqBhU8_DElYkX7l4wRkHqqCUFNJY4AfY3kHU/edit?usp=sharing  #gid=0"",""фіз особи new!relations_name_uo""),7,FALSE)
,
)
))"),"АКОП'ЯН Віктор Альбертович")</f>
        <v>АКОП'ЯН Віктор Альбертович</v>
      </c>
      <c r="J9854" s="7" t="s">
        <v>29</v>
      </c>
    </row>
    <row r="9855" spans="1:10" ht="13.2">
      <c r="A9855" s="7">
        <v>9854</v>
      </c>
      <c r="B9855" s="7">
        <v>1</v>
      </c>
      <c r="C9855" s="7" t="s">
        <v>10</v>
      </c>
      <c r="D9855" s="7">
        <v>11685</v>
      </c>
      <c r="E9855" s="7" t="s">
        <v>28</v>
      </c>
      <c r="F9855" s="8" t="str">
        <f ca="1">IFERROR(__xludf.DUMMYFUNCTION("IF
(
C9856=""фізична особа""
,
VLOOKUP(D9856,IMPORTRANGE(""https://docs.google.com/spreadsheets/d/14Bd19lYaqBhU8_DElYkX7l4wRkHqqCUFNJY4AfY3kHU/edit?usp=sharing  #gid=0"",""фіз особи new!relations_name""),6,FALSE)
,
(IF
(
C9856=""юридична особа""
,
VLOOKUP"&amp;"(D9856,IMPORTRANGE(""https://docs.google.com/spreadsheets/d/14Bd19lYaqBhU8_DElYkX7l4wRkHqqCUFNJY4AfY3kHU/edit?usp=sharing  #gid=0"",""фіз особи new!relations_name_uo""),7,FALSE)
,
)
))"),"ЗАСТАВНИЙ Богдан Георгійович")</f>
        <v>ЗАСТАВНИЙ Богдан Георгійович</v>
      </c>
      <c r="G9855" s="7" t="s">
        <v>10</v>
      </c>
      <c r="H9855" s="7">
        <v>3028</v>
      </c>
      <c r="I9855" s="8" t="str">
        <f ca="1">IFERROR(__xludf.DUMMYFUNCTION("IF
(
G9856=""фізична особа""
,
VLOOKUP(H9856,IMPORTRANGE(""https://docs.google.com/spreadsheets/d/14Bd19lYaqBhU8_DElYkX7l4wRkHqqCUFNJY4AfY3kHU/edit?usp=sharing  #gid=0"",""фіз особи new!relations_name""),6,FALSE)
,
(IF
(
G9856=""юридична особа""
,
VLOOKUP"&amp;"(H9856,IMPORTRANGE(""https://docs.google.com/spreadsheets/d/14Bd19lYaqBhU8_DElYkX7l4wRkHqqCUFNJY4AfY3kHU/edit?usp=sharing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5" s="7" t="s">
        <v>29</v>
      </c>
    </row>
    <row r="9856" spans="1:10" ht="13.2">
      <c r="A9856" s="7">
        <v>9855</v>
      </c>
      <c r="B9856" s="7">
        <v>1</v>
      </c>
      <c r="C9856" s="7" t="s">
        <v>10</v>
      </c>
      <c r="D9856" s="7">
        <v>11686</v>
      </c>
      <c r="E9856" s="7" t="s">
        <v>28</v>
      </c>
      <c r="F9856" s="8" t="str">
        <f ca="1">IFERROR(__xludf.DUMMYFUNCTION("IF
(
C9857=""фізична особа""
,
VLOOKUP(D9857,IMPORTRANGE(""https://docs.google.com/spreadsheets/d/14Bd19lYaqBhU8_DElYkX7l4wRkHqqCUFNJY4AfY3kHU/edit?usp=sharing  #gid=0"",""фіз особи new!relations_name""),6,FALSE)
,
(IF
(
C9857=""юридична особа""
,
VLOOKUP"&amp;"(D9857,IMPORTRANGE(""https://docs.google.com/spreadsheets/d/14Bd19lYaqBhU8_DElYkX7l4wRkHqqCUFNJY4AfY3kHU/edit?usp=sharing  #gid=0"",""фіз особи new!relations_name_uo""),7,FALSE)
,
)
))"),"АБРОСІМОВ Олександр Володимирович")</f>
        <v>АБРОСІМОВ Олександр Володимирович</v>
      </c>
      <c r="G9856" s="7" t="s">
        <v>10</v>
      </c>
      <c r="H9856" s="7">
        <v>3028</v>
      </c>
      <c r="I9856" s="8" t="str">
        <f ca="1">IFERROR(__xludf.DUMMYFUNCTION("IF
(
G9857=""фізична особа""
,
VLOOKUP(H9857,IMPORTRANGE(""https://docs.google.com/spreadsheets/d/14Bd19lYaqBhU8_DElYkX7l4wRkHqqCUFNJY4AfY3kHU/edit?usp=sharing  #gid=0"",""фіз особи new!relations_name""),6,FALSE)
,
(IF
(
G9857=""юридична особа""
,
VLOOKUP"&amp;"(H9857,IMPORTRANGE(""https://docs.google.com/spreadsheets/d/14Bd19lYaqBhU8_DElYkX7l4wRkHqqCUFNJY4AfY3kHU/edit?usp=sharing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6" s="7" t="s">
        <v>29</v>
      </c>
    </row>
    <row r="9857" spans="1:10" ht="13.2">
      <c r="A9857" s="7">
        <v>9856</v>
      </c>
      <c r="B9857" s="7">
        <v>1</v>
      </c>
      <c r="C9857" s="7" t="s">
        <v>10</v>
      </c>
      <c r="D9857" s="7">
        <v>11687</v>
      </c>
      <c r="E9857" s="7" t="s">
        <v>28</v>
      </c>
      <c r="F9857" s="8" t="str">
        <f ca="1">IFERROR(__xludf.DUMMYFUNCTION("IF
(
C9858=""фізична особа""
,
VLOOKUP(D9858,IMPORTRANGE(""https://docs.google.com/spreadsheets/d/14Bd19lYaqBhU8_DElYkX7l4wRkHqqCUFNJY4AfY3kHU/edit?usp=sharing  #gid=0"",""фіз особи new!relations_name""),6,FALSE)
,
(IF
(
C9858=""юридична особа""
,
VLOOKUP"&amp;"(D9858,IMPORTRANGE(""https://docs.google.com/spreadsheets/d/14Bd19lYaqBhU8_DElYkX7l4wRkHqqCUFNJY4AfY3kHU/edit?usp=sharing  #gid=0"",""фіз особи new!relations_name_uo""),7,FALSE)
,
)
))"),"СМЄКАЛОВ Дмитро Григорович")</f>
        <v>СМЄКАЛОВ Дмитро Григорович</v>
      </c>
      <c r="G9857" s="7" t="s">
        <v>10</v>
      </c>
      <c r="H9857" s="7">
        <v>3028</v>
      </c>
      <c r="I9857" s="8" t="str">
        <f ca="1">IFERROR(__xludf.DUMMYFUNCTION("IF
(
G9858=""фізична особа""
,
VLOOKUP(H9858,IMPORTRANGE(""https://docs.google.com/spreadsheets/d/14Bd19lYaqBhU8_DElYkX7l4wRkHqqCUFNJY4AfY3kHU/edit?usp=sharing  #gid=0"",""фіз особи new!relations_name""),6,FALSE)
,
(IF
(
G9858=""юридична особа""
,
VLOOKUP"&amp;"(H9858,IMPORTRANGE(""https://docs.google.com/spreadsheets/d/14Bd19lYaqBhU8_DElYkX7l4wRkHqqCUFNJY4AfY3kHU/edit?usp=sharing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7" s="7" t="s">
        <v>29</v>
      </c>
    </row>
    <row r="9858" spans="1:10" ht="13.2">
      <c r="A9858" s="7">
        <v>9857</v>
      </c>
      <c r="B9858" s="7">
        <v>1</v>
      </c>
      <c r="C9858" s="7" t="s">
        <v>10</v>
      </c>
      <c r="D9858" s="7">
        <v>11688</v>
      </c>
      <c r="E9858" s="7" t="s">
        <v>28</v>
      </c>
      <c r="F9858" s="8" t="str">
        <f ca="1">IFERROR(__xludf.DUMMYFUNCTION("IF
(
C9859=""фізична особа""
,
VLOOKUP(D9859,IMPORTRANGE(""https://docs.google.com/spreadsheets/d/14Bd19lYaqBhU8_DElYkX7l4wRkHqqCUFNJY4AfY3kHU/edit?usp=sharing  #gid=0"",""фіз особи new!relations_name""),6,FALSE)
,
(IF
(
C9859=""юридична особа""
,
VLOOKUP"&amp;"(D9859,IMPORTRANGE(""https://docs.google.com/spreadsheets/d/14Bd19lYaqBhU8_DElYkX7l4wRkHqqCUFNJY4AfY3kHU/edit?usp=sharing  #gid=0"",""фіз особи new!relations_name_uo""),7,FALSE)
,
)
))"),"РЕЗНІЧЕНКО Сергій Анатолійович")</f>
        <v>РЕЗНІЧЕНКО Сергій Анатолійович</v>
      </c>
      <c r="G9858" s="7" t="s">
        <v>10</v>
      </c>
      <c r="H9858" s="7">
        <v>3028</v>
      </c>
      <c r="I9858" s="8" t="str">
        <f ca="1">IFERROR(__xludf.DUMMYFUNCTION("IF
(
G9859=""фізична особа""
,
VLOOKUP(H9859,IMPORTRANGE(""https://docs.google.com/spreadsheets/d/14Bd19lYaqBhU8_DElYkX7l4wRkHqqCUFNJY4AfY3kHU/edit?usp=sharing  #gid=0"",""фіз особи new!relations_name""),6,FALSE)
,
(IF
(
G9859=""юридична особа""
,
VLOOKUP"&amp;"(H9859,IMPORTRANGE(""https://docs.google.com/spreadsheets/d/14Bd19lYaqBhU8_DElYkX7l4wRkHqqCUFNJY4AfY3kHU/edit?usp=sharing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8" s="7" t="s">
        <v>29</v>
      </c>
    </row>
    <row r="9859" spans="1:10" ht="13.2">
      <c r="A9859" s="7">
        <v>9858</v>
      </c>
      <c r="B9859" s="7">
        <v>1</v>
      </c>
      <c r="C9859" s="7" t="s">
        <v>10</v>
      </c>
      <c r="D9859" s="7">
        <v>11689</v>
      </c>
      <c r="E9859" s="7" t="s">
        <v>28</v>
      </c>
      <c r="F9859" s="8" t="str">
        <f ca="1">IFERROR(__xludf.DUMMYFUNCTION("IF
(
C9860=""фізична особа""
,
VLOOKUP(D9860,IMPORTRANGE(""https://docs.google.com/spreadsheets/d/14Bd19lYaqBhU8_DElYkX7l4wRkHqqCUFNJY4AfY3kHU/edit?usp=sharing  #gid=0"",""фіз особи new!relations_name""),6,FALSE)
,
(IF
(
C9860=""юридична особа""
,
VLOOKUP"&amp;"(D9860,IMPORTRANGE(""https://docs.google.com/spreadsheets/d/14Bd19lYaqBhU8_DElYkX7l4wRkHqqCUFNJY4AfY3kHU/edit?usp=sharing  #gid=0"",""фіз особи new!relations_name_uo""),7,FALSE)
,
)
))"),"ДЖУСОЄВ Руслан Славікович")</f>
        <v>ДЖУСОЄВ Руслан Славікович</v>
      </c>
      <c r="G9859" s="7" t="s">
        <v>10</v>
      </c>
      <c r="H9859" s="7">
        <v>3028</v>
      </c>
      <c r="I9859" s="8" t="str">
        <f ca="1">IFERROR(__xludf.DUMMYFUNCTION("IF
(
G9860=""фізична особа""
,
VLOOKUP(H9860,IMPORTRANGE(""https://docs.google.com/spreadsheets/d/14Bd19lYaqBhU8_DElYkX7l4wRkHqqCUFNJY4AfY3kHU/edit?usp=sharing  #gid=0"",""фіз особи new!relations_name""),6,FALSE)
,
(IF
(
G9860=""юридична особа""
,
VLOOKUP"&amp;"(H9860,IMPORTRANGE(""https://docs.google.com/spreadsheets/d/14Bd19lYaqBhU8_DElYkX7l4wRkHqqCUFNJY4AfY3kHU/edit?usp=sharing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59" s="7" t="s">
        <v>29</v>
      </c>
    </row>
    <row r="9860" spans="1:10" ht="13.2">
      <c r="A9860" s="7">
        <v>9859</v>
      </c>
      <c r="B9860" s="7">
        <v>1</v>
      </c>
      <c r="C9860" s="7" t="s">
        <v>10</v>
      </c>
      <c r="D9860" s="7">
        <v>11690</v>
      </c>
      <c r="E9860" s="7" t="s">
        <v>28</v>
      </c>
      <c r="F9860" s="8" t="str">
        <f ca="1">IFERROR(__xludf.DUMMYFUNCTION("IF
(
C9861=""фізична особа""
,
VLOOKUP(D9861,IMPORTRANGE(""https://docs.google.com/spreadsheets/d/14Bd19lYaqBhU8_DElYkX7l4wRkHqqCUFNJY4AfY3kHU/edit?usp=sharing  #gid=0"",""фіз особи new!relations_name""),6,FALSE)
,
(IF
(
C9861=""юридична особа""
,
VLOOKUP"&amp;"(D9861,IMPORTRANGE(""https://docs.google.com/spreadsheets/d/14Bd19lYaqBhU8_DElYkX7l4wRkHqqCUFNJY4AfY3kHU/edit?usp=sharing  #gid=0"",""фіз особи new!relations_name_uo""),7,FALSE)
,
)
))"),"ГАПЄЄВА Анастасія Олександрівна")</f>
        <v>ГАПЄЄВА Анастасія Олександрівна</v>
      </c>
      <c r="G9860" s="7" t="s">
        <v>10</v>
      </c>
      <c r="H9860" s="7">
        <v>3028</v>
      </c>
      <c r="I9860" s="8" t="str">
        <f ca="1">IFERROR(__xludf.DUMMYFUNCTION("IF
(
G9861=""фізична особа""
,
VLOOKUP(H9861,IMPORTRANGE(""https://docs.google.com/spreadsheets/d/14Bd19lYaqBhU8_DElYkX7l4wRkHqqCUFNJY4AfY3kHU/edit?usp=sharing  #gid=0"",""фіз особи new!relations_name""),6,FALSE)
,
(IF
(
G9861=""юридична особа""
,
VLOOKUP"&amp;"(H9861,IMPORTRANGE(""https://docs.google.com/spreadsheets/d/14Bd19lYaqBhU8_DElYkX7l4wRkHqqCUFNJY4AfY3kHU/edit?usp=sharing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0" s="7" t="s">
        <v>29</v>
      </c>
    </row>
    <row r="9861" spans="1:10" ht="13.2">
      <c r="A9861" s="7">
        <v>9860</v>
      </c>
      <c r="B9861" s="7">
        <v>1</v>
      </c>
      <c r="C9861" s="7" t="s">
        <v>10</v>
      </c>
      <c r="D9861" s="7">
        <v>11691</v>
      </c>
      <c r="E9861" s="7" t="s">
        <v>28</v>
      </c>
      <c r="F9861" s="8" t="str">
        <f ca="1">IFERROR(__xludf.DUMMYFUNCTION("IF
(
C9862=""фізична особа""
,
VLOOKUP(D9862,IMPORTRANGE(""https://docs.google.com/spreadsheets/d/14Bd19lYaqBhU8_DElYkX7l4wRkHqqCUFNJY4AfY3kHU/edit?usp=sharing  #gid=0"",""фіз особи new!relations_name""),6,FALSE)
,
(IF
(
C9862=""юридична особа""
,
VLOOKUP"&amp;"(D9862,IMPORTRANGE(""https://docs.google.com/spreadsheets/d/14Bd19lYaqBhU8_DElYkX7l4wRkHqqCUFNJY4AfY3kHU/edit?usp=sharing  #gid=0"",""фіз особи new!relations_name_uo""),7,FALSE)
,
)
))"),"ВОЙСЬКОВОЙ Олександр Дмитрович")</f>
        <v>ВОЙСЬКОВОЙ Олександр Дмитрович</v>
      </c>
      <c r="G9861" s="7" t="s">
        <v>10</v>
      </c>
      <c r="H9861" s="7">
        <v>3028</v>
      </c>
      <c r="I9861" s="8" t="str">
        <f ca="1">IFERROR(__xludf.DUMMYFUNCTION("IF
(
G9862=""фізична особа""
,
VLOOKUP(H9862,IMPORTRANGE(""https://docs.google.com/spreadsheets/d/14Bd19lYaqBhU8_DElYkX7l4wRkHqqCUFNJY4AfY3kHU/edit?usp=sharing  #gid=0"",""фіз особи new!relations_name""),6,FALSE)
,
(IF
(
G9862=""юридична особа""
,
VLOOKUP"&amp;"(H9862,IMPORTRANGE(""https://docs.google.com/spreadsheets/d/14Bd19lYaqBhU8_DElYkX7l4wRkHqqCUFNJY4AfY3kHU/edit?usp=sharing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1" s="7" t="s">
        <v>29</v>
      </c>
    </row>
    <row r="9862" spans="1:10" ht="13.2">
      <c r="A9862" s="7">
        <v>9861</v>
      </c>
      <c r="B9862" s="7">
        <v>1</v>
      </c>
      <c r="C9862" s="7" t="s">
        <v>10</v>
      </c>
      <c r="D9862" s="7">
        <v>11692</v>
      </c>
      <c r="E9862" s="7" t="s">
        <v>28</v>
      </c>
      <c r="F9862" s="8" t="str">
        <f ca="1">IFERROR(__xludf.DUMMYFUNCTION("IF
(
C9863=""фізична особа""
,
VLOOKUP(D9863,IMPORTRANGE(""https://docs.google.com/spreadsheets/d/14Bd19lYaqBhU8_DElYkX7l4wRkHqqCUFNJY4AfY3kHU/edit?usp=sharing  #gid=0"",""фіз особи new!relations_name""),6,FALSE)
,
(IF
(
C9863=""юридична особа""
,
VLOOKUP"&amp;"(D9863,IMPORTRANGE(""https://docs.google.com/spreadsheets/d/14Bd19lYaqBhU8_DElYkX7l4wRkHqqCUFNJY4AfY3kHU/edit?usp=sharing  #gid=0"",""фіз особи new!relations_name_uo""),7,FALSE)
,
)
))"),"БЄЛЯЄВ Олексій Олексійович")</f>
        <v>БЄЛЯЄВ Олексій Олексійович</v>
      </c>
      <c r="G9862" s="7" t="s">
        <v>10</v>
      </c>
      <c r="H9862" s="7">
        <v>3028</v>
      </c>
      <c r="I9862" s="8" t="str">
        <f ca="1">IFERROR(__xludf.DUMMYFUNCTION("IF
(
G9863=""фізична особа""
,
VLOOKUP(H9863,IMPORTRANGE(""https://docs.google.com/spreadsheets/d/14Bd19lYaqBhU8_DElYkX7l4wRkHqqCUFNJY4AfY3kHU/edit?usp=sharing  #gid=0"",""фіз особи new!relations_name""),6,FALSE)
,
(IF
(
G9863=""юридична особа""
,
VLOOKUP"&amp;"(H9863,IMPORTRANGE(""https://docs.google.com/spreadsheets/d/14Bd19lYaqBhU8_DElYkX7l4wRkHqqCUFNJY4AfY3kHU/edit?usp=sharing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2" s="7" t="s">
        <v>29</v>
      </c>
    </row>
    <row r="9863" spans="1:10" ht="13.2">
      <c r="A9863" s="7">
        <v>9862</v>
      </c>
      <c r="B9863" s="7">
        <v>1</v>
      </c>
      <c r="C9863" s="7" t="s">
        <v>10</v>
      </c>
      <c r="D9863" s="7">
        <v>11693</v>
      </c>
      <c r="E9863" s="7" t="s">
        <v>28</v>
      </c>
      <c r="F9863" s="8" t="str">
        <f ca="1">IFERROR(__xludf.DUMMYFUNCTION("IF
(
C9864=""фізична особа""
,
VLOOKUP(D9864,IMPORTRANGE(""https://docs.google.com/spreadsheets/d/14Bd19lYaqBhU8_DElYkX7l4wRkHqqCUFNJY4AfY3kHU/edit?usp=sharing  #gid=0"",""фіз особи new!relations_name""),6,FALSE)
,
(IF
(
C9864=""юридична особа""
,
VLOOKUP"&amp;"(D9864,IMPORTRANGE(""https://docs.google.com/spreadsheets/d/14Bd19lYaqBhU8_DElYkX7l4wRkHqqCUFNJY4AfY3kHU/edit?usp=sharing  #gid=0"",""фіз особи new!relations_name_uo""),7,FALSE)
,
)
))"),"СУЛЕЙМАНОВ Тимур Джавдетович")</f>
        <v>СУЛЕЙМАНОВ Тимур Джавдетович</v>
      </c>
      <c r="G9863" s="7" t="s">
        <v>10</v>
      </c>
      <c r="H9863" s="7">
        <v>3028</v>
      </c>
      <c r="I9863" s="8" t="str">
        <f ca="1">IFERROR(__xludf.DUMMYFUNCTION("IF
(
G9864=""фізична особа""
,
VLOOKUP(H9864,IMPORTRANGE(""https://docs.google.com/spreadsheets/d/14Bd19lYaqBhU8_DElYkX7l4wRkHqqCUFNJY4AfY3kHU/edit?usp=sharing  #gid=0"",""фіз особи new!relations_name""),6,FALSE)
,
(IF
(
G9864=""юридична особа""
,
VLOOKUP"&amp;"(H9864,IMPORTRANGE(""https://docs.google.com/spreadsheets/d/14Bd19lYaqBhU8_DElYkX7l4wRkHqqCUFNJY4AfY3kHU/edit?usp=sharing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3" s="7" t="s">
        <v>29</v>
      </c>
    </row>
    <row r="9864" spans="1:10" ht="13.2">
      <c r="A9864" s="7">
        <v>9863</v>
      </c>
      <c r="B9864" s="7">
        <v>1</v>
      </c>
      <c r="C9864" s="7" t="s">
        <v>10</v>
      </c>
      <c r="D9864" s="7">
        <v>11694</v>
      </c>
      <c r="E9864" s="7" t="s">
        <v>28</v>
      </c>
      <c r="F9864" s="8" t="str">
        <f ca="1">IFERROR(__xludf.DUMMYFUNCTION("IF
(
C9865=""фізична особа""
,
VLOOKUP(D9865,IMPORTRANGE(""https://docs.google.com/spreadsheets/d/14Bd19lYaqBhU8_DElYkX7l4wRkHqqCUFNJY4AfY3kHU/edit?usp=sharing  #gid=0"",""фіз особи new!relations_name""),6,FALSE)
,
(IF
(
C9865=""юридична особа""
,
VLOOKUP"&amp;"(D9865,IMPORTRANGE(""https://docs.google.com/spreadsheets/d/14Bd19lYaqBhU8_DElYkX7l4wRkHqqCUFNJY4AfY3kHU/edit?usp=sharing  #gid=0"",""фіз особи new!relations_name_uo""),7,FALSE)
,
)
))"),"ПРОХОРОВА Олександра Сергіївна")</f>
        <v>ПРОХОРОВА Олександра Сергіївна</v>
      </c>
      <c r="G9864" s="7" t="s">
        <v>10</v>
      </c>
      <c r="H9864" s="7">
        <v>3028</v>
      </c>
      <c r="I9864" s="8" t="str">
        <f ca="1">IFERROR(__xludf.DUMMYFUNCTION("IF
(
G9865=""фізична особа""
,
VLOOKUP(H9865,IMPORTRANGE(""https://docs.google.com/spreadsheets/d/14Bd19lYaqBhU8_DElYkX7l4wRkHqqCUFNJY4AfY3kHU/edit?usp=sharing  #gid=0"",""фіз особи new!relations_name""),6,FALSE)
,
(IF
(
G9865=""юридична особа""
,
VLOOKUP"&amp;"(H9865,IMPORTRANGE(""https://docs.google.com/spreadsheets/d/14Bd19lYaqBhU8_DElYkX7l4wRkHqqCUFNJY4AfY3kHU/edit?usp=sharing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4" s="7" t="s">
        <v>29</v>
      </c>
    </row>
    <row r="9865" spans="1:10" ht="13.2">
      <c r="A9865" s="7">
        <v>9864</v>
      </c>
      <c r="B9865" s="7">
        <v>1</v>
      </c>
      <c r="C9865" s="7" t="s">
        <v>10</v>
      </c>
      <c r="D9865" s="7">
        <v>11695</v>
      </c>
      <c r="E9865" s="7" t="s">
        <v>28</v>
      </c>
      <c r="F9865" s="8" t="str">
        <f ca="1">IFERROR(__xludf.DUMMYFUNCTION("IF
(
C9866=""фізична особа""
,
VLOOKUP(D9866,IMPORTRANGE(""https://docs.google.com/spreadsheets/d/14Bd19lYaqBhU8_DElYkX7l4wRkHqqCUFNJY4AfY3kHU/edit?usp=sharing  #gid=0"",""фіз особи new!relations_name""),6,FALSE)
,
(IF
(
C9866=""юридична особа""
,
VLOOKUP"&amp;"(D9866,IMPORTRANGE(""https://docs.google.com/spreadsheets/d/14Bd19lYaqBhU8_DElYkX7l4wRkHqqCUFNJY4AfY3kHU/edit?usp=sharing  #gid=0"",""фіз особи new!relations_name_uo""),7,FALSE)
,
)
))"),"МАКСИМОВ Максим Вікторович")</f>
        <v>МАКСИМОВ Максим Вікторович</v>
      </c>
      <c r="G9865" s="7" t="s">
        <v>10</v>
      </c>
      <c r="H9865" s="7">
        <v>3028</v>
      </c>
      <c r="I9865" s="8" t="str">
        <f ca="1">IFERROR(__xludf.DUMMYFUNCTION("IF
(
G9866=""фізична особа""
,
VLOOKUP(H9866,IMPORTRANGE(""https://docs.google.com/spreadsheets/d/14Bd19lYaqBhU8_DElYkX7l4wRkHqqCUFNJY4AfY3kHU/edit?usp=sharing  #gid=0"",""фіз особи new!relations_name""),6,FALSE)
,
(IF
(
G9866=""юридична особа""
,
VLOOKUP"&amp;"(H9866,IMPORTRANGE(""https://docs.google.com/spreadsheets/d/14Bd19lYaqBhU8_DElYkX7l4wRkHqqCUFNJY4AfY3kHU/edit?usp=sharing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5" s="7" t="s">
        <v>29</v>
      </c>
    </row>
    <row r="9866" spans="1:10" ht="13.2">
      <c r="A9866" s="7">
        <v>9865</v>
      </c>
      <c r="B9866" s="7">
        <v>1</v>
      </c>
      <c r="C9866" s="7" t="s">
        <v>10</v>
      </c>
      <c r="D9866" s="7">
        <v>11696</v>
      </c>
      <c r="E9866" s="7" t="s">
        <v>28</v>
      </c>
      <c r="F9866" s="8" t="str">
        <f ca="1">IFERROR(__xludf.DUMMYFUNCTION("IF
(
C9867=""фізична особа""
,
VLOOKUP(D9867,IMPORTRANGE(""https://docs.google.com/spreadsheets/d/14Bd19lYaqBhU8_DElYkX7l4wRkHqqCUFNJY4AfY3kHU/edit?usp=sharing  #gid=0"",""фіз особи new!relations_name""),6,FALSE)
,
(IF
(
C9867=""юридична особа""
,
VLOOKUP"&amp;"(D9867,IMPORTRANGE(""https://docs.google.com/spreadsheets/d/14Bd19lYaqBhU8_DElYkX7l4wRkHqqCUFNJY4AfY3kHU/edit?usp=sharing  #gid=0"",""фіз особи new!relations_name_uo""),7,FALSE)
,
)
))"),"ДАВЛЕТШИН Олексій Фаритович")</f>
        <v>ДАВЛЕТШИН Олексій Фаритович</v>
      </c>
      <c r="G9866" s="7" t="s">
        <v>10</v>
      </c>
      <c r="H9866" s="7">
        <v>3028</v>
      </c>
      <c r="I9866" s="8" t="str">
        <f ca="1">IFERROR(__xludf.DUMMYFUNCTION("IF
(
G9867=""фізична особа""
,
VLOOKUP(H9867,IMPORTRANGE(""https://docs.google.com/spreadsheets/d/14Bd19lYaqBhU8_DElYkX7l4wRkHqqCUFNJY4AfY3kHU/edit?usp=sharing  #gid=0"",""фіз особи new!relations_name""),6,FALSE)
,
(IF
(
G9867=""юридична особа""
,
VLOOKUP"&amp;"(H9867,IMPORTRANGE(""https://docs.google.com/spreadsheets/d/14Bd19lYaqBhU8_DElYkX7l4wRkHqqCUFNJY4AfY3kHU/edit?usp=sharing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6" s="7" t="s">
        <v>29</v>
      </c>
    </row>
    <row r="9867" spans="1:10" ht="13.2">
      <c r="A9867" s="7">
        <v>9866</v>
      </c>
      <c r="B9867" s="7">
        <v>1</v>
      </c>
      <c r="C9867" s="7" t="s">
        <v>10</v>
      </c>
      <c r="D9867" s="7">
        <v>11697</v>
      </c>
      <c r="E9867" s="7" t="s">
        <v>28</v>
      </c>
      <c r="F9867" s="8" t="str">
        <f ca="1">IFERROR(__xludf.DUMMYFUNCTION("IF
(
C9868=""фізична особа""
,
VLOOKUP(D9868,IMPORTRANGE(""https://docs.google.com/spreadsheets/d/14Bd19lYaqBhU8_DElYkX7l4wRkHqqCUFNJY4AfY3kHU/edit?usp=sharing  #gid=0"",""фіз особи new!relations_name""),6,FALSE)
,
(IF
(
C9868=""юридична особа""
,
VLOOKUP"&amp;"(D9868,IMPORTRANGE(""https://docs.google.com/spreadsheets/d/14Bd19lYaqBhU8_DElYkX7l4wRkHqqCUFNJY4AfY3kHU/edit?usp=sharing  #gid=0"",""фіз особи new!relations_name_uo""),7,FALSE)
,
)
))"),"КУУЛАР Ертіне Ересович")</f>
        <v>КУУЛАР Ертіне Ересович</v>
      </c>
      <c r="G9867" s="7" t="s">
        <v>10</v>
      </c>
      <c r="H9867" s="7">
        <v>3028</v>
      </c>
      <c r="I9867" s="8" t="str">
        <f ca="1">IFERROR(__xludf.DUMMYFUNCTION("IF
(
G9868=""фізична особа""
,
VLOOKUP(H9868,IMPORTRANGE(""https://docs.google.com/spreadsheets/d/14Bd19lYaqBhU8_DElYkX7l4wRkHqqCUFNJY4AfY3kHU/edit?usp=sharing  #gid=0"",""фіз особи new!relations_name""),6,FALSE)
,
(IF
(
G9868=""юридична особа""
,
VLOOKUP"&amp;"(H9868,IMPORTRANGE(""https://docs.google.com/spreadsheets/d/14Bd19lYaqBhU8_DElYkX7l4wRkHqqCUFNJY4AfY3kHU/edit?usp=sharing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7" s="7" t="s">
        <v>29</v>
      </c>
    </row>
    <row r="9868" spans="1:10" ht="13.2">
      <c r="A9868" s="7">
        <v>9867</v>
      </c>
      <c r="B9868" s="7">
        <v>1</v>
      </c>
      <c r="C9868" s="7" t="s">
        <v>10</v>
      </c>
      <c r="D9868" s="7">
        <v>11698</v>
      </c>
      <c r="E9868" s="7" t="s">
        <v>28</v>
      </c>
      <c r="F9868" s="8" t="str">
        <f ca="1">IFERROR(__xludf.DUMMYFUNCTION("IF
(
C9869=""фізична особа""
,
VLOOKUP(D9869,IMPORTRANGE(""https://docs.google.com/spreadsheets/d/14Bd19lYaqBhU8_DElYkX7l4wRkHqqCUFNJY4AfY3kHU/edit?usp=sharing  #gid=0"",""фіз особи new!relations_name""),6,FALSE)
,
(IF
(
C9869=""юридична особа""
,
VLOOKUP"&amp;"(D9869,IMPORTRANGE(""https://docs.google.com/spreadsheets/d/14Bd19lYaqBhU8_DElYkX7l4wRkHqqCUFNJY4AfY3kHU/edit?usp=sharing  #gid=0"",""фіз особи new!relations_name_uo""),7,FALSE)
,
)
))"),"БЄЛЯВСЬКИЙ Павло Вікторович")</f>
        <v>БЄЛЯВСЬКИЙ Павло Вікторович</v>
      </c>
      <c r="G9868" s="7" t="s">
        <v>10</v>
      </c>
      <c r="H9868" s="7">
        <v>3028</v>
      </c>
      <c r="I9868" s="8" t="str">
        <f ca="1">IFERROR(__xludf.DUMMYFUNCTION("IF
(
G9869=""фізична особа""
,
VLOOKUP(H9869,IMPORTRANGE(""https://docs.google.com/spreadsheets/d/14Bd19lYaqBhU8_DElYkX7l4wRkHqqCUFNJY4AfY3kHU/edit?usp=sharing  #gid=0"",""фіз особи new!relations_name""),6,FALSE)
,
(IF
(
G9869=""юридична особа""
,
VLOOKUP"&amp;"(H9869,IMPORTRANGE(""https://docs.google.com/spreadsheets/d/14Bd19lYaqBhU8_DElYkX7l4wRkHqqCUFNJY4AfY3kHU/edit?usp=sharing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8" s="7" t="s">
        <v>29</v>
      </c>
    </row>
    <row r="9869" spans="1:10" ht="13.2">
      <c r="A9869" s="7">
        <v>9868</v>
      </c>
      <c r="B9869" s="7">
        <v>1</v>
      </c>
      <c r="C9869" s="7" t="s">
        <v>10</v>
      </c>
      <c r="D9869" s="7">
        <v>11699</v>
      </c>
      <c r="E9869" s="7" t="s">
        <v>28</v>
      </c>
      <c r="F9869" s="8" t="str">
        <f ca="1">IFERROR(__xludf.DUMMYFUNCTION("IF
(
C9870=""фізична особа""
,
VLOOKUP(D9870,IMPORTRANGE(""https://docs.google.com/spreadsheets/d/14Bd19lYaqBhU8_DElYkX7l4wRkHqqCUFNJY4AfY3kHU/edit?usp=sharing  #gid=0"",""фіз особи new!relations_name""),6,FALSE)
,
(IF
(
C9870=""юридична особа""
,
VLOOKUP"&amp;"(D9870,IMPORTRANGE(""https://docs.google.com/spreadsheets/d/14Bd19lYaqBhU8_DElYkX7l4wRkHqqCUFNJY4AfY3kHU/edit?usp=sharing  #gid=0"",""фіз особи new!relations_name_uo""),7,FALSE)
,
)
))"),"ВАРШАВСЬКИЙ Олександр Ілліч")</f>
        <v>ВАРШАВСЬКИЙ Олександр Ілліч</v>
      </c>
      <c r="G9869" s="7" t="s">
        <v>10</v>
      </c>
      <c r="H9869" s="7">
        <v>3028</v>
      </c>
      <c r="I9869" s="8" t="str">
        <f ca="1">IFERROR(__xludf.DUMMYFUNCTION("IF
(
G9870=""фізична особа""
,
VLOOKUP(H9870,IMPORTRANGE(""https://docs.google.com/spreadsheets/d/14Bd19lYaqBhU8_DElYkX7l4wRkHqqCUFNJY4AfY3kHU/edit?usp=sharing  #gid=0"",""фіз особи new!relations_name""),6,FALSE)
,
(IF
(
G9870=""юридична особа""
,
VLOOKUP"&amp;"(H9870,IMPORTRANGE(""https://docs.google.com/spreadsheets/d/14Bd19lYaqBhU8_DElYkX7l4wRkHqqCUFNJY4AfY3kHU/edit?usp=sharing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69" s="7" t="s">
        <v>29</v>
      </c>
    </row>
    <row r="9870" spans="1:10" ht="13.2">
      <c r="A9870" s="7">
        <v>9869</v>
      </c>
      <c r="B9870" s="7">
        <v>1</v>
      </c>
      <c r="C9870" s="7" t="s">
        <v>10</v>
      </c>
      <c r="D9870" s="7">
        <v>11700</v>
      </c>
      <c r="E9870" s="7" t="s">
        <v>28</v>
      </c>
      <c r="F9870" s="8" t="str">
        <f ca="1">IFERROR(__xludf.DUMMYFUNCTION("IF
(
C9871=""фізична особа""
,
VLOOKUP(D9871,IMPORTRANGE(""https://docs.google.com/spreadsheets/d/14Bd19lYaqBhU8_DElYkX7l4wRkHqqCUFNJY4AfY3kHU/edit?usp=sharing  #gid=0"",""фіз особи new!relations_name""),6,FALSE)
,
(IF
(
C9871=""юридична особа""
,
VLOOKUP"&amp;"(D9871,IMPORTRANGE(""https://docs.google.com/spreadsheets/d/14Bd19lYaqBhU8_DElYkX7l4wRkHqqCUFNJY4AfY3kHU/edit?usp=sharing  #gid=0"",""фіз особи new!relations_name_uo""),7,FALSE)
,
)
))"),"МІРОШНІКОВ Артем Едуардович")</f>
        <v>МІРОШНІКОВ Артем Едуардович</v>
      </c>
      <c r="G9870" s="7" t="s">
        <v>10</v>
      </c>
      <c r="H9870" s="7">
        <v>3028</v>
      </c>
      <c r="I9870" s="8" t="str">
        <f ca="1">IFERROR(__xludf.DUMMYFUNCTION("IF
(
G9871=""фізична особа""
,
VLOOKUP(H9871,IMPORTRANGE(""https://docs.google.com/spreadsheets/d/14Bd19lYaqBhU8_DElYkX7l4wRkHqqCUFNJY4AfY3kHU/edit?usp=sharing  #gid=0"",""фіз особи new!relations_name""),6,FALSE)
,
(IF
(
G9871=""юридична особа""
,
VLOOKUP"&amp;"(H9871,IMPORTRANGE(""https://docs.google.com/spreadsheets/d/14Bd19lYaqBhU8_DElYkX7l4wRkHqqCUFNJY4AfY3kHU/edit?usp=sharing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0" s="7" t="s">
        <v>29</v>
      </c>
    </row>
    <row r="9871" spans="1:10" ht="13.2">
      <c r="A9871" s="7">
        <v>9870</v>
      </c>
      <c r="B9871" s="7">
        <v>1</v>
      </c>
      <c r="C9871" s="7" t="s">
        <v>10</v>
      </c>
      <c r="D9871" s="7">
        <v>11701</v>
      </c>
      <c r="E9871" s="7" t="s">
        <v>28</v>
      </c>
      <c r="F9871" s="8" t="str">
        <f ca="1">IFERROR(__xludf.DUMMYFUNCTION("IF
(
C9872=""фізична особа""
,
VLOOKUP(D9872,IMPORTRANGE(""https://docs.google.com/spreadsheets/d/14Bd19lYaqBhU8_DElYkX7l4wRkHqqCUFNJY4AfY3kHU/edit?usp=sharing  #gid=0"",""фіз особи new!relations_name""),6,FALSE)
,
(IF
(
C9872=""юридична особа""
,
VLOOKUP"&amp;"(D9872,IMPORTRANGE(""https://docs.google.com/spreadsheets/d/14Bd19lYaqBhU8_DElYkX7l4wRkHqqCUFNJY4AfY3kHU/edit?usp=sharing  #gid=0"",""фіз особи new!relations_name_uo""),7,FALSE)
,
)
))"),"РИБАК Євгеній Віталійович")</f>
        <v>РИБАК Євгеній Віталійович</v>
      </c>
      <c r="G9871" s="7" t="s">
        <v>10</v>
      </c>
      <c r="H9871" s="7">
        <v>3028</v>
      </c>
      <c r="I9871" s="8" t="str">
        <f ca="1">IFERROR(__xludf.DUMMYFUNCTION("IF
(
G9872=""фізична особа""
,
VLOOKUP(H9872,IMPORTRANGE(""https://docs.google.com/spreadsheets/d/14Bd19lYaqBhU8_DElYkX7l4wRkHqqCUFNJY4AfY3kHU/edit?usp=sharing  #gid=0"",""фіз особи new!relations_name""),6,FALSE)
,
(IF
(
G9872=""юридична особа""
,
VLOOKUP"&amp;"(H9872,IMPORTRANGE(""https://docs.google.com/spreadsheets/d/14Bd19lYaqBhU8_DElYkX7l4wRkHqqCUFNJY4AfY3kHU/edit?usp=sharing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1" s="7" t="s">
        <v>29</v>
      </c>
    </row>
    <row r="9872" spans="1:10" ht="13.2">
      <c r="A9872" s="7">
        <v>9871</v>
      </c>
      <c r="B9872" s="7">
        <v>1</v>
      </c>
      <c r="C9872" s="7" t="s">
        <v>10</v>
      </c>
      <c r="D9872" s="7">
        <v>11702</v>
      </c>
      <c r="E9872" s="7" t="s">
        <v>28</v>
      </c>
      <c r="F9872" s="8" t="str">
        <f ca="1">IFERROR(__xludf.DUMMYFUNCTION("IF
(
C9873=""фізична особа""
,
VLOOKUP(D9873,IMPORTRANGE(""https://docs.google.com/spreadsheets/d/14Bd19lYaqBhU8_DElYkX7l4wRkHqqCUFNJY4AfY3kHU/edit?usp=sharing  #gid=0"",""фіз особи new!relations_name""),6,FALSE)
,
(IF
(
C9873=""юридична особа""
,
VLOOKUP"&amp;"(D9873,IMPORTRANGE(""https://docs.google.com/spreadsheets/d/14Bd19lYaqBhU8_DElYkX7l4wRkHqqCUFNJY4AfY3kHU/edit?usp=sharing  #gid=0"",""фіз особи new!relations_name_uo""),7,FALSE)
,
)
))"),"КУЗНЕЦОВ Олександр Ігорович")</f>
        <v>КУЗНЕЦОВ Олександр Ігорович</v>
      </c>
      <c r="G9872" s="7" t="s">
        <v>10</v>
      </c>
      <c r="H9872" s="7">
        <v>3028</v>
      </c>
      <c r="I9872" s="8" t="str">
        <f ca="1">IFERROR(__xludf.DUMMYFUNCTION("IF
(
G9873=""фізична особа""
,
VLOOKUP(H9873,IMPORTRANGE(""https://docs.google.com/spreadsheets/d/14Bd19lYaqBhU8_DElYkX7l4wRkHqqCUFNJY4AfY3kHU/edit?usp=sharing  #gid=0"",""фіз особи new!relations_name""),6,FALSE)
,
(IF
(
G9873=""юридична особа""
,
VLOOKUP"&amp;"(H9873,IMPORTRANGE(""https://docs.google.com/spreadsheets/d/14Bd19lYaqBhU8_DElYkX7l4wRkHqqCUFNJY4AfY3kHU/edit?usp=sharing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2" s="7" t="s">
        <v>29</v>
      </c>
    </row>
    <row r="9873" spans="1:10" ht="13.2">
      <c r="A9873" s="7">
        <v>9872</v>
      </c>
      <c r="B9873" s="7">
        <v>1</v>
      </c>
      <c r="C9873" s="7" t="s">
        <v>10</v>
      </c>
      <c r="D9873" s="7">
        <v>11703</v>
      </c>
      <c r="E9873" s="7" t="s">
        <v>28</v>
      </c>
      <c r="F9873" s="8" t="str">
        <f ca="1">IFERROR(__xludf.DUMMYFUNCTION("IF
(
C9874=""фізична особа""
,
VLOOKUP(D9874,IMPORTRANGE(""https://docs.google.com/spreadsheets/d/14Bd19lYaqBhU8_DElYkX7l4wRkHqqCUFNJY4AfY3kHU/edit?usp=sharing  #gid=0"",""фіз особи new!relations_name""),6,FALSE)
,
(IF
(
C9874=""юридична особа""
,
VLOOKUP"&amp;"(D9874,IMPORTRANGE(""https://docs.google.com/spreadsheets/d/14Bd19lYaqBhU8_DElYkX7l4wRkHqqCUFNJY4AfY3kHU/edit?usp=sharing  #gid=0"",""фіз особи new!relations_name_uo""),7,FALSE)
,
)
))"),"ІБРАГІМОВ Іса Магомед-Хабійович")</f>
        <v>ІБРАГІМОВ Іса Магомед-Хабійович</v>
      </c>
      <c r="G9873" s="7" t="s">
        <v>10</v>
      </c>
      <c r="H9873" s="7">
        <v>3028</v>
      </c>
      <c r="I9873" s="8" t="str">
        <f ca="1">IFERROR(__xludf.DUMMYFUNCTION("IF
(
G9874=""фізична особа""
,
VLOOKUP(H9874,IMPORTRANGE(""https://docs.google.com/spreadsheets/d/14Bd19lYaqBhU8_DElYkX7l4wRkHqqCUFNJY4AfY3kHU/edit?usp=sharing  #gid=0"",""фіз особи new!relations_name""),6,FALSE)
,
(IF
(
G9874=""юридична особа""
,
VLOOKUP"&amp;"(H9874,IMPORTRANGE(""https://docs.google.com/spreadsheets/d/14Bd19lYaqBhU8_DElYkX7l4wRkHqqCUFNJY4AfY3kHU/edit?usp=sharing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3" s="7" t="s">
        <v>29</v>
      </c>
    </row>
    <row r="9874" spans="1:10" ht="13.2">
      <c r="A9874" s="7">
        <v>9873</v>
      </c>
      <c r="B9874" s="7">
        <v>1</v>
      </c>
      <c r="C9874" s="7" t="s">
        <v>10</v>
      </c>
      <c r="D9874" s="7">
        <v>11704</v>
      </c>
      <c r="E9874" s="7" t="s">
        <v>28</v>
      </c>
      <c r="F9874" s="8" t="str">
        <f ca="1">IFERROR(__xludf.DUMMYFUNCTION("IF
(
C9875=""фізична особа""
,
VLOOKUP(D9875,IMPORTRANGE(""https://docs.google.com/spreadsheets/d/14Bd19lYaqBhU8_DElYkX7l4wRkHqqCUFNJY4AfY3kHU/edit?usp=sharing  #gid=0"",""фіз особи new!relations_name""),6,FALSE)
,
(IF
(
C9875=""юридична особа""
,
VLOOKUP"&amp;"(D9875,IMPORTRANGE(""https://docs.google.com/spreadsheets/d/14Bd19lYaqBhU8_DElYkX7l4wRkHqqCUFNJY4AfY3kHU/edit?usp=sharing  #gid=0"",""фіз особи new!relations_name_uo""),7,FALSE)
,
)
))"),"ТИХОМИРОВ Євгеній Анатолійович")</f>
        <v>ТИХОМИРОВ Євгеній Анатолійович</v>
      </c>
      <c r="G9874" s="7" t="s">
        <v>10</v>
      </c>
      <c r="H9874" s="7">
        <v>3028</v>
      </c>
      <c r="I9874" s="8" t="str">
        <f ca="1">IFERROR(__xludf.DUMMYFUNCTION("IF
(
G9875=""фізична особа""
,
VLOOKUP(H9875,IMPORTRANGE(""https://docs.google.com/spreadsheets/d/14Bd19lYaqBhU8_DElYkX7l4wRkHqqCUFNJY4AfY3kHU/edit?usp=sharing  #gid=0"",""фіз особи new!relations_name""),6,FALSE)
,
(IF
(
G9875=""юридична особа""
,
VLOOKUP"&amp;"(H9875,IMPORTRANGE(""https://docs.google.com/spreadsheets/d/14Bd19lYaqBhU8_DElYkX7l4wRkHqqCUFNJY4AfY3kHU/edit?usp=sharing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4" s="7" t="s">
        <v>29</v>
      </c>
    </row>
    <row r="9875" spans="1:10" ht="13.2">
      <c r="A9875" s="7">
        <v>9874</v>
      </c>
      <c r="B9875" s="7">
        <v>1</v>
      </c>
      <c r="C9875" s="7" t="s">
        <v>10</v>
      </c>
      <c r="D9875" s="7">
        <v>11705</v>
      </c>
      <c r="E9875" s="7" t="s">
        <v>28</v>
      </c>
      <c r="F9875" s="8" t="str">
        <f ca="1">IFERROR(__xludf.DUMMYFUNCTION("IF
(
C9876=""фізична особа""
,
VLOOKUP(D9876,IMPORTRANGE(""https://docs.google.com/spreadsheets/d/14Bd19lYaqBhU8_DElYkX7l4wRkHqqCUFNJY4AfY3kHU/edit?usp=sharing  #gid=0"",""фіз особи new!relations_name""),6,FALSE)
,
(IF
(
C9876=""юридична особа""
,
VLOOKUP"&amp;"(D9876,IMPORTRANGE(""https://docs.google.com/spreadsheets/d/14Bd19lYaqBhU8_DElYkX7l4wRkHqqCUFNJY4AfY3kHU/edit?usp=sharing  #gid=0"",""фіз особи new!relations_name_uo""),7,FALSE)
,
)
))"),"ШАМАЄВ Петро Віталійович")</f>
        <v>ШАМАЄВ Петро Віталійович</v>
      </c>
      <c r="G9875" s="7" t="s">
        <v>10</v>
      </c>
      <c r="H9875" s="7">
        <v>3028</v>
      </c>
      <c r="I9875" s="8" t="str">
        <f ca="1">IFERROR(__xludf.DUMMYFUNCTION("IF
(
G9876=""фізична особа""
,
VLOOKUP(H9876,IMPORTRANGE(""https://docs.google.com/spreadsheets/d/14Bd19lYaqBhU8_DElYkX7l4wRkHqqCUFNJY4AfY3kHU/edit?usp=sharing  #gid=0"",""фіз особи new!relations_name""),6,FALSE)
,
(IF
(
G9876=""юридична особа""
,
VLOOKUP"&amp;"(H9876,IMPORTRANGE(""https://docs.google.com/spreadsheets/d/14Bd19lYaqBhU8_DElYkX7l4wRkHqqCUFNJY4AfY3kHU/edit?usp=sharing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5" s="7" t="s">
        <v>29</v>
      </c>
    </row>
    <row r="9876" spans="1:10" ht="13.2">
      <c r="A9876" s="7">
        <v>9875</v>
      </c>
      <c r="B9876" s="7">
        <v>1</v>
      </c>
      <c r="C9876" s="7" t="s">
        <v>10</v>
      </c>
      <c r="D9876" s="7">
        <v>11706</v>
      </c>
      <c r="E9876" s="7" t="s">
        <v>28</v>
      </c>
      <c r="F9876" s="8" t="str">
        <f ca="1">IFERROR(__xludf.DUMMYFUNCTION("IF
(
C9877=""фізична особа""
,
VLOOKUP(D9877,IMPORTRANGE(""https://docs.google.com/spreadsheets/d/14Bd19lYaqBhU8_DElYkX7l4wRkHqqCUFNJY4AfY3kHU/edit?usp=sharing  #gid=0"",""фіз особи new!relations_name""),6,FALSE)
,
(IF
(
C9877=""юридична особа""
,
VLOOKUP"&amp;"(D9877,IMPORTRANGE(""https://docs.google.com/spreadsheets/d/14Bd19lYaqBhU8_DElYkX7l4wRkHqqCUFNJY4AfY3kHU/edit?usp=sharing  #gid=0"",""фіз особи new!relations_name_uo""),7,FALSE)
,
)
))"),"ХАЙРУЛЛІН Наїль Рафаїлович")</f>
        <v>ХАЙРУЛЛІН Наїль Рафаїлович</v>
      </c>
      <c r="G9876" s="7" t="s">
        <v>10</v>
      </c>
      <c r="H9876" s="7">
        <v>3028</v>
      </c>
      <c r="I9876" s="8" t="str">
        <f ca="1">IFERROR(__xludf.DUMMYFUNCTION("IF
(
G9877=""фізична особа""
,
VLOOKUP(H9877,IMPORTRANGE(""https://docs.google.com/spreadsheets/d/14Bd19lYaqBhU8_DElYkX7l4wRkHqqCUFNJY4AfY3kHU/edit?usp=sharing  #gid=0"",""фіз особи new!relations_name""),6,FALSE)
,
(IF
(
G9877=""юридична особа""
,
VLOOKUP"&amp;"(H9877,IMPORTRANGE(""https://docs.google.com/spreadsheets/d/14Bd19lYaqBhU8_DElYkX7l4wRkHqqCUFNJY4AfY3kHU/edit?usp=sharing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6" s="7" t="s">
        <v>29</v>
      </c>
    </row>
    <row r="9877" spans="1:10" ht="13.2">
      <c r="A9877" s="7">
        <v>9876</v>
      </c>
      <c r="B9877" s="7">
        <v>1</v>
      </c>
      <c r="C9877" s="7" t="s">
        <v>10</v>
      </c>
      <c r="D9877" s="7">
        <v>11707</v>
      </c>
      <c r="E9877" s="7" t="s">
        <v>28</v>
      </c>
      <c r="F9877" s="8" t="str">
        <f ca="1">IFERROR(__xludf.DUMMYFUNCTION("IF
(
C9878=""фізична особа""
,
VLOOKUP(D9878,IMPORTRANGE(""https://docs.google.com/spreadsheets/d/14Bd19lYaqBhU8_DElYkX7l4wRkHqqCUFNJY4AfY3kHU/edit?usp=sharing  #gid=0"",""фіз особи new!relations_name""),6,FALSE)
,
(IF
(
C9878=""юридична особа""
,
VLOOKUP"&amp;"(D9878,IMPORTRANGE(""https://docs.google.com/spreadsheets/d/14Bd19lYaqBhU8_DElYkX7l4wRkHqqCUFNJY4AfY3kHU/edit?usp=sharing  #gid=0"",""фіз особи new!relations_name_uo""),7,FALSE)
,
)
))"),"ТЮРГАНОВ Ілля Петрович")</f>
        <v>ТЮРГАНОВ Ілля Петрович</v>
      </c>
      <c r="G9877" s="7" t="s">
        <v>10</v>
      </c>
      <c r="H9877" s="7">
        <v>3028</v>
      </c>
      <c r="I9877" s="8" t="str">
        <f ca="1">IFERROR(__xludf.DUMMYFUNCTION("IF
(
G9878=""фізична особа""
,
VLOOKUP(H9878,IMPORTRANGE(""https://docs.google.com/spreadsheets/d/14Bd19lYaqBhU8_DElYkX7l4wRkHqqCUFNJY4AfY3kHU/edit?usp=sharing  #gid=0"",""фіз особи new!relations_name""),6,FALSE)
,
(IF
(
G9878=""юридична особа""
,
VLOOKUP"&amp;"(H9878,IMPORTRANGE(""https://docs.google.com/spreadsheets/d/14Bd19lYaqBhU8_DElYkX7l4wRkHqqCUFNJY4AfY3kHU/edit?usp=sharing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9877" s="7" t="s">
        <v>29</v>
      </c>
    </row>
    <row r="9878" spans="1:10" ht="13.2">
      <c r="A9878" s="7">
        <v>9877</v>
      </c>
      <c r="B9878" s="7">
        <v>1</v>
      </c>
      <c r="C9878" s="7" t="s">
        <v>10</v>
      </c>
      <c r="D9878" s="7">
        <v>11708</v>
      </c>
      <c r="E9878" s="7" t="s">
        <v>28</v>
      </c>
      <c r="F9878" s="8" t="str">
        <f ca="1">IFERROR(__xludf.DUMMYFUNCTION("IF
(
C9879=""фізична особа""
,
VLOOKUP(D9879,IMPORTRANGE(""https://docs.google.com/spreadsheets/d/14Bd19lYaqBhU8_DElYkX7l4wRkHqqCUFNJY4AfY3kHU/edit?usp=sharing  #gid=0"",""фіз особи new!relations_name""),6,FALSE)
,
(IF
(
C9879=""юридична особа""
,
VLOOKUP"&amp;"(D9879,IMPORTRANGE(""https://docs.google.com/spreadsheets/d/14Bd19lYaqBhU8_DElYkX7l4wRkHqqCUFNJY4AfY3kHU/edit?usp=sharing  #gid=0"",""фіз особи new!relations_name_uo""),7,FALSE)
,
)
))"),"ГАЛІЛЕЄВ Олександр Юрійович")</f>
        <v>ГАЛІЛЕЄВ Олександр Юрійович</v>
      </c>
      <c r="G9878" s="7" t="s">
        <v>10</v>
      </c>
      <c r="H9878" s="7">
        <v>1185</v>
      </c>
      <c r="I9878" s="8" t="str">
        <f ca="1">IFERROR(__xludf.DUMMYFUNCTION("IF
(
G9879=""фізична особа""
,
VLOOKUP(H9879,IMPORTRANGE(""https://docs.google.com/spreadsheets/d/14Bd19lYaqBhU8_DElYkX7l4wRkHqqCUFNJY4AfY3kHU/edit?usp=sharing  #gid=0"",""фіз особи new!relations_name""),6,FALSE)
,
(IF
(
G9879=""юридична особа""
,
VLOOKUP"&amp;"(H9879,IMPORTRANGE(""https://docs.google.com/spreadsheets/d/14Bd19lYaqBhU8_DElYkX7l4wRkHqqCUFNJY4AfY3kHU/edit?usp=sharing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78" s="7" t="s">
        <v>29</v>
      </c>
    </row>
    <row r="9879" spans="1:10" ht="13.2">
      <c r="A9879" s="7">
        <v>9878</v>
      </c>
      <c r="B9879" s="7">
        <v>1</v>
      </c>
      <c r="C9879" s="7" t="s">
        <v>10</v>
      </c>
      <c r="D9879" s="7">
        <v>11709</v>
      </c>
      <c r="E9879" s="7" t="s">
        <v>28</v>
      </c>
      <c r="F9879" s="8" t="str">
        <f ca="1">IFERROR(__xludf.DUMMYFUNCTION("IF
(
C9880=""фізична особа""
,
VLOOKUP(D9880,IMPORTRANGE(""https://docs.google.com/spreadsheets/d/14Bd19lYaqBhU8_DElYkX7l4wRkHqqCUFNJY4AfY3kHU/edit?usp=sharing  #gid=0"",""фіз особи new!relations_name""),6,FALSE)
,
(IF
(
C9880=""юридична особа""
,
VLOOKUP"&amp;"(D9880,IMPORTRANGE(""https://docs.google.com/spreadsheets/d/14Bd19lYaqBhU8_DElYkX7l4wRkHqqCUFNJY4AfY3kHU/edit?usp=sharing  #gid=0"",""фіз особи new!relations_name_uo""),7,FALSE)
,
)
))"),"ПЛОТНІКОВА Ірина Сергіївна")</f>
        <v>ПЛОТНІКОВА Ірина Сергіївна</v>
      </c>
      <c r="G9879" s="7" t="s">
        <v>10</v>
      </c>
      <c r="H9879" s="7">
        <v>1185</v>
      </c>
      <c r="I9879" s="8" t="str">
        <f ca="1">IFERROR(__xludf.DUMMYFUNCTION("IF
(
G9880=""фізична особа""
,
VLOOKUP(H9880,IMPORTRANGE(""https://docs.google.com/spreadsheets/d/14Bd19lYaqBhU8_DElYkX7l4wRkHqqCUFNJY4AfY3kHU/edit?usp=sharing  #gid=0"",""фіз особи new!relations_name""),6,FALSE)
,
(IF
(
G9880=""юридична особа""
,
VLOOKUP"&amp;"(H9880,IMPORTRANGE(""https://docs.google.com/spreadsheets/d/14Bd19lYaqBhU8_DElYkX7l4wRkHqqCUFNJY4AfY3kHU/edit?usp=sharing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79" s="7" t="s">
        <v>29</v>
      </c>
    </row>
    <row r="9880" spans="1:10" ht="13.2">
      <c r="A9880" s="7">
        <v>9879</v>
      </c>
      <c r="B9880" s="7">
        <v>1</v>
      </c>
      <c r="C9880" s="7" t="s">
        <v>10</v>
      </c>
      <c r="D9880" s="7">
        <v>11710</v>
      </c>
      <c r="E9880" s="7" t="s">
        <v>28</v>
      </c>
      <c r="F9880" s="8" t="str">
        <f ca="1">IFERROR(__xludf.DUMMYFUNCTION("IF
(
C9881=""фізична особа""
,
VLOOKUP(D9881,IMPORTRANGE(""https://docs.google.com/spreadsheets/d/14Bd19lYaqBhU8_DElYkX7l4wRkHqqCUFNJY4AfY3kHU/edit?usp=sharing  #gid=0"",""фіз особи new!relations_name""),6,FALSE)
,
(IF
(
C9881=""юридична особа""
,
VLOOKUP"&amp;"(D9881,IMPORTRANGE(""https://docs.google.com/spreadsheets/d/14Bd19lYaqBhU8_DElYkX7l4wRkHqqCUFNJY4AfY3kHU/edit?usp=sharing  #gid=0"",""фіз особи new!relations_name_uo""),7,FALSE)
,
)
))"),"КУШНЕРІК Марина Олексіївна")</f>
        <v>КУШНЕРІК Марина Олексіївна</v>
      </c>
      <c r="G9880" s="7" t="s">
        <v>10</v>
      </c>
      <c r="H9880" s="7">
        <v>1185</v>
      </c>
      <c r="I9880" s="8" t="str">
        <f ca="1">IFERROR(__xludf.DUMMYFUNCTION("IF
(
G9881=""фізична особа""
,
VLOOKUP(H9881,IMPORTRANGE(""https://docs.google.com/spreadsheets/d/14Bd19lYaqBhU8_DElYkX7l4wRkHqqCUFNJY4AfY3kHU/edit?usp=sharing  #gid=0"",""фіз особи new!relations_name""),6,FALSE)
,
(IF
(
G9881=""юридична особа""
,
VLOOKUP"&amp;"(H9881,IMPORTRANGE(""https://docs.google.com/spreadsheets/d/14Bd19lYaqBhU8_DElYkX7l4wRkHqqCUFNJY4AfY3kHU/edit?usp=sharing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0" s="7" t="s">
        <v>29</v>
      </c>
    </row>
    <row r="9881" spans="1:10" ht="13.2">
      <c r="A9881" s="7">
        <v>9880</v>
      </c>
      <c r="B9881" s="7">
        <v>1</v>
      </c>
      <c r="C9881" s="7" t="s">
        <v>10</v>
      </c>
      <c r="D9881" s="7">
        <v>11711</v>
      </c>
      <c r="E9881" s="7" t="s">
        <v>28</v>
      </c>
      <c r="F9881" s="8" t="str">
        <f ca="1">IFERROR(__xludf.DUMMYFUNCTION("IF
(
C9882=""фізична особа""
,
VLOOKUP(D9882,IMPORTRANGE(""https://docs.google.com/spreadsheets/d/14Bd19lYaqBhU8_DElYkX7l4wRkHqqCUFNJY4AfY3kHU/edit?usp=sharing  #gid=0"",""фіз особи new!relations_name""),6,FALSE)
,
(IF
(
C9882=""юридична особа""
,
VLOOKUP"&amp;"(D9882,IMPORTRANGE(""https://docs.google.com/spreadsheets/d/14Bd19lYaqBhU8_DElYkX7l4wRkHqqCUFNJY4AfY3kHU/edit?usp=sharing  #gid=0"",""фіз особи new!relations_name_uo""),7,FALSE)
,
)
))"),"АРБУЗОВ Ігор Леонідович")</f>
        <v>АРБУЗОВ Ігор Леонідович</v>
      </c>
      <c r="G9881" s="7" t="s">
        <v>10</v>
      </c>
      <c r="H9881" s="7">
        <v>1185</v>
      </c>
      <c r="I9881" s="8" t="str">
        <f ca="1">IFERROR(__xludf.DUMMYFUNCTION("IF
(
G9882=""фізична особа""
,
VLOOKUP(H9882,IMPORTRANGE(""https://docs.google.com/spreadsheets/d/14Bd19lYaqBhU8_DElYkX7l4wRkHqqCUFNJY4AfY3kHU/edit?usp=sharing  #gid=0"",""фіз особи new!relations_name""),6,FALSE)
,
(IF
(
G9882=""юридична особа""
,
VLOOKUP"&amp;"(H9882,IMPORTRANGE(""https://docs.google.com/spreadsheets/d/14Bd19lYaqBhU8_DElYkX7l4wRkHqqCUFNJY4AfY3kHU/edit?usp=sharing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1" s="7" t="s">
        <v>29</v>
      </c>
    </row>
    <row r="9882" spans="1:10" ht="13.2">
      <c r="A9882" s="7">
        <v>9881</v>
      </c>
      <c r="B9882" s="7">
        <v>1</v>
      </c>
      <c r="C9882" s="7" t="s">
        <v>10</v>
      </c>
      <c r="D9882" s="7">
        <v>11712</v>
      </c>
      <c r="E9882" s="7" t="s">
        <v>28</v>
      </c>
      <c r="F9882" s="8" t="str">
        <f ca="1">IFERROR(__xludf.DUMMYFUNCTION("IF
(
C9883=""фізична особа""
,
VLOOKUP(D9883,IMPORTRANGE(""https://docs.google.com/spreadsheets/d/14Bd19lYaqBhU8_DElYkX7l4wRkHqqCUFNJY4AfY3kHU/edit?usp=sharing  #gid=0"",""фіз особи new!relations_name""),6,FALSE)
,
(IF
(
C9883=""юридична особа""
,
VLOOKUP"&amp;"(D9883,IMPORTRANGE(""https://docs.google.com/spreadsheets/d/14Bd19lYaqBhU8_DElYkX7l4wRkHqqCUFNJY4AfY3kHU/edit?usp=sharing  #gid=0"",""фіз особи new!relations_name_uo""),7,FALSE)
,
)
))"),"АСТРАХАНОВ Дмитро Юрійович")</f>
        <v>АСТРАХАНОВ Дмитро Юрійович</v>
      </c>
      <c r="G9882" s="7" t="s">
        <v>10</v>
      </c>
      <c r="H9882" s="7">
        <v>1185</v>
      </c>
      <c r="I9882" s="8" t="str">
        <f ca="1">IFERROR(__xludf.DUMMYFUNCTION("IF
(
G9883=""фізична особа""
,
VLOOKUP(H9883,IMPORTRANGE(""https://docs.google.com/spreadsheets/d/14Bd19lYaqBhU8_DElYkX7l4wRkHqqCUFNJY4AfY3kHU/edit?usp=sharing  #gid=0"",""фіз особи new!relations_name""),6,FALSE)
,
(IF
(
G9883=""юридична особа""
,
VLOOKUP"&amp;"(H9883,IMPORTRANGE(""https://docs.google.com/spreadsheets/d/14Bd19lYaqBhU8_DElYkX7l4wRkHqqCUFNJY4AfY3kHU/edit?usp=sharing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2" s="7" t="s">
        <v>29</v>
      </c>
    </row>
    <row r="9883" spans="1:10" ht="13.2">
      <c r="A9883" s="7">
        <v>9882</v>
      </c>
      <c r="B9883" s="7">
        <v>1</v>
      </c>
      <c r="C9883" s="7" t="s">
        <v>10</v>
      </c>
      <c r="D9883" s="7">
        <v>11713</v>
      </c>
      <c r="E9883" s="7" t="s">
        <v>28</v>
      </c>
      <c r="F9883" s="8" t="str">
        <f ca="1">IFERROR(__xludf.DUMMYFUNCTION("IF
(
C9884=""фізична особа""
,
VLOOKUP(D9884,IMPORTRANGE(""https://docs.google.com/spreadsheets/d/14Bd19lYaqBhU8_DElYkX7l4wRkHqqCUFNJY4AfY3kHU/edit?usp=sharing  #gid=0"",""фіз особи new!relations_name""),6,FALSE)
,
(IF
(
C9884=""юридична особа""
,
VLOOKUP"&amp;"(D9884,IMPORTRANGE(""https://docs.google.com/spreadsheets/d/14Bd19lYaqBhU8_DElYkX7l4wRkHqqCUFNJY4AfY3kHU/edit?usp=sharing  #gid=0"",""фіз особи new!relations_name_uo""),7,FALSE)
,
)
))"),"МИНКІНА Наталія Володимирівна")</f>
        <v>МИНКІНА Наталія Володимирівна</v>
      </c>
      <c r="G9883" s="7" t="s">
        <v>10</v>
      </c>
      <c r="H9883" s="7">
        <v>1185</v>
      </c>
      <c r="I9883" s="8" t="str">
        <f ca="1">IFERROR(__xludf.DUMMYFUNCTION("IF
(
G9884=""фізична особа""
,
VLOOKUP(H9884,IMPORTRANGE(""https://docs.google.com/spreadsheets/d/14Bd19lYaqBhU8_DElYkX7l4wRkHqqCUFNJY4AfY3kHU/edit?usp=sharing  #gid=0"",""фіз особи new!relations_name""),6,FALSE)
,
(IF
(
G9884=""юридична особа""
,
VLOOKUP"&amp;"(H9884,IMPORTRANGE(""https://docs.google.com/spreadsheets/d/14Bd19lYaqBhU8_DElYkX7l4wRkHqqCUFNJY4AfY3kHU/edit?usp=sharing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3" s="7" t="s">
        <v>29</v>
      </c>
    </row>
    <row r="9884" spans="1:10" ht="13.2">
      <c r="A9884" s="7">
        <v>9883</v>
      </c>
      <c r="B9884" s="7">
        <v>1</v>
      </c>
      <c r="C9884" s="7" t="s">
        <v>10</v>
      </c>
      <c r="D9884" s="7">
        <v>11714</v>
      </c>
      <c r="E9884" s="7" t="s">
        <v>28</v>
      </c>
      <c r="F9884" s="8" t="str">
        <f ca="1">IFERROR(__xludf.DUMMYFUNCTION("IF
(
C9885=""фізична особа""
,
VLOOKUP(D9885,IMPORTRANGE(""https://docs.google.com/spreadsheets/d/14Bd19lYaqBhU8_DElYkX7l4wRkHqqCUFNJY4AfY3kHU/edit?usp=sharing  #gid=0"",""фіз особи new!relations_name""),6,FALSE)
,
(IF
(
C9885=""юридична особа""
,
VLOOKUP"&amp;"(D9885,IMPORTRANGE(""https://docs.google.com/spreadsheets/d/14Bd19lYaqBhU8_DElYkX7l4wRkHqqCUFNJY4AfY3kHU/edit?usp=sharing  #gid=0"",""фіз особи new!relations_name_uo""),7,FALSE)
,
)
))"),"НЕСТЕРУК Олександр Васильович")</f>
        <v>НЕСТЕРУК Олександр Васильович</v>
      </c>
      <c r="G9884" s="7" t="s">
        <v>10</v>
      </c>
      <c r="H9884" s="7">
        <v>3042</v>
      </c>
      <c r="I9884" s="8" t="str">
        <f ca="1">IFERROR(__xludf.DUMMYFUNCTION("IF
(
G9885=""фізична особа""
,
VLOOKUP(H9885,IMPORTRANGE(""https://docs.google.com/spreadsheets/d/14Bd19lYaqBhU8_DElYkX7l4wRkHqqCUFNJY4AfY3kHU/edit?usp=sharing  #gid=0"",""фіз особи new!relations_name""),6,FALSE)
,
(IF
(
G9885=""юридична особа""
,
VLOOKUP"&amp;"(H9885,IMPORTRANGE(""https://docs.google.com/spreadsheets/d/14Bd19lYaqBhU8_DElYkX7l4wRkHqqCUFNJY4AfY3kHU/edit?usp=sharing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884" s="7" t="s">
        <v>29</v>
      </c>
    </row>
    <row r="9885" spans="1:10" ht="13.2">
      <c r="A9885" s="7">
        <v>9884</v>
      </c>
      <c r="B9885" s="7">
        <v>1</v>
      </c>
      <c r="C9885" s="7" t="s">
        <v>10</v>
      </c>
      <c r="D9885" s="7">
        <v>11715</v>
      </c>
      <c r="E9885" s="7" t="s">
        <v>28</v>
      </c>
      <c r="F9885" s="8" t="str">
        <f ca="1">IFERROR(__xludf.DUMMYFUNCTION("IF
(
C9886=""фізична особа""
,
VLOOKUP(D9886,IMPORTRANGE(""https://docs.google.com/spreadsheets/d/14Bd19lYaqBhU8_DElYkX7l4wRkHqqCUFNJY4AfY3kHU/edit?usp=sharing  #gid=0"",""фіз особи new!relations_name""),6,FALSE)
,
(IF
(
C9886=""юридична особа""
,
VLOOKUP"&amp;"(D9886,IMPORTRANGE(""https://docs.google.com/spreadsheets/d/14Bd19lYaqBhU8_DElYkX7l4wRkHqqCUFNJY4AfY3kHU/edit?usp=sharing  #gid=0"",""фіз особи new!relations_name_uo""),7,FALSE)
,
)
))"),"ПОПОВ Андрій Павлович")</f>
        <v>ПОПОВ Андрій Павлович</v>
      </c>
      <c r="G9885" s="7" t="s">
        <v>10</v>
      </c>
      <c r="H9885" s="7">
        <v>1185</v>
      </c>
      <c r="I9885" s="8" t="str">
        <f ca="1">IFERROR(__xludf.DUMMYFUNCTION("IF
(
G9886=""фізична особа""
,
VLOOKUP(H9886,IMPORTRANGE(""https://docs.google.com/spreadsheets/d/14Bd19lYaqBhU8_DElYkX7l4wRkHqqCUFNJY4AfY3kHU/edit?usp=sharing  #gid=0"",""фіз особи new!relations_name""),6,FALSE)
,
(IF
(
G9886=""юридична особа""
,
VLOOKUP"&amp;"(H9886,IMPORTRANGE(""https://docs.google.com/spreadsheets/d/14Bd19lYaqBhU8_DElYkX7l4wRkHqqCUFNJY4AfY3kHU/edit?usp=sharing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5" s="7" t="s">
        <v>29</v>
      </c>
    </row>
    <row r="9886" spans="1:10" ht="13.2">
      <c r="A9886" s="7">
        <v>9885</v>
      </c>
      <c r="B9886" s="7">
        <v>1</v>
      </c>
      <c r="C9886" s="7" t="s">
        <v>10</v>
      </c>
      <c r="D9886" s="7">
        <v>11716</v>
      </c>
      <c r="E9886" s="7" t="s">
        <v>28</v>
      </c>
      <c r="F9886" s="8" t="str">
        <f ca="1">IFERROR(__xludf.DUMMYFUNCTION("IF
(
C9887=""фізична особа""
,
VLOOKUP(D9887,IMPORTRANGE(""https://docs.google.com/spreadsheets/d/14Bd19lYaqBhU8_DElYkX7l4wRkHqqCUFNJY4AfY3kHU/edit?usp=sharing  #gid=0"",""фіз особи new!relations_name""),6,FALSE)
,
(IF
(
C9887=""юридична особа""
,
VLOOKUP"&amp;"(D9887,IMPORTRANGE(""https://docs.google.com/spreadsheets/d/14Bd19lYaqBhU8_DElYkX7l4wRkHqqCUFNJY4AfY3kHU/edit?usp=sharing  #gid=0"",""фіз особи new!relations_name_uo""),7,FALSE)
,
)
))"),"РАТМАНОВ Михаил Александрович")</f>
        <v>РАТМАНОВ Михаил Александрович</v>
      </c>
      <c r="G9886" s="7" t="s">
        <v>10</v>
      </c>
      <c r="H9886" s="7">
        <v>1185</v>
      </c>
      <c r="I9886" s="8" t="str">
        <f ca="1">IFERROR(__xludf.DUMMYFUNCTION("IF
(
G9887=""фізична особа""
,
VLOOKUP(H9887,IMPORTRANGE(""https://docs.google.com/spreadsheets/d/14Bd19lYaqBhU8_DElYkX7l4wRkHqqCUFNJY4AfY3kHU/edit?usp=sharing  #gid=0"",""фіз особи new!relations_name""),6,FALSE)
,
(IF
(
G9887=""юридична особа""
,
VLOOKUP"&amp;"(H9887,IMPORTRANGE(""https://docs.google.com/spreadsheets/d/14Bd19lYaqBhU8_DElYkX7l4wRkHqqCUFNJY4AfY3kHU/edit?usp=sharing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6" s="7" t="s">
        <v>29</v>
      </c>
    </row>
    <row r="9887" spans="1:10" ht="13.2">
      <c r="A9887" s="7">
        <v>9886</v>
      </c>
      <c r="B9887" s="7">
        <v>1</v>
      </c>
      <c r="C9887" s="7" t="s">
        <v>10</v>
      </c>
      <c r="D9887" s="7">
        <v>11717</v>
      </c>
      <c r="E9887" s="7" t="s">
        <v>28</v>
      </c>
      <c r="F9887" s="8" t="str">
        <f ca="1">IFERROR(__xludf.DUMMYFUNCTION("IF
(
C9888=""фізична особа""
,
VLOOKUP(D9888,IMPORTRANGE(""https://docs.google.com/spreadsheets/d/14Bd19lYaqBhU8_DElYkX7l4wRkHqqCUFNJY4AfY3kHU/edit?usp=sharing  #gid=0"",""фіз особи new!relations_name""),6,FALSE)
,
(IF
(
C9888=""юридична особа""
,
VLOOKUP"&amp;"(D9888,IMPORTRANGE(""https://docs.google.com/spreadsheets/d/14Bd19lYaqBhU8_DElYkX7l4wRkHqqCUFNJY4AfY3kHU/edit?usp=sharing  #gid=0"",""фіз особи new!relations_name_uo""),7,FALSE)
,
)
))"),"ПУШКІНА Тетяна Анатоліївна")</f>
        <v>ПУШКІНА Тетяна Анатоліївна</v>
      </c>
      <c r="G9887" s="7" t="s">
        <v>10</v>
      </c>
      <c r="H9887" s="7">
        <v>1185</v>
      </c>
      <c r="I9887" s="8" t="str">
        <f ca="1">IFERROR(__xludf.DUMMYFUNCTION("IF
(
G9888=""фізична особа""
,
VLOOKUP(H9888,IMPORTRANGE(""https://docs.google.com/spreadsheets/d/14Bd19lYaqBhU8_DElYkX7l4wRkHqqCUFNJY4AfY3kHU/edit?usp=sharing  #gid=0"",""фіз особи new!relations_name""),6,FALSE)
,
(IF
(
G9888=""юридична особа""
,
VLOOKUP"&amp;"(H9888,IMPORTRANGE(""https://docs.google.com/spreadsheets/d/14Bd19lYaqBhU8_DElYkX7l4wRkHqqCUFNJY4AfY3kHU/edit?usp=sharing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87" s="7" t="s">
        <v>29</v>
      </c>
    </row>
    <row r="9888" spans="1:10" ht="13.2">
      <c r="A9888" s="7">
        <v>9887</v>
      </c>
      <c r="B9888" s="7">
        <v>1</v>
      </c>
      <c r="C9888" s="7" t="s">
        <v>10</v>
      </c>
      <c r="D9888" s="7">
        <v>11718</v>
      </c>
      <c r="E9888" s="7" t="s">
        <v>28</v>
      </c>
      <c r="F9888" s="8" t="str">
        <f ca="1">IFERROR(__xludf.DUMMYFUNCTION("IF
(
C9889=""фізична особа""
,
VLOOKUP(D9889,IMPORTRANGE(""https://docs.google.com/spreadsheets/d/14Bd19lYaqBhU8_DElYkX7l4wRkHqqCUFNJY4AfY3kHU/edit?usp=sharing  #gid=0"",""фіз особи new!relations_name""),6,FALSE)
,
(IF
(
C9889=""юридична особа""
,
VLOOKUP"&amp;"(D9889,IMPORTRANGE(""https://docs.google.com/spreadsheets/d/14Bd19lYaqBhU8_DElYkX7l4wRkHqqCUFNJY4AfY3kHU/edit?usp=sharing  #gid=0"",""фіз особи new!relations_name_uo""),7,FALSE)
,
)
))"),"ТІМОШКОВ Сергій Миколайович")</f>
        <v>ТІМОШКОВ Сергій Миколайович</v>
      </c>
      <c r="G9888" s="7" t="s">
        <v>10</v>
      </c>
      <c r="H9888" s="7">
        <v>3062</v>
      </c>
      <c r="I9888" s="8" t="str">
        <f ca="1">IFERROR(__xludf.DUMMYFUNCTION("IF
(
G9889=""фізична особа""
,
VLOOKUP(H9889,IMPORTRANGE(""https://docs.google.com/spreadsheets/d/14Bd19lYaqBhU8_DElYkX7l4wRkHqqCUFNJY4AfY3kHU/edit?usp=sharing  #gid=0"",""фіз особи new!relations_name""),6,FALSE)
,
(IF
(
G9889=""юридична особа""
,
VLOOKUP"&amp;"(H9889,IMPORTRANGE(""https://docs.google.com/spreadsheets/d/14Bd19lYaqBhU8_DElYkX7l4wRkHqqCUFNJY4AfY3kHU/edit?usp=sharing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88" s="7" t="s">
        <v>29</v>
      </c>
    </row>
    <row r="9889" spans="1:10" ht="13.2">
      <c r="A9889" s="7">
        <v>9888</v>
      </c>
      <c r="B9889" s="7">
        <v>1</v>
      </c>
      <c r="C9889" s="7" t="s">
        <v>10</v>
      </c>
      <c r="D9889" s="7">
        <v>11719</v>
      </c>
      <c r="E9889" s="7" t="s">
        <v>28</v>
      </c>
      <c r="F9889" s="8" t="str">
        <f ca="1">IFERROR(__xludf.DUMMYFUNCTION("IF
(
C9890=""фізична особа""
,
VLOOKUP(D9890,IMPORTRANGE(""https://docs.google.com/spreadsheets/d/14Bd19lYaqBhU8_DElYkX7l4wRkHqqCUFNJY4AfY3kHU/edit?usp=sharing  #gid=0"",""фіз особи new!relations_name""),6,FALSE)
,
(IF
(
C9890=""юридична особа""
,
VLOOKUP"&amp;"(D9890,IMPORTRANGE(""https://docs.google.com/spreadsheets/d/14Bd19lYaqBhU8_DElYkX7l4wRkHqqCUFNJY4AfY3kHU/edit?usp=sharing  #gid=0"",""фіз особи new!relations_name_uo""),7,FALSE)
,
)
))"),"ДЖАФАРОВ Шаміль Агарагимович")</f>
        <v>ДЖАФАРОВ Шаміль Агарагимович</v>
      </c>
      <c r="G9889" s="7" t="s">
        <v>10</v>
      </c>
      <c r="H9889" s="7">
        <v>3062</v>
      </c>
      <c r="I9889" s="8" t="str">
        <f ca="1">IFERROR(__xludf.DUMMYFUNCTION("IF
(
G9890=""фізична особа""
,
VLOOKUP(H9890,IMPORTRANGE(""https://docs.google.com/spreadsheets/d/14Bd19lYaqBhU8_DElYkX7l4wRkHqqCUFNJY4AfY3kHU/edit?usp=sharing  #gid=0"",""фіз особи new!relations_name""),6,FALSE)
,
(IF
(
G9890=""юридична особа""
,
VLOOKUP"&amp;"(H9890,IMPORTRANGE(""https://docs.google.com/spreadsheets/d/14Bd19lYaqBhU8_DElYkX7l4wRkHqqCUFNJY4AfY3kHU/edit?usp=sharing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89" s="7" t="s">
        <v>29</v>
      </c>
    </row>
    <row r="9890" spans="1:10" ht="13.2">
      <c r="A9890" s="7">
        <v>9889</v>
      </c>
      <c r="B9890" s="7">
        <v>1</v>
      </c>
      <c r="C9890" s="7" t="s">
        <v>10</v>
      </c>
      <c r="D9890" s="7">
        <v>11720</v>
      </c>
      <c r="E9890" s="7" t="s">
        <v>28</v>
      </c>
      <c r="F9890" s="8" t="str">
        <f ca="1">IFERROR(__xludf.DUMMYFUNCTION("IF
(
C9891=""фізична особа""
,
VLOOKUP(D9891,IMPORTRANGE(""https://docs.google.com/spreadsheets/d/14Bd19lYaqBhU8_DElYkX7l4wRkHqqCUFNJY4AfY3kHU/edit?usp=sharing  #gid=0"",""фіз особи new!relations_name""),6,FALSE)
,
(IF
(
C9891=""юридична особа""
,
VLOOKUP"&amp;"(D9891,IMPORTRANGE(""https://docs.google.com/spreadsheets/d/14Bd19lYaqBhU8_DElYkX7l4wRkHqqCUFNJY4AfY3kHU/edit?usp=sharing  #gid=0"",""фіз особи new!relations_name_uo""),7,FALSE)
,
)
))"),"КУЛАКОВ Микола Віталійович")</f>
        <v>КУЛАКОВ Микола Віталійович</v>
      </c>
      <c r="G9890" s="7" t="s">
        <v>10</v>
      </c>
      <c r="H9890" s="7">
        <v>3062</v>
      </c>
      <c r="I9890" s="8" t="str">
        <f ca="1">IFERROR(__xludf.DUMMYFUNCTION("IF
(
G9891=""фізична особа""
,
VLOOKUP(H9891,IMPORTRANGE(""https://docs.google.com/spreadsheets/d/14Bd19lYaqBhU8_DElYkX7l4wRkHqqCUFNJY4AfY3kHU/edit?usp=sharing  #gid=0"",""фіз особи new!relations_name""),6,FALSE)
,
(IF
(
G9891=""юридична особа""
,
VLOOKUP"&amp;"(H9891,IMPORTRANGE(""https://docs.google.com/spreadsheets/d/14Bd19lYaqBhU8_DElYkX7l4wRkHqqCUFNJY4AfY3kHU/edit?usp=sharing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0" s="7" t="s">
        <v>29</v>
      </c>
    </row>
    <row r="9891" spans="1:10" ht="13.2">
      <c r="A9891" s="7">
        <v>9890</v>
      </c>
      <c r="B9891" s="7">
        <v>1</v>
      </c>
      <c r="C9891" s="7" t="s">
        <v>10</v>
      </c>
      <c r="D9891" s="7">
        <v>11721</v>
      </c>
      <c r="E9891" s="7" t="s">
        <v>28</v>
      </c>
      <c r="F9891" s="8" t="str">
        <f ca="1">IFERROR(__xludf.DUMMYFUNCTION("IF
(
C9892=""фізична особа""
,
VLOOKUP(D9892,IMPORTRANGE(""https://docs.google.com/spreadsheets/d/14Bd19lYaqBhU8_DElYkX7l4wRkHqqCUFNJY4AfY3kHU/edit?usp=sharing  #gid=0"",""фіз особи new!relations_name""),6,FALSE)
,
(IF
(
C9892=""юридична особа""
,
VLOOKUP"&amp;"(D9892,IMPORTRANGE(""https://docs.google.com/spreadsheets/d/14Bd19lYaqBhU8_DElYkX7l4wRkHqqCUFNJY4AfY3kHU/edit?usp=sharing  #gid=0"",""фіз особи new!relations_name_uo""),7,FALSE)
,
)
))"),"МАКОВОЗ Алефтіна Миколаївна")</f>
        <v>МАКОВОЗ Алефтіна Миколаївна</v>
      </c>
      <c r="G9891" s="7" t="s">
        <v>10</v>
      </c>
      <c r="H9891" s="7">
        <v>3062</v>
      </c>
      <c r="I9891" s="8" t="str">
        <f ca="1">IFERROR(__xludf.DUMMYFUNCTION("IF
(
G9892=""фізична особа""
,
VLOOKUP(H9892,IMPORTRANGE(""https://docs.google.com/spreadsheets/d/14Bd19lYaqBhU8_DElYkX7l4wRkHqqCUFNJY4AfY3kHU/edit?usp=sharing  #gid=0"",""фіз особи new!relations_name""),6,FALSE)
,
(IF
(
G9892=""юридична особа""
,
VLOOKUP"&amp;"(H9892,IMPORTRANGE(""https://docs.google.com/spreadsheets/d/14Bd19lYaqBhU8_DElYkX7l4wRkHqqCUFNJY4AfY3kHU/edit?usp=sharing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1" s="7" t="s">
        <v>29</v>
      </c>
    </row>
    <row r="9892" spans="1:10" ht="13.2">
      <c r="A9892" s="7">
        <v>9891</v>
      </c>
      <c r="B9892" s="7">
        <v>1</v>
      </c>
      <c r="C9892" s="7" t="s">
        <v>10</v>
      </c>
      <c r="D9892" s="7">
        <v>11722</v>
      </c>
      <c r="E9892" s="7" t="s">
        <v>28</v>
      </c>
      <c r="F9892" s="8" t="str">
        <f ca="1">IFERROR(__xludf.DUMMYFUNCTION("IF
(
C9893=""фізична особа""
,
VLOOKUP(D9893,IMPORTRANGE(""https://docs.google.com/spreadsheets/d/14Bd19lYaqBhU8_DElYkX7l4wRkHqqCUFNJY4AfY3kHU/edit?usp=sharing  #gid=0"",""фіз особи new!relations_name""),6,FALSE)
,
(IF
(
C9893=""юридична особа""
,
VLOOKUP"&amp;"(D9893,IMPORTRANGE(""https://docs.google.com/spreadsheets/d/14Bd19lYaqBhU8_DElYkX7l4wRkHqqCUFNJY4AfY3kHU/edit?usp=sharing  #gid=0"",""фіз особи new!relations_name_uo""),7,FALSE)
,
)
))"),"ХАЙКІН Сергій Романович")</f>
        <v>ХАЙКІН Сергій Романович</v>
      </c>
      <c r="G9892" s="7" t="s">
        <v>10</v>
      </c>
      <c r="H9892" s="7">
        <v>3062</v>
      </c>
      <c r="I9892" s="8" t="str">
        <f ca="1">IFERROR(__xludf.DUMMYFUNCTION("IF
(
G9893=""фізична особа""
,
VLOOKUP(H9893,IMPORTRANGE(""https://docs.google.com/spreadsheets/d/14Bd19lYaqBhU8_DElYkX7l4wRkHqqCUFNJY4AfY3kHU/edit?usp=sharing  #gid=0"",""фіз особи new!relations_name""),6,FALSE)
,
(IF
(
G9893=""юридична особа""
,
VLOOKUP"&amp;"(H9893,IMPORTRANGE(""https://docs.google.com/spreadsheets/d/14Bd19lYaqBhU8_DElYkX7l4wRkHqqCUFNJY4AfY3kHU/edit?usp=sharing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2" s="7" t="s">
        <v>29</v>
      </c>
    </row>
    <row r="9893" spans="1:10" ht="13.2">
      <c r="A9893" s="7">
        <v>9892</v>
      </c>
      <c r="B9893" s="7">
        <v>1</v>
      </c>
      <c r="C9893" s="7" t="s">
        <v>10</v>
      </c>
      <c r="D9893" s="7">
        <v>11723</v>
      </c>
      <c r="E9893" s="7" t="s">
        <v>28</v>
      </c>
      <c r="F9893" s="8" t="str">
        <f ca="1">IFERROR(__xludf.DUMMYFUNCTION("IF
(
C9894=""фізична особа""
,
VLOOKUP(D9894,IMPORTRANGE(""https://docs.google.com/spreadsheets/d/14Bd19lYaqBhU8_DElYkX7l4wRkHqqCUFNJY4AfY3kHU/edit?usp=sharing  #gid=0"",""фіз особи new!relations_name""),6,FALSE)
,
(IF
(
C9894=""юридична особа""
,
VLOOKUP"&amp;"(D9894,IMPORTRANGE(""https://docs.google.com/spreadsheets/d/14Bd19lYaqBhU8_DElYkX7l4wRkHqqCUFNJY4AfY3kHU/edit?usp=sharing  #gid=0"",""фіз особи new!relations_name_uo""),7,FALSE)
,
)
))"),"ЛЕДЕНЄВА Вікторія Юріївна")</f>
        <v>ЛЕДЕНЄВА Вікторія Юріївна</v>
      </c>
      <c r="G9893" s="7" t="s">
        <v>10</v>
      </c>
      <c r="H9893" s="7">
        <v>3062</v>
      </c>
      <c r="I9893" s="8" t="str">
        <f ca="1">IFERROR(__xludf.DUMMYFUNCTION("IF
(
G9894=""фізична особа""
,
VLOOKUP(H9894,IMPORTRANGE(""https://docs.google.com/spreadsheets/d/14Bd19lYaqBhU8_DElYkX7l4wRkHqqCUFNJY4AfY3kHU/edit?usp=sharing  #gid=0"",""фіз особи new!relations_name""),6,FALSE)
,
(IF
(
G9894=""юридична особа""
,
VLOOKUP"&amp;"(H9894,IMPORTRANGE(""https://docs.google.com/spreadsheets/d/14Bd19lYaqBhU8_DElYkX7l4wRkHqqCUFNJY4AfY3kHU/edit?usp=sharing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3" s="7" t="s">
        <v>29</v>
      </c>
    </row>
    <row r="9894" spans="1:10" ht="13.2">
      <c r="A9894" s="7">
        <v>9893</v>
      </c>
      <c r="B9894" s="7">
        <v>1</v>
      </c>
      <c r="C9894" s="7" t="s">
        <v>10</v>
      </c>
      <c r="D9894" s="7">
        <v>11724</v>
      </c>
      <c r="E9894" s="7" t="s">
        <v>28</v>
      </c>
      <c r="F9894" s="8" t="str">
        <f ca="1">IFERROR(__xludf.DUMMYFUNCTION("IF
(
C9895=""фізична особа""
,
VLOOKUP(D9895,IMPORTRANGE(""https://docs.google.com/spreadsheets/d/14Bd19lYaqBhU8_DElYkX7l4wRkHqqCUFNJY4AfY3kHU/edit?usp=sharing  #gid=0"",""фіз особи new!relations_name""),6,FALSE)
,
(IF
(
C9895=""юридична особа""
,
VLOOKUP"&amp;"(D9895,IMPORTRANGE(""https://docs.google.com/spreadsheets/d/14Bd19lYaqBhU8_DElYkX7l4wRkHqqCUFNJY4AfY3kHU/edit?usp=sharing  #gid=0"",""фіз особи new!relations_name_uo""),7,FALSE)
,
)
))"),"ВЛАСОВ Іван Андрійович")</f>
        <v>ВЛАСОВ Іван Андрійович</v>
      </c>
      <c r="G9894" s="7" t="s">
        <v>10</v>
      </c>
      <c r="H9894" s="7">
        <v>3062</v>
      </c>
      <c r="I9894" s="8" t="str">
        <f ca="1">IFERROR(__xludf.DUMMYFUNCTION("IF
(
G9895=""фізична особа""
,
VLOOKUP(H9895,IMPORTRANGE(""https://docs.google.com/spreadsheets/d/14Bd19lYaqBhU8_DElYkX7l4wRkHqqCUFNJY4AfY3kHU/edit?usp=sharing  #gid=0"",""фіз особи new!relations_name""),6,FALSE)
,
(IF
(
G9895=""юридична особа""
,
VLOOKUP"&amp;"(H9895,IMPORTRANGE(""https://docs.google.com/spreadsheets/d/14Bd19lYaqBhU8_DElYkX7l4wRkHqqCUFNJY4AfY3kHU/edit?usp=sharing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4" s="7" t="s">
        <v>29</v>
      </c>
    </row>
    <row r="9895" spans="1:10" ht="13.2">
      <c r="A9895" s="7">
        <v>9894</v>
      </c>
      <c r="B9895" s="7">
        <v>1</v>
      </c>
      <c r="C9895" s="7" t="s">
        <v>10</v>
      </c>
      <c r="D9895" s="7">
        <v>11725</v>
      </c>
      <c r="E9895" s="7" t="s">
        <v>28</v>
      </c>
      <c r="F9895" s="8" t="str">
        <f ca="1">IFERROR(__xludf.DUMMYFUNCTION("IF
(
C9896=""фізична особа""
,
VLOOKUP(D9896,IMPORTRANGE(""https://docs.google.com/spreadsheets/d/14Bd19lYaqBhU8_DElYkX7l4wRkHqqCUFNJY4AfY3kHU/edit?usp=sharing  #gid=0"",""фіз особи new!relations_name""),6,FALSE)
,
(IF
(
C9896=""юридична особа""
,
VLOOKUP"&amp;"(D9896,IMPORTRANGE(""https://docs.google.com/spreadsheets/d/14Bd19lYaqBhU8_DElYkX7l4wRkHqqCUFNJY4AfY3kHU/edit?usp=sharing  #gid=0"",""фіз особи new!relations_name_uo""),7,FALSE)
,
)
))"),"БЕРНОВСЬКА Анастасія Михайлівна")</f>
        <v>БЕРНОВСЬКА Анастасія Михайлівна</v>
      </c>
      <c r="G9895" s="7" t="s">
        <v>10</v>
      </c>
      <c r="H9895" s="7">
        <v>3062</v>
      </c>
      <c r="I9895" s="8" t="str">
        <f ca="1">IFERROR(__xludf.DUMMYFUNCTION("IF
(
G9896=""фізична особа""
,
VLOOKUP(H9896,IMPORTRANGE(""https://docs.google.com/spreadsheets/d/14Bd19lYaqBhU8_DElYkX7l4wRkHqqCUFNJY4AfY3kHU/edit?usp=sharing  #gid=0"",""фіз особи new!relations_name""),6,FALSE)
,
(IF
(
G9896=""юридична особа""
,
VLOOKUP"&amp;"(H9896,IMPORTRANGE(""https://docs.google.com/spreadsheets/d/14Bd19lYaqBhU8_DElYkX7l4wRkHqqCUFNJY4AfY3kHU/edit?usp=sharing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5" s="7" t="s">
        <v>29</v>
      </c>
    </row>
    <row r="9896" spans="1:10" ht="13.2">
      <c r="A9896" s="7">
        <v>9895</v>
      </c>
      <c r="B9896" s="7">
        <v>1</v>
      </c>
      <c r="C9896" s="7" t="s">
        <v>10</v>
      </c>
      <c r="D9896" s="7">
        <v>11726</v>
      </c>
      <c r="E9896" s="7" t="s">
        <v>28</v>
      </c>
      <c r="F9896" s="8" t="str">
        <f ca="1">IFERROR(__xludf.DUMMYFUNCTION("IF
(
C9897=""фізична особа""
,
VLOOKUP(D9897,IMPORTRANGE(""https://docs.google.com/spreadsheets/d/14Bd19lYaqBhU8_DElYkX7l4wRkHqqCUFNJY4AfY3kHU/edit?usp=sharing  #gid=0"",""фіз особи new!relations_name""),6,FALSE)
,
(IF
(
C9897=""юридична особа""
,
VLOOKUP"&amp;"(D9897,IMPORTRANGE(""https://docs.google.com/spreadsheets/d/14Bd19lYaqBhU8_DElYkX7l4wRkHqqCUFNJY4AfY3kHU/edit?usp=sharing  #gid=0"",""фіз особи new!relations_name_uo""),7,FALSE)
,
)
))"),"ЦИБІКОВ Тимур Гомбожапович")</f>
        <v>ЦИБІКОВ Тимур Гомбожапович</v>
      </c>
      <c r="G9896" s="7" t="s">
        <v>10</v>
      </c>
      <c r="H9896" s="7">
        <v>3062</v>
      </c>
      <c r="I9896" s="8" t="str">
        <f ca="1">IFERROR(__xludf.DUMMYFUNCTION("IF
(
G9897=""фізична особа""
,
VLOOKUP(H9897,IMPORTRANGE(""https://docs.google.com/spreadsheets/d/14Bd19lYaqBhU8_DElYkX7l4wRkHqqCUFNJY4AfY3kHU/edit?usp=sharing  #gid=0"",""фіз особи new!relations_name""),6,FALSE)
,
(IF
(
G9897=""юридична особа""
,
VLOOKUP"&amp;"(H9897,IMPORTRANGE(""https://docs.google.com/spreadsheets/d/14Bd19lYaqBhU8_DElYkX7l4wRkHqqCUFNJY4AfY3kHU/edit?usp=sharing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6" s="7" t="s">
        <v>29</v>
      </c>
    </row>
    <row r="9897" spans="1:10" ht="13.2">
      <c r="A9897" s="7">
        <v>9896</v>
      </c>
      <c r="B9897" s="7">
        <v>1</v>
      </c>
      <c r="C9897" s="7" t="s">
        <v>10</v>
      </c>
      <c r="D9897" s="7">
        <v>11727</v>
      </c>
      <c r="E9897" s="7" t="s">
        <v>28</v>
      </c>
      <c r="F9897" s="8" t="str">
        <f ca="1">IFERROR(__xludf.DUMMYFUNCTION("IF
(
C9898=""фізична особа""
,
VLOOKUP(D9898,IMPORTRANGE(""https://docs.google.com/spreadsheets/d/14Bd19lYaqBhU8_DElYkX7l4wRkHqqCUFNJY4AfY3kHU/edit?usp=sharing  #gid=0"",""фіз особи new!relations_name""),6,FALSE)
,
(IF
(
C9898=""юридична особа""
,
VLOOKUP"&amp;"(D9898,IMPORTRANGE(""https://docs.google.com/spreadsheets/d/14Bd19lYaqBhU8_DElYkX7l4wRkHqqCUFNJY4AfY3kHU/edit?usp=sharing  #gid=0"",""фіз особи new!relations_name_uo""),7,FALSE)
,
)
))"),"ПОЛЕЖАЄВ Євгеній Владиславович")</f>
        <v>ПОЛЕЖАЄВ Євгеній Владиславович</v>
      </c>
      <c r="G9897" s="7" t="s">
        <v>10</v>
      </c>
      <c r="H9897" s="7">
        <v>3062</v>
      </c>
      <c r="I9897" s="8" t="str">
        <f ca="1">IFERROR(__xludf.DUMMYFUNCTION("IF
(
G9898=""фізична особа""
,
VLOOKUP(H9898,IMPORTRANGE(""https://docs.google.com/spreadsheets/d/14Bd19lYaqBhU8_DElYkX7l4wRkHqqCUFNJY4AfY3kHU/edit?usp=sharing  #gid=0"",""фіз особи new!relations_name""),6,FALSE)
,
(IF
(
G9898=""юридична особа""
,
VLOOKUP"&amp;"(H9898,IMPORTRANGE(""https://docs.google.com/spreadsheets/d/14Bd19lYaqBhU8_DElYkX7l4wRkHqqCUFNJY4AfY3kHU/edit?usp=sharing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7" s="7" t="s">
        <v>29</v>
      </c>
    </row>
    <row r="9898" spans="1:10" ht="13.2">
      <c r="A9898" s="7">
        <v>9897</v>
      </c>
      <c r="B9898" s="7">
        <v>1</v>
      </c>
      <c r="C9898" s="7" t="s">
        <v>10</v>
      </c>
      <c r="D9898" s="7">
        <v>11728</v>
      </c>
      <c r="E9898" s="7" t="s">
        <v>28</v>
      </c>
      <c r="F9898" s="8" t="str">
        <f ca="1">IFERROR(__xludf.DUMMYFUNCTION("IF
(
C9899=""фізична особа""
,
VLOOKUP(D9899,IMPORTRANGE(""https://docs.google.com/spreadsheets/d/14Bd19lYaqBhU8_DElYkX7l4wRkHqqCUFNJY4AfY3kHU/edit?usp=sharing  #gid=0"",""фіз особи new!relations_name""),6,FALSE)
,
(IF
(
C9899=""юридична особа""
,
VLOOKUP"&amp;"(D9899,IMPORTRANGE(""https://docs.google.com/spreadsheets/d/14Bd19lYaqBhU8_DElYkX7l4wRkHqqCUFNJY4AfY3kHU/edit?usp=sharing  #gid=0"",""фіз особи new!relations_name_uo""),7,FALSE)
,
)
))"),"БУЛАТОВ Абдулгамід Османович")</f>
        <v>БУЛАТОВ Абдулгамід Османович</v>
      </c>
      <c r="G9898" s="7" t="s">
        <v>10</v>
      </c>
      <c r="H9898" s="7">
        <v>3062</v>
      </c>
      <c r="I9898" s="8" t="str">
        <f ca="1">IFERROR(__xludf.DUMMYFUNCTION("IF
(
G9899=""фізична особа""
,
VLOOKUP(H9899,IMPORTRANGE(""https://docs.google.com/spreadsheets/d/14Bd19lYaqBhU8_DElYkX7l4wRkHqqCUFNJY4AfY3kHU/edit?usp=sharing  #gid=0"",""фіз особи new!relations_name""),6,FALSE)
,
(IF
(
G9899=""юридична особа""
,
VLOOKUP"&amp;"(H9899,IMPORTRANGE(""https://docs.google.com/spreadsheets/d/14Bd19lYaqBhU8_DElYkX7l4wRkHqqCUFNJY4AfY3kHU/edit?usp=sharing  #gid=0"",""фіз особи new!relations_name_uo""),7,FALSE)
,
)
))"),"БАРИНОВ Ігор В'ячеславович")</f>
        <v>БАРИНОВ Ігор В'ячеславович</v>
      </c>
      <c r="J9898" s="7" t="s">
        <v>29</v>
      </c>
    </row>
    <row r="9899" spans="1:10" ht="13.2">
      <c r="A9899" s="7">
        <v>9898</v>
      </c>
      <c r="B9899" s="7">
        <v>1</v>
      </c>
      <c r="C9899" s="7" t="s">
        <v>10</v>
      </c>
      <c r="D9899" s="7">
        <v>11729</v>
      </c>
      <c r="E9899" s="7" t="s">
        <v>28</v>
      </c>
      <c r="F9899" s="8" t="str">
        <f ca="1">IFERROR(__xludf.DUMMYFUNCTION("IF
(
C9900=""фізична особа""
,
VLOOKUP(D9900,IMPORTRANGE(""https://docs.google.com/spreadsheets/d/14Bd19lYaqBhU8_DElYkX7l4wRkHqqCUFNJY4AfY3kHU/edit?usp=sharing  #gid=0"",""фіз особи new!relations_name""),6,FALSE)
,
(IF
(
C9900=""юридична особа""
,
VLOOKUP"&amp;"(D9900,IMPORTRANGE(""https://docs.google.com/spreadsheets/d/14Bd19lYaqBhU8_DElYkX7l4wRkHqqCUFNJY4AfY3kHU/edit?usp=sharing  #gid=0"",""фіз особи new!relations_name_uo""),7,FALSE)
,
)
))"),"КОЗЛОВ Сергій Іванович")</f>
        <v>КОЗЛОВ Сергій Іванович</v>
      </c>
      <c r="G9899" s="7" t="s">
        <v>10</v>
      </c>
      <c r="H9899" s="7">
        <v>1185</v>
      </c>
      <c r="I9899" s="8" t="str">
        <f ca="1">IFERROR(__xludf.DUMMYFUNCTION("IF
(
G9900=""фізична особа""
,
VLOOKUP(H9900,IMPORTRANGE(""https://docs.google.com/spreadsheets/d/14Bd19lYaqBhU8_DElYkX7l4wRkHqqCUFNJY4AfY3kHU/edit?usp=sharing  #gid=0"",""фіз особи new!relations_name""),6,FALSE)
,
(IF
(
G9900=""юридична особа""
,
VLOOKUP"&amp;"(H9900,IMPORTRANGE(""https://docs.google.com/spreadsheets/d/14Bd19lYaqBhU8_DElYkX7l4wRkHqqCUFNJY4AfY3kHU/edit?usp=sharing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899" s="7" t="s">
        <v>29</v>
      </c>
    </row>
    <row r="9900" spans="1:10" ht="13.2">
      <c r="A9900" s="7">
        <v>9899</v>
      </c>
      <c r="B9900" s="7">
        <v>1</v>
      </c>
      <c r="C9900" s="7" t="s">
        <v>10</v>
      </c>
      <c r="D9900" s="7">
        <v>11730</v>
      </c>
      <c r="E9900" s="7" t="s">
        <v>28</v>
      </c>
      <c r="F9900" s="8" t="str">
        <f ca="1">IFERROR(__xludf.DUMMYFUNCTION("IF
(
C9901=""фізична особа""
,
VLOOKUP(D9901,IMPORTRANGE(""https://docs.google.com/spreadsheets/d/14Bd19lYaqBhU8_DElYkX7l4wRkHqqCUFNJY4AfY3kHU/edit?usp=sharing  #gid=0"",""фіз особи new!relations_name""),6,FALSE)
,
(IF
(
C9901=""юридична особа""
,
VLOOKUP"&amp;"(D9901,IMPORTRANGE(""https://docs.google.com/spreadsheets/d/14Bd19lYaqBhU8_DElYkX7l4wRkHqqCUFNJY4AfY3kHU/edit?usp=sharing  #gid=0"",""фіз особи new!relations_name_uo""),7,FALSE)
,
)
))"),"ЩЕРБАТОВ Олександр Федорович")</f>
        <v>ЩЕРБАТОВ Олександр Федорович</v>
      </c>
      <c r="G9900" s="7" t="s">
        <v>10</v>
      </c>
      <c r="H9900" s="7">
        <v>3042</v>
      </c>
      <c r="I9900" s="8" t="str">
        <f ca="1">IFERROR(__xludf.DUMMYFUNCTION("IF
(
G9901=""фізична особа""
,
VLOOKUP(H9901,IMPORTRANGE(""https://docs.google.com/spreadsheets/d/14Bd19lYaqBhU8_DElYkX7l4wRkHqqCUFNJY4AfY3kHU/edit?usp=sharing  #gid=0"",""фіз особи new!relations_name""),6,FALSE)
,
(IF
(
G9901=""юридична особа""
,
VLOOKUP"&amp;"(H9901,IMPORTRANGE(""https://docs.google.com/spreadsheets/d/14Bd19lYaqBhU8_DElYkX7l4wRkHqqCUFNJY4AfY3kHU/edit?usp=sharing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0" s="7" t="s">
        <v>29</v>
      </c>
    </row>
    <row r="9901" spans="1:10" ht="13.2">
      <c r="A9901" s="7">
        <v>9900</v>
      </c>
      <c r="B9901" s="7">
        <v>1</v>
      </c>
      <c r="C9901" s="7" t="s">
        <v>10</v>
      </c>
      <c r="D9901" s="7">
        <v>11731</v>
      </c>
      <c r="E9901" s="7" t="s">
        <v>28</v>
      </c>
      <c r="F9901" s="8" t="str">
        <f ca="1">IFERROR(__xludf.DUMMYFUNCTION("IF
(
C9902=""фізична особа""
,
VLOOKUP(D9902,IMPORTRANGE(""https://docs.google.com/spreadsheets/d/14Bd19lYaqBhU8_DElYkX7l4wRkHqqCUFNJY4AfY3kHU/edit?usp=sharing  #gid=0"",""фіз особи new!relations_name""),6,FALSE)
,
(IF
(
C9902=""юридична особа""
,
VLOOKUP"&amp;"(D9902,IMPORTRANGE(""https://docs.google.com/spreadsheets/d/14Bd19lYaqBhU8_DElYkX7l4wRkHqqCUFNJY4AfY3kHU/edit?usp=sharing  #gid=0"",""фіз особи new!relations_name_uo""),7,FALSE)
,
)
))"),"САЛЧАК Людмила Кимівна")</f>
        <v>САЛЧАК Людмила Кимівна</v>
      </c>
      <c r="G9901" s="7" t="s">
        <v>10</v>
      </c>
      <c r="H9901" s="7">
        <v>3042</v>
      </c>
      <c r="I9901" s="8" t="str">
        <f ca="1">IFERROR(__xludf.DUMMYFUNCTION("IF
(
G9902=""фізична особа""
,
VLOOKUP(H9902,IMPORTRANGE(""https://docs.google.com/spreadsheets/d/14Bd19lYaqBhU8_DElYkX7l4wRkHqqCUFNJY4AfY3kHU/edit?usp=sharing  #gid=0"",""фіз особи new!relations_name""),6,FALSE)
,
(IF
(
G9902=""юридична особа""
,
VLOOKUP"&amp;"(H9902,IMPORTRANGE(""https://docs.google.com/spreadsheets/d/14Bd19lYaqBhU8_DElYkX7l4wRkHqqCUFNJY4AfY3kHU/edit?usp=sharing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1" s="7" t="s">
        <v>29</v>
      </c>
    </row>
    <row r="9902" spans="1:10" ht="13.2">
      <c r="A9902" s="7">
        <v>9901</v>
      </c>
      <c r="B9902" s="7">
        <v>1</v>
      </c>
      <c r="C9902" s="7" t="s">
        <v>10</v>
      </c>
      <c r="D9902" s="7">
        <v>11732</v>
      </c>
      <c r="E9902" s="7" t="s">
        <v>28</v>
      </c>
      <c r="F9902" s="8" t="str">
        <f ca="1">IFERROR(__xludf.DUMMYFUNCTION("IF
(
C9903=""фізична особа""
,
VLOOKUP(D9903,IMPORTRANGE(""https://docs.google.com/spreadsheets/d/14Bd19lYaqBhU8_DElYkX7l4wRkHqqCUFNJY4AfY3kHU/edit?usp=sharing  #gid=0"",""фіз особи new!relations_name""),6,FALSE)
,
(IF
(
C9903=""юридична особа""
,
VLOOKUP"&amp;"(D9903,IMPORTRANGE(""https://docs.google.com/spreadsheets/d/14Bd19lYaqBhU8_DElYkX7l4wRkHqqCUFNJY4AfY3kHU/edit?usp=sharing  #gid=0"",""фіз особи new!relations_name_uo""),7,FALSE)
,
)
))"),"КОПИЛОВ Павло Вікторович")</f>
        <v>КОПИЛОВ Павло Вікторович</v>
      </c>
      <c r="G9902" s="7" t="s">
        <v>10</v>
      </c>
      <c r="H9902" s="7">
        <v>3042</v>
      </c>
      <c r="I9902" s="8" t="str">
        <f ca="1">IFERROR(__xludf.DUMMYFUNCTION("IF
(
G9903=""фізична особа""
,
VLOOKUP(H9903,IMPORTRANGE(""https://docs.google.com/spreadsheets/d/14Bd19lYaqBhU8_DElYkX7l4wRkHqqCUFNJY4AfY3kHU/edit?usp=sharing  #gid=0"",""фіз особи new!relations_name""),6,FALSE)
,
(IF
(
G9903=""юридична особа""
,
VLOOKUP"&amp;"(H9903,IMPORTRANGE(""https://docs.google.com/spreadsheets/d/14Bd19lYaqBhU8_DElYkX7l4wRkHqqCUFNJY4AfY3kHU/edit?usp=sharing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2" s="7" t="s">
        <v>29</v>
      </c>
    </row>
    <row r="9903" spans="1:10" ht="13.2">
      <c r="A9903" s="7">
        <v>9902</v>
      </c>
      <c r="B9903" s="7">
        <v>1</v>
      </c>
      <c r="C9903" s="7" t="s">
        <v>10</v>
      </c>
      <c r="D9903" s="7">
        <v>11733</v>
      </c>
      <c r="E9903" s="7" t="s">
        <v>28</v>
      </c>
      <c r="F9903" s="8" t="str">
        <f ca="1">IFERROR(__xludf.DUMMYFUNCTION("IF
(
C9904=""фізична особа""
,
VLOOKUP(D9904,IMPORTRANGE(""https://docs.google.com/spreadsheets/d/14Bd19lYaqBhU8_DElYkX7l4wRkHqqCUFNJY4AfY3kHU/edit?usp=sharing  #gid=0"",""фіз особи new!relations_name""),6,FALSE)
,
(IF
(
C9904=""юридична особа""
,
VLOOKUP"&amp;"(D9904,IMPORTRANGE(""https://docs.google.com/spreadsheets/d/14Bd19lYaqBhU8_DElYkX7l4wRkHqqCUFNJY4AfY3kHU/edit?usp=sharing  #gid=0"",""фіз особи new!relations_name_uo""),7,FALSE)
,
)
))"),"ГОСПОДАРІК Яна Миколаївна")</f>
        <v>ГОСПОДАРІК Яна Миколаївна</v>
      </c>
      <c r="G9903" s="7" t="s">
        <v>10</v>
      </c>
      <c r="H9903" s="7">
        <v>3042</v>
      </c>
      <c r="I9903" s="8" t="str">
        <f ca="1">IFERROR(__xludf.DUMMYFUNCTION("IF
(
G9904=""фізична особа""
,
VLOOKUP(H9904,IMPORTRANGE(""https://docs.google.com/spreadsheets/d/14Bd19lYaqBhU8_DElYkX7l4wRkHqqCUFNJY4AfY3kHU/edit?usp=sharing  #gid=0"",""фіз особи new!relations_name""),6,FALSE)
,
(IF
(
G9904=""юридична особа""
,
VLOOKUP"&amp;"(H9904,IMPORTRANGE(""https://docs.google.com/spreadsheets/d/14Bd19lYaqBhU8_DElYkX7l4wRkHqqCUFNJY4AfY3kHU/edit?usp=sharing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3" s="7" t="s">
        <v>29</v>
      </c>
    </row>
    <row r="9904" spans="1:10" ht="13.2">
      <c r="A9904" s="7">
        <v>9903</v>
      </c>
      <c r="B9904" s="7">
        <v>1</v>
      </c>
      <c r="C9904" s="7" t="s">
        <v>10</v>
      </c>
      <c r="D9904" s="7">
        <v>11734</v>
      </c>
      <c r="E9904" s="7" t="s">
        <v>28</v>
      </c>
      <c r="F9904" s="8" t="str">
        <f ca="1">IFERROR(__xludf.DUMMYFUNCTION("IF
(
C9905=""фізична особа""
,
VLOOKUP(D9905,IMPORTRANGE(""https://docs.google.com/spreadsheets/d/14Bd19lYaqBhU8_DElYkX7l4wRkHqqCUFNJY4AfY3kHU/edit?usp=sharing  #gid=0"",""фіз особи new!relations_name""),6,FALSE)
,
(IF
(
C9905=""юридична особа""
,
VLOOKUP"&amp;"(D9905,IMPORTRANGE(""https://docs.google.com/spreadsheets/d/14Bd19lYaqBhU8_DElYkX7l4wRkHqqCUFNJY4AfY3kHU/edit?usp=sharing  #gid=0"",""фіз особи new!relations_name_uo""),7,FALSE)
,
)
))"),"КОРСУНСЬКА Світлана Аркадіївна")</f>
        <v>КОРСУНСЬКА Світлана Аркадіївна</v>
      </c>
      <c r="G9904" s="7" t="s">
        <v>10</v>
      </c>
      <c r="H9904" s="7">
        <v>3042</v>
      </c>
      <c r="I9904" s="8" t="str">
        <f ca="1">IFERROR(__xludf.DUMMYFUNCTION("IF
(
G9905=""фізична особа""
,
VLOOKUP(H9905,IMPORTRANGE(""https://docs.google.com/spreadsheets/d/14Bd19lYaqBhU8_DElYkX7l4wRkHqqCUFNJY4AfY3kHU/edit?usp=sharing  #gid=0"",""фіз особи new!relations_name""),6,FALSE)
,
(IF
(
G9905=""юридична особа""
,
VLOOKUP"&amp;"(H9905,IMPORTRANGE(""https://docs.google.com/spreadsheets/d/14Bd19lYaqBhU8_DElYkX7l4wRkHqqCUFNJY4AfY3kHU/edit?usp=sharing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4" s="7" t="s">
        <v>29</v>
      </c>
    </row>
    <row r="9905" spans="1:10" ht="13.2">
      <c r="A9905" s="7">
        <v>9904</v>
      </c>
      <c r="B9905" s="7">
        <v>1</v>
      </c>
      <c r="C9905" s="7" t="s">
        <v>10</v>
      </c>
      <c r="D9905" s="7">
        <v>11735</v>
      </c>
      <c r="E9905" s="7" t="s">
        <v>28</v>
      </c>
      <c r="F9905" s="8" t="str">
        <f ca="1">IFERROR(__xludf.DUMMYFUNCTION("IF
(
C9906=""фізична особа""
,
VLOOKUP(D9906,IMPORTRANGE(""https://docs.google.com/spreadsheets/d/14Bd19lYaqBhU8_DElYkX7l4wRkHqqCUFNJY4AfY3kHU/edit?usp=sharing  #gid=0"",""фіз особи new!relations_name""),6,FALSE)
,
(IF
(
C9906=""юридична особа""
,
VLOOKUP"&amp;"(D9906,IMPORTRANGE(""https://docs.google.com/spreadsheets/d/14Bd19lYaqBhU8_DElYkX7l4wRkHqqCUFNJY4AfY3kHU/edit?usp=sharing  #gid=0"",""фіз особи new!relations_name_uo""),7,FALSE)
,
)
))"),"СЕМЕНІХІН Антон Вікторович")</f>
        <v>СЕМЕНІХІН Антон Вікторович</v>
      </c>
      <c r="G9905" s="7" t="s">
        <v>10</v>
      </c>
      <c r="H9905" s="7">
        <v>3042</v>
      </c>
      <c r="I9905" s="8" t="str">
        <f ca="1">IFERROR(__xludf.DUMMYFUNCTION("IF
(
G9906=""фізична особа""
,
VLOOKUP(H9906,IMPORTRANGE(""https://docs.google.com/spreadsheets/d/14Bd19lYaqBhU8_DElYkX7l4wRkHqqCUFNJY4AfY3kHU/edit?usp=sharing  #gid=0"",""фіз особи new!relations_name""),6,FALSE)
,
(IF
(
G9906=""юридична особа""
,
VLOOKUP"&amp;"(H9906,IMPORTRANGE(""https://docs.google.com/spreadsheets/d/14Bd19lYaqBhU8_DElYkX7l4wRkHqqCUFNJY4AfY3kHU/edit?usp=sharing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5" s="7" t="s">
        <v>29</v>
      </c>
    </row>
    <row r="9906" spans="1:10" ht="13.2">
      <c r="A9906" s="7">
        <v>9905</v>
      </c>
      <c r="B9906" s="7">
        <v>1</v>
      </c>
      <c r="C9906" s="7" t="s">
        <v>10</v>
      </c>
      <c r="D9906" s="7">
        <v>11736</v>
      </c>
      <c r="E9906" s="7" t="s">
        <v>28</v>
      </c>
      <c r="F9906" s="8" t="str">
        <f ca="1">IFERROR(__xludf.DUMMYFUNCTION("IF
(
C9907=""фізична особа""
,
VLOOKUP(D9907,IMPORTRANGE(""https://docs.google.com/spreadsheets/d/14Bd19lYaqBhU8_DElYkX7l4wRkHqqCUFNJY4AfY3kHU/edit?usp=sharing  #gid=0"",""фіз особи new!relations_name""),6,FALSE)
,
(IF
(
C9907=""юридична особа""
,
VLOOKUP"&amp;"(D9907,IMPORTRANGE(""https://docs.google.com/spreadsheets/d/14Bd19lYaqBhU8_DElYkX7l4wRkHqqCUFNJY4AfY3kHU/edit?usp=sharing  #gid=0"",""фіз особи new!relations_name_uo""),7,FALSE)
,
)
))"),"ЗАВГОРОДНІЙ Сергій Олександрович")</f>
        <v>ЗАВГОРОДНІЙ Сергій Олександрович</v>
      </c>
      <c r="G9906" s="7" t="s">
        <v>10</v>
      </c>
      <c r="H9906" s="7">
        <v>3042</v>
      </c>
      <c r="I9906" s="8" t="str">
        <f ca="1">IFERROR(__xludf.DUMMYFUNCTION("IF
(
G9907=""фізична особа""
,
VLOOKUP(H9907,IMPORTRANGE(""https://docs.google.com/spreadsheets/d/14Bd19lYaqBhU8_DElYkX7l4wRkHqqCUFNJY4AfY3kHU/edit?usp=sharing  #gid=0"",""фіз особи new!relations_name""),6,FALSE)
,
(IF
(
G9907=""юридична особа""
,
VLOOKUP"&amp;"(H9907,IMPORTRANGE(""https://docs.google.com/spreadsheets/d/14Bd19lYaqBhU8_DElYkX7l4wRkHqqCUFNJY4AfY3kHU/edit?usp=sharing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6" s="7" t="s">
        <v>29</v>
      </c>
    </row>
    <row r="9907" spans="1:10" ht="13.2">
      <c r="A9907" s="7">
        <v>9906</v>
      </c>
      <c r="B9907" s="7">
        <v>1</v>
      </c>
      <c r="C9907" s="7" t="s">
        <v>10</v>
      </c>
      <c r="D9907" s="7">
        <v>11737</v>
      </c>
      <c r="E9907" s="7" t="s">
        <v>28</v>
      </c>
      <c r="F9907" s="8" t="str">
        <f ca="1">IFERROR(__xludf.DUMMYFUNCTION("IF
(
C9908=""фізична особа""
,
VLOOKUP(D9908,IMPORTRANGE(""https://docs.google.com/spreadsheets/d/14Bd19lYaqBhU8_DElYkX7l4wRkHqqCUFNJY4AfY3kHU/edit?usp=sharing  #gid=0"",""фіз особи new!relations_name""),6,FALSE)
,
(IF
(
C9908=""юридична особа""
,
VLOOKUP"&amp;"(D9908,IMPORTRANGE(""https://docs.google.com/spreadsheets/d/14Bd19lYaqBhU8_DElYkX7l4wRkHqqCUFNJY4AfY3kHU/edit?usp=sharing  #gid=0"",""фіз особи new!relations_name_uo""),7,FALSE)
,
)
))"),"ХАРИТОНОВА Тетяна Петрівна")</f>
        <v>ХАРИТОНОВА Тетяна Петрівна</v>
      </c>
      <c r="G9907" s="7" t="s">
        <v>10</v>
      </c>
      <c r="H9907" s="7">
        <v>3042</v>
      </c>
      <c r="I9907" s="8" t="str">
        <f ca="1">IFERROR(__xludf.DUMMYFUNCTION("IF
(
G9908=""фізична особа""
,
VLOOKUP(H9908,IMPORTRANGE(""https://docs.google.com/spreadsheets/d/14Bd19lYaqBhU8_DElYkX7l4wRkHqqCUFNJY4AfY3kHU/edit?usp=sharing  #gid=0"",""фіз особи new!relations_name""),6,FALSE)
,
(IF
(
G9908=""юридична особа""
,
VLOOKUP"&amp;"(H9908,IMPORTRANGE(""https://docs.google.com/spreadsheets/d/14Bd19lYaqBhU8_DElYkX7l4wRkHqqCUFNJY4AfY3kHU/edit?usp=sharing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07" s="7" t="s">
        <v>29</v>
      </c>
    </row>
    <row r="9908" spans="1:10" ht="13.2">
      <c r="A9908" s="7">
        <v>9907</v>
      </c>
      <c r="B9908" s="7">
        <v>1</v>
      </c>
      <c r="C9908" s="7" t="s">
        <v>10</v>
      </c>
      <c r="D9908" s="7">
        <v>11738</v>
      </c>
      <c r="E9908" s="7" t="s">
        <v>28</v>
      </c>
      <c r="F9908" s="8" t="str">
        <f ca="1">IFERROR(__xludf.DUMMYFUNCTION("IF
(
C9909=""фізична особа""
,
VLOOKUP(D9909,IMPORTRANGE(""https://docs.google.com/spreadsheets/d/14Bd19lYaqBhU8_DElYkX7l4wRkHqqCUFNJY4AfY3kHU/edit?usp=sharing  #gid=0"",""фіз особи new!relations_name""),6,FALSE)
,
(IF
(
C9909=""юридична особа""
,
VLOOKUP"&amp;"(D9909,IMPORTRANGE(""https://docs.google.com/spreadsheets/d/14Bd19lYaqBhU8_DElYkX7l4wRkHqqCUFNJY4AfY3kHU/edit?usp=sharing  #gid=0"",""фіз особи new!relations_name_uo""),7,FALSE)
,
)
))"),"КРЮЧКО Дар'я Сергіївна")</f>
        <v>КРЮЧКО Дар'я Сергіївна</v>
      </c>
      <c r="G9908" s="7" t="s">
        <v>10</v>
      </c>
      <c r="H9908" s="7">
        <v>1185</v>
      </c>
      <c r="I9908" s="8" t="str">
        <f ca="1">IFERROR(__xludf.DUMMYFUNCTION("IF
(
G9909=""фізична особа""
,
VLOOKUP(H9909,IMPORTRANGE(""https://docs.google.com/spreadsheets/d/14Bd19lYaqBhU8_DElYkX7l4wRkHqqCUFNJY4AfY3kHU/edit?usp=sharing  #gid=0"",""фіз особи new!relations_name""),6,FALSE)
,
(IF
(
G9909=""юридична особа""
,
VLOOKUP"&amp;"(H9909,IMPORTRANGE(""https://docs.google.com/spreadsheets/d/14Bd19lYaqBhU8_DElYkX7l4wRkHqqCUFNJY4AfY3kHU/edit?usp=sharing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08" s="7" t="s">
        <v>29</v>
      </c>
    </row>
    <row r="9909" spans="1:10" ht="13.2">
      <c r="A9909" s="7">
        <v>9908</v>
      </c>
      <c r="B9909" s="7">
        <v>1</v>
      </c>
      <c r="C9909" s="7" t="s">
        <v>10</v>
      </c>
      <c r="D9909" s="7">
        <v>11739</v>
      </c>
      <c r="E9909" s="7" t="s">
        <v>28</v>
      </c>
      <c r="F9909" s="8" t="str">
        <f ca="1">IFERROR(__xludf.DUMMYFUNCTION("IF
(
C9910=""фізична особа""
,
VLOOKUP(D9910,IMPORTRANGE(""https://docs.google.com/spreadsheets/d/14Bd19lYaqBhU8_DElYkX7l4wRkHqqCUFNJY4AfY3kHU/edit?usp=sharing  #gid=0"",""фіз особи new!relations_name""),6,FALSE)
,
(IF
(
C9910=""юридична особа""
,
VLOOKUP"&amp;"(D9910,IMPORTRANGE(""https://docs.google.com/spreadsheets/d/14Bd19lYaqBhU8_DElYkX7l4wRkHqqCUFNJY4AfY3kHU/edit?usp=sharing  #gid=0"",""фіз особи new!relations_name_uo""),7,FALSE)
,
)
))"),"ЕЙХЛЕР Ольга Валеріївна")</f>
        <v>ЕЙХЛЕР Ольга Валеріївна</v>
      </c>
      <c r="G9909" s="7" t="s">
        <v>10</v>
      </c>
      <c r="H9909" s="7">
        <v>1185</v>
      </c>
      <c r="I9909" s="8" t="str">
        <f ca="1">IFERROR(__xludf.DUMMYFUNCTION("IF
(
G9910=""фізична особа""
,
VLOOKUP(H9910,IMPORTRANGE(""https://docs.google.com/spreadsheets/d/14Bd19lYaqBhU8_DElYkX7l4wRkHqqCUFNJY4AfY3kHU/edit?usp=sharing  #gid=0"",""фіз особи new!relations_name""),6,FALSE)
,
(IF
(
G9910=""юридична особа""
,
VLOOKUP"&amp;"(H9910,IMPORTRANGE(""https://docs.google.com/spreadsheets/d/14Bd19lYaqBhU8_DElYkX7l4wRkHqqCUFNJY4AfY3kHU/edit?usp=sharing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09" s="7" t="s">
        <v>29</v>
      </c>
    </row>
    <row r="9910" spans="1:10" ht="13.2">
      <c r="A9910" s="7">
        <v>9909</v>
      </c>
      <c r="B9910" s="7">
        <v>1</v>
      </c>
      <c r="C9910" s="7" t="s">
        <v>10</v>
      </c>
      <c r="D9910" s="7">
        <v>11740</v>
      </c>
      <c r="E9910" s="7" t="s">
        <v>28</v>
      </c>
      <c r="F9910" s="8" t="str">
        <f ca="1">IFERROR(__xludf.DUMMYFUNCTION("IF
(
C9911=""фізична особа""
,
VLOOKUP(D9911,IMPORTRANGE(""https://docs.google.com/spreadsheets/d/14Bd19lYaqBhU8_DElYkX7l4wRkHqqCUFNJY4AfY3kHU/edit?usp=sharing  #gid=0"",""фіз особи new!relations_name""),6,FALSE)
,
(IF
(
C9911=""юридична особа""
,
VLOOKUP"&amp;"(D9911,IMPORTRANGE(""https://docs.google.com/spreadsheets/d/14Bd19lYaqBhU8_DElYkX7l4wRkHqqCUFNJY4AfY3kHU/edit?usp=sharing  #gid=0"",""фіз особи new!relations_name_uo""),7,FALSE)
,
)
))"),"СОЛНЦЕВ Микола Сергійович")</f>
        <v>СОЛНЦЕВ Микола Сергійович</v>
      </c>
      <c r="G9910" s="7" t="s">
        <v>10</v>
      </c>
      <c r="H9910" s="7">
        <v>1185</v>
      </c>
      <c r="I9910" s="8" t="str">
        <f ca="1">IFERROR(__xludf.DUMMYFUNCTION("IF
(
G9911=""фізична особа""
,
VLOOKUP(H9911,IMPORTRANGE(""https://docs.google.com/spreadsheets/d/14Bd19lYaqBhU8_DElYkX7l4wRkHqqCUFNJY4AfY3kHU/edit?usp=sharing  #gid=0"",""фіз особи new!relations_name""),6,FALSE)
,
(IF
(
G9911=""юридична особа""
,
VLOOKUP"&amp;"(H9911,IMPORTRANGE(""https://docs.google.com/spreadsheets/d/14Bd19lYaqBhU8_DElYkX7l4wRkHqqCUFNJY4AfY3kHU/edit?usp=sharing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10" s="7" t="s">
        <v>29</v>
      </c>
    </row>
    <row r="9911" spans="1:10" ht="13.2">
      <c r="A9911" s="7">
        <v>9910</v>
      </c>
      <c r="B9911" s="7">
        <v>1</v>
      </c>
      <c r="C9911" s="7" t="s">
        <v>10</v>
      </c>
      <c r="D9911" s="7">
        <v>11741</v>
      </c>
      <c r="E9911" s="7" t="s">
        <v>28</v>
      </c>
      <c r="F9911" s="8" t="str">
        <f ca="1">IFERROR(__xludf.DUMMYFUNCTION("IF
(
C9912=""фізична особа""
,
VLOOKUP(D9912,IMPORTRANGE(""https://docs.google.com/spreadsheets/d/14Bd19lYaqBhU8_DElYkX7l4wRkHqqCUFNJY4AfY3kHU/edit?usp=sharing  #gid=0"",""фіз особи new!relations_name""),6,FALSE)
,
(IF
(
C9912=""юридична особа""
,
VLOOKUP"&amp;"(D9912,IMPORTRANGE(""https://docs.google.com/spreadsheets/d/14Bd19lYaqBhU8_DElYkX7l4wRkHqqCUFNJY4AfY3kHU/edit?usp=sharing  #gid=0"",""фіз особи new!relations_name_uo""),7,FALSE)
,
)
))"),"БУЛАТОВА Ірина Юріївна")</f>
        <v>БУЛАТОВА Ірина Юріївна</v>
      </c>
      <c r="G9911" s="7" t="s">
        <v>10</v>
      </c>
      <c r="H9911" s="7">
        <v>1185</v>
      </c>
      <c r="I9911" s="8" t="str">
        <f ca="1">IFERROR(__xludf.DUMMYFUNCTION("IF
(
G9912=""фізична особа""
,
VLOOKUP(H9912,IMPORTRANGE(""https://docs.google.com/spreadsheets/d/14Bd19lYaqBhU8_DElYkX7l4wRkHqqCUFNJY4AfY3kHU/edit?usp=sharing  #gid=0"",""фіз особи new!relations_name""),6,FALSE)
,
(IF
(
G9912=""юридична особа""
,
VLOOKUP"&amp;"(H9912,IMPORTRANGE(""https://docs.google.com/spreadsheets/d/14Bd19lYaqBhU8_DElYkX7l4wRkHqqCUFNJY4AfY3kHU/edit?usp=sharing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11" s="7" t="s">
        <v>29</v>
      </c>
    </row>
    <row r="9912" spans="1:10" ht="13.2">
      <c r="A9912" s="7">
        <v>9911</v>
      </c>
      <c r="B9912" s="7">
        <v>1</v>
      </c>
      <c r="C9912" s="7" t="s">
        <v>10</v>
      </c>
      <c r="D9912" s="7">
        <v>11742</v>
      </c>
      <c r="E9912" s="7" t="s">
        <v>28</v>
      </c>
      <c r="F9912" s="8" t="str">
        <f ca="1">IFERROR(__xludf.DUMMYFUNCTION("IF
(
C9913=""фізична особа""
,
VLOOKUP(D9913,IMPORTRANGE(""https://docs.google.com/spreadsheets/d/14Bd19lYaqBhU8_DElYkX7l4wRkHqqCUFNJY4AfY3kHU/edit?usp=sharing  #gid=0"",""фіз особи new!relations_name""),6,FALSE)
,
(IF
(
C9913=""юридична особа""
,
VLOOKUP"&amp;"(D9913,IMPORTRANGE(""https://docs.google.com/spreadsheets/d/14Bd19lYaqBhU8_DElYkX7l4wRkHqqCUFNJY4AfY3kHU/edit?usp=sharing  #gid=0"",""фіз особи new!relations_name_uo""),7,FALSE)
,
)
))"),"БУКЛАЄВ Ельдар Фаатович")</f>
        <v>БУКЛАЄВ Ельдар Фаатович</v>
      </c>
      <c r="G9912" s="7" t="s">
        <v>10</v>
      </c>
      <c r="H9912" s="7">
        <v>1185</v>
      </c>
      <c r="I9912" s="8" t="str">
        <f ca="1">IFERROR(__xludf.DUMMYFUNCTION("IF
(
G9913=""фізична особа""
,
VLOOKUP(H9913,IMPORTRANGE(""https://docs.google.com/spreadsheets/d/14Bd19lYaqBhU8_DElYkX7l4wRkHqqCUFNJY4AfY3kHU/edit?usp=sharing  #gid=0"",""фіз особи new!relations_name""),6,FALSE)
,
(IF
(
G9913=""юридична особа""
,
VLOOKUP"&amp;"(H9913,IMPORTRANGE(""https://docs.google.com/spreadsheets/d/14Bd19lYaqBhU8_DElYkX7l4wRkHqqCUFNJY4AfY3kHU/edit?usp=sharing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12" s="7" t="s">
        <v>29</v>
      </c>
    </row>
    <row r="9913" spans="1:10" ht="13.2">
      <c r="A9913" s="7">
        <v>9912</v>
      </c>
      <c r="B9913" s="7">
        <v>1</v>
      </c>
      <c r="C9913" s="7" t="s">
        <v>10</v>
      </c>
      <c r="D9913" s="7">
        <v>11743</v>
      </c>
      <c r="E9913" s="7" t="s">
        <v>28</v>
      </c>
      <c r="F9913" s="8" t="str">
        <f ca="1">IFERROR(__xludf.DUMMYFUNCTION("IF
(
C9914=""фізична особа""
,
VLOOKUP(D9914,IMPORTRANGE(""https://docs.google.com/spreadsheets/d/14Bd19lYaqBhU8_DElYkX7l4wRkHqqCUFNJY4AfY3kHU/edit?usp=sharing  #gid=0"",""фіз особи new!relations_name""),6,FALSE)
,
(IF
(
C9914=""юридична особа""
,
VLOOKUP"&amp;"(D9914,IMPORTRANGE(""https://docs.google.com/spreadsheets/d/14Bd19lYaqBhU8_DElYkX7l4wRkHqqCUFNJY4AfY3kHU/edit?usp=sharing  #gid=0"",""фіз особи new!relations_name_uo""),7,FALSE)
,
)
))"),"БЕРЗІН Ігор Олександрович")</f>
        <v>БЕРЗІН Ігор Олександрович</v>
      </c>
      <c r="G9913" s="7" t="s">
        <v>10</v>
      </c>
      <c r="H9913" s="7">
        <v>1185</v>
      </c>
      <c r="I9913" s="8" t="str">
        <f ca="1">IFERROR(__xludf.DUMMYFUNCTION("IF
(
G9914=""фізична особа""
,
VLOOKUP(H9914,IMPORTRANGE(""https://docs.google.com/spreadsheets/d/14Bd19lYaqBhU8_DElYkX7l4wRkHqqCUFNJY4AfY3kHU/edit?usp=sharing  #gid=0"",""фіз особи new!relations_name""),6,FALSE)
,
(IF
(
G9914=""юридична особа""
,
VLOOKUP"&amp;"(H9914,IMPORTRANGE(""https://docs.google.com/spreadsheets/d/14Bd19lYaqBhU8_DElYkX7l4wRkHqqCUFNJY4AfY3kHU/edit?usp=sharing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13" s="7" t="s">
        <v>29</v>
      </c>
    </row>
    <row r="9914" spans="1:10" ht="13.2">
      <c r="A9914" s="7">
        <v>9913</v>
      </c>
      <c r="B9914" s="7">
        <v>1</v>
      </c>
      <c r="C9914" s="7" t="s">
        <v>10</v>
      </c>
      <c r="D9914" s="7">
        <v>11744</v>
      </c>
      <c r="E9914" s="7" t="s">
        <v>28</v>
      </c>
      <c r="F9914" s="8" t="str">
        <f ca="1">IFERROR(__xludf.DUMMYFUNCTION("IF
(
C9915=""фізична особа""
,
VLOOKUP(D9915,IMPORTRANGE(""https://docs.google.com/spreadsheets/d/14Bd19lYaqBhU8_DElYkX7l4wRkHqqCUFNJY4AfY3kHU/edit?usp=sharing  #gid=0"",""фіз особи new!relations_name""),6,FALSE)
,
(IF
(
C9915=""юридична особа""
,
VLOOKUP"&amp;"(D9915,IMPORTRANGE(""https://docs.google.com/spreadsheets/d/14Bd19lYaqBhU8_DElYkX7l4wRkHqqCUFNJY4AfY3kHU/edit?usp=sharing  #gid=0"",""фіз особи new!relations_name_uo""),7,FALSE)
,
)
))"),"КОЛБУТОВ Григорій Михайлович")</f>
        <v>КОЛБУТОВ Григорій Михайлович</v>
      </c>
      <c r="G9914" s="7" t="s">
        <v>10</v>
      </c>
      <c r="H9914" s="7">
        <v>1185</v>
      </c>
      <c r="I9914" s="8" t="str">
        <f ca="1">IFERROR(__xludf.DUMMYFUNCTION("IF
(
G9915=""фізична особа""
,
VLOOKUP(H9915,IMPORTRANGE(""https://docs.google.com/spreadsheets/d/14Bd19lYaqBhU8_DElYkX7l4wRkHqqCUFNJY4AfY3kHU/edit?usp=sharing  #gid=0"",""фіз особи new!relations_name""),6,FALSE)
,
(IF
(
G9915=""юридична особа""
,
VLOOKUP"&amp;"(H9915,IMPORTRANGE(""https://docs.google.com/spreadsheets/d/14Bd19lYaqBhU8_DElYkX7l4wRkHqqCUFNJY4AfY3kHU/edit?usp=sharing  #gid=0"",""фіз особи new!relations_name_uo""),7,FALSE)
,
)
))"),"СКВОРЦОВА Вероніка Ігорівна")</f>
        <v>СКВОРЦОВА Вероніка Ігорівна</v>
      </c>
      <c r="J9914" s="7" t="s">
        <v>29</v>
      </c>
    </row>
    <row r="9915" spans="1:10" ht="13.2">
      <c r="A9915" s="7">
        <v>9914</v>
      </c>
      <c r="B9915" s="7">
        <v>1</v>
      </c>
      <c r="C9915" s="7" t="s">
        <v>10</v>
      </c>
      <c r="D9915" s="7">
        <v>11745</v>
      </c>
      <c r="E9915" s="7" t="s">
        <v>28</v>
      </c>
      <c r="F9915" s="8" t="str">
        <f ca="1">IFERROR(__xludf.DUMMYFUNCTION("IF
(
C9916=""фізична особа""
,
VLOOKUP(D9916,IMPORTRANGE(""https://docs.google.com/spreadsheets/d/14Bd19lYaqBhU8_DElYkX7l4wRkHqqCUFNJY4AfY3kHU/edit?usp=sharing  #gid=0"",""фіз особи new!relations_name""),6,FALSE)
,
(IF
(
C9916=""юридична особа""
,
VLOOKUP"&amp;"(D9916,IMPORTRANGE(""https://docs.google.com/spreadsheets/d/14Bd19lYaqBhU8_DElYkX7l4wRkHqqCUFNJY4AfY3kHU/edit?usp=sharing  #gid=0"",""фіз особи new!relations_name_uo""),7,FALSE)
,
)
))"),"КОСТИЛЬОВ Максим Юрійович")</f>
        <v>КОСТИЛЬОВ Максим Юрійович</v>
      </c>
      <c r="G9915" s="7" t="s">
        <v>10</v>
      </c>
      <c r="H9915" s="7">
        <v>2986</v>
      </c>
      <c r="I9915" s="8" t="str">
        <f ca="1">IFERROR(__xludf.DUMMYFUNCTION("IF
(
G9916=""фізична особа""
,
VLOOKUP(H9916,IMPORTRANGE(""https://docs.google.com/spreadsheets/d/14Bd19lYaqBhU8_DElYkX7l4wRkHqqCUFNJY4AfY3kHU/edit?usp=sharing  #gid=0"",""фіз особи new!relations_name""),6,FALSE)
,
(IF
(
G9916=""юридична особа""
,
VLOOKUP"&amp;"(H9916,IMPORTRANGE(""https://docs.google.com/spreadsheets/d/14Bd19lYaqBhU8_DElYkX7l4wRkHqqCUFNJY4AfY3kHU/edit?usp=sharing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15" s="7" t="s">
        <v>29</v>
      </c>
    </row>
    <row r="9916" spans="1:10" ht="13.2">
      <c r="A9916" s="7">
        <v>9915</v>
      </c>
      <c r="B9916" s="7">
        <v>1</v>
      </c>
      <c r="C9916" s="7" t="s">
        <v>10</v>
      </c>
      <c r="D9916" s="7">
        <v>11746</v>
      </c>
      <c r="E9916" s="7" t="s">
        <v>28</v>
      </c>
      <c r="F9916" s="8" t="str">
        <f ca="1">IFERROR(__xludf.DUMMYFUNCTION("IF
(
C9917=""фізична особа""
,
VLOOKUP(D9917,IMPORTRANGE(""https://docs.google.com/spreadsheets/d/14Bd19lYaqBhU8_DElYkX7l4wRkHqqCUFNJY4AfY3kHU/edit?usp=sharing  #gid=0"",""фіз особи new!relations_name""),6,FALSE)
,
(IF
(
C9917=""юридична особа""
,
VLOOKUP"&amp;"(D9917,IMPORTRANGE(""https://docs.google.com/spreadsheets/d/14Bd19lYaqBhU8_DElYkX7l4wRkHqqCUFNJY4AfY3kHU/edit?usp=sharing  #gid=0"",""фіз особи new!relations_name_uo""),7,FALSE)
,
)
))"),"КУДІНОВ Валерій Васильович")</f>
        <v>КУДІНОВ Валерій Васильович</v>
      </c>
      <c r="G9916" s="7" t="s">
        <v>10</v>
      </c>
      <c r="H9916" s="7">
        <v>2986</v>
      </c>
      <c r="I9916" s="8" t="str">
        <f ca="1">IFERROR(__xludf.DUMMYFUNCTION("IF
(
G9917=""фізична особа""
,
VLOOKUP(H9917,IMPORTRANGE(""https://docs.google.com/spreadsheets/d/14Bd19lYaqBhU8_DElYkX7l4wRkHqqCUFNJY4AfY3kHU/edit?usp=sharing  #gid=0"",""фіз особи new!relations_name""),6,FALSE)
,
(IF
(
G9917=""юридична особа""
,
VLOOKUP"&amp;"(H9917,IMPORTRANGE(""https://docs.google.com/spreadsheets/d/14Bd19lYaqBhU8_DElYkX7l4wRkHqqCUFNJY4AfY3kHU/edit?usp=sharing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16" s="7" t="s">
        <v>29</v>
      </c>
    </row>
    <row r="9917" spans="1:10" ht="13.2">
      <c r="A9917" s="7">
        <v>9916</v>
      </c>
      <c r="B9917" s="7">
        <v>1</v>
      </c>
      <c r="C9917" s="7" t="s">
        <v>10</v>
      </c>
      <c r="D9917" s="7">
        <v>11747</v>
      </c>
      <c r="E9917" s="7" t="s">
        <v>28</v>
      </c>
      <c r="F9917" s="8" t="str">
        <f ca="1">IFERROR(__xludf.DUMMYFUNCTION("IF
(
C9918=""фізична особа""
,
VLOOKUP(D9918,IMPORTRANGE(""https://docs.google.com/spreadsheets/d/14Bd19lYaqBhU8_DElYkX7l4wRkHqqCUFNJY4AfY3kHU/edit?usp=sharing  #gid=0"",""фіз особи new!relations_name""),6,FALSE)
,
(IF
(
C9918=""юридична особа""
,
VLOOKUP"&amp;"(D9918,IMPORTRANGE(""https://docs.google.com/spreadsheets/d/14Bd19lYaqBhU8_DElYkX7l4wRkHqqCUFNJY4AfY3kHU/edit?usp=sharing  #gid=0"",""фіз особи new!relations_name_uo""),7,FALSE)
,
)
))"),"ПЧЬОЛІН Анатолій Олександрович")</f>
        <v>ПЧЬОЛІН Анатолій Олександрович</v>
      </c>
      <c r="G9917" s="7" t="s">
        <v>10</v>
      </c>
      <c r="H9917" s="7">
        <v>2986</v>
      </c>
      <c r="I9917" s="8" t="str">
        <f ca="1">IFERROR(__xludf.DUMMYFUNCTION("IF
(
G9918=""фізична особа""
,
VLOOKUP(H9918,IMPORTRANGE(""https://docs.google.com/spreadsheets/d/14Bd19lYaqBhU8_DElYkX7l4wRkHqqCUFNJY4AfY3kHU/edit?usp=sharing  #gid=0"",""фіз особи new!relations_name""),6,FALSE)
,
(IF
(
G9918=""юридична особа""
,
VLOOKUP"&amp;"(H9918,IMPORTRANGE(""https://docs.google.com/spreadsheets/d/14Bd19lYaqBhU8_DElYkX7l4wRkHqqCUFNJY4AfY3kHU/edit?usp=sharing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17" s="7" t="s">
        <v>29</v>
      </c>
    </row>
    <row r="9918" spans="1:10" ht="13.2">
      <c r="A9918" s="7">
        <v>9917</v>
      </c>
      <c r="B9918" s="7">
        <v>1</v>
      </c>
      <c r="C9918" s="7" t="s">
        <v>10</v>
      </c>
      <c r="D9918" s="7">
        <v>11748</v>
      </c>
      <c r="E9918" s="7" t="s">
        <v>28</v>
      </c>
      <c r="F9918" s="8" t="str">
        <f ca="1">IFERROR(__xludf.DUMMYFUNCTION("IF
(
C9919=""фізична особа""
,
VLOOKUP(D9919,IMPORTRANGE(""https://docs.google.com/spreadsheets/d/14Bd19lYaqBhU8_DElYkX7l4wRkHqqCUFNJY4AfY3kHU/edit?usp=sharing  #gid=0"",""фіз особи new!relations_name""),6,FALSE)
,
(IF
(
C9919=""юридична особа""
,
VLOOKUP"&amp;"(D9919,IMPORTRANGE(""https://docs.google.com/spreadsheets/d/14Bd19lYaqBhU8_DElYkX7l4wRkHqqCUFNJY4AfY3kHU/edit?usp=sharing  #gid=0"",""фіз особи new!relations_name_uo""),7,FALSE)
,
)
))"),"МАРТИНЕНКО Сергій Іванович")</f>
        <v>МАРТИНЕНКО Сергій Іванович</v>
      </c>
      <c r="G9918" s="7" t="s">
        <v>10</v>
      </c>
      <c r="H9918" s="7">
        <v>2986</v>
      </c>
      <c r="I9918" s="8" t="str">
        <f ca="1">IFERROR(__xludf.DUMMYFUNCTION("IF
(
G9919=""фізична особа""
,
VLOOKUP(H9919,IMPORTRANGE(""https://docs.google.com/spreadsheets/d/14Bd19lYaqBhU8_DElYkX7l4wRkHqqCUFNJY4AfY3kHU/edit?usp=sharing  #gid=0"",""фіз особи new!relations_name""),6,FALSE)
,
(IF
(
G9919=""юридична особа""
,
VLOOKUP"&amp;"(H9919,IMPORTRANGE(""https://docs.google.com/spreadsheets/d/14Bd19lYaqBhU8_DElYkX7l4wRkHqqCUFNJY4AfY3kHU/edit?usp=sharing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18" s="7" t="s">
        <v>29</v>
      </c>
    </row>
    <row r="9919" spans="1:10" ht="13.2">
      <c r="A9919" s="7">
        <v>9918</v>
      </c>
      <c r="B9919" s="7">
        <v>1</v>
      </c>
      <c r="C9919" s="7" t="s">
        <v>10</v>
      </c>
      <c r="D9919" s="7">
        <v>11749</v>
      </c>
      <c r="E9919" s="7" t="s">
        <v>28</v>
      </c>
      <c r="F9919" s="8" t="str">
        <f ca="1">IFERROR(__xludf.DUMMYFUNCTION("IF
(
C9920=""фізична особа""
,
VLOOKUP(D9920,IMPORTRANGE(""https://docs.google.com/spreadsheets/d/14Bd19lYaqBhU8_DElYkX7l4wRkHqqCUFNJY4AfY3kHU/edit?usp=sharing  #gid=0"",""фіз особи new!relations_name""),6,FALSE)
,
(IF
(
C9920=""юридична особа""
,
VLOOKUP"&amp;"(D9920,IMPORTRANGE(""https://docs.google.com/spreadsheets/d/14Bd19lYaqBhU8_DElYkX7l4wRkHqqCUFNJY4AfY3kHU/edit?usp=sharing  #gid=0"",""фіз особи new!relations_name_uo""),7,FALSE)
,
)
))"),"ПРУСОВ Сергій Аркадійович")</f>
        <v>ПРУСОВ Сергій Аркадійович</v>
      </c>
      <c r="G9919" s="7" t="s">
        <v>10</v>
      </c>
      <c r="H9919" s="7">
        <v>2986</v>
      </c>
      <c r="I9919" s="8" t="str">
        <f ca="1">IFERROR(__xludf.DUMMYFUNCTION("IF
(
G9920=""фізична особа""
,
VLOOKUP(H9920,IMPORTRANGE(""https://docs.google.com/spreadsheets/d/14Bd19lYaqBhU8_DElYkX7l4wRkHqqCUFNJY4AfY3kHU/edit?usp=sharing  #gid=0"",""фіз особи new!relations_name""),6,FALSE)
,
(IF
(
G9920=""юридична особа""
,
VLOOKUP"&amp;"(H9920,IMPORTRANGE(""https://docs.google.com/spreadsheets/d/14Bd19lYaqBhU8_DElYkX7l4wRkHqqCUFNJY4AfY3kHU/edit?usp=sharing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19" s="7" t="s">
        <v>29</v>
      </c>
    </row>
    <row r="9920" spans="1:10" ht="13.2">
      <c r="A9920" s="7">
        <v>9919</v>
      </c>
      <c r="B9920" s="7">
        <v>1</v>
      </c>
      <c r="C9920" s="7" t="s">
        <v>10</v>
      </c>
      <c r="D9920" s="7">
        <v>11750</v>
      </c>
      <c r="E9920" s="7" t="s">
        <v>28</v>
      </c>
      <c r="F9920" s="8" t="str">
        <f ca="1">IFERROR(__xludf.DUMMYFUNCTION("IF
(
C9921=""фізична особа""
,
VLOOKUP(D9921,IMPORTRANGE(""https://docs.google.com/spreadsheets/d/14Bd19lYaqBhU8_DElYkX7l4wRkHqqCUFNJY4AfY3kHU/edit?usp=sharing  #gid=0"",""фіз особи new!relations_name""),6,FALSE)
,
(IF
(
C9921=""юридична особа""
,
VLOOKUP"&amp;"(D9921,IMPORTRANGE(""https://docs.google.com/spreadsheets/d/14Bd19lYaqBhU8_DElYkX7l4wRkHqqCUFNJY4AfY3kHU/edit?usp=sharing  #gid=0"",""фіз особи new!relations_name_uo""),7,FALSE)
,
)
))"),"КРУПІНА Наталія Василівна")</f>
        <v>КРУПІНА Наталія Василівна</v>
      </c>
      <c r="G9920" s="7" t="s">
        <v>10</v>
      </c>
      <c r="H9920" s="7">
        <v>2986</v>
      </c>
      <c r="I9920" s="8" t="str">
        <f ca="1">IFERROR(__xludf.DUMMYFUNCTION("IF
(
G9921=""фізична особа""
,
VLOOKUP(H9921,IMPORTRANGE(""https://docs.google.com/spreadsheets/d/14Bd19lYaqBhU8_DElYkX7l4wRkHqqCUFNJY4AfY3kHU/edit?usp=sharing  #gid=0"",""фіз особи new!relations_name""),6,FALSE)
,
(IF
(
G9921=""юридична особа""
,
VLOOKUP"&amp;"(H9921,IMPORTRANGE(""https://docs.google.com/spreadsheets/d/14Bd19lYaqBhU8_DElYkX7l4wRkHqqCUFNJY4AfY3kHU/edit?usp=sharing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0" s="7" t="s">
        <v>29</v>
      </c>
    </row>
    <row r="9921" spans="1:10" ht="13.2">
      <c r="A9921" s="7">
        <v>9920</v>
      </c>
      <c r="B9921" s="7">
        <v>1</v>
      </c>
      <c r="C9921" s="7" t="s">
        <v>10</v>
      </c>
      <c r="D9921" s="7">
        <v>11751</v>
      </c>
      <c r="E9921" s="7" t="s">
        <v>28</v>
      </c>
      <c r="F9921" s="8" t="str">
        <f ca="1">IFERROR(__xludf.DUMMYFUNCTION("IF
(
C9922=""фізична особа""
,
VLOOKUP(D9922,IMPORTRANGE(""https://docs.google.com/spreadsheets/d/14Bd19lYaqBhU8_DElYkX7l4wRkHqqCUFNJY4AfY3kHU/edit?usp=sharing  #gid=0"",""фіз особи new!relations_name""),6,FALSE)
,
(IF
(
C9922=""юридична особа""
,
VLOOKUP"&amp;"(D9922,IMPORTRANGE(""https://docs.google.com/spreadsheets/d/14Bd19lYaqBhU8_DElYkX7l4wRkHqqCUFNJY4AfY3kHU/edit?usp=sharing  #gid=0"",""фіз особи new!relations_name_uo""),7,FALSE)
,
)
))"),"МНІШКО Володимир Васильович")</f>
        <v>МНІШКО Володимир Васильович</v>
      </c>
      <c r="G9921" s="7" t="s">
        <v>10</v>
      </c>
      <c r="H9921" s="7">
        <v>2986</v>
      </c>
      <c r="I9921" s="8" t="str">
        <f ca="1">IFERROR(__xludf.DUMMYFUNCTION("IF
(
G9922=""фізична особа""
,
VLOOKUP(H9922,IMPORTRANGE(""https://docs.google.com/spreadsheets/d/14Bd19lYaqBhU8_DElYkX7l4wRkHqqCUFNJY4AfY3kHU/edit?usp=sharing  #gid=0"",""фіз особи new!relations_name""),6,FALSE)
,
(IF
(
G9922=""юридична особа""
,
VLOOKUP"&amp;"(H9922,IMPORTRANGE(""https://docs.google.com/spreadsheets/d/14Bd19lYaqBhU8_DElYkX7l4wRkHqqCUFNJY4AfY3kHU/edit?usp=sharing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1" s="7" t="s">
        <v>29</v>
      </c>
    </row>
    <row r="9922" spans="1:10" ht="13.2">
      <c r="A9922" s="7">
        <v>9921</v>
      </c>
      <c r="B9922" s="7">
        <v>1</v>
      </c>
      <c r="C9922" s="7" t="s">
        <v>10</v>
      </c>
      <c r="D9922" s="7">
        <v>11752</v>
      </c>
      <c r="E9922" s="7" t="s">
        <v>28</v>
      </c>
      <c r="F9922" s="8" t="str">
        <f ca="1">IFERROR(__xludf.DUMMYFUNCTION("IF
(
C9923=""фізична особа""
,
VLOOKUP(D9923,IMPORTRANGE(""https://docs.google.com/spreadsheets/d/14Bd19lYaqBhU8_DElYkX7l4wRkHqqCUFNJY4AfY3kHU/edit?usp=sharing  #gid=0"",""фіз особи new!relations_name""),6,FALSE)
,
(IF
(
C9923=""юридична особа""
,
VLOOKUP"&amp;"(D9923,IMPORTRANGE(""https://docs.google.com/spreadsheets/d/14Bd19lYaqBhU8_DElYkX7l4wRkHqqCUFNJY4AfY3kHU/edit?usp=sharing  #gid=0"",""фіз особи new!relations_name_uo""),7,FALSE)
,
)
))"),"ВОЙТОВСЬКИЙ Едуард Олександрович")</f>
        <v>ВОЙТОВСЬКИЙ Едуард Олександрович</v>
      </c>
      <c r="G9922" s="7" t="s">
        <v>10</v>
      </c>
      <c r="H9922" s="7">
        <v>2986</v>
      </c>
      <c r="I9922" s="8" t="str">
        <f ca="1">IFERROR(__xludf.DUMMYFUNCTION("IF
(
G9923=""фізична особа""
,
VLOOKUP(H9923,IMPORTRANGE(""https://docs.google.com/spreadsheets/d/14Bd19lYaqBhU8_DElYkX7l4wRkHqqCUFNJY4AfY3kHU/edit?usp=sharing  #gid=0"",""фіз особи new!relations_name""),6,FALSE)
,
(IF
(
G9923=""юридична особа""
,
VLOOKUP"&amp;"(H9923,IMPORTRANGE(""https://docs.google.com/spreadsheets/d/14Bd19lYaqBhU8_DElYkX7l4wRkHqqCUFNJY4AfY3kHU/edit?usp=sharing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2" s="7" t="s">
        <v>29</v>
      </c>
    </row>
    <row r="9923" spans="1:10" ht="13.2">
      <c r="A9923" s="7">
        <v>9922</v>
      </c>
      <c r="B9923" s="7">
        <v>1</v>
      </c>
      <c r="C9923" s="7" t="s">
        <v>10</v>
      </c>
      <c r="D9923" s="7">
        <v>11753</v>
      </c>
      <c r="E9923" s="7" t="s">
        <v>28</v>
      </c>
      <c r="F9923" s="8" t="str">
        <f ca="1">IFERROR(__xludf.DUMMYFUNCTION("IF
(
C9924=""фізична особа""
,
VLOOKUP(D9924,IMPORTRANGE(""https://docs.google.com/spreadsheets/d/14Bd19lYaqBhU8_DElYkX7l4wRkHqqCUFNJY4AfY3kHU/edit?usp=sharing  #gid=0"",""фіз особи new!relations_name""),6,FALSE)
,
(IF
(
C9924=""юридична особа""
,
VLOOKUP"&amp;"(D9924,IMPORTRANGE(""https://docs.google.com/spreadsheets/d/14Bd19lYaqBhU8_DElYkX7l4wRkHqqCUFNJY4AfY3kHU/edit?usp=sharing  #gid=0"",""фіз особи new!relations_name_uo""),7,FALSE)
,
)
))"),"КУДЛАЄВА Олена Миколаївна")</f>
        <v>КУДЛАЄВА Олена Миколаївна</v>
      </c>
      <c r="G9923" s="7" t="s">
        <v>10</v>
      </c>
      <c r="H9923" s="7">
        <v>2986</v>
      </c>
      <c r="I9923" s="8" t="str">
        <f ca="1">IFERROR(__xludf.DUMMYFUNCTION("IF
(
G9924=""фізична особа""
,
VLOOKUP(H9924,IMPORTRANGE(""https://docs.google.com/spreadsheets/d/14Bd19lYaqBhU8_DElYkX7l4wRkHqqCUFNJY4AfY3kHU/edit?usp=sharing  #gid=0"",""фіз особи new!relations_name""),6,FALSE)
,
(IF
(
G9924=""юридична особа""
,
VLOOKUP"&amp;"(H9924,IMPORTRANGE(""https://docs.google.com/spreadsheets/d/14Bd19lYaqBhU8_DElYkX7l4wRkHqqCUFNJY4AfY3kHU/edit?usp=sharing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3" s="7" t="s">
        <v>29</v>
      </c>
    </row>
    <row r="9924" spans="1:10" ht="13.2">
      <c r="A9924" s="7">
        <v>9923</v>
      </c>
      <c r="B9924" s="7">
        <v>1</v>
      </c>
      <c r="C9924" s="7" t="s">
        <v>10</v>
      </c>
      <c r="D9924" s="7">
        <v>11754</v>
      </c>
      <c r="E9924" s="7" t="s">
        <v>28</v>
      </c>
      <c r="F9924" s="8" t="str">
        <f ca="1">IFERROR(__xludf.DUMMYFUNCTION("IF
(
C9925=""фізична особа""
,
VLOOKUP(D9925,IMPORTRANGE(""https://docs.google.com/spreadsheets/d/14Bd19lYaqBhU8_DElYkX7l4wRkHqqCUFNJY4AfY3kHU/edit?usp=sharing  #gid=0"",""фіз особи new!relations_name""),6,FALSE)
,
(IF
(
C9925=""юридична особа""
,
VLOOKUP"&amp;"(D9925,IMPORTRANGE(""https://docs.google.com/spreadsheets/d/14Bd19lYaqBhU8_DElYkX7l4wRkHqqCUFNJY4AfY3kHU/edit?usp=sharing  #gid=0"",""фіз особи new!relations_name_uo""),7,FALSE)
,
)
))"),"КОСІНОВ Лев Юрійович")</f>
        <v>КОСІНОВ Лев Юрійович</v>
      </c>
      <c r="G9924" s="7" t="s">
        <v>10</v>
      </c>
      <c r="H9924" s="7">
        <v>2986</v>
      </c>
      <c r="I9924" s="8" t="str">
        <f ca="1">IFERROR(__xludf.DUMMYFUNCTION("IF
(
G9925=""фізична особа""
,
VLOOKUP(H9925,IMPORTRANGE(""https://docs.google.com/spreadsheets/d/14Bd19lYaqBhU8_DElYkX7l4wRkHqqCUFNJY4AfY3kHU/edit?usp=sharing  #gid=0"",""фіз особи new!relations_name""),6,FALSE)
,
(IF
(
G9925=""юридична особа""
,
VLOOKUP"&amp;"(H9925,IMPORTRANGE(""https://docs.google.com/spreadsheets/d/14Bd19lYaqBhU8_DElYkX7l4wRkHqqCUFNJY4AfY3kHU/edit?usp=sharing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4" s="7" t="s">
        <v>29</v>
      </c>
    </row>
    <row r="9925" spans="1:10" ht="13.2">
      <c r="A9925" s="7">
        <v>9924</v>
      </c>
      <c r="B9925" s="7">
        <v>1</v>
      </c>
      <c r="C9925" s="7" t="s">
        <v>10</v>
      </c>
      <c r="D9925" s="7">
        <v>11755</v>
      </c>
      <c r="E9925" s="7" t="s">
        <v>28</v>
      </c>
      <c r="F9925" s="8" t="str">
        <f ca="1">IFERROR(__xludf.DUMMYFUNCTION("IF
(
C9926=""фізична особа""
,
VLOOKUP(D9926,IMPORTRANGE(""https://docs.google.com/spreadsheets/d/14Bd19lYaqBhU8_DElYkX7l4wRkHqqCUFNJY4AfY3kHU/edit?usp=sharing  #gid=0"",""фіз особи new!relations_name""),6,FALSE)
,
(IF
(
C9926=""юридична особа""
,
VLOOKUP"&amp;"(D9926,IMPORTRANGE(""https://docs.google.com/spreadsheets/d/14Bd19lYaqBhU8_DElYkX7l4wRkHqqCUFNJY4AfY3kHU/edit?usp=sharing  #gid=0"",""фіз особи new!relations_name_uo""),7,FALSE)
,
)
))"),"ОЧЕРЕТІН Євгеній Володимирович")</f>
        <v>ОЧЕРЕТІН Євгеній Володимирович</v>
      </c>
      <c r="G9925" s="7" t="s">
        <v>10</v>
      </c>
      <c r="H9925" s="7">
        <v>2986</v>
      </c>
      <c r="I9925" s="8" t="str">
        <f ca="1">IFERROR(__xludf.DUMMYFUNCTION("IF
(
G9926=""фізична особа""
,
VLOOKUP(H9926,IMPORTRANGE(""https://docs.google.com/spreadsheets/d/14Bd19lYaqBhU8_DElYkX7l4wRkHqqCUFNJY4AfY3kHU/edit?usp=sharing  #gid=0"",""фіз особи new!relations_name""),6,FALSE)
,
(IF
(
G9926=""юридична особа""
,
VLOOKUP"&amp;"(H9926,IMPORTRANGE(""https://docs.google.com/spreadsheets/d/14Bd19lYaqBhU8_DElYkX7l4wRkHqqCUFNJY4AfY3kHU/edit?usp=sharing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5" s="7" t="s">
        <v>29</v>
      </c>
    </row>
    <row r="9926" spans="1:10" ht="13.2">
      <c r="A9926" s="7">
        <v>9925</v>
      </c>
      <c r="B9926" s="7">
        <v>1</v>
      </c>
      <c r="C9926" s="7" t="s">
        <v>10</v>
      </c>
      <c r="D9926" s="7">
        <v>11756</v>
      </c>
      <c r="E9926" s="7" t="s">
        <v>28</v>
      </c>
      <c r="F9926" s="8" t="str">
        <f ca="1">IFERROR(__xludf.DUMMYFUNCTION("IF
(
C9927=""фізична особа""
,
VLOOKUP(D9927,IMPORTRANGE(""https://docs.google.com/spreadsheets/d/14Bd19lYaqBhU8_DElYkX7l4wRkHqqCUFNJY4AfY3kHU/edit?usp=sharing  #gid=0"",""фіз особи new!relations_name""),6,FALSE)
,
(IF
(
C9927=""юридична особа""
,
VLOOKUP"&amp;"(D9927,IMPORTRANGE(""https://docs.google.com/spreadsheets/d/14Bd19lYaqBhU8_DElYkX7l4wRkHqqCUFNJY4AfY3kHU/edit?usp=sharing  #gid=0"",""фіз особи new!relations_name_uo""),7,FALSE)
,
)
))"),"СОТНІКОВ Олег Іванович")</f>
        <v>СОТНІКОВ Олег Іванович</v>
      </c>
      <c r="G9926" s="7" t="s">
        <v>10</v>
      </c>
      <c r="H9926" s="7">
        <v>2986</v>
      </c>
      <c r="I9926" s="8" t="str">
        <f ca="1">IFERROR(__xludf.DUMMYFUNCTION("IF
(
G9927=""фізична особа""
,
VLOOKUP(H9927,IMPORTRANGE(""https://docs.google.com/spreadsheets/d/14Bd19lYaqBhU8_DElYkX7l4wRkHqqCUFNJY4AfY3kHU/edit?usp=sharing  #gid=0"",""фіз особи new!relations_name""),6,FALSE)
,
(IF
(
G9927=""юридична особа""
,
VLOOKUP"&amp;"(H9927,IMPORTRANGE(""https://docs.google.com/spreadsheets/d/14Bd19lYaqBhU8_DElYkX7l4wRkHqqCUFNJY4AfY3kHU/edit?usp=sharing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6" s="7" t="s">
        <v>29</v>
      </c>
    </row>
    <row r="9927" spans="1:10" ht="13.2">
      <c r="A9927" s="7">
        <v>9926</v>
      </c>
      <c r="B9927" s="7">
        <v>1</v>
      </c>
      <c r="C9927" s="7" t="s">
        <v>10</v>
      </c>
      <c r="D9927" s="7">
        <v>11757</v>
      </c>
      <c r="E9927" s="7" t="s">
        <v>28</v>
      </c>
      <c r="F9927" s="8" t="str">
        <f ca="1">IFERROR(__xludf.DUMMYFUNCTION("IF
(
C9928=""фізична особа""
,
VLOOKUP(D9928,IMPORTRANGE(""https://docs.google.com/spreadsheets/d/14Bd19lYaqBhU8_DElYkX7l4wRkHqqCUFNJY4AfY3kHU/edit?usp=sharing  #gid=0"",""фіз особи new!relations_name""),6,FALSE)
,
(IF
(
C9928=""юридична особа""
,
VLOOKUP"&amp;"(D9928,IMPORTRANGE(""https://docs.google.com/spreadsheets/d/14Bd19lYaqBhU8_DElYkX7l4wRkHqqCUFNJY4AfY3kHU/edit?usp=sharing  #gid=0"",""фіз особи new!relations_name_uo""),7,FALSE)
,
)
))"),"ШАЙКАМАЛОВ Анвар Маратович")</f>
        <v>ШАЙКАМАЛОВ Анвар Маратович</v>
      </c>
      <c r="G9927" s="7" t="s">
        <v>10</v>
      </c>
      <c r="H9927" s="7">
        <v>2986</v>
      </c>
      <c r="I9927" s="8" t="str">
        <f ca="1">IFERROR(__xludf.DUMMYFUNCTION("IF
(
G9928=""фізична особа""
,
VLOOKUP(H9928,IMPORTRANGE(""https://docs.google.com/spreadsheets/d/14Bd19lYaqBhU8_DElYkX7l4wRkHqqCUFNJY4AfY3kHU/edit?usp=sharing  #gid=0"",""фіз особи new!relations_name""),6,FALSE)
,
(IF
(
G9928=""юридична особа""
,
VLOOKUP"&amp;"(H9928,IMPORTRANGE(""https://docs.google.com/spreadsheets/d/14Bd19lYaqBhU8_DElYkX7l4wRkHqqCUFNJY4AfY3kHU/edit?usp=sharing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7" s="7" t="s">
        <v>29</v>
      </c>
    </row>
    <row r="9928" spans="1:10" ht="13.2">
      <c r="A9928" s="7">
        <v>9927</v>
      </c>
      <c r="B9928" s="7">
        <v>1</v>
      </c>
      <c r="C9928" s="7" t="s">
        <v>10</v>
      </c>
      <c r="D9928" s="7">
        <v>11758</v>
      </c>
      <c r="E9928" s="7" t="s">
        <v>28</v>
      </c>
      <c r="F9928" s="8" t="str">
        <f ca="1">IFERROR(__xludf.DUMMYFUNCTION("IF
(
C9929=""фізична особа""
,
VLOOKUP(D9929,IMPORTRANGE(""https://docs.google.com/spreadsheets/d/14Bd19lYaqBhU8_DElYkX7l4wRkHqqCUFNJY4AfY3kHU/edit?usp=sharing  #gid=0"",""фіз особи new!relations_name""),6,FALSE)
,
(IF
(
C9929=""юридична особа""
,
VLOOKUP"&amp;"(D9929,IMPORTRANGE(""https://docs.google.com/spreadsheets/d/14Bd19lYaqBhU8_DElYkX7l4wRkHqqCUFNJY4AfY3kHU/edit?usp=sharing  #gid=0"",""фіз особи new!relations_name_uo""),7,FALSE)
,
)
))"),"КИРИЛЛОВА Наталія Борисівна")</f>
        <v>КИРИЛЛОВА Наталія Борисівна</v>
      </c>
      <c r="G9928" s="7" t="s">
        <v>10</v>
      </c>
      <c r="H9928" s="7">
        <v>2986</v>
      </c>
      <c r="I9928" s="8" t="str">
        <f ca="1">IFERROR(__xludf.DUMMYFUNCTION("IF
(
G9929=""фізична особа""
,
VLOOKUP(H9929,IMPORTRANGE(""https://docs.google.com/spreadsheets/d/14Bd19lYaqBhU8_DElYkX7l4wRkHqqCUFNJY4AfY3kHU/edit?usp=sharing  #gid=0"",""фіз особи new!relations_name""),6,FALSE)
,
(IF
(
G9929=""юридична особа""
,
VLOOKUP"&amp;"(H9929,IMPORTRANGE(""https://docs.google.com/spreadsheets/d/14Bd19lYaqBhU8_DElYkX7l4wRkHqqCUFNJY4AfY3kHU/edit?usp=sharing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8" s="7" t="s">
        <v>29</v>
      </c>
    </row>
    <row r="9929" spans="1:10" ht="13.2">
      <c r="A9929" s="7">
        <v>9928</v>
      </c>
      <c r="B9929" s="7">
        <v>1</v>
      </c>
      <c r="C9929" s="7" t="s">
        <v>10</v>
      </c>
      <c r="D9929" s="7">
        <v>11759</v>
      </c>
      <c r="E9929" s="7" t="s">
        <v>28</v>
      </c>
      <c r="F9929" s="8" t="str">
        <f ca="1">IFERROR(__xludf.DUMMYFUNCTION("IF
(
C9930=""фізична особа""
,
VLOOKUP(D9930,IMPORTRANGE(""https://docs.google.com/spreadsheets/d/14Bd19lYaqBhU8_DElYkX7l4wRkHqqCUFNJY4AfY3kHU/edit?usp=sharing  #gid=0"",""фіз особи new!relations_name""),6,FALSE)
,
(IF
(
C9930=""юридична особа""
,
VLOOKUP"&amp;"(D9930,IMPORTRANGE(""https://docs.google.com/spreadsheets/d/14Bd19lYaqBhU8_DElYkX7l4wRkHqqCUFNJY4AfY3kHU/edit?usp=sharing  #gid=0"",""фіз особи new!relations_name_uo""),7,FALSE)
,
)
))"),"СЯСІНА Алла Володимирівна")</f>
        <v>СЯСІНА Алла Володимирівна</v>
      </c>
      <c r="G9929" s="7" t="s">
        <v>10</v>
      </c>
      <c r="H9929" s="7">
        <v>2986</v>
      </c>
      <c r="I9929" s="8" t="str">
        <f ca="1">IFERROR(__xludf.DUMMYFUNCTION("IF
(
G9930=""фізична особа""
,
VLOOKUP(H9930,IMPORTRANGE(""https://docs.google.com/spreadsheets/d/14Bd19lYaqBhU8_DElYkX7l4wRkHqqCUFNJY4AfY3kHU/edit?usp=sharing  #gid=0"",""фіз особи new!relations_name""),6,FALSE)
,
(IF
(
G9930=""юридична особа""
,
VLOOKUP"&amp;"(H9930,IMPORTRANGE(""https://docs.google.com/spreadsheets/d/14Bd19lYaqBhU8_DElYkX7l4wRkHqqCUFNJY4AfY3kHU/edit?usp=sharing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29" s="7" t="s">
        <v>29</v>
      </c>
    </row>
    <row r="9930" spans="1:10" ht="13.2">
      <c r="A9930" s="7">
        <v>9929</v>
      </c>
      <c r="B9930" s="7">
        <v>1</v>
      </c>
      <c r="C9930" s="7" t="s">
        <v>10</v>
      </c>
      <c r="D9930" s="7">
        <v>11760</v>
      </c>
      <c r="E9930" s="7" t="s">
        <v>28</v>
      </c>
      <c r="F9930" s="8" t="str">
        <f ca="1">IFERROR(__xludf.DUMMYFUNCTION("IF
(
C9931=""фізична особа""
,
VLOOKUP(D9931,IMPORTRANGE(""https://docs.google.com/spreadsheets/d/14Bd19lYaqBhU8_DElYkX7l4wRkHqqCUFNJY4AfY3kHU/edit?usp=sharing  #gid=0"",""фіз особи new!relations_name""),6,FALSE)
,
(IF
(
C9931=""юридична особа""
,
VLOOKUP"&amp;"(D9931,IMPORTRANGE(""https://docs.google.com/spreadsheets/d/14Bd19lYaqBhU8_DElYkX7l4wRkHqqCUFNJY4AfY3kHU/edit?usp=sharing  #gid=0"",""фіз особи new!relations_name_uo""),7,FALSE)
,
)
))"),"КУЧЕРЕНКО Наталія Сергіївна")</f>
        <v>КУЧЕРЕНКО Наталія Сергіївна</v>
      </c>
      <c r="G9930" s="7" t="s">
        <v>10</v>
      </c>
      <c r="H9930" s="7">
        <v>3042</v>
      </c>
      <c r="I9930" s="8" t="str">
        <f ca="1">IFERROR(__xludf.DUMMYFUNCTION("IF
(
G9931=""фізична особа""
,
VLOOKUP(H9931,IMPORTRANGE(""https://docs.google.com/spreadsheets/d/14Bd19lYaqBhU8_DElYkX7l4wRkHqqCUFNJY4AfY3kHU/edit?usp=sharing  #gid=0"",""фіз особи new!relations_name""),6,FALSE)
,
(IF
(
G9931=""юридична особа""
,
VLOOKUP"&amp;"(H9931,IMPORTRANGE(""https://docs.google.com/spreadsheets/d/14Bd19lYaqBhU8_DElYkX7l4wRkHqqCUFNJY4AfY3kHU/edit?usp=sharing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30" s="7" t="s">
        <v>29</v>
      </c>
    </row>
    <row r="9931" spans="1:10" ht="13.2">
      <c r="A9931" s="7">
        <v>9930</v>
      </c>
      <c r="B9931" s="7">
        <v>1</v>
      </c>
      <c r="C9931" s="7" t="s">
        <v>10</v>
      </c>
      <c r="D9931" s="7">
        <v>11761</v>
      </c>
      <c r="E9931" s="7" t="s">
        <v>28</v>
      </c>
      <c r="F9931" s="8" t="str">
        <f ca="1">IFERROR(__xludf.DUMMYFUNCTION("IF
(
C9932=""фізична особа""
,
VLOOKUP(D9932,IMPORTRANGE(""https://docs.google.com/spreadsheets/d/14Bd19lYaqBhU8_DElYkX7l4wRkHqqCUFNJY4AfY3kHU/edit?usp=sharing  #gid=0"",""фіз особи new!relations_name""),6,FALSE)
,
(IF
(
C9932=""юридична особа""
,
VLOOKUP"&amp;"(D9932,IMPORTRANGE(""https://docs.google.com/spreadsheets/d/14Bd19lYaqBhU8_DElYkX7l4wRkHqqCUFNJY4AfY3kHU/edit?usp=sharing  #gid=0"",""фіз особи new!relations_name_uo""),7,FALSE)
,
)
))"),"КОЖАНОВА Ольга Іванівна")</f>
        <v>КОЖАНОВА Ольга Іванівна</v>
      </c>
      <c r="G9931" s="7" t="s">
        <v>10</v>
      </c>
      <c r="H9931" s="7">
        <v>3042</v>
      </c>
      <c r="I9931" s="8" t="str">
        <f ca="1">IFERROR(__xludf.DUMMYFUNCTION("IF
(
G9932=""фізична особа""
,
VLOOKUP(H9932,IMPORTRANGE(""https://docs.google.com/spreadsheets/d/14Bd19lYaqBhU8_DElYkX7l4wRkHqqCUFNJY4AfY3kHU/edit?usp=sharing  #gid=0"",""фіз особи new!relations_name""),6,FALSE)
,
(IF
(
G9932=""юридична особа""
,
VLOOKUP"&amp;"(H9932,IMPORTRANGE(""https://docs.google.com/spreadsheets/d/14Bd19lYaqBhU8_DElYkX7l4wRkHqqCUFNJY4AfY3kHU/edit?usp=sharing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31" s="7" t="s">
        <v>29</v>
      </c>
    </row>
    <row r="9932" spans="1:10" ht="13.2">
      <c r="A9932" s="7">
        <v>9931</v>
      </c>
      <c r="B9932" s="7">
        <v>1</v>
      </c>
      <c r="C9932" s="7" t="s">
        <v>10</v>
      </c>
      <c r="D9932" s="7">
        <v>11762</v>
      </c>
      <c r="E9932" s="7" t="s">
        <v>28</v>
      </c>
      <c r="F9932" s="8" t="str">
        <f ca="1">IFERROR(__xludf.DUMMYFUNCTION("IF
(
C9933=""фізична особа""
,
VLOOKUP(D9933,IMPORTRANGE(""https://docs.google.com/spreadsheets/d/14Bd19lYaqBhU8_DElYkX7l4wRkHqqCUFNJY4AfY3kHU/edit?usp=sharing  #gid=0"",""фіз особи new!relations_name""),6,FALSE)
,
(IF
(
C9933=""юридична особа""
,
VLOOKUP"&amp;"(D9933,IMPORTRANGE(""https://docs.google.com/spreadsheets/d/14Bd19lYaqBhU8_DElYkX7l4wRkHqqCUFNJY4AfY3kHU/edit?usp=sharing  #gid=0"",""фіз особи new!relations_name_uo""),7,FALSE)
,
)
))"),"КОМУРЗОЄВ Борис Даудович")</f>
        <v>КОМУРЗОЄВ Борис Даудович</v>
      </c>
      <c r="G9932" s="7" t="s">
        <v>10</v>
      </c>
      <c r="H9932" s="7">
        <v>3042</v>
      </c>
      <c r="I9932" s="8" t="str">
        <f ca="1">IFERROR(__xludf.DUMMYFUNCTION("IF
(
G9933=""фізична особа""
,
VLOOKUP(H9933,IMPORTRANGE(""https://docs.google.com/spreadsheets/d/14Bd19lYaqBhU8_DElYkX7l4wRkHqqCUFNJY4AfY3kHU/edit?usp=sharing  #gid=0"",""фіз особи new!relations_name""),6,FALSE)
,
(IF
(
G9933=""юридична особа""
,
VLOOKUP"&amp;"(H9933,IMPORTRANGE(""https://docs.google.com/spreadsheets/d/14Bd19lYaqBhU8_DElYkX7l4wRkHqqCUFNJY4AfY3kHU/edit?usp=sharing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32" s="7" t="s">
        <v>29</v>
      </c>
    </row>
    <row r="9933" spans="1:10" ht="13.2">
      <c r="A9933" s="7">
        <v>9932</v>
      </c>
      <c r="B9933" s="7">
        <v>1</v>
      </c>
      <c r="C9933" s="7" t="s">
        <v>10</v>
      </c>
      <c r="D9933" s="7">
        <v>11763</v>
      </c>
      <c r="E9933" s="7" t="s">
        <v>28</v>
      </c>
      <c r="F9933" s="8" t="str">
        <f ca="1">IFERROR(__xludf.DUMMYFUNCTION("IF
(
C9934=""фізична особа""
,
VLOOKUP(D9934,IMPORTRANGE(""https://docs.google.com/spreadsheets/d/14Bd19lYaqBhU8_DElYkX7l4wRkHqqCUFNJY4AfY3kHU/edit?usp=sharing  #gid=0"",""фіз особи new!relations_name""),6,FALSE)
,
(IF
(
C9934=""юридична особа""
,
VLOOKUP"&amp;"(D9934,IMPORTRANGE(""https://docs.google.com/spreadsheets/d/14Bd19lYaqBhU8_DElYkX7l4wRkHqqCUFNJY4AfY3kHU/edit?usp=sharing  #gid=0"",""фіз особи new!relations_name_uo""),7,FALSE)
,
)
))"),"КОЛОСОВ Олександр Володимирович")</f>
        <v>КОЛОСОВ Олександр Володимирович</v>
      </c>
      <c r="G9933" s="7" t="s">
        <v>10</v>
      </c>
      <c r="H9933" s="7">
        <v>11867</v>
      </c>
      <c r="I9933" s="8" t="str">
        <f ca="1">IFERROR(__xludf.DUMMYFUNCTION("IF
(
G9934=""фізична особа""
,
VLOOKUP(H9934,IMPORTRANGE(""https://docs.google.com/spreadsheets/d/14Bd19lYaqBhU8_DElYkX7l4wRkHqqCUFNJY4AfY3kHU/edit?usp=sharing  #gid=0"",""фіз особи new!relations_name""),6,FALSE)
,
(IF
(
G9934=""юридична особа""
,
VLOOKUP"&amp;"(H9934,IMPORTRANGE(""https://docs.google.com/spreadsheets/d/14Bd19lYaqBhU8_DElYkX7l4wRkHqqCUFNJY4AfY3kHU/edit?usp=sharing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3" s="7" t="s">
        <v>29</v>
      </c>
    </row>
    <row r="9934" spans="1:10" ht="13.2">
      <c r="A9934" s="7">
        <v>9933</v>
      </c>
      <c r="B9934" s="7">
        <v>1</v>
      </c>
      <c r="C9934" s="7" t="s">
        <v>10</v>
      </c>
      <c r="D9934" s="7">
        <v>11764</v>
      </c>
      <c r="E9934" s="7" t="s">
        <v>28</v>
      </c>
      <c r="F9934" s="8" t="str">
        <f ca="1">IFERROR(__xludf.DUMMYFUNCTION("IF
(
C9935=""фізична особа""
,
VLOOKUP(D9935,IMPORTRANGE(""https://docs.google.com/spreadsheets/d/14Bd19lYaqBhU8_DElYkX7l4wRkHqqCUFNJY4AfY3kHU/edit?usp=sharing  #gid=0"",""фіз особи new!relations_name""),6,FALSE)
,
(IF
(
C9935=""юридична особа""
,
VLOOKUP"&amp;"(D9935,IMPORTRANGE(""https://docs.google.com/spreadsheets/d/14Bd19lYaqBhU8_DElYkX7l4wRkHqqCUFNJY4AfY3kHU/edit?usp=sharing  #gid=0"",""фіз особи new!relations_name_uo""),7,FALSE)
,
)
))"),"БАЙКАЛОВ Андрій Дмитрович")</f>
        <v>БАЙКАЛОВ Андрій Дмитрович</v>
      </c>
      <c r="G9934" s="7" t="s">
        <v>10</v>
      </c>
      <c r="H9934" s="7">
        <v>11867</v>
      </c>
      <c r="I9934" s="8" t="str">
        <f ca="1">IFERROR(__xludf.DUMMYFUNCTION("IF
(
G9935=""фізична особа""
,
VLOOKUP(H9935,IMPORTRANGE(""https://docs.google.com/spreadsheets/d/14Bd19lYaqBhU8_DElYkX7l4wRkHqqCUFNJY4AfY3kHU/edit?usp=sharing  #gid=0"",""фіз особи new!relations_name""),6,FALSE)
,
(IF
(
G9935=""юридична особа""
,
VLOOKUP"&amp;"(H9935,IMPORTRANGE(""https://docs.google.com/spreadsheets/d/14Bd19lYaqBhU8_DElYkX7l4wRkHqqCUFNJY4AfY3kHU/edit?usp=sharing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4" s="7" t="s">
        <v>29</v>
      </c>
    </row>
    <row r="9935" spans="1:10" ht="13.2">
      <c r="A9935" s="7">
        <v>9934</v>
      </c>
      <c r="B9935" s="7">
        <v>1</v>
      </c>
      <c r="C9935" s="7" t="s">
        <v>10</v>
      </c>
      <c r="D9935" s="7">
        <v>11765</v>
      </c>
      <c r="E9935" s="7" t="s">
        <v>28</v>
      </c>
      <c r="F9935" s="8" t="str">
        <f ca="1">IFERROR(__xludf.DUMMYFUNCTION("IF
(
C9936=""фізична особа""
,
VLOOKUP(D9936,IMPORTRANGE(""https://docs.google.com/spreadsheets/d/14Bd19lYaqBhU8_DElYkX7l4wRkHqqCUFNJY4AfY3kHU/edit?usp=sharing  #gid=0"",""фіз особи new!relations_name""),6,FALSE)
,
(IF
(
C9936=""юридична особа""
,
VLOOKUP"&amp;"(D9936,IMPORTRANGE(""https://docs.google.com/spreadsheets/d/14Bd19lYaqBhU8_DElYkX7l4wRkHqqCUFNJY4AfY3kHU/edit?usp=sharing  #gid=0"",""фіз особи new!relations_name_uo""),7,FALSE)
,
)
))"),"БАЙРАМКУЛОВ Борис Мудаліфович")</f>
        <v>БАЙРАМКУЛОВ Борис Мудаліфович</v>
      </c>
      <c r="G9935" s="7" t="s">
        <v>10</v>
      </c>
      <c r="H9935" s="7">
        <v>11867</v>
      </c>
      <c r="I9935" s="8" t="str">
        <f ca="1">IFERROR(__xludf.DUMMYFUNCTION("IF
(
G9936=""фізична особа""
,
VLOOKUP(H9936,IMPORTRANGE(""https://docs.google.com/spreadsheets/d/14Bd19lYaqBhU8_DElYkX7l4wRkHqqCUFNJY4AfY3kHU/edit?usp=sharing  #gid=0"",""фіз особи new!relations_name""),6,FALSE)
,
(IF
(
G9936=""юридична особа""
,
VLOOKUP"&amp;"(H9936,IMPORTRANGE(""https://docs.google.com/spreadsheets/d/14Bd19lYaqBhU8_DElYkX7l4wRkHqqCUFNJY4AfY3kHU/edit?usp=sharing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5" s="7" t="s">
        <v>29</v>
      </c>
    </row>
    <row r="9936" spans="1:10" ht="13.2">
      <c r="A9936" s="7">
        <v>9935</v>
      </c>
      <c r="B9936" s="7">
        <v>1</v>
      </c>
      <c r="C9936" s="7" t="s">
        <v>10</v>
      </c>
      <c r="D9936" s="7">
        <v>11766</v>
      </c>
      <c r="E9936" s="7" t="s">
        <v>28</v>
      </c>
      <c r="F9936" s="8" t="str">
        <f ca="1">IFERROR(__xludf.DUMMYFUNCTION("IF
(
C9937=""фізична особа""
,
VLOOKUP(D9937,IMPORTRANGE(""https://docs.google.com/spreadsheets/d/14Bd19lYaqBhU8_DElYkX7l4wRkHqqCUFNJY4AfY3kHU/edit?usp=sharing  #gid=0"",""фіз особи new!relations_name""),6,FALSE)
,
(IF
(
C9937=""юридична особа""
,
VLOOKUP"&amp;"(D9937,IMPORTRANGE(""https://docs.google.com/spreadsheets/d/14Bd19lYaqBhU8_DElYkX7l4wRkHqqCUFNJY4AfY3kHU/edit?usp=sharing  #gid=0"",""фіз особи new!relations_name_uo""),7,FALSE)
,
)
))"),"КАРАМДІН Юрій Володимирович")</f>
        <v>КАРАМДІН Юрій Володимирович</v>
      </c>
      <c r="G9936" s="7" t="s">
        <v>10</v>
      </c>
      <c r="H9936" s="7">
        <v>11867</v>
      </c>
      <c r="I9936" s="8" t="str">
        <f ca="1">IFERROR(__xludf.DUMMYFUNCTION("IF
(
G9937=""фізична особа""
,
VLOOKUP(H9937,IMPORTRANGE(""https://docs.google.com/spreadsheets/d/14Bd19lYaqBhU8_DElYkX7l4wRkHqqCUFNJY4AfY3kHU/edit?usp=sharing  #gid=0"",""фіз особи new!relations_name""),6,FALSE)
,
(IF
(
G9937=""юридична особа""
,
VLOOKUP"&amp;"(H9937,IMPORTRANGE(""https://docs.google.com/spreadsheets/d/14Bd19lYaqBhU8_DElYkX7l4wRkHqqCUFNJY4AfY3kHU/edit?usp=sharing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6" s="7" t="s">
        <v>29</v>
      </c>
    </row>
    <row r="9937" spans="1:10" ht="13.2">
      <c r="A9937" s="7">
        <v>9936</v>
      </c>
      <c r="B9937" s="7">
        <v>1</v>
      </c>
      <c r="C9937" s="7" t="s">
        <v>10</v>
      </c>
      <c r="D9937" s="7">
        <v>11767</v>
      </c>
      <c r="E9937" s="7" t="s">
        <v>28</v>
      </c>
      <c r="F9937" s="8" t="str">
        <f ca="1">IFERROR(__xludf.DUMMYFUNCTION("IF
(
C9938=""фізична особа""
,
VLOOKUP(D9938,IMPORTRANGE(""https://docs.google.com/spreadsheets/d/14Bd19lYaqBhU8_DElYkX7l4wRkHqqCUFNJY4AfY3kHU/edit?usp=sharing  #gid=0"",""фіз особи new!relations_name""),6,FALSE)
,
(IF
(
C9938=""юридична особа""
,
VLOOKUP"&amp;"(D9938,IMPORTRANGE(""https://docs.google.com/spreadsheets/d/14Bd19lYaqBhU8_DElYkX7l4wRkHqqCUFNJY4AfY3kHU/edit?usp=sharing  #gid=0"",""фіз особи new!relations_name_uo""),7,FALSE)
,
)
))"),"МЕДВЕДЄВА Ольга Михайлівна")</f>
        <v>МЕДВЕДЄВА Ольга Михайлівна</v>
      </c>
      <c r="G9937" s="7" t="s">
        <v>10</v>
      </c>
      <c r="H9937" s="7">
        <v>11867</v>
      </c>
      <c r="I9937" s="8" t="str">
        <f ca="1">IFERROR(__xludf.DUMMYFUNCTION("IF
(
G9938=""фізична особа""
,
VLOOKUP(H9938,IMPORTRANGE(""https://docs.google.com/spreadsheets/d/14Bd19lYaqBhU8_DElYkX7l4wRkHqqCUFNJY4AfY3kHU/edit?usp=sharing  #gid=0"",""фіз особи new!relations_name""),6,FALSE)
,
(IF
(
G9938=""юридична особа""
,
VLOOKUP"&amp;"(H9938,IMPORTRANGE(""https://docs.google.com/spreadsheets/d/14Bd19lYaqBhU8_DElYkX7l4wRkHqqCUFNJY4AfY3kHU/edit?usp=sharing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7" s="7" t="s">
        <v>29</v>
      </c>
    </row>
    <row r="9938" spans="1:10" ht="13.2">
      <c r="A9938" s="7">
        <v>9937</v>
      </c>
      <c r="B9938" s="7">
        <v>1</v>
      </c>
      <c r="C9938" s="7" t="s">
        <v>10</v>
      </c>
      <c r="D9938" s="7">
        <v>11768</v>
      </c>
      <c r="E9938" s="7" t="s">
        <v>28</v>
      </c>
      <c r="F9938" s="8" t="str">
        <f ca="1">IFERROR(__xludf.DUMMYFUNCTION("IF
(
C9939=""фізична особа""
,
VLOOKUP(D9939,IMPORTRANGE(""https://docs.google.com/spreadsheets/d/14Bd19lYaqBhU8_DElYkX7l4wRkHqqCUFNJY4AfY3kHU/edit?usp=sharing  #gid=0"",""фіз особи new!relations_name""),6,FALSE)
,
(IF
(
C9939=""юридична особа""
,
VLOOKUP"&amp;"(D9939,IMPORTRANGE(""https://docs.google.com/spreadsheets/d/14Bd19lYaqBhU8_DElYkX7l4wRkHqqCUFNJY4AfY3kHU/edit?usp=sharing  #gid=0"",""фіз особи new!relations_name_uo""),7,FALSE)
,
)
))"),"ГУБІН Олег Юрійович")</f>
        <v>ГУБІН Олег Юрійович</v>
      </c>
      <c r="G9938" s="7" t="s">
        <v>10</v>
      </c>
      <c r="H9938" s="7">
        <v>11867</v>
      </c>
      <c r="I9938" s="8" t="str">
        <f ca="1">IFERROR(__xludf.DUMMYFUNCTION("IF
(
G9939=""фізична особа""
,
VLOOKUP(H9939,IMPORTRANGE(""https://docs.google.com/spreadsheets/d/14Bd19lYaqBhU8_DElYkX7l4wRkHqqCUFNJY4AfY3kHU/edit?usp=sharing  #gid=0"",""фіз особи new!relations_name""),6,FALSE)
,
(IF
(
G9939=""юридична особа""
,
VLOOKUP"&amp;"(H9939,IMPORTRANGE(""https://docs.google.com/spreadsheets/d/14Bd19lYaqBhU8_DElYkX7l4wRkHqqCUFNJY4AfY3kHU/edit?usp=sharing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8" s="7" t="s">
        <v>29</v>
      </c>
    </row>
    <row r="9939" spans="1:10" ht="13.2">
      <c r="A9939" s="7">
        <v>9938</v>
      </c>
      <c r="B9939" s="7">
        <v>1</v>
      </c>
      <c r="C9939" s="7" t="s">
        <v>10</v>
      </c>
      <c r="D9939" s="7">
        <v>11769</v>
      </c>
      <c r="E9939" s="7" t="s">
        <v>28</v>
      </c>
      <c r="F9939" s="8" t="str">
        <f ca="1">IFERROR(__xludf.DUMMYFUNCTION("IF
(
C9940=""фізична особа""
,
VLOOKUP(D9940,IMPORTRANGE(""https://docs.google.com/spreadsheets/d/14Bd19lYaqBhU8_DElYkX7l4wRkHqqCUFNJY4AfY3kHU/edit?usp=sharing  #gid=0"",""фіз особи new!relations_name""),6,FALSE)
,
(IF
(
C9940=""юридична особа""
,
VLOOKUP"&amp;"(D9940,IMPORTRANGE(""https://docs.google.com/spreadsheets/d/14Bd19lYaqBhU8_DElYkX7l4wRkHqqCUFNJY4AfY3kHU/edit?usp=sharing  #gid=0"",""фіз особи new!relations_name_uo""),7,FALSE)
,
)
))"),"КОЛГІН Данило Олександрович")</f>
        <v>КОЛГІН Данило Олександрович</v>
      </c>
      <c r="G9939" s="7" t="s">
        <v>10</v>
      </c>
      <c r="H9939" s="7">
        <v>11867</v>
      </c>
      <c r="I9939" s="8" t="str">
        <f ca="1">IFERROR(__xludf.DUMMYFUNCTION("IF
(
G9940=""фізична особа""
,
VLOOKUP(H9940,IMPORTRANGE(""https://docs.google.com/spreadsheets/d/14Bd19lYaqBhU8_DElYkX7l4wRkHqqCUFNJY4AfY3kHU/edit?usp=sharing  #gid=0"",""фіз особи new!relations_name""),6,FALSE)
,
(IF
(
G9940=""юридична особа""
,
VLOOKUP"&amp;"(H9940,IMPORTRANGE(""https://docs.google.com/spreadsheets/d/14Bd19lYaqBhU8_DElYkX7l4wRkHqqCUFNJY4AfY3kHU/edit?usp=sharing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39" s="7" t="s">
        <v>29</v>
      </c>
    </row>
    <row r="9940" spans="1:10" ht="13.2">
      <c r="A9940" s="7">
        <v>9939</v>
      </c>
      <c r="B9940" s="7">
        <v>1</v>
      </c>
      <c r="C9940" s="7" t="s">
        <v>10</v>
      </c>
      <c r="D9940" s="7">
        <v>11770</v>
      </c>
      <c r="E9940" s="7" t="s">
        <v>28</v>
      </c>
      <c r="F9940" s="8" t="str">
        <f ca="1">IFERROR(__xludf.DUMMYFUNCTION("IF
(
C9941=""фізична особа""
,
VLOOKUP(D9941,IMPORTRANGE(""https://docs.google.com/spreadsheets/d/14Bd19lYaqBhU8_DElYkX7l4wRkHqqCUFNJY4AfY3kHU/edit?usp=sharing  #gid=0"",""фіз особи new!relations_name""),6,FALSE)
,
(IF
(
C9941=""юридична особа""
,
VLOOKUP"&amp;"(D9941,IMPORTRANGE(""https://docs.google.com/spreadsheets/d/14Bd19lYaqBhU8_DElYkX7l4wRkHqqCUFNJY4AfY3kHU/edit?usp=sharing  #gid=0"",""фіз особи new!relations_name_uo""),7,FALSE)
,
)
))"),"КОЛЕСНІКОВ Володимир Валерійович")</f>
        <v>КОЛЕСНІКОВ Володимир Валерійович</v>
      </c>
      <c r="G9940" s="7" t="s">
        <v>10</v>
      </c>
      <c r="H9940" s="7">
        <v>11867</v>
      </c>
      <c r="I9940" s="8" t="str">
        <f ca="1">IFERROR(__xludf.DUMMYFUNCTION("IF
(
G9941=""фізична особа""
,
VLOOKUP(H9941,IMPORTRANGE(""https://docs.google.com/spreadsheets/d/14Bd19lYaqBhU8_DElYkX7l4wRkHqqCUFNJY4AfY3kHU/edit?usp=sharing  #gid=0"",""фіз особи new!relations_name""),6,FALSE)
,
(IF
(
G9941=""юридична особа""
,
VLOOKUP"&amp;"(H9941,IMPORTRANGE(""https://docs.google.com/spreadsheets/d/14Bd19lYaqBhU8_DElYkX7l4wRkHqqCUFNJY4AfY3kHU/edit?usp=sharing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0" s="7" t="s">
        <v>29</v>
      </c>
    </row>
    <row r="9941" spans="1:10" ht="13.2">
      <c r="A9941" s="7">
        <v>9940</v>
      </c>
      <c r="B9941" s="7">
        <v>1</v>
      </c>
      <c r="C9941" s="7" t="s">
        <v>10</v>
      </c>
      <c r="D9941" s="7">
        <v>11771</v>
      </c>
      <c r="E9941" s="7" t="s">
        <v>28</v>
      </c>
      <c r="F9941" s="8" t="str">
        <f ca="1">IFERROR(__xludf.DUMMYFUNCTION("IF
(
C9942=""фізична особа""
,
VLOOKUP(D9942,IMPORTRANGE(""https://docs.google.com/spreadsheets/d/14Bd19lYaqBhU8_DElYkX7l4wRkHqqCUFNJY4AfY3kHU/edit?usp=sharing  #gid=0"",""фіз особи new!relations_name""),6,FALSE)
,
(IF
(
C9942=""юридична особа""
,
VLOOKUP"&amp;"(D9942,IMPORTRANGE(""https://docs.google.com/spreadsheets/d/14Bd19lYaqBhU8_DElYkX7l4wRkHqqCUFNJY4AfY3kHU/edit?usp=sharing  #gid=0"",""фіз особи new!relations_name_uo""),7,FALSE)
,
)
))"),"САРКІСОВА Наталія Олександрівна")</f>
        <v>САРКІСОВА Наталія Олександрівна</v>
      </c>
      <c r="G9941" s="7" t="s">
        <v>10</v>
      </c>
      <c r="H9941" s="7">
        <v>11867</v>
      </c>
      <c r="I9941" s="8" t="str">
        <f ca="1">IFERROR(__xludf.DUMMYFUNCTION("IF
(
G9942=""фізична особа""
,
VLOOKUP(H9942,IMPORTRANGE(""https://docs.google.com/spreadsheets/d/14Bd19lYaqBhU8_DElYkX7l4wRkHqqCUFNJY4AfY3kHU/edit?usp=sharing  #gid=0"",""фіз особи new!relations_name""),6,FALSE)
,
(IF
(
G9942=""юридична особа""
,
VLOOKUP"&amp;"(H9942,IMPORTRANGE(""https://docs.google.com/spreadsheets/d/14Bd19lYaqBhU8_DElYkX7l4wRkHqqCUFNJY4AfY3kHU/edit?usp=sharing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1" s="7" t="s">
        <v>29</v>
      </c>
    </row>
    <row r="9942" spans="1:10" ht="13.2">
      <c r="A9942" s="7">
        <v>9941</v>
      </c>
      <c r="B9942" s="7">
        <v>1</v>
      </c>
      <c r="C9942" s="7" t="s">
        <v>10</v>
      </c>
      <c r="D9942" s="7">
        <v>11772</v>
      </c>
      <c r="E9942" s="7" t="s">
        <v>28</v>
      </c>
      <c r="F9942" s="8" t="str">
        <f ca="1">IFERROR(__xludf.DUMMYFUNCTION("IF
(
C9943=""фізична особа""
,
VLOOKUP(D9943,IMPORTRANGE(""https://docs.google.com/spreadsheets/d/14Bd19lYaqBhU8_DElYkX7l4wRkHqqCUFNJY4AfY3kHU/edit?usp=sharing  #gid=0"",""фіз особи new!relations_name""),6,FALSE)
,
(IF
(
C9943=""юридична особа""
,
VLOOKUP"&amp;"(D9943,IMPORTRANGE(""https://docs.google.com/spreadsheets/d/14Bd19lYaqBhU8_DElYkX7l4wRkHqqCUFNJY4AfY3kHU/edit?usp=sharing  #gid=0"",""фіз особи new!relations_name_uo""),7,FALSE)
,
)
))"),"ПИКІН Анатолій Іванович")</f>
        <v>ПИКІН Анатолій Іванович</v>
      </c>
      <c r="G9942" s="7" t="s">
        <v>10</v>
      </c>
      <c r="H9942" s="7">
        <v>11867</v>
      </c>
      <c r="I9942" s="8" t="str">
        <f ca="1">IFERROR(__xludf.DUMMYFUNCTION("IF
(
G9943=""фізична особа""
,
VLOOKUP(H9943,IMPORTRANGE(""https://docs.google.com/spreadsheets/d/14Bd19lYaqBhU8_DElYkX7l4wRkHqqCUFNJY4AfY3kHU/edit?usp=sharing  #gid=0"",""фіз особи new!relations_name""),6,FALSE)
,
(IF
(
G9943=""юридична особа""
,
VLOOKUP"&amp;"(H9943,IMPORTRANGE(""https://docs.google.com/spreadsheets/d/14Bd19lYaqBhU8_DElYkX7l4wRkHqqCUFNJY4AfY3kHU/edit?usp=sharing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2" s="7" t="s">
        <v>29</v>
      </c>
    </row>
    <row r="9943" spans="1:10" ht="13.2">
      <c r="A9943" s="7">
        <v>9942</v>
      </c>
      <c r="B9943" s="7">
        <v>1</v>
      </c>
      <c r="C9943" s="7" t="s">
        <v>10</v>
      </c>
      <c r="D9943" s="7">
        <v>11773</v>
      </c>
      <c r="E9943" s="7" t="s">
        <v>28</v>
      </c>
      <c r="F9943" s="8" t="str">
        <f ca="1">IFERROR(__xludf.DUMMYFUNCTION("IF
(
C9944=""фізична особа""
,
VLOOKUP(D9944,IMPORTRANGE(""https://docs.google.com/spreadsheets/d/14Bd19lYaqBhU8_DElYkX7l4wRkHqqCUFNJY4AfY3kHU/edit?usp=sharing  #gid=0"",""фіз особи new!relations_name""),6,FALSE)
,
(IF
(
C9944=""юридична особа""
,
VLOOKUP"&amp;"(D9944,IMPORTRANGE(""https://docs.google.com/spreadsheets/d/14Bd19lYaqBhU8_DElYkX7l4wRkHqqCUFNJY4AfY3kHU/edit?usp=sharing  #gid=0"",""фіз особи new!relations_name_uo""),7,FALSE)
,
)
))"),"АСТРЕЛІНА Тетяна Миколаївна")</f>
        <v>АСТРЕЛІНА Тетяна Миколаївна</v>
      </c>
      <c r="G9943" s="7" t="s">
        <v>10</v>
      </c>
      <c r="H9943" s="7">
        <v>11867</v>
      </c>
      <c r="I9943" s="8" t="str">
        <f ca="1">IFERROR(__xludf.DUMMYFUNCTION("IF
(
G9944=""фізична особа""
,
VLOOKUP(H9944,IMPORTRANGE(""https://docs.google.com/spreadsheets/d/14Bd19lYaqBhU8_DElYkX7l4wRkHqqCUFNJY4AfY3kHU/edit?usp=sharing  #gid=0"",""фіз особи new!relations_name""),6,FALSE)
,
(IF
(
G9944=""юридична особа""
,
VLOOKUP"&amp;"(H9944,IMPORTRANGE(""https://docs.google.com/spreadsheets/d/14Bd19lYaqBhU8_DElYkX7l4wRkHqqCUFNJY4AfY3kHU/edit?usp=sharing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3" s="7" t="s">
        <v>29</v>
      </c>
    </row>
    <row r="9944" spans="1:10" ht="13.2">
      <c r="A9944" s="7">
        <v>9943</v>
      </c>
      <c r="B9944" s="7">
        <v>1</v>
      </c>
      <c r="C9944" s="7" t="s">
        <v>10</v>
      </c>
      <c r="D9944" s="7">
        <v>11774</v>
      </c>
      <c r="E9944" s="7" t="s">
        <v>28</v>
      </c>
      <c r="F9944" s="8" t="str">
        <f ca="1">IFERROR(__xludf.DUMMYFUNCTION("IF
(
C9945=""фізична особа""
,
VLOOKUP(D9945,IMPORTRANGE(""https://docs.google.com/spreadsheets/d/14Bd19lYaqBhU8_DElYkX7l4wRkHqqCUFNJY4AfY3kHU/edit?usp=sharing  #gid=0"",""фіз особи new!relations_name""),6,FALSE)
,
(IF
(
C9945=""юридична особа""
,
VLOOKUP"&amp;"(D9945,IMPORTRANGE(""https://docs.google.com/spreadsheets/d/14Bd19lYaqBhU8_DElYkX7l4wRkHqqCUFNJY4AfY3kHU/edit?usp=sharing  #gid=0"",""фіз особи new!relations_name_uo""),7,FALSE)
,
)
))"),"АРТАМОНОВА / ПОКОЛЕНКО Ольга Володимирівна")</f>
        <v>АРТАМОНОВА / ПОКОЛЕНКО Ольга Володимирівна</v>
      </c>
      <c r="G9944" s="7" t="s">
        <v>10</v>
      </c>
      <c r="H9944" s="7">
        <v>11867</v>
      </c>
      <c r="I9944" s="8" t="str">
        <f ca="1">IFERROR(__xludf.DUMMYFUNCTION("IF
(
G9945=""фізична особа""
,
VLOOKUP(H9945,IMPORTRANGE(""https://docs.google.com/spreadsheets/d/14Bd19lYaqBhU8_DElYkX7l4wRkHqqCUFNJY4AfY3kHU/edit?usp=sharing  #gid=0"",""фіз особи new!relations_name""),6,FALSE)
,
(IF
(
G9945=""юридична особа""
,
VLOOKUP"&amp;"(H9945,IMPORTRANGE(""https://docs.google.com/spreadsheets/d/14Bd19lYaqBhU8_DElYkX7l4wRkHqqCUFNJY4AfY3kHU/edit?usp=sharing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4" s="7" t="s">
        <v>29</v>
      </c>
    </row>
    <row r="9945" spans="1:10" ht="13.2">
      <c r="A9945" s="7">
        <v>9944</v>
      </c>
      <c r="B9945" s="7">
        <v>1</v>
      </c>
      <c r="C9945" s="7" t="s">
        <v>10</v>
      </c>
      <c r="D9945" s="7">
        <v>11775</v>
      </c>
      <c r="E9945" s="7" t="s">
        <v>28</v>
      </c>
      <c r="F9945" s="8" t="str">
        <f ca="1">IFERROR(__xludf.DUMMYFUNCTION("IF
(
C9946=""фізична особа""
,
VLOOKUP(D9946,IMPORTRANGE(""https://docs.google.com/spreadsheets/d/14Bd19lYaqBhU8_DElYkX7l4wRkHqqCUFNJY4AfY3kHU/edit?usp=sharing  #gid=0"",""фіз особи new!relations_name""),6,FALSE)
,
(IF
(
C9946=""юридична особа""
,
VLOOKUP"&amp;"(D9946,IMPORTRANGE(""https://docs.google.com/spreadsheets/d/14Bd19lYaqBhU8_DElYkX7l4wRkHqqCUFNJY4AfY3kHU/edit?usp=sharing  #gid=0"",""фіз особи new!relations_name_uo""),7,FALSE)
,
)
))"),"КІШМАХОВА / ТУАРШЕВА Майя Якубівна")</f>
        <v>КІШМАХОВА / ТУАРШЕВА Майя Якубівна</v>
      </c>
      <c r="G9945" s="7" t="s">
        <v>10</v>
      </c>
      <c r="H9945" s="7">
        <v>11867</v>
      </c>
      <c r="I9945" s="8" t="str">
        <f ca="1">IFERROR(__xludf.DUMMYFUNCTION("IF
(
G9946=""фізична особа""
,
VLOOKUP(H9946,IMPORTRANGE(""https://docs.google.com/spreadsheets/d/14Bd19lYaqBhU8_DElYkX7l4wRkHqqCUFNJY4AfY3kHU/edit?usp=sharing  #gid=0"",""фіз особи new!relations_name""),6,FALSE)
,
(IF
(
G9946=""юридична особа""
,
VLOOKUP"&amp;"(H9946,IMPORTRANGE(""https://docs.google.com/spreadsheets/d/14Bd19lYaqBhU8_DElYkX7l4wRkHqqCUFNJY4AfY3kHU/edit?usp=sharing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5" s="7" t="s">
        <v>29</v>
      </c>
    </row>
    <row r="9946" spans="1:10" ht="13.2">
      <c r="A9946" s="7">
        <v>9945</v>
      </c>
      <c r="B9946" s="7">
        <v>1</v>
      </c>
      <c r="C9946" s="7" t="s">
        <v>10</v>
      </c>
      <c r="D9946" s="7">
        <v>11776</v>
      </c>
      <c r="E9946" s="7" t="s">
        <v>28</v>
      </c>
      <c r="F9946" s="8" t="str">
        <f ca="1">IFERROR(__xludf.DUMMYFUNCTION("IF
(
C9947=""фізична особа""
,
VLOOKUP(D9947,IMPORTRANGE(""https://docs.google.com/spreadsheets/d/14Bd19lYaqBhU8_DElYkX7l4wRkHqqCUFNJY4AfY3kHU/edit?usp=sharing  #gid=0"",""фіз особи new!relations_name""),6,FALSE)
,
(IF
(
C9947=""юридична особа""
,
VLOOKUP"&amp;"(D9947,IMPORTRANGE(""https://docs.google.com/spreadsheets/d/14Bd19lYaqBhU8_DElYkX7l4wRkHqqCUFNJY4AfY3kHU/edit?usp=sharing  #gid=0"",""фіз особи new!relations_name_uo""),7,FALSE)
,
)
))"),"ФРОЛОВ Денис Олександрович")</f>
        <v>ФРОЛОВ Денис Олександрович</v>
      </c>
      <c r="G9946" s="7" t="s">
        <v>10</v>
      </c>
      <c r="H9946" s="7">
        <v>11867</v>
      </c>
      <c r="I9946" s="8" t="str">
        <f ca="1">IFERROR(__xludf.DUMMYFUNCTION("IF
(
G9947=""фізична особа""
,
VLOOKUP(H9947,IMPORTRANGE(""https://docs.google.com/spreadsheets/d/14Bd19lYaqBhU8_DElYkX7l4wRkHqqCUFNJY4AfY3kHU/edit?usp=sharing  #gid=0"",""фіз особи new!relations_name""),6,FALSE)
,
(IF
(
G9947=""юридична особа""
,
VLOOKUP"&amp;"(H9947,IMPORTRANGE(""https://docs.google.com/spreadsheets/d/14Bd19lYaqBhU8_DElYkX7l4wRkHqqCUFNJY4AfY3kHU/edit?usp=sharing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6" s="7" t="s">
        <v>29</v>
      </c>
    </row>
    <row r="9947" spans="1:10" ht="13.2">
      <c r="A9947" s="7">
        <v>9946</v>
      </c>
      <c r="B9947" s="7">
        <v>1</v>
      </c>
      <c r="C9947" s="7" t="s">
        <v>10</v>
      </c>
      <c r="D9947" s="7">
        <v>11777</v>
      </c>
      <c r="E9947" s="7" t="s">
        <v>28</v>
      </c>
      <c r="F9947" s="8" t="str">
        <f ca="1">IFERROR(__xludf.DUMMYFUNCTION("IF
(
C9948=""фізична особа""
,
VLOOKUP(D9948,IMPORTRANGE(""https://docs.google.com/spreadsheets/d/14Bd19lYaqBhU8_DElYkX7l4wRkHqqCUFNJY4AfY3kHU/edit?usp=sharing  #gid=0"",""фіз особи new!relations_name""),6,FALSE)
,
(IF
(
C9948=""юридична особа""
,
VLOOKUP"&amp;"(D9948,IMPORTRANGE(""https://docs.google.com/spreadsheets/d/14Bd19lYaqBhU8_DElYkX7l4wRkHqqCUFNJY4AfY3kHU/edit?usp=sharing  #gid=0"",""фіз особи new!relations_name_uo""),7,FALSE)
,
)
))"),"ДОРЖУ Едуард Васильович")</f>
        <v>ДОРЖУ Едуард Васильович</v>
      </c>
      <c r="G9947" s="7" t="s">
        <v>10</v>
      </c>
      <c r="H9947" s="7">
        <v>11867</v>
      </c>
      <c r="I9947" s="8" t="str">
        <f ca="1">IFERROR(__xludf.DUMMYFUNCTION("IF
(
G9948=""фізична особа""
,
VLOOKUP(H9948,IMPORTRANGE(""https://docs.google.com/spreadsheets/d/14Bd19lYaqBhU8_DElYkX7l4wRkHqqCUFNJY4AfY3kHU/edit?usp=sharing  #gid=0"",""фіз особи new!relations_name""),6,FALSE)
,
(IF
(
G9948=""юридична особа""
,
VLOOKUP"&amp;"(H9948,IMPORTRANGE(""https://docs.google.com/spreadsheets/d/14Bd19lYaqBhU8_DElYkX7l4wRkHqqCUFNJY4AfY3kHU/edit?usp=sharing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7" s="7" t="s">
        <v>29</v>
      </c>
    </row>
    <row r="9948" spans="1:10" ht="13.2">
      <c r="A9948" s="7">
        <v>9947</v>
      </c>
      <c r="B9948" s="7">
        <v>1</v>
      </c>
      <c r="C9948" s="7" t="s">
        <v>10</v>
      </c>
      <c r="D9948" s="7">
        <v>11778</v>
      </c>
      <c r="E9948" s="7" t="s">
        <v>28</v>
      </c>
      <c r="F9948" s="8" t="str">
        <f ca="1">IFERROR(__xludf.DUMMYFUNCTION("IF
(
C9949=""фізична особа""
,
VLOOKUP(D9949,IMPORTRANGE(""https://docs.google.com/spreadsheets/d/14Bd19lYaqBhU8_DElYkX7l4wRkHqqCUFNJY4AfY3kHU/edit?usp=sharing  #gid=0"",""фіз особи new!relations_name""),6,FALSE)
,
(IF
(
C9949=""юридична особа""
,
VLOOKUP"&amp;"(D9949,IMPORTRANGE(""https://docs.google.com/spreadsheets/d/14Bd19lYaqBhU8_DElYkX7l4wRkHqqCUFNJY4AfY3kHU/edit?usp=sharing  #gid=0"",""фіз особи new!relations_name_uo""),7,FALSE)
,
)
))"),"БЕРДІНСЬКИХ Олександр Анатолійович")</f>
        <v>БЕРДІНСЬКИХ Олександр Анатолійович</v>
      </c>
      <c r="G9948" s="7" t="s">
        <v>10</v>
      </c>
      <c r="H9948" s="7">
        <v>11867</v>
      </c>
      <c r="I9948" s="8" t="str">
        <f ca="1">IFERROR(__xludf.DUMMYFUNCTION("IF
(
G9949=""фізична особа""
,
VLOOKUP(H9949,IMPORTRANGE(""https://docs.google.com/spreadsheets/d/14Bd19lYaqBhU8_DElYkX7l4wRkHqqCUFNJY4AfY3kHU/edit?usp=sharing  #gid=0"",""фіз особи new!relations_name""),6,FALSE)
,
(IF
(
G9949=""юридична особа""
,
VLOOKUP"&amp;"(H9949,IMPORTRANGE(""https://docs.google.com/spreadsheets/d/14Bd19lYaqBhU8_DElYkX7l4wRkHqqCUFNJY4AfY3kHU/edit?usp=sharing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8" s="7" t="s">
        <v>29</v>
      </c>
    </row>
    <row r="9949" spans="1:10" ht="13.2">
      <c r="A9949" s="7">
        <v>9948</v>
      </c>
      <c r="B9949" s="7">
        <v>1</v>
      </c>
      <c r="C9949" s="7" t="s">
        <v>10</v>
      </c>
      <c r="D9949" s="7">
        <v>11779</v>
      </c>
      <c r="E9949" s="7" t="s">
        <v>28</v>
      </c>
      <c r="F9949" s="8" t="str">
        <f ca="1">IFERROR(__xludf.DUMMYFUNCTION("IF
(
C9950=""фізична особа""
,
VLOOKUP(D9950,IMPORTRANGE(""https://docs.google.com/spreadsheets/d/14Bd19lYaqBhU8_DElYkX7l4wRkHqqCUFNJY4AfY3kHU/edit?usp=sharing  #gid=0"",""фіз особи new!relations_name""),6,FALSE)
,
(IF
(
C9950=""юридична особа""
,
VLOOKUP"&amp;"(D9950,IMPORTRANGE(""https://docs.google.com/spreadsheets/d/14Bd19lYaqBhU8_DElYkX7l4wRkHqqCUFNJY4AfY3kHU/edit?usp=sharing  #gid=0"",""фіз особи new!relations_name_uo""),7,FALSE)
,
)
))"),"МАТВЄЄВА Марина Валеріївна")</f>
        <v>МАТВЄЄВА Марина Валеріївна</v>
      </c>
      <c r="G9949" s="7" t="s">
        <v>10</v>
      </c>
      <c r="H9949" s="7">
        <v>11867</v>
      </c>
      <c r="I9949" s="8" t="str">
        <f ca="1">IFERROR(__xludf.DUMMYFUNCTION("IF
(
G9950=""фізична особа""
,
VLOOKUP(H9950,IMPORTRANGE(""https://docs.google.com/spreadsheets/d/14Bd19lYaqBhU8_DElYkX7l4wRkHqqCUFNJY4AfY3kHU/edit?usp=sharing  #gid=0"",""фіз особи new!relations_name""),6,FALSE)
,
(IF
(
G9950=""юридична особа""
,
VLOOKUP"&amp;"(H9950,IMPORTRANGE(""https://docs.google.com/spreadsheets/d/14Bd19lYaqBhU8_DElYkX7l4wRkHqqCUFNJY4AfY3kHU/edit?usp=sharing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49" s="7" t="s">
        <v>29</v>
      </c>
    </row>
    <row r="9950" spans="1:10" ht="13.2">
      <c r="A9950" s="7">
        <v>9949</v>
      </c>
      <c r="B9950" s="7">
        <v>1</v>
      </c>
      <c r="C9950" s="7" t="s">
        <v>10</v>
      </c>
      <c r="D9950" s="7">
        <v>11780</v>
      </c>
      <c r="E9950" s="7" t="s">
        <v>28</v>
      </c>
      <c r="F9950" s="8" t="str">
        <f ca="1">IFERROR(__xludf.DUMMYFUNCTION("IF
(
C9951=""фізична особа""
,
VLOOKUP(D9951,IMPORTRANGE(""https://docs.google.com/spreadsheets/d/14Bd19lYaqBhU8_DElYkX7l4wRkHqqCUFNJY4AfY3kHU/edit?usp=sharing  #gid=0"",""фіз особи new!relations_name""),6,FALSE)
,
(IF
(
C9951=""юридична особа""
,
VLOOKUP"&amp;"(D9951,IMPORTRANGE(""https://docs.google.com/spreadsheets/d/14Bd19lYaqBhU8_DElYkX7l4wRkHqqCUFNJY4AfY3kHU/edit?usp=sharing  #gid=0"",""фіз особи new!relations_name_uo""),7,FALSE)
,
)
))"),"ЛОПАТІН Ігор Станіславович")</f>
        <v>ЛОПАТІН Ігор Станіславович</v>
      </c>
      <c r="G9950" s="7" t="s">
        <v>10</v>
      </c>
      <c r="H9950" s="7">
        <v>11867</v>
      </c>
      <c r="I9950" s="8" t="str">
        <f ca="1">IFERROR(__xludf.DUMMYFUNCTION("IF
(
G9951=""фізична особа""
,
VLOOKUP(H9951,IMPORTRANGE(""https://docs.google.com/spreadsheets/d/14Bd19lYaqBhU8_DElYkX7l4wRkHqqCUFNJY4AfY3kHU/edit?usp=sharing  #gid=0"",""фіз особи new!relations_name""),6,FALSE)
,
(IF
(
G9951=""юридична особа""
,
VLOOKUP"&amp;"(H9951,IMPORTRANGE(""https://docs.google.com/spreadsheets/d/14Bd19lYaqBhU8_DElYkX7l4wRkHqqCUFNJY4AfY3kHU/edit?usp=sharing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50" s="7" t="s">
        <v>29</v>
      </c>
    </row>
    <row r="9951" spans="1:10" ht="13.2">
      <c r="A9951" s="7">
        <v>9950</v>
      </c>
      <c r="B9951" s="7">
        <v>1</v>
      </c>
      <c r="C9951" s="7" t="s">
        <v>10</v>
      </c>
      <c r="D9951" s="7">
        <v>11781</v>
      </c>
      <c r="E9951" s="7" t="s">
        <v>28</v>
      </c>
      <c r="F9951" s="8" t="str">
        <f ca="1">IFERROR(__xludf.DUMMYFUNCTION("IF
(
C9952=""фізична особа""
,
VLOOKUP(D9952,IMPORTRANGE(""https://docs.google.com/spreadsheets/d/14Bd19lYaqBhU8_DElYkX7l4wRkHqqCUFNJY4AfY3kHU/edit?usp=sharing  #gid=0"",""фіз особи new!relations_name""),6,FALSE)
,
(IF
(
C9952=""юридична особа""
,
VLOOKUP"&amp;"(D9952,IMPORTRANGE(""https://docs.google.com/spreadsheets/d/14Bd19lYaqBhU8_DElYkX7l4wRkHqqCUFNJY4AfY3kHU/edit?usp=sharing  #gid=0"",""фіз особи new!relations_name_uo""),7,FALSE)
,
)
))"),"САННІКОВ Олексій Сергійович")</f>
        <v>САННІКОВ Олексій Сергійович</v>
      </c>
      <c r="G9951" s="7" t="s">
        <v>10</v>
      </c>
      <c r="H9951" s="7">
        <v>11867</v>
      </c>
      <c r="I9951" s="8" t="str">
        <f ca="1">IFERROR(__xludf.DUMMYFUNCTION("IF
(
G9952=""фізична особа""
,
VLOOKUP(H9952,IMPORTRANGE(""https://docs.google.com/spreadsheets/d/14Bd19lYaqBhU8_DElYkX7l4wRkHqqCUFNJY4AfY3kHU/edit?usp=sharing  #gid=0"",""фіз особи new!relations_name""),6,FALSE)
,
(IF
(
G9952=""юридична особа""
,
VLOOKUP"&amp;"(H9952,IMPORTRANGE(""https://docs.google.com/spreadsheets/d/14Bd19lYaqBhU8_DElYkX7l4wRkHqqCUFNJY4AfY3kHU/edit?usp=sharing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51" s="7" t="s">
        <v>29</v>
      </c>
    </row>
    <row r="9952" spans="1:10" ht="13.2">
      <c r="A9952" s="7">
        <v>9951</v>
      </c>
      <c r="B9952" s="7">
        <v>1</v>
      </c>
      <c r="C9952" s="7" t="s">
        <v>10</v>
      </c>
      <c r="D9952" s="7">
        <v>11782</v>
      </c>
      <c r="E9952" s="7" t="s">
        <v>28</v>
      </c>
      <c r="F9952" s="8" t="str">
        <f ca="1">IFERROR(__xludf.DUMMYFUNCTION("IF
(
C9953=""фізична особа""
,
VLOOKUP(D9953,IMPORTRANGE(""https://docs.google.com/spreadsheets/d/14Bd19lYaqBhU8_DElYkX7l4wRkHqqCUFNJY4AfY3kHU/edit?usp=sharing  #gid=0"",""фіз особи new!relations_name""),6,FALSE)
,
(IF
(
C9953=""юридична особа""
,
VLOOKUP"&amp;"(D9953,IMPORTRANGE(""https://docs.google.com/spreadsheets/d/14Bd19lYaqBhU8_DElYkX7l4wRkHqqCUFNJY4AfY3kHU/edit?usp=sharing  #gid=0"",""фіз особи new!relations_name_uo""),7,FALSE)
,
)
))"),"БЕСКАКОТОВ Сергій Васильович")</f>
        <v>БЕСКАКОТОВ Сергій Васильович</v>
      </c>
      <c r="G9952" s="7" t="s">
        <v>10</v>
      </c>
      <c r="H9952" s="7">
        <v>3042</v>
      </c>
      <c r="I9952" s="8" t="str">
        <f ca="1">IFERROR(__xludf.DUMMYFUNCTION("IF
(
G9953=""фізична особа""
,
VLOOKUP(H9953,IMPORTRANGE(""https://docs.google.com/spreadsheets/d/14Bd19lYaqBhU8_DElYkX7l4wRkHqqCUFNJY4AfY3kHU/edit?usp=sharing  #gid=0"",""фіз особи new!relations_name""),6,FALSE)
,
(IF
(
G9953=""юридична особа""
,
VLOOKUP"&amp;"(H9953,IMPORTRANGE(""https://docs.google.com/spreadsheets/d/14Bd19lYaqBhU8_DElYkX7l4wRkHqqCUFNJY4AfY3kHU/edit?usp=sharing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52" s="7" t="s">
        <v>29</v>
      </c>
    </row>
    <row r="9953" spans="1:10" ht="13.2">
      <c r="A9953" s="7">
        <v>9952</v>
      </c>
      <c r="B9953" s="7">
        <v>1</v>
      </c>
      <c r="C9953" s="7" t="s">
        <v>10</v>
      </c>
      <c r="D9953" s="7">
        <v>11783</v>
      </c>
      <c r="E9953" s="7" t="s">
        <v>28</v>
      </c>
      <c r="F9953" s="8" t="str">
        <f ca="1">IFERROR(__xludf.DUMMYFUNCTION("IF
(
C9954=""фізична особа""
,
VLOOKUP(D9954,IMPORTRANGE(""https://docs.google.com/spreadsheets/d/14Bd19lYaqBhU8_DElYkX7l4wRkHqqCUFNJY4AfY3kHU/edit?usp=sharing  #gid=0"",""фіз особи new!relations_name""),6,FALSE)
,
(IF
(
C9954=""юридична особа""
,
VLOOKUP"&amp;"(D9954,IMPORTRANGE(""https://docs.google.com/spreadsheets/d/14Bd19lYaqBhU8_DElYkX7l4wRkHqqCUFNJY4AfY3kHU/edit?usp=sharing  #gid=0"",""фіз особи new!relations_name_uo""),7,FALSE)
,
)
))"),"САРАЄВА Лариса Анатоліївна")</f>
        <v>САРАЄВА Лариса Анатоліївна</v>
      </c>
      <c r="G9953" s="7" t="s">
        <v>10</v>
      </c>
      <c r="H9953" s="7">
        <v>3042</v>
      </c>
      <c r="I9953" s="8" t="str">
        <f ca="1">IFERROR(__xludf.DUMMYFUNCTION("IF
(
G9954=""фізична особа""
,
VLOOKUP(H9954,IMPORTRANGE(""https://docs.google.com/spreadsheets/d/14Bd19lYaqBhU8_DElYkX7l4wRkHqqCUFNJY4AfY3kHU/edit?usp=sharing  #gid=0"",""фіз особи new!relations_name""),6,FALSE)
,
(IF
(
G9954=""юридична особа""
,
VLOOKUP"&amp;"(H9954,IMPORTRANGE(""https://docs.google.com/spreadsheets/d/14Bd19lYaqBhU8_DElYkX7l4wRkHqqCUFNJY4AfY3kHU/edit?usp=sharing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9953" s="7" t="s">
        <v>29</v>
      </c>
    </row>
    <row r="9954" spans="1:10" ht="13.2">
      <c r="A9954" s="7">
        <v>9953</v>
      </c>
      <c r="B9954" s="7">
        <v>1</v>
      </c>
      <c r="C9954" s="7" t="s">
        <v>10</v>
      </c>
      <c r="D9954" s="7">
        <v>11784</v>
      </c>
      <c r="E9954" s="7" t="s">
        <v>28</v>
      </c>
      <c r="F9954" s="8" t="str">
        <f ca="1">IFERROR(__xludf.DUMMYFUNCTION("IF
(
C9955=""фізична особа""
,
VLOOKUP(D9955,IMPORTRANGE(""https://docs.google.com/spreadsheets/d/14Bd19lYaqBhU8_DElYkX7l4wRkHqqCUFNJY4AfY3kHU/edit?usp=sharing  #gid=0"",""фіз особи new!relations_name""),6,FALSE)
,
(IF
(
C9955=""юридична особа""
,
VLOOKUP"&amp;"(D9955,IMPORTRANGE(""https://docs.google.com/spreadsheets/d/14Bd19lYaqBhU8_DElYkX7l4wRkHqqCUFNJY4AfY3kHU/edit?usp=sharing  #gid=0"",""фіз особи new!relations_name_uo""),7,FALSE)
,
)
))"),"КОЧУРОВ Сергій Олександрович")</f>
        <v>КОЧУРОВ Сергій Олександрович</v>
      </c>
      <c r="G9954" s="7" t="s">
        <v>10</v>
      </c>
      <c r="H9954" s="7">
        <v>2986</v>
      </c>
      <c r="I9954" s="8" t="str">
        <f ca="1">IFERROR(__xludf.DUMMYFUNCTION("IF
(
G9955=""фізична особа""
,
VLOOKUP(H9955,IMPORTRANGE(""https://docs.google.com/spreadsheets/d/14Bd19lYaqBhU8_DElYkX7l4wRkHqqCUFNJY4AfY3kHU/edit?usp=sharing  #gid=0"",""фіз особи new!relations_name""),6,FALSE)
,
(IF
(
G9955=""юридична особа""
,
VLOOKUP"&amp;"(H9955,IMPORTRANGE(""https://docs.google.com/spreadsheets/d/14Bd19lYaqBhU8_DElYkX7l4wRkHqqCUFNJY4AfY3kHU/edit?usp=sharing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4" s="7" t="s">
        <v>29</v>
      </c>
    </row>
    <row r="9955" spans="1:10" ht="13.2">
      <c r="A9955" s="7">
        <v>9954</v>
      </c>
      <c r="B9955" s="7">
        <v>1</v>
      </c>
      <c r="C9955" s="7" t="s">
        <v>10</v>
      </c>
      <c r="D9955" s="7">
        <v>11785</v>
      </c>
      <c r="E9955" s="7" t="s">
        <v>28</v>
      </c>
      <c r="F9955" s="8" t="str">
        <f ca="1">IFERROR(__xludf.DUMMYFUNCTION("IF
(
C9956=""фізична особа""
,
VLOOKUP(D9956,IMPORTRANGE(""https://docs.google.com/spreadsheets/d/14Bd19lYaqBhU8_DElYkX7l4wRkHqqCUFNJY4AfY3kHU/edit?usp=sharing  #gid=0"",""фіз особи new!relations_name""),6,FALSE)
,
(IF
(
C9956=""юридична особа""
,
VLOOKUP"&amp;"(D9956,IMPORTRANGE(""https://docs.google.com/spreadsheets/d/14Bd19lYaqBhU8_DElYkX7l4wRkHqqCUFNJY4AfY3kHU/edit?usp=sharing  #gid=0"",""фіз особи new!relations_name_uo""),7,FALSE)
,
)
))"),"ПОЛЕЦЬКОВ Сергій Михайлович")</f>
        <v>ПОЛЕЦЬКОВ Сергій Михайлович</v>
      </c>
      <c r="G9955" s="7" t="s">
        <v>10</v>
      </c>
      <c r="H9955" s="7">
        <v>2986</v>
      </c>
      <c r="I9955" s="8" t="str">
        <f ca="1">IFERROR(__xludf.DUMMYFUNCTION("IF
(
G9956=""фізична особа""
,
VLOOKUP(H9956,IMPORTRANGE(""https://docs.google.com/spreadsheets/d/14Bd19lYaqBhU8_DElYkX7l4wRkHqqCUFNJY4AfY3kHU/edit?usp=sharing  #gid=0"",""фіз особи new!relations_name""),6,FALSE)
,
(IF
(
G9956=""юридична особа""
,
VLOOKUP"&amp;"(H9956,IMPORTRANGE(""https://docs.google.com/spreadsheets/d/14Bd19lYaqBhU8_DElYkX7l4wRkHqqCUFNJY4AfY3kHU/edit?usp=sharing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5" s="7" t="s">
        <v>29</v>
      </c>
    </row>
    <row r="9956" spans="1:10" ht="13.2">
      <c r="A9956" s="7">
        <v>9955</v>
      </c>
      <c r="B9956" s="7">
        <v>1</v>
      </c>
      <c r="C9956" s="7" t="s">
        <v>10</v>
      </c>
      <c r="D9956" s="7">
        <v>11786</v>
      </c>
      <c r="E9956" s="7" t="s">
        <v>28</v>
      </c>
      <c r="F9956" s="8" t="str">
        <f ca="1">IFERROR(__xludf.DUMMYFUNCTION("IF
(
C9957=""фізична особа""
,
VLOOKUP(D9957,IMPORTRANGE(""https://docs.google.com/spreadsheets/d/14Bd19lYaqBhU8_DElYkX7l4wRkHqqCUFNJY4AfY3kHU/edit?usp=sharing  #gid=0"",""фіз особи new!relations_name""),6,FALSE)
,
(IF
(
C9957=""юридична особа""
,
VLOOKUP"&amp;"(D9957,IMPORTRANGE(""https://docs.google.com/spreadsheets/d/14Bd19lYaqBhU8_DElYkX7l4wRkHqqCUFNJY4AfY3kHU/edit?usp=sharing  #gid=0"",""фіз особи new!relations_name_uo""),7,FALSE)
,
)
))"),"ШИРІН Олег Михайлович")</f>
        <v>ШИРІН Олег Михайлович</v>
      </c>
      <c r="G9956" s="7" t="s">
        <v>10</v>
      </c>
      <c r="H9956" s="7">
        <v>2986</v>
      </c>
      <c r="I9956" s="8" t="str">
        <f ca="1">IFERROR(__xludf.DUMMYFUNCTION("IF
(
G9957=""фізична особа""
,
VLOOKUP(H9957,IMPORTRANGE(""https://docs.google.com/spreadsheets/d/14Bd19lYaqBhU8_DElYkX7l4wRkHqqCUFNJY4AfY3kHU/edit?usp=sharing  #gid=0"",""фіз особи new!relations_name""),6,FALSE)
,
(IF
(
G9957=""юридична особа""
,
VLOOKUP"&amp;"(H9957,IMPORTRANGE(""https://docs.google.com/spreadsheets/d/14Bd19lYaqBhU8_DElYkX7l4wRkHqqCUFNJY4AfY3kHU/edit?usp=sharing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6" s="7" t="s">
        <v>29</v>
      </c>
    </row>
    <row r="9957" spans="1:10" ht="13.2">
      <c r="A9957" s="7">
        <v>9956</v>
      </c>
      <c r="B9957" s="7">
        <v>1</v>
      </c>
      <c r="C9957" s="7" t="s">
        <v>10</v>
      </c>
      <c r="D9957" s="7">
        <v>11787</v>
      </c>
      <c r="E9957" s="7" t="s">
        <v>28</v>
      </c>
      <c r="F9957" s="8" t="str">
        <f ca="1">IFERROR(__xludf.DUMMYFUNCTION("IF
(
C9958=""фізична особа""
,
VLOOKUP(D9958,IMPORTRANGE(""https://docs.google.com/spreadsheets/d/14Bd19lYaqBhU8_DElYkX7l4wRkHqqCUFNJY4AfY3kHU/edit?usp=sharing  #gid=0"",""фіз особи new!relations_name""),6,FALSE)
,
(IF
(
C9958=""юридична особа""
,
VLOOKUP"&amp;"(D9958,IMPORTRANGE(""https://docs.google.com/spreadsheets/d/14Bd19lYaqBhU8_DElYkX7l4wRkHqqCUFNJY4AfY3kHU/edit?usp=sharing  #gid=0"",""фіз особи new!relations_name_uo""),7,FALSE)
,
)
))"),"СИЛАЄВ Валерій Миколайович")</f>
        <v>СИЛАЄВ Валерій Миколайович</v>
      </c>
      <c r="G9957" s="7" t="s">
        <v>10</v>
      </c>
      <c r="H9957" s="7">
        <v>2986</v>
      </c>
      <c r="I9957" s="8" t="str">
        <f ca="1">IFERROR(__xludf.DUMMYFUNCTION("IF
(
G9958=""фізична особа""
,
VLOOKUP(H9958,IMPORTRANGE(""https://docs.google.com/spreadsheets/d/14Bd19lYaqBhU8_DElYkX7l4wRkHqqCUFNJY4AfY3kHU/edit?usp=sharing  #gid=0"",""фіз особи new!relations_name""),6,FALSE)
,
(IF
(
G9958=""юридична особа""
,
VLOOKUP"&amp;"(H9958,IMPORTRANGE(""https://docs.google.com/spreadsheets/d/14Bd19lYaqBhU8_DElYkX7l4wRkHqqCUFNJY4AfY3kHU/edit?usp=sharing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7" s="7" t="s">
        <v>29</v>
      </c>
    </row>
    <row r="9958" spans="1:10" ht="13.2">
      <c r="A9958" s="7">
        <v>9957</v>
      </c>
      <c r="B9958" s="7">
        <v>1</v>
      </c>
      <c r="C9958" s="7" t="s">
        <v>10</v>
      </c>
      <c r="D9958" s="7">
        <v>11788</v>
      </c>
      <c r="E9958" s="7" t="s">
        <v>28</v>
      </c>
      <c r="F9958" s="8" t="str">
        <f ca="1">IFERROR(__xludf.DUMMYFUNCTION("IF
(
C9959=""фізична особа""
,
VLOOKUP(D9959,IMPORTRANGE(""https://docs.google.com/spreadsheets/d/14Bd19lYaqBhU8_DElYkX7l4wRkHqqCUFNJY4AfY3kHU/edit?usp=sharing  #gid=0"",""фіз особи new!relations_name""),6,FALSE)
,
(IF
(
C9959=""юридична особа""
,
VLOOKUP"&amp;"(D9959,IMPORTRANGE(""https://docs.google.com/spreadsheets/d/14Bd19lYaqBhU8_DElYkX7l4wRkHqqCUFNJY4AfY3kHU/edit?usp=sharing  #gid=0"",""фіз особи new!relations_name_uo""),7,FALSE)
,
)
))"),"МЕДВЕДЄВ Петро Якович")</f>
        <v>МЕДВЕДЄВ Петро Якович</v>
      </c>
      <c r="G9958" s="7" t="s">
        <v>10</v>
      </c>
      <c r="H9958" s="7">
        <v>2986</v>
      </c>
      <c r="I9958" s="8" t="str">
        <f ca="1">IFERROR(__xludf.DUMMYFUNCTION("IF
(
G9959=""фізична особа""
,
VLOOKUP(H9959,IMPORTRANGE(""https://docs.google.com/spreadsheets/d/14Bd19lYaqBhU8_DElYkX7l4wRkHqqCUFNJY4AfY3kHU/edit?usp=sharing  #gid=0"",""фіз особи new!relations_name""),6,FALSE)
,
(IF
(
G9959=""юридична особа""
,
VLOOKUP"&amp;"(H9959,IMPORTRANGE(""https://docs.google.com/spreadsheets/d/14Bd19lYaqBhU8_DElYkX7l4wRkHqqCUFNJY4AfY3kHU/edit?usp=sharing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8" s="7" t="s">
        <v>29</v>
      </c>
    </row>
    <row r="9959" spans="1:10" ht="13.2">
      <c r="A9959" s="7">
        <v>9958</v>
      </c>
      <c r="B9959" s="7">
        <v>1</v>
      </c>
      <c r="C9959" s="7" t="s">
        <v>10</v>
      </c>
      <c r="D9959" s="7">
        <v>11789</v>
      </c>
      <c r="E9959" s="7" t="s">
        <v>28</v>
      </c>
      <c r="F9959" s="8" t="str">
        <f ca="1">IFERROR(__xludf.DUMMYFUNCTION("IF
(
C9960=""фізична особа""
,
VLOOKUP(D9960,IMPORTRANGE(""https://docs.google.com/spreadsheets/d/14Bd19lYaqBhU8_DElYkX7l4wRkHqqCUFNJY4AfY3kHU/edit?usp=sharing  #gid=0"",""фіз особи new!relations_name""),6,FALSE)
,
(IF
(
C9960=""юридична особа""
,
VLOOKUP"&amp;"(D9960,IMPORTRANGE(""https://docs.google.com/spreadsheets/d/14Bd19lYaqBhU8_DElYkX7l4wRkHqqCUFNJY4AfY3kHU/edit?usp=sharing  #gid=0"",""фіз особи new!relations_name_uo""),7,FALSE)
,
)
))"),"ШУЛЕПОВ Олександр Миколайович")</f>
        <v>ШУЛЕПОВ Олександр Миколайович</v>
      </c>
      <c r="G9959" s="7" t="s">
        <v>10</v>
      </c>
      <c r="H9959" s="7">
        <v>2986</v>
      </c>
      <c r="I9959" s="8" t="str">
        <f ca="1">IFERROR(__xludf.DUMMYFUNCTION("IF
(
G9960=""фізична особа""
,
VLOOKUP(H9960,IMPORTRANGE(""https://docs.google.com/spreadsheets/d/14Bd19lYaqBhU8_DElYkX7l4wRkHqqCUFNJY4AfY3kHU/edit?usp=sharing  #gid=0"",""фіз особи new!relations_name""),6,FALSE)
,
(IF
(
G9960=""юридична особа""
,
VLOOKUP"&amp;"(H9960,IMPORTRANGE(""https://docs.google.com/spreadsheets/d/14Bd19lYaqBhU8_DElYkX7l4wRkHqqCUFNJY4AfY3kHU/edit?usp=sharing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59" s="7" t="s">
        <v>29</v>
      </c>
    </row>
    <row r="9960" spans="1:10" ht="13.2">
      <c r="A9960" s="7">
        <v>9959</v>
      </c>
      <c r="B9960" s="7">
        <v>1</v>
      </c>
      <c r="C9960" s="7" t="s">
        <v>10</v>
      </c>
      <c r="D9960" s="7">
        <v>11790</v>
      </c>
      <c r="E9960" s="7" t="s">
        <v>28</v>
      </c>
      <c r="F9960" s="8" t="str">
        <f ca="1">IFERROR(__xludf.DUMMYFUNCTION("IF
(
C9961=""фізична особа""
,
VLOOKUP(D9961,IMPORTRANGE(""https://docs.google.com/spreadsheets/d/14Bd19lYaqBhU8_DElYkX7l4wRkHqqCUFNJY4AfY3kHU/edit?usp=sharing  #gid=0"",""фіз особи new!relations_name""),6,FALSE)
,
(IF
(
C9961=""юридична особа""
,
VLOOKUP"&amp;"(D9961,IMPORTRANGE(""https://docs.google.com/spreadsheets/d/14Bd19lYaqBhU8_DElYkX7l4wRkHqqCUFNJY4AfY3kHU/edit?usp=sharing  #gid=0"",""фіз особи new!relations_name_uo""),7,FALSE)
,
)
))"),"КЛУНДУК Петро Васильович")</f>
        <v>КЛУНДУК Петро Васильович</v>
      </c>
      <c r="G9960" s="7" t="s">
        <v>10</v>
      </c>
      <c r="H9960" s="7">
        <v>2986</v>
      </c>
      <c r="I9960" s="8" t="str">
        <f ca="1">IFERROR(__xludf.DUMMYFUNCTION("IF
(
G9961=""фізична особа""
,
VLOOKUP(H9961,IMPORTRANGE(""https://docs.google.com/spreadsheets/d/14Bd19lYaqBhU8_DElYkX7l4wRkHqqCUFNJY4AfY3kHU/edit?usp=sharing  #gid=0"",""фіз особи new!relations_name""),6,FALSE)
,
(IF
(
G9961=""юридична особа""
,
VLOOKUP"&amp;"(H9961,IMPORTRANGE(""https://docs.google.com/spreadsheets/d/14Bd19lYaqBhU8_DElYkX7l4wRkHqqCUFNJY4AfY3kHU/edit?usp=sharing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0" s="7" t="s">
        <v>29</v>
      </c>
    </row>
    <row r="9961" spans="1:10" ht="13.2">
      <c r="A9961" s="7">
        <v>9960</v>
      </c>
      <c r="B9961" s="7">
        <v>1</v>
      </c>
      <c r="C9961" s="7" t="s">
        <v>10</v>
      </c>
      <c r="D9961" s="7">
        <v>11791</v>
      </c>
      <c r="E9961" s="7" t="s">
        <v>28</v>
      </c>
      <c r="F9961" s="8" t="str">
        <f ca="1">IFERROR(__xludf.DUMMYFUNCTION("IF
(
C9962=""фізична особа""
,
VLOOKUP(D9962,IMPORTRANGE(""https://docs.google.com/spreadsheets/d/14Bd19lYaqBhU8_DElYkX7l4wRkHqqCUFNJY4AfY3kHU/edit?usp=sharing  #gid=0"",""фіз особи new!relations_name""),6,FALSE)
,
(IF
(
C9962=""юридична особа""
,
VLOOKUP"&amp;"(D9962,IMPORTRANGE(""https://docs.google.com/spreadsheets/d/14Bd19lYaqBhU8_DElYkX7l4wRkHqqCUFNJY4AfY3kHU/edit?usp=sharing  #gid=0"",""фіз особи new!relations_name_uo""),7,FALSE)
,
)
))"),"ФЕДОРОВ В'ячеслав Іванович")</f>
        <v>ФЕДОРОВ В'ячеслав Іванович</v>
      </c>
      <c r="G9961" s="7" t="s">
        <v>10</v>
      </c>
      <c r="H9961" s="7">
        <v>2986</v>
      </c>
      <c r="I9961" s="8" t="str">
        <f ca="1">IFERROR(__xludf.DUMMYFUNCTION("IF
(
G9962=""фізична особа""
,
VLOOKUP(H9962,IMPORTRANGE(""https://docs.google.com/spreadsheets/d/14Bd19lYaqBhU8_DElYkX7l4wRkHqqCUFNJY4AfY3kHU/edit?usp=sharing  #gid=0"",""фіз особи new!relations_name""),6,FALSE)
,
(IF
(
G9962=""юридична особа""
,
VLOOKUP"&amp;"(H9962,IMPORTRANGE(""https://docs.google.com/spreadsheets/d/14Bd19lYaqBhU8_DElYkX7l4wRkHqqCUFNJY4AfY3kHU/edit?usp=sharing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1" s="7" t="s">
        <v>29</v>
      </c>
    </row>
    <row r="9962" spans="1:10" ht="13.2">
      <c r="A9962" s="7">
        <v>9961</v>
      </c>
      <c r="B9962" s="7">
        <v>1</v>
      </c>
      <c r="C9962" s="7" t="s">
        <v>10</v>
      </c>
      <c r="D9962" s="7">
        <v>11792</v>
      </c>
      <c r="E9962" s="7" t="s">
        <v>28</v>
      </c>
      <c r="F9962" s="8" t="str">
        <f ca="1">IFERROR(__xludf.DUMMYFUNCTION("IF
(
C9963=""фізична особа""
,
VLOOKUP(D9963,IMPORTRANGE(""https://docs.google.com/spreadsheets/d/14Bd19lYaqBhU8_DElYkX7l4wRkHqqCUFNJY4AfY3kHU/edit?usp=sharing  #gid=0"",""фіз особи new!relations_name""),6,FALSE)
,
(IF
(
C9963=""юридична особа""
,
VLOOKUP"&amp;"(D9963,IMPORTRANGE(""https://docs.google.com/spreadsheets/d/14Bd19lYaqBhU8_DElYkX7l4wRkHqqCUFNJY4AfY3kHU/edit?usp=sharing  #gid=0"",""фіз особи new!relations_name_uo""),7,FALSE)
,
)
))"),"ЦЕЛІЩЕВ Дмитро Володимирович")</f>
        <v>ЦЕЛІЩЕВ Дмитро Володимирович</v>
      </c>
      <c r="G9962" s="7" t="s">
        <v>10</v>
      </c>
      <c r="H9962" s="7">
        <v>2986</v>
      </c>
      <c r="I9962" s="8" t="str">
        <f ca="1">IFERROR(__xludf.DUMMYFUNCTION("IF
(
G9963=""фізична особа""
,
VLOOKUP(H9963,IMPORTRANGE(""https://docs.google.com/spreadsheets/d/14Bd19lYaqBhU8_DElYkX7l4wRkHqqCUFNJY4AfY3kHU/edit?usp=sharing  #gid=0"",""фіз особи new!relations_name""),6,FALSE)
,
(IF
(
G9963=""юридична особа""
,
VLOOKUP"&amp;"(H9963,IMPORTRANGE(""https://docs.google.com/spreadsheets/d/14Bd19lYaqBhU8_DElYkX7l4wRkHqqCUFNJY4AfY3kHU/edit?usp=sharing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2" s="7" t="s">
        <v>29</v>
      </c>
    </row>
    <row r="9963" spans="1:10" ht="13.2">
      <c r="A9963" s="7">
        <v>9962</v>
      </c>
      <c r="B9963" s="7">
        <v>1</v>
      </c>
      <c r="C9963" s="7" t="s">
        <v>10</v>
      </c>
      <c r="D9963" s="7">
        <v>11793</v>
      </c>
      <c r="E9963" s="7" t="s">
        <v>28</v>
      </c>
      <c r="F9963" s="8" t="str">
        <f ca="1">IFERROR(__xludf.DUMMYFUNCTION("IF
(
C9964=""фізична особа""
,
VLOOKUP(D9964,IMPORTRANGE(""https://docs.google.com/spreadsheets/d/14Bd19lYaqBhU8_DElYkX7l4wRkHqqCUFNJY4AfY3kHU/edit?usp=sharing  #gid=0"",""фіз особи new!relations_name""),6,FALSE)
,
(IF
(
C9964=""юридична особа""
,
VLOOKUP"&amp;"(D9964,IMPORTRANGE(""https://docs.google.com/spreadsheets/d/14Bd19lYaqBhU8_DElYkX7l4wRkHqqCUFNJY4AfY3kHU/edit?usp=sharing  #gid=0"",""фіз особи new!relations_name_uo""),7,FALSE)
,
)
))"),"РАДЮК Олексій Анатолійович")</f>
        <v>РАДЮК Олексій Анатолійович</v>
      </c>
      <c r="G9963" s="7" t="s">
        <v>10</v>
      </c>
      <c r="H9963" s="7">
        <v>2986</v>
      </c>
      <c r="I9963" s="8" t="str">
        <f ca="1">IFERROR(__xludf.DUMMYFUNCTION("IF
(
G9964=""фізична особа""
,
VLOOKUP(H9964,IMPORTRANGE(""https://docs.google.com/spreadsheets/d/14Bd19lYaqBhU8_DElYkX7l4wRkHqqCUFNJY4AfY3kHU/edit?usp=sharing  #gid=0"",""фіз особи new!relations_name""),6,FALSE)
,
(IF
(
G9964=""юридична особа""
,
VLOOKUP"&amp;"(H9964,IMPORTRANGE(""https://docs.google.com/spreadsheets/d/14Bd19lYaqBhU8_DElYkX7l4wRkHqqCUFNJY4AfY3kHU/edit?usp=sharing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3" s="7" t="s">
        <v>29</v>
      </c>
    </row>
    <row r="9964" spans="1:10" ht="13.2">
      <c r="A9964" s="7">
        <v>9963</v>
      </c>
      <c r="B9964" s="7">
        <v>1</v>
      </c>
      <c r="C9964" s="7" t="s">
        <v>10</v>
      </c>
      <c r="D9964" s="7">
        <v>11794</v>
      </c>
      <c r="E9964" s="7" t="s">
        <v>28</v>
      </c>
      <c r="F9964" s="8" t="str">
        <f ca="1">IFERROR(__xludf.DUMMYFUNCTION("IF
(
C9965=""фізична особа""
,
VLOOKUP(D9965,IMPORTRANGE(""https://docs.google.com/spreadsheets/d/14Bd19lYaqBhU8_DElYkX7l4wRkHqqCUFNJY4AfY3kHU/edit?usp=sharing  #gid=0"",""фіз особи new!relations_name""),6,FALSE)
,
(IF
(
C9965=""юридична особа""
,
VLOOKUP"&amp;"(D9965,IMPORTRANGE(""https://docs.google.com/spreadsheets/d/14Bd19lYaqBhU8_DElYkX7l4wRkHqqCUFNJY4AfY3kHU/edit?usp=sharing  #gid=0"",""фіз особи new!relations_name_uo""),7,FALSE)
,
)
))"),"БЄЛОВ Микола Олексійович")</f>
        <v>БЄЛОВ Микола Олексійович</v>
      </c>
      <c r="G9964" s="7" t="s">
        <v>10</v>
      </c>
      <c r="H9964" s="7">
        <v>2986</v>
      </c>
      <c r="I9964" s="8" t="str">
        <f ca="1">IFERROR(__xludf.DUMMYFUNCTION("IF
(
G9965=""фізична особа""
,
VLOOKUP(H9965,IMPORTRANGE(""https://docs.google.com/spreadsheets/d/14Bd19lYaqBhU8_DElYkX7l4wRkHqqCUFNJY4AfY3kHU/edit?usp=sharing  #gid=0"",""фіз особи new!relations_name""),6,FALSE)
,
(IF
(
G9965=""юридична особа""
,
VLOOKUP"&amp;"(H9965,IMPORTRANGE(""https://docs.google.com/spreadsheets/d/14Bd19lYaqBhU8_DElYkX7l4wRkHqqCUFNJY4AfY3kHU/edit?usp=sharing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4" s="7" t="s">
        <v>29</v>
      </c>
    </row>
    <row r="9965" spans="1:10" ht="13.2">
      <c r="A9965" s="7">
        <v>9964</v>
      </c>
      <c r="B9965" s="7">
        <v>1</v>
      </c>
      <c r="C9965" s="7" t="s">
        <v>10</v>
      </c>
      <c r="D9965" s="7">
        <v>11795</v>
      </c>
      <c r="E9965" s="7" t="s">
        <v>28</v>
      </c>
      <c r="F9965" s="8" t="str">
        <f ca="1">IFERROR(__xludf.DUMMYFUNCTION("IF
(
C9966=""фізична особа""
,
VLOOKUP(D9966,IMPORTRANGE(""https://docs.google.com/spreadsheets/d/14Bd19lYaqBhU8_DElYkX7l4wRkHqqCUFNJY4AfY3kHU/edit?usp=sharing  #gid=0"",""фіз особи new!relations_name""),6,FALSE)
,
(IF
(
C9966=""юридична особа""
,
VLOOKUP"&amp;"(D9966,IMPORTRANGE(""https://docs.google.com/spreadsheets/d/14Bd19lYaqBhU8_DElYkX7l4wRkHqqCUFNJY4AfY3kHU/edit?usp=sharing  #gid=0"",""фіз особи new!relations_name_uo""),7,FALSE)
,
)
))"),"ВОРОШИЛОВ Олег Вікторович")</f>
        <v>ВОРОШИЛОВ Олег Вікторович</v>
      </c>
      <c r="G9965" s="7" t="s">
        <v>10</v>
      </c>
      <c r="H9965" s="7">
        <v>2986</v>
      </c>
      <c r="I9965" s="8" t="str">
        <f ca="1">IFERROR(__xludf.DUMMYFUNCTION("IF
(
G9966=""фізична особа""
,
VLOOKUP(H9966,IMPORTRANGE(""https://docs.google.com/spreadsheets/d/14Bd19lYaqBhU8_DElYkX7l4wRkHqqCUFNJY4AfY3kHU/edit?usp=sharing  #gid=0"",""фіз особи new!relations_name""),6,FALSE)
,
(IF
(
G9966=""юридична особа""
,
VLOOKUP"&amp;"(H9966,IMPORTRANGE(""https://docs.google.com/spreadsheets/d/14Bd19lYaqBhU8_DElYkX7l4wRkHqqCUFNJY4AfY3kHU/edit?usp=sharing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5" s="7" t="s">
        <v>29</v>
      </c>
    </row>
    <row r="9966" spans="1:10" ht="13.2">
      <c r="A9966" s="7">
        <v>9965</v>
      </c>
      <c r="B9966" s="7">
        <v>1</v>
      </c>
      <c r="C9966" s="7" t="s">
        <v>10</v>
      </c>
      <c r="D9966" s="7">
        <v>11796</v>
      </c>
      <c r="E9966" s="7" t="s">
        <v>28</v>
      </c>
      <c r="F9966" s="8" t="str">
        <f ca="1">IFERROR(__xludf.DUMMYFUNCTION("IF
(
C9967=""фізична особа""
,
VLOOKUP(D9967,IMPORTRANGE(""https://docs.google.com/spreadsheets/d/14Bd19lYaqBhU8_DElYkX7l4wRkHqqCUFNJY4AfY3kHU/edit?usp=sharing  #gid=0"",""фіз особи new!relations_name""),6,FALSE)
,
(IF
(
C9967=""юридична особа""
,
VLOOKUP"&amp;"(D9967,IMPORTRANGE(""https://docs.google.com/spreadsheets/d/14Bd19lYaqBhU8_DElYkX7l4wRkHqqCUFNJY4AfY3kHU/edit?usp=sharing  #gid=0"",""фіз особи new!relations_name_uo""),7,FALSE)
,
)
))"),"ПІМЕНОВА Людмила Сергіївна")</f>
        <v>ПІМЕНОВА Людмила Сергіївна</v>
      </c>
      <c r="G9966" s="7" t="s">
        <v>10</v>
      </c>
      <c r="H9966" s="7">
        <v>2986</v>
      </c>
      <c r="I9966" s="8" t="str">
        <f ca="1">IFERROR(__xludf.DUMMYFUNCTION("IF
(
G9967=""фізична особа""
,
VLOOKUP(H9967,IMPORTRANGE(""https://docs.google.com/spreadsheets/d/14Bd19lYaqBhU8_DElYkX7l4wRkHqqCUFNJY4AfY3kHU/edit?usp=sharing  #gid=0"",""фіз особи new!relations_name""),6,FALSE)
,
(IF
(
G9967=""юридична особа""
,
VLOOKUP"&amp;"(H9967,IMPORTRANGE(""https://docs.google.com/spreadsheets/d/14Bd19lYaqBhU8_DElYkX7l4wRkHqqCUFNJY4AfY3kHU/edit?usp=sharing  #gid=0"",""фіз особи new!relations_name_uo""),7,FALSE)
,
)
))"),"НЕРАДЬКО Олександр Васильович")</f>
        <v>НЕРАДЬКО Олександр Васильович</v>
      </c>
      <c r="J9966" s="7" t="s">
        <v>29</v>
      </c>
    </row>
    <row r="9967" spans="1:10" ht="13.2">
      <c r="A9967" s="7">
        <v>9966</v>
      </c>
      <c r="B9967" s="7">
        <v>1</v>
      </c>
      <c r="C9967" s="7" t="s">
        <v>10</v>
      </c>
      <c r="D9967" s="7">
        <v>11797</v>
      </c>
      <c r="E9967" s="7" t="s">
        <v>28</v>
      </c>
      <c r="F9967" s="8" t="str">
        <f ca="1">IFERROR(__xludf.DUMMYFUNCTION("IF
(
C9968=""фізична особа""
,
VLOOKUP(D9968,IMPORTRANGE(""https://docs.google.com/spreadsheets/d/14Bd19lYaqBhU8_DElYkX7l4wRkHqqCUFNJY4AfY3kHU/edit?usp=sharing  #gid=0"",""фіз особи new!relations_name""),6,FALSE)
,
(IF
(
C9968=""юридична особа""
,
VLOOKUP"&amp;"(D9968,IMPORTRANGE(""https://docs.google.com/spreadsheets/d/14Bd19lYaqBhU8_DElYkX7l4wRkHqqCUFNJY4AfY3kHU/edit?usp=sharing  #gid=0"",""фіз особи new!relations_name_uo""),7,FALSE)
,
)
))"),"ВЛАСОВ Євгеній Андрійович")</f>
        <v>ВЛАСОВ Євгеній Андрійович</v>
      </c>
      <c r="G9967" s="7" t="s">
        <v>10</v>
      </c>
      <c r="H9967" s="7">
        <v>11867</v>
      </c>
      <c r="I9967" s="8" t="str">
        <f ca="1">IFERROR(__xludf.DUMMYFUNCTION("IF
(
G9968=""фізична особа""
,
VLOOKUP(H9968,IMPORTRANGE(""https://docs.google.com/spreadsheets/d/14Bd19lYaqBhU8_DElYkX7l4wRkHqqCUFNJY4AfY3kHU/edit?usp=sharing  #gid=0"",""фіз особи new!relations_name""),6,FALSE)
,
(IF
(
G9968=""юридична особа""
,
VLOOKUP"&amp;"(H9968,IMPORTRANGE(""https://docs.google.com/spreadsheets/d/14Bd19lYaqBhU8_DElYkX7l4wRkHqqCUFNJY4AfY3kHU/edit?usp=sharing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67" s="7" t="s">
        <v>29</v>
      </c>
    </row>
    <row r="9968" spans="1:10" ht="13.2">
      <c r="A9968" s="7">
        <v>9967</v>
      </c>
      <c r="B9968" s="7">
        <v>1</v>
      </c>
      <c r="C9968" s="7" t="s">
        <v>10</v>
      </c>
      <c r="D9968" s="7">
        <v>11798</v>
      </c>
      <c r="E9968" s="7" t="s">
        <v>28</v>
      </c>
      <c r="F9968" s="8" t="str">
        <f ca="1">IFERROR(__xludf.DUMMYFUNCTION("IF
(
C9969=""фізична особа""
,
VLOOKUP(D9969,IMPORTRANGE(""https://docs.google.com/spreadsheets/d/14Bd19lYaqBhU8_DElYkX7l4wRkHqqCUFNJY4AfY3kHU/edit?usp=sharing  #gid=0"",""фіз особи new!relations_name""),6,FALSE)
,
(IF
(
C9969=""юридична особа""
,
VLOOKUP"&amp;"(D9969,IMPORTRANGE(""https://docs.google.com/spreadsheets/d/14Bd19lYaqBhU8_DElYkX7l4wRkHqqCUFNJY4AfY3kHU/edit?usp=sharing  #gid=0"",""фіз особи new!relations_name_uo""),7,FALSE)
,
)
))"),"МАРЕМКУЛОВ Арсен Нажмудінович")</f>
        <v>МАРЕМКУЛОВ Арсен Нажмудінович</v>
      </c>
      <c r="G9968" s="7" t="s">
        <v>10</v>
      </c>
      <c r="H9968" s="7">
        <v>11867</v>
      </c>
      <c r="I9968" s="8" t="str">
        <f ca="1">IFERROR(__xludf.DUMMYFUNCTION("IF
(
G9969=""фізична особа""
,
VLOOKUP(H9969,IMPORTRANGE(""https://docs.google.com/spreadsheets/d/14Bd19lYaqBhU8_DElYkX7l4wRkHqqCUFNJY4AfY3kHU/edit?usp=sharing  #gid=0"",""фіз особи new!relations_name""),6,FALSE)
,
(IF
(
G9969=""юридична особа""
,
VLOOKUP"&amp;"(H9969,IMPORTRANGE(""https://docs.google.com/spreadsheets/d/14Bd19lYaqBhU8_DElYkX7l4wRkHqqCUFNJY4AfY3kHU/edit?usp=sharing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68" s="7" t="s">
        <v>29</v>
      </c>
    </row>
    <row r="9969" spans="1:10" ht="13.2">
      <c r="A9969" s="7">
        <v>9968</v>
      </c>
      <c r="B9969" s="7">
        <v>1</v>
      </c>
      <c r="C9969" s="7" t="s">
        <v>10</v>
      </c>
      <c r="D9969" s="7">
        <v>11799</v>
      </c>
      <c r="E9969" s="7" t="s">
        <v>28</v>
      </c>
      <c r="F9969" s="8" t="str">
        <f ca="1">IFERROR(__xludf.DUMMYFUNCTION("IF
(
C9970=""фізична особа""
,
VLOOKUP(D9970,IMPORTRANGE(""https://docs.google.com/spreadsheets/d/14Bd19lYaqBhU8_DElYkX7l4wRkHqqCUFNJY4AfY3kHU/edit?usp=sharing  #gid=0"",""фіз особи new!relations_name""),6,FALSE)
,
(IF
(
C9970=""юридична особа""
,
VLOOKUP"&amp;"(D9970,IMPORTRANGE(""https://docs.google.com/spreadsheets/d/14Bd19lYaqBhU8_DElYkX7l4wRkHqqCUFNJY4AfY3kHU/edit?usp=sharing  #gid=0"",""фіз особи new!relations_name_uo""),7,FALSE)
,
)
))"),"ІОЙЛЄВ Геннадій Всеволодович")</f>
        <v>ІОЙЛЄВ Геннадій Всеволодович</v>
      </c>
      <c r="G9969" s="7" t="s">
        <v>10</v>
      </c>
      <c r="H9969" s="7">
        <v>11867</v>
      </c>
      <c r="I9969" s="8" t="str">
        <f ca="1">IFERROR(__xludf.DUMMYFUNCTION("IF
(
G9970=""фізична особа""
,
VLOOKUP(H9970,IMPORTRANGE(""https://docs.google.com/spreadsheets/d/14Bd19lYaqBhU8_DElYkX7l4wRkHqqCUFNJY4AfY3kHU/edit?usp=sharing  #gid=0"",""фіз особи new!relations_name""),6,FALSE)
,
(IF
(
G9970=""юридична особа""
,
VLOOKUP"&amp;"(H9970,IMPORTRANGE(""https://docs.google.com/spreadsheets/d/14Bd19lYaqBhU8_DElYkX7l4wRkHqqCUFNJY4AfY3kHU/edit?usp=sharing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69" s="7" t="s">
        <v>29</v>
      </c>
    </row>
    <row r="9970" spans="1:10" ht="13.2">
      <c r="A9970" s="7">
        <v>9969</v>
      </c>
      <c r="B9970" s="7">
        <v>1</v>
      </c>
      <c r="C9970" s="7" t="s">
        <v>10</v>
      </c>
      <c r="D9970" s="7">
        <v>11800</v>
      </c>
      <c r="E9970" s="7" t="s">
        <v>28</v>
      </c>
      <c r="F9970" s="8" t="str">
        <f ca="1">IFERROR(__xludf.DUMMYFUNCTION("IF
(
C9971=""фізична особа""
,
VLOOKUP(D9971,IMPORTRANGE(""https://docs.google.com/spreadsheets/d/14Bd19lYaqBhU8_DElYkX7l4wRkHqqCUFNJY4AfY3kHU/edit?usp=sharing  #gid=0"",""фіз особи new!relations_name""),6,FALSE)
,
(IF
(
C9971=""юридична особа""
,
VLOOKUP"&amp;"(D9971,IMPORTRANGE(""https://docs.google.com/spreadsheets/d/14Bd19lYaqBhU8_DElYkX7l4wRkHqqCUFNJY4AfY3kHU/edit?usp=sharing  #gid=0"",""фіз особи new!relations_name_uo""),7,FALSE)
,
)
))"),"КІРЕЙЧИКОВА Ірина Миколаївна")</f>
        <v>КІРЕЙЧИКОВА Ірина Миколаївна</v>
      </c>
      <c r="G9970" s="7" t="s">
        <v>10</v>
      </c>
      <c r="H9970" s="7">
        <v>11867</v>
      </c>
      <c r="I9970" s="8" t="str">
        <f ca="1">IFERROR(__xludf.DUMMYFUNCTION("IF
(
G9971=""фізична особа""
,
VLOOKUP(H9971,IMPORTRANGE(""https://docs.google.com/spreadsheets/d/14Bd19lYaqBhU8_DElYkX7l4wRkHqqCUFNJY4AfY3kHU/edit?usp=sharing  #gid=0"",""фіз особи new!relations_name""),6,FALSE)
,
(IF
(
G9971=""юридична особа""
,
VLOOKUP"&amp;"(H9971,IMPORTRANGE(""https://docs.google.com/spreadsheets/d/14Bd19lYaqBhU8_DElYkX7l4wRkHqqCUFNJY4AfY3kHU/edit?usp=sharing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0" s="7" t="s">
        <v>29</v>
      </c>
    </row>
    <row r="9971" spans="1:10" ht="13.2">
      <c r="A9971" s="7">
        <v>9970</v>
      </c>
      <c r="B9971" s="7">
        <v>1</v>
      </c>
      <c r="C9971" s="7" t="s">
        <v>10</v>
      </c>
      <c r="D9971" s="7">
        <v>11801</v>
      </c>
      <c r="E9971" s="7" t="s">
        <v>28</v>
      </c>
      <c r="F9971" s="8" t="str">
        <f ca="1">IFERROR(__xludf.DUMMYFUNCTION("IF
(
C9972=""фізична особа""
,
VLOOKUP(D9972,IMPORTRANGE(""https://docs.google.com/spreadsheets/d/14Bd19lYaqBhU8_DElYkX7l4wRkHqqCUFNJY4AfY3kHU/edit?usp=sharing  #gid=0"",""фіз особи new!relations_name""),6,FALSE)
,
(IF
(
C9972=""юридична особа""
,
VLOOKUP"&amp;"(D9972,IMPORTRANGE(""https://docs.google.com/spreadsheets/d/14Bd19lYaqBhU8_DElYkX7l4wRkHqqCUFNJY4AfY3kHU/edit?usp=sharing  #gid=0"",""фіз особи new!relations_name_uo""),7,FALSE)
,
)
))"),"ПАХОМОВ Юрій Павлович")</f>
        <v>ПАХОМОВ Юрій Павлович</v>
      </c>
      <c r="G9971" s="7" t="s">
        <v>10</v>
      </c>
      <c r="H9971" s="7">
        <v>11867</v>
      </c>
      <c r="I9971" s="8" t="str">
        <f ca="1">IFERROR(__xludf.DUMMYFUNCTION("IF
(
G9972=""фізична особа""
,
VLOOKUP(H9972,IMPORTRANGE(""https://docs.google.com/spreadsheets/d/14Bd19lYaqBhU8_DElYkX7l4wRkHqqCUFNJY4AfY3kHU/edit?usp=sharing  #gid=0"",""фіз особи new!relations_name""),6,FALSE)
,
(IF
(
G9972=""юридична особа""
,
VLOOKUP"&amp;"(H9972,IMPORTRANGE(""https://docs.google.com/spreadsheets/d/14Bd19lYaqBhU8_DElYkX7l4wRkHqqCUFNJY4AfY3kHU/edit?usp=sharing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1" s="7" t="s">
        <v>29</v>
      </c>
    </row>
    <row r="9972" spans="1:10" ht="13.2">
      <c r="A9972" s="7">
        <v>9971</v>
      </c>
      <c r="B9972" s="7">
        <v>1</v>
      </c>
      <c r="C9972" s="7" t="s">
        <v>10</v>
      </c>
      <c r="D9972" s="7">
        <v>11802</v>
      </c>
      <c r="E9972" s="7" t="s">
        <v>28</v>
      </c>
      <c r="F9972" s="8" t="str">
        <f ca="1">IFERROR(__xludf.DUMMYFUNCTION("IF
(
C9973=""фізична особа""
,
VLOOKUP(D9973,IMPORTRANGE(""https://docs.google.com/spreadsheets/d/14Bd19lYaqBhU8_DElYkX7l4wRkHqqCUFNJY4AfY3kHU/edit?usp=sharing  #gid=0"",""фіз особи new!relations_name""),6,FALSE)
,
(IF
(
C9973=""юридична особа""
,
VLOOKUP"&amp;"(D9973,IMPORTRANGE(""https://docs.google.com/spreadsheets/d/14Bd19lYaqBhU8_DElYkX7l4wRkHqqCUFNJY4AfY3kHU/edit?usp=sharing  #gid=0"",""фіз особи new!relations_name_uo""),7,FALSE)
,
)
))"),"НАРСКІН Олексій Миколайович")</f>
        <v>НАРСКІН Олексій Миколайович</v>
      </c>
      <c r="G9972" s="7" t="s">
        <v>10</v>
      </c>
      <c r="H9972" s="7">
        <v>11867</v>
      </c>
      <c r="I9972" s="8" t="str">
        <f ca="1">IFERROR(__xludf.DUMMYFUNCTION("IF
(
G9973=""фізична особа""
,
VLOOKUP(H9973,IMPORTRANGE(""https://docs.google.com/spreadsheets/d/14Bd19lYaqBhU8_DElYkX7l4wRkHqqCUFNJY4AfY3kHU/edit?usp=sharing  #gid=0"",""фіз особи new!relations_name""),6,FALSE)
,
(IF
(
G9973=""юридична особа""
,
VLOOKUP"&amp;"(H9973,IMPORTRANGE(""https://docs.google.com/spreadsheets/d/14Bd19lYaqBhU8_DElYkX7l4wRkHqqCUFNJY4AfY3kHU/edit?usp=sharing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2" s="7" t="s">
        <v>29</v>
      </c>
    </row>
    <row r="9973" spans="1:10" ht="13.2">
      <c r="A9973" s="7">
        <v>9972</v>
      </c>
      <c r="B9973" s="7">
        <v>1</v>
      </c>
      <c r="C9973" s="7" t="s">
        <v>10</v>
      </c>
      <c r="D9973" s="7">
        <v>11803</v>
      </c>
      <c r="E9973" s="7" t="s">
        <v>28</v>
      </c>
      <c r="F9973" s="8" t="str">
        <f ca="1">IFERROR(__xludf.DUMMYFUNCTION("IF
(
C9974=""фізична особа""
,
VLOOKUP(D9974,IMPORTRANGE(""https://docs.google.com/spreadsheets/d/14Bd19lYaqBhU8_DElYkX7l4wRkHqqCUFNJY4AfY3kHU/edit?usp=sharing  #gid=0"",""фіз особи new!relations_name""),6,FALSE)
,
(IF
(
C9974=""юридична особа""
,
VLOOKUP"&amp;"(D9974,IMPORTRANGE(""https://docs.google.com/spreadsheets/d/14Bd19lYaqBhU8_DElYkX7l4wRkHqqCUFNJY4AfY3kHU/edit?usp=sharing  #gid=0"",""фіз особи new!relations_name_uo""),7,FALSE)
,
)
))"),"РОДІОНОВА Олена Юріївна")</f>
        <v>РОДІОНОВА Олена Юріївна</v>
      </c>
      <c r="G9973" s="7" t="s">
        <v>10</v>
      </c>
      <c r="H9973" s="7">
        <v>11867</v>
      </c>
      <c r="I9973" s="8" t="str">
        <f ca="1">IFERROR(__xludf.DUMMYFUNCTION("IF
(
G9974=""фізична особа""
,
VLOOKUP(H9974,IMPORTRANGE(""https://docs.google.com/spreadsheets/d/14Bd19lYaqBhU8_DElYkX7l4wRkHqqCUFNJY4AfY3kHU/edit?usp=sharing  #gid=0"",""фіз особи new!relations_name""),6,FALSE)
,
(IF
(
G9974=""юридична особа""
,
VLOOKUP"&amp;"(H9974,IMPORTRANGE(""https://docs.google.com/spreadsheets/d/14Bd19lYaqBhU8_DElYkX7l4wRkHqqCUFNJY4AfY3kHU/edit?usp=sharing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3" s="7" t="s">
        <v>29</v>
      </c>
    </row>
    <row r="9974" spans="1:10" ht="13.2">
      <c r="A9974" s="7">
        <v>9973</v>
      </c>
      <c r="B9974" s="7">
        <v>1</v>
      </c>
      <c r="C9974" s="7" t="s">
        <v>10</v>
      </c>
      <c r="D9974" s="7">
        <v>11804</v>
      </c>
      <c r="E9974" s="7" t="s">
        <v>28</v>
      </c>
      <c r="F9974" s="8" t="str">
        <f ca="1">IFERROR(__xludf.DUMMYFUNCTION("IF
(
C9975=""фізична особа""
,
VLOOKUP(D9975,IMPORTRANGE(""https://docs.google.com/spreadsheets/d/14Bd19lYaqBhU8_DElYkX7l4wRkHqqCUFNJY4AfY3kHU/edit?usp=sharing  #gid=0"",""фіз особи new!relations_name""),6,FALSE)
,
(IF
(
C9975=""юридична особа""
,
VLOOKUP"&amp;"(D9975,IMPORTRANGE(""https://docs.google.com/spreadsheets/d/14Bd19lYaqBhU8_DElYkX7l4wRkHqqCUFNJY4AfY3kHU/edit?usp=sharing  #gid=0"",""фіз особи new!relations_name_uo""),7,FALSE)
,
)
))"),"КАЗМЕНКОВ Олексій Олександрович")</f>
        <v>КАЗМЕНКОВ Олексій Олександрович</v>
      </c>
      <c r="G9974" s="7" t="s">
        <v>10</v>
      </c>
      <c r="H9974" s="7">
        <v>11867</v>
      </c>
      <c r="I9974" s="8" t="str">
        <f ca="1">IFERROR(__xludf.DUMMYFUNCTION("IF
(
G9975=""фізична особа""
,
VLOOKUP(H9975,IMPORTRANGE(""https://docs.google.com/spreadsheets/d/14Bd19lYaqBhU8_DElYkX7l4wRkHqqCUFNJY4AfY3kHU/edit?usp=sharing  #gid=0"",""фіз особи new!relations_name""),6,FALSE)
,
(IF
(
G9975=""юридична особа""
,
VLOOKUP"&amp;"(H9975,IMPORTRANGE(""https://docs.google.com/spreadsheets/d/14Bd19lYaqBhU8_DElYkX7l4wRkHqqCUFNJY4AfY3kHU/edit?usp=sharing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4" s="7" t="s">
        <v>29</v>
      </c>
    </row>
    <row r="9975" spans="1:10" ht="13.2">
      <c r="A9975" s="7">
        <v>9974</v>
      </c>
      <c r="B9975" s="7">
        <v>1</v>
      </c>
      <c r="C9975" s="7" t="s">
        <v>10</v>
      </c>
      <c r="D9975" s="7">
        <v>11805</v>
      </c>
      <c r="E9975" s="7" t="s">
        <v>28</v>
      </c>
      <c r="F9975" s="8" t="str">
        <f ca="1">IFERROR(__xludf.DUMMYFUNCTION("IF
(
C9976=""фізична особа""
,
VLOOKUP(D9976,IMPORTRANGE(""https://docs.google.com/spreadsheets/d/14Bd19lYaqBhU8_DElYkX7l4wRkHqqCUFNJY4AfY3kHU/edit?usp=sharing  #gid=0"",""фіз особи new!relations_name""),6,FALSE)
,
(IF
(
C9976=""юридична особа""
,
VLOOKUP"&amp;"(D9976,IMPORTRANGE(""https://docs.google.com/spreadsheets/d/14Bd19lYaqBhU8_DElYkX7l4wRkHqqCUFNJY4AfY3kHU/edit?usp=sharing  #gid=0"",""фіз особи new!relations_name_uo""),7,FALSE)
,
)
))"),"СЕМЕНІХІНА Тетяна Сергіївна")</f>
        <v>СЕМЕНІХІНА Тетяна Сергіївна</v>
      </c>
      <c r="G9975" s="7" t="s">
        <v>10</v>
      </c>
      <c r="H9975" s="7">
        <v>11867</v>
      </c>
      <c r="I9975" s="8" t="str">
        <f ca="1">IFERROR(__xludf.DUMMYFUNCTION("IF
(
G9976=""фізична особа""
,
VLOOKUP(H9976,IMPORTRANGE(""https://docs.google.com/spreadsheets/d/14Bd19lYaqBhU8_DElYkX7l4wRkHqqCUFNJY4AfY3kHU/edit?usp=sharing  #gid=0"",""фіз особи new!relations_name""),6,FALSE)
,
(IF
(
G9976=""юридична особа""
,
VLOOKUP"&amp;"(H9976,IMPORTRANGE(""https://docs.google.com/spreadsheets/d/14Bd19lYaqBhU8_DElYkX7l4wRkHqqCUFNJY4AfY3kHU/edit?usp=sharing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5" s="7" t="s">
        <v>29</v>
      </c>
    </row>
    <row r="9976" spans="1:10" ht="13.2">
      <c r="A9976" s="7">
        <v>9975</v>
      </c>
      <c r="B9976" s="7">
        <v>1</v>
      </c>
      <c r="C9976" s="7" t="s">
        <v>10</v>
      </c>
      <c r="D9976" s="7">
        <v>11806</v>
      </c>
      <c r="E9976" s="7" t="s">
        <v>28</v>
      </c>
      <c r="F9976" s="8" t="str">
        <f ca="1">IFERROR(__xludf.DUMMYFUNCTION("IF
(
C9977=""фізична особа""
,
VLOOKUP(D9977,IMPORTRANGE(""https://docs.google.com/spreadsheets/d/14Bd19lYaqBhU8_DElYkX7l4wRkHqqCUFNJY4AfY3kHU/edit?usp=sharing  #gid=0"",""фіз особи new!relations_name""),6,FALSE)
,
(IF
(
C9977=""юридична особа""
,
VLOOKUP"&amp;"(D9977,IMPORTRANGE(""https://docs.google.com/spreadsheets/d/14Bd19lYaqBhU8_DElYkX7l4wRkHqqCUFNJY4AfY3kHU/edit?usp=sharing  #gid=0"",""фіз особи new!relations_name_uo""),7,FALSE)
,
)
))"),"БЄЛЯЄВ Ігор Володимирович")</f>
        <v>БЄЛЯЄВ Ігор Володимирович</v>
      </c>
      <c r="G9976" s="7" t="s">
        <v>10</v>
      </c>
      <c r="H9976" s="7">
        <v>11867</v>
      </c>
      <c r="I9976" s="8" t="str">
        <f ca="1">IFERROR(__xludf.DUMMYFUNCTION("IF
(
G9977=""фізична особа""
,
VLOOKUP(H9977,IMPORTRANGE(""https://docs.google.com/spreadsheets/d/14Bd19lYaqBhU8_DElYkX7l4wRkHqqCUFNJY4AfY3kHU/edit?usp=sharing  #gid=0"",""фіз особи new!relations_name""),6,FALSE)
,
(IF
(
G9977=""юридична особа""
,
VLOOKUP"&amp;"(H9977,IMPORTRANGE(""https://docs.google.com/spreadsheets/d/14Bd19lYaqBhU8_DElYkX7l4wRkHqqCUFNJY4AfY3kHU/edit?usp=sharing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6" s="7" t="s">
        <v>29</v>
      </c>
    </row>
    <row r="9977" spans="1:10" ht="13.2">
      <c r="A9977" s="7">
        <v>9976</v>
      </c>
      <c r="B9977" s="7">
        <v>1</v>
      </c>
      <c r="C9977" s="7" t="s">
        <v>10</v>
      </c>
      <c r="D9977" s="7">
        <v>11807</v>
      </c>
      <c r="E9977" s="7" t="s">
        <v>28</v>
      </c>
      <c r="F9977" s="8" t="str">
        <f ca="1">IFERROR(__xludf.DUMMYFUNCTION("IF
(
C9978=""фізична особа""
,
VLOOKUP(D9978,IMPORTRANGE(""https://docs.google.com/spreadsheets/d/14Bd19lYaqBhU8_DElYkX7l4wRkHqqCUFNJY4AfY3kHU/edit?usp=sharing  #gid=0"",""фіз особи new!relations_name""),6,FALSE)
,
(IF
(
C9978=""юридична особа""
,
VLOOKUP"&amp;"(D9978,IMPORTRANGE(""https://docs.google.com/spreadsheets/d/14Bd19lYaqBhU8_DElYkX7l4wRkHqqCUFNJY4AfY3kHU/edit?usp=sharing  #gid=0"",""фіз особи new!relations_name_uo""),7,FALSE)
,
)
))"),"СОЛОВЙОВ Ігор Валерійович")</f>
        <v>СОЛОВЙОВ Ігор Валерійович</v>
      </c>
      <c r="G9977" s="7" t="s">
        <v>10</v>
      </c>
      <c r="H9977" s="7">
        <v>11867</v>
      </c>
      <c r="I9977" s="8" t="str">
        <f ca="1">IFERROR(__xludf.DUMMYFUNCTION("IF
(
G9978=""фізична особа""
,
VLOOKUP(H9978,IMPORTRANGE(""https://docs.google.com/spreadsheets/d/14Bd19lYaqBhU8_DElYkX7l4wRkHqqCUFNJY4AfY3kHU/edit?usp=sharing  #gid=0"",""фіз особи new!relations_name""),6,FALSE)
,
(IF
(
G9978=""юридична особа""
,
VLOOKUP"&amp;"(H9978,IMPORTRANGE(""https://docs.google.com/spreadsheets/d/14Bd19lYaqBhU8_DElYkX7l4wRkHqqCUFNJY4AfY3kHU/edit?usp=sharing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7" s="7" t="s">
        <v>29</v>
      </c>
    </row>
    <row r="9978" spans="1:10" ht="13.2">
      <c r="A9978" s="7">
        <v>9977</v>
      </c>
      <c r="B9978" s="7">
        <v>1</v>
      </c>
      <c r="C9978" s="7" t="s">
        <v>10</v>
      </c>
      <c r="D9978" s="7">
        <v>11808</v>
      </c>
      <c r="E9978" s="7" t="s">
        <v>28</v>
      </c>
      <c r="F9978" s="8" t="str">
        <f ca="1">IFERROR(__xludf.DUMMYFUNCTION("IF
(
C9979=""фізична особа""
,
VLOOKUP(D9979,IMPORTRANGE(""https://docs.google.com/spreadsheets/d/14Bd19lYaqBhU8_DElYkX7l4wRkHqqCUFNJY4AfY3kHU/edit?usp=sharing  #gid=0"",""фіз особи new!relations_name""),6,FALSE)
,
(IF
(
C9979=""юридична особа""
,
VLOOKUP"&amp;"(D9979,IMPORTRANGE(""https://docs.google.com/spreadsheets/d/14Bd19lYaqBhU8_DElYkX7l4wRkHqqCUFNJY4AfY3kHU/edit?usp=sharing  #gid=0"",""фіз особи new!relations_name_uo""),7,FALSE)
,
)
))"),"ПОЛОНСЬКИЙ Дмитро Сергійович")</f>
        <v>ПОЛОНСЬКИЙ Дмитро Сергійович</v>
      </c>
      <c r="G9978" s="7" t="s">
        <v>10</v>
      </c>
      <c r="H9978" s="7">
        <v>11867</v>
      </c>
      <c r="I9978" s="8" t="str">
        <f ca="1">IFERROR(__xludf.DUMMYFUNCTION("IF
(
G9979=""фізична особа""
,
VLOOKUP(H9979,IMPORTRANGE(""https://docs.google.com/spreadsheets/d/14Bd19lYaqBhU8_DElYkX7l4wRkHqqCUFNJY4AfY3kHU/edit?usp=sharing  #gid=0"",""фіз особи new!relations_name""),6,FALSE)
,
(IF
(
G9979=""юридична особа""
,
VLOOKUP"&amp;"(H9979,IMPORTRANGE(""https://docs.google.com/spreadsheets/d/14Bd19lYaqBhU8_DElYkX7l4wRkHqqCUFNJY4AfY3kHU/edit?usp=sharing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8" s="7" t="s">
        <v>29</v>
      </c>
    </row>
    <row r="9979" spans="1:10" ht="13.2">
      <c r="A9979" s="7">
        <v>9978</v>
      </c>
      <c r="B9979" s="7">
        <v>1</v>
      </c>
      <c r="C9979" s="7" t="s">
        <v>10</v>
      </c>
      <c r="D9979" s="7">
        <v>11809</v>
      </c>
      <c r="E9979" s="7" t="s">
        <v>28</v>
      </c>
      <c r="F9979" s="8" t="str">
        <f ca="1">IFERROR(__xludf.DUMMYFUNCTION("IF
(
C9980=""фізична особа""
,
VLOOKUP(D9980,IMPORTRANGE(""https://docs.google.com/spreadsheets/d/14Bd19lYaqBhU8_DElYkX7l4wRkHqqCUFNJY4AfY3kHU/edit?usp=sharing  #gid=0"",""фіз особи new!relations_name""),6,FALSE)
,
(IF
(
C9980=""юридична особа""
,
VLOOKUP"&amp;"(D9980,IMPORTRANGE(""https://docs.google.com/spreadsheets/d/14Bd19lYaqBhU8_DElYkX7l4wRkHqqCUFNJY4AfY3kHU/edit?usp=sharing  #gid=0"",""фіз особи new!relations_name_uo""),7,FALSE)
,
)
))"),"ВЄРКІНА Ольга Володимирівна")</f>
        <v>ВЄРКІНА Ольга Володимирівна</v>
      </c>
      <c r="G9979" s="7" t="s">
        <v>10</v>
      </c>
      <c r="H9979" s="7">
        <v>11867</v>
      </c>
      <c r="I9979" s="8" t="str">
        <f ca="1">IFERROR(__xludf.DUMMYFUNCTION("IF
(
G9980=""фізична особа""
,
VLOOKUP(H9980,IMPORTRANGE(""https://docs.google.com/spreadsheets/d/14Bd19lYaqBhU8_DElYkX7l4wRkHqqCUFNJY4AfY3kHU/edit?usp=sharing  #gid=0"",""фіз особи new!relations_name""),6,FALSE)
,
(IF
(
G9980=""юридична особа""
,
VLOOKUP"&amp;"(H9980,IMPORTRANGE(""https://docs.google.com/spreadsheets/d/14Bd19lYaqBhU8_DElYkX7l4wRkHqqCUFNJY4AfY3kHU/edit?usp=sharing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79" s="7" t="s">
        <v>29</v>
      </c>
    </row>
    <row r="9980" spans="1:10" ht="13.2">
      <c r="A9980" s="7">
        <v>9979</v>
      </c>
      <c r="B9980" s="7">
        <v>1</v>
      </c>
      <c r="C9980" s="7" t="s">
        <v>10</v>
      </c>
      <c r="D9980" s="7">
        <v>11810</v>
      </c>
      <c r="E9980" s="7" t="s">
        <v>28</v>
      </c>
      <c r="F9980" s="8" t="str">
        <f ca="1">IFERROR(__xludf.DUMMYFUNCTION("IF
(
C9981=""фізична особа""
,
VLOOKUP(D9981,IMPORTRANGE(""https://docs.google.com/spreadsheets/d/14Bd19lYaqBhU8_DElYkX7l4wRkHqqCUFNJY4AfY3kHU/edit?usp=sharing  #gid=0"",""фіз особи new!relations_name""),6,FALSE)
,
(IF
(
C9981=""юридична особа""
,
VLOOKUP"&amp;"(D9981,IMPORTRANGE(""https://docs.google.com/spreadsheets/d/14Bd19lYaqBhU8_DElYkX7l4wRkHqqCUFNJY4AfY3kHU/edit?usp=sharing  #gid=0"",""фіз особи new!relations_name_uo""),7,FALSE)
,
)
))"),"МЕТЬОЛКІН Олексій Ігорович")</f>
        <v>МЕТЬОЛКІН Олексій Ігорович</v>
      </c>
      <c r="G9980" s="7" t="s">
        <v>10</v>
      </c>
      <c r="H9980" s="7">
        <v>11867</v>
      </c>
      <c r="I9980" s="8" t="str">
        <f ca="1">IFERROR(__xludf.DUMMYFUNCTION("IF
(
G9981=""фізична особа""
,
VLOOKUP(H9981,IMPORTRANGE(""https://docs.google.com/spreadsheets/d/14Bd19lYaqBhU8_DElYkX7l4wRkHqqCUFNJY4AfY3kHU/edit?usp=sharing  #gid=0"",""фіз особи new!relations_name""),6,FALSE)
,
(IF
(
G9981=""юридична особа""
,
VLOOKUP"&amp;"(H9981,IMPORTRANGE(""https://docs.google.com/spreadsheets/d/14Bd19lYaqBhU8_DElYkX7l4wRkHqqCUFNJY4AfY3kHU/edit?usp=sharing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0" s="7" t="s">
        <v>29</v>
      </c>
    </row>
    <row r="9981" spans="1:10" ht="13.2">
      <c r="A9981" s="7">
        <v>9980</v>
      </c>
      <c r="B9981" s="7">
        <v>1</v>
      </c>
      <c r="C9981" s="7" t="s">
        <v>10</v>
      </c>
      <c r="D9981" s="7">
        <v>11811</v>
      </c>
      <c r="E9981" s="7" t="s">
        <v>28</v>
      </c>
      <c r="F9981" s="8" t="str">
        <f ca="1">IFERROR(__xludf.DUMMYFUNCTION("IF
(
C9982=""фізична особа""
,
VLOOKUP(D9982,IMPORTRANGE(""https://docs.google.com/spreadsheets/d/14Bd19lYaqBhU8_DElYkX7l4wRkHqqCUFNJY4AfY3kHU/edit?usp=sharing  #gid=0"",""фіз особи new!relations_name""),6,FALSE)
,
(IF
(
C9982=""юридична особа""
,
VLOOKUP"&amp;"(D9982,IMPORTRANGE(""https://docs.google.com/spreadsheets/d/14Bd19lYaqBhU8_DElYkX7l4wRkHqqCUFNJY4AfY3kHU/edit?usp=sharing  #gid=0"",""фіз особи new!relations_name_uo""),7,FALSE)
,
)
))"),"БЕШТОЄВ Руслан Муссаєвич")</f>
        <v>БЕШТОЄВ Руслан Муссаєвич</v>
      </c>
      <c r="G9981" s="7" t="s">
        <v>10</v>
      </c>
      <c r="H9981" s="7">
        <v>11867</v>
      </c>
      <c r="I9981" s="8" t="str">
        <f ca="1">IFERROR(__xludf.DUMMYFUNCTION("IF
(
G9982=""фізична особа""
,
VLOOKUP(H9982,IMPORTRANGE(""https://docs.google.com/spreadsheets/d/14Bd19lYaqBhU8_DElYkX7l4wRkHqqCUFNJY4AfY3kHU/edit?usp=sharing  #gid=0"",""фіз особи new!relations_name""),6,FALSE)
,
(IF
(
G9982=""юридична особа""
,
VLOOKUP"&amp;"(H9982,IMPORTRANGE(""https://docs.google.com/spreadsheets/d/14Bd19lYaqBhU8_DElYkX7l4wRkHqqCUFNJY4AfY3kHU/edit?usp=sharing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1" s="7" t="s">
        <v>29</v>
      </c>
    </row>
    <row r="9982" spans="1:10" ht="13.2">
      <c r="A9982" s="7">
        <v>9981</v>
      </c>
      <c r="B9982" s="7">
        <v>1</v>
      </c>
      <c r="C9982" s="7" t="s">
        <v>10</v>
      </c>
      <c r="D9982" s="7">
        <v>11812</v>
      </c>
      <c r="E9982" s="7" t="s">
        <v>28</v>
      </c>
      <c r="F9982" s="8" t="str">
        <f ca="1">IFERROR(__xludf.DUMMYFUNCTION("IF
(
C9983=""фізична особа""
,
VLOOKUP(D9983,IMPORTRANGE(""https://docs.google.com/spreadsheets/d/14Bd19lYaqBhU8_DElYkX7l4wRkHqqCUFNJY4AfY3kHU/edit?usp=sharing  #gid=0"",""фіз особи new!relations_name""),6,FALSE)
,
(IF
(
C9983=""юридична особа""
,
VLOOKUP"&amp;"(D9983,IMPORTRANGE(""https://docs.google.com/spreadsheets/d/14Bd19lYaqBhU8_DElYkX7l4wRkHqqCUFNJY4AfY3kHU/edit?usp=sharing  #gid=0"",""фіз особи new!relations_name_uo""),7,FALSE)
,
)
))"),"БАЙТИМИРОВА Тетяна Миколаївна")</f>
        <v>БАЙТИМИРОВА Тетяна Миколаївна</v>
      </c>
      <c r="G9982" s="7" t="s">
        <v>10</v>
      </c>
      <c r="H9982" s="7">
        <v>11867</v>
      </c>
      <c r="I9982" s="8" t="str">
        <f ca="1">IFERROR(__xludf.DUMMYFUNCTION("IF
(
G9983=""фізична особа""
,
VLOOKUP(H9983,IMPORTRANGE(""https://docs.google.com/spreadsheets/d/14Bd19lYaqBhU8_DElYkX7l4wRkHqqCUFNJY4AfY3kHU/edit?usp=sharing  #gid=0"",""фіз особи new!relations_name""),6,FALSE)
,
(IF
(
G9983=""юридична особа""
,
VLOOKUP"&amp;"(H9983,IMPORTRANGE(""https://docs.google.com/spreadsheets/d/14Bd19lYaqBhU8_DElYkX7l4wRkHqqCUFNJY4AfY3kHU/edit?usp=sharing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2" s="7" t="s">
        <v>29</v>
      </c>
    </row>
    <row r="9983" spans="1:10" ht="13.2">
      <c r="A9983" s="7">
        <v>9982</v>
      </c>
      <c r="B9983" s="7">
        <v>1</v>
      </c>
      <c r="C9983" s="7" t="s">
        <v>10</v>
      </c>
      <c r="D9983" s="7">
        <v>11813</v>
      </c>
      <c r="E9983" s="7" t="s">
        <v>28</v>
      </c>
      <c r="F9983" s="8" t="str">
        <f ca="1">IFERROR(__xludf.DUMMYFUNCTION("IF
(
C9984=""фізична особа""
,
VLOOKUP(D9984,IMPORTRANGE(""https://docs.google.com/spreadsheets/d/14Bd19lYaqBhU8_DElYkX7l4wRkHqqCUFNJY4AfY3kHU/edit?usp=sharing  #gid=0"",""фіз особи new!relations_name""),6,FALSE)
,
(IF
(
C9984=""юридична особа""
,
VLOOKUP"&amp;"(D9984,IMPORTRANGE(""https://docs.google.com/spreadsheets/d/14Bd19lYaqBhU8_DElYkX7l4wRkHqqCUFNJY4AfY3kHU/edit?usp=sharing  #gid=0"",""фіз особи new!relations_name_uo""),7,FALSE)
,
)
))"),"АВДЄЄВА Інна Володимирівна")</f>
        <v>АВДЄЄВА Інна Володимирівна</v>
      </c>
      <c r="G9983" s="7" t="s">
        <v>10</v>
      </c>
      <c r="H9983" s="7">
        <v>11867</v>
      </c>
      <c r="I9983" s="8" t="str">
        <f ca="1">IFERROR(__xludf.DUMMYFUNCTION("IF
(
G9984=""фізична особа""
,
VLOOKUP(H9984,IMPORTRANGE(""https://docs.google.com/spreadsheets/d/14Bd19lYaqBhU8_DElYkX7l4wRkHqqCUFNJY4AfY3kHU/edit?usp=sharing  #gid=0"",""фіз особи new!relations_name""),6,FALSE)
,
(IF
(
G9984=""юридична особа""
,
VLOOKUP"&amp;"(H9984,IMPORTRANGE(""https://docs.google.com/spreadsheets/d/14Bd19lYaqBhU8_DElYkX7l4wRkHqqCUFNJY4AfY3kHU/edit?usp=sharing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3" s="7" t="s">
        <v>29</v>
      </c>
    </row>
    <row r="9984" spans="1:10" ht="13.2">
      <c r="A9984" s="7">
        <v>9983</v>
      </c>
      <c r="B9984" s="7">
        <v>1</v>
      </c>
      <c r="C9984" s="7" t="s">
        <v>10</v>
      </c>
      <c r="D9984" s="7">
        <v>11814</v>
      </c>
      <c r="E9984" s="7" t="s">
        <v>28</v>
      </c>
      <c r="F9984" s="8" t="str">
        <f ca="1">IFERROR(__xludf.DUMMYFUNCTION("IF
(
C9985=""фізична особа""
,
VLOOKUP(D9985,IMPORTRANGE(""https://docs.google.com/spreadsheets/d/14Bd19lYaqBhU8_DElYkX7l4wRkHqqCUFNJY4AfY3kHU/edit?usp=sharing  #gid=0"",""фіз особи new!relations_name""),6,FALSE)
,
(IF
(
C9985=""юридична особа""
,
VLOOKUP"&amp;"(D9985,IMPORTRANGE(""https://docs.google.com/spreadsheets/d/14Bd19lYaqBhU8_DElYkX7l4wRkHqqCUFNJY4AfY3kHU/edit?usp=sharing  #gid=0"",""фіз особи new!relations_name_uo""),7,FALSE)
,
)
))"),"ШИШМАКОВ Павло Борисович")</f>
        <v>ШИШМАКОВ Павло Борисович</v>
      </c>
      <c r="G9984" s="7" t="s">
        <v>10</v>
      </c>
      <c r="H9984" s="7">
        <v>11867</v>
      </c>
      <c r="I9984" s="8" t="str">
        <f ca="1">IFERROR(__xludf.DUMMYFUNCTION("IF
(
G9985=""фізична особа""
,
VLOOKUP(H9985,IMPORTRANGE(""https://docs.google.com/spreadsheets/d/14Bd19lYaqBhU8_DElYkX7l4wRkHqqCUFNJY4AfY3kHU/edit?usp=sharing  #gid=0"",""фіз особи new!relations_name""),6,FALSE)
,
(IF
(
G9985=""юридична особа""
,
VLOOKUP"&amp;"(H9985,IMPORTRANGE(""https://docs.google.com/spreadsheets/d/14Bd19lYaqBhU8_DElYkX7l4wRkHqqCUFNJY4AfY3kHU/edit?usp=sharing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4" s="7" t="s">
        <v>29</v>
      </c>
    </row>
    <row r="9985" spans="1:10" ht="13.2">
      <c r="A9985" s="7">
        <v>9984</v>
      </c>
      <c r="B9985" s="7">
        <v>1</v>
      </c>
      <c r="C9985" s="7" t="s">
        <v>10</v>
      </c>
      <c r="D9985" s="7">
        <v>11815</v>
      </c>
      <c r="E9985" s="7" t="s">
        <v>28</v>
      </c>
      <c r="F9985" s="8" t="str">
        <f ca="1">IFERROR(__xludf.DUMMYFUNCTION("IF
(
C9986=""фізична особа""
,
VLOOKUP(D9986,IMPORTRANGE(""https://docs.google.com/spreadsheets/d/14Bd19lYaqBhU8_DElYkX7l4wRkHqqCUFNJY4AfY3kHU/edit?usp=sharing  #gid=0"",""фіз особи new!relations_name""),6,FALSE)
,
(IF
(
C9986=""юридична особа""
,
VLOOKUP"&amp;"(D9986,IMPORTRANGE(""https://docs.google.com/spreadsheets/d/14Bd19lYaqBhU8_DElYkX7l4wRkHqqCUFNJY4AfY3kHU/edit?usp=sharing  #gid=0"",""фіз особи new!relations_name_uo""),7,FALSE)
,
)
))"),"БЄЛОШАПКІН Володимир Миколайович")</f>
        <v>БЄЛОШАПКІН Володимир Миколайович</v>
      </c>
      <c r="G9985" s="7" t="s">
        <v>10</v>
      </c>
      <c r="H9985" s="7">
        <v>11867</v>
      </c>
      <c r="I9985" s="8" t="str">
        <f ca="1">IFERROR(__xludf.DUMMYFUNCTION("IF
(
G9986=""фізична особа""
,
VLOOKUP(H9986,IMPORTRANGE(""https://docs.google.com/spreadsheets/d/14Bd19lYaqBhU8_DElYkX7l4wRkHqqCUFNJY4AfY3kHU/edit?usp=sharing  #gid=0"",""фіз особи new!relations_name""),6,FALSE)
,
(IF
(
G9986=""юридична особа""
,
VLOOKUP"&amp;"(H9986,IMPORTRANGE(""https://docs.google.com/spreadsheets/d/14Bd19lYaqBhU8_DElYkX7l4wRkHqqCUFNJY4AfY3kHU/edit?usp=sharing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5" s="7" t="s">
        <v>29</v>
      </c>
    </row>
    <row r="9986" spans="1:10" ht="13.2">
      <c r="A9986" s="7">
        <v>9985</v>
      </c>
      <c r="B9986" s="7">
        <v>1</v>
      </c>
      <c r="C9986" s="7" t="s">
        <v>10</v>
      </c>
      <c r="D9986" s="7">
        <v>11816</v>
      </c>
      <c r="E9986" s="7" t="s">
        <v>28</v>
      </c>
      <c r="F9986" s="8" t="str">
        <f ca="1">IFERROR(__xludf.DUMMYFUNCTION("IF
(
C9987=""фізична особа""
,
VLOOKUP(D9987,IMPORTRANGE(""https://docs.google.com/spreadsheets/d/14Bd19lYaqBhU8_DElYkX7l4wRkHqqCUFNJY4AfY3kHU/edit?usp=sharing  #gid=0"",""фіз особи new!relations_name""),6,FALSE)
,
(IF
(
C9987=""юридична особа""
,
VLOOKUP"&amp;"(D9987,IMPORTRANGE(""https://docs.google.com/spreadsheets/d/14Bd19lYaqBhU8_DElYkX7l4wRkHqqCUFNJY4AfY3kHU/edit?usp=sharing  #gid=0"",""фіз особи new!relations_name_uo""),7,FALSE)
,
)
))"),"ВАСІН Сергій Володимирович")</f>
        <v>ВАСІН Сергій Володимирович</v>
      </c>
      <c r="G9986" s="7" t="s">
        <v>10</v>
      </c>
      <c r="H9986" s="7">
        <v>11867</v>
      </c>
      <c r="I9986" s="8" t="str">
        <f ca="1">IFERROR(__xludf.DUMMYFUNCTION("IF
(
G9987=""фізична особа""
,
VLOOKUP(H9987,IMPORTRANGE(""https://docs.google.com/spreadsheets/d/14Bd19lYaqBhU8_DElYkX7l4wRkHqqCUFNJY4AfY3kHU/edit?usp=sharing  #gid=0"",""фіз особи new!relations_name""),6,FALSE)
,
(IF
(
G9987=""юридична особа""
,
VLOOKUP"&amp;"(H9987,IMPORTRANGE(""https://docs.google.com/spreadsheets/d/14Bd19lYaqBhU8_DElYkX7l4wRkHqqCUFNJY4AfY3kHU/edit?usp=sharing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6" s="7" t="s">
        <v>29</v>
      </c>
    </row>
    <row r="9987" spans="1:10" ht="13.2">
      <c r="A9987" s="7">
        <v>9986</v>
      </c>
      <c r="B9987" s="7">
        <v>1</v>
      </c>
      <c r="C9987" s="7" t="s">
        <v>10</v>
      </c>
      <c r="D9987" s="7">
        <v>11817</v>
      </c>
      <c r="E9987" s="7" t="s">
        <v>28</v>
      </c>
      <c r="F9987" s="8" t="str">
        <f ca="1">IFERROR(__xludf.DUMMYFUNCTION("IF
(
C9988=""фізична особа""
,
VLOOKUP(D9988,IMPORTRANGE(""https://docs.google.com/spreadsheets/d/14Bd19lYaqBhU8_DElYkX7l4wRkHqqCUFNJY4AfY3kHU/edit?usp=sharing  #gid=0"",""фіз особи new!relations_name""),6,FALSE)
,
(IF
(
C9988=""юридична особа""
,
VLOOKUP"&amp;"(D9988,IMPORTRANGE(""https://docs.google.com/spreadsheets/d/14Bd19lYaqBhU8_DElYkX7l4wRkHqqCUFNJY4AfY3kHU/edit?usp=sharing  #gid=0"",""фіз особи new!relations_name_uo""),7,FALSE)
,
)
))"),"ТОКМАН Ольга Олександрівна")</f>
        <v>ТОКМАН Ольга Олександрівна</v>
      </c>
      <c r="G9987" s="7" t="s">
        <v>10</v>
      </c>
      <c r="H9987" s="7">
        <v>11867</v>
      </c>
      <c r="I9987" s="8" t="str">
        <f ca="1">IFERROR(__xludf.DUMMYFUNCTION("IF
(
G9988=""фізична особа""
,
VLOOKUP(H9988,IMPORTRANGE(""https://docs.google.com/spreadsheets/d/14Bd19lYaqBhU8_DElYkX7l4wRkHqqCUFNJY4AfY3kHU/edit?usp=sharing  #gid=0"",""фіз особи new!relations_name""),6,FALSE)
,
(IF
(
G9988=""юридична особа""
,
VLOOKUP"&amp;"(H9988,IMPORTRANGE(""https://docs.google.com/spreadsheets/d/14Bd19lYaqBhU8_DElYkX7l4wRkHqqCUFNJY4AfY3kHU/edit?usp=sharing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7" s="7" t="s">
        <v>29</v>
      </c>
    </row>
    <row r="9988" spans="1:10" ht="13.2">
      <c r="A9988" s="7">
        <v>9987</v>
      </c>
      <c r="B9988" s="7">
        <v>1</v>
      </c>
      <c r="C9988" s="7" t="s">
        <v>10</v>
      </c>
      <c r="D9988" s="7">
        <v>11818</v>
      </c>
      <c r="E9988" s="7" t="s">
        <v>28</v>
      </c>
      <c r="F9988" s="8" t="str">
        <f ca="1">IFERROR(__xludf.DUMMYFUNCTION("IF
(
C9989=""фізична особа""
,
VLOOKUP(D9989,IMPORTRANGE(""https://docs.google.com/spreadsheets/d/14Bd19lYaqBhU8_DElYkX7l4wRkHqqCUFNJY4AfY3kHU/edit?usp=sharing  #gid=0"",""фіз особи new!relations_name""),6,FALSE)
,
(IF
(
C9989=""юридична особа""
,
VLOOKUP"&amp;"(D9989,IMPORTRANGE(""https://docs.google.com/spreadsheets/d/14Bd19lYaqBhU8_DElYkX7l4wRkHqqCUFNJY4AfY3kHU/edit?usp=sharing  #gid=0"",""фіз особи new!relations_name_uo""),7,FALSE)
,
)
))"),"СІНІЦИНА Тетяна Олександрівна")</f>
        <v>СІНІЦИНА Тетяна Олександрівна</v>
      </c>
      <c r="G9988" s="7" t="s">
        <v>10</v>
      </c>
      <c r="H9988" s="7">
        <v>11867</v>
      </c>
      <c r="I9988" s="8" t="str">
        <f ca="1">IFERROR(__xludf.DUMMYFUNCTION("IF
(
G9989=""фізична особа""
,
VLOOKUP(H9989,IMPORTRANGE(""https://docs.google.com/spreadsheets/d/14Bd19lYaqBhU8_DElYkX7l4wRkHqqCUFNJY4AfY3kHU/edit?usp=sharing  #gid=0"",""фіз особи new!relations_name""),6,FALSE)
,
(IF
(
G9989=""юридична особа""
,
VLOOKUP"&amp;"(H9989,IMPORTRANGE(""https://docs.google.com/spreadsheets/d/14Bd19lYaqBhU8_DElYkX7l4wRkHqqCUFNJY4AfY3kHU/edit?usp=sharing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8" s="7" t="s">
        <v>29</v>
      </c>
    </row>
    <row r="9989" spans="1:10" ht="13.2">
      <c r="A9989" s="7">
        <v>9988</v>
      </c>
      <c r="B9989" s="7">
        <v>1</v>
      </c>
      <c r="C9989" s="7" t="s">
        <v>10</v>
      </c>
      <c r="D9989" s="7">
        <v>11819</v>
      </c>
      <c r="E9989" s="7" t="s">
        <v>28</v>
      </c>
      <c r="F9989" s="8" t="str">
        <f ca="1">IFERROR(__xludf.DUMMYFUNCTION("IF
(
C9990=""фізична особа""
,
VLOOKUP(D9990,IMPORTRANGE(""https://docs.google.com/spreadsheets/d/14Bd19lYaqBhU8_DElYkX7l4wRkHqqCUFNJY4AfY3kHU/edit?usp=sharing  #gid=0"",""фіз особи new!relations_name""),6,FALSE)
,
(IF
(
C9990=""юридична особа""
,
VLOOKUP"&amp;"(D9990,IMPORTRANGE(""https://docs.google.com/spreadsheets/d/14Bd19lYaqBhU8_DElYkX7l4wRkHqqCUFNJY4AfY3kHU/edit?usp=sharing  #gid=0"",""фіз особи new!relations_name_uo""),7,FALSE)
,
)
))"),"ЗІМІН Андрій Петрович")</f>
        <v>ЗІМІН Андрій Петрович</v>
      </c>
      <c r="G9989" s="7" t="s">
        <v>10</v>
      </c>
      <c r="H9989" s="7">
        <v>11867</v>
      </c>
      <c r="I9989" s="8" t="str">
        <f ca="1">IFERROR(__xludf.DUMMYFUNCTION("IF
(
G9990=""фізична особа""
,
VLOOKUP(H9990,IMPORTRANGE(""https://docs.google.com/spreadsheets/d/14Bd19lYaqBhU8_DElYkX7l4wRkHqqCUFNJY4AfY3kHU/edit?usp=sharing  #gid=0"",""фіз особи new!relations_name""),6,FALSE)
,
(IF
(
G9990=""юридична особа""
,
VLOOKUP"&amp;"(H9990,IMPORTRANGE(""https://docs.google.com/spreadsheets/d/14Bd19lYaqBhU8_DElYkX7l4wRkHqqCUFNJY4AfY3kHU/edit?usp=sharing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89" s="7" t="s">
        <v>29</v>
      </c>
    </row>
    <row r="9990" spans="1:10" ht="13.2">
      <c r="A9990" s="7">
        <v>9989</v>
      </c>
      <c r="B9990" s="7">
        <v>1</v>
      </c>
      <c r="C9990" s="7" t="s">
        <v>10</v>
      </c>
      <c r="D9990" s="7">
        <v>11820</v>
      </c>
      <c r="E9990" s="7" t="s">
        <v>28</v>
      </c>
      <c r="F9990" s="8" t="str">
        <f ca="1">IFERROR(__xludf.DUMMYFUNCTION("IF
(
C9991=""фізична особа""
,
VLOOKUP(D9991,IMPORTRANGE(""https://docs.google.com/spreadsheets/d/14Bd19lYaqBhU8_DElYkX7l4wRkHqqCUFNJY4AfY3kHU/edit?usp=sharing  #gid=0"",""фіз особи new!relations_name""),6,FALSE)
,
(IF
(
C9991=""юридична особа""
,
VLOOKUP"&amp;"(D9991,IMPORTRANGE(""https://docs.google.com/spreadsheets/d/14Bd19lYaqBhU8_DElYkX7l4wRkHqqCUFNJY4AfY3kHU/edit?usp=sharing  #gid=0"",""фіз особи new!relations_name_uo""),7,FALSE)
,
)
))"),"НОВІЧОК Максим Володимирович")</f>
        <v>НОВІЧОК Максим Володимирович</v>
      </c>
      <c r="G9990" s="7" t="s">
        <v>10</v>
      </c>
      <c r="H9990" s="7">
        <v>11867</v>
      </c>
      <c r="I9990" s="8" t="str">
        <f ca="1">IFERROR(__xludf.DUMMYFUNCTION("IF
(
G9991=""фізична особа""
,
VLOOKUP(H9991,IMPORTRANGE(""https://docs.google.com/spreadsheets/d/14Bd19lYaqBhU8_DElYkX7l4wRkHqqCUFNJY4AfY3kHU/edit?usp=sharing  #gid=0"",""фіз особи new!relations_name""),6,FALSE)
,
(IF
(
G9991=""юридична особа""
,
VLOOKUP"&amp;"(H9991,IMPORTRANGE(""https://docs.google.com/spreadsheets/d/14Bd19lYaqBhU8_DElYkX7l4wRkHqqCUFNJY4AfY3kHU/edit?usp=sharing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0" s="7" t="s">
        <v>29</v>
      </c>
    </row>
    <row r="9991" spans="1:10" ht="13.2">
      <c r="A9991" s="7">
        <v>9990</v>
      </c>
      <c r="B9991" s="7">
        <v>1</v>
      </c>
      <c r="C9991" s="7" t="s">
        <v>10</v>
      </c>
      <c r="D9991" s="7">
        <v>11821</v>
      </c>
      <c r="E9991" s="7" t="s">
        <v>28</v>
      </c>
      <c r="F9991" s="8" t="str">
        <f ca="1">IFERROR(__xludf.DUMMYFUNCTION("IF
(
C9992=""фізична особа""
,
VLOOKUP(D9992,IMPORTRANGE(""https://docs.google.com/spreadsheets/d/14Bd19lYaqBhU8_DElYkX7l4wRkHqqCUFNJY4AfY3kHU/edit?usp=sharing  #gid=0"",""фіз особи new!relations_name""),6,FALSE)
,
(IF
(
C9992=""юридична особа""
,
VLOOKUP"&amp;"(D9992,IMPORTRANGE(""https://docs.google.com/spreadsheets/d/14Bd19lYaqBhU8_DElYkX7l4wRkHqqCUFNJY4AfY3kHU/edit?usp=sharing  #gid=0"",""фіз особи new!relations_name_uo""),7,FALSE)
,
)
))"),"ШЕКУНОВА Світлана Геннадіївна")</f>
        <v>ШЕКУНОВА Світлана Геннадіївна</v>
      </c>
      <c r="G9991" s="7" t="s">
        <v>10</v>
      </c>
      <c r="H9991" s="7">
        <v>11867</v>
      </c>
      <c r="I9991" s="8" t="str">
        <f ca="1">IFERROR(__xludf.DUMMYFUNCTION("IF
(
G9992=""фізична особа""
,
VLOOKUP(H9992,IMPORTRANGE(""https://docs.google.com/spreadsheets/d/14Bd19lYaqBhU8_DElYkX7l4wRkHqqCUFNJY4AfY3kHU/edit?usp=sharing  #gid=0"",""фіз особи new!relations_name""),6,FALSE)
,
(IF
(
G9992=""юридична особа""
,
VLOOKUP"&amp;"(H9992,IMPORTRANGE(""https://docs.google.com/spreadsheets/d/14Bd19lYaqBhU8_DElYkX7l4wRkHqqCUFNJY4AfY3kHU/edit?usp=sharing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1" s="7" t="s">
        <v>29</v>
      </c>
    </row>
    <row r="9992" spans="1:10" ht="13.2">
      <c r="A9992" s="7">
        <v>9991</v>
      </c>
      <c r="B9992" s="7">
        <v>1</v>
      </c>
      <c r="C9992" s="7" t="s">
        <v>10</v>
      </c>
      <c r="D9992" s="7">
        <v>11822</v>
      </c>
      <c r="E9992" s="7" t="s">
        <v>28</v>
      </c>
      <c r="F9992" s="8" t="str">
        <f ca="1">IFERROR(__xludf.DUMMYFUNCTION("IF
(
C9993=""фізична особа""
,
VLOOKUP(D9993,IMPORTRANGE(""https://docs.google.com/spreadsheets/d/14Bd19lYaqBhU8_DElYkX7l4wRkHqqCUFNJY4AfY3kHU/edit?usp=sharing  #gid=0"",""фіз особи new!relations_name""),6,FALSE)
,
(IF
(
C9993=""юридична особа""
,
VLOOKUP"&amp;"(D9993,IMPORTRANGE(""https://docs.google.com/spreadsheets/d/14Bd19lYaqBhU8_DElYkX7l4wRkHqqCUFNJY4AfY3kHU/edit?usp=sharing  #gid=0"",""фіз особи new!relations_name_uo""),7,FALSE)
,
)
))"),"ШЕРСТНЄВ Сергій Олександрович")</f>
        <v>ШЕРСТНЄВ Сергій Олександрович</v>
      </c>
      <c r="G9992" s="7" t="s">
        <v>10</v>
      </c>
      <c r="H9992" s="7">
        <v>11867</v>
      </c>
      <c r="I9992" s="8" t="str">
        <f ca="1">IFERROR(__xludf.DUMMYFUNCTION("IF
(
G9993=""фізична особа""
,
VLOOKUP(H9993,IMPORTRANGE(""https://docs.google.com/spreadsheets/d/14Bd19lYaqBhU8_DElYkX7l4wRkHqqCUFNJY4AfY3kHU/edit?usp=sharing  #gid=0"",""фіз особи new!relations_name""),6,FALSE)
,
(IF
(
G9993=""юридична особа""
,
VLOOKUP"&amp;"(H9993,IMPORTRANGE(""https://docs.google.com/spreadsheets/d/14Bd19lYaqBhU8_DElYkX7l4wRkHqqCUFNJY4AfY3kHU/edit?usp=sharing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2" s="7" t="s">
        <v>29</v>
      </c>
    </row>
    <row r="9993" spans="1:10" ht="13.2">
      <c r="A9993" s="7">
        <v>9992</v>
      </c>
      <c r="B9993" s="7">
        <v>1</v>
      </c>
      <c r="C9993" s="7" t="s">
        <v>10</v>
      </c>
      <c r="D9993" s="7">
        <v>11823</v>
      </c>
      <c r="E9993" s="7" t="s">
        <v>28</v>
      </c>
      <c r="F9993" s="8" t="str">
        <f ca="1">IFERROR(__xludf.DUMMYFUNCTION("IF
(
C9994=""фізична особа""
,
VLOOKUP(D9994,IMPORTRANGE(""https://docs.google.com/spreadsheets/d/14Bd19lYaqBhU8_DElYkX7l4wRkHqqCUFNJY4AfY3kHU/edit?usp=sharing  #gid=0"",""фіз особи new!relations_name""),6,FALSE)
,
(IF
(
C9994=""юридична особа""
,
VLOOKUP"&amp;"(D9994,IMPORTRANGE(""https://docs.google.com/spreadsheets/d/14Bd19lYaqBhU8_DElYkX7l4wRkHqqCUFNJY4AfY3kHU/edit?usp=sharing  #gid=0"",""фіз особи new!relations_name_uo""),7,FALSE)
,
)
))"),"СІЮХОВА Русет Рашидівна")</f>
        <v>СІЮХОВА Русет Рашидівна</v>
      </c>
      <c r="G9993" s="7" t="s">
        <v>10</v>
      </c>
      <c r="H9993" s="7">
        <v>11867</v>
      </c>
      <c r="I9993" s="8" t="str">
        <f ca="1">IFERROR(__xludf.DUMMYFUNCTION("IF
(
G9994=""фізична особа""
,
VLOOKUP(H9994,IMPORTRANGE(""https://docs.google.com/spreadsheets/d/14Bd19lYaqBhU8_DElYkX7l4wRkHqqCUFNJY4AfY3kHU/edit?usp=sharing  #gid=0"",""фіз особи new!relations_name""),6,FALSE)
,
(IF
(
G9994=""юридична особа""
,
VLOOKUP"&amp;"(H9994,IMPORTRANGE(""https://docs.google.com/spreadsheets/d/14Bd19lYaqBhU8_DElYkX7l4wRkHqqCUFNJY4AfY3kHU/edit?usp=sharing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3" s="7" t="s">
        <v>29</v>
      </c>
    </row>
    <row r="9994" spans="1:10" ht="13.2">
      <c r="A9994" s="7">
        <v>9993</v>
      </c>
      <c r="B9994" s="7">
        <v>1</v>
      </c>
      <c r="C9994" s="7" t="s">
        <v>10</v>
      </c>
      <c r="D9994" s="7">
        <v>11824</v>
      </c>
      <c r="E9994" s="7" t="s">
        <v>28</v>
      </c>
      <c r="F9994" s="8" t="str">
        <f ca="1">IFERROR(__xludf.DUMMYFUNCTION("IF
(
C9995=""фізична особа""
,
VLOOKUP(D9995,IMPORTRANGE(""https://docs.google.com/spreadsheets/d/14Bd19lYaqBhU8_DElYkX7l4wRkHqqCUFNJY4AfY3kHU/edit?usp=sharing  #gid=0"",""фіз особи new!relations_name""),6,FALSE)
,
(IF
(
C9995=""юридична особа""
,
VLOOKUP"&amp;"(D9995,IMPORTRANGE(""https://docs.google.com/spreadsheets/d/14Bd19lYaqBhU8_DElYkX7l4wRkHqqCUFNJY4AfY3kHU/edit?usp=sharing  #gid=0"",""фіз особи new!relations_name_uo""),7,FALSE)
,
)
))"),"ГУБІН Сергій Юрійович")</f>
        <v>ГУБІН Сергій Юрійович</v>
      </c>
      <c r="G9994" s="7" t="s">
        <v>10</v>
      </c>
      <c r="H9994" s="7">
        <v>11867</v>
      </c>
      <c r="I9994" s="8" t="str">
        <f ca="1">IFERROR(__xludf.DUMMYFUNCTION("IF
(
G9995=""фізична особа""
,
VLOOKUP(H9995,IMPORTRANGE(""https://docs.google.com/spreadsheets/d/14Bd19lYaqBhU8_DElYkX7l4wRkHqqCUFNJY4AfY3kHU/edit?usp=sharing  #gid=0"",""фіз особи new!relations_name""),6,FALSE)
,
(IF
(
G9995=""юридична особа""
,
VLOOKUP"&amp;"(H9995,IMPORTRANGE(""https://docs.google.com/spreadsheets/d/14Bd19lYaqBhU8_DElYkX7l4wRkHqqCUFNJY4AfY3kHU/edit?usp=sharing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4" s="7" t="s">
        <v>29</v>
      </c>
    </row>
    <row r="9995" spans="1:10" ht="13.2">
      <c r="A9995" s="7">
        <v>9994</v>
      </c>
      <c r="B9995" s="7">
        <v>1</v>
      </c>
      <c r="C9995" s="7" t="s">
        <v>10</v>
      </c>
      <c r="D9995" s="7">
        <v>11825</v>
      </c>
      <c r="E9995" s="7" t="s">
        <v>28</v>
      </c>
      <c r="F9995" s="8" t="str">
        <f ca="1">IFERROR(__xludf.DUMMYFUNCTION("IF
(
C9996=""фізична особа""
,
VLOOKUP(D9996,IMPORTRANGE(""https://docs.google.com/spreadsheets/d/14Bd19lYaqBhU8_DElYkX7l4wRkHqqCUFNJY4AfY3kHU/edit?usp=sharing  #gid=0"",""фіз особи new!relations_name""),6,FALSE)
,
(IF
(
C9996=""юридична особа""
,
VLOOKUP"&amp;"(D9996,IMPORTRANGE(""https://docs.google.com/spreadsheets/d/14Bd19lYaqBhU8_DElYkX7l4wRkHqqCUFNJY4AfY3kHU/edit?usp=sharing  #gid=0"",""фіз особи new!relations_name_uo""),7,FALSE)
,
)
))"),"АЛІЄВ Гаджимурад Рамазанович")</f>
        <v>АЛІЄВ Гаджимурад Рамазанович</v>
      </c>
      <c r="G9995" s="7" t="s">
        <v>10</v>
      </c>
      <c r="H9995" s="7">
        <v>11867</v>
      </c>
      <c r="I9995" s="8" t="str">
        <f ca="1">IFERROR(__xludf.DUMMYFUNCTION("IF
(
G9996=""фізична особа""
,
VLOOKUP(H9996,IMPORTRANGE(""https://docs.google.com/spreadsheets/d/14Bd19lYaqBhU8_DElYkX7l4wRkHqqCUFNJY4AfY3kHU/edit?usp=sharing  #gid=0"",""фіз особи new!relations_name""),6,FALSE)
,
(IF
(
G9996=""юридична особа""
,
VLOOKUP"&amp;"(H9996,IMPORTRANGE(""https://docs.google.com/spreadsheets/d/14Bd19lYaqBhU8_DElYkX7l4wRkHqqCUFNJY4AfY3kHU/edit?usp=sharing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5" s="7" t="s">
        <v>29</v>
      </c>
    </row>
    <row r="9996" spans="1:10" ht="13.2">
      <c r="A9996" s="7">
        <v>9995</v>
      </c>
      <c r="B9996" s="7">
        <v>1</v>
      </c>
      <c r="C9996" s="7" t="s">
        <v>10</v>
      </c>
      <c r="D9996" s="7">
        <v>11826</v>
      </c>
      <c r="E9996" s="7" t="s">
        <v>28</v>
      </c>
      <c r="F9996" s="8" t="str">
        <f ca="1">IFERROR(__xludf.DUMMYFUNCTION("IF
(
C9997=""фізична особа""
,
VLOOKUP(D9997,IMPORTRANGE(""https://docs.google.com/spreadsheets/d/14Bd19lYaqBhU8_DElYkX7l4wRkHqqCUFNJY4AfY3kHU/edit?usp=sharing  #gid=0"",""фіз особи new!relations_name""),6,FALSE)
,
(IF
(
C9997=""юридична особа""
,
VLOOKUP"&amp;"(D9997,IMPORTRANGE(""https://docs.google.com/spreadsheets/d/14Bd19lYaqBhU8_DElYkX7l4wRkHqqCUFNJY4AfY3kHU/edit?usp=sharing  #gid=0"",""фіз особи new!relations_name_uo""),7,FALSE)
,
)
))"),"ДЗУЦЕВ Заурбек Германович")</f>
        <v>ДЗУЦЕВ Заурбек Германович</v>
      </c>
      <c r="G9996" s="7" t="s">
        <v>10</v>
      </c>
      <c r="H9996" s="7">
        <v>11867</v>
      </c>
      <c r="I9996" s="8" t="str">
        <f ca="1">IFERROR(__xludf.DUMMYFUNCTION("IF
(
G9997=""фізична особа""
,
VLOOKUP(H9997,IMPORTRANGE(""https://docs.google.com/spreadsheets/d/14Bd19lYaqBhU8_DElYkX7l4wRkHqqCUFNJY4AfY3kHU/edit?usp=sharing  #gid=0"",""фіз особи new!relations_name""),6,FALSE)
,
(IF
(
G9997=""юридична особа""
,
VLOOKUP"&amp;"(H9997,IMPORTRANGE(""https://docs.google.com/spreadsheets/d/14Bd19lYaqBhU8_DElYkX7l4wRkHqqCUFNJY4AfY3kHU/edit?usp=sharing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6" s="7" t="s">
        <v>29</v>
      </c>
    </row>
    <row r="9997" spans="1:10" ht="13.2">
      <c r="A9997" s="7">
        <v>9996</v>
      </c>
      <c r="B9997" s="7">
        <v>1</v>
      </c>
      <c r="C9997" s="7" t="s">
        <v>10</v>
      </c>
      <c r="D9997" s="7">
        <v>11827</v>
      </c>
      <c r="E9997" s="7" t="s">
        <v>28</v>
      </c>
      <c r="F9997" s="8" t="str">
        <f ca="1">IFERROR(__xludf.DUMMYFUNCTION("IF
(
C9998=""фізична особа""
,
VLOOKUP(D9998,IMPORTRANGE(""https://docs.google.com/spreadsheets/d/14Bd19lYaqBhU8_DElYkX7l4wRkHqqCUFNJY4AfY3kHU/edit?usp=sharing  #gid=0"",""фіз особи new!relations_name""),6,FALSE)
,
(IF
(
C9998=""юридична особа""
,
VLOOKUP"&amp;"(D9998,IMPORTRANGE(""https://docs.google.com/spreadsheets/d/14Bd19lYaqBhU8_DElYkX7l4wRkHqqCUFNJY4AfY3kHU/edit?usp=sharing  #gid=0"",""фіз особи new!relations_name_uo""),7,FALSE)
,
)
))"),"УКРАЇНСЬКИЙ Олег В'ячеславович")</f>
        <v>УКРАЇНСЬКИЙ Олег В'ячеславович</v>
      </c>
      <c r="G9997" s="7" t="s">
        <v>10</v>
      </c>
      <c r="H9997" s="7">
        <v>11867</v>
      </c>
      <c r="I9997" s="8" t="str">
        <f ca="1">IFERROR(__xludf.DUMMYFUNCTION("IF
(
G9998=""фізична особа""
,
VLOOKUP(H9998,IMPORTRANGE(""https://docs.google.com/spreadsheets/d/14Bd19lYaqBhU8_DElYkX7l4wRkHqqCUFNJY4AfY3kHU/edit?usp=sharing  #gid=0"",""фіз особи new!relations_name""),6,FALSE)
,
(IF
(
G9998=""юридична особа""
,
VLOOKUP"&amp;"(H9998,IMPORTRANGE(""https://docs.google.com/spreadsheets/d/14Bd19lYaqBhU8_DElYkX7l4wRkHqqCUFNJY4AfY3kHU/edit?usp=sharing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7" s="7" t="s">
        <v>29</v>
      </c>
    </row>
    <row r="9998" spans="1:10" ht="13.2">
      <c r="A9998" s="7">
        <v>9997</v>
      </c>
      <c r="B9998" s="7">
        <v>1</v>
      </c>
      <c r="C9998" s="7" t="s">
        <v>10</v>
      </c>
      <c r="D9998" s="7">
        <v>11828</v>
      </c>
      <c r="E9998" s="7" t="s">
        <v>28</v>
      </c>
      <c r="F9998" s="8" t="str">
        <f ca="1">IFERROR(__xludf.DUMMYFUNCTION("IF
(
C9999=""фізична особа""
,
VLOOKUP(D9999,IMPORTRANGE(""https://docs.google.com/spreadsheets/d/14Bd19lYaqBhU8_DElYkX7l4wRkHqqCUFNJY4AfY3kHU/edit?usp=sharing  #gid=0"",""фіз особи new!relations_name""),6,FALSE)
,
(IF
(
C9999=""юридична особа""
,
VLOOKUP"&amp;"(D9999,IMPORTRANGE(""https://docs.google.com/spreadsheets/d/14Bd19lYaqBhU8_DElYkX7l4wRkHqqCUFNJY4AfY3kHU/edit?usp=sharing  #gid=0"",""фіз особи new!relations_name_uo""),7,FALSE)
,
)
))"),"МАЛАХЕВИЧ Оксана Борисівна")</f>
        <v>МАЛАХЕВИЧ Оксана Борисівна</v>
      </c>
      <c r="G9998" s="7" t="s">
        <v>10</v>
      </c>
      <c r="H9998" s="7">
        <v>11867</v>
      </c>
      <c r="I9998" s="8" t="str">
        <f ca="1">IFERROR(__xludf.DUMMYFUNCTION("IF
(
G9999=""фізична особа""
,
VLOOKUP(H9999,IMPORTRANGE(""https://docs.google.com/spreadsheets/d/14Bd19lYaqBhU8_DElYkX7l4wRkHqqCUFNJY4AfY3kHU/edit?usp=sharing  #gid=0"",""фіз особи new!relations_name""),6,FALSE)
,
(IF
(
G9999=""юридична особа""
,
VLOOKUP"&amp;"(H9999,IMPORTRANGE(""https://docs.google.com/spreadsheets/d/14Bd19lYaqBhU8_DElYkX7l4wRkHqqCUFNJY4AfY3kHU/edit?usp=sharing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8" s="7" t="s">
        <v>29</v>
      </c>
    </row>
    <row r="9999" spans="1:10" ht="13.2">
      <c r="A9999" s="7">
        <v>9998</v>
      </c>
      <c r="B9999" s="7">
        <v>1</v>
      </c>
      <c r="C9999" s="7" t="s">
        <v>10</v>
      </c>
      <c r="D9999" s="7">
        <v>11829</v>
      </c>
      <c r="E9999" s="7" t="s">
        <v>28</v>
      </c>
      <c r="F9999" s="8" t="str">
        <f ca="1">IFERROR(__xludf.DUMMYFUNCTION("IF
(
C10000=""фізична особа""
,
VLOOKUP(D10000,IMPORTRANGE(""https://docs.google.com/spreadsheets/d/14Bd19lYaqBhU8_DElYkX7l4wRkHqqCUFNJY4AfY3kHU/edit?usp=sharing  #gid=0"",""фіз особи new!relations_name""),6,FALSE)
,
(IF
(
C10000=""юридична особа""
,
VLOO"&amp;"KUP(D10000,IMPORTRANGE(""https://docs.google.com/spreadsheets/d/14Bd19lYaqBhU8_DElYkX7l4wRkHqqCUFNJY4AfY3kHU/edit?usp=sharing  #gid=0"",""фіз особи new!relations_name_uo""),7,FALSE)
,
)
))"),"КОБЕЛЬКОВ Максим Юрійович")</f>
        <v>КОБЕЛЬКОВ Максим Юрійович</v>
      </c>
      <c r="G9999" s="7" t="s">
        <v>10</v>
      </c>
      <c r="H9999" s="7">
        <v>11867</v>
      </c>
      <c r="I9999" s="8" t="str">
        <f ca="1">IFERROR(__xludf.DUMMYFUNCTION("IF
(
G10000=""фізична особа""
,
VLOOKUP(H10000,IMPORTRANGE(""https://docs.google.com/spreadsheets/d/14Bd19lYaqBhU8_DElYkX7l4wRkHqqCUFNJY4AfY3kHU/edit?usp=sharing  #gid=0"",""фіз особи new!relations_name""),6,FALSE)
,
(IF
(
G10000=""юридична особа""
,
VLOO"&amp;"KUP(H10000,IMPORTRANGE(""https://docs.google.com/spreadsheets/d/14Bd19lYaqBhU8_DElYkX7l4wRkHqqCUFNJY4AfY3kHU/edit?usp=sharing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9999" s="7" t="s">
        <v>29</v>
      </c>
    </row>
    <row r="10000" spans="1:10" ht="13.2">
      <c r="A10000" s="7">
        <v>9999</v>
      </c>
      <c r="B10000" s="7">
        <v>1</v>
      </c>
      <c r="C10000" s="7" t="s">
        <v>10</v>
      </c>
      <c r="D10000" s="7">
        <v>11830</v>
      </c>
      <c r="E10000" s="7" t="s">
        <v>28</v>
      </c>
      <c r="F10000" s="8" t="str">
        <f ca="1">IFERROR(__xludf.DUMMYFUNCTION("IF
(
C10001=""фізична особа""
,
VLOOKUP(D10001,IMPORTRANGE(""https://docs.google.com/spreadsheets/d/14Bd19lYaqBhU8_DElYkX7l4wRkHqqCUFNJY4AfY3kHU/edit?usp=sharing  #gid=0"",""фіз особи new!relations_name""),6,FALSE)
,
(IF
(
C10001=""юридична особа""
,
VLOO"&amp;"KUP(D10001,IMPORTRANGE(""https://docs.google.com/spreadsheets/d/14Bd19lYaqBhU8_DElYkX7l4wRkHqqCUFNJY4AfY3kHU/edit?usp=sharing  #gid=0"",""фіз особи new!relations_name_uo""),7,FALSE)
,
)
))"),"ЯЦЬКИХ Іван Миколайович")</f>
        <v>ЯЦЬКИХ Іван Миколайович</v>
      </c>
      <c r="G10000" s="7" t="s">
        <v>10</v>
      </c>
      <c r="H10000" s="7">
        <v>11867</v>
      </c>
      <c r="I10000" s="8" t="str">
        <f ca="1">IFERROR(__xludf.DUMMYFUNCTION("IF
(
G10001=""фізична особа""
,
VLOOKUP(H10001,IMPORTRANGE(""https://docs.google.com/spreadsheets/d/14Bd19lYaqBhU8_DElYkX7l4wRkHqqCUFNJY4AfY3kHU/edit?usp=sharing  #gid=0"",""фіз особи new!relations_name""),6,FALSE)
,
(IF
(
G10001=""юридична особа""
,
VLOO"&amp;"KUP(H10001,IMPORTRANGE(""https://docs.google.com/spreadsheets/d/14Bd19lYaqBhU8_DElYkX7l4wRkHqqCUFNJY4AfY3kHU/edit?usp=sharing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0" s="7" t="s">
        <v>29</v>
      </c>
    </row>
    <row r="10001" spans="1:10" ht="13.2">
      <c r="A10001" s="7">
        <v>10000</v>
      </c>
      <c r="B10001" s="7">
        <v>1</v>
      </c>
      <c r="C10001" s="7" t="s">
        <v>10</v>
      </c>
      <c r="D10001" s="7">
        <v>11831</v>
      </c>
      <c r="E10001" s="7" t="s">
        <v>28</v>
      </c>
      <c r="F10001" s="8" t="str">
        <f ca="1">IFERROR(__xludf.DUMMYFUNCTION("IF
(
C10002=""фізична особа""
,
VLOOKUP(D10002,IMPORTRANGE(""https://docs.google.com/spreadsheets/d/14Bd19lYaqBhU8_DElYkX7l4wRkHqqCUFNJY4AfY3kHU/edit?usp=sharing  #gid=0"",""фіз особи new!relations_name""),6,FALSE)
,
(IF
(
C10002=""юридична особа""
,
VLOO"&amp;"KUP(D10002,IMPORTRANGE(""https://docs.google.com/spreadsheets/d/14Bd19lYaqBhU8_DElYkX7l4wRkHqqCUFNJY4AfY3kHU/edit?usp=sharing  #gid=0"",""фіз особи new!relations_name_uo""),7,FALSE)
,
)
))"),"УТОЛІН Олександр Володимирович")</f>
        <v>УТОЛІН Олександр Володимирович</v>
      </c>
      <c r="G10001" s="7" t="s">
        <v>10</v>
      </c>
      <c r="H10001" s="7">
        <v>11867</v>
      </c>
      <c r="I10001" s="8" t="str">
        <f ca="1">IFERROR(__xludf.DUMMYFUNCTION("IF
(
G10002=""фізична особа""
,
VLOOKUP(H10002,IMPORTRANGE(""https://docs.google.com/spreadsheets/d/14Bd19lYaqBhU8_DElYkX7l4wRkHqqCUFNJY4AfY3kHU/edit?usp=sharing  #gid=0"",""фіз особи new!relations_name""),6,FALSE)
,
(IF
(
G10002=""юридична особа""
,
VLOO"&amp;"KUP(H10002,IMPORTRANGE(""https://docs.google.com/spreadsheets/d/14Bd19lYaqBhU8_DElYkX7l4wRkHqqCUFNJY4AfY3kHU/edit?usp=sharing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1" s="7" t="s">
        <v>29</v>
      </c>
    </row>
    <row r="10002" spans="1:10" ht="13.2">
      <c r="A10002" s="7">
        <v>10001</v>
      </c>
      <c r="B10002" s="7">
        <v>1</v>
      </c>
      <c r="C10002" s="7" t="s">
        <v>10</v>
      </c>
      <c r="D10002" s="7">
        <v>11832</v>
      </c>
      <c r="E10002" s="7" t="s">
        <v>28</v>
      </c>
      <c r="F10002" s="8" t="str">
        <f ca="1">IFERROR(__xludf.DUMMYFUNCTION("IF
(
C10003=""фізична особа""
,
VLOOKUP(D10003,IMPORTRANGE(""https://docs.google.com/spreadsheets/d/14Bd19lYaqBhU8_DElYkX7l4wRkHqqCUFNJY4AfY3kHU/edit?usp=sharing  #gid=0"",""фіз особи new!relations_name""),6,FALSE)
,
(IF
(
C10003=""юридична особа""
,
VLOO"&amp;"KUP(D10003,IMPORTRANGE(""https://docs.google.com/spreadsheets/d/14Bd19lYaqBhU8_DElYkX7l4wRkHqqCUFNJY4AfY3kHU/edit?usp=sharing  #gid=0"",""фіз особи new!relations_name_uo""),7,FALSE)
,
)
))"),"ЛОСЄВ Віталій Сергійович")</f>
        <v>ЛОСЄВ Віталій Сергійович</v>
      </c>
      <c r="G10002" s="7" t="s">
        <v>10</v>
      </c>
      <c r="H10002" s="7">
        <v>11867</v>
      </c>
      <c r="I10002" s="8" t="str">
        <f ca="1">IFERROR(__xludf.DUMMYFUNCTION("IF
(
G10003=""фізична особа""
,
VLOOKUP(H10003,IMPORTRANGE(""https://docs.google.com/spreadsheets/d/14Bd19lYaqBhU8_DElYkX7l4wRkHqqCUFNJY4AfY3kHU/edit?usp=sharing  #gid=0"",""фіз особи new!relations_name""),6,FALSE)
,
(IF
(
G10003=""юридична особа""
,
VLOO"&amp;"KUP(H10003,IMPORTRANGE(""https://docs.google.com/spreadsheets/d/14Bd19lYaqBhU8_DElYkX7l4wRkHqqCUFNJY4AfY3kHU/edit?usp=sharing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2" s="7" t="s">
        <v>29</v>
      </c>
    </row>
    <row r="10003" spans="1:10" ht="13.2">
      <c r="A10003" s="7">
        <v>10002</v>
      </c>
      <c r="B10003" s="7">
        <v>1</v>
      </c>
      <c r="C10003" s="7" t="s">
        <v>10</v>
      </c>
      <c r="D10003" s="7">
        <v>11833</v>
      </c>
      <c r="E10003" s="7" t="s">
        <v>28</v>
      </c>
      <c r="F10003" s="8" t="str">
        <f ca="1">IFERROR(__xludf.DUMMYFUNCTION("IF
(
C10004=""фізична особа""
,
VLOOKUP(D10004,IMPORTRANGE(""https://docs.google.com/spreadsheets/d/14Bd19lYaqBhU8_DElYkX7l4wRkHqqCUFNJY4AfY3kHU/edit?usp=sharing  #gid=0"",""фіз особи new!relations_name""),6,FALSE)
,
(IF
(
C10004=""юридична особа""
,
VLOO"&amp;"KUP(D10004,IMPORTRANGE(""https://docs.google.com/spreadsheets/d/14Bd19lYaqBhU8_DElYkX7l4wRkHqqCUFNJY4AfY3kHU/edit?usp=sharing  #gid=0"",""фіз особи new!relations_name_uo""),7,FALSE)
,
)
))"),"ЗУБКОВА Ірина Юріївна")</f>
        <v>ЗУБКОВА Ірина Юріївна</v>
      </c>
      <c r="G10003" s="7" t="s">
        <v>10</v>
      </c>
      <c r="H10003" s="7">
        <v>11867</v>
      </c>
      <c r="I10003" s="8" t="str">
        <f ca="1">IFERROR(__xludf.DUMMYFUNCTION("IF
(
G10004=""фізична особа""
,
VLOOKUP(H10004,IMPORTRANGE(""https://docs.google.com/spreadsheets/d/14Bd19lYaqBhU8_DElYkX7l4wRkHqqCUFNJY4AfY3kHU/edit?usp=sharing  #gid=0"",""фіз особи new!relations_name""),6,FALSE)
,
(IF
(
G10004=""юридична особа""
,
VLOO"&amp;"KUP(H10004,IMPORTRANGE(""https://docs.google.com/spreadsheets/d/14Bd19lYaqBhU8_DElYkX7l4wRkHqqCUFNJY4AfY3kHU/edit?usp=sharing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3" s="7" t="s">
        <v>29</v>
      </c>
    </row>
    <row r="10004" spans="1:10" ht="13.2">
      <c r="A10004" s="7">
        <v>10003</v>
      </c>
      <c r="B10004" s="7">
        <v>1</v>
      </c>
      <c r="C10004" s="7" t="s">
        <v>10</v>
      </c>
      <c r="D10004" s="7">
        <v>11834</v>
      </c>
      <c r="E10004" s="7" t="s">
        <v>28</v>
      </c>
      <c r="F10004" s="8" t="str">
        <f ca="1">IFERROR(__xludf.DUMMYFUNCTION("IF
(
C10005=""фізична особа""
,
VLOOKUP(D10005,IMPORTRANGE(""https://docs.google.com/spreadsheets/d/14Bd19lYaqBhU8_DElYkX7l4wRkHqqCUFNJY4AfY3kHU/edit?usp=sharing  #gid=0"",""фіз особи new!relations_name""),6,FALSE)
,
(IF
(
C10005=""юридична особа""
,
VLOO"&amp;"KUP(D10005,IMPORTRANGE(""https://docs.google.com/spreadsheets/d/14Bd19lYaqBhU8_DElYkX7l4wRkHqqCUFNJY4AfY3kHU/edit?usp=sharing  #gid=0"",""фіз особи new!relations_name_uo""),7,FALSE)
,
)
))"),"ГУДКО Борис Сергійович")</f>
        <v>ГУДКО Борис Сергійович</v>
      </c>
      <c r="G10004" s="7" t="s">
        <v>10</v>
      </c>
      <c r="H10004" s="7">
        <v>11867</v>
      </c>
      <c r="I10004" s="8" t="str">
        <f ca="1">IFERROR(__xludf.DUMMYFUNCTION("IF
(
G10005=""фізична особа""
,
VLOOKUP(H10005,IMPORTRANGE(""https://docs.google.com/spreadsheets/d/14Bd19lYaqBhU8_DElYkX7l4wRkHqqCUFNJY4AfY3kHU/edit?usp=sharing  #gid=0"",""фіз особи new!relations_name""),6,FALSE)
,
(IF
(
G10005=""юридична особа""
,
VLOO"&amp;"KUP(H10005,IMPORTRANGE(""https://docs.google.com/spreadsheets/d/14Bd19lYaqBhU8_DElYkX7l4wRkHqqCUFNJY4AfY3kHU/edit?usp=sharing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4" s="7" t="s">
        <v>29</v>
      </c>
    </row>
    <row r="10005" spans="1:10" ht="13.2">
      <c r="A10005" s="7">
        <v>10004</v>
      </c>
      <c r="B10005" s="7">
        <v>1</v>
      </c>
      <c r="C10005" s="7" t="s">
        <v>10</v>
      </c>
      <c r="D10005" s="7">
        <v>11835</v>
      </c>
      <c r="E10005" s="7" t="s">
        <v>28</v>
      </c>
      <c r="F10005" s="8" t="str">
        <f ca="1">IFERROR(__xludf.DUMMYFUNCTION("IF
(
C10006=""фізична особа""
,
VLOOKUP(D10006,IMPORTRANGE(""https://docs.google.com/spreadsheets/d/14Bd19lYaqBhU8_DElYkX7l4wRkHqqCUFNJY4AfY3kHU/edit?usp=sharing  #gid=0"",""фіз особи new!relations_name""),6,FALSE)
,
(IF
(
C10006=""юридична особа""
,
VLOO"&amp;"KUP(D10006,IMPORTRANGE(""https://docs.google.com/spreadsheets/d/14Bd19lYaqBhU8_DElYkX7l4wRkHqqCUFNJY4AfY3kHU/edit?usp=sharing  #gid=0"",""фіз особи new!relations_name_uo""),7,FALSE)
,
)
))"),"ГЕРОДЕС В'ячеслав Георгійович")</f>
        <v>ГЕРОДЕС В'ячеслав Георгійович</v>
      </c>
      <c r="G10005" s="7" t="s">
        <v>10</v>
      </c>
      <c r="H10005" s="7">
        <v>11867</v>
      </c>
      <c r="I10005" s="8" t="str">
        <f ca="1">IFERROR(__xludf.DUMMYFUNCTION("IF
(
G10006=""фізична особа""
,
VLOOKUP(H10006,IMPORTRANGE(""https://docs.google.com/spreadsheets/d/14Bd19lYaqBhU8_DElYkX7l4wRkHqqCUFNJY4AfY3kHU/edit?usp=sharing  #gid=0"",""фіз особи new!relations_name""),6,FALSE)
,
(IF
(
G10006=""юридична особа""
,
VLOO"&amp;"KUP(H10006,IMPORTRANGE(""https://docs.google.com/spreadsheets/d/14Bd19lYaqBhU8_DElYkX7l4wRkHqqCUFNJY4AfY3kHU/edit?usp=sharing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5" s="7" t="s">
        <v>29</v>
      </c>
    </row>
    <row r="10006" spans="1:10" ht="13.2">
      <c r="A10006" s="7">
        <v>10005</v>
      </c>
      <c r="B10006" s="7">
        <v>1</v>
      </c>
      <c r="C10006" s="7" t="s">
        <v>10</v>
      </c>
      <c r="D10006" s="7">
        <v>11836</v>
      </c>
      <c r="E10006" s="7" t="s">
        <v>28</v>
      </c>
      <c r="F10006" s="8" t="str">
        <f ca="1">IFERROR(__xludf.DUMMYFUNCTION("IF
(
C10007=""фізична особа""
,
VLOOKUP(D10007,IMPORTRANGE(""https://docs.google.com/spreadsheets/d/14Bd19lYaqBhU8_DElYkX7l4wRkHqqCUFNJY4AfY3kHU/edit?usp=sharing  #gid=0"",""фіз особи new!relations_name""),6,FALSE)
,
(IF
(
C10007=""юридична особа""
,
VLOO"&amp;"KUP(D10007,IMPORTRANGE(""https://docs.google.com/spreadsheets/d/14Bd19lYaqBhU8_DElYkX7l4wRkHqqCUFNJY4AfY3kHU/edit?usp=sharing  #gid=0"",""фіз особи new!relations_name_uo""),7,FALSE)
,
)
))"),"МОСКВІНА Алевтина Володимирівна")</f>
        <v>МОСКВІНА Алевтина Володимирівна</v>
      </c>
      <c r="G10006" s="7" t="s">
        <v>10</v>
      </c>
      <c r="H10006" s="7">
        <v>11867</v>
      </c>
      <c r="I10006" s="8" t="str">
        <f ca="1">IFERROR(__xludf.DUMMYFUNCTION("IF
(
G10007=""фізична особа""
,
VLOOKUP(H10007,IMPORTRANGE(""https://docs.google.com/spreadsheets/d/14Bd19lYaqBhU8_DElYkX7l4wRkHqqCUFNJY4AfY3kHU/edit?usp=sharing  #gid=0"",""фіз особи new!relations_name""),6,FALSE)
,
(IF
(
G10007=""юридична особа""
,
VLOO"&amp;"KUP(H10007,IMPORTRANGE(""https://docs.google.com/spreadsheets/d/14Bd19lYaqBhU8_DElYkX7l4wRkHqqCUFNJY4AfY3kHU/edit?usp=sharing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6" s="7" t="s">
        <v>29</v>
      </c>
    </row>
    <row r="10007" spans="1:10" ht="13.2">
      <c r="A10007" s="7">
        <v>10006</v>
      </c>
      <c r="B10007" s="7">
        <v>1</v>
      </c>
      <c r="C10007" s="7" t="s">
        <v>10</v>
      </c>
      <c r="D10007" s="7">
        <v>11837</v>
      </c>
      <c r="E10007" s="7" t="s">
        <v>28</v>
      </c>
      <c r="F10007" s="8" t="str">
        <f ca="1">IFERROR(__xludf.DUMMYFUNCTION("IF
(
C10008=""фізична особа""
,
VLOOKUP(D10008,IMPORTRANGE(""https://docs.google.com/spreadsheets/d/14Bd19lYaqBhU8_DElYkX7l4wRkHqqCUFNJY4AfY3kHU/edit?usp=sharing  #gid=0"",""фіз особи new!relations_name""),6,FALSE)
,
(IF
(
C10008=""юридична особа""
,
VLOO"&amp;"KUP(D10008,IMPORTRANGE(""https://docs.google.com/spreadsheets/d/14Bd19lYaqBhU8_DElYkX7l4wRkHqqCUFNJY4AfY3kHU/edit?usp=sharing  #gid=0"",""фіз особи new!relations_name_uo""),7,FALSE)
,
)
))"),"СИРОТИН Валерій Олексійович")</f>
        <v>СИРОТИН Валерій Олексійович</v>
      </c>
      <c r="G10007" s="7" t="s">
        <v>10</v>
      </c>
      <c r="H10007" s="7">
        <v>11867</v>
      </c>
      <c r="I10007" s="8" t="str">
        <f ca="1">IFERROR(__xludf.DUMMYFUNCTION("IF
(
G10008=""фізична особа""
,
VLOOKUP(H10008,IMPORTRANGE(""https://docs.google.com/spreadsheets/d/14Bd19lYaqBhU8_DElYkX7l4wRkHqqCUFNJY4AfY3kHU/edit?usp=sharing  #gid=0"",""фіз особи new!relations_name""),6,FALSE)
,
(IF
(
G10008=""юридична особа""
,
VLOO"&amp;"KUP(H10008,IMPORTRANGE(""https://docs.google.com/spreadsheets/d/14Bd19lYaqBhU8_DElYkX7l4wRkHqqCUFNJY4AfY3kHU/edit?usp=sharing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7" s="7" t="s">
        <v>29</v>
      </c>
    </row>
    <row r="10008" spans="1:10" ht="13.2">
      <c r="A10008" s="7">
        <v>10007</v>
      </c>
      <c r="B10008" s="7">
        <v>1</v>
      </c>
      <c r="C10008" s="7" t="s">
        <v>10</v>
      </c>
      <c r="D10008" s="7">
        <v>11838</v>
      </c>
      <c r="E10008" s="7" t="s">
        <v>28</v>
      </c>
      <c r="F10008" s="8" t="str">
        <f ca="1">IFERROR(__xludf.DUMMYFUNCTION("IF
(
C10009=""фізична особа""
,
VLOOKUP(D10009,IMPORTRANGE(""https://docs.google.com/spreadsheets/d/14Bd19lYaqBhU8_DElYkX7l4wRkHqqCUFNJY4AfY3kHU/edit?usp=sharing  #gid=0"",""фіз особи new!relations_name""),6,FALSE)
,
(IF
(
C10009=""юридична особа""
,
VLOO"&amp;"KUP(D10009,IMPORTRANGE(""https://docs.google.com/spreadsheets/d/14Bd19lYaqBhU8_DElYkX7l4wRkHqqCUFNJY4AfY3kHU/edit?usp=sharing  #gid=0"",""фіз особи new!relations_name_uo""),7,FALSE)
,
)
))"),"КАРЄВ Анатолій Вікторович")</f>
        <v>КАРЄВ Анатолій Вікторович</v>
      </c>
      <c r="G10008" s="7" t="s">
        <v>10</v>
      </c>
      <c r="H10008" s="7">
        <v>11867</v>
      </c>
      <c r="I10008" s="8" t="str">
        <f ca="1">IFERROR(__xludf.DUMMYFUNCTION("IF
(
G10009=""фізична особа""
,
VLOOKUP(H10009,IMPORTRANGE(""https://docs.google.com/spreadsheets/d/14Bd19lYaqBhU8_DElYkX7l4wRkHqqCUFNJY4AfY3kHU/edit?usp=sharing  #gid=0"",""фіз особи new!relations_name""),6,FALSE)
,
(IF
(
G10009=""юридична особа""
,
VLOO"&amp;"KUP(H10009,IMPORTRANGE(""https://docs.google.com/spreadsheets/d/14Bd19lYaqBhU8_DElYkX7l4wRkHqqCUFNJY4AfY3kHU/edit?usp=sharing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8" s="7" t="s">
        <v>29</v>
      </c>
    </row>
    <row r="10009" spans="1:10" ht="13.2">
      <c r="A10009" s="7">
        <v>10008</v>
      </c>
      <c r="B10009" s="7">
        <v>1</v>
      </c>
      <c r="C10009" s="7" t="s">
        <v>10</v>
      </c>
      <c r="D10009" s="7">
        <v>11839</v>
      </c>
      <c r="E10009" s="7" t="s">
        <v>28</v>
      </c>
      <c r="F10009" s="8" t="str">
        <f ca="1">IFERROR(__xludf.DUMMYFUNCTION("IF
(
C10010=""фізична особа""
,
VLOOKUP(D10010,IMPORTRANGE(""https://docs.google.com/spreadsheets/d/14Bd19lYaqBhU8_DElYkX7l4wRkHqqCUFNJY4AfY3kHU/edit?usp=sharing  #gid=0"",""фіз особи new!relations_name""),6,FALSE)
,
(IF
(
C10010=""юридична особа""
,
VLOO"&amp;"KUP(D10010,IMPORTRANGE(""https://docs.google.com/spreadsheets/d/14Bd19lYaqBhU8_DElYkX7l4wRkHqqCUFNJY4AfY3kHU/edit?usp=sharing  #gid=0"",""фіз особи new!relations_name_uo""),7,FALSE)
,
)
))"),"НІКУЛОВА Ірина Костянтинівна")</f>
        <v>НІКУЛОВА Ірина Костянтинівна</v>
      </c>
      <c r="G10009" s="7" t="s">
        <v>10</v>
      </c>
      <c r="H10009" s="7">
        <v>11867</v>
      </c>
      <c r="I10009" s="8" t="str">
        <f ca="1">IFERROR(__xludf.DUMMYFUNCTION("IF
(
G10010=""фізична особа""
,
VLOOKUP(H10010,IMPORTRANGE(""https://docs.google.com/spreadsheets/d/14Bd19lYaqBhU8_DElYkX7l4wRkHqqCUFNJY4AfY3kHU/edit?usp=sharing  #gid=0"",""фіз особи new!relations_name""),6,FALSE)
,
(IF
(
G10010=""юридична особа""
,
VLOO"&amp;"KUP(H10010,IMPORTRANGE(""https://docs.google.com/spreadsheets/d/14Bd19lYaqBhU8_DElYkX7l4wRkHqqCUFNJY4AfY3kHU/edit?usp=sharing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09" s="7" t="s">
        <v>29</v>
      </c>
    </row>
    <row r="10010" spans="1:10" ht="13.2">
      <c r="A10010" s="7">
        <v>10009</v>
      </c>
      <c r="B10010" s="7">
        <v>1</v>
      </c>
      <c r="C10010" s="7" t="s">
        <v>10</v>
      </c>
      <c r="D10010" s="7">
        <v>11840</v>
      </c>
      <c r="E10010" s="7" t="s">
        <v>28</v>
      </c>
      <c r="F10010" s="8" t="str">
        <f ca="1">IFERROR(__xludf.DUMMYFUNCTION("IF
(
C10011=""фізична особа""
,
VLOOKUP(D10011,IMPORTRANGE(""https://docs.google.com/spreadsheets/d/14Bd19lYaqBhU8_DElYkX7l4wRkHqqCUFNJY4AfY3kHU/edit?usp=sharing  #gid=0"",""фіз особи new!relations_name""),6,FALSE)
,
(IF
(
C10011=""юридична особа""
,
VLOO"&amp;"KUP(D10011,IMPORTRANGE(""https://docs.google.com/spreadsheets/d/14Bd19lYaqBhU8_DElYkX7l4wRkHqqCUFNJY4AfY3kHU/edit?usp=sharing  #gid=0"",""фіз особи new!relations_name_uo""),7,FALSE)
,
)
))"),"ГАЛЯВОВ Рустем Асфанович")</f>
        <v>ГАЛЯВОВ Рустем Асфанович</v>
      </c>
      <c r="G10010" s="7" t="s">
        <v>10</v>
      </c>
      <c r="H10010" s="7">
        <v>11867</v>
      </c>
      <c r="I10010" s="8" t="str">
        <f ca="1">IFERROR(__xludf.DUMMYFUNCTION("IF
(
G10011=""фізична особа""
,
VLOOKUP(H10011,IMPORTRANGE(""https://docs.google.com/spreadsheets/d/14Bd19lYaqBhU8_DElYkX7l4wRkHqqCUFNJY4AfY3kHU/edit?usp=sharing  #gid=0"",""фіз особи new!relations_name""),6,FALSE)
,
(IF
(
G10011=""юридична особа""
,
VLOO"&amp;"KUP(H10011,IMPORTRANGE(""https://docs.google.com/spreadsheets/d/14Bd19lYaqBhU8_DElYkX7l4wRkHqqCUFNJY4AfY3kHU/edit?usp=sharing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0" s="7" t="s">
        <v>29</v>
      </c>
    </row>
    <row r="10011" spans="1:10" ht="13.2">
      <c r="A10011" s="7">
        <v>10010</v>
      </c>
      <c r="B10011" s="7">
        <v>1</v>
      </c>
      <c r="C10011" s="7" t="s">
        <v>10</v>
      </c>
      <c r="D10011" s="7">
        <v>11841</v>
      </c>
      <c r="E10011" s="7" t="s">
        <v>28</v>
      </c>
      <c r="F10011" s="8" t="str">
        <f ca="1">IFERROR(__xludf.DUMMYFUNCTION("IF
(
C10012=""фізична особа""
,
VLOOKUP(D10012,IMPORTRANGE(""https://docs.google.com/spreadsheets/d/14Bd19lYaqBhU8_DElYkX7l4wRkHqqCUFNJY4AfY3kHU/edit?usp=sharing  #gid=0"",""фіз особи new!relations_name""),6,FALSE)
,
(IF
(
C10012=""юридична особа""
,
VLOO"&amp;"KUP(D10012,IMPORTRANGE(""https://docs.google.com/spreadsheets/d/14Bd19lYaqBhU8_DElYkX7l4wRkHqqCUFNJY4AfY3kHU/edit?usp=sharing  #gid=0"",""фіз особи new!relations_name_uo""),7,FALSE)
,
)
))"),"ПАРШИКОВ Віктор Володимирович")</f>
        <v>ПАРШИКОВ Віктор Володимирович</v>
      </c>
      <c r="G10011" s="7" t="s">
        <v>10</v>
      </c>
      <c r="H10011" s="7">
        <v>11867</v>
      </c>
      <c r="I10011" s="8" t="str">
        <f ca="1">IFERROR(__xludf.DUMMYFUNCTION("IF
(
G10012=""фізична особа""
,
VLOOKUP(H10012,IMPORTRANGE(""https://docs.google.com/spreadsheets/d/14Bd19lYaqBhU8_DElYkX7l4wRkHqqCUFNJY4AfY3kHU/edit?usp=sharing  #gid=0"",""фіз особи new!relations_name""),6,FALSE)
,
(IF
(
G10012=""юридична особа""
,
VLOO"&amp;"KUP(H10012,IMPORTRANGE(""https://docs.google.com/spreadsheets/d/14Bd19lYaqBhU8_DElYkX7l4wRkHqqCUFNJY4AfY3kHU/edit?usp=sharing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1" s="7" t="s">
        <v>29</v>
      </c>
    </row>
    <row r="10012" spans="1:10" ht="13.2">
      <c r="A10012" s="7">
        <v>10011</v>
      </c>
      <c r="B10012" s="7">
        <v>1</v>
      </c>
      <c r="C10012" s="7" t="s">
        <v>10</v>
      </c>
      <c r="D10012" s="7">
        <v>11842</v>
      </c>
      <c r="E10012" s="7" t="s">
        <v>28</v>
      </c>
      <c r="F10012" s="8" t="str">
        <f ca="1">IFERROR(__xludf.DUMMYFUNCTION("IF
(
C10013=""фізична особа""
,
VLOOKUP(D10013,IMPORTRANGE(""https://docs.google.com/spreadsheets/d/14Bd19lYaqBhU8_DElYkX7l4wRkHqqCUFNJY4AfY3kHU/edit?usp=sharing  #gid=0"",""фіз особи new!relations_name""),6,FALSE)
,
(IF
(
C10013=""юридична особа""
,
VLOO"&amp;"KUP(D10013,IMPORTRANGE(""https://docs.google.com/spreadsheets/d/14Bd19lYaqBhU8_DElYkX7l4wRkHqqCUFNJY4AfY3kHU/edit?usp=sharing  #gid=0"",""фіз особи new!relations_name_uo""),7,FALSE)
,
)
))"),"ПАНОВ Олександр Сергійович")</f>
        <v>ПАНОВ Олександр Сергійович</v>
      </c>
      <c r="G10012" s="7" t="s">
        <v>10</v>
      </c>
      <c r="H10012" s="7">
        <v>11867</v>
      </c>
      <c r="I10012" s="8" t="str">
        <f ca="1">IFERROR(__xludf.DUMMYFUNCTION("IF
(
G10013=""фізична особа""
,
VLOOKUP(H10013,IMPORTRANGE(""https://docs.google.com/spreadsheets/d/14Bd19lYaqBhU8_DElYkX7l4wRkHqqCUFNJY4AfY3kHU/edit?usp=sharing  #gid=0"",""фіз особи new!relations_name""),6,FALSE)
,
(IF
(
G10013=""юридична особа""
,
VLOO"&amp;"KUP(H10013,IMPORTRANGE(""https://docs.google.com/spreadsheets/d/14Bd19lYaqBhU8_DElYkX7l4wRkHqqCUFNJY4AfY3kHU/edit?usp=sharing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2" s="7" t="s">
        <v>29</v>
      </c>
    </row>
    <row r="10013" spans="1:10" ht="13.2">
      <c r="A10013" s="7">
        <v>10012</v>
      </c>
      <c r="B10013" s="7">
        <v>1</v>
      </c>
      <c r="C10013" s="7" t="s">
        <v>10</v>
      </c>
      <c r="D10013" s="7">
        <v>11843</v>
      </c>
      <c r="E10013" s="7" t="s">
        <v>28</v>
      </c>
      <c r="F10013" s="8" t="str">
        <f ca="1">IFERROR(__xludf.DUMMYFUNCTION("IF
(
C10014=""фізична особа""
,
VLOOKUP(D10014,IMPORTRANGE(""https://docs.google.com/spreadsheets/d/14Bd19lYaqBhU8_DElYkX7l4wRkHqqCUFNJY4AfY3kHU/edit?usp=sharing  #gid=0"",""фіз особи new!relations_name""),6,FALSE)
,
(IF
(
C10014=""юридична особа""
,
VLOO"&amp;"KUP(D10014,IMPORTRANGE(""https://docs.google.com/spreadsheets/d/14Bd19lYaqBhU8_DElYkX7l4wRkHqqCUFNJY4AfY3kHU/edit?usp=sharing  #gid=0"",""фіз особи new!relations_name_uo""),7,FALSE)
,
)
))"),"АБАЗОВСЬКИЙ Олександр Петрович")</f>
        <v>АБАЗОВСЬКИЙ Олександр Петрович</v>
      </c>
      <c r="G10013" s="7" t="s">
        <v>10</v>
      </c>
      <c r="H10013" s="7">
        <v>11867</v>
      </c>
      <c r="I10013" s="8" t="str">
        <f ca="1">IFERROR(__xludf.DUMMYFUNCTION("IF
(
G10014=""фізична особа""
,
VLOOKUP(H10014,IMPORTRANGE(""https://docs.google.com/spreadsheets/d/14Bd19lYaqBhU8_DElYkX7l4wRkHqqCUFNJY4AfY3kHU/edit?usp=sharing  #gid=0"",""фіз особи new!relations_name""),6,FALSE)
,
(IF
(
G10014=""юридична особа""
,
VLOO"&amp;"KUP(H10014,IMPORTRANGE(""https://docs.google.com/spreadsheets/d/14Bd19lYaqBhU8_DElYkX7l4wRkHqqCUFNJY4AfY3kHU/edit?usp=sharing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3" s="7" t="s">
        <v>29</v>
      </c>
    </row>
    <row r="10014" spans="1:10" ht="13.2">
      <c r="A10014" s="7">
        <v>10013</v>
      </c>
      <c r="B10014" s="7">
        <v>1</v>
      </c>
      <c r="C10014" s="7" t="s">
        <v>10</v>
      </c>
      <c r="D10014" s="7">
        <v>11844</v>
      </c>
      <c r="E10014" s="7" t="s">
        <v>28</v>
      </c>
      <c r="F10014" s="8" t="str">
        <f ca="1">IFERROR(__xludf.DUMMYFUNCTION("IF
(
C10015=""фізична особа""
,
VLOOKUP(D10015,IMPORTRANGE(""https://docs.google.com/spreadsheets/d/14Bd19lYaqBhU8_DElYkX7l4wRkHqqCUFNJY4AfY3kHU/edit?usp=sharing  #gid=0"",""фіз особи new!relations_name""),6,FALSE)
,
(IF
(
C10015=""юридична особа""
,
VLOO"&amp;"KUP(D10015,IMPORTRANGE(""https://docs.google.com/spreadsheets/d/14Bd19lYaqBhU8_DElYkX7l4wRkHqqCUFNJY4AfY3kHU/edit?usp=sharing  #gid=0"",""фіз особи new!relations_name_uo""),7,FALSE)
,
)
))"),"МОШЕС Ілля Семенович")</f>
        <v>МОШЕС Ілля Семенович</v>
      </c>
      <c r="G10014" s="7" t="s">
        <v>10</v>
      </c>
      <c r="H10014" s="7">
        <v>11867</v>
      </c>
      <c r="I10014" s="8" t="str">
        <f ca="1">IFERROR(__xludf.DUMMYFUNCTION("IF
(
G10015=""фізична особа""
,
VLOOKUP(H10015,IMPORTRANGE(""https://docs.google.com/spreadsheets/d/14Bd19lYaqBhU8_DElYkX7l4wRkHqqCUFNJY4AfY3kHU/edit?usp=sharing  #gid=0"",""фіз особи new!relations_name""),6,FALSE)
,
(IF
(
G10015=""юридична особа""
,
VLOO"&amp;"KUP(H10015,IMPORTRANGE(""https://docs.google.com/spreadsheets/d/14Bd19lYaqBhU8_DElYkX7l4wRkHqqCUFNJY4AfY3kHU/edit?usp=sharing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4" s="7" t="s">
        <v>29</v>
      </c>
    </row>
    <row r="10015" spans="1:10" ht="13.2">
      <c r="A10015" s="7">
        <v>10014</v>
      </c>
      <c r="B10015" s="7">
        <v>1</v>
      </c>
      <c r="C10015" s="7" t="s">
        <v>10</v>
      </c>
      <c r="D10015" s="7">
        <v>11845</v>
      </c>
      <c r="E10015" s="7" t="s">
        <v>28</v>
      </c>
      <c r="F10015" s="8" t="str">
        <f ca="1">IFERROR(__xludf.DUMMYFUNCTION("IF
(
C10016=""фізична особа""
,
VLOOKUP(D10016,IMPORTRANGE(""https://docs.google.com/spreadsheets/d/14Bd19lYaqBhU8_DElYkX7l4wRkHqqCUFNJY4AfY3kHU/edit?usp=sharing  #gid=0"",""фіз особи new!relations_name""),6,FALSE)
,
(IF
(
C10016=""юридична особа""
,
VLOO"&amp;"KUP(D10016,IMPORTRANGE(""https://docs.google.com/spreadsheets/d/14Bd19lYaqBhU8_DElYkX7l4wRkHqqCUFNJY4AfY3kHU/edit?usp=sharing  #gid=0"",""фіз особи new!relations_name_uo""),7,FALSE)
,
)
))"),"КРАВЦОВ Федір Олексійович")</f>
        <v>КРАВЦОВ Федір Олексійович</v>
      </c>
      <c r="G10015" s="7" t="s">
        <v>10</v>
      </c>
      <c r="H10015" s="7">
        <v>11867</v>
      </c>
      <c r="I10015" s="8" t="str">
        <f ca="1">IFERROR(__xludf.DUMMYFUNCTION("IF
(
G10016=""фізична особа""
,
VLOOKUP(H10016,IMPORTRANGE(""https://docs.google.com/spreadsheets/d/14Bd19lYaqBhU8_DElYkX7l4wRkHqqCUFNJY4AfY3kHU/edit?usp=sharing  #gid=0"",""фіз особи new!relations_name""),6,FALSE)
,
(IF
(
G10016=""юридична особа""
,
VLOO"&amp;"KUP(H10016,IMPORTRANGE(""https://docs.google.com/spreadsheets/d/14Bd19lYaqBhU8_DElYkX7l4wRkHqqCUFNJY4AfY3kHU/edit?usp=sharing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5" s="7" t="s">
        <v>29</v>
      </c>
    </row>
    <row r="10016" spans="1:10" ht="13.2">
      <c r="A10016" s="7">
        <v>10015</v>
      </c>
      <c r="B10016" s="7">
        <v>1</v>
      </c>
      <c r="C10016" s="7" t="s">
        <v>10</v>
      </c>
      <c r="D10016" s="7">
        <v>11846</v>
      </c>
      <c r="E10016" s="7" t="s">
        <v>28</v>
      </c>
      <c r="F10016" s="8" t="str">
        <f ca="1">IFERROR(__xludf.DUMMYFUNCTION("IF
(
C10017=""фізична особа""
,
VLOOKUP(D10017,IMPORTRANGE(""https://docs.google.com/spreadsheets/d/14Bd19lYaqBhU8_DElYkX7l4wRkHqqCUFNJY4AfY3kHU/edit?usp=sharing  #gid=0"",""фіз особи new!relations_name""),6,FALSE)
,
(IF
(
C10017=""юридична особа""
,
VLOO"&amp;"KUP(D10017,IMPORTRANGE(""https://docs.google.com/spreadsheets/d/14Bd19lYaqBhU8_DElYkX7l4wRkHqqCUFNJY4AfY3kHU/edit?usp=sharing  #gid=0"",""фіз особи new!relations_name_uo""),7,FALSE)
,
)
))"),"ВОРОБЙОВА Жанна Леонідівна")</f>
        <v>ВОРОБЙОВА Жанна Леонідівна</v>
      </c>
      <c r="G10016" s="7" t="s">
        <v>10</v>
      </c>
      <c r="H10016" s="7">
        <v>11867</v>
      </c>
      <c r="I10016" s="8" t="str">
        <f ca="1">IFERROR(__xludf.DUMMYFUNCTION("IF
(
G10017=""фізична особа""
,
VLOOKUP(H10017,IMPORTRANGE(""https://docs.google.com/spreadsheets/d/14Bd19lYaqBhU8_DElYkX7l4wRkHqqCUFNJY4AfY3kHU/edit?usp=sharing  #gid=0"",""фіз особи new!relations_name""),6,FALSE)
,
(IF
(
G10017=""юридична особа""
,
VLOO"&amp;"KUP(H10017,IMPORTRANGE(""https://docs.google.com/spreadsheets/d/14Bd19lYaqBhU8_DElYkX7l4wRkHqqCUFNJY4AfY3kHU/edit?usp=sharing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6" s="7" t="s">
        <v>29</v>
      </c>
    </row>
    <row r="10017" spans="1:10" ht="13.2">
      <c r="A10017" s="7">
        <v>10016</v>
      </c>
      <c r="B10017" s="7">
        <v>1</v>
      </c>
      <c r="C10017" s="7" t="s">
        <v>10</v>
      </c>
      <c r="D10017" s="7">
        <v>11847</v>
      </c>
      <c r="E10017" s="7" t="s">
        <v>28</v>
      </c>
      <c r="F10017" s="8" t="str">
        <f ca="1">IFERROR(__xludf.DUMMYFUNCTION("IF
(
C10018=""фізична особа""
,
VLOOKUP(D10018,IMPORTRANGE(""https://docs.google.com/spreadsheets/d/14Bd19lYaqBhU8_DElYkX7l4wRkHqqCUFNJY4AfY3kHU/edit?usp=sharing  #gid=0"",""фіз особи new!relations_name""),6,FALSE)
,
(IF
(
C10018=""юридична особа""
,
VLOO"&amp;"KUP(D10018,IMPORTRANGE(""https://docs.google.com/spreadsheets/d/14Bd19lYaqBhU8_DElYkX7l4wRkHqqCUFNJY4AfY3kHU/edit?usp=sharing  #gid=0"",""фіз особи new!relations_name_uo""),7,FALSE)
,
)
))"),"ПОСПЄЛОВА Людмила Вікторівна")</f>
        <v>ПОСПЄЛОВА Людмила Вікторівна</v>
      </c>
      <c r="G10017" s="7" t="s">
        <v>10</v>
      </c>
      <c r="H10017" s="7">
        <v>11867</v>
      </c>
      <c r="I10017" s="8" t="str">
        <f ca="1">IFERROR(__xludf.DUMMYFUNCTION("IF
(
G10018=""фізична особа""
,
VLOOKUP(H10018,IMPORTRANGE(""https://docs.google.com/spreadsheets/d/14Bd19lYaqBhU8_DElYkX7l4wRkHqqCUFNJY4AfY3kHU/edit?usp=sharing  #gid=0"",""фіз особи new!relations_name""),6,FALSE)
,
(IF
(
G10018=""юридична особа""
,
VLOO"&amp;"KUP(H10018,IMPORTRANGE(""https://docs.google.com/spreadsheets/d/14Bd19lYaqBhU8_DElYkX7l4wRkHqqCUFNJY4AfY3kHU/edit?usp=sharing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7" s="7" t="s">
        <v>29</v>
      </c>
    </row>
    <row r="10018" spans="1:10" ht="13.2">
      <c r="A10018" s="7">
        <v>10017</v>
      </c>
      <c r="B10018" s="7">
        <v>1</v>
      </c>
      <c r="C10018" s="7" t="s">
        <v>10</v>
      </c>
      <c r="D10018" s="7">
        <v>11848</v>
      </c>
      <c r="E10018" s="7" t="s">
        <v>28</v>
      </c>
      <c r="F10018" s="8" t="str">
        <f ca="1">IFERROR(__xludf.DUMMYFUNCTION("IF
(
C10019=""фізична особа""
,
VLOOKUP(D10019,IMPORTRANGE(""https://docs.google.com/spreadsheets/d/14Bd19lYaqBhU8_DElYkX7l4wRkHqqCUFNJY4AfY3kHU/edit?usp=sharing  #gid=0"",""фіз особи new!relations_name""),6,FALSE)
,
(IF
(
C10019=""юридична особа""
,
VLOO"&amp;"KUP(D10019,IMPORTRANGE(""https://docs.google.com/spreadsheets/d/14Bd19lYaqBhU8_DElYkX7l4wRkHqqCUFNJY4AfY3kHU/edit?usp=sharing  #gid=0"",""фіз особи new!relations_name_uo""),7,FALSE)
,
)
))"),"ЮРИШЕВ Анатолій Володимирович")</f>
        <v>ЮРИШЕВ Анатолій Володимирович</v>
      </c>
      <c r="G10018" s="7" t="s">
        <v>10</v>
      </c>
      <c r="H10018" s="7">
        <v>11867</v>
      </c>
      <c r="I10018" s="8" t="str">
        <f ca="1">IFERROR(__xludf.DUMMYFUNCTION("IF
(
G10019=""фізична особа""
,
VLOOKUP(H10019,IMPORTRANGE(""https://docs.google.com/spreadsheets/d/14Bd19lYaqBhU8_DElYkX7l4wRkHqqCUFNJY4AfY3kHU/edit?usp=sharing  #gid=0"",""фіз особи new!relations_name""),6,FALSE)
,
(IF
(
G10019=""юридична особа""
,
VLOO"&amp;"KUP(H10019,IMPORTRANGE(""https://docs.google.com/spreadsheets/d/14Bd19lYaqBhU8_DElYkX7l4wRkHqqCUFNJY4AfY3kHU/edit?usp=sharing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8" s="7" t="s">
        <v>29</v>
      </c>
    </row>
    <row r="10019" spans="1:10" ht="13.2">
      <c r="A10019" s="7">
        <v>10018</v>
      </c>
      <c r="B10019" s="7">
        <v>1</v>
      </c>
      <c r="C10019" s="7" t="s">
        <v>10</v>
      </c>
      <c r="D10019" s="7">
        <v>11849</v>
      </c>
      <c r="E10019" s="7" t="s">
        <v>28</v>
      </c>
      <c r="F10019" s="8" t="str">
        <f ca="1">IFERROR(__xludf.DUMMYFUNCTION("IF
(
C10020=""фізична особа""
,
VLOOKUP(D10020,IMPORTRANGE(""https://docs.google.com/spreadsheets/d/14Bd19lYaqBhU8_DElYkX7l4wRkHqqCUFNJY4AfY3kHU/edit?usp=sharing  #gid=0"",""фіз особи new!relations_name""),6,FALSE)
,
(IF
(
C10020=""юридична особа""
,
VLOO"&amp;"KUP(D10020,IMPORTRANGE(""https://docs.google.com/spreadsheets/d/14Bd19lYaqBhU8_DElYkX7l4wRkHqqCUFNJY4AfY3kHU/edit?usp=sharing  #gid=0"",""фіз особи new!relations_name_uo""),7,FALSE)
,
)
))"),"УСТАЛОВ Микола Володимирович")</f>
        <v>УСТАЛОВ Микола Володимирович</v>
      </c>
      <c r="G10019" s="7" t="s">
        <v>10</v>
      </c>
      <c r="H10019" s="7">
        <v>11867</v>
      </c>
      <c r="I10019" s="8" t="str">
        <f ca="1">IFERROR(__xludf.DUMMYFUNCTION("IF
(
G10020=""фізична особа""
,
VLOOKUP(H10020,IMPORTRANGE(""https://docs.google.com/spreadsheets/d/14Bd19lYaqBhU8_DElYkX7l4wRkHqqCUFNJY4AfY3kHU/edit?usp=sharing  #gid=0"",""фіз особи new!relations_name""),6,FALSE)
,
(IF
(
G10020=""юридична особа""
,
VLOO"&amp;"KUP(H10020,IMPORTRANGE(""https://docs.google.com/spreadsheets/d/14Bd19lYaqBhU8_DElYkX7l4wRkHqqCUFNJY4AfY3kHU/edit?usp=sharing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19" s="7" t="s">
        <v>29</v>
      </c>
    </row>
    <row r="10020" spans="1:10" ht="13.2">
      <c r="A10020" s="7">
        <v>10019</v>
      </c>
      <c r="B10020" s="7">
        <v>1</v>
      </c>
      <c r="C10020" s="7" t="s">
        <v>10</v>
      </c>
      <c r="D10020" s="7">
        <v>11850</v>
      </c>
      <c r="E10020" s="7" t="s">
        <v>28</v>
      </c>
      <c r="F10020" s="8" t="str">
        <f ca="1">IFERROR(__xludf.DUMMYFUNCTION("IF
(
C10021=""фізична особа""
,
VLOOKUP(D10021,IMPORTRANGE(""https://docs.google.com/spreadsheets/d/14Bd19lYaqBhU8_DElYkX7l4wRkHqqCUFNJY4AfY3kHU/edit?usp=sharing  #gid=0"",""фіз особи new!relations_name""),6,FALSE)
,
(IF
(
C10021=""юридична особа""
,
VLOO"&amp;"KUP(D10021,IMPORTRANGE(""https://docs.google.com/spreadsheets/d/14Bd19lYaqBhU8_DElYkX7l4wRkHqqCUFNJY4AfY3kHU/edit?usp=sharing  #gid=0"",""фіз особи new!relations_name_uo""),7,FALSE)
,
)
))"),"ГЛУХИХ Світлана Олексіївна")</f>
        <v>ГЛУХИХ Світлана Олексіївна</v>
      </c>
      <c r="G10020" s="7" t="s">
        <v>10</v>
      </c>
      <c r="H10020" s="7">
        <v>11867</v>
      </c>
      <c r="I10020" s="8" t="str">
        <f ca="1">IFERROR(__xludf.DUMMYFUNCTION("IF
(
G10021=""фізична особа""
,
VLOOKUP(H10021,IMPORTRANGE(""https://docs.google.com/spreadsheets/d/14Bd19lYaqBhU8_DElYkX7l4wRkHqqCUFNJY4AfY3kHU/edit?usp=sharing  #gid=0"",""фіз особи new!relations_name""),6,FALSE)
,
(IF
(
G10021=""юридична особа""
,
VLOO"&amp;"KUP(H10021,IMPORTRANGE(""https://docs.google.com/spreadsheets/d/14Bd19lYaqBhU8_DElYkX7l4wRkHqqCUFNJY4AfY3kHU/edit?usp=sharing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0" s="7" t="s">
        <v>29</v>
      </c>
    </row>
    <row r="10021" spans="1:10" ht="13.2">
      <c r="A10021" s="7">
        <v>10020</v>
      </c>
      <c r="B10021" s="7">
        <v>1</v>
      </c>
      <c r="C10021" s="7" t="s">
        <v>10</v>
      </c>
      <c r="D10021" s="7">
        <v>11851</v>
      </c>
      <c r="E10021" s="7" t="s">
        <v>28</v>
      </c>
      <c r="F10021" s="8" t="str">
        <f ca="1">IFERROR(__xludf.DUMMYFUNCTION("IF
(
C10022=""фізична особа""
,
VLOOKUP(D10022,IMPORTRANGE(""https://docs.google.com/spreadsheets/d/14Bd19lYaqBhU8_DElYkX7l4wRkHqqCUFNJY4AfY3kHU/edit?usp=sharing  #gid=0"",""фіз особи new!relations_name""),6,FALSE)
,
(IF
(
C10022=""юридична особа""
,
VLOO"&amp;"KUP(D10022,IMPORTRANGE(""https://docs.google.com/spreadsheets/d/14Bd19lYaqBhU8_DElYkX7l4wRkHqqCUFNJY4AfY3kHU/edit?usp=sharing  #gid=0"",""фіз особи new!relations_name_uo""),7,FALSE)
,
)
))"),"ЕЛЬМУРЗАЄВ Адам Увайсович")</f>
        <v>ЕЛЬМУРЗАЄВ Адам Увайсович</v>
      </c>
      <c r="G10021" s="7" t="s">
        <v>10</v>
      </c>
      <c r="H10021" s="7">
        <v>11867</v>
      </c>
      <c r="I10021" s="8" t="str">
        <f ca="1">IFERROR(__xludf.DUMMYFUNCTION("IF
(
G10022=""фізична особа""
,
VLOOKUP(H10022,IMPORTRANGE(""https://docs.google.com/spreadsheets/d/14Bd19lYaqBhU8_DElYkX7l4wRkHqqCUFNJY4AfY3kHU/edit?usp=sharing  #gid=0"",""фіз особи new!relations_name""),6,FALSE)
,
(IF
(
G10022=""юридична особа""
,
VLOO"&amp;"KUP(H10022,IMPORTRANGE(""https://docs.google.com/spreadsheets/d/14Bd19lYaqBhU8_DElYkX7l4wRkHqqCUFNJY4AfY3kHU/edit?usp=sharing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1" s="7" t="s">
        <v>29</v>
      </c>
    </row>
    <row r="10022" spans="1:10" ht="13.2">
      <c r="A10022" s="7">
        <v>10021</v>
      </c>
      <c r="B10022" s="7">
        <v>1</v>
      </c>
      <c r="C10022" s="7" t="s">
        <v>10</v>
      </c>
      <c r="D10022" s="7">
        <v>11852</v>
      </c>
      <c r="E10022" s="7" t="s">
        <v>28</v>
      </c>
      <c r="F10022" s="8" t="str">
        <f ca="1">IFERROR(__xludf.DUMMYFUNCTION("IF
(
C10023=""фізична особа""
,
VLOOKUP(D10023,IMPORTRANGE(""https://docs.google.com/spreadsheets/d/14Bd19lYaqBhU8_DElYkX7l4wRkHqqCUFNJY4AfY3kHU/edit?usp=sharing  #gid=0"",""фіз особи new!relations_name""),6,FALSE)
,
(IF
(
C10023=""юридична особа""
,
VLOO"&amp;"KUP(D10023,IMPORTRANGE(""https://docs.google.com/spreadsheets/d/14Bd19lYaqBhU8_DElYkX7l4wRkHqqCUFNJY4AfY3kHU/edit?usp=sharing  #gid=0"",""фіз особи new!relations_name_uo""),7,FALSE)
,
)
))"),"ХОХРЯКОВА Людмила Вікторівна")</f>
        <v>ХОХРЯКОВА Людмила Вікторівна</v>
      </c>
      <c r="G10022" s="7" t="s">
        <v>10</v>
      </c>
      <c r="H10022" s="7">
        <v>11867</v>
      </c>
      <c r="I10022" s="8" t="str">
        <f ca="1">IFERROR(__xludf.DUMMYFUNCTION("IF
(
G10023=""фізична особа""
,
VLOOKUP(H10023,IMPORTRANGE(""https://docs.google.com/spreadsheets/d/14Bd19lYaqBhU8_DElYkX7l4wRkHqqCUFNJY4AfY3kHU/edit?usp=sharing  #gid=0"",""фіз особи new!relations_name""),6,FALSE)
,
(IF
(
G10023=""юридична особа""
,
VLOO"&amp;"KUP(H10023,IMPORTRANGE(""https://docs.google.com/spreadsheets/d/14Bd19lYaqBhU8_DElYkX7l4wRkHqqCUFNJY4AfY3kHU/edit?usp=sharing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2" s="7" t="s">
        <v>29</v>
      </c>
    </row>
    <row r="10023" spans="1:10" ht="13.2">
      <c r="A10023" s="7">
        <v>10022</v>
      </c>
      <c r="B10023" s="7">
        <v>1</v>
      </c>
      <c r="C10023" s="7" t="s">
        <v>10</v>
      </c>
      <c r="D10023" s="7">
        <v>11853</v>
      </c>
      <c r="E10023" s="7" t="s">
        <v>28</v>
      </c>
      <c r="F10023" s="8" t="str">
        <f ca="1">IFERROR(__xludf.DUMMYFUNCTION("IF
(
C10024=""фізична особа""
,
VLOOKUP(D10024,IMPORTRANGE(""https://docs.google.com/spreadsheets/d/14Bd19lYaqBhU8_DElYkX7l4wRkHqqCUFNJY4AfY3kHU/edit?usp=sharing  #gid=0"",""фіз особи new!relations_name""),6,FALSE)
,
(IF
(
C10024=""юридична особа""
,
VLOO"&amp;"KUP(D10024,IMPORTRANGE(""https://docs.google.com/spreadsheets/d/14Bd19lYaqBhU8_DElYkX7l4wRkHqqCUFNJY4AfY3kHU/edit?usp=sharing  #gid=0"",""фіз особи new!relations_name_uo""),7,FALSE)
,
)
))"),"РОМАНОВ Олександр Володимирович")</f>
        <v>РОМАНОВ Олександр Володимирович</v>
      </c>
      <c r="G10023" s="7" t="s">
        <v>10</v>
      </c>
      <c r="H10023" s="7">
        <v>11867</v>
      </c>
      <c r="I10023" s="8" t="str">
        <f ca="1">IFERROR(__xludf.DUMMYFUNCTION("IF
(
G10024=""фізична особа""
,
VLOOKUP(H10024,IMPORTRANGE(""https://docs.google.com/spreadsheets/d/14Bd19lYaqBhU8_DElYkX7l4wRkHqqCUFNJY4AfY3kHU/edit?usp=sharing  #gid=0"",""фіз особи new!relations_name""),6,FALSE)
,
(IF
(
G10024=""юридична особа""
,
VLOO"&amp;"KUP(H10024,IMPORTRANGE(""https://docs.google.com/spreadsheets/d/14Bd19lYaqBhU8_DElYkX7l4wRkHqqCUFNJY4AfY3kHU/edit?usp=sharing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3" s="7" t="s">
        <v>29</v>
      </c>
    </row>
    <row r="10024" spans="1:10" ht="13.2">
      <c r="A10024" s="7">
        <v>10023</v>
      </c>
      <c r="B10024" s="7">
        <v>1</v>
      </c>
      <c r="C10024" s="7" t="s">
        <v>10</v>
      </c>
      <c r="D10024" s="7">
        <v>11854</v>
      </c>
      <c r="E10024" s="7" t="s">
        <v>28</v>
      </c>
      <c r="F10024" s="8" t="str">
        <f ca="1">IFERROR(__xludf.DUMMYFUNCTION("IF
(
C10025=""фізична особа""
,
VLOOKUP(D10025,IMPORTRANGE(""https://docs.google.com/spreadsheets/d/14Bd19lYaqBhU8_DElYkX7l4wRkHqqCUFNJY4AfY3kHU/edit?usp=sharing  #gid=0"",""фіз особи new!relations_name""),6,FALSE)
,
(IF
(
C10025=""юридична особа""
,
VLOO"&amp;"KUP(D10025,IMPORTRANGE(""https://docs.google.com/spreadsheets/d/14Bd19lYaqBhU8_DElYkX7l4wRkHqqCUFNJY4AfY3kHU/edit?usp=sharing  #gid=0"",""фіз особи new!relations_name_uo""),7,FALSE)
,
)
))"),"ОРГДАЄВА Віра Сангаджіївна")</f>
        <v>ОРГДАЄВА Віра Сангаджіївна</v>
      </c>
      <c r="G10024" s="7" t="s">
        <v>10</v>
      </c>
      <c r="H10024" s="7">
        <v>11867</v>
      </c>
      <c r="I10024" s="8" t="str">
        <f ca="1">IFERROR(__xludf.DUMMYFUNCTION("IF
(
G10025=""фізична особа""
,
VLOOKUP(H10025,IMPORTRANGE(""https://docs.google.com/spreadsheets/d/14Bd19lYaqBhU8_DElYkX7l4wRkHqqCUFNJY4AfY3kHU/edit?usp=sharing  #gid=0"",""фіз особи new!relations_name""),6,FALSE)
,
(IF
(
G10025=""юридична особа""
,
VLOO"&amp;"KUP(H10025,IMPORTRANGE(""https://docs.google.com/spreadsheets/d/14Bd19lYaqBhU8_DElYkX7l4wRkHqqCUFNJY4AfY3kHU/edit?usp=sharing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4" s="7" t="s">
        <v>29</v>
      </c>
    </row>
    <row r="10025" spans="1:10" ht="13.2">
      <c r="A10025" s="7">
        <v>10024</v>
      </c>
      <c r="B10025" s="7">
        <v>1</v>
      </c>
      <c r="C10025" s="7" t="s">
        <v>10</v>
      </c>
      <c r="D10025" s="7">
        <v>11855</v>
      </c>
      <c r="E10025" s="7" t="s">
        <v>28</v>
      </c>
      <c r="F10025" s="8" t="str">
        <f ca="1">IFERROR(__xludf.DUMMYFUNCTION("IF
(
C10026=""фізична особа""
,
VLOOKUP(D10026,IMPORTRANGE(""https://docs.google.com/spreadsheets/d/14Bd19lYaqBhU8_DElYkX7l4wRkHqqCUFNJY4AfY3kHU/edit?usp=sharing  #gid=0"",""фіз особи new!relations_name""),6,FALSE)
,
(IF
(
C10026=""юридична особа""
,
VLOO"&amp;"KUP(D10026,IMPORTRANGE(""https://docs.google.com/spreadsheets/d/14Bd19lYaqBhU8_DElYkX7l4wRkHqqCUFNJY4AfY3kHU/edit?usp=sharing  #gid=0"",""фіз особи new!relations_name_uo""),7,FALSE)
,
)
))"),"ЗАРУБІН Сергій Петрович")</f>
        <v>ЗАРУБІН Сергій Петрович</v>
      </c>
      <c r="G10025" s="7" t="s">
        <v>10</v>
      </c>
      <c r="H10025" s="7">
        <v>11867</v>
      </c>
      <c r="I10025" s="8" t="str">
        <f ca="1">IFERROR(__xludf.DUMMYFUNCTION("IF
(
G10026=""фізична особа""
,
VLOOKUP(H10026,IMPORTRANGE(""https://docs.google.com/spreadsheets/d/14Bd19lYaqBhU8_DElYkX7l4wRkHqqCUFNJY4AfY3kHU/edit?usp=sharing  #gid=0"",""фіз особи new!relations_name""),6,FALSE)
,
(IF
(
G10026=""юридична особа""
,
VLOO"&amp;"KUP(H10026,IMPORTRANGE(""https://docs.google.com/spreadsheets/d/14Bd19lYaqBhU8_DElYkX7l4wRkHqqCUFNJY4AfY3kHU/edit?usp=sharing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5" s="7" t="s">
        <v>29</v>
      </c>
    </row>
    <row r="10026" spans="1:10" ht="13.2">
      <c r="A10026" s="7">
        <v>10025</v>
      </c>
      <c r="B10026" s="7">
        <v>1</v>
      </c>
      <c r="C10026" s="7" t="s">
        <v>10</v>
      </c>
      <c r="D10026" s="7">
        <v>11856</v>
      </c>
      <c r="E10026" s="7" t="s">
        <v>28</v>
      </c>
      <c r="F10026" s="8" t="str">
        <f ca="1">IFERROR(__xludf.DUMMYFUNCTION("IF
(
C10027=""фізична особа""
,
VLOOKUP(D10027,IMPORTRANGE(""https://docs.google.com/spreadsheets/d/14Bd19lYaqBhU8_DElYkX7l4wRkHqqCUFNJY4AfY3kHU/edit?usp=sharing  #gid=0"",""фіз особи new!relations_name""),6,FALSE)
,
(IF
(
C10027=""юридична особа""
,
VLOO"&amp;"KUP(D10027,IMPORTRANGE(""https://docs.google.com/spreadsheets/d/14Bd19lYaqBhU8_DElYkX7l4wRkHqqCUFNJY4AfY3kHU/edit?usp=sharing  #gid=0"",""фіз особи new!relations_name_uo""),7,FALSE)
,
)
))"),"НЕКУЧАЄВА Лідія Олександрівна")</f>
        <v>НЕКУЧАЄВА Лідія Олександрівна</v>
      </c>
      <c r="G10026" s="7" t="s">
        <v>10</v>
      </c>
      <c r="H10026" s="7">
        <v>11867</v>
      </c>
      <c r="I10026" s="8" t="str">
        <f ca="1">IFERROR(__xludf.DUMMYFUNCTION("IF
(
G10027=""фізична особа""
,
VLOOKUP(H10027,IMPORTRANGE(""https://docs.google.com/spreadsheets/d/14Bd19lYaqBhU8_DElYkX7l4wRkHqqCUFNJY4AfY3kHU/edit?usp=sharing  #gid=0"",""фіз особи new!relations_name""),6,FALSE)
,
(IF
(
G10027=""юридична особа""
,
VLOO"&amp;"KUP(H10027,IMPORTRANGE(""https://docs.google.com/spreadsheets/d/14Bd19lYaqBhU8_DElYkX7l4wRkHqqCUFNJY4AfY3kHU/edit?usp=sharing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6" s="7" t="s">
        <v>29</v>
      </c>
    </row>
    <row r="10027" spans="1:10" ht="13.2">
      <c r="A10027" s="7">
        <v>10026</v>
      </c>
      <c r="B10027" s="7">
        <v>1</v>
      </c>
      <c r="C10027" s="7" t="s">
        <v>10</v>
      </c>
      <c r="D10027" s="7">
        <v>11857</v>
      </c>
      <c r="E10027" s="7" t="s">
        <v>28</v>
      </c>
      <c r="F10027" s="8" t="str">
        <f ca="1">IFERROR(__xludf.DUMMYFUNCTION("IF
(
C10028=""фізична особа""
,
VLOOKUP(D10028,IMPORTRANGE(""https://docs.google.com/spreadsheets/d/14Bd19lYaqBhU8_DElYkX7l4wRkHqqCUFNJY4AfY3kHU/edit?usp=sharing  #gid=0"",""фіз особи new!relations_name""),6,FALSE)
,
(IF
(
C10028=""юридична особа""
,
VLOO"&amp;"KUP(D10028,IMPORTRANGE(""https://docs.google.com/spreadsheets/d/14Bd19lYaqBhU8_DElYkX7l4wRkHqqCUFNJY4AfY3kHU/edit?usp=sharing  #gid=0"",""фіз особи new!relations_name_uo""),7,FALSE)
,
)
))"),"ЧАПЛИГІН Вадим Миколайович")</f>
        <v>ЧАПЛИГІН Вадим Миколайович</v>
      </c>
      <c r="G10027" s="7" t="s">
        <v>10</v>
      </c>
      <c r="H10027" s="7">
        <v>11867</v>
      </c>
      <c r="I10027" s="8" t="str">
        <f ca="1">IFERROR(__xludf.DUMMYFUNCTION("IF
(
G10028=""фізична особа""
,
VLOOKUP(H10028,IMPORTRANGE(""https://docs.google.com/spreadsheets/d/14Bd19lYaqBhU8_DElYkX7l4wRkHqqCUFNJY4AfY3kHU/edit?usp=sharing  #gid=0"",""фіз особи new!relations_name""),6,FALSE)
,
(IF
(
G10028=""юридична особа""
,
VLOO"&amp;"KUP(H10028,IMPORTRANGE(""https://docs.google.com/spreadsheets/d/14Bd19lYaqBhU8_DElYkX7l4wRkHqqCUFNJY4AfY3kHU/edit?usp=sharing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7" s="7" t="s">
        <v>29</v>
      </c>
    </row>
    <row r="10028" spans="1:10" ht="13.2">
      <c r="A10028" s="7">
        <v>10027</v>
      </c>
      <c r="B10028" s="7">
        <v>1</v>
      </c>
      <c r="C10028" s="7" t="s">
        <v>10</v>
      </c>
      <c r="D10028" s="7">
        <v>11858</v>
      </c>
      <c r="E10028" s="7" t="s">
        <v>28</v>
      </c>
      <c r="F10028" s="8" t="str">
        <f ca="1">IFERROR(__xludf.DUMMYFUNCTION("IF
(
C10029=""фізична особа""
,
VLOOKUP(D10029,IMPORTRANGE(""https://docs.google.com/spreadsheets/d/14Bd19lYaqBhU8_DElYkX7l4wRkHqqCUFNJY4AfY3kHU/edit?usp=sharing  #gid=0"",""фіз особи new!relations_name""),6,FALSE)
,
(IF
(
C10029=""юридична особа""
,
VLOO"&amp;"KUP(D10029,IMPORTRANGE(""https://docs.google.com/spreadsheets/d/14Bd19lYaqBhU8_DElYkX7l4wRkHqqCUFNJY4AfY3kHU/edit?usp=sharing  #gid=0"",""фіз особи new!relations_name_uo""),7,FALSE)
,
)
))"),"ДУДКА Володимир Іванович")</f>
        <v>ДУДКА Володимир Іванович</v>
      </c>
      <c r="G10028" s="7" t="s">
        <v>10</v>
      </c>
      <c r="H10028" s="7">
        <v>11867</v>
      </c>
      <c r="I10028" s="8" t="str">
        <f ca="1">IFERROR(__xludf.DUMMYFUNCTION("IF
(
G10029=""фізична особа""
,
VLOOKUP(H10029,IMPORTRANGE(""https://docs.google.com/spreadsheets/d/14Bd19lYaqBhU8_DElYkX7l4wRkHqqCUFNJY4AfY3kHU/edit?usp=sharing  #gid=0"",""фіз особи new!relations_name""),6,FALSE)
,
(IF
(
G10029=""юридична особа""
,
VLOO"&amp;"KUP(H10029,IMPORTRANGE(""https://docs.google.com/spreadsheets/d/14Bd19lYaqBhU8_DElYkX7l4wRkHqqCUFNJY4AfY3kHU/edit?usp=sharing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8" s="7" t="s">
        <v>29</v>
      </c>
    </row>
    <row r="10029" spans="1:10" ht="13.2">
      <c r="A10029" s="7">
        <v>10028</v>
      </c>
      <c r="B10029" s="7">
        <v>1</v>
      </c>
      <c r="C10029" s="7" t="s">
        <v>10</v>
      </c>
      <c r="D10029" s="7">
        <v>11859</v>
      </c>
      <c r="E10029" s="7" t="s">
        <v>28</v>
      </c>
      <c r="F10029" s="8" t="str">
        <f ca="1">IFERROR(__xludf.DUMMYFUNCTION("IF
(
C10030=""фізична особа""
,
VLOOKUP(D10030,IMPORTRANGE(""https://docs.google.com/spreadsheets/d/14Bd19lYaqBhU8_DElYkX7l4wRkHqqCUFNJY4AfY3kHU/edit?usp=sharing  #gid=0"",""фіз особи new!relations_name""),6,FALSE)
,
(IF
(
C10030=""юридична особа""
,
VLOO"&amp;"KUP(D10030,IMPORTRANGE(""https://docs.google.com/spreadsheets/d/14Bd19lYaqBhU8_DElYkX7l4wRkHqqCUFNJY4AfY3kHU/edit?usp=sharing  #gid=0"",""фіз особи new!relations_name_uo""),7,FALSE)
,
)
))"),"ГЕРАСИМОВА Євгенія Леонтіївна")</f>
        <v>ГЕРАСИМОВА Євгенія Леонтіївна</v>
      </c>
      <c r="G10029" s="7" t="s">
        <v>10</v>
      </c>
      <c r="H10029" s="7">
        <v>11867</v>
      </c>
      <c r="I10029" s="8" t="str">
        <f ca="1">IFERROR(__xludf.DUMMYFUNCTION("IF
(
G10030=""фізична особа""
,
VLOOKUP(H10030,IMPORTRANGE(""https://docs.google.com/spreadsheets/d/14Bd19lYaqBhU8_DElYkX7l4wRkHqqCUFNJY4AfY3kHU/edit?usp=sharing  #gid=0"",""фіз особи new!relations_name""),6,FALSE)
,
(IF
(
G10030=""юридична особа""
,
VLOO"&amp;"KUP(H10030,IMPORTRANGE(""https://docs.google.com/spreadsheets/d/14Bd19lYaqBhU8_DElYkX7l4wRkHqqCUFNJY4AfY3kHU/edit?usp=sharing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29" s="7" t="s">
        <v>29</v>
      </c>
    </row>
    <row r="10030" spans="1:10" ht="13.2">
      <c r="A10030" s="7">
        <v>10029</v>
      </c>
      <c r="B10030" s="7">
        <v>1</v>
      </c>
      <c r="C10030" s="7" t="s">
        <v>10</v>
      </c>
      <c r="D10030" s="7">
        <v>11860</v>
      </c>
      <c r="E10030" s="7" t="s">
        <v>28</v>
      </c>
      <c r="F10030" s="8" t="str">
        <f ca="1">IFERROR(__xludf.DUMMYFUNCTION("IF
(
C10031=""фізична особа""
,
VLOOKUP(D10031,IMPORTRANGE(""https://docs.google.com/spreadsheets/d/14Bd19lYaqBhU8_DElYkX7l4wRkHqqCUFNJY4AfY3kHU/edit?usp=sharing  #gid=0"",""фіз особи new!relations_name""),6,FALSE)
,
(IF
(
C10031=""юридична особа""
,
VLOO"&amp;"KUP(D10031,IMPORTRANGE(""https://docs.google.com/spreadsheets/d/14Bd19lYaqBhU8_DElYkX7l4wRkHqqCUFNJY4AfY3kHU/edit?usp=sharing  #gid=0"",""фіз особи new!relations_name_uo""),7,FALSE)
,
)
))"),"БАТАШЕВА Ольга Анатоліївна")</f>
        <v>БАТАШЕВА Ольга Анатоліївна</v>
      </c>
      <c r="G10030" s="7" t="s">
        <v>10</v>
      </c>
      <c r="H10030" s="7">
        <v>11867</v>
      </c>
      <c r="I10030" s="8" t="str">
        <f ca="1">IFERROR(__xludf.DUMMYFUNCTION("IF
(
G10031=""фізична особа""
,
VLOOKUP(H10031,IMPORTRANGE(""https://docs.google.com/spreadsheets/d/14Bd19lYaqBhU8_DElYkX7l4wRkHqqCUFNJY4AfY3kHU/edit?usp=sharing  #gid=0"",""фіз особи new!relations_name""),6,FALSE)
,
(IF
(
G10031=""юридична особа""
,
VLOO"&amp;"KUP(H10031,IMPORTRANGE(""https://docs.google.com/spreadsheets/d/14Bd19lYaqBhU8_DElYkX7l4wRkHqqCUFNJY4AfY3kHU/edit?usp=sharing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J10030" s="7" t="s">
        <v>29</v>
      </c>
    </row>
    <row r="10031" spans="1:10" ht="13.2">
      <c r="A10031" s="7">
        <v>10030</v>
      </c>
      <c r="B10031" s="7">
        <v>1</v>
      </c>
      <c r="C10031" s="7" t="s">
        <v>10</v>
      </c>
      <c r="D10031" s="7">
        <v>11861</v>
      </c>
      <c r="E10031" s="7" t="s">
        <v>28</v>
      </c>
      <c r="F10031" s="8" t="str">
        <f ca="1">IFERROR(__xludf.DUMMYFUNCTION("IF
(
C10032=""фізична особа""
,
VLOOKUP(D10032,IMPORTRANGE(""https://docs.google.com/spreadsheets/d/14Bd19lYaqBhU8_DElYkX7l4wRkHqqCUFNJY4AfY3kHU/edit?usp=sharing  #gid=0"",""фіз особи new!relations_name""),6,FALSE)
,
(IF
(
C10032=""юридична особа""
,
VLOO"&amp;"KUP(D10032,IMPORTRANGE(""https://docs.google.com/spreadsheets/d/14Bd19lYaqBhU8_DElYkX7l4wRkHqqCUFNJY4AfY3kHU/edit?usp=sharing  #gid=0"",""фіз особи new!relations_name_uo""),7,FALSE)
,
)
))"),"КУРГАНОВА Ольга Петрівна")</f>
        <v>КУРГАНОВА Ольга Петрівна</v>
      </c>
      <c r="G10031" s="7" t="s">
        <v>10</v>
      </c>
      <c r="H10031" s="7">
        <v>3042</v>
      </c>
      <c r="I10031" s="8" t="str">
        <f ca="1">IFERROR(__xludf.DUMMYFUNCTION("IF
(
G10032=""фізична особа""
,
VLOOKUP(H10032,IMPORTRANGE(""https://docs.google.com/spreadsheets/d/14Bd19lYaqBhU8_DElYkX7l4wRkHqqCUFNJY4AfY3kHU/edit?usp=sharing  #gid=0"",""фіз особи new!relations_name""),6,FALSE)
,
(IF
(
G10032=""юридична особа""
,
VLOO"&amp;"KUP(H10032,IMPORTRANGE(""https://docs.google.com/spreadsheets/d/14Bd19lYaqBhU8_DElYkX7l4wRkHqqCUFNJY4AfY3kHU/edit?usp=sharing  #gid=0"",""фіз особи new!relations_name_uo""),7,FALSE)
,
)
))"),"ПОПОВА Ганна Юріївна")</f>
        <v>ПОПОВА Ганна Юріївна</v>
      </c>
      <c r="J10031" s="7" t="s">
        <v>29</v>
      </c>
    </row>
    <row r="10032" spans="1:10" ht="13.2">
      <c r="A10032" s="7">
        <v>10031</v>
      </c>
      <c r="B10032" s="7">
        <v>1</v>
      </c>
      <c r="C10032" s="7" t="s">
        <v>10</v>
      </c>
      <c r="D10032" s="7">
        <v>11862</v>
      </c>
      <c r="E10032" s="7" t="s">
        <v>28</v>
      </c>
      <c r="F10032" s="8" t="str">
        <f ca="1">IFERROR(__xludf.DUMMYFUNCTION("IF
(
C10033=""фізична особа""
,
VLOOKUP(D10033,IMPORTRANGE(""https://docs.google.com/spreadsheets/d/14Bd19lYaqBhU8_DElYkX7l4wRkHqqCUFNJY4AfY3kHU/edit?usp=sharing  #gid=0"",""фіз особи new!relations_name""),6,FALSE)
,
(IF
(
C10033=""юридична особа""
,
VLOO"&amp;"KUP(D10033,IMPORTRANGE(""https://docs.google.com/spreadsheets/d/14Bd19lYaqBhU8_DElYkX7l4wRkHqqCUFNJY4AfY3kHU/edit?usp=sharing  #gid=0"",""фіз особи new!relations_name_uo""),7,FALSE)
,
)
))"),"ТАУКЕНОВА Карина Маратівна")</f>
        <v>ТАУКЕНОВА Карина Маратівна</v>
      </c>
      <c r="G10032" s="7" t="s">
        <v>10</v>
      </c>
      <c r="H10032" s="7">
        <v>3020</v>
      </c>
      <c r="I10032" s="8" t="str">
        <f ca="1">IFERROR(__xludf.DUMMYFUNCTION("IF
(
G10033=""фізична особа""
,
VLOOKUP(H10033,IMPORTRANGE(""https://docs.google.com/spreadsheets/d/14Bd19lYaqBhU8_DElYkX7l4wRkHqqCUFNJY4AfY3kHU/edit?usp=sharing  #gid=0"",""фіз особи new!relations_name""),6,FALSE)
,
(IF
(
G10033=""юридична особа""
,
VLOO"&amp;"KUP(H10033,IMPORTRANGE(""https://docs.google.com/spreadsheets/d/14Bd19lYaqBhU8_DElYkX7l4wRkHqqCUFNJY4AfY3kHU/edit?usp=sharing  #gid=0"",""фіз особи new!relations_name_uo""),7,FALSE)
,
)
))"),"ШАСКОЛЬСЬКИЙ Максим Олексійович")</f>
        <v>ШАСКОЛЬСЬКИЙ Максим Олексійович</v>
      </c>
      <c r="J10032" s="7" t="s">
        <v>29</v>
      </c>
    </row>
    <row r="10033" spans="1:10" ht="13.2">
      <c r="A10033" s="7">
        <v>10032</v>
      </c>
      <c r="B10033" s="7">
        <v>1</v>
      </c>
      <c r="C10033" s="7" t="s">
        <v>10</v>
      </c>
      <c r="D10033" s="7">
        <v>11863</v>
      </c>
      <c r="E10033" s="7" t="s">
        <v>28</v>
      </c>
      <c r="F10033" s="8" t="str">
        <f ca="1">IFERROR(__xludf.DUMMYFUNCTION("IF
(
C10034=""фізична особа""
,
VLOOKUP(D10034,IMPORTRANGE(""https://docs.google.com/spreadsheets/d/14Bd19lYaqBhU8_DElYkX7l4wRkHqqCUFNJY4AfY3kHU/edit?usp=sharing  #gid=0"",""фіз особи new!relations_name""),6,FALSE)
,
(IF
(
C10034=""юридична особа""
,
VLOO"&amp;"KUP(D10034,IMPORTRANGE(""https://docs.google.com/spreadsheets/d/14Bd19lYaqBhU8_DElYkX7l4wRkHqqCUFNJY4AfY3kHU/edit?usp=sharing  #gid=0"",""фіз особи new!relations_name_uo""),7,FALSE)
,
)
))"),"БАРАНОВА Марина Володимирівна")</f>
        <v>БАРАНОВА Марина Володимирівна</v>
      </c>
      <c r="G10033" s="7" t="s">
        <v>10</v>
      </c>
      <c r="H10033" s="7">
        <v>3029</v>
      </c>
      <c r="I10033" s="8" t="str">
        <f ca="1">IFERROR(__xludf.DUMMYFUNCTION("IF
(
G10034=""фізична особа""
,
VLOOKUP(H10034,IMPORTRANGE(""https://docs.google.com/spreadsheets/d/14Bd19lYaqBhU8_DElYkX7l4wRkHqqCUFNJY4AfY3kHU/edit?usp=sharing  #gid=0"",""фіз особи new!relations_name""),6,FALSE)
,
(IF
(
G10034=""юридична особа""
,
VLOO"&amp;"KUP(H10034,IMPORTRANGE(""https://docs.google.com/spreadsheets/d/14Bd19lYaqBhU8_DElYkX7l4wRkHqqCUFNJY4AfY3kHU/edit?usp=sharing  #gid=0"",""фіз особи new!relations_name_uo""),7,FALSE)
,
)
))"),"СКУФІНСЬКИЙ Олег Олександрович")</f>
        <v>СКУФІНСЬКИЙ Олег Олександрович</v>
      </c>
      <c r="J10033" s="7" t="s">
        <v>29</v>
      </c>
    </row>
    <row r="10034" spans="1:10" ht="13.2">
      <c r="A10034" s="7">
        <v>10033</v>
      </c>
      <c r="B10034" s="7">
        <v>1</v>
      </c>
      <c r="C10034" s="7" t="s">
        <v>10</v>
      </c>
      <c r="D10034" s="7">
        <v>11864</v>
      </c>
      <c r="E10034" s="7" t="s">
        <v>28</v>
      </c>
      <c r="F10034" s="8" t="str">
        <f ca="1">IFERROR(__xludf.DUMMYFUNCTION("IF
(
C10035=""фізична особа""
,
VLOOKUP(D10035,IMPORTRANGE(""https://docs.google.com/spreadsheets/d/14Bd19lYaqBhU8_DElYkX7l4wRkHqqCUFNJY4AfY3kHU/edit?usp=sharing  #gid=0"",""фіз особи new!relations_name""),6,FALSE)
,
(IF
(
C10035=""юридична особа""
,
VLOO"&amp;"KUP(D10035,IMPORTRANGE(""https://docs.google.com/spreadsheets/d/14Bd19lYaqBhU8_DElYkX7l4wRkHqqCUFNJY4AfY3kHU/edit?usp=sharing  #gid=0"",""фіз особи new!relations_name_uo""),7,FALSE)
,
)
))"),"ЄГОРЕНКО Сергій Миколайович")</f>
        <v>ЄГОРЕНКО Сергій Миколайович</v>
      </c>
      <c r="G10034" s="7" t="s">
        <v>10</v>
      </c>
      <c r="H10034" s="7">
        <v>15580</v>
      </c>
      <c r="I10034" s="8" t="str">
        <f ca="1">IFERROR(__xludf.DUMMYFUNCTION("IF
(
G10035=""фізична особа""
,
VLOOKUP(H10035,IMPORTRANGE(""https://docs.google.com/spreadsheets/d/14Bd19lYaqBhU8_DElYkX7l4wRkHqqCUFNJY4AfY3kHU/edit?usp=sharing  #gid=0"",""фіз особи new!relations_name""),6,FALSE)
,
(IF
(
G10035=""юридична особа""
,
VLOO"&amp;"KUP(H10035,IMPORTRANGE(""https://docs.google.com/spreadsheets/d/14Bd19lYaqBhU8_DElYkX7l4wRkHqqCUFNJY4AfY3kHU/edit?usp=sharing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34" s="7" t="s">
        <v>29</v>
      </c>
    </row>
    <row r="10035" spans="1:10" ht="13.2">
      <c r="A10035" s="7">
        <v>10034</v>
      </c>
      <c r="B10035" s="7">
        <v>1</v>
      </c>
      <c r="C10035" s="7" t="s">
        <v>10</v>
      </c>
      <c r="D10035" s="7">
        <v>11864</v>
      </c>
      <c r="E10035" s="7" t="s">
        <v>12</v>
      </c>
      <c r="F10035" s="8" t="str">
        <f ca="1">IFERROR(__xludf.DUMMYFUNCTION("IF
(
C10036=""фізична особа""
,
VLOOKUP(D10036,IMPORTRANGE(""https://docs.google.com/spreadsheets/d/14Bd19lYaqBhU8_DElYkX7l4wRkHqqCUFNJY4AfY3kHU/edit?usp=sharing  #gid=0"",""фіз особи new!relations_name""),6,FALSE)
,
(IF
(
C10036=""юридична особа""
,
VLOO"&amp;"KUP(D10036,IMPORTRANGE(""https://docs.google.com/spreadsheets/d/14Bd19lYaqBhU8_DElYkX7l4wRkHqqCUFNJY4AfY3kHU/edit?usp=sharing  #gid=0"",""фіз особи new!relations_name_uo""),7,FALSE)
,
)
))"),"ЄГОРЕНКО Сергій Миколайович")</f>
        <v>ЄГОРЕНКО Сергій Миколайович</v>
      </c>
      <c r="G10035" s="7" t="s">
        <v>10</v>
      </c>
      <c r="H10035" s="7">
        <v>0</v>
      </c>
      <c r="I10035" s="8" t="str">
        <f ca="1">IFERROR(__xludf.DUMMYFUNCTION("IF
(
G10036=""фізична особа""
,
VLOOKUP(H10036,IMPORTRANGE(""https://docs.google.com/spreadsheets/d/14Bd19lYaqBhU8_DElYkX7l4wRkHqqCUFNJY4AfY3kHU/edit?usp=sharing  #gid=0"",""фіз особи new!relations_name""),6,FALSE)
,
(IF
(
G10036=""юридична особа""
,
VLOO"&amp;"KUP(H10036,IMPORTRANGE(""https://docs.google.com/spreadsheets/d/14Bd19lYaqBhU8_DElYkX7l4wRkHqqCUFNJY4AfY3kHU/edit?usp=sharing  #gid=0"",""фіз особи new!relations_name_uo""),7,FALSE)
,
)
))"),"#N/A")</f>
        <v>#N/A</v>
      </c>
      <c r="J10035" s="7" t="s">
        <v>17</v>
      </c>
    </row>
    <row r="10036" spans="1:10" ht="13.2">
      <c r="A10036" s="7">
        <v>10035</v>
      </c>
      <c r="B10036" s="7">
        <v>1</v>
      </c>
      <c r="C10036" s="7" t="s">
        <v>10</v>
      </c>
      <c r="D10036" s="7">
        <v>11865</v>
      </c>
      <c r="E10036" s="7" t="s">
        <v>28</v>
      </c>
      <c r="F10036" s="8" t="str">
        <f ca="1">IFERROR(__xludf.DUMMYFUNCTION("IF
(
C10037=""фізична особа""
,
VLOOKUP(D10037,IMPORTRANGE(""https://docs.google.com/spreadsheets/d/14Bd19lYaqBhU8_DElYkX7l4wRkHqqCUFNJY4AfY3kHU/edit?usp=sharing  #gid=0"",""фіз особи new!relations_name""),6,FALSE)
,
(IF
(
C10037=""юридична особа""
,
VLOO"&amp;"KUP(D10037,IMPORTRANGE(""https://docs.google.com/spreadsheets/d/14Bd19lYaqBhU8_DElYkX7l4wRkHqqCUFNJY4AfY3kHU/edit?usp=sharing  #gid=0"",""фіз особи new!relations_name_uo""),7,FALSE)
,
)
))"),"КЕНЧАДЗЕ Дмитро Дмитрович")</f>
        <v>КЕНЧАДЗЕ Дмитро Дмитрович</v>
      </c>
      <c r="G10036" s="7" t="s">
        <v>10</v>
      </c>
      <c r="H10036" s="7">
        <v>15580</v>
      </c>
      <c r="I10036" s="8" t="str">
        <f ca="1">IFERROR(__xludf.DUMMYFUNCTION("IF
(
G10037=""фізична особа""
,
VLOOKUP(H10037,IMPORTRANGE(""https://docs.google.com/spreadsheets/d/14Bd19lYaqBhU8_DElYkX7l4wRkHqqCUFNJY4AfY3kHU/edit?usp=sharing  #gid=0"",""фіз особи new!relations_name""),6,FALSE)
,
(IF
(
G10037=""юридична особа""
,
VLOO"&amp;"KUP(H10037,IMPORTRANGE(""https://docs.google.com/spreadsheets/d/14Bd19lYaqBhU8_DElYkX7l4wRkHqqCUFNJY4AfY3kHU/edit?usp=sharing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36" s="7" t="s">
        <v>29</v>
      </c>
    </row>
    <row r="10037" spans="1:10" ht="13.2">
      <c r="A10037" s="7">
        <v>10036</v>
      </c>
      <c r="B10037" s="7">
        <v>1</v>
      </c>
      <c r="C10037" s="7" t="s">
        <v>10</v>
      </c>
      <c r="D10037" s="7">
        <v>11866</v>
      </c>
      <c r="E10037" s="7" t="s">
        <v>28</v>
      </c>
      <c r="F10037" s="8" t="str">
        <f ca="1">IFERROR(__xludf.DUMMYFUNCTION("IF
(
C10038=""фізична особа""
,
VLOOKUP(D10038,IMPORTRANGE(""https://docs.google.com/spreadsheets/d/14Bd19lYaqBhU8_DElYkX7l4wRkHqqCUFNJY4AfY3kHU/edit?usp=sharing  #gid=0"",""фіз особи new!relations_name""),6,FALSE)
,
(IF
(
C10038=""юридична особа""
,
VLOO"&amp;"KUP(D10038,IMPORTRANGE(""https://docs.google.com/spreadsheets/d/14Bd19lYaqBhU8_DElYkX7l4wRkHqqCUFNJY4AfY3kHU/edit?usp=sharing  #gid=0"",""фіз особи new!relations_name_uo""),7,FALSE)
,
)
))"),"ЛАЙКАМ Костянтин Емільович")</f>
        <v>ЛАЙКАМ Костянтин Емільович</v>
      </c>
      <c r="G10037" s="7" t="s">
        <v>10</v>
      </c>
      <c r="H10037" s="7">
        <v>15580</v>
      </c>
      <c r="I10037" s="8" t="str">
        <f ca="1">IFERROR(__xludf.DUMMYFUNCTION("IF
(
G10038=""фізична особа""
,
VLOOKUP(H10038,IMPORTRANGE(""https://docs.google.com/spreadsheets/d/14Bd19lYaqBhU8_DElYkX7l4wRkHqqCUFNJY4AfY3kHU/edit?usp=sharing  #gid=0"",""фіз особи new!relations_name""),6,FALSE)
,
(IF
(
G10038=""юридична особа""
,
VLOO"&amp;"KUP(H10038,IMPORTRANGE(""https://docs.google.com/spreadsheets/d/14Bd19lYaqBhU8_DElYkX7l4wRkHqqCUFNJY4AfY3kHU/edit?usp=sharing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37" s="7" t="s">
        <v>29</v>
      </c>
    </row>
    <row r="10038" spans="1:10" ht="13.2">
      <c r="A10038" s="7">
        <v>10037</v>
      </c>
      <c r="B10038" s="7">
        <v>1</v>
      </c>
      <c r="C10038" s="7" t="s">
        <v>10</v>
      </c>
      <c r="D10038" s="7">
        <v>11866</v>
      </c>
      <c r="E10038" s="7" t="s">
        <v>12</v>
      </c>
      <c r="F10038" s="8" t="str">
        <f ca="1">IFERROR(__xludf.DUMMYFUNCTION("IF
(
C10039=""фізична особа""
,
VLOOKUP(D10039,IMPORTRANGE(""https://docs.google.com/spreadsheets/d/14Bd19lYaqBhU8_DElYkX7l4wRkHqqCUFNJY4AfY3kHU/edit?usp=sharing  #gid=0"",""фіз особи new!relations_name""),6,FALSE)
,
(IF
(
C10039=""юридична особа""
,
VLOO"&amp;"KUP(D10039,IMPORTRANGE(""https://docs.google.com/spreadsheets/d/14Bd19lYaqBhU8_DElYkX7l4wRkHqqCUFNJY4AfY3kHU/edit?usp=sharing  #gid=0"",""фіз особи new!relations_name_uo""),7,FALSE)
,
)
))"),"ЛАЙКАМ Костянтин Емільович")</f>
        <v>ЛАЙКАМ Костянтин Емільович</v>
      </c>
      <c r="G10038" s="7" t="s">
        <v>10</v>
      </c>
      <c r="H10038" s="7">
        <v>0</v>
      </c>
      <c r="I10038" s="8" t="str">
        <f ca="1">IFERROR(__xludf.DUMMYFUNCTION("IF
(
G10039=""фізична особа""
,
VLOOKUP(H10039,IMPORTRANGE(""https://docs.google.com/spreadsheets/d/14Bd19lYaqBhU8_DElYkX7l4wRkHqqCUFNJY4AfY3kHU/edit?usp=sharing  #gid=0"",""фіз особи new!relations_name""),6,FALSE)
,
(IF
(
G10039=""юридична особа""
,
VLOO"&amp;"KUP(H10039,IMPORTRANGE(""https://docs.google.com/spreadsheets/d/14Bd19lYaqBhU8_DElYkX7l4wRkHqqCUFNJY4AfY3kHU/edit?usp=sharing  #gid=0"",""фіз особи new!relations_name_uo""),7,FALSE)
,
)
))"),"#N/A")</f>
        <v>#N/A</v>
      </c>
      <c r="J10038" s="7" t="s">
        <v>13</v>
      </c>
    </row>
    <row r="10039" spans="1:10" ht="13.2">
      <c r="A10039" s="7">
        <v>10038</v>
      </c>
      <c r="B10039" s="7">
        <v>1</v>
      </c>
      <c r="C10039" s="7" t="s">
        <v>10</v>
      </c>
      <c r="D10039" s="7">
        <v>11866</v>
      </c>
      <c r="E10039" s="7" t="s">
        <v>12</v>
      </c>
      <c r="F10039" s="8" t="str">
        <f ca="1">IFERROR(__xludf.DUMMYFUNCTION("IF
(
C10040=""фізична особа""
,
VLOOKUP(D10040,IMPORTRANGE(""https://docs.google.com/spreadsheets/d/14Bd19lYaqBhU8_DElYkX7l4wRkHqqCUFNJY4AfY3kHU/edit?usp=sharing  #gid=0"",""фіз особи new!relations_name""),6,FALSE)
,
(IF
(
C10040=""юридична особа""
,
VLOO"&amp;"KUP(D10040,IMPORTRANGE(""https://docs.google.com/spreadsheets/d/14Bd19lYaqBhU8_DElYkX7l4wRkHqqCUFNJY4AfY3kHU/edit?usp=sharing  #gid=0"",""фіз особи new!relations_name_uo""),7,FALSE)
,
)
))"),"ЛАЙКАМ Костянтин Емільович")</f>
        <v>ЛАЙКАМ Костянтин Емільович</v>
      </c>
      <c r="G10039" s="7" t="s">
        <v>10</v>
      </c>
      <c r="H10039" s="7">
        <v>0</v>
      </c>
      <c r="I10039" s="8" t="str">
        <f ca="1">IFERROR(__xludf.DUMMYFUNCTION("IF
(
G10040=""фізична особа""
,
VLOOKUP(H10040,IMPORTRANGE(""https://docs.google.com/spreadsheets/d/14Bd19lYaqBhU8_DElYkX7l4wRkHqqCUFNJY4AfY3kHU/edit?usp=sharing  #gid=0"",""фіз особи new!relations_name""),6,FALSE)
,
(IF
(
G10040=""юридична особа""
,
VLOO"&amp;"KUP(H10040,IMPORTRANGE(""https://docs.google.com/spreadsheets/d/14Bd19lYaqBhU8_DElYkX7l4wRkHqqCUFNJY4AfY3kHU/edit?usp=sharing  #gid=0"",""фіз особи new!relations_name_uo""),7,FALSE)
,
)
))"),"#N/A")</f>
        <v>#N/A</v>
      </c>
      <c r="J10039" s="7" t="s">
        <v>17</v>
      </c>
    </row>
    <row r="10040" spans="1:10" ht="13.2">
      <c r="A10040" s="7">
        <v>10039</v>
      </c>
      <c r="B10040" s="7">
        <v>1</v>
      </c>
      <c r="C10040" s="7" t="s">
        <v>10</v>
      </c>
      <c r="D10040" s="7">
        <v>11867</v>
      </c>
      <c r="E10040" s="7" t="s">
        <v>28</v>
      </c>
      <c r="F10040" s="8" t="str">
        <f ca="1">IFERROR(__xludf.DUMMYFUNCTION("IF
(
C10041=""фізична особа""
,
VLOOKUP(D10041,IMPORTRANGE(""https://docs.google.com/spreadsheets/d/14Bd19lYaqBhU8_DElYkX7l4wRkHqqCUFNJY4AfY3kHU/edit?usp=sharing  #gid=0"",""фіз особи new!relations_name""),6,FALSE)
,
(IF
(
C10041=""юридична особа""
,
VLOO"&amp;"KUP(D10041,IMPORTRANGE(""https://docs.google.com/spreadsheets/d/14Bd19lYaqBhU8_DElYkX7l4wRkHqqCUFNJY4AfY3kHU/edit?usp=sharing  #gid=0"",""фіз особи new!relations_name_uo""),7,FALSE)
,
)
))"),"ІВАНКОВ Михайло Юрійович")</f>
        <v>ІВАНКОВ Михайло Юрійович</v>
      </c>
      <c r="G10040" s="7" t="s">
        <v>10</v>
      </c>
      <c r="H10040" s="7">
        <v>2382</v>
      </c>
      <c r="I10040" s="8" t="str">
        <f ca="1">IFERROR(__xludf.DUMMYFUNCTION("IF
(
G10041=""фізична особа""
,
VLOOKUP(H10041,IMPORTRANGE(""https://docs.google.com/spreadsheets/d/14Bd19lYaqBhU8_DElYkX7l4wRkHqqCUFNJY4AfY3kHU/edit?usp=sharing  #gid=0"",""фіз особи new!relations_name""),6,FALSE)
,
(IF
(
G10041=""юридична особа""
,
VLOO"&amp;"KUP(H10041,IMPORTRANGE(""https://docs.google.com/spreadsheets/d/14Bd19lYaqBhU8_DElYkX7l4wRkHqqCUFNJY4AfY3kHU/edit?usp=sharing  #gid=0"",""фіз особи new!relations_name_uo""),7,FALSE)
,
)
))"),"КОТЯКОВ Антон Олегович")</f>
        <v>КОТЯКОВ Антон Олегович</v>
      </c>
      <c r="J10040" s="7" t="s">
        <v>29</v>
      </c>
    </row>
    <row r="10041" spans="1:10" ht="13.2">
      <c r="A10041" s="7">
        <v>10040</v>
      </c>
      <c r="B10041" s="7">
        <v>1</v>
      </c>
      <c r="C10041" s="7" t="s">
        <v>10</v>
      </c>
      <c r="D10041" s="7">
        <v>11868</v>
      </c>
      <c r="E10041" s="7" t="s">
        <v>28</v>
      </c>
      <c r="F10041" s="8" t="str">
        <f ca="1">IFERROR(__xludf.DUMMYFUNCTION("IF
(
C10042=""фізична особа""
,
VLOOKUP(D10042,IMPORTRANGE(""https://docs.google.com/spreadsheets/d/14Bd19lYaqBhU8_DElYkX7l4wRkHqqCUFNJY4AfY3kHU/edit?usp=sharing  #gid=0"",""фіз особи new!relations_name""),6,FALSE)
,
(IF
(
C10042=""юридична особа""
,
VLOO"&amp;"KUP(D10042,IMPORTRANGE(""https://docs.google.com/spreadsheets/d/14Bd19lYaqBhU8_DElYkX7l4wRkHqqCUFNJY4AfY3kHU/edit?usp=sharing  #gid=0"",""фіз особи new!relations_name_uo""),7,FALSE)
,
)
))"),"ОКЛАДНІКОВ Сергій Михайлович")</f>
        <v>ОКЛАДНІКОВ Сергій Михайлович</v>
      </c>
      <c r="G10041" s="7" t="s">
        <v>10</v>
      </c>
      <c r="H10041" s="7">
        <v>15580</v>
      </c>
      <c r="I10041" s="8" t="str">
        <f ca="1">IFERROR(__xludf.DUMMYFUNCTION("IF
(
G10042=""фізична особа""
,
VLOOKUP(H10042,IMPORTRANGE(""https://docs.google.com/spreadsheets/d/14Bd19lYaqBhU8_DElYkX7l4wRkHqqCUFNJY4AfY3kHU/edit?usp=sharing  #gid=0"",""фіз особи new!relations_name""),6,FALSE)
,
(IF
(
G10042=""юридична особа""
,
VLOO"&amp;"KUP(H10042,IMPORTRANGE(""https://docs.google.com/spreadsheets/d/14Bd19lYaqBhU8_DElYkX7l4wRkHqqCUFNJY4AfY3kHU/edit?usp=sharing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41" s="7" t="s">
        <v>29</v>
      </c>
    </row>
    <row r="10042" spans="1:10" ht="13.2">
      <c r="A10042" s="7">
        <v>10041</v>
      </c>
      <c r="B10042" s="7">
        <v>1</v>
      </c>
      <c r="C10042" s="7" t="s">
        <v>10</v>
      </c>
      <c r="D10042" s="7">
        <v>11869</v>
      </c>
      <c r="E10042" s="7" t="s">
        <v>28</v>
      </c>
      <c r="F10042" s="8" t="str">
        <f ca="1">IFERROR(__xludf.DUMMYFUNCTION("IF
(
C10043=""фізична особа""
,
VLOOKUP(D10043,IMPORTRANGE(""https://docs.google.com/spreadsheets/d/14Bd19lYaqBhU8_DElYkX7l4wRkHqqCUFNJY4AfY3kHU/edit?usp=sharing  #gid=0"",""фіз особи new!relations_name""),6,FALSE)
,
(IF
(
C10043=""юридична особа""
,
VLOO"&amp;"KUP(D10043,IMPORTRANGE(""https://docs.google.com/spreadsheets/d/14Bd19lYaqBhU8_DElYkX7l4wRkHqqCUFNJY4AfY3kHU/edit?usp=sharing  #gid=0"",""фіз особи new!relations_name_uo""),7,FALSE)
,
)
))"),"ОСТАПЕНКО Григорій Олександрович")</f>
        <v>ОСТАПЕНКО Григорій Олександрович</v>
      </c>
      <c r="G10042" s="7" t="s">
        <v>10</v>
      </c>
      <c r="H10042" s="7">
        <v>15580</v>
      </c>
      <c r="I10042" s="8" t="str">
        <f ca="1">IFERROR(__xludf.DUMMYFUNCTION("IF
(
G10043=""фізична особа""
,
VLOOKUP(H10043,IMPORTRANGE(""https://docs.google.com/spreadsheets/d/14Bd19lYaqBhU8_DElYkX7l4wRkHqqCUFNJY4AfY3kHU/edit?usp=sharing  #gid=0"",""фіз особи new!relations_name""),6,FALSE)
,
(IF
(
G10043=""юридична особа""
,
VLOO"&amp;"KUP(H10043,IMPORTRANGE(""https://docs.google.com/spreadsheets/d/14Bd19lYaqBhU8_DElYkX7l4wRkHqqCUFNJY4AfY3kHU/edit?usp=sharing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42" s="7" t="s">
        <v>29</v>
      </c>
    </row>
    <row r="10043" spans="1:10" ht="13.2">
      <c r="A10043" s="7">
        <v>10042</v>
      </c>
      <c r="B10043" s="7">
        <v>1</v>
      </c>
      <c r="C10043" s="7" t="s">
        <v>10</v>
      </c>
      <c r="D10043" s="7">
        <v>11870</v>
      </c>
      <c r="E10043" s="7" t="s">
        <v>28</v>
      </c>
      <c r="F10043" s="8" t="str">
        <f ca="1">IFERROR(__xludf.DUMMYFUNCTION("IF
(
C10044=""фізична особа""
,
VLOOKUP(D10044,IMPORTRANGE(""https://docs.google.com/spreadsheets/d/14Bd19lYaqBhU8_DElYkX7l4wRkHqqCUFNJY4AfY3kHU/edit?usp=sharing  #gid=0"",""фіз особи new!relations_name""),6,FALSE)
,
(IF
(
C10044=""юридична особа""
,
VLOO"&amp;"KUP(D10044,IMPORTRANGE(""https://docs.google.com/spreadsheets/d/14Bd19lYaqBhU8_DElYkX7l4wRkHqqCUFNJY4AfY3kHU/edit?usp=sharing  #gid=0"",""фіз особи new!relations_name_uo""),7,FALSE)
,
)
))"),"ШАПОВАЛ Ірина Миколаївна")</f>
        <v>ШАПОВАЛ Ірина Миколаївна</v>
      </c>
      <c r="G10043" s="7" t="s">
        <v>10</v>
      </c>
      <c r="H10043" s="7">
        <v>15580</v>
      </c>
      <c r="I10043" s="8" t="str">
        <f ca="1">IFERROR(__xludf.DUMMYFUNCTION("IF
(
G10044=""фізична особа""
,
VLOOKUP(H10044,IMPORTRANGE(""https://docs.google.com/spreadsheets/d/14Bd19lYaqBhU8_DElYkX7l4wRkHqqCUFNJY4AfY3kHU/edit?usp=sharing  #gid=0"",""фіз особи new!relations_name""),6,FALSE)
,
(IF
(
G10044=""юридична особа""
,
VLOO"&amp;"KUP(H10044,IMPORTRANGE(""https://docs.google.com/spreadsheets/d/14Bd19lYaqBhU8_DElYkX7l4wRkHqqCUFNJY4AfY3kHU/edit?usp=sharing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J10043" s="7" t="s">
        <v>29</v>
      </c>
    </row>
    <row r="10044" spans="1:10" ht="13.2">
      <c r="A10044" s="7">
        <v>10043</v>
      </c>
      <c r="B10044" s="7">
        <v>1</v>
      </c>
      <c r="C10044" s="7" t="s">
        <v>10</v>
      </c>
      <c r="D10044" s="7">
        <v>11872</v>
      </c>
      <c r="E10044" s="7" t="s">
        <v>28</v>
      </c>
      <c r="F10044" s="8" t="str">
        <f ca="1">IFERROR(__xludf.DUMMYFUNCTION("IF
(
C10045=""фізична особа""
,
VLOOKUP(D10045,IMPORTRANGE(""https://docs.google.com/spreadsheets/d/14Bd19lYaqBhU8_DElYkX7l4wRkHqqCUFNJY4AfY3kHU/edit?usp=sharing  #gid=0"",""фіз особи new!relations_name""),6,FALSE)
,
(IF
(
C10045=""юридична особа""
,
VLOO"&amp;"KUP(D10045,IMPORTRANGE(""https://docs.google.com/spreadsheets/d/14Bd19lYaqBhU8_DElYkX7l4wRkHqqCUFNJY4AfY3kHU/edit?usp=sharing  #gid=0"",""фіз особи new!relations_name_uo""),7,FALSE)
,
)
))"),"ГОГОЛЬОВ Дмитро Володимирович")</f>
        <v>ГОГОЛЬОВ Дмитро Володимирович</v>
      </c>
      <c r="G10044" s="7" t="s">
        <v>10</v>
      </c>
      <c r="H10044" s="7">
        <v>11871</v>
      </c>
      <c r="I10044" s="8" t="str">
        <f ca="1">IFERROR(__xludf.DUMMYFUNCTION("IF
(
G10045=""фізична особа""
,
VLOOKUP(H10045,IMPORTRANGE(""https://docs.google.com/spreadsheets/d/14Bd19lYaqBhU8_DElYkX7l4wRkHqqCUFNJY4AfY3kHU/edit?usp=sharing  #gid=0"",""фіз особи new!relations_name""),6,FALSE)
,
(IF
(
G10045=""юридична особа""
,
VLOO"&amp;"KUP(H10045,IMPORTRANGE(""https://docs.google.com/spreadsheets/d/14Bd19lYaqBhU8_DElYkX7l4wRkHqqCUFNJY4AfY3kHU/edit?usp=sharing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10044" s="7" t="s">
        <v>29</v>
      </c>
    </row>
    <row r="10045" spans="1:10" ht="13.2">
      <c r="A10045" s="7">
        <v>10044</v>
      </c>
      <c r="B10045" s="7">
        <v>1</v>
      </c>
      <c r="C10045" s="7" t="s">
        <v>10</v>
      </c>
      <c r="D10045" s="7">
        <v>11873</v>
      </c>
      <c r="E10045" s="7" t="s">
        <v>28</v>
      </c>
      <c r="F10045" s="8" t="str">
        <f ca="1">IFERROR(__xludf.DUMMYFUNCTION("IF
(
C10046=""фізична особа""
,
VLOOKUP(D10046,IMPORTRANGE(""https://docs.google.com/spreadsheets/d/14Bd19lYaqBhU8_DElYkX7l4wRkHqqCUFNJY4AfY3kHU/edit?usp=sharing  #gid=0"",""фіз особи new!relations_name""),6,FALSE)
,
(IF
(
C10046=""юридична особа""
,
VLOO"&amp;"KUP(D10046,IMPORTRANGE(""https://docs.google.com/spreadsheets/d/14Bd19lYaqBhU8_DElYkX7l4wRkHqqCUFNJY4AfY3kHU/edit?usp=sharing  #gid=0"",""фіз особи new!relations_name_uo""),7,FALSE)
,
)
))"),"ЗАЛАЗАЄВ Максим Борисович")</f>
        <v>ЗАЛАЗАЄВ Максим Борисович</v>
      </c>
      <c r="G10045" s="7" t="s">
        <v>10</v>
      </c>
      <c r="H10045" s="7">
        <v>11871</v>
      </c>
      <c r="I10045" s="8" t="str">
        <f ca="1">IFERROR(__xludf.DUMMYFUNCTION("IF
(
G10046=""фізична особа""
,
VLOOKUP(H10046,IMPORTRANGE(""https://docs.google.com/spreadsheets/d/14Bd19lYaqBhU8_DElYkX7l4wRkHqqCUFNJY4AfY3kHU/edit?usp=sharing  #gid=0"",""фіз особи new!relations_name""),6,FALSE)
,
(IF
(
G10046=""юридична особа""
,
VLOO"&amp;"KUP(H10046,IMPORTRANGE(""https://docs.google.com/spreadsheets/d/14Bd19lYaqBhU8_DElYkX7l4wRkHqqCUFNJY4AfY3kHU/edit?usp=sharing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10045" s="7" t="s">
        <v>29</v>
      </c>
    </row>
    <row r="10046" spans="1:10" ht="13.2">
      <c r="A10046" s="7">
        <v>10045</v>
      </c>
      <c r="B10046" s="7">
        <v>1</v>
      </c>
      <c r="C10046" s="7" t="s">
        <v>10</v>
      </c>
      <c r="D10046" s="7">
        <v>11874</v>
      </c>
      <c r="E10046" s="7" t="s">
        <v>28</v>
      </c>
      <c r="F10046" s="8" t="str">
        <f ca="1">IFERROR(__xludf.DUMMYFUNCTION("IF
(
C10047=""фізична особа""
,
VLOOKUP(D10047,IMPORTRANGE(""https://docs.google.com/spreadsheets/d/14Bd19lYaqBhU8_DElYkX7l4wRkHqqCUFNJY4AfY3kHU/edit?usp=sharing  #gid=0"",""фіз особи new!relations_name""),6,FALSE)
,
(IF
(
C10047=""юридична особа""
,
VLOO"&amp;"KUP(D10047,IMPORTRANGE(""https://docs.google.com/spreadsheets/d/14Bd19lYaqBhU8_DElYkX7l4wRkHqqCUFNJY4AfY3kHU/edit?usp=sharing  #gid=0"",""фіз особи new!relations_name_uo""),7,FALSE)
,
)
))"),"СОЛОВЙОВ Олександр Олександрович")</f>
        <v>СОЛОВЙОВ Олександр Олександрович</v>
      </c>
      <c r="G10046" s="7" t="s">
        <v>10</v>
      </c>
      <c r="H10046" s="7">
        <v>11871</v>
      </c>
      <c r="I10046" s="8" t="str">
        <f ca="1">IFERROR(__xludf.DUMMYFUNCTION("IF
(
G10047=""фізична особа""
,
VLOOKUP(H10047,IMPORTRANGE(""https://docs.google.com/spreadsheets/d/14Bd19lYaqBhU8_DElYkX7l4wRkHqqCUFNJY4AfY3kHU/edit?usp=sharing  #gid=0"",""фіз особи new!relations_name""),6,FALSE)
,
(IF
(
G10047=""юридична особа""
,
VLOO"&amp;"KUP(H10047,IMPORTRANGE(""https://docs.google.com/spreadsheets/d/14Bd19lYaqBhU8_DElYkX7l4wRkHqqCUFNJY4AfY3kHU/edit?usp=sharing  #gid=0"",""фіз особи new!relations_name_uo""),7,FALSE)
,
)
))"),"СКРИПНИК Назарій Вікторович")</f>
        <v>СКРИПНИК Назарій Вікторович</v>
      </c>
      <c r="J10046" s="7" t="s">
        <v>29</v>
      </c>
    </row>
    <row r="10047" spans="1:10" ht="13.2">
      <c r="A10047" s="7">
        <v>10046</v>
      </c>
      <c r="B10047" s="7">
        <v>1</v>
      </c>
      <c r="C10047" s="7" t="s">
        <v>10</v>
      </c>
      <c r="D10047" s="7">
        <v>11876</v>
      </c>
      <c r="E10047" s="7" t="s">
        <v>28</v>
      </c>
      <c r="F10047" s="8" t="str">
        <f ca="1">IFERROR(__xludf.DUMMYFUNCTION("IF
(
C10048=""фізична особа""
,
VLOOKUP(D10048,IMPORTRANGE(""https://docs.google.com/spreadsheets/d/14Bd19lYaqBhU8_DElYkX7l4wRkHqqCUFNJY4AfY3kHU/edit?usp=sharing  #gid=0"",""фіз особи new!relations_name""),6,FALSE)
,
(IF
(
C10048=""юридична особа""
,
VLOO"&amp;"KUP(D10048,IMPORTRANGE(""https://docs.google.com/spreadsheets/d/14Bd19lYaqBhU8_DElYkX7l4wRkHqqCUFNJY4AfY3kHU/edit?usp=sharing  #gid=0"",""фіз особи new!relations_name_uo""),7,FALSE)
,
)
))"),"ГАЛКОВСЬКА Вікторія Геннадіївна")</f>
        <v>ГАЛКОВСЬКА Вікторія Геннадіївна</v>
      </c>
      <c r="G10047" s="7" t="s">
        <v>10</v>
      </c>
      <c r="H10047" s="7">
        <v>11875</v>
      </c>
      <c r="I10047" s="8" t="str">
        <f ca="1">IFERROR(__xludf.DUMMYFUNCTION("IF
(
G10048=""фізична особа""
,
VLOOKUP(H10048,IMPORTRANGE(""https://docs.google.com/spreadsheets/d/14Bd19lYaqBhU8_DElYkX7l4wRkHqqCUFNJY4AfY3kHU/edit?usp=sharing  #gid=0"",""фіз особи new!relations_name""),6,FALSE)
,
(IF
(
G10048=""юридична особа""
,
VLOO"&amp;"KUP(H10048,IMPORTRANGE(""https://docs.google.com/spreadsheets/d/14Bd19lYaqBhU8_DElYkX7l4wRkHqqCUFNJY4AfY3kHU/edit?usp=sharing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10047" s="7" t="s">
        <v>29</v>
      </c>
    </row>
    <row r="10048" spans="1:10" ht="13.2">
      <c r="A10048" s="7">
        <v>10047</v>
      </c>
      <c r="B10048" s="7">
        <v>1</v>
      </c>
      <c r="C10048" s="7" t="s">
        <v>10</v>
      </c>
      <c r="D10048" s="7">
        <v>11877</v>
      </c>
      <c r="E10048" s="7" t="s">
        <v>28</v>
      </c>
      <c r="F10048" s="8" t="str">
        <f ca="1">IFERROR(__xludf.DUMMYFUNCTION("IF
(
C10049=""фізична особа""
,
VLOOKUP(D10049,IMPORTRANGE(""https://docs.google.com/spreadsheets/d/14Bd19lYaqBhU8_DElYkX7l4wRkHqqCUFNJY4AfY3kHU/edit?usp=sharing  #gid=0"",""фіз особи new!relations_name""),6,FALSE)
,
(IF
(
C10049=""юридична особа""
,
VLOO"&amp;"KUP(D10049,IMPORTRANGE(""https://docs.google.com/spreadsheets/d/14Bd19lYaqBhU8_DElYkX7l4wRkHqqCUFNJY4AfY3kHU/edit?usp=sharing  #gid=0"",""фіз особи new!relations_name_uo""),7,FALSE)
,
)
))"),"СОЛОНОВИЧ Андрій Васильович")</f>
        <v>СОЛОНОВИЧ Андрій Васильович</v>
      </c>
      <c r="G10048" s="7" t="s">
        <v>10</v>
      </c>
      <c r="H10048" s="7">
        <v>11875</v>
      </c>
      <c r="I10048" s="8" t="str">
        <f ca="1">IFERROR(__xludf.DUMMYFUNCTION("IF
(
G10049=""фізична особа""
,
VLOOKUP(H10049,IMPORTRANGE(""https://docs.google.com/spreadsheets/d/14Bd19lYaqBhU8_DElYkX7l4wRkHqqCUFNJY4AfY3kHU/edit?usp=sharing  #gid=0"",""фіз особи new!relations_name""),6,FALSE)
,
(IF
(
G10049=""юридична особа""
,
VLOO"&amp;"KUP(H10049,IMPORTRANGE(""https://docs.google.com/spreadsheets/d/14Bd19lYaqBhU8_DElYkX7l4wRkHqqCUFNJY4AfY3kHU/edit?usp=sharing  #gid=0"",""фіз особи new!relations_name_uo""),7,FALSE)
,
)
))"),"ЗУБОВ Юрій Сергійович")</f>
        <v>ЗУБОВ Юрій Сергійович</v>
      </c>
      <c r="J10048" s="7" t="s">
        <v>29</v>
      </c>
    </row>
    <row r="10049" spans="1:10" ht="13.2">
      <c r="A10049" s="7">
        <v>10048</v>
      </c>
      <c r="B10049" s="7">
        <v>1</v>
      </c>
      <c r="C10049" s="7" t="s">
        <v>10</v>
      </c>
      <c r="D10049" s="7">
        <v>11878</v>
      </c>
      <c r="E10049" s="7" t="s">
        <v>28</v>
      </c>
      <c r="F10049" s="8" t="str">
        <f ca="1">IFERROR(__xludf.DUMMYFUNCTION("IF
(
C10050=""фізична особа""
,
VLOOKUP(D10050,IMPORTRANGE(""https://docs.google.com/spreadsheets/d/14Bd19lYaqBhU8_DElYkX7l4wRkHqqCUFNJY4AfY3kHU/edit?usp=sharing  #gid=0"",""фіз особи new!relations_name""),6,FALSE)
,
(IF
(
C10050=""юридична особа""
,
VLOO"&amp;"KUP(D10050,IMPORTRANGE(""https://docs.google.com/spreadsheets/d/14Bd19lYaqBhU8_DElYkX7l4wRkHqqCUFNJY4AfY3kHU/edit?usp=sharing  #gid=0"",""фіз особи new!relations_name_uo""),7,FALSE)
,
)
))"),"ГЕРІМСУЛТАНОВ Заур Мухметович")</f>
        <v>ГЕРІМСУЛТАНОВ Заур Мухметович</v>
      </c>
      <c r="G10049" s="7" t="s">
        <v>10</v>
      </c>
      <c r="H10049" s="7">
        <v>2974</v>
      </c>
      <c r="I10049" s="8" t="str">
        <f ca="1">IFERROR(__xludf.DUMMYFUNCTION("IF
(
G10050=""фізична особа""
,
VLOOKUP(H10050,IMPORTRANGE(""https://docs.google.com/spreadsheets/d/14Bd19lYaqBhU8_DElYkX7l4wRkHqqCUFNJY4AfY3kHU/edit?usp=sharing  #gid=0"",""фіз особи new!relations_name""),6,FALSE)
,
(IF
(
G10050=""юридична особа""
,
VLOO"&amp;"KUP(H10050,IMPORTRANGE(""https://docs.google.com/spreadsheets/d/14Bd19lYaqBhU8_DElYkX7l4wRkHqqCUFNJY4AfY3kHU/edit?usp=sharing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10049" s="7" t="s">
        <v>29</v>
      </c>
    </row>
    <row r="10050" spans="1:10" ht="13.2">
      <c r="A10050" s="7">
        <v>10049</v>
      </c>
      <c r="B10050" s="7">
        <v>1</v>
      </c>
      <c r="C10050" s="7" t="s">
        <v>10</v>
      </c>
      <c r="D10050" s="7">
        <v>11879</v>
      </c>
      <c r="E10050" s="7" t="s">
        <v>28</v>
      </c>
      <c r="F10050" s="8" t="str">
        <f ca="1">IFERROR(__xludf.DUMMYFUNCTION("IF
(
C10051=""фізична особа""
,
VLOOKUP(D10051,IMPORTRANGE(""https://docs.google.com/spreadsheets/d/14Bd19lYaqBhU8_DElYkX7l4wRkHqqCUFNJY4AfY3kHU/edit?usp=sharing  #gid=0"",""фіз особи new!relations_name""),6,FALSE)
,
(IF
(
C10051=""юридична особа""
,
VLOO"&amp;"KUP(D10051,IMPORTRANGE(""https://docs.google.com/spreadsheets/d/14Bd19lYaqBhU8_DElYkX7l4wRkHqqCUFNJY4AfY3kHU/edit?usp=sharing  #gid=0"",""фіз особи new!relations_name_uo""),7,FALSE)
,
)
))"),"ЮШМАНОВ Іван Олександрович")</f>
        <v>ЮШМАНОВ Іван Олександрович</v>
      </c>
      <c r="G10050" s="7" t="s">
        <v>10</v>
      </c>
      <c r="H10050" s="7">
        <v>2974</v>
      </c>
      <c r="I10050" s="8" t="str">
        <f ca="1">IFERROR(__xludf.DUMMYFUNCTION("IF
(
G10051=""фізична особа""
,
VLOOKUP(H10051,IMPORTRANGE(""https://docs.google.com/spreadsheets/d/14Bd19lYaqBhU8_DElYkX7l4wRkHqqCUFNJY4AfY3kHU/edit?usp=sharing  #gid=0"",""фіз особи new!relations_name""),6,FALSE)
,
(IF
(
G10051=""юридична особа""
,
VLOO"&amp;"KUP(H10051,IMPORTRANGE(""https://docs.google.com/spreadsheets/d/14Bd19lYaqBhU8_DElYkX7l4wRkHqqCUFNJY4AfY3kHU/edit?usp=sharing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10050" s="7" t="s">
        <v>29</v>
      </c>
    </row>
    <row r="10051" spans="1:10" ht="13.2">
      <c r="A10051" s="7">
        <v>10050</v>
      </c>
      <c r="B10051" s="7">
        <v>1</v>
      </c>
      <c r="C10051" s="7" t="s">
        <v>10</v>
      </c>
      <c r="D10051" s="7">
        <v>11880</v>
      </c>
      <c r="E10051" s="7" t="s">
        <v>28</v>
      </c>
      <c r="F10051" s="8" t="str">
        <f ca="1">IFERROR(__xludf.DUMMYFUNCTION("IF
(
C10052=""фізична особа""
,
VLOOKUP(D10052,IMPORTRANGE(""https://docs.google.com/spreadsheets/d/14Bd19lYaqBhU8_DElYkX7l4wRkHqqCUFNJY4AfY3kHU/edit?usp=sharing  #gid=0"",""фіз особи new!relations_name""),6,FALSE)
,
(IF
(
C10052=""юридична особа""
,
VLOO"&amp;"KUP(D10052,IMPORTRANGE(""https://docs.google.com/spreadsheets/d/14Bd19lYaqBhU8_DElYkX7l4wRkHqqCUFNJY4AfY3kHU/edit?usp=sharing  #gid=0"",""фіз особи new!relations_name_uo""),7,FALSE)
,
)
))"),"ТОКАЄВ Аслан Казбекович")</f>
        <v>ТОКАЄВ Аслан Казбекович</v>
      </c>
      <c r="G10051" s="7" t="s">
        <v>10</v>
      </c>
      <c r="H10051" s="7">
        <v>2974</v>
      </c>
      <c r="I10051" s="8" t="str">
        <f ca="1">IFERROR(__xludf.DUMMYFUNCTION("IF
(
G10052=""фізична особа""
,
VLOOKUP(H10052,IMPORTRANGE(""https://docs.google.com/spreadsheets/d/14Bd19lYaqBhU8_DElYkX7l4wRkHqqCUFNJY4AfY3kHU/edit?usp=sharing  #gid=0"",""фіз особи new!relations_name""),6,FALSE)
,
(IF
(
G10052=""юридична особа""
,
VLOO"&amp;"KUP(H10052,IMPORTRANGE(""https://docs.google.com/spreadsheets/d/14Bd19lYaqBhU8_DElYkX7l4wRkHqqCUFNJY4AfY3kHU/edit?usp=sharing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10051" s="7" t="s">
        <v>29</v>
      </c>
    </row>
    <row r="10052" spans="1:10" ht="13.2">
      <c r="A10052" s="7">
        <v>10051</v>
      </c>
      <c r="B10052" s="7">
        <v>1</v>
      </c>
      <c r="C10052" s="7" t="s">
        <v>10</v>
      </c>
      <c r="D10052" s="7">
        <v>11881</v>
      </c>
      <c r="E10052" s="7" t="s">
        <v>28</v>
      </c>
      <c r="F10052" s="8" t="str">
        <f ca="1">IFERROR(__xludf.DUMMYFUNCTION("IF
(
C10053=""фізична особа""
,
VLOOKUP(D10053,IMPORTRANGE(""https://docs.google.com/spreadsheets/d/14Bd19lYaqBhU8_DElYkX7l4wRkHqqCUFNJY4AfY3kHU/edit?usp=sharing  #gid=0"",""фіз особи new!relations_name""),6,FALSE)
,
(IF
(
C10053=""юридична особа""
,
VLOO"&amp;"KUP(D10053,IMPORTRANGE(""https://docs.google.com/spreadsheets/d/14Bd19lYaqBhU8_DElYkX7l4wRkHqqCUFNJY4AfY3kHU/edit?usp=sharing  #gid=0"",""фіз особи new!relations_name_uo""),7,FALSE)
,
)
))"),"ТКАЧЕНКО Дмитро Геннадійович")</f>
        <v>ТКАЧЕНКО Дмитро Геннадійович</v>
      </c>
      <c r="G10052" s="7" t="s">
        <v>10</v>
      </c>
      <c r="H10052" s="7">
        <v>2974</v>
      </c>
      <c r="I10052" s="8" t="str">
        <f ca="1">IFERROR(__xludf.DUMMYFUNCTION("IF
(
G10053=""фізична особа""
,
VLOOKUP(H10053,IMPORTRANGE(""https://docs.google.com/spreadsheets/d/14Bd19lYaqBhU8_DElYkX7l4wRkHqqCUFNJY4AfY3kHU/edit?usp=sharing  #gid=0"",""фіз особи new!relations_name""),6,FALSE)
,
(IF
(
G10053=""юридична особа""
,
VLOO"&amp;"KUP(H10053,IMPORTRANGE(""https://docs.google.com/spreadsheets/d/14Bd19lYaqBhU8_DElYkX7l4wRkHqqCUFNJY4AfY3kHU/edit?usp=sharing  #gid=0"",""фіз особи new!relations_name_uo""),7,FALSE)
,
)
))"),"АРІСТОВ Дмитро Васильович")</f>
        <v>АРІСТОВ Дмитро Васильович</v>
      </c>
      <c r="J10052" s="7" t="s">
        <v>29</v>
      </c>
    </row>
    <row r="10053" spans="1:10" ht="13.2">
      <c r="A10053" s="7">
        <v>10052</v>
      </c>
      <c r="B10053" s="7">
        <v>1</v>
      </c>
      <c r="C10053" s="7" t="s">
        <v>10</v>
      </c>
      <c r="D10053" s="7">
        <v>11882</v>
      </c>
      <c r="E10053" s="7" t="s">
        <v>28</v>
      </c>
      <c r="F10053" s="8" t="str">
        <f ca="1">IFERROR(__xludf.DUMMYFUNCTION("IF
(
C10054=""фізична особа""
,
VLOOKUP(D10054,IMPORTRANGE(""https://docs.google.com/spreadsheets/d/14Bd19lYaqBhU8_DElYkX7l4wRkHqqCUFNJY4AfY3kHU/edit?usp=sharing  #gid=0"",""фіз особи new!relations_name""),6,FALSE)
,
(IF
(
C10054=""юридична особа""
,
VLOO"&amp;"KUP(D10054,IMPORTRANGE(""https://docs.google.com/spreadsheets/d/14Bd19lYaqBhU8_DElYkX7l4wRkHqqCUFNJY4AfY3kHU/edit?usp=sharing  #gid=0"",""фіз особи new!relations_name_uo""),7,FALSE)
,
)
))"),"АГІБАЛОВ Володимир Вікторович / Володимир")</f>
        <v>АГІБАЛОВ Володимир Вікторович / Володимир</v>
      </c>
      <c r="G10053" s="7" t="s">
        <v>10</v>
      </c>
      <c r="H10053" s="7">
        <v>8913</v>
      </c>
      <c r="I10053" s="8" t="str">
        <f ca="1">IFERROR(__xludf.DUMMYFUNCTION("IF
(
G10054=""фізична особа""
,
VLOOKUP(H10054,IMPORTRANGE(""https://docs.google.com/spreadsheets/d/14Bd19lYaqBhU8_DElYkX7l4wRkHqqCUFNJY4AfY3kHU/edit?usp=sharing  #gid=0"",""фіз особи new!relations_name""),6,FALSE)
,
(IF
(
G10054=""юридична особа""
,
VLOO"&amp;"KUP(H10054,IMPORTRANGE(""https://docs.google.com/spreadsheets/d/14Bd19lYaqBhU8_DElYkX7l4wRkHqqCUFNJY4AfY3kHU/edit?usp=sharing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3" s="7" t="s">
        <v>29</v>
      </c>
    </row>
    <row r="10054" spans="1:10" ht="13.2">
      <c r="A10054" s="7">
        <v>10053</v>
      </c>
      <c r="B10054" s="7">
        <v>1</v>
      </c>
      <c r="C10054" s="7" t="s">
        <v>10</v>
      </c>
      <c r="D10054" s="7">
        <v>11883</v>
      </c>
      <c r="E10054" s="7" t="s">
        <v>28</v>
      </c>
      <c r="F10054" s="8" t="str">
        <f ca="1">IFERROR(__xludf.DUMMYFUNCTION("IF
(
C10055=""фізична особа""
,
VLOOKUP(D10055,IMPORTRANGE(""https://docs.google.com/spreadsheets/d/14Bd19lYaqBhU8_DElYkX7l4wRkHqqCUFNJY4AfY3kHU/edit?usp=sharing  #gid=0"",""фіз особи new!relations_name""),6,FALSE)
,
(IF
(
C10055=""юридична особа""
,
VLOO"&amp;"KUP(D10055,IMPORTRANGE(""https://docs.google.com/spreadsheets/d/14Bd19lYaqBhU8_DElYkX7l4wRkHqqCUFNJY4AfY3kHU/edit?usp=sharing  #gid=0"",""фіз особи new!relations_name_uo""),7,FALSE)
,
)
))"),"АГРІКОВ Василь Олександрович / Олександр")</f>
        <v>АГРІКОВ Василь Олександрович / Олександр</v>
      </c>
      <c r="G10054" s="7" t="s">
        <v>10</v>
      </c>
      <c r="H10054" s="7">
        <v>8913</v>
      </c>
      <c r="I10054" s="8" t="str">
        <f ca="1">IFERROR(__xludf.DUMMYFUNCTION("IF
(
G10055=""фізична особа""
,
VLOOKUP(H10055,IMPORTRANGE(""https://docs.google.com/spreadsheets/d/14Bd19lYaqBhU8_DElYkX7l4wRkHqqCUFNJY4AfY3kHU/edit?usp=sharing  #gid=0"",""фіз особи new!relations_name""),6,FALSE)
,
(IF
(
G10055=""юридична особа""
,
VLOO"&amp;"KUP(H10055,IMPORTRANGE(""https://docs.google.com/spreadsheets/d/14Bd19lYaqBhU8_DElYkX7l4wRkHqqCUFNJY4AfY3kHU/edit?usp=sharing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4" s="7" t="s">
        <v>29</v>
      </c>
    </row>
    <row r="10055" spans="1:10" ht="13.2">
      <c r="A10055" s="7">
        <v>10054</v>
      </c>
      <c r="B10055" s="7">
        <v>1</v>
      </c>
      <c r="C10055" s="7" t="s">
        <v>10</v>
      </c>
      <c r="D10055" s="7">
        <v>11884</v>
      </c>
      <c r="E10055" s="7" t="s">
        <v>28</v>
      </c>
      <c r="F10055" s="8" t="str">
        <f ca="1">IFERROR(__xludf.DUMMYFUNCTION("IF
(
C10056=""фізична особа""
,
VLOOKUP(D10056,IMPORTRANGE(""https://docs.google.com/spreadsheets/d/14Bd19lYaqBhU8_DElYkX7l4wRkHqqCUFNJY4AfY3kHU/edit?usp=sharing  #gid=0"",""фіз особи new!relations_name""),6,FALSE)
,
(IF
(
C10056=""юридична особа""
,
VLOO"&amp;"KUP(D10056,IMPORTRANGE(""https://docs.google.com/spreadsheets/d/14Bd19lYaqBhU8_DElYkX7l4wRkHqqCUFNJY4AfY3kHU/edit?usp=sharing  #gid=0"",""фіз особи new!relations_name_uo""),7,FALSE)
,
)
))"),"АЗІЗОВ Ігор Шамсуллаєвич / Антоній")</f>
        <v>АЗІЗОВ Ігор Шамсуллаєвич / Антоній</v>
      </c>
      <c r="G10055" s="7" t="s">
        <v>10</v>
      </c>
      <c r="H10055" s="7">
        <v>8913</v>
      </c>
      <c r="I10055" s="8" t="str">
        <f ca="1">IFERROR(__xludf.DUMMYFUNCTION("IF
(
G10056=""фізична особа""
,
VLOOKUP(H10056,IMPORTRANGE(""https://docs.google.com/spreadsheets/d/14Bd19lYaqBhU8_DElYkX7l4wRkHqqCUFNJY4AfY3kHU/edit?usp=sharing  #gid=0"",""фіз особи new!relations_name""),6,FALSE)
,
(IF
(
G10056=""юридична особа""
,
VLOO"&amp;"KUP(H10056,IMPORTRANGE(""https://docs.google.com/spreadsheets/d/14Bd19lYaqBhU8_DElYkX7l4wRkHqqCUFNJY4AfY3kHU/edit?usp=sharing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5" s="7" t="s">
        <v>29</v>
      </c>
    </row>
    <row r="10056" spans="1:10" ht="13.2">
      <c r="A10056" s="7">
        <v>10055</v>
      </c>
      <c r="B10056" s="7">
        <v>1</v>
      </c>
      <c r="C10056" s="7" t="s">
        <v>10</v>
      </c>
      <c r="D10056" s="7">
        <v>11885</v>
      </c>
      <c r="E10056" s="7" t="s">
        <v>28</v>
      </c>
      <c r="F10056" s="8" t="str">
        <f ca="1">IFERROR(__xludf.DUMMYFUNCTION("IF
(
C10057=""фізична особа""
,
VLOOKUP(D10057,IMPORTRANGE(""https://docs.google.com/spreadsheets/d/14Bd19lYaqBhU8_DElYkX7l4wRkHqqCUFNJY4AfY3kHU/edit?usp=sharing  #gid=0"",""фіз особи new!relations_name""),6,FALSE)
,
(IF
(
C10057=""юридична особа""
,
VLOO"&amp;"KUP(D10057,IMPORTRANGE(""https://docs.google.com/spreadsheets/d/14Bd19lYaqBhU8_DElYkX7l4wRkHqqCUFNJY4AfY3kHU/edit?usp=sharing  #gid=0"",""фіз особи new!relations_name_uo""),7,FALSE)
,
)
))"),"АЛФЄЄВ Григорій Валерійович / Іларіон")</f>
        <v>АЛФЄЄВ Григорій Валерійович / Іларіон</v>
      </c>
      <c r="G10056" s="7" t="s">
        <v>10</v>
      </c>
      <c r="H10056" s="7">
        <v>8913</v>
      </c>
      <c r="I10056" s="8" t="str">
        <f ca="1">IFERROR(__xludf.DUMMYFUNCTION("IF
(
G10057=""фізична особа""
,
VLOOKUP(H10057,IMPORTRANGE(""https://docs.google.com/spreadsheets/d/14Bd19lYaqBhU8_DElYkX7l4wRkHqqCUFNJY4AfY3kHU/edit?usp=sharing  #gid=0"",""фіз особи new!relations_name""),6,FALSE)
,
(IF
(
G10057=""юридична особа""
,
VLOO"&amp;"KUP(H10057,IMPORTRANGE(""https://docs.google.com/spreadsheets/d/14Bd19lYaqBhU8_DElYkX7l4wRkHqqCUFNJY4AfY3kHU/edit?usp=sharing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6" s="7" t="s">
        <v>29</v>
      </c>
    </row>
    <row r="10057" spans="1:10" ht="13.2">
      <c r="A10057" s="7">
        <v>10056</v>
      </c>
      <c r="B10057" s="7">
        <v>1</v>
      </c>
      <c r="C10057" s="7" t="s">
        <v>10</v>
      </c>
      <c r="D10057" s="7">
        <v>11886</v>
      </c>
      <c r="E10057" s="7" t="s">
        <v>28</v>
      </c>
      <c r="F10057" s="8" t="str">
        <f ca="1">IFERROR(__xludf.DUMMYFUNCTION("IF
(
C10058=""фізична особа""
,
VLOOKUP(D10058,IMPORTRANGE(""https://docs.google.com/spreadsheets/d/14Bd19lYaqBhU8_DElYkX7l4wRkHqqCUFNJY4AfY3kHU/edit?usp=sharing  #gid=0"",""фіз особи new!relations_name""),6,FALSE)
,
(IF
(
C10058=""юридична особа""
,
VLOO"&amp;"KUP(D10058,IMPORTRANGE(""https://docs.google.com/spreadsheets/d/14Bd19lYaqBhU8_DElYkX7l4wRkHqqCUFNJY4AfY3kHU/edit?usp=sharing  #gid=0"",""фіз особи new!relations_name_uo""),7,FALSE)
,
)
))"),"АМЕЛЬЧЕНКО Володимир Леонідович / Серафим")</f>
        <v>АМЕЛЬЧЕНКО Володимир Леонідович / Серафим</v>
      </c>
      <c r="G10057" s="7" t="s">
        <v>10</v>
      </c>
      <c r="H10057" s="7">
        <v>8913</v>
      </c>
      <c r="I10057" s="8" t="str">
        <f ca="1">IFERROR(__xludf.DUMMYFUNCTION("IF
(
G10058=""фізична особа""
,
VLOOKUP(H10058,IMPORTRANGE(""https://docs.google.com/spreadsheets/d/14Bd19lYaqBhU8_DElYkX7l4wRkHqqCUFNJY4AfY3kHU/edit?usp=sharing  #gid=0"",""фіз особи new!relations_name""),6,FALSE)
,
(IF
(
G10058=""юридична особа""
,
VLOO"&amp;"KUP(H10058,IMPORTRANGE(""https://docs.google.com/spreadsheets/d/14Bd19lYaqBhU8_DElYkX7l4wRkHqqCUFNJY4AfY3kHU/edit?usp=sharing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7" s="7" t="s">
        <v>29</v>
      </c>
    </row>
    <row r="10058" spans="1:10" ht="13.2">
      <c r="A10058" s="7">
        <v>10057</v>
      </c>
      <c r="B10058" s="7">
        <v>1</v>
      </c>
      <c r="C10058" s="7" t="s">
        <v>10</v>
      </c>
      <c r="D10058" s="7">
        <v>11887</v>
      </c>
      <c r="E10058" s="7" t="s">
        <v>28</v>
      </c>
      <c r="F10058" s="8" t="str">
        <f ca="1">IFERROR(__xludf.DUMMYFUNCTION("IF
(
C10059=""фізична особа""
,
VLOOKUP(D10059,IMPORTRANGE(""https://docs.google.com/spreadsheets/d/14Bd19lYaqBhU8_DElYkX7l4wRkHqqCUFNJY4AfY3kHU/edit?usp=sharing  #gid=0"",""фіз особи new!relations_name""),6,FALSE)
,
(IF
(
C10059=""юридична особа""
,
VLOO"&amp;"KUP(D10059,IMPORTRANGE(""https://docs.google.com/spreadsheets/d/14Bd19lYaqBhU8_DElYkX7l4wRkHqqCUFNJY4AfY3kHU/edit?usp=sharing  #gid=0"",""фіз особи new!relations_name_uo""),7,FALSE)
,
)
))"),"АНАН'ЄВ Олег Володимирович / Микита")</f>
        <v>АНАН'ЄВ Олег Володимирович / Микита</v>
      </c>
      <c r="G10058" s="7" t="s">
        <v>10</v>
      </c>
      <c r="H10058" s="7">
        <v>8913</v>
      </c>
      <c r="I10058" s="8" t="str">
        <f ca="1">IFERROR(__xludf.DUMMYFUNCTION("IF
(
G10059=""фізична особа""
,
VLOOKUP(H10059,IMPORTRANGE(""https://docs.google.com/spreadsheets/d/14Bd19lYaqBhU8_DElYkX7l4wRkHqqCUFNJY4AfY3kHU/edit?usp=sharing  #gid=0"",""фіз особи new!relations_name""),6,FALSE)
,
(IF
(
G10059=""юридична особа""
,
VLOO"&amp;"KUP(H10059,IMPORTRANGE(""https://docs.google.com/spreadsheets/d/14Bd19lYaqBhU8_DElYkX7l4wRkHqqCUFNJY4AfY3kHU/edit?usp=sharing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8" s="7" t="s">
        <v>29</v>
      </c>
    </row>
    <row r="10059" spans="1:10" ht="13.2">
      <c r="A10059" s="7">
        <v>10058</v>
      </c>
      <c r="B10059" s="7">
        <v>1</v>
      </c>
      <c r="C10059" s="7" t="s">
        <v>10</v>
      </c>
      <c r="D10059" s="7">
        <v>11888</v>
      </c>
      <c r="E10059" s="7" t="s">
        <v>28</v>
      </c>
      <c r="F10059" s="8" t="str">
        <f ca="1">IFERROR(__xludf.DUMMYFUNCTION("IF
(
C10060=""фізична особа""
,
VLOOKUP(D10060,IMPORTRANGE(""https://docs.google.com/spreadsheets/d/14Bd19lYaqBhU8_DElYkX7l4wRkHqqCUFNJY4AfY3kHU/edit?usp=sharing  #gid=0"",""фіз особи new!relations_name""),6,FALSE)
,
(IF
(
C10060=""юридична особа""
,
VLOO"&amp;"KUP(D10060,IMPORTRANGE(""https://docs.google.com/spreadsheets/d/14Bd19lYaqBhU8_DElYkX7l4wRkHqqCUFNJY4AfY3kHU/edit?usp=sharing  #gid=0"",""фіз особи new!relations_name_uo""),7,FALSE)
,
)
))"),"ДЯЧИНА Михайло Валеріанович / Мстислав")</f>
        <v>ДЯЧИНА Михайло Валеріанович / Мстислав</v>
      </c>
      <c r="G10059" s="7" t="s">
        <v>10</v>
      </c>
      <c r="H10059" s="7">
        <v>8913</v>
      </c>
      <c r="I10059" s="8" t="str">
        <f ca="1">IFERROR(__xludf.DUMMYFUNCTION("IF
(
G10060=""фізична особа""
,
VLOOKUP(H10060,IMPORTRANGE(""https://docs.google.com/spreadsheets/d/14Bd19lYaqBhU8_DElYkX7l4wRkHqqCUFNJY4AfY3kHU/edit?usp=sharing  #gid=0"",""фіз особи new!relations_name""),6,FALSE)
,
(IF
(
G10060=""юридична особа""
,
VLOO"&amp;"KUP(H10060,IMPORTRANGE(""https://docs.google.com/spreadsheets/d/14Bd19lYaqBhU8_DElYkX7l4wRkHqqCUFNJY4AfY3kHU/edit?usp=sharing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59" s="7" t="s">
        <v>29</v>
      </c>
    </row>
    <row r="10060" spans="1:10" ht="13.2">
      <c r="A10060" s="7">
        <v>10059</v>
      </c>
      <c r="B10060" s="7">
        <v>1</v>
      </c>
      <c r="C10060" s="7" t="s">
        <v>10</v>
      </c>
      <c r="D10060" s="7">
        <v>11889</v>
      </c>
      <c r="E10060" s="7" t="s">
        <v>28</v>
      </c>
      <c r="F10060" s="8" t="str">
        <f ca="1">IFERROR(__xludf.DUMMYFUNCTION("IF
(
C10061=""фізична особа""
,
VLOOKUP(D10061,IMPORTRANGE(""https://docs.google.com/spreadsheets/d/14Bd19lYaqBhU8_DElYkX7l4wRkHqqCUFNJY4AfY3kHU/edit?usp=sharing  #gid=0"",""фіз особи new!relations_name""),6,FALSE)
,
(IF
(
C10061=""юридична особа""
,
VLOO"&amp;"KUP(D10061,IMPORTRANGE(""https://docs.google.com/spreadsheets/d/14Bd19lYaqBhU8_DElYkX7l4wRkHqqCUFNJY4AfY3kHU/edit?usp=sharing  #gid=0"",""фіз особи new!relations_name_uo""),7,FALSE)
,
)
))"),"ЄВТІХЄЄВ Іван Володимирович / Фотій")</f>
        <v>ЄВТІХЄЄВ Іван Володимирович / Фотій</v>
      </c>
      <c r="G10060" s="7" t="s">
        <v>10</v>
      </c>
      <c r="H10060" s="7">
        <v>8913</v>
      </c>
      <c r="I10060" s="8" t="str">
        <f ca="1">IFERROR(__xludf.DUMMYFUNCTION("IF
(
G10061=""фізична особа""
,
VLOOKUP(H10061,IMPORTRANGE(""https://docs.google.com/spreadsheets/d/14Bd19lYaqBhU8_DElYkX7l4wRkHqqCUFNJY4AfY3kHU/edit?usp=sharing  #gid=0"",""фіз особи new!relations_name""),6,FALSE)
,
(IF
(
G10061=""юридична особа""
,
VLOO"&amp;"KUP(H10061,IMPORTRANGE(""https://docs.google.com/spreadsheets/d/14Bd19lYaqBhU8_DElYkX7l4wRkHqqCUFNJY4AfY3kHU/edit?usp=sharing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0" s="7" t="s">
        <v>29</v>
      </c>
    </row>
    <row r="10061" spans="1:10" ht="13.2">
      <c r="A10061" s="7">
        <v>10060</v>
      </c>
      <c r="B10061" s="7">
        <v>1</v>
      </c>
      <c r="C10061" s="7" t="s">
        <v>10</v>
      </c>
      <c r="D10061" s="7">
        <v>11890</v>
      </c>
      <c r="E10061" s="7" t="s">
        <v>28</v>
      </c>
      <c r="F10061" s="8" t="str">
        <f ca="1">IFERROR(__xludf.DUMMYFUNCTION("IF
(
C10062=""фізична особа""
,
VLOOKUP(D10062,IMPORTRANGE(""https://docs.google.com/spreadsheets/d/14Bd19lYaqBhU8_DElYkX7l4wRkHqqCUFNJY4AfY3kHU/edit?usp=sharing  #gid=0"",""фіз особи new!relations_name""),6,FALSE)
,
(IF
(
C10062=""юридична особа""
,
VLOO"&amp;"KUP(D10062,IMPORTRANGE(""https://docs.google.com/spreadsheets/d/14Bd19lYaqBhU8_DElYkX7l4wRkHqqCUFNJY4AfY3kHU/edit?usp=sharing  #gid=0"",""фіз особи new!relations_name_uo""),7,FALSE)
,
)
))"),"ЄЛІСЄЄВ Віталій Вікторович / Димитрій")</f>
        <v>ЄЛІСЄЄВ Віталій Вікторович / Димитрій</v>
      </c>
      <c r="G10061" s="7" t="s">
        <v>10</v>
      </c>
      <c r="H10061" s="7">
        <v>8913</v>
      </c>
      <c r="I10061" s="8" t="str">
        <f ca="1">IFERROR(__xludf.DUMMYFUNCTION("IF
(
G10062=""фізична особа""
,
VLOOKUP(H10062,IMPORTRANGE(""https://docs.google.com/spreadsheets/d/14Bd19lYaqBhU8_DElYkX7l4wRkHqqCUFNJY4AfY3kHU/edit?usp=sharing  #gid=0"",""фіз особи new!relations_name""),6,FALSE)
,
(IF
(
G10062=""юридична особа""
,
VLOO"&amp;"KUP(H10062,IMPORTRANGE(""https://docs.google.com/spreadsheets/d/14Bd19lYaqBhU8_DElYkX7l4wRkHqqCUFNJY4AfY3kHU/edit?usp=sharing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1" s="7" t="s">
        <v>29</v>
      </c>
    </row>
    <row r="10062" spans="1:10" ht="13.2">
      <c r="A10062" s="7">
        <v>10061</v>
      </c>
      <c r="B10062" s="7">
        <v>1</v>
      </c>
      <c r="C10062" s="7" t="s">
        <v>10</v>
      </c>
      <c r="D10062" s="7">
        <v>11891</v>
      </c>
      <c r="E10062" s="7" t="s">
        <v>28</v>
      </c>
      <c r="F10062" s="8" t="str">
        <f ca="1">IFERROR(__xludf.DUMMYFUNCTION("IF
(
C10063=""фізична особа""
,
VLOOKUP(D10063,IMPORTRANGE(""https://docs.google.com/spreadsheets/d/14Bd19lYaqBhU8_DElYkX7l4wRkHqqCUFNJY4AfY3kHU/edit?usp=sharing  #gid=0"",""фіз особи new!relations_name""),6,FALSE)
,
(IF
(
C10063=""юридична особа""
,
VLOO"&amp;"KUP(D10063,IMPORTRANGE(""https://docs.google.com/spreadsheets/d/14Bd19lYaqBhU8_DElYkX7l4wRkHqqCUFNJY4AfY3kHU/edit?usp=sharing  #gid=0"",""фіз особи new!relations_name_uo""),7,FALSE)
,
)
))"),"ЄМЕЛЬЯНОВ Леонід Григорович / Тихон")</f>
        <v>ЄМЕЛЬЯНОВ Леонід Григорович / Тихон</v>
      </c>
      <c r="G10062" s="7" t="s">
        <v>10</v>
      </c>
      <c r="H10062" s="7">
        <v>8913</v>
      </c>
      <c r="I10062" s="8" t="str">
        <f ca="1">IFERROR(__xludf.DUMMYFUNCTION("IF
(
G10063=""фізична особа""
,
VLOOKUP(H10063,IMPORTRANGE(""https://docs.google.com/spreadsheets/d/14Bd19lYaqBhU8_DElYkX7l4wRkHqqCUFNJY4AfY3kHU/edit?usp=sharing  #gid=0"",""фіз особи new!relations_name""),6,FALSE)
,
(IF
(
G10063=""юридична особа""
,
VLOO"&amp;"KUP(H10063,IMPORTRANGE(""https://docs.google.com/spreadsheets/d/14Bd19lYaqBhU8_DElYkX7l4wRkHqqCUFNJY4AfY3kHU/edit?usp=sharing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2" s="7" t="s">
        <v>29</v>
      </c>
    </row>
    <row r="10063" spans="1:10" ht="13.2">
      <c r="A10063" s="7">
        <v>10062</v>
      </c>
      <c r="B10063" s="7">
        <v>1</v>
      </c>
      <c r="C10063" s="7" t="s">
        <v>10</v>
      </c>
      <c r="D10063" s="7">
        <v>11892</v>
      </c>
      <c r="E10063" s="7" t="s">
        <v>28</v>
      </c>
      <c r="F10063" s="8" t="str">
        <f ca="1">IFERROR(__xludf.DUMMYFUNCTION("IF
(
C10064=""фізична особа""
,
VLOOKUP(D10064,IMPORTRANGE(""https://docs.google.com/spreadsheets/d/14Bd19lYaqBhU8_DElYkX7l4wRkHqqCUFNJY4AfY3kHU/edit?usp=sharing  #gid=0"",""фіз особи new!relations_name""),6,FALSE)
,
(IF
(
C10064=""юридична особа""
,
VLOO"&amp;"KUP(D10064,IMPORTRANGE(""https://docs.google.com/spreadsheets/d/14Bd19lYaqBhU8_DElYkX7l4wRkHqqCUFNJY4AfY3kHU/edit?usp=sharing  #gid=0"",""фіз особи new!relations_name_uo""),7,FALSE)
,
)
))"),"ЄПИФАНОВ Юрій Олександрович / Арсеній")</f>
        <v>ЄПИФАНОВ Юрій Олександрович / Арсеній</v>
      </c>
      <c r="G10063" s="7" t="s">
        <v>10</v>
      </c>
      <c r="H10063" s="7">
        <v>8913</v>
      </c>
      <c r="I10063" s="8" t="str">
        <f ca="1">IFERROR(__xludf.DUMMYFUNCTION("IF
(
G10064=""фізична особа""
,
VLOOKUP(H10064,IMPORTRANGE(""https://docs.google.com/spreadsheets/d/14Bd19lYaqBhU8_DElYkX7l4wRkHqqCUFNJY4AfY3kHU/edit?usp=sharing  #gid=0"",""фіз особи new!relations_name""),6,FALSE)
,
(IF
(
G10064=""юридична особа""
,
VLOO"&amp;"KUP(H10064,IMPORTRANGE(""https://docs.google.com/spreadsheets/d/14Bd19lYaqBhU8_DElYkX7l4wRkHqqCUFNJY4AfY3kHU/edit?usp=sharing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3" s="7" t="s">
        <v>29</v>
      </c>
    </row>
    <row r="10064" spans="1:10" ht="13.2">
      <c r="A10064" s="7">
        <v>10063</v>
      </c>
      <c r="B10064" s="7">
        <v>1</v>
      </c>
      <c r="C10064" s="7" t="s">
        <v>10</v>
      </c>
      <c r="D10064" s="7">
        <v>11893</v>
      </c>
      <c r="E10064" s="7" t="s">
        <v>28</v>
      </c>
      <c r="F10064" s="8" t="str">
        <f ca="1">IFERROR(__xludf.DUMMYFUNCTION("IF
(
C10065=""фізична особа""
,
VLOOKUP(D10065,IMPORTRANGE(""https://docs.google.com/spreadsheets/d/14Bd19lYaqBhU8_DElYkX7l4wRkHqqCUFNJY4AfY3kHU/edit?usp=sharing  #gid=0"",""фіз особи new!relations_name""),6,FALSE)
,
(IF
(
C10065=""юридична особа""
,
VLOO"&amp;"KUP(D10065,IMPORTRANGE(""https://docs.google.com/spreadsheets/d/14Bd19lYaqBhU8_DElYkX7l4wRkHqqCUFNJY4AfY3kHU/edit?usp=sharing  #gid=0"",""фіз особи new!relations_name_uo""),7,FALSE)
,
)
))"),"ЄРМАКОВ Віталій Анатолійович / Амвросій")</f>
        <v>ЄРМАКОВ Віталій Анатолійович / Амвросій</v>
      </c>
      <c r="G10064" s="7" t="s">
        <v>10</v>
      </c>
      <c r="H10064" s="7">
        <v>8913</v>
      </c>
      <c r="I10064" s="8" t="str">
        <f ca="1">IFERROR(__xludf.DUMMYFUNCTION("IF
(
G10065=""фізична особа""
,
VLOOKUP(H10065,IMPORTRANGE(""https://docs.google.com/spreadsheets/d/14Bd19lYaqBhU8_DElYkX7l4wRkHqqCUFNJY4AfY3kHU/edit?usp=sharing  #gid=0"",""фіз особи new!relations_name""),6,FALSE)
,
(IF
(
G10065=""юридична особа""
,
VLOO"&amp;"KUP(H10065,IMPORTRANGE(""https://docs.google.com/spreadsheets/d/14Bd19lYaqBhU8_DElYkX7l4wRkHqqCUFNJY4AfY3kHU/edit?usp=sharing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4" s="7" t="s">
        <v>29</v>
      </c>
    </row>
    <row r="10065" spans="1:10" ht="13.2">
      <c r="A10065" s="7">
        <v>10064</v>
      </c>
      <c r="B10065" s="7">
        <v>1</v>
      </c>
      <c r="C10065" s="7" t="s">
        <v>10</v>
      </c>
      <c r="D10065" s="7">
        <v>11894</v>
      </c>
      <c r="E10065" s="7" t="s">
        <v>28</v>
      </c>
      <c r="F10065" s="8" t="str">
        <f ca="1">IFERROR(__xludf.DUMMYFUNCTION("IF
(
C10066=""фізична особа""
,
VLOOKUP(D10066,IMPORTRANGE(""https://docs.google.com/spreadsheets/d/14Bd19lYaqBhU8_DElYkX7l4wRkHqqCUFNJY4AfY3kHU/edit?usp=sharing  #gid=0"",""фіз особи new!relations_name""),6,FALSE)
,
(IF
(
C10066=""юридична особа""
,
VLOO"&amp;"KUP(D10066,IMPORTRANGE(""https://docs.google.com/spreadsheets/d/14Bd19lYaqBhU8_DElYkX7l4wRkHqqCUFNJY4AfY3kHU/edit?usp=sharing  #gid=0"",""фіз особи new!relations_name_uo""),7,FALSE)
,
)
))"),"ЗАГРЕБЕЛЬНИЙ Сергій Миколайович / Савватій")</f>
        <v>ЗАГРЕБЕЛЬНИЙ Сергій Миколайович / Савватій</v>
      </c>
      <c r="G10065" s="7" t="s">
        <v>10</v>
      </c>
      <c r="H10065" s="7">
        <v>8913</v>
      </c>
      <c r="I10065" s="8" t="str">
        <f ca="1">IFERROR(__xludf.DUMMYFUNCTION("IF
(
G10066=""фізична особа""
,
VLOOKUP(H10066,IMPORTRANGE(""https://docs.google.com/spreadsheets/d/14Bd19lYaqBhU8_DElYkX7l4wRkHqqCUFNJY4AfY3kHU/edit?usp=sharing  #gid=0"",""фіз особи new!relations_name""),6,FALSE)
,
(IF
(
G10066=""юридична особа""
,
VLOO"&amp;"KUP(H10066,IMPORTRANGE(""https://docs.google.com/spreadsheets/d/14Bd19lYaqBhU8_DElYkX7l4wRkHqqCUFNJY4AfY3kHU/edit?usp=sharing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5" s="7" t="s">
        <v>29</v>
      </c>
    </row>
    <row r="10066" spans="1:10" ht="13.2">
      <c r="A10066" s="7">
        <v>10065</v>
      </c>
      <c r="B10066" s="7">
        <v>1</v>
      </c>
      <c r="C10066" s="7" t="s">
        <v>10</v>
      </c>
      <c r="D10066" s="7">
        <v>11895</v>
      </c>
      <c r="E10066" s="7" t="s">
        <v>28</v>
      </c>
      <c r="F10066" s="8" t="str">
        <f ca="1">IFERROR(__xludf.DUMMYFUNCTION("IF
(
C10067=""фізична особа""
,
VLOOKUP(D10067,IMPORTRANGE(""https://docs.google.com/spreadsheets/d/14Bd19lYaqBhU8_DElYkX7l4wRkHqqCUFNJY4AfY3kHU/edit?usp=sharing  #gid=0"",""фіз особи new!relations_name""),6,FALSE)
,
(IF
(
C10067=""юридична особа""
,
VLOO"&amp;"KUP(D10067,IMPORTRANGE(""https://docs.google.com/spreadsheets/d/14Bd19lYaqBhU8_DElYkX7l4wRkHqqCUFNJY4AfY3kHU/edit?usp=sharing  #gid=0"",""фіз особи new!relations_name_uo""),7,FALSE)
,
)
))"),"ЗАЙЦЕВ Олександр Анатолійович / Олександр")</f>
        <v>ЗАЙЦЕВ Олександр Анатолійович / Олександр</v>
      </c>
      <c r="G10066" s="7" t="s">
        <v>10</v>
      </c>
      <c r="H10066" s="7">
        <v>8913</v>
      </c>
      <c r="I10066" s="8" t="str">
        <f ca="1">IFERROR(__xludf.DUMMYFUNCTION("IF
(
G10067=""фізична особа""
,
VLOOKUP(H10067,IMPORTRANGE(""https://docs.google.com/spreadsheets/d/14Bd19lYaqBhU8_DElYkX7l4wRkHqqCUFNJY4AfY3kHU/edit?usp=sharing  #gid=0"",""фіз особи new!relations_name""),6,FALSE)
,
(IF
(
G10067=""юридична особа""
,
VLOO"&amp;"KUP(H10067,IMPORTRANGE(""https://docs.google.com/spreadsheets/d/14Bd19lYaqBhU8_DElYkX7l4wRkHqqCUFNJY4AfY3kHU/edit?usp=sharing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6" s="7" t="s">
        <v>29</v>
      </c>
    </row>
    <row r="10067" spans="1:10" ht="13.2">
      <c r="A10067" s="7">
        <v>10066</v>
      </c>
      <c r="B10067" s="7">
        <v>1</v>
      </c>
      <c r="C10067" s="7" t="s">
        <v>10</v>
      </c>
      <c r="D10067" s="7">
        <v>11896</v>
      </c>
      <c r="E10067" s="7" t="s">
        <v>28</v>
      </c>
      <c r="F10067" s="8" t="str">
        <f ca="1">IFERROR(__xludf.DUMMYFUNCTION("IF
(
C10068=""фізична особа""
,
VLOOKUP(D10068,IMPORTRANGE(""https://docs.google.com/spreadsheets/d/14Bd19lYaqBhU8_DElYkX7l4wRkHqqCUFNJY4AfY3kHU/edit?usp=sharing  #gid=0"",""фіз особи new!relations_name""),6,FALSE)
,
(IF
(
C10068=""юридична особа""
,
VLOO"&amp;"KUP(D10068,IMPORTRANGE(""https://docs.google.com/spreadsheets/d/14Bd19lYaqBhU8_DElYkX7l4wRkHqqCUFNJY4AfY3kHU/edit?usp=sharing  #gid=0"",""фіз особи new!relations_name_uo""),7,FALSE)
,
)
))"),"ЗАЙЦЕВ Дмитро Анатолійович / Мефодій")</f>
        <v>ЗАЙЦЕВ Дмитро Анатолійович / Мефодій</v>
      </c>
      <c r="G10067" s="7" t="s">
        <v>10</v>
      </c>
      <c r="H10067" s="7">
        <v>8913</v>
      </c>
      <c r="I10067" s="8" t="str">
        <f ca="1">IFERROR(__xludf.DUMMYFUNCTION("IF
(
G10068=""фізична особа""
,
VLOOKUP(H10068,IMPORTRANGE(""https://docs.google.com/spreadsheets/d/14Bd19lYaqBhU8_DElYkX7l4wRkHqqCUFNJY4AfY3kHU/edit?usp=sharing  #gid=0"",""фіз особи new!relations_name""),6,FALSE)
,
(IF
(
G10068=""юридична особа""
,
VLOO"&amp;"KUP(H10068,IMPORTRANGE(""https://docs.google.com/spreadsheets/d/14Bd19lYaqBhU8_DElYkX7l4wRkHqqCUFNJY4AfY3kHU/edit?usp=sharing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7" s="7" t="s">
        <v>29</v>
      </c>
    </row>
    <row r="10068" spans="1:10" ht="13.2">
      <c r="A10068" s="7">
        <v>10067</v>
      </c>
      <c r="B10068" s="7">
        <v>1</v>
      </c>
      <c r="C10068" s="7" t="s">
        <v>10</v>
      </c>
      <c r="D10068" s="7">
        <v>11897</v>
      </c>
      <c r="E10068" s="7" t="s">
        <v>28</v>
      </c>
      <c r="F10068" s="8" t="str">
        <f ca="1">IFERROR(__xludf.DUMMYFUNCTION("IF
(
C10069=""фізична особа""
,
VLOOKUP(D10069,IMPORTRANGE(""https://docs.google.com/spreadsheets/d/14Bd19lYaqBhU8_DElYkX7l4wRkHqqCUFNJY4AfY3kHU/edit?usp=sharing  #gid=0"",""фіз особи new!relations_name""),6,FALSE)
,
(IF
(
C10069=""юридична особа""
,
VLOO"&amp;"KUP(D10069,IMPORTRANGE(""https://docs.google.com/spreadsheets/d/14Bd19lYaqBhU8_DElYkX7l4wRkHqqCUFNJY4AfY3kHU/edit?usp=sharing  #gid=0"",""фіз особи new!relations_name_uo""),7,FALSE)
,
)
))"),"ЗАРИЦЬКИЙ Володимир Миколайович / Веніамін")</f>
        <v>ЗАРИЦЬКИЙ Володимир Миколайович / Веніамін</v>
      </c>
      <c r="G10068" s="7" t="s">
        <v>10</v>
      </c>
      <c r="H10068" s="7">
        <v>8913</v>
      </c>
      <c r="I10068" s="8" t="str">
        <f ca="1">IFERROR(__xludf.DUMMYFUNCTION("IF
(
G10069=""фізична особа""
,
VLOOKUP(H10069,IMPORTRANGE(""https://docs.google.com/spreadsheets/d/14Bd19lYaqBhU8_DElYkX7l4wRkHqqCUFNJY4AfY3kHU/edit?usp=sharing  #gid=0"",""фіз особи new!relations_name""),6,FALSE)
,
(IF
(
G10069=""юридична особа""
,
VLOO"&amp;"KUP(H10069,IMPORTRANGE(""https://docs.google.com/spreadsheets/d/14Bd19lYaqBhU8_DElYkX7l4wRkHqqCUFNJY4AfY3kHU/edit?usp=sharing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8" s="7" t="s">
        <v>29</v>
      </c>
    </row>
    <row r="10069" spans="1:10" ht="13.2">
      <c r="A10069" s="7">
        <v>10068</v>
      </c>
      <c r="B10069" s="7">
        <v>1</v>
      </c>
      <c r="C10069" s="7" t="s">
        <v>10</v>
      </c>
      <c r="D10069" s="7">
        <v>11898</v>
      </c>
      <c r="E10069" s="7" t="s">
        <v>28</v>
      </c>
      <c r="F10069" s="8" t="str">
        <f ca="1">IFERROR(__xludf.DUMMYFUNCTION("IF
(
C10070=""фізична особа""
,
VLOOKUP(D10070,IMPORTRANGE(""https://docs.google.com/spreadsheets/d/14Bd19lYaqBhU8_DElYkX7l4wRkHqqCUFNJY4AfY3kHU/edit?usp=sharing  #gid=0"",""фіз особи new!relations_name""),6,FALSE)
,
(IF
(
C10070=""юридична особа""
,
VLOO"&amp;"KUP(D10070,IMPORTRANGE(""https://docs.google.com/spreadsheets/d/14Bd19lYaqBhU8_DElYkX7l4wRkHqqCUFNJY4AfY3kHU/edit?usp=sharing  #gid=0"",""фіз особи new!relations_name_uo""),7,FALSE)
,
)
))"),"ЗЯТЬКОВ Сергій Анатолійович / Сергій")</f>
        <v>ЗЯТЬКОВ Сергій Анатолійович / Сергій</v>
      </c>
      <c r="G10069" s="7" t="s">
        <v>10</v>
      </c>
      <c r="H10069" s="7">
        <v>8913</v>
      </c>
      <c r="I10069" s="8" t="str">
        <f ca="1">IFERROR(__xludf.DUMMYFUNCTION("IF
(
G10070=""фізична особа""
,
VLOOKUP(H10070,IMPORTRANGE(""https://docs.google.com/spreadsheets/d/14Bd19lYaqBhU8_DElYkX7l4wRkHqqCUFNJY4AfY3kHU/edit?usp=sharing  #gid=0"",""фіз особи new!relations_name""),6,FALSE)
,
(IF
(
G10070=""юридична особа""
,
VLOO"&amp;"KUP(H10070,IMPORTRANGE(""https://docs.google.com/spreadsheets/d/14Bd19lYaqBhU8_DElYkX7l4wRkHqqCUFNJY4AfY3kHU/edit?usp=sharing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69" s="7" t="s">
        <v>29</v>
      </c>
    </row>
    <row r="10070" spans="1:10" ht="13.2">
      <c r="A10070" s="7">
        <v>10069</v>
      </c>
      <c r="B10070" s="7">
        <v>1</v>
      </c>
      <c r="C10070" s="7" t="s">
        <v>10</v>
      </c>
      <c r="D10070" s="7">
        <v>11899</v>
      </c>
      <c r="E10070" s="7" t="s">
        <v>28</v>
      </c>
      <c r="F10070" s="8" t="str">
        <f ca="1">IFERROR(__xludf.DUMMYFUNCTION("IF
(
C10071=""фізична особа""
,
VLOOKUP(D10071,IMPORTRANGE(""https://docs.google.com/spreadsheets/d/14Bd19lYaqBhU8_DElYkX7l4wRkHqqCUFNJY4AfY3kHU/edit?usp=sharing  #gid=0"",""фіз особи new!relations_name""),6,FALSE)
,
(IF
(
C10071=""юридична особа""
,
VLOO"&amp;"KUP(D10071,IMPORTRANGE(""https://docs.google.com/spreadsheets/d/14Bd19lYaqBhU8_DElYkX7l4wRkHqqCUFNJY4AfY3kHU/edit?usp=sharing  #gid=0"",""фіз особи new!relations_name_uo""),7,FALSE)
,
)
))"),"ІВАННИКОВ Сергій Іванович / Сергій")</f>
        <v>ІВАННИКОВ Сергій Іванович / Сергій</v>
      </c>
      <c r="G10070" s="7" t="s">
        <v>10</v>
      </c>
      <c r="H10070" s="7">
        <v>8913</v>
      </c>
      <c r="I10070" s="8" t="str">
        <f ca="1">IFERROR(__xludf.DUMMYFUNCTION("IF
(
G10071=""фізична особа""
,
VLOOKUP(H10071,IMPORTRANGE(""https://docs.google.com/spreadsheets/d/14Bd19lYaqBhU8_DElYkX7l4wRkHqqCUFNJY4AfY3kHU/edit?usp=sharing  #gid=0"",""фіз особи new!relations_name""),6,FALSE)
,
(IF
(
G10071=""юридична особа""
,
VLOO"&amp;"KUP(H10071,IMPORTRANGE(""https://docs.google.com/spreadsheets/d/14Bd19lYaqBhU8_DElYkX7l4wRkHqqCUFNJY4AfY3kHU/edit?usp=sharing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0" s="7" t="s">
        <v>29</v>
      </c>
    </row>
    <row r="10071" spans="1:10" ht="13.2">
      <c r="A10071" s="7">
        <v>10070</v>
      </c>
      <c r="B10071" s="7">
        <v>1</v>
      </c>
      <c r="C10071" s="7" t="s">
        <v>10</v>
      </c>
      <c r="D10071" s="7">
        <v>11900</v>
      </c>
      <c r="E10071" s="7" t="s">
        <v>28</v>
      </c>
      <c r="F10071" s="8" t="str">
        <f ca="1">IFERROR(__xludf.DUMMYFUNCTION("IF
(
C10072=""фізична особа""
,
VLOOKUP(D10072,IMPORTRANGE(""https://docs.google.com/spreadsheets/d/14Bd19lYaqBhU8_DElYkX7l4wRkHqqCUFNJY4AfY3kHU/edit?usp=sharing  #gid=0"",""фіз особи new!relations_name""),6,FALSE)
,
(IF
(
C10072=""юридична особа""
,
VLOO"&amp;"KUP(D10072,IMPORTRANGE(""https://docs.google.com/spreadsheets/d/14Bd19lYaqBhU8_DElYkX7l4wRkHqqCUFNJY4AfY3kHU/edit?usp=sharing  #gid=0"",""фіз особи new!relations_name_uo""),7,FALSE)
,
)
))"),"ІВАНОВ Ігор Володимирович / Меркурій")</f>
        <v>ІВАНОВ Ігор Володимирович / Меркурій</v>
      </c>
      <c r="G10071" s="7" t="s">
        <v>10</v>
      </c>
      <c r="H10071" s="7">
        <v>8913</v>
      </c>
      <c r="I10071" s="8" t="str">
        <f ca="1">IFERROR(__xludf.DUMMYFUNCTION("IF
(
G10072=""фізична особа""
,
VLOOKUP(H10072,IMPORTRANGE(""https://docs.google.com/spreadsheets/d/14Bd19lYaqBhU8_DElYkX7l4wRkHqqCUFNJY4AfY3kHU/edit?usp=sharing  #gid=0"",""фіз особи new!relations_name""),6,FALSE)
,
(IF
(
G10072=""юридична особа""
,
VLOO"&amp;"KUP(H10072,IMPORTRANGE(""https://docs.google.com/spreadsheets/d/14Bd19lYaqBhU8_DElYkX7l4wRkHqqCUFNJY4AfY3kHU/edit?usp=sharing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1" s="7" t="s">
        <v>29</v>
      </c>
    </row>
    <row r="10072" spans="1:10" ht="13.2">
      <c r="A10072" s="7">
        <v>10071</v>
      </c>
      <c r="B10072" s="7">
        <v>1</v>
      </c>
      <c r="C10072" s="7" t="s">
        <v>10</v>
      </c>
      <c r="D10072" s="7">
        <v>11901</v>
      </c>
      <c r="E10072" s="7" t="s">
        <v>28</v>
      </c>
      <c r="F10072" s="8" t="str">
        <f ca="1">IFERROR(__xludf.DUMMYFUNCTION("IF
(
C10073=""фізична особа""
,
VLOOKUP(D10073,IMPORTRANGE(""https://docs.google.com/spreadsheets/d/14Bd19lYaqBhU8_DElYkX7l4wRkHqqCUFNJY4AfY3kHU/edit?usp=sharing  #gid=0"",""фіз особи new!relations_name""),6,FALSE)
,
(IF
(
C10073=""юридична особа""
,
VLOO"&amp;"KUP(D10073,IMPORTRANGE(""https://docs.google.com/spreadsheets/d/14Bd19lYaqBhU8_DElYkX7l4wRkHqqCUFNJY4AfY3kHU/edit?usp=sharing  #gid=0"",""фіз особи new!relations_name_uo""),7,FALSE)
,
)
))"),"ІГУМНОВ Андрій Львович / Феоктист")</f>
        <v>ІГУМНОВ Андрій Львович / Феоктист</v>
      </c>
      <c r="G10072" s="7" t="s">
        <v>10</v>
      </c>
      <c r="H10072" s="7">
        <v>8913</v>
      </c>
      <c r="I10072" s="8" t="str">
        <f ca="1">IFERROR(__xludf.DUMMYFUNCTION("IF
(
G10073=""фізична особа""
,
VLOOKUP(H10073,IMPORTRANGE(""https://docs.google.com/spreadsheets/d/14Bd19lYaqBhU8_DElYkX7l4wRkHqqCUFNJY4AfY3kHU/edit?usp=sharing  #gid=0"",""фіз особи new!relations_name""),6,FALSE)
,
(IF
(
G10073=""юридична особа""
,
VLOO"&amp;"KUP(H10073,IMPORTRANGE(""https://docs.google.com/spreadsheets/d/14Bd19lYaqBhU8_DElYkX7l4wRkHqqCUFNJY4AfY3kHU/edit?usp=sharing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2" s="7" t="s">
        <v>29</v>
      </c>
    </row>
    <row r="10073" spans="1:10" ht="13.2">
      <c r="A10073" s="7">
        <v>10072</v>
      </c>
      <c r="B10073" s="7">
        <v>1</v>
      </c>
      <c r="C10073" s="7" t="s">
        <v>10</v>
      </c>
      <c r="D10073" s="7">
        <v>11902</v>
      </c>
      <c r="E10073" s="7" t="s">
        <v>28</v>
      </c>
      <c r="F10073" s="8" t="str">
        <f ca="1">IFERROR(__xludf.DUMMYFUNCTION("IF
(
C10074=""фізична особа""
,
VLOOKUP(D10074,IMPORTRANGE(""https://docs.google.com/spreadsheets/d/14Bd19lYaqBhU8_DElYkX7l4wRkHqqCUFNJY4AfY3kHU/edit?usp=sharing  #gid=0"",""фіз особи new!relations_name""),6,FALSE)
,
(IF
(
C10074=""юридична особа""
,
VLOO"&amp;"KUP(D10074,IMPORTRANGE(""https://docs.google.com/spreadsheets/d/14Bd19lYaqBhU8_DElYkX7l4wRkHqqCUFNJY4AfY3kHU/edit?usp=sharing  #gid=0"",""фіз особи new!relations_name_uo""),7,FALSE)
,
)
))"),"ІСАЄВ Дмитро Юрійович / Діодор")</f>
        <v>ІСАЄВ Дмитро Юрійович / Діодор</v>
      </c>
      <c r="G10073" s="7" t="s">
        <v>10</v>
      </c>
      <c r="H10073" s="7">
        <v>8913</v>
      </c>
      <c r="I10073" s="8" t="str">
        <f ca="1">IFERROR(__xludf.DUMMYFUNCTION("IF
(
G10074=""фізична особа""
,
VLOOKUP(H10074,IMPORTRANGE(""https://docs.google.com/spreadsheets/d/14Bd19lYaqBhU8_DElYkX7l4wRkHqqCUFNJY4AfY3kHU/edit?usp=sharing  #gid=0"",""фіз особи new!relations_name""),6,FALSE)
,
(IF
(
G10074=""юридична особа""
,
VLOO"&amp;"KUP(H10074,IMPORTRANGE(""https://docs.google.com/spreadsheets/d/14Bd19lYaqBhU8_DElYkX7l4wRkHqqCUFNJY4AfY3kHU/edit?usp=sharing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3" s="7" t="s">
        <v>29</v>
      </c>
    </row>
    <row r="10074" spans="1:10" ht="13.2">
      <c r="A10074" s="7">
        <v>10073</v>
      </c>
      <c r="B10074" s="7">
        <v>1</v>
      </c>
      <c r="C10074" s="7" t="s">
        <v>10</v>
      </c>
      <c r="D10074" s="7">
        <v>11903</v>
      </c>
      <c r="E10074" s="7" t="s">
        <v>28</v>
      </c>
      <c r="F10074" s="8" t="str">
        <f ca="1">IFERROR(__xludf.DUMMYFUNCTION("IF
(
C10075=""фізична особа""
,
VLOOKUP(D10075,IMPORTRANGE(""https://docs.google.com/spreadsheets/d/14Bd19lYaqBhU8_DElYkX7l4wRkHqqCUFNJY4AfY3kHU/edit?usp=sharing  #gid=0"",""фіз особи new!relations_name""),6,FALSE)
,
(IF
(
C10075=""юридична особа""
,
VLOO"&amp;"KUP(D10075,IMPORTRANGE(""https://docs.google.com/spreadsheets/d/14Bd19lYaqBhU8_DElYkX7l4wRkHqqCUFNJY4AfY3kHU/edit?usp=sharing  #gid=0"",""фіз особи new!relations_name_uo""),7,FALSE)
,
)
))"),"КАМАЛОВ Олексій Музаффарович")</f>
        <v>КАМАЛОВ Олексій Музаффарович</v>
      </c>
      <c r="G10074" s="7" t="s">
        <v>10</v>
      </c>
      <c r="H10074" s="7">
        <v>8913</v>
      </c>
      <c r="I10074" s="8" t="str">
        <f ca="1">IFERROR(__xludf.DUMMYFUNCTION("IF
(
G10075=""фізична особа""
,
VLOOKUP(H10075,IMPORTRANGE(""https://docs.google.com/spreadsheets/d/14Bd19lYaqBhU8_DElYkX7l4wRkHqqCUFNJY4AfY3kHU/edit?usp=sharing  #gid=0"",""фіз особи new!relations_name""),6,FALSE)
,
(IF
(
G10075=""юридична особа""
,
VLOO"&amp;"KUP(H10075,IMPORTRANGE(""https://docs.google.com/spreadsheets/d/14Bd19lYaqBhU8_DElYkX7l4wRkHqqCUFNJY4AfY3kHU/edit?usp=sharing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4" s="7" t="s">
        <v>29</v>
      </c>
    </row>
    <row r="10075" spans="1:10" ht="13.2">
      <c r="A10075" s="7">
        <v>10074</v>
      </c>
      <c r="B10075" s="7">
        <v>1</v>
      </c>
      <c r="C10075" s="7" t="s">
        <v>10</v>
      </c>
      <c r="D10075" s="7">
        <v>11904</v>
      </c>
      <c r="E10075" s="7" t="s">
        <v>28</v>
      </c>
      <c r="F10075" s="8" t="str">
        <f ca="1">IFERROR(__xludf.DUMMYFUNCTION("IF
(
C10076=""фізична особа""
,
VLOOKUP(D10076,IMPORTRANGE(""https://docs.google.com/spreadsheets/d/14Bd19lYaqBhU8_DElYkX7l4wRkHqqCUFNJY4AfY3kHU/edit?usp=sharing  #gid=0"",""фіз особи new!relations_name""),6,FALSE)
,
(IF
(
C10076=""юридична особа""
,
VLOO"&amp;"KUP(D10076,IMPORTRANGE(""https://docs.google.com/spreadsheets/d/14Bd19lYaqBhU8_DElYkX7l4wRkHqqCUFNJY4AfY3kHU/edit?usp=sharing  #gid=0"",""фіз особи new!relations_name_uo""),7,FALSE)
,
)
))"),"КАПАЛІН Герман Михайлович / Климент")</f>
        <v>КАПАЛІН Герман Михайлович / Климент</v>
      </c>
      <c r="G10075" s="7" t="s">
        <v>10</v>
      </c>
      <c r="H10075" s="7">
        <v>8913</v>
      </c>
      <c r="I10075" s="8" t="str">
        <f ca="1">IFERROR(__xludf.DUMMYFUNCTION("IF
(
G10076=""фізична особа""
,
VLOOKUP(H10076,IMPORTRANGE(""https://docs.google.com/spreadsheets/d/14Bd19lYaqBhU8_DElYkX7l4wRkHqqCUFNJY4AfY3kHU/edit?usp=sharing  #gid=0"",""фіз особи new!relations_name""),6,FALSE)
,
(IF
(
G10076=""юридична особа""
,
VLOO"&amp;"KUP(H10076,IMPORTRANGE(""https://docs.google.com/spreadsheets/d/14Bd19lYaqBhU8_DElYkX7l4wRkHqqCUFNJY4AfY3kHU/edit?usp=sharing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5" s="7" t="s">
        <v>29</v>
      </c>
    </row>
    <row r="10076" spans="1:10" ht="13.2">
      <c r="A10076" s="7">
        <v>10075</v>
      </c>
      <c r="B10076" s="7">
        <v>1</v>
      </c>
      <c r="C10076" s="7" t="s">
        <v>10</v>
      </c>
      <c r="D10076" s="7">
        <v>11905</v>
      </c>
      <c r="E10076" s="7" t="s">
        <v>28</v>
      </c>
      <c r="F10076" s="8" t="str">
        <f ca="1">IFERROR(__xludf.DUMMYFUNCTION("IF
(
C10077=""фізична особа""
,
VLOOKUP(D10077,IMPORTRANGE(""https://docs.google.com/spreadsheets/d/14Bd19lYaqBhU8_DElYkX7l4wRkHqqCUFNJY4AfY3kHU/edit?usp=sharing  #gid=0"",""фіз особи new!relations_name""),6,FALSE)
,
(IF
(
C10077=""юридична особа""
,
VLOO"&amp;"KUP(D10077,IMPORTRANGE(""https://docs.google.com/spreadsheets/d/14Bd19lYaqBhU8_DElYkX7l4wRkHqqCUFNJY4AfY3kHU/edit?usp=sharing  #gid=0"",""фіз особи new!relations_name_uo""),7,FALSE)
,
)
))"),"КАШИН Дмитро Вітольдович / Ферапонт")</f>
        <v>КАШИН Дмитро Вітольдович / Ферапонт</v>
      </c>
      <c r="G10076" s="7" t="s">
        <v>10</v>
      </c>
      <c r="H10076" s="7">
        <v>8913</v>
      </c>
      <c r="I10076" s="8" t="str">
        <f ca="1">IFERROR(__xludf.DUMMYFUNCTION("IF
(
G10077=""фізична особа""
,
VLOOKUP(H10077,IMPORTRANGE(""https://docs.google.com/spreadsheets/d/14Bd19lYaqBhU8_DElYkX7l4wRkHqqCUFNJY4AfY3kHU/edit?usp=sharing  #gid=0"",""фіз особи new!relations_name""),6,FALSE)
,
(IF
(
G10077=""юридична особа""
,
VLOO"&amp;"KUP(H10077,IMPORTRANGE(""https://docs.google.com/spreadsheets/d/14Bd19lYaqBhU8_DElYkX7l4wRkHqqCUFNJY4AfY3kHU/edit?usp=sharing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6" s="7" t="s">
        <v>29</v>
      </c>
    </row>
    <row r="10077" spans="1:10" ht="13.2">
      <c r="A10077" s="7">
        <v>10076</v>
      </c>
      <c r="B10077" s="7">
        <v>1</v>
      </c>
      <c r="C10077" s="7" t="s">
        <v>10</v>
      </c>
      <c r="D10077" s="7">
        <v>11906</v>
      </c>
      <c r="E10077" s="7" t="s">
        <v>28</v>
      </c>
      <c r="F10077" s="8" t="str">
        <f ca="1">IFERROR(__xludf.DUMMYFUNCTION("IF
(
C10078=""фізична особа""
,
VLOOKUP(D10078,IMPORTRANGE(""https://docs.google.com/spreadsheets/d/14Bd19lYaqBhU8_DElYkX7l4wRkHqqCUFNJY4AfY3kHU/edit?usp=sharing  #gid=0"",""фіз особи new!relations_name""),6,FALSE)
,
(IF
(
C10078=""юридична особа""
,
VLOO"&amp;"KUP(D10078,IMPORTRANGE(""https://docs.google.com/spreadsheets/d/14Bd19lYaqBhU8_DElYkX7l4wRkHqqCUFNJY4AfY3kHU/edit?usp=sharing  #gid=0"",""фіз особи new!relations_name_uo""),7,FALSE)
,
)
))"),"КИРИЛОВ Едуард Павлович / Веніамін")</f>
        <v>КИРИЛОВ Едуард Павлович / Веніамін</v>
      </c>
      <c r="G10077" s="7" t="s">
        <v>10</v>
      </c>
      <c r="H10077" s="7">
        <v>8913</v>
      </c>
      <c r="I10077" s="8" t="str">
        <f ca="1">IFERROR(__xludf.DUMMYFUNCTION("IF
(
G10078=""фізична особа""
,
VLOOKUP(H10078,IMPORTRANGE(""https://docs.google.com/spreadsheets/d/14Bd19lYaqBhU8_DElYkX7l4wRkHqqCUFNJY4AfY3kHU/edit?usp=sharing  #gid=0"",""фіз особи new!relations_name""),6,FALSE)
,
(IF
(
G10078=""юридична особа""
,
VLOO"&amp;"KUP(H10078,IMPORTRANGE(""https://docs.google.com/spreadsheets/d/14Bd19lYaqBhU8_DElYkX7l4wRkHqqCUFNJY4AfY3kHU/edit?usp=sharing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7" s="7" t="s">
        <v>29</v>
      </c>
    </row>
    <row r="10078" spans="1:10" ht="13.2">
      <c r="A10078" s="7">
        <v>10077</v>
      </c>
      <c r="B10078" s="7">
        <v>1</v>
      </c>
      <c r="C10078" s="7" t="s">
        <v>10</v>
      </c>
      <c r="D10078" s="7">
        <v>11907</v>
      </c>
      <c r="E10078" s="7" t="s">
        <v>28</v>
      </c>
      <c r="F10078" s="8" t="str">
        <f ca="1">IFERROR(__xludf.DUMMYFUNCTION("IF
(
C10079=""фізична особа""
,
VLOOKUP(D10079,IMPORTRANGE(""https://docs.google.com/spreadsheets/d/14Bd19lYaqBhU8_DElYkX7l4wRkHqqCUFNJY4AfY3kHU/edit?usp=sharing  #gid=0"",""фіз особи new!relations_name""),6,FALSE)
,
(IF
(
C10079=""юридична особа""
,
VLOO"&amp;"KUP(D10079,IMPORTRANGE(""https://docs.google.com/spreadsheets/d/14Bd19lYaqBhU8_DElYkX7l4wRkHqqCUFNJY4AfY3kHU/edit?usp=sharing  #gid=0"",""фіз особи new!relations_name_uo""),7,FALSE)
,
)
))"),"КИТАЄВ Віталій Олександрович / Софроній")</f>
        <v>КИТАЄВ Віталій Олександрович / Софроній</v>
      </c>
      <c r="G10078" s="7" t="s">
        <v>10</v>
      </c>
      <c r="H10078" s="7">
        <v>8913</v>
      </c>
      <c r="I10078" s="8" t="str">
        <f ca="1">IFERROR(__xludf.DUMMYFUNCTION("IF
(
G10079=""фізична особа""
,
VLOOKUP(H10079,IMPORTRANGE(""https://docs.google.com/spreadsheets/d/14Bd19lYaqBhU8_DElYkX7l4wRkHqqCUFNJY4AfY3kHU/edit?usp=sharing  #gid=0"",""фіз особи new!relations_name""),6,FALSE)
,
(IF
(
G10079=""юридична особа""
,
VLOO"&amp;"KUP(H10079,IMPORTRANGE(""https://docs.google.com/spreadsheets/d/14Bd19lYaqBhU8_DElYkX7l4wRkHqqCUFNJY4AfY3kHU/edit?usp=sharing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8" s="7" t="s">
        <v>29</v>
      </c>
    </row>
    <row r="10079" spans="1:10" ht="13.2">
      <c r="A10079" s="7">
        <v>10078</v>
      </c>
      <c r="B10079" s="7">
        <v>1</v>
      </c>
      <c r="C10079" s="7" t="s">
        <v>10</v>
      </c>
      <c r="D10079" s="7">
        <v>11908</v>
      </c>
      <c r="E10079" s="7" t="s">
        <v>28</v>
      </c>
      <c r="F10079" s="8" t="str">
        <f ca="1">IFERROR(__xludf.DUMMYFUNCTION("IF
(
C10080=""фізична особа""
,
VLOOKUP(D10080,IMPORTRANGE(""https://docs.google.com/spreadsheets/d/14Bd19lYaqBhU8_DElYkX7l4wRkHqqCUFNJY4AfY3kHU/edit?usp=sharing  #gid=0"",""фіз особи new!relations_name""),6,FALSE)
,
(IF
(
C10080=""юридична особа""
,
VLOO"&amp;"KUP(D10080,IMPORTRANGE(""https://docs.google.com/spreadsheets/d/14Bd19lYaqBhU8_DElYkX7l4wRkHqqCUFNJY4AfY3kHU/edit?usp=sharing  #gid=0"",""фіз особи new!relations_name_uo""),7,FALSE)
,
)
))"),"КЛЮЄВ Максим Валерійович / Максиміліан")</f>
        <v>КЛЮЄВ Максим Валерійович / Максиміліан</v>
      </c>
      <c r="G10079" s="7" t="s">
        <v>10</v>
      </c>
      <c r="H10079" s="7">
        <v>8913</v>
      </c>
      <c r="I10079" s="8" t="str">
        <f ca="1">IFERROR(__xludf.DUMMYFUNCTION("IF
(
G10080=""фізична особа""
,
VLOOKUP(H10080,IMPORTRANGE(""https://docs.google.com/spreadsheets/d/14Bd19lYaqBhU8_DElYkX7l4wRkHqqCUFNJY4AfY3kHU/edit?usp=sharing  #gid=0"",""фіз особи new!relations_name""),6,FALSE)
,
(IF
(
G10080=""юридична особа""
,
VLOO"&amp;"KUP(H10080,IMPORTRANGE(""https://docs.google.com/spreadsheets/d/14Bd19lYaqBhU8_DElYkX7l4wRkHqqCUFNJY4AfY3kHU/edit?usp=sharing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79" s="7" t="s">
        <v>29</v>
      </c>
    </row>
    <row r="10080" spans="1:10" ht="13.2">
      <c r="A10080" s="7">
        <v>10079</v>
      </c>
      <c r="B10080" s="7">
        <v>1</v>
      </c>
      <c r="C10080" s="7" t="s">
        <v>10</v>
      </c>
      <c r="D10080" s="7">
        <v>11909</v>
      </c>
      <c r="E10080" s="7" t="s">
        <v>28</v>
      </c>
      <c r="F10080" s="8" t="str">
        <f ca="1">IFERROR(__xludf.DUMMYFUNCTION("IF
(
C10081=""фізична особа""
,
VLOOKUP(D10081,IMPORTRANGE(""https://docs.google.com/spreadsheets/d/14Bd19lYaqBhU8_DElYkX7l4wRkHqqCUFNJY4AfY3kHU/edit?usp=sharing  #gid=0"",""фіз особи new!relations_name""),6,FALSE)
,
(IF
(
C10081=""юридична особа""
,
VLOO"&amp;"KUP(D10081,IMPORTRANGE(""https://docs.google.com/spreadsheets/d/14Bd19lYaqBhU8_DElYkX7l4wRkHqqCUFNJY4AfY3kHU/edit?usp=sharing  #gid=0"",""фіз особи new!relations_name_uo""),7,FALSE)
,
)
))"),"КОВАЛЕНКО Андрій Володимирович / Іоанн")</f>
        <v>КОВАЛЕНКО Андрій Володимирович / Іоанн</v>
      </c>
      <c r="G10080" s="7" t="s">
        <v>10</v>
      </c>
      <c r="H10080" s="7">
        <v>8913</v>
      </c>
      <c r="I10080" s="8" t="str">
        <f ca="1">IFERROR(__xludf.DUMMYFUNCTION("IF
(
G10081=""фізична особа""
,
VLOOKUP(H10081,IMPORTRANGE(""https://docs.google.com/spreadsheets/d/14Bd19lYaqBhU8_DElYkX7l4wRkHqqCUFNJY4AfY3kHU/edit?usp=sharing  #gid=0"",""фіз особи new!relations_name""),6,FALSE)
,
(IF
(
G10081=""юридична особа""
,
VLOO"&amp;"KUP(H10081,IMPORTRANGE(""https://docs.google.com/spreadsheets/d/14Bd19lYaqBhU8_DElYkX7l4wRkHqqCUFNJY4AfY3kHU/edit?usp=sharing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0" s="7" t="s">
        <v>29</v>
      </c>
    </row>
    <row r="10081" spans="1:10" ht="13.2">
      <c r="A10081" s="7">
        <v>10080</v>
      </c>
      <c r="B10081" s="7">
        <v>1</v>
      </c>
      <c r="C10081" s="7" t="s">
        <v>10</v>
      </c>
      <c r="D10081" s="7">
        <v>11910</v>
      </c>
      <c r="E10081" s="7" t="s">
        <v>28</v>
      </c>
      <c r="F10081" s="8" t="str">
        <f ca="1">IFERROR(__xludf.DUMMYFUNCTION("IF
(
C10082=""фізична особа""
,
VLOOKUP(D10082,IMPORTRANGE(""https://docs.google.com/spreadsheets/d/14Bd19lYaqBhU8_DElYkX7l4wRkHqqCUFNJY4AfY3kHU/edit?usp=sharing  #gid=0"",""фіз особи new!relations_name""),6,FALSE)
,
(IF
(
C10082=""юридична особа""
,
VLOO"&amp;"KUP(D10082,IMPORTRANGE(""https://docs.google.com/spreadsheets/d/14Bd19lYaqBhU8_DElYkX7l4wRkHqqCUFNJY4AfY3kHU/edit?usp=sharing  #gid=0"",""фіз особи new!relations_name_uo""),7,FALSE)
,
)
))"),"КОЗЛОВ Василь Володимирович / Леонтій")</f>
        <v>КОЗЛОВ Василь Володимирович / Леонтій</v>
      </c>
      <c r="G10081" s="7" t="s">
        <v>10</v>
      </c>
      <c r="H10081" s="7">
        <v>8913</v>
      </c>
      <c r="I10081" s="8" t="str">
        <f ca="1">IFERROR(__xludf.DUMMYFUNCTION("IF
(
G10082=""фізична особа""
,
VLOOKUP(H10082,IMPORTRANGE(""https://docs.google.com/spreadsheets/d/14Bd19lYaqBhU8_DElYkX7l4wRkHqqCUFNJY4AfY3kHU/edit?usp=sharing  #gid=0"",""фіз особи new!relations_name""),6,FALSE)
,
(IF
(
G10082=""юридична особа""
,
VLOO"&amp;"KUP(H10082,IMPORTRANGE(""https://docs.google.com/spreadsheets/d/14Bd19lYaqBhU8_DElYkX7l4wRkHqqCUFNJY4AfY3kHU/edit?usp=sharing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1" s="7" t="s">
        <v>29</v>
      </c>
    </row>
    <row r="10082" spans="1:10" ht="13.2">
      <c r="A10082" s="7">
        <v>10081</v>
      </c>
      <c r="B10082" s="7">
        <v>1</v>
      </c>
      <c r="C10082" s="7" t="s">
        <v>10</v>
      </c>
      <c r="D10082" s="7">
        <v>11911</v>
      </c>
      <c r="E10082" s="7" t="s">
        <v>28</v>
      </c>
      <c r="F10082" s="8" t="str">
        <f ca="1">IFERROR(__xludf.DUMMYFUNCTION("IF
(
C10083=""фізична особа""
,
VLOOKUP(D10083,IMPORTRANGE(""https://docs.google.com/spreadsheets/d/14Bd19lYaqBhU8_DElYkX7l4wRkHqqCUFNJY4AfY3kHU/edit?usp=sharing  #gid=0"",""фіз особи new!relations_name""),6,FALSE)
,
(IF
(
C10083=""юридична особа""
,
VLOO"&amp;"KUP(D10083,IMPORTRANGE(""https://docs.google.com/spreadsheets/d/14Bd19lYaqBhU8_DElYkX7l4wRkHqqCUFNJY4AfY3kHU/edit?usp=sharing  #gid=0"",""фіз особи new!relations_name_uo""),7,FALSE)
,
)
))"),"КОНДРАТ'ЄВ Михайло Олександрович / Мефодій")</f>
        <v>КОНДРАТ'ЄВ Михайло Олександрович / Мефодій</v>
      </c>
      <c r="G10082" s="7" t="s">
        <v>10</v>
      </c>
      <c r="H10082" s="7">
        <v>8913</v>
      </c>
      <c r="I10082" s="8" t="str">
        <f ca="1">IFERROR(__xludf.DUMMYFUNCTION("IF
(
G10083=""фізична особа""
,
VLOOKUP(H10083,IMPORTRANGE(""https://docs.google.com/spreadsheets/d/14Bd19lYaqBhU8_DElYkX7l4wRkHqqCUFNJY4AfY3kHU/edit?usp=sharing  #gid=0"",""фіз особи new!relations_name""),6,FALSE)
,
(IF
(
G10083=""юридична особа""
,
VLOO"&amp;"KUP(H10083,IMPORTRANGE(""https://docs.google.com/spreadsheets/d/14Bd19lYaqBhU8_DElYkX7l4wRkHqqCUFNJY4AfY3kHU/edit?usp=sharing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2" s="7" t="s">
        <v>29</v>
      </c>
    </row>
    <row r="10083" spans="1:10" ht="13.2">
      <c r="A10083" s="7">
        <v>10082</v>
      </c>
      <c r="B10083" s="7">
        <v>1</v>
      </c>
      <c r="C10083" s="7" t="s">
        <v>10</v>
      </c>
      <c r="D10083" s="7">
        <v>11912</v>
      </c>
      <c r="E10083" s="7" t="s">
        <v>28</v>
      </c>
      <c r="F10083" s="8" t="str">
        <f ca="1">IFERROR(__xludf.DUMMYFUNCTION("IF
(
C10084=""фізична особа""
,
VLOOKUP(D10084,IMPORTRANGE(""https://docs.google.com/spreadsheets/d/14Bd19lYaqBhU8_DElYkX7l4wRkHqqCUFNJY4AfY3kHU/edit?usp=sharing  #gid=0"",""фіз особи new!relations_name""),6,FALSE)
,
(IF
(
C10084=""юридична особа""
,
VLOO"&amp;"KUP(D10084,IMPORTRANGE(""https://docs.google.com/spreadsheets/d/14Bd19lYaqBhU8_DElYkX7l4wRkHqqCUFNJY4AfY3kHU/edit?usp=sharing  #gid=0"",""фіз особи new!relations_name_uo""),7,FALSE)
,
)
))"),"КОПИЛОВ Костянтин Іванович / Матвій")</f>
        <v>КОПИЛОВ Костянтин Іванович / Матвій</v>
      </c>
      <c r="G10083" s="7" t="s">
        <v>10</v>
      </c>
      <c r="H10083" s="7">
        <v>8913</v>
      </c>
      <c r="I10083" s="8" t="str">
        <f ca="1">IFERROR(__xludf.DUMMYFUNCTION("IF
(
G10084=""фізична особа""
,
VLOOKUP(H10084,IMPORTRANGE(""https://docs.google.com/spreadsheets/d/14Bd19lYaqBhU8_DElYkX7l4wRkHqqCUFNJY4AfY3kHU/edit?usp=sharing  #gid=0"",""фіз особи new!relations_name""),6,FALSE)
,
(IF
(
G10084=""юридична особа""
,
VLOO"&amp;"KUP(H10084,IMPORTRANGE(""https://docs.google.com/spreadsheets/d/14Bd19lYaqBhU8_DElYkX7l4wRkHqqCUFNJY4AfY3kHU/edit?usp=sharing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3" s="7" t="s">
        <v>29</v>
      </c>
    </row>
    <row r="10084" spans="1:10" ht="13.2">
      <c r="A10084" s="7">
        <v>10083</v>
      </c>
      <c r="B10084" s="7">
        <v>1</v>
      </c>
      <c r="C10084" s="7" t="s">
        <v>10</v>
      </c>
      <c r="D10084" s="7">
        <v>11913</v>
      </c>
      <c r="E10084" s="7" t="s">
        <v>28</v>
      </c>
      <c r="F10084" s="8" t="str">
        <f ca="1">IFERROR(__xludf.DUMMYFUNCTION("IF
(
C10085=""фізична особа""
,
VLOOKUP(D10085,IMPORTRANGE(""https://docs.google.com/spreadsheets/d/14Bd19lYaqBhU8_DElYkX7l4wRkHqqCUFNJY4AfY3kHU/edit?usp=sharing  #gid=0"",""фіз особи new!relations_name""),6,FALSE)
,
(IF
(
C10085=""юридична особа""
,
VLOO"&amp;"KUP(D10085,IMPORTRANGE(""https://docs.google.com/spreadsheets/d/14Bd19lYaqBhU8_DElYkX7l4wRkHqqCUFNJY4AfY3kHU/edit?usp=sharing  #gid=0"",""фіз особи new!relations_name_uo""),7,FALSE)
,
)
))"),"КОРЧАГІН Володимир Сергійович / Лонгін")</f>
        <v>КОРЧАГІН Володимир Сергійович / Лонгін</v>
      </c>
      <c r="G10084" s="7" t="s">
        <v>10</v>
      </c>
      <c r="H10084" s="7">
        <v>8913</v>
      </c>
      <c r="I10084" s="8" t="str">
        <f ca="1">IFERROR(__xludf.DUMMYFUNCTION("IF
(
G10085=""фізична особа""
,
VLOOKUP(H10085,IMPORTRANGE(""https://docs.google.com/spreadsheets/d/14Bd19lYaqBhU8_DElYkX7l4wRkHqqCUFNJY4AfY3kHU/edit?usp=sharing  #gid=0"",""фіз особи new!relations_name""),6,FALSE)
,
(IF
(
G10085=""юридична особа""
,
VLOO"&amp;"KUP(H10085,IMPORTRANGE(""https://docs.google.com/spreadsheets/d/14Bd19lYaqBhU8_DElYkX7l4wRkHqqCUFNJY4AfY3kHU/edit?usp=sharing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4" s="7" t="s">
        <v>29</v>
      </c>
    </row>
    <row r="10085" spans="1:10" ht="13.2">
      <c r="A10085" s="7">
        <v>10084</v>
      </c>
      <c r="B10085" s="7">
        <v>1</v>
      </c>
      <c r="C10085" s="7" t="s">
        <v>10</v>
      </c>
      <c r="D10085" s="7">
        <v>11914</v>
      </c>
      <c r="E10085" s="7" t="s">
        <v>28</v>
      </c>
      <c r="F10085" s="8" t="str">
        <f ca="1">IFERROR(__xludf.DUMMYFUNCTION("IF
(
C10086=""фізична особа""
,
VLOOKUP(D10086,IMPORTRANGE(""https://docs.google.com/spreadsheets/d/14Bd19lYaqBhU8_DElYkX7l4wRkHqqCUFNJY4AfY3kHU/edit?usp=sharing  #gid=0"",""фіз особи new!relations_name""),6,FALSE)
,
(IF
(
C10086=""юридична особа""
,
VLOO"&amp;"KUP(D10086,IMPORTRANGE(""https://docs.google.com/spreadsheets/d/14Bd19lYaqBhU8_DElYkX7l4wRkHqqCUFNJY4AfY3kHU/edit?usp=sharing  #gid=0"",""фіз особи new!relations_name_uo""),7,FALSE)
,
)
))"),"КРИВЕНКО Олексій Володимирович / Микола")</f>
        <v>КРИВЕНКО Олексій Володимирович / Микола</v>
      </c>
      <c r="G10085" s="7" t="s">
        <v>10</v>
      </c>
      <c r="H10085" s="7">
        <v>8913</v>
      </c>
      <c r="I10085" s="8" t="str">
        <f ca="1">IFERROR(__xludf.DUMMYFUNCTION("IF
(
G10086=""фізична особа""
,
VLOOKUP(H10086,IMPORTRANGE(""https://docs.google.com/spreadsheets/d/14Bd19lYaqBhU8_DElYkX7l4wRkHqqCUFNJY4AfY3kHU/edit?usp=sharing  #gid=0"",""фіз особи new!relations_name""),6,FALSE)
,
(IF
(
G10086=""юридична особа""
,
VLOO"&amp;"KUP(H10086,IMPORTRANGE(""https://docs.google.com/spreadsheets/d/14Bd19lYaqBhU8_DElYkX7l4wRkHqqCUFNJY4AfY3kHU/edit?usp=sharing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5" s="7" t="s">
        <v>29</v>
      </c>
    </row>
    <row r="10086" spans="1:10" ht="13.2">
      <c r="A10086" s="7">
        <v>10085</v>
      </c>
      <c r="B10086" s="7">
        <v>1</v>
      </c>
      <c r="C10086" s="7" t="s">
        <v>10</v>
      </c>
      <c r="D10086" s="7">
        <v>11915</v>
      </c>
      <c r="E10086" s="7" t="s">
        <v>28</v>
      </c>
      <c r="F10086" s="8" t="str">
        <f ca="1">IFERROR(__xludf.DUMMYFUNCTION("IF
(
C10087=""фізична особа""
,
VLOOKUP(D10087,IMPORTRANGE(""https://docs.google.com/spreadsheets/d/14Bd19lYaqBhU8_DElYkX7l4wRkHqqCUFNJY4AfY3kHU/edit?usp=sharing  #gid=0"",""фіз особи new!relations_name""),6,FALSE)
,
(IF
(
C10087=""юридична особа""
,
VLOO"&amp;"KUP(D10087,IMPORTRANGE(""https://docs.google.com/spreadsheets/d/14Bd19lYaqBhU8_DElYkX7l4wRkHqqCUFNJY4AfY3kHU/edit?usp=sharing  #gid=0"",""фіз особи new!relations_name_uo""),7,FALSE)
,
)
))"),"КУЛЬБЕРГ Олексій Сергійович / Євген")</f>
        <v>КУЛЬБЕРГ Олексій Сергійович / Євген</v>
      </c>
      <c r="G10086" s="7" t="s">
        <v>10</v>
      </c>
      <c r="H10086" s="7">
        <v>8913</v>
      </c>
      <c r="I10086" s="8" t="str">
        <f ca="1">IFERROR(__xludf.DUMMYFUNCTION("IF
(
G10087=""фізична особа""
,
VLOOKUP(H10087,IMPORTRANGE(""https://docs.google.com/spreadsheets/d/14Bd19lYaqBhU8_DElYkX7l4wRkHqqCUFNJY4AfY3kHU/edit?usp=sharing  #gid=0"",""фіз особи new!relations_name""),6,FALSE)
,
(IF
(
G10087=""юридична особа""
,
VLOO"&amp;"KUP(H10087,IMPORTRANGE(""https://docs.google.com/spreadsheets/d/14Bd19lYaqBhU8_DElYkX7l4wRkHqqCUFNJY4AfY3kHU/edit?usp=sharing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6" s="7" t="s">
        <v>29</v>
      </c>
    </row>
    <row r="10087" spans="1:10" ht="13.2">
      <c r="A10087" s="7">
        <v>10086</v>
      </c>
      <c r="B10087" s="7">
        <v>1</v>
      </c>
      <c r="C10087" s="7" t="s">
        <v>10</v>
      </c>
      <c r="D10087" s="7">
        <v>11916</v>
      </c>
      <c r="E10087" s="7" t="s">
        <v>28</v>
      </c>
      <c r="F10087" s="8" t="str">
        <f ca="1">IFERROR(__xludf.DUMMYFUNCTION("IF
(
C10088=""фізична особа""
,
VLOOKUP(D10088,IMPORTRANGE(""https://docs.google.com/spreadsheets/d/14Bd19lYaqBhU8_DElYkX7l4wRkHqqCUFNJY4AfY3kHU/edit?usp=sharing  #gid=0"",""фіз особи new!relations_name""),6,FALSE)
,
(IF
(
C10088=""юридична особа""
,
VLOO"&amp;"KUP(D10088,IMPORTRANGE(""https://docs.google.com/spreadsheets/d/14Bd19lYaqBhU8_DElYkX7l4wRkHqqCUFNJY4AfY3kHU/edit?usp=sharing  #gid=0"",""фіз особи new!relations_name_uo""),7,FALSE)
,
)
))"),"КУТОВИЙ Микола Васильович / Пантелеїмон")</f>
        <v>КУТОВИЙ Микола Васильович / Пантелеїмон</v>
      </c>
      <c r="G10087" s="7" t="s">
        <v>10</v>
      </c>
      <c r="H10087" s="7">
        <v>8913</v>
      </c>
      <c r="I10087" s="8" t="str">
        <f ca="1">IFERROR(__xludf.DUMMYFUNCTION("IF
(
G10088=""фізична особа""
,
VLOOKUP(H10088,IMPORTRANGE(""https://docs.google.com/spreadsheets/d/14Bd19lYaqBhU8_DElYkX7l4wRkHqqCUFNJY4AfY3kHU/edit?usp=sharing  #gid=0"",""фіз особи new!relations_name""),6,FALSE)
,
(IF
(
G10088=""юридична особа""
,
VLOO"&amp;"KUP(H10088,IMPORTRANGE(""https://docs.google.com/spreadsheets/d/14Bd19lYaqBhU8_DElYkX7l4wRkHqqCUFNJY4AfY3kHU/edit?usp=sharing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7" s="7" t="s">
        <v>29</v>
      </c>
    </row>
    <row r="10088" spans="1:10" ht="13.2">
      <c r="A10088" s="7">
        <v>10087</v>
      </c>
      <c r="B10088" s="7">
        <v>1</v>
      </c>
      <c r="C10088" s="7" t="s">
        <v>10</v>
      </c>
      <c r="D10088" s="7">
        <v>11917</v>
      </c>
      <c r="E10088" s="7" t="s">
        <v>28</v>
      </c>
      <c r="F10088" s="8" t="str">
        <f ca="1">IFERROR(__xludf.DUMMYFUNCTION("IF
(
C10089=""фізична особа""
,
VLOOKUP(D10089,IMPORTRANGE(""https://docs.google.com/spreadsheets/d/14Bd19lYaqBhU8_DElYkX7l4wRkHqqCUFNJY4AfY3kHU/edit?usp=sharing  #gid=0"",""фіз особи new!relations_name""),6,FALSE)
,
(IF
(
C10089=""юридична особа""
,
VLOO"&amp;"KUP(D10089,IMPORTRANGE(""https://docs.google.com/spreadsheets/d/14Bd19lYaqBhU8_DElYkX7l4wRkHqqCUFNJY4AfY3kHU/edit?usp=sharing  #gid=0"",""фіз особи new!relations_name_uo""),7,FALSE)
,
)
))"),"ЛОБКОВСЬКИЙ Володимир Іванович / Тихон")</f>
        <v>ЛОБКОВСЬКИЙ Володимир Іванович / Тихон</v>
      </c>
      <c r="G10088" s="7" t="s">
        <v>10</v>
      </c>
      <c r="H10088" s="7">
        <v>8913</v>
      </c>
      <c r="I10088" s="8" t="str">
        <f ca="1">IFERROR(__xludf.DUMMYFUNCTION("IF
(
G10089=""фізична особа""
,
VLOOKUP(H10089,IMPORTRANGE(""https://docs.google.com/spreadsheets/d/14Bd19lYaqBhU8_DElYkX7l4wRkHqqCUFNJY4AfY3kHU/edit?usp=sharing  #gid=0"",""фіз особи new!relations_name""),6,FALSE)
,
(IF
(
G10089=""юридична особа""
,
VLOO"&amp;"KUP(H10089,IMPORTRANGE(""https://docs.google.com/spreadsheets/d/14Bd19lYaqBhU8_DElYkX7l4wRkHqqCUFNJY4AfY3kHU/edit?usp=sharing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8" s="7" t="s">
        <v>29</v>
      </c>
    </row>
    <row r="10089" spans="1:10" ht="13.2">
      <c r="A10089" s="7">
        <v>10088</v>
      </c>
      <c r="B10089" s="7">
        <v>1</v>
      </c>
      <c r="C10089" s="7" t="s">
        <v>10</v>
      </c>
      <c r="D10089" s="7">
        <v>11918</v>
      </c>
      <c r="E10089" s="7" t="s">
        <v>28</v>
      </c>
      <c r="F10089" s="8" t="str">
        <f ca="1">IFERROR(__xludf.DUMMYFUNCTION("IF
(
C10090=""фізична особа""
,
VLOOKUP(D10090,IMPORTRANGE(""https://docs.google.com/spreadsheets/d/14Bd19lYaqBhU8_DElYkX7l4wRkHqqCUFNJY4AfY3kHU/edit?usp=sharing  #gid=0"",""фіз особи new!relations_name""),6,FALSE)
,
(IF
(
C10090=""юридична особа""
,
VLOO"&amp;"KUP(D10090,IMPORTRANGE(""https://docs.google.com/spreadsheets/d/14Bd19lYaqBhU8_DElYkX7l4wRkHqqCUFNJY4AfY3kHU/edit?usp=sharing  #gid=0"",""фіз особи new!relations_name_uo""),7,FALSE)
,
)
))"),"ЛУКІН Олексій Олександрович / Роман")</f>
        <v>ЛУКІН Олексій Олександрович / Роман</v>
      </c>
      <c r="G10089" s="7" t="s">
        <v>10</v>
      </c>
      <c r="H10089" s="7">
        <v>8913</v>
      </c>
      <c r="I10089" s="8" t="str">
        <f ca="1">IFERROR(__xludf.DUMMYFUNCTION("IF
(
G10090=""фізична особа""
,
VLOOKUP(H10090,IMPORTRANGE(""https://docs.google.com/spreadsheets/d/14Bd19lYaqBhU8_DElYkX7l4wRkHqqCUFNJY4AfY3kHU/edit?usp=sharing  #gid=0"",""фіз особи new!relations_name""),6,FALSE)
,
(IF
(
G10090=""юридична особа""
,
VLOO"&amp;"KUP(H10090,IMPORTRANGE(""https://docs.google.com/spreadsheets/d/14Bd19lYaqBhU8_DElYkX7l4wRkHqqCUFNJY4AfY3kHU/edit?usp=sharing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89" s="7" t="s">
        <v>29</v>
      </c>
    </row>
    <row r="10090" spans="1:10" ht="13.2">
      <c r="A10090" s="7">
        <v>10089</v>
      </c>
      <c r="B10090" s="7">
        <v>1</v>
      </c>
      <c r="C10090" s="7" t="s">
        <v>10</v>
      </c>
      <c r="D10090" s="7">
        <v>11919</v>
      </c>
      <c r="E10090" s="7" t="s">
        <v>28</v>
      </c>
      <c r="F10090" s="8" t="str">
        <f ca="1">IFERROR(__xludf.DUMMYFUNCTION("IF
(
C10091=""фізична особа""
,
VLOOKUP(D10091,IMPORTRANGE(""https://docs.google.com/spreadsheets/d/14Bd19lYaqBhU8_DElYkX7l4wRkHqqCUFNJY4AfY3kHU/edit?usp=sharing  #gid=0"",""фіз особи new!relations_name""),6,FALSE)
,
(IF
(
C10091=""юридична особа""
,
VLOO"&amp;"KUP(D10091,IMPORTRANGE(""https://docs.google.com/spreadsheets/d/14Bd19lYaqBhU8_DElYkX7l4wRkHqqCUFNJY4AfY3kHU/edit?usp=sharing  #gid=0"",""фіз особи new!relations_name_uo""),7,FALSE)
,
)
))"),"МАНСУРОВ Петро Григорович / Петро")</f>
        <v>МАНСУРОВ Петро Григорович / Петро</v>
      </c>
      <c r="G10090" s="7" t="s">
        <v>10</v>
      </c>
      <c r="H10090" s="7">
        <v>8913</v>
      </c>
      <c r="I10090" s="8" t="str">
        <f ca="1">IFERROR(__xludf.DUMMYFUNCTION("IF
(
G10091=""фізична особа""
,
VLOOKUP(H10091,IMPORTRANGE(""https://docs.google.com/spreadsheets/d/14Bd19lYaqBhU8_DElYkX7l4wRkHqqCUFNJY4AfY3kHU/edit?usp=sharing  #gid=0"",""фіз особи new!relations_name""),6,FALSE)
,
(IF
(
G10091=""юридична особа""
,
VLOO"&amp;"KUP(H10091,IMPORTRANGE(""https://docs.google.com/spreadsheets/d/14Bd19lYaqBhU8_DElYkX7l4wRkHqqCUFNJY4AfY3kHU/edit?usp=sharing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0" s="7" t="s">
        <v>29</v>
      </c>
    </row>
    <row r="10091" spans="1:10" ht="13.2">
      <c r="A10091" s="7">
        <v>10090</v>
      </c>
      <c r="B10091" s="7">
        <v>1</v>
      </c>
      <c r="C10091" s="7" t="s">
        <v>10</v>
      </c>
      <c r="D10091" s="7">
        <v>11920</v>
      </c>
      <c r="E10091" s="7" t="s">
        <v>28</v>
      </c>
      <c r="F10091" s="8" t="str">
        <f ca="1">IFERROR(__xludf.DUMMYFUNCTION("IF
(
C10092=""фізична особа""
,
VLOOKUP(D10092,IMPORTRANGE(""https://docs.google.com/spreadsheets/d/14Bd19lYaqBhU8_DElYkX7l4wRkHqqCUFNJY4AfY3kHU/edit?usp=sharing  #gid=0"",""фіз особи new!relations_name""),6,FALSE)
,
(IF
(
C10092=""юридична особа""
,
VLOO"&amp;"KUP(D10092,IMPORTRANGE(""https://docs.google.com/spreadsheets/d/14Bd19lYaqBhU8_DElYkX7l4wRkHqqCUFNJY4AfY3kHU/edit?usp=sharing  #gid=0"",""фіз особи new!relations_name_uo""),7,FALSE)
,
)
))"),"ПОЛІКАРПОВ Анатолій Степанович / Олексій")</f>
        <v>ПОЛІКАРПОВ Анатолій Степанович / Олексій</v>
      </c>
      <c r="G10091" s="7" t="s">
        <v>10</v>
      </c>
      <c r="H10091" s="7">
        <v>8913</v>
      </c>
      <c r="I10091" s="8" t="str">
        <f ca="1">IFERROR(__xludf.DUMMYFUNCTION("IF
(
G10092=""фізична особа""
,
VLOOKUP(H10092,IMPORTRANGE(""https://docs.google.com/spreadsheets/d/14Bd19lYaqBhU8_DElYkX7l4wRkHqqCUFNJY4AfY3kHU/edit?usp=sharing  #gid=0"",""фіз особи new!relations_name""),6,FALSE)
,
(IF
(
G10092=""юридична особа""
,
VLOO"&amp;"KUP(H10092,IMPORTRANGE(""https://docs.google.com/spreadsheets/d/14Bd19lYaqBhU8_DElYkX7l4wRkHqqCUFNJY4AfY3kHU/edit?usp=sharing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1" s="7" t="s">
        <v>29</v>
      </c>
    </row>
    <row r="10092" spans="1:10" ht="13.2">
      <c r="A10092" s="7">
        <v>10091</v>
      </c>
      <c r="B10092" s="7">
        <v>1</v>
      </c>
      <c r="C10092" s="7" t="s">
        <v>10</v>
      </c>
      <c r="D10092" s="7">
        <v>11921</v>
      </c>
      <c r="E10092" s="7" t="s">
        <v>28</v>
      </c>
      <c r="F10092" s="8" t="str">
        <f ca="1">IFERROR(__xludf.DUMMYFUNCTION("IF
(
C10093=""фізична особа""
,
VLOOKUP(D10093,IMPORTRANGE(""https://docs.google.com/spreadsheets/d/14Bd19lYaqBhU8_DElYkX7l4wRkHqqCUFNJY4AfY3kHU/edit?usp=sharing  #gid=0"",""фіз особи new!relations_name""),6,FALSE)
,
(IF
(
C10093=""юридична особа""
,
VLOO"&amp;"KUP(D10093,IMPORTRANGE(""https://docs.google.com/spreadsheets/d/14Bd19lYaqBhU8_DElYkX7l4wRkHqqCUFNJY4AfY3kHU/edit?usp=sharing  #gid=0"",""фіз особи new!relations_name_uo""),7,FALSE)
,
)
))"),"ПОНІЧ Володимир Олександрович / Всеволод")</f>
        <v>ПОНІЧ Володимир Олександрович / Всеволод</v>
      </c>
      <c r="G10092" s="7" t="s">
        <v>10</v>
      </c>
      <c r="H10092" s="7">
        <v>8913</v>
      </c>
      <c r="I10092" s="8" t="str">
        <f ca="1">IFERROR(__xludf.DUMMYFUNCTION("IF
(
G10093=""фізична особа""
,
VLOOKUP(H10093,IMPORTRANGE(""https://docs.google.com/spreadsheets/d/14Bd19lYaqBhU8_DElYkX7l4wRkHqqCUFNJY4AfY3kHU/edit?usp=sharing  #gid=0"",""фіз особи new!relations_name""),6,FALSE)
,
(IF
(
G10093=""юридична особа""
,
VLOO"&amp;"KUP(H10093,IMPORTRANGE(""https://docs.google.com/spreadsheets/d/14Bd19lYaqBhU8_DElYkX7l4wRkHqqCUFNJY4AfY3kHU/edit?usp=sharing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2" s="7" t="s">
        <v>29</v>
      </c>
    </row>
    <row r="10093" spans="1:10" ht="13.2">
      <c r="A10093" s="7">
        <v>10092</v>
      </c>
      <c r="B10093" s="7">
        <v>1</v>
      </c>
      <c r="C10093" s="7" t="s">
        <v>10</v>
      </c>
      <c r="D10093" s="7">
        <v>11922</v>
      </c>
      <c r="E10093" s="7" t="s">
        <v>28</v>
      </c>
      <c r="F10093" s="8" t="str">
        <f ca="1">IFERROR(__xludf.DUMMYFUNCTION("IF
(
C10094=""фізична особа""
,
VLOOKUP(D10094,IMPORTRANGE(""https://docs.google.com/spreadsheets/d/14Bd19lYaqBhU8_DElYkX7l4wRkHqqCUFNJY4AfY3kHU/edit?usp=sharing  #gid=0"",""фіз особи new!relations_name""),6,FALSE)
,
(IF
(
C10094=""юридична особа""
,
VLOO"&amp;"KUP(D10094,IMPORTRANGE(""https://docs.google.com/spreadsheets/d/14Bd19lYaqBhU8_DElYkX7l4wRkHqqCUFNJY4AfY3kHU/edit?usp=sharing  #gid=0"",""фіз особи new!relations_name_uo""),7,FALSE)
,
)
))"),"ПОНОМАРЬОВ Володимир Георгійович / Варлаам")</f>
        <v>ПОНОМАРЬОВ Володимир Георгійович / Варлаам</v>
      </c>
      <c r="G10093" s="7" t="s">
        <v>10</v>
      </c>
      <c r="H10093" s="7">
        <v>8913</v>
      </c>
      <c r="I10093" s="8" t="str">
        <f ca="1">IFERROR(__xludf.DUMMYFUNCTION("IF
(
G10094=""фізична особа""
,
VLOOKUP(H10094,IMPORTRANGE(""https://docs.google.com/spreadsheets/d/14Bd19lYaqBhU8_DElYkX7l4wRkHqqCUFNJY4AfY3kHU/edit?usp=sharing  #gid=0"",""фіз особи new!relations_name""),6,FALSE)
,
(IF
(
G10094=""юридична особа""
,
VLOO"&amp;"KUP(H10094,IMPORTRANGE(""https://docs.google.com/spreadsheets/d/14Bd19lYaqBhU8_DElYkX7l4wRkHqqCUFNJY4AfY3kHU/edit?usp=sharing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3" s="7" t="s">
        <v>29</v>
      </c>
    </row>
    <row r="10094" spans="1:10" ht="13.2">
      <c r="A10094" s="7">
        <v>10093</v>
      </c>
      <c r="B10094" s="7">
        <v>1</v>
      </c>
      <c r="C10094" s="7" t="s">
        <v>10</v>
      </c>
      <c r="D10094" s="7">
        <v>11923</v>
      </c>
      <c r="E10094" s="7" t="s">
        <v>28</v>
      </c>
      <c r="F10094" s="8" t="str">
        <f ca="1">IFERROR(__xludf.DUMMYFUNCTION("IF
(
C10095=""фізична особа""
,
VLOOKUP(D10095,IMPORTRANGE(""https://docs.google.com/spreadsheets/d/14Bd19lYaqBhU8_DElYkX7l4wRkHqqCUFNJY4AfY3kHU/edit?usp=sharing  #gid=0"",""фіз особи new!relations_name""),6,FALSE)
,
(IF
(
C10095=""юридична особа""
,
VLOO"&amp;"KUP(D10095,IMPORTRANGE(""https://docs.google.com/spreadsheets/d/14Bd19lYaqBhU8_DElYkX7l4wRkHqqCUFNJY4AfY3kHU/edit?usp=sharing  #gid=0"",""фіз особи new!relations_name_uo""),7,FALSE)
,
)
))"),"ПОПОВ Сергій Леонідович / Іоанн")</f>
        <v>ПОПОВ Сергій Леонідович / Іоанн</v>
      </c>
      <c r="G10094" s="7" t="s">
        <v>10</v>
      </c>
      <c r="H10094" s="7">
        <v>8913</v>
      </c>
      <c r="I10094" s="8" t="str">
        <f ca="1">IFERROR(__xludf.DUMMYFUNCTION("IF
(
G10095=""фізична особа""
,
VLOOKUP(H10095,IMPORTRANGE(""https://docs.google.com/spreadsheets/d/14Bd19lYaqBhU8_DElYkX7l4wRkHqqCUFNJY4AfY3kHU/edit?usp=sharing  #gid=0"",""фіз особи new!relations_name""),6,FALSE)
,
(IF
(
G10095=""юридична особа""
,
VLOO"&amp;"KUP(H10095,IMPORTRANGE(""https://docs.google.com/spreadsheets/d/14Bd19lYaqBhU8_DElYkX7l4wRkHqqCUFNJY4AfY3kHU/edit?usp=sharing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4" s="7" t="s">
        <v>29</v>
      </c>
    </row>
    <row r="10095" spans="1:10" ht="13.2">
      <c r="A10095" s="7">
        <v>10094</v>
      </c>
      <c r="B10095" s="7">
        <v>1</v>
      </c>
      <c r="C10095" s="7" t="s">
        <v>10</v>
      </c>
      <c r="D10095" s="7">
        <v>11924</v>
      </c>
      <c r="E10095" s="7" t="s">
        <v>28</v>
      </c>
      <c r="F10095" s="8" t="str">
        <f ca="1">IFERROR(__xludf.DUMMYFUNCTION("IF
(
C10096=""фізична особа""
,
VLOOKUP(D10096,IMPORTRANGE(""https://docs.google.com/spreadsheets/d/14Bd19lYaqBhU8_DElYkX7l4wRkHqqCUFNJY4AfY3kHU/edit?usp=sharing  #gid=0"",""фіз особи new!relations_name""),6,FALSE)
,
(IF
(
C10096=""юридична особа""
,
VLOO"&amp;"KUP(D10096,IMPORTRANGE(""https://docs.google.com/spreadsheets/d/14Bd19lYaqBhU8_DElYkX7l4wRkHqqCUFNJY4AfY3kHU/edit?usp=sharing  #gid=0"",""фіз особи new!relations_name_uo""),7,FALSE)
,
)
))"),"ПУНІН Ігор Іванович / Ігнатій")</f>
        <v>ПУНІН Ігор Іванович / Ігнатій</v>
      </c>
      <c r="G10095" s="7" t="s">
        <v>10</v>
      </c>
      <c r="H10095" s="7">
        <v>8913</v>
      </c>
      <c r="I10095" s="8" t="str">
        <f ca="1">IFERROR(__xludf.DUMMYFUNCTION("IF
(
G10096=""фізична особа""
,
VLOOKUP(H10096,IMPORTRANGE(""https://docs.google.com/spreadsheets/d/14Bd19lYaqBhU8_DElYkX7l4wRkHqqCUFNJY4AfY3kHU/edit?usp=sharing  #gid=0"",""фіз особи new!relations_name""),6,FALSE)
,
(IF
(
G10096=""юридична особа""
,
VLOO"&amp;"KUP(H10096,IMPORTRANGE(""https://docs.google.com/spreadsheets/d/14Bd19lYaqBhU8_DElYkX7l4wRkHqqCUFNJY4AfY3kHU/edit?usp=sharing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5" s="7" t="s">
        <v>29</v>
      </c>
    </row>
    <row r="10096" spans="1:10" ht="13.2">
      <c r="A10096" s="7">
        <v>10095</v>
      </c>
      <c r="B10096" s="7">
        <v>1</v>
      </c>
      <c r="C10096" s="7" t="s">
        <v>10</v>
      </c>
      <c r="D10096" s="7">
        <v>11925</v>
      </c>
      <c r="E10096" s="7" t="s">
        <v>28</v>
      </c>
      <c r="F10096" s="8" t="str">
        <f ca="1">IFERROR(__xludf.DUMMYFUNCTION("IF
(
C10097=""фізична особа""
,
VLOOKUP(D10097,IMPORTRANGE(""https://docs.google.com/spreadsheets/d/14Bd19lYaqBhU8_DElYkX7l4wRkHqqCUFNJY4AfY3kHU/edit?usp=sharing  #gid=0"",""фіз особи new!relations_name""),6,FALSE)
,
(IF
(
C10097=""юридична особа""
,
VLOO"&amp;"KUP(D10097,IMPORTRANGE(""https://docs.google.com/spreadsheets/d/14Bd19lYaqBhU8_DElYkX7l4wRkHqqCUFNJY4AfY3kHU/edit?usp=sharing  #gid=0"",""фіз особи new!relations_name_uo""),7,FALSE)
,
)
))"),"РОМАНЕНКО Калістрат Сергійович / Калістрат")</f>
        <v>РОМАНЕНКО Калістрат Сергійович / Калістрат</v>
      </c>
      <c r="G10096" s="7" t="s">
        <v>10</v>
      </c>
      <c r="H10096" s="7">
        <v>8913</v>
      </c>
      <c r="I10096" s="8" t="str">
        <f ca="1">IFERROR(__xludf.DUMMYFUNCTION("IF
(
G10097=""фізична особа""
,
VLOOKUP(H10097,IMPORTRANGE(""https://docs.google.com/spreadsheets/d/14Bd19lYaqBhU8_DElYkX7l4wRkHqqCUFNJY4AfY3kHU/edit?usp=sharing  #gid=0"",""фіз особи new!relations_name""),6,FALSE)
,
(IF
(
G10097=""юридична особа""
,
VLOO"&amp;"KUP(H10097,IMPORTRANGE(""https://docs.google.com/spreadsheets/d/14Bd19lYaqBhU8_DElYkX7l4wRkHqqCUFNJY4AfY3kHU/edit?usp=sharing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6" s="7" t="s">
        <v>29</v>
      </c>
    </row>
    <row r="10097" spans="1:10" ht="13.2">
      <c r="A10097" s="7">
        <v>10096</v>
      </c>
      <c r="B10097" s="7">
        <v>1</v>
      </c>
      <c r="C10097" s="7" t="s">
        <v>10</v>
      </c>
      <c r="D10097" s="7">
        <v>11926</v>
      </c>
      <c r="E10097" s="7" t="s">
        <v>28</v>
      </c>
      <c r="F10097" s="8" t="str">
        <f ca="1">IFERROR(__xludf.DUMMYFUNCTION("IF
(
C10098=""фізична особа""
,
VLOOKUP(D10098,IMPORTRANGE(""https://docs.google.com/spreadsheets/d/14Bd19lYaqBhU8_DElYkX7l4wRkHqqCUFNJY4AfY3kHU/edit?usp=sharing  #gid=0"",""фіз особи new!relations_name""),6,FALSE)
,
(IF
(
C10098=""юридична особа""
,
VLOO"&amp;"KUP(D10098,IMPORTRANGE(""https://docs.google.com/spreadsheets/d/14Bd19lYaqBhU8_DElYkX7l4wRkHqqCUFNJY4AfY3kHU/edit?usp=sharing  #gid=0"",""фіз особи new!relations_name_uo""),7,FALSE)
,
)
))"),"РУДЕНКО Володимир Миколайович / Іоанн")</f>
        <v>РУДЕНКО Володимир Миколайович / Іоанн</v>
      </c>
      <c r="G10097" s="7" t="s">
        <v>10</v>
      </c>
      <c r="H10097" s="7">
        <v>8913</v>
      </c>
      <c r="I10097" s="8" t="str">
        <f ca="1">IFERROR(__xludf.DUMMYFUNCTION("IF
(
G10098=""фізична особа""
,
VLOOKUP(H10098,IMPORTRANGE(""https://docs.google.com/spreadsheets/d/14Bd19lYaqBhU8_DElYkX7l4wRkHqqCUFNJY4AfY3kHU/edit?usp=sharing  #gid=0"",""фіз особи new!relations_name""),6,FALSE)
,
(IF
(
G10098=""юридична особа""
,
VLOO"&amp;"KUP(H10098,IMPORTRANGE(""https://docs.google.com/spreadsheets/d/14Bd19lYaqBhU8_DElYkX7l4wRkHqqCUFNJY4AfY3kHU/edit?usp=sharing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7" s="7" t="s">
        <v>29</v>
      </c>
    </row>
    <row r="10098" spans="1:10" ht="13.2">
      <c r="A10098" s="7">
        <v>10097</v>
      </c>
      <c r="B10098" s="7">
        <v>1</v>
      </c>
      <c r="C10098" s="7" t="s">
        <v>10</v>
      </c>
      <c r="D10098" s="7">
        <v>11927</v>
      </c>
      <c r="E10098" s="7" t="s">
        <v>28</v>
      </c>
      <c r="F10098" s="8" t="str">
        <f ca="1">IFERROR(__xludf.DUMMYFUNCTION("IF
(
C10099=""фізична особа""
,
VLOOKUP(D10099,IMPORTRANGE(""https://docs.google.com/spreadsheets/d/14Bd19lYaqBhU8_DElYkX7l4wRkHqqCUFNJY4AfY3kHU/edit?usp=sharing  #gid=0"",""фіз особи new!relations_name""),6,FALSE)
,
(IF
(
C10099=""юридична особа""
,
VLOO"&amp;"KUP(D10099,IMPORTRANGE(""https://docs.google.com/spreadsheets/d/14Bd19lYaqBhU8_DElYkX7l4wRkHqqCUFNJY4AfY3kHU/edit?usp=sharing  #gid=0"",""фіз особи new!relations_name_uo""),7,FALSE)
,
)
))"),"РУМЯНЦЕВ Георгій Серафимович / Ігнатій")</f>
        <v>РУМЯНЦЕВ Георгій Серафимович / Ігнатій</v>
      </c>
      <c r="G10098" s="7" t="s">
        <v>10</v>
      </c>
      <c r="H10098" s="7">
        <v>8913</v>
      </c>
      <c r="I10098" s="8" t="str">
        <f ca="1">IFERROR(__xludf.DUMMYFUNCTION("IF
(
G10099=""фізична особа""
,
VLOOKUP(H10099,IMPORTRANGE(""https://docs.google.com/spreadsheets/d/14Bd19lYaqBhU8_DElYkX7l4wRkHqqCUFNJY4AfY3kHU/edit?usp=sharing  #gid=0"",""фіз особи new!relations_name""),6,FALSE)
,
(IF
(
G10099=""юридична особа""
,
VLOO"&amp;"KUP(H10099,IMPORTRANGE(""https://docs.google.com/spreadsheets/d/14Bd19lYaqBhU8_DElYkX7l4wRkHqqCUFNJY4AfY3kHU/edit?usp=sharing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8" s="7" t="s">
        <v>29</v>
      </c>
    </row>
    <row r="10099" spans="1:10" ht="13.2">
      <c r="A10099" s="7">
        <v>10098</v>
      </c>
      <c r="B10099" s="7">
        <v>1</v>
      </c>
      <c r="C10099" s="7" t="s">
        <v>10</v>
      </c>
      <c r="D10099" s="7">
        <v>11928</v>
      </c>
      <c r="E10099" s="7" t="s">
        <v>28</v>
      </c>
      <c r="F10099" s="8" t="str">
        <f ca="1">IFERROR(__xludf.DUMMYFUNCTION("IF
(
C10100=""фізична особа""
,
VLOOKUP(D10100,IMPORTRANGE(""https://docs.google.com/spreadsheets/d/14Bd19lYaqBhU8_DElYkX7l4wRkHqqCUFNJY4AfY3kHU/edit?usp=sharing  #gid=0"",""фіз особи new!relations_name""),6,FALSE)
,
(IF
(
C10100=""юридична особа""
,
VLOO"&amp;"KUP(D10100,IMPORTRANGE(""https://docs.google.com/spreadsheets/d/14Bd19lYaqBhU8_DElYkX7l4wRkHqqCUFNJY4AfY3kHU/edit?usp=sharing  #gid=0"",""фіз особи new!relations_name_uo""),7,FALSE)
,
)
))"),"САМКНУЛОВ Геннадій Анатолійович / Матвій")</f>
        <v>САМКНУЛОВ Геннадій Анатолійович / Матвій</v>
      </c>
      <c r="G10099" s="7" t="s">
        <v>10</v>
      </c>
      <c r="H10099" s="7">
        <v>8913</v>
      </c>
      <c r="I10099" s="8" t="str">
        <f ca="1">IFERROR(__xludf.DUMMYFUNCTION("IF
(
G10100=""фізична особа""
,
VLOOKUP(H10100,IMPORTRANGE(""https://docs.google.com/spreadsheets/d/14Bd19lYaqBhU8_DElYkX7l4wRkHqqCUFNJY4AfY3kHU/edit?usp=sharing  #gid=0"",""фіз особи new!relations_name""),6,FALSE)
,
(IF
(
G10100=""юридична особа""
,
VLOO"&amp;"KUP(H10100,IMPORTRANGE(""https://docs.google.com/spreadsheets/d/14Bd19lYaqBhU8_DElYkX7l4wRkHqqCUFNJY4AfY3kHU/edit?usp=sharing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099" s="7" t="s">
        <v>29</v>
      </c>
    </row>
    <row r="10100" spans="1:10" ht="13.2">
      <c r="A10100" s="7">
        <v>10099</v>
      </c>
      <c r="B10100" s="7">
        <v>1</v>
      </c>
      <c r="C10100" s="7" t="s">
        <v>10</v>
      </c>
      <c r="D10100" s="7">
        <v>11929</v>
      </c>
      <c r="E10100" s="7" t="s">
        <v>28</v>
      </c>
      <c r="F10100" s="8" t="str">
        <f ca="1">IFERROR(__xludf.DUMMYFUNCTION("IF
(
C10101=""фізична особа""
,
VLOOKUP(D10101,IMPORTRANGE(""https://docs.google.com/spreadsheets/d/14Bd19lYaqBhU8_DElYkX7l4wRkHqqCUFNJY4AfY3kHU/edit?usp=sharing  #gid=0"",""фіз особи new!relations_name""),6,FALSE)
,
(IF
(
C10101=""юридична особа""
,
VLOO"&amp;"KUP(D10101,IMPORTRANGE(""https://docs.google.com/spreadsheets/d/14Bd19lYaqBhU8_DElYkX7l4wRkHqqCUFNJY4AfY3kHU/edit?usp=sharing  #gid=0"",""фіз особи new!relations_name_uo""),7,FALSE)
,
)
))"),"САМОХІН Михайло Вікторович / Володимир")</f>
        <v>САМОХІН Михайло Вікторович / Володимир</v>
      </c>
      <c r="G10100" s="7" t="s">
        <v>10</v>
      </c>
      <c r="H10100" s="7">
        <v>8913</v>
      </c>
      <c r="I10100" s="8" t="str">
        <f ca="1">IFERROR(__xludf.DUMMYFUNCTION("IF
(
G10101=""фізична особа""
,
VLOOKUP(H10101,IMPORTRANGE(""https://docs.google.com/spreadsheets/d/14Bd19lYaqBhU8_DElYkX7l4wRkHqqCUFNJY4AfY3kHU/edit?usp=sharing  #gid=0"",""фіз особи new!relations_name""),6,FALSE)
,
(IF
(
G10101=""юридична особа""
,
VLOO"&amp;"KUP(H10101,IMPORTRANGE(""https://docs.google.com/spreadsheets/d/14Bd19lYaqBhU8_DElYkX7l4wRkHqqCUFNJY4AfY3kHU/edit?usp=sharing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0" s="7" t="s">
        <v>29</v>
      </c>
    </row>
    <row r="10101" spans="1:10" ht="13.2">
      <c r="A10101" s="7">
        <v>10100</v>
      </c>
      <c r="B10101" s="7">
        <v>1</v>
      </c>
      <c r="C10101" s="7" t="s">
        <v>10</v>
      </c>
      <c r="D10101" s="7">
        <v>11930</v>
      </c>
      <c r="E10101" s="7" t="s">
        <v>28</v>
      </c>
      <c r="F10101" s="8" t="str">
        <f ca="1">IFERROR(__xludf.DUMMYFUNCTION("IF
(
C10102=""фізична особа""
,
VLOOKUP(D10102,IMPORTRANGE(""https://docs.google.com/spreadsheets/d/14Bd19lYaqBhU8_DElYkX7l4wRkHqqCUFNJY4AfY3kHU/edit?usp=sharing  #gid=0"",""фіз особи new!relations_name""),6,FALSE)
,
(IF
(
C10102=""юридична особа""
,
VLOO"&amp;"KUP(D10102,IMPORTRANGE(""https://docs.google.com/spreadsheets/d/14Bd19lYaqBhU8_DElYkX7l4wRkHqqCUFNJY4AfY3kHU/edit?usp=sharing  #gid=0"",""фіз особи new!relations_name_uo""),7,FALSE)
,
)
))"),"СЕЛЕЗНЬОВ Микола Васильович / Нектарій")</f>
        <v>СЕЛЕЗНЬОВ Микола Васильович / Нектарій</v>
      </c>
      <c r="G10101" s="7" t="s">
        <v>10</v>
      </c>
      <c r="H10101" s="7">
        <v>8913</v>
      </c>
      <c r="I10101" s="8" t="str">
        <f ca="1">IFERROR(__xludf.DUMMYFUNCTION("IF
(
G10102=""фізична особа""
,
VLOOKUP(H10102,IMPORTRANGE(""https://docs.google.com/spreadsheets/d/14Bd19lYaqBhU8_DElYkX7l4wRkHqqCUFNJY4AfY3kHU/edit?usp=sharing  #gid=0"",""фіз особи new!relations_name""),6,FALSE)
,
(IF
(
G10102=""юридична особа""
,
VLOO"&amp;"KUP(H10102,IMPORTRANGE(""https://docs.google.com/spreadsheets/d/14Bd19lYaqBhU8_DElYkX7l4wRkHqqCUFNJY4AfY3kHU/edit?usp=sharing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1" s="7" t="s">
        <v>29</v>
      </c>
    </row>
    <row r="10102" spans="1:10" ht="13.2">
      <c r="A10102" s="7">
        <v>10101</v>
      </c>
      <c r="B10102" s="7">
        <v>1</v>
      </c>
      <c r="C10102" s="7" t="s">
        <v>10</v>
      </c>
      <c r="D10102" s="7">
        <v>11931</v>
      </c>
      <c r="E10102" s="7" t="s">
        <v>28</v>
      </c>
      <c r="F10102" s="8" t="str">
        <f ca="1">IFERROR(__xludf.DUMMYFUNCTION("IF
(
C10103=""фізична особа""
,
VLOOKUP(D10103,IMPORTRANGE(""https://docs.google.com/spreadsheets/d/14Bd19lYaqBhU8_DElYkX7l4wRkHqqCUFNJY4AfY3kHU/edit?usp=sharing  #gid=0"",""фіз особи new!relations_name""),6,FALSE)
,
(IF
(
C10103=""юридична особа""
,
VLOO"&amp;"KUP(D10103,IMPORTRANGE(""https://docs.google.com/spreadsheets/d/14Bd19lYaqBhU8_DElYkX7l4wRkHqqCUFNJY4AfY3kHU/edit?usp=sharing  #gid=0"",""фіз особи new!relations_name_uo""),7,FALSE)
,
)
))"),"СЕРЬОГІН Михайло Петрович / Митрофан")</f>
        <v>СЕРЬОГІН Михайло Петрович / Митрофан</v>
      </c>
      <c r="G10102" s="7" t="s">
        <v>10</v>
      </c>
      <c r="H10102" s="7">
        <v>8913</v>
      </c>
      <c r="I10102" s="8" t="str">
        <f ca="1">IFERROR(__xludf.DUMMYFUNCTION("IF
(
G10103=""фізична особа""
,
VLOOKUP(H10103,IMPORTRANGE(""https://docs.google.com/spreadsheets/d/14Bd19lYaqBhU8_DElYkX7l4wRkHqqCUFNJY4AfY3kHU/edit?usp=sharing  #gid=0"",""фіз особи new!relations_name""),6,FALSE)
,
(IF
(
G10103=""юридична особа""
,
VLOO"&amp;"KUP(H10103,IMPORTRANGE(""https://docs.google.com/spreadsheets/d/14Bd19lYaqBhU8_DElYkX7l4wRkHqqCUFNJY4AfY3kHU/edit?usp=sharing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2" s="7" t="s">
        <v>29</v>
      </c>
    </row>
    <row r="10103" spans="1:10" ht="13.2">
      <c r="A10103" s="7">
        <v>10102</v>
      </c>
      <c r="B10103" s="7">
        <v>1</v>
      </c>
      <c r="C10103" s="7" t="s">
        <v>10</v>
      </c>
      <c r="D10103" s="7">
        <v>11932</v>
      </c>
      <c r="E10103" s="7" t="s">
        <v>28</v>
      </c>
      <c r="F10103" s="8" t="str">
        <f ca="1">IFERROR(__xludf.DUMMYFUNCTION("IF
(
C10104=""фізична особа""
,
VLOOKUP(D10104,IMPORTRANGE(""https://docs.google.com/spreadsheets/d/14Bd19lYaqBhU8_DElYkX7l4wRkHqqCUFNJY4AfY3kHU/edit?usp=sharing  #gid=0"",""фіз особи new!relations_name""),6,FALSE)
,
(IF
(
C10104=""юридична особа""
,
VLOO"&amp;"KUP(D10104,IMPORTRANGE(""https://docs.google.com/spreadsheets/d/14Bd19lYaqBhU8_DElYkX7l4wRkHqqCUFNJY4AfY3kHU/edit?usp=sharing  #gid=0"",""фіз особи new!relations_name_uo""),7,FALSE)
,
)
))"),"СИНЯЄВ Володимир Олександрович / Корнилій")</f>
        <v>СИНЯЄВ Володимир Олександрович / Корнилій</v>
      </c>
      <c r="G10103" s="7" t="s">
        <v>10</v>
      </c>
      <c r="H10103" s="7">
        <v>8913</v>
      </c>
      <c r="I10103" s="8" t="str">
        <f ca="1">IFERROR(__xludf.DUMMYFUNCTION("IF
(
G10104=""фізична особа""
,
VLOOKUP(H10104,IMPORTRANGE(""https://docs.google.com/spreadsheets/d/14Bd19lYaqBhU8_DElYkX7l4wRkHqqCUFNJY4AfY3kHU/edit?usp=sharing  #gid=0"",""фіз особи new!relations_name""),6,FALSE)
,
(IF
(
G10104=""юридична особа""
,
VLOO"&amp;"KUP(H10104,IMPORTRANGE(""https://docs.google.com/spreadsheets/d/14Bd19lYaqBhU8_DElYkX7l4wRkHqqCUFNJY4AfY3kHU/edit?usp=sharing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3" s="7" t="s">
        <v>29</v>
      </c>
    </row>
    <row r="10104" spans="1:10" ht="13.2">
      <c r="A10104" s="7">
        <v>10103</v>
      </c>
      <c r="B10104" s="7">
        <v>1</v>
      </c>
      <c r="C10104" s="7" t="s">
        <v>10</v>
      </c>
      <c r="D10104" s="7">
        <v>11933</v>
      </c>
      <c r="E10104" s="7" t="s">
        <v>28</v>
      </c>
      <c r="F10104" s="8" t="str">
        <f ca="1">IFERROR(__xludf.DUMMYFUNCTION("IF
(
C10105=""фізична особа""
,
VLOOKUP(D10105,IMPORTRANGE(""https://docs.google.com/spreadsheets/d/14Bd19lYaqBhU8_DElYkX7l4wRkHqqCUFNJY4AfY3kHU/edit?usp=sharing  #gid=0"",""фіз особи new!relations_name""),6,FALSE)
,
(IF
(
C10105=""юридична особа""
,
VLOO"&amp;"KUP(D10105,IMPORTRANGE(""https://docs.google.com/spreadsheets/d/14Bd19lYaqBhU8_DElYkX7l4wRkHqqCUFNJY4AfY3kHU/edit?usp=sharing  #gid=0"",""фіз особи new!relations_name_uo""),7,FALSE)
,
)
))"),"СМИРНОВ Вадим Анатолійович / Аристарх")</f>
        <v>СМИРНОВ Вадим Анатолійович / Аристарх</v>
      </c>
      <c r="G10104" s="7" t="s">
        <v>10</v>
      </c>
      <c r="H10104" s="7">
        <v>8913</v>
      </c>
      <c r="I10104" s="8" t="str">
        <f ca="1">IFERROR(__xludf.DUMMYFUNCTION("IF
(
G10105=""фізична особа""
,
VLOOKUP(H10105,IMPORTRANGE(""https://docs.google.com/spreadsheets/d/14Bd19lYaqBhU8_DElYkX7l4wRkHqqCUFNJY4AfY3kHU/edit?usp=sharing  #gid=0"",""фіз особи new!relations_name""),6,FALSE)
,
(IF
(
G10105=""юридична особа""
,
VLOO"&amp;"KUP(H10105,IMPORTRANGE(""https://docs.google.com/spreadsheets/d/14Bd19lYaqBhU8_DElYkX7l4wRkHqqCUFNJY4AfY3kHU/edit?usp=sharing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4" s="7" t="s">
        <v>29</v>
      </c>
    </row>
    <row r="10105" spans="1:10" ht="13.2">
      <c r="A10105" s="7">
        <v>10104</v>
      </c>
      <c r="B10105" s="7">
        <v>1</v>
      </c>
      <c r="C10105" s="7" t="s">
        <v>10</v>
      </c>
      <c r="D10105" s="7">
        <v>11934</v>
      </c>
      <c r="E10105" s="7" t="s">
        <v>28</v>
      </c>
      <c r="F10105" s="8" t="str">
        <f ca="1">IFERROR(__xludf.DUMMYFUNCTION("IF
(
C10106=""фізична особа""
,
VLOOKUP(D10106,IMPORTRANGE(""https://docs.google.com/spreadsheets/d/14Bd19lYaqBhU8_DElYkX7l4wRkHqqCUFNJY4AfY3kHU/edit?usp=sharing  #gid=0"",""фіз особи new!relations_name""),6,FALSE)
,
(IF
(
C10106=""юридична особа""
,
VLOO"&amp;"KUP(D10106,IMPORTRANGE(""https://docs.google.com/spreadsheets/d/14Bd19lYaqBhU8_DElYkX7l4wRkHqqCUFNJY4AfY3kHU/edit?usp=sharing  #gid=0"",""фіз особи new!relations_name_uo""),7,FALSE)
,
)
))"),"СНІГУР Олександр Миколайович / Артемій")</f>
        <v>СНІГУР Олександр Миколайович / Артемій</v>
      </c>
      <c r="G10105" s="7" t="s">
        <v>10</v>
      </c>
      <c r="H10105" s="7">
        <v>8913</v>
      </c>
      <c r="I10105" s="8" t="str">
        <f ca="1">IFERROR(__xludf.DUMMYFUNCTION("IF
(
G10106=""фізична особа""
,
VLOOKUP(H10106,IMPORTRANGE(""https://docs.google.com/spreadsheets/d/14Bd19lYaqBhU8_DElYkX7l4wRkHqqCUFNJY4AfY3kHU/edit?usp=sharing  #gid=0"",""фіз особи new!relations_name""),6,FALSE)
,
(IF
(
G10106=""юридична особа""
,
VLOO"&amp;"KUP(H10106,IMPORTRANGE(""https://docs.google.com/spreadsheets/d/14Bd19lYaqBhU8_DElYkX7l4wRkHqqCUFNJY4AfY3kHU/edit?usp=sharing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5" s="7" t="s">
        <v>29</v>
      </c>
    </row>
    <row r="10106" spans="1:10" ht="13.2">
      <c r="A10106" s="7">
        <v>10105</v>
      </c>
      <c r="B10106" s="7">
        <v>1</v>
      </c>
      <c r="C10106" s="7" t="s">
        <v>10</v>
      </c>
      <c r="D10106" s="7">
        <v>11935</v>
      </c>
      <c r="E10106" s="7" t="s">
        <v>28</v>
      </c>
      <c r="F10106" s="8" t="str">
        <f ca="1">IFERROR(__xludf.DUMMYFUNCTION("IF
(
C10107=""фізична особа""
,
VLOOKUP(D10107,IMPORTRANGE(""https://docs.google.com/spreadsheets/d/14Bd19lYaqBhU8_DElYkX7l4wRkHqqCUFNJY4AfY3kHU/edit?usp=sharing  #gid=0"",""фіз особи new!relations_name""),6,FALSE)
,
(IF
(
C10107=""юридична особа""
,
VLOO"&amp;"KUP(D10107,IMPORTRANGE(""https://docs.google.com/spreadsheets/d/14Bd19lYaqBhU8_DElYkX7l4wRkHqqCUFNJY4AfY3kHU/edit?usp=sharing  #gid=0"",""фіз особи new!relations_name_uo""),7,FALSE)
,
)
))"),"ТИХОНОВ Михайло Анатолійович / Феодорит")</f>
        <v>ТИХОНОВ Михайло Анатолійович / Феодорит</v>
      </c>
      <c r="G10106" s="7" t="s">
        <v>10</v>
      </c>
      <c r="H10106" s="7">
        <v>8913</v>
      </c>
      <c r="I10106" s="8" t="str">
        <f ca="1">IFERROR(__xludf.DUMMYFUNCTION("IF
(
G10107=""фізична особа""
,
VLOOKUP(H10107,IMPORTRANGE(""https://docs.google.com/spreadsheets/d/14Bd19lYaqBhU8_DElYkX7l4wRkHqqCUFNJY4AfY3kHU/edit?usp=sharing  #gid=0"",""фіз особи new!relations_name""),6,FALSE)
,
(IF
(
G10107=""юридична особа""
,
VLOO"&amp;"KUP(H10107,IMPORTRANGE(""https://docs.google.com/spreadsheets/d/14Bd19lYaqBhU8_DElYkX7l4wRkHqqCUFNJY4AfY3kHU/edit?usp=sharing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6" s="7" t="s">
        <v>29</v>
      </c>
    </row>
    <row r="10107" spans="1:10" ht="13.2">
      <c r="A10107" s="7">
        <v>10106</v>
      </c>
      <c r="B10107" s="7">
        <v>1</v>
      </c>
      <c r="C10107" s="7" t="s">
        <v>10</v>
      </c>
      <c r="D10107" s="7">
        <v>11936</v>
      </c>
      <c r="E10107" s="7" t="s">
        <v>28</v>
      </c>
      <c r="F10107" s="8" t="str">
        <f ca="1">IFERROR(__xludf.DUMMYFUNCTION("IF
(
C10108=""фізична особа""
,
VLOOKUP(D10108,IMPORTRANGE(""https://docs.google.com/spreadsheets/d/14Bd19lYaqBhU8_DElYkX7l4wRkHqqCUFNJY4AfY3kHU/edit?usp=sharing  #gid=0"",""фіз особи new!relations_name""),6,FALSE)
,
(IF
(
C10108=""юридична особа""
,
VLOO"&amp;"KUP(D10108,IMPORTRANGE(""https://docs.google.com/spreadsheets/d/14Bd19lYaqBhU8_DElYkX7l4wRkHqqCUFNJY4AfY3kHU/edit?usp=sharing  #gid=0"",""фіз особи new!relations_name_uo""),7,FALSE)
,
)
))"),"ТОЛМАЧОВ Денис Володимирович / Леонід")</f>
        <v>ТОЛМАЧОВ Денис Володимирович / Леонід</v>
      </c>
      <c r="G10107" s="7" t="s">
        <v>10</v>
      </c>
      <c r="H10107" s="7">
        <v>8913</v>
      </c>
      <c r="I10107" s="8" t="str">
        <f ca="1">IFERROR(__xludf.DUMMYFUNCTION("IF
(
G10108=""фізична особа""
,
VLOOKUP(H10108,IMPORTRANGE(""https://docs.google.com/spreadsheets/d/14Bd19lYaqBhU8_DElYkX7l4wRkHqqCUFNJY4AfY3kHU/edit?usp=sharing  #gid=0"",""фіз особи new!relations_name""),6,FALSE)
,
(IF
(
G10108=""юридична особа""
,
VLOO"&amp;"KUP(H10108,IMPORTRANGE(""https://docs.google.com/spreadsheets/d/14Bd19lYaqBhU8_DElYkX7l4wRkHqqCUFNJY4AfY3kHU/edit?usp=sharing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7" s="7" t="s">
        <v>29</v>
      </c>
    </row>
    <row r="10108" spans="1:10" ht="13.2">
      <c r="A10108" s="7">
        <v>10107</v>
      </c>
      <c r="B10108" s="7">
        <v>1</v>
      </c>
      <c r="C10108" s="7" t="s">
        <v>10</v>
      </c>
      <c r="D10108" s="7">
        <v>11937</v>
      </c>
      <c r="E10108" s="7" t="s">
        <v>28</v>
      </c>
      <c r="F10108" s="8" t="str">
        <f ca="1">IFERROR(__xludf.DUMMYFUNCTION("IF
(
C10109=""фізична особа""
,
VLOOKUP(D10109,IMPORTRANGE(""https://docs.google.com/spreadsheets/d/14Bd19lYaqBhU8_DElYkX7l4wRkHqqCUFNJY4AfY3kHU/edit?usp=sharing  #gid=0"",""фіз особи new!relations_name""),6,FALSE)
,
(IF
(
C10109=""юридична особа""
,
VLOO"&amp;"KUP(D10109,IMPORTRANGE(""https://docs.google.com/spreadsheets/d/14Bd19lYaqBhU8_DElYkX7l4wRkHqqCUFNJY4AfY3kHU/edit?usp=sharing  #gid=0"",""фіз особи new!relations_name_uo""),7,FALSE)
,
)
))"),"ТУЖИКОВ Олексій Вікторович / Марк")</f>
        <v>ТУЖИКОВ Олексій Вікторович / Марк</v>
      </c>
      <c r="G10108" s="7" t="s">
        <v>10</v>
      </c>
      <c r="H10108" s="7">
        <v>8913</v>
      </c>
      <c r="I10108" s="8" t="str">
        <f ca="1">IFERROR(__xludf.DUMMYFUNCTION("IF
(
G10109=""фізична особа""
,
VLOOKUP(H10109,IMPORTRANGE(""https://docs.google.com/spreadsheets/d/14Bd19lYaqBhU8_DElYkX7l4wRkHqqCUFNJY4AfY3kHU/edit?usp=sharing  #gid=0"",""фіз особи new!relations_name""),6,FALSE)
,
(IF
(
G10109=""юридична особа""
,
VLOO"&amp;"KUP(H10109,IMPORTRANGE(""https://docs.google.com/spreadsheets/d/14Bd19lYaqBhU8_DElYkX7l4wRkHqqCUFNJY4AfY3kHU/edit?usp=sharing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8" s="7" t="s">
        <v>29</v>
      </c>
    </row>
    <row r="10109" spans="1:10" ht="13.2">
      <c r="A10109" s="7">
        <v>10108</v>
      </c>
      <c r="B10109" s="7">
        <v>1</v>
      </c>
      <c r="C10109" s="7" t="s">
        <v>10</v>
      </c>
      <c r="D10109" s="7">
        <v>11938</v>
      </c>
      <c r="E10109" s="7" t="s">
        <v>28</v>
      </c>
      <c r="F10109" s="8" t="str">
        <f ca="1">IFERROR(__xludf.DUMMYFUNCTION("IF
(
C10110=""фізична особа""
,
VLOOKUP(D10110,IMPORTRANGE(""https://docs.google.com/spreadsheets/d/14Bd19lYaqBhU8_DElYkX7l4wRkHqqCUFNJY4AfY3kHU/edit?usp=sharing  #gid=0"",""фіз особи new!relations_name""),6,FALSE)
,
(IF
(
C10110=""юридична особа""
,
VLOO"&amp;"KUP(D10110,IMPORTRANGE(""https://docs.google.com/spreadsheets/d/14Bd19lYaqBhU8_DElYkX7l4wRkHqqCUFNJY4AfY3kHU/edit?usp=sharing  #gid=0"",""фіз особи new!relations_name_uo""),7,FALSE)
,
)
))"),"ТУПИКІН Роман Володимирович / Ісідор")</f>
        <v>ТУПИКІН Роман Володимирович / Ісідор</v>
      </c>
      <c r="G10109" s="7" t="s">
        <v>10</v>
      </c>
      <c r="H10109" s="7">
        <v>8913</v>
      </c>
      <c r="I10109" s="8" t="str">
        <f ca="1">IFERROR(__xludf.DUMMYFUNCTION("IF
(
G10110=""фізична особа""
,
VLOOKUP(H10110,IMPORTRANGE(""https://docs.google.com/spreadsheets/d/14Bd19lYaqBhU8_DElYkX7l4wRkHqqCUFNJY4AfY3kHU/edit?usp=sharing  #gid=0"",""фіз особи new!relations_name""),6,FALSE)
,
(IF
(
G10110=""юридична особа""
,
VLOO"&amp;"KUP(H10110,IMPORTRANGE(""https://docs.google.com/spreadsheets/d/14Bd19lYaqBhU8_DElYkX7l4wRkHqqCUFNJY4AfY3kHU/edit?usp=sharing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09" s="7" t="s">
        <v>29</v>
      </c>
    </row>
    <row r="10110" spans="1:10" ht="13.2">
      <c r="A10110" s="7">
        <v>10109</v>
      </c>
      <c r="B10110" s="7">
        <v>1</v>
      </c>
      <c r="C10110" s="7" t="s">
        <v>10</v>
      </c>
      <c r="D10110" s="7">
        <v>11939</v>
      </c>
      <c r="E10110" s="7" t="s">
        <v>28</v>
      </c>
      <c r="F10110" s="8" t="str">
        <f ca="1">IFERROR(__xludf.DUMMYFUNCTION("IF
(
C10111=""фізична особа""
,
VLOOKUP(D10111,IMPORTRANGE(""https://docs.google.com/spreadsheets/d/14Bd19lYaqBhU8_DElYkX7l4wRkHqqCUFNJY4AfY3kHU/edit?usp=sharing  #gid=0"",""фіз особи new!relations_name""),6,FALSE)
,
(IF
(
C10111=""юридична особа""
,
VLOO"&amp;"KUP(D10111,IMPORTRANGE(""https://docs.google.com/spreadsheets/d/14Bd19lYaqBhU8_DElYkX7l4wRkHqqCUFNJY4AfY3kHU/edit?usp=sharing  #gid=0"",""фіз особи new!relations_name_uo""),7,FALSE)
,
)
))"),"ТУТУНОВ Сергій Андрійович / Сава")</f>
        <v>ТУТУНОВ Сергій Андрійович / Сава</v>
      </c>
      <c r="G10110" s="7" t="s">
        <v>10</v>
      </c>
      <c r="H10110" s="7">
        <v>8913</v>
      </c>
      <c r="I10110" s="8" t="str">
        <f ca="1">IFERROR(__xludf.DUMMYFUNCTION("IF
(
G10111=""фізична особа""
,
VLOOKUP(H10111,IMPORTRANGE(""https://docs.google.com/spreadsheets/d/14Bd19lYaqBhU8_DElYkX7l4wRkHqqCUFNJY4AfY3kHU/edit?usp=sharing  #gid=0"",""фіз особи new!relations_name""),6,FALSE)
,
(IF
(
G10111=""юридична особа""
,
VLOO"&amp;"KUP(H10111,IMPORTRANGE(""https://docs.google.com/spreadsheets/d/14Bd19lYaqBhU8_DElYkX7l4wRkHqqCUFNJY4AfY3kHU/edit?usp=sharing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0" s="7" t="s">
        <v>29</v>
      </c>
    </row>
    <row r="10111" spans="1:10" ht="13.2">
      <c r="A10111" s="7">
        <v>10110</v>
      </c>
      <c r="B10111" s="7">
        <v>1</v>
      </c>
      <c r="C10111" s="7" t="s">
        <v>10</v>
      </c>
      <c r="D10111" s="7">
        <v>11940</v>
      </c>
      <c r="E10111" s="7" t="s">
        <v>28</v>
      </c>
      <c r="F10111" s="8" t="str">
        <f ca="1">IFERROR(__xludf.DUMMYFUNCTION("IF
(
C10112=""фізична особа""
,
VLOOKUP(D10112,IMPORTRANGE(""https://docs.google.com/spreadsheets/d/14Bd19lYaqBhU8_DElYkX7l4wRkHqqCUFNJY4AfY3kHU/edit?usp=sharing  #gid=0"",""фіз особи new!relations_name""),6,FALSE)
,
(IF
(
C10112=""юридична особа""
,
VLOO"&amp;"KUP(D10112,IMPORTRANGE(""https://docs.google.com/spreadsheets/d/14Bd19lYaqBhU8_DElYkX7l4wRkHqqCUFNJY4AfY3kHU/edit?usp=sharing  #gid=0"",""фіз особи new!relations_name_uo""),7,FALSE)
,
)
))"),"УЛЬЯНОВ Олександр Михайлович / Адріан")</f>
        <v>УЛЬЯНОВ Олександр Михайлович / Адріан</v>
      </c>
      <c r="G10111" s="7" t="s">
        <v>10</v>
      </c>
      <c r="H10111" s="7">
        <v>8913</v>
      </c>
      <c r="I10111" s="8" t="str">
        <f ca="1">IFERROR(__xludf.DUMMYFUNCTION("IF
(
G10112=""фізична особа""
,
VLOOKUP(H10112,IMPORTRANGE(""https://docs.google.com/spreadsheets/d/14Bd19lYaqBhU8_DElYkX7l4wRkHqqCUFNJY4AfY3kHU/edit?usp=sharing  #gid=0"",""фіз особи new!relations_name""),6,FALSE)
,
(IF
(
G10112=""юридична особа""
,
VLOO"&amp;"KUP(H10112,IMPORTRANGE(""https://docs.google.com/spreadsheets/d/14Bd19lYaqBhU8_DElYkX7l4wRkHqqCUFNJY4AfY3kHU/edit?usp=sharing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1" s="7" t="s">
        <v>29</v>
      </c>
    </row>
    <row r="10112" spans="1:10" ht="13.2">
      <c r="A10112" s="7">
        <v>10111</v>
      </c>
      <c r="B10112" s="7">
        <v>1</v>
      </c>
      <c r="C10112" s="7" t="s">
        <v>10</v>
      </c>
      <c r="D10112" s="7">
        <v>11941</v>
      </c>
      <c r="E10112" s="7" t="s">
        <v>28</v>
      </c>
      <c r="F10112" s="8" t="str">
        <f ca="1">IFERROR(__xludf.DUMMYFUNCTION("IF
(
C10113=""фізична особа""
,
VLOOKUP(D10113,IMPORTRANGE(""https://docs.google.com/spreadsheets/d/14Bd19lYaqBhU8_DElYkX7l4wRkHqqCUFNJY4AfY3kHU/edit?usp=sharing  #gid=0"",""фіз особи new!relations_name""),6,FALSE)
,
(IF
(
C10113=""юридична особа""
,
VLOO"&amp;"KUP(D10113,IMPORTRANGE(""https://docs.google.com/spreadsheets/d/14Bd19lYaqBhU8_DElYkX7l4wRkHqqCUFNJY4AfY3kHU/edit?usp=sharing  #gid=0"",""фіз особи new!relations_name_uo""),7,FALSE)
,
)
))"),"ФЕДОРОВ Владислав Альбертович / Гурій")</f>
        <v>ФЕДОРОВ Владислав Альбертович / Гурій</v>
      </c>
      <c r="G10112" s="7" t="s">
        <v>10</v>
      </c>
      <c r="H10112" s="7">
        <v>8913</v>
      </c>
      <c r="I10112" s="8" t="str">
        <f ca="1">IFERROR(__xludf.DUMMYFUNCTION("IF
(
G10113=""фізична особа""
,
VLOOKUP(H10113,IMPORTRANGE(""https://docs.google.com/spreadsheets/d/14Bd19lYaqBhU8_DElYkX7l4wRkHqqCUFNJY4AfY3kHU/edit?usp=sharing  #gid=0"",""фіз особи new!relations_name""),6,FALSE)
,
(IF
(
G10113=""юридична особа""
,
VLOO"&amp;"KUP(H10113,IMPORTRANGE(""https://docs.google.com/spreadsheets/d/14Bd19lYaqBhU8_DElYkX7l4wRkHqqCUFNJY4AfY3kHU/edit?usp=sharing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2" s="7" t="s">
        <v>29</v>
      </c>
    </row>
    <row r="10113" spans="1:10" ht="13.2">
      <c r="A10113" s="7">
        <v>10112</v>
      </c>
      <c r="B10113" s="7">
        <v>1</v>
      </c>
      <c r="C10113" s="7" t="s">
        <v>10</v>
      </c>
      <c r="D10113" s="7">
        <v>11942</v>
      </c>
      <c r="E10113" s="7" t="s">
        <v>28</v>
      </c>
      <c r="F10113" s="8" t="str">
        <f ca="1">IFERROR(__xludf.DUMMYFUNCTION("IF
(
C10114=""фізична особа""
,
VLOOKUP(D10114,IMPORTRANGE(""https://docs.google.com/spreadsheets/d/14Bd19lYaqBhU8_DElYkX7l4wRkHqqCUFNJY4AfY3kHU/edit?usp=sharing  #gid=0"",""фіз особи new!relations_name""),6,FALSE)
,
(IF
(
C10114=""юридична особа""
,
VLOO"&amp;"KUP(D10114,IMPORTRANGE(""https://docs.google.com/spreadsheets/d/14Bd19lYaqBhU8_DElYkX7l4wRkHqqCUFNJY4AfY3kHU/edit?usp=sharing  #gid=0"",""фіз особи new!relations_name_uo""),7,FALSE)
,
)
))"),"ФЕДУКОВИЧ Артур Степанович / Амвросій")</f>
        <v>ФЕДУКОВИЧ Артур Степанович / Амвросій</v>
      </c>
      <c r="G10113" s="7" t="s">
        <v>10</v>
      </c>
      <c r="H10113" s="7">
        <v>8913</v>
      </c>
      <c r="I10113" s="8" t="str">
        <f ca="1">IFERROR(__xludf.DUMMYFUNCTION("IF
(
G10114=""фізична особа""
,
VLOOKUP(H10114,IMPORTRANGE(""https://docs.google.com/spreadsheets/d/14Bd19lYaqBhU8_DElYkX7l4wRkHqqCUFNJY4AfY3kHU/edit?usp=sharing  #gid=0"",""фіз особи new!relations_name""),6,FALSE)
,
(IF
(
G10114=""юридична особа""
,
VLOO"&amp;"KUP(H10114,IMPORTRANGE(""https://docs.google.com/spreadsheets/d/14Bd19lYaqBhU8_DElYkX7l4wRkHqqCUFNJY4AfY3kHU/edit?usp=sharing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3" s="7" t="s">
        <v>29</v>
      </c>
    </row>
    <row r="10114" spans="1:10" ht="13.2">
      <c r="A10114" s="7">
        <v>10113</v>
      </c>
      <c r="B10114" s="7">
        <v>1</v>
      </c>
      <c r="C10114" s="7" t="s">
        <v>10</v>
      </c>
      <c r="D10114" s="7">
        <v>11943</v>
      </c>
      <c r="E10114" s="7" t="s">
        <v>28</v>
      </c>
      <c r="F10114" s="8" t="str">
        <f ca="1">IFERROR(__xludf.DUMMYFUNCTION("IF
(
C10115=""фізична особа""
,
VLOOKUP(D10115,IMPORTRANGE(""https://docs.google.com/spreadsheets/d/14Bd19lYaqBhU8_DElYkX7l4wRkHqqCUFNJY4AfY3kHU/edit?usp=sharing  #gid=0"",""фіз особи new!relations_name""),6,FALSE)
,
(IF
(
C10115=""юридична особа""
,
VLOO"&amp;"KUP(D10115,IMPORTRANGE(""https://docs.google.com/spreadsheets/d/14Bd19lYaqBhU8_DElYkX7l4wRkHqqCUFNJY4AfY3kHU/edit?usp=sharing  #gid=0"",""фіз особи new!relations_name_uo""),7,FALSE)
,
)
))"),"ФОКІН Павло Семенович / Павло")</f>
        <v>ФОКІН Павло Семенович / Павло</v>
      </c>
      <c r="G10114" s="7" t="s">
        <v>10</v>
      </c>
      <c r="H10114" s="7">
        <v>8913</v>
      </c>
      <c r="I10114" s="8" t="str">
        <f ca="1">IFERROR(__xludf.DUMMYFUNCTION("IF
(
G10115=""фізична особа""
,
VLOOKUP(H10115,IMPORTRANGE(""https://docs.google.com/spreadsheets/d/14Bd19lYaqBhU8_DElYkX7l4wRkHqqCUFNJY4AfY3kHU/edit?usp=sharing  #gid=0"",""фіз особи new!relations_name""),6,FALSE)
,
(IF
(
G10115=""юридична особа""
,
VLOO"&amp;"KUP(H10115,IMPORTRANGE(""https://docs.google.com/spreadsheets/d/14Bd19lYaqBhU8_DElYkX7l4wRkHqqCUFNJY4AfY3kHU/edit?usp=sharing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4" s="7" t="s">
        <v>29</v>
      </c>
    </row>
    <row r="10115" spans="1:10" ht="13.2">
      <c r="A10115" s="7">
        <v>10114</v>
      </c>
      <c r="B10115" s="7">
        <v>1</v>
      </c>
      <c r="C10115" s="7" t="s">
        <v>10</v>
      </c>
      <c r="D10115" s="7">
        <v>11944</v>
      </c>
      <c r="E10115" s="7" t="s">
        <v>28</v>
      </c>
      <c r="F10115" s="8" t="str">
        <f ca="1">IFERROR(__xludf.DUMMYFUNCTION("IF
(
C10116=""фізична особа""
,
VLOOKUP(D10116,IMPORTRANGE(""https://docs.google.com/spreadsheets/d/14Bd19lYaqBhU8_DElYkX7l4wRkHqqCUFNJY4AfY3kHU/edit?usp=sharing  #gid=0"",""фіз особи new!relations_name""),6,FALSE)
,
(IF
(
C10116=""юридична особа""
,
VLOO"&amp;"KUP(D10116,IMPORTRANGE(""https://docs.google.com/spreadsheets/d/14Bd19lYaqBhU8_DElYkX7l4wRkHqqCUFNJY4AfY3kHU/edit?usp=sharing  #gid=0"",""фіз особи new!relations_name_uo""),7,FALSE)
,
)
))"),"ФОМІН Віталій Павлович / Сергій")</f>
        <v>ФОМІН Віталій Павлович / Сергій</v>
      </c>
      <c r="G10115" s="7" t="s">
        <v>10</v>
      </c>
      <c r="H10115" s="7">
        <v>8913</v>
      </c>
      <c r="I10115" s="8" t="str">
        <f ca="1">IFERROR(__xludf.DUMMYFUNCTION("IF
(
G10116=""фізична особа""
,
VLOOKUP(H10116,IMPORTRANGE(""https://docs.google.com/spreadsheets/d/14Bd19lYaqBhU8_DElYkX7l4wRkHqqCUFNJY4AfY3kHU/edit?usp=sharing  #gid=0"",""фіз особи new!relations_name""),6,FALSE)
,
(IF
(
G10116=""юридична особа""
,
VLOO"&amp;"KUP(H10116,IMPORTRANGE(""https://docs.google.com/spreadsheets/d/14Bd19lYaqBhU8_DElYkX7l4wRkHqqCUFNJY4AfY3kHU/edit?usp=sharing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5" s="7" t="s">
        <v>29</v>
      </c>
    </row>
    <row r="10116" spans="1:10" ht="13.2">
      <c r="A10116" s="7">
        <v>10115</v>
      </c>
      <c r="B10116" s="7">
        <v>1</v>
      </c>
      <c r="C10116" s="7" t="s">
        <v>10</v>
      </c>
      <c r="D10116" s="7">
        <v>11945</v>
      </c>
      <c r="E10116" s="7" t="s">
        <v>28</v>
      </c>
      <c r="F10116" s="8" t="str">
        <f ca="1">IFERROR(__xludf.DUMMYFUNCTION("IF
(
C10117=""фізична особа""
,
VLOOKUP(D10117,IMPORTRANGE(""https://docs.google.com/spreadsheets/d/14Bd19lYaqBhU8_DElYkX7l4wRkHqqCUFNJY4AfY3kHU/edit?usp=sharing  #gid=0"",""фіз особи new!relations_name""),6,FALSE)
,
(IF
(
C10117=""юридична особа""
,
VLOO"&amp;"KUP(D10117,IMPORTRANGE(""https://docs.google.com/spreadsheets/d/14Bd19lYaqBhU8_DElYkX7l4wRkHqqCUFNJY4AfY3kHU/edit?usp=sharing  #gid=0"",""фіз особи new!relations_name_uo""),7,FALSE)
,
)
))"),"ФОМІН Микола Геннадійович / Нікон")</f>
        <v>ФОМІН Микола Геннадійович / Нікон</v>
      </c>
      <c r="G10116" s="7" t="s">
        <v>10</v>
      </c>
      <c r="H10116" s="7">
        <v>8913</v>
      </c>
      <c r="I10116" s="8" t="str">
        <f ca="1">IFERROR(__xludf.DUMMYFUNCTION("IF
(
G10117=""фізична особа""
,
VLOOKUP(H10117,IMPORTRANGE(""https://docs.google.com/spreadsheets/d/14Bd19lYaqBhU8_DElYkX7l4wRkHqqCUFNJY4AfY3kHU/edit?usp=sharing  #gid=0"",""фіз особи new!relations_name""),6,FALSE)
,
(IF
(
G10117=""юридична особа""
,
VLOO"&amp;"KUP(H10117,IMPORTRANGE(""https://docs.google.com/spreadsheets/d/14Bd19lYaqBhU8_DElYkX7l4wRkHqqCUFNJY4AfY3kHU/edit?usp=sharing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6" s="7" t="s">
        <v>29</v>
      </c>
    </row>
    <row r="10117" spans="1:10" ht="13.2">
      <c r="A10117" s="7">
        <v>10116</v>
      </c>
      <c r="B10117" s="7">
        <v>1</v>
      </c>
      <c r="C10117" s="7" t="s">
        <v>10</v>
      </c>
      <c r="D10117" s="7">
        <v>11946</v>
      </c>
      <c r="E10117" s="7" t="s">
        <v>28</v>
      </c>
      <c r="F10117" s="8" t="str">
        <f ca="1">IFERROR(__xludf.DUMMYFUNCTION("IF
(
C10118=""фізична особа""
,
VLOOKUP(D10118,IMPORTRANGE(""https://docs.google.com/spreadsheets/d/14Bd19lYaqBhU8_DElYkX7l4wRkHqqCUFNJY4AfY3kHU/edit?usp=sharing  #gid=0"",""фіз особи new!relations_name""),6,FALSE)
,
(IF
(
C10118=""юридична особа""
,
VLOO"&amp;"KUP(D10118,IMPORTRANGE(""https://docs.google.com/spreadsheets/d/14Bd19lYaqBhU8_DElYkX7l4wRkHqqCUFNJY4AfY3kHU/edit?usp=sharing  #gid=0"",""фіз особи new!relations_name_uo""),7,FALSE)
,
)
))"),"ФОМКІН Олександр Євгенійович / Єлисей")</f>
        <v>ФОМКІН Олександр Євгенійович / Єлисей</v>
      </c>
      <c r="G10117" s="7" t="s">
        <v>10</v>
      </c>
      <c r="H10117" s="7">
        <v>8913</v>
      </c>
      <c r="I10117" s="8" t="str">
        <f ca="1">IFERROR(__xludf.DUMMYFUNCTION("IF
(
G10118=""фізична особа""
,
VLOOKUP(H10118,IMPORTRANGE(""https://docs.google.com/spreadsheets/d/14Bd19lYaqBhU8_DElYkX7l4wRkHqqCUFNJY4AfY3kHU/edit?usp=sharing  #gid=0"",""фіз особи new!relations_name""),6,FALSE)
,
(IF
(
G10118=""юридична особа""
,
VLOO"&amp;"KUP(H10118,IMPORTRANGE(""https://docs.google.com/spreadsheets/d/14Bd19lYaqBhU8_DElYkX7l4wRkHqqCUFNJY4AfY3kHU/edit?usp=sharing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7" s="7" t="s">
        <v>29</v>
      </c>
    </row>
    <row r="10118" spans="1:10" ht="13.2">
      <c r="A10118" s="7">
        <v>10117</v>
      </c>
      <c r="B10118" s="7">
        <v>1</v>
      </c>
      <c r="C10118" s="7" t="s">
        <v>10</v>
      </c>
      <c r="D10118" s="7">
        <v>11947</v>
      </c>
      <c r="E10118" s="7" t="s">
        <v>28</v>
      </c>
      <c r="F10118" s="8" t="str">
        <f ca="1">IFERROR(__xludf.DUMMYFUNCTION("IF
(
C10119=""фізична особа""
,
VLOOKUP(D10119,IMPORTRANGE(""https://docs.google.com/spreadsheets/d/14Bd19lYaqBhU8_DElYkX7l4wRkHqqCUFNJY4AfY3kHU/edit?usp=sharing  #gid=0"",""фіз особи new!relations_name""),6,FALSE)
,
(IF
(
C10119=""юридична особа""
,
VLOO"&amp;"KUP(D10119,IMPORTRANGE(""https://docs.google.com/spreadsheets/d/14Bd19lYaqBhU8_DElYkX7l4wRkHqqCUFNJY4AfY3kHU/edit?usp=sharing  #gid=0"",""фіз особи new!relations_name_uo""),7,FALSE)
,
)
))"),"ХОТЕЄВ Олексій Валерійович / Нікіфор")</f>
        <v>ХОТЕЄВ Олексій Валерійович / Нікіфор</v>
      </c>
      <c r="G10118" s="7" t="s">
        <v>10</v>
      </c>
      <c r="H10118" s="7">
        <v>8913</v>
      </c>
      <c r="I10118" s="8" t="str">
        <f ca="1">IFERROR(__xludf.DUMMYFUNCTION("IF
(
G10119=""фізична особа""
,
VLOOKUP(H10119,IMPORTRANGE(""https://docs.google.com/spreadsheets/d/14Bd19lYaqBhU8_DElYkX7l4wRkHqqCUFNJY4AfY3kHU/edit?usp=sharing  #gid=0"",""фіз особи new!relations_name""),6,FALSE)
,
(IF
(
G10119=""юридична особа""
,
VLOO"&amp;"KUP(H10119,IMPORTRANGE(""https://docs.google.com/spreadsheets/d/14Bd19lYaqBhU8_DElYkX7l4wRkHqqCUFNJY4AfY3kHU/edit?usp=sharing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8" s="7" t="s">
        <v>29</v>
      </c>
    </row>
    <row r="10119" spans="1:10" ht="13.2">
      <c r="A10119" s="7">
        <v>10118</v>
      </c>
      <c r="B10119" s="7">
        <v>1</v>
      </c>
      <c r="C10119" s="7" t="s">
        <v>10</v>
      </c>
      <c r="D10119" s="7">
        <v>11948</v>
      </c>
      <c r="E10119" s="7" t="s">
        <v>28</v>
      </c>
      <c r="F10119" s="8" t="str">
        <f ca="1">IFERROR(__xludf.DUMMYFUNCTION("IF
(
C10120=""фізична особа""
,
VLOOKUP(D10120,IMPORTRANGE(""https://docs.google.com/spreadsheets/d/14Bd19lYaqBhU8_DElYkX7l4wRkHqqCUFNJY4AfY3kHU/edit?usp=sharing  #gid=0"",""фіз особи new!relations_name""),6,FALSE)
,
(IF
(
C10120=""юридична особа""
,
VLOO"&amp;"KUP(D10120,IMPORTRANGE(""https://docs.google.com/spreadsheets/d/14Bd19lYaqBhU8_DElYkX7l4wRkHqqCUFNJY4AfY3kHU/edit?usp=sharing  #gid=0"",""фіз особи new!relations_name_uo""),7,FALSE)
,
)
))"),"ЦВЄТКОВ Ігор Васильович / Іонафан")</f>
        <v>ЦВЄТКОВ Ігор Васильович / Іонафан</v>
      </c>
      <c r="G10119" s="7" t="s">
        <v>10</v>
      </c>
      <c r="H10119" s="7">
        <v>8913</v>
      </c>
      <c r="I10119" s="8" t="str">
        <f ca="1">IFERROR(__xludf.DUMMYFUNCTION("IF
(
G10120=""фізична особа""
,
VLOOKUP(H10120,IMPORTRANGE(""https://docs.google.com/spreadsheets/d/14Bd19lYaqBhU8_DElYkX7l4wRkHqqCUFNJY4AfY3kHU/edit?usp=sharing  #gid=0"",""фіз особи new!relations_name""),6,FALSE)
,
(IF
(
G10120=""юридична особа""
,
VLOO"&amp;"KUP(H10120,IMPORTRANGE(""https://docs.google.com/spreadsheets/d/14Bd19lYaqBhU8_DElYkX7l4wRkHqqCUFNJY4AfY3kHU/edit?usp=sharing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19" s="7" t="s">
        <v>29</v>
      </c>
    </row>
    <row r="10120" spans="1:10" ht="13.2">
      <c r="A10120" s="7">
        <v>10119</v>
      </c>
      <c r="B10120" s="7">
        <v>1</v>
      </c>
      <c r="C10120" s="7" t="s">
        <v>10</v>
      </c>
      <c r="D10120" s="7">
        <v>11949</v>
      </c>
      <c r="E10120" s="7" t="s">
        <v>28</v>
      </c>
      <c r="F10120" s="8" t="str">
        <f ca="1">IFERROR(__xludf.DUMMYFUNCTION("IF
(
C10121=""фізична особа""
,
VLOOKUP(D10121,IMPORTRANGE(""https://docs.google.com/spreadsheets/d/14Bd19lYaqBhU8_DElYkX7l4wRkHqqCUFNJY4AfY3kHU/edit?usp=sharing  #gid=0"",""фіз особи new!relations_name""),6,FALSE)
,
(IF
(
C10121=""юридична особа""
,
VLOO"&amp;"KUP(D10121,IMPORTRANGE(""https://docs.google.com/spreadsheets/d/14Bd19lYaqBhU8_DElYkX7l4wRkHqqCUFNJY4AfY3kHU/edit?usp=sharing  #gid=0"",""фіз особи new!relations_name_uo""),7,FALSE)
,
)
))"),"ЦЕРПИЦЬКИЙ Микола Львович / Лев")</f>
        <v>ЦЕРПИЦЬКИЙ Микола Львович / Лев</v>
      </c>
      <c r="G10120" s="7" t="s">
        <v>10</v>
      </c>
      <c r="H10120" s="7">
        <v>8913</v>
      </c>
      <c r="I10120" s="8" t="str">
        <f ca="1">IFERROR(__xludf.DUMMYFUNCTION("IF
(
G10121=""фізична особа""
,
VLOOKUP(H10121,IMPORTRANGE(""https://docs.google.com/spreadsheets/d/14Bd19lYaqBhU8_DElYkX7l4wRkHqqCUFNJY4AfY3kHU/edit?usp=sharing  #gid=0"",""фіз особи new!relations_name""),6,FALSE)
,
(IF
(
G10121=""юридична особа""
,
VLOO"&amp;"KUP(H10121,IMPORTRANGE(""https://docs.google.com/spreadsheets/d/14Bd19lYaqBhU8_DElYkX7l4wRkHqqCUFNJY4AfY3kHU/edit?usp=sharing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0" s="7" t="s">
        <v>29</v>
      </c>
    </row>
    <row r="10121" spans="1:10" ht="13.2">
      <c r="A10121" s="7">
        <v>10120</v>
      </c>
      <c r="B10121" s="7">
        <v>1</v>
      </c>
      <c r="C10121" s="7" t="s">
        <v>10</v>
      </c>
      <c r="D10121" s="7">
        <v>11950</v>
      </c>
      <c r="E10121" s="7" t="s">
        <v>28</v>
      </c>
      <c r="F10121" s="8" t="str">
        <f ca="1">IFERROR(__xludf.DUMMYFUNCTION("IF
(
C10122=""фізична особа""
,
VLOOKUP(D10122,IMPORTRANGE(""https://docs.google.com/spreadsheets/d/14Bd19lYaqBhU8_DElYkX7l4wRkHqqCUFNJY4AfY3kHU/edit?usp=sharing  #gid=0"",""фіз особи new!relations_name""),6,FALSE)
,
(IF
(
C10122=""юридична особа""
,
VLOO"&amp;"KUP(D10122,IMPORTRANGE(""https://docs.google.com/spreadsheets/d/14Bd19lYaqBhU8_DElYkX7l4wRkHqqCUFNJY4AfY3kHU/edit?usp=sharing  #gid=0"",""фіз особи new!relations_name_uo""),7,FALSE)
,
)
))"),"ЧАШИН Сергій Миколайович / Микола")</f>
        <v>ЧАШИН Сергій Миколайович / Микола</v>
      </c>
      <c r="G10121" s="7" t="s">
        <v>10</v>
      </c>
      <c r="H10121" s="7">
        <v>8913</v>
      </c>
      <c r="I10121" s="8" t="str">
        <f ca="1">IFERROR(__xludf.DUMMYFUNCTION("IF
(
G10122=""фізична особа""
,
VLOOKUP(H10122,IMPORTRANGE(""https://docs.google.com/spreadsheets/d/14Bd19lYaqBhU8_DElYkX7l4wRkHqqCUFNJY4AfY3kHU/edit?usp=sharing  #gid=0"",""фіз особи new!relations_name""),6,FALSE)
,
(IF
(
G10122=""юридична особа""
,
VLOO"&amp;"KUP(H10122,IMPORTRANGE(""https://docs.google.com/spreadsheets/d/14Bd19lYaqBhU8_DElYkX7l4wRkHqqCUFNJY4AfY3kHU/edit?usp=sharing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1" s="7" t="s">
        <v>29</v>
      </c>
    </row>
    <row r="10122" spans="1:10" ht="13.2">
      <c r="A10122" s="7">
        <v>10121</v>
      </c>
      <c r="B10122" s="7">
        <v>1</v>
      </c>
      <c r="C10122" s="7" t="s">
        <v>10</v>
      </c>
      <c r="D10122" s="7">
        <v>11951</v>
      </c>
      <c r="E10122" s="7" t="s">
        <v>28</v>
      </c>
      <c r="F10122" s="8" t="str">
        <f ca="1">IFERROR(__xludf.DUMMYFUNCTION("IF
(
C10123=""фізична особа""
,
VLOOKUP(D10123,IMPORTRANGE(""https://docs.google.com/spreadsheets/d/14Bd19lYaqBhU8_DElYkX7l4wRkHqqCUFNJY4AfY3kHU/edit?usp=sharing  #gid=0"",""фіз особи new!relations_name""),6,FALSE)
,
(IF
(
C10123=""юридична особа""
,
VLOO"&amp;"KUP(D10123,IMPORTRANGE(""https://docs.google.com/spreadsheets/d/14Bd19lYaqBhU8_DElYkX7l4wRkHqqCUFNJY4AfY3kHU/edit?usp=sharing  #gid=0"",""фіз особи new!relations_name_uo""),7,FALSE)
,
)
))"),"ЧАЩИН Сергій Владиславович / Феодосій")</f>
        <v>ЧАЩИН Сергій Владиславович / Феодосій</v>
      </c>
      <c r="G10122" s="7" t="s">
        <v>10</v>
      </c>
      <c r="H10122" s="7">
        <v>8913</v>
      </c>
      <c r="I10122" s="8" t="str">
        <f ca="1">IFERROR(__xludf.DUMMYFUNCTION("IF
(
G10123=""фізична особа""
,
VLOOKUP(H10123,IMPORTRANGE(""https://docs.google.com/spreadsheets/d/14Bd19lYaqBhU8_DElYkX7l4wRkHqqCUFNJY4AfY3kHU/edit?usp=sharing  #gid=0"",""фіз особи new!relations_name""),6,FALSE)
,
(IF
(
G10123=""юридична особа""
,
VLOO"&amp;"KUP(H10123,IMPORTRANGE(""https://docs.google.com/spreadsheets/d/14Bd19lYaqBhU8_DElYkX7l4wRkHqqCUFNJY4AfY3kHU/edit?usp=sharing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2" s="7" t="s">
        <v>29</v>
      </c>
    </row>
    <row r="10123" spans="1:10" ht="13.2">
      <c r="A10123" s="7">
        <v>10122</v>
      </c>
      <c r="B10123" s="7">
        <v>1</v>
      </c>
      <c r="C10123" s="7" t="s">
        <v>10</v>
      </c>
      <c r="D10123" s="7">
        <v>11952</v>
      </c>
      <c r="E10123" s="7" t="s">
        <v>28</v>
      </c>
      <c r="F10123" s="8" t="str">
        <f ca="1">IFERROR(__xludf.DUMMYFUNCTION("IF
(
C10124=""фізична особа""
,
VLOOKUP(D10124,IMPORTRANGE(""https://docs.google.com/spreadsheets/d/14Bd19lYaqBhU8_DElYkX7l4wRkHqqCUFNJY4AfY3kHU/edit?usp=sharing  #gid=0"",""фіз особи new!relations_name""),6,FALSE)
,
(IF
(
C10124=""юридична особа""
,
VLOO"&amp;"KUP(D10124,IMPORTRANGE(""https://docs.google.com/spreadsheets/d/14Bd19lYaqBhU8_DElYkX7l4wRkHqqCUFNJY4AfY3kHU/edit?usp=sharing  #gid=0"",""фіз особи new!relations_name_uo""),7,FALSE)
,
)
))"),"ЧИБІСОВ Юрій Валерійович / Нікодим")</f>
        <v>ЧИБІСОВ Юрій Валерійович / Нікодим</v>
      </c>
      <c r="G10123" s="7" t="s">
        <v>10</v>
      </c>
      <c r="H10123" s="7">
        <v>8913</v>
      </c>
      <c r="I10123" s="8" t="str">
        <f ca="1">IFERROR(__xludf.DUMMYFUNCTION("IF
(
G10124=""фізична особа""
,
VLOOKUP(H10124,IMPORTRANGE(""https://docs.google.com/spreadsheets/d/14Bd19lYaqBhU8_DElYkX7l4wRkHqqCUFNJY4AfY3kHU/edit?usp=sharing  #gid=0"",""фіз особи new!relations_name""),6,FALSE)
,
(IF
(
G10124=""юридична особа""
,
VLOO"&amp;"KUP(H10124,IMPORTRANGE(""https://docs.google.com/spreadsheets/d/14Bd19lYaqBhU8_DElYkX7l4wRkHqqCUFNJY4AfY3kHU/edit?usp=sharing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3" s="7" t="s">
        <v>29</v>
      </c>
    </row>
    <row r="10124" spans="1:10" ht="13.2">
      <c r="A10124" s="7">
        <v>10123</v>
      </c>
      <c r="B10124" s="7">
        <v>1</v>
      </c>
      <c r="C10124" s="7" t="s">
        <v>10</v>
      </c>
      <c r="D10124" s="7">
        <v>11953</v>
      </c>
      <c r="E10124" s="7" t="s">
        <v>28</v>
      </c>
      <c r="F10124" s="8" t="str">
        <f ca="1">IFERROR(__xludf.DUMMYFUNCTION("IF
(
C10125=""фізична особа""
,
VLOOKUP(D10125,IMPORTRANGE(""https://docs.google.com/spreadsheets/d/14Bd19lYaqBhU8_DElYkX7l4wRkHqqCUFNJY4AfY3kHU/edit?usp=sharing  #gid=0"",""фіз особи new!relations_name""),6,FALSE)
,
(IF
(
C10125=""юридична особа""
,
VLOO"&amp;"KUP(D10125,IMPORTRANGE(""https://docs.google.com/spreadsheets/d/14Bd19lYaqBhU8_DElYkX7l4wRkHqqCUFNJY4AfY3kHU/edit?usp=sharing  #gid=0"",""фіз особи new!relations_name_uo""),7,FALSE)
,
)
))"),"ШАТОВ Аркадій Вікторович / Пантелеїмон")</f>
        <v>ШАТОВ Аркадій Вікторович / Пантелеїмон</v>
      </c>
      <c r="G10124" s="7" t="s">
        <v>10</v>
      </c>
      <c r="H10124" s="7">
        <v>8913</v>
      </c>
      <c r="I10124" s="8" t="str">
        <f ca="1">IFERROR(__xludf.DUMMYFUNCTION("IF
(
G10125=""фізична особа""
,
VLOOKUP(H10125,IMPORTRANGE(""https://docs.google.com/spreadsheets/d/14Bd19lYaqBhU8_DElYkX7l4wRkHqqCUFNJY4AfY3kHU/edit?usp=sharing  #gid=0"",""фіз особи new!relations_name""),6,FALSE)
,
(IF
(
G10125=""юридична особа""
,
VLOO"&amp;"KUP(H10125,IMPORTRANGE(""https://docs.google.com/spreadsheets/d/14Bd19lYaqBhU8_DElYkX7l4wRkHqqCUFNJY4AfY3kHU/edit?usp=sharing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4" s="7" t="s">
        <v>29</v>
      </c>
    </row>
    <row r="10125" spans="1:10" ht="13.2">
      <c r="A10125" s="7">
        <v>10124</v>
      </c>
      <c r="B10125" s="7">
        <v>1</v>
      </c>
      <c r="C10125" s="7" t="s">
        <v>10</v>
      </c>
      <c r="D10125" s="7">
        <v>11954</v>
      </c>
      <c r="E10125" s="7" t="s">
        <v>28</v>
      </c>
      <c r="F10125" s="8" t="str">
        <f ca="1">IFERROR(__xludf.DUMMYFUNCTION("IF
(
C10126=""фізична особа""
,
VLOOKUP(D10126,IMPORTRANGE(""https://docs.google.com/spreadsheets/d/14Bd19lYaqBhU8_DElYkX7l4wRkHqqCUFNJY4AfY3kHU/edit?usp=sharing  #gid=0"",""фіз особи new!relations_name""),6,FALSE)
,
(IF
(
C10126=""юридична особа""
,
VLOO"&amp;"KUP(D10126,IMPORTRANGE(""https://docs.google.com/spreadsheets/d/14Bd19lYaqBhU8_DElYkX7l4wRkHqqCUFNJY4AfY3kHU/edit?usp=sharing  #gid=0"",""фіз особи new!relations_name_uo""),7,FALSE)
,
)
))"),"ШЕВКУНОВ Георгій Олександрович / Тихін")</f>
        <v>ШЕВКУНОВ Георгій Олександрович / Тихін</v>
      </c>
      <c r="G10125" s="7" t="s">
        <v>10</v>
      </c>
      <c r="H10125" s="7">
        <v>8913</v>
      </c>
      <c r="I10125" s="8" t="str">
        <f ca="1">IFERROR(__xludf.DUMMYFUNCTION("IF
(
G10126=""фізична особа""
,
VLOOKUP(H10126,IMPORTRANGE(""https://docs.google.com/spreadsheets/d/14Bd19lYaqBhU8_DElYkX7l4wRkHqqCUFNJY4AfY3kHU/edit?usp=sharing  #gid=0"",""фіз особи new!relations_name""),6,FALSE)
,
(IF
(
G10126=""юридична особа""
,
VLOO"&amp;"KUP(H10126,IMPORTRANGE(""https://docs.google.com/spreadsheets/d/14Bd19lYaqBhU8_DElYkX7l4wRkHqqCUFNJY4AfY3kHU/edit?usp=sharing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5" s="7" t="s">
        <v>29</v>
      </c>
    </row>
    <row r="10126" spans="1:10" ht="13.2">
      <c r="A10126" s="7">
        <v>10125</v>
      </c>
      <c r="B10126" s="7">
        <v>1</v>
      </c>
      <c r="C10126" s="7" t="s">
        <v>10</v>
      </c>
      <c r="D10126" s="7">
        <v>11955</v>
      </c>
      <c r="E10126" s="7" t="s">
        <v>28</v>
      </c>
      <c r="F10126" s="8" t="str">
        <f ca="1">IFERROR(__xludf.DUMMYFUNCTION("IF
(
C10127=""фізична особа""
,
VLOOKUP(D10127,IMPORTRANGE(""https://docs.google.com/spreadsheets/d/14Bd19lYaqBhU8_DElYkX7l4wRkHqqCUFNJY4AfY3kHU/edit?usp=sharing  #gid=0"",""фіз особи new!relations_name""),6,FALSE)
,
(IF
(
C10127=""юридична особа""
,
VLOO"&amp;"KUP(D10127,IMPORTRANGE(""https://docs.google.com/spreadsheets/d/14Bd19lYaqBhU8_DElYkX7l4wRkHqqCUFNJY4AfY3kHU/edit?usp=sharing  #gid=0"",""фіз особи new!relations_name_uo""),7,FALSE)
,
)
))"),"ШУТОВ Володимир Вікторович / Порфирій")</f>
        <v>ШУТОВ Володимир Вікторович / Порфирій</v>
      </c>
      <c r="G10126" s="7" t="s">
        <v>10</v>
      </c>
      <c r="H10126" s="7">
        <v>8913</v>
      </c>
      <c r="I10126" s="8" t="str">
        <f ca="1">IFERROR(__xludf.DUMMYFUNCTION("IF
(
G10127=""фізична особа""
,
VLOOKUP(H10127,IMPORTRANGE(""https://docs.google.com/spreadsheets/d/14Bd19lYaqBhU8_DElYkX7l4wRkHqqCUFNJY4AfY3kHU/edit?usp=sharing  #gid=0"",""фіз особи new!relations_name""),6,FALSE)
,
(IF
(
G10127=""юридична особа""
,
VLOO"&amp;"KUP(H10127,IMPORTRANGE(""https://docs.google.com/spreadsheets/d/14Bd19lYaqBhU8_DElYkX7l4wRkHqqCUFNJY4AfY3kHU/edit?usp=sharing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6" s="7" t="s">
        <v>29</v>
      </c>
    </row>
    <row r="10127" spans="1:10" ht="13.2">
      <c r="A10127" s="7">
        <v>10126</v>
      </c>
      <c r="B10127" s="7">
        <v>1</v>
      </c>
      <c r="C10127" s="7" t="s">
        <v>10</v>
      </c>
      <c r="D10127" s="7">
        <v>11956</v>
      </c>
      <c r="E10127" s="7" t="s">
        <v>28</v>
      </c>
      <c r="F10127" s="8" t="str">
        <f ca="1">IFERROR(__xludf.DUMMYFUNCTION("IF
(
C10128=""фізична особа""
,
VLOOKUP(D10128,IMPORTRANGE(""https://docs.google.com/spreadsheets/d/14Bd19lYaqBhU8_DElYkX7l4wRkHqqCUFNJY4AfY3kHU/edit?usp=sharing  #gid=0"",""фіз особи new!relations_name""),6,FALSE)
,
(IF
(
C10128=""юридична особа""
,
VLOO"&amp;"KUP(D10128,IMPORTRANGE(""https://docs.google.com/spreadsheets/d/14Bd19lYaqBhU8_DElYkX7l4wRkHqqCUFNJY4AfY3kHU/edit?usp=sharing  #gid=0"",""фіз особи new!relations_name_uo""),7,FALSE)
,
)
))"),"ЩИПЕЛЄВ Віктор Іванович / Пармен")</f>
        <v>ЩИПЕЛЄВ Віктор Іванович / Пармен</v>
      </c>
      <c r="G10127" s="7" t="s">
        <v>10</v>
      </c>
      <c r="H10127" s="7">
        <v>8913</v>
      </c>
      <c r="I10127" s="8" t="str">
        <f ca="1">IFERROR(__xludf.DUMMYFUNCTION("IF
(
G10128=""фізична особа""
,
VLOOKUP(H10128,IMPORTRANGE(""https://docs.google.com/spreadsheets/d/14Bd19lYaqBhU8_DElYkX7l4wRkHqqCUFNJY4AfY3kHU/edit?usp=sharing  #gid=0"",""фіз особи new!relations_name""),6,FALSE)
,
(IF
(
G10128=""юридична особа""
,
VLOO"&amp;"KUP(H10128,IMPORTRANGE(""https://docs.google.com/spreadsheets/d/14Bd19lYaqBhU8_DElYkX7l4wRkHqqCUFNJY4AfY3kHU/edit?usp=sharing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7" s="7" t="s">
        <v>29</v>
      </c>
    </row>
    <row r="10128" spans="1:10" ht="13.2">
      <c r="A10128" s="7">
        <v>10127</v>
      </c>
      <c r="B10128" s="7">
        <v>1</v>
      </c>
      <c r="C10128" s="7" t="s">
        <v>10</v>
      </c>
      <c r="D10128" s="7">
        <v>11957</v>
      </c>
      <c r="E10128" s="7" t="s">
        <v>28</v>
      </c>
      <c r="F10128" s="8" t="str">
        <f ca="1">IFERROR(__xludf.DUMMYFUNCTION("IF
(
C10129=""фізична особа""
,
VLOOKUP(D10129,IMPORTRANGE(""https://docs.google.com/spreadsheets/d/14Bd19lYaqBhU8_DElYkX7l4wRkHqqCUFNJY4AfY3kHU/edit?usp=sharing  #gid=0"",""фіз особи new!relations_name""),6,FALSE)
,
(IF
(
C10129=""юридична особа""
,
VLOO"&amp;"KUP(D10129,IMPORTRANGE(""https://docs.google.com/spreadsheets/d/14Bd19lYaqBhU8_DElYkX7l4wRkHqqCUFNJY4AfY3kHU/edit?usp=sharing  #gid=0"",""фіз особи new!relations_name_uo""),7,FALSE)
,
)
))"),"ЮРКОВ Віктор Дмитрович / Паїсій")</f>
        <v>ЮРКОВ Віктор Дмитрович / Паїсій</v>
      </c>
      <c r="G10128" s="7" t="s">
        <v>10</v>
      </c>
      <c r="H10128" s="7">
        <v>8913</v>
      </c>
      <c r="I10128" s="8" t="str">
        <f ca="1">IFERROR(__xludf.DUMMYFUNCTION("IF
(
G10129=""фізична особа""
,
VLOOKUP(H10129,IMPORTRANGE(""https://docs.google.com/spreadsheets/d/14Bd19lYaqBhU8_DElYkX7l4wRkHqqCUFNJY4AfY3kHU/edit?usp=sharing  #gid=0"",""фіз особи new!relations_name""),6,FALSE)
,
(IF
(
G10129=""юридична особа""
,
VLOO"&amp;"KUP(H10129,IMPORTRANGE(""https://docs.google.com/spreadsheets/d/14Bd19lYaqBhU8_DElYkX7l4wRkHqqCUFNJY4AfY3kHU/edit?usp=sharing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8" s="7" t="s">
        <v>29</v>
      </c>
    </row>
    <row r="10129" spans="1:10" ht="13.2">
      <c r="A10129" s="7">
        <v>10128</v>
      </c>
      <c r="B10129" s="7">
        <v>1</v>
      </c>
      <c r="C10129" s="7" t="s">
        <v>10</v>
      </c>
      <c r="D10129" s="7">
        <v>11958</v>
      </c>
      <c r="E10129" s="7" t="s">
        <v>28</v>
      </c>
      <c r="F10129" s="8" t="str">
        <f ca="1">IFERROR(__xludf.DUMMYFUNCTION("IF
(
C10130=""фізична особа""
,
VLOOKUP(D10130,IMPORTRANGE(""https://docs.google.com/spreadsheets/d/14Bd19lYaqBhU8_DElYkX7l4wRkHqqCUFNJY4AfY3kHU/edit?usp=sharing  #gid=0"",""фіз особи new!relations_name""),6,FALSE)
,
(IF
(
C10130=""юридична особа""
,
VLOO"&amp;"KUP(D10130,IMPORTRANGE(""https://docs.google.com/spreadsheets/d/14Bd19lYaqBhU8_DElYkX7l4wRkHqqCUFNJY4AfY3kHU/edit?usp=sharing  #gid=0"",""фіз особи new!relations_name_uo""),7,FALSE)
,
)
))"),"ЯЦУРІН Володимир Петрович / Аристарх")</f>
        <v>ЯЦУРІН Володимир Петрович / Аристарх</v>
      </c>
      <c r="G10129" s="7" t="s">
        <v>10</v>
      </c>
      <c r="H10129" s="7">
        <v>8913</v>
      </c>
      <c r="I10129" s="8" t="str">
        <f ca="1">IFERROR(__xludf.DUMMYFUNCTION("IF
(
G10130=""фізична особа""
,
VLOOKUP(H10130,IMPORTRANGE(""https://docs.google.com/spreadsheets/d/14Bd19lYaqBhU8_DElYkX7l4wRkHqqCUFNJY4AfY3kHU/edit?usp=sharing  #gid=0"",""фіз особи new!relations_name""),6,FALSE)
,
(IF
(
G10130=""юридична особа""
,
VLOO"&amp;"KUP(H10130,IMPORTRANGE(""https://docs.google.com/spreadsheets/d/14Bd19lYaqBhU8_DElYkX7l4wRkHqqCUFNJY4AfY3kHU/edit?usp=sharing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29" s="7" t="s">
        <v>29</v>
      </c>
    </row>
    <row r="10130" spans="1:10" ht="13.2">
      <c r="A10130" s="7">
        <v>10129</v>
      </c>
      <c r="B10130" s="7">
        <v>1</v>
      </c>
      <c r="C10130" s="7" t="s">
        <v>10</v>
      </c>
      <c r="D10130" s="7">
        <v>11959</v>
      </c>
      <c r="E10130" s="7" t="s">
        <v>28</v>
      </c>
      <c r="F10130" s="8" t="str">
        <f ca="1">IFERROR(__xludf.DUMMYFUNCTION("IF
(
C10131=""фізична особа""
,
VLOOKUP(D10131,IMPORTRANGE(""https://docs.google.com/spreadsheets/d/14Bd19lYaqBhU8_DElYkX7l4wRkHqqCUFNJY4AfY3kHU/edit?usp=sharing  #gid=0"",""фіз особи new!relations_name""),6,FALSE)
,
(IF
(
C10131=""юридична особа""
,
VLOO"&amp;"KUP(D10131,IMPORTRANGE(""https://docs.google.com/spreadsheets/d/14Bd19lYaqBhU8_DElYkX7l4wRkHqqCUFNJY4AfY3kHU/edit?usp=sharing  #gid=0"",""фіз особи new!relations_name_uo""),7,FALSE)
,
)
))"),"ШЕВЦОВ Віталій Миколайович / Герасим")</f>
        <v>ШЕВЦОВ Віталій Миколайович / Герасим</v>
      </c>
      <c r="G10130" s="7" t="s">
        <v>10</v>
      </c>
      <c r="H10130" s="7">
        <v>8913</v>
      </c>
      <c r="I10130" s="8" t="str">
        <f ca="1">IFERROR(__xludf.DUMMYFUNCTION("IF
(
G10131=""фізична особа""
,
VLOOKUP(H10131,IMPORTRANGE(""https://docs.google.com/spreadsheets/d/14Bd19lYaqBhU8_DElYkX7l4wRkHqqCUFNJY4AfY3kHU/edit?usp=sharing  #gid=0"",""фіз особи new!relations_name""),6,FALSE)
,
(IF
(
G10131=""юридична особа""
,
VLOO"&amp;"KUP(H10131,IMPORTRANGE(""https://docs.google.com/spreadsheets/d/14Bd19lYaqBhU8_DElYkX7l4wRkHqqCUFNJY4AfY3kHU/edit?usp=sharing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0130" s="7" t="s">
        <v>29</v>
      </c>
    </row>
    <row r="10131" spans="1:10" ht="13.2">
      <c r="A10131" s="7">
        <v>10130</v>
      </c>
      <c r="B10131" s="7">
        <v>1</v>
      </c>
      <c r="C10131" s="7" t="s">
        <v>10</v>
      </c>
      <c r="D10131" s="7">
        <v>12132</v>
      </c>
      <c r="E10131" s="7" t="s">
        <v>17</v>
      </c>
      <c r="F10131" s="8" t="str">
        <f ca="1">IFERROR(__xludf.DUMMYFUNCTION("IF
(
C10132=""фізична особа""
,
VLOOKUP(D10132,IMPORTRANGE(""https://docs.google.com/spreadsheets/d/14Bd19lYaqBhU8_DElYkX7l4wRkHqqCUFNJY4AfY3kHU/edit?usp=sharing  #gid=0"",""фіз особи new!relations_name""),6,FALSE)
,
(IF
(
C10132=""юридична особа""
,
VLOO"&amp;"KUP(D10132,IMPORTRANGE(""https://docs.google.com/spreadsheets/d/14Bd19lYaqBhU8_DElYkX7l4wRkHqqCUFNJY4AfY3kHU/edit?usp=sharing  #gid=0"",""фіз особи new!relations_name_uo""),7,FALSE)
,
)
))"),"КРЕСС В'ячеслав Вікторович")</f>
        <v>КРЕСС В'ячеслав Вікторович</v>
      </c>
      <c r="G10131" s="7" t="s">
        <v>10</v>
      </c>
      <c r="H10131" s="7">
        <v>999</v>
      </c>
      <c r="I10131" s="8" t="str">
        <f ca="1">IFERROR(__xludf.DUMMYFUNCTION("IF
(
G10132=""фізична особа""
,
VLOOKUP(H10132,IMPORTRANGE(""https://docs.google.com/spreadsheets/d/14Bd19lYaqBhU8_DElYkX7l4wRkHqqCUFNJY4AfY3kHU/edit?usp=sharing  #gid=0"",""фіз особи new!relations_name""),6,FALSE)
,
(IF
(
G10132=""юридична особа""
,
VLOO"&amp;"KUP(H10132,IMPORTRANGE(""https://docs.google.com/spreadsheets/d/14Bd19lYaqBhU8_DElYkX7l4wRkHqqCUFNJY4AfY3kHU/edit?usp=sharing  #gid=0"",""фіз особи new!relations_name_uo""),7,FALSE)
,
)
))"),"КРЕСС Віктор Мельхіорович")</f>
        <v>КРЕСС Віктор Мельхіорович</v>
      </c>
      <c r="J10131" s="7" t="s">
        <v>12</v>
      </c>
    </row>
    <row r="10132" spans="1:10" ht="13.2">
      <c r="A10132" s="7">
        <v>10131</v>
      </c>
      <c r="B10132" s="7">
        <v>1</v>
      </c>
      <c r="C10132" s="7" t="s">
        <v>10</v>
      </c>
      <c r="D10132" s="7">
        <v>12132</v>
      </c>
      <c r="E10132" s="7" t="s">
        <v>18</v>
      </c>
      <c r="F10132" s="8" t="str">
        <f ca="1">IFERROR(__xludf.DUMMYFUNCTION("IF
(
C10133=""фізична особа""
,
VLOOKUP(D10133,IMPORTRANGE(""https://docs.google.com/spreadsheets/d/14Bd19lYaqBhU8_DElYkX7l4wRkHqqCUFNJY4AfY3kHU/edit?usp=sharing  #gid=0"",""фіз особи new!relations_name""),6,FALSE)
,
(IF
(
C10133=""юридична особа""
,
VLOO"&amp;"KUP(D10133,IMPORTRANGE(""https://docs.google.com/spreadsheets/d/14Bd19lYaqBhU8_DElYkX7l4wRkHqqCUFNJY4AfY3kHU/edit?usp=sharing  #gid=0"",""фіз особи new!relations_name_uo""),7,FALSE)
,
)
))"),"КРЕСС В'ячеслав Вікторович")</f>
        <v>КРЕСС В'ячеслав Вікторович</v>
      </c>
      <c r="G10132" s="7" t="s">
        <v>10</v>
      </c>
      <c r="H10132" s="7">
        <v>23468</v>
      </c>
      <c r="I10132" s="8" t="str">
        <f ca="1">IFERROR(__xludf.DUMMYFUNCTION("IF
(
G10133=""фізична особа""
,
VLOOKUP(H10133,IMPORTRANGE(""https://docs.google.com/spreadsheets/d/14Bd19lYaqBhU8_DElYkX7l4wRkHqqCUFNJY4AfY3kHU/edit?usp=sharing  #gid=0"",""фіз особи new!relations_name""),6,FALSE)
,
(IF
(
G10133=""юридична особа""
,
VLOO"&amp;"KUP(H10133,IMPORTRANGE(""https://docs.google.com/spreadsheets/d/14Bd19lYaqBhU8_DElYkX7l4wRkHqqCUFNJY4AfY3kHU/edit?usp=sharing  #gid=0"",""фіз особи new!relations_name_uo""),7,FALSE)
,
)
))"),"ЄФІМОВА Олена Вікторівна")</f>
        <v>ЄФІМОВА Олена Вікторівна</v>
      </c>
      <c r="J10132" s="7" t="s">
        <v>31</v>
      </c>
    </row>
    <row r="10133" spans="1:10" ht="13.2">
      <c r="A10133" s="7">
        <v>10132</v>
      </c>
      <c r="B10133" s="7">
        <v>1</v>
      </c>
      <c r="C10133" s="7" t="s">
        <v>10</v>
      </c>
      <c r="D10133" s="7">
        <v>12132</v>
      </c>
      <c r="E10133" s="7" t="s">
        <v>17</v>
      </c>
      <c r="F10133" s="8" t="str">
        <f ca="1">IFERROR(__xludf.DUMMYFUNCTION("IF
(
C10134=""фізична особа""
,
VLOOKUP(D10134,IMPORTRANGE(""https://docs.google.com/spreadsheets/d/14Bd19lYaqBhU8_DElYkX7l4wRkHqqCUFNJY4AfY3kHU/edit?usp=sharing  #gid=0"",""фіз особи new!relations_name""),6,FALSE)
,
(IF
(
C10134=""юридична особа""
,
VLOO"&amp;"KUP(D10134,IMPORTRANGE(""https://docs.google.com/spreadsheets/d/14Bd19lYaqBhU8_DElYkX7l4wRkHqqCUFNJY4AfY3kHU/edit?usp=sharing  #gid=0"",""фіз особи new!relations_name_uo""),7,FALSE)
,
)
))"),"КРЕСС В'ячеслав Вікторович")</f>
        <v>КРЕСС В'ячеслав Вікторович</v>
      </c>
      <c r="G10133" s="7" t="s">
        <v>10</v>
      </c>
      <c r="H10133" s="7">
        <v>8654</v>
      </c>
      <c r="I10133" s="8" t="str">
        <f ca="1">IFERROR(__xludf.DUMMYFUNCTION("IF
(
G10134=""фізична особа""
,
VLOOKUP(H10134,IMPORTRANGE(""https://docs.google.com/spreadsheets/d/14Bd19lYaqBhU8_DElYkX7l4wRkHqqCUFNJY4AfY3kHU/edit?usp=sharing  #gid=0"",""фіз особи new!relations_name""),6,FALSE)
,
(IF
(
G10134=""юридична особа""
,
VLOO"&amp;"KUP(H10134,IMPORTRANGE(""https://docs.google.com/spreadsheets/d/14Bd19lYaqBhU8_DElYkX7l4wRkHqqCUFNJY4AfY3kHU/edit?usp=sharing  #gid=0"",""фіз особи new!relations_name_uo""),7,FALSE)
,
)
))"),"КРЕСС Людмила Василівна")</f>
        <v>КРЕСС Людмила Василівна</v>
      </c>
      <c r="J10133" s="7" t="s">
        <v>21</v>
      </c>
    </row>
    <row r="10134" spans="1:10" ht="13.2">
      <c r="A10134" s="7">
        <v>10133</v>
      </c>
      <c r="B10134" s="7">
        <v>1</v>
      </c>
      <c r="C10134" s="7" t="s">
        <v>10</v>
      </c>
      <c r="D10134" s="7">
        <v>12156</v>
      </c>
      <c r="E10134" s="7" t="s">
        <v>43</v>
      </c>
      <c r="F10134" s="8" t="str">
        <f ca="1">IFERROR(__xludf.DUMMYFUNCTION("IF
(
C10135=""фізична особа""
,
VLOOKUP(D10135,IMPORTRANGE(""https://docs.google.com/spreadsheets/d/14Bd19lYaqBhU8_DElYkX7l4wRkHqqCUFNJY4AfY3kHU/edit?usp=sharing  #gid=0"",""фіз особи new!relations_name""),6,FALSE)
,
(IF
(
C10135=""юридична особа""
,
VLOO"&amp;"KUP(D10135,IMPORTRANGE(""https://docs.google.com/spreadsheets/d/14Bd19lYaqBhU8_DElYkX7l4wRkHqqCUFNJY4AfY3kHU/edit?usp=sharing  #gid=0"",""фіз особи new!relations_name_uo""),7,FALSE)
,
)
))"),"ГУЛЯЄВА Наталія Олексіївна")</f>
        <v>ГУЛЯЄВА Наталія Олексіївна</v>
      </c>
      <c r="G10134" s="7" t="s">
        <v>10</v>
      </c>
      <c r="H10134" s="7">
        <v>2508</v>
      </c>
      <c r="I10134" s="8" t="str">
        <f ca="1">IFERROR(__xludf.DUMMYFUNCTION("IF
(
G10135=""фізична особа""
,
VLOOKUP(H10135,IMPORTRANGE(""https://docs.google.com/spreadsheets/d/14Bd19lYaqBhU8_DElYkX7l4wRkHqqCUFNJY4AfY3kHU/edit?usp=sharing  #gid=0"",""фіз особи new!relations_name""),6,FALSE)
,
(IF
(
G10135=""юридична особа""
,
VLOO"&amp;"KUP(H10135,IMPORTRANGE(""https://docs.google.com/spreadsheets/d/14Bd19lYaqBhU8_DElYkX7l4wRkHqqCUFNJY4AfY3kHU/edit?usp=sharing  #gid=0"",""фіз особи new!relations_name_uo""),7,FALSE)
,
)
))"),"Парфенчиков Артур Олегович")</f>
        <v>Парфенчиков Артур Олегович</v>
      </c>
      <c r="J10134" s="7" t="s">
        <v>42</v>
      </c>
    </row>
    <row r="10135" spans="1:10" ht="13.2">
      <c r="A10135" s="7">
        <v>10134</v>
      </c>
      <c r="B10135" s="7">
        <v>1</v>
      </c>
      <c r="C10135" s="7" t="s">
        <v>10</v>
      </c>
      <c r="D10135" s="7">
        <v>12156</v>
      </c>
      <c r="E10135" s="7" t="s">
        <v>21</v>
      </c>
      <c r="F10135" s="8" t="str">
        <f ca="1">IFERROR(__xludf.DUMMYFUNCTION("IF
(
C10136=""фізична особа""
,
VLOOKUP(D10136,IMPORTRANGE(""https://docs.google.com/spreadsheets/d/14Bd19lYaqBhU8_DElYkX7l4wRkHqqCUFNJY4AfY3kHU/edit?usp=sharing  #gid=0"",""фіз особи new!relations_name""),6,FALSE)
,
(IF
(
C10136=""юридична особа""
,
VLOO"&amp;"KUP(D10136,IMPORTRANGE(""https://docs.google.com/spreadsheets/d/14Bd19lYaqBhU8_DElYkX7l4wRkHqqCUFNJY4AfY3kHU/edit?usp=sharing  #gid=0"",""фіз особи new!relations_name_uo""),7,FALSE)
,
)
))"),"ГУЛЯЄВА Наталія Олексіївна")</f>
        <v>ГУЛЯЄВА Наталія Олексіївна</v>
      </c>
      <c r="G10135" s="7" t="s">
        <v>10</v>
      </c>
      <c r="H10135" s="7">
        <v>15656</v>
      </c>
      <c r="I10135" s="8" t="str">
        <f ca="1">IFERROR(__xludf.DUMMYFUNCTION("IF
(
G10136=""фізична особа""
,
VLOOKUP(H10136,IMPORTRANGE(""https://docs.google.com/spreadsheets/d/14Bd19lYaqBhU8_DElYkX7l4wRkHqqCUFNJY4AfY3kHU/edit?usp=sharing  #gid=0"",""фіз особи new!relations_name""),6,FALSE)
,
(IF
(
G10136=""юридична особа""
,
VLOO"&amp;"KUP(H10136,IMPORTRANGE(""https://docs.google.com/spreadsheets/d/14Bd19lYaqBhU8_DElYkX7l4wRkHqqCUFNJY4AfY3kHU/edit?usp=sharing  #gid=0"",""фіз особи new!relations_name_uo""),7,FALSE)
,
)
))"),"ПАРФЕНЧИКОВА Анастасія Артурівна")</f>
        <v>ПАРФЕНЧИКОВА Анастасія Артурівна</v>
      </c>
      <c r="J10135" s="7" t="s">
        <v>13</v>
      </c>
    </row>
    <row r="10136" spans="1:10" ht="13.2">
      <c r="A10136" s="7">
        <v>10135</v>
      </c>
      <c r="B10136" s="7">
        <v>1</v>
      </c>
      <c r="C10136" s="7" t="s">
        <v>10</v>
      </c>
      <c r="D10136" s="7">
        <v>12212</v>
      </c>
      <c r="E10136" s="7" t="s">
        <v>14</v>
      </c>
      <c r="F10136" s="8" t="str">
        <f ca="1">IFERROR(__xludf.DUMMYFUNCTION("IF
(
C10137=""фізична особа""
,
VLOOKUP(D10137,IMPORTRANGE(""https://docs.google.com/spreadsheets/d/14Bd19lYaqBhU8_DElYkX7l4wRkHqqCUFNJY4AfY3kHU/edit?usp=sharing  #gid=0"",""фіз особи new!relations_name""),6,FALSE)
,
(IF
(
C10137=""юридична особа""
,
VLOO"&amp;"KUP(D10137,IMPORTRANGE(""https://docs.google.com/spreadsheets/d/14Bd19lYaqBhU8_DElYkX7l4wRkHqqCUFNJY4AfY3kHU/edit?usp=sharing  #gid=0"",""фіз особи new!relations_name_uo""),7,FALSE)
,
)
))"),"ГАДЖИЄВ Гадіс Абдуллаєвич")</f>
        <v>ГАДЖИЄВ Гадіс Абдуллаєвич</v>
      </c>
      <c r="G10136" s="7" t="s">
        <v>10</v>
      </c>
      <c r="H10136" s="7">
        <v>0</v>
      </c>
      <c r="I10136" s="8" t="str">
        <f ca="1">IFERROR(__xludf.DUMMYFUNCTION("IF
(
G10137=""фізична особа""
,
VLOOKUP(H10137,IMPORTRANGE(""https://docs.google.com/spreadsheets/d/14Bd19lYaqBhU8_DElYkX7l4wRkHqqCUFNJY4AfY3kHU/edit?usp=sharing  #gid=0"",""фіз особи new!relations_name""),6,FALSE)
,
(IF
(
G10137=""юридична особа""
,
VLOO"&amp;"KUP(H10137,IMPORTRANGE(""https://docs.google.com/spreadsheets/d/14Bd19lYaqBhU8_DElYkX7l4wRkHqqCUFNJY4AfY3kHU/edit?usp=sharing  #gid=0"",""фіз особи new!relations_name_uo""),7,FALSE)
,
)
))"),"#N/A")</f>
        <v>#N/A</v>
      </c>
      <c r="J10136" s="7" t="s">
        <v>15</v>
      </c>
    </row>
    <row r="10137" spans="1:10" ht="13.2">
      <c r="A10137" s="7">
        <v>10136</v>
      </c>
      <c r="B10137" s="7">
        <v>1</v>
      </c>
      <c r="C10137" s="7" t="s">
        <v>10</v>
      </c>
      <c r="D10137" s="7">
        <v>12212</v>
      </c>
      <c r="E10137" s="7" t="s">
        <v>12</v>
      </c>
      <c r="F10137" s="8" t="str">
        <f ca="1">IFERROR(__xludf.DUMMYFUNCTION("IF
(
C10138=""фізична особа""
,
VLOOKUP(D10138,IMPORTRANGE(""https://docs.google.com/spreadsheets/d/14Bd19lYaqBhU8_DElYkX7l4wRkHqqCUFNJY4AfY3kHU/edit?usp=sharing  #gid=0"",""фіз особи new!relations_name""),6,FALSE)
,
(IF
(
C10138=""юридична особа""
,
VLOO"&amp;"KUP(D10138,IMPORTRANGE(""https://docs.google.com/spreadsheets/d/14Bd19lYaqBhU8_DElYkX7l4wRkHqqCUFNJY4AfY3kHU/edit?usp=sharing  #gid=0"",""фіз особи new!relations_name_uo""),7,FALSE)
,
)
))"),"ГАДЖИЄВ Гадіс Абдуллаєвич")</f>
        <v>ГАДЖИЄВ Гадіс Абдуллаєвич</v>
      </c>
      <c r="G10137" s="7" t="s">
        <v>10</v>
      </c>
      <c r="H10137" s="7">
        <v>0</v>
      </c>
      <c r="I10137" s="8" t="str">
        <f ca="1">IFERROR(__xludf.DUMMYFUNCTION("IF
(
G10138=""фізична особа""
,
VLOOKUP(H10138,IMPORTRANGE(""https://docs.google.com/spreadsheets/d/14Bd19lYaqBhU8_DElYkX7l4wRkHqqCUFNJY4AfY3kHU/edit?usp=sharing  #gid=0"",""фіз особи new!relations_name""),6,FALSE)
,
(IF
(
G10138=""юридична особа""
,
VLOO"&amp;"KUP(H10138,IMPORTRANGE(""https://docs.google.com/spreadsheets/d/14Bd19lYaqBhU8_DElYkX7l4wRkHqqCUFNJY4AfY3kHU/edit?usp=sharing  #gid=0"",""фіз особи new!relations_name_uo""),7,FALSE)
,
)
))"),"#N/A")</f>
        <v>#N/A</v>
      </c>
      <c r="J10137" s="7" t="s">
        <v>17</v>
      </c>
    </row>
    <row r="10138" spans="1:10" ht="13.2">
      <c r="A10138" s="7">
        <v>10137</v>
      </c>
      <c r="B10138" s="7">
        <v>1</v>
      </c>
      <c r="C10138" s="7" t="s">
        <v>10</v>
      </c>
      <c r="D10138" s="7">
        <v>12212</v>
      </c>
      <c r="E10138" s="7" t="s">
        <v>12</v>
      </c>
      <c r="F10138" s="8" t="str">
        <f ca="1">IFERROR(__xludf.DUMMYFUNCTION("IF
(
C10139=""фізична особа""
,
VLOOKUP(D10139,IMPORTRANGE(""https://docs.google.com/spreadsheets/d/14Bd19lYaqBhU8_DElYkX7l4wRkHqqCUFNJY4AfY3kHU/edit?usp=sharing  #gid=0"",""фіз особи new!relations_name""),6,FALSE)
,
(IF
(
C10139=""юридична особа""
,
VLOO"&amp;"KUP(D10139,IMPORTRANGE(""https://docs.google.com/spreadsheets/d/14Bd19lYaqBhU8_DElYkX7l4wRkHqqCUFNJY4AfY3kHU/edit?usp=sharing  #gid=0"",""фіз особи new!relations_name_uo""),7,FALSE)
,
)
))"),"ГАДЖИЄВ Гадіс Абдуллаєвич")</f>
        <v>ГАДЖИЄВ Гадіс Абдуллаєвич</v>
      </c>
      <c r="G10138" s="7" t="s">
        <v>10</v>
      </c>
      <c r="H10138" s="7">
        <v>0</v>
      </c>
      <c r="I10138" s="8" t="str">
        <f ca="1">IFERROR(__xludf.DUMMYFUNCTION("IF
(
G10139=""фізична особа""
,
VLOOKUP(H10139,IMPORTRANGE(""https://docs.google.com/spreadsheets/d/14Bd19lYaqBhU8_DElYkX7l4wRkHqqCUFNJY4AfY3kHU/edit?usp=sharing  #gid=0"",""фіз особи new!relations_name""),6,FALSE)
,
(IF
(
G10139=""юридична особа""
,
VLOO"&amp;"KUP(H10139,IMPORTRANGE(""https://docs.google.com/spreadsheets/d/14Bd19lYaqBhU8_DElYkX7l4wRkHqqCUFNJY4AfY3kHU/edit?usp=sharing  #gid=0"",""фіз особи new!relations_name_uo""),7,FALSE)
,
)
))"),"#N/A")</f>
        <v>#N/A</v>
      </c>
      <c r="J10138" s="7" t="s">
        <v>17</v>
      </c>
    </row>
    <row r="10139" spans="1:10" ht="13.2">
      <c r="A10139" s="7">
        <v>10138</v>
      </c>
      <c r="B10139" s="7">
        <v>1</v>
      </c>
      <c r="C10139" s="7" t="s">
        <v>10</v>
      </c>
      <c r="D10139" s="7">
        <v>12212</v>
      </c>
      <c r="E10139" s="7" t="s">
        <v>12</v>
      </c>
      <c r="F10139" s="8" t="str">
        <f ca="1">IFERROR(__xludf.DUMMYFUNCTION("IF
(
C10140=""фізична особа""
,
VLOOKUP(D10140,IMPORTRANGE(""https://docs.google.com/spreadsheets/d/14Bd19lYaqBhU8_DElYkX7l4wRkHqqCUFNJY4AfY3kHU/edit?usp=sharing  #gid=0"",""фіз особи new!relations_name""),6,FALSE)
,
(IF
(
C10140=""юридична особа""
,
VLOO"&amp;"KUP(D10140,IMPORTRANGE(""https://docs.google.com/spreadsheets/d/14Bd19lYaqBhU8_DElYkX7l4wRkHqqCUFNJY4AfY3kHU/edit?usp=sharing  #gid=0"",""фіз особи new!relations_name_uo""),7,FALSE)
,
)
))"),"ГАДЖИЄВ Гадіс Абдуллаєвич")</f>
        <v>ГАДЖИЄВ Гадіс Абдуллаєвич</v>
      </c>
      <c r="G10139" s="7" t="s">
        <v>10</v>
      </c>
      <c r="H10139" s="7">
        <v>0</v>
      </c>
      <c r="I10139" s="8" t="str">
        <f ca="1">IFERROR(__xludf.DUMMYFUNCTION("IF
(
G10140=""фізична особа""
,
VLOOKUP(H10140,IMPORTRANGE(""https://docs.google.com/spreadsheets/d/14Bd19lYaqBhU8_DElYkX7l4wRkHqqCUFNJY4AfY3kHU/edit?usp=sharing  #gid=0"",""фіз особи new!relations_name""),6,FALSE)
,
(IF
(
G10140=""юридична особа""
,
VLOO"&amp;"KUP(H10140,IMPORTRANGE(""https://docs.google.com/spreadsheets/d/14Bd19lYaqBhU8_DElYkX7l4wRkHqqCUFNJY4AfY3kHU/edit?usp=sharing  #gid=0"",""фіз особи new!relations_name_uo""),7,FALSE)
,
)
))"),"#N/A")</f>
        <v>#N/A</v>
      </c>
      <c r="J10139" s="7" t="s">
        <v>17</v>
      </c>
    </row>
    <row r="10140" spans="1:10" ht="13.2">
      <c r="A10140" s="7">
        <v>10139</v>
      </c>
      <c r="B10140" s="7">
        <v>1</v>
      </c>
      <c r="C10140" s="7" t="s">
        <v>10</v>
      </c>
      <c r="D10140" s="7">
        <v>12214</v>
      </c>
      <c r="E10140" s="7" t="s">
        <v>65</v>
      </c>
      <c r="F10140" s="8" t="str">
        <f ca="1">IFERROR(__xludf.DUMMYFUNCTION("IF
(
C10141=""фізична особа""
,
VLOOKUP(D10141,IMPORTRANGE(""https://docs.google.com/spreadsheets/d/14Bd19lYaqBhU8_DElYkX7l4wRkHqqCUFNJY4AfY3kHU/edit?usp=sharing  #gid=0"",""фіз особи new!relations_name""),6,FALSE)
,
(IF
(
C10141=""юридична особа""
,
VLOO"&amp;"KUP(D10141,IMPORTRANGE(""https://docs.google.com/spreadsheets/d/14Bd19lYaqBhU8_DElYkX7l4wRkHqqCUFNJY4AfY3kHU/edit?usp=sharing  #gid=0"",""фіз особи new!relations_name_uo""),7,FALSE)
,
)
))"),"КРАСАВЧИКОВА Лариса Октябріївна")</f>
        <v>КРАСАВЧИКОВА Лариса Октябріївна</v>
      </c>
      <c r="G10140" s="7" t="s">
        <v>10</v>
      </c>
      <c r="H10140" s="7">
        <v>0</v>
      </c>
      <c r="I10140" s="8" t="str">
        <f ca="1">IFERROR(__xludf.DUMMYFUNCTION("IF
(
G10141=""фізична особа""
,
VLOOKUP(H10141,IMPORTRANGE(""https://docs.google.com/spreadsheets/d/14Bd19lYaqBhU8_DElYkX7l4wRkHqqCUFNJY4AfY3kHU/edit?usp=sharing  #gid=0"",""фіз особи new!relations_name""),6,FALSE)
,
(IF
(
G10141=""юридична особа""
,
VLOO"&amp;"KUP(H10141,IMPORTRANGE(""https://docs.google.com/spreadsheets/d/14Bd19lYaqBhU8_DElYkX7l4wRkHqqCUFNJY4AfY3kHU/edit?usp=sharing  #gid=0"",""фіз особи new!relations_name_uo""),7,FALSE)
,
)
))"),"#N/A")</f>
        <v>#N/A</v>
      </c>
      <c r="J10140" s="7" t="s">
        <v>65</v>
      </c>
    </row>
    <row r="10141" spans="1:10" ht="13.2">
      <c r="A10141" s="7">
        <v>10140</v>
      </c>
      <c r="B10141" s="7">
        <v>1</v>
      </c>
      <c r="C10141" s="7" t="s">
        <v>10</v>
      </c>
      <c r="D10141" s="7">
        <v>12214</v>
      </c>
      <c r="E10141" s="7" t="s">
        <v>13</v>
      </c>
      <c r="F10141" s="8" t="str">
        <f ca="1">IFERROR(__xludf.DUMMYFUNCTION("IF
(
C10142=""фізична особа""
,
VLOOKUP(D10142,IMPORTRANGE(""https://docs.google.com/spreadsheets/d/14Bd19lYaqBhU8_DElYkX7l4wRkHqqCUFNJY4AfY3kHU/edit?usp=sharing  #gid=0"",""фіз особи new!relations_name""),6,FALSE)
,
(IF
(
C10142=""юридична особа""
,
VLOO"&amp;"KUP(D10142,IMPORTRANGE(""https://docs.google.com/spreadsheets/d/14Bd19lYaqBhU8_DElYkX7l4wRkHqqCUFNJY4AfY3kHU/edit?usp=sharing  #gid=0"",""фіз особи new!relations_name_uo""),7,FALSE)
,
)
))"),"КРАСАВЧИКОВА Лариса Октябріївна")</f>
        <v>КРАСАВЧИКОВА Лариса Октябріївна</v>
      </c>
      <c r="G10141" s="7" t="s">
        <v>10</v>
      </c>
      <c r="H10141" s="7">
        <v>0</v>
      </c>
      <c r="I10141" s="8" t="str">
        <f ca="1">IFERROR(__xludf.DUMMYFUNCTION("IF
(
G10142=""фізична особа""
,
VLOOKUP(H10142,IMPORTRANGE(""https://docs.google.com/spreadsheets/d/14Bd19lYaqBhU8_DElYkX7l4wRkHqqCUFNJY4AfY3kHU/edit?usp=sharing  #gid=0"",""фіз особи new!relations_name""),6,FALSE)
,
(IF
(
G10142=""юридична особа""
,
VLOO"&amp;"KUP(H10142,IMPORTRANGE(""https://docs.google.com/spreadsheets/d/14Bd19lYaqBhU8_DElYkX7l4wRkHqqCUFNJY4AfY3kHU/edit?usp=sharing  #gid=0"",""фіз особи new!relations_name_uo""),7,FALSE)
,
)
))"),"#N/A")</f>
        <v>#N/A</v>
      </c>
      <c r="J10141" s="7" t="s">
        <v>12</v>
      </c>
    </row>
    <row r="10142" spans="1:10" ht="13.2">
      <c r="A10142" s="7">
        <v>10141</v>
      </c>
      <c r="B10142" s="7">
        <v>1</v>
      </c>
      <c r="C10142" s="7" t="s">
        <v>10</v>
      </c>
      <c r="D10142" s="7">
        <v>12216</v>
      </c>
      <c r="E10142" s="7" t="s">
        <v>14</v>
      </c>
      <c r="F10142" s="8" t="str">
        <f ca="1">IFERROR(__xludf.DUMMYFUNCTION("IF
(
C10143=""фізична особа""
,
VLOOKUP(D10143,IMPORTRANGE(""https://docs.google.com/spreadsheets/d/14Bd19lYaqBhU8_DElYkX7l4wRkHqqCUFNJY4AfY3kHU/edit?usp=sharing  #gid=0"",""фіз особи new!relations_name""),6,FALSE)
,
(IF
(
C10143=""юридична особа""
,
VLOO"&amp;"KUP(D10143,IMPORTRANGE(""https://docs.google.com/spreadsheets/d/14Bd19lYaqBhU8_DElYkX7l4wRkHqqCUFNJY4AfY3kHU/edit?usp=sharing  #gid=0"",""фіз особи new!relations_name_uo""),7,FALSE)
,
)
))"),"КНЯЗЄВ Сергій Дмитрович")</f>
        <v>КНЯЗЄВ Сергій Дмитрович</v>
      </c>
      <c r="G10142" s="7" t="s">
        <v>10</v>
      </c>
      <c r="H10142" s="7">
        <v>0</v>
      </c>
      <c r="I10142" s="8" t="str">
        <f ca="1">IFERROR(__xludf.DUMMYFUNCTION("IF
(
G10143=""фізична особа""
,
VLOOKUP(H10143,IMPORTRANGE(""https://docs.google.com/spreadsheets/d/14Bd19lYaqBhU8_DElYkX7l4wRkHqqCUFNJY4AfY3kHU/edit?usp=sharing  #gid=0"",""фіз особи new!relations_name""),6,FALSE)
,
(IF
(
G10143=""юридична особа""
,
VLOO"&amp;"KUP(H10143,IMPORTRANGE(""https://docs.google.com/spreadsheets/d/14Bd19lYaqBhU8_DElYkX7l4wRkHqqCUFNJY4AfY3kHU/edit?usp=sharing  #gid=0"",""фіз особи new!relations_name_uo""),7,FALSE)
,
)
))"),"#N/A")</f>
        <v>#N/A</v>
      </c>
      <c r="J10142" s="7" t="s">
        <v>15</v>
      </c>
    </row>
    <row r="10143" spans="1:10" ht="13.2">
      <c r="A10143" s="7">
        <v>10142</v>
      </c>
      <c r="B10143" s="7">
        <v>1</v>
      </c>
      <c r="C10143" s="7" t="s">
        <v>10</v>
      </c>
      <c r="D10143" s="7">
        <v>12218</v>
      </c>
      <c r="E10143" s="7" t="s">
        <v>15</v>
      </c>
      <c r="F10143" s="8" t="str">
        <f ca="1">IFERROR(__xludf.DUMMYFUNCTION("IF
(
C10144=""фізична особа""
,
VLOOKUP(D10144,IMPORTRANGE(""https://docs.google.com/spreadsheets/d/14Bd19lYaqBhU8_DElYkX7l4wRkHqqCUFNJY4AfY3kHU/edit?usp=sharing  #gid=0"",""фіз особи new!relations_name""),6,FALSE)
,
(IF
(
C10144=""юридична особа""
,
VLOO"&amp;"KUP(D10144,IMPORTRANGE(""https://docs.google.com/spreadsheets/d/14Bd19lYaqBhU8_DElYkX7l4wRkHqqCUFNJY4AfY3kHU/edit?usp=sharing  #gid=0"",""фіз особи new!relations_name_uo""),7,FALSE)
,
)
))"),"ЖАРКОВА Людмила Михайлівна")</f>
        <v>ЖАРКОВА Людмила Михайлівна</v>
      </c>
      <c r="G10143" s="7" t="s">
        <v>10</v>
      </c>
      <c r="H10143" s="7">
        <v>0</v>
      </c>
      <c r="I10143" s="8" t="str">
        <f ca="1">IFERROR(__xludf.DUMMYFUNCTION("IF
(
G10144=""фізична особа""
,
VLOOKUP(H10144,IMPORTRANGE(""https://docs.google.com/spreadsheets/d/14Bd19lYaqBhU8_DElYkX7l4wRkHqqCUFNJY4AfY3kHU/edit?usp=sharing  #gid=0"",""фіз особи new!relations_name""),6,FALSE)
,
(IF
(
G10144=""юридична особа""
,
VLOO"&amp;"KUP(H10144,IMPORTRANGE(""https://docs.google.com/spreadsheets/d/14Bd19lYaqBhU8_DElYkX7l4wRkHqqCUFNJY4AfY3kHU/edit?usp=sharing  #gid=0"",""фіз особи new!relations_name_uo""),7,FALSE)
,
)
))"),"#N/A")</f>
        <v>#N/A</v>
      </c>
      <c r="J10143" s="7" t="s">
        <v>14</v>
      </c>
    </row>
    <row r="10144" spans="1:10" ht="13.2">
      <c r="A10144" s="7">
        <v>10143</v>
      </c>
      <c r="B10144" s="7">
        <v>1</v>
      </c>
      <c r="C10144" s="7" t="s">
        <v>10</v>
      </c>
      <c r="D10144" s="7">
        <v>12218</v>
      </c>
      <c r="E10144" s="7" t="s">
        <v>21</v>
      </c>
      <c r="F10144" s="8" t="str">
        <f ca="1">IFERROR(__xludf.DUMMYFUNCTION("IF
(
C10145=""фізична особа""
,
VLOOKUP(D10145,IMPORTRANGE(""https://docs.google.com/spreadsheets/d/14Bd19lYaqBhU8_DElYkX7l4wRkHqqCUFNJY4AfY3kHU/edit?usp=sharing  #gid=0"",""фіз особи new!relations_name""),6,FALSE)
,
(IF
(
C10145=""юридична особа""
,
VLOO"&amp;"KUP(D10145,IMPORTRANGE(""https://docs.google.com/spreadsheets/d/14Bd19lYaqBhU8_DElYkX7l4wRkHqqCUFNJY4AfY3kHU/edit?usp=sharing  #gid=0"",""фіз особи new!relations_name_uo""),7,FALSE)
,
)
))"),"ЖАРКОВА Людмила Михайлівна")</f>
        <v>ЖАРКОВА Людмила Михайлівна</v>
      </c>
      <c r="G10144" s="7" t="s">
        <v>10</v>
      </c>
      <c r="H10144" s="7">
        <v>0</v>
      </c>
      <c r="I10144" s="8" t="str">
        <f ca="1">IFERROR(__xludf.DUMMYFUNCTION("IF
(
G10145=""фізична особа""
,
VLOOKUP(H10145,IMPORTRANGE(""https://docs.google.com/spreadsheets/d/14Bd19lYaqBhU8_DElYkX7l4wRkHqqCUFNJY4AfY3kHU/edit?usp=sharing  #gid=0"",""фіз особи new!relations_name""),6,FALSE)
,
(IF
(
G10145=""юридична особа""
,
VLOO"&amp;"KUP(H10145,IMPORTRANGE(""https://docs.google.com/spreadsheets/d/14Bd19lYaqBhU8_DElYkX7l4wRkHqqCUFNJY4AfY3kHU/edit?usp=sharing  #gid=0"",""фіз особи new!relations_name_uo""),7,FALSE)
,
)
))"),"#N/A")</f>
        <v>#N/A</v>
      </c>
      <c r="J10144" s="7" t="s">
        <v>13</v>
      </c>
    </row>
    <row r="10145" spans="1:10" ht="13.2">
      <c r="A10145" s="7">
        <v>10144</v>
      </c>
      <c r="B10145" s="7">
        <v>1</v>
      </c>
      <c r="C10145" s="7" t="s">
        <v>10</v>
      </c>
      <c r="D10145" s="7">
        <v>12226</v>
      </c>
      <c r="E10145" s="7" t="s">
        <v>12</v>
      </c>
      <c r="F10145" s="8" t="str">
        <f ca="1">IFERROR(__xludf.DUMMYFUNCTION("IF
(
C10146=""фізична особа""
,
VLOOKUP(D10146,IMPORTRANGE(""https://docs.google.com/spreadsheets/d/14Bd19lYaqBhU8_DElYkX7l4wRkHqqCUFNJY4AfY3kHU/edit?usp=sharing  #gid=0"",""фіз особи new!relations_name""),6,FALSE)
,
(IF
(
C10146=""юридична особа""
,
VLOO"&amp;"KUP(D10146,IMPORTRANGE(""https://docs.google.com/spreadsheets/d/14Bd19lYaqBhU8_DElYkX7l4wRkHqqCUFNJY4AfY3kHU/edit?usp=sharing  #gid=0"",""фіз особи new!relations_name_uo""),7,FALSE)
,
)
))"),"ХОМЧИК Володимир Володимирович")</f>
        <v>ХОМЧИК Володимир Володимирович</v>
      </c>
      <c r="G10145" s="7" t="s">
        <v>10</v>
      </c>
      <c r="H10145" s="7">
        <v>0</v>
      </c>
      <c r="I10145" s="8" t="str">
        <f ca="1">IFERROR(__xludf.DUMMYFUNCTION("IF
(
G10146=""фізична особа""
,
VLOOKUP(H10146,IMPORTRANGE(""https://docs.google.com/spreadsheets/d/14Bd19lYaqBhU8_DElYkX7l4wRkHqqCUFNJY4AfY3kHU/edit?usp=sharing  #gid=0"",""фіз особи new!relations_name""),6,FALSE)
,
(IF
(
G10146=""юридична особа""
,
VLOO"&amp;"KUP(H10146,IMPORTRANGE(""https://docs.google.com/spreadsheets/d/14Bd19lYaqBhU8_DElYkX7l4wRkHqqCUFNJY4AfY3kHU/edit?usp=sharing  #gid=0"",""фіз особи new!relations_name_uo""),7,FALSE)
,
)
))"),"#N/A")</f>
        <v>#N/A</v>
      </c>
      <c r="J10145" s="7" t="s">
        <v>13</v>
      </c>
    </row>
    <row r="10146" spans="1:10" ht="13.2">
      <c r="A10146" s="7">
        <v>10145</v>
      </c>
      <c r="B10146" s="7">
        <v>1</v>
      </c>
      <c r="C10146" s="7" t="s">
        <v>10</v>
      </c>
      <c r="D10146" s="7">
        <v>12226</v>
      </c>
      <c r="E10146" s="7" t="s">
        <v>12</v>
      </c>
      <c r="F10146" s="8" t="str">
        <f ca="1">IFERROR(__xludf.DUMMYFUNCTION("IF
(
C10147=""фізична особа""
,
VLOOKUP(D10147,IMPORTRANGE(""https://docs.google.com/spreadsheets/d/14Bd19lYaqBhU8_DElYkX7l4wRkHqqCUFNJY4AfY3kHU/edit?usp=sharing  #gid=0"",""фіз особи new!relations_name""),6,FALSE)
,
(IF
(
C10147=""юридична особа""
,
VLOO"&amp;"KUP(D10147,IMPORTRANGE(""https://docs.google.com/spreadsheets/d/14Bd19lYaqBhU8_DElYkX7l4wRkHqqCUFNJY4AfY3kHU/edit?usp=sharing  #gid=0"",""фіз особи new!relations_name_uo""),7,FALSE)
,
)
))"),"ХОМЧИК Володимир Володимирович")</f>
        <v>ХОМЧИК Володимир Володимирович</v>
      </c>
      <c r="G10146" s="7" t="s">
        <v>10</v>
      </c>
      <c r="H10146" s="7">
        <v>0</v>
      </c>
      <c r="I10146" s="8" t="str">
        <f ca="1">IFERROR(__xludf.DUMMYFUNCTION("IF
(
G10147=""фізична особа""
,
VLOOKUP(H10147,IMPORTRANGE(""https://docs.google.com/spreadsheets/d/14Bd19lYaqBhU8_DElYkX7l4wRkHqqCUFNJY4AfY3kHU/edit?usp=sharing  #gid=0"",""фіз особи new!relations_name""),6,FALSE)
,
(IF
(
G10147=""юридична особа""
,
VLOO"&amp;"KUP(H10147,IMPORTRANGE(""https://docs.google.com/spreadsheets/d/14Bd19lYaqBhU8_DElYkX7l4wRkHqqCUFNJY4AfY3kHU/edit?usp=sharing  #gid=0"",""фіз особи new!relations_name_uo""),7,FALSE)
,
)
))"),"#N/A")</f>
        <v>#N/A</v>
      </c>
      <c r="J10146" s="7" t="s">
        <v>13</v>
      </c>
    </row>
    <row r="10147" spans="1:10" ht="13.2">
      <c r="A10147" s="7">
        <v>10146</v>
      </c>
      <c r="B10147" s="7">
        <v>1</v>
      </c>
      <c r="C10147" s="7" t="s">
        <v>10</v>
      </c>
      <c r="D10147" s="7">
        <v>12226</v>
      </c>
      <c r="E10147" s="7" t="s">
        <v>14</v>
      </c>
      <c r="F10147" s="8" t="str">
        <f ca="1">IFERROR(__xludf.DUMMYFUNCTION("IF
(
C10148=""фізична особа""
,
VLOOKUP(D10148,IMPORTRANGE(""https://docs.google.com/spreadsheets/d/14Bd19lYaqBhU8_DElYkX7l4wRkHqqCUFNJY4AfY3kHU/edit?usp=sharing  #gid=0"",""фіз особи new!relations_name""),6,FALSE)
,
(IF
(
C10148=""юридична особа""
,
VLOO"&amp;"KUP(D10148,IMPORTRANGE(""https://docs.google.com/spreadsheets/d/14Bd19lYaqBhU8_DElYkX7l4wRkHqqCUFNJY4AfY3kHU/edit?usp=sharing  #gid=0"",""фіз особи new!relations_name_uo""),7,FALSE)
,
)
))"),"ХОМЧИК Володимир Володимирович")</f>
        <v>ХОМЧИК Володимир Володимирович</v>
      </c>
      <c r="G10147" s="7" t="s">
        <v>10</v>
      </c>
      <c r="H10147" s="7">
        <v>0</v>
      </c>
      <c r="I10147" s="8" t="str">
        <f ca="1">IFERROR(__xludf.DUMMYFUNCTION("IF
(
G10148=""фізична особа""
,
VLOOKUP(H10148,IMPORTRANGE(""https://docs.google.com/spreadsheets/d/14Bd19lYaqBhU8_DElYkX7l4wRkHqqCUFNJY4AfY3kHU/edit?usp=sharing  #gid=0"",""фіз особи new!relations_name""),6,FALSE)
,
(IF
(
G10148=""юридична особа""
,
VLOO"&amp;"KUP(H10148,IMPORTRANGE(""https://docs.google.com/spreadsheets/d/14Bd19lYaqBhU8_DElYkX7l4wRkHqqCUFNJY4AfY3kHU/edit?usp=sharing  #gid=0"",""фіз особи new!relations_name_uo""),7,FALSE)
,
)
))"),"#N/A")</f>
        <v>#N/A</v>
      </c>
      <c r="J10147" s="7" t="s">
        <v>15</v>
      </c>
    </row>
    <row r="10148" spans="1:10" ht="13.2">
      <c r="A10148" s="7">
        <v>10147</v>
      </c>
      <c r="B10148" s="7">
        <v>1</v>
      </c>
      <c r="C10148" s="7" t="s">
        <v>10</v>
      </c>
      <c r="D10148" s="7">
        <v>12227</v>
      </c>
      <c r="E10148" s="7" t="s">
        <v>12</v>
      </c>
      <c r="F10148" s="8" t="str">
        <f ca="1">IFERROR(__xludf.DUMMYFUNCTION("IF
(
C10149=""фізична особа""
,
VLOOKUP(D10149,IMPORTRANGE(""https://docs.google.com/spreadsheets/d/14Bd19lYaqBhU8_DElYkX7l4wRkHqqCUFNJY4AfY3kHU/edit?usp=sharing  #gid=0"",""фіз особи new!relations_name""),6,FALSE)
,
(IF
(
C10149=""юридична особа""
,
VLOO"&amp;"KUP(D10149,IMPORTRANGE(""https://docs.google.com/spreadsheets/d/14Bd19lYaqBhU8_DElYkX7l4wRkHqqCUFNJY4AfY3kHU/edit?usp=sharing  #gid=0"",""фіз особи new!relations_name_uo""),7,FALSE)
,
)
))"),"РУДАКОВ Сергій Валентинович")</f>
        <v>РУДАКОВ Сергій Валентинович</v>
      </c>
      <c r="G10148" s="7" t="s">
        <v>10</v>
      </c>
      <c r="H10148" s="7">
        <v>0</v>
      </c>
      <c r="I10148" s="8" t="str">
        <f ca="1">IFERROR(__xludf.DUMMYFUNCTION("IF
(
G10149=""фізична особа""
,
VLOOKUP(H10149,IMPORTRANGE(""https://docs.google.com/spreadsheets/d/14Bd19lYaqBhU8_DElYkX7l4wRkHqqCUFNJY4AfY3kHU/edit?usp=sharing  #gid=0"",""фіз особи new!relations_name""),6,FALSE)
,
(IF
(
G10149=""юридична особа""
,
VLOO"&amp;"KUP(H10149,IMPORTRANGE(""https://docs.google.com/spreadsheets/d/14Bd19lYaqBhU8_DElYkX7l4wRkHqqCUFNJY4AfY3kHU/edit?usp=sharing  #gid=0"",""фіз особи new!relations_name_uo""),7,FALSE)
,
)
))"),"#N/A")</f>
        <v>#N/A</v>
      </c>
      <c r="J10148" s="7" t="s">
        <v>17</v>
      </c>
    </row>
    <row r="10149" spans="1:10" ht="13.2">
      <c r="A10149" s="7">
        <v>10148</v>
      </c>
      <c r="B10149" s="7">
        <v>1</v>
      </c>
      <c r="C10149" s="7" t="s">
        <v>10</v>
      </c>
      <c r="D10149" s="7">
        <v>12227</v>
      </c>
      <c r="E10149" s="7" t="s">
        <v>14</v>
      </c>
      <c r="F10149" s="8" t="str">
        <f ca="1">IFERROR(__xludf.DUMMYFUNCTION("IF
(
C10150=""фізична особа""
,
VLOOKUP(D10150,IMPORTRANGE(""https://docs.google.com/spreadsheets/d/14Bd19lYaqBhU8_DElYkX7l4wRkHqqCUFNJY4AfY3kHU/edit?usp=sharing  #gid=0"",""фіз особи new!relations_name""),6,FALSE)
,
(IF
(
C10150=""юридична особа""
,
VLOO"&amp;"KUP(D10150,IMPORTRANGE(""https://docs.google.com/spreadsheets/d/14Bd19lYaqBhU8_DElYkX7l4wRkHqqCUFNJY4AfY3kHU/edit?usp=sharing  #gid=0"",""фіз особи new!relations_name_uo""),7,FALSE)
,
)
))"),"РУДАКОВ Сергій Валентинович")</f>
        <v>РУДАКОВ Сергій Валентинович</v>
      </c>
      <c r="G10149" s="7" t="s">
        <v>10</v>
      </c>
      <c r="H10149" s="7">
        <v>0</v>
      </c>
      <c r="I10149" s="8" t="str">
        <f ca="1">IFERROR(__xludf.DUMMYFUNCTION("IF
(
G10150=""фізична особа""
,
VLOOKUP(H10150,IMPORTRANGE(""https://docs.google.com/spreadsheets/d/14Bd19lYaqBhU8_DElYkX7l4wRkHqqCUFNJY4AfY3kHU/edit?usp=sharing  #gid=0"",""фіз особи new!relations_name""),6,FALSE)
,
(IF
(
G10150=""юридична особа""
,
VLOO"&amp;"KUP(H10150,IMPORTRANGE(""https://docs.google.com/spreadsheets/d/14Bd19lYaqBhU8_DElYkX7l4wRkHqqCUFNJY4AfY3kHU/edit?usp=sharing  #gid=0"",""фіз особи new!relations_name_uo""),7,FALSE)
,
)
))"),"#N/A")</f>
        <v>#N/A</v>
      </c>
      <c r="J10149" s="7" t="s">
        <v>15</v>
      </c>
    </row>
    <row r="10150" spans="1:10" ht="13.2">
      <c r="A10150" s="7">
        <v>10149</v>
      </c>
      <c r="B10150" s="7">
        <v>1</v>
      </c>
      <c r="C10150" s="7" t="s">
        <v>10</v>
      </c>
      <c r="D10150" s="7">
        <v>12227</v>
      </c>
      <c r="E10150" s="7" t="s">
        <v>12</v>
      </c>
      <c r="F10150" s="8" t="str">
        <f ca="1">IFERROR(__xludf.DUMMYFUNCTION("IF
(
C10151=""фізична особа""
,
VLOOKUP(D10151,IMPORTRANGE(""https://docs.google.com/spreadsheets/d/14Bd19lYaqBhU8_DElYkX7l4wRkHqqCUFNJY4AfY3kHU/edit?usp=sharing  #gid=0"",""фіз особи new!relations_name""),6,FALSE)
,
(IF
(
C10151=""юридична особа""
,
VLOO"&amp;"KUP(D10151,IMPORTRANGE(""https://docs.google.com/spreadsheets/d/14Bd19lYaqBhU8_DElYkX7l4wRkHqqCUFNJY4AfY3kHU/edit?usp=sharing  #gid=0"",""фіз особи new!relations_name_uo""),7,FALSE)
,
)
))"),"РУДАКОВ Сергій Валентинович")</f>
        <v>РУДАКОВ Сергій Валентинович</v>
      </c>
      <c r="G10150" s="7" t="s">
        <v>10</v>
      </c>
      <c r="H10150" s="7">
        <v>0</v>
      </c>
      <c r="I10150" s="8" t="str">
        <f ca="1">IFERROR(__xludf.DUMMYFUNCTION("IF
(
G10151=""фізична особа""
,
VLOOKUP(H10151,IMPORTRANGE(""https://docs.google.com/spreadsheets/d/14Bd19lYaqBhU8_DElYkX7l4wRkHqqCUFNJY4AfY3kHU/edit?usp=sharing  #gid=0"",""фіз особи new!relations_name""),6,FALSE)
,
(IF
(
G10151=""юридична особа""
,
VLOO"&amp;"KUP(H10151,IMPORTRANGE(""https://docs.google.com/spreadsheets/d/14Bd19lYaqBhU8_DElYkX7l4wRkHqqCUFNJY4AfY3kHU/edit?usp=sharing  #gid=0"",""фіз особи new!relations_name_uo""),7,FALSE)
,
)
))"),"#N/A")</f>
        <v>#N/A</v>
      </c>
      <c r="J10150" s="7" t="s">
        <v>13</v>
      </c>
    </row>
    <row r="10151" spans="1:10" ht="13.2">
      <c r="A10151" s="7">
        <v>10150</v>
      </c>
      <c r="B10151" s="7">
        <v>1</v>
      </c>
      <c r="C10151" s="7" t="s">
        <v>10</v>
      </c>
      <c r="D10151" s="7">
        <v>12240</v>
      </c>
      <c r="E10151" s="7" t="s">
        <v>17</v>
      </c>
      <c r="F10151" s="8" t="str">
        <f ca="1">IFERROR(__xludf.DUMMYFUNCTION("IF
(
C10152=""фізична особа""
,
VLOOKUP(D10152,IMPORTRANGE(""https://docs.google.com/spreadsheets/d/14Bd19lYaqBhU8_DElYkX7l4wRkHqqCUFNJY4AfY3kHU/edit?usp=sharing  #gid=0"",""фіз особи new!relations_name""),6,FALSE)
,
(IF
(
C10152=""юридична особа""
,
VLOO"&amp;"KUP(D10152,IMPORTRANGE(""https://docs.google.com/spreadsheets/d/14Bd19lYaqBhU8_DElYkX7l4wRkHqqCUFNJY4AfY3kHU/edit?usp=sharing  #gid=0"",""фіз особи new!relations_name_uo""),7,FALSE)
,
)
))"),"КАПКАЄВ Денис Володимирович")</f>
        <v>КАПКАЄВ Денис Володимирович</v>
      </c>
      <c r="G10151" s="7" t="s">
        <v>10</v>
      </c>
      <c r="H10151" s="7">
        <v>0</v>
      </c>
      <c r="I10151" s="8" t="str">
        <f ca="1">IFERROR(__xludf.DUMMYFUNCTION("IF
(
G10152=""фізична особа""
,
VLOOKUP(H10152,IMPORTRANGE(""https://docs.google.com/spreadsheets/d/14Bd19lYaqBhU8_DElYkX7l4wRkHqqCUFNJY4AfY3kHU/edit?usp=sharing  #gid=0"",""фіз особи new!relations_name""),6,FALSE)
,
(IF
(
G10152=""юридична особа""
,
VLOO"&amp;"KUP(H10152,IMPORTRANGE(""https://docs.google.com/spreadsheets/d/14Bd19lYaqBhU8_DElYkX7l4wRkHqqCUFNJY4AfY3kHU/edit?usp=sharing  #gid=0"",""фіз особи new!relations_name_uo""),7,FALSE)
,
)
))"),"#N/A")</f>
        <v>#N/A</v>
      </c>
      <c r="J10151" s="7" t="s">
        <v>12</v>
      </c>
    </row>
    <row r="10152" spans="1:10" ht="13.2">
      <c r="A10152" s="7">
        <v>10151</v>
      </c>
      <c r="B10152" s="7">
        <v>1</v>
      </c>
      <c r="C10152" s="7" t="s">
        <v>10</v>
      </c>
      <c r="D10152" s="7">
        <v>12241</v>
      </c>
      <c r="E10152" s="7" t="s">
        <v>21</v>
      </c>
      <c r="F10152" s="8" t="str">
        <f ca="1">IFERROR(__xludf.DUMMYFUNCTION("IF
(
C10153=""фізична особа""
,
VLOOKUP(D10153,IMPORTRANGE(""https://docs.google.com/spreadsheets/d/14Bd19lYaqBhU8_DElYkX7l4wRkHqqCUFNJY4AfY3kHU/edit?usp=sharing  #gid=0"",""фіз особи new!relations_name""),6,FALSE)
,
(IF
(
C10153=""юридична особа""
,
VLOO"&amp;"KUP(D10153,IMPORTRANGE(""https://docs.google.com/spreadsheets/d/14Bd19lYaqBhU8_DElYkX7l4wRkHqqCUFNJY4AfY3kHU/edit?usp=sharing  #gid=0"",""фіз особи new!relations_name_uo""),7,FALSE)
,
)
))"),"КОРНЕЛЮК Катерина Сергіївна")</f>
        <v>КОРНЕЛЮК Катерина Сергіївна</v>
      </c>
      <c r="G10152" s="7" t="s">
        <v>10</v>
      </c>
      <c r="H10152" s="7">
        <v>0</v>
      </c>
      <c r="I10152" s="8" t="str">
        <f ca="1">IFERROR(__xludf.DUMMYFUNCTION("IF
(
G10153=""фізична особа""
,
VLOOKUP(H10153,IMPORTRANGE(""https://docs.google.com/spreadsheets/d/14Bd19lYaqBhU8_DElYkX7l4wRkHqqCUFNJY4AfY3kHU/edit?usp=sharing  #gid=0"",""фіз особи new!relations_name""),6,FALSE)
,
(IF
(
G10153=""юридична особа""
,
VLOO"&amp;"KUP(H10153,IMPORTRANGE(""https://docs.google.com/spreadsheets/d/14Bd19lYaqBhU8_DElYkX7l4wRkHqqCUFNJY4AfY3kHU/edit?usp=sharing  #gid=0"",""фіз особи new!relations_name_uo""),7,FALSE)
,
)
))"),"#N/A")</f>
        <v>#N/A</v>
      </c>
      <c r="J10152" s="7" t="s">
        <v>13</v>
      </c>
    </row>
    <row r="10153" spans="1:10" ht="13.2">
      <c r="A10153" s="7">
        <v>10152</v>
      </c>
      <c r="B10153" s="7">
        <v>1</v>
      </c>
      <c r="C10153" s="7" t="s">
        <v>10</v>
      </c>
      <c r="D10153" s="7">
        <v>12241</v>
      </c>
      <c r="E10153" s="7" t="s">
        <v>15</v>
      </c>
      <c r="F10153" s="8" t="str">
        <f ca="1">IFERROR(__xludf.DUMMYFUNCTION("IF
(
C10154=""фізична особа""
,
VLOOKUP(D10154,IMPORTRANGE(""https://docs.google.com/spreadsheets/d/14Bd19lYaqBhU8_DElYkX7l4wRkHqqCUFNJY4AfY3kHU/edit?usp=sharing  #gid=0"",""фіз особи new!relations_name""),6,FALSE)
,
(IF
(
C10154=""юридична особа""
,
VLOO"&amp;"KUP(D10154,IMPORTRANGE(""https://docs.google.com/spreadsheets/d/14Bd19lYaqBhU8_DElYkX7l4wRkHqqCUFNJY4AfY3kHU/edit?usp=sharing  #gid=0"",""фіз особи new!relations_name_uo""),7,FALSE)
,
)
))"),"КОРНЕЛЮК Катерина Сергіївна")</f>
        <v>КОРНЕЛЮК Катерина Сергіївна</v>
      </c>
      <c r="G10153" s="7" t="s">
        <v>10</v>
      </c>
      <c r="H10153" s="7">
        <v>0</v>
      </c>
      <c r="I10153" s="8" t="str">
        <f ca="1">IFERROR(__xludf.DUMMYFUNCTION("IF
(
G10154=""фізична особа""
,
VLOOKUP(H10154,IMPORTRANGE(""https://docs.google.com/spreadsheets/d/14Bd19lYaqBhU8_DElYkX7l4wRkHqqCUFNJY4AfY3kHU/edit?usp=sharing  #gid=0"",""фіз особи new!relations_name""),6,FALSE)
,
(IF
(
G10154=""юридична особа""
,
VLOO"&amp;"KUP(H10154,IMPORTRANGE(""https://docs.google.com/spreadsheets/d/14Bd19lYaqBhU8_DElYkX7l4wRkHqqCUFNJY4AfY3kHU/edit?usp=sharing  #gid=0"",""фіз особи new!relations_name_uo""),7,FALSE)
,
)
))"),"#N/A")</f>
        <v>#N/A</v>
      </c>
      <c r="J10153" s="7" t="s">
        <v>14</v>
      </c>
    </row>
    <row r="10154" spans="1:10" ht="13.2">
      <c r="A10154" s="7">
        <v>10153</v>
      </c>
      <c r="B10154" s="7">
        <v>1</v>
      </c>
      <c r="C10154" s="7" t="s">
        <v>10</v>
      </c>
      <c r="D10154" s="7">
        <v>12247</v>
      </c>
      <c r="E10154" s="7" t="s">
        <v>14</v>
      </c>
      <c r="F10154" s="8" t="str">
        <f ca="1">IFERROR(__xludf.DUMMYFUNCTION("IF
(
C10155=""фізична особа""
,
VLOOKUP(D10155,IMPORTRANGE(""https://docs.google.com/spreadsheets/d/14Bd19lYaqBhU8_DElYkX7l4wRkHqqCUFNJY4AfY3kHU/edit?usp=sharing  #gid=0"",""фіз особи new!relations_name""),6,FALSE)
,
(IF
(
C10155=""юридична особа""
,
VLOO"&amp;"KUP(D10155,IMPORTRANGE(""https://docs.google.com/spreadsheets/d/14Bd19lYaqBhU8_DElYkX7l4wRkHqqCUFNJY4AfY3kHU/edit?usp=sharing  #gid=0"",""фіз особи new!relations_name_uo""),7,FALSE)
,
)
))"),"ГЛАЗОВ Юрій Володимирович")</f>
        <v>ГЛАЗОВ Юрій Володимирович</v>
      </c>
      <c r="G10154" s="7" t="s">
        <v>10</v>
      </c>
      <c r="H10154" s="7">
        <v>0</v>
      </c>
      <c r="I10154" s="8" t="str">
        <f ca="1">IFERROR(__xludf.DUMMYFUNCTION("IF
(
G10155=""фізична особа""
,
VLOOKUP(H10155,IMPORTRANGE(""https://docs.google.com/spreadsheets/d/14Bd19lYaqBhU8_DElYkX7l4wRkHqqCUFNJY4AfY3kHU/edit?usp=sharing  #gid=0"",""фіз особи new!relations_name""),6,FALSE)
,
(IF
(
G10155=""юридична особа""
,
VLOO"&amp;"KUP(H10155,IMPORTRANGE(""https://docs.google.com/spreadsheets/d/14Bd19lYaqBhU8_DElYkX7l4wRkHqqCUFNJY4AfY3kHU/edit?usp=sharing  #gid=0"",""фіз особи new!relations_name_uo""),7,FALSE)
,
)
))"),"#N/A")</f>
        <v>#N/A</v>
      </c>
      <c r="J10154" s="7" t="s">
        <v>15</v>
      </c>
    </row>
    <row r="10155" spans="1:10" ht="13.2">
      <c r="A10155" s="7">
        <v>10154</v>
      </c>
      <c r="B10155" s="7">
        <v>1</v>
      </c>
      <c r="C10155" s="7" t="s">
        <v>10</v>
      </c>
      <c r="D10155" s="7">
        <v>12348</v>
      </c>
      <c r="E10155" s="7" t="s">
        <v>48</v>
      </c>
      <c r="F10155" s="8" t="str">
        <f ca="1">IFERROR(__xludf.DUMMYFUNCTION("IF
(
C10156=""фізична особа""
,
VLOOKUP(D10156,IMPORTRANGE(""https://docs.google.com/spreadsheets/d/14Bd19lYaqBhU8_DElYkX7l4wRkHqqCUFNJY4AfY3kHU/edit?usp=sharing  #gid=0"",""фіз особи new!relations_name""),6,FALSE)
,
(IF
(
C10156=""юридична особа""
,
VLOO"&amp;"KUP(D10156,IMPORTRANGE(""https://docs.google.com/spreadsheets/d/14Bd19lYaqBhU8_DElYkX7l4wRkHqqCUFNJY4AfY3kHU/edit?usp=sharing  #gid=0"",""фіз особи new!relations_name_uo""),7,FALSE)
,
)
))"),"ПОДНОСОВА Ірина Леонідівна")</f>
        <v>ПОДНОСОВА Ірина Леонідівна</v>
      </c>
      <c r="G10155" s="7" t="s">
        <v>10</v>
      </c>
      <c r="H10155" s="7">
        <v>880</v>
      </c>
      <c r="I10155" s="8" t="str">
        <f ca="1">IFERROR(__xludf.DUMMYFUNCTION("IF
(
G10156=""фізична особа""
,
VLOOKUP(H10156,IMPORTRANGE(""https://docs.google.com/spreadsheets/d/14Bd19lYaqBhU8_DElYkX7l4wRkHqqCUFNJY4AfY3kHU/edit?usp=sharing  #gid=0"",""фіз особи new!relations_name""),6,FALSE)
,
(IF
(
G10156=""юридична особа""
,
VLOO"&amp;"KUP(H10156,IMPORTRANGE(""https://docs.google.com/spreadsheets/d/14Bd19lYaqBhU8_DElYkX7l4wRkHqqCUFNJY4AfY3kHU/edit?usp=sharing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155" s="7" t="s">
        <v>48</v>
      </c>
    </row>
    <row r="10156" spans="1:10" ht="13.2">
      <c r="A10156" s="7">
        <v>10155</v>
      </c>
      <c r="B10156" s="7">
        <v>1</v>
      </c>
      <c r="C10156" s="7" t="s">
        <v>10</v>
      </c>
      <c r="D10156" s="7">
        <v>12379</v>
      </c>
      <c r="E10156" s="7" t="s">
        <v>28</v>
      </c>
      <c r="F10156" s="8" t="str">
        <f ca="1">IFERROR(__xludf.DUMMYFUNCTION("IF
(
C10157=""фізична особа""
,
VLOOKUP(D10157,IMPORTRANGE(""https://docs.google.com/spreadsheets/d/14Bd19lYaqBhU8_DElYkX7l4wRkHqqCUFNJY4AfY3kHU/edit?usp=sharing  #gid=0"",""фіз особи new!relations_name""),6,FALSE)
,
(IF
(
C10157=""юридична особа""
,
VLOO"&amp;"KUP(D10157,IMPORTRANGE(""https://docs.google.com/spreadsheets/d/14Bd19lYaqBhU8_DElYkX7l4wRkHqqCUFNJY4AfY3kHU/edit?usp=sharing  #gid=0"",""фіз особи new!relations_name_uo""),7,FALSE)
,
)
))"),"РАСЧУПКО Олена Іванівна")</f>
        <v>РАСЧУПКО Олена Іванівна</v>
      </c>
      <c r="G10156" s="7" t="s">
        <v>10</v>
      </c>
      <c r="H10156" s="7">
        <v>0</v>
      </c>
      <c r="I10156" s="8" t="str">
        <f ca="1">IFERROR(__xludf.DUMMYFUNCTION("IF
(
G10157=""фізична особа""
,
VLOOKUP(H10157,IMPORTRANGE(""https://docs.google.com/spreadsheets/d/14Bd19lYaqBhU8_DElYkX7l4wRkHqqCUFNJY4AfY3kHU/edit?usp=sharing  #gid=0"",""фіз особи new!relations_name""),6,FALSE)
,
(IF
(
G10157=""юридична особа""
,
VLOO"&amp;"KUP(H10157,IMPORTRANGE(""https://docs.google.com/spreadsheets/d/14Bd19lYaqBhU8_DElYkX7l4wRkHqqCUFNJY4AfY3kHU/edit?usp=sharing  #gid=0"",""фіз особи new!relations_name_uo""),7,FALSE)
,
)
))"),"#N/A")</f>
        <v>#N/A</v>
      </c>
      <c r="J10156" s="7" t="s">
        <v>29</v>
      </c>
    </row>
    <row r="10157" spans="1:10" ht="13.2">
      <c r="A10157" s="7">
        <v>10156</v>
      </c>
      <c r="B10157" s="7">
        <v>1</v>
      </c>
      <c r="C10157" s="7" t="s">
        <v>10</v>
      </c>
      <c r="D10157" s="7">
        <v>12408</v>
      </c>
      <c r="E10157" s="7" t="s">
        <v>28</v>
      </c>
      <c r="F10157" s="8" t="str">
        <f ca="1">IFERROR(__xludf.DUMMYFUNCTION("IF
(
C10158=""фізична особа""
,
VLOOKUP(D10158,IMPORTRANGE(""https://docs.google.com/spreadsheets/d/14Bd19lYaqBhU8_DElYkX7l4wRkHqqCUFNJY4AfY3kHU/edit?usp=sharing  #gid=0"",""фіз особи new!relations_name""),6,FALSE)
,
(IF
(
C10158=""юридична особа""
,
VLOO"&amp;"KUP(D10158,IMPORTRANGE(""https://docs.google.com/spreadsheets/d/14Bd19lYaqBhU8_DElYkX7l4wRkHqqCUFNJY4AfY3kHU/edit?usp=sharing  #gid=0"",""фіз особи new!relations_name_uo""),7,FALSE)
,
)
))"),"БАХАНОВСЬКА / ЦИЦАРКІНА Людмила Геннадіївна")</f>
        <v>БАХАНОВСЬКА / ЦИЦАРКІНА Людмила Геннадіївна</v>
      </c>
      <c r="G10157" s="7" t="s">
        <v>10</v>
      </c>
      <c r="H10157" s="7">
        <v>0</v>
      </c>
      <c r="I10157" s="8" t="str">
        <f ca="1">IFERROR(__xludf.DUMMYFUNCTION("IF
(
G10158=""фізична особа""
,
VLOOKUP(H10158,IMPORTRANGE(""https://docs.google.com/spreadsheets/d/14Bd19lYaqBhU8_DElYkX7l4wRkHqqCUFNJY4AfY3kHU/edit?usp=sharing  #gid=0"",""фіз особи new!relations_name""),6,FALSE)
,
(IF
(
G10158=""юридична особа""
,
VLOO"&amp;"KUP(H10158,IMPORTRANGE(""https://docs.google.com/spreadsheets/d/14Bd19lYaqBhU8_DElYkX7l4wRkHqqCUFNJY4AfY3kHU/edit?usp=sharing  #gid=0"",""фіз особи new!relations_name_uo""),7,FALSE)
,
)
))"),"#N/A")</f>
        <v>#N/A</v>
      </c>
      <c r="J10157" s="7" t="s">
        <v>29</v>
      </c>
    </row>
    <row r="10158" spans="1:10" ht="13.2">
      <c r="A10158" s="7">
        <v>10157</v>
      </c>
      <c r="B10158" s="7">
        <v>1</v>
      </c>
      <c r="C10158" s="7" t="s">
        <v>10</v>
      </c>
      <c r="D10158" s="7">
        <v>12408</v>
      </c>
      <c r="E10158" s="7" t="s">
        <v>28</v>
      </c>
      <c r="F10158" s="8" t="str">
        <f ca="1">IFERROR(__xludf.DUMMYFUNCTION("IF
(
C10159=""фізична особа""
,
VLOOKUP(D10159,IMPORTRANGE(""https://docs.google.com/spreadsheets/d/14Bd19lYaqBhU8_DElYkX7l4wRkHqqCUFNJY4AfY3kHU/edit?usp=sharing  #gid=0"",""фіз особи new!relations_name""),6,FALSE)
,
(IF
(
C10159=""юридична особа""
,
VLOO"&amp;"KUP(D10159,IMPORTRANGE(""https://docs.google.com/spreadsheets/d/14Bd19lYaqBhU8_DElYkX7l4wRkHqqCUFNJY4AfY3kHU/edit?usp=sharing  #gid=0"",""фіз особи new!relations_name_uo""),7,FALSE)
,
)
))"),"БАХАНОВСЬКА / ЦИЦАРКІНА Людмила Геннадіївна")</f>
        <v>БАХАНОВСЬКА / ЦИЦАРКІНА Людмила Геннадіївна</v>
      </c>
      <c r="G10158" s="7" t="s">
        <v>10</v>
      </c>
      <c r="H10158" s="7">
        <v>0</v>
      </c>
      <c r="I10158" s="8" t="str">
        <f ca="1">IFERROR(__xludf.DUMMYFUNCTION("IF
(
G10159=""фізична особа""
,
VLOOKUP(H10159,IMPORTRANGE(""https://docs.google.com/spreadsheets/d/14Bd19lYaqBhU8_DElYkX7l4wRkHqqCUFNJY4AfY3kHU/edit?usp=sharing  #gid=0"",""фіз особи new!relations_name""),6,FALSE)
,
(IF
(
G10159=""юридична особа""
,
VLOO"&amp;"KUP(H10159,IMPORTRANGE(""https://docs.google.com/spreadsheets/d/14Bd19lYaqBhU8_DElYkX7l4wRkHqqCUFNJY4AfY3kHU/edit?usp=sharing  #gid=0"",""фіз особи new!relations_name_uo""),7,FALSE)
,
)
))"),"#N/A")</f>
        <v>#N/A</v>
      </c>
      <c r="J10158" s="7" t="s">
        <v>102</v>
      </c>
    </row>
    <row r="10159" spans="1:10" ht="13.2">
      <c r="A10159" s="7">
        <v>10158</v>
      </c>
      <c r="B10159" s="7">
        <v>1</v>
      </c>
      <c r="C10159" s="7" t="s">
        <v>10</v>
      </c>
      <c r="D10159" s="7">
        <v>12410</v>
      </c>
      <c r="E10159" s="7" t="s">
        <v>28</v>
      </c>
      <c r="F10159" s="8" t="str">
        <f ca="1">IFERROR(__xludf.DUMMYFUNCTION("IF
(
C10160=""фізична особа""
,
VLOOKUP(D10160,IMPORTRANGE(""https://docs.google.com/spreadsheets/d/14Bd19lYaqBhU8_DElYkX7l4wRkHqqCUFNJY4AfY3kHU/edit?usp=sharing  #gid=0"",""фіз особи new!relations_name""),6,FALSE)
,
(IF
(
C10160=""юридична особа""
,
VLOO"&amp;"KUP(D10160,IMPORTRANGE(""https://docs.google.com/spreadsheets/d/14Bd19lYaqBhU8_DElYkX7l4wRkHqqCUFNJY4AfY3kHU/edit?usp=sharing  #gid=0"",""фіз особи new!relations_name_uo""),7,FALSE)
,
)
))"),"КОРОТКОВА Оксана Іванівна")</f>
        <v>КОРОТКОВА Оксана Іванівна</v>
      </c>
      <c r="G10159" s="7" t="s">
        <v>10</v>
      </c>
      <c r="H10159" s="7">
        <v>23581</v>
      </c>
      <c r="I10159" s="8" t="str">
        <f ca="1">IFERROR(__xludf.DUMMYFUNCTION("IF
(
G10160=""фізична особа""
,
VLOOKUP(H10160,IMPORTRANGE(""https://docs.google.com/spreadsheets/d/14Bd19lYaqBhU8_DElYkX7l4wRkHqqCUFNJY4AfY3kHU/edit?usp=sharing  #gid=0"",""фіз особи new!relations_name""),6,FALSE)
,
(IF
(
G10160=""юридична особа""
,
VLOO"&amp;"KUP(H10160,IMPORTRANGE(""https://docs.google.com/spreadsheets/d/14Bd19lYaqBhU8_DElYkX7l4wRkHqqCUFNJY4AfY3kHU/edit?usp=sharing  #gid=0"",""фіз особи new!relations_name_uo""),7,FALSE)
,
)
))"),"УЛЬЯНКІН Дмитро Васильович")</f>
        <v>УЛЬЯНКІН Дмитро Васильович</v>
      </c>
      <c r="J10159" s="7" t="s">
        <v>29</v>
      </c>
    </row>
    <row r="10160" spans="1:10" ht="13.2">
      <c r="A10160" s="7">
        <v>10159</v>
      </c>
      <c r="B10160" s="7">
        <v>1</v>
      </c>
      <c r="C10160" s="7" t="s">
        <v>10</v>
      </c>
      <c r="D10160" s="7">
        <v>12411</v>
      </c>
      <c r="E10160" s="7" t="s">
        <v>28</v>
      </c>
      <c r="F10160" s="8" t="str">
        <f ca="1">IFERROR(__xludf.DUMMYFUNCTION("IF
(
C10161=""фізична особа""
,
VLOOKUP(D10161,IMPORTRANGE(""https://docs.google.com/spreadsheets/d/14Bd19lYaqBhU8_DElYkX7l4wRkHqqCUFNJY4AfY3kHU/edit?usp=sharing  #gid=0"",""фіз особи new!relations_name""),6,FALSE)
,
(IF
(
C10161=""юридична особа""
,
VLOO"&amp;"KUP(D10161,IMPORTRANGE(""https://docs.google.com/spreadsheets/d/14Bd19lYaqBhU8_DElYkX7l4wRkHqqCUFNJY4AfY3kHU/edit?usp=sharing  #gid=0"",""фіз особи new!relations_name_uo""),7,FALSE)
,
)
))"),"МІХЄЄВА Тетяна Анатоліївна")</f>
        <v>МІХЄЄВА Тетяна Анатоліївна</v>
      </c>
      <c r="G10160" s="7" t="s">
        <v>10</v>
      </c>
      <c r="H10160" s="7">
        <v>23581</v>
      </c>
      <c r="I10160" s="8" t="str">
        <f ca="1">IFERROR(__xludf.DUMMYFUNCTION("IF
(
G10161=""фізична особа""
,
VLOOKUP(H10161,IMPORTRANGE(""https://docs.google.com/spreadsheets/d/14Bd19lYaqBhU8_DElYkX7l4wRkHqqCUFNJY4AfY3kHU/edit?usp=sharing  #gid=0"",""фіз особи new!relations_name""),6,FALSE)
,
(IF
(
G10161=""юридична особа""
,
VLOO"&amp;"KUP(H10161,IMPORTRANGE(""https://docs.google.com/spreadsheets/d/14Bd19lYaqBhU8_DElYkX7l4wRkHqqCUFNJY4AfY3kHU/edit?usp=sharing  #gid=0"",""фіз особи new!relations_name_uo""),7,FALSE)
,
)
))"),"УЛЬЯНКІН Дмитро Васильович")</f>
        <v>УЛЬЯНКІН Дмитро Васильович</v>
      </c>
      <c r="J10160" s="7" t="s">
        <v>29</v>
      </c>
    </row>
    <row r="10161" spans="1:10" ht="13.2">
      <c r="A10161" s="7">
        <v>10160</v>
      </c>
      <c r="B10161" s="7">
        <v>1</v>
      </c>
      <c r="C10161" s="7" t="s">
        <v>10</v>
      </c>
      <c r="D10161" s="7">
        <v>12412</v>
      </c>
      <c r="E10161" s="7" t="s">
        <v>28</v>
      </c>
      <c r="F10161" s="8" t="str">
        <f ca="1">IFERROR(__xludf.DUMMYFUNCTION("IF
(
C10162=""фізична особа""
,
VLOOKUP(D10162,IMPORTRANGE(""https://docs.google.com/spreadsheets/d/14Bd19lYaqBhU8_DElYkX7l4wRkHqqCUFNJY4AfY3kHU/edit?usp=sharing  #gid=0"",""фіз особи new!relations_name""),6,FALSE)
,
(IF
(
C10162=""юридична особа""
,
VLOO"&amp;"KUP(D10162,IMPORTRANGE(""https://docs.google.com/spreadsheets/d/14Bd19lYaqBhU8_DElYkX7l4wRkHqqCUFNJY4AfY3kHU/edit?usp=sharing  #gid=0"",""фіз особи new!relations_name_uo""),7,FALSE)
,
)
))"),"БАРУН Наталія Віталіївна")</f>
        <v>БАРУН Наталія Віталіївна</v>
      </c>
      <c r="G10161" s="7" t="s">
        <v>10</v>
      </c>
      <c r="H10161" s="7">
        <v>0</v>
      </c>
      <c r="I10161" s="8" t="str">
        <f ca="1">IFERROR(__xludf.DUMMYFUNCTION("IF
(
G10162=""фізична особа""
,
VLOOKUP(H10162,IMPORTRANGE(""https://docs.google.com/spreadsheets/d/14Bd19lYaqBhU8_DElYkX7l4wRkHqqCUFNJY4AfY3kHU/edit?usp=sharing  #gid=0"",""фіз особи new!relations_name""),6,FALSE)
,
(IF
(
G10162=""юридична особа""
,
VLOO"&amp;"KUP(H10162,IMPORTRANGE(""https://docs.google.com/spreadsheets/d/14Bd19lYaqBhU8_DElYkX7l4wRkHqqCUFNJY4AfY3kHU/edit?usp=sharing  #gid=0"",""фіз особи new!relations_name_uo""),7,FALSE)
,
)
))"),"#N/A")</f>
        <v>#N/A</v>
      </c>
      <c r="J10161" s="7" t="s">
        <v>102</v>
      </c>
    </row>
    <row r="10162" spans="1:10" ht="13.2">
      <c r="A10162" s="7">
        <v>10161</v>
      </c>
      <c r="B10162" s="7">
        <v>1</v>
      </c>
      <c r="C10162" s="7" t="s">
        <v>10</v>
      </c>
      <c r="D10162" s="7">
        <v>12413</v>
      </c>
      <c r="E10162" s="7" t="s">
        <v>28</v>
      </c>
      <c r="F10162" s="8" t="str">
        <f ca="1">IFERROR(__xludf.DUMMYFUNCTION("IF
(
C10163=""фізична особа""
,
VLOOKUP(D10163,IMPORTRANGE(""https://docs.google.com/spreadsheets/d/14Bd19lYaqBhU8_DElYkX7l4wRkHqqCUFNJY4AfY3kHU/edit?usp=sharing  #gid=0"",""фіз особи new!relations_name""),6,FALSE)
,
(IF
(
C10163=""юридична особа""
,
VLOO"&amp;"KUP(D10163,IMPORTRANGE(""https://docs.google.com/spreadsheets/d/14Bd19lYaqBhU8_DElYkX7l4wRkHqqCUFNJY4AfY3kHU/edit?usp=sharing  #gid=0"",""фіз особи new!relations_name_uo""),7,FALSE)
,
)
))"),"НАУМОВА Ганна Вікторівна")</f>
        <v>НАУМОВА Ганна Вікторівна</v>
      </c>
      <c r="G10162" s="7" t="s">
        <v>10</v>
      </c>
      <c r="H10162" s="7">
        <v>23582</v>
      </c>
      <c r="I10162" s="8" t="str">
        <f ca="1">IFERROR(__xludf.DUMMYFUNCTION("IF
(
G10163=""фізична особа""
,
VLOOKUP(H10163,IMPORTRANGE(""https://docs.google.com/spreadsheets/d/14Bd19lYaqBhU8_DElYkX7l4wRkHqqCUFNJY4AfY3kHU/edit?usp=sharing  #gid=0"",""фіз особи new!relations_name""),6,FALSE)
,
(IF
(
G10163=""юридична особа""
,
VLOO"&amp;"KUP(H10163,IMPORTRANGE(""https://docs.google.com/spreadsheets/d/14Bd19lYaqBhU8_DElYkX7l4wRkHqqCUFNJY4AfY3kHU/edit?usp=sharing  #gid=0"",""фіз особи new!relations_name_uo""),7,FALSE)
,
)
))"),"БАДАШКЄЄВ Баїр Іванович")</f>
        <v>БАДАШКЄЄВ Баїр Іванович</v>
      </c>
      <c r="J10162" s="7" t="s">
        <v>102</v>
      </c>
    </row>
    <row r="10163" spans="1:10" ht="13.2">
      <c r="A10163" s="7">
        <v>10162</v>
      </c>
      <c r="B10163" s="7">
        <v>1</v>
      </c>
      <c r="C10163" s="7" t="s">
        <v>10</v>
      </c>
      <c r="D10163" s="7">
        <v>12414</v>
      </c>
      <c r="E10163" s="7" t="s">
        <v>28</v>
      </c>
      <c r="F10163" s="8" t="str">
        <f ca="1">IFERROR(__xludf.DUMMYFUNCTION("IF
(
C10164=""фізична особа""
,
VLOOKUP(D10164,IMPORTRANGE(""https://docs.google.com/spreadsheets/d/14Bd19lYaqBhU8_DElYkX7l4wRkHqqCUFNJY4AfY3kHU/edit?usp=sharing  #gid=0"",""фіз особи new!relations_name""),6,FALSE)
,
(IF
(
C10164=""юридична особа""
,
VLOO"&amp;"KUP(D10164,IMPORTRANGE(""https://docs.google.com/spreadsheets/d/14Bd19lYaqBhU8_DElYkX7l4wRkHqqCUFNJY4AfY3kHU/edit?usp=sharing  #gid=0"",""фіз особи new!relations_name_uo""),7,FALSE)
,
)
))"),"ЦИБІКДОРЖИЄВА Туяна Василівна")</f>
        <v>ЦИБІКДОРЖИЄВА Туяна Василівна</v>
      </c>
      <c r="G10163" s="7" t="s">
        <v>10</v>
      </c>
      <c r="H10163" s="7">
        <v>23582</v>
      </c>
      <c r="I10163" s="8" t="str">
        <f ca="1">IFERROR(__xludf.DUMMYFUNCTION("IF
(
G10164=""фізична особа""
,
VLOOKUP(H10164,IMPORTRANGE(""https://docs.google.com/spreadsheets/d/14Bd19lYaqBhU8_DElYkX7l4wRkHqqCUFNJY4AfY3kHU/edit?usp=sharing  #gid=0"",""фіз особи new!relations_name""),6,FALSE)
,
(IF
(
G10164=""юридична особа""
,
VLOO"&amp;"KUP(H10164,IMPORTRANGE(""https://docs.google.com/spreadsheets/d/14Bd19lYaqBhU8_DElYkX7l4wRkHqqCUFNJY4AfY3kHU/edit?usp=sharing  #gid=0"",""фіз особи new!relations_name_uo""),7,FALSE)
,
)
))"),"БАДАШКЄЄВ Баїр Іванович")</f>
        <v>БАДАШКЄЄВ Баїр Іванович</v>
      </c>
      <c r="J10163" s="7" t="s">
        <v>102</v>
      </c>
    </row>
    <row r="10164" spans="1:10" ht="13.2">
      <c r="A10164" s="7">
        <v>10163</v>
      </c>
      <c r="B10164" s="7">
        <v>1</v>
      </c>
      <c r="C10164" s="7" t="s">
        <v>10</v>
      </c>
      <c r="D10164" s="7">
        <v>12415</v>
      </c>
      <c r="E10164" s="7" t="s">
        <v>28</v>
      </c>
      <c r="F10164" s="8" t="str">
        <f ca="1">IFERROR(__xludf.DUMMYFUNCTION("IF
(
C10165=""фізична особа""
,
VLOOKUP(D10165,IMPORTRANGE(""https://docs.google.com/spreadsheets/d/14Bd19lYaqBhU8_DElYkX7l4wRkHqqCUFNJY4AfY3kHU/edit?usp=sharing  #gid=0"",""фіз особи new!relations_name""),6,FALSE)
,
(IF
(
C10165=""юридична особа""
,
VLOO"&amp;"KUP(D10165,IMPORTRANGE(""https://docs.google.com/spreadsheets/d/14Bd19lYaqBhU8_DElYkX7l4wRkHqqCUFNJY4AfY3kHU/edit?usp=sharing  #gid=0"",""фіз особи new!relations_name_uo""),7,FALSE)
,
)
))"),"ТУМУРОВА / БОГАЙНІКОВА Ганна Андріївна")</f>
        <v>ТУМУРОВА / БОГАЙНІКОВА Ганна Андріївна</v>
      </c>
      <c r="G10164" s="7" t="s">
        <v>10</v>
      </c>
      <c r="H10164" s="7">
        <v>23582</v>
      </c>
      <c r="I10164" s="8" t="str">
        <f ca="1">IFERROR(__xludf.DUMMYFUNCTION("IF
(
G10165=""фізична особа""
,
VLOOKUP(H10165,IMPORTRANGE(""https://docs.google.com/spreadsheets/d/14Bd19lYaqBhU8_DElYkX7l4wRkHqqCUFNJY4AfY3kHU/edit?usp=sharing  #gid=0"",""фіз особи new!relations_name""),6,FALSE)
,
(IF
(
G10165=""юридична особа""
,
VLOO"&amp;"KUP(H10165,IMPORTRANGE(""https://docs.google.com/spreadsheets/d/14Bd19lYaqBhU8_DElYkX7l4wRkHqqCUFNJY4AfY3kHU/edit?usp=sharing  #gid=0"",""фіз особи new!relations_name_uo""),7,FALSE)
,
)
))"),"БАДАШКЄЄВ Баїр Іванович")</f>
        <v>БАДАШКЄЄВ Баїр Іванович</v>
      </c>
      <c r="J10164" s="7" t="s">
        <v>102</v>
      </c>
    </row>
    <row r="10165" spans="1:10" ht="13.2">
      <c r="A10165" s="7">
        <v>10164</v>
      </c>
      <c r="B10165" s="7">
        <v>1</v>
      </c>
      <c r="C10165" s="7" t="s">
        <v>10</v>
      </c>
      <c r="D10165" s="7">
        <v>12416</v>
      </c>
      <c r="E10165" s="7" t="s">
        <v>28</v>
      </c>
      <c r="F10165" s="8" t="str">
        <f ca="1">IFERROR(__xludf.DUMMYFUNCTION("IF
(
C10166=""фізична особа""
,
VLOOKUP(D10166,IMPORTRANGE(""https://docs.google.com/spreadsheets/d/14Bd19lYaqBhU8_DElYkX7l4wRkHqqCUFNJY4AfY3kHU/edit?usp=sharing  #gid=0"",""фіз особи new!relations_name""),6,FALSE)
,
(IF
(
C10166=""юридична особа""
,
VLOO"&amp;"KUP(D10166,IMPORTRANGE(""https://docs.google.com/spreadsheets/d/14Bd19lYaqBhU8_DElYkX7l4wRkHqqCUFNJY4AfY3kHU/edit?usp=sharing  #gid=0"",""фіз особи new!relations_name_uo""),7,FALSE)
,
)
))"),"БУШ Вікторія Євгенівна")</f>
        <v>БУШ Вікторія Євгенівна</v>
      </c>
      <c r="G10165" s="7" t="s">
        <v>10</v>
      </c>
      <c r="H10165" s="7">
        <v>0</v>
      </c>
      <c r="I10165" s="8" t="str">
        <f ca="1">IFERROR(__xludf.DUMMYFUNCTION("IF
(
G10166=""фізична особа""
,
VLOOKUP(H10166,IMPORTRANGE(""https://docs.google.com/spreadsheets/d/14Bd19lYaqBhU8_DElYkX7l4wRkHqqCUFNJY4AfY3kHU/edit?usp=sharing  #gid=0"",""фіз особи new!relations_name""),6,FALSE)
,
(IF
(
G10166=""юридична особа""
,
VLOO"&amp;"KUP(H10166,IMPORTRANGE(""https://docs.google.com/spreadsheets/d/14Bd19lYaqBhU8_DElYkX7l4wRkHqqCUFNJY4AfY3kHU/edit?usp=sharing  #gid=0"",""фіз особи new!relations_name_uo""),7,FALSE)
,
)
))"),"#N/A")</f>
        <v>#N/A</v>
      </c>
      <c r="J10165" s="7" t="s">
        <v>102</v>
      </c>
    </row>
    <row r="10166" spans="1:10" ht="13.2">
      <c r="A10166" s="7">
        <v>10165</v>
      </c>
      <c r="B10166" s="7">
        <v>1</v>
      </c>
      <c r="C10166" s="7" t="s">
        <v>10</v>
      </c>
      <c r="D10166" s="7">
        <v>12417</v>
      </c>
      <c r="E10166" s="7" t="s">
        <v>28</v>
      </c>
      <c r="F10166" s="8" t="str">
        <f ca="1">IFERROR(__xludf.DUMMYFUNCTION("IF
(
C10167=""фізична особа""
,
VLOOKUP(D10167,IMPORTRANGE(""https://docs.google.com/spreadsheets/d/14Bd19lYaqBhU8_DElYkX7l4wRkHqqCUFNJY4AfY3kHU/edit?usp=sharing  #gid=0"",""фіз особи new!relations_name""),6,FALSE)
,
(IF
(
C10167=""юридична особа""
,
VLOO"&amp;"KUP(D10167,IMPORTRANGE(""https://docs.google.com/spreadsheets/d/14Bd19lYaqBhU8_DElYkX7l4wRkHqqCUFNJY4AfY3kHU/edit?usp=sharing  #gid=0"",""фіз особи new!relations_name_uo""),7,FALSE)
,
)
))"),"ЗУЄНОК Володимир Володимирович")</f>
        <v>ЗУЄНОК Володимир Володимирович</v>
      </c>
      <c r="G10166" s="7" t="s">
        <v>10</v>
      </c>
      <c r="H10166" s="7">
        <v>23583</v>
      </c>
      <c r="I10166" s="8" t="str">
        <f ca="1">IFERROR(__xludf.DUMMYFUNCTION("IF
(
G10167=""фізична особа""
,
VLOOKUP(H10167,IMPORTRANGE(""https://docs.google.com/spreadsheets/d/14Bd19lYaqBhU8_DElYkX7l4wRkHqqCUFNJY4AfY3kHU/edit?usp=sharing  #gid=0"",""фіз особи new!relations_name""),6,FALSE)
,
(IF
(
G10167=""юридична особа""
,
VLOO"&amp;"KUP(H10167,IMPORTRANGE(""https://docs.google.com/spreadsheets/d/14Bd19lYaqBhU8_DElYkX7l4wRkHqqCUFNJY4AfY3kHU/edit?usp=sharing  #gid=0"",""фіз особи new!relations_name_uo""),7,FALSE)
,
)
))"),"КУЗНЄЦОВ Геннадій Анатолійович")</f>
        <v>КУЗНЄЦОВ Геннадій Анатолійович</v>
      </c>
      <c r="J10166" s="7" t="s">
        <v>29</v>
      </c>
    </row>
    <row r="10167" spans="1:10" ht="13.2">
      <c r="A10167" s="7">
        <v>10166</v>
      </c>
      <c r="B10167" s="7">
        <v>1</v>
      </c>
      <c r="C10167" s="7" t="s">
        <v>10</v>
      </c>
      <c r="D10167" s="7">
        <v>12418</v>
      </c>
      <c r="E10167" s="7" t="s">
        <v>28</v>
      </c>
      <c r="F10167" s="8" t="str">
        <f ca="1">IFERROR(__xludf.DUMMYFUNCTION("IF
(
C10168=""фізична особа""
,
VLOOKUP(D10168,IMPORTRANGE(""https://docs.google.com/spreadsheets/d/14Bd19lYaqBhU8_DElYkX7l4wRkHqqCUFNJY4AfY3kHU/edit?usp=sharing  #gid=0"",""фіз особи new!relations_name""),6,FALSE)
,
(IF
(
C10168=""юридична особа""
,
VLOO"&amp;"KUP(D10168,IMPORTRANGE(""https://docs.google.com/spreadsheets/d/14Bd19lYaqBhU8_DElYkX7l4wRkHqqCUFNJY4AfY3kHU/edit?usp=sharing  #gid=0"",""фіз особи new!relations_name_uo""),7,FALSE)
,
)
))"),"ЧАЛА Олена Валеріївна")</f>
        <v>ЧАЛА Олена Валеріївна</v>
      </c>
      <c r="G10167" s="7" t="s">
        <v>10</v>
      </c>
      <c r="H10167" s="7">
        <v>23583</v>
      </c>
      <c r="I10167" s="8" t="str">
        <f ca="1">IFERROR(__xludf.DUMMYFUNCTION("IF
(
G10168=""фізична особа""
,
VLOOKUP(H10168,IMPORTRANGE(""https://docs.google.com/spreadsheets/d/14Bd19lYaqBhU8_DElYkX7l4wRkHqqCUFNJY4AfY3kHU/edit?usp=sharing  #gid=0"",""фіз особи new!relations_name""),6,FALSE)
,
(IF
(
G10168=""юридична особа""
,
VLOO"&amp;"KUP(H10168,IMPORTRANGE(""https://docs.google.com/spreadsheets/d/14Bd19lYaqBhU8_DElYkX7l4wRkHqqCUFNJY4AfY3kHU/edit?usp=sharing  #gid=0"",""фіз особи new!relations_name_uo""),7,FALSE)
,
)
))"),"КУЗНЄЦОВ Геннадій Анатолійович")</f>
        <v>КУЗНЄЦОВ Геннадій Анатолійович</v>
      </c>
      <c r="J10167" s="7" t="s">
        <v>29</v>
      </c>
    </row>
    <row r="10168" spans="1:10" ht="13.2">
      <c r="A10168" s="7">
        <v>10167</v>
      </c>
      <c r="B10168" s="7">
        <v>1</v>
      </c>
      <c r="C10168" s="7" t="s">
        <v>10</v>
      </c>
      <c r="D10168" s="7">
        <v>12419</v>
      </c>
      <c r="E10168" s="7" t="s">
        <v>28</v>
      </c>
      <c r="F10168" s="8" t="str">
        <f ca="1">IFERROR(__xludf.DUMMYFUNCTION("IF
(
C10169=""фізична особа""
,
VLOOKUP(D10169,IMPORTRANGE(""https://docs.google.com/spreadsheets/d/14Bd19lYaqBhU8_DElYkX7l4wRkHqqCUFNJY4AfY3kHU/edit?usp=sharing  #gid=0"",""фіз особи new!relations_name""),6,FALSE)
,
(IF
(
C10169=""юридична особа""
,
VLOO"&amp;"KUP(D10169,IMPORTRANGE(""https://docs.google.com/spreadsheets/d/14Bd19lYaqBhU8_DElYkX7l4wRkHqqCUFNJY4AfY3kHU/edit?usp=sharing  #gid=0"",""фіз особи new!relations_name_uo""),7,FALSE)
,
)
))"),"ХАЙКАРА Наталія Вікторівна")</f>
        <v>ХАЙКАРА Наталія Вікторівна</v>
      </c>
      <c r="G10168" s="7" t="s">
        <v>10</v>
      </c>
      <c r="H10168" s="7">
        <v>0</v>
      </c>
      <c r="I10168" s="8" t="str">
        <f ca="1">IFERROR(__xludf.DUMMYFUNCTION("IF
(
G10169=""фізична особа""
,
VLOOKUP(H10169,IMPORTRANGE(""https://docs.google.com/spreadsheets/d/14Bd19lYaqBhU8_DElYkX7l4wRkHqqCUFNJY4AfY3kHU/edit?usp=sharing  #gid=0"",""фіз особи new!relations_name""),6,FALSE)
,
(IF
(
G10169=""юридична особа""
,
VLOO"&amp;"KUP(H10169,IMPORTRANGE(""https://docs.google.com/spreadsheets/d/14Bd19lYaqBhU8_DElYkX7l4wRkHqqCUFNJY4AfY3kHU/edit?usp=sharing  #gid=0"",""фіз особи new!relations_name_uo""),7,FALSE)
,
)
))"),"#N/A")</f>
        <v>#N/A</v>
      </c>
      <c r="J10168" s="7" t="s">
        <v>29</v>
      </c>
    </row>
    <row r="10169" spans="1:10" ht="13.2">
      <c r="A10169" s="7">
        <v>10168</v>
      </c>
      <c r="B10169" s="7">
        <v>1</v>
      </c>
      <c r="C10169" s="7" t="s">
        <v>10</v>
      </c>
      <c r="D10169" s="7">
        <v>12421</v>
      </c>
      <c r="E10169" s="7" t="s">
        <v>28</v>
      </c>
      <c r="F10169" s="8" t="str">
        <f ca="1">IFERROR(__xludf.DUMMYFUNCTION("IF
(
C10170=""фізична особа""
,
VLOOKUP(D10170,IMPORTRANGE(""https://docs.google.com/spreadsheets/d/14Bd19lYaqBhU8_DElYkX7l4wRkHqqCUFNJY4AfY3kHU/edit?usp=sharing  #gid=0"",""фіз особи new!relations_name""),6,FALSE)
,
(IF
(
C10170=""юридична особа""
,
VLOO"&amp;"KUP(D10170,IMPORTRANGE(""https://docs.google.com/spreadsheets/d/14Bd19lYaqBhU8_DElYkX7l4wRkHqqCUFNJY4AfY3kHU/edit?usp=sharing  #gid=0"",""фіз особи new!relations_name_uo""),7,FALSE)
,
)
))"),"МОЇСЕЄВА Марія Олександрівна")</f>
        <v>МОЇСЕЄВА Марія Олександрівна</v>
      </c>
      <c r="G10169" s="7" t="s">
        <v>10</v>
      </c>
      <c r="H10169" s="7">
        <v>12420</v>
      </c>
      <c r="I10169" s="8" t="str">
        <f ca="1">IFERROR(__xludf.DUMMYFUNCTION("IF
(
G10170=""фізична особа""
,
VLOOKUP(H10170,IMPORTRANGE(""https://docs.google.com/spreadsheets/d/14Bd19lYaqBhU8_DElYkX7l4wRkHqqCUFNJY4AfY3kHU/edit?usp=sharing  #gid=0"",""фіз особи new!relations_name""),6,FALSE)
,
(IF
(
G10170=""юридична особа""
,
VLOO"&amp;"KUP(H10170,IMPORTRANGE(""https://docs.google.com/spreadsheets/d/14Bd19lYaqBhU8_DElYkX7l4wRkHqqCUFNJY4AfY3kHU/edit?usp=sharing  #gid=0"",""фіз особи new!relations_name_uo""),7,FALSE)
,
)
))"),"ЄРМАКОВ Артем Євгенович")</f>
        <v>ЄРМАКОВ Артем Євгенович</v>
      </c>
      <c r="J10169" s="7" t="s">
        <v>29</v>
      </c>
    </row>
    <row r="10170" spans="1:10" ht="13.2">
      <c r="A10170" s="7">
        <v>10169</v>
      </c>
      <c r="B10170" s="7">
        <v>1</v>
      </c>
      <c r="C10170" s="7" t="s">
        <v>10</v>
      </c>
      <c r="D10170" s="7">
        <v>12422</v>
      </c>
      <c r="E10170" s="7" t="s">
        <v>28</v>
      </c>
      <c r="F10170" s="8" t="str">
        <f ca="1">IFERROR(__xludf.DUMMYFUNCTION("IF
(
C10171=""фізична особа""
,
VLOOKUP(D10171,IMPORTRANGE(""https://docs.google.com/spreadsheets/d/14Bd19lYaqBhU8_DElYkX7l4wRkHqqCUFNJY4AfY3kHU/edit?usp=sharing  #gid=0"",""фіз особи new!relations_name""),6,FALSE)
,
(IF
(
C10171=""юридична особа""
,
VLOO"&amp;"KUP(D10171,IMPORTRANGE(""https://docs.google.com/spreadsheets/d/14Bd19lYaqBhU8_DElYkX7l4wRkHqqCUFNJY4AfY3kHU/edit?usp=sharing  #gid=0"",""фіз особи new!relations_name_uo""),7,FALSE)
,
)
))"),"ПУСТОБАЄВА Катерина Сергіївна")</f>
        <v>ПУСТОБАЄВА Катерина Сергіївна</v>
      </c>
      <c r="G10170" s="7" t="s">
        <v>10</v>
      </c>
      <c r="H10170" s="7">
        <v>0</v>
      </c>
      <c r="I10170" s="8" t="str">
        <f ca="1">IFERROR(__xludf.DUMMYFUNCTION("IF
(
G10171=""фізична особа""
,
VLOOKUP(H10171,IMPORTRANGE(""https://docs.google.com/spreadsheets/d/14Bd19lYaqBhU8_DElYkX7l4wRkHqqCUFNJY4AfY3kHU/edit?usp=sharing  #gid=0"",""фіз особи new!relations_name""),6,FALSE)
,
(IF
(
G10171=""юридична особа""
,
VLOO"&amp;"KUP(H10171,IMPORTRANGE(""https://docs.google.com/spreadsheets/d/14Bd19lYaqBhU8_DElYkX7l4wRkHqqCUFNJY4AfY3kHU/edit?usp=sharing  #gid=0"",""фіз особи new!relations_name_uo""),7,FALSE)
,
)
))"),"#N/A")</f>
        <v>#N/A</v>
      </c>
      <c r="J10170" s="7" t="s">
        <v>29</v>
      </c>
    </row>
    <row r="10171" spans="1:10" ht="13.2">
      <c r="A10171" s="7">
        <v>10170</v>
      </c>
      <c r="B10171" s="7">
        <v>1</v>
      </c>
      <c r="C10171" s="7" t="s">
        <v>10</v>
      </c>
      <c r="D10171" s="7">
        <v>12423</v>
      </c>
      <c r="E10171" s="7" t="s">
        <v>28</v>
      </c>
      <c r="F10171" s="8" t="str">
        <f ca="1">IFERROR(__xludf.DUMMYFUNCTION("IF
(
C10172=""фізична особа""
,
VLOOKUP(D10172,IMPORTRANGE(""https://docs.google.com/spreadsheets/d/14Bd19lYaqBhU8_DElYkX7l4wRkHqqCUFNJY4AfY3kHU/edit?usp=sharing  #gid=0"",""фіз особи new!relations_name""),6,FALSE)
,
(IF
(
C10172=""юридична особа""
,
VLOO"&amp;"KUP(D10172,IMPORTRANGE(""https://docs.google.com/spreadsheets/d/14Bd19lYaqBhU8_DElYkX7l4wRkHqqCUFNJY4AfY3kHU/edit?usp=sharing  #gid=0"",""фіз особи new!relations_name_uo""),7,FALSE)
,
)
))"),"ЛОГІНОВ Станіслав Сергійович")</f>
        <v>ЛОГІНОВ Станіслав Сергійович</v>
      </c>
      <c r="G10171" s="7" t="s">
        <v>10</v>
      </c>
      <c r="H10171" s="7">
        <v>23584</v>
      </c>
      <c r="I10171" s="8" t="str">
        <f ca="1">IFERROR(__xludf.DUMMYFUNCTION("IF
(
G10172=""фізична особа""
,
VLOOKUP(H10172,IMPORTRANGE(""https://docs.google.com/spreadsheets/d/14Bd19lYaqBhU8_DElYkX7l4wRkHqqCUFNJY4AfY3kHU/edit?usp=sharing  #gid=0"",""фіз особи new!relations_name""),6,FALSE)
,
(IF
(
G10172=""юридична особа""
,
VLOO"&amp;"KUP(H10172,IMPORTRANGE(""https://docs.google.com/spreadsheets/d/14Bd19lYaqBhU8_DElYkX7l4wRkHqqCUFNJY4AfY3kHU/edit?usp=sharing  #gid=0"",""фіз особи new!relations_name_uo""),7,FALSE)
,
)
))"),"ПІНЧУК Ніна Володимирівна")</f>
        <v>ПІНЧУК Ніна Володимирівна</v>
      </c>
      <c r="J10171" s="7" t="s">
        <v>29</v>
      </c>
    </row>
    <row r="10172" spans="1:10" ht="13.2">
      <c r="A10172" s="7">
        <v>10171</v>
      </c>
      <c r="B10172" s="7">
        <v>1</v>
      </c>
      <c r="C10172" s="7" t="s">
        <v>10</v>
      </c>
      <c r="D10172" s="7">
        <v>12424</v>
      </c>
      <c r="E10172" s="7" t="s">
        <v>28</v>
      </c>
      <c r="F10172" s="8" t="str">
        <f ca="1">IFERROR(__xludf.DUMMYFUNCTION("IF
(
C10173=""фізична особа""
,
VLOOKUP(D10173,IMPORTRANGE(""https://docs.google.com/spreadsheets/d/14Bd19lYaqBhU8_DElYkX7l4wRkHqqCUFNJY4AfY3kHU/edit?usp=sharing  #gid=0"",""фіз особи new!relations_name""),6,FALSE)
,
(IF
(
C10173=""юридична особа""
,
VLOO"&amp;"KUP(D10173,IMPORTRANGE(""https://docs.google.com/spreadsheets/d/14Bd19lYaqBhU8_DElYkX7l4wRkHqqCUFNJY4AfY3kHU/edit?usp=sharing  #gid=0"",""фіз особи new!relations_name_uo""),7,FALSE)
,
)
))"),"КУЛІНСЬКА Наталія Володимирівна")</f>
        <v>КУЛІНСЬКА Наталія Володимирівна</v>
      </c>
      <c r="G10172" s="7" t="s">
        <v>10</v>
      </c>
      <c r="H10172" s="7">
        <v>23585</v>
      </c>
      <c r="I10172" s="8" t="str">
        <f ca="1">IFERROR(__xludf.DUMMYFUNCTION("IF
(
G10173=""фізична особа""
,
VLOOKUP(H10173,IMPORTRANGE(""https://docs.google.com/spreadsheets/d/14Bd19lYaqBhU8_DElYkX7l4wRkHqqCUFNJY4AfY3kHU/edit?usp=sharing  #gid=0"",""фіз особи new!relations_name""),6,FALSE)
,
(IF
(
G10173=""юридична особа""
,
VLOO"&amp;"KUP(H10173,IMPORTRANGE(""https://docs.google.com/spreadsheets/d/14Bd19lYaqBhU8_DElYkX7l4wRkHqqCUFNJY4AfY3kHU/edit?usp=sharing  #gid=0"",""фіз особи new!relations_name_uo""),7,FALSE)
,
)
))"),"ГАВРИЛЮК Ігор Іванович")</f>
        <v>ГАВРИЛЮК Ігор Іванович</v>
      </c>
      <c r="J10172" s="7" t="s">
        <v>29</v>
      </c>
    </row>
    <row r="10173" spans="1:10" ht="13.2">
      <c r="A10173" s="7">
        <v>10172</v>
      </c>
      <c r="B10173" s="7">
        <v>1</v>
      </c>
      <c r="C10173" s="7" t="s">
        <v>10</v>
      </c>
      <c r="D10173" s="7">
        <v>12424</v>
      </c>
      <c r="E10173" s="7" t="s">
        <v>28</v>
      </c>
      <c r="F10173" s="8" t="str">
        <f ca="1">IFERROR(__xludf.DUMMYFUNCTION("IF
(
C10174=""фізична особа""
,
VLOOKUP(D10174,IMPORTRANGE(""https://docs.google.com/spreadsheets/d/14Bd19lYaqBhU8_DElYkX7l4wRkHqqCUFNJY4AfY3kHU/edit?usp=sharing  #gid=0"",""фіз особи new!relations_name""),6,FALSE)
,
(IF
(
C10174=""юридична особа""
,
VLOO"&amp;"KUP(D10174,IMPORTRANGE(""https://docs.google.com/spreadsheets/d/14Bd19lYaqBhU8_DElYkX7l4wRkHqqCUFNJY4AfY3kHU/edit?usp=sharing  #gid=0"",""фіз особи new!relations_name_uo""),7,FALSE)
,
)
))"),"КУЛІНСЬКА Наталія Володимирівна")</f>
        <v>КУЛІНСЬКА Наталія Володимирівна</v>
      </c>
      <c r="G10173" s="7" t="s">
        <v>10</v>
      </c>
      <c r="H10173" s="7">
        <v>23585</v>
      </c>
      <c r="I10173" s="8" t="str">
        <f ca="1">IFERROR(__xludf.DUMMYFUNCTION("IF
(
G10174=""фізична особа""
,
VLOOKUP(H10174,IMPORTRANGE(""https://docs.google.com/spreadsheets/d/14Bd19lYaqBhU8_DElYkX7l4wRkHqqCUFNJY4AfY3kHU/edit?usp=sharing  #gid=0"",""фіз особи new!relations_name""),6,FALSE)
,
(IF
(
G10174=""юридична особа""
,
VLOO"&amp;"KUP(H10174,IMPORTRANGE(""https://docs.google.com/spreadsheets/d/14Bd19lYaqBhU8_DElYkX7l4wRkHqqCUFNJY4AfY3kHU/edit?usp=sharing  #gid=0"",""фіз особи new!relations_name_uo""),7,FALSE)
,
)
))"),"ГАВРИЛЮК Ігор Іванович")</f>
        <v>ГАВРИЛЮК Ігор Іванович</v>
      </c>
      <c r="J10173" s="7" t="s">
        <v>29</v>
      </c>
    </row>
    <row r="10174" spans="1:10" ht="13.2">
      <c r="A10174" s="7">
        <v>10173</v>
      </c>
      <c r="B10174" s="7">
        <v>1</v>
      </c>
      <c r="C10174" s="7" t="s">
        <v>10</v>
      </c>
      <c r="D10174" s="7">
        <v>12426</v>
      </c>
      <c r="E10174" s="7" t="s">
        <v>28</v>
      </c>
      <c r="F10174" s="8" t="str">
        <f ca="1">IFERROR(__xludf.DUMMYFUNCTION("IF
(
C10175=""фізична особа""
,
VLOOKUP(D10175,IMPORTRANGE(""https://docs.google.com/spreadsheets/d/14Bd19lYaqBhU8_DElYkX7l4wRkHqqCUFNJY4AfY3kHU/edit?usp=sharing  #gid=0"",""фіз особи new!relations_name""),6,FALSE)
,
(IF
(
C10175=""юридична особа""
,
VLOO"&amp;"KUP(D10175,IMPORTRANGE(""https://docs.google.com/spreadsheets/d/14Bd19lYaqBhU8_DElYkX7l4wRkHqqCUFNJY4AfY3kHU/edit?usp=sharing  #gid=0"",""фіз особи new!relations_name_uo""),7,FALSE)
,
)
))"),"МАКОВЄЄВА Галина Парфірівна")</f>
        <v>МАКОВЄЄВА Галина Парфірівна</v>
      </c>
      <c r="G10174" s="7" t="s">
        <v>10</v>
      </c>
      <c r="H10174" s="7">
        <v>0</v>
      </c>
      <c r="I10174" s="8" t="str">
        <f ca="1">IFERROR(__xludf.DUMMYFUNCTION("IF
(
G10175=""фізична особа""
,
VLOOKUP(H10175,IMPORTRANGE(""https://docs.google.com/spreadsheets/d/14Bd19lYaqBhU8_DElYkX7l4wRkHqqCUFNJY4AfY3kHU/edit?usp=sharing  #gid=0"",""фіз особи new!relations_name""),6,FALSE)
,
(IF
(
G10175=""юридична особа""
,
VLOO"&amp;"KUP(H10175,IMPORTRANGE(""https://docs.google.com/spreadsheets/d/14Bd19lYaqBhU8_DElYkX7l4wRkHqqCUFNJY4AfY3kHU/edit?usp=sharing  #gid=0"",""фіз особи new!relations_name_uo""),7,FALSE)
,
)
))"),"#N/A")</f>
        <v>#N/A</v>
      </c>
      <c r="J10174" s="7" t="s">
        <v>29</v>
      </c>
    </row>
    <row r="10175" spans="1:10" ht="13.2">
      <c r="A10175" s="7">
        <v>10174</v>
      </c>
      <c r="B10175" s="7">
        <v>1</v>
      </c>
      <c r="C10175" s="7" t="s">
        <v>10</v>
      </c>
      <c r="D10175" s="7">
        <v>12427</v>
      </c>
      <c r="E10175" s="7" t="s">
        <v>28</v>
      </c>
      <c r="F10175" s="8" t="str">
        <f ca="1">IFERROR(__xludf.DUMMYFUNCTION("IF
(
C10176=""фізична особа""
,
VLOOKUP(D10176,IMPORTRANGE(""https://docs.google.com/spreadsheets/d/14Bd19lYaqBhU8_DElYkX7l4wRkHqqCUFNJY4AfY3kHU/edit?usp=sharing  #gid=0"",""фіз особи new!relations_name""),6,FALSE)
,
(IF
(
C10176=""юридична особа""
,
VLOO"&amp;"KUP(D10176,IMPORTRANGE(""https://docs.google.com/spreadsheets/d/14Bd19lYaqBhU8_DElYkX7l4wRkHqqCUFNJY4AfY3kHU/edit?usp=sharing  #gid=0"",""фіз особи new!relations_name_uo""),7,FALSE)
,
)
))"),"АННЕНКОВА Тетяна Сергіївна")</f>
        <v>АННЕНКОВА Тетяна Сергіївна</v>
      </c>
      <c r="G10175" s="7" t="s">
        <v>10</v>
      </c>
      <c r="H10175" s="7">
        <v>0</v>
      </c>
      <c r="I10175" s="8" t="str">
        <f ca="1">IFERROR(__xludf.DUMMYFUNCTION("IF
(
G10176=""фізична особа""
,
VLOOKUP(H10176,IMPORTRANGE(""https://docs.google.com/spreadsheets/d/14Bd19lYaqBhU8_DElYkX7l4wRkHqqCUFNJY4AfY3kHU/edit?usp=sharing  #gid=0"",""фіз особи new!relations_name""),6,FALSE)
,
(IF
(
G10176=""юридична особа""
,
VLOO"&amp;"KUP(H10176,IMPORTRANGE(""https://docs.google.com/spreadsheets/d/14Bd19lYaqBhU8_DElYkX7l4wRkHqqCUFNJY4AfY3kHU/edit?usp=sharing  #gid=0"",""фіз особи new!relations_name_uo""),7,FALSE)
,
)
))"),"#N/A")</f>
        <v>#N/A</v>
      </c>
      <c r="J10175" s="7" t="s">
        <v>29</v>
      </c>
    </row>
    <row r="10176" spans="1:10" ht="13.2">
      <c r="A10176" s="7">
        <v>10175</v>
      </c>
      <c r="B10176" s="7">
        <v>1</v>
      </c>
      <c r="C10176" s="7" t="s">
        <v>10</v>
      </c>
      <c r="D10176" s="7">
        <v>12428</v>
      </c>
      <c r="E10176" s="7" t="s">
        <v>28</v>
      </c>
      <c r="F10176" s="8" t="str">
        <f ca="1">IFERROR(__xludf.DUMMYFUNCTION("IF
(
C10177=""фізична особа""
,
VLOOKUP(D10177,IMPORTRANGE(""https://docs.google.com/spreadsheets/d/14Bd19lYaqBhU8_DElYkX7l4wRkHqqCUFNJY4AfY3kHU/edit?usp=sharing  #gid=0"",""фіз особи new!relations_name""),6,FALSE)
,
(IF
(
C10177=""юридична особа""
,
VLOO"&amp;"KUP(D10177,IMPORTRANGE(""https://docs.google.com/spreadsheets/d/14Bd19lYaqBhU8_DElYkX7l4wRkHqqCUFNJY4AfY3kHU/edit?usp=sharing  #gid=0"",""фіз особи new!relations_name_uo""),7,FALSE)
,
)
))"),"БАЄШКО Юлія Олександрівна")</f>
        <v>БАЄШКО Юлія Олександрівна</v>
      </c>
      <c r="G10176" s="7" t="s">
        <v>10</v>
      </c>
      <c r="H10176" s="7">
        <v>23586</v>
      </c>
      <c r="I10176" s="8" t="str">
        <f ca="1">IFERROR(__xludf.DUMMYFUNCTION("IF
(
G10177=""фізична особа""
,
VLOOKUP(H10177,IMPORTRANGE(""https://docs.google.com/spreadsheets/d/14Bd19lYaqBhU8_DElYkX7l4wRkHqqCUFNJY4AfY3kHU/edit?usp=sharing  #gid=0"",""фіз особи new!relations_name""),6,FALSE)
,
(IF
(
G10177=""юридична особа""
,
VLOO"&amp;"KUP(H10177,IMPORTRANGE(""https://docs.google.com/spreadsheets/d/14Bd19lYaqBhU8_DElYkX7l4wRkHqqCUFNJY4AfY3kHU/edit?usp=sharing  #gid=0"",""фіз особи new!relations_name_uo""),7,FALSE)
,
)
))"),"САВІНОВ Микола Миколайович")</f>
        <v>САВІНОВ Микола Миколайович</v>
      </c>
      <c r="J10176" s="7" t="s">
        <v>29</v>
      </c>
    </row>
    <row r="10177" spans="1:10" ht="13.2">
      <c r="A10177" s="7">
        <v>10176</v>
      </c>
      <c r="B10177" s="7">
        <v>1</v>
      </c>
      <c r="C10177" s="7" t="s">
        <v>10</v>
      </c>
      <c r="D10177" s="7">
        <v>12429</v>
      </c>
      <c r="E10177" s="7" t="s">
        <v>28</v>
      </c>
      <c r="F10177" s="8" t="str">
        <f ca="1">IFERROR(__xludf.DUMMYFUNCTION("IF
(
C10178=""фізична особа""
,
VLOOKUP(D10178,IMPORTRANGE(""https://docs.google.com/spreadsheets/d/14Bd19lYaqBhU8_DElYkX7l4wRkHqqCUFNJY4AfY3kHU/edit?usp=sharing  #gid=0"",""фіз особи new!relations_name""),6,FALSE)
,
(IF
(
C10178=""юридична особа""
,
VLOO"&amp;"KUP(D10178,IMPORTRANGE(""https://docs.google.com/spreadsheets/d/14Bd19lYaqBhU8_DElYkX7l4wRkHqqCUFNJY4AfY3kHU/edit?usp=sharing  #gid=0"",""фіз особи new!relations_name_uo""),7,FALSE)
,
)
))"),"ДОБРОНРАВОВА/НІКОЛЕНКО Валентина Іванівна")</f>
        <v>ДОБРОНРАВОВА/НІКОЛЕНКО Валентина Іванівна</v>
      </c>
      <c r="G10177" s="7" t="s">
        <v>10</v>
      </c>
      <c r="H10177" s="7">
        <v>23586</v>
      </c>
      <c r="I10177" s="8" t="str">
        <f ca="1">IFERROR(__xludf.DUMMYFUNCTION("IF
(
G10178=""фізична особа""
,
VLOOKUP(H10178,IMPORTRANGE(""https://docs.google.com/spreadsheets/d/14Bd19lYaqBhU8_DElYkX7l4wRkHqqCUFNJY4AfY3kHU/edit?usp=sharing  #gid=0"",""фіз особи new!relations_name""),6,FALSE)
,
(IF
(
G10178=""юридична особа""
,
VLOO"&amp;"KUP(H10178,IMPORTRANGE(""https://docs.google.com/spreadsheets/d/14Bd19lYaqBhU8_DElYkX7l4wRkHqqCUFNJY4AfY3kHU/edit?usp=sharing  #gid=0"",""фіз особи new!relations_name_uo""),7,FALSE)
,
)
))"),"САВІНОВ Микола Миколайович")</f>
        <v>САВІНОВ Микола Миколайович</v>
      </c>
      <c r="J10177" s="7" t="s">
        <v>29</v>
      </c>
    </row>
    <row r="10178" spans="1:10" ht="13.2">
      <c r="A10178" s="7">
        <v>10177</v>
      </c>
      <c r="B10178" s="7">
        <v>1</v>
      </c>
      <c r="C10178" s="7" t="s">
        <v>10</v>
      </c>
      <c r="D10178" s="7">
        <v>12430</v>
      </c>
      <c r="E10178" s="7" t="s">
        <v>28</v>
      </c>
      <c r="F10178" s="8" t="str">
        <f ca="1">IFERROR(__xludf.DUMMYFUNCTION("IF
(
C10179=""фізична особа""
,
VLOOKUP(D10179,IMPORTRANGE(""https://docs.google.com/spreadsheets/d/14Bd19lYaqBhU8_DElYkX7l4wRkHqqCUFNJY4AfY3kHU/edit?usp=sharing  #gid=0"",""фіз особи new!relations_name""),6,FALSE)
,
(IF
(
C10179=""юридична особа""
,
VLOO"&amp;"KUP(D10179,IMPORTRANGE(""https://docs.google.com/spreadsheets/d/14Bd19lYaqBhU8_DElYkX7l4wRkHqqCUFNJY4AfY3kHU/edit?usp=sharing  #gid=0"",""фіз особи new!relations_name_uo""),7,FALSE)
,
)
))"),"ПОЛНЯКОВ Олексій Олександрович")</f>
        <v>ПОЛНЯКОВ Олексій Олександрович</v>
      </c>
      <c r="G10178" s="7" t="s">
        <v>10</v>
      </c>
      <c r="H10178" s="7">
        <v>23586</v>
      </c>
      <c r="I10178" s="8" t="str">
        <f ca="1">IFERROR(__xludf.DUMMYFUNCTION("IF
(
G10179=""фізична особа""
,
VLOOKUP(H10179,IMPORTRANGE(""https://docs.google.com/spreadsheets/d/14Bd19lYaqBhU8_DElYkX7l4wRkHqqCUFNJY4AfY3kHU/edit?usp=sharing  #gid=0"",""фіз особи new!relations_name""),6,FALSE)
,
(IF
(
G10179=""юридична особа""
,
VLOO"&amp;"KUP(H10179,IMPORTRANGE(""https://docs.google.com/spreadsheets/d/14Bd19lYaqBhU8_DElYkX7l4wRkHqqCUFNJY4AfY3kHU/edit?usp=sharing  #gid=0"",""фіз особи new!relations_name_uo""),7,FALSE)
,
)
))"),"САВІНОВ Микола Миколайович")</f>
        <v>САВІНОВ Микола Миколайович</v>
      </c>
      <c r="J10178" s="7" t="s">
        <v>29</v>
      </c>
    </row>
    <row r="10179" spans="1:10" ht="13.2">
      <c r="A10179" s="7">
        <v>10178</v>
      </c>
      <c r="B10179" s="7">
        <v>1</v>
      </c>
      <c r="C10179" s="7" t="s">
        <v>10</v>
      </c>
      <c r="D10179" s="7">
        <v>12431</v>
      </c>
      <c r="E10179" s="7" t="s">
        <v>28</v>
      </c>
      <c r="F10179" s="8" t="str">
        <f ca="1">IFERROR(__xludf.DUMMYFUNCTION("IF
(
C10180=""фізична особа""
,
VLOOKUP(D10180,IMPORTRANGE(""https://docs.google.com/spreadsheets/d/14Bd19lYaqBhU8_DElYkX7l4wRkHqqCUFNJY4AfY3kHU/edit?usp=sharing  #gid=0"",""фіз особи new!relations_name""),6,FALSE)
,
(IF
(
C10180=""юридична особа""
,
VLOO"&amp;"KUP(D10180,IMPORTRANGE(""https://docs.google.com/spreadsheets/d/14Bd19lYaqBhU8_DElYkX7l4wRkHqqCUFNJY4AfY3kHU/edit?usp=sharing  #gid=0"",""фіз особи new!relations_name_uo""),7,FALSE)
,
)
))"),"СЕРИЩЕВА Людмила Михайлівна")</f>
        <v>СЕРИЩЕВА Людмила Михайлівна</v>
      </c>
      <c r="G10179" s="7" t="s">
        <v>10</v>
      </c>
      <c r="H10179" s="7">
        <v>23586</v>
      </c>
      <c r="I10179" s="8" t="str">
        <f ca="1">IFERROR(__xludf.DUMMYFUNCTION("IF
(
G10180=""фізична особа""
,
VLOOKUP(H10180,IMPORTRANGE(""https://docs.google.com/spreadsheets/d/14Bd19lYaqBhU8_DElYkX7l4wRkHqqCUFNJY4AfY3kHU/edit?usp=sharing  #gid=0"",""фіз особи new!relations_name""),6,FALSE)
,
(IF
(
G10180=""юридична особа""
,
VLOO"&amp;"KUP(H10180,IMPORTRANGE(""https://docs.google.com/spreadsheets/d/14Bd19lYaqBhU8_DElYkX7l4wRkHqqCUFNJY4AfY3kHU/edit?usp=sharing  #gid=0"",""фіз особи new!relations_name_uo""),7,FALSE)
,
)
))"),"САВІНОВ Микола Миколайович")</f>
        <v>САВІНОВ Микола Миколайович</v>
      </c>
      <c r="J10179" s="7" t="s">
        <v>29</v>
      </c>
    </row>
    <row r="10180" spans="1:10" ht="13.2">
      <c r="A10180" s="7">
        <v>10179</v>
      </c>
      <c r="B10180" s="7">
        <v>1</v>
      </c>
      <c r="C10180" s="7" t="s">
        <v>10</v>
      </c>
      <c r="D10180" s="7">
        <v>12432</v>
      </c>
      <c r="E10180" s="7" t="s">
        <v>28</v>
      </c>
      <c r="F10180" s="8" t="str">
        <f ca="1">IFERROR(__xludf.DUMMYFUNCTION("IF
(
C10181=""фізична особа""
,
VLOOKUP(D10181,IMPORTRANGE(""https://docs.google.com/spreadsheets/d/14Bd19lYaqBhU8_DElYkX7l4wRkHqqCUFNJY4AfY3kHU/edit?usp=sharing  #gid=0"",""фіз особи new!relations_name""),6,FALSE)
,
(IF
(
C10181=""юридична особа""
,
VLOO"&amp;"KUP(D10181,IMPORTRANGE(""https://docs.google.com/spreadsheets/d/14Bd19lYaqBhU8_DElYkX7l4wRkHqqCUFNJY4AfY3kHU/edit?usp=sharing  #gid=0"",""фіз особи new!relations_name_uo""),7,FALSE)
,
)
))"),"ЧЕНЦОВА Лариса Віталіївна")</f>
        <v>ЧЕНЦОВА Лариса Віталіївна</v>
      </c>
      <c r="G10180" s="7" t="s">
        <v>10</v>
      </c>
      <c r="H10180" s="7">
        <v>23586</v>
      </c>
      <c r="I10180" s="8" t="str">
        <f ca="1">IFERROR(__xludf.DUMMYFUNCTION("IF
(
G10181=""фізична особа""
,
VLOOKUP(H10181,IMPORTRANGE(""https://docs.google.com/spreadsheets/d/14Bd19lYaqBhU8_DElYkX7l4wRkHqqCUFNJY4AfY3kHU/edit?usp=sharing  #gid=0"",""фіз особи new!relations_name""),6,FALSE)
,
(IF
(
G10181=""юридична особа""
,
VLOO"&amp;"KUP(H10181,IMPORTRANGE(""https://docs.google.com/spreadsheets/d/14Bd19lYaqBhU8_DElYkX7l4wRkHqqCUFNJY4AfY3kHU/edit?usp=sharing  #gid=0"",""фіз особи new!relations_name_uo""),7,FALSE)
,
)
))"),"САВІНОВ Микола Миколайович")</f>
        <v>САВІНОВ Микола Миколайович</v>
      </c>
      <c r="J10180" s="7" t="s">
        <v>29</v>
      </c>
    </row>
    <row r="10181" spans="1:10" ht="13.2">
      <c r="A10181" s="7">
        <v>10180</v>
      </c>
      <c r="B10181" s="7">
        <v>1</v>
      </c>
      <c r="C10181" s="7" t="s">
        <v>10</v>
      </c>
      <c r="D10181" s="7">
        <v>12458</v>
      </c>
      <c r="E10181" s="7" t="s">
        <v>28</v>
      </c>
      <c r="F10181" s="8" t="str">
        <f ca="1">IFERROR(__xludf.DUMMYFUNCTION("IF
(
C10182=""фізична особа""
,
VLOOKUP(D10182,IMPORTRANGE(""https://docs.google.com/spreadsheets/d/14Bd19lYaqBhU8_DElYkX7l4wRkHqqCUFNJY4AfY3kHU/edit?usp=sharing  #gid=0"",""фіз особи new!relations_name""),6,FALSE)
,
(IF
(
C10182=""юридична особа""
,
VLOO"&amp;"KUP(D10182,IMPORTRANGE(""https://docs.google.com/spreadsheets/d/14Bd19lYaqBhU8_DElYkX7l4wRkHqqCUFNJY4AfY3kHU/edit?usp=sharing  #gid=0"",""фіз особи new!relations_name_uo""),7,FALSE)
,
)
))"),"ЛЕКОНЦЕВ Олександр Пантелійович")</f>
        <v>ЛЕКОНЦЕВ Олександр Пантелійович</v>
      </c>
      <c r="G10181" s="7" t="s">
        <v>10</v>
      </c>
      <c r="H10181" s="7">
        <v>23587</v>
      </c>
      <c r="I10181" s="8" t="str">
        <f ca="1">IFERROR(__xludf.DUMMYFUNCTION("IF
(
G10182=""фізична особа""
,
VLOOKUP(H10182,IMPORTRANGE(""https://docs.google.com/spreadsheets/d/14Bd19lYaqBhU8_DElYkX7l4wRkHqqCUFNJY4AfY3kHU/edit?usp=sharing  #gid=0"",""фіз особи new!relations_name""),6,FALSE)
,
(IF
(
G10182=""юридична особа""
,
VLOO"&amp;"KUP(H10182,IMPORTRANGE(""https://docs.google.com/spreadsheets/d/14Bd19lYaqBhU8_DElYkX7l4wRkHqqCUFNJY4AfY3kHU/edit?usp=sharing  #gid=0"",""фіз особи new!relations_name_uo""),7,FALSE)
,
)
))"),"САРВІЛІНА Надія Олександрівна")</f>
        <v>САРВІЛІНА Надія Олександрівна</v>
      </c>
      <c r="J10181" s="7" t="s">
        <v>29</v>
      </c>
    </row>
    <row r="10182" spans="1:10" ht="13.2">
      <c r="A10182" s="7">
        <v>10181</v>
      </c>
      <c r="B10182" s="7">
        <v>1</v>
      </c>
      <c r="C10182" s="7" t="s">
        <v>10</v>
      </c>
      <c r="D10182" s="7">
        <v>12459</v>
      </c>
      <c r="E10182" s="7" t="s">
        <v>28</v>
      </c>
      <c r="F10182" s="8" t="str">
        <f ca="1">IFERROR(__xludf.DUMMYFUNCTION("IF
(
C10183=""фізична особа""
,
VLOOKUP(D10183,IMPORTRANGE(""https://docs.google.com/spreadsheets/d/14Bd19lYaqBhU8_DElYkX7l4wRkHqqCUFNJY4AfY3kHU/edit?usp=sharing  #gid=0"",""фіз особи new!relations_name""),6,FALSE)
,
(IF
(
C10183=""юридична особа""
,
VLOO"&amp;"KUP(D10183,IMPORTRANGE(""https://docs.google.com/spreadsheets/d/14Bd19lYaqBhU8_DElYkX7l4wRkHqqCUFNJY4AfY3kHU/edit?usp=sharing  #gid=0"",""фіз особи new!relations_name_uo""),7,FALSE)
,
)
))"),"МІШАРІНА Ірина Сергіївна")</f>
        <v>МІШАРІНА Ірина Сергіївна</v>
      </c>
      <c r="G10182" s="7" t="s">
        <v>10</v>
      </c>
      <c r="H10182" s="7">
        <v>23587</v>
      </c>
      <c r="I10182" s="8" t="str">
        <f ca="1">IFERROR(__xludf.DUMMYFUNCTION("IF
(
G10183=""фізична особа""
,
VLOOKUP(H10183,IMPORTRANGE(""https://docs.google.com/spreadsheets/d/14Bd19lYaqBhU8_DElYkX7l4wRkHqqCUFNJY4AfY3kHU/edit?usp=sharing  #gid=0"",""фіз особи new!relations_name""),6,FALSE)
,
(IF
(
G10183=""юридична особа""
,
VLOO"&amp;"KUP(H10183,IMPORTRANGE(""https://docs.google.com/spreadsheets/d/14Bd19lYaqBhU8_DElYkX7l4wRkHqqCUFNJY4AfY3kHU/edit?usp=sharing  #gid=0"",""фіз особи new!relations_name_uo""),7,FALSE)
,
)
))"),"САРВІЛІНА Надія Олександрівна")</f>
        <v>САРВІЛІНА Надія Олександрівна</v>
      </c>
      <c r="J10182" s="7" t="s">
        <v>29</v>
      </c>
    </row>
    <row r="10183" spans="1:10" ht="13.2">
      <c r="A10183" s="7">
        <v>10182</v>
      </c>
      <c r="B10183" s="7">
        <v>1</v>
      </c>
      <c r="C10183" s="7" t="s">
        <v>10</v>
      </c>
      <c r="D10183" s="7">
        <v>12460</v>
      </c>
      <c r="E10183" s="7" t="s">
        <v>28</v>
      </c>
      <c r="F10183" s="8" t="str">
        <f ca="1">IFERROR(__xludf.DUMMYFUNCTION("IF
(
C10184=""фізична особа""
,
VLOOKUP(D10184,IMPORTRANGE(""https://docs.google.com/spreadsheets/d/14Bd19lYaqBhU8_DElYkX7l4wRkHqqCUFNJY4AfY3kHU/edit?usp=sharing  #gid=0"",""фіз особи new!relations_name""),6,FALSE)
,
(IF
(
C10184=""юридична особа""
,
VLOO"&amp;"KUP(D10184,IMPORTRANGE(""https://docs.google.com/spreadsheets/d/14Bd19lYaqBhU8_DElYkX7l4wRkHqqCUFNJY4AfY3kHU/edit?usp=sharing  #gid=0"",""фіз особи new!relations_name_uo""),7,FALSE)
,
)
))"),"КОНСТАНТІНОВА Наталія Валеріївна")</f>
        <v>КОНСТАНТІНОВА Наталія Валеріївна</v>
      </c>
      <c r="G10183" s="7" t="s">
        <v>10</v>
      </c>
      <c r="H10183" s="7">
        <v>0</v>
      </c>
      <c r="I10183" s="8" t="str">
        <f ca="1">IFERROR(__xludf.DUMMYFUNCTION("IF
(
G10184=""фізична особа""
,
VLOOKUP(H10184,IMPORTRANGE(""https://docs.google.com/spreadsheets/d/14Bd19lYaqBhU8_DElYkX7l4wRkHqqCUFNJY4AfY3kHU/edit?usp=sharing  #gid=0"",""фіз особи new!relations_name""),6,FALSE)
,
(IF
(
G10184=""юридична особа""
,
VLOO"&amp;"KUP(H10184,IMPORTRANGE(""https://docs.google.com/spreadsheets/d/14Bd19lYaqBhU8_DElYkX7l4wRkHqqCUFNJY4AfY3kHU/edit?usp=sharing  #gid=0"",""фіз особи new!relations_name_uo""),7,FALSE)
,
)
))"),"#N/A")</f>
        <v>#N/A</v>
      </c>
      <c r="J10183" s="7" t="s">
        <v>29</v>
      </c>
    </row>
    <row r="10184" spans="1:10" ht="13.2">
      <c r="A10184" s="7">
        <v>10183</v>
      </c>
      <c r="B10184" s="7">
        <v>1</v>
      </c>
      <c r="C10184" s="7" t="s">
        <v>10</v>
      </c>
      <c r="D10184" s="7">
        <v>12462</v>
      </c>
      <c r="E10184" s="7" t="s">
        <v>28</v>
      </c>
      <c r="F10184" s="8" t="str">
        <f ca="1">IFERROR(__xludf.DUMMYFUNCTION("IF
(
C10185=""фізична особа""
,
VLOOKUP(D10185,IMPORTRANGE(""https://docs.google.com/spreadsheets/d/14Bd19lYaqBhU8_DElYkX7l4wRkHqqCUFNJY4AfY3kHU/edit?usp=sharing  #gid=0"",""фіз особи new!relations_name""),6,FALSE)
,
(IF
(
C10185=""юридична особа""
,
VLOO"&amp;"KUP(D10185,IMPORTRANGE(""https://docs.google.com/spreadsheets/d/14Bd19lYaqBhU8_DElYkX7l4wRkHqqCUFNJY4AfY3kHU/edit?usp=sharing  #gid=0"",""фіз особи new!relations_name_uo""),7,FALSE)
,
)
))"),"ПАРШИНА Ольга Олександрівна")</f>
        <v>ПАРШИНА Ольга Олександрівна</v>
      </c>
      <c r="G10184" s="7" t="s">
        <v>10</v>
      </c>
      <c r="H10184" s="7">
        <v>0</v>
      </c>
      <c r="I10184" s="8" t="str">
        <f ca="1">IFERROR(__xludf.DUMMYFUNCTION("IF
(
G10185=""фізична особа""
,
VLOOKUP(H10185,IMPORTRANGE(""https://docs.google.com/spreadsheets/d/14Bd19lYaqBhU8_DElYkX7l4wRkHqqCUFNJY4AfY3kHU/edit?usp=sharing  #gid=0"",""фіз особи new!relations_name""),6,FALSE)
,
(IF
(
G10185=""юридична особа""
,
VLOO"&amp;"KUP(H10185,IMPORTRANGE(""https://docs.google.com/spreadsheets/d/14Bd19lYaqBhU8_DElYkX7l4wRkHqqCUFNJY4AfY3kHU/edit?usp=sharing  #gid=0"",""фіз особи new!relations_name_uo""),7,FALSE)
,
)
))"),"#N/A")</f>
        <v>#N/A</v>
      </c>
      <c r="J10184" s="7" t="s">
        <v>29</v>
      </c>
    </row>
    <row r="10185" spans="1:10" ht="13.2">
      <c r="A10185" s="7">
        <v>10184</v>
      </c>
      <c r="B10185" s="7">
        <v>1</v>
      </c>
      <c r="C10185" s="7" t="s">
        <v>10</v>
      </c>
      <c r="D10185" s="7">
        <v>12464</v>
      </c>
      <c r="E10185" s="7" t="s">
        <v>28</v>
      </c>
      <c r="F10185" s="8" t="str">
        <f ca="1">IFERROR(__xludf.DUMMYFUNCTION("IF
(
C10186=""фізична особа""
,
VLOOKUP(D10186,IMPORTRANGE(""https://docs.google.com/spreadsheets/d/14Bd19lYaqBhU8_DElYkX7l4wRkHqqCUFNJY4AfY3kHU/edit?usp=sharing  #gid=0"",""фіз особи new!relations_name""),6,FALSE)
,
(IF
(
C10186=""юридична особа""
,
VLOO"&amp;"KUP(D10186,IMPORTRANGE(""https://docs.google.com/spreadsheets/d/14Bd19lYaqBhU8_DElYkX7l4wRkHqqCUFNJY4AfY3kHU/edit?usp=sharing  #gid=0"",""фіз особи new!relations_name_uo""),7,FALSE)
,
)
))"),"ЮТКІНА Світлана Михайлівна")</f>
        <v>ЮТКІНА Світлана Михайлівна</v>
      </c>
      <c r="G10185" s="7" t="s">
        <v>10</v>
      </c>
      <c r="H10185" s="7">
        <v>0</v>
      </c>
      <c r="I10185" s="8" t="str">
        <f ca="1">IFERROR(__xludf.DUMMYFUNCTION("IF
(
G10186=""фізична особа""
,
VLOOKUP(H10186,IMPORTRANGE(""https://docs.google.com/spreadsheets/d/14Bd19lYaqBhU8_DElYkX7l4wRkHqqCUFNJY4AfY3kHU/edit?usp=sharing  #gid=0"",""фіз особи new!relations_name""),6,FALSE)
,
(IF
(
G10186=""юридична особа""
,
VLOO"&amp;"KUP(H10186,IMPORTRANGE(""https://docs.google.com/spreadsheets/d/14Bd19lYaqBhU8_DElYkX7l4wRkHqqCUFNJY4AfY3kHU/edit?usp=sharing  #gid=0"",""фіз особи new!relations_name_uo""),7,FALSE)
,
)
))"),"#N/A")</f>
        <v>#N/A</v>
      </c>
      <c r="J10185" s="7" t="s">
        <v>29</v>
      </c>
    </row>
    <row r="10186" spans="1:10" ht="13.2">
      <c r="A10186" s="7">
        <v>10185</v>
      </c>
      <c r="B10186" s="7">
        <v>1</v>
      </c>
      <c r="C10186" s="7" t="s">
        <v>10</v>
      </c>
      <c r="D10186" s="7">
        <v>12465</v>
      </c>
      <c r="E10186" s="7" t="s">
        <v>28</v>
      </c>
      <c r="F10186" s="8" t="str">
        <f ca="1">IFERROR(__xludf.DUMMYFUNCTION("IF
(
C10187=""фізична особа""
,
VLOOKUP(D10187,IMPORTRANGE(""https://docs.google.com/spreadsheets/d/14Bd19lYaqBhU8_DElYkX7l4wRkHqqCUFNJY4AfY3kHU/edit?usp=sharing  #gid=0"",""фіз особи new!relations_name""),6,FALSE)
,
(IF
(
C10187=""юридична особа""
,
VLOO"&amp;"KUP(D10187,IMPORTRANGE(""https://docs.google.com/spreadsheets/d/14Bd19lYaqBhU8_DElYkX7l4wRkHqqCUFNJY4AfY3kHU/edit?usp=sharing  #gid=0"",""фіз особи new!relations_name_uo""),7,FALSE)
,
)
))"),"ЛЕЖАКОВА Тетяна Володимирівна")</f>
        <v>ЛЕЖАКОВА Тетяна Володимирівна</v>
      </c>
      <c r="G10186" s="7" t="s">
        <v>10</v>
      </c>
      <c r="H10186" s="7">
        <v>0</v>
      </c>
      <c r="I10186" s="8" t="str">
        <f ca="1">IFERROR(__xludf.DUMMYFUNCTION("IF
(
G10187=""фізична особа""
,
VLOOKUP(H10187,IMPORTRANGE(""https://docs.google.com/spreadsheets/d/14Bd19lYaqBhU8_DElYkX7l4wRkHqqCUFNJY4AfY3kHU/edit?usp=sharing  #gid=0"",""фіз особи new!relations_name""),6,FALSE)
,
(IF
(
G10187=""юридична особа""
,
VLOO"&amp;"KUP(H10187,IMPORTRANGE(""https://docs.google.com/spreadsheets/d/14Bd19lYaqBhU8_DElYkX7l4wRkHqqCUFNJY4AfY3kHU/edit?usp=sharing  #gid=0"",""фіз особи new!relations_name_uo""),7,FALSE)
,
)
))"),"#N/A")</f>
        <v>#N/A</v>
      </c>
      <c r="J10186" s="7" t="s">
        <v>29</v>
      </c>
    </row>
    <row r="10187" spans="1:10" ht="13.2">
      <c r="A10187" s="7">
        <v>10186</v>
      </c>
      <c r="B10187" s="7">
        <v>1</v>
      </c>
      <c r="C10187" s="7" t="s">
        <v>10</v>
      </c>
      <c r="D10187" s="7">
        <v>12472</v>
      </c>
      <c r="E10187" s="7" t="s">
        <v>28</v>
      </c>
      <c r="F10187" s="8" t="str">
        <f ca="1">IFERROR(__xludf.DUMMYFUNCTION("IF
(
C10188=""фізична особа""
,
VLOOKUP(D10188,IMPORTRANGE(""https://docs.google.com/spreadsheets/d/14Bd19lYaqBhU8_DElYkX7l4wRkHqqCUFNJY4AfY3kHU/edit?usp=sharing  #gid=0"",""фіз особи new!relations_name""),6,FALSE)
,
(IF
(
C10188=""юридична особа""
,
VLOO"&amp;"KUP(D10188,IMPORTRANGE(""https://docs.google.com/spreadsheets/d/14Bd19lYaqBhU8_DElYkX7l4wRkHqqCUFNJY4AfY3kHU/edit?usp=sharing  #gid=0"",""фіз особи new!relations_name_uo""),7,FALSE)
,
)
))"),"ЧУЛКОВА Наталія Анатоліївна")</f>
        <v>ЧУЛКОВА Наталія Анатоліївна</v>
      </c>
      <c r="G10187" s="7" t="s">
        <v>10</v>
      </c>
      <c r="H10187" s="7">
        <v>12471</v>
      </c>
      <c r="I10187" s="8" t="str">
        <f ca="1">IFERROR(__xludf.DUMMYFUNCTION("IF
(
G10188=""фізична особа""
,
VLOOKUP(H10188,IMPORTRANGE(""https://docs.google.com/spreadsheets/d/14Bd19lYaqBhU8_DElYkX7l4wRkHqqCUFNJY4AfY3kHU/edit?usp=sharing  #gid=0"",""фіз особи new!relations_name""),6,FALSE)
,
(IF
(
G10188=""юридична особа""
,
VLOO"&amp;"KUP(H10188,IMPORTRANGE(""https://docs.google.com/spreadsheets/d/14Bd19lYaqBhU8_DElYkX7l4wRkHqqCUFNJY4AfY3kHU/edit?usp=sharing  #gid=0"",""фіз особи new!relations_name_uo""),7,FALSE)
,
)
))"),"ВЯЛОВ Олександр Олександрович")</f>
        <v>ВЯЛОВ Олександр Олександрович</v>
      </c>
      <c r="J10187" s="7" t="s">
        <v>102</v>
      </c>
    </row>
    <row r="10188" spans="1:10" ht="13.2">
      <c r="A10188" s="7">
        <v>10187</v>
      </c>
      <c r="B10188" s="7">
        <v>1</v>
      </c>
      <c r="C10188" s="7" t="s">
        <v>10</v>
      </c>
      <c r="D10188" s="7">
        <v>12473</v>
      </c>
      <c r="E10188" s="7" t="s">
        <v>28</v>
      </c>
      <c r="F10188" s="8" t="str">
        <f ca="1">IFERROR(__xludf.DUMMYFUNCTION("IF
(
C10189=""фізична особа""
,
VLOOKUP(D10189,IMPORTRANGE(""https://docs.google.com/spreadsheets/d/14Bd19lYaqBhU8_DElYkX7l4wRkHqqCUFNJY4AfY3kHU/edit?usp=sharing  #gid=0"",""фіз особи new!relations_name""),6,FALSE)
,
(IF
(
C10189=""юридична особа""
,
VLOO"&amp;"KUP(D10189,IMPORTRANGE(""https://docs.google.com/spreadsheets/d/14Bd19lYaqBhU8_DElYkX7l4wRkHqqCUFNJY4AfY3kHU/edit?usp=sharing  #gid=0"",""фіз особи new!relations_name_uo""),7,FALSE)
,
)
))"),"ЛАПІНА Олена Володимирівна")</f>
        <v>ЛАПІНА Олена Володимирівна</v>
      </c>
      <c r="G10188" s="7" t="s">
        <v>10</v>
      </c>
      <c r="H10188" s="7">
        <v>12471</v>
      </c>
      <c r="I10188" s="8" t="str">
        <f ca="1">IFERROR(__xludf.DUMMYFUNCTION("IF
(
G10189=""фізична особа""
,
VLOOKUP(H10189,IMPORTRANGE(""https://docs.google.com/spreadsheets/d/14Bd19lYaqBhU8_DElYkX7l4wRkHqqCUFNJY4AfY3kHU/edit?usp=sharing  #gid=0"",""фіз особи new!relations_name""),6,FALSE)
,
(IF
(
G10189=""юридична особа""
,
VLOO"&amp;"KUP(H10189,IMPORTRANGE(""https://docs.google.com/spreadsheets/d/14Bd19lYaqBhU8_DElYkX7l4wRkHqqCUFNJY4AfY3kHU/edit?usp=sharing  #gid=0"",""фіз особи new!relations_name_uo""),7,FALSE)
,
)
))"),"ВЯЛОВ Олександр Олександрович")</f>
        <v>ВЯЛОВ Олександр Олександрович</v>
      </c>
      <c r="J10188" s="7" t="s">
        <v>102</v>
      </c>
    </row>
    <row r="10189" spans="1:10" ht="13.2">
      <c r="A10189" s="7">
        <v>10188</v>
      </c>
      <c r="B10189" s="7">
        <v>1</v>
      </c>
      <c r="C10189" s="7" t="s">
        <v>10</v>
      </c>
      <c r="D10189" s="7">
        <v>12474</v>
      </c>
      <c r="E10189" s="7" t="s">
        <v>28</v>
      </c>
      <c r="F10189" s="8" t="str">
        <f ca="1">IFERROR(__xludf.DUMMYFUNCTION("IF
(
C10190=""фізична особа""
,
VLOOKUP(D10190,IMPORTRANGE(""https://docs.google.com/spreadsheets/d/14Bd19lYaqBhU8_DElYkX7l4wRkHqqCUFNJY4AfY3kHU/edit?usp=sharing  #gid=0"",""фіз особи new!relations_name""),6,FALSE)
,
(IF
(
C10190=""юридична особа""
,
VLOO"&amp;"KUP(D10190,IMPORTRANGE(""https://docs.google.com/spreadsheets/d/14Bd19lYaqBhU8_DElYkX7l4wRkHqqCUFNJY4AfY3kHU/edit?usp=sharing  #gid=0"",""фіз особи new!relations_name_uo""),7,FALSE)
,
)
))"),"ДАНИЛОВА Олеся Миколаївна")</f>
        <v>ДАНИЛОВА Олеся Миколаївна</v>
      </c>
      <c r="G10189" s="7" t="s">
        <v>10</v>
      </c>
      <c r="H10189" s="7">
        <v>0</v>
      </c>
      <c r="I10189" s="8" t="str">
        <f ca="1">IFERROR(__xludf.DUMMYFUNCTION("IF
(
G10190=""фізична особа""
,
VLOOKUP(H10190,IMPORTRANGE(""https://docs.google.com/spreadsheets/d/14Bd19lYaqBhU8_DElYkX7l4wRkHqqCUFNJY4AfY3kHU/edit?usp=sharing  #gid=0"",""фіз особи new!relations_name""),6,FALSE)
,
(IF
(
G10190=""юридична особа""
,
VLOO"&amp;"KUP(H10190,IMPORTRANGE(""https://docs.google.com/spreadsheets/d/14Bd19lYaqBhU8_DElYkX7l4wRkHqqCUFNJY4AfY3kHU/edit?usp=sharing  #gid=0"",""фіз особи new!relations_name_uo""),7,FALSE)
,
)
))"),"#N/A")</f>
        <v>#N/A</v>
      </c>
      <c r="J10189" s="7" t="s">
        <v>29</v>
      </c>
    </row>
    <row r="10190" spans="1:10" ht="13.2">
      <c r="A10190" s="7">
        <v>10189</v>
      </c>
      <c r="B10190" s="7">
        <v>1</v>
      </c>
      <c r="C10190" s="7" t="s">
        <v>10</v>
      </c>
      <c r="D10190" s="7">
        <v>12475</v>
      </c>
      <c r="E10190" s="7" t="s">
        <v>28</v>
      </c>
      <c r="F10190" s="8" t="str">
        <f ca="1">IFERROR(__xludf.DUMMYFUNCTION("IF
(
C10191=""фізична особа""
,
VLOOKUP(D10191,IMPORTRANGE(""https://docs.google.com/spreadsheets/d/14Bd19lYaqBhU8_DElYkX7l4wRkHqqCUFNJY4AfY3kHU/edit?usp=sharing  #gid=0"",""фіз особи new!relations_name""),6,FALSE)
,
(IF
(
C10191=""юридична особа""
,
VLOO"&amp;"KUP(D10191,IMPORTRANGE(""https://docs.google.com/spreadsheets/d/14Bd19lYaqBhU8_DElYkX7l4wRkHqqCUFNJY4AfY3kHU/edit?usp=sharing  #gid=0"",""фіз особи new!relations_name_uo""),7,FALSE)
,
)
))"),"ГРЕЧИШНІКОВА Марина Олександрівна")</f>
        <v>ГРЕЧИШНІКОВА Марина Олександрівна</v>
      </c>
      <c r="G10190" s="7" t="s">
        <v>10</v>
      </c>
      <c r="H10190" s="7">
        <v>0</v>
      </c>
      <c r="I10190" s="8" t="str">
        <f ca="1">IFERROR(__xludf.DUMMYFUNCTION("IF
(
G10191=""фізична особа""
,
VLOOKUP(H10191,IMPORTRANGE(""https://docs.google.com/spreadsheets/d/14Bd19lYaqBhU8_DElYkX7l4wRkHqqCUFNJY4AfY3kHU/edit?usp=sharing  #gid=0"",""фіз особи new!relations_name""),6,FALSE)
,
(IF
(
G10191=""юридична особа""
,
VLOO"&amp;"KUP(H10191,IMPORTRANGE(""https://docs.google.com/spreadsheets/d/14Bd19lYaqBhU8_DElYkX7l4wRkHqqCUFNJY4AfY3kHU/edit?usp=sharing  #gid=0"",""фіз особи new!relations_name_uo""),7,FALSE)
,
)
))"),"#N/A")</f>
        <v>#N/A</v>
      </c>
      <c r="J10190" s="7" t="s">
        <v>29</v>
      </c>
    </row>
    <row r="10191" spans="1:10" ht="13.2">
      <c r="A10191" s="7">
        <v>10190</v>
      </c>
      <c r="B10191" s="7">
        <v>1</v>
      </c>
      <c r="C10191" s="7" t="s">
        <v>10</v>
      </c>
      <c r="D10191" s="7">
        <v>12476</v>
      </c>
      <c r="E10191" s="7" t="s">
        <v>28</v>
      </c>
      <c r="F10191" s="8" t="str">
        <f ca="1">IFERROR(__xludf.DUMMYFUNCTION("IF
(
C10192=""фізична особа""
,
VLOOKUP(D10192,IMPORTRANGE(""https://docs.google.com/spreadsheets/d/14Bd19lYaqBhU8_DElYkX7l4wRkHqqCUFNJY4AfY3kHU/edit?usp=sharing  #gid=0"",""фіз особи new!relations_name""),6,FALSE)
,
(IF
(
C10192=""юридична особа""
,
VLOO"&amp;"KUP(D10192,IMPORTRANGE(""https://docs.google.com/spreadsheets/d/14Bd19lYaqBhU8_DElYkX7l4wRkHqqCUFNJY4AfY3kHU/edit?usp=sharing  #gid=0"",""фіз особи new!relations_name_uo""),7,FALSE)
,
)
))"),"ДЕМЕНОК Сергій Валерійович")</f>
        <v>ДЕМЕНОК Сергій Валерійович</v>
      </c>
      <c r="G10191" s="7" t="s">
        <v>10</v>
      </c>
      <c r="H10191" s="7">
        <v>0</v>
      </c>
      <c r="I10191" s="8" t="str">
        <f ca="1">IFERROR(__xludf.DUMMYFUNCTION("IF
(
G10192=""фізична особа""
,
VLOOKUP(H10192,IMPORTRANGE(""https://docs.google.com/spreadsheets/d/14Bd19lYaqBhU8_DElYkX7l4wRkHqqCUFNJY4AfY3kHU/edit?usp=sharing  #gid=0"",""фіз особи new!relations_name""),6,FALSE)
,
(IF
(
G10192=""юридична особа""
,
VLOO"&amp;"KUP(H10192,IMPORTRANGE(""https://docs.google.com/spreadsheets/d/14Bd19lYaqBhU8_DElYkX7l4wRkHqqCUFNJY4AfY3kHU/edit?usp=sharing  #gid=0"",""фіз особи new!relations_name_uo""),7,FALSE)
,
)
))"),"#N/A")</f>
        <v>#N/A</v>
      </c>
      <c r="J10191" s="7" t="s">
        <v>29</v>
      </c>
    </row>
    <row r="10192" spans="1:10" ht="13.2">
      <c r="A10192" s="7">
        <v>10191</v>
      </c>
      <c r="B10192" s="7">
        <v>1</v>
      </c>
      <c r="C10192" s="7" t="s">
        <v>10</v>
      </c>
      <c r="D10192" s="7">
        <v>12477</v>
      </c>
      <c r="E10192" s="7" t="s">
        <v>28</v>
      </c>
      <c r="F10192" s="8" t="str">
        <f ca="1">IFERROR(__xludf.DUMMYFUNCTION("IF
(
C10193=""фізична особа""
,
VLOOKUP(D10193,IMPORTRANGE(""https://docs.google.com/spreadsheets/d/14Bd19lYaqBhU8_DElYkX7l4wRkHqqCUFNJY4AfY3kHU/edit?usp=sharing  #gid=0"",""фіз особи new!relations_name""),6,FALSE)
,
(IF
(
C10193=""юридична особа""
,
VLOO"&amp;"KUP(D10193,IMPORTRANGE(""https://docs.google.com/spreadsheets/d/14Bd19lYaqBhU8_DElYkX7l4wRkHqqCUFNJY4AfY3kHU/edit?usp=sharing  #gid=0"",""фіз особи new!relations_name_uo""),7,FALSE)
,
)
))"),"ІЛЛАРІОНОВА Ангеліна Анатоліївна")</f>
        <v>ІЛЛАРІОНОВА Ангеліна Анатоліївна</v>
      </c>
      <c r="G10192" s="7" t="s">
        <v>10</v>
      </c>
      <c r="H10192" s="7">
        <v>23588</v>
      </c>
      <c r="I10192" s="8" t="str">
        <f ca="1">IFERROR(__xludf.DUMMYFUNCTION("IF
(
G10193=""фізична особа""
,
VLOOKUP(H10193,IMPORTRANGE(""https://docs.google.com/spreadsheets/d/14Bd19lYaqBhU8_DElYkX7l4wRkHqqCUFNJY4AfY3kHU/edit?usp=sharing  #gid=0"",""фіз особи new!relations_name""),6,FALSE)
,
(IF
(
G10193=""юридична особа""
,
VLOO"&amp;"KUP(H10193,IMPORTRANGE(""https://docs.google.com/spreadsheets/d/14Bd19lYaqBhU8_DElYkX7l4wRkHqqCUFNJY4AfY3kHU/edit?usp=sharing  #gid=0"",""фіз особи new!relations_name_uo""),7,FALSE)
,
)
))"),"ГРИШИНА Лариса Юріївна")</f>
        <v>ГРИШИНА Лариса Юріївна</v>
      </c>
      <c r="J10192" s="7" t="s">
        <v>29</v>
      </c>
    </row>
    <row r="10193" spans="1:10" ht="13.2">
      <c r="A10193" s="7">
        <v>10192</v>
      </c>
      <c r="B10193" s="7">
        <v>1</v>
      </c>
      <c r="C10193" s="7" t="s">
        <v>10</v>
      </c>
      <c r="D10193" s="7">
        <v>12478</v>
      </c>
      <c r="E10193" s="7" t="s">
        <v>28</v>
      </c>
      <c r="F10193" s="8" t="str">
        <f ca="1">IFERROR(__xludf.DUMMYFUNCTION("IF
(
C10194=""фізична особа""
,
VLOOKUP(D10194,IMPORTRANGE(""https://docs.google.com/spreadsheets/d/14Bd19lYaqBhU8_DElYkX7l4wRkHqqCUFNJY4AfY3kHU/edit?usp=sharing  #gid=0"",""фіз особи new!relations_name""),6,FALSE)
,
(IF
(
C10194=""юридична особа""
,
VLOO"&amp;"KUP(D10194,IMPORTRANGE(""https://docs.google.com/spreadsheets/d/14Bd19lYaqBhU8_DElYkX7l4wRkHqqCUFNJY4AfY3kHU/edit?usp=sharing  #gid=0"",""фіз особи new!relations_name_uo""),7,FALSE)
,
)
))"),"КРИМСЬКА Світлана Володимирівна")</f>
        <v>КРИМСЬКА Світлана Володимирівна</v>
      </c>
      <c r="G10193" s="7" t="s">
        <v>10</v>
      </c>
      <c r="H10193" s="7">
        <v>23588</v>
      </c>
      <c r="I10193" s="8" t="str">
        <f ca="1">IFERROR(__xludf.DUMMYFUNCTION("IF
(
G10194=""фізична особа""
,
VLOOKUP(H10194,IMPORTRANGE(""https://docs.google.com/spreadsheets/d/14Bd19lYaqBhU8_DElYkX7l4wRkHqqCUFNJY4AfY3kHU/edit?usp=sharing  #gid=0"",""фіз особи new!relations_name""),6,FALSE)
,
(IF
(
G10194=""юридична особа""
,
VLOO"&amp;"KUP(H10194,IMPORTRANGE(""https://docs.google.com/spreadsheets/d/14Bd19lYaqBhU8_DElYkX7l4wRkHqqCUFNJY4AfY3kHU/edit?usp=sharing  #gid=0"",""фіз особи new!relations_name_uo""),7,FALSE)
,
)
))"),"ГРИШИНА Лариса Юріївна")</f>
        <v>ГРИШИНА Лариса Юріївна</v>
      </c>
      <c r="J10193" s="7" t="s">
        <v>29</v>
      </c>
    </row>
    <row r="10194" spans="1:10" ht="13.2">
      <c r="A10194" s="7">
        <v>10193</v>
      </c>
      <c r="B10194" s="7">
        <v>1</v>
      </c>
      <c r="C10194" s="7" t="s">
        <v>10</v>
      </c>
      <c r="D10194" s="7">
        <v>12479</v>
      </c>
      <c r="E10194" s="7" t="s">
        <v>28</v>
      </c>
      <c r="F10194" s="8" t="str">
        <f ca="1">IFERROR(__xludf.DUMMYFUNCTION("IF
(
C10195=""фізична особа""
,
VLOOKUP(D10195,IMPORTRANGE(""https://docs.google.com/spreadsheets/d/14Bd19lYaqBhU8_DElYkX7l4wRkHqqCUFNJY4AfY3kHU/edit?usp=sharing  #gid=0"",""фіз особи new!relations_name""),6,FALSE)
,
(IF
(
C10195=""юридична особа""
,
VLOO"&amp;"KUP(D10195,IMPORTRANGE(""https://docs.google.com/spreadsheets/d/14Bd19lYaqBhU8_DElYkX7l4wRkHqqCUFNJY4AfY3kHU/edit?usp=sharing  #gid=0"",""фіз особи new!relations_name_uo""),7,FALSE)
,
)
))"),"СВИНЦОВА Світлана Сергіївна")</f>
        <v>СВИНЦОВА Світлана Сергіївна</v>
      </c>
      <c r="G10194" s="7" t="s">
        <v>10</v>
      </c>
      <c r="H10194" s="7">
        <v>23588</v>
      </c>
      <c r="I10194" s="8" t="str">
        <f ca="1">IFERROR(__xludf.DUMMYFUNCTION("IF
(
G10195=""фізична особа""
,
VLOOKUP(H10195,IMPORTRANGE(""https://docs.google.com/spreadsheets/d/14Bd19lYaqBhU8_DElYkX7l4wRkHqqCUFNJY4AfY3kHU/edit?usp=sharing  #gid=0"",""фіз особи new!relations_name""),6,FALSE)
,
(IF
(
G10195=""юридична особа""
,
VLOO"&amp;"KUP(H10195,IMPORTRANGE(""https://docs.google.com/spreadsheets/d/14Bd19lYaqBhU8_DElYkX7l4wRkHqqCUFNJY4AfY3kHU/edit?usp=sharing  #gid=0"",""фіз особи new!relations_name_uo""),7,FALSE)
,
)
))"),"ГРИШИНА Лариса Юріївна")</f>
        <v>ГРИШИНА Лариса Юріївна</v>
      </c>
      <c r="J10194" s="7" t="s">
        <v>29</v>
      </c>
    </row>
    <row r="10195" spans="1:10" ht="13.2">
      <c r="A10195" s="7">
        <v>10194</v>
      </c>
      <c r="B10195" s="7">
        <v>1</v>
      </c>
      <c r="C10195" s="7" t="s">
        <v>10</v>
      </c>
      <c r="D10195" s="7">
        <v>12480</v>
      </c>
      <c r="E10195" s="7" t="s">
        <v>28</v>
      </c>
      <c r="F10195" s="8" t="str">
        <f ca="1">IFERROR(__xludf.DUMMYFUNCTION("IF
(
C10196=""фізична особа""
,
VLOOKUP(D10196,IMPORTRANGE(""https://docs.google.com/spreadsheets/d/14Bd19lYaqBhU8_DElYkX7l4wRkHqqCUFNJY4AfY3kHU/edit?usp=sharing  #gid=0"",""фіз особи new!relations_name""),6,FALSE)
,
(IF
(
C10196=""юридична особа""
,
VLOO"&amp;"KUP(D10196,IMPORTRANGE(""https://docs.google.com/spreadsheets/d/14Bd19lYaqBhU8_DElYkX7l4wRkHqqCUFNJY4AfY3kHU/edit?usp=sharing  #gid=0"",""фіз особи new!relations_name_uo""),7,FALSE)
,
)
))"),"КРИВОЛАПОВА Ірина Вікторівна")</f>
        <v>КРИВОЛАПОВА Ірина Вікторівна</v>
      </c>
      <c r="G10195" s="7" t="s">
        <v>10</v>
      </c>
      <c r="H10195" s="7">
        <v>23588</v>
      </c>
      <c r="I10195" s="8" t="str">
        <f ca="1">IFERROR(__xludf.DUMMYFUNCTION("IF
(
G10196=""фізична особа""
,
VLOOKUP(H10196,IMPORTRANGE(""https://docs.google.com/spreadsheets/d/14Bd19lYaqBhU8_DElYkX7l4wRkHqqCUFNJY4AfY3kHU/edit?usp=sharing  #gid=0"",""фіз особи new!relations_name""),6,FALSE)
,
(IF
(
G10196=""юридична особа""
,
VLOO"&amp;"KUP(H10196,IMPORTRANGE(""https://docs.google.com/spreadsheets/d/14Bd19lYaqBhU8_DElYkX7l4wRkHqqCUFNJY4AfY3kHU/edit?usp=sharing  #gid=0"",""фіз особи new!relations_name_uo""),7,FALSE)
,
)
))"),"ГРИШИНА Лариса Юріївна")</f>
        <v>ГРИШИНА Лариса Юріївна</v>
      </c>
      <c r="J10195" s="7" t="s">
        <v>29</v>
      </c>
    </row>
    <row r="10196" spans="1:10" ht="13.2">
      <c r="A10196" s="7">
        <v>10195</v>
      </c>
      <c r="B10196" s="7">
        <v>1</v>
      </c>
      <c r="C10196" s="7" t="s">
        <v>10</v>
      </c>
      <c r="D10196" s="7">
        <v>12481</v>
      </c>
      <c r="E10196" s="7" t="s">
        <v>28</v>
      </c>
      <c r="F10196" s="8" t="str">
        <f ca="1">IFERROR(__xludf.DUMMYFUNCTION("IF
(
C10197=""фізична особа""
,
VLOOKUP(D10197,IMPORTRANGE(""https://docs.google.com/spreadsheets/d/14Bd19lYaqBhU8_DElYkX7l4wRkHqqCUFNJY4AfY3kHU/edit?usp=sharing  #gid=0"",""фіз особи new!relations_name""),6,FALSE)
,
(IF
(
C10197=""юридична особа""
,
VLOO"&amp;"KUP(D10197,IMPORTRANGE(""https://docs.google.com/spreadsheets/d/14Bd19lYaqBhU8_DElYkX7l4wRkHqqCUFNJY4AfY3kHU/edit?usp=sharing  #gid=0"",""фіз особи new!relations_name_uo""),7,FALSE)
,
)
))"),"ШУШКОВ Дмитро Миколайович")</f>
        <v>ШУШКОВ Дмитро Миколайович</v>
      </c>
      <c r="G10196" s="7" t="s">
        <v>10</v>
      </c>
      <c r="H10196" s="7">
        <v>0</v>
      </c>
      <c r="I10196" s="8" t="str">
        <f ca="1">IFERROR(__xludf.DUMMYFUNCTION("IF
(
G10197=""фізична особа""
,
VLOOKUP(H10197,IMPORTRANGE(""https://docs.google.com/spreadsheets/d/14Bd19lYaqBhU8_DElYkX7l4wRkHqqCUFNJY4AfY3kHU/edit?usp=sharing  #gid=0"",""фіз особи new!relations_name""),6,FALSE)
,
(IF
(
G10197=""юридична особа""
,
VLOO"&amp;"KUP(H10197,IMPORTRANGE(""https://docs.google.com/spreadsheets/d/14Bd19lYaqBhU8_DElYkX7l4wRkHqqCUFNJY4AfY3kHU/edit?usp=sharing  #gid=0"",""фіз особи new!relations_name_uo""),7,FALSE)
,
)
))"),"#N/A")</f>
        <v>#N/A</v>
      </c>
      <c r="J10196" s="7" t="s">
        <v>29</v>
      </c>
    </row>
    <row r="10197" spans="1:10" ht="13.2">
      <c r="A10197" s="7">
        <v>10196</v>
      </c>
      <c r="B10197" s="7">
        <v>1</v>
      </c>
      <c r="C10197" s="7" t="s">
        <v>10</v>
      </c>
      <c r="D10197" s="7">
        <v>12482</v>
      </c>
      <c r="E10197" s="7" t="s">
        <v>28</v>
      </c>
      <c r="F10197" s="8" t="str">
        <f ca="1">IFERROR(__xludf.DUMMYFUNCTION("IF
(
C10198=""фізична особа""
,
VLOOKUP(D10198,IMPORTRANGE(""https://docs.google.com/spreadsheets/d/14Bd19lYaqBhU8_DElYkX7l4wRkHqqCUFNJY4AfY3kHU/edit?usp=sharing  #gid=0"",""фіз особи new!relations_name""),6,FALSE)
,
(IF
(
C10198=""юридична особа""
,
VLOO"&amp;"KUP(D10198,IMPORTRANGE(""https://docs.google.com/spreadsheets/d/14Bd19lYaqBhU8_DElYkX7l4wRkHqqCUFNJY4AfY3kHU/edit?usp=sharing  #gid=0"",""фіз особи new!relations_name_uo""),7,FALSE)
,
)
))"),"ЛАЄВСЬКИЙ Володимир Володимирович")</f>
        <v>ЛАЄВСЬКИЙ Володимир Володимирович</v>
      </c>
      <c r="G10197" s="7" t="s">
        <v>10</v>
      </c>
      <c r="H10197" s="7">
        <v>0</v>
      </c>
      <c r="I10197" s="8" t="str">
        <f ca="1">IFERROR(__xludf.DUMMYFUNCTION("IF
(
G10198=""фізична особа""
,
VLOOKUP(H10198,IMPORTRANGE(""https://docs.google.com/spreadsheets/d/14Bd19lYaqBhU8_DElYkX7l4wRkHqqCUFNJY4AfY3kHU/edit?usp=sharing  #gid=0"",""фіз особи new!relations_name""),6,FALSE)
,
(IF
(
G10198=""юридична особа""
,
VLOO"&amp;"KUP(H10198,IMPORTRANGE(""https://docs.google.com/spreadsheets/d/14Bd19lYaqBhU8_DElYkX7l4wRkHqqCUFNJY4AfY3kHU/edit?usp=sharing  #gid=0"",""фіз особи new!relations_name_uo""),7,FALSE)
,
)
))"),"#N/A")</f>
        <v>#N/A</v>
      </c>
      <c r="J10197" s="7" t="s">
        <v>29</v>
      </c>
    </row>
    <row r="10198" spans="1:10" ht="13.2">
      <c r="A10198" s="7">
        <v>10197</v>
      </c>
      <c r="B10198" s="7">
        <v>1</v>
      </c>
      <c r="C10198" s="7" t="s">
        <v>10</v>
      </c>
      <c r="D10198" s="7">
        <v>12483</v>
      </c>
      <c r="E10198" s="7" t="s">
        <v>28</v>
      </c>
      <c r="F10198" s="8" t="str">
        <f ca="1">IFERROR(__xludf.DUMMYFUNCTION("IF
(
C10199=""фізична особа""
,
VLOOKUP(D10199,IMPORTRANGE(""https://docs.google.com/spreadsheets/d/14Bd19lYaqBhU8_DElYkX7l4wRkHqqCUFNJY4AfY3kHU/edit?usp=sharing  #gid=0"",""фіз особи new!relations_name""),6,FALSE)
,
(IF
(
C10199=""юридична особа""
,
VLOO"&amp;"KUP(D10199,IMPORTRANGE(""https://docs.google.com/spreadsheets/d/14Bd19lYaqBhU8_DElYkX7l4wRkHqqCUFNJY4AfY3kHU/edit?usp=sharing  #gid=0"",""фіз особи new!relations_name_uo""),7,FALSE)
,
)
))"),"ДЬОМІНА Катерина Сергіївна")</f>
        <v>ДЬОМІНА Катерина Сергіївна</v>
      </c>
      <c r="G10198" s="7" t="s">
        <v>10</v>
      </c>
      <c r="H10198" s="7">
        <v>0</v>
      </c>
      <c r="I10198" s="8" t="str">
        <f ca="1">IFERROR(__xludf.DUMMYFUNCTION("IF
(
G10199=""фізична особа""
,
VLOOKUP(H10199,IMPORTRANGE(""https://docs.google.com/spreadsheets/d/14Bd19lYaqBhU8_DElYkX7l4wRkHqqCUFNJY4AfY3kHU/edit?usp=sharing  #gid=0"",""фіз особи new!relations_name""),6,FALSE)
,
(IF
(
G10199=""юридична особа""
,
VLOO"&amp;"KUP(H10199,IMPORTRANGE(""https://docs.google.com/spreadsheets/d/14Bd19lYaqBhU8_DElYkX7l4wRkHqqCUFNJY4AfY3kHU/edit?usp=sharing  #gid=0"",""фіз особи new!relations_name_uo""),7,FALSE)
,
)
))"),"#N/A")</f>
        <v>#N/A</v>
      </c>
      <c r="J10198" s="7" t="s">
        <v>29</v>
      </c>
    </row>
    <row r="10199" spans="1:10" ht="13.2">
      <c r="A10199" s="7">
        <v>10198</v>
      </c>
      <c r="B10199" s="7">
        <v>1</v>
      </c>
      <c r="C10199" s="7" t="s">
        <v>10</v>
      </c>
      <c r="D10199" s="7">
        <v>12484</v>
      </c>
      <c r="E10199" s="7" t="s">
        <v>28</v>
      </c>
      <c r="F10199" s="8" t="str">
        <f ca="1">IFERROR(__xludf.DUMMYFUNCTION("IF
(
C10200=""фізична особа""
,
VLOOKUP(D10200,IMPORTRANGE(""https://docs.google.com/spreadsheets/d/14Bd19lYaqBhU8_DElYkX7l4wRkHqqCUFNJY4AfY3kHU/edit?usp=sharing  #gid=0"",""фіз особи new!relations_name""),6,FALSE)
,
(IF
(
C10200=""юридична особа""
,
VLOO"&amp;"KUP(D10200,IMPORTRANGE(""https://docs.google.com/spreadsheets/d/14Bd19lYaqBhU8_DElYkX7l4wRkHqqCUFNJY4AfY3kHU/edit?usp=sharing  #gid=0"",""фіз особи new!relations_name_uo""),7,FALSE)
,
)
))"),"ТИМОФЄЄВА Олена Сергіївна")</f>
        <v>ТИМОФЄЄВА Олена Сергіївна</v>
      </c>
      <c r="G10199" s="7" t="s">
        <v>10</v>
      </c>
      <c r="H10199" s="7">
        <v>0</v>
      </c>
      <c r="I10199" s="8" t="str">
        <f ca="1">IFERROR(__xludf.DUMMYFUNCTION("IF
(
G10200=""фізична особа""
,
VLOOKUP(H10200,IMPORTRANGE(""https://docs.google.com/spreadsheets/d/14Bd19lYaqBhU8_DElYkX7l4wRkHqqCUFNJY4AfY3kHU/edit?usp=sharing  #gid=0"",""фіз особи new!relations_name""),6,FALSE)
,
(IF
(
G10200=""юридична особа""
,
VLOO"&amp;"KUP(H10200,IMPORTRANGE(""https://docs.google.com/spreadsheets/d/14Bd19lYaqBhU8_DElYkX7l4wRkHqqCUFNJY4AfY3kHU/edit?usp=sharing  #gid=0"",""фіз особи new!relations_name_uo""),7,FALSE)
,
)
))"),"#N/A")</f>
        <v>#N/A</v>
      </c>
      <c r="J10199" s="7" t="s">
        <v>102</v>
      </c>
    </row>
    <row r="10200" spans="1:10" ht="13.2">
      <c r="A10200" s="7">
        <v>10199</v>
      </c>
      <c r="B10200" s="7">
        <v>1</v>
      </c>
      <c r="C10200" s="7" t="s">
        <v>10</v>
      </c>
      <c r="D10200" s="7">
        <v>12485</v>
      </c>
      <c r="E10200" s="7" t="s">
        <v>28</v>
      </c>
      <c r="F10200" s="8" t="str">
        <f ca="1">IFERROR(__xludf.DUMMYFUNCTION("IF
(
C10201=""фізична особа""
,
VLOOKUP(D10201,IMPORTRANGE(""https://docs.google.com/spreadsheets/d/14Bd19lYaqBhU8_DElYkX7l4wRkHqqCUFNJY4AfY3kHU/edit?usp=sharing  #gid=0"",""фіз особи new!relations_name""),6,FALSE)
,
(IF
(
C10201=""юридична особа""
,
VLOO"&amp;"KUP(D10201,IMPORTRANGE(""https://docs.google.com/spreadsheets/d/14Bd19lYaqBhU8_DElYkX7l4wRkHqqCUFNJY4AfY3kHU/edit?usp=sharing  #gid=0"",""фіз особи new!relations_name_uo""),7,FALSE)
,
)
))"),"ЖИРКОВА Наталія Василівна")</f>
        <v>ЖИРКОВА Наталія Василівна</v>
      </c>
      <c r="G10200" s="7" t="s">
        <v>10</v>
      </c>
      <c r="H10200" s="7">
        <v>23589</v>
      </c>
      <c r="I10200" s="8" t="str">
        <f ca="1">IFERROR(__xludf.DUMMYFUNCTION("IF
(
G10201=""фізична особа""
,
VLOOKUP(H10201,IMPORTRANGE(""https://docs.google.com/spreadsheets/d/14Bd19lYaqBhU8_DElYkX7l4wRkHqqCUFNJY4AfY3kHU/edit?usp=sharing  #gid=0"",""фіз особи new!relations_name""),6,FALSE)
,
(IF
(
G10201=""юридична особа""
,
VLOO"&amp;"KUP(H10201,IMPORTRANGE(""https://docs.google.com/spreadsheets/d/14Bd19lYaqBhU8_DElYkX7l4wRkHqqCUFNJY4AfY3kHU/edit?usp=sharing  #gid=0"",""фіз особи new!relations_name_uo""),7,FALSE)
,
)
))"),"ІВАНОВА Наталія Василівна")</f>
        <v>ІВАНОВА Наталія Василівна</v>
      </c>
      <c r="J10200" s="7" t="s">
        <v>102</v>
      </c>
    </row>
    <row r="10201" spans="1:10" ht="13.2">
      <c r="A10201" s="7">
        <v>10200</v>
      </c>
      <c r="B10201" s="7">
        <v>1</v>
      </c>
      <c r="C10201" s="7" t="s">
        <v>10</v>
      </c>
      <c r="D10201" s="7">
        <v>12486</v>
      </c>
      <c r="E10201" s="7" t="s">
        <v>28</v>
      </c>
      <c r="F10201" s="8" t="str">
        <f ca="1">IFERROR(__xludf.DUMMYFUNCTION("IF
(
C10202=""фізична особа""
,
VLOOKUP(D10202,IMPORTRANGE(""https://docs.google.com/spreadsheets/d/14Bd19lYaqBhU8_DElYkX7l4wRkHqqCUFNJY4AfY3kHU/edit?usp=sharing  #gid=0"",""фіз особи new!relations_name""),6,FALSE)
,
(IF
(
C10202=""юридична особа""
,
VLOO"&amp;"KUP(D10202,IMPORTRANGE(""https://docs.google.com/spreadsheets/d/14Bd19lYaqBhU8_DElYkX7l4wRkHqqCUFNJY4AfY3kHU/edit?usp=sharing  #gid=0"",""фіз особи new!relations_name_uo""),7,FALSE)
,
)
))"),"СМИРНІКОВА Вікторія Гаврилівна")</f>
        <v>СМИРНІКОВА Вікторія Гаврилівна</v>
      </c>
      <c r="G10201" s="7" t="s">
        <v>10</v>
      </c>
      <c r="H10201" s="7">
        <v>23589</v>
      </c>
      <c r="I10201" s="8" t="str">
        <f ca="1">IFERROR(__xludf.DUMMYFUNCTION("IF
(
G10202=""фізична особа""
,
VLOOKUP(H10202,IMPORTRANGE(""https://docs.google.com/spreadsheets/d/14Bd19lYaqBhU8_DElYkX7l4wRkHqqCUFNJY4AfY3kHU/edit?usp=sharing  #gid=0"",""фіз особи new!relations_name""),6,FALSE)
,
(IF
(
G10202=""юридична особа""
,
VLOO"&amp;"KUP(H10202,IMPORTRANGE(""https://docs.google.com/spreadsheets/d/14Bd19lYaqBhU8_DElYkX7l4wRkHqqCUFNJY4AfY3kHU/edit?usp=sharing  #gid=0"",""фіз особи new!relations_name_uo""),7,FALSE)
,
)
))"),"ІВАНОВА Наталія Василівна")</f>
        <v>ІВАНОВА Наталія Василівна</v>
      </c>
      <c r="J10201" s="7" t="s">
        <v>102</v>
      </c>
    </row>
    <row r="10202" spans="1:10" ht="13.2">
      <c r="A10202" s="7">
        <v>10201</v>
      </c>
      <c r="B10202" s="7">
        <v>1</v>
      </c>
      <c r="C10202" s="7" t="s">
        <v>10</v>
      </c>
      <c r="D10202" s="7">
        <v>12487</v>
      </c>
      <c r="E10202" s="7" t="s">
        <v>28</v>
      </c>
      <c r="F10202" s="8" t="str">
        <f ca="1">IFERROR(__xludf.DUMMYFUNCTION("IF
(
C10203=""фізична особа""
,
VLOOKUP(D10203,IMPORTRANGE(""https://docs.google.com/spreadsheets/d/14Bd19lYaqBhU8_DElYkX7l4wRkHqqCUFNJY4AfY3kHU/edit?usp=sharing  #gid=0"",""фіз особи new!relations_name""),6,FALSE)
,
(IF
(
C10203=""юридична особа""
,
VLOO"&amp;"KUP(D10203,IMPORTRANGE(""https://docs.google.com/spreadsheets/d/14Bd19lYaqBhU8_DElYkX7l4wRkHqqCUFNJY4AfY3kHU/edit?usp=sharing  #gid=0"",""фіз особи new!relations_name_uo""),7,FALSE)
,
)
))"),"ЦИКУНОВА Валентина Прокопівна")</f>
        <v>ЦИКУНОВА Валентина Прокопівна</v>
      </c>
      <c r="G10202" s="7" t="s">
        <v>10</v>
      </c>
      <c r="H10202" s="7">
        <v>23589</v>
      </c>
      <c r="I10202" s="8" t="str">
        <f ca="1">IFERROR(__xludf.DUMMYFUNCTION("IF
(
G10203=""фізична особа""
,
VLOOKUP(H10203,IMPORTRANGE(""https://docs.google.com/spreadsheets/d/14Bd19lYaqBhU8_DElYkX7l4wRkHqqCUFNJY4AfY3kHU/edit?usp=sharing  #gid=0"",""фіз особи new!relations_name""),6,FALSE)
,
(IF
(
G10203=""юридична особа""
,
VLOO"&amp;"KUP(H10203,IMPORTRANGE(""https://docs.google.com/spreadsheets/d/14Bd19lYaqBhU8_DElYkX7l4wRkHqqCUFNJY4AfY3kHU/edit?usp=sharing  #gid=0"",""фіз особи new!relations_name_uo""),7,FALSE)
,
)
))"),"ІВАНОВА Наталія Василівна")</f>
        <v>ІВАНОВА Наталія Василівна</v>
      </c>
      <c r="J10202" s="7" t="s">
        <v>102</v>
      </c>
    </row>
    <row r="10203" spans="1:10" ht="13.2">
      <c r="A10203" s="7">
        <v>10202</v>
      </c>
      <c r="B10203" s="7">
        <v>1</v>
      </c>
      <c r="C10203" s="7" t="s">
        <v>10</v>
      </c>
      <c r="D10203" s="7">
        <v>12488</v>
      </c>
      <c r="E10203" s="7" t="s">
        <v>28</v>
      </c>
      <c r="F10203" s="8" t="str">
        <f ca="1">IFERROR(__xludf.DUMMYFUNCTION("IF
(
C10204=""фізична особа""
,
VLOOKUP(D10204,IMPORTRANGE(""https://docs.google.com/spreadsheets/d/14Bd19lYaqBhU8_DElYkX7l4wRkHqqCUFNJY4AfY3kHU/edit?usp=sharing  #gid=0"",""фіз особи new!relations_name""),6,FALSE)
,
(IF
(
C10204=""юридична особа""
,
VLOO"&amp;"KUP(D10204,IMPORTRANGE(""https://docs.google.com/spreadsheets/d/14Bd19lYaqBhU8_DElYkX7l4wRkHqqCUFNJY4AfY3kHU/edit?usp=sharing  #gid=0"",""фіз особи new!relations_name_uo""),7,FALSE)
,
)
))"),"ХОЛМОГОРОВА Людмила Інокентіївна")</f>
        <v>ХОЛМОГОРОВА Людмила Інокентіївна</v>
      </c>
      <c r="G10203" s="7" t="s">
        <v>10</v>
      </c>
      <c r="H10203" s="7">
        <v>23589</v>
      </c>
      <c r="I10203" s="8" t="str">
        <f ca="1">IFERROR(__xludf.DUMMYFUNCTION("IF
(
G10204=""фізична особа""
,
VLOOKUP(H10204,IMPORTRANGE(""https://docs.google.com/spreadsheets/d/14Bd19lYaqBhU8_DElYkX7l4wRkHqqCUFNJY4AfY3kHU/edit?usp=sharing  #gid=0"",""фіз особи new!relations_name""),6,FALSE)
,
(IF
(
G10204=""юридична особа""
,
VLOO"&amp;"KUP(H10204,IMPORTRANGE(""https://docs.google.com/spreadsheets/d/14Bd19lYaqBhU8_DElYkX7l4wRkHqqCUFNJY4AfY3kHU/edit?usp=sharing  #gid=0"",""фіз особи new!relations_name_uo""),7,FALSE)
,
)
))"),"ІВАНОВА Наталія Василівна")</f>
        <v>ІВАНОВА Наталія Василівна</v>
      </c>
      <c r="J10203" s="7" t="s">
        <v>102</v>
      </c>
    </row>
    <row r="10204" spans="1:10" ht="13.2">
      <c r="A10204" s="7">
        <v>10203</v>
      </c>
      <c r="B10204" s="7">
        <v>1</v>
      </c>
      <c r="C10204" s="7" t="s">
        <v>10</v>
      </c>
      <c r="D10204" s="7">
        <v>12489</v>
      </c>
      <c r="E10204" s="7" t="s">
        <v>28</v>
      </c>
      <c r="F10204" s="8" t="str">
        <f ca="1">IFERROR(__xludf.DUMMYFUNCTION("IF
(
C10205=""фізична особа""
,
VLOOKUP(D10205,IMPORTRANGE(""https://docs.google.com/spreadsheets/d/14Bd19lYaqBhU8_DElYkX7l4wRkHqqCUFNJY4AfY3kHU/edit?usp=sharing  #gid=0"",""фіз особи new!relations_name""),6,FALSE)
,
(IF
(
C10205=""юридична особа""
,
VLOO"&amp;"KUP(D10205,IMPORTRANGE(""https://docs.google.com/spreadsheets/d/14Bd19lYaqBhU8_DElYkX7l4wRkHqqCUFNJY4AfY3kHU/edit?usp=sharing  #gid=0"",""фіз особи new!relations_name_uo""),7,FALSE)
,
)
))"),"ДАЦЮК Вадим Петрович")</f>
        <v>ДАЦЮК Вадим Петрович</v>
      </c>
      <c r="G10204" s="7" t="s">
        <v>10</v>
      </c>
      <c r="H10204" s="7">
        <v>23590</v>
      </c>
      <c r="I10204" s="8" t="str">
        <f ca="1">IFERROR(__xludf.DUMMYFUNCTION("IF
(
G10205=""фізична особа""
,
VLOOKUP(H10205,IMPORTRANGE(""https://docs.google.com/spreadsheets/d/14Bd19lYaqBhU8_DElYkX7l4wRkHqqCUFNJY4AfY3kHU/edit?usp=sharing  #gid=0"",""фіз особи new!relations_name""),6,FALSE)
,
(IF
(
G10205=""юридична особа""
,
VLOO"&amp;"KUP(H10205,IMPORTRANGE(""https://docs.google.com/spreadsheets/d/14Bd19lYaqBhU8_DElYkX7l4wRkHqqCUFNJY4AfY3kHU/edit?usp=sharing  #gid=0"",""фіз особи new!relations_name_uo""),7,FALSE)
,
)
))"),"КОНОНОВА Юлія Сергіївна")</f>
        <v>КОНОНОВА Юлія Сергіївна</v>
      </c>
      <c r="J10204" s="7" t="s">
        <v>29</v>
      </c>
    </row>
    <row r="10205" spans="1:10" ht="13.2">
      <c r="A10205" s="7">
        <v>10204</v>
      </c>
      <c r="B10205" s="7">
        <v>1</v>
      </c>
      <c r="C10205" s="7" t="s">
        <v>10</v>
      </c>
      <c r="D10205" s="7">
        <v>12489</v>
      </c>
      <c r="E10205" s="7" t="s">
        <v>17</v>
      </c>
      <c r="F10205" s="8" t="str">
        <f ca="1">IFERROR(__xludf.DUMMYFUNCTION("IF
(
C10206=""фізична особа""
,
VLOOKUP(D10206,IMPORTRANGE(""https://docs.google.com/spreadsheets/d/14Bd19lYaqBhU8_DElYkX7l4wRkHqqCUFNJY4AfY3kHU/edit?usp=sharing  #gid=0"",""фіз особи new!relations_name""),6,FALSE)
,
(IF
(
C10206=""юридична особа""
,
VLOO"&amp;"KUP(D10206,IMPORTRANGE(""https://docs.google.com/spreadsheets/d/14Bd19lYaqBhU8_DElYkX7l4wRkHqqCUFNJY4AfY3kHU/edit?usp=sharing  #gid=0"",""фіз особи new!relations_name_uo""),7,FALSE)
,
)
))"),"ДАЦЮК Вадим Петрович")</f>
        <v>ДАЦЮК Вадим Петрович</v>
      </c>
      <c r="G10205" s="7" t="s">
        <v>10</v>
      </c>
      <c r="H10205" s="7">
        <v>0</v>
      </c>
      <c r="I10205" s="8" t="str">
        <f ca="1">IFERROR(__xludf.DUMMYFUNCTION("IF
(
G10206=""фізична особа""
,
VLOOKUP(H10206,IMPORTRANGE(""https://docs.google.com/spreadsheets/d/14Bd19lYaqBhU8_DElYkX7l4wRkHqqCUFNJY4AfY3kHU/edit?usp=sharing  #gid=0"",""фіз особи new!relations_name""),6,FALSE)
,
(IF
(
G10206=""юридична особа""
,
VLOO"&amp;"KUP(H10206,IMPORTRANGE(""https://docs.google.com/spreadsheets/d/14Bd19lYaqBhU8_DElYkX7l4wRkHqqCUFNJY4AfY3kHU/edit?usp=sharing  #gid=0"",""фіз особи new!relations_name_uo""),7,FALSE)
,
)
))"),"#N/A")</f>
        <v>#N/A</v>
      </c>
      <c r="J10205" s="7" t="s">
        <v>21</v>
      </c>
    </row>
    <row r="10206" spans="1:10" ht="13.2">
      <c r="A10206" s="7">
        <v>10205</v>
      </c>
      <c r="B10206" s="7">
        <v>1</v>
      </c>
      <c r="C10206" s="7" t="s">
        <v>10</v>
      </c>
      <c r="D10206" s="7">
        <v>12490</v>
      </c>
      <c r="E10206" s="7" t="s">
        <v>28</v>
      </c>
      <c r="F10206" s="8" t="str">
        <f ca="1">IFERROR(__xludf.DUMMYFUNCTION("IF
(
C10207=""фізична особа""
,
VLOOKUP(D10207,IMPORTRANGE(""https://docs.google.com/spreadsheets/d/14Bd19lYaqBhU8_DElYkX7l4wRkHqqCUFNJY4AfY3kHU/edit?usp=sharing  #gid=0"",""фіз особи new!relations_name""),6,FALSE)
,
(IF
(
C10207=""юридична особа""
,
VLOO"&amp;"KUP(D10207,IMPORTRANGE(""https://docs.google.com/spreadsheets/d/14Bd19lYaqBhU8_DElYkX7l4wRkHqqCUFNJY4AfY3kHU/edit?usp=sharing  #gid=0"",""фіз особи new!relations_name_uo""),7,FALSE)
,
)
))"),"СМІРНОВ Сергій Григорович")</f>
        <v>СМІРНОВ Сергій Григорович</v>
      </c>
      <c r="G10206" s="7" t="s">
        <v>10</v>
      </c>
      <c r="H10206" s="7">
        <v>23590</v>
      </c>
      <c r="I10206" s="8" t="str">
        <f ca="1">IFERROR(__xludf.DUMMYFUNCTION("IF
(
G10207=""фізична особа""
,
VLOOKUP(H10207,IMPORTRANGE(""https://docs.google.com/spreadsheets/d/14Bd19lYaqBhU8_DElYkX7l4wRkHqqCUFNJY4AfY3kHU/edit?usp=sharing  #gid=0"",""фіз особи new!relations_name""),6,FALSE)
,
(IF
(
G10207=""юридична особа""
,
VLOO"&amp;"KUP(H10207,IMPORTRANGE(""https://docs.google.com/spreadsheets/d/14Bd19lYaqBhU8_DElYkX7l4wRkHqqCUFNJY4AfY3kHU/edit?usp=sharing  #gid=0"",""фіз особи new!relations_name_uo""),7,FALSE)
,
)
))"),"КОНОНОВА Юлія Сергіївна")</f>
        <v>КОНОНОВА Юлія Сергіївна</v>
      </c>
      <c r="J10206" s="7" t="s">
        <v>29</v>
      </c>
    </row>
    <row r="10207" spans="1:10" ht="13.2">
      <c r="A10207" s="7">
        <v>10206</v>
      </c>
      <c r="B10207" s="7">
        <v>1</v>
      </c>
      <c r="C10207" s="7" t="s">
        <v>10</v>
      </c>
      <c r="D10207" s="7">
        <v>12491</v>
      </c>
      <c r="E10207" s="7" t="s">
        <v>28</v>
      </c>
      <c r="F10207" s="8" t="str">
        <f ca="1">IFERROR(__xludf.DUMMYFUNCTION("IF
(
C10208=""фізична особа""
,
VLOOKUP(D10208,IMPORTRANGE(""https://docs.google.com/spreadsheets/d/14Bd19lYaqBhU8_DElYkX7l4wRkHqqCUFNJY4AfY3kHU/edit?usp=sharing  #gid=0"",""фіз особи new!relations_name""),6,FALSE)
,
(IF
(
C10208=""юридична особа""
,
VLOO"&amp;"KUP(D10208,IMPORTRANGE(""https://docs.google.com/spreadsheets/d/14Bd19lYaqBhU8_DElYkX7l4wRkHqqCUFNJY4AfY3kHU/edit?usp=sharing  #gid=0"",""фіз особи new!relations_name_uo""),7,FALSE)
,
)
))"),"СИНІЦИНА Оксана Володимирівна")</f>
        <v>СИНІЦИНА Оксана Володимирівна</v>
      </c>
      <c r="G10207" s="7" t="s">
        <v>10</v>
      </c>
      <c r="H10207" s="7">
        <v>23590</v>
      </c>
      <c r="I10207" s="8" t="str">
        <f ca="1">IFERROR(__xludf.DUMMYFUNCTION("IF
(
G10208=""фізична особа""
,
VLOOKUP(H10208,IMPORTRANGE(""https://docs.google.com/spreadsheets/d/14Bd19lYaqBhU8_DElYkX7l4wRkHqqCUFNJY4AfY3kHU/edit?usp=sharing  #gid=0"",""фіз особи new!relations_name""),6,FALSE)
,
(IF
(
G10208=""юридична особа""
,
VLOO"&amp;"KUP(H10208,IMPORTRANGE(""https://docs.google.com/spreadsheets/d/14Bd19lYaqBhU8_DElYkX7l4wRkHqqCUFNJY4AfY3kHU/edit?usp=sharing  #gid=0"",""фіз особи new!relations_name_uo""),7,FALSE)
,
)
))"),"КОНОНОВА Юлія Сергіївна")</f>
        <v>КОНОНОВА Юлія Сергіївна</v>
      </c>
      <c r="J10207" s="7" t="s">
        <v>29</v>
      </c>
    </row>
    <row r="10208" spans="1:10" ht="13.2">
      <c r="A10208" s="7">
        <v>10207</v>
      </c>
      <c r="B10208" s="7">
        <v>1</v>
      </c>
      <c r="C10208" s="7" t="s">
        <v>10</v>
      </c>
      <c r="D10208" s="7">
        <v>12492</v>
      </c>
      <c r="E10208" s="7" t="s">
        <v>28</v>
      </c>
      <c r="F10208" s="8" t="str">
        <f ca="1">IFERROR(__xludf.DUMMYFUNCTION("IF
(
C10209=""фізична особа""
,
VLOOKUP(D10209,IMPORTRANGE(""https://docs.google.com/spreadsheets/d/14Bd19lYaqBhU8_DElYkX7l4wRkHqqCUFNJY4AfY3kHU/edit?usp=sharing  #gid=0"",""фіз особи new!relations_name""),6,FALSE)
,
(IF
(
C10209=""юридична особа""
,
VLOO"&amp;"KUP(D10209,IMPORTRANGE(""https://docs.google.com/spreadsheets/d/14Bd19lYaqBhU8_DElYkX7l4wRkHqqCUFNJY4AfY3kHU/edit?usp=sharing  #gid=0"",""фіз особи new!relations_name_uo""),7,FALSE)
,
)
))"),"КУЗОВЛЄВА Ірина Сергіївна")</f>
        <v>КУЗОВЛЄВА Ірина Сергіївна</v>
      </c>
      <c r="G10208" s="7" t="s">
        <v>10</v>
      </c>
      <c r="H10208" s="7">
        <v>23591</v>
      </c>
      <c r="I10208" s="8" t="str">
        <f ca="1">IFERROR(__xludf.DUMMYFUNCTION("IF
(
G10209=""фізична особа""
,
VLOOKUP(H10209,IMPORTRANGE(""https://docs.google.com/spreadsheets/d/14Bd19lYaqBhU8_DElYkX7l4wRkHqqCUFNJY4AfY3kHU/edit?usp=sharing  #gid=0"",""фіз особи new!relations_name""),6,FALSE)
,
(IF
(
G10209=""юридична особа""
,
VLOO"&amp;"KUP(H10209,IMPORTRANGE(""https://docs.google.com/spreadsheets/d/14Bd19lYaqBhU8_DElYkX7l4wRkHqqCUFNJY4AfY3kHU/edit?usp=sharing  #gid=0"",""фіз особи new!relations_name_uo""),7,FALSE)
,
)
))"),"ЕЛЬЗЕССЕР Володимир Володимирович")</f>
        <v>ЕЛЬЗЕССЕР Володимир Володимирович</v>
      </c>
      <c r="J10208" s="7" t="s">
        <v>29</v>
      </c>
    </row>
    <row r="10209" spans="1:10" ht="13.2">
      <c r="A10209" s="7">
        <v>10208</v>
      </c>
      <c r="B10209" s="7">
        <v>1</v>
      </c>
      <c r="C10209" s="7" t="s">
        <v>10</v>
      </c>
      <c r="D10209" s="7">
        <v>12493</v>
      </c>
      <c r="E10209" s="7" t="s">
        <v>28</v>
      </c>
      <c r="F10209" s="8" t="str">
        <f ca="1">IFERROR(__xludf.DUMMYFUNCTION("IF
(
C10210=""фізична особа""
,
VLOOKUP(D10210,IMPORTRANGE(""https://docs.google.com/spreadsheets/d/14Bd19lYaqBhU8_DElYkX7l4wRkHqqCUFNJY4AfY3kHU/edit?usp=sharing  #gid=0"",""фіз особи new!relations_name""),6,FALSE)
,
(IF
(
C10210=""юридична особа""
,
VLOO"&amp;"KUP(D10210,IMPORTRANGE(""https://docs.google.com/spreadsheets/d/14Bd19lYaqBhU8_DElYkX7l4wRkHqqCUFNJY4AfY3kHU/edit?usp=sharing  #gid=0"",""фіз особи new!relations_name_uo""),7,FALSE)
,
)
))"),"КУЛІНІЧ Дмитро Миколайович")</f>
        <v>КУЛІНІЧ Дмитро Миколайович</v>
      </c>
      <c r="G10209" s="7" t="s">
        <v>10</v>
      </c>
      <c r="H10209" s="7">
        <v>23591</v>
      </c>
      <c r="I10209" s="8" t="str">
        <f ca="1">IFERROR(__xludf.DUMMYFUNCTION("IF
(
G10210=""фізична особа""
,
VLOOKUP(H10210,IMPORTRANGE(""https://docs.google.com/spreadsheets/d/14Bd19lYaqBhU8_DElYkX7l4wRkHqqCUFNJY4AfY3kHU/edit?usp=sharing  #gid=0"",""фіз особи new!relations_name""),6,FALSE)
,
(IF
(
G10210=""юридична особа""
,
VLOO"&amp;"KUP(H10210,IMPORTRANGE(""https://docs.google.com/spreadsheets/d/14Bd19lYaqBhU8_DElYkX7l4wRkHqqCUFNJY4AfY3kHU/edit?usp=sharing  #gid=0"",""фіз особи new!relations_name_uo""),7,FALSE)
,
)
))"),"ЕЛЬЗЕССЕР Володимир Володимирович")</f>
        <v>ЕЛЬЗЕССЕР Володимир Володимирович</v>
      </c>
      <c r="J10209" s="7" t="s">
        <v>29</v>
      </c>
    </row>
    <row r="10210" spans="1:10" ht="13.2">
      <c r="A10210" s="7">
        <v>10209</v>
      </c>
      <c r="B10210" s="7">
        <v>1</v>
      </c>
      <c r="C10210" s="7" t="s">
        <v>10</v>
      </c>
      <c r="D10210" s="7">
        <v>12495</v>
      </c>
      <c r="E10210" s="7" t="s">
        <v>28</v>
      </c>
      <c r="F10210" s="8" t="str">
        <f ca="1">IFERROR(__xludf.DUMMYFUNCTION("IF
(
C10211=""фізична особа""
,
VLOOKUP(D10211,IMPORTRANGE(""https://docs.google.com/spreadsheets/d/14Bd19lYaqBhU8_DElYkX7l4wRkHqqCUFNJY4AfY3kHU/edit?usp=sharing  #gid=0"",""фіз особи new!relations_name""),6,FALSE)
,
(IF
(
C10211=""юридична особа""
,
VLOO"&amp;"KUP(D10211,IMPORTRANGE(""https://docs.google.com/spreadsheets/d/14Bd19lYaqBhU8_DElYkX7l4wRkHqqCUFNJY4AfY3kHU/edit?usp=sharing  #gid=0"",""фіз особи new!relations_name_uo""),7,FALSE)
,
)
))"),"ТИХОНОВ Віктор Олександрович")</f>
        <v>ТИХОНОВ Віктор Олександрович</v>
      </c>
      <c r="G10210" s="7" t="s">
        <v>10</v>
      </c>
      <c r="H10210" s="7">
        <v>12455</v>
      </c>
      <c r="I10210" s="8" t="str">
        <f ca="1">IFERROR(__xludf.DUMMYFUNCTION("IF
(
G10211=""фізична особа""
,
VLOOKUP(H10211,IMPORTRANGE(""https://docs.google.com/spreadsheets/d/14Bd19lYaqBhU8_DElYkX7l4wRkHqqCUFNJY4AfY3kHU/edit?usp=sharing  #gid=0"",""фіз особи new!relations_name""),6,FALSE)
,
(IF
(
G10211=""юридична особа""
,
VLOO"&amp;"KUP(H10211,IMPORTRANGE(""https://docs.google.com/spreadsheets/d/14Bd19lYaqBhU8_DElYkX7l4wRkHqqCUFNJY4AfY3kHU/edit?usp=sharing  #gid=0"",""фіз особи new!relations_name_uo""),7,FALSE)
,
)
))"),"ПИЛЬЦИНА Ірина Олександрівна")</f>
        <v>ПИЛЬЦИНА Ірина Олександрівна</v>
      </c>
      <c r="J10210" s="7" t="s">
        <v>102</v>
      </c>
    </row>
    <row r="10211" spans="1:10" ht="13.2">
      <c r="A10211" s="7">
        <v>10210</v>
      </c>
      <c r="B10211" s="7">
        <v>1</v>
      </c>
      <c r="C10211" s="7" t="s">
        <v>10</v>
      </c>
      <c r="D10211" s="7">
        <v>12496</v>
      </c>
      <c r="E10211" s="7" t="s">
        <v>28</v>
      </c>
      <c r="F10211" s="8" t="str">
        <f ca="1">IFERROR(__xludf.DUMMYFUNCTION("IF
(
C10212=""фізична особа""
,
VLOOKUP(D10212,IMPORTRANGE(""https://docs.google.com/spreadsheets/d/14Bd19lYaqBhU8_DElYkX7l4wRkHqqCUFNJY4AfY3kHU/edit?usp=sharing  #gid=0"",""фіз особи new!relations_name""),6,FALSE)
,
(IF
(
C10212=""юридична особа""
,
VLOO"&amp;"KUP(D10212,IMPORTRANGE(""https://docs.google.com/spreadsheets/d/14Bd19lYaqBhU8_DElYkX7l4wRkHqqCUFNJY4AfY3kHU/edit?usp=sharing  #gid=0"",""фіз особи new!relations_name_uo""),7,FALSE)
,
)
))"),"ПРОНЯКІН Микола Васильович")</f>
        <v>ПРОНЯКІН Микола Васильович</v>
      </c>
      <c r="G10211" s="7" t="s">
        <v>10</v>
      </c>
      <c r="H10211" s="7">
        <v>12455</v>
      </c>
      <c r="I10211" s="8" t="str">
        <f ca="1">IFERROR(__xludf.DUMMYFUNCTION("IF
(
G10212=""фізична особа""
,
VLOOKUP(H10212,IMPORTRANGE(""https://docs.google.com/spreadsheets/d/14Bd19lYaqBhU8_DElYkX7l4wRkHqqCUFNJY4AfY3kHU/edit?usp=sharing  #gid=0"",""фіз особи new!relations_name""),6,FALSE)
,
(IF
(
G10212=""юридична особа""
,
VLOO"&amp;"KUP(H10212,IMPORTRANGE(""https://docs.google.com/spreadsheets/d/14Bd19lYaqBhU8_DElYkX7l4wRkHqqCUFNJY4AfY3kHU/edit?usp=sharing  #gid=0"",""фіз особи new!relations_name_uo""),7,FALSE)
,
)
))"),"ПИЛЬЦИНА Ірина Олександрівна")</f>
        <v>ПИЛЬЦИНА Ірина Олександрівна</v>
      </c>
      <c r="J10211" s="7" t="s">
        <v>102</v>
      </c>
    </row>
    <row r="10212" spans="1:10" ht="13.2">
      <c r="A10212" s="7">
        <v>10211</v>
      </c>
      <c r="B10212" s="7">
        <v>1</v>
      </c>
      <c r="C10212" s="7" t="s">
        <v>10</v>
      </c>
      <c r="D10212" s="7">
        <v>12497</v>
      </c>
      <c r="E10212" s="7" t="s">
        <v>28</v>
      </c>
      <c r="F10212" s="8" t="str">
        <f ca="1">IFERROR(__xludf.DUMMYFUNCTION("IF
(
C10213=""фізична особа""
,
VLOOKUP(D10213,IMPORTRANGE(""https://docs.google.com/spreadsheets/d/14Bd19lYaqBhU8_DElYkX7l4wRkHqqCUFNJY4AfY3kHU/edit?usp=sharing  #gid=0"",""фіз особи new!relations_name""),6,FALSE)
,
(IF
(
C10213=""юридична особа""
,
VLOO"&amp;"KUP(D10213,IMPORTRANGE(""https://docs.google.com/spreadsheets/d/14Bd19lYaqBhU8_DElYkX7l4wRkHqqCUFNJY4AfY3kHU/edit?usp=sharing  #gid=0"",""фіз особи new!relations_name_uo""),7,FALSE)
,
)
))"),"ПОЛЕВЩИКОВ Олексій Володимирович")</f>
        <v>ПОЛЕВЩИКОВ Олексій Володимирович</v>
      </c>
      <c r="G10212" s="7" t="s">
        <v>10</v>
      </c>
      <c r="H10212" s="7">
        <v>0</v>
      </c>
      <c r="I10212" s="8" t="str">
        <f ca="1">IFERROR(__xludf.DUMMYFUNCTION("IF
(
G10213=""фізична особа""
,
VLOOKUP(H10213,IMPORTRANGE(""https://docs.google.com/spreadsheets/d/14Bd19lYaqBhU8_DElYkX7l4wRkHqqCUFNJY4AfY3kHU/edit?usp=sharing  #gid=0"",""фіз особи new!relations_name""),6,FALSE)
,
(IF
(
G10213=""юридична особа""
,
VLOO"&amp;"KUP(H10213,IMPORTRANGE(""https://docs.google.com/spreadsheets/d/14Bd19lYaqBhU8_DElYkX7l4wRkHqqCUFNJY4AfY3kHU/edit?usp=sharing  #gid=0"",""фіз особи new!relations_name_uo""),7,FALSE)
,
)
))"),"#N/A")</f>
        <v>#N/A</v>
      </c>
      <c r="J10212" s="7" t="s">
        <v>29</v>
      </c>
    </row>
    <row r="10213" spans="1:10" ht="13.2">
      <c r="A10213" s="7">
        <v>10212</v>
      </c>
      <c r="B10213" s="7">
        <v>1</v>
      </c>
      <c r="C10213" s="7" t="s">
        <v>10</v>
      </c>
      <c r="D10213" s="7">
        <v>12498</v>
      </c>
      <c r="E10213" s="7" t="s">
        <v>28</v>
      </c>
      <c r="F10213" s="8" t="str">
        <f ca="1">IFERROR(__xludf.DUMMYFUNCTION("IF
(
C10214=""фізична особа""
,
VLOOKUP(D10214,IMPORTRANGE(""https://docs.google.com/spreadsheets/d/14Bd19lYaqBhU8_DElYkX7l4wRkHqqCUFNJY4AfY3kHU/edit?usp=sharing  #gid=0"",""фіз особи new!relations_name""),6,FALSE)
,
(IF
(
C10214=""юридична особа""
,
VLOO"&amp;"KUP(D10214,IMPORTRANGE(""https://docs.google.com/spreadsheets/d/14Bd19lYaqBhU8_DElYkX7l4wRkHqqCUFNJY4AfY3kHU/edit?usp=sharing  #gid=0"",""фіз особи new!relations_name_uo""),7,FALSE)
,
)
))"),"ФАЗЛІЄВА Ольга Фагімівна")</f>
        <v>ФАЗЛІЄВА Ольга Фагімівна</v>
      </c>
      <c r="G10213" s="7" t="s">
        <v>10</v>
      </c>
      <c r="H10213" s="7">
        <v>0</v>
      </c>
      <c r="I10213" s="8" t="str">
        <f ca="1">IFERROR(__xludf.DUMMYFUNCTION("IF
(
G10214=""фізична особа""
,
VLOOKUP(H10214,IMPORTRANGE(""https://docs.google.com/spreadsheets/d/14Bd19lYaqBhU8_DElYkX7l4wRkHqqCUFNJY4AfY3kHU/edit?usp=sharing  #gid=0"",""фіз особи new!relations_name""),6,FALSE)
,
(IF
(
G10214=""юридична особа""
,
VLOO"&amp;"KUP(H10214,IMPORTRANGE(""https://docs.google.com/spreadsheets/d/14Bd19lYaqBhU8_DElYkX7l4wRkHqqCUFNJY4AfY3kHU/edit?usp=sharing  #gid=0"",""фіз особи new!relations_name_uo""),7,FALSE)
,
)
))"),"#N/A")</f>
        <v>#N/A</v>
      </c>
      <c r="J10213" s="7" t="s">
        <v>29</v>
      </c>
    </row>
    <row r="10214" spans="1:10" ht="13.2">
      <c r="A10214" s="7">
        <v>10213</v>
      </c>
      <c r="B10214" s="7">
        <v>1</v>
      </c>
      <c r="C10214" s="7" t="s">
        <v>10</v>
      </c>
      <c r="D10214" s="7">
        <v>12499</v>
      </c>
      <c r="E10214" s="7" t="s">
        <v>28</v>
      </c>
      <c r="F10214" s="8" t="str">
        <f ca="1">IFERROR(__xludf.DUMMYFUNCTION("IF
(
C10215=""фізична особа""
,
VLOOKUP(D10215,IMPORTRANGE(""https://docs.google.com/spreadsheets/d/14Bd19lYaqBhU8_DElYkX7l4wRkHqqCUFNJY4AfY3kHU/edit?usp=sharing  #gid=0"",""фіз особи new!relations_name""),6,FALSE)
,
(IF
(
C10215=""юридична особа""
,
VLOO"&amp;"KUP(D10215,IMPORTRANGE(""https://docs.google.com/spreadsheets/d/14Bd19lYaqBhU8_DElYkX7l4wRkHqqCUFNJY4AfY3kHU/edit?usp=sharing  #gid=0"",""фіз особи new!relations_name_uo""),7,FALSE)
,
)
))"),"САВЕЛЬЄВА Людмила Анатоліївна")</f>
        <v>САВЕЛЬЄВА Людмила Анатоліївна</v>
      </c>
      <c r="G10214" s="7" t="s">
        <v>10</v>
      </c>
      <c r="H10214" s="7">
        <v>0</v>
      </c>
      <c r="I10214" s="8" t="str">
        <f ca="1">IFERROR(__xludf.DUMMYFUNCTION("IF
(
G10215=""фізична особа""
,
VLOOKUP(H10215,IMPORTRANGE(""https://docs.google.com/spreadsheets/d/14Bd19lYaqBhU8_DElYkX7l4wRkHqqCUFNJY4AfY3kHU/edit?usp=sharing  #gid=0"",""фіз особи new!relations_name""),6,FALSE)
,
(IF
(
G10215=""юридична особа""
,
VLOO"&amp;"KUP(H10215,IMPORTRANGE(""https://docs.google.com/spreadsheets/d/14Bd19lYaqBhU8_DElYkX7l4wRkHqqCUFNJY4AfY3kHU/edit?usp=sharing  #gid=0"",""фіз особи new!relations_name_uo""),7,FALSE)
,
)
))"),"#N/A")</f>
        <v>#N/A</v>
      </c>
      <c r="J10214" s="7" t="s">
        <v>29</v>
      </c>
    </row>
    <row r="10215" spans="1:10" ht="13.2">
      <c r="A10215" s="7">
        <v>10214</v>
      </c>
      <c r="B10215" s="7">
        <v>1</v>
      </c>
      <c r="C10215" s="7" t="s">
        <v>10</v>
      </c>
      <c r="D10215" s="7">
        <v>12501</v>
      </c>
      <c r="E10215" s="7" t="s">
        <v>28</v>
      </c>
      <c r="F10215" s="8" t="str">
        <f ca="1">IFERROR(__xludf.DUMMYFUNCTION("IF
(
C10216=""фізична особа""
,
VLOOKUP(D10216,IMPORTRANGE(""https://docs.google.com/spreadsheets/d/14Bd19lYaqBhU8_DElYkX7l4wRkHqqCUFNJY4AfY3kHU/edit?usp=sharing  #gid=0"",""фіз особи new!relations_name""),6,FALSE)
,
(IF
(
C10216=""юридична особа""
,
VLOO"&amp;"KUP(D10216,IMPORTRANGE(""https://docs.google.com/spreadsheets/d/14Bd19lYaqBhU8_DElYkX7l4wRkHqqCUFNJY4AfY3kHU/edit?usp=sharing  #gid=0"",""фіз особи new!relations_name_uo""),7,FALSE)
,
)
))"),"ШАТАЛОВА Олеся Юріївна")</f>
        <v>ШАТАЛОВА Олеся Юріївна</v>
      </c>
      <c r="G10215" s="7" t="s">
        <v>10</v>
      </c>
      <c r="H10215" s="7">
        <v>0</v>
      </c>
      <c r="I10215" s="8" t="str">
        <f ca="1">IFERROR(__xludf.DUMMYFUNCTION("IF
(
G10216=""фізична особа""
,
VLOOKUP(H10216,IMPORTRANGE(""https://docs.google.com/spreadsheets/d/14Bd19lYaqBhU8_DElYkX7l4wRkHqqCUFNJY4AfY3kHU/edit?usp=sharing  #gid=0"",""фіз особи new!relations_name""),6,FALSE)
,
(IF
(
G10216=""юридична особа""
,
VLOO"&amp;"KUP(H10216,IMPORTRANGE(""https://docs.google.com/spreadsheets/d/14Bd19lYaqBhU8_DElYkX7l4wRkHqqCUFNJY4AfY3kHU/edit?usp=sharing  #gid=0"",""фіз особи new!relations_name_uo""),7,FALSE)
,
)
))"),"#N/A")</f>
        <v>#N/A</v>
      </c>
      <c r="J10215" s="7" t="s">
        <v>29</v>
      </c>
    </row>
    <row r="10216" spans="1:10" ht="13.2">
      <c r="A10216" s="7">
        <v>10215</v>
      </c>
      <c r="B10216" s="7">
        <v>1</v>
      </c>
      <c r="C10216" s="7" t="s">
        <v>10</v>
      </c>
      <c r="D10216" s="7">
        <v>12502</v>
      </c>
      <c r="E10216" s="7" t="s">
        <v>28</v>
      </c>
      <c r="F10216" s="8" t="str">
        <f ca="1">IFERROR(__xludf.DUMMYFUNCTION("IF
(
C10217=""фізична особа""
,
VLOOKUP(D10217,IMPORTRANGE(""https://docs.google.com/spreadsheets/d/14Bd19lYaqBhU8_DElYkX7l4wRkHqqCUFNJY4AfY3kHU/edit?usp=sharing  #gid=0"",""фіз особи new!relations_name""),6,FALSE)
,
(IF
(
C10217=""юридична особа""
,
VLOO"&amp;"KUP(D10217,IMPORTRANGE(""https://docs.google.com/spreadsheets/d/14Bd19lYaqBhU8_DElYkX7l4wRkHqqCUFNJY4AfY3kHU/edit?usp=sharing  #gid=0"",""фіз особи new!relations_name_uo""),7,FALSE)
,
)
))"),"РАМАЗАНОВА Ірина Ігорівна")</f>
        <v>РАМАЗАНОВА Ірина Ігорівна</v>
      </c>
      <c r="G10216" s="7" t="s">
        <v>10</v>
      </c>
      <c r="H10216" s="7">
        <v>0</v>
      </c>
      <c r="I10216" s="8" t="str">
        <f ca="1">IFERROR(__xludf.DUMMYFUNCTION("IF
(
G10217=""фізична особа""
,
VLOOKUP(H10217,IMPORTRANGE(""https://docs.google.com/spreadsheets/d/14Bd19lYaqBhU8_DElYkX7l4wRkHqqCUFNJY4AfY3kHU/edit?usp=sharing  #gid=0"",""фіз особи new!relations_name""),6,FALSE)
,
(IF
(
G10217=""юридична особа""
,
VLOO"&amp;"KUP(H10217,IMPORTRANGE(""https://docs.google.com/spreadsheets/d/14Bd19lYaqBhU8_DElYkX7l4wRkHqqCUFNJY4AfY3kHU/edit?usp=sharing  #gid=0"",""фіз особи new!relations_name_uo""),7,FALSE)
,
)
))"),"#N/A")</f>
        <v>#N/A</v>
      </c>
      <c r="J10216" s="7" t="s">
        <v>29</v>
      </c>
    </row>
    <row r="10217" spans="1:10" ht="13.2">
      <c r="A10217" s="7">
        <v>10216</v>
      </c>
      <c r="B10217" s="7">
        <v>1</v>
      </c>
      <c r="C10217" s="7" t="s">
        <v>10</v>
      </c>
      <c r="D10217" s="7">
        <v>12503</v>
      </c>
      <c r="E10217" s="7" t="s">
        <v>28</v>
      </c>
      <c r="F10217" s="8" t="str">
        <f ca="1">IFERROR(__xludf.DUMMYFUNCTION("IF
(
C10218=""фізична особа""
,
VLOOKUP(D10218,IMPORTRANGE(""https://docs.google.com/spreadsheets/d/14Bd19lYaqBhU8_DElYkX7l4wRkHqqCUFNJY4AfY3kHU/edit?usp=sharing  #gid=0"",""фіз особи new!relations_name""),6,FALSE)
,
(IF
(
C10218=""юридична особа""
,
VLOO"&amp;"KUP(D10218,IMPORTRANGE(""https://docs.google.com/spreadsheets/d/14Bd19lYaqBhU8_DElYkX7l4wRkHqqCUFNJY4AfY3kHU/edit?usp=sharing  #gid=0"",""фіз особи new!relations_name_uo""),7,FALSE)
,
)
))"),"ПУШКАР Надія Арнольдівна")</f>
        <v>ПУШКАР Надія Арнольдівна</v>
      </c>
      <c r="G10217" s="7" t="s">
        <v>10</v>
      </c>
      <c r="H10217" s="7">
        <v>23592</v>
      </c>
      <c r="I10217" s="8" t="str">
        <f ca="1">IFERROR(__xludf.DUMMYFUNCTION("IF
(
G10218=""фізична особа""
,
VLOOKUP(H10218,IMPORTRANGE(""https://docs.google.com/spreadsheets/d/14Bd19lYaqBhU8_DElYkX7l4wRkHqqCUFNJY4AfY3kHU/edit?usp=sharing  #gid=0"",""фіз особи new!relations_name""),6,FALSE)
,
(IF
(
G10218=""юридична особа""
,
VLOO"&amp;"KUP(H10218,IMPORTRANGE(""https://docs.google.com/spreadsheets/d/14Bd19lYaqBhU8_DElYkX7l4wRkHqqCUFNJY4AfY3kHU/edit?usp=sharing  #gid=0"",""фіз особи new!relations_name_uo""),7,FALSE)
,
)
))"),"СЕНИЧЕВА Ганна Миколаївна")</f>
        <v>СЕНИЧЕВА Ганна Миколаївна</v>
      </c>
      <c r="J10217" s="7" t="s">
        <v>29</v>
      </c>
    </row>
    <row r="10218" spans="1:10" ht="13.2">
      <c r="A10218" s="7">
        <v>10217</v>
      </c>
      <c r="B10218" s="7">
        <v>1</v>
      </c>
      <c r="C10218" s="7" t="s">
        <v>10</v>
      </c>
      <c r="D10218" s="7">
        <v>12504</v>
      </c>
      <c r="E10218" s="7" t="s">
        <v>28</v>
      </c>
      <c r="F10218" s="8" t="str">
        <f ca="1">IFERROR(__xludf.DUMMYFUNCTION("IF
(
C10219=""фізична особа""
,
VLOOKUP(D10219,IMPORTRANGE(""https://docs.google.com/spreadsheets/d/14Bd19lYaqBhU8_DElYkX7l4wRkHqqCUFNJY4AfY3kHU/edit?usp=sharing  #gid=0"",""фіз особи new!relations_name""),6,FALSE)
,
(IF
(
C10219=""юридична особа""
,
VLOO"&amp;"KUP(D10219,IMPORTRANGE(""https://docs.google.com/spreadsheets/d/14Bd19lYaqBhU8_DElYkX7l4wRkHqqCUFNJY4AfY3kHU/edit?usp=sharing  #gid=0"",""фіз особи new!relations_name_uo""),7,FALSE)
,
)
))"),"СИДОРОВА Катерина Олександрівна")</f>
        <v>СИДОРОВА Катерина Олександрівна</v>
      </c>
      <c r="G10218" s="7" t="s">
        <v>10</v>
      </c>
      <c r="H10218" s="7">
        <v>23592</v>
      </c>
      <c r="I10218" s="8" t="str">
        <f ca="1">IFERROR(__xludf.DUMMYFUNCTION("IF
(
G10219=""фізична особа""
,
VLOOKUP(H10219,IMPORTRANGE(""https://docs.google.com/spreadsheets/d/14Bd19lYaqBhU8_DElYkX7l4wRkHqqCUFNJY4AfY3kHU/edit?usp=sharing  #gid=0"",""фіз особи new!relations_name""),6,FALSE)
,
(IF
(
G10219=""юридична особа""
,
VLOO"&amp;"KUP(H10219,IMPORTRANGE(""https://docs.google.com/spreadsheets/d/14Bd19lYaqBhU8_DElYkX7l4wRkHqqCUFNJY4AfY3kHU/edit?usp=sharing  #gid=0"",""фіз особи new!relations_name_uo""),7,FALSE)
,
)
))"),"СЕНИЧЕВА Ганна Миколаївна")</f>
        <v>СЕНИЧЕВА Ганна Миколаївна</v>
      </c>
      <c r="J10218" s="7" t="s">
        <v>29</v>
      </c>
    </row>
    <row r="10219" spans="1:10" ht="13.2">
      <c r="A10219" s="7">
        <v>10218</v>
      </c>
      <c r="B10219" s="7">
        <v>1</v>
      </c>
      <c r="C10219" s="7" t="s">
        <v>10</v>
      </c>
      <c r="D10219" s="7">
        <v>12505</v>
      </c>
      <c r="E10219" s="7" t="s">
        <v>28</v>
      </c>
      <c r="F10219" s="8" t="str">
        <f ca="1">IFERROR(__xludf.DUMMYFUNCTION("IF
(
C10220=""фізична особа""
,
VLOOKUP(D10220,IMPORTRANGE(""https://docs.google.com/spreadsheets/d/14Bd19lYaqBhU8_DElYkX7l4wRkHqqCUFNJY4AfY3kHU/edit?usp=sharing  #gid=0"",""фіз особи new!relations_name""),6,FALSE)
,
(IF
(
C10220=""юридична особа""
,
VLOO"&amp;"KUP(D10220,IMPORTRANGE(""https://docs.google.com/spreadsheets/d/14Bd19lYaqBhU8_DElYkX7l4wRkHqqCUFNJY4AfY3kHU/edit?usp=sharing  #gid=0"",""фіз особи new!relations_name_uo""),7,FALSE)
,
)
))"),"КАЛАЄВ Микола Євгенович")</f>
        <v>КАЛАЄВ Микола Євгенович</v>
      </c>
      <c r="G10219" s="7" t="s">
        <v>10</v>
      </c>
      <c r="H10219" s="7">
        <v>0</v>
      </c>
      <c r="I10219" s="8" t="str">
        <f ca="1">IFERROR(__xludf.DUMMYFUNCTION("IF
(
G10220=""фізична особа""
,
VLOOKUP(H10220,IMPORTRANGE(""https://docs.google.com/spreadsheets/d/14Bd19lYaqBhU8_DElYkX7l4wRkHqqCUFNJY4AfY3kHU/edit?usp=sharing  #gid=0"",""фіз особи new!relations_name""),6,FALSE)
,
(IF
(
G10220=""юридична особа""
,
VLOO"&amp;"KUP(H10220,IMPORTRANGE(""https://docs.google.com/spreadsheets/d/14Bd19lYaqBhU8_DElYkX7l4wRkHqqCUFNJY4AfY3kHU/edit?usp=sharing  #gid=0"",""фіз особи new!relations_name_uo""),7,FALSE)
,
)
))"),"#N/A")</f>
        <v>#N/A</v>
      </c>
      <c r="J10219" s="7" t="s">
        <v>29</v>
      </c>
    </row>
    <row r="10220" spans="1:10" ht="13.2">
      <c r="A10220" s="7">
        <v>10219</v>
      </c>
      <c r="B10220" s="7">
        <v>1</v>
      </c>
      <c r="C10220" s="7" t="s">
        <v>10</v>
      </c>
      <c r="D10220" s="7">
        <v>12506</v>
      </c>
      <c r="E10220" s="7" t="s">
        <v>28</v>
      </c>
      <c r="F10220" s="8" t="str">
        <f ca="1">IFERROR(__xludf.DUMMYFUNCTION("IF
(
C10221=""фізична особа""
,
VLOOKUP(D10221,IMPORTRANGE(""https://docs.google.com/spreadsheets/d/14Bd19lYaqBhU8_DElYkX7l4wRkHqqCUFNJY4AfY3kHU/edit?usp=sharing  #gid=0"",""фіз особи new!relations_name""),6,FALSE)
,
(IF
(
C10221=""юридична особа""
,
VLOO"&amp;"KUP(D10221,IMPORTRANGE(""https://docs.google.com/spreadsheets/d/14Bd19lYaqBhU8_DElYkX7l4wRkHqqCUFNJY4AfY3kHU/edit?usp=sharing  #gid=0"",""фіз особи new!relations_name_uo""),7,FALSE)
,
)
))"),"ТАРНАЄВ Павло Володимирович")</f>
        <v>ТАРНАЄВ Павло Володимирович</v>
      </c>
      <c r="G10220" s="7" t="s">
        <v>10</v>
      </c>
      <c r="H10220" s="7">
        <v>0</v>
      </c>
      <c r="I10220" s="8" t="str">
        <f ca="1">IFERROR(__xludf.DUMMYFUNCTION("IF
(
G10221=""фізична особа""
,
VLOOKUP(H10221,IMPORTRANGE(""https://docs.google.com/spreadsheets/d/14Bd19lYaqBhU8_DElYkX7l4wRkHqqCUFNJY4AfY3kHU/edit?usp=sharing  #gid=0"",""фіз особи new!relations_name""),6,FALSE)
,
(IF
(
G10221=""юридична особа""
,
VLOO"&amp;"KUP(H10221,IMPORTRANGE(""https://docs.google.com/spreadsheets/d/14Bd19lYaqBhU8_DElYkX7l4wRkHqqCUFNJY4AfY3kHU/edit?usp=sharing  #gid=0"",""фіз особи new!relations_name_uo""),7,FALSE)
,
)
))"),"#N/A")</f>
        <v>#N/A</v>
      </c>
      <c r="J10220" s="7" t="s">
        <v>29</v>
      </c>
    </row>
    <row r="10221" spans="1:10" ht="13.2">
      <c r="A10221" s="7">
        <v>10220</v>
      </c>
      <c r="B10221" s="7">
        <v>1</v>
      </c>
      <c r="C10221" s="7" t="s">
        <v>10</v>
      </c>
      <c r="D10221" s="7">
        <v>12507</v>
      </c>
      <c r="E10221" s="7" t="s">
        <v>28</v>
      </c>
      <c r="F10221" s="8" t="str">
        <f ca="1">IFERROR(__xludf.DUMMYFUNCTION("IF
(
C10222=""фізична особа""
,
VLOOKUP(D10222,IMPORTRANGE(""https://docs.google.com/spreadsheets/d/14Bd19lYaqBhU8_DElYkX7l4wRkHqqCUFNJY4AfY3kHU/edit?usp=sharing  #gid=0"",""фіз особи new!relations_name""),6,FALSE)
,
(IF
(
C10222=""юридична особа""
,
VLOO"&amp;"KUP(D10222,IMPORTRANGE(""https://docs.google.com/spreadsheets/d/14Bd19lYaqBhU8_DElYkX7l4wRkHqqCUFNJY4AfY3kHU/edit?usp=sharing  #gid=0"",""фіз особи new!relations_name_uo""),7,FALSE)
,
)
))"),"МЕДОНЧАК Людмила Георгіївна")</f>
        <v>МЕДОНЧАК Людмила Георгіївна</v>
      </c>
      <c r="G10221" s="7" t="s">
        <v>10</v>
      </c>
      <c r="H10221" s="7">
        <v>0</v>
      </c>
      <c r="I10221" s="8" t="str">
        <f ca="1">IFERROR(__xludf.DUMMYFUNCTION("IF
(
G10222=""фізична особа""
,
VLOOKUP(H10222,IMPORTRANGE(""https://docs.google.com/spreadsheets/d/14Bd19lYaqBhU8_DElYkX7l4wRkHqqCUFNJY4AfY3kHU/edit?usp=sharing  #gid=0"",""фіз особи new!relations_name""),6,FALSE)
,
(IF
(
G10222=""юридична особа""
,
VLOO"&amp;"KUP(H10222,IMPORTRANGE(""https://docs.google.com/spreadsheets/d/14Bd19lYaqBhU8_DElYkX7l4wRkHqqCUFNJY4AfY3kHU/edit?usp=sharing  #gid=0"",""фіз особи new!relations_name_uo""),7,FALSE)
,
)
))"),"#N/A")</f>
        <v>#N/A</v>
      </c>
      <c r="J10221" s="7" t="s">
        <v>29</v>
      </c>
    </row>
    <row r="10222" spans="1:10" ht="13.2">
      <c r="A10222" s="7">
        <v>10221</v>
      </c>
      <c r="B10222" s="7">
        <v>1</v>
      </c>
      <c r="C10222" s="7" t="s">
        <v>10</v>
      </c>
      <c r="D10222" s="7">
        <v>12509</v>
      </c>
      <c r="E10222" s="7" t="s">
        <v>28</v>
      </c>
      <c r="F10222" s="8" t="str">
        <f ca="1">IFERROR(__xludf.DUMMYFUNCTION("IF
(
C10223=""фізична особа""
,
VLOOKUP(D10223,IMPORTRANGE(""https://docs.google.com/spreadsheets/d/14Bd19lYaqBhU8_DElYkX7l4wRkHqqCUFNJY4AfY3kHU/edit?usp=sharing  #gid=0"",""фіз особи new!relations_name""),6,FALSE)
,
(IF
(
C10223=""юридична особа""
,
VLOO"&amp;"KUP(D10223,IMPORTRANGE(""https://docs.google.com/spreadsheets/d/14Bd19lYaqBhU8_DElYkX7l4wRkHqqCUFNJY4AfY3kHU/edit?usp=sharing  #gid=0"",""фіз особи new!relations_name_uo""),7,FALSE)
,
)
))"),"ДЕРУНОВ Дмитро Олександрович")</f>
        <v>ДЕРУНОВ Дмитро Олександрович</v>
      </c>
      <c r="G10222" s="7" t="s">
        <v>10</v>
      </c>
      <c r="H10222" s="7">
        <v>0</v>
      </c>
      <c r="I10222" s="8" t="str">
        <f ca="1">IFERROR(__xludf.DUMMYFUNCTION("IF
(
G10223=""фізична особа""
,
VLOOKUP(H10223,IMPORTRANGE(""https://docs.google.com/spreadsheets/d/14Bd19lYaqBhU8_DElYkX7l4wRkHqqCUFNJY4AfY3kHU/edit?usp=sharing  #gid=0"",""фіз особи new!relations_name""),6,FALSE)
,
(IF
(
G10223=""юридична особа""
,
VLOO"&amp;"KUP(H10223,IMPORTRANGE(""https://docs.google.com/spreadsheets/d/14Bd19lYaqBhU8_DElYkX7l4wRkHqqCUFNJY4AfY3kHU/edit?usp=sharing  #gid=0"",""фіз особи new!relations_name_uo""),7,FALSE)
,
)
))"),"#N/A")</f>
        <v>#N/A</v>
      </c>
      <c r="J10222" s="7" t="s">
        <v>29</v>
      </c>
    </row>
    <row r="10223" spans="1:10" ht="13.2">
      <c r="A10223" s="7">
        <v>10222</v>
      </c>
      <c r="B10223" s="7">
        <v>1</v>
      </c>
      <c r="C10223" s="7" t="s">
        <v>10</v>
      </c>
      <c r="D10223" s="7">
        <v>12510</v>
      </c>
      <c r="E10223" s="7" t="s">
        <v>28</v>
      </c>
      <c r="F10223" s="8" t="str">
        <f ca="1">IFERROR(__xludf.DUMMYFUNCTION("IF
(
C10224=""фізична особа""
,
VLOOKUP(D10224,IMPORTRANGE(""https://docs.google.com/spreadsheets/d/14Bd19lYaqBhU8_DElYkX7l4wRkHqqCUFNJY4AfY3kHU/edit?usp=sharing  #gid=0"",""фіз особи new!relations_name""),6,FALSE)
,
(IF
(
C10224=""юридична особа""
,
VLOO"&amp;"KUP(D10224,IMPORTRANGE(""https://docs.google.com/spreadsheets/d/14Bd19lYaqBhU8_DElYkX7l4wRkHqqCUFNJY4AfY3kHU/edit?usp=sharing  #gid=0"",""фіз особи new!relations_name_uo""),7,FALSE)
,
)
))"),"ГЛУШКОВ Василь Віталійович")</f>
        <v>ГЛУШКОВ Василь Віталійович</v>
      </c>
      <c r="G10223" s="7" t="s">
        <v>10</v>
      </c>
      <c r="H10223" s="7">
        <v>23593</v>
      </c>
      <c r="I10223" s="8" t="str">
        <f ca="1">IFERROR(__xludf.DUMMYFUNCTION("IF
(
G10224=""фізична особа""
,
VLOOKUP(H10224,IMPORTRANGE(""https://docs.google.com/spreadsheets/d/14Bd19lYaqBhU8_DElYkX7l4wRkHqqCUFNJY4AfY3kHU/edit?usp=sharing  #gid=0"",""фіз особи new!relations_name""),6,FALSE)
,
(IF
(
G10224=""юридична особа""
,
VLOO"&amp;"KUP(H10224,IMPORTRANGE(""https://docs.google.com/spreadsheets/d/14Bd19lYaqBhU8_DElYkX7l4wRkHqqCUFNJY4AfY3kHU/edit?usp=sharing  #gid=0"",""фіз особи new!relations_name_uo""),7,FALSE)
,
)
))"),"МУРАВЙОВА Олена Анатоліївна")</f>
        <v>МУРАВЙОВА Олена Анатоліївна</v>
      </c>
      <c r="J10223" s="7" t="s">
        <v>29</v>
      </c>
    </row>
    <row r="10224" spans="1:10" ht="13.2">
      <c r="A10224" s="7">
        <v>10223</v>
      </c>
      <c r="B10224" s="7">
        <v>1</v>
      </c>
      <c r="C10224" s="7" t="s">
        <v>10</v>
      </c>
      <c r="D10224" s="7">
        <v>12511</v>
      </c>
      <c r="E10224" s="7" t="s">
        <v>28</v>
      </c>
      <c r="F10224" s="8" t="str">
        <f ca="1">IFERROR(__xludf.DUMMYFUNCTION("IF
(
C10225=""фізична особа""
,
VLOOKUP(D10225,IMPORTRANGE(""https://docs.google.com/spreadsheets/d/14Bd19lYaqBhU8_DElYkX7l4wRkHqqCUFNJY4AfY3kHU/edit?usp=sharing  #gid=0"",""фіз особи new!relations_name""),6,FALSE)
,
(IF
(
C10225=""юридична особа""
,
VLOO"&amp;"KUP(D10225,IMPORTRANGE(""https://docs.google.com/spreadsheets/d/14Bd19lYaqBhU8_DElYkX7l4wRkHqqCUFNJY4AfY3kHU/edit?usp=sharing  #gid=0"",""фіз особи new!relations_name_uo""),7,FALSE)
,
)
))"),"ГОРОХОВ Дмитро Олександрович")</f>
        <v>ГОРОХОВ Дмитро Олександрович</v>
      </c>
      <c r="G10224" s="7" t="s">
        <v>10</v>
      </c>
      <c r="H10224" s="7">
        <v>23593</v>
      </c>
      <c r="I10224" s="8" t="str">
        <f ca="1">IFERROR(__xludf.DUMMYFUNCTION("IF
(
G10225=""фізична особа""
,
VLOOKUP(H10225,IMPORTRANGE(""https://docs.google.com/spreadsheets/d/14Bd19lYaqBhU8_DElYkX7l4wRkHqqCUFNJY4AfY3kHU/edit?usp=sharing  #gid=0"",""фіз особи new!relations_name""),6,FALSE)
,
(IF
(
G10225=""юридична особа""
,
VLOO"&amp;"KUP(H10225,IMPORTRANGE(""https://docs.google.com/spreadsheets/d/14Bd19lYaqBhU8_DElYkX7l4wRkHqqCUFNJY4AfY3kHU/edit?usp=sharing  #gid=0"",""фіз особи new!relations_name_uo""),7,FALSE)
,
)
))"),"МУРАВЙОВА Олена Анатоліївна")</f>
        <v>МУРАВЙОВА Олена Анатоліївна</v>
      </c>
      <c r="J10224" s="7" t="s">
        <v>29</v>
      </c>
    </row>
    <row r="10225" spans="1:10" ht="13.2">
      <c r="A10225" s="7">
        <v>10224</v>
      </c>
      <c r="B10225" s="7">
        <v>1</v>
      </c>
      <c r="C10225" s="7" t="s">
        <v>10</v>
      </c>
      <c r="D10225" s="7">
        <v>12512</v>
      </c>
      <c r="E10225" s="7" t="s">
        <v>28</v>
      </c>
      <c r="F10225" s="8" t="str">
        <f ca="1">IFERROR(__xludf.DUMMYFUNCTION("IF
(
C10226=""фізична особа""
,
VLOOKUP(D10226,IMPORTRANGE(""https://docs.google.com/spreadsheets/d/14Bd19lYaqBhU8_DElYkX7l4wRkHqqCUFNJY4AfY3kHU/edit?usp=sharing  #gid=0"",""фіз особи new!relations_name""),6,FALSE)
,
(IF
(
C10226=""юридична особа""
,
VLOO"&amp;"KUP(D10226,IMPORTRANGE(""https://docs.google.com/spreadsheets/d/14Bd19lYaqBhU8_DElYkX7l4wRkHqqCUFNJY4AfY3kHU/edit?usp=sharing  #gid=0"",""фіз особи new!relations_name_uo""),7,FALSE)
,
)
))"),"ЄВТЮШКІН Іван Олександрович")</f>
        <v>ЄВТЮШКІН Іван Олександрович</v>
      </c>
      <c r="G10225" s="7" t="s">
        <v>10</v>
      </c>
      <c r="H10225" s="7">
        <v>23593</v>
      </c>
      <c r="I10225" s="8" t="str">
        <f ca="1">IFERROR(__xludf.DUMMYFUNCTION("IF
(
G10226=""фізична особа""
,
VLOOKUP(H10226,IMPORTRANGE(""https://docs.google.com/spreadsheets/d/14Bd19lYaqBhU8_DElYkX7l4wRkHqqCUFNJY4AfY3kHU/edit?usp=sharing  #gid=0"",""фіз особи new!relations_name""),6,FALSE)
,
(IF
(
G10226=""юридична особа""
,
VLOO"&amp;"KUP(H10226,IMPORTRANGE(""https://docs.google.com/spreadsheets/d/14Bd19lYaqBhU8_DElYkX7l4wRkHqqCUFNJY4AfY3kHU/edit?usp=sharing  #gid=0"",""фіз особи new!relations_name_uo""),7,FALSE)
,
)
))"),"МУРАВЙОВА Олена Анатоліївна")</f>
        <v>МУРАВЙОВА Олена Анатоліївна</v>
      </c>
      <c r="J10225" s="7" t="s">
        <v>29</v>
      </c>
    </row>
    <row r="10226" spans="1:10" ht="13.2">
      <c r="A10226" s="7">
        <v>10225</v>
      </c>
      <c r="B10226" s="7">
        <v>1</v>
      </c>
      <c r="C10226" s="7" t="s">
        <v>10</v>
      </c>
      <c r="D10226" s="7">
        <v>12513</v>
      </c>
      <c r="E10226" s="7" t="s">
        <v>28</v>
      </c>
      <c r="F10226" s="8" t="str">
        <f ca="1">IFERROR(__xludf.DUMMYFUNCTION("IF
(
C10227=""фізична особа""
,
VLOOKUP(D10227,IMPORTRANGE(""https://docs.google.com/spreadsheets/d/14Bd19lYaqBhU8_DElYkX7l4wRkHqqCUFNJY4AfY3kHU/edit?usp=sharing  #gid=0"",""фіз особи new!relations_name""),6,FALSE)
,
(IF
(
C10227=""юридична особа""
,
VLOO"&amp;"KUP(D10227,IMPORTRANGE(""https://docs.google.com/spreadsheets/d/14Bd19lYaqBhU8_DElYkX7l4wRkHqqCUFNJY4AfY3kHU/edit?usp=sharing  #gid=0"",""фіз особи new!relations_name_uo""),7,FALSE)
,
)
))"),"КЕРРО Ірина Олександрівна")</f>
        <v>КЕРРО Ірина Олександрівна</v>
      </c>
      <c r="G10226" s="7" t="s">
        <v>10</v>
      </c>
      <c r="H10226" s="7">
        <v>0</v>
      </c>
      <c r="I10226" s="8" t="str">
        <f ca="1">IFERROR(__xludf.DUMMYFUNCTION("IF
(
G10227=""фізична особа""
,
VLOOKUP(H10227,IMPORTRANGE(""https://docs.google.com/spreadsheets/d/14Bd19lYaqBhU8_DElYkX7l4wRkHqqCUFNJY4AfY3kHU/edit?usp=sharing  #gid=0"",""фіз особи new!relations_name""),6,FALSE)
,
(IF
(
G10227=""юридична особа""
,
VLOO"&amp;"KUP(H10227,IMPORTRANGE(""https://docs.google.com/spreadsheets/d/14Bd19lYaqBhU8_DElYkX7l4wRkHqqCUFNJY4AfY3kHU/edit?usp=sharing  #gid=0"",""фіз особи new!relations_name_uo""),7,FALSE)
,
)
))"),"#N/A")</f>
        <v>#N/A</v>
      </c>
      <c r="J10226" s="7" t="s">
        <v>29</v>
      </c>
    </row>
    <row r="10227" spans="1:10" ht="13.2">
      <c r="A10227" s="7">
        <v>10226</v>
      </c>
      <c r="B10227" s="7">
        <v>1</v>
      </c>
      <c r="C10227" s="7" t="s">
        <v>10</v>
      </c>
      <c r="D10227" s="7">
        <v>12515</v>
      </c>
      <c r="E10227" s="7" t="s">
        <v>28</v>
      </c>
      <c r="F10227" s="8" t="str">
        <f ca="1">IFERROR(__xludf.DUMMYFUNCTION("IF
(
C10228=""фізична особа""
,
VLOOKUP(D10228,IMPORTRANGE(""https://docs.google.com/spreadsheets/d/14Bd19lYaqBhU8_DElYkX7l4wRkHqqCUFNJY4AfY3kHU/edit?usp=sharing  #gid=0"",""фіз особи new!relations_name""),6,FALSE)
,
(IF
(
C10228=""юридична особа""
,
VLOO"&amp;"KUP(D10228,IMPORTRANGE(""https://docs.google.com/spreadsheets/d/14Bd19lYaqBhU8_DElYkX7l4wRkHqqCUFNJY4AfY3kHU/edit?usp=sharing  #gid=0"",""фіз особи new!relations_name_uo""),7,FALSE)
,
)
))"),"БАРАНОВА Людмила Павлівна")</f>
        <v>БАРАНОВА Людмила Павлівна</v>
      </c>
      <c r="G10227" s="7" t="s">
        <v>10</v>
      </c>
      <c r="H10227" s="7">
        <v>23594</v>
      </c>
      <c r="I10227" s="8" t="str">
        <f ca="1">IFERROR(__xludf.DUMMYFUNCTION("IF
(
G10228=""фізична особа""
,
VLOOKUP(H10228,IMPORTRANGE(""https://docs.google.com/spreadsheets/d/14Bd19lYaqBhU8_DElYkX7l4wRkHqqCUFNJY4AfY3kHU/edit?usp=sharing  #gid=0"",""фіз особи new!relations_name""),6,FALSE)
,
(IF
(
G10228=""юридична особа""
,
VLOO"&amp;"KUP(H10228,IMPORTRANGE(""https://docs.google.com/spreadsheets/d/14Bd19lYaqBhU8_DElYkX7l4wRkHqqCUFNJY4AfY3kHU/edit?usp=sharing  #gid=0"",""фіз особи new!relations_name_uo""),7,FALSE)
,
)
))"),"САБЛІН Роман Іванович")</f>
        <v>САБЛІН Роман Іванович</v>
      </c>
      <c r="J10227" s="7" t="s">
        <v>29</v>
      </c>
    </row>
    <row r="10228" spans="1:10" ht="13.2">
      <c r="A10228" s="7">
        <v>10227</v>
      </c>
      <c r="B10228" s="7">
        <v>1</v>
      </c>
      <c r="C10228" s="7" t="s">
        <v>10</v>
      </c>
      <c r="D10228" s="7">
        <v>12516</v>
      </c>
      <c r="E10228" s="7" t="s">
        <v>28</v>
      </c>
      <c r="F10228" s="8" t="str">
        <f ca="1">IFERROR(__xludf.DUMMYFUNCTION("IF
(
C10229=""фізична особа""
,
VLOOKUP(D10229,IMPORTRANGE(""https://docs.google.com/spreadsheets/d/14Bd19lYaqBhU8_DElYkX7l4wRkHqqCUFNJY4AfY3kHU/edit?usp=sharing  #gid=0"",""фіз особи new!relations_name""),6,FALSE)
,
(IF
(
C10229=""юридична особа""
,
VLOO"&amp;"KUP(D10229,IMPORTRANGE(""https://docs.google.com/spreadsheets/d/14Bd19lYaqBhU8_DElYkX7l4wRkHqqCUFNJY4AfY3kHU/edit?usp=sharing  #gid=0"",""фіз особи new!relations_name_uo""),7,FALSE)
,
)
))"),"ПЕРЕЗЯБОВА Анастасія Михайлівна")</f>
        <v>ПЕРЕЗЯБОВА Анастасія Михайлівна</v>
      </c>
      <c r="G10228" s="7" t="s">
        <v>10</v>
      </c>
      <c r="H10228" s="7">
        <v>23594</v>
      </c>
      <c r="I10228" s="8" t="str">
        <f ca="1">IFERROR(__xludf.DUMMYFUNCTION("IF
(
G10229=""фізична особа""
,
VLOOKUP(H10229,IMPORTRANGE(""https://docs.google.com/spreadsheets/d/14Bd19lYaqBhU8_DElYkX7l4wRkHqqCUFNJY4AfY3kHU/edit?usp=sharing  #gid=0"",""фіз особи new!relations_name""),6,FALSE)
,
(IF
(
G10229=""юридична особа""
,
VLOO"&amp;"KUP(H10229,IMPORTRANGE(""https://docs.google.com/spreadsheets/d/14Bd19lYaqBhU8_DElYkX7l4wRkHqqCUFNJY4AfY3kHU/edit?usp=sharing  #gid=0"",""фіз особи new!relations_name_uo""),7,FALSE)
,
)
))"),"САБЛІН Роман Іванович")</f>
        <v>САБЛІН Роман Іванович</v>
      </c>
      <c r="J10228" s="7" t="s">
        <v>29</v>
      </c>
    </row>
    <row r="10229" spans="1:10" ht="13.2">
      <c r="A10229" s="7">
        <v>10228</v>
      </c>
      <c r="B10229" s="7">
        <v>1</v>
      </c>
      <c r="C10229" s="7" t="s">
        <v>10</v>
      </c>
      <c r="D10229" s="7">
        <v>12517</v>
      </c>
      <c r="E10229" s="7" t="s">
        <v>28</v>
      </c>
      <c r="F10229" s="8" t="str">
        <f ca="1">IFERROR(__xludf.DUMMYFUNCTION("IF
(
C10230=""фізична особа""
,
VLOOKUP(D10230,IMPORTRANGE(""https://docs.google.com/spreadsheets/d/14Bd19lYaqBhU8_DElYkX7l4wRkHqqCUFNJY4AfY3kHU/edit?usp=sharing  #gid=0"",""фіз особи new!relations_name""),6,FALSE)
,
(IF
(
C10230=""юридична особа""
,
VLOO"&amp;"KUP(D10230,IMPORTRANGE(""https://docs.google.com/spreadsheets/d/14Bd19lYaqBhU8_DElYkX7l4wRkHqqCUFNJY4AfY3kHU/edit?usp=sharing  #gid=0"",""фіз особи new!relations_name_uo""),7,FALSE)
,
)
))"),"ЖУВАГІН Андрій Геннадійович")</f>
        <v>ЖУВАГІН Андрій Геннадійович</v>
      </c>
      <c r="G10229" s="7" t="s">
        <v>10</v>
      </c>
      <c r="H10229" s="7">
        <v>23594</v>
      </c>
      <c r="I10229" s="8" t="str">
        <f ca="1">IFERROR(__xludf.DUMMYFUNCTION("IF
(
G10230=""фізична особа""
,
VLOOKUP(H10230,IMPORTRANGE(""https://docs.google.com/spreadsheets/d/14Bd19lYaqBhU8_DElYkX7l4wRkHqqCUFNJY4AfY3kHU/edit?usp=sharing  #gid=0"",""фіз особи new!relations_name""),6,FALSE)
,
(IF
(
G10230=""юридична особа""
,
VLOO"&amp;"KUP(H10230,IMPORTRANGE(""https://docs.google.com/spreadsheets/d/14Bd19lYaqBhU8_DElYkX7l4wRkHqqCUFNJY4AfY3kHU/edit?usp=sharing  #gid=0"",""фіз особи new!relations_name_uo""),7,FALSE)
,
)
))"),"САБЛІН Роман Іванович")</f>
        <v>САБЛІН Роман Іванович</v>
      </c>
      <c r="J10229" s="7" t="s">
        <v>29</v>
      </c>
    </row>
    <row r="10230" spans="1:10" ht="13.2">
      <c r="A10230" s="7">
        <v>10229</v>
      </c>
      <c r="B10230" s="7">
        <v>1</v>
      </c>
      <c r="C10230" s="7" t="s">
        <v>10</v>
      </c>
      <c r="D10230" s="7">
        <v>12518</v>
      </c>
      <c r="E10230" s="7" t="s">
        <v>28</v>
      </c>
      <c r="F10230" s="8" t="str">
        <f ca="1">IFERROR(__xludf.DUMMYFUNCTION("IF
(
C10231=""фізична особа""
,
VLOOKUP(D10231,IMPORTRANGE(""https://docs.google.com/spreadsheets/d/14Bd19lYaqBhU8_DElYkX7l4wRkHqqCUFNJY4AfY3kHU/edit?usp=sharing  #gid=0"",""фіз особи new!relations_name""),6,FALSE)
,
(IF
(
C10231=""юридична особа""
,
VLOO"&amp;"KUP(D10231,IMPORTRANGE(""https://docs.google.com/spreadsheets/d/14Bd19lYaqBhU8_DElYkX7l4wRkHqqCUFNJY4AfY3kHU/edit?usp=sharing  #gid=0"",""фіз особи new!relations_name_uo""),7,FALSE)
,
)
))"),"ПОНИЗЯЙКІНА Катерина Миколаївна")</f>
        <v>ПОНИЗЯЙКІНА Катерина Миколаївна</v>
      </c>
      <c r="G10230" s="7" t="s">
        <v>10</v>
      </c>
      <c r="H10230" s="7">
        <v>23595</v>
      </c>
      <c r="I10230" s="8" t="str">
        <f ca="1">IFERROR(__xludf.DUMMYFUNCTION("IF
(
G10231=""фізична особа""
,
VLOOKUP(H10231,IMPORTRANGE(""https://docs.google.com/spreadsheets/d/14Bd19lYaqBhU8_DElYkX7l4wRkHqqCUFNJY4AfY3kHU/edit?usp=sharing  #gid=0"",""фіз особи new!relations_name""),6,FALSE)
,
(IF
(
G10231=""юридична особа""
,
VLOO"&amp;"KUP(H10231,IMPORTRANGE(""https://docs.google.com/spreadsheets/d/14Bd19lYaqBhU8_DElYkX7l4wRkHqqCUFNJY4AfY3kHU/edit?usp=sharing  #gid=0"",""фіз особи new!relations_name_uo""),7,FALSE)
,
)
))"),"ШЕВЧУК Геннадій Олександрович")</f>
        <v>ШЕВЧУК Геннадій Олександрович</v>
      </c>
      <c r="J10230" s="7" t="s">
        <v>29</v>
      </c>
    </row>
    <row r="10231" spans="1:10" ht="13.2">
      <c r="A10231" s="7">
        <v>10230</v>
      </c>
      <c r="B10231" s="7">
        <v>1</v>
      </c>
      <c r="C10231" s="7" t="s">
        <v>10</v>
      </c>
      <c r="D10231" s="7">
        <v>12519</v>
      </c>
      <c r="E10231" s="7" t="s">
        <v>28</v>
      </c>
      <c r="F10231" s="8" t="str">
        <f ca="1">IFERROR(__xludf.DUMMYFUNCTION("IF
(
C10232=""фізична особа""
,
VLOOKUP(D10232,IMPORTRANGE(""https://docs.google.com/spreadsheets/d/14Bd19lYaqBhU8_DElYkX7l4wRkHqqCUFNJY4AfY3kHU/edit?usp=sharing  #gid=0"",""фіз особи new!relations_name""),6,FALSE)
,
(IF
(
C10232=""юридична особа""
,
VLOO"&amp;"KUP(D10232,IMPORTRANGE(""https://docs.google.com/spreadsheets/d/14Bd19lYaqBhU8_DElYkX7l4wRkHqqCUFNJY4AfY3kHU/edit?usp=sharing  #gid=0"",""фіз особи new!relations_name_uo""),7,FALSE)
,
)
))"),"КУРЦЕВА Ірина Олександрівна")</f>
        <v>КУРЦЕВА Ірина Олександрівна</v>
      </c>
      <c r="G10231" s="7" t="s">
        <v>10</v>
      </c>
      <c r="H10231" s="7">
        <v>23595</v>
      </c>
      <c r="I10231" s="8" t="str">
        <f ca="1">IFERROR(__xludf.DUMMYFUNCTION("IF
(
G10232=""фізична особа""
,
VLOOKUP(H10232,IMPORTRANGE(""https://docs.google.com/spreadsheets/d/14Bd19lYaqBhU8_DElYkX7l4wRkHqqCUFNJY4AfY3kHU/edit?usp=sharing  #gid=0"",""фіз особи new!relations_name""),6,FALSE)
,
(IF
(
G10232=""юридична особа""
,
VLOO"&amp;"KUP(H10232,IMPORTRANGE(""https://docs.google.com/spreadsheets/d/14Bd19lYaqBhU8_DElYkX7l4wRkHqqCUFNJY4AfY3kHU/edit?usp=sharing  #gid=0"",""фіз особи new!relations_name_uo""),7,FALSE)
,
)
))"),"ШЕВЧУК Геннадій Олександрович")</f>
        <v>ШЕВЧУК Геннадій Олександрович</v>
      </c>
      <c r="J10231" s="7" t="s">
        <v>29</v>
      </c>
    </row>
    <row r="10232" spans="1:10" ht="13.2">
      <c r="A10232" s="7">
        <v>10231</v>
      </c>
      <c r="B10232" s="7">
        <v>1</v>
      </c>
      <c r="C10232" s="7" t="s">
        <v>10</v>
      </c>
      <c r="D10232" s="7">
        <v>12520</v>
      </c>
      <c r="E10232" s="7" t="s">
        <v>28</v>
      </c>
      <c r="F10232" s="8" t="str">
        <f ca="1">IFERROR(__xludf.DUMMYFUNCTION("IF
(
C10233=""фізична особа""
,
VLOOKUP(D10233,IMPORTRANGE(""https://docs.google.com/spreadsheets/d/14Bd19lYaqBhU8_DElYkX7l4wRkHqqCUFNJY4AfY3kHU/edit?usp=sharing  #gid=0"",""фіз особи new!relations_name""),6,FALSE)
,
(IF
(
C10233=""юридична особа""
,
VLOO"&amp;"KUP(D10233,IMPORTRANGE(""https://docs.google.com/spreadsheets/d/14Bd19lYaqBhU8_DElYkX7l4wRkHqqCUFNJY4AfY3kHU/edit?usp=sharing  #gid=0"",""фіз особи new!relations_name_uo""),7,FALSE)
,
)
))"),"ХРЯПОЧКІН Максим Юрійович")</f>
        <v>ХРЯПОЧКІН Максим Юрійович</v>
      </c>
      <c r="G10232" s="7" t="s">
        <v>10</v>
      </c>
      <c r="H10232" s="7">
        <v>23596</v>
      </c>
      <c r="I10232" s="8" t="str">
        <f ca="1">IFERROR(__xludf.DUMMYFUNCTION("IF
(
G10233=""фізична особа""
,
VLOOKUP(H10233,IMPORTRANGE(""https://docs.google.com/spreadsheets/d/14Bd19lYaqBhU8_DElYkX7l4wRkHqqCUFNJY4AfY3kHU/edit?usp=sharing  #gid=0"",""фіз особи new!relations_name""),6,FALSE)
,
(IF
(
G10233=""юридична особа""
,
VLOO"&amp;"KUP(H10233,IMPORTRANGE(""https://docs.google.com/spreadsheets/d/14Bd19lYaqBhU8_DElYkX7l4wRkHqqCUFNJY4AfY3kHU/edit?usp=sharing  #gid=0"",""фіз особи new!relations_name_uo""),7,FALSE)
,
)
))"),"ГОЛУБЧЕНКО Василь Михайлович")</f>
        <v>ГОЛУБЧЕНКО Василь Михайлович</v>
      </c>
      <c r="J10232" s="7" t="s">
        <v>29</v>
      </c>
    </row>
    <row r="10233" spans="1:10" ht="13.2">
      <c r="A10233" s="7">
        <v>10232</v>
      </c>
      <c r="B10233" s="7">
        <v>1</v>
      </c>
      <c r="C10233" s="7" t="s">
        <v>10</v>
      </c>
      <c r="D10233" s="7">
        <v>12521</v>
      </c>
      <c r="E10233" s="7" t="s">
        <v>28</v>
      </c>
      <c r="F10233" s="8" t="str">
        <f ca="1">IFERROR(__xludf.DUMMYFUNCTION("IF
(
C10234=""фізична особа""
,
VLOOKUP(D10234,IMPORTRANGE(""https://docs.google.com/spreadsheets/d/14Bd19lYaqBhU8_DElYkX7l4wRkHqqCUFNJY4AfY3kHU/edit?usp=sharing  #gid=0"",""фіз особи new!relations_name""),6,FALSE)
,
(IF
(
C10234=""юридична особа""
,
VLOO"&amp;"KUP(D10234,IMPORTRANGE(""https://docs.google.com/spreadsheets/d/14Bd19lYaqBhU8_DElYkX7l4wRkHqqCUFNJY4AfY3kHU/edit?usp=sharing  #gid=0"",""фіз особи new!relations_name_uo""),7,FALSE)
,
)
))"),"ІЛ'ЇНКОВА Яна Борисівна")</f>
        <v>ІЛ'ЇНКОВА Яна Борисівна</v>
      </c>
      <c r="G10233" s="7" t="s">
        <v>10</v>
      </c>
      <c r="H10233" s="7">
        <v>23596</v>
      </c>
      <c r="I10233" s="8" t="str">
        <f ca="1">IFERROR(__xludf.DUMMYFUNCTION("IF
(
G10234=""фізична особа""
,
VLOOKUP(H10234,IMPORTRANGE(""https://docs.google.com/spreadsheets/d/14Bd19lYaqBhU8_DElYkX7l4wRkHqqCUFNJY4AfY3kHU/edit?usp=sharing  #gid=0"",""фіз особи new!relations_name""),6,FALSE)
,
(IF
(
G10234=""юридична особа""
,
VLOO"&amp;"KUP(H10234,IMPORTRANGE(""https://docs.google.com/spreadsheets/d/14Bd19lYaqBhU8_DElYkX7l4wRkHqqCUFNJY4AfY3kHU/edit?usp=sharing  #gid=0"",""фіз особи new!relations_name_uo""),7,FALSE)
,
)
))"),"ГОЛУБЧЕНКО Василь Михайлович")</f>
        <v>ГОЛУБЧЕНКО Василь Михайлович</v>
      </c>
      <c r="J10233" s="7" t="s">
        <v>29</v>
      </c>
    </row>
    <row r="10234" spans="1:10" ht="13.2">
      <c r="A10234" s="7">
        <v>10233</v>
      </c>
      <c r="B10234" s="7">
        <v>1</v>
      </c>
      <c r="C10234" s="7" t="s">
        <v>10</v>
      </c>
      <c r="D10234" s="7">
        <v>12522</v>
      </c>
      <c r="E10234" s="7" t="s">
        <v>28</v>
      </c>
      <c r="F10234" s="8" t="str">
        <f ca="1">IFERROR(__xludf.DUMMYFUNCTION("IF
(
C10235=""фізична особа""
,
VLOOKUP(D10235,IMPORTRANGE(""https://docs.google.com/spreadsheets/d/14Bd19lYaqBhU8_DElYkX7l4wRkHqqCUFNJY4AfY3kHU/edit?usp=sharing  #gid=0"",""фіз особи new!relations_name""),6,FALSE)
,
(IF
(
C10235=""юридична особа""
,
VLOO"&amp;"KUP(D10235,IMPORTRANGE(""https://docs.google.com/spreadsheets/d/14Bd19lYaqBhU8_DElYkX7l4wRkHqqCUFNJY4AfY3kHU/edit?usp=sharing  #gid=0"",""фіз особи new!relations_name_uo""),7,FALSE)
,
)
))"),"АСТАФ'ЄВА Тетяна Сергіївна")</f>
        <v>АСТАФ'ЄВА Тетяна Сергіївна</v>
      </c>
      <c r="G10234" s="7" t="s">
        <v>10</v>
      </c>
      <c r="H10234" s="7">
        <v>23597</v>
      </c>
      <c r="I10234" s="8" t="str">
        <f ca="1">IFERROR(__xludf.DUMMYFUNCTION("IF
(
G10235=""фізична особа""
,
VLOOKUP(H10235,IMPORTRANGE(""https://docs.google.com/spreadsheets/d/14Bd19lYaqBhU8_DElYkX7l4wRkHqqCUFNJY4AfY3kHU/edit?usp=sharing  #gid=0"",""фіз особи new!relations_name""),6,FALSE)
,
(IF
(
G10235=""юридична особа""
,
VLOO"&amp;"KUP(H10235,IMPORTRANGE(""https://docs.google.com/spreadsheets/d/14Bd19lYaqBhU8_DElYkX7l4wRkHqqCUFNJY4AfY3kHU/edit?usp=sharing  #gid=0"",""фіз особи new!relations_name_uo""),7,FALSE)
,
)
))"),"ПЕРШИН Олександр Васильович")</f>
        <v>ПЕРШИН Олександр Васильович</v>
      </c>
      <c r="J10234" s="7" t="s">
        <v>29</v>
      </c>
    </row>
    <row r="10235" spans="1:10" ht="13.2">
      <c r="A10235" s="7">
        <v>10234</v>
      </c>
      <c r="B10235" s="7">
        <v>1</v>
      </c>
      <c r="C10235" s="7" t="s">
        <v>10</v>
      </c>
      <c r="D10235" s="7">
        <v>12523</v>
      </c>
      <c r="E10235" s="7" t="s">
        <v>28</v>
      </c>
      <c r="F10235" s="8" t="str">
        <f ca="1">IFERROR(__xludf.DUMMYFUNCTION("IF
(
C10236=""фізична особа""
,
VLOOKUP(D10236,IMPORTRANGE(""https://docs.google.com/spreadsheets/d/14Bd19lYaqBhU8_DElYkX7l4wRkHqqCUFNJY4AfY3kHU/edit?usp=sharing  #gid=0"",""фіз особи new!relations_name""),6,FALSE)
,
(IF
(
C10236=""юридична особа""
,
VLOO"&amp;"KUP(D10236,IMPORTRANGE(""https://docs.google.com/spreadsheets/d/14Bd19lYaqBhU8_DElYkX7l4wRkHqqCUFNJY4AfY3kHU/edit?usp=sharing  #gid=0"",""фіз особи new!relations_name_uo""),7,FALSE)
,
)
))"),"ВІСКУЛОВА Вікторія В'ячеславівна")</f>
        <v>ВІСКУЛОВА Вікторія В'ячеславівна</v>
      </c>
      <c r="G10235" s="7" t="s">
        <v>10</v>
      </c>
      <c r="H10235" s="7">
        <v>23597</v>
      </c>
      <c r="I10235" s="8" t="str">
        <f ca="1">IFERROR(__xludf.DUMMYFUNCTION("IF
(
G10236=""фізична особа""
,
VLOOKUP(H10236,IMPORTRANGE(""https://docs.google.com/spreadsheets/d/14Bd19lYaqBhU8_DElYkX7l4wRkHqqCUFNJY4AfY3kHU/edit?usp=sharing  #gid=0"",""фіз особи new!relations_name""),6,FALSE)
,
(IF
(
G10236=""юридична особа""
,
VLOO"&amp;"KUP(H10236,IMPORTRANGE(""https://docs.google.com/spreadsheets/d/14Bd19lYaqBhU8_DElYkX7l4wRkHqqCUFNJY4AfY3kHU/edit?usp=sharing  #gid=0"",""фіз особи new!relations_name_uo""),7,FALSE)
,
)
))"),"ПЕРШИН Олександр Васильович")</f>
        <v>ПЕРШИН Олександр Васильович</v>
      </c>
      <c r="J10235" s="7" t="s">
        <v>29</v>
      </c>
    </row>
    <row r="10236" spans="1:10" ht="13.2">
      <c r="A10236" s="7">
        <v>10235</v>
      </c>
      <c r="B10236" s="7">
        <v>1</v>
      </c>
      <c r="C10236" s="7" t="s">
        <v>10</v>
      </c>
      <c r="D10236" s="7">
        <v>12524</v>
      </c>
      <c r="E10236" s="7" t="s">
        <v>28</v>
      </c>
      <c r="F10236" s="8" t="str">
        <f ca="1">IFERROR(__xludf.DUMMYFUNCTION("IF
(
C10237=""фізична особа""
,
VLOOKUP(D10237,IMPORTRANGE(""https://docs.google.com/spreadsheets/d/14Bd19lYaqBhU8_DElYkX7l4wRkHqqCUFNJY4AfY3kHU/edit?usp=sharing  #gid=0"",""фіз особи new!relations_name""),6,FALSE)
,
(IF
(
C10237=""юридична особа""
,
VLOO"&amp;"KUP(D10237,IMPORTRANGE(""https://docs.google.com/spreadsheets/d/14Bd19lYaqBhU8_DElYkX7l4wRkHqqCUFNJY4AfY3kHU/edit?usp=sharing  #gid=0"",""фіз особи new!relations_name_uo""),7,FALSE)
,
)
))"),"КОРШУНОВА Тетяна Анатоліївна")</f>
        <v>КОРШУНОВА Тетяна Анатоліївна</v>
      </c>
      <c r="G10236" s="7" t="s">
        <v>10</v>
      </c>
      <c r="H10236" s="7">
        <v>23597</v>
      </c>
      <c r="I10236" s="8" t="str">
        <f ca="1">IFERROR(__xludf.DUMMYFUNCTION("IF
(
G10237=""фізична особа""
,
VLOOKUP(H10237,IMPORTRANGE(""https://docs.google.com/spreadsheets/d/14Bd19lYaqBhU8_DElYkX7l4wRkHqqCUFNJY4AfY3kHU/edit?usp=sharing  #gid=0"",""фіз особи new!relations_name""),6,FALSE)
,
(IF
(
G10237=""юридична особа""
,
VLOO"&amp;"KUP(H10237,IMPORTRANGE(""https://docs.google.com/spreadsheets/d/14Bd19lYaqBhU8_DElYkX7l4wRkHqqCUFNJY4AfY3kHU/edit?usp=sharing  #gid=0"",""фіз особи new!relations_name_uo""),7,FALSE)
,
)
))"),"ПЕРШИН Олександр Васильович")</f>
        <v>ПЕРШИН Олександр Васильович</v>
      </c>
      <c r="J10236" s="7" t="s">
        <v>29</v>
      </c>
    </row>
    <row r="10237" spans="1:10" ht="13.2">
      <c r="A10237" s="7">
        <v>10236</v>
      </c>
      <c r="B10237" s="7">
        <v>1</v>
      </c>
      <c r="C10237" s="7" t="s">
        <v>10</v>
      </c>
      <c r="D10237" s="7">
        <v>12525</v>
      </c>
      <c r="E10237" s="7" t="s">
        <v>28</v>
      </c>
      <c r="F10237" s="8" t="str">
        <f ca="1">IFERROR(__xludf.DUMMYFUNCTION("IF
(
C10238=""фізична особа""
,
VLOOKUP(D10238,IMPORTRANGE(""https://docs.google.com/spreadsheets/d/14Bd19lYaqBhU8_DElYkX7l4wRkHqqCUFNJY4AfY3kHU/edit?usp=sharing  #gid=0"",""фіз особи new!relations_name""),6,FALSE)
,
(IF
(
C10238=""юридична особа""
,
VLOO"&amp;"KUP(D10238,IMPORTRANGE(""https://docs.google.com/spreadsheets/d/14Bd19lYaqBhU8_DElYkX7l4wRkHqqCUFNJY4AfY3kHU/edit?usp=sharing  #gid=0"",""фіз особи new!relations_name_uo""),7,FALSE)
,
)
))"),"МУХІН Єгор Олегович")</f>
        <v>МУХІН Єгор Олегович</v>
      </c>
      <c r="G10237" s="7" t="s">
        <v>10</v>
      </c>
      <c r="H10237" s="7">
        <v>23597</v>
      </c>
      <c r="I10237" s="8" t="str">
        <f ca="1">IFERROR(__xludf.DUMMYFUNCTION("IF
(
G10238=""фізична особа""
,
VLOOKUP(H10238,IMPORTRANGE(""https://docs.google.com/spreadsheets/d/14Bd19lYaqBhU8_DElYkX7l4wRkHqqCUFNJY4AfY3kHU/edit?usp=sharing  #gid=0"",""фіз особи new!relations_name""),6,FALSE)
,
(IF
(
G10238=""юридична особа""
,
VLOO"&amp;"KUP(H10238,IMPORTRANGE(""https://docs.google.com/spreadsheets/d/14Bd19lYaqBhU8_DElYkX7l4wRkHqqCUFNJY4AfY3kHU/edit?usp=sharing  #gid=0"",""фіз особи new!relations_name_uo""),7,FALSE)
,
)
))"),"ПЕРШИН Олександр Васильович")</f>
        <v>ПЕРШИН Олександр Васильович</v>
      </c>
      <c r="J10237" s="7" t="s">
        <v>29</v>
      </c>
    </row>
    <row r="10238" spans="1:10" ht="13.2">
      <c r="A10238" s="7">
        <v>10237</v>
      </c>
      <c r="B10238" s="7">
        <v>1</v>
      </c>
      <c r="C10238" s="7" t="s">
        <v>10</v>
      </c>
      <c r="D10238" s="7">
        <v>12528</v>
      </c>
      <c r="E10238" s="7" t="s">
        <v>28</v>
      </c>
      <c r="F10238" s="8" t="str">
        <f ca="1">IFERROR(__xludf.DUMMYFUNCTION("IF
(
C10239=""фізична особа""
,
VLOOKUP(D10239,IMPORTRANGE(""https://docs.google.com/spreadsheets/d/14Bd19lYaqBhU8_DElYkX7l4wRkHqqCUFNJY4AfY3kHU/edit?usp=sharing  #gid=0"",""фіз особи new!relations_name""),6,FALSE)
,
(IF
(
C10239=""юридична особа""
,
VLOO"&amp;"KUP(D10239,IMPORTRANGE(""https://docs.google.com/spreadsheets/d/14Bd19lYaqBhU8_DElYkX7l4wRkHqqCUFNJY4AfY3kHU/edit?usp=sharing  #gid=0"",""фіз особи new!relations_name_uo""),7,FALSE)
,
)
))"),"ШЛАПАКОВА Галина Володимирівна")</f>
        <v>ШЛАПАКОВА Галина Володимирівна</v>
      </c>
      <c r="G10238" s="7" t="s">
        <v>10</v>
      </c>
      <c r="H10238" s="7">
        <v>23598</v>
      </c>
      <c r="I10238" s="8" t="str">
        <f ca="1">IFERROR(__xludf.DUMMYFUNCTION("IF
(
G10239=""фізична особа""
,
VLOOKUP(H10239,IMPORTRANGE(""https://docs.google.com/spreadsheets/d/14Bd19lYaqBhU8_DElYkX7l4wRkHqqCUFNJY4AfY3kHU/edit?usp=sharing  #gid=0"",""фіз особи new!relations_name""),6,FALSE)
,
(IF
(
G10239=""юридична особа""
,
VLOO"&amp;"KUP(H10239,IMPORTRANGE(""https://docs.google.com/spreadsheets/d/14Bd19lYaqBhU8_DElYkX7l4wRkHqqCUFNJY4AfY3kHU/edit?usp=sharing  #gid=0"",""фіз особи new!relations_name_uo""),7,FALSE)
,
)
))"),"КОВАЛЕНКО Юлія Анатоліївна")</f>
        <v>КОВАЛЕНКО Юлія Анатоліївна</v>
      </c>
      <c r="J10238" s="7" t="s">
        <v>29</v>
      </c>
    </row>
    <row r="10239" spans="1:10" ht="13.2">
      <c r="A10239" s="7">
        <v>10238</v>
      </c>
      <c r="B10239" s="7">
        <v>1</v>
      </c>
      <c r="C10239" s="7" t="s">
        <v>10</v>
      </c>
      <c r="D10239" s="7">
        <v>12529</v>
      </c>
      <c r="E10239" s="7" t="s">
        <v>28</v>
      </c>
      <c r="F10239" s="8" t="str">
        <f ca="1">IFERROR(__xludf.DUMMYFUNCTION("IF
(
C10240=""фізична особа""
,
VLOOKUP(D10240,IMPORTRANGE(""https://docs.google.com/spreadsheets/d/14Bd19lYaqBhU8_DElYkX7l4wRkHqqCUFNJY4AfY3kHU/edit?usp=sharing  #gid=0"",""фіз особи new!relations_name""),6,FALSE)
,
(IF
(
C10240=""юридична особа""
,
VLOO"&amp;"KUP(D10240,IMPORTRANGE(""https://docs.google.com/spreadsheets/d/14Bd19lYaqBhU8_DElYkX7l4wRkHqqCUFNJY4AfY3kHU/edit?usp=sharing  #gid=0"",""фіз особи new!relations_name_uo""),7,FALSE)
,
)
))"),"РУДІН Дмитро Миколайович")</f>
        <v>РУДІН Дмитро Миколайович</v>
      </c>
      <c r="G10239" s="7" t="s">
        <v>10</v>
      </c>
      <c r="H10239" s="7">
        <v>23598</v>
      </c>
      <c r="I10239" s="8" t="str">
        <f ca="1">IFERROR(__xludf.DUMMYFUNCTION("IF
(
G10240=""фізична особа""
,
VLOOKUP(H10240,IMPORTRANGE(""https://docs.google.com/spreadsheets/d/14Bd19lYaqBhU8_DElYkX7l4wRkHqqCUFNJY4AfY3kHU/edit?usp=sharing  #gid=0"",""фіз особи new!relations_name""),6,FALSE)
,
(IF
(
G10240=""юридична особа""
,
VLOO"&amp;"KUP(H10240,IMPORTRANGE(""https://docs.google.com/spreadsheets/d/14Bd19lYaqBhU8_DElYkX7l4wRkHqqCUFNJY4AfY3kHU/edit?usp=sharing  #gid=0"",""фіз особи new!relations_name_uo""),7,FALSE)
,
)
))"),"КОВАЛЕНКО Юлія Анатоліївна")</f>
        <v>КОВАЛЕНКО Юлія Анатоліївна</v>
      </c>
      <c r="J10239" s="7" t="s">
        <v>29</v>
      </c>
    </row>
    <row r="10240" spans="1:10" ht="13.2">
      <c r="A10240" s="7">
        <v>10239</v>
      </c>
      <c r="B10240" s="7">
        <v>1</v>
      </c>
      <c r="C10240" s="7" t="s">
        <v>10</v>
      </c>
      <c r="D10240" s="7">
        <v>12530</v>
      </c>
      <c r="E10240" s="7" t="s">
        <v>28</v>
      </c>
      <c r="F10240" s="8" t="str">
        <f ca="1">IFERROR(__xludf.DUMMYFUNCTION("IF
(
C10241=""фізична особа""
,
VLOOKUP(D10241,IMPORTRANGE(""https://docs.google.com/spreadsheets/d/14Bd19lYaqBhU8_DElYkX7l4wRkHqqCUFNJY4AfY3kHU/edit?usp=sharing  #gid=0"",""фіз особи new!relations_name""),6,FALSE)
,
(IF
(
C10241=""юридична особа""
,
VLOO"&amp;"KUP(D10241,IMPORTRANGE(""https://docs.google.com/spreadsheets/d/14Bd19lYaqBhU8_DElYkX7l4wRkHqqCUFNJY4AfY3kHU/edit?usp=sharing  #gid=0"",""фіз особи new!relations_name_uo""),7,FALSE)
,
)
))"),"САДОМЦЕВА Тетяна Вікторівна")</f>
        <v>САДОМЦЕВА Тетяна Вікторівна</v>
      </c>
      <c r="G10240" s="7" t="s">
        <v>10</v>
      </c>
      <c r="H10240" s="7">
        <v>23599</v>
      </c>
      <c r="I10240" s="8" t="str">
        <f ca="1">IFERROR(__xludf.DUMMYFUNCTION("IF
(
G10241=""фізична особа""
,
VLOOKUP(H10241,IMPORTRANGE(""https://docs.google.com/spreadsheets/d/14Bd19lYaqBhU8_DElYkX7l4wRkHqqCUFNJY4AfY3kHU/edit?usp=sharing  #gid=0"",""фіз особи new!relations_name""),6,FALSE)
,
(IF
(
G10241=""юридична особа""
,
VLOO"&amp;"KUP(H10241,IMPORTRANGE(""https://docs.google.com/spreadsheets/d/14Bd19lYaqBhU8_DElYkX7l4wRkHqqCUFNJY4AfY3kHU/edit?usp=sharing  #gid=0"",""фіз особи new!relations_name_uo""),7,FALSE)
,
)
))"),"ШУВАЛОВ Михайло Михайлович")</f>
        <v>ШУВАЛОВ Михайло Михайлович</v>
      </c>
      <c r="J10240" s="7" t="s">
        <v>29</v>
      </c>
    </row>
    <row r="10241" spans="1:10" ht="13.2">
      <c r="A10241" s="7">
        <v>10240</v>
      </c>
      <c r="B10241" s="7">
        <v>1</v>
      </c>
      <c r="C10241" s="7" t="s">
        <v>10</v>
      </c>
      <c r="D10241" s="7">
        <v>12531</v>
      </c>
      <c r="E10241" s="7" t="s">
        <v>28</v>
      </c>
      <c r="F10241" s="8" t="str">
        <f ca="1">IFERROR(__xludf.DUMMYFUNCTION("IF
(
C10242=""фізична особа""
,
VLOOKUP(D10242,IMPORTRANGE(""https://docs.google.com/spreadsheets/d/14Bd19lYaqBhU8_DElYkX7l4wRkHqqCUFNJY4AfY3kHU/edit?usp=sharing  #gid=0"",""фіз особи new!relations_name""),6,FALSE)
,
(IF
(
C10242=""юридична особа""
,
VLOO"&amp;"KUP(D10242,IMPORTRANGE(""https://docs.google.com/spreadsheets/d/14Bd19lYaqBhU8_DElYkX7l4wRkHqqCUFNJY4AfY3kHU/edit?usp=sharing  #gid=0"",""фіз особи new!relations_name_uo""),7,FALSE)
,
)
))"),"КУЧКО Віктор Володимирович")</f>
        <v>КУЧКО Віктор Володимирович</v>
      </c>
      <c r="G10241" s="7" t="s">
        <v>10</v>
      </c>
      <c r="H10241" s="7">
        <v>23599</v>
      </c>
      <c r="I10241" s="8" t="str">
        <f ca="1">IFERROR(__xludf.DUMMYFUNCTION("IF
(
G10242=""фізична особа""
,
VLOOKUP(H10242,IMPORTRANGE(""https://docs.google.com/spreadsheets/d/14Bd19lYaqBhU8_DElYkX7l4wRkHqqCUFNJY4AfY3kHU/edit?usp=sharing  #gid=0"",""фіз особи new!relations_name""),6,FALSE)
,
(IF
(
G10242=""юридична особа""
,
VLOO"&amp;"KUP(H10242,IMPORTRANGE(""https://docs.google.com/spreadsheets/d/14Bd19lYaqBhU8_DElYkX7l4wRkHqqCUFNJY4AfY3kHU/edit?usp=sharing  #gid=0"",""фіз особи new!relations_name_uo""),7,FALSE)
,
)
))"),"ШУВАЛОВ Михайло Михайлович")</f>
        <v>ШУВАЛОВ Михайло Михайлович</v>
      </c>
      <c r="J10241" s="7" t="s">
        <v>29</v>
      </c>
    </row>
    <row r="10242" spans="1:10" ht="13.2">
      <c r="A10242" s="7">
        <v>10241</v>
      </c>
      <c r="B10242" s="7">
        <v>1</v>
      </c>
      <c r="C10242" s="7" t="s">
        <v>10</v>
      </c>
      <c r="D10242" s="7">
        <v>12532</v>
      </c>
      <c r="E10242" s="7" t="s">
        <v>28</v>
      </c>
      <c r="F10242" s="8" t="str">
        <f ca="1">IFERROR(__xludf.DUMMYFUNCTION("IF
(
C10243=""фізична особа""
,
VLOOKUP(D10243,IMPORTRANGE(""https://docs.google.com/spreadsheets/d/14Bd19lYaqBhU8_DElYkX7l4wRkHqqCUFNJY4AfY3kHU/edit?usp=sharing  #gid=0"",""фіз особи new!relations_name""),6,FALSE)
,
(IF
(
C10243=""юридична особа""
,
VLOO"&amp;"KUP(D10243,IMPORTRANGE(""https://docs.google.com/spreadsheets/d/14Bd19lYaqBhU8_DElYkX7l4wRkHqqCUFNJY4AfY3kHU/edit?usp=sharing  #gid=0"",""фіз особи new!relations_name_uo""),7,FALSE)
,
)
))"),"ДЕВЯТОВА Наталія Володимирівна")</f>
        <v>ДЕВЯТОВА Наталія Володимирівна</v>
      </c>
      <c r="G10242" s="7" t="s">
        <v>10</v>
      </c>
      <c r="H10242" s="7">
        <v>23599</v>
      </c>
      <c r="I10242" s="8" t="str">
        <f ca="1">IFERROR(__xludf.DUMMYFUNCTION("IF
(
G10243=""фізична особа""
,
VLOOKUP(H10243,IMPORTRANGE(""https://docs.google.com/spreadsheets/d/14Bd19lYaqBhU8_DElYkX7l4wRkHqqCUFNJY4AfY3kHU/edit?usp=sharing  #gid=0"",""фіз особи new!relations_name""),6,FALSE)
,
(IF
(
G10243=""юридична особа""
,
VLOO"&amp;"KUP(H10243,IMPORTRANGE(""https://docs.google.com/spreadsheets/d/14Bd19lYaqBhU8_DElYkX7l4wRkHqqCUFNJY4AfY3kHU/edit?usp=sharing  #gid=0"",""фіз особи new!relations_name_uo""),7,FALSE)
,
)
))"),"ШУВАЛОВ Михайло Михайлович")</f>
        <v>ШУВАЛОВ Михайло Михайлович</v>
      </c>
      <c r="J10242" s="7" t="s">
        <v>29</v>
      </c>
    </row>
    <row r="10243" spans="1:10" ht="13.2">
      <c r="A10243" s="7">
        <v>10242</v>
      </c>
      <c r="B10243" s="7">
        <v>1</v>
      </c>
      <c r="C10243" s="7" t="s">
        <v>10</v>
      </c>
      <c r="D10243" s="7">
        <v>12533</v>
      </c>
      <c r="E10243" s="7" t="s">
        <v>28</v>
      </c>
      <c r="F10243" s="8" t="str">
        <f ca="1">IFERROR(__xludf.DUMMYFUNCTION("IF
(
C10244=""фізична особа""
,
VLOOKUP(D10244,IMPORTRANGE(""https://docs.google.com/spreadsheets/d/14Bd19lYaqBhU8_DElYkX7l4wRkHqqCUFNJY4AfY3kHU/edit?usp=sharing  #gid=0"",""фіз особи new!relations_name""),6,FALSE)
,
(IF
(
C10244=""юридична особа""
,
VLOO"&amp;"KUP(D10244,IMPORTRANGE(""https://docs.google.com/spreadsheets/d/14Bd19lYaqBhU8_DElYkX7l4wRkHqqCUFNJY4AfY3kHU/edit?usp=sharing  #gid=0"",""фіз особи new!relations_name_uo""),7,FALSE)
,
)
))"),"БОНДАРЕНКО Катерина Василівна")</f>
        <v>БОНДАРЕНКО Катерина Василівна</v>
      </c>
      <c r="G10243" s="7" t="s">
        <v>10</v>
      </c>
      <c r="H10243" s="7">
        <v>23600</v>
      </c>
      <c r="I10243" s="8" t="str">
        <f ca="1">IFERROR(__xludf.DUMMYFUNCTION("IF
(
G10244=""фізична особа""
,
VLOOKUP(H10244,IMPORTRANGE(""https://docs.google.com/spreadsheets/d/14Bd19lYaqBhU8_DElYkX7l4wRkHqqCUFNJY4AfY3kHU/edit?usp=sharing  #gid=0"",""фіз особи new!relations_name""),6,FALSE)
,
(IF
(
G10244=""юридична особа""
,
VLOO"&amp;"KUP(H10244,IMPORTRANGE(""https://docs.google.com/spreadsheets/d/14Bd19lYaqBhU8_DElYkX7l4wRkHqqCUFNJY4AfY3kHU/edit?usp=sharing  #gid=0"",""фіз особи new!relations_name_uo""),7,FALSE)
,
)
))"),"ПРОКОШЕВА Наталія Станіславівна")</f>
        <v>ПРОКОШЕВА Наталія Станіславівна</v>
      </c>
      <c r="J10243" s="7" t="s">
        <v>102</v>
      </c>
    </row>
    <row r="10244" spans="1:10" ht="13.2">
      <c r="A10244" s="7">
        <v>10243</v>
      </c>
      <c r="B10244" s="7">
        <v>1</v>
      </c>
      <c r="C10244" s="7" t="s">
        <v>10</v>
      </c>
      <c r="D10244" s="7">
        <v>12534</v>
      </c>
      <c r="E10244" s="7" t="s">
        <v>28</v>
      </c>
      <c r="F10244" s="8" t="str">
        <f ca="1">IFERROR(__xludf.DUMMYFUNCTION("IF
(
C10245=""фізична особа""
,
VLOOKUP(D10245,IMPORTRANGE(""https://docs.google.com/spreadsheets/d/14Bd19lYaqBhU8_DElYkX7l4wRkHqqCUFNJY4AfY3kHU/edit?usp=sharing  #gid=0"",""фіз особи new!relations_name""),6,FALSE)
,
(IF
(
C10245=""юридична особа""
,
VLOO"&amp;"KUP(D10245,IMPORTRANGE(""https://docs.google.com/spreadsheets/d/14Bd19lYaqBhU8_DElYkX7l4wRkHqqCUFNJY4AfY3kHU/edit?usp=sharing  #gid=0"",""фіз особи new!relations_name_uo""),7,FALSE)
,
)
))"),"КОЛОДЄЗНИЙ Олександр Васильович")</f>
        <v>КОЛОДЄЗНИЙ Олександр Васильович</v>
      </c>
      <c r="G10244" s="7" t="s">
        <v>10</v>
      </c>
      <c r="H10244" s="7">
        <v>23600</v>
      </c>
      <c r="I10244" s="8" t="str">
        <f ca="1">IFERROR(__xludf.DUMMYFUNCTION("IF
(
G10245=""фізична особа""
,
VLOOKUP(H10245,IMPORTRANGE(""https://docs.google.com/spreadsheets/d/14Bd19lYaqBhU8_DElYkX7l4wRkHqqCUFNJY4AfY3kHU/edit?usp=sharing  #gid=0"",""фіз особи new!relations_name""),6,FALSE)
,
(IF
(
G10245=""юридична особа""
,
VLOO"&amp;"KUP(H10245,IMPORTRANGE(""https://docs.google.com/spreadsheets/d/14Bd19lYaqBhU8_DElYkX7l4wRkHqqCUFNJY4AfY3kHU/edit?usp=sharing  #gid=0"",""фіз особи new!relations_name_uo""),7,FALSE)
,
)
))"),"ПРОКОШЕВА Наталія Станіславівна")</f>
        <v>ПРОКОШЕВА Наталія Станіславівна</v>
      </c>
      <c r="J10244" s="7" t="s">
        <v>102</v>
      </c>
    </row>
    <row r="10245" spans="1:10" ht="13.2">
      <c r="A10245" s="7">
        <v>10244</v>
      </c>
      <c r="B10245" s="7">
        <v>1</v>
      </c>
      <c r="C10245" s="7" t="s">
        <v>10</v>
      </c>
      <c r="D10245" s="7">
        <v>12535</v>
      </c>
      <c r="E10245" s="7" t="s">
        <v>28</v>
      </c>
      <c r="F10245" s="8" t="str">
        <f ca="1">IFERROR(__xludf.DUMMYFUNCTION("IF
(
C10246=""фізична особа""
,
VLOOKUP(D10246,IMPORTRANGE(""https://docs.google.com/spreadsheets/d/14Bd19lYaqBhU8_DElYkX7l4wRkHqqCUFNJY4AfY3kHU/edit?usp=sharing  #gid=0"",""фіз особи new!relations_name""),6,FALSE)
,
(IF
(
C10246=""юридична особа""
,
VLOO"&amp;"KUP(D10246,IMPORTRANGE(""https://docs.google.com/spreadsheets/d/14Bd19lYaqBhU8_DElYkX7l4wRkHqqCUFNJY4AfY3kHU/edit?usp=sharing  #gid=0"",""фіз особи new!relations_name_uo""),7,FALSE)
,
)
))"),"ДМИТРІЄВ Сергій Робертович")</f>
        <v>ДМИТРІЄВ Сергій Робертович</v>
      </c>
      <c r="G10245" s="7" t="s">
        <v>10</v>
      </c>
      <c r="H10245" s="7">
        <v>23601</v>
      </c>
      <c r="I10245" s="8" t="str">
        <f ca="1">IFERROR(__xludf.DUMMYFUNCTION("IF
(
G10246=""фізична особа""
,
VLOOKUP(H10246,IMPORTRANGE(""https://docs.google.com/spreadsheets/d/14Bd19lYaqBhU8_DElYkX7l4wRkHqqCUFNJY4AfY3kHU/edit?usp=sharing  #gid=0"",""фіз особи new!relations_name""),6,FALSE)
,
(IF
(
G10246=""юридична особа""
,
VLOO"&amp;"KUP(H10246,IMPORTRANGE(""https://docs.google.com/spreadsheets/d/14Bd19lYaqBhU8_DElYkX7l4wRkHqqCUFNJY4AfY3kHU/edit?usp=sharing  #gid=0"",""фіз особи new!relations_name_uo""),7,FALSE)
,
)
))"),"ПЕТЬКІН Сергій Володимирович")</f>
        <v>ПЕТЬКІН Сергій Володимирович</v>
      </c>
      <c r="J10245" s="7" t="s">
        <v>29</v>
      </c>
    </row>
    <row r="10246" spans="1:10" ht="13.2">
      <c r="A10246" s="7">
        <v>10245</v>
      </c>
      <c r="B10246" s="7">
        <v>1</v>
      </c>
      <c r="C10246" s="7" t="s">
        <v>10</v>
      </c>
      <c r="D10246" s="7">
        <v>12536</v>
      </c>
      <c r="E10246" s="7" t="s">
        <v>28</v>
      </c>
      <c r="F10246" s="8" t="str">
        <f ca="1">IFERROR(__xludf.DUMMYFUNCTION("IF
(
C10247=""фізична особа""
,
VLOOKUP(D10247,IMPORTRANGE(""https://docs.google.com/spreadsheets/d/14Bd19lYaqBhU8_DElYkX7l4wRkHqqCUFNJY4AfY3kHU/edit?usp=sharing  #gid=0"",""фіз особи new!relations_name""),6,FALSE)
,
(IF
(
C10247=""юридична особа""
,
VLOO"&amp;"KUP(D10247,IMPORTRANGE(""https://docs.google.com/spreadsheets/d/14Bd19lYaqBhU8_DElYkX7l4wRkHqqCUFNJY4AfY3kHU/edit?usp=sharing  #gid=0"",""фіз особи new!relations_name_uo""),7,FALSE)
,
)
))"),"ЛЕШТАЄВ Дмитро Миколайович")</f>
        <v>ЛЕШТАЄВ Дмитро Миколайович</v>
      </c>
      <c r="G10246" s="7" t="s">
        <v>10</v>
      </c>
      <c r="H10246" s="7">
        <v>23601</v>
      </c>
      <c r="I10246" s="8" t="str">
        <f ca="1">IFERROR(__xludf.DUMMYFUNCTION("IF
(
G10247=""фізична особа""
,
VLOOKUP(H10247,IMPORTRANGE(""https://docs.google.com/spreadsheets/d/14Bd19lYaqBhU8_DElYkX7l4wRkHqqCUFNJY4AfY3kHU/edit?usp=sharing  #gid=0"",""фіз особи new!relations_name""),6,FALSE)
,
(IF
(
G10247=""юридична особа""
,
VLOO"&amp;"KUP(H10247,IMPORTRANGE(""https://docs.google.com/spreadsheets/d/14Bd19lYaqBhU8_DElYkX7l4wRkHqqCUFNJY4AfY3kHU/edit?usp=sharing  #gid=0"",""фіз особи new!relations_name_uo""),7,FALSE)
,
)
))"),"ПЕТЬКІН Сергій Володимирович")</f>
        <v>ПЕТЬКІН Сергій Володимирович</v>
      </c>
      <c r="J10246" s="7" t="s">
        <v>29</v>
      </c>
    </row>
    <row r="10247" spans="1:10" ht="13.2">
      <c r="A10247" s="7">
        <v>10246</v>
      </c>
      <c r="B10247" s="7">
        <v>1</v>
      </c>
      <c r="C10247" s="7" t="s">
        <v>10</v>
      </c>
      <c r="D10247" s="7">
        <v>12537</v>
      </c>
      <c r="E10247" s="7" t="s">
        <v>28</v>
      </c>
      <c r="F10247" s="8" t="str">
        <f ca="1">IFERROR(__xludf.DUMMYFUNCTION("IF
(
C10248=""фізична особа""
,
VLOOKUP(D10248,IMPORTRANGE(""https://docs.google.com/spreadsheets/d/14Bd19lYaqBhU8_DElYkX7l4wRkHqqCUFNJY4AfY3kHU/edit?usp=sharing  #gid=0"",""фіз особи new!relations_name""),6,FALSE)
,
(IF
(
C10248=""юридична особа""
,
VLOO"&amp;"KUP(D10248,IMPORTRANGE(""https://docs.google.com/spreadsheets/d/14Bd19lYaqBhU8_DElYkX7l4wRkHqqCUFNJY4AfY3kHU/edit?usp=sharing  #gid=0"",""фіз особи new!relations_name_uo""),7,FALSE)
,
)
))"),"ПЕТРОВ Роман Юрійович")</f>
        <v>ПЕТРОВ Роман Юрійович</v>
      </c>
      <c r="G10247" s="7" t="s">
        <v>10</v>
      </c>
      <c r="H10247" s="7">
        <v>23602</v>
      </c>
      <c r="I10247" s="8" t="str">
        <f ca="1">IFERROR(__xludf.DUMMYFUNCTION("IF
(
G10248=""фізична особа""
,
VLOOKUP(H10248,IMPORTRANGE(""https://docs.google.com/spreadsheets/d/14Bd19lYaqBhU8_DElYkX7l4wRkHqqCUFNJY4AfY3kHU/edit?usp=sharing  #gid=0"",""фіз особи new!relations_name""),6,FALSE)
,
(IF
(
G10248=""юридична особа""
,
VLOO"&amp;"KUP(H10248,IMPORTRANGE(""https://docs.google.com/spreadsheets/d/14Bd19lYaqBhU8_DElYkX7l4wRkHqqCUFNJY4AfY3kHU/edit?usp=sharing  #gid=0"",""фіз особи new!relations_name_uo""),7,FALSE)
,
)
))"),"ГАВРИЛЕНКО Артур Юрійович")</f>
        <v>ГАВРИЛЕНКО Артур Юрійович</v>
      </c>
      <c r="J10247" s="7" t="s">
        <v>29</v>
      </c>
    </row>
    <row r="10248" spans="1:10" ht="13.2">
      <c r="A10248" s="7">
        <v>10247</v>
      </c>
      <c r="B10248" s="7">
        <v>1</v>
      </c>
      <c r="C10248" s="7" t="s">
        <v>10</v>
      </c>
      <c r="D10248" s="7">
        <v>12538</v>
      </c>
      <c r="E10248" s="7" t="s">
        <v>28</v>
      </c>
      <c r="F10248" s="8" t="str">
        <f ca="1">IFERROR(__xludf.DUMMYFUNCTION("IF
(
C10249=""фізична особа""
,
VLOOKUP(D10249,IMPORTRANGE(""https://docs.google.com/spreadsheets/d/14Bd19lYaqBhU8_DElYkX7l4wRkHqqCUFNJY4AfY3kHU/edit?usp=sharing  #gid=0"",""фіз особи new!relations_name""),6,FALSE)
,
(IF
(
C10249=""юридична особа""
,
VLOO"&amp;"KUP(D10249,IMPORTRANGE(""https://docs.google.com/spreadsheets/d/14Bd19lYaqBhU8_DElYkX7l4wRkHqqCUFNJY4AfY3kHU/edit?usp=sharing  #gid=0"",""фіз особи new!relations_name_uo""),7,FALSE)
,
)
))"),"ГРИШИН Дмитро Юрійович")</f>
        <v>ГРИШИН Дмитро Юрійович</v>
      </c>
      <c r="G10248" s="7" t="s">
        <v>10</v>
      </c>
      <c r="H10248" s="7">
        <v>23602</v>
      </c>
      <c r="I10248" s="8" t="str">
        <f ca="1">IFERROR(__xludf.DUMMYFUNCTION("IF
(
G10249=""фізична особа""
,
VLOOKUP(H10249,IMPORTRANGE(""https://docs.google.com/spreadsheets/d/14Bd19lYaqBhU8_DElYkX7l4wRkHqqCUFNJY4AfY3kHU/edit?usp=sharing  #gid=0"",""фіз особи new!relations_name""),6,FALSE)
,
(IF
(
G10249=""юридична особа""
,
VLOO"&amp;"KUP(H10249,IMPORTRANGE(""https://docs.google.com/spreadsheets/d/14Bd19lYaqBhU8_DElYkX7l4wRkHqqCUFNJY4AfY3kHU/edit?usp=sharing  #gid=0"",""фіз особи new!relations_name_uo""),7,FALSE)
,
)
))"),"ГАВРИЛЕНКО Артур Юрійович")</f>
        <v>ГАВРИЛЕНКО Артур Юрійович</v>
      </c>
      <c r="J10248" s="7" t="s">
        <v>29</v>
      </c>
    </row>
    <row r="10249" spans="1:10" ht="13.2">
      <c r="A10249" s="7">
        <v>10248</v>
      </c>
      <c r="B10249" s="7">
        <v>1</v>
      </c>
      <c r="C10249" s="7" t="s">
        <v>10</v>
      </c>
      <c r="D10249" s="7">
        <v>12541</v>
      </c>
      <c r="E10249" s="7" t="s">
        <v>28</v>
      </c>
      <c r="F10249" s="8" t="str">
        <f ca="1">IFERROR(__xludf.DUMMYFUNCTION("IF
(
C10250=""фізична особа""
,
VLOOKUP(D10250,IMPORTRANGE(""https://docs.google.com/spreadsheets/d/14Bd19lYaqBhU8_DElYkX7l4wRkHqqCUFNJY4AfY3kHU/edit?usp=sharing  #gid=0"",""фіз особи new!relations_name""),6,FALSE)
,
(IF
(
C10250=""юридична особа""
,
VLOO"&amp;"KUP(D10250,IMPORTRANGE(""https://docs.google.com/spreadsheets/d/14Bd19lYaqBhU8_DElYkX7l4wRkHqqCUFNJY4AfY3kHU/edit?usp=sharing  #gid=0"",""фіз особи new!relations_name_uo""),7,FALSE)
,
)
))"),"ВИНОГРАДОВ Віктор Володимирович")</f>
        <v>ВИНОГРАДОВ Віктор Володимирович</v>
      </c>
      <c r="G10249" s="7" t="s">
        <v>10</v>
      </c>
      <c r="H10249" s="7">
        <v>23603</v>
      </c>
      <c r="I10249" s="8" t="str">
        <f ca="1">IFERROR(__xludf.DUMMYFUNCTION("IF
(
G10250=""фізична особа""
,
VLOOKUP(H10250,IMPORTRANGE(""https://docs.google.com/spreadsheets/d/14Bd19lYaqBhU8_DElYkX7l4wRkHqqCUFNJY4AfY3kHU/edit?usp=sharing  #gid=0"",""фіз особи new!relations_name""),6,FALSE)
,
(IF
(
G10250=""юридична особа""
,
VLOO"&amp;"KUP(H10250,IMPORTRANGE(""https://docs.google.com/spreadsheets/d/14Bd19lYaqBhU8_DElYkX7l4wRkHqqCUFNJY4AfY3kHU/edit?usp=sharing  #gid=0"",""фіз особи new!relations_name_uo""),7,FALSE)
,
)
))"),"ЛИТКІНА Ганна Миколаївна")</f>
        <v>ЛИТКІНА Ганна Миколаївна</v>
      </c>
      <c r="J10249" s="7" t="s">
        <v>29</v>
      </c>
    </row>
    <row r="10250" spans="1:10" ht="13.2">
      <c r="A10250" s="7">
        <v>10249</v>
      </c>
      <c r="B10250" s="7">
        <v>1</v>
      </c>
      <c r="C10250" s="7" t="s">
        <v>10</v>
      </c>
      <c r="D10250" s="7">
        <v>12542</v>
      </c>
      <c r="E10250" s="7" t="s">
        <v>28</v>
      </c>
      <c r="F10250" s="8" t="str">
        <f ca="1">IFERROR(__xludf.DUMMYFUNCTION("IF
(
C10251=""фізична особа""
,
VLOOKUP(D10251,IMPORTRANGE(""https://docs.google.com/spreadsheets/d/14Bd19lYaqBhU8_DElYkX7l4wRkHqqCUFNJY4AfY3kHU/edit?usp=sharing  #gid=0"",""фіз особи new!relations_name""),6,FALSE)
,
(IF
(
C10251=""юридична особа""
,
VLOO"&amp;"KUP(D10251,IMPORTRANGE(""https://docs.google.com/spreadsheets/d/14Bd19lYaqBhU8_DElYkX7l4wRkHqqCUFNJY4AfY3kHU/edit?usp=sharing  #gid=0"",""фіз особи new!relations_name_uo""),7,FALSE)
,
)
))"),"ВОРОНЦОВА Олена Валеріївна")</f>
        <v>ВОРОНЦОВА Олена Валеріївна</v>
      </c>
      <c r="G10250" s="7" t="s">
        <v>10</v>
      </c>
      <c r="H10250" s="7">
        <v>23603</v>
      </c>
      <c r="I10250" s="8" t="str">
        <f ca="1">IFERROR(__xludf.DUMMYFUNCTION("IF
(
G10251=""фізична особа""
,
VLOOKUP(H10251,IMPORTRANGE(""https://docs.google.com/spreadsheets/d/14Bd19lYaqBhU8_DElYkX7l4wRkHqqCUFNJY4AfY3kHU/edit?usp=sharing  #gid=0"",""фіз особи new!relations_name""),6,FALSE)
,
(IF
(
G10251=""юридична особа""
,
VLOO"&amp;"KUP(H10251,IMPORTRANGE(""https://docs.google.com/spreadsheets/d/14Bd19lYaqBhU8_DElYkX7l4wRkHqqCUFNJY4AfY3kHU/edit?usp=sharing  #gid=0"",""фіз особи new!relations_name_uo""),7,FALSE)
,
)
))"),"ЛИТКІНА Ганна Миколаївна")</f>
        <v>ЛИТКІНА Ганна Миколаївна</v>
      </c>
      <c r="J10250" s="7" t="s">
        <v>29</v>
      </c>
    </row>
    <row r="10251" spans="1:10" ht="13.2">
      <c r="A10251" s="7">
        <v>10250</v>
      </c>
      <c r="B10251" s="7">
        <v>1</v>
      </c>
      <c r="C10251" s="7" t="s">
        <v>10</v>
      </c>
      <c r="D10251" s="7">
        <v>12543</v>
      </c>
      <c r="E10251" s="7" t="s">
        <v>28</v>
      </c>
      <c r="F10251" s="8" t="str">
        <f ca="1">IFERROR(__xludf.DUMMYFUNCTION("IF
(
C10252=""фізична особа""
,
VLOOKUP(D10252,IMPORTRANGE(""https://docs.google.com/spreadsheets/d/14Bd19lYaqBhU8_DElYkX7l4wRkHqqCUFNJY4AfY3kHU/edit?usp=sharing  #gid=0"",""фіз особи new!relations_name""),6,FALSE)
,
(IF
(
C10252=""юридична особа""
,
VLOO"&amp;"KUP(D10252,IMPORTRANGE(""https://docs.google.com/spreadsheets/d/14Bd19lYaqBhU8_DElYkX7l4wRkHqqCUFNJY4AfY3kHU/edit?usp=sharing  #gid=0"",""фіз особи new!relations_name_uo""),7,FALSE)
,
)
))"),"ПОЛЯКОВА Світлана Іванівна")</f>
        <v>ПОЛЯКОВА Світлана Іванівна</v>
      </c>
      <c r="G10251" s="7" t="s">
        <v>10</v>
      </c>
      <c r="H10251" s="7">
        <v>12544</v>
      </c>
      <c r="I10251" s="8" t="str">
        <f ca="1">IFERROR(__xludf.DUMMYFUNCTION("IF
(
G10252=""фізична особа""
,
VLOOKUP(H10252,IMPORTRANGE(""https://docs.google.com/spreadsheets/d/14Bd19lYaqBhU8_DElYkX7l4wRkHqqCUFNJY4AfY3kHU/edit?usp=sharing  #gid=0"",""фіз особи new!relations_name""),6,FALSE)
,
(IF
(
G10252=""юридична особа""
,
VLOO"&amp;"KUP(H10252,IMPORTRANGE(""https://docs.google.com/spreadsheets/d/14Bd19lYaqBhU8_DElYkX7l4wRkHqqCUFNJY4AfY3kHU/edit?usp=sharing  #gid=0"",""фіз особи new!relations_name_uo""),7,FALSE)
,
)
))"),"КАЗАНЦЕВА Анаїда Львівна")</f>
        <v>КАЗАНЦЕВА Анаїда Львівна</v>
      </c>
      <c r="J10251" s="7" t="s">
        <v>29</v>
      </c>
    </row>
    <row r="10252" spans="1:10" ht="13.2">
      <c r="A10252" s="7">
        <v>10251</v>
      </c>
      <c r="B10252" s="7">
        <v>1</v>
      </c>
      <c r="C10252" s="7" t="s">
        <v>10</v>
      </c>
      <c r="D10252" s="7">
        <v>12545</v>
      </c>
      <c r="E10252" s="7" t="s">
        <v>28</v>
      </c>
      <c r="F10252" s="8" t="str">
        <f ca="1">IFERROR(__xludf.DUMMYFUNCTION("IF
(
C10253=""фізична особа""
,
VLOOKUP(D10253,IMPORTRANGE(""https://docs.google.com/spreadsheets/d/14Bd19lYaqBhU8_DElYkX7l4wRkHqqCUFNJY4AfY3kHU/edit?usp=sharing  #gid=0"",""фіз особи new!relations_name""),6,FALSE)
,
(IF
(
C10253=""юридична особа""
,
VLOO"&amp;"KUP(D10253,IMPORTRANGE(""https://docs.google.com/spreadsheets/d/14Bd19lYaqBhU8_DElYkX7l4wRkHqqCUFNJY4AfY3kHU/edit?usp=sharing  #gid=0"",""фіз особи new!relations_name_uo""),7,FALSE)
,
)
))"),"СУМАЧАКОВ Ігор Миколайович")</f>
        <v>СУМАЧАКОВ Ігор Миколайович</v>
      </c>
      <c r="G10252" s="7" t="s">
        <v>10</v>
      </c>
      <c r="H10252" s="7">
        <v>12544</v>
      </c>
      <c r="I10252" s="8" t="str">
        <f ca="1">IFERROR(__xludf.DUMMYFUNCTION("IF
(
G10253=""фізична особа""
,
VLOOKUP(H10253,IMPORTRANGE(""https://docs.google.com/spreadsheets/d/14Bd19lYaqBhU8_DElYkX7l4wRkHqqCUFNJY4AfY3kHU/edit?usp=sharing  #gid=0"",""фіз особи new!relations_name""),6,FALSE)
,
(IF
(
G10253=""юридична особа""
,
VLOO"&amp;"KUP(H10253,IMPORTRANGE(""https://docs.google.com/spreadsheets/d/14Bd19lYaqBhU8_DElYkX7l4wRkHqqCUFNJY4AfY3kHU/edit?usp=sharing  #gid=0"",""фіз особи new!relations_name_uo""),7,FALSE)
,
)
))"),"КАЗАНЦЕВА Анаїда Львівна")</f>
        <v>КАЗАНЦЕВА Анаїда Львівна</v>
      </c>
      <c r="J10252" s="7" t="s">
        <v>29</v>
      </c>
    </row>
    <row r="10253" spans="1:10" ht="13.2">
      <c r="A10253" s="7">
        <v>10252</v>
      </c>
      <c r="B10253" s="7">
        <v>1</v>
      </c>
      <c r="C10253" s="7" t="s">
        <v>10</v>
      </c>
      <c r="D10253" s="7">
        <v>12546</v>
      </c>
      <c r="E10253" s="7" t="s">
        <v>28</v>
      </c>
      <c r="F10253" s="8" t="str">
        <f ca="1">IFERROR(__xludf.DUMMYFUNCTION("IF
(
C10254=""фізична особа""
,
VLOOKUP(D10254,IMPORTRANGE(""https://docs.google.com/spreadsheets/d/14Bd19lYaqBhU8_DElYkX7l4wRkHqqCUFNJY4AfY3kHU/edit?usp=sharing  #gid=0"",""фіз особи new!relations_name""),6,FALSE)
,
(IF
(
C10254=""юридична особа""
,
VLOO"&amp;"KUP(D10254,IMPORTRANGE(""https://docs.google.com/spreadsheets/d/14Bd19lYaqBhU8_DElYkX7l4wRkHqqCUFNJY4AfY3kHU/edit?usp=sharing  #gid=0"",""фіз особи new!relations_name_uo""),7,FALSE)
,
)
))"),"ЗРЄЛКІНА Олена Юріївна")</f>
        <v>ЗРЄЛКІНА Олена Юріївна</v>
      </c>
      <c r="G10253" s="7" t="s">
        <v>10</v>
      </c>
      <c r="H10253" s="7">
        <v>12544</v>
      </c>
      <c r="I10253" s="8" t="str">
        <f ca="1">IFERROR(__xludf.DUMMYFUNCTION("IF
(
G10254=""фізична особа""
,
VLOOKUP(H10254,IMPORTRANGE(""https://docs.google.com/spreadsheets/d/14Bd19lYaqBhU8_DElYkX7l4wRkHqqCUFNJY4AfY3kHU/edit?usp=sharing  #gid=0"",""фіз особи new!relations_name""),6,FALSE)
,
(IF
(
G10254=""юридична особа""
,
VLOO"&amp;"KUP(H10254,IMPORTRANGE(""https://docs.google.com/spreadsheets/d/14Bd19lYaqBhU8_DElYkX7l4wRkHqqCUFNJY4AfY3kHU/edit?usp=sharing  #gid=0"",""фіз особи new!relations_name_uo""),7,FALSE)
,
)
))"),"КАЗАНЦЕВА Анаїда Львівна")</f>
        <v>КАЗАНЦЕВА Анаїда Львівна</v>
      </c>
      <c r="J10253" s="7" t="s">
        <v>29</v>
      </c>
    </row>
    <row r="10254" spans="1:10" ht="13.2">
      <c r="A10254" s="7">
        <v>10253</v>
      </c>
      <c r="B10254" s="7">
        <v>1</v>
      </c>
      <c r="C10254" s="7" t="s">
        <v>10</v>
      </c>
      <c r="D10254" s="7">
        <v>13030</v>
      </c>
      <c r="E10254" s="7" t="s">
        <v>11</v>
      </c>
      <c r="F10254" s="8" t="str">
        <f ca="1">IFERROR(__xludf.DUMMYFUNCTION("IF
(
C10255=""фізична особа""
,
VLOOKUP(D10255,IMPORTRANGE(""https://docs.google.com/spreadsheets/d/14Bd19lYaqBhU8_DElYkX7l4wRkHqqCUFNJY4AfY3kHU/edit?usp=sharing  #gid=0"",""фіз особи new!relations_name""),6,FALSE)
,
(IF
(
C10255=""юридична особа""
,
VLOO"&amp;"KUP(D10255,IMPORTRANGE(""https://docs.google.com/spreadsheets/d/14Bd19lYaqBhU8_DElYkX7l4wRkHqqCUFNJY4AfY3kHU/edit?usp=sharing  #gid=0"",""фіз особи new!relations_name_uo""),7,FALSE)
,
)
))"),"ЮРЄВІЧ (Юревич) Михайло Валерійович")</f>
        <v>ЮРЄВІЧ (Юревич) Михайло Валерійович</v>
      </c>
      <c r="G10254" s="7" t="s">
        <v>10</v>
      </c>
      <c r="H10254" s="7">
        <v>786</v>
      </c>
      <c r="I10254" s="8" t="str">
        <f ca="1">IFERROR(__xludf.DUMMYFUNCTION("IF
(
G10255=""фізична особа""
,
VLOOKUP(H10255,IMPORTRANGE(""https://docs.google.com/spreadsheets/d/14Bd19lYaqBhU8_DElYkX7l4wRkHqqCUFNJY4AfY3kHU/edit?usp=sharing  #gid=0"",""фіз особи new!relations_name""),6,FALSE)
,
(IF
(
G10255=""юридична особа""
,
VLOO"&amp;"KUP(H10255,IMPORTRANGE(""https://docs.google.com/spreadsheets/d/14Bd19lYaqBhU8_DElYkX7l4wRkHqqCUFNJY4AfY3kHU/edit?usp=sharing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J10254" s="7" t="s">
        <v>11</v>
      </c>
    </row>
    <row r="10255" spans="1:10" ht="13.2">
      <c r="A10255" s="7">
        <v>10254</v>
      </c>
      <c r="B10255" s="7">
        <v>1</v>
      </c>
      <c r="C10255" s="7" t="s">
        <v>10</v>
      </c>
      <c r="D10255" s="7">
        <v>13098</v>
      </c>
      <c r="E10255" s="7" t="s">
        <v>23</v>
      </c>
      <c r="F10255" s="8" t="str">
        <f ca="1">IFERROR(__xludf.DUMMYFUNCTION("IF
(
C10256=""фізична особа""
,
VLOOKUP(D10256,IMPORTRANGE(""https://docs.google.com/spreadsheets/d/14Bd19lYaqBhU8_DElYkX7l4wRkHqqCUFNJY4AfY3kHU/edit?usp=sharing  #gid=0"",""фіз особи new!relations_name""),6,FALSE)
,
(IF
(
C10256=""юридична особа""
,
VLOO"&amp;"KUP(D10256,IMPORTRANGE(""https://docs.google.com/spreadsheets/d/14Bd19lYaqBhU8_DElYkX7l4wRkHqqCUFNJY4AfY3kHU/edit?usp=sharing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55" s="7" t="s">
        <v>10</v>
      </c>
      <c r="H10255" s="7">
        <v>8818</v>
      </c>
      <c r="I10255" s="8" t="str">
        <f ca="1">IFERROR(__xludf.DUMMYFUNCTION("IF
(
G10256=""фізична особа""
,
VLOOKUP(H10256,IMPORTRANGE(""https://docs.google.com/spreadsheets/d/14Bd19lYaqBhU8_DElYkX7l4wRkHqqCUFNJY4AfY3kHU/edit?usp=sharing  #gid=0"",""фіз особи new!relations_name""),6,FALSE)
,
(IF
(
G10256=""юридична особа""
,
VLOO"&amp;"KUP(H10256,IMPORTRANGE(""https://docs.google.com/spreadsheets/d/14Bd19lYaqBhU8_DElYkX7l4wRkHqqCUFNJY4AfY3kHU/edit?usp=sharing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0255" s="7" t="s">
        <v>23</v>
      </c>
    </row>
    <row r="10256" spans="1:10" ht="13.2">
      <c r="A10256" s="7">
        <v>10255</v>
      </c>
      <c r="B10256" s="7">
        <v>1</v>
      </c>
      <c r="C10256" s="7" t="s">
        <v>10</v>
      </c>
      <c r="D10256" s="7">
        <v>13098</v>
      </c>
      <c r="E10256" s="7" t="s">
        <v>18</v>
      </c>
      <c r="F10256" s="8" t="str">
        <f ca="1">IFERROR(__xludf.DUMMYFUNCTION("IF
(
C10257=""фізична особа""
,
VLOOKUP(D10257,IMPORTRANGE(""https://docs.google.com/spreadsheets/d/14Bd19lYaqBhU8_DElYkX7l4wRkHqqCUFNJY4AfY3kHU/edit?usp=sharing  #gid=0"",""фіз особи new!relations_name""),6,FALSE)
,
(IF
(
C10257=""юридична особа""
,
VLOO"&amp;"KUP(D10257,IMPORTRANGE(""https://docs.google.com/spreadsheets/d/14Bd19lYaqBhU8_DElYkX7l4wRkHqqCUFNJY4AfY3kHU/edit?usp=sharing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56" s="7" t="s">
        <v>10</v>
      </c>
      <c r="H10256" s="7">
        <v>19587</v>
      </c>
      <c r="I10256" s="8" t="str">
        <f ca="1">IFERROR(__xludf.DUMMYFUNCTION("IF
(
G10257=""фізична особа""
,
VLOOKUP(H10257,IMPORTRANGE(""https://docs.google.com/spreadsheets/d/14Bd19lYaqBhU8_DElYkX7l4wRkHqqCUFNJY4AfY3kHU/edit?usp=sharing  #gid=0"",""фіз особи new!relations_name""),6,FALSE)
,
(IF
(
G10257=""юридична особа""
,
VLOO"&amp;"KUP(H10257,IMPORTRANGE(""https://docs.google.com/spreadsheets/d/14Bd19lYaqBhU8_DElYkX7l4wRkHqqCUFNJY4AfY3kHU/edit?usp=sharing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J10256" s="7" t="s">
        <v>18</v>
      </c>
    </row>
    <row r="10257" spans="1:10" ht="13.2">
      <c r="A10257" s="7">
        <v>10256</v>
      </c>
      <c r="B10257" s="7">
        <v>1</v>
      </c>
      <c r="C10257" s="7" t="s">
        <v>10</v>
      </c>
      <c r="D10257" s="7">
        <v>13098</v>
      </c>
      <c r="E10257" s="7" t="s">
        <v>23</v>
      </c>
      <c r="F10257" s="8" t="str">
        <f ca="1">IFERROR(__xludf.DUMMYFUNCTION("IF
(
C10258=""фізична особа""
,
VLOOKUP(D10258,IMPORTRANGE(""https://docs.google.com/spreadsheets/d/14Bd19lYaqBhU8_DElYkX7l4wRkHqqCUFNJY4AfY3kHU/edit?usp=sharing  #gid=0"",""фіз особи new!relations_name""),6,FALSE)
,
(IF
(
C10258=""юридична особа""
,
VLOO"&amp;"KUP(D10258,IMPORTRANGE(""https://docs.google.com/spreadsheets/d/14Bd19lYaqBhU8_DElYkX7l4wRkHqqCUFNJY4AfY3kHU/edit?usp=sharing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57" s="7" t="s">
        <v>10</v>
      </c>
      <c r="H10257" s="7">
        <v>23604</v>
      </c>
      <c r="I10257" s="8" t="str">
        <f ca="1">IFERROR(__xludf.DUMMYFUNCTION("IF
(
G10258=""фізична особа""
,
VLOOKUP(H10258,IMPORTRANGE(""https://docs.google.com/spreadsheets/d/14Bd19lYaqBhU8_DElYkX7l4wRkHqqCUFNJY4AfY3kHU/edit?usp=sharing  #gid=0"",""фіз особи new!relations_name""),6,FALSE)
,
(IF
(
G10258=""юридична особа""
,
VLOO"&amp;"KUP(H10258,IMPORTRANGE(""https://docs.google.com/spreadsheets/d/14Bd19lYaqBhU8_DElYkX7l4wRkHqqCUFNJY4AfY3kHU/edit?usp=sharing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0257" s="7" t="s">
        <v>23</v>
      </c>
    </row>
    <row r="10258" spans="1:10" ht="13.2">
      <c r="A10258" s="7">
        <v>10257</v>
      </c>
      <c r="B10258" s="7">
        <v>1</v>
      </c>
      <c r="C10258" s="7" t="s">
        <v>10</v>
      </c>
      <c r="D10258" s="7">
        <v>13098</v>
      </c>
      <c r="E10258" s="7" t="s">
        <v>23</v>
      </c>
      <c r="F10258" s="8" t="str">
        <f ca="1">IFERROR(__xludf.DUMMYFUNCTION("IF
(
C10259=""фізична особа""
,
VLOOKUP(D10259,IMPORTRANGE(""https://docs.google.com/spreadsheets/d/14Bd19lYaqBhU8_DElYkX7l4wRkHqqCUFNJY4AfY3kHU/edit?usp=sharing  #gid=0"",""фіз особи new!relations_name""),6,FALSE)
,
(IF
(
C10259=""юридична особа""
,
VLOO"&amp;"KUP(D10259,IMPORTRANGE(""https://docs.google.com/spreadsheets/d/14Bd19lYaqBhU8_DElYkX7l4wRkHqqCUFNJY4AfY3kHU/edit?usp=sharing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58" s="7" t="s">
        <v>10</v>
      </c>
      <c r="H10258" s="7">
        <v>23605</v>
      </c>
      <c r="I10258" s="8" t="str">
        <f ca="1">IFERROR(__xludf.DUMMYFUNCTION("IF
(
G10259=""фізична особа""
,
VLOOKUP(H10259,IMPORTRANGE(""https://docs.google.com/spreadsheets/d/14Bd19lYaqBhU8_DElYkX7l4wRkHqqCUFNJY4AfY3kHU/edit?usp=sharing  #gid=0"",""фіз особи new!relations_name""),6,FALSE)
,
(IF
(
G10259=""юридична особа""
,
VLOO"&amp;"KUP(H10259,IMPORTRANGE(""https://docs.google.com/spreadsheets/d/14Bd19lYaqBhU8_DElYkX7l4wRkHqqCUFNJY4AfY3kHU/edit?usp=sharing  #gid=0"",""фіз особи new!relations_name_uo""),7,FALSE)
,
)
))"),"КУЗНЄЦОВ Сергій Владиславович")</f>
        <v>КУЗНЄЦОВ Сергій Владиславович</v>
      </c>
      <c r="J10258" s="7" t="s">
        <v>23</v>
      </c>
    </row>
    <row r="10259" spans="1:10" ht="13.2">
      <c r="A10259" s="7">
        <v>10258</v>
      </c>
      <c r="B10259" s="7">
        <v>1</v>
      </c>
      <c r="C10259" s="7" t="s">
        <v>10</v>
      </c>
      <c r="D10259" s="7">
        <v>13098</v>
      </c>
      <c r="E10259" s="7" t="s">
        <v>23</v>
      </c>
      <c r="F10259" s="8" t="str">
        <f ca="1">IFERROR(__xludf.DUMMYFUNCTION("IF
(
C10260=""фізична особа""
,
VLOOKUP(D10260,IMPORTRANGE(""https://docs.google.com/spreadsheets/d/14Bd19lYaqBhU8_DElYkX7l4wRkHqqCUFNJY4AfY3kHU/edit?usp=sharing  #gid=0"",""фіз особи new!relations_name""),6,FALSE)
,
(IF
(
C10260=""юридична особа""
,
VLOO"&amp;"KUP(D10260,IMPORTRANGE(""https://docs.google.com/spreadsheets/d/14Bd19lYaqBhU8_DElYkX7l4wRkHqqCUFNJY4AfY3kHU/edit?usp=sharing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59" s="7" t="s">
        <v>10</v>
      </c>
      <c r="H10259" s="7">
        <v>19711</v>
      </c>
      <c r="I10259" s="8" t="str">
        <f ca="1">IFERROR(__xludf.DUMMYFUNCTION("IF
(
G10260=""фізична особа""
,
VLOOKUP(H10260,IMPORTRANGE(""https://docs.google.com/spreadsheets/d/14Bd19lYaqBhU8_DElYkX7l4wRkHqqCUFNJY4AfY3kHU/edit?usp=sharing  #gid=0"",""фіз особи new!relations_name""),6,FALSE)
,
(IF
(
G10260=""юридична особа""
,
VLOO"&amp;"KUP(H10260,IMPORTRANGE(""https://docs.google.com/spreadsheets/d/14Bd19lYaqBhU8_DElYkX7l4wRkHqqCUFNJY4AfY3kHU/edit?usp=sharing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0259" s="7" t="s">
        <v>23</v>
      </c>
    </row>
    <row r="10260" spans="1:10" ht="13.2">
      <c r="A10260" s="7">
        <v>10259</v>
      </c>
      <c r="B10260" s="7">
        <v>1</v>
      </c>
      <c r="C10260" s="7" t="s">
        <v>10</v>
      </c>
      <c r="D10260" s="7">
        <v>13098</v>
      </c>
      <c r="E10260" s="7" t="s">
        <v>23</v>
      </c>
      <c r="F10260" s="8" t="str">
        <f ca="1">IFERROR(__xludf.DUMMYFUNCTION("IF
(
C10261=""фізична особа""
,
VLOOKUP(D10261,IMPORTRANGE(""https://docs.google.com/spreadsheets/d/14Bd19lYaqBhU8_DElYkX7l4wRkHqqCUFNJY4AfY3kHU/edit?usp=sharing  #gid=0"",""фіз особи new!relations_name""),6,FALSE)
,
(IF
(
C10261=""юридична особа""
,
VLOO"&amp;"KUP(D10261,IMPORTRANGE(""https://docs.google.com/spreadsheets/d/14Bd19lYaqBhU8_DElYkX7l4wRkHqqCUFNJY4AfY3kHU/edit?usp=sharing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60" s="7" t="s">
        <v>10</v>
      </c>
      <c r="H10260" s="7">
        <v>19715</v>
      </c>
      <c r="I10260" s="8" t="str">
        <f ca="1">IFERROR(__xludf.DUMMYFUNCTION("IF
(
G10261=""фізична особа""
,
VLOOKUP(H10261,IMPORTRANGE(""https://docs.google.com/spreadsheets/d/14Bd19lYaqBhU8_DElYkX7l4wRkHqqCUFNJY4AfY3kHU/edit?usp=sharing  #gid=0"",""фіз особи new!relations_name""),6,FALSE)
,
(IF
(
G10261=""юридична особа""
,
VLOO"&amp;"KUP(H10261,IMPORTRANGE(""https://docs.google.com/spreadsheets/d/14Bd19lYaqBhU8_DElYkX7l4wRkHqqCUFNJY4AfY3kHU/edit?usp=sharing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J10260" s="7" t="s">
        <v>23</v>
      </c>
    </row>
    <row r="10261" spans="1:10" ht="13.2">
      <c r="A10261" s="7">
        <v>10260</v>
      </c>
      <c r="B10261" s="7">
        <v>1</v>
      </c>
      <c r="C10261" s="7" t="s">
        <v>10</v>
      </c>
      <c r="D10261" s="7">
        <v>13098</v>
      </c>
      <c r="E10261" s="7" t="s">
        <v>23</v>
      </c>
      <c r="F10261" s="8" t="str">
        <f ca="1">IFERROR(__xludf.DUMMYFUNCTION("IF
(
C10262=""фізична особа""
,
VLOOKUP(D10262,IMPORTRANGE(""https://docs.google.com/spreadsheets/d/14Bd19lYaqBhU8_DElYkX7l4wRkHqqCUFNJY4AfY3kHU/edit?usp=sharing  #gid=0"",""фіз особи new!relations_name""),6,FALSE)
,
(IF
(
C10262=""юридична особа""
,
VLOO"&amp;"KUP(D10262,IMPORTRANGE(""https://docs.google.com/spreadsheets/d/14Bd19lYaqBhU8_DElYkX7l4wRkHqqCUFNJY4AfY3kHU/edit?usp=sharing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61" s="7" t="s">
        <v>10</v>
      </c>
      <c r="H10261" s="7">
        <v>23606</v>
      </c>
      <c r="I10261" s="8" t="str">
        <f ca="1">IFERROR(__xludf.DUMMYFUNCTION("IF
(
G10262=""фізична особа""
,
VLOOKUP(H10262,IMPORTRANGE(""https://docs.google.com/spreadsheets/d/14Bd19lYaqBhU8_DElYkX7l4wRkHqqCUFNJY4AfY3kHU/edit?usp=sharing  #gid=0"",""фіз особи new!relations_name""),6,FALSE)
,
(IF
(
G10262=""юридична особа""
,
VLOO"&amp;"KUP(H10262,IMPORTRANGE(""https://docs.google.com/spreadsheets/d/14Bd19lYaqBhU8_DElYkX7l4wRkHqqCUFNJY4AfY3kHU/edit?usp=sharing  #gid=0"",""фіз особи new!relations_name_uo""),7,FALSE)
,
)
))"),"НОСЕНКО Сергій Михайлович")</f>
        <v>НОСЕНКО Сергій Михайлович</v>
      </c>
      <c r="J10261" s="7" t="s">
        <v>23</v>
      </c>
    </row>
    <row r="10262" spans="1:10" ht="13.2">
      <c r="A10262" s="7">
        <v>10261</v>
      </c>
      <c r="B10262" s="7">
        <v>1</v>
      </c>
      <c r="C10262" s="7" t="s">
        <v>10</v>
      </c>
      <c r="D10262" s="7">
        <v>13098</v>
      </c>
      <c r="E10262" s="7" t="s">
        <v>23</v>
      </c>
      <c r="F10262" s="8" t="str">
        <f ca="1">IFERROR(__xludf.DUMMYFUNCTION("IF
(
C10263=""фізична особа""
,
VLOOKUP(D10263,IMPORTRANGE(""https://docs.google.com/spreadsheets/d/14Bd19lYaqBhU8_DElYkX7l4wRkHqqCUFNJY4AfY3kHU/edit?usp=sharing  #gid=0"",""фіз особи new!relations_name""),6,FALSE)
,
(IF
(
C10263=""юридична особа""
,
VLOO"&amp;"KUP(D10263,IMPORTRANGE(""https://docs.google.com/spreadsheets/d/14Bd19lYaqBhU8_DElYkX7l4wRkHqqCUFNJY4AfY3kHU/edit?usp=sharing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62" s="7" t="s">
        <v>10</v>
      </c>
      <c r="H10262" s="7">
        <v>23607</v>
      </c>
      <c r="I10262" s="8" t="str">
        <f ca="1">IFERROR(__xludf.DUMMYFUNCTION("IF
(
G10263=""фізична особа""
,
VLOOKUP(H10263,IMPORTRANGE(""https://docs.google.com/spreadsheets/d/14Bd19lYaqBhU8_DElYkX7l4wRkHqqCUFNJY4AfY3kHU/edit?usp=sharing  #gid=0"",""фіз особи new!relations_name""),6,FALSE)
,
(IF
(
G10263=""юридична особа""
,
VLOO"&amp;"KUP(H10263,IMPORTRANGE(""https://docs.google.com/spreadsheets/d/14Bd19lYaqBhU8_DElYkX7l4wRkHqqCUFNJY4AfY3kHU/edit?usp=sharing  #gid=0"",""фіз особи new!relations_name_uo""),7,FALSE)
,
)
))"),"АНДРЮШКІН Дмитро Олександрович")</f>
        <v>АНДРЮШКІН Дмитро Олександрович</v>
      </c>
      <c r="J10262" s="7" t="s">
        <v>23</v>
      </c>
    </row>
    <row r="10263" spans="1:10" ht="13.2">
      <c r="A10263" s="7">
        <v>10262</v>
      </c>
      <c r="B10263" s="7">
        <v>1</v>
      </c>
      <c r="C10263" s="7" t="s">
        <v>10</v>
      </c>
      <c r="D10263" s="7">
        <v>13098</v>
      </c>
      <c r="E10263" s="7" t="s">
        <v>23</v>
      </c>
      <c r="F10263" s="8" t="str">
        <f ca="1">IFERROR(__xludf.DUMMYFUNCTION("IF
(
C10264=""фізична особа""
,
VLOOKUP(D10264,IMPORTRANGE(""https://docs.google.com/spreadsheets/d/14Bd19lYaqBhU8_DElYkX7l4wRkHqqCUFNJY4AfY3kHU/edit?usp=sharing  #gid=0"",""фіз особи new!relations_name""),6,FALSE)
,
(IF
(
C10264=""юридична особа""
,
VLOO"&amp;"KUP(D10264,IMPORTRANGE(""https://docs.google.com/spreadsheets/d/14Bd19lYaqBhU8_DElYkX7l4wRkHqqCUFNJY4AfY3kHU/edit?usp=sharing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G10263" s="7" t="s">
        <v>10</v>
      </c>
      <c r="H10263" s="7">
        <v>0</v>
      </c>
      <c r="I10263" s="8" t="str">
        <f ca="1">IFERROR(__xludf.DUMMYFUNCTION("IF
(
G10264=""фізична особа""
,
VLOOKUP(H10264,IMPORTRANGE(""https://docs.google.com/spreadsheets/d/14Bd19lYaqBhU8_DElYkX7l4wRkHqqCUFNJY4AfY3kHU/edit?usp=sharing  #gid=0"",""фіз особи new!relations_name""),6,FALSE)
,
(IF
(
G10264=""юридична особа""
,
VLOO"&amp;"KUP(H10264,IMPORTRANGE(""https://docs.google.com/spreadsheets/d/14Bd19lYaqBhU8_DElYkX7l4wRkHqqCUFNJY4AfY3kHU/edit?usp=sharing  #gid=0"",""фіз особи new!relations_name_uo""),7,FALSE)
,
)
))"),"#N/A")</f>
        <v>#N/A</v>
      </c>
      <c r="J10263" s="7" t="s">
        <v>23</v>
      </c>
    </row>
    <row r="10264" spans="1:10" ht="13.2">
      <c r="A10264" s="7">
        <v>10263</v>
      </c>
      <c r="B10264" s="7">
        <v>1</v>
      </c>
      <c r="C10264" s="7" t="s">
        <v>10</v>
      </c>
      <c r="D10264" s="7">
        <v>15416</v>
      </c>
      <c r="E10264" s="7" t="s">
        <v>15</v>
      </c>
      <c r="F10264" s="8" t="str">
        <f ca="1">IFERROR(__xludf.DUMMYFUNCTION("IF
(
C10265=""фізична особа""
,
VLOOKUP(D10265,IMPORTRANGE(""https://docs.google.com/spreadsheets/d/14Bd19lYaqBhU8_DElYkX7l4wRkHqqCUFNJY4AfY3kHU/edit?usp=sharing  #gid=0"",""фіз особи new!relations_name""),6,FALSE)
,
(IF
(
C10265=""юридична особа""
,
VLOO"&amp;"KUP(D10265,IMPORTRANGE(""https://docs.google.com/spreadsheets/d/14Bd19lYaqBhU8_DElYkX7l4wRkHqqCUFNJY4AfY3kHU/edit?usp=sharing  #gid=0"",""фіз особи new!relations_name_uo""),7,FALSE)
,
)
))"),"ШАРІЙ (БОНДАРЕНКО) Ольга Олексіївна")</f>
        <v>ШАРІЙ (БОНДАРЕНКО) Ольга Олексіївна</v>
      </c>
      <c r="G10264" s="7" t="s">
        <v>10</v>
      </c>
      <c r="H10264" s="7">
        <v>2215</v>
      </c>
      <c r="I10264" s="8" t="str">
        <f ca="1">IFERROR(__xludf.DUMMYFUNCTION("IF
(
G10265=""фізична особа""
,
VLOOKUP(H10265,IMPORTRANGE(""https://docs.google.com/spreadsheets/d/14Bd19lYaqBhU8_DElYkX7l4wRkHqqCUFNJY4AfY3kHU/edit?usp=sharing  #gid=0"",""фіз особи new!relations_name""),6,FALSE)
,
(IF
(
G10265=""юридична особа""
,
VLOO"&amp;"KUP(H10265,IMPORTRANGE(""https://docs.google.com/spreadsheets/d/14Bd19lYaqBhU8_DElYkX7l4wRkHqqCUFNJY4AfY3kHU/edit?usp=sharing  #gid=0"",""фіз особи new!relations_name_uo""),7,FALSE)
,
)
))"),"ШАРІЙ Анатолій Анатолійович")</f>
        <v>ШАРІЙ Анатолій Анатолійович</v>
      </c>
      <c r="J10264" s="7" t="s">
        <v>14</v>
      </c>
    </row>
    <row r="10265" spans="1:10" ht="13.2">
      <c r="A10265" s="7">
        <v>10264</v>
      </c>
      <c r="B10265" s="7">
        <v>1</v>
      </c>
      <c r="C10265" s="7" t="s">
        <v>10</v>
      </c>
      <c r="D10265" s="7">
        <v>15425</v>
      </c>
      <c r="E10265" s="7" t="s">
        <v>97</v>
      </c>
      <c r="F10265" s="8" t="str">
        <f ca="1">IFERROR(__xludf.DUMMYFUNCTION("IF
(
C10266=""фізична особа""
,
VLOOKUP(D10266,IMPORTRANGE(""https://docs.google.com/spreadsheets/d/14Bd19lYaqBhU8_DElYkX7l4wRkHqqCUFNJY4AfY3kHU/edit?usp=sharing  #gid=0"",""фіз особи new!relations_name""),6,FALSE)
,
(IF
(
C10266=""юридична особа""
,
VLOO"&amp;"KUP(D10266,IMPORTRANGE(""https://docs.google.com/spreadsheets/d/14Bd19lYaqBhU8_DElYkX7l4wRkHqqCUFNJY4AfY3kHU/edit?usp=sharing  #gid=0"",""фіз особи new!relations_name_uo""),7,FALSE)
,
)
))"),"ПУТІН Роман Ігорович")</f>
        <v>ПУТІН Роман Ігорович</v>
      </c>
      <c r="G10265" s="7" t="s">
        <v>10</v>
      </c>
      <c r="H10265" s="7">
        <v>880</v>
      </c>
      <c r="I10265" s="8" t="str">
        <f ca="1">IFERROR(__xludf.DUMMYFUNCTION("IF
(
G10266=""фізична особа""
,
VLOOKUP(H10266,IMPORTRANGE(""https://docs.google.com/spreadsheets/d/14Bd19lYaqBhU8_DElYkX7l4wRkHqqCUFNJY4AfY3kHU/edit?usp=sharing  #gid=0"",""фіз особи new!relations_name""),6,FALSE)
,
(IF
(
G10266=""юридична особа""
,
VLOO"&amp;"KUP(H10266,IMPORTRANGE(""https://docs.google.com/spreadsheets/d/14Bd19lYaqBhU8_DElYkX7l4wRkHqqCUFNJY4AfY3kHU/edit?usp=sharing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265" s="7" t="s">
        <v>71</v>
      </c>
    </row>
    <row r="10266" spans="1:10" ht="13.2">
      <c r="A10266" s="7">
        <v>10265</v>
      </c>
      <c r="B10266" s="7">
        <v>1</v>
      </c>
      <c r="C10266" s="7" t="s">
        <v>10</v>
      </c>
      <c r="D10266" s="7">
        <v>15425</v>
      </c>
      <c r="E10266" s="7" t="s">
        <v>17</v>
      </c>
      <c r="F10266" s="8" t="str">
        <f ca="1">IFERROR(__xludf.DUMMYFUNCTION("IF
(
C10267=""фізична особа""
,
VLOOKUP(D10267,IMPORTRANGE(""https://docs.google.com/spreadsheets/d/14Bd19lYaqBhU8_DElYkX7l4wRkHqqCUFNJY4AfY3kHU/edit?usp=sharing  #gid=0"",""фіз особи new!relations_name""),6,FALSE)
,
(IF
(
C10267=""юридична особа""
,
VLOO"&amp;"KUP(D10267,IMPORTRANGE(""https://docs.google.com/spreadsheets/d/14Bd19lYaqBhU8_DElYkX7l4wRkHqqCUFNJY4AfY3kHU/edit?usp=sharing  #gid=0"",""фіз особи new!relations_name_uo""),7,FALSE)
,
)
))"),"ПУТІН Роман Ігорович")</f>
        <v>ПУТІН Роман Ігорович</v>
      </c>
      <c r="G10266" s="7" t="s">
        <v>10</v>
      </c>
      <c r="H10266" s="7">
        <v>2282</v>
      </c>
      <c r="I10266" s="8" t="str">
        <f ca="1">IFERROR(__xludf.DUMMYFUNCTION("IF
(
G10267=""фізична особа""
,
VLOOKUP(H10267,IMPORTRANGE(""https://docs.google.com/spreadsheets/d/14Bd19lYaqBhU8_DElYkX7l4wRkHqqCUFNJY4AfY3kHU/edit?usp=sharing  #gid=0"",""фіз особи new!relations_name""),6,FALSE)
,
(IF
(
G10267=""юридична особа""
,
VLOO"&amp;"KUP(H10267,IMPORTRANGE(""https://docs.google.com/spreadsheets/d/14Bd19lYaqBhU8_DElYkX7l4wRkHqqCUFNJY4AfY3kHU/edit?usp=sharing  #gid=0"",""фіз особи new!relations_name_uo""),7,FALSE)
,
)
))"),"ПУТІН Ігор Олександрович")</f>
        <v>ПУТІН Ігор Олександрович</v>
      </c>
      <c r="J10266" s="7" t="s">
        <v>12</v>
      </c>
    </row>
    <row r="10267" spans="1:10" ht="13.2">
      <c r="A10267" s="7">
        <v>10266</v>
      </c>
      <c r="B10267" s="7">
        <v>1</v>
      </c>
      <c r="C10267" s="7" t="s">
        <v>10</v>
      </c>
      <c r="D10267" s="7">
        <v>15426</v>
      </c>
      <c r="E10267" s="7" t="s">
        <v>14</v>
      </c>
      <c r="F10267" s="8" t="str">
        <f ca="1">IFERROR(__xludf.DUMMYFUNCTION("IF
(
C10268=""фізична особа""
,
VLOOKUP(D10268,IMPORTRANGE(""https://docs.google.com/spreadsheets/d/14Bd19lYaqBhU8_DElYkX7l4wRkHqqCUFNJY4AfY3kHU/edit?usp=sharing  #gid=0"",""фіз особи new!relations_name""),6,FALSE)
,
(IF
(
C10268=""юридична особа""
,
VLOO"&amp;"KUP(D10268,IMPORTRANGE(""https://docs.google.com/spreadsheets/d/14Bd19lYaqBhU8_DElYkX7l4wRkHqqCUFNJY4AfY3kHU/edit?usp=sharing  #gid=0"",""фіз особи new!relations_name_uo""),7,FALSE)
,
)
))"),"МІЛЬНЕР / БЕНЦІОНОВИЧ Юрій Борисович")</f>
        <v>МІЛЬНЕР / БЕНЦІОНОВИЧ Юрій Борисович</v>
      </c>
      <c r="G10267" s="7" t="s">
        <v>10</v>
      </c>
      <c r="H10267" s="7">
        <v>0</v>
      </c>
      <c r="I10267" s="8" t="str">
        <f ca="1">IFERROR(__xludf.DUMMYFUNCTION("IF
(
G10268=""фізична особа""
,
VLOOKUP(H10268,IMPORTRANGE(""https://docs.google.com/spreadsheets/d/14Bd19lYaqBhU8_DElYkX7l4wRkHqqCUFNJY4AfY3kHU/edit?usp=sharing  #gid=0"",""фіз особи new!relations_name""),6,FALSE)
,
(IF
(
G10268=""юридична особа""
,
VLOO"&amp;"KUP(H10268,IMPORTRANGE(""https://docs.google.com/spreadsheets/d/14Bd19lYaqBhU8_DElYkX7l4wRkHqqCUFNJY4AfY3kHU/edit?usp=sharing  #gid=0"",""фіз особи new!relations_name_uo""),7,FALSE)
,
)
))"),"#N/A")</f>
        <v>#N/A</v>
      </c>
      <c r="J10267" s="7" t="s">
        <v>15</v>
      </c>
    </row>
    <row r="10268" spans="1:10" ht="13.2">
      <c r="A10268" s="7">
        <v>10267</v>
      </c>
      <c r="B10268" s="7">
        <v>1</v>
      </c>
      <c r="C10268" s="7" t="s">
        <v>10</v>
      </c>
      <c r="D10268" s="7">
        <v>15426</v>
      </c>
      <c r="E10268" s="7" t="s">
        <v>23</v>
      </c>
      <c r="F10268" s="8" t="str">
        <f ca="1">IFERROR(__xludf.DUMMYFUNCTION("IF
(
C10269=""фізична особа""
,
VLOOKUP(D10269,IMPORTRANGE(""https://docs.google.com/spreadsheets/d/14Bd19lYaqBhU8_DElYkX7l4wRkHqqCUFNJY4AfY3kHU/edit?usp=sharing  #gid=0"",""фіз особи new!relations_name""),6,FALSE)
,
(IF
(
C10269=""юридична особа""
,
VLOO"&amp;"KUP(D10269,IMPORTRANGE(""https://docs.google.com/spreadsheets/d/14Bd19lYaqBhU8_DElYkX7l4wRkHqqCUFNJY4AfY3kHU/edit?usp=sharing  #gid=0"",""фіз особи new!relations_name_uo""),7,FALSE)
,
)
))"),"МІЛЬНЕР / БЕНЦІОНОВИЧ Юрій Борисович")</f>
        <v>МІЛЬНЕР / БЕНЦІОНОВИЧ Юрій Борисович</v>
      </c>
      <c r="G10268" s="7" t="s">
        <v>10</v>
      </c>
      <c r="H10268" s="7">
        <v>185</v>
      </c>
      <c r="I10268" s="8" t="str">
        <f ca="1">IFERROR(__xludf.DUMMYFUNCTION("IF
(
G10269=""фізична особа""
,
VLOOKUP(H10269,IMPORTRANGE(""https://docs.google.com/spreadsheets/d/14Bd19lYaqBhU8_DElYkX7l4wRkHqqCUFNJY4AfY3kHU/edit?usp=sharing  #gid=0"",""фіз особи new!relations_name""),6,FALSE)
,
(IF
(
G10269=""юридична особа""
,
VLOO"&amp;"KUP(H10269,IMPORTRANGE(""https://docs.google.com/spreadsheets/d/14Bd19lYaqBhU8_DElYkX7l4wRkHqqCUFNJY4AfY3kHU/edit?usp=sharing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0268" s="7" t="s">
        <v>23</v>
      </c>
    </row>
    <row r="10269" spans="1:10" ht="13.2">
      <c r="A10269" s="7">
        <v>10268</v>
      </c>
      <c r="B10269" s="7">
        <v>1</v>
      </c>
      <c r="C10269" s="7" t="s">
        <v>10</v>
      </c>
      <c r="D10269" s="7">
        <v>15427</v>
      </c>
      <c r="E10269" s="7" t="s">
        <v>12</v>
      </c>
      <c r="F10269" s="8" t="str">
        <f ca="1">IFERROR(__xludf.DUMMYFUNCTION("IF
(
C10270=""фізична особа""
,
VLOOKUP(D10270,IMPORTRANGE(""https://docs.google.com/spreadsheets/d/14Bd19lYaqBhU8_DElYkX7l4wRkHqqCUFNJY4AfY3kHU/edit?usp=sharing  #gid=0"",""фіз особи new!relations_name""),6,FALSE)
,
(IF
(
C10270=""юридична особа""
,
VLOO"&amp;"KUP(D10270,IMPORTRANGE(""https://docs.google.com/spreadsheets/d/14Bd19lYaqBhU8_DElYkX7l4wRkHqqCUFNJY4AfY3kHU/edit?usp=sharing  #gid=0"",""фіз особи new!relations_name_uo""),7,FALSE)
,
)
))"),"ЯКОБАШВІЛІ Давид Михайлович")</f>
        <v>ЯКОБАШВІЛІ Давид Михайлович</v>
      </c>
      <c r="G10269" s="7" t="s">
        <v>10</v>
      </c>
      <c r="H10269" s="7">
        <v>15428</v>
      </c>
      <c r="I10269" s="8" t="str">
        <f ca="1">IFERROR(__xludf.DUMMYFUNCTION("IF
(
G10270=""фізична особа""
,
VLOOKUP(H10270,IMPORTRANGE(""https://docs.google.com/spreadsheets/d/14Bd19lYaqBhU8_DElYkX7l4wRkHqqCUFNJY4AfY3kHU/edit?usp=sharing  #gid=0"",""фіз особи new!relations_name""),6,FALSE)
,
(IF
(
G10270=""юридична особа""
,
VLOO"&amp;"KUP(H10270,IMPORTRANGE(""https://docs.google.com/spreadsheets/d/14Bd19lYaqBhU8_DElYkX7l4wRkHqqCUFNJY4AfY3kHU/edit?usp=sharing  #gid=0"",""фіз особи new!relations_name_uo""),7,FALSE)
,
)
))"),"ЯКОБАШВІЛІ Михайло Давидович")</f>
        <v>ЯКОБАШВІЛІ Михайло Давидович</v>
      </c>
      <c r="J10269" s="7" t="s">
        <v>17</v>
      </c>
    </row>
    <row r="10270" spans="1:10" ht="13.2">
      <c r="A10270" s="7">
        <v>10269</v>
      </c>
      <c r="B10270" s="7">
        <v>1</v>
      </c>
      <c r="C10270" s="7" t="s">
        <v>10</v>
      </c>
      <c r="D10270" s="7">
        <v>15427</v>
      </c>
      <c r="E10270" s="7" t="s">
        <v>23</v>
      </c>
      <c r="F10270" s="8" t="str">
        <f ca="1">IFERROR(__xludf.DUMMYFUNCTION("IF
(
C10271=""фізична особа""
,
VLOOKUP(D10271,IMPORTRANGE(""https://docs.google.com/spreadsheets/d/14Bd19lYaqBhU8_DElYkX7l4wRkHqqCUFNJY4AfY3kHU/edit?usp=sharing  #gid=0"",""фіз особи new!relations_name""),6,FALSE)
,
(IF
(
C10271=""юридична особа""
,
VLOO"&amp;"KUP(D10271,IMPORTRANGE(""https://docs.google.com/spreadsheets/d/14Bd19lYaqBhU8_DElYkX7l4wRkHqqCUFNJY4AfY3kHU/edit?usp=sharing  #gid=0"",""фіз особи new!relations_name_uo""),7,FALSE)
,
)
))"),"ЯКОБАШВІЛІ Давид Михайлович")</f>
        <v>ЯКОБАШВІЛІ Давид Михайлович</v>
      </c>
      <c r="G10270" s="7" t="s">
        <v>10</v>
      </c>
      <c r="H10270" s="7">
        <v>2090</v>
      </c>
      <c r="I10270" s="8" t="str">
        <f ca="1">IFERROR(__xludf.DUMMYFUNCTION("IF
(
G10271=""фізична особа""
,
VLOOKUP(H10271,IMPORTRANGE(""https://docs.google.com/spreadsheets/d/14Bd19lYaqBhU8_DElYkX7l4wRkHqqCUFNJY4AfY3kHU/edit?usp=sharing  #gid=0"",""фіз особи new!relations_name""),6,FALSE)
,
(IF
(
G10271=""юридична особа""
,
VLOO"&amp;"KUP(H10271,IMPORTRANGE(""https://docs.google.com/spreadsheets/d/14Bd19lYaqBhU8_DElYkX7l4wRkHqqCUFNJY4AfY3kHU/edit?usp=sharing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10270" s="7" t="s">
        <v>23</v>
      </c>
    </row>
    <row r="10271" spans="1:10" ht="13.2">
      <c r="A10271" s="7">
        <v>10270</v>
      </c>
      <c r="B10271" s="7">
        <v>1</v>
      </c>
      <c r="C10271" s="7" t="s">
        <v>10</v>
      </c>
      <c r="D10271" s="7">
        <v>15428</v>
      </c>
      <c r="E10271" s="7" t="s">
        <v>17</v>
      </c>
      <c r="F10271" s="8" t="str">
        <f ca="1">IFERROR(__xludf.DUMMYFUNCTION("IF
(
C10272=""фізична особа""
,
VLOOKUP(D10272,IMPORTRANGE(""https://docs.google.com/spreadsheets/d/14Bd19lYaqBhU8_DElYkX7l4wRkHqqCUFNJY4AfY3kHU/edit?usp=sharing  #gid=0"",""фіз особи new!relations_name""),6,FALSE)
,
(IF
(
C10272=""юридична особа""
,
VLOO"&amp;"KUP(D10272,IMPORTRANGE(""https://docs.google.com/spreadsheets/d/14Bd19lYaqBhU8_DElYkX7l4wRkHqqCUFNJY4AfY3kHU/edit?usp=sharing  #gid=0"",""фіз особи new!relations_name_uo""),7,FALSE)
,
)
))"),"ЯКОБАШВІЛІ Михайло Давидович")</f>
        <v>ЯКОБАШВІЛІ Михайло Давидович</v>
      </c>
      <c r="G10271" s="7" t="s">
        <v>10</v>
      </c>
      <c r="H10271" s="7">
        <v>15427</v>
      </c>
      <c r="I10271" s="8" t="str">
        <f ca="1">IFERROR(__xludf.DUMMYFUNCTION("IF
(
G10272=""фізична особа""
,
VLOOKUP(H10272,IMPORTRANGE(""https://docs.google.com/spreadsheets/d/14Bd19lYaqBhU8_DElYkX7l4wRkHqqCUFNJY4AfY3kHU/edit?usp=sharing  #gid=0"",""фіз особи new!relations_name""),6,FALSE)
,
(IF
(
G10272=""юридична особа""
,
VLOO"&amp;"KUP(H10272,IMPORTRANGE(""https://docs.google.com/spreadsheets/d/14Bd19lYaqBhU8_DElYkX7l4wRkHqqCUFNJY4AfY3kHU/edit?usp=sharing  #gid=0"",""фіз особи new!relations_name_uo""),7,FALSE)
,
)
))"),"ЯКОБАШВІЛІ Давид Михайлович")</f>
        <v>ЯКОБАШВІЛІ Давид Михайлович</v>
      </c>
      <c r="J10271" s="7" t="s">
        <v>12</v>
      </c>
    </row>
    <row r="10272" spans="1:10" ht="13.2">
      <c r="A10272" s="7">
        <v>10271</v>
      </c>
      <c r="B10272" s="7">
        <v>1</v>
      </c>
      <c r="C10272" s="7" t="s">
        <v>10</v>
      </c>
      <c r="D10272" s="7">
        <v>15428</v>
      </c>
      <c r="E10272" s="7" t="s">
        <v>23</v>
      </c>
      <c r="F10272" s="8" t="str">
        <f ca="1">IFERROR(__xludf.DUMMYFUNCTION("IF
(
C10273=""фізична особа""
,
VLOOKUP(D10273,IMPORTRANGE(""https://docs.google.com/spreadsheets/d/14Bd19lYaqBhU8_DElYkX7l4wRkHqqCUFNJY4AfY3kHU/edit?usp=sharing  #gid=0"",""фіз особи new!relations_name""),6,FALSE)
,
(IF
(
C10273=""юридична особа""
,
VLOO"&amp;"KUP(D10273,IMPORTRANGE(""https://docs.google.com/spreadsheets/d/14Bd19lYaqBhU8_DElYkX7l4wRkHqqCUFNJY4AfY3kHU/edit?usp=sharing  #gid=0"",""фіз особи new!relations_name_uo""),7,FALSE)
,
)
))"),"ЯКОБАШВІЛІ Михайло Давидович")</f>
        <v>ЯКОБАШВІЛІ Михайло Давидович</v>
      </c>
      <c r="G10272" s="7" t="s">
        <v>10</v>
      </c>
      <c r="H10272" s="7">
        <v>2090</v>
      </c>
      <c r="I10272" s="8" t="str">
        <f ca="1">IFERROR(__xludf.DUMMYFUNCTION("IF
(
G10273=""фізична особа""
,
VLOOKUP(H10273,IMPORTRANGE(""https://docs.google.com/spreadsheets/d/14Bd19lYaqBhU8_DElYkX7l4wRkHqqCUFNJY4AfY3kHU/edit?usp=sharing  #gid=0"",""фіз особи new!relations_name""),6,FALSE)
,
(IF
(
G10273=""юридична особа""
,
VLOO"&amp;"KUP(H10273,IMPORTRANGE(""https://docs.google.com/spreadsheets/d/14Bd19lYaqBhU8_DElYkX7l4wRkHqqCUFNJY4AfY3kHU/edit?usp=sharing  #gid=0"",""фіз особи new!relations_name_uo""),7,FALSE)
,
)
))"),"ЄВТУШЕНКОВ Володимир Петрович")</f>
        <v>ЄВТУШЕНКОВ Володимир Петрович</v>
      </c>
      <c r="J10272" s="7" t="s">
        <v>23</v>
      </c>
    </row>
    <row r="10273" spans="1:10" ht="13.2">
      <c r="A10273" s="7">
        <v>10272</v>
      </c>
      <c r="B10273" s="7">
        <v>1</v>
      </c>
      <c r="C10273" s="7" t="s">
        <v>10</v>
      </c>
      <c r="D10273" s="7">
        <v>15429</v>
      </c>
      <c r="E10273" s="7" t="s">
        <v>14</v>
      </c>
      <c r="F10273" s="8" t="str">
        <f ca="1">IFERROR(__xludf.DUMMYFUNCTION("IF
(
C10274=""фізична особа""
,
VLOOKUP(D10274,IMPORTRANGE(""https://docs.google.com/spreadsheets/d/14Bd19lYaqBhU8_DElYkX7l4wRkHqqCUFNJY4AfY3kHU/edit?usp=sharing  #gid=0"",""фіз особи new!relations_name""),6,FALSE)
,
(IF
(
C10274=""юридична особа""
,
VLOO"&amp;"KUP(D10274,IMPORTRANGE(""https://docs.google.com/spreadsheets/d/14Bd19lYaqBhU8_DElYkX7l4wRkHqqCUFNJY4AfY3kHU/edit?usp=sharing  #gid=0"",""фіз особи new!relations_name_uo""),7,FALSE)
,
)
))"),"АРІСТОВ Олександр Михайлович")</f>
        <v>АРІСТОВ Олександр Михайлович</v>
      </c>
      <c r="G10273" s="7" t="s">
        <v>10</v>
      </c>
      <c r="H10273" s="7">
        <v>8771</v>
      </c>
      <c r="I10273" s="8" t="str">
        <f ca="1">IFERROR(__xludf.DUMMYFUNCTION("IF
(
G10274=""фізична особа""
,
VLOOKUP(H10274,IMPORTRANGE(""https://docs.google.com/spreadsheets/d/14Bd19lYaqBhU8_DElYkX7l4wRkHqqCUFNJY4AfY3kHU/edit?usp=sharing  #gid=0"",""фіз особи new!relations_name""),6,FALSE)
,
(IF
(
G10274=""юридична особа""
,
VLOO"&amp;"KUP(H10274,IMPORTRANGE(""https://docs.google.com/spreadsheets/d/14Bd19lYaqBhU8_DElYkX7l4wRkHqqCUFNJY4AfY3kHU/edit?usp=sharing  #gid=0"",""фіз особи new!relations_name_uo""),7,FALSE)
,
)
))"),"АРІСТОВА Людмила Василівна")</f>
        <v>АРІСТОВА Людмила Василівна</v>
      </c>
      <c r="J10273" s="7" t="s">
        <v>15</v>
      </c>
    </row>
    <row r="10274" spans="1:10" ht="13.2">
      <c r="A10274" s="7">
        <v>10273</v>
      </c>
      <c r="B10274" s="7">
        <v>1</v>
      </c>
      <c r="C10274" s="7" t="s">
        <v>10</v>
      </c>
      <c r="D10274" s="7">
        <v>15429</v>
      </c>
      <c r="E10274" s="7" t="s">
        <v>12</v>
      </c>
      <c r="F10274" s="8" t="str">
        <f ca="1">IFERROR(__xludf.DUMMYFUNCTION("IF
(
C10275=""фізична особа""
,
VLOOKUP(D10275,IMPORTRANGE(""https://docs.google.com/spreadsheets/d/14Bd19lYaqBhU8_DElYkX7l4wRkHqqCUFNJY4AfY3kHU/edit?usp=sharing  #gid=0"",""фіз особи new!relations_name""),6,FALSE)
,
(IF
(
C10275=""юридична особа""
,
VLOO"&amp;"KUP(D10275,IMPORTRANGE(""https://docs.google.com/spreadsheets/d/14Bd19lYaqBhU8_DElYkX7l4wRkHqqCUFNJY4AfY3kHU/edit?usp=sharing  #gid=0"",""фіз особи new!relations_name_uo""),7,FALSE)
,
)
))"),"АРІСТОВ Олександр Михайлович")</f>
        <v>АРІСТОВ Олександр Михайлович</v>
      </c>
      <c r="G10274" s="7" t="s">
        <v>10</v>
      </c>
      <c r="H10274" s="7">
        <v>8772</v>
      </c>
      <c r="I10274" s="8" t="str">
        <f ca="1">IFERROR(__xludf.DUMMYFUNCTION("IF
(
G10275=""фізична особа""
,
VLOOKUP(H10275,IMPORTRANGE(""https://docs.google.com/spreadsheets/d/14Bd19lYaqBhU8_DElYkX7l4wRkHqqCUFNJY4AfY3kHU/edit?usp=sharing  #gid=0"",""фіз особи new!relations_name""),6,FALSE)
,
(IF
(
G10275=""юридична особа""
,
VLOO"&amp;"KUP(H10275,IMPORTRANGE(""https://docs.google.com/spreadsheets/d/14Bd19lYaqBhU8_DElYkX7l4wRkHqqCUFNJY4AfY3kHU/edit?usp=sharing  #gid=0"",""фіз особи new!relations_name_uo""),7,FALSE)
,
)
))"),"КРЕТОВА Олена Олександрівна")</f>
        <v>КРЕТОВА Олена Олександрівна</v>
      </c>
      <c r="J10274" s="7" t="s">
        <v>13</v>
      </c>
    </row>
    <row r="10275" spans="1:10" ht="13.2">
      <c r="A10275" s="7">
        <v>10274</v>
      </c>
      <c r="B10275" s="7">
        <v>1</v>
      </c>
      <c r="C10275" s="7" t="s">
        <v>10</v>
      </c>
      <c r="D10275" s="7">
        <v>15429</v>
      </c>
      <c r="E10275" s="7" t="s">
        <v>24</v>
      </c>
      <c r="F10275" s="8" t="str">
        <f ca="1">IFERROR(__xludf.DUMMYFUNCTION("IF
(
C10276=""фізична особа""
,
VLOOKUP(D10276,IMPORTRANGE(""https://docs.google.com/spreadsheets/d/14Bd19lYaqBhU8_DElYkX7l4wRkHqqCUFNJY4AfY3kHU/edit?usp=sharing  #gid=0"",""фіз особи new!relations_name""),6,FALSE)
,
(IF
(
C10276=""юридична особа""
,
VLOO"&amp;"KUP(D10276,IMPORTRANGE(""https://docs.google.com/spreadsheets/d/14Bd19lYaqBhU8_DElYkX7l4wRkHqqCUFNJY4AfY3kHU/edit?usp=sharing  #gid=0"",""фіз особи new!relations_name_uo""),7,FALSE)
,
)
))"),"АРІСТОВ Олександр Михайлович")</f>
        <v>АРІСТОВ Олександр Михайлович</v>
      </c>
      <c r="G10275" s="7" t="s">
        <v>10</v>
      </c>
      <c r="H10275" s="7">
        <v>0</v>
      </c>
      <c r="I10275" s="8" t="str">
        <f ca="1">IFERROR(__xludf.DUMMYFUNCTION("IF
(
G10276=""фізична особа""
,
VLOOKUP(H10276,IMPORTRANGE(""https://docs.google.com/spreadsheets/d/14Bd19lYaqBhU8_DElYkX7l4wRkHqqCUFNJY4AfY3kHU/edit?usp=sharing  #gid=0"",""фіз особи new!relations_name""),6,FALSE)
,
(IF
(
G10276=""юридична особа""
,
VLOO"&amp;"KUP(H10276,IMPORTRANGE(""https://docs.google.com/spreadsheets/d/14Bd19lYaqBhU8_DElYkX7l4wRkHqqCUFNJY4AfY3kHU/edit?usp=sharing  #gid=0"",""фіз особи new!relations_name_uo""),7,FALSE)
,
)
))"),"#N/A")</f>
        <v>#N/A</v>
      </c>
      <c r="J10275" s="7" t="s">
        <v>26</v>
      </c>
    </row>
    <row r="10276" spans="1:10" ht="13.2">
      <c r="A10276" s="7">
        <v>10275</v>
      </c>
      <c r="B10276" s="7">
        <v>1</v>
      </c>
      <c r="C10276" s="7" t="s">
        <v>10</v>
      </c>
      <c r="D10276" s="7">
        <v>15430</v>
      </c>
      <c r="E10276" s="7" t="s">
        <v>15</v>
      </c>
      <c r="F10276" s="8" t="str">
        <f ca="1">IFERROR(__xludf.DUMMYFUNCTION("IF
(
C10277=""фізична особа""
,
VLOOKUP(D10277,IMPORTRANGE(""https://docs.google.com/spreadsheets/d/14Bd19lYaqBhU8_DElYkX7l4wRkHqqCUFNJY4AfY3kHU/edit?usp=sharing  #gid=0"",""фіз особи new!relations_name""),6,FALSE)
,
(IF
(
C10277=""юридична особа""
,
VLOO"&amp;"KUP(D10277,IMPORTRANGE(""https://docs.google.com/spreadsheets/d/14Bd19lYaqBhU8_DElYkX7l4wRkHqqCUFNJY4AfY3kHU/edit?usp=sharing  #gid=0"",""фіз особи new!relations_name_uo""),7,FALSE)
,
)
))"),"БИКОВСЬКА Наталія")</f>
        <v>БИКОВСЬКА Наталія</v>
      </c>
      <c r="G10276" s="7" t="s">
        <v>10</v>
      </c>
      <c r="H10276" s="7">
        <v>782</v>
      </c>
      <c r="I10276" s="8" t="str">
        <f ca="1">IFERROR(__xludf.DUMMYFUNCTION("IF
(
G10277=""фізична особа""
,
VLOOKUP(H10277,IMPORTRANGE(""https://docs.google.com/spreadsheets/d/14Bd19lYaqBhU8_DElYkX7l4wRkHqqCUFNJY4AfY3kHU/edit?usp=sharing  #gid=0"",""фіз особи new!relations_name""),6,FALSE)
,
(IF
(
G10277=""юридична особа""
,
VLOO"&amp;"KUP(H10277,IMPORTRANGE(""https://docs.google.com/spreadsheets/d/14Bd19lYaqBhU8_DElYkX7l4wRkHqqCUFNJY4AfY3kHU/edit?usp=sharing  #gid=0"",""фіз особи new!relations_name_uo""),7,FALSE)
,
)
))"),"МОШКОВИЧ Вадим Миколайович")</f>
        <v>МОШКОВИЧ Вадим Миколайович</v>
      </c>
      <c r="J10276" s="7" t="s">
        <v>14</v>
      </c>
    </row>
    <row r="10277" spans="1:10" ht="13.2">
      <c r="A10277" s="7">
        <v>10276</v>
      </c>
      <c r="B10277" s="7">
        <v>1</v>
      </c>
      <c r="C10277" s="7" t="s">
        <v>10</v>
      </c>
      <c r="D10277" s="7">
        <v>15431</v>
      </c>
      <c r="E10277" s="7" t="s">
        <v>15</v>
      </c>
      <c r="F10277" s="8" t="str">
        <f ca="1">IFERROR(__xludf.DUMMYFUNCTION("IF
(
C10278=""фізична особа""
,
VLOOKUP(D10278,IMPORTRANGE(""https://docs.google.com/spreadsheets/d/14Bd19lYaqBhU8_DElYkX7l4wRkHqqCUFNJY4AfY3kHU/edit?usp=sharing  #gid=0"",""фіз особи new!relations_name""),6,FALSE)
,
(IF
(
C10278=""юридична особа""
,
VLOO"&amp;"KUP(D10278,IMPORTRANGE(""https://docs.google.com/spreadsheets/d/14Bd19lYaqBhU8_DElYkX7l4wRkHqqCUFNJY4AfY3kHU/edit?usp=sharing  #gid=0"",""фіз особи new!relations_name_uo""),7,FALSE)
,
)
))"),"ТРОЦЕНКО Софія Сергіївна")</f>
        <v>ТРОЦЕНКО Софія Сергіївна</v>
      </c>
      <c r="G10277" s="7" t="s">
        <v>10</v>
      </c>
      <c r="H10277" s="7">
        <v>2079</v>
      </c>
      <c r="I10277" s="8" t="str">
        <f ca="1">IFERROR(__xludf.DUMMYFUNCTION("IF
(
G10278=""фізична особа""
,
VLOOKUP(H10278,IMPORTRANGE(""https://docs.google.com/spreadsheets/d/14Bd19lYaqBhU8_DElYkX7l4wRkHqqCUFNJY4AfY3kHU/edit?usp=sharing  #gid=0"",""фіз особи new!relations_name""),6,FALSE)
,
(IF
(
G10278=""юридична особа""
,
VLOO"&amp;"KUP(H10278,IMPORTRANGE(""https://docs.google.com/spreadsheets/d/14Bd19lYaqBhU8_DElYkX7l4wRkHqqCUFNJY4AfY3kHU/edit?usp=sharing  #gid=0"",""фіз особи new!relations_name_uo""),7,FALSE)
,
)
))"),"ТРОЦЕНКО Роман Вікторович")</f>
        <v>ТРОЦЕНКО Роман Вікторович</v>
      </c>
      <c r="J10277" s="7" t="s">
        <v>14</v>
      </c>
    </row>
    <row r="10278" spans="1:10" ht="13.2">
      <c r="A10278" s="7">
        <v>10277</v>
      </c>
      <c r="B10278" s="7">
        <v>1</v>
      </c>
      <c r="C10278" s="7" t="s">
        <v>10</v>
      </c>
      <c r="D10278" s="7">
        <v>15432</v>
      </c>
      <c r="E10278" s="7" t="s">
        <v>18</v>
      </c>
      <c r="F10278" s="8" t="str">
        <f ca="1">IFERROR(__xludf.DUMMYFUNCTION("IF
(
C10279=""фізична особа""
,
VLOOKUP(D10279,IMPORTRANGE(""https://docs.google.com/spreadsheets/d/14Bd19lYaqBhU8_DElYkX7l4wRkHqqCUFNJY4AfY3kHU/edit?usp=sharing  #gid=0"",""фіз особи new!relations_name""),6,FALSE)
,
(IF
(
C10279=""юридична особа""
,
VLOO"&amp;"KUP(D10279,IMPORTRANGE(""https://docs.google.com/spreadsheets/d/14Bd19lYaqBhU8_DElYkX7l4wRkHqqCUFNJY4AfY3kHU/edit?usp=sharing  #gid=0"",""фіз особи new!relations_name_uo""),7,FALSE)
,
)
))"),"САРКІСІВ Микола Едуардович")</f>
        <v>САРКІСІВ Микола Едуардович</v>
      </c>
      <c r="G10278" s="7" t="s">
        <v>10</v>
      </c>
      <c r="H10278" s="7">
        <v>8782</v>
      </c>
      <c r="I10278" s="8" t="str">
        <f ca="1">IFERROR(__xludf.DUMMYFUNCTION("IF
(
G10279=""фізична особа""
,
VLOOKUP(H10279,IMPORTRANGE(""https://docs.google.com/spreadsheets/d/14Bd19lYaqBhU8_DElYkX7l4wRkHqqCUFNJY4AfY3kHU/edit?usp=sharing  #gid=0"",""фіз особи new!relations_name""),6,FALSE)
,
(IF
(
G10279=""юридична особа""
,
VLOO"&amp;"KUP(H10279,IMPORTRANGE(""https://docs.google.com/spreadsheets/d/14Bd19lYaqBhU8_DElYkX7l4wRkHqqCUFNJY4AfY3kHU/edit?usp=sharing  #gid=0"",""фіз особи new!relations_name_uo""),7,FALSE)
,
)
))"),"САРКІСІВ Сергій Едуардович")</f>
        <v>САРКІСІВ Сергій Едуардович</v>
      </c>
      <c r="J10278" s="7" t="s">
        <v>18</v>
      </c>
    </row>
    <row r="10279" spans="1:10" ht="13.2">
      <c r="A10279" s="7">
        <v>10278</v>
      </c>
      <c r="B10279" s="7">
        <v>1</v>
      </c>
      <c r="C10279" s="7" t="s">
        <v>10</v>
      </c>
      <c r="D10279" s="7">
        <v>15433</v>
      </c>
      <c r="E10279" s="7" t="s">
        <v>43</v>
      </c>
      <c r="F10279" s="8" t="str">
        <f ca="1">IFERROR(__xludf.DUMMYFUNCTION("IF
(
C10280=""фізична особа""
,
VLOOKUP(D10280,IMPORTRANGE(""https://docs.google.com/spreadsheets/d/14Bd19lYaqBhU8_DElYkX7l4wRkHqqCUFNJY4AfY3kHU/edit?usp=sharing  #gid=0"",""фіз особи new!relations_name""),6,FALSE)
,
(IF
(
C10280=""юридична особа""
,
VLOO"&amp;"KUP(D10280,IMPORTRANGE(""https://docs.google.com/spreadsheets/d/14Bd19lYaqBhU8_DElYkX7l4wRkHqqCUFNJY4AfY3kHU/edit?usp=sharing  #gid=0"",""фіз особи new!relations_name_uo""),7,FALSE)
,
)
))"),"КЕСАЄВА Стелла Юріївна")</f>
        <v>КЕСАЄВА Стелла Юріївна</v>
      </c>
      <c r="G10279" s="7" t="s">
        <v>10</v>
      </c>
      <c r="H10279" s="7">
        <v>1994</v>
      </c>
      <c r="I10279" s="8" t="str">
        <f ca="1">IFERROR(__xludf.DUMMYFUNCTION("IF
(
G10280=""фізична особа""
,
VLOOKUP(H10280,IMPORTRANGE(""https://docs.google.com/spreadsheets/d/14Bd19lYaqBhU8_DElYkX7l4wRkHqqCUFNJY4AfY3kHU/edit?usp=sharing  #gid=0"",""фіз особи new!relations_name""),6,FALSE)
,
(IF
(
G10280=""юридична особа""
,
VLOO"&amp;"KUP(H10280,IMPORTRANGE(""https://docs.google.com/spreadsheets/d/14Bd19lYaqBhU8_DElYkX7l4wRkHqqCUFNJY4AfY3kHU/edit?usp=sharing  #gid=0"",""фіз особи new!relations_name_uo""),7,FALSE)
,
)
))"),"КЕСАЄВ Ігор Альбертович")</f>
        <v>КЕСАЄВ Ігор Альбертович</v>
      </c>
      <c r="J10279" s="7" t="s">
        <v>42</v>
      </c>
    </row>
    <row r="10280" spans="1:10" ht="13.2">
      <c r="A10280" s="7">
        <v>10279</v>
      </c>
      <c r="B10280" s="7">
        <v>1</v>
      </c>
      <c r="C10280" s="7" t="s">
        <v>10</v>
      </c>
      <c r="D10280" s="7">
        <v>15433</v>
      </c>
      <c r="E10280" s="7" t="s">
        <v>21</v>
      </c>
      <c r="F10280" s="8" t="str">
        <f ca="1">IFERROR(__xludf.DUMMYFUNCTION("IF
(
C10281=""фізична особа""
,
VLOOKUP(D10281,IMPORTRANGE(""https://docs.google.com/spreadsheets/d/14Bd19lYaqBhU8_DElYkX7l4wRkHqqCUFNJY4AfY3kHU/edit?usp=sharing  #gid=0"",""фіз особи new!relations_name""),6,FALSE)
,
(IF
(
C10281=""юридична особа""
,
VLOO"&amp;"KUP(D10281,IMPORTRANGE(""https://docs.google.com/spreadsheets/d/14Bd19lYaqBhU8_DElYkX7l4wRkHqqCUFNJY4AfY3kHU/edit?usp=sharing  #gid=0"",""фіз особи new!relations_name_uo""),7,FALSE)
,
)
))"),"КЕСАЄВА Стелла Юріївна")</f>
        <v>КЕСАЄВА Стелла Юріївна</v>
      </c>
      <c r="G10280" s="7" t="s">
        <v>10</v>
      </c>
      <c r="H10280" s="7">
        <v>15434</v>
      </c>
      <c r="I10280" s="8" t="str">
        <f ca="1">IFERROR(__xludf.DUMMYFUNCTION("IF
(
G10281=""фізична особа""
,
VLOOKUP(H10281,IMPORTRANGE(""https://docs.google.com/spreadsheets/d/14Bd19lYaqBhU8_DElYkX7l4wRkHqqCUFNJY4AfY3kHU/edit?usp=sharing  #gid=0"",""фіз особи new!relations_name""),6,FALSE)
,
(IF
(
G10281=""юридична особа""
,
VLOO"&amp;"KUP(H10281,IMPORTRANGE(""https://docs.google.com/spreadsheets/d/14Bd19lYaqBhU8_DElYkX7l4wRkHqqCUFNJY4AfY3kHU/edit?usp=sharing  #gid=0"",""фіз особи new!relations_name_uo""),7,FALSE)
,
)
))"),"КЕСАЄВА Ілона Ігорівна")</f>
        <v>КЕСАЄВА Ілона Ігорівна</v>
      </c>
      <c r="J10280" s="7" t="s">
        <v>13</v>
      </c>
    </row>
    <row r="10281" spans="1:10" ht="13.2">
      <c r="A10281" s="7">
        <v>10280</v>
      </c>
      <c r="B10281" s="7">
        <v>1</v>
      </c>
      <c r="C10281" s="7" t="s">
        <v>10</v>
      </c>
      <c r="D10281" s="7">
        <v>15434</v>
      </c>
      <c r="E10281" s="7" t="s">
        <v>13</v>
      </c>
      <c r="F10281" s="8" t="str">
        <f ca="1">IFERROR(__xludf.DUMMYFUNCTION("IF
(
C10282=""фізична особа""
,
VLOOKUP(D10282,IMPORTRANGE(""https://docs.google.com/spreadsheets/d/14Bd19lYaqBhU8_DElYkX7l4wRkHqqCUFNJY4AfY3kHU/edit?usp=sharing  #gid=0"",""фіз особи new!relations_name""),6,FALSE)
,
(IF
(
C10282=""юридична особа""
,
VLOO"&amp;"KUP(D10282,IMPORTRANGE(""https://docs.google.com/spreadsheets/d/14Bd19lYaqBhU8_DElYkX7l4wRkHqqCUFNJY4AfY3kHU/edit?usp=sharing  #gid=0"",""фіз особи new!relations_name_uo""),7,FALSE)
,
)
))"),"КЕСАЄВА Ілона Ігорівна")</f>
        <v>КЕСАЄВА Ілона Ігорівна</v>
      </c>
      <c r="G10281" s="7" t="s">
        <v>10</v>
      </c>
      <c r="H10281" s="7">
        <v>1994</v>
      </c>
      <c r="I10281" s="8" t="str">
        <f ca="1">IFERROR(__xludf.DUMMYFUNCTION("IF
(
G10282=""фізична особа""
,
VLOOKUP(H10282,IMPORTRANGE(""https://docs.google.com/spreadsheets/d/14Bd19lYaqBhU8_DElYkX7l4wRkHqqCUFNJY4AfY3kHU/edit?usp=sharing  #gid=0"",""фіз особи new!relations_name""),6,FALSE)
,
(IF
(
G10282=""юридична особа""
,
VLOO"&amp;"KUP(H10282,IMPORTRANGE(""https://docs.google.com/spreadsheets/d/14Bd19lYaqBhU8_DElYkX7l4wRkHqqCUFNJY4AfY3kHU/edit?usp=sharing  #gid=0"",""фіз особи new!relations_name_uo""),7,FALSE)
,
)
))"),"КЕСАЄВ Ігор Альбертович")</f>
        <v>КЕСАЄВ Ігор Альбертович</v>
      </c>
      <c r="J10281" s="7" t="s">
        <v>12</v>
      </c>
    </row>
    <row r="10282" spans="1:10" ht="13.2">
      <c r="A10282" s="7">
        <v>10281</v>
      </c>
      <c r="B10282" s="7">
        <v>1</v>
      </c>
      <c r="C10282" s="7" t="s">
        <v>10</v>
      </c>
      <c r="D10282" s="7">
        <v>15434</v>
      </c>
      <c r="E10282" s="7" t="s">
        <v>13</v>
      </c>
      <c r="F10282" s="8" t="str">
        <f ca="1">IFERROR(__xludf.DUMMYFUNCTION("IF
(
C10283=""фізична особа""
,
VLOOKUP(D10283,IMPORTRANGE(""https://docs.google.com/spreadsheets/d/14Bd19lYaqBhU8_DElYkX7l4wRkHqqCUFNJY4AfY3kHU/edit?usp=sharing  #gid=0"",""фіз особи new!relations_name""),6,FALSE)
,
(IF
(
C10283=""юридична особа""
,
VLOO"&amp;"KUP(D10283,IMPORTRANGE(""https://docs.google.com/spreadsheets/d/14Bd19lYaqBhU8_DElYkX7l4wRkHqqCUFNJY4AfY3kHU/edit?usp=sharing  #gid=0"",""фіз особи new!relations_name_uo""),7,FALSE)
,
)
))"),"КЕСАЄВА Ілона Ігорівна")</f>
        <v>КЕСАЄВА Ілона Ігорівна</v>
      </c>
      <c r="G10282" s="7" t="s">
        <v>10</v>
      </c>
      <c r="H10282" s="7">
        <v>15433</v>
      </c>
      <c r="I10282" s="8" t="str">
        <f ca="1">IFERROR(__xludf.DUMMYFUNCTION("IF
(
G10283=""фізична особа""
,
VLOOKUP(H10283,IMPORTRANGE(""https://docs.google.com/spreadsheets/d/14Bd19lYaqBhU8_DElYkX7l4wRkHqqCUFNJY4AfY3kHU/edit?usp=sharing  #gid=0"",""фіз особи new!relations_name""),6,FALSE)
,
(IF
(
G10283=""юридична особа""
,
VLOO"&amp;"KUP(H10283,IMPORTRANGE(""https://docs.google.com/spreadsheets/d/14Bd19lYaqBhU8_DElYkX7l4wRkHqqCUFNJY4AfY3kHU/edit?usp=sharing  #gid=0"",""фіз особи new!relations_name_uo""),7,FALSE)
,
)
))"),"КЕСАЄВА Стелла Юріївна")</f>
        <v>КЕСАЄВА Стелла Юріївна</v>
      </c>
      <c r="J10282" s="7" t="s">
        <v>21</v>
      </c>
    </row>
    <row r="10283" spans="1:10" ht="13.2">
      <c r="A10283" s="7">
        <v>10282</v>
      </c>
      <c r="B10283" s="7">
        <v>1</v>
      </c>
      <c r="C10283" s="7" t="s">
        <v>10</v>
      </c>
      <c r="D10283" s="7">
        <v>15435</v>
      </c>
      <c r="E10283" s="7" t="s">
        <v>17</v>
      </c>
      <c r="F10283" s="8" t="str">
        <f ca="1">IFERROR(__xludf.DUMMYFUNCTION("IF
(
C10284=""фізична особа""
,
VLOOKUP(D10284,IMPORTRANGE(""https://docs.google.com/spreadsheets/d/14Bd19lYaqBhU8_DElYkX7l4wRkHqqCUFNJY4AfY3kHU/edit?usp=sharing  #gid=0"",""фіз особи new!relations_name""),6,FALSE)
,
(IF
(
C10284=""юридична особа""
,
VLOO"&amp;"KUP(D10284,IMPORTRANGE(""https://docs.google.com/spreadsheets/d/14Bd19lYaqBhU8_DElYkX7l4wRkHqqCUFNJY4AfY3kHU/edit?usp=sharing  #gid=0"",""фіз особи new!relations_name_uo""),7,FALSE)
,
)
))"),"САВВІДІ Георгіс Іванович")</f>
        <v>САВВІДІ Георгіс Іванович</v>
      </c>
      <c r="G10283" s="7" t="s">
        <v>10</v>
      </c>
      <c r="H10283" s="7">
        <v>2054</v>
      </c>
      <c r="I10283" s="8" t="str">
        <f ca="1">IFERROR(__xludf.DUMMYFUNCTION("IF
(
G10284=""фізична особа""
,
VLOOKUP(H10284,IMPORTRANGE(""https://docs.google.com/spreadsheets/d/14Bd19lYaqBhU8_DElYkX7l4wRkHqqCUFNJY4AfY3kHU/edit?usp=sharing  #gid=0"",""фіз особи new!relations_name""),6,FALSE)
,
(IF
(
G10284=""юридична особа""
,
VLOO"&amp;"KUP(H10284,IMPORTRANGE(""https://docs.google.com/spreadsheets/d/14Bd19lYaqBhU8_DElYkX7l4wRkHqqCUFNJY4AfY3kHU/edit?usp=sharing  #gid=0"",""фіз особи new!relations_name_uo""),7,FALSE)
,
)
))"),"САВВІДІ Іван Ігнатович")</f>
        <v>САВВІДІ Іван Ігнатович</v>
      </c>
      <c r="J10283" s="7" t="s">
        <v>12</v>
      </c>
    </row>
    <row r="10284" spans="1:10" ht="13.2">
      <c r="A10284" s="7">
        <v>10283</v>
      </c>
      <c r="B10284" s="7">
        <v>1</v>
      </c>
      <c r="C10284" s="7" t="s">
        <v>10</v>
      </c>
      <c r="D10284" s="7">
        <v>15435</v>
      </c>
      <c r="E10284" s="7" t="s">
        <v>17</v>
      </c>
      <c r="F10284" s="8" t="str">
        <f ca="1">IFERROR(__xludf.DUMMYFUNCTION("IF
(
C10285=""фізична особа""
,
VLOOKUP(D10285,IMPORTRANGE(""https://docs.google.com/spreadsheets/d/14Bd19lYaqBhU8_DElYkX7l4wRkHqqCUFNJY4AfY3kHU/edit?usp=sharing  #gid=0"",""фіз особи new!relations_name""),6,FALSE)
,
(IF
(
C10285=""юридична особа""
,
VLOO"&amp;"KUP(D10285,IMPORTRANGE(""https://docs.google.com/spreadsheets/d/14Bd19lYaqBhU8_DElYkX7l4wRkHqqCUFNJY4AfY3kHU/edit?usp=sharing  #gid=0"",""фіз особи new!relations_name_uo""),7,FALSE)
,
)
))"),"САВВІДІ Георгіс Іванович")</f>
        <v>САВВІДІ Георгіс Іванович</v>
      </c>
      <c r="G10284" s="7" t="s">
        <v>10</v>
      </c>
      <c r="H10284" s="7">
        <v>8826</v>
      </c>
      <c r="I10284" s="8" t="str">
        <f ca="1">IFERROR(__xludf.DUMMYFUNCTION("IF
(
G10285=""фізична особа""
,
VLOOKUP(H10285,IMPORTRANGE(""https://docs.google.com/spreadsheets/d/14Bd19lYaqBhU8_DElYkX7l4wRkHqqCUFNJY4AfY3kHU/edit?usp=sharing  #gid=0"",""фіз особи new!relations_name""),6,FALSE)
,
(IF
(
G10285=""юридична особа""
,
VLOO"&amp;"KUP(H10285,IMPORTRANGE(""https://docs.google.com/spreadsheets/d/14Bd19lYaqBhU8_DElYkX7l4wRkHqqCUFNJY4AfY3kHU/edit?usp=sharing  #gid=0"",""фіз особи new!relations_name_uo""),7,FALSE)
,
)
))"),"САВВІДІ Кіріяки Георгіївна")</f>
        <v>САВВІДІ Кіріяки Георгіївна</v>
      </c>
      <c r="J10284" s="7" t="s">
        <v>21</v>
      </c>
    </row>
    <row r="10285" spans="1:10" ht="13.2">
      <c r="A10285" s="7">
        <v>10284</v>
      </c>
      <c r="B10285" s="7">
        <v>1</v>
      </c>
      <c r="C10285" s="7" t="s">
        <v>10</v>
      </c>
      <c r="D10285" s="7">
        <v>15436</v>
      </c>
      <c r="E10285" s="7" t="s">
        <v>14</v>
      </c>
      <c r="F10285" s="8" t="str">
        <f ca="1">IFERROR(__xludf.DUMMYFUNCTION("IF
(
C10286=""фізична особа""
,
VLOOKUP(D10286,IMPORTRANGE(""https://docs.google.com/spreadsheets/d/14Bd19lYaqBhU8_DElYkX7l4wRkHqqCUFNJY4AfY3kHU/edit?usp=sharing  #gid=0"",""фіз особи new!relations_name""),6,FALSE)
,
(IF
(
C10286=""юридична особа""
,
VLOO"&amp;"KUP(D10286,IMPORTRANGE(""https://docs.google.com/spreadsheets/d/14Bd19lYaqBhU8_DElYkX7l4wRkHqqCUFNJY4AfY3kHU/edit?usp=sharing  #gid=0"",""фіз особи new!relations_name_uo""),7,FALSE)
,
)
))"),"ОРГЕЄВ Ігор Володимирович")</f>
        <v>ОРГЕЄВ Ігор Володимирович</v>
      </c>
      <c r="G10285" s="7" t="s">
        <v>10</v>
      </c>
      <c r="H10285" s="7">
        <v>428</v>
      </c>
      <c r="I10285" s="8" t="str">
        <f ca="1">IFERROR(__xludf.DUMMYFUNCTION("IF
(
G10286=""фізична особа""
,
VLOOKUP(H10286,IMPORTRANGE(""https://docs.google.com/spreadsheets/d/14Bd19lYaqBhU8_DElYkX7l4wRkHqqCUFNJY4AfY3kHU/edit?usp=sharing  #gid=0"",""фіз особи new!relations_name""),6,FALSE)
,
(IF
(
G10286=""юридична особа""
,
VLOO"&amp;"KUP(H10286,IMPORTRANGE(""https://docs.google.com/spreadsheets/d/14Bd19lYaqBhU8_DElYkX7l4wRkHqqCUFNJY4AfY3kHU/edit?usp=sharing  #gid=0"",""фіз особи new!relations_name_uo""),7,FALSE)
,
)
))"),"ОРГЕЄВА Марія Едуардівна")</f>
        <v>ОРГЕЄВА Марія Едуардівна</v>
      </c>
      <c r="J10285" s="7" t="s">
        <v>15</v>
      </c>
    </row>
    <row r="10286" spans="1:10" ht="13.2">
      <c r="A10286" s="7">
        <v>10285</v>
      </c>
      <c r="B10286" s="7">
        <v>1</v>
      </c>
      <c r="C10286" s="7" t="s">
        <v>10</v>
      </c>
      <c r="D10286" s="7">
        <v>15497</v>
      </c>
      <c r="E10286" s="7" t="s">
        <v>21</v>
      </c>
      <c r="F10286" s="8" t="str">
        <f ca="1">IFERROR(__xludf.DUMMYFUNCTION("IF
(
C10287=""фізична особа""
,
VLOOKUP(D10287,IMPORTRANGE(""https://docs.google.com/spreadsheets/d/14Bd19lYaqBhU8_DElYkX7l4wRkHqqCUFNJY4AfY3kHU/edit?usp=sharing  #gid=0"",""фіз особи new!relations_name""),6,FALSE)
,
(IF
(
C10287=""юридична особа""
,
VLOO"&amp;"KUP(D10287,IMPORTRANGE(""https://docs.google.com/spreadsheets/d/14Bd19lYaqBhU8_DElYkX7l4wRkHqqCUFNJY4AfY3kHU/edit?usp=sharing  #gid=0"",""фіз особи new!relations_name_uo""),7,FALSE)
,
)
))"),"КАЗАНКОВА Людмила Григорівна")</f>
        <v>КАЗАНКОВА Людмила Григорівна</v>
      </c>
      <c r="G10286" s="7" t="s">
        <v>10</v>
      </c>
      <c r="H10286" s="7">
        <v>664</v>
      </c>
      <c r="I10286" s="8" t="str">
        <f ca="1">IFERROR(__xludf.DUMMYFUNCTION("IF
(
G10287=""фізична особа""
,
VLOOKUP(H10287,IMPORTRANGE(""https://docs.google.com/spreadsheets/d/14Bd19lYaqBhU8_DElYkX7l4wRkHqqCUFNJY4AfY3kHU/edit?usp=sharing  #gid=0"",""фіз особи new!relations_name""),6,FALSE)
,
(IF
(
G10287=""юридична особа""
,
VLOO"&amp;"KUP(H10287,IMPORTRANGE(""https://docs.google.com/spreadsheets/d/14Bd19lYaqBhU8_DElYkX7l4wRkHqqCUFNJY4AfY3kHU/edit?usp=sharing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J10286" s="7" t="s">
        <v>17</v>
      </c>
    </row>
    <row r="10287" spans="1:10" ht="13.2">
      <c r="A10287" s="7">
        <v>10286</v>
      </c>
      <c r="B10287" s="7">
        <v>1</v>
      </c>
      <c r="C10287" s="7" t="s">
        <v>10</v>
      </c>
      <c r="D10287" s="7">
        <v>15498</v>
      </c>
      <c r="E10287" s="7" t="s">
        <v>31</v>
      </c>
      <c r="F10287" s="8" t="str">
        <f ca="1">IFERROR(__xludf.DUMMYFUNCTION("IF
(
C10288=""фізична особа""
,
VLOOKUP(D10288,IMPORTRANGE(""https://docs.google.com/spreadsheets/d/14Bd19lYaqBhU8_DElYkX7l4wRkHqqCUFNJY4AfY3kHU/edit?usp=sharing  #gid=0"",""фіз особи new!relations_name""),6,FALSE)
,
(IF
(
C10288=""юридична особа""
,
VLOO"&amp;"KUP(D10288,IMPORTRANGE(""https://docs.google.com/spreadsheets/d/14Bd19lYaqBhU8_DElYkX7l4wRkHqqCUFNJY4AfY3kHU/edit?usp=sharing  #gid=0"",""фіз особи new!relations_name_uo""),7,FALSE)
,
)
))"),"КАЗАНКОВА Наталія Іванівна")</f>
        <v>КАЗАНКОВА Наталія Іванівна</v>
      </c>
      <c r="G10287" s="7" t="s">
        <v>10</v>
      </c>
      <c r="H10287" s="7">
        <v>664</v>
      </c>
      <c r="I10287" s="8" t="str">
        <f ca="1">IFERROR(__xludf.DUMMYFUNCTION("IF
(
G10288=""фізична особа""
,
VLOOKUP(H10288,IMPORTRANGE(""https://docs.google.com/spreadsheets/d/14Bd19lYaqBhU8_DElYkX7l4wRkHqqCUFNJY4AfY3kHU/edit?usp=sharing  #gid=0"",""фіз особи new!relations_name""),6,FALSE)
,
(IF
(
G10288=""юридична особа""
,
VLOO"&amp;"KUP(H10288,IMPORTRANGE(""https://docs.google.com/spreadsheets/d/14Bd19lYaqBhU8_DElYkX7l4wRkHqqCUFNJY4AfY3kHU/edit?usp=sharing  #gid=0"",""фіз особи new!relations_name_uo""),7,FALSE)
,
)
))"),"КАЗАНКОВ Сергій Іванович")</f>
        <v>КАЗАНКОВ Сергій Іванович</v>
      </c>
      <c r="J10287" s="7" t="s">
        <v>18</v>
      </c>
    </row>
    <row r="10288" spans="1:10" ht="13.2">
      <c r="A10288" s="7">
        <v>10287</v>
      </c>
      <c r="B10288" s="7">
        <v>1</v>
      </c>
      <c r="C10288" s="7" t="s">
        <v>10</v>
      </c>
      <c r="D10288" s="7">
        <v>15499</v>
      </c>
      <c r="E10288" s="7" t="s">
        <v>31</v>
      </c>
      <c r="F10288" s="8" t="str">
        <f ca="1">IFERROR(__xludf.DUMMYFUNCTION("IF
(
C10289=""фізична особа""
,
VLOOKUP(D10289,IMPORTRANGE(""https://docs.google.com/spreadsheets/d/14Bd19lYaqBhU8_DElYkX7l4wRkHqqCUFNJY4AfY3kHU/edit?usp=sharing  #gid=0"",""фіз особи new!relations_name""),6,FALSE)
,
(IF
(
C10289=""юридична особа""
,
VLOO"&amp;"KUP(D10289,IMPORTRANGE(""https://docs.google.com/spreadsheets/d/14Bd19lYaqBhU8_DElYkX7l4wRkHqqCUFNJY4AfY3kHU/edit?usp=sharing  #gid=0"",""фіз особи new!relations_name_uo""),7,FALSE)
,
)
))"),"ПРОКОПЬЄВА Наталія Сергіївна")</f>
        <v>ПРОКОПЬЄВА Наталія Сергіївна</v>
      </c>
      <c r="G10288" s="7" t="s">
        <v>10</v>
      </c>
      <c r="H10288" s="7">
        <v>679</v>
      </c>
      <c r="I10288" s="8" t="str">
        <f ca="1">IFERROR(__xludf.DUMMYFUNCTION("IF
(
G10289=""фізична особа""
,
VLOOKUP(H10289,IMPORTRANGE(""https://docs.google.com/spreadsheets/d/14Bd19lYaqBhU8_DElYkX7l4wRkHqqCUFNJY4AfY3kHU/edit?usp=sharing  #gid=0"",""фіз особи new!relations_name""),6,FALSE)
,
(IF
(
G10289=""юридична особа""
,
VLOO"&amp;"KUP(H10289,IMPORTRANGE(""https://docs.google.com/spreadsheets/d/14Bd19lYaqBhU8_DElYkX7l4wRkHqqCUFNJY4AfY3kHU/edit?usp=sharing  #gid=0"",""фіз особи new!relations_name_uo""),7,FALSE)
,
)
))"),"ПРОКОП'ЄВ Олександр Сергійович")</f>
        <v>ПРОКОП'ЄВ Олександр Сергійович</v>
      </c>
      <c r="J10288" s="7" t="s">
        <v>18</v>
      </c>
    </row>
    <row r="10289" spans="1:10" ht="13.2">
      <c r="A10289" s="7">
        <v>10288</v>
      </c>
      <c r="B10289" s="7">
        <v>1</v>
      </c>
      <c r="C10289" s="7" t="s">
        <v>10</v>
      </c>
      <c r="D10289" s="7">
        <v>15500</v>
      </c>
      <c r="E10289" s="7" t="s">
        <v>21</v>
      </c>
      <c r="F10289" s="8" t="str">
        <f ca="1">IFERROR(__xludf.DUMMYFUNCTION("IF
(
C10290=""фізична особа""
,
VLOOKUP(D10290,IMPORTRANGE(""https://docs.google.com/spreadsheets/d/14Bd19lYaqBhU8_DElYkX7l4wRkHqqCUFNJY4AfY3kHU/edit?usp=sharing  #gid=0"",""фіз особи new!relations_name""),6,FALSE)
,
(IF
(
C10290=""юридична особа""
,
VLOO"&amp;"KUP(D10290,IMPORTRANGE(""https://docs.google.com/spreadsheets/d/14Bd19lYaqBhU8_DElYkX7l4wRkHqqCUFNJY4AfY3kHU/edit?usp=sharing  #gid=0"",""фіз особи new!relations_name_uo""),7,FALSE)
,
)
))"),"ПРОКОП'ЄВА Лариса Олександрівна")</f>
        <v>ПРОКОП'ЄВА Лариса Олександрівна</v>
      </c>
      <c r="G10289" s="7" t="s">
        <v>10</v>
      </c>
      <c r="H10289" s="7">
        <v>679</v>
      </c>
      <c r="I10289" s="8" t="str">
        <f ca="1">IFERROR(__xludf.DUMMYFUNCTION("IF
(
G10290=""фізична особа""
,
VLOOKUP(H10290,IMPORTRANGE(""https://docs.google.com/spreadsheets/d/14Bd19lYaqBhU8_DElYkX7l4wRkHqqCUFNJY4AfY3kHU/edit?usp=sharing  #gid=0"",""фіз особи new!relations_name""),6,FALSE)
,
(IF
(
G10290=""юридична особа""
,
VLOO"&amp;"KUP(H10290,IMPORTRANGE(""https://docs.google.com/spreadsheets/d/14Bd19lYaqBhU8_DElYkX7l4wRkHqqCUFNJY4AfY3kHU/edit?usp=sharing  #gid=0"",""фіз особи new!relations_name_uo""),7,FALSE)
,
)
))"),"ПРОКОП'ЄВ Олександр Сергійович")</f>
        <v>ПРОКОП'ЄВ Олександр Сергійович</v>
      </c>
      <c r="J10289" s="7" t="s">
        <v>17</v>
      </c>
    </row>
    <row r="10290" spans="1:10" ht="13.2">
      <c r="A10290" s="7">
        <v>10289</v>
      </c>
      <c r="B10290" s="7">
        <v>1</v>
      </c>
      <c r="C10290" s="7" t="s">
        <v>10</v>
      </c>
      <c r="D10290" s="7">
        <v>15501</v>
      </c>
      <c r="E10290" s="7" t="s">
        <v>12</v>
      </c>
      <c r="F10290" s="8" t="str">
        <f ca="1">IFERROR(__xludf.DUMMYFUNCTION("IF
(
C10291=""фізична особа""
,
VLOOKUP(D10291,IMPORTRANGE(""https://docs.google.com/spreadsheets/d/14Bd19lYaqBhU8_DElYkX7l4wRkHqqCUFNJY4AfY3kHU/edit?usp=sharing  #gid=0"",""фіз особи new!relations_name""),6,FALSE)
,
(IF
(
C10291=""юридична особа""
,
VLOO"&amp;"KUP(D10291,IMPORTRANGE(""https://docs.google.com/spreadsheets/d/14Bd19lYaqBhU8_DElYkX7l4wRkHqqCUFNJY4AfY3kHU/edit?usp=sharing  #gid=0"",""фіз особи new!relations_name_uo""),7,FALSE)
,
)
))"),"ШАГРУНОВ Олександр Іванович")</f>
        <v>ШАГРУНОВ Олександр Іванович</v>
      </c>
      <c r="G10290" s="7" t="s">
        <v>10</v>
      </c>
      <c r="H10290" s="7">
        <v>687</v>
      </c>
      <c r="I10290" s="8" t="str">
        <f ca="1">IFERROR(__xludf.DUMMYFUNCTION("IF
(
G10291=""фізична особа""
,
VLOOKUP(H10291,IMPORTRANGE(""https://docs.google.com/spreadsheets/d/14Bd19lYaqBhU8_DElYkX7l4wRkHqqCUFNJY4AfY3kHU/edit?usp=sharing  #gid=0"",""фіз особи new!relations_name""),6,FALSE)
,
(IF
(
G10291=""юридична особа""
,
VLOO"&amp;"KUP(H10291,IMPORTRANGE(""https://docs.google.com/spreadsheets/d/14Bd19lYaqBhU8_DElYkX7l4wRkHqqCUFNJY4AfY3kHU/edit?usp=sharing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J10290" s="7" t="s">
        <v>17</v>
      </c>
    </row>
    <row r="10291" spans="1:10" ht="13.2">
      <c r="A10291" s="7">
        <v>10290</v>
      </c>
      <c r="B10291" s="7">
        <v>1</v>
      </c>
      <c r="C10291" s="7" t="s">
        <v>10</v>
      </c>
      <c r="D10291" s="7">
        <v>15502</v>
      </c>
      <c r="E10291" s="7" t="s">
        <v>15</v>
      </c>
      <c r="F10291" s="8" t="str">
        <f ca="1">IFERROR(__xludf.DUMMYFUNCTION("IF
(
C10292=""фізична особа""
,
VLOOKUP(D10292,IMPORTRANGE(""https://docs.google.com/spreadsheets/d/14Bd19lYaqBhU8_DElYkX7l4wRkHqqCUFNJY4AfY3kHU/edit?usp=sharing  #gid=0"",""фіз особи new!relations_name""),6,FALSE)
,
(IF
(
C10292=""юридична особа""
,
VLOO"&amp;"KUP(D10292,IMPORTRANGE(""https://docs.google.com/spreadsheets/d/14Bd19lYaqBhU8_DElYkX7l4wRkHqqCUFNJY4AfY3kHU/edit?usp=sharing  #gid=0"",""фіз особи new!relations_name_uo""),7,FALSE)
,
)
))"),"ТОЛСТАЯ Анастасія Володимирівна")</f>
        <v>ТОЛСТАЯ Анастасія Володимирівна</v>
      </c>
      <c r="G10291" s="7" t="s">
        <v>10</v>
      </c>
      <c r="H10291" s="7">
        <v>687</v>
      </c>
      <c r="I10291" s="8" t="str">
        <f ca="1">IFERROR(__xludf.DUMMYFUNCTION("IF
(
G10292=""фізична особа""
,
VLOOKUP(H10292,IMPORTRANGE(""https://docs.google.com/spreadsheets/d/14Bd19lYaqBhU8_DElYkX7l4wRkHqqCUFNJY4AfY3kHU/edit?usp=sharing  #gid=0"",""фіз особи new!relations_name""),6,FALSE)
,
(IF
(
G10292=""юридична особа""
,
VLOO"&amp;"KUP(H10292,IMPORTRANGE(""https://docs.google.com/spreadsheets/d/14Bd19lYaqBhU8_DElYkX7l4wRkHqqCUFNJY4AfY3kHU/edit?usp=sharing  #gid=0"",""фіз особи new!relations_name_uo""),7,FALSE)
,
)
))"),"ШАРГУНОВ Сергій Олександрович")</f>
        <v>ШАРГУНОВ Сергій Олександрович</v>
      </c>
      <c r="J10291" s="7" t="s">
        <v>14</v>
      </c>
    </row>
    <row r="10292" spans="1:10" ht="13.2">
      <c r="A10292" s="7">
        <v>10291</v>
      </c>
      <c r="B10292" s="7">
        <v>1</v>
      </c>
      <c r="C10292" s="7" t="s">
        <v>10</v>
      </c>
      <c r="D10292" s="7">
        <v>15503</v>
      </c>
      <c r="E10292" s="7" t="s">
        <v>15</v>
      </c>
      <c r="F10292" s="8" t="str">
        <f ca="1">IFERROR(__xludf.DUMMYFUNCTION("IF
(
C10293=""фізична особа""
,
VLOOKUP(D10293,IMPORTRANGE(""https://docs.google.com/spreadsheets/d/14Bd19lYaqBhU8_DElYkX7l4wRkHqqCUFNJY4AfY3kHU/edit?usp=sharing  #gid=0"",""фіз особи new!relations_name""),6,FALSE)
,
(IF
(
C10293=""юридична особа""
,
VLOO"&amp;"KUP(D10293,IMPORTRANGE(""https://docs.google.com/spreadsheets/d/14Bd19lYaqBhU8_DElYkX7l4wRkHqqCUFNJY4AfY3kHU/edit?usp=sharing  #gid=0"",""фіз особи new!relations_name_uo""),7,FALSE)
,
)
))"),"АРЖАКОВСЬКА Софія Андріївна")</f>
        <v>АРЖАКОВСЬКА Софія Андріївна</v>
      </c>
      <c r="G10292" s="7" t="s">
        <v>10</v>
      </c>
      <c r="H10292" s="7">
        <v>688</v>
      </c>
      <c r="I10292" s="8" t="str">
        <f ca="1">IFERROR(__xludf.DUMMYFUNCTION("IF
(
G10293=""фізична особа""
,
VLOOKUP(H10293,IMPORTRANGE(""https://docs.google.com/spreadsheets/d/14Bd19lYaqBhU8_DElYkX7l4wRkHqqCUFNJY4AfY3kHU/edit?usp=sharing  #gid=0"",""фіз особи new!relations_name""),6,FALSE)
,
(IF
(
G10293=""юридична особа""
,
VLOO"&amp;"KUP(H10293,IMPORTRANGE(""https://docs.google.com/spreadsheets/d/14Bd19lYaqBhU8_DElYkX7l4wRkHqqCUFNJY4AfY3kHU/edit?usp=sharing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J10292" s="7" t="s">
        <v>14</v>
      </c>
    </row>
    <row r="10293" spans="1:10" ht="13.2">
      <c r="A10293" s="7">
        <v>10292</v>
      </c>
      <c r="B10293" s="7">
        <v>1</v>
      </c>
      <c r="C10293" s="7" t="s">
        <v>10</v>
      </c>
      <c r="D10293" s="7">
        <v>15504</v>
      </c>
      <c r="E10293" s="7" t="s">
        <v>18</v>
      </c>
      <c r="F10293" s="8" t="str">
        <f ca="1">IFERROR(__xludf.DUMMYFUNCTION("IF
(
C10294=""фізична особа""
,
VLOOKUP(D10294,IMPORTRANGE(""https://docs.google.com/spreadsheets/d/14Bd19lYaqBhU8_DElYkX7l4wRkHqqCUFNJY4AfY3kHU/edit?usp=sharing  #gid=0"",""фіз особи new!relations_name""),6,FALSE)
,
(IF
(
C10294=""юридична особа""
,
VLOO"&amp;"KUP(D10294,IMPORTRANGE(""https://docs.google.com/spreadsheets/d/14Bd19lYaqBhU8_DElYkX7l4wRkHqqCUFNJY4AfY3kHU/edit?usp=sharing  #gid=0"",""фіз особи new!relations_name_uo""),7,FALSE)
,
)
))"),"ВЕРЕМЄЄНКО Олександр Олексійович")</f>
        <v>ВЕРЕМЄЄНКО Олександр Олексійович</v>
      </c>
      <c r="G10293" s="7" t="s">
        <v>10</v>
      </c>
      <c r="H10293" s="7">
        <v>688</v>
      </c>
      <c r="I10293" s="8" t="str">
        <f ca="1">IFERROR(__xludf.DUMMYFUNCTION("IF
(
G10294=""фізична особа""
,
VLOOKUP(H10294,IMPORTRANGE(""https://docs.google.com/spreadsheets/d/14Bd19lYaqBhU8_DElYkX7l4wRkHqqCUFNJY4AfY3kHU/edit?usp=sharing  #gid=0"",""фіз особи new!relations_name""),6,FALSE)
,
(IF
(
G10294=""юридична особа""
,
VLOO"&amp;"KUP(H10294,IMPORTRANGE(""https://docs.google.com/spreadsheets/d/14Bd19lYaqBhU8_DElYkX7l4wRkHqqCUFNJY4AfY3kHU/edit?usp=sharing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J10293" s="7" t="s">
        <v>18</v>
      </c>
    </row>
    <row r="10294" spans="1:10" ht="13.2">
      <c r="A10294" s="7">
        <v>10293</v>
      </c>
      <c r="B10294" s="7">
        <v>1</v>
      </c>
      <c r="C10294" s="7" t="s">
        <v>10</v>
      </c>
      <c r="D10294" s="7">
        <v>15505</v>
      </c>
      <c r="E10294" s="7" t="s">
        <v>13</v>
      </c>
      <c r="F10294" s="8" t="str">
        <f ca="1">IFERROR(__xludf.DUMMYFUNCTION("IF
(
C10295=""фізична особа""
,
VLOOKUP(D10295,IMPORTRANGE(""https://docs.google.com/spreadsheets/d/14Bd19lYaqBhU8_DElYkX7l4wRkHqqCUFNJY4AfY3kHU/edit?usp=sharing  #gid=0"",""фіз особи new!relations_name""),6,FALSE)
,
(IF
(
C10295=""юридична особа""
,
VLOO"&amp;"KUP(D10295,IMPORTRANGE(""https://docs.google.com/spreadsheets/d/14Bd19lYaqBhU8_DElYkX7l4wRkHqqCUFNJY4AfY3kHU/edit?usp=sharing  #gid=0"",""фіз особи new!relations_name_uo""),7,FALSE)
,
)
))"),"ЧЕРНОВА Маргарита Сергіївна")</f>
        <v>ЧЕРНОВА Маргарита Сергіївна</v>
      </c>
      <c r="G10294" s="7" t="s">
        <v>10</v>
      </c>
      <c r="H10294" s="7">
        <v>688</v>
      </c>
      <c r="I10294" s="8" t="str">
        <f ca="1">IFERROR(__xludf.DUMMYFUNCTION("IF
(
G10295=""фізична особа""
,
VLOOKUP(H10295,IMPORTRANGE(""https://docs.google.com/spreadsheets/d/14Bd19lYaqBhU8_DElYkX7l4wRkHqqCUFNJY4AfY3kHU/edit?usp=sharing  #gid=0"",""фіз особи new!relations_name""),6,FALSE)
,
(IF
(
G10295=""юридична особа""
,
VLOO"&amp;"KUP(H10295,IMPORTRANGE(""https://docs.google.com/spreadsheets/d/14Bd19lYaqBhU8_DElYkX7l4wRkHqqCUFNJY4AfY3kHU/edit?usp=sharing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J10294" s="7" t="s">
        <v>12</v>
      </c>
    </row>
    <row r="10295" spans="1:10" ht="13.2">
      <c r="A10295" s="7">
        <v>10294</v>
      </c>
      <c r="B10295" s="7">
        <v>1</v>
      </c>
      <c r="C10295" s="7" t="s">
        <v>10</v>
      </c>
      <c r="D10295" s="7">
        <v>15506</v>
      </c>
      <c r="E10295" s="7" t="s">
        <v>13</v>
      </c>
      <c r="F10295" s="8" t="str">
        <f ca="1">IFERROR(__xludf.DUMMYFUNCTION("IF
(
C10296=""фізична особа""
,
VLOOKUP(D10296,IMPORTRANGE(""https://docs.google.com/spreadsheets/d/14Bd19lYaqBhU8_DElYkX7l4wRkHqqCUFNJY4AfY3kHU/edit?usp=sharing  #gid=0"",""фіз особи new!relations_name""),6,FALSE)
,
(IF
(
C10296=""юридична особа""
,
VLOO"&amp;"KUP(D10296,IMPORTRANGE(""https://docs.google.com/spreadsheets/d/14Bd19lYaqBhU8_DElYkX7l4wRkHqqCUFNJY4AfY3kHU/edit?usp=sharing  #gid=0"",""фіз особи new!relations_name_uo""),7,FALSE)
,
)
))"),"ВЕРЕМЄЄНКО Серафима Сергіївна")</f>
        <v>ВЕРЕМЄЄНКО Серафима Сергіївна</v>
      </c>
      <c r="G10295" s="7" t="s">
        <v>10</v>
      </c>
      <c r="H10295" s="7">
        <v>688</v>
      </c>
      <c r="I10295" s="8" t="str">
        <f ca="1">IFERROR(__xludf.DUMMYFUNCTION("IF
(
G10296=""фізична особа""
,
VLOOKUP(H10296,IMPORTRANGE(""https://docs.google.com/spreadsheets/d/14Bd19lYaqBhU8_DElYkX7l4wRkHqqCUFNJY4AfY3kHU/edit?usp=sharing  #gid=0"",""фіз особи new!relations_name""),6,FALSE)
,
(IF
(
G10296=""юридична особа""
,
VLOO"&amp;"KUP(H10296,IMPORTRANGE(""https://docs.google.com/spreadsheets/d/14Bd19lYaqBhU8_DElYkX7l4wRkHqqCUFNJY4AfY3kHU/edit?usp=sharing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J10295" s="7" t="s">
        <v>12</v>
      </c>
    </row>
    <row r="10296" spans="1:10" ht="13.2">
      <c r="A10296" s="7">
        <v>10295</v>
      </c>
      <c r="B10296" s="7">
        <v>1</v>
      </c>
      <c r="C10296" s="7" t="s">
        <v>10</v>
      </c>
      <c r="D10296" s="7">
        <v>15507</v>
      </c>
      <c r="E10296" s="7" t="s">
        <v>22</v>
      </c>
      <c r="F10296" s="8" t="str">
        <f ca="1">IFERROR(__xludf.DUMMYFUNCTION("IF
(
C10297=""фізична особа""
,
VLOOKUP(D10297,IMPORTRANGE(""https://docs.google.com/spreadsheets/d/14Bd19lYaqBhU8_DElYkX7l4wRkHqqCUFNJY4AfY3kHU/edit?usp=sharing  #gid=0"",""фіз особи new!relations_name""),6,FALSE)
,
(IF
(
C10297=""юридична особа""
,
VLOO"&amp;"KUP(D10297,IMPORTRANGE(""https://docs.google.com/spreadsheets/d/14Bd19lYaqBhU8_DElYkX7l4wRkHqqCUFNJY4AfY3kHU/edit?usp=sharing  #gid=0"",""фіз особи new!relations_name_uo""),7,FALSE)
,
)
))"),"ВЕРЕМЄЄНКО Ірина Олександрівна")</f>
        <v>ВЕРЕМЄЄНКО Ірина Олександрівна</v>
      </c>
      <c r="G10296" s="7" t="s">
        <v>10</v>
      </c>
      <c r="H10296" s="7">
        <v>688</v>
      </c>
      <c r="I10296" s="8" t="str">
        <f ca="1">IFERROR(__xludf.DUMMYFUNCTION("IF
(
G10297=""фізична особа""
,
VLOOKUP(H10297,IMPORTRANGE(""https://docs.google.com/spreadsheets/d/14Bd19lYaqBhU8_DElYkX7l4wRkHqqCUFNJY4AfY3kHU/edit?usp=sharing  #gid=0"",""фіз особи new!relations_name""),6,FALSE)
,
(IF
(
G10297=""юридична особа""
,
VLOO"&amp;"KUP(H10297,IMPORTRANGE(""https://docs.google.com/spreadsheets/d/14Bd19lYaqBhU8_DElYkX7l4wRkHqqCUFNJY4AfY3kHU/edit?usp=sharing  #gid=0"",""фіз особи new!relations_name_uo""),7,FALSE)
,
)
))"),"ВЕРЕМЕЄНКО Сергій Олексійович")</f>
        <v>ВЕРЕМЕЄНКО Сергій Олексійович</v>
      </c>
      <c r="J10296" s="7" t="s">
        <v>19</v>
      </c>
    </row>
    <row r="10297" spans="1:10" ht="13.2">
      <c r="A10297" s="7">
        <v>10296</v>
      </c>
      <c r="B10297" s="7">
        <v>1</v>
      </c>
      <c r="C10297" s="7" t="s">
        <v>10</v>
      </c>
      <c r="D10297" s="7">
        <v>15508</v>
      </c>
      <c r="E10297" s="7" t="s">
        <v>15</v>
      </c>
      <c r="F10297" s="8" t="str">
        <f ca="1">IFERROR(__xludf.DUMMYFUNCTION("IF
(
C10298=""фізична особа""
,
VLOOKUP(D10298,IMPORTRANGE(""https://docs.google.com/spreadsheets/d/14Bd19lYaqBhU8_DElYkX7l4wRkHqqCUFNJY4AfY3kHU/edit?usp=sharing  #gid=0"",""фіз особи new!relations_name""),6,FALSE)
,
(IF
(
C10298=""юридична особа""
,
VLOO"&amp;"KUP(D10298,IMPORTRANGE(""https://docs.google.com/spreadsheets/d/14Bd19lYaqBhU8_DElYkX7l4wRkHqqCUFNJY4AfY3kHU/edit?usp=sharing  #gid=0"",""фіз особи new!relations_name_uo""),7,FALSE)
,
)
))"),"МІНАЄВА Ганна Юріївна")</f>
        <v>МІНАЄВА Ганна Юріївна</v>
      </c>
      <c r="G10297" s="7" t="s">
        <v>10</v>
      </c>
      <c r="H10297" s="7">
        <v>697</v>
      </c>
      <c r="I10297" s="8" t="str">
        <f ca="1">IFERROR(__xludf.DUMMYFUNCTION("IF
(
G10298=""фізична особа""
,
VLOOKUP(H10298,IMPORTRANGE(""https://docs.google.com/spreadsheets/d/14Bd19lYaqBhU8_DElYkX7l4wRkHqqCUFNJY4AfY3kHU/edit?usp=sharing  #gid=0"",""фіз особи new!relations_name""),6,FALSE)
,
(IF
(
G10298=""юридична особа""
,
VLOO"&amp;"KUP(H10298,IMPORTRANGE(""https://docs.google.com/spreadsheets/d/14Bd19lYaqBhU8_DElYkX7l4wRkHqqCUFNJY4AfY3kHU/edit?usp=sharing  #gid=0"",""фіз особи new!relations_name_uo""),7,FALSE)
,
)
))"),"ЛІСОВСЬКИЙ Сергій Федорович")</f>
        <v>ЛІСОВСЬКИЙ Сергій Федорович</v>
      </c>
      <c r="J10297" s="7" t="s">
        <v>14</v>
      </c>
    </row>
    <row r="10298" spans="1:10" ht="13.2">
      <c r="A10298" s="7">
        <v>10297</v>
      </c>
      <c r="B10298" s="7">
        <v>1</v>
      </c>
      <c r="C10298" s="7" t="s">
        <v>10</v>
      </c>
      <c r="D10298" s="7">
        <v>15509</v>
      </c>
      <c r="E10298" s="7" t="s">
        <v>15</v>
      </c>
      <c r="F10298" s="8" t="str">
        <f ca="1">IFERROR(__xludf.DUMMYFUNCTION("IF
(
C10299=""фізична особа""
,
VLOOKUP(D10299,IMPORTRANGE(""https://docs.google.com/spreadsheets/d/14Bd19lYaqBhU8_DElYkX7l4wRkHqqCUFNJY4AfY3kHU/edit?usp=sharing  #gid=0"",""фіз особи new!relations_name""),6,FALSE)
,
(IF
(
C10299=""юридична особа""
,
VLOO"&amp;"KUP(D10299,IMPORTRANGE(""https://docs.google.com/spreadsheets/d/14Bd19lYaqBhU8_DElYkX7l4wRkHqqCUFNJY4AfY3kHU/edit?usp=sharing  #gid=0"",""фіз особи new!relations_name_uo""),7,FALSE)
,
)
))"),"ЛЕВЧЕНКО Наталія Яківна")</f>
        <v>ЛЕВЧЕНКО Наталія Яківна</v>
      </c>
      <c r="G10298" s="7" t="s">
        <v>10</v>
      </c>
      <c r="H10298" s="7">
        <v>698</v>
      </c>
      <c r="I10298" s="8" t="str">
        <f ca="1">IFERROR(__xludf.DUMMYFUNCTION("IF
(
G10299=""фізична особа""
,
VLOOKUP(H10299,IMPORTRANGE(""https://docs.google.com/spreadsheets/d/14Bd19lYaqBhU8_DElYkX7l4wRkHqqCUFNJY4AfY3kHU/edit?usp=sharing  #gid=0"",""фіз особи new!relations_name""),6,FALSE)
,
(IF
(
G10299=""юридична особа""
,
VLOO"&amp;"KUP(H10299,IMPORTRANGE(""https://docs.google.com/spreadsheets/d/14Bd19lYaqBhU8_DElYkX7l4wRkHqqCUFNJY4AfY3kHU/edit?usp=sharing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J10298" s="7" t="s">
        <v>14</v>
      </c>
    </row>
    <row r="10299" spans="1:10" ht="13.2">
      <c r="A10299" s="7">
        <v>10298</v>
      </c>
      <c r="B10299" s="7">
        <v>1</v>
      </c>
      <c r="C10299" s="7" t="s">
        <v>10</v>
      </c>
      <c r="D10299" s="7">
        <v>15510</v>
      </c>
      <c r="E10299" s="7" t="s">
        <v>13</v>
      </c>
      <c r="F10299" s="8" t="str">
        <f ca="1">IFERROR(__xludf.DUMMYFUNCTION("IF
(
C10300=""фізична особа""
,
VLOOKUP(D10300,IMPORTRANGE(""https://docs.google.com/spreadsheets/d/14Bd19lYaqBhU8_DElYkX7l4wRkHqqCUFNJY4AfY3kHU/edit?usp=sharing  #gid=0"",""фіз особи new!relations_name""),6,FALSE)
,
(IF
(
C10300=""юридична особа""
,
VLOO"&amp;"KUP(D10300,IMPORTRANGE(""https://docs.google.com/spreadsheets/d/14Bd19lYaqBhU8_DElYkX7l4wRkHqqCUFNJY4AfY3kHU/edit?usp=sharing  #gid=0"",""фіз особи new!relations_name_uo""),7,FALSE)
,
)
))"),"МОРДУЄВА Тетяна Сергіївна")</f>
        <v>МОРДУЄВА Тетяна Сергіївна</v>
      </c>
      <c r="G10299" s="7" t="s">
        <v>10</v>
      </c>
      <c r="H10299" s="7">
        <v>698</v>
      </c>
      <c r="I10299" s="8" t="str">
        <f ca="1">IFERROR(__xludf.DUMMYFUNCTION("IF
(
G10300=""фізична особа""
,
VLOOKUP(H10300,IMPORTRANGE(""https://docs.google.com/spreadsheets/d/14Bd19lYaqBhU8_DElYkX7l4wRkHqqCUFNJY4AfY3kHU/edit?usp=sharing  #gid=0"",""фіз особи new!relations_name""),6,FALSE)
,
(IF
(
G10300=""юридична особа""
,
VLOO"&amp;"KUP(H10300,IMPORTRANGE(""https://docs.google.com/spreadsheets/d/14Bd19lYaqBhU8_DElYkX7l4wRkHqqCUFNJY4AfY3kHU/edit?usp=sharing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J10299" s="7" t="s">
        <v>12</v>
      </c>
    </row>
    <row r="10300" spans="1:10" ht="13.2">
      <c r="A10300" s="7">
        <v>10299</v>
      </c>
      <c r="B10300" s="7">
        <v>1</v>
      </c>
      <c r="C10300" s="7" t="s">
        <v>10</v>
      </c>
      <c r="D10300" s="7">
        <v>15511</v>
      </c>
      <c r="E10300" s="7" t="s">
        <v>17</v>
      </c>
      <c r="F10300" s="8" t="str">
        <f ca="1">IFERROR(__xludf.DUMMYFUNCTION("IF
(
C10301=""фізична особа""
,
VLOOKUP(D10301,IMPORTRANGE(""https://docs.google.com/spreadsheets/d/14Bd19lYaqBhU8_DElYkX7l4wRkHqqCUFNJY4AfY3kHU/edit?usp=sharing  #gid=0"",""фіз особи new!relations_name""),6,FALSE)
,
(IF
(
C10301=""юридична особа""
,
VLOO"&amp;"KUP(D10301,IMPORTRANGE(""https://docs.google.com/spreadsheets/d/14Bd19lYaqBhU8_DElYkX7l4wRkHqqCUFNJY4AfY3kHU/edit?usp=sharing  #gid=0"",""фіз особи new!relations_name_uo""),7,FALSE)
,
)
))"),"ЛЕВЧЕНКО Андрій Сергійович")</f>
        <v>ЛЕВЧЕНКО Андрій Сергійович</v>
      </c>
      <c r="G10300" s="7" t="s">
        <v>10</v>
      </c>
      <c r="H10300" s="7">
        <v>698</v>
      </c>
      <c r="I10300" s="8" t="str">
        <f ca="1">IFERROR(__xludf.DUMMYFUNCTION("IF
(
G10301=""фізична особа""
,
VLOOKUP(H10301,IMPORTRANGE(""https://docs.google.com/spreadsheets/d/14Bd19lYaqBhU8_DElYkX7l4wRkHqqCUFNJY4AfY3kHU/edit?usp=sharing  #gid=0"",""фіз особи new!relations_name""),6,FALSE)
,
(IF
(
G10301=""юридична особа""
,
VLOO"&amp;"KUP(H10301,IMPORTRANGE(""https://docs.google.com/spreadsheets/d/14Bd19lYaqBhU8_DElYkX7l4wRkHqqCUFNJY4AfY3kHU/edit?usp=sharing  #gid=0"",""фіз особи new!relations_name_uo""),7,FALSE)
,
)
))"),"ЛЕВЧЕНКО Сергій Георгійович")</f>
        <v>ЛЕВЧЕНКО Сергій Георгійович</v>
      </c>
      <c r="J10300" s="7" t="s">
        <v>12</v>
      </c>
    </row>
    <row r="10301" spans="1:10" ht="13.2">
      <c r="A10301" s="7">
        <v>10300</v>
      </c>
      <c r="B10301" s="7">
        <v>1</v>
      </c>
      <c r="C10301" s="7" t="s">
        <v>10</v>
      </c>
      <c r="D10301" s="7">
        <v>15512</v>
      </c>
      <c r="E10301" s="7" t="s">
        <v>15</v>
      </c>
      <c r="F10301" s="8" t="str">
        <f ca="1">IFERROR(__xludf.DUMMYFUNCTION("IF
(
C10302=""фізична особа""
,
VLOOKUP(D10302,IMPORTRANGE(""https://docs.google.com/spreadsheets/d/14Bd19lYaqBhU8_DElYkX7l4wRkHqqCUFNJY4AfY3kHU/edit?usp=sharing  #gid=0"",""фіз особи new!relations_name""),6,FALSE)
,
(IF
(
C10302=""юридична особа""
,
VLOO"&amp;"KUP(D10302,IMPORTRANGE(""https://docs.google.com/spreadsheets/d/14Bd19lYaqBhU8_DElYkX7l4wRkHqqCUFNJY4AfY3kHU/edit?usp=sharing  #gid=0"",""фіз особи new!relations_name_uo""),7,FALSE)
,
)
))"),"МОРОЗОВА Олена Анатоліївна")</f>
        <v>МОРОЗОВА Олена Анатоліївна</v>
      </c>
      <c r="G10301" s="7" t="s">
        <v>10</v>
      </c>
      <c r="H10301" s="7">
        <v>699</v>
      </c>
      <c r="I10301" s="8" t="str">
        <f ca="1">IFERROR(__xludf.DUMMYFUNCTION("IF
(
G10302=""фізична особа""
,
VLOOKUP(H10302,IMPORTRANGE(""https://docs.google.com/spreadsheets/d/14Bd19lYaqBhU8_DElYkX7l4wRkHqqCUFNJY4AfY3kHU/edit?usp=sharing  #gid=0"",""фіз особи new!relations_name""),6,FALSE)
,
(IF
(
G10302=""юридична особа""
,
VLOO"&amp;"KUP(H10302,IMPORTRANGE(""https://docs.google.com/spreadsheets/d/14Bd19lYaqBhU8_DElYkX7l4wRkHqqCUFNJY4AfY3kHU/edit?usp=sharing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10301" s="7" t="s">
        <v>14</v>
      </c>
    </row>
    <row r="10302" spans="1:10" ht="13.2">
      <c r="A10302" s="7">
        <v>10301</v>
      </c>
      <c r="B10302" s="7">
        <v>1</v>
      </c>
      <c r="C10302" s="7" t="s">
        <v>10</v>
      </c>
      <c r="D10302" s="7">
        <v>15513</v>
      </c>
      <c r="E10302" s="7" t="s">
        <v>27</v>
      </c>
      <c r="F10302" s="8" t="str">
        <f ca="1">IFERROR(__xludf.DUMMYFUNCTION("IF
(
C10303=""фізична особа""
,
VLOOKUP(D10303,IMPORTRANGE(""https://docs.google.com/spreadsheets/d/14Bd19lYaqBhU8_DElYkX7l4wRkHqqCUFNJY4AfY3kHU/edit?usp=sharing  #gid=0"",""фіз особи new!relations_name""),6,FALSE)
,
(IF
(
C10303=""юридична особа""
,
VLOO"&amp;"KUP(D10303,IMPORTRANGE(""https://docs.google.com/spreadsheets/d/14Bd19lYaqBhU8_DElYkX7l4wRkHqqCUFNJY4AfY3kHU/edit?usp=sharing  #gid=0"",""фіз особи new!relations_name_uo""),7,FALSE)
,
)
))"),"ГІЛЬДІНА Валентина Олексіївна")</f>
        <v>ГІЛЬДІНА Валентина Олексіївна</v>
      </c>
      <c r="G10302" s="7" t="s">
        <v>10</v>
      </c>
      <c r="H10302" s="7">
        <v>699</v>
      </c>
      <c r="I10302" s="8" t="str">
        <f ca="1">IFERROR(__xludf.DUMMYFUNCTION("IF
(
G10303=""фізична особа""
,
VLOOKUP(H10303,IMPORTRANGE(""https://docs.google.com/spreadsheets/d/14Bd19lYaqBhU8_DElYkX7l4wRkHqqCUFNJY4AfY3kHU/edit?usp=sharing  #gid=0"",""фіз особи new!relations_name""),6,FALSE)
,
(IF
(
G10303=""юридична особа""
,
VLOO"&amp;"KUP(H10303,IMPORTRANGE(""https://docs.google.com/spreadsheets/d/14Bd19lYaqBhU8_DElYkX7l4wRkHqqCUFNJY4AfY3kHU/edit?usp=sharing  #gid=0"",""фіз особи new!relations_name_uo""),7,FALSE)
,
)
))"),"МОРОЗОВ Сергій Іванович")</f>
        <v>МОРОЗОВ Сергій Іванович</v>
      </c>
      <c r="J10302" s="7" t="s">
        <v>26</v>
      </c>
    </row>
    <row r="10303" spans="1:10" ht="13.2">
      <c r="A10303" s="7">
        <v>10302</v>
      </c>
      <c r="B10303" s="7">
        <v>1</v>
      </c>
      <c r="C10303" s="7" t="s">
        <v>10</v>
      </c>
      <c r="D10303" s="7">
        <v>15514</v>
      </c>
      <c r="E10303" s="7" t="s">
        <v>17</v>
      </c>
      <c r="F10303" s="8" t="str">
        <f ca="1">IFERROR(__xludf.DUMMYFUNCTION("IF
(
C10304=""фізична особа""
,
VLOOKUP(D10304,IMPORTRANGE(""https://docs.google.com/spreadsheets/d/14Bd19lYaqBhU8_DElYkX7l4wRkHqqCUFNJY4AfY3kHU/edit?usp=sharing  #gid=0"",""фіз особи new!relations_name""),6,FALSE)
,
(IF
(
C10304=""юридична особа""
,
VLOO"&amp;"KUP(D10304,IMPORTRANGE(""https://docs.google.com/spreadsheets/d/14Bd19lYaqBhU8_DElYkX7l4wRkHqqCUFNJY4AfY3kHU/edit?usp=sharing  #gid=0"",""фіз особи new!relations_name_uo""),7,FALSE)
,
)
))"),"ТЕРЕНТЬЄВ Антон Олександрович")</f>
        <v>ТЕРЕНТЬЄВ Антон Олександрович</v>
      </c>
      <c r="G10303" s="7" t="s">
        <v>10</v>
      </c>
      <c r="H10303" s="7">
        <v>701</v>
      </c>
      <c r="I10303" s="8" t="str">
        <f ca="1">IFERROR(__xludf.DUMMYFUNCTION("IF
(
G10304=""фізична особа""
,
VLOOKUP(H10304,IMPORTRANGE(""https://docs.google.com/spreadsheets/d/14Bd19lYaqBhU8_DElYkX7l4wRkHqqCUFNJY4AfY3kHU/edit?usp=sharing  #gid=0"",""фіз особи new!relations_name""),6,FALSE)
,
(IF
(
G10304=""юридична особа""
,
VLOO"&amp;"KUP(H10304,IMPORTRANGE(""https://docs.google.com/spreadsheets/d/14Bd19lYaqBhU8_DElYkX7l4wRkHqqCUFNJY4AfY3kHU/edit?usp=sharing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J10303" s="7" t="s">
        <v>12</v>
      </c>
    </row>
    <row r="10304" spans="1:10" ht="13.2">
      <c r="A10304" s="7">
        <v>10303</v>
      </c>
      <c r="B10304" s="7">
        <v>1</v>
      </c>
      <c r="C10304" s="7" t="s">
        <v>10</v>
      </c>
      <c r="D10304" s="7">
        <v>15515</v>
      </c>
      <c r="E10304" s="7" t="s">
        <v>14</v>
      </c>
      <c r="F10304" s="8" t="str">
        <f ca="1">IFERROR(__xludf.DUMMYFUNCTION("IF
(
C10305=""фізична особа""
,
VLOOKUP(D10305,IMPORTRANGE(""https://docs.google.com/spreadsheets/d/14Bd19lYaqBhU8_DElYkX7l4wRkHqqCUFNJY4AfY3kHU/edit?usp=sharing  #gid=0"",""фіз особи new!relations_name""),6,FALSE)
,
(IF
(
C10305=""юридична особа""
,
VLOO"&amp;"KUP(D10305,IMPORTRANGE(""https://docs.google.com/spreadsheets/d/14Bd19lYaqBhU8_DElYkX7l4wRkHqqCUFNJY4AfY3kHU/edit?usp=sharing  #gid=0"",""фіз особи new!relations_name_uo""),7,FALSE)
,
)
))"),"ТЕРЕНТЬЄВА Ольга Анатоліївна")</f>
        <v>ТЕРЕНТЬЄВА Ольга Анатоліївна</v>
      </c>
      <c r="G10304" s="7" t="s">
        <v>10</v>
      </c>
      <c r="H10304" s="7">
        <v>701</v>
      </c>
      <c r="I10304" s="8" t="str">
        <f ca="1">IFERROR(__xludf.DUMMYFUNCTION("IF
(
G10305=""фізична особа""
,
VLOOKUP(H10305,IMPORTRANGE(""https://docs.google.com/spreadsheets/d/14Bd19lYaqBhU8_DElYkX7l4wRkHqqCUFNJY4AfY3kHU/edit?usp=sharing  #gid=0"",""фіз особи new!relations_name""),6,FALSE)
,
(IF
(
G10305=""юридична особа""
,
VLOO"&amp;"KUP(H10305,IMPORTRANGE(""https://docs.google.com/spreadsheets/d/14Bd19lYaqBhU8_DElYkX7l4wRkHqqCUFNJY4AfY3kHU/edit?usp=sharing  #gid=0"",""фіз особи new!relations_name_uo""),7,FALSE)
,
)
))"),"ТЕРЕНТЬЄВ Олександр Васильович")</f>
        <v>ТЕРЕНТЬЄВ Олександр Васильович</v>
      </c>
      <c r="J10304" s="7" t="s">
        <v>15</v>
      </c>
    </row>
    <row r="10305" spans="1:10" ht="13.2">
      <c r="A10305" s="7">
        <v>10304</v>
      </c>
      <c r="B10305" s="7">
        <v>1</v>
      </c>
      <c r="C10305" s="7" t="s">
        <v>10</v>
      </c>
      <c r="D10305" s="7">
        <v>15516</v>
      </c>
      <c r="E10305" s="7" t="s">
        <v>14</v>
      </c>
      <c r="F10305" s="8" t="str">
        <f ca="1">IFERROR(__xludf.DUMMYFUNCTION("IF
(
C10306=""фізична особа""
,
VLOOKUP(D10306,IMPORTRANGE(""https://docs.google.com/spreadsheets/d/14Bd19lYaqBhU8_DElYkX7l4wRkHqqCUFNJY4AfY3kHU/edit?usp=sharing  #gid=0"",""фіз особи new!relations_name""),6,FALSE)
,
(IF
(
C10306=""юридична особа""
,
VLOO"&amp;"KUP(D10306,IMPORTRANGE(""https://docs.google.com/spreadsheets/d/14Bd19lYaqBhU8_DElYkX7l4wRkHqqCUFNJY4AfY3kHU/edit?usp=sharing  #gid=0"",""фіз особи new!relations_name_uo""),7,FALSE)
,
)
))"),"ЯХНЮК Тетяна Валентинівна")</f>
        <v>ЯХНЮК Тетяна Валентинівна</v>
      </c>
      <c r="G10305" s="7" t="s">
        <v>10</v>
      </c>
      <c r="H10305" s="7">
        <v>714</v>
      </c>
      <c r="I10305" s="8" t="str">
        <f ca="1">IFERROR(__xludf.DUMMYFUNCTION("IF
(
G10306=""фізична особа""
,
VLOOKUP(H10306,IMPORTRANGE(""https://docs.google.com/spreadsheets/d/14Bd19lYaqBhU8_DElYkX7l4wRkHqqCUFNJY4AfY3kHU/edit?usp=sharing  #gid=0"",""фіз особи new!relations_name""),6,FALSE)
,
(IF
(
G10306=""юридична особа""
,
VLOO"&amp;"KUP(H10306,IMPORTRANGE(""https://docs.google.com/spreadsheets/d/14Bd19lYaqBhU8_DElYkX7l4wRkHqqCUFNJY4AfY3kHU/edit?usp=sharing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J10305" s="7" t="s">
        <v>15</v>
      </c>
    </row>
    <row r="10306" spans="1:10" ht="13.2">
      <c r="A10306" s="7">
        <v>10305</v>
      </c>
      <c r="B10306" s="7">
        <v>1</v>
      </c>
      <c r="C10306" s="7" t="s">
        <v>10</v>
      </c>
      <c r="D10306" s="7">
        <v>15517</v>
      </c>
      <c r="E10306" s="7" t="s">
        <v>17</v>
      </c>
      <c r="F10306" s="8" t="str">
        <f ca="1">IFERROR(__xludf.DUMMYFUNCTION("IF
(
C10307=""фізична особа""
,
VLOOKUP(D10307,IMPORTRANGE(""https://docs.google.com/spreadsheets/d/14Bd19lYaqBhU8_DElYkX7l4wRkHqqCUFNJY4AfY3kHU/edit?usp=sharing  #gid=0"",""фіз особи new!relations_name""),6,FALSE)
,
(IF
(
C10307=""юридична особа""
,
VLOO"&amp;"KUP(D10307,IMPORTRANGE(""https://docs.google.com/spreadsheets/d/14Bd19lYaqBhU8_DElYkX7l4wRkHqqCUFNJY4AfY3kHU/edit?usp=sharing  #gid=0"",""фіз особи new!relations_name_uo""),7,FALSE)
,
)
))"),"ЯХНЮК Олександр Сергійович")</f>
        <v>ЯХНЮК Олександр Сергійович</v>
      </c>
      <c r="G10306" s="7" t="s">
        <v>10</v>
      </c>
      <c r="H10306" s="7">
        <v>714</v>
      </c>
      <c r="I10306" s="8" t="str">
        <f ca="1">IFERROR(__xludf.DUMMYFUNCTION("IF
(
G10307=""фізична особа""
,
VLOOKUP(H10307,IMPORTRANGE(""https://docs.google.com/spreadsheets/d/14Bd19lYaqBhU8_DElYkX7l4wRkHqqCUFNJY4AfY3kHU/edit?usp=sharing  #gid=0"",""фіз особи new!relations_name""),6,FALSE)
,
(IF
(
G10307=""юридична особа""
,
VLOO"&amp;"KUP(H10307,IMPORTRANGE(""https://docs.google.com/spreadsheets/d/14Bd19lYaqBhU8_DElYkX7l4wRkHqqCUFNJY4AfY3kHU/edit?usp=sharing  #gid=0"",""фіз особи new!relations_name_uo""),7,FALSE)
,
)
))"),"ЯХНЮК Сергій Васильович")</f>
        <v>ЯХНЮК Сергій Васильович</v>
      </c>
      <c r="J10306" s="7" t="s">
        <v>12</v>
      </c>
    </row>
    <row r="10307" spans="1:10" ht="13.2">
      <c r="A10307" s="7">
        <v>10306</v>
      </c>
      <c r="B10307" s="7">
        <v>1</v>
      </c>
      <c r="C10307" s="7" t="s">
        <v>10</v>
      </c>
      <c r="D10307" s="7">
        <v>15518</v>
      </c>
      <c r="E10307" s="7" t="s">
        <v>18</v>
      </c>
      <c r="F10307" s="8" t="str">
        <f ca="1">IFERROR(__xludf.DUMMYFUNCTION("IF
(
C10308=""фізична особа""
,
VLOOKUP(D10308,IMPORTRANGE(""https://docs.google.com/spreadsheets/d/14Bd19lYaqBhU8_DElYkX7l4wRkHqqCUFNJY4AfY3kHU/edit?usp=sharing  #gid=0"",""фіз особи new!relations_name""),6,FALSE)
,
(IF
(
C10308=""юридична особа""
,
VLOO"&amp;"KUP(D10308,IMPORTRANGE(""https://docs.google.com/spreadsheets/d/14Bd19lYaqBhU8_DElYkX7l4wRkHqqCUFNJY4AfY3kHU/edit?usp=sharing  #gid=0"",""фіз особи new!relations_name_uo""),7,FALSE)
,
)
))"),"ЧИЖОВ Олександр Вікторович")</f>
        <v>ЧИЖОВ Олександр Вікторович</v>
      </c>
      <c r="G10307" s="7" t="s">
        <v>10</v>
      </c>
      <c r="H10307" s="7">
        <v>716</v>
      </c>
      <c r="I10307" s="8" t="str">
        <f ca="1">IFERROR(__xludf.DUMMYFUNCTION("IF
(
G10308=""фізична особа""
,
VLOOKUP(H10308,IMPORTRANGE(""https://docs.google.com/spreadsheets/d/14Bd19lYaqBhU8_DElYkX7l4wRkHqqCUFNJY4AfY3kHU/edit?usp=sharing  #gid=0"",""фіз особи new!relations_name""),6,FALSE)
,
(IF
(
G10308=""юридична особа""
,
VLOO"&amp;"KUP(H10308,IMPORTRANGE(""https://docs.google.com/spreadsheets/d/14Bd19lYaqBhU8_DElYkX7l4wRkHqqCUFNJY4AfY3kHU/edit?usp=sharing  #gid=0"",""фіз особи new!relations_name_uo""),7,FALSE)
,
)
))"),"ЧІЖОВ Сергій Вікторович")</f>
        <v>ЧІЖОВ Сергій Вікторович</v>
      </c>
      <c r="J10307" s="7" t="s">
        <v>18</v>
      </c>
    </row>
    <row r="10308" spans="1:10" ht="13.2">
      <c r="A10308" s="7">
        <v>10307</v>
      </c>
      <c r="B10308" s="7">
        <v>1</v>
      </c>
      <c r="C10308" s="7" t="s">
        <v>10</v>
      </c>
      <c r="D10308" s="7">
        <v>15519</v>
      </c>
      <c r="E10308" s="7" t="s">
        <v>31</v>
      </c>
      <c r="F10308" s="8" t="str">
        <f ca="1">IFERROR(__xludf.DUMMYFUNCTION("IF
(
C10309=""фізична особа""
,
VLOOKUP(D10309,IMPORTRANGE(""https://docs.google.com/spreadsheets/d/14Bd19lYaqBhU8_DElYkX7l4wRkHqqCUFNJY4AfY3kHU/edit?usp=sharing  #gid=0"",""фіз особи new!relations_name""),6,FALSE)
,
(IF
(
C10309=""юридична особа""
,
VLOO"&amp;"KUP(D10309,IMPORTRANGE(""https://docs.google.com/spreadsheets/d/14Bd19lYaqBhU8_DElYkX7l4wRkHqqCUFNJY4AfY3kHU/edit?usp=sharing  #gid=0"",""фіз особи new!relations_name_uo""),7,FALSE)
,
)
))"),"ТЕН Олена Юріївна")</f>
        <v>ТЕН Олена Юріївна</v>
      </c>
      <c r="G10308" s="7" t="s">
        <v>10</v>
      </c>
      <c r="H10308" s="7">
        <v>725</v>
      </c>
      <c r="I10308" s="8" t="str">
        <f ca="1">IFERROR(__xludf.DUMMYFUNCTION("IF
(
G10309=""фізична особа""
,
VLOOKUP(H10309,IMPORTRANGE(""https://docs.google.com/spreadsheets/d/14Bd19lYaqBhU8_DElYkX7l4wRkHqqCUFNJY4AfY3kHU/edit?usp=sharing  #gid=0"",""фіз особи new!relations_name""),6,FALSE)
,
(IF
(
G10309=""юридична особа""
,
VLOO"&amp;"KUP(H10309,IMPORTRANGE(""https://docs.google.com/spreadsheets/d/14Bd19lYaqBhU8_DElYkX7l4wRkHqqCUFNJY4AfY3kHU/edit?usp=sharing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J10308" s="7" t="s">
        <v>18</v>
      </c>
    </row>
    <row r="10309" spans="1:10" ht="13.2">
      <c r="A10309" s="7">
        <v>10308</v>
      </c>
      <c r="B10309" s="7">
        <v>1</v>
      </c>
      <c r="C10309" s="7" t="s">
        <v>10</v>
      </c>
      <c r="D10309" s="7">
        <v>15520</v>
      </c>
      <c r="E10309" s="7" t="s">
        <v>31</v>
      </c>
      <c r="F10309" s="8" t="str">
        <f ca="1">IFERROR(__xludf.DUMMYFUNCTION("IF
(
C10310=""фізична особа""
,
VLOOKUP(D10310,IMPORTRANGE(""https://docs.google.com/spreadsheets/d/14Bd19lYaqBhU8_DElYkX7l4wRkHqqCUFNJY4AfY3kHU/edit?usp=sharing  #gid=0"",""фіз особи new!relations_name""),6,FALSE)
,
(IF
(
C10310=""юридична особа""
,
VLOO"&amp;"KUP(D10310,IMPORTRANGE(""https://docs.google.com/spreadsheets/d/14Bd19lYaqBhU8_DElYkX7l4wRkHqqCUFNJY4AfY3kHU/edit?usp=sharing  #gid=0"",""фіз особи new!relations_name_uo""),7,FALSE)
,
)
))"),"ТРАЧУК Іва Юріївна")</f>
        <v>ТРАЧУК Іва Юріївна</v>
      </c>
      <c r="G10309" s="7" t="s">
        <v>10</v>
      </c>
      <c r="H10309" s="7">
        <v>725</v>
      </c>
      <c r="I10309" s="8" t="str">
        <f ca="1">IFERROR(__xludf.DUMMYFUNCTION("IF
(
G10310=""фізична особа""
,
VLOOKUP(H10310,IMPORTRANGE(""https://docs.google.com/spreadsheets/d/14Bd19lYaqBhU8_DElYkX7l4wRkHqqCUFNJY4AfY3kHU/edit?usp=sharing  #gid=0"",""фіз особи new!relations_name""),6,FALSE)
,
(IF
(
G10310=""юридична особа""
,
VLOO"&amp;"KUP(H10310,IMPORTRANGE(""https://docs.google.com/spreadsheets/d/14Bd19lYaqBhU8_DElYkX7l4wRkHqqCUFNJY4AfY3kHU/edit?usp=sharing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J10309" s="7" t="s">
        <v>18</v>
      </c>
    </row>
    <row r="10310" spans="1:10" ht="13.2">
      <c r="A10310" s="7">
        <v>10309</v>
      </c>
      <c r="B10310" s="7">
        <v>1</v>
      </c>
      <c r="C10310" s="7" t="s">
        <v>10</v>
      </c>
      <c r="D10310" s="7">
        <v>15521</v>
      </c>
      <c r="E10310" s="7" t="s">
        <v>21</v>
      </c>
      <c r="F10310" s="8" t="str">
        <f ca="1">IFERROR(__xludf.DUMMYFUNCTION("IF
(
C10311=""фізична особа""
,
VLOOKUP(D10311,IMPORTRANGE(""https://docs.google.com/spreadsheets/d/14Bd19lYaqBhU8_DElYkX7l4wRkHqqCUFNJY4AfY3kHU/edit?usp=sharing  #gid=0"",""фіз особи new!relations_name""),6,FALSE)
,
(IF
(
C10311=""юридична особа""
,
VLOO"&amp;"KUP(D10311,IMPORTRANGE(""https://docs.google.com/spreadsheets/d/14Bd19lYaqBhU8_DElYkX7l4wRkHqqCUFNJY4AfY3kHU/edit?usp=sharing  #gid=0"",""фіз особи new!relations_name_uo""),7,FALSE)
,
)
))"),"ТЕН Людмила Борисівна")</f>
        <v>ТЕН Людмила Борисівна</v>
      </c>
      <c r="G10310" s="7" t="s">
        <v>10</v>
      </c>
      <c r="H10310" s="7">
        <v>725</v>
      </c>
      <c r="I10310" s="8" t="str">
        <f ca="1">IFERROR(__xludf.DUMMYFUNCTION("IF
(
G10311=""фізична особа""
,
VLOOKUP(H10311,IMPORTRANGE(""https://docs.google.com/spreadsheets/d/14Bd19lYaqBhU8_DElYkX7l4wRkHqqCUFNJY4AfY3kHU/edit?usp=sharing  #gid=0"",""фіз особи new!relations_name""),6,FALSE)
,
(IF
(
G10311=""юридична особа""
,
VLOO"&amp;"KUP(H10311,IMPORTRANGE(""https://docs.google.com/spreadsheets/d/14Bd19lYaqBhU8_DElYkX7l4wRkHqqCUFNJY4AfY3kHU/edit?usp=sharing  #gid=0"",""фіз особи new!relations_name_uo""),7,FALSE)
,
)
))"),"ТЕН Сергій Юрійович")</f>
        <v>ТЕН Сергій Юрійович</v>
      </c>
      <c r="J10310" s="7" t="s">
        <v>17</v>
      </c>
    </row>
    <row r="10311" spans="1:10" ht="13.2">
      <c r="A10311" s="7">
        <v>10310</v>
      </c>
      <c r="B10311" s="7">
        <v>1</v>
      </c>
      <c r="C10311" s="7" t="s">
        <v>10</v>
      </c>
      <c r="D10311" s="7">
        <v>15522</v>
      </c>
      <c r="E10311" s="7" t="s">
        <v>17</v>
      </c>
      <c r="F10311" s="8" t="str">
        <f ca="1">IFERROR(__xludf.DUMMYFUNCTION("IF
(
C10312=""фізична особа""
,
VLOOKUP(D10312,IMPORTRANGE(""https://docs.google.com/spreadsheets/d/14Bd19lYaqBhU8_DElYkX7l4wRkHqqCUFNJY4AfY3kHU/edit?usp=sharing  #gid=0"",""фіз особи new!relations_name""),6,FALSE)
,
(IF
(
C10312=""юридична особа""
,
VLOO"&amp;"KUP(D10312,IMPORTRANGE(""https://docs.google.com/spreadsheets/d/14Bd19lYaqBhU8_DElYkX7l4wRkHqqCUFNJY4AfY3kHU/edit?usp=sharing  #gid=0"",""фіз особи new!relations_name_uo""),7,FALSE)
,
)
))"),"ШУВАЛОВ Ілля Вадимович")</f>
        <v>ШУВАЛОВ Ілля Вадимович</v>
      </c>
      <c r="G10311" s="7" t="s">
        <v>10</v>
      </c>
      <c r="H10311" s="7">
        <v>783</v>
      </c>
      <c r="I10311" s="8" t="str">
        <f ca="1">IFERROR(__xludf.DUMMYFUNCTION("IF
(
G10312=""фізична особа""
,
VLOOKUP(H10312,IMPORTRANGE(""https://docs.google.com/spreadsheets/d/14Bd19lYaqBhU8_DElYkX7l4wRkHqqCUFNJY4AfY3kHU/edit?usp=sharing  #gid=0"",""фіз особи new!relations_name""),6,FALSE)
,
(IF
(
G10312=""юридична особа""
,
VLOO"&amp;"KUP(H10312,IMPORTRANGE(""https://docs.google.com/spreadsheets/d/14Bd19lYaqBhU8_DElYkX7l4wRkHqqCUFNJY4AfY3kHU/edit?usp=sharing  #gid=0"",""фіз особи new!relations_name_uo""),7,FALSE)
,
)
))"),"ШУВАЛОВ Вадим Миколайович")</f>
        <v>ШУВАЛОВ Вадим Миколайович</v>
      </c>
      <c r="J10311" s="7" t="s">
        <v>12</v>
      </c>
    </row>
    <row r="10312" spans="1:10" ht="13.2">
      <c r="A10312" s="7">
        <v>10311</v>
      </c>
      <c r="B10312" s="7">
        <v>1</v>
      </c>
      <c r="C10312" s="7" t="s">
        <v>10</v>
      </c>
      <c r="D10312" s="7">
        <v>15523</v>
      </c>
      <c r="E10312" s="7" t="s">
        <v>15</v>
      </c>
      <c r="F10312" s="8" t="str">
        <f ca="1">IFERROR(__xludf.DUMMYFUNCTION("IF
(
C10313=""фізична особа""
,
VLOOKUP(D10313,IMPORTRANGE(""https://docs.google.com/spreadsheets/d/14Bd19lYaqBhU8_DElYkX7l4wRkHqqCUFNJY4AfY3kHU/edit?usp=sharing  #gid=0"",""фіз особи new!relations_name""),6,FALSE)
,
(IF
(
C10313=""юридична особа""
,
VLOO"&amp;"KUP(D10313,IMPORTRANGE(""https://docs.google.com/spreadsheets/d/14Bd19lYaqBhU8_DElYkX7l4wRkHqqCUFNJY4AfY3kHU/edit?usp=sharing  #gid=0"",""фіз особи new!relations_name_uo""),7,FALSE)
,
)
))"),"ШУВАЛОВА Людмила Іванівна")</f>
        <v>ШУВАЛОВА Людмила Іванівна</v>
      </c>
      <c r="G10312" s="7" t="s">
        <v>10</v>
      </c>
      <c r="H10312" s="7">
        <v>783</v>
      </c>
      <c r="I10312" s="8" t="str">
        <f ca="1">IFERROR(__xludf.DUMMYFUNCTION("IF
(
G10313=""фізична особа""
,
VLOOKUP(H10313,IMPORTRANGE(""https://docs.google.com/spreadsheets/d/14Bd19lYaqBhU8_DElYkX7l4wRkHqqCUFNJY4AfY3kHU/edit?usp=sharing  #gid=0"",""фіз особи new!relations_name""),6,FALSE)
,
(IF
(
G10313=""юридична особа""
,
VLOO"&amp;"KUP(H10313,IMPORTRANGE(""https://docs.google.com/spreadsheets/d/14Bd19lYaqBhU8_DElYkX7l4wRkHqqCUFNJY4AfY3kHU/edit?usp=sharing  #gid=0"",""фіз особи new!relations_name_uo""),7,FALSE)
,
)
))"),"ШУВАЛОВ Вадим Миколайович")</f>
        <v>ШУВАЛОВ Вадим Миколайович</v>
      </c>
      <c r="J10312" s="7" t="s">
        <v>14</v>
      </c>
    </row>
    <row r="10313" spans="1:10" ht="13.2">
      <c r="A10313" s="7">
        <v>10312</v>
      </c>
      <c r="B10313" s="7">
        <v>1</v>
      </c>
      <c r="C10313" s="7" t="s">
        <v>10</v>
      </c>
      <c r="D10313" s="7">
        <v>15524</v>
      </c>
      <c r="E10313" s="7" t="s">
        <v>14</v>
      </c>
      <c r="F10313" s="8" t="str">
        <f ca="1">IFERROR(__xludf.DUMMYFUNCTION("IF
(
C10314=""фізична особа""
,
VLOOKUP(D10314,IMPORTRANGE(""https://docs.google.com/spreadsheets/d/14Bd19lYaqBhU8_DElYkX7l4wRkHqqCUFNJY4AfY3kHU/edit?usp=sharing  #gid=0"",""фіз особи new!relations_name""),6,FALSE)
,
(IF
(
C10314=""юридична особа""
,
VLOO"&amp;"KUP(D10314,IMPORTRANGE(""https://docs.google.com/spreadsheets/d/14Bd19lYaqBhU8_DElYkX7l4wRkHqqCUFNJY4AfY3kHU/edit?usp=sharing  #gid=0"",""фіз особи new!relations_name_uo""),7,FALSE)
,
)
))"),"БУЦКИЙ Володимир Петрович")</f>
        <v>БУЦКИЙ Володимир Петрович</v>
      </c>
      <c r="G10313" s="7" t="s">
        <v>10</v>
      </c>
      <c r="H10313" s="7">
        <v>765</v>
      </c>
      <c r="I10313" s="8" t="str">
        <f ca="1">IFERROR(__xludf.DUMMYFUNCTION("IF
(
G10314=""фізична особа""
,
VLOOKUP(H10314,IMPORTRANGE(""https://docs.google.com/spreadsheets/d/14Bd19lYaqBhU8_DElYkX7l4wRkHqqCUFNJY4AfY3kHU/edit?usp=sharing  #gid=0"",""фіз особи new!relations_name""),6,FALSE)
,
(IF
(
G10314=""юридична особа""
,
VLOO"&amp;"KUP(H10314,IMPORTRANGE(""https://docs.google.com/spreadsheets/d/14Bd19lYaqBhU8_DElYkX7l4wRkHqqCUFNJY4AfY3kHU/edit?usp=sharing  #gid=0"",""фіз особи new!relations_name_uo""),7,FALSE)
,
)
))"),"БУЦЬКА Тетяна Вікторівна")</f>
        <v>БУЦЬКА Тетяна Вікторівна</v>
      </c>
      <c r="J10313" s="7" t="s">
        <v>15</v>
      </c>
    </row>
    <row r="10314" spans="1:10" ht="13.2">
      <c r="A10314" s="7">
        <v>10313</v>
      </c>
      <c r="B10314" s="7">
        <v>1</v>
      </c>
      <c r="C10314" s="7" t="s">
        <v>10</v>
      </c>
      <c r="D10314" s="7">
        <v>15525</v>
      </c>
      <c r="E10314" s="7" t="s">
        <v>15</v>
      </c>
      <c r="F10314" s="8" t="str">
        <f ca="1">IFERROR(__xludf.DUMMYFUNCTION("IF
(
C10315=""фізична особа""
,
VLOOKUP(D10315,IMPORTRANGE(""https://docs.google.com/spreadsheets/d/14Bd19lYaqBhU8_DElYkX7l4wRkHqqCUFNJY4AfY3kHU/edit?usp=sharing  #gid=0"",""фіз особи new!relations_name""),6,FALSE)
,
(IF
(
C10315=""юридична особа""
,
VLOO"&amp;"KUP(D10315,IMPORTRANGE(""https://docs.google.com/spreadsheets/d/14Bd19lYaqBhU8_DElYkX7l4wRkHqqCUFNJY4AfY3kHU/edit?usp=sharing  #gid=0"",""фіз особи new!relations_name_uo""),7,FALSE)
,
)
))"),"БЄЛОУСОВА Ірина Борисівна")</f>
        <v>БЄЛОУСОВА Ірина Борисівна</v>
      </c>
      <c r="G10314" s="7" t="s">
        <v>10</v>
      </c>
      <c r="H10314" s="7">
        <v>786</v>
      </c>
      <c r="I10314" s="8" t="str">
        <f ca="1">IFERROR(__xludf.DUMMYFUNCTION("IF
(
G10315=""фізична особа""
,
VLOOKUP(H10315,IMPORTRANGE(""https://docs.google.com/spreadsheets/d/14Bd19lYaqBhU8_DElYkX7l4wRkHqqCUFNJY4AfY3kHU/edit?usp=sharing  #gid=0"",""фіз особи new!relations_name""),6,FALSE)
,
(IF
(
G10315=""юридична особа""
,
VLOO"&amp;"KUP(H10315,IMPORTRANGE(""https://docs.google.com/spreadsheets/d/14Bd19lYaqBhU8_DElYkX7l4wRkHqqCUFNJY4AfY3kHU/edit?usp=sharing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J10314" s="7" t="s">
        <v>14</v>
      </c>
    </row>
    <row r="10315" spans="1:10" ht="13.2">
      <c r="A10315" s="7">
        <v>10314</v>
      </c>
      <c r="B10315" s="7">
        <v>1</v>
      </c>
      <c r="C10315" s="7" t="s">
        <v>10</v>
      </c>
      <c r="D10315" s="7">
        <v>15526</v>
      </c>
      <c r="E10315" s="7" t="s">
        <v>13</v>
      </c>
      <c r="F10315" s="8" t="str">
        <f ca="1">IFERROR(__xludf.DUMMYFUNCTION("IF
(
C10316=""фізична особа""
,
VLOOKUP(D10316,IMPORTRANGE(""https://docs.google.com/spreadsheets/d/14Bd19lYaqBhU8_DElYkX7l4wRkHqqCUFNJY4AfY3kHU/edit?usp=sharing  #gid=0"",""фіз особи new!relations_name""),6,FALSE)
,
(IF
(
C10316=""юридична особа""
,
VLOO"&amp;"KUP(D10316,IMPORTRANGE(""https://docs.google.com/spreadsheets/d/14Bd19lYaqBhU8_DElYkX7l4wRkHqqCUFNJY4AfY3kHU/edit?usp=sharing  #gid=0"",""фіз особи new!relations_name_uo""),7,FALSE)
,
)
))"),"ЧІГІНЦЕВА Валерія Вадимівна")</f>
        <v>ЧІГІНЦЕВА Валерія Вадимівна</v>
      </c>
      <c r="G10315" s="7" t="s">
        <v>10</v>
      </c>
      <c r="H10315" s="7">
        <v>786</v>
      </c>
      <c r="I10315" s="8" t="str">
        <f ca="1">IFERROR(__xludf.DUMMYFUNCTION("IF
(
G10316=""фізична особа""
,
VLOOKUP(H10316,IMPORTRANGE(""https://docs.google.com/spreadsheets/d/14Bd19lYaqBhU8_DElYkX7l4wRkHqqCUFNJY4AfY3kHU/edit?usp=sharing  #gid=0"",""фіз особи new!relations_name""),6,FALSE)
,
(IF
(
G10316=""юридична особа""
,
VLOO"&amp;"KUP(H10316,IMPORTRANGE(""https://docs.google.com/spreadsheets/d/14Bd19lYaqBhU8_DElYkX7l4wRkHqqCUFNJY4AfY3kHU/edit?usp=sharing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J10315" s="7" t="s">
        <v>12</v>
      </c>
    </row>
    <row r="10316" spans="1:10" ht="13.2">
      <c r="A10316" s="7">
        <v>10315</v>
      </c>
      <c r="B10316" s="7">
        <v>1</v>
      </c>
      <c r="C10316" s="7" t="s">
        <v>10</v>
      </c>
      <c r="D10316" s="7">
        <v>15527</v>
      </c>
      <c r="E10316" s="7" t="s">
        <v>17</v>
      </c>
      <c r="F10316" s="8" t="str">
        <f ca="1">IFERROR(__xludf.DUMMYFUNCTION("IF
(
C10317=""фізична особа""
,
VLOOKUP(D10317,IMPORTRANGE(""https://docs.google.com/spreadsheets/d/14Bd19lYaqBhU8_DElYkX7l4wRkHqqCUFNJY4AfY3kHU/edit?usp=sharing  #gid=0"",""фіз особи new!relations_name""),6,FALSE)
,
(IF
(
C10317=""юридична особа""
,
VLOO"&amp;"KUP(D10317,IMPORTRANGE(""https://docs.google.com/spreadsheets/d/14Bd19lYaqBhU8_DElYkX7l4wRkHqqCUFNJY4AfY3kHU/edit?usp=sharing  #gid=0"",""фіз особи new!relations_name_uo""),7,FALSE)
,
)
))"),"БЄЛОУСОВ Антон Вадимович")</f>
        <v>БЄЛОУСОВ Антон Вадимович</v>
      </c>
      <c r="G10316" s="7" t="s">
        <v>10</v>
      </c>
      <c r="H10316" s="7">
        <v>786</v>
      </c>
      <c r="I10316" s="8" t="str">
        <f ca="1">IFERROR(__xludf.DUMMYFUNCTION("IF
(
G10317=""фізична особа""
,
VLOOKUP(H10317,IMPORTRANGE(""https://docs.google.com/spreadsheets/d/14Bd19lYaqBhU8_DElYkX7l4wRkHqqCUFNJY4AfY3kHU/edit?usp=sharing  #gid=0"",""фіз особи new!relations_name""),6,FALSE)
,
(IF
(
G10317=""юридична особа""
,
VLOO"&amp;"KUP(H10317,IMPORTRANGE(""https://docs.google.com/spreadsheets/d/14Bd19lYaqBhU8_DElYkX7l4wRkHqqCUFNJY4AfY3kHU/edit?usp=sharing  #gid=0"",""фіз особи new!relations_name_uo""),7,FALSE)
,
)
))"),"БЄЛОУСОВ Вадим Володимирович")</f>
        <v>БЄЛОУСОВ Вадим Володимирович</v>
      </c>
      <c r="J10316" s="7" t="s">
        <v>12</v>
      </c>
    </row>
    <row r="10317" spans="1:10" ht="13.2">
      <c r="A10317" s="7">
        <v>10316</v>
      </c>
      <c r="B10317" s="7">
        <v>1</v>
      </c>
      <c r="C10317" s="7" t="s">
        <v>10</v>
      </c>
      <c r="D10317" s="7">
        <v>15528</v>
      </c>
      <c r="E10317" s="7" t="s">
        <v>15</v>
      </c>
      <c r="F10317" s="8" t="str">
        <f ca="1">IFERROR(__xludf.DUMMYFUNCTION("IF
(
C10318=""фізична особа""
,
VLOOKUP(D10318,IMPORTRANGE(""https://docs.google.com/spreadsheets/d/14Bd19lYaqBhU8_DElYkX7l4wRkHqqCUFNJY4AfY3kHU/edit?usp=sharing  #gid=0"",""фіз особи new!relations_name""),6,FALSE)
,
(IF
(
C10318=""юридична особа""
,
VLOO"&amp;"KUP(D10318,IMPORTRANGE(""https://docs.google.com/spreadsheets/d/14Bd19lYaqBhU8_DElYkX7l4wRkHqqCUFNJY4AfY3kHU/edit?usp=sharing  #gid=0"",""фіз особи new!relations_name_uo""),7,FALSE)
,
)
))"),"ГАРТУНГ Марина Веніамінівна")</f>
        <v>ГАРТУНГ Марина Веніамінівна</v>
      </c>
      <c r="G10317" s="7" t="s">
        <v>10</v>
      </c>
      <c r="H10317" s="7">
        <v>797</v>
      </c>
      <c r="I10317" s="8" t="str">
        <f ca="1">IFERROR(__xludf.DUMMYFUNCTION("IF
(
G10318=""фізична особа""
,
VLOOKUP(H10318,IMPORTRANGE(""https://docs.google.com/spreadsheets/d/14Bd19lYaqBhU8_DElYkX7l4wRkHqqCUFNJY4AfY3kHU/edit?usp=sharing  #gid=0"",""фіз особи new!relations_name""),6,FALSE)
,
(IF
(
G10318=""юридична особа""
,
VLOO"&amp;"KUP(H10318,IMPORTRANGE(""https://docs.google.com/spreadsheets/d/14Bd19lYaqBhU8_DElYkX7l4wRkHqqCUFNJY4AfY3kHU/edit?usp=sharing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J10317" s="7" t="s">
        <v>14</v>
      </c>
    </row>
    <row r="10318" spans="1:10" ht="13.2">
      <c r="A10318" s="7">
        <v>10317</v>
      </c>
      <c r="B10318" s="7">
        <v>1</v>
      </c>
      <c r="C10318" s="7" t="s">
        <v>10</v>
      </c>
      <c r="D10318" s="7">
        <v>15529</v>
      </c>
      <c r="E10318" s="7" t="s">
        <v>17</v>
      </c>
      <c r="F10318" s="8" t="str">
        <f ca="1">IFERROR(__xludf.DUMMYFUNCTION("IF
(
C10319=""фізична особа""
,
VLOOKUP(D10319,IMPORTRANGE(""https://docs.google.com/spreadsheets/d/14Bd19lYaqBhU8_DElYkX7l4wRkHqqCUFNJY4AfY3kHU/edit?usp=sharing  #gid=0"",""фіз особи new!relations_name""),6,FALSE)
,
(IF
(
C10319=""юридична особа""
,
VLOO"&amp;"KUP(D10319,IMPORTRANGE(""https://docs.google.com/spreadsheets/d/14Bd19lYaqBhU8_DElYkX7l4wRkHqqCUFNJY4AfY3kHU/edit?usp=sharing  #gid=0"",""фіз особи new!relations_name_uo""),7,FALSE)
,
)
))"),"ГАРТУНГ Дмитро Валерійович")</f>
        <v>ГАРТУНГ Дмитро Валерійович</v>
      </c>
      <c r="G10318" s="7" t="s">
        <v>10</v>
      </c>
      <c r="H10318" s="7">
        <v>797</v>
      </c>
      <c r="I10318" s="8" t="str">
        <f ca="1">IFERROR(__xludf.DUMMYFUNCTION("IF
(
G10319=""фізична особа""
,
VLOOKUP(H10319,IMPORTRANGE(""https://docs.google.com/spreadsheets/d/14Bd19lYaqBhU8_DElYkX7l4wRkHqqCUFNJY4AfY3kHU/edit?usp=sharing  #gid=0"",""фіз особи new!relations_name""),6,FALSE)
,
(IF
(
G10319=""юридична особа""
,
VLOO"&amp;"KUP(H10319,IMPORTRANGE(""https://docs.google.com/spreadsheets/d/14Bd19lYaqBhU8_DElYkX7l4wRkHqqCUFNJY4AfY3kHU/edit?usp=sharing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J10318" s="7" t="s">
        <v>12</v>
      </c>
    </row>
    <row r="10319" spans="1:10" ht="13.2">
      <c r="A10319" s="7">
        <v>10318</v>
      </c>
      <c r="B10319" s="7">
        <v>1</v>
      </c>
      <c r="C10319" s="7" t="s">
        <v>10</v>
      </c>
      <c r="D10319" s="7">
        <v>15530</v>
      </c>
      <c r="E10319" s="7" t="s">
        <v>17</v>
      </c>
      <c r="F10319" s="8" t="str">
        <f ca="1">IFERROR(__xludf.DUMMYFUNCTION("IF
(
C10320=""фізична особа""
,
VLOOKUP(D10320,IMPORTRANGE(""https://docs.google.com/spreadsheets/d/14Bd19lYaqBhU8_DElYkX7l4wRkHqqCUFNJY4AfY3kHU/edit?usp=sharing  #gid=0"",""фіз особи new!relations_name""),6,FALSE)
,
(IF
(
C10320=""юридична особа""
,
VLOO"&amp;"KUP(D10320,IMPORTRANGE(""https://docs.google.com/spreadsheets/d/14Bd19lYaqBhU8_DElYkX7l4wRkHqqCUFNJY4AfY3kHU/edit?usp=sharing  #gid=0"",""фіз особи new!relations_name_uo""),7,FALSE)
,
)
))"),"ГАРТУНГ Андрій Валерійович")</f>
        <v>ГАРТУНГ Андрій Валерійович</v>
      </c>
      <c r="G10319" s="7" t="s">
        <v>10</v>
      </c>
      <c r="H10319" s="7">
        <v>797</v>
      </c>
      <c r="I10319" s="8" t="str">
        <f ca="1">IFERROR(__xludf.DUMMYFUNCTION("IF
(
G10320=""фізична особа""
,
VLOOKUP(H10320,IMPORTRANGE(""https://docs.google.com/spreadsheets/d/14Bd19lYaqBhU8_DElYkX7l4wRkHqqCUFNJY4AfY3kHU/edit?usp=sharing  #gid=0"",""фіз особи new!relations_name""),6,FALSE)
,
(IF
(
G10320=""юридична особа""
,
VLOO"&amp;"KUP(H10320,IMPORTRANGE(""https://docs.google.com/spreadsheets/d/14Bd19lYaqBhU8_DElYkX7l4wRkHqqCUFNJY4AfY3kHU/edit?usp=sharing  #gid=0"",""фіз особи new!relations_name_uo""),7,FALSE)
,
)
))"),"ГАРТУНГ Валерій Карлович")</f>
        <v>ГАРТУНГ Валерій Карлович</v>
      </c>
      <c r="J10319" s="7" t="s">
        <v>12</v>
      </c>
    </row>
    <row r="10320" spans="1:10" ht="13.2">
      <c r="A10320" s="7">
        <v>10319</v>
      </c>
      <c r="B10320" s="7">
        <v>1</v>
      </c>
      <c r="C10320" s="7" t="s">
        <v>10</v>
      </c>
      <c r="D10320" s="7">
        <v>15531</v>
      </c>
      <c r="E10320" s="7" t="s">
        <v>13</v>
      </c>
      <c r="F10320" s="8" t="str">
        <f ca="1">IFERROR(__xludf.DUMMYFUNCTION("IF
(
C10321=""фізична особа""
,
VLOOKUP(D10321,IMPORTRANGE(""https://docs.google.com/spreadsheets/d/14Bd19lYaqBhU8_DElYkX7l4wRkHqqCUFNJY4AfY3kHU/edit?usp=sharing  #gid=0"",""фіз особи new!relations_name""),6,FALSE)
,
(IF
(
C10321=""юридична особа""
,
VLOO"&amp;"KUP(D10321,IMPORTRANGE(""https://docs.google.com/spreadsheets/d/14Bd19lYaqBhU8_DElYkX7l4wRkHqqCUFNJY4AfY3kHU/edit?usp=sharing  #gid=0"",""фіз особи new!relations_name_uo""),7,FALSE)
,
)
))"),"ТІШКІНА Олександра Валеріївна")</f>
        <v>ТІШКІНА Олександра Валеріївна</v>
      </c>
      <c r="G10320" s="7" t="s">
        <v>10</v>
      </c>
      <c r="H10320" s="7">
        <v>802</v>
      </c>
      <c r="I10320" s="8" t="str">
        <f ca="1">IFERROR(__xludf.DUMMYFUNCTION("IF
(
G10321=""фізична особа""
,
VLOOKUP(H10321,IMPORTRANGE(""https://docs.google.com/spreadsheets/d/14Bd19lYaqBhU8_DElYkX7l4wRkHqqCUFNJY4AfY3kHU/edit?usp=sharing  #gid=0"",""фіз особи new!relations_name""),6,FALSE)
,
(IF
(
G10321=""юридична особа""
,
VLOO"&amp;"KUP(H10321,IMPORTRANGE(""https://docs.google.com/spreadsheets/d/14Bd19lYaqBhU8_DElYkX7l4wRkHqqCUFNJY4AfY3kHU/edit?usp=sharing  #gid=0"",""фіз особи new!relations_name_uo""),7,FALSE)
,
)
))"),"СКРУГ Валерій Степанович")</f>
        <v>СКРУГ Валерій Степанович</v>
      </c>
      <c r="J10320" s="7" t="s">
        <v>12</v>
      </c>
    </row>
    <row r="10321" spans="1:10" ht="13.2">
      <c r="A10321" s="7">
        <v>10320</v>
      </c>
      <c r="B10321" s="7">
        <v>1</v>
      </c>
      <c r="C10321" s="7" t="s">
        <v>10</v>
      </c>
      <c r="D10321" s="7">
        <v>15532</v>
      </c>
      <c r="E10321" s="7" t="s">
        <v>13</v>
      </c>
      <c r="F10321" s="8" t="str">
        <f ca="1">IFERROR(__xludf.DUMMYFUNCTION("IF
(
C10322=""фізична особа""
,
VLOOKUP(D10322,IMPORTRANGE(""https://docs.google.com/spreadsheets/d/14Bd19lYaqBhU8_DElYkX7l4wRkHqqCUFNJY4AfY3kHU/edit?usp=sharing  #gid=0"",""фіз особи new!relations_name""),6,FALSE)
,
(IF
(
C10322=""юридична особа""
,
VLOO"&amp;"KUP(D10322,IMPORTRANGE(""https://docs.google.com/spreadsheets/d/14Bd19lYaqBhU8_DElYkX7l4wRkHqqCUFNJY4AfY3kHU/edit?usp=sharing  #gid=0"",""фіз особи new!relations_name_uo""),7,FALSE)
,
)
))"),"ДЕРЯБКІНА Юлія Вікторівна")</f>
        <v>ДЕРЯБКІНА Юлія Вікторівна</v>
      </c>
      <c r="G10321" s="7" t="s">
        <v>10</v>
      </c>
      <c r="H10321" s="7">
        <v>810</v>
      </c>
      <c r="I10321" s="8" t="str">
        <f ca="1">IFERROR(__xludf.DUMMYFUNCTION("IF
(
G10322=""фізична особа""
,
VLOOKUP(H10322,IMPORTRANGE(""https://docs.google.com/spreadsheets/d/14Bd19lYaqBhU8_DElYkX7l4wRkHqqCUFNJY4AfY3kHU/edit?usp=sharing  #gid=0"",""фіз особи new!relations_name""),6,FALSE)
,
(IF
(
G10322=""юридична особа""
,
VLOO"&amp;"KUP(H10322,IMPORTRANGE(""https://docs.google.com/spreadsheets/d/14Bd19lYaqBhU8_DElYkX7l4wRkHqqCUFNJY4AfY3kHU/edit?usp=sharing  #gid=0"",""фіз особи new!relations_name_uo""),7,FALSE)
,
)
))"),"ДЕРЯБКІН Віктор Юхимович")</f>
        <v>ДЕРЯБКІН Віктор Юхимович</v>
      </c>
      <c r="J10321" s="7" t="s">
        <v>12</v>
      </c>
    </row>
    <row r="10322" spans="1:10" ht="13.2">
      <c r="A10322" s="7">
        <v>10321</v>
      </c>
      <c r="B10322" s="7">
        <v>1</v>
      </c>
      <c r="C10322" s="7" t="s">
        <v>10</v>
      </c>
      <c r="D10322" s="7">
        <v>15533</v>
      </c>
      <c r="E10322" s="7" t="s">
        <v>15</v>
      </c>
      <c r="F10322" s="8" t="str">
        <f ca="1">IFERROR(__xludf.DUMMYFUNCTION("IF
(
C10323=""фізична особа""
,
VLOOKUP(D10323,IMPORTRANGE(""https://docs.google.com/spreadsheets/d/14Bd19lYaqBhU8_DElYkX7l4wRkHqqCUFNJY4AfY3kHU/edit?usp=sharing  #gid=0"",""фіз особи new!relations_name""),6,FALSE)
,
(IF
(
C10323=""юридична особа""
,
VLOO"&amp;"KUP(D10323,IMPORTRANGE(""https://docs.google.com/spreadsheets/d/14Bd19lYaqBhU8_DElYkX7l4wRkHqqCUFNJY4AfY3kHU/edit?usp=sharing  #gid=0"",""фіз особи new!relations_name_uo""),7,FALSE)
,
)
))"),"ДЗЮБА Світлана Михайлівна")</f>
        <v>ДЗЮБА Світлана Михайлівна</v>
      </c>
      <c r="G10322" s="7" t="s">
        <v>10</v>
      </c>
      <c r="H10322" s="7">
        <v>828</v>
      </c>
      <c r="I10322" s="8" t="str">
        <f ca="1">IFERROR(__xludf.DUMMYFUNCTION("IF
(
G10323=""фізична особа""
,
VLOOKUP(H10323,IMPORTRANGE(""https://docs.google.com/spreadsheets/d/14Bd19lYaqBhU8_DElYkX7l4wRkHqqCUFNJY4AfY3kHU/edit?usp=sharing  #gid=0"",""фіз особи new!relations_name""),6,FALSE)
,
(IF
(
G10323=""юридична особа""
,
VLOO"&amp;"KUP(H10323,IMPORTRANGE(""https://docs.google.com/spreadsheets/d/14Bd19lYaqBhU8_DElYkX7l4wRkHqqCUFNJY4AfY3kHU/edit?usp=sharing  #gid=0"",""фіз особи new!relations_name_uo""),7,FALSE)
,
)
))"),"ДЗЮБА Віктор Вікторович")</f>
        <v>ДЗЮБА Віктор Вікторович</v>
      </c>
      <c r="J10322" s="7" t="s">
        <v>14</v>
      </c>
    </row>
    <row r="10323" spans="1:10" ht="13.2">
      <c r="A10323" s="7">
        <v>10322</v>
      </c>
      <c r="B10323" s="7">
        <v>1</v>
      </c>
      <c r="C10323" s="7" t="s">
        <v>10</v>
      </c>
      <c r="D10323" s="7">
        <v>15534</v>
      </c>
      <c r="E10323" s="7" t="s">
        <v>17</v>
      </c>
      <c r="F10323" s="8" t="str">
        <f ca="1">IFERROR(__xludf.DUMMYFUNCTION("IF
(
C10324=""фізична особа""
,
VLOOKUP(D10324,IMPORTRANGE(""https://docs.google.com/spreadsheets/d/14Bd19lYaqBhU8_DElYkX7l4wRkHqqCUFNJY4AfY3kHU/edit?usp=sharing  #gid=0"",""фіз особи new!relations_name""),6,FALSE)
,
(IF
(
C10324=""юридична особа""
,
VLOO"&amp;"KUP(D10324,IMPORTRANGE(""https://docs.google.com/spreadsheets/d/14Bd19lYaqBhU8_DElYkX7l4wRkHqqCUFNJY4AfY3kHU/edit?usp=sharing  #gid=0"",""фіз особи new!relations_name_uo""),7,FALSE)
,
)
))"),"ЗУБАРЄВ Олексій Вікторович")</f>
        <v>ЗУБАРЄВ Олексій Вікторович</v>
      </c>
      <c r="G10323" s="7" t="s">
        <v>10</v>
      </c>
      <c r="H10323" s="7">
        <v>832</v>
      </c>
      <c r="I10323" s="8" t="str">
        <f ca="1">IFERROR(__xludf.DUMMYFUNCTION("IF
(
G10324=""фізична особа""
,
VLOOKUP(H10324,IMPORTRANGE(""https://docs.google.com/spreadsheets/d/14Bd19lYaqBhU8_DElYkX7l4wRkHqqCUFNJY4AfY3kHU/edit?usp=sharing  #gid=0"",""фіз особи new!relations_name""),6,FALSE)
,
(IF
(
G10324=""юридична особа""
,
VLOO"&amp;"KUP(H10324,IMPORTRANGE(""https://docs.google.com/spreadsheets/d/14Bd19lYaqBhU8_DElYkX7l4wRkHqqCUFNJY4AfY3kHU/edit?usp=sharing  #gid=0"",""фіз особи new!relations_name_uo""),7,FALSE)
,
)
))"),"ЗУБАРЄВ Віктор Владиславович")</f>
        <v>ЗУБАРЄВ Віктор Владиславович</v>
      </c>
      <c r="J10323" s="7" t="s">
        <v>12</v>
      </c>
    </row>
    <row r="10324" spans="1:10" ht="13.2">
      <c r="A10324" s="7">
        <v>10323</v>
      </c>
      <c r="B10324" s="7">
        <v>1</v>
      </c>
      <c r="C10324" s="7" t="s">
        <v>10</v>
      </c>
      <c r="D10324" s="7">
        <v>15535</v>
      </c>
      <c r="E10324" s="7" t="s">
        <v>21</v>
      </c>
      <c r="F10324" s="8" t="str">
        <f ca="1">IFERROR(__xludf.DUMMYFUNCTION("IF
(
C10325=""фізична особа""
,
VLOOKUP(D10325,IMPORTRANGE(""https://docs.google.com/spreadsheets/d/14Bd19lYaqBhU8_DElYkX7l4wRkHqqCUFNJY4AfY3kHU/edit?usp=sharing  #gid=0"",""фіз особи new!relations_name""),6,FALSE)
,
(IF
(
C10325=""юридична особа""
,
VLOO"&amp;"KUP(D10325,IMPORTRANGE(""https://docs.google.com/spreadsheets/d/14Bd19lYaqBhU8_DElYkX7l4wRkHqqCUFNJY4AfY3kHU/edit?usp=sharing  #gid=0"",""фіз особи new!relations_name_uo""),7,FALSE)
,
)
))"),"НІКОЛАЄВА Раїса Семенівна")</f>
        <v>НІКОЛАЄВА Раїса Семенівна</v>
      </c>
      <c r="G10324" s="7" t="s">
        <v>10</v>
      </c>
      <c r="H10324" s="7">
        <v>835</v>
      </c>
      <c r="I10324" s="8" t="str">
        <f ca="1">IFERROR(__xludf.DUMMYFUNCTION("IF
(
G10325=""фізична особа""
,
VLOOKUP(H10325,IMPORTRANGE(""https://docs.google.com/spreadsheets/d/14Bd19lYaqBhU8_DElYkX7l4wRkHqqCUFNJY4AfY3kHU/edit?usp=sharing  #gid=0"",""фіз особи new!relations_name""),6,FALSE)
,
(IF
(
G10325=""юридична особа""
,
VLOO"&amp;"KUP(H10325,IMPORTRANGE(""https://docs.google.com/spreadsheets/d/14Bd19lYaqBhU8_DElYkX7l4wRkHqqCUFNJY4AfY3kHU/edit?usp=sharing  #gid=0"",""фіз особи new!relations_name_uo""),7,FALSE)
,
)
))"),"НІКОЛАЄВА Вікторія Вікторівна")</f>
        <v>НІКОЛАЄВА Вікторія Вікторівна</v>
      </c>
      <c r="J10324" s="7" t="s">
        <v>13</v>
      </c>
    </row>
    <row r="10325" spans="1:10" ht="13.2">
      <c r="A10325" s="7">
        <v>10324</v>
      </c>
      <c r="B10325" s="7">
        <v>1</v>
      </c>
      <c r="C10325" s="7" t="s">
        <v>10</v>
      </c>
      <c r="D10325" s="7">
        <v>15536</v>
      </c>
      <c r="E10325" s="7" t="s">
        <v>18</v>
      </c>
      <c r="F10325" s="8" t="str">
        <f ca="1">IFERROR(__xludf.DUMMYFUNCTION("IF
(
C10326=""фізична особа""
,
VLOOKUP(D10326,IMPORTRANGE(""https://docs.google.com/spreadsheets/d/14Bd19lYaqBhU8_DElYkX7l4wRkHqqCUFNJY4AfY3kHU/edit?usp=sharing  #gid=0"",""фіз особи new!relations_name""),6,FALSE)
,
(IF
(
C10326=""юридична особа""
,
VLOO"&amp;"KUP(D10326,IMPORTRANGE(""https://docs.google.com/spreadsheets/d/14Bd19lYaqBhU8_DElYkX7l4wRkHqqCUFNJY4AfY3kHU/edit?usp=sharing  #gid=0"",""фіз особи new!relations_name_uo""),7,FALSE)
,
)
))"),"НІКОЛАЄВ Володимир Вікторович")</f>
        <v>НІКОЛАЄВ Володимир Вікторович</v>
      </c>
      <c r="G10325" s="7" t="s">
        <v>10</v>
      </c>
      <c r="H10325" s="7">
        <v>835</v>
      </c>
      <c r="I10325" s="8" t="str">
        <f ca="1">IFERROR(__xludf.DUMMYFUNCTION("IF
(
G10326=""фізична особа""
,
VLOOKUP(H10326,IMPORTRANGE(""https://docs.google.com/spreadsheets/d/14Bd19lYaqBhU8_DElYkX7l4wRkHqqCUFNJY4AfY3kHU/edit?usp=sharing  #gid=0"",""фіз особи new!relations_name""),6,FALSE)
,
(IF
(
G10326=""юридична особа""
,
VLOO"&amp;"KUP(H10326,IMPORTRANGE(""https://docs.google.com/spreadsheets/d/14Bd19lYaqBhU8_DElYkX7l4wRkHqqCUFNJY4AfY3kHU/edit?usp=sharing  #gid=0"",""фіз особи new!relations_name_uo""),7,FALSE)
,
)
))"),"НІКОЛАЄВА Вікторія Вікторівна")</f>
        <v>НІКОЛАЄВА Вікторія Вікторівна</v>
      </c>
      <c r="J10325" s="7" t="s">
        <v>31</v>
      </c>
    </row>
    <row r="10326" spans="1:10" ht="13.2">
      <c r="A10326" s="7">
        <v>10325</v>
      </c>
      <c r="B10326" s="7">
        <v>1</v>
      </c>
      <c r="C10326" s="7" t="s">
        <v>10</v>
      </c>
      <c r="D10326" s="7">
        <v>15554</v>
      </c>
      <c r="E10326" s="7" t="s">
        <v>28</v>
      </c>
      <c r="F10326" s="8" t="str">
        <f ca="1">IFERROR(__xludf.DUMMYFUNCTION("IF
(
C10327=""фізична особа""
,
VLOOKUP(D10327,IMPORTRANGE(""https://docs.google.com/spreadsheets/d/14Bd19lYaqBhU8_DElYkX7l4wRkHqqCUFNJY4AfY3kHU/edit?usp=sharing  #gid=0"",""фіз особи new!relations_name""),6,FALSE)
,
(IF
(
C10327=""юридична особа""
,
VLOO"&amp;"KUP(D10327,IMPORTRANGE(""https://docs.google.com/spreadsheets/d/14Bd19lYaqBhU8_DElYkX7l4wRkHqqCUFNJY4AfY3kHU/edit?usp=sharing  #gid=0"",""фіз особи new!relations_name_uo""),7,FALSE)
,
)
))"),"ІЛЬНИЦЬКИЙ Андрій Михайлович")</f>
        <v>ІЛЬНИЦЬКИЙ Андрій Михайлович</v>
      </c>
      <c r="G10326" s="7" t="s">
        <v>10</v>
      </c>
      <c r="H10326" s="7">
        <v>670</v>
      </c>
      <c r="I10326" s="8" t="str">
        <f ca="1">IFERROR(__xludf.DUMMYFUNCTION("IF
(
G10327=""фізична особа""
,
VLOOKUP(H10327,IMPORTRANGE(""https://docs.google.com/spreadsheets/d/14Bd19lYaqBhU8_DElYkX7l4wRkHqqCUFNJY4AfY3kHU/edit?usp=sharing  #gid=0"",""фіз особи new!relations_name""),6,FALSE)
,
(IF
(
G10327=""юридична особа""
,
VLOO"&amp;"KUP(H10327,IMPORTRANGE(""https://docs.google.com/spreadsheets/d/14Bd19lYaqBhU8_DElYkX7l4wRkHqqCUFNJY4AfY3kHU/edit?usp=sharing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0326" s="7" t="s">
        <v>29</v>
      </c>
    </row>
    <row r="10327" spans="1:10" ht="13.2">
      <c r="A10327" s="7">
        <v>10326</v>
      </c>
      <c r="B10327" s="7">
        <v>1</v>
      </c>
      <c r="C10327" s="7" t="s">
        <v>10</v>
      </c>
      <c r="D10327" s="7">
        <v>15555</v>
      </c>
      <c r="E10327" s="7" t="s">
        <v>17</v>
      </c>
      <c r="F10327" s="8" t="str">
        <f ca="1">IFERROR(__xludf.DUMMYFUNCTION("IF
(
C10328=""фізична особа""
,
VLOOKUP(D10328,IMPORTRANGE(""https://docs.google.com/spreadsheets/d/14Bd19lYaqBhU8_DElYkX7l4wRkHqqCUFNJY4AfY3kHU/edit?usp=sharing  #gid=0"",""фіз особи new!relations_name""),6,FALSE)
,
(IF
(
C10328=""юридична особа""
,
VLOO"&amp;"KUP(D10328,IMPORTRANGE(""https://docs.google.com/spreadsheets/d/14Bd19lYaqBhU8_DElYkX7l4wRkHqqCUFNJY4AfY3kHU/edit?usp=sharing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G10327" s="7" t="s">
        <v>10</v>
      </c>
      <c r="H10327" s="7">
        <v>2521</v>
      </c>
      <c r="I10327" s="8" t="str">
        <f ca="1">IFERROR(__xludf.DUMMYFUNCTION("IF
(
G10328=""фізична особа""
,
VLOOKUP(H10328,IMPORTRANGE(""https://docs.google.com/spreadsheets/d/14Bd19lYaqBhU8_DElYkX7l4wRkHqqCUFNJY4AfY3kHU/edit?usp=sharing  #gid=0"",""фіз особи new!relations_name""),6,FALSE)
,
(IF
(
G10328=""юридична особа""
,
VLOO"&amp;"KUP(H10328,IMPORTRANGE(""https://docs.google.com/spreadsheets/d/14Bd19lYaqBhU8_DElYkX7l4wRkHqqCUFNJY4AfY3kHU/edit?usp=sharing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J10327" s="7" t="s">
        <v>12</v>
      </c>
    </row>
    <row r="10328" spans="1:10" ht="13.2">
      <c r="A10328" s="7">
        <v>10327</v>
      </c>
      <c r="B10328" s="7">
        <v>1</v>
      </c>
      <c r="C10328" s="7" t="s">
        <v>10</v>
      </c>
      <c r="D10328" s="7">
        <v>15555</v>
      </c>
      <c r="E10328" s="7" t="s">
        <v>17</v>
      </c>
      <c r="F10328" s="8" t="str">
        <f ca="1">IFERROR(__xludf.DUMMYFUNCTION("IF
(
C10329=""фізична особа""
,
VLOOKUP(D10329,IMPORTRANGE(""https://docs.google.com/spreadsheets/d/14Bd19lYaqBhU8_DElYkX7l4wRkHqqCUFNJY4AfY3kHU/edit?usp=sharing  #gid=0"",""фіз особи new!relations_name""),6,FALSE)
,
(IF
(
C10329=""юридична особа""
,
VLOO"&amp;"KUP(D10329,IMPORTRANGE(""https://docs.google.com/spreadsheets/d/14Bd19lYaqBhU8_DElYkX7l4wRkHqqCUFNJY4AfY3kHU/edit?usp=sharing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G10328" s="7" t="s">
        <v>10</v>
      </c>
      <c r="H10328" s="7">
        <v>23494</v>
      </c>
      <c r="I10328" s="8" t="str">
        <f ca="1">IFERROR(__xludf.DUMMYFUNCTION("IF
(
G10329=""фізична особа""
,
VLOOKUP(H10329,IMPORTRANGE(""https://docs.google.com/spreadsheets/d/14Bd19lYaqBhU8_DElYkX7l4wRkHqqCUFNJY4AfY3kHU/edit?usp=sharing  #gid=0"",""фіз особи new!relations_name""),6,FALSE)
,
(IF
(
G10329=""юридична особа""
,
VLOO"&amp;"KUP(H10329,IMPORTRANGE(""https://docs.google.com/spreadsheets/d/14Bd19lYaqBhU8_DElYkX7l4wRkHqqCUFNJY4AfY3kHU/edit?usp=sharing  #gid=0"",""фіз особи new!relations_name_uo""),7,FALSE)
,
)
))"),"УСС Людмила Прокопівна")</f>
        <v>УСС Людмила Прокопівна</v>
      </c>
      <c r="J10328" s="7" t="s">
        <v>21</v>
      </c>
    </row>
    <row r="10329" spans="1:10" ht="13.2">
      <c r="A10329" s="7">
        <v>10328</v>
      </c>
      <c r="B10329" s="7">
        <v>1</v>
      </c>
      <c r="C10329" s="7" t="s">
        <v>10</v>
      </c>
      <c r="D10329" s="7">
        <v>15555</v>
      </c>
      <c r="E10329" s="7" t="s">
        <v>20</v>
      </c>
      <c r="F10329" s="8" t="str">
        <f ca="1">IFERROR(__xludf.DUMMYFUNCTION("IF
(
C10330=""фізична особа""
,
VLOOKUP(D10330,IMPORTRANGE(""https://docs.google.com/spreadsheets/d/14Bd19lYaqBhU8_DElYkX7l4wRkHqqCUFNJY4AfY3kHU/edit?usp=sharing  #gid=0"",""фіз особи new!relations_name""),6,FALSE)
,
(IF
(
C10330=""юридична особа""
,
VLOO"&amp;"KUP(D10330,IMPORTRANGE(""https://docs.google.com/spreadsheets/d/14Bd19lYaqBhU8_DElYkX7l4wRkHqqCUFNJY4AfY3kHU/edit?usp=sharing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G10329" s="7" t="s">
        <v>10</v>
      </c>
      <c r="H10329" s="7">
        <v>15560</v>
      </c>
      <c r="I10329" s="8" t="str">
        <f ca="1">IFERROR(__xludf.DUMMYFUNCTION("IF
(
G10330=""фізична особа""
,
VLOOKUP(H10330,IMPORTRANGE(""https://docs.google.com/spreadsheets/d/14Bd19lYaqBhU8_DElYkX7l4wRkHqqCUFNJY4AfY3kHU/edit?usp=sharing  #gid=0"",""фіз особи new!relations_name""),6,FALSE)
,
(IF
(
G10330=""юридична особа""
,
VLOO"&amp;"KUP(H10330,IMPORTRANGE(""https://docs.google.com/spreadsheets/d/14Bd19lYaqBhU8_DElYkX7l4wRkHqqCUFNJY4AfY3kHU/edit?usp=sharing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J10329" s="7" t="s">
        <v>19</v>
      </c>
    </row>
    <row r="10330" spans="1:10" ht="13.2">
      <c r="A10330" s="7">
        <v>10329</v>
      </c>
      <c r="B10330" s="7">
        <v>1</v>
      </c>
      <c r="C10330" s="7" t="s">
        <v>10</v>
      </c>
      <c r="D10330" s="7">
        <v>15555</v>
      </c>
      <c r="E10330" s="7" t="s">
        <v>11</v>
      </c>
      <c r="F10330" s="8" t="str">
        <f ca="1">IFERROR(__xludf.DUMMYFUNCTION("IF
(
C10331=""фізична особа""
,
VLOOKUP(D10331,IMPORTRANGE(""https://docs.google.com/spreadsheets/d/14Bd19lYaqBhU8_DElYkX7l4wRkHqqCUFNJY4AfY3kHU/edit?usp=sharing  #gid=0"",""фіз особи new!relations_name""),6,FALSE)
,
(IF
(
C10331=""юридична особа""
,
VLOO"&amp;"KUP(D10331,IMPORTRANGE(""https://docs.google.com/spreadsheets/d/14Bd19lYaqBhU8_DElYkX7l4wRkHqqCUFNJY4AfY3kHU/edit?usp=sharing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G10330" s="7" t="s">
        <v>10</v>
      </c>
      <c r="H10330" s="7">
        <v>0</v>
      </c>
      <c r="I10330" s="8" t="str">
        <f ca="1">IFERROR(__xludf.DUMMYFUNCTION("IF
(
G10331=""фізична особа""
,
VLOOKUP(H10331,IMPORTRANGE(""https://docs.google.com/spreadsheets/d/14Bd19lYaqBhU8_DElYkX7l4wRkHqqCUFNJY4AfY3kHU/edit?usp=sharing  #gid=0"",""фіз особи new!relations_name""),6,FALSE)
,
(IF
(
G10331=""юридична особа""
,
VLOO"&amp;"KUP(H10331,IMPORTRANGE(""https://docs.google.com/spreadsheets/d/14Bd19lYaqBhU8_DElYkX7l4wRkHqqCUFNJY4AfY3kHU/edit?usp=sharing  #gid=0"",""фіз особи new!relations_name_uo""),7,FALSE)
,
)
))"),"#N/A")</f>
        <v>#N/A</v>
      </c>
      <c r="J10330" s="7" t="s">
        <v>11</v>
      </c>
    </row>
    <row r="10331" spans="1:10" ht="13.2">
      <c r="A10331" s="7">
        <v>10330</v>
      </c>
      <c r="B10331" s="7">
        <v>1</v>
      </c>
      <c r="C10331" s="7" t="s">
        <v>10</v>
      </c>
      <c r="D10331" s="7">
        <v>15555</v>
      </c>
      <c r="E10331" s="7" t="s">
        <v>11</v>
      </c>
      <c r="F10331" s="8" t="str">
        <f ca="1">IFERROR(__xludf.DUMMYFUNCTION("IF
(
C10332=""фізична особа""
,
VLOOKUP(D10332,IMPORTRANGE(""https://docs.google.com/spreadsheets/d/14Bd19lYaqBhU8_DElYkX7l4wRkHqqCUFNJY4AfY3kHU/edit?usp=sharing  #gid=0"",""фіз особи new!relations_name""),6,FALSE)
,
(IF
(
C10332=""юридична особа""
,
VLOO"&amp;"KUP(D10332,IMPORTRANGE(""https://docs.google.com/spreadsheets/d/14Bd19lYaqBhU8_DElYkX7l4wRkHqqCUFNJY4AfY3kHU/edit?usp=sharing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G10331" s="7" t="s">
        <v>10</v>
      </c>
      <c r="H10331" s="7">
        <v>0</v>
      </c>
      <c r="I10331" s="8" t="str">
        <f ca="1">IFERROR(__xludf.DUMMYFUNCTION("IF
(
G10332=""фізична особа""
,
VLOOKUP(H10332,IMPORTRANGE(""https://docs.google.com/spreadsheets/d/14Bd19lYaqBhU8_DElYkX7l4wRkHqqCUFNJY4AfY3kHU/edit?usp=sharing  #gid=0"",""фіз особи new!relations_name""),6,FALSE)
,
(IF
(
G10332=""юридична особа""
,
VLOO"&amp;"KUP(H10332,IMPORTRANGE(""https://docs.google.com/spreadsheets/d/14Bd19lYaqBhU8_DElYkX7l4wRkHqqCUFNJY4AfY3kHU/edit?usp=sharing  #gid=0"",""фіз особи new!relations_name_uo""),7,FALSE)
,
)
))"),"#N/A")</f>
        <v>#N/A</v>
      </c>
      <c r="J10331" s="7" t="s">
        <v>11</v>
      </c>
    </row>
    <row r="10332" spans="1:10" ht="13.2">
      <c r="A10332" s="7">
        <v>10331</v>
      </c>
      <c r="B10332" s="7">
        <v>1</v>
      </c>
      <c r="C10332" s="7" t="s">
        <v>10</v>
      </c>
      <c r="D10332" s="7">
        <v>15556</v>
      </c>
      <c r="E10332" s="7" t="s">
        <v>17</v>
      </c>
      <c r="F10332" s="8" t="str">
        <f ca="1">IFERROR(__xludf.DUMMYFUNCTION("IF
(
C10333=""фізична особа""
,
VLOOKUP(D10333,IMPORTRANGE(""https://docs.google.com/spreadsheets/d/14Bd19lYaqBhU8_DElYkX7l4wRkHqqCUFNJY4AfY3kHU/edit?usp=sharing  #gid=0"",""фіз особи new!relations_name""),6,FALSE)
,
(IF
(
C10333=""юридична особа""
,
VLOO"&amp;"KUP(D10333,IMPORTRANGE(""https://docs.google.com/spreadsheets/d/14Bd19lYaqBhU8_DElYkX7l4wRkHqqCUFNJY4AfY3kHU/edit?usp=sharing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G10332" s="7" t="s">
        <v>10</v>
      </c>
      <c r="H10332" s="7">
        <v>2523</v>
      </c>
      <c r="I10332" s="8" t="str">
        <f ca="1">IFERROR(__xludf.DUMMYFUNCTION("IF
(
G10333=""фізична особа""
,
VLOOKUP(H10333,IMPORTRANGE(""https://docs.google.com/spreadsheets/d/14Bd19lYaqBhU8_DElYkX7l4wRkHqqCUFNJY4AfY3kHU/edit?usp=sharing  #gid=0"",""фіз особи new!relations_name""),6,FALSE)
,
(IF
(
G10333=""юридична особа""
,
VLOO"&amp;"KUP(H10333,IMPORTRANGE(""https://docs.google.com/spreadsheets/d/14Bd19lYaqBhU8_DElYkX7l4wRkHqqCUFNJY4AfY3kHU/edit?usp=sharing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J10332" s="7" t="s">
        <v>12</v>
      </c>
    </row>
    <row r="10333" spans="1:10" ht="13.2">
      <c r="A10333" s="7">
        <v>10332</v>
      </c>
      <c r="B10333" s="7">
        <v>1</v>
      </c>
      <c r="C10333" s="7" t="s">
        <v>10</v>
      </c>
      <c r="D10333" s="7">
        <v>15556</v>
      </c>
      <c r="E10333" s="7" t="s">
        <v>20</v>
      </c>
      <c r="F10333" s="8" t="str">
        <f ca="1">IFERROR(__xludf.DUMMYFUNCTION("IF
(
C10334=""фізична особа""
,
VLOOKUP(D10334,IMPORTRANGE(""https://docs.google.com/spreadsheets/d/14Bd19lYaqBhU8_DElYkX7l4wRkHqqCUFNJY4AfY3kHU/edit?usp=sharing  #gid=0"",""фіз особи new!relations_name""),6,FALSE)
,
(IF
(
C10334=""юридична особа""
,
VLOO"&amp;"KUP(D10334,IMPORTRANGE(""https://docs.google.com/spreadsheets/d/14Bd19lYaqBhU8_DElYkX7l4wRkHqqCUFNJY4AfY3kHU/edit?usp=sharing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G10333" s="7" t="s">
        <v>10</v>
      </c>
      <c r="H10333" s="7">
        <v>15557</v>
      </c>
      <c r="I10333" s="8" t="str">
        <f ca="1">IFERROR(__xludf.DUMMYFUNCTION("IF
(
G10334=""фізична особа""
,
VLOOKUP(H10334,IMPORTRANGE(""https://docs.google.com/spreadsheets/d/14Bd19lYaqBhU8_DElYkX7l4wRkHqqCUFNJY4AfY3kHU/edit?usp=sharing  #gid=0"",""фіз особи new!relations_name""),6,FALSE)
,
(IF
(
G10334=""юридична особа""
,
VLOO"&amp;"KUP(H10334,IMPORTRANGE(""https://docs.google.com/spreadsheets/d/14Bd19lYaqBhU8_DElYkX7l4wRkHqqCUFNJY4AfY3kHU/edit?usp=sharing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J10333" s="7" t="s">
        <v>45</v>
      </c>
    </row>
    <row r="10334" spans="1:10" ht="13.2">
      <c r="A10334" s="7">
        <v>10333</v>
      </c>
      <c r="B10334" s="7">
        <v>1</v>
      </c>
      <c r="C10334" s="7" t="s">
        <v>10</v>
      </c>
      <c r="D10334" s="7">
        <v>15556</v>
      </c>
      <c r="E10334" s="7" t="s">
        <v>17</v>
      </c>
      <c r="F10334" s="8" t="str">
        <f ca="1">IFERROR(__xludf.DUMMYFUNCTION("IF
(
C10335=""фізична особа""
,
VLOOKUP(D10335,IMPORTRANGE(""https://docs.google.com/spreadsheets/d/14Bd19lYaqBhU8_DElYkX7l4wRkHqqCUFNJY4AfY3kHU/edit?usp=sharing  #gid=0"",""фіз особи new!relations_name""),6,FALSE)
,
(IF
(
C10335=""юридична особа""
,
VLOO"&amp;"KUP(D10335,IMPORTRANGE(""https://docs.google.com/spreadsheets/d/14Bd19lYaqBhU8_DElYkX7l4wRkHqqCUFNJY4AfY3kHU/edit?usp=sharing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G10334" s="7" t="s">
        <v>10</v>
      </c>
      <c r="H10334" s="7">
        <v>15559</v>
      </c>
      <c r="I10334" s="8" t="str">
        <f ca="1">IFERROR(__xludf.DUMMYFUNCTION("IF
(
G10335=""фізична особа""
,
VLOOKUP(H10335,IMPORTRANGE(""https://docs.google.com/spreadsheets/d/14Bd19lYaqBhU8_DElYkX7l4wRkHqqCUFNJY4AfY3kHU/edit?usp=sharing  #gid=0"",""фіз особи new!relations_name""),6,FALSE)
,
(IF
(
G10335=""юридична особа""
,
VLOO"&amp;"KUP(H10335,IMPORTRANGE(""https://docs.google.com/spreadsheets/d/14Bd19lYaqBhU8_DElYkX7l4wRkHqqCUFNJY4AfY3kHU/edit?usp=sharing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J10334" s="7" t="s">
        <v>21</v>
      </c>
    </row>
    <row r="10335" spans="1:10" ht="13.2">
      <c r="A10335" s="7">
        <v>10334</v>
      </c>
      <c r="B10335" s="7">
        <v>1</v>
      </c>
      <c r="C10335" s="7" t="s">
        <v>10</v>
      </c>
      <c r="D10335" s="7">
        <v>15557</v>
      </c>
      <c r="E10335" s="7" t="s">
        <v>31</v>
      </c>
      <c r="F10335" s="8" t="str">
        <f ca="1">IFERROR(__xludf.DUMMYFUNCTION("IF
(
C10336=""фізична особа""
,
VLOOKUP(D10336,IMPORTRANGE(""https://docs.google.com/spreadsheets/d/14Bd19lYaqBhU8_DElYkX7l4wRkHqqCUFNJY4AfY3kHU/edit?usp=sharing  #gid=0"",""фіз особи new!relations_name""),6,FALSE)
,
(IF
(
C10336=""юридична особа""
,
VLOO"&amp;"KUP(D10336,IMPORTRANGE(""https://docs.google.com/spreadsheets/d/14Bd19lYaqBhU8_DElYkX7l4wRkHqqCUFNJY4AfY3kHU/edit?usp=sharing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G10335" s="7" t="s">
        <v>10</v>
      </c>
      <c r="H10335" s="7">
        <v>2523</v>
      </c>
      <c r="I10335" s="8" t="str">
        <f ca="1">IFERROR(__xludf.DUMMYFUNCTION("IF
(
G10336=""фізична особа""
,
VLOOKUP(H10336,IMPORTRANGE(""https://docs.google.com/spreadsheets/d/14Bd19lYaqBhU8_DElYkX7l4wRkHqqCUFNJY4AfY3kHU/edit?usp=sharing  #gid=0"",""фіз особи new!relations_name""),6,FALSE)
,
(IF
(
G10336=""юридична особа""
,
VLOO"&amp;"KUP(H10336,IMPORTRANGE(""https://docs.google.com/spreadsheets/d/14Bd19lYaqBhU8_DElYkX7l4wRkHqqCUFNJY4AfY3kHU/edit?usp=sharing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J10335" s="7" t="s">
        <v>18</v>
      </c>
    </row>
    <row r="10336" spans="1:10" ht="13.2">
      <c r="A10336" s="7">
        <v>10335</v>
      </c>
      <c r="B10336" s="7">
        <v>1</v>
      </c>
      <c r="C10336" s="7" t="s">
        <v>10</v>
      </c>
      <c r="D10336" s="7">
        <v>15557</v>
      </c>
      <c r="E10336" s="7" t="s">
        <v>45</v>
      </c>
      <c r="F10336" s="8" t="str">
        <f ca="1">IFERROR(__xludf.DUMMYFUNCTION("IF
(
C10337=""фізична особа""
,
VLOOKUP(D10337,IMPORTRANGE(""https://docs.google.com/spreadsheets/d/14Bd19lYaqBhU8_DElYkX7l4wRkHqqCUFNJY4AfY3kHU/edit?usp=sharing  #gid=0"",""фіз особи new!relations_name""),6,FALSE)
,
(IF
(
C10337=""юридична особа""
,
VLOO"&amp;"KUP(D10337,IMPORTRANGE(""https://docs.google.com/spreadsheets/d/14Bd19lYaqBhU8_DElYkX7l4wRkHqqCUFNJY4AfY3kHU/edit?usp=sharing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G10336" s="7" t="s">
        <v>10</v>
      </c>
      <c r="H10336" s="7">
        <v>15556</v>
      </c>
      <c r="I10336" s="8" t="str">
        <f ca="1">IFERROR(__xludf.DUMMYFUNCTION("IF
(
G10337=""фізична особа""
,
VLOOKUP(H10337,IMPORTRANGE(""https://docs.google.com/spreadsheets/d/14Bd19lYaqBhU8_DElYkX7l4wRkHqqCUFNJY4AfY3kHU/edit?usp=sharing  #gid=0"",""фіз особи new!relations_name""),6,FALSE)
,
(IF
(
G10337=""юридична особа""
,
VLOO"&amp;"KUP(H10337,IMPORTRANGE(""https://docs.google.com/spreadsheets/d/14Bd19lYaqBhU8_DElYkX7l4wRkHqqCUFNJY4AfY3kHU/edit?usp=sharing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J10336" s="7" t="s">
        <v>20</v>
      </c>
    </row>
    <row r="10337" spans="1:10" ht="13.2">
      <c r="A10337" s="7">
        <v>10336</v>
      </c>
      <c r="B10337" s="7">
        <v>1</v>
      </c>
      <c r="C10337" s="7" t="s">
        <v>10</v>
      </c>
      <c r="D10337" s="7">
        <v>15557</v>
      </c>
      <c r="E10337" s="7" t="s">
        <v>110</v>
      </c>
      <c r="F10337" s="8" t="str">
        <f ca="1">IFERROR(__xludf.DUMMYFUNCTION("IF
(
C10338=""фізична особа""
,
VLOOKUP(D10338,IMPORTRANGE(""https://docs.google.com/spreadsheets/d/14Bd19lYaqBhU8_DElYkX7l4wRkHqqCUFNJY4AfY3kHU/edit?usp=sharing  #gid=0"",""фіз особи new!relations_name""),6,FALSE)
,
(IF
(
C10338=""юридична особа""
,
VLOO"&amp;"KUP(D10338,IMPORTRANGE(""https://docs.google.com/spreadsheets/d/14Bd19lYaqBhU8_DElYkX7l4wRkHqqCUFNJY4AfY3kHU/edit?usp=sharing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G10337" s="7" t="s">
        <v>10</v>
      </c>
      <c r="H10337" s="7">
        <v>15559</v>
      </c>
      <c r="I10337" s="8" t="str">
        <f ca="1">IFERROR(__xludf.DUMMYFUNCTION("IF
(
G10338=""фізична особа""
,
VLOOKUP(H10338,IMPORTRANGE(""https://docs.google.com/spreadsheets/d/14Bd19lYaqBhU8_DElYkX7l4wRkHqqCUFNJY4AfY3kHU/edit?usp=sharing  #gid=0"",""фіз особи new!relations_name""),6,FALSE)
,
(IF
(
G10338=""юридична особа""
,
VLOO"&amp;"KUP(H10338,IMPORTRANGE(""https://docs.google.com/spreadsheets/d/14Bd19lYaqBhU8_DElYkX7l4wRkHqqCUFNJY4AfY3kHU/edit?usp=sharing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J10337" s="7" t="s">
        <v>25</v>
      </c>
    </row>
    <row r="10338" spans="1:10" ht="13.2">
      <c r="A10338" s="7">
        <v>10337</v>
      </c>
      <c r="B10338" s="7">
        <v>1</v>
      </c>
      <c r="C10338" s="7" t="s">
        <v>10</v>
      </c>
      <c r="D10338" s="7">
        <v>15558</v>
      </c>
      <c r="E10338" s="7" t="s">
        <v>65</v>
      </c>
      <c r="F10338" s="8" t="str">
        <f ca="1">IFERROR(__xludf.DUMMYFUNCTION("IF
(
C10339=""фізична особа""
,
VLOOKUP(D10339,IMPORTRANGE(""https://docs.google.com/spreadsheets/d/14Bd19lYaqBhU8_DElYkX7l4wRkHqqCUFNJY4AfY3kHU/edit?usp=sharing  #gid=0"",""фіз особи new!relations_name""),6,FALSE)
,
(IF
(
C10339=""юридична особа""
,
VLOO"&amp;"KUP(D10339,IMPORTRANGE(""https://docs.google.com/spreadsheets/d/14Bd19lYaqBhU8_DElYkX7l4wRkHqqCUFNJY4AfY3kHU/edit?usp=sharing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G10338" s="7" t="s">
        <v>10</v>
      </c>
      <c r="H10338" s="7">
        <v>2521</v>
      </c>
      <c r="I10338" s="8" t="str">
        <f ca="1">IFERROR(__xludf.DUMMYFUNCTION("IF
(
G10339=""фізична особа""
,
VLOOKUP(H10339,IMPORTRANGE(""https://docs.google.com/spreadsheets/d/14Bd19lYaqBhU8_DElYkX7l4wRkHqqCUFNJY4AfY3kHU/edit?usp=sharing  #gid=0"",""фіз особи new!relations_name""),6,FALSE)
,
(IF
(
G10339=""юридична особа""
,
VLOO"&amp;"KUP(H10339,IMPORTRANGE(""https://docs.google.com/spreadsheets/d/14Bd19lYaqBhU8_DElYkX7l4wRkHqqCUFNJY4AfY3kHU/edit?usp=sharing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J10338" s="7" t="s">
        <v>65</v>
      </c>
    </row>
    <row r="10339" spans="1:10" ht="13.2">
      <c r="A10339" s="7">
        <v>10338</v>
      </c>
      <c r="B10339" s="7">
        <v>1</v>
      </c>
      <c r="C10339" s="7" t="s">
        <v>10</v>
      </c>
      <c r="D10339" s="7">
        <v>15558</v>
      </c>
      <c r="E10339" s="7" t="s">
        <v>17</v>
      </c>
      <c r="F10339" s="8" t="str">
        <f ca="1">IFERROR(__xludf.DUMMYFUNCTION("IF
(
C10340=""фізична особа""
,
VLOOKUP(D10340,IMPORTRANGE(""https://docs.google.com/spreadsheets/d/14Bd19lYaqBhU8_DElYkX7l4wRkHqqCUFNJY4AfY3kHU/edit?usp=sharing  #gid=0"",""фіз особи new!relations_name""),6,FALSE)
,
(IF
(
C10340=""юридична особа""
,
VLOO"&amp;"KUP(D10340,IMPORTRANGE(""https://docs.google.com/spreadsheets/d/14Bd19lYaqBhU8_DElYkX7l4wRkHqqCUFNJY4AfY3kHU/edit?usp=sharing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G10339" s="7" t="s">
        <v>10</v>
      </c>
      <c r="H10339" s="7">
        <v>23495</v>
      </c>
      <c r="I10339" s="8" t="str">
        <f ca="1">IFERROR(__xludf.DUMMYFUNCTION("IF
(
G10340=""фізична особа""
,
VLOOKUP(H10340,IMPORTRANGE(""https://docs.google.com/spreadsheets/d/14Bd19lYaqBhU8_DElYkX7l4wRkHqqCUFNJY4AfY3kHU/edit?usp=sharing  #gid=0"",""фіз особи new!relations_name""),6,FALSE)
,
(IF
(
G10340=""юридична особа""
,
VLOO"&amp;"KUP(H10340,IMPORTRANGE(""https://docs.google.com/spreadsheets/d/14Bd19lYaqBhU8_DElYkX7l4wRkHqqCUFNJY4AfY3kHU/edit?usp=sharing  #gid=0"",""фіз особи new!relations_name_uo""),7,FALSE)
,
)
))"),"УСС Оксана Владиславівна")</f>
        <v>УСС Оксана Владиславівна</v>
      </c>
      <c r="J10339" s="7" t="s">
        <v>21</v>
      </c>
    </row>
    <row r="10340" spans="1:10" ht="13.2">
      <c r="A10340" s="7">
        <v>10339</v>
      </c>
      <c r="B10340" s="7">
        <v>1</v>
      </c>
      <c r="C10340" s="7" t="s">
        <v>10</v>
      </c>
      <c r="D10340" s="7">
        <v>15558</v>
      </c>
      <c r="E10340" s="7" t="s">
        <v>17</v>
      </c>
      <c r="F10340" s="8" t="str">
        <f ca="1">IFERROR(__xludf.DUMMYFUNCTION("IF
(
C10341=""фізична особа""
,
VLOOKUP(D10341,IMPORTRANGE(""https://docs.google.com/spreadsheets/d/14Bd19lYaqBhU8_DElYkX7l4wRkHqqCUFNJY4AfY3kHU/edit?usp=sharing  #gid=0"",""фіз особи new!relations_name""),6,FALSE)
,
(IF
(
C10341=""юридична особа""
,
VLOO"&amp;"KUP(D10341,IMPORTRANGE(""https://docs.google.com/spreadsheets/d/14Bd19lYaqBhU8_DElYkX7l4wRkHqqCUFNJY4AfY3kHU/edit?usp=sharing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G10340" s="7" t="s">
        <v>10</v>
      </c>
      <c r="H10340" s="7">
        <v>7289</v>
      </c>
      <c r="I10340" s="8" t="str">
        <f ca="1">IFERROR(__xludf.DUMMYFUNCTION("IF
(
G10341=""фізична особа""
,
VLOOKUP(H10341,IMPORTRANGE(""https://docs.google.com/spreadsheets/d/14Bd19lYaqBhU8_DElYkX7l4wRkHqqCUFNJY4AfY3kHU/edit?usp=sharing  #gid=0"",""фіз особи new!relations_name""),6,FALSE)
,
(IF
(
G10341=""юридична особа""
,
VLOO"&amp;"KUP(H10341,IMPORTRANGE(""https://docs.google.com/spreadsheets/d/14Bd19lYaqBhU8_DElYkX7l4wRkHqqCUFNJY4AfY3kHU/edit?usp=sharing  #gid=0"",""фіз особи new!relations_name_uo""),7,FALSE)
,
)
))"),"ЛЕЙЗЕНБЕРГ Олександр Михайлович")</f>
        <v>ЛЕЙЗЕНБЕРГ Олександр Михайлович</v>
      </c>
      <c r="J10340" s="7" t="s">
        <v>12</v>
      </c>
    </row>
    <row r="10341" spans="1:10" ht="13.2">
      <c r="A10341" s="7">
        <v>10340</v>
      </c>
      <c r="B10341" s="7">
        <v>1</v>
      </c>
      <c r="C10341" s="7" t="s">
        <v>10</v>
      </c>
      <c r="D10341" s="7">
        <v>15558</v>
      </c>
      <c r="E10341" s="7" t="s">
        <v>20</v>
      </c>
      <c r="F10341" s="8" t="str">
        <f ca="1">IFERROR(__xludf.DUMMYFUNCTION("IF
(
C10342=""фізична особа""
,
VLOOKUP(D10342,IMPORTRANGE(""https://docs.google.com/spreadsheets/d/14Bd19lYaqBhU8_DElYkX7l4wRkHqqCUFNJY4AfY3kHU/edit?usp=sharing  #gid=0"",""фіз особи new!relations_name""),6,FALSE)
,
(IF
(
C10342=""юридична особа""
,
VLOO"&amp;"KUP(D10342,IMPORTRANGE(""https://docs.google.com/spreadsheets/d/14Bd19lYaqBhU8_DElYkX7l4wRkHqqCUFNJY4AfY3kHU/edit?usp=sharing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G10341" s="7" t="s">
        <v>10</v>
      </c>
      <c r="H10341" s="7">
        <v>15555</v>
      </c>
      <c r="I10341" s="8" t="str">
        <f ca="1">IFERROR(__xludf.DUMMYFUNCTION("IF
(
G10342=""фізична особа""
,
VLOOKUP(H10342,IMPORTRANGE(""https://docs.google.com/spreadsheets/d/14Bd19lYaqBhU8_DElYkX7l4wRkHqqCUFNJY4AfY3kHU/edit?usp=sharing  #gid=0"",""фіз особи new!relations_name""),6,FALSE)
,
(IF
(
G10342=""юридична особа""
,
VLOO"&amp;"KUP(H10342,IMPORTRANGE(""https://docs.google.com/spreadsheets/d/14Bd19lYaqBhU8_DElYkX7l4wRkHqqCUFNJY4AfY3kHU/edit?usp=sharing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J10341" s="7" t="s">
        <v>19</v>
      </c>
    </row>
    <row r="10342" spans="1:10" ht="13.2">
      <c r="A10342" s="7">
        <v>10341</v>
      </c>
      <c r="B10342" s="7">
        <v>1</v>
      </c>
      <c r="C10342" s="7" t="s">
        <v>10</v>
      </c>
      <c r="D10342" s="7">
        <v>15558</v>
      </c>
      <c r="E10342" s="7" t="s">
        <v>61</v>
      </c>
      <c r="F10342" s="8" t="str">
        <f ca="1">IFERROR(__xludf.DUMMYFUNCTION("IF
(
C10343=""фізична особа""
,
VLOOKUP(D10343,IMPORTRANGE(""https://docs.google.com/spreadsheets/d/14Bd19lYaqBhU8_DElYkX7l4wRkHqqCUFNJY4AfY3kHU/edit?usp=sharing  #gid=0"",""фіз особи new!relations_name""),6,FALSE)
,
(IF
(
C10343=""юридична особа""
,
VLOO"&amp;"KUP(D10343,IMPORTRANGE(""https://docs.google.com/spreadsheets/d/14Bd19lYaqBhU8_DElYkX7l4wRkHqqCUFNJY4AfY3kHU/edit?usp=sharing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G10342" s="7" t="s">
        <v>10</v>
      </c>
      <c r="H10342" s="7">
        <v>15560</v>
      </c>
      <c r="I10342" s="8" t="str">
        <f ca="1">IFERROR(__xludf.DUMMYFUNCTION("IF
(
G10343=""фізична особа""
,
VLOOKUP(H10343,IMPORTRANGE(""https://docs.google.com/spreadsheets/d/14Bd19lYaqBhU8_DElYkX7l4wRkHqqCUFNJY4AfY3kHU/edit?usp=sharing  #gid=0"",""фіз особи new!relations_name""),6,FALSE)
,
(IF
(
G10343=""юридична особа""
,
VLOO"&amp;"KUP(H10343,IMPORTRANGE(""https://docs.google.com/spreadsheets/d/14Bd19lYaqBhU8_DElYkX7l4wRkHqqCUFNJY4AfY3kHU/edit?usp=sharing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J10342" s="7" t="s">
        <v>59</v>
      </c>
    </row>
    <row r="10343" spans="1:10" ht="13.2">
      <c r="A10343" s="7">
        <v>10342</v>
      </c>
      <c r="B10343" s="7">
        <v>1</v>
      </c>
      <c r="C10343" s="7" t="s">
        <v>10</v>
      </c>
      <c r="D10343" s="7">
        <v>15559</v>
      </c>
      <c r="E10343" s="7" t="s">
        <v>15</v>
      </c>
      <c r="F10343" s="8" t="str">
        <f ca="1">IFERROR(__xludf.DUMMYFUNCTION("IF
(
C10344=""фізична особа""
,
VLOOKUP(D10344,IMPORTRANGE(""https://docs.google.com/spreadsheets/d/14Bd19lYaqBhU8_DElYkX7l4wRkHqqCUFNJY4AfY3kHU/edit?usp=sharing  #gid=0"",""фіз особи new!relations_name""),6,FALSE)
,
(IF
(
C10344=""юридична особа""
,
VLOO"&amp;"KUP(D10344,IMPORTRANGE(""https://docs.google.com/spreadsheets/d/14Bd19lYaqBhU8_DElYkX7l4wRkHqqCUFNJY4AfY3kHU/edit?usp=sharing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G10343" s="7" t="s">
        <v>10</v>
      </c>
      <c r="H10343" s="7">
        <v>2523</v>
      </c>
      <c r="I10343" s="8" t="str">
        <f ca="1">IFERROR(__xludf.DUMMYFUNCTION("IF
(
G10344=""фізична особа""
,
VLOOKUP(H10344,IMPORTRANGE(""https://docs.google.com/spreadsheets/d/14Bd19lYaqBhU8_DElYkX7l4wRkHqqCUFNJY4AfY3kHU/edit?usp=sharing  #gid=0"",""фіз особи new!relations_name""),6,FALSE)
,
(IF
(
G10344=""юридична особа""
,
VLOO"&amp;"KUP(H10344,IMPORTRANGE(""https://docs.google.com/spreadsheets/d/14Bd19lYaqBhU8_DElYkX7l4wRkHqqCUFNJY4AfY3kHU/edit?usp=sharing  #gid=0"",""фіз особи new!relations_name_uo""),7,FALSE)
,
)
))"),"КОЖЕМ'ЯКО Олег Миколайович")</f>
        <v>КОЖЕМ'ЯКО Олег Миколайович</v>
      </c>
      <c r="J10343" s="7" t="s">
        <v>14</v>
      </c>
    </row>
    <row r="10344" spans="1:10" ht="13.2">
      <c r="A10344" s="7">
        <v>10343</v>
      </c>
      <c r="B10344" s="7">
        <v>1</v>
      </c>
      <c r="C10344" s="7" t="s">
        <v>10</v>
      </c>
      <c r="D10344" s="7">
        <v>15559</v>
      </c>
      <c r="E10344" s="7" t="s">
        <v>25</v>
      </c>
      <c r="F10344" s="8" t="str">
        <f ca="1">IFERROR(__xludf.DUMMYFUNCTION("IF
(
C10345=""фізична особа""
,
VLOOKUP(D10345,IMPORTRANGE(""https://docs.google.com/spreadsheets/d/14Bd19lYaqBhU8_DElYkX7l4wRkHqqCUFNJY4AfY3kHU/edit?usp=sharing  #gid=0"",""фіз особи new!relations_name""),6,FALSE)
,
(IF
(
C10345=""юридична особа""
,
VLOO"&amp;"KUP(D10345,IMPORTRANGE(""https://docs.google.com/spreadsheets/d/14Bd19lYaqBhU8_DElYkX7l4wRkHqqCUFNJY4AfY3kHU/edit?usp=sharing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G10344" s="7" t="s">
        <v>10</v>
      </c>
      <c r="H10344" s="7">
        <v>15557</v>
      </c>
      <c r="I10344" s="8" t="str">
        <f ca="1">IFERROR(__xludf.DUMMYFUNCTION("IF
(
G10345=""фізична особа""
,
VLOOKUP(H10345,IMPORTRANGE(""https://docs.google.com/spreadsheets/d/14Bd19lYaqBhU8_DElYkX7l4wRkHqqCUFNJY4AfY3kHU/edit?usp=sharing  #gid=0"",""фіз особи new!relations_name""),6,FALSE)
,
(IF
(
G10345=""юридична особа""
,
VLOO"&amp;"KUP(H10345,IMPORTRANGE(""https://docs.google.com/spreadsheets/d/14Bd19lYaqBhU8_DElYkX7l4wRkHqqCUFNJY4AfY3kHU/edit?usp=sharing  #gid=0"",""фіз особи new!relations_name_uo""),7,FALSE)
,
)
))"),"КРАВЧЕНКО Ольга Миколаївна")</f>
        <v>КРАВЧЕНКО Ольга Миколаївна</v>
      </c>
      <c r="J10344" s="7" t="s">
        <v>110</v>
      </c>
    </row>
    <row r="10345" spans="1:10" ht="13.2">
      <c r="A10345" s="7">
        <v>10344</v>
      </c>
      <c r="B10345" s="7">
        <v>1</v>
      </c>
      <c r="C10345" s="7" t="s">
        <v>10</v>
      </c>
      <c r="D10345" s="7">
        <v>15559</v>
      </c>
      <c r="E10345" s="7" t="s">
        <v>21</v>
      </c>
      <c r="F10345" s="8" t="str">
        <f ca="1">IFERROR(__xludf.DUMMYFUNCTION("IF
(
C10346=""фізична особа""
,
VLOOKUP(D10346,IMPORTRANGE(""https://docs.google.com/spreadsheets/d/14Bd19lYaqBhU8_DElYkX7l4wRkHqqCUFNJY4AfY3kHU/edit?usp=sharing  #gid=0"",""фіз особи new!relations_name""),6,FALSE)
,
(IF
(
C10346=""юридична особа""
,
VLOO"&amp;"KUP(D10346,IMPORTRANGE(""https://docs.google.com/spreadsheets/d/14Bd19lYaqBhU8_DElYkX7l4wRkHqqCUFNJY4AfY3kHU/edit?usp=sharing  #gid=0"",""фіз особи new!relations_name_uo""),7,FALSE)
,
)
))"),"ГЕРАСИМЕНКО Ірина Валеріївна")</f>
        <v>ГЕРАСИМЕНКО Ірина Валеріївна</v>
      </c>
      <c r="G10345" s="7" t="s">
        <v>10</v>
      </c>
      <c r="H10345" s="7">
        <v>15556</v>
      </c>
      <c r="I10345" s="8" t="str">
        <f ca="1">IFERROR(__xludf.DUMMYFUNCTION("IF
(
G10346=""фізична особа""
,
VLOOKUP(H10346,IMPORTRANGE(""https://docs.google.com/spreadsheets/d/14Bd19lYaqBhU8_DElYkX7l4wRkHqqCUFNJY4AfY3kHU/edit?usp=sharing  #gid=0"",""фіз особи new!relations_name""),6,FALSE)
,
(IF
(
G10346=""юридична особа""
,
VLOO"&amp;"KUP(H10346,IMPORTRANGE(""https://docs.google.com/spreadsheets/d/14Bd19lYaqBhU8_DElYkX7l4wRkHqqCUFNJY4AfY3kHU/edit?usp=sharing  #gid=0"",""фіз особи new!relations_name_uo""),7,FALSE)
,
)
))"),"КОЖЕМ'ЯКО Микита Олегович")</f>
        <v>КОЖЕМ'ЯКО Микита Олегович</v>
      </c>
      <c r="J10345" s="7" t="s">
        <v>17</v>
      </c>
    </row>
    <row r="10346" spans="1:10" ht="13.2">
      <c r="A10346" s="7">
        <v>10345</v>
      </c>
      <c r="B10346" s="7">
        <v>1</v>
      </c>
      <c r="C10346" s="7" t="s">
        <v>10</v>
      </c>
      <c r="D10346" s="7">
        <v>15560</v>
      </c>
      <c r="E10346" s="7" t="s">
        <v>18</v>
      </c>
      <c r="F10346" s="8" t="str">
        <f ca="1">IFERROR(__xludf.DUMMYFUNCTION("IF
(
C10347=""фізична особа""
,
VLOOKUP(D10347,IMPORTRANGE(""https://docs.google.com/spreadsheets/d/14Bd19lYaqBhU8_DElYkX7l4wRkHqqCUFNJY4AfY3kHU/edit?usp=sharing  #gid=0"",""фіз особи new!relations_name""),6,FALSE)
,
(IF
(
C10347=""юридична особа""
,
VLOO"&amp;"KUP(D10347,IMPORTRANGE(""https://docs.google.com/spreadsheets/d/14Bd19lYaqBhU8_DElYkX7l4wRkHqqCUFNJY4AfY3kHU/edit?usp=sharing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G10346" s="7" t="s">
        <v>10</v>
      </c>
      <c r="H10346" s="7">
        <v>2521</v>
      </c>
      <c r="I10346" s="8" t="str">
        <f ca="1">IFERROR(__xludf.DUMMYFUNCTION("IF
(
G10347=""фізична особа""
,
VLOOKUP(H10347,IMPORTRANGE(""https://docs.google.com/spreadsheets/d/14Bd19lYaqBhU8_DElYkX7l4wRkHqqCUFNJY4AfY3kHU/edit?usp=sharing  #gid=0"",""фіз особи new!relations_name""),6,FALSE)
,
(IF
(
G10347=""юридична особа""
,
VLOO"&amp;"KUP(H10347,IMPORTRANGE(""https://docs.google.com/spreadsheets/d/14Bd19lYaqBhU8_DElYkX7l4wRkHqqCUFNJY4AfY3kHU/edit?usp=sharing  #gid=0"",""фіз особи new!relations_name_uo""),7,FALSE)
,
)
))"),"УСС Олександр Вікторович")</f>
        <v>УСС Олександр Вікторович</v>
      </c>
      <c r="J10346" s="7" t="s">
        <v>18</v>
      </c>
    </row>
    <row r="10347" spans="1:10" ht="13.2">
      <c r="A10347" s="7">
        <v>10346</v>
      </c>
      <c r="B10347" s="7">
        <v>1</v>
      </c>
      <c r="C10347" s="7" t="s">
        <v>10</v>
      </c>
      <c r="D10347" s="7">
        <v>15560</v>
      </c>
      <c r="E10347" s="7" t="s">
        <v>19</v>
      </c>
      <c r="F10347" s="8" t="str">
        <f ca="1">IFERROR(__xludf.DUMMYFUNCTION("IF
(
C10348=""фізична особа""
,
VLOOKUP(D10348,IMPORTRANGE(""https://docs.google.com/spreadsheets/d/14Bd19lYaqBhU8_DElYkX7l4wRkHqqCUFNJY4AfY3kHU/edit?usp=sharing  #gid=0"",""фіз особи new!relations_name""),6,FALSE)
,
(IF
(
C10348=""юридична особа""
,
VLOO"&amp;"KUP(D10348,IMPORTRANGE(""https://docs.google.com/spreadsheets/d/14Bd19lYaqBhU8_DElYkX7l4wRkHqqCUFNJY4AfY3kHU/edit?usp=sharing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G10347" s="7" t="s">
        <v>10</v>
      </c>
      <c r="H10347" s="7">
        <v>15555</v>
      </c>
      <c r="I10347" s="8" t="str">
        <f ca="1">IFERROR(__xludf.DUMMYFUNCTION("IF
(
G10348=""фізична особа""
,
VLOOKUP(H10348,IMPORTRANGE(""https://docs.google.com/spreadsheets/d/14Bd19lYaqBhU8_DElYkX7l4wRkHqqCUFNJY4AfY3kHU/edit?usp=sharing  #gid=0"",""фіз особи new!relations_name""),6,FALSE)
,
(IF
(
G10348=""юридична особа""
,
VLOO"&amp;"KUP(H10348,IMPORTRANGE(""https://docs.google.com/spreadsheets/d/14Bd19lYaqBhU8_DElYkX7l4wRkHqqCUFNJY4AfY3kHU/edit?usp=sharing  #gid=0"",""фіз особи new!relations_name_uo""),7,FALSE)
,
)
))"),"УСС Артем Олександрович")</f>
        <v>УСС Артем Олександрович</v>
      </c>
      <c r="J10347" s="7" t="s">
        <v>20</v>
      </c>
    </row>
    <row r="10348" spans="1:10" ht="13.2">
      <c r="A10348" s="7">
        <v>10347</v>
      </c>
      <c r="B10348" s="7">
        <v>1</v>
      </c>
      <c r="C10348" s="7" t="s">
        <v>10</v>
      </c>
      <c r="D10348" s="7">
        <v>15560</v>
      </c>
      <c r="E10348" s="7" t="s">
        <v>73</v>
      </c>
      <c r="F10348" s="8" t="str">
        <f ca="1">IFERROR(__xludf.DUMMYFUNCTION("IF
(
C10349=""фізична особа""
,
VLOOKUP(D10349,IMPORTRANGE(""https://docs.google.com/spreadsheets/d/14Bd19lYaqBhU8_DElYkX7l4wRkHqqCUFNJY4AfY3kHU/edit?usp=sharing  #gid=0"",""фіз особи new!relations_name""),6,FALSE)
,
(IF
(
C10349=""юридична особа""
,
VLOO"&amp;"KUP(D10349,IMPORTRANGE(""https://docs.google.com/spreadsheets/d/14Bd19lYaqBhU8_DElYkX7l4wRkHqqCUFNJY4AfY3kHU/edit?usp=sharing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G10348" s="7" t="s">
        <v>10</v>
      </c>
      <c r="H10348" s="7">
        <v>23494</v>
      </c>
      <c r="I10348" s="8" t="str">
        <f ca="1">IFERROR(__xludf.DUMMYFUNCTION("IF
(
G10349=""фізична особа""
,
VLOOKUP(H10349,IMPORTRANGE(""https://docs.google.com/spreadsheets/d/14Bd19lYaqBhU8_DElYkX7l4wRkHqqCUFNJY4AfY3kHU/edit?usp=sharing  #gid=0"",""фіз особи new!relations_name""),6,FALSE)
,
(IF
(
G10349=""юридична особа""
,
VLOO"&amp;"KUP(H10349,IMPORTRANGE(""https://docs.google.com/spreadsheets/d/14Bd19lYaqBhU8_DElYkX7l4wRkHqqCUFNJY4AfY3kHU/edit?usp=sharing  #gid=0"",""фіз особи new!relations_name_uo""),7,FALSE)
,
)
))"),"УСС Людмила Прокопівна")</f>
        <v>УСС Людмила Прокопівна</v>
      </c>
      <c r="J10348" s="7" t="s">
        <v>25</v>
      </c>
    </row>
    <row r="10349" spans="1:10" ht="13.2">
      <c r="A10349" s="7">
        <v>10348</v>
      </c>
      <c r="B10349" s="7">
        <v>1</v>
      </c>
      <c r="C10349" s="7" t="s">
        <v>10</v>
      </c>
      <c r="D10349" s="7">
        <v>15560</v>
      </c>
      <c r="E10349" s="7" t="s">
        <v>59</v>
      </c>
      <c r="F10349" s="8" t="str">
        <f ca="1">IFERROR(__xludf.DUMMYFUNCTION("IF
(
C10350=""фізична особа""
,
VLOOKUP(D10350,IMPORTRANGE(""https://docs.google.com/spreadsheets/d/14Bd19lYaqBhU8_DElYkX7l4wRkHqqCUFNJY4AfY3kHU/edit?usp=sharing  #gid=0"",""фіз особи new!relations_name""),6,FALSE)
,
(IF
(
C10350=""юридична особа""
,
VLOO"&amp;"KUP(D10350,IMPORTRANGE(""https://docs.google.com/spreadsheets/d/14Bd19lYaqBhU8_DElYkX7l4wRkHqqCUFNJY4AfY3kHU/edit?usp=sharing  #gid=0"",""фіз особи new!relations_name_uo""),7,FALSE)
,
)
))"),"УСС Владислав Вікторович")</f>
        <v>УСС Владислав Вікторович</v>
      </c>
      <c r="G10349" s="7" t="s">
        <v>10</v>
      </c>
      <c r="H10349" s="7">
        <v>15558</v>
      </c>
      <c r="I10349" s="8" t="str">
        <f ca="1">IFERROR(__xludf.DUMMYFUNCTION("IF
(
G10350=""фізична особа""
,
VLOOKUP(H10350,IMPORTRANGE(""https://docs.google.com/spreadsheets/d/14Bd19lYaqBhU8_DElYkX7l4wRkHqqCUFNJY4AfY3kHU/edit?usp=sharing  #gid=0"",""фіз особи new!relations_name""),6,FALSE)
,
(IF
(
G10350=""юридична особа""
,
VLOO"&amp;"KUP(H10350,IMPORTRANGE(""https://docs.google.com/spreadsheets/d/14Bd19lYaqBhU8_DElYkX7l4wRkHqqCUFNJY4AfY3kHU/edit?usp=sharing  #gid=0"",""фіз особи new!relations_name_uo""),7,FALSE)
,
)
))"),"ЛЕЙЗЕНБЕРГ Євгеній Олександрович")</f>
        <v>ЛЕЙЗЕНБЕРГ Євгеній Олександрович</v>
      </c>
      <c r="J10349" s="7" t="s">
        <v>61</v>
      </c>
    </row>
    <row r="10350" spans="1:10" ht="13.2">
      <c r="A10350" s="7">
        <v>10349</v>
      </c>
      <c r="B10350" s="7">
        <v>1</v>
      </c>
      <c r="C10350" s="7" t="s">
        <v>10</v>
      </c>
      <c r="D10350" s="7">
        <v>15561</v>
      </c>
      <c r="E10350" s="7" t="s">
        <v>21</v>
      </c>
      <c r="F10350" s="8" t="str">
        <f ca="1">IFERROR(__xludf.DUMMYFUNCTION("IF
(
C10351=""фізична особа""
,
VLOOKUP(D10351,IMPORTRANGE(""https://docs.google.com/spreadsheets/d/14Bd19lYaqBhU8_DElYkX7l4wRkHqqCUFNJY4AfY3kHU/edit?usp=sharing  #gid=0"",""фіз особи new!relations_name""),6,FALSE)
,
(IF
(
C10351=""юридична особа""
,
VLOO"&amp;"KUP(D10351,IMPORTRANGE(""https://docs.google.com/spreadsheets/d/14Bd19lYaqBhU8_DElYkX7l4wRkHqqCUFNJY4AfY3kHU/edit?usp=sharing  #gid=0"",""фіз особи new!relations_name_uo""),7,FALSE)
,
)
))"),"СТАРОВОЙТ Світлана Сергіївна")</f>
        <v>СТАРОВОЙТ Світлана Сергіївна</v>
      </c>
      <c r="G10350" s="7" t="s">
        <v>10</v>
      </c>
      <c r="H10350" s="7">
        <v>23497</v>
      </c>
      <c r="I10350" s="8" t="str">
        <f ca="1">IFERROR(__xludf.DUMMYFUNCTION("IF
(
G10351=""фізична особа""
,
VLOOKUP(H10351,IMPORTRANGE(""https://docs.google.com/spreadsheets/d/14Bd19lYaqBhU8_DElYkX7l4wRkHqqCUFNJY4AfY3kHU/edit?usp=sharing  #gid=0"",""фіз особи new!relations_name""),6,FALSE)
,
(IF
(
G10351=""юридична особа""
,
VLOO"&amp;"KUP(H10351,IMPORTRANGE(""https://docs.google.com/spreadsheets/d/14Bd19lYaqBhU8_DElYkX7l4wRkHqqCUFNJY4AfY3kHU/edit?usp=sharing  #gid=0"",""фіз особи new!relations_name_uo""),7,FALSE)
,
)
))"),"СТАРОВОЙТ Ангеліна Романівна")</f>
        <v>СТАРОВОЙТ Ангеліна Романівна</v>
      </c>
      <c r="J10350" s="7" t="s">
        <v>13</v>
      </c>
    </row>
    <row r="10351" spans="1:10" ht="13.2">
      <c r="A10351" s="7">
        <v>10350</v>
      </c>
      <c r="B10351" s="7">
        <v>1</v>
      </c>
      <c r="C10351" s="7" t="s">
        <v>10</v>
      </c>
      <c r="D10351" s="7">
        <v>15561</v>
      </c>
      <c r="E10351" s="7" t="s">
        <v>15</v>
      </c>
      <c r="F10351" s="8" t="str">
        <f ca="1">IFERROR(__xludf.DUMMYFUNCTION("IF
(
C10352=""фізична особа""
,
VLOOKUP(D10352,IMPORTRANGE(""https://docs.google.com/spreadsheets/d/14Bd19lYaqBhU8_DElYkX7l4wRkHqqCUFNJY4AfY3kHU/edit?usp=sharing  #gid=0"",""фіз особи new!relations_name""),6,FALSE)
,
(IF
(
C10352=""юридична особа""
,
VLOO"&amp;"KUP(D10352,IMPORTRANGE(""https://docs.google.com/spreadsheets/d/14Bd19lYaqBhU8_DElYkX7l4wRkHqqCUFNJY4AfY3kHU/edit?usp=sharing  #gid=0"",""фіз особи new!relations_name_uo""),7,FALSE)
,
)
))"),"СТАРОВОЙТ Світлана Сергіївна")</f>
        <v>СТАРОВОЙТ Світлана Сергіївна</v>
      </c>
      <c r="G10351" s="7" t="s">
        <v>10</v>
      </c>
      <c r="H10351" s="7">
        <v>2541</v>
      </c>
      <c r="I10351" s="8" t="str">
        <f ca="1">IFERROR(__xludf.DUMMYFUNCTION("IF
(
G10352=""фізична особа""
,
VLOOKUP(H10352,IMPORTRANGE(""https://docs.google.com/spreadsheets/d/14Bd19lYaqBhU8_DElYkX7l4wRkHqqCUFNJY4AfY3kHU/edit?usp=sharing  #gid=0"",""фіз особи new!relations_name""),6,FALSE)
,
(IF
(
G10352=""юридична особа""
,
VLOO"&amp;"KUP(H10352,IMPORTRANGE(""https://docs.google.com/spreadsheets/d/14Bd19lYaqBhU8_DElYkX7l4wRkHqqCUFNJY4AfY3kHU/edit?usp=sharing  #gid=0"",""фіз особи new!relations_name_uo""),7,FALSE)
,
)
))"),"СТАРОВОЙТ Роман Володимирович")</f>
        <v>СТАРОВОЙТ Роман Володимирович</v>
      </c>
      <c r="J10351" s="7" t="s">
        <v>14</v>
      </c>
    </row>
    <row r="10352" spans="1:10" ht="13.2">
      <c r="A10352" s="7">
        <v>10351</v>
      </c>
      <c r="B10352" s="7">
        <v>1</v>
      </c>
      <c r="C10352" s="7" t="s">
        <v>10</v>
      </c>
      <c r="D10352" s="7">
        <v>15561</v>
      </c>
      <c r="E10352" s="7" t="s">
        <v>21</v>
      </c>
      <c r="F10352" s="8" t="str">
        <f ca="1">IFERROR(__xludf.DUMMYFUNCTION("IF
(
C10353=""фізична особа""
,
VLOOKUP(D10353,IMPORTRANGE(""https://docs.google.com/spreadsheets/d/14Bd19lYaqBhU8_DElYkX7l4wRkHqqCUFNJY4AfY3kHU/edit?usp=sharing  #gid=0"",""фіз особи new!relations_name""),6,FALSE)
,
(IF
(
C10353=""юридична особа""
,
VLOO"&amp;"KUP(D10353,IMPORTRANGE(""https://docs.google.com/spreadsheets/d/14Bd19lYaqBhU8_DElYkX7l4wRkHqqCUFNJY4AfY3kHU/edit?usp=sharing  #gid=0"",""фіз особи new!relations_name_uo""),7,FALSE)
,
)
))"),"СТАРОВОЙТ Світлана Сергіївна")</f>
        <v>СТАРОВОЙТ Світлана Сергіївна</v>
      </c>
      <c r="G10352" s="7" t="s">
        <v>10</v>
      </c>
      <c r="H10352" s="7">
        <v>23498</v>
      </c>
      <c r="I10352" s="8" t="str">
        <f ca="1">IFERROR(__xludf.DUMMYFUNCTION("IF
(
G10353=""фізична особа""
,
VLOOKUP(H10353,IMPORTRANGE(""https://docs.google.com/spreadsheets/d/14Bd19lYaqBhU8_DElYkX7l4wRkHqqCUFNJY4AfY3kHU/edit?usp=sharing  #gid=0"",""фіз особи new!relations_name""),6,FALSE)
,
(IF
(
G10353=""юридична особа""
,
VLOO"&amp;"KUP(H10353,IMPORTRANGE(""https://docs.google.com/spreadsheets/d/14Bd19lYaqBhU8_DElYkX7l4wRkHqqCUFNJY4AfY3kHU/edit?usp=sharing  #gid=0"",""фіз особи new!relations_name_uo""),7,FALSE)
,
)
))"),"СТАРОВОЙТ Анастасія Романівна")</f>
        <v>СТАРОВОЙТ Анастасія Романівна</v>
      </c>
      <c r="J10352" s="7" t="s">
        <v>13</v>
      </c>
    </row>
    <row r="10353" spans="1:10" ht="13.2">
      <c r="A10353" s="7">
        <v>10352</v>
      </c>
      <c r="B10353" s="7">
        <v>1</v>
      </c>
      <c r="C10353" s="7" t="s">
        <v>10</v>
      </c>
      <c r="D10353" s="7">
        <v>15561</v>
      </c>
      <c r="E10353" s="7" t="s">
        <v>25</v>
      </c>
      <c r="F10353" s="8" t="str">
        <f ca="1">IFERROR(__xludf.DUMMYFUNCTION("IF
(
C10354=""фізична особа""
,
VLOOKUP(D10354,IMPORTRANGE(""https://docs.google.com/spreadsheets/d/14Bd19lYaqBhU8_DElYkX7l4wRkHqqCUFNJY4AfY3kHU/edit?usp=sharing  #gid=0"",""фіз особи new!relations_name""),6,FALSE)
,
(IF
(
C10354=""юридична особа""
,
VLOO"&amp;"KUP(D10354,IMPORTRANGE(""https://docs.google.com/spreadsheets/d/14Bd19lYaqBhU8_DElYkX7l4wRkHqqCUFNJY4AfY3kHU/edit?usp=sharing  #gid=0"",""фіз особи new!relations_name_uo""),7,FALSE)
,
)
))"),"СТАРОВОЙТ Світлана Сергіївна")</f>
        <v>СТАРОВОЙТ Світлана Сергіївна</v>
      </c>
      <c r="G10353" s="7" t="s">
        <v>10</v>
      </c>
      <c r="H10353" s="7">
        <v>23499</v>
      </c>
      <c r="I10353" s="8" t="str">
        <f ca="1">IFERROR(__xludf.DUMMYFUNCTION("IF
(
G10354=""фізична особа""
,
VLOOKUP(H10354,IMPORTRANGE(""https://docs.google.com/spreadsheets/d/14Bd19lYaqBhU8_DElYkX7l4wRkHqqCUFNJY4AfY3kHU/edit?usp=sharing  #gid=0"",""фіз особи new!relations_name""),6,FALSE)
,
(IF
(
G10354=""юридична особа""
,
VLOO"&amp;"KUP(H10354,IMPORTRANGE(""https://docs.google.com/spreadsheets/d/14Bd19lYaqBhU8_DElYkX7l4wRkHqqCUFNJY4AfY3kHU/edit?usp=sharing  #gid=0"",""фіз особи new!relations_name_uo""),7,FALSE)
,
)
))"),"СТАРОВОЙТ Олексій Володимирович")</f>
        <v>СТАРОВОЙТ Олексій Володимирович</v>
      </c>
      <c r="J10353" s="7" t="s">
        <v>73</v>
      </c>
    </row>
    <row r="10354" spans="1:10" ht="13.2">
      <c r="A10354" s="7">
        <v>10353</v>
      </c>
      <c r="B10354" s="7">
        <v>1</v>
      </c>
      <c r="C10354" s="7" t="s">
        <v>10</v>
      </c>
      <c r="D10354" s="7">
        <v>15562</v>
      </c>
      <c r="E10354" s="7" t="s">
        <v>58</v>
      </c>
      <c r="F10354" s="8" t="str">
        <f ca="1">IFERROR(__xludf.DUMMYFUNCTION("IF
(
C10355=""фізична особа""
,
VLOOKUP(D10355,IMPORTRANGE(""https://docs.google.com/spreadsheets/d/14Bd19lYaqBhU8_DElYkX7l4wRkHqqCUFNJY4AfY3kHU/edit?usp=sharing  #gid=0"",""фіз особи new!relations_name""),6,FALSE)
,
(IF
(
C10355=""юридична особа""
,
VLOO"&amp;"KUP(D10355,IMPORTRANGE(""https://docs.google.com/spreadsheets/d/14Bd19lYaqBhU8_DElYkX7l4wRkHqqCUFNJY4AfY3kHU/edit?usp=sharing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10354" s="7" t="s">
        <v>10</v>
      </c>
      <c r="H10354" s="7">
        <v>4840</v>
      </c>
      <c r="I10354" s="8" t="str">
        <f ca="1">IFERROR(__xludf.DUMMYFUNCTION("IF
(
G10355=""фізична особа""
,
VLOOKUP(H10355,IMPORTRANGE(""https://docs.google.com/spreadsheets/d/14Bd19lYaqBhU8_DElYkX7l4wRkHqqCUFNJY4AfY3kHU/edit?usp=sharing  #gid=0"",""фіз особи new!relations_name""),6,FALSE)
,
(IF
(
G10355=""юридична особа""
,
VLOO"&amp;"KUP(H10355,IMPORTRANGE(""https://docs.google.com/spreadsheets/d/14Bd19lYaqBhU8_DElYkX7l4wRkHqqCUFNJY4AfY3kHU/edit?usp=sharing  #gid=0"",""фіз особи new!relations_name_uo""),7,FALSE)
,
)
))"),"БОГДАСАРОВА Катерина Юріївна")</f>
        <v>БОГДАСАРОВА Катерина Юріївна</v>
      </c>
      <c r="J10354" s="7" t="s">
        <v>25</v>
      </c>
    </row>
    <row r="10355" spans="1:10" ht="13.2">
      <c r="A10355" s="7">
        <v>10354</v>
      </c>
      <c r="B10355" s="7">
        <v>1</v>
      </c>
      <c r="C10355" s="7" t="s">
        <v>10</v>
      </c>
      <c r="D10355" s="7">
        <v>15562</v>
      </c>
      <c r="E10355" s="7" t="s">
        <v>15</v>
      </c>
      <c r="F10355" s="8" t="str">
        <f ca="1">IFERROR(__xludf.DUMMYFUNCTION("IF
(
C10356=""фізична особа""
,
VLOOKUP(D10356,IMPORTRANGE(""https://docs.google.com/spreadsheets/d/14Bd19lYaqBhU8_DElYkX7l4wRkHqqCUFNJY4AfY3kHU/edit?usp=sharing  #gid=0"",""фіз особи new!relations_name""),6,FALSE)
,
(IF
(
C10356=""юридична особа""
,
VLOO"&amp;"KUP(D10356,IMPORTRANGE(""https://docs.google.com/spreadsheets/d/14Bd19lYaqBhU8_DElYkX7l4wRkHqqCUFNJY4AfY3kHU/edit?usp=sharing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10355" s="7" t="s">
        <v>10</v>
      </c>
      <c r="H10355" s="7">
        <v>946</v>
      </c>
      <c r="I10355" s="8" t="str">
        <f ca="1">IFERROR(__xludf.DUMMYFUNCTION("IF
(
G10356=""фізична особа""
,
VLOOKUP(H10356,IMPORTRANGE(""https://docs.google.com/spreadsheets/d/14Bd19lYaqBhU8_DElYkX7l4wRkHqqCUFNJY4AfY3kHU/edit?usp=sharing  #gid=0"",""фіз особи new!relations_name""),6,FALSE)
,
(IF
(
G10356=""юридична особа""
,
VLOO"&amp;"KUP(H10356,IMPORTRANGE(""https://docs.google.com/spreadsheets/d/14Bd19lYaqBhU8_DElYkX7l4wRkHqqCUFNJY4AfY3kHU/edit?usp=sharing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10355" s="7" t="s">
        <v>14</v>
      </c>
    </row>
    <row r="10356" spans="1:10" ht="13.2">
      <c r="A10356" s="7">
        <v>10355</v>
      </c>
      <c r="B10356" s="7">
        <v>1</v>
      </c>
      <c r="C10356" s="7" t="s">
        <v>10</v>
      </c>
      <c r="D10356" s="7">
        <v>15562</v>
      </c>
      <c r="E10356" s="7" t="s">
        <v>21</v>
      </c>
      <c r="F10356" s="8" t="str">
        <f ca="1">IFERROR(__xludf.DUMMYFUNCTION("IF
(
C10357=""фізична особа""
,
VLOOKUP(D10357,IMPORTRANGE(""https://docs.google.com/spreadsheets/d/14Bd19lYaqBhU8_DElYkX7l4wRkHqqCUFNJY4AfY3kHU/edit?usp=sharing  #gid=0"",""фіз особи new!relations_name""),6,FALSE)
,
(IF
(
C10357=""юридична особа""
,
VLOO"&amp;"KUP(D10357,IMPORTRANGE(""https://docs.google.com/spreadsheets/d/14Bd19lYaqBhU8_DElYkX7l4wRkHqqCUFNJY4AfY3kHU/edit?usp=sharing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10356" s="7" t="s">
        <v>10</v>
      </c>
      <c r="H10356" s="7">
        <v>2545</v>
      </c>
      <c r="I10356" s="8" t="str">
        <f ca="1">IFERROR(__xludf.DUMMYFUNCTION("IF
(
G10357=""фізична особа""
,
VLOOKUP(H10357,IMPORTRANGE(""https://docs.google.com/spreadsheets/d/14Bd19lYaqBhU8_DElYkX7l4wRkHqqCUFNJY4AfY3kHU/edit?usp=sharing  #gid=0"",""фіз особи new!relations_name""),6,FALSE)
,
(IF
(
G10357=""юридична особа""
,
VLOO"&amp;"KUP(H10357,IMPORTRANGE(""https://docs.google.com/spreadsheets/d/14Bd19lYaqBhU8_DElYkX7l4wRkHqqCUFNJY4AfY3kHU/edit?usp=sharing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10356" s="7" t="s">
        <v>17</v>
      </c>
    </row>
    <row r="10357" spans="1:10" ht="13.2">
      <c r="A10357" s="7">
        <v>10356</v>
      </c>
      <c r="B10357" s="7">
        <v>1</v>
      </c>
      <c r="C10357" s="7" t="s">
        <v>10</v>
      </c>
      <c r="D10357" s="7">
        <v>15562</v>
      </c>
      <c r="E10357" s="7" t="s">
        <v>21</v>
      </c>
      <c r="F10357" s="8" t="str">
        <f ca="1">IFERROR(__xludf.DUMMYFUNCTION("IF
(
C10358=""фізична особа""
,
VLOOKUP(D10358,IMPORTRANGE(""https://docs.google.com/spreadsheets/d/14Bd19lYaqBhU8_DElYkX7l4wRkHqqCUFNJY4AfY3kHU/edit?usp=sharing  #gid=0"",""фіз особи new!relations_name""),6,FALSE)
,
(IF
(
C10358=""юридична особа""
,
VLOO"&amp;"KUP(D10358,IMPORTRANGE(""https://docs.google.com/spreadsheets/d/14Bd19lYaqBhU8_DElYkX7l4wRkHqqCUFNJY4AfY3kHU/edit?usp=sharing  #gid=0"",""фіз особи new!relations_name_uo""),7,FALSE)
,
)
))"),"ВОРОБЙОВА / ШКАРУПА Людмила Іванівна")</f>
        <v>ВОРОБЙОВА / ШКАРУПА Людмила Іванівна</v>
      </c>
      <c r="G10357" s="7" t="s">
        <v>10</v>
      </c>
      <c r="H10357" s="7">
        <v>8652</v>
      </c>
      <c r="I10357" s="8" t="str">
        <f ca="1">IFERROR(__xludf.DUMMYFUNCTION("IF
(
G10358=""фізична особа""
,
VLOOKUP(H10358,IMPORTRANGE(""https://docs.google.com/spreadsheets/d/14Bd19lYaqBhU8_DElYkX7l4wRkHqqCUFNJY4AfY3kHU/edit?usp=sharing  #gid=0"",""фіз особи new!relations_name""),6,FALSE)
,
(IF
(
G10358=""юридична особа""
,
VLOO"&amp;"KUP(H10358,IMPORTRANGE(""https://docs.google.com/spreadsheets/d/14Bd19lYaqBhU8_DElYkX7l4wRkHqqCUFNJY4AfY3kHU/edit?usp=sharing  #gid=0"",""фіз особи new!relations_name_uo""),7,FALSE)
,
)
))"),"ВОРОБЙОВ Максим Юрійович")</f>
        <v>ВОРОБЙОВ Максим Юрійович</v>
      </c>
      <c r="J10357" s="7" t="s">
        <v>17</v>
      </c>
    </row>
    <row r="10358" spans="1:10" ht="13.2">
      <c r="A10358" s="7">
        <v>10357</v>
      </c>
      <c r="B10358" s="7">
        <v>1</v>
      </c>
      <c r="C10358" s="7" t="s">
        <v>10</v>
      </c>
      <c r="D10358" s="7">
        <v>15563</v>
      </c>
      <c r="E10358" s="7" t="s">
        <v>17</v>
      </c>
      <c r="F10358" s="8" t="str">
        <f ca="1">IFERROR(__xludf.DUMMYFUNCTION("IF
(
C10359=""фізична особа""
,
VLOOKUP(D10359,IMPORTRANGE(""https://docs.google.com/spreadsheets/d/14Bd19lYaqBhU8_DElYkX7l4wRkHqqCUFNJY4AfY3kHU/edit?usp=sharing  #gid=0"",""фіз особи new!relations_name""),6,FALSE)
,
(IF
(
C10359=""юридична особа""
,
VLOO"&amp;"KUP(D10359,IMPORTRANGE(""https://docs.google.com/spreadsheets/d/14Bd19lYaqBhU8_DElYkX7l4wRkHqqCUFNJY4AfY3kHU/edit?usp=sharing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G10358" s="7" t="s">
        <v>10</v>
      </c>
      <c r="H10358" s="7">
        <v>2559</v>
      </c>
      <c r="I10358" s="8" t="str">
        <f ca="1">IFERROR(__xludf.DUMMYFUNCTION("IF
(
G10359=""фізична особа""
,
VLOOKUP(H10359,IMPORTRANGE(""https://docs.google.com/spreadsheets/d/14Bd19lYaqBhU8_DElYkX7l4wRkHqqCUFNJY4AfY3kHU/edit?usp=sharing  #gid=0"",""фіз особи new!relations_name""),6,FALSE)
,
(IF
(
G10359=""юридична особа""
,
VLOO"&amp;"KUP(H10359,IMPORTRANGE(""https://docs.google.com/spreadsheets/d/14Bd19lYaqBhU8_DElYkX7l4wRkHqqCUFNJY4AfY3kHU/edit?usp=sharing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J10358" s="7" t="s">
        <v>12</v>
      </c>
    </row>
    <row r="10359" spans="1:10" ht="13.2">
      <c r="A10359" s="7">
        <v>10358</v>
      </c>
      <c r="B10359" s="7">
        <v>1</v>
      </c>
      <c r="C10359" s="7" t="s">
        <v>10</v>
      </c>
      <c r="D10359" s="7">
        <v>15563</v>
      </c>
      <c r="E10359" s="7" t="s">
        <v>17</v>
      </c>
      <c r="F10359" s="8" t="str">
        <f ca="1">IFERROR(__xludf.DUMMYFUNCTION("IF
(
C10360=""фізична особа""
,
VLOOKUP(D10360,IMPORTRANGE(""https://docs.google.com/spreadsheets/d/14Bd19lYaqBhU8_DElYkX7l4wRkHqqCUFNJY4AfY3kHU/edit?usp=sharing  #gid=0"",""фіз особи new!relations_name""),6,FALSE)
,
(IF
(
C10360=""юридична особа""
,
VLOO"&amp;"KUP(D10360,IMPORTRANGE(""https://docs.google.com/spreadsheets/d/14Bd19lYaqBhU8_DElYkX7l4wRkHqqCUFNJY4AfY3kHU/edit?usp=sharing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G10359" s="7" t="s">
        <v>10</v>
      </c>
      <c r="H10359" s="7">
        <v>23513</v>
      </c>
      <c r="I10359" s="8" t="str">
        <f ca="1">IFERROR(__xludf.DUMMYFUNCTION("IF
(
G10360=""фізична особа""
,
VLOOKUP(H10360,IMPORTRANGE(""https://docs.google.com/spreadsheets/d/14Bd19lYaqBhU8_DElYkX7l4wRkHqqCUFNJY4AfY3kHU/edit?usp=sharing  #gid=0"",""фіз особи new!relations_name""),6,FALSE)
,
(IF
(
G10360=""юридична особа""
,
VLOO"&amp;"KUP(H10360,IMPORTRANGE(""https://docs.google.com/spreadsheets/d/14Bd19lYaqBhU8_DElYkX7l4wRkHqqCUFNJY4AfY3kHU/edit?usp=sharing  #gid=0"",""фіз особи new!relations_name_uo""),7,FALSE)
,
)
))"),"ЛИМАРЕНКО Марина Анатоліївна")</f>
        <v>ЛИМАРЕНКО Марина Анатоліївна</v>
      </c>
      <c r="J10359" s="7" t="s">
        <v>21</v>
      </c>
    </row>
    <row r="10360" spans="1:10" ht="13.2">
      <c r="A10360" s="7">
        <v>10359</v>
      </c>
      <c r="B10360" s="7">
        <v>1</v>
      </c>
      <c r="C10360" s="7" t="s">
        <v>10</v>
      </c>
      <c r="D10360" s="7">
        <v>15563</v>
      </c>
      <c r="E10360" s="7" t="s">
        <v>14</v>
      </c>
      <c r="F10360" s="8" t="str">
        <f ca="1">IFERROR(__xludf.DUMMYFUNCTION("IF
(
C10361=""фізична особа""
,
VLOOKUP(D10361,IMPORTRANGE(""https://docs.google.com/spreadsheets/d/14Bd19lYaqBhU8_DElYkX7l4wRkHqqCUFNJY4AfY3kHU/edit?usp=sharing  #gid=0"",""фіз особи new!relations_name""),6,FALSE)
,
(IF
(
C10361=""юридична особа""
,
VLOO"&amp;"KUP(D10361,IMPORTRANGE(""https://docs.google.com/spreadsheets/d/14Bd19lYaqBhU8_DElYkX7l4wRkHqqCUFNJY4AfY3kHU/edit?usp=sharing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G10360" s="7" t="s">
        <v>10</v>
      </c>
      <c r="H10360" s="7">
        <v>15564</v>
      </c>
      <c r="I10360" s="8" t="str">
        <f ca="1">IFERROR(__xludf.DUMMYFUNCTION("IF
(
G10361=""фізична особа""
,
VLOOKUP(H10361,IMPORTRANGE(""https://docs.google.com/spreadsheets/d/14Bd19lYaqBhU8_DElYkX7l4wRkHqqCUFNJY4AfY3kHU/edit?usp=sharing  #gid=0"",""фіз особи new!relations_name""),6,FALSE)
,
(IF
(
G10361=""юридична особа""
,
VLOO"&amp;"KUP(H10361,IMPORTRANGE(""https://docs.google.com/spreadsheets/d/14Bd19lYaqBhU8_DElYkX7l4wRkHqqCUFNJY4AfY3kHU/edit?usp=sharing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J10360" s="7" t="s">
        <v>15</v>
      </c>
    </row>
    <row r="10361" spans="1:10" ht="13.2">
      <c r="A10361" s="7">
        <v>10360</v>
      </c>
      <c r="B10361" s="7">
        <v>1</v>
      </c>
      <c r="C10361" s="7" t="s">
        <v>10</v>
      </c>
      <c r="D10361" s="7">
        <v>15563</v>
      </c>
      <c r="E10361" s="7" t="s">
        <v>26</v>
      </c>
      <c r="F10361" s="8" t="str">
        <f ca="1">IFERROR(__xludf.DUMMYFUNCTION("IF
(
C10362=""фізична особа""
,
VLOOKUP(D10362,IMPORTRANGE(""https://docs.google.com/spreadsheets/d/14Bd19lYaqBhU8_DElYkX7l4wRkHqqCUFNJY4AfY3kHU/edit?usp=sharing  #gid=0"",""фіз особи new!relations_name""),6,FALSE)
,
(IF
(
C10362=""юридична особа""
,
VLOO"&amp;"KUP(D10362,IMPORTRANGE(""https://docs.google.com/spreadsheets/d/14Bd19lYaqBhU8_DElYkX7l4wRkHqqCUFNJY4AfY3kHU/edit?usp=sharing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G10361" s="7" t="s">
        <v>10</v>
      </c>
      <c r="H10361" s="7">
        <v>15565</v>
      </c>
      <c r="I10361" s="8" t="str">
        <f ca="1">IFERROR(__xludf.DUMMYFUNCTION("IF
(
G10362=""фізична особа""
,
VLOOKUP(H10362,IMPORTRANGE(""https://docs.google.com/spreadsheets/d/14Bd19lYaqBhU8_DElYkX7l4wRkHqqCUFNJY4AfY3kHU/edit?usp=sharing  #gid=0"",""фіз особи new!relations_name""),6,FALSE)
,
(IF
(
G10362=""юридична особа""
,
VLOO"&amp;"KUP(H10362,IMPORTRANGE(""https://docs.google.com/spreadsheets/d/14Bd19lYaqBhU8_DElYkX7l4wRkHqqCUFNJY4AfY3kHU/edit?usp=sharing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J10361" s="7" t="s">
        <v>67</v>
      </c>
    </row>
    <row r="10362" spans="1:10" ht="13.2">
      <c r="A10362" s="7">
        <v>10361</v>
      </c>
      <c r="B10362" s="7">
        <v>1</v>
      </c>
      <c r="C10362" s="7" t="s">
        <v>10</v>
      </c>
      <c r="D10362" s="7">
        <v>15564</v>
      </c>
      <c r="E10362" s="7" t="s">
        <v>25</v>
      </c>
      <c r="F10362" s="8" t="str">
        <f ca="1">IFERROR(__xludf.DUMMYFUNCTION("IF
(
C10363=""фізична особа""
,
VLOOKUP(D10363,IMPORTRANGE(""https://docs.google.com/spreadsheets/d/14Bd19lYaqBhU8_DElYkX7l4wRkHqqCUFNJY4AfY3kHU/edit?usp=sharing  #gid=0"",""фіз особи new!relations_name""),6,FALSE)
,
(IF
(
C10363=""юридична особа""
,
VLOO"&amp;"KUP(D10363,IMPORTRANGE(""https://docs.google.com/spreadsheets/d/14Bd19lYaqBhU8_DElYkX7l4wRkHqqCUFNJY4AfY3kHU/edit?usp=sharing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G10362" s="7" t="s">
        <v>10</v>
      </c>
      <c r="H10362" s="7">
        <v>2559</v>
      </c>
      <c r="I10362" s="8" t="str">
        <f ca="1">IFERROR(__xludf.DUMMYFUNCTION("IF
(
G10363=""фізична особа""
,
VLOOKUP(H10363,IMPORTRANGE(""https://docs.google.com/spreadsheets/d/14Bd19lYaqBhU8_DElYkX7l4wRkHqqCUFNJY4AfY3kHU/edit?usp=sharing  #gid=0"",""фіз особи new!relations_name""),6,FALSE)
,
(IF
(
G10363=""юридична особа""
,
VLOO"&amp;"KUP(H10363,IMPORTRANGE(""https://docs.google.com/spreadsheets/d/14Bd19lYaqBhU8_DElYkX7l4wRkHqqCUFNJY4AfY3kHU/edit?usp=sharing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J10362" s="7" t="s">
        <v>34</v>
      </c>
    </row>
    <row r="10363" spans="1:10" ht="13.2">
      <c r="A10363" s="7">
        <v>10362</v>
      </c>
      <c r="B10363" s="7">
        <v>1</v>
      </c>
      <c r="C10363" s="7" t="s">
        <v>10</v>
      </c>
      <c r="D10363" s="7">
        <v>15564</v>
      </c>
      <c r="E10363" s="7" t="s">
        <v>25</v>
      </c>
      <c r="F10363" s="8" t="str">
        <f ca="1">IFERROR(__xludf.DUMMYFUNCTION("IF
(
C10364=""фізична особа""
,
VLOOKUP(D10364,IMPORTRANGE(""https://docs.google.com/spreadsheets/d/14Bd19lYaqBhU8_DElYkX7l4wRkHqqCUFNJY4AfY3kHU/edit?usp=sharing  #gid=0"",""фіз особи new!relations_name""),6,FALSE)
,
(IF
(
C10364=""юридична особа""
,
VLOO"&amp;"KUP(D10364,IMPORTRANGE(""https://docs.google.com/spreadsheets/d/14Bd19lYaqBhU8_DElYkX7l4wRkHqqCUFNJY4AfY3kHU/edit?usp=sharing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G10363" s="7" t="s">
        <v>10</v>
      </c>
      <c r="H10363" s="7">
        <v>23513</v>
      </c>
      <c r="I10363" s="8" t="str">
        <f ca="1">IFERROR(__xludf.DUMMYFUNCTION("IF
(
G10364=""фізична особа""
,
VLOOKUP(H10364,IMPORTRANGE(""https://docs.google.com/spreadsheets/d/14Bd19lYaqBhU8_DElYkX7l4wRkHqqCUFNJY4AfY3kHU/edit?usp=sharing  #gid=0"",""фіз особи new!relations_name""),6,FALSE)
,
(IF
(
G10364=""юридична особа""
,
VLOO"&amp;"KUP(H10364,IMPORTRANGE(""https://docs.google.com/spreadsheets/d/14Bd19lYaqBhU8_DElYkX7l4wRkHqqCUFNJY4AfY3kHU/edit?usp=sharing  #gid=0"",""фіз особи new!relations_name_uo""),7,FALSE)
,
)
))"),"ЛИМАРЕНКО Марина Анатоліївна")</f>
        <v>ЛИМАРЕНКО Марина Анатоліївна</v>
      </c>
      <c r="J10363" s="7" t="s">
        <v>58</v>
      </c>
    </row>
    <row r="10364" spans="1:10" ht="13.2">
      <c r="A10364" s="7">
        <v>10363</v>
      </c>
      <c r="B10364" s="7">
        <v>1</v>
      </c>
      <c r="C10364" s="7" t="s">
        <v>10</v>
      </c>
      <c r="D10364" s="7">
        <v>15564</v>
      </c>
      <c r="E10364" s="7" t="s">
        <v>15</v>
      </c>
      <c r="F10364" s="8" t="str">
        <f ca="1">IFERROR(__xludf.DUMMYFUNCTION("IF
(
C10365=""фізична особа""
,
VLOOKUP(D10365,IMPORTRANGE(""https://docs.google.com/spreadsheets/d/14Bd19lYaqBhU8_DElYkX7l4wRkHqqCUFNJY4AfY3kHU/edit?usp=sharing  #gid=0"",""фіз особи new!relations_name""),6,FALSE)
,
(IF
(
C10365=""юридична особа""
,
VLOO"&amp;"KUP(D10365,IMPORTRANGE(""https://docs.google.com/spreadsheets/d/14Bd19lYaqBhU8_DElYkX7l4wRkHqqCUFNJY4AfY3kHU/edit?usp=sharing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G10364" s="7" t="s">
        <v>10</v>
      </c>
      <c r="H10364" s="7">
        <v>15563</v>
      </c>
      <c r="I10364" s="8" t="str">
        <f ca="1">IFERROR(__xludf.DUMMYFUNCTION("IF
(
G10365=""фізична особа""
,
VLOOKUP(H10365,IMPORTRANGE(""https://docs.google.com/spreadsheets/d/14Bd19lYaqBhU8_DElYkX7l4wRkHqqCUFNJY4AfY3kHU/edit?usp=sharing  #gid=0"",""фіз особи new!relations_name""),6,FALSE)
,
(IF
(
G10365=""юридична особа""
,
VLOO"&amp;"KUP(H10365,IMPORTRANGE(""https://docs.google.com/spreadsheets/d/14Bd19lYaqBhU8_DElYkX7l4wRkHqqCUFNJY4AfY3kHU/edit?usp=sharing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J10364" s="7" t="s">
        <v>14</v>
      </c>
    </row>
    <row r="10365" spans="1:10" ht="13.2">
      <c r="A10365" s="7">
        <v>10364</v>
      </c>
      <c r="B10365" s="7">
        <v>1</v>
      </c>
      <c r="C10365" s="7" t="s">
        <v>10</v>
      </c>
      <c r="D10365" s="7">
        <v>15564</v>
      </c>
      <c r="E10365" s="7" t="s">
        <v>31</v>
      </c>
      <c r="F10365" s="8" t="str">
        <f ca="1">IFERROR(__xludf.DUMMYFUNCTION("IF
(
C10366=""фізична особа""
,
VLOOKUP(D10366,IMPORTRANGE(""https://docs.google.com/spreadsheets/d/14Bd19lYaqBhU8_DElYkX7l4wRkHqqCUFNJY4AfY3kHU/edit?usp=sharing  #gid=0"",""фіз особи new!relations_name""),6,FALSE)
,
(IF
(
C10366=""юридична особа""
,
VLOO"&amp;"KUP(D10366,IMPORTRANGE(""https://docs.google.com/spreadsheets/d/14Bd19lYaqBhU8_DElYkX7l4wRkHqqCUFNJY4AfY3kHU/edit?usp=sharing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G10365" s="7" t="s">
        <v>10</v>
      </c>
      <c r="H10365" s="7">
        <v>15565</v>
      </c>
      <c r="I10365" s="8" t="str">
        <f ca="1">IFERROR(__xludf.DUMMYFUNCTION("IF
(
G10366=""фізична особа""
,
VLOOKUP(H10366,IMPORTRANGE(""https://docs.google.com/spreadsheets/d/14Bd19lYaqBhU8_DElYkX7l4wRkHqqCUFNJY4AfY3kHU/edit?usp=sharing  #gid=0"",""фіз особи new!relations_name""),6,FALSE)
,
(IF
(
G10366=""юридична особа""
,
VLOO"&amp;"KUP(H10366,IMPORTRANGE(""https://docs.google.com/spreadsheets/d/14Bd19lYaqBhU8_DElYkX7l4wRkHqqCUFNJY4AfY3kHU/edit?usp=sharing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J10365" s="7" t="s">
        <v>31</v>
      </c>
    </row>
    <row r="10366" spans="1:10" ht="13.2">
      <c r="A10366" s="7">
        <v>10365</v>
      </c>
      <c r="B10366" s="7">
        <v>1</v>
      </c>
      <c r="C10366" s="7" t="s">
        <v>10</v>
      </c>
      <c r="D10366" s="7">
        <v>15565</v>
      </c>
      <c r="E10366" s="7" t="s">
        <v>65</v>
      </c>
      <c r="F10366" s="8" t="str">
        <f ca="1">IFERROR(__xludf.DUMMYFUNCTION("IF
(
C10367=""фізична особа""
,
VLOOKUP(D10367,IMPORTRANGE(""https://docs.google.com/spreadsheets/d/14Bd19lYaqBhU8_DElYkX7l4wRkHqqCUFNJY4AfY3kHU/edit?usp=sharing  #gid=0"",""фіз особи new!relations_name""),6,FALSE)
,
(IF
(
C10367=""юридична особа""
,
VLOO"&amp;"KUP(D10367,IMPORTRANGE(""https://docs.google.com/spreadsheets/d/14Bd19lYaqBhU8_DElYkX7l4wRkHqqCUFNJY4AfY3kHU/edit?usp=sharing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G10366" s="7" t="s">
        <v>10</v>
      </c>
      <c r="H10366" s="7">
        <v>2559</v>
      </c>
      <c r="I10366" s="8" t="str">
        <f ca="1">IFERROR(__xludf.DUMMYFUNCTION("IF
(
G10367=""фізична особа""
,
VLOOKUP(H10367,IMPORTRANGE(""https://docs.google.com/spreadsheets/d/14Bd19lYaqBhU8_DElYkX7l4wRkHqqCUFNJY4AfY3kHU/edit?usp=sharing  #gid=0"",""фіз особи new!relations_name""),6,FALSE)
,
(IF
(
G10367=""юридична особа""
,
VLOO"&amp;"KUP(H10367,IMPORTRANGE(""https://docs.google.com/spreadsheets/d/14Bd19lYaqBhU8_DElYkX7l4wRkHqqCUFNJY4AfY3kHU/edit?usp=sharing  #gid=0"",""фіз особи new!relations_name_uo""),7,FALSE)
,
)
))"),"ЛІМАРЕНКО Валерій Ігорович")</f>
        <v>ЛІМАРЕНКО Валерій Ігорович</v>
      </c>
      <c r="J10366" s="7" t="s">
        <v>65</v>
      </c>
    </row>
    <row r="10367" spans="1:10" ht="13.2">
      <c r="A10367" s="7">
        <v>10366</v>
      </c>
      <c r="B10367" s="7">
        <v>1</v>
      </c>
      <c r="C10367" s="7" t="s">
        <v>10</v>
      </c>
      <c r="D10367" s="7">
        <v>15565</v>
      </c>
      <c r="E10367" s="7" t="s">
        <v>65</v>
      </c>
      <c r="F10367" s="8" t="str">
        <f ca="1">IFERROR(__xludf.DUMMYFUNCTION("IF
(
C10368=""фізична особа""
,
VLOOKUP(D10368,IMPORTRANGE(""https://docs.google.com/spreadsheets/d/14Bd19lYaqBhU8_DElYkX7l4wRkHqqCUFNJY4AfY3kHU/edit?usp=sharing  #gid=0"",""фіз особи new!relations_name""),6,FALSE)
,
(IF
(
C10368=""юридична особа""
,
VLOO"&amp;"KUP(D10368,IMPORTRANGE(""https://docs.google.com/spreadsheets/d/14Bd19lYaqBhU8_DElYkX7l4wRkHqqCUFNJY4AfY3kHU/edit?usp=sharing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G10367" s="7" t="s">
        <v>10</v>
      </c>
      <c r="H10367" s="7">
        <v>23513</v>
      </c>
      <c r="I10367" s="8" t="str">
        <f ca="1">IFERROR(__xludf.DUMMYFUNCTION("IF
(
G10368=""фізична особа""
,
VLOOKUP(H10368,IMPORTRANGE(""https://docs.google.com/spreadsheets/d/14Bd19lYaqBhU8_DElYkX7l4wRkHqqCUFNJY4AfY3kHU/edit?usp=sharing  #gid=0"",""фіз особи new!relations_name""),6,FALSE)
,
(IF
(
G10368=""юридична особа""
,
VLOO"&amp;"KUP(H10368,IMPORTRANGE(""https://docs.google.com/spreadsheets/d/14Bd19lYaqBhU8_DElYkX7l4wRkHqqCUFNJY4AfY3kHU/edit?usp=sharing  #gid=0"",""фіз особи new!relations_name_uo""),7,FALSE)
,
)
))"),"ЛИМАРЕНКО Марина Анатоліївна")</f>
        <v>ЛИМАРЕНКО Марина Анатоліївна</v>
      </c>
      <c r="J10367" s="7" t="s">
        <v>65</v>
      </c>
    </row>
    <row r="10368" spans="1:10" ht="13.2">
      <c r="A10368" s="7">
        <v>10367</v>
      </c>
      <c r="B10368" s="7">
        <v>1</v>
      </c>
      <c r="C10368" s="7" t="s">
        <v>10</v>
      </c>
      <c r="D10368" s="7">
        <v>15565</v>
      </c>
      <c r="E10368" s="7" t="s">
        <v>67</v>
      </c>
      <c r="F10368" s="8" t="str">
        <f ca="1">IFERROR(__xludf.DUMMYFUNCTION("IF
(
C10369=""фізична особа""
,
VLOOKUP(D10369,IMPORTRANGE(""https://docs.google.com/spreadsheets/d/14Bd19lYaqBhU8_DElYkX7l4wRkHqqCUFNJY4AfY3kHU/edit?usp=sharing  #gid=0"",""фіз особи new!relations_name""),6,FALSE)
,
(IF
(
C10369=""юридична особа""
,
VLOO"&amp;"KUP(D10369,IMPORTRANGE(""https://docs.google.com/spreadsheets/d/14Bd19lYaqBhU8_DElYkX7l4wRkHqqCUFNJY4AfY3kHU/edit?usp=sharing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G10368" s="7" t="s">
        <v>10</v>
      </c>
      <c r="H10368" s="7">
        <v>15563</v>
      </c>
      <c r="I10368" s="8" t="str">
        <f ca="1">IFERROR(__xludf.DUMMYFUNCTION("IF
(
G10369=""фізична особа""
,
VLOOKUP(H10369,IMPORTRANGE(""https://docs.google.com/spreadsheets/d/14Bd19lYaqBhU8_DElYkX7l4wRkHqqCUFNJY4AfY3kHU/edit?usp=sharing  #gid=0"",""фіз особи new!relations_name""),6,FALSE)
,
(IF
(
G10369=""юридична особа""
,
VLOO"&amp;"KUP(H10369,IMPORTRANGE(""https://docs.google.com/spreadsheets/d/14Bd19lYaqBhU8_DElYkX7l4wRkHqqCUFNJY4AfY3kHU/edit?usp=sharing  #gid=0"",""фіз особи new!relations_name_uo""),7,FALSE)
,
)
))"),"ЛИМАРЕНКО Ігор Валерійович")</f>
        <v>ЛИМАРЕНКО Ігор Валерійович</v>
      </c>
      <c r="J10368" s="7" t="s">
        <v>26</v>
      </c>
    </row>
    <row r="10369" spans="1:10" ht="13.2">
      <c r="A10369" s="7">
        <v>10368</v>
      </c>
      <c r="B10369" s="7">
        <v>1</v>
      </c>
      <c r="C10369" s="7" t="s">
        <v>10</v>
      </c>
      <c r="D10369" s="7">
        <v>15565</v>
      </c>
      <c r="E10369" s="7" t="s">
        <v>31</v>
      </c>
      <c r="F10369" s="8" t="str">
        <f ca="1">IFERROR(__xludf.DUMMYFUNCTION("IF
(
C10370=""фізична особа""
,
VLOOKUP(D10370,IMPORTRANGE(""https://docs.google.com/spreadsheets/d/14Bd19lYaqBhU8_DElYkX7l4wRkHqqCUFNJY4AfY3kHU/edit?usp=sharing  #gid=0"",""фіз особи new!relations_name""),6,FALSE)
,
(IF
(
C10370=""юридична особа""
,
VLOO"&amp;"KUP(D10370,IMPORTRANGE(""https://docs.google.com/spreadsheets/d/14Bd19lYaqBhU8_DElYkX7l4wRkHqqCUFNJY4AfY3kHU/edit?usp=sharing  #gid=0"",""фіз особи new!relations_name_uo""),7,FALSE)
,
)
))"),"ЛЕОНТЬЄВА / КОВАЛЬОВА Катерина Вячеславівна")</f>
        <v>ЛЕОНТЬЄВА / КОВАЛЬОВА Катерина Вячеславівна</v>
      </c>
      <c r="G10369" s="7" t="s">
        <v>10</v>
      </c>
      <c r="H10369" s="7">
        <v>15564</v>
      </c>
      <c r="I10369" s="8" t="str">
        <f ca="1">IFERROR(__xludf.DUMMYFUNCTION("IF
(
G10370=""фізична особа""
,
VLOOKUP(H10370,IMPORTRANGE(""https://docs.google.com/spreadsheets/d/14Bd19lYaqBhU8_DElYkX7l4wRkHqqCUFNJY4AfY3kHU/edit?usp=sharing  #gid=0"",""фіз особи new!relations_name""),6,FALSE)
,
(IF
(
G10370=""юридична особа""
,
VLOO"&amp;"KUP(H10370,IMPORTRANGE(""https://docs.google.com/spreadsheets/d/14Bd19lYaqBhU8_DElYkX7l4wRkHqqCUFNJY4AfY3kHU/edit?usp=sharing  #gid=0"",""фіз особи new!relations_name_uo""),7,FALSE)
,
)
))"),"ЛИМАРЕНКО / КОВАЛЕНКО Олена Вячеславівна")</f>
        <v>ЛИМАРЕНКО / КОВАЛЕНКО Олена Вячеславівна</v>
      </c>
      <c r="J10369" s="7" t="s">
        <v>31</v>
      </c>
    </row>
    <row r="10370" spans="1:10" ht="13.2">
      <c r="A10370" s="7">
        <v>10369</v>
      </c>
      <c r="B10370" s="7">
        <v>1</v>
      </c>
      <c r="C10370" s="7" t="s">
        <v>10</v>
      </c>
      <c r="D10370" s="7">
        <v>15566</v>
      </c>
      <c r="E10370" s="7" t="s">
        <v>15</v>
      </c>
      <c r="F10370" s="8" t="str">
        <f ca="1">IFERROR(__xludf.DUMMYFUNCTION("IF
(
C10371=""фізична особа""
,
VLOOKUP(D10371,IMPORTRANGE(""https://docs.google.com/spreadsheets/d/14Bd19lYaqBhU8_DElYkX7l4wRkHqqCUFNJY4AfY3kHU/edit?usp=sharing  #gid=0"",""фіз особи new!relations_name""),6,FALSE)
,
(IF
(
C10371=""юридична особа""
,
VLOO"&amp;"KUP(D10371,IMPORTRANGE(""https://docs.google.com/spreadsheets/d/14Bd19lYaqBhU8_DElYkX7l4wRkHqqCUFNJY4AfY3kHU/edit?usp=sharing  #gid=0"",""фіз особи new!relations_name_uo""),7,FALSE)
,
)
))"),"КУЙВАШЕВА Наталія Сергіївна")</f>
        <v>КУЙВАШЕВА Наталія Сергіївна</v>
      </c>
      <c r="G10370" s="7" t="s">
        <v>10</v>
      </c>
      <c r="H10370" s="7">
        <v>2560</v>
      </c>
      <c r="I10370" s="8" t="str">
        <f ca="1">IFERROR(__xludf.DUMMYFUNCTION("IF
(
G10371=""фізична особа""
,
VLOOKUP(H10371,IMPORTRANGE(""https://docs.google.com/spreadsheets/d/14Bd19lYaqBhU8_DElYkX7l4wRkHqqCUFNJY4AfY3kHU/edit?usp=sharing  #gid=0"",""фіз особи new!relations_name""),6,FALSE)
,
(IF
(
G10371=""юридична особа""
,
VLOO"&amp;"KUP(H10371,IMPORTRANGE(""https://docs.google.com/spreadsheets/d/14Bd19lYaqBhU8_DElYkX7l4wRkHqqCUFNJY4AfY3kHU/edit?usp=sharing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J10370" s="7" t="s">
        <v>14</v>
      </c>
    </row>
    <row r="10371" spans="1:10" ht="13.2">
      <c r="A10371" s="7">
        <v>10370</v>
      </c>
      <c r="B10371" s="7">
        <v>1</v>
      </c>
      <c r="C10371" s="7" t="s">
        <v>10</v>
      </c>
      <c r="D10371" s="7">
        <v>15567</v>
      </c>
      <c r="E10371" s="7" t="s">
        <v>17</v>
      </c>
      <c r="F10371" s="8" t="str">
        <f ca="1">IFERROR(__xludf.DUMMYFUNCTION("IF
(
C10372=""фізична особа""
,
VLOOKUP(D10372,IMPORTRANGE(""https://docs.google.com/spreadsheets/d/14Bd19lYaqBhU8_DElYkX7l4wRkHqqCUFNJY4AfY3kHU/edit?usp=sharing  #gid=0"",""фіз особи new!relations_name""),6,FALSE)
,
(IF
(
C10372=""юридична особа""
,
VLOO"&amp;"KUP(D10372,IMPORTRANGE(""https://docs.google.com/spreadsheets/d/14Bd19lYaqBhU8_DElYkX7l4wRkHqqCUFNJY4AfY3kHU/edit?usp=sharing  #gid=0"",""фіз особи new!relations_name_uo""),7,FALSE)
,
)
))"),"ПАСЛЕР Михайло Денисович")</f>
        <v>ПАСЛЕР Михайло Денисович</v>
      </c>
      <c r="G10371" s="7" t="s">
        <v>10</v>
      </c>
      <c r="H10371" s="7">
        <v>2551</v>
      </c>
      <c r="I10371" s="8" t="str">
        <f ca="1">IFERROR(__xludf.DUMMYFUNCTION("IF
(
G10372=""фізична особа""
,
VLOOKUP(H10372,IMPORTRANGE(""https://docs.google.com/spreadsheets/d/14Bd19lYaqBhU8_DElYkX7l4wRkHqqCUFNJY4AfY3kHU/edit?usp=sharing  #gid=0"",""фіз особи new!relations_name""),6,FALSE)
,
(IF
(
G10372=""юридична особа""
,
VLOO"&amp;"KUP(H10372,IMPORTRANGE(""https://docs.google.com/spreadsheets/d/14Bd19lYaqBhU8_DElYkX7l4wRkHqqCUFNJY4AfY3kHU/edit?usp=sharing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J10371" s="7" t="s">
        <v>12</v>
      </c>
    </row>
    <row r="10372" spans="1:10" ht="13.2">
      <c r="A10372" s="7">
        <v>10371</v>
      </c>
      <c r="B10372" s="7">
        <v>1</v>
      </c>
      <c r="C10372" s="7" t="s">
        <v>10</v>
      </c>
      <c r="D10372" s="7">
        <v>15567</v>
      </c>
      <c r="E10372" s="7" t="s">
        <v>17</v>
      </c>
      <c r="F10372" s="8" t="str">
        <f ca="1">IFERROR(__xludf.DUMMYFUNCTION("IF
(
C10373=""фізична особа""
,
VLOOKUP(D10373,IMPORTRANGE(""https://docs.google.com/spreadsheets/d/14Bd19lYaqBhU8_DElYkX7l4wRkHqqCUFNJY4AfY3kHU/edit?usp=sharing  #gid=0"",""фіз особи new!relations_name""),6,FALSE)
,
(IF
(
C10373=""юридична особа""
,
VLOO"&amp;"KUP(D10373,IMPORTRANGE(""https://docs.google.com/spreadsheets/d/14Bd19lYaqBhU8_DElYkX7l4wRkHqqCUFNJY4AfY3kHU/edit?usp=sharing  #gid=0"",""фіз особи new!relations_name_uo""),7,FALSE)
,
)
))"),"ПАСЛЕР Михайло Денисович")</f>
        <v>ПАСЛЕР Михайло Денисович</v>
      </c>
      <c r="G10372" s="7" t="s">
        <v>10</v>
      </c>
      <c r="H10372" s="7">
        <v>0</v>
      </c>
      <c r="I10372" s="8" t="str">
        <f ca="1">IFERROR(__xludf.DUMMYFUNCTION("IF
(
G10373=""фізична особа""
,
VLOOKUP(H10373,IMPORTRANGE(""https://docs.google.com/spreadsheets/d/14Bd19lYaqBhU8_DElYkX7l4wRkHqqCUFNJY4AfY3kHU/edit?usp=sharing  #gid=0"",""фіз особи new!relations_name""),6,FALSE)
,
(IF
(
G10373=""юридична особа""
,
VLOO"&amp;"KUP(H10373,IMPORTRANGE(""https://docs.google.com/spreadsheets/d/14Bd19lYaqBhU8_DElYkX7l4wRkHqqCUFNJY4AfY3kHU/edit?usp=sharing  #gid=0"",""фіз особи new!relations_name_uo""),7,FALSE)
,
)
))"),"#N/A")</f>
        <v>#N/A</v>
      </c>
      <c r="J10372" s="7" t="s">
        <v>21</v>
      </c>
    </row>
    <row r="10373" spans="1:10" ht="13.2">
      <c r="A10373" s="7">
        <v>10372</v>
      </c>
      <c r="B10373" s="7">
        <v>1</v>
      </c>
      <c r="C10373" s="7" t="s">
        <v>10</v>
      </c>
      <c r="D10373" s="7">
        <v>15567</v>
      </c>
      <c r="E10373" s="7" t="s">
        <v>18</v>
      </c>
      <c r="F10373" s="8" t="str">
        <f ca="1">IFERROR(__xludf.DUMMYFUNCTION("IF
(
C10374=""фізична особа""
,
VLOOKUP(D10374,IMPORTRANGE(""https://docs.google.com/spreadsheets/d/14Bd19lYaqBhU8_DElYkX7l4wRkHqqCUFNJY4AfY3kHU/edit?usp=sharing  #gid=0"",""фіз особи new!relations_name""),6,FALSE)
,
(IF
(
C10374=""юридична особа""
,
VLOO"&amp;"KUP(D10374,IMPORTRANGE(""https://docs.google.com/spreadsheets/d/14Bd19lYaqBhU8_DElYkX7l4wRkHqqCUFNJY4AfY3kHU/edit?usp=sharing  #gid=0"",""фіз особи new!relations_name_uo""),7,FALSE)
,
)
))"),"ПАСЛЕР Михайло Денисович")</f>
        <v>ПАСЛЕР Михайло Денисович</v>
      </c>
      <c r="G10373" s="7" t="s">
        <v>10</v>
      </c>
      <c r="H10373" s="7">
        <v>23507</v>
      </c>
      <c r="I10373" s="8" t="str">
        <f ca="1">IFERROR(__xludf.DUMMYFUNCTION("IF
(
G10374=""фізична особа""
,
VLOOKUP(H10374,IMPORTRANGE(""https://docs.google.com/spreadsheets/d/14Bd19lYaqBhU8_DElYkX7l4wRkHqqCUFNJY4AfY3kHU/edit?usp=sharing  #gid=0"",""фіз особи new!relations_name""),6,FALSE)
,
(IF
(
G10374=""юридична особа""
,
VLOO"&amp;"KUP(H10374,IMPORTRANGE(""https://docs.google.com/spreadsheets/d/14Bd19lYaqBhU8_DElYkX7l4wRkHqqCUFNJY4AfY3kHU/edit?usp=sharing  #gid=0"",""фіз особи new!relations_name_uo""),7,FALSE)
,
)
))"),"ПАСЛЕР Єлизавета Денисівна")</f>
        <v>ПАСЛЕР Єлизавета Денисівна</v>
      </c>
      <c r="J10373" s="7" t="s">
        <v>31</v>
      </c>
    </row>
    <row r="10374" spans="1:10" ht="13.2">
      <c r="A10374" s="7">
        <v>10373</v>
      </c>
      <c r="B10374" s="7">
        <v>1</v>
      </c>
      <c r="C10374" s="7" t="s">
        <v>10</v>
      </c>
      <c r="D10374" s="7">
        <v>15567</v>
      </c>
      <c r="E10374" s="7" t="s">
        <v>18</v>
      </c>
      <c r="F10374" s="8" t="str">
        <f ca="1">IFERROR(__xludf.DUMMYFUNCTION("IF
(
C10375=""фізична особа""
,
VLOOKUP(D10375,IMPORTRANGE(""https://docs.google.com/spreadsheets/d/14Bd19lYaqBhU8_DElYkX7l4wRkHqqCUFNJY4AfY3kHU/edit?usp=sharing  #gid=0"",""фіз особи new!relations_name""),6,FALSE)
,
(IF
(
C10375=""юридична особа""
,
VLOO"&amp;"KUP(D10375,IMPORTRANGE(""https://docs.google.com/spreadsheets/d/14Bd19lYaqBhU8_DElYkX7l4wRkHqqCUFNJY4AfY3kHU/edit?usp=sharing  #gid=0"",""фіз особи new!relations_name_uo""),7,FALSE)
,
)
))"),"ПАСЛЕР Михайло Денисович")</f>
        <v>ПАСЛЕР Михайло Денисович</v>
      </c>
      <c r="G10374" s="7" t="s">
        <v>10</v>
      </c>
      <c r="H10374" s="7">
        <v>23508</v>
      </c>
      <c r="I10374" s="8" t="str">
        <f ca="1">IFERROR(__xludf.DUMMYFUNCTION("IF
(
G10375=""фізична особа""
,
VLOOKUP(H10375,IMPORTRANGE(""https://docs.google.com/spreadsheets/d/14Bd19lYaqBhU8_DElYkX7l4wRkHqqCUFNJY4AfY3kHU/edit?usp=sharing  #gid=0"",""фіз особи new!relations_name""),6,FALSE)
,
(IF
(
G10375=""юридична особа""
,
VLOO"&amp;"KUP(H10375,IMPORTRANGE(""https://docs.google.com/spreadsheets/d/14Bd19lYaqBhU8_DElYkX7l4wRkHqqCUFNJY4AfY3kHU/edit?usp=sharing  #gid=0"",""фіз особи new!relations_name_uo""),7,FALSE)
,
)
))"),"ПАСЛЕР Денис Денисович")</f>
        <v>ПАСЛЕР Денис Денисович</v>
      </c>
      <c r="J10374" s="7" t="s">
        <v>18</v>
      </c>
    </row>
    <row r="10375" spans="1:10" ht="13.2">
      <c r="A10375" s="7">
        <v>10374</v>
      </c>
      <c r="B10375" s="7">
        <v>1</v>
      </c>
      <c r="C10375" s="7" t="s">
        <v>10</v>
      </c>
      <c r="D10375" s="7">
        <v>15568</v>
      </c>
      <c r="E10375" s="7" t="s">
        <v>15</v>
      </c>
      <c r="F10375" s="8" t="str">
        <f ca="1">IFERROR(__xludf.DUMMYFUNCTION("IF
(
C10376=""фізична особа""
,
VLOOKUP(D10376,IMPORTRANGE(""https://docs.google.com/spreadsheets/d/14Bd19lYaqBhU8_DElYkX7l4wRkHqqCUFNJY4AfY3kHU/edit?usp=sharing  #gid=0"",""фіз особи new!relations_name""),6,FALSE)
,
(IF
(
C10376=""юридична особа""
,
VLOO"&amp;"KUP(D10376,IMPORTRANGE(""https://docs.google.com/spreadsheets/d/14Bd19lYaqBhU8_DElYkX7l4wRkHqqCUFNJY4AfY3kHU/edit?usp=sharing  #gid=0"",""фіз особи new!relations_name_uo""),7,FALSE)
,
)
))"),"ГЕРЦ / ЄНОТОВА Олена Марківна")</f>
        <v>ГЕРЦ / ЄНОТОВА Олена Марківна</v>
      </c>
      <c r="G10375" s="7" t="s">
        <v>10</v>
      </c>
      <c r="H10375" s="7">
        <v>2551</v>
      </c>
      <c r="I10375" s="8" t="str">
        <f ca="1">IFERROR(__xludf.DUMMYFUNCTION("IF
(
G10376=""фізична особа""
,
VLOOKUP(H10376,IMPORTRANGE(""https://docs.google.com/spreadsheets/d/14Bd19lYaqBhU8_DElYkX7l4wRkHqqCUFNJY4AfY3kHU/edit?usp=sharing  #gid=0"",""фіз особи new!relations_name""),6,FALSE)
,
(IF
(
G10376=""юридична особа""
,
VLOO"&amp;"KUP(H10376,IMPORTRANGE(""https://docs.google.com/spreadsheets/d/14Bd19lYaqBhU8_DElYkX7l4wRkHqqCUFNJY4AfY3kHU/edit?usp=sharing  #gid=0"",""фіз особи new!relations_name_uo""),7,FALSE)
,
)
))"),"ПАСЛЕР Денис Володимирович")</f>
        <v>ПАСЛЕР Денис Володимирович</v>
      </c>
      <c r="J10375" s="7" t="s">
        <v>14</v>
      </c>
    </row>
    <row r="10376" spans="1:10" ht="13.2">
      <c r="A10376" s="7">
        <v>10375</v>
      </c>
      <c r="B10376" s="7">
        <v>1</v>
      </c>
      <c r="C10376" s="7" t="s">
        <v>10</v>
      </c>
      <c r="D10376" s="7">
        <v>15568</v>
      </c>
      <c r="E10376" s="7" t="s">
        <v>21</v>
      </c>
      <c r="F10376" s="8" t="str">
        <f ca="1">IFERROR(__xludf.DUMMYFUNCTION("IF
(
C10377=""фізична особа""
,
VLOOKUP(D10377,IMPORTRANGE(""https://docs.google.com/spreadsheets/d/14Bd19lYaqBhU8_DElYkX7l4wRkHqqCUFNJY4AfY3kHU/edit?usp=sharing  #gid=0"",""фіз особи new!relations_name""),6,FALSE)
,
(IF
(
C10377=""юридична особа""
,
VLOO"&amp;"KUP(D10377,IMPORTRANGE(""https://docs.google.com/spreadsheets/d/14Bd19lYaqBhU8_DElYkX7l4wRkHqqCUFNJY4AfY3kHU/edit?usp=sharing  #gid=0"",""фіз особи new!relations_name_uo""),7,FALSE)
,
)
))"),"ГЕРЦ / ЄНОТОВА Олена Марківна")</f>
        <v>ГЕРЦ / ЄНОТОВА Олена Марківна</v>
      </c>
      <c r="G10376" s="7" t="s">
        <v>10</v>
      </c>
      <c r="H10376" s="7">
        <v>23507</v>
      </c>
      <c r="I10376" s="8" t="str">
        <f ca="1">IFERROR(__xludf.DUMMYFUNCTION("IF
(
G10377=""фізична особа""
,
VLOOKUP(H10377,IMPORTRANGE(""https://docs.google.com/spreadsheets/d/14Bd19lYaqBhU8_DElYkX7l4wRkHqqCUFNJY4AfY3kHU/edit?usp=sharing  #gid=0"",""фіз особи new!relations_name""),6,FALSE)
,
(IF
(
G10377=""юридична особа""
,
VLOO"&amp;"KUP(H10377,IMPORTRANGE(""https://docs.google.com/spreadsheets/d/14Bd19lYaqBhU8_DElYkX7l4wRkHqqCUFNJY4AfY3kHU/edit?usp=sharing  #gid=0"",""фіз особи new!relations_name_uo""),7,FALSE)
,
)
))"),"ПАСЛЕР Єлизавета Денисівна")</f>
        <v>ПАСЛЕР Єлизавета Денисівна</v>
      </c>
      <c r="J10376" s="7" t="s">
        <v>13</v>
      </c>
    </row>
    <row r="10377" spans="1:10" ht="13.2">
      <c r="A10377" s="7">
        <v>10376</v>
      </c>
      <c r="B10377" s="7">
        <v>1</v>
      </c>
      <c r="C10377" s="7" t="s">
        <v>10</v>
      </c>
      <c r="D10377" s="7">
        <v>15569</v>
      </c>
      <c r="E10377" s="7" t="s">
        <v>20</v>
      </c>
      <c r="F10377" s="8" t="str">
        <f ca="1">IFERROR(__xludf.DUMMYFUNCTION("IF
(
C10378=""фізична особа""
,
VLOOKUP(D10378,IMPORTRANGE(""https://docs.google.com/spreadsheets/d/14Bd19lYaqBhU8_DElYkX7l4wRkHqqCUFNJY4AfY3kHU/edit?usp=sharing  #gid=0"",""фіз особи new!relations_name""),6,FALSE)
,
(IF
(
C10378=""юридична особа""
,
VLOO"&amp;"KUP(D10378,IMPORTRANGE(""https://docs.google.com/spreadsheets/d/14Bd19lYaqBhU8_DElYkX7l4wRkHqqCUFNJY4AfY3kHU/edit?usp=sharing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G10377" s="7" t="s">
        <v>10</v>
      </c>
      <c r="H10377" s="7">
        <v>2555</v>
      </c>
      <c r="I10377" s="8" t="str">
        <f ca="1">IFERROR(__xludf.DUMMYFUNCTION("IF
(
G10378=""фізична особа""
,
VLOOKUP(H10378,IMPORTRANGE(""https://docs.google.com/spreadsheets/d/14Bd19lYaqBhU8_DElYkX7l4wRkHqqCUFNJY4AfY3kHU/edit?usp=sharing  #gid=0"",""фіз особи new!relations_name""),6,FALSE)
,
(IF
(
G10378=""юридична особа""
,
VLOO"&amp;"KUP(H10378,IMPORTRANGE(""https://docs.google.com/spreadsheets/d/14Bd19lYaqBhU8_DElYkX7l4wRkHqqCUFNJY4AfY3kHU/edit?usp=sharing  #gid=0"",""фіз особи new!relations_name_uo""),7,FALSE)
,
)
))"),"ГОЛУБЄВ Василь Юрійович")</f>
        <v>ГОЛУБЄВ Василь Юрійович</v>
      </c>
      <c r="J10377" s="7" t="s">
        <v>19</v>
      </c>
    </row>
    <row r="10378" spans="1:10" ht="13.2">
      <c r="A10378" s="7">
        <v>10377</v>
      </c>
      <c r="B10378" s="7">
        <v>1</v>
      </c>
      <c r="C10378" s="7" t="s">
        <v>10</v>
      </c>
      <c r="D10378" s="7">
        <v>15569</v>
      </c>
      <c r="E10378" s="7" t="s">
        <v>20</v>
      </c>
      <c r="F10378" s="8" t="str">
        <f ca="1">IFERROR(__xludf.DUMMYFUNCTION("IF
(
C10379=""фізична особа""
,
VLOOKUP(D10379,IMPORTRANGE(""https://docs.google.com/spreadsheets/d/14Bd19lYaqBhU8_DElYkX7l4wRkHqqCUFNJY4AfY3kHU/edit?usp=sharing  #gid=0"",""фіз особи new!relations_name""),6,FALSE)
,
(IF
(
C10379=""юридична особа""
,
VLOO"&amp;"KUP(D10379,IMPORTRANGE(""https://docs.google.com/spreadsheets/d/14Bd19lYaqBhU8_DElYkX7l4wRkHqqCUFNJY4AfY3kHU/edit?usp=sharing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G10378" s="7" t="s">
        <v>10</v>
      </c>
      <c r="H10378" s="7">
        <v>4889</v>
      </c>
      <c r="I10378" s="8" t="str">
        <f ca="1">IFERROR(__xludf.DUMMYFUNCTION("IF
(
G10379=""фізична особа""
,
VLOOKUP(H10379,IMPORTRANGE(""https://docs.google.com/spreadsheets/d/14Bd19lYaqBhU8_DElYkX7l4wRkHqqCUFNJY4AfY3kHU/edit?usp=sharing  #gid=0"",""фіз особи new!relations_name""),6,FALSE)
,
(IF
(
G10379=""юридична особа""
,
VLOO"&amp;"KUP(H10379,IMPORTRANGE(""https://docs.google.com/spreadsheets/d/14Bd19lYaqBhU8_DElYkX7l4wRkHqqCUFNJY4AfY3kHU/edit?usp=sharing  #gid=0"",""фіз особи new!relations_name_uo""),7,FALSE)
,
)
))"),"ГОЛУБЄВА Ольга Іванівна")</f>
        <v>ГОЛУБЄВА Ольга Іванівна</v>
      </c>
      <c r="J10378" s="7" t="s">
        <v>45</v>
      </c>
    </row>
    <row r="10379" spans="1:10" ht="13.2">
      <c r="A10379" s="7">
        <v>10378</v>
      </c>
      <c r="B10379" s="7">
        <v>1</v>
      </c>
      <c r="C10379" s="7" t="s">
        <v>10</v>
      </c>
      <c r="D10379" s="7">
        <v>15569</v>
      </c>
      <c r="E10379" s="7" t="s">
        <v>14</v>
      </c>
      <c r="F10379" s="8" t="str">
        <f ca="1">IFERROR(__xludf.DUMMYFUNCTION("IF
(
C10380=""фізична особа""
,
VLOOKUP(D10380,IMPORTRANGE(""https://docs.google.com/spreadsheets/d/14Bd19lYaqBhU8_DElYkX7l4wRkHqqCUFNJY4AfY3kHU/edit?usp=sharing  #gid=0"",""фіз особи new!relations_name""),6,FALSE)
,
(IF
(
C10380=""юридична особа""
,
VLOO"&amp;"KUP(D10380,IMPORTRANGE(""https://docs.google.com/spreadsheets/d/14Bd19lYaqBhU8_DElYkX7l4wRkHqqCUFNJY4AfY3kHU/edit?usp=sharing  #gid=0"",""фіз особи new!relations_name_uo""),7,FALSE)
,
)
))"),"ГОЛУБЄВ Максим Вікторович")</f>
        <v>ГОЛУБЄВ Максим Вікторович</v>
      </c>
      <c r="G10379" s="7" t="s">
        <v>10</v>
      </c>
      <c r="H10379" s="7">
        <v>0</v>
      </c>
      <c r="I10379" s="8" t="str">
        <f ca="1">IFERROR(__xludf.DUMMYFUNCTION("IF
(
G10380=""фізична особа""
,
VLOOKUP(H10380,IMPORTRANGE(""https://docs.google.com/spreadsheets/d/14Bd19lYaqBhU8_DElYkX7l4wRkHqqCUFNJY4AfY3kHU/edit?usp=sharing  #gid=0"",""фіз особи new!relations_name""),6,FALSE)
,
(IF
(
G10380=""юридична особа""
,
VLOO"&amp;"KUP(H10380,IMPORTRANGE(""https://docs.google.com/spreadsheets/d/14Bd19lYaqBhU8_DElYkX7l4wRkHqqCUFNJY4AfY3kHU/edit?usp=sharing  #gid=0"",""фіз особи new!relations_name_uo""),7,FALSE)
,
)
))"),"#N/A")</f>
        <v>#N/A</v>
      </c>
      <c r="J10379" s="7" t="s">
        <v>15</v>
      </c>
    </row>
    <row r="10380" spans="1:10" ht="13.2">
      <c r="A10380" s="7">
        <v>10379</v>
      </c>
      <c r="B10380" s="7">
        <v>1</v>
      </c>
      <c r="C10380" s="7" t="s">
        <v>10</v>
      </c>
      <c r="D10380" s="7">
        <v>15570</v>
      </c>
      <c r="E10380" s="7" t="s">
        <v>19</v>
      </c>
      <c r="F10380" s="8" t="str">
        <f ca="1">IFERROR(__xludf.DUMMYFUNCTION("IF
(
C10381=""фізична особа""
,
VLOOKUP(D10381,IMPORTRANGE(""https://docs.google.com/spreadsheets/d/14Bd19lYaqBhU8_DElYkX7l4wRkHqqCUFNJY4AfY3kHU/edit?usp=sharing  #gid=0"",""фіз особи new!relations_name""),6,FALSE)
,
(IF
(
C10381=""юридична особа""
,
VLOO"&amp;"KUP(D10381,IMPORTRANGE(""https://docs.google.com/spreadsheets/d/14Bd19lYaqBhU8_DElYkX7l4wRkHqqCUFNJY4AfY3kHU/edit?usp=sharing  #gid=0"",""фіз особи new!relations_name_uo""),7,FALSE)
,
)
))"),"ВОРОБЙОВ Сергій Леонідович")</f>
        <v>ВОРОБЙОВ Сергій Леонідович</v>
      </c>
      <c r="G10380" s="7" t="s">
        <v>10</v>
      </c>
      <c r="H10380" s="7">
        <v>2545</v>
      </c>
      <c r="I10380" s="8" t="str">
        <f ca="1">IFERROR(__xludf.DUMMYFUNCTION("IF
(
G10381=""фізична особа""
,
VLOOKUP(H10381,IMPORTRANGE(""https://docs.google.com/spreadsheets/d/14Bd19lYaqBhU8_DElYkX7l4wRkHqqCUFNJY4AfY3kHU/edit?usp=sharing  #gid=0"",""фіз особи new!relations_name""),6,FALSE)
,
(IF
(
G10381=""юридична особа""
,
VLOO"&amp;"KUP(H10381,IMPORTRANGE(""https://docs.google.com/spreadsheets/d/14Bd19lYaqBhU8_DElYkX7l4wRkHqqCUFNJY4AfY3kHU/edit?usp=sharing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10380" s="7" t="s">
        <v>20</v>
      </c>
    </row>
    <row r="10381" spans="1:10" ht="13.2">
      <c r="A10381" s="7">
        <v>10380</v>
      </c>
      <c r="B10381" s="7">
        <v>1</v>
      </c>
      <c r="C10381" s="7" t="s">
        <v>10</v>
      </c>
      <c r="D10381" s="7">
        <v>15570</v>
      </c>
      <c r="E10381" s="7" t="s">
        <v>18</v>
      </c>
      <c r="F10381" s="8" t="str">
        <f ca="1">IFERROR(__xludf.DUMMYFUNCTION("IF
(
C10382=""фізична особа""
,
VLOOKUP(D10382,IMPORTRANGE(""https://docs.google.com/spreadsheets/d/14Bd19lYaqBhU8_DElYkX7l4wRkHqqCUFNJY4AfY3kHU/edit?usp=sharing  #gid=0"",""фіз особи new!relations_name""),6,FALSE)
,
(IF
(
C10382=""юридична особа""
,
VLOO"&amp;"KUP(D10382,IMPORTRANGE(""https://docs.google.com/spreadsheets/d/14Bd19lYaqBhU8_DElYkX7l4wRkHqqCUFNJY4AfY3kHU/edit?usp=sharing  #gid=0"",""фіз особи new!relations_name_uo""),7,FALSE)
,
)
))"),"ВОРОБЙОВ Сергій Леонідович")</f>
        <v>ВОРОБЙОВ Сергій Леонідович</v>
      </c>
      <c r="G10381" s="7" t="s">
        <v>10</v>
      </c>
      <c r="H10381" s="7">
        <v>946</v>
      </c>
      <c r="I10381" s="8" t="str">
        <f ca="1">IFERROR(__xludf.DUMMYFUNCTION("IF
(
G10382=""фізична особа""
,
VLOOKUP(H10382,IMPORTRANGE(""https://docs.google.com/spreadsheets/d/14Bd19lYaqBhU8_DElYkX7l4wRkHqqCUFNJY4AfY3kHU/edit?usp=sharing  #gid=0"",""фіз особи new!relations_name""),6,FALSE)
,
(IF
(
G10382=""юридична особа""
,
VLOO"&amp;"KUP(H10382,IMPORTRANGE(""https://docs.google.com/spreadsheets/d/14Bd19lYaqBhU8_DElYkX7l4wRkHqqCUFNJY4AfY3kHU/edit?usp=sharing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10381" s="7" t="s">
        <v>18</v>
      </c>
    </row>
    <row r="10382" spans="1:10" ht="13.2">
      <c r="A10382" s="7">
        <v>10381</v>
      </c>
      <c r="B10382" s="7">
        <v>1</v>
      </c>
      <c r="C10382" s="7" t="s">
        <v>10</v>
      </c>
      <c r="D10382" s="7">
        <v>15571</v>
      </c>
      <c r="E10382" s="7" t="s">
        <v>44</v>
      </c>
      <c r="F10382" s="8" t="str">
        <f ca="1">IFERROR(__xludf.DUMMYFUNCTION("IF
(
C10383=""фізична особа""
,
VLOOKUP(D10383,IMPORTRANGE(""https://docs.google.com/spreadsheets/d/14Bd19lYaqBhU8_DElYkX7l4wRkHqqCUFNJY4AfY3kHU/edit?usp=sharing  #gid=0"",""фіз особи new!relations_name""),6,FALSE)
,
(IF
(
C10383=""юридична особа""
,
VLOO"&amp;"KUP(D10383,IMPORTRANGE(""https://docs.google.com/spreadsheets/d/14Bd19lYaqBhU8_DElYkX7l4wRkHqqCUFNJY4AfY3kHU/edit?usp=sharing  #gid=0"",""фіз особи new!relations_name_uo""),7,FALSE)
,
)
))"),"ВОРОБЙОВ / ОПЕТІ Дмитро Сергійович")</f>
        <v>ВОРОБЙОВ / ОПЕТІ Дмитро Сергійович</v>
      </c>
      <c r="G10382" s="7" t="s">
        <v>10</v>
      </c>
      <c r="H10382" s="7">
        <v>2545</v>
      </c>
      <c r="I10382" s="8" t="str">
        <f ca="1">IFERROR(__xludf.DUMMYFUNCTION("IF
(
G10383=""фізична особа""
,
VLOOKUP(H10383,IMPORTRANGE(""https://docs.google.com/spreadsheets/d/14Bd19lYaqBhU8_DElYkX7l4wRkHqqCUFNJY4AfY3kHU/edit?usp=sharing  #gid=0"",""фіз особи new!relations_name""),6,FALSE)
,
(IF
(
G10383=""юридична особа""
,
VLOO"&amp;"KUP(H10383,IMPORTRANGE(""https://docs.google.com/spreadsheets/d/14Bd19lYaqBhU8_DElYkX7l4wRkHqqCUFNJY4AfY3kHU/edit?usp=sharing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10382" s="7" t="s">
        <v>44</v>
      </c>
    </row>
    <row r="10383" spans="1:10" ht="13.2">
      <c r="A10383" s="7">
        <v>10382</v>
      </c>
      <c r="B10383" s="7">
        <v>1</v>
      </c>
      <c r="C10383" s="7" t="s">
        <v>10</v>
      </c>
      <c r="D10383" s="7">
        <v>15571</v>
      </c>
      <c r="E10383" s="7" t="s">
        <v>20</v>
      </c>
      <c r="F10383" s="8" t="str">
        <f ca="1">IFERROR(__xludf.DUMMYFUNCTION("IF
(
C10384=""фізична особа""
,
VLOOKUP(D10384,IMPORTRANGE(""https://docs.google.com/spreadsheets/d/14Bd19lYaqBhU8_DElYkX7l4wRkHqqCUFNJY4AfY3kHU/edit?usp=sharing  #gid=0"",""фіз особи new!relations_name""),6,FALSE)
,
(IF
(
C10384=""юридична особа""
,
VLOO"&amp;"KUP(D10384,IMPORTRANGE(""https://docs.google.com/spreadsheets/d/14Bd19lYaqBhU8_DElYkX7l4wRkHqqCUFNJY4AfY3kHU/edit?usp=sharing  #gid=0"",""фіз особи new!relations_name_uo""),7,FALSE)
,
)
))"),"ВОРОБЙОВ / ОПЕТІ Дмитро Сергійович")</f>
        <v>ВОРОБЙОВ / ОПЕТІ Дмитро Сергійович</v>
      </c>
      <c r="G10383" s="7" t="s">
        <v>10</v>
      </c>
      <c r="H10383" s="7">
        <v>946</v>
      </c>
      <c r="I10383" s="8" t="str">
        <f ca="1">IFERROR(__xludf.DUMMYFUNCTION("IF
(
G10384=""фізична особа""
,
VLOOKUP(H10384,IMPORTRANGE(""https://docs.google.com/spreadsheets/d/14Bd19lYaqBhU8_DElYkX7l4wRkHqqCUFNJY4AfY3kHU/edit?usp=sharing  #gid=0"",""фіз особи new!relations_name""),6,FALSE)
,
(IF
(
G10384=""юридична особа""
,
VLOO"&amp;"KUP(H10384,IMPORTRANGE(""https://docs.google.com/spreadsheets/d/14Bd19lYaqBhU8_DElYkX7l4wRkHqqCUFNJY4AfY3kHU/edit?usp=sharing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10383" s="7" t="s">
        <v>19</v>
      </c>
    </row>
    <row r="10384" spans="1:10" ht="13.2">
      <c r="A10384" s="7">
        <v>10383</v>
      </c>
      <c r="B10384" s="7">
        <v>1</v>
      </c>
      <c r="C10384" s="7" t="s">
        <v>10</v>
      </c>
      <c r="D10384" s="7">
        <v>15571</v>
      </c>
      <c r="E10384" s="7" t="s">
        <v>17</v>
      </c>
      <c r="F10384" s="8" t="str">
        <f ca="1">IFERROR(__xludf.DUMMYFUNCTION("IF
(
C10385=""фізична особа""
,
VLOOKUP(D10385,IMPORTRANGE(""https://docs.google.com/spreadsheets/d/14Bd19lYaqBhU8_DElYkX7l4wRkHqqCUFNJY4AfY3kHU/edit?usp=sharing  #gid=0"",""фіз особи new!relations_name""),6,FALSE)
,
(IF
(
C10385=""юридична особа""
,
VLOO"&amp;"KUP(D10385,IMPORTRANGE(""https://docs.google.com/spreadsheets/d/14Bd19lYaqBhU8_DElYkX7l4wRkHqqCUFNJY4AfY3kHU/edit?usp=sharing  #gid=0"",""фіз особи new!relations_name_uo""),7,FALSE)
,
)
))"),"ВОРОБЙОВ / ОПЕТІ Дмитро Сергійович")</f>
        <v>ВОРОБЙОВ / ОПЕТІ Дмитро Сергійович</v>
      </c>
      <c r="G10384" s="7" t="s">
        <v>10</v>
      </c>
      <c r="H10384" s="7">
        <v>15570</v>
      </c>
      <c r="I10384" s="8" t="str">
        <f ca="1">IFERROR(__xludf.DUMMYFUNCTION("IF
(
G10385=""фізична особа""
,
VLOOKUP(H10385,IMPORTRANGE(""https://docs.google.com/spreadsheets/d/14Bd19lYaqBhU8_DElYkX7l4wRkHqqCUFNJY4AfY3kHU/edit?usp=sharing  #gid=0"",""фіз особи new!relations_name""),6,FALSE)
,
(IF
(
G10385=""юридична особа""
,
VLOO"&amp;"KUP(H10385,IMPORTRANGE(""https://docs.google.com/spreadsheets/d/14Bd19lYaqBhU8_DElYkX7l4wRkHqqCUFNJY4AfY3kHU/edit?usp=sharing  #gid=0"",""фіз особи new!relations_name_uo""),7,FALSE)
,
)
))"),"ВОРОБЙОВ Сергій Леонідович")</f>
        <v>ВОРОБЙОВ Сергій Леонідович</v>
      </c>
      <c r="J10384" s="7" t="s">
        <v>12</v>
      </c>
    </row>
    <row r="10385" spans="1:10" ht="13.2">
      <c r="A10385" s="7">
        <v>10384</v>
      </c>
      <c r="B10385" s="7">
        <v>1</v>
      </c>
      <c r="C10385" s="7" t="s">
        <v>10</v>
      </c>
      <c r="D10385" s="7">
        <v>15572</v>
      </c>
      <c r="E10385" s="7" t="s">
        <v>15</v>
      </c>
      <c r="F10385" s="8" t="str">
        <f ca="1">IFERROR(__xludf.DUMMYFUNCTION("IF
(
C10386=""фізична особа""
,
VLOOKUP(D10386,IMPORTRANGE(""https://docs.google.com/spreadsheets/d/14Bd19lYaqBhU8_DElYkX7l4wRkHqqCUFNJY4AfY3kHU/edit?usp=sharing  #gid=0"",""фіз особи new!relations_name""),6,FALSE)
,
(IF
(
C10386=""юридична особа""
,
VLOO"&amp;"KUP(D10386,IMPORTRANGE(""https://docs.google.com/spreadsheets/d/14Bd19lYaqBhU8_DElYkX7l4wRkHqqCUFNJY4AfY3kHU/edit?usp=sharing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85" s="7" t="s">
        <v>10</v>
      </c>
      <c r="H10385" s="7">
        <v>23503</v>
      </c>
      <c r="I10385" s="8" t="str">
        <f ca="1">IFERROR(__xludf.DUMMYFUNCTION("IF
(
G10386=""фізична особа""
,
VLOOKUP(H10386,IMPORTRANGE(""https://docs.google.com/spreadsheets/d/14Bd19lYaqBhU8_DElYkX7l4wRkHqqCUFNJY4AfY3kHU/edit?usp=sharing  #gid=0"",""фіз особи new!relations_name""),6,FALSE)
,
(IF
(
G10386=""юридична особа""
,
VLOO"&amp;"KUP(H10386,IMPORTRANGE(""https://docs.google.com/spreadsheets/d/14Bd19lYaqBhU8_DElYkX7l4wRkHqqCUFNJY4AfY3kHU/edit?usp=sharing  #gid=0"",""фіз особи new!relations_name_uo""),7,FALSE)
,
)
))"),"ВОРОБЙОВ Артем Сергійович")</f>
        <v>ВОРОБЙОВ Артем Сергійович</v>
      </c>
      <c r="J10385" s="7" t="s">
        <v>14</v>
      </c>
    </row>
    <row r="10386" spans="1:10" ht="13.2">
      <c r="A10386" s="7">
        <v>10385</v>
      </c>
      <c r="B10386" s="7">
        <v>1</v>
      </c>
      <c r="C10386" s="7" t="s">
        <v>10</v>
      </c>
      <c r="D10386" s="7">
        <v>15572</v>
      </c>
      <c r="E10386" s="7" t="s">
        <v>25</v>
      </c>
      <c r="F10386" s="8" t="str">
        <f ca="1">IFERROR(__xludf.DUMMYFUNCTION("IF
(
C10387=""фізична особа""
,
VLOOKUP(D10387,IMPORTRANGE(""https://docs.google.com/spreadsheets/d/14Bd19lYaqBhU8_DElYkX7l4wRkHqqCUFNJY4AfY3kHU/edit?usp=sharing  #gid=0"",""фіз особи new!relations_name""),6,FALSE)
,
(IF
(
C10387=""юридична особа""
,
VLOO"&amp;"KUP(D10387,IMPORTRANGE(""https://docs.google.com/spreadsheets/d/14Bd19lYaqBhU8_DElYkX7l4wRkHqqCUFNJY4AfY3kHU/edit?usp=sharing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86" s="7" t="s">
        <v>10</v>
      </c>
      <c r="H10386" s="7">
        <v>15570</v>
      </c>
      <c r="I10386" s="8" t="str">
        <f ca="1">IFERROR(__xludf.DUMMYFUNCTION("IF
(
G10387=""фізична особа""
,
VLOOKUP(H10387,IMPORTRANGE(""https://docs.google.com/spreadsheets/d/14Bd19lYaqBhU8_DElYkX7l4wRkHqqCUFNJY4AfY3kHU/edit?usp=sharing  #gid=0"",""фіз особи new!relations_name""),6,FALSE)
,
(IF
(
G10387=""юридична особа""
,
VLOO"&amp;"KUP(H10387,IMPORTRANGE(""https://docs.google.com/spreadsheets/d/14Bd19lYaqBhU8_DElYkX7l4wRkHqqCUFNJY4AfY3kHU/edit?usp=sharing  #gid=0"",""фіз особи new!relations_name_uo""),7,FALSE)
,
)
))"),"ВОРОБЙОВ Сергій Леонідович")</f>
        <v>ВОРОБЙОВ Сергій Леонідович</v>
      </c>
      <c r="J10386" s="7" t="s">
        <v>34</v>
      </c>
    </row>
    <row r="10387" spans="1:10" ht="13.2">
      <c r="A10387" s="7">
        <v>10386</v>
      </c>
      <c r="B10387" s="7">
        <v>1</v>
      </c>
      <c r="C10387" s="7" t="s">
        <v>10</v>
      </c>
      <c r="D10387" s="7">
        <v>15572</v>
      </c>
      <c r="E10387" s="7" t="s">
        <v>65</v>
      </c>
      <c r="F10387" s="8" t="str">
        <f ca="1">IFERROR(__xludf.DUMMYFUNCTION("IF
(
C10388=""фізична особа""
,
VLOOKUP(D10388,IMPORTRANGE(""https://docs.google.com/spreadsheets/d/14Bd19lYaqBhU8_DElYkX7l4wRkHqqCUFNJY4AfY3kHU/edit?usp=sharing  #gid=0"",""фіз особи new!relations_name""),6,FALSE)
,
(IF
(
C10388=""юридична особа""
,
VLOO"&amp;"KUP(D10388,IMPORTRANGE(""https://docs.google.com/spreadsheets/d/14Bd19lYaqBhU8_DElYkX7l4wRkHqqCUFNJY4AfY3kHU/edit?usp=sharing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87" s="7" t="s">
        <v>10</v>
      </c>
      <c r="H10387" s="7">
        <v>2545</v>
      </c>
      <c r="I10387" s="8" t="str">
        <f ca="1">IFERROR(__xludf.DUMMYFUNCTION("IF
(
G10388=""фізична особа""
,
VLOOKUP(H10388,IMPORTRANGE(""https://docs.google.com/spreadsheets/d/14Bd19lYaqBhU8_DElYkX7l4wRkHqqCUFNJY4AfY3kHU/edit?usp=sharing  #gid=0"",""фіз особи new!relations_name""),6,FALSE)
,
(IF
(
G10388=""юридична особа""
,
VLOO"&amp;"KUP(H10388,IMPORTRANGE(""https://docs.google.com/spreadsheets/d/14Bd19lYaqBhU8_DElYkX7l4wRkHqqCUFNJY4AfY3kHU/edit?usp=sharing  #gid=0"",""фіз особи new!relations_name_uo""),7,FALSE)
,
)
))"),"ВОРОБЙОВ Андрій Юрійович")</f>
        <v>ВОРОБЙОВ Андрій Юрійович</v>
      </c>
      <c r="J10387" s="7" t="s">
        <v>65</v>
      </c>
    </row>
    <row r="10388" spans="1:10" ht="13.2">
      <c r="A10388" s="7">
        <v>10387</v>
      </c>
      <c r="B10388" s="7">
        <v>1</v>
      </c>
      <c r="C10388" s="7" t="s">
        <v>10</v>
      </c>
      <c r="D10388" s="7">
        <v>15572</v>
      </c>
      <c r="E10388" s="7" t="s">
        <v>65</v>
      </c>
      <c r="F10388" s="8" t="str">
        <f ca="1">IFERROR(__xludf.DUMMYFUNCTION("IF
(
C10389=""фізична особа""
,
VLOOKUP(D10389,IMPORTRANGE(""https://docs.google.com/spreadsheets/d/14Bd19lYaqBhU8_DElYkX7l4wRkHqqCUFNJY4AfY3kHU/edit?usp=sharing  #gid=0"",""фіз особи new!relations_name""),6,FALSE)
,
(IF
(
C10389=""юридична особа""
,
VLOO"&amp;"KUP(D10389,IMPORTRANGE(""https://docs.google.com/spreadsheets/d/14Bd19lYaqBhU8_DElYkX7l4wRkHqqCUFNJY4AfY3kHU/edit?usp=sharing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88" s="7" t="s">
        <v>10</v>
      </c>
      <c r="H10388" s="7">
        <v>946</v>
      </c>
      <c r="I10388" s="8" t="str">
        <f ca="1">IFERROR(__xludf.DUMMYFUNCTION("IF
(
G10389=""фізична особа""
,
VLOOKUP(H10389,IMPORTRANGE(""https://docs.google.com/spreadsheets/d/14Bd19lYaqBhU8_DElYkX7l4wRkHqqCUFNJY4AfY3kHU/edit?usp=sharing  #gid=0"",""фіз особи new!relations_name""),6,FALSE)
,
(IF
(
G10389=""юридична особа""
,
VLOO"&amp;"KUP(H10389,IMPORTRANGE(""https://docs.google.com/spreadsheets/d/14Bd19lYaqBhU8_DElYkX7l4wRkHqqCUFNJY4AfY3kHU/edit?usp=sharing  #gid=0"",""фіз особи new!relations_name_uo""),7,FALSE)
,
)
))"),"ВОРОБЙОВ Юрій Леонідович")</f>
        <v>ВОРОБЙОВ Юрій Леонідович</v>
      </c>
      <c r="J10388" s="7" t="s">
        <v>65</v>
      </c>
    </row>
    <row r="10389" spans="1:10" ht="13.2">
      <c r="A10389" s="7">
        <v>10388</v>
      </c>
      <c r="B10389" s="7">
        <v>1</v>
      </c>
      <c r="C10389" s="7" t="s">
        <v>10</v>
      </c>
      <c r="D10389" s="7">
        <v>15572</v>
      </c>
      <c r="E10389" s="7" t="s">
        <v>25</v>
      </c>
      <c r="F10389" s="8" t="str">
        <f ca="1">IFERROR(__xludf.DUMMYFUNCTION("IF
(
C10390=""фізична особа""
,
VLOOKUP(D10390,IMPORTRANGE(""https://docs.google.com/spreadsheets/d/14Bd19lYaqBhU8_DElYkX7l4wRkHqqCUFNJY4AfY3kHU/edit?usp=sharing  #gid=0"",""фіз особи new!relations_name""),6,FALSE)
,
(IF
(
C10390=""юридична особа""
,
VLOO"&amp;"KUP(D10390,IMPORTRANGE(""https://docs.google.com/spreadsheets/d/14Bd19lYaqBhU8_DElYkX7l4wRkHqqCUFNJY4AfY3kHU/edit?usp=sharing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89" s="7" t="s">
        <v>10</v>
      </c>
      <c r="H10389" s="7">
        <v>23504</v>
      </c>
      <c r="I10389" s="8" t="str">
        <f ca="1">IFERROR(__xludf.DUMMYFUNCTION("IF
(
G10390=""фізична особа""
,
VLOOKUP(H10390,IMPORTRANGE(""https://docs.google.com/spreadsheets/d/14Bd19lYaqBhU8_DElYkX7l4wRkHqqCUFNJY4AfY3kHU/edit?usp=sharing  #gid=0"",""фіз особи new!relations_name""),6,FALSE)
,
(IF
(
G10390=""юридична особа""
,
VLOO"&amp;"KUP(H10390,IMPORTRANGE(""https://docs.google.com/spreadsheets/d/14Bd19lYaqBhU8_DElYkX7l4wRkHqqCUFNJY4AfY3kHU/edit?usp=sharing  #gid=0"",""фіз особи new!relations_name_uo""),7,FALSE)
,
)
))"),"ВОРОБЙОВА Світлана")</f>
        <v>ВОРОБЙОВА Світлана</v>
      </c>
      <c r="J10389" s="7" t="s">
        <v>58</v>
      </c>
    </row>
    <row r="10390" spans="1:10" ht="13.2">
      <c r="A10390" s="7">
        <v>10389</v>
      </c>
      <c r="B10390" s="7">
        <v>1</v>
      </c>
      <c r="C10390" s="7" t="s">
        <v>10</v>
      </c>
      <c r="D10390" s="7">
        <v>15572</v>
      </c>
      <c r="E10390" s="7" t="s">
        <v>25</v>
      </c>
      <c r="F10390" s="8" t="str">
        <f ca="1">IFERROR(__xludf.DUMMYFUNCTION("IF
(
C10391=""фізична особа""
,
VLOOKUP(D10391,IMPORTRANGE(""https://docs.google.com/spreadsheets/d/14Bd19lYaqBhU8_DElYkX7l4wRkHqqCUFNJY4AfY3kHU/edit?usp=sharing  #gid=0"",""фіз особи new!relations_name""),6,FALSE)
,
(IF
(
C10391=""юридична особа""
,
VLOO"&amp;"KUP(D10391,IMPORTRANGE(""https://docs.google.com/spreadsheets/d/14Bd19lYaqBhU8_DElYkX7l4wRkHqqCUFNJY4AfY3kHU/edit?usp=sharing  #gid=0"",""фіз особи new!relations_name_uo""),7,FALSE)
,
)
))"),"ВОРОБЙОВА / АБІ-ХАЙДАР Мірей Іссамівна")</f>
        <v>ВОРОБЙОВА / АБІ-ХАЙДАР Мірей Іссамівна</v>
      </c>
      <c r="G10390" s="7" t="s">
        <v>10</v>
      </c>
      <c r="H10390" s="7">
        <v>15571</v>
      </c>
      <c r="I10390" s="8" t="str">
        <f ca="1">IFERROR(__xludf.DUMMYFUNCTION("IF
(
G10391=""фізична особа""
,
VLOOKUP(H10391,IMPORTRANGE(""https://docs.google.com/spreadsheets/d/14Bd19lYaqBhU8_DElYkX7l4wRkHqqCUFNJY4AfY3kHU/edit?usp=sharing  #gid=0"",""фіз особи new!relations_name""),6,FALSE)
,
(IF
(
G10391=""юридична особа""
,
VLOO"&amp;"KUP(H10391,IMPORTRANGE(""https://docs.google.com/spreadsheets/d/14Bd19lYaqBhU8_DElYkX7l4wRkHqqCUFNJY4AfY3kHU/edit?usp=sharing  #gid=0"",""фіз особи new!relations_name_uo""),7,FALSE)
,
)
))"),"ВОРОБЙОВ / ОПЕТІ Дмитро Сергійович")</f>
        <v>ВОРОБЙОВ / ОПЕТІ Дмитро Сергійович</v>
      </c>
      <c r="J10390" s="7" t="s">
        <v>73</v>
      </c>
    </row>
    <row r="10391" spans="1:10" ht="13.2">
      <c r="A10391" s="7">
        <v>10390</v>
      </c>
      <c r="B10391" s="7">
        <v>1</v>
      </c>
      <c r="C10391" s="7" t="s">
        <v>10</v>
      </c>
      <c r="D10391" s="7">
        <v>15573</v>
      </c>
      <c r="E10391" s="7" t="s">
        <v>24</v>
      </c>
      <c r="F10391" s="8" t="str">
        <f ca="1">IFERROR(__xludf.DUMMYFUNCTION("IF
(
C10392=""фізична особа""
,
VLOOKUP(D10392,IMPORTRANGE(""https://docs.google.com/spreadsheets/d/14Bd19lYaqBhU8_DElYkX7l4wRkHqqCUFNJY4AfY3kHU/edit?usp=sharing  #gid=0"",""фіз особи new!relations_name""),6,FALSE)
,
(IF
(
C10392=""юридична особа""
,
VLOO"&amp;"KUP(D10392,IMPORTRANGE(""https://docs.google.com/spreadsheets/d/14Bd19lYaqBhU8_DElYkX7l4wRkHqqCUFNJY4AfY3kHU/edit?usp=sharing  #gid=0"",""фіз особи new!relations_name_uo""),7,FALSE)
,
)
))"),"АБРАМОВ Вячеслав Володимирович")</f>
        <v>АБРАМОВ Вячеслав Володимирович</v>
      </c>
      <c r="G10391" s="7" t="s">
        <v>10</v>
      </c>
      <c r="H10391" s="7">
        <v>2535</v>
      </c>
      <c r="I10391" s="8" t="str">
        <f ca="1">IFERROR(__xludf.DUMMYFUNCTION("IF
(
G10392=""фізична особа""
,
VLOOKUP(H10392,IMPORTRANGE(""https://docs.google.com/spreadsheets/d/14Bd19lYaqBhU8_DElYkX7l4wRkHqqCUFNJY4AfY3kHU/edit?usp=sharing  #gid=0"",""фіз особи new!relations_name""),6,FALSE)
,
(IF
(
G10392=""юридична особа""
,
VLOO"&amp;"KUP(H10392,IMPORTRANGE(""https://docs.google.com/spreadsheets/d/14Bd19lYaqBhU8_DElYkX7l4wRkHqqCUFNJY4AfY3kHU/edit?usp=sharing  #gid=0"",""фіз особи new!relations_name_uo""),7,FALSE)
,
)
))"),"АЛІХАНОВ Антон Андрійович")</f>
        <v>АЛІХАНОВ Антон Андрійович</v>
      </c>
      <c r="J10391" s="7" t="s">
        <v>26</v>
      </c>
    </row>
    <row r="10392" spans="1:10" ht="13.2">
      <c r="A10392" s="7">
        <v>10391</v>
      </c>
      <c r="B10392" s="7">
        <v>1</v>
      </c>
      <c r="C10392" s="7" t="s">
        <v>10</v>
      </c>
      <c r="D10392" s="7">
        <v>15574</v>
      </c>
      <c r="E10392" s="7" t="s">
        <v>15</v>
      </c>
      <c r="F10392" s="8" t="str">
        <f ca="1">IFERROR(__xludf.DUMMYFUNCTION("IF
(
C10393=""фізична особа""
,
VLOOKUP(D10393,IMPORTRANGE(""https://docs.google.com/spreadsheets/d/14Bd19lYaqBhU8_DElYkX7l4wRkHqqCUFNJY4AfY3kHU/edit?usp=sharing  #gid=0"",""фіз особи new!relations_name""),6,FALSE)
,
(IF
(
C10393=""юридична особа""
,
VLOO"&amp;"KUP(D10393,IMPORTRANGE(""https://docs.google.com/spreadsheets/d/14Bd19lYaqBhU8_DElYkX7l4wRkHqqCUFNJY4AfY3kHU/edit?usp=sharing  #gid=0"",""фіз особи new!relations_name_uo""),7,FALSE)
,
)
))"),"ЧЕКУНКОВА Ольга Валентинівна")</f>
        <v>ЧЕКУНКОВА Ольга Валентинівна</v>
      </c>
      <c r="G10392" s="7" t="s">
        <v>10</v>
      </c>
      <c r="H10392" s="7">
        <v>2395</v>
      </c>
      <c r="I10392" s="8" t="str">
        <f ca="1">IFERROR(__xludf.DUMMYFUNCTION("IF
(
G10393=""фізична особа""
,
VLOOKUP(H10393,IMPORTRANGE(""https://docs.google.com/spreadsheets/d/14Bd19lYaqBhU8_DElYkX7l4wRkHqqCUFNJY4AfY3kHU/edit?usp=sharing  #gid=0"",""фіз особи new!relations_name""),6,FALSE)
,
(IF
(
G10393=""юридична особа""
,
VLOO"&amp;"KUP(H10393,IMPORTRANGE(""https://docs.google.com/spreadsheets/d/14Bd19lYaqBhU8_DElYkX7l4wRkHqqCUFNJY4AfY3kHU/edit?usp=sharing  #gid=0"",""фіз особи new!relations_name_uo""),7,FALSE)
,
)
))"),"ЧЕКУНКОВ Олексій Олегович")</f>
        <v>ЧЕКУНКОВ Олексій Олегович</v>
      </c>
      <c r="J10392" s="7" t="s">
        <v>14</v>
      </c>
    </row>
    <row r="10393" spans="1:10" ht="13.2">
      <c r="A10393" s="7">
        <v>10392</v>
      </c>
      <c r="B10393" s="7">
        <v>1</v>
      </c>
      <c r="C10393" s="7" t="s">
        <v>10</v>
      </c>
      <c r="D10393" s="7">
        <v>15574</v>
      </c>
      <c r="E10393" s="7" t="s">
        <v>21</v>
      </c>
      <c r="F10393" s="8" t="str">
        <f ca="1">IFERROR(__xludf.DUMMYFUNCTION("IF
(
C10394=""фізична особа""
,
VLOOKUP(D10394,IMPORTRANGE(""https://docs.google.com/spreadsheets/d/14Bd19lYaqBhU8_DElYkX7l4wRkHqqCUFNJY4AfY3kHU/edit?usp=sharing  #gid=0"",""фіз особи new!relations_name""),6,FALSE)
,
(IF
(
C10394=""юридична особа""
,
VLOO"&amp;"KUP(D10394,IMPORTRANGE(""https://docs.google.com/spreadsheets/d/14Bd19lYaqBhU8_DElYkX7l4wRkHqqCUFNJY4AfY3kHU/edit?usp=sharing  #gid=0"",""фіз особи new!relations_name_uo""),7,FALSE)
,
)
))"),"ЧЕКУНКОВА Ольга Валентинівна")</f>
        <v>ЧЕКУНКОВА Ольга Валентинівна</v>
      </c>
      <c r="G10393" s="7" t="s">
        <v>10</v>
      </c>
      <c r="H10393" s="7">
        <v>23480</v>
      </c>
      <c r="I10393" s="8" t="str">
        <f ca="1">IFERROR(__xludf.DUMMYFUNCTION("IF
(
G10394=""фізична особа""
,
VLOOKUP(H10394,IMPORTRANGE(""https://docs.google.com/spreadsheets/d/14Bd19lYaqBhU8_DElYkX7l4wRkHqqCUFNJY4AfY3kHU/edit?usp=sharing  #gid=0"",""фіз особи new!relations_name""),6,FALSE)
,
(IF
(
G10394=""юридична особа""
,
VLOO"&amp;"KUP(H10394,IMPORTRANGE(""https://docs.google.com/spreadsheets/d/14Bd19lYaqBhU8_DElYkX7l4wRkHqqCUFNJY4AfY3kHU/edit?usp=sharing  #gid=0"",""фіз особи new!relations_name_uo""),7,FALSE)
,
)
))"),"ЧЕКУНКОВА Аліна Олексіївна")</f>
        <v>ЧЕКУНКОВА Аліна Олексіївна</v>
      </c>
      <c r="J10393" s="7" t="s">
        <v>13</v>
      </c>
    </row>
    <row r="10394" spans="1:10" ht="13.2">
      <c r="A10394" s="7">
        <v>10393</v>
      </c>
      <c r="B10394" s="7">
        <v>1</v>
      </c>
      <c r="C10394" s="7" t="s">
        <v>10</v>
      </c>
      <c r="D10394" s="7">
        <v>15574</v>
      </c>
      <c r="E10394" s="7" t="s">
        <v>21</v>
      </c>
      <c r="F10394" s="8" t="str">
        <f ca="1">IFERROR(__xludf.DUMMYFUNCTION("IF
(
C10395=""фізична особа""
,
VLOOKUP(D10395,IMPORTRANGE(""https://docs.google.com/spreadsheets/d/14Bd19lYaqBhU8_DElYkX7l4wRkHqqCUFNJY4AfY3kHU/edit?usp=sharing  #gid=0"",""фіз особи new!relations_name""),6,FALSE)
,
(IF
(
C10395=""юридична особа""
,
VLOO"&amp;"KUP(D10395,IMPORTRANGE(""https://docs.google.com/spreadsheets/d/14Bd19lYaqBhU8_DElYkX7l4wRkHqqCUFNJY4AfY3kHU/edit?usp=sharing  #gid=0"",""фіз особи new!relations_name_uo""),7,FALSE)
,
)
))"),"ЧЕКУНКОВА Ольга Валентинівна")</f>
        <v>ЧЕКУНКОВА Ольга Валентинівна</v>
      </c>
      <c r="G10394" s="7" t="s">
        <v>10</v>
      </c>
      <c r="H10394" s="7">
        <v>23481</v>
      </c>
      <c r="I10394" s="8" t="str">
        <f ca="1">IFERROR(__xludf.DUMMYFUNCTION("IF
(
G10395=""фізична особа""
,
VLOOKUP(H10395,IMPORTRANGE(""https://docs.google.com/spreadsheets/d/14Bd19lYaqBhU8_DElYkX7l4wRkHqqCUFNJY4AfY3kHU/edit?usp=sharing  #gid=0"",""фіз особи new!relations_name""),6,FALSE)
,
(IF
(
G10395=""юридична особа""
,
VLOO"&amp;"KUP(H10395,IMPORTRANGE(""https://docs.google.com/spreadsheets/d/14Bd19lYaqBhU8_DElYkX7l4wRkHqqCUFNJY4AfY3kHU/edit?usp=sharing  #gid=0"",""фіз особи new!relations_name_uo""),7,FALSE)
,
)
))"),"ЧЕКУНКОВА Евеліна Олексіївна")</f>
        <v>ЧЕКУНКОВА Евеліна Олексіївна</v>
      </c>
      <c r="J10394" s="7" t="s">
        <v>13</v>
      </c>
    </row>
    <row r="10395" spans="1:10" ht="13.2">
      <c r="A10395" s="7">
        <v>10394</v>
      </c>
      <c r="B10395" s="7">
        <v>1</v>
      </c>
      <c r="C10395" s="7" t="s">
        <v>10</v>
      </c>
      <c r="D10395" s="7">
        <v>15575</v>
      </c>
      <c r="E10395" s="7" t="s">
        <v>15</v>
      </c>
      <c r="F10395" s="8" t="str">
        <f ca="1">IFERROR(__xludf.DUMMYFUNCTION("IF
(
C10396=""фізична особа""
,
VLOOKUP(D10396,IMPORTRANGE(""https://docs.google.com/spreadsheets/d/14Bd19lYaqBhU8_DElYkX7l4wRkHqqCUFNJY4AfY3kHU/edit?usp=sharing  #gid=0"",""фіз особи new!relations_name""),6,FALSE)
,
(IF
(
C10396=""юридична особа""
,
VLOO"&amp;"KUP(D10396,IMPORTRANGE(""https://docs.google.com/spreadsheets/d/14Bd19lYaqBhU8_DElYkX7l4wRkHqqCUFNJY4AfY3kHU/edit?usp=sharing  #gid=0"",""фіз особи new!relations_name_uo""),7,FALSE)
,
)
))"),"МАНТУРОВА / КИСЕЛЬ Наталія Євгенівна")</f>
        <v>МАНТУРОВА / КИСЕЛЬ Наталія Євгенівна</v>
      </c>
      <c r="G10395" s="7" t="s">
        <v>10</v>
      </c>
      <c r="H10395" s="7">
        <v>2404</v>
      </c>
      <c r="I10395" s="8" t="str">
        <f ca="1">IFERROR(__xludf.DUMMYFUNCTION("IF
(
G10396=""фізична особа""
,
VLOOKUP(H10396,IMPORTRANGE(""https://docs.google.com/spreadsheets/d/14Bd19lYaqBhU8_DElYkX7l4wRkHqqCUFNJY4AfY3kHU/edit?usp=sharing  #gid=0"",""фіз особи new!relations_name""),6,FALSE)
,
(IF
(
G10396=""юридична особа""
,
VLOO"&amp;"KUP(H10396,IMPORTRANGE(""https://docs.google.com/spreadsheets/d/14Bd19lYaqBhU8_DElYkX7l4wRkHqqCUFNJY4AfY3kHU/edit?usp=sharing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J10395" s="7" t="s">
        <v>14</v>
      </c>
    </row>
    <row r="10396" spans="1:10" ht="13.2">
      <c r="A10396" s="7">
        <v>10395</v>
      </c>
      <c r="B10396" s="7">
        <v>1</v>
      </c>
      <c r="C10396" s="7" t="s">
        <v>10</v>
      </c>
      <c r="D10396" s="7">
        <v>15575</v>
      </c>
      <c r="E10396" s="7" t="s">
        <v>21</v>
      </c>
      <c r="F10396" s="8" t="str">
        <f ca="1">IFERROR(__xludf.DUMMYFUNCTION("IF
(
C10397=""фізична особа""
,
VLOOKUP(D10397,IMPORTRANGE(""https://docs.google.com/spreadsheets/d/14Bd19lYaqBhU8_DElYkX7l4wRkHqqCUFNJY4AfY3kHU/edit?usp=sharing  #gid=0"",""фіз особи new!relations_name""),6,FALSE)
,
(IF
(
C10397=""юридична особа""
,
VLOO"&amp;"KUP(D10397,IMPORTRANGE(""https://docs.google.com/spreadsheets/d/14Bd19lYaqBhU8_DElYkX7l4wRkHqqCUFNJY4AfY3kHU/edit?usp=sharing  #gid=0"",""фіз особи new!relations_name_uo""),7,FALSE)
,
)
))"),"МАНТУРОВА / КИСЕЛЬ Наталія Євгенівна")</f>
        <v>МАНТУРОВА / КИСЕЛЬ Наталія Євгенівна</v>
      </c>
      <c r="G10396" s="7" t="s">
        <v>10</v>
      </c>
      <c r="H10396" s="7">
        <v>23482</v>
      </c>
      <c r="I10396" s="8" t="str">
        <f ca="1">IFERROR(__xludf.DUMMYFUNCTION("IF
(
G10397=""фізична особа""
,
VLOOKUP(H10397,IMPORTRANGE(""https://docs.google.com/spreadsheets/d/14Bd19lYaqBhU8_DElYkX7l4wRkHqqCUFNJY4AfY3kHU/edit?usp=sharing  #gid=0"",""фіз особи new!relations_name""),6,FALSE)
,
(IF
(
G10397=""юридична особа""
,
VLOO"&amp;"KUP(H10397,IMPORTRANGE(""https://docs.google.com/spreadsheets/d/14Bd19lYaqBhU8_DElYkX7l4wRkHqqCUFNJY4AfY3kHU/edit?usp=sharing  #gid=0"",""фіз особи new!relations_name_uo""),7,FALSE)
,
)
))"),"МАНТУРОВА Леонела Денисівна")</f>
        <v>МАНТУРОВА Леонела Денисівна</v>
      </c>
      <c r="J10396" s="7" t="s">
        <v>13</v>
      </c>
    </row>
    <row r="10397" spans="1:10" ht="13.2">
      <c r="A10397" s="7">
        <v>10396</v>
      </c>
      <c r="B10397" s="7">
        <v>1</v>
      </c>
      <c r="C10397" s="7" t="s">
        <v>10</v>
      </c>
      <c r="D10397" s="7">
        <v>15575</v>
      </c>
      <c r="E10397" s="7" t="s">
        <v>21</v>
      </c>
      <c r="F10397" s="8" t="str">
        <f ca="1">IFERROR(__xludf.DUMMYFUNCTION("IF
(
C10398=""фізична особа""
,
VLOOKUP(D10398,IMPORTRANGE(""https://docs.google.com/spreadsheets/d/14Bd19lYaqBhU8_DElYkX7l4wRkHqqCUFNJY4AfY3kHU/edit?usp=sharing  #gid=0"",""фіз особи new!relations_name""),6,FALSE)
,
(IF
(
C10398=""юридична особа""
,
VLOO"&amp;"KUP(D10398,IMPORTRANGE(""https://docs.google.com/spreadsheets/d/14Bd19lYaqBhU8_DElYkX7l4wRkHqqCUFNJY4AfY3kHU/edit?usp=sharing  #gid=0"",""фіз особи new!relations_name_uo""),7,FALSE)
,
)
))"),"МАНТУРОВА / КИСЕЛЬ Наталія Євгенівна")</f>
        <v>МАНТУРОВА / КИСЕЛЬ Наталія Євгенівна</v>
      </c>
      <c r="G10397" s="7" t="s">
        <v>10</v>
      </c>
      <c r="H10397" s="7">
        <v>23483</v>
      </c>
      <c r="I10397" s="8" t="str">
        <f ca="1">IFERROR(__xludf.DUMMYFUNCTION("IF
(
G10398=""фізична особа""
,
VLOOKUP(H10398,IMPORTRANGE(""https://docs.google.com/spreadsheets/d/14Bd19lYaqBhU8_DElYkX7l4wRkHqqCUFNJY4AfY3kHU/edit?usp=sharing  #gid=0"",""фіз особи new!relations_name""),6,FALSE)
,
(IF
(
G10398=""юридична особа""
,
VLOO"&amp;"KUP(H10398,IMPORTRANGE(""https://docs.google.com/spreadsheets/d/14Bd19lYaqBhU8_DElYkX7l4wRkHqqCUFNJY4AfY3kHU/edit?usp=sharing  #gid=0"",""фіз особи new!relations_name_uo""),7,FALSE)
,
)
))"),"МАНТУРОВ Євгеній Денисович")</f>
        <v>МАНТУРОВ Євгеній Денисович</v>
      </c>
      <c r="J10397" s="7" t="s">
        <v>17</v>
      </c>
    </row>
    <row r="10398" spans="1:10" ht="13.2">
      <c r="A10398" s="7">
        <v>10397</v>
      </c>
      <c r="B10398" s="7">
        <v>1</v>
      </c>
      <c r="C10398" s="7" t="s">
        <v>10</v>
      </c>
      <c r="D10398" s="7">
        <v>15575</v>
      </c>
      <c r="E10398" s="7" t="s">
        <v>25</v>
      </c>
      <c r="F10398" s="8" t="str">
        <f ca="1">IFERROR(__xludf.DUMMYFUNCTION("IF
(
C10399=""фізична особа""
,
VLOOKUP(D10399,IMPORTRANGE(""https://docs.google.com/spreadsheets/d/14Bd19lYaqBhU8_DElYkX7l4wRkHqqCUFNJY4AfY3kHU/edit?usp=sharing  #gid=0"",""фіз особи new!relations_name""),6,FALSE)
,
(IF
(
C10399=""юридична особа""
,
VLOO"&amp;"KUP(D10399,IMPORTRANGE(""https://docs.google.com/spreadsheets/d/14Bd19lYaqBhU8_DElYkX7l4wRkHqqCUFNJY4AfY3kHU/edit?usp=sharing  #gid=0"",""фіз особи new!relations_name_uo""),7,FALSE)
,
)
))"),"МАНТУРОВА / КИСЕЛЬ Наталія Євгенівна")</f>
        <v>МАНТУРОВА / КИСЕЛЬ Наталія Євгенівна</v>
      </c>
      <c r="G10398" s="7" t="s">
        <v>10</v>
      </c>
      <c r="H10398" s="7">
        <v>15576</v>
      </c>
      <c r="I10398" s="8" t="str">
        <f ca="1">IFERROR(__xludf.DUMMYFUNCTION("IF
(
G10399=""фізична особа""
,
VLOOKUP(H10399,IMPORTRANGE(""https://docs.google.com/spreadsheets/d/14Bd19lYaqBhU8_DElYkX7l4wRkHqqCUFNJY4AfY3kHU/edit?usp=sharing  #gid=0"",""фіз особи new!relations_name""),6,FALSE)
,
(IF
(
G10399=""юридична особа""
,
VLOO"&amp;"KUP(H10399,IMPORTRANGE(""https://docs.google.com/spreadsheets/d/14Bd19lYaqBhU8_DElYkX7l4wRkHqqCUFNJY4AfY3kHU/edit?usp=sharing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J10398" s="7" t="s">
        <v>58</v>
      </c>
    </row>
    <row r="10399" spans="1:10" ht="13.2">
      <c r="A10399" s="7">
        <v>10398</v>
      </c>
      <c r="B10399" s="7">
        <v>1</v>
      </c>
      <c r="C10399" s="7" t="s">
        <v>10</v>
      </c>
      <c r="D10399" s="7">
        <v>15576</v>
      </c>
      <c r="E10399" s="7" t="s">
        <v>21</v>
      </c>
      <c r="F10399" s="8" t="str">
        <f ca="1">IFERROR(__xludf.DUMMYFUNCTION("IF
(
C10400=""фізична особа""
,
VLOOKUP(D10400,IMPORTRANGE(""https://docs.google.com/spreadsheets/d/14Bd19lYaqBhU8_DElYkX7l4wRkHqqCUFNJY4AfY3kHU/edit?usp=sharing  #gid=0"",""фіз особи new!relations_name""),6,FALSE)
,
(IF
(
C10400=""юридична особа""
,
VLOO"&amp;"KUP(D10400,IMPORTRANGE(""https://docs.google.com/spreadsheets/d/14Bd19lYaqBhU8_DElYkX7l4wRkHqqCUFNJY4AfY3kHU/edit?usp=sharing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G10399" s="7" t="s">
        <v>10</v>
      </c>
      <c r="H10399" s="7">
        <v>2404</v>
      </c>
      <c r="I10399" s="8" t="str">
        <f ca="1">IFERROR(__xludf.DUMMYFUNCTION("IF
(
G10400=""фізична особа""
,
VLOOKUP(H10400,IMPORTRANGE(""https://docs.google.com/spreadsheets/d/14Bd19lYaqBhU8_DElYkX7l4wRkHqqCUFNJY4AfY3kHU/edit?usp=sharing  #gid=0"",""фіз особи new!relations_name""),6,FALSE)
,
(IF
(
G10400=""юридична особа""
,
VLOO"&amp;"KUP(H10400,IMPORTRANGE(""https://docs.google.com/spreadsheets/d/14Bd19lYaqBhU8_DElYkX7l4wRkHqqCUFNJY4AfY3kHU/edit?usp=sharing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J10399" s="7" t="s">
        <v>17</v>
      </c>
    </row>
    <row r="10400" spans="1:10" ht="13.2">
      <c r="A10400" s="7">
        <v>10399</v>
      </c>
      <c r="B10400" s="7">
        <v>1</v>
      </c>
      <c r="C10400" s="7" t="s">
        <v>10</v>
      </c>
      <c r="D10400" s="7">
        <v>15576</v>
      </c>
      <c r="E10400" s="7" t="s">
        <v>58</v>
      </c>
      <c r="F10400" s="8" t="str">
        <f ca="1">IFERROR(__xludf.DUMMYFUNCTION("IF
(
C10401=""фізична особа""
,
VLOOKUP(D10401,IMPORTRANGE(""https://docs.google.com/spreadsheets/d/14Bd19lYaqBhU8_DElYkX7l4wRkHqqCUFNJY4AfY3kHU/edit?usp=sharing  #gid=0"",""фіз особи new!relations_name""),6,FALSE)
,
(IF
(
C10401=""юридична особа""
,
VLOO"&amp;"KUP(D10401,IMPORTRANGE(""https://docs.google.com/spreadsheets/d/14Bd19lYaqBhU8_DElYkX7l4wRkHqqCUFNJY4AfY3kHU/edit?usp=sharing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G10400" s="7" t="s">
        <v>10</v>
      </c>
      <c r="H10400" s="7">
        <v>15575</v>
      </c>
      <c r="I10400" s="8" t="str">
        <f ca="1">IFERROR(__xludf.DUMMYFUNCTION("IF
(
G10401=""фізична особа""
,
VLOOKUP(H10401,IMPORTRANGE(""https://docs.google.com/spreadsheets/d/14Bd19lYaqBhU8_DElYkX7l4wRkHqqCUFNJY4AfY3kHU/edit?usp=sharing  #gid=0"",""фіз особи new!relations_name""),6,FALSE)
,
(IF
(
G10401=""юридична особа""
,
VLOO"&amp;"KUP(H10401,IMPORTRANGE(""https://docs.google.com/spreadsheets/d/14Bd19lYaqBhU8_DElYkX7l4wRkHqqCUFNJY4AfY3kHU/edit?usp=sharing  #gid=0"",""фіз особи new!relations_name_uo""),7,FALSE)
,
)
))"),"МАНТУРОВА / КИСЕЛЬ Наталія Євгенівна")</f>
        <v>МАНТУРОВА / КИСЕЛЬ Наталія Євгенівна</v>
      </c>
      <c r="J10400" s="7" t="s">
        <v>25</v>
      </c>
    </row>
    <row r="10401" spans="1:10" ht="13.2">
      <c r="A10401" s="7">
        <v>10400</v>
      </c>
      <c r="B10401" s="7">
        <v>1</v>
      </c>
      <c r="C10401" s="7" t="s">
        <v>10</v>
      </c>
      <c r="D10401" s="7">
        <v>15576</v>
      </c>
      <c r="E10401" s="7" t="s">
        <v>79</v>
      </c>
      <c r="F10401" s="8" t="str">
        <f ca="1">IFERROR(__xludf.DUMMYFUNCTION("IF
(
C10402=""фізична особа""
,
VLOOKUP(D10402,IMPORTRANGE(""https://docs.google.com/spreadsheets/d/14Bd19lYaqBhU8_DElYkX7l4wRkHqqCUFNJY4AfY3kHU/edit?usp=sharing  #gid=0"",""фіз особи new!relations_name""),6,FALSE)
,
(IF
(
C10402=""юридична особа""
,
VLOO"&amp;"KUP(D10402,IMPORTRANGE(""https://docs.google.com/spreadsheets/d/14Bd19lYaqBhU8_DElYkX7l4wRkHqqCUFNJY4AfY3kHU/edit?usp=sharing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G10401" s="7" t="s">
        <v>10</v>
      </c>
      <c r="H10401" s="7">
        <v>23482</v>
      </c>
      <c r="I10401" s="8" t="str">
        <f ca="1">IFERROR(__xludf.DUMMYFUNCTION("IF
(
G10402=""фізична особа""
,
VLOOKUP(H10402,IMPORTRANGE(""https://docs.google.com/spreadsheets/d/14Bd19lYaqBhU8_DElYkX7l4wRkHqqCUFNJY4AfY3kHU/edit?usp=sharing  #gid=0"",""фіз особи new!relations_name""),6,FALSE)
,
(IF
(
G10402=""юридична особа""
,
VLOO"&amp;"KUP(H10402,IMPORTRANGE(""https://docs.google.com/spreadsheets/d/14Bd19lYaqBhU8_DElYkX7l4wRkHqqCUFNJY4AfY3kHU/edit?usp=sharing  #gid=0"",""фіз особи new!relations_name_uo""),7,FALSE)
,
)
))"),"МАНТУРОВА Леонела Денисівна")</f>
        <v>МАНТУРОВА Леонела Денисівна</v>
      </c>
      <c r="J10401" s="7" t="s">
        <v>60</v>
      </c>
    </row>
    <row r="10402" spans="1:10" ht="13.2">
      <c r="A10402" s="7">
        <v>10401</v>
      </c>
      <c r="B10402" s="7">
        <v>1</v>
      </c>
      <c r="C10402" s="7" t="s">
        <v>10</v>
      </c>
      <c r="D10402" s="7">
        <v>15576</v>
      </c>
      <c r="E10402" s="7" t="s">
        <v>79</v>
      </c>
      <c r="F10402" s="8" t="str">
        <f ca="1">IFERROR(__xludf.DUMMYFUNCTION("IF
(
C10403=""фізична особа""
,
VLOOKUP(D10403,IMPORTRANGE(""https://docs.google.com/spreadsheets/d/14Bd19lYaqBhU8_DElYkX7l4wRkHqqCUFNJY4AfY3kHU/edit?usp=sharing  #gid=0"",""фіз особи new!relations_name""),6,FALSE)
,
(IF
(
C10403=""юридична особа""
,
VLOO"&amp;"KUP(D10403,IMPORTRANGE(""https://docs.google.com/spreadsheets/d/14Bd19lYaqBhU8_DElYkX7l4wRkHqqCUFNJY4AfY3kHU/edit?usp=sharing  #gid=0"",""фіз особи new!relations_name_uo""),7,FALSE)
,
)
))"),"МАНТУРОВА Тамара Федорівна")</f>
        <v>МАНТУРОВА Тамара Федорівна</v>
      </c>
      <c r="G10402" s="7" t="s">
        <v>10</v>
      </c>
      <c r="H10402" s="7">
        <v>23483</v>
      </c>
      <c r="I10402" s="8" t="str">
        <f ca="1">IFERROR(__xludf.DUMMYFUNCTION("IF
(
G10403=""фізична особа""
,
VLOOKUP(H10403,IMPORTRANGE(""https://docs.google.com/spreadsheets/d/14Bd19lYaqBhU8_DElYkX7l4wRkHqqCUFNJY4AfY3kHU/edit?usp=sharing  #gid=0"",""фіз особи new!relations_name""),6,FALSE)
,
(IF
(
G10403=""юридична особа""
,
VLOO"&amp;"KUP(H10403,IMPORTRANGE(""https://docs.google.com/spreadsheets/d/14Bd19lYaqBhU8_DElYkX7l4wRkHqqCUFNJY4AfY3kHU/edit?usp=sharing  #gid=0"",""фіз особи new!relations_name_uo""),7,FALSE)
,
)
))"),"МАНТУРОВ Євгеній Денисович")</f>
        <v>МАНТУРОВ Євгеній Денисович</v>
      </c>
      <c r="J10402" s="7" t="s">
        <v>61</v>
      </c>
    </row>
    <row r="10403" spans="1:10" ht="13.2">
      <c r="A10403" s="7">
        <v>10402</v>
      </c>
      <c r="B10403" s="7">
        <v>1</v>
      </c>
      <c r="C10403" s="7" t="s">
        <v>10</v>
      </c>
      <c r="D10403" s="7">
        <v>15577</v>
      </c>
      <c r="E10403" s="7" t="s">
        <v>67</v>
      </c>
      <c r="F10403" s="8" t="str">
        <f ca="1">IFERROR(__xludf.DUMMYFUNCTION("IF
(
C10404=""фізична особа""
,
VLOOKUP(D10404,IMPORTRANGE(""https://docs.google.com/spreadsheets/d/14Bd19lYaqBhU8_DElYkX7l4wRkHqqCUFNJY4AfY3kHU/edit?usp=sharing  #gid=0"",""фіз особи new!relations_name""),6,FALSE)
,
(IF
(
C10404=""юридична особа""
,
VLOO"&amp;"KUP(D10404,IMPORTRANGE(""https://docs.google.com/spreadsheets/d/14Bd19lYaqBhU8_DElYkX7l4wRkHqqCUFNJY4AfY3kHU/edit?usp=sharing  #gid=0"",""фіз особи new!relations_name_uo""),7,FALSE)
,
)
))"),"ТИХОНОВА Яна Робертівна")</f>
        <v>ТИХОНОВА Яна Робертівна</v>
      </c>
      <c r="G10403" s="7" t="s">
        <v>10</v>
      </c>
      <c r="H10403" s="7">
        <v>372</v>
      </c>
      <c r="I10403" s="8" t="str">
        <f ca="1">IFERROR(__xludf.DUMMYFUNCTION("IF
(
G10404=""фізична особа""
,
VLOOKUP(H10404,IMPORTRANGE(""https://docs.google.com/spreadsheets/d/14Bd19lYaqBhU8_DElYkX7l4wRkHqqCUFNJY4AfY3kHU/edit?usp=sharing  #gid=0"",""фіз особи new!relations_name""),6,FALSE)
,
(IF
(
G10404=""юридична особа""
,
VLOO"&amp;"KUP(H10404,IMPORTRANGE(""https://docs.google.com/spreadsheets/d/14Bd19lYaqBhU8_DElYkX7l4wRkHqqCUFNJY4AfY3kHU/edit?usp=sharing  #gid=0"",""фіз особи new!relations_name_uo""),7,FALSE)
,
)
))"),"ЧУЙЧЕНКО Костянтин Анатолійович")</f>
        <v>ЧУЙЧЕНКО Костянтин Анатолійович</v>
      </c>
      <c r="J10403" s="7" t="s">
        <v>26</v>
      </c>
    </row>
    <row r="10404" spans="1:10" ht="13.2">
      <c r="A10404" s="7">
        <v>10403</v>
      </c>
      <c r="B10404" s="7">
        <v>1</v>
      </c>
      <c r="C10404" s="7" t="s">
        <v>10</v>
      </c>
      <c r="D10404" s="7">
        <v>15577</v>
      </c>
      <c r="E10404" s="7" t="s">
        <v>31</v>
      </c>
      <c r="F10404" s="8" t="str">
        <f ca="1">IFERROR(__xludf.DUMMYFUNCTION("IF
(
C10405=""фізична особа""
,
VLOOKUP(D10405,IMPORTRANGE(""https://docs.google.com/spreadsheets/d/14Bd19lYaqBhU8_DElYkX7l4wRkHqqCUFNJY4AfY3kHU/edit?usp=sharing  #gid=0"",""фіз особи new!relations_name""),6,FALSE)
,
(IF
(
C10405=""юридична особа""
,
VLOO"&amp;"KUP(D10405,IMPORTRANGE(""https://docs.google.com/spreadsheets/d/14Bd19lYaqBhU8_DElYkX7l4wRkHqqCUFNJY4AfY3kHU/edit?usp=sharing  #gid=0"",""фіз особи new!relations_name_uo""),7,FALSE)
,
)
))"),"ТИХОНОВА Яна Робертівна")</f>
        <v>ТИХОНОВА Яна Робертівна</v>
      </c>
      <c r="G10404" s="7" t="s">
        <v>10</v>
      </c>
      <c r="H10404" s="7">
        <v>0</v>
      </c>
      <c r="I10404" s="8" t="str">
        <f ca="1">IFERROR(__xludf.DUMMYFUNCTION("IF
(
G10405=""фізична особа""
,
VLOOKUP(H10405,IMPORTRANGE(""https://docs.google.com/spreadsheets/d/14Bd19lYaqBhU8_DElYkX7l4wRkHqqCUFNJY4AfY3kHU/edit?usp=sharing  #gid=0"",""фіз особи new!relations_name""),6,FALSE)
,
(IF
(
G10405=""юридична особа""
,
VLOO"&amp;"KUP(H10405,IMPORTRANGE(""https://docs.google.com/spreadsheets/d/14Bd19lYaqBhU8_DElYkX7l4wRkHqqCUFNJY4AfY3kHU/edit?usp=sharing  #gid=0"",""фіз особи new!relations_name_uo""),7,FALSE)
,
)
))"),"#N/A")</f>
        <v>#N/A</v>
      </c>
      <c r="J10404" s="7" t="s">
        <v>31</v>
      </c>
    </row>
    <row r="10405" spans="1:10" ht="13.2">
      <c r="A10405" s="7">
        <v>10404</v>
      </c>
      <c r="B10405" s="7">
        <v>1</v>
      </c>
      <c r="C10405" s="7" t="s">
        <v>10</v>
      </c>
      <c r="D10405" s="7">
        <v>15577</v>
      </c>
      <c r="E10405" s="7" t="s">
        <v>21</v>
      </c>
      <c r="F10405" s="8" t="str">
        <f ca="1">IFERROR(__xludf.DUMMYFUNCTION("IF
(
C10406=""фізична особа""
,
VLOOKUP(D10406,IMPORTRANGE(""https://docs.google.com/spreadsheets/d/14Bd19lYaqBhU8_DElYkX7l4wRkHqqCUFNJY4AfY3kHU/edit?usp=sharing  #gid=0"",""фіз особи new!relations_name""),6,FALSE)
,
(IF
(
C10406=""юридична особа""
,
VLOO"&amp;"KUP(D10406,IMPORTRANGE(""https://docs.google.com/spreadsheets/d/14Bd19lYaqBhU8_DElYkX7l4wRkHqqCUFNJY4AfY3kHU/edit?usp=sharing  #gid=0"",""фіз особи new!relations_name_uo""),7,FALSE)
,
)
))"),"ТИХОНОВА Яна Робертівна")</f>
        <v>ТИХОНОВА Яна Робертівна</v>
      </c>
      <c r="G10405" s="7" t="s">
        <v>10</v>
      </c>
      <c r="H10405" s="7">
        <v>0</v>
      </c>
      <c r="I10405" s="8" t="str">
        <f ca="1">IFERROR(__xludf.DUMMYFUNCTION("IF
(
G10406=""фізична особа""
,
VLOOKUP(H10406,IMPORTRANGE(""https://docs.google.com/spreadsheets/d/14Bd19lYaqBhU8_DElYkX7l4wRkHqqCUFNJY4AfY3kHU/edit?usp=sharing  #gid=0"",""фіз особи new!relations_name""),6,FALSE)
,
(IF
(
G10406=""юридична особа""
,
VLOO"&amp;"KUP(H10406,IMPORTRANGE(""https://docs.google.com/spreadsheets/d/14Bd19lYaqBhU8_DElYkX7l4wRkHqqCUFNJY4AfY3kHU/edit?usp=sharing  #gid=0"",""фіз особи new!relations_name_uo""),7,FALSE)
,
)
))"),"#N/A")</f>
        <v>#N/A</v>
      </c>
      <c r="J10405" s="7" t="s">
        <v>13</v>
      </c>
    </row>
    <row r="10406" spans="1:10" ht="13.2">
      <c r="A10406" s="7">
        <v>10405</v>
      </c>
      <c r="B10406" s="7">
        <v>1</v>
      </c>
      <c r="C10406" s="7" t="s">
        <v>10</v>
      </c>
      <c r="D10406" s="7">
        <v>15577</v>
      </c>
      <c r="E10406" s="7" t="s">
        <v>14</v>
      </c>
      <c r="F10406" s="8" t="str">
        <f ca="1">IFERROR(__xludf.DUMMYFUNCTION("IF
(
C10407=""фізична особа""
,
VLOOKUP(D10407,IMPORTRANGE(""https://docs.google.com/spreadsheets/d/14Bd19lYaqBhU8_DElYkX7l4wRkHqqCUFNJY4AfY3kHU/edit?usp=sharing  #gid=0"",""фіз особи new!relations_name""),6,FALSE)
,
(IF
(
C10407=""юридична особа""
,
VLOO"&amp;"KUP(D10407,IMPORTRANGE(""https://docs.google.com/spreadsheets/d/14Bd19lYaqBhU8_DElYkX7l4wRkHqqCUFNJY4AfY3kHU/edit?usp=sharing  #gid=0"",""фіз особи new!relations_name_uo""),7,FALSE)
,
)
))"),"ТИХОНОВА Яна Робертівна")</f>
        <v>ТИХОНОВА Яна Робертівна</v>
      </c>
      <c r="G10406" s="7" t="s">
        <v>10</v>
      </c>
      <c r="H10406" s="7">
        <v>23396</v>
      </c>
      <c r="I10406" s="8" t="str">
        <f ca="1">IFERROR(__xludf.DUMMYFUNCTION("IF
(
G10407=""фізична особа""
,
VLOOKUP(H10407,IMPORTRANGE(""https://docs.google.com/spreadsheets/d/14Bd19lYaqBhU8_DElYkX7l4wRkHqqCUFNJY4AfY3kHU/edit?usp=sharing  #gid=0"",""фіз особи new!relations_name""),6,FALSE)
,
(IF
(
G10407=""юридична особа""
,
VLOO"&amp;"KUP(H10407,IMPORTRANGE(""https://docs.google.com/spreadsheets/d/14Bd19lYaqBhU8_DElYkX7l4wRkHqqCUFNJY4AfY3kHU/edit?usp=sharing  #gid=0"",""фіз особи new!relations_name_uo""),7,FALSE)
,
)
))"),"ТРОЇЦЬКИЙ Максим Ігорович")</f>
        <v>ТРОЇЦЬКИЙ Максим Ігорович</v>
      </c>
      <c r="J10406" s="7" t="s">
        <v>15</v>
      </c>
    </row>
    <row r="10407" spans="1:10" ht="13.2">
      <c r="A10407" s="7">
        <v>10406</v>
      </c>
      <c r="B10407" s="7">
        <v>1</v>
      </c>
      <c r="C10407" s="7" t="s">
        <v>10</v>
      </c>
      <c r="D10407" s="7">
        <v>15580</v>
      </c>
      <c r="E10407" s="7" t="s">
        <v>14</v>
      </c>
      <c r="F10407" s="8" t="str">
        <f ca="1">IFERROR(__xludf.DUMMYFUNCTION("IF
(
C10408=""фізична особа""
,
VLOOKUP(D10408,IMPORTRANGE(""https://docs.google.com/spreadsheets/d/14Bd19lYaqBhU8_DElYkX7l4wRkHqqCUFNJY4AfY3kHU/edit?usp=sharing  #gid=0"",""фіз особи new!relations_name""),6,FALSE)
,
(IF
(
C10408=""юридична особа""
,
VLOO"&amp;"KUP(D10408,IMPORTRANGE(""https://docs.google.com/spreadsheets/d/14Bd19lYaqBhU8_DElYkX7l4wRkHqqCUFNJY4AfY3kHU/edit?usp=sharing  #gid=0"",""фіз особи new!relations_name_uo""),7,FALSE)
,
)
))"),"МАЛКОВ Павло Вікторович")</f>
        <v>МАЛКОВ Павло Вікторович</v>
      </c>
      <c r="G10407" s="7" t="s">
        <v>10</v>
      </c>
      <c r="H10407" s="7">
        <v>0</v>
      </c>
      <c r="I10407" s="8" t="str">
        <f ca="1">IFERROR(__xludf.DUMMYFUNCTION("IF
(
G10408=""фізична особа""
,
VLOOKUP(H10408,IMPORTRANGE(""https://docs.google.com/spreadsheets/d/14Bd19lYaqBhU8_DElYkX7l4wRkHqqCUFNJY4AfY3kHU/edit?usp=sharing  #gid=0"",""фіз особи new!relations_name""),6,FALSE)
,
(IF
(
G10408=""юридична особа""
,
VLOO"&amp;"KUP(H10408,IMPORTRANGE(""https://docs.google.com/spreadsheets/d/14Bd19lYaqBhU8_DElYkX7l4wRkHqqCUFNJY4AfY3kHU/edit?usp=sharing  #gid=0"",""фіз особи new!relations_name_uo""),7,FALSE)
,
)
))"),"#N/A")</f>
        <v>#N/A</v>
      </c>
      <c r="J10407" s="7" t="s">
        <v>15</v>
      </c>
    </row>
    <row r="10408" spans="1:10" ht="13.2">
      <c r="A10408" s="7">
        <v>10407</v>
      </c>
      <c r="B10408" s="7">
        <v>1</v>
      </c>
      <c r="C10408" s="7" t="s">
        <v>10</v>
      </c>
      <c r="D10408" s="7">
        <v>15627</v>
      </c>
      <c r="E10408" s="7" t="s">
        <v>15</v>
      </c>
      <c r="F10408" s="8" t="str">
        <f ca="1">IFERROR(__xludf.DUMMYFUNCTION("IF
(
C10409=""фізична особа""
,
VLOOKUP(D10409,IMPORTRANGE(""https://docs.google.com/spreadsheets/d/14Bd19lYaqBhU8_DElYkX7l4wRkHqqCUFNJY4AfY3kHU/edit?usp=sharing  #gid=0"",""фіз особи new!relations_name""),6,FALSE)
,
(IF
(
C10409=""юридична особа""
,
VLOO"&amp;"KUP(D10409,IMPORTRANGE(""https://docs.google.com/spreadsheets/d/14Bd19lYaqBhU8_DElYkX7l4wRkHqqCUFNJY4AfY3kHU/edit?usp=sharing  #gid=0"",""фіз особи new!relations_name_uo""),7,FALSE)
,
)
))"),"КАРПЯК Марина Олександрівна")</f>
        <v>КАРПЯК Марина Олександрівна</v>
      </c>
      <c r="G10408" s="7" t="s">
        <v>10</v>
      </c>
      <c r="H10408" s="7">
        <v>848</v>
      </c>
      <c r="I10408" s="8" t="str">
        <f ca="1">IFERROR(__xludf.DUMMYFUNCTION("IF
(
G10409=""фізична особа""
,
VLOOKUP(H10409,IMPORTRANGE(""https://docs.google.com/spreadsheets/d/14Bd19lYaqBhU8_DElYkX7l4wRkHqqCUFNJY4AfY3kHU/edit?usp=sharing  #gid=0"",""фіз особи new!relations_name""),6,FALSE)
,
(IF
(
G10409=""юридична особа""
,
VLOO"&amp;"KUP(H10409,IMPORTRANGE(""https://docs.google.com/spreadsheets/d/14Bd19lYaqBhU8_DElYkX7l4wRkHqqCUFNJY4AfY3kHU/edit?usp=sharing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J10408" s="7" t="s">
        <v>14</v>
      </c>
    </row>
    <row r="10409" spans="1:10" ht="13.2">
      <c r="A10409" s="7">
        <v>10408</v>
      </c>
      <c r="B10409" s="7">
        <v>1</v>
      </c>
      <c r="C10409" s="7" t="s">
        <v>10</v>
      </c>
      <c r="D10409" s="7">
        <v>15628</v>
      </c>
      <c r="E10409" s="7" t="s">
        <v>21</v>
      </c>
      <c r="F10409" s="8" t="str">
        <f ca="1">IFERROR(__xludf.DUMMYFUNCTION("IF
(
C10410=""фізична особа""
,
VLOOKUP(D10410,IMPORTRANGE(""https://docs.google.com/spreadsheets/d/14Bd19lYaqBhU8_DElYkX7l4wRkHqqCUFNJY4AfY3kHU/edit?usp=sharing  #gid=0"",""фіз особи new!relations_name""),6,FALSE)
,
(IF
(
C10410=""юридична особа""
,
VLOO"&amp;"KUP(D10410,IMPORTRANGE(""https://docs.google.com/spreadsheets/d/14Bd19lYaqBhU8_DElYkX7l4wRkHqqCUFNJY4AfY3kHU/edit?usp=sharing  #gid=0"",""фіз особи new!relations_name_uo""),7,FALSE)
,
)
))"),"ДЄДОВА Тетяна Веніамінівна")</f>
        <v>ДЄДОВА Тетяна Веніамінівна</v>
      </c>
      <c r="G10409" s="7" t="s">
        <v>10</v>
      </c>
      <c r="H10409" s="7">
        <v>848</v>
      </c>
      <c r="I10409" s="8" t="str">
        <f ca="1">IFERROR(__xludf.DUMMYFUNCTION("IF
(
G10410=""фізична особа""
,
VLOOKUP(H10410,IMPORTRANGE(""https://docs.google.com/spreadsheets/d/14Bd19lYaqBhU8_DElYkX7l4wRkHqqCUFNJY4AfY3kHU/edit?usp=sharing  #gid=0"",""фіз особи new!relations_name""),6,FALSE)
,
(IF
(
G10410=""юридична особа""
,
VLOO"&amp;"KUP(H10410,IMPORTRANGE(""https://docs.google.com/spreadsheets/d/14Bd19lYaqBhU8_DElYkX7l4wRkHqqCUFNJY4AfY3kHU/edit?usp=sharing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J10409" s="7" t="s">
        <v>17</v>
      </c>
    </row>
    <row r="10410" spans="1:10" ht="13.2">
      <c r="A10410" s="7">
        <v>10409</v>
      </c>
      <c r="B10410" s="7">
        <v>1</v>
      </c>
      <c r="C10410" s="7" t="s">
        <v>10</v>
      </c>
      <c r="D10410" s="7">
        <v>15629</v>
      </c>
      <c r="E10410" s="7" t="s">
        <v>13</v>
      </c>
      <c r="F10410" s="8" t="str">
        <f ca="1">IFERROR(__xludf.DUMMYFUNCTION("IF
(
C10411=""фізична особа""
,
VLOOKUP(D10411,IMPORTRANGE(""https://docs.google.com/spreadsheets/d/14Bd19lYaqBhU8_DElYkX7l4wRkHqqCUFNJY4AfY3kHU/edit?usp=sharing  #gid=0"",""фіз особи new!relations_name""),6,FALSE)
,
(IF
(
C10411=""юридична особа""
,
VLOO"&amp;"KUP(D10411,IMPORTRANGE(""https://docs.google.com/spreadsheets/d/14Bd19lYaqBhU8_DElYkX7l4wRkHqqCUFNJY4AfY3kHU/edit?usp=sharing  #gid=0"",""фіз особи new!relations_name_uo""),7,FALSE)
,
)
))"),"ДЕМІДОВА Катерина Володимирівна")</f>
        <v>ДЕМІДОВА Катерина Володимирівна</v>
      </c>
      <c r="G10410" s="7" t="s">
        <v>10</v>
      </c>
      <c r="H10410" s="7">
        <v>859</v>
      </c>
      <c r="I10410" s="8" t="str">
        <f ca="1">IFERROR(__xludf.DUMMYFUNCTION("IF
(
G10411=""фізична особа""
,
VLOOKUP(H10411,IMPORTRANGE(""https://docs.google.com/spreadsheets/d/14Bd19lYaqBhU8_DElYkX7l4wRkHqqCUFNJY4AfY3kHU/edit?usp=sharing  #gid=0"",""фіз особи new!relations_name""),6,FALSE)
,
(IF
(
G10411=""юридична особа""
,
VLOO"&amp;"KUP(H10411,IMPORTRANGE(""https://docs.google.com/spreadsheets/d/14Bd19lYaqBhU8_DElYkX7l4wRkHqqCUFNJY4AfY3kHU/edit?usp=sharing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0410" s="7" t="s">
        <v>12</v>
      </c>
    </row>
    <row r="10411" spans="1:10" ht="13.2">
      <c r="A10411" s="7">
        <v>10410</v>
      </c>
      <c r="B10411" s="7">
        <v>1</v>
      </c>
      <c r="C10411" s="7" t="s">
        <v>10</v>
      </c>
      <c r="D10411" s="7">
        <v>15630</v>
      </c>
      <c r="E10411" s="7" t="s">
        <v>26</v>
      </c>
      <c r="F10411" s="8" t="str">
        <f ca="1">IFERROR(__xludf.DUMMYFUNCTION("IF
(
C10412=""фізична особа""
,
VLOOKUP(D10412,IMPORTRANGE(""https://docs.google.com/spreadsheets/d/14Bd19lYaqBhU8_DElYkX7l4wRkHqqCUFNJY4AfY3kHU/edit?usp=sharing  #gid=0"",""фіз особи new!relations_name""),6,FALSE)
,
(IF
(
C10412=""юридична особа""
,
VLOO"&amp;"KUP(D10412,IMPORTRANGE(""https://docs.google.com/spreadsheets/d/14Bd19lYaqBhU8_DElYkX7l4wRkHqqCUFNJY4AfY3kHU/edit?usp=sharing  #gid=0"",""фіз особи new!relations_name_uo""),7,FALSE)
,
)
))"),"ДЕМІДОВ Віталій Володимирович")</f>
        <v>ДЕМІДОВ Віталій Володимирович</v>
      </c>
      <c r="G10411" s="7" t="s">
        <v>10</v>
      </c>
      <c r="H10411" s="7">
        <v>859</v>
      </c>
      <c r="I10411" s="8" t="str">
        <f ca="1">IFERROR(__xludf.DUMMYFUNCTION("IF
(
G10412=""фізична особа""
,
VLOOKUP(H10412,IMPORTRANGE(""https://docs.google.com/spreadsheets/d/14Bd19lYaqBhU8_DElYkX7l4wRkHqqCUFNJY4AfY3kHU/edit?usp=sharing  #gid=0"",""фіз особи new!relations_name""),6,FALSE)
,
(IF
(
G10412=""юридична особа""
,
VLOO"&amp;"KUP(H10412,IMPORTRANGE(""https://docs.google.com/spreadsheets/d/14Bd19lYaqBhU8_DElYkX7l4wRkHqqCUFNJY4AfY3kHU/edit?usp=sharing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0411" s="7" t="s">
        <v>24</v>
      </c>
    </row>
    <row r="10412" spans="1:10" ht="13.2">
      <c r="A10412" s="7">
        <v>10411</v>
      </c>
      <c r="B10412" s="7">
        <v>1</v>
      </c>
      <c r="C10412" s="7" t="s">
        <v>10</v>
      </c>
      <c r="D10412" s="7">
        <v>15631</v>
      </c>
      <c r="E10412" s="7" t="s">
        <v>61</v>
      </c>
      <c r="F10412" s="8" t="str">
        <f ca="1">IFERROR(__xludf.DUMMYFUNCTION("IF
(
C10413=""фізична особа""
,
VLOOKUP(D10413,IMPORTRANGE(""https://docs.google.com/spreadsheets/d/14Bd19lYaqBhU8_DElYkX7l4wRkHqqCUFNJY4AfY3kHU/edit?usp=sharing  #gid=0"",""фіз особи new!relations_name""),6,FALSE)
,
(IF
(
C10413=""юридична особа""
,
VLOO"&amp;"KUP(D10413,IMPORTRANGE(""https://docs.google.com/spreadsheets/d/14Bd19lYaqBhU8_DElYkX7l4wRkHqqCUFNJY4AfY3kHU/edit?usp=sharing  #gid=0"",""фіз особи new!relations_name_uo""),7,FALSE)
,
)
))"),"ДЕМІДОВ Володимир Віталійович")</f>
        <v>ДЕМІДОВ Володимир Віталійович</v>
      </c>
      <c r="G10412" s="7" t="s">
        <v>10</v>
      </c>
      <c r="H10412" s="7">
        <v>859</v>
      </c>
      <c r="I10412" s="8" t="str">
        <f ca="1">IFERROR(__xludf.DUMMYFUNCTION("IF
(
G10413=""фізична особа""
,
VLOOKUP(H10413,IMPORTRANGE(""https://docs.google.com/spreadsheets/d/14Bd19lYaqBhU8_DElYkX7l4wRkHqqCUFNJY4AfY3kHU/edit?usp=sharing  #gid=0"",""фіз особи new!relations_name""),6,FALSE)
,
(IF
(
G10413=""юридична особа""
,
VLOO"&amp;"KUP(H10413,IMPORTRANGE(""https://docs.google.com/spreadsheets/d/14Bd19lYaqBhU8_DElYkX7l4wRkHqqCUFNJY4AfY3kHU/edit?usp=sharing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0412" s="7" t="s">
        <v>59</v>
      </c>
    </row>
    <row r="10413" spans="1:10" ht="13.2">
      <c r="A10413" s="7">
        <v>10412</v>
      </c>
      <c r="B10413" s="7">
        <v>1</v>
      </c>
      <c r="C10413" s="7" t="s">
        <v>10</v>
      </c>
      <c r="D10413" s="7">
        <v>15632</v>
      </c>
      <c r="E10413" s="7" t="s">
        <v>17</v>
      </c>
      <c r="F10413" s="8" t="str">
        <f ca="1">IFERROR(__xludf.DUMMYFUNCTION("IF
(
C10414=""фізична особа""
,
VLOOKUP(D10414,IMPORTRANGE(""https://docs.google.com/spreadsheets/d/14Bd19lYaqBhU8_DElYkX7l4wRkHqqCUFNJY4AfY3kHU/edit?usp=sharing  #gid=0"",""фіз особи new!relations_name""),6,FALSE)
,
(IF
(
C10414=""юридична особа""
,
VLOO"&amp;"KUP(D10414,IMPORTRANGE(""https://docs.google.com/spreadsheets/d/14Bd19lYaqBhU8_DElYkX7l4wRkHqqCUFNJY4AfY3kHU/edit?usp=sharing  #gid=0"",""фіз особи new!relations_name_uo""),7,FALSE)
,
)
))"),"СІПЯГІН Олексій Володимирович")</f>
        <v>СІПЯГІН Олексій Володимирович</v>
      </c>
      <c r="G10413" s="7" t="s">
        <v>10</v>
      </c>
      <c r="H10413" s="7">
        <v>881</v>
      </c>
      <c r="I10413" s="8" t="str">
        <f ca="1">IFERROR(__xludf.DUMMYFUNCTION("IF
(
G10414=""фізична особа""
,
VLOOKUP(H10414,IMPORTRANGE(""https://docs.google.com/spreadsheets/d/14Bd19lYaqBhU8_DElYkX7l4wRkHqqCUFNJY4AfY3kHU/edit?usp=sharing  #gid=0"",""фіз особи new!relations_name""),6,FALSE)
,
(IF
(
G10414=""юридична особа""
,
VLOO"&amp;"KUP(H10414,IMPORTRANGE(""https://docs.google.com/spreadsheets/d/14Bd19lYaqBhU8_DElYkX7l4wRkHqqCUFNJY4AfY3kHU/edit?usp=sharing  #gid=0"",""фіз особи new!relations_name_uo""),7,FALSE)
,
)
))"),"СІПЯГІН Володимир Володимирович")</f>
        <v>СІПЯГІН Володимир Володимирович</v>
      </c>
      <c r="J10413" s="7" t="s">
        <v>12</v>
      </c>
    </row>
    <row r="10414" spans="1:10" ht="13.2">
      <c r="A10414" s="7">
        <v>10413</v>
      </c>
      <c r="B10414" s="7">
        <v>1</v>
      </c>
      <c r="C10414" s="7" t="s">
        <v>10</v>
      </c>
      <c r="D10414" s="7">
        <v>15633</v>
      </c>
      <c r="E10414" s="7" t="s">
        <v>15</v>
      </c>
      <c r="F10414" s="8" t="str">
        <f ca="1">IFERROR(__xludf.DUMMYFUNCTION("IF
(
C10415=""фізична особа""
,
VLOOKUP(D10415,IMPORTRANGE(""https://docs.google.com/spreadsheets/d/14Bd19lYaqBhU8_DElYkX7l4wRkHqqCUFNJY4AfY3kHU/edit?usp=sharing  #gid=0"",""фіз особи new!relations_name""),6,FALSE)
,
(IF
(
C10415=""юридична особа""
,
VLOO"&amp;"KUP(D10415,IMPORTRANGE(""https://docs.google.com/spreadsheets/d/14Bd19lYaqBhU8_DElYkX7l4wRkHqqCUFNJY4AfY3kHU/edit?usp=sharing  #gid=0"",""фіз особи new!relations_name_uo""),7,FALSE)
,
)
))"),"ГІНДІН Діана Львівна")</f>
        <v>ГІНДІН Діана Львівна</v>
      </c>
      <c r="G10414" s="7" t="s">
        <v>10</v>
      </c>
      <c r="H10414" s="7">
        <v>886</v>
      </c>
      <c r="I10414" s="8" t="str">
        <f ca="1">IFERROR(__xludf.DUMMYFUNCTION("IF
(
G10415=""фізична особа""
,
VLOOKUP(H10415,IMPORTRANGE(""https://docs.google.com/spreadsheets/d/14Bd19lYaqBhU8_DElYkX7l4wRkHqqCUFNJY4AfY3kHU/edit?usp=sharing  #gid=0"",""фіз особи new!relations_name""),6,FALSE)
,
(IF
(
G10415=""юридична особа""
,
VLOO"&amp;"KUP(H10415,IMPORTRANGE(""https://docs.google.com/spreadsheets/d/14Bd19lYaqBhU8_DElYkX7l4wRkHqqCUFNJY4AfY3kHU/edit?usp=sharing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J10414" s="7" t="s">
        <v>14</v>
      </c>
    </row>
    <row r="10415" spans="1:10" ht="13.2">
      <c r="A10415" s="7">
        <v>10414</v>
      </c>
      <c r="B10415" s="7">
        <v>1</v>
      </c>
      <c r="C10415" s="7" t="s">
        <v>10</v>
      </c>
      <c r="D10415" s="7">
        <v>15634</v>
      </c>
      <c r="E10415" s="7" t="s">
        <v>17</v>
      </c>
      <c r="F10415" s="8" t="str">
        <f ca="1">IFERROR(__xludf.DUMMYFUNCTION("IF
(
C10416=""фізична особа""
,
VLOOKUP(D10416,IMPORTRANGE(""https://docs.google.com/spreadsheets/d/14Bd19lYaqBhU8_DElYkX7l4wRkHqqCUFNJY4AfY3kHU/edit?usp=sharing  #gid=0"",""фіз особи new!relations_name""),6,FALSE)
,
(IF
(
C10416=""юридична особа""
,
VLOO"&amp;"KUP(D10416,IMPORTRANGE(""https://docs.google.com/spreadsheets/d/14Bd19lYaqBhU8_DElYkX7l4wRkHqqCUFNJY4AfY3kHU/edit?usp=sharing  #gid=0"",""фіз особи new!relations_name_uo""),7,FALSE)
,
)
))"),"РЄЗНІК Олександр Владиславович")</f>
        <v>РЄЗНІК Олександр Владиславович</v>
      </c>
      <c r="G10415" s="7" t="s">
        <v>10</v>
      </c>
      <c r="H10415" s="7">
        <v>886</v>
      </c>
      <c r="I10415" s="8" t="str">
        <f ca="1">IFERROR(__xludf.DUMMYFUNCTION("IF
(
G10416=""фізична особа""
,
VLOOKUP(H10416,IMPORTRANGE(""https://docs.google.com/spreadsheets/d/14Bd19lYaqBhU8_DElYkX7l4wRkHqqCUFNJY4AfY3kHU/edit?usp=sharing  #gid=0"",""фіз особи new!relations_name""),6,FALSE)
,
(IF
(
G10416=""юридична особа""
,
VLOO"&amp;"KUP(H10416,IMPORTRANGE(""https://docs.google.com/spreadsheets/d/14Bd19lYaqBhU8_DElYkX7l4wRkHqqCUFNJY4AfY3kHU/edit?usp=sharing  #gid=0"",""фіз особи new!relations_name_uo""),7,FALSE)
,
)
))"),"РЄЗНІК Владислав Матусович")</f>
        <v>РЄЗНІК Владислав Матусович</v>
      </c>
      <c r="J10415" s="7" t="s">
        <v>12</v>
      </c>
    </row>
    <row r="10416" spans="1:10" ht="13.2">
      <c r="A10416" s="7">
        <v>10415</v>
      </c>
      <c r="B10416" s="7">
        <v>1</v>
      </c>
      <c r="C10416" s="7" t="s">
        <v>10</v>
      </c>
      <c r="D10416" s="7">
        <v>15635</v>
      </c>
      <c r="E10416" s="7" t="s">
        <v>15</v>
      </c>
      <c r="F10416" s="8" t="str">
        <f ca="1">IFERROR(__xludf.DUMMYFUNCTION("IF
(
C10417=""фізична особа""
,
VLOOKUP(D10417,IMPORTRANGE(""https://docs.google.com/spreadsheets/d/14Bd19lYaqBhU8_DElYkX7l4wRkHqqCUFNJY4AfY3kHU/edit?usp=sharing  #gid=0"",""фіз особи new!relations_name""),6,FALSE)
,
(IF
(
C10417=""юридична особа""
,
VLOO"&amp;"KUP(D10417,IMPORTRANGE(""https://docs.google.com/spreadsheets/d/14Bd19lYaqBhU8_DElYkX7l4wRkHqqCUFNJY4AfY3kHU/edit?usp=sharing  #gid=0"",""фіз особи new!relations_name_uo""),7,FALSE)
,
)
))"),"ПОЛЯКОВА Наталія Валеріївна")</f>
        <v>ПОЛЯКОВА Наталія Валеріївна</v>
      </c>
      <c r="G10416" s="7" t="s">
        <v>10</v>
      </c>
      <c r="H10416" s="7">
        <v>889</v>
      </c>
      <c r="I10416" s="8" t="str">
        <f ca="1">IFERROR(__xludf.DUMMYFUNCTION("IF
(
G10417=""фізична особа""
,
VLOOKUP(H10417,IMPORTRANGE(""https://docs.google.com/spreadsheets/d/14Bd19lYaqBhU8_DElYkX7l4wRkHqqCUFNJY4AfY3kHU/edit?usp=sharing  #gid=0"",""фіз особи new!relations_name""),6,FALSE)
,
(IF
(
G10417=""юридична особа""
,
VLOO"&amp;"KUP(H10417,IMPORTRANGE(""https://docs.google.com/spreadsheets/d/14Bd19lYaqBhU8_DElYkX7l4wRkHqqCUFNJY4AfY3kHU/edit?usp=sharing  #gid=0"",""фіз особи new!relations_name_uo""),7,FALSE)
,
)
))"),"ПОЛЯКОВ Олександр Олексійович")</f>
        <v>ПОЛЯКОВ Олександр Олексійович</v>
      </c>
      <c r="J10416" s="7" t="s">
        <v>14</v>
      </c>
    </row>
    <row r="10417" spans="1:10" ht="13.2">
      <c r="A10417" s="7">
        <v>10416</v>
      </c>
      <c r="B10417" s="7">
        <v>1</v>
      </c>
      <c r="C10417" s="7" t="s">
        <v>10</v>
      </c>
      <c r="D10417" s="7">
        <v>15636</v>
      </c>
      <c r="E10417" s="7" t="s">
        <v>13</v>
      </c>
      <c r="F10417" s="8" t="str">
        <f ca="1">IFERROR(__xludf.DUMMYFUNCTION("IF
(
C10418=""фізична особа""
,
VLOOKUP(D10418,IMPORTRANGE(""https://docs.google.com/spreadsheets/d/14Bd19lYaqBhU8_DElYkX7l4wRkHqqCUFNJY4AfY3kHU/edit?usp=sharing  #gid=0"",""фіз особи new!relations_name""),6,FALSE)
,
(IF
(
C10418=""юридична особа""
,
VLOO"&amp;"KUP(D10418,IMPORTRANGE(""https://docs.google.com/spreadsheets/d/14Bd19lYaqBhU8_DElYkX7l4wRkHqqCUFNJY4AfY3kHU/edit?usp=sharing  #gid=0"",""фіз особи new!relations_name_uo""),7,FALSE)
,
)
))"),"ПОЛЯКОВА Аліна Олександрівна")</f>
        <v>ПОЛЯКОВА Аліна Олександрівна</v>
      </c>
      <c r="G10417" s="7" t="s">
        <v>10</v>
      </c>
      <c r="H10417" s="7">
        <v>889</v>
      </c>
      <c r="I10417" s="8" t="str">
        <f ca="1">IFERROR(__xludf.DUMMYFUNCTION("IF
(
G10418=""фізична особа""
,
VLOOKUP(H10418,IMPORTRANGE(""https://docs.google.com/spreadsheets/d/14Bd19lYaqBhU8_DElYkX7l4wRkHqqCUFNJY4AfY3kHU/edit?usp=sharing  #gid=0"",""фіз особи new!relations_name""),6,FALSE)
,
(IF
(
G10418=""юридична особа""
,
VLOO"&amp;"KUP(H10418,IMPORTRANGE(""https://docs.google.com/spreadsheets/d/14Bd19lYaqBhU8_DElYkX7l4wRkHqqCUFNJY4AfY3kHU/edit?usp=sharing  #gid=0"",""фіз особи new!relations_name_uo""),7,FALSE)
,
)
))"),"ПОЛЯКОВ Олександр Олексійович")</f>
        <v>ПОЛЯКОВ Олександр Олексійович</v>
      </c>
      <c r="J10417" s="7" t="s">
        <v>12</v>
      </c>
    </row>
    <row r="10418" spans="1:10" ht="13.2">
      <c r="A10418" s="7">
        <v>10417</v>
      </c>
      <c r="B10418" s="7">
        <v>1</v>
      </c>
      <c r="C10418" s="7" t="s">
        <v>10</v>
      </c>
      <c r="D10418" s="7">
        <v>15637</v>
      </c>
      <c r="E10418" s="7" t="s">
        <v>15</v>
      </c>
      <c r="F10418" s="8" t="str">
        <f ca="1">IFERROR(__xludf.DUMMYFUNCTION("IF
(
C10419=""фізична особа""
,
VLOOKUP(D10419,IMPORTRANGE(""https://docs.google.com/spreadsheets/d/14Bd19lYaqBhU8_DElYkX7l4wRkHqqCUFNJY4AfY3kHU/edit?usp=sharing  #gid=0"",""фіз особи new!relations_name""),6,FALSE)
,
(IF
(
C10419=""юридична особа""
,
VLOO"&amp;"KUP(D10419,IMPORTRANGE(""https://docs.google.com/spreadsheets/d/14Bd19lYaqBhU8_DElYkX7l4wRkHqqCUFNJY4AfY3kHU/edit?usp=sharing  #gid=0"",""фіз особи new!relations_name_uo""),7,FALSE)
,
)
))"),"НІКОНОВА Ніна Михайлівна")</f>
        <v>НІКОНОВА Ніна Михайлівна</v>
      </c>
      <c r="G10418" s="7" t="s">
        <v>10</v>
      </c>
      <c r="H10418" s="7">
        <v>891</v>
      </c>
      <c r="I10418" s="8" t="str">
        <f ca="1">IFERROR(__xludf.DUMMYFUNCTION("IF
(
G10419=""фізична особа""
,
VLOOKUP(H10419,IMPORTRANGE(""https://docs.google.com/spreadsheets/d/14Bd19lYaqBhU8_DElYkX7l4wRkHqqCUFNJY4AfY3kHU/edit?usp=sharing  #gid=0"",""фіз особи new!relations_name""),6,FALSE)
,
(IF
(
G10419=""юридична особа""
,
VLOO"&amp;"KUP(H10419,IMPORTRANGE(""https://docs.google.com/spreadsheets/d/14Bd19lYaqBhU8_DElYkX7l4wRkHqqCUFNJY4AfY3kHU/edit?usp=sharing  #gid=0"",""фіз особи new!relations_name_uo""),7,FALSE)
,
)
))"),"НІКОНОВ В'ячеслав Олексійович")</f>
        <v>НІКОНОВ В'ячеслав Олексійович</v>
      </c>
      <c r="J10418" s="7" t="s">
        <v>14</v>
      </c>
    </row>
    <row r="10419" spans="1:10" ht="13.2">
      <c r="A10419" s="7">
        <v>10418</v>
      </c>
      <c r="B10419" s="7">
        <v>1</v>
      </c>
      <c r="C10419" s="7" t="s">
        <v>10</v>
      </c>
      <c r="D10419" s="7">
        <v>15638</v>
      </c>
      <c r="E10419" s="7" t="s">
        <v>15</v>
      </c>
      <c r="F10419" s="8" t="str">
        <f ca="1">IFERROR(__xludf.DUMMYFUNCTION("IF
(
C10420=""фізична особа""
,
VLOOKUP(D10420,IMPORTRANGE(""https://docs.google.com/spreadsheets/d/14Bd19lYaqBhU8_DElYkX7l4wRkHqqCUFNJY4AfY3kHU/edit?usp=sharing  #gid=0"",""фіз особи new!relations_name""),6,FALSE)
,
(IF
(
C10420=""юридична особа""
,
VLOO"&amp;"KUP(D10420,IMPORTRANGE(""https://docs.google.com/spreadsheets/d/14Bd19lYaqBhU8_DElYkX7l4wRkHqqCUFNJY4AfY3kHU/edit?usp=sharing  #gid=0"",""фіз особи new!relations_name_uo""),7,FALSE)
,
)
))"),"МАРХАЄВА Лариса Едуардівна")</f>
        <v>МАРХАЄВА Лариса Едуардівна</v>
      </c>
      <c r="G10419" s="7" t="s">
        <v>10</v>
      </c>
      <c r="H10419" s="7">
        <v>894</v>
      </c>
      <c r="I10419" s="8" t="str">
        <f ca="1">IFERROR(__xludf.DUMMYFUNCTION("IF
(
G10420=""фізична особа""
,
VLOOKUP(H10420,IMPORTRANGE(""https://docs.google.com/spreadsheets/d/14Bd19lYaqBhU8_DElYkX7l4wRkHqqCUFNJY4AfY3kHU/edit?usp=sharing  #gid=0"",""фіз особи new!relations_name""),6,FALSE)
,
(IF
(
G10420=""юридична особа""
,
VLOO"&amp;"KUP(H10420,IMPORTRANGE(""https://docs.google.com/spreadsheets/d/14Bd19lYaqBhU8_DElYkX7l4wRkHqqCUFNJY4AfY3kHU/edit?usp=sharing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J10419" s="7" t="s">
        <v>14</v>
      </c>
    </row>
    <row r="10420" spans="1:10" ht="13.2">
      <c r="A10420" s="7">
        <v>10419</v>
      </c>
      <c r="B10420" s="7">
        <v>1</v>
      </c>
      <c r="C10420" s="7" t="s">
        <v>10</v>
      </c>
      <c r="D10420" s="7">
        <v>15639</v>
      </c>
      <c r="E10420" s="7" t="s">
        <v>17</v>
      </c>
      <c r="F10420" s="8" t="str">
        <f ca="1">IFERROR(__xludf.DUMMYFUNCTION("IF
(
C10421=""фізична особа""
,
VLOOKUP(D10421,IMPORTRANGE(""https://docs.google.com/spreadsheets/d/14Bd19lYaqBhU8_DElYkX7l4wRkHqqCUFNJY4AfY3kHU/edit?usp=sharing  #gid=0"",""фіз особи new!relations_name""),6,FALSE)
,
(IF
(
C10421=""юридична особа""
,
VLOO"&amp;"KUP(D10421,IMPORTRANGE(""https://docs.google.com/spreadsheets/d/14Bd19lYaqBhU8_DElYkX7l4wRkHqqCUFNJY4AfY3kHU/edit?usp=sharing  #gid=0"",""фіз особи new!relations_name_uo""),7,FALSE)
,
)
))"),"МАРХАЄВ Батор В'ячеславович")</f>
        <v>МАРХАЄВ Батор В'ячеславович</v>
      </c>
      <c r="G10420" s="7" t="s">
        <v>10</v>
      </c>
      <c r="H10420" s="7">
        <v>894</v>
      </c>
      <c r="I10420" s="8" t="str">
        <f ca="1">IFERROR(__xludf.DUMMYFUNCTION("IF
(
G10421=""фізична особа""
,
VLOOKUP(H10421,IMPORTRANGE(""https://docs.google.com/spreadsheets/d/14Bd19lYaqBhU8_DElYkX7l4wRkHqqCUFNJY4AfY3kHU/edit?usp=sharing  #gid=0"",""фіз особи new!relations_name""),6,FALSE)
,
(IF
(
G10421=""юридична особа""
,
VLOO"&amp;"KUP(H10421,IMPORTRANGE(""https://docs.google.com/spreadsheets/d/14Bd19lYaqBhU8_DElYkX7l4wRkHqqCUFNJY4AfY3kHU/edit?usp=sharing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J10420" s="7" t="s">
        <v>12</v>
      </c>
    </row>
    <row r="10421" spans="1:10" ht="13.2">
      <c r="A10421" s="7">
        <v>10420</v>
      </c>
      <c r="B10421" s="7">
        <v>1</v>
      </c>
      <c r="C10421" s="7" t="s">
        <v>10</v>
      </c>
      <c r="D10421" s="7">
        <v>15640</v>
      </c>
      <c r="E10421" s="7" t="s">
        <v>13</v>
      </c>
      <c r="F10421" s="8" t="str">
        <f ca="1">IFERROR(__xludf.DUMMYFUNCTION("IF
(
C10422=""фізична особа""
,
VLOOKUP(D10422,IMPORTRANGE(""https://docs.google.com/spreadsheets/d/14Bd19lYaqBhU8_DElYkX7l4wRkHqqCUFNJY4AfY3kHU/edit?usp=sharing  #gid=0"",""фіз особи new!relations_name""),6,FALSE)
,
(IF
(
C10422=""юридична особа""
,
VLOO"&amp;"KUP(D10422,IMPORTRANGE(""https://docs.google.com/spreadsheets/d/14Bd19lYaqBhU8_DElYkX7l4wRkHqqCUFNJY4AfY3kHU/edit?usp=sharing  #gid=0"",""фіз особи new!relations_name_uo""),7,FALSE)
,
)
))"),"ФЕДОТОВА Саяна В'ячеславівна")</f>
        <v>ФЕДОТОВА Саяна В'ячеславівна</v>
      </c>
      <c r="G10421" s="7" t="s">
        <v>10</v>
      </c>
      <c r="H10421" s="7">
        <v>894</v>
      </c>
      <c r="I10421" s="8" t="str">
        <f ca="1">IFERROR(__xludf.DUMMYFUNCTION("IF
(
G10422=""фізична особа""
,
VLOOKUP(H10422,IMPORTRANGE(""https://docs.google.com/spreadsheets/d/14Bd19lYaqBhU8_DElYkX7l4wRkHqqCUFNJY4AfY3kHU/edit?usp=sharing  #gid=0"",""фіз особи new!relations_name""),6,FALSE)
,
(IF
(
G10422=""юридична особа""
,
VLOO"&amp;"KUP(H10422,IMPORTRANGE(""https://docs.google.com/spreadsheets/d/14Bd19lYaqBhU8_DElYkX7l4wRkHqqCUFNJY4AfY3kHU/edit?usp=sharing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J10421" s="7" t="s">
        <v>12</v>
      </c>
    </row>
    <row r="10422" spans="1:10" ht="13.2">
      <c r="A10422" s="7">
        <v>10421</v>
      </c>
      <c r="B10422" s="7">
        <v>1</v>
      </c>
      <c r="C10422" s="7" t="s">
        <v>10</v>
      </c>
      <c r="D10422" s="7">
        <v>15641</v>
      </c>
      <c r="E10422" s="7" t="s">
        <v>26</v>
      </c>
      <c r="F10422" s="8" t="str">
        <f ca="1">IFERROR(__xludf.DUMMYFUNCTION("IF
(
C10423=""фізична особа""
,
VLOOKUP(D10423,IMPORTRANGE(""https://docs.google.com/spreadsheets/d/14Bd19lYaqBhU8_DElYkX7l4wRkHqqCUFNJY4AfY3kHU/edit?usp=sharing  #gid=0"",""фіз особи new!relations_name""),6,FALSE)
,
(IF
(
C10423=""юридична особа""
,
VLOO"&amp;"KUP(D10423,IMPORTRANGE(""https://docs.google.com/spreadsheets/d/14Bd19lYaqBhU8_DElYkX7l4wRkHqqCUFNJY4AfY3kHU/edit?usp=sharing  #gid=0"",""фіз особи new!relations_name_uo""),7,FALSE)
,
)
))"),"ФЕДОТОВ Владислав Георгійович")</f>
        <v>ФЕДОТОВ Владислав Георгійович</v>
      </c>
      <c r="G10422" s="7" t="s">
        <v>10</v>
      </c>
      <c r="H10422" s="7">
        <v>894</v>
      </c>
      <c r="I10422" s="8" t="str">
        <f ca="1">IFERROR(__xludf.DUMMYFUNCTION("IF
(
G10423=""фізична особа""
,
VLOOKUP(H10423,IMPORTRANGE(""https://docs.google.com/spreadsheets/d/14Bd19lYaqBhU8_DElYkX7l4wRkHqqCUFNJY4AfY3kHU/edit?usp=sharing  #gid=0"",""фіз особи new!relations_name""),6,FALSE)
,
(IF
(
G10423=""юридична особа""
,
VLOO"&amp;"KUP(H10423,IMPORTRANGE(""https://docs.google.com/spreadsheets/d/14Bd19lYaqBhU8_DElYkX7l4wRkHqqCUFNJY4AfY3kHU/edit?usp=sharing  #gid=0"",""фіз особи new!relations_name_uo""),7,FALSE)
,
)
))"),"МАРХАЄВ В'ячеслав Михайлович")</f>
        <v>МАРХАЄВ В'ячеслав Михайлович</v>
      </c>
      <c r="J10422" s="7" t="s">
        <v>24</v>
      </c>
    </row>
    <row r="10423" spans="1:10" ht="13.2">
      <c r="A10423" s="7">
        <v>10422</v>
      </c>
      <c r="B10423" s="7">
        <v>1</v>
      </c>
      <c r="C10423" s="7" t="s">
        <v>10</v>
      </c>
      <c r="D10423" s="7">
        <v>15642</v>
      </c>
      <c r="E10423" s="7" t="s">
        <v>13</v>
      </c>
      <c r="F10423" s="8" t="str">
        <f ca="1">IFERROR(__xludf.DUMMYFUNCTION("IF
(
C10424=""фізична особа""
,
VLOOKUP(D10424,IMPORTRANGE(""https://docs.google.com/spreadsheets/d/14Bd19lYaqBhU8_DElYkX7l4wRkHqqCUFNJY4AfY3kHU/edit?usp=sharing  #gid=0"",""фіз особи new!relations_name""),6,FALSE)
,
(IF
(
C10424=""юридична особа""
,
VLOO"&amp;"KUP(D10424,IMPORTRANGE(""https://docs.google.com/spreadsheets/d/14Bd19lYaqBhU8_DElYkX7l4wRkHqqCUFNJY4AfY3kHU/edit?usp=sharing  #gid=0"",""фіз особи new!relations_name_uo""),7,FALSE)
,
)
))"),"КІР'ЯНОВА Валентина Миколаївна")</f>
        <v>КІР'ЯНОВА Валентина Миколаївна</v>
      </c>
      <c r="G10423" s="7" t="s">
        <v>10</v>
      </c>
      <c r="H10423" s="7">
        <v>511</v>
      </c>
      <c r="I10423" s="8" t="str">
        <f ca="1">IFERROR(__xludf.DUMMYFUNCTION("IF
(
G10424=""фізична особа""
,
VLOOKUP(H10424,IMPORTRANGE(""https://docs.google.com/spreadsheets/d/14Bd19lYaqBhU8_DElYkX7l4wRkHqqCUFNJY4AfY3kHU/edit?usp=sharing  #gid=0"",""фіз особи new!relations_name""),6,FALSE)
,
(IF
(
G10424=""юридична особа""
,
VLOO"&amp;"KUP(H10424,IMPORTRANGE(""https://docs.google.com/spreadsheets/d/14Bd19lYaqBhU8_DElYkX7l4wRkHqqCUFNJY4AfY3kHU/edit?usp=sharing  #gid=0"",""фіз особи new!relations_name_uo""),7,FALSE)
,
)
))"),"БРИКІН Микола Гаврилович")</f>
        <v>БРИКІН Микола Гаврилович</v>
      </c>
      <c r="J10423" s="7" t="s">
        <v>12</v>
      </c>
    </row>
    <row r="10424" spans="1:10" ht="13.2">
      <c r="A10424" s="7">
        <v>10423</v>
      </c>
      <c r="B10424" s="7">
        <v>1</v>
      </c>
      <c r="C10424" s="7" t="s">
        <v>10</v>
      </c>
      <c r="D10424" s="7">
        <v>15643</v>
      </c>
      <c r="E10424" s="7" t="s">
        <v>12</v>
      </c>
      <c r="F10424" s="8" t="str">
        <f ca="1">IFERROR(__xludf.DUMMYFUNCTION("IF
(
C10425=""фізична особа""
,
VLOOKUP(D10425,IMPORTRANGE(""https://docs.google.com/spreadsheets/d/14Bd19lYaqBhU8_DElYkX7l4wRkHqqCUFNJY4AfY3kHU/edit?usp=sharing  #gid=0"",""фіз особи new!relations_name""),6,FALSE)
,
(IF
(
C10425=""юридична особа""
,
VLOO"&amp;"KUP(D10425,IMPORTRANGE(""https://docs.google.com/spreadsheets/d/14Bd19lYaqBhU8_DElYkX7l4wRkHqqCUFNJY4AfY3kHU/edit?usp=sharing  #gid=0"",""фіз особи new!relations_name_uo""),7,FALSE)
,
)
))"),"ГОНЧАРОВ Олександр Євгенійович")</f>
        <v>ГОНЧАРОВ Олександр Євгенійович</v>
      </c>
      <c r="G10424" s="7" t="s">
        <v>10</v>
      </c>
      <c r="H10424" s="7">
        <v>510</v>
      </c>
      <c r="I10424" s="8" t="str">
        <f ca="1">IFERROR(__xludf.DUMMYFUNCTION("IF
(
G10425=""фізична особа""
,
VLOOKUP(H10425,IMPORTRANGE(""https://docs.google.com/spreadsheets/d/14Bd19lYaqBhU8_DElYkX7l4wRkHqqCUFNJY4AfY3kHU/edit?usp=sharing  #gid=0"",""фіз особи new!relations_name""),6,FALSE)
,
(IF
(
G10425=""юридична особа""
,
VLOO"&amp;"KUP(H10425,IMPORTRANGE(""https://docs.google.com/spreadsheets/d/14Bd19lYaqBhU8_DElYkX7l4wRkHqqCUFNJY4AfY3kHU/edit?usp=sharing  #gid=0"",""фіз особи new!relations_name_uo""),7,FALSE)
,
)
))"),"ГОНЧАРОВ Микола Олександрович")</f>
        <v>ГОНЧАРОВ Микола Олександрович</v>
      </c>
      <c r="J10424" s="7" t="s">
        <v>17</v>
      </c>
    </row>
    <row r="10425" spans="1:10" ht="13.2">
      <c r="A10425" s="7">
        <v>10424</v>
      </c>
      <c r="B10425" s="7">
        <v>1</v>
      </c>
      <c r="C10425" s="7" t="s">
        <v>10</v>
      </c>
      <c r="D10425" s="7">
        <v>15644</v>
      </c>
      <c r="E10425" s="7" t="s">
        <v>26</v>
      </c>
      <c r="F10425" s="8" t="str">
        <f ca="1">IFERROR(__xludf.DUMMYFUNCTION("IF
(
C10426=""фізична особа""
,
VLOOKUP(D10426,IMPORTRANGE(""https://docs.google.com/spreadsheets/d/14Bd19lYaqBhU8_DElYkX7l4wRkHqqCUFNJY4AfY3kHU/edit?usp=sharing  #gid=0"",""фіз особи new!relations_name""),6,FALSE)
,
(IF
(
C10426=""юридична особа""
,
VLOO"&amp;"KUP(D10426,IMPORTRANGE(""https://docs.google.com/spreadsheets/d/14Bd19lYaqBhU8_DElYkX7l4wRkHqqCUFNJY4AfY3kHU/edit?usp=sharing  #gid=0"",""фіз особи new!relations_name_uo""),7,FALSE)
,
)
))"),"КОВАЛЕВСЬКИЙ Олексій Олександрович")</f>
        <v>КОВАЛЕВСЬКИЙ Олексій Олександрович</v>
      </c>
      <c r="G10425" s="7" t="s">
        <v>10</v>
      </c>
      <c r="H10425" s="7">
        <v>810</v>
      </c>
      <c r="I10425" s="8" t="str">
        <f ca="1">IFERROR(__xludf.DUMMYFUNCTION("IF
(
G10426=""фізична особа""
,
VLOOKUP(H10426,IMPORTRANGE(""https://docs.google.com/spreadsheets/d/14Bd19lYaqBhU8_DElYkX7l4wRkHqqCUFNJY4AfY3kHU/edit?usp=sharing  #gid=0"",""фіз особи new!relations_name""),6,FALSE)
,
(IF
(
G10426=""юридична особа""
,
VLOO"&amp;"KUP(H10426,IMPORTRANGE(""https://docs.google.com/spreadsheets/d/14Bd19lYaqBhU8_DElYkX7l4wRkHqqCUFNJY4AfY3kHU/edit?usp=sharing  #gid=0"",""фіз особи new!relations_name_uo""),7,FALSE)
,
)
))"),"ДЕРЯБКІН Віктор Юхимович")</f>
        <v>ДЕРЯБКІН Віктор Юхимович</v>
      </c>
      <c r="J10425" s="7" t="s">
        <v>24</v>
      </c>
    </row>
    <row r="10426" spans="1:10" ht="13.2">
      <c r="A10426" s="7">
        <v>10425</v>
      </c>
      <c r="B10426" s="7">
        <v>1</v>
      </c>
      <c r="C10426" s="7" t="s">
        <v>10</v>
      </c>
      <c r="D10426" s="7">
        <v>15645</v>
      </c>
      <c r="E10426" s="7" t="s">
        <v>15</v>
      </c>
      <c r="F10426" s="8" t="str">
        <f ca="1">IFERROR(__xludf.DUMMYFUNCTION("IF
(
C10427=""фізична особа""
,
VLOOKUP(D10427,IMPORTRANGE(""https://docs.google.com/spreadsheets/d/14Bd19lYaqBhU8_DElYkX7l4wRkHqqCUFNJY4AfY3kHU/edit?usp=sharing  #gid=0"",""фіз особи new!relations_name""),6,FALSE)
,
(IF
(
C10427=""юридична особа""
,
VLOO"&amp;"KUP(D10427,IMPORTRANGE(""https://docs.google.com/spreadsheets/d/14Bd19lYaqBhU8_DElYkX7l4wRkHqqCUFNJY4AfY3kHU/edit?usp=sharing  #gid=0"",""фіз особи new!relations_name_uo""),7,FALSE)
,
)
))"),"ЛУЦЕНКО Наталія")</f>
        <v>ЛУЦЕНКО Наталія</v>
      </c>
      <c r="G10426" s="7" t="s">
        <v>10</v>
      </c>
      <c r="H10426" s="7">
        <v>2012</v>
      </c>
      <c r="I10426" s="8" t="str">
        <f ca="1">IFERROR(__xludf.DUMMYFUNCTION("IF
(
G10427=""фізична особа""
,
VLOOKUP(H10427,IMPORTRANGE(""https://docs.google.com/spreadsheets/d/14Bd19lYaqBhU8_DElYkX7l4wRkHqqCUFNJY4AfY3kHU/edit?usp=sharing  #gid=0"",""фіз особи new!relations_name""),6,FALSE)
,
(IF
(
G10427=""юридична особа""
,
VLOO"&amp;"KUP(H10427,IMPORTRANGE(""https://docs.google.com/spreadsheets/d/14Bd19lYaqBhU8_DElYkX7l4wRkHqqCUFNJY4AfY3kHU/edit?usp=sharing  #gid=0"",""фіз особи new!relations_name_uo""),7,FALSE)
,
)
))"),"ЛУЦЕНКО Олександр Володимирович")</f>
        <v>ЛУЦЕНКО Олександр Володимирович</v>
      </c>
      <c r="J10426" s="7" t="s">
        <v>14</v>
      </c>
    </row>
    <row r="10427" spans="1:10" ht="13.2">
      <c r="A10427" s="7">
        <v>10426</v>
      </c>
      <c r="B10427" s="7">
        <v>1</v>
      </c>
      <c r="C10427" s="7" t="s">
        <v>10</v>
      </c>
      <c r="D10427" s="7">
        <v>15646</v>
      </c>
      <c r="E10427" s="7" t="s">
        <v>43</v>
      </c>
      <c r="F10427" s="8" t="str">
        <f ca="1">IFERROR(__xludf.DUMMYFUNCTION("IF
(
C10428=""фізична особа""
,
VLOOKUP(D10428,IMPORTRANGE(""https://docs.google.com/spreadsheets/d/14Bd19lYaqBhU8_DElYkX7l4wRkHqqCUFNJY4AfY3kHU/edit?usp=sharing  #gid=0"",""фіз особи new!relations_name""),6,FALSE)
,
(IF
(
C10428=""юридична особа""
,
VLOO"&amp;"KUP(D10428,IMPORTRANGE(""https://docs.google.com/spreadsheets/d/14Bd19lYaqBhU8_DElYkX7l4wRkHqqCUFNJY4AfY3kHU/edit?usp=sharing  #gid=0"",""фіз особи new!relations_name_uo""),7,FALSE)
,
)
))"),"РОТЕНБЕРГ Наталья Сергіївна")</f>
        <v>РОТЕНБЕРГ Наталья Сергіївна</v>
      </c>
      <c r="G10427" s="7" t="s">
        <v>10</v>
      </c>
      <c r="H10427" s="7">
        <v>629</v>
      </c>
      <c r="I10427" s="8" t="str">
        <f ca="1">IFERROR(__xludf.DUMMYFUNCTION("IF
(
G10428=""фізична особа""
,
VLOOKUP(H10428,IMPORTRANGE(""https://docs.google.com/spreadsheets/d/14Bd19lYaqBhU8_DElYkX7l4wRkHqqCUFNJY4AfY3kHU/edit?usp=sharing  #gid=0"",""фіз особи new!relations_name""),6,FALSE)
,
(IF
(
G10428=""юридична особа""
,
VLOO"&amp;"KUP(H10428,IMPORTRANGE(""https://docs.google.com/spreadsheets/d/14Bd19lYaqBhU8_DElYkX7l4wRkHqqCUFNJY4AfY3kHU/edit?usp=sharing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10427" s="7" t="s">
        <v>42</v>
      </c>
    </row>
    <row r="10428" spans="1:10" ht="13.2">
      <c r="A10428" s="7">
        <v>10427</v>
      </c>
      <c r="B10428" s="7">
        <v>1</v>
      </c>
      <c r="C10428" s="7" t="s">
        <v>10</v>
      </c>
      <c r="D10428" s="7">
        <v>15647</v>
      </c>
      <c r="E10428" s="7" t="s">
        <v>15</v>
      </c>
      <c r="F10428" s="8" t="str">
        <f ca="1">IFERROR(__xludf.DUMMYFUNCTION("IF
(
C10429=""фізична особа""
,
VLOOKUP(D10429,IMPORTRANGE(""https://docs.google.com/spreadsheets/d/14Bd19lYaqBhU8_DElYkX7l4wRkHqqCUFNJY4AfY3kHU/edit?usp=sharing  #gid=0"",""фіз особи new!relations_name""),6,FALSE)
,
(IF
(
C10429=""юридична особа""
,
VLOO"&amp;"KUP(D10429,IMPORTRANGE(""https://docs.google.com/spreadsheets/d/14Bd19lYaqBhU8_DElYkX7l4wRkHqqCUFNJY4AfY3kHU/edit?usp=sharing  #gid=0"",""фіз особи new!relations_name_uo""),7,FALSE)
,
)
))"),"БОГДАНЧИКОВА Тетяна Анатоліївна")</f>
        <v>БОГДАНЧИКОВА Тетяна Анатоліївна</v>
      </c>
      <c r="G10428" s="7" t="s">
        <v>10</v>
      </c>
      <c r="H10428" s="7">
        <v>2269</v>
      </c>
      <c r="I10428" s="8" t="str">
        <f ca="1">IFERROR(__xludf.DUMMYFUNCTION("IF
(
G10429=""фізична особа""
,
VLOOKUP(H10429,IMPORTRANGE(""https://docs.google.com/spreadsheets/d/14Bd19lYaqBhU8_DElYkX7l4wRkHqqCUFNJY4AfY3kHU/edit?usp=sharing  #gid=0"",""фіз особи new!relations_name""),6,FALSE)
,
(IF
(
G10429=""юридична особа""
,
VLOO"&amp;"KUP(H10429,IMPORTRANGE(""https://docs.google.com/spreadsheets/d/14Bd19lYaqBhU8_DElYkX7l4wRkHqqCUFNJY4AfY3kHU/edit?usp=sharing  #gid=0"",""фіз особи new!relations_name_uo""),7,FALSE)
,
)
))"),"БОГДАНЧИКОВ Сергій Михайлович")</f>
        <v>БОГДАНЧИКОВ Сергій Михайлович</v>
      </c>
      <c r="J10428" s="7" t="s">
        <v>14</v>
      </c>
    </row>
    <row r="10429" spans="1:10" ht="13.2">
      <c r="A10429" s="7">
        <v>10428</v>
      </c>
      <c r="B10429" s="7">
        <v>1</v>
      </c>
      <c r="C10429" s="7" t="s">
        <v>10</v>
      </c>
      <c r="D10429" s="7">
        <v>15648</v>
      </c>
      <c r="E10429" s="7" t="s">
        <v>17</v>
      </c>
      <c r="F10429" s="8" t="str">
        <f ca="1">IFERROR(__xludf.DUMMYFUNCTION("IF
(
C10430=""фізична особа""
,
VLOOKUP(D10430,IMPORTRANGE(""https://docs.google.com/spreadsheets/d/14Bd19lYaqBhU8_DElYkX7l4wRkHqqCUFNJY4AfY3kHU/edit?usp=sharing  #gid=0"",""фіз особи new!relations_name""),6,FALSE)
,
(IF
(
C10430=""юридична особа""
,
VLOO"&amp;"KUP(D10430,IMPORTRANGE(""https://docs.google.com/spreadsheets/d/14Bd19lYaqBhU8_DElYkX7l4wRkHqqCUFNJY4AfY3kHU/edit?usp=sharing  #gid=0"",""фіз особи new!relations_name_uo""),7,FALSE)
,
)
))"),"БОГДАНЧИКОВ Олексій Сергійович")</f>
        <v>БОГДАНЧИКОВ Олексій Сергійович</v>
      </c>
      <c r="G10429" s="7" t="s">
        <v>10</v>
      </c>
      <c r="H10429" s="7">
        <v>2269</v>
      </c>
      <c r="I10429" s="8" t="str">
        <f ca="1">IFERROR(__xludf.DUMMYFUNCTION("IF
(
G10430=""фізична особа""
,
VLOOKUP(H10430,IMPORTRANGE(""https://docs.google.com/spreadsheets/d/14Bd19lYaqBhU8_DElYkX7l4wRkHqqCUFNJY4AfY3kHU/edit?usp=sharing  #gid=0"",""фіз особи new!relations_name""),6,FALSE)
,
(IF
(
G10430=""юридична особа""
,
VLOO"&amp;"KUP(H10430,IMPORTRANGE(""https://docs.google.com/spreadsheets/d/14Bd19lYaqBhU8_DElYkX7l4wRkHqqCUFNJY4AfY3kHU/edit?usp=sharing  #gid=0"",""фіз особи new!relations_name_uo""),7,FALSE)
,
)
))"),"БОГДАНЧИКОВ Сергій Михайлович")</f>
        <v>БОГДАНЧИКОВ Сергій Михайлович</v>
      </c>
      <c r="J10429" s="7" t="s">
        <v>12</v>
      </c>
    </row>
    <row r="10430" spans="1:10" ht="13.2">
      <c r="A10430" s="7">
        <v>10429</v>
      </c>
      <c r="B10430" s="7">
        <v>1</v>
      </c>
      <c r="C10430" s="7" t="s">
        <v>10</v>
      </c>
      <c r="D10430" s="7">
        <v>15649</v>
      </c>
      <c r="E10430" s="7" t="s">
        <v>43</v>
      </c>
      <c r="F10430" s="8" t="str">
        <f ca="1">IFERROR(__xludf.DUMMYFUNCTION("IF
(
C10431=""фізична особа""
,
VLOOKUP(D10431,IMPORTRANGE(""https://docs.google.com/spreadsheets/d/14Bd19lYaqBhU8_DElYkX7l4wRkHqqCUFNJY4AfY3kHU/edit?usp=sharing  #gid=0"",""фіз особи new!relations_name""),6,FALSE)
,
(IF
(
C10431=""юридична особа""
,
VLOO"&amp;"KUP(D10431,IMPORTRANGE(""https://docs.google.com/spreadsheets/d/14Bd19lYaqBhU8_DElYkX7l4wRkHqqCUFNJY4AfY3kHU/edit?usp=sharing  #gid=0"",""фіз особи new!relations_name_uo""),7,FALSE)
,
)
))"),"МИРИМСЬКА Ольга Михайлівна")</f>
        <v>МИРИМСЬКА Ольга Михайлівна</v>
      </c>
      <c r="G10430" s="7" t="s">
        <v>10</v>
      </c>
      <c r="H10430" s="7">
        <v>2270</v>
      </c>
      <c r="I10430" s="8" t="str">
        <f ca="1">IFERROR(__xludf.DUMMYFUNCTION("IF
(
G10431=""фізична особа""
,
VLOOKUP(H10431,IMPORTRANGE(""https://docs.google.com/spreadsheets/d/14Bd19lYaqBhU8_DElYkX7l4wRkHqqCUFNJY4AfY3kHU/edit?usp=sharing  #gid=0"",""фіз особи new!relations_name""),6,FALSE)
,
(IF
(
G10431=""юридична особа""
,
VLOO"&amp;"KUP(H10431,IMPORTRANGE(""https://docs.google.com/spreadsheets/d/14Bd19lYaqBhU8_DElYkX7l4wRkHqqCUFNJY4AfY3kHU/edit?usp=sharing  #gid=0"",""фіз особи new!relations_name_uo""),7,FALSE)
,
)
))"),"ГОЛУБОВИЧ Олексій Дмитрович")</f>
        <v>ГОЛУБОВИЧ Олексій Дмитрович</v>
      </c>
      <c r="J10430" s="7" t="s">
        <v>42</v>
      </c>
    </row>
    <row r="10431" spans="1:10" ht="13.2">
      <c r="A10431" s="7">
        <v>10430</v>
      </c>
      <c r="B10431" s="7">
        <v>1</v>
      </c>
      <c r="C10431" s="7" t="s">
        <v>10</v>
      </c>
      <c r="D10431" s="7">
        <v>15650</v>
      </c>
      <c r="E10431" s="7" t="s">
        <v>47</v>
      </c>
      <c r="F10431" s="8" t="str">
        <f ca="1">IFERROR(__xludf.DUMMYFUNCTION("IF
(
C10432=""фізична особа""
,
VLOOKUP(D10432,IMPORTRANGE(""https://docs.google.com/spreadsheets/d/14Bd19lYaqBhU8_DElYkX7l4wRkHqqCUFNJY4AfY3kHU/edit?usp=sharing  #gid=0"",""фіз особи new!relations_name""),6,FALSE)
,
(IF
(
C10432=""юридична особа""
,
VLOO"&amp;"KUP(D10432,IMPORTRANGE(""https://docs.google.com/spreadsheets/d/14Bd19lYaqBhU8_DElYkX7l4wRkHqqCUFNJY4AfY3kHU/edit?usp=sharing  #gid=0"",""фіз особи new!relations_name_uo""),7,FALSE)
,
)
))"),"ЛОГИНОВА Олена Іванівна")</f>
        <v>ЛОГИНОВА Олена Іванівна</v>
      </c>
      <c r="G10431" s="7" t="s">
        <v>10</v>
      </c>
      <c r="H10431" s="7">
        <v>2270</v>
      </c>
      <c r="I10431" s="8" t="str">
        <f ca="1">IFERROR(__xludf.DUMMYFUNCTION("IF
(
G10432=""фізична особа""
,
VLOOKUP(H10432,IMPORTRANGE(""https://docs.google.com/spreadsheets/d/14Bd19lYaqBhU8_DElYkX7l4wRkHqqCUFNJY4AfY3kHU/edit?usp=sharing  #gid=0"",""фіз особи new!relations_name""),6,FALSE)
,
(IF
(
G10432=""юридична особа""
,
VLOO"&amp;"KUP(H10432,IMPORTRANGE(""https://docs.google.com/spreadsheets/d/14Bd19lYaqBhU8_DElYkX7l4wRkHqqCUFNJY4AfY3kHU/edit?usp=sharing  #gid=0"",""фіз особи new!relations_name_uo""),7,FALSE)
,
)
))"),"ГОЛУБОВИЧ Олексій Дмитрович")</f>
        <v>ГОЛУБОВИЧ Олексій Дмитрович</v>
      </c>
      <c r="J10431" s="7" t="s">
        <v>46</v>
      </c>
    </row>
    <row r="10432" spans="1:10" ht="13.2">
      <c r="A10432" s="7">
        <v>10431</v>
      </c>
      <c r="B10432" s="7">
        <v>1</v>
      </c>
      <c r="C10432" s="7" t="s">
        <v>10</v>
      </c>
      <c r="D10432" s="7">
        <v>15651</v>
      </c>
      <c r="E10432" s="7" t="s">
        <v>17</v>
      </c>
      <c r="F10432" s="8" t="str">
        <f ca="1">IFERROR(__xludf.DUMMYFUNCTION("IF
(
C10433=""фізична особа""
,
VLOOKUP(D10433,IMPORTRANGE(""https://docs.google.com/spreadsheets/d/14Bd19lYaqBhU8_DElYkX7l4wRkHqqCUFNJY4AfY3kHU/edit?usp=sharing  #gid=0"",""фіз особи new!relations_name""),6,FALSE)
,
(IF
(
C10433=""юридична особа""
,
VLOO"&amp;"KUP(D10433,IMPORTRANGE(""https://docs.google.com/spreadsheets/d/14Bd19lYaqBhU8_DElYkX7l4wRkHqqCUFNJY4AfY3kHU/edit?usp=sharing  #gid=0"",""фіз особи new!relations_name_uo""),7,FALSE)
,
)
))"),"ГОЛУБОВИЧ Ілля Олексійович")</f>
        <v>ГОЛУБОВИЧ Ілля Олексійович</v>
      </c>
      <c r="G10432" s="7" t="s">
        <v>10</v>
      </c>
      <c r="H10432" s="7">
        <v>2270</v>
      </c>
      <c r="I10432" s="8" t="str">
        <f ca="1">IFERROR(__xludf.DUMMYFUNCTION("IF
(
G10433=""фізична особа""
,
VLOOKUP(H10433,IMPORTRANGE(""https://docs.google.com/spreadsheets/d/14Bd19lYaqBhU8_DElYkX7l4wRkHqqCUFNJY4AfY3kHU/edit?usp=sharing  #gid=0"",""фіз особи new!relations_name""),6,FALSE)
,
(IF
(
G10433=""юридична особа""
,
VLOO"&amp;"KUP(H10433,IMPORTRANGE(""https://docs.google.com/spreadsheets/d/14Bd19lYaqBhU8_DElYkX7l4wRkHqqCUFNJY4AfY3kHU/edit?usp=sharing  #gid=0"",""фіз особи new!relations_name_uo""),7,FALSE)
,
)
))"),"ГОЛУБОВИЧ Олексій Дмитрович")</f>
        <v>ГОЛУБОВИЧ Олексій Дмитрович</v>
      </c>
      <c r="J10432" s="7" t="s">
        <v>12</v>
      </c>
    </row>
    <row r="10433" spans="1:10" ht="13.2">
      <c r="A10433" s="7">
        <v>10432</v>
      </c>
      <c r="B10433" s="7">
        <v>1</v>
      </c>
      <c r="C10433" s="7" t="s">
        <v>10</v>
      </c>
      <c r="D10433" s="7">
        <v>15652</v>
      </c>
      <c r="E10433" s="7" t="s">
        <v>17</v>
      </c>
      <c r="F10433" s="8" t="str">
        <f ca="1">IFERROR(__xludf.DUMMYFUNCTION("IF
(
C10434=""фізична особа""
,
VLOOKUP(D10434,IMPORTRANGE(""https://docs.google.com/spreadsheets/d/14Bd19lYaqBhU8_DElYkX7l4wRkHqqCUFNJY4AfY3kHU/edit?usp=sharing  #gid=0"",""фіз особи new!relations_name""),6,FALSE)
,
(IF
(
C10434=""юридична особа""
,
VLOO"&amp;"KUP(D10434,IMPORTRANGE(""https://docs.google.com/spreadsheets/d/14Bd19lYaqBhU8_DElYkX7l4wRkHqqCUFNJY4AfY3kHU/edit?usp=sharing  #gid=0"",""фіз особи new!relations_name_uo""),7,FALSE)
,
)
))"),"ГОЛУБОВИЧ Аркадій Олексійович")</f>
        <v>ГОЛУБОВИЧ Аркадій Олексійович</v>
      </c>
      <c r="G10433" s="7" t="s">
        <v>10</v>
      </c>
      <c r="H10433" s="7">
        <v>2270</v>
      </c>
      <c r="I10433" s="8" t="str">
        <f ca="1">IFERROR(__xludf.DUMMYFUNCTION("IF
(
G10434=""фізична особа""
,
VLOOKUP(H10434,IMPORTRANGE(""https://docs.google.com/spreadsheets/d/14Bd19lYaqBhU8_DElYkX7l4wRkHqqCUFNJY4AfY3kHU/edit?usp=sharing  #gid=0"",""фіз особи new!relations_name""),6,FALSE)
,
(IF
(
G10434=""юридична особа""
,
VLOO"&amp;"KUP(H10434,IMPORTRANGE(""https://docs.google.com/spreadsheets/d/14Bd19lYaqBhU8_DElYkX7l4wRkHqqCUFNJY4AfY3kHU/edit?usp=sharing  #gid=0"",""фіз особи new!relations_name_uo""),7,FALSE)
,
)
))"),"ГОЛУБОВИЧ Олексій Дмитрович")</f>
        <v>ГОЛУБОВИЧ Олексій Дмитрович</v>
      </c>
      <c r="J10433" s="7" t="s">
        <v>12</v>
      </c>
    </row>
    <row r="10434" spans="1:10" ht="13.2">
      <c r="A10434" s="7">
        <v>10433</v>
      </c>
      <c r="B10434" s="7">
        <v>1</v>
      </c>
      <c r="C10434" s="7" t="s">
        <v>10</v>
      </c>
      <c r="D10434" s="7">
        <v>15653</v>
      </c>
      <c r="E10434" s="7" t="s">
        <v>13</v>
      </c>
      <c r="F10434" s="8" t="str">
        <f ca="1">IFERROR(__xludf.DUMMYFUNCTION("IF
(
C10435=""фізична особа""
,
VLOOKUP(D10435,IMPORTRANGE(""https://docs.google.com/spreadsheets/d/14Bd19lYaqBhU8_DElYkX7l4wRkHqqCUFNJY4AfY3kHU/edit?usp=sharing  #gid=0"",""фіз особи new!relations_name""),6,FALSE)
,
(IF
(
C10435=""юридична особа""
,
VLOO"&amp;"KUP(D10435,IMPORTRANGE(""https://docs.google.com/spreadsheets/d/14Bd19lYaqBhU8_DElYkX7l4wRkHqqCUFNJY4AfY3kHU/edit?usp=sharing  #gid=0"",""фіз особи new!relations_name_uo""),7,FALSE)
,
)
))"),"ГОЛУБОВИЧ Наталія Олексіївна")</f>
        <v>ГОЛУБОВИЧ Наталія Олексіївна</v>
      </c>
      <c r="G10434" s="7" t="s">
        <v>10</v>
      </c>
      <c r="H10434" s="7">
        <v>2270</v>
      </c>
      <c r="I10434" s="8" t="str">
        <f ca="1">IFERROR(__xludf.DUMMYFUNCTION("IF
(
G10435=""фізична особа""
,
VLOOKUP(H10435,IMPORTRANGE(""https://docs.google.com/spreadsheets/d/14Bd19lYaqBhU8_DElYkX7l4wRkHqqCUFNJY4AfY3kHU/edit?usp=sharing  #gid=0"",""фіз особи new!relations_name""),6,FALSE)
,
(IF
(
G10435=""юридична особа""
,
VLOO"&amp;"KUP(H10435,IMPORTRANGE(""https://docs.google.com/spreadsheets/d/14Bd19lYaqBhU8_DElYkX7l4wRkHqqCUFNJY4AfY3kHU/edit?usp=sharing  #gid=0"",""фіз особи new!relations_name_uo""),7,FALSE)
,
)
))"),"ГОЛУБОВИЧ Олексій Дмитрович")</f>
        <v>ГОЛУБОВИЧ Олексій Дмитрович</v>
      </c>
      <c r="J10434" s="7" t="s">
        <v>12</v>
      </c>
    </row>
    <row r="10435" spans="1:10" ht="13.2">
      <c r="A10435" s="7">
        <v>10434</v>
      </c>
      <c r="B10435" s="7">
        <v>1</v>
      </c>
      <c r="C10435" s="7" t="s">
        <v>10</v>
      </c>
      <c r="D10435" s="7">
        <v>15654</v>
      </c>
      <c r="E10435" s="7" t="s">
        <v>15</v>
      </c>
      <c r="F10435" s="8" t="str">
        <f ca="1">IFERROR(__xludf.DUMMYFUNCTION("IF
(
C10436=""фізична особа""
,
VLOOKUP(D10436,IMPORTRANGE(""https://docs.google.com/spreadsheets/d/14Bd19lYaqBhU8_DElYkX7l4wRkHqqCUFNJY4AfY3kHU/edit?usp=sharing  #gid=0"",""фіз особи new!relations_name""),6,FALSE)
,
(IF
(
C10436=""юридична особа""
,
VLOO"&amp;"KUP(D10436,IMPORTRANGE(""https://docs.google.com/spreadsheets/d/14Bd19lYaqBhU8_DElYkX7l4wRkHqqCUFNJY4AfY3kHU/edit?usp=sharing  #gid=0"",""фіз особи new!relations_name_uo""),7,FALSE)
,
)
))"),"ДИЧЕВА-СМІРНОВА Ганна Сергіївна")</f>
        <v>ДИЧЕВА-СМІРНОВА Ганна Сергіївна</v>
      </c>
      <c r="G10435" s="7" t="s">
        <v>10</v>
      </c>
      <c r="H10435" s="7">
        <v>2476</v>
      </c>
      <c r="I10435" s="8" t="str">
        <f ca="1">IFERROR(__xludf.DUMMYFUNCTION("IF
(
G10436=""фізична особа""
,
VLOOKUP(H10436,IMPORTRANGE(""https://docs.google.com/spreadsheets/d/14Bd19lYaqBhU8_DElYkX7l4wRkHqqCUFNJY4AfY3kHU/edit?usp=sharing  #gid=0"",""фіз особи new!relations_name""),6,FALSE)
,
(IF
(
G10436=""юридична особа""
,
VLOO"&amp;"KUP(H10436,IMPORTRANGE(""https://docs.google.com/spreadsheets/d/14Bd19lYaqBhU8_DElYkX7l4wRkHqqCUFNJY4AfY3kHU/edit?usp=sharing  #gid=0"",""фіз особи new!relations_name_uo""),7,FALSE)
,
)
))"),"СМІРНОВ Олександр Юрійович")</f>
        <v>СМІРНОВ Олександр Юрійович</v>
      </c>
      <c r="J10435" s="7" t="s">
        <v>14</v>
      </c>
    </row>
    <row r="10436" spans="1:10" ht="13.2">
      <c r="A10436" s="7">
        <v>10435</v>
      </c>
      <c r="B10436" s="7">
        <v>1</v>
      </c>
      <c r="C10436" s="7" t="s">
        <v>10</v>
      </c>
      <c r="D10436" s="7">
        <v>15655</v>
      </c>
      <c r="E10436" s="7" t="s">
        <v>17</v>
      </c>
      <c r="F10436" s="8" t="str">
        <f ca="1">IFERROR(__xludf.DUMMYFUNCTION("IF
(
C10437=""фізична особа""
,
VLOOKUP(D10437,IMPORTRANGE(""https://docs.google.com/spreadsheets/d/14Bd19lYaqBhU8_DElYkX7l4wRkHqqCUFNJY4AfY3kHU/edit?usp=sharing  #gid=0"",""фіз особи new!relations_name""),6,FALSE)
,
(IF
(
C10437=""юридична особа""
,
VLOO"&amp;"KUP(D10437,IMPORTRANGE(""https://docs.google.com/spreadsheets/d/14Bd19lYaqBhU8_DElYkX7l4wRkHqqCUFNJY4AfY3kHU/edit?usp=sharing  #gid=0"",""фіз особи new!relations_name_uo""),7,FALSE)
,
)
))"),"ХОРОХОРДІНА Ярослава Олегівна")</f>
        <v>ХОРОХОРДІНА Ярослава Олегівна</v>
      </c>
      <c r="G10436" s="7" t="s">
        <v>10</v>
      </c>
      <c r="H10436" s="7">
        <v>2500</v>
      </c>
      <c r="I10436" s="8" t="str">
        <f ca="1">IFERROR(__xludf.DUMMYFUNCTION("IF
(
G10437=""фізична особа""
,
VLOOKUP(H10437,IMPORTRANGE(""https://docs.google.com/spreadsheets/d/14Bd19lYaqBhU8_DElYkX7l4wRkHqqCUFNJY4AfY3kHU/edit?usp=sharing  #gid=0"",""фіз особи new!relations_name""),6,FALSE)
,
(IF
(
G10437=""юридична особа""
,
VLOO"&amp;"KUP(H10437,IMPORTRANGE(""https://docs.google.com/spreadsheets/d/14Bd19lYaqBhU8_DElYkX7l4wRkHqqCUFNJY4AfY3kHU/edit?usp=sharing  #gid=0"",""фіз особи new!relations_name_uo""),7,FALSE)
,
)
))"),"ХОРОХОРДІН Олег Леонідович")</f>
        <v>ХОРОХОРДІН Олег Леонідович</v>
      </c>
      <c r="J10436" s="7" t="s">
        <v>12</v>
      </c>
    </row>
    <row r="10437" spans="1:10" ht="13.2">
      <c r="A10437" s="7">
        <v>10436</v>
      </c>
      <c r="B10437" s="7">
        <v>1</v>
      </c>
      <c r="C10437" s="7" t="s">
        <v>10</v>
      </c>
      <c r="D10437" s="7">
        <v>15656</v>
      </c>
      <c r="E10437" s="7" t="s">
        <v>13</v>
      </c>
      <c r="F10437" s="8" t="str">
        <f ca="1">IFERROR(__xludf.DUMMYFUNCTION("IF
(
C10438=""фізична особа""
,
VLOOKUP(D10438,IMPORTRANGE(""https://docs.google.com/spreadsheets/d/14Bd19lYaqBhU8_DElYkX7l4wRkHqqCUFNJY4AfY3kHU/edit?usp=sharing  #gid=0"",""фіз особи new!relations_name""),6,FALSE)
,
(IF
(
C10438=""юридична особа""
,
VLOO"&amp;"KUP(D10438,IMPORTRANGE(""https://docs.google.com/spreadsheets/d/14Bd19lYaqBhU8_DElYkX7l4wRkHqqCUFNJY4AfY3kHU/edit?usp=sharing  #gid=0"",""фіз особи new!relations_name_uo""),7,FALSE)
,
)
))"),"ПАРФЕНЧИКОВА Анастасія Артурівна")</f>
        <v>ПАРФЕНЧИКОВА Анастасія Артурівна</v>
      </c>
      <c r="G10437" s="7" t="s">
        <v>10</v>
      </c>
      <c r="H10437" s="7">
        <v>12156</v>
      </c>
      <c r="I10437" s="8" t="str">
        <f ca="1">IFERROR(__xludf.DUMMYFUNCTION("IF
(
G10438=""фізична особа""
,
VLOOKUP(H10438,IMPORTRANGE(""https://docs.google.com/spreadsheets/d/14Bd19lYaqBhU8_DElYkX7l4wRkHqqCUFNJY4AfY3kHU/edit?usp=sharing  #gid=0"",""фіз особи new!relations_name""),6,FALSE)
,
(IF
(
G10438=""юридична особа""
,
VLOO"&amp;"KUP(H10438,IMPORTRANGE(""https://docs.google.com/spreadsheets/d/14Bd19lYaqBhU8_DElYkX7l4wRkHqqCUFNJY4AfY3kHU/edit?usp=sharing  #gid=0"",""фіз особи new!relations_name_uo""),7,FALSE)
,
)
))"),"ГУЛЯЄВА Наталія Олексіївна")</f>
        <v>ГУЛЯЄВА Наталія Олексіївна</v>
      </c>
      <c r="J10437" s="7" t="s">
        <v>21</v>
      </c>
    </row>
    <row r="10438" spans="1:10" ht="13.2">
      <c r="A10438" s="7">
        <v>10437</v>
      </c>
      <c r="B10438" s="7">
        <v>1</v>
      </c>
      <c r="C10438" s="7" t="s">
        <v>10</v>
      </c>
      <c r="D10438" s="7">
        <v>15656</v>
      </c>
      <c r="E10438" s="7" t="s">
        <v>13</v>
      </c>
      <c r="F10438" s="8" t="str">
        <f ca="1">IFERROR(__xludf.DUMMYFUNCTION("IF
(
C10439=""фізична особа""
,
VLOOKUP(D10439,IMPORTRANGE(""https://docs.google.com/spreadsheets/d/14Bd19lYaqBhU8_DElYkX7l4wRkHqqCUFNJY4AfY3kHU/edit?usp=sharing  #gid=0"",""фіз особи new!relations_name""),6,FALSE)
,
(IF
(
C10439=""юридична особа""
,
VLOO"&amp;"KUP(D10439,IMPORTRANGE(""https://docs.google.com/spreadsheets/d/14Bd19lYaqBhU8_DElYkX7l4wRkHqqCUFNJY4AfY3kHU/edit?usp=sharing  #gid=0"",""фіз особи new!relations_name_uo""),7,FALSE)
,
)
))"),"ПАРФЕНЧИКОВА Анастасія Артурівна")</f>
        <v>ПАРФЕНЧИКОВА Анастасія Артурівна</v>
      </c>
      <c r="G10438" s="7" t="s">
        <v>10</v>
      </c>
      <c r="H10438" s="7">
        <v>2508</v>
      </c>
      <c r="I10438" s="8" t="str">
        <f ca="1">IFERROR(__xludf.DUMMYFUNCTION("IF
(
G10439=""фізична особа""
,
VLOOKUP(H10439,IMPORTRANGE(""https://docs.google.com/spreadsheets/d/14Bd19lYaqBhU8_DElYkX7l4wRkHqqCUFNJY4AfY3kHU/edit?usp=sharing  #gid=0"",""фіз особи new!relations_name""),6,FALSE)
,
(IF
(
G10439=""юридична особа""
,
VLOO"&amp;"KUP(H10439,IMPORTRANGE(""https://docs.google.com/spreadsheets/d/14Bd19lYaqBhU8_DElYkX7l4wRkHqqCUFNJY4AfY3kHU/edit?usp=sharing  #gid=0"",""фіз особи new!relations_name_uo""),7,FALSE)
,
)
))"),"Парфенчиков Артур Олегович")</f>
        <v>Парфенчиков Артур Олегович</v>
      </c>
      <c r="J10438" s="7" t="s">
        <v>12</v>
      </c>
    </row>
    <row r="10439" spans="1:10" ht="13.2">
      <c r="A10439" s="7">
        <v>10438</v>
      </c>
      <c r="B10439" s="7">
        <v>1</v>
      </c>
      <c r="C10439" s="7" t="s">
        <v>10</v>
      </c>
      <c r="D10439" s="7">
        <v>15656</v>
      </c>
      <c r="E10439" s="7" t="s">
        <v>18</v>
      </c>
      <c r="F10439" s="8" t="str">
        <f ca="1">IFERROR(__xludf.DUMMYFUNCTION("IF
(
C10440=""фізична особа""
,
VLOOKUP(D10440,IMPORTRANGE(""https://docs.google.com/spreadsheets/d/14Bd19lYaqBhU8_DElYkX7l4wRkHqqCUFNJY4AfY3kHU/edit?usp=sharing  #gid=0"",""фіз особи new!relations_name""),6,FALSE)
,
(IF
(
C10440=""юридична особа""
,
VLOO"&amp;"KUP(D10440,IMPORTRANGE(""https://docs.google.com/spreadsheets/d/14Bd19lYaqBhU8_DElYkX7l4wRkHqqCUFNJY4AfY3kHU/edit?usp=sharing  #gid=0"",""фіз особи new!relations_name_uo""),7,FALSE)
,
)
))"),"ПАРФЕНЧИКОВА Анастасія Артурівна")</f>
        <v>ПАРФЕНЧИКОВА Анастасія Артурівна</v>
      </c>
      <c r="G10439" s="7" t="s">
        <v>10</v>
      </c>
      <c r="H10439" s="7">
        <v>23490</v>
      </c>
      <c r="I10439" s="8" t="str">
        <f ca="1">IFERROR(__xludf.DUMMYFUNCTION("IF
(
G10440=""фізична особа""
,
VLOOKUP(H10440,IMPORTRANGE(""https://docs.google.com/spreadsheets/d/14Bd19lYaqBhU8_DElYkX7l4wRkHqqCUFNJY4AfY3kHU/edit?usp=sharing  #gid=0"",""фіз особи new!relations_name""),6,FALSE)
,
(IF
(
G10440=""юридична особа""
,
VLOO"&amp;"KUP(H10440,IMPORTRANGE(""https://docs.google.com/spreadsheets/d/14Bd19lYaqBhU8_DElYkX7l4wRkHqqCUFNJY4AfY3kHU/edit?usp=sharing  #gid=0"",""фіз особи new!relations_name_uo""),7,FALSE)
,
)
))"),"ПАРФЕНЧИКОВ Ярослав Артурович")</f>
        <v>ПАРФЕНЧИКОВ Ярослав Артурович</v>
      </c>
      <c r="J10439" s="7" t="s">
        <v>18</v>
      </c>
    </row>
    <row r="10440" spans="1:10" ht="13.2">
      <c r="A10440" s="7">
        <v>10439</v>
      </c>
      <c r="B10440" s="7">
        <v>1</v>
      </c>
      <c r="C10440" s="7" t="s">
        <v>10</v>
      </c>
      <c r="D10440" s="7">
        <v>15657</v>
      </c>
      <c r="E10440" s="7" t="s">
        <v>15</v>
      </c>
      <c r="F10440" s="8" t="str">
        <f ca="1">IFERROR(__xludf.DUMMYFUNCTION("IF
(
C10441=""фізична особа""
,
VLOOKUP(D10441,IMPORTRANGE(""https://docs.google.com/spreadsheets/d/14Bd19lYaqBhU8_DElYkX7l4wRkHqqCUFNJY4AfY3kHU/edit?usp=sharing  #gid=0"",""фіз особи new!relations_name""),6,FALSE)
,
(IF
(
C10441=""юридична особа""
,
VLOO"&amp;"KUP(D10441,IMPORTRANGE(""https://docs.google.com/spreadsheets/d/14Bd19lYaqBhU8_DElYkX7l4wRkHqqCUFNJY4AfY3kHU/edit?usp=sharing  #gid=0"",""фіз особи new!relations_name_uo""),7,FALSE)
,
)
))"),"КАЗАКОВА Галина Юріївна")</f>
        <v>КАЗАКОВА Галина Юріївна</v>
      </c>
      <c r="G10440" s="7" t="s">
        <v>10</v>
      </c>
      <c r="H10440" s="7">
        <v>2509</v>
      </c>
      <c r="I10440" s="8" t="str">
        <f ca="1">IFERROR(__xludf.DUMMYFUNCTION("IF
(
G10441=""фізична особа""
,
VLOOKUP(H10441,IMPORTRANGE(""https://docs.google.com/spreadsheets/d/14Bd19lYaqBhU8_DElYkX7l4wRkHqqCUFNJY4AfY3kHU/edit?usp=sharing  #gid=0"",""фіз особи new!relations_name""),6,FALSE)
,
(IF
(
G10441=""юридична особа""
,
VLOO"&amp;"KUP(H10441,IMPORTRANGE(""https://docs.google.com/spreadsheets/d/14Bd19lYaqBhU8_DElYkX7l4wRkHqqCUFNJY4AfY3kHU/edit?usp=sharing  #gid=0"",""фіз особи new!relations_name_uo""),7,FALSE)
,
)
))"),"УЙБА Володимир Вікторович")</f>
        <v>УЙБА Володимир Вікторович</v>
      </c>
      <c r="J10440" s="7" t="s">
        <v>14</v>
      </c>
    </row>
    <row r="10441" spans="1:10" ht="13.2">
      <c r="A10441" s="7">
        <v>10440</v>
      </c>
      <c r="B10441" s="7">
        <v>1</v>
      </c>
      <c r="C10441" s="7" t="s">
        <v>10</v>
      </c>
      <c r="D10441" s="7">
        <v>15657</v>
      </c>
      <c r="E10441" s="7" t="s">
        <v>25</v>
      </c>
      <c r="F10441" s="8" t="str">
        <f ca="1">IFERROR(__xludf.DUMMYFUNCTION("IF
(
C10442=""фізична особа""
,
VLOOKUP(D10442,IMPORTRANGE(""https://docs.google.com/spreadsheets/d/14Bd19lYaqBhU8_DElYkX7l4wRkHqqCUFNJY4AfY3kHU/edit?usp=sharing  #gid=0"",""фіз особи new!relations_name""),6,FALSE)
,
(IF
(
C10442=""юридична особа""
,
VLOO"&amp;"KUP(D10442,IMPORTRANGE(""https://docs.google.com/spreadsheets/d/14Bd19lYaqBhU8_DElYkX7l4wRkHqqCUFNJY4AfY3kHU/edit?usp=sharing  #gid=0"",""фіз особи new!relations_name_uo""),7,FALSE)
,
)
))"),"КАЗАКОВА Галина Юріївна")</f>
        <v>КАЗАКОВА Галина Юріївна</v>
      </c>
      <c r="G10441" s="7" t="s">
        <v>10</v>
      </c>
      <c r="H10441" s="7">
        <v>23491</v>
      </c>
      <c r="I10441" s="8" t="str">
        <f ca="1">IFERROR(__xludf.DUMMYFUNCTION("IF
(
G10442=""фізична особа""
,
VLOOKUP(H10442,IMPORTRANGE(""https://docs.google.com/spreadsheets/d/14Bd19lYaqBhU8_DElYkX7l4wRkHqqCUFNJY4AfY3kHU/edit?usp=sharing  #gid=0"",""фіз особи new!relations_name""),6,FALSE)
,
(IF
(
G10442=""юридична особа""
,
VLOO"&amp;"KUP(H10442,IMPORTRANGE(""https://docs.google.com/spreadsheets/d/14Bd19lYaqBhU8_DElYkX7l4wRkHqqCUFNJY4AfY3kHU/edit?usp=sharing  #gid=0"",""фіз особи new!relations_name_uo""),7,FALSE)
,
)
))"),"УЙБА Лідія Логінівна")</f>
        <v>УЙБА Лідія Логінівна</v>
      </c>
      <c r="J10441" s="7" t="s">
        <v>58</v>
      </c>
    </row>
    <row r="10442" spans="1:10" ht="13.2">
      <c r="A10442" s="7">
        <v>10441</v>
      </c>
      <c r="B10442" s="7">
        <v>1</v>
      </c>
      <c r="C10442" s="7" t="s">
        <v>10</v>
      </c>
      <c r="D10442" s="7">
        <v>15769</v>
      </c>
      <c r="E10442" s="7" t="s">
        <v>28</v>
      </c>
      <c r="F10442" s="8" t="str">
        <f ca="1">IFERROR(__xludf.DUMMYFUNCTION("IF
(
C10443=""фізична особа""
,
VLOOKUP(D10443,IMPORTRANGE(""https://docs.google.com/spreadsheets/d/14Bd19lYaqBhU8_DElYkX7l4wRkHqqCUFNJY4AfY3kHU/edit?usp=sharing  #gid=0"",""фіз особи new!relations_name""),6,FALSE)
,
(IF
(
C10443=""юридична особа""
,
VLOO"&amp;"KUP(D10443,IMPORTRANGE(""https://docs.google.com/spreadsheets/d/14Bd19lYaqBhU8_DElYkX7l4wRkHqqCUFNJY4AfY3kHU/edit?usp=sharing  #gid=0"",""фіз особи new!relations_name_uo""),7,FALSE)
,
)
))"),"ПОНОМАРЬОВ Сергій Олексійович")</f>
        <v>ПОНОМАРЬОВ Сергій Олексійович</v>
      </c>
      <c r="G10442" s="7" t="s">
        <v>10</v>
      </c>
      <c r="H10442" s="7">
        <v>2145</v>
      </c>
      <c r="I10442" s="8" t="str">
        <f ca="1">IFERROR(__xludf.DUMMYFUNCTION("IF
(
G10443=""фізична особа""
,
VLOOKUP(H10443,IMPORTRANGE(""https://docs.google.com/spreadsheets/d/14Bd19lYaqBhU8_DElYkX7l4wRkHqqCUFNJY4AfY3kHU/edit?usp=sharing  #gid=0"",""фіз особи new!relations_name""),6,FALSE)
,
(IF
(
G10443=""юридична особа""
,
VLOO"&amp;"KUP(H10443,IMPORTRANGE(""https://docs.google.com/spreadsheets/d/14Bd19lYaqBhU8_DElYkX7l4wRkHqqCUFNJY4AfY3kHU/edit?usp=sharing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0442" s="7" t="s">
        <v>29</v>
      </c>
    </row>
    <row r="10443" spans="1:10" ht="13.2">
      <c r="A10443" s="7">
        <v>10442</v>
      </c>
      <c r="B10443" s="7">
        <v>1</v>
      </c>
      <c r="C10443" s="7" t="s">
        <v>10</v>
      </c>
      <c r="D10443" s="7">
        <v>15884</v>
      </c>
      <c r="E10443" s="7" t="s">
        <v>12</v>
      </c>
      <c r="F10443" s="8" t="str">
        <f ca="1">IFERROR(__xludf.DUMMYFUNCTION("IF
(
C10444=""фізична особа""
,
VLOOKUP(D10444,IMPORTRANGE(""https://docs.google.com/spreadsheets/d/14Bd19lYaqBhU8_DElYkX7l4wRkHqqCUFNJY4AfY3kHU/edit?usp=sharing  #gid=0"",""фіз особи new!relations_name""),6,FALSE)
,
(IF
(
C10444=""юридична особа""
,
VLOO"&amp;"KUP(D10444,IMPORTRANGE(""https://docs.google.com/spreadsheets/d/14Bd19lYaqBhU8_DElYkX7l4wRkHqqCUFNJY4AfY3kHU/edit?usp=sharing  #gid=0"",""фіз особи new!relations_name_uo""),7,FALSE)
,
)
))"),"ВАЙНО Едуард Карлович")</f>
        <v>ВАЙНО Едуард Карлович</v>
      </c>
      <c r="G10443" s="7" t="s">
        <v>10</v>
      </c>
      <c r="H10443" s="7">
        <v>98</v>
      </c>
      <c r="I10443" s="8" t="str">
        <f ca="1">IFERROR(__xludf.DUMMYFUNCTION("IF
(
G10444=""фізична особа""
,
VLOOKUP(H10444,IMPORTRANGE(""https://docs.google.com/spreadsheets/d/14Bd19lYaqBhU8_DElYkX7l4wRkHqqCUFNJY4AfY3kHU/edit?usp=sharing  #gid=0"",""фіз особи new!relations_name""),6,FALSE)
,
(IF
(
G10444=""юридична особа""
,
VLOO"&amp;"KUP(H10444,IMPORTRANGE(""https://docs.google.com/spreadsheets/d/14Bd19lYaqBhU8_DElYkX7l4wRkHqqCUFNJY4AfY3kHU/edit?usp=sharing  #gid=0"",""фіз особи new!relations_name_uo""),7,FALSE)
,
)
))"),"ВАЙНО Антон Едуардович")</f>
        <v>ВАЙНО Антон Едуардович</v>
      </c>
      <c r="J10443" s="7" t="s">
        <v>17</v>
      </c>
    </row>
    <row r="10444" spans="1:10" ht="13.2">
      <c r="A10444" s="7">
        <v>10443</v>
      </c>
      <c r="B10444" s="7">
        <v>1</v>
      </c>
      <c r="C10444" s="7" t="s">
        <v>10</v>
      </c>
      <c r="D10444" s="7">
        <v>15884</v>
      </c>
      <c r="E10444" s="7" t="s">
        <v>23</v>
      </c>
      <c r="F10444" s="8" t="str">
        <f ca="1">IFERROR(__xludf.DUMMYFUNCTION("IF
(
C10445=""фізична особа""
,
VLOOKUP(D10445,IMPORTRANGE(""https://docs.google.com/spreadsheets/d/14Bd19lYaqBhU8_DElYkX7l4wRkHqqCUFNJY4AfY3kHU/edit?usp=sharing  #gid=0"",""фіз особи new!relations_name""),6,FALSE)
,
(IF
(
C10445=""юридична особа""
,
VLOO"&amp;"KUP(D10445,IMPORTRANGE(""https://docs.google.com/spreadsheets/d/14Bd19lYaqBhU8_DElYkX7l4wRkHqqCUFNJY4AfY3kHU/edit?usp=sharing  #gid=0"",""фіз особи new!relations_name_uo""),7,FALSE)
,
)
))"),"ВАЙНО Едуард Карлович")</f>
        <v>ВАЙНО Едуард Карлович</v>
      </c>
      <c r="G10444" s="7" t="s">
        <v>10</v>
      </c>
      <c r="H10444" s="7">
        <v>150</v>
      </c>
      <c r="I10444" s="8" t="str">
        <f ca="1">IFERROR(__xludf.DUMMYFUNCTION("IF
(
G10445=""фізична особа""
,
VLOOKUP(H10445,IMPORTRANGE(""https://docs.google.com/spreadsheets/d/14Bd19lYaqBhU8_DElYkX7l4wRkHqqCUFNJY4AfY3kHU/edit?usp=sharing  #gid=0"",""фіз особи new!relations_name""),6,FALSE)
,
(IF
(
G10445=""юридична особа""
,
VLOO"&amp;"KUP(H10445,IMPORTRANGE(""https://docs.google.com/spreadsheets/d/14Bd19lYaqBhU8_DElYkX7l4wRkHqqCUFNJY4AfY3kHU/edit?usp=sharing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44" s="7" t="s">
        <v>23</v>
      </c>
    </row>
    <row r="10445" spans="1:10" ht="13.2">
      <c r="A10445" s="7">
        <v>10444</v>
      </c>
      <c r="B10445" s="7">
        <v>1</v>
      </c>
      <c r="C10445" s="7" t="s">
        <v>10</v>
      </c>
      <c r="D10445" s="7">
        <v>16024</v>
      </c>
      <c r="E10445" s="7" t="s">
        <v>28</v>
      </c>
      <c r="F10445" s="8" t="str">
        <f ca="1">IFERROR(__xludf.DUMMYFUNCTION("IF
(
C10446=""фізична особа""
,
VLOOKUP(D10446,IMPORTRANGE(""https://docs.google.com/spreadsheets/d/14Bd19lYaqBhU8_DElYkX7l4wRkHqqCUFNJY4AfY3kHU/edit?usp=sharing  #gid=0"",""фіз особи new!relations_name""),6,FALSE)
,
(IF
(
C10446=""юридична особа""
,
VLOO"&amp;"KUP(D10446,IMPORTRANGE(""https://docs.google.com/spreadsheets/d/14Bd19lYaqBhU8_DElYkX7l4wRkHqqCUFNJY4AfY3kHU/edit?usp=sharing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G10445" s="7" t="s">
        <v>10</v>
      </c>
      <c r="H10445" s="7">
        <v>2513</v>
      </c>
      <c r="I10445" s="8" t="str">
        <f ca="1">IFERROR(__xludf.DUMMYFUNCTION("IF
(
G10446=""фізична особа""
,
VLOOKUP(H10446,IMPORTRANGE(""https://docs.google.com/spreadsheets/d/14Bd19lYaqBhU8_DElYkX7l4wRkHqqCUFNJY4AfY3kHU/edit?usp=sharing  #gid=0"",""фіз особи new!relations_name""),6,FALSE)
,
(IF
(
G10446=""юридична особа""
,
VLOO"&amp;"KUP(H10446,IMPORTRANGE(""https://docs.google.com/spreadsheets/d/14Bd19lYaqBhU8_DElYkX7l4wRkHqqCUFNJY4AfY3kHU/edit?usp=sharing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0445" s="7" t="s">
        <v>29</v>
      </c>
    </row>
    <row r="10446" spans="1:10" ht="13.2">
      <c r="A10446" s="7">
        <v>10445</v>
      </c>
      <c r="B10446" s="7">
        <v>1</v>
      </c>
      <c r="C10446" s="7" t="s">
        <v>10</v>
      </c>
      <c r="D10446" s="7">
        <v>16024</v>
      </c>
      <c r="E10446" s="7" t="s">
        <v>23</v>
      </c>
      <c r="F10446" s="8" t="str">
        <f ca="1">IFERROR(__xludf.DUMMYFUNCTION("IF
(
C10447=""фізична особа""
,
VLOOKUP(D10447,IMPORTRANGE(""https://docs.google.com/spreadsheets/d/14Bd19lYaqBhU8_DElYkX7l4wRkHqqCUFNJY4AfY3kHU/edit?usp=sharing  #gid=0"",""фіз особи new!relations_name""),6,FALSE)
,
(IF
(
C10447=""юридична особа""
,
VLOO"&amp;"KUP(D10447,IMPORTRANGE(""https://docs.google.com/spreadsheets/d/14Bd19lYaqBhU8_DElYkX7l4wRkHqqCUFNJY4AfY3kHU/edit?usp=sharing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G10446" s="7" t="s">
        <v>10</v>
      </c>
      <c r="H10446" s="7">
        <v>5421</v>
      </c>
      <c r="I10446" s="8" t="str">
        <f ca="1">IFERROR(__xludf.DUMMYFUNCTION("IF
(
G10447=""фізична особа""
,
VLOOKUP(H10447,IMPORTRANGE(""https://docs.google.com/spreadsheets/d/14Bd19lYaqBhU8_DElYkX7l4wRkHqqCUFNJY4AfY3kHU/edit?usp=sharing  #gid=0"",""фіз особи new!relations_name""),6,FALSE)
,
(IF
(
G10447=""юридична особа""
,
VLOO"&amp;"KUP(H10447,IMPORTRANGE(""https://docs.google.com/spreadsheets/d/14Bd19lYaqBhU8_DElYkX7l4wRkHqqCUFNJY4AfY3kHU/edit?usp=sharing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46" s="7" t="s">
        <v>23</v>
      </c>
    </row>
    <row r="10447" spans="1:10" ht="13.2">
      <c r="A10447" s="7">
        <v>10446</v>
      </c>
      <c r="B10447" s="7">
        <v>1</v>
      </c>
      <c r="C10447" s="7" t="s">
        <v>10</v>
      </c>
      <c r="D10447" s="7">
        <v>16142</v>
      </c>
      <c r="E10447" s="7" t="s">
        <v>14</v>
      </c>
      <c r="F10447" s="8" t="str">
        <f ca="1">IFERROR(__xludf.DUMMYFUNCTION("IF
(
C10448=""фізична особа""
,
VLOOKUP(D10448,IMPORTRANGE(""https://docs.google.com/spreadsheets/d/14Bd19lYaqBhU8_DElYkX7l4wRkHqqCUFNJY4AfY3kHU/edit?usp=sharing  #gid=0"",""фіз особи new!relations_name""),6,FALSE)
,
(IF
(
C10448=""юридична особа""
,
VLOO"&amp;"KUP(D10448,IMPORTRANGE(""https://docs.google.com/spreadsheets/d/14Bd19lYaqBhU8_DElYkX7l4wRkHqqCUFNJY4AfY3kHU/edit?usp=sharing  #gid=0"",""фіз особи new!relations_name_uo""),7,FALSE)
,
)
))"),"ДІДУХ Андрій Мирославович")</f>
        <v>ДІДУХ Андрій Мирославович</v>
      </c>
      <c r="G10447" s="7" t="s">
        <v>10</v>
      </c>
      <c r="H10447" s="7">
        <v>0</v>
      </c>
      <c r="I10447" s="8" t="str">
        <f ca="1">IFERROR(__xludf.DUMMYFUNCTION("IF
(
G10448=""фізична особа""
,
VLOOKUP(H10448,IMPORTRANGE(""https://docs.google.com/spreadsheets/d/14Bd19lYaqBhU8_DElYkX7l4wRkHqqCUFNJY4AfY3kHU/edit?usp=sharing  #gid=0"",""фіз особи new!relations_name""),6,FALSE)
,
(IF
(
G10448=""юридична особа""
,
VLOO"&amp;"KUP(H10448,IMPORTRANGE(""https://docs.google.com/spreadsheets/d/14Bd19lYaqBhU8_DElYkX7l4wRkHqqCUFNJY4AfY3kHU/edit?usp=sharing  #gid=0"",""фіз особи new!relations_name_uo""),7,FALSE)
,
)
))"),"#N/A")</f>
        <v>#N/A</v>
      </c>
      <c r="J10447" s="7" t="s">
        <v>15</v>
      </c>
    </row>
    <row r="10448" spans="1:10" ht="13.2">
      <c r="A10448" s="7">
        <v>10447</v>
      </c>
      <c r="B10448" s="7">
        <v>1</v>
      </c>
      <c r="C10448" s="7" t="s">
        <v>10</v>
      </c>
      <c r="D10448" s="7">
        <v>16156</v>
      </c>
      <c r="E10448" s="7" t="s">
        <v>11</v>
      </c>
      <c r="F10448" s="8" t="str">
        <f ca="1">IFERROR(__xludf.DUMMYFUNCTION("IF
(
C10449=""фізична особа""
,
VLOOKUP(D10449,IMPORTRANGE(""https://docs.google.com/spreadsheets/d/14Bd19lYaqBhU8_DElYkX7l4wRkHqqCUFNJY4AfY3kHU/edit?usp=sharing  #gid=0"",""фіз особи new!relations_name""),6,FALSE)
,
(IF
(
C10449=""юридична особа""
,
VLOO"&amp;"KUP(D10449,IMPORTRANGE(""https://docs.google.com/spreadsheets/d/14Bd19lYaqBhU8_DElYkX7l4wRkHqqCUFNJY4AfY3kHU/edit?usp=sharing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48" s="7" t="s">
        <v>10</v>
      </c>
      <c r="H10448" s="7">
        <v>2513</v>
      </c>
      <c r="I10448" s="8" t="str">
        <f ca="1">IFERROR(__xludf.DUMMYFUNCTION("IF
(
G10449=""фізична особа""
,
VLOOKUP(H10449,IMPORTRANGE(""https://docs.google.com/spreadsheets/d/14Bd19lYaqBhU8_DElYkX7l4wRkHqqCUFNJY4AfY3kHU/edit?usp=sharing  #gid=0"",""фіз особи new!relations_name""),6,FALSE)
,
(IF
(
G10449=""юридична особа""
,
VLOO"&amp;"KUP(H10449,IMPORTRANGE(""https://docs.google.com/spreadsheets/d/14Bd19lYaqBhU8_DElYkX7l4wRkHqqCUFNJY4AfY3kHU/edit?usp=sharing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0448" s="7" t="s">
        <v>11</v>
      </c>
    </row>
    <row r="10449" spans="1:10" ht="13.2">
      <c r="A10449" s="7">
        <v>10448</v>
      </c>
      <c r="B10449" s="7">
        <v>1</v>
      </c>
      <c r="C10449" s="7" t="s">
        <v>10</v>
      </c>
      <c r="D10449" s="7">
        <v>16156</v>
      </c>
      <c r="E10449" s="7" t="s">
        <v>11</v>
      </c>
      <c r="F10449" s="8" t="str">
        <f ca="1">IFERROR(__xludf.DUMMYFUNCTION("IF
(
C10450=""фізична особа""
,
VLOOKUP(D10450,IMPORTRANGE(""https://docs.google.com/spreadsheets/d/14Bd19lYaqBhU8_DElYkX7l4wRkHqqCUFNJY4AfY3kHU/edit?usp=sharing  #gid=0"",""фіз особи new!relations_name""),6,FALSE)
,
(IF
(
C10450=""юридична особа""
,
VLOO"&amp;"KUP(D10450,IMPORTRANGE(""https://docs.google.com/spreadsheets/d/14Bd19lYaqBhU8_DElYkX7l4wRkHqqCUFNJY4AfY3kHU/edit?usp=sharing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49" s="7" t="s">
        <v>10</v>
      </c>
      <c r="H10449" s="7">
        <v>16152</v>
      </c>
      <c r="I10449" s="8" t="str">
        <f ca="1">IFERROR(__xludf.DUMMYFUNCTION("IF
(
G10450=""фізична особа""
,
VLOOKUP(H10450,IMPORTRANGE(""https://docs.google.com/spreadsheets/d/14Bd19lYaqBhU8_DElYkX7l4wRkHqqCUFNJY4AfY3kHU/edit?usp=sharing  #gid=0"",""фіз особи new!relations_name""),6,FALSE)
,
(IF
(
G10450=""юридична особа""
,
VLOO"&amp;"KUP(H10450,IMPORTRANGE(""https://docs.google.com/spreadsheets/d/14Bd19lYaqBhU8_DElYkX7l4wRkHqqCUFNJY4AfY3kHU/edit?usp=sharing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0449" s="7" t="s">
        <v>11</v>
      </c>
    </row>
    <row r="10450" spans="1:10" ht="13.2">
      <c r="A10450" s="7">
        <v>10449</v>
      </c>
      <c r="B10450" s="7">
        <v>1</v>
      </c>
      <c r="C10450" s="7" t="s">
        <v>10</v>
      </c>
      <c r="D10450" s="7">
        <v>16156</v>
      </c>
      <c r="E10450" s="7" t="s">
        <v>11</v>
      </c>
      <c r="F10450" s="8" t="str">
        <f ca="1">IFERROR(__xludf.DUMMYFUNCTION("IF
(
C10451=""фізична особа""
,
VLOOKUP(D10451,IMPORTRANGE(""https://docs.google.com/spreadsheets/d/14Bd19lYaqBhU8_DElYkX7l4wRkHqqCUFNJY4AfY3kHU/edit?usp=sharing  #gid=0"",""фіз особи new!relations_name""),6,FALSE)
,
(IF
(
C10451=""юридична особа""
,
VLOO"&amp;"KUP(D10451,IMPORTRANGE(""https://docs.google.com/spreadsheets/d/14Bd19lYaqBhU8_DElYkX7l4wRkHqqCUFNJY4AfY3kHU/edit?usp=sharing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50" s="7" t="s">
        <v>10</v>
      </c>
      <c r="H10450" s="7">
        <v>18019</v>
      </c>
      <c r="I10450" s="8" t="str">
        <f ca="1">IFERROR(__xludf.DUMMYFUNCTION("IF
(
G10451=""фізична особа""
,
VLOOKUP(H10451,IMPORTRANGE(""https://docs.google.com/spreadsheets/d/14Bd19lYaqBhU8_DElYkX7l4wRkHqqCUFNJY4AfY3kHU/edit?usp=sharing  #gid=0"",""фіз особи new!relations_name""),6,FALSE)
,
(IF
(
G10451=""юридична особа""
,
VLOO"&amp;"KUP(H10451,IMPORTRANGE(""https://docs.google.com/spreadsheets/d/14Bd19lYaqBhU8_DElYkX7l4wRkHqqCUFNJY4AfY3kHU/edit?usp=sharing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0450" s="7" t="s">
        <v>11</v>
      </c>
    </row>
    <row r="10451" spans="1:10" ht="13.2">
      <c r="A10451" s="7">
        <v>10450</v>
      </c>
      <c r="B10451" s="7">
        <v>1</v>
      </c>
      <c r="C10451" s="7" t="s">
        <v>10</v>
      </c>
      <c r="D10451" s="7">
        <v>16156</v>
      </c>
      <c r="E10451" s="7" t="s">
        <v>11</v>
      </c>
      <c r="F10451" s="8" t="str">
        <f ca="1">IFERROR(__xludf.DUMMYFUNCTION("IF
(
C10452=""фізична особа""
,
VLOOKUP(D10452,IMPORTRANGE(""https://docs.google.com/spreadsheets/d/14Bd19lYaqBhU8_DElYkX7l4wRkHqqCUFNJY4AfY3kHU/edit?usp=sharing  #gid=0"",""фіз особи new!relations_name""),6,FALSE)
,
(IF
(
C10452=""юридична особа""
,
VLOO"&amp;"KUP(D10452,IMPORTRANGE(""https://docs.google.com/spreadsheets/d/14Bd19lYaqBhU8_DElYkX7l4wRkHqqCUFNJY4AfY3kHU/edit?usp=sharing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51" s="7" t="s">
        <v>10</v>
      </c>
      <c r="H10451" s="7">
        <v>18020</v>
      </c>
      <c r="I10451" s="8" t="str">
        <f ca="1">IFERROR(__xludf.DUMMYFUNCTION("IF
(
G10452=""фізична особа""
,
VLOOKUP(H10452,IMPORTRANGE(""https://docs.google.com/spreadsheets/d/14Bd19lYaqBhU8_DElYkX7l4wRkHqqCUFNJY4AfY3kHU/edit?usp=sharing  #gid=0"",""фіз особи new!relations_name""),6,FALSE)
,
(IF
(
G10452=""юридична особа""
,
VLOO"&amp;"KUP(H10452,IMPORTRANGE(""https://docs.google.com/spreadsheets/d/14Bd19lYaqBhU8_DElYkX7l4wRkHqqCUFNJY4AfY3kHU/edit?usp=sharing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0451" s="7" t="s">
        <v>11</v>
      </c>
    </row>
    <row r="10452" spans="1:10" ht="13.2">
      <c r="A10452" s="7">
        <v>10451</v>
      </c>
      <c r="B10452" s="7">
        <v>1</v>
      </c>
      <c r="C10452" s="7" t="s">
        <v>10</v>
      </c>
      <c r="D10452" s="7">
        <v>16156</v>
      </c>
      <c r="E10452" s="7" t="s">
        <v>11</v>
      </c>
      <c r="F10452" s="8" t="str">
        <f ca="1">IFERROR(__xludf.DUMMYFUNCTION("IF
(
C10453=""фізична особа""
,
VLOOKUP(D10453,IMPORTRANGE(""https://docs.google.com/spreadsheets/d/14Bd19lYaqBhU8_DElYkX7l4wRkHqqCUFNJY4AfY3kHU/edit?usp=sharing  #gid=0"",""фіз особи new!relations_name""),6,FALSE)
,
(IF
(
C10453=""юридична особа""
,
VLOO"&amp;"KUP(D10453,IMPORTRANGE(""https://docs.google.com/spreadsheets/d/14Bd19lYaqBhU8_DElYkX7l4wRkHqqCUFNJY4AfY3kHU/edit?usp=sharing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52" s="7" t="s">
        <v>10</v>
      </c>
      <c r="H10452" s="7">
        <v>18021</v>
      </c>
      <c r="I10452" s="8" t="str">
        <f ca="1">IFERROR(__xludf.DUMMYFUNCTION("IF
(
G10453=""фізична особа""
,
VLOOKUP(H10453,IMPORTRANGE(""https://docs.google.com/spreadsheets/d/14Bd19lYaqBhU8_DElYkX7l4wRkHqqCUFNJY4AfY3kHU/edit?usp=sharing  #gid=0"",""фіз особи new!relations_name""),6,FALSE)
,
(IF
(
G10453=""юридична особа""
,
VLOO"&amp;"KUP(H10453,IMPORTRANGE(""https://docs.google.com/spreadsheets/d/14Bd19lYaqBhU8_DElYkX7l4wRkHqqCUFNJY4AfY3kHU/edit?usp=sharing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10452" s="7" t="s">
        <v>11</v>
      </c>
    </row>
    <row r="10453" spans="1:10" ht="13.2">
      <c r="A10453" s="7">
        <v>10452</v>
      </c>
      <c r="B10453" s="7">
        <v>1</v>
      </c>
      <c r="C10453" s="7" t="s">
        <v>10</v>
      </c>
      <c r="D10453" s="7">
        <v>16156</v>
      </c>
      <c r="E10453" s="7" t="s">
        <v>11</v>
      </c>
      <c r="F10453" s="8" t="str">
        <f ca="1">IFERROR(__xludf.DUMMYFUNCTION("IF
(
C10454=""фізична особа""
,
VLOOKUP(D10454,IMPORTRANGE(""https://docs.google.com/spreadsheets/d/14Bd19lYaqBhU8_DElYkX7l4wRkHqqCUFNJY4AfY3kHU/edit?usp=sharing  #gid=0"",""фіз особи new!relations_name""),6,FALSE)
,
(IF
(
C10454=""юридична особа""
,
VLOO"&amp;"KUP(D10454,IMPORTRANGE(""https://docs.google.com/spreadsheets/d/14Bd19lYaqBhU8_DElYkX7l4wRkHqqCUFNJY4AfY3kHU/edit?usp=sharing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G10453" s="7" t="s">
        <v>10</v>
      </c>
      <c r="H10453" s="7">
        <v>18022</v>
      </c>
      <c r="I10453" s="8" t="str">
        <f ca="1">IFERROR(__xludf.DUMMYFUNCTION("IF
(
G10454=""фізична особа""
,
VLOOKUP(H10454,IMPORTRANGE(""https://docs.google.com/spreadsheets/d/14Bd19lYaqBhU8_DElYkX7l4wRkHqqCUFNJY4AfY3kHU/edit?usp=sharing  #gid=0"",""фіз особи new!relations_name""),6,FALSE)
,
(IF
(
G10454=""юридична особа""
,
VLOO"&amp;"KUP(H10454,IMPORTRANGE(""https://docs.google.com/spreadsheets/d/14Bd19lYaqBhU8_DElYkX7l4wRkHqqCUFNJY4AfY3kHU/edit?usp=sharing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J10453" s="7" t="s">
        <v>11</v>
      </c>
    </row>
    <row r="10454" spans="1:10" ht="13.2">
      <c r="A10454" s="7">
        <v>10453</v>
      </c>
      <c r="B10454" s="7">
        <v>1</v>
      </c>
      <c r="C10454" s="7" t="s">
        <v>10</v>
      </c>
      <c r="D10454" s="7">
        <v>16268</v>
      </c>
      <c r="E10454" s="7" t="s">
        <v>11</v>
      </c>
      <c r="F10454" s="8" t="str">
        <f ca="1">IFERROR(__xludf.DUMMYFUNCTION("IF
(
C10455=""фізична особа""
,
VLOOKUP(D10455,IMPORTRANGE(""https://docs.google.com/spreadsheets/d/14Bd19lYaqBhU8_DElYkX7l4wRkHqqCUFNJY4AfY3kHU/edit?usp=sharing  #gid=0"",""фіз особи new!relations_name""),6,FALSE)
,
(IF
(
C10455=""юридична особа""
,
VLOO"&amp;"KUP(D10455,IMPORTRANGE(""https://docs.google.com/spreadsheets/d/14Bd19lYaqBhU8_DElYkX7l4wRkHqqCUFNJY4AfY3kHU/edit?usp=sharing  #gid=0"",""фіз особи new!relations_name_uo""),7,FALSE)
,
)
))"),"УЛІТІН Денис Борисович")</f>
        <v>УЛІТІН Денис Борисович</v>
      </c>
      <c r="G10454" s="7" t="s">
        <v>10</v>
      </c>
      <c r="H10454" s="7">
        <v>16264</v>
      </c>
      <c r="I10454" s="8" t="str">
        <f ca="1">IFERROR(__xludf.DUMMYFUNCTION("IF
(
G10455=""фізична особа""
,
VLOOKUP(H10455,IMPORTRANGE(""https://docs.google.com/spreadsheets/d/14Bd19lYaqBhU8_DElYkX7l4wRkHqqCUFNJY4AfY3kHU/edit?usp=sharing  #gid=0"",""фіз особи new!relations_name""),6,FALSE)
,
(IF
(
G10455=""юридична особа""
,
VLOO"&amp;"KUP(H10455,IMPORTRANGE(""https://docs.google.com/spreadsheets/d/14Bd19lYaqBhU8_DElYkX7l4wRkHqqCUFNJY4AfY3kHU/edit?usp=sharing  #gid=0"",""фіз особи new!relations_name_uo""),7,FALSE)
,
)
))"),"КУДРЯШОВ Сергій Іванович")</f>
        <v>КУДРЯШОВ Сергій Іванович</v>
      </c>
      <c r="J10454" s="7" t="s">
        <v>11</v>
      </c>
    </row>
    <row r="10455" spans="1:10" ht="13.2">
      <c r="A10455" s="7">
        <v>10454</v>
      </c>
      <c r="B10455" s="7">
        <v>1</v>
      </c>
      <c r="C10455" s="7" t="s">
        <v>10</v>
      </c>
      <c r="D10455" s="7">
        <v>16391</v>
      </c>
      <c r="E10455" s="7" t="s">
        <v>15</v>
      </c>
      <c r="F10455" s="8" t="str">
        <f ca="1">IFERROR(__xludf.DUMMYFUNCTION("IF
(
C10456=""фізична особа""
,
VLOOKUP(D10456,IMPORTRANGE(""https://docs.google.com/spreadsheets/d/14Bd19lYaqBhU8_DElYkX7l4wRkHqqCUFNJY4AfY3kHU/edit?usp=sharing  #gid=0"",""фіз особи new!relations_name""),6,FALSE)
,
(IF
(
C10456=""юридична особа""
,
VLOO"&amp;"KUP(D10456,IMPORTRANGE(""https://docs.google.com/spreadsheets/d/14Bd19lYaqBhU8_DElYkX7l4wRkHqqCUFNJY4AfY3kHU/edit?usp=sharing  #gid=0"",""фіз особи new!relations_name_uo""),7,FALSE)
,
)
))"),"БРАВЕРМАН Інна Яківна")</f>
        <v>БРАВЕРМАН Інна Яківна</v>
      </c>
      <c r="G10455" s="7" t="s">
        <v>10</v>
      </c>
      <c r="H10455" s="7">
        <v>16392</v>
      </c>
      <c r="I10455" s="8" t="str">
        <f ca="1">IFERROR(__xludf.DUMMYFUNCTION("IF
(
G10456=""фізична особа""
,
VLOOKUP(H10456,IMPORTRANGE(""https://docs.google.com/spreadsheets/d/14Bd19lYaqBhU8_DElYkX7l4wRkHqqCUFNJY4AfY3kHU/edit?usp=sharing  #gid=0"",""фіз особи new!relations_name""),6,FALSE)
,
(IF
(
G10456=""юридична особа""
,
VLOO"&amp;"KUP(H10456,IMPORTRANGE(""https://docs.google.com/spreadsheets/d/14Bd19lYaqBhU8_DElYkX7l4wRkHqqCUFNJY4AfY3kHU/edit?usp=sharing  #gid=0"",""фіз особи new!relations_name_uo""),7,FALSE)
,
)
))"),"БРАВЕРМАН Олександр Арнольдович")</f>
        <v>БРАВЕРМАН Олександр Арнольдович</v>
      </c>
      <c r="J10455" s="7" t="s">
        <v>14</v>
      </c>
    </row>
    <row r="10456" spans="1:10" ht="13.2">
      <c r="A10456" s="7">
        <v>10455</v>
      </c>
      <c r="B10456" s="7">
        <v>1</v>
      </c>
      <c r="C10456" s="7" t="s">
        <v>10</v>
      </c>
      <c r="D10456" s="7">
        <v>16392</v>
      </c>
      <c r="E10456" s="7" t="s">
        <v>14</v>
      </c>
      <c r="F10456" s="8" t="str">
        <f ca="1">IFERROR(__xludf.DUMMYFUNCTION("IF
(
C10457=""фізична особа""
,
VLOOKUP(D10457,IMPORTRANGE(""https://docs.google.com/spreadsheets/d/14Bd19lYaqBhU8_DElYkX7l4wRkHqqCUFNJY4AfY3kHU/edit?usp=sharing  #gid=0"",""фіз особи new!relations_name""),6,FALSE)
,
(IF
(
C10457=""юридична особа""
,
VLOO"&amp;"KUP(D10457,IMPORTRANGE(""https://docs.google.com/spreadsheets/d/14Bd19lYaqBhU8_DElYkX7l4wRkHqqCUFNJY4AfY3kHU/edit?usp=sharing  #gid=0"",""фіз особи new!relations_name_uo""),7,FALSE)
,
)
))"),"БРАВЕРМАН Олександр Арнольдович")</f>
        <v>БРАВЕРМАН Олександр Арнольдович</v>
      </c>
      <c r="G10456" s="7" t="s">
        <v>10</v>
      </c>
      <c r="H10456" s="7">
        <v>16391</v>
      </c>
      <c r="I10456" s="8" t="str">
        <f ca="1">IFERROR(__xludf.DUMMYFUNCTION("IF
(
G10457=""фізична особа""
,
VLOOKUP(H10457,IMPORTRANGE(""https://docs.google.com/spreadsheets/d/14Bd19lYaqBhU8_DElYkX7l4wRkHqqCUFNJY4AfY3kHU/edit?usp=sharing  #gid=0"",""фіз особи new!relations_name""),6,FALSE)
,
(IF
(
G10457=""юридична особа""
,
VLOO"&amp;"KUP(H10457,IMPORTRANGE(""https://docs.google.com/spreadsheets/d/14Bd19lYaqBhU8_DElYkX7l4wRkHqqCUFNJY4AfY3kHU/edit?usp=sharing  #gid=0"",""фіз особи new!relations_name_uo""),7,FALSE)
,
)
))"),"БРАВЕРМАН Інна Яківна")</f>
        <v>БРАВЕРМАН Інна Яківна</v>
      </c>
      <c r="J10456" s="7" t="s">
        <v>15</v>
      </c>
    </row>
    <row r="10457" spans="1:10" ht="13.2">
      <c r="A10457" s="7">
        <v>10456</v>
      </c>
      <c r="B10457" s="7">
        <v>1</v>
      </c>
      <c r="C10457" s="7" t="s">
        <v>10</v>
      </c>
      <c r="D10457" s="7">
        <v>16393</v>
      </c>
      <c r="E10457" s="7" t="s">
        <v>15</v>
      </c>
      <c r="F10457" s="8" t="str">
        <f ca="1">IFERROR(__xludf.DUMMYFUNCTION("IF
(
C10458=""фізична особа""
,
VLOOKUP(D10458,IMPORTRANGE(""https://docs.google.com/spreadsheets/d/14Bd19lYaqBhU8_DElYkX7l4wRkHqqCUFNJY4AfY3kHU/edit?usp=sharing  #gid=0"",""фіз особи new!relations_name""),6,FALSE)
,
(IF
(
C10458=""юридична особа""
,
VLOO"&amp;"KUP(D10458,IMPORTRANGE(""https://docs.google.com/spreadsheets/d/14Bd19lYaqBhU8_DElYkX7l4wRkHqqCUFNJY4AfY3kHU/edit?usp=sharing  #gid=0"",""фіз особи new!relations_name_uo""),7,FALSE)
,
)
))"),"КОРОЛЬОВА Мілана Олександрівна")</f>
        <v>КОРОЛЬОВА Мілана Олександрівна</v>
      </c>
      <c r="G10457" s="7" t="s">
        <v>10</v>
      </c>
      <c r="H10457" s="7">
        <v>991</v>
      </c>
      <c r="I10457" s="8" t="str">
        <f ca="1">IFERROR(__xludf.DUMMYFUNCTION("IF
(
G10458=""фізична особа""
,
VLOOKUP(H10458,IMPORTRANGE(""https://docs.google.com/spreadsheets/d/14Bd19lYaqBhU8_DElYkX7l4wRkHqqCUFNJY4AfY3kHU/edit?usp=sharing  #gid=0"",""фіз особи new!relations_name""),6,FALSE)
,
(IF
(
G10458=""юридична особа""
,
VLOO"&amp;"KUP(H10458,IMPORTRANGE(""https://docs.google.com/spreadsheets/d/14Bd19lYaqBhU8_DElYkX7l4wRkHqqCUFNJY4AfY3kHU/edit?usp=sharing  #gid=0"",""фіз особи new!relations_name_uo""),7,FALSE)
,
)
))"),"КУЧМЕНТ Михайло Львович")</f>
        <v>КУЧМЕНТ Михайло Львович</v>
      </c>
      <c r="J10457" s="7" t="s">
        <v>14</v>
      </c>
    </row>
    <row r="10458" spans="1:10" ht="13.2">
      <c r="A10458" s="7">
        <v>10457</v>
      </c>
      <c r="B10458" s="7">
        <v>1</v>
      </c>
      <c r="C10458" s="7" t="s">
        <v>10</v>
      </c>
      <c r="D10458" s="7">
        <v>16397</v>
      </c>
      <c r="E10458" s="7" t="s">
        <v>28</v>
      </c>
      <c r="F10458" s="8" t="str">
        <f ca="1">IFERROR(__xludf.DUMMYFUNCTION("IF
(
C10459=""фізична особа""
,
VLOOKUP(D10459,IMPORTRANGE(""https://docs.google.com/spreadsheets/d/14Bd19lYaqBhU8_DElYkX7l4wRkHqqCUFNJY4AfY3kHU/edit?usp=sharing  #gid=0"",""фіз особи new!relations_name""),6,FALSE)
,
(IF
(
C10459=""юридична особа""
,
VLOO"&amp;"KUP(D10459,IMPORTRANGE(""https://docs.google.com/spreadsheets/d/14Bd19lYaqBhU8_DElYkX7l4wRkHqqCUFNJY4AfY3kHU/edit?usp=sharing  #gid=0"",""фіз особи new!relations_name_uo""),7,FALSE)
,
)
))"),"БЕРНІКОВА Олена Геннадіївна")</f>
        <v>БЕРНІКОВА Олена Геннадіївна</v>
      </c>
      <c r="G10458" s="7" t="s">
        <v>10</v>
      </c>
      <c r="H10458" s="7">
        <v>23584</v>
      </c>
      <c r="I10458" s="8" t="str">
        <f ca="1">IFERROR(__xludf.DUMMYFUNCTION("IF
(
G10459=""фізична особа""
,
VLOOKUP(H10459,IMPORTRANGE(""https://docs.google.com/spreadsheets/d/14Bd19lYaqBhU8_DElYkX7l4wRkHqqCUFNJY4AfY3kHU/edit?usp=sharing  #gid=0"",""фіз особи new!relations_name""),6,FALSE)
,
(IF
(
G10459=""юридична особа""
,
VLOO"&amp;"KUP(H10459,IMPORTRANGE(""https://docs.google.com/spreadsheets/d/14Bd19lYaqBhU8_DElYkX7l4wRkHqqCUFNJY4AfY3kHU/edit?usp=sharing  #gid=0"",""фіз особи new!relations_name_uo""),7,FALSE)
,
)
))"),"ПІНЧУК Ніна Володимирівна")</f>
        <v>ПІНЧУК Ніна Володимирівна</v>
      </c>
      <c r="J10458" s="7" t="s">
        <v>29</v>
      </c>
    </row>
    <row r="10459" spans="1:10" ht="13.2">
      <c r="A10459" s="7">
        <v>10458</v>
      </c>
      <c r="B10459" s="7">
        <v>1</v>
      </c>
      <c r="C10459" s="7" t="s">
        <v>10</v>
      </c>
      <c r="D10459" s="7">
        <v>16409</v>
      </c>
      <c r="E10459" s="7" t="s">
        <v>23</v>
      </c>
      <c r="F10459" s="8" t="str">
        <f ca="1">IFERROR(__xludf.DUMMYFUNCTION("IF
(
C10460=""фізична особа""
,
VLOOKUP(D10460,IMPORTRANGE(""https://docs.google.com/spreadsheets/d/14Bd19lYaqBhU8_DElYkX7l4wRkHqqCUFNJY4AfY3kHU/edit?usp=sharing  #gid=0"",""фіз особи new!relations_name""),6,FALSE)
,
(IF
(
C10460=""юридична особа""
,
VLOO"&amp;"KUP(D10460,IMPORTRANGE(""https://docs.google.com/spreadsheets/d/14Bd19lYaqBhU8_DElYkX7l4wRkHqqCUFNJY4AfY3kHU/edit?usp=sharing  #gid=0"",""фіз особи new!relations_name_uo""),7,FALSE)
,
)
))"),"ШРЬОДЕР Герхард Фріц Курт")</f>
        <v>ШРЬОДЕР Герхард Фріц Курт</v>
      </c>
      <c r="G10459" s="7" t="s">
        <v>10</v>
      </c>
      <c r="H10459" s="7">
        <v>880</v>
      </c>
      <c r="I10459" s="8" t="str">
        <f ca="1">IFERROR(__xludf.DUMMYFUNCTION("IF
(
G10460=""фізична особа""
,
VLOOKUP(H10460,IMPORTRANGE(""https://docs.google.com/spreadsheets/d/14Bd19lYaqBhU8_DElYkX7l4wRkHqqCUFNJY4AfY3kHU/edit?usp=sharing  #gid=0"",""фіз особи new!relations_name""),6,FALSE)
,
(IF
(
G10460=""юридична особа""
,
VLOO"&amp;"KUP(H10460,IMPORTRANGE(""https://docs.google.com/spreadsheets/d/14Bd19lYaqBhU8_DElYkX7l4wRkHqqCUFNJY4AfY3kHU/edit?usp=sharing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0459" s="7" t="s">
        <v>23</v>
      </c>
    </row>
    <row r="10460" spans="1:10" ht="13.2">
      <c r="A10460" s="7">
        <v>10459</v>
      </c>
      <c r="B10460" s="7">
        <v>1</v>
      </c>
      <c r="C10460" s="7" t="s">
        <v>10</v>
      </c>
      <c r="D10460" s="7">
        <v>16412</v>
      </c>
      <c r="E10460" s="7" t="s">
        <v>11</v>
      </c>
      <c r="F10460" s="8" t="str">
        <f ca="1">IFERROR(__xludf.DUMMYFUNCTION("IF
(
C10461=""фізична особа""
,
VLOOKUP(D10461,IMPORTRANGE(""https://docs.google.com/spreadsheets/d/14Bd19lYaqBhU8_DElYkX7l4wRkHqqCUFNJY4AfY3kHU/edit?usp=sharing  #gid=0"",""фіз особи new!relations_name""),6,FALSE)
,
(IF
(
C10461=""юридична особа""
,
VLOO"&amp;"KUP(D10461,IMPORTRANGE(""https://docs.google.com/spreadsheets/d/14Bd19lYaqBhU8_DElYkX7l4wRkHqqCUFNJY4AfY3kHU/edit?usp=sharing  #gid=0"",""фіз особи new!relations_name_uo""),7,FALSE)
,
)
))"),"ЛОБАНОВА Оксана Геннадіївна")</f>
        <v>ЛОБАНОВА Оксана Геннадіївна</v>
      </c>
      <c r="G10460" s="7" t="s">
        <v>10</v>
      </c>
      <c r="H10460" s="7">
        <v>150</v>
      </c>
      <c r="I10460" s="8" t="str">
        <f ca="1">IFERROR(__xludf.DUMMYFUNCTION("IF
(
G10461=""фізична особа""
,
VLOOKUP(H10461,IMPORTRANGE(""https://docs.google.com/spreadsheets/d/14Bd19lYaqBhU8_DElYkX7l4wRkHqqCUFNJY4AfY3kHU/edit?usp=sharing  #gid=0"",""фіз особи new!relations_name""),6,FALSE)
,
(IF
(
G10461=""юридична особа""
,
VLOO"&amp;"KUP(H10461,IMPORTRANGE(""https://docs.google.com/spreadsheets/d/14Bd19lYaqBhU8_DElYkX7l4wRkHqqCUFNJY4AfY3kHU/edit?usp=sharing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60" s="7" t="s">
        <v>11</v>
      </c>
    </row>
    <row r="10461" spans="1:10" ht="13.2">
      <c r="A10461" s="7">
        <v>10460</v>
      </c>
      <c r="B10461" s="7">
        <v>1</v>
      </c>
      <c r="C10461" s="7" t="s">
        <v>10</v>
      </c>
      <c r="D10461" s="7">
        <v>16413</v>
      </c>
      <c r="E10461" s="7" t="s">
        <v>17</v>
      </c>
      <c r="F10461" s="8" t="str">
        <f ca="1">IFERROR(__xludf.DUMMYFUNCTION("IF
(
C10462=""фізична особа""
,
VLOOKUP(D10462,IMPORTRANGE(""https://docs.google.com/spreadsheets/d/14Bd19lYaqBhU8_DElYkX7l4wRkHqqCUFNJY4AfY3kHU/edit?usp=sharing  #gid=0"",""фіз особи new!relations_name""),6,FALSE)
,
(IF
(
C10462=""юридична особа""
,
VLOO"&amp;"KUP(D10462,IMPORTRANGE(""https://docs.google.com/spreadsheets/d/14Bd19lYaqBhU8_DElYkX7l4wRkHqqCUFNJY4AfY3kHU/edit?usp=sharing  #gid=0"",""фіз особи new!relations_name_uo""),7,FALSE)
,
)
))"),"УГЛОВ Андрій Олександрович")</f>
        <v>УГЛОВ Андрій Олександрович</v>
      </c>
      <c r="G10461" s="7" t="s">
        <v>10</v>
      </c>
      <c r="H10461" s="7">
        <v>0</v>
      </c>
      <c r="I10461" s="8" t="str">
        <f ca="1">IFERROR(__xludf.DUMMYFUNCTION("IF
(
G10462=""фізична особа""
,
VLOOKUP(H10462,IMPORTRANGE(""https://docs.google.com/spreadsheets/d/14Bd19lYaqBhU8_DElYkX7l4wRkHqqCUFNJY4AfY3kHU/edit?usp=sharing  #gid=0"",""фіз особи new!relations_name""),6,FALSE)
,
(IF
(
G10462=""юридична особа""
,
VLOO"&amp;"KUP(H10462,IMPORTRANGE(""https://docs.google.com/spreadsheets/d/14Bd19lYaqBhU8_DElYkX7l4wRkHqqCUFNJY4AfY3kHU/edit?usp=sharing  #gid=0"",""фіз особи new!relations_name_uo""),7,FALSE)
,
)
))"),"#N/A")</f>
        <v>#N/A</v>
      </c>
      <c r="J10461" s="7" t="s">
        <v>12</v>
      </c>
    </row>
    <row r="10462" spans="1:10" ht="13.2">
      <c r="A10462" s="7">
        <v>10461</v>
      </c>
      <c r="B10462" s="7">
        <v>1</v>
      </c>
      <c r="C10462" s="7" t="s">
        <v>10</v>
      </c>
      <c r="D10462" s="7">
        <v>16414</v>
      </c>
      <c r="E10462" s="7" t="s">
        <v>28</v>
      </c>
      <c r="F10462" s="8" t="str">
        <f ca="1">IFERROR(__xludf.DUMMYFUNCTION("IF
(
C10463=""фізична особа""
,
VLOOKUP(D10463,IMPORTRANGE(""https://docs.google.com/spreadsheets/d/14Bd19lYaqBhU8_DElYkX7l4wRkHqqCUFNJY4AfY3kHU/edit?usp=sharing  #gid=0"",""фіз особи new!relations_name""),6,FALSE)
,
(IF
(
C10463=""юридична особа""
,
VLOO"&amp;"KUP(D10463,IMPORTRANGE(""https://docs.google.com/spreadsheets/d/14Bd19lYaqBhU8_DElYkX7l4wRkHqqCUFNJY4AfY3kHU/edit?usp=sharing  #gid=0"",""фіз особи new!relations_name_uo""),7,FALSE)
,
)
))"),"ОСІН Павло Михайлович")</f>
        <v>ОСІН Павло Михайлович</v>
      </c>
      <c r="G10462" s="7" t="s">
        <v>10</v>
      </c>
      <c r="H10462" s="7">
        <v>3724</v>
      </c>
      <c r="I10462" s="8" t="str">
        <f ca="1">IFERROR(__xludf.DUMMYFUNCTION("IF
(
G10463=""фізична особа""
,
VLOOKUP(H10463,IMPORTRANGE(""https://docs.google.com/spreadsheets/d/14Bd19lYaqBhU8_DElYkX7l4wRkHqqCUFNJY4AfY3kHU/edit?usp=sharing  #gid=0"",""фіз особи new!relations_name""),6,FALSE)
,
(IF
(
G10463=""юридична особа""
,
VLOO"&amp;"KUP(H10463,IMPORTRANGE(""https://docs.google.com/spreadsheets/d/14Bd19lYaqBhU8_DElYkX7l4wRkHqqCUFNJY4AfY3kHU/edit?usp=sharing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0462" s="7" t="s">
        <v>29</v>
      </c>
    </row>
    <row r="10463" spans="1:10" ht="13.2">
      <c r="A10463" s="7">
        <v>10462</v>
      </c>
      <c r="B10463" s="7">
        <v>1</v>
      </c>
      <c r="C10463" s="7" t="s">
        <v>10</v>
      </c>
      <c r="D10463" s="7">
        <v>16414</v>
      </c>
      <c r="E10463" s="7" t="s">
        <v>28</v>
      </c>
      <c r="F10463" s="8" t="str">
        <f ca="1">IFERROR(__xludf.DUMMYFUNCTION("IF
(
C10464=""фізична особа""
,
VLOOKUP(D10464,IMPORTRANGE(""https://docs.google.com/spreadsheets/d/14Bd19lYaqBhU8_DElYkX7l4wRkHqqCUFNJY4AfY3kHU/edit?usp=sharing  #gid=0"",""фіз особи new!relations_name""),6,FALSE)
,
(IF
(
C10464=""юридична особа""
,
VLOO"&amp;"KUP(D10464,IMPORTRANGE(""https://docs.google.com/spreadsheets/d/14Bd19lYaqBhU8_DElYkX7l4wRkHqqCUFNJY4AfY3kHU/edit?usp=sharing  #gid=0"",""фіз особи new!relations_name_uo""),7,FALSE)
,
)
))"),"ОСІН Павло Михайлович")</f>
        <v>ОСІН Павло Михайлович</v>
      </c>
      <c r="G10463" s="7" t="s">
        <v>10</v>
      </c>
      <c r="H10463" s="7">
        <v>150</v>
      </c>
      <c r="I10463" s="8" t="str">
        <f ca="1">IFERROR(__xludf.DUMMYFUNCTION("IF
(
G10464=""фізична особа""
,
VLOOKUP(H10464,IMPORTRANGE(""https://docs.google.com/spreadsheets/d/14Bd19lYaqBhU8_DElYkX7l4wRkHqqCUFNJY4AfY3kHU/edit?usp=sharing  #gid=0"",""фіз особи new!relations_name""),6,FALSE)
,
(IF
(
G10464=""юридична особа""
,
VLOO"&amp;"KUP(H10464,IMPORTRANGE(""https://docs.google.com/spreadsheets/d/14Bd19lYaqBhU8_DElYkX7l4wRkHqqCUFNJY4AfY3kHU/edit?usp=sharing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63" s="7" t="s">
        <v>29</v>
      </c>
    </row>
    <row r="10464" spans="1:10" ht="13.2">
      <c r="A10464" s="7">
        <v>10463</v>
      </c>
      <c r="B10464" s="7">
        <v>1</v>
      </c>
      <c r="C10464" s="7" t="s">
        <v>10</v>
      </c>
      <c r="D10464" s="7">
        <v>16415</v>
      </c>
      <c r="E10464" s="7" t="s">
        <v>28</v>
      </c>
      <c r="F10464" s="8" t="str">
        <f ca="1">IFERROR(__xludf.DUMMYFUNCTION("IF
(
C10465=""фізична особа""
,
VLOOKUP(D10465,IMPORTRANGE(""https://docs.google.com/spreadsheets/d/14Bd19lYaqBhU8_DElYkX7l4wRkHqqCUFNJY4AfY3kHU/edit?usp=sharing  #gid=0"",""фіз особи new!relations_name""),6,FALSE)
,
(IF
(
C10465=""юридична особа""
,
VLOO"&amp;"KUP(D10465,IMPORTRANGE(""https://docs.google.com/spreadsheets/d/14Bd19lYaqBhU8_DElYkX7l4wRkHqqCUFNJY4AfY3kHU/edit?usp=sharing  #gid=0"",""фіз особи new!relations_name_uo""),7,FALSE)
,
)
))"),"ПОПОВ Олександр Миколайович")</f>
        <v>ПОПОВ Олександр Миколайович</v>
      </c>
      <c r="G10464" s="7" t="s">
        <v>10</v>
      </c>
      <c r="H10464" s="7">
        <v>150</v>
      </c>
      <c r="I10464" s="8" t="str">
        <f ca="1">IFERROR(__xludf.DUMMYFUNCTION("IF
(
G10465=""фізична особа""
,
VLOOKUP(H10465,IMPORTRANGE(""https://docs.google.com/spreadsheets/d/14Bd19lYaqBhU8_DElYkX7l4wRkHqqCUFNJY4AfY3kHU/edit?usp=sharing  #gid=0"",""фіз особи new!relations_name""),6,FALSE)
,
(IF
(
G10465=""юридична особа""
,
VLOO"&amp;"KUP(H10465,IMPORTRANGE(""https://docs.google.com/spreadsheets/d/14Bd19lYaqBhU8_DElYkX7l4wRkHqqCUFNJY4AfY3kHU/edit?usp=sharing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64" s="7" t="s">
        <v>29</v>
      </c>
    </row>
    <row r="10465" spans="1:10" ht="13.2">
      <c r="A10465" s="7">
        <v>10464</v>
      </c>
      <c r="B10465" s="7">
        <v>1</v>
      </c>
      <c r="C10465" s="7" t="s">
        <v>10</v>
      </c>
      <c r="D10465" s="7">
        <v>16416</v>
      </c>
      <c r="E10465" s="7" t="s">
        <v>28</v>
      </c>
      <c r="F10465" s="8" t="str">
        <f ca="1">IFERROR(__xludf.DUMMYFUNCTION("IF
(
C10466=""фізична особа""
,
VLOOKUP(D10466,IMPORTRANGE(""https://docs.google.com/spreadsheets/d/14Bd19lYaqBhU8_DElYkX7l4wRkHqqCUFNJY4AfY3kHU/edit?usp=sharing  #gid=0"",""фіз особи new!relations_name""),6,FALSE)
,
(IF
(
C10466=""юридична особа""
,
VLOO"&amp;"KUP(D10466,IMPORTRANGE(""https://docs.google.com/spreadsheets/d/14Bd19lYaqBhU8_DElYkX7l4wRkHqqCUFNJY4AfY3kHU/edit?usp=sharing  #gid=0"",""фіз особи new!relations_name_uo""),7,FALSE)
,
)
))"),"ЛАДИГІН Сергій Федорович")</f>
        <v>ЛАДИГІН Сергій Федорович</v>
      </c>
      <c r="G10465" s="7" t="s">
        <v>10</v>
      </c>
      <c r="H10465" s="7">
        <v>612</v>
      </c>
      <c r="I10465" s="8" t="str">
        <f ca="1">IFERROR(__xludf.DUMMYFUNCTION("IF
(
G10466=""фізична особа""
,
VLOOKUP(H10466,IMPORTRANGE(""https://docs.google.com/spreadsheets/d/14Bd19lYaqBhU8_DElYkX7l4wRkHqqCUFNJY4AfY3kHU/edit?usp=sharing  #gid=0"",""фіз особи new!relations_name""),6,FALSE)
,
(IF
(
G10466=""юридична особа""
,
VLOO"&amp;"KUP(H10466,IMPORTRANGE(""https://docs.google.com/spreadsheets/d/14Bd19lYaqBhU8_DElYkX7l4wRkHqqCUFNJY4AfY3kHU/edit?usp=sharing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J10465" s="7" t="s">
        <v>29</v>
      </c>
    </row>
    <row r="10466" spans="1:10" ht="13.2">
      <c r="A10466" s="7">
        <v>10465</v>
      </c>
      <c r="B10466" s="7">
        <v>1</v>
      </c>
      <c r="C10466" s="7" t="s">
        <v>10</v>
      </c>
      <c r="D10466" s="7">
        <v>16417</v>
      </c>
      <c r="E10466" s="7" t="s">
        <v>11</v>
      </c>
      <c r="F10466" s="8" t="str">
        <f ca="1">IFERROR(__xludf.DUMMYFUNCTION("IF
(
C10467=""фізична особа""
,
VLOOKUP(D10467,IMPORTRANGE(""https://docs.google.com/spreadsheets/d/14Bd19lYaqBhU8_DElYkX7l4wRkHqqCUFNJY4AfY3kHU/edit?usp=sharing  #gid=0"",""фіз особи new!relations_name""),6,FALSE)
,
(IF
(
C10467=""юридична особа""
,
VLOO"&amp;"KUP(D10467,IMPORTRANGE(""https://docs.google.com/spreadsheets/d/14Bd19lYaqBhU8_DElYkX7l4wRkHqqCUFNJY4AfY3kHU/edit?usp=sharing  #gid=0"",""фіз особи new!relations_name_uo""),7,FALSE)
,
)
))"),"ДЕРКАЧ Володимир Володимирович")</f>
        <v>ДЕРКАЧ Володимир Володимирович</v>
      </c>
      <c r="G10466" s="7" t="s">
        <v>10</v>
      </c>
      <c r="H10466" s="7">
        <v>2166</v>
      </c>
      <c r="I10466" s="8" t="str">
        <f ca="1">IFERROR(__xludf.DUMMYFUNCTION("IF
(
G10467=""фізична особа""
,
VLOOKUP(H10467,IMPORTRANGE(""https://docs.google.com/spreadsheets/d/14Bd19lYaqBhU8_DElYkX7l4wRkHqqCUFNJY4AfY3kHU/edit?usp=sharing  #gid=0"",""фіз особи new!relations_name""),6,FALSE)
,
(IF
(
G10467=""юридична особа""
,
VLOO"&amp;"KUP(H10467,IMPORTRANGE(""https://docs.google.com/spreadsheets/d/14Bd19lYaqBhU8_DElYkX7l4wRkHqqCUFNJY4AfY3kHU/edit?usp=sharing  #gid=0"",""фіз особи new!relations_name_uo""),7,FALSE)
,
)
))"),"АНОШКО Юрій Геннадійович")</f>
        <v>АНОШКО Юрій Геннадійович</v>
      </c>
      <c r="J10466" s="7" t="s">
        <v>11</v>
      </c>
    </row>
    <row r="10467" spans="1:10" ht="13.2">
      <c r="A10467" s="7">
        <v>10466</v>
      </c>
      <c r="B10467" s="7">
        <v>1</v>
      </c>
      <c r="C10467" s="7" t="s">
        <v>10</v>
      </c>
      <c r="D10467" s="7">
        <v>16419</v>
      </c>
      <c r="E10467" s="7" t="s">
        <v>11</v>
      </c>
      <c r="F10467" s="8" t="str">
        <f ca="1">IFERROR(__xludf.DUMMYFUNCTION("IF
(
C10468=""фізична особа""
,
VLOOKUP(D10468,IMPORTRANGE(""https://docs.google.com/spreadsheets/d/14Bd19lYaqBhU8_DElYkX7l4wRkHqqCUFNJY4AfY3kHU/edit?usp=sharing  #gid=0"",""фіз особи new!relations_name""),6,FALSE)
,
(IF
(
C10468=""юридична особа""
,
VLOO"&amp;"KUP(D10468,IMPORTRANGE(""https://docs.google.com/spreadsheets/d/14Bd19lYaqBhU8_DElYkX7l4wRkHqqCUFNJY4AfY3kHU/edit?usp=sharing  #gid=0"",""фіз особи new!relations_name_uo""),7,FALSE)
,
)
))"),"САВІН Дмитро Геннадійович")</f>
        <v>САВІН Дмитро Геннадійович</v>
      </c>
      <c r="G10467" s="7" t="s">
        <v>10</v>
      </c>
      <c r="H10467" s="7">
        <v>150</v>
      </c>
      <c r="I10467" s="8" t="str">
        <f ca="1">IFERROR(__xludf.DUMMYFUNCTION("IF
(
G10468=""фізична особа""
,
VLOOKUP(H10468,IMPORTRANGE(""https://docs.google.com/spreadsheets/d/14Bd19lYaqBhU8_DElYkX7l4wRkHqqCUFNJY4AfY3kHU/edit?usp=sharing  #gid=0"",""фіз особи new!relations_name""),6,FALSE)
,
(IF
(
G10468=""юридична особа""
,
VLOO"&amp;"KUP(H10468,IMPORTRANGE(""https://docs.google.com/spreadsheets/d/14Bd19lYaqBhU8_DElYkX7l4wRkHqqCUFNJY4AfY3kHU/edit?usp=sharing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67" s="7" t="s">
        <v>11</v>
      </c>
    </row>
    <row r="10468" spans="1:10" ht="13.2">
      <c r="A10468" s="7">
        <v>10467</v>
      </c>
      <c r="B10468" s="7">
        <v>1</v>
      </c>
      <c r="C10468" s="7" t="s">
        <v>10</v>
      </c>
      <c r="D10468" s="7">
        <v>16420</v>
      </c>
      <c r="E10468" s="7" t="s">
        <v>11</v>
      </c>
      <c r="F10468" s="8" t="str">
        <f ca="1">IFERROR(__xludf.DUMMYFUNCTION("IF
(
C10469=""фізична особа""
,
VLOOKUP(D10469,IMPORTRANGE(""https://docs.google.com/spreadsheets/d/14Bd19lYaqBhU8_DElYkX7l4wRkHqqCUFNJY4AfY3kHU/edit?usp=sharing  #gid=0"",""фіз особи new!relations_name""),6,FALSE)
,
(IF
(
C10469=""юридична особа""
,
VLOO"&amp;"KUP(D10469,IMPORTRANGE(""https://docs.google.com/spreadsheets/d/14Bd19lYaqBhU8_DElYkX7l4wRkHqqCUFNJY4AfY3kHU/edit?usp=sharing  #gid=0"",""фіз особи new!relations_name_uo""),7,FALSE)
,
)
))"),"ЄГОРОВ Іван Михайлович")</f>
        <v>ЄГОРОВ Іван Михайлович</v>
      </c>
      <c r="G10468" s="7" t="s">
        <v>10</v>
      </c>
      <c r="H10468" s="7">
        <v>5421</v>
      </c>
      <c r="I10468" s="8" t="str">
        <f ca="1">IFERROR(__xludf.DUMMYFUNCTION("IF
(
G10469=""фізична особа""
,
VLOOKUP(H10469,IMPORTRANGE(""https://docs.google.com/spreadsheets/d/14Bd19lYaqBhU8_DElYkX7l4wRkHqqCUFNJY4AfY3kHU/edit?usp=sharing  #gid=0"",""фіз особи new!relations_name""),6,FALSE)
,
(IF
(
G10469=""юридична особа""
,
VLOO"&amp;"KUP(H10469,IMPORTRANGE(""https://docs.google.com/spreadsheets/d/14Bd19lYaqBhU8_DElYkX7l4wRkHqqCUFNJY4AfY3kHU/edit?usp=sharing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68" s="7" t="s">
        <v>11</v>
      </c>
    </row>
    <row r="10469" spans="1:10" ht="13.2">
      <c r="A10469" s="7">
        <v>10468</v>
      </c>
      <c r="B10469" s="7">
        <v>1</v>
      </c>
      <c r="C10469" s="7" t="s">
        <v>10</v>
      </c>
      <c r="D10469" s="7">
        <v>16421</v>
      </c>
      <c r="E10469" s="7" t="s">
        <v>11</v>
      </c>
      <c r="F10469" s="8" t="str">
        <f ca="1">IFERROR(__xludf.DUMMYFUNCTION("IF
(
C10470=""фізична особа""
,
VLOOKUP(D10470,IMPORTRANGE(""https://docs.google.com/spreadsheets/d/14Bd19lYaqBhU8_DElYkX7l4wRkHqqCUFNJY4AfY3kHU/edit?usp=sharing  #gid=0"",""фіз особи new!relations_name""),6,FALSE)
,
(IF
(
C10470=""юридична особа""
,
VLOO"&amp;"KUP(D10470,IMPORTRANGE(""https://docs.google.com/spreadsheets/d/14Bd19lYaqBhU8_DElYkX7l4wRkHqqCUFNJY4AfY3kHU/edit?usp=sharing  #gid=0"",""фіз особи new!relations_name_uo""),7,FALSE)
,
)
))"),"ІЛЬЇН Сергій Валерійович")</f>
        <v>ІЛЬЇН Сергій Валерійович</v>
      </c>
      <c r="G10469" s="7" t="s">
        <v>10</v>
      </c>
      <c r="H10469" s="7">
        <v>5421</v>
      </c>
      <c r="I10469" s="8" t="str">
        <f ca="1">IFERROR(__xludf.DUMMYFUNCTION("IF
(
G10470=""фізична особа""
,
VLOOKUP(H10470,IMPORTRANGE(""https://docs.google.com/spreadsheets/d/14Bd19lYaqBhU8_DElYkX7l4wRkHqqCUFNJY4AfY3kHU/edit?usp=sharing  #gid=0"",""фіз особи new!relations_name""),6,FALSE)
,
(IF
(
G10470=""юридична особа""
,
VLOO"&amp;"KUP(H10470,IMPORTRANGE(""https://docs.google.com/spreadsheets/d/14Bd19lYaqBhU8_DElYkX7l4wRkHqqCUFNJY4AfY3kHU/edit?usp=sharing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69" s="7" t="s">
        <v>11</v>
      </c>
    </row>
    <row r="10470" spans="1:10" ht="13.2">
      <c r="A10470" s="7">
        <v>10469</v>
      </c>
      <c r="B10470" s="7">
        <v>1</v>
      </c>
      <c r="C10470" s="7" t="s">
        <v>10</v>
      </c>
      <c r="D10470" s="7">
        <v>16422</v>
      </c>
      <c r="E10470" s="7" t="s">
        <v>11</v>
      </c>
      <c r="F10470" s="8" t="str">
        <f ca="1">IFERROR(__xludf.DUMMYFUNCTION("IF
(
C10471=""фізична особа""
,
VLOOKUP(D10471,IMPORTRANGE(""https://docs.google.com/spreadsheets/d/14Bd19lYaqBhU8_DElYkX7l4wRkHqqCUFNJY4AfY3kHU/edit?usp=sharing  #gid=0"",""фіз особи new!relations_name""),6,FALSE)
,
(IF
(
C10471=""юридична особа""
,
VLOO"&amp;"KUP(D10471,IMPORTRANGE(""https://docs.google.com/spreadsheets/d/14Bd19lYaqBhU8_DElYkX7l4wRkHqqCUFNJY4AfY3kHU/edit?usp=sharing  #gid=0"",""фіз особи new!relations_name_uo""),7,FALSE)
,
)
))"),"КОМАРОВ Віктор Юрійович")</f>
        <v>КОМАРОВ Віктор Юрійович</v>
      </c>
      <c r="G10470" s="7" t="s">
        <v>10</v>
      </c>
      <c r="H10470" s="7">
        <v>5421</v>
      </c>
      <c r="I10470" s="8" t="str">
        <f ca="1">IFERROR(__xludf.DUMMYFUNCTION("IF
(
G10471=""фізична особа""
,
VLOOKUP(H10471,IMPORTRANGE(""https://docs.google.com/spreadsheets/d/14Bd19lYaqBhU8_DElYkX7l4wRkHqqCUFNJY4AfY3kHU/edit?usp=sharing  #gid=0"",""фіз особи new!relations_name""),6,FALSE)
,
(IF
(
G10471=""юридична особа""
,
VLOO"&amp;"KUP(H10471,IMPORTRANGE(""https://docs.google.com/spreadsheets/d/14Bd19lYaqBhU8_DElYkX7l4wRkHqqCUFNJY4AfY3kHU/edit?usp=sharing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70" s="7" t="s">
        <v>11</v>
      </c>
    </row>
    <row r="10471" spans="1:10" ht="13.2">
      <c r="A10471" s="7">
        <v>10470</v>
      </c>
      <c r="B10471" s="7">
        <v>1</v>
      </c>
      <c r="C10471" s="7" t="s">
        <v>10</v>
      </c>
      <c r="D10471" s="7">
        <v>16423</v>
      </c>
      <c r="E10471" s="7" t="s">
        <v>11</v>
      </c>
      <c r="F10471" s="8" t="str">
        <f ca="1">IFERROR(__xludf.DUMMYFUNCTION("IF
(
C10472=""фізична особа""
,
VLOOKUP(D10472,IMPORTRANGE(""https://docs.google.com/spreadsheets/d/14Bd19lYaqBhU8_DElYkX7l4wRkHqqCUFNJY4AfY3kHU/edit?usp=sharing  #gid=0"",""фіз особи new!relations_name""),6,FALSE)
,
(IF
(
C10472=""юридична особа""
,
VLOO"&amp;"KUP(D10472,IMPORTRANGE(""https://docs.google.com/spreadsheets/d/14Bd19lYaqBhU8_DElYkX7l4wRkHqqCUFNJY4AfY3kHU/edit?usp=sharing  #gid=0"",""фіз особи new!relations_name_uo""),7,FALSE)
,
)
))"),"МІНГАЛЄЄВ Ільдар Равільйович")</f>
        <v>МІНГАЛЄЄВ Ільдар Равільйович</v>
      </c>
      <c r="G10471" s="7" t="s">
        <v>10</v>
      </c>
      <c r="H10471" s="7">
        <v>5421</v>
      </c>
      <c r="I10471" s="8" t="str">
        <f ca="1">IFERROR(__xludf.DUMMYFUNCTION("IF
(
G10472=""фізична особа""
,
VLOOKUP(H10472,IMPORTRANGE(""https://docs.google.com/spreadsheets/d/14Bd19lYaqBhU8_DElYkX7l4wRkHqqCUFNJY4AfY3kHU/edit?usp=sharing  #gid=0"",""фіз особи new!relations_name""),6,FALSE)
,
(IF
(
G10472=""юридична особа""
,
VLOO"&amp;"KUP(H10472,IMPORTRANGE(""https://docs.google.com/spreadsheets/d/14Bd19lYaqBhU8_DElYkX7l4wRkHqqCUFNJY4AfY3kHU/edit?usp=sharing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71" s="7" t="s">
        <v>11</v>
      </c>
    </row>
    <row r="10472" spans="1:10" ht="13.2">
      <c r="A10472" s="7">
        <v>10471</v>
      </c>
      <c r="B10472" s="7">
        <v>1</v>
      </c>
      <c r="C10472" s="7" t="s">
        <v>10</v>
      </c>
      <c r="D10472" s="7">
        <v>16424</v>
      </c>
      <c r="E10472" s="7" t="s">
        <v>11</v>
      </c>
      <c r="F10472" s="8" t="str">
        <f ca="1">IFERROR(__xludf.DUMMYFUNCTION("IF
(
C10473=""фізична особа""
,
VLOOKUP(D10473,IMPORTRANGE(""https://docs.google.com/spreadsheets/d/14Bd19lYaqBhU8_DElYkX7l4wRkHqqCUFNJY4AfY3kHU/edit?usp=sharing  #gid=0"",""фіз особи new!relations_name""),6,FALSE)
,
(IF
(
C10473=""юридична особа""
,
VLOO"&amp;"KUP(D10473,IMPORTRANGE(""https://docs.google.com/spreadsheets/d/14Bd19lYaqBhU8_DElYkX7l4wRkHqqCUFNJY4AfY3kHU/edit?usp=sharing  #gid=0"",""фіз особи new!relations_name_uo""),7,FALSE)
,
)
))"),"СОРОЧКІН Роман Олександрович")</f>
        <v>СОРОЧКІН Роман Олександрович</v>
      </c>
      <c r="G10472" s="7" t="s">
        <v>10</v>
      </c>
      <c r="H10472" s="7">
        <v>2166</v>
      </c>
      <c r="I10472" s="8" t="str">
        <f ca="1">IFERROR(__xludf.DUMMYFUNCTION("IF
(
G10473=""фізична особа""
,
VLOOKUP(H10473,IMPORTRANGE(""https://docs.google.com/spreadsheets/d/14Bd19lYaqBhU8_DElYkX7l4wRkHqqCUFNJY4AfY3kHU/edit?usp=sharing  #gid=0"",""фіз особи new!relations_name""),6,FALSE)
,
(IF
(
G10473=""юридична особа""
,
VLOO"&amp;"KUP(H10473,IMPORTRANGE(""https://docs.google.com/spreadsheets/d/14Bd19lYaqBhU8_DElYkX7l4wRkHqqCUFNJY4AfY3kHU/edit?usp=sharing  #gid=0"",""фіз особи new!relations_name_uo""),7,FALSE)
,
)
))"),"АНОШКО Юрій Геннадійович")</f>
        <v>АНОШКО Юрій Геннадійович</v>
      </c>
      <c r="J10472" s="7" t="s">
        <v>11</v>
      </c>
    </row>
    <row r="10473" spans="1:10" ht="13.2">
      <c r="A10473" s="7">
        <v>10472</v>
      </c>
      <c r="B10473" s="7">
        <v>1</v>
      </c>
      <c r="C10473" s="7" t="s">
        <v>10</v>
      </c>
      <c r="D10473" s="7">
        <v>16425</v>
      </c>
      <c r="E10473" s="7" t="s">
        <v>11</v>
      </c>
      <c r="F10473" s="8" t="str">
        <f ca="1">IFERROR(__xludf.DUMMYFUNCTION("IF
(
C10474=""фізична особа""
,
VLOOKUP(D10474,IMPORTRANGE(""https://docs.google.com/spreadsheets/d/14Bd19lYaqBhU8_DElYkX7l4wRkHqqCUFNJY4AfY3kHU/edit?usp=sharing  #gid=0"",""фіз особи new!relations_name""),6,FALSE)
,
(IF
(
C10474=""юридична особа""
,
VLOO"&amp;"KUP(D10474,IMPORTRANGE(""https://docs.google.com/spreadsheets/d/14Bd19lYaqBhU8_DElYkX7l4wRkHqqCUFNJY4AfY3kHU/edit?usp=sharing  #gid=0"",""фіз особи new!relations_name_uo""),7,FALSE)
,
)
))"),"СУЛЕЙМАНОВ Нажмудін Сулейманович")</f>
        <v>СУЛЕЙМАНОВ Нажмудін Сулейманович</v>
      </c>
      <c r="G10473" s="7" t="s">
        <v>10</v>
      </c>
      <c r="H10473" s="7">
        <v>2166</v>
      </c>
      <c r="I10473" s="8" t="str">
        <f ca="1">IFERROR(__xludf.DUMMYFUNCTION("IF
(
G10474=""фізична особа""
,
VLOOKUP(H10474,IMPORTRANGE(""https://docs.google.com/spreadsheets/d/14Bd19lYaqBhU8_DElYkX7l4wRkHqqCUFNJY4AfY3kHU/edit?usp=sharing  #gid=0"",""фіз особи new!relations_name""),6,FALSE)
,
(IF
(
G10474=""юридична особа""
,
VLOO"&amp;"KUP(H10474,IMPORTRANGE(""https://docs.google.com/spreadsheets/d/14Bd19lYaqBhU8_DElYkX7l4wRkHqqCUFNJY4AfY3kHU/edit?usp=sharing  #gid=0"",""фіз особи new!relations_name_uo""),7,FALSE)
,
)
))"),"АНОШКО Юрій Геннадійович")</f>
        <v>АНОШКО Юрій Геннадійович</v>
      </c>
      <c r="J10473" s="7" t="s">
        <v>11</v>
      </c>
    </row>
    <row r="10474" spans="1:10" ht="13.2">
      <c r="A10474" s="7">
        <v>10473</v>
      </c>
      <c r="B10474" s="7">
        <v>1</v>
      </c>
      <c r="C10474" s="7" t="s">
        <v>10</v>
      </c>
      <c r="D10474" s="7">
        <v>16426</v>
      </c>
      <c r="E10474" s="7" t="s">
        <v>11</v>
      </c>
      <c r="F10474" s="8" t="str">
        <f ca="1">IFERROR(__xludf.DUMMYFUNCTION("IF
(
C10475=""фізична особа""
,
VLOOKUP(D10475,IMPORTRANGE(""https://docs.google.com/spreadsheets/d/14Bd19lYaqBhU8_DElYkX7l4wRkHqqCUFNJY4AfY3kHU/edit?usp=sharing  #gid=0"",""фіз особи new!relations_name""),6,FALSE)
,
(IF
(
C10475=""юридична особа""
,
VLOO"&amp;"KUP(D10475,IMPORTRANGE(""https://docs.google.com/spreadsheets/d/14Bd19lYaqBhU8_DElYkX7l4wRkHqqCUFNJY4AfY3kHU/edit?usp=sharing  #gid=0"",""фіз особи new!relations_name_uo""),7,FALSE)
,
)
))"),"РУДНИЦЬКИЙ Артем Вікторович")</f>
        <v>РУДНИЦЬКИЙ Артем Вікторович</v>
      </c>
      <c r="G10474" s="7" t="s">
        <v>10</v>
      </c>
      <c r="H10474" s="7">
        <v>5421</v>
      </c>
      <c r="I10474" s="8" t="str">
        <f ca="1">IFERROR(__xludf.DUMMYFUNCTION("IF
(
G10475=""фізична особа""
,
VLOOKUP(H10475,IMPORTRANGE(""https://docs.google.com/spreadsheets/d/14Bd19lYaqBhU8_DElYkX7l4wRkHqqCUFNJY4AfY3kHU/edit?usp=sharing  #gid=0"",""фіз особи new!relations_name""),6,FALSE)
,
(IF
(
G10475=""юридична особа""
,
VLOO"&amp;"KUP(H10475,IMPORTRANGE(""https://docs.google.com/spreadsheets/d/14Bd19lYaqBhU8_DElYkX7l4wRkHqqCUFNJY4AfY3kHU/edit?usp=sharing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74" s="7" t="s">
        <v>11</v>
      </c>
    </row>
    <row r="10475" spans="1:10" ht="13.2">
      <c r="A10475" s="7">
        <v>10474</v>
      </c>
      <c r="B10475" s="7">
        <v>1</v>
      </c>
      <c r="C10475" s="7" t="s">
        <v>10</v>
      </c>
      <c r="D10475" s="7">
        <v>16427</v>
      </c>
      <c r="E10475" s="7" t="s">
        <v>11</v>
      </c>
      <c r="F10475" s="8" t="str">
        <f ca="1">IFERROR(__xludf.DUMMYFUNCTION("IF
(
C10476=""фізична особа""
,
VLOOKUP(D10476,IMPORTRANGE(""https://docs.google.com/spreadsheets/d/14Bd19lYaqBhU8_DElYkX7l4wRkHqqCUFNJY4AfY3kHU/edit?usp=sharing  #gid=0"",""фіз особи new!relations_name""),6,FALSE)
,
(IF
(
C10476=""юридична особа""
,
VLOO"&amp;"KUP(D10476,IMPORTRANGE(""https://docs.google.com/spreadsheets/d/14Bd19lYaqBhU8_DElYkX7l4wRkHqqCUFNJY4AfY3kHU/edit?usp=sharing  #gid=0"",""фіз особи new!relations_name_uo""),7,FALSE)
,
)
))"),"СОТОВА Світлана Вікторівна")</f>
        <v>СОТОВА Світлана Вікторівна</v>
      </c>
      <c r="G10475" s="7" t="s">
        <v>10</v>
      </c>
      <c r="H10475" s="7">
        <v>5421</v>
      </c>
      <c r="I10475" s="8" t="str">
        <f ca="1">IFERROR(__xludf.DUMMYFUNCTION("IF
(
G10476=""фізична особа""
,
VLOOKUP(H10476,IMPORTRANGE(""https://docs.google.com/spreadsheets/d/14Bd19lYaqBhU8_DElYkX7l4wRkHqqCUFNJY4AfY3kHU/edit?usp=sharing  #gid=0"",""фіз особи new!relations_name""),6,FALSE)
,
(IF
(
G10476=""юридична особа""
,
VLOO"&amp;"KUP(H10476,IMPORTRANGE(""https://docs.google.com/spreadsheets/d/14Bd19lYaqBhU8_DElYkX7l4wRkHqqCUFNJY4AfY3kHU/edit?usp=sharing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75" s="7" t="s">
        <v>11</v>
      </c>
    </row>
    <row r="10476" spans="1:10" ht="13.2">
      <c r="A10476" s="7">
        <v>10475</v>
      </c>
      <c r="B10476" s="7">
        <v>1</v>
      </c>
      <c r="C10476" s="7" t="s">
        <v>10</v>
      </c>
      <c r="D10476" s="7">
        <v>16428</v>
      </c>
      <c r="E10476" s="7" t="s">
        <v>11</v>
      </c>
      <c r="F10476" s="8" t="str">
        <f ca="1">IFERROR(__xludf.DUMMYFUNCTION("IF
(
C10477=""фізична особа""
,
VLOOKUP(D10477,IMPORTRANGE(""https://docs.google.com/spreadsheets/d/14Bd19lYaqBhU8_DElYkX7l4wRkHqqCUFNJY4AfY3kHU/edit?usp=sharing  #gid=0"",""фіз особи new!relations_name""),6,FALSE)
,
(IF
(
C10477=""юридична особа""
,
VLOO"&amp;"KUP(D10477,IMPORTRANGE(""https://docs.google.com/spreadsheets/d/14Bd19lYaqBhU8_DElYkX7l4wRkHqqCUFNJY4AfY3kHU/edit?usp=sharing  #gid=0"",""фіз особи new!relations_name_uo""),7,FALSE)
,
)
))"),"ШАГІАХМЕТОВ Ільшат Ільгізович")</f>
        <v>ШАГІАХМЕТОВ Ільшат Ільгізович</v>
      </c>
      <c r="G10476" s="7" t="s">
        <v>10</v>
      </c>
      <c r="H10476" s="7">
        <v>5421</v>
      </c>
      <c r="I10476" s="8" t="str">
        <f ca="1">IFERROR(__xludf.DUMMYFUNCTION("IF
(
G10477=""фізична особа""
,
VLOOKUP(H10477,IMPORTRANGE(""https://docs.google.com/spreadsheets/d/14Bd19lYaqBhU8_DElYkX7l4wRkHqqCUFNJY4AfY3kHU/edit?usp=sharing  #gid=0"",""фіз особи new!relations_name""),6,FALSE)
,
(IF
(
G10477=""юридична особа""
,
VLOO"&amp;"KUP(H10477,IMPORTRANGE(""https://docs.google.com/spreadsheets/d/14Bd19lYaqBhU8_DElYkX7l4wRkHqqCUFNJY4AfY3kHU/edit?usp=sharing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476" s="7" t="s">
        <v>11</v>
      </c>
    </row>
    <row r="10477" spans="1:10" ht="13.2">
      <c r="A10477" s="7">
        <v>10476</v>
      </c>
      <c r="B10477" s="7">
        <v>1</v>
      </c>
      <c r="C10477" s="7" t="s">
        <v>10</v>
      </c>
      <c r="D10477" s="7">
        <v>16429</v>
      </c>
      <c r="E10477" s="7" t="s">
        <v>18</v>
      </c>
      <c r="F10477" s="8" t="str">
        <f ca="1">IFERROR(__xludf.DUMMYFUNCTION("IF
(
C10478=""фізична особа""
,
VLOOKUP(D10478,IMPORTRANGE(""https://docs.google.com/spreadsheets/d/14Bd19lYaqBhU8_DElYkX7l4wRkHqqCUFNJY4AfY3kHU/edit?usp=sharing  #gid=0"",""фіз особи new!relations_name""),6,FALSE)
,
(IF
(
C10478=""юридична особа""
,
VLOO"&amp;"KUP(D10478,IMPORTRANGE(""https://docs.google.com/spreadsheets/d/14Bd19lYaqBhU8_DElYkX7l4wRkHqqCUFNJY4AfY3kHU/edit?usp=sharing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G10477" s="7" t="s">
        <v>10</v>
      </c>
      <c r="H10477" s="7">
        <v>17771</v>
      </c>
      <c r="I10477" s="8" t="str">
        <f ca="1">IFERROR(__xludf.DUMMYFUNCTION("IF
(
G10478=""фізична особа""
,
VLOOKUP(H10478,IMPORTRANGE(""https://docs.google.com/spreadsheets/d/14Bd19lYaqBhU8_DElYkX7l4wRkHqqCUFNJY4AfY3kHU/edit?usp=sharing  #gid=0"",""фіз особи new!relations_name""),6,FALSE)
,
(IF
(
G10478=""юридична особа""
,
VLOO"&amp;"KUP(H10478,IMPORTRANGE(""https://docs.google.com/spreadsheets/d/14Bd19lYaqBhU8_DElYkX7l4wRkHqqCUFNJY4AfY3kHU/edit?usp=sharing  #gid=0"",""фіз особи new!relations_name_uo""),7,FALSE)
,
)
))"),"САЇДОВ Аділь Абукович")</f>
        <v>САЇДОВ Аділь Абукович</v>
      </c>
      <c r="J10477" s="7" t="s">
        <v>18</v>
      </c>
    </row>
    <row r="10478" spans="1:10" ht="13.2">
      <c r="A10478" s="7">
        <v>10477</v>
      </c>
      <c r="B10478" s="7">
        <v>1</v>
      </c>
      <c r="C10478" s="7" t="s">
        <v>10</v>
      </c>
      <c r="D10478" s="7">
        <v>16453</v>
      </c>
      <c r="E10478" s="7" t="s">
        <v>11</v>
      </c>
      <c r="F10478" s="8" t="str">
        <f ca="1">IFERROR(__xludf.DUMMYFUNCTION("IF
(
C10479=""фізична особа""
,
VLOOKUP(D10479,IMPORTRANGE(""https://docs.google.com/spreadsheets/d/14Bd19lYaqBhU8_DElYkX7l4wRkHqqCUFNJY4AfY3kHU/edit?usp=sharing  #gid=0"",""фіз особи new!relations_name""),6,FALSE)
,
(IF
(
C10479=""юридична особа""
,
VLOO"&amp;"KUP(D10479,IMPORTRANGE(""https://docs.google.com/spreadsheets/d/14Bd19lYaqBhU8_DElYkX7l4wRkHqqCUFNJY4AfY3kHU/edit?usp=sharing  #gid=0"",""фіз особи new!relations_name_uo""),7,FALSE)
,
)
))"),"ЛИПНІЦЬКИЙ Тарас Валерійович")</f>
        <v>ЛИПНІЦЬКИЙ Тарас Валерійович</v>
      </c>
      <c r="G10478" s="7" t="s">
        <v>10</v>
      </c>
      <c r="H10478" s="7">
        <v>2140</v>
      </c>
      <c r="I10478" s="8" t="str">
        <f ca="1">IFERROR(__xludf.DUMMYFUNCTION("IF
(
G10479=""фізична особа""
,
VLOOKUP(H10479,IMPORTRANGE(""https://docs.google.com/spreadsheets/d/14Bd19lYaqBhU8_DElYkX7l4wRkHqqCUFNJY4AfY3kHU/edit?usp=sharing  #gid=0"",""фіз особи new!relations_name""),6,FALSE)
,
(IF
(
G10479=""юридична особа""
,
VLOO"&amp;"KUP(H10479,IMPORTRANGE(""https://docs.google.com/spreadsheets/d/14Bd19lYaqBhU8_DElYkX7l4wRkHqqCUFNJY4AfY3kHU/edit?usp=sharing  #gid=0"",""фіз особи new!relations_name_uo""),7,FALSE)
,
)
))"),"БУДНІЧЕНКО Михайло Анатолійович")</f>
        <v>БУДНІЧЕНКО Михайло Анатолійович</v>
      </c>
      <c r="J10478" s="7" t="s">
        <v>11</v>
      </c>
    </row>
    <row r="10479" spans="1:10" ht="13.2">
      <c r="A10479" s="7">
        <v>10478</v>
      </c>
      <c r="B10479" s="7">
        <v>1</v>
      </c>
      <c r="C10479" s="7" t="s">
        <v>10</v>
      </c>
      <c r="D10479" s="7">
        <v>16453</v>
      </c>
      <c r="E10479" s="7" t="s">
        <v>11</v>
      </c>
      <c r="F10479" s="8" t="str">
        <f ca="1">IFERROR(__xludf.DUMMYFUNCTION("IF
(
C10480=""фізична особа""
,
VLOOKUP(D10480,IMPORTRANGE(""https://docs.google.com/spreadsheets/d/14Bd19lYaqBhU8_DElYkX7l4wRkHqqCUFNJY4AfY3kHU/edit?usp=sharing  #gid=0"",""фіз особи new!relations_name""),6,FALSE)
,
(IF
(
C10480=""юридична особа""
,
VLOO"&amp;"KUP(D10480,IMPORTRANGE(""https://docs.google.com/spreadsheets/d/14Bd19lYaqBhU8_DElYkX7l4wRkHqqCUFNJY4AfY3kHU/edit?usp=sharing  #gid=0"",""фіз особи new!relations_name_uo""),7,FALSE)
,
)
))"),"ЛИПНІЦЬКИЙ Тарас Валерійович")</f>
        <v>ЛИПНІЦЬКИЙ Тарас Валерійович</v>
      </c>
      <c r="G10479" s="7" t="s">
        <v>10</v>
      </c>
      <c r="H10479" s="7">
        <v>4023</v>
      </c>
      <c r="I10479" s="8" t="str">
        <f ca="1">IFERROR(__xludf.DUMMYFUNCTION("IF
(
G10480=""фізична особа""
,
VLOOKUP(H10480,IMPORTRANGE(""https://docs.google.com/spreadsheets/d/14Bd19lYaqBhU8_DElYkX7l4wRkHqqCUFNJY4AfY3kHU/edit?usp=sharing  #gid=0"",""фіз особи new!relations_name""),6,FALSE)
,
(IF
(
G10480=""юридична особа""
,
VLOO"&amp;"KUP(H10480,IMPORTRANGE(""https://docs.google.com/spreadsheets/d/14Bd19lYaqBhU8_DElYkX7l4wRkHqqCUFNJY4AfY3kHU/edit?usp=sharing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479" s="7" t="s">
        <v>11</v>
      </c>
    </row>
    <row r="10480" spans="1:10" ht="13.2">
      <c r="A10480" s="7">
        <v>10479</v>
      </c>
      <c r="B10480" s="7">
        <v>1</v>
      </c>
      <c r="C10480" s="7" t="s">
        <v>10</v>
      </c>
      <c r="D10480" s="7">
        <v>16457</v>
      </c>
      <c r="E10480" s="7" t="s">
        <v>11</v>
      </c>
      <c r="F10480" s="8" t="str">
        <f ca="1">IFERROR(__xludf.DUMMYFUNCTION("IF
(
C10481=""фізична особа""
,
VLOOKUP(D10481,IMPORTRANGE(""https://docs.google.com/spreadsheets/d/14Bd19lYaqBhU8_DElYkX7l4wRkHqqCUFNJY4AfY3kHU/edit?usp=sharing  #gid=0"",""фіз особи new!relations_name""),6,FALSE)
,
(IF
(
C10481=""юридична особа""
,
VLOO"&amp;"KUP(D10481,IMPORTRANGE(""https://docs.google.com/spreadsheets/d/14Bd19lYaqBhU8_DElYkX7l4wRkHqqCUFNJY4AfY3kHU/edit?usp=sharing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G10480" s="7" t="s">
        <v>10</v>
      </c>
      <c r="H10480" s="7">
        <v>16477</v>
      </c>
      <c r="I10480" s="8" t="str">
        <f ca="1">IFERROR(__xludf.DUMMYFUNCTION("IF
(
G10481=""фізична особа""
,
VLOOKUP(H10481,IMPORTRANGE(""https://docs.google.com/spreadsheets/d/14Bd19lYaqBhU8_DElYkX7l4wRkHqqCUFNJY4AfY3kHU/edit?usp=sharing  #gid=0"",""фіз особи new!relations_name""),6,FALSE)
,
(IF
(
G10481=""юридична особа""
,
VLOO"&amp;"KUP(H10481,IMPORTRANGE(""https://docs.google.com/spreadsheets/d/14Bd19lYaqBhU8_DElYkX7l4wRkHqqCUFNJY4AfY3kHU/edit?usp=sharing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480" s="7" t="s">
        <v>11</v>
      </c>
    </row>
    <row r="10481" spans="1:10" ht="13.2">
      <c r="A10481" s="7">
        <v>10480</v>
      </c>
      <c r="B10481" s="7">
        <v>1</v>
      </c>
      <c r="C10481" s="7" t="s">
        <v>10</v>
      </c>
      <c r="D10481" s="7">
        <v>16457</v>
      </c>
      <c r="E10481" s="7" t="s">
        <v>11</v>
      </c>
      <c r="F10481" s="8" t="str">
        <f ca="1">IFERROR(__xludf.DUMMYFUNCTION("IF
(
C10482=""фізична особа""
,
VLOOKUP(D10482,IMPORTRANGE(""https://docs.google.com/spreadsheets/d/14Bd19lYaqBhU8_DElYkX7l4wRkHqqCUFNJY4AfY3kHU/edit?usp=sharing  #gid=0"",""фіз особи new!relations_name""),6,FALSE)
,
(IF
(
C10482=""юридична особа""
,
VLOO"&amp;"KUP(D10482,IMPORTRANGE(""https://docs.google.com/spreadsheets/d/14Bd19lYaqBhU8_DElYkX7l4wRkHqqCUFNJY4AfY3kHU/edit?usp=sharing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G10481" s="7" t="s">
        <v>10</v>
      </c>
      <c r="H10481" s="7">
        <v>943</v>
      </c>
      <c r="I10481" s="8" t="str">
        <f ca="1">IFERROR(__xludf.DUMMYFUNCTION("IF
(
G10482=""фізична особа""
,
VLOOKUP(H10482,IMPORTRANGE(""https://docs.google.com/spreadsheets/d/14Bd19lYaqBhU8_DElYkX7l4wRkHqqCUFNJY4AfY3kHU/edit?usp=sharing  #gid=0"",""фіз особи new!relations_name""),6,FALSE)
,
(IF
(
G10482=""юридична особа""
,
VLOO"&amp;"KUP(H10482,IMPORTRANGE(""https://docs.google.com/spreadsheets/d/14Bd19lYaqBhU8_DElYkX7l4wRkHqqCUFNJY4AfY3kHU/edit?usp=sharing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481" s="7" t="s">
        <v>11</v>
      </c>
    </row>
    <row r="10482" spans="1:10" ht="13.2">
      <c r="A10482" s="7">
        <v>10481</v>
      </c>
      <c r="B10482" s="7">
        <v>1</v>
      </c>
      <c r="C10482" s="7" t="s">
        <v>10</v>
      </c>
      <c r="D10482" s="7">
        <v>16458</v>
      </c>
      <c r="E10482" s="7" t="s">
        <v>28</v>
      </c>
      <c r="F10482" s="8" t="str">
        <f ca="1">IFERROR(__xludf.DUMMYFUNCTION("IF
(
C10483=""фізична особа""
,
VLOOKUP(D10483,IMPORTRANGE(""https://docs.google.com/spreadsheets/d/14Bd19lYaqBhU8_DElYkX7l4wRkHqqCUFNJY4AfY3kHU/edit?usp=sharing  #gid=0"",""фіз особи new!relations_name""),6,FALSE)
,
(IF
(
C10483=""юридична особа""
,
VLOO"&amp;"KUP(D10483,IMPORTRANGE(""https://docs.google.com/spreadsheets/d/14Bd19lYaqBhU8_DElYkX7l4wRkHqqCUFNJY4AfY3kHU/edit?usp=sharing  #gid=0"",""фіз особи new!relations_name_uo""),7,FALSE)
,
)
))"),"КОТЕНКОВ Олександр Олексійович")</f>
        <v>КОТЕНКОВ Олександр Олексійович</v>
      </c>
      <c r="G10482" s="7" t="s">
        <v>10</v>
      </c>
      <c r="H10482" s="7">
        <v>150</v>
      </c>
      <c r="I10482" s="8" t="str">
        <f ca="1">IFERROR(__xludf.DUMMYFUNCTION("IF
(
G10483=""фізична особа""
,
VLOOKUP(H10483,IMPORTRANGE(""https://docs.google.com/spreadsheets/d/14Bd19lYaqBhU8_DElYkX7l4wRkHqqCUFNJY4AfY3kHU/edit?usp=sharing  #gid=0"",""фіз особи new!relations_name""),6,FALSE)
,
(IF
(
G10483=""юридична особа""
,
VLOO"&amp;"KUP(H10483,IMPORTRANGE(""https://docs.google.com/spreadsheets/d/14Bd19lYaqBhU8_DElYkX7l4wRkHqqCUFNJY4AfY3kHU/edit?usp=sharing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82" s="7" t="s">
        <v>29</v>
      </c>
    </row>
    <row r="10483" spans="1:10" ht="13.2">
      <c r="A10483" s="7">
        <v>10482</v>
      </c>
      <c r="B10483" s="7">
        <v>1</v>
      </c>
      <c r="C10483" s="7" t="s">
        <v>10</v>
      </c>
      <c r="D10483" s="7">
        <v>16458</v>
      </c>
      <c r="E10483" s="7" t="s">
        <v>11</v>
      </c>
      <c r="F10483" s="8" t="str">
        <f ca="1">IFERROR(__xludf.DUMMYFUNCTION("IF
(
C10484=""фізична особа""
,
VLOOKUP(D10484,IMPORTRANGE(""https://docs.google.com/spreadsheets/d/14Bd19lYaqBhU8_DElYkX7l4wRkHqqCUFNJY4AfY3kHU/edit?usp=sharing  #gid=0"",""фіз особи new!relations_name""),6,FALSE)
,
(IF
(
C10484=""юридична особа""
,
VLOO"&amp;"KUP(D10484,IMPORTRANGE(""https://docs.google.com/spreadsheets/d/14Bd19lYaqBhU8_DElYkX7l4wRkHqqCUFNJY4AfY3kHU/edit?usp=sharing  #gid=0"",""фіз особи new!relations_name_uo""),7,FALSE)
,
)
))"),"КОТЕНКОВ Олександр Олексійович")</f>
        <v>КОТЕНКОВ Олександр Олексійович</v>
      </c>
      <c r="G10483" s="7" t="s">
        <v>10</v>
      </c>
      <c r="H10483" s="7">
        <v>2148</v>
      </c>
      <c r="I10483" s="8" t="str">
        <f ca="1">IFERROR(__xludf.DUMMYFUNCTION("IF
(
G10484=""фізична особа""
,
VLOOKUP(H10484,IMPORTRANGE(""https://docs.google.com/spreadsheets/d/14Bd19lYaqBhU8_DElYkX7l4wRkHqqCUFNJY4AfY3kHU/edit?usp=sharing  #gid=0"",""фіз особи new!relations_name""),6,FALSE)
,
(IF
(
G10484=""юридична особа""
,
VLOO"&amp;"KUP(H10484,IMPORTRANGE(""https://docs.google.com/spreadsheets/d/14Bd19lYaqBhU8_DElYkX7l4wRkHqqCUFNJY4AfY3kHU/edit?usp=sharing  #gid=0"",""фіз особи new!relations_name_uo""),7,FALSE)
,
)
))"),"ДЕНИСОВ Олександр Володимирович")</f>
        <v>ДЕНИСОВ Олександр Володимирович</v>
      </c>
      <c r="J10483" s="7" t="s">
        <v>11</v>
      </c>
    </row>
    <row r="10484" spans="1:10" ht="13.2">
      <c r="A10484" s="7">
        <v>10483</v>
      </c>
      <c r="B10484" s="7">
        <v>1</v>
      </c>
      <c r="C10484" s="7" t="s">
        <v>10</v>
      </c>
      <c r="D10484" s="7">
        <v>16459</v>
      </c>
      <c r="E10484" s="7" t="s">
        <v>28</v>
      </c>
      <c r="F10484" s="8" t="str">
        <f ca="1">IFERROR(__xludf.DUMMYFUNCTION("IF
(
C10485=""фізична особа""
,
VLOOKUP(D10485,IMPORTRANGE(""https://docs.google.com/spreadsheets/d/14Bd19lYaqBhU8_DElYkX7l4wRkHqqCUFNJY4AfY3kHU/edit?usp=sharing  #gid=0"",""фіз особи new!relations_name""),6,FALSE)
,
(IF
(
C10485=""юридична особа""
,
VLOO"&amp;"KUP(D10485,IMPORTRANGE(""https://docs.google.com/spreadsheets/d/14Bd19lYaqBhU8_DElYkX7l4wRkHqqCUFNJY4AfY3kHU/edit?usp=sharing  #gid=0"",""фіз особи new!relations_name_uo""),7,FALSE)
,
)
))"),"ЛАЛЕТІНА Алла Сергіївна")</f>
        <v>ЛАЛЕТІНА Алла Сергіївна</v>
      </c>
      <c r="G10484" s="7" t="s">
        <v>10</v>
      </c>
      <c r="H10484" s="7">
        <v>150</v>
      </c>
      <c r="I10484" s="8" t="str">
        <f ca="1">IFERROR(__xludf.DUMMYFUNCTION("IF
(
G10485=""фізична особа""
,
VLOOKUP(H10485,IMPORTRANGE(""https://docs.google.com/spreadsheets/d/14Bd19lYaqBhU8_DElYkX7l4wRkHqqCUFNJY4AfY3kHU/edit?usp=sharing  #gid=0"",""фіз особи new!relations_name""),6,FALSE)
,
(IF
(
G10485=""юридична особа""
,
VLOO"&amp;"KUP(H10485,IMPORTRANGE(""https://docs.google.com/spreadsheets/d/14Bd19lYaqBhU8_DElYkX7l4wRkHqqCUFNJY4AfY3kHU/edit?usp=sharing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484" s="7" t="s">
        <v>29</v>
      </c>
    </row>
    <row r="10485" spans="1:10" ht="13.2">
      <c r="A10485" s="7">
        <v>10484</v>
      </c>
      <c r="B10485" s="7">
        <v>1</v>
      </c>
      <c r="C10485" s="7" t="s">
        <v>10</v>
      </c>
      <c r="D10485" s="7">
        <v>16459</v>
      </c>
      <c r="E10485" s="7" t="s">
        <v>11</v>
      </c>
      <c r="F10485" s="8" t="str">
        <f ca="1">IFERROR(__xludf.DUMMYFUNCTION("IF
(
C10486=""фізична особа""
,
VLOOKUP(D10486,IMPORTRANGE(""https://docs.google.com/spreadsheets/d/14Bd19lYaqBhU8_DElYkX7l4wRkHqqCUFNJY4AfY3kHU/edit?usp=sharing  #gid=0"",""фіз особи new!relations_name""),6,FALSE)
,
(IF
(
C10486=""юридична особа""
,
VLOO"&amp;"KUP(D10486,IMPORTRANGE(""https://docs.google.com/spreadsheets/d/14Bd19lYaqBhU8_DElYkX7l4wRkHqqCUFNJY4AfY3kHU/edit?usp=sharing  #gid=0"",""фіз особи new!relations_name_uo""),7,FALSE)
,
)
))"),"ЛАЛЕТІНА Алла Сергіївна")</f>
        <v>ЛАЛЕТІНА Алла Сергіївна</v>
      </c>
      <c r="G10485" s="7" t="s">
        <v>10</v>
      </c>
      <c r="H10485" s="7">
        <v>2148</v>
      </c>
      <c r="I10485" s="8" t="str">
        <f ca="1">IFERROR(__xludf.DUMMYFUNCTION("IF
(
G10486=""фізична особа""
,
VLOOKUP(H10486,IMPORTRANGE(""https://docs.google.com/spreadsheets/d/14Bd19lYaqBhU8_DElYkX7l4wRkHqqCUFNJY4AfY3kHU/edit?usp=sharing  #gid=0"",""фіз особи new!relations_name""),6,FALSE)
,
(IF
(
G10486=""юридична особа""
,
VLOO"&amp;"KUP(H10486,IMPORTRANGE(""https://docs.google.com/spreadsheets/d/14Bd19lYaqBhU8_DElYkX7l4wRkHqqCUFNJY4AfY3kHU/edit?usp=sharing  #gid=0"",""фіз особи new!relations_name_uo""),7,FALSE)
,
)
))"),"ДЕНИСОВ Олександр Володимирович")</f>
        <v>ДЕНИСОВ Олександр Володимирович</v>
      </c>
      <c r="J10485" s="7" t="s">
        <v>11</v>
      </c>
    </row>
    <row r="10486" spans="1:10" ht="13.2">
      <c r="A10486" s="7">
        <v>10485</v>
      </c>
      <c r="B10486" s="7">
        <v>1</v>
      </c>
      <c r="C10486" s="7" t="s">
        <v>10</v>
      </c>
      <c r="D10486" s="7">
        <v>16460</v>
      </c>
      <c r="E10486" s="7" t="s">
        <v>11</v>
      </c>
      <c r="F10486" s="8" t="str">
        <f ca="1">IFERROR(__xludf.DUMMYFUNCTION("IF
(
C10487=""фізична особа""
,
VLOOKUP(D10487,IMPORTRANGE(""https://docs.google.com/spreadsheets/d/14Bd19lYaqBhU8_DElYkX7l4wRkHqqCUFNJY4AfY3kHU/edit?usp=sharing  #gid=0"",""фіз особи new!relations_name""),6,FALSE)
,
(IF
(
C10487=""юридична особа""
,
VLOO"&amp;"KUP(D10487,IMPORTRANGE(""https://docs.google.com/spreadsheets/d/14Bd19lYaqBhU8_DElYkX7l4wRkHqqCUFNJY4AfY3kHU/edit?usp=sharing  #gid=0"",""фіз особи new!relations_name_uo""),7,FALSE)
,
)
))"),"ШЕРЕМЕТ Ігор Анатолійович")</f>
        <v>ШЕРЕМЕТ Ігор Анатолійович</v>
      </c>
      <c r="G10486" s="7" t="s">
        <v>10</v>
      </c>
      <c r="H10486" s="7">
        <v>2148</v>
      </c>
      <c r="I10486" s="8" t="str">
        <f ca="1">IFERROR(__xludf.DUMMYFUNCTION("IF
(
G10487=""фізична особа""
,
VLOOKUP(H10487,IMPORTRANGE(""https://docs.google.com/spreadsheets/d/14Bd19lYaqBhU8_DElYkX7l4wRkHqqCUFNJY4AfY3kHU/edit?usp=sharing  #gid=0"",""фіз особи new!relations_name""),6,FALSE)
,
(IF
(
G10487=""юридична особа""
,
VLOO"&amp;"KUP(H10487,IMPORTRANGE(""https://docs.google.com/spreadsheets/d/14Bd19lYaqBhU8_DElYkX7l4wRkHqqCUFNJY4AfY3kHU/edit?usp=sharing  #gid=0"",""фіз особи new!relations_name_uo""),7,FALSE)
,
)
))"),"ДЕНИСОВ Олександр Володимирович")</f>
        <v>ДЕНИСОВ Олександр Володимирович</v>
      </c>
      <c r="J10486" s="7" t="s">
        <v>11</v>
      </c>
    </row>
    <row r="10487" spans="1:10" ht="13.2">
      <c r="A10487" s="7">
        <v>10486</v>
      </c>
      <c r="B10487" s="7">
        <v>1</v>
      </c>
      <c r="C10487" s="7" t="s">
        <v>10</v>
      </c>
      <c r="D10487" s="7">
        <v>16440</v>
      </c>
      <c r="E10487" s="7" t="s">
        <v>28</v>
      </c>
      <c r="F10487" s="8" t="str">
        <f ca="1">IFERROR(__xludf.DUMMYFUNCTION("IF
(
C10488=""фізична особа""
,
VLOOKUP(D10488,IMPORTRANGE(""https://docs.google.com/spreadsheets/d/14Bd19lYaqBhU8_DElYkX7l4wRkHqqCUFNJY4AfY3kHU/edit?usp=sharing  #gid=0"",""фіз особи new!relations_name""),6,FALSE)
,
(IF
(
C10488=""юридична особа""
,
VLOO"&amp;"KUP(D10488,IMPORTRANGE(""https://docs.google.com/spreadsheets/d/14Bd19lYaqBhU8_DElYkX7l4wRkHqqCUFNJY4AfY3kHU/edit?usp=sharing  #gid=0"",""фіз особи new!relations_name_uo""),7,FALSE)
,
)
))"),"ШИТУХІН Віктор Рудольфович")</f>
        <v>ШИТУХІН Віктор Рудольфович</v>
      </c>
      <c r="G10487" s="7" t="s">
        <v>10</v>
      </c>
      <c r="H10487" s="7">
        <v>4696</v>
      </c>
      <c r="I10487" s="8" t="str">
        <f ca="1">IFERROR(__xludf.DUMMYFUNCTION("IF
(
G10488=""фізична особа""
,
VLOOKUP(H10488,IMPORTRANGE(""https://docs.google.com/spreadsheets/d/14Bd19lYaqBhU8_DElYkX7l4wRkHqqCUFNJY4AfY3kHU/edit?usp=sharing  #gid=0"",""фіз особи new!relations_name""),6,FALSE)
,
(IF
(
G10488=""юридична особа""
,
VLOO"&amp;"KUP(H10488,IMPORTRANGE(""https://docs.google.com/spreadsheets/d/14Bd19lYaqBhU8_DElYkX7l4wRkHqqCUFNJY4AfY3kHU/edit?usp=sharing  #gid=0"",""фіз особи new!relations_name_uo""),7,FALSE)
,
)
))"),"ФАЛЬКОВ Валерій Миколайович")</f>
        <v>ФАЛЬКОВ Валерій Миколайович</v>
      </c>
      <c r="J10487" s="7" t="s">
        <v>29</v>
      </c>
    </row>
    <row r="10488" spans="1:10" ht="13.2">
      <c r="A10488" s="7">
        <v>10487</v>
      </c>
      <c r="B10488" s="7">
        <v>1</v>
      </c>
      <c r="C10488" s="7" t="s">
        <v>10</v>
      </c>
      <c r="D10488" s="7">
        <v>16461</v>
      </c>
      <c r="E10488" s="7" t="s">
        <v>11</v>
      </c>
      <c r="F10488" s="8" t="str">
        <f ca="1">IFERROR(__xludf.DUMMYFUNCTION("IF
(
C10489=""фізична особа""
,
VLOOKUP(D10489,IMPORTRANGE(""https://docs.google.com/spreadsheets/d/14Bd19lYaqBhU8_DElYkX7l4wRkHqqCUFNJY4AfY3kHU/edit?usp=sharing  #gid=0"",""фіз особи new!relations_name""),6,FALSE)
,
(IF
(
C10489=""юридична особа""
,
VLOO"&amp;"KUP(D10489,IMPORTRANGE(""https://docs.google.com/spreadsheets/d/14Bd19lYaqBhU8_DElYkX7l4wRkHqqCUFNJY4AfY3kHU/edit?usp=sharing  #gid=0"",""фіз особи new!relations_name_uo""),7,FALSE)
,
)
))"),"АЛФЕРОВА Олена Володимирівна")</f>
        <v>АЛФЕРОВА Олена Володимирівна</v>
      </c>
      <c r="G10488" s="7" t="s">
        <v>10</v>
      </c>
      <c r="H10488" s="7">
        <v>16457</v>
      </c>
      <c r="I10488" s="8" t="str">
        <f ca="1">IFERROR(__xludf.DUMMYFUNCTION("IF
(
G10489=""фізична особа""
,
VLOOKUP(H10489,IMPORTRANGE(""https://docs.google.com/spreadsheets/d/14Bd19lYaqBhU8_DElYkX7l4wRkHqqCUFNJY4AfY3kHU/edit?usp=sharing  #gid=0"",""фіз особи new!relations_name""),6,FALSE)
,
(IF
(
G10489=""юридична особа""
,
VLOO"&amp;"KUP(H10489,IMPORTRANGE(""https://docs.google.com/spreadsheets/d/14Bd19lYaqBhU8_DElYkX7l4wRkHqqCUFNJY4AfY3kHU/edit?usp=sharing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488" s="7" t="s">
        <v>11</v>
      </c>
    </row>
    <row r="10489" spans="1:10" ht="13.2">
      <c r="A10489" s="7">
        <v>10488</v>
      </c>
      <c r="B10489" s="7">
        <v>1</v>
      </c>
      <c r="C10489" s="7" t="s">
        <v>10</v>
      </c>
      <c r="D10489" s="7">
        <v>16461</v>
      </c>
      <c r="E10489" s="7" t="s">
        <v>11</v>
      </c>
      <c r="F10489" s="8" t="str">
        <f ca="1">IFERROR(__xludf.DUMMYFUNCTION("IF
(
C10490=""фізична особа""
,
VLOOKUP(D10490,IMPORTRANGE(""https://docs.google.com/spreadsheets/d/14Bd19lYaqBhU8_DElYkX7l4wRkHqqCUFNJY4AfY3kHU/edit?usp=sharing  #gid=0"",""фіз особи new!relations_name""),6,FALSE)
,
(IF
(
C10490=""юридична особа""
,
VLOO"&amp;"KUP(D10490,IMPORTRANGE(""https://docs.google.com/spreadsheets/d/14Bd19lYaqBhU8_DElYkX7l4wRkHqqCUFNJY4AfY3kHU/edit?usp=sharing  #gid=0"",""фіз особи new!relations_name_uo""),7,FALSE)
,
)
))"),"АЛФЕРОВА Олена Володимирівна")</f>
        <v>АЛФЕРОВА Олена Володимирівна</v>
      </c>
      <c r="G10489" s="7" t="s">
        <v>10</v>
      </c>
      <c r="H10489" s="7">
        <v>16477</v>
      </c>
      <c r="I10489" s="8" t="str">
        <f ca="1">IFERROR(__xludf.DUMMYFUNCTION("IF
(
G10490=""фізична особа""
,
VLOOKUP(H10490,IMPORTRANGE(""https://docs.google.com/spreadsheets/d/14Bd19lYaqBhU8_DElYkX7l4wRkHqqCUFNJY4AfY3kHU/edit?usp=sharing  #gid=0"",""фіз особи new!relations_name""),6,FALSE)
,
(IF
(
G10490=""юридична особа""
,
VLOO"&amp;"KUP(H10490,IMPORTRANGE(""https://docs.google.com/spreadsheets/d/14Bd19lYaqBhU8_DElYkX7l4wRkHqqCUFNJY4AfY3kHU/edit?usp=sharing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489" s="7" t="s">
        <v>11</v>
      </c>
    </row>
    <row r="10490" spans="1:10" ht="13.2">
      <c r="A10490" s="7">
        <v>10489</v>
      </c>
      <c r="B10490" s="7">
        <v>1</v>
      </c>
      <c r="C10490" s="7" t="s">
        <v>10</v>
      </c>
      <c r="D10490" s="7">
        <v>16461</v>
      </c>
      <c r="E10490" s="7" t="s">
        <v>11</v>
      </c>
      <c r="F10490" s="8" t="str">
        <f ca="1">IFERROR(__xludf.DUMMYFUNCTION("IF
(
C10491=""фізична особа""
,
VLOOKUP(D10491,IMPORTRANGE(""https://docs.google.com/spreadsheets/d/14Bd19lYaqBhU8_DElYkX7l4wRkHqqCUFNJY4AfY3kHU/edit?usp=sharing  #gid=0"",""фіз особи new!relations_name""),6,FALSE)
,
(IF
(
C10491=""юридична особа""
,
VLOO"&amp;"KUP(D10491,IMPORTRANGE(""https://docs.google.com/spreadsheets/d/14Bd19lYaqBhU8_DElYkX7l4wRkHqqCUFNJY4AfY3kHU/edit?usp=sharing  #gid=0"",""фіз особи new!relations_name_uo""),7,FALSE)
,
)
))"),"АЛФЕРОВА Олена Володимирівна")</f>
        <v>АЛФЕРОВА Олена Володимирівна</v>
      </c>
      <c r="G10490" s="7" t="s">
        <v>10</v>
      </c>
      <c r="H10490" s="7">
        <v>943</v>
      </c>
      <c r="I10490" s="8" t="str">
        <f ca="1">IFERROR(__xludf.DUMMYFUNCTION("IF
(
G10491=""фізична особа""
,
VLOOKUP(H10491,IMPORTRANGE(""https://docs.google.com/spreadsheets/d/14Bd19lYaqBhU8_DElYkX7l4wRkHqqCUFNJY4AfY3kHU/edit?usp=sharing  #gid=0"",""фіз особи new!relations_name""),6,FALSE)
,
(IF
(
G10491=""юридична особа""
,
VLOO"&amp;"KUP(H10491,IMPORTRANGE(""https://docs.google.com/spreadsheets/d/14Bd19lYaqBhU8_DElYkX7l4wRkHqqCUFNJY4AfY3kHU/edit?usp=sharing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490" s="7" t="s">
        <v>11</v>
      </c>
    </row>
    <row r="10491" spans="1:10" ht="13.2">
      <c r="A10491" s="7">
        <v>10490</v>
      </c>
      <c r="B10491" s="7">
        <v>1</v>
      </c>
      <c r="C10491" s="7" t="s">
        <v>10</v>
      </c>
      <c r="D10491" s="7">
        <v>16462</v>
      </c>
      <c r="E10491" s="7" t="s">
        <v>11</v>
      </c>
      <c r="F10491" s="8" t="str">
        <f ca="1">IFERROR(__xludf.DUMMYFUNCTION("IF
(
C10492=""фізична особа""
,
VLOOKUP(D10492,IMPORTRANGE(""https://docs.google.com/spreadsheets/d/14Bd19lYaqBhU8_DElYkX7l4wRkHqqCUFNJY4AfY3kHU/edit?usp=sharing  #gid=0"",""фіз особи new!relations_name""),6,FALSE)
,
(IF
(
C10492=""юридична особа""
,
VLOO"&amp;"KUP(D10492,IMPORTRANGE(""https://docs.google.com/spreadsheets/d/14Bd19lYaqBhU8_DElYkX7l4wRkHqqCUFNJY4AfY3kHU/edit?usp=sharing  #gid=0"",""фіз особи new!relations_name_uo""),7,FALSE)
,
)
))"),"ГАНІН Сергій Вікторович")</f>
        <v>ГАНІН Сергій Вікторович</v>
      </c>
      <c r="G10491" s="7" t="s">
        <v>10</v>
      </c>
      <c r="H10491" s="7">
        <v>16457</v>
      </c>
      <c r="I10491" s="8" t="str">
        <f ca="1">IFERROR(__xludf.DUMMYFUNCTION("IF
(
G10492=""фізична особа""
,
VLOOKUP(H10492,IMPORTRANGE(""https://docs.google.com/spreadsheets/d/14Bd19lYaqBhU8_DElYkX7l4wRkHqqCUFNJY4AfY3kHU/edit?usp=sharing  #gid=0"",""фіз особи new!relations_name""),6,FALSE)
,
(IF
(
G10492=""юридична особа""
,
VLOO"&amp;"KUP(H10492,IMPORTRANGE(""https://docs.google.com/spreadsheets/d/14Bd19lYaqBhU8_DElYkX7l4wRkHqqCUFNJY4AfY3kHU/edit?usp=sharing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491" s="7" t="s">
        <v>11</v>
      </c>
    </row>
    <row r="10492" spans="1:10" ht="13.2">
      <c r="A10492" s="7">
        <v>10491</v>
      </c>
      <c r="B10492" s="7">
        <v>1</v>
      </c>
      <c r="C10492" s="7" t="s">
        <v>10</v>
      </c>
      <c r="D10492" s="7">
        <v>16462</v>
      </c>
      <c r="E10492" s="7" t="s">
        <v>11</v>
      </c>
      <c r="F10492" s="8" t="str">
        <f ca="1">IFERROR(__xludf.DUMMYFUNCTION("IF
(
C10493=""фізична особа""
,
VLOOKUP(D10493,IMPORTRANGE(""https://docs.google.com/spreadsheets/d/14Bd19lYaqBhU8_DElYkX7l4wRkHqqCUFNJY4AfY3kHU/edit?usp=sharing  #gid=0"",""фіз особи new!relations_name""),6,FALSE)
,
(IF
(
C10493=""юридична особа""
,
VLOO"&amp;"KUP(D10493,IMPORTRANGE(""https://docs.google.com/spreadsheets/d/14Bd19lYaqBhU8_DElYkX7l4wRkHqqCUFNJY4AfY3kHU/edit?usp=sharing  #gid=0"",""фіз особи new!relations_name_uo""),7,FALSE)
,
)
))"),"ГАНІН Сергій Вікторович")</f>
        <v>ГАНІН Сергій Вікторович</v>
      </c>
      <c r="G10492" s="7" t="s">
        <v>10</v>
      </c>
      <c r="H10492" s="7">
        <v>16477</v>
      </c>
      <c r="I10492" s="8" t="str">
        <f ca="1">IFERROR(__xludf.DUMMYFUNCTION("IF
(
G10493=""фізична особа""
,
VLOOKUP(H10493,IMPORTRANGE(""https://docs.google.com/spreadsheets/d/14Bd19lYaqBhU8_DElYkX7l4wRkHqqCUFNJY4AfY3kHU/edit?usp=sharing  #gid=0"",""фіз особи new!relations_name""),6,FALSE)
,
(IF
(
G10493=""юридична особа""
,
VLOO"&amp;"KUP(H10493,IMPORTRANGE(""https://docs.google.com/spreadsheets/d/14Bd19lYaqBhU8_DElYkX7l4wRkHqqCUFNJY4AfY3kHU/edit?usp=sharing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492" s="7" t="s">
        <v>11</v>
      </c>
    </row>
    <row r="10493" spans="1:10" ht="13.2">
      <c r="A10493" s="7">
        <v>10492</v>
      </c>
      <c r="B10493" s="7">
        <v>1</v>
      </c>
      <c r="C10493" s="7" t="s">
        <v>10</v>
      </c>
      <c r="D10493" s="7">
        <v>16462</v>
      </c>
      <c r="E10493" s="7" t="s">
        <v>11</v>
      </c>
      <c r="F10493" s="8" t="str">
        <f ca="1">IFERROR(__xludf.DUMMYFUNCTION("IF
(
C10494=""фізична особа""
,
VLOOKUP(D10494,IMPORTRANGE(""https://docs.google.com/spreadsheets/d/14Bd19lYaqBhU8_DElYkX7l4wRkHqqCUFNJY4AfY3kHU/edit?usp=sharing  #gid=0"",""фіз особи new!relations_name""),6,FALSE)
,
(IF
(
C10494=""юридична особа""
,
VLOO"&amp;"KUP(D10494,IMPORTRANGE(""https://docs.google.com/spreadsheets/d/14Bd19lYaqBhU8_DElYkX7l4wRkHqqCUFNJY4AfY3kHU/edit?usp=sharing  #gid=0"",""фіз особи new!relations_name_uo""),7,FALSE)
,
)
))"),"ГАНІН Сергій Вікторович")</f>
        <v>ГАНІН Сергій Вікторович</v>
      </c>
      <c r="G10493" s="7" t="s">
        <v>10</v>
      </c>
      <c r="H10493" s="7">
        <v>943</v>
      </c>
      <c r="I10493" s="8" t="str">
        <f ca="1">IFERROR(__xludf.DUMMYFUNCTION("IF
(
G10494=""фізична особа""
,
VLOOKUP(H10494,IMPORTRANGE(""https://docs.google.com/spreadsheets/d/14Bd19lYaqBhU8_DElYkX7l4wRkHqqCUFNJY4AfY3kHU/edit?usp=sharing  #gid=0"",""фіз особи new!relations_name""),6,FALSE)
,
(IF
(
G10494=""юридична особа""
,
VLOO"&amp;"KUP(H10494,IMPORTRANGE(""https://docs.google.com/spreadsheets/d/14Bd19lYaqBhU8_DElYkX7l4wRkHqqCUFNJY4AfY3kHU/edit?usp=sharing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493" s="7" t="s">
        <v>11</v>
      </c>
    </row>
    <row r="10494" spans="1:10" ht="13.2">
      <c r="A10494" s="7">
        <v>10493</v>
      </c>
      <c r="B10494" s="7">
        <v>1</v>
      </c>
      <c r="C10494" s="7" t="s">
        <v>10</v>
      </c>
      <c r="D10494" s="7">
        <v>16463</v>
      </c>
      <c r="E10494" s="7" t="s">
        <v>11</v>
      </c>
      <c r="F10494" s="8" t="str">
        <f ca="1">IFERROR(__xludf.DUMMYFUNCTION("IF
(
C10495=""фізична особа""
,
VLOOKUP(D10495,IMPORTRANGE(""https://docs.google.com/spreadsheets/d/14Bd19lYaqBhU8_DElYkX7l4wRkHqqCUFNJY4AfY3kHU/edit?usp=sharing  #gid=0"",""фіз особи new!relations_name""),6,FALSE)
,
(IF
(
C10495=""юридична особа""
,
VLOO"&amp;"KUP(D10495,IMPORTRANGE(""https://docs.google.com/spreadsheets/d/14Bd19lYaqBhU8_DElYkX7l4wRkHqqCUFNJY4AfY3kHU/edit?usp=sharing  #gid=0"",""фіз особи new!relations_name_uo""),7,FALSE)
,
)
))"),"ГОРБУНОВ Олександр Олександрович")</f>
        <v>ГОРБУНОВ Олександр Олександрович</v>
      </c>
      <c r="G10494" s="7" t="s">
        <v>10</v>
      </c>
      <c r="H10494" s="7">
        <v>16457</v>
      </c>
      <c r="I10494" s="8" t="str">
        <f ca="1">IFERROR(__xludf.DUMMYFUNCTION("IF
(
G10495=""фізична особа""
,
VLOOKUP(H10495,IMPORTRANGE(""https://docs.google.com/spreadsheets/d/14Bd19lYaqBhU8_DElYkX7l4wRkHqqCUFNJY4AfY3kHU/edit?usp=sharing  #gid=0"",""фіз особи new!relations_name""),6,FALSE)
,
(IF
(
G10495=""юридична особа""
,
VLOO"&amp;"KUP(H10495,IMPORTRANGE(""https://docs.google.com/spreadsheets/d/14Bd19lYaqBhU8_DElYkX7l4wRkHqqCUFNJY4AfY3kHU/edit?usp=sharing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494" s="7" t="s">
        <v>11</v>
      </c>
    </row>
    <row r="10495" spans="1:10" ht="13.2">
      <c r="A10495" s="7">
        <v>10494</v>
      </c>
      <c r="B10495" s="7">
        <v>1</v>
      </c>
      <c r="C10495" s="7" t="s">
        <v>10</v>
      </c>
      <c r="D10495" s="7">
        <v>16463</v>
      </c>
      <c r="E10495" s="7" t="s">
        <v>11</v>
      </c>
      <c r="F10495" s="8" t="str">
        <f ca="1">IFERROR(__xludf.DUMMYFUNCTION("IF
(
C10496=""фізична особа""
,
VLOOKUP(D10496,IMPORTRANGE(""https://docs.google.com/spreadsheets/d/14Bd19lYaqBhU8_DElYkX7l4wRkHqqCUFNJY4AfY3kHU/edit?usp=sharing  #gid=0"",""фіз особи new!relations_name""),6,FALSE)
,
(IF
(
C10496=""юридична особа""
,
VLOO"&amp;"KUP(D10496,IMPORTRANGE(""https://docs.google.com/spreadsheets/d/14Bd19lYaqBhU8_DElYkX7l4wRkHqqCUFNJY4AfY3kHU/edit?usp=sharing  #gid=0"",""фіз особи new!relations_name_uo""),7,FALSE)
,
)
))"),"ГОРБУНОВ Олександр Олександрович")</f>
        <v>ГОРБУНОВ Олександр Олександрович</v>
      </c>
      <c r="G10495" s="7" t="s">
        <v>10</v>
      </c>
      <c r="H10495" s="7">
        <v>16477</v>
      </c>
      <c r="I10495" s="8" t="str">
        <f ca="1">IFERROR(__xludf.DUMMYFUNCTION("IF
(
G10496=""фізична особа""
,
VLOOKUP(H10496,IMPORTRANGE(""https://docs.google.com/spreadsheets/d/14Bd19lYaqBhU8_DElYkX7l4wRkHqqCUFNJY4AfY3kHU/edit?usp=sharing  #gid=0"",""фіз особи new!relations_name""),6,FALSE)
,
(IF
(
G10496=""юридична особа""
,
VLOO"&amp;"KUP(H10496,IMPORTRANGE(""https://docs.google.com/spreadsheets/d/14Bd19lYaqBhU8_DElYkX7l4wRkHqqCUFNJY4AfY3kHU/edit?usp=sharing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495" s="7" t="s">
        <v>11</v>
      </c>
    </row>
    <row r="10496" spans="1:10" ht="13.2">
      <c r="A10496" s="7">
        <v>10495</v>
      </c>
      <c r="B10496" s="7">
        <v>1</v>
      </c>
      <c r="C10496" s="7" t="s">
        <v>10</v>
      </c>
      <c r="D10496" s="7">
        <v>16463</v>
      </c>
      <c r="E10496" s="7" t="s">
        <v>11</v>
      </c>
      <c r="F10496" s="8" t="str">
        <f ca="1">IFERROR(__xludf.DUMMYFUNCTION("IF
(
C10497=""фізична особа""
,
VLOOKUP(D10497,IMPORTRANGE(""https://docs.google.com/spreadsheets/d/14Bd19lYaqBhU8_DElYkX7l4wRkHqqCUFNJY4AfY3kHU/edit?usp=sharing  #gid=0"",""фіз особи new!relations_name""),6,FALSE)
,
(IF
(
C10497=""юридична особа""
,
VLOO"&amp;"KUP(D10497,IMPORTRANGE(""https://docs.google.com/spreadsheets/d/14Bd19lYaqBhU8_DElYkX7l4wRkHqqCUFNJY4AfY3kHU/edit?usp=sharing  #gid=0"",""фіз особи new!relations_name_uo""),7,FALSE)
,
)
))"),"ГОРБУНОВ Олександр Олександрович")</f>
        <v>ГОРБУНОВ Олександр Олександрович</v>
      </c>
      <c r="G10496" s="7" t="s">
        <v>10</v>
      </c>
      <c r="H10496" s="7">
        <v>943</v>
      </c>
      <c r="I10496" s="8" t="str">
        <f ca="1">IFERROR(__xludf.DUMMYFUNCTION("IF
(
G10497=""фізична особа""
,
VLOOKUP(H10497,IMPORTRANGE(""https://docs.google.com/spreadsheets/d/14Bd19lYaqBhU8_DElYkX7l4wRkHqqCUFNJY4AfY3kHU/edit?usp=sharing  #gid=0"",""фіз особи new!relations_name""),6,FALSE)
,
(IF
(
G10497=""юридична особа""
,
VLOO"&amp;"KUP(H10497,IMPORTRANGE(""https://docs.google.com/spreadsheets/d/14Bd19lYaqBhU8_DElYkX7l4wRkHqqCUFNJY4AfY3kHU/edit?usp=sharing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496" s="7" t="s">
        <v>11</v>
      </c>
    </row>
    <row r="10497" spans="1:10" ht="13.2">
      <c r="A10497" s="7">
        <v>10496</v>
      </c>
      <c r="B10497" s="7">
        <v>1</v>
      </c>
      <c r="C10497" s="7" t="s">
        <v>10</v>
      </c>
      <c r="D10497" s="7">
        <v>16464</v>
      </c>
      <c r="E10497" s="7" t="s">
        <v>11</v>
      </c>
      <c r="F10497" s="8" t="str">
        <f ca="1">IFERROR(__xludf.DUMMYFUNCTION("IF
(
C10498=""фізична особа""
,
VLOOKUP(D10498,IMPORTRANGE(""https://docs.google.com/spreadsheets/d/14Bd19lYaqBhU8_DElYkX7l4wRkHqqCUFNJY4AfY3kHU/edit?usp=sharing  #gid=0"",""фіз особи new!relations_name""),6,FALSE)
,
(IF
(
C10498=""юридична особа""
,
VLOO"&amp;"KUP(D10498,IMPORTRANGE(""https://docs.google.com/spreadsheets/d/14Bd19lYaqBhU8_DElYkX7l4wRkHqqCUFNJY4AfY3kHU/edit?usp=sharing  #gid=0"",""фіз особи new!relations_name_uo""),7,FALSE)
,
)
))"),"ГРЕЗІН Михайло Валерійович")</f>
        <v>ГРЕЗІН Михайло Валерійович</v>
      </c>
      <c r="G10497" s="7" t="s">
        <v>10</v>
      </c>
      <c r="H10497" s="7">
        <v>16457</v>
      </c>
      <c r="I10497" s="8" t="str">
        <f ca="1">IFERROR(__xludf.DUMMYFUNCTION("IF
(
G10498=""фізична особа""
,
VLOOKUP(H10498,IMPORTRANGE(""https://docs.google.com/spreadsheets/d/14Bd19lYaqBhU8_DElYkX7l4wRkHqqCUFNJY4AfY3kHU/edit?usp=sharing  #gid=0"",""фіз особи new!relations_name""),6,FALSE)
,
(IF
(
G10498=""юридична особа""
,
VLOO"&amp;"KUP(H10498,IMPORTRANGE(""https://docs.google.com/spreadsheets/d/14Bd19lYaqBhU8_DElYkX7l4wRkHqqCUFNJY4AfY3kHU/edit?usp=sharing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497" s="7" t="s">
        <v>11</v>
      </c>
    </row>
    <row r="10498" spans="1:10" ht="13.2">
      <c r="A10498" s="7">
        <v>10497</v>
      </c>
      <c r="B10498" s="7">
        <v>1</v>
      </c>
      <c r="C10498" s="7" t="s">
        <v>10</v>
      </c>
      <c r="D10498" s="7">
        <v>16464</v>
      </c>
      <c r="E10498" s="7" t="s">
        <v>11</v>
      </c>
      <c r="F10498" s="8" t="str">
        <f ca="1">IFERROR(__xludf.DUMMYFUNCTION("IF
(
C10499=""фізична особа""
,
VLOOKUP(D10499,IMPORTRANGE(""https://docs.google.com/spreadsheets/d/14Bd19lYaqBhU8_DElYkX7l4wRkHqqCUFNJY4AfY3kHU/edit?usp=sharing  #gid=0"",""фіз особи new!relations_name""),6,FALSE)
,
(IF
(
C10499=""юридична особа""
,
VLOO"&amp;"KUP(D10499,IMPORTRANGE(""https://docs.google.com/spreadsheets/d/14Bd19lYaqBhU8_DElYkX7l4wRkHqqCUFNJY4AfY3kHU/edit?usp=sharing  #gid=0"",""фіз особи new!relations_name_uo""),7,FALSE)
,
)
))"),"ГРЕЗІН Михайло Валерійович")</f>
        <v>ГРЕЗІН Михайло Валерійович</v>
      </c>
      <c r="G10498" s="7" t="s">
        <v>10</v>
      </c>
      <c r="H10498" s="7">
        <v>16477</v>
      </c>
      <c r="I10498" s="8" t="str">
        <f ca="1">IFERROR(__xludf.DUMMYFUNCTION("IF
(
G10499=""фізична особа""
,
VLOOKUP(H10499,IMPORTRANGE(""https://docs.google.com/spreadsheets/d/14Bd19lYaqBhU8_DElYkX7l4wRkHqqCUFNJY4AfY3kHU/edit?usp=sharing  #gid=0"",""фіз особи new!relations_name""),6,FALSE)
,
(IF
(
G10499=""юридична особа""
,
VLOO"&amp;"KUP(H10499,IMPORTRANGE(""https://docs.google.com/spreadsheets/d/14Bd19lYaqBhU8_DElYkX7l4wRkHqqCUFNJY4AfY3kHU/edit?usp=sharing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498" s="7" t="s">
        <v>11</v>
      </c>
    </row>
    <row r="10499" spans="1:10" ht="13.2">
      <c r="A10499" s="7">
        <v>10498</v>
      </c>
      <c r="B10499" s="7">
        <v>1</v>
      </c>
      <c r="C10499" s="7" t="s">
        <v>10</v>
      </c>
      <c r="D10499" s="7">
        <v>16464</v>
      </c>
      <c r="E10499" s="7" t="s">
        <v>11</v>
      </c>
      <c r="F10499" s="8" t="str">
        <f ca="1">IFERROR(__xludf.DUMMYFUNCTION("IF
(
C10500=""фізична особа""
,
VLOOKUP(D10500,IMPORTRANGE(""https://docs.google.com/spreadsheets/d/14Bd19lYaqBhU8_DElYkX7l4wRkHqqCUFNJY4AfY3kHU/edit?usp=sharing  #gid=0"",""фіз особи new!relations_name""),6,FALSE)
,
(IF
(
C10500=""юридична особа""
,
VLOO"&amp;"KUP(D10500,IMPORTRANGE(""https://docs.google.com/spreadsheets/d/14Bd19lYaqBhU8_DElYkX7l4wRkHqqCUFNJY4AfY3kHU/edit?usp=sharing  #gid=0"",""фіз особи new!relations_name_uo""),7,FALSE)
,
)
))"),"ГРЕЗІН Михайло Валерійович")</f>
        <v>ГРЕЗІН Михайло Валерійович</v>
      </c>
      <c r="G10499" s="7" t="s">
        <v>10</v>
      </c>
      <c r="H10499" s="7">
        <v>943</v>
      </c>
      <c r="I10499" s="8" t="str">
        <f ca="1">IFERROR(__xludf.DUMMYFUNCTION("IF
(
G10500=""фізична особа""
,
VLOOKUP(H10500,IMPORTRANGE(""https://docs.google.com/spreadsheets/d/14Bd19lYaqBhU8_DElYkX7l4wRkHqqCUFNJY4AfY3kHU/edit?usp=sharing  #gid=0"",""фіз особи new!relations_name""),6,FALSE)
,
(IF
(
G10500=""юридична особа""
,
VLOO"&amp;"KUP(H10500,IMPORTRANGE(""https://docs.google.com/spreadsheets/d/14Bd19lYaqBhU8_DElYkX7l4wRkHqqCUFNJY4AfY3kHU/edit?usp=sharing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499" s="7" t="s">
        <v>11</v>
      </c>
    </row>
    <row r="10500" spans="1:10" ht="13.2">
      <c r="A10500" s="7">
        <v>10499</v>
      </c>
      <c r="B10500" s="7">
        <v>1</v>
      </c>
      <c r="C10500" s="7" t="s">
        <v>10</v>
      </c>
      <c r="D10500" s="7">
        <v>16465</v>
      </c>
      <c r="E10500" s="7" t="s">
        <v>11</v>
      </c>
      <c r="F10500" s="8" t="str">
        <f ca="1">IFERROR(__xludf.DUMMYFUNCTION("IF
(
C10501=""фізична особа""
,
VLOOKUP(D10501,IMPORTRANGE(""https://docs.google.com/spreadsheets/d/14Bd19lYaqBhU8_DElYkX7l4wRkHqqCUFNJY4AfY3kHU/edit?usp=sharing  #gid=0"",""фіз особи new!relations_name""),6,FALSE)
,
(IF
(
C10501=""юридична особа""
,
VLOO"&amp;"KUP(D10501,IMPORTRANGE(""https://docs.google.com/spreadsheets/d/14Bd19lYaqBhU8_DElYkX7l4wRkHqqCUFNJY4AfY3kHU/edit?usp=sharing  #gid=0"",""фіз особи new!relations_name_uo""),7,FALSE)
,
)
))"),"ГРУДІНІН Юрій Володимирович")</f>
        <v>ГРУДІНІН Юрій Володимирович</v>
      </c>
      <c r="G10500" s="7" t="s">
        <v>10</v>
      </c>
      <c r="H10500" s="7">
        <v>16457</v>
      </c>
      <c r="I10500" s="8" t="str">
        <f ca="1">IFERROR(__xludf.DUMMYFUNCTION("IF
(
G10501=""фізична особа""
,
VLOOKUP(H10501,IMPORTRANGE(""https://docs.google.com/spreadsheets/d/14Bd19lYaqBhU8_DElYkX7l4wRkHqqCUFNJY4AfY3kHU/edit?usp=sharing  #gid=0"",""фіз особи new!relations_name""),6,FALSE)
,
(IF
(
G10501=""юридична особа""
,
VLOO"&amp;"KUP(H10501,IMPORTRANGE(""https://docs.google.com/spreadsheets/d/14Bd19lYaqBhU8_DElYkX7l4wRkHqqCUFNJY4AfY3kHU/edit?usp=sharing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00" s="7" t="s">
        <v>11</v>
      </c>
    </row>
    <row r="10501" spans="1:10" ht="13.2">
      <c r="A10501" s="7">
        <v>10500</v>
      </c>
      <c r="B10501" s="7">
        <v>1</v>
      </c>
      <c r="C10501" s="7" t="s">
        <v>10</v>
      </c>
      <c r="D10501" s="7">
        <v>16465</v>
      </c>
      <c r="E10501" s="7" t="s">
        <v>11</v>
      </c>
      <c r="F10501" s="8" t="str">
        <f ca="1">IFERROR(__xludf.DUMMYFUNCTION("IF
(
C10502=""фізична особа""
,
VLOOKUP(D10502,IMPORTRANGE(""https://docs.google.com/spreadsheets/d/14Bd19lYaqBhU8_DElYkX7l4wRkHqqCUFNJY4AfY3kHU/edit?usp=sharing  #gid=0"",""фіз особи new!relations_name""),6,FALSE)
,
(IF
(
C10502=""юридична особа""
,
VLOO"&amp;"KUP(D10502,IMPORTRANGE(""https://docs.google.com/spreadsheets/d/14Bd19lYaqBhU8_DElYkX7l4wRkHqqCUFNJY4AfY3kHU/edit?usp=sharing  #gid=0"",""фіз особи new!relations_name_uo""),7,FALSE)
,
)
))"),"ГРУДІНІН Юрій Володимирович")</f>
        <v>ГРУДІНІН Юрій Володимирович</v>
      </c>
      <c r="G10501" s="7" t="s">
        <v>10</v>
      </c>
      <c r="H10501" s="7">
        <v>16477</v>
      </c>
      <c r="I10501" s="8" t="str">
        <f ca="1">IFERROR(__xludf.DUMMYFUNCTION("IF
(
G10502=""фізична особа""
,
VLOOKUP(H10502,IMPORTRANGE(""https://docs.google.com/spreadsheets/d/14Bd19lYaqBhU8_DElYkX7l4wRkHqqCUFNJY4AfY3kHU/edit?usp=sharing  #gid=0"",""фіз особи new!relations_name""),6,FALSE)
,
(IF
(
G10502=""юридична особа""
,
VLOO"&amp;"KUP(H10502,IMPORTRANGE(""https://docs.google.com/spreadsheets/d/14Bd19lYaqBhU8_DElYkX7l4wRkHqqCUFNJY4AfY3kHU/edit?usp=sharing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01" s="7" t="s">
        <v>11</v>
      </c>
    </row>
    <row r="10502" spans="1:10" ht="13.2">
      <c r="A10502" s="7">
        <v>10501</v>
      </c>
      <c r="B10502" s="7">
        <v>1</v>
      </c>
      <c r="C10502" s="7" t="s">
        <v>10</v>
      </c>
      <c r="D10502" s="7">
        <v>16465</v>
      </c>
      <c r="E10502" s="7" t="s">
        <v>11</v>
      </c>
      <c r="F10502" s="8" t="str">
        <f ca="1">IFERROR(__xludf.DUMMYFUNCTION("IF
(
C10503=""фізична особа""
,
VLOOKUP(D10503,IMPORTRANGE(""https://docs.google.com/spreadsheets/d/14Bd19lYaqBhU8_DElYkX7l4wRkHqqCUFNJY4AfY3kHU/edit?usp=sharing  #gid=0"",""фіз особи new!relations_name""),6,FALSE)
,
(IF
(
C10503=""юридична особа""
,
VLOO"&amp;"KUP(D10503,IMPORTRANGE(""https://docs.google.com/spreadsheets/d/14Bd19lYaqBhU8_DElYkX7l4wRkHqqCUFNJY4AfY3kHU/edit?usp=sharing  #gid=0"",""фіз особи new!relations_name_uo""),7,FALSE)
,
)
))"),"ГРУДІНІН Юрій Володимирович")</f>
        <v>ГРУДІНІН Юрій Володимирович</v>
      </c>
      <c r="G10502" s="7" t="s">
        <v>10</v>
      </c>
      <c r="H10502" s="7">
        <v>943</v>
      </c>
      <c r="I10502" s="8" t="str">
        <f ca="1">IFERROR(__xludf.DUMMYFUNCTION("IF
(
G10503=""фізична особа""
,
VLOOKUP(H10503,IMPORTRANGE(""https://docs.google.com/spreadsheets/d/14Bd19lYaqBhU8_DElYkX7l4wRkHqqCUFNJY4AfY3kHU/edit?usp=sharing  #gid=0"",""фіз особи new!relations_name""),6,FALSE)
,
(IF
(
G10503=""юридична особа""
,
VLOO"&amp;"KUP(H10503,IMPORTRANGE(""https://docs.google.com/spreadsheets/d/14Bd19lYaqBhU8_DElYkX7l4wRkHqqCUFNJY4AfY3kHU/edit?usp=sharing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02" s="7" t="s">
        <v>11</v>
      </c>
    </row>
    <row r="10503" spans="1:10" ht="13.2">
      <c r="A10503" s="7">
        <v>10502</v>
      </c>
      <c r="B10503" s="7">
        <v>1</v>
      </c>
      <c r="C10503" s="7" t="s">
        <v>10</v>
      </c>
      <c r="D10503" s="7">
        <v>16466</v>
      </c>
      <c r="E10503" s="7" t="s">
        <v>11</v>
      </c>
      <c r="F10503" s="8" t="str">
        <f ca="1">IFERROR(__xludf.DUMMYFUNCTION("IF
(
C10504=""фізична особа""
,
VLOOKUP(D10504,IMPORTRANGE(""https://docs.google.com/spreadsheets/d/14Bd19lYaqBhU8_DElYkX7l4wRkHqqCUFNJY4AfY3kHU/edit?usp=sharing  #gid=0"",""фіз особи new!relations_name""),6,FALSE)
,
(IF
(
C10504=""юридична особа""
,
VLOO"&amp;"KUP(D10504,IMPORTRANGE(""https://docs.google.com/spreadsheets/d/14Bd19lYaqBhU8_DElYkX7l4wRkHqqCUFNJY4AfY3kHU/edit?usp=sharing  #gid=0"",""фіз особи new!relations_name_uo""),7,FALSE)
,
)
))"),"КОНЮХОВ Олександр Володимирович")</f>
        <v>КОНЮХОВ Олександр Володимирович</v>
      </c>
      <c r="G10503" s="7" t="s">
        <v>10</v>
      </c>
      <c r="H10503" s="7">
        <v>16457</v>
      </c>
      <c r="I10503" s="8" t="str">
        <f ca="1">IFERROR(__xludf.DUMMYFUNCTION("IF
(
G10504=""фізична особа""
,
VLOOKUP(H10504,IMPORTRANGE(""https://docs.google.com/spreadsheets/d/14Bd19lYaqBhU8_DElYkX7l4wRkHqqCUFNJY4AfY3kHU/edit?usp=sharing  #gid=0"",""фіз особи new!relations_name""),6,FALSE)
,
(IF
(
G10504=""юридична особа""
,
VLOO"&amp;"KUP(H10504,IMPORTRANGE(""https://docs.google.com/spreadsheets/d/14Bd19lYaqBhU8_DElYkX7l4wRkHqqCUFNJY4AfY3kHU/edit?usp=sharing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03" s="7" t="s">
        <v>11</v>
      </c>
    </row>
    <row r="10504" spans="1:10" ht="13.2">
      <c r="A10504" s="7">
        <v>10503</v>
      </c>
      <c r="B10504" s="7">
        <v>1</v>
      </c>
      <c r="C10504" s="7" t="s">
        <v>10</v>
      </c>
      <c r="D10504" s="7">
        <v>16466</v>
      </c>
      <c r="E10504" s="7" t="s">
        <v>11</v>
      </c>
      <c r="F10504" s="8" t="str">
        <f ca="1">IFERROR(__xludf.DUMMYFUNCTION("IF
(
C10505=""фізична особа""
,
VLOOKUP(D10505,IMPORTRANGE(""https://docs.google.com/spreadsheets/d/14Bd19lYaqBhU8_DElYkX7l4wRkHqqCUFNJY4AfY3kHU/edit?usp=sharing  #gid=0"",""фіз особи new!relations_name""),6,FALSE)
,
(IF
(
C10505=""юридична особа""
,
VLOO"&amp;"KUP(D10505,IMPORTRANGE(""https://docs.google.com/spreadsheets/d/14Bd19lYaqBhU8_DElYkX7l4wRkHqqCUFNJY4AfY3kHU/edit?usp=sharing  #gid=0"",""фіз особи new!relations_name_uo""),7,FALSE)
,
)
))"),"КОНЮХОВ Олександр Володимирович")</f>
        <v>КОНЮХОВ Олександр Володимирович</v>
      </c>
      <c r="G10504" s="7" t="s">
        <v>10</v>
      </c>
      <c r="H10504" s="7">
        <v>16477</v>
      </c>
      <c r="I10504" s="8" t="str">
        <f ca="1">IFERROR(__xludf.DUMMYFUNCTION("IF
(
G10505=""фізична особа""
,
VLOOKUP(H10505,IMPORTRANGE(""https://docs.google.com/spreadsheets/d/14Bd19lYaqBhU8_DElYkX7l4wRkHqqCUFNJY4AfY3kHU/edit?usp=sharing  #gid=0"",""фіз особи new!relations_name""),6,FALSE)
,
(IF
(
G10505=""юридична особа""
,
VLOO"&amp;"KUP(H10505,IMPORTRANGE(""https://docs.google.com/spreadsheets/d/14Bd19lYaqBhU8_DElYkX7l4wRkHqqCUFNJY4AfY3kHU/edit?usp=sharing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04" s="7" t="s">
        <v>11</v>
      </c>
    </row>
    <row r="10505" spans="1:10" ht="13.2">
      <c r="A10505" s="7">
        <v>10504</v>
      </c>
      <c r="B10505" s="7">
        <v>1</v>
      </c>
      <c r="C10505" s="7" t="s">
        <v>10</v>
      </c>
      <c r="D10505" s="7">
        <v>16466</v>
      </c>
      <c r="E10505" s="7" t="s">
        <v>11</v>
      </c>
      <c r="F10505" s="8" t="str">
        <f ca="1">IFERROR(__xludf.DUMMYFUNCTION("IF
(
C10506=""фізична особа""
,
VLOOKUP(D10506,IMPORTRANGE(""https://docs.google.com/spreadsheets/d/14Bd19lYaqBhU8_DElYkX7l4wRkHqqCUFNJY4AfY3kHU/edit?usp=sharing  #gid=0"",""фіз особи new!relations_name""),6,FALSE)
,
(IF
(
C10506=""юридична особа""
,
VLOO"&amp;"KUP(D10506,IMPORTRANGE(""https://docs.google.com/spreadsheets/d/14Bd19lYaqBhU8_DElYkX7l4wRkHqqCUFNJY4AfY3kHU/edit?usp=sharing  #gid=0"",""фіз особи new!relations_name_uo""),7,FALSE)
,
)
))"),"КОНЮХОВ Олександр Володимирович")</f>
        <v>КОНЮХОВ Олександр Володимирович</v>
      </c>
      <c r="G10505" s="7" t="s">
        <v>10</v>
      </c>
      <c r="H10505" s="7">
        <v>943</v>
      </c>
      <c r="I10505" s="8" t="str">
        <f ca="1">IFERROR(__xludf.DUMMYFUNCTION("IF
(
G10506=""фізична особа""
,
VLOOKUP(H10506,IMPORTRANGE(""https://docs.google.com/spreadsheets/d/14Bd19lYaqBhU8_DElYkX7l4wRkHqqCUFNJY4AfY3kHU/edit?usp=sharing  #gid=0"",""фіз особи new!relations_name""),6,FALSE)
,
(IF
(
G10506=""юридична особа""
,
VLOO"&amp;"KUP(H10506,IMPORTRANGE(""https://docs.google.com/spreadsheets/d/14Bd19lYaqBhU8_DElYkX7l4wRkHqqCUFNJY4AfY3kHU/edit?usp=sharing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05" s="7" t="s">
        <v>11</v>
      </c>
    </row>
    <row r="10506" spans="1:10" ht="13.2">
      <c r="A10506" s="7">
        <v>10505</v>
      </c>
      <c r="B10506" s="7">
        <v>1</v>
      </c>
      <c r="C10506" s="7" t="s">
        <v>10</v>
      </c>
      <c r="D10506" s="7">
        <v>16467</v>
      </c>
      <c r="E10506" s="7" t="s">
        <v>11</v>
      </c>
      <c r="F10506" s="8" t="str">
        <f ca="1">IFERROR(__xludf.DUMMYFUNCTION("IF
(
C10507=""фізична особа""
,
VLOOKUP(D10507,IMPORTRANGE(""https://docs.google.com/spreadsheets/d/14Bd19lYaqBhU8_DElYkX7l4wRkHqqCUFNJY4AfY3kHU/edit?usp=sharing  #gid=0"",""фіз особи new!relations_name""),6,FALSE)
,
(IF
(
C10507=""юридична особа""
,
VLOO"&amp;"KUP(D10507,IMPORTRANGE(""https://docs.google.com/spreadsheets/d/14Bd19lYaqBhU8_DElYkX7l4wRkHqqCUFNJY4AfY3kHU/edit?usp=sharing  #gid=0"",""фіз особи new!relations_name_uo""),7,FALSE)
,
)
))"),"КУРЗАНОВА Лариса Костянтинівна")</f>
        <v>КУРЗАНОВА Лариса Костянтинівна</v>
      </c>
      <c r="G10506" s="7" t="s">
        <v>10</v>
      </c>
      <c r="H10506" s="7">
        <v>16457</v>
      </c>
      <c r="I10506" s="8" t="str">
        <f ca="1">IFERROR(__xludf.DUMMYFUNCTION("IF
(
G10507=""фізична особа""
,
VLOOKUP(H10507,IMPORTRANGE(""https://docs.google.com/spreadsheets/d/14Bd19lYaqBhU8_DElYkX7l4wRkHqqCUFNJY4AfY3kHU/edit?usp=sharing  #gid=0"",""фіз особи new!relations_name""),6,FALSE)
,
(IF
(
G10507=""юридична особа""
,
VLOO"&amp;"KUP(H10507,IMPORTRANGE(""https://docs.google.com/spreadsheets/d/14Bd19lYaqBhU8_DElYkX7l4wRkHqqCUFNJY4AfY3kHU/edit?usp=sharing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06" s="7" t="s">
        <v>11</v>
      </c>
    </row>
    <row r="10507" spans="1:10" ht="13.2">
      <c r="A10507" s="7">
        <v>10506</v>
      </c>
      <c r="B10507" s="7">
        <v>1</v>
      </c>
      <c r="C10507" s="7" t="s">
        <v>10</v>
      </c>
      <c r="D10507" s="7">
        <v>16467</v>
      </c>
      <c r="E10507" s="7" t="s">
        <v>11</v>
      </c>
      <c r="F10507" s="8" t="str">
        <f ca="1">IFERROR(__xludf.DUMMYFUNCTION("IF
(
C10508=""фізична особа""
,
VLOOKUP(D10508,IMPORTRANGE(""https://docs.google.com/spreadsheets/d/14Bd19lYaqBhU8_DElYkX7l4wRkHqqCUFNJY4AfY3kHU/edit?usp=sharing  #gid=0"",""фіз особи new!relations_name""),6,FALSE)
,
(IF
(
C10508=""юридична особа""
,
VLOO"&amp;"KUP(D10508,IMPORTRANGE(""https://docs.google.com/spreadsheets/d/14Bd19lYaqBhU8_DElYkX7l4wRkHqqCUFNJY4AfY3kHU/edit?usp=sharing  #gid=0"",""фіз особи new!relations_name_uo""),7,FALSE)
,
)
))"),"КУРЗАНОВА Лариса Костянтинівна")</f>
        <v>КУРЗАНОВА Лариса Костянтинівна</v>
      </c>
      <c r="G10507" s="7" t="s">
        <v>10</v>
      </c>
      <c r="H10507" s="7">
        <v>16477</v>
      </c>
      <c r="I10507" s="8" t="str">
        <f ca="1">IFERROR(__xludf.DUMMYFUNCTION("IF
(
G10508=""фізична особа""
,
VLOOKUP(H10508,IMPORTRANGE(""https://docs.google.com/spreadsheets/d/14Bd19lYaqBhU8_DElYkX7l4wRkHqqCUFNJY4AfY3kHU/edit?usp=sharing  #gid=0"",""фіз особи new!relations_name""),6,FALSE)
,
(IF
(
G10508=""юридична особа""
,
VLOO"&amp;"KUP(H10508,IMPORTRANGE(""https://docs.google.com/spreadsheets/d/14Bd19lYaqBhU8_DElYkX7l4wRkHqqCUFNJY4AfY3kHU/edit?usp=sharing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07" s="7" t="s">
        <v>11</v>
      </c>
    </row>
    <row r="10508" spans="1:10" ht="13.2">
      <c r="A10508" s="7">
        <v>10507</v>
      </c>
      <c r="B10508" s="7">
        <v>1</v>
      </c>
      <c r="C10508" s="7" t="s">
        <v>10</v>
      </c>
      <c r="D10508" s="7">
        <v>16467</v>
      </c>
      <c r="E10508" s="7" t="s">
        <v>11</v>
      </c>
      <c r="F10508" s="8" t="str">
        <f ca="1">IFERROR(__xludf.DUMMYFUNCTION("IF
(
C10509=""фізична особа""
,
VLOOKUP(D10509,IMPORTRANGE(""https://docs.google.com/spreadsheets/d/14Bd19lYaqBhU8_DElYkX7l4wRkHqqCUFNJY4AfY3kHU/edit?usp=sharing  #gid=0"",""фіз особи new!relations_name""),6,FALSE)
,
(IF
(
C10509=""юридична особа""
,
VLOO"&amp;"KUP(D10509,IMPORTRANGE(""https://docs.google.com/spreadsheets/d/14Bd19lYaqBhU8_DElYkX7l4wRkHqqCUFNJY4AfY3kHU/edit?usp=sharing  #gid=0"",""фіз особи new!relations_name_uo""),7,FALSE)
,
)
))"),"КУРЗАНОВА Лариса Костянтинівна")</f>
        <v>КУРЗАНОВА Лариса Костянтинівна</v>
      </c>
      <c r="G10508" s="7" t="s">
        <v>10</v>
      </c>
      <c r="H10508" s="7">
        <v>943</v>
      </c>
      <c r="I10508" s="8" t="str">
        <f ca="1">IFERROR(__xludf.DUMMYFUNCTION("IF
(
G10509=""фізична особа""
,
VLOOKUP(H10509,IMPORTRANGE(""https://docs.google.com/spreadsheets/d/14Bd19lYaqBhU8_DElYkX7l4wRkHqqCUFNJY4AfY3kHU/edit?usp=sharing  #gid=0"",""фіз особи new!relations_name""),6,FALSE)
,
(IF
(
G10509=""юридична особа""
,
VLOO"&amp;"KUP(H10509,IMPORTRANGE(""https://docs.google.com/spreadsheets/d/14Bd19lYaqBhU8_DElYkX7l4wRkHqqCUFNJY4AfY3kHU/edit?usp=sharing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08" s="7" t="s">
        <v>11</v>
      </c>
    </row>
    <row r="10509" spans="1:10" ht="13.2">
      <c r="A10509" s="7">
        <v>10508</v>
      </c>
      <c r="B10509" s="7">
        <v>1</v>
      </c>
      <c r="C10509" s="7" t="s">
        <v>10</v>
      </c>
      <c r="D10509" s="7">
        <v>16468</v>
      </c>
      <c r="E10509" s="7" t="s">
        <v>11</v>
      </c>
      <c r="F10509" s="8" t="str">
        <f ca="1">IFERROR(__xludf.DUMMYFUNCTION("IF
(
C10510=""фізична особа""
,
VLOOKUP(D10510,IMPORTRANGE(""https://docs.google.com/spreadsheets/d/14Bd19lYaqBhU8_DElYkX7l4wRkHqqCUFNJY4AfY3kHU/edit?usp=sharing  #gid=0"",""фіз особи new!relations_name""),6,FALSE)
,
(IF
(
C10510=""юридична особа""
,
VLOO"&amp;"KUP(D10510,IMPORTRANGE(""https://docs.google.com/spreadsheets/d/14Bd19lYaqBhU8_DElYkX7l4wRkHqqCUFNJY4AfY3kHU/edit?usp=sharing  #gid=0"",""фіз особи new!relations_name_uo""),7,FALSE)
,
)
))"),"БЛАЖАЮК Андрій Олександрович")</f>
        <v>БЛАЖАЮК Андрій Олександрович</v>
      </c>
      <c r="G10509" s="7" t="s">
        <v>10</v>
      </c>
      <c r="H10509" s="7">
        <v>16457</v>
      </c>
      <c r="I10509" s="8" t="str">
        <f ca="1">IFERROR(__xludf.DUMMYFUNCTION("IF
(
G10510=""фізична особа""
,
VLOOKUP(H10510,IMPORTRANGE(""https://docs.google.com/spreadsheets/d/14Bd19lYaqBhU8_DElYkX7l4wRkHqqCUFNJY4AfY3kHU/edit?usp=sharing  #gid=0"",""фіз особи new!relations_name""),6,FALSE)
,
(IF
(
G10510=""юридична особа""
,
VLOO"&amp;"KUP(H10510,IMPORTRANGE(""https://docs.google.com/spreadsheets/d/14Bd19lYaqBhU8_DElYkX7l4wRkHqqCUFNJY4AfY3kHU/edit?usp=sharing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09" s="7" t="s">
        <v>11</v>
      </c>
    </row>
    <row r="10510" spans="1:10" ht="13.2">
      <c r="A10510" s="7">
        <v>10509</v>
      </c>
      <c r="B10510" s="7">
        <v>1</v>
      </c>
      <c r="C10510" s="7" t="s">
        <v>10</v>
      </c>
      <c r="D10510" s="7">
        <v>16468</v>
      </c>
      <c r="E10510" s="7" t="s">
        <v>11</v>
      </c>
      <c r="F10510" s="8" t="str">
        <f ca="1">IFERROR(__xludf.DUMMYFUNCTION("IF
(
C10511=""фізична особа""
,
VLOOKUP(D10511,IMPORTRANGE(""https://docs.google.com/spreadsheets/d/14Bd19lYaqBhU8_DElYkX7l4wRkHqqCUFNJY4AfY3kHU/edit?usp=sharing  #gid=0"",""фіз особи new!relations_name""),6,FALSE)
,
(IF
(
C10511=""юридична особа""
,
VLOO"&amp;"KUP(D10511,IMPORTRANGE(""https://docs.google.com/spreadsheets/d/14Bd19lYaqBhU8_DElYkX7l4wRkHqqCUFNJY4AfY3kHU/edit?usp=sharing  #gid=0"",""фіз особи new!relations_name_uo""),7,FALSE)
,
)
))"),"БЛАЖАЮК Андрій Олександрович")</f>
        <v>БЛАЖАЮК Андрій Олександрович</v>
      </c>
      <c r="G10510" s="7" t="s">
        <v>10</v>
      </c>
      <c r="H10510" s="7">
        <v>16477</v>
      </c>
      <c r="I10510" s="8" t="str">
        <f ca="1">IFERROR(__xludf.DUMMYFUNCTION("IF
(
G10511=""фізична особа""
,
VLOOKUP(H10511,IMPORTRANGE(""https://docs.google.com/spreadsheets/d/14Bd19lYaqBhU8_DElYkX7l4wRkHqqCUFNJY4AfY3kHU/edit?usp=sharing  #gid=0"",""фіз особи new!relations_name""),6,FALSE)
,
(IF
(
G10511=""юридична особа""
,
VLOO"&amp;"KUP(H10511,IMPORTRANGE(""https://docs.google.com/spreadsheets/d/14Bd19lYaqBhU8_DElYkX7l4wRkHqqCUFNJY4AfY3kHU/edit?usp=sharing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10" s="7" t="s">
        <v>11</v>
      </c>
    </row>
    <row r="10511" spans="1:10" ht="13.2">
      <c r="A10511" s="7">
        <v>10510</v>
      </c>
      <c r="B10511" s="7">
        <v>1</v>
      </c>
      <c r="C10511" s="7" t="s">
        <v>10</v>
      </c>
      <c r="D10511" s="7">
        <v>16468</v>
      </c>
      <c r="E10511" s="7" t="s">
        <v>11</v>
      </c>
      <c r="F10511" s="8" t="str">
        <f ca="1">IFERROR(__xludf.DUMMYFUNCTION("IF
(
C10512=""фізична особа""
,
VLOOKUP(D10512,IMPORTRANGE(""https://docs.google.com/spreadsheets/d/14Bd19lYaqBhU8_DElYkX7l4wRkHqqCUFNJY4AfY3kHU/edit?usp=sharing  #gid=0"",""фіз особи new!relations_name""),6,FALSE)
,
(IF
(
C10512=""юридична особа""
,
VLOO"&amp;"KUP(D10512,IMPORTRANGE(""https://docs.google.com/spreadsheets/d/14Bd19lYaqBhU8_DElYkX7l4wRkHqqCUFNJY4AfY3kHU/edit?usp=sharing  #gid=0"",""фіз особи new!relations_name_uo""),7,FALSE)
,
)
))"),"БЛАЖАЮК Андрій Олександрович")</f>
        <v>БЛАЖАЮК Андрій Олександрович</v>
      </c>
      <c r="G10511" s="7" t="s">
        <v>10</v>
      </c>
      <c r="H10511" s="7">
        <v>943</v>
      </c>
      <c r="I10511" s="8" t="str">
        <f ca="1">IFERROR(__xludf.DUMMYFUNCTION("IF
(
G10512=""фізична особа""
,
VLOOKUP(H10512,IMPORTRANGE(""https://docs.google.com/spreadsheets/d/14Bd19lYaqBhU8_DElYkX7l4wRkHqqCUFNJY4AfY3kHU/edit?usp=sharing  #gid=0"",""фіз особи new!relations_name""),6,FALSE)
,
(IF
(
G10512=""юридична особа""
,
VLOO"&amp;"KUP(H10512,IMPORTRANGE(""https://docs.google.com/spreadsheets/d/14Bd19lYaqBhU8_DElYkX7l4wRkHqqCUFNJY4AfY3kHU/edit?usp=sharing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11" s="7" t="s">
        <v>11</v>
      </c>
    </row>
    <row r="10512" spans="1:10" ht="13.2">
      <c r="A10512" s="7">
        <v>10511</v>
      </c>
      <c r="B10512" s="7">
        <v>1</v>
      </c>
      <c r="C10512" s="7" t="s">
        <v>10</v>
      </c>
      <c r="D10512" s="7">
        <v>16469</v>
      </c>
      <c r="E10512" s="7" t="s">
        <v>11</v>
      </c>
      <c r="F10512" s="8" t="str">
        <f ca="1">IFERROR(__xludf.DUMMYFUNCTION("IF
(
C10513=""фізична особа""
,
VLOOKUP(D10513,IMPORTRANGE(""https://docs.google.com/spreadsheets/d/14Bd19lYaqBhU8_DElYkX7l4wRkHqqCUFNJY4AfY3kHU/edit?usp=sharing  #gid=0"",""фіз особи new!relations_name""),6,FALSE)
,
(IF
(
C10513=""юридична особа""
,
VLOO"&amp;"KUP(D10513,IMPORTRANGE(""https://docs.google.com/spreadsheets/d/14Bd19lYaqBhU8_DElYkX7l4wRkHqqCUFNJY4AfY3kHU/edit?usp=sharing  #gid=0"",""фіз особи new!relations_name_uo""),7,FALSE)
,
)
))"),"МОРОЗОВ Михайло Михайлович")</f>
        <v>МОРОЗОВ Михайло Михайлович</v>
      </c>
      <c r="G10512" s="7" t="s">
        <v>10</v>
      </c>
      <c r="H10512" s="7">
        <v>16457</v>
      </c>
      <c r="I10512" s="8" t="str">
        <f ca="1">IFERROR(__xludf.DUMMYFUNCTION("IF
(
G10513=""фізична особа""
,
VLOOKUP(H10513,IMPORTRANGE(""https://docs.google.com/spreadsheets/d/14Bd19lYaqBhU8_DElYkX7l4wRkHqqCUFNJY4AfY3kHU/edit?usp=sharing  #gid=0"",""фіз особи new!relations_name""),6,FALSE)
,
(IF
(
G10513=""юридична особа""
,
VLOO"&amp;"KUP(H10513,IMPORTRANGE(""https://docs.google.com/spreadsheets/d/14Bd19lYaqBhU8_DElYkX7l4wRkHqqCUFNJY4AfY3kHU/edit?usp=sharing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12" s="7" t="s">
        <v>11</v>
      </c>
    </row>
    <row r="10513" spans="1:10" ht="13.2">
      <c r="A10513" s="7">
        <v>10512</v>
      </c>
      <c r="B10513" s="7">
        <v>1</v>
      </c>
      <c r="C10513" s="7" t="s">
        <v>10</v>
      </c>
      <c r="D10513" s="7">
        <v>16469</v>
      </c>
      <c r="E10513" s="7" t="s">
        <v>11</v>
      </c>
      <c r="F10513" s="8" t="str">
        <f ca="1">IFERROR(__xludf.DUMMYFUNCTION("IF
(
C10514=""фізична особа""
,
VLOOKUP(D10514,IMPORTRANGE(""https://docs.google.com/spreadsheets/d/14Bd19lYaqBhU8_DElYkX7l4wRkHqqCUFNJY4AfY3kHU/edit?usp=sharing  #gid=0"",""фіз особи new!relations_name""),6,FALSE)
,
(IF
(
C10514=""юридична особа""
,
VLOO"&amp;"KUP(D10514,IMPORTRANGE(""https://docs.google.com/spreadsheets/d/14Bd19lYaqBhU8_DElYkX7l4wRkHqqCUFNJY4AfY3kHU/edit?usp=sharing  #gid=0"",""фіз особи new!relations_name_uo""),7,FALSE)
,
)
))"),"МОРОЗОВ Михайло Михайлович")</f>
        <v>МОРОЗОВ Михайло Михайлович</v>
      </c>
      <c r="G10513" s="7" t="s">
        <v>10</v>
      </c>
      <c r="H10513" s="7">
        <v>16477</v>
      </c>
      <c r="I10513" s="8" t="str">
        <f ca="1">IFERROR(__xludf.DUMMYFUNCTION("IF
(
G10514=""фізична особа""
,
VLOOKUP(H10514,IMPORTRANGE(""https://docs.google.com/spreadsheets/d/14Bd19lYaqBhU8_DElYkX7l4wRkHqqCUFNJY4AfY3kHU/edit?usp=sharing  #gid=0"",""фіз особи new!relations_name""),6,FALSE)
,
(IF
(
G10514=""юридична особа""
,
VLOO"&amp;"KUP(H10514,IMPORTRANGE(""https://docs.google.com/spreadsheets/d/14Bd19lYaqBhU8_DElYkX7l4wRkHqqCUFNJY4AfY3kHU/edit?usp=sharing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13" s="7" t="s">
        <v>11</v>
      </c>
    </row>
    <row r="10514" spans="1:10" ht="13.2">
      <c r="A10514" s="7">
        <v>10513</v>
      </c>
      <c r="B10514" s="7">
        <v>1</v>
      </c>
      <c r="C10514" s="7" t="s">
        <v>10</v>
      </c>
      <c r="D10514" s="7">
        <v>16469</v>
      </c>
      <c r="E10514" s="7" t="s">
        <v>11</v>
      </c>
      <c r="F10514" s="8" t="str">
        <f ca="1">IFERROR(__xludf.DUMMYFUNCTION("IF
(
C10515=""фізична особа""
,
VLOOKUP(D10515,IMPORTRANGE(""https://docs.google.com/spreadsheets/d/14Bd19lYaqBhU8_DElYkX7l4wRkHqqCUFNJY4AfY3kHU/edit?usp=sharing  #gid=0"",""фіз особи new!relations_name""),6,FALSE)
,
(IF
(
C10515=""юридична особа""
,
VLOO"&amp;"KUP(D10515,IMPORTRANGE(""https://docs.google.com/spreadsheets/d/14Bd19lYaqBhU8_DElYkX7l4wRkHqqCUFNJY4AfY3kHU/edit?usp=sharing  #gid=0"",""фіз особи new!relations_name_uo""),7,FALSE)
,
)
))"),"МОРОЗОВ Михайло Михайлович")</f>
        <v>МОРОЗОВ Михайло Михайлович</v>
      </c>
      <c r="G10514" s="7" t="s">
        <v>10</v>
      </c>
      <c r="H10514" s="7">
        <v>943</v>
      </c>
      <c r="I10514" s="8" t="str">
        <f ca="1">IFERROR(__xludf.DUMMYFUNCTION("IF
(
G10515=""фізична особа""
,
VLOOKUP(H10515,IMPORTRANGE(""https://docs.google.com/spreadsheets/d/14Bd19lYaqBhU8_DElYkX7l4wRkHqqCUFNJY4AfY3kHU/edit?usp=sharing  #gid=0"",""фіз особи new!relations_name""),6,FALSE)
,
(IF
(
G10515=""юридична особа""
,
VLOO"&amp;"KUP(H10515,IMPORTRANGE(""https://docs.google.com/spreadsheets/d/14Bd19lYaqBhU8_DElYkX7l4wRkHqqCUFNJY4AfY3kHU/edit?usp=sharing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14" s="7" t="s">
        <v>11</v>
      </c>
    </row>
    <row r="10515" spans="1:10" ht="13.2">
      <c r="A10515" s="7">
        <v>10514</v>
      </c>
      <c r="B10515" s="7">
        <v>1</v>
      </c>
      <c r="C10515" s="7" t="s">
        <v>10</v>
      </c>
      <c r="D10515" s="7">
        <v>16470</v>
      </c>
      <c r="E10515" s="7" t="s">
        <v>11</v>
      </c>
      <c r="F10515" s="8" t="str">
        <f ca="1">IFERROR(__xludf.DUMMYFUNCTION("IF
(
C10516=""фізична особа""
,
VLOOKUP(D10516,IMPORTRANGE(""https://docs.google.com/spreadsheets/d/14Bd19lYaqBhU8_DElYkX7l4wRkHqqCUFNJY4AfY3kHU/edit?usp=sharing  #gid=0"",""фіз особи new!relations_name""),6,FALSE)
,
(IF
(
C10516=""юридична особа""
,
VLOO"&amp;"KUP(D10516,IMPORTRANGE(""https://docs.google.com/spreadsheets/d/14Bd19lYaqBhU8_DElYkX7l4wRkHqqCUFNJY4AfY3kHU/edit?usp=sharing  #gid=0"",""фіз особи new!relations_name_uo""),7,FALSE)
,
)
))"),"НІКІФОРОВ Олексій Микитович")</f>
        <v>НІКІФОРОВ Олексій Микитович</v>
      </c>
      <c r="G10515" s="7" t="s">
        <v>10</v>
      </c>
      <c r="H10515" s="7">
        <v>16457</v>
      </c>
      <c r="I10515" s="8" t="str">
        <f ca="1">IFERROR(__xludf.DUMMYFUNCTION("IF
(
G10516=""фізична особа""
,
VLOOKUP(H10516,IMPORTRANGE(""https://docs.google.com/spreadsheets/d/14Bd19lYaqBhU8_DElYkX7l4wRkHqqCUFNJY4AfY3kHU/edit?usp=sharing  #gid=0"",""фіз особи new!relations_name""),6,FALSE)
,
(IF
(
G10516=""юридична особа""
,
VLOO"&amp;"KUP(H10516,IMPORTRANGE(""https://docs.google.com/spreadsheets/d/14Bd19lYaqBhU8_DElYkX7l4wRkHqqCUFNJY4AfY3kHU/edit?usp=sharing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15" s="7" t="s">
        <v>11</v>
      </c>
    </row>
    <row r="10516" spans="1:10" ht="13.2">
      <c r="A10516" s="7">
        <v>10515</v>
      </c>
      <c r="B10516" s="7">
        <v>1</v>
      </c>
      <c r="C10516" s="7" t="s">
        <v>10</v>
      </c>
      <c r="D10516" s="7">
        <v>16470</v>
      </c>
      <c r="E10516" s="7" t="s">
        <v>11</v>
      </c>
      <c r="F10516" s="8" t="str">
        <f ca="1">IFERROR(__xludf.DUMMYFUNCTION("IF
(
C10517=""фізична особа""
,
VLOOKUP(D10517,IMPORTRANGE(""https://docs.google.com/spreadsheets/d/14Bd19lYaqBhU8_DElYkX7l4wRkHqqCUFNJY4AfY3kHU/edit?usp=sharing  #gid=0"",""фіз особи new!relations_name""),6,FALSE)
,
(IF
(
C10517=""юридична особа""
,
VLOO"&amp;"KUP(D10517,IMPORTRANGE(""https://docs.google.com/spreadsheets/d/14Bd19lYaqBhU8_DElYkX7l4wRkHqqCUFNJY4AfY3kHU/edit?usp=sharing  #gid=0"",""фіз особи new!relations_name_uo""),7,FALSE)
,
)
))"),"НІКІФОРОВ Олексій Микитович")</f>
        <v>НІКІФОРОВ Олексій Микитович</v>
      </c>
      <c r="G10516" s="7" t="s">
        <v>10</v>
      </c>
      <c r="H10516" s="7">
        <v>16477</v>
      </c>
      <c r="I10516" s="8" t="str">
        <f ca="1">IFERROR(__xludf.DUMMYFUNCTION("IF
(
G10517=""фізична особа""
,
VLOOKUP(H10517,IMPORTRANGE(""https://docs.google.com/spreadsheets/d/14Bd19lYaqBhU8_DElYkX7l4wRkHqqCUFNJY4AfY3kHU/edit?usp=sharing  #gid=0"",""фіз особи new!relations_name""),6,FALSE)
,
(IF
(
G10517=""юридична особа""
,
VLOO"&amp;"KUP(H10517,IMPORTRANGE(""https://docs.google.com/spreadsheets/d/14Bd19lYaqBhU8_DElYkX7l4wRkHqqCUFNJY4AfY3kHU/edit?usp=sharing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16" s="7" t="s">
        <v>11</v>
      </c>
    </row>
    <row r="10517" spans="1:10" ht="13.2">
      <c r="A10517" s="7">
        <v>10516</v>
      </c>
      <c r="B10517" s="7">
        <v>1</v>
      </c>
      <c r="C10517" s="7" t="s">
        <v>10</v>
      </c>
      <c r="D10517" s="7">
        <v>16470</v>
      </c>
      <c r="E10517" s="7" t="s">
        <v>11</v>
      </c>
      <c r="F10517" s="8" t="str">
        <f ca="1">IFERROR(__xludf.DUMMYFUNCTION("IF
(
C10518=""фізична особа""
,
VLOOKUP(D10518,IMPORTRANGE(""https://docs.google.com/spreadsheets/d/14Bd19lYaqBhU8_DElYkX7l4wRkHqqCUFNJY4AfY3kHU/edit?usp=sharing  #gid=0"",""фіз особи new!relations_name""),6,FALSE)
,
(IF
(
C10518=""юридична особа""
,
VLOO"&amp;"KUP(D10518,IMPORTRANGE(""https://docs.google.com/spreadsheets/d/14Bd19lYaqBhU8_DElYkX7l4wRkHqqCUFNJY4AfY3kHU/edit?usp=sharing  #gid=0"",""фіз особи new!relations_name_uo""),7,FALSE)
,
)
))"),"НІКІФОРОВ Олексій Микитович")</f>
        <v>НІКІФОРОВ Олексій Микитович</v>
      </c>
      <c r="G10517" s="7" t="s">
        <v>10</v>
      </c>
      <c r="H10517" s="7">
        <v>943</v>
      </c>
      <c r="I10517" s="8" t="str">
        <f ca="1">IFERROR(__xludf.DUMMYFUNCTION("IF
(
G10518=""фізична особа""
,
VLOOKUP(H10518,IMPORTRANGE(""https://docs.google.com/spreadsheets/d/14Bd19lYaqBhU8_DElYkX7l4wRkHqqCUFNJY4AfY3kHU/edit?usp=sharing  #gid=0"",""фіз особи new!relations_name""),6,FALSE)
,
(IF
(
G10518=""юридична особа""
,
VLOO"&amp;"KUP(H10518,IMPORTRANGE(""https://docs.google.com/spreadsheets/d/14Bd19lYaqBhU8_DElYkX7l4wRkHqqCUFNJY4AfY3kHU/edit?usp=sharing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17" s="7" t="s">
        <v>11</v>
      </c>
    </row>
    <row r="10518" spans="1:10" ht="13.2">
      <c r="A10518" s="7">
        <v>10517</v>
      </c>
      <c r="B10518" s="7">
        <v>1</v>
      </c>
      <c r="C10518" s="7" t="s">
        <v>10</v>
      </c>
      <c r="D10518" s="7">
        <v>16471</v>
      </c>
      <c r="E10518" s="7" t="s">
        <v>11</v>
      </c>
      <c r="F10518" s="8" t="str">
        <f ca="1">IFERROR(__xludf.DUMMYFUNCTION("IF
(
C10519=""фізична особа""
,
VLOOKUP(D10519,IMPORTRANGE(""https://docs.google.com/spreadsheets/d/14Bd19lYaqBhU8_DElYkX7l4wRkHqqCUFNJY4AfY3kHU/edit?usp=sharing  #gid=0"",""фіз особи new!relations_name""),6,FALSE)
,
(IF
(
C10519=""юридична особа""
,
VLOO"&amp;"KUP(D10519,IMPORTRANGE(""https://docs.google.com/spreadsheets/d/14Bd19lYaqBhU8_DElYkX7l4wRkHqqCUFNJY4AfY3kHU/edit?usp=sharing  #gid=0"",""фіз особи new!relations_name_uo""),7,FALSE)
,
)
))"),"НІКІФОРОВ Микита Юрійович")</f>
        <v>НІКІФОРОВ Микита Юрійович</v>
      </c>
      <c r="G10518" s="7" t="s">
        <v>10</v>
      </c>
      <c r="H10518" s="7">
        <v>16457</v>
      </c>
      <c r="I10518" s="8" t="str">
        <f ca="1">IFERROR(__xludf.DUMMYFUNCTION("IF
(
G10519=""фізична особа""
,
VLOOKUP(H10519,IMPORTRANGE(""https://docs.google.com/spreadsheets/d/14Bd19lYaqBhU8_DElYkX7l4wRkHqqCUFNJY4AfY3kHU/edit?usp=sharing  #gid=0"",""фіз особи new!relations_name""),6,FALSE)
,
(IF
(
G10519=""юридична особа""
,
VLOO"&amp;"KUP(H10519,IMPORTRANGE(""https://docs.google.com/spreadsheets/d/14Bd19lYaqBhU8_DElYkX7l4wRkHqqCUFNJY4AfY3kHU/edit?usp=sharing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18" s="7" t="s">
        <v>11</v>
      </c>
    </row>
    <row r="10519" spans="1:10" ht="13.2">
      <c r="A10519" s="7">
        <v>10518</v>
      </c>
      <c r="B10519" s="7">
        <v>1</v>
      </c>
      <c r="C10519" s="7" t="s">
        <v>10</v>
      </c>
      <c r="D10519" s="7">
        <v>16471</v>
      </c>
      <c r="E10519" s="7" t="s">
        <v>11</v>
      </c>
      <c r="F10519" s="8" t="str">
        <f ca="1">IFERROR(__xludf.DUMMYFUNCTION("IF
(
C10520=""фізична особа""
,
VLOOKUP(D10520,IMPORTRANGE(""https://docs.google.com/spreadsheets/d/14Bd19lYaqBhU8_DElYkX7l4wRkHqqCUFNJY4AfY3kHU/edit?usp=sharing  #gid=0"",""фіз особи new!relations_name""),6,FALSE)
,
(IF
(
C10520=""юридична особа""
,
VLOO"&amp;"KUP(D10520,IMPORTRANGE(""https://docs.google.com/spreadsheets/d/14Bd19lYaqBhU8_DElYkX7l4wRkHqqCUFNJY4AfY3kHU/edit?usp=sharing  #gid=0"",""фіз особи new!relations_name_uo""),7,FALSE)
,
)
))"),"НІКІФОРОВ Микита Юрійович")</f>
        <v>НІКІФОРОВ Микита Юрійович</v>
      </c>
      <c r="G10519" s="7" t="s">
        <v>10</v>
      </c>
      <c r="H10519" s="7">
        <v>16477</v>
      </c>
      <c r="I10519" s="8" t="str">
        <f ca="1">IFERROR(__xludf.DUMMYFUNCTION("IF
(
G10520=""фізична особа""
,
VLOOKUP(H10520,IMPORTRANGE(""https://docs.google.com/spreadsheets/d/14Bd19lYaqBhU8_DElYkX7l4wRkHqqCUFNJY4AfY3kHU/edit?usp=sharing  #gid=0"",""фіз особи new!relations_name""),6,FALSE)
,
(IF
(
G10520=""юридична особа""
,
VLOO"&amp;"KUP(H10520,IMPORTRANGE(""https://docs.google.com/spreadsheets/d/14Bd19lYaqBhU8_DElYkX7l4wRkHqqCUFNJY4AfY3kHU/edit?usp=sharing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19" s="7" t="s">
        <v>11</v>
      </c>
    </row>
    <row r="10520" spans="1:10" ht="13.2">
      <c r="A10520" s="7">
        <v>10519</v>
      </c>
      <c r="B10520" s="7">
        <v>1</v>
      </c>
      <c r="C10520" s="7" t="s">
        <v>10</v>
      </c>
      <c r="D10520" s="7">
        <v>16471</v>
      </c>
      <c r="E10520" s="7" t="s">
        <v>11</v>
      </c>
      <c r="F10520" s="8" t="str">
        <f ca="1">IFERROR(__xludf.DUMMYFUNCTION("IF
(
C10521=""фізична особа""
,
VLOOKUP(D10521,IMPORTRANGE(""https://docs.google.com/spreadsheets/d/14Bd19lYaqBhU8_DElYkX7l4wRkHqqCUFNJY4AfY3kHU/edit?usp=sharing  #gid=0"",""фіз особи new!relations_name""),6,FALSE)
,
(IF
(
C10521=""юридична особа""
,
VLOO"&amp;"KUP(D10521,IMPORTRANGE(""https://docs.google.com/spreadsheets/d/14Bd19lYaqBhU8_DElYkX7l4wRkHqqCUFNJY4AfY3kHU/edit?usp=sharing  #gid=0"",""фіз особи new!relations_name_uo""),7,FALSE)
,
)
))"),"НІКІФОРОВ Микита Юрійович")</f>
        <v>НІКІФОРОВ Микита Юрійович</v>
      </c>
      <c r="G10520" s="7" t="s">
        <v>10</v>
      </c>
      <c r="H10520" s="7">
        <v>943</v>
      </c>
      <c r="I10520" s="8" t="str">
        <f ca="1">IFERROR(__xludf.DUMMYFUNCTION("IF
(
G10521=""фізична особа""
,
VLOOKUP(H10521,IMPORTRANGE(""https://docs.google.com/spreadsheets/d/14Bd19lYaqBhU8_DElYkX7l4wRkHqqCUFNJY4AfY3kHU/edit?usp=sharing  #gid=0"",""фіз особи new!relations_name""),6,FALSE)
,
(IF
(
G10521=""юридична особа""
,
VLOO"&amp;"KUP(H10521,IMPORTRANGE(""https://docs.google.com/spreadsheets/d/14Bd19lYaqBhU8_DElYkX7l4wRkHqqCUFNJY4AfY3kHU/edit?usp=sharing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20" s="7" t="s">
        <v>11</v>
      </c>
    </row>
    <row r="10521" spans="1:10" ht="13.2">
      <c r="A10521" s="7">
        <v>10520</v>
      </c>
      <c r="B10521" s="7">
        <v>1</v>
      </c>
      <c r="C10521" s="7" t="s">
        <v>10</v>
      </c>
      <c r="D10521" s="7">
        <v>16472</v>
      </c>
      <c r="E10521" s="7" t="s">
        <v>11</v>
      </c>
      <c r="F10521" s="8" t="str">
        <f ca="1">IFERROR(__xludf.DUMMYFUNCTION("IF
(
C10522=""фізична особа""
,
VLOOKUP(D10522,IMPORTRANGE(""https://docs.google.com/spreadsheets/d/14Bd19lYaqBhU8_DElYkX7l4wRkHqqCUFNJY4AfY3kHU/edit?usp=sharing  #gid=0"",""фіз особи new!relations_name""),6,FALSE)
,
(IF
(
C10522=""юридична особа""
,
VLOO"&amp;"KUP(D10522,IMPORTRANGE(""https://docs.google.com/spreadsheets/d/14Bd19lYaqBhU8_DElYkX7l4wRkHqqCUFNJY4AfY3kHU/edit?usp=sharing  #gid=0"",""фіз особи new!relations_name_uo""),7,FALSE)
,
)
))"),"ПОПОВ Дмитро Вікторович")</f>
        <v>ПОПОВ Дмитро Вікторович</v>
      </c>
      <c r="G10521" s="7" t="s">
        <v>10</v>
      </c>
      <c r="H10521" s="7">
        <v>16457</v>
      </c>
      <c r="I10521" s="8" t="str">
        <f ca="1">IFERROR(__xludf.DUMMYFUNCTION("IF
(
G10522=""фізична особа""
,
VLOOKUP(H10522,IMPORTRANGE(""https://docs.google.com/spreadsheets/d/14Bd19lYaqBhU8_DElYkX7l4wRkHqqCUFNJY4AfY3kHU/edit?usp=sharing  #gid=0"",""фіз особи new!relations_name""),6,FALSE)
,
(IF
(
G10522=""юридична особа""
,
VLOO"&amp;"KUP(H10522,IMPORTRANGE(""https://docs.google.com/spreadsheets/d/14Bd19lYaqBhU8_DElYkX7l4wRkHqqCUFNJY4AfY3kHU/edit?usp=sharing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21" s="7" t="s">
        <v>11</v>
      </c>
    </row>
    <row r="10522" spans="1:10" ht="13.2">
      <c r="A10522" s="7">
        <v>10521</v>
      </c>
      <c r="B10522" s="7">
        <v>1</v>
      </c>
      <c r="C10522" s="7" t="s">
        <v>10</v>
      </c>
      <c r="D10522" s="7">
        <v>16472</v>
      </c>
      <c r="E10522" s="7" t="s">
        <v>11</v>
      </c>
      <c r="F10522" s="8" t="str">
        <f ca="1">IFERROR(__xludf.DUMMYFUNCTION("IF
(
C10523=""фізична особа""
,
VLOOKUP(D10523,IMPORTRANGE(""https://docs.google.com/spreadsheets/d/14Bd19lYaqBhU8_DElYkX7l4wRkHqqCUFNJY4AfY3kHU/edit?usp=sharing  #gid=0"",""фіз особи new!relations_name""),6,FALSE)
,
(IF
(
C10523=""юридична особа""
,
VLOO"&amp;"KUP(D10523,IMPORTRANGE(""https://docs.google.com/spreadsheets/d/14Bd19lYaqBhU8_DElYkX7l4wRkHqqCUFNJY4AfY3kHU/edit?usp=sharing  #gid=0"",""фіз особи new!relations_name_uo""),7,FALSE)
,
)
))"),"ПОПОВ Дмитро Вікторович")</f>
        <v>ПОПОВ Дмитро Вікторович</v>
      </c>
      <c r="G10522" s="7" t="s">
        <v>10</v>
      </c>
      <c r="H10522" s="7">
        <v>16477</v>
      </c>
      <c r="I10522" s="8" t="str">
        <f ca="1">IFERROR(__xludf.DUMMYFUNCTION("IF
(
G10523=""фізична особа""
,
VLOOKUP(H10523,IMPORTRANGE(""https://docs.google.com/spreadsheets/d/14Bd19lYaqBhU8_DElYkX7l4wRkHqqCUFNJY4AfY3kHU/edit?usp=sharing  #gid=0"",""фіз особи new!relations_name""),6,FALSE)
,
(IF
(
G10523=""юридична особа""
,
VLOO"&amp;"KUP(H10523,IMPORTRANGE(""https://docs.google.com/spreadsheets/d/14Bd19lYaqBhU8_DElYkX7l4wRkHqqCUFNJY4AfY3kHU/edit?usp=sharing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22" s="7" t="s">
        <v>11</v>
      </c>
    </row>
    <row r="10523" spans="1:10" ht="13.2">
      <c r="A10523" s="7">
        <v>10522</v>
      </c>
      <c r="B10523" s="7">
        <v>1</v>
      </c>
      <c r="C10523" s="7" t="s">
        <v>10</v>
      </c>
      <c r="D10523" s="7">
        <v>16472</v>
      </c>
      <c r="E10523" s="7" t="s">
        <v>11</v>
      </c>
      <c r="F10523" s="8" t="str">
        <f ca="1">IFERROR(__xludf.DUMMYFUNCTION("IF
(
C10524=""фізична особа""
,
VLOOKUP(D10524,IMPORTRANGE(""https://docs.google.com/spreadsheets/d/14Bd19lYaqBhU8_DElYkX7l4wRkHqqCUFNJY4AfY3kHU/edit?usp=sharing  #gid=0"",""фіз особи new!relations_name""),6,FALSE)
,
(IF
(
C10524=""юридична особа""
,
VLOO"&amp;"KUP(D10524,IMPORTRANGE(""https://docs.google.com/spreadsheets/d/14Bd19lYaqBhU8_DElYkX7l4wRkHqqCUFNJY4AfY3kHU/edit?usp=sharing  #gid=0"",""фіз особи new!relations_name_uo""),7,FALSE)
,
)
))"),"ПОПОВ Дмитро Вікторович")</f>
        <v>ПОПОВ Дмитро Вікторович</v>
      </c>
      <c r="G10523" s="7" t="s">
        <v>10</v>
      </c>
      <c r="H10523" s="7">
        <v>943</v>
      </c>
      <c r="I10523" s="8" t="str">
        <f ca="1">IFERROR(__xludf.DUMMYFUNCTION("IF
(
G10524=""фізична особа""
,
VLOOKUP(H10524,IMPORTRANGE(""https://docs.google.com/spreadsheets/d/14Bd19lYaqBhU8_DElYkX7l4wRkHqqCUFNJY4AfY3kHU/edit?usp=sharing  #gid=0"",""фіз особи new!relations_name""),6,FALSE)
,
(IF
(
G10524=""юридична особа""
,
VLOO"&amp;"KUP(H10524,IMPORTRANGE(""https://docs.google.com/spreadsheets/d/14Bd19lYaqBhU8_DElYkX7l4wRkHqqCUFNJY4AfY3kHU/edit?usp=sharing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23" s="7" t="s">
        <v>11</v>
      </c>
    </row>
    <row r="10524" spans="1:10" ht="13.2">
      <c r="A10524" s="7">
        <v>10523</v>
      </c>
      <c r="B10524" s="7">
        <v>1</v>
      </c>
      <c r="C10524" s="7" t="s">
        <v>10</v>
      </c>
      <c r="D10524" s="7">
        <v>16473</v>
      </c>
      <c r="E10524" s="7" t="s">
        <v>11</v>
      </c>
      <c r="F10524" s="8" t="str">
        <f ca="1">IFERROR(__xludf.DUMMYFUNCTION("IF
(
C10525=""фізична особа""
,
VLOOKUP(D10525,IMPORTRANGE(""https://docs.google.com/spreadsheets/d/14Bd19lYaqBhU8_DElYkX7l4wRkHqqCUFNJY4AfY3kHU/edit?usp=sharing  #gid=0"",""фіз особи new!relations_name""),6,FALSE)
,
(IF
(
C10525=""юридична особа""
,
VLOO"&amp;"KUP(D10525,IMPORTRANGE(""https://docs.google.com/spreadsheets/d/14Bd19lYaqBhU8_DElYkX7l4wRkHqqCUFNJY4AfY3kHU/edit?usp=sharing  #gid=0"",""фіз особи new!relations_name_uo""),7,FALSE)
,
)
))"),"САФОНОВ Андрій Аркадійович")</f>
        <v>САФОНОВ Андрій Аркадійович</v>
      </c>
      <c r="G10524" s="7" t="s">
        <v>10</v>
      </c>
      <c r="H10524" s="7">
        <v>16457</v>
      </c>
      <c r="I10524" s="8" t="str">
        <f ca="1">IFERROR(__xludf.DUMMYFUNCTION("IF
(
G10525=""фізична особа""
,
VLOOKUP(H10525,IMPORTRANGE(""https://docs.google.com/spreadsheets/d/14Bd19lYaqBhU8_DElYkX7l4wRkHqqCUFNJY4AfY3kHU/edit?usp=sharing  #gid=0"",""фіз особи new!relations_name""),6,FALSE)
,
(IF
(
G10525=""юридична особа""
,
VLOO"&amp;"KUP(H10525,IMPORTRANGE(""https://docs.google.com/spreadsheets/d/14Bd19lYaqBhU8_DElYkX7l4wRkHqqCUFNJY4AfY3kHU/edit?usp=sharing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24" s="7" t="s">
        <v>11</v>
      </c>
    </row>
    <row r="10525" spans="1:10" ht="13.2">
      <c r="A10525" s="7">
        <v>10524</v>
      </c>
      <c r="B10525" s="7">
        <v>1</v>
      </c>
      <c r="C10525" s="7" t="s">
        <v>10</v>
      </c>
      <c r="D10525" s="7">
        <v>16473</v>
      </c>
      <c r="E10525" s="7" t="s">
        <v>11</v>
      </c>
      <c r="F10525" s="8" t="str">
        <f ca="1">IFERROR(__xludf.DUMMYFUNCTION("IF
(
C10526=""фізична особа""
,
VLOOKUP(D10526,IMPORTRANGE(""https://docs.google.com/spreadsheets/d/14Bd19lYaqBhU8_DElYkX7l4wRkHqqCUFNJY4AfY3kHU/edit?usp=sharing  #gid=0"",""фіз особи new!relations_name""),6,FALSE)
,
(IF
(
C10526=""юридична особа""
,
VLOO"&amp;"KUP(D10526,IMPORTRANGE(""https://docs.google.com/spreadsheets/d/14Bd19lYaqBhU8_DElYkX7l4wRkHqqCUFNJY4AfY3kHU/edit?usp=sharing  #gid=0"",""фіз особи new!relations_name_uo""),7,FALSE)
,
)
))"),"САФОНОВ Андрій Аркадійович")</f>
        <v>САФОНОВ Андрій Аркадійович</v>
      </c>
      <c r="G10525" s="7" t="s">
        <v>10</v>
      </c>
      <c r="H10525" s="7">
        <v>16477</v>
      </c>
      <c r="I10525" s="8" t="str">
        <f ca="1">IFERROR(__xludf.DUMMYFUNCTION("IF
(
G10526=""фізична особа""
,
VLOOKUP(H10526,IMPORTRANGE(""https://docs.google.com/spreadsheets/d/14Bd19lYaqBhU8_DElYkX7l4wRkHqqCUFNJY4AfY3kHU/edit?usp=sharing  #gid=0"",""фіз особи new!relations_name""),6,FALSE)
,
(IF
(
G10526=""юридична особа""
,
VLOO"&amp;"KUP(H10526,IMPORTRANGE(""https://docs.google.com/spreadsheets/d/14Bd19lYaqBhU8_DElYkX7l4wRkHqqCUFNJY4AfY3kHU/edit?usp=sharing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25" s="7" t="s">
        <v>11</v>
      </c>
    </row>
    <row r="10526" spans="1:10" ht="13.2">
      <c r="A10526" s="7">
        <v>10525</v>
      </c>
      <c r="B10526" s="7">
        <v>1</v>
      </c>
      <c r="C10526" s="7" t="s">
        <v>10</v>
      </c>
      <c r="D10526" s="7">
        <v>16473</v>
      </c>
      <c r="E10526" s="7" t="s">
        <v>11</v>
      </c>
      <c r="F10526" s="8" t="str">
        <f ca="1">IFERROR(__xludf.DUMMYFUNCTION("IF
(
C10527=""фізична особа""
,
VLOOKUP(D10527,IMPORTRANGE(""https://docs.google.com/spreadsheets/d/14Bd19lYaqBhU8_DElYkX7l4wRkHqqCUFNJY4AfY3kHU/edit?usp=sharing  #gid=0"",""фіз особи new!relations_name""),6,FALSE)
,
(IF
(
C10527=""юридична особа""
,
VLOO"&amp;"KUP(D10527,IMPORTRANGE(""https://docs.google.com/spreadsheets/d/14Bd19lYaqBhU8_DElYkX7l4wRkHqqCUFNJY4AfY3kHU/edit?usp=sharing  #gid=0"",""фіз особи new!relations_name_uo""),7,FALSE)
,
)
))"),"САФОНОВ Андрій Аркадійович")</f>
        <v>САФОНОВ Андрій Аркадійович</v>
      </c>
      <c r="G10526" s="7" t="s">
        <v>10</v>
      </c>
      <c r="H10526" s="7">
        <v>943</v>
      </c>
      <c r="I10526" s="8" t="str">
        <f ca="1">IFERROR(__xludf.DUMMYFUNCTION("IF
(
G10527=""фізична особа""
,
VLOOKUP(H10527,IMPORTRANGE(""https://docs.google.com/spreadsheets/d/14Bd19lYaqBhU8_DElYkX7l4wRkHqqCUFNJY4AfY3kHU/edit?usp=sharing  #gid=0"",""фіз особи new!relations_name""),6,FALSE)
,
(IF
(
G10527=""юридична особа""
,
VLOO"&amp;"KUP(H10527,IMPORTRANGE(""https://docs.google.com/spreadsheets/d/14Bd19lYaqBhU8_DElYkX7l4wRkHqqCUFNJY4AfY3kHU/edit?usp=sharing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26" s="7" t="s">
        <v>11</v>
      </c>
    </row>
    <row r="10527" spans="1:10" ht="13.2">
      <c r="A10527" s="7">
        <v>10526</v>
      </c>
      <c r="B10527" s="7">
        <v>1</v>
      </c>
      <c r="C10527" s="7" t="s">
        <v>10</v>
      </c>
      <c r="D10527" s="7">
        <v>16474</v>
      </c>
      <c r="E10527" s="7" t="s">
        <v>11</v>
      </c>
      <c r="F10527" s="8" t="str">
        <f ca="1">IFERROR(__xludf.DUMMYFUNCTION("IF
(
C10528=""фізична особа""
,
VLOOKUP(D10528,IMPORTRANGE(""https://docs.google.com/spreadsheets/d/14Bd19lYaqBhU8_DElYkX7l4wRkHqqCUFNJY4AfY3kHU/edit?usp=sharing  #gid=0"",""фіз особи new!relations_name""),6,FALSE)
,
(IF
(
C10528=""юридична особа""
,
VLOO"&amp;"KUP(D10528,IMPORTRANGE(""https://docs.google.com/spreadsheets/d/14Bd19lYaqBhU8_DElYkX7l4wRkHqqCUFNJY4AfY3kHU/edit?usp=sharing  #gid=0"",""фіз особи new!relations_name_uo""),7,FALSE)
,
)
))"),"СКОКОВ Олександр Миколайович")</f>
        <v>СКОКОВ Олександр Миколайович</v>
      </c>
      <c r="G10527" s="7" t="s">
        <v>10</v>
      </c>
      <c r="H10527" s="7">
        <v>16457</v>
      </c>
      <c r="I10527" s="8" t="str">
        <f ca="1">IFERROR(__xludf.DUMMYFUNCTION("IF
(
G10528=""фізична особа""
,
VLOOKUP(H10528,IMPORTRANGE(""https://docs.google.com/spreadsheets/d/14Bd19lYaqBhU8_DElYkX7l4wRkHqqCUFNJY4AfY3kHU/edit?usp=sharing  #gid=0"",""фіз особи new!relations_name""),6,FALSE)
,
(IF
(
G10528=""юридична особа""
,
VLOO"&amp;"KUP(H10528,IMPORTRANGE(""https://docs.google.com/spreadsheets/d/14Bd19lYaqBhU8_DElYkX7l4wRkHqqCUFNJY4AfY3kHU/edit?usp=sharing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27" s="7" t="s">
        <v>11</v>
      </c>
    </row>
    <row r="10528" spans="1:10" ht="13.2">
      <c r="A10528" s="7">
        <v>10527</v>
      </c>
      <c r="B10528" s="7">
        <v>1</v>
      </c>
      <c r="C10528" s="7" t="s">
        <v>10</v>
      </c>
      <c r="D10528" s="7">
        <v>16474</v>
      </c>
      <c r="E10528" s="7" t="s">
        <v>11</v>
      </c>
      <c r="F10528" s="8" t="str">
        <f ca="1">IFERROR(__xludf.DUMMYFUNCTION("IF
(
C10529=""фізична особа""
,
VLOOKUP(D10529,IMPORTRANGE(""https://docs.google.com/spreadsheets/d/14Bd19lYaqBhU8_DElYkX7l4wRkHqqCUFNJY4AfY3kHU/edit?usp=sharing  #gid=0"",""фіз особи new!relations_name""),6,FALSE)
,
(IF
(
C10529=""юридична особа""
,
VLOO"&amp;"KUP(D10529,IMPORTRANGE(""https://docs.google.com/spreadsheets/d/14Bd19lYaqBhU8_DElYkX7l4wRkHqqCUFNJY4AfY3kHU/edit?usp=sharing  #gid=0"",""фіз особи new!relations_name_uo""),7,FALSE)
,
)
))"),"СКОКОВ Олександр Миколайович")</f>
        <v>СКОКОВ Олександр Миколайович</v>
      </c>
      <c r="G10528" s="7" t="s">
        <v>10</v>
      </c>
      <c r="H10528" s="7">
        <v>16477</v>
      </c>
      <c r="I10528" s="8" t="str">
        <f ca="1">IFERROR(__xludf.DUMMYFUNCTION("IF
(
G10529=""фізична особа""
,
VLOOKUP(H10529,IMPORTRANGE(""https://docs.google.com/spreadsheets/d/14Bd19lYaqBhU8_DElYkX7l4wRkHqqCUFNJY4AfY3kHU/edit?usp=sharing  #gid=0"",""фіз особи new!relations_name""),6,FALSE)
,
(IF
(
G10529=""юридична особа""
,
VLOO"&amp;"KUP(H10529,IMPORTRANGE(""https://docs.google.com/spreadsheets/d/14Bd19lYaqBhU8_DElYkX7l4wRkHqqCUFNJY4AfY3kHU/edit?usp=sharing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28" s="7" t="s">
        <v>11</v>
      </c>
    </row>
    <row r="10529" spans="1:10" ht="13.2">
      <c r="A10529" s="7">
        <v>10528</v>
      </c>
      <c r="B10529" s="7">
        <v>1</v>
      </c>
      <c r="C10529" s="7" t="s">
        <v>10</v>
      </c>
      <c r="D10529" s="7">
        <v>16474</v>
      </c>
      <c r="E10529" s="7" t="s">
        <v>11</v>
      </c>
      <c r="F10529" s="8" t="str">
        <f ca="1">IFERROR(__xludf.DUMMYFUNCTION("IF
(
C10530=""фізична особа""
,
VLOOKUP(D10530,IMPORTRANGE(""https://docs.google.com/spreadsheets/d/14Bd19lYaqBhU8_DElYkX7l4wRkHqqCUFNJY4AfY3kHU/edit?usp=sharing  #gid=0"",""фіз особи new!relations_name""),6,FALSE)
,
(IF
(
C10530=""юридична особа""
,
VLOO"&amp;"KUP(D10530,IMPORTRANGE(""https://docs.google.com/spreadsheets/d/14Bd19lYaqBhU8_DElYkX7l4wRkHqqCUFNJY4AfY3kHU/edit?usp=sharing  #gid=0"",""фіз особи new!relations_name_uo""),7,FALSE)
,
)
))"),"СКОКОВ Олександр Миколайович")</f>
        <v>СКОКОВ Олександр Миколайович</v>
      </c>
      <c r="G10529" s="7" t="s">
        <v>10</v>
      </c>
      <c r="H10529" s="7">
        <v>943</v>
      </c>
      <c r="I10529" s="8" t="str">
        <f ca="1">IFERROR(__xludf.DUMMYFUNCTION("IF
(
G10530=""фізична особа""
,
VLOOKUP(H10530,IMPORTRANGE(""https://docs.google.com/spreadsheets/d/14Bd19lYaqBhU8_DElYkX7l4wRkHqqCUFNJY4AfY3kHU/edit?usp=sharing  #gid=0"",""фіз особи new!relations_name""),6,FALSE)
,
(IF
(
G10530=""юридична особа""
,
VLOO"&amp;"KUP(H10530,IMPORTRANGE(""https://docs.google.com/spreadsheets/d/14Bd19lYaqBhU8_DElYkX7l4wRkHqqCUFNJY4AfY3kHU/edit?usp=sharing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29" s="7" t="s">
        <v>11</v>
      </c>
    </row>
    <row r="10530" spans="1:10" ht="13.2">
      <c r="A10530" s="7">
        <v>10529</v>
      </c>
      <c r="B10530" s="7">
        <v>1</v>
      </c>
      <c r="C10530" s="7" t="s">
        <v>10</v>
      </c>
      <c r="D10530" s="7">
        <v>16475</v>
      </c>
      <c r="E10530" s="7" t="s">
        <v>11</v>
      </c>
      <c r="F10530" s="8" t="str">
        <f ca="1">IFERROR(__xludf.DUMMYFUNCTION("IF
(
C10531=""фізична особа""
,
VLOOKUP(D10531,IMPORTRANGE(""https://docs.google.com/spreadsheets/d/14Bd19lYaqBhU8_DElYkX7l4wRkHqqCUFNJY4AfY3kHU/edit?usp=sharing  #gid=0"",""фіз особи new!relations_name""),6,FALSE)
,
(IF
(
C10531=""юридична особа""
,
VLOO"&amp;"KUP(D10531,IMPORTRANGE(""https://docs.google.com/spreadsheets/d/14Bd19lYaqBhU8_DElYkX7l4wRkHqqCUFNJY4AfY3kHU/edit?usp=sharing  #gid=0"",""фіз особи new!relations_name_uo""),7,FALSE)
,
)
))"),"СОКОЛОВ Дмитро Володимирович")</f>
        <v>СОКОЛОВ Дмитро Володимирович</v>
      </c>
      <c r="G10530" s="7" t="s">
        <v>10</v>
      </c>
      <c r="H10530" s="7">
        <v>16457</v>
      </c>
      <c r="I10530" s="8" t="str">
        <f ca="1">IFERROR(__xludf.DUMMYFUNCTION("IF
(
G10531=""фізична особа""
,
VLOOKUP(H10531,IMPORTRANGE(""https://docs.google.com/spreadsheets/d/14Bd19lYaqBhU8_DElYkX7l4wRkHqqCUFNJY4AfY3kHU/edit?usp=sharing  #gid=0"",""фіз особи new!relations_name""),6,FALSE)
,
(IF
(
G10531=""юридична особа""
,
VLOO"&amp;"KUP(H10531,IMPORTRANGE(""https://docs.google.com/spreadsheets/d/14Bd19lYaqBhU8_DElYkX7l4wRkHqqCUFNJY4AfY3kHU/edit?usp=sharing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30" s="7" t="s">
        <v>11</v>
      </c>
    </row>
    <row r="10531" spans="1:10" ht="13.2">
      <c r="A10531" s="7">
        <v>10530</v>
      </c>
      <c r="B10531" s="7">
        <v>1</v>
      </c>
      <c r="C10531" s="7" t="s">
        <v>10</v>
      </c>
      <c r="D10531" s="7">
        <v>16475</v>
      </c>
      <c r="E10531" s="7" t="s">
        <v>11</v>
      </c>
      <c r="F10531" s="8" t="str">
        <f ca="1">IFERROR(__xludf.DUMMYFUNCTION("IF
(
C10532=""фізична особа""
,
VLOOKUP(D10532,IMPORTRANGE(""https://docs.google.com/spreadsheets/d/14Bd19lYaqBhU8_DElYkX7l4wRkHqqCUFNJY4AfY3kHU/edit?usp=sharing  #gid=0"",""фіз особи new!relations_name""),6,FALSE)
,
(IF
(
C10532=""юридична особа""
,
VLOO"&amp;"KUP(D10532,IMPORTRANGE(""https://docs.google.com/spreadsheets/d/14Bd19lYaqBhU8_DElYkX7l4wRkHqqCUFNJY4AfY3kHU/edit?usp=sharing  #gid=0"",""фіз особи new!relations_name_uo""),7,FALSE)
,
)
))"),"СОКОЛОВ Дмитро Володимирович")</f>
        <v>СОКОЛОВ Дмитро Володимирович</v>
      </c>
      <c r="G10531" s="7" t="s">
        <v>10</v>
      </c>
      <c r="H10531" s="7">
        <v>16477</v>
      </c>
      <c r="I10531" s="8" t="str">
        <f ca="1">IFERROR(__xludf.DUMMYFUNCTION("IF
(
G10532=""фізична особа""
,
VLOOKUP(H10532,IMPORTRANGE(""https://docs.google.com/spreadsheets/d/14Bd19lYaqBhU8_DElYkX7l4wRkHqqCUFNJY4AfY3kHU/edit?usp=sharing  #gid=0"",""фіз особи new!relations_name""),6,FALSE)
,
(IF
(
G10532=""юридична особа""
,
VLOO"&amp;"KUP(H10532,IMPORTRANGE(""https://docs.google.com/spreadsheets/d/14Bd19lYaqBhU8_DElYkX7l4wRkHqqCUFNJY4AfY3kHU/edit?usp=sharing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31" s="7" t="s">
        <v>11</v>
      </c>
    </row>
    <row r="10532" spans="1:10" ht="13.2">
      <c r="A10532" s="7">
        <v>10531</v>
      </c>
      <c r="B10532" s="7">
        <v>1</v>
      </c>
      <c r="C10532" s="7" t="s">
        <v>10</v>
      </c>
      <c r="D10532" s="7">
        <v>16475</v>
      </c>
      <c r="E10532" s="7" t="s">
        <v>11</v>
      </c>
      <c r="F10532" s="8" t="str">
        <f ca="1">IFERROR(__xludf.DUMMYFUNCTION("IF
(
C10533=""фізична особа""
,
VLOOKUP(D10533,IMPORTRANGE(""https://docs.google.com/spreadsheets/d/14Bd19lYaqBhU8_DElYkX7l4wRkHqqCUFNJY4AfY3kHU/edit?usp=sharing  #gid=0"",""фіз особи new!relations_name""),6,FALSE)
,
(IF
(
C10533=""юридична особа""
,
VLOO"&amp;"KUP(D10533,IMPORTRANGE(""https://docs.google.com/spreadsheets/d/14Bd19lYaqBhU8_DElYkX7l4wRkHqqCUFNJY4AfY3kHU/edit?usp=sharing  #gid=0"",""фіз особи new!relations_name_uo""),7,FALSE)
,
)
))"),"СОКОЛОВ Дмитро Володимирович")</f>
        <v>СОКОЛОВ Дмитро Володимирович</v>
      </c>
      <c r="G10532" s="7" t="s">
        <v>10</v>
      </c>
      <c r="H10532" s="7">
        <v>943</v>
      </c>
      <c r="I10532" s="8" t="str">
        <f ca="1">IFERROR(__xludf.DUMMYFUNCTION("IF
(
G10533=""фізична особа""
,
VLOOKUP(H10533,IMPORTRANGE(""https://docs.google.com/spreadsheets/d/14Bd19lYaqBhU8_DElYkX7l4wRkHqqCUFNJY4AfY3kHU/edit?usp=sharing  #gid=0"",""фіз особи new!relations_name""),6,FALSE)
,
(IF
(
G10533=""юридична особа""
,
VLOO"&amp;"KUP(H10533,IMPORTRANGE(""https://docs.google.com/spreadsheets/d/14Bd19lYaqBhU8_DElYkX7l4wRkHqqCUFNJY4AfY3kHU/edit?usp=sharing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32" s="7" t="s">
        <v>11</v>
      </c>
    </row>
    <row r="10533" spans="1:10" ht="13.2">
      <c r="A10533" s="7">
        <v>10532</v>
      </c>
      <c r="B10533" s="7">
        <v>1</v>
      </c>
      <c r="C10533" s="7" t="s">
        <v>10</v>
      </c>
      <c r="D10533" s="7">
        <v>16476</v>
      </c>
      <c r="E10533" s="7" t="s">
        <v>11</v>
      </c>
      <c r="F10533" s="8" t="str">
        <f ca="1">IFERROR(__xludf.DUMMYFUNCTION("IF
(
C10534=""фізична особа""
,
VLOOKUP(D10534,IMPORTRANGE(""https://docs.google.com/spreadsheets/d/14Bd19lYaqBhU8_DElYkX7l4wRkHqqCUFNJY4AfY3kHU/edit?usp=sharing  #gid=0"",""фіз особи new!relations_name""),6,FALSE)
,
(IF
(
C10534=""юридична особа""
,
VLOO"&amp;"KUP(D10534,IMPORTRANGE(""https://docs.google.com/spreadsheets/d/14Bd19lYaqBhU8_DElYkX7l4wRkHqqCUFNJY4AfY3kHU/edit?usp=sharing  #gid=0"",""фіз особи new!relations_name_uo""),7,FALSE)
,
)
))"),"ТУМАСОВ Дмитро Михайлович")</f>
        <v>ТУМАСОВ Дмитро Михайлович</v>
      </c>
      <c r="G10533" s="7" t="s">
        <v>10</v>
      </c>
      <c r="H10533" s="7">
        <v>16457</v>
      </c>
      <c r="I10533" s="8" t="str">
        <f ca="1">IFERROR(__xludf.DUMMYFUNCTION("IF
(
G10534=""фізична особа""
,
VLOOKUP(H10534,IMPORTRANGE(""https://docs.google.com/spreadsheets/d/14Bd19lYaqBhU8_DElYkX7l4wRkHqqCUFNJY4AfY3kHU/edit?usp=sharing  #gid=0"",""фіз особи new!relations_name""),6,FALSE)
,
(IF
(
G10534=""юридична особа""
,
VLOO"&amp;"KUP(H10534,IMPORTRANGE(""https://docs.google.com/spreadsheets/d/14Bd19lYaqBhU8_DElYkX7l4wRkHqqCUFNJY4AfY3kHU/edit?usp=sharing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33" s="7" t="s">
        <v>11</v>
      </c>
    </row>
    <row r="10534" spans="1:10" ht="13.2">
      <c r="A10534" s="7">
        <v>10533</v>
      </c>
      <c r="B10534" s="7">
        <v>1</v>
      </c>
      <c r="C10534" s="7" t="s">
        <v>10</v>
      </c>
      <c r="D10534" s="7">
        <v>16476</v>
      </c>
      <c r="E10534" s="7" t="s">
        <v>11</v>
      </c>
      <c r="F10534" s="8" t="str">
        <f ca="1">IFERROR(__xludf.DUMMYFUNCTION("IF
(
C10535=""фізична особа""
,
VLOOKUP(D10535,IMPORTRANGE(""https://docs.google.com/spreadsheets/d/14Bd19lYaqBhU8_DElYkX7l4wRkHqqCUFNJY4AfY3kHU/edit?usp=sharing  #gid=0"",""фіз особи new!relations_name""),6,FALSE)
,
(IF
(
C10535=""юридична особа""
,
VLOO"&amp;"KUP(D10535,IMPORTRANGE(""https://docs.google.com/spreadsheets/d/14Bd19lYaqBhU8_DElYkX7l4wRkHqqCUFNJY4AfY3kHU/edit?usp=sharing  #gid=0"",""фіз особи new!relations_name_uo""),7,FALSE)
,
)
))"),"ТУМАСОВ Дмитро Михайлович")</f>
        <v>ТУМАСОВ Дмитро Михайлович</v>
      </c>
      <c r="G10534" s="7" t="s">
        <v>10</v>
      </c>
      <c r="H10534" s="7">
        <v>16477</v>
      </c>
      <c r="I10534" s="8" t="str">
        <f ca="1">IFERROR(__xludf.DUMMYFUNCTION("IF
(
G10535=""фізична особа""
,
VLOOKUP(H10535,IMPORTRANGE(""https://docs.google.com/spreadsheets/d/14Bd19lYaqBhU8_DElYkX7l4wRkHqqCUFNJY4AfY3kHU/edit?usp=sharing  #gid=0"",""фіз особи new!relations_name""),6,FALSE)
,
(IF
(
G10535=""юридична особа""
,
VLOO"&amp;"KUP(H10535,IMPORTRANGE(""https://docs.google.com/spreadsheets/d/14Bd19lYaqBhU8_DElYkX7l4wRkHqqCUFNJY4AfY3kHU/edit?usp=sharing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34" s="7" t="s">
        <v>11</v>
      </c>
    </row>
    <row r="10535" spans="1:10" ht="13.2">
      <c r="A10535" s="7">
        <v>10534</v>
      </c>
      <c r="B10535" s="7">
        <v>1</v>
      </c>
      <c r="C10535" s="7" t="s">
        <v>10</v>
      </c>
      <c r="D10535" s="7">
        <v>16476</v>
      </c>
      <c r="E10535" s="7" t="s">
        <v>11</v>
      </c>
      <c r="F10535" s="8" t="str">
        <f ca="1">IFERROR(__xludf.DUMMYFUNCTION("IF
(
C10536=""фізична особа""
,
VLOOKUP(D10536,IMPORTRANGE(""https://docs.google.com/spreadsheets/d/14Bd19lYaqBhU8_DElYkX7l4wRkHqqCUFNJY4AfY3kHU/edit?usp=sharing  #gid=0"",""фіз особи new!relations_name""),6,FALSE)
,
(IF
(
C10536=""юридична особа""
,
VLOO"&amp;"KUP(D10536,IMPORTRANGE(""https://docs.google.com/spreadsheets/d/14Bd19lYaqBhU8_DElYkX7l4wRkHqqCUFNJY4AfY3kHU/edit?usp=sharing  #gid=0"",""фіз особи new!relations_name_uo""),7,FALSE)
,
)
))"),"ТУМАСОВ Дмитро Михайлович")</f>
        <v>ТУМАСОВ Дмитро Михайлович</v>
      </c>
      <c r="G10535" s="7" t="s">
        <v>10</v>
      </c>
      <c r="H10535" s="7">
        <v>943</v>
      </c>
      <c r="I10535" s="8" t="str">
        <f ca="1">IFERROR(__xludf.DUMMYFUNCTION("IF
(
G10536=""фізична особа""
,
VLOOKUP(H10536,IMPORTRANGE(""https://docs.google.com/spreadsheets/d/14Bd19lYaqBhU8_DElYkX7l4wRkHqqCUFNJY4AfY3kHU/edit?usp=sharing  #gid=0"",""фіз особи new!relations_name""),6,FALSE)
,
(IF
(
G10536=""юридична особа""
,
VLOO"&amp;"KUP(H10536,IMPORTRANGE(""https://docs.google.com/spreadsheets/d/14Bd19lYaqBhU8_DElYkX7l4wRkHqqCUFNJY4AfY3kHU/edit?usp=sharing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35" s="7" t="s">
        <v>11</v>
      </c>
    </row>
    <row r="10536" spans="1:10" ht="13.2">
      <c r="A10536" s="7">
        <v>10535</v>
      </c>
      <c r="B10536" s="7">
        <v>1</v>
      </c>
      <c r="C10536" s="7" t="s">
        <v>10</v>
      </c>
      <c r="D10536" s="7">
        <v>16477</v>
      </c>
      <c r="E10536" s="7" t="s">
        <v>11</v>
      </c>
      <c r="F10536" s="8" t="str">
        <f ca="1">IFERROR(__xludf.DUMMYFUNCTION("IF
(
C10537=""фізична особа""
,
VLOOKUP(D10537,IMPORTRANGE(""https://docs.google.com/spreadsheets/d/14Bd19lYaqBhU8_DElYkX7l4wRkHqqCUFNJY4AfY3kHU/edit?usp=sharing  #gid=0"",""фіз особи new!relations_name""),6,FALSE)
,
(IF
(
C10537=""юридична особа""
,
VLOO"&amp;"KUP(D10537,IMPORTRANGE(""https://docs.google.com/spreadsheets/d/14Bd19lYaqBhU8_DElYkX7l4wRkHqqCUFNJY4AfY3kHU/edit?usp=sharing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G10536" s="7" t="s">
        <v>10</v>
      </c>
      <c r="H10536" s="7">
        <v>16457</v>
      </c>
      <c r="I10536" s="8" t="str">
        <f ca="1">IFERROR(__xludf.DUMMYFUNCTION("IF
(
G10537=""фізична особа""
,
VLOOKUP(H10537,IMPORTRANGE(""https://docs.google.com/spreadsheets/d/14Bd19lYaqBhU8_DElYkX7l4wRkHqqCUFNJY4AfY3kHU/edit?usp=sharing  #gid=0"",""фіз особи new!relations_name""),6,FALSE)
,
(IF
(
G10537=""юридична особа""
,
VLOO"&amp;"KUP(H10537,IMPORTRANGE(""https://docs.google.com/spreadsheets/d/14Bd19lYaqBhU8_DElYkX7l4wRkHqqCUFNJY4AfY3kHU/edit?usp=sharing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36" s="7" t="s">
        <v>11</v>
      </c>
    </row>
    <row r="10537" spans="1:10" ht="13.2">
      <c r="A10537" s="7">
        <v>10536</v>
      </c>
      <c r="B10537" s="7">
        <v>1</v>
      </c>
      <c r="C10537" s="7" t="s">
        <v>10</v>
      </c>
      <c r="D10537" s="7">
        <v>16477</v>
      </c>
      <c r="E10537" s="7" t="s">
        <v>11</v>
      </c>
      <c r="F10537" s="8" t="str">
        <f ca="1">IFERROR(__xludf.DUMMYFUNCTION("IF
(
C10538=""фізична особа""
,
VLOOKUP(D10538,IMPORTRANGE(""https://docs.google.com/spreadsheets/d/14Bd19lYaqBhU8_DElYkX7l4wRkHqqCUFNJY4AfY3kHU/edit?usp=sharing  #gid=0"",""фіз особи new!relations_name""),6,FALSE)
,
(IF
(
C10538=""юридична особа""
,
VLOO"&amp;"KUP(D10538,IMPORTRANGE(""https://docs.google.com/spreadsheets/d/14Bd19lYaqBhU8_DElYkX7l4wRkHqqCUFNJY4AfY3kHU/edit?usp=sharing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G10537" s="7" t="s">
        <v>10</v>
      </c>
      <c r="H10537" s="7">
        <v>943</v>
      </c>
      <c r="I10537" s="8" t="str">
        <f ca="1">IFERROR(__xludf.DUMMYFUNCTION("IF
(
G10538=""фізична особа""
,
VLOOKUP(H10538,IMPORTRANGE(""https://docs.google.com/spreadsheets/d/14Bd19lYaqBhU8_DElYkX7l4wRkHqqCUFNJY4AfY3kHU/edit?usp=sharing  #gid=0"",""фіз особи new!relations_name""),6,FALSE)
,
(IF
(
G10538=""юридична особа""
,
VLOO"&amp;"KUP(H10538,IMPORTRANGE(""https://docs.google.com/spreadsheets/d/14Bd19lYaqBhU8_DElYkX7l4wRkHqqCUFNJY4AfY3kHU/edit?usp=sharing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37" s="7" t="s">
        <v>11</v>
      </c>
    </row>
    <row r="10538" spans="1:10" ht="13.2">
      <c r="A10538" s="7">
        <v>10537</v>
      </c>
      <c r="B10538" s="7">
        <v>1</v>
      </c>
      <c r="C10538" s="7" t="s">
        <v>10</v>
      </c>
      <c r="D10538" s="7">
        <v>16478</v>
      </c>
      <c r="E10538" s="7" t="s">
        <v>11</v>
      </c>
      <c r="F10538" s="8" t="str">
        <f ca="1">IFERROR(__xludf.DUMMYFUNCTION("IF
(
C10539=""фізична особа""
,
VLOOKUP(D10539,IMPORTRANGE(""https://docs.google.com/spreadsheets/d/14Bd19lYaqBhU8_DElYkX7l4wRkHqqCUFNJY4AfY3kHU/edit?usp=sharing  #gid=0"",""фіз особи new!relations_name""),6,FALSE)
,
(IF
(
C10539=""юридична особа""
,
VLOO"&amp;"KUP(D10539,IMPORTRANGE(""https://docs.google.com/spreadsheets/d/14Bd19lYaqBhU8_DElYkX7l4wRkHqqCUFNJY4AfY3kHU/edit?usp=sharing  #gid=0"",""фіз особи new!relations_name_uo""),7,FALSE)
,
)
))"),"ЮДІН Юрій Михайлович")</f>
        <v>ЮДІН Юрій Михайлович</v>
      </c>
      <c r="G10538" s="7" t="s">
        <v>10</v>
      </c>
      <c r="H10538" s="7">
        <v>16457</v>
      </c>
      <c r="I10538" s="8" t="str">
        <f ca="1">IFERROR(__xludf.DUMMYFUNCTION("IF
(
G10539=""фізична особа""
,
VLOOKUP(H10539,IMPORTRANGE(""https://docs.google.com/spreadsheets/d/14Bd19lYaqBhU8_DElYkX7l4wRkHqqCUFNJY4AfY3kHU/edit?usp=sharing  #gid=0"",""фіз особи new!relations_name""),6,FALSE)
,
(IF
(
G10539=""юридична особа""
,
VLOO"&amp;"KUP(H10539,IMPORTRANGE(""https://docs.google.com/spreadsheets/d/14Bd19lYaqBhU8_DElYkX7l4wRkHqqCUFNJY4AfY3kHU/edit?usp=sharing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38" s="7" t="s">
        <v>11</v>
      </c>
    </row>
    <row r="10539" spans="1:10" ht="13.2">
      <c r="A10539" s="7">
        <v>10538</v>
      </c>
      <c r="B10539" s="7">
        <v>1</v>
      </c>
      <c r="C10539" s="7" t="s">
        <v>10</v>
      </c>
      <c r="D10539" s="7">
        <v>16478</v>
      </c>
      <c r="E10539" s="7" t="s">
        <v>11</v>
      </c>
      <c r="F10539" s="8" t="str">
        <f ca="1">IFERROR(__xludf.DUMMYFUNCTION("IF
(
C10540=""фізична особа""
,
VLOOKUP(D10540,IMPORTRANGE(""https://docs.google.com/spreadsheets/d/14Bd19lYaqBhU8_DElYkX7l4wRkHqqCUFNJY4AfY3kHU/edit?usp=sharing  #gid=0"",""фіз особи new!relations_name""),6,FALSE)
,
(IF
(
C10540=""юридична особа""
,
VLOO"&amp;"KUP(D10540,IMPORTRANGE(""https://docs.google.com/spreadsheets/d/14Bd19lYaqBhU8_DElYkX7l4wRkHqqCUFNJY4AfY3kHU/edit?usp=sharing  #gid=0"",""фіз особи new!relations_name_uo""),7,FALSE)
,
)
))"),"ЮДІН Юрій Михайлович")</f>
        <v>ЮДІН Юрій Михайлович</v>
      </c>
      <c r="G10539" s="7" t="s">
        <v>10</v>
      </c>
      <c r="H10539" s="7">
        <v>16477</v>
      </c>
      <c r="I10539" s="8" t="str">
        <f ca="1">IFERROR(__xludf.DUMMYFUNCTION("IF
(
G10540=""фізична особа""
,
VLOOKUP(H10540,IMPORTRANGE(""https://docs.google.com/spreadsheets/d/14Bd19lYaqBhU8_DElYkX7l4wRkHqqCUFNJY4AfY3kHU/edit?usp=sharing  #gid=0"",""фіз особи new!relations_name""),6,FALSE)
,
(IF
(
G10540=""юридична особа""
,
VLOO"&amp;"KUP(H10540,IMPORTRANGE(""https://docs.google.com/spreadsheets/d/14Bd19lYaqBhU8_DElYkX7l4wRkHqqCUFNJY4AfY3kHU/edit?usp=sharing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39" s="7" t="s">
        <v>11</v>
      </c>
    </row>
    <row r="10540" spans="1:10" ht="13.2">
      <c r="A10540" s="7">
        <v>10539</v>
      </c>
      <c r="B10540" s="7">
        <v>1</v>
      </c>
      <c r="C10540" s="7" t="s">
        <v>10</v>
      </c>
      <c r="D10540" s="7">
        <v>16478</v>
      </c>
      <c r="E10540" s="7" t="s">
        <v>11</v>
      </c>
      <c r="F10540" s="8" t="str">
        <f ca="1">IFERROR(__xludf.DUMMYFUNCTION("IF
(
C10541=""фізична особа""
,
VLOOKUP(D10541,IMPORTRANGE(""https://docs.google.com/spreadsheets/d/14Bd19lYaqBhU8_DElYkX7l4wRkHqqCUFNJY4AfY3kHU/edit?usp=sharing  #gid=0"",""фіз особи new!relations_name""),6,FALSE)
,
(IF
(
C10541=""юридична особа""
,
VLOO"&amp;"KUP(D10541,IMPORTRANGE(""https://docs.google.com/spreadsheets/d/14Bd19lYaqBhU8_DElYkX7l4wRkHqqCUFNJY4AfY3kHU/edit?usp=sharing  #gid=0"",""фіз особи new!relations_name_uo""),7,FALSE)
,
)
))"),"ЮДІН Юрій Михайлович")</f>
        <v>ЮДІН Юрій Михайлович</v>
      </c>
      <c r="G10540" s="7" t="s">
        <v>10</v>
      </c>
      <c r="H10540" s="7">
        <v>943</v>
      </c>
      <c r="I10540" s="8" t="str">
        <f ca="1">IFERROR(__xludf.DUMMYFUNCTION("IF
(
G10541=""фізична особа""
,
VLOOKUP(H10541,IMPORTRANGE(""https://docs.google.com/spreadsheets/d/14Bd19lYaqBhU8_DElYkX7l4wRkHqqCUFNJY4AfY3kHU/edit?usp=sharing  #gid=0"",""фіз особи new!relations_name""),6,FALSE)
,
(IF
(
G10541=""юридична особа""
,
VLOO"&amp;"KUP(H10541,IMPORTRANGE(""https://docs.google.com/spreadsheets/d/14Bd19lYaqBhU8_DElYkX7l4wRkHqqCUFNJY4AfY3kHU/edit?usp=sharing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40" s="7" t="s">
        <v>11</v>
      </c>
    </row>
    <row r="10541" spans="1:10" ht="13.2">
      <c r="A10541" s="7">
        <v>10540</v>
      </c>
      <c r="B10541" s="7">
        <v>1</v>
      </c>
      <c r="C10541" s="7" t="s">
        <v>10</v>
      </c>
      <c r="D10541" s="7">
        <v>16479</v>
      </c>
      <c r="E10541" s="7" t="s">
        <v>11</v>
      </c>
      <c r="F10541" s="8" t="str">
        <f ca="1">IFERROR(__xludf.DUMMYFUNCTION("IF
(
C10542=""фізична особа""
,
VLOOKUP(D10542,IMPORTRANGE(""https://docs.google.com/spreadsheets/d/14Bd19lYaqBhU8_DElYkX7l4wRkHqqCUFNJY4AfY3kHU/edit?usp=sharing  #gid=0"",""фіз особи new!relations_name""),6,FALSE)
,
(IF
(
C10542=""юридична особа""
,
VLOO"&amp;"KUP(D10542,IMPORTRANGE(""https://docs.google.com/spreadsheets/d/14Bd19lYaqBhU8_DElYkX7l4wRkHqqCUFNJY4AfY3kHU/edit?usp=sharing  #gid=0"",""фіз особи new!relations_name_uo""),7,FALSE)
,
)
))"),"ЗЕРКАЛІЙ Владислав Ігорович")</f>
        <v>ЗЕРКАЛІЙ Владислав Ігорович</v>
      </c>
      <c r="G10541" s="7" t="s">
        <v>10</v>
      </c>
      <c r="H10541" s="7">
        <v>16457</v>
      </c>
      <c r="I10541" s="8" t="str">
        <f ca="1">IFERROR(__xludf.DUMMYFUNCTION("IF
(
G10542=""фізична особа""
,
VLOOKUP(H10542,IMPORTRANGE(""https://docs.google.com/spreadsheets/d/14Bd19lYaqBhU8_DElYkX7l4wRkHqqCUFNJY4AfY3kHU/edit?usp=sharing  #gid=0"",""фіз особи new!relations_name""),6,FALSE)
,
(IF
(
G10542=""юридична особа""
,
VLOO"&amp;"KUP(H10542,IMPORTRANGE(""https://docs.google.com/spreadsheets/d/14Bd19lYaqBhU8_DElYkX7l4wRkHqqCUFNJY4AfY3kHU/edit?usp=sharing  #gid=0"",""фіз особи new!relations_name_uo""),7,FALSE)
,
)
))"),"ПАВЛОВ Павло Володимирович")</f>
        <v>ПАВЛОВ Павло Володимирович</v>
      </c>
      <c r="J10541" s="7" t="s">
        <v>11</v>
      </c>
    </row>
    <row r="10542" spans="1:10" ht="13.2">
      <c r="A10542" s="7">
        <v>10541</v>
      </c>
      <c r="B10542" s="7">
        <v>1</v>
      </c>
      <c r="C10542" s="7" t="s">
        <v>10</v>
      </c>
      <c r="D10542" s="7">
        <v>16479</v>
      </c>
      <c r="E10542" s="7" t="s">
        <v>11</v>
      </c>
      <c r="F10542" s="8" t="str">
        <f ca="1">IFERROR(__xludf.DUMMYFUNCTION("IF
(
C10543=""фізична особа""
,
VLOOKUP(D10543,IMPORTRANGE(""https://docs.google.com/spreadsheets/d/14Bd19lYaqBhU8_DElYkX7l4wRkHqqCUFNJY4AfY3kHU/edit?usp=sharing  #gid=0"",""фіз особи new!relations_name""),6,FALSE)
,
(IF
(
C10543=""юридична особа""
,
VLOO"&amp;"KUP(D10543,IMPORTRANGE(""https://docs.google.com/spreadsheets/d/14Bd19lYaqBhU8_DElYkX7l4wRkHqqCUFNJY4AfY3kHU/edit?usp=sharing  #gid=0"",""фіз особи new!relations_name_uo""),7,FALSE)
,
)
))"),"ЗЕРКАЛІЙ Владислав Ігорович")</f>
        <v>ЗЕРКАЛІЙ Владислав Ігорович</v>
      </c>
      <c r="G10542" s="7" t="s">
        <v>10</v>
      </c>
      <c r="H10542" s="7">
        <v>16477</v>
      </c>
      <c r="I10542" s="8" t="str">
        <f ca="1">IFERROR(__xludf.DUMMYFUNCTION("IF
(
G10543=""фізична особа""
,
VLOOKUP(H10543,IMPORTRANGE(""https://docs.google.com/spreadsheets/d/14Bd19lYaqBhU8_DElYkX7l4wRkHqqCUFNJY4AfY3kHU/edit?usp=sharing  #gid=0"",""фіз особи new!relations_name""),6,FALSE)
,
(IF
(
G10543=""юридична особа""
,
VLOO"&amp;"KUP(H10543,IMPORTRANGE(""https://docs.google.com/spreadsheets/d/14Bd19lYaqBhU8_DElYkX7l4wRkHqqCUFNJY4AfY3kHU/edit?usp=sharing  #gid=0"",""фіз особи new!relations_name_uo""),7,FALSE)
,
)
))"),"ЯРКОВОЙ Сергій Володимирович")</f>
        <v>ЯРКОВОЙ Сергій Володимирович</v>
      </c>
      <c r="J10542" s="7" t="s">
        <v>11</v>
      </c>
    </row>
    <row r="10543" spans="1:10" ht="13.2">
      <c r="A10543" s="7">
        <v>10542</v>
      </c>
      <c r="B10543" s="7">
        <v>1</v>
      </c>
      <c r="C10543" s="7" t="s">
        <v>10</v>
      </c>
      <c r="D10543" s="7">
        <v>16479</v>
      </c>
      <c r="E10543" s="7" t="s">
        <v>11</v>
      </c>
      <c r="F10543" s="8" t="str">
        <f ca="1">IFERROR(__xludf.DUMMYFUNCTION("IF
(
C10544=""фізична особа""
,
VLOOKUP(D10544,IMPORTRANGE(""https://docs.google.com/spreadsheets/d/14Bd19lYaqBhU8_DElYkX7l4wRkHqqCUFNJY4AfY3kHU/edit?usp=sharing  #gid=0"",""фіз особи new!relations_name""),6,FALSE)
,
(IF
(
C10544=""юридична особа""
,
VLOO"&amp;"KUP(D10544,IMPORTRANGE(""https://docs.google.com/spreadsheets/d/14Bd19lYaqBhU8_DElYkX7l4wRkHqqCUFNJY4AfY3kHU/edit?usp=sharing  #gid=0"",""фіз особи new!relations_name_uo""),7,FALSE)
,
)
))"),"ЗЕРКАЛІЙ Владислав Ігорович")</f>
        <v>ЗЕРКАЛІЙ Владислав Ігорович</v>
      </c>
      <c r="G10543" s="7" t="s">
        <v>10</v>
      </c>
      <c r="H10543" s="7">
        <v>943</v>
      </c>
      <c r="I10543" s="8" t="str">
        <f ca="1">IFERROR(__xludf.DUMMYFUNCTION("IF
(
G10544=""фізична особа""
,
VLOOKUP(H10544,IMPORTRANGE(""https://docs.google.com/spreadsheets/d/14Bd19lYaqBhU8_DElYkX7l4wRkHqqCUFNJY4AfY3kHU/edit?usp=sharing  #gid=0"",""фіз особи new!relations_name""),6,FALSE)
,
(IF
(
G10544=""юридична особа""
,
VLOO"&amp;"KUP(H10544,IMPORTRANGE(""https://docs.google.com/spreadsheets/d/14Bd19lYaqBhU8_DElYkX7l4wRkHqqCUFNJY4AfY3kHU/edit?usp=sharing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43" s="7" t="s">
        <v>11</v>
      </c>
    </row>
    <row r="10544" spans="1:10" ht="13.2">
      <c r="A10544" s="7">
        <v>10543</v>
      </c>
      <c r="B10544" s="7">
        <v>1</v>
      </c>
      <c r="C10544" s="7" t="s">
        <v>10</v>
      </c>
      <c r="D10544" s="7">
        <v>16481</v>
      </c>
      <c r="E10544" s="7" t="s">
        <v>28</v>
      </c>
      <c r="F10544" s="8" t="str">
        <f ca="1">IFERROR(__xludf.DUMMYFUNCTION("IF
(
C10545=""фізична особа""
,
VLOOKUP(D10545,IMPORTRANGE(""https://docs.google.com/spreadsheets/d/14Bd19lYaqBhU8_DElYkX7l4wRkHqqCUFNJY4AfY3kHU/edit?usp=sharing  #gid=0"",""фіз особи new!relations_name""),6,FALSE)
,
(IF
(
C10545=""юридична особа""
,
VLOO"&amp;"KUP(D10545,IMPORTRANGE(""https://docs.google.com/spreadsheets/d/14Bd19lYaqBhU8_DElYkX7l4wRkHqqCUFNJY4AfY3kHU/edit?usp=sharing  #gid=0"",""фіз особи new!relations_name_uo""),7,FALSE)
,
)
))"),"СЕЛЕЗНЬОВ Олексій Геннадійович")</f>
        <v>СЕЛЕЗНЬОВ Олексій Геннадійович</v>
      </c>
      <c r="G10544" s="7" t="s">
        <v>10</v>
      </c>
      <c r="H10544" s="7">
        <v>4023</v>
      </c>
      <c r="I10544" s="8" t="str">
        <f ca="1">IFERROR(__xludf.DUMMYFUNCTION("IF
(
G10545=""фізична особа""
,
VLOOKUP(H10545,IMPORTRANGE(""https://docs.google.com/spreadsheets/d/14Bd19lYaqBhU8_DElYkX7l4wRkHqqCUFNJY4AfY3kHU/edit?usp=sharing  #gid=0"",""фіз особи new!relations_name""),6,FALSE)
,
(IF
(
G10545=""юридична особа""
,
VLOO"&amp;"KUP(H10545,IMPORTRANGE(""https://docs.google.com/spreadsheets/d/14Bd19lYaqBhU8_DElYkX7l4wRkHqqCUFNJY4AfY3kHU/edit?usp=sharing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544" s="7" t="s">
        <v>29</v>
      </c>
    </row>
    <row r="10545" spans="1:10" ht="13.2">
      <c r="A10545" s="7">
        <v>10544</v>
      </c>
      <c r="B10545" s="7">
        <v>1</v>
      </c>
      <c r="C10545" s="7" t="s">
        <v>10</v>
      </c>
      <c r="D10545" s="7">
        <v>16481</v>
      </c>
      <c r="E10545" s="7" t="s">
        <v>28</v>
      </c>
      <c r="F10545" s="8" t="str">
        <f ca="1">IFERROR(__xludf.DUMMYFUNCTION("IF
(
C10546=""фізична особа""
,
VLOOKUP(D10546,IMPORTRANGE(""https://docs.google.com/spreadsheets/d/14Bd19lYaqBhU8_DElYkX7l4wRkHqqCUFNJY4AfY3kHU/edit?usp=sharing  #gid=0"",""фіз особи new!relations_name""),6,FALSE)
,
(IF
(
C10546=""юридична особа""
,
VLOO"&amp;"KUP(D10546,IMPORTRANGE(""https://docs.google.com/spreadsheets/d/14Bd19lYaqBhU8_DElYkX7l4wRkHqqCUFNJY4AfY3kHU/edit?usp=sharing  #gid=0"",""фіз особи new!relations_name_uo""),7,FALSE)
,
)
))"),"СЕЛЕЗНЬОВ Олексій Геннадійович")</f>
        <v>СЕЛЕЗНЬОВ Олексій Геннадійович</v>
      </c>
      <c r="G10545" s="7" t="s">
        <v>10</v>
      </c>
      <c r="H10545" s="7">
        <v>5275</v>
      </c>
      <c r="I10545" s="8" t="str">
        <f ca="1">IFERROR(__xludf.DUMMYFUNCTION("IF
(
G10546=""фізична особа""
,
VLOOKUP(H10546,IMPORTRANGE(""https://docs.google.com/spreadsheets/d/14Bd19lYaqBhU8_DElYkX7l4wRkHqqCUFNJY4AfY3kHU/edit?usp=sharing  #gid=0"",""фіз особи new!relations_name""),6,FALSE)
,
(IF
(
G10546=""юридична особа""
,
VLOO"&amp;"KUP(H10546,IMPORTRANGE(""https://docs.google.com/spreadsheets/d/14Bd19lYaqBhU8_DElYkX7l4wRkHqqCUFNJY4AfY3kHU/edit?usp=sharing  #gid=0"",""фіз особи new!relations_name_uo""),7,FALSE)
,
)
))"),"МАРІЧЕВ Сергій Юрійович")</f>
        <v>МАРІЧЕВ Сергій Юрійович</v>
      </c>
      <c r="J10545" s="7" t="s">
        <v>29</v>
      </c>
    </row>
    <row r="10546" spans="1:10" ht="13.2">
      <c r="A10546" s="7">
        <v>10545</v>
      </c>
      <c r="B10546" s="7">
        <v>1</v>
      </c>
      <c r="C10546" s="7" t="s">
        <v>10</v>
      </c>
      <c r="D10546" s="7">
        <v>16482</v>
      </c>
      <c r="E10546" s="7" t="s">
        <v>14</v>
      </c>
      <c r="F10546" s="8" t="str">
        <f ca="1">IFERROR(__xludf.DUMMYFUNCTION("IF
(
C10547=""фізична особа""
,
VLOOKUP(D10547,IMPORTRANGE(""https://docs.google.com/spreadsheets/d/14Bd19lYaqBhU8_DElYkX7l4wRkHqqCUFNJY4AfY3kHU/edit?usp=sharing  #gid=0"",""фіз особи new!relations_name""),6,FALSE)
,
(IF
(
C10547=""юридична особа""
,
VLOO"&amp;"KUP(D10547,IMPORTRANGE(""https://docs.google.com/spreadsheets/d/14Bd19lYaqBhU8_DElYkX7l4wRkHqqCUFNJY4AfY3kHU/edit?usp=sharing  #gid=0"",""фіз особи new!relations_name_uo""),7,FALSE)
,
)
))"),"РУКША В'ячеслав Володимирович")</f>
        <v>РУКША В'ячеслав Володимирович</v>
      </c>
      <c r="G10546" s="7" t="s">
        <v>10</v>
      </c>
      <c r="H10546" s="7">
        <v>0</v>
      </c>
      <c r="I10546" s="8" t="str">
        <f ca="1">IFERROR(__xludf.DUMMYFUNCTION("IF
(
G10547=""фізична особа""
,
VLOOKUP(H10547,IMPORTRANGE(""https://docs.google.com/spreadsheets/d/14Bd19lYaqBhU8_DElYkX7l4wRkHqqCUFNJY4AfY3kHU/edit?usp=sharing  #gid=0"",""фіз особи new!relations_name""),6,FALSE)
,
(IF
(
G10547=""юридична особа""
,
VLOO"&amp;"KUP(H10547,IMPORTRANGE(""https://docs.google.com/spreadsheets/d/14Bd19lYaqBhU8_DElYkX7l4wRkHqqCUFNJY4AfY3kHU/edit?usp=sharing  #gid=0"",""фіз особи new!relations_name_uo""),7,FALSE)
,
)
))"),"#N/A")</f>
        <v>#N/A</v>
      </c>
      <c r="J10546" s="7" t="s">
        <v>15</v>
      </c>
    </row>
    <row r="10547" spans="1:10" ht="13.2">
      <c r="A10547" s="7">
        <v>10546</v>
      </c>
      <c r="B10547" s="7">
        <v>1</v>
      </c>
      <c r="C10547" s="7" t="s">
        <v>10</v>
      </c>
      <c r="D10547" s="7">
        <v>16482</v>
      </c>
      <c r="E10547" s="7" t="s">
        <v>12</v>
      </c>
      <c r="F10547" s="8" t="str">
        <f ca="1">IFERROR(__xludf.DUMMYFUNCTION("IF
(
C10548=""фізична особа""
,
VLOOKUP(D10548,IMPORTRANGE(""https://docs.google.com/spreadsheets/d/14Bd19lYaqBhU8_DElYkX7l4wRkHqqCUFNJY4AfY3kHU/edit?usp=sharing  #gid=0"",""фіз особи new!relations_name""),6,FALSE)
,
(IF
(
C10548=""юридична особа""
,
VLOO"&amp;"KUP(D10548,IMPORTRANGE(""https://docs.google.com/spreadsheets/d/14Bd19lYaqBhU8_DElYkX7l4wRkHqqCUFNJY4AfY3kHU/edit?usp=sharing  #gid=0"",""фіз особи new!relations_name_uo""),7,FALSE)
,
)
))"),"РУКША В'ячеслав Володимирович")</f>
        <v>РУКША В'ячеслав Володимирович</v>
      </c>
      <c r="G10547" s="7" t="s">
        <v>10</v>
      </c>
      <c r="H10547" s="7">
        <v>0</v>
      </c>
      <c r="I10547" s="8" t="str">
        <f ca="1">IFERROR(__xludf.DUMMYFUNCTION("IF
(
G10548=""фізична особа""
,
VLOOKUP(H10548,IMPORTRANGE(""https://docs.google.com/spreadsheets/d/14Bd19lYaqBhU8_DElYkX7l4wRkHqqCUFNJY4AfY3kHU/edit?usp=sharing  #gid=0"",""фіз особи new!relations_name""),6,FALSE)
,
(IF
(
G10548=""юридична особа""
,
VLOO"&amp;"KUP(H10548,IMPORTRANGE(""https://docs.google.com/spreadsheets/d/14Bd19lYaqBhU8_DElYkX7l4wRkHqqCUFNJY4AfY3kHU/edit?usp=sharing  #gid=0"",""фіз особи new!relations_name_uo""),7,FALSE)
,
)
))"),"#N/A")</f>
        <v>#N/A</v>
      </c>
      <c r="J10547" s="7" t="s">
        <v>13</v>
      </c>
    </row>
    <row r="10548" spans="1:10" ht="13.2">
      <c r="A10548" s="7">
        <v>10547</v>
      </c>
      <c r="B10548" s="7">
        <v>1</v>
      </c>
      <c r="C10548" s="7" t="s">
        <v>10</v>
      </c>
      <c r="D10548" s="7">
        <v>16482</v>
      </c>
      <c r="E10548" s="7" t="s">
        <v>12</v>
      </c>
      <c r="F10548" s="8" t="str">
        <f ca="1">IFERROR(__xludf.DUMMYFUNCTION("IF
(
C10549=""фізична особа""
,
VLOOKUP(D10549,IMPORTRANGE(""https://docs.google.com/spreadsheets/d/14Bd19lYaqBhU8_DElYkX7l4wRkHqqCUFNJY4AfY3kHU/edit?usp=sharing  #gid=0"",""фіз особи new!relations_name""),6,FALSE)
,
(IF
(
C10549=""юридична особа""
,
VLOO"&amp;"KUP(D10549,IMPORTRANGE(""https://docs.google.com/spreadsheets/d/14Bd19lYaqBhU8_DElYkX7l4wRkHqqCUFNJY4AfY3kHU/edit?usp=sharing  #gid=0"",""фіз особи new!relations_name_uo""),7,FALSE)
,
)
))"),"РУКША В'ячеслав Володимирович")</f>
        <v>РУКША В'ячеслав Володимирович</v>
      </c>
      <c r="G10548" s="7" t="s">
        <v>10</v>
      </c>
      <c r="H10548" s="7">
        <v>0</v>
      </c>
      <c r="I10548" s="8" t="str">
        <f ca="1">IFERROR(__xludf.DUMMYFUNCTION("IF
(
G10549=""фізична особа""
,
VLOOKUP(H10549,IMPORTRANGE(""https://docs.google.com/spreadsheets/d/14Bd19lYaqBhU8_DElYkX7l4wRkHqqCUFNJY4AfY3kHU/edit?usp=sharing  #gid=0"",""фіз особи new!relations_name""),6,FALSE)
,
(IF
(
G10549=""юридична особа""
,
VLOO"&amp;"KUP(H10549,IMPORTRANGE(""https://docs.google.com/spreadsheets/d/14Bd19lYaqBhU8_DElYkX7l4wRkHqqCUFNJY4AfY3kHU/edit?usp=sharing  #gid=0"",""фіз особи new!relations_name_uo""),7,FALSE)
,
)
))"),"#N/A")</f>
        <v>#N/A</v>
      </c>
      <c r="J10548" s="7" t="s">
        <v>17</v>
      </c>
    </row>
    <row r="10549" spans="1:10" ht="13.2">
      <c r="A10549" s="7">
        <v>10548</v>
      </c>
      <c r="B10549" s="7">
        <v>1</v>
      </c>
      <c r="C10549" s="7" t="s">
        <v>10</v>
      </c>
      <c r="D10549" s="7">
        <v>16482</v>
      </c>
      <c r="E10549" s="7" t="s">
        <v>28</v>
      </c>
      <c r="F10549" s="8" t="str">
        <f ca="1">IFERROR(__xludf.DUMMYFUNCTION("IF
(
C10550=""фізична особа""
,
VLOOKUP(D10550,IMPORTRANGE(""https://docs.google.com/spreadsheets/d/14Bd19lYaqBhU8_DElYkX7l4wRkHqqCUFNJY4AfY3kHU/edit?usp=sharing  #gid=0"",""фіз особи new!relations_name""),6,FALSE)
,
(IF
(
C10550=""юридична особа""
,
VLOO"&amp;"KUP(D10550,IMPORTRANGE(""https://docs.google.com/spreadsheets/d/14Bd19lYaqBhU8_DElYkX7l4wRkHqqCUFNJY4AfY3kHU/edit?usp=sharing  #gid=0"",""фіз особи new!relations_name_uo""),7,FALSE)
,
)
))"),"РУКША В'ячеслав Володимирович")</f>
        <v>РУКША В'ячеслав Володимирович</v>
      </c>
      <c r="G10549" s="7" t="s">
        <v>10</v>
      </c>
      <c r="H10549" s="7">
        <v>1172</v>
      </c>
      <c r="I10549" s="8" t="str">
        <f ca="1">IFERROR(__xludf.DUMMYFUNCTION("IF
(
G10550=""фізична особа""
,
VLOOKUP(H10550,IMPORTRANGE(""https://docs.google.com/spreadsheets/d/14Bd19lYaqBhU8_DElYkX7l4wRkHqqCUFNJY4AfY3kHU/edit?usp=sharing  #gid=0"",""фіз особи new!relations_name""),6,FALSE)
,
(IF
(
G10550=""юридична особа""
,
VLOO"&amp;"KUP(H10550,IMPORTRANGE(""https://docs.google.com/spreadsheets/d/14Bd19lYaqBhU8_DElYkX7l4wRkHqqCUFNJY4AfY3kHU/edit?usp=sharing  #gid=0"",""фіз особи new!relations_name_uo""),7,FALSE)
,
)
))"),"ЛИХАЧОВ Олексій Євгенович")</f>
        <v>ЛИХАЧОВ Олексій Євгенович</v>
      </c>
      <c r="J10549" s="7" t="s">
        <v>29</v>
      </c>
    </row>
    <row r="10550" spans="1:10" ht="13.2">
      <c r="A10550" s="7">
        <v>10549</v>
      </c>
      <c r="B10550" s="7">
        <v>1</v>
      </c>
      <c r="C10550" s="7" t="s">
        <v>10</v>
      </c>
      <c r="D10550" s="7">
        <v>16483</v>
      </c>
      <c r="E10550" s="7" t="s">
        <v>28</v>
      </c>
      <c r="F10550" s="8" t="str">
        <f ca="1">IFERROR(__xludf.DUMMYFUNCTION("IF
(
C10551=""фізична особа""
,
VLOOKUP(D10551,IMPORTRANGE(""https://docs.google.com/spreadsheets/d/14Bd19lYaqBhU8_DElYkX7l4wRkHqqCUFNJY4AfY3kHU/edit?usp=sharing  #gid=0"",""фіз особи new!relations_name""),6,FALSE)
,
(IF
(
C10551=""юридична особа""
,
VLOO"&amp;"KUP(D10551,IMPORTRANGE(""https://docs.google.com/spreadsheets/d/14Bd19lYaqBhU8_DElYkX7l4wRkHqqCUFNJY4AfY3kHU/edit?usp=sharing  #gid=0"",""фіз особи new!relations_name_uo""),7,FALSE)
,
)
))"),"БОБРИЦЬКИЙ Едуард Вадимович")</f>
        <v>БОБРИЦЬКИЙ Едуард Вадимович</v>
      </c>
      <c r="G10550" s="7" t="s">
        <v>10</v>
      </c>
      <c r="H10550" s="7">
        <v>4023</v>
      </c>
      <c r="I10550" s="8" t="str">
        <f ca="1">IFERROR(__xludf.DUMMYFUNCTION("IF
(
G10551=""фізична особа""
,
VLOOKUP(H10551,IMPORTRANGE(""https://docs.google.com/spreadsheets/d/14Bd19lYaqBhU8_DElYkX7l4wRkHqqCUFNJY4AfY3kHU/edit?usp=sharing  #gid=0"",""фіз особи new!relations_name""),6,FALSE)
,
(IF
(
G10551=""юридична особа""
,
VLOO"&amp;"KUP(H10551,IMPORTRANGE(""https://docs.google.com/spreadsheets/d/14Bd19lYaqBhU8_DElYkX7l4wRkHqqCUFNJY4AfY3kHU/edit?usp=sharing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550" s="7" t="s">
        <v>29</v>
      </c>
    </row>
    <row r="10551" spans="1:10" ht="13.2">
      <c r="A10551" s="7">
        <v>10550</v>
      </c>
      <c r="B10551" s="7">
        <v>1</v>
      </c>
      <c r="C10551" s="7" t="s">
        <v>10</v>
      </c>
      <c r="D10551" s="7">
        <v>16484</v>
      </c>
      <c r="E10551" s="7" t="s">
        <v>28</v>
      </c>
      <c r="F10551" s="8" t="str">
        <f ca="1">IFERROR(__xludf.DUMMYFUNCTION("IF
(
C10552=""фізична особа""
,
VLOOKUP(D10552,IMPORTRANGE(""https://docs.google.com/spreadsheets/d/14Bd19lYaqBhU8_DElYkX7l4wRkHqqCUFNJY4AfY3kHU/edit?usp=sharing  #gid=0"",""фіз особи new!relations_name""),6,FALSE)
,
(IF
(
C10552=""юридична особа""
,
VLOO"&amp;"KUP(D10552,IMPORTRANGE(""https://docs.google.com/spreadsheets/d/14Bd19lYaqBhU8_DElYkX7l4wRkHqqCUFNJY4AfY3kHU/edit?usp=sharing  #gid=0"",""фіз особи new!relations_name_uo""),7,FALSE)
,
)
))"),"ДИКИЙ Олексій Вадимович")</f>
        <v>ДИКИЙ Олексій Вадимович</v>
      </c>
      <c r="G10551" s="7" t="s">
        <v>10</v>
      </c>
      <c r="H10551" s="7">
        <v>4023</v>
      </c>
      <c r="I10551" s="8" t="str">
        <f ca="1">IFERROR(__xludf.DUMMYFUNCTION("IF
(
G10552=""фізична особа""
,
VLOOKUP(H10552,IMPORTRANGE(""https://docs.google.com/spreadsheets/d/14Bd19lYaqBhU8_DElYkX7l4wRkHqqCUFNJY4AfY3kHU/edit?usp=sharing  #gid=0"",""фіз особи new!relations_name""),6,FALSE)
,
(IF
(
G10552=""юридична особа""
,
VLOO"&amp;"KUP(H10552,IMPORTRANGE(""https://docs.google.com/spreadsheets/d/14Bd19lYaqBhU8_DElYkX7l4wRkHqqCUFNJY4AfY3kHU/edit?usp=sharing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551" s="7" t="s">
        <v>29</v>
      </c>
    </row>
    <row r="10552" spans="1:10" ht="13.2">
      <c r="A10552" s="7">
        <v>10551</v>
      </c>
      <c r="B10552" s="7">
        <v>1</v>
      </c>
      <c r="C10552" s="7" t="s">
        <v>10</v>
      </c>
      <c r="D10552" s="7">
        <v>16486</v>
      </c>
      <c r="E10552" s="7" t="s">
        <v>11</v>
      </c>
      <c r="F10552" s="8" t="str">
        <f ca="1">IFERROR(__xludf.DUMMYFUNCTION("IF
(
C10553=""фізична особа""
,
VLOOKUP(D10553,IMPORTRANGE(""https://docs.google.com/spreadsheets/d/14Bd19lYaqBhU8_DElYkX7l4wRkHqqCUFNJY4AfY3kHU/edit?usp=sharing  #gid=0"",""фіз особи new!relations_name""),6,FALSE)
,
(IF
(
C10553=""юридична особа""
,
VLOO"&amp;"KUP(D10553,IMPORTRANGE(""https://docs.google.com/spreadsheets/d/14Bd19lYaqBhU8_DElYkX7l4wRkHqqCUFNJY4AfY3kHU/edit?usp=sharing  #gid=0"",""фіз особи new!relations_name_uo""),7,FALSE)
,
)
))"),"ІВАНОВ Володимир Олександрович")</f>
        <v>ІВАНОВ Володимир Олександрович</v>
      </c>
      <c r="G10552" s="7" t="s">
        <v>10</v>
      </c>
      <c r="H10552" s="7">
        <v>16529</v>
      </c>
      <c r="I10552" s="8" t="str">
        <f ca="1">IFERROR(__xludf.DUMMYFUNCTION("IF
(
G10553=""фізична особа""
,
VLOOKUP(H10553,IMPORTRANGE(""https://docs.google.com/spreadsheets/d/14Bd19lYaqBhU8_DElYkX7l4wRkHqqCUFNJY4AfY3kHU/edit?usp=sharing  #gid=0"",""фіз особи new!relations_name""),6,FALSE)
,
(IF
(
G10553=""юридична особа""
,
VLOO"&amp;"KUP(H10553,IMPORTRANGE(""https://docs.google.com/spreadsheets/d/14Bd19lYaqBhU8_DElYkX7l4wRkHqqCUFNJY4AfY3kHU/edit?usp=sharing  #gid=0"",""фіз особи new!relations_name_uo""),7,FALSE)
,
)
))"),"ГАЛІН Дмитро Володимирович")</f>
        <v>ГАЛІН Дмитро Володимирович</v>
      </c>
      <c r="J10552" s="7" t="s">
        <v>11</v>
      </c>
    </row>
    <row r="10553" spans="1:10" ht="13.2">
      <c r="A10553" s="7">
        <v>10552</v>
      </c>
      <c r="B10553" s="7">
        <v>1</v>
      </c>
      <c r="C10553" s="7" t="s">
        <v>10</v>
      </c>
      <c r="D10553" s="7">
        <v>16487</v>
      </c>
      <c r="E10553" s="7" t="s">
        <v>11</v>
      </c>
      <c r="F10553" s="8" t="str">
        <f ca="1">IFERROR(__xludf.DUMMYFUNCTION("IF
(
C10554=""фізична особа""
,
VLOOKUP(D10554,IMPORTRANGE(""https://docs.google.com/spreadsheets/d/14Bd19lYaqBhU8_DElYkX7l4wRkHqqCUFNJY4AfY3kHU/edit?usp=sharing  #gid=0"",""фіз особи new!relations_name""),6,FALSE)
,
(IF
(
C10554=""юридична особа""
,
VLOO"&amp;"KUP(D10554,IMPORTRANGE(""https://docs.google.com/spreadsheets/d/14Bd19lYaqBhU8_DElYkX7l4wRkHqqCUFNJY4AfY3kHU/edit?usp=sharing  #gid=0"",""фіз особи new!relations_name_uo""),7,FALSE)
,
)
))"),"ГЕРАСИМЧУК Андрій Леонідович")</f>
        <v>ГЕРАСИМЧУК Андрій Леонідович</v>
      </c>
      <c r="G10553" s="7" t="s">
        <v>10</v>
      </c>
      <c r="H10553" s="7">
        <v>943</v>
      </c>
      <c r="I10553" s="8" t="str">
        <f ca="1">IFERROR(__xludf.DUMMYFUNCTION("IF
(
G10554=""фізична особа""
,
VLOOKUP(H10554,IMPORTRANGE(""https://docs.google.com/spreadsheets/d/14Bd19lYaqBhU8_DElYkX7l4wRkHqqCUFNJY4AfY3kHU/edit?usp=sharing  #gid=0"",""фіз особи new!relations_name""),6,FALSE)
,
(IF
(
G10554=""юридична особа""
,
VLOO"&amp;"KUP(H10554,IMPORTRANGE(""https://docs.google.com/spreadsheets/d/14Bd19lYaqBhU8_DElYkX7l4wRkHqqCUFNJY4AfY3kHU/edit?usp=sharing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53" s="7" t="s">
        <v>11</v>
      </c>
    </row>
    <row r="10554" spans="1:10" ht="13.2">
      <c r="A10554" s="7">
        <v>10553</v>
      </c>
      <c r="B10554" s="7">
        <v>1</v>
      </c>
      <c r="C10554" s="7" t="s">
        <v>10</v>
      </c>
      <c r="D10554" s="7">
        <v>16489</v>
      </c>
      <c r="E10554" s="7" t="s">
        <v>11</v>
      </c>
      <c r="F10554" s="8" t="str">
        <f ca="1">IFERROR(__xludf.DUMMYFUNCTION("IF
(
C10555=""фізична особа""
,
VLOOKUP(D10555,IMPORTRANGE(""https://docs.google.com/spreadsheets/d/14Bd19lYaqBhU8_DElYkX7l4wRkHqqCUFNJY4AfY3kHU/edit?usp=sharing  #gid=0"",""фіз особи new!relations_name""),6,FALSE)
,
(IF
(
C10555=""юридична особа""
,
VLOO"&amp;"KUP(D10555,IMPORTRANGE(""https://docs.google.com/spreadsheets/d/14Bd19lYaqBhU8_DElYkX7l4wRkHqqCUFNJY4AfY3kHU/edit?usp=sharing  #gid=0"",""фіз особи new!relations_name_uo""),7,FALSE)
,
)
))"),"ДЄТУШЕВ Олексій Сергійович")</f>
        <v>ДЄТУШЕВ Олексій Сергійович</v>
      </c>
      <c r="G10554" s="7" t="s">
        <v>10</v>
      </c>
      <c r="H10554" s="7">
        <v>16527</v>
      </c>
      <c r="I10554" s="8" t="str">
        <f ca="1">IFERROR(__xludf.DUMMYFUNCTION("IF
(
G10555=""фізична особа""
,
VLOOKUP(H10555,IMPORTRANGE(""https://docs.google.com/spreadsheets/d/14Bd19lYaqBhU8_DElYkX7l4wRkHqqCUFNJY4AfY3kHU/edit?usp=sharing  #gid=0"",""фіз особи new!relations_name""),6,FALSE)
,
(IF
(
G10555=""юридична особа""
,
VLOO"&amp;"KUP(H10555,IMPORTRANGE(""https://docs.google.com/spreadsheets/d/14Bd19lYaqBhU8_DElYkX7l4wRkHqqCUFNJY4AfY3kHU/edit?usp=sharing  #gid=0"",""фіз особи new!relations_name_uo""),7,FALSE)
,
)
))"),"ЯКУШЕВ Антон Олегович")</f>
        <v>ЯКУШЕВ Антон Олегович</v>
      </c>
      <c r="J10554" s="7" t="s">
        <v>11</v>
      </c>
    </row>
    <row r="10555" spans="1:10" ht="13.2">
      <c r="A10555" s="7">
        <v>10554</v>
      </c>
      <c r="B10555" s="7">
        <v>1</v>
      </c>
      <c r="C10555" s="7" t="s">
        <v>10</v>
      </c>
      <c r="D10555" s="7">
        <v>16501</v>
      </c>
      <c r="E10555" s="7" t="s">
        <v>12</v>
      </c>
      <c r="F10555" s="8" t="str">
        <f ca="1">IFERROR(__xludf.DUMMYFUNCTION("IF
(
C10556=""фізична особа""
,
VLOOKUP(D10556,IMPORTRANGE(""https://docs.google.com/spreadsheets/d/14Bd19lYaqBhU8_DElYkX7l4wRkHqqCUFNJY4AfY3kHU/edit?usp=sharing  #gid=0"",""фіз особи new!relations_name""),6,FALSE)
,
(IF
(
C10556=""юридична особа""
,
VLOO"&amp;"KUP(D10556,IMPORTRANGE(""https://docs.google.com/spreadsheets/d/14Bd19lYaqBhU8_DElYkX7l4wRkHqqCUFNJY4AfY3kHU/edit?usp=sharing  #gid=0"",""фіз особи new!relations_name_uo""),7,FALSE)
,
)
))"),"ШУБСЬКИЙ Кирило Юлійович")</f>
        <v>ШУБСЬКИЙ Кирило Юлійович</v>
      </c>
      <c r="G10555" s="7" t="s">
        <v>10</v>
      </c>
      <c r="H10555" s="7">
        <v>0</v>
      </c>
      <c r="I10555" s="8" t="str">
        <f ca="1">IFERROR(__xludf.DUMMYFUNCTION("IF
(
G10556=""фізична особа""
,
VLOOKUP(H10556,IMPORTRANGE(""https://docs.google.com/spreadsheets/d/14Bd19lYaqBhU8_DElYkX7l4wRkHqqCUFNJY4AfY3kHU/edit?usp=sharing  #gid=0"",""фіз особи new!relations_name""),6,FALSE)
,
(IF
(
G10556=""юридична особа""
,
VLOO"&amp;"KUP(H10556,IMPORTRANGE(""https://docs.google.com/spreadsheets/d/14Bd19lYaqBhU8_DElYkX7l4wRkHqqCUFNJY4AfY3kHU/edit?usp=sharing  #gid=0"",""фіз особи new!relations_name_uo""),7,FALSE)
,
)
))"),"#N/A")</f>
        <v>#N/A</v>
      </c>
      <c r="J10555" s="7" t="s">
        <v>13</v>
      </c>
    </row>
    <row r="10556" spans="1:10" ht="13.2">
      <c r="A10556" s="7">
        <v>10555</v>
      </c>
      <c r="B10556" s="7">
        <v>1</v>
      </c>
      <c r="C10556" s="7" t="s">
        <v>10</v>
      </c>
      <c r="D10556" s="7">
        <v>16501</v>
      </c>
      <c r="E10556" s="7" t="s">
        <v>24</v>
      </c>
      <c r="F10556" s="8" t="str">
        <f ca="1">IFERROR(__xludf.DUMMYFUNCTION("IF
(
C10557=""фізична особа""
,
VLOOKUP(D10557,IMPORTRANGE(""https://docs.google.com/spreadsheets/d/14Bd19lYaqBhU8_DElYkX7l4wRkHqqCUFNJY4AfY3kHU/edit?usp=sharing  #gid=0"",""фіз особи new!relations_name""),6,FALSE)
,
(IF
(
C10557=""юридична особа""
,
VLOO"&amp;"KUP(D10557,IMPORTRANGE(""https://docs.google.com/spreadsheets/d/14Bd19lYaqBhU8_DElYkX7l4wRkHqqCUFNJY4AfY3kHU/edit?usp=sharing  #gid=0"",""фіз особи new!relations_name_uo""),7,FALSE)
,
)
))"),"ШУБСЬКИЙ Кирило Юлійович")</f>
        <v>ШУБСЬКИЙ Кирило Юлійович</v>
      </c>
      <c r="G10556" s="7" t="s">
        <v>10</v>
      </c>
      <c r="H10556" s="7">
        <v>2260</v>
      </c>
      <c r="I10556" s="8" t="str">
        <f ca="1">IFERROR(__xludf.DUMMYFUNCTION("IF
(
G10557=""фізична особа""
,
VLOOKUP(H10557,IMPORTRANGE(""https://docs.google.com/spreadsheets/d/14Bd19lYaqBhU8_DElYkX7l4wRkHqqCUFNJY4AfY3kHU/edit?usp=sharing  #gid=0"",""фіз особи new!relations_name""),6,FALSE)
,
(IF
(
G10557=""юридична особа""
,
VLOO"&amp;"KUP(H10557,IMPORTRANGE(""https://docs.google.com/spreadsheets/d/14Bd19lYaqBhU8_DElYkX7l4wRkHqqCUFNJY4AfY3kHU/edit?usp=sharing  #gid=0"",""фіз особи new!relations_name_uo""),7,FALSE)
,
)
))"),"ОВЕЧКІН Олександр Михайлович")</f>
        <v>ОВЕЧКІН Олександр Михайлович</v>
      </c>
      <c r="J10556" s="7" t="s">
        <v>26</v>
      </c>
    </row>
    <row r="10557" spans="1:10" ht="13.2">
      <c r="A10557" s="7">
        <v>10556</v>
      </c>
      <c r="B10557" s="7">
        <v>1</v>
      </c>
      <c r="C10557" s="7" t="s">
        <v>10</v>
      </c>
      <c r="D10557" s="7">
        <v>16503</v>
      </c>
      <c r="E10557" s="7" t="s">
        <v>28</v>
      </c>
      <c r="F10557" s="8" t="str">
        <f ca="1">IFERROR(__xludf.DUMMYFUNCTION("IF
(
C10558=""фізична особа""
,
VLOOKUP(D10558,IMPORTRANGE(""https://docs.google.com/spreadsheets/d/14Bd19lYaqBhU8_DElYkX7l4wRkHqqCUFNJY4AfY3kHU/edit?usp=sharing  #gid=0"",""фіз особи new!relations_name""),6,FALSE)
,
(IF
(
C10558=""юридична особа""
,
VLOO"&amp;"KUP(D10558,IMPORTRANGE(""https://docs.google.com/spreadsheets/d/14Bd19lYaqBhU8_DElYkX7l4wRkHqqCUFNJY4AfY3kHU/edit?usp=sharing  #gid=0"",""фіз особи new!relations_name_uo""),7,FALSE)
,
)
))"),"КУДАШКІН Олександр Васильович")</f>
        <v>КУДАШКІН Олександр Васильович</v>
      </c>
      <c r="G10557" s="7" t="s">
        <v>10</v>
      </c>
      <c r="H10557" s="7">
        <v>2137</v>
      </c>
      <c r="I10557" s="8" t="str">
        <f ca="1">IFERROR(__xludf.DUMMYFUNCTION("IF
(
G10558=""фізична особа""
,
VLOOKUP(H10558,IMPORTRANGE(""https://docs.google.com/spreadsheets/d/14Bd19lYaqBhU8_DElYkX7l4wRkHqqCUFNJY4AfY3kHU/edit?usp=sharing  #gid=0"",""фіз особи new!relations_name""),6,FALSE)
,
(IF
(
G10558=""юридична особа""
,
VLOO"&amp;"KUP(H10558,IMPORTRANGE(""https://docs.google.com/spreadsheets/d/14Bd19lYaqBhU8_DElYkX7l4wRkHqqCUFNJY4AfY3kHU/edit?usp=sharing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557" s="7" t="s">
        <v>29</v>
      </c>
    </row>
    <row r="10558" spans="1:10" ht="13.2">
      <c r="A10558" s="7">
        <v>10557</v>
      </c>
      <c r="B10558" s="7">
        <v>1</v>
      </c>
      <c r="C10558" s="7" t="s">
        <v>10</v>
      </c>
      <c r="D10558" s="7">
        <v>16508</v>
      </c>
      <c r="E10558" s="7" t="s">
        <v>29</v>
      </c>
      <c r="F10558" s="8" t="str">
        <f ca="1">IFERROR(__xludf.DUMMYFUNCTION("IF
(
C10559=""фізична особа""
,
VLOOKUP(D10559,IMPORTRANGE(""https://docs.google.com/spreadsheets/d/14Bd19lYaqBhU8_DElYkX7l4wRkHqqCUFNJY4AfY3kHU/edit?usp=sharing  #gid=0"",""фіз особи new!relations_name""),6,FALSE)
,
(IF
(
C10559=""юридична особа""
,
VLOO"&amp;"KUP(D10559,IMPORTRANGE(""https://docs.google.com/spreadsheets/d/14Bd19lYaqBhU8_DElYkX7l4wRkHqqCUFNJY4AfY3kHU/edit?usp=sharing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G10558" s="7" t="s">
        <v>10</v>
      </c>
      <c r="H10558" s="7">
        <v>16509</v>
      </c>
      <c r="I10558" s="8" t="str">
        <f ca="1">IFERROR(__xludf.DUMMYFUNCTION("IF
(
G10559=""фізична особа""
,
VLOOKUP(H10559,IMPORTRANGE(""https://docs.google.com/spreadsheets/d/14Bd19lYaqBhU8_DElYkX7l4wRkHqqCUFNJY4AfY3kHU/edit?usp=sharing  #gid=0"",""фіз особи new!relations_name""),6,FALSE)
,
(IF
(
G10559=""юридична особа""
,
VLOO"&amp;"KUP(H10559,IMPORTRANGE(""https://docs.google.com/spreadsheets/d/14Bd19lYaqBhU8_DElYkX7l4wRkHqqCUFNJY4AfY3kHU/edit?usp=sharing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J10558" s="7" t="s">
        <v>28</v>
      </c>
    </row>
    <row r="10559" spans="1:10" ht="13.2">
      <c r="A10559" s="7">
        <v>10558</v>
      </c>
      <c r="B10559" s="7">
        <v>1</v>
      </c>
      <c r="C10559" s="7" t="s">
        <v>10</v>
      </c>
      <c r="D10559" s="7">
        <v>16508</v>
      </c>
      <c r="E10559" s="7" t="s">
        <v>23</v>
      </c>
      <c r="F10559" s="8" t="str">
        <f ca="1">IFERROR(__xludf.DUMMYFUNCTION("IF
(
C10560=""фізична особа""
,
VLOOKUP(D10560,IMPORTRANGE(""https://docs.google.com/spreadsheets/d/14Bd19lYaqBhU8_DElYkX7l4wRkHqqCUFNJY4AfY3kHU/edit?usp=sharing  #gid=0"",""фіз особи new!relations_name""),6,FALSE)
,
(IF
(
C10560=""юридична особа""
,
VLOO"&amp;"KUP(D10560,IMPORTRANGE(""https://docs.google.com/spreadsheets/d/14Bd19lYaqBhU8_DElYkX7l4wRkHqqCUFNJY4AfY3kHU/edit?usp=sharing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G10559" s="7" t="s">
        <v>10</v>
      </c>
      <c r="H10559" s="7">
        <v>16511</v>
      </c>
      <c r="I10559" s="8" t="str">
        <f ca="1">IFERROR(__xludf.DUMMYFUNCTION("IF
(
G10560=""фізична особа""
,
VLOOKUP(H10560,IMPORTRANGE(""https://docs.google.com/spreadsheets/d/14Bd19lYaqBhU8_DElYkX7l4wRkHqqCUFNJY4AfY3kHU/edit?usp=sharing  #gid=0"",""фіз особи new!relations_name""),6,FALSE)
,
(IF
(
G10560=""юридична особа""
,
VLOO"&amp;"KUP(H10560,IMPORTRANGE(""https://docs.google.com/spreadsheets/d/14Bd19lYaqBhU8_DElYkX7l4wRkHqqCUFNJY4AfY3kHU/edit?usp=sharing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J10559" s="7" t="s">
        <v>23</v>
      </c>
    </row>
    <row r="10560" spans="1:10" ht="13.2">
      <c r="A10560" s="7">
        <v>10559</v>
      </c>
      <c r="B10560" s="7">
        <v>1</v>
      </c>
      <c r="C10560" s="7" t="s">
        <v>10</v>
      </c>
      <c r="D10560" s="7">
        <v>16508</v>
      </c>
      <c r="E10560" s="7" t="s">
        <v>29</v>
      </c>
      <c r="F10560" s="8" t="str">
        <f ca="1">IFERROR(__xludf.DUMMYFUNCTION("IF
(
C10561=""фізична особа""
,
VLOOKUP(D10561,IMPORTRANGE(""https://docs.google.com/spreadsheets/d/14Bd19lYaqBhU8_DElYkX7l4wRkHqqCUFNJY4AfY3kHU/edit?usp=sharing  #gid=0"",""фіз особи new!relations_name""),6,FALSE)
,
(IF
(
C10561=""юридична особа""
,
VLOO"&amp;"KUP(D10561,IMPORTRANGE(""https://docs.google.com/spreadsheets/d/14Bd19lYaqBhU8_DElYkX7l4wRkHqqCUFNJY4AfY3kHU/edit?usp=sharing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G10560" s="7" t="s">
        <v>10</v>
      </c>
      <c r="H10560" s="7">
        <v>16510</v>
      </c>
      <c r="I10560" s="8" t="str">
        <f ca="1">IFERROR(__xludf.DUMMYFUNCTION("IF
(
G10561=""фізична особа""
,
VLOOKUP(H10561,IMPORTRANGE(""https://docs.google.com/spreadsheets/d/14Bd19lYaqBhU8_DElYkX7l4wRkHqqCUFNJY4AfY3kHU/edit?usp=sharing  #gid=0"",""фіз особи new!relations_name""),6,FALSE)
,
(IF
(
G10561=""юридична особа""
,
VLOO"&amp;"KUP(H10561,IMPORTRANGE(""https://docs.google.com/spreadsheets/d/14Bd19lYaqBhU8_DElYkX7l4wRkHqqCUFNJY4AfY3kHU/edit?usp=sharing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J10560" s="7" t="s">
        <v>28</v>
      </c>
    </row>
    <row r="10561" spans="1:10" ht="13.2">
      <c r="A10561" s="7">
        <v>10560</v>
      </c>
      <c r="B10561" s="7">
        <v>1</v>
      </c>
      <c r="C10561" s="7" t="s">
        <v>10</v>
      </c>
      <c r="D10561" s="7">
        <v>16508</v>
      </c>
      <c r="E10561" s="7" t="s">
        <v>23</v>
      </c>
      <c r="F10561" s="8" t="str">
        <f ca="1">IFERROR(__xludf.DUMMYFUNCTION("IF
(
C10562=""фізична особа""
,
VLOOKUP(D10562,IMPORTRANGE(""https://docs.google.com/spreadsheets/d/14Bd19lYaqBhU8_DElYkX7l4wRkHqqCUFNJY4AfY3kHU/edit?usp=sharing  #gid=0"",""фіз особи new!relations_name""),6,FALSE)
,
(IF
(
C10562=""юридична особа""
,
VLOO"&amp;"KUP(D10562,IMPORTRANGE(""https://docs.google.com/spreadsheets/d/14Bd19lYaqBhU8_DElYkX7l4wRkHqqCUFNJY4AfY3kHU/edit?usp=sharing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G10561" s="7" t="s">
        <v>10</v>
      </c>
      <c r="H10561" s="7">
        <v>23608</v>
      </c>
      <c r="I10561" s="8" t="str">
        <f ca="1">IFERROR(__xludf.DUMMYFUNCTION("IF
(
G10562=""фізична особа""
,
VLOOKUP(H10562,IMPORTRANGE(""https://docs.google.com/spreadsheets/d/14Bd19lYaqBhU8_DElYkX7l4wRkHqqCUFNJY4AfY3kHU/edit?usp=sharing  #gid=0"",""фіз особи new!relations_name""),6,FALSE)
,
(IF
(
G10562=""юридична особа""
,
VLOO"&amp;"KUP(H10562,IMPORTRANGE(""https://docs.google.com/spreadsheets/d/14Bd19lYaqBhU8_DElYkX7l4wRkHqqCUFNJY4AfY3kHU/edit?usp=sharing  #gid=0"",""фіз особи new!relations_name_uo""),7,FALSE)
,
)
))"),"АРМАНДС Крингелис")</f>
        <v>АРМАНДС Крингелис</v>
      </c>
      <c r="J10561" s="7" t="s">
        <v>23</v>
      </c>
    </row>
    <row r="10562" spans="1:10" ht="13.2">
      <c r="A10562" s="7">
        <v>10561</v>
      </c>
      <c r="B10562" s="7">
        <v>1</v>
      </c>
      <c r="C10562" s="7" t="s">
        <v>10</v>
      </c>
      <c r="D10562" s="7">
        <v>16508</v>
      </c>
      <c r="E10562" s="7" t="s">
        <v>23</v>
      </c>
      <c r="F10562" s="8" t="str">
        <f ca="1">IFERROR(__xludf.DUMMYFUNCTION("IF
(
C10563=""фізична особа""
,
VLOOKUP(D10563,IMPORTRANGE(""https://docs.google.com/spreadsheets/d/14Bd19lYaqBhU8_DElYkX7l4wRkHqqCUFNJY4AfY3kHU/edit?usp=sharing  #gid=0"",""фіз особи new!relations_name""),6,FALSE)
,
(IF
(
C10563=""юридична особа""
,
VLOO"&amp;"KUP(D10563,IMPORTRANGE(""https://docs.google.com/spreadsheets/d/14Bd19lYaqBhU8_DElYkX7l4wRkHqqCUFNJY4AfY3kHU/edit?usp=sharing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G10562" s="7" t="s">
        <v>10</v>
      </c>
      <c r="H10562" s="7">
        <v>23609</v>
      </c>
      <c r="I10562" s="8" t="str">
        <f ca="1">IFERROR(__xludf.DUMMYFUNCTION("IF
(
G10563=""фізична особа""
,
VLOOKUP(H10563,IMPORTRANGE(""https://docs.google.com/spreadsheets/d/14Bd19lYaqBhU8_DElYkX7l4wRkHqqCUFNJY4AfY3kHU/edit?usp=sharing  #gid=0"",""фіз особи new!relations_name""),6,FALSE)
,
(IF
(
G10563=""юридична особа""
,
VLOO"&amp;"KUP(H10563,IMPORTRANGE(""https://docs.google.com/spreadsheets/d/14Bd19lYaqBhU8_DElYkX7l4wRkHqqCUFNJY4AfY3kHU/edit?usp=sharing  #gid=0"",""фіз особи new!relations_name_uo""),7,FALSE)
,
)
))"),"МОІСЕЄВ ОЛЕГ ЮРЙОВИЧ")</f>
        <v>МОІСЕЄВ ОЛЕГ ЮРЙОВИЧ</v>
      </c>
      <c r="J10562" s="7" t="s">
        <v>23</v>
      </c>
    </row>
    <row r="10563" spans="1:10" ht="13.2">
      <c r="A10563" s="7">
        <v>10562</v>
      </c>
      <c r="B10563" s="7">
        <v>1</v>
      </c>
      <c r="C10563" s="7" t="s">
        <v>10</v>
      </c>
      <c r="D10563" s="7">
        <v>16509</v>
      </c>
      <c r="E10563" s="7" t="s">
        <v>28</v>
      </c>
      <c r="F10563" s="8" t="str">
        <f ca="1">IFERROR(__xludf.DUMMYFUNCTION("IF
(
C10564=""фізична особа""
,
VLOOKUP(D10564,IMPORTRANGE(""https://docs.google.com/spreadsheets/d/14Bd19lYaqBhU8_DElYkX7l4wRkHqqCUFNJY4AfY3kHU/edit?usp=sharing  #gid=0"",""фіз особи new!relations_name""),6,FALSE)
,
(IF
(
C10564=""юридична особа""
,
VLOO"&amp;"KUP(D10564,IMPORTRANGE(""https://docs.google.com/spreadsheets/d/14Bd19lYaqBhU8_DElYkX7l4wRkHqqCUFNJY4AfY3kHU/edit?usp=sharing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3" s="7" t="s">
        <v>10</v>
      </c>
      <c r="H10563" s="7">
        <v>16508</v>
      </c>
      <c r="I10563" s="8" t="str">
        <f ca="1">IFERROR(__xludf.DUMMYFUNCTION("IF
(
G10564=""фізична особа""
,
VLOOKUP(H10564,IMPORTRANGE(""https://docs.google.com/spreadsheets/d/14Bd19lYaqBhU8_DElYkX7l4wRkHqqCUFNJY4AfY3kHU/edit?usp=sharing  #gid=0"",""фіз особи new!relations_name""),6,FALSE)
,
(IF
(
G10564=""юридична особа""
,
VLOO"&amp;"KUP(H10564,IMPORTRANGE(""https://docs.google.com/spreadsheets/d/14Bd19lYaqBhU8_DElYkX7l4wRkHqqCUFNJY4AfY3kHU/edit?usp=sharing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J10563" s="7" t="s">
        <v>29</v>
      </c>
    </row>
    <row r="10564" spans="1:10" ht="13.2">
      <c r="A10564" s="7">
        <v>10563</v>
      </c>
      <c r="B10564" s="7">
        <v>1</v>
      </c>
      <c r="C10564" s="7" t="s">
        <v>10</v>
      </c>
      <c r="D10564" s="7">
        <v>16509</v>
      </c>
      <c r="E10564" s="7" t="s">
        <v>23</v>
      </c>
      <c r="F10564" s="8" t="str">
        <f ca="1">IFERROR(__xludf.DUMMYFUNCTION("IF
(
C10565=""фізична особа""
,
VLOOKUP(D10565,IMPORTRANGE(""https://docs.google.com/spreadsheets/d/14Bd19lYaqBhU8_DElYkX7l4wRkHqqCUFNJY4AfY3kHU/edit?usp=sharing  #gid=0"",""фіз особи new!relations_name""),6,FALSE)
,
(IF
(
C10565=""юридична особа""
,
VLOO"&amp;"KUP(D10565,IMPORTRANGE(""https://docs.google.com/spreadsheets/d/14Bd19lYaqBhU8_DElYkX7l4wRkHqqCUFNJY4AfY3kHU/edit?usp=sharing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4" s="7" t="s">
        <v>10</v>
      </c>
      <c r="H10564" s="7">
        <v>16511</v>
      </c>
      <c r="I10564" s="8" t="str">
        <f ca="1">IFERROR(__xludf.DUMMYFUNCTION("IF
(
G10565=""фізична особа""
,
VLOOKUP(H10565,IMPORTRANGE(""https://docs.google.com/spreadsheets/d/14Bd19lYaqBhU8_DElYkX7l4wRkHqqCUFNJY4AfY3kHU/edit?usp=sharing  #gid=0"",""фіз особи new!relations_name""),6,FALSE)
,
(IF
(
G10565=""юридична особа""
,
VLOO"&amp;"KUP(H10565,IMPORTRANGE(""https://docs.google.com/spreadsheets/d/14Bd19lYaqBhU8_DElYkX7l4wRkHqqCUFNJY4AfY3kHU/edit?usp=sharing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J10564" s="7" t="s">
        <v>23</v>
      </c>
    </row>
    <row r="10565" spans="1:10" ht="13.2">
      <c r="A10565" s="7">
        <v>10564</v>
      </c>
      <c r="B10565" s="7">
        <v>1</v>
      </c>
      <c r="C10565" s="7" t="s">
        <v>10</v>
      </c>
      <c r="D10565" s="7">
        <v>16509</v>
      </c>
      <c r="E10565" s="7" t="s">
        <v>23</v>
      </c>
      <c r="F10565" s="8" t="str">
        <f ca="1">IFERROR(__xludf.DUMMYFUNCTION("IF
(
C10566=""фізична особа""
,
VLOOKUP(D10566,IMPORTRANGE(""https://docs.google.com/spreadsheets/d/14Bd19lYaqBhU8_DElYkX7l4wRkHqqCUFNJY4AfY3kHU/edit?usp=sharing  #gid=0"",""фіз особи new!relations_name""),6,FALSE)
,
(IF
(
C10566=""юридична особа""
,
VLOO"&amp;"KUP(D10566,IMPORTRANGE(""https://docs.google.com/spreadsheets/d/14Bd19lYaqBhU8_DElYkX7l4wRkHqqCUFNJY4AfY3kHU/edit?usp=sharing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5" s="7" t="s">
        <v>10</v>
      </c>
      <c r="H10565" s="7">
        <v>16510</v>
      </c>
      <c r="I10565" s="8" t="str">
        <f ca="1">IFERROR(__xludf.DUMMYFUNCTION("IF
(
G10566=""фізична особа""
,
VLOOKUP(H10566,IMPORTRANGE(""https://docs.google.com/spreadsheets/d/14Bd19lYaqBhU8_DElYkX7l4wRkHqqCUFNJY4AfY3kHU/edit?usp=sharing  #gid=0"",""фіз особи new!relations_name""),6,FALSE)
,
(IF
(
G10566=""юридична особа""
,
VLOO"&amp;"KUP(H10566,IMPORTRANGE(""https://docs.google.com/spreadsheets/d/14Bd19lYaqBhU8_DElYkX7l4wRkHqqCUFNJY4AfY3kHU/edit?usp=sharing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J10565" s="7" t="s">
        <v>23</v>
      </c>
    </row>
    <row r="10566" spans="1:10" ht="13.2">
      <c r="A10566" s="7">
        <v>10565</v>
      </c>
      <c r="B10566" s="7">
        <v>1</v>
      </c>
      <c r="C10566" s="7" t="s">
        <v>10</v>
      </c>
      <c r="D10566" s="7">
        <v>16509</v>
      </c>
      <c r="E10566" s="7" t="s">
        <v>23</v>
      </c>
      <c r="F10566" s="8" t="str">
        <f ca="1">IFERROR(__xludf.DUMMYFUNCTION("IF
(
C10567=""фізична особа""
,
VLOOKUP(D10567,IMPORTRANGE(""https://docs.google.com/spreadsheets/d/14Bd19lYaqBhU8_DElYkX7l4wRkHqqCUFNJY4AfY3kHU/edit?usp=sharing  #gid=0"",""фіз особи new!relations_name""),6,FALSE)
,
(IF
(
C10567=""юридична особа""
,
VLOO"&amp;"KUP(D10567,IMPORTRANGE(""https://docs.google.com/spreadsheets/d/14Bd19lYaqBhU8_DElYkX7l4wRkHqqCUFNJY4AfY3kHU/edit?usp=sharing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6" s="7" t="s">
        <v>10</v>
      </c>
      <c r="H10566" s="7">
        <v>23608</v>
      </c>
      <c r="I10566" s="8" t="str">
        <f ca="1">IFERROR(__xludf.DUMMYFUNCTION("IF
(
G10567=""фізична особа""
,
VLOOKUP(H10567,IMPORTRANGE(""https://docs.google.com/spreadsheets/d/14Bd19lYaqBhU8_DElYkX7l4wRkHqqCUFNJY4AfY3kHU/edit?usp=sharing  #gid=0"",""фіз особи new!relations_name""),6,FALSE)
,
(IF
(
G10567=""юридична особа""
,
VLOO"&amp;"KUP(H10567,IMPORTRANGE(""https://docs.google.com/spreadsheets/d/14Bd19lYaqBhU8_DElYkX7l4wRkHqqCUFNJY4AfY3kHU/edit?usp=sharing  #gid=0"",""фіз особи new!relations_name_uo""),7,FALSE)
,
)
))"),"АРМАНДС Крингелис")</f>
        <v>АРМАНДС Крингелис</v>
      </c>
      <c r="J10566" s="7" t="s">
        <v>23</v>
      </c>
    </row>
    <row r="10567" spans="1:10" ht="13.2">
      <c r="A10567" s="7">
        <v>10566</v>
      </c>
      <c r="B10567" s="7">
        <v>1</v>
      </c>
      <c r="C10567" s="7" t="s">
        <v>10</v>
      </c>
      <c r="D10567" s="7">
        <v>16509</v>
      </c>
      <c r="E10567" s="7" t="s">
        <v>23</v>
      </c>
      <c r="F10567" s="8" t="str">
        <f ca="1">IFERROR(__xludf.DUMMYFUNCTION("IF
(
C10568=""фізична особа""
,
VLOOKUP(D10568,IMPORTRANGE(""https://docs.google.com/spreadsheets/d/14Bd19lYaqBhU8_DElYkX7l4wRkHqqCUFNJY4AfY3kHU/edit?usp=sharing  #gid=0"",""фіз особи new!relations_name""),6,FALSE)
,
(IF
(
C10568=""юридична особа""
,
VLOO"&amp;"KUP(D10568,IMPORTRANGE(""https://docs.google.com/spreadsheets/d/14Bd19lYaqBhU8_DElYkX7l4wRkHqqCUFNJY4AfY3kHU/edit?usp=sharing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7" s="7" t="s">
        <v>10</v>
      </c>
      <c r="H10567" s="7">
        <v>23610</v>
      </c>
      <c r="I10567" s="8" t="str">
        <f ca="1">IFERROR(__xludf.DUMMYFUNCTION("IF
(
G10568=""фізична особа""
,
VLOOKUP(H10568,IMPORTRANGE(""https://docs.google.com/spreadsheets/d/14Bd19lYaqBhU8_DElYkX7l4wRkHqqCUFNJY4AfY3kHU/edit?usp=sharing  #gid=0"",""фіз особи new!relations_name""),6,FALSE)
,
(IF
(
G10568=""юридична особа""
,
VLOO"&amp;"KUP(H10568,IMPORTRANGE(""https://docs.google.com/spreadsheets/d/14Bd19lYaqBhU8_DElYkX7l4wRkHqqCUFNJY4AfY3kHU/edit?usp=sharing  #gid=0"",""фіз особи new!relations_name_uo""),7,FALSE)
,
)
))"),"АГАНОВ Ігор Андрійович")</f>
        <v>АГАНОВ Ігор Андрійович</v>
      </c>
      <c r="J10567" s="7" t="s">
        <v>23</v>
      </c>
    </row>
    <row r="10568" spans="1:10" ht="13.2">
      <c r="A10568" s="7">
        <v>10567</v>
      </c>
      <c r="B10568" s="7">
        <v>1</v>
      </c>
      <c r="C10568" s="7" t="s">
        <v>10</v>
      </c>
      <c r="D10568" s="7">
        <v>16509</v>
      </c>
      <c r="E10568" s="7" t="s">
        <v>23</v>
      </c>
      <c r="F10568" s="8" t="str">
        <f ca="1">IFERROR(__xludf.DUMMYFUNCTION("IF
(
C10569=""фізична особа""
,
VLOOKUP(D10569,IMPORTRANGE(""https://docs.google.com/spreadsheets/d/14Bd19lYaqBhU8_DElYkX7l4wRkHqqCUFNJY4AfY3kHU/edit?usp=sharing  #gid=0"",""фіз особи new!relations_name""),6,FALSE)
,
(IF
(
C10569=""юридична особа""
,
VLOO"&amp;"KUP(D10569,IMPORTRANGE(""https://docs.google.com/spreadsheets/d/14Bd19lYaqBhU8_DElYkX7l4wRkHqqCUFNJY4AfY3kHU/edit?usp=sharing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8" s="7" t="s">
        <v>10</v>
      </c>
      <c r="H10568" s="7">
        <v>23611</v>
      </c>
      <c r="I10568" s="8" t="str">
        <f ca="1">IFERROR(__xludf.DUMMYFUNCTION("IF
(
G10569=""фізична особа""
,
VLOOKUP(H10569,IMPORTRANGE(""https://docs.google.com/spreadsheets/d/14Bd19lYaqBhU8_DElYkX7l4wRkHqqCUFNJY4AfY3kHU/edit?usp=sharing  #gid=0"",""фіз особи new!relations_name""),6,FALSE)
,
(IF
(
G10569=""юридична особа""
,
VLOO"&amp;"KUP(H10569,IMPORTRANGE(""https://docs.google.com/spreadsheets/d/14Bd19lYaqBhU8_DElYkX7l4wRkHqqCUFNJY4AfY3kHU/edit?usp=sharing  #gid=0"",""фіз особи new!relations_name_uo""),7,FALSE)
,
)
))"),"ПЕЧЕРСЬКА Ніна Олексіївна")</f>
        <v>ПЕЧЕРСЬКА Ніна Олексіївна</v>
      </c>
      <c r="J10568" s="7" t="s">
        <v>23</v>
      </c>
    </row>
    <row r="10569" spans="1:10" ht="13.2">
      <c r="A10569" s="7">
        <v>10568</v>
      </c>
      <c r="B10569" s="7">
        <v>1</v>
      </c>
      <c r="C10569" s="7" t="s">
        <v>10</v>
      </c>
      <c r="D10569" s="7">
        <v>16509</v>
      </c>
      <c r="E10569" s="7" t="s">
        <v>23</v>
      </c>
      <c r="F10569" s="8" t="str">
        <f ca="1">IFERROR(__xludf.DUMMYFUNCTION("IF
(
C10570=""фізична особа""
,
VLOOKUP(D10570,IMPORTRANGE(""https://docs.google.com/spreadsheets/d/14Bd19lYaqBhU8_DElYkX7l4wRkHqqCUFNJY4AfY3kHU/edit?usp=sharing  #gid=0"",""фіз особи new!relations_name""),6,FALSE)
,
(IF
(
C10570=""юридична особа""
,
VLOO"&amp;"KUP(D10570,IMPORTRANGE(""https://docs.google.com/spreadsheets/d/14Bd19lYaqBhU8_DElYkX7l4wRkHqqCUFNJY4AfY3kHU/edit?usp=sharing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69" s="7" t="s">
        <v>10</v>
      </c>
      <c r="H10569" s="7">
        <v>23612</v>
      </c>
      <c r="I10569" s="8" t="str">
        <f ca="1">IFERROR(__xludf.DUMMYFUNCTION("IF
(
G10570=""фізична особа""
,
VLOOKUP(H10570,IMPORTRANGE(""https://docs.google.com/spreadsheets/d/14Bd19lYaqBhU8_DElYkX7l4wRkHqqCUFNJY4AfY3kHU/edit?usp=sharing  #gid=0"",""фіз особи new!relations_name""),6,FALSE)
,
(IF
(
G10570=""юридична особа""
,
VLOO"&amp;"KUP(H10570,IMPORTRANGE(""https://docs.google.com/spreadsheets/d/14Bd19lYaqBhU8_DElYkX7l4wRkHqqCUFNJY4AfY3kHU/edit?usp=sharing  #gid=0"",""фіз особи new!relations_name_uo""),7,FALSE)
,
)
))"),"КРИЧЕВЕР Андрій Леонідович")</f>
        <v>КРИЧЕВЕР Андрій Леонідович</v>
      </c>
      <c r="J10569" s="7" t="s">
        <v>23</v>
      </c>
    </row>
    <row r="10570" spans="1:10" ht="13.2">
      <c r="A10570" s="7">
        <v>10569</v>
      </c>
      <c r="B10570" s="7">
        <v>1</v>
      </c>
      <c r="C10570" s="7" t="s">
        <v>10</v>
      </c>
      <c r="D10570" s="7">
        <v>16509</v>
      </c>
      <c r="E10570" s="7" t="s">
        <v>23</v>
      </c>
      <c r="F10570" s="8" t="str">
        <f ca="1">IFERROR(__xludf.DUMMYFUNCTION("IF
(
C10571=""фізична особа""
,
VLOOKUP(D10571,IMPORTRANGE(""https://docs.google.com/spreadsheets/d/14Bd19lYaqBhU8_DElYkX7l4wRkHqqCUFNJY4AfY3kHU/edit?usp=sharing  #gid=0"",""фіз особи new!relations_name""),6,FALSE)
,
(IF
(
C10571=""юридична особа""
,
VLOO"&amp;"KUP(D10571,IMPORTRANGE(""https://docs.google.com/spreadsheets/d/14Bd19lYaqBhU8_DElYkX7l4wRkHqqCUFNJY4AfY3kHU/edit?usp=sharing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0" s="7" t="s">
        <v>10</v>
      </c>
      <c r="H10570" s="7">
        <v>23613</v>
      </c>
      <c r="I10570" s="8" t="str">
        <f ca="1">IFERROR(__xludf.DUMMYFUNCTION("IF
(
G10571=""фізична особа""
,
VLOOKUP(H10571,IMPORTRANGE(""https://docs.google.com/spreadsheets/d/14Bd19lYaqBhU8_DElYkX7l4wRkHqqCUFNJY4AfY3kHU/edit?usp=sharing  #gid=0"",""фіз особи new!relations_name""),6,FALSE)
,
(IF
(
G10571=""юридична особа""
,
VLOO"&amp;"KUP(H10571,IMPORTRANGE(""https://docs.google.com/spreadsheets/d/14Bd19lYaqBhU8_DElYkX7l4wRkHqqCUFNJY4AfY3kHU/edit?usp=sharing  #gid=0"",""фіз особи new!relations_name_uo""),7,FALSE)
,
)
))"),"МЯЧИН Валерій Миколайович")</f>
        <v>МЯЧИН Валерій Миколайович</v>
      </c>
      <c r="J10570" s="7" t="s">
        <v>23</v>
      </c>
    </row>
    <row r="10571" spans="1:10" ht="13.2">
      <c r="A10571" s="7">
        <v>10570</v>
      </c>
      <c r="B10571" s="7">
        <v>1</v>
      </c>
      <c r="C10571" s="7" t="s">
        <v>10</v>
      </c>
      <c r="D10571" s="7">
        <v>16509</v>
      </c>
      <c r="E10571" s="7" t="s">
        <v>23</v>
      </c>
      <c r="F10571" s="8" t="str">
        <f ca="1">IFERROR(__xludf.DUMMYFUNCTION("IF
(
C10572=""фізична особа""
,
VLOOKUP(D10572,IMPORTRANGE(""https://docs.google.com/spreadsheets/d/14Bd19lYaqBhU8_DElYkX7l4wRkHqqCUFNJY4AfY3kHU/edit?usp=sharing  #gid=0"",""фіз особи new!relations_name""),6,FALSE)
,
(IF
(
C10572=""юридична особа""
,
VLOO"&amp;"KUP(D10572,IMPORTRANGE(""https://docs.google.com/spreadsheets/d/14Bd19lYaqBhU8_DElYkX7l4wRkHqqCUFNJY4AfY3kHU/edit?usp=sharing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1" s="7" t="s">
        <v>10</v>
      </c>
      <c r="H10571" s="7">
        <v>23614</v>
      </c>
      <c r="I10571" s="8" t="str">
        <f ca="1">IFERROR(__xludf.DUMMYFUNCTION("IF
(
G10572=""фізична особа""
,
VLOOKUP(H10572,IMPORTRANGE(""https://docs.google.com/spreadsheets/d/14Bd19lYaqBhU8_DElYkX7l4wRkHqqCUFNJY4AfY3kHU/edit?usp=sharing  #gid=0"",""фіз особи new!relations_name""),6,FALSE)
,
(IF
(
G10572=""юридична особа""
,
VLOO"&amp;"KUP(H10572,IMPORTRANGE(""https://docs.google.com/spreadsheets/d/14Bd19lYaqBhU8_DElYkX7l4wRkHqqCUFNJY4AfY3kHU/edit?usp=sharing  #gid=0"",""фіз особи new!relations_name_uo""),7,FALSE)
,
)
))"),"ПОПОВ Павло Євгенович")</f>
        <v>ПОПОВ Павло Євгенович</v>
      </c>
      <c r="J10571" s="7" t="s">
        <v>23</v>
      </c>
    </row>
    <row r="10572" spans="1:10" ht="13.2">
      <c r="A10572" s="7">
        <v>10571</v>
      </c>
      <c r="B10572" s="7">
        <v>1</v>
      </c>
      <c r="C10572" s="7" t="s">
        <v>10</v>
      </c>
      <c r="D10572" s="7">
        <v>16509</v>
      </c>
      <c r="E10572" s="7" t="s">
        <v>23</v>
      </c>
      <c r="F10572" s="8" t="str">
        <f ca="1">IFERROR(__xludf.DUMMYFUNCTION("IF
(
C10573=""фізична особа""
,
VLOOKUP(D10573,IMPORTRANGE(""https://docs.google.com/spreadsheets/d/14Bd19lYaqBhU8_DElYkX7l4wRkHqqCUFNJY4AfY3kHU/edit?usp=sharing  #gid=0"",""фіз особи new!relations_name""),6,FALSE)
,
(IF
(
C10573=""юридична особа""
,
VLOO"&amp;"KUP(D10573,IMPORTRANGE(""https://docs.google.com/spreadsheets/d/14Bd19lYaqBhU8_DElYkX7l4wRkHqqCUFNJY4AfY3kHU/edit?usp=sharing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2" s="7" t="s">
        <v>10</v>
      </c>
      <c r="H10572" s="7">
        <v>23615</v>
      </c>
      <c r="I10572" s="8" t="str">
        <f ca="1">IFERROR(__xludf.DUMMYFUNCTION("IF
(
G10573=""фізична особа""
,
VLOOKUP(H10573,IMPORTRANGE(""https://docs.google.com/spreadsheets/d/14Bd19lYaqBhU8_DElYkX7l4wRkHqqCUFNJY4AfY3kHU/edit?usp=sharing  #gid=0"",""фіз особи new!relations_name""),6,FALSE)
,
(IF
(
G10573=""юридична особа""
,
VLOO"&amp;"KUP(H10573,IMPORTRANGE(""https://docs.google.com/spreadsheets/d/14Bd19lYaqBhU8_DElYkX7l4wRkHqqCUFNJY4AfY3kHU/edit?usp=sharing  #gid=0"",""фіз особи new!relations_name_uo""),7,FALSE)
,
)
))"),"КУЛЄШОВ Антон Юрійович")</f>
        <v>КУЛЄШОВ Антон Юрійович</v>
      </c>
      <c r="J10572" s="7" t="s">
        <v>23</v>
      </c>
    </row>
    <row r="10573" spans="1:10" ht="13.2">
      <c r="A10573" s="7">
        <v>10572</v>
      </c>
      <c r="B10573" s="7">
        <v>1</v>
      </c>
      <c r="C10573" s="7" t="s">
        <v>10</v>
      </c>
      <c r="D10573" s="7">
        <v>16509</v>
      </c>
      <c r="E10573" s="7" t="s">
        <v>23</v>
      </c>
      <c r="F10573" s="8" t="str">
        <f ca="1">IFERROR(__xludf.DUMMYFUNCTION("IF
(
C10574=""фізична особа""
,
VLOOKUP(D10574,IMPORTRANGE(""https://docs.google.com/spreadsheets/d/14Bd19lYaqBhU8_DElYkX7l4wRkHqqCUFNJY4AfY3kHU/edit?usp=sharing  #gid=0"",""фіз особи new!relations_name""),6,FALSE)
,
(IF
(
C10574=""юридична особа""
,
VLOO"&amp;"KUP(D10574,IMPORTRANGE(""https://docs.google.com/spreadsheets/d/14Bd19lYaqBhU8_DElYkX7l4wRkHqqCUFNJY4AfY3kHU/edit?usp=sharing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3" s="7" t="s">
        <v>10</v>
      </c>
      <c r="H10573" s="7">
        <v>23616</v>
      </c>
      <c r="I10573" s="8" t="str">
        <f ca="1">IFERROR(__xludf.DUMMYFUNCTION("IF
(
G10574=""фізична особа""
,
VLOOKUP(H10574,IMPORTRANGE(""https://docs.google.com/spreadsheets/d/14Bd19lYaqBhU8_DElYkX7l4wRkHqqCUFNJY4AfY3kHU/edit?usp=sharing  #gid=0"",""фіз особи new!relations_name""),6,FALSE)
,
(IF
(
G10574=""юридична особа""
,
VLOO"&amp;"KUP(H10574,IMPORTRANGE(""https://docs.google.com/spreadsheets/d/14Bd19lYaqBhU8_DElYkX7l4wRkHqqCUFNJY4AfY3kHU/edit?usp=sharing  #gid=0"",""фіз особи new!relations_name_uo""),7,FALSE)
,
)
))"),"ІЛЬЇН Дмитро Васильович")</f>
        <v>ІЛЬЇН Дмитро Васильович</v>
      </c>
      <c r="J10573" s="7" t="s">
        <v>23</v>
      </c>
    </row>
    <row r="10574" spans="1:10" ht="13.2">
      <c r="A10574" s="7">
        <v>10573</v>
      </c>
      <c r="B10574" s="7">
        <v>1</v>
      </c>
      <c r="C10574" s="7" t="s">
        <v>10</v>
      </c>
      <c r="D10574" s="7">
        <v>16509</v>
      </c>
      <c r="E10574" s="7" t="s">
        <v>23</v>
      </c>
      <c r="F10574" s="8" t="str">
        <f ca="1">IFERROR(__xludf.DUMMYFUNCTION("IF
(
C10575=""фізична особа""
,
VLOOKUP(D10575,IMPORTRANGE(""https://docs.google.com/spreadsheets/d/14Bd19lYaqBhU8_DElYkX7l4wRkHqqCUFNJY4AfY3kHU/edit?usp=sharing  #gid=0"",""фіз особи new!relations_name""),6,FALSE)
,
(IF
(
C10575=""юридична особа""
,
VLOO"&amp;"KUP(D10575,IMPORTRANGE(""https://docs.google.com/spreadsheets/d/14Bd19lYaqBhU8_DElYkX7l4wRkHqqCUFNJY4AfY3kHU/edit?usp=sharing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4" s="7" t="s">
        <v>10</v>
      </c>
      <c r="H10574" s="7">
        <v>23617</v>
      </c>
      <c r="I10574" s="8" t="str">
        <f ca="1">IFERROR(__xludf.DUMMYFUNCTION("IF
(
G10575=""фізична особа""
,
VLOOKUP(H10575,IMPORTRANGE(""https://docs.google.com/spreadsheets/d/14Bd19lYaqBhU8_DElYkX7l4wRkHqqCUFNJY4AfY3kHU/edit?usp=sharing  #gid=0"",""фіз особи new!relations_name""),6,FALSE)
,
(IF
(
G10575=""юридична особа""
,
VLOO"&amp;"KUP(H10575,IMPORTRANGE(""https://docs.google.com/spreadsheets/d/14Bd19lYaqBhU8_DElYkX7l4wRkHqqCUFNJY4AfY3kHU/edit?usp=sharing  #gid=0"",""фіз особи new!relations_name_uo""),7,FALSE)
,
)
))"),"БАРАНОВСЬКИЙ Олексій Анатолійович")</f>
        <v>БАРАНОВСЬКИЙ Олексій Анатолійович</v>
      </c>
      <c r="J10574" s="7" t="s">
        <v>23</v>
      </c>
    </row>
    <row r="10575" spans="1:10" ht="13.2">
      <c r="A10575" s="7">
        <v>10574</v>
      </c>
      <c r="B10575" s="7">
        <v>1</v>
      </c>
      <c r="C10575" s="7" t="s">
        <v>10</v>
      </c>
      <c r="D10575" s="7">
        <v>16509</v>
      </c>
      <c r="E10575" s="7" t="s">
        <v>23</v>
      </c>
      <c r="F10575" s="8" t="str">
        <f ca="1">IFERROR(__xludf.DUMMYFUNCTION("IF
(
C10576=""фізична особа""
,
VLOOKUP(D10576,IMPORTRANGE(""https://docs.google.com/spreadsheets/d/14Bd19lYaqBhU8_DElYkX7l4wRkHqqCUFNJY4AfY3kHU/edit?usp=sharing  #gid=0"",""фіз особи new!relations_name""),6,FALSE)
,
(IF
(
C10576=""юридична особа""
,
VLOO"&amp;"KUP(D10576,IMPORTRANGE(""https://docs.google.com/spreadsheets/d/14Bd19lYaqBhU8_DElYkX7l4wRkHqqCUFNJY4AfY3kHU/edit?usp=sharing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5" s="7" t="s">
        <v>10</v>
      </c>
      <c r="H10575" s="7">
        <v>23618</v>
      </c>
      <c r="I10575" s="8" t="str">
        <f ca="1">IFERROR(__xludf.DUMMYFUNCTION("IF
(
G10576=""фізична особа""
,
VLOOKUP(H10576,IMPORTRANGE(""https://docs.google.com/spreadsheets/d/14Bd19lYaqBhU8_DElYkX7l4wRkHqqCUFNJY4AfY3kHU/edit?usp=sharing  #gid=0"",""фіз особи new!relations_name""),6,FALSE)
,
(IF
(
G10576=""юридична особа""
,
VLOO"&amp;"KUP(H10576,IMPORTRANGE(""https://docs.google.com/spreadsheets/d/14Bd19lYaqBhU8_DElYkX7l4wRkHqqCUFNJY4AfY3kHU/edit?usp=sharing  #gid=0"",""фіз особи new!relations_name_uo""),7,FALSE)
,
)
))"),"КАРАПЕТОВ Едуард Степанович")</f>
        <v>КАРАПЕТОВ Едуард Степанович</v>
      </c>
      <c r="J10575" s="7" t="s">
        <v>23</v>
      </c>
    </row>
    <row r="10576" spans="1:10" ht="13.2">
      <c r="A10576" s="7">
        <v>10575</v>
      </c>
      <c r="B10576" s="7">
        <v>1</v>
      </c>
      <c r="C10576" s="7" t="s">
        <v>10</v>
      </c>
      <c r="D10576" s="7">
        <v>16509</v>
      </c>
      <c r="E10576" s="7" t="s">
        <v>23</v>
      </c>
      <c r="F10576" s="8" t="str">
        <f ca="1">IFERROR(__xludf.DUMMYFUNCTION("IF
(
C10577=""фізична особа""
,
VLOOKUP(D10577,IMPORTRANGE(""https://docs.google.com/spreadsheets/d/14Bd19lYaqBhU8_DElYkX7l4wRkHqqCUFNJY4AfY3kHU/edit?usp=sharing  #gid=0"",""фіз особи new!relations_name""),6,FALSE)
,
(IF
(
C10577=""юридична особа""
,
VLOO"&amp;"KUP(D10577,IMPORTRANGE(""https://docs.google.com/spreadsheets/d/14Bd19lYaqBhU8_DElYkX7l4wRkHqqCUFNJY4AfY3kHU/edit?usp=sharing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G10576" s="7" t="s">
        <v>10</v>
      </c>
      <c r="H10576" s="7">
        <v>23619</v>
      </c>
      <c r="I10576" s="8" t="str">
        <f ca="1">IFERROR(__xludf.DUMMYFUNCTION("IF
(
G10577=""фізична особа""
,
VLOOKUP(H10577,IMPORTRANGE(""https://docs.google.com/spreadsheets/d/14Bd19lYaqBhU8_DElYkX7l4wRkHqqCUFNJY4AfY3kHU/edit?usp=sharing  #gid=0"",""фіз особи new!relations_name""),6,FALSE)
,
(IF
(
G10577=""юридична особа""
,
VLOO"&amp;"KUP(H10577,IMPORTRANGE(""https://docs.google.com/spreadsheets/d/14Bd19lYaqBhU8_DElYkX7l4wRkHqqCUFNJY4AfY3kHU/edit?usp=sharing  #gid=0"",""фіз особи new!relations_name_uo""),7,FALSE)
,
)
))"),"ЧИЖЕВСЬКА Марина Володимирівна")</f>
        <v>ЧИЖЕВСЬКА Марина Володимирівна</v>
      </c>
      <c r="J10576" s="7" t="s">
        <v>23</v>
      </c>
    </row>
    <row r="10577" spans="1:10" ht="13.2">
      <c r="A10577" s="7">
        <v>10576</v>
      </c>
      <c r="B10577" s="7">
        <v>1</v>
      </c>
      <c r="C10577" s="7" t="s">
        <v>10</v>
      </c>
      <c r="D10577" s="7">
        <v>16510</v>
      </c>
      <c r="E10577" s="7" t="s">
        <v>28</v>
      </c>
      <c r="F10577" s="8" t="str">
        <f ca="1">IFERROR(__xludf.DUMMYFUNCTION("IF
(
C10578=""фізична особа""
,
VLOOKUP(D10578,IMPORTRANGE(""https://docs.google.com/spreadsheets/d/14Bd19lYaqBhU8_DElYkX7l4wRkHqqCUFNJY4AfY3kHU/edit?usp=sharing  #gid=0"",""фіз особи new!relations_name""),6,FALSE)
,
(IF
(
C10578=""юридична особа""
,
VLOO"&amp;"KUP(D10578,IMPORTRANGE(""https://docs.google.com/spreadsheets/d/14Bd19lYaqBhU8_DElYkX7l4wRkHqqCUFNJY4AfY3kHU/edit?usp=sharing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77" s="7" t="s">
        <v>10</v>
      </c>
      <c r="H10577" s="7">
        <v>16508</v>
      </c>
      <c r="I10577" s="8" t="str">
        <f ca="1">IFERROR(__xludf.DUMMYFUNCTION("IF
(
G10578=""фізична особа""
,
VLOOKUP(H10578,IMPORTRANGE(""https://docs.google.com/spreadsheets/d/14Bd19lYaqBhU8_DElYkX7l4wRkHqqCUFNJY4AfY3kHU/edit?usp=sharing  #gid=0"",""фіз особи new!relations_name""),6,FALSE)
,
(IF
(
G10578=""юридична особа""
,
VLOO"&amp;"KUP(H10578,IMPORTRANGE(""https://docs.google.com/spreadsheets/d/14Bd19lYaqBhU8_DElYkX7l4wRkHqqCUFNJY4AfY3kHU/edit?usp=sharing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J10577" s="7" t="s">
        <v>29</v>
      </c>
    </row>
    <row r="10578" spans="1:10" ht="13.2">
      <c r="A10578" s="7">
        <v>10577</v>
      </c>
      <c r="B10578" s="7">
        <v>1</v>
      </c>
      <c r="C10578" s="7" t="s">
        <v>10</v>
      </c>
      <c r="D10578" s="7">
        <v>16510</v>
      </c>
      <c r="E10578" s="7" t="s">
        <v>23</v>
      </c>
      <c r="F10578" s="8" t="str">
        <f ca="1">IFERROR(__xludf.DUMMYFUNCTION("IF
(
C10579=""фізична особа""
,
VLOOKUP(D10579,IMPORTRANGE(""https://docs.google.com/spreadsheets/d/14Bd19lYaqBhU8_DElYkX7l4wRkHqqCUFNJY4AfY3kHU/edit?usp=sharing  #gid=0"",""фіз особи new!relations_name""),6,FALSE)
,
(IF
(
C10579=""юридична особа""
,
VLOO"&amp;"KUP(D10579,IMPORTRANGE(""https://docs.google.com/spreadsheets/d/14Bd19lYaqBhU8_DElYkX7l4wRkHqqCUFNJY4AfY3kHU/edit?usp=sharing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78" s="7" t="s">
        <v>10</v>
      </c>
      <c r="H10578" s="7">
        <v>16511</v>
      </c>
      <c r="I10578" s="8" t="str">
        <f ca="1">IFERROR(__xludf.DUMMYFUNCTION("IF
(
G10579=""фізична особа""
,
VLOOKUP(H10579,IMPORTRANGE(""https://docs.google.com/spreadsheets/d/14Bd19lYaqBhU8_DElYkX7l4wRkHqqCUFNJY4AfY3kHU/edit?usp=sharing  #gid=0"",""фіз особи new!relations_name""),6,FALSE)
,
(IF
(
G10579=""юридична особа""
,
VLOO"&amp;"KUP(H10579,IMPORTRANGE(""https://docs.google.com/spreadsheets/d/14Bd19lYaqBhU8_DElYkX7l4wRkHqqCUFNJY4AfY3kHU/edit?usp=sharing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J10578" s="7" t="s">
        <v>23</v>
      </c>
    </row>
    <row r="10579" spans="1:10" ht="13.2">
      <c r="A10579" s="7">
        <v>10578</v>
      </c>
      <c r="B10579" s="7">
        <v>1</v>
      </c>
      <c r="C10579" s="7" t="s">
        <v>10</v>
      </c>
      <c r="D10579" s="7">
        <v>16510</v>
      </c>
      <c r="E10579" s="7" t="s">
        <v>23</v>
      </c>
      <c r="F10579" s="8" t="str">
        <f ca="1">IFERROR(__xludf.DUMMYFUNCTION("IF
(
C10580=""фізична особа""
,
VLOOKUP(D10580,IMPORTRANGE(""https://docs.google.com/spreadsheets/d/14Bd19lYaqBhU8_DElYkX7l4wRkHqqCUFNJY4AfY3kHU/edit?usp=sharing  #gid=0"",""фіз особи new!relations_name""),6,FALSE)
,
(IF
(
C10580=""юридична особа""
,
VLOO"&amp;"KUP(D10580,IMPORTRANGE(""https://docs.google.com/spreadsheets/d/14Bd19lYaqBhU8_DElYkX7l4wRkHqqCUFNJY4AfY3kHU/edit?usp=sharing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79" s="7" t="s">
        <v>10</v>
      </c>
      <c r="H10579" s="7">
        <v>16509</v>
      </c>
      <c r="I10579" s="8" t="str">
        <f ca="1">IFERROR(__xludf.DUMMYFUNCTION("IF
(
G10580=""фізична особа""
,
VLOOKUP(H10580,IMPORTRANGE(""https://docs.google.com/spreadsheets/d/14Bd19lYaqBhU8_DElYkX7l4wRkHqqCUFNJY4AfY3kHU/edit?usp=sharing  #gid=0"",""фіз особи new!relations_name""),6,FALSE)
,
(IF
(
G10580=""юридична особа""
,
VLOO"&amp;"KUP(H10580,IMPORTRANGE(""https://docs.google.com/spreadsheets/d/14Bd19lYaqBhU8_DElYkX7l4wRkHqqCUFNJY4AfY3kHU/edit?usp=sharing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J10579" s="7" t="s">
        <v>23</v>
      </c>
    </row>
    <row r="10580" spans="1:10" ht="13.2">
      <c r="A10580" s="7">
        <v>10579</v>
      </c>
      <c r="B10580" s="7">
        <v>1</v>
      </c>
      <c r="C10580" s="7" t="s">
        <v>10</v>
      </c>
      <c r="D10580" s="7">
        <v>16510</v>
      </c>
      <c r="E10580" s="7" t="s">
        <v>23</v>
      </c>
      <c r="F10580" s="8" t="str">
        <f ca="1">IFERROR(__xludf.DUMMYFUNCTION("IF
(
C10581=""фізична особа""
,
VLOOKUP(D10581,IMPORTRANGE(""https://docs.google.com/spreadsheets/d/14Bd19lYaqBhU8_DElYkX7l4wRkHqqCUFNJY4AfY3kHU/edit?usp=sharing  #gid=0"",""фіз особи new!relations_name""),6,FALSE)
,
(IF
(
C10581=""юридична особа""
,
VLOO"&amp;"KUP(D10581,IMPORTRANGE(""https://docs.google.com/spreadsheets/d/14Bd19lYaqBhU8_DElYkX7l4wRkHqqCUFNJY4AfY3kHU/edit?usp=sharing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0" s="7" t="s">
        <v>10</v>
      </c>
      <c r="H10580" s="7">
        <v>23608</v>
      </c>
      <c r="I10580" s="8" t="str">
        <f ca="1">IFERROR(__xludf.DUMMYFUNCTION("IF
(
G10581=""фізична особа""
,
VLOOKUP(H10581,IMPORTRANGE(""https://docs.google.com/spreadsheets/d/14Bd19lYaqBhU8_DElYkX7l4wRkHqqCUFNJY4AfY3kHU/edit?usp=sharing  #gid=0"",""фіз особи new!relations_name""),6,FALSE)
,
(IF
(
G10581=""юридична особа""
,
VLOO"&amp;"KUP(H10581,IMPORTRANGE(""https://docs.google.com/spreadsheets/d/14Bd19lYaqBhU8_DElYkX7l4wRkHqqCUFNJY4AfY3kHU/edit?usp=sharing  #gid=0"",""фіз особи new!relations_name_uo""),7,FALSE)
,
)
))"),"АРМАНДС Крингелис")</f>
        <v>АРМАНДС Крингелис</v>
      </c>
      <c r="J10580" s="7" t="s">
        <v>23</v>
      </c>
    </row>
    <row r="10581" spans="1:10" ht="13.2">
      <c r="A10581" s="7">
        <v>10580</v>
      </c>
      <c r="B10581" s="7">
        <v>1</v>
      </c>
      <c r="C10581" s="7" t="s">
        <v>10</v>
      </c>
      <c r="D10581" s="7">
        <v>16510</v>
      </c>
      <c r="E10581" s="7" t="s">
        <v>23</v>
      </c>
      <c r="F10581" s="8" t="str">
        <f ca="1">IFERROR(__xludf.DUMMYFUNCTION("IF
(
C10582=""фізична особа""
,
VLOOKUP(D10582,IMPORTRANGE(""https://docs.google.com/spreadsheets/d/14Bd19lYaqBhU8_DElYkX7l4wRkHqqCUFNJY4AfY3kHU/edit?usp=sharing  #gid=0"",""фіз особи new!relations_name""),6,FALSE)
,
(IF
(
C10582=""юридична особа""
,
VLOO"&amp;"KUP(D10582,IMPORTRANGE(""https://docs.google.com/spreadsheets/d/14Bd19lYaqBhU8_DElYkX7l4wRkHqqCUFNJY4AfY3kHU/edit?usp=sharing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1" s="7" t="s">
        <v>10</v>
      </c>
      <c r="H10581" s="7">
        <v>23610</v>
      </c>
      <c r="I10581" s="8" t="str">
        <f ca="1">IFERROR(__xludf.DUMMYFUNCTION("IF
(
G10582=""фізична особа""
,
VLOOKUP(H10582,IMPORTRANGE(""https://docs.google.com/spreadsheets/d/14Bd19lYaqBhU8_DElYkX7l4wRkHqqCUFNJY4AfY3kHU/edit?usp=sharing  #gid=0"",""фіз особи new!relations_name""),6,FALSE)
,
(IF
(
G10582=""юридична особа""
,
VLOO"&amp;"KUP(H10582,IMPORTRANGE(""https://docs.google.com/spreadsheets/d/14Bd19lYaqBhU8_DElYkX7l4wRkHqqCUFNJY4AfY3kHU/edit?usp=sharing  #gid=0"",""фіз особи new!relations_name_uo""),7,FALSE)
,
)
))"),"АГАНОВ Ігор Андрійович")</f>
        <v>АГАНОВ Ігор Андрійович</v>
      </c>
      <c r="J10581" s="7" t="s">
        <v>23</v>
      </c>
    </row>
    <row r="10582" spans="1:10" ht="13.2">
      <c r="A10582" s="7">
        <v>10581</v>
      </c>
      <c r="B10582" s="7">
        <v>1</v>
      </c>
      <c r="C10582" s="7" t="s">
        <v>10</v>
      </c>
      <c r="D10582" s="7">
        <v>16510</v>
      </c>
      <c r="E10582" s="7" t="s">
        <v>23</v>
      </c>
      <c r="F10582" s="8" t="str">
        <f ca="1">IFERROR(__xludf.DUMMYFUNCTION("IF
(
C10583=""фізична особа""
,
VLOOKUP(D10583,IMPORTRANGE(""https://docs.google.com/spreadsheets/d/14Bd19lYaqBhU8_DElYkX7l4wRkHqqCUFNJY4AfY3kHU/edit?usp=sharing  #gid=0"",""фіз особи new!relations_name""),6,FALSE)
,
(IF
(
C10583=""юридична особа""
,
VLOO"&amp;"KUP(D10583,IMPORTRANGE(""https://docs.google.com/spreadsheets/d/14Bd19lYaqBhU8_DElYkX7l4wRkHqqCUFNJY4AfY3kHU/edit?usp=sharing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2" s="7" t="s">
        <v>10</v>
      </c>
      <c r="H10582" s="7">
        <v>23611</v>
      </c>
      <c r="I10582" s="8" t="str">
        <f ca="1">IFERROR(__xludf.DUMMYFUNCTION("IF
(
G10583=""фізична особа""
,
VLOOKUP(H10583,IMPORTRANGE(""https://docs.google.com/spreadsheets/d/14Bd19lYaqBhU8_DElYkX7l4wRkHqqCUFNJY4AfY3kHU/edit?usp=sharing  #gid=0"",""фіз особи new!relations_name""),6,FALSE)
,
(IF
(
G10583=""юридична особа""
,
VLOO"&amp;"KUP(H10583,IMPORTRANGE(""https://docs.google.com/spreadsheets/d/14Bd19lYaqBhU8_DElYkX7l4wRkHqqCUFNJY4AfY3kHU/edit?usp=sharing  #gid=0"",""фіз особи new!relations_name_uo""),7,FALSE)
,
)
))"),"ПЕЧЕРСЬКА Ніна Олексіївна")</f>
        <v>ПЕЧЕРСЬКА Ніна Олексіївна</v>
      </c>
      <c r="J10582" s="7" t="s">
        <v>23</v>
      </c>
    </row>
    <row r="10583" spans="1:10" ht="13.2">
      <c r="A10583" s="7">
        <v>10582</v>
      </c>
      <c r="B10583" s="7">
        <v>1</v>
      </c>
      <c r="C10583" s="7" t="s">
        <v>10</v>
      </c>
      <c r="D10583" s="7">
        <v>16510</v>
      </c>
      <c r="E10583" s="7" t="s">
        <v>23</v>
      </c>
      <c r="F10583" s="8" t="str">
        <f ca="1">IFERROR(__xludf.DUMMYFUNCTION("IF
(
C10584=""фізична особа""
,
VLOOKUP(D10584,IMPORTRANGE(""https://docs.google.com/spreadsheets/d/14Bd19lYaqBhU8_DElYkX7l4wRkHqqCUFNJY4AfY3kHU/edit?usp=sharing  #gid=0"",""фіз особи new!relations_name""),6,FALSE)
,
(IF
(
C10584=""юридична особа""
,
VLOO"&amp;"KUP(D10584,IMPORTRANGE(""https://docs.google.com/spreadsheets/d/14Bd19lYaqBhU8_DElYkX7l4wRkHqqCUFNJY4AfY3kHU/edit?usp=sharing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3" s="7" t="s">
        <v>10</v>
      </c>
      <c r="H10583" s="7">
        <v>23612</v>
      </c>
      <c r="I10583" s="8" t="str">
        <f ca="1">IFERROR(__xludf.DUMMYFUNCTION("IF
(
G10584=""фізична особа""
,
VLOOKUP(H10584,IMPORTRANGE(""https://docs.google.com/spreadsheets/d/14Bd19lYaqBhU8_DElYkX7l4wRkHqqCUFNJY4AfY3kHU/edit?usp=sharing  #gid=0"",""фіз особи new!relations_name""),6,FALSE)
,
(IF
(
G10584=""юридична особа""
,
VLOO"&amp;"KUP(H10584,IMPORTRANGE(""https://docs.google.com/spreadsheets/d/14Bd19lYaqBhU8_DElYkX7l4wRkHqqCUFNJY4AfY3kHU/edit?usp=sharing  #gid=0"",""фіз особи new!relations_name_uo""),7,FALSE)
,
)
))"),"КРИЧЕВЕР Андрій Леонідович")</f>
        <v>КРИЧЕВЕР Андрій Леонідович</v>
      </c>
      <c r="J10583" s="7" t="s">
        <v>23</v>
      </c>
    </row>
    <row r="10584" spans="1:10" ht="13.2">
      <c r="A10584" s="7">
        <v>10583</v>
      </c>
      <c r="B10584" s="7">
        <v>1</v>
      </c>
      <c r="C10584" s="7" t="s">
        <v>10</v>
      </c>
      <c r="D10584" s="7">
        <v>16510</v>
      </c>
      <c r="E10584" s="7" t="s">
        <v>23</v>
      </c>
      <c r="F10584" s="8" t="str">
        <f ca="1">IFERROR(__xludf.DUMMYFUNCTION("IF
(
C10585=""фізична особа""
,
VLOOKUP(D10585,IMPORTRANGE(""https://docs.google.com/spreadsheets/d/14Bd19lYaqBhU8_DElYkX7l4wRkHqqCUFNJY4AfY3kHU/edit?usp=sharing  #gid=0"",""фіз особи new!relations_name""),6,FALSE)
,
(IF
(
C10585=""юридична особа""
,
VLOO"&amp;"KUP(D10585,IMPORTRANGE(""https://docs.google.com/spreadsheets/d/14Bd19lYaqBhU8_DElYkX7l4wRkHqqCUFNJY4AfY3kHU/edit?usp=sharing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4" s="7" t="s">
        <v>10</v>
      </c>
      <c r="H10584" s="7">
        <v>23613</v>
      </c>
      <c r="I10584" s="8" t="str">
        <f ca="1">IFERROR(__xludf.DUMMYFUNCTION("IF
(
G10585=""фізична особа""
,
VLOOKUP(H10585,IMPORTRANGE(""https://docs.google.com/spreadsheets/d/14Bd19lYaqBhU8_DElYkX7l4wRkHqqCUFNJY4AfY3kHU/edit?usp=sharing  #gid=0"",""фіз особи new!relations_name""),6,FALSE)
,
(IF
(
G10585=""юридична особа""
,
VLOO"&amp;"KUP(H10585,IMPORTRANGE(""https://docs.google.com/spreadsheets/d/14Bd19lYaqBhU8_DElYkX7l4wRkHqqCUFNJY4AfY3kHU/edit?usp=sharing  #gid=0"",""фіз особи new!relations_name_uo""),7,FALSE)
,
)
))"),"МЯЧИН Валерій Миколайович")</f>
        <v>МЯЧИН Валерій Миколайович</v>
      </c>
      <c r="J10584" s="7" t="s">
        <v>23</v>
      </c>
    </row>
    <row r="10585" spans="1:10" ht="13.2">
      <c r="A10585" s="7">
        <v>10584</v>
      </c>
      <c r="B10585" s="7">
        <v>1</v>
      </c>
      <c r="C10585" s="7" t="s">
        <v>10</v>
      </c>
      <c r="D10585" s="7">
        <v>16510</v>
      </c>
      <c r="E10585" s="7" t="s">
        <v>23</v>
      </c>
      <c r="F10585" s="8" t="str">
        <f ca="1">IFERROR(__xludf.DUMMYFUNCTION("IF
(
C10586=""фізична особа""
,
VLOOKUP(D10586,IMPORTRANGE(""https://docs.google.com/spreadsheets/d/14Bd19lYaqBhU8_DElYkX7l4wRkHqqCUFNJY4AfY3kHU/edit?usp=sharing  #gid=0"",""фіз особи new!relations_name""),6,FALSE)
,
(IF
(
C10586=""юридична особа""
,
VLOO"&amp;"KUP(D10586,IMPORTRANGE(""https://docs.google.com/spreadsheets/d/14Bd19lYaqBhU8_DElYkX7l4wRkHqqCUFNJY4AfY3kHU/edit?usp=sharing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5" s="7" t="s">
        <v>10</v>
      </c>
      <c r="H10585" s="7">
        <v>23614</v>
      </c>
      <c r="I10585" s="8" t="str">
        <f ca="1">IFERROR(__xludf.DUMMYFUNCTION("IF
(
G10586=""фізична особа""
,
VLOOKUP(H10586,IMPORTRANGE(""https://docs.google.com/spreadsheets/d/14Bd19lYaqBhU8_DElYkX7l4wRkHqqCUFNJY4AfY3kHU/edit?usp=sharing  #gid=0"",""фіз особи new!relations_name""),6,FALSE)
,
(IF
(
G10586=""юридична особа""
,
VLOO"&amp;"KUP(H10586,IMPORTRANGE(""https://docs.google.com/spreadsheets/d/14Bd19lYaqBhU8_DElYkX7l4wRkHqqCUFNJY4AfY3kHU/edit?usp=sharing  #gid=0"",""фіз особи new!relations_name_uo""),7,FALSE)
,
)
))"),"ПОПОВ Павло Євгенович")</f>
        <v>ПОПОВ Павло Євгенович</v>
      </c>
      <c r="J10585" s="7" t="s">
        <v>23</v>
      </c>
    </row>
    <row r="10586" spans="1:10" ht="13.2">
      <c r="A10586" s="7">
        <v>10585</v>
      </c>
      <c r="B10586" s="7">
        <v>1</v>
      </c>
      <c r="C10586" s="7" t="s">
        <v>10</v>
      </c>
      <c r="D10586" s="7">
        <v>16510</v>
      </c>
      <c r="E10586" s="7" t="s">
        <v>23</v>
      </c>
      <c r="F10586" s="8" t="str">
        <f ca="1">IFERROR(__xludf.DUMMYFUNCTION("IF
(
C10587=""фізична особа""
,
VLOOKUP(D10587,IMPORTRANGE(""https://docs.google.com/spreadsheets/d/14Bd19lYaqBhU8_DElYkX7l4wRkHqqCUFNJY4AfY3kHU/edit?usp=sharing  #gid=0"",""фіз особи new!relations_name""),6,FALSE)
,
(IF
(
C10587=""юридична особа""
,
VLOO"&amp;"KUP(D10587,IMPORTRANGE(""https://docs.google.com/spreadsheets/d/14Bd19lYaqBhU8_DElYkX7l4wRkHqqCUFNJY4AfY3kHU/edit?usp=sharing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6" s="7" t="s">
        <v>10</v>
      </c>
      <c r="H10586" s="7">
        <v>23615</v>
      </c>
      <c r="I10586" s="8" t="str">
        <f ca="1">IFERROR(__xludf.DUMMYFUNCTION("IF
(
G10587=""фізична особа""
,
VLOOKUP(H10587,IMPORTRANGE(""https://docs.google.com/spreadsheets/d/14Bd19lYaqBhU8_DElYkX7l4wRkHqqCUFNJY4AfY3kHU/edit?usp=sharing  #gid=0"",""фіз особи new!relations_name""),6,FALSE)
,
(IF
(
G10587=""юридична особа""
,
VLOO"&amp;"KUP(H10587,IMPORTRANGE(""https://docs.google.com/spreadsheets/d/14Bd19lYaqBhU8_DElYkX7l4wRkHqqCUFNJY4AfY3kHU/edit?usp=sharing  #gid=0"",""фіз особи new!relations_name_uo""),7,FALSE)
,
)
))"),"КУЛЄШОВ Антон Юрійович")</f>
        <v>КУЛЄШОВ Антон Юрійович</v>
      </c>
      <c r="J10586" s="7" t="s">
        <v>23</v>
      </c>
    </row>
    <row r="10587" spans="1:10" ht="13.2">
      <c r="A10587" s="7">
        <v>10586</v>
      </c>
      <c r="B10587" s="7">
        <v>1</v>
      </c>
      <c r="C10587" s="7" t="s">
        <v>10</v>
      </c>
      <c r="D10587" s="7">
        <v>16510</v>
      </c>
      <c r="E10587" s="7" t="s">
        <v>23</v>
      </c>
      <c r="F10587" s="8" t="str">
        <f ca="1">IFERROR(__xludf.DUMMYFUNCTION("IF
(
C10588=""фізична особа""
,
VLOOKUP(D10588,IMPORTRANGE(""https://docs.google.com/spreadsheets/d/14Bd19lYaqBhU8_DElYkX7l4wRkHqqCUFNJY4AfY3kHU/edit?usp=sharing  #gid=0"",""фіз особи new!relations_name""),6,FALSE)
,
(IF
(
C10588=""юридична особа""
,
VLOO"&amp;"KUP(D10588,IMPORTRANGE(""https://docs.google.com/spreadsheets/d/14Bd19lYaqBhU8_DElYkX7l4wRkHqqCUFNJY4AfY3kHU/edit?usp=sharing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7" s="7" t="s">
        <v>10</v>
      </c>
      <c r="H10587" s="7">
        <v>23616</v>
      </c>
      <c r="I10587" s="8" t="str">
        <f ca="1">IFERROR(__xludf.DUMMYFUNCTION("IF
(
G10588=""фізична особа""
,
VLOOKUP(H10588,IMPORTRANGE(""https://docs.google.com/spreadsheets/d/14Bd19lYaqBhU8_DElYkX7l4wRkHqqCUFNJY4AfY3kHU/edit?usp=sharing  #gid=0"",""фіз особи new!relations_name""),6,FALSE)
,
(IF
(
G10588=""юридична особа""
,
VLOO"&amp;"KUP(H10588,IMPORTRANGE(""https://docs.google.com/spreadsheets/d/14Bd19lYaqBhU8_DElYkX7l4wRkHqqCUFNJY4AfY3kHU/edit?usp=sharing  #gid=0"",""фіз особи new!relations_name_uo""),7,FALSE)
,
)
))"),"ІЛЬЇН Дмитро Васильович")</f>
        <v>ІЛЬЇН Дмитро Васильович</v>
      </c>
      <c r="J10587" s="7" t="s">
        <v>23</v>
      </c>
    </row>
    <row r="10588" spans="1:10" ht="13.2">
      <c r="A10588" s="7">
        <v>10587</v>
      </c>
      <c r="B10588" s="7">
        <v>1</v>
      </c>
      <c r="C10588" s="7" t="s">
        <v>10</v>
      </c>
      <c r="D10588" s="7">
        <v>16510</v>
      </c>
      <c r="E10588" s="7" t="s">
        <v>23</v>
      </c>
      <c r="F10588" s="8" t="str">
        <f ca="1">IFERROR(__xludf.DUMMYFUNCTION("IF
(
C10589=""фізична особа""
,
VLOOKUP(D10589,IMPORTRANGE(""https://docs.google.com/spreadsheets/d/14Bd19lYaqBhU8_DElYkX7l4wRkHqqCUFNJY4AfY3kHU/edit?usp=sharing  #gid=0"",""фіз особи new!relations_name""),6,FALSE)
,
(IF
(
C10589=""юридична особа""
,
VLOO"&amp;"KUP(D10589,IMPORTRANGE(""https://docs.google.com/spreadsheets/d/14Bd19lYaqBhU8_DElYkX7l4wRkHqqCUFNJY4AfY3kHU/edit?usp=sharing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8" s="7" t="s">
        <v>10</v>
      </c>
      <c r="H10588" s="7">
        <v>23617</v>
      </c>
      <c r="I10588" s="8" t="str">
        <f ca="1">IFERROR(__xludf.DUMMYFUNCTION("IF
(
G10589=""фізична особа""
,
VLOOKUP(H10589,IMPORTRANGE(""https://docs.google.com/spreadsheets/d/14Bd19lYaqBhU8_DElYkX7l4wRkHqqCUFNJY4AfY3kHU/edit?usp=sharing  #gid=0"",""фіз особи new!relations_name""),6,FALSE)
,
(IF
(
G10589=""юридична особа""
,
VLOO"&amp;"KUP(H10589,IMPORTRANGE(""https://docs.google.com/spreadsheets/d/14Bd19lYaqBhU8_DElYkX7l4wRkHqqCUFNJY4AfY3kHU/edit?usp=sharing  #gid=0"",""фіз особи new!relations_name_uo""),7,FALSE)
,
)
))"),"БАРАНОВСЬКИЙ Олексій Анатолійович")</f>
        <v>БАРАНОВСЬКИЙ Олексій Анатолійович</v>
      </c>
      <c r="J10588" s="7" t="s">
        <v>23</v>
      </c>
    </row>
    <row r="10589" spans="1:10" ht="13.2">
      <c r="A10589" s="7">
        <v>10588</v>
      </c>
      <c r="B10589" s="7">
        <v>1</v>
      </c>
      <c r="C10589" s="7" t="s">
        <v>10</v>
      </c>
      <c r="D10589" s="7">
        <v>16510</v>
      </c>
      <c r="E10589" s="7" t="s">
        <v>23</v>
      </c>
      <c r="F10589" s="8" t="str">
        <f ca="1">IFERROR(__xludf.DUMMYFUNCTION("IF
(
C10590=""фізична особа""
,
VLOOKUP(D10590,IMPORTRANGE(""https://docs.google.com/spreadsheets/d/14Bd19lYaqBhU8_DElYkX7l4wRkHqqCUFNJY4AfY3kHU/edit?usp=sharing  #gid=0"",""фіз особи new!relations_name""),6,FALSE)
,
(IF
(
C10590=""юридична особа""
,
VLOO"&amp;"KUP(D10590,IMPORTRANGE(""https://docs.google.com/spreadsheets/d/14Bd19lYaqBhU8_DElYkX7l4wRkHqqCUFNJY4AfY3kHU/edit?usp=sharing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89" s="7" t="s">
        <v>10</v>
      </c>
      <c r="H10589" s="7">
        <v>23618</v>
      </c>
      <c r="I10589" s="8" t="str">
        <f ca="1">IFERROR(__xludf.DUMMYFUNCTION("IF
(
G10590=""фізична особа""
,
VLOOKUP(H10590,IMPORTRANGE(""https://docs.google.com/spreadsheets/d/14Bd19lYaqBhU8_DElYkX7l4wRkHqqCUFNJY4AfY3kHU/edit?usp=sharing  #gid=0"",""фіз особи new!relations_name""),6,FALSE)
,
(IF
(
G10590=""юридична особа""
,
VLOO"&amp;"KUP(H10590,IMPORTRANGE(""https://docs.google.com/spreadsheets/d/14Bd19lYaqBhU8_DElYkX7l4wRkHqqCUFNJY4AfY3kHU/edit?usp=sharing  #gid=0"",""фіз особи new!relations_name_uo""),7,FALSE)
,
)
))"),"КАРАПЕТОВ Едуард Степанович")</f>
        <v>КАРАПЕТОВ Едуард Степанович</v>
      </c>
      <c r="J10589" s="7" t="s">
        <v>23</v>
      </c>
    </row>
    <row r="10590" spans="1:10" ht="13.2">
      <c r="A10590" s="7">
        <v>10589</v>
      </c>
      <c r="B10590" s="7">
        <v>1</v>
      </c>
      <c r="C10590" s="7" t="s">
        <v>10</v>
      </c>
      <c r="D10590" s="7">
        <v>16510</v>
      </c>
      <c r="E10590" s="7" t="s">
        <v>23</v>
      </c>
      <c r="F10590" s="8" t="str">
        <f ca="1">IFERROR(__xludf.DUMMYFUNCTION("IF
(
C10591=""фізична особа""
,
VLOOKUP(D10591,IMPORTRANGE(""https://docs.google.com/spreadsheets/d/14Bd19lYaqBhU8_DElYkX7l4wRkHqqCUFNJY4AfY3kHU/edit?usp=sharing  #gid=0"",""фіз особи new!relations_name""),6,FALSE)
,
(IF
(
C10591=""юридична особа""
,
VLOO"&amp;"KUP(D10591,IMPORTRANGE(""https://docs.google.com/spreadsheets/d/14Bd19lYaqBhU8_DElYkX7l4wRkHqqCUFNJY4AfY3kHU/edit?usp=sharing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G10590" s="7" t="s">
        <v>10</v>
      </c>
      <c r="H10590" s="7">
        <v>23619</v>
      </c>
      <c r="I10590" s="8" t="str">
        <f ca="1">IFERROR(__xludf.DUMMYFUNCTION("IF
(
G10591=""фізична особа""
,
VLOOKUP(H10591,IMPORTRANGE(""https://docs.google.com/spreadsheets/d/14Bd19lYaqBhU8_DElYkX7l4wRkHqqCUFNJY4AfY3kHU/edit?usp=sharing  #gid=0"",""фіз особи new!relations_name""),6,FALSE)
,
(IF
(
G10591=""юридична особа""
,
VLOO"&amp;"KUP(H10591,IMPORTRANGE(""https://docs.google.com/spreadsheets/d/14Bd19lYaqBhU8_DElYkX7l4wRkHqqCUFNJY4AfY3kHU/edit?usp=sharing  #gid=0"",""фіз особи new!relations_name_uo""),7,FALSE)
,
)
))"),"ЧИЖЕВСЬКА Марина Володимирівна")</f>
        <v>ЧИЖЕВСЬКА Марина Володимирівна</v>
      </c>
      <c r="J10590" s="7" t="s">
        <v>23</v>
      </c>
    </row>
    <row r="10591" spans="1:10" ht="13.2">
      <c r="A10591" s="7">
        <v>10590</v>
      </c>
      <c r="B10591" s="7">
        <v>1</v>
      </c>
      <c r="C10591" s="7" t="s">
        <v>10</v>
      </c>
      <c r="D10591" s="7">
        <v>16511</v>
      </c>
      <c r="E10591" s="7" t="s">
        <v>23</v>
      </c>
      <c r="F10591" s="8" t="str">
        <f ca="1">IFERROR(__xludf.DUMMYFUNCTION("IF
(
C10592=""фізична особа""
,
VLOOKUP(D10592,IMPORTRANGE(""https://docs.google.com/spreadsheets/d/14Bd19lYaqBhU8_DElYkX7l4wRkHqqCUFNJY4AfY3kHU/edit?usp=sharing  #gid=0"",""фіз особи new!relations_name""),6,FALSE)
,
(IF
(
C10592=""юридична особа""
,
VLOO"&amp;"KUP(D10592,IMPORTRANGE(""https://docs.google.com/spreadsheets/d/14Bd19lYaqBhU8_DElYkX7l4wRkHqqCUFNJY4AfY3kHU/edit?usp=sharing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G10591" s="7" t="s">
        <v>10</v>
      </c>
      <c r="H10591" s="7">
        <v>16508</v>
      </c>
      <c r="I10591" s="8" t="str">
        <f ca="1">IFERROR(__xludf.DUMMYFUNCTION("IF
(
G10592=""фізична особа""
,
VLOOKUP(H10592,IMPORTRANGE(""https://docs.google.com/spreadsheets/d/14Bd19lYaqBhU8_DElYkX7l4wRkHqqCUFNJY4AfY3kHU/edit?usp=sharing  #gid=0"",""фіз особи new!relations_name""),6,FALSE)
,
(IF
(
G10592=""юридична особа""
,
VLOO"&amp;"KUP(H10592,IMPORTRANGE(""https://docs.google.com/spreadsheets/d/14Bd19lYaqBhU8_DElYkX7l4wRkHqqCUFNJY4AfY3kHU/edit?usp=sharing  #gid=0"",""фіз особи new!relations_name_uo""),7,FALSE)
,
)
))"),"РУТМАН Ілля Юрійович")</f>
        <v>РУТМАН Ілля Юрійович</v>
      </c>
      <c r="J10591" s="7" t="s">
        <v>23</v>
      </c>
    </row>
    <row r="10592" spans="1:10" ht="13.2">
      <c r="A10592" s="7">
        <v>10591</v>
      </c>
      <c r="B10592" s="7">
        <v>1</v>
      </c>
      <c r="C10592" s="7" t="s">
        <v>10</v>
      </c>
      <c r="D10592" s="7">
        <v>16511</v>
      </c>
      <c r="E10592" s="7" t="s">
        <v>23</v>
      </c>
      <c r="F10592" s="8" t="str">
        <f ca="1">IFERROR(__xludf.DUMMYFUNCTION("IF
(
C10593=""фізична особа""
,
VLOOKUP(D10593,IMPORTRANGE(""https://docs.google.com/spreadsheets/d/14Bd19lYaqBhU8_DElYkX7l4wRkHqqCUFNJY4AfY3kHU/edit?usp=sharing  #gid=0"",""фіз особи new!relations_name""),6,FALSE)
,
(IF
(
C10593=""юридична особа""
,
VLOO"&amp;"KUP(D10593,IMPORTRANGE(""https://docs.google.com/spreadsheets/d/14Bd19lYaqBhU8_DElYkX7l4wRkHqqCUFNJY4AfY3kHU/edit?usp=sharing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G10592" s="7" t="s">
        <v>10</v>
      </c>
      <c r="H10592" s="7">
        <v>16509</v>
      </c>
      <c r="I10592" s="8" t="str">
        <f ca="1">IFERROR(__xludf.DUMMYFUNCTION("IF
(
G10593=""фізична особа""
,
VLOOKUP(H10593,IMPORTRANGE(""https://docs.google.com/spreadsheets/d/14Bd19lYaqBhU8_DElYkX7l4wRkHqqCUFNJY4AfY3kHU/edit?usp=sharing  #gid=0"",""фіз особи new!relations_name""),6,FALSE)
,
(IF
(
G10593=""юридична особа""
,
VLOO"&amp;"KUP(H10593,IMPORTRANGE(""https://docs.google.com/spreadsheets/d/14Bd19lYaqBhU8_DElYkX7l4wRkHqqCUFNJY4AfY3kHU/edit?usp=sharing  #gid=0"",""фіз особи new!relations_name_uo""),7,FALSE)
,
)
))"),"КОЛЮШЕВ Ігор Євгенович")</f>
        <v>КОЛЮШЕВ Ігор Євгенович</v>
      </c>
      <c r="J10592" s="7" t="s">
        <v>23</v>
      </c>
    </row>
    <row r="10593" spans="1:10" ht="13.2">
      <c r="A10593" s="7">
        <v>10592</v>
      </c>
      <c r="B10593" s="7">
        <v>1</v>
      </c>
      <c r="C10593" s="7" t="s">
        <v>10</v>
      </c>
      <c r="D10593" s="7">
        <v>16511</v>
      </c>
      <c r="E10593" s="7" t="s">
        <v>23</v>
      </c>
      <c r="F10593" s="8" t="str">
        <f ca="1">IFERROR(__xludf.DUMMYFUNCTION("IF
(
C10594=""фізична особа""
,
VLOOKUP(D10594,IMPORTRANGE(""https://docs.google.com/spreadsheets/d/14Bd19lYaqBhU8_DElYkX7l4wRkHqqCUFNJY4AfY3kHU/edit?usp=sharing  #gid=0"",""фіз особи new!relations_name""),6,FALSE)
,
(IF
(
C10594=""юридична особа""
,
VLOO"&amp;"KUP(D10594,IMPORTRANGE(""https://docs.google.com/spreadsheets/d/14Bd19lYaqBhU8_DElYkX7l4wRkHqqCUFNJY4AfY3kHU/edit?usp=sharing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G10593" s="7" t="s">
        <v>10</v>
      </c>
      <c r="H10593" s="7">
        <v>16510</v>
      </c>
      <c r="I10593" s="8" t="str">
        <f ca="1">IFERROR(__xludf.DUMMYFUNCTION("IF
(
G10594=""фізична особа""
,
VLOOKUP(H10594,IMPORTRANGE(""https://docs.google.com/spreadsheets/d/14Bd19lYaqBhU8_DElYkX7l4wRkHqqCUFNJY4AfY3kHU/edit?usp=sharing  #gid=0"",""фіз особи new!relations_name""),6,FALSE)
,
(IF
(
G10594=""юридична особа""
,
VLOO"&amp;"KUP(H10594,IMPORTRANGE(""https://docs.google.com/spreadsheets/d/14Bd19lYaqBhU8_DElYkX7l4wRkHqqCUFNJY4AfY3kHU/edit?usp=sharing  #gid=0"",""фіз особи new!relations_name_uo""),7,FALSE)
,
)
))"),"СКОРИК Олег Георгійович")</f>
        <v>СКОРИК Олег Георгійович</v>
      </c>
      <c r="J10593" s="7" t="s">
        <v>23</v>
      </c>
    </row>
    <row r="10594" spans="1:10" ht="13.2">
      <c r="A10594" s="7">
        <v>10593</v>
      </c>
      <c r="B10594" s="7">
        <v>1</v>
      </c>
      <c r="C10594" s="7" t="s">
        <v>10</v>
      </c>
      <c r="D10594" s="7">
        <v>16511</v>
      </c>
      <c r="E10594" s="7" t="s">
        <v>23</v>
      </c>
      <c r="F10594" s="8" t="str">
        <f ca="1">IFERROR(__xludf.DUMMYFUNCTION("IF
(
C10595=""фізична особа""
,
VLOOKUP(D10595,IMPORTRANGE(""https://docs.google.com/spreadsheets/d/14Bd19lYaqBhU8_DElYkX7l4wRkHqqCUFNJY4AfY3kHU/edit?usp=sharing  #gid=0"",""фіз особи new!relations_name""),6,FALSE)
,
(IF
(
C10595=""юридична особа""
,
VLOO"&amp;"KUP(D10595,IMPORTRANGE(""https://docs.google.com/spreadsheets/d/14Bd19lYaqBhU8_DElYkX7l4wRkHqqCUFNJY4AfY3kHU/edit?usp=sharing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G10594" s="7" t="s">
        <v>10</v>
      </c>
      <c r="H10594" s="7">
        <v>23608</v>
      </c>
      <c r="I10594" s="8" t="str">
        <f ca="1">IFERROR(__xludf.DUMMYFUNCTION("IF
(
G10595=""фізична особа""
,
VLOOKUP(H10595,IMPORTRANGE(""https://docs.google.com/spreadsheets/d/14Bd19lYaqBhU8_DElYkX7l4wRkHqqCUFNJY4AfY3kHU/edit?usp=sharing  #gid=0"",""фіз особи new!relations_name""),6,FALSE)
,
(IF
(
G10595=""юридична особа""
,
VLOO"&amp;"KUP(H10595,IMPORTRANGE(""https://docs.google.com/spreadsheets/d/14Bd19lYaqBhU8_DElYkX7l4wRkHqqCUFNJY4AfY3kHU/edit?usp=sharing  #gid=0"",""фіз особи new!relations_name_uo""),7,FALSE)
,
)
))"),"АРМАНДС Крингелис")</f>
        <v>АРМАНДС Крингелис</v>
      </c>
      <c r="J10594" s="7" t="s">
        <v>23</v>
      </c>
    </row>
    <row r="10595" spans="1:10" ht="13.2">
      <c r="A10595" s="7">
        <v>10594</v>
      </c>
      <c r="B10595" s="7">
        <v>1</v>
      </c>
      <c r="C10595" s="7" t="s">
        <v>10</v>
      </c>
      <c r="D10595" s="7">
        <v>16511</v>
      </c>
      <c r="E10595" s="7" t="s">
        <v>23</v>
      </c>
      <c r="F10595" s="8" t="str">
        <f ca="1">IFERROR(__xludf.DUMMYFUNCTION("IF
(
C10596=""фізична особа""
,
VLOOKUP(D10596,IMPORTRANGE(""https://docs.google.com/spreadsheets/d/14Bd19lYaqBhU8_DElYkX7l4wRkHqqCUFNJY4AfY3kHU/edit?usp=sharing  #gid=0"",""фіз особи new!relations_name""),6,FALSE)
,
(IF
(
C10596=""юридична особа""
,
VLOO"&amp;"KUP(D10596,IMPORTRANGE(""https://docs.google.com/spreadsheets/d/14Bd19lYaqBhU8_DElYkX7l4wRkHqqCUFNJY4AfY3kHU/edit?usp=sharing  #gid=0"",""фіз особи new!relations_name_uo""),7,FALSE)
,
)
))"),"ЛИПКІН Юрій Павлович")</f>
        <v>ЛИПКІН Юрій Павлович</v>
      </c>
      <c r="G10595" s="7" t="s">
        <v>10</v>
      </c>
      <c r="H10595" s="7">
        <v>23609</v>
      </c>
      <c r="I10595" s="8" t="str">
        <f ca="1">IFERROR(__xludf.DUMMYFUNCTION("IF
(
G10596=""фізична особа""
,
VLOOKUP(H10596,IMPORTRANGE(""https://docs.google.com/spreadsheets/d/14Bd19lYaqBhU8_DElYkX7l4wRkHqqCUFNJY4AfY3kHU/edit?usp=sharing  #gid=0"",""фіз особи new!relations_name""),6,FALSE)
,
(IF
(
G10596=""юридична особа""
,
VLOO"&amp;"KUP(H10596,IMPORTRANGE(""https://docs.google.com/spreadsheets/d/14Bd19lYaqBhU8_DElYkX7l4wRkHqqCUFNJY4AfY3kHU/edit?usp=sharing  #gid=0"",""фіз особи new!relations_name_uo""),7,FALSE)
,
)
))"),"МОІСЕЄВ ОЛЕГ ЮРЙОВИЧ")</f>
        <v>МОІСЕЄВ ОЛЕГ ЮРЙОВИЧ</v>
      </c>
      <c r="J10595" s="7" t="s">
        <v>23</v>
      </c>
    </row>
    <row r="10596" spans="1:10" ht="13.2">
      <c r="A10596" s="7">
        <v>10595</v>
      </c>
      <c r="B10596" s="7">
        <v>1</v>
      </c>
      <c r="C10596" s="7" t="s">
        <v>10</v>
      </c>
      <c r="D10596" s="7">
        <v>16512</v>
      </c>
      <c r="E10596" s="7" t="s">
        <v>11</v>
      </c>
      <c r="F10596" s="8" t="str">
        <f ca="1">IFERROR(__xludf.DUMMYFUNCTION("IF
(
C10597=""фізична особа""
,
VLOOKUP(D10597,IMPORTRANGE(""https://docs.google.com/spreadsheets/d/14Bd19lYaqBhU8_DElYkX7l4wRkHqqCUFNJY4AfY3kHU/edit?usp=sharing  #gid=0"",""фіз особи new!relations_name""),6,FALSE)
,
(IF
(
C10597=""юридична особа""
,
VLOO"&amp;"KUP(D10597,IMPORTRANGE(""https://docs.google.com/spreadsheets/d/14Bd19lYaqBhU8_DElYkX7l4wRkHqqCUFNJY4AfY3kHU/edit?usp=sharing  #gid=0"",""фіз особи new!relations_name_uo""),7,FALSE)
,
)
))"),"ТУЛЯКОВ Олександр Володимирович")</f>
        <v>ТУЛЯКОВ Олександр Володимирович</v>
      </c>
      <c r="G10596" s="7" t="s">
        <v>10</v>
      </c>
      <c r="H10596" s="7">
        <v>16487</v>
      </c>
      <c r="I10596" s="8" t="str">
        <f ca="1">IFERROR(__xludf.DUMMYFUNCTION("IF
(
G10597=""фізична особа""
,
VLOOKUP(H10597,IMPORTRANGE(""https://docs.google.com/spreadsheets/d/14Bd19lYaqBhU8_DElYkX7l4wRkHqqCUFNJY4AfY3kHU/edit?usp=sharing  #gid=0"",""фіз особи new!relations_name""),6,FALSE)
,
(IF
(
G10597=""юридична особа""
,
VLOO"&amp;"KUP(H10597,IMPORTRANGE(""https://docs.google.com/spreadsheets/d/14Bd19lYaqBhU8_DElYkX7l4wRkHqqCUFNJY4AfY3kHU/edit?usp=sharing  #gid=0"",""фіз особи new!relations_name_uo""),7,FALSE)
,
)
))"),"ГЕРАСИМЧУК Андрій Леонідович")</f>
        <v>ГЕРАСИМЧУК Андрій Леонідович</v>
      </c>
      <c r="J10596" s="7" t="s">
        <v>11</v>
      </c>
    </row>
    <row r="10597" spans="1:10" ht="13.2">
      <c r="A10597" s="7">
        <v>10596</v>
      </c>
      <c r="B10597" s="7">
        <v>1</v>
      </c>
      <c r="C10597" s="7" t="s">
        <v>10</v>
      </c>
      <c r="D10597" s="7">
        <v>16512</v>
      </c>
      <c r="E10597" s="7" t="s">
        <v>11</v>
      </c>
      <c r="F10597" s="8" t="str">
        <f ca="1">IFERROR(__xludf.DUMMYFUNCTION("IF
(
C10598=""фізична особа""
,
VLOOKUP(D10598,IMPORTRANGE(""https://docs.google.com/spreadsheets/d/14Bd19lYaqBhU8_DElYkX7l4wRkHqqCUFNJY4AfY3kHU/edit?usp=sharing  #gid=0"",""фіз особи new!relations_name""),6,FALSE)
,
(IF
(
C10598=""юридична особа""
,
VLOO"&amp;"KUP(D10598,IMPORTRANGE(""https://docs.google.com/spreadsheets/d/14Bd19lYaqBhU8_DElYkX7l4wRkHqqCUFNJY4AfY3kHU/edit?usp=sharing  #gid=0"",""фіз особи new!relations_name_uo""),7,FALSE)
,
)
))"),"ТУЛЯКОВ Олександр Володимирович")</f>
        <v>ТУЛЯКОВ Олександр Володимирович</v>
      </c>
      <c r="G10597" s="7" t="s">
        <v>10</v>
      </c>
      <c r="H10597" s="7">
        <v>943</v>
      </c>
      <c r="I10597" s="8" t="str">
        <f ca="1">IFERROR(__xludf.DUMMYFUNCTION("IF
(
G10598=""фізична особа""
,
VLOOKUP(H10598,IMPORTRANGE(""https://docs.google.com/spreadsheets/d/14Bd19lYaqBhU8_DElYkX7l4wRkHqqCUFNJY4AfY3kHU/edit?usp=sharing  #gid=0"",""фіз особи new!relations_name""),6,FALSE)
,
(IF
(
G10598=""юридична особа""
,
VLOO"&amp;"KUP(H10598,IMPORTRANGE(""https://docs.google.com/spreadsheets/d/14Bd19lYaqBhU8_DElYkX7l4wRkHqqCUFNJY4AfY3kHU/edit?usp=sharing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597" s="7" t="s">
        <v>11</v>
      </c>
    </row>
    <row r="10598" spans="1:10" ht="13.2">
      <c r="A10598" s="7">
        <v>10597</v>
      </c>
      <c r="B10598" s="7">
        <v>1</v>
      </c>
      <c r="C10598" s="7" t="s">
        <v>10</v>
      </c>
      <c r="D10598" s="7">
        <v>16513</v>
      </c>
      <c r="E10598" s="7" t="s">
        <v>11</v>
      </c>
      <c r="F10598" s="8" t="str">
        <f ca="1">IFERROR(__xludf.DUMMYFUNCTION("IF
(
C10599=""фізична особа""
,
VLOOKUP(D10599,IMPORTRANGE(""https://docs.google.com/spreadsheets/d/14Bd19lYaqBhU8_DElYkX7l4wRkHqqCUFNJY4AfY3kHU/edit?usp=sharing  #gid=0"",""фіз особи new!relations_name""),6,FALSE)
,
(IF
(
C10599=""юридична особа""
,
VLOO"&amp;"KUP(D10599,IMPORTRANGE(""https://docs.google.com/spreadsheets/d/14Bd19lYaqBhU8_DElYkX7l4wRkHqqCUFNJY4AfY3kHU/edit?usp=sharing  #gid=0"",""фіз особи new!relations_name_uo""),7,FALSE)
,
)
))"),"ДЄГТЯР Наталія Трифонівна")</f>
        <v>ДЄГТЯР Наталія Трифонівна</v>
      </c>
      <c r="G10598" s="7" t="s">
        <v>10</v>
      </c>
      <c r="H10598" s="7">
        <v>1865</v>
      </c>
      <c r="I10598" s="8" t="str">
        <f ca="1">IFERROR(__xludf.DUMMYFUNCTION("IF
(
G10599=""фізична особа""
,
VLOOKUP(H10599,IMPORTRANGE(""https://docs.google.com/spreadsheets/d/14Bd19lYaqBhU8_DElYkX7l4wRkHqqCUFNJY4AfY3kHU/edit?usp=sharing  #gid=0"",""фіз особи new!relations_name""),6,FALSE)
,
(IF
(
G10599=""юридична особа""
,
VLOO"&amp;"KUP(H10599,IMPORTRANGE(""https://docs.google.com/spreadsheets/d/14Bd19lYaqBhU8_DElYkX7l4wRkHqqCUFNJY4AfY3kHU/edit?usp=sharing  #gid=0"",""фіз особи new!relations_name_uo""),7,FALSE)
,
)
))"),"ЄРШОВ Сергій Олександрович")</f>
        <v>ЄРШОВ Сергій Олександрович</v>
      </c>
      <c r="J10598" s="7" t="s">
        <v>11</v>
      </c>
    </row>
    <row r="10599" spans="1:10" ht="13.2">
      <c r="A10599" s="7">
        <v>10598</v>
      </c>
      <c r="B10599" s="7">
        <v>1</v>
      </c>
      <c r="C10599" s="7" t="s">
        <v>10</v>
      </c>
      <c r="D10599" s="7">
        <v>16513</v>
      </c>
      <c r="E10599" s="7" t="s">
        <v>11</v>
      </c>
      <c r="F10599" s="8" t="str">
        <f ca="1">IFERROR(__xludf.DUMMYFUNCTION("IF
(
C10600=""фізична особа""
,
VLOOKUP(D10600,IMPORTRANGE(""https://docs.google.com/spreadsheets/d/14Bd19lYaqBhU8_DElYkX7l4wRkHqqCUFNJY4AfY3kHU/edit?usp=sharing  #gid=0"",""фіз особи new!relations_name""),6,FALSE)
,
(IF
(
C10600=""юридична особа""
,
VLOO"&amp;"KUP(D10600,IMPORTRANGE(""https://docs.google.com/spreadsheets/d/14Bd19lYaqBhU8_DElYkX7l4wRkHqqCUFNJY4AfY3kHU/edit?usp=sharing  #gid=0"",""фіз особи new!relations_name_uo""),7,FALSE)
,
)
))"),"ДЄГТЯР Наталія Трифонівна")</f>
        <v>ДЄГТЯР Наталія Трифонівна</v>
      </c>
      <c r="G10599" s="7" t="s">
        <v>10</v>
      </c>
      <c r="H10599" s="7">
        <v>1869</v>
      </c>
      <c r="I10599" s="8" t="str">
        <f ca="1">IFERROR(__xludf.DUMMYFUNCTION("IF
(
G10600=""фізична особа""
,
VLOOKUP(H10600,IMPORTRANGE(""https://docs.google.com/spreadsheets/d/14Bd19lYaqBhU8_DElYkX7l4wRkHqqCUFNJY4AfY3kHU/edit?usp=sharing  #gid=0"",""фіз особи new!relations_name""),6,FALSE)
,
(IF
(
G10600=""юридична особа""
,
VLOO"&amp;"KUP(H10600,IMPORTRANGE(""https://docs.google.com/spreadsheets/d/14Bd19lYaqBhU8_DElYkX7l4wRkHqqCUFNJY4AfY3kHU/edit?usp=sharing  #gid=0"",""фіз особи new!relations_name_uo""),7,FALSE)
,
)
))"),"ДУБРОВІНСЬКИЙ В'ячеслав Юрійович")</f>
        <v>ДУБРОВІНСЬКИЙ В'ячеслав Юрійович</v>
      </c>
      <c r="J10599" s="7" t="s">
        <v>11</v>
      </c>
    </row>
    <row r="10600" spans="1:10" ht="13.2">
      <c r="A10600" s="7">
        <v>10599</v>
      </c>
      <c r="B10600" s="7">
        <v>1</v>
      </c>
      <c r="C10600" s="7" t="s">
        <v>10</v>
      </c>
      <c r="D10600" s="7">
        <v>16513</v>
      </c>
      <c r="E10600" s="7" t="s">
        <v>11</v>
      </c>
      <c r="F10600" s="8" t="str">
        <f ca="1">IFERROR(__xludf.DUMMYFUNCTION("IF
(
C10601=""фізична особа""
,
VLOOKUP(D10601,IMPORTRANGE(""https://docs.google.com/spreadsheets/d/14Bd19lYaqBhU8_DElYkX7l4wRkHqqCUFNJY4AfY3kHU/edit?usp=sharing  #gid=0"",""фіз особи new!relations_name""),6,FALSE)
,
(IF
(
C10601=""юридична особа""
,
VLOO"&amp;"KUP(D10601,IMPORTRANGE(""https://docs.google.com/spreadsheets/d/14Bd19lYaqBhU8_DElYkX7l4wRkHqqCUFNJY4AfY3kHU/edit?usp=sharing  #gid=0"",""фіз особи new!relations_name_uo""),7,FALSE)
,
)
))"),"ДЄГТЯР Наталія Трифонівна")</f>
        <v>ДЄГТЯР Наталія Трифонівна</v>
      </c>
      <c r="G10600" s="7" t="s">
        <v>10</v>
      </c>
      <c r="H10600" s="7">
        <v>1863</v>
      </c>
      <c r="I10600" s="8" t="str">
        <f ca="1">IFERROR(__xludf.DUMMYFUNCTION("IF
(
G10601=""фізична особа""
,
VLOOKUP(H10601,IMPORTRANGE(""https://docs.google.com/spreadsheets/d/14Bd19lYaqBhU8_DElYkX7l4wRkHqqCUFNJY4AfY3kHU/edit?usp=sharing  #gid=0"",""фіз особи new!relations_name""),6,FALSE)
,
(IF
(
G10601=""юридична особа""
,
VLOO"&amp;"KUP(H10601,IMPORTRANGE(""https://docs.google.com/spreadsheets/d/14Bd19lYaqBhU8_DElYkX7l4wRkHqqCUFNJY4AfY3kHU/edit?usp=sharing  #gid=0"",""фіз особи new!relations_name_uo""),7,FALSE)
,
)
))"),"НІКОЛАЄВА Ірина Вікторівна")</f>
        <v>НІКОЛАЄВА Ірина Вікторівна</v>
      </c>
      <c r="J10600" s="7" t="s">
        <v>11</v>
      </c>
    </row>
    <row r="10601" spans="1:10" ht="13.2">
      <c r="A10601" s="7">
        <v>10600</v>
      </c>
      <c r="B10601" s="7">
        <v>1</v>
      </c>
      <c r="C10601" s="7" t="s">
        <v>10</v>
      </c>
      <c r="D10601" s="7">
        <v>16527</v>
      </c>
      <c r="E10601" s="7" t="s">
        <v>11</v>
      </c>
      <c r="F10601" s="8" t="str">
        <f ca="1">IFERROR(__xludf.DUMMYFUNCTION("IF
(
C10602=""фізична особа""
,
VLOOKUP(D10602,IMPORTRANGE(""https://docs.google.com/spreadsheets/d/14Bd19lYaqBhU8_DElYkX7l4wRkHqqCUFNJY4AfY3kHU/edit?usp=sharing  #gid=0"",""фіз особи new!relations_name""),6,FALSE)
,
(IF
(
C10602=""юридична особа""
,
VLOO"&amp;"KUP(D10602,IMPORTRANGE(""https://docs.google.com/spreadsheets/d/14Bd19lYaqBhU8_DElYkX7l4wRkHqqCUFNJY4AfY3kHU/edit?usp=sharing  #gid=0"",""фіз особи new!relations_name_uo""),7,FALSE)
,
)
))"),"ЯКУШЕВ Антон Олегович")</f>
        <v>ЯКУШЕВ Антон Олегович</v>
      </c>
      <c r="G10601" s="7" t="s">
        <v>10</v>
      </c>
      <c r="H10601" s="7">
        <v>16489</v>
      </c>
      <c r="I10601" s="8" t="str">
        <f ca="1">IFERROR(__xludf.DUMMYFUNCTION("IF
(
G10602=""фізична особа""
,
VLOOKUP(H10602,IMPORTRANGE(""https://docs.google.com/spreadsheets/d/14Bd19lYaqBhU8_DElYkX7l4wRkHqqCUFNJY4AfY3kHU/edit?usp=sharing  #gid=0"",""фіз особи new!relations_name""),6,FALSE)
,
(IF
(
G10602=""юридична особа""
,
VLOO"&amp;"KUP(H10602,IMPORTRANGE(""https://docs.google.com/spreadsheets/d/14Bd19lYaqBhU8_DElYkX7l4wRkHqqCUFNJY4AfY3kHU/edit?usp=sharing  #gid=0"",""фіз особи new!relations_name_uo""),7,FALSE)
,
)
))"),"ДЄТУШЕВ Олексій Сергійович")</f>
        <v>ДЄТУШЕВ Олексій Сергійович</v>
      </c>
      <c r="J10601" s="7" t="s">
        <v>11</v>
      </c>
    </row>
    <row r="10602" spans="1:10" ht="13.2">
      <c r="A10602" s="7">
        <v>10601</v>
      </c>
      <c r="B10602" s="7">
        <v>1</v>
      </c>
      <c r="C10602" s="7" t="s">
        <v>10</v>
      </c>
      <c r="D10602" s="7">
        <v>16528</v>
      </c>
      <c r="E10602" s="7" t="s">
        <v>28</v>
      </c>
      <c r="F10602" s="8" t="str">
        <f ca="1">IFERROR(__xludf.DUMMYFUNCTION("IF
(
C10603=""фізична особа""
,
VLOOKUP(D10603,IMPORTRANGE(""https://docs.google.com/spreadsheets/d/14Bd19lYaqBhU8_DElYkX7l4wRkHqqCUFNJY4AfY3kHU/edit?usp=sharing  #gid=0"",""фіз особи new!relations_name""),6,FALSE)
,
(IF
(
C10603=""юридична особа""
,
VLOO"&amp;"KUP(D10603,IMPORTRANGE(""https://docs.google.com/spreadsheets/d/14Bd19lYaqBhU8_DElYkX7l4wRkHqqCUFNJY4AfY3kHU/edit?usp=sharing  #gid=0"",""фіз особи new!relations_name_uo""),7,FALSE)
,
)
))"),"ДЄГТЯР Наталія")</f>
        <v>ДЄГТЯР Наталія</v>
      </c>
      <c r="G10602" s="7" t="s">
        <v>10</v>
      </c>
      <c r="H10602" s="7">
        <v>1868</v>
      </c>
      <c r="I10602" s="8" t="str">
        <f ca="1">IFERROR(__xludf.DUMMYFUNCTION("IF
(
G10603=""фізична особа""
,
VLOOKUP(H10603,IMPORTRANGE(""https://docs.google.com/spreadsheets/d/14Bd19lYaqBhU8_DElYkX7l4wRkHqqCUFNJY4AfY3kHU/edit?usp=sharing  #gid=0"",""фіз особи new!relations_name""),6,FALSE)
,
(IF
(
G10603=""юридична особа""
,
VLOO"&amp;"KUP(H10603,IMPORTRANGE(""https://docs.google.com/spreadsheets/d/14Bd19lYaqBhU8_DElYkX7l4wRkHqqCUFNJY4AfY3kHU/edit?usp=sharing  #gid=0"",""фіз особи new!relations_name_uo""),7,FALSE)
,
)
))"),"ГРИНІН Євген Олександрович")</f>
        <v>ГРИНІН Євген Олександрович</v>
      </c>
      <c r="J10602" s="7" t="s">
        <v>29</v>
      </c>
    </row>
    <row r="10603" spans="1:10" ht="13.2">
      <c r="A10603" s="7">
        <v>10602</v>
      </c>
      <c r="B10603" s="7">
        <v>1</v>
      </c>
      <c r="C10603" s="7" t="s">
        <v>10</v>
      </c>
      <c r="D10603" s="7">
        <v>16529</v>
      </c>
      <c r="E10603" s="7" t="s">
        <v>11</v>
      </c>
      <c r="F10603" s="8" t="str">
        <f ca="1">IFERROR(__xludf.DUMMYFUNCTION("IF
(
C10604=""фізична особа""
,
VLOOKUP(D10604,IMPORTRANGE(""https://docs.google.com/spreadsheets/d/14Bd19lYaqBhU8_DElYkX7l4wRkHqqCUFNJY4AfY3kHU/edit?usp=sharing  #gid=0"",""фіз особи new!relations_name""),6,FALSE)
,
(IF
(
C10604=""юридична особа""
,
VLOO"&amp;"KUP(D10604,IMPORTRANGE(""https://docs.google.com/spreadsheets/d/14Bd19lYaqBhU8_DElYkX7l4wRkHqqCUFNJY4AfY3kHU/edit?usp=sharing  #gid=0"",""фіз особи new!relations_name_uo""),7,FALSE)
,
)
))"),"ГАЛІН Дмитро Володимирович")</f>
        <v>ГАЛІН Дмитро Володимирович</v>
      </c>
      <c r="G10603" s="7" t="s">
        <v>10</v>
      </c>
      <c r="H10603" s="7">
        <v>16486</v>
      </c>
      <c r="I10603" s="8" t="str">
        <f ca="1">IFERROR(__xludf.DUMMYFUNCTION("IF
(
G10604=""фізична особа""
,
VLOOKUP(H10604,IMPORTRANGE(""https://docs.google.com/spreadsheets/d/14Bd19lYaqBhU8_DElYkX7l4wRkHqqCUFNJY4AfY3kHU/edit?usp=sharing  #gid=0"",""фіз особи new!relations_name""),6,FALSE)
,
(IF
(
G10604=""юридична особа""
,
VLOO"&amp;"KUP(H10604,IMPORTRANGE(""https://docs.google.com/spreadsheets/d/14Bd19lYaqBhU8_DElYkX7l4wRkHqqCUFNJY4AfY3kHU/edit?usp=sharing  #gid=0"",""фіз особи new!relations_name_uo""),7,FALSE)
,
)
))"),"ІВАНОВ Володимир Олександрович")</f>
        <v>ІВАНОВ Володимир Олександрович</v>
      </c>
      <c r="J10603" s="7" t="s">
        <v>11</v>
      </c>
    </row>
    <row r="10604" spans="1:10" ht="13.2">
      <c r="A10604" s="7">
        <v>10603</v>
      </c>
      <c r="B10604" s="7">
        <v>1</v>
      </c>
      <c r="C10604" s="7" t="s">
        <v>10</v>
      </c>
      <c r="D10604" s="7">
        <v>16530</v>
      </c>
      <c r="E10604" s="7" t="s">
        <v>31</v>
      </c>
      <c r="F10604" s="8" t="str">
        <f ca="1">IFERROR(__xludf.DUMMYFUNCTION("IF
(
C10605=""фізична особа""
,
VLOOKUP(D10605,IMPORTRANGE(""https://docs.google.com/spreadsheets/d/14Bd19lYaqBhU8_DElYkX7l4wRkHqqCUFNJY4AfY3kHU/edit?usp=sharing  #gid=0"",""фіз особи new!relations_name""),6,FALSE)
,
(IF
(
C10605=""юридична особа""
,
VLOO"&amp;"KUP(D10605,IMPORTRANGE(""https://docs.google.com/spreadsheets/d/14Bd19lYaqBhU8_DElYkX7l4wRkHqqCUFNJY4AfY3kHU/edit?usp=sharing  #gid=0"",""фіз особи new!relations_name_uo""),7,FALSE)
,
)
))"),"ЗУЙКОВА/МЕДИНСЬКА Тетяна Ростиславівна")</f>
        <v>ЗУЙКОВА/МЕДИНСЬКА Тетяна Ростиславівна</v>
      </c>
      <c r="G10604" s="7" t="s">
        <v>10</v>
      </c>
      <c r="H10604" s="7">
        <v>2459</v>
      </c>
      <c r="I10604" s="8" t="str">
        <f ca="1">IFERROR(__xludf.DUMMYFUNCTION("IF
(
G10605=""фізична особа""
,
VLOOKUP(H10605,IMPORTRANGE(""https://docs.google.com/spreadsheets/d/14Bd19lYaqBhU8_DElYkX7l4wRkHqqCUFNJY4AfY3kHU/edit?usp=sharing  #gid=0"",""фіз особи new!relations_name""),6,FALSE)
,
(IF
(
G10605=""юридична особа""
,
VLOO"&amp;"KUP(H10605,IMPORTRANGE(""https://docs.google.com/spreadsheets/d/14Bd19lYaqBhU8_DElYkX7l4wRkHqqCUFNJY4AfY3kHU/edit?usp=sharing  #gid=0"",""фіз особи new!relations_name_uo""),7,FALSE)
,
)
))"),"МЕДИНСЬКИЙ Володимир Ростиславович")</f>
        <v>МЕДИНСЬКИЙ Володимир Ростиславович</v>
      </c>
      <c r="J10604" s="7" t="s">
        <v>18</v>
      </c>
    </row>
    <row r="10605" spans="1:10" ht="13.2">
      <c r="A10605" s="7">
        <v>10604</v>
      </c>
      <c r="B10605" s="7">
        <v>1</v>
      </c>
      <c r="C10605" s="7" t="s">
        <v>10</v>
      </c>
      <c r="D10605" s="7">
        <v>16530</v>
      </c>
      <c r="E10605" s="7" t="s">
        <v>15</v>
      </c>
      <c r="F10605" s="8" t="str">
        <f ca="1">IFERROR(__xludf.DUMMYFUNCTION("IF
(
C10606=""фізична особа""
,
VLOOKUP(D10606,IMPORTRANGE(""https://docs.google.com/spreadsheets/d/14Bd19lYaqBhU8_DElYkX7l4wRkHqqCUFNJY4AfY3kHU/edit?usp=sharing  #gid=0"",""фіз особи new!relations_name""),6,FALSE)
,
(IF
(
C10606=""юридична особа""
,
VLOO"&amp;"KUP(D10606,IMPORTRANGE(""https://docs.google.com/spreadsheets/d/14Bd19lYaqBhU8_DElYkX7l4wRkHqqCUFNJY4AfY3kHU/edit?usp=sharing  #gid=0"",""фіз особи new!relations_name_uo""),7,FALSE)
,
)
))"),"ЗУЙКОВА/МЕДИНСЬКА Тетяна Ростиславівна")</f>
        <v>ЗУЙКОВА/МЕДИНСЬКА Тетяна Ростиславівна</v>
      </c>
      <c r="G10605" s="7" t="s">
        <v>10</v>
      </c>
      <c r="H10605" s="7">
        <v>16532</v>
      </c>
      <c r="I10605" s="8" t="str">
        <f ca="1">IFERROR(__xludf.DUMMYFUNCTION("IF
(
G10606=""фізична особа""
,
VLOOKUP(H10606,IMPORTRANGE(""https://docs.google.com/spreadsheets/d/14Bd19lYaqBhU8_DElYkX7l4wRkHqqCUFNJY4AfY3kHU/edit?usp=sharing  #gid=0"",""фіз особи new!relations_name""),6,FALSE)
,
(IF
(
G10606=""юридична особа""
,
VLOO"&amp;"KUP(H10606,IMPORTRANGE(""https://docs.google.com/spreadsheets/d/14Bd19lYaqBhU8_DElYkX7l4wRkHqqCUFNJY4AfY3kHU/edit?usp=sharing  #gid=0"",""фіз особи new!relations_name_uo""),7,FALSE)
,
)
))"),"ЗУЙКОВ Сергій Олександрович")</f>
        <v>ЗУЙКОВ Сергій Олександрович</v>
      </c>
      <c r="J10605" s="7" t="s">
        <v>14</v>
      </c>
    </row>
    <row r="10606" spans="1:10" ht="13.2">
      <c r="A10606" s="7">
        <v>10605</v>
      </c>
      <c r="B10606" s="7">
        <v>1</v>
      </c>
      <c r="C10606" s="7" t="s">
        <v>10</v>
      </c>
      <c r="D10606" s="7">
        <v>16531</v>
      </c>
      <c r="E10606" s="7" t="s">
        <v>15</v>
      </c>
      <c r="F10606" s="8" t="str">
        <f ca="1">IFERROR(__xludf.DUMMYFUNCTION("IF
(
C10607=""фізична особа""
,
VLOOKUP(D10607,IMPORTRANGE(""https://docs.google.com/spreadsheets/d/14Bd19lYaqBhU8_DElYkX7l4wRkHqqCUFNJY4AfY3kHU/edit?usp=sharing  #gid=0"",""фіз особи new!relations_name""),6,FALSE)
,
(IF
(
C10607=""юридична особа""
,
VLOO"&amp;"KUP(D10607,IMPORTRANGE(""https://docs.google.com/spreadsheets/d/14Bd19lYaqBhU8_DElYkX7l4wRkHqqCUFNJY4AfY3kHU/edit?usp=sharing  #gid=0"",""фіз особи new!relations_name_uo""),7,FALSE)
,
)
))"),"НІКІТІНА/МЕДИНСЬКА Марина Олегівна")</f>
        <v>НІКІТІНА/МЕДИНСЬКА Марина Олегівна</v>
      </c>
      <c r="G10606" s="7" t="s">
        <v>10</v>
      </c>
      <c r="H10606" s="7">
        <v>2459</v>
      </c>
      <c r="I10606" s="8" t="str">
        <f ca="1">IFERROR(__xludf.DUMMYFUNCTION("IF
(
G10607=""фізична особа""
,
VLOOKUP(H10607,IMPORTRANGE(""https://docs.google.com/spreadsheets/d/14Bd19lYaqBhU8_DElYkX7l4wRkHqqCUFNJY4AfY3kHU/edit?usp=sharing  #gid=0"",""фіз особи new!relations_name""),6,FALSE)
,
(IF
(
G10607=""юридична особа""
,
VLOO"&amp;"KUP(H10607,IMPORTRANGE(""https://docs.google.com/spreadsheets/d/14Bd19lYaqBhU8_DElYkX7l4wRkHqqCUFNJY4AfY3kHU/edit?usp=sharing  #gid=0"",""фіз особи new!relations_name_uo""),7,FALSE)
,
)
))"),"МЕДИНСЬКИЙ Володимир Ростиславович")</f>
        <v>МЕДИНСЬКИЙ Володимир Ростиславович</v>
      </c>
      <c r="J10606" s="7" t="s">
        <v>14</v>
      </c>
    </row>
    <row r="10607" spans="1:10" ht="13.2">
      <c r="A10607" s="7">
        <v>10606</v>
      </c>
      <c r="B10607" s="7">
        <v>1</v>
      </c>
      <c r="C10607" s="7" t="s">
        <v>10</v>
      </c>
      <c r="D10607" s="7">
        <v>16532</v>
      </c>
      <c r="E10607" s="7" t="s">
        <v>26</v>
      </c>
      <c r="F10607" s="8" t="str">
        <f ca="1">IFERROR(__xludf.DUMMYFUNCTION("IF
(
C10608=""фізична особа""
,
VLOOKUP(D10608,IMPORTRANGE(""https://docs.google.com/spreadsheets/d/14Bd19lYaqBhU8_DElYkX7l4wRkHqqCUFNJY4AfY3kHU/edit?usp=sharing  #gid=0"",""фіз особи new!relations_name""),6,FALSE)
,
(IF
(
C10608=""юридична особа""
,
VLOO"&amp;"KUP(D10608,IMPORTRANGE(""https://docs.google.com/spreadsheets/d/14Bd19lYaqBhU8_DElYkX7l4wRkHqqCUFNJY4AfY3kHU/edit?usp=sharing  #gid=0"",""фіз особи new!relations_name_uo""),7,FALSE)
,
)
))"),"ЗУЙКОВ Сергій Олександрович")</f>
        <v>ЗУЙКОВ Сергій Олександрович</v>
      </c>
      <c r="G10607" s="7" t="s">
        <v>10</v>
      </c>
      <c r="H10607" s="7">
        <v>2459</v>
      </c>
      <c r="I10607" s="8" t="str">
        <f ca="1">IFERROR(__xludf.DUMMYFUNCTION("IF
(
G10608=""фізична особа""
,
VLOOKUP(H10608,IMPORTRANGE(""https://docs.google.com/spreadsheets/d/14Bd19lYaqBhU8_DElYkX7l4wRkHqqCUFNJY4AfY3kHU/edit?usp=sharing  #gid=0"",""фіз особи new!relations_name""),6,FALSE)
,
(IF
(
G10608=""юридична особа""
,
VLOO"&amp;"KUP(H10608,IMPORTRANGE(""https://docs.google.com/spreadsheets/d/14Bd19lYaqBhU8_DElYkX7l4wRkHqqCUFNJY4AfY3kHU/edit?usp=sharing  #gid=0"",""фіз особи new!relations_name_uo""),7,FALSE)
,
)
))"),"МЕДИНСЬКИЙ Володимир Ростиславович")</f>
        <v>МЕДИНСЬКИЙ Володимир Ростиславович</v>
      </c>
      <c r="J10607" s="7" t="s">
        <v>50</v>
      </c>
    </row>
    <row r="10608" spans="1:10" ht="13.2">
      <c r="A10608" s="7">
        <v>10607</v>
      </c>
      <c r="B10608" s="7">
        <v>1</v>
      </c>
      <c r="C10608" s="7" t="s">
        <v>10</v>
      </c>
      <c r="D10608" s="7">
        <v>16532</v>
      </c>
      <c r="E10608" s="7" t="s">
        <v>14</v>
      </c>
      <c r="F10608" s="8" t="str">
        <f ca="1">IFERROR(__xludf.DUMMYFUNCTION("IF
(
C10609=""фізична особа""
,
VLOOKUP(D10609,IMPORTRANGE(""https://docs.google.com/spreadsheets/d/14Bd19lYaqBhU8_DElYkX7l4wRkHqqCUFNJY4AfY3kHU/edit?usp=sharing  #gid=0"",""фіз особи new!relations_name""),6,FALSE)
,
(IF
(
C10609=""юридична особа""
,
VLOO"&amp;"KUP(D10609,IMPORTRANGE(""https://docs.google.com/spreadsheets/d/14Bd19lYaqBhU8_DElYkX7l4wRkHqqCUFNJY4AfY3kHU/edit?usp=sharing  #gid=0"",""фіз особи new!relations_name_uo""),7,FALSE)
,
)
))"),"ЗУЙКОВ Сергій Олександрович")</f>
        <v>ЗУЙКОВ Сергій Олександрович</v>
      </c>
      <c r="G10608" s="7" t="s">
        <v>10</v>
      </c>
      <c r="H10608" s="7">
        <v>16530</v>
      </c>
      <c r="I10608" s="8" t="str">
        <f ca="1">IFERROR(__xludf.DUMMYFUNCTION("IF
(
G10609=""фізична особа""
,
VLOOKUP(H10609,IMPORTRANGE(""https://docs.google.com/spreadsheets/d/14Bd19lYaqBhU8_DElYkX7l4wRkHqqCUFNJY4AfY3kHU/edit?usp=sharing  #gid=0"",""фіз особи new!relations_name""),6,FALSE)
,
(IF
(
G10609=""юридична особа""
,
VLOO"&amp;"KUP(H10609,IMPORTRANGE(""https://docs.google.com/spreadsheets/d/14Bd19lYaqBhU8_DElYkX7l4wRkHqqCUFNJY4AfY3kHU/edit?usp=sharing  #gid=0"",""фіз особи new!relations_name_uo""),7,FALSE)
,
)
))"),"ЗУЙКОВА/МЕДИНСЬКА Тетяна Ростиславівна")</f>
        <v>ЗУЙКОВА/МЕДИНСЬКА Тетяна Ростиславівна</v>
      </c>
      <c r="J10608" s="7" t="s">
        <v>15</v>
      </c>
    </row>
    <row r="10609" spans="1:10" ht="13.2">
      <c r="A10609" s="7">
        <v>10608</v>
      </c>
      <c r="B10609" s="7">
        <v>1</v>
      </c>
      <c r="C10609" s="7" t="s">
        <v>10</v>
      </c>
      <c r="D10609" s="7">
        <v>16538</v>
      </c>
      <c r="E10609" s="7" t="s">
        <v>15</v>
      </c>
      <c r="F10609" s="8" t="str">
        <f ca="1">IFERROR(__xludf.DUMMYFUNCTION("IF
(
C10610=""фізична особа""
,
VLOOKUP(D10610,IMPORTRANGE(""https://docs.google.com/spreadsheets/d/14Bd19lYaqBhU8_DElYkX7l4wRkHqqCUFNJY4AfY3kHU/edit?usp=sharing  #gid=0"",""фіз особи new!relations_name""),6,FALSE)
,
(IF
(
C10610=""юридична особа""
,
VLOO"&amp;"KUP(D10610,IMPORTRANGE(""https://docs.google.com/spreadsheets/d/14Bd19lYaqBhU8_DElYkX7l4wRkHqqCUFNJY4AfY3kHU/edit?usp=sharing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G10609" s="7" t="s">
        <v>10</v>
      </c>
      <c r="H10609" s="7">
        <v>16541</v>
      </c>
      <c r="I10609" s="8" t="str">
        <f ca="1">IFERROR(__xludf.DUMMYFUNCTION("IF
(
G10610=""фізична особа""
,
VLOOKUP(H10610,IMPORTRANGE(""https://docs.google.com/spreadsheets/d/14Bd19lYaqBhU8_DElYkX7l4wRkHqqCUFNJY4AfY3kHU/edit?usp=sharing  #gid=0"",""фіз особи new!relations_name""),6,FALSE)
,
(IF
(
G10610=""юридична особа""
,
VLOO"&amp;"KUP(H10610,IMPORTRANGE(""https://docs.google.com/spreadsheets/d/14Bd19lYaqBhU8_DElYkX7l4wRkHqqCUFNJY4AfY3kHU/edit?usp=sharing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J10609" s="7" t="s">
        <v>14</v>
      </c>
    </row>
    <row r="10610" spans="1:10" ht="13.2">
      <c r="A10610" s="7">
        <v>10609</v>
      </c>
      <c r="B10610" s="7">
        <v>1</v>
      </c>
      <c r="C10610" s="7" t="s">
        <v>10</v>
      </c>
      <c r="D10610" s="7">
        <v>16538</v>
      </c>
      <c r="E10610" s="7" t="s">
        <v>21</v>
      </c>
      <c r="F10610" s="8" t="str">
        <f ca="1">IFERROR(__xludf.DUMMYFUNCTION("IF
(
C10611=""фізична особа""
,
VLOOKUP(D10611,IMPORTRANGE(""https://docs.google.com/spreadsheets/d/14Bd19lYaqBhU8_DElYkX7l4wRkHqqCUFNJY4AfY3kHU/edit?usp=sharing  #gid=0"",""фіз особи new!relations_name""),6,FALSE)
,
(IF
(
C10611=""юридична особа""
,
VLOO"&amp;"KUP(D10611,IMPORTRANGE(""https://docs.google.com/spreadsheets/d/14Bd19lYaqBhU8_DElYkX7l4wRkHqqCUFNJY4AfY3kHU/edit?usp=sharing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G10610" s="7" t="s">
        <v>10</v>
      </c>
      <c r="H10610" s="7">
        <v>8476</v>
      </c>
      <c r="I10610" s="8" t="str">
        <f ca="1">IFERROR(__xludf.DUMMYFUNCTION("IF
(
G10611=""фізична особа""
,
VLOOKUP(H10611,IMPORTRANGE(""https://docs.google.com/spreadsheets/d/14Bd19lYaqBhU8_DElYkX7l4wRkHqqCUFNJY4AfY3kHU/edit?usp=sharing  #gid=0"",""фіз особи new!relations_name""),6,FALSE)
,
(IF
(
G10611=""юридична особа""
,
VLOO"&amp;"KUP(H10611,IMPORTRANGE(""https://docs.google.com/spreadsheets/d/14Bd19lYaqBhU8_DElYkX7l4wRkHqqCUFNJY4AfY3kHU/edit?usp=sharing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0610" s="7" t="s">
        <v>17</v>
      </c>
    </row>
    <row r="10611" spans="1:10" ht="13.2">
      <c r="A10611" s="7">
        <v>10610</v>
      </c>
      <c r="B10611" s="7">
        <v>1</v>
      </c>
      <c r="C10611" s="7" t="s">
        <v>10</v>
      </c>
      <c r="D10611" s="7">
        <v>16538</v>
      </c>
      <c r="E10611" s="7" t="s">
        <v>11</v>
      </c>
      <c r="F10611" s="8" t="str">
        <f ca="1">IFERROR(__xludf.DUMMYFUNCTION("IF
(
C10612=""фізична особа""
,
VLOOKUP(D10612,IMPORTRANGE(""https://docs.google.com/spreadsheets/d/14Bd19lYaqBhU8_DElYkX7l4wRkHqqCUFNJY4AfY3kHU/edit?usp=sharing  #gid=0"",""фіз особи new!relations_name""),6,FALSE)
,
(IF
(
C10612=""юридична особа""
,
VLOO"&amp;"KUP(D10612,IMPORTRANGE(""https://docs.google.com/spreadsheets/d/14Bd19lYaqBhU8_DElYkX7l4wRkHqqCUFNJY4AfY3kHU/edit?usp=sharing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G10611" s="7" t="s">
        <v>10</v>
      </c>
      <c r="H10611" s="7">
        <v>23620</v>
      </c>
      <c r="I10611" s="8" t="str">
        <f ca="1">IFERROR(__xludf.DUMMYFUNCTION("IF
(
G10612=""фізична особа""
,
VLOOKUP(H10612,IMPORTRANGE(""https://docs.google.com/spreadsheets/d/14Bd19lYaqBhU8_DElYkX7l4wRkHqqCUFNJY4AfY3kHU/edit?usp=sharing  #gid=0"",""фіз особи new!relations_name""),6,FALSE)
,
(IF
(
G10612=""юридична особа""
,
VLOO"&amp;"KUP(H10612,IMPORTRANGE(""https://docs.google.com/spreadsheets/d/14Bd19lYaqBhU8_DElYkX7l4wRkHqqCUFNJY4AfY3kHU/edit?usp=sharing  #gid=0"",""фіз особи new!relations_name_uo""),7,FALSE)
,
)
))"),"СОЛОВЙОВ Борис Георгійович")</f>
        <v>СОЛОВЙОВ Борис Георгійович</v>
      </c>
      <c r="J10611" s="7" t="s">
        <v>11</v>
      </c>
    </row>
    <row r="10612" spans="1:10" ht="13.2">
      <c r="A10612" s="7">
        <v>10611</v>
      </c>
      <c r="B10612" s="7">
        <v>1</v>
      </c>
      <c r="C10612" s="7" t="s">
        <v>10</v>
      </c>
      <c r="D10612" s="7">
        <v>16539</v>
      </c>
      <c r="E10612" s="7" t="s">
        <v>11</v>
      </c>
      <c r="F10612" s="8" t="str">
        <f ca="1">IFERROR(__xludf.DUMMYFUNCTION("IF
(
C10613=""фізична особа""
,
VLOOKUP(D10613,IMPORTRANGE(""https://docs.google.com/spreadsheets/d/14Bd19lYaqBhU8_DElYkX7l4wRkHqqCUFNJY4AfY3kHU/edit?usp=sharing  #gid=0"",""фіз особи new!relations_name""),6,FALSE)
,
(IF
(
C10613=""юридична особа""
,
VLOO"&amp;"KUP(D10613,IMPORTRANGE(""https://docs.google.com/spreadsheets/d/14Bd19lYaqBhU8_DElYkX7l4wRkHqqCUFNJY4AfY3kHU/edit?usp=sharing  #gid=0"",""фіз особи new!relations_name_uo""),7,FALSE)
,
)
))"),"КАЗАКОВ Борис Васильович")</f>
        <v>КАЗАКОВ Борис Васильович</v>
      </c>
      <c r="G10612" s="7" t="s">
        <v>10</v>
      </c>
      <c r="H10612" s="7">
        <v>16538</v>
      </c>
      <c r="I10612" s="8" t="str">
        <f ca="1">IFERROR(__xludf.DUMMYFUNCTION("IF
(
G10613=""фізична особа""
,
VLOOKUP(H10613,IMPORTRANGE(""https://docs.google.com/spreadsheets/d/14Bd19lYaqBhU8_DElYkX7l4wRkHqqCUFNJY4AfY3kHU/edit?usp=sharing  #gid=0"",""фіз особи new!relations_name""),6,FALSE)
,
(IF
(
G10613=""юридична особа""
,
VLOO"&amp;"KUP(H10613,IMPORTRANGE(""https://docs.google.com/spreadsheets/d/14Bd19lYaqBhU8_DElYkX7l4wRkHqqCUFNJY4AfY3kHU/edit?usp=sharing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J10612" s="7" t="s">
        <v>11</v>
      </c>
    </row>
    <row r="10613" spans="1:10" ht="13.2">
      <c r="A10613" s="7">
        <v>10612</v>
      </c>
      <c r="B10613" s="7">
        <v>1</v>
      </c>
      <c r="C10613" s="7" t="s">
        <v>10</v>
      </c>
      <c r="D10613" s="7">
        <v>16539</v>
      </c>
      <c r="E10613" s="7" t="s">
        <v>11</v>
      </c>
      <c r="F10613" s="8" t="str">
        <f ca="1">IFERROR(__xludf.DUMMYFUNCTION("IF
(
C10614=""фізична особа""
,
VLOOKUP(D10614,IMPORTRANGE(""https://docs.google.com/spreadsheets/d/14Bd19lYaqBhU8_DElYkX7l4wRkHqqCUFNJY4AfY3kHU/edit?usp=sharing  #gid=0"",""фіз особи new!relations_name""),6,FALSE)
,
(IF
(
C10614=""юридична особа""
,
VLOO"&amp;"KUP(D10614,IMPORTRANGE(""https://docs.google.com/spreadsheets/d/14Bd19lYaqBhU8_DElYkX7l4wRkHqqCUFNJY4AfY3kHU/edit?usp=sharing  #gid=0"",""фіз особи new!relations_name_uo""),7,FALSE)
,
)
))"),"КАЗАКОВ Борис Васильович")</f>
        <v>КАЗАКОВ Борис Васильович</v>
      </c>
      <c r="G10613" s="7" t="s">
        <v>10</v>
      </c>
      <c r="H10613" s="7">
        <v>16541</v>
      </c>
      <c r="I10613" s="8" t="str">
        <f ca="1">IFERROR(__xludf.DUMMYFUNCTION("IF
(
G10614=""фізична особа""
,
VLOOKUP(H10614,IMPORTRANGE(""https://docs.google.com/spreadsheets/d/14Bd19lYaqBhU8_DElYkX7l4wRkHqqCUFNJY4AfY3kHU/edit?usp=sharing  #gid=0"",""фіз особи new!relations_name""),6,FALSE)
,
(IF
(
G10614=""юридична особа""
,
VLOO"&amp;"KUP(H10614,IMPORTRANGE(""https://docs.google.com/spreadsheets/d/14Bd19lYaqBhU8_DElYkX7l4wRkHqqCUFNJY4AfY3kHU/edit?usp=sharing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J10613" s="7" t="s">
        <v>11</v>
      </c>
    </row>
    <row r="10614" spans="1:10" ht="13.2">
      <c r="A10614" s="7">
        <v>10613</v>
      </c>
      <c r="B10614" s="7">
        <v>1</v>
      </c>
      <c r="C10614" s="7" t="s">
        <v>10</v>
      </c>
      <c r="D10614" s="7">
        <v>16539</v>
      </c>
      <c r="E10614" s="7" t="s">
        <v>11</v>
      </c>
      <c r="F10614" s="8" t="str">
        <f ca="1">IFERROR(__xludf.DUMMYFUNCTION("IF
(
C10615=""фізична особа""
,
VLOOKUP(D10615,IMPORTRANGE(""https://docs.google.com/spreadsheets/d/14Bd19lYaqBhU8_DElYkX7l4wRkHqqCUFNJY4AfY3kHU/edit?usp=sharing  #gid=0"",""фіз особи new!relations_name""),6,FALSE)
,
(IF
(
C10615=""юридична особа""
,
VLOO"&amp;"KUP(D10615,IMPORTRANGE(""https://docs.google.com/spreadsheets/d/14Bd19lYaqBhU8_DElYkX7l4wRkHqqCUFNJY4AfY3kHU/edit?usp=sharing  #gid=0"",""фіз особи new!relations_name_uo""),7,FALSE)
,
)
))"),"КАЗАКОВ Борис Васильович")</f>
        <v>КАЗАКОВ Борис Васильович</v>
      </c>
      <c r="G10614" s="7" t="s">
        <v>10</v>
      </c>
      <c r="H10614" s="7">
        <v>8476</v>
      </c>
      <c r="I10614" s="8" t="str">
        <f ca="1">IFERROR(__xludf.DUMMYFUNCTION("IF
(
G10615=""фізична особа""
,
VLOOKUP(H10615,IMPORTRANGE(""https://docs.google.com/spreadsheets/d/14Bd19lYaqBhU8_DElYkX7l4wRkHqqCUFNJY4AfY3kHU/edit?usp=sharing  #gid=0"",""фіз особи new!relations_name""),6,FALSE)
,
(IF
(
G10615=""юридична особа""
,
VLOO"&amp;"KUP(H10615,IMPORTRANGE(""https://docs.google.com/spreadsheets/d/14Bd19lYaqBhU8_DElYkX7l4wRkHqqCUFNJY4AfY3kHU/edit?usp=sharing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0614" s="7" t="s">
        <v>11</v>
      </c>
    </row>
    <row r="10615" spans="1:10" ht="13.2">
      <c r="A10615" s="7">
        <v>10614</v>
      </c>
      <c r="B10615" s="7">
        <v>1</v>
      </c>
      <c r="C10615" s="7" t="s">
        <v>10</v>
      </c>
      <c r="D10615" s="7">
        <v>16540</v>
      </c>
      <c r="E10615" s="7" t="s">
        <v>11</v>
      </c>
      <c r="F10615" s="8" t="str">
        <f ca="1">IFERROR(__xludf.DUMMYFUNCTION("IF
(
C10616=""фізична особа""
,
VLOOKUP(D10616,IMPORTRANGE(""https://docs.google.com/spreadsheets/d/14Bd19lYaqBhU8_DElYkX7l4wRkHqqCUFNJY4AfY3kHU/edit?usp=sharing  #gid=0"",""фіз особи new!relations_name""),6,FALSE)
,
(IF
(
C10616=""юридична особа""
,
VLOO"&amp;"KUP(D10616,IMPORTRANGE(""https://docs.google.com/spreadsheets/d/14Bd19lYaqBhU8_DElYkX7l4wRkHqqCUFNJY4AfY3kHU/edit?usp=sharing  #gid=0"",""фіз особи new!relations_name_uo""),7,FALSE)
,
)
))"),"ВОРОБЙОВ Олексій Сергійович")</f>
        <v>ВОРОБЙОВ Олексій Сергійович</v>
      </c>
      <c r="G10615" s="7" t="s">
        <v>10</v>
      </c>
      <c r="H10615" s="7">
        <v>16538</v>
      </c>
      <c r="I10615" s="8" t="str">
        <f ca="1">IFERROR(__xludf.DUMMYFUNCTION("IF
(
G10616=""фізична особа""
,
VLOOKUP(H10616,IMPORTRANGE(""https://docs.google.com/spreadsheets/d/14Bd19lYaqBhU8_DElYkX7l4wRkHqqCUFNJY4AfY3kHU/edit?usp=sharing  #gid=0"",""фіз особи new!relations_name""),6,FALSE)
,
(IF
(
G10616=""юридична особа""
,
VLOO"&amp;"KUP(H10616,IMPORTRANGE(""https://docs.google.com/spreadsheets/d/14Bd19lYaqBhU8_DElYkX7l4wRkHqqCUFNJY4AfY3kHU/edit?usp=sharing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J10615" s="7" t="s">
        <v>11</v>
      </c>
    </row>
    <row r="10616" spans="1:10" ht="13.2">
      <c r="A10616" s="7">
        <v>10615</v>
      </c>
      <c r="B10616" s="7">
        <v>1</v>
      </c>
      <c r="C10616" s="7" t="s">
        <v>10</v>
      </c>
      <c r="D10616" s="7">
        <v>16540</v>
      </c>
      <c r="E10616" s="7" t="s">
        <v>11</v>
      </c>
      <c r="F10616" s="8" t="str">
        <f ca="1">IFERROR(__xludf.DUMMYFUNCTION("IF
(
C10617=""фізична особа""
,
VLOOKUP(D10617,IMPORTRANGE(""https://docs.google.com/spreadsheets/d/14Bd19lYaqBhU8_DElYkX7l4wRkHqqCUFNJY4AfY3kHU/edit?usp=sharing  #gid=0"",""фіз особи new!relations_name""),6,FALSE)
,
(IF
(
C10617=""юридична особа""
,
VLOO"&amp;"KUP(D10617,IMPORTRANGE(""https://docs.google.com/spreadsheets/d/14Bd19lYaqBhU8_DElYkX7l4wRkHqqCUFNJY4AfY3kHU/edit?usp=sharing  #gid=0"",""фіз особи new!relations_name_uo""),7,FALSE)
,
)
))"),"ВОРОБЙОВ Олексій Сергійович")</f>
        <v>ВОРОБЙОВ Олексій Сергійович</v>
      </c>
      <c r="G10616" s="7" t="s">
        <v>10</v>
      </c>
      <c r="H10616" s="7">
        <v>16541</v>
      </c>
      <c r="I10616" s="8" t="str">
        <f ca="1">IFERROR(__xludf.DUMMYFUNCTION("IF
(
G10617=""фізична особа""
,
VLOOKUP(H10617,IMPORTRANGE(""https://docs.google.com/spreadsheets/d/14Bd19lYaqBhU8_DElYkX7l4wRkHqqCUFNJY4AfY3kHU/edit?usp=sharing  #gid=0"",""фіз особи new!relations_name""),6,FALSE)
,
(IF
(
G10617=""юридична особа""
,
VLOO"&amp;"KUP(H10617,IMPORTRANGE(""https://docs.google.com/spreadsheets/d/14Bd19lYaqBhU8_DElYkX7l4wRkHqqCUFNJY4AfY3kHU/edit?usp=sharing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J10616" s="7" t="s">
        <v>11</v>
      </c>
    </row>
    <row r="10617" spans="1:10" ht="13.2">
      <c r="A10617" s="7">
        <v>10616</v>
      </c>
      <c r="B10617" s="7">
        <v>1</v>
      </c>
      <c r="C10617" s="7" t="s">
        <v>10</v>
      </c>
      <c r="D10617" s="7">
        <v>16540</v>
      </c>
      <c r="E10617" s="7" t="s">
        <v>11</v>
      </c>
      <c r="F10617" s="8" t="str">
        <f ca="1">IFERROR(__xludf.DUMMYFUNCTION("IF
(
C10618=""фізична особа""
,
VLOOKUP(D10618,IMPORTRANGE(""https://docs.google.com/spreadsheets/d/14Bd19lYaqBhU8_DElYkX7l4wRkHqqCUFNJY4AfY3kHU/edit?usp=sharing  #gid=0"",""фіз особи new!relations_name""),6,FALSE)
,
(IF
(
C10618=""юридична особа""
,
VLOO"&amp;"KUP(D10618,IMPORTRANGE(""https://docs.google.com/spreadsheets/d/14Bd19lYaqBhU8_DElYkX7l4wRkHqqCUFNJY4AfY3kHU/edit?usp=sharing  #gid=0"",""фіз особи new!relations_name_uo""),7,FALSE)
,
)
))"),"ВОРОБЙОВ Олексій Сергійович")</f>
        <v>ВОРОБЙОВ Олексій Сергійович</v>
      </c>
      <c r="G10617" s="7" t="s">
        <v>10</v>
      </c>
      <c r="H10617" s="7">
        <v>8476</v>
      </c>
      <c r="I10617" s="8" t="str">
        <f ca="1">IFERROR(__xludf.DUMMYFUNCTION("IF
(
G10618=""фізична особа""
,
VLOOKUP(H10618,IMPORTRANGE(""https://docs.google.com/spreadsheets/d/14Bd19lYaqBhU8_DElYkX7l4wRkHqqCUFNJY4AfY3kHU/edit?usp=sharing  #gid=0"",""фіз особи new!relations_name""),6,FALSE)
,
(IF
(
G10618=""юридична особа""
,
VLOO"&amp;"KUP(H10618,IMPORTRANGE(""https://docs.google.com/spreadsheets/d/14Bd19lYaqBhU8_DElYkX7l4wRkHqqCUFNJY4AfY3kHU/edit?usp=sharing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0617" s="7" t="s">
        <v>11</v>
      </c>
    </row>
    <row r="10618" spans="1:10" ht="13.2">
      <c r="A10618" s="7">
        <v>10617</v>
      </c>
      <c r="B10618" s="7">
        <v>1</v>
      </c>
      <c r="C10618" s="7" t="s">
        <v>10</v>
      </c>
      <c r="D10618" s="7">
        <v>16541</v>
      </c>
      <c r="E10618" s="7" t="s">
        <v>14</v>
      </c>
      <c r="F10618" s="8" t="str">
        <f ca="1">IFERROR(__xludf.DUMMYFUNCTION("IF
(
C10619=""фізична особа""
,
VLOOKUP(D10619,IMPORTRANGE(""https://docs.google.com/spreadsheets/d/14Bd19lYaqBhU8_DElYkX7l4wRkHqqCUFNJY4AfY3kHU/edit?usp=sharing  #gid=0"",""фіз особи new!relations_name""),6,FALSE)
,
(IF
(
C10619=""юридична особа""
,
VLOO"&amp;"KUP(D10619,IMPORTRANGE(""https://docs.google.com/spreadsheets/d/14Bd19lYaqBhU8_DElYkX7l4wRkHqqCUFNJY4AfY3kHU/edit?usp=sharing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18" s="7" t="s">
        <v>10</v>
      </c>
      <c r="H10618" s="7">
        <v>16538</v>
      </c>
      <c r="I10618" s="8" t="str">
        <f ca="1">IFERROR(__xludf.DUMMYFUNCTION("IF
(
G10619=""фізична особа""
,
VLOOKUP(H10619,IMPORTRANGE(""https://docs.google.com/spreadsheets/d/14Bd19lYaqBhU8_DElYkX7l4wRkHqqCUFNJY4AfY3kHU/edit?usp=sharing  #gid=0"",""фіз особи new!relations_name""),6,FALSE)
,
(IF
(
G10619=""юридична особа""
,
VLOO"&amp;"KUP(H10619,IMPORTRANGE(""https://docs.google.com/spreadsheets/d/14Bd19lYaqBhU8_DElYkX7l4wRkHqqCUFNJY4AfY3kHU/edit?usp=sharing  #gid=0"",""фіз особи new!relations_name_uo""),7,FALSE)
,
)
))"),"ГРЯДОВА Ольга Вікторівна")</f>
        <v>ГРЯДОВА Ольга Вікторівна</v>
      </c>
      <c r="J10618" s="7" t="s">
        <v>15</v>
      </c>
    </row>
    <row r="10619" spans="1:10" ht="13.2">
      <c r="A10619" s="7">
        <v>10618</v>
      </c>
      <c r="B10619" s="7">
        <v>1</v>
      </c>
      <c r="C10619" s="7" t="s">
        <v>10</v>
      </c>
      <c r="D10619" s="7">
        <v>16541</v>
      </c>
      <c r="E10619" s="7" t="s">
        <v>12</v>
      </c>
      <c r="F10619" s="8" t="str">
        <f ca="1">IFERROR(__xludf.DUMMYFUNCTION("IF
(
C10620=""фізична особа""
,
VLOOKUP(D10620,IMPORTRANGE(""https://docs.google.com/spreadsheets/d/14Bd19lYaqBhU8_DElYkX7l4wRkHqqCUFNJY4AfY3kHU/edit?usp=sharing  #gid=0"",""фіз особи new!relations_name""),6,FALSE)
,
(IF
(
C10620=""юридична особа""
,
VLOO"&amp;"KUP(D10620,IMPORTRANGE(""https://docs.google.com/spreadsheets/d/14Bd19lYaqBhU8_DElYkX7l4wRkHqqCUFNJY4AfY3kHU/edit?usp=sharing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19" s="7" t="s">
        <v>10</v>
      </c>
      <c r="H10619" s="7">
        <v>8476</v>
      </c>
      <c r="I10619" s="8" t="str">
        <f ca="1">IFERROR(__xludf.DUMMYFUNCTION("IF
(
G10620=""фізична особа""
,
VLOOKUP(H10620,IMPORTRANGE(""https://docs.google.com/spreadsheets/d/14Bd19lYaqBhU8_DElYkX7l4wRkHqqCUFNJY4AfY3kHU/edit?usp=sharing  #gid=0"",""фіз особи new!relations_name""),6,FALSE)
,
(IF
(
G10620=""юридична особа""
,
VLOO"&amp;"KUP(H10620,IMPORTRANGE(""https://docs.google.com/spreadsheets/d/14Bd19lYaqBhU8_DElYkX7l4wRkHqqCUFNJY4AfY3kHU/edit?usp=sharing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0619" s="7" t="s">
        <v>17</v>
      </c>
    </row>
    <row r="10620" spans="1:10" ht="13.2">
      <c r="A10620" s="7">
        <v>10619</v>
      </c>
      <c r="B10620" s="7">
        <v>1</v>
      </c>
      <c r="C10620" s="7" t="s">
        <v>10</v>
      </c>
      <c r="D10620" s="7">
        <v>16541</v>
      </c>
      <c r="E10620" s="7" t="s">
        <v>11</v>
      </c>
      <c r="F10620" s="8" t="str">
        <f ca="1">IFERROR(__xludf.DUMMYFUNCTION("IF
(
C10621=""фізична особа""
,
VLOOKUP(D10621,IMPORTRANGE(""https://docs.google.com/spreadsheets/d/14Bd19lYaqBhU8_DElYkX7l4wRkHqqCUFNJY4AfY3kHU/edit?usp=sharing  #gid=0"",""фіз особи new!relations_name""),6,FALSE)
,
(IF
(
C10621=""юридична особа""
,
VLOO"&amp;"KUP(D10621,IMPORTRANGE(""https://docs.google.com/spreadsheets/d/14Bd19lYaqBhU8_DElYkX7l4wRkHqqCUFNJY4AfY3kHU/edit?usp=sharing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0" s="7" t="s">
        <v>10</v>
      </c>
      <c r="H10620" s="7">
        <v>0</v>
      </c>
      <c r="I10620" s="8" t="str">
        <f ca="1">IFERROR(__xludf.DUMMYFUNCTION("IF
(
G10621=""фізична особа""
,
VLOOKUP(H10621,IMPORTRANGE(""https://docs.google.com/spreadsheets/d/14Bd19lYaqBhU8_DElYkX7l4wRkHqqCUFNJY4AfY3kHU/edit?usp=sharing  #gid=0"",""фіз особи new!relations_name""),6,FALSE)
,
(IF
(
G10621=""юридична особа""
,
VLOO"&amp;"KUP(H10621,IMPORTRANGE(""https://docs.google.com/spreadsheets/d/14Bd19lYaqBhU8_DElYkX7l4wRkHqqCUFNJY4AfY3kHU/edit?usp=sharing  #gid=0"",""фіз особи new!relations_name_uo""),7,FALSE)
,
)
))"),"#N/A")</f>
        <v>#N/A</v>
      </c>
      <c r="J10620" s="7" t="s">
        <v>11</v>
      </c>
    </row>
    <row r="10621" spans="1:10" ht="13.2">
      <c r="A10621" s="7">
        <v>10620</v>
      </c>
      <c r="B10621" s="7">
        <v>1</v>
      </c>
      <c r="C10621" s="7" t="s">
        <v>10</v>
      </c>
      <c r="D10621" s="7">
        <v>16541</v>
      </c>
      <c r="E10621" s="7" t="s">
        <v>11</v>
      </c>
      <c r="F10621" s="8" t="str">
        <f ca="1">IFERROR(__xludf.DUMMYFUNCTION("IF
(
C10622=""фізична особа""
,
VLOOKUP(D10622,IMPORTRANGE(""https://docs.google.com/spreadsheets/d/14Bd19lYaqBhU8_DElYkX7l4wRkHqqCUFNJY4AfY3kHU/edit?usp=sharing  #gid=0"",""фіз особи new!relations_name""),6,FALSE)
,
(IF
(
C10622=""юридична особа""
,
VLOO"&amp;"KUP(D10622,IMPORTRANGE(""https://docs.google.com/spreadsheets/d/14Bd19lYaqBhU8_DElYkX7l4wRkHqqCUFNJY4AfY3kHU/edit?usp=sharing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1" s="7" t="s">
        <v>10</v>
      </c>
      <c r="H10621" s="7">
        <v>0</v>
      </c>
      <c r="I10621" s="8" t="str">
        <f ca="1">IFERROR(__xludf.DUMMYFUNCTION("IF
(
G10622=""фізична особа""
,
VLOOKUP(H10622,IMPORTRANGE(""https://docs.google.com/spreadsheets/d/14Bd19lYaqBhU8_DElYkX7l4wRkHqqCUFNJY4AfY3kHU/edit?usp=sharing  #gid=0"",""фіз особи new!relations_name""),6,FALSE)
,
(IF
(
G10622=""юридична особа""
,
VLOO"&amp;"KUP(H10622,IMPORTRANGE(""https://docs.google.com/spreadsheets/d/14Bd19lYaqBhU8_DElYkX7l4wRkHqqCUFNJY4AfY3kHU/edit?usp=sharing  #gid=0"",""фіз особи new!relations_name_uo""),7,FALSE)
,
)
))"),"#N/A")</f>
        <v>#N/A</v>
      </c>
      <c r="J10621" s="7" t="s">
        <v>11</v>
      </c>
    </row>
    <row r="10622" spans="1:10" ht="13.2">
      <c r="A10622" s="7">
        <v>10621</v>
      </c>
      <c r="B10622" s="7">
        <v>1</v>
      </c>
      <c r="C10622" s="7" t="s">
        <v>10</v>
      </c>
      <c r="D10622" s="7">
        <v>16541</v>
      </c>
      <c r="E10622" s="7" t="s">
        <v>11</v>
      </c>
      <c r="F10622" s="8" t="str">
        <f ca="1">IFERROR(__xludf.DUMMYFUNCTION("IF
(
C10623=""фізична особа""
,
VLOOKUP(D10623,IMPORTRANGE(""https://docs.google.com/spreadsheets/d/14Bd19lYaqBhU8_DElYkX7l4wRkHqqCUFNJY4AfY3kHU/edit?usp=sharing  #gid=0"",""фіз особи new!relations_name""),6,FALSE)
,
(IF
(
C10623=""юридична особа""
,
VLOO"&amp;"KUP(D10623,IMPORTRANGE(""https://docs.google.com/spreadsheets/d/14Bd19lYaqBhU8_DElYkX7l4wRkHqqCUFNJY4AfY3kHU/edit?usp=sharing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2" s="7" t="s">
        <v>10</v>
      </c>
      <c r="H10622" s="7">
        <v>23620</v>
      </c>
      <c r="I10622" s="8" t="str">
        <f ca="1">IFERROR(__xludf.DUMMYFUNCTION("IF
(
G10623=""фізична особа""
,
VLOOKUP(H10623,IMPORTRANGE(""https://docs.google.com/spreadsheets/d/14Bd19lYaqBhU8_DElYkX7l4wRkHqqCUFNJY4AfY3kHU/edit?usp=sharing  #gid=0"",""фіз особи new!relations_name""),6,FALSE)
,
(IF
(
G10623=""юридична особа""
,
VLOO"&amp;"KUP(H10623,IMPORTRANGE(""https://docs.google.com/spreadsheets/d/14Bd19lYaqBhU8_DElYkX7l4wRkHqqCUFNJY4AfY3kHU/edit?usp=sharing  #gid=0"",""фіз особи new!relations_name_uo""),7,FALSE)
,
)
))"),"СОЛОВЙОВ Борис Георгійович")</f>
        <v>СОЛОВЙОВ Борис Георгійович</v>
      </c>
      <c r="J10622" s="7" t="s">
        <v>11</v>
      </c>
    </row>
    <row r="10623" spans="1:10" ht="13.2">
      <c r="A10623" s="7">
        <v>10622</v>
      </c>
      <c r="B10623" s="7">
        <v>1</v>
      </c>
      <c r="C10623" s="7" t="s">
        <v>10</v>
      </c>
      <c r="D10623" s="7">
        <v>16541</v>
      </c>
      <c r="E10623" s="7" t="s">
        <v>11</v>
      </c>
      <c r="F10623" s="8" t="str">
        <f ca="1">IFERROR(__xludf.DUMMYFUNCTION("IF
(
C10624=""фізична особа""
,
VLOOKUP(D10624,IMPORTRANGE(""https://docs.google.com/spreadsheets/d/14Bd19lYaqBhU8_DElYkX7l4wRkHqqCUFNJY4AfY3kHU/edit?usp=sharing  #gid=0"",""фіз особи new!relations_name""),6,FALSE)
,
(IF
(
C10624=""юридична особа""
,
VLOO"&amp;"KUP(D10624,IMPORTRANGE(""https://docs.google.com/spreadsheets/d/14Bd19lYaqBhU8_DElYkX7l4wRkHqqCUFNJY4AfY3kHU/edit?usp=sharing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3" s="7" t="s">
        <v>10</v>
      </c>
      <c r="H10623" s="7">
        <v>0</v>
      </c>
      <c r="I10623" s="8" t="str">
        <f ca="1">IFERROR(__xludf.DUMMYFUNCTION("IF
(
G10624=""фізична особа""
,
VLOOKUP(H10624,IMPORTRANGE(""https://docs.google.com/spreadsheets/d/14Bd19lYaqBhU8_DElYkX7l4wRkHqqCUFNJY4AfY3kHU/edit?usp=sharing  #gid=0"",""фіз особи new!relations_name""),6,FALSE)
,
(IF
(
G10624=""юридична особа""
,
VLOO"&amp;"KUP(H10624,IMPORTRANGE(""https://docs.google.com/spreadsheets/d/14Bd19lYaqBhU8_DElYkX7l4wRkHqqCUFNJY4AfY3kHU/edit?usp=sharing  #gid=0"",""фіз особи new!relations_name_uo""),7,FALSE)
,
)
))"),"#N/A")</f>
        <v>#N/A</v>
      </c>
      <c r="J10623" s="7" t="s">
        <v>11</v>
      </c>
    </row>
    <row r="10624" spans="1:10" ht="13.2">
      <c r="A10624" s="7">
        <v>10623</v>
      </c>
      <c r="B10624" s="7">
        <v>1</v>
      </c>
      <c r="C10624" s="7" t="s">
        <v>10</v>
      </c>
      <c r="D10624" s="7">
        <v>16541</v>
      </c>
      <c r="E10624" s="7" t="s">
        <v>11</v>
      </c>
      <c r="F10624" s="8" t="str">
        <f ca="1">IFERROR(__xludf.DUMMYFUNCTION("IF
(
C10625=""фізична особа""
,
VLOOKUP(D10625,IMPORTRANGE(""https://docs.google.com/spreadsheets/d/14Bd19lYaqBhU8_DElYkX7l4wRkHqqCUFNJY4AfY3kHU/edit?usp=sharing  #gid=0"",""фіз особи new!relations_name""),6,FALSE)
,
(IF
(
C10625=""юридична особа""
,
VLOO"&amp;"KUP(D10625,IMPORTRANGE(""https://docs.google.com/spreadsheets/d/14Bd19lYaqBhU8_DElYkX7l4wRkHqqCUFNJY4AfY3kHU/edit?usp=sharing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4" s="7" t="s">
        <v>10</v>
      </c>
      <c r="H10624" s="7">
        <v>0</v>
      </c>
      <c r="I10624" s="8" t="str">
        <f ca="1">IFERROR(__xludf.DUMMYFUNCTION("IF
(
G10625=""фізична особа""
,
VLOOKUP(H10625,IMPORTRANGE(""https://docs.google.com/spreadsheets/d/14Bd19lYaqBhU8_DElYkX7l4wRkHqqCUFNJY4AfY3kHU/edit?usp=sharing  #gid=0"",""фіз особи new!relations_name""),6,FALSE)
,
(IF
(
G10625=""юридична особа""
,
VLOO"&amp;"KUP(H10625,IMPORTRANGE(""https://docs.google.com/spreadsheets/d/14Bd19lYaqBhU8_DElYkX7l4wRkHqqCUFNJY4AfY3kHU/edit?usp=sharing  #gid=0"",""фіз особи new!relations_name_uo""),7,FALSE)
,
)
))"),"#N/A")</f>
        <v>#N/A</v>
      </c>
      <c r="J10624" s="7" t="s">
        <v>11</v>
      </c>
    </row>
    <row r="10625" spans="1:10" ht="13.2">
      <c r="A10625" s="7">
        <v>10624</v>
      </c>
      <c r="B10625" s="7">
        <v>1</v>
      </c>
      <c r="C10625" s="7" t="s">
        <v>10</v>
      </c>
      <c r="D10625" s="7">
        <v>16541</v>
      </c>
      <c r="E10625" s="7" t="s">
        <v>11</v>
      </c>
      <c r="F10625" s="8" t="str">
        <f ca="1">IFERROR(__xludf.DUMMYFUNCTION("IF
(
C10626=""фізична особа""
,
VLOOKUP(D10626,IMPORTRANGE(""https://docs.google.com/spreadsheets/d/14Bd19lYaqBhU8_DElYkX7l4wRkHqqCUFNJY4AfY3kHU/edit?usp=sharing  #gid=0"",""фіз особи new!relations_name""),6,FALSE)
,
(IF
(
C10626=""юридична особа""
,
VLOO"&amp;"KUP(D10626,IMPORTRANGE(""https://docs.google.com/spreadsheets/d/14Bd19lYaqBhU8_DElYkX7l4wRkHqqCUFNJY4AfY3kHU/edit?usp=sharing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5" s="7" t="s">
        <v>10</v>
      </c>
      <c r="H10625" s="7">
        <v>0</v>
      </c>
      <c r="I10625" s="8" t="str">
        <f ca="1">IFERROR(__xludf.DUMMYFUNCTION("IF
(
G10626=""фізична особа""
,
VLOOKUP(H10626,IMPORTRANGE(""https://docs.google.com/spreadsheets/d/14Bd19lYaqBhU8_DElYkX7l4wRkHqqCUFNJY4AfY3kHU/edit?usp=sharing  #gid=0"",""фіз особи new!relations_name""),6,FALSE)
,
(IF
(
G10626=""юридична особа""
,
VLOO"&amp;"KUP(H10626,IMPORTRANGE(""https://docs.google.com/spreadsheets/d/14Bd19lYaqBhU8_DElYkX7l4wRkHqqCUFNJY4AfY3kHU/edit?usp=sharing  #gid=0"",""фіз особи new!relations_name_uo""),7,FALSE)
,
)
))"),"#N/A")</f>
        <v>#N/A</v>
      </c>
      <c r="J10625" s="7" t="s">
        <v>11</v>
      </c>
    </row>
    <row r="10626" spans="1:10" ht="13.2">
      <c r="A10626" s="7">
        <v>10625</v>
      </c>
      <c r="B10626" s="7">
        <v>1</v>
      </c>
      <c r="C10626" s="7" t="s">
        <v>10</v>
      </c>
      <c r="D10626" s="7">
        <v>16541</v>
      </c>
      <c r="E10626" s="7" t="s">
        <v>11</v>
      </c>
      <c r="F10626" s="8" t="str">
        <f ca="1">IFERROR(__xludf.DUMMYFUNCTION("IF
(
C10627=""фізична особа""
,
VLOOKUP(D10627,IMPORTRANGE(""https://docs.google.com/spreadsheets/d/14Bd19lYaqBhU8_DElYkX7l4wRkHqqCUFNJY4AfY3kHU/edit?usp=sharing  #gid=0"",""фіз особи new!relations_name""),6,FALSE)
,
(IF
(
C10627=""юридична особа""
,
VLOO"&amp;"KUP(D10627,IMPORTRANGE(""https://docs.google.com/spreadsheets/d/14Bd19lYaqBhU8_DElYkX7l4wRkHqqCUFNJY4AfY3kHU/edit?usp=sharing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6" s="7" t="s">
        <v>10</v>
      </c>
      <c r="H10626" s="7">
        <v>0</v>
      </c>
      <c r="I10626" s="8" t="str">
        <f ca="1">IFERROR(__xludf.DUMMYFUNCTION("IF
(
G10627=""фізична особа""
,
VLOOKUP(H10627,IMPORTRANGE(""https://docs.google.com/spreadsheets/d/14Bd19lYaqBhU8_DElYkX7l4wRkHqqCUFNJY4AfY3kHU/edit?usp=sharing  #gid=0"",""фіз особи new!relations_name""),6,FALSE)
,
(IF
(
G10627=""юридична особа""
,
VLOO"&amp;"KUP(H10627,IMPORTRANGE(""https://docs.google.com/spreadsheets/d/14Bd19lYaqBhU8_DElYkX7l4wRkHqqCUFNJY4AfY3kHU/edit?usp=sharing  #gid=0"",""фіз особи new!relations_name_uo""),7,FALSE)
,
)
))"),"#N/A")</f>
        <v>#N/A</v>
      </c>
      <c r="J10626" s="7" t="s">
        <v>11</v>
      </c>
    </row>
    <row r="10627" spans="1:10" ht="13.2">
      <c r="A10627" s="7">
        <v>10626</v>
      </c>
      <c r="B10627" s="7">
        <v>1</v>
      </c>
      <c r="C10627" s="7" t="s">
        <v>10</v>
      </c>
      <c r="D10627" s="7">
        <v>16541</v>
      </c>
      <c r="E10627" s="7" t="s">
        <v>11</v>
      </c>
      <c r="F10627" s="8" t="str">
        <f ca="1">IFERROR(__xludf.DUMMYFUNCTION("IF
(
C10628=""фізична особа""
,
VLOOKUP(D10628,IMPORTRANGE(""https://docs.google.com/spreadsheets/d/14Bd19lYaqBhU8_DElYkX7l4wRkHqqCUFNJY4AfY3kHU/edit?usp=sharing  #gid=0"",""фіз особи new!relations_name""),6,FALSE)
,
(IF
(
C10628=""юридична особа""
,
VLOO"&amp;"KUP(D10628,IMPORTRANGE(""https://docs.google.com/spreadsheets/d/14Bd19lYaqBhU8_DElYkX7l4wRkHqqCUFNJY4AfY3kHU/edit?usp=sharing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7" s="7" t="s">
        <v>10</v>
      </c>
      <c r="H10627" s="7">
        <v>0</v>
      </c>
      <c r="I10627" s="8" t="str">
        <f ca="1">IFERROR(__xludf.DUMMYFUNCTION("IF
(
G10628=""фізична особа""
,
VLOOKUP(H10628,IMPORTRANGE(""https://docs.google.com/spreadsheets/d/14Bd19lYaqBhU8_DElYkX7l4wRkHqqCUFNJY4AfY3kHU/edit?usp=sharing  #gid=0"",""фіз особи new!relations_name""),6,FALSE)
,
(IF
(
G10628=""юридична особа""
,
VLOO"&amp;"KUP(H10628,IMPORTRANGE(""https://docs.google.com/spreadsheets/d/14Bd19lYaqBhU8_DElYkX7l4wRkHqqCUFNJY4AfY3kHU/edit?usp=sharing  #gid=0"",""фіз особи new!relations_name_uo""),7,FALSE)
,
)
))"),"#N/A")</f>
        <v>#N/A</v>
      </c>
      <c r="J10627" s="7" t="s">
        <v>11</v>
      </c>
    </row>
    <row r="10628" spans="1:10" ht="13.2">
      <c r="A10628" s="7">
        <v>10627</v>
      </c>
      <c r="B10628" s="7">
        <v>1</v>
      </c>
      <c r="C10628" s="7" t="s">
        <v>10</v>
      </c>
      <c r="D10628" s="7">
        <v>16541</v>
      </c>
      <c r="E10628" s="7" t="s">
        <v>11</v>
      </c>
      <c r="F10628" s="8" t="str">
        <f ca="1">IFERROR(__xludf.DUMMYFUNCTION("IF
(
C10629=""фізична особа""
,
VLOOKUP(D10629,IMPORTRANGE(""https://docs.google.com/spreadsheets/d/14Bd19lYaqBhU8_DElYkX7l4wRkHqqCUFNJY4AfY3kHU/edit?usp=sharing  #gid=0"",""фіз особи new!relations_name""),6,FALSE)
,
(IF
(
C10629=""юридична особа""
,
VLOO"&amp;"KUP(D10629,IMPORTRANGE(""https://docs.google.com/spreadsheets/d/14Bd19lYaqBhU8_DElYkX7l4wRkHqqCUFNJY4AfY3kHU/edit?usp=sharing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8" s="7" t="s">
        <v>10</v>
      </c>
      <c r="H10628" s="7">
        <v>0</v>
      </c>
      <c r="I10628" s="8" t="str">
        <f ca="1">IFERROR(__xludf.DUMMYFUNCTION("IF
(
G10629=""фізична особа""
,
VLOOKUP(H10629,IMPORTRANGE(""https://docs.google.com/spreadsheets/d/14Bd19lYaqBhU8_DElYkX7l4wRkHqqCUFNJY4AfY3kHU/edit?usp=sharing  #gid=0"",""фіз особи new!relations_name""),6,FALSE)
,
(IF
(
G10629=""юридична особа""
,
VLOO"&amp;"KUP(H10629,IMPORTRANGE(""https://docs.google.com/spreadsheets/d/14Bd19lYaqBhU8_DElYkX7l4wRkHqqCUFNJY4AfY3kHU/edit?usp=sharing  #gid=0"",""фіз особи new!relations_name_uo""),7,FALSE)
,
)
))"),"#N/A")</f>
        <v>#N/A</v>
      </c>
      <c r="J10628" s="7" t="s">
        <v>11</v>
      </c>
    </row>
    <row r="10629" spans="1:10" ht="13.2">
      <c r="A10629" s="7">
        <v>10628</v>
      </c>
      <c r="B10629" s="7">
        <v>1</v>
      </c>
      <c r="C10629" s="7" t="s">
        <v>10</v>
      </c>
      <c r="D10629" s="7">
        <v>16541</v>
      </c>
      <c r="E10629" s="7" t="s">
        <v>11</v>
      </c>
      <c r="F10629" s="8" t="str">
        <f ca="1">IFERROR(__xludf.DUMMYFUNCTION("IF
(
C10630=""фізична особа""
,
VLOOKUP(D10630,IMPORTRANGE(""https://docs.google.com/spreadsheets/d/14Bd19lYaqBhU8_DElYkX7l4wRkHqqCUFNJY4AfY3kHU/edit?usp=sharing  #gid=0"",""фіз особи new!relations_name""),6,FALSE)
,
(IF
(
C10630=""юридична особа""
,
VLOO"&amp;"KUP(D10630,IMPORTRANGE(""https://docs.google.com/spreadsheets/d/14Bd19lYaqBhU8_DElYkX7l4wRkHqqCUFNJY4AfY3kHU/edit?usp=sharing  #gid=0"",""фіз особи new!relations_name_uo""),7,FALSE)
,
)
))"),"ІВАНОВСЬКИЙ Леонід Миколайович")</f>
        <v>ІВАНОВСЬКИЙ Леонід Миколайович</v>
      </c>
      <c r="G10629" s="7" t="s">
        <v>10</v>
      </c>
      <c r="H10629" s="7">
        <v>0</v>
      </c>
      <c r="I10629" s="8" t="str">
        <f ca="1">IFERROR(__xludf.DUMMYFUNCTION("IF
(
G10630=""фізична особа""
,
VLOOKUP(H10630,IMPORTRANGE(""https://docs.google.com/spreadsheets/d/14Bd19lYaqBhU8_DElYkX7l4wRkHqqCUFNJY4AfY3kHU/edit?usp=sharing  #gid=0"",""фіз особи new!relations_name""),6,FALSE)
,
(IF
(
G10630=""юридична особа""
,
VLOO"&amp;"KUP(H10630,IMPORTRANGE(""https://docs.google.com/spreadsheets/d/14Bd19lYaqBhU8_DElYkX7l4wRkHqqCUFNJY4AfY3kHU/edit?usp=sharing  #gid=0"",""фіз особи new!relations_name_uo""),7,FALSE)
,
)
))"),"#N/A")</f>
        <v>#N/A</v>
      </c>
      <c r="J10629" s="7" t="s">
        <v>11</v>
      </c>
    </row>
    <row r="10630" spans="1:10" ht="13.2">
      <c r="A10630" s="7">
        <v>10629</v>
      </c>
      <c r="B10630" s="7">
        <v>1</v>
      </c>
      <c r="C10630" s="7" t="s">
        <v>10</v>
      </c>
      <c r="D10630" s="7">
        <v>16542</v>
      </c>
      <c r="E10630" s="7" t="s">
        <v>11</v>
      </c>
      <c r="F10630" s="8" t="str">
        <f ca="1">IFERROR(__xludf.DUMMYFUNCTION("IF
(
C10631=""фізична особа""
,
VLOOKUP(D10631,IMPORTRANGE(""https://docs.google.com/spreadsheets/d/14Bd19lYaqBhU8_DElYkX7l4wRkHqqCUFNJY4AfY3kHU/edit?usp=sharing  #gid=0"",""фіз особи new!relations_name""),6,FALSE)
,
(IF
(
C10631=""юридична особа""
,
VLOO"&amp;"KUP(D10631,IMPORTRANGE(""https://docs.google.com/spreadsheets/d/14Bd19lYaqBhU8_DElYkX7l4wRkHqqCUFNJY4AfY3kHU/edit?usp=sharing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0" s="7" t="s">
        <v>10</v>
      </c>
      <c r="H10630" s="7">
        <v>2260</v>
      </c>
      <c r="I10630" s="8" t="str">
        <f ca="1">IFERROR(__xludf.DUMMYFUNCTION("IF
(
G10631=""фізична особа""
,
VLOOKUP(H10631,IMPORTRANGE(""https://docs.google.com/spreadsheets/d/14Bd19lYaqBhU8_DElYkX7l4wRkHqqCUFNJY4AfY3kHU/edit?usp=sharing  #gid=0"",""фіз особи new!relations_name""),6,FALSE)
,
(IF
(
G10631=""юридична особа""
,
VLOO"&amp;"KUP(H10631,IMPORTRANGE(""https://docs.google.com/spreadsheets/d/14Bd19lYaqBhU8_DElYkX7l4wRkHqqCUFNJY4AfY3kHU/edit?usp=sharing  #gid=0"",""фіз особи new!relations_name_uo""),7,FALSE)
,
)
))"),"ОВЕЧКІН Олександр Михайлович")</f>
        <v>ОВЕЧКІН Олександр Михайлович</v>
      </c>
      <c r="J10630" s="7" t="s">
        <v>11</v>
      </c>
    </row>
    <row r="10631" spans="1:10" ht="13.2">
      <c r="A10631" s="7">
        <v>10630</v>
      </c>
      <c r="B10631" s="7">
        <v>1</v>
      </c>
      <c r="C10631" s="7" t="s">
        <v>10</v>
      </c>
      <c r="D10631" s="7">
        <v>16542</v>
      </c>
      <c r="E10631" s="7" t="s">
        <v>11</v>
      </c>
      <c r="F10631" s="8" t="str">
        <f ca="1">IFERROR(__xludf.DUMMYFUNCTION("IF
(
C10632=""фізична особа""
,
VLOOKUP(D10632,IMPORTRANGE(""https://docs.google.com/spreadsheets/d/14Bd19lYaqBhU8_DElYkX7l4wRkHqqCUFNJY4AfY3kHU/edit?usp=sharing  #gid=0"",""фіз особи new!relations_name""),6,FALSE)
,
(IF
(
C10632=""юридична особа""
,
VLOO"&amp;"KUP(D10632,IMPORTRANGE(""https://docs.google.com/spreadsheets/d/14Bd19lYaqBhU8_DElYkX7l4wRkHqqCUFNJY4AfY3kHU/edit?usp=sharing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1" s="7" t="s">
        <v>10</v>
      </c>
      <c r="H10631" s="7">
        <v>0</v>
      </c>
      <c r="I10631" s="8" t="str">
        <f ca="1">IFERROR(__xludf.DUMMYFUNCTION("IF
(
G10632=""фізична особа""
,
VLOOKUP(H10632,IMPORTRANGE(""https://docs.google.com/spreadsheets/d/14Bd19lYaqBhU8_DElYkX7l4wRkHqqCUFNJY4AfY3kHU/edit?usp=sharing  #gid=0"",""фіз особи new!relations_name""),6,FALSE)
,
(IF
(
G10632=""юридична особа""
,
VLOO"&amp;"KUP(H10632,IMPORTRANGE(""https://docs.google.com/spreadsheets/d/14Bd19lYaqBhU8_DElYkX7l4wRkHqqCUFNJY4AfY3kHU/edit?usp=sharing  #gid=0"",""фіз особи new!relations_name_uo""),7,FALSE)
,
)
))"),"#N/A")</f>
        <v>#N/A</v>
      </c>
      <c r="J10631" s="7" t="s">
        <v>11</v>
      </c>
    </row>
    <row r="10632" spans="1:10" ht="13.2">
      <c r="A10632" s="7">
        <v>10631</v>
      </c>
      <c r="B10632" s="7">
        <v>1</v>
      </c>
      <c r="C10632" s="7" t="s">
        <v>10</v>
      </c>
      <c r="D10632" s="7">
        <v>16542</v>
      </c>
      <c r="E10632" s="7" t="s">
        <v>11</v>
      </c>
      <c r="F10632" s="8" t="str">
        <f ca="1">IFERROR(__xludf.DUMMYFUNCTION("IF
(
C10633=""фізична особа""
,
VLOOKUP(D10633,IMPORTRANGE(""https://docs.google.com/spreadsheets/d/14Bd19lYaqBhU8_DElYkX7l4wRkHqqCUFNJY4AfY3kHU/edit?usp=sharing  #gid=0"",""фіз особи new!relations_name""),6,FALSE)
,
(IF
(
C10633=""юридична особа""
,
VLOO"&amp;"KUP(D10633,IMPORTRANGE(""https://docs.google.com/spreadsheets/d/14Bd19lYaqBhU8_DElYkX7l4wRkHqqCUFNJY4AfY3kHU/edit?usp=sharing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2" s="7" t="s">
        <v>10</v>
      </c>
      <c r="H10632" s="7">
        <v>8476</v>
      </c>
      <c r="I10632" s="8" t="str">
        <f ca="1">IFERROR(__xludf.DUMMYFUNCTION("IF
(
G10633=""фізична особа""
,
VLOOKUP(H10633,IMPORTRANGE(""https://docs.google.com/spreadsheets/d/14Bd19lYaqBhU8_DElYkX7l4wRkHqqCUFNJY4AfY3kHU/edit?usp=sharing  #gid=0"",""фіз особи new!relations_name""),6,FALSE)
,
(IF
(
G10633=""юридична особа""
,
VLOO"&amp;"KUP(H10633,IMPORTRANGE(""https://docs.google.com/spreadsheets/d/14Bd19lYaqBhU8_DElYkX7l4wRkHqqCUFNJY4AfY3kHU/edit?usp=sharing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0632" s="7" t="s">
        <v>11</v>
      </c>
    </row>
    <row r="10633" spans="1:10" ht="13.2">
      <c r="A10633" s="7">
        <v>10632</v>
      </c>
      <c r="B10633" s="7">
        <v>1</v>
      </c>
      <c r="C10633" s="7" t="s">
        <v>10</v>
      </c>
      <c r="D10633" s="7">
        <v>16542</v>
      </c>
      <c r="E10633" s="7" t="s">
        <v>11</v>
      </c>
      <c r="F10633" s="8" t="str">
        <f ca="1">IFERROR(__xludf.DUMMYFUNCTION("IF
(
C10634=""фізична особа""
,
VLOOKUP(D10634,IMPORTRANGE(""https://docs.google.com/spreadsheets/d/14Bd19lYaqBhU8_DElYkX7l4wRkHqqCUFNJY4AfY3kHU/edit?usp=sharing  #gid=0"",""фіз особи new!relations_name""),6,FALSE)
,
(IF
(
C10634=""юридична особа""
,
VLOO"&amp;"KUP(D10634,IMPORTRANGE(""https://docs.google.com/spreadsheets/d/14Bd19lYaqBhU8_DElYkX7l4wRkHqqCUFNJY4AfY3kHU/edit?usp=sharing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3" s="7" t="s">
        <v>10</v>
      </c>
      <c r="H10633" s="7">
        <v>0</v>
      </c>
      <c r="I10633" s="8" t="str">
        <f ca="1">IFERROR(__xludf.DUMMYFUNCTION("IF
(
G10634=""фізична особа""
,
VLOOKUP(H10634,IMPORTRANGE(""https://docs.google.com/spreadsheets/d/14Bd19lYaqBhU8_DElYkX7l4wRkHqqCUFNJY4AfY3kHU/edit?usp=sharing  #gid=0"",""фіз особи new!relations_name""),6,FALSE)
,
(IF
(
G10634=""юридична особа""
,
VLOO"&amp;"KUP(H10634,IMPORTRANGE(""https://docs.google.com/spreadsheets/d/14Bd19lYaqBhU8_DElYkX7l4wRkHqqCUFNJY4AfY3kHU/edit?usp=sharing  #gid=0"",""фіз особи new!relations_name_uo""),7,FALSE)
,
)
))"),"#N/A")</f>
        <v>#N/A</v>
      </c>
      <c r="J10633" s="7" t="s">
        <v>11</v>
      </c>
    </row>
    <row r="10634" spans="1:10" ht="13.2">
      <c r="A10634" s="7">
        <v>10633</v>
      </c>
      <c r="B10634" s="7">
        <v>1</v>
      </c>
      <c r="C10634" s="7" t="s">
        <v>10</v>
      </c>
      <c r="D10634" s="7">
        <v>16542</v>
      </c>
      <c r="E10634" s="7" t="s">
        <v>11</v>
      </c>
      <c r="F10634" s="8" t="str">
        <f ca="1">IFERROR(__xludf.DUMMYFUNCTION("IF
(
C10635=""фізична особа""
,
VLOOKUP(D10635,IMPORTRANGE(""https://docs.google.com/spreadsheets/d/14Bd19lYaqBhU8_DElYkX7l4wRkHqqCUFNJY4AfY3kHU/edit?usp=sharing  #gid=0"",""фіз особи new!relations_name""),6,FALSE)
,
(IF
(
C10635=""юридична особа""
,
VLOO"&amp;"KUP(D10635,IMPORTRANGE(""https://docs.google.com/spreadsheets/d/14Bd19lYaqBhU8_DElYkX7l4wRkHqqCUFNJY4AfY3kHU/edit?usp=sharing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4" s="7" t="s">
        <v>10</v>
      </c>
      <c r="H10634" s="7">
        <v>0</v>
      </c>
      <c r="I10634" s="8" t="str">
        <f ca="1">IFERROR(__xludf.DUMMYFUNCTION("IF
(
G10635=""фізична особа""
,
VLOOKUP(H10635,IMPORTRANGE(""https://docs.google.com/spreadsheets/d/14Bd19lYaqBhU8_DElYkX7l4wRkHqqCUFNJY4AfY3kHU/edit?usp=sharing  #gid=0"",""фіз особи new!relations_name""),6,FALSE)
,
(IF
(
G10635=""юридична особа""
,
VLOO"&amp;"KUP(H10635,IMPORTRANGE(""https://docs.google.com/spreadsheets/d/14Bd19lYaqBhU8_DElYkX7l4wRkHqqCUFNJY4AfY3kHU/edit?usp=sharing  #gid=0"",""фіз особи new!relations_name_uo""),7,FALSE)
,
)
))"),"#N/A")</f>
        <v>#N/A</v>
      </c>
      <c r="J10634" s="7" t="s">
        <v>11</v>
      </c>
    </row>
    <row r="10635" spans="1:10" ht="13.2">
      <c r="A10635" s="7">
        <v>10634</v>
      </c>
      <c r="B10635" s="7">
        <v>1</v>
      </c>
      <c r="C10635" s="7" t="s">
        <v>10</v>
      </c>
      <c r="D10635" s="7">
        <v>16542</v>
      </c>
      <c r="E10635" s="7" t="s">
        <v>11</v>
      </c>
      <c r="F10635" s="8" t="str">
        <f ca="1">IFERROR(__xludf.DUMMYFUNCTION("IF
(
C10636=""фізична особа""
,
VLOOKUP(D10636,IMPORTRANGE(""https://docs.google.com/spreadsheets/d/14Bd19lYaqBhU8_DElYkX7l4wRkHqqCUFNJY4AfY3kHU/edit?usp=sharing  #gid=0"",""фіз особи new!relations_name""),6,FALSE)
,
(IF
(
C10636=""юридична особа""
,
VLOO"&amp;"KUP(D10636,IMPORTRANGE(""https://docs.google.com/spreadsheets/d/14Bd19lYaqBhU8_DElYkX7l4wRkHqqCUFNJY4AfY3kHU/edit?usp=sharing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5" s="7" t="s">
        <v>10</v>
      </c>
      <c r="H10635" s="7">
        <v>0</v>
      </c>
      <c r="I10635" s="8" t="str">
        <f ca="1">IFERROR(__xludf.DUMMYFUNCTION("IF
(
G10636=""фізична особа""
,
VLOOKUP(H10636,IMPORTRANGE(""https://docs.google.com/spreadsheets/d/14Bd19lYaqBhU8_DElYkX7l4wRkHqqCUFNJY4AfY3kHU/edit?usp=sharing  #gid=0"",""фіз особи new!relations_name""),6,FALSE)
,
(IF
(
G10636=""юридична особа""
,
VLOO"&amp;"KUP(H10636,IMPORTRANGE(""https://docs.google.com/spreadsheets/d/14Bd19lYaqBhU8_DElYkX7l4wRkHqqCUFNJY4AfY3kHU/edit?usp=sharing  #gid=0"",""фіз особи new!relations_name_uo""),7,FALSE)
,
)
))"),"#N/A")</f>
        <v>#N/A</v>
      </c>
      <c r="J10635" s="7" t="s">
        <v>11</v>
      </c>
    </row>
    <row r="10636" spans="1:10" ht="13.2">
      <c r="A10636" s="7">
        <v>10635</v>
      </c>
      <c r="B10636" s="7">
        <v>1</v>
      </c>
      <c r="C10636" s="7" t="s">
        <v>10</v>
      </c>
      <c r="D10636" s="7">
        <v>16542</v>
      </c>
      <c r="E10636" s="7" t="s">
        <v>11</v>
      </c>
      <c r="F10636" s="8" t="str">
        <f ca="1">IFERROR(__xludf.DUMMYFUNCTION("IF
(
C10637=""фізична особа""
,
VLOOKUP(D10637,IMPORTRANGE(""https://docs.google.com/spreadsheets/d/14Bd19lYaqBhU8_DElYkX7l4wRkHqqCUFNJY4AfY3kHU/edit?usp=sharing  #gid=0"",""фіз особи new!relations_name""),6,FALSE)
,
(IF
(
C10637=""юридична особа""
,
VLOO"&amp;"KUP(D10637,IMPORTRANGE(""https://docs.google.com/spreadsheets/d/14Bd19lYaqBhU8_DElYkX7l4wRkHqqCUFNJY4AfY3kHU/edit?usp=sharing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6" s="7" t="s">
        <v>10</v>
      </c>
      <c r="H10636" s="7">
        <v>0</v>
      </c>
      <c r="I10636" s="8" t="str">
        <f ca="1">IFERROR(__xludf.DUMMYFUNCTION("IF
(
G10637=""фізична особа""
,
VLOOKUP(H10637,IMPORTRANGE(""https://docs.google.com/spreadsheets/d/14Bd19lYaqBhU8_DElYkX7l4wRkHqqCUFNJY4AfY3kHU/edit?usp=sharing  #gid=0"",""фіз особи new!relations_name""),6,FALSE)
,
(IF
(
G10637=""юридична особа""
,
VLOO"&amp;"KUP(H10637,IMPORTRANGE(""https://docs.google.com/spreadsheets/d/14Bd19lYaqBhU8_DElYkX7l4wRkHqqCUFNJY4AfY3kHU/edit?usp=sharing  #gid=0"",""фіз особи new!relations_name_uo""),7,FALSE)
,
)
))"),"#N/A")</f>
        <v>#N/A</v>
      </c>
      <c r="J10636" s="7" t="s">
        <v>11</v>
      </c>
    </row>
    <row r="10637" spans="1:10" ht="13.2">
      <c r="A10637" s="7">
        <v>10636</v>
      </c>
      <c r="B10637" s="7">
        <v>1</v>
      </c>
      <c r="C10637" s="7" t="s">
        <v>10</v>
      </c>
      <c r="D10637" s="7">
        <v>16542</v>
      </c>
      <c r="E10637" s="7" t="s">
        <v>11</v>
      </c>
      <c r="F10637" s="8" t="str">
        <f ca="1">IFERROR(__xludf.DUMMYFUNCTION("IF
(
C10638=""фізична особа""
,
VLOOKUP(D10638,IMPORTRANGE(""https://docs.google.com/spreadsheets/d/14Bd19lYaqBhU8_DElYkX7l4wRkHqqCUFNJY4AfY3kHU/edit?usp=sharing  #gid=0"",""фіз особи new!relations_name""),6,FALSE)
,
(IF
(
C10638=""юридична особа""
,
VLOO"&amp;"KUP(D10638,IMPORTRANGE(""https://docs.google.com/spreadsheets/d/14Bd19lYaqBhU8_DElYkX7l4wRkHqqCUFNJY4AfY3kHU/edit?usp=sharing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7" s="7" t="s">
        <v>10</v>
      </c>
      <c r="H10637" s="7">
        <v>0</v>
      </c>
      <c r="I10637" s="8" t="str">
        <f ca="1">IFERROR(__xludf.DUMMYFUNCTION("IF
(
G10638=""фізична особа""
,
VLOOKUP(H10638,IMPORTRANGE(""https://docs.google.com/spreadsheets/d/14Bd19lYaqBhU8_DElYkX7l4wRkHqqCUFNJY4AfY3kHU/edit?usp=sharing  #gid=0"",""фіз особи new!relations_name""),6,FALSE)
,
(IF
(
G10638=""юридична особа""
,
VLOO"&amp;"KUP(H10638,IMPORTRANGE(""https://docs.google.com/spreadsheets/d/14Bd19lYaqBhU8_DElYkX7l4wRkHqqCUFNJY4AfY3kHU/edit?usp=sharing  #gid=0"",""фіз особи new!relations_name_uo""),7,FALSE)
,
)
))"),"#N/A")</f>
        <v>#N/A</v>
      </c>
      <c r="J10637" s="7" t="s">
        <v>11</v>
      </c>
    </row>
    <row r="10638" spans="1:10" ht="13.2">
      <c r="A10638" s="7">
        <v>10637</v>
      </c>
      <c r="B10638" s="7">
        <v>1</v>
      </c>
      <c r="C10638" s="7" t="s">
        <v>10</v>
      </c>
      <c r="D10638" s="7">
        <v>16542</v>
      </c>
      <c r="E10638" s="7" t="s">
        <v>11</v>
      </c>
      <c r="F10638" s="8" t="str">
        <f ca="1">IFERROR(__xludf.DUMMYFUNCTION("IF
(
C10639=""фізична особа""
,
VLOOKUP(D10639,IMPORTRANGE(""https://docs.google.com/spreadsheets/d/14Bd19lYaqBhU8_DElYkX7l4wRkHqqCUFNJY4AfY3kHU/edit?usp=sharing  #gid=0"",""фіз особи new!relations_name""),6,FALSE)
,
(IF
(
C10639=""юридична особа""
,
VLOO"&amp;"KUP(D10639,IMPORTRANGE(""https://docs.google.com/spreadsheets/d/14Bd19lYaqBhU8_DElYkX7l4wRkHqqCUFNJY4AfY3kHU/edit?usp=sharing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8" s="7" t="s">
        <v>10</v>
      </c>
      <c r="H10638" s="7">
        <v>0</v>
      </c>
      <c r="I10638" s="8" t="str">
        <f ca="1">IFERROR(__xludf.DUMMYFUNCTION("IF
(
G10639=""фізична особа""
,
VLOOKUP(H10639,IMPORTRANGE(""https://docs.google.com/spreadsheets/d/14Bd19lYaqBhU8_DElYkX7l4wRkHqqCUFNJY4AfY3kHU/edit?usp=sharing  #gid=0"",""фіз особи new!relations_name""),6,FALSE)
,
(IF
(
G10639=""юридична особа""
,
VLOO"&amp;"KUP(H10639,IMPORTRANGE(""https://docs.google.com/spreadsheets/d/14Bd19lYaqBhU8_DElYkX7l4wRkHqqCUFNJY4AfY3kHU/edit?usp=sharing  #gid=0"",""фіз особи new!relations_name_uo""),7,FALSE)
,
)
))"),"#N/A")</f>
        <v>#N/A</v>
      </c>
      <c r="J10638" s="7" t="s">
        <v>11</v>
      </c>
    </row>
    <row r="10639" spans="1:10" ht="13.2">
      <c r="A10639" s="7">
        <v>10638</v>
      </c>
      <c r="B10639" s="7">
        <v>1</v>
      </c>
      <c r="C10639" s="7" t="s">
        <v>10</v>
      </c>
      <c r="D10639" s="7">
        <v>16542</v>
      </c>
      <c r="E10639" s="7" t="s">
        <v>11</v>
      </c>
      <c r="F10639" s="8" t="str">
        <f ca="1">IFERROR(__xludf.DUMMYFUNCTION("IF
(
C10640=""фізична особа""
,
VLOOKUP(D10640,IMPORTRANGE(""https://docs.google.com/spreadsheets/d/14Bd19lYaqBhU8_DElYkX7l4wRkHqqCUFNJY4AfY3kHU/edit?usp=sharing  #gid=0"",""фіз особи new!relations_name""),6,FALSE)
,
(IF
(
C10640=""юридична особа""
,
VLOO"&amp;"KUP(D10640,IMPORTRANGE(""https://docs.google.com/spreadsheets/d/14Bd19lYaqBhU8_DElYkX7l4wRkHqqCUFNJY4AfY3kHU/edit?usp=sharing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39" s="7" t="s">
        <v>10</v>
      </c>
      <c r="H10639" s="7">
        <v>0</v>
      </c>
      <c r="I10639" s="8" t="str">
        <f ca="1">IFERROR(__xludf.DUMMYFUNCTION("IF
(
G10640=""фізична особа""
,
VLOOKUP(H10640,IMPORTRANGE(""https://docs.google.com/spreadsheets/d/14Bd19lYaqBhU8_DElYkX7l4wRkHqqCUFNJY4AfY3kHU/edit?usp=sharing  #gid=0"",""фіз особи new!relations_name""),6,FALSE)
,
(IF
(
G10640=""юридична особа""
,
VLOO"&amp;"KUP(H10640,IMPORTRANGE(""https://docs.google.com/spreadsheets/d/14Bd19lYaqBhU8_DElYkX7l4wRkHqqCUFNJY4AfY3kHU/edit?usp=sharing  #gid=0"",""фіз особи new!relations_name_uo""),7,FALSE)
,
)
))"),"#N/A")</f>
        <v>#N/A</v>
      </c>
      <c r="J10639" s="7" t="s">
        <v>11</v>
      </c>
    </row>
    <row r="10640" spans="1:10" ht="13.2">
      <c r="A10640" s="7">
        <v>10639</v>
      </c>
      <c r="B10640" s="7">
        <v>1</v>
      </c>
      <c r="C10640" s="7" t="s">
        <v>10</v>
      </c>
      <c r="D10640" s="7">
        <v>16542</v>
      </c>
      <c r="E10640" s="7" t="s">
        <v>11</v>
      </c>
      <c r="F10640" s="8" t="str">
        <f ca="1">IFERROR(__xludf.DUMMYFUNCTION("IF
(
C10641=""фізична особа""
,
VLOOKUP(D10641,IMPORTRANGE(""https://docs.google.com/spreadsheets/d/14Bd19lYaqBhU8_DElYkX7l4wRkHqqCUFNJY4AfY3kHU/edit?usp=sharing  #gid=0"",""фіз особи new!relations_name""),6,FALSE)
,
(IF
(
C10641=""юридична особа""
,
VLOO"&amp;"KUP(D10641,IMPORTRANGE(""https://docs.google.com/spreadsheets/d/14Bd19lYaqBhU8_DElYkX7l4wRkHqqCUFNJY4AfY3kHU/edit?usp=sharing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40" s="7" t="s">
        <v>10</v>
      </c>
      <c r="H10640" s="7">
        <v>0</v>
      </c>
      <c r="I10640" s="8" t="str">
        <f ca="1">IFERROR(__xludf.DUMMYFUNCTION("IF
(
G10641=""фізична особа""
,
VLOOKUP(H10641,IMPORTRANGE(""https://docs.google.com/spreadsheets/d/14Bd19lYaqBhU8_DElYkX7l4wRkHqqCUFNJY4AfY3kHU/edit?usp=sharing  #gid=0"",""фіз особи new!relations_name""),6,FALSE)
,
(IF
(
G10641=""юридична особа""
,
VLOO"&amp;"KUP(H10641,IMPORTRANGE(""https://docs.google.com/spreadsheets/d/14Bd19lYaqBhU8_DElYkX7l4wRkHqqCUFNJY4AfY3kHU/edit?usp=sharing  #gid=0"",""фіз особи new!relations_name_uo""),7,FALSE)
,
)
))"),"#N/A")</f>
        <v>#N/A</v>
      </c>
      <c r="J10640" s="7" t="s">
        <v>11</v>
      </c>
    </row>
    <row r="10641" spans="1:10" ht="13.2">
      <c r="A10641" s="7">
        <v>10640</v>
      </c>
      <c r="B10641" s="7">
        <v>1</v>
      </c>
      <c r="C10641" s="7" t="s">
        <v>10</v>
      </c>
      <c r="D10641" s="7">
        <v>16542</v>
      </c>
      <c r="E10641" s="7" t="s">
        <v>11</v>
      </c>
      <c r="F10641" s="8" t="str">
        <f ca="1">IFERROR(__xludf.DUMMYFUNCTION("IF
(
C10642=""фізична особа""
,
VLOOKUP(D10642,IMPORTRANGE(""https://docs.google.com/spreadsheets/d/14Bd19lYaqBhU8_DElYkX7l4wRkHqqCUFNJY4AfY3kHU/edit?usp=sharing  #gid=0"",""фіз особи new!relations_name""),6,FALSE)
,
(IF
(
C10642=""юридична особа""
,
VLOO"&amp;"KUP(D10642,IMPORTRANGE(""https://docs.google.com/spreadsheets/d/14Bd19lYaqBhU8_DElYkX7l4wRkHqqCUFNJY4AfY3kHU/edit?usp=sharing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G10641" s="7" t="s">
        <v>10</v>
      </c>
      <c r="H10641" s="7">
        <v>0</v>
      </c>
      <c r="I10641" s="8" t="str">
        <f ca="1">IFERROR(__xludf.DUMMYFUNCTION("IF
(
G10642=""фізична особа""
,
VLOOKUP(H10642,IMPORTRANGE(""https://docs.google.com/spreadsheets/d/14Bd19lYaqBhU8_DElYkX7l4wRkHqqCUFNJY4AfY3kHU/edit?usp=sharing  #gid=0"",""фіз особи new!relations_name""),6,FALSE)
,
(IF
(
G10642=""юридична особа""
,
VLOO"&amp;"KUP(H10642,IMPORTRANGE(""https://docs.google.com/spreadsheets/d/14Bd19lYaqBhU8_DElYkX7l4wRkHqqCUFNJY4AfY3kHU/edit?usp=sharing  #gid=0"",""фіз особи new!relations_name_uo""),7,FALSE)
,
)
))"),"#N/A")</f>
        <v>#N/A</v>
      </c>
      <c r="J10641" s="7" t="s">
        <v>11</v>
      </c>
    </row>
    <row r="10642" spans="1:10" ht="13.2">
      <c r="A10642" s="7">
        <v>10641</v>
      </c>
      <c r="B10642" s="7">
        <v>1</v>
      </c>
      <c r="C10642" s="7" t="s">
        <v>10</v>
      </c>
      <c r="D10642" s="7">
        <v>16544</v>
      </c>
      <c r="E10642" s="7" t="s">
        <v>11</v>
      </c>
      <c r="F10642" s="8" t="str">
        <f ca="1">IFERROR(__xludf.DUMMYFUNCTION("IF
(
C10643=""фізична особа""
,
VLOOKUP(D10643,IMPORTRANGE(""https://docs.google.com/spreadsheets/d/14Bd19lYaqBhU8_DElYkX7l4wRkHqqCUFNJY4AfY3kHU/edit?usp=sharing  #gid=0"",""фіз особи new!relations_name""),6,FALSE)
,
(IF
(
C10643=""юридична особа""
,
VLOO"&amp;"KUP(D10643,IMPORTRANGE(""https://docs.google.com/spreadsheets/d/14Bd19lYaqBhU8_DElYkX7l4wRkHqqCUFNJY4AfY3kHU/edit?usp=sharing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2" s="7" t="s">
        <v>10</v>
      </c>
      <c r="H10642" s="7">
        <v>595</v>
      </c>
      <c r="I10642" s="8" t="str">
        <f ca="1">IFERROR(__xludf.DUMMYFUNCTION("IF
(
G10643=""фізична особа""
,
VLOOKUP(H10643,IMPORTRANGE(""https://docs.google.com/spreadsheets/d/14Bd19lYaqBhU8_DElYkX7l4wRkHqqCUFNJY4AfY3kHU/edit?usp=sharing  #gid=0"",""фіз особи new!relations_name""),6,FALSE)
,
(IF
(
G10643=""юридична особа""
,
VLOO"&amp;"KUP(H10643,IMPORTRANGE(""https://docs.google.com/spreadsheets/d/14Bd19lYaqBhU8_DElYkX7l4wRkHqqCUFNJY4AfY3kHU/edit?usp=sharing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642" s="7" t="s">
        <v>11</v>
      </c>
    </row>
    <row r="10643" spans="1:10" ht="13.2">
      <c r="A10643" s="7">
        <v>10642</v>
      </c>
      <c r="B10643" s="7">
        <v>1</v>
      </c>
      <c r="C10643" s="7" t="s">
        <v>10</v>
      </c>
      <c r="D10643" s="7">
        <v>16544</v>
      </c>
      <c r="E10643" s="7" t="s">
        <v>11</v>
      </c>
      <c r="F10643" s="8" t="str">
        <f ca="1">IFERROR(__xludf.DUMMYFUNCTION("IF
(
C10644=""фізична особа""
,
VLOOKUP(D10644,IMPORTRANGE(""https://docs.google.com/spreadsheets/d/14Bd19lYaqBhU8_DElYkX7l4wRkHqqCUFNJY4AfY3kHU/edit?usp=sharing  #gid=0"",""фіз особи new!relations_name""),6,FALSE)
,
(IF
(
C10644=""юридична особа""
,
VLOO"&amp;"KUP(D10644,IMPORTRANGE(""https://docs.google.com/spreadsheets/d/14Bd19lYaqBhU8_DElYkX7l4wRkHqqCUFNJY4AfY3kHU/edit?usp=sharing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3" s="7" t="s">
        <v>10</v>
      </c>
      <c r="H10643" s="7">
        <v>2000</v>
      </c>
      <c r="I10643" s="8" t="str">
        <f ca="1">IFERROR(__xludf.DUMMYFUNCTION("IF
(
G10644=""фізична особа""
,
VLOOKUP(H10644,IMPORTRANGE(""https://docs.google.com/spreadsheets/d/14Bd19lYaqBhU8_DElYkX7l4wRkHqqCUFNJY4AfY3kHU/edit?usp=sharing  #gid=0"",""фіз особи new!relations_name""),6,FALSE)
,
(IF
(
G10644=""юридична особа""
,
VLOO"&amp;"KUP(H10644,IMPORTRANGE(""https://docs.google.com/spreadsheets/d/14Bd19lYaqBhU8_DElYkX7l4wRkHqqCUFNJY4AfY3kHU/edit?usp=sharing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10643" s="7" t="s">
        <v>11</v>
      </c>
    </row>
    <row r="10644" spans="1:10" ht="13.2">
      <c r="A10644" s="7">
        <v>10643</v>
      </c>
      <c r="B10644" s="7">
        <v>1</v>
      </c>
      <c r="C10644" s="7" t="s">
        <v>10</v>
      </c>
      <c r="D10644" s="7">
        <v>16544</v>
      </c>
      <c r="E10644" s="7" t="s">
        <v>11</v>
      </c>
      <c r="F10644" s="8" t="str">
        <f ca="1">IFERROR(__xludf.DUMMYFUNCTION("IF
(
C10645=""фізична особа""
,
VLOOKUP(D10645,IMPORTRANGE(""https://docs.google.com/spreadsheets/d/14Bd19lYaqBhU8_DElYkX7l4wRkHqqCUFNJY4AfY3kHU/edit?usp=sharing  #gid=0"",""фіз особи new!relations_name""),6,FALSE)
,
(IF
(
C10645=""юридична особа""
,
VLOO"&amp;"KUP(D10645,IMPORTRANGE(""https://docs.google.com/spreadsheets/d/14Bd19lYaqBhU8_DElYkX7l4wRkHqqCUFNJY4AfY3kHU/edit?usp=sharing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4" s="7" t="s">
        <v>10</v>
      </c>
      <c r="H10644" s="7">
        <v>6327</v>
      </c>
      <c r="I10644" s="8" t="str">
        <f ca="1">IFERROR(__xludf.DUMMYFUNCTION("IF
(
G10645=""фізична особа""
,
VLOOKUP(H10645,IMPORTRANGE(""https://docs.google.com/spreadsheets/d/14Bd19lYaqBhU8_DElYkX7l4wRkHqqCUFNJY4AfY3kHU/edit?usp=sharing  #gid=0"",""фіз особи new!relations_name""),6,FALSE)
,
(IF
(
G10645=""юридична особа""
,
VLOO"&amp;"KUP(H10645,IMPORTRANGE(""https://docs.google.com/spreadsheets/d/14Bd19lYaqBhU8_DElYkX7l4wRkHqqCUFNJY4AfY3kHU/edit?usp=sharing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J10644" s="7" t="s">
        <v>11</v>
      </c>
    </row>
    <row r="10645" spans="1:10" ht="13.2">
      <c r="A10645" s="7">
        <v>10644</v>
      </c>
      <c r="B10645" s="7">
        <v>1</v>
      </c>
      <c r="C10645" s="7" t="s">
        <v>10</v>
      </c>
      <c r="D10645" s="7">
        <v>16544</v>
      </c>
      <c r="E10645" s="7" t="s">
        <v>11</v>
      </c>
      <c r="F10645" s="8" t="str">
        <f ca="1">IFERROR(__xludf.DUMMYFUNCTION("IF
(
C10646=""фізична особа""
,
VLOOKUP(D10646,IMPORTRANGE(""https://docs.google.com/spreadsheets/d/14Bd19lYaqBhU8_DElYkX7l4wRkHqqCUFNJY4AfY3kHU/edit?usp=sharing  #gid=0"",""фіз особи new!relations_name""),6,FALSE)
,
(IF
(
C10646=""юридична особа""
,
VLOO"&amp;"KUP(D10646,IMPORTRANGE(""https://docs.google.com/spreadsheets/d/14Bd19lYaqBhU8_DElYkX7l4wRkHqqCUFNJY4AfY3kHU/edit?usp=sharing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5" s="7" t="s">
        <v>10</v>
      </c>
      <c r="H10645" s="7">
        <v>451</v>
      </c>
      <c r="I10645" s="8" t="str">
        <f ca="1">IFERROR(__xludf.DUMMYFUNCTION("IF
(
G10646=""фізична особа""
,
VLOOKUP(H10646,IMPORTRANGE(""https://docs.google.com/spreadsheets/d/14Bd19lYaqBhU8_DElYkX7l4wRkHqqCUFNJY4AfY3kHU/edit?usp=sharing  #gid=0"",""фіз особи new!relations_name""),6,FALSE)
,
(IF
(
G10646=""юридична особа""
,
VLOO"&amp;"KUP(H10646,IMPORTRANGE(""https://docs.google.com/spreadsheets/d/14Bd19lYaqBhU8_DElYkX7l4wRkHqqCUFNJY4AfY3kHU/edit?usp=sharing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645" s="7" t="s">
        <v>11</v>
      </c>
    </row>
    <row r="10646" spans="1:10" ht="13.2">
      <c r="A10646" s="7">
        <v>10645</v>
      </c>
      <c r="B10646" s="7">
        <v>1</v>
      </c>
      <c r="C10646" s="7" t="s">
        <v>10</v>
      </c>
      <c r="D10646" s="7">
        <v>16544</v>
      </c>
      <c r="E10646" s="7" t="s">
        <v>11</v>
      </c>
      <c r="F10646" s="8" t="str">
        <f ca="1">IFERROR(__xludf.DUMMYFUNCTION("IF
(
C10647=""фізична особа""
,
VLOOKUP(D10647,IMPORTRANGE(""https://docs.google.com/spreadsheets/d/14Bd19lYaqBhU8_DElYkX7l4wRkHqqCUFNJY4AfY3kHU/edit?usp=sharing  #gid=0"",""фіз особи new!relations_name""),6,FALSE)
,
(IF
(
C10647=""юридична особа""
,
VLOO"&amp;"KUP(D10647,IMPORTRANGE(""https://docs.google.com/spreadsheets/d/14Bd19lYaqBhU8_DElYkX7l4wRkHqqCUFNJY4AfY3kHU/edit?usp=sharing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6" s="7" t="s">
        <v>10</v>
      </c>
      <c r="H10646" s="7">
        <v>6483</v>
      </c>
      <c r="I10646" s="8" t="str">
        <f ca="1">IFERROR(__xludf.DUMMYFUNCTION("IF
(
G10647=""фізична особа""
,
VLOOKUP(H10647,IMPORTRANGE(""https://docs.google.com/spreadsheets/d/14Bd19lYaqBhU8_DElYkX7l4wRkHqqCUFNJY4AfY3kHU/edit?usp=sharing  #gid=0"",""фіз особи new!relations_name""),6,FALSE)
,
(IF
(
G10647=""юридична особа""
,
VLOO"&amp;"KUP(H10647,IMPORTRANGE(""https://docs.google.com/spreadsheets/d/14Bd19lYaqBhU8_DElYkX7l4wRkHqqCUFNJY4AfY3kHU/edit?usp=sharing  #gid=0"",""фіз особи new!relations_name_uo""),7,FALSE)
,
)
))"),"МАРЕЙ Олексій Олександрович")</f>
        <v>МАРЕЙ Олексій Олександрович</v>
      </c>
      <c r="J10646" s="7" t="s">
        <v>11</v>
      </c>
    </row>
    <row r="10647" spans="1:10" ht="13.2">
      <c r="A10647" s="7">
        <v>10646</v>
      </c>
      <c r="B10647" s="7">
        <v>1</v>
      </c>
      <c r="C10647" s="7" t="s">
        <v>10</v>
      </c>
      <c r="D10647" s="7">
        <v>16544</v>
      </c>
      <c r="E10647" s="7" t="s">
        <v>11</v>
      </c>
      <c r="F10647" s="8" t="str">
        <f ca="1">IFERROR(__xludf.DUMMYFUNCTION("IF
(
C10648=""фізична особа""
,
VLOOKUP(D10648,IMPORTRANGE(""https://docs.google.com/spreadsheets/d/14Bd19lYaqBhU8_DElYkX7l4wRkHqqCUFNJY4AfY3kHU/edit?usp=sharing  #gid=0"",""фіз особи new!relations_name""),6,FALSE)
,
(IF
(
C10648=""юридична особа""
,
VLOO"&amp;"KUP(D10648,IMPORTRANGE(""https://docs.google.com/spreadsheets/d/14Bd19lYaqBhU8_DElYkX7l4wRkHqqCUFNJY4AfY3kHU/edit?usp=sharing  #gid=0"",""фіз особи new!relations_name_uo""),7,FALSE)
,
)
))"),"ТОРБАХОВ Олександр Юрійович")</f>
        <v>ТОРБАХОВ Олександр Юрійович</v>
      </c>
      <c r="G10647" s="7" t="s">
        <v>10</v>
      </c>
      <c r="H10647" s="7">
        <v>6200</v>
      </c>
      <c r="I10647" s="8" t="str">
        <f ca="1">IFERROR(__xludf.DUMMYFUNCTION("IF
(
G10648=""фізична особа""
,
VLOOKUP(H10648,IMPORTRANGE(""https://docs.google.com/spreadsheets/d/14Bd19lYaqBhU8_DElYkX7l4wRkHqqCUFNJY4AfY3kHU/edit?usp=sharing  #gid=0"",""фіз особи new!relations_name""),6,FALSE)
,
(IF
(
G10648=""юридична особа""
,
VLOO"&amp;"KUP(H10648,IMPORTRANGE(""https://docs.google.com/spreadsheets/d/14Bd19lYaqBhU8_DElYkX7l4wRkHqqCUFNJY4AfY3kHU/edit?usp=sharing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J10647" s="7" t="s">
        <v>11</v>
      </c>
    </row>
    <row r="10648" spans="1:10" ht="13.2">
      <c r="A10648" s="7">
        <v>10647</v>
      </c>
      <c r="B10648" s="7">
        <v>1</v>
      </c>
      <c r="C10648" s="7" t="s">
        <v>10</v>
      </c>
      <c r="D10648" s="7">
        <v>16545</v>
      </c>
      <c r="E10648" s="7" t="s">
        <v>11</v>
      </c>
      <c r="F10648" s="8" t="str">
        <f ca="1">IFERROR(__xludf.DUMMYFUNCTION("IF
(
C10649=""фізична особа""
,
VLOOKUP(D10649,IMPORTRANGE(""https://docs.google.com/spreadsheets/d/14Bd19lYaqBhU8_DElYkX7l4wRkHqqCUFNJY4AfY3kHU/edit?usp=sharing  #gid=0"",""фіз особи new!relations_name""),6,FALSE)
,
(IF
(
C10649=""юридична особа""
,
VLOO"&amp;"KUP(D10649,IMPORTRANGE(""https://docs.google.com/spreadsheets/d/14Bd19lYaqBhU8_DElYkX7l4wRkHqqCUFNJY4AfY3kHU/edit?usp=sharing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48" s="7" t="s">
        <v>10</v>
      </c>
      <c r="H10648" s="7">
        <v>595</v>
      </c>
      <c r="I10648" s="8" t="str">
        <f ca="1">IFERROR(__xludf.DUMMYFUNCTION("IF
(
G10649=""фізична особа""
,
VLOOKUP(H10649,IMPORTRANGE(""https://docs.google.com/spreadsheets/d/14Bd19lYaqBhU8_DElYkX7l4wRkHqqCUFNJY4AfY3kHU/edit?usp=sharing  #gid=0"",""фіз особи new!relations_name""),6,FALSE)
,
(IF
(
G10649=""юридична особа""
,
VLOO"&amp;"KUP(H10649,IMPORTRANGE(""https://docs.google.com/spreadsheets/d/14Bd19lYaqBhU8_DElYkX7l4wRkHqqCUFNJY4AfY3kHU/edit?usp=sharing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648" s="7" t="s">
        <v>11</v>
      </c>
    </row>
    <row r="10649" spans="1:10" ht="13.2">
      <c r="A10649" s="7">
        <v>10648</v>
      </c>
      <c r="B10649" s="7">
        <v>1</v>
      </c>
      <c r="C10649" s="7" t="s">
        <v>10</v>
      </c>
      <c r="D10649" s="7">
        <v>16545</v>
      </c>
      <c r="E10649" s="7" t="s">
        <v>11</v>
      </c>
      <c r="F10649" s="8" t="str">
        <f ca="1">IFERROR(__xludf.DUMMYFUNCTION("IF
(
C10650=""фізична особа""
,
VLOOKUP(D10650,IMPORTRANGE(""https://docs.google.com/spreadsheets/d/14Bd19lYaqBhU8_DElYkX7l4wRkHqqCUFNJY4AfY3kHU/edit?usp=sharing  #gid=0"",""фіз особи new!relations_name""),6,FALSE)
,
(IF
(
C10650=""юридична особа""
,
VLOO"&amp;"KUP(D10650,IMPORTRANGE(""https://docs.google.com/spreadsheets/d/14Bd19lYaqBhU8_DElYkX7l4wRkHqqCUFNJY4AfY3kHU/edit?usp=sharing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49" s="7" t="s">
        <v>10</v>
      </c>
      <c r="H10649" s="7">
        <v>2000</v>
      </c>
      <c r="I10649" s="8" t="str">
        <f ca="1">IFERROR(__xludf.DUMMYFUNCTION("IF
(
G10650=""фізична особа""
,
VLOOKUP(H10650,IMPORTRANGE(""https://docs.google.com/spreadsheets/d/14Bd19lYaqBhU8_DElYkX7l4wRkHqqCUFNJY4AfY3kHU/edit?usp=sharing  #gid=0"",""фіз особи new!relations_name""),6,FALSE)
,
(IF
(
G10650=""юридична особа""
,
VLOO"&amp;"KUP(H10650,IMPORTRANGE(""https://docs.google.com/spreadsheets/d/14Bd19lYaqBhU8_DElYkX7l4wRkHqqCUFNJY4AfY3kHU/edit?usp=sharing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10649" s="7" t="s">
        <v>11</v>
      </c>
    </row>
    <row r="10650" spans="1:10" ht="13.2">
      <c r="A10650" s="7">
        <v>10649</v>
      </c>
      <c r="B10650" s="7">
        <v>1</v>
      </c>
      <c r="C10650" s="7" t="s">
        <v>10</v>
      </c>
      <c r="D10650" s="7">
        <v>16545</v>
      </c>
      <c r="E10650" s="7" t="s">
        <v>11</v>
      </c>
      <c r="F10650" s="8" t="str">
        <f ca="1">IFERROR(__xludf.DUMMYFUNCTION("IF
(
C10651=""фізична особа""
,
VLOOKUP(D10651,IMPORTRANGE(""https://docs.google.com/spreadsheets/d/14Bd19lYaqBhU8_DElYkX7l4wRkHqqCUFNJY4AfY3kHU/edit?usp=sharing  #gid=0"",""фіз особи new!relations_name""),6,FALSE)
,
(IF
(
C10651=""юридична особа""
,
VLOO"&amp;"KUP(D10651,IMPORTRANGE(""https://docs.google.com/spreadsheets/d/14Bd19lYaqBhU8_DElYkX7l4wRkHqqCUFNJY4AfY3kHU/edit?usp=sharing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50" s="7" t="s">
        <v>10</v>
      </c>
      <c r="H10650" s="7">
        <v>6327</v>
      </c>
      <c r="I10650" s="8" t="str">
        <f ca="1">IFERROR(__xludf.DUMMYFUNCTION("IF
(
G10651=""фізична особа""
,
VLOOKUP(H10651,IMPORTRANGE(""https://docs.google.com/spreadsheets/d/14Bd19lYaqBhU8_DElYkX7l4wRkHqqCUFNJY4AfY3kHU/edit?usp=sharing  #gid=0"",""фіз особи new!relations_name""),6,FALSE)
,
(IF
(
G10651=""юридична особа""
,
VLOO"&amp;"KUP(H10651,IMPORTRANGE(""https://docs.google.com/spreadsheets/d/14Bd19lYaqBhU8_DElYkX7l4wRkHqqCUFNJY4AfY3kHU/edit?usp=sharing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J10650" s="7" t="s">
        <v>11</v>
      </c>
    </row>
    <row r="10651" spans="1:10" ht="13.2">
      <c r="A10651" s="7">
        <v>10650</v>
      </c>
      <c r="B10651" s="7">
        <v>1</v>
      </c>
      <c r="C10651" s="7" t="s">
        <v>10</v>
      </c>
      <c r="D10651" s="7">
        <v>16545</v>
      </c>
      <c r="E10651" s="7" t="s">
        <v>11</v>
      </c>
      <c r="F10651" s="8" t="str">
        <f ca="1">IFERROR(__xludf.DUMMYFUNCTION("IF
(
C10652=""фізична особа""
,
VLOOKUP(D10652,IMPORTRANGE(""https://docs.google.com/spreadsheets/d/14Bd19lYaqBhU8_DElYkX7l4wRkHqqCUFNJY4AfY3kHU/edit?usp=sharing  #gid=0"",""фіз особи new!relations_name""),6,FALSE)
,
(IF
(
C10652=""юридична особа""
,
VLOO"&amp;"KUP(D10652,IMPORTRANGE(""https://docs.google.com/spreadsheets/d/14Bd19lYaqBhU8_DElYkX7l4wRkHqqCUFNJY4AfY3kHU/edit?usp=sharing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51" s="7" t="s">
        <v>10</v>
      </c>
      <c r="H10651" s="7">
        <v>451</v>
      </c>
      <c r="I10651" s="8" t="str">
        <f ca="1">IFERROR(__xludf.DUMMYFUNCTION("IF
(
G10652=""фізична особа""
,
VLOOKUP(H10652,IMPORTRANGE(""https://docs.google.com/spreadsheets/d/14Bd19lYaqBhU8_DElYkX7l4wRkHqqCUFNJY4AfY3kHU/edit?usp=sharing  #gid=0"",""фіз особи new!relations_name""),6,FALSE)
,
(IF
(
G10652=""юридична особа""
,
VLOO"&amp;"KUP(H10652,IMPORTRANGE(""https://docs.google.com/spreadsheets/d/14Bd19lYaqBhU8_DElYkX7l4wRkHqqCUFNJY4AfY3kHU/edit?usp=sharing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651" s="7" t="s">
        <v>11</v>
      </c>
    </row>
    <row r="10652" spans="1:10" ht="13.2">
      <c r="A10652" s="7">
        <v>10651</v>
      </c>
      <c r="B10652" s="7">
        <v>1</v>
      </c>
      <c r="C10652" s="7" t="s">
        <v>10</v>
      </c>
      <c r="D10652" s="7">
        <v>16545</v>
      </c>
      <c r="E10652" s="7" t="s">
        <v>11</v>
      </c>
      <c r="F10652" s="8" t="str">
        <f ca="1">IFERROR(__xludf.DUMMYFUNCTION("IF
(
C10653=""фізична особа""
,
VLOOKUP(D10653,IMPORTRANGE(""https://docs.google.com/spreadsheets/d/14Bd19lYaqBhU8_DElYkX7l4wRkHqqCUFNJY4AfY3kHU/edit?usp=sharing  #gid=0"",""фіз особи new!relations_name""),6,FALSE)
,
(IF
(
C10653=""юридична особа""
,
VLOO"&amp;"KUP(D10653,IMPORTRANGE(""https://docs.google.com/spreadsheets/d/14Bd19lYaqBhU8_DElYkX7l4wRkHqqCUFNJY4AfY3kHU/edit?usp=sharing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52" s="7" t="s">
        <v>10</v>
      </c>
      <c r="H10652" s="7">
        <v>6483</v>
      </c>
      <c r="I10652" s="8" t="str">
        <f ca="1">IFERROR(__xludf.DUMMYFUNCTION("IF
(
G10653=""фізична особа""
,
VLOOKUP(H10653,IMPORTRANGE(""https://docs.google.com/spreadsheets/d/14Bd19lYaqBhU8_DElYkX7l4wRkHqqCUFNJY4AfY3kHU/edit?usp=sharing  #gid=0"",""фіз особи new!relations_name""),6,FALSE)
,
(IF
(
G10653=""юридична особа""
,
VLOO"&amp;"KUP(H10653,IMPORTRANGE(""https://docs.google.com/spreadsheets/d/14Bd19lYaqBhU8_DElYkX7l4wRkHqqCUFNJY4AfY3kHU/edit?usp=sharing  #gid=0"",""фіз особи new!relations_name_uo""),7,FALSE)
,
)
))"),"МАРЕЙ Олексій Олександрович")</f>
        <v>МАРЕЙ Олексій Олександрович</v>
      </c>
      <c r="J10652" s="7" t="s">
        <v>11</v>
      </c>
    </row>
    <row r="10653" spans="1:10" ht="13.2">
      <c r="A10653" s="7">
        <v>10652</v>
      </c>
      <c r="B10653" s="7">
        <v>1</v>
      </c>
      <c r="C10653" s="7" t="s">
        <v>10</v>
      </c>
      <c r="D10653" s="7">
        <v>16545</v>
      </c>
      <c r="E10653" s="7" t="s">
        <v>11</v>
      </c>
      <c r="F10653" s="8" t="str">
        <f ca="1">IFERROR(__xludf.DUMMYFUNCTION("IF
(
C10654=""фізична особа""
,
VLOOKUP(D10654,IMPORTRANGE(""https://docs.google.com/spreadsheets/d/14Bd19lYaqBhU8_DElYkX7l4wRkHqqCUFNJY4AfY3kHU/edit?usp=sharing  #gid=0"",""фіз особи new!relations_name""),6,FALSE)
,
(IF
(
C10654=""юридична особа""
,
VLOO"&amp;"KUP(D10654,IMPORTRANGE(""https://docs.google.com/spreadsheets/d/14Bd19lYaqBhU8_DElYkX7l4wRkHqqCUFNJY4AfY3kHU/edit?usp=sharing  #gid=0"",""фіз особи new!relations_name_uo""),7,FALSE)
,
)
))"),"ГАЛИЦЬКИЙ Олександр Володимирович")</f>
        <v>ГАЛИЦЬКИЙ Олександр Володимирович</v>
      </c>
      <c r="G10653" s="7" t="s">
        <v>10</v>
      </c>
      <c r="H10653" s="7">
        <v>6200</v>
      </c>
      <c r="I10653" s="8" t="str">
        <f ca="1">IFERROR(__xludf.DUMMYFUNCTION("IF
(
G10654=""фізична особа""
,
VLOOKUP(H10654,IMPORTRANGE(""https://docs.google.com/spreadsheets/d/14Bd19lYaqBhU8_DElYkX7l4wRkHqqCUFNJY4AfY3kHU/edit?usp=sharing  #gid=0"",""фіз особи new!relations_name""),6,FALSE)
,
(IF
(
G10654=""юридична особа""
,
VLOO"&amp;"KUP(H10654,IMPORTRANGE(""https://docs.google.com/spreadsheets/d/14Bd19lYaqBhU8_DElYkX7l4wRkHqqCUFNJY4AfY3kHU/edit?usp=sharing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J10653" s="7" t="s">
        <v>11</v>
      </c>
    </row>
    <row r="10654" spans="1:10" ht="13.2">
      <c r="A10654" s="7">
        <v>10653</v>
      </c>
      <c r="B10654" s="7">
        <v>1</v>
      </c>
      <c r="C10654" s="7" t="s">
        <v>10</v>
      </c>
      <c r="D10654" s="7">
        <v>16546</v>
      </c>
      <c r="E10654" s="7" t="s">
        <v>11</v>
      </c>
      <c r="F10654" s="8" t="str">
        <f ca="1">IFERROR(__xludf.DUMMYFUNCTION("IF
(
C10655=""фізична особа""
,
VLOOKUP(D10655,IMPORTRANGE(""https://docs.google.com/spreadsheets/d/14Bd19lYaqBhU8_DElYkX7l4wRkHqqCUFNJY4AfY3kHU/edit?usp=sharing  #gid=0"",""фіз особи new!relations_name""),6,FALSE)
,
(IF
(
C10655=""юридична особа""
,
VLOO"&amp;"KUP(D10655,IMPORTRANGE(""https://docs.google.com/spreadsheets/d/14Bd19lYaqBhU8_DElYkX7l4wRkHqqCUFNJY4AfY3kHU/edit?usp=sharing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4" s="7" t="s">
        <v>10</v>
      </c>
      <c r="H10654" s="7">
        <v>595</v>
      </c>
      <c r="I10654" s="8" t="str">
        <f ca="1">IFERROR(__xludf.DUMMYFUNCTION("IF
(
G10655=""фізична особа""
,
VLOOKUP(H10655,IMPORTRANGE(""https://docs.google.com/spreadsheets/d/14Bd19lYaqBhU8_DElYkX7l4wRkHqqCUFNJY4AfY3kHU/edit?usp=sharing  #gid=0"",""фіз особи new!relations_name""),6,FALSE)
,
(IF
(
G10655=""юридична особа""
,
VLOO"&amp;"KUP(H10655,IMPORTRANGE(""https://docs.google.com/spreadsheets/d/14Bd19lYaqBhU8_DElYkX7l4wRkHqqCUFNJY4AfY3kHU/edit?usp=sharing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654" s="7" t="s">
        <v>11</v>
      </c>
    </row>
    <row r="10655" spans="1:10" ht="13.2">
      <c r="A10655" s="7">
        <v>10654</v>
      </c>
      <c r="B10655" s="7">
        <v>1</v>
      </c>
      <c r="C10655" s="7" t="s">
        <v>10</v>
      </c>
      <c r="D10655" s="7">
        <v>16546</v>
      </c>
      <c r="E10655" s="7" t="s">
        <v>11</v>
      </c>
      <c r="F10655" s="8" t="str">
        <f ca="1">IFERROR(__xludf.DUMMYFUNCTION("IF
(
C10656=""фізична особа""
,
VLOOKUP(D10656,IMPORTRANGE(""https://docs.google.com/spreadsheets/d/14Bd19lYaqBhU8_DElYkX7l4wRkHqqCUFNJY4AfY3kHU/edit?usp=sharing  #gid=0"",""фіз особи new!relations_name""),6,FALSE)
,
(IF
(
C10656=""юридична особа""
,
VLOO"&amp;"KUP(D10656,IMPORTRANGE(""https://docs.google.com/spreadsheets/d/14Bd19lYaqBhU8_DElYkX7l4wRkHqqCUFNJY4AfY3kHU/edit?usp=sharing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5" s="7" t="s">
        <v>10</v>
      </c>
      <c r="H10655" s="7">
        <v>2000</v>
      </c>
      <c r="I10655" s="8" t="str">
        <f ca="1">IFERROR(__xludf.DUMMYFUNCTION("IF
(
G10656=""фізична особа""
,
VLOOKUP(H10656,IMPORTRANGE(""https://docs.google.com/spreadsheets/d/14Bd19lYaqBhU8_DElYkX7l4wRkHqqCUFNJY4AfY3kHU/edit?usp=sharing  #gid=0"",""фіз особи new!relations_name""),6,FALSE)
,
(IF
(
G10656=""юридична особа""
,
VLOO"&amp;"KUP(H10656,IMPORTRANGE(""https://docs.google.com/spreadsheets/d/14Bd19lYaqBhU8_DElYkX7l4wRkHqqCUFNJY4AfY3kHU/edit?usp=sharing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10655" s="7" t="s">
        <v>11</v>
      </c>
    </row>
    <row r="10656" spans="1:10" ht="13.2">
      <c r="A10656" s="7">
        <v>10655</v>
      </c>
      <c r="B10656" s="7">
        <v>1</v>
      </c>
      <c r="C10656" s="7" t="s">
        <v>10</v>
      </c>
      <c r="D10656" s="7">
        <v>16546</v>
      </c>
      <c r="E10656" s="7" t="s">
        <v>11</v>
      </c>
      <c r="F10656" s="8" t="str">
        <f ca="1">IFERROR(__xludf.DUMMYFUNCTION("IF
(
C10657=""фізична особа""
,
VLOOKUP(D10657,IMPORTRANGE(""https://docs.google.com/spreadsheets/d/14Bd19lYaqBhU8_DElYkX7l4wRkHqqCUFNJY4AfY3kHU/edit?usp=sharing  #gid=0"",""фіз особи new!relations_name""),6,FALSE)
,
(IF
(
C10657=""юридична особа""
,
VLOO"&amp;"KUP(D10657,IMPORTRANGE(""https://docs.google.com/spreadsheets/d/14Bd19lYaqBhU8_DElYkX7l4wRkHqqCUFNJY4AfY3kHU/edit?usp=sharing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6" s="7" t="s">
        <v>10</v>
      </c>
      <c r="H10656" s="7">
        <v>6327</v>
      </c>
      <c r="I10656" s="8" t="str">
        <f ca="1">IFERROR(__xludf.DUMMYFUNCTION("IF
(
G10657=""фізична особа""
,
VLOOKUP(H10657,IMPORTRANGE(""https://docs.google.com/spreadsheets/d/14Bd19lYaqBhU8_DElYkX7l4wRkHqqCUFNJY4AfY3kHU/edit?usp=sharing  #gid=0"",""фіз особи new!relations_name""),6,FALSE)
,
(IF
(
G10657=""юридична особа""
,
VLOO"&amp;"KUP(H10657,IMPORTRANGE(""https://docs.google.com/spreadsheets/d/14Bd19lYaqBhU8_DElYkX7l4wRkHqqCUFNJY4AfY3kHU/edit?usp=sharing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J10656" s="7" t="s">
        <v>11</v>
      </c>
    </row>
    <row r="10657" spans="1:10" ht="13.2">
      <c r="A10657" s="7">
        <v>10656</v>
      </c>
      <c r="B10657" s="7">
        <v>1</v>
      </c>
      <c r="C10657" s="7" t="s">
        <v>10</v>
      </c>
      <c r="D10657" s="7">
        <v>16546</v>
      </c>
      <c r="E10657" s="7" t="s">
        <v>11</v>
      </c>
      <c r="F10657" s="8" t="str">
        <f ca="1">IFERROR(__xludf.DUMMYFUNCTION("IF
(
C10658=""фізична особа""
,
VLOOKUP(D10658,IMPORTRANGE(""https://docs.google.com/spreadsheets/d/14Bd19lYaqBhU8_DElYkX7l4wRkHqqCUFNJY4AfY3kHU/edit?usp=sharing  #gid=0"",""фіз особи new!relations_name""),6,FALSE)
,
(IF
(
C10658=""юридична особа""
,
VLOO"&amp;"KUP(D10658,IMPORTRANGE(""https://docs.google.com/spreadsheets/d/14Bd19lYaqBhU8_DElYkX7l4wRkHqqCUFNJY4AfY3kHU/edit?usp=sharing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7" s="7" t="s">
        <v>10</v>
      </c>
      <c r="H10657" s="7">
        <v>451</v>
      </c>
      <c r="I10657" s="8" t="str">
        <f ca="1">IFERROR(__xludf.DUMMYFUNCTION("IF
(
G10658=""фізична особа""
,
VLOOKUP(H10658,IMPORTRANGE(""https://docs.google.com/spreadsheets/d/14Bd19lYaqBhU8_DElYkX7l4wRkHqqCUFNJY4AfY3kHU/edit?usp=sharing  #gid=0"",""фіз особи new!relations_name""),6,FALSE)
,
(IF
(
G10658=""юридична особа""
,
VLOO"&amp;"KUP(H10658,IMPORTRANGE(""https://docs.google.com/spreadsheets/d/14Bd19lYaqBhU8_DElYkX7l4wRkHqqCUFNJY4AfY3kHU/edit?usp=sharing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657" s="7" t="s">
        <v>11</v>
      </c>
    </row>
    <row r="10658" spans="1:10" ht="13.2">
      <c r="A10658" s="7">
        <v>10657</v>
      </c>
      <c r="B10658" s="7">
        <v>1</v>
      </c>
      <c r="C10658" s="7" t="s">
        <v>10</v>
      </c>
      <c r="D10658" s="7">
        <v>16546</v>
      </c>
      <c r="E10658" s="7" t="s">
        <v>11</v>
      </c>
      <c r="F10658" s="8" t="str">
        <f ca="1">IFERROR(__xludf.DUMMYFUNCTION("IF
(
C10659=""фізична особа""
,
VLOOKUP(D10659,IMPORTRANGE(""https://docs.google.com/spreadsheets/d/14Bd19lYaqBhU8_DElYkX7l4wRkHqqCUFNJY4AfY3kHU/edit?usp=sharing  #gid=0"",""фіз особи new!relations_name""),6,FALSE)
,
(IF
(
C10659=""юридична особа""
,
VLOO"&amp;"KUP(D10659,IMPORTRANGE(""https://docs.google.com/spreadsheets/d/14Bd19lYaqBhU8_DElYkX7l4wRkHqqCUFNJY4AfY3kHU/edit?usp=sharing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8" s="7" t="s">
        <v>10</v>
      </c>
      <c r="H10658" s="7">
        <v>6483</v>
      </c>
      <c r="I10658" s="8" t="str">
        <f ca="1">IFERROR(__xludf.DUMMYFUNCTION("IF
(
G10659=""фізична особа""
,
VLOOKUP(H10659,IMPORTRANGE(""https://docs.google.com/spreadsheets/d/14Bd19lYaqBhU8_DElYkX7l4wRkHqqCUFNJY4AfY3kHU/edit?usp=sharing  #gid=0"",""фіз особи new!relations_name""),6,FALSE)
,
(IF
(
G10659=""юридична особа""
,
VLOO"&amp;"KUP(H10659,IMPORTRANGE(""https://docs.google.com/spreadsheets/d/14Bd19lYaqBhU8_DElYkX7l4wRkHqqCUFNJY4AfY3kHU/edit?usp=sharing  #gid=0"",""фіз особи new!relations_name_uo""),7,FALSE)
,
)
))"),"МАРЕЙ Олексій Олександрович")</f>
        <v>МАРЕЙ Олексій Олександрович</v>
      </c>
      <c r="J10658" s="7" t="s">
        <v>11</v>
      </c>
    </row>
    <row r="10659" spans="1:10" ht="13.2">
      <c r="A10659" s="7">
        <v>10658</v>
      </c>
      <c r="B10659" s="7">
        <v>1</v>
      </c>
      <c r="C10659" s="7" t="s">
        <v>10</v>
      </c>
      <c r="D10659" s="7">
        <v>16546</v>
      </c>
      <c r="E10659" s="7" t="s">
        <v>11</v>
      </c>
      <c r="F10659" s="8" t="str">
        <f ca="1">IFERROR(__xludf.DUMMYFUNCTION("IF
(
C10660=""фізична особа""
,
VLOOKUP(D10660,IMPORTRANGE(""https://docs.google.com/spreadsheets/d/14Bd19lYaqBhU8_DElYkX7l4wRkHqqCUFNJY4AfY3kHU/edit?usp=sharing  #gid=0"",""фіз особи new!relations_name""),6,FALSE)
,
(IF
(
C10660=""юридична особа""
,
VLOO"&amp;"KUP(D10660,IMPORTRANGE(""https://docs.google.com/spreadsheets/d/14Bd19lYaqBhU8_DElYkX7l4wRkHqqCUFNJY4AfY3kHU/edit?usp=sharing  #gid=0"",""фіз особи new!relations_name_uo""),7,FALSE)
,
)
))"),"МАЦОЦЬКИЙ Сергій Савелійович")</f>
        <v>МАЦОЦЬКИЙ Сергій Савелійович</v>
      </c>
      <c r="G10659" s="7" t="s">
        <v>10</v>
      </c>
      <c r="H10659" s="7">
        <v>6200</v>
      </c>
      <c r="I10659" s="8" t="str">
        <f ca="1">IFERROR(__xludf.DUMMYFUNCTION("IF
(
G10660=""фізична особа""
,
VLOOKUP(H10660,IMPORTRANGE(""https://docs.google.com/spreadsheets/d/14Bd19lYaqBhU8_DElYkX7l4wRkHqqCUFNJY4AfY3kHU/edit?usp=sharing  #gid=0"",""фіз особи new!relations_name""),6,FALSE)
,
(IF
(
G10660=""юридична особа""
,
VLOO"&amp;"KUP(H10660,IMPORTRANGE(""https://docs.google.com/spreadsheets/d/14Bd19lYaqBhU8_DElYkX7l4wRkHqqCUFNJY4AfY3kHU/edit?usp=sharing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J10659" s="7" t="s">
        <v>11</v>
      </c>
    </row>
    <row r="10660" spans="1:10" ht="13.2">
      <c r="A10660" s="7">
        <v>10659</v>
      </c>
      <c r="B10660" s="7">
        <v>1</v>
      </c>
      <c r="C10660" s="7" t="s">
        <v>10</v>
      </c>
      <c r="D10660" s="7">
        <v>16547</v>
      </c>
      <c r="E10660" s="7" t="s">
        <v>14</v>
      </c>
      <c r="F10660" s="8" t="str">
        <f ca="1">IFERROR(__xludf.DUMMYFUNCTION("IF
(
C10661=""фізична особа""
,
VLOOKUP(D10661,IMPORTRANGE(""https://docs.google.com/spreadsheets/d/14Bd19lYaqBhU8_DElYkX7l4wRkHqqCUFNJY4AfY3kHU/edit?usp=sharing  #gid=0"",""фіз особи new!relations_name""),6,FALSE)
,
(IF
(
C10661=""юридична особа""
,
VLOO"&amp;"KUP(D10661,IMPORTRANGE(""https://docs.google.com/spreadsheets/d/14Bd19lYaqBhU8_DElYkX7l4wRkHqqCUFNJY4AfY3kHU/edit?usp=sharing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0" s="7" t="s">
        <v>10</v>
      </c>
      <c r="H10660" s="7">
        <v>0</v>
      </c>
      <c r="I10660" s="8" t="str">
        <f ca="1">IFERROR(__xludf.DUMMYFUNCTION("IF
(
G10661=""фізична особа""
,
VLOOKUP(H10661,IMPORTRANGE(""https://docs.google.com/spreadsheets/d/14Bd19lYaqBhU8_DElYkX7l4wRkHqqCUFNJY4AfY3kHU/edit?usp=sharing  #gid=0"",""фіз особи new!relations_name""),6,FALSE)
,
(IF
(
G10661=""юридична особа""
,
VLOO"&amp;"KUP(H10661,IMPORTRANGE(""https://docs.google.com/spreadsheets/d/14Bd19lYaqBhU8_DElYkX7l4wRkHqqCUFNJY4AfY3kHU/edit?usp=sharing  #gid=0"",""фіз особи new!relations_name_uo""),7,FALSE)
,
)
))"),"#N/A")</f>
        <v>#N/A</v>
      </c>
      <c r="J10660" s="7" t="s">
        <v>15</v>
      </c>
    </row>
    <row r="10661" spans="1:10" ht="13.2">
      <c r="A10661" s="7">
        <v>10660</v>
      </c>
      <c r="B10661" s="7">
        <v>1</v>
      </c>
      <c r="C10661" s="7" t="s">
        <v>10</v>
      </c>
      <c r="D10661" s="7">
        <v>16547</v>
      </c>
      <c r="E10661" s="7" t="s">
        <v>11</v>
      </c>
      <c r="F10661" s="8" t="str">
        <f ca="1">IFERROR(__xludf.DUMMYFUNCTION("IF
(
C10662=""фізична особа""
,
VLOOKUP(D10662,IMPORTRANGE(""https://docs.google.com/spreadsheets/d/14Bd19lYaqBhU8_DElYkX7l4wRkHqqCUFNJY4AfY3kHU/edit?usp=sharing  #gid=0"",""фіз особи new!relations_name""),6,FALSE)
,
(IF
(
C10662=""юридична особа""
,
VLOO"&amp;"KUP(D10662,IMPORTRANGE(""https://docs.google.com/spreadsheets/d/14Bd19lYaqBhU8_DElYkX7l4wRkHqqCUFNJY4AfY3kHU/edit?usp=sharing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1" s="7" t="s">
        <v>10</v>
      </c>
      <c r="H10661" s="7">
        <v>595</v>
      </c>
      <c r="I10661" s="8" t="str">
        <f ca="1">IFERROR(__xludf.DUMMYFUNCTION("IF
(
G10662=""фізична особа""
,
VLOOKUP(H10662,IMPORTRANGE(""https://docs.google.com/spreadsheets/d/14Bd19lYaqBhU8_DElYkX7l4wRkHqqCUFNJY4AfY3kHU/edit?usp=sharing  #gid=0"",""фіз особи new!relations_name""),6,FALSE)
,
(IF
(
G10662=""юридична особа""
,
VLOO"&amp;"KUP(H10662,IMPORTRANGE(""https://docs.google.com/spreadsheets/d/14Bd19lYaqBhU8_DElYkX7l4wRkHqqCUFNJY4AfY3kHU/edit?usp=sharing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661" s="7" t="s">
        <v>11</v>
      </c>
    </row>
    <row r="10662" spans="1:10" ht="13.2">
      <c r="A10662" s="7">
        <v>10661</v>
      </c>
      <c r="B10662" s="7">
        <v>1</v>
      </c>
      <c r="C10662" s="7" t="s">
        <v>10</v>
      </c>
      <c r="D10662" s="7">
        <v>16547</v>
      </c>
      <c r="E10662" s="7" t="s">
        <v>11</v>
      </c>
      <c r="F10662" s="8" t="str">
        <f ca="1">IFERROR(__xludf.DUMMYFUNCTION("IF
(
C10663=""фізична особа""
,
VLOOKUP(D10663,IMPORTRANGE(""https://docs.google.com/spreadsheets/d/14Bd19lYaqBhU8_DElYkX7l4wRkHqqCUFNJY4AfY3kHU/edit?usp=sharing  #gid=0"",""фіз особи new!relations_name""),6,FALSE)
,
(IF
(
C10663=""юридична особа""
,
VLOO"&amp;"KUP(D10663,IMPORTRANGE(""https://docs.google.com/spreadsheets/d/14Bd19lYaqBhU8_DElYkX7l4wRkHqqCUFNJY4AfY3kHU/edit?usp=sharing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2" s="7" t="s">
        <v>10</v>
      </c>
      <c r="H10662" s="7">
        <v>2000</v>
      </c>
      <c r="I10662" s="8" t="str">
        <f ca="1">IFERROR(__xludf.DUMMYFUNCTION("IF
(
G10663=""фізична особа""
,
VLOOKUP(H10663,IMPORTRANGE(""https://docs.google.com/spreadsheets/d/14Bd19lYaqBhU8_DElYkX7l4wRkHqqCUFNJY4AfY3kHU/edit?usp=sharing  #gid=0"",""фіз особи new!relations_name""),6,FALSE)
,
(IF
(
G10663=""юридична особа""
,
VLOO"&amp;"KUP(H10663,IMPORTRANGE(""https://docs.google.com/spreadsheets/d/14Bd19lYaqBhU8_DElYkX7l4wRkHqqCUFNJY4AfY3kHU/edit?usp=sharing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10662" s="7" t="s">
        <v>11</v>
      </c>
    </row>
    <row r="10663" spans="1:10" ht="13.2">
      <c r="A10663" s="7">
        <v>10662</v>
      </c>
      <c r="B10663" s="7">
        <v>1</v>
      </c>
      <c r="C10663" s="7" t="s">
        <v>10</v>
      </c>
      <c r="D10663" s="7">
        <v>16547</v>
      </c>
      <c r="E10663" s="7" t="s">
        <v>11</v>
      </c>
      <c r="F10663" s="8" t="str">
        <f ca="1">IFERROR(__xludf.DUMMYFUNCTION("IF
(
C10664=""фізична особа""
,
VLOOKUP(D10664,IMPORTRANGE(""https://docs.google.com/spreadsheets/d/14Bd19lYaqBhU8_DElYkX7l4wRkHqqCUFNJY4AfY3kHU/edit?usp=sharing  #gid=0"",""фіз особи new!relations_name""),6,FALSE)
,
(IF
(
C10664=""юридична особа""
,
VLOO"&amp;"KUP(D10664,IMPORTRANGE(""https://docs.google.com/spreadsheets/d/14Bd19lYaqBhU8_DElYkX7l4wRkHqqCUFNJY4AfY3kHU/edit?usp=sharing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3" s="7" t="s">
        <v>10</v>
      </c>
      <c r="H10663" s="7">
        <v>6327</v>
      </c>
      <c r="I10663" s="8" t="str">
        <f ca="1">IFERROR(__xludf.DUMMYFUNCTION("IF
(
G10664=""фізична особа""
,
VLOOKUP(H10664,IMPORTRANGE(""https://docs.google.com/spreadsheets/d/14Bd19lYaqBhU8_DElYkX7l4wRkHqqCUFNJY4AfY3kHU/edit?usp=sharing  #gid=0"",""фіз особи new!relations_name""),6,FALSE)
,
(IF
(
G10664=""юридична особа""
,
VLOO"&amp;"KUP(H10664,IMPORTRANGE(""https://docs.google.com/spreadsheets/d/14Bd19lYaqBhU8_DElYkX7l4wRkHqqCUFNJY4AfY3kHU/edit?usp=sharing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J10663" s="7" t="s">
        <v>11</v>
      </c>
    </row>
    <row r="10664" spans="1:10" ht="13.2">
      <c r="A10664" s="7">
        <v>10663</v>
      </c>
      <c r="B10664" s="7">
        <v>1</v>
      </c>
      <c r="C10664" s="7" t="s">
        <v>10</v>
      </c>
      <c r="D10664" s="7">
        <v>16547</v>
      </c>
      <c r="E10664" s="7" t="s">
        <v>11</v>
      </c>
      <c r="F10664" s="8" t="str">
        <f ca="1">IFERROR(__xludf.DUMMYFUNCTION("IF
(
C10665=""фізична особа""
,
VLOOKUP(D10665,IMPORTRANGE(""https://docs.google.com/spreadsheets/d/14Bd19lYaqBhU8_DElYkX7l4wRkHqqCUFNJY4AfY3kHU/edit?usp=sharing  #gid=0"",""фіз особи new!relations_name""),6,FALSE)
,
(IF
(
C10665=""юридична особа""
,
VLOO"&amp;"KUP(D10665,IMPORTRANGE(""https://docs.google.com/spreadsheets/d/14Bd19lYaqBhU8_DElYkX7l4wRkHqqCUFNJY4AfY3kHU/edit?usp=sharing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4" s="7" t="s">
        <v>10</v>
      </c>
      <c r="H10664" s="7">
        <v>451</v>
      </c>
      <c r="I10664" s="8" t="str">
        <f ca="1">IFERROR(__xludf.DUMMYFUNCTION("IF
(
G10665=""фізична особа""
,
VLOOKUP(H10665,IMPORTRANGE(""https://docs.google.com/spreadsheets/d/14Bd19lYaqBhU8_DElYkX7l4wRkHqqCUFNJY4AfY3kHU/edit?usp=sharing  #gid=0"",""фіз особи new!relations_name""),6,FALSE)
,
(IF
(
G10665=""юридична особа""
,
VLOO"&amp;"KUP(H10665,IMPORTRANGE(""https://docs.google.com/spreadsheets/d/14Bd19lYaqBhU8_DElYkX7l4wRkHqqCUFNJY4AfY3kHU/edit?usp=sharing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664" s="7" t="s">
        <v>11</v>
      </c>
    </row>
    <row r="10665" spans="1:10" ht="13.2">
      <c r="A10665" s="7">
        <v>10664</v>
      </c>
      <c r="B10665" s="7">
        <v>1</v>
      </c>
      <c r="C10665" s="7" t="s">
        <v>10</v>
      </c>
      <c r="D10665" s="7">
        <v>16547</v>
      </c>
      <c r="E10665" s="7" t="s">
        <v>11</v>
      </c>
      <c r="F10665" s="8" t="str">
        <f ca="1">IFERROR(__xludf.DUMMYFUNCTION("IF
(
C10666=""фізична особа""
,
VLOOKUP(D10666,IMPORTRANGE(""https://docs.google.com/spreadsheets/d/14Bd19lYaqBhU8_DElYkX7l4wRkHqqCUFNJY4AfY3kHU/edit?usp=sharing  #gid=0"",""фіз особи new!relations_name""),6,FALSE)
,
(IF
(
C10666=""юридична особа""
,
VLOO"&amp;"KUP(D10666,IMPORTRANGE(""https://docs.google.com/spreadsheets/d/14Bd19lYaqBhU8_DElYkX7l4wRkHqqCUFNJY4AfY3kHU/edit?usp=sharing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5" s="7" t="s">
        <v>10</v>
      </c>
      <c r="H10665" s="7">
        <v>6483</v>
      </c>
      <c r="I10665" s="8" t="str">
        <f ca="1">IFERROR(__xludf.DUMMYFUNCTION("IF
(
G10666=""фізична особа""
,
VLOOKUP(H10666,IMPORTRANGE(""https://docs.google.com/spreadsheets/d/14Bd19lYaqBhU8_DElYkX7l4wRkHqqCUFNJY4AfY3kHU/edit?usp=sharing  #gid=0"",""фіз особи new!relations_name""),6,FALSE)
,
(IF
(
G10666=""юридична особа""
,
VLOO"&amp;"KUP(H10666,IMPORTRANGE(""https://docs.google.com/spreadsheets/d/14Bd19lYaqBhU8_DElYkX7l4wRkHqqCUFNJY4AfY3kHU/edit?usp=sharing  #gid=0"",""фіз особи new!relations_name_uo""),7,FALSE)
,
)
))"),"МАРЕЙ Олексій Олександрович")</f>
        <v>МАРЕЙ Олексій Олександрович</v>
      </c>
      <c r="J10665" s="7" t="s">
        <v>11</v>
      </c>
    </row>
    <row r="10666" spans="1:10" ht="13.2">
      <c r="A10666" s="7">
        <v>10665</v>
      </c>
      <c r="B10666" s="7">
        <v>1</v>
      </c>
      <c r="C10666" s="7" t="s">
        <v>10</v>
      </c>
      <c r="D10666" s="7">
        <v>16547</v>
      </c>
      <c r="E10666" s="7" t="s">
        <v>11</v>
      </c>
      <c r="F10666" s="8" t="str">
        <f ca="1">IFERROR(__xludf.DUMMYFUNCTION("IF
(
C10667=""фізична особа""
,
VLOOKUP(D10667,IMPORTRANGE(""https://docs.google.com/spreadsheets/d/14Bd19lYaqBhU8_DElYkX7l4wRkHqqCUFNJY4AfY3kHU/edit?usp=sharing  #gid=0"",""фіз особи new!relations_name""),6,FALSE)
,
(IF
(
C10667=""юридична особа""
,
VLOO"&amp;"KUP(D10667,IMPORTRANGE(""https://docs.google.com/spreadsheets/d/14Bd19lYaqBhU8_DElYkX7l4wRkHqqCUFNJY4AfY3kHU/edit?usp=sharing  #gid=0"",""фіз особи new!relations_name_uo""),7,FALSE)
,
)
))"),"БАКСТЕР Ендрю Джон")</f>
        <v>БАКСТЕР Ендрю Джон</v>
      </c>
      <c r="G10666" s="7" t="s">
        <v>10</v>
      </c>
      <c r="H10666" s="7">
        <v>6200</v>
      </c>
      <c r="I10666" s="8" t="str">
        <f ca="1">IFERROR(__xludf.DUMMYFUNCTION("IF
(
G10667=""фізична особа""
,
VLOOKUP(H10667,IMPORTRANGE(""https://docs.google.com/spreadsheets/d/14Bd19lYaqBhU8_DElYkX7l4wRkHqqCUFNJY4AfY3kHU/edit?usp=sharing  #gid=0"",""фіз особи new!relations_name""),6,FALSE)
,
(IF
(
G10667=""юридична особа""
,
VLOO"&amp;"KUP(H10667,IMPORTRANGE(""https://docs.google.com/spreadsheets/d/14Bd19lYaqBhU8_DElYkX7l4wRkHqqCUFNJY4AfY3kHU/edit?usp=sharing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J10666" s="7" t="s">
        <v>11</v>
      </c>
    </row>
    <row r="10667" spans="1:10" ht="13.2">
      <c r="A10667" s="7">
        <v>10666</v>
      </c>
      <c r="B10667" s="7">
        <v>1</v>
      </c>
      <c r="C10667" s="7" t="s">
        <v>10</v>
      </c>
      <c r="D10667" s="7">
        <v>16548</v>
      </c>
      <c r="E10667" s="7" t="s">
        <v>14</v>
      </c>
      <c r="F10667" s="8" t="str">
        <f ca="1">IFERROR(__xludf.DUMMYFUNCTION("IF
(
C10668=""фізична особа""
,
VLOOKUP(D10668,IMPORTRANGE(""https://docs.google.com/spreadsheets/d/14Bd19lYaqBhU8_DElYkX7l4wRkHqqCUFNJY4AfY3kHU/edit?usp=sharing  #gid=0"",""фіз особи new!relations_name""),6,FALSE)
,
(IF
(
C10668=""юридична особа""
,
VLOO"&amp;"KUP(D10668,IMPORTRANGE(""https://docs.google.com/spreadsheets/d/14Bd19lYaqBhU8_DElYkX7l4wRkHqqCUFNJY4AfY3kHU/edit?usp=sharing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67" s="7" t="s">
        <v>10</v>
      </c>
      <c r="H10667" s="7">
        <v>0</v>
      </c>
      <c r="I10667" s="8" t="str">
        <f ca="1">IFERROR(__xludf.DUMMYFUNCTION("IF
(
G10668=""фізична особа""
,
VLOOKUP(H10668,IMPORTRANGE(""https://docs.google.com/spreadsheets/d/14Bd19lYaqBhU8_DElYkX7l4wRkHqqCUFNJY4AfY3kHU/edit?usp=sharing  #gid=0"",""фіз особи new!relations_name""),6,FALSE)
,
(IF
(
G10668=""юридична особа""
,
VLOO"&amp;"KUP(H10668,IMPORTRANGE(""https://docs.google.com/spreadsheets/d/14Bd19lYaqBhU8_DElYkX7l4wRkHqqCUFNJY4AfY3kHU/edit?usp=sharing  #gid=0"",""фіз особи new!relations_name_uo""),7,FALSE)
,
)
))"),"#N/A")</f>
        <v>#N/A</v>
      </c>
      <c r="J10667" s="7" t="s">
        <v>15</v>
      </c>
    </row>
    <row r="10668" spans="1:10" ht="13.2">
      <c r="A10668" s="7">
        <v>10667</v>
      </c>
      <c r="B10668" s="7">
        <v>1</v>
      </c>
      <c r="C10668" s="7" t="s">
        <v>10</v>
      </c>
      <c r="D10668" s="7">
        <v>16548</v>
      </c>
      <c r="E10668" s="7" t="s">
        <v>12</v>
      </c>
      <c r="F10668" s="8" t="str">
        <f ca="1">IFERROR(__xludf.DUMMYFUNCTION("IF
(
C10669=""фізична особа""
,
VLOOKUP(D10669,IMPORTRANGE(""https://docs.google.com/spreadsheets/d/14Bd19lYaqBhU8_DElYkX7l4wRkHqqCUFNJY4AfY3kHU/edit?usp=sharing  #gid=0"",""фіз особи new!relations_name""),6,FALSE)
,
(IF
(
C10669=""юридична особа""
,
VLOO"&amp;"KUP(D10669,IMPORTRANGE(""https://docs.google.com/spreadsheets/d/14Bd19lYaqBhU8_DElYkX7l4wRkHqqCUFNJY4AfY3kHU/edit?usp=sharing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68" s="7" t="s">
        <v>10</v>
      </c>
      <c r="H10668" s="7">
        <v>0</v>
      </c>
      <c r="I10668" s="8" t="str">
        <f ca="1">IFERROR(__xludf.DUMMYFUNCTION("IF
(
G10669=""фізична особа""
,
VLOOKUP(H10669,IMPORTRANGE(""https://docs.google.com/spreadsheets/d/14Bd19lYaqBhU8_DElYkX7l4wRkHqqCUFNJY4AfY3kHU/edit?usp=sharing  #gid=0"",""фіз особи new!relations_name""),6,FALSE)
,
(IF
(
G10669=""юридична особа""
,
VLOO"&amp;"KUP(H10669,IMPORTRANGE(""https://docs.google.com/spreadsheets/d/14Bd19lYaqBhU8_DElYkX7l4wRkHqqCUFNJY4AfY3kHU/edit?usp=sharing  #gid=0"",""фіз особи new!relations_name_uo""),7,FALSE)
,
)
))"),"#N/A")</f>
        <v>#N/A</v>
      </c>
      <c r="J10668" s="7" t="s">
        <v>17</v>
      </c>
    </row>
    <row r="10669" spans="1:10" ht="13.2">
      <c r="A10669" s="7">
        <v>10668</v>
      </c>
      <c r="B10669" s="7">
        <v>1</v>
      </c>
      <c r="C10669" s="7" t="s">
        <v>10</v>
      </c>
      <c r="D10669" s="7">
        <v>16548</v>
      </c>
      <c r="E10669" s="7" t="s">
        <v>12</v>
      </c>
      <c r="F10669" s="8" t="str">
        <f ca="1">IFERROR(__xludf.DUMMYFUNCTION("IF
(
C10670=""фізична особа""
,
VLOOKUP(D10670,IMPORTRANGE(""https://docs.google.com/spreadsheets/d/14Bd19lYaqBhU8_DElYkX7l4wRkHqqCUFNJY4AfY3kHU/edit?usp=sharing  #gid=0"",""фіз особи new!relations_name""),6,FALSE)
,
(IF
(
C10670=""юридична особа""
,
VLOO"&amp;"KUP(D10670,IMPORTRANGE(""https://docs.google.com/spreadsheets/d/14Bd19lYaqBhU8_DElYkX7l4wRkHqqCUFNJY4AfY3kHU/edit?usp=sharing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69" s="7" t="s">
        <v>10</v>
      </c>
      <c r="H10669" s="7">
        <v>0</v>
      </c>
      <c r="I10669" s="8" t="str">
        <f ca="1">IFERROR(__xludf.DUMMYFUNCTION("IF
(
G10670=""фізична особа""
,
VLOOKUP(H10670,IMPORTRANGE(""https://docs.google.com/spreadsheets/d/14Bd19lYaqBhU8_DElYkX7l4wRkHqqCUFNJY4AfY3kHU/edit?usp=sharing  #gid=0"",""фіз особи new!relations_name""),6,FALSE)
,
(IF
(
G10670=""юридична особа""
,
VLOO"&amp;"KUP(H10670,IMPORTRANGE(""https://docs.google.com/spreadsheets/d/14Bd19lYaqBhU8_DElYkX7l4wRkHqqCUFNJY4AfY3kHU/edit?usp=sharing  #gid=0"",""фіз особи new!relations_name_uo""),7,FALSE)
,
)
))"),"#N/A")</f>
        <v>#N/A</v>
      </c>
      <c r="J10669" s="7" t="s">
        <v>13</v>
      </c>
    </row>
    <row r="10670" spans="1:10" ht="13.2">
      <c r="A10670" s="7">
        <v>10669</v>
      </c>
      <c r="B10670" s="7">
        <v>1</v>
      </c>
      <c r="C10670" s="7" t="s">
        <v>10</v>
      </c>
      <c r="D10670" s="7">
        <v>16548</v>
      </c>
      <c r="E10670" s="7" t="s">
        <v>12</v>
      </c>
      <c r="F10670" s="8" t="str">
        <f ca="1">IFERROR(__xludf.DUMMYFUNCTION("IF
(
C10671=""фізична особа""
,
VLOOKUP(D10671,IMPORTRANGE(""https://docs.google.com/spreadsheets/d/14Bd19lYaqBhU8_DElYkX7l4wRkHqqCUFNJY4AfY3kHU/edit?usp=sharing  #gid=0"",""фіз особи new!relations_name""),6,FALSE)
,
(IF
(
C10671=""юридична особа""
,
VLOO"&amp;"KUP(D10671,IMPORTRANGE(""https://docs.google.com/spreadsheets/d/14Bd19lYaqBhU8_DElYkX7l4wRkHqqCUFNJY4AfY3kHU/edit?usp=sharing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0" s="7" t="s">
        <v>10</v>
      </c>
      <c r="H10670" s="7">
        <v>0</v>
      </c>
      <c r="I10670" s="8" t="str">
        <f ca="1">IFERROR(__xludf.DUMMYFUNCTION("IF
(
G10671=""фізична особа""
,
VLOOKUP(H10671,IMPORTRANGE(""https://docs.google.com/spreadsheets/d/14Bd19lYaqBhU8_DElYkX7l4wRkHqqCUFNJY4AfY3kHU/edit?usp=sharing  #gid=0"",""фіз особи new!relations_name""),6,FALSE)
,
(IF
(
G10671=""юридична особа""
,
VLOO"&amp;"KUP(H10671,IMPORTRANGE(""https://docs.google.com/spreadsheets/d/14Bd19lYaqBhU8_DElYkX7l4wRkHqqCUFNJY4AfY3kHU/edit?usp=sharing  #gid=0"",""фіз особи new!relations_name_uo""),7,FALSE)
,
)
))"),"#N/A")</f>
        <v>#N/A</v>
      </c>
      <c r="J10670" s="7" t="s">
        <v>17</v>
      </c>
    </row>
    <row r="10671" spans="1:10" ht="13.2">
      <c r="A10671" s="7">
        <v>10670</v>
      </c>
      <c r="B10671" s="7">
        <v>1</v>
      </c>
      <c r="C10671" s="7" t="s">
        <v>10</v>
      </c>
      <c r="D10671" s="7">
        <v>16548</v>
      </c>
      <c r="E10671" s="7" t="s">
        <v>11</v>
      </c>
      <c r="F10671" s="8" t="str">
        <f ca="1">IFERROR(__xludf.DUMMYFUNCTION("IF
(
C10672=""фізична особа""
,
VLOOKUP(D10672,IMPORTRANGE(""https://docs.google.com/spreadsheets/d/14Bd19lYaqBhU8_DElYkX7l4wRkHqqCUFNJY4AfY3kHU/edit?usp=sharing  #gid=0"",""фіз особи new!relations_name""),6,FALSE)
,
(IF
(
C10672=""юридична особа""
,
VLOO"&amp;"KUP(D10672,IMPORTRANGE(""https://docs.google.com/spreadsheets/d/14Bd19lYaqBhU8_DElYkX7l4wRkHqqCUFNJY4AfY3kHU/edit?usp=sharing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1" s="7" t="s">
        <v>10</v>
      </c>
      <c r="H10671" s="7">
        <v>595</v>
      </c>
      <c r="I10671" s="8" t="str">
        <f ca="1">IFERROR(__xludf.DUMMYFUNCTION("IF
(
G10672=""фізична особа""
,
VLOOKUP(H10672,IMPORTRANGE(""https://docs.google.com/spreadsheets/d/14Bd19lYaqBhU8_DElYkX7l4wRkHqqCUFNJY4AfY3kHU/edit?usp=sharing  #gid=0"",""фіз особи new!relations_name""),6,FALSE)
,
(IF
(
G10672=""юридична особа""
,
VLOO"&amp;"KUP(H10672,IMPORTRANGE(""https://docs.google.com/spreadsheets/d/14Bd19lYaqBhU8_DElYkX7l4wRkHqqCUFNJY4AfY3kHU/edit?usp=sharing  #gid=0"",""фіз особи new!relations_name_uo""),7,FALSE)
,
)
))"),"АВЕН Петро Олегович")</f>
        <v>АВЕН Петро Олегович</v>
      </c>
      <c r="J10671" s="7" t="s">
        <v>11</v>
      </c>
    </row>
    <row r="10672" spans="1:10" ht="13.2">
      <c r="A10672" s="7">
        <v>10671</v>
      </c>
      <c r="B10672" s="7">
        <v>1</v>
      </c>
      <c r="C10672" s="7" t="s">
        <v>10</v>
      </c>
      <c r="D10672" s="7">
        <v>16548</v>
      </c>
      <c r="E10672" s="7" t="s">
        <v>11</v>
      </c>
      <c r="F10672" s="8" t="str">
        <f ca="1">IFERROR(__xludf.DUMMYFUNCTION("IF
(
C10673=""фізична особа""
,
VLOOKUP(D10673,IMPORTRANGE(""https://docs.google.com/spreadsheets/d/14Bd19lYaqBhU8_DElYkX7l4wRkHqqCUFNJY4AfY3kHU/edit?usp=sharing  #gid=0"",""фіз особи new!relations_name""),6,FALSE)
,
(IF
(
C10673=""юридична особа""
,
VLOO"&amp;"KUP(D10673,IMPORTRANGE(""https://docs.google.com/spreadsheets/d/14Bd19lYaqBhU8_DElYkX7l4wRkHqqCUFNJY4AfY3kHU/edit?usp=sharing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2" s="7" t="s">
        <v>10</v>
      </c>
      <c r="H10672" s="7">
        <v>2000</v>
      </c>
      <c r="I10672" s="8" t="str">
        <f ca="1">IFERROR(__xludf.DUMMYFUNCTION("IF
(
G10673=""фізична особа""
,
VLOOKUP(H10673,IMPORTRANGE(""https://docs.google.com/spreadsheets/d/14Bd19lYaqBhU8_DElYkX7l4wRkHqqCUFNJY4AfY3kHU/edit?usp=sharing  #gid=0"",""фіз особи new!relations_name""),6,FALSE)
,
(IF
(
G10673=""юридична особа""
,
VLOO"&amp;"KUP(H10673,IMPORTRANGE(""https://docs.google.com/spreadsheets/d/14Bd19lYaqBhU8_DElYkX7l4wRkHqqCUFNJY4AfY3kHU/edit?usp=sharing  #gid=0"",""фіз особи new!relations_name_uo""),7,FALSE)
,
)
))"),"КОСОГОВ Андрій Миколайович")</f>
        <v>КОСОГОВ Андрій Миколайович</v>
      </c>
      <c r="J10672" s="7" t="s">
        <v>11</v>
      </c>
    </row>
    <row r="10673" spans="1:10" ht="13.2">
      <c r="A10673" s="7">
        <v>10672</v>
      </c>
      <c r="B10673" s="7">
        <v>1</v>
      </c>
      <c r="C10673" s="7" t="s">
        <v>10</v>
      </c>
      <c r="D10673" s="7">
        <v>16548</v>
      </c>
      <c r="E10673" s="7" t="s">
        <v>11</v>
      </c>
      <c r="F10673" s="8" t="str">
        <f ca="1">IFERROR(__xludf.DUMMYFUNCTION("IF
(
C10674=""фізична особа""
,
VLOOKUP(D10674,IMPORTRANGE(""https://docs.google.com/spreadsheets/d/14Bd19lYaqBhU8_DElYkX7l4wRkHqqCUFNJY4AfY3kHU/edit?usp=sharing  #gid=0"",""фіз особи new!relations_name""),6,FALSE)
,
(IF
(
C10674=""юридична особа""
,
VLOO"&amp;"KUP(D10674,IMPORTRANGE(""https://docs.google.com/spreadsheets/d/14Bd19lYaqBhU8_DElYkX7l4wRkHqqCUFNJY4AfY3kHU/edit?usp=sharing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3" s="7" t="s">
        <v>10</v>
      </c>
      <c r="H10673" s="7">
        <v>6327</v>
      </c>
      <c r="I10673" s="8" t="str">
        <f ca="1">IFERROR(__xludf.DUMMYFUNCTION("IF
(
G10674=""фізична особа""
,
VLOOKUP(H10674,IMPORTRANGE(""https://docs.google.com/spreadsheets/d/14Bd19lYaqBhU8_DElYkX7l4wRkHqqCUFNJY4AfY3kHU/edit?usp=sharing  #gid=0"",""фіз особи new!relations_name""),6,FALSE)
,
(IF
(
G10674=""юридична особа""
,
VLOO"&amp;"KUP(H10674,IMPORTRANGE(""https://docs.google.com/spreadsheets/d/14Bd19lYaqBhU8_DElYkX7l4wRkHqqCUFNJY4AfY3kHU/edit?usp=sharing  #gid=0"",""фіз особи new!relations_name_uo""),7,FALSE)
,
)
))"),"СИСУЄВ Олег Миколайович")</f>
        <v>СИСУЄВ Олег Миколайович</v>
      </c>
      <c r="J10673" s="7" t="s">
        <v>11</v>
      </c>
    </row>
    <row r="10674" spans="1:10" ht="13.2">
      <c r="A10674" s="7">
        <v>10673</v>
      </c>
      <c r="B10674" s="7">
        <v>1</v>
      </c>
      <c r="C10674" s="7" t="s">
        <v>10</v>
      </c>
      <c r="D10674" s="7">
        <v>16548</v>
      </c>
      <c r="E10674" s="7" t="s">
        <v>11</v>
      </c>
      <c r="F10674" s="8" t="str">
        <f ca="1">IFERROR(__xludf.DUMMYFUNCTION("IF
(
C10675=""фізична особа""
,
VLOOKUP(D10675,IMPORTRANGE(""https://docs.google.com/spreadsheets/d/14Bd19lYaqBhU8_DElYkX7l4wRkHqqCUFNJY4AfY3kHU/edit?usp=sharing  #gid=0"",""фіз особи new!relations_name""),6,FALSE)
,
(IF
(
C10675=""юридична особа""
,
VLOO"&amp;"KUP(D10675,IMPORTRANGE(""https://docs.google.com/spreadsheets/d/14Bd19lYaqBhU8_DElYkX7l4wRkHqqCUFNJY4AfY3kHU/edit?usp=sharing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4" s="7" t="s">
        <v>10</v>
      </c>
      <c r="H10674" s="7">
        <v>451</v>
      </c>
      <c r="I10674" s="8" t="str">
        <f ca="1">IFERROR(__xludf.DUMMYFUNCTION("IF
(
G10675=""фізична особа""
,
VLOOKUP(H10675,IMPORTRANGE(""https://docs.google.com/spreadsheets/d/14Bd19lYaqBhU8_DElYkX7l4wRkHqqCUFNJY4AfY3kHU/edit?usp=sharing  #gid=0"",""фіз особи new!relations_name""),6,FALSE)
,
(IF
(
G10675=""юридична особа""
,
VLOO"&amp;"KUP(H10675,IMPORTRANGE(""https://docs.google.com/spreadsheets/d/14Bd19lYaqBhU8_DElYkX7l4wRkHqqCUFNJY4AfY3kHU/edit?usp=sharing  #gid=0"",""фіз особи new!relations_name_uo""),7,FALSE)
,
)
))"),"ФРІДМАН Михайло Маратович")</f>
        <v>ФРІДМАН Михайло Маратович</v>
      </c>
      <c r="J10674" s="7" t="s">
        <v>11</v>
      </c>
    </row>
    <row r="10675" spans="1:10" ht="13.2">
      <c r="A10675" s="7">
        <v>10674</v>
      </c>
      <c r="B10675" s="7">
        <v>1</v>
      </c>
      <c r="C10675" s="7" t="s">
        <v>10</v>
      </c>
      <c r="D10675" s="7">
        <v>16548</v>
      </c>
      <c r="E10675" s="7" t="s">
        <v>11</v>
      </c>
      <c r="F10675" s="8" t="str">
        <f ca="1">IFERROR(__xludf.DUMMYFUNCTION("IF
(
C10676=""фізична особа""
,
VLOOKUP(D10676,IMPORTRANGE(""https://docs.google.com/spreadsheets/d/14Bd19lYaqBhU8_DElYkX7l4wRkHqqCUFNJY4AfY3kHU/edit?usp=sharing  #gid=0"",""фіз особи new!relations_name""),6,FALSE)
,
(IF
(
C10676=""юридична особа""
,
VLOO"&amp;"KUP(D10676,IMPORTRANGE(""https://docs.google.com/spreadsheets/d/14Bd19lYaqBhU8_DElYkX7l4wRkHqqCUFNJY4AfY3kHU/edit?usp=sharing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5" s="7" t="s">
        <v>10</v>
      </c>
      <c r="H10675" s="7">
        <v>6483</v>
      </c>
      <c r="I10675" s="8" t="str">
        <f ca="1">IFERROR(__xludf.DUMMYFUNCTION("IF
(
G10676=""фізична особа""
,
VLOOKUP(H10676,IMPORTRANGE(""https://docs.google.com/spreadsheets/d/14Bd19lYaqBhU8_DElYkX7l4wRkHqqCUFNJY4AfY3kHU/edit?usp=sharing  #gid=0"",""фіз особи new!relations_name""),6,FALSE)
,
(IF
(
G10676=""юридична особа""
,
VLOO"&amp;"KUP(H10676,IMPORTRANGE(""https://docs.google.com/spreadsheets/d/14Bd19lYaqBhU8_DElYkX7l4wRkHqqCUFNJY4AfY3kHU/edit?usp=sharing  #gid=0"",""фіз особи new!relations_name_uo""),7,FALSE)
,
)
))"),"МАРЕЙ Олексій Олександрович")</f>
        <v>МАРЕЙ Олексій Олександрович</v>
      </c>
      <c r="J10675" s="7" t="s">
        <v>11</v>
      </c>
    </row>
    <row r="10676" spans="1:10" ht="13.2">
      <c r="A10676" s="7">
        <v>10675</v>
      </c>
      <c r="B10676" s="7">
        <v>1</v>
      </c>
      <c r="C10676" s="7" t="s">
        <v>10</v>
      </c>
      <c r="D10676" s="7">
        <v>16548</v>
      </c>
      <c r="E10676" s="7" t="s">
        <v>11</v>
      </c>
      <c r="F10676" s="8" t="str">
        <f ca="1">IFERROR(__xludf.DUMMYFUNCTION("IF
(
C10677=""фізична особа""
,
VLOOKUP(D10677,IMPORTRANGE(""https://docs.google.com/spreadsheets/d/14Bd19lYaqBhU8_DElYkX7l4wRkHqqCUFNJY4AfY3kHU/edit?usp=sharing  #gid=0"",""фіз особи new!relations_name""),6,FALSE)
,
(IF
(
C10677=""юридична особа""
,
VLOO"&amp;"KUP(D10677,IMPORTRANGE(""https://docs.google.com/spreadsheets/d/14Bd19lYaqBhU8_DElYkX7l4wRkHqqCUFNJY4AfY3kHU/edit?usp=sharing  #gid=0"",""фіз особи new!relations_name_uo""),7,FALSE)
,
)
))"),"ХАРТМАН Оскар")</f>
        <v>ХАРТМАН Оскар</v>
      </c>
      <c r="G10676" s="7" t="s">
        <v>10</v>
      </c>
      <c r="H10676" s="7">
        <v>6200</v>
      </c>
      <c r="I10676" s="8" t="str">
        <f ca="1">IFERROR(__xludf.DUMMYFUNCTION("IF
(
G10677=""фізична особа""
,
VLOOKUP(H10677,IMPORTRANGE(""https://docs.google.com/spreadsheets/d/14Bd19lYaqBhU8_DElYkX7l4wRkHqqCUFNJY4AfY3kHU/edit?usp=sharing  #gid=0"",""фіз особи new!relations_name""),6,FALSE)
,
(IF
(
G10677=""юридична особа""
,
VLOO"&amp;"KUP(H10677,IMPORTRANGE(""https://docs.google.com/spreadsheets/d/14Bd19lYaqBhU8_DElYkX7l4wRkHqqCUFNJY4AfY3kHU/edit?usp=sharing  #gid=0"",""фіз особи new!relations_name_uo""),7,FALSE)
,
)
))"),"СОКОЛОВ Андрій Борисович")</f>
        <v>СОКОЛОВ Андрій Борисович</v>
      </c>
      <c r="J10676" s="7" t="s">
        <v>11</v>
      </c>
    </row>
    <row r="10677" spans="1:10" ht="13.2">
      <c r="A10677" s="7">
        <v>10676</v>
      </c>
      <c r="B10677" s="7">
        <v>1</v>
      </c>
      <c r="C10677" s="7" t="s">
        <v>10</v>
      </c>
      <c r="D10677" s="7">
        <v>16555</v>
      </c>
      <c r="E10677" s="7" t="s">
        <v>23</v>
      </c>
      <c r="F10677" s="8" t="str">
        <f ca="1">IFERROR(__xludf.DUMMYFUNCTION("IF
(
C10678=""фізична особа""
,
VLOOKUP(D10678,IMPORTRANGE(""https://docs.google.com/spreadsheets/d/14Bd19lYaqBhU8_DElYkX7l4wRkHqqCUFNJY4AfY3kHU/edit?usp=sharing  #gid=0"",""фіз особи new!relations_name""),6,FALSE)
,
(IF
(
C10678=""юридична особа""
,
VLOO"&amp;"KUP(D10678,IMPORTRANGE(""https://docs.google.com/spreadsheets/d/14Bd19lYaqBhU8_DElYkX7l4wRkHqqCUFNJY4AfY3kHU/edit?usp=sharing  #gid=0"",""фіз особи new!relations_name_uo""),7,FALSE)
,
)
))"),"ЧУБАР Володимир Олександрович")</f>
        <v>ЧУБАР Володимир Олександрович</v>
      </c>
      <c r="G10677" s="7" t="s">
        <v>10</v>
      </c>
      <c r="H10677" s="7">
        <v>1925</v>
      </c>
      <c r="I10677" s="8" t="str">
        <f ca="1">IFERROR(__xludf.DUMMYFUNCTION("IF
(
G10678=""фізична особа""
,
VLOOKUP(H10678,IMPORTRANGE(""https://docs.google.com/spreadsheets/d/14Bd19lYaqBhU8_DElYkX7l4wRkHqqCUFNJY4AfY3kHU/edit?usp=sharing  #gid=0"",""фіз особи new!relations_name""),6,FALSE)
,
(IF
(
G10678=""юридична особа""
,
VLOO"&amp;"KUP(H10678,IMPORTRANGE(""https://docs.google.com/spreadsheets/d/14Bd19lYaqBhU8_DElYkX7l4wRkHqqCUFNJY4AfY3kHU/edit?usp=sharing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77" s="7" t="s">
        <v>23</v>
      </c>
    </row>
    <row r="10678" spans="1:10" ht="13.2">
      <c r="A10678" s="7">
        <v>10677</v>
      </c>
      <c r="B10678" s="7">
        <v>1</v>
      </c>
      <c r="C10678" s="7" t="s">
        <v>10</v>
      </c>
      <c r="D10678" s="7">
        <v>16556</v>
      </c>
      <c r="E10678" s="7" t="s">
        <v>23</v>
      </c>
      <c r="F10678" s="8" t="str">
        <f ca="1">IFERROR(__xludf.DUMMYFUNCTION("IF
(
C10679=""фізична особа""
,
VLOOKUP(D10679,IMPORTRANGE(""https://docs.google.com/spreadsheets/d/14Bd19lYaqBhU8_DElYkX7l4wRkHqqCUFNJY4AfY3kHU/edit?usp=sharing  #gid=0"",""фіз особи new!relations_name""),6,FALSE)
,
(IF
(
C10679=""юридична особа""
,
VLOO"&amp;"KUP(D10679,IMPORTRANGE(""https://docs.google.com/spreadsheets/d/14Bd19lYaqBhU8_DElYkX7l4wRkHqqCUFNJY4AfY3kHU/edit?usp=sharing  #gid=0"",""фіз особи new!relations_name_uo""),7,FALSE)
,
)
))"),"ГАЗИТУА Ендрю Серджио")</f>
        <v>ГАЗИТУА Ендрю Серджио</v>
      </c>
      <c r="G10678" s="7" t="s">
        <v>10</v>
      </c>
      <c r="H10678" s="7">
        <v>1925</v>
      </c>
      <c r="I10678" s="8" t="str">
        <f ca="1">IFERROR(__xludf.DUMMYFUNCTION("IF
(
G10679=""фізична особа""
,
VLOOKUP(H10679,IMPORTRANGE(""https://docs.google.com/spreadsheets/d/14Bd19lYaqBhU8_DElYkX7l4wRkHqqCUFNJY4AfY3kHU/edit?usp=sharing  #gid=0"",""фіз особи new!relations_name""),6,FALSE)
,
(IF
(
G10679=""юридична особа""
,
VLOO"&amp;"KUP(H10679,IMPORTRANGE(""https://docs.google.com/spreadsheets/d/14Bd19lYaqBhU8_DElYkX7l4wRkHqqCUFNJY4AfY3kHU/edit?usp=sharing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78" s="7" t="s">
        <v>23</v>
      </c>
    </row>
    <row r="10679" spans="1:10" ht="13.2">
      <c r="A10679" s="7">
        <v>10678</v>
      </c>
      <c r="B10679" s="7">
        <v>1</v>
      </c>
      <c r="C10679" s="7" t="s">
        <v>10</v>
      </c>
      <c r="D10679" s="7">
        <v>16557</v>
      </c>
      <c r="E10679" s="7" t="s">
        <v>23</v>
      </c>
      <c r="F10679" s="8" t="str">
        <f ca="1">IFERROR(__xludf.DUMMYFUNCTION("IF
(
C10680=""фізична особа""
,
VLOOKUP(D10680,IMPORTRANGE(""https://docs.google.com/spreadsheets/d/14Bd19lYaqBhU8_DElYkX7l4wRkHqqCUFNJY4AfY3kHU/edit?usp=sharing  #gid=0"",""фіз особи new!relations_name""),6,FALSE)
,
(IF
(
C10680=""юридична особа""
,
VLOO"&amp;"KUP(D10680,IMPORTRANGE(""https://docs.google.com/spreadsheets/d/14Bd19lYaqBhU8_DElYkX7l4wRkHqqCUFNJY4AfY3kHU/edit?usp=sharing  #gid=0"",""фіз особи new!relations_name_uo""),7,FALSE)
,
)
))"),"ЛОРД Пітер Дарсбері")</f>
        <v>ЛОРД Пітер Дарсбері</v>
      </c>
      <c r="G10679" s="7" t="s">
        <v>10</v>
      </c>
      <c r="H10679" s="7">
        <v>1925</v>
      </c>
      <c r="I10679" s="8" t="str">
        <f ca="1">IFERROR(__xludf.DUMMYFUNCTION("IF
(
G10680=""фізична особа""
,
VLOOKUP(H10680,IMPORTRANGE(""https://docs.google.com/spreadsheets/d/14Bd19lYaqBhU8_DElYkX7l4wRkHqqCUFNJY4AfY3kHU/edit?usp=sharing  #gid=0"",""фіз особи new!relations_name""),6,FALSE)
,
(IF
(
G10680=""юридична особа""
,
VLOO"&amp;"KUP(H10680,IMPORTRANGE(""https://docs.google.com/spreadsheets/d/14Bd19lYaqBhU8_DElYkX7l4wRkHqqCUFNJY4AfY3kHU/edit?usp=sharing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79" s="7" t="s">
        <v>23</v>
      </c>
    </row>
    <row r="10680" spans="1:10" ht="13.2">
      <c r="A10680" s="7">
        <v>10679</v>
      </c>
      <c r="B10680" s="7">
        <v>1</v>
      </c>
      <c r="C10680" s="7" t="s">
        <v>10</v>
      </c>
      <c r="D10680" s="7">
        <v>16558</v>
      </c>
      <c r="E10680" s="7" t="s">
        <v>23</v>
      </c>
      <c r="F10680" s="8" t="str">
        <f ca="1">IFERROR(__xludf.DUMMYFUNCTION("IF
(
C10681=""фізична особа""
,
VLOOKUP(D10681,IMPORTRANGE(""https://docs.google.com/spreadsheets/d/14Bd19lYaqBhU8_DElYkX7l4wRkHqqCUFNJY4AfY3kHU/edit?usp=sharing  #gid=0"",""фіз особи new!relations_name""),6,FALSE)
,
(IF
(
C10681=""юридична особа""
,
VLOO"&amp;"KUP(D10681,IMPORTRANGE(""https://docs.google.com/spreadsheets/d/14Bd19lYaqBhU8_DElYkX7l4wRkHqqCUFNJY4AfY3kHU/edit?usp=sharing  #gid=0"",""фіз особи new!relations_name_uo""),7,FALSE)
,
)
))"),"КЛІНГЕН Андреас")</f>
        <v>КЛІНГЕН Андреас</v>
      </c>
      <c r="G10680" s="7" t="s">
        <v>10</v>
      </c>
      <c r="H10680" s="7">
        <v>1925</v>
      </c>
      <c r="I10680" s="8" t="str">
        <f ca="1">IFERROR(__xludf.DUMMYFUNCTION("IF
(
G10681=""фізична особа""
,
VLOOKUP(H10681,IMPORTRANGE(""https://docs.google.com/spreadsheets/d/14Bd19lYaqBhU8_DElYkX7l4wRkHqqCUFNJY4AfY3kHU/edit?usp=sharing  #gid=0"",""фіз особи new!relations_name""),6,FALSE)
,
(IF
(
G10681=""юридична особа""
,
VLOO"&amp;"KUP(H10681,IMPORTRANGE(""https://docs.google.com/spreadsheets/d/14Bd19lYaqBhU8_DElYkX7l4wRkHqqCUFNJY4AfY3kHU/edit?usp=sharing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80" s="7" t="s">
        <v>23</v>
      </c>
    </row>
    <row r="10681" spans="1:10" ht="13.2">
      <c r="A10681" s="7">
        <v>10680</v>
      </c>
      <c r="B10681" s="7">
        <v>1</v>
      </c>
      <c r="C10681" s="7" t="s">
        <v>10</v>
      </c>
      <c r="D10681" s="7">
        <v>16559</v>
      </c>
      <c r="E10681" s="7" t="s">
        <v>23</v>
      </c>
      <c r="F10681" s="8" t="str">
        <f ca="1">IFERROR(__xludf.DUMMYFUNCTION("IF
(
C10682=""фізична особа""
,
VLOOKUP(D10682,IMPORTRANGE(""https://docs.google.com/spreadsheets/d/14Bd19lYaqBhU8_DElYkX7l4wRkHqqCUFNJY4AfY3kHU/edit?usp=sharing  #gid=0"",""фіз особи new!relations_name""),6,FALSE)
,
(IF
(
C10682=""юридична особа""
,
VLOO"&amp;"KUP(D10682,IMPORTRANGE(""https://docs.google.com/spreadsheets/d/14Bd19lYaqBhU8_DElYkX7l4wRkHqqCUFNJY4AfY3kHU/edit?usp=sharing  #gid=0"",""фіз особи new!relations_name_uo""),7,FALSE)
,
)
))"),"САЛОНЕН Ілкка Сеппо")</f>
        <v>САЛОНЕН Ілкка Сеппо</v>
      </c>
      <c r="G10681" s="7" t="s">
        <v>10</v>
      </c>
      <c r="H10681" s="7">
        <v>1925</v>
      </c>
      <c r="I10681" s="8" t="str">
        <f ca="1">IFERROR(__xludf.DUMMYFUNCTION("IF
(
G10682=""фізична особа""
,
VLOOKUP(H10682,IMPORTRANGE(""https://docs.google.com/spreadsheets/d/14Bd19lYaqBhU8_DElYkX7l4wRkHqqCUFNJY4AfY3kHU/edit?usp=sharing  #gid=0"",""фіз особи new!relations_name""),6,FALSE)
,
(IF
(
G10682=""юридична особа""
,
VLOO"&amp;"KUP(H10682,IMPORTRANGE(""https://docs.google.com/spreadsheets/d/14Bd19lYaqBhU8_DElYkX7l4wRkHqqCUFNJY4AfY3kHU/edit?usp=sharing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81" s="7" t="s">
        <v>23</v>
      </c>
    </row>
    <row r="10682" spans="1:10" ht="13.2">
      <c r="A10682" s="7">
        <v>10681</v>
      </c>
      <c r="B10682" s="7">
        <v>1</v>
      </c>
      <c r="C10682" s="7" t="s">
        <v>10</v>
      </c>
      <c r="D10682" s="7">
        <v>16560</v>
      </c>
      <c r="E10682" s="7" t="s">
        <v>23</v>
      </c>
      <c r="F10682" s="8" t="str">
        <f ca="1">IFERROR(__xludf.DUMMYFUNCTION("IF
(
C10683=""фізична особа""
,
VLOOKUP(D10683,IMPORTRANGE(""https://docs.google.com/spreadsheets/d/14Bd19lYaqBhU8_DElYkX7l4wRkHqqCUFNJY4AfY3kHU/edit?usp=sharing  #gid=0"",""фіз особи new!relations_name""),6,FALSE)
,
(IF
(
C10683=""юридична особа""
,
VLOO"&amp;"KUP(D10683,IMPORTRANGE(""https://docs.google.com/spreadsheets/d/14Bd19lYaqBhU8_DElYkX7l4wRkHqqCUFNJY4AfY3kHU/edit?usp=sharing  #gid=0"",""фіз особи new!relations_name_uo""),7,FALSE)
,
)
))"),"СТЕПАНЕНКО Олексій Анатолійович")</f>
        <v>СТЕПАНЕНКО Олексій Анатолійович</v>
      </c>
      <c r="G10682" s="7" t="s">
        <v>10</v>
      </c>
      <c r="H10682" s="7">
        <v>1925</v>
      </c>
      <c r="I10682" s="8" t="str">
        <f ca="1">IFERROR(__xludf.DUMMYFUNCTION("IF
(
G10683=""фізична особа""
,
VLOOKUP(H10683,IMPORTRANGE(""https://docs.google.com/spreadsheets/d/14Bd19lYaqBhU8_DElYkX7l4wRkHqqCUFNJY4AfY3kHU/edit?usp=sharing  #gid=0"",""фіз особи new!relations_name""),6,FALSE)
,
(IF
(
G10683=""юридична особа""
,
VLOO"&amp;"KUP(H10683,IMPORTRANGE(""https://docs.google.com/spreadsheets/d/14Bd19lYaqBhU8_DElYkX7l4wRkHqqCUFNJY4AfY3kHU/edit?usp=sharing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0682" s="7" t="s">
        <v>23</v>
      </c>
    </row>
    <row r="10683" spans="1:10" ht="13.2">
      <c r="A10683" s="7">
        <v>10682</v>
      </c>
      <c r="B10683" s="7">
        <v>1</v>
      </c>
      <c r="C10683" s="7" t="s">
        <v>10</v>
      </c>
      <c r="D10683" s="7">
        <v>16561</v>
      </c>
      <c r="E10683" s="7" t="s">
        <v>23</v>
      </c>
      <c r="F10683" s="8" t="str">
        <f ca="1">IFERROR(__xludf.DUMMYFUNCTION("IF
(
C10684=""фізична особа""
,
VLOOKUP(D10684,IMPORTRANGE(""https://docs.google.com/spreadsheets/d/14Bd19lYaqBhU8_DElYkX7l4wRkHqqCUFNJY4AfY3kHU/edit?usp=sharing  #gid=0"",""фіз особи new!relations_name""),6,FALSE)
,
(IF
(
C10684=""юридична особа""
,
VLOO"&amp;"KUP(D10684,IMPORTRANGE(""https://docs.google.com/spreadsheets/d/14Bd19lYaqBhU8_DElYkX7l4wRkHqqCUFNJY4AfY3kHU/edit?usp=sharing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G10683" s="7" t="s">
        <v>10</v>
      </c>
      <c r="H10683" s="7">
        <v>17626</v>
      </c>
      <c r="I10683" s="8" t="str">
        <f ca="1">IFERROR(__xludf.DUMMYFUNCTION("IF
(
G10684=""фізична особа""
,
VLOOKUP(H10684,IMPORTRANGE(""https://docs.google.com/spreadsheets/d/14Bd19lYaqBhU8_DElYkX7l4wRkHqqCUFNJY4AfY3kHU/edit?usp=sharing  #gid=0"",""фіз особи new!relations_name""),6,FALSE)
,
(IF
(
G10684=""юридична особа""
,
VLOO"&amp;"KUP(H10684,IMPORTRANGE(""https://docs.google.com/spreadsheets/d/14Bd19lYaqBhU8_DElYkX7l4wRkHqqCUFNJY4AfY3kHU/edit?usp=sharing  #gid=0"",""фіз особи new!relations_name_uo""),7,FALSE)
,
)
))"),"ЛОГІНОВ Ігор Володимирович")</f>
        <v>ЛОГІНОВ Ігор Володимирович</v>
      </c>
      <c r="J10683" s="7" t="s">
        <v>23</v>
      </c>
    </row>
    <row r="10684" spans="1:10" ht="13.2">
      <c r="A10684" s="7">
        <v>10683</v>
      </c>
      <c r="B10684" s="7">
        <v>1</v>
      </c>
      <c r="C10684" s="7" t="s">
        <v>10</v>
      </c>
      <c r="D10684" s="7">
        <v>16561</v>
      </c>
      <c r="E10684" s="7" t="s">
        <v>23</v>
      </c>
      <c r="F10684" s="8" t="str">
        <f ca="1">IFERROR(__xludf.DUMMYFUNCTION("IF
(
C10685=""фізична особа""
,
VLOOKUP(D10685,IMPORTRANGE(""https://docs.google.com/spreadsheets/d/14Bd19lYaqBhU8_DElYkX7l4wRkHqqCUFNJY4AfY3kHU/edit?usp=sharing  #gid=0"",""фіз особи new!relations_name""),6,FALSE)
,
(IF
(
C10685=""юридична особа""
,
VLOO"&amp;"KUP(D10685,IMPORTRANGE(""https://docs.google.com/spreadsheets/d/14Bd19lYaqBhU8_DElYkX7l4wRkHqqCUFNJY4AfY3kHU/edit?usp=sharing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G10684" s="7" t="s">
        <v>10</v>
      </c>
      <c r="H10684" s="7">
        <v>17627</v>
      </c>
      <c r="I10684" s="8" t="str">
        <f ca="1">IFERROR(__xludf.DUMMYFUNCTION("IF
(
G10685=""фізична особа""
,
VLOOKUP(H10685,IMPORTRANGE(""https://docs.google.com/spreadsheets/d/14Bd19lYaqBhU8_DElYkX7l4wRkHqqCUFNJY4AfY3kHU/edit?usp=sharing  #gid=0"",""фіз особи new!relations_name""),6,FALSE)
,
(IF
(
G10685=""юридична особа""
,
VLOO"&amp;"KUP(H10685,IMPORTRANGE(""https://docs.google.com/spreadsheets/d/14Bd19lYaqBhU8_DElYkX7l4wRkHqqCUFNJY4AfY3kHU/edit?usp=sharing  #gid=0"",""фіз особи new!relations_name_uo""),7,FALSE)
,
)
))"),"ДРЮЧЕНКО Любов Григорівна")</f>
        <v>ДРЮЧЕНКО Любов Григорівна</v>
      </c>
      <c r="J10684" s="7" t="s">
        <v>23</v>
      </c>
    </row>
    <row r="10685" spans="1:10" ht="13.2">
      <c r="A10685" s="7">
        <v>10684</v>
      </c>
      <c r="B10685" s="7">
        <v>1</v>
      </c>
      <c r="C10685" s="7" t="s">
        <v>10</v>
      </c>
      <c r="D10685" s="7">
        <v>16565</v>
      </c>
      <c r="E10685" s="7" t="s">
        <v>12</v>
      </c>
      <c r="F10685" s="8" t="str">
        <f ca="1">IFERROR(__xludf.DUMMYFUNCTION("IF
(
C10686=""фізична особа""
,
VLOOKUP(D10686,IMPORTRANGE(""https://docs.google.com/spreadsheets/d/14Bd19lYaqBhU8_DElYkX7l4wRkHqqCUFNJY4AfY3kHU/edit?usp=sharing  #gid=0"",""фіз особи new!relations_name""),6,FALSE)
,
(IF
(
C10686=""юридична особа""
,
VLOO"&amp;"KUP(D10686,IMPORTRANGE(""https://docs.google.com/spreadsheets/d/14Bd19lYaqBhU8_DElYkX7l4wRkHqqCUFNJY4AfY3kHU/edit?usp=sharing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G10685" s="7" t="s">
        <v>10</v>
      </c>
      <c r="H10685" s="7">
        <v>3900</v>
      </c>
      <c r="I10685" s="8" t="str">
        <f ca="1">IFERROR(__xludf.DUMMYFUNCTION("IF
(
G10686=""фізична особа""
,
VLOOKUP(H10686,IMPORTRANGE(""https://docs.google.com/spreadsheets/d/14Bd19lYaqBhU8_DElYkX7l4wRkHqqCUFNJY4AfY3kHU/edit?usp=sharing  #gid=0"",""фіз особи new!relations_name""),6,FALSE)
,
(IF
(
G10686=""юридична особа""
,
VLOO"&amp;"KUP(H10686,IMPORTRANGE(""https://docs.google.com/spreadsheets/d/14Bd19lYaqBhU8_DElYkX7l4wRkHqqCUFNJY4AfY3kHU/edit?usp=sharing  #gid=0"",""фіз особи new!relations_name_uo""),7,FALSE)
,
)
))"),"ЧИХАНЧИН Андрій Юрійович")</f>
        <v>ЧИХАНЧИН Андрій Юрійович</v>
      </c>
      <c r="J10685" s="7" t="s">
        <v>17</v>
      </c>
    </row>
    <row r="10686" spans="1:10" ht="13.2">
      <c r="A10686" s="7">
        <v>10685</v>
      </c>
      <c r="B10686" s="7">
        <v>1</v>
      </c>
      <c r="C10686" s="7" t="s">
        <v>10</v>
      </c>
      <c r="D10686" s="7">
        <v>16565</v>
      </c>
      <c r="E10686" s="7" t="s">
        <v>34</v>
      </c>
      <c r="F10686" s="8" t="str">
        <f ca="1">IFERROR(__xludf.DUMMYFUNCTION("IF
(
C10687=""фізична особа""
,
VLOOKUP(D10687,IMPORTRANGE(""https://docs.google.com/spreadsheets/d/14Bd19lYaqBhU8_DElYkX7l4wRkHqqCUFNJY4AfY3kHU/edit?usp=sharing  #gid=0"",""фіз особи new!relations_name""),6,FALSE)
,
(IF
(
C10687=""юридична особа""
,
VLOO"&amp;"KUP(D10687,IMPORTRANGE(""https://docs.google.com/spreadsheets/d/14Bd19lYaqBhU8_DElYkX7l4wRkHqqCUFNJY4AfY3kHU/edit?usp=sharing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G10686" s="7" t="s">
        <v>10</v>
      </c>
      <c r="H10686" s="7">
        <v>0</v>
      </c>
      <c r="I10686" s="8" t="str">
        <f ca="1">IFERROR(__xludf.DUMMYFUNCTION("IF
(
G10687=""фізична особа""
,
VLOOKUP(H10687,IMPORTRANGE(""https://docs.google.com/spreadsheets/d/14Bd19lYaqBhU8_DElYkX7l4wRkHqqCUFNJY4AfY3kHU/edit?usp=sharing  #gid=0"",""фіз особи new!relations_name""),6,FALSE)
,
(IF
(
G10687=""юридична особа""
,
VLOO"&amp;"KUP(H10687,IMPORTRANGE(""https://docs.google.com/spreadsheets/d/14Bd19lYaqBhU8_DElYkX7l4wRkHqqCUFNJY4AfY3kHU/edit?usp=sharing  #gid=0"",""фіз особи new!relations_name_uo""),7,FALSE)
,
)
))"),"#N/A")</f>
        <v>#N/A</v>
      </c>
      <c r="J10686" s="7" t="s">
        <v>25</v>
      </c>
    </row>
    <row r="10687" spans="1:10" ht="13.2">
      <c r="A10687" s="7">
        <v>10686</v>
      </c>
      <c r="B10687" s="7">
        <v>1</v>
      </c>
      <c r="C10687" s="7" t="s">
        <v>10</v>
      </c>
      <c r="D10687" s="7">
        <v>16565</v>
      </c>
      <c r="E10687" s="7" t="s">
        <v>59</v>
      </c>
      <c r="F10687" s="8" t="str">
        <f ca="1">IFERROR(__xludf.DUMMYFUNCTION("IF
(
C10688=""фізична особа""
,
VLOOKUP(D10688,IMPORTRANGE(""https://docs.google.com/spreadsheets/d/14Bd19lYaqBhU8_DElYkX7l4wRkHqqCUFNJY4AfY3kHU/edit?usp=sharing  #gid=0"",""фіз особи new!relations_name""),6,FALSE)
,
(IF
(
C10688=""юридична особа""
,
VLOO"&amp;"KUP(D10688,IMPORTRANGE(""https://docs.google.com/spreadsheets/d/14Bd19lYaqBhU8_DElYkX7l4wRkHqqCUFNJY4AfY3kHU/edit?usp=sharing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G10687" s="7" t="s">
        <v>10</v>
      </c>
      <c r="H10687" s="7">
        <v>0</v>
      </c>
      <c r="I10687" s="8" t="str">
        <f ca="1">IFERROR(__xludf.DUMMYFUNCTION("IF
(
G10688=""фізична особа""
,
VLOOKUP(H10688,IMPORTRANGE(""https://docs.google.com/spreadsheets/d/14Bd19lYaqBhU8_DElYkX7l4wRkHqqCUFNJY4AfY3kHU/edit?usp=sharing  #gid=0"",""фіз особи new!relations_name""),6,FALSE)
,
(IF
(
G10688=""юридична особа""
,
VLOO"&amp;"KUP(H10688,IMPORTRANGE(""https://docs.google.com/spreadsheets/d/14Bd19lYaqBhU8_DElYkX7l4wRkHqqCUFNJY4AfY3kHU/edit?usp=sharing  #gid=0"",""фіз особи new!relations_name_uo""),7,FALSE)
,
)
))"),"#N/A")</f>
        <v>#N/A</v>
      </c>
      <c r="J10687" s="7" t="s">
        <v>60</v>
      </c>
    </row>
    <row r="10688" spans="1:10" ht="13.2">
      <c r="A10688" s="7">
        <v>10687</v>
      </c>
      <c r="B10688" s="7">
        <v>1</v>
      </c>
      <c r="C10688" s="7" t="s">
        <v>10</v>
      </c>
      <c r="D10688" s="7">
        <v>16565</v>
      </c>
      <c r="E10688" s="7" t="s">
        <v>14</v>
      </c>
      <c r="F10688" s="8" t="str">
        <f ca="1">IFERROR(__xludf.DUMMYFUNCTION("IF
(
C10689=""фізична особа""
,
VLOOKUP(D10689,IMPORTRANGE(""https://docs.google.com/spreadsheets/d/14Bd19lYaqBhU8_DElYkX7l4wRkHqqCUFNJY4AfY3kHU/edit?usp=sharing  #gid=0"",""фіз особи new!relations_name""),6,FALSE)
,
(IF
(
C10689=""юридична особа""
,
VLOO"&amp;"KUP(D10689,IMPORTRANGE(""https://docs.google.com/spreadsheets/d/14Bd19lYaqBhU8_DElYkX7l4wRkHqqCUFNJY4AfY3kHU/edit?usp=sharing  #gid=0"",""фіз особи new!relations_name_uo""),7,FALSE)
,
)
))"),"ЧИХАНЧИН Юрій Анатолійович")</f>
        <v>ЧИХАНЧИН Юрій Анатолійович</v>
      </c>
      <c r="G10688" s="7" t="s">
        <v>10</v>
      </c>
      <c r="H10688" s="7">
        <v>0</v>
      </c>
      <c r="I10688" s="8" t="str">
        <f ca="1">IFERROR(__xludf.DUMMYFUNCTION("IF
(
G10689=""фізична особа""
,
VLOOKUP(H10689,IMPORTRANGE(""https://docs.google.com/spreadsheets/d/14Bd19lYaqBhU8_DElYkX7l4wRkHqqCUFNJY4AfY3kHU/edit?usp=sharing  #gid=0"",""фіз особи new!relations_name""),6,FALSE)
,
(IF
(
G10689=""юридична особа""
,
VLOO"&amp;"KUP(H10689,IMPORTRANGE(""https://docs.google.com/spreadsheets/d/14Bd19lYaqBhU8_DElYkX7l4wRkHqqCUFNJY4AfY3kHU/edit?usp=sharing  #gid=0"",""фіз особи new!relations_name_uo""),7,FALSE)
,
)
))"),"#N/A")</f>
        <v>#N/A</v>
      </c>
      <c r="J10688" s="7" t="s">
        <v>15</v>
      </c>
    </row>
    <row r="10689" spans="1:10" ht="13.2">
      <c r="A10689" s="7">
        <v>10688</v>
      </c>
      <c r="B10689" s="7">
        <v>1</v>
      </c>
      <c r="C10689" s="7" t="s">
        <v>10</v>
      </c>
      <c r="D10689" s="7">
        <v>16781</v>
      </c>
      <c r="E10689" s="7" t="s">
        <v>11</v>
      </c>
      <c r="F10689" s="8" t="str">
        <f ca="1">IFERROR(__xludf.DUMMYFUNCTION("IF
(
C10690=""фізична особа""
,
VLOOKUP(D10690,IMPORTRANGE(""https://docs.google.com/spreadsheets/d/14Bd19lYaqBhU8_DElYkX7l4wRkHqqCUFNJY4AfY3kHU/edit?usp=sharing  #gid=0"",""фіз особи new!relations_name""),6,FALSE)
,
(IF
(
C10690=""юридична особа""
,
VLOO"&amp;"KUP(D10690,IMPORTRANGE(""https://docs.google.com/spreadsheets/d/14Bd19lYaqBhU8_DElYkX7l4wRkHqqCUFNJY4AfY3kHU/edit?usp=sharing  #gid=0"",""фіз особи new!relations_name_uo""),7,FALSE)
,
)
))"),"КІРСАНОВ Дмитро Миколайович")</f>
        <v>КІРСАНОВ Дмитро Миколайович</v>
      </c>
      <c r="G10689" s="7" t="s">
        <v>10</v>
      </c>
      <c r="H10689" s="7">
        <v>8773</v>
      </c>
      <c r="I10689" s="8" t="str">
        <f ca="1">IFERROR(__xludf.DUMMYFUNCTION("IF
(
G10690=""фізична особа""
,
VLOOKUP(H10690,IMPORTRANGE(""https://docs.google.com/spreadsheets/d/14Bd19lYaqBhU8_DElYkX7l4wRkHqqCUFNJY4AfY3kHU/edit?usp=sharing  #gid=0"",""фіз особи new!relations_name""),6,FALSE)
,
(IF
(
G10690=""юридична особа""
,
VLOO"&amp;"KUP(H10690,IMPORTRANGE(""https://docs.google.com/spreadsheets/d/14Bd19lYaqBhU8_DElYkX7l4wRkHqqCUFNJY4AfY3kHU/edit?usp=sharing  #gid=0"",""фіз особи new!relations_name_uo""),7,FALSE)
,
)
))"),"ЛОМАКІН Сергій Олександрович")</f>
        <v>ЛОМАКІН Сергій Олександрович</v>
      </c>
      <c r="J10689" s="7" t="s">
        <v>11</v>
      </c>
    </row>
    <row r="10690" spans="1:10" ht="13.2">
      <c r="A10690" s="7">
        <v>10689</v>
      </c>
      <c r="B10690" s="7">
        <v>1</v>
      </c>
      <c r="C10690" s="7" t="s">
        <v>10</v>
      </c>
      <c r="D10690" s="7">
        <v>16781</v>
      </c>
      <c r="E10690" s="7" t="s">
        <v>11</v>
      </c>
      <c r="F10690" s="8" t="str">
        <f ca="1">IFERROR(__xludf.DUMMYFUNCTION("IF
(
C10691=""фізична особа""
,
VLOOKUP(D10691,IMPORTRANGE(""https://docs.google.com/spreadsheets/d/14Bd19lYaqBhU8_DElYkX7l4wRkHqqCUFNJY4AfY3kHU/edit?usp=sharing  #gid=0"",""фіз особи new!relations_name""),6,FALSE)
,
(IF
(
C10691=""юридична особа""
,
VLOO"&amp;"KUP(D10691,IMPORTRANGE(""https://docs.google.com/spreadsheets/d/14Bd19lYaqBhU8_DElYkX7l4wRkHqqCUFNJY4AfY3kHU/edit?usp=sharing  #gid=0"",""фіз особи new!relations_name_uo""),7,FALSE)
,
)
))"),"КІРСАНОВ Дмитро Миколайович")</f>
        <v>КІРСАНОВ Дмитро Миколайович</v>
      </c>
      <c r="G10690" s="7" t="s">
        <v>10</v>
      </c>
      <c r="H10690" s="7">
        <v>8774</v>
      </c>
      <c r="I10690" s="8" t="str">
        <f ca="1">IFERROR(__xludf.DUMMYFUNCTION("IF
(
G10691=""фізична особа""
,
VLOOKUP(H10691,IMPORTRANGE(""https://docs.google.com/spreadsheets/d/14Bd19lYaqBhU8_DElYkX7l4wRkHqqCUFNJY4AfY3kHU/edit?usp=sharing  #gid=0"",""фіз особи new!relations_name""),6,FALSE)
,
(IF
(
G10691=""юридична особа""
,
VLOO"&amp;"KUP(H10691,IMPORTRANGE(""https://docs.google.com/spreadsheets/d/14Bd19lYaqBhU8_DElYkX7l4wRkHqqCUFNJY4AfY3kHU/edit?usp=sharing  #gid=0"",""фіз особи new!relations_name_uo""),7,FALSE)
,
)
))"),"ХАЧАТРЯН Артем Каренович")</f>
        <v>ХАЧАТРЯН Артем Каренович</v>
      </c>
      <c r="J10690" s="7" t="s">
        <v>11</v>
      </c>
    </row>
    <row r="10691" spans="1:10" ht="13.2">
      <c r="A10691" s="7">
        <v>10690</v>
      </c>
      <c r="B10691" s="7">
        <v>1</v>
      </c>
      <c r="C10691" s="7" t="s">
        <v>10</v>
      </c>
      <c r="D10691" s="7">
        <v>16782</v>
      </c>
      <c r="E10691" s="7" t="s">
        <v>11</v>
      </c>
      <c r="F10691" s="8" t="str">
        <f ca="1">IFERROR(__xludf.DUMMYFUNCTION("IF
(
C10692=""фізична особа""
,
VLOOKUP(D10692,IMPORTRANGE(""https://docs.google.com/spreadsheets/d/14Bd19lYaqBhU8_DElYkX7l4wRkHqqCUFNJY4AfY3kHU/edit?usp=sharing  #gid=0"",""фіз особи new!relations_name""),6,FALSE)
,
(IF
(
C10692=""юридична особа""
,
VLOO"&amp;"KUP(D10692,IMPORTRANGE(""https://docs.google.com/spreadsheets/d/14Bd19lYaqBhU8_DElYkX7l4wRkHqqCUFNJY4AfY3kHU/edit?usp=sharing  #gid=0"",""фіз особи new!relations_name_uo""),7,FALSE)
,
)
))"),"МАХНЄВ Олексій Петрович")</f>
        <v>МАХНЄВ Олексій Петрович</v>
      </c>
      <c r="G10691" s="7" t="s">
        <v>10</v>
      </c>
      <c r="H10691" s="7">
        <v>8773</v>
      </c>
      <c r="I10691" s="8" t="str">
        <f ca="1">IFERROR(__xludf.DUMMYFUNCTION("IF
(
G10692=""фізична особа""
,
VLOOKUP(H10692,IMPORTRANGE(""https://docs.google.com/spreadsheets/d/14Bd19lYaqBhU8_DElYkX7l4wRkHqqCUFNJY4AfY3kHU/edit?usp=sharing  #gid=0"",""фіз особи new!relations_name""),6,FALSE)
,
(IF
(
G10692=""юридична особа""
,
VLOO"&amp;"KUP(H10692,IMPORTRANGE(""https://docs.google.com/spreadsheets/d/14Bd19lYaqBhU8_DElYkX7l4wRkHqqCUFNJY4AfY3kHU/edit?usp=sharing  #gid=0"",""фіз особи new!relations_name_uo""),7,FALSE)
,
)
))"),"ЛОМАКІН Сергій Олександрович")</f>
        <v>ЛОМАКІН Сергій Олександрович</v>
      </c>
      <c r="J10691" s="7" t="s">
        <v>11</v>
      </c>
    </row>
    <row r="10692" spans="1:10" ht="13.2">
      <c r="A10692" s="7">
        <v>10691</v>
      </c>
      <c r="B10692" s="7">
        <v>1</v>
      </c>
      <c r="C10692" s="7" t="s">
        <v>10</v>
      </c>
      <c r="D10692" s="7">
        <v>16782</v>
      </c>
      <c r="E10692" s="7" t="s">
        <v>11</v>
      </c>
      <c r="F10692" s="8" t="str">
        <f ca="1">IFERROR(__xludf.DUMMYFUNCTION("IF
(
C10693=""фізична особа""
,
VLOOKUP(D10693,IMPORTRANGE(""https://docs.google.com/spreadsheets/d/14Bd19lYaqBhU8_DElYkX7l4wRkHqqCUFNJY4AfY3kHU/edit?usp=sharing  #gid=0"",""фіз особи new!relations_name""),6,FALSE)
,
(IF
(
C10693=""юридична особа""
,
VLOO"&amp;"KUP(D10693,IMPORTRANGE(""https://docs.google.com/spreadsheets/d/14Bd19lYaqBhU8_DElYkX7l4wRkHqqCUFNJY4AfY3kHU/edit?usp=sharing  #gid=0"",""фіз особи new!relations_name_uo""),7,FALSE)
,
)
))"),"МАХНЄВ Олексій Петрович")</f>
        <v>МАХНЄВ Олексій Петрович</v>
      </c>
      <c r="G10692" s="7" t="s">
        <v>10</v>
      </c>
      <c r="H10692" s="7">
        <v>8774</v>
      </c>
      <c r="I10692" s="8" t="str">
        <f ca="1">IFERROR(__xludf.DUMMYFUNCTION("IF
(
G10693=""фізична особа""
,
VLOOKUP(H10693,IMPORTRANGE(""https://docs.google.com/spreadsheets/d/14Bd19lYaqBhU8_DElYkX7l4wRkHqqCUFNJY4AfY3kHU/edit?usp=sharing  #gid=0"",""фіз особи new!relations_name""),6,FALSE)
,
(IF
(
G10693=""юридична особа""
,
VLOO"&amp;"KUP(H10693,IMPORTRANGE(""https://docs.google.com/spreadsheets/d/14Bd19lYaqBhU8_DElYkX7l4wRkHqqCUFNJY4AfY3kHU/edit?usp=sharing  #gid=0"",""фіз особи new!relations_name_uo""),7,FALSE)
,
)
))"),"ХАЧАТРЯН Артем Каренович")</f>
        <v>ХАЧАТРЯН Артем Каренович</v>
      </c>
      <c r="J10692" s="7" t="s">
        <v>11</v>
      </c>
    </row>
    <row r="10693" spans="1:10" ht="13.2">
      <c r="A10693" s="7">
        <v>10692</v>
      </c>
      <c r="B10693" s="7">
        <v>1</v>
      </c>
      <c r="C10693" s="7" t="s">
        <v>10</v>
      </c>
      <c r="D10693" s="7">
        <v>16783</v>
      </c>
      <c r="E10693" s="7" t="s">
        <v>11</v>
      </c>
      <c r="F10693" s="8" t="str">
        <f ca="1">IFERROR(__xludf.DUMMYFUNCTION("IF
(
C10694=""фізична особа""
,
VLOOKUP(D10694,IMPORTRANGE(""https://docs.google.com/spreadsheets/d/14Bd19lYaqBhU8_DElYkX7l4wRkHqqCUFNJY4AfY3kHU/edit?usp=sharing  #gid=0"",""фіз особи new!relations_name""),6,FALSE)
,
(IF
(
C10694=""юридична особа""
,
VLOO"&amp;"KUP(D10694,IMPORTRANGE(""https://docs.google.com/spreadsheets/d/14Bd19lYaqBhU8_DElYkX7l4wRkHqqCUFNJY4AfY3kHU/edit?usp=sharing  #gid=0"",""фіз особи new!relations_name_uo""),7,FALSE)
,
)
))"),"МОВАТ Грегор Вілліам")</f>
        <v>МОВАТ Грегор Вілліам</v>
      </c>
      <c r="G10693" s="7" t="s">
        <v>10</v>
      </c>
      <c r="H10693" s="7">
        <v>8773</v>
      </c>
      <c r="I10693" s="8" t="str">
        <f ca="1">IFERROR(__xludf.DUMMYFUNCTION("IF
(
G10694=""фізична особа""
,
VLOOKUP(H10694,IMPORTRANGE(""https://docs.google.com/spreadsheets/d/14Bd19lYaqBhU8_DElYkX7l4wRkHqqCUFNJY4AfY3kHU/edit?usp=sharing  #gid=0"",""фіз особи new!relations_name""),6,FALSE)
,
(IF
(
G10694=""юридична особа""
,
VLOO"&amp;"KUP(H10694,IMPORTRANGE(""https://docs.google.com/spreadsheets/d/14Bd19lYaqBhU8_DElYkX7l4wRkHqqCUFNJY4AfY3kHU/edit?usp=sharing  #gid=0"",""фіз особи new!relations_name_uo""),7,FALSE)
,
)
))"),"ЛОМАКІН Сергій Олександрович")</f>
        <v>ЛОМАКІН Сергій Олександрович</v>
      </c>
      <c r="J10693" s="7" t="s">
        <v>11</v>
      </c>
    </row>
    <row r="10694" spans="1:10" ht="13.2">
      <c r="A10694" s="7">
        <v>10693</v>
      </c>
      <c r="B10694" s="7">
        <v>1</v>
      </c>
      <c r="C10694" s="7" t="s">
        <v>10</v>
      </c>
      <c r="D10694" s="7">
        <v>16783</v>
      </c>
      <c r="E10694" s="7" t="s">
        <v>11</v>
      </c>
      <c r="F10694" s="8" t="str">
        <f ca="1">IFERROR(__xludf.DUMMYFUNCTION("IF
(
C10695=""фізична особа""
,
VLOOKUP(D10695,IMPORTRANGE(""https://docs.google.com/spreadsheets/d/14Bd19lYaqBhU8_DElYkX7l4wRkHqqCUFNJY4AfY3kHU/edit?usp=sharing  #gid=0"",""фіз особи new!relations_name""),6,FALSE)
,
(IF
(
C10695=""юридична особа""
,
VLOO"&amp;"KUP(D10695,IMPORTRANGE(""https://docs.google.com/spreadsheets/d/14Bd19lYaqBhU8_DElYkX7l4wRkHqqCUFNJY4AfY3kHU/edit?usp=sharing  #gid=0"",""фіз особи new!relations_name_uo""),7,FALSE)
,
)
))"),"МОВАТ Грегор Вілліам")</f>
        <v>МОВАТ Грегор Вілліам</v>
      </c>
      <c r="G10694" s="7" t="s">
        <v>10</v>
      </c>
      <c r="H10694" s="7">
        <v>8774</v>
      </c>
      <c r="I10694" s="8" t="str">
        <f ca="1">IFERROR(__xludf.DUMMYFUNCTION("IF
(
G10695=""фізична особа""
,
VLOOKUP(H10695,IMPORTRANGE(""https://docs.google.com/spreadsheets/d/14Bd19lYaqBhU8_DElYkX7l4wRkHqqCUFNJY4AfY3kHU/edit?usp=sharing  #gid=0"",""фіз особи new!relations_name""),6,FALSE)
,
(IF
(
G10695=""юридична особа""
,
VLOO"&amp;"KUP(H10695,IMPORTRANGE(""https://docs.google.com/spreadsheets/d/14Bd19lYaqBhU8_DElYkX7l4wRkHqqCUFNJY4AfY3kHU/edit?usp=sharing  #gid=0"",""фіз особи new!relations_name_uo""),7,FALSE)
,
)
))"),"ХАЧАТРЯН Артем Каренович")</f>
        <v>ХАЧАТРЯН Артем Каренович</v>
      </c>
      <c r="J10694" s="7" t="s">
        <v>11</v>
      </c>
    </row>
    <row r="10695" spans="1:10" ht="13.2">
      <c r="A10695" s="7">
        <v>10694</v>
      </c>
      <c r="B10695" s="7">
        <v>1</v>
      </c>
      <c r="C10695" s="7" t="s">
        <v>10</v>
      </c>
      <c r="D10695" s="7">
        <v>16799</v>
      </c>
      <c r="E10695" s="7" t="s">
        <v>28</v>
      </c>
      <c r="F10695" s="8" t="str">
        <f ca="1">IFERROR(__xludf.DUMMYFUNCTION("IF
(
C10696=""фізична особа""
,
VLOOKUP(D10696,IMPORTRANGE(""https://docs.google.com/spreadsheets/d/14Bd19lYaqBhU8_DElYkX7l4wRkHqqCUFNJY4AfY3kHU/edit?usp=sharing  #gid=0"",""фіз особи new!relations_name""),6,FALSE)
,
(IF
(
C10696=""юридична особа""
,
VLOO"&amp;"KUP(D10696,IMPORTRANGE(""https://docs.google.com/spreadsheets/d/14Bd19lYaqBhU8_DElYkX7l4wRkHqqCUFNJY4AfY3kHU/edit?usp=sharing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695" s="7" t="s">
        <v>10</v>
      </c>
      <c r="H10695" s="7">
        <v>18011</v>
      </c>
      <c r="I10695" s="8" t="str">
        <f ca="1">IFERROR(__xludf.DUMMYFUNCTION("IF
(
G10696=""фізична особа""
,
VLOOKUP(H10696,IMPORTRANGE(""https://docs.google.com/spreadsheets/d/14Bd19lYaqBhU8_DElYkX7l4wRkHqqCUFNJY4AfY3kHU/edit?usp=sharing  #gid=0"",""фіз особи new!relations_name""),6,FALSE)
,
(IF
(
G10696=""юридична особа""
,
VLOO"&amp;"KUP(H10696,IMPORTRANGE(""https://docs.google.com/spreadsheets/d/14Bd19lYaqBhU8_DElYkX7l4wRkHqqCUFNJY4AfY3kHU/edit?usp=sharing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0695" s="7" t="s">
        <v>29</v>
      </c>
    </row>
    <row r="10696" spans="1:10" ht="13.2">
      <c r="A10696" s="7">
        <v>10695</v>
      </c>
      <c r="B10696" s="7">
        <v>1</v>
      </c>
      <c r="C10696" s="7" t="s">
        <v>10</v>
      </c>
      <c r="D10696" s="7">
        <v>16799</v>
      </c>
      <c r="E10696" s="7" t="s">
        <v>11</v>
      </c>
      <c r="F10696" s="8" t="str">
        <f ca="1">IFERROR(__xludf.DUMMYFUNCTION("IF
(
C10697=""фізична особа""
,
VLOOKUP(D10697,IMPORTRANGE(""https://docs.google.com/spreadsheets/d/14Bd19lYaqBhU8_DElYkX7l4wRkHqqCUFNJY4AfY3kHU/edit?usp=sharing  #gid=0"",""фіз особи new!relations_name""),6,FALSE)
,
(IF
(
C10697=""юридична особа""
,
VLOO"&amp;"KUP(D10697,IMPORTRANGE(""https://docs.google.com/spreadsheets/d/14Bd19lYaqBhU8_DElYkX7l4wRkHqqCUFNJY4AfY3kHU/edit?usp=sharing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696" s="7" t="s">
        <v>10</v>
      </c>
      <c r="H10696" s="7">
        <v>18012</v>
      </c>
      <c r="I10696" s="8" t="str">
        <f ca="1">IFERROR(__xludf.DUMMYFUNCTION("IF
(
G10697=""фізична особа""
,
VLOOKUP(H10697,IMPORTRANGE(""https://docs.google.com/spreadsheets/d/14Bd19lYaqBhU8_DElYkX7l4wRkHqqCUFNJY4AfY3kHU/edit?usp=sharing  #gid=0"",""фіз особи new!relations_name""),6,FALSE)
,
(IF
(
G10697=""юридична особа""
,
VLOO"&amp;"KUP(H10697,IMPORTRANGE(""https://docs.google.com/spreadsheets/d/14Bd19lYaqBhU8_DElYkX7l4wRkHqqCUFNJY4AfY3kHU/edit?usp=sharing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0696" s="7" t="s">
        <v>11</v>
      </c>
    </row>
    <row r="10697" spans="1:10" ht="13.2">
      <c r="A10697" s="7">
        <v>10696</v>
      </c>
      <c r="B10697" s="7">
        <v>1</v>
      </c>
      <c r="C10697" s="7" t="s">
        <v>10</v>
      </c>
      <c r="D10697" s="7">
        <v>16799</v>
      </c>
      <c r="E10697" s="7" t="s">
        <v>11</v>
      </c>
      <c r="F10697" s="8" t="str">
        <f ca="1">IFERROR(__xludf.DUMMYFUNCTION("IF
(
C10698=""фізична особа""
,
VLOOKUP(D10698,IMPORTRANGE(""https://docs.google.com/spreadsheets/d/14Bd19lYaqBhU8_DElYkX7l4wRkHqqCUFNJY4AfY3kHU/edit?usp=sharing  #gid=0"",""фіз особи new!relations_name""),6,FALSE)
,
(IF
(
C10698=""юридична особа""
,
VLOO"&amp;"KUP(D10698,IMPORTRANGE(""https://docs.google.com/spreadsheets/d/14Bd19lYaqBhU8_DElYkX7l4wRkHqqCUFNJY4AfY3kHU/edit?usp=sharing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697" s="7" t="s">
        <v>10</v>
      </c>
      <c r="H10697" s="7">
        <v>163</v>
      </c>
      <c r="I10697" s="8" t="str">
        <f ca="1">IFERROR(__xludf.DUMMYFUNCTION("IF
(
G10698=""фізична особа""
,
VLOOKUP(H10698,IMPORTRANGE(""https://docs.google.com/spreadsheets/d/14Bd19lYaqBhU8_DElYkX7l4wRkHqqCUFNJY4AfY3kHU/edit?usp=sharing  #gid=0"",""фіз особи new!relations_name""),6,FALSE)
,
(IF
(
G10698=""юридична особа""
,
VLOO"&amp;"KUP(H10698,IMPORTRANGE(""https://docs.google.com/spreadsheets/d/14Bd19lYaqBhU8_DElYkX7l4wRkHqqCUFNJY4AfY3kHU/edit?usp=sharing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0697" s="7" t="s">
        <v>11</v>
      </c>
    </row>
    <row r="10698" spans="1:10" ht="13.2">
      <c r="A10698" s="7">
        <v>10697</v>
      </c>
      <c r="B10698" s="7">
        <v>1</v>
      </c>
      <c r="C10698" s="7" t="s">
        <v>10</v>
      </c>
      <c r="D10698" s="7">
        <v>16799</v>
      </c>
      <c r="E10698" s="7" t="s">
        <v>11</v>
      </c>
      <c r="F10698" s="8" t="str">
        <f ca="1">IFERROR(__xludf.DUMMYFUNCTION("IF
(
C10699=""фізична особа""
,
VLOOKUP(D10699,IMPORTRANGE(""https://docs.google.com/spreadsheets/d/14Bd19lYaqBhU8_DElYkX7l4wRkHqqCUFNJY4AfY3kHU/edit?usp=sharing  #gid=0"",""фіз особи new!relations_name""),6,FALSE)
,
(IF
(
C10699=""юридична особа""
,
VLOO"&amp;"KUP(D10699,IMPORTRANGE(""https://docs.google.com/spreadsheets/d/14Bd19lYaqBhU8_DElYkX7l4wRkHqqCUFNJY4AfY3kHU/edit?usp=sharing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698" s="7" t="s">
        <v>10</v>
      </c>
      <c r="H10698" s="7">
        <v>16803</v>
      </c>
      <c r="I10698" s="8" t="str">
        <f ca="1">IFERROR(__xludf.DUMMYFUNCTION("IF
(
G10699=""фізична особа""
,
VLOOKUP(H10699,IMPORTRANGE(""https://docs.google.com/spreadsheets/d/14Bd19lYaqBhU8_DElYkX7l4wRkHqqCUFNJY4AfY3kHU/edit?usp=sharing  #gid=0"",""фіз особи new!relations_name""),6,FALSE)
,
(IF
(
G10699=""юридична особа""
,
VLOO"&amp;"KUP(H10699,IMPORTRANGE(""https://docs.google.com/spreadsheets/d/14Bd19lYaqBhU8_DElYkX7l4wRkHqqCUFNJY4AfY3kHU/edit?usp=sharing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0698" s="7" t="s">
        <v>11</v>
      </c>
    </row>
    <row r="10699" spans="1:10" ht="13.2">
      <c r="A10699" s="7">
        <v>10698</v>
      </c>
      <c r="B10699" s="7">
        <v>1</v>
      </c>
      <c r="C10699" s="7" t="s">
        <v>10</v>
      </c>
      <c r="D10699" s="7">
        <v>16799</v>
      </c>
      <c r="E10699" s="7" t="s">
        <v>11</v>
      </c>
      <c r="F10699" s="8" t="str">
        <f ca="1">IFERROR(__xludf.DUMMYFUNCTION("IF
(
C10700=""фізична особа""
,
VLOOKUP(D10700,IMPORTRANGE(""https://docs.google.com/spreadsheets/d/14Bd19lYaqBhU8_DElYkX7l4wRkHqqCUFNJY4AfY3kHU/edit?usp=sharing  #gid=0"",""фіз особи new!relations_name""),6,FALSE)
,
(IF
(
C10700=""юридична особа""
,
VLOO"&amp;"KUP(D10700,IMPORTRANGE(""https://docs.google.com/spreadsheets/d/14Bd19lYaqBhU8_DElYkX7l4wRkHqqCUFNJY4AfY3kHU/edit?usp=sharing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699" s="7" t="s">
        <v>10</v>
      </c>
      <c r="H10699" s="7">
        <v>18013</v>
      </c>
      <c r="I10699" s="8" t="str">
        <f ca="1">IFERROR(__xludf.DUMMYFUNCTION("IF
(
G10700=""фізична особа""
,
VLOOKUP(H10700,IMPORTRANGE(""https://docs.google.com/spreadsheets/d/14Bd19lYaqBhU8_DElYkX7l4wRkHqqCUFNJY4AfY3kHU/edit?usp=sharing  #gid=0"",""фіз особи new!relations_name""),6,FALSE)
,
(IF
(
G10700=""юридична особа""
,
VLOO"&amp;"KUP(H10700,IMPORTRANGE(""https://docs.google.com/spreadsheets/d/14Bd19lYaqBhU8_DElYkX7l4wRkHqqCUFNJY4AfY3kHU/edit?usp=sharing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0699" s="7" t="s">
        <v>11</v>
      </c>
    </row>
    <row r="10700" spans="1:10" ht="13.2">
      <c r="A10700" s="7">
        <v>10699</v>
      </c>
      <c r="B10700" s="7">
        <v>1</v>
      </c>
      <c r="C10700" s="7" t="s">
        <v>10</v>
      </c>
      <c r="D10700" s="7">
        <v>16799</v>
      </c>
      <c r="E10700" s="7" t="s">
        <v>11</v>
      </c>
      <c r="F10700" s="8" t="str">
        <f ca="1">IFERROR(__xludf.DUMMYFUNCTION("IF
(
C10701=""фізична особа""
,
VLOOKUP(D10701,IMPORTRANGE(""https://docs.google.com/spreadsheets/d/14Bd19lYaqBhU8_DElYkX7l4wRkHqqCUFNJY4AfY3kHU/edit?usp=sharing  #gid=0"",""фіз особи new!relations_name""),6,FALSE)
,
(IF
(
C10701=""юридична особа""
,
VLOO"&amp;"KUP(D10701,IMPORTRANGE(""https://docs.google.com/spreadsheets/d/14Bd19lYaqBhU8_DElYkX7l4wRkHqqCUFNJY4AfY3kHU/edit?usp=sharing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0" s="7" t="s">
        <v>10</v>
      </c>
      <c r="H10700" s="7">
        <v>18014</v>
      </c>
      <c r="I10700" s="8" t="str">
        <f ca="1">IFERROR(__xludf.DUMMYFUNCTION("IF
(
G10701=""фізична особа""
,
VLOOKUP(H10701,IMPORTRANGE(""https://docs.google.com/spreadsheets/d/14Bd19lYaqBhU8_DElYkX7l4wRkHqqCUFNJY4AfY3kHU/edit?usp=sharing  #gid=0"",""фіз особи new!relations_name""),6,FALSE)
,
(IF
(
G10701=""юридична особа""
,
VLOO"&amp;"KUP(H10701,IMPORTRANGE(""https://docs.google.com/spreadsheets/d/14Bd19lYaqBhU8_DElYkX7l4wRkHqqCUFNJY4AfY3kHU/edit?usp=sharing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0700" s="7" t="s">
        <v>11</v>
      </c>
    </row>
    <row r="10701" spans="1:10" ht="13.2">
      <c r="A10701" s="7">
        <v>10700</v>
      </c>
      <c r="B10701" s="7">
        <v>1</v>
      </c>
      <c r="C10701" s="7" t="s">
        <v>10</v>
      </c>
      <c r="D10701" s="7">
        <v>16799</v>
      </c>
      <c r="E10701" s="7" t="s">
        <v>11</v>
      </c>
      <c r="F10701" s="8" t="str">
        <f ca="1">IFERROR(__xludf.DUMMYFUNCTION("IF
(
C10702=""фізична особа""
,
VLOOKUP(D10702,IMPORTRANGE(""https://docs.google.com/spreadsheets/d/14Bd19lYaqBhU8_DElYkX7l4wRkHqqCUFNJY4AfY3kHU/edit?usp=sharing  #gid=0"",""фіз особи new!relations_name""),6,FALSE)
,
(IF
(
C10702=""юридична особа""
,
VLOO"&amp;"KUP(D10702,IMPORTRANGE(""https://docs.google.com/spreadsheets/d/14Bd19lYaqBhU8_DElYkX7l4wRkHqqCUFNJY4AfY3kHU/edit?usp=sharing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1" s="7" t="s">
        <v>10</v>
      </c>
      <c r="H10701" s="7">
        <v>18015</v>
      </c>
      <c r="I10701" s="8" t="str">
        <f ca="1">IFERROR(__xludf.DUMMYFUNCTION("IF
(
G10702=""фізична особа""
,
VLOOKUP(H10702,IMPORTRANGE(""https://docs.google.com/spreadsheets/d/14Bd19lYaqBhU8_DElYkX7l4wRkHqqCUFNJY4AfY3kHU/edit?usp=sharing  #gid=0"",""фіз особи new!relations_name""),6,FALSE)
,
(IF
(
G10702=""юридична особа""
,
VLOO"&amp;"KUP(H10702,IMPORTRANGE(""https://docs.google.com/spreadsheets/d/14Bd19lYaqBhU8_DElYkX7l4wRkHqqCUFNJY4AfY3kHU/edit?usp=sharing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10701" s="7" t="s">
        <v>11</v>
      </c>
    </row>
    <row r="10702" spans="1:10" ht="13.2">
      <c r="A10702" s="7">
        <v>10701</v>
      </c>
      <c r="B10702" s="7">
        <v>1</v>
      </c>
      <c r="C10702" s="7" t="s">
        <v>10</v>
      </c>
      <c r="D10702" s="7">
        <v>16799</v>
      </c>
      <c r="E10702" s="7" t="s">
        <v>11</v>
      </c>
      <c r="F10702" s="8" t="str">
        <f ca="1">IFERROR(__xludf.DUMMYFUNCTION("IF
(
C10703=""фізична особа""
,
VLOOKUP(D10703,IMPORTRANGE(""https://docs.google.com/spreadsheets/d/14Bd19lYaqBhU8_DElYkX7l4wRkHqqCUFNJY4AfY3kHU/edit?usp=sharing  #gid=0"",""фіз особи new!relations_name""),6,FALSE)
,
(IF
(
C10703=""юридична особа""
,
VLOO"&amp;"KUP(D10703,IMPORTRANGE(""https://docs.google.com/spreadsheets/d/14Bd19lYaqBhU8_DElYkX7l4wRkHqqCUFNJY4AfY3kHU/edit?usp=sharing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2" s="7" t="s">
        <v>10</v>
      </c>
      <c r="H10702" s="7">
        <v>1820</v>
      </c>
      <c r="I10702" s="8" t="str">
        <f ca="1">IFERROR(__xludf.DUMMYFUNCTION("IF
(
G10703=""фізична особа""
,
VLOOKUP(H10703,IMPORTRANGE(""https://docs.google.com/spreadsheets/d/14Bd19lYaqBhU8_DElYkX7l4wRkHqqCUFNJY4AfY3kHU/edit?usp=sharing  #gid=0"",""фіз особи new!relations_name""),6,FALSE)
,
(IF
(
G10703=""юридична особа""
,
VLOO"&amp;"KUP(H10703,IMPORTRANGE(""https://docs.google.com/spreadsheets/d/14Bd19lYaqBhU8_DElYkX7l4wRkHqqCUFNJY4AfY3kHU/edit?usp=sharing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0702" s="7" t="s">
        <v>11</v>
      </c>
    </row>
    <row r="10703" spans="1:10" ht="13.2">
      <c r="A10703" s="7">
        <v>10702</v>
      </c>
      <c r="B10703" s="7">
        <v>1</v>
      </c>
      <c r="C10703" s="7" t="s">
        <v>10</v>
      </c>
      <c r="D10703" s="7">
        <v>16799</v>
      </c>
      <c r="E10703" s="7" t="s">
        <v>11</v>
      </c>
      <c r="F10703" s="8" t="str">
        <f ca="1">IFERROR(__xludf.DUMMYFUNCTION("IF
(
C10704=""фізична особа""
,
VLOOKUP(D10704,IMPORTRANGE(""https://docs.google.com/spreadsheets/d/14Bd19lYaqBhU8_DElYkX7l4wRkHqqCUFNJY4AfY3kHU/edit?usp=sharing  #gid=0"",""фіз особи new!relations_name""),6,FALSE)
,
(IF
(
C10704=""юридична особа""
,
VLOO"&amp;"KUP(D10704,IMPORTRANGE(""https://docs.google.com/spreadsheets/d/14Bd19lYaqBhU8_DElYkX7l4wRkHqqCUFNJY4AfY3kHU/edit?usp=sharing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3" s="7" t="s">
        <v>10</v>
      </c>
      <c r="H10703" s="7">
        <v>16800</v>
      </c>
      <c r="I10703" s="8" t="str">
        <f ca="1">IFERROR(__xludf.DUMMYFUNCTION("IF
(
G10704=""фізична особа""
,
VLOOKUP(H10704,IMPORTRANGE(""https://docs.google.com/spreadsheets/d/14Bd19lYaqBhU8_DElYkX7l4wRkHqqCUFNJY4AfY3kHU/edit?usp=sharing  #gid=0"",""фіз особи new!relations_name""),6,FALSE)
,
(IF
(
G10704=""юридична особа""
,
VLOO"&amp;"KUP(H10704,IMPORTRANGE(""https://docs.google.com/spreadsheets/d/14Bd19lYaqBhU8_DElYkX7l4wRkHqqCUFNJY4AfY3kHU/edit?usp=sharing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0703" s="7" t="s">
        <v>11</v>
      </c>
    </row>
    <row r="10704" spans="1:10" ht="13.2">
      <c r="A10704" s="7">
        <v>10703</v>
      </c>
      <c r="B10704" s="7">
        <v>1</v>
      </c>
      <c r="C10704" s="7" t="s">
        <v>10</v>
      </c>
      <c r="D10704" s="7">
        <v>16799</v>
      </c>
      <c r="E10704" s="7" t="s">
        <v>11</v>
      </c>
      <c r="F10704" s="8" t="str">
        <f ca="1">IFERROR(__xludf.DUMMYFUNCTION("IF
(
C10705=""фізична особа""
,
VLOOKUP(D10705,IMPORTRANGE(""https://docs.google.com/spreadsheets/d/14Bd19lYaqBhU8_DElYkX7l4wRkHqqCUFNJY4AfY3kHU/edit?usp=sharing  #gid=0"",""фіз особи new!relations_name""),6,FALSE)
,
(IF
(
C10705=""юридична особа""
,
VLOO"&amp;"KUP(D10705,IMPORTRANGE(""https://docs.google.com/spreadsheets/d/14Bd19lYaqBhU8_DElYkX7l4wRkHqqCUFNJY4AfY3kHU/edit?usp=sharing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4" s="7" t="s">
        <v>10</v>
      </c>
      <c r="H10704" s="7">
        <v>16802</v>
      </c>
      <c r="I10704" s="8" t="str">
        <f ca="1">IFERROR(__xludf.DUMMYFUNCTION("IF
(
G10705=""фізична особа""
,
VLOOKUP(H10705,IMPORTRANGE(""https://docs.google.com/spreadsheets/d/14Bd19lYaqBhU8_DElYkX7l4wRkHqqCUFNJY4AfY3kHU/edit?usp=sharing  #gid=0"",""фіз особи new!relations_name""),6,FALSE)
,
(IF
(
G10705=""юридична особа""
,
VLOO"&amp;"KUP(H10705,IMPORTRANGE(""https://docs.google.com/spreadsheets/d/14Bd19lYaqBhU8_DElYkX7l4wRkHqqCUFNJY4AfY3kHU/edit?usp=sharing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0704" s="7" t="s">
        <v>11</v>
      </c>
    </row>
    <row r="10705" spans="1:10" ht="13.2">
      <c r="A10705" s="7">
        <v>10704</v>
      </c>
      <c r="B10705" s="7">
        <v>1</v>
      </c>
      <c r="C10705" s="7" t="s">
        <v>10</v>
      </c>
      <c r="D10705" s="7">
        <v>16799</v>
      </c>
      <c r="E10705" s="7" t="s">
        <v>11</v>
      </c>
      <c r="F10705" s="8" t="str">
        <f ca="1">IFERROR(__xludf.DUMMYFUNCTION("IF
(
C10706=""фізична особа""
,
VLOOKUP(D10706,IMPORTRANGE(""https://docs.google.com/spreadsheets/d/14Bd19lYaqBhU8_DElYkX7l4wRkHqqCUFNJY4AfY3kHU/edit?usp=sharing  #gid=0"",""фіз особи new!relations_name""),6,FALSE)
,
(IF
(
C10706=""юридична особа""
,
VLOO"&amp;"KUP(D10706,IMPORTRANGE(""https://docs.google.com/spreadsheets/d/14Bd19lYaqBhU8_DElYkX7l4wRkHqqCUFNJY4AfY3kHU/edit?usp=sharing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5" s="7" t="s">
        <v>10</v>
      </c>
      <c r="H10705" s="7">
        <v>16805</v>
      </c>
      <c r="I10705" s="8" t="str">
        <f ca="1">IFERROR(__xludf.DUMMYFUNCTION("IF
(
G10706=""фізична особа""
,
VLOOKUP(H10706,IMPORTRANGE(""https://docs.google.com/spreadsheets/d/14Bd19lYaqBhU8_DElYkX7l4wRkHqqCUFNJY4AfY3kHU/edit?usp=sharing  #gid=0"",""фіз особи new!relations_name""),6,FALSE)
,
(IF
(
G10706=""юридична особа""
,
VLOO"&amp;"KUP(H10706,IMPORTRANGE(""https://docs.google.com/spreadsheets/d/14Bd19lYaqBhU8_DElYkX7l4wRkHqqCUFNJY4AfY3kHU/edit?usp=sharing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0705" s="7" t="s">
        <v>11</v>
      </c>
    </row>
    <row r="10706" spans="1:10" ht="13.2">
      <c r="A10706" s="7">
        <v>10705</v>
      </c>
      <c r="B10706" s="7">
        <v>1</v>
      </c>
      <c r="C10706" s="7" t="s">
        <v>10</v>
      </c>
      <c r="D10706" s="7">
        <v>16799</v>
      </c>
      <c r="E10706" s="7" t="s">
        <v>11</v>
      </c>
      <c r="F10706" s="8" t="str">
        <f ca="1">IFERROR(__xludf.DUMMYFUNCTION("IF
(
C10707=""фізична особа""
,
VLOOKUP(D10707,IMPORTRANGE(""https://docs.google.com/spreadsheets/d/14Bd19lYaqBhU8_DElYkX7l4wRkHqqCUFNJY4AfY3kHU/edit?usp=sharing  #gid=0"",""фіз особи new!relations_name""),6,FALSE)
,
(IF
(
C10707=""юридична особа""
,
VLOO"&amp;"KUP(D10707,IMPORTRANGE(""https://docs.google.com/spreadsheets/d/14Bd19lYaqBhU8_DElYkX7l4wRkHqqCUFNJY4AfY3kHU/edit?usp=sharing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G10706" s="7" t="s">
        <v>10</v>
      </c>
      <c r="H10706" s="7">
        <v>18017</v>
      </c>
      <c r="I10706" s="8" t="str">
        <f ca="1">IFERROR(__xludf.DUMMYFUNCTION("IF
(
G10707=""фізична особа""
,
VLOOKUP(H10707,IMPORTRANGE(""https://docs.google.com/spreadsheets/d/14Bd19lYaqBhU8_DElYkX7l4wRkHqqCUFNJY4AfY3kHU/edit?usp=sharing  #gid=0"",""фіз особи new!relations_name""),6,FALSE)
,
(IF
(
G10707=""юридична особа""
,
VLOO"&amp;"KUP(H10707,IMPORTRANGE(""https://docs.google.com/spreadsheets/d/14Bd19lYaqBhU8_DElYkX7l4wRkHqqCUFNJY4AfY3kHU/edit?usp=sharing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0706" s="7" t="s">
        <v>11</v>
      </c>
    </row>
    <row r="10707" spans="1:10" ht="13.2">
      <c r="A10707" s="7">
        <v>10706</v>
      </c>
      <c r="B10707" s="7">
        <v>1</v>
      </c>
      <c r="C10707" s="7" t="s">
        <v>10</v>
      </c>
      <c r="D10707" s="7">
        <v>16805</v>
      </c>
      <c r="E10707" s="7" t="s">
        <v>28</v>
      </c>
      <c r="F10707" s="8" t="str">
        <f ca="1">IFERROR(__xludf.DUMMYFUNCTION("IF
(
C10708=""фізична особа""
,
VLOOKUP(D10708,IMPORTRANGE(""https://docs.google.com/spreadsheets/d/14Bd19lYaqBhU8_DElYkX7l4wRkHqqCUFNJY4AfY3kHU/edit?usp=sharing  #gid=0"",""фіз особи new!relations_name""),6,FALSE)
,
(IF
(
C10708=""юридична особа""
,
VLOO"&amp;"KUP(D10708,IMPORTRANGE(""https://docs.google.com/spreadsheets/d/14Bd19lYaqBhU8_DElYkX7l4wRkHqqCUFNJY4AfY3kHU/edit?usp=sharing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07" s="7" t="s">
        <v>10</v>
      </c>
      <c r="H10707" s="7">
        <v>18011</v>
      </c>
      <c r="I10707" s="8" t="str">
        <f ca="1">IFERROR(__xludf.DUMMYFUNCTION("IF
(
G10708=""фізична особа""
,
VLOOKUP(H10708,IMPORTRANGE(""https://docs.google.com/spreadsheets/d/14Bd19lYaqBhU8_DElYkX7l4wRkHqqCUFNJY4AfY3kHU/edit?usp=sharing  #gid=0"",""фіз особи new!relations_name""),6,FALSE)
,
(IF
(
G10708=""юридична особа""
,
VLOO"&amp;"KUP(H10708,IMPORTRANGE(""https://docs.google.com/spreadsheets/d/14Bd19lYaqBhU8_DElYkX7l4wRkHqqCUFNJY4AfY3kHU/edit?usp=sharing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0707" s="7" t="s">
        <v>29</v>
      </c>
    </row>
    <row r="10708" spans="1:10" ht="13.2">
      <c r="A10708" s="7">
        <v>10707</v>
      </c>
      <c r="B10708" s="7">
        <v>1</v>
      </c>
      <c r="C10708" s="7" t="s">
        <v>10</v>
      </c>
      <c r="D10708" s="7">
        <v>16805</v>
      </c>
      <c r="E10708" s="7" t="s">
        <v>11</v>
      </c>
      <c r="F10708" s="8" t="str">
        <f ca="1">IFERROR(__xludf.DUMMYFUNCTION("IF
(
C10709=""фізична особа""
,
VLOOKUP(D10709,IMPORTRANGE(""https://docs.google.com/spreadsheets/d/14Bd19lYaqBhU8_DElYkX7l4wRkHqqCUFNJY4AfY3kHU/edit?usp=sharing  #gid=0"",""фіз особи new!relations_name""),6,FALSE)
,
(IF
(
C10709=""юридична особа""
,
VLOO"&amp;"KUP(D10709,IMPORTRANGE(""https://docs.google.com/spreadsheets/d/14Bd19lYaqBhU8_DElYkX7l4wRkHqqCUFNJY4AfY3kHU/edit?usp=sharing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08" s="7" t="s">
        <v>10</v>
      </c>
      <c r="H10708" s="7">
        <v>18012</v>
      </c>
      <c r="I10708" s="8" t="str">
        <f ca="1">IFERROR(__xludf.DUMMYFUNCTION("IF
(
G10709=""фізична особа""
,
VLOOKUP(H10709,IMPORTRANGE(""https://docs.google.com/spreadsheets/d/14Bd19lYaqBhU8_DElYkX7l4wRkHqqCUFNJY4AfY3kHU/edit?usp=sharing  #gid=0"",""фіз особи new!relations_name""),6,FALSE)
,
(IF
(
G10709=""юридична особа""
,
VLOO"&amp;"KUP(H10709,IMPORTRANGE(""https://docs.google.com/spreadsheets/d/14Bd19lYaqBhU8_DElYkX7l4wRkHqqCUFNJY4AfY3kHU/edit?usp=sharing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0708" s="7" t="s">
        <v>11</v>
      </c>
    </row>
    <row r="10709" spans="1:10" ht="13.2">
      <c r="A10709" s="7">
        <v>10708</v>
      </c>
      <c r="B10709" s="7">
        <v>1</v>
      </c>
      <c r="C10709" s="7" t="s">
        <v>10</v>
      </c>
      <c r="D10709" s="7">
        <v>16805</v>
      </c>
      <c r="E10709" s="7" t="s">
        <v>11</v>
      </c>
      <c r="F10709" s="8" t="str">
        <f ca="1">IFERROR(__xludf.DUMMYFUNCTION("IF
(
C10710=""фізична особа""
,
VLOOKUP(D10710,IMPORTRANGE(""https://docs.google.com/spreadsheets/d/14Bd19lYaqBhU8_DElYkX7l4wRkHqqCUFNJY4AfY3kHU/edit?usp=sharing  #gid=0"",""фіз особи new!relations_name""),6,FALSE)
,
(IF
(
C10710=""юридична особа""
,
VLOO"&amp;"KUP(D10710,IMPORTRANGE(""https://docs.google.com/spreadsheets/d/14Bd19lYaqBhU8_DElYkX7l4wRkHqqCUFNJY4AfY3kHU/edit?usp=sharing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09" s="7" t="s">
        <v>10</v>
      </c>
      <c r="H10709" s="7">
        <v>163</v>
      </c>
      <c r="I10709" s="8" t="str">
        <f ca="1">IFERROR(__xludf.DUMMYFUNCTION("IF
(
G10710=""фізична особа""
,
VLOOKUP(H10710,IMPORTRANGE(""https://docs.google.com/spreadsheets/d/14Bd19lYaqBhU8_DElYkX7l4wRkHqqCUFNJY4AfY3kHU/edit?usp=sharing  #gid=0"",""фіз особи new!relations_name""),6,FALSE)
,
(IF
(
G10710=""юридична особа""
,
VLOO"&amp;"KUP(H10710,IMPORTRANGE(""https://docs.google.com/spreadsheets/d/14Bd19lYaqBhU8_DElYkX7l4wRkHqqCUFNJY4AfY3kHU/edit?usp=sharing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0709" s="7" t="s">
        <v>11</v>
      </c>
    </row>
    <row r="10710" spans="1:10" ht="13.2">
      <c r="A10710" s="7">
        <v>10709</v>
      </c>
      <c r="B10710" s="7">
        <v>1</v>
      </c>
      <c r="C10710" s="7" t="s">
        <v>10</v>
      </c>
      <c r="D10710" s="7">
        <v>16805</v>
      </c>
      <c r="E10710" s="7" t="s">
        <v>11</v>
      </c>
      <c r="F10710" s="8" t="str">
        <f ca="1">IFERROR(__xludf.DUMMYFUNCTION("IF
(
C10711=""фізична особа""
,
VLOOKUP(D10711,IMPORTRANGE(""https://docs.google.com/spreadsheets/d/14Bd19lYaqBhU8_DElYkX7l4wRkHqqCUFNJY4AfY3kHU/edit?usp=sharing  #gid=0"",""фіз особи new!relations_name""),6,FALSE)
,
(IF
(
C10711=""юридична особа""
,
VLOO"&amp;"KUP(D10711,IMPORTRANGE(""https://docs.google.com/spreadsheets/d/14Bd19lYaqBhU8_DElYkX7l4wRkHqqCUFNJY4AfY3kHU/edit?usp=sharing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0" s="7" t="s">
        <v>10</v>
      </c>
      <c r="H10710" s="7">
        <v>16803</v>
      </c>
      <c r="I10710" s="8" t="str">
        <f ca="1">IFERROR(__xludf.DUMMYFUNCTION("IF
(
G10711=""фізична особа""
,
VLOOKUP(H10711,IMPORTRANGE(""https://docs.google.com/spreadsheets/d/14Bd19lYaqBhU8_DElYkX7l4wRkHqqCUFNJY4AfY3kHU/edit?usp=sharing  #gid=0"",""фіз особи new!relations_name""),6,FALSE)
,
(IF
(
G10711=""юридична особа""
,
VLOO"&amp;"KUP(H10711,IMPORTRANGE(""https://docs.google.com/spreadsheets/d/14Bd19lYaqBhU8_DElYkX7l4wRkHqqCUFNJY4AfY3kHU/edit?usp=sharing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0710" s="7" t="s">
        <v>11</v>
      </c>
    </row>
    <row r="10711" spans="1:10" ht="13.2">
      <c r="A10711" s="7">
        <v>10710</v>
      </c>
      <c r="B10711" s="7">
        <v>1</v>
      </c>
      <c r="C10711" s="7" t="s">
        <v>10</v>
      </c>
      <c r="D10711" s="7">
        <v>16805</v>
      </c>
      <c r="E10711" s="7" t="s">
        <v>11</v>
      </c>
      <c r="F10711" s="8" t="str">
        <f ca="1">IFERROR(__xludf.DUMMYFUNCTION("IF
(
C10712=""фізична особа""
,
VLOOKUP(D10712,IMPORTRANGE(""https://docs.google.com/spreadsheets/d/14Bd19lYaqBhU8_DElYkX7l4wRkHqqCUFNJY4AfY3kHU/edit?usp=sharing  #gid=0"",""фіз особи new!relations_name""),6,FALSE)
,
(IF
(
C10712=""юридична особа""
,
VLOO"&amp;"KUP(D10712,IMPORTRANGE(""https://docs.google.com/spreadsheets/d/14Bd19lYaqBhU8_DElYkX7l4wRkHqqCUFNJY4AfY3kHU/edit?usp=sharing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1" s="7" t="s">
        <v>10</v>
      </c>
      <c r="H10711" s="7">
        <v>18013</v>
      </c>
      <c r="I10711" s="8" t="str">
        <f ca="1">IFERROR(__xludf.DUMMYFUNCTION("IF
(
G10712=""фізична особа""
,
VLOOKUP(H10712,IMPORTRANGE(""https://docs.google.com/spreadsheets/d/14Bd19lYaqBhU8_DElYkX7l4wRkHqqCUFNJY4AfY3kHU/edit?usp=sharing  #gid=0"",""фіз особи new!relations_name""),6,FALSE)
,
(IF
(
G10712=""юридична особа""
,
VLOO"&amp;"KUP(H10712,IMPORTRANGE(""https://docs.google.com/spreadsheets/d/14Bd19lYaqBhU8_DElYkX7l4wRkHqqCUFNJY4AfY3kHU/edit?usp=sharing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0711" s="7" t="s">
        <v>11</v>
      </c>
    </row>
    <row r="10712" spans="1:10" ht="13.2">
      <c r="A10712" s="7">
        <v>10711</v>
      </c>
      <c r="B10712" s="7">
        <v>1</v>
      </c>
      <c r="C10712" s="7" t="s">
        <v>10</v>
      </c>
      <c r="D10712" s="7">
        <v>16805</v>
      </c>
      <c r="E10712" s="7" t="s">
        <v>11</v>
      </c>
      <c r="F10712" s="8" t="str">
        <f ca="1">IFERROR(__xludf.DUMMYFUNCTION("IF
(
C10713=""фізична особа""
,
VLOOKUP(D10713,IMPORTRANGE(""https://docs.google.com/spreadsheets/d/14Bd19lYaqBhU8_DElYkX7l4wRkHqqCUFNJY4AfY3kHU/edit?usp=sharing  #gid=0"",""фіз особи new!relations_name""),6,FALSE)
,
(IF
(
C10713=""юридична особа""
,
VLOO"&amp;"KUP(D10713,IMPORTRANGE(""https://docs.google.com/spreadsheets/d/14Bd19lYaqBhU8_DElYkX7l4wRkHqqCUFNJY4AfY3kHU/edit?usp=sharing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2" s="7" t="s">
        <v>10</v>
      </c>
      <c r="H10712" s="7">
        <v>18014</v>
      </c>
      <c r="I10712" s="8" t="str">
        <f ca="1">IFERROR(__xludf.DUMMYFUNCTION("IF
(
G10713=""фізична особа""
,
VLOOKUP(H10713,IMPORTRANGE(""https://docs.google.com/spreadsheets/d/14Bd19lYaqBhU8_DElYkX7l4wRkHqqCUFNJY4AfY3kHU/edit?usp=sharing  #gid=0"",""фіз особи new!relations_name""),6,FALSE)
,
(IF
(
G10713=""юридична особа""
,
VLOO"&amp;"KUP(H10713,IMPORTRANGE(""https://docs.google.com/spreadsheets/d/14Bd19lYaqBhU8_DElYkX7l4wRkHqqCUFNJY4AfY3kHU/edit?usp=sharing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0712" s="7" t="s">
        <v>11</v>
      </c>
    </row>
    <row r="10713" spans="1:10" ht="13.2">
      <c r="A10713" s="7">
        <v>10712</v>
      </c>
      <c r="B10713" s="7">
        <v>1</v>
      </c>
      <c r="C10713" s="7" t="s">
        <v>10</v>
      </c>
      <c r="D10713" s="7">
        <v>16805</v>
      </c>
      <c r="E10713" s="7" t="s">
        <v>11</v>
      </c>
      <c r="F10713" s="8" t="str">
        <f ca="1">IFERROR(__xludf.DUMMYFUNCTION("IF
(
C10714=""фізична особа""
,
VLOOKUP(D10714,IMPORTRANGE(""https://docs.google.com/spreadsheets/d/14Bd19lYaqBhU8_DElYkX7l4wRkHqqCUFNJY4AfY3kHU/edit?usp=sharing  #gid=0"",""фіз особи new!relations_name""),6,FALSE)
,
(IF
(
C10714=""юридична особа""
,
VLOO"&amp;"KUP(D10714,IMPORTRANGE(""https://docs.google.com/spreadsheets/d/14Bd19lYaqBhU8_DElYkX7l4wRkHqqCUFNJY4AfY3kHU/edit?usp=sharing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3" s="7" t="s">
        <v>10</v>
      </c>
      <c r="H10713" s="7">
        <v>18015</v>
      </c>
      <c r="I10713" s="8" t="str">
        <f ca="1">IFERROR(__xludf.DUMMYFUNCTION("IF
(
G10714=""фізична особа""
,
VLOOKUP(H10714,IMPORTRANGE(""https://docs.google.com/spreadsheets/d/14Bd19lYaqBhU8_DElYkX7l4wRkHqqCUFNJY4AfY3kHU/edit?usp=sharing  #gid=0"",""фіз особи new!relations_name""),6,FALSE)
,
(IF
(
G10714=""юридична особа""
,
VLOO"&amp;"KUP(H10714,IMPORTRANGE(""https://docs.google.com/spreadsheets/d/14Bd19lYaqBhU8_DElYkX7l4wRkHqqCUFNJY4AfY3kHU/edit?usp=sharing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10713" s="7" t="s">
        <v>11</v>
      </c>
    </row>
    <row r="10714" spans="1:10" ht="13.2">
      <c r="A10714" s="7">
        <v>10713</v>
      </c>
      <c r="B10714" s="7">
        <v>1</v>
      </c>
      <c r="C10714" s="7" t="s">
        <v>10</v>
      </c>
      <c r="D10714" s="7">
        <v>16805</v>
      </c>
      <c r="E10714" s="7" t="s">
        <v>11</v>
      </c>
      <c r="F10714" s="8" t="str">
        <f ca="1">IFERROR(__xludf.DUMMYFUNCTION("IF
(
C10715=""фізична особа""
,
VLOOKUP(D10715,IMPORTRANGE(""https://docs.google.com/spreadsheets/d/14Bd19lYaqBhU8_DElYkX7l4wRkHqqCUFNJY4AfY3kHU/edit?usp=sharing  #gid=0"",""фіз особи new!relations_name""),6,FALSE)
,
(IF
(
C10715=""юридична особа""
,
VLOO"&amp;"KUP(D10715,IMPORTRANGE(""https://docs.google.com/spreadsheets/d/14Bd19lYaqBhU8_DElYkX7l4wRkHqqCUFNJY4AfY3kHU/edit?usp=sharing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4" s="7" t="s">
        <v>10</v>
      </c>
      <c r="H10714" s="7">
        <v>16799</v>
      </c>
      <c r="I10714" s="8" t="str">
        <f ca="1">IFERROR(__xludf.DUMMYFUNCTION("IF
(
G10715=""фізична особа""
,
VLOOKUP(H10715,IMPORTRANGE(""https://docs.google.com/spreadsheets/d/14Bd19lYaqBhU8_DElYkX7l4wRkHqqCUFNJY4AfY3kHU/edit?usp=sharing  #gid=0"",""фіз особи new!relations_name""),6,FALSE)
,
(IF
(
G10715=""юридична особа""
,
VLOO"&amp;"KUP(H10715,IMPORTRANGE(""https://docs.google.com/spreadsheets/d/14Bd19lYaqBhU8_DElYkX7l4wRkHqqCUFNJY4AfY3kHU/edit?usp=sharing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0714" s="7" t="s">
        <v>11</v>
      </c>
    </row>
    <row r="10715" spans="1:10" ht="13.2">
      <c r="A10715" s="7">
        <v>10714</v>
      </c>
      <c r="B10715" s="7">
        <v>1</v>
      </c>
      <c r="C10715" s="7" t="s">
        <v>10</v>
      </c>
      <c r="D10715" s="7">
        <v>16805</v>
      </c>
      <c r="E10715" s="7" t="s">
        <v>11</v>
      </c>
      <c r="F10715" s="8" t="str">
        <f ca="1">IFERROR(__xludf.DUMMYFUNCTION("IF
(
C10716=""фізична особа""
,
VLOOKUP(D10716,IMPORTRANGE(""https://docs.google.com/spreadsheets/d/14Bd19lYaqBhU8_DElYkX7l4wRkHqqCUFNJY4AfY3kHU/edit?usp=sharing  #gid=0"",""фіз особи new!relations_name""),6,FALSE)
,
(IF
(
C10716=""юридична особа""
,
VLOO"&amp;"KUP(D10716,IMPORTRANGE(""https://docs.google.com/spreadsheets/d/14Bd19lYaqBhU8_DElYkX7l4wRkHqqCUFNJY4AfY3kHU/edit?usp=sharing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5" s="7" t="s">
        <v>10</v>
      </c>
      <c r="H10715" s="7">
        <v>16800</v>
      </c>
      <c r="I10715" s="8" t="str">
        <f ca="1">IFERROR(__xludf.DUMMYFUNCTION("IF
(
G10716=""фізична особа""
,
VLOOKUP(H10716,IMPORTRANGE(""https://docs.google.com/spreadsheets/d/14Bd19lYaqBhU8_DElYkX7l4wRkHqqCUFNJY4AfY3kHU/edit?usp=sharing  #gid=0"",""фіз особи new!relations_name""),6,FALSE)
,
(IF
(
G10716=""юридична особа""
,
VLOO"&amp;"KUP(H10716,IMPORTRANGE(""https://docs.google.com/spreadsheets/d/14Bd19lYaqBhU8_DElYkX7l4wRkHqqCUFNJY4AfY3kHU/edit?usp=sharing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0715" s="7" t="s">
        <v>11</v>
      </c>
    </row>
    <row r="10716" spans="1:10" ht="13.2">
      <c r="A10716" s="7">
        <v>10715</v>
      </c>
      <c r="B10716" s="7">
        <v>1</v>
      </c>
      <c r="C10716" s="7" t="s">
        <v>10</v>
      </c>
      <c r="D10716" s="7">
        <v>16805</v>
      </c>
      <c r="E10716" s="7" t="s">
        <v>11</v>
      </c>
      <c r="F10716" s="8" t="str">
        <f ca="1">IFERROR(__xludf.DUMMYFUNCTION("IF
(
C10717=""фізична особа""
,
VLOOKUP(D10717,IMPORTRANGE(""https://docs.google.com/spreadsheets/d/14Bd19lYaqBhU8_DElYkX7l4wRkHqqCUFNJY4AfY3kHU/edit?usp=sharing  #gid=0"",""фіз особи new!relations_name""),6,FALSE)
,
(IF
(
C10717=""юридична особа""
,
VLOO"&amp;"KUP(D10717,IMPORTRANGE(""https://docs.google.com/spreadsheets/d/14Bd19lYaqBhU8_DElYkX7l4wRkHqqCUFNJY4AfY3kHU/edit?usp=sharing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6" s="7" t="s">
        <v>10</v>
      </c>
      <c r="H10716" s="7">
        <v>16802</v>
      </c>
      <c r="I10716" s="8" t="str">
        <f ca="1">IFERROR(__xludf.DUMMYFUNCTION("IF
(
G10717=""фізична особа""
,
VLOOKUP(H10717,IMPORTRANGE(""https://docs.google.com/spreadsheets/d/14Bd19lYaqBhU8_DElYkX7l4wRkHqqCUFNJY4AfY3kHU/edit?usp=sharing  #gid=0"",""фіз особи new!relations_name""),6,FALSE)
,
(IF
(
G10717=""юридична особа""
,
VLOO"&amp;"KUP(H10717,IMPORTRANGE(""https://docs.google.com/spreadsheets/d/14Bd19lYaqBhU8_DElYkX7l4wRkHqqCUFNJY4AfY3kHU/edit?usp=sharing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0716" s="7" t="s">
        <v>11</v>
      </c>
    </row>
    <row r="10717" spans="1:10" ht="13.2">
      <c r="A10717" s="7">
        <v>10716</v>
      </c>
      <c r="B10717" s="7">
        <v>1</v>
      </c>
      <c r="C10717" s="7" t="s">
        <v>10</v>
      </c>
      <c r="D10717" s="7">
        <v>16805</v>
      </c>
      <c r="E10717" s="7" t="s">
        <v>11</v>
      </c>
      <c r="F10717" s="8" t="str">
        <f ca="1">IFERROR(__xludf.DUMMYFUNCTION("IF
(
C10718=""фізична особа""
,
VLOOKUP(D10718,IMPORTRANGE(""https://docs.google.com/spreadsheets/d/14Bd19lYaqBhU8_DElYkX7l4wRkHqqCUFNJY4AfY3kHU/edit?usp=sharing  #gid=0"",""фіз особи new!relations_name""),6,FALSE)
,
(IF
(
C10718=""юридична особа""
,
VLOO"&amp;"KUP(D10718,IMPORTRANGE(""https://docs.google.com/spreadsheets/d/14Bd19lYaqBhU8_DElYkX7l4wRkHqqCUFNJY4AfY3kHU/edit?usp=sharing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7" s="7" t="s">
        <v>10</v>
      </c>
      <c r="H10717" s="7">
        <v>1820</v>
      </c>
      <c r="I10717" s="8" t="str">
        <f ca="1">IFERROR(__xludf.DUMMYFUNCTION("IF
(
G10718=""фізична особа""
,
VLOOKUP(H10718,IMPORTRANGE(""https://docs.google.com/spreadsheets/d/14Bd19lYaqBhU8_DElYkX7l4wRkHqqCUFNJY4AfY3kHU/edit?usp=sharing  #gid=0"",""фіз особи new!relations_name""),6,FALSE)
,
(IF
(
G10718=""юридична особа""
,
VLOO"&amp;"KUP(H10718,IMPORTRANGE(""https://docs.google.com/spreadsheets/d/14Bd19lYaqBhU8_DElYkX7l4wRkHqqCUFNJY4AfY3kHU/edit?usp=sharing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0717" s="7" t="s">
        <v>11</v>
      </c>
    </row>
    <row r="10718" spans="1:10" ht="13.2">
      <c r="A10718" s="7">
        <v>10717</v>
      </c>
      <c r="B10718" s="7">
        <v>1</v>
      </c>
      <c r="C10718" s="7" t="s">
        <v>10</v>
      </c>
      <c r="D10718" s="7">
        <v>16805</v>
      </c>
      <c r="E10718" s="7" t="s">
        <v>11</v>
      </c>
      <c r="F10718" s="8" t="str">
        <f ca="1">IFERROR(__xludf.DUMMYFUNCTION("IF
(
C10719=""фізична особа""
,
VLOOKUP(D10719,IMPORTRANGE(""https://docs.google.com/spreadsheets/d/14Bd19lYaqBhU8_DElYkX7l4wRkHqqCUFNJY4AfY3kHU/edit?usp=sharing  #gid=0"",""фіз особи new!relations_name""),6,FALSE)
,
(IF
(
C10719=""юридична особа""
,
VLOO"&amp;"KUP(D10719,IMPORTRANGE(""https://docs.google.com/spreadsheets/d/14Bd19lYaqBhU8_DElYkX7l4wRkHqqCUFNJY4AfY3kHU/edit?usp=sharing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8" s="7" t="s">
        <v>10</v>
      </c>
      <c r="H10718" s="7">
        <v>0</v>
      </c>
      <c r="I10718" s="8" t="str">
        <f ca="1">IFERROR(__xludf.DUMMYFUNCTION("IF
(
G10719=""фізична особа""
,
VLOOKUP(H10719,IMPORTRANGE(""https://docs.google.com/spreadsheets/d/14Bd19lYaqBhU8_DElYkX7l4wRkHqqCUFNJY4AfY3kHU/edit?usp=sharing  #gid=0"",""фіз особи new!relations_name""),6,FALSE)
,
(IF
(
G10719=""юридична особа""
,
VLOO"&amp;"KUP(H10719,IMPORTRANGE(""https://docs.google.com/spreadsheets/d/14Bd19lYaqBhU8_DElYkX7l4wRkHqqCUFNJY4AfY3kHU/edit?usp=sharing  #gid=0"",""фіз особи new!relations_name_uo""),7,FALSE)
,
)
))"),"#N/A")</f>
        <v>#N/A</v>
      </c>
      <c r="J10718" s="7" t="s">
        <v>11</v>
      </c>
    </row>
    <row r="10719" spans="1:10" ht="13.2">
      <c r="A10719" s="7">
        <v>10718</v>
      </c>
      <c r="B10719" s="7">
        <v>1</v>
      </c>
      <c r="C10719" s="7" t="s">
        <v>10</v>
      </c>
      <c r="D10719" s="7">
        <v>16805</v>
      </c>
      <c r="E10719" s="7" t="s">
        <v>11</v>
      </c>
      <c r="F10719" s="8" t="str">
        <f ca="1">IFERROR(__xludf.DUMMYFUNCTION("IF
(
C10720=""фізична особа""
,
VLOOKUP(D10720,IMPORTRANGE(""https://docs.google.com/spreadsheets/d/14Bd19lYaqBhU8_DElYkX7l4wRkHqqCUFNJY4AfY3kHU/edit?usp=sharing  #gid=0"",""фіз особи new!relations_name""),6,FALSE)
,
(IF
(
C10720=""юридична особа""
,
VLOO"&amp;"KUP(D10720,IMPORTRANGE(""https://docs.google.com/spreadsheets/d/14Bd19lYaqBhU8_DElYkX7l4wRkHqqCUFNJY4AfY3kHU/edit?usp=sharing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19" s="7" t="s">
        <v>10</v>
      </c>
      <c r="H10719" s="7">
        <v>0</v>
      </c>
      <c r="I10719" s="8" t="str">
        <f ca="1">IFERROR(__xludf.DUMMYFUNCTION("IF
(
G10720=""фізична особа""
,
VLOOKUP(H10720,IMPORTRANGE(""https://docs.google.com/spreadsheets/d/14Bd19lYaqBhU8_DElYkX7l4wRkHqqCUFNJY4AfY3kHU/edit?usp=sharing  #gid=0"",""фіз особи new!relations_name""),6,FALSE)
,
(IF
(
G10720=""юридична особа""
,
VLOO"&amp;"KUP(H10720,IMPORTRANGE(""https://docs.google.com/spreadsheets/d/14Bd19lYaqBhU8_DElYkX7l4wRkHqqCUFNJY4AfY3kHU/edit?usp=sharing  #gid=0"",""фіз особи new!relations_name_uo""),7,FALSE)
,
)
))"),"#N/A")</f>
        <v>#N/A</v>
      </c>
      <c r="J10719" s="7" t="s">
        <v>11</v>
      </c>
    </row>
    <row r="10720" spans="1:10" ht="13.2">
      <c r="A10720" s="7">
        <v>10719</v>
      </c>
      <c r="B10720" s="7">
        <v>1</v>
      </c>
      <c r="C10720" s="7" t="s">
        <v>10</v>
      </c>
      <c r="D10720" s="7">
        <v>16805</v>
      </c>
      <c r="E10720" s="7" t="s">
        <v>11</v>
      </c>
      <c r="F10720" s="8" t="str">
        <f ca="1">IFERROR(__xludf.DUMMYFUNCTION("IF
(
C10721=""фізична особа""
,
VLOOKUP(D10721,IMPORTRANGE(""https://docs.google.com/spreadsheets/d/14Bd19lYaqBhU8_DElYkX7l4wRkHqqCUFNJY4AfY3kHU/edit?usp=sharing  #gid=0"",""фіз особи new!relations_name""),6,FALSE)
,
(IF
(
C10721=""юридична особа""
,
VLOO"&amp;"KUP(D10721,IMPORTRANGE(""https://docs.google.com/spreadsheets/d/14Bd19lYaqBhU8_DElYkX7l4wRkHqqCUFNJY4AfY3kHU/edit?usp=sharing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G10720" s="7" t="s">
        <v>10</v>
      </c>
      <c r="H10720" s="7">
        <v>18017</v>
      </c>
      <c r="I10720" s="8" t="str">
        <f ca="1">IFERROR(__xludf.DUMMYFUNCTION("IF
(
G10721=""фізична особа""
,
VLOOKUP(H10721,IMPORTRANGE(""https://docs.google.com/spreadsheets/d/14Bd19lYaqBhU8_DElYkX7l4wRkHqqCUFNJY4AfY3kHU/edit?usp=sharing  #gid=0"",""фіз особи new!relations_name""),6,FALSE)
,
(IF
(
G10721=""юридична особа""
,
VLOO"&amp;"KUP(H10721,IMPORTRANGE(""https://docs.google.com/spreadsheets/d/14Bd19lYaqBhU8_DElYkX7l4wRkHqqCUFNJY4AfY3kHU/edit?usp=sharing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0720" s="7" t="s">
        <v>11</v>
      </c>
    </row>
    <row r="10721" spans="1:10" ht="13.2">
      <c r="A10721" s="7">
        <v>10720</v>
      </c>
      <c r="B10721" s="7">
        <v>1</v>
      </c>
      <c r="C10721" s="7" t="s">
        <v>10</v>
      </c>
      <c r="D10721" s="7">
        <v>16850</v>
      </c>
      <c r="E10721" s="7" t="s">
        <v>11</v>
      </c>
      <c r="F10721" s="8" t="str">
        <f ca="1">IFERROR(__xludf.DUMMYFUNCTION("IF
(
C10722=""фізична особа""
,
VLOOKUP(D10722,IMPORTRANGE(""https://docs.google.com/spreadsheets/d/14Bd19lYaqBhU8_DElYkX7l4wRkHqqCUFNJY4AfY3kHU/edit?usp=sharing  #gid=0"",""фіз особи new!relations_name""),6,FALSE)
,
(IF
(
C10722=""юридична особа""
,
VLOO"&amp;"KUP(D10722,IMPORTRANGE(""https://docs.google.com/spreadsheets/d/14Bd19lYaqBhU8_DElYkX7l4wRkHqqCUFNJY4AfY3kHU/edit?usp=sharing  #gid=0"",""фіз особи new!relations_name_uo""),7,FALSE)
,
)
))"),"ВИНОГРАДОВА Світлана Вікторівна")</f>
        <v>ВИНОГРАДОВА Світлана Вікторівна</v>
      </c>
      <c r="G10721" s="7" t="s">
        <v>10</v>
      </c>
      <c r="H10721" s="7">
        <v>23355</v>
      </c>
      <c r="I10721" s="8" t="str">
        <f ca="1">IFERROR(__xludf.DUMMYFUNCTION("IF
(
G10722=""фізична особа""
,
VLOOKUP(H10722,IMPORTRANGE(""https://docs.google.com/spreadsheets/d/14Bd19lYaqBhU8_DElYkX7l4wRkHqqCUFNJY4AfY3kHU/edit?usp=sharing  #gid=0"",""фіз особи new!relations_name""),6,FALSE)
,
(IF
(
G10722=""юридична особа""
,
VLOO"&amp;"KUP(H10722,IMPORTRANGE(""https://docs.google.com/spreadsheets/d/14Bd19lYaqBhU8_DElYkX7l4wRkHqqCUFNJY4AfY3kHU/edit?usp=sharing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J10721" s="7" t="s">
        <v>11</v>
      </c>
    </row>
    <row r="10722" spans="1:10" ht="13.2">
      <c r="A10722" s="7">
        <v>10721</v>
      </c>
      <c r="B10722" s="7">
        <v>1</v>
      </c>
      <c r="C10722" s="7" t="s">
        <v>10</v>
      </c>
      <c r="D10722" s="7">
        <v>16853</v>
      </c>
      <c r="E10722" s="7" t="s">
        <v>11</v>
      </c>
      <c r="F10722" s="8" t="str">
        <f ca="1">IFERROR(__xludf.DUMMYFUNCTION("IF
(
C10723=""фізична особа""
,
VLOOKUP(D10723,IMPORTRANGE(""https://docs.google.com/spreadsheets/d/14Bd19lYaqBhU8_DElYkX7l4wRkHqqCUFNJY4AfY3kHU/edit?usp=sharing  #gid=0"",""фіз особи new!relations_name""),6,FALSE)
,
(IF
(
C10723=""юридична особа""
,
VLOO"&amp;"KUP(D10723,IMPORTRANGE(""https://docs.google.com/spreadsheets/d/14Bd19lYaqBhU8_DElYkX7l4wRkHqqCUFNJY4AfY3kHU/edit?usp=sharing  #gid=0"",""фіз особи new!relations_name_uo""),7,FALSE)
,
)
))"),"КОЛМАКОВА Катерина Павлівна")</f>
        <v>КОЛМАКОВА Катерина Павлівна</v>
      </c>
      <c r="G10722" s="7" t="s">
        <v>10</v>
      </c>
      <c r="H10722" s="7">
        <v>23355</v>
      </c>
      <c r="I10722" s="8" t="str">
        <f ca="1">IFERROR(__xludf.DUMMYFUNCTION("IF
(
G10723=""фізична особа""
,
VLOOKUP(H10723,IMPORTRANGE(""https://docs.google.com/spreadsheets/d/14Bd19lYaqBhU8_DElYkX7l4wRkHqqCUFNJY4AfY3kHU/edit?usp=sharing  #gid=0"",""фіз особи new!relations_name""),6,FALSE)
,
(IF
(
G10723=""юридична особа""
,
VLOO"&amp;"KUP(H10723,IMPORTRANGE(""https://docs.google.com/spreadsheets/d/14Bd19lYaqBhU8_DElYkX7l4wRkHqqCUFNJY4AfY3kHU/edit?usp=sharing  #gid=0"",""фіз особи new!relations_name_uo""),7,FALSE)
,
)
))"),"ПЕТРОВ Сергій Анатолійович")</f>
        <v>ПЕТРОВ Сергій Анатолійович</v>
      </c>
      <c r="J10722" s="7" t="s">
        <v>11</v>
      </c>
    </row>
    <row r="10723" spans="1:10" ht="13.2">
      <c r="A10723" s="7">
        <v>10722</v>
      </c>
      <c r="B10723" s="7">
        <v>1</v>
      </c>
      <c r="C10723" s="7" t="s">
        <v>10</v>
      </c>
      <c r="D10723" s="7">
        <v>16922</v>
      </c>
      <c r="E10723" s="7" t="s">
        <v>14</v>
      </c>
      <c r="F10723" s="8" t="str">
        <f ca="1">IFERROR(__xludf.DUMMYFUNCTION("IF
(
C10724=""фізична особа""
,
VLOOKUP(D10724,IMPORTRANGE(""https://docs.google.com/spreadsheets/d/14Bd19lYaqBhU8_DElYkX7l4wRkHqqCUFNJY4AfY3kHU/edit?usp=sharing  #gid=0"",""фіз особи new!relations_name""),6,FALSE)
,
(IF
(
C10724=""юридична особа""
,
VLOO"&amp;"KUP(D10724,IMPORTRANGE(""https://docs.google.com/spreadsheets/d/14Bd19lYaqBhU8_DElYkX7l4wRkHqqCUFNJY4AfY3kHU/edit?usp=sharing  #gid=0"",""фіз особи new!relations_name_uo""),7,FALSE)
,
)
))"),"АБРАМОВ Сергій Борисович")</f>
        <v>АБРАМОВ Сергій Борисович</v>
      </c>
      <c r="G10723" s="7" t="s">
        <v>10</v>
      </c>
      <c r="H10723" s="7">
        <v>0</v>
      </c>
      <c r="I10723" s="8" t="str">
        <f ca="1">IFERROR(__xludf.DUMMYFUNCTION("IF
(
G10724=""фізична особа""
,
VLOOKUP(H10724,IMPORTRANGE(""https://docs.google.com/spreadsheets/d/14Bd19lYaqBhU8_DElYkX7l4wRkHqqCUFNJY4AfY3kHU/edit?usp=sharing  #gid=0"",""фіз особи new!relations_name""),6,FALSE)
,
(IF
(
G10724=""юридична особа""
,
VLOO"&amp;"KUP(H10724,IMPORTRANGE(""https://docs.google.com/spreadsheets/d/14Bd19lYaqBhU8_DElYkX7l4wRkHqqCUFNJY4AfY3kHU/edit?usp=sharing  #gid=0"",""фіз особи new!relations_name_uo""),7,FALSE)
,
)
))"),"#N/A")</f>
        <v>#N/A</v>
      </c>
      <c r="J10723" s="7" t="s">
        <v>15</v>
      </c>
    </row>
    <row r="10724" spans="1:10" ht="13.2">
      <c r="A10724" s="7">
        <v>10723</v>
      </c>
      <c r="B10724" s="7">
        <v>1</v>
      </c>
      <c r="C10724" s="7" t="s">
        <v>10</v>
      </c>
      <c r="D10724" s="7">
        <v>16922</v>
      </c>
      <c r="E10724" s="7" t="s">
        <v>12</v>
      </c>
      <c r="F10724" s="8" t="str">
        <f ca="1">IFERROR(__xludf.DUMMYFUNCTION("IF
(
C10725=""фізична особа""
,
VLOOKUP(D10725,IMPORTRANGE(""https://docs.google.com/spreadsheets/d/14Bd19lYaqBhU8_DElYkX7l4wRkHqqCUFNJY4AfY3kHU/edit?usp=sharing  #gid=0"",""фіз особи new!relations_name""),6,FALSE)
,
(IF
(
C10725=""юридична особа""
,
VLOO"&amp;"KUP(D10725,IMPORTRANGE(""https://docs.google.com/spreadsheets/d/14Bd19lYaqBhU8_DElYkX7l4wRkHqqCUFNJY4AfY3kHU/edit?usp=sharing  #gid=0"",""фіз особи new!relations_name_uo""),7,FALSE)
,
)
))"),"АБРАМОВ Сергій Борисович")</f>
        <v>АБРАМОВ Сергій Борисович</v>
      </c>
      <c r="G10724" s="7" t="s">
        <v>10</v>
      </c>
      <c r="H10724" s="7">
        <v>0</v>
      </c>
      <c r="I10724" s="8" t="str">
        <f ca="1">IFERROR(__xludf.DUMMYFUNCTION("IF
(
G10725=""фізична особа""
,
VLOOKUP(H10725,IMPORTRANGE(""https://docs.google.com/spreadsheets/d/14Bd19lYaqBhU8_DElYkX7l4wRkHqqCUFNJY4AfY3kHU/edit?usp=sharing  #gid=0"",""фіз особи new!relations_name""),6,FALSE)
,
(IF
(
G10725=""юридична особа""
,
VLOO"&amp;"KUP(H10725,IMPORTRANGE(""https://docs.google.com/spreadsheets/d/14Bd19lYaqBhU8_DElYkX7l4wRkHqqCUFNJY4AfY3kHU/edit?usp=sharing  #gid=0"",""фіз особи new!relations_name_uo""),7,FALSE)
,
)
))"),"#N/A")</f>
        <v>#N/A</v>
      </c>
      <c r="J10724" s="7" t="s">
        <v>17</v>
      </c>
    </row>
    <row r="10725" spans="1:10" ht="13.2">
      <c r="A10725" s="7">
        <v>10724</v>
      </c>
      <c r="B10725" s="7">
        <v>1</v>
      </c>
      <c r="C10725" s="7" t="s">
        <v>10</v>
      </c>
      <c r="D10725" s="7">
        <v>16923</v>
      </c>
      <c r="E10725" s="7" t="s">
        <v>11</v>
      </c>
      <c r="F10725" s="8" t="str">
        <f ca="1">IFERROR(__xludf.DUMMYFUNCTION("IF
(
C10726=""фізична особа""
,
VLOOKUP(D10726,IMPORTRANGE(""https://docs.google.com/spreadsheets/d/14Bd19lYaqBhU8_DElYkX7l4wRkHqqCUFNJY4AfY3kHU/edit?usp=sharing  #gid=0"",""фіз особи new!relations_name""),6,FALSE)
,
(IF
(
C10726=""юридична особа""
,
VLOO"&amp;"KUP(D10726,IMPORTRANGE(""https://docs.google.com/spreadsheets/d/14Bd19lYaqBhU8_DElYkX7l4wRkHqqCUFNJY4AfY3kHU/edit?usp=sharing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G10725" s="7" t="s">
        <v>10</v>
      </c>
      <c r="H10725" s="7">
        <v>5360</v>
      </c>
      <c r="I10725" s="8" t="str">
        <f ca="1">IFERROR(__xludf.DUMMYFUNCTION("IF
(
G10726=""фізична особа""
,
VLOOKUP(H10726,IMPORTRANGE(""https://docs.google.com/spreadsheets/d/14Bd19lYaqBhU8_DElYkX7l4wRkHqqCUFNJY4AfY3kHU/edit?usp=sharing  #gid=0"",""фіз особи new!relations_name""),6,FALSE)
,
(IF
(
G10726=""юридична особа""
,
VLOO"&amp;"KUP(H10726,IMPORTRANGE(""https://docs.google.com/spreadsheets/d/14Bd19lYaqBhU8_DElYkX7l4wRkHqqCUFNJY4AfY3kHU/edit?usp=sharing  #gid=0"",""фіз особи new!relations_name_uo""),7,FALSE)
,
)
))"),"ПЕРШИН Михайло Миколайович")</f>
        <v>ПЕРШИН Михайло Миколайович</v>
      </c>
      <c r="J10725" s="7" t="s">
        <v>11</v>
      </c>
    </row>
    <row r="10726" spans="1:10" ht="13.2">
      <c r="A10726" s="7">
        <v>10725</v>
      </c>
      <c r="B10726" s="7">
        <v>1</v>
      </c>
      <c r="C10726" s="7" t="s">
        <v>10</v>
      </c>
      <c r="D10726" s="7">
        <v>16923</v>
      </c>
      <c r="E10726" s="7" t="s">
        <v>11</v>
      </c>
      <c r="F10726" s="8" t="str">
        <f ca="1">IFERROR(__xludf.DUMMYFUNCTION("IF
(
C10727=""фізична особа""
,
VLOOKUP(D10727,IMPORTRANGE(""https://docs.google.com/spreadsheets/d/14Bd19lYaqBhU8_DElYkX7l4wRkHqqCUFNJY4AfY3kHU/edit?usp=sharing  #gid=0"",""фіз особи new!relations_name""),6,FALSE)
,
(IF
(
C10727=""юридична особа""
,
VLOO"&amp;"KUP(D10727,IMPORTRANGE(""https://docs.google.com/spreadsheets/d/14Bd19lYaqBhU8_DElYkX7l4wRkHqqCUFNJY4AfY3kHU/edit?usp=sharing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G10726" s="7" t="s">
        <v>10</v>
      </c>
      <c r="H10726" s="7">
        <v>5749</v>
      </c>
      <c r="I10726" s="8" t="str">
        <f ca="1">IFERROR(__xludf.DUMMYFUNCTION("IF
(
G10727=""фізична особа""
,
VLOOKUP(H10727,IMPORTRANGE(""https://docs.google.com/spreadsheets/d/14Bd19lYaqBhU8_DElYkX7l4wRkHqqCUFNJY4AfY3kHU/edit?usp=sharing  #gid=0"",""фіз особи new!relations_name""),6,FALSE)
,
(IF
(
G10727=""юридична особа""
,
VLOO"&amp;"KUP(H10727,IMPORTRANGE(""https://docs.google.com/spreadsheets/d/14Bd19lYaqBhU8_DElYkX7l4wRkHqqCUFNJY4AfY3kHU/edit?usp=sharing  #gid=0"",""фіз особи new!relations_name_uo""),7,FALSE)
,
)
))"),"КУЛАКОВ Володимир Вікторович")</f>
        <v>КУЛАКОВ Володимир Вікторович</v>
      </c>
      <c r="J10726" s="7" t="s">
        <v>11</v>
      </c>
    </row>
    <row r="10727" spans="1:10" ht="13.2">
      <c r="A10727" s="7">
        <v>10726</v>
      </c>
      <c r="B10727" s="7">
        <v>1</v>
      </c>
      <c r="C10727" s="7" t="s">
        <v>10</v>
      </c>
      <c r="D10727" s="7">
        <v>16923</v>
      </c>
      <c r="E10727" s="7" t="s">
        <v>28</v>
      </c>
      <c r="F10727" s="8" t="str">
        <f ca="1">IFERROR(__xludf.DUMMYFUNCTION("IF
(
C10728=""фізична особа""
,
VLOOKUP(D10728,IMPORTRANGE(""https://docs.google.com/spreadsheets/d/14Bd19lYaqBhU8_DElYkX7l4wRkHqqCUFNJY4AfY3kHU/edit?usp=sharing  #gid=0"",""фіз особи new!relations_name""),6,FALSE)
,
(IF
(
C10728=""юридична особа""
,
VLOO"&amp;"KUP(D10728,IMPORTRANGE(""https://docs.google.com/spreadsheets/d/14Bd19lYaqBhU8_DElYkX7l4wRkHqqCUFNJY4AfY3kHU/edit?usp=sharing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G10727" s="7" t="s">
        <v>10</v>
      </c>
      <c r="H10727" s="7">
        <v>4023</v>
      </c>
      <c r="I10727" s="8" t="str">
        <f ca="1">IFERROR(__xludf.DUMMYFUNCTION("IF
(
G10728=""фізична особа""
,
VLOOKUP(H10728,IMPORTRANGE(""https://docs.google.com/spreadsheets/d/14Bd19lYaqBhU8_DElYkX7l4wRkHqqCUFNJY4AfY3kHU/edit?usp=sharing  #gid=0"",""фіз особи new!relations_name""),6,FALSE)
,
(IF
(
G10728=""юридична особа""
,
VLOO"&amp;"KUP(H10728,IMPORTRANGE(""https://docs.google.com/spreadsheets/d/14Bd19lYaqBhU8_DElYkX7l4wRkHqqCUFNJY4AfY3kHU/edit?usp=sharing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27" s="7" t="s">
        <v>29</v>
      </c>
    </row>
    <row r="10728" spans="1:10" ht="13.2">
      <c r="A10728" s="7">
        <v>10727</v>
      </c>
      <c r="B10728" s="7">
        <v>1</v>
      </c>
      <c r="C10728" s="7" t="s">
        <v>10</v>
      </c>
      <c r="D10728" s="7">
        <v>16924</v>
      </c>
      <c r="E10728" s="7" t="s">
        <v>11</v>
      </c>
      <c r="F10728" s="8" t="str">
        <f ca="1">IFERROR(__xludf.DUMMYFUNCTION("IF
(
C10729=""фізична особа""
,
VLOOKUP(D10729,IMPORTRANGE(""https://docs.google.com/spreadsheets/d/14Bd19lYaqBhU8_DElYkX7l4wRkHqqCUFNJY4AfY3kHU/edit?usp=sharing  #gid=0"",""фіз особи new!relations_name""),6,FALSE)
,
(IF
(
C10729=""юридична особа""
,
VLOO"&amp;"KUP(D10729,IMPORTRANGE(""https://docs.google.com/spreadsheets/d/14Bd19lYaqBhU8_DElYkX7l4wRkHqqCUFNJY4AfY3kHU/edit?usp=sharing  #gid=0"",""фіз особи new!relations_name_uo""),7,FALSE)
,
)
))"),"ІШУТІНА Тетяна Михайлівна")</f>
        <v>ІШУТІНА Тетяна Михайлівна</v>
      </c>
      <c r="G10728" s="7" t="s">
        <v>10</v>
      </c>
      <c r="H10728" s="7">
        <v>5297</v>
      </c>
      <c r="I10728" s="8" t="str">
        <f ca="1">IFERROR(__xludf.DUMMYFUNCTION("IF
(
G10729=""фізична особа""
,
VLOOKUP(H10729,IMPORTRANGE(""https://docs.google.com/spreadsheets/d/14Bd19lYaqBhU8_DElYkX7l4wRkHqqCUFNJY4AfY3kHU/edit?usp=sharing  #gid=0"",""фіз особи new!relations_name""),6,FALSE)
,
(IF
(
G10729=""юридична особа""
,
VLOO"&amp;"KUP(H10729,IMPORTRANGE(""https://docs.google.com/spreadsheets/d/14Bd19lYaqBhU8_DElYkX7l4wRkHqqCUFNJY4AfY3kHU/edit?usp=sharing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28" s="7" t="s">
        <v>11</v>
      </c>
    </row>
    <row r="10729" spans="1:10" ht="13.2">
      <c r="A10729" s="7">
        <v>10728</v>
      </c>
      <c r="B10729" s="7">
        <v>1</v>
      </c>
      <c r="C10729" s="7" t="s">
        <v>10</v>
      </c>
      <c r="D10729" s="7">
        <v>16924</v>
      </c>
      <c r="E10729" s="7" t="s">
        <v>11</v>
      </c>
      <c r="F10729" s="8" t="str">
        <f ca="1">IFERROR(__xludf.DUMMYFUNCTION("IF
(
C10730=""фізична особа""
,
VLOOKUP(D10730,IMPORTRANGE(""https://docs.google.com/spreadsheets/d/14Bd19lYaqBhU8_DElYkX7l4wRkHqqCUFNJY4AfY3kHU/edit?usp=sharing  #gid=0"",""фіз особи new!relations_name""),6,FALSE)
,
(IF
(
C10730=""юридична особа""
,
VLOO"&amp;"KUP(D10730,IMPORTRANGE(""https://docs.google.com/spreadsheets/d/14Bd19lYaqBhU8_DElYkX7l4wRkHqqCUFNJY4AfY3kHU/edit?usp=sharing  #gid=0"",""фіз особи new!relations_name_uo""),7,FALSE)
,
)
))"),"ІШУТІНА Тетяна Михайлівна")</f>
        <v>ІШУТІНА Тетяна Михайлівна</v>
      </c>
      <c r="G10729" s="7" t="s">
        <v>10</v>
      </c>
      <c r="H10729" s="7">
        <v>5751</v>
      </c>
      <c r="I10729" s="8" t="str">
        <f ca="1">IFERROR(__xludf.DUMMYFUNCTION("IF
(
G10730=""фізична особа""
,
VLOOKUP(H10730,IMPORTRANGE(""https://docs.google.com/spreadsheets/d/14Bd19lYaqBhU8_DElYkX7l4wRkHqqCUFNJY4AfY3kHU/edit?usp=sharing  #gid=0"",""фіз особи new!relations_name""),6,FALSE)
,
(IF
(
G10730=""юридична особа""
,
VLOO"&amp;"KUP(H10730,IMPORTRANGE(""https://docs.google.com/spreadsheets/d/14Bd19lYaqBhU8_DElYkX7l4wRkHqqCUFNJY4AfY3kHU/edit?usp=sharing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10729" s="7" t="s">
        <v>11</v>
      </c>
    </row>
    <row r="10730" spans="1:10" ht="13.2">
      <c r="A10730" s="7">
        <v>10729</v>
      </c>
      <c r="B10730" s="7">
        <v>1</v>
      </c>
      <c r="C10730" s="7" t="s">
        <v>10</v>
      </c>
      <c r="D10730" s="7">
        <v>16924</v>
      </c>
      <c r="E10730" s="7" t="s">
        <v>28</v>
      </c>
      <c r="F10730" s="8" t="str">
        <f ca="1">IFERROR(__xludf.DUMMYFUNCTION("IF
(
C10731=""фізична особа""
,
VLOOKUP(D10731,IMPORTRANGE(""https://docs.google.com/spreadsheets/d/14Bd19lYaqBhU8_DElYkX7l4wRkHqqCUFNJY4AfY3kHU/edit?usp=sharing  #gid=0"",""фіз особи new!relations_name""),6,FALSE)
,
(IF
(
C10731=""юридична особа""
,
VLOO"&amp;"KUP(D10731,IMPORTRANGE(""https://docs.google.com/spreadsheets/d/14Bd19lYaqBhU8_DElYkX7l4wRkHqqCUFNJY4AfY3kHU/edit?usp=sharing  #gid=0"",""фіз особи new!relations_name_uo""),7,FALSE)
,
)
))"),"ІШУТІНА Тетяна Михайлівна")</f>
        <v>ІШУТІНА Тетяна Михайлівна</v>
      </c>
      <c r="G10730" s="7" t="s">
        <v>10</v>
      </c>
      <c r="H10730" s="7">
        <v>4023</v>
      </c>
      <c r="I10730" s="8" t="str">
        <f ca="1">IFERROR(__xludf.DUMMYFUNCTION("IF
(
G10731=""фізична особа""
,
VLOOKUP(H10731,IMPORTRANGE(""https://docs.google.com/spreadsheets/d/14Bd19lYaqBhU8_DElYkX7l4wRkHqqCUFNJY4AfY3kHU/edit?usp=sharing  #gid=0"",""фіз особи new!relations_name""),6,FALSE)
,
(IF
(
G10731=""юридична особа""
,
VLOO"&amp;"KUP(H10731,IMPORTRANGE(""https://docs.google.com/spreadsheets/d/14Bd19lYaqBhU8_DElYkX7l4wRkHqqCUFNJY4AfY3kHU/edit?usp=sharing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30" s="7" t="s">
        <v>29</v>
      </c>
    </row>
    <row r="10731" spans="1:10" ht="13.2">
      <c r="A10731" s="7">
        <v>10730</v>
      </c>
      <c r="B10731" s="7">
        <v>1</v>
      </c>
      <c r="C10731" s="7" t="s">
        <v>10</v>
      </c>
      <c r="D10731" s="7">
        <v>16925</v>
      </c>
      <c r="E10731" s="7" t="s">
        <v>11</v>
      </c>
      <c r="F10731" s="8" t="str">
        <f ca="1">IFERROR(__xludf.DUMMYFUNCTION("IF
(
C10732=""фізична особа""
,
VLOOKUP(D10732,IMPORTRANGE(""https://docs.google.com/spreadsheets/d/14Bd19lYaqBhU8_DElYkX7l4wRkHqqCUFNJY4AfY3kHU/edit?usp=sharing  #gid=0"",""фіз особи new!relations_name""),6,FALSE)
,
(IF
(
C10732=""юридична особа""
,
VLOO"&amp;"KUP(D10732,IMPORTRANGE(""https://docs.google.com/spreadsheets/d/14Bd19lYaqBhU8_DElYkX7l4wRkHqqCUFNJY4AfY3kHU/edit?usp=sharing  #gid=0"",""фіз особи new!relations_name_uo""),7,FALSE)
,
)
))"),"КАРЄВ Ян Олександрович")</f>
        <v>КАРЄВ Ян Олександрович</v>
      </c>
      <c r="G10731" s="7" t="s">
        <v>10</v>
      </c>
      <c r="H10731" s="7">
        <v>5297</v>
      </c>
      <c r="I10731" s="8" t="str">
        <f ca="1">IFERROR(__xludf.DUMMYFUNCTION("IF
(
G10732=""фізична особа""
,
VLOOKUP(H10732,IMPORTRANGE(""https://docs.google.com/spreadsheets/d/14Bd19lYaqBhU8_DElYkX7l4wRkHqqCUFNJY4AfY3kHU/edit?usp=sharing  #gid=0"",""фіз особи new!relations_name""),6,FALSE)
,
(IF
(
G10732=""юридична особа""
,
VLOO"&amp;"KUP(H10732,IMPORTRANGE(""https://docs.google.com/spreadsheets/d/14Bd19lYaqBhU8_DElYkX7l4wRkHqqCUFNJY4AfY3kHU/edit?usp=sharing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31" s="7" t="s">
        <v>11</v>
      </c>
    </row>
    <row r="10732" spans="1:10" ht="13.2">
      <c r="A10732" s="7">
        <v>10731</v>
      </c>
      <c r="B10732" s="7">
        <v>1</v>
      </c>
      <c r="C10732" s="7" t="s">
        <v>10</v>
      </c>
      <c r="D10732" s="7">
        <v>16925</v>
      </c>
      <c r="E10732" s="7" t="s">
        <v>11</v>
      </c>
      <c r="F10732" s="8" t="str">
        <f ca="1">IFERROR(__xludf.DUMMYFUNCTION("IF
(
C10733=""фізична особа""
,
VLOOKUP(D10733,IMPORTRANGE(""https://docs.google.com/spreadsheets/d/14Bd19lYaqBhU8_DElYkX7l4wRkHqqCUFNJY4AfY3kHU/edit?usp=sharing  #gid=0"",""фіз особи new!relations_name""),6,FALSE)
,
(IF
(
C10733=""юридична особа""
,
VLOO"&amp;"KUP(D10733,IMPORTRANGE(""https://docs.google.com/spreadsheets/d/14Bd19lYaqBhU8_DElYkX7l4wRkHqqCUFNJY4AfY3kHU/edit?usp=sharing  #gid=0"",""фіз особи new!relations_name_uo""),7,FALSE)
,
)
))"),"КАРЄВ Ян Олександрович")</f>
        <v>КАРЄВ Ян Олександрович</v>
      </c>
      <c r="G10732" s="7" t="s">
        <v>10</v>
      </c>
      <c r="H10732" s="7">
        <v>5756</v>
      </c>
      <c r="I10732" s="8" t="str">
        <f ca="1">IFERROR(__xludf.DUMMYFUNCTION("IF
(
G10733=""фізична особа""
,
VLOOKUP(H10733,IMPORTRANGE(""https://docs.google.com/spreadsheets/d/14Bd19lYaqBhU8_DElYkX7l4wRkHqqCUFNJY4AfY3kHU/edit?usp=sharing  #gid=0"",""фіз особи new!relations_name""),6,FALSE)
,
(IF
(
G10733=""юридична особа""
,
VLOO"&amp;"KUP(H10733,IMPORTRANGE(""https://docs.google.com/spreadsheets/d/14Bd19lYaqBhU8_DElYkX7l4wRkHqqCUFNJY4AfY3kHU/edit?usp=sharing  #gid=0"",""фіз особи new!relations_name_uo""),7,FALSE)
,
)
))"),"СОЛОВЙОВ Олександр Сергійович")</f>
        <v>СОЛОВЙОВ Олександр Сергійович</v>
      </c>
      <c r="J10732" s="7" t="s">
        <v>11</v>
      </c>
    </row>
    <row r="10733" spans="1:10" ht="13.2">
      <c r="A10733" s="7">
        <v>10732</v>
      </c>
      <c r="B10733" s="7">
        <v>1</v>
      </c>
      <c r="C10733" s="7" t="s">
        <v>10</v>
      </c>
      <c r="D10733" s="7">
        <v>16925</v>
      </c>
      <c r="E10733" s="7" t="s">
        <v>28</v>
      </c>
      <c r="F10733" s="8" t="str">
        <f ca="1">IFERROR(__xludf.DUMMYFUNCTION("IF
(
C10734=""фізична особа""
,
VLOOKUP(D10734,IMPORTRANGE(""https://docs.google.com/spreadsheets/d/14Bd19lYaqBhU8_DElYkX7l4wRkHqqCUFNJY4AfY3kHU/edit?usp=sharing  #gid=0"",""фіз особи new!relations_name""),6,FALSE)
,
(IF
(
C10734=""юридична особа""
,
VLOO"&amp;"KUP(D10734,IMPORTRANGE(""https://docs.google.com/spreadsheets/d/14Bd19lYaqBhU8_DElYkX7l4wRkHqqCUFNJY4AfY3kHU/edit?usp=sharing  #gid=0"",""фіз особи new!relations_name_uo""),7,FALSE)
,
)
))"),"КАРЄВ Ян Олександрович")</f>
        <v>КАРЄВ Ян Олександрович</v>
      </c>
      <c r="G10733" s="7" t="s">
        <v>10</v>
      </c>
      <c r="H10733" s="7">
        <v>4023</v>
      </c>
      <c r="I10733" s="8" t="str">
        <f ca="1">IFERROR(__xludf.DUMMYFUNCTION("IF
(
G10734=""фізична особа""
,
VLOOKUP(H10734,IMPORTRANGE(""https://docs.google.com/spreadsheets/d/14Bd19lYaqBhU8_DElYkX7l4wRkHqqCUFNJY4AfY3kHU/edit?usp=sharing  #gid=0"",""фіз особи new!relations_name""),6,FALSE)
,
(IF
(
G10734=""юридична особа""
,
VLOO"&amp;"KUP(H10734,IMPORTRANGE(""https://docs.google.com/spreadsheets/d/14Bd19lYaqBhU8_DElYkX7l4wRkHqqCUFNJY4AfY3kHU/edit?usp=sharing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33" s="7" t="s">
        <v>29</v>
      </c>
    </row>
    <row r="10734" spans="1:10" ht="13.2">
      <c r="A10734" s="7">
        <v>10733</v>
      </c>
      <c r="B10734" s="7">
        <v>1</v>
      </c>
      <c r="C10734" s="7" t="s">
        <v>10</v>
      </c>
      <c r="D10734" s="7">
        <v>16926</v>
      </c>
      <c r="E10734" s="7" t="s">
        <v>11</v>
      </c>
      <c r="F10734" s="8" t="str">
        <f ca="1">IFERROR(__xludf.DUMMYFUNCTION("IF
(
C10735=""фізична особа""
,
VLOOKUP(D10735,IMPORTRANGE(""https://docs.google.com/spreadsheets/d/14Bd19lYaqBhU8_DElYkX7l4wRkHqqCUFNJY4AfY3kHU/edit?usp=sharing  #gid=0"",""фіз особи new!relations_name""),6,FALSE)
,
(IF
(
C10735=""юридична особа""
,
VLOO"&amp;"KUP(D10735,IMPORTRANGE(""https://docs.google.com/spreadsheets/d/14Bd19lYaqBhU8_DElYkX7l4wRkHqqCUFNJY4AfY3kHU/edit?usp=sharing  #gid=0"",""фіз особи new!relations_name_uo""),7,FALSE)
,
)
))"),"КОЗЛУКОВ В'ячеслав Геннадійович")</f>
        <v>КОЗЛУКОВ В'ячеслав Геннадійович</v>
      </c>
      <c r="G10734" s="7" t="s">
        <v>10</v>
      </c>
      <c r="H10734" s="7">
        <v>5297</v>
      </c>
      <c r="I10734" s="8" t="str">
        <f ca="1">IFERROR(__xludf.DUMMYFUNCTION("IF
(
G10735=""фізична особа""
,
VLOOKUP(H10735,IMPORTRANGE(""https://docs.google.com/spreadsheets/d/14Bd19lYaqBhU8_DElYkX7l4wRkHqqCUFNJY4AfY3kHU/edit?usp=sharing  #gid=0"",""фіз особи new!relations_name""),6,FALSE)
,
(IF
(
G10735=""юридична особа""
,
VLOO"&amp;"KUP(H10735,IMPORTRANGE(""https://docs.google.com/spreadsheets/d/14Bd19lYaqBhU8_DElYkX7l4wRkHqqCUFNJY4AfY3kHU/edit?usp=sharing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34" s="7" t="s">
        <v>11</v>
      </c>
    </row>
    <row r="10735" spans="1:10" ht="13.2">
      <c r="A10735" s="7">
        <v>10734</v>
      </c>
      <c r="B10735" s="7">
        <v>1</v>
      </c>
      <c r="C10735" s="7" t="s">
        <v>10</v>
      </c>
      <c r="D10735" s="7">
        <v>16926</v>
      </c>
      <c r="E10735" s="7" t="s">
        <v>28</v>
      </c>
      <c r="F10735" s="8" t="str">
        <f ca="1">IFERROR(__xludf.DUMMYFUNCTION("IF
(
C10736=""фізична особа""
,
VLOOKUP(D10736,IMPORTRANGE(""https://docs.google.com/spreadsheets/d/14Bd19lYaqBhU8_DElYkX7l4wRkHqqCUFNJY4AfY3kHU/edit?usp=sharing  #gid=0"",""фіз особи new!relations_name""),6,FALSE)
,
(IF
(
C10736=""юридична особа""
,
VLOO"&amp;"KUP(D10736,IMPORTRANGE(""https://docs.google.com/spreadsheets/d/14Bd19lYaqBhU8_DElYkX7l4wRkHqqCUFNJY4AfY3kHU/edit?usp=sharing  #gid=0"",""фіз особи new!relations_name_uo""),7,FALSE)
,
)
))"),"КОЗЛУКОВ В'ячеслав Геннадійович")</f>
        <v>КОЗЛУКОВ В'ячеслав Геннадійович</v>
      </c>
      <c r="G10735" s="7" t="s">
        <v>10</v>
      </c>
      <c r="H10735" s="7">
        <v>4023</v>
      </c>
      <c r="I10735" s="8" t="str">
        <f ca="1">IFERROR(__xludf.DUMMYFUNCTION("IF
(
G10736=""фізична особа""
,
VLOOKUP(H10736,IMPORTRANGE(""https://docs.google.com/spreadsheets/d/14Bd19lYaqBhU8_DElYkX7l4wRkHqqCUFNJY4AfY3kHU/edit?usp=sharing  #gid=0"",""фіз особи new!relations_name""),6,FALSE)
,
(IF
(
G10736=""юридична особа""
,
VLOO"&amp;"KUP(H10736,IMPORTRANGE(""https://docs.google.com/spreadsheets/d/14Bd19lYaqBhU8_DElYkX7l4wRkHqqCUFNJY4AfY3kHU/edit?usp=sharing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35" s="7" t="s">
        <v>29</v>
      </c>
    </row>
    <row r="10736" spans="1:10" ht="13.2">
      <c r="A10736" s="7">
        <v>10735</v>
      </c>
      <c r="B10736" s="7">
        <v>1</v>
      </c>
      <c r="C10736" s="7" t="s">
        <v>10</v>
      </c>
      <c r="D10736" s="7">
        <v>16927</v>
      </c>
      <c r="E10736" s="7" t="s">
        <v>11</v>
      </c>
      <c r="F10736" s="8" t="str">
        <f ca="1">IFERROR(__xludf.DUMMYFUNCTION("IF
(
C10737=""фізична особа""
,
VLOOKUP(D10737,IMPORTRANGE(""https://docs.google.com/spreadsheets/d/14Bd19lYaqBhU8_DElYkX7l4wRkHqqCUFNJY4AfY3kHU/edit?usp=sharing  #gid=0"",""фіз особи new!relations_name""),6,FALSE)
,
(IF
(
C10737=""юридична особа""
,
VLOO"&amp;"KUP(D10737,IMPORTRANGE(""https://docs.google.com/spreadsheets/d/14Bd19lYaqBhU8_DElYkX7l4wRkHqqCUFNJY4AfY3kHU/edit?usp=sharing  #gid=0"",""фіз особи new!relations_name_uo""),7,FALSE)
,
)
))"),"КОДЗОЄВ Заурбек Магамедович")</f>
        <v>КОДЗОЄВ Заурбек Магамедович</v>
      </c>
      <c r="G10736" s="7" t="s">
        <v>10</v>
      </c>
      <c r="H10736" s="7">
        <v>5297</v>
      </c>
      <c r="I10736" s="8" t="str">
        <f ca="1">IFERROR(__xludf.DUMMYFUNCTION("IF
(
G10737=""фізична особа""
,
VLOOKUP(H10737,IMPORTRANGE(""https://docs.google.com/spreadsheets/d/14Bd19lYaqBhU8_DElYkX7l4wRkHqqCUFNJY4AfY3kHU/edit?usp=sharing  #gid=0"",""фіз особи new!relations_name""),6,FALSE)
,
(IF
(
G10737=""юридична особа""
,
VLOO"&amp;"KUP(H10737,IMPORTRANGE(""https://docs.google.com/spreadsheets/d/14Bd19lYaqBhU8_DElYkX7l4wRkHqqCUFNJY4AfY3kHU/edit?usp=sharing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36" s="7" t="s">
        <v>11</v>
      </c>
    </row>
    <row r="10737" spans="1:10" ht="13.2">
      <c r="A10737" s="7">
        <v>10736</v>
      </c>
      <c r="B10737" s="7">
        <v>1</v>
      </c>
      <c r="C10737" s="7" t="s">
        <v>10</v>
      </c>
      <c r="D10737" s="7">
        <v>16927</v>
      </c>
      <c r="E10737" s="7" t="s">
        <v>28</v>
      </c>
      <c r="F10737" s="8" t="str">
        <f ca="1">IFERROR(__xludf.DUMMYFUNCTION("IF
(
C10738=""фізична особа""
,
VLOOKUP(D10738,IMPORTRANGE(""https://docs.google.com/spreadsheets/d/14Bd19lYaqBhU8_DElYkX7l4wRkHqqCUFNJY4AfY3kHU/edit?usp=sharing  #gid=0"",""фіз особи new!relations_name""),6,FALSE)
,
(IF
(
C10738=""юридична особа""
,
VLOO"&amp;"KUP(D10738,IMPORTRANGE(""https://docs.google.com/spreadsheets/d/14Bd19lYaqBhU8_DElYkX7l4wRkHqqCUFNJY4AfY3kHU/edit?usp=sharing  #gid=0"",""фіз особи new!relations_name_uo""),7,FALSE)
,
)
))"),"КОДЗОЄВ Заурбек Магамедович")</f>
        <v>КОДЗОЄВ Заурбек Магамедович</v>
      </c>
      <c r="G10737" s="7" t="s">
        <v>10</v>
      </c>
      <c r="H10737" s="7">
        <v>3167</v>
      </c>
      <c r="I10737" s="8" t="str">
        <f ca="1">IFERROR(__xludf.DUMMYFUNCTION("IF
(
G10738=""фізична особа""
,
VLOOKUP(H10738,IMPORTRANGE(""https://docs.google.com/spreadsheets/d/14Bd19lYaqBhU8_DElYkX7l4wRkHqqCUFNJY4AfY3kHU/edit?usp=sharing  #gid=0"",""фіз особи new!relations_name""),6,FALSE)
,
(IF
(
G10738=""юридична особа""
,
VLOO"&amp;"KUP(H10738,IMPORTRANGE(""https://docs.google.com/spreadsheets/d/14Bd19lYaqBhU8_DElYkX7l4wRkHqqCUFNJY4AfY3kHU/edit?usp=sharing  #gid=0"",""фіз особи new!relations_name_uo""),7,FALSE)
,
)
))"),"ЯКОВЕНКО Вадим Володимирович")</f>
        <v>ЯКОВЕНКО Вадим Володимирович</v>
      </c>
      <c r="J10737" s="7" t="s">
        <v>29</v>
      </c>
    </row>
    <row r="10738" spans="1:10" ht="13.2">
      <c r="A10738" s="7">
        <v>10737</v>
      </c>
      <c r="B10738" s="7">
        <v>1</v>
      </c>
      <c r="C10738" s="7" t="s">
        <v>10</v>
      </c>
      <c r="D10738" s="7">
        <v>16928</v>
      </c>
      <c r="E10738" s="7" t="s">
        <v>11</v>
      </c>
      <c r="F10738" s="8" t="str">
        <f ca="1">IFERROR(__xludf.DUMMYFUNCTION("IF
(
C10739=""фізична особа""
,
VLOOKUP(D10739,IMPORTRANGE(""https://docs.google.com/spreadsheets/d/14Bd19lYaqBhU8_DElYkX7l4wRkHqqCUFNJY4AfY3kHU/edit?usp=sharing  #gid=0"",""фіз особи new!relations_name""),6,FALSE)
,
(IF
(
C10739=""юридична особа""
,
VLOO"&amp;"KUP(D10739,IMPORTRANGE(""https://docs.google.com/spreadsheets/d/14Bd19lYaqBhU8_DElYkX7l4wRkHqqCUFNJY4AfY3kHU/edit?usp=sharing  #gid=0"",""фіз особи new!relations_name_uo""),7,FALSE)
,
)
))"),"МАЛЯРОВ Андрій Олександрович")</f>
        <v>МАЛЯРОВ Андрій Олександрович</v>
      </c>
      <c r="G10738" s="7" t="s">
        <v>10</v>
      </c>
      <c r="H10738" s="7">
        <v>5297</v>
      </c>
      <c r="I10738" s="8" t="str">
        <f ca="1">IFERROR(__xludf.DUMMYFUNCTION("IF
(
G10739=""фізична особа""
,
VLOOKUP(H10739,IMPORTRANGE(""https://docs.google.com/spreadsheets/d/14Bd19lYaqBhU8_DElYkX7l4wRkHqqCUFNJY4AfY3kHU/edit?usp=sharing  #gid=0"",""фіз особи new!relations_name""),6,FALSE)
,
(IF
(
G10739=""юридична особа""
,
VLOO"&amp;"KUP(H10739,IMPORTRANGE(""https://docs.google.com/spreadsheets/d/14Bd19lYaqBhU8_DElYkX7l4wRkHqqCUFNJY4AfY3kHU/edit?usp=sharing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38" s="7" t="s">
        <v>11</v>
      </c>
    </row>
    <row r="10739" spans="1:10" ht="13.2">
      <c r="A10739" s="7">
        <v>10738</v>
      </c>
      <c r="B10739" s="7">
        <v>1</v>
      </c>
      <c r="C10739" s="7" t="s">
        <v>10</v>
      </c>
      <c r="D10739" s="7">
        <v>16928</v>
      </c>
      <c r="E10739" s="7" t="s">
        <v>11</v>
      </c>
      <c r="F10739" s="8" t="str">
        <f ca="1">IFERROR(__xludf.DUMMYFUNCTION("IF
(
C10740=""фізична особа""
,
VLOOKUP(D10740,IMPORTRANGE(""https://docs.google.com/spreadsheets/d/14Bd19lYaqBhU8_DElYkX7l4wRkHqqCUFNJY4AfY3kHU/edit?usp=sharing  #gid=0"",""фіз особи new!relations_name""),6,FALSE)
,
(IF
(
C10740=""юридична особа""
,
VLOO"&amp;"KUP(D10740,IMPORTRANGE(""https://docs.google.com/spreadsheets/d/14Bd19lYaqBhU8_DElYkX7l4wRkHqqCUFNJY4AfY3kHU/edit?usp=sharing  #gid=0"",""фіз особи new!relations_name_uo""),7,FALSE)
,
)
))"),"МАЛЯРОВ Андрій Олександрович")</f>
        <v>МАЛЯРОВ Андрій Олександрович</v>
      </c>
      <c r="G10739" s="7" t="s">
        <v>10</v>
      </c>
      <c r="H10739" s="7">
        <v>5292</v>
      </c>
      <c r="I10739" s="8" t="str">
        <f ca="1">IFERROR(__xludf.DUMMYFUNCTION("IF
(
G10740=""фізична особа""
,
VLOOKUP(H10740,IMPORTRANGE(""https://docs.google.com/spreadsheets/d/14Bd19lYaqBhU8_DElYkX7l4wRkHqqCUFNJY4AfY3kHU/edit?usp=sharing  #gid=0"",""фіз особи new!relations_name""),6,FALSE)
,
(IF
(
G10740=""юридична особа""
,
VLOO"&amp;"KUP(H10740,IMPORTRANGE(""https://docs.google.com/spreadsheets/d/14Bd19lYaqBhU8_DElYkX7l4wRkHqqCUFNJY4AfY3kHU/edit?usp=sharing  #gid=0"",""фіз особи new!relations_name_uo""),7,FALSE)
,
)
))"),"САМАРІН Ілля Сергійович")</f>
        <v>САМАРІН Ілля Сергійович</v>
      </c>
      <c r="J10739" s="7" t="s">
        <v>11</v>
      </c>
    </row>
    <row r="10740" spans="1:10" ht="13.2">
      <c r="A10740" s="7">
        <v>10739</v>
      </c>
      <c r="B10740" s="7">
        <v>1</v>
      </c>
      <c r="C10740" s="7" t="s">
        <v>10</v>
      </c>
      <c r="D10740" s="7">
        <v>16928</v>
      </c>
      <c r="E10740" s="7" t="s">
        <v>28</v>
      </c>
      <c r="F10740" s="8" t="str">
        <f ca="1">IFERROR(__xludf.DUMMYFUNCTION("IF
(
C10741=""фізична особа""
,
VLOOKUP(D10741,IMPORTRANGE(""https://docs.google.com/spreadsheets/d/14Bd19lYaqBhU8_DElYkX7l4wRkHqqCUFNJY4AfY3kHU/edit?usp=sharing  #gid=0"",""фіз особи new!relations_name""),6,FALSE)
,
(IF
(
C10741=""юридична особа""
,
VLOO"&amp;"KUP(D10741,IMPORTRANGE(""https://docs.google.com/spreadsheets/d/14Bd19lYaqBhU8_DElYkX7l4wRkHqqCUFNJY4AfY3kHU/edit?usp=sharing  #gid=0"",""фіз особи new!relations_name_uo""),7,FALSE)
,
)
))"),"МАЛЯРОВ Андрій Олександрович")</f>
        <v>МАЛЯРОВ Андрій Олександрович</v>
      </c>
      <c r="G10740" s="7" t="s">
        <v>10</v>
      </c>
      <c r="H10740" s="7">
        <v>4023</v>
      </c>
      <c r="I10740" s="8" t="str">
        <f ca="1">IFERROR(__xludf.DUMMYFUNCTION("IF
(
G10741=""фізична особа""
,
VLOOKUP(H10741,IMPORTRANGE(""https://docs.google.com/spreadsheets/d/14Bd19lYaqBhU8_DElYkX7l4wRkHqqCUFNJY4AfY3kHU/edit?usp=sharing  #gid=0"",""фіз особи new!relations_name""),6,FALSE)
,
(IF
(
G10741=""юридична особа""
,
VLOO"&amp;"KUP(H10741,IMPORTRANGE(""https://docs.google.com/spreadsheets/d/14Bd19lYaqBhU8_DElYkX7l4wRkHqqCUFNJY4AfY3kHU/edit?usp=sharing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40" s="7" t="s">
        <v>29</v>
      </c>
    </row>
    <row r="10741" spans="1:10" ht="13.2">
      <c r="A10741" s="7">
        <v>10740</v>
      </c>
      <c r="B10741" s="7">
        <v>1</v>
      </c>
      <c r="C10741" s="7" t="s">
        <v>10</v>
      </c>
      <c r="D10741" s="7">
        <v>16929</v>
      </c>
      <c r="E10741" s="7" t="s">
        <v>11</v>
      </c>
      <c r="F10741" s="8" t="str">
        <f ca="1">IFERROR(__xludf.DUMMYFUNCTION("IF
(
C10742=""фізична особа""
,
VLOOKUP(D10742,IMPORTRANGE(""https://docs.google.com/spreadsheets/d/14Bd19lYaqBhU8_DElYkX7l4wRkHqqCUFNJY4AfY3kHU/edit?usp=sharing  #gid=0"",""фіз особи new!relations_name""),6,FALSE)
,
(IF
(
C10742=""юридична особа""
,
VLOO"&amp;"KUP(D10742,IMPORTRANGE(""https://docs.google.com/spreadsheets/d/14Bd19lYaqBhU8_DElYkX7l4wRkHqqCUFNJY4AfY3kHU/edit?usp=sharing  #gid=0"",""фіз особи new!relations_name_uo""),7,FALSE)
,
)
))"),"РАЧИН Володимир Геннадійович")</f>
        <v>РАЧИН Володимир Геннадійович</v>
      </c>
      <c r="G10741" s="7" t="s">
        <v>10</v>
      </c>
      <c r="H10741" s="7">
        <v>5297</v>
      </c>
      <c r="I10741" s="8" t="str">
        <f ca="1">IFERROR(__xludf.DUMMYFUNCTION("IF
(
G10742=""фізична особа""
,
VLOOKUP(H10742,IMPORTRANGE(""https://docs.google.com/spreadsheets/d/14Bd19lYaqBhU8_DElYkX7l4wRkHqqCUFNJY4AfY3kHU/edit?usp=sharing  #gid=0"",""фіз особи new!relations_name""),6,FALSE)
,
(IF
(
G10742=""юридична особа""
,
VLOO"&amp;"KUP(H10742,IMPORTRANGE(""https://docs.google.com/spreadsheets/d/14Bd19lYaqBhU8_DElYkX7l4wRkHqqCUFNJY4AfY3kHU/edit?usp=sharing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41" s="7" t="s">
        <v>11</v>
      </c>
    </row>
    <row r="10742" spans="1:10" ht="13.2">
      <c r="A10742" s="7">
        <v>10741</v>
      </c>
      <c r="B10742" s="7">
        <v>1</v>
      </c>
      <c r="C10742" s="7" t="s">
        <v>10</v>
      </c>
      <c r="D10742" s="7">
        <v>16929</v>
      </c>
      <c r="E10742" s="7" t="s">
        <v>28</v>
      </c>
      <c r="F10742" s="8" t="str">
        <f ca="1">IFERROR(__xludf.DUMMYFUNCTION("IF
(
C10743=""фізична особа""
,
VLOOKUP(D10743,IMPORTRANGE(""https://docs.google.com/spreadsheets/d/14Bd19lYaqBhU8_DElYkX7l4wRkHqqCUFNJY4AfY3kHU/edit?usp=sharing  #gid=0"",""фіз особи new!relations_name""),6,FALSE)
,
(IF
(
C10743=""юридична особа""
,
VLOO"&amp;"KUP(D10743,IMPORTRANGE(""https://docs.google.com/spreadsheets/d/14Bd19lYaqBhU8_DElYkX7l4wRkHqqCUFNJY4AfY3kHU/edit?usp=sharing  #gid=0"",""фіз особи new!relations_name_uo""),7,FALSE)
,
)
))"),"РАЧИН Володимир Геннадійович")</f>
        <v>РАЧИН Володимир Геннадійович</v>
      </c>
      <c r="G10742" s="7" t="s">
        <v>10</v>
      </c>
      <c r="H10742" s="7">
        <v>4023</v>
      </c>
      <c r="I10742" s="8" t="str">
        <f ca="1">IFERROR(__xludf.DUMMYFUNCTION("IF
(
G10743=""фізична особа""
,
VLOOKUP(H10743,IMPORTRANGE(""https://docs.google.com/spreadsheets/d/14Bd19lYaqBhU8_DElYkX7l4wRkHqqCUFNJY4AfY3kHU/edit?usp=sharing  #gid=0"",""фіз особи new!relations_name""),6,FALSE)
,
(IF
(
G10743=""юридична особа""
,
VLOO"&amp;"KUP(H10743,IMPORTRANGE(""https://docs.google.com/spreadsheets/d/14Bd19lYaqBhU8_DElYkX7l4wRkHqqCUFNJY4AfY3kHU/edit?usp=sharing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42" s="7" t="s">
        <v>29</v>
      </c>
    </row>
    <row r="10743" spans="1:10" ht="13.2">
      <c r="A10743" s="7">
        <v>10742</v>
      </c>
      <c r="B10743" s="7">
        <v>1</v>
      </c>
      <c r="C10743" s="7" t="s">
        <v>10</v>
      </c>
      <c r="D10743" s="7">
        <v>16930</v>
      </c>
      <c r="E10743" s="7" t="s">
        <v>11</v>
      </c>
      <c r="F10743" s="8" t="str">
        <f ca="1">IFERROR(__xludf.DUMMYFUNCTION("IF
(
C10744=""фізична особа""
,
VLOOKUP(D10744,IMPORTRANGE(""https://docs.google.com/spreadsheets/d/14Bd19lYaqBhU8_DElYkX7l4wRkHqqCUFNJY4AfY3kHU/edit?usp=sharing  #gid=0"",""фіз особи new!relations_name""),6,FALSE)
,
(IF
(
C10744=""юридична особа""
,
VLOO"&amp;"KUP(D10744,IMPORTRANGE(""https://docs.google.com/spreadsheets/d/14Bd19lYaqBhU8_DElYkX7l4wRkHqqCUFNJY4AfY3kHU/edit?usp=sharing  #gid=0"",""фіз особи new!relations_name_uo""),7,FALSE)
,
)
))"),"ЮШМАНОВ Валерій Петрович")</f>
        <v>ЮШМАНОВ Валерій Петрович</v>
      </c>
      <c r="G10743" s="7" t="s">
        <v>10</v>
      </c>
      <c r="H10743" s="7">
        <v>5297</v>
      </c>
      <c r="I10743" s="8" t="str">
        <f ca="1">IFERROR(__xludf.DUMMYFUNCTION("IF
(
G10744=""фізична особа""
,
VLOOKUP(H10744,IMPORTRANGE(""https://docs.google.com/spreadsheets/d/14Bd19lYaqBhU8_DElYkX7l4wRkHqqCUFNJY4AfY3kHU/edit?usp=sharing  #gid=0"",""фіз особи new!relations_name""),6,FALSE)
,
(IF
(
G10744=""юридична особа""
,
VLOO"&amp;"KUP(H10744,IMPORTRANGE(""https://docs.google.com/spreadsheets/d/14Bd19lYaqBhU8_DElYkX7l4wRkHqqCUFNJY4AfY3kHU/edit?usp=sharing  #gid=0"",""фіз особи new!relations_name_uo""),7,FALSE)
,
)
))"),"ОРЛОВ Ігор Анатолійович")</f>
        <v>ОРЛОВ Ігор Анатолійович</v>
      </c>
      <c r="J10743" s="7" t="s">
        <v>11</v>
      </c>
    </row>
    <row r="10744" spans="1:10" ht="13.2">
      <c r="A10744" s="7">
        <v>10743</v>
      </c>
      <c r="B10744" s="7">
        <v>1</v>
      </c>
      <c r="C10744" s="7" t="s">
        <v>10</v>
      </c>
      <c r="D10744" s="7">
        <v>16930</v>
      </c>
      <c r="E10744" s="7" t="s">
        <v>28</v>
      </c>
      <c r="F10744" s="8" t="str">
        <f ca="1">IFERROR(__xludf.DUMMYFUNCTION("IF
(
C10745=""фізична особа""
,
VLOOKUP(D10745,IMPORTRANGE(""https://docs.google.com/spreadsheets/d/14Bd19lYaqBhU8_DElYkX7l4wRkHqqCUFNJY4AfY3kHU/edit?usp=sharing  #gid=0"",""фіз особи new!relations_name""),6,FALSE)
,
(IF
(
C10745=""юридична особа""
,
VLOO"&amp;"KUP(D10745,IMPORTRANGE(""https://docs.google.com/spreadsheets/d/14Bd19lYaqBhU8_DElYkX7l4wRkHqqCUFNJY4AfY3kHU/edit?usp=sharing  #gid=0"",""фіз особи new!relations_name_uo""),7,FALSE)
,
)
))"),"ЮШМАНОВ Валерій Петрович")</f>
        <v>ЮШМАНОВ Валерій Петрович</v>
      </c>
      <c r="G10744" s="7" t="s">
        <v>10</v>
      </c>
      <c r="H10744" s="7">
        <v>4023</v>
      </c>
      <c r="I10744" s="8" t="str">
        <f ca="1">IFERROR(__xludf.DUMMYFUNCTION("IF
(
G10745=""фізична особа""
,
VLOOKUP(H10745,IMPORTRANGE(""https://docs.google.com/spreadsheets/d/14Bd19lYaqBhU8_DElYkX7l4wRkHqqCUFNJY4AfY3kHU/edit?usp=sharing  #gid=0"",""фіз особи new!relations_name""),6,FALSE)
,
(IF
(
G10745=""юридична особа""
,
VLOO"&amp;"KUP(H10745,IMPORTRANGE(""https://docs.google.com/spreadsheets/d/14Bd19lYaqBhU8_DElYkX7l4wRkHqqCUFNJY4AfY3kHU/edit?usp=sharing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44" s="7" t="s">
        <v>29</v>
      </c>
    </row>
    <row r="10745" spans="1:10" ht="13.2">
      <c r="A10745" s="7">
        <v>10744</v>
      </c>
      <c r="B10745" s="7">
        <v>1</v>
      </c>
      <c r="C10745" s="7" t="s">
        <v>10</v>
      </c>
      <c r="D10745" s="7">
        <v>16931</v>
      </c>
      <c r="E10745" s="7" t="s">
        <v>11</v>
      </c>
      <c r="F10745" s="8" t="str">
        <f ca="1">IFERROR(__xludf.DUMMYFUNCTION("IF
(
C10746=""фізична особа""
,
VLOOKUP(D10746,IMPORTRANGE(""https://docs.google.com/spreadsheets/d/14Bd19lYaqBhU8_DElYkX7l4wRkHqqCUFNJY4AfY3kHU/edit?usp=sharing  #gid=0"",""фіз особи new!relations_name""),6,FALSE)
,
(IF
(
C10746=""юридична особа""
,
VLOO"&amp;"KUP(D10746,IMPORTRANGE(""https://docs.google.com/spreadsheets/d/14Bd19lYaqBhU8_DElYkX7l4wRkHqqCUFNJY4AfY3kHU/edit?usp=sharing  #gid=0"",""фіз особи new!relations_name_uo""),7,FALSE)
,
)
))"),"АНТОНОВ Ілля Олександрович")</f>
        <v>АНТОНОВ Ілля Олександрович</v>
      </c>
      <c r="G10745" s="7" t="s">
        <v>10</v>
      </c>
      <c r="H10745" s="7">
        <v>5275</v>
      </c>
      <c r="I10745" s="8" t="str">
        <f ca="1">IFERROR(__xludf.DUMMYFUNCTION("IF
(
G10746=""фізична особа""
,
VLOOKUP(H10746,IMPORTRANGE(""https://docs.google.com/spreadsheets/d/14Bd19lYaqBhU8_DElYkX7l4wRkHqqCUFNJY4AfY3kHU/edit?usp=sharing  #gid=0"",""фіз особи new!relations_name""),6,FALSE)
,
(IF
(
G10746=""юридична особа""
,
VLOO"&amp;"KUP(H10746,IMPORTRANGE(""https://docs.google.com/spreadsheets/d/14Bd19lYaqBhU8_DElYkX7l4wRkHqqCUFNJY4AfY3kHU/edit?usp=sharing  #gid=0"",""фіз особи new!relations_name_uo""),7,FALSE)
,
)
))"),"МАРІЧЕВ Сергій Юрійович")</f>
        <v>МАРІЧЕВ Сергій Юрійович</v>
      </c>
      <c r="J10745" s="7" t="s">
        <v>11</v>
      </c>
    </row>
    <row r="10746" spans="1:10" ht="13.2">
      <c r="A10746" s="7">
        <v>10745</v>
      </c>
      <c r="B10746" s="7">
        <v>1</v>
      </c>
      <c r="C10746" s="7" t="s">
        <v>10</v>
      </c>
      <c r="D10746" s="7">
        <v>16931</v>
      </c>
      <c r="E10746" s="7" t="s">
        <v>11</v>
      </c>
      <c r="F10746" s="8" t="str">
        <f ca="1">IFERROR(__xludf.DUMMYFUNCTION("IF
(
C10747=""фізична особа""
,
VLOOKUP(D10747,IMPORTRANGE(""https://docs.google.com/spreadsheets/d/14Bd19lYaqBhU8_DElYkX7l4wRkHqqCUFNJY4AfY3kHU/edit?usp=sharing  #gid=0"",""фіз особи new!relations_name""),6,FALSE)
,
(IF
(
C10747=""юридична особа""
,
VLOO"&amp;"KUP(D10747,IMPORTRANGE(""https://docs.google.com/spreadsheets/d/14Bd19lYaqBhU8_DElYkX7l4wRkHqqCUFNJY4AfY3kHU/edit?usp=sharing  #gid=0"",""фіз особи new!relations_name_uo""),7,FALSE)
,
)
))"),"АНТОНОВ Ілля Олександрович")</f>
        <v>АНТОНОВ Ілля Олександрович</v>
      </c>
      <c r="G10746" s="7" t="s">
        <v>10</v>
      </c>
      <c r="H10746" s="7">
        <v>5751</v>
      </c>
      <c r="I10746" s="8" t="str">
        <f ca="1">IFERROR(__xludf.DUMMYFUNCTION("IF
(
G10747=""фізична особа""
,
VLOOKUP(H10747,IMPORTRANGE(""https://docs.google.com/spreadsheets/d/14Bd19lYaqBhU8_DElYkX7l4wRkHqqCUFNJY4AfY3kHU/edit?usp=sharing  #gid=0"",""фіз особи new!relations_name""),6,FALSE)
,
(IF
(
G10747=""юридична особа""
,
VLOO"&amp;"KUP(H10747,IMPORTRANGE(""https://docs.google.com/spreadsheets/d/14Bd19lYaqBhU8_DElYkX7l4wRkHqqCUFNJY4AfY3kHU/edit?usp=sharing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10746" s="7" t="s">
        <v>11</v>
      </c>
    </row>
    <row r="10747" spans="1:10" ht="13.2">
      <c r="A10747" s="7">
        <v>10746</v>
      </c>
      <c r="B10747" s="7">
        <v>1</v>
      </c>
      <c r="C10747" s="7" t="s">
        <v>10</v>
      </c>
      <c r="D10747" s="7">
        <v>16931</v>
      </c>
      <c r="E10747" s="7" t="s">
        <v>28</v>
      </c>
      <c r="F10747" s="8" t="str">
        <f ca="1">IFERROR(__xludf.DUMMYFUNCTION("IF
(
C10748=""фізична особа""
,
VLOOKUP(D10748,IMPORTRANGE(""https://docs.google.com/spreadsheets/d/14Bd19lYaqBhU8_DElYkX7l4wRkHqqCUFNJY4AfY3kHU/edit?usp=sharing  #gid=0"",""фіз особи new!relations_name""),6,FALSE)
,
(IF
(
C10748=""юридична особа""
,
VLOO"&amp;"KUP(D10748,IMPORTRANGE(""https://docs.google.com/spreadsheets/d/14Bd19lYaqBhU8_DElYkX7l4wRkHqqCUFNJY4AfY3kHU/edit?usp=sharing  #gid=0"",""фіз особи new!relations_name_uo""),7,FALSE)
,
)
))"),"АНТОНОВ Ілля Олександрович")</f>
        <v>АНТОНОВ Ілля Олександрович</v>
      </c>
      <c r="G10747" s="7" t="s">
        <v>10</v>
      </c>
      <c r="H10747" s="7">
        <v>4023</v>
      </c>
      <c r="I10747" s="8" t="str">
        <f ca="1">IFERROR(__xludf.DUMMYFUNCTION("IF
(
G10748=""фізична особа""
,
VLOOKUP(H10748,IMPORTRANGE(""https://docs.google.com/spreadsheets/d/14Bd19lYaqBhU8_DElYkX7l4wRkHqqCUFNJY4AfY3kHU/edit?usp=sharing  #gid=0"",""фіз особи new!relations_name""),6,FALSE)
,
(IF
(
G10748=""юридична особа""
,
VLOO"&amp;"KUP(H10748,IMPORTRANGE(""https://docs.google.com/spreadsheets/d/14Bd19lYaqBhU8_DElYkX7l4wRkHqqCUFNJY4AfY3kHU/edit?usp=sharing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47" s="7" t="s">
        <v>29</v>
      </c>
    </row>
    <row r="10748" spans="1:10" ht="13.2">
      <c r="A10748" s="7">
        <v>10747</v>
      </c>
      <c r="B10748" s="7">
        <v>1</v>
      </c>
      <c r="C10748" s="7" t="s">
        <v>10</v>
      </c>
      <c r="D10748" s="7">
        <v>16932</v>
      </c>
      <c r="E10748" s="7" t="s">
        <v>11</v>
      </c>
      <c r="F10748" s="8" t="str">
        <f ca="1">IFERROR(__xludf.DUMMYFUNCTION("IF
(
C10749=""фізична особа""
,
VLOOKUP(D10749,IMPORTRANGE(""https://docs.google.com/spreadsheets/d/14Bd19lYaqBhU8_DElYkX7l4wRkHqqCUFNJY4AfY3kHU/edit?usp=sharing  #gid=0"",""фіз особи new!relations_name""),6,FALSE)
,
(IF
(
C10749=""юридична особа""
,
VLOO"&amp;"KUP(D10749,IMPORTRANGE(""https://docs.google.com/spreadsheets/d/14Bd19lYaqBhU8_DElYkX7l4wRkHqqCUFNJY4AfY3kHU/edit?usp=sharing  #gid=0"",""фіз особи new!relations_name_uo""),7,FALSE)
,
)
))"),"КУРАКСІН В'ячеслав Анатолійович")</f>
        <v>КУРАКСІН В'ячеслав Анатолійович</v>
      </c>
      <c r="G10748" s="7" t="s">
        <v>10</v>
      </c>
      <c r="H10748" s="7">
        <v>5275</v>
      </c>
      <c r="I10748" s="8" t="str">
        <f ca="1">IFERROR(__xludf.DUMMYFUNCTION("IF
(
G10749=""фізична особа""
,
VLOOKUP(H10749,IMPORTRANGE(""https://docs.google.com/spreadsheets/d/14Bd19lYaqBhU8_DElYkX7l4wRkHqqCUFNJY4AfY3kHU/edit?usp=sharing  #gid=0"",""фіз особи new!relations_name""),6,FALSE)
,
(IF
(
G10749=""юридична особа""
,
VLOO"&amp;"KUP(H10749,IMPORTRANGE(""https://docs.google.com/spreadsheets/d/14Bd19lYaqBhU8_DElYkX7l4wRkHqqCUFNJY4AfY3kHU/edit?usp=sharing  #gid=0"",""фіз особи new!relations_name_uo""),7,FALSE)
,
)
))"),"МАРІЧЕВ Сергій Юрійович")</f>
        <v>МАРІЧЕВ Сергій Юрійович</v>
      </c>
      <c r="J10748" s="7" t="s">
        <v>11</v>
      </c>
    </row>
    <row r="10749" spans="1:10" ht="13.2">
      <c r="A10749" s="7">
        <v>10748</v>
      </c>
      <c r="B10749" s="7">
        <v>1</v>
      </c>
      <c r="C10749" s="7" t="s">
        <v>10</v>
      </c>
      <c r="D10749" s="7">
        <v>16932</v>
      </c>
      <c r="E10749" s="7" t="s">
        <v>28</v>
      </c>
      <c r="F10749" s="8" t="str">
        <f ca="1">IFERROR(__xludf.DUMMYFUNCTION("IF
(
C10750=""фізична особа""
,
VLOOKUP(D10750,IMPORTRANGE(""https://docs.google.com/spreadsheets/d/14Bd19lYaqBhU8_DElYkX7l4wRkHqqCUFNJY4AfY3kHU/edit?usp=sharing  #gid=0"",""фіз особи new!relations_name""),6,FALSE)
,
(IF
(
C10750=""юридична особа""
,
VLOO"&amp;"KUP(D10750,IMPORTRANGE(""https://docs.google.com/spreadsheets/d/14Bd19lYaqBhU8_DElYkX7l4wRkHqqCUFNJY4AfY3kHU/edit?usp=sharing  #gid=0"",""фіз особи new!relations_name_uo""),7,FALSE)
,
)
))"),"КУРАКСІН В'ячеслав Анатолійович")</f>
        <v>КУРАКСІН В'ячеслав Анатолійович</v>
      </c>
      <c r="G10749" s="7" t="s">
        <v>10</v>
      </c>
      <c r="H10749" s="7">
        <v>4023</v>
      </c>
      <c r="I10749" s="8" t="str">
        <f ca="1">IFERROR(__xludf.DUMMYFUNCTION("IF
(
G10750=""фізична особа""
,
VLOOKUP(H10750,IMPORTRANGE(""https://docs.google.com/spreadsheets/d/14Bd19lYaqBhU8_DElYkX7l4wRkHqqCUFNJY4AfY3kHU/edit?usp=sharing  #gid=0"",""фіз особи new!relations_name""),6,FALSE)
,
(IF
(
G10750=""юридична особа""
,
VLOO"&amp;"KUP(H10750,IMPORTRANGE(""https://docs.google.com/spreadsheets/d/14Bd19lYaqBhU8_DElYkX7l4wRkHqqCUFNJY4AfY3kHU/edit?usp=sharing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49" s="7" t="s">
        <v>29</v>
      </c>
    </row>
    <row r="10750" spans="1:10" ht="13.2">
      <c r="A10750" s="7">
        <v>10749</v>
      </c>
      <c r="B10750" s="7">
        <v>1</v>
      </c>
      <c r="C10750" s="7" t="s">
        <v>10</v>
      </c>
      <c r="D10750" s="7">
        <v>16933</v>
      </c>
      <c r="E10750" s="7" t="s">
        <v>11</v>
      </c>
      <c r="F10750" s="8" t="str">
        <f ca="1">IFERROR(__xludf.DUMMYFUNCTION("IF
(
C10751=""фізична особа""
,
VLOOKUP(D10751,IMPORTRANGE(""https://docs.google.com/spreadsheets/d/14Bd19lYaqBhU8_DElYkX7l4wRkHqqCUFNJY4AfY3kHU/edit?usp=sharing  #gid=0"",""фіз особи new!relations_name""),6,FALSE)
,
(IF
(
C10751=""юридична особа""
,
VLOO"&amp;"KUP(D10751,IMPORTRANGE(""https://docs.google.com/spreadsheets/d/14Bd19lYaqBhU8_DElYkX7l4wRkHqqCUFNJY4AfY3kHU/edit?usp=sharing  #gid=0"",""фіз особи new!relations_name_uo""),7,FALSE)
,
)
))"),"ОВЧИННІКОВ Андрій Олександрович")</f>
        <v>ОВЧИННІКОВ Андрій Олександрович</v>
      </c>
      <c r="G10750" s="7" t="s">
        <v>10</v>
      </c>
      <c r="H10750" s="7">
        <v>5275</v>
      </c>
      <c r="I10750" s="8" t="str">
        <f ca="1">IFERROR(__xludf.DUMMYFUNCTION("IF
(
G10751=""фізична особа""
,
VLOOKUP(H10751,IMPORTRANGE(""https://docs.google.com/spreadsheets/d/14Bd19lYaqBhU8_DElYkX7l4wRkHqqCUFNJY4AfY3kHU/edit?usp=sharing  #gid=0"",""фіз особи new!relations_name""),6,FALSE)
,
(IF
(
G10751=""юридична особа""
,
VLOO"&amp;"KUP(H10751,IMPORTRANGE(""https://docs.google.com/spreadsheets/d/14Bd19lYaqBhU8_DElYkX7l4wRkHqqCUFNJY4AfY3kHU/edit?usp=sharing  #gid=0"",""фіз особи new!relations_name_uo""),7,FALSE)
,
)
))"),"МАРІЧЕВ Сергій Юрійович")</f>
        <v>МАРІЧЕВ Сергій Юрійович</v>
      </c>
      <c r="J10750" s="7" t="s">
        <v>11</v>
      </c>
    </row>
    <row r="10751" spans="1:10" ht="13.2">
      <c r="A10751" s="7">
        <v>10750</v>
      </c>
      <c r="B10751" s="7">
        <v>1</v>
      </c>
      <c r="C10751" s="7" t="s">
        <v>10</v>
      </c>
      <c r="D10751" s="7">
        <v>16933</v>
      </c>
      <c r="E10751" s="7" t="s">
        <v>11</v>
      </c>
      <c r="F10751" s="8" t="str">
        <f ca="1">IFERROR(__xludf.DUMMYFUNCTION("IF
(
C10752=""фізична особа""
,
VLOOKUP(D10752,IMPORTRANGE(""https://docs.google.com/spreadsheets/d/14Bd19lYaqBhU8_DElYkX7l4wRkHqqCUFNJY4AfY3kHU/edit?usp=sharing  #gid=0"",""фіз особи new!relations_name""),6,FALSE)
,
(IF
(
C10752=""юридична особа""
,
VLOO"&amp;"KUP(D10752,IMPORTRANGE(""https://docs.google.com/spreadsheets/d/14Bd19lYaqBhU8_DElYkX7l4wRkHqqCUFNJY4AfY3kHU/edit?usp=sharing  #gid=0"",""фіз особи new!relations_name_uo""),7,FALSE)
,
)
))"),"ОВЧИННІКОВ Андрій Олександрович")</f>
        <v>ОВЧИННІКОВ Андрій Олександрович</v>
      </c>
      <c r="G10751" s="7" t="s">
        <v>10</v>
      </c>
      <c r="H10751" s="7">
        <v>5419</v>
      </c>
      <c r="I10751" s="8" t="str">
        <f ca="1">IFERROR(__xludf.DUMMYFUNCTION("IF
(
G10752=""фізична особа""
,
VLOOKUP(H10752,IMPORTRANGE(""https://docs.google.com/spreadsheets/d/14Bd19lYaqBhU8_DElYkX7l4wRkHqqCUFNJY4AfY3kHU/edit?usp=sharing  #gid=0"",""фіз особи new!relations_name""),6,FALSE)
,
(IF
(
G10752=""юридична особа""
,
VLOO"&amp;"KUP(H10752,IMPORTRANGE(""https://docs.google.com/spreadsheets/d/14Bd19lYaqBhU8_DElYkX7l4wRkHqqCUFNJY4AfY3kHU/edit?usp=sharing  #gid=0"",""фіз особи new!relations_name_uo""),7,FALSE)
,
)
))"),"СЕРЕДОХО Володимир Олександрович")</f>
        <v>СЕРЕДОХО Володимир Олександрович</v>
      </c>
      <c r="J10751" s="7" t="s">
        <v>11</v>
      </c>
    </row>
    <row r="10752" spans="1:10" ht="13.2">
      <c r="A10752" s="7">
        <v>10751</v>
      </c>
      <c r="B10752" s="7">
        <v>1</v>
      </c>
      <c r="C10752" s="7" t="s">
        <v>10</v>
      </c>
      <c r="D10752" s="7">
        <v>16933</v>
      </c>
      <c r="E10752" s="7" t="s">
        <v>28</v>
      </c>
      <c r="F10752" s="8" t="str">
        <f ca="1">IFERROR(__xludf.DUMMYFUNCTION("IF
(
C10753=""фізична особа""
,
VLOOKUP(D10753,IMPORTRANGE(""https://docs.google.com/spreadsheets/d/14Bd19lYaqBhU8_DElYkX7l4wRkHqqCUFNJY4AfY3kHU/edit?usp=sharing  #gid=0"",""фіз особи new!relations_name""),6,FALSE)
,
(IF
(
C10753=""юридична особа""
,
VLOO"&amp;"KUP(D10753,IMPORTRANGE(""https://docs.google.com/spreadsheets/d/14Bd19lYaqBhU8_DElYkX7l4wRkHqqCUFNJY4AfY3kHU/edit?usp=sharing  #gid=0"",""фіз особи new!relations_name_uo""),7,FALSE)
,
)
))"),"ОВЧИННІКОВ Андрій Олександрович")</f>
        <v>ОВЧИННІКОВ Андрій Олександрович</v>
      </c>
      <c r="G10752" s="7" t="s">
        <v>10</v>
      </c>
      <c r="H10752" s="7">
        <v>4023</v>
      </c>
      <c r="I10752" s="8" t="str">
        <f ca="1">IFERROR(__xludf.DUMMYFUNCTION("IF
(
G10753=""фізична особа""
,
VLOOKUP(H10753,IMPORTRANGE(""https://docs.google.com/spreadsheets/d/14Bd19lYaqBhU8_DElYkX7l4wRkHqqCUFNJY4AfY3kHU/edit?usp=sharing  #gid=0"",""фіз особи new!relations_name""),6,FALSE)
,
(IF
(
G10753=""юридична особа""
,
VLOO"&amp;"KUP(H10753,IMPORTRANGE(""https://docs.google.com/spreadsheets/d/14Bd19lYaqBhU8_DElYkX7l4wRkHqqCUFNJY4AfY3kHU/edit?usp=sharing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52" s="7" t="s">
        <v>29</v>
      </c>
    </row>
    <row r="10753" spans="1:10" ht="13.2">
      <c r="A10753" s="7">
        <v>10752</v>
      </c>
      <c r="B10753" s="7">
        <v>1</v>
      </c>
      <c r="C10753" s="7" t="s">
        <v>10</v>
      </c>
      <c r="D10753" s="7">
        <v>16934</v>
      </c>
      <c r="E10753" s="7" t="s">
        <v>11</v>
      </c>
      <c r="F10753" s="8" t="str">
        <f ca="1">IFERROR(__xludf.DUMMYFUNCTION("IF
(
C10754=""фізична особа""
,
VLOOKUP(D10754,IMPORTRANGE(""https://docs.google.com/spreadsheets/d/14Bd19lYaqBhU8_DElYkX7l4wRkHqqCUFNJY4AfY3kHU/edit?usp=sharing  #gid=0"",""фіз особи new!relations_name""),6,FALSE)
,
(IF
(
C10754=""юридична особа""
,
VLOO"&amp;"KUP(D10754,IMPORTRANGE(""https://docs.google.com/spreadsheets/d/14Bd19lYaqBhU8_DElYkX7l4wRkHqqCUFNJY4AfY3kHU/edit?usp=sharing  #gid=0"",""фіз особи new!relations_name_uo""),7,FALSE)
,
)
))"),"АНДРЄЄВ Андрій Валерійович")</f>
        <v>АНДРЄЄВ Андрій Валерійович</v>
      </c>
      <c r="G10753" s="7" t="s">
        <v>10</v>
      </c>
      <c r="H10753" s="7">
        <v>5419</v>
      </c>
      <c r="I10753" s="8" t="str">
        <f ca="1">IFERROR(__xludf.DUMMYFUNCTION("IF
(
G10754=""фізична особа""
,
VLOOKUP(H10754,IMPORTRANGE(""https://docs.google.com/spreadsheets/d/14Bd19lYaqBhU8_DElYkX7l4wRkHqqCUFNJY4AfY3kHU/edit?usp=sharing  #gid=0"",""фіз особи new!relations_name""),6,FALSE)
,
(IF
(
G10754=""юридична особа""
,
VLOO"&amp;"KUP(H10754,IMPORTRANGE(""https://docs.google.com/spreadsheets/d/14Bd19lYaqBhU8_DElYkX7l4wRkHqqCUFNJY4AfY3kHU/edit?usp=sharing  #gid=0"",""фіз особи new!relations_name_uo""),7,FALSE)
,
)
))"),"СЕРЕДОХО Володимир Олександрович")</f>
        <v>СЕРЕДОХО Володимир Олександрович</v>
      </c>
      <c r="J10753" s="7" t="s">
        <v>11</v>
      </c>
    </row>
    <row r="10754" spans="1:10" ht="13.2">
      <c r="A10754" s="7">
        <v>10753</v>
      </c>
      <c r="B10754" s="7">
        <v>1</v>
      </c>
      <c r="C10754" s="7" t="s">
        <v>10</v>
      </c>
      <c r="D10754" s="7">
        <v>16934</v>
      </c>
      <c r="E10754" s="7" t="s">
        <v>28</v>
      </c>
      <c r="F10754" s="8" t="str">
        <f ca="1">IFERROR(__xludf.DUMMYFUNCTION("IF
(
C10755=""фізична особа""
,
VLOOKUP(D10755,IMPORTRANGE(""https://docs.google.com/spreadsheets/d/14Bd19lYaqBhU8_DElYkX7l4wRkHqqCUFNJY4AfY3kHU/edit?usp=sharing  #gid=0"",""фіз особи new!relations_name""),6,FALSE)
,
(IF
(
C10755=""юридична особа""
,
VLOO"&amp;"KUP(D10755,IMPORTRANGE(""https://docs.google.com/spreadsheets/d/14Bd19lYaqBhU8_DElYkX7l4wRkHqqCUFNJY4AfY3kHU/edit?usp=sharing  #gid=0"",""фіз особи new!relations_name_uo""),7,FALSE)
,
)
))"),"АНДРЄЄВ Андрій Валерійович")</f>
        <v>АНДРЄЄВ Андрій Валерійович</v>
      </c>
      <c r="G10754" s="7" t="s">
        <v>10</v>
      </c>
      <c r="H10754" s="7">
        <v>4023</v>
      </c>
      <c r="I10754" s="8" t="str">
        <f ca="1">IFERROR(__xludf.DUMMYFUNCTION("IF
(
G10755=""фізична особа""
,
VLOOKUP(H10755,IMPORTRANGE(""https://docs.google.com/spreadsheets/d/14Bd19lYaqBhU8_DElYkX7l4wRkHqqCUFNJY4AfY3kHU/edit?usp=sharing  #gid=0"",""фіз особи new!relations_name""),6,FALSE)
,
(IF
(
G10755=""юридична особа""
,
VLOO"&amp;"KUP(H10755,IMPORTRANGE(""https://docs.google.com/spreadsheets/d/14Bd19lYaqBhU8_DElYkX7l4wRkHqqCUFNJY4AfY3kHU/edit?usp=sharing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54" s="7" t="s">
        <v>29</v>
      </c>
    </row>
    <row r="10755" spans="1:10" ht="13.2">
      <c r="A10755" s="7">
        <v>10754</v>
      </c>
      <c r="B10755" s="7">
        <v>1</v>
      </c>
      <c r="C10755" s="7" t="s">
        <v>10</v>
      </c>
      <c r="D10755" s="7">
        <v>16935</v>
      </c>
      <c r="E10755" s="7" t="s">
        <v>11</v>
      </c>
      <c r="F10755" s="8" t="str">
        <f ca="1">IFERROR(__xludf.DUMMYFUNCTION("IF
(
C10756=""фізична особа""
,
VLOOKUP(D10756,IMPORTRANGE(""https://docs.google.com/spreadsheets/d/14Bd19lYaqBhU8_DElYkX7l4wRkHqqCUFNJY4AfY3kHU/edit?usp=sharing  #gid=0"",""фіз особи new!relations_name""),6,FALSE)
,
(IF
(
C10756=""юридична особа""
,
VLOO"&amp;"KUP(D10756,IMPORTRANGE(""https://docs.google.com/spreadsheets/d/14Bd19lYaqBhU8_DElYkX7l4wRkHqqCUFNJY4AfY3kHU/edit?usp=sharing  #gid=0"",""фіз особи new!relations_name_uo""),7,FALSE)
,
)
))"),"КУТІКОВ Володимир Володимирович")</f>
        <v>КУТІКОВ Володимир Володимирович</v>
      </c>
      <c r="G10755" s="7" t="s">
        <v>10</v>
      </c>
      <c r="H10755" s="7">
        <v>5419</v>
      </c>
      <c r="I10755" s="8" t="str">
        <f ca="1">IFERROR(__xludf.DUMMYFUNCTION("IF
(
G10756=""фізична особа""
,
VLOOKUP(H10756,IMPORTRANGE(""https://docs.google.com/spreadsheets/d/14Bd19lYaqBhU8_DElYkX7l4wRkHqqCUFNJY4AfY3kHU/edit?usp=sharing  #gid=0"",""фіз особи new!relations_name""),6,FALSE)
,
(IF
(
G10756=""юридична особа""
,
VLOO"&amp;"KUP(H10756,IMPORTRANGE(""https://docs.google.com/spreadsheets/d/14Bd19lYaqBhU8_DElYkX7l4wRkHqqCUFNJY4AfY3kHU/edit?usp=sharing  #gid=0"",""фіз особи new!relations_name_uo""),7,FALSE)
,
)
))"),"СЕРЕДОХО Володимир Олександрович")</f>
        <v>СЕРЕДОХО Володимир Олександрович</v>
      </c>
      <c r="J10755" s="7" t="s">
        <v>11</v>
      </c>
    </row>
    <row r="10756" spans="1:10" ht="13.2">
      <c r="A10756" s="7">
        <v>10755</v>
      </c>
      <c r="B10756" s="7">
        <v>1</v>
      </c>
      <c r="C10756" s="7" t="s">
        <v>10</v>
      </c>
      <c r="D10756" s="7">
        <v>16935</v>
      </c>
      <c r="E10756" s="7" t="s">
        <v>28</v>
      </c>
      <c r="F10756" s="8" t="str">
        <f ca="1">IFERROR(__xludf.DUMMYFUNCTION("IF
(
C10757=""фізична особа""
,
VLOOKUP(D10757,IMPORTRANGE(""https://docs.google.com/spreadsheets/d/14Bd19lYaqBhU8_DElYkX7l4wRkHqqCUFNJY4AfY3kHU/edit?usp=sharing  #gid=0"",""фіз особи new!relations_name""),6,FALSE)
,
(IF
(
C10757=""юридична особа""
,
VLOO"&amp;"KUP(D10757,IMPORTRANGE(""https://docs.google.com/spreadsheets/d/14Bd19lYaqBhU8_DElYkX7l4wRkHqqCUFNJY4AfY3kHU/edit?usp=sharing  #gid=0"",""фіз особи new!relations_name_uo""),7,FALSE)
,
)
))"),"КУТІКОВ Володимир Володимирович")</f>
        <v>КУТІКОВ Володимир Володимирович</v>
      </c>
      <c r="G10756" s="7" t="s">
        <v>10</v>
      </c>
      <c r="H10756" s="7">
        <v>4023</v>
      </c>
      <c r="I10756" s="8" t="str">
        <f ca="1">IFERROR(__xludf.DUMMYFUNCTION("IF
(
G10757=""фізична особа""
,
VLOOKUP(H10757,IMPORTRANGE(""https://docs.google.com/spreadsheets/d/14Bd19lYaqBhU8_DElYkX7l4wRkHqqCUFNJY4AfY3kHU/edit?usp=sharing  #gid=0"",""фіз особи new!relations_name""),6,FALSE)
,
(IF
(
G10757=""юридична особа""
,
VLOO"&amp;"KUP(H10757,IMPORTRANGE(""https://docs.google.com/spreadsheets/d/14Bd19lYaqBhU8_DElYkX7l4wRkHqqCUFNJY4AfY3kHU/edit?usp=sharing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56" s="7" t="s">
        <v>29</v>
      </c>
    </row>
    <row r="10757" spans="1:10" ht="13.2">
      <c r="A10757" s="7">
        <v>10756</v>
      </c>
      <c r="B10757" s="7">
        <v>1</v>
      </c>
      <c r="C10757" s="7" t="s">
        <v>10</v>
      </c>
      <c r="D10757" s="7">
        <v>16936</v>
      </c>
      <c r="E10757" s="7" t="s">
        <v>11</v>
      </c>
      <c r="F10757" s="8" t="str">
        <f ca="1">IFERROR(__xludf.DUMMYFUNCTION("IF
(
C10758=""фізична особа""
,
VLOOKUP(D10758,IMPORTRANGE(""https://docs.google.com/spreadsheets/d/14Bd19lYaqBhU8_DElYkX7l4wRkHqqCUFNJY4AfY3kHU/edit?usp=sharing  #gid=0"",""фіз особи new!relations_name""),6,FALSE)
,
(IF
(
C10758=""юридична особа""
,
VLOO"&amp;"KUP(D10758,IMPORTRANGE(""https://docs.google.com/spreadsheets/d/14Bd19lYaqBhU8_DElYkX7l4wRkHqqCUFNJY4AfY3kHU/edit?usp=sharing  #gid=0"",""фіз особи new!relations_name_uo""),7,FALSE)
,
)
))"),"МОЛОДИЧЕНКО Євгеній Валерійович")</f>
        <v>МОЛОДИЧЕНКО Євгеній Валерійович</v>
      </c>
      <c r="G10757" s="7" t="s">
        <v>10</v>
      </c>
      <c r="H10757" s="7">
        <v>5419</v>
      </c>
      <c r="I10757" s="8" t="str">
        <f ca="1">IFERROR(__xludf.DUMMYFUNCTION("IF
(
G10758=""фізична особа""
,
VLOOKUP(H10758,IMPORTRANGE(""https://docs.google.com/spreadsheets/d/14Bd19lYaqBhU8_DElYkX7l4wRkHqqCUFNJY4AfY3kHU/edit?usp=sharing  #gid=0"",""фіз особи new!relations_name""),6,FALSE)
,
(IF
(
G10758=""юридична особа""
,
VLOO"&amp;"KUP(H10758,IMPORTRANGE(""https://docs.google.com/spreadsheets/d/14Bd19lYaqBhU8_DElYkX7l4wRkHqqCUFNJY4AfY3kHU/edit?usp=sharing  #gid=0"",""фіз особи new!relations_name_uo""),7,FALSE)
,
)
))"),"СЕРЕДОХО Володимир Олександрович")</f>
        <v>СЕРЕДОХО Володимир Олександрович</v>
      </c>
      <c r="J10757" s="7" t="s">
        <v>11</v>
      </c>
    </row>
    <row r="10758" spans="1:10" ht="13.2">
      <c r="A10758" s="7">
        <v>10757</v>
      </c>
      <c r="B10758" s="7">
        <v>1</v>
      </c>
      <c r="C10758" s="7" t="s">
        <v>10</v>
      </c>
      <c r="D10758" s="7">
        <v>16936</v>
      </c>
      <c r="E10758" s="7" t="s">
        <v>28</v>
      </c>
      <c r="F10758" s="8" t="str">
        <f ca="1">IFERROR(__xludf.DUMMYFUNCTION("IF
(
C10759=""фізична особа""
,
VLOOKUP(D10759,IMPORTRANGE(""https://docs.google.com/spreadsheets/d/14Bd19lYaqBhU8_DElYkX7l4wRkHqqCUFNJY4AfY3kHU/edit?usp=sharing  #gid=0"",""фіз особи new!relations_name""),6,FALSE)
,
(IF
(
C10759=""юридична особа""
,
VLOO"&amp;"KUP(D10759,IMPORTRANGE(""https://docs.google.com/spreadsheets/d/14Bd19lYaqBhU8_DElYkX7l4wRkHqqCUFNJY4AfY3kHU/edit?usp=sharing  #gid=0"",""фіз особи new!relations_name_uo""),7,FALSE)
,
)
))"),"МОЛОДИЧЕНКО Євгеній Валерійович")</f>
        <v>МОЛОДИЧЕНКО Євгеній Валерійович</v>
      </c>
      <c r="G10758" s="7" t="s">
        <v>10</v>
      </c>
      <c r="H10758" s="7">
        <v>4023</v>
      </c>
      <c r="I10758" s="8" t="str">
        <f ca="1">IFERROR(__xludf.DUMMYFUNCTION("IF
(
G10759=""фізична особа""
,
VLOOKUP(H10759,IMPORTRANGE(""https://docs.google.com/spreadsheets/d/14Bd19lYaqBhU8_DElYkX7l4wRkHqqCUFNJY4AfY3kHU/edit?usp=sharing  #gid=0"",""фіз особи new!relations_name""),6,FALSE)
,
(IF
(
G10759=""юридична особа""
,
VLOO"&amp;"KUP(H10759,IMPORTRANGE(""https://docs.google.com/spreadsheets/d/14Bd19lYaqBhU8_DElYkX7l4wRkHqqCUFNJY4AfY3kHU/edit?usp=sharing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58" s="7" t="s">
        <v>29</v>
      </c>
    </row>
    <row r="10759" spans="1:10" ht="13.2">
      <c r="A10759" s="7">
        <v>10758</v>
      </c>
      <c r="B10759" s="7">
        <v>1</v>
      </c>
      <c r="C10759" s="7" t="s">
        <v>10</v>
      </c>
      <c r="D10759" s="7">
        <v>16937</v>
      </c>
      <c r="E10759" s="7" t="s">
        <v>11</v>
      </c>
      <c r="F10759" s="8" t="str">
        <f ca="1">IFERROR(__xludf.DUMMYFUNCTION("IF
(
C10760=""фізична особа""
,
VLOOKUP(D10760,IMPORTRANGE(""https://docs.google.com/spreadsheets/d/14Bd19lYaqBhU8_DElYkX7l4wRkHqqCUFNJY4AfY3kHU/edit?usp=sharing  #gid=0"",""фіз особи new!relations_name""),6,FALSE)
,
(IF
(
C10760=""юридична особа""
,
VLOO"&amp;"KUP(D10760,IMPORTRANGE(""https://docs.google.com/spreadsheets/d/14Bd19lYaqBhU8_DElYkX7l4wRkHqqCUFNJY4AfY3kHU/edit?usp=sharing  #gid=0"",""фіз особи new!relations_name_uo""),7,FALSE)
,
)
))"),"САМАРІН Віктор Сергійович")</f>
        <v>САМАРІН Віктор Сергійович</v>
      </c>
      <c r="G10759" s="7" t="s">
        <v>10</v>
      </c>
      <c r="H10759" s="7">
        <v>5419</v>
      </c>
      <c r="I10759" s="8" t="str">
        <f ca="1">IFERROR(__xludf.DUMMYFUNCTION("IF
(
G10760=""фізична особа""
,
VLOOKUP(H10760,IMPORTRANGE(""https://docs.google.com/spreadsheets/d/14Bd19lYaqBhU8_DElYkX7l4wRkHqqCUFNJY4AfY3kHU/edit?usp=sharing  #gid=0"",""фіз особи new!relations_name""),6,FALSE)
,
(IF
(
G10760=""юридична особа""
,
VLOO"&amp;"KUP(H10760,IMPORTRANGE(""https://docs.google.com/spreadsheets/d/14Bd19lYaqBhU8_DElYkX7l4wRkHqqCUFNJY4AfY3kHU/edit?usp=sharing  #gid=0"",""фіз особи new!relations_name_uo""),7,FALSE)
,
)
))"),"СЕРЕДОХО Володимир Олександрович")</f>
        <v>СЕРЕДОХО Володимир Олександрович</v>
      </c>
      <c r="J10759" s="7" t="s">
        <v>11</v>
      </c>
    </row>
    <row r="10760" spans="1:10" ht="13.2">
      <c r="A10760" s="7">
        <v>10759</v>
      </c>
      <c r="B10760" s="7">
        <v>1</v>
      </c>
      <c r="C10760" s="7" t="s">
        <v>10</v>
      </c>
      <c r="D10760" s="7">
        <v>16937</v>
      </c>
      <c r="E10760" s="7" t="s">
        <v>28</v>
      </c>
      <c r="F10760" s="8" t="str">
        <f ca="1">IFERROR(__xludf.DUMMYFUNCTION("IF
(
C10761=""фізична особа""
,
VLOOKUP(D10761,IMPORTRANGE(""https://docs.google.com/spreadsheets/d/14Bd19lYaqBhU8_DElYkX7l4wRkHqqCUFNJY4AfY3kHU/edit?usp=sharing  #gid=0"",""фіз особи new!relations_name""),6,FALSE)
,
(IF
(
C10761=""юридична особа""
,
VLOO"&amp;"KUP(D10761,IMPORTRANGE(""https://docs.google.com/spreadsheets/d/14Bd19lYaqBhU8_DElYkX7l4wRkHqqCUFNJY4AfY3kHU/edit?usp=sharing  #gid=0"",""фіз особи new!relations_name_uo""),7,FALSE)
,
)
))"),"САМАРІН Віктор Сергійович")</f>
        <v>САМАРІН Віктор Сергійович</v>
      </c>
      <c r="G10760" s="7" t="s">
        <v>10</v>
      </c>
      <c r="H10760" s="7">
        <v>4023</v>
      </c>
      <c r="I10760" s="8" t="str">
        <f ca="1">IFERROR(__xludf.DUMMYFUNCTION("IF
(
G10761=""фізична особа""
,
VLOOKUP(H10761,IMPORTRANGE(""https://docs.google.com/spreadsheets/d/14Bd19lYaqBhU8_DElYkX7l4wRkHqqCUFNJY4AfY3kHU/edit?usp=sharing  #gid=0"",""фіз особи new!relations_name""),6,FALSE)
,
(IF
(
G10761=""юридична особа""
,
VLOO"&amp;"KUP(H10761,IMPORTRANGE(""https://docs.google.com/spreadsheets/d/14Bd19lYaqBhU8_DElYkX7l4wRkHqqCUFNJY4AfY3kHU/edit?usp=sharing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60" s="7" t="s">
        <v>29</v>
      </c>
    </row>
    <row r="10761" spans="1:10" ht="13.2">
      <c r="A10761" s="7">
        <v>10760</v>
      </c>
      <c r="B10761" s="7">
        <v>1</v>
      </c>
      <c r="C10761" s="7" t="s">
        <v>10</v>
      </c>
      <c r="D10761" s="7">
        <v>16938</v>
      </c>
      <c r="E10761" s="7" t="s">
        <v>11</v>
      </c>
      <c r="F10761" s="8" t="str">
        <f ca="1">IFERROR(__xludf.DUMMYFUNCTION("IF
(
C10762=""фізична особа""
,
VLOOKUP(D10762,IMPORTRANGE(""https://docs.google.com/spreadsheets/d/14Bd19lYaqBhU8_DElYkX7l4wRkHqqCUFNJY4AfY3kHU/edit?usp=sharing  #gid=0"",""фіз особи new!relations_name""),6,FALSE)
,
(IF
(
C10762=""юридична особа""
,
VLOO"&amp;"KUP(D10762,IMPORTRANGE(""https://docs.google.com/spreadsheets/d/14Bd19lYaqBhU8_DElYkX7l4wRkHqqCUFNJY4AfY3kHU/edit?usp=sharing  #gid=0"",""фіз особи new!relations_name_uo""),7,FALSE)
,
)
))"),"КАБАКОВ Борис Анатолійович")</f>
        <v>КАБАКОВ Борис Анатолійович</v>
      </c>
      <c r="G10761" s="7" t="s">
        <v>10</v>
      </c>
      <c r="H10761" s="7">
        <v>5751</v>
      </c>
      <c r="I10761" s="8" t="str">
        <f ca="1">IFERROR(__xludf.DUMMYFUNCTION("IF
(
G10762=""фізична особа""
,
VLOOKUP(H10762,IMPORTRANGE(""https://docs.google.com/spreadsheets/d/14Bd19lYaqBhU8_DElYkX7l4wRkHqqCUFNJY4AfY3kHU/edit?usp=sharing  #gid=0"",""фіз особи new!relations_name""),6,FALSE)
,
(IF
(
G10762=""юридична особа""
,
VLOO"&amp;"KUP(H10762,IMPORTRANGE(""https://docs.google.com/spreadsheets/d/14Bd19lYaqBhU8_DElYkX7l4wRkHqqCUFNJY4AfY3kHU/edit?usp=sharing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10761" s="7" t="s">
        <v>11</v>
      </c>
    </row>
    <row r="10762" spans="1:10" ht="13.2">
      <c r="A10762" s="7">
        <v>10761</v>
      </c>
      <c r="B10762" s="7">
        <v>1</v>
      </c>
      <c r="C10762" s="7" t="s">
        <v>10</v>
      </c>
      <c r="D10762" s="7">
        <v>16938</v>
      </c>
      <c r="E10762" s="7" t="s">
        <v>28</v>
      </c>
      <c r="F10762" s="8" t="str">
        <f ca="1">IFERROR(__xludf.DUMMYFUNCTION("IF
(
C10763=""фізична особа""
,
VLOOKUP(D10763,IMPORTRANGE(""https://docs.google.com/spreadsheets/d/14Bd19lYaqBhU8_DElYkX7l4wRkHqqCUFNJY4AfY3kHU/edit?usp=sharing  #gid=0"",""фіз особи new!relations_name""),6,FALSE)
,
(IF
(
C10763=""юридична особа""
,
VLOO"&amp;"KUP(D10763,IMPORTRANGE(""https://docs.google.com/spreadsheets/d/14Bd19lYaqBhU8_DElYkX7l4wRkHqqCUFNJY4AfY3kHU/edit?usp=sharing  #gid=0"",""фіз особи new!relations_name_uo""),7,FALSE)
,
)
))"),"КАБАКОВ Борис Анатолійович")</f>
        <v>КАБАКОВ Борис Анатолійович</v>
      </c>
      <c r="G10762" s="7" t="s">
        <v>10</v>
      </c>
      <c r="H10762" s="7">
        <v>2404</v>
      </c>
      <c r="I10762" s="8" t="str">
        <f ca="1">IFERROR(__xludf.DUMMYFUNCTION("IF
(
G10763=""фізична особа""
,
VLOOKUP(H10763,IMPORTRANGE(""https://docs.google.com/spreadsheets/d/14Bd19lYaqBhU8_DElYkX7l4wRkHqqCUFNJY4AfY3kHU/edit?usp=sharing  #gid=0"",""фіз особи new!relations_name""),6,FALSE)
,
(IF
(
G10763=""юридична особа""
,
VLOO"&amp;"KUP(H10763,IMPORTRANGE(""https://docs.google.com/spreadsheets/d/14Bd19lYaqBhU8_DElYkX7l4wRkHqqCUFNJY4AfY3kHU/edit?usp=sharing  #gid=0"",""фіз особи new!relations_name_uo""),7,FALSE)
,
)
))"),"МАНТУРОВ Денис Валентинович")</f>
        <v>МАНТУРОВ Денис Валентинович</v>
      </c>
      <c r="J10762" s="7" t="s">
        <v>29</v>
      </c>
    </row>
    <row r="10763" spans="1:10" ht="13.2">
      <c r="A10763" s="7">
        <v>10762</v>
      </c>
      <c r="B10763" s="7">
        <v>1</v>
      </c>
      <c r="C10763" s="7" t="s">
        <v>10</v>
      </c>
      <c r="D10763" s="7">
        <v>16939</v>
      </c>
      <c r="E10763" s="7" t="s">
        <v>11</v>
      </c>
      <c r="F10763" s="8" t="str">
        <f ca="1">IFERROR(__xludf.DUMMYFUNCTION("IF
(
C10764=""фізична особа""
,
VLOOKUP(D10764,IMPORTRANGE(""https://docs.google.com/spreadsheets/d/14Bd19lYaqBhU8_DElYkX7l4wRkHqqCUFNJY4AfY3kHU/edit?usp=sharing  #gid=0"",""фіз особи new!relations_name""),6,FALSE)
,
(IF
(
C10764=""юридична особа""
,
VLOO"&amp;"KUP(D10764,IMPORTRANGE(""https://docs.google.com/spreadsheets/d/14Bd19lYaqBhU8_DElYkX7l4wRkHqqCUFNJY4AfY3kHU/edit?usp=sharing  #gid=0"",""фіз особи new!relations_name_uo""),7,FALSE)
,
)
))"),"КАТИШЕВ Володимир Сергійович")</f>
        <v>КАТИШЕВ Володимир Сергійович</v>
      </c>
      <c r="G10763" s="7" t="s">
        <v>10</v>
      </c>
      <c r="H10763" s="7">
        <v>5751</v>
      </c>
      <c r="I10763" s="8" t="str">
        <f ca="1">IFERROR(__xludf.DUMMYFUNCTION("IF
(
G10764=""фізична особа""
,
VLOOKUP(H10764,IMPORTRANGE(""https://docs.google.com/spreadsheets/d/14Bd19lYaqBhU8_DElYkX7l4wRkHqqCUFNJY4AfY3kHU/edit?usp=sharing  #gid=0"",""фіз особи new!relations_name""),6,FALSE)
,
(IF
(
G10764=""юридична особа""
,
VLOO"&amp;"KUP(H10764,IMPORTRANGE(""https://docs.google.com/spreadsheets/d/14Bd19lYaqBhU8_DElYkX7l4wRkHqqCUFNJY4AfY3kHU/edit?usp=sharing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10763" s="7" t="s">
        <v>11</v>
      </c>
    </row>
    <row r="10764" spans="1:10" ht="13.2">
      <c r="A10764" s="7">
        <v>10763</v>
      </c>
      <c r="B10764" s="7">
        <v>1</v>
      </c>
      <c r="C10764" s="7" t="s">
        <v>10</v>
      </c>
      <c r="D10764" s="7">
        <v>16939</v>
      </c>
      <c r="E10764" s="7" t="s">
        <v>28</v>
      </c>
      <c r="F10764" s="8" t="str">
        <f ca="1">IFERROR(__xludf.DUMMYFUNCTION("IF
(
C10765=""фізична особа""
,
VLOOKUP(D10765,IMPORTRANGE(""https://docs.google.com/spreadsheets/d/14Bd19lYaqBhU8_DElYkX7l4wRkHqqCUFNJY4AfY3kHU/edit?usp=sharing  #gid=0"",""фіз особи new!relations_name""),6,FALSE)
,
(IF
(
C10765=""юридична особа""
,
VLOO"&amp;"KUP(D10765,IMPORTRANGE(""https://docs.google.com/spreadsheets/d/14Bd19lYaqBhU8_DElYkX7l4wRkHqqCUFNJY4AfY3kHU/edit?usp=sharing  #gid=0"",""фіз особи new!relations_name_uo""),7,FALSE)
,
)
))"),"КАТИШЕВ Володимир Сергійович")</f>
        <v>КАТИШЕВ Володимир Сергійович</v>
      </c>
      <c r="G10764" s="7" t="s">
        <v>10</v>
      </c>
      <c r="H10764" s="7">
        <v>4023</v>
      </c>
      <c r="I10764" s="8" t="str">
        <f ca="1">IFERROR(__xludf.DUMMYFUNCTION("IF
(
G10765=""фізична особа""
,
VLOOKUP(H10765,IMPORTRANGE(""https://docs.google.com/spreadsheets/d/14Bd19lYaqBhU8_DElYkX7l4wRkHqqCUFNJY4AfY3kHU/edit?usp=sharing  #gid=0"",""фіз особи new!relations_name""),6,FALSE)
,
(IF
(
G10765=""юридична особа""
,
VLOO"&amp;"KUP(H10765,IMPORTRANGE(""https://docs.google.com/spreadsheets/d/14Bd19lYaqBhU8_DElYkX7l4wRkHqqCUFNJY4AfY3kHU/edit?usp=sharing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64" s="7" t="s">
        <v>29</v>
      </c>
    </row>
    <row r="10765" spans="1:10" ht="13.2">
      <c r="A10765" s="7">
        <v>10764</v>
      </c>
      <c r="B10765" s="7">
        <v>1</v>
      </c>
      <c r="C10765" s="7" t="s">
        <v>10</v>
      </c>
      <c r="D10765" s="7">
        <v>16940</v>
      </c>
      <c r="E10765" s="7" t="s">
        <v>11</v>
      </c>
      <c r="F10765" s="8" t="str">
        <f ca="1">IFERROR(__xludf.DUMMYFUNCTION("IF
(
C10766=""фізична особа""
,
VLOOKUP(D10766,IMPORTRANGE(""https://docs.google.com/spreadsheets/d/14Bd19lYaqBhU8_DElYkX7l4wRkHqqCUFNJY4AfY3kHU/edit?usp=sharing  #gid=0"",""фіз особи new!relations_name""),6,FALSE)
,
(IF
(
C10766=""юридична особа""
,
VLOO"&amp;"KUP(D10766,IMPORTRANGE(""https://docs.google.com/spreadsheets/d/14Bd19lYaqBhU8_DElYkX7l4wRkHqqCUFNJY4AfY3kHU/edit?usp=sharing  #gid=0"",""фіз особи new!relations_name_uo""),7,FALSE)
,
)
))"),"САЛІЙ Андрій Юрійович")</f>
        <v>САЛІЙ Андрій Юрійович</v>
      </c>
      <c r="G10765" s="7" t="s">
        <v>10</v>
      </c>
      <c r="H10765" s="7">
        <v>5751</v>
      </c>
      <c r="I10765" s="8" t="str">
        <f ca="1">IFERROR(__xludf.DUMMYFUNCTION("IF
(
G10766=""фізична особа""
,
VLOOKUP(H10766,IMPORTRANGE(""https://docs.google.com/spreadsheets/d/14Bd19lYaqBhU8_DElYkX7l4wRkHqqCUFNJY4AfY3kHU/edit?usp=sharing  #gid=0"",""фіз особи new!relations_name""),6,FALSE)
,
(IF
(
G10766=""юридична особа""
,
VLOO"&amp;"KUP(H10766,IMPORTRANGE(""https://docs.google.com/spreadsheets/d/14Bd19lYaqBhU8_DElYkX7l4wRkHqqCUFNJY4AfY3kHU/edit?usp=sharing  #gid=0"",""фіз особи new!relations_name_uo""),7,FALSE)
,
)
))"),"КАДИЛОВ Олексій Васильович")</f>
        <v>КАДИЛОВ Олексій Васильович</v>
      </c>
      <c r="J10765" s="7" t="s">
        <v>11</v>
      </c>
    </row>
    <row r="10766" spans="1:10" ht="13.2">
      <c r="A10766" s="7">
        <v>10765</v>
      </c>
      <c r="B10766" s="7">
        <v>1</v>
      </c>
      <c r="C10766" s="7" t="s">
        <v>10</v>
      </c>
      <c r="D10766" s="7">
        <v>16940</v>
      </c>
      <c r="E10766" s="7" t="s">
        <v>28</v>
      </c>
      <c r="F10766" s="8" t="str">
        <f ca="1">IFERROR(__xludf.DUMMYFUNCTION("IF
(
C10767=""фізична особа""
,
VLOOKUP(D10767,IMPORTRANGE(""https://docs.google.com/spreadsheets/d/14Bd19lYaqBhU8_DElYkX7l4wRkHqqCUFNJY4AfY3kHU/edit?usp=sharing  #gid=0"",""фіз особи new!relations_name""),6,FALSE)
,
(IF
(
C10767=""юридична особа""
,
VLOO"&amp;"KUP(D10767,IMPORTRANGE(""https://docs.google.com/spreadsheets/d/14Bd19lYaqBhU8_DElYkX7l4wRkHqqCUFNJY4AfY3kHU/edit?usp=sharing  #gid=0"",""фіз особи new!relations_name_uo""),7,FALSE)
,
)
))"),"САЛІЙ Андрій Юрійович")</f>
        <v>САЛІЙ Андрій Юрійович</v>
      </c>
      <c r="G10766" s="7" t="s">
        <v>10</v>
      </c>
      <c r="H10766" s="7">
        <v>4023</v>
      </c>
      <c r="I10766" s="8" t="str">
        <f ca="1">IFERROR(__xludf.DUMMYFUNCTION("IF
(
G10767=""фізична особа""
,
VLOOKUP(H10767,IMPORTRANGE(""https://docs.google.com/spreadsheets/d/14Bd19lYaqBhU8_DElYkX7l4wRkHqqCUFNJY4AfY3kHU/edit?usp=sharing  #gid=0"",""фіз особи new!relations_name""),6,FALSE)
,
(IF
(
G10767=""юридична особа""
,
VLOO"&amp;"KUP(H10767,IMPORTRANGE(""https://docs.google.com/spreadsheets/d/14Bd19lYaqBhU8_DElYkX7l4wRkHqqCUFNJY4AfY3kHU/edit?usp=sharing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766" s="7" t="s">
        <v>29</v>
      </c>
    </row>
    <row r="10767" spans="1:10" ht="13.2">
      <c r="A10767" s="7">
        <v>10766</v>
      </c>
      <c r="B10767" s="7">
        <v>1</v>
      </c>
      <c r="C10767" s="7" t="s">
        <v>10</v>
      </c>
      <c r="D10767" s="7">
        <v>16941</v>
      </c>
      <c r="E10767" s="7" t="s">
        <v>11</v>
      </c>
      <c r="F10767" s="8" t="str">
        <f ca="1">IFERROR(__xludf.DUMMYFUNCTION("IF
(
C10768=""фізична особа""
,
VLOOKUP(D10768,IMPORTRANGE(""https://docs.google.com/spreadsheets/d/14Bd19lYaqBhU8_DElYkX7l4wRkHqqCUFNJY4AfY3kHU/edit?usp=sharing  #gid=0"",""фіз особи new!relations_name""),6,FALSE)
,
(IF
(
C10768=""юридична особа""
,
VLOO"&amp;"KUP(D10768,IMPORTRANGE(""https://docs.google.com/spreadsheets/d/14Bd19lYaqBhU8_DElYkX7l4wRkHqqCUFNJY4AfY3kHU/edit?usp=sharing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67" s="7" t="s">
        <v>10</v>
      </c>
      <c r="H10767" s="7">
        <v>16942</v>
      </c>
      <c r="I10767" s="8" t="str">
        <f ca="1">IFERROR(__xludf.DUMMYFUNCTION("IF
(
G10768=""фізична особа""
,
VLOOKUP(H10768,IMPORTRANGE(""https://docs.google.com/spreadsheets/d/14Bd19lYaqBhU8_DElYkX7l4wRkHqqCUFNJY4AfY3kHU/edit?usp=sharing  #gid=0"",""фіз особи new!relations_name""),6,FALSE)
,
(IF
(
G10768=""юридична особа""
,
VLOO"&amp;"KUP(H10768,IMPORTRANGE(""https://docs.google.com/spreadsheets/d/14Bd19lYaqBhU8_DElYkX7l4wRkHqqCUFNJY4AfY3kHU/edit?usp=sharing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767" s="7" t="s">
        <v>11</v>
      </c>
    </row>
    <row r="10768" spans="1:10" ht="13.2">
      <c r="A10768" s="7">
        <v>10767</v>
      </c>
      <c r="B10768" s="7">
        <v>1</v>
      </c>
      <c r="C10768" s="7" t="s">
        <v>10</v>
      </c>
      <c r="D10768" s="7">
        <v>16941</v>
      </c>
      <c r="E10768" s="7" t="s">
        <v>11</v>
      </c>
      <c r="F10768" s="8" t="str">
        <f ca="1">IFERROR(__xludf.DUMMYFUNCTION("IF
(
C10769=""фізична особа""
,
VLOOKUP(D10769,IMPORTRANGE(""https://docs.google.com/spreadsheets/d/14Bd19lYaqBhU8_DElYkX7l4wRkHqqCUFNJY4AfY3kHU/edit?usp=sharing  #gid=0"",""фіз особи new!relations_name""),6,FALSE)
,
(IF
(
C10769=""юридична особа""
,
VLOO"&amp;"KUP(D10769,IMPORTRANGE(""https://docs.google.com/spreadsheets/d/14Bd19lYaqBhU8_DElYkX7l4wRkHqqCUFNJY4AfY3kHU/edit?usp=sharing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68" s="7" t="s">
        <v>10</v>
      </c>
      <c r="H10768" s="7">
        <v>16943</v>
      </c>
      <c r="I10768" s="8" t="str">
        <f ca="1">IFERROR(__xludf.DUMMYFUNCTION("IF
(
G10769=""фізична особа""
,
VLOOKUP(H10769,IMPORTRANGE(""https://docs.google.com/spreadsheets/d/14Bd19lYaqBhU8_DElYkX7l4wRkHqqCUFNJY4AfY3kHU/edit?usp=sharing  #gid=0"",""фіз особи new!relations_name""),6,FALSE)
,
(IF
(
G10769=""юридична особа""
,
VLOO"&amp;"KUP(H10769,IMPORTRANGE(""https://docs.google.com/spreadsheets/d/14Bd19lYaqBhU8_DElYkX7l4wRkHqqCUFNJY4AfY3kHU/edit?usp=sharing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768" s="7" t="s">
        <v>11</v>
      </c>
    </row>
    <row r="10769" spans="1:10" ht="13.2">
      <c r="A10769" s="7">
        <v>10768</v>
      </c>
      <c r="B10769" s="7">
        <v>1</v>
      </c>
      <c r="C10769" s="7" t="s">
        <v>10</v>
      </c>
      <c r="D10769" s="7">
        <v>16941</v>
      </c>
      <c r="E10769" s="7" t="s">
        <v>11</v>
      </c>
      <c r="F10769" s="8" t="str">
        <f ca="1">IFERROR(__xludf.DUMMYFUNCTION("IF
(
C10770=""фізична особа""
,
VLOOKUP(D10770,IMPORTRANGE(""https://docs.google.com/spreadsheets/d/14Bd19lYaqBhU8_DElYkX7l4wRkHqqCUFNJY4AfY3kHU/edit?usp=sharing  #gid=0"",""фіз особи new!relations_name""),6,FALSE)
,
(IF
(
C10770=""юридична особа""
,
VLOO"&amp;"KUP(D10770,IMPORTRANGE(""https://docs.google.com/spreadsheets/d/14Bd19lYaqBhU8_DElYkX7l4wRkHqqCUFNJY4AfY3kHU/edit?usp=sharing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69" s="7" t="s">
        <v>10</v>
      </c>
      <c r="H10769" s="7">
        <v>16944</v>
      </c>
      <c r="I10769" s="8" t="str">
        <f ca="1">IFERROR(__xludf.DUMMYFUNCTION("IF
(
G10770=""фізична особа""
,
VLOOKUP(H10770,IMPORTRANGE(""https://docs.google.com/spreadsheets/d/14Bd19lYaqBhU8_DElYkX7l4wRkHqqCUFNJY4AfY3kHU/edit?usp=sharing  #gid=0"",""фіз особи new!relations_name""),6,FALSE)
,
(IF
(
G10770=""юридична особа""
,
VLOO"&amp;"KUP(H10770,IMPORTRANGE(""https://docs.google.com/spreadsheets/d/14Bd19lYaqBhU8_DElYkX7l4wRkHqqCUFNJY4AfY3kHU/edit?usp=sharing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769" s="7" t="s">
        <v>11</v>
      </c>
    </row>
    <row r="10770" spans="1:10" ht="13.2">
      <c r="A10770" s="7">
        <v>10769</v>
      </c>
      <c r="B10770" s="7">
        <v>1</v>
      </c>
      <c r="C10770" s="7" t="s">
        <v>10</v>
      </c>
      <c r="D10770" s="7">
        <v>16941</v>
      </c>
      <c r="E10770" s="7" t="s">
        <v>11</v>
      </c>
      <c r="F10770" s="8" t="str">
        <f ca="1">IFERROR(__xludf.DUMMYFUNCTION("IF
(
C10771=""фізична особа""
,
VLOOKUP(D10771,IMPORTRANGE(""https://docs.google.com/spreadsheets/d/14Bd19lYaqBhU8_DElYkX7l4wRkHqqCUFNJY4AfY3kHU/edit?usp=sharing  #gid=0"",""фіз особи new!relations_name""),6,FALSE)
,
(IF
(
C10771=""юридична особа""
,
VLOO"&amp;"KUP(D10771,IMPORTRANGE(""https://docs.google.com/spreadsheets/d/14Bd19lYaqBhU8_DElYkX7l4wRkHqqCUFNJY4AfY3kHU/edit?usp=sharing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70" s="7" t="s">
        <v>10</v>
      </c>
      <c r="H10770" s="7">
        <v>16945</v>
      </c>
      <c r="I10770" s="8" t="str">
        <f ca="1">IFERROR(__xludf.DUMMYFUNCTION("IF
(
G10771=""фізична особа""
,
VLOOKUP(H10771,IMPORTRANGE(""https://docs.google.com/spreadsheets/d/14Bd19lYaqBhU8_DElYkX7l4wRkHqqCUFNJY4AfY3kHU/edit?usp=sharing  #gid=0"",""фіз особи new!relations_name""),6,FALSE)
,
(IF
(
G10771=""юридична особа""
,
VLOO"&amp;"KUP(H10771,IMPORTRANGE(""https://docs.google.com/spreadsheets/d/14Bd19lYaqBhU8_DElYkX7l4wRkHqqCUFNJY4AfY3kHU/edit?usp=sharing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770" s="7" t="s">
        <v>11</v>
      </c>
    </row>
    <row r="10771" spans="1:10" ht="13.2">
      <c r="A10771" s="7">
        <v>10770</v>
      </c>
      <c r="B10771" s="7">
        <v>1</v>
      </c>
      <c r="C10771" s="7" t="s">
        <v>10</v>
      </c>
      <c r="D10771" s="7">
        <v>16941</v>
      </c>
      <c r="E10771" s="7" t="s">
        <v>11</v>
      </c>
      <c r="F10771" s="8" t="str">
        <f ca="1">IFERROR(__xludf.DUMMYFUNCTION("IF
(
C10772=""фізична особа""
,
VLOOKUP(D10772,IMPORTRANGE(""https://docs.google.com/spreadsheets/d/14Bd19lYaqBhU8_DElYkX7l4wRkHqqCUFNJY4AfY3kHU/edit?usp=sharing  #gid=0"",""фіз особи new!relations_name""),6,FALSE)
,
(IF
(
C10772=""юридична особа""
,
VLOO"&amp;"KUP(D10772,IMPORTRANGE(""https://docs.google.com/spreadsheets/d/14Bd19lYaqBhU8_DElYkX7l4wRkHqqCUFNJY4AfY3kHU/edit?usp=sharing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71" s="7" t="s">
        <v>10</v>
      </c>
      <c r="H10771" s="7">
        <v>16946</v>
      </c>
      <c r="I10771" s="8" t="str">
        <f ca="1">IFERROR(__xludf.DUMMYFUNCTION("IF
(
G10772=""фізична особа""
,
VLOOKUP(H10772,IMPORTRANGE(""https://docs.google.com/spreadsheets/d/14Bd19lYaqBhU8_DElYkX7l4wRkHqqCUFNJY4AfY3kHU/edit?usp=sharing  #gid=0"",""фіз особи new!relations_name""),6,FALSE)
,
(IF
(
G10772=""юридична особа""
,
VLOO"&amp;"KUP(H10772,IMPORTRANGE(""https://docs.google.com/spreadsheets/d/14Bd19lYaqBhU8_DElYkX7l4wRkHqqCUFNJY4AfY3kHU/edit?usp=sharing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771" s="7" t="s">
        <v>11</v>
      </c>
    </row>
    <row r="10772" spans="1:10" ht="13.2">
      <c r="A10772" s="7">
        <v>10771</v>
      </c>
      <c r="B10772" s="7">
        <v>1</v>
      </c>
      <c r="C10772" s="7" t="s">
        <v>10</v>
      </c>
      <c r="D10772" s="7">
        <v>16941</v>
      </c>
      <c r="E10772" s="7" t="s">
        <v>11</v>
      </c>
      <c r="F10772" s="8" t="str">
        <f ca="1">IFERROR(__xludf.DUMMYFUNCTION("IF
(
C10773=""фізична особа""
,
VLOOKUP(D10773,IMPORTRANGE(""https://docs.google.com/spreadsheets/d/14Bd19lYaqBhU8_DElYkX7l4wRkHqqCUFNJY4AfY3kHU/edit?usp=sharing  #gid=0"",""фіз особи new!relations_name""),6,FALSE)
,
(IF
(
C10773=""юридична особа""
,
VLOO"&amp;"KUP(D10773,IMPORTRANGE(""https://docs.google.com/spreadsheets/d/14Bd19lYaqBhU8_DElYkX7l4wRkHqqCUFNJY4AfY3kHU/edit?usp=sharing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G10772" s="7" t="s">
        <v>10</v>
      </c>
      <c r="H10772" s="7">
        <v>16947</v>
      </c>
      <c r="I10772" s="8" t="str">
        <f ca="1">IFERROR(__xludf.DUMMYFUNCTION("IF
(
G10773=""фізична особа""
,
VLOOKUP(H10773,IMPORTRANGE(""https://docs.google.com/spreadsheets/d/14Bd19lYaqBhU8_DElYkX7l4wRkHqqCUFNJY4AfY3kHU/edit?usp=sharing  #gid=0"",""фіз особи new!relations_name""),6,FALSE)
,
(IF
(
G10773=""юридична особа""
,
VLOO"&amp;"KUP(H10773,IMPORTRANGE(""https://docs.google.com/spreadsheets/d/14Bd19lYaqBhU8_DElYkX7l4wRkHqqCUFNJY4AfY3kHU/edit?usp=sharing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772" s="7" t="s">
        <v>11</v>
      </c>
    </row>
    <row r="10773" spans="1:10" ht="13.2">
      <c r="A10773" s="7">
        <v>10772</v>
      </c>
      <c r="B10773" s="7">
        <v>1</v>
      </c>
      <c r="C10773" s="7" t="s">
        <v>10</v>
      </c>
      <c r="D10773" s="7">
        <v>16942</v>
      </c>
      <c r="E10773" s="7" t="s">
        <v>11</v>
      </c>
      <c r="F10773" s="8" t="str">
        <f ca="1">IFERROR(__xludf.DUMMYFUNCTION("IF
(
C10774=""фізична особа""
,
VLOOKUP(D10774,IMPORTRANGE(""https://docs.google.com/spreadsheets/d/14Bd19lYaqBhU8_DElYkX7l4wRkHqqCUFNJY4AfY3kHU/edit?usp=sharing  #gid=0"",""фіз особи new!relations_name""),6,FALSE)
,
(IF
(
C10774=""юридична особа""
,
VLOO"&amp;"KUP(D10774,IMPORTRANGE(""https://docs.google.com/spreadsheets/d/14Bd19lYaqBhU8_DElYkX7l4wRkHqqCUFNJY4AfY3kHU/edit?usp=sharing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3" s="7" t="s">
        <v>10</v>
      </c>
      <c r="H10773" s="7">
        <v>16941</v>
      </c>
      <c r="I10773" s="8" t="str">
        <f ca="1">IFERROR(__xludf.DUMMYFUNCTION("IF
(
G10774=""фізична особа""
,
VLOOKUP(H10774,IMPORTRANGE(""https://docs.google.com/spreadsheets/d/14Bd19lYaqBhU8_DElYkX7l4wRkHqqCUFNJY4AfY3kHU/edit?usp=sharing  #gid=0"",""фіз особи new!relations_name""),6,FALSE)
,
(IF
(
G10774=""юридична особа""
,
VLOO"&amp;"KUP(H10774,IMPORTRANGE(""https://docs.google.com/spreadsheets/d/14Bd19lYaqBhU8_DElYkX7l4wRkHqqCUFNJY4AfY3kHU/edit?usp=sharing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773" s="7" t="s">
        <v>11</v>
      </c>
    </row>
    <row r="10774" spans="1:10" ht="13.2">
      <c r="A10774" s="7">
        <v>10773</v>
      </c>
      <c r="B10774" s="7">
        <v>1</v>
      </c>
      <c r="C10774" s="7" t="s">
        <v>10</v>
      </c>
      <c r="D10774" s="7">
        <v>16942</v>
      </c>
      <c r="E10774" s="7" t="s">
        <v>11</v>
      </c>
      <c r="F10774" s="8" t="str">
        <f ca="1">IFERROR(__xludf.DUMMYFUNCTION("IF
(
C10775=""фізична особа""
,
VLOOKUP(D10775,IMPORTRANGE(""https://docs.google.com/spreadsheets/d/14Bd19lYaqBhU8_DElYkX7l4wRkHqqCUFNJY4AfY3kHU/edit?usp=sharing  #gid=0"",""фіз особи new!relations_name""),6,FALSE)
,
(IF
(
C10775=""юридична особа""
,
VLOO"&amp;"KUP(D10775,IMPORTRANGE(""https://docs.google.com/spreadsheets/d/14Bd19lYaqBhU8_DElYkX7l4wRkHqqCUFNJY4AfY3kHU/edit?usp=sharing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4" s="7" t="s">
        <v>10</v>
      </c>
      <c r="H10774" s="7">
        <v>16943</v>
      </c>
      <c r="I10774" s="8" t="str">
        <f ca="1">IFERROR(__xludf.DUMMYFUNCTION("IF
(
G10775=""фізична особа""
,
VLOOKUP(H10775,IMPORTRANGE(""https://docs.google.com/spreadsheets/d/14Bd19lYaqBhU8_DElYkX7l4wRkHqqCUFNJY4AfY3kHU/edit?usp=sharing  #gid=0"",""фіз особи new!relations_name""),6,FALSE)
,
(IF
(
G10775=""юридична особа""
,
VLOO"&amp;"KUP(H10775,IMPORTRANGE(""https://docs.google.com/spreadsheets/d/14Bd19lYaqBhU8_DElYkX7l4wRkHqqCUFNJY4AfY3kHU/edit?usp=sharing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774" s="7" t="s">
        <v>11</v>
      </c>
    </row>
    <row r="10775" spans="1:10" ht="13.2">
      <c r="A10775" s="7">
        <v>10774</v>
      </c>
      <c r="B10775" s="7">
        <v>1</v>
      </c>
      <c r="C10775" s="7" t="s">
        <v>10</v>
      </c>
      <c r="D10775" s="7">
        <v>16942</v>
      </c>
      <c r="E10775" s="7" t="s">
        <v>11</v>
      </c>
      <c r="F10775" s="8" t="str">
        <f ca="1">IFERROR(__xludf.DUMMYFUNCTION("IF
(
C10776=""фізична особа""
,
VLOOKUP(D10776,IMPORTRANGE(""https://docs.google.com/spreadsheets/d/14Bd19lYaqBhU8_DElYkX7l4wRkHqqCUFNJY4AfY3kHU/edit?usp=sharing  #gid=0"",""фіз особи new!relations_name""),6,FALSE)
,
(IF
(
C10776=""юридична особа""
,
VLOO"&amp;"KUP(D10776,IMPORTRANGE(""https://docs.google.com/spreadsheets/d/14Bd19lYaqBhU8_DElYkX7l4wRkHqqCUFNJY4AfY3kHU/edit?usp=sharing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5" s="7" t="s">
        <v>10</v>
      </c>
      <c r="H10775" s="7">
        <v>16944</v>
      </c>
      <c r="I10775" s="8" t="str">
        <f ca="1">IFERROR(__xludf.DUMMYFUNCTION("IF
(
G10776=""фізична особа""
,
VLOOKUP(H10776,IMPORTRANGE(""https://docs.google.com/spreadsheets/d/14Bd19lYaqBhU8_DElYkX7l4wRkHqqCUFNJY4AfY3kHU/edit?usp=sharing  #gid=0"",""фіз особи new!relations_name""),6,FALSE)
,
(IF
(
G10776=""юридична особа""
,
VLOO"&amp;"KUP(H10776,IMPORTRANGE(""https://docs.google.com/spreadsheets/d/14Bd19lYaqBhU8_DElYkX7l4wRkHqqCUFNJY4AfY3kHU/edit?usp=sharing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775" s="7" t="s">
        <v>11</v>
      </c>
    </row>
    <row r="10776" spans="1:10" ht="13.2">
      <c r="A10776" s="7">
        <v>10775</v>
      </c>
      <c r="B10776" s="7">
        <v>1</v>
      </c>
      <c r="C10776" s="7" t="s">
        <v>10</v>
      </c>
      <c r="D10776" s="7">
        <v>16942</v>
      </c>
      <c r="E10776" s="7" t="s">
        <v>11</v>
      </c>
      <c r="F10776" s="8" t="str">
        <f ca="1">IFERROR(__xludf.DUMMYFUNCTION("IF
(
C10777=""фізична особа""
,
VLOOKUP(D10777,IMPORTRANGE(""https://docs.google.com/spreadsheets/d/14Bd19lYaqBhU8_DElYkX7l4wRkHqqCUFNJY4AfY3kHU/edit?usp=sharing  #gid=0"",""фіз особи new!relations_name""),6,FALSE)
,
(IF
(
C10777=""юридична особа""
,
VLOO"&amp;"KUP(D10777,IMPORTRANGE(""https://docs.google.com/spreadsheets/d/14Bd19lYaqBhU8_DElYkX7l4wRkHqqCUFNJY4AfY3kHU/edit?usp=sharing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6" s="7" t="s">
        <v>10</v>
      </c>
      <c r="H10776" s="7">
        <v>16945</v>
      </c>
      <c r="I10776" s="8" t="str">
        <f ca="1">IFERROR(__xludf.DUMMYFUNCTION("IF
(
G10777=""фізична особа""
,
VLOOKUP(H10777,IMPORTRANGE(""https://docs.google.com/spreadsheets/d/14Bd19lYaqBhU8_DElYkX7l4wRkHqqCUFNJY4AfY3kHU/edit?usp=sharing  #gid=0"",""фіз особи new!relations_name""),6,FALSE)
,
(IF
(
G10777=""юридична особа""
,
VLOO"&amp;"KUP(H10777,IMPORTRANGE(""https://docs.google.com/spreadsheets/d/14Bd19lYaqBhU8_DElYkX7l4wRkHqqCUFNJY4AfY3kHU/edit?usp=sharing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776" s="7" t="s">
        <v>11</v>
      </c>
    </row>
    <row r="10777" spans="1:10" ht="13.2">
      <c r="A10777" s="7">
        <v>10776</v>
      </c>
      <c r="B10777" s="7">
        <v>1</v>
      </c>
      <c r="C10777" s="7" t="s">
        <v>10</v>
      </c>
      <c r="D10777" s="7">
        <v>16942</v>
      </c>
      <c r="E10777" s="7" t="s">
        <v>11</v>
      </c>
      <c r="F10777" s="8" t="str">
        <f ca="1">IFERROR(__xludf.DUMMYFUNCTION("IF
(
C10778=""фізична особа""
,
VLOOKUP(D10778,IMPORTRANGE(""https://docs.google.com/spreadsheets/d/14Bd19lYaqBhU8_DElYkX7l4wRkHqqCUFNJY4AfY3kHU/edit?usp=sharing  #gid=0"",""фіз особи new!relations_name""),6,FALSE)
,
(IF
(
C10778=""юридична особа""
,
VLOO"&amp;"KUP(D10778,IMPORTRANGE(""https://docs.google.com/spreadsheets/d/14Bd19lYaqBhU8_DElYkX7l4wRkHqqCUFNJY4AfY3kHU/edit?usp=sharing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7" s="7" t="s">
        <v>10</v>
      </c>
      <c r="H10777" s="7">
        <v>16946</v>
      </c>
      <c r="I10777" s="8" t="str">
        <f ca="1">IFERROR(__xludf.DUMMYFUNCTION("IF
(
G10778=""фізична особа""
,
VLOOKUP(H10778,IMPORTRANGE(""https://docs.google.com/spreadsheets/d/14Bd19lYaqBhU8_DElYkX7l4wRkHqqCUFNJY4AfY3kHU/edit?usp=sharing  #gid=0"",""фіз особи new!relations_name""),6,FALSE)
,
(IF
(
G10778=""юридична особа""
,
VLOO"&amp;"KUP(H10778,IMPORTRANGE(""https://docs.google.com/spreadsheets/d/14Bd19lYaqBhU8_DElYkX7l4wRkHqqCUFNJY4AfY3kHU/edit?usp=sharing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777" s="7" t="s">
        <v>11</v>
      </c>
    </row>
    <row r="10778" spans="1:10" ht="13.2">
      <c r="A10778" s="7">
        <v>10777</v>
      </c>
      <c r="B10778" s="7">
        <v>1</v>
      </c>
      <c r="C10778" s="7" t="s">
        <v>10</v>
      </c>
      <c r="D10778" s="7">
        <v>16942</v>
      </c>
      <c r="E10778" s="7" t="s">
        <v>11</v>
      </c>
      <c r="F10778" s="8" t="str">
        <f ca="1">IFERROR(__xludf.DUMMYFUNCTION("IF
(
C10779=""фізична особа""
,
VLOOKUP(D10779,IMPORTRANGE(""https://docs.google.com/spreadsheets/d/14Bd19lYaqBhU8_DElYkX7l4wRkHqqCUFNJY4AfY3kHU/edit?usp=sharing  #gid=0"",""фіз особи new!relations_name""),6,FALSE)
,
(IF
(
C10779=""юридична особа""
,
VLOO"&amp;"KUP(D10779,IMPORTRANGE(""https://docs.google.com/spreadsheets/d/14Bd19lYaqBhU8_DElYkX7l4wRkHqqCUFNJY4AfY3kHU/edit?usp=sharing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G10778" s="7" t="s">
        <v>10</v>
      </c>
      <c r="H10778" s="7">
        <v>16947</v>
      </c>
      <c r="I10778" s="8" t="str">
        <f ca="1">IFERROR(__xludf.DUMMYFUNCTION("IF
(
G10779=""фізична особа""
,
VLOOKUP(H10779,IMPORTRANGE(""https://docs.google.com/spreadsheets/d/14Bd19lYaqBhU8_DElYkX7l4wRkHqqCUFNJY4AfY3kHU/edit?usp=sharing  #gid=0"",""фіз особи new!relations_name""),6,FALSE)
,
(IF
(
G10779=""юридична особа""
,
VLOO"&amp;"KUP(H10779,IMPORTRANGE(""https://docs.google.com/spreadsheets/d/14Bd19lYaqBhU8_DElYkX7l4wRkHqqCUFNJY4AfY3kHU/edit?usp=sharing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778" s="7" t="s">
        <v>11</v>
      </c>
    </row>
    <row r="10779" spans="1:10" ht="13.2">
      <c r="A10779" s="7">
        <v>10778</v>
      </c>
      <c r="B10779" s="7">
        <v>1</v>
      </c>
      <c r="C10779" s="7" t="s">
        <v>10</v>
      </c>
      <c r="D10779" s="7">
        <v>16943</v>
      </c>
      <c r="E10779" s="7" t="s">
        <v>11</v>
      </c>
      <c r="F10779" s="8" t="str">
        <f ca="1">IFERROR(__xludf.DUMMYFUNCTION("IF
(
C10780=""фізична особа""
,
VLOOKUP(D10780,IMPORTRANGE(""https://docs.google.com/spreadsheets/d/14Bd19lYaqBhU8_DElYkX7l4wRkHqqCUFNJY4AfY3kHU/edit?usp=sharing  #gid=0"",""фіз особи new!relations_name""),6,FALSE)
,
(IF
(
C10780=""юридична особа""
,
VLOO"&amp;"KUP(D10780,IMPORTRANGE(""https://docs.google.com/spreadsheets/d/14Bd19lYaqBhU8_DElYkX7l4wRkHqqCUFNJY4AfY3kHU/edit?usp=sharing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79" s="7" t="s">
        <v>10</v>
      </c>
      <c r="H10779" s="7">
        <v>16941</v>
      </c>
      <c r="I10779" s="8" t="str">
        <f ca="1">IFERROR(__xludf.DUMMYFUNCTION("IF
(
G10780=""фізична особа""
,
VLOOKUP(H10780,IMPORTRANGE(""https://docs.google.com/spreadsheets/d/14Bd19lYaqBhU8_DElYkX7l4wRkHqqCUFNJY4AfY3kHU/edit?usp=sharing  #gid=0"",""фіз особи new!relations_name""),6,FALSE)
,
(IF
(
G10780=""юридична особа""
,
VLOO"&amp;"KUP(H10780,IMPORTRANGE(""https://docs.google.com/spreadsheets/d/14Bd19lYaqBhU8_DElYkX7l4wRkHqqCUFNJY4AfY3kHU/edit?usp=sharing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779" s="7" t="s">
        <v>11</v>
      </c>
    </row>
    <row r="10780" spans="1:10" ht="13.2">
      <c r="A10780" s="7">
        <v>10779</v>
      </c>
      <c r="B10780" s="7">
        <v>1</v>
      </c>
      <c r="C10780" s="7" t="s">
        <v>10</v>
      </c>
      <c r="D10780" s="7">
        <v>16943</v>
      </c>
      <c r="E10780" s="7" t="s">
        <v>11</v>
      </c>
      <c r="F10780" s="8" t="str">
        <f ca="1">IFERROR(__xludf.DUMMYFUNCTION("IF
(
C10781=""фізична особа""
,
VLOOKUP(D10781,IMPORTRANGE(""https://docs.google.com/spreadsheets/d/14Bd19lYaqBhU8_DElYkX7l4wRkHqqCUFNJY4AfY3kHU/edit?usp=sharing  #gid=0"",""фіз особи new!relations_name""),6,FALSE)
,
(IF
(
C10781=""юридична особа""
,
VLOO"&amp;"KUP(D10781,IMPORTRANGE(""https://docs.google.com/spreadsheets/d/14Bd19lYaqBhU8_DElYkX7l4wRkHqqCUFNJY4AfY3kHU/edit?usp=sharing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80" s="7" t="s">
        <v>10</v>
      </c>
      <c r="H10780" s="7">
        <v>16942</v>
      </c>
      <c r="I10780" s="8" t="str">
        <f ca="1">IFERROR(__xludf.DUMMYFUNCTION("IF
(
G10781=""фізична особа""
,
VLOOKUP(H10781,IMPORTRANGE(""https://docs.google.com/spreadsheets/d/14Bd19lYaqBhU8_DElYkX7l4wRkHqqCUFNJY4AfY3kHU/edit?usp=sharing  #gid=0"",""фіз особи new!relations_name""),6,FALSE)
,
(IF
(
G10781=""юридична особа""
,
VLOO"&amp;"KUP(H10781,IMPORTRANGE(""https://docs.google.com/spreadsheets/d/14Bd19lYaqBhU8_DElYkX7l4wRkHqqCUFNJY4AfY3kHU/edit?usp=sharing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780" s="7" t="s">
        <v>11</v>
      </c>
    </row>
    <row r="10781" spans="1:10" ht="13.2">
      <c r="A10781" s="7">
        <v>10780</v>
      </c>
      <c r="B10781" s="7">
        <v>1</v>
      </c>
      <c r="C10781" s="7" t="s">
        <v>10</v>
      </c>
      <c r="D10781" s="7">
        <v>16943</v>
      </c>
      <c r="E10781" s="7" t="s">
        <v>11</v>
      </c>
      <c r="F10781" s="8" t="str">
        <f ca="1">IFERROR(__xludf.DUMMYFUNCTION("IF
(
C10782=""фізична особа""
,
VLOOKUP(D10782,IMPORTRANGE(""https://docs.google.com/spreadsheets/d/14Bd19lYaqBhU8_DElYkX7l4wRkHqqCUFNJY4AfY3kHU/edit?usp=sharing  #gid=0"",""фіз особи new!relations_name""),6,FALSE)
,
(IF
(
C10782=""юридична особа""
,
VLOO"&amp;"KUP(D10782,IMPORTRANGE(""https://docs.google.com/spreadsheets/d/14Bd19lYaqBhU8_DElYkX7l4wRkHqqCUFNJY4AfY3kHU/edit?usp=sharing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81" s="7" t="s">
        <v>10</v>
      </c>
      <c r="H10781" s="7">
        <v>16944</v>
      </c>
      <c r="I10781" s="8" t="str">
        <f ca="1">IFERROR(__xludf.DUMMYFUNCTION("IF
(
G10782=""фізична особа""
,
VLOOKUP(H10782,IMPORTRANGE(""https://docs.google.com/spreadsheets/d/14Bd19lYaqBhU8_DElYkX7l4wRkHqqCUFNJY4AfY3kHU/edit?usp=sharing  #gid=0"",""фіз особи new!relations_name""),6,FALSE)
,
(IF
(
G10782=""юридична особа""
,
VLOO"&amp;"KUP(H10782,IMPORTRANGE(""https://docs.google.com/spreadsheets/d/14Bd19lYaqBhU8_DElYkX7l4wRkHqqCUFNJY4AfY3kHU/edit?usp=sharing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781" s="7" t="s">
        <v>11</v>
      </c>
    </row>
    <row r="10782" spans="1:10" ht="13.2">
      <c r="A10782" s="7">
        <v>10781</v>
      </c>
      <c r="B10782" s="7">
        <v>1</v>
      </c>
      <c r="C10782" s="7" t="s">
        <v>10</v>
      </c>
      <c r="D10782" s="7">
        <v>16943</v>
      </c>
      <c r="E10782" s="7" t="s">
        <v>11</v>
      </c>
      <c r="F10782" s="8" t="str">
        <f ca="1">IFERROR(__xludf.DUMMYFUNCTION("IF
(
C10783=""фізична особа""
,
VLOOKUP(D10783,IMPORTRANGE(""https://docs.google.com/spreadsheets/d/14Bd19lYaqBhU8_DElYkX7l4wRkHqqCUFNJY4AfY3kHU/edit?usp=sharing  #gid=0"",""фіз особи new!relations_name""),6,FALSE)
,
(IF
(
C10783=""юридична особа""
,
VLOO"&amp;"KUP(D10783,IMPORTRANGE(""https://docs.google.com/spreadsheets/d/14Bd19lYaqBhU8_DElYkX7l4wRkHqqCUFNJY4AfY3kHU/edit?usp=sharing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82" s="7" t="s">
        <v>10</v>
      </c>
      <c r="H10782" s="7">
        <v>16945</v>
      </c>
      <c r="I10782" s="8" t="str">
        <f ca="1">IFERROR(__xludf.DUMMYFUNCTION("IF
(
G10783=""фізична особа""
,
VLOOKUP(H10783,IMPORTRANGE(""https://docs.google.com/spreadsheets/d/14Bd19lYaqBhU8_DElYkX7l4wRkHqqCUFNJY4AfY3kHU/edit?usp=sharing  #gid=0"",""фіз особи new!relations_name""),6,FALSE)
,
(IF
(
G10783=""юридична особа""
,
VLOO"&amp;"KUP(H10783,IMPORTRANGE(""https://docs.google.com/spreadsheets/d/14Bd19lYaqBhU8_DElYkX7l4wRkHqqCUFNJY4AfY3kHU/edit?usp=sharing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782" s="7" t="s">
        <v>11</v>
      </c>
    </row>
    <row r="10783" spans="1:10" ht="13.2">
      <c r="A10783" s="7">
        <v>10782</v>
      </c>
      <c r="B10783" s="7">
        <v>1</v>
      </c>
      <c r="C10783" s="7" t="s">
        <v>10</v>
      </c>
      <c r="D10783" s="7">
        <v>16943</v>
      </c>
      <c r="E10783" s="7" t="s">
        <v>11</v>
      </c>
      <c r="F10783" s="8" t="str">
        <f ca="1">IFERROR(__xludf.DUMMYFUNCTION("IF
(
C10784=""фізична особа""
,
VLOOKUP(D10784,IMPORTRANGE(""https://docs.google.com/spreadsheets/d/14Bd19lYaqBhU8_DElYkX7l4wRkHqqCUFNJY4AfY3kHU/edit?usp=sharing  #gid=0"",""фіз особи new!relations_name""),6,FALSE)
,
(IF
(
C10784=""юридична особа""
,
VLOO"&amp;"KUP(D10784,IMPORTRANGE(""https://docs.google.com/spreadsheets/d/14Bd19lYaqBhU8_DElYkX7l4wRkHqqCUFNJY4AfY3kHU/edit?usp=sharing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83" s="7" t="s">
        <v>10</v>
      </c>
      <c r="H10783" s="7">
        <v>16946</v>
      </c>
      <c r="I10783" s="8" t="str">
        <f ca="1">IFERROR(__xludf.DUMMYFUNCTION("IF
(
G10784=""фізична особа""
,
VLOOKUP(H10784,IMPORTRANGE(""https://docs.google.com/spreadsheets/d/14Bd19lYaqBhU8_DElYkX7l4wRkHqqCUFNJY4AfY3kHU/edit?usp=sharing  #gid=0"",""фіз особи new!relations_name""),6,FALSE)
,
(IF
(
G10784=""юридична особа""
,
VLOO"&amp;"KUP(H10784,IMPORTRANGE(""https://docs.google.com/spreadsheets/d/14Bd19lYaqBhU8_DElYkX7l4wRkHqqCUFNJY4AfY3kHU/edit?usp=sharing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783" s="7" t="s">
        <v>11</v>
      </c>
    </row>
    <row r="10784" spans="1:10" ht="13.2">
      <c r="A10784" s="7">
        <v>10783</v>
      </c>
      <c r="B10784" s="7">
        <v>1</v>
      </c>
      <c r="C10784" s="7" t="s">
        <v>10</v>
      </c>
      <c r="D10784" s="7">
        <v>16943</v>
      </c>
      <c r="E10784" s="7" t="s">
        <v>11</v>
      </c>
      <c r="F10784" s="8" t="str">
        <f ca="1">IFERROR(__xludf.DUMMYFUNCTION("IF
(
C10785=""фізична особа""
,
VLOOKUP(D10785,IMPORTRANGE(""https://docs.google.com/spreadsheets/d/14Bd19lYaqBhU8_DElYkX7l4wRkHqqCUFNJY4AfY3kHU/edit?usp=sharing  #gid=0"",""фіз особи new!relations_name""),6,FALSE)
,
(IF
(
C10785=""юридична особа""
,
VLOO"&amp;"KUP(D10785,IMPORTRANGE(""https://docs.google.com/spreadsheets/d/14Bd19lYaqBhU8_DElYkX7l4wRkHqqCUFNJY4AfY3kHU/edit?usp=sharing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G10784" s="7" t="s">
        <v>10</v>
      </c>
      <c r="H10784" s="7">
        <v>16947</v>
      </c>
      <c r="I10784" s="8" t="str">
        <f ca="1">IFERROR(__xludf.DUMMYFUNCTION("IF
(
G10785=""фізична особа""
,
VLOOKUP(H10785,IMPORTRANGE(""https://docs.google.com/spreadsheets/d/14Bd19lYaqBhU8_DElYkX7l4wRkHqqCUFNJY4AfY3kHU/edit?usp=sharing  #gid=0"",""фіз особи new!relations_name""),6,FALSE)
,
(IF
(
G10785=""юридична особа""
,
VLOO"&amp;"KUP(H10785,IMPORTRANGE(""https://docs.google.com/spreadsheets/d/14Bd19lYaqBhU8_DElYkX7l4wRkHqqCUFNJY4AfY3kHU/edit?usp=sharing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784" s="7" t="s">
        <v>11</v>
      </c>
    </row>
    <row r="10785" spans="1:10" ht="13.2">
      <c r="A10785" s="7">
        <v>10784</v>
      </c>
      <c r="B10785" s="7">
        <v>1</v>
      </c>
      <c r="C10785" s="7" t="s">
        <v>10</v>
      </c>
      <c r="D10785" s="7">
        <v>16944</v>
      </c>
      <c r="E10785" s="7" t="s">
        <v>11</v>
      </c>
      <c r="F10785" s="8" t="str">
        <f ca="1">IFERROR(__xludf.DUMMYFUNCTION("IF
(
C10786=""фізична особа""
,
VLOOKUP(D10786,IMPORTRANGE(""https://docs.google.com/spreadsheets/d/14Bd19lYaqBhU8_DElYkX7l4wRkHqqCUFNJY4AfY3kHU/edit?usp=sharing  #gid=0"",""фіз особи new!relations_name""),6,FALSE)
,
(IF
(
C10786=""юридична особа""
,
VLOO"&amp;"KUP(D10786,IMPORTRANGE(""https://docs.google.com/spreadsheets/d/14Bd19lYaqBhU8_DElYkX7l4wRkHqqCUFNJY4AfY3kHU/edit?usp=sharing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85" s="7" t="s">
        <v>10</v>
      </c>
      <c r="H10785" s="7">
        <v>16941</v>
      </c>
      <c r="I10785" s="8" t="str">
        <f ca="1">IFERROR(__xludf.DUMMYFUNCTION("IF
(
G10786=""фізична особа""
,
VLOOKUP(H10786,IMPORTRANGE(""https://docs.google.com/spreadsheets/d/14Bd19lYaqBhU8_DElYkX7l4wRkHqqCUFNJY4AfY3kHU/edit?usp=sharing  #gid=0"",""фіз особи new!relations_name""),6,FALSE)
,
(IF
(
G10786=""юридична особа""
,
VLOO"&amp;"KUP(H10786,IMPORTRANGE(""https://docs.google.com/spreadsheets/d/14Bd19lYaqBhU8_DElYkX7l4wRkHqqCUFNJY4AfY3kHU/edit?usp=sharing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785" s="7" t="s">
        <v>11</v>
      </c>
    </row>
    <row r="10786" spans="1:10" ht="13.2">
      <c r="A10786" s="7">
        <v>10785</v>
      </c>
      <c r="B10786" s="7">
        <v>1</v>
      </c>
      <c r="C10786" s="7" t="s">
        <v>10</v>
      </c>
      <c r="D10786" s="7">
        <v>16944</v>
      </c>
      <c r="E10786" s="7" t="s">
        <v>11</v>
      </c>
      <c r="F10786" s="8" t="str">
        <f ca="1">IFERROR(__xludf.DUMMYFUNCTION("IF
(
C10787=""фізична особа""
,
VLOOKUP(D10787,IMPORTRANGE(""https://docs.google.com/spreadsheets/d/14Bd19lYaqBhU8_DElYkX7l4wRkHqqCUFNJY4AfY3kHU/edit?usp=sharing  #gid=0"",""фіз особи new!relations_name""),6,FALSE)
,
(IF
(
C10787=""юридична особа""
,
VLOO"&amp;"KUP(D10787,IMPORTRANGE(""https://docs.google.com/spreadsheets/d/14Bd19lYaqBhU8_DElYkX7l4wRkHqqCUFNJY4AfY3kHU/edit?usp=sharing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86" s="7" t="s">
        <v>10</v>
      </c>
      <c r="H10786" s="7">
        <v>16942</v>
      </c>
      <c r="I10786" s="8" t="str">
        <f ca="1">IFERROR(__xludf.DUMMYFUNCTION("IF
(
G10787=""фізична особа""
,
VLOOKUP(H10787,IMPORTRANGE(""https://docs.google.com/spreadsheets/d/14Bd19lYaqBhU8_DElYkX7l4wRkHqqCUFNJY4AfY3kHU/edit?usp=sharing  #gid=0"",""фіз особи new!relations_name""),6,FALSE)
,
(IF
(
G10787=""юридична особа""
,
VLOO"&amp;"KUP(H10787,IMPORTRANGE(""https://docs.google.com/spreadsheets/d/14Bd19lYaqBhU8_DElYkX7l4wRkHqqCUFNJY4AfY3kHU/edit?usp=sharing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786" s="7" t="s">
        <v>11</v>
      </c>
    </row>
    <row r="10787" spans="1:10" ht="13.2">
      <c r="A10787" s="7">
        <v>10786</v>
      </c>
      <c r="B10787" s="7">
        <v>1</v>
      </c>
      <c r="C10787" s="7" t="s">
        <v>10</v>
      </c>
      <c r="D10787" s="7">
        <v>16944</v>
      </c>
      <c r="E10787" s="7" t="s">
        <v>11</v>
      </c>
      <c r="F10787" s="8" t="str">
        <f ca="1">IFERROR(__xludf.DUMMYFUNCTION("IF
(
C10788=""фізична особа""
,
VLOOKUP(D10788,IMPORTRANGE(""https://docs.google.com/spreadsheets/d/14Bd19lYaqBhU8_DElYkX7l4wRkHqqCUFNJY4AfY3kHU/edit?usp=sharing  #gid=0"",""фіз особи new!relations_name""),6,FALSE)
,
(IF
(
C10788=""юридична особа""
,
VLOO"&amp;"KUP(D10788,IMPORTRANGE(""https://docs.google.com/spreadsheets/d/14Bd19lYaqBhU8_DElYkX7l4wRkHqqCUFNJY4AfY3kHU/edit?usp=sharing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87" s="7" t="s">
        <v>10</v>
      </c>
      <c r="H10787" s="7">
        <v>16943</v>
      </c>
      <c r="I10787" s="8" t="str">
        <f ca="1">IFERROR(__xludf.DUMMYFUNCTION("IF
(
G10788=""фізична особа""
,
VLOOKUP(H10788,IMPORTRANGE(""https://docs.google.com/spreadsheets/d/14Bd19lYaqBhU8_DElYkX7l4wRkHqqCUFNJY4AfY3kHU/edit?usp=sharing  #gid=0"",""фіз особи new!relations_name""),6,FALSE)
,
(IF
(
G10788=""юридична особа""
,
VLOO"&amp;"KUP(H10788,IMPORTRANGE(""https://docs.google.com/spreadsheets/d/14Bd19lYaqBhU8_DElYkX7l4wRkHqqCUFNJY4AfY3kHU/edit?usp=sharing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787" s="7" t="s">
        <v>11</v>
      </c>
    </row>
    <row r="10788" spans="1:10" ht="13.2">
      <c r="A10788" s="7">
        <v>10787</v>
      </c>
      <c r="B10788" s="7">
        <v>1</v>
      </c>
      <c r="C10788" s="7" t="s">
        <v>10</v>
      </c>
      <c r="D10788" s="7">
        <v>16944</v>
      </c>
      <c r="E10788" s="7" t="s">
        <v>11</v>
      </c>
      <c r="F10788" s="8" t="str">
        <f ca="1">IFERROR(__xludf.DUMMYFUNCTION("IF
(
C10789=""фізична особа""
,
VLOOKUP(D10789,IMPORTRANGE(""https://docs.google.com/spreadsheets/d/14Bd19lYaqBhU8_DElYkX7l4wRkHqqCUFNJY4AfY3kHU/edit?usp=sharing  #gid=0"",""фіз особи new!relations_name""),6,FALSE)
,
(IF
(
C10789=""юридична особа""
,
VLOO"&amp;"KUP(D10789,IMPORTRANGE(""https://docs.google.com/spreadsheets/d/14Bd19lYaqBhU8_DElYkX7l4wRkHqqCUFNJY4AfY3kHU/edit?usp=sharing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88" s="7" t="s">
        <v>10</v>
      </c>
      <c r="H10788" s="7">
        <v>16945</v>
      </c>
      <c r="I10788" s="8" t="str">
        <f ca="1">IFERROR(__xludf.DUMMYFUNCTION("IF
(
G10789=""фізична особа""
,
VLOOKUP(H10789,IMPORTRANGE(""https://docs.google.com/spreadsheets/d/14Bd19lYaqBhU8_DElYkX7l4wRkHqqCUFNJY4AfY3kHU/edit?usp=sharing  #gid=0"",""фіз особи new!relations_name""),6,FALSE)
,
(IF
(
G10789=""юридична особа""
,
VLOO"&amp;"KUP(H10789,IMPORTRANGE(""https://docs.google.com/spreadsheets/d/14Bd19lYaqBhU8_DElYkX7l4wRkHqqCUFNJY4AfY3kHU/edit?usp=sharing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788" s="7" t="s">
        <v>11</v>
      </c>
    </row>
    <row r="10789" spans="1:10" ht="13.2">
      <c r="A10789" s="7">
        <v>10788</v>
      </c>
      <c r="B10789" s="7">
        <v>1</v>
      </c>
      <c r="C10789" s="7" t="s">
        <v>10</v>
      </c>
      <c r="D10789" s="7">
        <v>16944</v>
      </c>
      <c r="E10789" s="7" t="s">
        <v>11</v>
      </c>
      <c r="F10789" s="8" t="str">
        <f ca="1">IFERROR(__xludf.DUMMYFUNCTION("IF
(
C10790=""фізична особа""
,
VLOOKUP(D10790,IMPORTRANGE(""https://docs.google.com/spreadsheets/d/14Bd19lYaqBhU8_DElYkX7l4wRkHqqCUFNJY4AfY3kHU/edit?usp=sharing  #gid=0"",""фіз особи new!relations_name""),6,FALSE)
,
(IF
(
C10790=""юридична особа""
,
VLOO"&amp;"KUP(D10790,IMPORTRANGE(""https://docs.google.com/spreadsheets/d/14Bd19lYaqBhU8_DElYkX7l4wRkHqqCUFNJY4AfY3kHU/edit?usp=sharing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89" s="7" t="s">
        <v>10</v>
      </c>
      <c r="H10789" s="7">
        <v>16946</v>
      </c>
      <c r="I10789" s="8" t="str">
        <f ca="1">IFERROR(__xludf.DUMMYFUNCTION("IF
(
G10790=""фізична особа""
,
VLOOKUP(H10790,IMPORTRANGE(""https://docs.google.com/spreadsheets/d/14Bd19lYaqBhU8_DElYkX7l4wRkHqqCUFNJY4AfY3kHU/edit?usp=sharing  #gid=0"",""фіз особи new!relations_name""),6,FALSE)
,
(IF
(
G10790=""юридична особа""
,
VLOO"&amp;"KUP(H10790,IMPORTRANGE(""https://docs.google.com/spreadsheets/d/14Bd19lYaqBhU8_DElYkX7l4wRkHqqCUFNJY4AfY3kHU/edit?usp=sharing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789" s="7" t="s">
        <v>11</v>
      </c>
    </row>
    <row r="10790" spans="1:10" ht="13.2">
      <c r="A10790" s="7">
        <v>10789</v>
      </c>
      <c r="B10790" s="7">
        <v>1</v>
      </c>
      <c r="C10790" s="7" t="s">
        <v>10</v>
      </c>
      <c r="D10790" s="7">
        <v>16944</v>
      </c>
      <c r="E10790" s="7" t="s">
        <v>11</v>
      </c>
      <c r="F10790" s="8" t="str">
        <f ca="1">IFERROR(__xludf.DUMMYFUNCTION("IF
(
C10791=""фізична особа""
,
VLOOKUP(D10791,IMPORTRANGE(""https://docs.google.com/spreadsheets/d/14Bd19lYaqBhU8_DElYkX7l4wRkHqqCUFNJY4AfY3kHU/edit?usp=sharing  #gid=0"",""фіз особи new!relations_name""),6,FALSE)
,
(IF
(
C10791=""юридична особа""
,
VLOO"&amp;"KUP(D10791,IMPORTRANGE(""https://docs.google.com/spreadsheets/d/14Bd19lYaqBhU8_DElYkX7l4wRkHqqCUFNJY4AfY3kHU/edit?usp=sharing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G10790" s="7" t="s">
        <v>10</v>
      </c>
      <c r="H10790" s="7">
        <v>16947</v>
      </c>
      <c r="I10790" s="8" t="str">
        <f ca="1">IFERROR(__xludf.DUMMYFUNCTION("IF
(
G10791=""фізична особа""
,
VLOOKUP(H10791,IMPORTRANGE(""https://docs.google.com/spreadsheets/d/14Bd19lYaqBhU8_DElYkX7l4wRkHqqCUFNJY4AfY3kHU/edit?usp=sharing  #gid=0"",""фіз особи new!relations_name""),6,FALSE)
,
(IF
(
G10791=""юридична особа""
,
VLOO"&amp;"KUP(H10791,IMPORTRANGE(""https://docs.google.com/spreadsheets/d/14Bd19lYaqBhU8_DElYkX7l4wRkHqqCUFNJY4AfY3kHU/edit?usp=sharing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790" s="7" t="s">
        <v>11</v>
      </c>
    </row>
    <row r="10791" spans="1:10" ht="13.2">
      <c r="A10791" s="7">
        <v>10790</v>
      </c>
      <c r="B10791" s="7">
        <v>1</v>
      </c>
      <c r="C10791" s="7" t="s">
        <v>10</v>
      </c>
      <c r="D10791" s="7">
        <v>16945</v>
      </c>
      <c r="E10791" s="7" t="s">
        <v>11</v>
      </c>
      <c r="F10791" s="8" t="str">
        <f ca="1">IFERROR(__xludf.DUMMYFUNCTION("IF
(
C10792=""фізична особа""
,
VLOOKUP(D10792,IMPORTRANGE(""https://docs.google.com/spreadsheets/d/14Bd19lYaqBhU8_DElYkX7l4wRkHqqCUFNJY4AfY3kHU/edit?usp=sharing  #gid=0"",""фіз особи new!relations_name""),6,FALSE)
,
(IF
(
C10792=""юридична особа""
,
VLOO"&amp;"KUP(D10792,IMPORTRANGE(""https://docs.google.com/spreadsheets/d/14Bd19lYaqBhU8_DElYkX7l4wRkHqqCUFNJY4AfY3kHU/edit?usp=sharing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1" s="7" t="s">
        <v>10</v>
      </c>
      <c r="H10791" s="7">
        <v>16941</v>
      </c>
      <c r="I10791" s="8" t="str">
        <f ca="1">IFERROR(__xludf.DUMMYFUNCTION("IF
(
G10792=""фізична особа""
,
VLOOKUP(H10792,IMPORTRANGE(""https://docs.google.com/spreadsheets/d/14Bd19lYaqBhU8_DElYkX7l4wRkHqqCUFNJY4AfY3kHU/edit?usp=sharing  #gid=0"",""фіз особи new!relations_name""),6,FALSE)
,
(IF
(
G10792=""юридична особа""
,
VLOO"&amp;"KUP(H10792,IMPORTRANGE(""https://docs.google.com/spreadsheets/d/14Bd19lYaqBhU8_DElYkX7l4wRkHqqCUFNJY4AfY3kHU/edit?usp=sharing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791" s="7" t="s">
        <v>11</v>
      </c>
    </row>
    <row r="10792" spans="1:10" ht="13.2">
      <c r="A10792" s="7">
        <v>10791</v>
      </c>
      <c r="B10792" s="7">
        <v>1</v>
      </c>
      <c r="C10792" s="7" t="s">
        <v>10</v>
      </c>
      <c r="D10792" s="7">
        <v>16945</v>
      </c>
      <c r="E10792" s="7" t="s">
        <v>11</v>
      </c>
      <c r="F10792" s="8" t="str">
        <f ca="1">IFERROR(__xludf.DUMMYFUNCTION("IF
(
C10793=""фізична особа""
,
VLOOKUP(D10793,IMPORTRANGE(""https://docs.google.com/spreadsheets/d/14Bd19lYaqBhU8_DElYkX7l4wRkHqqCUFNJY4AfY3kHU/edit?usp=sharing  #gid=0"",""фіз особи new!relations_name""),6,FALSE)
,
(IF
(
C10793=""юридична особа""
,
VLOO"&amp;"KUP(D10793,IMPORTRANGE(""https://docs.google.com/spreadsheets/d/14Bd19lYaqBhU8_DElYkX7l4wRkHqqCUFNJY4AfY3kHU/edit?usp=sharing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2" s="7" t="s">
        <v>10</v>
      </c>
      <c r="H10792" s="7">
        <v>16942</v>
      </c>
      <c r="I10792" s="8" t="str">
        <f ca="1">IFERROR(__xludf.DUMMYFUNCTION("IF
(
G10793=""фізична особа""
,
VLOOKUP(H10793,IMPORTRANGE(""https://docs.google.com/spreadsheets/d/14Bd19lYaqBhU8_DElYkX7l4wRkHqqCUFNJY4AfY3kHU/edit?usp=sharing  #gid=0"",""фіз особи new!relations_name""),6,FALSE)
,
(IF
(
G10793=""юридична особа""
,
VLOO"&amp;"KUP(H10793,IMPORTRANGE(""https://docs.google.com/spreadsheets/d/14Bd19lYaqBhU8_DElYkX7l4wRkHqqCUFNJY4AfY3kHU/edit?usp=sharing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792" s="7" t="s">
        <v>11</v>
      </c>
    </row>
    <row r="10793" spans="1:10" ht="13.2">
      <c r="A10793" s="7">
        <v>10792</v>
      </c>
      <c r="B10793" s="7">
        <v>1</v>
      </c>
      <c r="C10793" s="7" t="s">
        <v>10</v>
      </c>
      <c r="D10793" s="7">
        <v>16945</v>
      </c>
      <c r="E10793" s="7" t="s">
        <v>11</v>
      </c>
      <c r="F10793" s="8" t="str">
        <f ca="1">IFERROR(__xludf.DUMMYFUNCTION("IF
(
C10794=""фізична особа""
,
VLOOKUP(D10794,IMPORTRANGE(""https://docs.google.com/spreadsheets/d/14Bd19lYaqBhU8_DElYkX7l4wRkHqqCUFNJY4AfY3kHU/edit?usp=sharing  #gid=0"",""фіз особи new!relations_name""),6,FALSE)
,
(IF
(
C10794=""юридична особа""
,
VLOO"&amp;"KUP(D10794,IMPORTRANGE(""https://docs.google.com/spreadsheets/d/14Bd19lYaqBhU8_DElYkX7l4wRkHqqCUFNJY4AfY3kHU/edit?usp=sharing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3" s="7" t="s">
        <v>10</v>
      </c>
      <c r="H10793" s="7">
        <v>16943</v>
      </c>
      <c r="I10793" s="8" t="str">
        <f ca="1">IFERROR(__xludf.DUMMYFUNCTION("IF
(
G10794=""фізична особа""
,
VLOOKUP(H10794,IMPORTRANGE(""https://docs.google.com/spreadsheets/d/14Bd19lYaqBhU8_DElYkX7l4wRkHqqCUFNJY4AfY3kHU/edit?usp=sharing  #gid=0"",""фіз особи new!relations_name""),6,FALSE)
,
(IF
(
G10794=""юридична особа""
,
VLOO"&amp;"KUP(H10794,IMPORTRANGE(""https://docs.google.com/spreadsheets/d/14Bd19lYaqBhU8_DElYkX7l4wRkHqqCUFNJY4AfY3kHU/edit?usp=sharing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793" s="7" t="s">
        <v>11</v>
      </c>
    </row>
    <row r="10794" spans="1:10" ht="13.2">
      <c r="A10794" s="7">
        <v>10793</v>
      </c>
      <c r="B10794" s="7">
        <v>1</v>
      </c>
      <c r="C10794" s="7" t="s">
        <v>10</v>
      </c>
      <c r="D10794" s="7">
        <v>16945</v>
      </c>
      <c r="E10794" s="7" t="s">
        <v>11</v>
      </c>
      <c r="F10794" s="8" t="str">
        <f ca="1">IFERROR(__xludf.DUMMYFUNCTION("IF
(
C10795=""фізична особа""
,
VLOOKUP(D10795,IMPORTRANGE(""https://docs.google.com/spreadsheets/d/14Bd19lYaqBhU8_DElYkX7l4wRkHqqCUFNJY4AfY3kHU/edit?usp=sharing  #gid=0"",""фіз особи new!relations_name""),6,FALSE)
,
(IF
(
C10795=""юридична особа""
,
VLOO"&amp;"KUP(D10795,IMPORTRANGE(""https://docs.google.com/spreadsheets/d/14Bd19lYaqBhU8_DElYkX7l4wRkHqqCUFNJY4AfY3kHU/edit?usp=sharing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4" s="7" t="s">
        <v>10</v>
      </c>
      <c r="H10794" s="7">
        <v>16944</v>
      </c>
      <c r="I10794" s="8" t="str">
        <f ca="1">IFERROR(__xludf.DUMMYFUNCTION("IF
(
G10795=""фізична особа""
,
VLOOKUP(H10795,IMPORTRANGE(""https://docs.google.com/spreadsheets/d/14Bd19lYaqBhU8_DElYkX7l4wRkHqqCUFNJY4AfY3kHU/edit?usp=sharing  #gid=0"",""фіз особи new!relations_name""),6,FALSE)
,
(IF
(
G10795=""юридична особа""
,
VLOO"&amp;"KUP(H10795,IMPORTRANGE(""https://docs.google.com/spreadsheets/d/14Bd19lYaqBhU8_DElYkX7l4wRkHqqCUFNJY4AfY3kHU/edit?usp=sharing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794" s="7" t="s">
        <v>11</v>
      </c>
    </row>
    <row r="10795" spans="1:10" ht="13.2">
      <c r="A10795" s="7">
        <v>10794</v>
      </c>
      <c r="B10795" s="7">
        <v>1</v>
      </c>
      <c r="C10795" s="7" t="s">
        <v>10</v>
      </c>
      <c r="D10795" s="7">
        <v>16945</v>
      </c>
      <c r="E10795" s="7" t="s">
        <v>11</v>
      </c>
      <c r="F10795" s="8" t="str">
        <f ca="1">IFERROR(__xludf.DUMMYFUNCTION("IF
(
C10796=""фізична особа""
,
VLOOKUP(D10796,IMPORTRANGE(""https://docs.google.com/spreadsheets/d/14Bd19lYaqBhU8_DElYkX7l4wRkHqqCUFNJY4AfY3kHU/edit?usp=sharing  #gid=0"",""фіз особи new!relations_name""),6,FALSE)
,
(IF
(
C10796=""юридична особа""
,
VLOO"&amp;"KUP(D10796,IMPORTRANGE(""https://docs.google.com/spreadsheets/d/14Bd19lYaqBhU8_DElYkX7l4wRkHqqCUFNJY4AfY3kHU/edit?usp=sharing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5" s="7" t="s">
        <v>10</v>
      </c>
      <c r="H10795" s="7">
        <v>16946</v>
      </c>
      <c r="I10795" s="8" t="str">
        <f ca="1">IFERROR(__xludf.DUMMYFUNCTION("IF
(
G10796=""фізична особа""
,
VLOOKUP(H10796,IMPORTRANGE(""https://docs.google.com/spreadsheets/d/14Bd19lYaqBhU8_DElYkX7l4wRkHqqCUFNJY4AfY3kHU/edit?usp=sharing  #gid=0"",""фіз особи new!relations_name""),6,FALSE)
,
(IF
(
G10796=""юридична особа""
,
VLOO"&amp;"KUP(H10796,IMPORTRANGE(""https://docs.google.com/spreadsheets/d/14Bd19lYaqBhU8_DElYkX7l4wRkHqqCUFNJY4AfY3kHU/edit?usp=sharing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795" s="7" t="s">
        <v>11</v>
      </c>
    </row>
    <row r="10796" spans="1:10" ht="13.2">
      <c r="A10796" s="7">
        <v>10795</v>
      </c>
      <c r="B10796" s="7">
        <v>1</v>
      </c>
      <c r="C10796" s="7" t="s">
        <v>10</v>
      </c>
      <c r="D10796" s="7">
        <v>16945</v>
      </c>
      <c r="E10796" s="7" t="s">
        <v>11</v>
      </c>
      <c r="F10796" s="8" t="str">
        <f ca="1">IFERROR(__xludf.DUMMYFUNCTION("IF
(
C10797=""фізична особа""
,
VLOOKUP(D10797,IMPORTRANGE(""https://docs.google.com/spreadsheets/d/14Bd19lYaqBhU8_DElYkX7l4wRkHqqCUFNJY4AfY3kHU/edit?usp=sharing  #gid=0"",""фіз особи new!relations_name""),6,FALSE)
,
(IF
(
C10797=""юридична особа""
,
VLOO"&amp;"KUP(D10797,IMPORTRANGE(""https://docs.google.com/spreadsheets/d/14Bd19lYaqBhU8_DElYkX7l4wRkHqqCUFNJY4AfY3kHU/edit?usp=sharing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G10796" s="7" t="s">
        <v>10</v>
      </c>
      <c r="H10796" s="7">
        <v>16947</v>
      </c>
      <c r="I10796" s="8" t="str">
        <f ca="1">IFERROR(__xludf.DUMMYFUNCTION("IF
(
G10797=""фізична особа""
,
VLOOKUP(H10797,IMPORTRANGE(""https://docs.google.com/spreadsheets/d/14Bd19lYaqBhU8_DElYkX7l4wRkHqqCUFNJY4AfY3kHU/edit?usp=sharing  #gid=0"",""фіз особи new!relations_name""),6,FALSE)
,
(IF
(
G10797=""юридична особа""
,
VLOO"&amp;"KUP(H10797,IMPORTRANGE(""https://docs.google.com/spreadsheets/d/14Bd19lYaqBhU8_DElYkX7l4wRkHqqCUFNJY4AfY3kHU/edit?usp=sharing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796" s="7" t="s">
        <v>11</v>
      </c>
    </row>
    <row r="10797" spans="1:10" ht="13.2">
      <c r="A10797" s="7">
        <v>10796</v>
      </c>
      <c r="B10797" s="7">
        <v>1</v>
      </c>
      <c r="C10797" s="7" t="s">
        <v>10</v>
      </c>
      <c r="D10797" s="7">
        <v>16946</v>
      </c>
      <c r="E10797" s="7" t="s">
        <v>11</v>
      </c>
      <c r="F10797" s="8" t="str">
        <f ca="1">IFERROR(__xludf.DUMMYFUNCTION("IF
(
C10798=""фізична особа""
,
VLOOKUP(D10798,IMPORTRANGE(""https://docs.google.com/spreadsheets/d/14Bd19lYaqBhU8_DElYkX7l4wRkHqqCUFNJY4AfY3kHU/edit?usp=sharing  #gid=0"",""фіз особи new!relations_name""),6,FALSE)
,
(IF
(
C10798=""юридична особа""
,
VLOO"&amp;"KUP(D10798,IMPORTRANGE(""https://docs.google.com/spreadsheets/d/14Bd19lYaqBhU8_DElYkX7l4wRkHqqCUFNJY4AfY3kHU/edit?usp=sharing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797" s="7" t="s">
        <v>10</v>
      </c>
      <c r="H10797" s="7">
        <v>16941</v>
      </c>
      <c r="I10797" s="8" t="str">
        <f ca="1">IFERROR(__xludf.DUMMYFUNCTION("IF
(
G10798=""фізична особа""
,
VLOOKUP(H10798,IMPORTRANGE(""https://docs.google.com/spreadsheets/d/14Bd19lYaqBhU8_DElYkX7l4wRkHqqCUFNJY4AfY3kHU/edit?usp=sharing  #gid=0"",""фіз особи new!relations_name""),6,FALSE)
,
(IF
(
G10798=""юридична особа""
,
VLOO"&amp;"KUP(H10798,IMPORTRANGE(""https://docs.google.com/spreadsheets/d/14Bd19lYaqBhU8_DElYkX7l4wRkHqqCUFNJY4AfY3kHU/edit?usp=sharing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797" s="7" t="s">
        <v>11</v>
      </c>
    </row>
    <row r="10798" spans="1:10" ht="13.2">
      <c r="A10798" s="7">
        <v>10797</v>
      </c>
      <c r="B10798" s="7">
        <v>1</v>
      </c>
      <c r="C10798" s="7" t="s">
        <v>10</v>
      </c>
      <c r="D10798" s="7">
        <v>16946</v>
      </c>
      <c r="E10798" s="7" t="s">
        <v>11</v>
      </c>
      <c r="F10798" s="8" t="str">
        <f ca="1">IFERROR(__xludf.DUMMYFUNCTION("IF
(
C10799=""фізична особа""
,
VLOOKUP(D10799,IMPORTRANGE(""https://docs.google.com/spreadsheets/d/14Bd19lYaqBhU8_DElYkX7l4wRkHqqCUFNJY4AfY3kHU/edit?usp=sharing  #gid=0"",""фіз особи new!relations_name""),6,FALSE)
,
(IF
(
C10799=""юридична особа""
,
VLOO"&amp;"KUP(D10799,IMPORTRANGE(""https://docs.google.com/spreadsheets/d/14Bd19lYaqBhU8_DElYkX7l4wRkHqqCUFNJY4AfY3kHU/edit?usp=sharing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798" s="7" t="s">
        <v>10</v>
      </c>
      <c r="H10798" s="7">
        <v>16942</v>
      </c>
      <c r="I10798" s="8" t="str">
        <f ca="1">IFERROR(__xludf.DUMMYFUNCTION("IF
(
G10799=""фізична особа""
,
VLOOKUP(H10799,IMPORTRANGE(""https://docs.google.com/spreadsheets/d/14Bd19lYaqBhU8_DElYkX7l4wRkHqqCUFNJY4AfY3kHU/edit?usp=sharing  #gid=0"",""фіз особи new!relations_name""),6,FALSE)
,
(IF
(
G10799=""юридична особа""
,
VLOO"&amp;"KUP(H10799,IMPORTRANGE(""https://docs.google.com/spreadsheets/d/14Bd19lYaqBhU8_DElYkX7l4wRkHqqCUFNJY4AfY3kHU/edit?usp=sharing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798" s="7" t="s">
        <v>11</v>
      </c>
    </row>
    <row r="10799" spans="1:10" ht="13.2">
      <c r="A10799" s="7">
        <v>10798</v>
      </c>
      <c r="B10799" s="7">
        <v>1</v>
      </c>
      <c r="C10799" s="7" t="s">
        <v>10</v>
      </c>
      <c r="D10799" s="7">
        <v>16946</v>
      </c>
      <c r="E10799" s="7" t="s">
        <v>11</v>
      </c>
      <c r="F10799" s="8" t="str">
        <f ca="1">IFERROR(__xludf.DUMMYFUNCTION("IF
(
C10800=""фізична особа""
,
VLOOKUP(D10800,IMPORTRANGE(""https://docs.google.com/spreadsheets/d/14Bd19lYaqBhU8_DElYkX7l4wRkHqqCUFNJY4AfY3kHU/edit?usp=sharing  #gid=0"",""фіз особи new!relations_name""),6,FALSE)
,
(IF
(
C10800=""юридична особа""
,
VLOO"&amp;"KUP(D10800,IMPORTRANGE(""https://docs.google.com/spreadsheets/d/14Bd19lYaqBhU8_DElYkX7l4wRkHqqCUFNJY4AfY3kHU/edit?usp=sharing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799" s="7" t="s">
        <v>10</v>
      </c>
      <c r="H10799" s="7">
        <v>16943</v>
      </c>
      <c r="I10799" s="8" t="str">
        <f ca="1">IFERROR(__xludf.DUMMYFUNCTION("IF
(
G10800=""фізична особа""
,
VLOOKUP(H10800,IMPORTRANGE(""https://docs.google.com/spreadsheets/d/14Bd19lYaqBhU8_DElYkX7l4wRkHqqCUFNJY4AfY3kHU/edit?usp=sharing  #gid=0"",""фіз особи new!relations_name""),6,FALSE)
,
(IF
(
G10800=""юридична особа""
,
VLOO"&amp;"KUP(H10800,IMPORTRANGE(""https://docs.google.com/spreadsheets/d/14Bd19lYaqBhU8_DElYkX7l4wRkHqqCUFNJY4AfY3kHU/edit?usp=sharing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799" s="7" t="s">
        <v>11</v>
      </c>
    </row>
    <row r="10800" spans="1:10" ht="13.2">
      <c r="A10800" s="7">
        <v>10799</v>
      </c>
      <c r="B10800" s="7">
        <v>1</v>
      </c>
      <c r="C10800" s="7" t="s">
        <v>10</v>
      </c>
      <c r="D10800" s="7">
        <v>16946</v>
      </c>
      <c r="E10800" s="7" t="s">
        <v>11</v>
      </c>
      <c r="F10800" s="8" t="str">
        <f ca="1">IFERROR(__xludf.DUMMYFUNCTION("IF
(
C10801=""фізична особа""
,
VLOOKUP(D10801,IMPORTRANGE(""https://docs.google.com/spreadsheets/d/14Bd19lYaqBhU8_DElYkX7l4wRkHqqCUFNJY4AfY3kHU/edit?usp=sharing  #gid=0"",""фіз особи new!relations_name""),6,FALSE)
,
(IF
(
C10801=""юридична особа""
,
VLOO"&amp;"KUP(D10801,IMPORTRANGE(""https://docs.google.com/spreadsheets/d/14Bd19lYaqBhU8_DElYkX7l4wRkHqqCUFNJY4AfY3kHU/edit?usp=sharing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800" s="7" t="s">
        <v>10</v>
      </c>
      <c r="H10800" s="7">
        <v>16944</v>
      </c>
      <c r="I10800" s="8" t="str">
        <f ca="1">IFERROR(__xludf.DUMMYFUNCTION("IF
(
G10801=""фізична особа""
,
VLOOKUP(H10801,IMPORTRANGE(""https://docs.google.com/spreadsheets/d/14Bd19lYaqBhU8_DElYkX7l4wRkHqqCUFNJY4AfY3kHU/edit?usp=sharing  #gid=0"",""фіз особи new!relations_name""),6,FALSE)
,
(IF
(
G10801=""юридична особа""
,
VLOO"&amp;"KUP(H10801,IMPORTRANGE(""https://docs.google.com/spreadsheets/d/14Bd19lYaqBhU8_DElYkX7l4wRkHqqCUFNJY4AfY3kHU/edit?usp=sharing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800" s="7" t="s">
        <v>11</v>
      </c>
    </row>
    <row r="10801" spans="1:10" ht="13.2">
      <c r="A10801" s="7">
        <v>10800</v>
      </c>
      <c r="B10801" s="7">
        <v>1</v>
      </c>
      <c r="C10801" s="7" t="s">
        <v>10</v>
      </c>
      <c r="D10801" s="7">
        <v>16946</v>
      </c>
      <c r="E10801" s="7" t="s">
        <v>11</v>
      </c>
      <c r="F10801" s="8" t="str">
        <f ca="1">IFERROR(__xludf.DUMMYFUNCTION("IF
(
C10802=""фізична особа""
,
VLOOKUP(D10802,IMPORTRANGE(""https://docs.google.com/spreadsheets/d/14Bd19lYaqBhU8_DElYkX7l4wRkHqqCUFNJY4AfY3kHU/edit?usp=sharing  #gid=0"",""фіз особи new!relations_name""),6,FALSE)
,
(IF
(
C10802=""юридична особа""
,
VLOO"&amp;"KUP(D10802,IMPORTRANGE(""https://docs.google.com/spreadsheets/d/14Bd19lYaqBhU8_DElYkX7l4wRkHqqCUFNJY4AfY3kHU/edit?usp=sharing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801" s="7" t="s">
        <v>10</v>
      </c>
      <c r="H10801" s="7">
        <v>16945</v>
      </c>
      <c r="I10801" s="8" t="str">
        <f ca="1">IFERROR(__xludf.DUMMYFUNCTION("IF
(
G10802=""фізична особа""
,
VLOOKUP(H10802,IMPORTRANGE(""https://docs.google.com/spreadsheets/d/14Bd19lYaqBhU8_DElYkX7l4wRkHqqCUFNJY4AfY3kHU/edit?usp=sharing  #gid=0"",""фіз особи new!relations_name""),6,FALSE)
,
(IF
(
G10802=""юридична особа""
,
VLOO"&amp;"KUP(H10802,IMPORTRANGE(""https://docs.google.com/spreadsheets/d/14Bd19lYaqBhU8_DElYkX7l4wRkHqqCUFNJY4AfY3kHU/edit?usp=sharing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801" s="7" t="s">
        <v>11</v>
      </c>
    </row>
    <row r="10802" spans="1:10" ht="13.2">
      <c r="A10802" s="7">
        <v>10801</v>
      </c>
      <c r="B10802" s="7">
        <v>1</v>
      </c>
      <c r="C10802" s="7" t="s">
        <v>10</v>
      </c>
      <c r="D10802" s="7">
        <v>16946</v>
      </c>
      <c r="E10802" s="7" t="s">
        <v>11</v>
      </c>
      <c r="F10802" s="8" t="str">
        <f ca="1">IFERROR(__xludf.DUMMYFUNCTION("IF
(
C10803=""фізична особа""
,
VLOOKUP(D10803,IMPORTRANGE(""https://docs.google.com/spreadsheets/d/14Bd19lYaqBhU8_DElYkX7l4wRkHqqCUFNJY4AfY3kHU/edit?usp=sharing  #gid=0"",""фіз особи new!relations_name""),6,FALSE)
,
(IF
(
C10803=""юридична особа""
,
VLOO"&amp;"KUP(D10803,IMPORTRANGE(""https://docs.google.com/spreadsheets/d/14Bd19lYaqBhU8_DElYkX7l4wRkHqqCUFNJY4AfY3kHU/edit?usp=sharing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G10802" s="7" t="s">
        <v>10</v>
      </c>
      <c r="H10802" s="7">
        <v>16947</v>
      </c>
      <c r="I10802" s="8" t="str">
        <f ca="1">IFERROR(__xludf.DUMMYFUNCTION("IF
(
G10803=""фізична особа""
,
VLOOKUP(H10803,IMPORTRANGE(""https://docs.google.com/spreadsheets/d/14Bd19lYaqBhU8_DElYkX7l4wRkHqqCUFNJY4AfY3kHU/edit?usp=sharing  #gid=0"",""фіз особи new!relations_name""),6,FALSE)
,
(IF
(
G10803=""юридична особа""
,
VLOO"&amp;"KUP(H10803,IMPORTRANGE(""https://docs.google.com/spreadsheets/d/14Bd19lYaqBhU8_DElYkX7l4wRkHqqCUFNJY4AfY3kHU/edit?usp=sharing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J10802" s="7" t="s">
        <v>11</v>
      </c>
    </row>
    <row r="10803" spans="1:10" ht="13.2">
      <c r="A10803" s="7">
        <v>10802</v>
      </c>
      <c r="B10803" s="7">
        <v>1</v>
      </c>
      <c r="C10803" s="7" t="s">
        <v>10</v>
      </c>
      <c r="D10803" s="7">
        <v>16947</v>
      </c>
      <c r="E10803" s="7" t="s">
        <v>11</v>
      </c>
      <c r="F10803" s="8" t="str">
        <f ca="1">IFERROR(__xludf.DUMMYFUNCTION("IF
(
C10804=""фізична особа""
,
VLOOKUP(D10804,IMPORTRANGE(""https://docs.google.com/spreadsheets/d/14Bd19lYaqBhU8_DElYkX7l4wRkHqqCUFNJY4AfY3kHU/edit?usp=sharing  #gid=0"",""фіз особи new!relations_name""),6,FALSE)
,
(IF
(
C10804=""юридична особа""
,
VLOO"&amp;"KUP(D10804,IMPORTRANGE(""https://docs.google.com/spreadsheets/d/14Bd19lYaqBhU8_DElYkX7l4wRkHqqCUFNJY4AfY3kHU/edit?usp=sharing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3" s="7" t="s">
        <v>10</v>
      </c>
      <c r="H10803" s="7">
        <v>16941</v>
      </c>
      <c r="I10803" s="8" t="str">
        <f ca="1">IFERROR(__xludf.DUMMYFUNCTION("IF
(
G10804=""фізична особа""
,
VLOOKUP(H10804,IMPORTRANGE(""https://docs.google.com/spreadsheets/d/14Bd19lYaqBhU8_DElYkX7l4wRkHqqCUFNJY4AfY3kHU/edit?usp=sharing  #gid=0"",""фіз особи new!relations_name""),6,FALSE)
,
(IF
(
G10804=""юридична особа""
,
VLOO"&amp;"KUP(H10804,IMPORTRANGE(""https://docs.google.com/spreadsheets/d/14Bd19lYaqBhU8_DElYkX7l4wRkHqqCUFNJY4AfY3kHU/edit?usp=sharing  #gid=0"",""фіз особи new!relations_name_uo""),7,FALSE)
,
)
))"),"КАРПОВ В'ячеслав Геннадійович")</f>
        <v>КАРПОВ В'ячеслав Геннадійович</v>
      </c>
      <c r="J10803" s="7" t="s">
        <v>11</v>
      </c>
    </row>
    <row r="10804" spans="1:10" ht="13.2">
      <c r="A10804" s="7">
        <v>10803</v>
      </c>
      <c r="B10804" s="7">
        <v>1</v>
      </c>
      <c r="C10804" s="7" t="s">
        <v>10</v>
      </c>
      <c r="D10804" s="7">
        <v>16947</v>
      </c>
      <c r="E10804" s="7" t="s">
        <v>11</v>
      </c>
      <c r="F10804" s="8" t="str">
        <f ca="1">IFERROR(__xludf.DUMMYFUNCTION("IF
(
C10805=""фізична особа""
,
VLOOKUP(D10805,IMPORTRANGE(""https://docs.google.com/spreadsheets/d/14Bd19lYaqBhU8_DElYkX7l4wRkHqqCUFNJY4AfY3kHU/edit?usp=sharing  #gid=0"",""фіз особи new!relations_name""),6,FALSE)
,
(IF
(
C10805=""юридична особа""
,
VLOO"&amp;"KUP(D10805,IMPORTRANGE(""https://docs.google.com/spreadsheets/d/14Bd19lYaqBhU8_DElYkX7l4wRkHqqCUFNJY4AfY3kHU/edit?usp=sharing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4" s="7" t="s">
        <v>10</v>
      </c>
      <c r="H10804" s="7">
        <v>16942</v>
      </c>
      <c r="I10804" s="8" t="str">
        <f ca="1">IFERROR(__xludf.DUMMYFUNCTION("IF
(
G10805=""фізична особа""
,
VLOOKUP(H10805,IMPORTRANGE(""https://docs.google.com/spreadsheets/d/14Bd19lYaqBhU8_DElYkX7l4wRkHqqCUFNJY4AfY3kHU/edit?usp=sharing  #gid=0"",""фіз особи new!relations_name""),6,FALSE)
,
(IF
(
G10805=""юридична особа""
,
VLOO"&amp;"KUP(H10805,IMPORTRANGE(""https://docs.google.com/spreadsheets/d/14Bd19lYaqBhU8_DElYkX7l4wRkHqqCUFNJY4AfY3kHU/edit?usp=sharing  #gid=0"",""фіз особи new!relations_name_uo""),7,FALSE)
,
)
))"),"АНЦИФЕРОВ Костянтин Павлович")</f>
        <v>АНЦИФЕРОВ Костянтин Павлович</v>
      </c>
      <c r="J10804" s="7" t="s">
        <v>11</v>
      </c>
    </row>
    <row r="10805" spans="1:10" ht="13.2">
      <c r="A10805" s="7">
        <v>10804</v>
      </c>
      <c r="B10805" s="7">
        <v>1</v>
      </c>
      <c r="C10805" s="7" t="s">
        <v>10</v>
      </c>
      <c r="D10805" s="7">
        <v>16947</v>
      </c>
      <c r="E10805" s="7" t="s">
        <v>11</v>
      </c>
      <c r="F10805" s="8" t="str">
        <f ca="1">IFERROR(__xludf.DUMMYFUNCTION("IF
(
C10806=""фізична особа""
,
VLOOKUP(D10806,IMPORTRANGE(""https://docs.google.com/spreadsheets/d/14Bd19lYaqBhU8_DElYkX7l4wRkHqqCUFNJY4AfY3kHU/edit?usp=sharing  #gid=0"",""фіз особи new!relations_name""),6,FALSE)
,
(IF
(
C10806=""юридична особа""
,
VLOO"&amp;"KUP(D10806,IMPORTRANGE(""https://docs.google.com/spreadsheets/d/14Bd19lYaqBhU8_DElYkX7l4wRkHqqCUFNJY4AfY3kHU/edit?usp=sharing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5" s="7" t="s">
        <v>10</v>
      </c>
      <c r="H10805" s="7">
        <v>16943</v>
      </c>
      <c r="I10805" s="8" t="str">
        <f ca="1">IFERROR(__xludf.DUMMYFUNCTION("IF
(
G10806=""фізична особа""
,
VLOOKUP(H10806,IMPORTRANGE(""https://docs.google.com/spreadsheets/d/14Bd19lYaqBhU8_DElYkX7l4wRkHqqCUFNJY4AfY3kHU/edit?usp=sharing  #gid=0"",""фіз особи new!relations_name""),6,FALSE)
,
(IF
(
G10806=""юридична особа""
,
VLOO"&amp;"KUP(H10806,IMPORTRANGE(""https://docs.google.com/spreadsheets/d/14Bd19lYaqBhU8_DElYkX7l4wRkHqqCUFNJY4AfY3kHU/edit?usp=sharing  #gid=0"",""фіз особи new!relations_name_uo""),7,FALSE)
,
)
))"),"КЛЮКІН Веньямін Леонідович")</f>
        <v>КЛЮКІН Веньямін Леонідович</v>
      </c>
      <c r="J10805" s="7" t="s">
        <v>11</v>
      </c>
    </row>
    <row r="10806" spans="1:10" ht="13.2">
      <c r="A10806" s="7">
        <v>10805</v>
      </c>
      <c r="B10806" s="7">
        <v>1</v>
      </c>
      <c r="C10806" s="7" t="s">
        <v>10</v>
      </c>
      <c r="D10806" s="7">
        <v>16947</v>
      </c>
      <c r="E10806" s="7" t="s">
        <v>11</v>
      </c>
      <c r="F10806" s="8" t="str">
        <f ca="1">IFERROR(__xludf.DUMMYFUNCTION("IF
(
C10807=""фізична особа""
,
VLOOKUP(D10807,IMPORTRANGE(""https://docs.google.com/spreadsheets/d/14Bd19lYaqBhU8_DElYkX7l4wRkHqqCUFNJY4AfY3kHU/edit?usp=sharing  #gid=0"",""фіз особи new!relations_name""),6,FALSE)
,
(IF
(
C10807=""юридична особа""
,
VLOO"&amp;"KUP(D10807,IMPORTRANGE(""https://docs.google.com/spreadsheets/d/14Bd19lYaqBhU8_DElYkX7l4wRkHqqCUFNJY4AfY3kHU/edit?usp=sharing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6" s="7" t="s">
        <v>10</v>
      </c>
      <c r="H10806" s="7">
        <v>16944</v>
      </c>
      <c r="I10806" s="8" t="str">
        <f ca="1">IFERROR(__xludf.DUMMYFUNCTION("IF
(
G10807=""фізична особа""
,
VLOOKUP(H10807,IMPORTRANGE(""https://docs.google.com/spreadsheets/d/14Bd19lYaqBhU8_DElYkX7l4wRkHqqCUFNJY4AfY3kHU/edit?usp=sharing  #gid=0"",""фіз особи new!relations_name""),6,FALSE)
,
(IF
(
G10807=""юридична особа""
,
VLOO"&amp;"KUP(H10807,IMPORTRANGE(""https://docs.google.com/spreadsheets/d/14Bd19lYaqBhU8_DElYkX7l4wRkHqqCUFNJY4AfY3kHU/edit?usp=sharing  #gid=0"",""фіз особи new!relations_name_uo""),7,FALSE)
,
)
))"),"МІНІН Андрій Анатолійович")</f>
        <v>МІНІН Андрій Анатолійович</v>
      </c>
      <c r="J10806" s="7" t="s">
        <v>11</v>
      </c>
    </row>
    <row r="10807" spans="1:10" ht="13.2">
      <c r="A10807" s="7">
        <v>10806</v>
      </c>
      <c r="B10807" s="7">
        <v>1</v>
      </c>
      <c r="C10807" s="7" t="s">
        <v>10</v>
      </c>
      <c r="D10807" s="7">
        <v>16947</v>
      </c>
      <c r="E10807" s="7" t="s">
        <v>11</v>
      </c>
      <c r="F10807" s="8" t="str">
        <f ca="1">IFERROR(__xludf.DUMMYFUNCTION("IF
(
C10808=""фізична особа""
,
VLOOKUP(D10808,IMPORTRANGE(""https://docs.google.com/spreadsheets/d/14Bd19lYaqBhU8_DElYkX7l4wRkHqqCUFNJY4AfY3kHU/edit?usp=sharing  #gid=0"",""фіз особи new!relations_name""),6,FALSE)
,
(IF
(
C10808=""юридична особа""
,
VLOO"&amp;"KUP(D10808,IMPORTRANGE(""https://docs.google.com/spreadsheets/d/14Bd19lYaqBhU8_DElYkX7l4wRkHqqCUFNJY4AfY3kHU/edit?usp=sharing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7" s="7" t="s">
        <v>10</v>
      </c>
      <c r="H10807" s="7">
        <v>16945</v>
      </c>
      <c r="I10807" s="8" t="str">
        <f ca="1">IFERROR(__xludf.DUMMYFUNCTION("IF
(
G10808=""фізична особа""
,
VLOOKUP(H10808,IMPORTRANGE(""https://docs.google.com/spreadsheets/d/14Bd19lYaqBhU8_DElYkX7l4wRkHqqCUFNJY4AfY3kHU/edit?usp=sharing  #gid=0"",""фіз особи new!relations_name""),6,FALSE)
,
(IF
(
G10808=""юридична особа""
,
VLOO"&amp;"KUP(H10808,IMPORTRANGE(""https://docs.google.com/spreadsheets/d/14Bd19lYaqBhU8_DElYkX7l4wRkHqqCUFNJY4AfY3kHU/edit?usp=sharing  #gid=0"",""фіз особи new!relations_name_uo""),7,FALSE)
,
)
))"),"ПОТАПОВ Павло Миколайович")</f>
        <v>ПОТАПОВ Павло Миколайович</v>
      </c>
      <c r="J10807" s="7" t="s">
        <v>11</v>
      </c>
    </row>
    <row r="10808" spans="1:10" ht="13.2">
      <c r="A10808" s="7">
        <v>10807</v>
      </c>
      <c r="B10808" s="7">
        <v>1</v>
      </c>
      <c r="C10808" s="7" t="s">
        <v>10</v>
      </c>
      <c r="D10808" s="7">
        <v>16947</v>
      </c>
      <c r="E10808" s="7" t="s">
        <v>11</v>
      </c>
      <c r="F10808" s="8" t="str">
        <f ca="1">IFERROR(__xludf.DUMMYFUNCTION("IF
(
C10809=""фізична особа""
,
VLOOKUP(D10809,IMPORTRANGE(""https://docs.google.com/spreadsheets/d/14Bd19lYaqBhU8_DElYkX7l4wRkHqqCUFNJY4AfY3kHU/edit?usp=sharing  #gid=0"",""фіз особи new!relations_name""),6,FALSE)
,
(IF
(
C10809=""юридична особа""
,
VLOO"&amp;"KUP(D10809,IMPORTRANGE(""https://docs.google.com/spreadsheets/d/14Bd19lYaqBhU8_DElYkX7l4wRkHqqCUFNJY4AfY3kHU/edit?usp=sharing  #gid=0"",""фіз особи new!relations_name_uo""),7,FALSE)
,
)
))"),"ЧЕКАЛОВА Світлана Валеріївна")</f>
        <v>ЧЕКАЛОВА Світлана Валеріївна</v>
      </c>
      <c r="G10808" s="7" t="s">
        <v>10</v>
      </c>
      <c r="H10808" s="7">
        <v>16946</v>
      </c>
      <c r="I10808" s="8" t="str">
        <f ca="1">IFERROR(__xludf.DUMMYFUNCTION("IF
(
G10809=""фізична особа""
,
VLOOKUP(H10809,IMPORTRANGE(""https://docs.google.com/spreadsheets/d/14Bd19lYaqBhU8_DElYkX7l4wRkHqqCUFNJY4AfY3kHU/edit?usp=sharing  #gid=0"",""фіз особи new!relations_name""),6,FALSE)
,
(IF
(
G10809=""юридична особа""
,
VLOO"&amp;"KUP(H10809,IMPORTRANGE(""https://docs.google.com/spreadsheets/d/14Bd19lYaqBhU8_DElYkX7l4wRkHqqCUFNJY4AfY3kHU/edit?usp=sharing  #gid=0"",""фіз особи new!relations_name_uo""),7,FALSE)
,
)
))"),"ХАРІН Геннадій Володимирович")</f>
        <v>ХАРІН Геннадій Володимирович</v>
      </c>
      <c r="J10808" s="7" t="s">
        <v>11</v>
      </c>
    </row>
    <row r="10809" spans="1:10" ht="13.2">
      <c r="A10809" s="7">
        <v>10808</v>
      </c>
      <c r="B10809" s="7">
        <v>1</v>
      </c>
      <c r="C10809" s="7" t="s">
        <v>10</v>
      </c>
      <c r="D10809" s="7">
        <v>16949</v>
      </c>
      <c r="E10809" s="7" t="s">
        <v>11</v>
      </c>
      <c r="F10809" s="8" t="str">
        <f ca="1">IFERROR(__xludf.DUMMYFUNCTION("IF
(
C10810=""фізична особа""
,
VLOOKUP(D10810,IMPORTRANGE(""https://docs.google.com/spreadsheets/d/14Bd19lYaqBhU8_DElYkX7l4wRkHqqCUFNJY4AfY3kHU/edit?usp=sharing  #gid=0"",""фіз особи new!relations_name""),6,FALSE)
,
(IF
(
C10810=""юридична особа""
,
VLOO"&amp;"KUP(D10810,IMPORTRANGE(""https://docs.google.com/spreadsheets/d/14Bd19lYaqBhU8_DElYkX7l4wRkHqqCUFNJY4AfY3kHU/edit?usp=sharing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G10809" s="7" t="s">
        <v>10</v>
      </c>
      <c r="H10809" s="7">
        <v>5461</v>
      </c>
      <c r="I10809" s="8" t="str">
        <f ca="1">IFERROR(__xludf.DUMMYFUNCTION("IF
(
G10810=""фізична особа""
,
VLOOKUP(H10810,IMPORTRANGE(""https://docs.google.com/spreadsheets/d/14Bd19lYaqBhU8_DElYkX7l4wRkHqqCUFNJY4AfY3kHU/edit?usp=sharing  #gid=0"",""фіз особи new!relations_name""),6,FALSE)
,
(IF
(
G10810=""юридична особа""
,
VLOO"&amp;"KUP(H10810,IMPORTRANGE(""https://docs.google.com/spreadsheets/d/14Bd19lYaqBhU8_DElYkX7l4wRkHqqCUFNJY4AfY3kHU/edit?usp=sharing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J10809" s="7" t="s">
        <v>11</v>
      </c>
    </row>
    <row r="10810" spans="1:10" ht="13.2">
      <c r="A10810" s="7">
        <v>10809</v>
      </c>
      <c r="B10810" s="7">
        <v>1</v>
      </c>
      <c r="C10810" s="7" t="s">
        <v>10</v>
      </c>
      <c r="D10810" s="7">
        <v>16949</v>
      </c>
      <c r="E10810" s="7" t="s">
        <v>11</v>
      </c>
      <c r="F10810" s="8" t="str">
        <f ca="1">IFERROR(__xludf.DUMMYFUNCTION("IF
(
C10811=""фізична особа""
,
VLOOKUP(D10811,IMPORTRANGE(""https://docs.google.com/spreadsheets/d/14Bd19lYaqBhU8_DElYkX7l4wRkHqqCUFNJY4AfY3kHU/edit?usp=sharing  #gid=0"",""фіз особи new!relations_name""),6,FALSE)
,
(IF
(
C10811=""юридична особа""
,
VLOO"&amp;"KUP(D10811,IMPORTRANGE(""https://docs.google.com/spreadsheets/d/14Bd19lYaqBhU8_DElYkX7l4wRkHqqCUFNJY4AfY3kHU/edit?usp=sharing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G10810" s="7" t="s">
        <v>10</v>
      </c>
      <c r="H10810" s="7">
        <v>16950</v>
      </c>
      <c r="I10810" s="8" t="str">
        <f ca="1">IFERROR(__xludf.DUMMYFUNCTION("IF
(
G10811=""фізична особа""
,
VLOOKUP(H10811,IMPORTRANGE(""https://docs.google.com/spreadsheets/d/14Bd19lYaqBhU8_DElYkX7l4wRkHqqCUFNJY4AfY3kHU/edit?usp=sharing  #gid=0"",""фіз особи new!relations_name""),6,FALSE)
,
(IF
(
G10811=""юридична особа""
,
VLOO"&amp;"KUP(H10811,IMPORTRANGE(""https://docs.google.com/spreadsheets/d/14Bd19lYaqBhU8_DElYkX7l4wRkHqqCUFNJY4AfY3kHU/edit?usp=sharing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J10810" s="7" t="s">
        <v>11</v>
      </c>
    </row>
    <row r="10811" spans="1:10" ht="13.2">
      <c r="A10811" s="7">
        <v>10810</v>
      </c>
      <c r="B10811" s="7">
        <v>1</v>
      </c>
      <c r="C10811" s="7" t="s">
        <v>10</v>
      </c>
      <c r="D10811" s="7">
        <v>16949</v>
      </c>
      <c r="E10811" s="7" t="s">
        <v>11</v>
      </c>
      <c r="F10811" s="8" t="str">
        <f ca="1">IFERROR(__xludf.DUMMYFUNCTION("IF
(
C10812=""фізична особа""
,
VLOOKUP(D10812,IMPORTRANGE(""https://docs.google.com/spreadsheets/d/14Bd19lYaqBhU8_DElYkX7l4wRkHqqCUFNJY4AfY3kHU/edit?usp=sharing  #gid=0"",""фіз особи new!relations_name""),6,FALSE)
,
(IF
(
C10812=""юридична особа""
,
VLOO"&amp;"KUP(D10812,IMPORTRANGE(""https://docs.google.com/spreadsheets/d/14Bd19lYaqBhU8_DElYkX7l4wRkHqqCUFNJY4AfY3kHU/edit?usp=sharing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G10811" s="7" t="s">
        <v>10</v>
      </c>
      <c r="H10811" s="7">
        <v>16951</v>
      </c>
      <c r="I10811" s="8" t="str">
        <f ca="1">IFERROR(__xludf.DUMMYFUNCTION("IF
(
G10812=""фізична особа""
,
VLOOKUP(H10812,IMPORTRANGE(""https://docs.google.com/spreadsheets/d/14Bd19lYaqBhU8_DElYkX7l4wRkHqqCUFNJY4AfY3kHU/edit?usp=sharing  #gid=0"",""фіз особи new!relations_name""),6,FALSE)
,
(IF
(
G10812=""юридична особа""
,
VLOO"&amp;"KUP(H10812,IMPORTRANGE(""https://docs.google.com/spreadsheets/d/14Bd19lYaqBhU8_DElYkX7l4wRkHqqCUFNJY4AfY3kHU/edit?usp=sharing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J10811" s="7" t="s">
        <v>11</v>
      </c>
    </row>
    <row r="10812" spans="1:10" ht="13.2">
      <c r="A10812" s="7">
        <v>10811</v>
      </c>
      <c r="B10812" s="7">
        <v>1</v>
      </c>
      <c r="C10812" s="7" t="s">
        <v>10</v>
      </c>
      <c r="D10812" s="7">
        <v>16949</v>
      </c>
      <c r="E10812" s="7" t="s">
        <v>11</v>
      </c>
      <c r="F10812" s="8" t="str">
        <f ca="1">IFERROR(__xludf.DUMMYFUNCTION("IF
(
C10813=""фізична особа""
,
VLOOKUP(D10813,IMPORTRANGE(""https://docs.google.com/spreadsheets/d/14Bd19lYaqBhU8_DElYkX7l4wRkHqqCUFNJY4AfY3kHU/edit?usp=sharing  #gid=0"",""фіз особи new!relations_name""),6,FALSE)
,
(IF
(
C10813=""юридична особа""
,
VLOO"&amp;"KUP(D10813,IMPORTRANGE(""https://docs.google.com/spreadsheets/d/14Bd19lYaqBhU8_DElYkX7l4wRkHqqCUFNJY4AfY3kHU/edit?usp=sharing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G10812" s="7" t="s">
        <v>10</v>
      </c>
      <c r="H10812" s="7">
        <v>0</v>
      </c>
      <c r="I10812" s="8" t="str">
        <f ca="1">IFERROR(__xludf.DUMMYFUNCTION("IF
(
G10813=""фізична особа""
,
VLOOKUP(H10813,IMPORTRANGE(""https://docs.google.com/spreadsheets/d/14Bd19lYaqBhU8_DElYkX7l4wRkHqqCUFNJY4AfY3kHU/edit?usp=sharing  #gid=0"",""фіз особи new!relations_name""),6,FALSE)
,
(IF
(
G10813=""юридична особа""
,
VLOO"&amp;"KUP(H10813,IMPORTRANGE(""https://docs.google.com/spreadsheets/d/14Bd19lYaqBhU8_DElYkX7l4wRkHqqCUFNJY4AfY3kHU/edit?usp=sharing  #gid=0"",""фіз особи new!relations_name_uo""),7,FALSE)
,
)
))"),"#N/A")</f>
        <v>#N/A</v>
      </c>
      <c r="J10812" s="7" t="s">
        <v>11</v>
      </c>
    </row>
    <row r="10813" spans="1:10" ht="13.2">
      <c r="A10813" s="7">
        <v>10812</v>
      </c>
      <c r="B10813" s="7">
        <v>1</v>
      </c>
      <c r="C10813" s="7" t="s">
        <v>10</v>
      </c>
      <c r="D10813" s="7">
        <v>16950</v>
      </c>
      <c r="E10813" s="7" t="s">
        <v>11</v>
      </c>
      <c r="F10813" s="8" t="str">
        <f ca="1">IFERROR(__xludf.DUMMYFUNCTION("IF
(
C10814=""фізична особа""
,
VLOOKUP(D10814,IMPORTRANGE(""https://docs.google.com/spreadsheets/d/14Bd19lYaqBhU8_DElYkX7l4wRkHqqCUFNJY4AfY3kHU/edit?usp=sharing  #gid=0"",""фіз особи new!relations_name""),6,FALSE)
,
(IF
(
C10814=""юридична особа""
,
VLOO"&amp;"KUP(D10814,IMPORTRANGE(""https://docs.google.com/spreadsheets/d/14Bd19lYaqBhU8_DElYkX7l4wRkHqqCUFNJY4AfY3kHU/edit?usp=sharing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G10813" s="7" t="s">
        <v>10</v>
      </c>
      <c r="H10813" s="7">
        <v>5461</v>
      </c>
      <c r="I10813" s="8" t="str">
        <f ca="1">IFERROR(__xludf.DUMMYFUNCTION("IF
(
G10814=""фізична особа""
,
VLOOKUP(H10814,IMPORTRANGE(""https://docs.google.com/spreadsheets/d/14Bd19lYaqBhU8_DElYkX7l4wRkHqqCUFNJY4AfY3kHU/edit?usp=sharing  #gid=0"",""фіз особи new!relations_name""),6,FALSE)
,
(IF
(
G10814=""юридична особа""
,
VLOO"&amp;"KUP(H10814,IMPORTRANGE(""https://docs.google.com/spreadsheets/d/14Bd19lYaqBhU8_DElYkX7l4wRkHqqCUFNJY4AfY3kHU/edit?usp=sharing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J10813" s="7" t="s">
        <v>11</v>
      </c>
    </row>
    <row r="10814" spans="1:10" ht="13.2">
      <c r="A10814" s="7">
        <v>10813</v>
      </c>
      <c r="B10814" s="7">
        <v>1</v>
      </c>
      <c r="C10814" s="7" t="s">
        <v>10</v>
      </c>
      <c r="D10814" s="7">
        <v>16950</v>
      </c>
      <c r="E10814" s="7" t="s">
        <v>11</v>
      </c>
      <c r="F10814" s="8" t="str">
        <f ca="1">IFERROR(__xludf.DUMMYFUNCTION("IF
(
C10815=""фізична особа""
,
VLOOKUP(D10815,IMPORTRANGE(""https://docs.google.com/spreadsheets/d/14Bd19lYaqBhU8_DElYkX7l4wRkHqqCUFNJY4AfY3kHU/edit?usp=sharing  #gid=0"",""фіз особи new!relations_name""),6,FALSE)
,
(IF
(
C10815=""юридична особа""
,
VLOO"&amp;"KUP(D10815,IMPORTRANGE(""https://docs.google.com/spreadsheets/d/14Bd19lYaqBhU8_DElYkX7l4wRkHqqCUFNJY4AfY3kHU/edit?usp=sharing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G10814" s="7" t="s">
        <v>10</v>
      </c>
      <c r="H10814" s="7">
        <v>16949</v>
      </c>
      <c r="I10814" s="8" t="str">
        <f ca="1">IFERROR(__xludf.DUMMYFUNCTION("IF
(
G10815=""фізична особа""
,
VLOOKUP(H10815,IMPORTRANGE(""https://docs.google.com/spreadsheets/d/14Bd19lYaqBhU8_DElYkX7l4wRkHqqCUFNJY4AfY3kHU/edit?usp=sharing  #gid=0"",""фіз особи new!relations_name""),6,FALSE)
,
(IF
(
G10815=""юридична особа""
,
VLOO"&amp;"KUP(H10815,IMPORTRANGE(""https://docs.google.com/spreadsheets/d/14Bd19lYaqBhU8_DElYkX7l4wRkHqqCUFNJY4AfY3kHU/edit?usp=sharing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J10814" s="7" t="s">
        <v>11</v>
      </c>
    </row>
    <row r="10815" spans="1:10" ht="13.2">
      <c r="A10815" s="7">
        <v>10814</v>
      </c>
      <c r="B10815" s="7">
        <v>1</v>
      </c>
      <c r="C10815" s="7" t="s">
        <v>10</v>
      </c>
      <c r="D10815" s="7">
        <v>16950</v>
      </c>
      <c r="E10815" s="7" t="s">
        <v>11</v>
      </c>
      <c r="F10815" s="8" t="str">
        <f ca="1">IFERROR(__xludf.DUMMYFUNCTION("IF
(
C10816=""фізична особа""
,
VLOOKUP(D10816,IMPORTRANGE(""https://docs.google.com/spreadsheets/d/14Bd19lYaqBhU8_DElYkX7l4wRkHqqCUFNJY4AfY3kHU/edit?usp=sharing  #gid=0"",""фіз особи new!relations_name""),6,FALSE)
,
(IF
(
C10816=""юридична особа""
,
VLOO"&amp;"KUP(D10816,IMPORTRANGE(""https://docs.google.com/spreadsheets/d/14Bd19lYaqBhU8_DElYkX7l4wRkHqqCUFNJY4AfY3kHU/edit?usp=sharing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G10815" s="7" t="s">
        <v>10</v>
      </c>
      <c r="H10815" s="7">
        <v>16951</v>
      </c>
      <c r="I10815" s="8" t="str">
        <f ca="1">IFERROR(__xludf.DUMMYFUNCTION("IF
(
G10816=""фізична особа""
,
VLOOKUP(H10816,IMPORTRANGE(""https://docs.google.com/spreadsheets/d/14Bd19lYaqBhU8_DElYkX7l4wRkHqqCUFNJY4AfY3kHU/edit?usp=sharing  #gid=0"",""фіз особи new!relations_name""),6,FALSE)
,
(IF
(
G10816=""юридична особа""
,
VLOO"&amp;"KUP(H10816,IMPORTRANGE(""https://docs.google.com/spreadsheets/d/14Bd19lYaqBhU8_DElYkX7l4wRkHqqCUFNJY4AfY3kHU/edit?usp=sharing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J10815" s="7" t="s">
        <v>11</v>
      </c>
    </row>
    <row r="10816" spans="1:10" ht="13.2">
      <c r="A10816" s="7">
        <v>10815</v>
      </c>
      <c r="B10816" s="7">
        <v>1</v>
      </c>
      <c r="C10816" s="7" t="s">
        <v>10</v>
      </c>
      <c r="D10816" s="7">
        <v>16951</v>
      </c>
      <c r="E10816" s="7" t="s">
        <v>11</v>
      </c>
      <c r="F10816" s="8" t="str">
        <f ca="1">IFERROR(__xludf.DUMMYFUNCTION("IF
(
C10817=""фізична особа""
,
VLOOKUP(D10817,IMPORTRANGE(""https://docs.google.com/spreadsheets/d/14Bd19lYaqBhU8_DElYkX7l4wRkHqqCUFNJY4AfY3kHU/edit?usp=sharing  #gid=0"",""фіз особи new!relations_name""),6,FALSE)
,
(IF
(
C10817=""юридична особа""
,
VLOO"&amp;"KUP(D10817,IMPORTRANGE(""https://docs.google.com/spreadsheets/d/14Bd19lYaqBhU8_DElYkX7l4wRkHqqCUFNJY4AfY3kHU/edit?usp=sharing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G10816" s="7" t="s">
        <v>10</v>
      </c>
      <c r="H10816" s="7">
        <v>5461</v>
      </c>
      <c r="I10816" s="8" t="str">
        <f ca="1">IFERROR(__xludf.DUMMYFUNCTION("IF
(
G10817=""фізична особа""
,
VLOOKUP(H10817,IMPORTRANGE(""https://docs.google.com/spreadsheets/d/14Bd19lYaqBhU8_DElYkX7l4wRkHqqCUFNJY4AfY3kHU/edit?usp=sharing  #gid=0"",""фіз особи new!relations_name""),6,FALSE)
,
(IF
(
G10817=""юридична особа""
,
VLOO"&amp;"KUP(H10817,IMPORTRANGE(""https://docs.google.com/spreadsheets/d/14Bd19lYaqBhU8_DElYkX7l4wRkHqqCUFNJY4AfY3kHU/edit?usp=sharing  #gid=0"",""фіз особи new!relations_name_uo""),7,FALSE)
,
)
))"),"БОЄВ Сергій Федотович")</f>
        <v>БОЄВ Сергій Федотович</v>
      </c>
      <c r="J10816" s="7" t="s">
        <v>11</v>
      </c>
    </row>
    <row r="10817" spans="1:10" ht="13.2">
      <c r="A10817" s="7">
        <v>10816</v>
      </c>
      <c r="B10817" s="7">
        <v>1</v>
      </c>
      <c r="C10817" s="7" t="s">
        <v>10</v>
      </c>
      <c r="D10817" s="7">
        <v>16951</v>
      </c>
      <c r="E10817" s="7" t="s">
        <v>11</v>
      </c>
      <c r="F10817" s="8" t="str">
        <f ca="1">IFERROR(__xludf.DUMMYFUNCTION("IF
(
C10818=""фізична особа""
,
VLOOKUP(D10818,IMPORTRANGE(""https://docs.google.com/spreadsheets/d/14Bd19lYaqBhU8_DElYkX7l4wRkHqqCUFNJY4AfY3kHU/edit?usp=sharing  #gid=0"",""фіз особи new!relations_name""),6,FALSE)
,
(IF
(
C10818=""юридична особа""
,
VLOO"&amp;"KUP(D10818,IMPORTRANGE(""https://docs.google.com/spreadsheets/d/14Bd19lYaqBhU8_DElYkX7l4wRkHqqCUFNJY4AfY3kHU/edit?usp=sharing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G10817" s="7" t="s">
        <v>10</v>
      </c>
      <c r="H10817" s="7">
        <v>16949</v>
      </c>
      <c r="I10817" s="8" t="str">
        <f ca="1">IFERROR(__xludf.DUMMYFUNCTION("IF
(
G10818=""фізична особа""
,
VLOOKUP(H10818,IMPORTRANGE(""https://docs.google.com/spreadsheets/d/14Bd19lYaqBhU8_DElYkX7l4wRkHqqCUFNJY4AfY3kHU/edit?usp=sharing  #gid=0"",""фіз особи new!relations_name""),6,FALSE)
,
(IF
(
G10818=""юридична особа""
,
VLOO"&amp;"KUP(H10818,IMPORTRANGE(""https://docs.google.com/spreadsheets/d/14Bd19lYaqBhU8_DElYkX7l4wRkHqqCUFNJY4AfY3kHU/edit?usp=sharing  #gid=0"",""фіз особи new!relations_name_uo""),7,FALSE)
,
)
))"),"КОШЕЛЄВ Олександр Олександрович")</f>
        <v>КОШЕЛЄВ Олександр Олександрович</v>
      </c>
      <c r="J10817" s="7" t="s">
        <v>11</v>
      </c>
    </row>
    <row r="10818" spans="1:10" ht="13.2">
      <c r="A10818" s="7">
        <v>10817</v>
      </c>
      <c r="B10818" s="7">
        <v>1</v>
      </c>
      <c r="C10818" s="7" t="s">
        <v>10</v>
      </c>
      <c r="D10818" s="7">
        <v>16951</v>
      </c>
      <c r="E10818" s="7" t="s">
        <v>11</v>
      </c>
      <c r="F10818" s="8" t="str">
        <f ca="1">IFERROR(__xludf.DUMMYFUNCTION("IF
(
C10819=""фізична особа""
,
VLOOKUP(D10819,IMPORTRANGE(""https://docs.google.com/spreadsheets/d/14Bd19lYaqBhU8_DElYkX7l4wRkHqqCUFNJY4AfY3kHU/edit?usp=sharing  #gid=0"",""фіз особи new!relations_name""),6,FALSE)
,
(IF
(
C10819=""юридична особа""
,
VLOO"&amp;"KUP(D10819,IMPORTRANGE(""https://docs.google.com/spreadsheets/d/14Bd19lYaqBhU8_DElYkX7l4wRkHqqCUFNJY4AfY3kHU/edit?usp=sharing  #gid=0"",""фіз особи new!relations_name_uo""),7,FALSE)
,
)
))"),"ТОМАШЕВИЧ Станіслав Станіславович")</f>
        <v>ТОМАШЕВИЧ Станіслав Станіславович</v>
      </c>
      <c r="G10818" s="7" t="s">
        <v>10</v>
      </c>
      <c r="H10818" s="7">
        <v>16950</v>
      </c>
      <c r="I10818" s="8" t="str">
        <f ca="1">IFERROR(__xludf.DUMMYFUNCTION("IF
(
G10819=""фізична особа""
,
VLOOKUP(H10819,IMPORTRANGE(""https://docs.google.com/spreadsheets/d/14Bd19lYaqBhU8_DElYkX7l4wRkHqqCUFNJY4AfY3kHU/edit?usp=sharing  #gid=0"",""фіз особи new!relations_name""),6,FALSE)
,
(IF
(
G10819=""юридична особа""
,
VLOO"&amp;"KUP(H10819,IMPORTRANGE(""https://docs.google.com/spreadsheets/d/14Bd19lYaqBhU8_DElYkX7l4wRkHqqCUFNJY4AfY3kHU/edit?usp=sharing  #gid=0"",""фіз особи new!relations_name_uo""),7,FALSE)
,
)
))"),"МІЩЕНКО Лев Григорович")</f>
        <v>МІЩЕНКО Лев Григорович</v>
      </c>
      <c r="J10818" s="7" t="s">
        <v>11</v>
      </c>
    </row>
    <row r="10819" spans="1:10" ht="13.2">
      <c r="A10819" s="7">
        <v>10818</v>
      </c>
      <c r="B10819" s="7">
        <v>1</v>
      </c>
      <c r="C10819" s="7" t="s">
        <v>10</v>
      </c>
      <c r="D10819" s="7">
        <v>16952</v>
      </c>
      <c r="E10819" s="7" t="s">
        <v>11</v>
      </c>
      <c r="F10819" s="8" t="str">
        <f ca="1">IFERROR(__xludf.DUMMYFUNCTION("IF
(
C10820=""фізична особа""
,
VLOOKUP(D10820,IMPORTRANGE(""https://docs.google.com/spreadsheets/d/14Bd19lYaqBhU8_DElYkX7l4wRkHqqCUFNJY4AfY3kHU/edit?usp=sharing  #gid=0"",""фіз особи new!relations_name""),6,FALSE)
,
(IF
(
C10820=""юридична особа""
,
VLOO"&amp;"KUP(D10820,IMPORTRANGE(""https://docs.google.com/spreadsheets/d/14Bd19lYaqBhU8_DElYkX7l4wRkHqqCUFNJY4AfY3kHU/edit?usp=sharing  #gid=0"",""фіз особи new!relations_name_uo""),7,FALSE)
,
)
))"),"СТАЛОВЕРОВ Ігор Валентинович")</f>
        <v>СТАЛОВЕРОВ Ігор Валентинович</v>
      </c>
      <c r="G10819" s="7" t="s">
        <v>10</v>
      </c>
      <c r="H10819" s="7">
        <v>629</v>
      </c>
      <c r="I10819" s="8" t="str">
        <f ca="1">IFERROR(__xludf.DUMMYFUNCTION("IF
(
G10820=""фізична особа""
,
VLOOKUP(H10820,IMPORTRANGE(""https://docs.google.com/spreadsheets/d/14Bd19lYaqBhU8_DElYkX7l4wRkHqqCUFNJY4AfY3kHU/edit?usp=sharing  #gid=0"",""фіз особи new!relations_name""),6,FALSE)
,
(IF
(
G10820=""юридична особа""
,
VLOO"&amp;"KUP(H10820,IMPORTRANGE(""https://docs.google.com/spreadsheets/d/14Bd19lYaqBhU8_DElYkX7l4wRkHqqCUFNJY4AfY3kHU/edit?usp=sharing  #gid=0"",""фіз особи new!relations_name_uo""),7,FALSE)
,
)
))"),"РОТЕНБЕРГ Аркадій Романович")</f>
        <v>РОТЕНБЕРГ Аркадій Романович</v>
      </c>
      <c r="J10819" s="7" t="s">
        <v>11</v>
      </c>
    </row>
    <row r="10820" spans="1:10" ht="13.2">
      <c r="A10820" s="7">
        <v>10819</v>
      </c>
      <c r="B10820" s="7">
        <v>1</v>
      </c>
      <c r="C10820" s="7" t="s">
        <v>10</v>
      </c>
      <c r="D10820" s="7">
        <v>16953</v>
      </c>
      <c r="E10820" s="7" t="s">
        <v>23</v>
      </c>
      <c r="F10820" s="8" t="str">
        <f ca="1">IFERROR(__xludf.DUMMYFUNCTION("IF
(
C10821=""фізична особа""
,
VLOOKUP(D10821,IMPORTRANGE(""https://docs.google.com/spreadsheets/d/14Bd19lYaqBhU8_DElYkX7l4wRkHqqCUFNJY4AfY3kHU/edit?usp=sharing  #gid=0"",""фіз особи new!relations_name""),6,FALSE)
,
(IF
(
C10821=""юридична особа""
,
VLOO"&amp;"KUP(D10821,IMPORTRANGE(""https://docs.google.com/spreadsheets/d/14Bd19lYaqBhU8_DElYkX7l4wRkHqqCUFNJY4AfY3kHU/edit?usp=sharing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0" s="7" t="s">
        <v>10</v>
      </c>
      <c r="H10820" s="7">
        <v>3757</v>
      </c>
      <c r="I10820" s="8" t="str">
        <f ca="1">IFERROR(__xludf.DUMMYFUNCTION("IF
(
G10821=""фізична особа""
,
VLOOKUP(H10821,IMPORTRANGE(""https://docs.google.com/spreadsheets/d/14Bd19lYaqBhU8_DElYkX7l4wRkHqqCUFNJY4AfY3kHU/edit?usp=sharing  #gid=0"",""фіз особи new!relations_name""),6,FALSE)
,
(IF
(
G10821=""юридична особа""
,
VLOO"&amp;"KUP(H10821,IMPORTRANGE(""https://docs.google.com/spreadsheets/d/14Bd19lYaqBhU8_DElYkX7l4wRkHqqCUFNJY4AfY3kHU/edit?usp=sharing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10820" s="7" t="s">
        <v>23</v>
      </c>
    </row>
    <row r="10821" spans="1:10" ht="13.2">
      <c r="A10821" s="7">
        <v>10820</v>
      </c>
      <c r="B10821" s="7">
        <v>1</v>
      </c>
      <c r="C10821" s="7" t="s">
        <v>10</v>
      </c>
      <c r="D10821" s="7">
        <v>16953</v>
      </c>
      <c r="E10821" s="7" t="s">
        <v>23</v>
      </c>
      <c r="F10821" s="8" t="str">
        <f ca="1">IFERROR(__xludf.DUMMYFUNCTION("IF
(
C10822=""фізична особа""
,
VLOOKUP(D10822,IMPORTRANGE(""https://docs.google.com/spreadsheets/d/14Bd19lYaqBhU8_DElYkX7l4wRkHqqCUFNJY4AfY3kHU/edit?usp=sharing  #gid=0"",""фіз особи new!relations_name""),6,FALSE)
,
(IF
(
C10822=""юридична особа""
,
VLOO"&amp;"KUP(D10822,IMPORTRANGE(""https://docs.google.com/spreadsheets/d/14Bd19lYaqBhU8_DElYkX7l4wRkHqqCUFNJY4AfY3kHU/edit?usp=sharing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1" s="7" t="s">
        <v>10</v>
      </c>
      <c r="H10821" s="7">
        <v>16954</v>
      </c>
      <c r="I10821" s="8" t="str">
        <f ca="1">IFERROR(__xludf.DUMMYFUNCTION("IF
(
G10822=""фізична особа""
,
VLOOKUP(H10822,IMPORTRANGE(""https://docs.google.com/spreadsheets/d/14Bd19lYaqBhU8_DElYkX7l4wRkHqqCUFNJY4AfY3kHU/edit?usp=sharing  #gid=0"",""фіз особи new!relations_name""),6,FALSE)
,
(IF
(
G10822=""юридична особа""
,
VLOO"&amp;"KUP(H10822,IMPORTRANGE(""https://docs.google.com/spreadsheets/d/14Bd19lYaqBhU8_DElYkX7l4wRkHqqCUFNJY4AfY3kHU/edit?usp=sharing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J10821" s="7" t="s">
        <v>23</v>
      </c>
    </row>
    <row r="10822" spans="1:10" ht="13.2">
      <c r="A10822" s="7">
        <v>10821</v>
      </c>
      <c r="B10822" s="7">
        <v>1</v>
      </c>
      <c r="C10822" s="7" t="s">
        <v>10</v>
      </c>
      <c r="D10822" s="7">
        <v>16953</v>
      </c>
      <c r="E10822" s="7" t="s">
        <v>23</v>
      </c>
      <c r="F10822" s="8" t="str">
        <f ca="1">IFERROR(__xludf.DUMMYFUNCTION("IF
(
C10823=""фізична особа""
,
VLOOKUP(D10823,IMPORTRANGE(""https://docs.google.com/spreadsheets/d/14Bd19lYaqBhU8_DElYkX7l4wRkHqqCUFNJY4AfY3kHU/edit?usp=sharing  #gid=0"",""фіз особи new!relations_name""),6,FALSE)
,
(IF
(
C10823=""юридична особа""
,
VLOO"&amp;"KUP(D10823,IMPORTRANGE(""https://docs.google.com/spreadsheets/d/14Bd19lYaqBhU8_DElYkX7l4wRkHqqCUFNJY4AfY3kHU/edit?usp=sharing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2" s="7" t="s">
        <v>10</v>
      </c>
      <c r="H10822" s="7">
        <v>16955</v>
      </c>
      <c r="I10822" s="8" t="str">
        <f ca="1">IFERROR(__xludf.DUMMYFUNCTION("IF
(
G10823=""фізична особа""
,
VLOOKUP(H10823,IMPORTRANGE(""https://docs.google.com/spreadsheets/d/14Bd19lYaqBhU8_DElYkX7l4wRkHqqCUFNJY4AfY3kHU/edit?usp=sharing  #gid=0"",""фіз особи new!relations_name""),6,FALSE)
,
(IF
(
G10823=""юридична особа""
,
VLOO"&amp;"KUP(H10823,IMPORTRANGE(""https://docs.google.com/spreadsheets/d/14Bd19lYaqBhU8_DElYkX7l4wRkHqqCUFNJY4AfY3kHU/edit?usp=sharing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J10822" s="7" t="s">
        <v>23</v>
      </c>
    </row>
    <row r="10823" spans="1:10" ht="13.2">
      <c r="A10823" s="7">
        <v>10822</v>
      </c>
      <c r="B10823" s="7">
        <v>1</v>
      </c>
      <c r="C10823" s="7" t="s">
        <v>10</v>
      </c>
      <c r="D10823" s="7">
        <v>16953</v>
      </c>
      <c r="E10823" s="7" t="s">
        <v>23</v>
      </c>
      <c r="F10823" s="8" t="str">
        <f ca="1">IFERROR(__xludf.DUMMYFUNCTION("IF
(
C10824=""фізична особа""
,
VLOOKUP(D10824,IMPORTRANGE(""https://docs.google.com/spreadsheets/d/14Bd19lYaqBhU8_DElYkX7l4wRkHqqCUFNJY4AfY3kHU/edit?usp=sharing  #gid=0"",""фіз особи new!relations_name""),6,FALSE)
,
(IF
(
C10824=""юридична особа""
,
VLOO"&amp;"KUP(D10824,IMPORTRANGE(""https://docs.google.com/spreadsheets/d/14Bd19lYaqBhU8_DElYkX7l4wRkHqqCUFNJY4AfY3kHU/edit?usp=sharing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3" s="7" t="s">
        <v>10</v>
      </c>
      <c r="H10823" s="7">
        <v>16956</v>
      </c>
      <c r="I10823" s="8" t="str">
        <f ca="1">IFERROR(__xludf.DUMMYFUNCTION("IF
(
G10824=""фізична особа""
,
VLOOKUP(H10824,IMPORTRANGE(""https://docs.google.com/spreadsheets/d/14Bd19lYaqBhU8_DElYkX7l4wRkHqqCUFNJY4AfY3kHU/edit?usp=sharing  #gid=0"",""фіз особи new!relations_name""),6,FALSE)
,
(IF
(
G10824=""юридична особа""
,
VLOO"&amp;"KUP(H10824,IMPORTRANGE(""https://docs.google.com/spreadsheets/d/14Bd19lYaqBhU8_DElYkX7l4wRkHqqCUFNJY4AfY3kHU/edit?usp=sharing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J10823" s="7" t="s">
        <v>23</v>
      </c>
    </row>
    <row r="10824" spans="1:10" ht="13.2">
      <c r="A10824" s="7">
        <v>10823</v>
      </c>
      <c r="B10824" s="7">
        <v>1</v>
      </c>
      <c r="C10824" s="7" t="s">
        <v>10</v>
      </c>
      <c r="D10824" s="7">
        <v>16953</v>
      </c>
      <c r="E10824" s="7" t="s">
        <v>23</v>
      </c>
      <c r="F10824" s="8" t="str">
        <f ca="1">IFERROR(__xludf.DUMMYFUNCTION("IF
(
C10825=""фізична особа""
,
VLOOKUP(D10825,IMPORTRANGE(""https://docs.google.com/spreadsheets/d/14Bd19lYaqBhU8_DElYkX7l4wRkHqqCUFNJY4AfY3kHU/edit?usp=sharing  #gid=0"",""фіз особи new!relations_name""),6,FALSE)
,
(IF
(
C10825=""юридична особа""
,
VLOO"&amp;"KUP(D10825,IMPORTRANGE(""https://docs.google.com/spreadsheets/d/14Bd19lYaqBhU8_DElYkX7l4wRkHqqCUFNJY4AfY3kHU/edit?usp=sharing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4" s="7" t="s">
        <v>10</v>
      </c>
      <c r="H10824" s="7">
        <v>16957</v>
      </c>
      <c r="I10824" s="8" t="str">
        <f ca="1">IFERROR(__xludf.DUMMYFUNCTION("IF
(
G10825=""фізична особа""
,
VLOOKUP(H10825,IMPORTRANGE(""https://docs.google.com/spreadsheets/d/14Bd19lYaqBhU8_DElYkX7l4wRkHqqCUFNJY4AfY3kHU/edit?usp=sharing  #gid=0"",""фіз особи new!relations_name""),6,FALSE)
,
(IF
(
G10825=""юридична особа""
,
VLOO"&amp;"KUP(H10825,IMPORTRANGE(""https://docs.google.com/spreadsheets/d/14Bd19lYaqBhU8_DElYkX7l4wRkHqqCUFNJY4AfY3kHU/edit?usp=sharing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J10824" s="7" t="s">
        <v>23</v>
      </c>
    </row>
    <row r="10825" spans="1:10" ht="13.2">
      <c r="A10825" s="7">
        <v>10824</v>
      </c>
      <c r="B10825" s="7">
        <v>1</v>
      </c>
      <c r="C10825" s="7" t="s">
        <v>10</v>
      </c>
      <c r="D10825" s="7">
        <v>16953</v>
      </c>
      <c r="E10825" s="7" t="s">
        <v>23</v>
      </c>
      <c r="F10825" s="8" t="str">
        <f ca="1">IFERROR(__xludf.DUMMYFUNCTION("IF
(
C10826=""фізична особа""
,
VLOOKUP(D10826,IMPORTRANGE(""https://docs.google.com/spreadsheets/d/14Bd19lYaqBhU8_DElYkX7l4wRkHqqCUFNJY4AfY3kHU/edit?usp=sharing  #gid=0"",""фіз особи new!relations_name""),6,FALSE)
,
(IF
(
C10826=""юридична особа""
,
VLOO"&amp;"KUP(D10826,IMPORTRANGE(""https://docs.google.com/spreadsheets/d/14Bd19lYaqBhU8_DElYkX7l4wRkHqqCUFNJY4AfY3kHU/edit?usp=sharing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G10825" s="7" t="s">
        <v>10</v>
      </c>
      <c r="H10825" s="7">
        <v>9905</v>
      </c>
      <c r="I10825" s="8" t="str">
        <f ca="1">IFERROR(__xludf.DUMMYFUNCTION("IF
(
G10826=""фізична особа""
,
VLOOKUP(H10826,IMPORTRANGE(""https://docs.google.com/spreadsheets/d/14Bd19lYaqBhU8_DElYkX7l4wRkHqqCUFNJY4AfY3kHU/edit?usp=sharing  #gid=0"",""фіз особи new!relations_name""),6,FALSE)
,
(IF
(
G10826=""юридична особа""
,
VLOO"&amp;"KUP(H10826,IMPORTRANGE(""https://docs.google.com/spreadsheets/d/14Bd19lYaqBhU8_DElYkX7l4wRkHqqCUFNJY4AfY3kHU/edit?usp=sharing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J10825" s="7" t="s">
        <v>23</v>
      </c>
    </row>
    <row r="10826" spans="1:10" ht="13.2">
      <c r="A10826" s="7">
        <v>10825</v>
      </c>
      <c r="B10826" s="7">
        <v>1</v>
      </c>
      <c r="C10826" s="7" t="s">
        <v>10</v>
      </c>
      <c r="D10826" s="7">
        <v>16954</v>
      </c>
      <c r="E10826" s="7" t="s">
        <v>23</v>
      </c>
      <c r="F10826" s="8" t="str">
        <f ca="1">IFERROR(__xludf.DUMMYFUNCTION("IF
(
C10827=""фізична особа""
,
VLOOKUP(D10827,IMPORTRANGE(""https://docs.google.com/spreadsheets/d/14Bd19lYaqBhU8_DElYkX7l4wRkHqqCUFNJY4AfY3kHU/edit?usp=sharing  #gid=0"",""фіз особи new!relations_name""),6,FALSE)
,
(IF
(
C10827=""юридична особа""
,
VLOO"&amp;"KUP(D10827,IMPORTRANGE(""https://docs.google.com/spreadsheets/d/14Bd19lYaqBhU8_DElYkX7l4wRkHqqCUFNJY4AfY3kHU/edit?usp=sharing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26" s="7" t="s">
        <v>10</v>
      </c>
      <c r="H10826" s="7">
        <v>3757</v>
      </c>
      <c r="I10826" s="8" t="str">
        <f ca="1">IFERROR(__xludf.DUMMYFUNCTION("IF
(
G10827=""фізична особа""
,
VLOOKUP(H10827,IMPORTRANGE(""https://docs.google.com/spreadsheets/d/14Bd19lYaqBhU8_DElYkX7l4wRkHqqCUFNJY4AfY3kHU/edit?usp=sharing  #gid=0"",""фіз особи new!relations_name""),6,FALSE)
,
(IF
(
G10827=""юридична особа""
,
VLOO"&amp;"KUP(H10827,IMPORTRANGE(""https://docs.google.com/spreadsheets/d/14Bd19lYaqBhU8_DElYkX7l4wRkHqqCUFNJY4AfY3kHU/edit?usp=sharing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10826" s="7" t="s">
        <v>23</v>
      </c>
    </row>
    <row r="10827" spans="1:10" ht="13.2">
      <c r="A10827" s="7">
        <v>10826</v>
      </c>
      <c r="B10827" s="7">
        <v>1</v>
      </c>
      <c r="C10827" s="7" t="s">
        <v>10</v>
      </c>
      <c r="D10827" s="7">
        <v>16954</v>
      </c>
      <c r="E10827" s="7" t="s">
        <v>23</v>
      </c>
      <c r="F10827" s="8" t="str">
        <f ca="1">IFERROR(__xludf.DUMMYFUNCTION("IF
(
C10828=""фізична особа""
,
VLOOKUP(D10828,IMPORTRANGE(""https://docs.google.com/spreadsheets/d/14Bd19lYaqBhU8_DElYkX7l4wRkHqqCUFNJY4AfY3kHU/edit?usp=sharing  #gid=0"",""фіз особи new!relations_name""),6,FALSE)
,
(IF
(
C10828=""юридична особа""
,
VLOO"&amp;"KUP(D10828,IMPORTRANGE(""https://docs.google.com/spreadsheets/d/14Bd19lYaqBhU8_DElYkX7l4wRkHqqCUFNJY4AfY3kHU/edit?usp=sharing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27" s="7" t="s">
        <v>10</v>
      </c>
      <c r="H10827" s="7">
        <v>16953</v>
      </c>
      <c r="I10827" s="8" t="str">
        <f ca="1">IFERROR(__xludf.DUMMYFUNCTION("IF
(
G10828=""фізична особа""
,
VLOOKUP(H10828,IMPORTRANGE(""https://docs.google.com/spreadsheets/d/14Bd19lYaqBhU8_DElYkX7l4wRkHqqCUFNJY4AfY3kHU/edit?usp=sharing  #gid=0"",""фіз особи new!relations_name""),6,FALSE)
,
(IF
(
G10828=""юридична особа""
,
VLOO"&amp;"KUP(H10828,IMPORTRANGE(""https://docs.google.com/spreadsheets/d/14Bd19lYaqBhU8_DElYkX7l4wRkHqqCUFNJY4AfY3kHU/edit?usp=sharing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J10827" s="7" t="s">
        <v>23</v>
      </c>
    </row>
    <row r="10828" spans="1:10" ht="13.2">
      <c r="A10828" s="7">
        <v>10827</v>
      </c>
      <c r="B10828" s="7">
        <v>1</v>
      </c>
      <c r="C10828" s="7" t="s">
        <v>10</v>
      </c>
      <c r="D10828" s="7">
        <v>16954</v>
      </c>
      <c r="E10828" s="7" t="s">
        <v>23</v>
      </c>
      <c r="F10828" s="8" t="str">
        <f ca="1">IFERROR(__xludf.DUMMYFUNCTION("IF
(
C10829=""фізична особа""
,
VLOOKUP(D10829,IMPORTRANGE(""https://docs.google.com/spreadsheets/d/14Bd19lYaqBhU8_DElYkX7l4wRkHqqCUFNJY4AfY3kHU/edit?usp=sharing  #gid=0"",""фіз особи new!relations_name""),6,FALSE)
,
(IF
(
C10829=""юридична особа""
,
VLOO"&amp;"KUP(D10829,IMPORTRANGE(""https://docs.google.com/spreadsheets/d/14Bd19lYaqBhU8_DElYkX7l4wRkHqqCUFNJY4AfY3kHU/edit?usp=sharing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28" s="7" t="s">
        <v>10</v>
      </c>
      <c r="H10828" s="7">
        <v>16955</v>
      </c>
      <c r="I10828" s="8" t="str">
        <f ca="1">IFERROR(__xludf.DUMMYFUNCTION("IF
(
G10829=""фізична особа""
,
VLOOKUP(H10829,IMPORTRANGE(""https://docs.google.com/spreadsheets/d/14Bd19lYaqBhU8_DElYkX7l4wRkHqqCUFNJY4AfY3kHU/edit?usp=sharing  #gid=0"",""фіз особи new!relations_name""),6,FALSE)
,
(IF
(
G10829=""юридична особа""
,
VLOO"&amp;"KUP(H10829,IMPORTRANGE(""https://docs.google.com/spreadsheets/d/14Bd19lYaqBhU8_DElYkX7l4wRkHqqCUFNJY4AfY3kHU/edit?usp=sharing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J10828" s="7" t="s">
        <v>23</v>
      </c>
    </row>
    <row r="10829" spans="1:10" ht="13.2">
      <c r="A10829" s="7">
        <v>10828</v>
      </c>
      <c r="B10829" s="7">
        <v>1</v>
      </c>
      <c r="C10829" s="7" t="s">
        <v>10</v>
      </c>
      <c r="D10829" s="7">
        <v>16954</v>
      </c>
      <c r="E10829" s="7" t="s">
        <v>23</v>
      </c>
      <c r="F10829" s="8" t="str">
        <f ca="1">IFERROR(__xludf.DUMMYFUNCTION("IF
(
C10830=""фізична особа""
,
VLOOKUP(D10830,IMPORTRANGE(""https://docs.google.com/spreadsheets/d/14Bd19lYaqBhU8_DElYkX7l4wRkHqqCUFNJY4AfY3kHU/edit?usp=sharing  #gid=0"",""фіз особи new!relations_name""),6,FALSE)
,
(IF
(
C10830=""юридична особа""
,
VLOO"&amp;"KUP(D10830,IMPORTRANGE(""https://docs.google.com/spreadsheets/d/14Bd19lYaqBhU8_DElYkX7l4wRkHqqCUFNJY4AfY3kHU/edit?usp=sharing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29" s="7" t="s">
        <v>10</v>
      </c>
      <c r="H10829" s="7">
        <v>16956</v>
      </c>
      <c r="I10829" s="8" t="str">
        <f ca="1">IFERROR(__xludf.DUMMYFUNCTION("IF
(
G10830=""фізична особа""
,
VLOOKUP(H10830,IMPORTRANGE(""https://docs.google.com/spreadsheets/d/14Bd19lYaqBhU8_DElYkX7l4wRkHqqCUFNJY4AfY3kHU/edit?usp=sharing  #gid=0"",""фіз особи new!relations_name""),6,FALSE)
,
(IF
(
G10830=""юридична особа""
,
VLOO"&amp;"KUP(H10830,IMPORTRANGE(""https://docs.google.com/spreadsheets/d/14Bd19lYaqBhU8_DElYkX7l4wRkHqqCUFNJY4AfY3kHU/edit?usp=sharing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J10829" s="7" t="s">
        <v>23</v>
      </c>
    </row>
    <row r="10830" spans="1:10" ht="13.2">
      <c r="A10830" s="7">
        <v>10829</v>
      </c>
      <c r="B10830" s="7">
        <v>1</v>
      </c>
      <c r="C10830" s="7" t="s">
        <v>10</v>
      </c>
      <c r="D10830" s="7">
        <v>16954</v>
      </c>
      <c r="E10830" s="7" t="s">
        <v>23</v>
      </c>
      <c r="F10830" s="8" t="str">
        <f ca="1">IFERROR(__xludf.DUMMYFUNCTION("IF
(
C10831=""фізична особа""
,
VLOOKUP(D10831,IMPORTRANGE(""https://docs.google.com/spreadsheets/d/14Bd19lYaqBhU8_DElYkX7l4wRkHqqCUFNJY4AfY3kHU/edit?usp=sharing  #gid=0"",""фіз особи new!relations_name""),6,FALSE)
,
(IF
(
C10831=""юридична особа""
,
VLOO"&amp;"KUP(D10831,IMPORTRANGE(""https://docs.google.com/spreadsheets/d/14Bd19lYaqBhU8_DElYkX7l4wRkHqqCUFNJY4AfY3kHU/edit?usp=sharing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30" s="7" t="s">
        <v>10</v>
      </c>
      <c r="H10830" s="7">
        <v>16957</v>
      </c>
      <c r="I10830" s="8" t="str">
        <f ca="1">IFERROR(__xludf.DUMMYFUNCTION("IF
(
G10831=""фізична особа""
,
VLOOKUP(H10831,IMPORTRANGE(""https://docs.google.com/spreadsheets/d/14Bd19lYaqBhU8_DElYkX7l4wRkHqqCUFNJY4AfY3kHU/edit?usp=sharing  #gid=0"",""фіз особи new!relations_name""),6,FALSE)
,
(IF
(
G10831=""юридична особа""
,
VLOO"&amp;"KUP(H10831,IMPORTRANGE(""https://docs.google.com/spreadsheets/d/14Bd19lYaqBhU8_DElYkX7l4wRkHqqCUFNJY4AfY3kHU/edit?usp=sharing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J10830" s="7" t="s">
        <v>23</v>
      </c>
    </row>
    <row r="10831" spans="1:10" ht="13.2">
      <c r="A10831" s="7">
        <v>10830</v>
      </c>
      <c r="B10831" s="7">
        <v>1</v>
      </c>
      <c r="C10831" s="7" t="s">
        <v>10</v>
      </c>
      <c r="D10831" s="7">
        <v>16954</v>
      </c>
      <c r="E10831" s="7" t="s">
        <v>23</v>
      </c>
      <c r="F10831" s="8" t="str">
        <f ca="1">IFERROR(__xludf.DUMMYFUNCTION("IF
(
C10832=""фізична особа""
,
VLOOKUP(D10832,IMPORTRANGE(""https://docs.google.com/spreadsheets/d/14Bd19lYaqBhU8_DElYkX7l4wRkHqqCUFNJY4AfY3kHU/edit?usp=sharing  #gid=0"",""фіз особи new!relations_name""),6,FALSE)
,
(IF
(
C10832=""юридична особа""
,
VLOO"&amp;"KUP(D10832,IMPORTRANGE(""https://docs.google.com/spreadsheets/d/14Bd19lYaqBhU8_DElYkX7l4wRkHqqCUFNJY4AfY3kHU/edit?usp=sharing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G10831" s="7" t="s">
        <v>10</v>
      </c>
      <c r="H10831" s="7">
        <v>9905</v>
      </c>
      <c r="I10831" s="8" t="str">
        <f ca="1">IFERROR(__xludf.DUMMYFUNCTION("IF
(
G10832=""фізична особа""
,
VLOOKUP(H10832,IMPORTRANGE(""https://docs.google.com/spreadsheets/d/14Bd19lYaqBhU8_DElYkX7l4wRkHqqCUFNJY4AfY3kHU/edit?usp=sharing  #gid=0"",""фіз особи new!relations_name""),6,FALSE)
,
(IF
(
G10832=""юридична особа""
,
VLOO"&amp;"KUP(H10832,IMPORTRANGE(""https://docs.google.com/spreadsheets/d/14Bd19lYaqBhU8_DElYkX7l4wRkHqqCUFNJY4AfY3kHU/edit?usp=sharing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J10831" s="7" t="s">
        <v>23</v>
      </c>
    </row>
    <row r="10832" spans="1:10" ht="13.2">
      <c r="A10832" s="7">
        <v>10831</v>
      </c>
      <c r="B10832" s="7">
        <v>1</v>
      </c>
      <c r="C10832" s="7" t="s">
        <v>10</v>
      </c>
      <c r="D10832" s="7">
        <v>16955</v>
      </c>
      <c r="E10832" s="7" t="s">
        <v>23</v>
      </c>
      <c r="F10832" s="8" t="str">
        <f ca="1">IFERROR(__xludf.DUMMYFUNCTION("IF
(
C10833=""фізична особа""
,
VLOOKUP(D10833,IMPORTRANGE(""https://docs.google.com/spreadsheets/d/14Bd19lYaqBhU8_DElYkX7l4wRkHqqCUFNJY4AfY3kHU/edit?usp=sharing  #gid=0"",""фіз особи new!relations_name""),6,FALSE)
,
(IF
(
C10833=""юридична особа""
,
VLOO"&amp;"KUP(D10833,IMPORTRANGE(""https://docs.google.com/spreadsheets/d/14Bd19lYaqBhU8_DElYkX7l4wRkHqqCUFNJY4AfY3kHU/edit?usp=sharing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2" s="7" t="s">
        <v>10</v>
      </c>
      <c r="H10832" s="7">
        <v>3757</v>
      </c>
      <c r="I10832" s="8" t="str">
        <f ca="1">IFERROR(__xludf.DUMMYFUNCTION("IF
(
G10833=""фізична особа""
,
VLOOKUP(H10833,IMPORTRANGE(""https://docs.google.com/spreadsheets/d/14Bd19lYaqBhU8_DElYkX7l4wRkHqqCUFNJY4AfY3kHU/edit?usp=sharing  #gid=0"",""фіз особи new!relations_name""),6,FALSE)
,
(IF
(
G10833=""юридична особа""
,
VLOO"&amp;"KUP(H10833,IMPORTRANGE(""https://docs.google.com/spreadsheets/d/14Bd19lYaqBhU8_DElYkX7l4wRkHqqCUFNJY4AfY3kHU/edit?usp=sharing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10832" s="7" t="s">
        <v>23</v>
      </c>
    </row>
    <row r="10833" spans="1:10" ht="13.2">
      <c r="A10833" s="7">
        <v>10832</v>
      </c>
      <c r="B10833" s="7">
        <v>1</v>
      </c>
      <c r="C10833" s="7" t="s">
        <v>10</v>
      </c>
      <c r="D10833" s="7">
        <v>16955</v>
      </c>
      <c r="E10833" s="7" t="s">
        <v>23</v>
      </c>
      <c r="F10833" s="8" t="str">
        <f ca="1">IFERROR(__xludf.DUMMYFUNCTION("IF
(
C10834=""фізична особа""
,
VLOOKUP(D10834,IMPORTRANGE(""https://docs.google.com/spreadsheets/d/14Bd19lYaqBhU8_DElYkX7l4wRkHqqCUFNJY4AfY3kHU/edit?usp=sharing  #gid=0"",""фіз особи new!relations_name""),6,FALSE)
,
(IF
(
C10834=""юридична особа""
,
VLOO"&amp;"KUP(D10834,IMPORTRANGE(""https://docs.google.com/spreadsheets/d/14Bd19lYaqBhU8_DElYkX7l4wRkHqqCUFNJY4AfY3kHU/edit?usp=sharing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3" s="7" t="s">
        <v>10</v>
      </c>
      <c r="H10833" s="7">
        <v>16953</v>
      </c>
      <c r="I10833" s="8" t="str">
        <f ca="1">IFERROR(__xludf.DUMMYFUNCTION("IF
(
G10834=""фізична особа""
,
VLOOKUP(H10834,IMPORTRANGE(""https://docs.google.com/spreadsheets/d/14Bd19lYaqBhU8_DElYkX7l4wRkHqqCUFNJY4AfY3kHU/edit?usp=sharing  #gid=0"",""фіз особи new!relations_name""),6,FALSE)
,
(IF
(
G10834=""юридична особа""
,
VLOO"&amp;"KUP(H10834,IMPORTRANGE(""https://docs.google.com/spreadsheets/d/14Bd19lYaqBhU8_DElYkX7l4wRkHqqCUFNJY4AfY3kHU/edit?usp=sharing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J10833" s="7" t="s">
        <v>23</v>
      </c>
    </row>
    <row r="10834" spans="1:10" ht="13.2">
      <c r="A10834" s="7">
        <v>10833</v>
      </c>
      <c r="B10834" s="7">
        <v>1</v>
      </c>
      <c r="C10834" s="7" t="s">
        <v>10</v>
      </c>
      <c r="D10834" s="7">
        <v>16955</v>
      </c>
      <c r="E10834" s="7" t="s">
        <v>23</v>
      </c>
      <c r="F10834" s="8" t="str">
        <f ca="1">IFERROR(__xludf.DUMMYFUNCTION("IF
(
C10835=""фізична особа""
,
VLOOKUP(D10835,IMPORTRANGE(""https://docs.google.com/spreadsheets/d/14Bd19lYaqBhU8_DElYkX7l4wRkHqqCUFNJY4AfY3kHU/edit?usp=sharing  #gid=0"",""фіз особи new!relations_name""),6,FALSE)
,
(IF
(
C10835=""юридична особа""
,
VLOO"&amp;"KUP(D10835,IMPORTRANGE(""https://docs.google.com/spreadsheets/d/14Bd19lYaqBhU8_DElYkX7l4wRkHqqCUFNJY4AfY3kHU/edit?usp=sharing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4" s="7" t="s">
        <v>10</v>
      </c>
      <c r="H10834" s="7">
        <v>16954</v>
      </c>
      <c r="I10834" s="8" t="str">
        <f ca="1">IFERROR(__xludf.DUMMYFUNCTION("IF
(
G10835=""фізична особа""
,
VLOOKUP(H10835,IMPORTRANGE(""https://docs.google.com/spreadsheets/d/14Bd19lYaqBhU8_DElYkX7l4wRkHqqCUFNJY4AfY3kHU/edit?usp=sharing  #gid=0"",""фіз особи new!relations_name""),6,FALSE)
,
(IF
(
G10835=""юридична особа""
,
VLOO"&amp;"KUP(H10835,IMPORTRANGE(""https://docs.google.com/spreadsheets/d/14Bd19lYaqBhU8_DElYkX7l4wRkHqqCUFNJY4AfY3kHU/edit?usp=sharing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J10834" s="7" t="s">
        <v>23</v>
      </c>
    </row>
    <row r="10835" spans="1:10" ht="13.2">
      <c r="A10835" s="7">
        <v>10834</v>
      </c>
      <c r="B10835" s="7">
        <v>1</v>
      </c>
      <c r="C10835" s="7" t="s">
        <v>10</v>
      </c>
      <c r="D10835" s="7">
        <v>16955</v>
      </c>
      <c r="E10835" s="7" t="s">
        <v>23</v>
      </c>
      <c r="F10835" s="8" t="str">
        <f ca="1">IFERROR(__xludf.DUMMYFUNCTION("IF
(
C10836=""фізична особа""
,
VLOOKUP(D10836,IMPORTRANGE(""https://docs.google.com/spreadsheets/d/14Bd19lYaqBhU8_DElYkX7l4wRkHqqCUFNJY4AfY3kHU/edit?usp=sharing  #gid=0"",""фіз особи new!relations_name""),6,FALSE)
,
(IF
(
C10836=""юридична особа""
,
VLOO"&amp;"KUP(D10836,IMPORTRANGE(""https://docs.google.com/spreadsheets/d/14Bd19lYaqBhU8_DElYkX7l4wRkHqqCUFNJY4AfY3kHU/edit?usp=sharing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5" s="7" t="s">
        <v>10</v>
      </c>
      <c r="H10835" s="7">
        <v>16956</v>
      </c>
      <c r="I10835" s="8" t="str">
        <f ca="1">IFERROR(__xludf.DUMMYFUNCTION("IF
(
G10836=""фізична особа""
,
VLOOKUP(H10836,IMPORTRANGE(""https://docs.google.com/spreadsheets/d/14Bd19lYaqBhU8_DElYkX7l4wRkHqqCUFNJY4AfY3kHU/edit?usp=sharing  #gid=0"",""фіз особи new!relations_name""),6,FALSE)
,
(IF
(
G10836=""юридична особа""
,
VLOO"&amp;"KUP(H10836,IMPORTRANGE(""https://docs.google.com/spreadsheets/d/14Bd19lYaqBhU8_DElYkX7l4wRkHqqCUFNJY4AfY3kHU/edit?usp=sharing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J10835" s="7" t="s">
        <v>23</v>
      </c>
    </row>
    <row r="10836" spans="1:10" ht="13.2">
      <c r="A10836" s="7">
        <v>10835</v>
      </c>
      <c r="B10836" s="7">
        <v>1</v>
      </c>
      <c r="C10836" s="7" t="s">
        <v>10</v>
      </c>
      <c r="D10836" s="7">
        <v>16955</v>
      </c>
      <c r="E10836" s="7" t="s">
        <v>23</v>
      </c>
      <c r="F10836" s="8" t="str">
        <f ca="1">IFERROR(__xludf.DUMMYFUNCTION("IF
(
C10837=""фізична особа""
,
VLOOKUP(D10837,IMPORTRANGE(""https://docs.google.com/spreadsheets/d/14Bd19lYaqBhU8_DElYkX7l4wRkHqqCUFNJY4AfY3kHU/edit?usp=sharing  #gid=0"",""фіз особи new!relations_name""),6,FALSE)
,
(IF
(
C10837=""юридична особа""
,
VLOO"&amp;"KUP(D10837,IMPORTRANGE(""https://docs.google.com/spreadsheets/d/14Bd19lYaqBhU8_DElYkX7l4wRkHqqCUFNJY4AfY3kHU/edit?usp=sharing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6" s="7" t="s">
        <v>10</v>
      </c>
      <c r="H10836" s="7">
        <v>16957</v>
      </c>
      <c r="I10836" s="8" t="str">
        <f ca="1">IFERROR(__xludf.DUMMYFUNCTION("IF
(
G10837=""фізична особа""
,
VLOOKUP(H10837,IMPORTRANGE(""https://docs.google.com/spreadsheets/d/14Bd19lYaqBhU8_DElYkX7l4wRkHqqCUFNJY4AfY3kHU/edit?usp=sharing  #gid=0"",""фіз особи new!relations_name""),6,FALSE)
,
(IF
(
G10837=""юридична особа""
,
VLOO"&amp;"KUP(H10837,IMPORTRANGE(""https://docs.google.com/spreadsheets/d/14Bd19lYaqBhU8_DElYkX7l4wRkHqqCUFNJY4AfY3kHU/edit?usp=sharing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J10836" s="7" t="s">
        <v>23</v>
      </c>
    </row>
    <row r="10837" spans="1:10" ht="13.2">
      <c r="A10837" s="7">
        <v>10836</v>
      </c>
      <c r="B10837" s="7">
        <v>1</v>
      </c>
      <c r="C10837" s="7" t="s">
        <v>10</v>
      </c>
      <c r="D10837" s="7">
        <v>16955</v>
      </c>
      <c r="E10837" s="7" t="s">
        <v>23</v>
      </c>
      <c r="F10837" s="8" t="str">
        <f ca="1">IFERROR(__xludf.DUMMYFUNCTION("IF
(
C10838=""фізична особа""
,
VLOOKUP(D10838,IMPORTRANGE(""https://docs.google.com/spreadsheets/d/14Bd19lYaqBhU8_DElYkX7l4wRkHqqCUFNJY4AfY3kHU/edit?usp=sharing  #gid=0"",""фіз особи new!relations_name""),6,FALSE)
,
(IF
(
C10838=""юридична особа""
,
VLOO"&amp;"KUP(D10838,IMPORTRANGE(""https://docs.google.com/spreadsheets/d/14Bd19lYaqBhU8_DElYkX7l4wRkHqqCUFNJY4AfY3kHU/edit?usp=sharing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G10837" s="7" t="s">
        <v>10</v>
      </c>
      <c r="H10837" s="7">
        <v>9905</v>
      </c>
      <c r="I10837" s="8" t="str">
        <f ca="1">IFERROR(__xludf.DUMMYFUNCTION("IF
(
G10838=""фізична особа""
,
VLOOKUP(H10838,IMPORTRANGE(""https://docs.google.com/spreadsheets/d/14Bd19lYaqBhU8_DElYkX7l4wRkHqqCUFNJY4AfY3kHU/edit?usp=sharing  #gid=0"",""фіз особи new!relations_name""),6,FALSE)
,
(IF
(
G10838=""юридична особа""
,
VLOO"&amp;"KUP(H10838,IMPORTRANGE(""https://docs.google.com/spreadsheets/d/14Bd19lYaqBhU8_DElYkX7l4wRkHqqCUFNJY4AfY3kHU/edit?usp=sharing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J10837" s="7" t="s">
        <v>23</v>
      </c>
    </row>
    <row r="10838" spans="1:10" ht="13.2">
      <c r="A10838" s="7">
        <v>10837</v>
      </c>
      <c r="B10838" s="7">
        <v>1</v>
      </c>
      <c r="C10838" s="7" t="s">
        <v>10</v>
      </c>
      <c r="D10838" s="7">
        <v>16956</v>
      </c>
      <c r="E10838" s="7" t="s">
        <v>23</v>
      </c>
      <c r="F10838" s="8" t="str">
        <f ca="1">IFERROR(__xludf.DUMMYFUNCTION("IF
(
C10839=""фізична особа""
,
VLOOKUP(D10839,IMPORTRANGE(""https://docs.google.com/spreadsheets/d/14Bd19lYaqBhU8_DElYkX7l4wRkHqqCUFNJY4AfY3kHU/edit?usp=sharing  #gid=0"",""фіз особи new!relations_name""),6,FALSE)
,
(IF
(
C10839=""юридична особа""
,
VLOO"&amp;"KUP(D10839,IMPORTRANGE(""https://docs.google.com/spreadsheets/d/14Bd19lYaqBhU8_DElYkX7l4wRkHqqCUFNJY4AfY3kHU/edit?usp=sharing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38" s="7" t="s">
        <v>10</v>
      </c>
      <c r="H10838" s="7">
        <v>3757</v>
      </c>
      <c r="I10838" s="8" t="str">
        <f ca="1">IFERROR(__xludf.DUMMYFUNCTION("IF
(
G10839=""фізична особа""
,
VLOOKUP(H10839,IMPORTRANGE(""https://docs.google.com/spreadsheets/d/14Bd19lYaqBhU8_DElYkX7l4wRkHqqCUFNJY4AfY3kHU/edit?usp=sharing  #gid=0"",""фіз особи new!relations_name""),6,FALSE)
,
(IF
(
G10839=""юридична особа""
,
VLOO"&amp;"KUP(H10839,IMPORTRANGE(""https://docs.google.com/spreadsheets/d/14Bd19lYaqBhU8_DElYkX7l4wRkHqqCUFNJY4AfY3kHU/edit?usp=sharing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10838" s="7" t="s">
        <v>23</v>
      </c>
    </row>
    <row r="10839" spans="1:10" ht="13.2">
      <c r="A10839" s="7">
        <v>10838</v>
      </c>
      <c r="B10839" s="7">
        <v>1</v>
      </c>
      <c r="C10839" s="7" t="s">
        <v>10</v>
      </c>
      <c r="D10839" s="7">
        <v>16956</v>
      </c>
      <c r="E10839" s="7" t="s">
        <v>23</v>
      </c>
      <c r="F10839" s="8" t="str">
        <f ca="1">IFERROR(__xludf.DUMMYFUNCTION("IF
(
C10840=""фізична особа""
,
VLOOKUP(D10840,IMPORTRANGE(""https://docs.google.com/spreadsheets/d/14Bd19lYaqBhU8_DElYkX7l4wRkHqqCUFNJY4AfY3kHU/edit?usp=sharing  #gid=0"",""фіз особи new!relations_name""),6,FALSE)
,
(IF
(
C10840=""юридична особа""
,
VLOO"&amp;"KUP(D10840,IMPORTRANGE(""https://docs.google.com/spreadsheets/d/14Bd19lYaqBhU8_DElYkX7l4wRkHqqCUFNJY4AfY3kHU/edit?usp=sharing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39" s="7" t="s">
        <v>10</v>
      </c>
      <c r="H10839" s="7">
        <v>16953</v>
      </c>
      <c r="I10839" s="8" t="str">
        <f ca="1">IFERROR(__xludf.DUMMYFUNCTION("IF
(
G10840=""фізична особа""
,
VLOOKUP(H10840,IMPORTRANGE(""https://docs.google.com/spreadsheets/d/14Bd19lYaqBhU8_DElYkX7l4wRkHqqCUFNJY4AfY3kHU/edit?usp=sharing  #gid=0"",""фіз особи new!relations_name""),6,FALSE)
,
(IF
(
G10840=""юридична особа""
,
VLOO"&amp;"KUP(H10840,IMPORTRANGE(""https://docs.google.com/spreadsheets/d/14Bd19lYaqBhU8_DElYkX7l4wRkHqqCUFNJY4AfY3kHU/edit?usp=sharing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J10839" s="7" t="s">
        <v>23</v>
      </c>
    </row>
    <row r="10840" spans="1:10" ht="13.2">
      <c r="A10840" s="7">
        <v>10839</v>
      </c>
      <c r="B10840" s="7">
        <v>1</v>
      </c>
      <c r="C10840" s="7" t="s">
        <v>10</v>
      </c>
      <c r="D10840" s="7">
        <v>16956</v>
      </c>
      <c r="E10840" s="7" t="s">
        <v>23</v>
      </c>
      <c r="F10840" s="8" t="str">
        <f ca="1">IFERROR(__xludf.DUMMYFUNCTION("IF
(
C10841=""фізична особа""
,
VLOOKUP(D10841,IMPORTRANGE(""https://docs.google.com/spreadsheets/d/14Bd19lYaqBhU8_DElYkX7l4wRkHqqCUFNJY4AfY3kHU/edit?usp=sharing  #gid=0"",""фіз особи new!relations_name""),6,FALSE)
,
(IF
(
C10841=""юридична особа""
,
VLOO"&amp;"KUP(D10841,IMPORTRANGE(""https://docs.google.com/spreadsheets/d/14Bd19lYaqBhU8_DElYkX7l4wRkHqqCUFNJY4AfY3kHU/edit?usp=sharing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40" s="7" t="s">
        <v>10</v>
      </c>
      <c r="H10840" s="7">
        <v>16954</v>
      </c>
      <c r="I10840" s="8" t="str">
        <f ca="1">IFERROR(__xludf.DUMMYFUNCTION("IF
(
G10841=""фізична особа""
,
VLOOKUP(H10841,IMPORTRANGE(""https://docs.google.com/spreadsheets/d/14Bd19lYaqBhU8_DElYkX7l4wRkHqqCUFNJY4AfY3kHU/edit?usp=sharing  #gid=0"",""фіз особи new!relations_name""),6,FALSE)
,
(IF
(
G10841=""юридична особа""
,
VLOO"&amp;"KUP(H10841,IMPORTRANGE(""https://docs.google.com/spreadsheets/d/14Bd19lYaqBhU8_DElYkX7l4wRkHqqCUFNJY4AfY3kHU/edit?usp=sharing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J10840" s="7" t="s">
        <v>23</v>
      </c>
    </row>
    <row r="10841" spans="1:10" ht="13.2">
      <c r="A10841" s="7">
        <v>10840</v>
      </c>
      <c r="B10841" s="7">
        <v>1</v>
      </c>
      <c r="C10841" s="7" t="s">
        <v>10</v>
      </c>
      <c r="D10841" s="7">
        <v>16956</v>
      </c>
      <c r="E10841" s="7" t="s">
        <v>23</v>
      </c>
      <c r="F10841" s="8" t="str">
        <f ca="1">IFERROR(__xludf.DUMMYFUNCTION("IF
(
C10842=""фізична особа""
,
VLOOKUP(D10842,IMPORTRANGE(""https://docs.google.com/spreadsheets/d/14Bd19lYaqBhU8_DElYkX7l4wRkHqqCUFNJY4AfY3kHU/edit?usp=sharing  #gid=0"",""фіз особи new!relations_name""),6,FALSE)
,
(IF
(
C10842=""юридична особа""
,
VLOO"&amp;"KUP(D10842,IMPORTRANGE(""https://docs.google.com/spreadsheets/d/14Bd19lYaqBhU8_DElYkX7l4wRkHqqCUFNJY4AfY3kHU/edit?usp=sharing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41" s="7" t="s">
        <v>10</v>
      </c>
      <c r="H10841" s="7">
        <v>16955</v>
      </c>
      <c r="I10841" s="8" t="str">
        <f ca="1">IFERROR(__xludf.DUMMYFUNCTION("IF
(
G10842=""фізична особа""
,
VLOOKUP(H10842,IMPORTRANGE(""https://docs.google.com/spreadsheets/d/14Bd19lYaqBhU8_DElYkX7l4wRkHqqCUFNJY4AfY3kHU/edit?usp=sharing  #gid=0"",""фіз особи new!relations_name""),6,FALSE)
,
(IF
(
G10842=""юридична особа""
,
VLOO"&amp;"KUP(H10842,IMPORTRANGE(""https://docs.google.com/spreadsheets/d/14Bd19lYaqBhU8_DElYkX7l4wRkHqqCUFNJY4AfY3kHU/edit?usp=sharing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J10841" s="7" t="s">
        <v>23</v>
      </c>
    </row>
    <row r="10842" spans="1:10" ht="13.2">
      <c r="A10842" s="7">
        <v>10841</v>
      </c>
      <c r="B10842" s="7">
        <v>1</v>
      </c>
      <c r="C10842" s="7" t="s">
        <v>10</v>
      </c>
      <c r="D10842" s="7">
        <v>16956</v>
      </c>
      <c r="E10842" s="7" t="s">
        <v>23</v>
      </c>
      <c r="F10842" s="8" t="str">
        <f ca="1">IFERROR(__xludf.DUMMYFUNCTION("IF
(
C10843=""фізична особа""
,
VLOOKUP(D10843,IMPORTRANGE(""https://docs.google.com/spreadsheets/d/14Bd19lYaqBhU8_DElYkX7l4wRkHqqCUFNJY4AfY3kHU/edit?usp=sharing  #gid=0"",""фіз особи new!relations_name""),6,FALSE)
,
(IF
(
C10843=""юридична особа""
,
VLOO"&amp;"KUP(D10843,IMPORTRANGE(""https://docs.google.com/spreadsheets/d/14Bd19lYaqBhU8_DElYkX7l4wRkHqqCUFNJY4AfY3kHU/edit?usp=sharing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42" s="7" t="s">
        <v>10</v>
      </c>
      <c r="H10842" s="7">
        <v>16957</v>
      </c>
      <c r="I10842" s="8" t="str">
        <f ca="1">IFERROR(__xludf.DUMMYFUNCTION("IF
(
G10843=""фізична особа""
,
VLOOKUP(H10843,IMPORTRANGE(""https://docs.google.com/spreadsheets/d/14Bd19lYaqBhU8_DElYkX7l4wRkHqqCUFNJY4AfY3kHU/edit?usp=sharing  #gid=0"",""фіз особи new!relations_name""),6,FALSE)
,
(IF
(
G10843=""юридична особа""
,
VLOO"&amp;"KUP(H10843,IMPORTRANGE(""https://docs.google.com/spreadsheets/d/14Bd19lYaqBhU8_DElYkX7l4wRkHqqCUFNJY4AfY3kHU/edit?usp=sharing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J10842" s="7" t="s">
        <v>23</v>
      </c>
    </row>
    <row r="10843" spans="1:10" ht="13.2">
      <c r="A10843" s="7">
        <v>10842</v>
      </c>
      <c r="B10843" s="7">
        <v>1</v>
      </c>
      <c r="C10843" s="7" t="s">
        <v>10</v>
      </c>
      <c r="D10843" s="7">
        <v>16956</v>
      </c>
      <c r="E10843" s="7" t="s">
        <v>23</v>
      </c>
      <c r="F10843" s="8" t="str">
        <f ca="1">IFERROR(__xludf.DUMMYFUNCTION("IF
(
C10844=""фізична особа""
,
VLOOKUP(D10844,IMPORTRANGE(""https://docs.google.com/spreadsheets/d/14Bd19lYaqBhU8_DElYkX7l4wRkHqqCUFNJY4AfY3kHU/edit?usp=sharing  #gid=0"",""фіз особи new!relations_name""),6,FALSE)
,
(IF
(
C10844=""юридична особа""
,
VLOO"&amp;"KUP(D10844,IMPORTRANGE(""https://docs.google.com/spreadsheets/d/14Bd19lYaqBhU8_DElYkX7l4wRkHqqCUFNJY4AfY3kHU/edit?usp=sharing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G10843" s="7" t="s">
        <v>10</v>
      </c>
      <c r="H10843" s="7">
        <v>9905</v>
      </c>
      <c r="I10843" s="8" t="str">
        <f ca="1">IFERROR(__xludf.DUMMYFUNCTION("IF
(
G10844=""фізична особа""
,
VLOOKUP(H10844,IMPORTRANGE(""https://docs.google.com/spreadsheets/d/14Bd19lYaqBhU8_DElYkX7l4wRkHqqCUFNJY4AfY3kHU/edit?usp=sharing  #gid=0"",""фіз особи new!relations_name""),6,FALSE)
,
(IF
(
G10844=""юридична особа""
,
VLOO"&amp;"KUP(H10844,IMPORTRANGE(""https://docs.google.com/spreadsheets/d/14Bd19lYaqBhU8_DElYkX7l4wRkHqqCUFNJY4AfY3kHU/edit?usp=sharing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J10843" s="7" t="s">
        <v>23</v>
      </c>
    </row>
    <row r="10844" spans="1:10" ht="13.2">
      <c r="A10844" s="7">
        <v>10843</v>
      </c>
      <c r="B10844" s="7">
        <v>1</v>
      </c>
      <c r="C10844" s="7" t="s">
        <v>10</v>
      </c>
      <c r="D10844" s="7">
        <v>16957</v>
      </c>
      <c r="E10844" s="7" t="s">
        <v>23</v>
      </c>
      <c r="F10844" s="8" t="str">
        <f ca="1">IFERROR(__xludf.DUMMYFUNCTION("IF
(
C10845=""фізична особа""
,
VLOOKUP(D10845,IMPORTRANGE(""https://docs.google.com/spreadsheets/d/14Bd19lYaqBhU8_DElYkX7l4wRkHqqCUFNJY4AfY3kHU/edit?usp=sharing  #gid=0"",""фіз особи new!relations_name""),6,FALSE)
,
(IF
(
C10845=""юридична особа""
,
VLOO"&amp;"KUP(D10845,IMPORTRANGE(""https://docs.google.com/spreadsheets/d/14Bd19lYaqBhU8_DElYkX7l4wRkHqqCUFNJY4AfY3kHU/edit?usp=sharing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4" s="7" t="s">
        <v>10</v>
      </c>
      <c r="H10844" s="7">
        <v>3757</v>
      </c>
      <c r="I10844" s="8" t="str">
        <f ca="1">IFERROR(__xludf.DUMMYFUNCTION("IF
(
G10845=""фізична особа""
,
VLOOKUP(H10845,IMPORTRANGE(""https://docs.google.com/spreadsheets/d/14Bd19lYaqBhU8_DElYkX7l4wRkHqqCUFNJY4AfY3kHU/edit?usp=sharing  #gid=0"",""фіз особи new!relations_name""),6,FALSE)
,
(IF
(
G10845=""юридична особа""
,
VLOO"&amp;"KUP(H10845,IMPORTRANGE(""https://docs.google.com/spreadsheets/d/14Bd19lYaqBhU8_DElYkX7l4wRkHqqCUFNJY4AfY3kHU/edit?usp=sharing  #gid=0"",""фіз особи new!relations_name_uo""),7,FALSE)
,
)
))"),"АФАНАСЬЄВ Віктор Спиридонович")</f>
        <v>АФАНАСЬЄВ Віктор Спиридонович</v>
      </c>
      <c r="J10844" s="7" t="s">
        <v>23</v>
      </c>
    </row>
    <row r="10845" spans="1:10" ht="13.2">
      <c r="A10845" s="7">
        <v>10844</v>
      </c>
      <c r="B10845" s="7">
        <v>1</v>
      </c>
      <c r="C10845" s="7" t="s">
        <v>10</v>
      </c>
      <c r="D10845" s="7">
        <v>16957</v>
      </c>
      <c r="E10845" s="7" t="s">
        <v>23</v>
      </c>
      <c r="F10845" s="8" t="str">
        <f ca="1">IFERROR(__xludf.DUMMYFUNCTION("IF
(
C10846=""фізична особа""
,
VLOOKUP(D10846,IMPORTRANGE(""https://docs.google.com/spreadsheets/d/14Bd19lYaqBhU8_DElYkX7l4wRkHqqCUFNJY4AfY3kHU/edit?usp=sharing  #gid=0"",""фіз особи new!relations_name""),6,FALSE)
,
(IF
(
C10846=""юридична особа""
,
VLOO"&amp;"KUP(D10846,IMPORTRANGE(""https://docs.google.com/spreadsheets/d/14Bd19lYaqBhU8_DElYkX7l4wRkHqqCUFNJY4AfY3kHU/edit?usp=sharing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5" s="7" t="s">
        <v>10</v>
      </c>
      <c r="H10845" s="7">
        <v>16953</v>
      </c>
      <c r="I10845" s="8" t="str">
        <f ca="1">IFERROR(__xludf.DUMMYFUNCTION("IF
(
G10846=""фізична особа""
,
VLOOKUP(H10846,IMPORTRANGE(""https://docs.google.com/spreadsheets/d/14Bd19lYaqBhU8_DElYkX7l4wRkHqqCUFNJY4AfY3kHU/edit?usp=sharing  #gid=0"",""фіз особи new!relations_name""),6,FALSE)
,
(IF
(
G10846=""юридична особа""
,
VLOO"&amp;"KUP(H10846,IMPORTRANGE(""https://docs.google.com/spreadsheets/d/14Bd19lYaqBhU8_DElYkX7l4wRkHqqCUFNJY4AfY3kHU/edit?usp=sharing  #gid=0"",""фіз особи new!relations_name_uo""),7,FALSE)
,
)
))"),"ВЕШНЯКОВ Євгеній Миколайович")</f>
        <v>ВЕШНЯКОВ Євгеній Миколайович</v>
      </c>
      <c r="J10845" s="7" t="s">
        <v>23</v>
      </c>
    </row>
    <row r="10846" spans="1:10" ht="13.2">
      <c r="A10846" s="7">
        <v>10845</v>
      </c>
      <c r="B10846" s="7">
        <v>1</v>
      </c>
      <c r="C10846" s="7" t="s">
        <v>10</v>
      </c>
      <c r="D10846" s="7">
        <v>16957</v>
      </c>
      <c r="E10846" s="7" t="s">
        <v>23</v>
      </c>
      <c r="F10846" s="8" t="str">
        <f ca="1">IFERROR(__xludf.DUMMYFUNCTION("IF
(
C10847=""фізична особа""
,
VLOOKUP(D10847,IMPORTRANGE(""https://docs.google.com/spreadsheets/d/14Bd19lYaqBhU8_DElYkX7l4wRkHqqCUFNJY4AfY3kHU/edit?usp=sharing  #gid=0"",""фіз особи new!relations_name""),6,FALSE)
,
(IF
(
C10847=""юридична особа""
,
VLOO"&amp;"KUP(D10847,IMPORTRANGE(""https://docs.google.com/spreadsheets/d/14Bd19lYaqBhU8_DElYkX7l4wRkHqqCUFNJY4AfY3kHU/edit?usp=sharing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6" s="7" t="s">
        <v>10</v>
      </c>
      <c r="H10846" s="7">
        <v>16954</v>
      </c>
      <c r="I10846" s="8" t="str">
        <f ca="1">IFERROR(__xludf.DUMMYFUNCTION("IF
(
G10847=""фізична особа""
,
VLOOKUP(H10847,IMPORTRANGE(""https://docs.google.com/spreadsheets/d/14Bd19lYaqBhU8_DElYkX7l4wRkHqqCUFNJY4AfY3kHU/edit?usp=sharing  #gid=0"",""фіз особи new!relations_name""),6,FALSE)
,
(IF
(
G10847=""юридична особа""
,
VLOO"&amp;"KUP(H10847,IMPORTRANGE(""https://docs.google.com/spreadsheets/d/14Bd19lYaqBhU8_DElYkX7l4wRkHqqCUFNJY4AfY3kHU/edit?usp=sharing  #gid=0"",""фіз особи new!relations_name_uo""),7,FALSE)
,
)
))"),"СЕМЕНОВА Олена Іллівна")</f>
        <v>СЕМЕНОВА Олена Іллівна</v>
      </c>
      <c r="J10846" s="7" t="s">
        <v>23</v>
      </c>
    </row>
    <row r="10847" spans="1:10" ht="13.2">
      <c r="A10847" s="7">
        <v>10846</v>
      </c>
      <c r="B10847" s="7">
        <v>1</v>
      </c>
      <c r="C10847" s="7" t="s">
        <v>10</v>
      </c>
      <c r="D10847" s="7">
        <v>16957</v>
      </c>
      <c r="E10847" s="7" t="s">
        <v>23</v>
      </c>
      <c r="F10847" s="8" t="str">
        <f ca="1">IFERROR(__xludf.DUMMYFUNCTION("IF
(
C10848=""фізична особа""
,
VLOOKUP(D10848,IMPORTRANGE(""https://docs.google.com/spreadsheets/d/14Bd19lYaqBhU8_DElYkX7l4wRkHqqCUFNJY4AfY3kHU/edit?usp=sharing  #gid=0"",""фіз особи new!relations_name""),6,FALSE)
,
(IF
(
C10848=""юридична особа""
,
VLOO"&amp;"KUP(D10848,IMPORTRANGE(""https://docs.google.com/spreadsheets/d/14Bd19lYaqBhU8_DElYkX7l4wRkHqqCUFNJY4AfY3kHU/edit?usp=sharing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7" s="7" t="s">
        <v>10</v>
      </c>
      <c r="H10847" s="7">
        <v>16955</v>
      </c>
      <c r="I10847" s="8" t="str">
        <f ca="1">IFERROR(__xludf.DUMMYFUNCTION("IF
(
G10848=""фізична особа""
,
VLOOKUP(H10848,IMPORTRANGE(""https://docs.google.com/spreadsheets/d/14Bd19lYaqBhU8_DElYkX7l4wRkHqqCUFNJY4AfY3kHU/edit?usp=sharing  #gid=0"",""фіз особи new!relations_name""),6,FALSE)
,
(IF
(
G10848=""юридична особа""
,
VLOO"&amp;"KUP(H10848,IMPORTRANGE(""https://docs.google.com/spreadsheets/d/14Bd19lYaqBhU8_DElYkX7l4wRkHqqCUFNJY4AfY3kHU/edit?usp=sharing  #gid=0"",""фіз особи new!relations_name_uo""),7,FALSE)
,
)
))"),"ЛОНГІНОВА Наталія Єгорівна")</f>
        <v>ЛОНГІНОВА Наталія Єгорівна</v>
      </c>
      <c r="J10847" s="7" t="s">
        <v>23</v>
      </c>
    </row>
    <row r="10848" spans="1:10" ht="13.2">
      <c r="A10848" s="7">
        <v>10847</v>
      </c>
      <c r="B10848" s="7">
        <v>1</v>
      </c>
      <c r="C10848" s="7" t="s">
        <v>10</v>
      </c>
      <c r="D10848" s="7">
        <v>16957</v>
      </c>
      <c r="E10848" s="7" t="s">
        <v>23</v>
      </c>
      <c r="F10848" s="8" t="str">
        <f ca="1">IFERROR(__xludf.DUMMYFUNCTION("IF
(
C10849=""фізична особа""
,
VLOOKUP(D10849,IMPORTRANGE(""https://docs.google.com/spreadsheets/d/14Bd19lYaqBhU8_DElYkX7l4wRkHqqCUFNJY4AfY3kHU/edit?usp=sharing  #gid=0"",""фіз особи new!relations_name""),6,FALSE)
,
(IF
(
C10849=""юридична особа""
,
VLOO"&amp;"KUP(D10849,IMPORTRANGE(""https://docs.google.com/spreadsheets/d/14Bd19lYaqBhU8_DElYkX7l4wRkHqqCUFNJY4AfY3kHU/edit?usp=sharing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8" s="7" t="s">
        <v>10</v>
      </c>
      <c r="H10848" s="7">
        <v>16956</v>
      </c>
      <c r="I10848" s="8" t="str">
        <f ca="1">IFERROR(__xludf.DUMMYFUNCTION("IF
(
G10849=""фізична особа""
,
VLOOKUP(H10849,IMPORTRANGE(""https://docs.google.com/spreadsheets/d/14Bd19lYaqBhU8_DElYkX7l4wRkHqqCUFNJY4AfY3kHU/edit?usp=sharing  #gid=0"",""фіз особи new!relations_name""),6,FALSE)
,
(IF
(
G10849=""юридична особа""
,
VLOO"&amp;"KUP(H10849,IMPORTRANGE(""https://docs.google.com/spreadsheets/d/14Bd19lYaqBhU8_DElYkX7l4wRkHqqCUFNJY4AfY3kHU/edit?usp=sharing  #gid=0"",""фіз особи new!relations_name_uo""),7,FALSE)
,
)
))"),"СОФРОНОВ Семен Єгорович")</f>
        <v>СОФРОНОВ Семен Єгорович</v>
      </c>
      <c r="J10848" s="7" t="s">
        <v>23</v>
      </c>
    </row>
    <row r="10849" spans="1:10" ht="13.2">
      <c r="A10849" s="7">
        <v>10848</v>
      </c>
      <c r="B10849" s="7">
        <v>1</v>
      </c>
      <c r="C10849" s="7" t="s">
        <v>10</v>
      </c>
      <c r="D10849" s="7">
        <v>16957</v>
      </c>
      <c r="E10849" s="7" t="s">
        <v>23</v>
      </c>
      <c r="F10849" s="8" t="str">
        <f ca="1">IFERROR(__xludf.DUMMYFUNCTION("IF
(
C10850=""фізична особа""
,
VLOOKUP(D10850,IMPORTRANGE(""https://docs.google.com/spreadsheets/d/14Bd19lYaqBhU8_DElYkX7l4wRkHqqCUFNJY4AfY3kHU/edit?usp=sharing  #gid=0"",""фіз особи new!relations_name""),6,FALSE)
,
(IF
(
C10850=""юридична особа""
,
VLOO"&amp;"KUP(D10850,IMPORTRANGE(""https://docs.google.com/spreadsheets/d/14Bd19lYaqBhU8_DElYkX7l4wRkHqqCUFNJY4AfY3kHU/edit?usp=sharing  #gid=0"",""фіз особи new!relations_name_uo""),7,FALSE)
,
)
))"),"СИЧУГОВ Денис Юрійович")</f>
        <v>СИЧУГОВ Денис Юрійович</v>
      </c>
      <c r="G10849" s="7" t="s">
        <v>10</v>
      </c>
      <c r="H10849" s="7">
        <v>9905</v>
      </c>
      <c r="I10849" s="8" t="str">
        <f ca="1">IFERROR(__xludf.DUMMYFUNCTION("IF
(
G10850=""фізична особа""
,
VLOOKUP(H10850,IMPORTRANGE(""https://docs.google.com/spreadsheets/d/14Bd19lYaqBhU8_DElYkX7l4wRkHqqCUFNJY4AfY3kHU/edit?usp=sharing  #gid=0"",""фіз особи new!relations_name""),6,FALSE)
,
(IF
(
G10850=""юридична особа""
,
VLOO"&amp;"KUP(H10850,IMPORTRANGE(""https://docs.google.com/spreadsheets/d/14Bd19lYaqBhU8_DElYkX7l4wRkHqqCUFNJY4AfY3kHU/edit?usp=sharing  #gid=0"",""фіз особи new!relations_name_uo""),7,FALSE)
,
)
))"),"ЄМЕЛЬЯНОВ Вячеслав Павлович")</f>
        <v>ЄМЕЛЬЯНОВ Вячеслав Павлович</v>
      </c>
      <c r="J10849" s="7" t="s">
        <v>23</v>
      </c>
    </row>
    <row r="10850" spans="1:10" ht="13.2">
      <c r="A10850" s="7">
        <v>10849</v>
      </c>
      <c r="B10850" s="7">
        <v>1</v>
      </c>
      <c r="C10850" s="7" t="s">
        <v>10</v>
      </c>
      <c r="D10850" s="7">
        <v>16958</v>
      </c>
      <c r="E10850" s="7" t="s">
        <v>23</v>
      </c>
      <c r="F10850" s="8" t="str">
        <f ca="1">IFERROR(__xludf.DUMMYFUNCTION("IF
(
C10851=""фізична особа""
,
VLOOKUP(D10851,IMPORTRANGE(""https://docs.google.com/spreadsheets/d/14Bd19lYaqBhU8_DElYkX7l4wRkHqqCUFNJY4AfY3kHU/edit?usp=sharing  #gid=0"",""фіз особи new!relations_name""),6,FALSE)
,
(IF
(
C10851=""юридична особа""
,
VLOO"&amp;"KUP(D10851,IMPORTRANGE(""https://docs.google.com/spreadsheets/d/14Bd19lYaqBhU8_DElYkX7l4wRkHqqCUFNJY4AfY3kHU/edit?usp=sharing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0" s="7" t="s">
        <v>10</v>
      </c>
      <c r="H10850" s="7">
        <v>0</v>
      </c>
      <c r="I10850" s="8" t="str">
        <f ca="1">IFERROR(__xludf.DUMMYFUNCTION("IF
(
G10851=""фізична особа""
,
VLOOKUP(H10851,IMPORTRANGE(""https://docs.google.com/spreadsheets/d/14Bd19lYaqBhU8_DElYkX7l4wRkHqqCUFNJY4AfY3kHU/edit?usp=sharing  #gid=0"",""фіз особи new!relations_name""),6,FALSE)
,
(IF
(
G10851=""юридична особа""
,
VLOO"&amp;"KUP(H10851,IMPORTRANGE(""https://docs.google.com/spreadsheets/d/14Bd19lYaqBhU8_DElYkX7l4wRkHqqCUFNJY4AfY3kHU/edit?usp=sharing  #gid=0"",""фіз особи new!relations_name_uo""),7,FALSE)
,
)
))"),"#N/A")</f>
        <v>#N/A</v>
      </c>
      <c r="J10850" s="7" t="s">
        <v>23</v>
      </c>
    </row>
    <row r="10851" spans="1:10" ht="13.2">
      <c r="A10851" s="7">
        <v>10850</v>
      </c>
      <c r="B10851" s="7">
        <v>1</v>
      </c>
      <c r="C10851" s="7" t="s">
        <v>10</v>
      </c>
      <c r="D10851" s="7">
        <v>16958</v>
      </c>
      <c r="E10851" s="7" t="s">
        <v>23</v>
      </c>
      <c r="F10851" s="8" t="str">
        <f ca="1">IFERROR(__xludf.DUMMYFUNCTION("IF
(
C10852=""фізична особа""
,
VLOOKUP(D10852,IMPORTRANGE(""https://docs.google.com/spreadsheets/d/14Bd19lYaqBhU8_DElYkX7l4wRkHqqCUFNJY4AfY3kHU/edit?usp=sharing  #gid=0"",""фіз особи new!relations_name""),6,FALSE)
,
(IF
(
C10852=""юридична особа""
,
VLOO"&amp;"KUP(D10852,IMPORTRANGE(""https://docs.google.com/spreadsheets/d/14Bd19lYaqBhU8_DElYkX7l4wRkHqqCUFNJY4AfY3kHU/edit?usp=sharing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1" s="7" t="s">
        <v>10</v>
      </c>
      <c r="H10851" s="7">
        <v>0</v>
      </c>
      <c r="I10851" s="8" t="str">
        <f ca="1">IFERROR(__xludf.DUMMYFUNCTION("IF
(
G10852=""фізична особа""
,
VLOOKUP(H10852,IMPORTRANGE(""https://docs.google.com/spreadsheets/d/14Bd19lYaqBhU8_DElYkX7l4wRkHqqCUFNJY4AfY3kHU/edit?usp=sharing  #gid=0"",""фіз особи new!relations_name""),6,FALSE)
,
(IF
(
G10852=""юридична особа""
,
VLOO"&amp;"KUP(H10852,IMPORTRANGE(""https://docs.google.com/spreadsheets/d/14Bd19lYaqBhU8_DElYkX7l4wRkHqqCUFNJY4AfY3kHU/edit?usp=sharing  #gid=0"",""фіз особи new!relations_name_uo""),7,FALSE)
,
)
))"),"#N/A")</f>
        <v>#N/A</v>
      </c>
      <c r="J10851" s="7" t="s">
        <v>23</v>
      </c>
    </row>
    <row r="10852" spans="1:10" ht="13.2">
      <c r="A10852" s="7">
        <v>10851</v>
      </c>
      <c r="B10852" s="7">
        <v>1</v>
      </c>
      <c r="C10852" s="7" t="s">
        <v>10</v>
      </c>
      <c r="D10852" s="7">
        <v>16958</v>
      </c>
      <c r="E10852" s="7" t="s">
        <v>23</v>
      </c>
      <c r="F10852" s="8" t="str">
        <f ca="1">IFERROR(__xludf.DUMMYFUNCTION("IF
(
C10853=""фізична особа""
,
VLOOKUP(D10853,IMPORTRANGE(""https://docs.google.com/spreadsheets/d/14Bd19lYaqBhU8_DElYkX7l4wRkHqqCUFNJY4AfY3kHU/edit?usp=sharing  #gid=0"",""фіз особи new!relations_name""),6,FALSE)
,
(IF
(
C10853=""юридична особа""
,
VLOO"&amp;"KUP(D10853,IMPORTRANGE(""https://docs.google.com/spreadsheets/d/14Bd19lYaqBhU8_DElYkX7l4wRkHqqCUFNJY4AfY3kHU/edit?usp=sharing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2" s="7" t="s">
        <v>10</v>
      </c>
      <c r="H10852" s="7">
        <v>0</v>
      </c>
      <c r="I10852" s="8" t="str">
        <f ca="1">IFERROR(__xludf.DUMMYFUNCTION("IF
(
G10853=""фізична особа""
,
VLOOKUP(H10853,IMPORTRANGE(""https://docs.google.com/spreadsheets/d/14Bd19lYaqBhU8_DElYkX7l4wRkHqqCUFNJY4AfY3kHU/edit?usp=sharing  #gid=0"",""фіз особи new!relations_name""),6,FALSE)
,
(IF
(
G10853=""юридична особа""
,
VLOO"&amp;"KUP(H10853,IMPORTRANGE(""https://docs.google.com/spreadsheets/d/14Bd19lYaqBhU8_DElYkX7l4wRkHqqCUFNJY4AfY3kHU/edit?usp=sharing  #gid=0"",""фіз особи new!relations_name_uo""),7,FALSE)
,
)
))"),"#N/A")</f>
        <v>#N/A</v>
      </c>
      <c r="J10852" s="7" t="s">
        <v>23</v>
      </c>
    </row>
    <row r="10853" spans="1:10" ht="13.2">
      <c r="A10853" s="7">
        <v>10852</v>
      </c>
      <c r="B10853" s="7">
        <v>1</v>
      </c>
      <c r="C10853" s="7" t="s">
        <v>10</v>
      </c>
      <c r="D10853" s="7">
        <v>16958</v>
      </c>
      <c r="E10853" s="7" t="s">
        <v>23</v>
      </c>
      <c r="F10853" s="8" t="str">
        <f ca="1">IFERROR(__xludf.DUMMYFUNCTION("IF
(
C10854=""фізична особа""
,
VLOOKUP(D10854,IMPORTRANGE(""https://docs.google.com/spreadsheets/d/14Bd19lYaqBhU8_DElYkX7l4wRkHqqCUFNJY4AfY3kHU/edit?usp=sharing  #gid=0"",""фіз особи new!relations_name""),6,FALSE)
,
(IF
(
C10854=""юридична особа""
,
VLOO"&amp;"KUP(D10854,IMPORTRANGE(""https://docs.google.com/spreadsheets/d/14Bd19lYaqBhU8_DElYkX7l4wRkHqqCUFNJY4AfY3kHU/edit?usp=sharing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3" s="7" t="s">
        <v>10</v>
      </c>
      <c r="H10853" s="7">
        <v>0</v>
      </c>
      <c r="I10853" s="8" t="str">
        <f ca="1">IFERROR(__xludf.DUMMYFUNCTION("IF
(
G10854=""фізична особа""
,
VLOOKUP(H10854,IMPORTRANGE(""https://docs.google.com/spreadsheets/d/14Bd19lYaqBhU8_DElYkX7l4wRkHqqCUFNJY4AfY3kHU/edit?usp=sharing  #gid=0"",""фіз особи new!relations_name""),6,FALSE)
,
(IF
(
G10854=""юридична особа""
,
VLOO"&amp;"KUP(H10854,IMPORTRANGE(""https://docs.google.com/spreadsheets/d/14Bd19lYaqBhU8_DElYkX7l4wRkHqqCUFNJY4AfY3kHU/edit?usp=sharing  #gid=0"",""фіз особи new!relations_name_uo""),7,FALSE)
,
)
))"),"#N/A")</f>
        <v>#N/A</v>
      </c>
      <c r="J10853" s="7" t="s">
        <v>23</v>
      </c>
    </row>
    <row r="10854" spans="1:10" ht="13.2">
      <c r="A10854" s="7">
        <v>10853</v>
      </c>
      <c r="B10854" s="7">
        <v>1</v>
      </c>
      <c r="C10854" s="7" t="s">
        <v>10</v>
      </c>
      <c r="D10854" s="7">
        <v>16958</v>
      </c>
      <c r="E10854" s="7" t="s">
        <v>23</v>
      </c>
      <c r="F10854" s="8" t="str">
        <f ca="1">IFERROR(__xludf.DUMMYFUNCTION("IF
(
C10855=""фізична особа""
,
VLOOKUP(D10855,IMPORTRANGE(""https://docs.google.com/spreadsheets/d/14Bd19lYaqBhU8_DElYkX7l4wRkHqqCUFNJY4AfY3kHU/edit?usp=sharing  #gid=0"",""фіз особи new!relations_name""),6,FALSE)
,
(IF
(
C10855=""юридична особа""
,
VLOO"&amp;"KUP(D10855,IMPORTRANGE(""https://docs.google.com/spreadsheets/d/14Bd19lYaqBhU8_DElYkX7l4wRkHqqCUFNJY4AfY3kHU/edit?usp=sharing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4" s="7" t="s">
        <v>10</v>
      </c>
      <c r="H10854" s="7">
        <v>0</v>
      </c>
      <c r="I10854" s="8" t="str">
        <f ca="1">IFERROR(__xludf.DUMMYFUNCTION("IF
(
G10855=""фізична особа""
,
VLOOKUP(H10855,IMPORTRANGE(""https://docs.google.com/spreadsheets/d/14Bd19lYaqBhU8_DElYkX7l4wRkHqqCUFNJY4AfY3kHU/edit?usp=sharing  #gid=0"",""фіз особи new!relations_name""),6,FALSE)
,
(IF
(
G10855=""юридична особа""
,
VLOO"&amp;"KUP(H10855,IMPORTRANGE(""https://docs.google.com/spreadsheets/d/14Bd19lYaqBhU8_DElYkX7l4wRkHqqCUFNJY4AfY3kHU/edit?usp=sharing  #gid=0"",""фіз особи new!relations_name_uo""),7,FALSE)
,
)
))"),"#N/A")</f>
        <v>#N/A</v>
      </c>
      <c r="J10854" s="7" t="s">
        <v>23</v>
      </c>
    </row>
    <row r="10855" spans="1:10" ht="13.2">
      <c r="A10855" s="7">
        <v>10854</v>
      </c>
      <c r="B10855" s="7">
        <v>1</v>
      </c>
      <c r="C10855" s="7" t="s">
        <v>10</v>
      </c>
      <c r="D10855" s="7">
        <v>16958</v>
      </c>
      <c r="E10855" s="7" t="s">
        <v>23</v>
      </c>
      <c r="F10855" s="8" t="str">
        <f ca="1">IFERROR(__xludf.DUMMYFUNCTION("IF
(
C10856=""фізична особа""
,
VLOOKUP(D10856,IMPORTRANGE(""https://docs.google.com/spreadsheets/d/14Bd19lYaqBhU8_DElYkX7l4wRkHqqCUFNJY4AfY3kHU/edit?usp=sharing  #gid=0"",""фіз особи new!relations_name""),6,FALSE)
,
(IF
(
C10856=""юридична особа""
,
VLOO"&amp;"KUP(D10856,IMPORTRANGE(""https://docs.google.com/spreadsheets/d/14Bd19lYaqBhU8_DElYkX7l4wRkHqqCUFNJY4AfY3kHU/edit?usp=sharing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5" s="7" t="s">
        <v>10</v>
      </c>
      <c r="H10855" s="7">
        <v>23621</v>
      </c>
      <c r="I10855" s="8" t="str">
        <f ca="1">IFERROR(__xludf.DUMMYFUNCTION("IF
(
G10856=""фізична особа""
,
VLOOKUP(H10856,IMPORTRANGE(""https://docs.google.com/spreadsheets/d/14Bd19lYaqBhU8_DElYkX7l4wRkHqqCUFNJY4AfY3kHU/edit?usp=sharing  #gid=0"",""фіз особи new!relations_name""),6,FALSE)
,
(IF
(
G10856=""юридична особа""
,
VLOO"&amp;"KUP(H10856,IMPORTRANGE(""https://docs.google.com/spreadsheets/d/14Bd19lYaqBhU8_DElYkX7l4wRkHqqCUFNJY4AfY3kHU/edit?usp=sharing  #gid=0"",""фіз особи new!relations_name_uo""),7,FALSE)
,
)
))"),"ЧЕРНЯКОВ Андрій Валерійович")</f>
        <v>ЧЕРНЯКОВ Андрій Валерійович</v>
      </c>
      <c r="J10855" s="7" t="s">
        <v>23</v>
      </c>
    </row>
    <row r="10856" spans="1:10" ht="13.2">
      <c r="A10856" s="7">
        <v>10855</v>
      </c>
      <c r="B10856" s="7">
        <v>1</v>
      </c>
      <c r="C10856" s="7" t="s">
        <v>10</v>
      </c>
      <c r="D10856" s="7">
        <v>16958</v>
      </c>
      <c r="E10856" s="7" t="s">
        <v>23</v>
      </c>
      <c r="F10856" s="8" t="str">
        <f ca="1">IFERROR(__xludf.DUMMYFUNCTION("IF
(
C10857=""фізична особа""
,
VLOOKUP(D10857,IMPORTRANGE(""https://docs.google.com/spreadsheets/d/14Bd19lYaqBhU8_DElYkX7l4wRkHqqCUFNJY4AfY3kHU/edit?usp=sharing  #gid=0"",""фіз особи new!relations_name""),6,FALSE)
,
(IF
(
C10857=""юридична особа""
,
VLOO"&amp;"KUP(D10857,IMPORTRANGE(""https://docs.google.com/spreadsheets/d/14Bd19lYaqBhU8_DElYkX7l4wRkHqqCUFNJY4AfY3kHU/edit?usp=sharing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6" s="7" t="s">
        <v>10</v>
      </c>
      <c r="H10856" s="7">
        <v>0</v>
      </c>
      <c r="I10856" s="8" t="str">
        <f ca="1">IFERROR(__xludf.DUMMYFUNCTION("IF
(
G10857=""фізична особа""
,
VLOOKUP(H10857,IMPORTRANGE(""https://docs.google.com/spreadsheets/d/14Bd19lYaqBhU8_DElYkX7l4wRkHqqCUFNJY4AfY3kHU/edit?usp=sharing  #gid=0"",""фіз особи new!relations_name""),6,FALSE)
,
(IF
(
G10857=""юридична особа""
,
VLOO"&amp;"KUP(H10857,IMPORTRANGE(""https://docs.google.com/spreadsheets/d/14Bd19lYaqBhU8_DElYkX7l4wRkHqqCUFNJY4AfY3kHU/edit?usp=sharing  #gid=0"",""фіз особи new!relations_name_uo""),7,FALSE)
,
)
))"),"#N/A")</f>
        <v>#N/A</v>
      </c>
      <c r="J10856" s="7" t="s">
        <v>23</v>
      </c>
    </row>
    <row r="10857" spans="1:10" ht="13.2">
      <c r="A10857" s="7">
        <v>10856</v>
      </c>
      <c r="B10857" s="7">
        <v>1</v>
      </c>
      <c r="C10857" s="7" t="s">
        <v>10</v>
      </c>
      <c r="D10857" s="7">
        <v>16958</v>
      </c>
      <c r="E10857" s="7" t="s">
        <v>23</v>
      </c>
      <c r="F10857" s="8" t="str">
        <f ca="1">IFERROR(__xludf.DUMMYFUNCTION("IF
(
C10858=""фізична особа""
,
VLOOKUP(D10858,IMPORTRANGE(""https://docs.google.com/spreadsheets/d/14Bd19lYaqBhU8_DElYkX7l4wRkHqqCUFNJY4AfY3kHU/edit?usp=sharing  #gid=0"",""фіз особи new!relations_name""),6,FALSE)
,
(IF
(
C10858=""юридична особа""
,
VLOO"&amp;"KUP(D10858,IMPORTRANGE(""https://docs.google.com/spreadsheets/d/14Bd19lYaqBhU8_DElYkX7l4wRkHqqCUFNJY4AfY3kHU/edit?usp=sharing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7" s="7" t="s">
        <v>10</v>
      </c>
      <c r="H10857" s="7">
        <v>23621</v>
      </c>
      <c r="I10857" s="8" t="str">
        <f ca="1">IFERROR(__xludf.DUMMYFUNCTION("IF
(
G10858=""фізична особа""
,
VLOOKUP(H10858,IMPORTRANGE(""https://docs.google.com/spreadsheets/d/14Bd19lYaqBhU8_DElYkX7l4wRkHqqCUFNJY4AfY3kHU/edit?usp=sharing  #gid=0"",""фіз особи new!relations_name""),6,FALSE)
,
(IF
(
G10858=""юридична особа""
,
VLOO"&amp;"KUP(H10858,IMPORTRANGE(""https://docs.google.com/spreadsheets/d/14Bd19lYaqBhU8_DElYkX7l4wRkHqqCUFNJY4AfY3kHU/edit?usp=sharing  #gid=0"",""фіз особи new!relations_name_uo""),7,FALSE)
,
)
))"),"ЧЕРНЯКОВ Андрій Валерійович")</f>
        <v>ЧЕРНЯКОВ Андрій Валерійович</v>
      </c>
      <c r="J10857" s="7" t="s">
        <v>23</v>
      </c>
    </row>
    <row r="10858" spans="1:10" ht="13.2">
      <c r="A10858" s="7">
        <v>10857</v>
      </c>
      <c r="B10858" s="7">
        <v>1</v>
      </c>
      <c r="C10858" s="7" t="s">
        <v>10</v>
      </c>
      <c r="D10858" s="7">
        <v>16958</v>
      </c>
      <c r="E10858" s="7" t="s">
        <v>23</v>
      </c>
      <c r="F10858" s="8" t="str">
        <f ca="1">IFERROR(__xludf.DUMMYFUNCTION("IF
(
C10859=""фізична особа""
,
VLOOKUP(D10859,IMPORTRANGE(""https://docs.google.com/spreadsheets/d/14Bd19lYaqBhU8_DElYkX7l4wRkHqqCUFNJY4AfY3kHU/edit?usp=sharing  #gid=0"",""фіз особи new!relations_name""),6,FALSE)
,
(IF
(
C10859=""юридична особа""
,
VLOO"&amp;"KUP(D10859,IMPORTRANGE(""https://docs.google.com/spreadsheets/d/14Bd19lYaqBhU8_DElYkX7l4wRkHqqCUFNJY4AfY3kHU/edit?usp=sharing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8" s="7" t="s">
        <v>10</v>
      </c>
      <c r="H10858" s="7">
        <v>16959</v>
      </c>
      <c r="I10858" s="8" t="str">
        <f ca="1">IFERROR(__xludf.DUMMYFUNCTION("IF
(
G10859=""фізична особа""
,
VLOOKUP(H10859,IMPORTRANGE(""https://docs.google.com/spreadsheets/d/14Bd19lYaqBhU8_DElYkX7l4wRkHqqCUFNJY4AfY3kHU/edit?usp=sharing  #gid=0"",""фіз особи new!relations_name""),6,FALSE)
,
(IF
(
G10859=""юридична особа""
,
VLOO"&amp;"KUP(H10859,IMPORTRANGE(""https://docs.google.com/spreadsheets/d/14Bd19lYaqBhU8_DElYkX7l4wRkHqqCUFNJY4AfY3kHU/edit?usp=sharing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858" s="7" t="s">
        <v>23</v>
      </c>
    </row>
    <row r="10859" spans="1:10" ht="13.2">
      <c r="A10859" s="7">
        <v>10858</v>
      </c>
      <c r="B10859" s="7">
        <v>1</v>
      </c>
      <c r="C10859" s="7" t="s">
        <v>10</v>
      </c>
      <c r="D10859" s="7">
        <v>16958</v>
      </c>
      <c r="E10859" s="7" t="s">
        <v>23</v>
      </c>
      <c r="F10859" s="8" t="str">
        <f ca="1">IFERROR(__xludf.DUMMYFUNCTION("IF
(
C10860=""фізична особа""
,
VLOOKUP(D10860,IMPORTRANGE(""https://docs.google.com/spreadsheets/d/14Bd19lYaqBhU8_DElYkX7l4wRkHqqCUFNJY4AfY3kHU/edit?usp=sharing  #gid=0"",""фіз особи new!relations_name""),6,FALSE)
,
(IF
(
C10860=""юридична особа""
,
VLOO"&amp;"KUP(D10860,IMPORTRANGE(""https://docs.google.com/spreadsheets/d/14Bd19lYaqBhU8_DElYkX7l4wRkHqqCUFNJY4AfY3kHU/edit?usp=sharing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59" s="7" t="s">
        <v>10</v>
      </c>
      <c r="H10859" s="7">
        <v>16960</v>
      </c>
      <c r="I10859" s="8" t="str">
        <f ca="1">IFERROR(__xludf.DUMMYFUNCTION("IF
(
G10860=""фізична особа""
,
VLOOKUP(H10860,IMPORTRANGE(""https://docs.google.com/spreadsheets/d/14Bd19lYaqBhU8_DElYkX7l4wRkHqqCUFNJY4AfY3kHU/edit?usp=sharing  #gid=0"",""фіз особи new!relations_name""),6,FALSE)
,
(IF
(
G10860=""юридична особа""
,
VLOO"&amp;"KUP(H10860,IMPORTRANGE(""https://docs.google.com/spreadsheets/d/14Bd19lYaqBhU8_DElYkX7l4wRkHqqCUFNJY4AfY3kHU/edit?usp=sharing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859" s="7" t="s">
        <v>23</v>
      </c>
    </row>
    <row r="10860" spans="1:10" ht="13.2">
      <c r="A10860" s="7">
        <v>10859</v>
      </c>
      <c r="B10860" s="7">
        <v>1</v>
      </c>
      <c r="C10860" s="7" t="s">
        <v>10</v>
      </c>
      <c r="D10860" s="7">
        <v>16958</v>
      </c>
      <c r="E10860" s="7" t="s">
        <v>23</v>
      </c>
      <c r="F10860" s="8" t="str">
        <f ca="1">IFERROR(__xludf.DUMMYFUNCTION("IF
(
C10861=""фізична особа""
,
VLOOKUP(D10861,IMPORTRANGE(""https://docs.google.com/spreadsheets/d/14Bd19lYaqBhU8_DElYkX7l4wRkHqqCUFNJY4AfY3kHU/edit?usp=sharing  #gid=0"",""фіз особи new!relations_name""),6,FALSE)
,
(IF
(
C10861=""юридична особа""
,
VLOO"&amp;"KUP(D10861,IMPORTRANGE(""https://docs.google.com/spreadsheets/d/14Bd19lYaqBhU8_DElYkX7l4wRkHqqCUFNJY4AfY3kHU/edit?usp=sharing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60" s="7" t="s">
        <v>10</v>
      </c>
      <c r="H10860" s="7">
        <v>16961</v>
      </c>
      <c r="I10860" s="8" t="str">
        <f ca="1">IFERROR(__xludf.DUMMYFUNCTION("IF
(
G10861=""фізична особа""
,
VLOOKUP(H10861,IMPORTRANGE(""https://docs.google.com/spreadsheets/d/14Bd19lYaqBhU8_DElYkX7l4wRkHqqCUFNJY4AfY3kHU/edit?usp=sharing  #gid=0"",""фіз особи new!relations_name""),6,FALSE)
,
(IF
(
G10861=""юридична особа""
,
VLOO"&amp;"KUP(H10861,IMPORTRANGE(""https://docs.google.com/spreadsheets/d/14Bd19lYaqBhU8_DElYkX7l4wRkHqqCUFNJY4AfY3kHU/edit?usp=sharing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860" s="7" t="s">
        <v>23</v>
      </c>
    </row>
    <row r="10861" spans="1:10" ht="13.2">
      <c r="A10861" s="7">
        <v>10860</v>
      </c>
      <c r="B10861" s="7">
        <v>1</v>
      </c>
      <c r="C10861" s="7" t="s">
        <v>10</v>
      </c>
      <c r="D10861" s="7">
        <v>16958</v>
      </c>
      <c r="E10861" s="7" t="s">
        <v>23</v>
      </c>
      <c r="F10861" s="8" t="str">
        <f ca="1">IFERROR(__xludf.DUMMYFUNCTION("IF
(
C10862=""фізична особа""
,
VLOOKUP(D10862,IMPORTRANGE(""https://docs.google.com/spreadsheets/d/14Bd19lYaqBhU8_DElYkX7l4wRkHqqCUFNJY4AfY3kHU/edit?usp=sharing  #gid=0"",""фіз особи new!relations_name""),6,FALSE)
,
(IF
(
C10862=""юридична особа""
,
VLOO"&amp;"KUP(D10862,IMPORTRANGE(""https://docs.google.com/spreadsheets/d/14Bd19lYaqBhU8_DElYkX7l4wRkHqqCUFNJY4AfY3kHU/edit?usp=sharing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61" s="7" t="s">
        <v>10</v>
      </c>
      <c r="H10861" s="7">
        <v>16962</v>
      </c>
      <c r="I10861" s="8" t="str">
        <f ca="1">IFERROR(__xludf.DUMMYFUNCTION("IF
(
G10862=""фізична особа""
,
VLOOKUP(H10862,IMPORTRANGE(""https://docs.google.com/spreadsheets/d/14Bd19lYaqBhU8_DElYkX7l4wRkHqqCUFNJY4AfY3kHU/edit?usp=sharing  #gid=0"",""фіз особи new!relations_name""),6,FALSE)
,
(IF
(
G10862=""юридична особа""
,
VLOO"&amp;"KUP(H10862,IMPORTRANGE(""https://docs.google.com/spreadsheets/d/14Bd19lYaqBhU8_DElYkX7l4wRkHqqCUFNJY4AfY3kHU/edit?usp=sharing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861" s="7" t="s">
        <v>23</v>
      </c>
    </row>
    <row r="10862" spans="1:10" ht="13.2">
      <c r="A10862" s="7">
        <v>10861</v>
      </c>
      <c r="B10862" s="7">
        <v>1</v>
      </c>
      <c r="C10862" s="7" t="s">
        <v>10</v>
      </c>
      <c r="D10862" s="7">
        <v>16958</v>
      </c>
      <c r="E10862" s="7" t="s">
        <v>23</v>
      </c>
      <c r="F10862" s="8" t="str">
        <f ca="1">IFERROR(__xludf.DUMMYFUNCTION("IF
(
C10863=""фізична особа""
,
VLOOKUP(D10863,IMPORTRANGE(""https://docs.google.com/spreadsheets/d/14Bd19lYaqBhU8_DElYkX7l4wRkHqqCUFNJY4AfY3kHU/edit?usp=sharing  #gid=0"",""фіз особи new!relations_name""),6,FALSE)
,
(IF
(
C10863=""юридична особа""
,
VLOO"&amp;"KUP(D10863,IMPORTRANGE(""https://docs.google.com/spreadsheets/d/14Bd19lYaqBhU8_DElYkX7l4wRkHqqCUFNJY4AfY3kHU/edit?usp=sharing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62" s="7" t="s">
        <v>10</v>
      </c>
      <c r="H10862" s="7">
        <v>16963</v>
      </c>
      <c r="I10862" s="8" t="str">
        <f ca="1">IFERROR(__xludf.DUMMYFUNCTION("IF
(
G10863=""фізична особа""
,
VLOOKUP(H10863,IMPORTRANGE(""https://docs.google.com/spreadsheets/d/14Bd19lYaqBhU8_DElYkX7l4wRkHqqCUFNJY4AfY3kHU/edit?usp=sharing  #gid=0"",""фіз особи new!relations_name""),6,FALSE)
,
(IF
(
G10863=""юридична особа""
,
VLOO"&amp;"KUP(H10863,IMPORTRANGE(""https://docs.google.com/spreadsheets/d/14Bd19lYaqBhU8_DElYkX7l4wRkHqqCUFNJY4AfY3kHU/edit?usp=sharing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862" s="7" t="s">
        <v>23</v>
      </c>
    </row>
    <row r="10863" spans="1:10" ht="13.2">
      <c r="A10863" s="7">
        <v>10862</v>
      </c>
      <c r="B10863" s="7">
        <v>1</v>
      </c>
      <c r="C10863" s="7" t="s">
        <v>10</v>
      </c>
      <c r="D10863" s="7">
        <v>16958</v>
      </c>
      <c r="E10863" s="7" t="s">
        <v>23</v>
      </c>
      <c r="F10863" s="8" t="str">
        <f ca="1">IFERROR(__xludf.DUMMYFUNCTION("IF
(
C10864=""фізична особа""
,
VLOOKUP(D10864,IMPORTRANGE(""https://docs.google.com/spreadsheets/d/14Bd19lYaqBhU8_DElYkX7l4wRkHqqCUFNJY4AfY3kHU/edit?usp=sharing  #gid=0"",""фіз особи new!relations_name""),6,FALSE)
,
(IF
(
C10864=""юридична особа""
,
VLOO"&amp;"KUP(D10864,IMPORTRANGE(""https://docs.google.com/spreadsheets/d/14Bd19lYaqBhU8_DElYkX7l4wRkHqqCUFNJY4AfY3kHU/edit?usp=sharing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63" s="7" t="s">
        <v>10</v>
      </c>
      <c r="H10863" s="7">
        <v>16964</v>
      </c>
      <c r="I10863" s="8" t="str">
        <f ca="1">IFERROR(__xludf.DUMMYFUNCTION("IF
(
G10864=""фізична особа""
,
VLOOKUP(H10864,IMPORTRANGE(""https://docs.google.com/spreadsheets/d/14Bd19lYaqBhU8_DElYkX7l4wRkHqqCUFNJY4AfY3kHU/edit?usp=sharing  #gid=0"",""фіз особи new!relations_name""),6,FALSE)
,
(IF
(
G10864=""юридична особа""
,
VLOO"&amp;"KUP(H10864,IMPORTRANGE(""https://docs.google.com/spreadsheets/d/14Bd19lYaqBhU8_DElYkX7l4wRkHqqCUFNJY4AfY3kHU/edit?usp=sharing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63" s="7" t="s">
        <v>23</v>
      </c>
    </row>
    <row r="10864" spans="1:10" ht="13.2">
      <c r="A10864" s="7">
        <v>10863</v>
      </c>
      <c r="B10864" s="7">
        <v>1</v>
      </c>
      <c r="C10864" s="7" t="s">
        <v>10</v>
      </c>
      <c r="D10864" s="7">
        <v>16958</v>
      </c>
      <c r="E10864" s="7" t="s">
        <v>23</v>
      </c>
      <c r="F10864" s="8" t="str">
        <f ca="1">IFERROR(__xludf.DUMMYFUNCTION("IF
(
C10865=""фізична особа""
,
VLOOKUP(D10865,IMPORTRANGE(""https://docs.google.com/spreadsheets/d/14Bd19lYaqBhU8_DElYkX7l4wRkHqqCUFNJY4AfY3kHU/edit?usp=sharing  #gid=0"",""фіз особи new!relations_name""),6,FALSE)
,
(IF
(
C10865=""юридична особа""
,
VLOO"&amp;"KUP(D10865,IMPORTRANGE(""https://docs.google.com/spreadsheets/d/14Bd19lYaqBhU8_DElYkX7l4wRkHqqCUFNJY4AfY3kHU/edit?usp=sharing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G10864" s="7" t="s">
        <v>10</v>
      </c>
      <c r="H10864" s="7">
        <v>398</v>
      </c>
      <c r="I10864" s="8" t="str">
        <f ca="1">IFERROR(__xludf.DUMMYFUNCTION("IF
(
G10865=""фізична особа""
,
VLOOKUP(H10865,IMPORTRANGE(""https://docs.google.com/spreadsheets/d/14Bd19lYaqBhU8_DElYkX7l4wRkHqqCUFNJY4AfY3kHU/edit?usp=sharing  #gid=0"",""фіз особи new!relations_name""),6,FALSE)
,
(IF
(
G10865=""юридична особа""
,
VLOO"&amp;"KUP(H10865,IMPORTRANGE(""https://docs.google.com/spreadsheets/d/14Bd19lYaqBhU8_DElYkX7l4wRkHqqCUFNJY4AfY3kHU/edit?usp=sharing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64" s="7" t="s">
        <v>23</v>
      </c>
    </row>
    <row r="10865" spans="1:10" ht="13.2">
      <c r="A10865" s="7">
        <v>10864</v>
      </c>
      <c r="B10865" s="7">
        <v>1</v>
      </c>
      <c r="C10865" s="7" t="s">
        <v>10</v>
      </c>
      <c r="D10865" s="7">
        <v>16959</v>
      </c>
      <c r="E10865" s="7" t="s">
        <v>23</v>
      </c>
      <c r="F10865" s="8" t="str">
        <f ca="1">IFERROR(__xludf.DUMMYFUNCTION("IF
(
C10866=""фізична особа""
,
VLOOKUP(D10866,IMPORTRANGE(""https://docs.google.com/spreadsheets/d/14Bd19lYaqBhU8_DElYkX7l4wRkHqqCUFNJY4AfY3kHU/edit?usp=sharing  #gid=0"",""фіз особи new!relations_name""),6,FALSE)
,
(IF
(
C10866=""юридична особа""
,
VLOO"&amp;"KUP(D10866,IMPORTRANGE(""https://docs.google.com/spreadsheets/d/14Bd19lYaqBhU8_DElYkX7l4wRkHqqCUFNJY4AfY3kHU/edit?usp=sharing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65" s="7" t="s">
        <v>10</v>
      </c>
      <c r="H10865" s="7">
        <v>16958</v>
      </c>
      <c r="I10865" s="8" t="str">
        <f ca="1">IFERROR(__xludf.DUMMYFUNCTION("IF
(
G10866=""фізична особа""
,
VLOOKUP(H10866,IMPORTRANGE(""https://docs.google.com/spreadsheets/d/14Bd19lYaqBhU8_DElYkX7l4wRkHqqCUFNJY4AfY3kHU/edit?usp=sharing  #gid=0"",""фіз особи new!relations_name""),6,FALSE)
,
(IF
(
G10866=""юридична особа""
,
VLOO"&amp;"KUP(H10866,IMPORTRANGE(""https://docs.google.com/spreadsheets/d/14Bd19lYaqBhU8_DElYkX7l4wRkHqqCUFNJY4AfY3kHU/edit?usp=sharing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865" s="7" t="s">
        <v>23</v>
      </c>
    </row>
    <row r="10866" spans="1:10" ht="13.2">
      <c r="A10866" s="7">
        <v>10865</v>
      </c>
      <c r="B10866" s="7">
        <v>1</v>
      </c>
      <c r="C10866" s="7" t="s">
        <v>10</v>
      </c>
      <c r="D10866" s="7">
        <v>16959</v>
      </c>
      <c r="E10866" s="7" t="s">
        <v>23</v>
      </c>
      <c r="F10866" s="8" t="str">
        <f ca="1">IFERROR(__xludf.DUMMYFUNCTION("IF
(
C10867=""фізична особа""
,
VLOOKUP(D10867,IMPORTRANGE(""https://docs.google.com/spreadsheets/d/14Bd19lYaqBhU8_DElYkX7l4wRkHqqCUFNJY4AfY3kHU/edit?usp=sharing  #gid=0"",""фіз особи new!relations_name""),6,FALSE)
,
(IF
(
C10867=""юридична особа""
,
VLOO"&amp;"KUP(D10867,IMPORTRANGE(""https://docs.google.com/spreadsheets/d/14Bd19lYaqBhU8_DElYkX7l4wRkHqqCUFNJY4AfY3kHU/edit?usp=sharing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66" s="7" t="s">
        <v>10</v>
      </c>
      <c r="H10866" s="7">
        <v>16960</v>
      </c>
      <c r="I10866" s="8" t="str">
        <f ca="1">IFERROR(__xludf.DUMMYFUNCTION("IF
(
G10867=""фізична особа""
,
VLOOKUP(H10867,IMPORTRANGE(""https://docs.google.com/spreadsheets/d/14Bd19lYaqBhU8_DElYkX7l4wRkHqqCUFNJY4AfY3kHU/edit?usp=sharing  #gid=0"",""фіз особи new!relations_name""),6,FALSE)
,
(IF
(
G10867=""юридична особа""
,
VLOO"&amp;"KUP(H10867,IMPORTRANGE(""https://docs.google.com/spreadsheets/d/14Bd19lYaqBhU8_DElYkX7l4wRkHqqCUFNJY4AfY3kHU/edit?usp=sharing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866" s="7" t="s">
        <v>23</v>
      </c>
    </row>
    <row r="10867" spans="1:10" ht="13.2">
      <c r="A10867" s="7">
        <v>10866</v>
      </c>
      <c r="B10867" s="7">
        <v>1</v>
      </c>
      <c r="C10867" s="7" t="s">
        <v>10</v>
      </c>
      <c r="D10867" s="7">
        <v>16959</v>
      </c>
      <c r="E10867" s="7" t="s">
        <v>23</v>
      </c>
      <c r="F10867" s="8" t="str">
        <f ca="1">IFERROR(__xludf.DUMMYFUNCTION("IF
(
C10868=""фізична особа""
,
VLOOKUP(D10868,IMPORTRANGE(""https://docs.google.com/spreadsheets/d/14Bd19lYaqBhU8_DElYkX7l4wRkHqqCUFNJY4AfY3kHU/edit?usp=sharing  #gid=0"",""фіз особи new!relations_name""),6,FALSE)
,
(IF
(
C10868=""юридична особа""
,
VLOO"&amp;"KUP(D10868,IMPORTRANGE(""https://docs.google.com/spreadsheets/d/14Bd19lYaqBhU8_DElYkX7l4wRkHqqCUFNJY4AfY3kHU/edit?usp=sharing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67" s="7" t="s">
        <v>10</v>
      </c>
      <c r="H10867" s="7">
        <v>16961</v>
      </c>
      <c r="I10867" s="8" t="str">
        <f ca="1">IFERROR(__xludf.DUMMYFUNCTION("IF
(
G10868=""фізична особа""
,
VLOOKUP(H10868,IMPORTRANGE(""https://docs.google.com/spreadsheets/d/14Bd19lYaqBhU8_DElYkX7l4wRkHqqCUFNJY4AfY3kHU/edit?usp=sharing  #gid=0"",""фіз особи new!relations_name""),6,FALSE)
,
(IF
(
G10868=""юридична особа""
,
VLOO"&amp;"KUP(H10868,IMPORTRANGE(""https://docs.google.com/spreadsheets/d/14Bd19lYaqBhU8_DElYkX7l4wRkHqqCUFNJY4AfY3kHU/edit?usp=sharing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867" s="7" t="s">
        <v>23</v>
      </c>
    </row>
    <row r="10868" spans="1:10" ht="13.2">
      <c r="A10868" s="7">
        <v>10867</v>
      </c>
      <c r="B10868" s="7">
        <v>1</v>
      </c>
      <c r="C10868" s="7" t="s">
        <v>10</v>
      </c>
      <c r="D10868" s="7">
        <v>16959</v>
      </c>
      <c r="E10868" s="7" t="s">
        <v>23</v>
      </c>
      <c r="F10868" s="8" t="str">
        <f ca="1">IFERROR(__xludf.DUMMYFUNCTION("IF
(
C10869=""фізична особа""
,
VLOOKUP(D10869,IMPORTRANGE(""https://docs.google.com/spreadsheets/d/14Bd19lYaqBhU8_DElYkX7l4wRkHqqCUFNJY4AfY3kHU/edit?usp=sharing  #gid=0"",""фіз особи new!relations_name""),6,FALSE)
,
(IF
(
C10869=""юридична особа""
,
VLOO"&amp;"KUP(D10869,IMPORTRANGE(""https://docs.google.com/spreadsheets/d/14Bd19lYaqBhU8_DElYkX7l4wRkHqqCUFNJY4AfY3kHU/edit?usp=sharing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68" s="7" t="s">
        <v>10</v>
      </c>
      <c r="H10868" s="7">
        <v>16962</v>
      </c>
      <c r="I10868" s="8" t="str">
        <f ca="1">IFERROR(__xludf.DUMMYFUNCTION("IF
(
G10869=""фізична особа""
,
VLOOKUP(H10869,IMPORTRANGE(""https://docs.google.com/spreadsheets/d/14Bd19lYaqBhU8_DElYkX7l4wRkHqqCUFNJY4AfY3kHU/edit?usp=sharing  #gid=0"",""фіз особи new!relations_name""),6,FALSE)
,
(IF
(
G10869=""юридична особа""
,
VLOO"&amp;"KUP(H10869,IMPORTRANGE(""https://docs.google.com/spreadsheets/d/14Bd19lYaqBhU8_DElYkX7l4wRkHqqCUFNJY4AfY3kHU/edit?usp=sharing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868" s="7" t="s">
        <v>23</v>
      </c>
    </row>
    <row r="10869" spans="1:10" ht="13.2">
      <c r="A10869" s="7">
        <v>10868</v>
      </c>
      <c r="B10869" s="7">
        <v>1</v>
      </c>
      <c r="C10869" s="7" t="s">
        <v>10</v>
      </c>
      <c r="D10869" s="7">
        <v>16959</v>
      </c>
      <c r="E10869" s="7" t="s">
        <v>23</v>
      </c>
      <c r="F10869" s="8" t="str">
        <f ca="1">IFERROR(__xludf.DUMMYFUNCTION("IF
(
C10870=""фізична особа""
,
VLOOKUP(D10870,IMPORTRANGE(""https://docs.google.com/spreadsheets/d/14Bd19lYaqBhU8_DElYkX7l4wRkHqqCUFNJY4AfY3kHU/edit?usp=sharing  #gid=0"",""фіз особи new!relations_name""),6,FALSE)
,
(IF
(
C10870=""юридична особа""
,
VLOO"&amp;"KUP(D10870,IMPORTRANGE(""https://docs.google.com/spreadsheets/d/14Bd19lYaqBhU8_DElYkX7l4wRkHqqCUFNJY4AfY3kHU/edit?usp=sharing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69" s="7" t="s">
        <v>10</v>
      </c>
      <c r="H10869" s="7">
        <v>16963</v>
      </c>
      <c r="I10869" s="8" t="str">
        <f ca="1">IFERROR(__xludf.DUMMYFUNCTION("IF
(
G10870=""фізична особа""
,
VLOOKUP(H10870,IMPORTRANGE(""https://docs.google.com/spreadsheets/d/14Bd19lYaqBhU8_DElYkX7l4wRkHqqCUFNJY4AfY3kHU/edit?usp=sharing  #gid=0"",""фіз особи new!relations_name""),6,FALSE)
,
(IF
(
G10870=""юридична особа""
,
VLOO"&amp;"KUP(H10870,IMPORTRANGE(""https://docs.google.com/spreadsheets/d/14Bd19lYaqBhU8_DElYkX7l4wRkHqqCUFNJY4AfY3kHU/edit?usp=sharing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869" s="7" t="s">
        <v>23</v>
      </c>
    </row>
    <row r="10870" spans="1:10" ht="13.2">
      <c r="A10870" s="7">
        <v>10869</v>
      </c>
      <c r="B10870" s="7">
        <v>1</v>
      </c>
      <c r="C10870" s="7" t="s">
        <v>10</v>
      </c>
      <c r="D10870" s="7">
        <v>16959</v>
      </c>
      <c r="E10870" s="7" t="s">
        <v>23</v>
      </c>
      <c r="F10870" s="8" t="str">
        <f ca="1">IFERROR(__xludf.DUMMYFUNCTION("IF
(
C10871=""фізична особа""
,
VLOOKUP(D10871,IMPORTRANGE(""https://docs.google.com/spreadsheets/d/14Bd19lYaqBhU8_DElYkX7l4wRkHqqCUFNJY4AfY3kHU/edit?usp=sharing  #gid=0"",""фіз особи new!relations_name""),6,FALSE)
,
(IF
(
C10871=""юридична особа""
,
VLOO"&amp;"KUP(D10871,IMPORTRANGE(""https://docs.google.com/spreadsheets/d/14Bd19lYaqBhU8_DElYkX7l4wRkHqqCUFNJY4AfY3kHU/edit?usp=sharing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70" s="7" t="s">
        <v>10</v>
      </c>
      <c r="H10870" s="7">
        <v>16964</v>
      </c>
      <c r="I10870" s="8" t="str">
        <f ca="1">IFERROR(__xludf.DUMMYFUNCTION("IF
(
G10871=""фізична особа""
,
VLOOKUP(H10871,IMPORTRANGE(""https://docs.google.com/spreadsheets/d/14Bd19lYaqBhU8_DElYkX7l4wRkHqqCUFNJY4AfY3kHU/edit?usp=sharing  #gid=0"",""фіз особи new!relations_name""),6,FALSE)
,
(IF
(
G10871=""юридична особа""
,
VLOO"&amp;"KUP(H10871,IMPORTRANGE(""https://docs.google.com/spreadsheets/d/14Bd19lYaqBhU8_DElYkX7l4wRkHqqCUFNJY4AfY3kHU/edit?usp=sharing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70" s="7" t="s">
        <v>23</v>
      </c>
    </row>
    <row r="10871" spans="1:10" ht="13.2">
      <c r="A10871" s="7">
        <v>10870</v>
      </c>
      <c r="B10871" s="7">
        <v>1</v>
      </c>
      <c r="C10871" s="7" t="s">
        <v>10</v>
      </c>
      <c r="D10871" s="7">
        <v>16959</v>
      </c>
      <c r="E10871" s="7" t="s">
        <v>23</v>
      </c>
      <c r="F10871" s="8" t="str">
        <f ca="1">IFERROR(__xludf.DUMMYFUNCTION("IF
(
C10872=""фізична особа""
,
VLOOKUP(D10872,IMPORTRANGE(""https://docs.google.com/spreadsheets/d/14Bd19lYaqBhU8_DElYkX7l4wRkHqqCUFNJY4AfY3kHU/edit?usp=sharing  #gid=0"",""фіз особи new!relations_name""),6,FALSE)
,
(IF
(
C10872=""юридична особа""
,
VLOO"&amp;"KUP(D10872,IMPORTRANGE(""https://docs.google.com/spreadsheets/d/14Bd19lYaqBhU8_DElYkX7l4wRkHqqCUFNJY4AfY3kHU/edit?usp=sharing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G10871" s="7" t="s">
        <v>10</v>
      </c>
      <c r="H10871" s="7">
        <v>398</v>
      </c>
      <c r="I10871" s="8" t="str">
        <f ca="1">IFERROR(__xludf.DUMMYFUNCTION("IF
(
G10872=""фізична особа""
,
VLOOKUP(H10872,IMPORTRANGE(""https://docs.google.com/spreadsheets/d/14Bd19lYaqBhU8_DElYkX7l4wRkHqqCUFNJY4AfY3kHU/edit?usp=sharing  #gid=0"",""фіз особи new!relations_name""),6,FALSE)
,
(IF
(
G10872=""юридична особа""
,
VLOO"&amp;"KUP(H10872,IMPORTRANGE(""https://docs.google.com/spreadsheets/d/14Bd19lYaqBhU8_DElYkX7l4wRkHqqCUFNJY4AfY3kHU/edit?usp=sharing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71" s="7" t="s">
        <v>23</v>
      </c>
    </row>
    <row r="10872" spans="1:10" ht="13.2">
      <c r="A10872" s="7">
        <v>10871</v>
      </c>
      <c r="B10872" s="7">
        <v>1</v>
      </c>
      <c r="C10872" s="7" t="s">
        <v>10</v>
      </c>
      <c r="D10872" s="7">
        <v>16960</v>
      </c>
      <c r="E10872" s="7" t="s">
        <v>23</v>
      </c>
      <c r="F10872" s="8" t="str">
        <f ca="1">IFERROR(__xludf.DUMMYFUNCTION("IF
(
C10873=""фізична особа""
,
VLOOKUP(D10873,IMPORTRANGE(""https://docs.google.com/spreadsheets/d/14Bd19lYaqBhU8_DElYkX7l4wRkHqqCUFNJY4AfY3kHU/edit?usp=sharing  #gid=0"",""фіз особи new!relations_name""),6,FALSE)
,
(IF
(
C10873=""юридична особа""
,
VLOO"&amp;"KUP(D10873,IMPORTRANGE(""https://docs.google.com/spreadsheets/d/14Bd19lYaqBhU8_DElYkX7l4wRkHqqCUFNJY4AfY3kHU/edit?usp=sharing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2" s="7" t="s">
        <v>10</v>
      </c>
      <c r="H10872" s="7">
        <v>16958</v>
      </c>
      <c r="I10872" s="8" t="str">
        <f ca="1">IFERROR(__xludf.DUMMYFUNCTION("IF
(
G10873=""фізична особа""
,
VLOOKUP(H10873,IMPORTRANGE(""https://docs.google.com/spreadsheets/d/14Bd19lYaqBhU8_DElYkX7l4wRkHqqCUFNJY4AfY3kHU/edit?usp=sharing  #gid=0"",""фіз особи new!relations_name""),6,FALSE)
,
(IF
(
G10873=""юридична особа""
,
VLOO"&amp;"KUP(H10873,IMPORTRANGE(""https://docs.google.com/spreadsheets/d/14Bd19lYaqBhU8_DElYkX7l4wRkHqqCUFNJY4AfY3kHU/edit?usp=sharing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872" s="7" t="s">
        <v>23</v>
      </c>
    </row>
    <row r="10873" spans="1:10" ht="13.2">
      <c r="A10873" s="7">
        <v>10872</v>
      </c>
      <c r="B10873" s="7">
        <v>1</v>
      </c>
      <c r="C10873" s="7" t="s">
        <v>10</v>
      </c>
      <c r="D10873" s="7">
        <v>16960</v>
      </c>
      <c r="E10873" s="7" t="s">
        <v>23</v>
      </c>
      <c r="F10873" s="8" t="str">
        <f ca="1">IFERROR(__xludf.DUMMYFUNCTION("IF
(
C10874=""фізична особа""
,
VLOOKUP(D10874,IMPORTRANGE(""https://docs.google.com/spreadsheets/d/14Bd19lYaqBhU8_DElYkX7l4wRkHqqCUFNJY4AfY3kHU/edit?usp=sharing  #gid=0"",""фіз особи new!relations_name""),6,FALSE)
,
(IF
(
C10874=""юридична особа""
,
VLOO"&amp;"KUP(D10874,IMPORTRANGE(""https://docs.google.com/spreadsheets/d/14Bd19lYaqBhU8_DElYkX7l4wRkHqqCUFNJY4AfY3kHU/edit?usp=sharing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3" s="7" t="s">
        <v>10</v>
      </c>
      <c r="H10873" s="7">
        <v>16959</v>
      </c>
      <c r="I10873" s="8" t="str">
        <f ca="1">IFERROR(__xludf.DUMMYFUNCTION("IF
(
G10874=""фізична особа""
,
VLOOKUP(H10874,IMPORTRANGE(""https://docs.google.com/spreadsheets/d/14Bd19lYaqBhU8_DElYkX7l4wRkHqqCUFNJY4AfY3kHU/edit?usp=sharing  #gid=0"",""фіз особи new!relations_name""),6,FALSE)
,
(IF
(
G10874=""юридична особа""
,
VLOO"&amp;"KUP(H10874,IMPORTRANGE(""https://docs.google.com/spreadsheets/d/14Bd19lYaqBhU8_DElYkX7l4wRkHqqCUFNJY4AfY3kHU/edit?usp=sharing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873" s="7" t="s">
        <v>23</v>
      </c>
    </row>
    <row r="10874" spans="1:10" ht="13.2">
      <c r="A10874" s="7">
        <v>10873</v>
      </c>
      <c r="B10874" s="7">
        <v>1</v>
      </c>
      <c r="C10874" s="7" t="s">
        <v>10</v>
      </c>
      <c r="D10874" s="7">
        <v>16960</v>
      </c>
      <c r="E10874" s="7" t="s">
        <v>23</v>
      </c>
      <c r="F10874" s="8" t="str">
        <f ca="1">IFERROR(__xludf.DUMMYFUNCTION("IF
(
C10875=""фізична особа""
,
VLOOKUP(D10875,IMPORTRANGE(""https://docs.google.com/spreadsheets/d/14Bd19lYaqBhU8_DElYkX7l4wRkHqqCUFNJY4AfY3kHU/edit?usp=sharing  #gid=0"",""фіз особи new!relations_name""),6,FALSE)
,
(IF
(
C10875=""юридична особа""
,
VLOO"&amp;"KUP(D10875,IMPORTRANGE(""https://docs.google.com/spreadsheets/d/14Bd19lYaqBhU8_DElYkX7l4wRkHqqCUFNJY4AfY3kHU/edit?usp=sharing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4" s="7" t="s">
        <v>10</v>
      </c>
      <c r="H10874" s="7">
        <v>16961</v>
      </c>
      <c r="I10874" s="8" t="str">
        <f ca="1">IFERROR(__xludf.DUMMYFUNCTION("IF
(
G10875=""фізична особа""
,
VLOOKUP(H10875,IMPORTRANGE(""https://docs.google.com/spreadsheets/d/14Bd19lYaqBhU8_DElYkX7l4wRkHqqCUFNJY4AfY3kHU/edit?usp=sharing  #gid=0"",""фіз особи new!relations_name""),6,FALSE)
,
(IF
(
G10875=""юридична особа""
,
VLOO"&amp;"KUP(H10875,IMPORTRANGE(""https://docs.google.com/spreadsheets/d/14Bd19lYaqBhU8_DElYkX7l4wRkHqqCUFNJY4AfY3kHU/edit?usp=sharing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874" s="7" t="s">
        <v>23</v>
      </c>
    </row>
    <row r="10875" spans="1:10" ht="13.2">
      <c r="A10875" s="7">
        <v>10874</v>
      </c>
      <c r="B10875" s="7">
        <v>1</v>
      </c>
      <c r="C10875" s="7" t="s">
        <v>10</v>
      </c>
      <c r="D10875" s="7">
        <v>16960</v>
      </c>
      <c r="E10875" s="7" t="s">
        <v>23</v>
      </c>
      <c r="F10875" s="8" t="str">
        <f ca="1">IFERROR(__xludf.DUMMYFUNCTION("IF
(
C10876=""фізична особа""
,
VLOOKUP(D10876,IMPORTRANGE(""https://docs.google.com/spreadsheets/d/14Bd19lYaqBhU8_DElYkX7l4wRkHqqCUFNJY4AfY3kHU/edit?usp=sharing  #gid=0"",""фіз особи new!relations_name""),6,FALSE)
,
(IF
(
C10876=""юридична особа""
,
VLOO"&amp;"KUP(D10876,IMPORTRANGE(""https://docs.google.com/spreadsheets/d/14Bd19lYaqBhU8_DElYkX7l4wRkHqqCUFNJY4AfY3kHU/edit?usp=sharing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5" s="7" t="s">
        <v>10</v>
      </c>
      <c r="H10875" s="7">
        <v>16962</v>
      </c>
      <c r="I10875" s="8" t="str">
        <f ca="1">IFERROR(__xludf.DUMMYFUNCTION("IF
(
G10876=""фізична особа""
,
VLOOKUP(H10876,IMPORTRANGE(""https://docs.google.com/spreadsheets/d/14Bd19lYaqBhU8_DElYkX7l4wRkHqqCUFNJY4AfY3kHU/edit?usp=sharing  #gid=0"",""фіз особи new!relations_name""),6,FALSE)
,
(IF
(
G10876=""юридична особа""
,
VLOO"&amp;"KUP(H10876,IMPORTRANGE(""https://docs.google.com/spreadsheets/d/14Bd19lYaqBhU8_DElYkX7l4wRkHqqCUFNJY4AfY3kHU/edit?usp=sharing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875" s="7" t="s">
        <v>23</v>
      </c>
    </row>
    <row r="10876" spans="1:10" ht="13.2">
      <c r="A10876" s="7">
        <v>10875</v>
      </c>
      <c r="B10876" s="7">
        <v>1</v>
      </c>
      <c r="C10876" s="7" t="s">
        <v>10</v>
      </c>
      <c r="D10876" s="7">
        <v>16960</v>
      </c>
      <c r="E10876" s="7" t="s">
        <v>23</v>
      </c>
      <c r="F10876" s="8" t="str">
        <f ca="1">IFERROR(__xludf.DUMMYFUNCTION("IF
(
C10877=""фізична особа""
,
VLOOKUP(D10877,IMPORTRANGE(""https://docs.google.com/spreadsheets/d/14Bd19lYaqBhU8_DElYkX7l4wRkHqqCUFNJY4AfY3kHU/edit?usp=sharing  #gid=0"",""фіз особи new!relations_name""),6,FALSE)
,
(IF
(
C10877=""юридична особа""
,
VLOO"&amp;"KUP(D10877,IMPORTRANGE(""https://docs.google.com/spreadsheets/d/14Bd19lYaqBhU8_DElYkX7l4wRkHqqCUFNJY4AfY3kHU/edit?usp=sharing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6" s="7" t="s">
        <v>10</v>
      </c>
      <c r="H10876" s="7">
        <v>16963</v>
      </c>
      <c r="I10876" s="8" t="str">
        <f ca="1">IFERROR(__xludf.DUMMYFUNCTION("IF
(
G10877=""фізична особа""
,
VLOOKUP(H10877,IMPORTRANGE(""https://docs.google.com/spreadsheets/d/14Bd19lYaqBhU8_DElYkX7l4wRkHqqCUFNJY4AfY3kHU/edit?usp=sharing  #gid=0"",""фіз особи new!relations_name""),6,FALSE)
,
(IF
(
G10877=""юридична особа""
,
VLOO"&amp;"KUP(H10877,IMPORTRANGE(""https://docs.google.com/spreadsheets/d/14Bd19lYaqBhU8_DElYkX7l4wRkHqqCUFNJY4AfY3kHU/edit?usp=sharing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876" s="7" t="s">
        <v>23</v>
      </c>
    </row>
    <row r="10877" spans="1:10" ht="13.2">
      <c r="A10877" s="7">
        <v>10876</v>
      </c>
      <c r="B10877" s="7">
        <v>1</v>
      </c>
      <c r="C10877" s="7" t="s">
        <v>10</v>
      </c>
      <c r="D10877" s="7">
        <v>16960</v>
      </c>
      <c r="E10877" s="7" t="s">
        <v>23</v>
      </c>
      <c r="F10877" s="8" t="str">
        <f ca="1">IFERROR(__xludf.DUMMYFUNCTION("IF
(
C10878=""фізична особа""
,
VLOOKUP(D10878,IMPORTRANGE(""https://docs.google.com/spreadsheets/d/14Bd19lYaqBhU8_DElYkX7l4wRkHqqCUFNJY4AfY3kHU/edit?usp=sharing  #gid=0"",""фіз особи new!relations_name""),6,FALSE)
,
(IF
(
C10878=""юридична особа""
,
VLOO"&amp;"KUP(D10878,IMPORTRANGE(""https://docs.google.com/spreadsheets/d/14Bd19lYaqBhU8_DElYkX7l4wRkHqqCUFNJY4AfY3kHU/edit?usp=sharing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7" s="7" t="s">
        <v>10</v>
      </c>
      <c r="H10877" s="7">
        <v>16964</v>
      </c>
      <c r="I10877" s="8" t="str">
        <f ca="1">IFERROR(__xludf.DUMMYFUNCTION("IF
(
G10878=""фізична особа""
,
VLOOKUP(H10878,IMPORTRANGE(""https://docs.google.com/spreadsheets/d/14Bd19lYaqBhU8_DElYkX7l4wRkHqqCUFNJY4AfY3kHU/edit?usp=sharing  #gid=0"",""фіз особи new!relations_name""),6,FALSE)
,
(IF
(
G10878=""юридична особа""
,
VLOO"&amp;"KUP(H10878,IMPORTRANGE(""https://docs.google.com/spreadsheets/d/14Bd19lYaqBhU8_DElYkX7l4wRkHqqCUFNJY4AfY3kHU/edit?usp=sharing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77" s="7" t="s">
        <v>23</v>
      </c>
    </row>
    <row r="10878" spans="1:10" ht="13.2">
      <c r="A10878" s="7">
        <v>10877</v>
      </c>
      <c r="B10878" s="7">
        <v>1</v>
      </c>
      <c r="C10878" s="7" t="s">
        <v>10</v>
      </c>
      <c r="D10878" s="7">
        <v>16960</v>
      </c>
      <c r="E10878" s="7" t="s">
        <v>23</v>
      </c>
      <c r="F10878" s="8" t="str">
        <f ca="1">IFERROR(__xludf.DUMMYFUNCTION("IF
(
C10879=""фізична особа""
,
VLOOKUP(D10879,IMPORTRANGE(""https://docs.google.com/spreadsheets/d/14Bd19lYaqBhU8_DElYkX7l4wRkHqqCUFNJY4AfY3kHU/edit?usp=sharing  #gid=0"",""фіз особи new!relations_name""),6,FALSE)
,
(IF
(
C10879=""юридична особа""
,
VLOO"&amp;"KUP(D10879,IMPORTRANGE(""https://docs.google.com/spreadsheets/d/14Bd19lYaqBhU8_DElYkX7l4wRkHqqCUFNJY4AfY3kHU/edit?usp=sharing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G10878" s="7" t="s">
        <v>10</v>
      </c>
      <c r="H10878" s="7">
        <v>398</v>
      </c>
      <c r="I10878" s="8" t="str">
        <f ca="1">IFERROR(__xludf.DUMMYFUNCTION("IF
(
G10879=""фізична особа""
,
VLOOKUP(H10879,IMPORTRANGE(""https://docs.google.com/spreadsheets/d/14Bd19lYaqBhU8_DElYkX7l4wRkHqqCUFNJY4AfY3kHU/edit?usp=sharing  #gid=0"",""фіз особи new!relations_name""),6,FALSE)
,
(IF
(
G10879=""юридична особа""
,
VLOO"&amp;"KUP(H10879,IMPORTRANGE(""https://docs.google.com/spreadsheets/d/14Bd19lYaqBhU8_DElYkX7l4wRkHqqCUFNJY4AfY3kHU/edit?usp=sharing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78" s="7" t="s">
        <v>23</v>
      </c>
    </row>
    <row r="10879" spans="1:10" ht="13.2">
      <c r="A10879" s="7">
        <v>10878</v>
      </c>
      <c r="B10879" s="7">
        <v>1</v>
      </c>
      <c r="C10879" s="7" t="s">
        <v>10</v>
      </c>
      <c r="D10879" s="7">
        <v>16961</v>
      </c>
      <c r="E10879" s="7" t="s">
        <v>23</v>
      </c>
      <c r="F10879" s="8" t="str">
        <f ca="1">IFERROR(__xludf.DUMMYFUNCTION("IF
(
C10880=""фізична особа""
,
VLOOKUP(D10880,IMPORTRANGE(""https://docs.google.com/spreadsheets/d/14Bd19lYaqBhU8_DElYkX7l4wRkHqqCUFNJY4AfY3kHU/edit?usp=sharing  #gid=0"",""фіз особи new!relations_name""),6,FALSE)
,
(IF
(
C10880=""юридична особа""
,
VLOO"&amp;"KUP(D10880,IMPORTRANGE(""https://docs.google.com/spreadsheets/d/14Bd19lYaqBhU8_DElYkX7l4wRkHqqCUFNJY4AfY3kHU/edit?usp=sharing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79" s="7" t="s">
        <v>10</v>
      </c>
      <c r="H10879" s="7">
        <v>16958</v>
      </c>
      <c r="I10879" s="8" t="str">
        <f ca="1">IFERROR(__xludf.DUMMYFUNCTION("IF
(
G10880=""фізична особа""
,
VLOOKUP(H10880,IMPORTRANGE(""https://docs.google.com/spreadsheets/d/14Bd19lYaqBhU8_DElYkX7l4wRkHqqCUFNJY4AfY3kHU/edit?usp=sharing  #gid=0"",""фіз особи new!relations_name""),6,FALSE)
,
(IF
(
G10880=""юридична особа""
,
VLOO"&amp;"KUP(H10880,IMPORTRANGE(""https://docs.google.com/spreadsheets/d/14Bd19lYaqBhU8_DElYkX7l4wRkHqqCUFNJY4AfY3kHU/edit?usp=sharing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879" s="7" t="s">
        <v>23</v>
      </c>
    </row>
    <row r="10880" spans="1:10" ht="13.2">
      <c r="A10880" s="7">
        <v>10879</v>
      </c>
      <c r="B10880" s="7">
        <v>1</v>
      </c>
      <c r="C10880" s="7" t="s">
        <v>10</v>
      </c>
      <c r="D10880" s="7">
        <v>16961</v>
      </c>
      <c r="E10880" s="7" t="s">
        <v>23</v>
      </c>
      <c r="F10880" s="8" t="str">
        <f ca="1">IFERROR(__xludf.DUMMYFUNCTION("IF
(
C10881=""фізична особа""
,
VLOOKUP(D10881,IMPORTRANGE(""https://docs.google.com/spreadsheets/d/14Bd19lYaqBhU8_DElYkX7l4wRkHqqCUFNJY4AfY3kHU/edit?usp=sharing  #gid=0"",""фіз особи new!relations_name""),6,FALSE)
,
(IF
(
C10881=""юридична особа""
,
VLOO"&amp;"KUP(D10881,IMPORTRANGE(""https://docs.google.com/spreadsheets/d/14Bd19lYaqBhU8_DElYkX7l4wRkHqqCUFNJY4AfY3kHU/edit?usp=sharing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0" s="7" t="s">
        <v>10</v>
      </c>
      <c r="H10880" s="7">
        <v>16959</v>
      </c>
      <c r="I10880" s="8" t="str">
        <f ca="1">IFERROR(__xludf.DUMMYFUNCTION("IF
(
G10881=""фізична особа""
,
VLOOKUP(H10881,IMPORTRANGE(""https://docs.google.com/spreadsheets/d/14Bd19lYaqBhU8_DElYkX7l4wRkHqqCUFNJY4AfY3kHU/edit?usp=sharing  #gid=0"",""фіз особи new!relations_name""),6,FALSE)
,
(IF
(
G10881=""юридична особа""
,
VLOO"&amp;"KUP(H10881,IMPORTRANGE(""https://docs.google.com/spreadsheets/d/14Bd19lYaqBhU8_DElYkX7l4wRkHqqCUFNJY4AfY3kHU/edit?usp=sharing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880" s="7" t="s">
        <v>23</v>
      </c>
    </row>
    <row r="10881" spans="1:10" ht="13.2">
      <c r="A10881" s="7">
        <v>10880</v>
      </c>
      <c r="B10881" s="7">
        <v>1</v>
      </c>
      <c r="C10881" s="7" t="s">
        <v>10</v>
      </c>
      <c r="D10881" s="7">
        <v>16961</v>
      </c>
      <c r="E10881" s="7" t="s">
        <v>23</v>
      </c>
      <c r="F10881" s="8" t="str">
        <f ca="1">IFERROR(__xludf.DUMMYFUNCTION("IF
(
C10882=""фізична особа""
,
VLOOKUP(D10882,IMPORTRANGE(""https://docs.google.com/spreadsheets/d/14Bd19lYaqBhU8_DElYkX7l4wRkHqqCUFNJY4AfY3kHU/edit?usp=sharing  #gid=0"",""фіз особи new!relations_name""),6,FALSE)
,
(IF
(
C10882=""юридична особа""
,
VLOO"&amp;"KUP(D10882,IMPORTRANGE(""https://docs.google.com/spreadsheets/d/14Bd19lYaqBhU8_DElYkX7l4wRkHqqCUFNJY4AfY3kHU/edit?usp=sharing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1" s="7" t="s">
        <v>10</v>
      </c>
      <c r="H10881" s="7">
        <v>16960</v>
      </c>
      <c r="I10881" s="8" t="str">
        <f ca="1">IFERROR(__xludf.DUMMYFUNCTION("IF
(
G10882=""фізична особа""
,
VLOOKUP(H10882,IMPORTRANGE(""https://docs.google.com/spreadsheets/d/14Bd19lYaqBhU8_DElYkX7l4wRkHqqCUFNJY4AfY3kHU/edit?usp=sharing  #gid=0"",""фіз особи new!relations_name""),6,FALSE)
,
(IF
(
G10882=""юридична особа""
,
VLOO"&amp;"KUP(H10882,IMPORTRANGE(""https://docs.google.com/spreadsheets/d/14Bd19lYaqBhU8_DElYkX7l4wRkHqqCUFNJY4AfY3kHU/edit?usp=sharing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881" s="7" t="s">
        <v>23</v>
      </c>
    </row>
    <row r="10882" spans="1:10" ht="13.2">
      <c r="A10882" s="7">
        <v>10881</v>
      </c>
      <c r="B10882" s="7">
        <v>1</v>
      </c>
      <c r="C10882" s="7" t="s">
        <v>10</v>
      </c>
      <c r="D10882" s="7">
        <v>16961</v>
      </c>
      <c r="E10882" s="7" t="s">
        <v>23</v>
      </c>
      <c r="F10882" s="8" t="str">
        <f ca="1">IFERROR(__xludf.DUMMYFUNCTION("IF
(
C10883=""фізична особа""
,
VLOOKUP(D10883,IMPORTRANGE(""https://docs.google.com/spreadsheets/d/14Bd19lYaqBhU8_DElYkX7l4wRkHqqCUFNJY4AfY3kHU/edit?usp=sharing  #gid=0"",""фіз особи new!relations_name""),6,FALSE)
,
(IF
(
C10883=""юридична особа""
,
VLOO"&amp;"KUP(D10883,IMPORTRANGE(""https://docs.google.com/spreadsheets/d/14Bd19lYaqBhU8_DElYkX7l4wRkHqqCUFNJY4AfY3kHU/edit?usp=sharing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2" s="7" t="s">
        <v>10</v>
      </c>
      <c r="H10882" s="7">
        <v>16962</v>
      </c>
      <c r="I10882" s="8" t="str">
        <f ca="1">IFERROR(__xludf.DUMMYFUNCTION("IF
(
G10883=""фізична особа""
,
VLOOKUP(H10883,IMPORTRANGE(""https://docs.google.com/spreadsheets/d/14Bd19lYaqBhU8_DElYkX7l4wRkHqqCUFNJY4AfY3kHU/edit?usp=sharing  #gid=0"",""фіз особи new!relations_name""),6,FALSE)
,
(IF
(
G10883=""юридична особа""
,
VLOO"&amp;"KUP(H10883,IMPORTRANGE(""https://docs.google.com/spreadsheets/d/14Bd19lYaqBhU8_DElYkX7l4wRkHqqCUFNJY4AfY3kHU/edit?usp=sharing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882" s="7" t="s">
        <v>23</v>
      </c>
    </row>
    <row r="10883" spans="1:10" ht="13.2">
      <c r="A10883" s="7">
        <v>10882</v>
      </c>
      <c r="B10883" s="7">
        <v>1</v>
      </c>
      <c r="C10883" s="7" t="s">
        <v>10</v>
      </c>
      <c r="D10883" s="7">
        <v>16961</v>
      </c>
      <c r="E10883" s="7" t="s">
        <v>23</v>
      </c>
      <c r="F10883" s="8" t="str">
        <f ca="1">IFERROR(__xludf.DUMMYFUNCTION("IF
(
C10884=""фізична особа""
,
VLOOKUP(D10884,IMPORTRANGE(""https://docs.google.com/spreadsheets/d/14Bd19lYaqBhU8_DElYkX7l4wRkHqqCUFNJY4AfY3kHU/edit?usp=sharing  #gid=0"",""фіз особи new!relations_name""),6,FALSE)
,
(IF
(
C10884=""юридична особа""
,
VLOO"&amp;"KUP(D10884,IMPORTRANGE(""https://docs.google.com/spreadsheets/d/14Bd19lYaqBhU8_DElYkX7l4wRkHqqCUFNJY4AfY3kHU/edit?usp=sharing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3" s="7" t="s">
        <v>10</v>
      </c>
      <c r="H10883" s="7">
        <v>16963</v>
      </c>
      <c r="I10883" s="8" t="str">
        <f ca="1">IFERROR(__xludf.DUMMYFUNCTION("IF
(
G10884=""фізична особа""
,
VLOOKUP(H10884,IMPORTRANGE(""https://docs.google.com/spreadsheets/d/14Bd19lYaqBhU8_DElYkX7l4wRkHqqCUFNJY4AfY3kHU/edit?usp=sharing  #gid=0"",""фіз особи new!relations_name""),6,FALSE)
,
(IF
(
G10884=""юридична особа""
,
VLOO"&amp;"KUP(H10884,IMPORTRANGE(""https://docs.google.com/spreadsheets/d/14Bd19lYaqBhU8_DElYkX7l4wRkHqqCUFNJY4AfY3kHU/edit?usp=sharing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883" s="7" t="s">
        <v>23</v>
      </c>
    </row>
    <row r="10884" spans="1:10" ht="13.2">
      <c r="A10884" s="7">
        <v>10883</v>
      </c>
      <c r="B10884" s="7">
        <v>1</v>
      </c>
      <c r="C10884" s="7" t="s">
        <v>10</v>
      </c>
      <c r="D10884" s="7">
        <v>16961</v>
      </c>
      <c r="E10884" s="7" t="s">
        <v>23</v>
      </c>
      <c r="F10884" s="8" t="str">
        <f ca="1">IFERROR(__xludf.DUMMYFUNCTION("IF
(
C10885=""фізична особа""
,
VLOOKUP(D10885,IMPORTRANGE(""https://docs.google.com/spreadsheets/d/14Bd19lYaqBhU8_DElYkX7l4wRkHqqCUFNJY4AfY3kHU/edit?usp=sharing  #gid=0"",""фіз особи new!relations_name""),6,FALSE)
,
(IF
(
C10885=""юридична особа""
,
VLOO"&amp;"KUP(D10885,IMPORTRANGE(""https://docs.google.com/spreadsheets/d/14Bd19lYaqBhU8_DElYkX7l4wRkHqqCUFNJY4AfY3kHU/edit?usp=sharing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4" s="7" t="s">
        <v>10</v>
      </c>
      <c r="H10884" s="7">
        <v>16964</v>
      </c>
      <c r="I10884" s="8" t="str">
        <f ca="1">IFERROR(__xludf.DUMMYFUNCTION("IF
(
G10885=""фізична особа""
,
VLOOKUP(H10885,IMPORTRANGE(""https://docs.google.com/spreadsheets/d/14Bd19lYaqBhU8_DElYkX7l4wRkHqqCUFNJY4AfY3kHU/edit?usp=sharing  #gid=0"",""фіз особи new!relations_name""),6,FALSE)
,
(IF
(
G10885=""юридична особа""
,
VLOO"&amp;"KUP(H10885,IMPORTRANGE(""https://docs.google.com/spreadsheets/d/14Bd19lYaqBhU8_DElYkX7l4wRkHqqCUFNJY4AfY3kHU/edit?usp=sharing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84" s="7" t="s">
        <v>23</v>
      </c>
    </row>
    <row r="10885" spans="1:10" ht="13.2">
      <c r="A10885" s="7">
        <v>10884</v>
      </c>
      <c r="B10885" s="7">
        <v>1</v>
      </c>
      <c r="C10885" s="7" t="s">
        <v>10</v>
      </c>
      <c r="D10885" s="7">
        <v>16961</v>
      </c>
      <c r="E10885" s="7" t="s">
        <v>23</v>
      </c>
      <c r="F10885" s="8" t="str">
        <f ca="1">IFERROR(__xludf.DUMMYFUNCTION("IF
(
C10886=""фізична особа""
,
VLOOKUP(D10886,IMPORTRANGE(""https://docs.google.com/spreadsheets/d/14Bd19lYaqBhU8_DElYkX7l4wRkHqqCUFNJY4AfY3kHU/edit?usp=sharing  #gid=0"",""фіз особи new!relations_name""),6,FALSE)
,
(IF
(
C10886=""юридична особа""
,
VLOO"&amp;"KUP(D10886,IMPORTRANGE(""https://docs.google.com/spreadsheets/d/14Bd19lYaqBhU8_DElYkX7l4wRkHqqCUFNJY4AfY3kHU/edit?usp=sharing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G10885" s="7" t="s">
        <v>10</v>
      </c>
      <c r="H10885" s="7">
        <v>398</v>
      </c>
      <c r="I10885" s="8" t="str">
        <f ca="1">IFERROR(__xludf.DUMMYFUNCTION("IF
(
G10886=""фізична особа""
,
VLOOKUP(H10886,IMPORTRANGE(""https://docs.google.com/spreadsheets/d/14Bd19lYaqBhU8_DElYkX7l4wRkHqqCUFNJY4AfY3kHU/edit?usp=sharing  #gid=0"",""фіз особи new!relations_name""),6,FALSE)
,
(IF
(
G10886=""юридична особа""
,
VLOO"&amp;"KUP(H10886,IMPORTRANGE(""https://docs.google.com/spreadsheets/d/14Bd19lYaqBhU8_DElYkX7l4wRkHqqCUFNJY4AfY3kHU/edit?usp=sharing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85" s="7" t="s">
        <v>23</v>
      </c>
    </row>
    <row r="10886" spans="1:10" ht="13.2">
      <c r="A10886" s="7">
        <v>10885</v>
      </c>
      <c r="B10886" s="7">
        <v>1</v>
      </c>
      <c r="C10886" s="7" t="s">
        <v>10</v>
      </c>
      <c r="D10886" s="7">
        <v>16962</v>
      </c>
      <c r="E10886" s="7" t="s">
        <v>23</v>
      </c>
      <c r="F10886" s="8" t="str">
        <f ca="1">IFERROR(__xludf.DUMMYFUNCTION("IF
(
C10887=""фізична особа""
,
VLOOKUP(D10887,IMPORTRANGE(""https://docs.google.com/spreadsheets/d/14Bd19lYaqBhU8_DElYkX7l4wRkHqqCUFNJY4AfY3kHU/edit?usp=sharing  #gid=0"",""фіз особи new!relations_name""),6,FALSE)
,
(IF
(
C10887=""юридична особа""
,
VLOO"&amp;"KUP(D10887,IMPORTRANGE(""https://docs.google.com/spreadsheets/d/14Bd19lYaqBhU8_DElYkX7l4wRkHqqCUFNJY4AfY3kHU/edit?usp=sharing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86" s="7" t="s">
        <v>10</v>
      </c>
      <c r="H10886" s="7">
        <v>16958</v>
      </c>
      <c r="I10886" s="8" t="str">
        <f ca="1">IFERROR(__xludf.DUMMYFUNCTION("IF
(
G10887=""фізична особа""
,
VLOOKUP(H10887,IMPORTRANGE(""https://docs.google.com/spreadsheets/d/14Bd19lYaqBhU8_DElYkX7l4wRkHqqCUFNJY4AfY3kHU/edit?usp=sharing  #gid=0"",""фіз особи new!relations_name""),6,FALSE)
,
(IF
(
G10887=""юридична особа""
,
VLOO"&amp;"KUP(H10887,IMPORTRANGE(""https://docs.google.com/spreadsheets/d/14Bd19lYaqBhU8_DElYkX7l4wRkHqqCUFNJY4AfY3kHU/edit?usp=sharing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886" s="7" t="s">
        <v>23</v>
      </c>
    </row>
    <row r="10887" spans="1:10" ht="13.2">
      <c r="A10887" s="7">
        <v>10886</v>
      </c>
      <c r="B10887" s="7">
        <v>1</v>
      </c>
      <c r="C10887" s="7" t="s">
        <v>10</v>
      </c>
      <c r="D10887" s="7">
        <v>16962</v>
      </c>
      <c r="E10887" s="7" t="s">
        <v>23</v>
      </c>
      <c r="F10887" s="8" t="str">
        <f ca="1">IFERROR(__xludf.DUMMYFUNCTION("IF
(
C10888=""фізична особа""
,
VLOOKUP(D10888,IMPORTRANGE(""https://docs.google.com/spreadsheets/d/14Bd19lYaqBhU8_DElYkX7l4wRkHqqCUFNJY4AfY3kHU/edit?usp=sharing  #gid=0"",""фіз особи new!relations_name""),6,FALSE)
,
(IF
(
C10888=""юридична особа""
,
VLOO"&amp;"KUP(D10888,IMPORTRANGE(""https://docs.google.com/spreadsheets/d/14Bd19lYaqBhU8_DElYkX7l4wRkHqqCUFNJY4AfY3kHU/edit?usp=sharing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87" s="7" t="s">
        <v>10</v>
      </c>
      <c r="H10887" s="7">
        <v>16959</v>
      </c>
      <c r="I10887" s="8" t="str">
        <f ca="1">IFERROR(__xludf.DUMMYFUNCTION("IF
(
G10888=""фізична особа""
,
VLOOKUP(H10888,IMPORTRANGE(""https://docs.google.com/spreadsheets/d/14Bd19lYaqBhU8_DElYkX7l4wRkHqqCUFNJY4AfY3kHU/edit?usp=sharing  #gid=0"",""фіз особи new!relations_name""),6,FALSE)
,
(IF
(
G10888=""юридична особа""
,
VLOO"&amp;"KUP(H10888,IMPORTRANGE(""https://docs.google.com/spreadsheets/d/14Bd19lYaqBhU8_DElYkX7l4wRkHqqCUFNJY4AfY3kHU/edit?usp=sharing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887" s="7" t="s">
        <v>23</v>
      </c>
    </row>
    <row r="10888" spans="1:10" ht="13.2">
      <c r="A10888" s="7">
        <v>10887</v>
      </c>
      <c r="B10888" s="7">
        <v>1</v>
      </c>
      <c r="C10888" s="7" t="s">
        <v>10</v>
      </c>
      <c r="D10888" s="7">
        <v>16962</v>
      </c>
      <c r="E10888" s="7" t="s">
        <v>23</v>
      </c>
      <c r="F10888" s="8" t="str">
        <f ca="1">IFERROR(__xludf.DUMMYFUNCTION("IF
(
C10889=""фізична особа""
,
VLOOKUP(D10889,IMPORTRANGE(""https://docs.google.com/spreadsheets/d/14Bd19lYaqBhU8_DElYkX7l4wRkHqqCUFNJY4AfY3kHU/edit?usp=sharing  #gid=0"",""фіз особи new!relations_name""),6,FALSE)
,
(IF
(
C10889=""юридична особа""
,
VLOO"&amp;"KUP(D10889,IMPORTRANGE(""https://docs.google.com/spreadsheets/d/14Bd19lYaqBhU8_DElYkX7l4wRkHqqCUFNJY4AfY3kHU/edit?usp=sharing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88" s="7" t="s">
        <v>10</v>
      </c>
      <c r="H10888" s="7">
        <v>16960</v>
      </c>
      <c r="I10888" s="8" t="str">
        <f ca="1">IFERROR(__xludf.DUMMYFUNCTION("IF
(
G10889=""фізична особа""
,
VLOOKUP(H10889,IMPORTRANGE(""https://docs.google.com/spreadsheets/d/14Bd19lYaqBhU8_DElYkX7l4wRkHqqCUFNJY4AfY3kHU/edit?usp=sharing  #gid=0"",""фіз особи new!relations_name""),6,FALSE)
,
(IF
(
G10889=""юридична особа""
,
VLOO"&amp;"KUP(H10889,IMPORTRANGE(""https://docs.google.com/spreadsheets/d/14Bd19lYaqBhU8_DElYkX7l4wRkHqqCUFNJY4AfY3kHU/edit?usp=sharing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888" s="7" t="s">
        <v>23</v>
      </c>
    </row>
    <row r="10889" spans="1:10" ht="13.2">
      <c r="A10889" s="7">
        <v>10888</v>
      </c>
      <c r="B10889" s="7">
        <v>1</v>
      </c>
      <c r="C10889" s="7" t="s">
        <v>10</v>
      </c>
      <c r="D10889" s="7">
        <v>16962</v>
      </c>
      <c r="E10889" s="7" t="s">
        <v>23</v>
      </c>
      <c r="F10889" s="8" t="str">
        <f ca="1">IFERROR(__xludf.DUMMYFUNCTION("IF
(
C10890=""фізична особа""
,
VLOOKUP(D10890,IMPORTRANGE(""https://docs.google.com/spreadsheets/d/14Bd19lYaqBhU8_DElYkX7l4wRkHqqCUFNJY4AfY3kHU/edit?usp=sharing  #gid=0"",""фіз особи new!relations_name""),6,FALSE)
,
(IF
(
C10890=""юридична особа""
,
VLOO"&amp;"KUP(D10890,IMPORTRANGE(""https://docs.google.com/spreadsheets/d/14Bd19lYaqBhU8_DElYkX7l4wRkHqqCUFNJY4AfY3kHU/edit?usp=sharing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89" s="7" t="s">
        <v>10</v>
      </c>
      <c r="H10889" s="7">
        <v>16961</v>
      </c>
      <c r="I10889" s="8" t="str">
        <f ca="1">IFERROR(__xludf.DUMMYFUNCTION("IF
(
G10890=""фізична особа""
,
VLOOKUP(H10890,IMPORTRANGE(""https://docs.google.com/spreadsheets/d/14Bd19lYaqBhU8_DElYkX7l4wRkHqqCUFNJY4AfY3kHU/edit?usp=sharing  #gid=0"",""фіз особи new!relations_name""),6,FALSE)
,
(IF
(
G10890=""юридична особа""
,
VLOO"&amp;"KUP(H10890,IMPORTRANGE(""https://docs.google.com/spreadsheets/d/14Bd19lYaqBhU8_DElYkX7l4wRkHqqCUFNJY4AfY3kHU/edit?usp=sharing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889" s="7" t="s">
        <v>23</v>
      </c>
    </row>
    <row r="10890" spans="1:10" ht="13.2">
      <c r="A10890" s="7">
        <v>10889</v>
      </c>
      <c r="B10890" s="7">
        <v>1</v>
      </c>
      <c r="C10890" s="7" t="s">
        <v>10</v>
      </c>
      <c r="D10890" s="7">
        <v>16962</v>
      </c>
      <c r="E10890" s="7" t="s">
        <v>23</v>
      </c>
      <c r="F10890" s="8" t="str">
        <f ca="1">IFERROR(__xludf.DUMMYFUNCTION("IF
(
C10891=""фізична особа""
,
VLOOKUP(D10891,IMPORTRANGE(""https://docs.google.com/spreadsheets/d/14Bd19lYaqBhU8_DElYkX7l4wRkHqqCUFNJY4AfY3kHU/edit?usp=sharing  #gid=0"",""фіз особи new!relations_name""),6,FALSE)
,
(IF
(
C10891=""юридична особа""
,
VLOO"&amp;"KUP(D10891,IMPORTRANGE(""https://docs.google.com/spreadsheets/d/14Bd19lYaqBhU8_DElYkX7l4wRkHqqCUFNJY4AfY3kHU/edit?usp=sharing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90" s="7" t="s">
        <v>10</v>
      </c>
      <c r="H10890" s="7">
        <v>16963</v>
      </c>
      <c r="I10890" s="8" t="str">
        <f ca="1">IFERROR(__xludf.DUMMYFUNCTION("IF
(
G10891=""фізична особа""
,
VLOOKUP(H10891,IMPORTRANGE(""https://docs.google.com/spreadsheets/d/14Bd19lYaqBhU8_DElYkX7l4wRkHqqCUFNJY4AfY3kHU/edit?usp=sharing  #gid=0"",""фіз особи new!relations_name""),6,FALSE)
,
(IF
(
G10891=""юридична особа""
,
VLOO"&amp;"KUP(H10891,IMPORTRANGE(""https://docs.google.com/spreadsheets/d/14Bd19lYaqBhU8_DElYkX7l4wRkHqqCUFNJY4AfY3kHU/edit?usp=sharing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890" s="7" t="s">
        <v>23</v>
      </c>
    </row>
    <row r="10891" spans="1:10" ht="13.2">
      <c r="A10891" s="7">
        <v>10890</v>
      </c>
      <c r="B10891" s="7">
        <v>1</v>
      </c>
      <c r="C10891" s="7" t="s">
        <v>10</v>
      </c>
      <c r="D10891" s="7">
        <v>16962</v>
      </c>
      <c r="E10891" s="7" t="s">
        <v>23</v>
      </c>
      <c r="F10891" s="8" t="str">
        <f ca="1">IFERROR(__xludf.DUMMYFUNCTION("IF
(
C10892=""фізична особа""
,
VLOOKUP(D10892,IMPORTRANGE(""https://docs.google.com/spreadsheets/d/14Bd19lYaqBhU8_DElYkX7l4wRkHqqCUFNJY4AfY3kHU/edit?usp=sharing  #gid=0"",""фіз особи new!relations_name""),6,FALSE)
,
(IF
(
C10892=""юридична особа""
,
VLOO"&amp;"KUP(D10892,IMPORTRANGE(""https://docs.google.com/spreadsheets/d/14Bd19lYaqBhU8_DElYkX7l4wRkHqqCUFNJY4AfY3kHU/edit?usp=sharing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91" s="7" t="s">
        <v>10</v>
      </c>
      <c r="H10891" s="7">
        <v>16964</v>
      </c>
      <c r="I10891" s="8" t="str">
        <f ca="1">IFERROR(__xludf.DUMMYFUNCTION("IF
(
G10892=""фізична особа""
,
VLOOKUP(H10892,IMPORTRANGE(""https://docs.google.com/spreadsheets/d/14Bd19lYaqBhU8_DElYkX7l4wRkHqqCUFNJY4AfY3kHU/edit?usp=sharing  #gid=0"",""фіз особи new!relations_name""),6,FALSE)
,
(IF
(
G10892=""юридична особа""
,
VLOO"&amp;"KUP(H10892,IMPORTRANGE(""https://docs.google.com/spreadsheets/d/14Bd19lYaqBhU8_DElYkX7l4wRkHqqCUFNJY4AfY3kHU/edit?usp=sharing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91" s="7" t="s">
        <v>23</v>
      </c>
    </row>
    <row r="10892" spans="1:10" ht="13.2">
      <c r="A10892" s="7">
        <v>10891</v>
      </c>
      <c r="B10892" s="7">
        <v>1</v>
      </c>
      <c r="C10892" s="7" t="s">
        <v>10</v>
      </c>
      <c r="D10892" s="7">
        <v>16962</v>
      </c>
      <c r="E10892" s="7" t="s">
        <v>23</v>
      </c>
      <c r="F10892" s="8" t="str">
        <f ca="1">IFERROR(__xludf.DUMMYFUNCTION("IF
(
C10893=""фізична особа""
,
VLOOKUP(D10893,IMPORTRANGE(""https://docs.google.com/spreadsheets/d/14Bd19lYaqBhU8_DElYkX7l4wRkHqqCUFNJY4AfY3kHU/edit?usp=sharing  #gid=0"",""фіз особи new!relations_name""),6,FALSE)
,
(IF
(
C10893=""юридична особа""
,
VLOO"&amp;"KUP(D10893,IMPORTRANGE(""https://docs.google.com/spreadsheets/d/14Bd19lYaqBhU8_DElYkX7l4wRkHqqCUFNJY4AfY3kHU/edit?usp=sharing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G10892" s="7" t="s">
        <v>10</v>
      </c>
      <c r="H10892" s="7">
        <v>398</v>
      </c>
      <c r="I10892" s="8" t="str">
        <f ca="1">IFERROR(__xludf.DUMMYFUNCTION("IF
(
G10893=""фізична особа""
,
VLOOKUP(H10893,IMPORTRANGE(""https://docs.google.com/spreadsheets/d/14Bd19lYaqBhU8_DElYkX7l4wRkHqqCUFNJY4AfY3kHU/edit?usp=sharing  #gid=0"",""фіз особи new!relations_name""),6,FALSE)
,
(IF
(
G10893=""юридична особа""
,
VLOO"&amp;"KUP(H10893,IMPORTRANGE(""https://docs.google.com/spreadsheets/d/14Bd19lYaqBhU8_DElYkX7l4wRkHqqCUFNJY4AfY3kHU/edit?usp=sharing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92" s="7" t="s">
        <v>23</v>
      </c>
    </row>
    <row r="10893" spans="1:10" ht="13.2">
      <c r="A10893" s="7">
        <v>10892</v>
      </c>
      <c r="B10893" s="7">
        <v>1</v>
      </c>
      <c r="C10893" s="7" t="s">
        <v>10</v>
      </c>
      <c r="D10893" s="7">
        <v>16963</v>
      </c>
      <c r="E10893" s="7" t="s">
        <v>23</v>
      </c>
      <c r="F10893" s="8" t="str">
        <f ca="1">IFERROR(__xludf.DUMMYFUNCTION("IF
(
C10894=""фізична особа""
,
VLOOKUP(D10894,IMPORTRANGE(""https://docs.google.com/spreadsheets/d/14Bd19lYaqBhU8_DElYkX7l4wRkHqqCUFNJY4AfY3kHU/edit?usp=sharing  #gid=0"",""фіз особи new!relations_name""),6,FALSE)
,
(IF
(
C10894=""юридична особа""
,
VLOO"&amp;"KUP(D10894,IMPORTRANGE(""https://docs.google.com/spreadsheets/d/14Bd19lYaqBhU8_DElYkX7l4wRkHqqCUFNJY4AfY3kHU/edit?usp=sharing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3" s="7" t="s">
        <v>10</v>
      </c>
      <c r="H10893" s="7">
        <v>16958</v>
      </c>
      <c r="I10893" s="8" t="str">
        <f ca="1">IFERROR(__xludf.DUMMYFUNCTION("IF
(
G10894=""фізична особа""
,
VLOOKUP(H10894,IMPORTRANGE(""https://docs.google.com/spreadsheets/d/14Bd19lYaqBhU8_DElYkX7l4wRkHqqCUFNJY4AfY3kHU/edit?usp=sharing  #gid=0"",""фіз особи new!relations_name""),6,FALSE)
,
(IF
(
G10894=""юридична особа""
,
VLOO"&amp;"KUP(H10894,IMPORTRANGE(""https://docs.google.com/spreadsheets/d/14Bd19lYaqBhU8_DElYkX7l4wRkHqqCUFNJY4AfY3kHU/edit?usp=sharing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893" s="7" t="s">
        <v>23</v>
      </c>
    </row>
    <row r="10894" spans="1:10" ht="13.2">
      <c r="A10894" s="7">
        <v>10893</v>
      </c>
      <c r="B10894" s="7">
        <v>1</v>
      </c>
      <c r="C10894" s="7" t="s">
        <v>10</v>
      </c>
      <c r="D10894" s="7">
        <v>16963</v>
      </c>
      <c r="E10894" s="7" t="s">
        <v>23</v>
      </c>
      <c r="F10894" s="8" t="str">
        <f ca="1">IFERROR(__xludf.DUMMYFUNCTION("IF
(
C10895=""фізична особа""
,
VLOOKUP(D10895,IMPORTRANGE(""https://docs.google.com/spreadsheets/d/14Bd19lYaqBhU8_DElYkX7l4wRkHqqCUFNJY4AfY3kHU/edit?usp=sharing  #gid=0"",""фіз особи new!relations_name""),6,FALSE)
,
(IF
(
C10895=""юридична особа""
,
VLOO"&amp;"KUP(D10895,IMPORTRANGE(""https://docs.google.com/spreadsheets/d/14Bd19lYaqBhU8_DElYkX7l4wRkHqqCUFNJY4AfY3kHU/edit?usp=sharing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4" s="7" t="s">
        <v>10</v>
      </c>
      <c r="H10894" s="7">
        <v>16959</v>
      </c>
      <c r="I10894" s="8" t="str">
        <f ca="1">IFERROR(__xludf.DUMMYFUNCTION("IF
(
G10895=""фізична особа""
,
VLOOKUP(H10895,IMPORTRANGE(""https://docs.google.com/spreadsheets/d/14Bd19lYaqBhU8_DElYkX7l4wRkHqqCUFNJY4AfY3kHU/edit?usp=sharing  #gid=0"",""фіз особи new!relations_name""),6,FALSE)
,
(IF
(
G10895=""юридична особа""
,
VLOO"&amp;"KUP(H10895,IMPORTRANGE(""https://docs.google.com/spreadsheets/d/14Bd19lYaqBhU8_DElYkX7l4wRkHqqCUFNJY4AfY3kHU/edit?usp=sharing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894" s="7" t="s">
        <v>23</v>
      </c>
    </row>
    <row r="10895" spans="1:10" ht="13.2">
      <c r="A10895" s="7">
        <v>10894</v>
      </c>
      <c r="B10895" s="7">
        <v>1</v>
      </c>
      <c r="C10895" s="7" t="s">
        <v>10</v>
      </c>
      <c r="D10895" s="7">
        <v>16963</v>
      </c>
      <c r="E10895" s="7" t="s">
        <v>23</v>
      </c>
      <c r="F10895" s="8" t="str">
        <f ca="1">IFERROR(__xludf.DUMMYFUNCTION("IF
(
C10896=""фізична особа""
,
VLOOKUP(D10896,IMPORTRANGE(""https://docs.google.com/spreadsheets/d/14Bd19lYaqBhU8_DElYkX7l4wRkHqqCUFNJY4AfY3kHU/edit?usp=sharing  #gid=0"",""фіз особи new!relations_name""),6,FALSE)
,
(IF
(
C10896=""юридична особа""
,
VLOO"&amp;"KUP(D10896,IMPORTRANGE(""https://docs.google.com/spreadsheets/d/14Bd19lYaqBhU8_DElYkX7l4wRkHqqCUFNJY4AfY3kHU/edit?usp=sharing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5" s="7" t="s">
        <v>10</v>
      </c>
      <c r="H10895" s="7">
        <v>16960</v>
      </c>
      <c r="I10895" s="8" t="str">
        <f ca="1">IFERROR(__xludf.DUMMYFUNCTION("IF
(
G10896=""фізична особа""
,
VLOOKUP(H10896,IMPORTRANGE(""https://docs.google.com/spreadsheets/d/14Bd19lYaqBhU8_DElYkX7l4wRkHqqCUFNJY4AfY3kHU/edit?usp=sharing  #gid=0"",""фіз особи new!relations_name""),6,FALSE)
,
(IF
(
G10896=""юридична особа""
,
VLOO"&amp;"KUP(H10896,IMPORTRANGE(""https://docs.google.com/spreadsheets/d/14Bd19lYaqBhU8_DElYkX7l4wRkHqqCUFNJY4AfY3kHU/edit?usp=sharing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895" s="7" t="s">
        <v>23</v>
      </c>
    </row>
    <row r="10896" spans="1:10" ht="13.2">
      <c r="A10896" s="7">
        <v>10895</v>
      </c>
      <c r="B10896" s="7">
        <v>1</v>
      </c>
      <c r="C10896" s="7" t="s">
        <v>10</v>
      </c>
      <c r="D10896" s="7">
        <v>16963</v>
      </c>
      <c r="E10896" s="7" t="s">
        <v>23</v>
      </c>
      <c r="F10896" s="8" t="str">
        <f ca="1">IFERROR(__xludf.DUMMYFUNCTION("IF
(
C10897=""фізична особа""
,
VLOOKUP(D10897,IMPORTRANGE(""https://docs.google.com/spreadsheets/d/14Bd19lYaqBhU8_DElYkX7l4wRkHqqCUFNJY4AfY3kHU/edit?usp=sharing  #gid=0"",""фіз особи new!relations_name""),6,FALSE)
,
(IF
(
C10897=""юридична особа""
,
VLOO"&amp;"KUP(D10897,IMPORTRANGE(""https://docs.google.com/spreadsheets/d/14Bd19lYaqBhU8_DElYkX7l4wRkHqqCUFNJY4AfY3kHU/edit?usp=sharing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6" s="7" t="s">
        <v>10</v>
      </c>
      <c r="H10896" s="7">
        <v>16961</v>
      </c>
      <c r="I10896" s="8" t="str">
        <f ca="1">IFERROR(__xludf.DUMMYFUNCTION("IF
(
G10897=""фізична особа""
,
VLOOKUP(H10897,IMPORTRANGE(""https://docs.google.com/spreadsheets/d/14Bd19lYaqBhU8_DElYkX7l4wRkHqqCUFNJY4AfY3kHU/edit?usp=sharing  #gid=0"",""фіз особи new!relations_name""),6,FALSE)
,
(IF
(
G10897=""юридична особа""
,
VLOO"&amp;"KUP(H10897,IMPORTRANGE(""https://docs.google.com/spreadsheets/d/14Bd19lYaqBhU8_DElYkX7l4wRkHqqCUFNJY4AfY3kHU/edit?usp=sharing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896" s="7" t="s">
        <v>23</v>
      </c>
    </row>
    <row r="10897" spans="1:10" ht="13.2">
      <c r="A10897" s="7">
        <v>10896</v>
      </c>
      <c r="B10897" s="7">
        <v>1</v>
      </c>
      <c r="C10897" s="7" t="s">
        <v>10</v>
      </c>
      <c r="D10897" s="7">
        <v>16963</v>
      </c>
      <c r="E10897" s="7" t="s">
        <v>23</v>
      </c>
      <c r="F10897" s="8" t="str">
        <f ca="1">IFERROR(__xludf.DUMMYFUNCTION("IF
(
C10898=""фізична особа""
,
VLOOKUP(D10898,IMPORTRANGE(""https://docs.google.com/spreadsheets/d/14Bd19lYaqBhU8_DElYkX7l4wRkHqqCUFNJY4AfY3kHU/edit?usp=sharing  #gid=0"",""фіз особи new!relations_name""),6,FALSE)
,
(IF
(
C10898=""юридична особа""
,
VLOO"&amp;"KUP(D10898,IMPORTRANGE(""https://docs.google.com/spreadsheets/d/14Bd19lYaqBhU8_DElYkX7l4wRkHqqCUFNJY4AfY3kHU/edit?usp=sharing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7" s="7" t="s">
        <v>10</v>
      </c>
      <c r="H10897" s="7">
        <v>16962</v>
      </c>
      <c r="I10897" s="8" t="str">
        <f ca="1">IFERROR(__xludf.DUMMYFUNCTION("IF
(
G10898=""фізична особа""
,
VLOOKUP(H10898,IMPORTRANGE(""https://docs.google.com/spreadsheets/d/14Bd19lYaqBhU8_DElYkX7l4wRkHqqCUFNJY4AfY3kHU/edit?usp=sharing  #gid=0"",""фіз особи new!relations_name""),6,FALSE)
,
(IF
(
G10898=""юридична особа""
,
VLOO"&amp;"KUP(H10898,IMPORTRANGE(""https://docs.google.com/spreadsheets/d/14Bd19lYaqBhU8_DElYkX7l4wRkHqqCUFNJY4AfY3kHU/edit?usp=sharing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897" s="7" t="s">
        <v>23</v>
      </c>
    </row>
    <row r="10898" spans="1:10" ht="13.2">
      <c r="A10898" s="7">
        <v>10897</v>
      </c>
      <c r="B10898" s="7">
        <v>1</v>
      </c>
      <c r="C10898" s="7" t="s">
        <v>10</v>
      </c>
      <c r="D10898" s="7">
        <v>16963</v>
      </c>
      <c r="E10898" s="7" t="s">
        <v>23</v>
      </c>
      <c r="F10898" s="8" t="str">
        <f ca="1">IFERROR(__xludf.DUMMYFUNCTION("IF
(
C10899=""фізична особа""
,
VLOOKUP(D10899,IMPORTRANGE(""https://docs.google.com/spreadsheets/d/14Bd19lYaqBhU8_DElYkX7l4wRkHqqCUFNJY4AfY3kHU/edit?usp=sharing  #gid=0"",""фіз особи new!relations_name""),6,FALSE)
,
(IF
(
C10899=""юридична особа""
,
VLOO"&amp;"KUP(D10899,IMPORTRANGE(""https://docs.google.com/spreadsheets/d/14Bd19lYaqBhU8_DElYkX7l4wRkHqqCUFNJY4AfY3kHU/edit?usp=sharing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8" s="7" t="s">
        <v>10</v>
      </c>
      <c r="H10898" s="7">
        <v>16964</v>
      </c>
      <c r="I10898" s="8" t="str">
        <f ca="1">IFERROR(__xludf.DUMMYFUNCTION("IF
(
G10899=""фізична особа""
,
VLOOKUP(H10899,IMPORTRANGE(""https://docs.google.com/spreadsheets/d/14Bd19lYaqBhU8_DElYkX7l4wRkHqqCUFNJY4AfY3kHU/edit?usp=sharing  #gid=0"",""фіз особи new!relations_name""),6,FALSE)
,
(IF
(
G10899=""юридична особа""
,
VLOO"&amp;"KUP(H10899,IMPORTRANGE(""https://docs.google.com/spreadsheets/d/14Bd19lYaqBhU8_DElYkX7l4wRkHqqCUFNJY4AfY3kHU/edit?usp=sharing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J10898" s="7" t="s">
        <v>23</v>
      </c>
    </row>
    <row r="10899" spans="1:10" ht="13.2">
      <c r="A10899" s="7">
        <v>10898</v>
      </c>
      <c r="B10899" s="7">
        <v>1</v>
      </c>
      <c r="C10899" s="7" t="s">
        <v>10</v>
      </c>
      <c r="D10899" s="7">
        <v>16963</v>
      </c>
      <c r="E10899" s="7" t="s">
        <v>23</v>
      </c>
      <c r="F10899" s="8" t="str">
        <f ca="1">IFERROR(__xludf.DUMMYFUNCTION("IF
(
C10900=""фізична особа""
,
VLOOKUP(D10900,IMPORTRANGE(""https://docs.google.com/spreadsheets/d/14Bd19lYaqBhU8_DElYkX7l4wRkHqqCUFNJY4AfY3kHU/edit?usp=sharing  #gid=0"",""фіз особи new!relations_name""),6,FALSE)
,
(IF
(
C10900=""юридична особа""
,
VLOO"&amp;"KUP(D10900,IMPORTRANGE(""https://docs.google.com/spreadsheets/d/14Bd19lYaqBhU8_DElYkX7l4wRkHqqCUFNJY4AfY3kHU/edit?usp=sharing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G10899" s="7" t="s">
        <v>10</v>
      </c>
      <c r="H10899" s="7">
        <v>398</v>
      </c>
      <c r="I10899" s="8" t="str">
        <f ca="1">IFERROR(__xludf.DUMMYFUNCTION("IF
(
G10900=""фізична особа""
,
VLOOKUP(H10900,IMPORTRANGE(""https://docs.google.com/spreadsheets/d/14Bd19lYaqBhU8_DElYkX7l4wRkHqqCUFNJY4AfY3kHU/edit?usp=sharing  #gid=0"",""фіз особи new!relations_name""),6,FALSE)
,
(IF
(
G10900=""юридична особа""
,
VLOO"&amp;"KUP(H10900,IMPORTRANGE(""https://docs.google.com/spreadsheets/d/14Bd19lYaqBhU8_DElYkX7l4wRkHqqCUFNJY4AfY3kHU/edit?usp=sharing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899" s="7" t="s">
        <v>23</v>
      </c>
    </row>
    <row r="10900" spans="1:10" ht="13.2">
      <c r="A10900" s="7">
        <v>10899</v>
      </c>
      <c r="B10900" s="7">
        <v>1</v>
      </c>
      <c r="C10900" s="7" t="s">
        <v>10</v>
      </c>
      <c r="D10900" s="7">
        <v>16964</v>
      </c>
      <c r="E10900" s="7" t="s">
        <v>23</v>
      </c>
      <c r="F10900" s="8" t="str">
        <f ca="1">IFERROR(__xludf.DUMMYFUNCTION("IF
(
C10901=""фізична особа""
,
VLOOKUP(D10901,IMPORTRANGE(""https://docs.google.com/spreadsheets/d/14Bd19lYaqBhU8_DElYkX7l4wRkHqqCUFNJY4AfY3kHU/edit?usp=sharing  #gid=0"",""фіз особи new!relations_name""),6,FALSE)
,
(IF
(
C10901=""юридична особа""
,
VLOO"&amp;"KUP(D10901,IMPORTRANGE(""https://docs.google.com/spreadsheets/d/14Bd19lYaqBhU8_DElYkX7l4wRkHqqCUFNJY4AfY3kHU/edit?usp=sharing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0" s="7" t="s">
        <v>10</v>
      </c>
      <c r="H10900" s="7">
        <v>16958</v>
      </c>
      <c r="I10900" s="8" t="str">
        <f ca="1">IFERROR(__xludf.DUMMYFUNCTION("IF
(
G10901=""фізична особа""
,
VLOOKUP(H10901,IMPORTRANGE(""https://docs.google.com/spreadsheets/d/14Bd19lYaqBhU8_DElYkX7l4wRkHqqCUFNJY4AfY3kHU/edit?usp=sharing  #gid=0"",""фіз особи new!relations_name""),6,FALSE)
,
(IF
(
G10901=""юридична особа""
,
VLOO"&amp;"KUP(H10901,IMPORTRANGE(""https://docs.google.com/spreadsheets/d/14Bd19lYaqBhU8_DElYkX7l4wRkHqqCUFNJY4AfY3kHU/edit?usp=sharing  #gid=0"",""фіз особи new!relations_name_uo""),7,FALSE)
,
)
))"),"ПОДЕРЬОГІН Олександр Миколайович")</f>
        <v>ПОДЕРЬОГІН Олександр Миколайович</v>
      </c>
      <c r="J10900" s="7" t="s">
        <v>23</v>
      </c>
    </row>
    <row r="10901" spans="1:10" ht="13.2">
      <c r="A10901" s="7">
        <v>10900</v>
      </c>
      <c r="B10901" s="7">
        <v>1</v>
      </c>
      <c r="C10901" s="7" t="s">
        <v>10</v>
      </c>
      <c r="D10901" s="7">
        <v>16964</v>
      </c>
      <c r="E10901" s="7" t="s">
        <v>23</v>
      </c>
      <c r="F10901" s="8" t="str">
        <f ca="1">IFERROR(__xludf.DUMMYFUNCTION("IF
(
C10902=""фізична особа""
,
VLOOKUP(D10902,IMPORTRANGE(""https://docs.google.com/spreadsheets/d/14Bd19lYaqBhU8_DElYkX7l4wRkHqqCUFNJY4AfY3kHU/edit?usp=sharing  #gid=0"",""фіз особи new!relations_name""),6,FALSE)
,
(IF
(
C10902=""юридична особа""
,
VLOO"&amp;"KUP(D10902,IMPORTRANGE(""https://docs.google.com/spreadsheets/d/14Bd19lYaqBhU8_DElYkX7l4wRkHqqCUFNJY4AfY3kHU/edit?usp=sharing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1" s="7" t="s">
        <v>10</v>
      </c>
      <c r="H10901" s="7">
        <v>16959</v>
      </c>
      <c r="I10901" s="8" t="str">
        <f ca="1">IFERROR(__xludf.DUMMYFUNCTION("IF
(
G10902=""фізична особа""
,
VLOOKUP(H10902,IMPORTRANGE(""https://docs.google.com/spreadsheets/d/14Bd19lYaqBhU8_DElYkX7l4wRkHqqCUFNJY4AfY3kHU/edit?usp=sharing  #gid=0"",""фіз особи new!relations_name""),6,FALSE)
,
(IF
(
G10902=""юридична особа""
,
VLOO"&amp;"KUP(H10902,IMPORTRANGE(""https://docs.google.com/spreadsheets/d/14Bd19lYaqBhU8_DElYkX7l4wRkHqqCUFNJY4AfY3kHU/edit?usp=sharing  #gid=0"",""фіз особи new!relations_name_uo""),7,FALSE)
,
)
))"),"БІРЮКОВ Євгеній Миколайович")</f>
        <v>БІРЮКОВ Євгеній Миколайович</v>
      </c>
      <c r="J10901" s="7" t="s">
        <v>23</v>
      </c>
    </row>
    <row r="10902" spans="1:10" ht="13.2">
      <c r="A10902" s="7">
        <v>10901</v>
      </c>
      <c r="B10902" s="7">
        <v>1</v>
      </c>
      <c r="C10902" s="7" t="s">
        <v>10</v>
      </c>
      <c r="D10902" s="7">
        <v>16964</v>
      </c>
      <c r="E10902" s="7" t="s">
        <v>23</v>
      </c>
      <c r="F10902" s="8" t="str">
        <f ca="1">IFERROR(__xludf.DUMMYFUNCTION("IF
(
C10903=""фізична особа""
,
VLOOKUP(D10903,IMPORTRANGE(""https://docs.google.com/spreadsheets/d/14Bd19lYaqBhU8_DElYkX7l4wRkHqqCUFNJY4AfY3kHU/edit?usp=sharing  #gid=0"",""фіз особи new!relations_name""),6,FALSE)
,
(IF
(
C10903=""юридична особа""
,
VLOO"&amp;"KUP(D10903,IMPORTRANGE(""https://docs.google.com/spreadsheets/d/14Bd19lYaqBhU8_DElYkX7l4wRkHqqCUFNJY4AfY3kHU/edit?usp=sharing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2" s="7" t="s">
        <v>10</v>
      </c>
      <c r="H10902" s="7">
        <v>16960</v>
      </c>
      <c r="I10902" s="8" t="str">
        <f ca="1">IFERROR(__xludf.DUMMYFUNCTION("IF
(
G10903=""фізична особа""
,
VLOOKUP(H10903,IMPORTRANGE(""https://docs.google.com/spreadsheets/d/14Bd19lYaqBhU8_DElYkX7l4wRkHqqCUFNJY4AfY3kHU/edit?usp=sharing  #gid=0"",""фіз особи new!relations_name""),6,FALSE)
,
(IF
(
G10903=""юридична особа""
,
VLOO"&amp;"KUP(H10903,IMPORTRANGE(""https://docs.google.com/spreadsheets/d/14Bd19lYaqBhU8_DElYkX7l4wRkHqqCUFNJY4AfY3kHU/edit?usp=sharing  #gid=0"",""фіз особи new!relations_name_uo""),7,FALSE)
,
)
))"),"ВОЛЬНОВ Сергій Володимирович")</f>
        <v>ВОЛЬНОВ Сергій Володимирович</v>
      </c>
      <c r="J10902" s="7" t="s">
        <v>23</v>
      </c>
    </row>
    <row r="10903" spans="1:10" ht="13.2">
      <c r="A10903" s="7">
        <v>10902</v>
      </c>
      <c r="B10903" s="7">
        <v>1</v>
      </c>
      <c r="C10903" s="7" t="s">
        <v>10</v>
      </c>
      <c r="D10903" s="7">
        <v>16964</v>
      </c>
      <c r="E10903" s="7" t="s">
        <v>23</v>
      </c>
      <c r="F10903" s="8" t="str">
        <f ca="1">IFERROR(__xludf.DUMMYFUNCTION("IF
(
C10904=""фізична особа""
,
VLOOKUP(D10904,IMPORTRANGE(""https://docs.google.com/spreadsheets/d/14Bd19lYaqBhU8_DElYkX7l4wRkHqqCUFNJY4AfY3kHU/edit?usp=sharing  #gid=0"",""фіз особи new!relations_name""),6,FALSE)
,
(IF
(
C10904=""юридична особа""
,
VLOO"&amp;"KUP(D10904,IMPORTRANGE(""https://docs.google.com/spreadsheets/d/14Bd19lYaqBhU8_DElYkX7l4wRkHqqCUFNJY4AfY3kHU/edit?usp=sharing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3" s="7" t="s">
        <v>10</v>
      </c>
      <c r="H10903" s="7">
        <v>16961</v>
      </c>
      <c r="I10903" s="8" t="str">
        <f ca="1">IFERROR(__xludf.DUMMYFUNCTION("IF
(
G10904=""фізична особа""
,
VLOOKUP(H10904,IMPORTRANGE(""https://docs.google.com/spreadsheets/d/14Bd19lYaqBhU8_DElYkX7l4wRkHqqCUFNJY4AfY3kHU/edit?usp=sharing  #gid=0"",""фіз особи new!relations_name""),6,FALSE)
,
(IF
(
G10904=""юридична особа""
,
VLOO"&amp;"KUP(H10904,IMPORTRANGE(""https://docs.google.com/spreadsheets/d/14Bd19lYaqBhU8_DElYkX7l4wRkHqqCUFNJY4AfY3kHU/edit?usp=sharing  #gid=0"",""фіз особи new!relations_name_uo""),7,FALSE)
,
)
))"),"ДОБРЯКОВ Павло Олександрович")</f>
        <v>ДОБРЯКОВ Павло Олександрович</v>
      </c>
      <c r="J10903" s="7" t="s">
        <v>23</v>
      </c>
    </row>
    <row r="10904" spans="1:10" ht="13.2">
      <c r="A10904" s="7">
        <v>10903</v>
      </c>
      <c r="B10904" s="7">
        <v>1</v>
      </c>
      <c r="C10904" s="7" t="s">
        <v>10</v>
      </c>
      <c r="D10904" s="7">
        <v>16964</v>
      </c>
      <c r="E10904" s="7" t="s">
        <v>23</v>
      </c>
      <c r="F10904" s="8" t="str">
        <f ca="1">IFERROR(__xludf.DUMMYFUNCTION("IF
(
C10905=""фізична особа""
,
VLOOKUP(D10905,IMPORTRANGE(""https://docs.google.com/spreadsheets/d/14Bd19lYaqBhU8_DElYkX7l4wRkHqqCUFNJY4AfY3kHU/edit?usp=sharing  #gid=0"",""фіз особи new!relations_name""),6,FALSE)
,
(IF
(
C10905=""юридична особа""
,
VLOO"&amp;"KUP(D10905,IMPORTRANGE(""https://docs.google.com/spreadsheets/d/14Bd19lYaqBhU8_DElYkX7l4wRkHqqCUFNJY4AfY3kHU/edit?usp=sharing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4" s="7" t="s">
        <v>10</v>
      </c>
      <c r="H10904" s="7">
        <v>16962</v>
      </c>
      <c r="I10904" s="8" t="str">
        <f ca="1">IFERROR(__xludf.DUMMYFUNCTION("IF
(
G10905=""фізична особа""
,
VLOOKUP(H10905,IMPORTRANGE(""https://docs.google.com/spreadsheets/d/14Bd19lYaqBhU8_DElYkX7l4wRkHqqCUFNJY4AfY3kHU/edit?usp=sharing  #gid=0"",""фіз особи new!relations_name""),6,FALSE)
,
(IF
(
G10905=""юридична особа""
,
VLOO"&amp;"KUP(H10905,IMPORTRANGE(""https://docs.google.com/spreadsheets/d/14Bd19lYaqBhU8_DElYkX7l4wRkHqqCUFNJY4AfY3kHU/edit?usp=sharing  #gid=0"",""фіз особи new!relations_name_uo""),7,FALSE)
,
)
))"),"КАРЕЛІНА Марія Юріївна")</f>
        <v>КАРЕЛІНА Марія Юріївна</v>
      </c>
      <c r="J10904" s="7" t="s">
        <v>23</v>
      </c>
    </row>
    <row r="10905" spans="1:10" ht="13.2">
      <c r="A10905" s="7">
        <v>10904</v>
      </c>
      <c r="B10905" s="7">
        <v>1</v>
      </c>
      <c r="C10905" s="7" t="s">
        <v>10</v>
      </c>
      <c r="D10905" s="7">
        <v>16964</v>
      </c>
      <c r="E10905" s="7" t="s">
        <v>23</v>
      </c>
      <c r="F10905" s="8" t="str">
        <f ca="1">IFERROR(__xludf.DUMMYFUNCTION("IF
(
C10906=""фізична особа""
,
VLOOKUP(D10906,IMPORTRANGE(""https://docs.google.com/spreadsheets/d/14Bd19lYaqBhU8_DElYkX7l4wRkHqqCUFNJY4AfY3kHU/edit?usp=sharing  #gid=0"",""фіз особи new!relations_name""),6,FALSE)
,
(IF
(
C10906=""юридична особа""
,
VLOO"&amp;"KUP(D10906,IMPORTRANGE(""https://docs.google.com/spreadsheets/d/14Bd19lYaqBhU8_DElYkX7l4wRkHqqCUFNJY4AfY3kHU/edit?usp=sharing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5" s="7" t="s">
        <v>10</v>
      </c>
      <c r="H10905" s="7">
        <v>16963</v>
      </c>
      <c r="I10905" s="8" t="str">
        <f ca="1">IFERROR(__xludf.DUMMYFUNCTION("IF
(
G10906=""фізична особа""
,
VLOOKUP(H10906,IMPORTRANGE(""https://docs.google.com/spreadsheets/d/14Bd19lYaqBhU8_DElYkX7l4wRkHqqCUFNJY4AfY3kHU/edit?usp=sharing  #gid=0"",""фіз особи new!relations_name""),6,FALSE)
,
(IF
(
G10906=""юридична особа""
,
VLOO"&amp;"KUP(H10906,IMPORTRANGE(""https://docs.google.com/spreadsheets/d/14Bd19lYaqBhU8_DElYkX7l4wRkHqqCUFNJY4AfY3kHU/edit?usp=sharing  #gid=0"",""фіз особи new!relations_name_uo""),7,FALSE)
,
)
))"),"ПРИХОДЬКО В'ячеслав Михайлович")</f>
        <v>ПРИХОДЬКО В'ячеслав Михайлович</v>
      </c>
      <c r="J10905" s="7" t="s">
        <v>23</v>
      </c>
    </row>
    <row r="10906" spans="1:10" ht="13.2">
      <c r="A10906" s="7">
        <v>10905</v>
      </c>
      <c r="B10906" s="7">
        <v>1</v>
      </c>
      <c r="C10906" s="7" t="s">
        <v>10</v>
      </c>
      <c r="D10906" s="7">
        <v>16964</v>
      </c>
      <c r="E10906" s="7" t="s">
        <v>23</v>
      </c>
      <c r="F10906" s="8" t="str">
        <f ca="1">IFERROR(__xludf.DUMMYFUNCTION("IF
(
C10907=""фізична особа""
,
VLOOKUP(D10907,IMPORTRANGE(""https://docs.google.com/spreadsheets/d/14Bd19lYaqBhU8_DElYkX7l4wRkHqqCUFNJY4AfY3kHU/edit?usp=sharing  #gid=0"",""фіз особи new!relations_name""),6,FALSE)
,
(IF
(
C10907=""юридична особа""
,
VLOO"&amp;"KUP(D10907,IMPORTRANGE(""https://docs.google.com/spreadsheets/d/14Bd19lYaqBhU8_DElYkX7l4wRkHqqCUFNJY4AfY3kHU/edit?usp=sharing  #gid=0"",""фіз особи new!relations_name_uo""),7,FALSE)
,
)
))"),"СПІРІДОНОВ Олексій Євгенович")</f>
        <v>СПІРІДОНОВ Олексій Євгенович</v>
      </c>
      <c r="G10906" s="7" t="s">
        <v>10</v>
      </c>
      <c r="H10906" s="7">
        <v>398</v>
      </c>
      <c r="I10906" s="8" t="str">
        <f ca="1">IFERROR(__xludf.DUMMYFUNCTION("IF
(
G10907=""фізична особа""
,
VLOOKUP(H10907,IMPORTRANGE(""https://docs.google.com/spreadsheets/d/14Bd19lYaqBhU8_DElYkX7l4wRkHqqCUFNJY4AfY3kHU/edit?usp=sharing  #gid=0"",""фіз особи new!relations_name""),6,FALSE)
,
(IF
(
G10907=""юридична особа""
,
VLOO"&amp;"KUP(H10907,IMPORTRANGE(""https://docs.google.com/spreadsheets/d/14Bd19lYaqBhU8_DElYkX7l4wRkHqqCUFNJY4AfY3kHU/edit?usp=sharing  #gid=0"",""фіз особи new!relations_name_uo""),7,FALSE)
,
)
))"),"РИЖЕНЬКІН Леонід Кронідович")</f>
        <v>РИЖЕНЬКІН Леонід Кронідович</v>
      </c>
      <c r="J10906" s="7" t="s">
        <v>23</v>
      </c>
    </row>
    <row r="10907" spans="1:10" ht="13.2">
      <c r="A10907" s="7">
        <v>10906</v>
      </c>
      <c r="B10907" s="7">
        <v>1</v>
      </c>
      <c r="C10907" s="7" t="s">
        <v>10</v>
      </c>
      <c r="D10907" s="7">
        <v>16966</v>
      </c>
      <c r="E10907" s="7" t="s">
        <v>11</v>
      </c>
      <c r="F10907" s="8" t="str">
        <f ca="1">IFERROR(__xludf.DUMMYFUNCTION("IF
(
C10908=""фізична особа""
,
VLOOKUP(D10908,IMPORTRANGE(""https://docs.google.com/spreadsheets/d/14Bd19lYaqBhU8_DElYkX7l4wRkHqqCUFNJY4AfY3kHU/edit?usp=sharing  #gid=0"",""фіз особи new!relations_name""),6,FALSE)
,
(IF
(
C10908=""юридична особа""
,
VLOO"&amp;"KUP(D10908,IMPORTRANGE(""https://docs.google.com/spreadsheets/d/14Bd19lYaqBhU8_DElYkX7l4wRkHqqCUFNJY4AfY3kHU/edit?usp=sharing  #gid=0"",""фіз особи new!relations_name_uo""),7,FALSE)
,
)
))"),"ЛУШНІКОВ Алан Валерійович")</f>
        <v>ЛУШНІКОВ Алан Валерійович</v>
      </c>
      <c r="G10907" s="7" t="s">
        <v>10</v>
      </c>
      <c r="H10907" s="7">
        <v>2114</v>
      </c>
      <c r="I10907" s="8" t="str">
        <f ca="1">IFERROR(__xludf.DUMMYFUNCTION("IF
(
G10908=""фізична особа""
,
VLOOKUP(H10908,IMPORTRANGE(""https://docs.google.com/spreadsheets/d/14Bd19lYaqBhU8_DElYkX7l4wRkHqqCUFNJY4AfY3kHU/edit?usp=sharing  #gid=0"",""фіз особи new!relations_name""),6,FALSE)
,
(IF
(
G10908=""юридична особа""
,
VLOO"&amp;"KUP(H10908,IMPORTRANGE(""https://docs.google.com/spreadsheets/d/14Bd19lYaqBhU8_DElYkX7l4wRkHqqCUFNJY4AfY3kHU/edit?usp=sharing  #gid=0"",""фіз особи new!relations_name_uo""),7,FALSE)
,
)
))"),"ЛЕПІН Володимир Миколайович")</f>
        <v>ЛЕПІН Володимир Миколайович</v>
      </c>
      <c r="J10907" s="7" t="s">
        <v>11</v>
      </c>
    </row>
    <row r="10908" spans="1:10" ht="13.2">
      <c r="A10908" s="7">
        <v>10907</v>
      </c>
      <c r="B10908" s="7">
        <v>1</v>
      </c>
      <c r="C10908" s="7" t="s">
        <v>10</v>
      </c>
      <c r="D10908" s="7">
        <v>16966</v>
      </c>
      <c r="E10908" s="7" t="s">
        <v>11</v>
      </c>
      <c r="F10908" s="8" t="str">
        <f ca="1">IFERROR(__xludf.DUMMYFUNCTION("IF
(
C10909=""фізична особа""
,
VLOOKUP(D10909,IMPORTRANGE(""https://docs.google.com/spreadsheets/d/14Bd19lYaqBhU8_DElYkX7l4wRkHqqCUFNJY4AfY3kHU/edit?usp=sharing  #gid=0"",""фіз особи new!relations_name""),6,FALSE)
,
(IF
(
C10909=""юридична особа""
,
VLOO"&amp;"KUP(D10909,IMPORTRANGE(""https://docs.google.com/spreadsheets/d/14Bd19lYaqBhU8_DElYkX7l4wRkHqqCUFNJY4AfY3kHU/edit?usp=sharing  #gid=0"",""фіз особи new!relations_name_uo""),7,FALSE)
,
)
))"),"ЛУШНІКОВ Алан Валерійович")</f>
        <v>ЛУШНІКОВ Алан Валерійович</v>
      </c>
      <c r="G10908" s="7" t="s">
        <v>10</v>
      </c>
      <c r="H10908" s="7">
        <v>4623</v>
      </c>
      <c r="I10908" s="8" t="str">
        <f ca="1">IFERROR(__xludf.DUMMYFUNCTION("IF
(
G10909=""фізична особа""
,
VLOOKUP(H10909,IMPORTRANGE(""https://docs.google.com/spreadsheets/d/14Bd19lYaqBhU8_DElYkX7l4wRkHqqCUFNJY4AfY3kHU/edit?usp=sharing  #gid=0"",""фіз особи new!relations_name""),6,FALSE)
,
(IF
(
G10909=""юридична особа""
,
VLOO"&amp;"KUP(H10909,IMPORTRANGE(""https://docs.google.com/spreadsheets/d/14Bd19lYaqBhU8_DElYkX7l4wRkHqqCUFNJY4AfY3kHU/edit?usp=sharing  #gid=0"",""фіз особи new!relations_name_uo""),7,FALSE)
,
)
))"),"ГАРЕЄВ Тимур Махмутович")</f>
        <v>ГАРЕЄВ Тимур Махмутович</v>
      </c>
      <c r="J10908" s="7" t="s">
        <v>11</v>
      </c>
    </row>
    <row r="10909" spans="1:10" ht="13.2">
      <c r="A10909" s="7">
        <v>10908</v>
      </c>
      <c r="B10909" s="7">
        <v>1</v>
      </c>
      <c r="C10909" s="7" t="s">
        <v>10</v>
      </c>
      <c r="D10909" s="7">
        <v>16967</v>
      </c>
      <c r="E10909" s="7" t="s">
        <v>28</v>
      </c>
      <c r="F10909" s="8" t="str">
        <f ca="1">IFERROR(__xludf.DUMMYFUNCTION("IF
(
C10910=""фізична особа""
,
VLOOKUP(D10910,IMPORTRANGE(""https://docs.google.com/spreadsheets/d/14Bd19lYaqBhU8_DElYkX7l4wRkHqqCUFNJY4AfY3kHU/edit?usp=sharing  #gid=0"",""фіз особи new!relations_name""),6,FALSE)
,
(IF
(
C10910=""юридична особа""
,
VLOO"&amp;"KUP(D10910,IMPORTRANGE(""https://docs.google.com/spreadsheets/d/14Bd19lYaqBhU8_DElYkX7l4wRkHqqCUFNJY4AfY3kHU/edit?usp=sharing  #gid=0"",""фіз особи new!relations_name_uo""),7,FALSE)
,
)
))"),"ЗУБАНОВ Вадим Львович")</f>
        <v>ЗУБАНОВ Вадим Львович</v>
      </c>
      <c r="G10909" s="7" t="s">
        <v>10</v>
      </c>
      <c r="H10909" s="7">
        <v>4023</v>
      </c>
      <c r="I10909" s="8" t="str">
        <f ca="1">IFERROR(__xludf.DUMMYFUNCTION("IF
(
G10910=""фізична особа""
,
VLOOKUP(H10910,IMPORTRANGE(""https://docs.google.com/spreadsheets/d/14Bd19lYaqBhU8_DElYkX7l4wRkHqqCUFNJY4AfY3kHU/edit?usp=sharing  #gid=0"",""фіз особи new!relations_name""),6,FALSE)
,
(IF
(
G10910=""юридична особа""
,
VLOO"&amp;"KUP(H10910,IMPORTRANGE(""https://docs.google.com/spreadsheets/d/14Bd19lYaqBhU8_DElYkX7l4wRkHqqCUFNJY4AfY3kHU/edit?usp=sharing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09" s="7" t="s">
        <v>29</v>
      </c>
    </row>
    <row r="10910" spans="1:10" ht="13.2">
      <c r="A10910" s="7">
        <v>10909</v>
      </c>
      <c r="B10910" s="7">
        <v>1</v>
      </c>
      <c r="C10910" s="7" t="s">
        <v>10</v>
      </c>
      <c r="D10910" s="7">
        <v>16968</v>
      </c>
      <c r="E10910" s="7" t="s">
        <v>28</v>
      </c>
      <c r="F10910" s="8" t="str">
        <f ca="1">IFERROR(__xludf.DUMMYFUNCTION("IF
(
C10911=""фізична особа""
,
VLOOKUP(D10911,IMPORTRANGE(""https://docs.google.com/spreadsheets/d/14Bd19lYaqBhU8_DElYkX7l4wRkHqqCUFNJY4AfY3kHU/edit?usp=sharing  #gid=0"",""фіз особи new!relations_name""),6,FALSE)
,
(IF
(
C10911=""юридична особа""
,
VLOO"&amp;"KUP(D10911,IMPORTRANGE(""https://docs.google.com/spreadsheets/d/14Bd19lYaqBhU8_DElYkX7l4wRkHqqCUFNJY4AfY3kHU/edit?usp=sharing  #gid=0"",""фіз особи new!relations_name_uo""),7,FALSE)
,
)
))"),"ТУРКОВА Маргарита Павлівна")</f>
        <v>ТУРКОВА Маргарита Павлівна</v>
      </c>
      <c r="G10910" s="7" t="s">
        <v>10</v>
      </c>
      <c r="H10910" s="7">
        <v>4023</v>
      </c>
      <c r="I10910" s="8" t="str">
        <f ca="1">IFERROR(__xludf.DUMMYFUNCTION("IF
(
G10911=""фізична особа""
,
VLOOKUP(H10911,IMPORTRANGE(""https://docs.google.com/spreadsheets/d/14Bd19lYaqBhU8_DElYkX7l4wRkHqqCUFNJY4AfY3kHU/edit?usp=sharing  #gid=0"",""фіз особи new!relations_name""),6,FALSE)
,
(IF
(
G10911=""юридична особа""
,
VLOO"&amp;"KUP(H10911,IMPORTRANGE(""https://docs.google.com/spreadsheets/d/14Bd19lYaqBhU8_DElYkX7l4wRkHqqCUFNJY4AfY3kHU/edit?usp=sharing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10" s="7" t="s">
        <v>29</v>
      </c>
    </row>
    <row r="10911" spans="1:10" ht="13.2">
      <c r="A10911" s="7">
        <v>10910</v>
      </c>
      <c r="B10911" s="7">
        <v>1</v>
      </c>
      <c r="C10911" s="7" t="s">
        <v>10</v>
      </c>
      <c r="D10911" s="7">
        <v>16969</v>
      </c>
      <c r="E10911" s="7" t="s">
        <v>28</v>
      </c>
      <c r="F10911" s="8" t="str">
        <f ca="1">IFERROR(__xludf.DUMMYFUNCTION("IF
(
C10912=""фізична особа""
,
VLOOKUP(D10912,IMPORTRANGE(""https://docs.google.com/spreadsheets/d/14Bd19lYaqBhU8_DElYkX7l4wRkHqqCUFNJY4AfY3kHU/edit?usp=sharing  #gid=0"",""фіз особи new!relations_name""),6,FALSE)
,
(IF
(
C10912=""юридична особа""
,
VLOO"&amp;"KUP(D10912,IMPORTRANGE(""https://docs.google.com/spreadsheets/d/14Bd19lYaqBhU8_DElYkX7l4wRkHqqCUFNJY4AfY3kHU/edit?usp=sharing  #gid=0"",""фіз особи new!relations_name_uo""),7,FALSE)
,
)
))"),"ШАКАЛО Ігор В'ячеславович")</f>
        <v>ШАКАЛО Ігор В'ячеславович</v>
      </c>
      <c r="G10911" s="7" t="s">
        <v>10</v>
      </c>
      <c r="H10911" s="7">
        <v>4023</v>
      </c>
      <c r="I10911" s="8" t="str">
        <f ca="1">IFERROR(__xludf.DUMMYFUNCTION("IF
(
G10912=""фізична особа""
,
VLOOKUP(H10912,IMPORTRANGE(""https://docs.google.com/spreadsheets/d/14Bd19lYaqBhU8_DElYkX7l4wRkHqqCUFNJY4AfY3kHU/edit?usp=sharing  #gid=0"",""фіз особи new!relations_name""),6,FALSE)
,
(IF
(
G10912=""юридична особа""
,
VLOO"&amp;"KUP(H10912,IMPORTRANGE(""https://docs.google.com/spreadsheets/d/14Bd19lYaqBhU8_DElYkX7l4wRkHqqCUFNJY4AfY3kHU/edit?usp=sharing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11" s="7" t="s">
        <v>29</v>
      </c>
    </row>
    <row r="10912" spans="1:10" ht="13.2">
      <c r="A10912" s="7">
        <v>10911</v>
      </c>
      <c r="B10912" s="7">
        <v>1</v>
      </c>
      <c r="C10912" s="7" t="s">
        <v>10</v>
      </c>
      <c r="D10912" s="7">
        <v>16970</v>
      </c>
      <c r="E10912" s="7" t="s">
        <v>28</v>
      </c>
      <c r="F10912" s="8" t="str">
        <f ca="1">IFERROR(__xludf.DUMMYFUNCTION("IF
(
C10913=""фізична особа""
,
VLOOKUP(D10913,IMPORTRANGE(""https://docs.google.com/spreadsheets/d/14Bd19lYaqBhU8_DElYkX7l4wRkHqqCUFNJY4AfY3kHU/edit?usp=sharing  #gid=0"",""фіз особи new!relations_name""),6,FALSE)
,
(IF
(
C10913=""юридична особа""
,
VLOO"&amp;"KUP(D10913,IMPORTRANGE(""https://docs.google.com/spreadsheets/d/14Bd19lYaqBhU8_DElYkX7l4wRkHqqCUFNJY4AfY3kHU/edit?usp=sharing  #gid=0"",""фіз особи new!relations_name_uo""),7,FALSE)
,
)
))"),"ШОКАЛО Олександр Володимирович")</f>
        <v>ШОКАЛО Олександр Володимирович</v>
      </c>
      <c r="G10912" s="7" t="s">
        <v>10</v>
      </c>
      <c r="H10912" s="7">
        <v>4023</v>
      </c>
      <c r="I10912" s="8" t="str">
        <f ca="1">IFERROR(__xludf.DUMMYFUNCTION("IF
(
G10913=""фізична особа""
,
VLOOKUP(H10913,IMPORTRANGE(""https://docs.google.com/spreadsheets/d/14Bd19lYaqBhU8_DElYkX7l4wRkHqqCUFNJY4AfY3kHU/edit?usp=sharing  #gid=0"",""фіз особи new!relations_name""),6,FALSE)
,
(IF
(
G10913=""юридична особа""
,
VLOO"&amp;"KUP(H10913,IMPORTRANGE(""https://docs.google.com/spreadsheets/d/14Bd19lYaqBhU8_DElYkX7l4wRkHqqCUFNJY4AfY3kHU/edit?usp=sharing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12" s="7" t="s">
        <v>29</v>
      </c>
    </row>
    <row r="10913" spans="1:10" ht="13.2">
      <c r="A10913" s="7">
        <v>10912</v>
      </c>
      <c r="B10913" s="7">
        <v>1</v>
      </c>
      <c r="C10913" s="7" t="s">
        <v>10</v>
      </c>
      <c r="D10913" s="7">
        <v>16971</v>
      </c>
      <c r="E10913" s="7" t="s">
        <v>11</v>
      </c>
      <c r="F10913" s="8" t="str">
        <f ca="1">IFERROR(__xludf.DUMMYFUNCTION("IF
(
C10914=""фізична особа""
,
VLOOKUP(D10914,IMPORTRANGE(""https://docs.google.com/spreadsheets/d/14Bd19lYaqBhU8_DElYkX7l4wRkHqqCUFNJY4AfY3kHU/edit?usp=sharing  #gid=0"",""фіз особи new!relations_name""),6,FALSE)
,
(IF
(
C10914=""юридична особа""
,
VLOO"&amp;"KUP(D10914,IMPORTRANGE(""https://docs.google.com/spreadsheets/d/14Bd19lYaqBhU8_DElYkX7l4wRkHqqCUFNJY4AfY3kHU/edit?usp=sharing  #gid=0"",""фіз особи new!relations_name_uo""),7,FALSE)
,
)
))"),"ХАЙРУЛЛІН Даніс Насимович")</f>
        <v>ХАЙРУЛЛІН Даніс Насимович</v>
      </c>
      <c r="G10913" s="7" t="s">
        <v>10</v>
      </c>
      <c r="H10913" s="7">
        <v>5421</v>
      </c>
      <c r="I10913" s="8" t="str">
        <f ca="1">IFERROR(__xludf.DUMMYFUNCTION("IF
(
G10914=""фізична особа""
,
VLOOKUP(H10914,IMPORTRANGE(""https://docs.google.com/spreadsheets/d/14Bd19lYaqBhU8_DElYkX7l4wRkHqqCUFNJY4AfY3kHU/edit?usp=sharing  #gid=0"",""фіз особи new!relations_name""),6,FALSE)
,
(IF
(
G10914=""юридична особа""
,
VLOO"&amp;"KUP(H10914,IMPORTRANGE(""https://docs.google.com/spreadsheets/d/14Bd19lYaqBhU8_DElYkX7l4wRkHqqCUFNJY4AfY3kHU/edit?usp=sharing  #gid=0"",""фіз особи new!relations_name_uo""),7,FALSE)
,
)
))"),"ФІЛІППОВ Олександр Миколайович")</f>
        <v>ФІЛІППОВ Олександр Миколайович</v>
      </c>
      <c r="J10913" s="7" t="s">
        <v>11</v>
      </c>
    </row>
    <row r="10914" spans="1:10" ht="13.2">
      <c r="A10914" s="7">
        <v>10913</v>
      </c>
      <c r="B10914" s="7">
        <v>1</v>
      </c>
      <c r="C10914" s="7" t="s">
        <v>10</v>
      </c>
      <c r="D10914" s="7">
        <v>16972</v>
      </c>
      <c r="E10914" s="7" t="s">
        <v>28</v>
      </c>
      <c r="F10914" s="8" t="str">
        <f ca="1">IFERROR(__xludf.DUMMYFUNCTION("IF
(
C10915=""фізична особа""
,
VLOOKUP(D10915,IMPORTRANGE(""https://docs.google.com/spreadsheets/d/14Bd19lYaqBhU8_DElYkX7l4wRkHqqCUFNJY4AfY3kHU/edit?usp=sharing  #gid=0"",""фіз особи new!relations_name""),6,FALSE)
,
(IF
(
C10915=""юридична особа""
,
VLOO"&amp;"KUP(D10915,IMPORTRANGE(""https://docs.google.com/spreadsheets/d/14Bd19lYaqBhU8_DElYkX7l4wRkHqqCUFNJY4AfY3kHU/edit?usp=sharing  #gid=0"",""фіз особи new!relations_name_uo""),7,FALSE)
,
)
))"),"ІВАНОВ Дмитро Станіславович")</f>
        <v>ІВАНОВ Дмитро Станіславович</v>
      </c>
      <c r="G10914" s="7" t="s">
        <v>10</v>
      </c>
      <c r="H10914" s="7">
        <v>2137</v>
      </c>
      <c r="I10914" s="8" t="str">
        <f ca="1">IFERROR(__xludf.DUMMYFUNCTION("IF
(
G10915=""фізична особа""
,
VLOOKUP(H10915,IMPORTRANGE(""https://docs.google.com/spreadsheets/d/14Bd19lYaqBhU8_DElYkX7l4wRkHqqCUFNJY4AfY3kHU/edit?usp=sharing  #gid=0"",""фіз особи new!relations_name""),6,FALSE)
,
(IF
(
G10915=""юридична особа""
,
VLOO"&amp;"KUP(H10915,IMPORTRANGE(""https://docs.google.com/spreadsheets/d/14Bd19lYaqBhU8_DElYkX7l4wRkHqqCUFNJY4AfY3kHU/edit?usp=sharing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14" s="7" t="s">
        <v>29</v>
      </c>
    </row>
    <row r="10915" spans="1:10" ht="13.2">
      <c r="A10915" s="7">
        <v>10914</v>
      </c>
      <c r="B10915" s="7">
        <v>1</v>
      </c>
      <c r="C10915" s="7" t="s">
        <v>10</v>
      </c>
      <c r="D10915" s="7">
        <v>16973</v>
      </c>
      <c r="E10915" s="7" t="s">
        <v>28</v>
      </c>
      <c r="F10915" s="8" t="str">
        <f ca="1">IFERROR(__xludf.DUMMYFUNCTION("IF
(
C10916=""фізична особа""
,
VLOOKUP(D10916,IMPORTRANGE(""https://docs.google.com/spreadsheets/d/14Bd19lYaqBhU8_DElYkX7l4wRkHqqCUFNJY4AfY3kHU/edit?usp=sharing  #gid=0"",""фіз особи new!relations_name""),6,FALSE)
,
(IF
(
C10916=""юридична особа""
,
VLOO"&amp;"KUP(D10916,IMPORTRANGE(""https://docs.google.com/spreadsheets/d/14Bd19lYaqBhU8_DElYkX7l4wRkHqqCUFNJY4AfY3kHU/edit?usp=sharing  #gid=0"",""фіз особи new!relations_name_uo""),7,FALSE)
,
)
))"),"ПОЛЯКОВ Віктор Анатолійович")</f>
        <v>ПОЛЯКОВ Віктор Анатолійович</v>
      </c>
      <c r="G10915" s="7" t="s">
        <v>10</v>
      </c>
      <c r="H10915" s="7">
        <v>2137</v>
      </c>
      <c r="I10915" s="8" t="str">
        <f ca="1">IFERROR(__xludf.DUMMYFUNCTION("IF
(
G10916=""фізична особа""
,
VLOOKUP(H10916,IMPORTRANGE(""https://docs.google.com/spreadsheets/d/14Bd19lYaqBhU8_DElYkX7l4wRkHqqCUFNJY4AfY3kHU/edit?usp=sharing  #gid=0"",""фіз особи new!relations_name""),6,FALSE)
,
(IF
(
G10916=""юридична особа""
,
VLOO"&amp;"KUP(H10916,IMPORTRANGE(""https://docs.google.com/spreadsheets/d/14Bd19lYaqBhU8_DElYkX7l4wRkHqqCUFNJY4AfY3kHU/edit?usp=sharing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15" s="7" t="s">
        <v>29</v>
      </c>
    </row>
    <row r="10916" spans="1:10" ht="13.2">
      <c r="A10916" s="7">
        <v>10915</v>
      </c>
      <c r="B10916" s="7">
        <v>1</v>
      </c>
      <c r="C10916" s="7" t="s">
        <v>10</v>
      </c>
      <c r="D10916" s="7">
        <v>16974</v>
      </c>
      <c r="E10916" s="7" t="s">
        <v>28</v>
      </c>
      <c r="F10916" s="8" t="str">
        <f ca="1">IFERROR(__xludf.DUMMYFUNCTION("IF
(
C10917=""фізична особа""
,
VLOOKUP(D10917,IMPORTRANGE(""https://docs.google.com/spreadsheets/d/14Bd19lYaqBhU8_DElYkX7l4wRkHqqCUFNJY4AfY3kHU/edit?usp=sharing  #gid=0"",""фіз особи new!relations_name""),6,FALSE)
,
(IF
(
C10917=""юридична особа""
,
VLOO"&amp;"KUP(D10917,IMPORTRANGE(""https://docs.google.com/spreadsheets/d/14Bd19lYaqBhU8_DElYkX7l4wRkHqqCUFNJY4AfY3kHU/edit?usp=sharing  #gid=0"",""фіз особи new!relations_name_uo""),7,FALSE)
,
)
))"),"ПЕТРОВ Олександр Сергійович")</f>
        <v>ПЕТРОВ Олександр Сергійович</v>
      </c>
      <c r="G10916" s="7" t="s">
        <v>10</v>
      </c>
      <c r="H10916" s="7">
        <v>2137</v>
      </c>
      <c r="I10916" s="8" t="str">
        <f ca="1">IFERROR(__xludf.DUMMYFUNCTION("IF
(
G10917=""фізична особа""
,
VLOOKUP(H10917,IMPORTRANGE(""https://docs.google.com/spreadsheets/d/14Bd19lYaqBhU8_DElYkX7l4wRkHqqCUFNJY4AfY3kHU/edit?usp=sharing  #gid=0"",""фіз особи new!relations_name""),6,FALSE)
,
(IF
(
G10917=""юридична особа""
,
VLOO"&amp;"KUP(H10917,IMPORTRANGE(""https://docs.google.com/spreadsheets/d/14Bd19lYaqBhU8_DElYkX7l4wRkHqqCUFNJY4AfY3kHU/edit?usp=sharing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16" s="7" t="s">
        <v>29</v>
      </c>
    </row>
    <row r="10917" spans="1:10" ht="13.2">
      <c r="A10917" s="7">
        <v>10916</v>
      </c>
      <c r="B10917" s="7">
        <v>1</v>
      </c>
      <c r="C10917" s="7" t="s">
        <v>10</v>
      </c>
      <c r="D10917" s="7">
        <v>16975</v>
      </c>
      <c r="E10917" s="7" t="s">
        <v>28</v>
      </c>
      <c r="F10917" s="8" t="str">
        <f ca="1">IFERROR(__xludf.DUMMYFUNCTION("IF
(
C10918=""фізична особа""
,
VLOOKUP(D10918,IMPORTRANGE(""https://docs.google.com/spreadsheets/d/14Bd19lYaqBhU8_DElYkX7l4wRkHqqCUFNJY4AfY3kHU/edit?usp=sharing  #gid=0"",""фіз особи new!relations_name""),6,FALSE)
,
(IF
(
C10918=""юридична особа""
,
VLOO"&amp;"KUP(D10918,IMPORTRANGE(""https://docs.google.com/spreadsheets/d/14Bd19lYaqBhU8_DElYkX7l4wRkHqqCUFNJY4AfY3kHU/edit?usp=sharing  #gid=0"",""фіз особи new!relations_name_uo""),7,FALSE)
,
)
))"),"АЛЕКСЄЄВ Євгеній Олександрович")</f>
        <v>АЛЕКСЄЄВ Євгеній Олександрович</v>
      </c>
      <c r="G10917" s="7" t="s">
        <v>10</v>
      </c>
      <c r="H10917" s="7">
        <v>2137</v>
      </c>
      <c r="I10917" s="8" t="str">
        <f ca="1">IFERROR(__xludf.DUMMYFUNCTION("IF
(
G10918=""фізична особа""
,
VLOOKUP(H10918,IMPORTRANGE(""https://docs.google.com/spreadsheets/d/14Bd19lYaqBhU8_DElYkX7l4wRkHqqCUFNJY4AfY3kHU/edit?usp=sharing  #gid=0"",""фіз особи new!relations_name""),6,FALSE)
,
(IF
(
G10918=""юридична особа""
,
VLOO"&amp;"KUP(H10918,IMPORTRANGE(""https://docs.google.com/spreadsheets/d/14Bd19lYaqBhU8_DElYkX7l4wRkHqqCUFNJY4AfY3kHU/edit?usp=sharing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17" s="7" t="s">
        <v>29</v>
      </c>
    </row>
    <row r="10918" spans="1:10" ht="13.2">
      <c r="A10918" s="7">
        <v>10917</v>
      </c>
      <c r="B10918" s="7">
        <v>1</v>
      </c>
      <c r="C10918" s="7" t="s">
        <v>10</v>
      </c>
      <c r="D10918" s="7">
        <v>16976</v>
      </c>
      <c r="E10918" s="7" t="s">
        <v>28</v>
      </c>
      <c r="F10918" s="8" t="str">
        <f ca="1">IFERROR(__xludf.DUMMYFUNCTION("IF
(
C10919=""фізична особа""
,
VLOOKUP(D10919,IMPORTRANGE(""https://docs.google.com/spreadsheets/d/14Bd19lYaqBhU8_DElYkX7l4wRkHqqCUFNJY4AfY3kHU/edit?usp=sharing  #gid=0"",""фіз особи new!relations_name""),6,FALSE)
,
(IF
(
C10919=""юридична особа""
,
VLOO"&amp;"KUP(D10919,IMPORTRANGE(""https://docs.google.com/spreadsheets/d/14Bd19lYaqBhU8_DElYkX7l4wRkHqqCUFNJY4AfY3kHU/edit?usp=sharing  #gid=0"",""фіз особи new!relations_name_uo""),7,FALSE)
,
)
))"),"НЕРУБЕНКО Дмитро Вікторович")</f>
        <v>НЕРУБЕНКО Дмитро Вікторович</v>
      </c>
      <c r="G10918" s="7" t="s">
        <v>10</v>
      </c>
      <c r="H10918" s="7">
        <v>2137</v>
      </c>
      <c r="I10918" s="8" t="str">
        <f ca="1">IFERROR(__xludf.DUMMYFUNCTION("IF
(
G10919=""фізична особа""
,
VLOOKUP(H10919,IMPORTRANGE(""https://docs.google.com/spreadsheets/d/14Bd19lYaqBhU8_DElYkX7l4wRkHqqCUFNJY4AfY3kHU/edit?usp=sharing  #gid=0"",""фіз особи new!relations_name""),6,FALSE)
,
(IF
(
G10919=""юридична особа""
,
VLOO"&amp;"KUP(H10919,IMPORTRANGE(""https://docs.google.com/spreadsheets/d/14Bd19lYaqBhU8_DElYkX7l4wRkHqqCUFNJY4AfY3kHU/edit?usp=sharing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18" s="7" t="s">
        <v>29</v>
      </c>
    </row>
    <row r="10919" spans="1:10" ht="13.2">
      <c r="A10919" s="7">
        <v>10918</v>
      </c>
      <c r="B10919" s="7">
        <v>1</v>
      </c>
      <c r="C10919" s="7" t="s">
        <v>10</v>
      </c>
      <c r="D10919" s="7">
        <v>16978</v>
      </c>
      <c r="E10919" s="7" t="s">
        <v>23</v>
      </c>
      <c r="F10919" s="8" t="str">
        <f ca="1">IFERROR(__xludf.DUMMYFUNCTION("IF
(
C10920=""фізична особа""
,
VLOOKUP(D10920,IMPORTRANGE(""https://docs.google.com/spreadsheets/d/14Bd19lYaqBhU8_DElYkX7l4wRkHqqCUFNJY4AfY3kHU/edit?usp=sharing  #gid=0"",""фіз особи new!relations_name""),6,FALSE)
,
(IF
(
C10920=""юридична особа""
,
VLOO"&amp;"KUP(D10920,IMPORTRANGE(""https://docs.google.com/spreadsheets/d/14Bd19lYaqBhU8_DElYkX7l4wRkHqqCUFNJY4AfY3kHU/edit?usp=sharing  #gid=0"",""фіз особи new!relations_name_uo""),7,FALSE)
,
)
))"),"УШЕНІН Дмитро Валентинович")</f>
        <v>УШЕНІН Дмитро Валентинович</v>
      </c>
      <c r="G10919" s="7" t="s">
        <v>10</v>
      </c>
      <c r="H10919" s="7">
        <v>0</v>
      </c>
      <c r="I10919" s="8" t="str">
        <f ca="1">IFERROR(__xludf.DUMMYFUNCTION("IF
(
G10920=""фізична особа""
,
VLOOKUP(H10920,IMPORTRANGE(""https://docs.google.com/spreadsheets/d/14Bd19lYaqBhU8_DElYkX7l4wRkHqqCUFNJY4AfY3kHU/edit?usp=sharing  #gid=0"",""фіз особи new!relations_name""),6,FALSE)
,
(IF
(
G10920=""юридична особа""
,
VLOO"&amp;"KUP(H10920,IMPORTRANGE(""https://docs.google.com/spreadsheets/d/14Bd19lYaqBhU8_DElYkX7l4wRkHqqCUFNJY4AfY3kHU/edit?usp=sharing  #gid=0"",""фіз особи new!relations_name_uo""),7,FALSE)
,
)
))"),"#N/A")</f>
        <v>#N/A</v>
      </c>
      <c r="J10919" s="7" t="s">
        <v>23</v>
      </c>
    </row>
    <row r="10920" spans="1:10" ht="13.2">
      <c r="A10920" s="7">
        <v>10919</v>
      </c>
      <c r="B10920" s="7">
        <v>1</v>
      </c>
      <c r="C10920" s="7" t="s">
        <v>10</v>
      </c>
      <c r="D10920" s="7">
        <v>16979</v>
      </c>
      <c r="E10920" s="7" t="s">
        <v>13</v>
      </c>
      <c r="F10920" s="8" t="str">
        <f ca="1">IFERROR(__xludf.DUMMYFUNCTION("IF
(
C10921=""фізична особа""
,
VLOOKUP(D10921,IMPORTRANGE(""https://docs.google.com/spreadsheets/d/14Bd19lYaqBhU8_DElYkX7l4wRkHqqCUFNJY4AfY3kHU/edit?usp=sharing  #gid=0"",""фіз особи new!relations_name""),6,FALSE)
,
(IF
(
C10921=""юридична особа""
,
VLOO"&amp;"KUP(D10921,IMPORTRANGE(""https://docs.google.com/spreadsheets/d/14Bd19lYaqBhU8_DElYkX7l4wRkHqqCUFNJY4AfY3kHU/edit?usp=sharing  #gid=0"",""фіз особи new!relations_name_uo""),7,FALSE)
,
)
))"),"ЖУКОВА Світлана Іванівна")</f>
        <v>ЖУКОВА Світлана Іванівна</v>
      </c>
      <c r="G10920" s="7" t="s">
        <v>10</v>
      </c>
      <c r="H10920" s="7">
        <v>0</v>
      </c>
      <c r="I10920" s="8" t="str">
        <f ca="1">IFERROR(__xludf.DUMMYFUNCTION("IF
(
G10921=""фізична особа""
,
VLOOKUP(H10921,IMPORTRANGE(""https://docs.google.com/spreadsheets/d/14Bd19lYaqBhU8_DElYkX7l4wRkHqqCUFNJY4AfY3kHU/edit?usp=sharing  #gid=0"",""фіз особи new!relations_name""),6,FALSE)
,
(IF
(
G10921=""юридична особа""
,
VLOO"&amp;"KUP(H10921,IMPORTRANGE(""https://docs.google.com/spreadsheets/d/14Bd19lYaqBhU8_DElYkX7l4wRkHqqCUFNJY4AfY3kHU/edit?usp=sharing  #gid=0"",""фіз особи new!relations_name_uo""),7,FALSE)
,
)
))"),"#N/A")</f>
        <v>#N/A</v>
      </c>
      <c r="J10920" s="7" t="s">
        <v>12</v>
      </c>
    </row>
    <row r="10921" spans="1:10" ht="13.2">
      <c r="A10921" s="7">
        <v>10920</v>
      </c>
      <c r="B10921" s="7">
        <v>1</v>
      </c>
      <c r="C10921" s="7" t="s">
        <v>10</v>
      </c>
      <c r="D10921" s="7">
        <v>16979</v>
      </c>
      <c r="E10921" s="7" t="s">
        <v>28</v>
      </c>
      <c r="F10921" s="8" t="str">
        <f ca="1">IFERROR(__xludf.DUMMYFUNCTION("IF
(
C10922=""фізична особа""
,
VLOOKUP(D10922,IMPORTRANGE(""https://docs.google.com/spreadsheets/d/14Bd19lYaqBhU8_DElYkX7l4wRkHqqCUFNJY4AfY3kHU/edit?usp=sharing  #gid=0"",""фіз особи new!relations_name""),6,FALSE)
,
(IF
(
C10922=""юридична особа""
,
VLOO"&amp;"KUP(D10922,IMPORTRANGE(""https://docs.google.com/spreadsheets/d/14Bd19lYaqBhU8_DElYkX7l4wRkHqqCUFNJY4AfY3kHU/edit?usp=sharing  #gid=0"",""фіз особи new!relations_name_uo""),7,FALSE)
,
)
))"),"ЖУКОВА Світлана Іванівна")</f>
        <v>ЖУКОВА Світлана Іванівна</v>
      </c>
      <c r="G10921" s="7" t="s">
        <v>10</v>
      </c>
      <c r="H10921" s="7">
        <v>2137</v>
      </c>
      <c r="I10921" s="8" t="str">
        <f ca="1">IFERROR(__xludf.DUMMYFUNCTION("IF
(
G10922=""фізична особа""
,
VLOOKUP(H10922,IMPORTRANGE(""https://docs.google.com/spreadsheets/d/14Bd19lYaqBhU8_DElYkX7l4wRkHqqCUFNJY4AfY3kHU/edit?usp=sharing  #gid=0"",""фіз особи new!relations_name""),6,FALSE)
,
(IF
(
G10922=""юридична особа""
,
VLOO"&amp;"KUP(H10922,IMPORTRANGE(""https://docs.google.com/spreadsheets/d/14Bd19lYaqBhU8_DElYkX7l4wRkHqqCUFNJY4AfY3kHU/edit?usp=sharing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21" s="7" t="s">
        <v>29</v>
      </c>
    </row>
    <row r="10922" spans="1:10" ht="13.2">
      <c r="A10922" s="7">
        <v>10921</v>
      </c>
      <c r="B10922" s="7">
        <v>1</v>
      </c>
      <c r="C10922" s="7" t="s">
        <v>10</v>
      </c>
      <c r="D10922" s="7">
        <v>16993</v>
      </c>
      <c r="E10922" s="7" t="s">
        <v>28</v>
      </c>
      <c r="F10922" s="8" t="str">
        <f ca="1">IFERROR(__xludf.DUMMYFUNCTION("IF
(
C10923=""фізична особа""
,
VLOOKUP(D10923,IMPORTRANGE(""https://docs.google.com/spreadsheets/d/14Bd19lYaqBhU8_DElYkX7l4wRkHqqCUFNJY4AfY3kHU/edit?usp=sharing  #gid=0"",""фіз особи new!relations_name""),6,FALSE)
,
(IF
(
C10923=""юридична особа""
,
VLOO"&amp;"KUP(D10923,IMPORTRANGE(""https://docs.google.com/spreadsheets/d/14Bd19lYaqBhU8_DElYkX7l4wRkHqqCUFNJY4AfY3kHU/edit?usp=sharing  #gid=0"",""фіз особи new!relations_name_uo""),7,FALSE)
,
)
))"),"ХРИСТОЛЮБОВ В'ячеслав Леонідович")</f>
        <v>ХРИСТОЛЮБОВ В'ячеслав Леонідович</v>
      </c>
      <c r="G10922" s="7" t="s">
        <v>10</v>
      </c>
      <c r="H10922" s="7">
        <v>2137</v>
      </c>
      <c r="I10922" s="8" t="str">
        <f ca="1">IFERROR(__xludf.DUMMYFUNCTION("IF
(
G10923=""фізична особа""
,
VLOOKUP(H10923,IMPORTRANGE(""https://docs.google.com/spreadsheets/d/14Bd19lYaqBhU8_DElYkX7l4wRkHqqCUFNJY4AfY3kHU/edit?usp=sharing  #gid=0"",""фіз особи new!relations_name""),6,FALSE)
,
(IF
(
G10923=""юридична особа""
,
VLOO"&amp;"KUP(H10923,IMPORTRANGE(""https://docs.google.com/spreadsheets/d/14Bd19lYaqBhU8_DElYkX7l4wRkHqqCUFNJY4AfY3kHU/edit?usp=sharing  #gid=0"",""фіз особи new!relations_name_uo""),7,FALSE)
,
)
))"),"АРТЮХОВ Олександр Вікторович")</f>
        <v>АРТЮХОВ Олександр Вікторович</v>
      </c>
      <c r="J10922" s="7" t="s">
        <v>29</v>
      </c>
    </row>
    <row r="10923" spans="1:10" ht="13.2">
      <c r="A10923" s="7">
        <v>10922</v>
      </c>
      <c r="B10923" s="7">
        <v>1</v>
      </c>
      <c r="C10923" s="7" t="s">
        <v>10</v>
      </c>
      <c r="D10923" s="7">
        <v>16994</v>
      </c>
      <c r="E10923" s="7" t="s">
        <v>11</v>
      </c>
      <c r="F10923" s="8" t="str">
        <f ca="1">IFERROR(__xludf.DUMMYFUNCTION("IF
(
C10924=""фізична особа""
,
VLOOKUP(D10924,IMPORTRANGE(""https://docs.google.com/spreadsheets/d/14Bd19lYaqBhU8_DElYkX7l4wRkHqqCUFNJY4AfY3kHU/edit?usp=sharing  #gid=0"",""фіз особи new!relations_name""),6,FALSE)
,
(IF
(
C10924=""юридична особа""
,
VLOO"&amp;"KUP(D10924,IMPORTRANGE(""https://docs.google.com/spreadsheets/d/14Bd19lYaqBhU8_DElYkX7l4wRkHqqCUFNJY4AfY3kHU/edit?usp=sharing  #gid=0"",""фіз особи new!relations_name_uo""),7,FALSE)
,
)
))"),"КОЗЛОВ Ігор Ілліч")</f>
        <v>КОЗЛОВ Ігор Ілліч</v>
      </c>
      <c r="G10923" s="7" t="s">
        <v>10</v>
      </c>
      <c r="H10923" s="7">
        <v>16411</v>
      </c>
      <c r="I10923" s="8" t="str">
        <f ca="1">IFERROR(__xludf.DUMMYFUNCTION("IF
(
G10924=""фізична особа""
,
VLOOKUP(H10924,IMPORTRANGE(""https://docs.google.com/spreadsheets/d/14Bd19lYaqBhU8_DElYkX7l4wRkHqqCUFNJY4AfY3kHU/edit?usp=sharing  #gid=0"",""фіз особи new!relations_name""),6,FALSE)
,
(IF
(
G10924=""юридична особа""
,
VLOO"&amp;"KUP(H10924,IMPORTRANGE(""https://docs.google.com/spreadsheets/d/14Bd19lYaqBhU8_DElYkX7l4wRkHqqCUFNJY4AfY3kHU/edit?usp=sharing  #gid=0"",""фіз особи new!relations_name_uo""),7,FALSE)
,
)
))"),"САХНЕНКО Сергій Степанович")</f>
        <v>САХНЕНКО Сергій Степанович</v>
      </c>
      <c r="J10923" s="7" t="s">
        <v>11</v>
      </c>
    </row>
    <row r="10924" spans="1:10" ht="13.2">
      <c r="A10924" s="7">
        <v>10923</v>
      </c>
      <c r="B10924" s="7">
        <v>1</v>
      </c>
      <c r="C10924" s="7" t="s">
        <v>10</v>
      </c>
      <c r="D10924" s="7">
        <v>16994</v>
      </c>
      <c r="E10924" s="7" t="s">
        <v>11</v>
      </c>
      <c r="F10924" s="8" t="str">
        <f ca="1">IFERROR(__xludf.DUMMYFUNCTION("IF
(
C10925=""фізична особа""
,
VLOOKUP(D10925,IMPORTRANGE(""https://docs.google.com/spreadsheets/d/14Bd19lYaqBhU8_DElYkX7l4wRkHqqCUFNJY4AfY3kHU/edit?usp=sharing  #gid=0"",""фіз особи new!relations_name""),6,FALSE)
,
(IF
(
C10925=""юридична особа""
,
VLOO"&amp;"KUP(D10925,IMPORTRANGE(""https://docs.google.com/spreadsheets/d/14Bd19lYaqBhU8_DElYkX7l4wRkHqqCUFNJY4AfY3kHU/edit?usp=sharing  #gid=0"",""фіз особи new!relations_name_uo""),7,FALSE)
,
)
))"),"КОЗЛОВ Ігор Ілліч")</f>
        <v>КОЗЛОВ Ігор Ілліч</v>
      </c>
      <c r="G10924" s="7" t="s">
        <v>10</v>
      </c>
      <c r="H10924" s="7">
        <v>0</v>
      </c>
      <c r="I10924" s="8" t="str">
        <f ca="1">IFERROR(__xludf.DUMMYFUNCTION("IF
(
G10925=""фізична особа""
,
VLOOKUP(H10925,IMPORTRANGE(""https://docs.google.com/spreadsheets/d/14Bd19lYaqBhU8_DElYkX7l4wRkHqqCUFNJY4AfY3kHU/edit?usp=sharing  #gid=0"",""фіз особи new!relations_name""),6,FALSE)
,
(IF
(
G10925=""юридична особа""
,
VLOO"&amp;"KUP(H10925,IMPORTRANGE(""https://docs.google.com/spreadsheets/d/14Bd19lYaqBhU8_DElYkX7l4wRkHqqCUFNJY4AfY3kHU/edit?usp=sharing  #gid=0"",""фіз особи new!relations_name_uo""),7,FALSE)
,
)
))"),"#N/A")</f>
        <v>#N/A</v>
      </c>
      <c r="J10924" s="7" t="s">
        <v>11</v>
      </c>
    </row>
    <row r="10925" spans="1:10" ht="13.2">
      <c r="A10925" s="7">
        <v>10924</v>
      </c>
      <c r="B10925" s="7">
        <v>1</v>
      </c>
      <c r="C10925" s="7" t="s">
        <v>10</v>
      </c>
      <c r="D10925" s="7">
        <v>16994</v>
      </c>
      <c r="E10925" s="7" t="s">
        <v>11</v>
      </c>
      <c r="F10925" s="8" t="str">
        <f ca="1">IFERROR(__xludf.DUMMYFUNCTION("IF
(
C10926=""фізична особа""
,
VLOOKUP(D10926,IMPORTRANGE(""https://docs.google.com/spreadsheets/d/14Bd19lYaqBhU8_DElYkX7l4wRkHqqCUFNJY4AfY3kHU/edit?usp=sharing  #gid=0"",""фіз особи new!relations_name""),6,FALSE)
,
(IF
(
C10926=""юридична особа""
,
VLOO"&amp;"KUP(D10926,IMPORTRANGE(""https://docs.google.com/spreadsheets/d/14Bd19lYaqBhU8_DElYkX7l4wRkHqqCUFNJY4AfY3kHU/edit?usp=sharing  #gid=0"",""фіз особи new!relations_name_uo""),7,FALSE)
,
)
))"),"КОЗЛОВ Ігор Ілліч")</f>
        <v>КОЗЛОВ Ігор Ілліч</v>
      </c>
      <c r="G10925" s="7" t="s">
        <v>10</v>
      </c>
      <c r="H10925" s="7">
        <v>0</v>
      </c>
      <c r="I10925" s="8" t="str">
        <f ca="1">IFERROR(__xludf.DUMMYFUNCTION("IF
(
G10926=""фізична особа""
,
VLOOKUP(H10926,IMPORTRANGE(""https://docs.google.com/spreadsheets/d/14Bd19lYaqBhU8_DElYkX7l4wRkHqqCUFNJY4AfY3kHU/edit?usp=sharing  #gid=0"",""фіз особи new!relations_name""),6,FALSE)
,
(IF
(
G10926=""юридична особа""
,
VLOO"&amp;"KUP(H10926,IMPORTRANGE(""https://docs.google.com/spreadsheets/d/14Bd19lYaqBhU8_DElYkX7l4wRkHqqCUFNJY4AfY3kHU/edit?usp=sharing  #gid=0"",""фіз особи new!relations_name_uo""),7,FALSE)
,
)
))"),"#N/A")</f>
        <v>#N/A</v>
      </c>
      <c r="J10925" s="7" t="s">
        <v>11</v>
      </c>
    </row>
    <row r="10926" spans="1:10" ht="13.2">
      <c r="A10926" s="7">
        <v>10925</v>
      </c>
      <c r="B10926" s="7">
        <v>1</v>
      </c>
      <c r="C10926" s="7" t="s">
        <v>10</v>
      </c>
      <c r="D10926" s="7">
        <v>16994</v>
      </c>
      <c r="E10926" s="7" t="s">
        <v>11</v>
      </c>
      <c r="F10926" s="8" t="str">
        <f ca="1">IFERROR(__xludf.DUMMYFUNCTION("IF
(
C10927=""фізична особа""
,
VLOOKUP(D10927,IMPORTRANGE(""https://docs.google.com/spreadsheets/d/14Bd19lYaqBhU8_DElYkX7l4wRkHqqCUFNJY4AfY3kHU/edit?usp=sharing  #gid=0"",""фіз особи new!relations_name""),6,FALSE)
,
(IF
(
C10927=""юридична особа""
,
VLOO"&amp;"KUP(D10927,IMPORTRANGE(""https://docs.google.com/spreadsheets/d/14Bd19lYaqBhU8_DElYkX7l4wRkHqqCUFNJY4AfY3kHU/edit?usp=sharing  #gid=0"",""фіз особи new!relations_name_uo""),7,FALSE)
,
)
))"),"КОЗЛОВ Ігор Ілліч")</f>
        <v>КОЗЛОВ Ігор Ілліч</v>
      </c>
      <c r="G10926" s="7" t="s">
        <v>10</v>
      </c>
      <c r="H10926" s="7">
        <v>0</v>
      </c>
      <c r="I10926" s="8" t="str">
        <f ca="1">IFERROR(__xludf.DUMMYFUNCTION("IF
(
G10927=""фізична особа""
,
VLOOKUP(H10927,IMPORTRANGE(""https://docs.google.com/spreadsheets/d/14Bd19lYaqBhU8_DElYkX7l4wRkHqqCUFNJY4AfY3kHU/edit?usp=sharing  #gid=0"",""фіз особи new!relations_name""),6,FALSE)
,
(IF
(
G10927=""юридична особа""
,
VLOO"&amp;"KUP(H10927,IMPORTRANGE(""https://docs.google.com/spreadsheets/d/14Bd19lYaqBhU8_DElYkX7l4wRkHqqCUFNJY4AfY3kHU/edit?usp=sharing  #gid=0"",""фіз особи new!relations_name_uo""),7,FALSE)
,
)
))"),"#N/A")</f>
        <v>#N/A</v>
      </c>
      <c r="J10926" s="7" t="s">
        <v>11</v>
      </c>
    </row>
    <row r="10927" spans="1:10" ht="13.2">
      <c r="A10927" s="7">
        <v>10926</v>
      </c>
      <c r="B10927" s="7">
        <v>1</v>
      </c>
      <c r="C10927" s="7" t="s">
        <v>10</v>
      </c>
      <c r="D10927" s="7">
        <v>16995</v>
      </c>
      <c r="E10927" s="7" t="s">
        <v>11</v>
      </c>
      <c r="F10927" s="8" t="str">
        <f ca="1">IFERROR(__xludf.DUMMYFUNCTION("IF
(
C10928=""фізична особа""
,
VLOOKUP(D10928,IMPORTRANGE(""https://docs.google.com/spreadsheets/d/14Bd19lYaqBhU8_DElYkX7l4wRkHqqCUFNJY4AfY3kHU/edit?usp=sharing  #gid=0"",""фіз особи new!relations_name""),6,FALSE)
,
(IF
(
C10928=""юридична особа""
,
VLOO"&amp;"KUP(D10928,IMPORTRANGE(""https://docs.google.com/spreadsheets/d/14Bd19lYaqBhU8_DElYkX7l4wRkHqqCUFNJY4AfY3kHU/edit?usp=sharing  #gid=0"",""фіз особи new!relations_name_uo""),7,FALSE)
,
)
))"),"ВОРОНКО Павло Сергійович")</f>
        <v>ВОРОНКО Павло Сергійович</v>
      </c>
      <c r="G10927" s="7" t="s">
        <v>10</v>
      </c>
      <c r="H10927" s="7">
        <v>16997</v>
      </c>
      <c r="I10927" s="8" t="str">
        <f ca="1">IFERROR(__xludf.DUMMYFUNCTION("IF
(
G10928=""фізична особа""
,
VLOOKUP(H10928,IMPORTRANGE(""https://docs.google.com/spreadsheets/d/14Bd19lYaqBhU8_DElYkX7l4wRkHqqCUFNJY4AfY3kHU/edit?usp=sharing  #gid=0"",""фіз особи new!relations_name""),6,FALSE)
,
(IF
(
G10928=""юридична особа""
,
VLOO"&amp;"KUP(H10928,IMPORTRANGE(""https://docs.google.com/spreadsheets/d/14Bd19lYaqBhU8_DElYkX7l4wRkHqqCUFNJY4AfY3kHU/edit?usp=sharing  #gid=0"",""фіз особи new!relations_name_uo""),7,FALSE)
,
)
))"),"ВОРОНКО Сергій Ігнатович")</f>
        <v>ВОРОНКО Сергій Ігнатович</v>
      </c>
      <c r="J10927" s="7" t="s">
        <v>11</v>
      </c>
    </row>
    <row r="10928" spans="1:10" ht="13.2">
      <c r="A10928" s="7">
        <v>10927</v>
      </c>
      <c r="B10928" s="7">
        <v>1</v>
      </c>
      <c r="C10928" s="7" t="s">
        <v>10</v>
      </c>
      <c r="D10928" s="7">
        <v>16995</v>
      </c>
      <c r="E10928" s="7" t="s">
        <v>11</v>
      </c>
      <c r="F10928" s="8" t="str">
        <f ca="1">IFERROR(__xludf.DUMMYFUNCTION("IF
(
C10929=""фізична особа""
,
VLOOKUP(D10929,IMPORTRANGE(""https://docs.google.com/spreadsheets/d/14Bd19lYaqBhU8_DElYkX7l4wRkHqqCUFNJY4AfY3kHU/edit?usp=sharing  #gid=0"",""фіз особи new!relations_name""),6,FALSE)
,
(IF
(
C10929=""юридична особа""
,
VLOO"&amp;"KUP(D10929,IMPORTRANGE(""https://docs.google.com/spreadsheets/d/14Bd19lYaqBhU8_DElYkX7l4wRkHqqCUFNJY4AfY3kHU/edit?usp=sharing  #gid=0"",""фіз особи new!relations_name_uo""),7,FALSE)
,
)
))"),"ВОРОНКО Павло Сергійович")</f>
        <v>ВОРОНКО Павло Сергійович</v>
      </c>
      <c r="G10928" s="7" t="s">
        <v>10</v>
      </c>
      <c r="H10928" s="7">
        <v>16996</v>
      </c>
      <c r="I10928" s="8" t="str">
        <f ca="1">IFERROR(__xludf.DUMMYFUNCTION("IF
(
G10929=""фізична особа""
,
VLOOKUP(H10929,IMPORTRANGE(""https://docs.google.com/spreadsheets/d/14Bd19lYaqBhU8_DElYkX7l4wRkHqqCUFNJY4AfY3kHU/edit?usp=sharing  #gid=0"",""фіз особи new!relations_name""),6,FALSE)
,
(IF
(
G10929=""юридична особа""
,
VLOO"&amp;"KUP(H10929,IMPORTRANGE(""https://docs.google.com/spreadsheets/d/14Bd19lYaqBhU8_DElYkX7l4wRkHqqCUFNJY4AfY3kHU/edit?usp=sharing  #gid=0"",""фіз особи new!relations_name_uo""),7,FALSE)
,
)
))"),"ЮХИМЕНКО Сергій Михайлович")</f>
        <v>ЮХИМЕНКО Сергій Михайлович</v>
      </c>
      <c r="J10928" s="7" t="s">
        <v>11</v>
      </c>
    </row>
    <row r="10929" spans="1:10" ht="13.2">
      <c r="A10929" s="7">
        <v>10928</v>
      </c>
      <c r="B10929" s="7">
        <v>1</v>
      </c>
      <c r="C10929" s="7" t="s">
        <v>10</v>
      </c>
      <c r="D10929" s="7">
        <v>16996</v>
      </c>
      <c r="E10929" s="7" t="s">
        <v>11</v>
      </c>
      <c r="F10929" s="8" t="str">
        <f ca="1">IFERROR(__xludf.DUMMYFUNCTION("IF
(
C10930=""фізична особа""
,
VLOOKUP(D10930,IMPORTRANGE(""https://docs.google.com/spreadsheets/d/14Bd19lYaqBhU8_DElYkX7l4wRkHqqCUFNJY4AfY3kHU/edit?usp=sharing  #gid=0"",""фіз особи new!relations_name""),6,FALSE)
,
(IF
(
C10930=""юридична особа""
,
VLOO"&amp;"KUP(D10930,IMPORTRANGE(""https://docs.google.com/spreadsheets/d/14Bd19lYaqBhU8_DElYkX7l4wRkHqqCUFNJY4AfY3kHU/edit?usp=sharing  #gid=0"",""фіз особи new!relations_name_uo""),7,FALSE)
,
)
))"),"ЮХИМЕНКО Сергій Михайлович")</f>
        <v>ЮХИМЕНКО Сергій Михайлович</v>
      </c>
      <c r="G10929" s="7" t="s">
        <v>10</v>
      </c>
      <c r="H10929" s="7">
        <v>16997</v>
      </c>
      <c r="I10929" s="8" t="str">
        <f ca="1">IFERROR(__xludf.DUMMYFUNCTION("IF
(
G10930=""фізична особа""
,
VLOOKUP(H10930,IMPORTRANGE(""https://docs.google.com/spreadsheets/d/14Bd19lYaqBhU8_DElYkX7l4wRkHqqCUFNJY4AfY3kHU/edit?usp=sharing  #gid=0"",""фіз особи new!relations_name""),6,FALSE)
,
(IF
(
G10930=""юридична особа""
,
VLOO"&amp;"KUP(H10930,IMPORTRANGE(""https://docs.google.com/spreadsheets/d/14Bd19lYaqBhU8_DElYkX7l4wRkHqqCUFNJY4AfY3kHU/edit?usp=sharing  #gid=0"",""фіз особи new!relations_name_uo""),7,FALSE)
,
)
))"),"ВОРОНКО Сергій Ігнатович")</f>
        <v>ВОРОНКО Сергій Ігнатович</v>
      </c>
      <c r="J10929" s="7" t="s">
        <v>11</v>
      </c>
    </row>
    <row r="10930" spans="1:10" ht="13.2">
      <c r="A10930" s="7">
        <v>10929</v>
      </c>
      <c r="B10930" s="7">
        <v>1</v>
      </c>
      <c r="C10930" s="7" t="s">
        <v>10</v>
      </c>
      <c r="D10930" s="7">
        <v>16996</v>
      </c>
      <c r="E10930" s="7" t="s">
        <v>11</v>
      </c>
      <c r="F10930" s="8" t="str">
        <f ca="1">IFERROR(__xludf.DUMMYFUNCTION("IF
(
C10931=""фізична особа""
,
VLOOKUP(D10931,IMPORTRANGE(""https://docs.google.com/spreadsheets/d/14Bd19lYaqBhU8_DElYkX7l4wRkHqqCUFNJY4AfY3kHU/edit?usp=sharing  #gid=0"",""фіз особи new!relations_name""),6,FALSE)
,
(IF
(
C10931=""юридична особа""
,
VLOO"&amp;"KUP(D10931,IMPORTRANGE(""https://docs.google.com/spreadsheets/d/14Bd19lYaqBhU8_DElYkX7l4wRkHqqCUFNJY4AfY3kHU/edit?usp=sharing  #gid=0"",""фіз особи new!relations_name_uo""),7,FALSE)
,
)
))"),"ЮХИМЕНКО Сергій Михайлович")</f>
        <v>ЮХИМЕНКО Сергій Михайлович</v>
      </c>
      <c r="G10930" s="7" t="s">
        <v>10</v>
      </c>
      <c r="H10930" s="7">
        <v>16995</v>
      </c>
      <c r="I10930" s="8" t="str">
        <f ca="1">IFERROR(__xludf.DUMMYFUNCTION("IF
(
G10931=""фізична особа""
,
VLOOKUP(H10931,IMPORTRANGE(""https://docs.google.com/spreadsheets/d/14Bd19lYaqBhU8_DElYkX7l4wRkHqqCUFNJY4AfY3kHU/edit?usp=sharing  #gid=0"",""фіз особи new!relations_name""),6,FALSE)
,
(IF
(
G10931=""юридична особа""
,
VLOO"&amp;"KUP(H10931,IMPORTRANGE(""https://docs.google.com/spreadsheets/d/14Bd19lYaqBhU8_DElYkX7l4wRkHqqCUFNJY4AfY3kHU/edit?usp=sharing  #gid=0"",""фіз особи new!relations_name_uo""),7,FALSE)
,
)
))"),"ВОРОНКО Павло Сергійович")</f>
        <v>ВОРОНКО Павло Сергійович</v>
      </c>
      <c r="J10930" s="7" t="s">
        <v>11</v>
      </c>
    </row>
    <row r="10931" spans="1:10" ht="13.2">
      <c r="A10931" s="7">
        <v>10930</v>
      </c>
      <c r="B10931" s="7">
        <v>1</v>
      </c>
      <c r="C10931" s="7" t="s">
        <v>10</v>
      </c>
      <c r="D10931" s="7">
        <v>16997</v>
      </c>
      <c r="E10931" s="7" t="s">
        <v>11</v>
      </c>
      <c r="F10931" s="8" t="str">
        <f ca="1">IFERROR(__xludf.DUMMYFUNCTION("IF
(
C10932=""фізична особа""
,
VLOOKUP(D10932,IMPORTRANGE(""https://docs.google.com/spreadsheets/d/14Bd19lYaqBhU8_DElYkX7l4wRkHqqCUFNJY4AfY3kHU/edit?usp=sharing  #gid=0"",""фіз особи new!relations_name""),6,FALSE)
,
(IF
(
C10932=""юридична особа""
,
VLOO"&amp;"KUP(D10932,IMPORTRANGE(""https://docs.google.com/spreadsheets/d/14Bd19lYaqBhU8_DElYkX7l4wRkHqqCUFNJY4AfY3kHU/edit?usp=sharing  #gid=0"",""фіз особи new!relations_name_uo""),7,FALSE)
,
)
))"),"ВОРОНКО Сергій Ігнатович")</f>
        <v>ВОРОНКО Сергій Ігнатович</v>
      </c>
      <c r="G10931" s="7" t="s">
        <v>10</v>
      </c>
      <c r="H10931" s="7">
        <v>16995</v>
      </c>
      <c r="I10931" s="8" t="str">
        <f ca="1">IFERROR(__xludf.DUMMYFUNCTION("IF
(
G10932=""фізична особа""
,
VLOOKUP(H10932,IMPORTRANGE(""https://docs.google.com/spreadsheets/d/14Bd19lYaqBhU8_DElYkX7l4wRkHqqCUFNJY4AfY3kHU/edit?usp=sharing  #gid=0"",""фіз особи new!relations_name""),6,FALSE)
,
(IF
(
G10932=""юридична особа""
,
VLOO"&amp;"KUP(H10932,IMPORTRANGE(""https://docs.google.com/spreadsheets/d/14Bd19lYaqBhU8_DElYkX7l4wRkHqqCUFNJY4AfY3kHU/edit?usp=sharing  #gid=0"",""фіз особи new!relations_name_uo""),7,FALSE)
,
)
))"),"ВОРОНКО Павло Сергійович")</f>
        <v>ВОРОНКО Павло Сергійович</v>
      </c>
      <c r="J10931" s="7" t="s">
        <v>11</v>
      </c>
    </row>
    <row r="10932" spans="1:10" ht="13.2">
      <c r="A10932" s="7">
        <v>10931</v>
      </c>
      <c r="B10932" s="7">
        <v>1</v>
      </c>
      <c r="C10932" s="7" t="s">
        <v>10</v>
      </c>
      <c r="D10932" s="7">
        <v>16998</v>
      </c>
      <c r="E10932" s="7" t="s">
        <v>28</v>
      </c>
      <c r="F10932" s="8" t="str">
        <f ca="1">IFERROR(__xludf.DUMMYFUNCTION("IF
(
C10933=""фізична особа""
,
VLOOKUP(D10933,IMPORTRANGE(""https://docs.google.com/spreadsheets/d/14Bd19lYaqBhU8_DElYkX7l4wRkHqqCUFNJY4AfY3kHU/edit?usp=sharing  #gid=0"",""фіз особи new!relations_name""),6,FALSE)
,
(IF
(
C10933=""юридична особа""
,
VLOO"&amp;"KUP(D10933,IMPORTRANGE(""https://docs.google.com/spreadsheets/d/14Bd19lYaqBhU8_DElYkX7l4wRkHqqCUFNJY4AfY3kHU/edit?usp=sharing  #gid=0"",""фіз особи new!relations_name_uo""),7,FALSE)
,
)
))"),"РОЩУПКІН Володимир Миколайович")</f>
        <v>РОЩУПКІН Володимир Миколайович</v>
      </c>
      <c r="G10932" s="7" t="s">
        <v>10</v>
      </c>
      <c r="H10932" s="7">
        <v>3660</v>
      </c>
      <c r="I10932" s="8" t="str">
        <f ca="1">IFERROR(__xludf.DUMMYFUNCTION("IF
(
G10933=""фізична особа""
,
VLOOKUP(H10933,IMPORTRANGE(""https://docs.google.com/spreadsheets/d/14Bd19lYaqBhU8_DElYkX7l4wRkHqqCUFNJY4AfY3kHU/edit?usp=sharing  #gid=0"",""фіз особи new!relations_name""),6,FALSE)
,
(IF
(
G10933=""юридична особа""
,
VLOO"&amp;"KUP(H10933,IMPORTRANGE(""https://docs.google.com/spreadsheets/d/14Bd19lYaqBhU8_DElYkX7l4wRkHqqCUFNJY4AfY3kHU/edit?usp=sharing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0932" s="7" t="s">
        <v>29</v>
      </c>
    </row>
    <row r="10933" spans="1:10" ht="13.2">
      <c r="A10933" s="7">
        <v>10932</v>
      </c>
      <c r="B10933" s="7">
        <v>1</v>
      </c>
      <c r="C10933" s="7" t="s">
        <v>10</v>
      </c>
      <c r="D10933" s="7">
        <v>16999</v>
      </c>
      <c r="E10933" s="7" t="s">
        <v>28</v>
      </c>
      <c r="F10933" s="8" t="str">
        <f ca="1">IFERROR(__xludf.DUMMYFUNCTION("IF
(
C10934=""фізична особа""
,
VLOOKUP(D10934,IMPORTRANGE(""https://docs.google.com/spreadsheets/d/14Bd19lYaqBhU8_DElYkX7l4wRkHqqCUFNJY4AfY3kHU/edit?usp=sharing  #gid=0"",""фіз особи new!relations_name""),6,FALSE)
,
(IF
(
C10934=""юридична особа""
,
VLOO"&amp;"KUP(D10934,IMPORTRANGE(""https://docs.google.com/spreadsheets/d/14Bd19lYaqBhU8_DElYkX7l4wRkHqqCUFNJY4AfY3kHU/edit?usp=sharing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3" s="7" t="s">
        <v>10</v>
      </c>
      <c r="H10933" s="7">
        <v>4023</v>
      </c>
      <c r="I10933" s="8" t="str">
        <f ca="1">IFERROR(__xludf.DUMMYFUNCTION("IF
(
G10934=""фізична особа""
,
VLOOKUP(H10934,IMPORTRANGE(""https://docs.google.com/spreadsheets/d/14Bd19lYaqBhU8_DElYkX7l4wRkHqqCUFNJY4AfY3kHU/edit?usp=sharing  #gid=0"",""фіз особи new!relations_name""),6,FALSE)
,
(IF
(
G10934=""юридична особа""
,
VLOO"&amp;"KUP(H10934,IMPORTRANGE(""https://docs.google.com/spreadsheets/d/14Bd19lYaqBhU8_DElYkX7l4wRkHqqCUFNJY4AfY3kHU/edit?usp=sharing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33" s="7" t="s">
        <v>29</v>
      </c>
    </row>
    <row r="10934" spans="1:10" ht="13.2">
      <c r="A10934" s="7">
        <v>10933</v>
      </c>
      <c r="B10934" s="7">
        <v>1</v>
      </c>
      <c r="C10934" s="7" t="s">
        <v>10</v>
      </c>
      <c r="D10934" s="7">
        <v>16999</v>
      </c>
      <c r="E10934" s="7" t="s">
        <v>11</v>
      </c>
      <c r="F10934" s="8" t="str">
        <f ca="1">IFERROR(__xludf.DUMMYFUNCTION("IF
(
C10935=""фізична особа""
,
VLOOKUP(D10935,IMPORTRANGE(""https://docs.google.com/spreadsheets/d/14Bd19lYaqBhU8_DElYkX7l4wRkHqqCUFNJY4AfY3kHU/edit?usp=sharing  #gid=0"",""фіз особи new!relations_name""),6,FALSE)
,
(IF
(
C10935=""юридична особа""
,
VLOO"&amp;"KUP(D10935,IMPORTRANGE(""https://docs.google.com/spreadsheets/d/14Bd19lYaqBhU8_DElYkX7l4wRkHqqCUFNJY4AfY3kHU/edit?usp=sharing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4" s="7" t="s">
        <v>10</v>
      </c>
      <c r="H10934" s="7">
        <v>5743</v>
      </c>
      <c r="I10934" s="8" t="str">
        <f ca="1">IFERROR(__xludf.DUMMYFUNCTION("IF
(
G10935=""фізична особа""
,
VLOOKUP(H10935,IMPORTRANGE(""https://docs.google.com/spreadsheets/d/14Bd19lYaqBhU8_DElYkX7l4wRkHqqCUFNJY4AfY3kHU/edit?usp=sharing  #gid=0"",""фіз особи new!relations_name""),6,FALSE)
,
(IF
(
G10935=""юридична особа""
,
VLOO"&amp;"KUP(H10935,IMPORTRANGE(""https://docs.google.com/spreadsheets/d/14Bd19lYaqBhU8_DElYkX7l4wRkHqqCUFNJY4AfY3kHU/edit?usp=sharing  #gid=0"",""фіз особи new!relations_name_uo""),7,FALSE)
,
)
))"),"БУЗИНОВ Андрій Володимирович")</f>
        <v>БУЗИНОВ Андрій Володимирович</v>
      </c>
      <c r="J10934" s="7" t="s">
        <v>11</v>
      </c>
    </row>
    <row r="10935" spans="1:10" ht="13.2">
      <c r="A10935" s="7">
        <v>10934</v>
      </c>
      <c r="B10935" s="7">
        <v>1</v>
      </c>
      <c r="C10935" s="7" t="s">
        <v>10</v>
      </c>
      <c r="D10935" s="7">
        <v>16999</v>
      </c>
      <c r="E10935" s="7" t="s">
        <v>11</v>
      </c>
      <c r="F10935" s="8" t="str">
        <f ca="1">IFERROR(__xludf.DUMMYFUNCTION("IF
(
C10936=""фізична особа""
,
VLOOKUP(D10936,IMPORTRANGE(""https://docs.google.com/spreadsheets/d/14Bd19lYaqBhU8_DElYkX7l4wRkHqqCUFNJY4AfY3kHU/edit?usp=sharing  #gid=0"",""фіз особи new!relations_name""),6,FALSE)
,
(IF
(
C10936=""юридична особа""
,
VLOO"&amp;"KUP(D10936,IMPORTRANGE(""https://docs.google.com/spreadsheets/d/14Bd19lYaqBhU8_DElYkX7l4wRkHqqCUFNJY4AfY3kHU/edit?usp=sharing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5" s="7" t="s">
        <v>10</v>
      </c>
      <c r="H10935" s="7">
        <v>16923</v>
      </c>
      <c r="I10935" s="8" t="str">
        <f ca="1">IFERROR(__xludf.DUMMYFUNCTION("IF
(
G10936=""фізична особа""
,
VLOOKUP(H10936,IMPORTRANGE(""https://docs.google.com/spreadsheets/d/14Bd19lYaqBhU8_DElYkX7l4wRkHqqCUFNJY4AfY3kHU/edit?usp=sharing  #gid=0"",""фіз особи new!relations_name""),6,FALSE)
,
(IF
(
G10936=""юридична особа""
,
VLOO"&amp;"KUP(H10936,IMPORTRANGE(""https://docs.google.com/spreadsheets/d/14Bd19lYaqBhU8_DElYkX7l4wRkHqqCUFNJY4AfY3kHU/edit?usp=sharing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J10935" s="7" t="s">
        <v>11</v>
      </c>
    </row>
    <row r="10936" spans="1:10" ht="13.2">
      <c r="A10936" s="7">
        <v>10935</v>
      </c>
      <c r="B10936" s="7">
        <v>1</v>
      </c>
      <c r="C10936" s="7" t="s">
        <v>10</v>
      </c>
      <c r="D10936" s="7">
        <v>16999</v>
      </c>
      <c r="E10936" s="7" t="s">
        <v>11</v>
      </c>
      <c r="F10936" s="8" t="str">
        <f ca="1">IFERROR(__xludf.DUMMYFUNCTION("IF
(
C10937=""фізична особа""
,
VLOOKUP(D10937,IMPORTRANGE(""https://docs.google.com/spreadsheets/d/14Bd19lYaqBhU8_DElYkX7l4wRkHqqCUFNJY4AfY3kHU/edit?usp=sharing  #gid=0"",""фіз особи new!relations_name""),6,FALSE)
,
(IF
(
C10937=""юридична особа""
,
VLOO"&amp;"KUP(D10937,IMPORTRANGE(""https://docs.google.com/spreadsheets/d/14Bd19lYaqBhU8_DElYkX7l4wRkHqqCUFNJY4AfY3kHU/edit?usp=sharing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6" s="7" t="s">
        <v>10</v>
      </c>
      <c r="H10936" s="7">
        <v>5749</v>
      </c>
      <c r="I10936" s="8" t="str">
        <f ca="1">IFERROR(__xludf.DUMMYFUNCTION("IF
(
G10937=""фізична особа""
,
VLOOKUP(H10937,IMPORTRANGE(""https://docs.google.com/spreadsheets/d/14Bd19lYaqBhU8_DElYkX7l4wRkHqqCUFNJY4AfY3kHU/edit?usp=sharing  #gid=0"",""фіз особи new!relations_name""),6,FALSE)
,
(IF
(
G10937=""юридична особа""
,
VLOO"&amp;"KUP(H10937,IMPORTRANGE(""https://docs.google.com/spreadsheets/d/14Bd19lYaqBhU8_DElYkX7l4wRkHqqCUFNJY4AfY3kHU/edit?usp=sharing  #gid=0"",""фіз особи new!relations_name_uo""),7,FALSE)
,
)
))"),"КУЛАКОВ Володимир Вікторович")</f>
        <v>КУЛАКОВ Володимир Вікторович</v>
      </c>
      <c r="J10936" s="7" t="s">
        <v>11</v>
      </c>
    </row>
    <row r="10937" spans="1:10" ht="13.2">
      <c r="A10937" s="7">
        <v>10936</v>
      </c>
      <c r="B10937" s="7">
        <v>1</v>
      </c>
      <c r="C10937" s="7" t="s">
        <v>10</v>
      </c>
      <c r="D10937" s="7">
        <v>16999</v>
      </c>
      <c r="E10937" s="7" t="s">
        <v>11</v>
      </c>
      <c r="F10937" s="8" t="str">
        <f ca="1">IFERROR(__xludf.DUMMYFUNCTION("IF
(
C10938=""фізична особа""
,
VLOOKUP(D10938,IMPORTRANGE(""https://docs.google.com/spreadsheets/d/14Bd19lYaqBhU8_DElYkX7l4wRkHqqCUFNJY4AfY3kHU/edit?usp=sharing  #gid=0"",""фіз особи new!relations_name""),6,FALSE)
,
(IF
(
C10938=""юридична особа""
,
VLOO"&amp;"KUP(D10938,IMPORTRANGE(""https://docs.google.com/spreadsheets/d/14Bd19lYaqBhU8_DElYkX7l4wRkHqqCUFNJY4AfY3kHU/edit?usp=sharing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7" s="7" t="s">
        <v>10</v>
      </c>
      <c r="H10937" s="7">
        <v>17000</v>
      </c>
      <c r="I10937" s="8" t="str">
        <f ca="1">IFERROR(__xludf.DUMMYFUNCTION("IF
(
G10938=""фізична особа""
,
VLOOKUP(H10938,IMPORTRANGE(""https://docs.google.com/spreadsheets/d/14Bd19lYaqBhU8_DElYkX7l4wRkHqqCUFNJY4AfY3kHU/edit?usp=sharing  #gid=0"",""фіз особи new!relations_name""),6,FALSE)
,
(IF
(
G10938=""юридична особа""
,
VLOO"&amp;"KUP(H10938,IMPORTRANGE(""https://docs.google.com/spreadsheets/d/14Bd19lYaqBhU8_DElYkX7l4wRkHqqCUFNJY4AfY3kHU/edit?usp=sharing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J10937" s="7" t="s">
        <v>11</v>
      </c>
    </row>
    <row r="10938" spans="1:10" ht="13.2">
      <c r="A10938" s="7">
        <v>10937</v>
      </c>
      <c r="B10938" s="7">
        <v>1</v>
      </c>
      <c r="C10938" s="7" t="s">
        <v>10</v>
      </c>
      <c r="D10938" s="7">
        <v>16999</v>
      </c>
      <c r="E10938" s="7" t="s">
        <v>11</v>
      </c>
      <c r="F10938" s="8" t="str">
        <f ca="1">IFERROR(__xludf.DUMMYFUNCTION("IF
(
C10939=""фізична особа""
,
VLOOKUP(D10939,IMPORTRANGE(""https://docs.google.com/spreadsheets/d/14Bd19lYaqBhU8_DElYkX7l4wRkHqqCUFNJY4AfY3kHU/edit?usp=sharing  #gid=0"",""фіз особи new!relations_name""),6,FALSE)
,
(IF
(
C10939=""юридична особа""
,
VLOO"&amp;"KUP(D10939,IMPORTRANGE(""https://docs.google.com/spreadsheets/d/14Bd19lYaqBhU8_DElYkX7l4wRkHqqCUFNJY4AfY3kHU/edit?usp=sharing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8" s="7" t="s">
        <v>10</v>
      </c>
      <c r="H10938" s="7">
        <v>17001</v>
      </c>
      <c r="I10938" s="8" t="str">
        <f ca="1">IFERROR(__xludf.DUMMYFUNCTION("IF
(
G10939=""фізична особа""
,
VLOOKUP(H10939,IMPORTRANGE(""https://docs.google.com/spreadsheets/d/14Bd19lYaqBhU8_DElYkX7l4wRkHqqCUFNJY4AfY3kHU/edit?usp=sharing  #gid=0"",""фіз особи new!relations_name""),6,FALSE)
,
(IF
(
G10939=""юридична особа""
,
VLOO"&amp;"KUP(H10939,IMPORTRANGE(""https://docs.google.com/spreadsheets/d/14Bd19lYaqBhU8_DElYkX7l4wRkHqqCUFNJY4AfY3kHU/edit?usp=sharing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J10938" s="7" t="s">
        <v>11</v>
      </c>
    </row>
    <row r="10939" spans="1:10" ht="13.2">
      <c r="A10939" s="7">
        <v>10938</v>
      </c>
      <c r="B10939" s="7">
        <v>1</v>
      </c>
      <c r="C10939" s="7" t="s">
        <v>10</v>
      </c>
      <c r="D10939" s="7">
        <v>16999</v>
      </c>
      <c r="E10939" s="7" t="s">
        <v>11</v>
      </c>
      <c r="F10939" s="8" t="str">
        <f ca="1">IFERROR(__xludf.DUMMYFUNCTION("IF
(
C10940=""фізична особа""
,
VLOOKUP(D10940,IMPORTRANGE(""https://docs.google.com/spreadsheets/d/14Bd19lYaqBhU8_DElYkX7l4wRkHqqCUFNJY4AfY3kHU/edit?usp=sharing  #gid=0"",""фіз особи new!relations_name""),6,FALSE)
,
(IF
(
C10940=""юридична особа""
,
VLOO"&amp;"KUP(D10940,IMPORTRANGE(""https://docs.google.com/spreadsheets/d/14Bd19lYaqBhU8_DElYkX7l4wRkHqqCUFNJY4AfY3kHU/edit?usp=sharing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G10939" s="7" t="s">
        <v>10</v>
      </c>
      <c r="H10939" s="7">
        <v>16937</v>
      </c>
      <c r="I10939" s="8" t="str">
        <f ca="1">IFERROR(__xludf.DUMMYFUNCTION("IF
(
G10940=""фізична особа""
,
VLOOKUP(H10940,IMPORTRANGE(""https://docs.google.com/spreadsheets/d/14Bd19lYaqBhU8_DElYkX7l4wRkHqqCUFNJY4AfY3kHU/edit?usp=sharing  #gid=0"",""фіз особи new!relations_name""),6,FALSE)
,
(IF
(
G10940=""юридична особа""
,
VLOO"&amp;"KUP(H10940,IMPORTRANGE(""https://docs.google.com/spreadsheets/d/14Bd19lYaqBhU8_DElYkX7l4wRkHqqCUFNJY4AfY3kHU/edit?usp=sharing  #gid=0"",""фіз особи new!relations_name_uo""),7,FALSE)
,
)
))"),"САМАРІН Віктор Сергійович")</f>
        <v>САМАРІН Віктор Сергійович</v>
      </c>
      <c r="J10939" s="7" t="s">
        <v>11</v>
      </c>
    </row>
    <row r="10940" spans="1:10" ht="13.2">
      <c r="A10940" s="7">
        <v>10939</v>
      </c>
      <c r="B10940" s="7">
        <v>1</v>
      </c>
      <c r="C10940" s="7" t="s">
        <v>10</v>
      </c>
      <c r="D10940" s="7">
        <v>17000</v>
      </c>
      <c r="E10940" s="7" t="s">
        <v>28</v>
      </c>
      <c r="F10940" s="8" t="str">
        <f ca="1">IFERROR(__xludf.DUMMYFUNCTION("IF
(
C10941=""фізична особа""
,
VLOOKUP(D10941,IMPORTRANGE(""https://docs.google.com/spreadsheets/d/14Bd19lYaqBhU8_DElYkX7l4wRkHqqCUFNJY4AfY3kHU/edit?usp=sharing  #gid=0"",""фіз особи new!relations_name""),6,FALSE)
,
(IF
(
C10941=""юридична особа""
,
VLOO"&amp;"KUP(D10941,IMPORTRANGE(""https://docs.google.com/spreadsheets/d/14Bd19lYaqBhU8_DElYkX7l4wRkHqqCUFNJY4AfY3kHU/edit?usp=sharing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0" s="7" t="s">
        <v>10</v>
      </c>
      <c r="H10940" s="7">
        <v>4023</v>
      </c>
      <c r="I10940" s="8" t="str">
        <f ca="1">IFERROR(__xludf.DUMMYFUNCTION("IF
(
G10941=""фізична особа""
,
VLOOKUP(H10941,IMPORTRANGE(""https://docs.google.com/spreadsheets/d/14Bd19lYaqBhU8_DElYkX7l4wRkHqqCUFNJY4AfY3kHU/edit?usp=sharing  #gid=0"",""фіз особи new!relations_name""),6,FALSE)
,
(IF
(
G10941=""юридична особа""
,
VLOO"&amp;"KUP(H10941,IMPORTRANGE(""https://docs.google.com/spreadsheets/d/14Bd19lYaqBhU8_DElYkX7l4wRkHqqCUFNJY4AfY3kHU/edit?usp=sharing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40" s="7" t="s">
        <v>29</v>
      </c>
    </row>
    <row r="10941" spans="1:10" ht="13.2">
      <c r="A10941" s="7">
        <v>10940</v>
      </c>
      <c r="B10941" s="7">
        <v>1</v>
      </c>
      <c r="C10941" s="7" t="s">
        <v>10</v>
      </c>
      <c r="D10941" s="7">
        <v>17000</v>
      </c>
      <c r="E10941" s="7" t="s">
        <v>11</v>
      </c>
      <c r="F10941" s="8" t="str">
        <f ca="1">IFERROR(__xludf.DUMMYFUNCTION("IF
(
C10942=""фізична особа""
,
VLOOKUP(D10942,IMPORTRANGE(""https://docs.google.com/spreadsheets/d/14Bd19lYaqBhU8_DElYkX7l4wRkHqqCUFNJY4AfY3kHU/edit?usp=sharing  #gid=0"",""фіз особи new!relations_name""),6,FALSE)
,
(IF
(
C10942=""юридична особа""
,
VLOO"&amp;"KUP(D10942,IMPORTRANGE(""https://docs.google.com/spreadsheets/d/14Bd19lYaqBhU8_DElYkX7l4wRkHqqCUFNJY4AfY3kHU/edit?usp=sharing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1" s="7" t="s">
        <v>10</v>
      </c>
      <c r="H10941" s="7">
        <v>5743</v>
      </c>
      <c r="I10941" s="8" t="str">
        <f ca="1">IFERROR(__xludf.DUMMYFUNCTION("IF
(
G10942=""фізична особа""
,
VLOOKUP(H10942,IMPORTRANGE(""https://docs.google.com/spreadsheets/d/14Bd19lYaqBhU8_DElYkX7l4wRkHqqCUFNJY4AfY3kHU/edit?usp=sharing  #gid=0"",""фіз особи new!relations_name""),6,FALSE)
,
(IF
(
G10942=""юридична особа""
,
VLOO"&amp;"KUP(H10942,IMPORTRANGE(""https://docs.google.com/spreadsheets/d/14Bd19lYaqBhU8_DElYkX7l4wRkHqqCUFNJY4AfY3kHU/edit?usp=sharing  #gid=0"",""фіз особи new!relations_name_uo""),7,FALSE)
,
)
))"),"БУЗИНОВ Андрій Володимирович")</f>
        <v>БУЗИНОВ Андрій Володимирович</v>
      </c>
      <c r="J10941" s="7" t="s">
        <v>11</v>
      </c>
    </row>
    <row r="10942" spans="1:10" ht="13.2">
      <c r="A10942" s="7">
        <v>10941</v>
      </c>
      <c r="B10942" s="7">
        <v>1</v>
      </c>
      <c r="C10942" s="7" t="s">
        <v>10</v>
      </c>
      <c r="D10942" s="7">
        <v>17000</v>
      </c>
      <c r="E10942" s="7" t="s">
        <v>11</v>
      </c>
      <c r="F10942" s="8" t="str">
        <f ca="1">IFERROR(__xludf.DUMMYFUNCTION("IF
(
C10943=""фізична особа""
,
VLOOKUP(D10943,IMPORTRANGE(""https://docs.google.com/spreadsheets/d/14Bd19lYaqBhU8_DElYkX7l4wRkHqqCUFNJY4AfY3kHU/edit?usp=sharing  #gid=0"",""фіз особи new!relations_name""),6,FALSE)
,
(IF
(
C10943=""юридична особа""
,
VLOO"&amp;"KUP(D10943,IMPORTRANGE(""https://docs.google.com/spreadsheets/d/14Bd19lYaqBhU8_DElYkX7l4wRkHqqCUFNJY4AfY3kHU/edit?usp=sharing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2" s="7" t="s">
        <v>10</v>
      </c>
      <c r="H10942" s="7">
        <v>16923</v>
      </c>
      <c r="I10942" s="8" t="str">
        <f ca="1">IFERROR(__xludf.DUMMYFUNCTION("IF
(
G10943=""фізична особа""
,
VLOOKUP(H10943,IMPORTRANGE(""https://docs.google.com/spreadsheets/d/14Bd19lYaqBhU8_DElYkX7l4wRkHqqCUFNJY4AfY3kHU/edit?usp=sharing  #gid=0"",""фіз особи new!relations_name""),6,FALSE)
,
(IF
(
G10943=""юридична особа""
,
VLOO"&amp;"KUP(H10943,IMPORTRANGE(""https://docs.google.com/spreadsheets/d/14Bd19lYaqBhU8_DElYkX7l4wRkHqqCUFNJY4AfY3kHU/edit?usp=sharing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J10942" s="7" t="s">
        <v>11</v>
      </c>
    </row>
    <row r="10943" spans="1:10" ht="13.2">
      <c r="A10943" s="7">
        <v>10942</v>
      </c>
      <c r="B10943" s="7">
        <v>1</v>
      </c>
      <c r="C10943" s="7" t="s">
        <v>10</v>
      </c>
      <c r="D10943" s="7">
        <v>17000</v>
      </c>
      <c r="E10943" s="7" t="s">
        <v>11</v>
      </c>
      <c r="F10943" s="8" t="str">
        <f ca="1">IFERROR(__xludf.DUMMYFUNCTION("IF
(
C10944=""фізична особа""
,
VLOOKUP(D10944,IMPORTRANGE(""https://docs.google.com/spreadsheets/d/14Bd19lYaqBhU8_DElYkX7l4wRkHqqCUFNJY4AfY3kHU/edit?usp=sharing  #gid=0"",""фіз особи new!relations_name""),6,FALSE)
,
(IF
(
C10944=""юридична особа""
,
VLOO"&amp;"KUP(D10944,IMPORTRANGE(""https://docs.google.com/spreadsheets/d/14Bd19lYaqBhU8_DElYkX7l4wRkHqqCUFNJY4AfY3kHU/edit?usp=sharing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3" s="7" t="s">
        <v>10</v>
      </c>
      <c r="H10943" s="7">
        <v>5749</v>
      </c>
      <c r="I10943" s="8" t="str">
        <f ca="1">IFERROR(__xludf.DUMMYFUNCTION("IF
(
G10944=""фізична особа""
,
VLOOKUP(H10944,IMPORTRANGE(""https://docs.google.com/spreadsheets/d/14Bd19lYaqBhU8_DElYkX7l4wRkHqqCUFNJY4AfY3kHU/edit?usp=sharing  #gid=0"",""фіз особи new!relations_name""),6,FALSE)
,
(IF
(
G10944=""юридична особа""
,
VLOO"&amp;"KUP(H10944,IMPORTRANGE(""https://docs.google.com/spreadsheets/d/14Bd19lYaqBhU8_DElYkX7l4wRkHqqCUFNJY4AfY3kHU/edit?usp=sharing  #gid=0"",""фіз особи new!relations_name_uo""),7,FALSE)
,
)
))"),"КУЛАКОВ Володимир Вікторович")</f>
        <v>КУЛАКОВ Володимир Вікторович</v>
      </c>
      <c r="J10943" s="7" t="s">
        <v>11</v>
      </c>
    </row>
    <row r="10944" spans="1:10" ht="13.2">
      <c r="A10944" s="7">
        <v>10943</v>
      </c>
      <c r="B10944" s="7">
        <v>1</v>
      </c>
      <c r="C10944" s="7" t="s">
        <v>10</v>
      </c>
      <c r="D10944" s="7">
        <v>17000</v>
      </c>
      <c r="E10944" s="7" t="s">
        <v>11</v>
      </c>
      <c r="F10944" s="8" t="str">
        <f ca="1">IFERROR(__xludf.DUMMYFUNCTION("IF
(
C10945=""фізична особа""
,
VLOOKUP(D10945,IMPORTRANGE(""https://docs.google.com/spreadsheets/d/14Bd19lYaqBhU8_DElYkX7l4wRkHqqCUFNJY4AfY3kHU/edit?usp=sharing  #gid=0"",""фіз особи new!relations_name""),6,FALSE)
,
(IF
(
C10945=""юридична особа""
,
VLOO"&amp;"KUP(D10945,IMPORTRANGE(""https://docs.google.com/spreadsheets/d/14Bd19lYaqBhU8_DElYkX7l4wRkHqqCUFNJY4AfY3kHU/edit?usp=sharing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4" s="7" t="s">
        <v>10</v>
      </c>
      <c r="H10944" s="7">
        <v>16999</v>
      </c>
      <c r="I10944" s="8" t="str">
        <f ca="1">IFERROR(__xludf.DUMMYFUNCTION("IF
(
G10945=""фізична особа""
,
VLOOKUP(H10945,IMPORTRANGE(""https://docs.google.com/spreadsheets/d/14Bd19lYaqBhU8_DElYkX7l4wRkHqqCUFNJY4AfY3kHU/edit?usp=sharing  #gid=0"",""фіз особи new!relations_name""),6,FALSE)
,
(IF
(
G10945=""юридична особа""
,
VLOO"&amp;"KUP(H10945,IMPORTRANGE(""https://docs.google.com/spreadsheets/d/14Bd19lYaqBhU8_DElYkX7l4wRkHqqCUFNJY4AfY3kHU/edit?usp=sharing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J10944" s="7" t="s">
        <v>11</v>
      </c>
    </row>
    <row r="10945" spans="1:10" ht="13.2">
      <c r="A10945" s="7">
        <v>10944</v>
      </c>
      <c r="B10945" s="7">
        <v>1</v>
      </c>
      <c r="C10945" s="7" t="s">
        <v>10</v>
      </c>
      <c r="D10945" s="7">
        <v>17000</v>
      </c>
      <c r="E10945" s="7" t="s">
        <v>11</v>
      </c>
      <c r="F10945" s="8" t="str">
        <f ca="1">IFERROR(__xludf.DUMMYFUNCTION("IF
(
C10946=""фізична особа""
,
VLOOKUP(D10946,IMPORTRANGE(""https://docs.google.com/spreadsheets/d/14Bd19lYaqBhU8_DElYkX7l4wRkHqqCUFNJY4AfY3kHU/edit?usp=sharing  #gid=0"",""фіз особи new!relations_name""),6,FALSE)
,
(IF
(
C10946=""юридична особа""
,
VLOO"&amp;"KUP(D10946,IMPORTRANGE(""https://docs.google.com/spreadsheets/d/14Bd19lYaqBhU8_DElYkX7l4wRkHqqCUFNJY4AfY3kHU/edit?usp=sharing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5" s="7" t="s">
        <v>10</v>
      </c>
      <c r="H10945" s="7">
        <v>17001</v>
      </c>
      <c r="I10945" s="8" t="str">
        <f ca="1">IFERROR(__xludf.DUMMYFUNCTION("IF
(
G10946=""фізична особа""
,
VLOOKUP(H10946,IMPORTRANGE(""https://docs.google.com/spreadsheets/d/14Bd19lYaqBhU8_DElYkX7l4wRkHqqCUFNJY4AfY3kHU/edit?usp=sharing  #gid=0"",""фіз особи new!relations_name""),6,FALSE)
,
(IF
(
G10946=""юридична особа""
,
VLOO"&amp;"KUP(H10946,IMPORTRANGE(""https://docs.google.com/spreadsheets/d/14Bd19lYaqBhU8_DElYkX7l4wRkHqqCUFNJY4AfY3kHU/edit?usp=sharing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J10945" s="7" t="s">
        <v>11</v>
      </c>
    </row>
    <row r="10946" spans="1:10" ht="13.2">
      <c r="A10946" s="7">
        <v>10945</v>
      </c>
      <c r="B10946" s="7">
        <v>1</v>
      </c>
      <c r="C10946" s="7" t="s">
        <v>10</v>
      </c>
      <c r="D10946" s="7">
        <v>17000</v>
      </c>
      <c r="E10946" s="7" t="s">
        <v>11</v>
      </c>
      <c r="F10946" s="8" t="str">
        <f ca="1">IFERROR(__xludf.DUMMYFUNCTION("IF
(
C10947=""фізична особа""
,
VLOOKUP(D10947,IMPORTRANGE(""https://docs.google.com/spreadsheets/d/14Bd19lYaqBhU8_DElYkX7l4wRkHqqCUFNJY4AfY3kHU/edit?usp=sharing  #gid=0"",""фіз особи new!relations_name""),6,FALSE)
,
(IF
(
C10947=""юридична особа""
,
VLOO"&amp;"KUP(D10947,IMPORTRANGE(""https://docs.google.com/spreadsheets/d/14Bd19lYaqBhU8_DElYkX7l4wRkHqqCUFNJY4AfY3kHU/edit?usp=sharing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G10946" s="7" t="s">
        <v>10</v>
      </c>
      <c r="H10946" s="7">
        <v>16937</v>
      </c>
      <c r="I10946" s="8" t="str">
        <f ca="1">IFERROR(__xludf.DUMMYFUNCTION("IF
(
G10947=""фізична особа""
,
VLOOKUP(H10947,IMPORTRANGE(""https://docs.google.com/spreadsheets/d/14Bd19lYaqBhU8_DElYkX7l4wRkHqqCUFNJY4AfY3kHU/edit?usp=sharing  #gid=0"",""фіз особи new!relations_name""),6,FALSE)
,
(IF
(
G10947=""юридична особа""
,
VLOO"&amp;"KUP(H10947,IMPORTRANGE(""https://docs.google.com/spreadsheets/d/14Bd19lYaqBhU8_DElYkX7l4wRkHqqCUFNJY4AfY3kHU/edit?usp=sharing  #gid=0"",""фіз особи new!relations_name_uo""),7,FALSE)
,
)
))"),"САМАРІН Віктор Сергійович")</f>
        <v>САМАРІН Віктор Сергійович</v>
      </c>
      <c r="J10946" s="7" t="s">
        <v>11</v>
      </c>
    </row>
    <row r="10947" spans="1:10" ht="13.2">
      <c r="A10947" s="7">
        <v>10946</v>
      </c>
      <c r="B10947" s="7">
        <v>1</v>
      </c>
      <c r="C10947" s="7" t="s">
        <v>10</v>
      </c>
      <c r="D10947" s="7">
        <v>17001</v>
      </c>
      <c r="E10947" s="7" t="s">
        <v>28</v>
      </c>
      <c r="F10947" s="8" t="str">
        <f ca="1">IFERROR(__xludf.DUMMYFUNCTION("IF
(
C10948=""фізична особа""
,
VLOOKUP(D10948,IMPORTRANGE(""https://docs.google.com/spreadsheets/d/14Bd19lYaqBhU8_DElYkX7l4wRkHqqCUFNJY4AfY3kHU/edit?usp=sharing  #gid=0"",""фіз особи new!relations_name""),6,FALSE)
,
(IF
(
C10948=""юридична особа""
,
VLOO"&amp;"KUP(D10948,IMPORTRANGE(""https://docs.google.com/spreadsheets/d/14Bd19lYaqBhU8_DElYkX7l4wRkHqqCUFNJY4AfY3kHU/edit?usp=sharing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47" s="7" t="s">
        <v>10</v>
      </c>
      <c r="H10947" s="7">
        <v>4023</v>
      </c>
      <c r="I10947" s="8" t="str">
        <f ca="1">IFERROR(__xludf.DUMMYFUNCTION("IF
(
G10948=""фізична особа""
,
VLOOKUP(H10948,IMPORTRANGE(""https://docs.google.com/spreadsheets/d/14Bd19lYaqBhU8_DElYkX7l4wRkHqqCUFNJY4AfY3kHU/edit?usp=sharing  #gid=0"",""фіз особи new!relations_name""),6,FALSE)
,
(IF
(
G10948=""юридична особа""
,
VLOO"&amp;"KUP(H10948,IMPORTRANGE(""https://docs.google.com/spreadsheets/d/14Bd19lYaqBhU8_DElYkX7l4wRkHqqCUFNJY4AfY3kHU/edit?usp=sharing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47" s="7" t="s">
        <v>29</v>
      </c>
    </row>
    <row r="10948" spans="1:10" ht="13.2">
      <c r="A10948" s="7">
        <v>10947</v>
      </c>
      <c r="B10948" s="7">
        <v>1</v>
      </c>
      <c r="C10948" s="7" t="s">
        <v>10</v>
      </c>
      <c r="D10948" s="7">
        <v>17001</v>
      </c>
      <c r="E10948" s="7" t="s">
        <v>11</v>
      </c>
      <c r="F10948" s="8" t="str">
        <f ca="1">IFERROR(__xludf.DUMMYFUNCTION("IF
(
C10949=""фізична особа""
,
VLOOKUP(D10949,IMPORTRANGE(""https://docs.google.com/spreadsheets/d/14Bd19lYaqBhU8_DElYkX7l4wRkHqqCUFNJY4AfY3kHU/edit?usp=sharing  #gid=0"",""фіз особи new!relations_name""),6,FALSE)
,
(IF
(
C10949=""юридична особа""
,
VLOO"&amp;"KUP(D10949,IMPORTRANGE(""https://docs.google.com/spreadsheets/d/14Bd19lYaqBhU8_DElYkX7l4wRkHqqCUFNJY4AfY3kHU/edit?usp=sharing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48" s="7" t="s">
        <v>10</v>
      </c>
      <c r="H10948" s="7">
        <v>5743</v>
      </c>
      <c r="I10948" s="8" t="str">
        <f ca="1">IFERROR(__xludf.DUMMYFUNCTION("IF
(
G10949=""фізична особа""
,
VLOOKUP(H10949,IMPORTRANGE(""https://docs.google.com/spreadsheets/d/14Bd19lYaqBhU8_DElYkX7l4wRkHqqCUFNJY4AfY3kHU/edit?usp=sharing  #gid=0"",""фіз особи new!relations_name""),6,FALSE)
,
(IF
(
G10949=""юридична особа""
,
VLOO"&amp;"KUP(H10949,IMPORTRANGE(""https://docs.google.com/spreadsheets/d/14Bd19lYaqBhU8_DElYkX7l4wRkHqqCUFNJY4AfY3kHU/edit?usp=sharing  #gid=0"",""фіз особи new!relations_name_uo""),7,FALSE)
,
)
))"),"БУЗИНОВ Андрій Володимирович")</f>
        <v>БУЗИНОВ Андрій Володимирович</v>
      </c>
      <c r="J10948" s="7" t="s">
        <v>11</v>
      </c>
    </row>
    <row r="10949" spans="1:10" ht="13.2">
      <c r="A10949" s="7">
        <v>10948</v>
      </c>
      <c r="B10949" s="7">
        <v>1</v>
      </c>
      <c r="C10949" s="7" t="s">
        <v>10</v>
      </c>
      <c r="D10949" s="7">
        <v>17001</v>
      </c>
      <c r="E10949" s="7" t="s">
        <v>11</v>
      </c>
      <c r="F10949" s="8" t="str">
        <f ca="1">IFERROR(__xludf.DUMMYFUNCTION("IF
(
C10950=""фізична особа""
,
VLOOKUP(D10950,IMPORTRANGE(""https://docs.google.com/spreadsheets/d/14Bd19lYaqBhU8_DElYkX7l4wRkHqqCUFNJY4AfY3kHU/edit?usp=sharing  #gid=0"",""фіз особи new!relations_name""),6,FALSE)
,
(IF
(
C10950=""юридична особа""
,
VLOO"&amp;"KUP(D10950,IMPORTRANGE(""https://docs.google.com/spreadsheets/d/14Bd19lYaqBhU8_DElYkX7l4wRkHqqCUFNJY4AfY3kHU/edit?usp=sharing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49" s="7" t="s">
        <v>10</v>
      </c>
      <c r="H10949" s="7">
        <v>16923</v>
      </c>
      <c r="I10949" s="8" t="str">
        <f ca="1">IFERROR(__xludf.DUMMYFUNCTION("IF
(
G10950=""фізична особа""
,
VLOOKUP(H10950,IMPORTRANGE(""https://docs.google.com/spreadsheets/d/14Bd19lYaqBhU8_DElYkX7l4wRkHqqCUFNJY4AfY3kHU/edit?usp=sharing  #gid=0"",""фіз особи new!relations_name""),6,FALSE)
,
(IF
(
G10950=""юридична особа""
,
VLOO"&amp;"KUP(H10950,IMPORTRANGE(""https://docs.google.com/spreadsheets/d/14Bd19lYaqBhU8_DElYkX7l4wRkHqqCUFNJY4AfY3kHU/edit?usp=sharing  #gid=0"",""фіз особи new!relations_name_uo""),7,FALSE)
,
)
))"),"БАБЮК Ірина Анатоліївна")</f>
        <v>БАБЮК Ірина Анатоліївна</v>
      </c>
      <c r="J10949" s="7" t="s">
        <v>11</v>
      </c>
    </row>
    <row r="10950" spans="1:10" ht="13.2">
      <c r="A10950" s="7">
        <v>10949</v>
      </c>
      <c r="B10950" s="7">
        <v>1</v>
      </c>
      <c r="C10950" s="7" t="s">
        <v>10</v>
      </c>
      <c r="D10950" s="7">
        <v>17001</v>
      </c>
      <c r="E10950" s="7" t="s">
        <v>11</v>
      </c>
      <c r="F10950" s="8" t="str">
        <f ca="1">IFERROR(__xludf.DUMMYFUNCTION("IF
(
C10951=""фізична особа""
,
VLOOKUP(D10951,IMPORTRANGE(""https://docs.google.com/spreadsheets/d/14Bd19lYaqBhU8_DElYkX7l4wRkHqqCUFNJY4AfY3kHU/edit?usp=sharing  #gid=0"",""фіз особи new!relations_name""),6,FALSE)
,
(IF
(
C10951=""юридична особа""
,
VLOO"&amp;"KUP(D10951,IMPORTRANGE(""https://docs.google.com/spreadsheets/d/14Bd19lYaqBhU8_DElYkX7l4wRkHqqCUFNJY4AfY3kHU/edit?usp=sharing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50" s="7" t="s">
        <v>10</v>
      </c>
      <c r="H10950" s="7">
        <v>5749</v>
      </c>
      <c r="I10950" s="8" t="str">
        <f ca="1">IFERROR(__xludf.DUMMYFUNCTION("IF
(
G10951=""фізична особа""
,
VLOOKUP(H10951,IMPORTRANGE(""https://docs.google.com/spreadsheets/d/14Bd19lYaqBhU8_DElYkX7l4wRkHqqCUFNJY4AfY3kHU/edit?usp=sharing  #gid=0"",""фіз особи new!relations_name""),6,FALSE)
,
(IF
(
G10951=""юридична особа""
,
VLOO"&amp;"KUP(H10951,IMPORTRANGE(""https://docs.google.com/spreadsheets/d/14Bd19lYaqBhU8_DElYkX7l4wRkHqqCUFNJY4AfY3kHU/edit?usp=sharing  #gid=0"",""фіз особи new!relations_name_uo""),7,FALSE)
,
)
))"),"КУЛАКОВ Володимир Вікторович")</f>
        <v>КУЛАКОВ Володимир Вікторович</v>
      </c>
      <c r="J10950" s="7" t="s">
        <v>11</v>
      </c>
    </row>
    <row r="10951" spans="1:10" ht="13.2">
      <c r="A10951" s="7">
        <v>10950</v>
      </c>
      <c r="B10951" s="7">
        <v>1</v>
      </c>
      <c r="C10951" s="7" t="s">
        <v>10</v>
      </c>
      <c r="D10951" s="7">
        <v>17001</v>
      </c>
      <c r="E10951" s="7" t="s">
        <v>11</v>
      </c>
      <c r="F10951" s="8" t="str">
        <f ca="1">IFERROR(__xludf.DUMMYFUNCTION("IF
(
C10952=""фізична особа""
,
VLOOKUP(D10952,IMPORTRANGE(""https://docs.google.com/spreadsheets/d/14Bd19lYaqBhU8_DElYkX7l4wRkHqqCUFNJY4AfY3kHU/edit?usp=sharing  #gid=0"",""фіз особи new!relations_name""),6,FALSE)
,
(IF
(
C10952=""юридична особа""
,
VLOO"&amp;"KUP(D10952,IMPORTRANGE(""https://docs.google.com/spreadsheets/d/14Bd19lYaqBhU8_DElYkX7l4wRkHqqCUFNJY4AfY3kHU/edit?usp=sharing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51" s="7" t="s">
        <v>10</v>
      </c>
      <c r="H10951" s="7">
        <v>16999</v>
      </c>
      <c r="I10951" s="8" t="str">
        <f ca="1">IFERROR(__xludf.DUMMYFUNCTION("IF
(
G10952=""фізична особа""
,
VLOOKUP(H10952,IMPORTRANGE(""https://docs.google.com/spreadsheets/d/14Bd19lYaqBhU8_DElYkX7l4wRkHqqCUFNJY4AfY3kHU/edit?usp=sharing  #gid=0"",""фіз особи new!relations_name""),6,FALSE)
,
(IF
(
G10952=""юридична особа""
,
VLOO"&amp;"KUP(H10952,IMPORTRANGE(""https://docs.google.com/spreadsheets/d/14Bd19lYaqBhU8_DElYkX7l4wRkHqqCUFNJY4AfY3kHU/edit?usp=sharing  #gid=0"",""фіз особи new!relations_name_uo""),7,FALSE)
,
)
))"),"АВЕРІН Дмитро Олексійович")</f>
        <v>АВЕРІН Дмитро Олексійович</v>
      </c>
      <c r="J10951" s="7" t="s">
        <v>11</v>
      </c>
    </row>
    <row r="10952" spans="1:10" ht="13.2">
      <c r="A10952" s="7">
        <v>10951</v>
      </c>
      <c r="B10952" s="7">
        <v>1</v>
      </c>
      <c r="C10952" s="7" t="s">
        <v>10</v>
      </c>
      <c r="D10952" s="7">
        <v>17001</v>
      </c>
      <c r="E10952" s="7" t="s">
        <v>11</v>
      </c>
      <c r="F10952" s="8" t="str">
        <f ca="1">IFERROR(__xludf.DUMMYFUNCTION("IF
(
C10953=""фізична особа""
,
VLOOKUP(D10953,IMPORTRANGE(""https://docs.google.com/spreadsheets/d/14Bd19lYaqBhU8_DElYkX7l4wRkHqqCUFNJY4AfY3kHU/edit?usp=sharing  #gid=0"",""фіз особи new!relations_name""),6,FALSE)
,
(IF
(
C10953=""юридична особа""
,
VLOO"&amp;"KUP(D10953,IMPORTRANGE(""https://docs.google.com/spreadsheets/d/14Bd19lYaqBhU8_DElYkX7l4wRkHqqCUFNJY4AfY3kHU/edit?usp=sharing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52" s="7" t="s">
        <v>10</v>
      </c>
      <c r="H10952" s="7">
        <v>17000</v>
      </c>
      <c r="I10952" s="8" t="str">
        <f ca="1">IFERROR(__xludf.DUMMYFUNCTION("IF
(
G10953=""фізична особа""
,
VLOOKUP(H10953,IMPORTRANGE(""https://docs.google.com/spreadsheets/d/14Bd19lYaqBhU8_DElYkX7l4wRkHqqCUFNJY4AfY3kHU/edit?usp=sharing  #gid=0"",""фіз особи new!relations_name""),6,FALSE)
,
(IF
(
G10953=""юридична особа""
,
VLOO"&amp;"KUP(H10953,IMPORTRANGE(""https://docs.google.com/spreadsheets/d/14Bd19lYaqBhU8_DElYkX7l4wRkHqqCUFNJY4AfY3kHU/edit?usp=sharing  #gid=0"",""фіз особи new!relations_name_uo""),7,FALSE)
,
)
))"),"КОТОВ Володимир Петрович")</f>
        <v>КОТОВ Володимир Петрович</v>
      </c>
      <c r="J10952" s="7" t="s">
        <v>11</v>
      </c>
    </row>
    <row r="10953" spans="1:10" ht="13.2">
      <c r="A10953" s="7">
        <v>10952</v>
      </c>
      <c r="B10953" s="7">
        <v>1</v>
      </c>
      <c r="C10953" s="7" t="s">
        <v>10</v>
      </c>
      <c r="D10953" s="7">
        <v>17001</v>
      </c>
      <c r="E10953" s="7" t="s">
        <v>11</v>
      </c>
      <c r="F10953" s="8" t="str">
        <f ca="1">IFERROR(__xludf.DUMMYFUNCTION("IF
(
C10954=""фізична особа""
,
VLOOKUP(D10954,IMPORTRANGE(""https://docs.google.com/spreadsheets/d/14Bd19lYaqBhU8_DElYkX7l4wRkHqqCUFNJY4AfY3kHU/edit?usp=sharing  #gid=0"",""фіз особи new!relations_name""),6,FALSE)
,
(IF
(
C10954=""юридична особа""
,
VLOO"&amp;"KUP(D10954,IMPORTRANGE(""https://docs.google.com/spreadsheets/d/14Bd19lYaqBhU8_DElYkX7l4wRkHqqCUFNJY4AfY3kHU/edit?usp=sharing  #gid=0"",""фіз особи new!relations_name_uo""),7,FALSE)
,
)
))"),"САПРИКІН Валерій Володимирович")</f>
        <v>САПРИКІН Валерій Володимирович</v>
      </c>
      <c r="G10953" s="7" t="s">
        <v>10</v>
      </c>
      <c r="H10953" s="7">
        <v>16937</v>
      </c>
      <c r="I10953" s="8" t="str">
        <f ca="1">IFERROR(__xludf.DUMMYFUNCTION("IF
(
G10954=""фізична особа""
,
VLOOKUP(H10954,IMPORTRANGE(""https://docs.google.com/spreadsheets/d/14Bd19lYaqBhU8_DElYkX7l4wRkHqqCUFNJY4AfY3kHU/edit?usp=sharing  #gid=0"",""фіз особи new!relations_name""),6,FALSE)
,
(IF
(
G10954=""юридична особа""
,
VLOO"&amp;"KUP(H10954,IMPORTRANGE(""https://docs.google.com/spreadsheets/d/14Bd19lYaqBhU8_DElYkX7l4wRkHqqCUFNJY4AfY3kHU/edit?usp=sharing  #gid=0"",""фіз особи new!relations_name_uo""),7,FALSE)
,
)
))"),"САМАРІН Віктор Сергійович")</f>
        <v>САМАРІН Віктор Сергійович</v>
      </c>
      <c r="J10953" s="7" t="s">
        <v>11</v>
      </c>
    </row>
    <row r="10954" spans="1:10" ht="13.2">
      <c r="A10954" s="7">
        <v>10953</v>
      </c>
      <c r="B10954" s="7">
        <v>1</v>
      </c>
      <c r="C10954" s="7" t="s">
        <v>10</v>
      </c>
      <c r="D10954" s="7">
        <v>17002</v>
      </c>
      <c r="E10954" s="7" t="s">
        <v>11</v>
      </c>
      <c r="F10954" s="8" t="str">
        <f ca="1">IFERROR(__xludf.DUMMYFUNCTION("IF
(
C10955=""фізична особа""
,
VLOOKUP(D10955,IMPORTRANGE(""https://docs.google.com/spreadsheets/d/14Bd19lYaqBhU8_DElYkX7l4wRkHqqCUFNJY4AfY3kHU/edit?usp=sharing  #gid=0"",""фіз особи new!relations_name""),6,FALSE)
,
(IF
(
C10955=""юридична особа""
,
VLOO"&amp;"KUP(D10955,IMPORTRANGE(""https://docs.google.com/spreadsheets/d/14Bd19lYaqBhU8_DElYkX7l4wRkHqqCUFNJY4AfY3kHU/edit?usp=sharing  #gid=0"",""фіз особи new!relations_name_uo""),7,FALSE)
,
)
))"),"ЧУМАК Олександр Валерійович")</f>
        <v>ЧУМАК Олександр Валерійович</v>
      </c>
      <c r="G10954" s="7" t="s">
        <v>10</v>
      </c>
      <c r="H10954" s="7">
        <v>2180</v>
      </c>
      <c r="I10954" s="8" t="str">
        <f ca="1">IFERROR(__xludf.DUMMYFUNCTION("IF
(
G10955=""фізична особа""
,
VLOOKUP(H10955,IMPORTRANGE(""https://docs.google.com/spreadsheets/d/14Bd19lYaqBhU8_DElYkX7l4wRkHqqCUFNJY4AfY3kHU/edit?usp=sharing  #gid=0"",""фіз особи new!relations_name""),6,FALSE)
,
(IF
(
G10955=""юридична особа""
,
VLOO"&amp;"KUP(H10955,IMPORTRANGE(""https://docs.google.com/spreadsheets/d/14Bd19lYaqBhU8_DElYkX7l4wRkHqqCUFNJY4AfY3kHU/edit?usp=sharing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0954" s="7" t="s">
        <v>11</v>
      </c>
    </row>
    <row r="10955" spans="1:10" ht="13.2">
      <c r="A10955" s="7">
        <v>10954</v>
      </c>
      <c r="B10955" s="7">
        <v>1</v>
      </c>
      <c r="C10955" s="7" t="s">
        <v>10</v>
      </c>
      <c r="D10955" s="7">
        <v>17003</v>
      </c>
      <c r="E10955" s="7" t="s">
        <v>11</v>
      </c>
      <c r="F10955" s="8" t="str">
        <f ca="1">IFERROR(__xludf.DUMMYFUNCTION("IF
(
C10956=""фізична особа""
,
VLOOKUP(D10956,IMPORTRANGE(""https://docs.google.com/spreadsheets/d/14Bd19lYaqBhU8_DElYkX7l4wRkHqqCUFNJY4AfY3kHU/edit?usp=sharing  #gid=0"",""фіз особи new!relations_name""),6,FALSE)
,
(IF
(
C10956=""юридична особа""
,
VLOO"&amp;"KUP(D10956,IMPORTRANGE(""https://docs.google.com/spreadsheets/d/14Bd19lYaqBhU8_DElYkX7l4wRkHqqCUFNJY4AfY3kHU/edit?usp=sharing  #gid=0"",""фіз особи new!relations_name_uo""),7,FALSE)
,
)
))"),"ЛАПТЄВ Костянтин Вікторович")</f>
        <v>ЛАПТЄВ Костянтин Вікторович</v>
      </c>
      <c r="G10955" s="7" t="s">
        <v>10</v>
      </c>
      <c r="H10955" s="7">
        <v>2180</v>
      </c>
      <c r="I10955" s="8" t="str">
        <f ca="1">IFERROR(__xludf.DUMMYFUNCTION("IF
(
G10956=""фізична особа""
,
VLOOKUP(H10956,IMPORTRANGE(""https://docs.google.com/spreadsheets/d/14Bd19lYaqBhU8_DElYkX7l4wRkHqqCUFNJY4AfY3kHU/edit?usp=sharing  #gid=0"",""фіз особи new!relations_name""),6,FALSE)
,
(IF
(
G10956=""юридична особа""
,
VLOO"&amp;"KUP(H10956,IMPORTRANGE(""https://docs.google.com/spreadsheets/d/14Bd19lYaqBhU8_DElYkX7l4wRkHqqCUFNJY4AfY3kHU/edit?usp=sharing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0955" s="7" t="s">
        <v>11</v>
      </c>
    </row>
    <row r="10956" spans="1:10" ht="13.2">
      <c r="A10956" s="7">
        <v>10955</v>
      </c>
      <c r="B10956" s="7">
        <v>1</v>
      </c>
      <c r="C10956" s="7" t="s">
        <v>10</v>
      </c>
      <c r="D10956" s="7">
        <v>17004</v>
      </c>
      <c r="E10956" s="7" t="s">
        <v>11</v>
      </c>
      <c r="F10956" s="8" t="str">
        <f ca="1">IFERROR(__xludf.DUMMYFUNCTION("IF
(
C10957=""фізична особа""
,
VLOOKUP(D10957,IMPORTRANGE(""https://docs.google.com/spreadsheets/d/14Bd19lYaqBhU8_DElYkX7l4wRkHqqCUFNJY4AfY3kHU/edit?usp=sharing  #gid=0"",""фіз особи new!relations_name""),6,FALSE)
,
(IF
(
C10957=""юридична особа""
,
VLOO"&amp;"KUP(D10957,IMPORTRANGE(""https://docs.google.com/spreadsheets/d/14Bd19lYaqBhU8_DElYkX7l4wRkHqqCUFNJY4AfY3kHU/edit?usp=sharing  #gid=0"",""фіз особи new!relations_name_uo""),7,FALSE)
,
)
))"),"ЛІФШИЦ Людмила Леонідівна")</f>
        <v>ЛІФШИЦ Людмила Леонідівна</v>
      </c>
      <c r="G10956" s="7" t="s">
        <v>10</v>
      </c>
      <c r="H10956" s="7">
        <v>2180</v>
      </c>
      <c r="I10956" s="8" t="str">
        <f ca="1">IFERROR(__xludf.DUMMYFUNCTION("IF
(
G10957=""фізична особа""
,
VLOOKUP(H10957,IMPORTRANGE(""https://docs.google.com/spreadsheets/d/14Bd19lYaqBhU8_DElYkX7l4wRkHqqCUFNJY4AfY3kHU/edit?usp=sharing  #gid=0"",""фіз особи new!relations_name""),6,FALSE)
,
(IF
(
G10957=""юридична особа""
,
VLOO"&amp;"KUP(H10957,IMPORTRANGE(""https://docs.google.com/spreadsheets/d/14Bd19lYaqBhU8_DElYkX7l4wRkHqqCUFNJY4AfY3kHU/edit?usp=sharing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0956" s="7" t="s">
        <v>11</v>
      </c>
    </row>
    <row r="10957" spans="1:10" ht="13.2">
      <c r="A10957" s="7">
        <v>10956</v>
      </c>
      <c r="B10957" s="7">
        <v>1</v>
      </c>
      <c r="C10957" s="7" t="s">
        <v>10</v>
      </c>
      <c r="D10957" s="7">
        <v>17005</v>
      </c>
      <c r="E10957" s="7" t="s">
        <v>11</v>
      </c>
      <c r="F10957" s="8" t="str">
        <f ca="1">IFERROR(__xludf.DUMMYFUNCTION("IF
(
C10958=""фізична особа""
,
VLOOKUP(D10958,IMPORTRANGE(""https://docs.google.com/spreadsheets/d/14Bd19lYaqBhU8_DElYkX7l4wRkHqqCUFNJY4AfY3kHU/edit?usp=sharing  #gid=0"",""фіз особи new!relations_name""),6,FALSE)
,
(IF
(
C10958=""юридична особа""
,
VLOO"&amp;"KUP(D10958,IMPORTRANGE(""https://docs.google.com/spreadsheets/d/14Bd19lYaqBhU8_DElYkX7l4wRkHqqCUFNJY4AfY3kHU/edit?usp=sharing  #gid=0"",""фіз особи new!relations_name_uo""),7,FALSE)
,
)
))"),"МЕЛЕХОВ Юрій Станіславович")</f>
        <v>МЕЛЕХОВ Юрій Станіславович</v>
      </c>
      <c r="G10957" s="7" t="s">
        <v>10</v>
      </c>
      <c r="H10957" s="7">
        <v>2180</v>
      </c>
      <c r="I10957" s="8" t="str">
        <f ca="1">IFERROR(__xludf.DUMMYFUNCTION("IF
(
G10958=""фізична особа""
,
VLOOKUP(H10958,IMPORTRANGE(""https://docs.google.com/spreadsheets/d/14Bd19lYaqBhU8_DElYkX7l4wRkHqqCUFNJY4AfY3kHU/edit?usp=sharing  #gid=0"",""фіз особи new!relations_name""),6,FALSE)
,
(IF
(
G10958=""юридична особа""
,
VLOO"&amp;"KUP(H10958,IMPORTRANGE(""https://docs.google.com/spreadsheets/d/14Bd19lYaqBhU8_DElYkX7l4wRkHqqCUFNJY4AfY3kHU/edit?usp=sharing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0957" s="7" t="s">
        <v>11</v>
      </c>
    </row>
    <row r="10958" spans="1:10" ht="13.2">
      <c r="A10958" s="7">
        <v>10957</v>
      </c>
      <c r="B10958" s="7">
        <v>1</v>
      </c>
      <c r="C10958" s="7" t="s">
        <v>10</v>
      </c>
      <c r="D10958" s="7">
        <v>17005</v>
      </c>
      <c r="E10958" s="7" t="s">
        <v>11</v>
      </c>
      <c r="F10958" s="8" t="str">
        <f ca="1">IFERROR(__xludf.DUMMYFUNCTION("IF
(
C10959=""фізична особа""
,
VLOOKUP(D10959,IMPORTRANGE(""https://docs.google.com/spreadsheets/d/14Bd19lYaqBhU8_DElYkX7l4wRkHqqCUFNJY4AfY3kHU/edit?usp=sharing  #gid=0"",""фіз особи new!relations_name""),6,FALSE)
,
(IF
(
C10959=""юридична особа""
,
VLOO"&amp;"KUP(D10959,IMPORTRANGE(""https://docs.google.com/spreadsheets/d/14Bd19lYaqBhU8_DElYkX7l4wRkHqqCUFNJY4AfY3kHU/edit?usp=sharing  #gid=0"",""фіз особи new!relations_name_uo""),7,FALSE)
,
)
))"),"МЕЛЕХОВ Юрій Станіславович")</f>
        <v>МЕЛЕХОВ Юрій Станіславович</v>
      </c>
      <c r="G10958" s="7" t="s">
        <v>10</v>
      </c>
      <c r="H10958" s="7">
        <v>4023</v>
      </c>
      <c r="I10958" s="8" t="str">
        <f ca="1">IFERROR(__xludf.DUMMYFUNCTION("IF
(
G10959=""фізична особа""
,
VLOOKUP(H10959,IMPORTRANGE(""https://docs.google.com/spreadsheets/d/14Bd19lYaqBhU8_DElYkX7l4wRkHqqCUFNJY4AfY3kHU/edit?usp=sharing  #gid=0"",""фіз особи new!relations_name""),6,FALSE)
,
(IF
(
G10959=""юридична особа""
,
VLOO"&amp;"KUP(H10959,IMPORTRANGE(""https://docs.google.com/spreadsheets/d/14Bd19lYaqBhU8_DElYkX7l4wRkHqqCUFNJY4AfY3kHU/edit?usp=sharing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0958" s="7" t="s">
        <v>11</v>
      </c>
    </row>
    <row r="10959" spans="1:10" ht="13.2">
      <c r="A10959" s="7">
        <v>10958</v>
      </c>
      <c r="B10959" s="7">
        <v>1</v>
      </c>
      <c r="C10959" s="7" t="s">
        <v>10</v>
      </c>
      <c r="D10959" s="7">
        <v>17006</v>
      </c>
      <c r="E10959" s="7" t="s">
        <v>11</v>
      </c>
      <c r="F10959" s="8" t="str">
        <f ca="1">IFERROR(__xludf.DUMMYFUNCTION("IF
(
C10960=""фізична особа""
,
VLOOKUP(D10960,IMPORTRANGE(""https://docs.google.com/spreadsheets/d/14Bd19lYaqBhU8_DElYkX7l4wRkHqqCUFNJY4AfY3kHU/edit?usp=sharing  #gid=0"",""фіз особи new!relations_name""),6,FALSE)
,
(IF
(
C10960=""юридична особа""
,
VLOO"&amp;"KUP(D10960,IMPORTRANGE(""https://docs.google.com/spreadsheets/d/14Bd19lYaqBhU8_DElYkX7l4wRkHqqCUFNJY4AfY3kHU/edit?usp=sharing  #gid=0"",""фіз особи new!relations_name_uo""),7,FALSE)
,
)
))"),"ЛЕГОСТАЄВА Світлана Сергіївна")</f>
        <v>ЛЕГОСТАЄВА Світлана Сергіївна</v>
      </c>
      <c r="G10959" s="7" t="s">
        <v>10</v>
      </c>
      <c r="H10959" s="7">
        <v>2178</v>
      </c>
      <c r="I10959" s="8" t="str">
        <f ca="1">IFERROR(__xludf.DUMMYFUNCTION("IF
(
G10960=""фізична особа""
,
VLOOKUP(H10960,IMPORTRANGE(""https://docs.google.com/spreadsheets/d/14Bd19lYaqBhU8_DElYkX7l4wRkHqqCUFNJY4AfY3kHU/edit?usp=sharing  #gid=0"",""фіз особи new!relations_name""),6,FALSE)
,
(IF
(
G10960=""юридична особа""
,
VLOO"&amp;"KUP(H10960,IMPORTRANGE(""https://docs.google.com/spreadsheets/d/14Bd19lYaqBhU8_DElYkX7l4wRkHqqCUFNJY4AfY3kHU/edit?usp=sharing  #gid=0"",""фіз особи new!relations_name_uo""),7,FALSE)
,
)
))"),"ЄВДОКИМОВ Андрій Сергійович")</f>
        <v>ЄВДОКИМОВ Андрій Сергійович</v>
      </c>
      <c r="J10959" s="7" t="s">
        <v>11</v>
      </c>
    </row>
    <row r="10960" spans="1:10" ht="13.2">
      <c r="A10960" s="7">
        <v>10959</v>
      </c>
      <c r="B10960" s="7">
        <v>1</v>
      </c>
      <c r="C10960" s="7" t="s">
        <v>10</v>
      </c>
      <c r="D10960" s="7">
        <v>17006</v>
      </c>
      <c r="E10960" s="7" t="s">
        <v>11</v>
      </c>
      <c r="F10960" s="8" t="str">
        <f ca="1">IFERROR(__xludf.DUMMYFUNCTION("IF
(
C10961=""фізична особа""
,
VLOOKUP(D10961,IMPORTRANGE(""https://docs.google.com/spreadsheets/d/14Bd19lYaqBhU8_DElYkX7l4wRkHqqCUFNJY4AfY3kHU/edit?usp=sharing  #gid=0"",""фіз особи new!relations_name""),6,FALSE)
,
(IF
(
C10961=""юридична особа""
,
VLOO"&amp;"KUP(D10961,IMPORTRANGE(""https://docs.google.com/spreadsheets/d/14Bd19lYaqBhU8_DElYkX7l4wRkHqqCUFNJY4AfY3kHU/edit?usp=sharing  #gid=0"",""фіз особи new!relations_name_uo""),7,FALSE)
,
)
))"),"ЛЕГОСТАЄВА Світлана Сергіївна")</f>
        <v>ЛЕГОСТАЄВА Світлана Сергіївна</v>
      </c>
      <c r="G10960" s="7" t="s">
        <v>10</v>
      </c>
      <c r="H10960" s="7">
        <v>17007</v>
      </c>
      <c r="I10960" s="8" t="str">
        <f ca="1">IFERROR(__xludf.DUMMYFUNCTION("IF
(
G10961=""фізична особа""
,
VLOOKUP(H10961,IMPORTRANGE(""https://docs.google.com/spreadsheets/d/14Bd19lYaqBhU8_DElYkX7l4wRkHqqCUFNJY4AfY3kHU/edit?usp=sharing  #gid=0"",""фіз особи new!relations_name""),6,FALSE)
,
(IF
(
G10961=""юридична особа""
,
VLOO"&amp;"KUP(H10961,IMPORTRANGE(""https://docs.google.com/spreadsheets/d/14Bd19lYaqBhU8_DElYkX7l4wRkHqqCUFNJY4AfY3kHU/edit?usp=sharing  #gid=0"",""фіз особи new!relations_name_uo""),7,FALSE)
,
)
))"),"ОПАНАСЕНКО Всеволод Юрійович")</f>
        <v>ОПАНАСЕНКО Всеволод Юрійович</v>
      </c>
      <c r="J10960" s="7" t="s">
        <v>11</v>
      </c>
    </row>
    <row r="10961" spans="1:10" ht="13.2">
      <c r="A10961" s="7">
        <v>10960</v>
      </c>
      <c r="B10961" s="7">
        <v>1</v>
      </c>
      <c r="C10961" s="7" t="s">
        <v>10</v>
      </c>
      <c r="D10961" s="7">
        <v>17006</v>
      </c>
      <c r="E10961" s="7" t="s">
        <v>11</v>
      </c>
      <c r="F10961" s="8" t="str">
        <f ca="1">IFERROR(__xludf.DUMMYFUNCTION("IF
(
C10962=""фізична особа""
,
VLOOKUP(D10962,IMPORTRANGE(""https://docs.google.com/spreadsheets/d/14Bd19lYaqBhU8_DElYkX7l4wRkHqqCUFNJY4AfY3kHU/edit?usp=sharing  #gid=0"",""фіз особи new!relations_name""),6,FALSE)
,
(IF
(
C10962=""юридична особа""
,
VLOO"&amp;"KUP(D10962,IMPORTRANGE(""https://docs.google.com/spreadsheets/d/14Bd19lYaqBhU8_DElYkX7l4wRkHqqCUFNJY4AfY3kHU/edit?usp=sharing  #gid=0"",""фіз особи new!relations_name_uo""),7,FALSE)
,
)
))"),"ЛЕГОСТАЄВА Світлана Сергіївна")</f>
        <v>ЛЕГОСТАЄВА Світлана Сергіївна</v>
      </c>
      <c r="G10961" s="7" t="s">
        <v>10</v>
      </c>
      <c r="H10961" s="7">
        <v>23622</v>
      </c>
      <c r="I10961" s="8" t="str">
        <f ca="1">IFERROR(__xludf.DUMMYFUNCTION("IF
(
G10962=""фізична особа""
,
VLOOKUP(H10962,IMPORTRANGE(""https://docs.google.com/spreadsheets/d/14Bd19lYaqBhU8_DElYkX7l4wRkHqqCUFNJY4AfY3kHU/edit?usp=sharing  #gid=0"",""фіз особи new!relations_name""),6,FALSE)
,
(IF
(
G10962=""юридична особа""
,
VLOO"&amp;"KUP(H10962,IMPORTRANGE(""https://docs.google.com/spreadsheets/d/14Bd19lYaqBhU8_DElYkX7l4wRkHqqCUFNJY4AfY3kHU/edit?usp=sharing  #gid=0"",""фіз особи new!relations_name_uo""),7,FALSE)
,
)
))"),"ТИТОВ Руслан Вадимович")</f>
        <v>ТИТОВ Руслан Вадимович</v>
      </c>
      <c r="J10961" s="7" t="s">
        <v>11</v>
      </c>
    </row>
    <row r="10962" spans="1:10" ht="13.2">
      <c r="A10962" s="7">
        <v>10961</v>
      </c>
      <c r="B10962" s="7">
        <v>1</v>
      </c>
      <c r="C10962" s="7" t="s">
        <v>10</v>
      </c>
      <c r="D10962" s="7">
        <v>17007</v>
      </c>
      <c r="E10962" s="7" t="s">
        <v>11</v>
      </c>
      <c r="F10962" s="8" t="str">
        <f ca="1">IFERROR(__xludf.DUMMYFUNCTION("IF
(
C10963=""фізична особа""
,
VLOOKUP(D10963,IMPORTRANGE(""https://docs.google.com/spreadsheets/d/14Bd19lYaqBhU8_DElYkX7l4wRkHqqCUFNJY4AfY3kHU/edit?usp=sharing  #gid=0"",""фіз особи new!relations_name""),6,FALSE)
,
(IF
(
C10963=""юридична особа""
,
VLOO"&amp;"KUP(D10963,IMPORTRANGE(""https://docs.google.com/spreadsheets/d/14Bd19lYaqBhU8_DElYkX7l4wRkHqqCUFNJY4AfY3kHU/edit?usp=sharing  #gid=0"",""фіз особи new!relations_name_uo""),7,FALSE)
,
)
))"),"ОПАНАСЕНКО Всеволод Юрійович")</f>
        <v>ОПАНАСЕНКО Всеволод Юрійович</v>
      </c>
      <c r="G10962" s="7" t="s">
        <v>10</v>
      </c>
      <c r="H10962" s="7">
        <v>2178</v>
      </c>
      <c r="I10962" s="8" t="str">
        <f ca="1">IFERROR(__xludf.DUMMYFUNCTION("IF
(
G10963=""фізична особа""
,
VLOOKUP(H10963,IMPORTRANGE(""https://docs.google.com/spreadsheets/d/14Bd19lYaqBhU8_DElYkX7l4wRkHqqCUFNJY4AfY3kHU/edit?usp=sharing  #gid=0"",""фіз особи new!relations_name""),6,FALSE)
,
(IF
(
G10963=""юридична особа""
,
VLOO"&amp;"KUP(H10963,IMPORTRANGE(""https://docs.google.com/spreadsheets/d/14Bd19lYaqBhU8_DElYkX7l4wRkHqqCUFNJY4AfY3kHU/edit?usp=sharing  #gid=0"",""фіз особи new!relations_name_uo""),7,FALSE)
,
)
))"),"ЄВДОКИМОВ Андрій Сергійович")</f>
        <v>ЄВДОКИМОВ Андрій Сергійович</v>
      </c>
      <c r="J10962" s="7" t="s">
        <v>11</v>
      </c>
    </row>
    <row r="10963" spans="1:10" ht="13.2">
      <c r="A10963" s="7">
        <v>10962</v>
      </c>
      <c r="B10963" s="7">
        <v>1</v>
      </c>
      <c r="C10963" s="7" t="s">
        <v>10</v>
      </c>
      <c r="D10963" s="7">
        <v>17007</v>
      </c>
      <c r="E10963" s="7" t="s">
        <v>11</v>
      </c>
      <c r="F10963" s="8" t="str">
        <f ca="1">IFERROR(__xludf.DUMMYFUNCTION("IF
(
C10964=""фізична особа""
,
VLOOKUP(D10964,IMPORTRANGE(""https://docs.google.com/spreadsheets/d/14Bd19lYaqBhU8_DElYkX7l4wRkHqqCUFNJY4AfY3kHU/edit?usp=sharing  #gid=0"",""фіз особи new!relations_name""),6,FALSE)
,
(IF
(
C10964=""юридична особа""
,
VLOO"&amp;"KUP(D10964,IMPORTRANGE(""https://docs.google.com/spreadsheets/d/14Bd19lYaqBhU8_DElYkX7l4wRkHqqCUFNJY4AfY3kHU/edit?usp=sharing  #gid=0"",""фіз особи new!relations_name_uo""),7,FALSE)
,
)
))"),"ОПАНАСЕНКО Всеволод Юрійович")</f>
        <v>ОПАНАСЕНКО Всеволод Юрійович</v>
      </c>
      <c r="G10963" s="7" t="s">
        <v>10</v>
      </c>
      <c r="H10963" s="7">
        <v>17006</v>
      </c>
      <c r="I10963" s="8" t="str">
        <f ca="1">IFERROR(__xludf.DUMMYFUNCTION("IF
(
G10964=""фізична особа""
,
VLOOKUP(H10964,IMPORTRANGE(""https://docs.google.com/spreadsheets/d/14Bd19lYaqBhU8_DElYkX7l4wRkHqqCUFNJY4AfY3kHU/edit?usp=sharing  #gid=0"",""фіз особи new!relations_name""),6,FALSE)
,
(IF
(
G10964=""юридична особа""
,
VLOO"&amp;"KUP(H10964,IMPORTRANGE(""https://docs.google.com/spreadsheets/d/14Bd19lYaqBhU8_DElYkX7l4wRkHqqCUFNJY4AfY3kHU/edit?usp=sharing  #gid=0"",""фіз особи new!relations_name_uo""),7,FALSE)
,
)
))"),"ЛЕГОСТАЄВА Світлана Сергіївна")</f>
        <v>ЛЕГОСТАЄВА Світлана Сергіївна</v>
      </c>
      <c r="J10963" s="7" t="s">
        <v>11</v>
      </c>
    </row>
    <row r="10964" spans="1:10" ht="13.2">
      <c r="A10964" s="7">
        <v>10963</v>
      </c>
      <c r="B10964" s="7">
        <v>1</v>
      </c>
      <c r="C10964" s="7" t="s">
        <v>10</v>
      </c>
      <c r="D10964" s="7">
        <v>17007</v>
      </c>
      <c r="E10964" s="7" t="s">
        <v>11</v>
      </c>
      <c r="F10964" s="8" t="str">
        <f ca="1">IFERROR(__xludf.DUMMYFUNCTION("IF
(
C10965=""фізична особа""
,
VLOOKUP(D10965,IMPORTRANGE(""https://docs.google.com/spreadsheets/d/14Bd19lYaqBhU8_DElYkX7l4wRkHqqCUFNJY4AfY3kHU/edit?usp=sharing  #gid=0"",""фіз особи new!relations_name""),6,FALSE)
,
(IF
(
C10965=""юридична особа""
,
VLOO"&amp;"KUP(D10965,IMPORTRANGE(""https://docs.google.com/spreadsheets/d/14Bd19lYaqBhU8_DElYkX7l4wRkHqqCUFNJY4AfY3kHU/edit?usp=sharing  #gid=0"",""фіз особи new!relations_name_uo""),7,FALSE)
,
)
))"),"ОПАНАСЕНКО Всеволод Юрійович")</f>
        <v>ОПАНАСЕНКО Всеволод Юрійович</v>
      </c>
      <c r="G10964" s="7" t="s">
        <v>10</v>
      </c>
      <c r="H10964" s="7">
        <v>23622</v>
      </c>
      <c r="I10964" s="8" t="str">
        <f ca="1">IFERROR(__xludf.DUMMYFUNCTION("IF
(
G10965=""фізична особа""
,
VLOOKUP(H10965,IMPORTRANGE(""https://docs.google.com/spreadsheets/d/14Bd19lYaqBhU8_DElYkX7l4wRkHqqCUFNJY4AfY3kHU/edit?usp=sharing  #gid=0"",""фіз особи new!relations_name""),6,FALSE)
,
(IF
(
G10965=""юридична особа""
,
VLOO"&amp;"KUP(H10965,IMPORTRANGE(""https://docs.google.com/spreadsheets/d/14Bd19lYaqBhU8_DElYkX7l4wRkHqqCUFNJY4AfY3kHU/edit?usp=sharing  #gid=0"",""фіз особи new!relations_name_uo""),7,FALSE)
,
)
))"),"ТИТОВ Руслан Вадимович")</f>
        <v>ТИТОВ Руслан Вадимович</v>
      </c>
      <c r="J10964" s="7" t="s">
        <v>11</v>
      </c>
    </row>
    <row r="10965" spans="1:10" ht="13.2">
      <c r="A10965" s="7">
        <v>10964</v>
      </c>
      <c r="B10965" s="7">
        <v>1</v>
      </c>
      <c r="C10965" s="7" t="s">
        <v>10</v>
      </c>
      <c r="D10965" s="7">
        <v>17009</v>
      </c>
      <c r="E10965" s="7" t="s">
        <v>14</v>
      </c>
      <c r="F10965" s="8" t="str">
        <f ca="1">IFERROR(__xludf.DUMMYFUNCTION("IF
(
C10966=""фізична особа""
,
VLOOKUP(D10966,IMPORTRANGE(""https://docs.google.com/spreadsheets/d/14Bd19lYaqBhU8_DElYkX7l4wRkHqqCUFNJY4AfY3kHU/edit?usp=sharing  #gid=0"",""фіз особи new!relations_name""),6,FALSE)
,
(IF
(
C10966=""юридична особа""
,
VLOO"&amp;"KUP(D10966,IMPORTRANGE(""https://docs.google.com/spreadsheets/d/14Bd19lYaqBhU8_DElYkX7l4wRkHqqCUFNJY4AfY3kHU/edit?usp=sharing  #gid=0"",""фіз особи new!relations_name_uo""),7,FALSE)
,
)
))"),"ШАРІПОВА Ганна Миколаївна")</f>
        <v>ШАРІПОВА Ганна Миколаївна</v>
      </c>
      <c r="G10965" s="7" t="s">
        <v>10</v>
      </c>
      <c r="H10965" s="7">
        <v>0</v>
      </c>
      <c r="I10965" s="8" t="str">
        <f ca="1">IFERROR(__xludf.DUMMYFUNCTION("IF
(
G10966=""фізична особа""
,
VLOOKUP(H10966,IMPORTRANGE(""https://docs.google.com/spreadsheets/d/14Bd19lYaqBhU8_DElYkX7l4wRkHqqCUFNJY4AfY3kHU/edit?usp=sharing  #gid=0"",""фіз особи new!relations_name""),6,FALSE)
,
(IF
(
G10966=""юридична особа""
,
VLOO"&amp;"KUP(H10966,IMPORTRANGE(""https://docs.google.com/spreadsheets/d/14Bd19lYaqBhU8_DElYkX7l4wRkHqqCUFNJY4AfY3kHU/edit?usp=sharing  #gid=0"",""фіз особи new!relations_name_uo""),7,FALSE)
,
)
))"),"#N/A")</f>
        <v>#N/A</v>
      </c>
      <c r="J10965" s="7" t="s">
        <v>15</v>
      </c>
    </row>
    <row r="10966" spans="1:10" ht="13.2">
      <c r="A10966" s="7">
        <v>10965</v>
      </c>
      <c r="B10966" s="7">
        <v>1</v>
      </c>
      <c r="C10966" s="7" t="s">
        <v>10</v>
      </c>
      <c r="D10966" s="7">
        <v>17009</v>
      </c>
      <c r="E10966" s="7" t="s">
        <v>28</v>
      </c>
      <c r="F10966" s="8" t="str">
        <f ca="1">IFERROR(__xludf.DUMMYFUNCTION("IF
(
C10967=""фізична особа""
,
VLOOKUP(D10967,IMPORTRANGE(""https://docs.google.com/spreadsheets/d/14Bd19lYaqBhU8_DElYkX7l4wRkHqqCUFNJY4AfY3kHU/edit?usp=sharing  #gid=0"",""фіз особи new!relations_name""),6,FALSE)
,
(IF
(
C10967=""юридична особа""
,
VLOO"&amp;"KUP(D10967,IMPORTRANGE(""https://docs.google.com/spreadsheets/d/14Bd19lYaqBhU8_DElYkX7l4wRkHqqCUFNJY4AfY3kHU/edit?usp=sharing  #gid=0"",""фіз особи new!relations_name_uo""),7,FALSE)
,
)
))"),"ШАРІПОВА Ганна Миколаївна")</f>
        <v>ШАРІПОВА Ганна Миколаївна</v>
      </c>
      <c r="G10966" s="7" t="s">
        <v>10</v>
      </c>
      <c r="H10966" s="7">
        <v>150</v>
      </c>
      <c r="I10966" s="8" t="str">
        <f ca="1">IFERROR(__xludf.DUMMYFUNCTION("IF
(
G10967=""фізична особа""
,
VLOOKUP(H10967,IMPORTRANGE(""https://docs.google.com/spreadsheets/d/14Bd19lYaqBhU8_DElYkX7l4wRkHqqCUFNJY4AfY3kHU/edit?usp=sharing  #gid=0"",""фіз особи new!relations_name""),6,FALSE)
,
(IF
(
G10967=""юридична особа""
,
VLOO"&amp;"KUP(H10967,IMPORTRANGE(""https://docs.google.com/spreadsheets/d/14Bd19lYaqBhU8_DElYkX7l4wRkHqqCUFNJY4AfY3kHU/edit?usp=sharing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966" s="7" t="s">
        <v>29</v>
      </c>
    </row>
    <row r="10967" spans="1:10" ht="13.2">
      <c r="A10967" s="7">
        <v>10966</v>
      </c>
      <c r="B10967" s="7">
        <v>1</v>
      </c>
      <c r="C10967" s="7" t="s">
        <v>10</v>
      </c>
      <c r="D10967" s="7">
        <v>17009</v>
      </c>
      <c r="E10967" s="7" t="s">
        <v>11</v>
      </c>
      <c r="F10967" s="8" t="str">
        <f ca="1">IFERROR(__xludf.DUMMYFUNCTION("IF
(
C10968=""фізична особа""
,
VLOOKUP(D10968,IMPORTRANGE(""https://docs.google.com/spreadsheets/d/14Bd19lYaqBhU8_DElYkX7l4wRkHqqCUFNJY4AfY3kHU/edit?usp=sharing  #gid=0"",""фіз особи new!relations_name""),6,FALSE)
,
(IF
(
C10968=""юридична особа""
,
VLOO"&amp;"KUP(D10968,IMPORTRANGE(""https://docs.google.com/spreadsheets/d/14Bd19lYaqBhU8_DElYkX7l4wRkHqqCUFNJY4AfY3kHU/edit?usp=sharing  #gid=0"",""фіз особи new!relations_name_uo""),7,FALSE)
,
)
))"),"ШАРІПОВА Ганна Миколаївна")</f>
        <v>ШАРІПОВА Ганна Миколаївна</v>
      </c>
      <c r="G10967" s="7" t="s">
        <v>10</v>
      </c>
      <c r="H10967" s="7">
        <v>16411</v>
      </c>
      <c r="I10967" s="8" t="str">
        <f ca="1">IFERROR(__xludf.DUMMYFUNCTION("IF
(
G10968=""фізична особа""
,
VLOOKUP(H10968,IMPORTRANGE(""https://docs.google.com/spreadsheets/d/14Bd19lYaqBhU8_DElYkX7l4wRkHqqCUFNJY4AfY3kHU/edit?usp=sharing  #gid=0"",""фіз особи new!relations_name""),6,FALSE)
,
(IF
(
G10968=""юридична особа""
,
VLOO"&amp;"KUP(H10968,IMPORTRANGE(""https://docs.google.com/spreadsheets/d/14Bd19lYaqBhU8_DElYkX7l4wRkHqqCUFNJY4AfY3kHU/edit?usp=sharing  #gid=0"",""фіз особи new!relations_name_uo""),7,FALSE)
,
)
))"),"САХНЕНКО Сергій Степанович")</f>
        <v>САХНЕНКО Сергій Степанович</v>
      </c>
      <c r="J10967" s="7" t="s">
        <v>11</v>
      </c>
    </row>
    <row r="10968" spans="1:10" ht="13.2">
      <c r="A10968" s="7">
        <v>10967</v>
      </c>
      <c r="B10968" s="7">
        <v>1</v>
      </c>
      <c r="C10968" s="7" t="s">
        <v>10</v>
      </c>
      <c r="D10968" s="7">
        <v>17010</v>
      </c>
      <c r="E10968" s="7" t="s">
        <v>11</v>
      </c>
      <c r="F10968" s="8" t="str">
        <f ca="1">IFERROR(__xludf.DUMMYFUNCTION("IF
(
C10969=""фізична особа""
,
VLOOKUP(D10969,IMPORTRANGE(""https://docs.google.com/spreadsheets/d/14Bd19lYaqBhU8_DElYkX7l4wRkHqqCUFNJY4AfY3kHU/edit?usp=sharing  #gid=0"",""фіз особи new!relations_name""),6,FALSE)
,
(IF
(
C10969=""юридична особа""
,
VLOO"&amp;"KUP(D10969,IMPORTRANGE(""https://docs.google.com/spreadsheets/d/14Bd19lYaqBhU8_DElYkX7l4wRkHqqCUFNJY4AfY3kHU/edit?usp=sharing  #gid=0"",""фіз особи new!relations_name_uo""),7,FALSE)
,
)
))"),"ДЕМИДОВ Олексій Володимирович")</f>
        <v>ДЕМИДОВ Олексій Володимирович</v>
      </c>
      <c r="G10968" s="7" t="s">
        <v>10</v>
      </c>
      <c r="H10968" s="7">
        <v>943</v>
      </c>
      <c r="I10968" s="8" t="str">
        <f ca="1">IFERROR(__xludf.DUMMYFUNCTION("IF
(
G10969=""фізична особа""
,
VLOOKUP(H10969,IMPORTRANGE(""https://docs.google.com/spreadsheets/d/14Bd19lYaqBhU8_DElYkX7l4wRkHqqCUFNJY4AfY3kHU/edit?usp=sharing  #gid=0"",""фіз особи new!relations_name""),6,FALSE)
,
(IF
(
G10969=""юридична особа""
,
VLOO"&amp;"KUP(H10969,IMPORTRANGE(""https://docs.google.com/spreadsheets/d/14Bd19lYaqBhU8_DElYkX7l4wRkHqqCUFNJY4AfY3kHU/edit?usp=sharing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968" s="7" t="s">
        <v>11</v>
      </c>
    </row>
    <row r="10969" spans="1:10" ht="13.2">
      <c r="A10969" s="7">
        <v>10968</v>
      </c>
      <c r="B10969" s="7">
        <v>1</v>
      </c>
      <c r="C10969" s="7" t="s">
        <v>10</v>
      </c>
      <c r="D10969" s="7">
        <v>17011</v>
      </c>
      <c r="E10969" s="7" t="s">
        <v>11</v>
      </c>
      <c r="F10969" s="8" t="str">
        <f ca="1">IFERROR(__xludf.DUMMYFUNCTION("IF
(
C10970=""фізична особа""
,
VLOOKUP(D10970,IMPORTRANGE(""https://docs.google.com/spreadsheets/d/14Bd19lYaqBhU8_DElYkX7l4wRkHqqCUFNJY4AfY3kHU/edit?usp=sharing  #gid=0"",""фіз особи new!relations_name""),6,FALSE)
,
(IF
(
C10970=""юридична особа""
,
VLOO"&amp;"KUP(D10970,IMPORTRANGE(""https://docs.google.com/spreadsheets/d/14Bd19lYaqBhU8_DElYkX7l4wRkHqqCUFNJY4AfY3kHU/edit?usp=sharing  #gid=0"",""фіз особи new!relations_name_uo""),7,FALSE)
,
)
))"),"КОНОСОВ Сергій Миколайович")</f>
        <v>КОНОСОВ Сергій Миколайович</v>
      </c>
      <c r="G10969" s="7" t="s">
        <v>10</v>
      </c>
      <c r="H10969" s="7">
        <v>943</v>
      </c>
      <c r="I10969" s="8" t="str">
        <f ca="1">IFERROR(__xludf.DUMMYFUNCTION("IF
(
G10970=""фізична особа""
,
VLOOKUP(H10970,IMPORTRANGE(""https://docs.google.com/spreadsheets/d/14Bd19lYaqBhU8_DElYkX7l4wRkHqqCUFNJY4AfY3kHU/edit?usp=sharing  #gid=0"",""фіз особи new!relations_name""),6,FALSE)
,
(IF
(
G10970=""юридична особа""
,
VLOO"&amp;"KUP(H10970,IMPORTRANGE(""https://docs.google.com/spreadsheets/d/14Bd19lYaqBhU8_DElYkX7l4wRkHqqCUFNJY4AfY3kHU/edit?usp=sharing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969" s="7" t="s">
        <v>11</v>
      </c>
    </row>
    <row r="10970" spans="1:10" ht="13.2">
      <c r="A10970" s="7">
        <v>10969</v>
      </c>
      <c r="B10970" s="7">
        <v>1</v>
      </c>
      <c r="C10970" s="7" t="s">
        <v>10</v>
      </c>
      <c r="D10970" s="7">
        <v>17012</v>
      </c>
      <c r="E10970" s="7" t="s">
        <v>11</v>
      </c>
      <c r="F10970" s="8" t="str">
        <f ca="1">IFERROR(__xludf.DUMMYFUNCTION("IF
(
C10971=""фізична особа""
,
VLOOKUP(D10971,IMPORTRANGE(""https://docs.google.com/spreadsheets/d/14Bd19lYaqBhU8_DElYkX7l4wRkHqqCUFNJY4AfY3kHU/edit?usp=sharing  #gid=0"",""фіз особи new!relations_name""),6,FALSE)
,
(IF
(
C10971=""юридична особа""
,
VLOO"&amp;"KUP(D10971,IMPORTRANGE(""https://docs.google.com/spreadsheets/d/14Bd19lYaqBhU8_DElYkX7l4wRkHqqCUFNJY4AfY3kHU/edit?usp=sharing  #gid=0"",""фіз особи new!relations_name_uo""),7,FALSE)
,
)
))"),"КОВАЛЬ Артур Альбертович")</f>
        <v>КОВАЛЬ Артур Альбертович</v>
      </c>
      <c r="G10970" s="7" t="s">
        <v>10</v>
      </c>
      <c r="H10970" s="7">
        <v>943</v>
      </c>
      <c r="I10970" s="8" t="str">
        <f ca="1">IFERROR(__xludf.DUMMYFUNCTION("IF
(
G10971=""фізична особа""
,
VLOOKUP(H10971,IMPORTRANGE(""https://docs.google.com/spreadsheets/d/14Bd19lYaqBhU8_DElYkX7l4wRkHqqCUFNJY4AfY3kHU/edit?usp=sharing  #gid=0"",""фіз особи new!relations_name""),6,FALSE)
,
(IF
(
G10971=""юридична особа""
,
VLOO"&amp;"KUP(H10971,IMPORTRANGE(""https://docs.google.com/spreadsheets/d/14Bd19lYaqBhU8_DElYkX7l4wRkHqqCUFNJY4AfY3kHU/edit?usp=sharing  #gid=0"",""фіз особи new!relations_name_uo""),7,FALSE)
,
)
))"),"СЛЮСАР Юрій Борисович")</f>
        <v>СЛЮСАР Юрій Борисович</v>
      </c>
      <c r="J10970" s="7" t="s">
        <v>11</v>
      </c>
    </row>
    <row r="10971" spans="1:10" ht="13.2">
      <c r="A10971" s="7">
        <v>10970</v>
      </c>
      <c r="B10971" s="7">
        <v>1</v>
      </c>
      <c r="C10971" s="7" t="s">
        <v>10</v>
      </c>
      <c r="D10971" s="7">
        <v>17013</v>
      </c>
      <c r="E10971" s="7" t="s">
        <v>11</v>
      </c>
      <c r="F10971" s="8" t="str">
        <f ca="1">IFERROR(__xludf.DUMMYFUNCTION("IF
(
C10972=""фізична особа""
,
VLOOKUP(D10972,IMPORTRANGE(""https://docs.google.com/spreadsheets/d/14Bd19lYaqBhU8_DElYkX7l4wRkHqqCUFNJY4AfY3kHU/edit?usp=sharing  #gid=0"",""фіз особи new!relations_name""),6,FALSE)
,
(IF
(
C10972=""юридична особа""
,
VLOO"&amp;"KUP(D10972,IMPORTRANGE(""https://docs.google.com/spreadsheets/d/14Bd19lYaqBhU8_DElYkX7l4wRkHqqCUFNJY4AfY3kHU/edit?usp=sharing  #gid=0"",""фіз особи new!relations_name_uo""),7,FALSE)
,
)
))"),"ДМИТРІЄВ Михайло Аркадійович")</f>
        <v>ДМИТРІЄВ Михайло Аркадійович</v>
      </c>
      <c r="G10971" s="7" t="s">
        <v>10</v>
      </c>
      <c r="H10971" s="7">
        <v>975</v>
      </c>
      <c r="I10971" s="8" t="str">
        <f ca="1">IFERROR(__xludf.DUMMYFUNCTION("IF
(
G10972=""фізична особа""
,
VLOOKUP(H10972,IMPORTRANGE(""https://docs.google.com/spreadsheets/d/14Bd19lYaqBhU8_DElYkX7l4wRkHqqCUFNJY4AfY3kHU/edit?usp=sharing  #gid=0"",""фіз особи new!relations_name""),6,FALSE)
,
(IF
(
G10972=""юридична особа""
,
VLOO"&amp;"KUP(H10972,IMPORTRANGE(""https://docs.google.com/spreadsheets/d/14Bd19lYaqBhU8_DElYkX7l4wRkHqqCUFNJY4AfY3kHU/edit?usp=sharing  #gid=0"",""фіз особи new!relations_name_uo""),7,FALSE)
,
)
))"),"ОБНОСОВ Борис Вікторович")</f>
        <v>ОБНОСОВ Борис Вікторович</v>
      </c>
      <c r="J10971" s="7" t="s">
        <v>11</v>
      </c>
    </row>
    <row r="10972" spans="1:10" ht="13.2">
      <c r="A10972" s="7">
        <v>10971</v>
      </c>
      <c r="B10972" s="7">
        <v>1</v>
      </c>
      <c r="C10972" s="7" t="s">
        <v>10</v>
      </c>
      <c r="D10972" s="7">
        <v>17014</v>
      </c>
      <c r="E10972" s="7" t="s">
        <v>11</v>
      </c>
      <c r="F10972" s="8" t="str">
        <f ca="1">IFERROR(__xludf.DUMMYFUNCTION("IF
(
C10973=""фізична особа""
,
VLOOKUP(D10973,IMPORTRANGE(""https://docs.google.com/spreadsheets/d/14Bd19lYaqBhU8_DElYkX7l4wRkHqqCUFNJY4AfY3kHU/edit?usp=sharing  #gid=0"",""фіз особи new!relations_name""),6,FALSE)
,
(IF
(
C10973=""юридична особа""
,
VLOO"&amp;"KUP(D10973,IMPORTRANGE(""https://docs.google.com/spreadsheets/d/14Bd19lYaqBhU8_DElYkX7l4wRkHqqCUFNJY4AfY3kHU/edit?usp=sharing  #gid=0"",""фіз особи new!relations_name_uo""),7,FALSE)
,
)
))"),"НАГІРНИЙ Ігор Анатолійович")</f>
        <v>НАГІРНИЙ Ігор Анатолійович</v>
      </c>
      <c r="G10972" s="7" t="s">
        <v>10</v>
      </c>
      <c r="H10972" s="7">
        <v>975</v>
      </c>
      <c r="I10972" s="8" t="str">
        <f ca="1">IFERROR(__xludf.DUMMYFUNCTION("IF
(
G10973=""фізична особа""
,
VLOOKUP(H10973,IMPORTRANGE(""https://docs.google.com/spreadsheets/d/14Bd19lYaqBhU8_DElYkX7l4wRkHqqCUFNJY4AfY3kHU/edit?usp=sharing  #gid=0"",""фіз особи new!relations_name""),6,FALSE)
,
(IF
(
G10973=""юридична особа""
,
VLOO"&amp;"KUP(H10973,IMPORTRANGE(""https://docs.google.com/spreadsheets/d/14Bd19lYaqBhU8_DElYkX7l4wRkHqqCUFNJY4AfY3kHU/edit?usp=sharing  #gid=0"",""фіз особи new!relations_name_uo""),7,FALSE)
,
)
))"),"ОБНОСОВ Борис Вікторович")</f>
        <v>ОБНОСОВ Борис Вікторович</v>
      </c>
      <c r="J10972" s="7" t="s">
        <v>11</v>
      </c>
    </row>
    <row r="10973" spans="1:10" ht="13.2">
      <c r="A10973" s="7">
        <v>10972</v>
      </c>
      <c r="B10973" s="7">
        <v>1</v>
      </c>
      <c r="C10973" s="7" t="s">
        <v>10</v>
      </c>
      <c r="D10973" s="7">
        <v>17015</v>
      </c>
      <c r="E10973" s="7" t="s">
        <v>11</v>
      </c>
      <c r="F10973" s="8" t="str">
        <f ca="1">IFERROR(__xludf.DUMMYFUNCTION("IF
(
C10974=""фізична особа""
,
VLOOKUP(D10974,IMPORTRANGE(""https://docs.google.com/spreadsheets/d/14Bd19lYaqBhU8_DElYkX7l4wRkHqqCUFNJY4AfY3kHU/edit?usp=sharing  #gid=0"",""фіз особи new!relations_name""),6,FALSE)
,
(IF
(
C10974=""юридична особа""
,
VLOO"&amp;"KUP(D10974,IMPORTRANGE(""https://docs.google.com/spreadsheets/d/14Bd19lYaqBhU8_DElYkX7l4wRkHqqCUFNJY4AfY3kHU/edit?usp=sharing  #gid=0"",""фіз особи new!relations_name_uo""),7,FALSE)
,
)
))"),"ЩЕРБІНІН Олександр В'ячеславович")</f>
        <v>ЩЕРБІНІН Олександр В'ячеславович</v>
      </c>
      <c r="G10973" s="7" t="s">
        <v>10</v>
      </c>
      <c r="H10973" s="7">
        <v>5748</v>
      </c>
      <c r="I10973" s="8" t="str">
        <f ca="1">IFERROR(__xludf.DUMMYFUNCTION("IF
(
G10974=""фізична особа""
,
VLOOKUP(H10974,IMPORTRANGE(""https://docs.google.com/spreadsheets/d/14Bd19lYaqBhU8_DElYkX7l4wRkHqqCUFNJY4AfY3kHU/edit?usp=sharing  #gid=0"",""фіз особи new!relations_name""),6,FALSE)
,
(IF
(
G10974=""юридична особа""
,
VLOO"&amp;"KUP(H10974,IMPORTRANGE(""https://docs.google.com/spreadsheets/d/14Bd19lYaqBhU8_DElYkX7l4wRkHqqCUFNJY4AfY3kHU/edit?usp=sharing  #gid=0"",""фіз особи new!relations_name_uo""),7,FALSE)
,
)
))"),"БУЗАКОВ Олександр Сергійович")</f>
        <v>БУЗАКОВ Олександр Сергійович</v>
      </c>
      <c r="J10973" s="7" t="s">
        <v>11</v>
      </c>
    </row>
    <row r="10974" spans="1:10" ht="13.2">
      <c r="A10974" s="7">
        <v>10973</v>
      </c>
      <c r="B10974" s="7">
        <v>1</v>
      </c>
      <c r="C10974" s="7" t="s">
        <v>10</v>
      </c>
      <c r="D10974" s="7">
        <v>17015</v>
      </c>
      <c r="E10974" s="7" t="s">
        <v>28</v>
      </c>
      <c r="F10974" s="8" t="str">
        <f ca="1">IFERROR(__xludf.DUMMYFUNCTION("IF
(
C10975=""фізична особа""
,
VLOOKUP(D10975,IMPORTRANGE(""https://docs.google.com/spreadsheets/d/14Bd19lYaqBhU8_DElYkX7l4wRkHqqCUFNJY4AfY3kHU/edit?usp=sharing  #gid=0"",""фіз особи new!relations_name""),6,FALSE)
,
(IF
(
C10975=""юридична особа""
,
VLOO"&amp;"KUP(D10975,IMPORTRANGE(""https://docs.google.com/spreadsheets/d/14Bd19lYaqBhU8_DElYkX7l4wRkHqqCUFNJY4AfY3kHU/edit?usp=sharing  #gid=0"",""фіз особи new!relations_name_uo""),7,FALSE)
,
)
))"),"ЩЕРБІНІН Олександр В'ячеславович")</f>
        <v>ЩЕРБІНІН Олександр В'ячеславович</v>
      </c>
      <c r="G10974" s="7" t="s">
        <v>10</v>
      </c>
      <c r="H10974" s="7">
        <v>612</v>
      </c>
      <c r="I10974" s="8" t="str">
        <f ca="1">IFERROR(__xludf.DUMMYFUNCTION("IF
(
G10975=""фізична особа""
,
VLOOKUP(H10975,IMPORTRANGE(""https://docs.google.com/spreadsheets/d/14Bd19lYaqBhU8_DElYkX7l4wRkHqqCUFNJY4AfY3kHU/edit?usp=sharing  #gid=0"",""фіз особи new!relations_name""),6,FALSE)
,
(IF
(
G10975=""юридична особа""
,
VLOO"&amp;"KUP(H10975,IMPORTRANGE(""https://docs.google.com/spreadsheets/d/14Bd19lYaqBhU8_DElYkX7l4wRkHqqCUFNJY4AfY3kHU/edit?usp=sharing  #gid=0"",""фіз особи new!relations_name_uo""),7,FALSE)
,
)
))"),"МІХЄЄВ Олександр Олександрович")</f>
        <v>МІХЄЄВ Олександр Олександрович</v>
      </c>
      <c r="J10974" s="7" t="s">
        <v>29</v>
      </c>
    </row>
    <row r="10975" spans="1:10" ht="13.2">
      <c r="A10975" s="7">
        <v>10974</v>
      </c>
      <c r="B10975" s="7">
        <v>1</v>
      </c>
      <c r="C10975" s="7" t="s">
        <v>10</v>
      </c>
      <c r="D10975" s="7">
        <v>17016</v>
      </c>
      <c r="E10975" s="7" t="s">
        <v>11</v>
      </c>
      <c r="F10975" s="8" t="str">
        <f ca="1">IFERROR(__xludf.DUMMYFUNCTION("IF
(
C10976=""фізична особа""
,
VLOOKUP(D10976,IMPORTRANGE(""https://docs.google.com/spreadsheets/d/14Bd19lYaqBhU8_DElYkX7l4wRkHqqCUFNJY4AfY3kHU/edit?usp=sharing  #gid=0"",""фіз особи new!relations_name""),6,FALSE)
,
(IF
(
C10976=""юридична особа""
,
VLOO"&amp;"KUP(D10976,IMPORTRANGE(""https://docs.google.com/spreadsheets/d/14Bd19lYaqBhU8_DElYkX7l4wRkHqqCUFNJY4AfY3kHU/edit?usp=sharing  #gid=0"",""фіз особи new!relations_name_uo""),7,FALSE)
,
)
))"),"ФЕДОРОВ Кирило Валерійович")</f>
        <v>ФЕДОРОВ Кирило Валерійович</v>
      </c>
      <c r="G10975" s="7" t="s">
        <v>10</v>
      </c>
      <c r="H10975" s="7">
        <v>150</v>
      </c>
      <c r="I10975" s="8" t="str">
        <f ca="1">IFERROR(__xludf.DUMMYFUNCTION("IF
(
G10976=""фізична особа""
,
VLOOKUP(H10976,IMPORTRANGE(""https://docs.google.com/spreadsheets/d/14Bd19lYaqBhU8_DElYkX7l4wRkHqqCUFNJY4AfY3kHU/edit?usp=sharing  #gid=0"",""фіз особи new!relations_name""),6,FALSE)
,
(IF
(
G10976=""юридична особа""
,
VLOO"&amp;"KUP(H10976,IMPORTRANGE(""https://docs.google.com/spreadsheets/d/14Bd19lYaqBhU8_DElYkX7l4wRkHqqCUFNJY4AfY3kHU/edit?usp=sharing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975" s="7" t="s">
        <v>11</v>
      </c>
    </row>
    <row r="10976" spans="1:10" ht="13.2">
      <c r="A10976" s="7">
        <v>10975</v>
      </c>
      <c r="B10976" s="7">
        <v>1</v>
      </c>
      <c r="C10976" s="7" t="s">
        <v>10</v>
      </c>
      <c r="D10976" s="7">
        <v>17016</v>
      </c>
      <c r="E10976" s="7" t="s">
        <v>11</v>
      </c>
      <c r="F10976" s="8" t="str">
        <f ca="1">IFERROR(__xludf.DUMMYFUNCTION("IF
(
C10977=""фізична особа""
,
VLOOKUP(D10977,IMPORTRANGE(""https://docs.google.com/spreadsheets/d/14Bd19lYaqBhU8_DElYkX7l4wRkHqqCUFNJY4AfY3kHU/edit?usp=sharing  #gid=0"",""фіз особи new!relations_name""),6,FALSE)
,
(IF
(
C10977=""юридична особа""
,
VLOO"&amp;"KUP(D10977,IMPORTRANGE(""https://docs.google.com/spreadsheets/d/14Bd19lYaqBhU8_DElYkX7l4wRkHqqCUFNJY4AfY3kHU/edit?usp=sharing  #gid=0"",""фіз особи new!relations_name_uo""),7,FALSE)
,
)
))"),"ФЕДОРОВ Кирило Валерійович")</f>
        <v>ФЕДОРОВ Кирило Валерійович</v>
      </c>
      <c r="G10976" s="7" t="s">
        <v>10</v>
      </c>
      <c r="H10976" s="7">
        <v>16411</v>
      </c>
      <c r="I10976" s="8" t="str">
        <f ca="1">IFERROR(__xludf.DUMMYFUNCTION("IF
(
G10977=""фізична особа""
,
VLOOKUP(H10977,IMPORTRANGE(""https://docs.google.com/spreadsheets/d/14Bd19lYaqBhU8_DElYkX7l4wRkHqqCUFNJY4AfY3kHU/edit?usp=sharing  #gid=0"",""фіз особи new!relations_name""),6,FALSE)
,
(IF
(
G10977=""юридична особа""
,
VLOO"&amp;"KUP(H10977,IMPORTRANGE(""https://docs.google.com/spreadsheets/d/14Bd19lYaqBhU8_DElYkX7l4wRkHqqCUFNJY4AfY3kHU/edit?usp=sharing  #gid=0"",""фіз особи new!relations_name_uo""),7,FALSE)
,
)
))"),"САХНЕНКО Сергій Степанович")</f>
        <v>САХНЕНКО Сергій Степанович</v>
      </c>
      <c r="J10976" s="7" t="s">
        <v>11</v>
      </c>
    </row>
    <row r="10977" spans="1:10" ht="13.2">
      <c r="A10977" s="7">
        <v>10976</v>
      </c>
      <c r="B10977" s="7">
        <v>1</v>
      </c>
      <c r="C10977" s="7" t="s">
        <v>10</v>
      </c>
      <c r="D10977" s="7">
        <v>17016</v>
      </c>
      <c r="E10977" s="7" t="s">
        <v>11</v>
      </c>
      <c r="F10977" s="8" t="str">
        <f ca="1">IFERROR(__xludf.DUMMYFUNCTION("IF
(
C10978=""фізична особа""
,
VLOOKUP(D10978,IMPORTRANGE(""https://docs.google.com/spreadsheets/d/14Bd19lYaqBhU8_DElYkX7l4wRkHqqCUFNJY4AfY3kHU/edit?usp=sharing  #gid=0"",""фіз особи new!relations_name""),6,FALSE)
,
(IF
(
C10978=""юридична особа""
,
VLOO"&amp;"KUP(D10978,IMPORTRANGE(""https://docs.google.com/spreadsheets/d/14Bd19lYaqBhU8_DElYkX7l4wRkHqqCUFNJY4AfY3kHU/edit?usp=sharing  #gid=0"",""фіз особи new!relations_name_uo""),7,FALSE)
,
)
))"),"ФЕДОРОВ Кирило Валерійович")</f>
        <v>ФЕДОРОВ Кирило Валерійович</v>
      </c>
      <c r="G10977" s="7" t="s">
        <v>10</v>
      </c>
      <c r="H10977" s="7">
        <v>0</v>
      </c>
      <c r="I10977" s="8" t="str">
        <f ca="1">IFERROR(__xludf.DUMMYFUNCTION("IF
(
G10978=""фізична особа""
,
VLOOKUP(H10978,IMPORTRANGE(""https://docs.google.com/spreadsheets/d/14Bd19lYaqBhU8_DElYkX7l4wRkHqqCUFNJY4AfY3kHU/edit?usp=sharing  #gid=0"",""фіз особи new!relations_name""),6,FALSE)
,
(IF
(
G10978=""юридична особа""
,
VLOO"&amp;"KUP(H10978,IMPORTRANGE(""https://docs.google.com/spreadsheets/d/14Bd19lYaqBhU8_DElYkX7l4wRkHqqCUFNJY4AfY3kHU/edit?usp=sharing  #gid=0"",""фіз особи new!relations_name_uo""),7,FALSE)
,
)
))"),"#N/A")</f>
        <v>#N/A</v>
      </c>
      <c r="J10977" s="7" t="s">
        <v>11</v>
      </c>
    </row>
    <row r="10978" spans="1:10" ht="13.2">
      <c r="A10978" s="7">
        <v>10977</v>
      </c>
      <c r="B10978" s="7">
        <v>1</v>
      </c>
      <c r="C10978" s="7" t="s">
        <v>10</v>
      </c>
      <c r="D10978" s="7">
        <v>17016</v>
      </c>
      <c r="E10978" s="7" t="s">
        <v>11</v>
      </c>
      <c r="F10978" s="8" t="str">
        <f ca="1">IFERROR(__xludf.DUMMYFUNCTION("IF
(
C10979=""фізична особа""
,
VLOOKUP(D10979,IMPORTRANGE(""https://docs.google.com/spreadsheets/d/14Bd19lYaqBhU8_DElYkX7l4wRkHqqCUFNJY4AfY3kHU/edit?usp=sharing  #gid=0"",""фіз особи new!relations_name""),6,FALSE)
,
(IF
(
C10979=""юридична особа""
,
VLOO"&amp;"KUP(D10979,IMPORTRANGE(""https://docs.google.com/spreadsheets/d/14Bd19lYaqBhU8_DElYkX7l4wRkHqqCUFNJY4AfY3kHU/edit?usp=sharing  #gid=0"",""фіз особи new!relations_name_uo""),7,FALSE)
,
)
))"),"ФЕДОРОВ Кирило Валерійович")</f>
        <v>ФЕДОРОВ Кирило Валерійович</v>
      </c>
      <c r="G10978" s="7" t="s">
        <v>10</v>
      </c>
      <c r="H10978" s="7">
        <v>0</v>
      </c>
      <c r="I10978" s="8" t="str">
        <f ca="1">IFERROR(__xludf.DUMMYFUNCTION("IF
(
G10979=""фізична особа""
,
VLOOKUP(H10979,IMPORTRANGE(""https://docs.google.com/spreadsheets/d/14Bd19lYaqBhU8_DElYkX7l4wRkHqqCUFNJY4AfY3kHU/edit?usp=sharing  #gid=0"",""фіз особи new!relations_name""),6,FALSE)
,
(IF
(
G10979=""юридична особа""
,
VLOO"&amp;"KUP(H10979,IMPORTRANGE(""https://docs.google.com/spreadsheets/d/14Bd19lYaqBhU8_DElYkX7l4wRkHqqCUFNJY4AfY3kHU/edit?usp=sharing  #gid=0"",""фіз особи new!relations_name_uo""),7,FALSE)
,
)
))"),"#N/A")</f>
        <v>#N/A</v>
      </c>
      <c r="J10978" s="7" t="s">
        <v>11</v>
      </c>
    </row>
    <row r="10979" spans="1:10" ht="13.2">
      <c r="A10979" s="7">
        <v>10978</v>
      </c>
      <c r="B10979" s="7">
        <v>1</v>
      </c>
      <c r="C10979" s="7" t="s">
        <v>10</v>
      </c>
      <c r="D10979" s="7">
        <v>17017</v>
      </c>
      <c r="E10979" s="7" t="s">
        <v>11</v>
      </c>
      <c r="F10979" s="8" t="str">
        <f ca="1">IFERROR(__xludf.DUMMYFUNCTION("IF
(
C10980=""фізична особа""
,
VLOOKUP(D10980,IMPORTRANGE(""https://docs.google.com/spreadsheets/d/14Bd19lYaqBhU8_DElYkX7l4wRkHqqCUFNJY4AfY3kHU/edit?usp=sharing  #gid=0"",""фіз особи new!relations_name""),6,FALSE)
,
(IF
(
C10980=""юридична особа""
,
VLOO"&amp;"KUP(D10980,IMPORTRANGE(""https://docs.google.com/spreadsheets/d/14Bd19lYaqBhU8_DElYkX7l4wRkHqqCUFNJY4AfY3kHU/edit?usp=sharing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79" s="7" t="s">
        <v>10</v>
      </c>
      <c r="H10979" s="7">
        <v>150</v>
      </c>
      <c r="I10979" s="8" t="str">
        <f ca="1">IFERROR(__xludf.DUMMYFUNCTION("IF
(
G10980=""фізична особа""
,
VLOOKUP(H10980,IMPORTRANGE(""https://docs.google.com/spreadsheets/d/14Bd19lYaqBhU8_DElYkX7l4wRkHqqCUFNJY4AfY3kHU/edit?usp=sharing  #gid=0"",""фіз особи new!relations_name""),6,FALSE)
,
(IF
(
G10980=""юридична особа""
,
VLOO"&amp;"KUP(H10980,IMPORTRANGE(""https://docs.google.com/spreadsheets/d/14Bd19lYaqBhU8_DElYkX7l4wRkHqqCUFNJY4AfY3kHU/edit?usp=sharing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979" s="7" t="s">
        <v>11</v>
      </c>
    </row>
    <row r="10980" spans="1:10" ht="13.2">
      <c r="A10980" s="7">
        <v>10979</v>
      </c>
      <c r="B10980" s="7">
        <v>1</v>
      </c>
      <c r="C10980" s="7" t="s">
        <v>10</v>
      </c>
      <c r="D10980" s="7">
        <v>17017</v>
      </c>
      <c r="E10980" s="7" t="s">
        <v>11</v>
      </c>
      <c r="F10980" s="8" t="str">
        <f ca="1">IFERROR(__xludf.DUMMYFUNCTION("IF
(
C10981=""фізична особа""
,
VLOOKUP(D10981,IMPORTRANGE(""https://docs.google.com/spreadsheets/d/14Bd19lYaqBhU8_DElYkX7l4wRkHqqCUFNJY4AfY3kHU/edit?usp=sharing  #gid=0"",""фіз особи new!relations_name""),6,FALSE)
,
(IF
(
C10981=""юридична особа""
,
VLOO"&amp;"KUP(D10981,IMPORTRANGE(""https://docs.google.com/spreadsheets/d/14Bd19lYaqBhU8_DElYkX7l4wRkHqqCUFNJY4AfY3kHU/edit?usp=sharing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80" s="7" t="s">
        <v>10</v>
      </c>
      <c r="H10980" s="7">
        <v>16411</v>
      </c>
      <c r="I10980" s="8" t="str">
        <f ca="1">IFERROR(__xludf.DUMMYFUNCTION("IF
(
G10981=""фізична особа""
,
VLOOKUP(H10981,IMPORTRANGE(""https://docs.google.com/spreadsheets/d/14Bd19lYaqBhU8_DElYkX7l4wRkHqqCUFNJY4AfY3kHU/edit?usp=sharing  #gid=0"",""фіз особи new!relations_name""),6,FALSE)
,
(IF
(
G10981=""юридична особа""
,
VLOO"&amp;"KUP(H10981,IMPORTRANGE(""https://docs.google.com/spreadsheets/d/14Bd19lYaqBhU8_DElYkX7l4wRkHqqCUFNJY4AfY3kHU/edit?usp=sharing  #gid=0"",""фіз особи new!relations_name_uo""),7,FALSE)
,
)
))"),"САХНЕНКО Сергій Степанович")</f>
        <v>САХНЕНКО Сергій Степанович</v>
      </c>
      <c r="J10980" s="7" t="s">
        <v>11</v>
      </c>
    </row>
    <row r="10981" spans="1:10" ht="13.2">
      <c r="A10981" s="7">
        <v>10980</v>
      </c>
      <c r="B10981" s="7">
        <v>1</v>
      </c>
      <c r="C10981" s="7" t="s">
        <v>10</v>
      </c>
      <c r="D10981" s="7">
        <v>17017</v>
      </c>
      <c r="E10981" s="7" t="s">
        <v>11</v>
      </c>
      <c r="F10981" s="8" t="str">
        <f ca="1">IFERROR(__xludf.DUMMYFUNCTION("IF
(
C10982=""фізична особа""
,
VLOOKUP(D10982,IMPORTRANGE(""https://docs.google.com/spreadsheets/d/14Bd19lYaqBhU8_DElYkX7l4wRkHqqCUFNJY4AfY3kHU/edit?usp=sharing  #gid=0"",""фіз особи new!relations_name""),6,FALSE)
,
(IF
(
C10982=""юридична особа""
,
VLOO"&amp;"KUP(D10982,IMPORTRANGE(""https://docs.google.com/spreadsheets/d/14Bd19lYaqBhU8_DElYkX7l4wRkHqqCUFNJY4AfY3kHU/edit?usp=sharing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81" s="7" t="s">
        <v>10</v>
      </c>
      <c r="H10981" s="7">
        <v>23623</v>
      </c>
      <c r="I10981" s="8" t="str">
        <f ca="1">IFERROR(__xludf.DUMMYFUNCTION("IF
(
G10982=""фізична особа""
,
VLOOKUP(H10982,IMPORTRANGE(""https://docs.google.com/spreadsheets/d/14Bd19lYaqBhU8_DElYkX7l4wRkHqqCUFNJY4AfY3kHU/edit?usp=sharing  #gid=0"",""фіз особи new!relations_name""),6,FALSE)
,
(IF
(
G10982=""юридична особа""
,
VLOO"&amp;"KUP(H10982,IMPORTRANGE(""https://docs.google.com/spreadsheets/d/14Bd19lYaqBhU8_DElYkX7l4wRkHqqCUFNJY4AfY3kHU/edit?usp=sharing  #gid=0"",""фіз особи new!relations_name_uo""),7,FALSE)
,
)
))"),"ГРИШИН Сергій Євгенович")</f>
        <v>ГРИШИН Сергій Євгенович</v>
      </c>
      <c r="J10981" s="7" t="s">
        <v>11</v>
      </c>
    </row>
    <row r="10982" spans="1:10" ht="13.2">
      <c r="A10982" s="7">
        <v>10981</v>
      </c>
      <c r="B10982" s="7">
        <v>1</v>
      </c>
      <c r="C10982" s="7" t="s">
        <v>10</v>
      </c>
      <c r="D10982" s="7">
        <v>17017</v>
      </c>
      <c r="E10982" s="7" t="s">
        <v>11</v>
      </c>
      <c r="F10982" s="8" t="str">
        <f ca="1">IFERROR(__xludf.DUMMYFUNCTION("IF
(
C10983=""фізична особа""
,
VLOOKUP(D10983,IMPORTRANGE(""https://docs.google.com/spreadsheets/d/14Bd19lYaqBhU8_DElYkX7l4wRkHqqCUFNJY4AfY3kHU/edit?usp=sharing  #gid=0"",""фіз особи new!relations_name""),6,FALSE)
,
(IF
(
C10983=""юридична особа""
,
VLOO"&amp;"KUP(D10983,IMPORTRANGE(""https://docs.google.com/spreadsheets/d/14Bd19lYaqBhU8_DElYkX7l4wRkHqqCUFNJY4AfY3kHU/edit?usp=sharing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82" s="7" t="s">
        <v>10</v>
      </c>
      <c r="H10982" s="7">
        <v>22897</v>
      </c>
      <c r="I10982" s="8" t="str">
        <f ca="1">IFERROR(__xludf.DUMMYFUNCTION("IF
(
G10983=""фізична особа""
,
VLOOKUP(H10983,IMPORTRANGE(""https://docs.google.com/spreadsheets/d/14Bd19lYaqBhU8_DElYkX7l4wRkHqqCUFNJY4AfY3kHU/edit?usp=sharing  #gid=0"",""фіз особи new!relations_name""),6,FALSE)
,
(IF
(
G10983=""юридична особа""
,
VLOO"&amp;"KUP(H10983,IMPORTRANGE(""https://docs.google.com/spreadsheets/d/14Bd19lYaqBhU8_DElYkX7l4wRkHqqCUFNJY4AfY3kHU/edit?usp=sharing  #gid=0"",""фіз особи new!relations_name_uo""),7,FALSE)
,
)
))"),"НІКОЛАШИН Юрій Львович")</f>
        <v>НІКОЛАШИН Юрій Львович</v>
      </c>
      <c r="J10982" s="7" t="s">
        <v>11</v>
      </c>
    </row>
    <row r="10983" spans="1:10" ht="13.2">
      <c r="A10983" s="7">
        <v>10982</v>
      </c>
      <c r="B10983" s="7">
        <v>1</v>
      </c>
      <c r="C10983" s="7" t="s">
        <v>10</v>
      </c>
      <c r="D10983" s="7">
        <v>17017</v>
      </c>
      <c r="E10983" s="7" t="s">
        <v>11</v>
      </c>
      <c r="F10983" s="8" t="str">
        <f ca="1">IFERROR(__xludf.DUMMYFUNCTION("IF
(
C10984=""фізична особа""
,
VLOOKUP(D10984,IMPORTRANGE(""https://docs.google.com/spreadsheets/d/14Bd19lYaqBhU8_DElYkX7l4wRkHqqCUFNJY4AfY3kHU/edit?usp=sharing  #gid=0"",""фіз особи new!relations_name""),6,FALSE)
,
(IF
(
C10984=""юридична особа""
,
VLOO"&amp;"KUP(D10984,IMPORTRANGE(""https://docs.google.com/spreadsheets/d/14Bd19lYaqBhU8_DElYkX7l4wRkHqqCUFNJY4AfY3kHU/edit?usp=sharing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83" s="7" t="s">
        <v>10</v>
      </c>
      <c r="H10983" s="7">
        <v>23624</v>
      </c>
      <c r="I10983" s="8" t="str">
        <f ca="1">IFERROR(__xludf.DUMMYFUNCTION("IF
(
G10984=""фізична особа""
,
VLOOKUP(H10984,IMPORTRANGE(""https://docs.google.com/spreadsheets/d/14Bd19lYaqBhU8_DElYkX7l4wRkHqqCUFNJY4AfY3kHU/edit?usp=sharing  #gid=0"",""фіз особи new!relations_name""),6,FALSE)
,
(IF
(
G10984=""юридична особа""
,
VLOO"&amp;"KUP(H10984,IMPORTRANGE(""https://docs.google.com/spreadsheets/d/14Bd19lYaqBhU8_DElYkX7l4wRkHqqCUFNJY4AfY3kHU/edit?usp=sharing  #gid=0"",""фіз особи new!relations_name_uo""),7,FALSE)
,
)
))"),"ВИЛКОВ Сергій Валерійович")</f>
        <v>ВИЛКОВ Сергій Валерійович</v>
      </c>
      <c r="J10983" s="7" t="s">
        <v>11</v>
      </c>
    </row>
    <row r="10984" spans="1:10" ht="13.2">
      <c r="A10984" s="7">
        <v>10983</v>
      </c>
      <c r="B10984" s="7">
        <v>1</v>
      </c>
      <c r="C10984" s="7" t="s">
        <v>10</v>
      </c>
      <c r="D10984" s="7">
        <v>17017</v>
      </c>
      <c r="E10984" s="7" t="s">
        <v>11</v>
      </c>
      <c r="F10984" s="8" t="str">
        <f ca="1">IFERROR(__xludf.DUMMYFUNCTION("IF
(
C10985=""фізична особа""
,
VLOOKUP(D10985,IMPORTRANGE(""https://docs.google.com/spreadsheets/d/14Bd19lYaqBhU8_DElYkX7l4wRkHqqCUFNJY4AfY3kHU/edit?usp=sharing  #gid=0"",""фіз особи new!relations_name""),6,FALSE)
,
(IF
(
C10985=""юридична особа""
,
VLOO"&amp;"KUP(D10985,IMPORTRANGE(""https://docs.google.com/spreadsheets/d/14Bd19lYaqBhU8_DElYkX7l4wRkHqqCUFNJY4AfY3kHU/edit?usp=sharing  #gid=0"",""фіз особи new!relations_name_uo""),7,FALSE)
,
)
))"),"ЕЛЬКІН Григорій Йосипович")</f>
        <v>ЕЛЬКІН Григорій Йосипович</v>
      </c>
      <c r="G10984" s="7" t="s">
        <v>10</v>
      </c>
      <c r="H10984" s="7">
        <v>23625</v>
      </c>
      <c r="I10984" s="8" t="str">
        <f ca="1">IFERROR(__xludf.DUMMYFUNCTION("IF
(
G10985=""фізична особа""
,
VLOOKUP(H10985,IMPORTRANGE(""https://docs.google.com/spreadsheets/d/14Bd19lYaqBhU8_DElYkX7l4wRkHqqCUFNJY4AfY3kHU/edit?usp=sharing  #gid=0"",""фіз особи new!relations_name""),6,FALSE)
,
(IF
(
G10985=""юридична особа""
,
VLOO"&amp;"KUP(H10985,IMPORTRANGE(""https://docs.google.com/spreadsheets/d/14Bd19lYaqBhU8_DElYkX7l4wRkHqqCUFNJY4AfY3kHU/edit?usp=sharing  #gid=0"",""фіз особи new!relations_name_uo""),7,FALSE)
,
)
))"),"ЗІНЧЕНКО Дмитро Володимирович")</f>
        <v>ЗІНЧЕНКО Дмитро Володимирович</v>
      </c>
      <c r="J10984" s="7" t="s">
        <v>11</v>
      </c>
    </row>
    <row r="10985" spans="1:10" ht="13.2">
      <c r="A10985" s="7">
        <v>10984</v>
      </c>
      <c r="B10985" s="7">
        <v>1</v>
      </c>
      <c r="C10985" s="7" t="s">
        <v>10</v>
      </c>
      <c r="D10985" s="7">
        <v>17018</v>
      </c>
      <c r="E10985" s="7" t="s">
        <v>11</v>
      </c>
      <c r="F10985" s="8" t="str">
        <f ca="1">IFERROR(__xludf.DUMMYFUNCTION("IF
(
C10986=""фізична особа""
,
VLOOKUP(D10986,IMPORTRANGE(""https://docs.google.com/spreadsheets/d/14Bd19lYaqBhU8_DElYkX7l4wRkHqqCUFNJY4AfY3kHU/edit?usp=sharing  #gid=0"",""фіз особи new!relations_name""),6,FALSE)
,
(IF
(
C10986=""юридична особа""
,
VLOO"&amp;"KUP(D10986,IMPORTRANGE(""https://docs.google.com/spreadsheets/d/14Bd19lYaqBhU8_DElYkX7l4wRkHqqCUFNJY4AfY3kHU/edit?usp=sharing  #gid=0"",""фіз особи new!relations_name_uo""),7,FALSE)
,
)
))"),"РУБАН Олександр Сергійович")</f>
        <v>РУБАН Олександр Сергійович</v>
      </c>
      <c r="G10985" s="7" t="s">
        <v>10</v>
      </c>
      <c r="H10985" s="7">
        <v>150</v>
      </c>
      <c r="I10985" s="8" t="str">
        <f ca="1">IFERROR(__xludf.DUMMYFUNCTION("IF
(
G10986=""фізична особа""
,
VLOOKUP(H10986,IMPORTRANGE(""https://docs.google.com/spreadsheets/d/14Bd19lYaqBhU8_DElYkX7l4wRkHqqCUFNJY4AfY3kHU/edit?usp=sharing  #gid=0"",""фіз особи new!relations_name""),6,FALSE)
,
(IF
(
G10986=""юридична особа""
,
VLOO"&amp;"KUP(H10986,IMPORTRANGE(""https://docs.google.com/spreadsheets/d/14Bd19lYaqBhU8_DElYkX7l4wRkHqqCUFNJY4AfY3kHU/edit?usp=sharing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0985" s="7" t="s">
        <v>11</v>
      </c>
    </row>
    <row r="10986" spans="1:10" ht="13.2">
      <c r="A10986" s="7">
        <v>10985</v>
      </c>
      <c r="B10986" s="7">
        <v>1</v>
      </c>
      <c r="C10986" s="7" t="s">
        <v>10</v>
      </c>
      <c r="D10986" s="7">
        <v>17018</v>
      </c>
      <c r="E10986" s="7" t="s">
        <v>11</v>
      </c>
      <c r="F10986" s="8" t="str">
        <f ca="1">IFERROR(__xludf.DUMMYFUNCTION("IF
(
C10987=""фізична особа""
,
VLOOKUP(D10987,IMPORTRANGE(""https://docs.google.com/spreadsheets/d/14Bd19lYaqBhU8_DElYkX7l4wRkHqqCUFNJY4AfY3kHU/edit?usp=sharing  #gid=0"",""фіз особи new!relations_name""),6,FALSE)
,
(IF
(
C10987=""юридична особа""
,
VLOO"&amp;"KUP(D10987,IMPORTRANGE(""https://docs.google.com/spreadsheets/d/14Bd19lYaqBhU8_DElYkX7l4wRkHqqCUFNJY4AfY3kHU/edit?usp=sharing  #gid=0"",""фіз особи new!relations_name_uo""),7,FALSE)
,
)
))"),"РУБАН Олександр Сергійович")</f>
        <v>РУБАН Олександр Сергійович</v>
      </c>
      <c r="G10986" s="7" t="s">
        <v>10</v>
      </c>
      <c r="H10986" s="7">
        <v>16411</v>
      </c>
      <c r="I10986" s="8" t="str">
        <f ca="1">IFERROR(__xludf.DUMMYFUNCTION("IF
(
G10987=""фізична особа""
,
VLOOKUP(H10987,IMPORTRANGE(""https://docs.google.com/spreadsheets/d/14Bd19lYaqBhU8_DElYkX7l4wRkHqqCUFNJY4AfY3kHU/edit?usp=sharing  #gid=0"",""фіз особи new!relations_name""),6,FALSE)
,
(IF
(
G10987=""юридична особа""
,
VLOO"&amp;"KUP(H10987,IMPORTRANGE(""https://docs.google.com/spreadsheets/d/14Bd19lYaqBhU8_DElYkX7l4wRkHqqCUFNJY4AfY3kHU/edit?usp=sharing  #gid=0"",""фіз особи new!relations_name_uo""),7,FALSE)
,
)
))"),"САХНЕНКО Сергій Степанович")</f>
        <v>САХНЕНКО Сергій Степанович</v>
      </c>
      <c r="J10986" s="7" t="s">
        <v>11</v>
      </c>
    </row>
    <row r="10987" spans="1:10" ht="13.2">
      <c r="A10987" s="7">
        <v>10986</v>
      </c>
      <c r="B10987" s="7">
        <v>1</v>
      </c>
      <c r="C10987" s="7" t="s">
        <v>10</v>
      </c>
      <c r="D10987" s="7">
        <v>17018</v>
      </c>
      <c r="E10987" s="7" t="s">
        <v>11</v>
      </c>
      <c r="F10987" s="8" t="str">
        <f ca="1">IFERROR(__xludf.DUMMYFUNCTION("IF
(
C10988=""фізична особа""
,
VLOOKUP(D10988,IMPORTRANGE(""https://docs.google.com/spreadsheets/d/14Bd19lYaqBhU8_DElYkX7l4wRkHqqCUFNJY4AfY3kHU/edit?usp=sharing  #gid=0"",""фіз особи new!relations_name""),6,FALSE)
,
(IF
(
C10988=""юридична особа""
,
VLOO"&amp;"KUP(D10988,IMPORTRANGE(""https://docs.google.com/spreadsheets/d/14Bd19lYaqBhU8_DElYkX7l4wRkHqqCUFNJY4AfY3kHU/edit?usp=sharing  #gid=0"",""фіз особи new!relations_name_uo""),7,FALSE)
,
)
))"),"РУБАН Олександр Сергійович")</f>
        <v>РУБАН Олександр Сергійович</v>
      </c>
      <c r="G10987" s="7" t="s">
        <v>10</v>
      </c>
      <c r="H10987" s="7">
        <v>0</v>
      </c>
      <c r="I10987" s="8" t="str">
        <f ca="1">IFERROR(__xludf.DUMMYFUNCTION("IF
(
G10988=""фізична особа""
,
VLOOKUP(H10988,IMPORTRANGE(""https://docs.google.com/spreadsheets/d/14Bd19lYaqBhU8_DElYkX7l4wRkHqqCUFNJY4AfY3kHU/edit?usp=sharing  #gid=0"",""фіз особи new!relations_name""),6,FALSE)
,
(IF
(
G10988=""юридична особа""
,
VLOO"&amp;"KUP(H10988,IMPORTRANGE(""https://docs.google.com/spreadsheets/d/14Bd19lYaqBhU8_DElYkX7l4wRkHqqCUFNJY4AfY3kHU/edit?usp=sharing  #gid=0"",""фіз особи new!relations_name_uo""),7,FALSE)
,
)
))"),"#N/A")</f>
        <v>#N/A</v>
      </c>
      <c r="J10987" s="7" t="s">
        <v>11</v>
      </c>
    </row>
    <row r="10988" spans="1:10" ht="13.2">
      <c r="A10988" s="7">
        <v>10987</v>
      </c>
      <c r="B10988" s="7">
        <v>1</v>
      </c>
      <c r="C10988" s="7" t="s">
        <v>10</v>
      </c>
      <c r="D10988" s="7">
        <v>17018</v>
      </c>
      <c r="E10988" s="7" t="s">
        <v>11</v>
      </c>
      <c r="F10988" s="8" t="str">
        <f ca="1">IFERROR(__xludf.DUMMYFUNCTION("IF
(
C10989=""фізична особа""
,
VLOOKUP(D10989,IMPORTRANGE(""https://docs.google.com/spreadsheets/d/14Bd19lYaqBhU8_DElYkX7l4wRkHqqCUFNJY4AfY3kHU/edit?usp=sharing  #gid=0"",""фіз особи new!relations_name""),6,FALSE)
,
(IF
(
C10989=""юридична особа""
,
VLOO"&amp;"KUP(D10989,IMPORTRANGE(""https://docs.google.com/spreadsheets/d/14Bd19lYaqBhU8_DElYkX7l4wRkHqqCUFNJY4AfY3kHU/edit?usp=sharing  #gid=0"",""фіз особи new!relations_name_uo""),7,FALSE)
,
)
))"),"РУБАН Олександр Сергійович")</f>
        <v>РУБАН Олександр Сергійович</v>
      </c>
      <c r="G10988" s="7" t="s">
        <v>10</v>
      </c>
      <c r="H10988" s="7">
        <v>0</v>
      </c>
      <c r="I10988" s="8" t="str">
        <f ca="1">IFERROR(__xludf.DUMMYFUNCTION("IF
(
G10989=""фізична особа""
,
VLOOKUP(H10989,IMPORTRANGE(""https://docs.google.com/spreadsheets/d/14Bd19lYaqBhU8_DElYkX7l4wRkHqqCUFNJY4AfY3kHU/edit?usp=sharing  #gid=0"",""фіз особи new!relations_name""),6,FALSE)
,
(IF
(
G10989=""юридична особа""
,
VLOO"&amp;"KUP(H10989,IMPORTRANGE(""https://docs.google.com/spreadsheets/d/14Bd19lYaqBhU8_DElYkX7l4wRkHqqCUFNJY4AfY3kHU/edit?usp=sharing  #gid=0"",""фіз особи new!relations_name_uo""),7,FALSE)
,
)
))"),"#N/A")</f>
        <v>#N/A</v>
      </c>
      <c r="J10988" s="7" t="s">
        <v>11</v>
      </c>
    </row>
    <row r="10989" spans="1:10" ht="13.2">
      <c r="A10989" s="7">
        <v>10988</v>
      </c>
      <c r="B10989" s="7">
        <v>1</v>
      </c>
      <c r="C10989" s="7" t="s">
        <v>10</v>
      </c>
      <c r="D10989" s="7">
        <v>17019</v>
      </c>
      <c r="E10989" s="7" t="s">
        <v>11</v>
      </c>
      <c r="F10989" s="8" t="str">
        <f ca="1">IFERROR(__xludf.DUMMYFUNCTION("IF
(
C10990=""фізична особа""
,
VLOOKUP(D10990,IMPORTRANGE(""https://docs.google.com/spreadsheets/d/14Bd19lYaqBhU8_DElYkX7l4wRkHqqCUFNJY4AfY3kHU/edit?usp=sharing  #gid=0"",""фіз особи new!relations_name""),6,FALSE)
,
(IF
(
C10990=""юридична особа""
,
VLOO"&amp;"KUP(D10990,IMPORTRANGE(""https://docs.google.com/spreadsheets/d/14Bd19lYaqBhU8_DElYkX7l4wRkHqqCUFNJY4AfY3kHU/edit?usp=sharing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89" s="7" t="s">
        <v>10</v>
      </c>
      <c r="H10989" s="7">
        <v>5321</v>
      </c>
      <c r="I10989" s="8" t="str">
        <f ca="1">IFERROR(__xludf.DUMMYFUNCTION("IF
(
G10990=""фізична особа""
,
VLOOKUP(H10990,IMPORTRANGE(""https://docs.google.com/spreadsheets/d/14Bd19lYaqBhU8_DElYkX7l4wRkHqqCUFNJY4AfY3kHU/edit?usp=sharing  #gid=0"",""фіз особи new!relations_name""),6,FALSE)
,
(IF
(
G10990=""юридична особа""
,
VLOO"&amp;"KUP(H10990,IMPORTRANGE(""https://docs.google.com/spreadsheets/d/14Bd19lYaqBhU8_DElYkX7l4wRkHqqCUFNJY4AfY3kHU/edit?usp=sharing  #gid=0"",""фіз особи new!relations_name_uo""),7,FALSE)
,
)
))"),"АРТЕМОВ Михайло Леонідович")</f>
        <v>АРТЕМОВ Михайло Леонідович</v>
      </c>
      <c r="J10989" s="7" t="s">
        <v>11</v>
      </c>
    </row>
    <row r="10990" spans="1:10" ht="13.2">
      <c r="A10990" s="7">
        <v>10989</v>
      </c>
      <c r="B10990" s="7">
        <v>1</v>
      </c>
      <c r="C10990" s="7" t="s">
        <v>10</v>
      </c>
      <c r="D10990" s="7">
        <v>17019</v>
      </c>
      <c r="E10990" s="7" t="s">
        <v>11</v>
      </c>
      <c r="F10990" s="8" t="str">
        <f ca="1">IFERROR(__xludf.DUMMYFUNCTION("IF
(
C10991=""фізична особа""
,
VLOOKUP(D10991,IMPORTRANGE(""https://docs.google.com/spreadsheets/d/14Bd19lYaqBhU8_DElYkX7l4wRkHqqCUFNJY4AfY3kHU/edit?usp=sharing  #gid=0"",""фіз особи new!relations_name""),6,FALSE)
,
(IF
(
C10991=""юридична особа""
,
VLOO"&amp;"KUP(D10991,IMPORTRANGE(""https://docs.google.com/spreadsheets/d/14Bd19lYaqBhU8_DElYkX7l4wRkHqqCUFNJY4AfY3kHU/edit?usp=sharing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90" s="7" t="s">
        <v>10</v>
      </c>
      <c r="H10990" s="7">
        <v>23623</v>
      </c>
      <c r="I10990" s="8" t="str">
        <f ca="1">IFERROR(__xludf.DUMMYFUNCTION("IF
(
G10991=""фізична особа""
,
VLOOKUP(H10991,IMPORTRANGE(""https://docs.google.com/spreadsheets/d/14Bd19lYaqBhU8_DElYkX7l4wRkHqqCUFNJY4AfY3kHU/edit?usp=sharing  #gid=0"",""фіз особи new!relations_name""),6,FALSE)
,
(IF
(
G10991=""юридична особа""
,
VLOO"&amp;"KUP(H10991,IMPORTRANGE(""https://docs.google.com/spreadsheets/d/14Bd19lYaqBhU8_DElYkX7l4wRkHqqCUFNJY4AfY3kHU/edit?usp=sharing  #gid=0"",""фіз особи new!relations_name_uo""),7,FALSE)
,
)
))"),"ГРИШИН Сергій Євгенович")</f>
        <v>ГРИШИН Сергій Євгенович</v>
      </c>
      <c r="J10990" s="7" t="s">
        <v>11</v>
      </c>
    </row>
    <row r="10991" spans="1:10" ht="13.2">
      <c r="A10991" s="7">
        <v>10990</v>
      </c>
      <c r="B10991" s="7">
        <v>1</v>
      </c>
      <c r="C10991" s="7" t="s">
        <v>10</v>
      </c>
      <c r="D10991" s="7">
        <v>17019</v>
      </c>
      <c r="E10991" s="7" t="s">
        <v>11</v>
      </c>
      <c r="F10991" s="8" t="str">
        <f ca="1">IFERROR(__xludf.DUMMYFUNCTION("IF
(
C10992=""фізична особа""
,
VLOOKUP(D10992,IMPORTRANGE(""https://docs.google.com/spreadsheets/d/14Bd19lYaqBhU8_DElYkX7l4wRkHqqCUFNJY4AfY3kHU/edit?usp=sharing  #gid=0"",""фіз особи new!relations_name""),6,FALSE)
,
(IF
(
C10992=""юридична особа""
,
VLOO"&amp;"KUP(D10992,IMPORTRANGE(""https://docs.google.com/spreadsheets/d/14Bd19lYaqBhU8_DElYkX7l4wRkHqqCUFNJY4AfY3kHU/edit?usp=sharing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91" s="7" t="s">
        <v>10</v>
      </c>
      <c r="H10991" s="7">
        <v>0</v>
      </c>
      <c r="I10991" s="8" t="str">
        <f ca="1">IFERROR(__xludf.DUMMYFUNCTION("IF
(
G10992=""фізична особа""
,
VLOOKUP(H10992,IMPORTRANGE(""https://docs.google.com/spreadsheets/d/14Bd19lYaqBhU8_DElYkX7l4wRkHqqCUFNJY4AfY3kHU/edit?usp=sharing  #gid=0"",""фіз особи new!relations_name""),6,FALSE)
,
(IF
(
G10992=""юридична особа""
,
VLOO"&amp;"KUP(H10992,IMPORTRANGE(""https://docs.google.com/spreadsheets/d/14Bd19lYaqBhU8_DElYkX7l4wRkHqqCUFNJY4AfY3kHU/edit?usp=sharing  #gid=0"",""фіз особи new!relations_name_uo""),7,FALSE)
,
)
))"),"#N/A")</f>
        <v>#N/A</v>
      </c>
      <c r="J10991" s="7" t="s">
        <v>11</v>
      </c>
    </row>
    <row r="10992" spans="1:10" ht="13.2">
      <c r="A10992" s="7">
        <v>10991</v>
      </c>
      <c r="B10992" s="7">
        <v>1</v>
      </c>
      <c r="C10992" s="7" t="s">
        <v>10</v>
      </c>
      <c r="D10992" s="7">
        <v>17019</v>
      </c>
      <c r="E10992" s="7" t="s">
        <v>11</v>
      </c>
      <c r="F10992" s="8" t="str">
        <f ca="1">IFERROR(__xludf.DUMMYFUNCTION("IF
(
C10993=""фізична особа""
,
VLOOKUP(D10993,IMPORTRANGE(""https://docs.google.com/spreadsheets/d/14Bd19lYaqBhU8_DElYkX7l4wRkHqqCUFNJY4AfY3kHU/edit?usp=sharing  #gid=0"",""фіз особи new!relations_name""),6,FALSE)
,
(IF
(
C10993=""юридична особа""
,
VLOO"&amp;"KUP(D10993,IMPORTRANGE(""https://docs.google.com/spreadsheets/d/14Bd19lYaqBhU8_DElYkX7l4wRkHqqCUFNJY4AfY3kHU/edit?usp=sharing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92" s="7" t="s">
        <v>10</v>
      </c>
      <c r="H10992" s="7">
        <v>18240</v>
      </c>
      <c r="I10992" s="8" t="str">
        <f ca="1">IFERROR(__xludf.DUMMYFUNCTION("IF
(
G10993=""фізична особа""
,
VLOOKUP(H10993,IMPORTRANGE(""https://docs.google.com/spreadsheets/d/14Bd19lYaqBhU8_DElYkX7l4wRkHqqCUFNJY4AfY3kHU/edit?usp=sharing  #gid=0"",""фіз особи new!relations_name""),6,FALSE)
,
(IF
(
G10993=""юридична особа""
,
VLOO"&amp;"KUP(H10993,IMPORTRANGE(""https://docs.google.com/spreadsheets/d/14Bd19lYaqBhU8_DElYkX7l4wRkHqqCUFNJY4AfY3kHU/edit?usp=sharing  #gid=0"",""фіз особи new!relations_name_uo""),7,FALSE)
,
)
))"),"СКОРИХ Сергій Валерійович")</f>
        <v>СКОРИХ Сергій Валерійович</v>
      </c>
      <c r="J10992" s="7" t="s">
        <v>11</v>
      </c>
    </row>
    <row r="10993" spans="1:10" ht="13.2">
      <c r="A10993" s="7">
        <v>10992</v>
      </c>
      <c r="B10993" s="7">
        <v>1</v>
      </c>
      <c r="C10993" s="7" t="s">
        <v>10</v>
      </c>
      <c r="D10993" s="7">
        <v>17019</v>
      </c>
      <c r="E10993" s="7" t="s">
        <v>11</v>
      </c>
      <c r="F10993" s="8" t="str">
        <f ca="1">IFERROR(__xludf.DUMMYFUNCTION("IF
(
C10994=""фізична особа""
,
VLOOKUP(D10994,IMPORTRANGE(""https://docs.google.com/spreadsheets/d/14Bd19lYaqBhU8_DElYkX7l4wRkHqqCUFNJY4AfY3kHU/edit?usp=sharing  #gid=0"",""фіз особи new!relations_name""),6,FALSE)
,
(IF
(
C10994=""юридична особа""
,
VLOO"&amp;"KUP(D10994,IMPORTRANGE(""https://docs.google.com/spreadsheets/d/14Bd19lYaqBhU8_DElYkX7l4wRkHqqCUFNJY4AfY3kHU/edit?usp=sharing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93" s="7" t="s">
        <v>10</v>
      </c>
      <c r="H10993" s="7">
        <v>22951</v>
      </c>
      <c r="I10993" s="8" t="str">
        <f ca="1">IFERROR(__xludf.DUMMYFUNCTION("IF
(
G10994=""фізична особа""
,
VLOOKUP(H10994,IMPORTRANGE(""https://docs.google.com/spreadsheets/d/14Bd19lYaqBhU8_DElYkX7l4wRkHqqCUFNJY4AfY3kHU/edit?usp=sharing  #gid=0"",""фіз особи new!relations_name""),6,FALSE)
,
(IF
(
G10994=""юридична особа""
,
VLOO"&amp;"KUP(H10994,IMPORTRANGE(""https://docs.google.com/spreadsheets/d/14Bd19lYaqBhU8_DElYkX7l4wRkHqqCUFNJY4AfY3kHU/edit?usp=sharing  #gid=0"",""фіз особи new!relations_name_uo""),7,FALSE)
,
)
))"),"ДОРОФЄЄВ Сергій Михайлович")</f>
        <v>ДОРОФЄЄВ Сергій Михайлович</v>
      </c>
      <c r="J10993" s="7" t="s">
        <v>11</v>
      </c>
    </row>
    <row r="10994" spans="1:10" ht="13.2">
      <c r="A10994" s="7">
        <v>10993</v>
      </c>
      <c r="B10994" s="7">
        <v>1</v>
      </c>
      <c r="C10994" s="7" t="s">
        <v>10</v>
      </c>
      <c r="D10994" s="7">
        <v>17019</v>
      </c>
      <c r="E10994" s="7" t="s">
        <v>11</v>
      </c>
      <c r="F10994" s="8" t="str">
        <f ca="1">IFERROR(__xludf.DUMMYFUNCTION("IF
(
C10995=""фізична особа""
,
VLOOKUP(D10995,IMPORTRANGE(""https://docs.google.com/spreadsheets/d/14Bd19lYaqBhU8_DElYkX7l4wRkHqqCUFNJY4AfY3kHU/edit?usp=sharing  #gid=0"",""фіз особи new!relations_name""),6,FALSE)
,
(IF
(
C10995=""юридична особа""
,
VLOO"&amp;"KUP(D10995,IMPORTRANGE(""https://docs.google.com/spreadsheets/d/14Bd19lYaqBhU8_DElYkX7l4wRkHqqCUFNJY4AfY3kHU/edit?usp=sharing  #gid=0"",""фіз особи new!relations_name_uo""),7,FALSE)
,
)
))"),"ЧЕНДАРОВ Андрій Володимирович")</f>
        <v>ЧЕНДАРОВ Андрій Володимирович</v>
      </c>
      <c r="G10994" s="7" t="s">
        <v>10</v>
      </c>
      <c r="H10994" s="7">
        <v>0</v>
      </c>
      <c r="I10994" s="8" t="str">
        <f ca="1">IFERROR(__xludf.DUMMYFUNCTION("IF
(
G10995=""фізична особа""
,
VLOOKUP(H10995,IMPORTRANGE(""https://docs.google.com/spreadsheets/d/14Bd19lYaqBhU8_DElYkX7l4wRkHqqCUFNJY4AfY3kHU/edit?usp=sharing  #gid=0"",""фіз особи new!relations_name""),6,FALSE)
,
(IF
(
G10995=""юридична особа""
,
VLOO"&amp;"KUP(H10995,IMPORTRANGE(""https://docs.google.com/spreadsheets/d/14Bd19lYaqBhU8_DElYkX7l4wRkHqqCUFNJY4AfY3kHU/edit?usp=sharing  #gid=0"",""фіз особи new!relations_name_uo""),7,FALSE)
,
)
))"),"#N/A")</f>
        <v>#N/A</v>
      </c>
      <c r="J10994" s="7" t="s">
        <v>11</v>
      </c>
    </row>
    <row r="10995" spans="1:10" ht="13.2">
      <c r="A10995" s="7">
        <v>10994</v>
      </c>
      <c r="B10995" s="7">
        <v>1</v>
      </c>
      <c r="C10995" s="7" t="s">
        <v>10</v>
      </c>
      <c r="D10995" s="7">
        <v>17020</v>
      </c>
      <c r="E10995" s="7" t="s">
        <v>11</v>
      </c>
      <c r="F10995" s="8" t="str">
        <f ca="1">IFERROR(__xludf.DUMMYFUNCTION("IF
(
C10996=""фізична особа""
,
VLOOKUP(D10996,IMPORTRANGE(""https://docs.google.com/spreadsheets/d/14Bd19lYaqBhU8_DElYkX7l4wRkHqqCUFNJY4AfY3kHU/edit?usp=sharing  #gid=0"",""фіз особи new!relations_name""),6,FALSE)
,
(IF
(
C10996=""юридична особа""
,
VLOO"&amp;"KUP(D10996,IMPORTRANGE(""https://docs.google.com/spreadsheets/d/14Bd19lYaqBhU8_DElYkX7l4wRkHqqCUFNJY4AfY3kHU/edit?usp=sharing  #gid=0"",""фіз особи new!relations_name_uo""),7,FALSE)
,
)
))"),"САЩЕНКО Микола Миколайович")</f>
        <v>САЩЕНКО Микола Миколайович</v>
      </c>
      <c r="G10995" s="7" t="s">
        <v>10</v>
      </c>
      <c r="H10995" s="7">
        <v>5321</v>
      </c>
      <c r="I10995" s="8" t="str">
        <f ca="1">IFERROR(__xludf.DUMMYFUNCTION("IF
(
G10996=""фізична особа""
,
VLOOKUP(H10996,IMPORTRANGE(""https://docs.google.com/spreadsheets/d/14Bd19lYaqBhU8_DElYkX7l4wRkHqqCUFNJY4AfY3kHU/edit?usp=sharing  #gid=0"",""фіз особи new!relations_name""),6,FALSE)
,
(IF
(
G10996=""юридична особа""
,
VLOO"&amp;"KUP(H10996,IMPORTRANGE(""https://docs.google.com/spreadsheets/d/14Bd19lYaqBhU8_DElYkX7l4wRkHqqCUFNJY4AfY3kHU/edit?usp=sharing  #gid=0"",""фіз особи new!relations_name_uo""),7,FALSE)
,
)
))"),"АРТЕМОВ Михайло Леонідович")</f>
        <v>АРТЕМОВ Михайло Леонідович</v>
      </c>
      <c r="J10995" s="7" t="s">
        <v>11</v>
      </c>
    </row>
    <row r="10996" spans="1:10" ht="13.2">
      <c r="A10996" s="7">
        <v>10995</v>
      </c>
      <c r="B10996" s="7">
        <v>1</v>
      </c>
      <c r="C10996" s="7" t="s">
        <v>10</v>
      </c>
      <c r="D10996" s="7">
        <v>17020</v>
      </c>
      <c r="E10996" s="7" t="s">
        <v>11</v>
      </c>
      <c r="F10996" s="8" t="str">
        <f ca="1">IFERROR(__xludf.DUMMYFUNCTION("IF
(
C10997=""фізична особа""
,
VLOOKUP(D10997,IMPORTRANGE(""https://docs.google.com/spreadsheets/d/14Bd19lYaqBhU8_DElYkX7l4wRkHqqCUFNJY4AfY3kHU/edit?usp=sharing  #gid=0"",""фіз особи new!relations_name""),6,FALSE)
,
(IF
(
C10997=""юридична особа""
,
VLOO"&amp;"KUP(D10997,IMPORTRANGE(""https://docs.google.com/spreadsheets/d/14Bd19lYaqBhU8_DElYkX7l4wRkHqqCUFNJY4AfY3kHU/edit?usp=sharing  #gid=0"",""фіз особи new!relations_name_uo""),7,FALSE)
,
)
))"),"САЩЕНКО Микола Миколайович")</f>
        <v>САЩЕНКО Микола Миколайович</v>
      </c>
      <c r="G10996" s="7" t="s">
        <v>10</v>
      </c>
      <c r="H10996" s="7">
        <v>23624</v>
      </c>
      <c r="I10996" s="8" t="str">
        <f ca="1">IFERROR(__xludf.DUMMYFUNCTION("IF
(
G10997=""фізична особа""
,
VLOOKUP(H10997,IMPORTRANGE(""https://docs.google.com/spreadsheets/d/14Bd19lYaqBhU8_DElYkX7l4wRkHqqCUFNJY4AfY3kHU/edit?usp=sharing  #gid=0"",""фіз особи new!relations_name""),6,FALSE)
,
(IF
(
G10997=""юридична особа""
,
VLOO"&amp;"KUP(H10997,IMPORTRANGE(""https://docs.google.com/spreadsheets/d/14Bd19lYaqBhU8_DElYkX7l4wRkHqqCUFNJY4AfY3kHU/edit?usp=sharing  #gid=0"",""фіз особи new!relations_name_uo""),7,FALSE)
,
)
))"),"ВИЛКОВ Сергій Валерійович")</f>
        <v>ВИЛКОВ Сергій Валерійович</v>
      </c>
      <c r="J10996" s="7" t="s">
        <v>11</v>
      </c>
    </row>
    <row r="10997" spans="1:10" ht="13.2">
      <c r="A10997" s="7">
        <v>10996</v>
      </c>
      <c r="B10997" s="7">
        <v>1</v>
      </c>
      <c r="C10997" s="7" t="s">
        <v>10</v>
      </c>
      <c r="D10997" s="7">
        <v>17021</v>
      </c>
      <c r="E10997" s="7" t="s">
        <v>11</v>
      </c>
      <c r="F10997" s="8" t="str">
        <f ca="1">IFERROR(__xludf.DUMMYFUNCTION("IF
(
C10998=""фізична особа""
,
VLOOKUP(D10998,IMPORTRANGE(""https://docs.google.com/spreadsheets/d/14Bd19lYaqBhU8_DElYkX7l4wRkHqqCUFNJY4AfY3kHU/edit?usp=sharing  #gid=0"",""фіз особи new!relations_name""),6,FALSE)
,
(IF
(
C10998=""юридична особа""
,
VLOO"&amp;"KUP(D10998,IMPORTRANGE(""https://docs.google.com/spreadsheets/d/14Bd19lYaqBhU8_DElYkX7l4wRkHqqCUFNJY4AfY3kHU/edit?usp=sharing  #gid=0"",""фіз особи new!relations_name_uo""),7,FALSE)
,
)
))"),"СКОКОВ Сергій Іванович")</f>
        <v>СКОКОВ Сергій Іванович</v>
      </c>
      <c r="G10997" s="7" t="s">
        <v>10</v>
      </c>
      <c r="H10997" s="7">
        <v>5321</v>
      </c>
      <c r="I10997" s="8" t="str">
        <f ca="1">IFERROR(__xludf.DUMMYFUNCTION("IF
(
G10998=""фізична особа""
,
VLOOKUP(H10998,IMPORTRANGE(""https://docs.google.com/spreadsheets/d/14Bd19lYaqBhU8_DElYkX7l4wRkHqqCUFNJY4AfY3kHU/edit?usp=sharing  #gid=0"",""фіз особи new!relations_name""),6,FALSE)
,
(IF
(
G10998=""юридична особа""
,
VLOO"&amp;"KUP(H10998,IMPORTRANGE(""https://docs.google.com/spreadsheets/d/14Bd19lYaqBhU8_DElYkX7l4wRkHqqCUFNJY4AfY3kHU/edit?usp=sharing  #gid=0"",""фіз особи new!relations_name_uo""),7,FALSE)
,
)
))"),"АРТЕМОВ Михайло Леонідович")</f>
        <v>АРТЕМОВ Михайло Леонідович</v>
      </c>
      <c r="J10997" s="7" t="s">
        <v>11</v>
      </c>
    </row>
    <row r="10998" spans="1:10" ht="13.2">
      <c r="A10998" s="7">
        <v>10997</v>
      </c>
      <c r="B10998" s="7">
        <v>1</v>
      </c>
      <c r="C10998" s="7" t="s">
        <v>10</v>
      </c>
      <c r="D10998" s="7">
        <v>17021</v>
      </c>
      <c r="E10998" s="7" t="s">
        <v>11</v>
      </c>
      <c r="F10998" s="8" t="str">
        <f ca="1">IFERROR(__xludf.DUMMYFUNCTION("IF
(
C10999=""фізична особа""
,
VLOOKUP(D10999,IMPORTRANGE(""https://docs.google.com/spreadsheets/d/14Bd19lYaqBhU8_DElYkX7l4wRkHqqCUFNJY4AfY3kHU/edit?usp=sharing  #gid=0"",""фіз особи new!relations_name""),6,FALSE)
,
(IF
(
C10999=""юридична особа""
,
VLOO"&amp;"KUP(D10999,IMPORTRANGE(""https://docs.google.com/spreadsheets/d/14Bd19lYaqBhU8_DElYkX7l4wRkHqqCUFNJY4AfY3kHU/edit?usp=sharing  #gid=0"",""фіз особи new!relations_name_uo""),7,FALSE)
,
)
))"),"СКОКОВ Сергій Іванович")</f>
        <v>СКОКОВ Сергій Іванович</v>
      </c>
      <c r="G10998" s="7" t="s">
        <v>10</v>
      </c>
      <c r="H10998" s="7">
        <v>23624</v>
      </c>
      <c r="I10998" s="8" t="str">
        <f ca="1">IFERROR(__xludf.DUMMYFUNCTION("IF
(
G10999=""фізична особа""
,
VLOOKUP(H10999,IMPORTRANGE(""https://docs.google.com/spreadsheets/d/14Bd19lYaqBhU8_DElYkX7l4wRkHqqCUFNJY4AfY3kHU/edit?usp=sharing  #gid=0"",""фіз особи new!relations_name""),6,FALSE)
,
(IF
(
G10999=""юридична особа""
,
VLOO"&amp;"KUP(H10999,IMPORTRANGE(""https://docs.google.com/spreadsheets/d/14Bd19lYaqBhU8_DElYkX7l4wRkHqqCUFNJY4AfY3kHU/edit?usp=sharing  #gid=0"",""фіз особи new!relations_name_uo""),7,FALSE)
,
)
))"),"ВИЛКОВ Сергій Валерійович")</f>
        <v>ВИЛКОВ Сергій Валерійович</v>
      </c>
      <c r="J10998" s="7" t="s">
        <v>11</v>
      </c>
    </row>
    <row r="10999" spans="1:10" ht="13.2">
      <c r="A10999" s="7">
        <v>10998</v>
      </c>
      <c r="B10999" s="7">
        <v>1</v>
      </c>
      <c r="C10999" s="7" t="s">
        <v>10</v>
      </c>
      <c r="D10999" s="7">
        <v>17021</v>
      </c>
      <c r="E10999" s="7" t="s">
        <v>11</v>
      </c>
      <c r="F10999" s="8" t="str">
        <f ca="1">IFERROR(__xludf.DUMMYFUNCTION("IF
(
C11000=""фізична особа""
,
VLOOKUP(D11000,IMPORTRANGE(""https://docs.google.com/spreadsheets/d/14Bd19lYaqBhU8_DElYkX7l4wRkHqqCUFNJY4AfY3kHU/edit?usp=sharing  #gid=0"",""фіз особи new!relations_name""),6,FALSE)
,
(IF
(
C11000=""юридична особа""
,
VLOO"&amp;"KUP(D11000,IMPORTRANGE(""https://docs.google.com/spreadsheets/d/14Bd19lYaqBhU8_DElYkX7l4wRkHqqCUFNJY4AfY3kHU/edit?usp=sharing  #gid=0"",""фіз особи new!relations_name_uo""),7,FALSE)
,
)
))"),"СКОКОВ Сергій Іванович")</f>
        <v>СКОКОВ Сергій Іванович</v>
      </c>
      <c r="G10999" s="7" t="s">
        <v>10</v>
      </c>
      <c r="H10999" s="7">
        <v>0</v>
      </c>
      <c r="I10999" s="8" t="str">
        <f ca="1">IFERROR(__xludf.DUMMYFUNCTION("IF
(
G11000=""фізична особа""
,
VLOOKUP(H11000,IMPORTRANGE(""https://docs.google.com/spreadsheets/d/14Bd19lYaqBhU8_DElYkX7l4wRkHqqCUFNJY4AfY3kHU/edit?usp=sharing  #gid=0"",""фіз особи new!relations_name""),6,FALSE)
,
(IF
(
G11000=""юридична особа""
,
VLOO"&amp;"KUP(H11000,IMPORTRANGE(""https://docs.google.com/spreadsheets/d/14Bd19lYaqBhU8_DElYkX7l4wRkHqqCUFNJY4AfY3kHU/edit?usp=sharing  #gid=0"",""фіз особи new!relations_name_uo""),7,FALSE)
,
)
))"),"#N/A")</f>
        <v>#N/A</v>
      </c>
      <c r="J10999" s="7" t="s">
        <v>11</v>
      </c>
    </row>
    <row r="11000" spans="1:10" ht="13.2">
      <c r="A11000" s="7">
        <v>10999</v>
      </c>
      <c r="B11000" s="7">
        <v>1</v>
      </c>
      <c r="C11000" s="7" t="s">
        <v>10</v>
      </c>
      <c r="D11000" s="7">
        <v>17021</v>
      </c>
      <c r="E11000" s="7" t="s">
        <v>11</v>
      </c>
      <c r="F11000" s="8" t="str">
        <f ca="1">IFERROR(__xludf.DUMMYFUNCTION("IF
(
C11001=""фізична особа""
,
VLOOKUP(D11001,IMPORTRANGE(""https://docs.google.com/spreadsheets/d/14Bd19lYaqBhU8_DElYkX7l4wRkHqqCUFNJY4AfY3kHU/edit?usp=sharing  #gid=0"",""фіз особи new!relations_name""),6,FALSE)
,
(IF
(
C11001=""юридична особа""
,
VLOO"&amp;"KUP(D11001,IMPORTRANGE(""https://docs.google.com/spreadsheets/d/14Bd19lYaqBhU8_DElYkX7l4wRkHqqCUFNJY4AfY3kHU/edit?usp=sharing  #gid=0"",""фіз особи new!relations_name_uo""),7,FALSE)
,
)
))"),"СКОКОВ Сергій Іванович")</f>
        <v>СКОКОВ Сергій Іванович</v>
      </c>
      <c r="G11000" s="7" t="s">
        <v>10</v>
      </c>
      <c r="H11000" s="7">
        <v>23625</v>
      </c>
      <c r="I11000" s="8" t="str">
        <f ca="1">IFERROR(__xludf.DUMMYFUNCTION("IF
(
G11001=""фізична особа""
,
VLOOKUP(H11001,IMPORTRANGE(""https://docs.google.com/spreadsheets/d/14Bd19lYaqBhU8_DElYkX7l4wRkHqqCUFNJY4AfY3kHU/edit?usp=sharing  #gid=0"",""фіз особи new!relations_name""),6,FALSE)
,
(IF
(
G11001=""юридична особа""
,
VLOO"&amp;"KUP(H11001,IMPORTRANGE(""https://docs.google.com/spreadsheets/d/14Bd19lYaqBhU8_DElYkX7l4wRkHqqCUFNJY4AfY3kHU/edit?usp=sharing  #gid=0"",""фіз особи new!relations_name_uo""),7,FALSE)
,
)
))"),"ЗІНЧЕНКО Дмитро Володимирович")</f>
        <v>ЗІНЧЕНКО Дмитро Володимирович</v>
      </c>
      <c r="J11000" s="7" t="s">
        <v>11</v>
      </c>
    </row>
    <row r="11001" spans="1:10" ht="13.2">
      <c r="A11001" s="7">
        <v>11000</v>
      </c>
      <c r="B11001" s="7">
        <v>1</v>
      </c>
      <c r="C11001" s="7" t="s">
        <v>10</v>
      </c>
      <c r="D11001" s="7">
        <v>17022</v>
      </c>
      <c r="E11001" s="7" t="s">
        <v>11</v>
      </c>
      <c r="F11001" s="8" t="str">
        <f ca="1">IFERROR(__xludf.DUMMYFUNCTION("IF
(
C11002=""фізична особа""
,
VLOOKUP(D11002,IMPORTRANGE(""https://docs.google.com/spreadsheets/d/14Bd19lYaqBhU8_DElYkX7l4wRkHqqCUFNJY4AfY3kHU/edit?usp=sharing  #gid=0"",""фіз особи new!relations_name""),6,FALSE)
,
(IF
(
C11002=""юридична особа""
,
VLOO"&amp;"KUP(D11002,IMPORTRANGE(""https://docs.google.com/spreadsheets/d/14Bd19lYaqBhU8_DElYkX7l4wRkHqqCUFNJY4AfY3kHU/edit?usp=sharing  #gid=0"",""фіз особи new!relations_name_uo""),7,FALSE)
,
)
))"),"ГРУШКІН Максим Віталійович")</f>
        <v>ГРУШКІН Максим Віталійович</v>
      </c>
      <c r="G11001" s="7" t="s">
        <v>10</v>
      </c>
      <c r="H11001" s="7">
        <v>4973</v>
      </c>
      <c r="I11001" s="8" t="str">
        <f ca="1">IFERROR(__xludf.DUMMYFUNCTION("IF
(
G11002=""фізична особа""
,
VLOOKUP(H11002,IMPORTRANGE(""https://docs.google.com/spreadsheets/d/14Bd19lYaqBhU8_DElYkX7l4wRkHqqCUFNJY4AfY3kHU/edit?usp=sharing  #gid=0"",""фіз особи new!relations_name""),6,FALSE)
,
(IF
(
G11002=""юридична особа""
,
VLOO"&amp;"KUP(H11002,IMPORTRANGE(""https://docs.google.com/spreadsheets/d/14Bd19lYaqBhU8_DElYkX7l4wRkHqqCUFNJY4AfY3kHU/edit?usp=sharing  #gid=0"",""фіз особи new!relations_name_uo""),7,FALSE)
,
)
))"),"СІЛКІН Андрій Миколайович")</f>
        <v>СІЛКІН Андрій Миколайович</v>
      </c>
      <c r="J11001" s="7" t="s">
        <v>11</v>
      </c>
    </row>
    <row r="11002" spans="1:10" ht="13.2">
      <c r="A11002" s="7">
        <v>11001</v>
      </c>
      <c r="B11002" s="7">
        <v>1</v>
      </c>
      <c r="C11002" s="7" t="s">
        <v>10</v>
      </c>
      <c r="D11002" s="7">
        <v>17023</v>
      </c>
      <c r="E11002" s="7" t="s">
        <v>11</v>
      </c>
      <c r="F11002" s="8" t="str">
        <f ca="1">IFERROR(__xludf.DUMMYFUNCTION("IF
(
C11003=""фізична особа""
,
VLOOKUP(D11003,IMPORTRANGE(""https://docs.google.com/spreadsheets/d/14Bd19lYaqBhU8_DElYkX7l4wRkHqqCUFNJY4AfY3kHU/edit?usp=sharing  #gid=0"",""фіз особи new!relations_name""),6,FALSE)
,
(IF
(
C11003=""юридична особа""
,
VLOO"&amp;"KUP(D11003,IMPORTRANGE(""https://docs.google.com/spreadsheets/d/14Bd19lYaqBhU8_DElYkX7l4wRkHqqCUFNJY4AfY3kHU/edit?usp=sharing  #gid=0"",""фіз особи new!relations_name_uo""),7,FALSE)
,
)
))"),"КУЛІКОВ Олександр Веніамінович")</f>
        <v>КУЛІКОВ Олександр Веніамінович</v>
      </c>
      <c r="G11002" s="7" t="s">
        <v>10</v>
      </c>
      <c r="H11002" s="7">
        <v>17501</v>
      </c>
      <c r="I11002" s="8" t="str">
        <f ca="1">IFERROR(__xludf.DUMMYFUNCTION("IF
(
G11003=""фізична особа""
,
VLOOKUP(H11003,IMPORTRANGE(""https://docs.google.com/spreadsheets/d/14Bd19lYaqBhU8_DElYkX7l4wRkHqqCUFNJY4AfY3kHU/edit?usp=sharing  #gid=0"",""фіз особи new!relations_name""),6,FALSE)
,
(IF
(
G11003=""юридична особа""
,
VLOO"&amp;"KUP(H11003,IMPORTRANGE(""https://docs.google.com/spreadsheets/d/14Bd19lYaqBhU8_DElYkX7l4wRkHqqCUFNJY4AfY3kHU/edit?usp=sharing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J11002" s="7" t="s">
        <v>11</v>
      </c>
    </row>
    <row r="11003" spans="1:10" ht="13.2">
      <c r="A11003" s="7">
        <v>11002</v>
      </c>
      <c r="B11003" s="7">
        <v>1</v>
      </c>
      <c r="C11003" s="7" t="s">
        <v>10</v>
      </c>
      <c r="D11003" s="7">
        <v>17024</v>
      </c>
      <c r="E11003" s="7" t="s">
        <v>11</v>
      </c>
      <c r="F11003" s="8" t="str">
        <f ca="1">IFERROR(__xludf.DUMMYFUNCTION("IF
(
C11004=""фізична особа""
,
VLOOKUP(D11004,IMPORTRANGE(""https://docs.google.com/spreadsheets/d/14Bd19lYaqBhU8_DElYkX7l4wRkHqqCUFNJY4AfY3kHU/edit?usp=sharing  #gid=0"",""фіз особи new!relations_name""),6,FALSE)
,
(IF
(
C11004=""юридична особа""
,
VLOO"&amp;"KUP(D11004,IMPORTRANGE(""https://docs.google.com/spreadsheets/d/14Bd19lYaqBhU8_DElYkX7l4wRkHqqCUFNJY4AfY3kHU/edit?usp=sharing  #gid=0"",""фіз особи new!relations_name_uo""),7,FALSE)
,
)
))"),"МИГАЛЬ Іліна Валеріївна")</f>
        <v>МИГАЛЬ Іліна Валеріївна</v>
      </c>
      <c r="G11003" s="7" t="s">
        <v>10</v>
      </c>
      <c r="H11003" s="7">
        <v>17501</v>
      </c>
      <c r="I11003" s="8" t="str">
        <f ca="1">IFERROR(__xludf.DUMMYFUNCTION("IF
(
G11004=""фізична особа""
,
VLOOKUP(H11004,IMPORTRANGE(""https://docs.google.com/spreadsheets/d/14Bd19lYaqBhU8_DElYkX7l4wRkHqqCUFNJY4AfY3kHU/edit?usp=sharing  #gid=0"",""фіз особи new!relations_name""),6,FALSE)
,
(IF
(
G11004=""юридична особа""
,
VLOO"&amp;"KUP(H11004,IMPORTRANGE(""https://docs.google.com/spreadsheets/d/14Bd19lYaqBhU8_DElYkX7l4wRkHqqCUFNJY4AfY3kHU/edit?usp=sharing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J11003" s="7" t="s">
        <v>11</v>
      </c>
    </row>
    <row r="11004" spans="1:10" ht="13.2">
      <c r="A11004" s="7">
        <v>11003</v>
      </c>
      <c r="B11004" s="7">
        <v>1</v>
      </c>
      <c r="C11004" s="7" t="s">
        <v>10</v>
      </c>
      <c r="D11004" s="7">
        <v>17071</v>
      </c>
      <c r="E11004" s="7" t="s">
        <v>15</v>
      </c>
      <c r="F11004" s="8" t="str">
        <f ca="1">IFERROR(__xludf.DUMMYFUNCTION("IF
(
C11005=""фізична особа""
,
VLOOKUP(D11005,IMPORTRANGE(""https://docs.google.com/spreadsheets/d/14Bd19lYaqBhU8_DElYkX7l4wRkHqqCUFNJY4AfY3kHU/edit?usp=sharing  #gid=0"",""фіз особи new!relations_name""),6,FALSE)
,
(IF
(
C11005=""юридична особа""
,
VLOO"&amp;"KUP(D11005,IMPORTRANGE(""https://docs.google.com/spreadsheets/d/14Bd19lYaqBhU8_DElYkX7l4wRkHqqCUFNJY4AfY3kHU/edit?usp=sharing  #gid=0"",""фіз особи new!relations_name_uo""),7,FALSE)
,
)
))"),"МІРТОВА Олена Юріївна")</f>
        <v>МІРТОВА Олена Юріївна</v>
      </c>
      <c r="G11004" s="7" t="s">
        <v>10</v>
      </c>
      <c r="H11004" s="7">
        <v>675</v>
      </c>
      <c r="I11004" s="8" t="str">
        <f ca="1">IFERROR(__xludf.DUMMYFUNCTION("IF
(
G11005=""фізична особа""
,
VLOOKUP(H11005,IMPORTRANGE(""https://docs.google.com/spreadsheets/d/14Bd19lYaqBhU8_DElYkX7l4wRkHqqCUFNJY4AfY3kHU/edit?usp=sharing  #gid=0"",""фіз особи new!relations_name""),6,FALSE)
,
(IF
(
G11005=""юридична особа""
,
VLOO"&amp;"KUP(H11005,IMPORTRANGE(""https://docs.google.com/spreadsheets/d/14Bd19lYaqBhU8_DElYkX7l4wRkHqqCUFNJY4AfY3kHU/edit?usp=sharing  #gid=0"",""фіз особи new!relations_name_uo""),7,FALSE)
,
)
))"),"РОЛДУГІН Сергій Павлович")</f>
        <v>РОЛДУГІН Сергій Павлович</v>
      </c>
      <c r="J11004" s="7" t="s">
        <v>14</v>
      </c>
    </row>
    <row r="11005" spans="1:10" ht="13.2">
      <c r="A11005" s="7">
        <v>11004</v>
      </c>
      <c r="B11005" s="7">
        <v>1</v>
      </c>
      <c r="C11005" s="7" t="s">
        <v>10</v>
      </c>
      <c r="D11005" s="7">
        <v>17132</v>
      </c>
      <c r="E11005" s="7" t="s">
        <v>17</v>
      </c>
      <c r="F11005" s="8" t="str">
        <f ca="1">IFERROR(__xludf.DUMMYFUNCTION("IF
(
C11006=""фізична особа""
,
VLOOKUP(D11006,IMPORTRANGE(""https://docs.google.com/spreadsheets/d/14Bd19lYaqBhU8_DElYkX7l4wRkHqqCUFNJY4AfY3kHU/edit?usp=sharing  #gid=0"",""фіз особи new!relations_name""),6,FALSE)
,
(IF
(
C11006=""юридична особа""
,
VLOO"&amp;"KUP(D11006,IMPORTRANGE(""https://docs.google.com/spreadsheets/d/14Bd19lYaqBhU8_DElYkX7l4wRkHqqCUFNJY4AfY3kHU/edit?usp=sharing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G11005" s="7" t="s">
        <v>10</v>
      </c>
      <c r="H11005" s="7">
        <v>951</v>
      </c>
      <c r="I11005" s="8" t="str">
        <f ca="1">IFERROR(__xludf.DUMMYFUNCTION("IF
(
G11006=""фізична особа""
,
VLOOKUP(H11006,IMPORTRANGE(""https://docs.google.com/spreadsheets/d/14Bd19lYaqBhU8_DElYkX7l4wRkHqqCUFNJY4AfY3kHU/edit?usp=sharing  #gid=0"",""фіз особи new!relations_name""),6,FALSE)
,
(IF
(
G11006=""юридична особа""
,
VLOO"&amp;"KUP(H11006,IMPORTRANGE(""https://docs.google.com/spreadsheets/d/14Bd19lYaqBhU8_DElYkX7l4wRkHqqCUFNJY4AfY3kHU/edit?usp=sharing  #gid=0"",""фіз особи new!relations_name_uo""),7,FALSE)
,
)
))"),"ЧАЙКА Юрій Якович")</f>
        <v>ЧАЙКА Юрій Якович</v>
      </c>
      <c r="J11005" s="7" t="s">
        <v>12</v>
      </c>
    </row>
    <row r="11006" spans="1:10" ht="13.2">
      <c r="A11006" s="7">
        <v>11005</v>
      </c>
      <c r="B11006" s="7">
        <v>1</v>
      </c>
      <c r="C11006" s="7" t="s">
        <v>10</v>
      </c>
      <c r="D11006" s="7">
        <v>17132</v>
      </c>
      <c r="E11006" s="7" t="s">
        <v>18</v>
      </c>
      <c r="F11006" s="8" t="str">
        <f ca="1">IFERROR(__xludf.DUMMYFUNCTION("IF
(
C11007=""фізична особа""
,
VLOOKUP(D11007,IMPORTRANGE(""https://docs.google.com/spreadsheets/d/14Bd19lYaqBhU8_DElYkX7l4wRkHqqCUFNJY4AfY3kHU/edit?usp=sharing  #gid=0"",""фіз особи new!relations_name""),6,FALSE)
,
(IF
(
C11007=""юридична особа""
,
VLOO"&amp;"KUP(D11007,IMPORTRANGE(""https://docs.google.com/spreadsheets/d/14Bd19lYaqBhU8_DElYkX7l4wRkHqqCUFNJY4AfY3kHU/edit?usp=sharing  #gid=0"",""фіз особи new!relations_name_uo""),7,FALSE)
,
)
))"),"ЧАЙКА Артем Юрійович")</f>
        <v>ЧАЙКА Артем Юрійович</v>
      </c>
      <c r="G11006" s="7" t="s">
        <v>10</v>
      </c>
      <c r="H11006" s="7">
        <v>2289</v>
      </c>
      <c r="I11006" s="8" t="str">
        <f ca="1">IFERROR(__xludf.DUMMYFUNCTION("IF
(
G11007=""фізична особа""
,
VLOOKUP(H11007,IMPORTRANGE(""https://docs.google.com/spreadsheets/d/14Bd19lYaqBhU8_DElYkX7l4wRkHqqCUFNJY4AfY3kHU/edit?usp=sharing  #gid=0"",""фіз особи new!relations_name""),6,FALSE)
,
(IF
(
G11007=""юридична особа""
,
VLOO"&amp;"KUP(H11007,IMPORTRANGE(""https://docs.google.com/spreadsheets/d/14Bd19lYaqBhU8_DElYkX7l4wRkHqqCUFNJY4AfY3kHU/edit?usp=sharing  #gid=0"",""фіз особи new!relations_name_uo""),7,FALSE)
,
)
))"),"ЧАЙКА Ігор Юрійович")</f>
        <v>ЧАЙКА Ігор Юрійович</v>
      </c>
      <c r="J11006" s="7" t="s">
        <v>18</v>
      </c>
    </row>
    <row r="11007" spans="1:10" ht="13.2">
      <c r="A11007" s="7">
        <v>11006</v>
      </c>
      <c r="B11007" s="7">
        <v>1</v>
      </c>
      <c r="C11007" s="7" t="s">
        <v>10</v>
      </c>
      <c r="D11007" s="7">
        <v>17141</v>
      </c>
      <c r="E11007" s="7" t="s">
        <v>11</v>
      </c>
      <c r="F11007" s="8" t="str">
        <f ca="1">IFERROR(__xludf.DUMMYFUNCTION("IF
(
C11008=""фізична особа""
,
VLOOKUP(D11008,IMPORTRANGE(""https://docs.google.com/spreadsheets/d/14Bd19lYaqBhU8_DElYkX7l4wRkHqqCUFNJY4AfY3kHU/edit?usp=sharing  #gid=0"",""фіз особи new!relations_name""),6,FALSE)
,
(IF
(
C11008=""юридична особа""
,
VLOO"&amp;"KUP(D11008,IMPORTRANGE(""https://docs.google.com/spreadsheets/d/14Bd19lYaqBhU8_DElYkX7l4wRkHqqCUFNJY4AfY3kHU/edit?usp=sharing  #gid=0"",""фіз особи new!relations_name_uo""),7,FALSE)
,
)
))"),"НІКОЛАЄВ Дмитро Миколайович")</f>
        <v>НІКОЛАЄВ Дмитро Миколайович</v>
      </c>
      <c r="G11007" s="7" t="s">
        <v>10</v>
      </c>
      <c r="H11007" s="7">
        <v>18037</v>
      </c>
      <c r="I11007" s="8" t="str">
        <f ca="1">IFERROR(__xludf.DUMMYFUNCTION("IF
(
G11008=""фізична особа""
,
VLOOKUP(H11008,IMPORTRANGE(""https://docs.google.com/spreadsheets/d/14Bd19lYaqBhU8_DElYkX7l4wRkHqqCUFNJY4AfY3kHU/edit?usp=sharing  #gid=0"",""фіз особи new!relations_name""),6,FALSE)
,
(IF
(
G11008=""юридична особа""
,
VLOO"&amp;"KUP(H11008,IMPORTRANGE(""https://docs.google.com/spreadsheets/d/14Bd19lYaqBhU8_DElYkX7l4wRkHqqCUFNJY4AfY3kHU/edit?usp=sharing  #gid=0"",""фіз особи new!relations_name_uo""),7,FALSE)
,
)
))"),"ВЕГНЕР Володимир Райнольдович")</f>
        <v>ВЕГНЕР Володимир Райнольдович</v>
      </c>
      <c r="J11007" s="7" t="s">
        <v>11</v>
      </c>
    </row>
    <row r="11008" spans="1:10" ht="13.2">
      <c r="A11008" s="7">
        <v>11007</v>
      </c>
      <c r="B11008" s="7">
        <v>1</v>
      </c>
      <c r="C11008" s="7" t="s">
        <v>10</v>
      </c>
      <c r="D11008" s="7">
        <v>17151</v>
      </c>
      <c r="E11008" s="7" t="s">
        <v>11</v>
      </c>
      <c r="F11008" s="8" t="str">
        <f ca="1">IFERROR(__xludf.DUMMYFUNCTION("IF
(
C11009=""фізична особа""
,
VLOOKUP(D11009,IMPORTRANGE(""https://docs.google.com/spreadsheets/d/14Bd19lYaqBhU8_DElYkX7l4wRkHqqCUFNJY4AfY3kHU/edit?usp=sharing  #gid=0"",""фіз особи new!relations_name""),6,FALSE)
,
(IF
(
C11009=""юридична особа""
,
VLOO"&amp;"KUP(D11009,IMPORTRANGE(""https://docs.google.com/spreadsheets/d/14Bd19lYaqBhU8_DElYkX7l4wRkHqqCUFNJY4AfY3kHU/edit?usp=sharing  #gid=0"",""фіз особи new!relations_name_uo""),7,FALSE)
,
)
))"),"БОЛМОТОВ Костянтин Євгенійович")</f>
        <v>БОЛМОТОВ Костянтин Євгенійович</v>
      </c>
      <c r="G11008" s="7" t="s">
        <v>10</v>
      </c>
      <c r="H11008" s="7">
        <v>17152</v>
      </c>
      <c r="I11008" s="8" t="str">
        <f ca="1">IFERROR(__xludf.DUMMYFUNCTION("IF
(
G11009=""фізична особа""
,
VLOOKUP(H11009,IMPORTRANGE(""https://docs.google.com/spreadsheets/d/14Bd19lYaqBhU8_DElYkX7l4wRkHqqCUFNJY4AfY3kHU/edit?usp=sharing  #gid=0"",""фіз особи new!relations_name""),6,FALSE)
,
(IF
(
G11009=""юридична особа""
,
VLOO"&amp;"KUP(H11009,IMPORTRANGE(""https://docs.google.com/spreadsheets/d/14Bd19lYaqBhU8_DElYkX7l4wRkHqqCUFNJY4AfY3kHU/edit?usp=sharing  #gid=0"",""фіз особи new!relations_name_uo""),7,FALSE)
,
)
))"),"ЛУПІЙ Станіслав Михайлович")</f>
        <v>ЛУПІЙ Станіслав Михайлович</v>
      </c>
      <c r="J11008" s="7" t="s">
        <v>11</v>
      </c>
    </row>
    <row r="11009" spans="1:10" ht="13.2">
      <c r="A11009" s="7">
        <v>11008</v>
      </c>
      <c r="B11009" s="7">
        <v>1</v>
      </c>
      <c r="C11009" s="7" t="s">
        <v>10</v>
      </c>
      <c r="D11009" s="7">
        <v>17152</v>
      </c>
      <c r="E11009" s="7" t="s">
        <v>11</v>
      </c>
      <c r="F11009" s="8" t="str">
        <f ca="1">IFERROR(__xludf.DUMMYFUNCTION("IF
(
C11010=""фізична особа""
,
VLOOKUP(D11010,IMPORTRANGE(""https://docs.google.com/spreadsheets/d/14Bd19lYaqBhU8_DElYkX7l4wRkHqqCUFNJY4AfY3kHU/edit?usp=sharing  #gid=0"",""фіз особи new!relations_name""),6,FALSE)
,
(IF
(
C11010=""юридична особа""
,
VLOO"&amp;"KUP(D11010,IMPORTRANGE(""https://docs.google.com/spreadsheets/d/14Bd19lYaqBhU8_DElYkX7l4wRkHqqCUFNJY4AfY3kHU/edit?usp=sharing  #gid=0"",""фіз особи new!relations_name_uo""),7,FALSE)
,
)
))"),"ЛУПІЙ Станіслав Михайлович")</f>
        <v>ЛУПІЙ Станіслав Михайлович</v>
      </c>
      <c r="G11009" s="7" t="s">
        <v>10</v>
      </c>
      <c r="H11009" s="7">
        <v>17151</v>
      </c>
      <c r="I11009" s="8" t="str">
        <f ca="1">IFERROR(__xludf.DUMMYFUNCTION("IF
(
G11010=""фізична особа""
,
VLOOKUP(H11010,IMPORTRANGE(""https://docs.google.com/spreadsheets/d/14Bd19lYaqBhU8_DElYkX7l4wRkHqqCUFNJY4AfY3kHU/edit?usp=sharing  #gid=0"",""фіз особи new!relations_name""),6,FALSE)
,
(IF
(
G11010=""юридична особа""
,
VLOO"&amp;"KUP(H11010,IMPORTRANGE(""https://docs.google.com/spreadsheets/d/14Bd19lYaqBhU8_DElYkX7l4wRkHqqCUFNJY4AfY3kHU/edit?usp=sharing  #gid=0"",""фіз особи new!relations_name_uo""),7,FALSE)
,
)
))"),"БОЛМОТОВ Костянтин Євгенійович")</f>
        <v>БОЛМОТОВ Костянтин Євгенійович</v>
      </c>
      <c r="J11009" s="7" t="s">
        <v>11</v>
      </c>
    </row>
    <row r="11010" spans="1:10" ht="13.2">
      <c r="A11010" s="7">
        <v>11009</v>
      </c>
      <c r="B11010" s="7">
        <v>1</v>
      </c>
      <c r="C11010" s="7" t="s">
        <v>10</v>
      </c>
      <c r="D11010" s="7">
        <v>17156</v>
      </c>
      <c r="E11010" s="7" t="s">
        <v>117</v>
      </c>
      <c r="F11010" s="8" t="str">
        <f ca="1">IFERROR(__xludf.DUMMYFUNCTION("IF
(
C11011=""фізична особа""
,
VLOOKUP(D11011,IMPORTRANGE(""https://docs.google.com/spreadsheets/d/14Bd19lYaqBhU8_DElYkX7l4wRkHqqCUFNJY4AfY3kHU/edit?usp=sharing  #gid=0"",""фіз особи new!relations_name""),6,FALSE)
,
(IF
(
C11011=""юридична особа""
,
VLOO"&amp;"KUP(D11011,IMPORTRANGE(""https://docs.google.com/spreadsheets/d/14Bd19lYaqBhU8_DElYkX7l4wRkHqqCUFNJY4AfY3kHU/edit?usp=sharing  #gid=0"",""фіз особи new!relations_name_uo""),7,FALSE)
,
)
))"),"КУЧУКОВ Ільгам Гаффарович")</f>
        <v>КУЧУКОВ Ільгам Гаффарович</v>
      </c>
      <c r="G11010" s="7" t="s">
        <v>10</v>
      </c>
      <c r="H11010" s="7">
        <v>296</v>
      </c>
      <c r="I11010" s="8" t="str">
        <f ca="1">IFERROR(__xludf.DUMMYFUNCTION("IF
(
G11011=""фізична особа""
,
VLOOKUP(H11011,IMPORTRANGE(""https://docs.google.com/spreadsheets/d/14Bd19lYaqBhU8_DElYkX7l4wRkHqqCUFNJY4AfY3kHU/edit?usp=sharing  #gid=0"",""фіз особи new!relations_name""),6,FALSE)
,
(IF
(
G11011=""юридична особа""
,
VLOO"&amp;"KUP(H11011,IMPORTRANGE(""https://docs.google.com/spreadsheets/d/14Bd19lYaqBhU8_DElYkX7l4wRkHqqCUFNJY4AfY3kHU/edit?usp=sharing  #gid=0"",""фіз особи new!relations_name_uo""),7,FALSE)
,
)
))"),"СЄЧИН Ігор Іванович")</f>
        <v>СЄЧИН Ігор Іванович</v>
      </c>
      <c r="J11010" s="7" t="s">
        <v>23</v>
      </c>
    </row>
    <row r="11011" spans="1:10" ht="13.2">
      <c r="A11011" s="7">
        <v>11010</v>
      </c>
      <c r="B11011" s="7">
        <v>1</v>
      </c>
      <c r="C11011" s="7" t="s">
        <v>10</v>
      </c>
      <c r="D11011" s="7">
        <v>17189</v>
      </c>
      <c r="E11011" s="7" t="s">
        <v>14</v>
      </c>
      <c r="F11011" s="8" t="str">
        <f ca="1">IFERROR(__xludf.DUMMYFUNCTION("IF
(
C11012=""фізична особа""
,
VLOOKUP(D11012,IMPORTRANGE(""https://docs.google.com/spreadsheets/d/14Bd19lYaqBhU8_DElYkX7l4wRkHqqCUFNJY4AfY3kHU/edit?usp=sharing  #gid=0"",""фіз особи new!relations_name""),6,FALSE)
,
(IF
(
C11012=""юридична особа""
,
VLOO"&amp;"KUP(D11012,IMPORTRANGE(""https://docs.google.com/spreadsheets/d/14Bd19lYaqBhU8_DElYkX7l4wRkHqqCUFNJY4AfY3kHU/edit?usp=sharing  #gid=0"",""фіз особи new!relations_name_uo""),7,FALSE)
,
)
))"),"КАРЧЄВ Олег Геннадійович")</f>
        <v>КАРЧЄВ Олег Геннадійович</v>
      </c>
      <c r="G11011" s="7" t="s">
        <v>10</v>
      </c>
      <c r="H11011" s="7">
        <v>0</v>
      </c>
      <c r="I11011" s="8" t="str">
        <f ca="1">IFERROR(__xludf.DUMMYFUNCTION("IF
(
G11012=""фізична особа""
,
VLOOKUP(H11012,IMPORTRANGE(""https://docs.google.com/spreadsheets/d/14Bd19lYaqBhU8_DElYkX7l4wRkHqqCUFNJY4AfY3kHU/edit?usp=sharing  #gid=0"",""фіз особи new!relations_name""),6,FALSE)
,
(IF
(
G11012=""юридична особа""
,
VLOO"&amp;"KUP(H11012,IMPORTRANGE(""https://docs.google.com/spreadsheets/d/14Bd19lYaqBhU8_DElYkX7l4wRkHqqCUFNJY4AfY3kHU/edit?usp=sharing  #gid=0"",""фіз особи new!relations_name_uo""),7,FALSE)
,
)
))"),"#N/A")</f>
        <v>#N/A</v>
      </c>
      <c r="J11011" s="7" t="s">
        <v>15</v>
      </c>
    </row>
    <row r="11012" spans="1:10" ht="13.2">
      <c r="A11012" s="7">
        <v>11011</v>
      </c>
      <c r="B11012" s="7">
        <v>1</v>
      </c>
      <c r="C11012" s="7" t="s">
        <v>10</v>
      </c>
      <c r="D11012" s="7">
        <v>17194</v>
      </c>
      <c r="E11012" s="7" t="s">
        <v>18</v>
      </c>
      <c r="F11012" s="8" t="str">
        <f ca="1">IFERROR(__xludf.DUMMYFUNCTION("IF
(
C11013=""фізична особа""
,
VLOOKUP(D11013,IMPORTRANGE(""https://docs.google.com/spreadsheets/d/14Bd19lYaqBhU8_DElYkX7l4wRkHqqCUFNJY4AfY3kHU/edit?usp=sharing  #gid=0"",""фіз особи new!relations_name""),6,FALSE)
,
(IF
(
C11013=""юридична особа""
,
VLOO"&amp;"KUP(D11013,IMPORTRANGE(""https://docs.google.com/spreadsheets/d/14Bd19lYaqBhU8_DElYkX7l4wRkHqqCUFNJY4AfY3kHU/edit?usp=sharing  #gid=0"",""фіз особи new!relations_name_uo""),7,FALSE)
,
)
))"),"МАНУКОВ Сергій Мірожанович")</f>
        <v>МАНУКОВ Сергій Мірожанович</v>
      </c>
      <c r="G11012" s="7" t="s">
        <v>10</v>
      </c>
      <c r="H11012" s="7">
        <v>17195</v>
      </c>
      <c r="I11012" s="8" t="str">
        <f ca="1">IFERROR(__xludf.DUMMYFUNCTION("IF
(
G11013=""фізична особа""
,
VLOOKUP(H11013,IMPORTRANGE(""https://docs.google.com/spreadsheets/d/14Bd19lYaqBhU8_DElYkX7l4wRkHqqCUFNJY4AfY3kHU/edit?usp=sharing  #gid=0"",""фіз особи new!relations_name""),6,FALSE)
,
(IF
(
G11013=""юридична особа""
,
VLOO"&amp;"KUP(H11013,IMPORTRANGE(""https://docs.google.com/spreadsheets/d/14Bd19lYaqBhU8_DElYkX7l4wRkHqqCUFNJY4AfY3kHU/edit?usp=sharing  #gid=0"",""фіз особи new!relations_name_uo""),7,FALSE)
,
)
))"),"МАНУКОВ Арсен Мірожанович")</f>
        <v>МАНУКОВ Арсен Мірожанович</v>
      </c>
      <c r="J11012" s="7" t="s">
        <v>18</v>
      </c>
    </row>
    <row r="11013" spans="1:10" ht="13.2">
      <c r="A11013" s="7">
        <v>11012</v>
      </c>
      <c r="B11013" s="7">
        <v>1</v>
      </c>
      <c r="C11013" s="7" t="s">
        <v>10</v>
      </c>
      <c r="D11013" s="7">
        <v>17195</v>
      </c>
      <c r="E11013" s="7" t="s">
        <v>18</v>
      </c>
      <c r="F11013" s="8" t="str">
        <f ca="1">IFERROR(__xludf.DUMMYFUNCTION("IF
(
C11014=""фізична особа""
,
VLOOKUP(D11014,IMPORTRANGE(""https://docs.google.com/spreadsheets/d/14Bd19lYaqBhU8_DElYkX7l4wRkHqqCUFNJY4AfY3kHU/edit?usp=sharing  #gid=0"",""фіз особи new!relations_name""),6,FALSE)
,
(IF
(
C11014=""юридична особа""
,
VLOO"&amp;"KUP(D11014,IMPORTRANGE(""https://docs.google.com/spreadsheets/d/14Bd19lYaqBhU8_DElYkX7l4wRkHqqCUFNJY4AfY3kHU/edit?usp=sharing  #gid=0"",""фіз особи new!relations_name_uo""),7,FALSE)
,
)
))"),"МАНУКОВ Арсен Мірожанович")</f>
        <v>МАНУКОВ Арсен Мірожанович</v>
      </c>
      <c r="G11013" s="7" t="s">
        <v>10</v>
      </c>
      <c r="H11013" s="7">
        <v>17194</v>
      </c>
      <c r="I11013" s="8" t="str">
        <f ca="1">IFERROR(__xludf.DUMMYFUNCTION("IF
(
G11014=""фізична особа""
,
VLOOKUP(H11014,IMPORTRANGE(""https://docs.google.com/spreadsheets/d/14Bd19lYaqBhU8_DElYkX7l4wRkHqqCUFNJY4AfY3kHU/edit?usp=sharing  #gid=0"",""фіз особи new!relations_name""),6,FALSE)
,
(IF
(
G11014=""юридична особа""
,
VLOO"&amp;"KUP(H11014,IMPORTRANGE(""https://docs.google.com/spreadsheets/d/14Bd19lYaqBhU8_DElYkX7l4wRkHqqCUFNJY4AfY3kHU/edit?usp=sharing  #gid=0"",""фіз особи new!relations_name_uo""),7,FALSE)
,
)
))"),"МАНУКОВ Сергій Мірожанович")</f>
        <v>МАНУКОВ Сергій Мірожанович</v>
      </c>
      <c r="J11013" s="7" t="s">
        <v>18</v>
      </c>
    </row>
    <row r="11014" spans="1:10" ht="13.2">
      <c r="A11014" s="7">
        <v>11013</v>
      </c>
      <c r="B11014" s="7">
        <v>1</v>
      </c>
      <c r="C11014" s="7" t="s">
        <v>10</v>
      </c>
      <c r="D11014" s="7">
        <v>17221</v>
      </c>
      <c r="E11014" s="7" t="s">
        <v>29</v>
      </c>
      <c r="F11014" s="8" t="str">
        <f ca="1">IFERROR(__xludf.DUMMYFUNCTION("IF
(
C11015=""фізична особа""
,
VLOOKUP(D11015,IMPORTRANGE(""https://docs.google.com/spreadsheets/d/14Bd19lYaqBhU8_DElYkX7l4wRkHqqCUFNJY4AfY3kHU/edit?usp=sharing  #gid=0"",""фіз особи new!relations_name""),6,FALSE)
,
(IF
(
C11015=""юридична особа""
,
VLOO"&amp;"KUP(D11015,IMPORTRANGE(""https://docs.google.com/spreadsheets/d/14Bd19lYaqBhU8_DElYkX7l4wRkHqqCUFNJY4AfY3kHU/edit?usp=sharing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G11014" s="7" t="s">
        <v>10</v>
      </c>
      <c r="H11014" s="7">
        <v>17222</v>
      </c>
      <c r="I11014" s="8" t="str">
        <f ca="1">IFERROR(__xludf.DUMMYFUNCTION("IF
(
G11015=""фізична особа""
,
VLOOKUP(H11015,IMPORTRANGE(""https://docs.google.com/spreadsheets/d/14Bd19lYaqBhU8_DElYkX7l4wRkHqqCUFNJY4AfY3kHU/edit?usp=sharing  #gid=0"",""фіз особи new!relations_name""),6,FALSE)
,
(IF
(
G11015=""юридична особа""
,
VLOO"&amp;"KUP(H11015,IMPORTRANGE(""https://docs.google.com/spreadsheets/d/14Bd19lYaqBhU8_DElYkX7l4wRkHqqCUFNJY4AfY3kHU/edit?usp=sharing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J11014" s="7" t="s">
        <v>104</v>
      </c>
    </row>
    <row r="11015" spans="1:10" ht="13.2">
      <c r="A11015" s="7">
        <v>11014</v>
      </c>
      <c r="B11015" s="7">
        <v>1</v>
      </c>
      <c r="C11015" s="7" t="s">
        <v>10</v>
      </c>
      <c r="D11015" s="7">
        <v>17221</v>
      </c>
      <c r="E11015" s="7" t="s">
        <v>29</v>
      </c>
      <c r="F11015" s="8" t="str">
        <f ca="1">IFERROR(__xludf.DUMMYFUNCTION("IF
(
C11016=""фізична особа""
,
VLOOKUP(D11016,IMPORTRANGE(""https://docs.google.com/spreadsheets/d/14Bd19lYaqBhU8_DElYkX7l4wRkHqqCUFNJY4AfY3kHU/edit?usp=sharing  #gid=0"",""фіз особи new!relations_name""),6,FALSE)
,
(IF
(
C11016=""юридична особа""
,
VLOO"&amp;"KUP(D11016,IMPORTRANGE(""https://docs.google.com/spreadsheets/d/14Bd19lYaqBhU8_DElYkX7l4wRkHqqCUFNJY4AfY3kHU/edit?usp=sharing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G11015" s="7" t="s">
        <v>10</v>
      </c>
      <c r="H11015" s="7">
        <v>17223</v>
      </c>
      <c r="I11015" s="8" t="str">
        <f ca="1">IFERROR(__xludf.DUMMYFUNCTION("IF
(
G11016=""фізична особа""
,
VLOOKUP(H11016,IMPORTRANGE(""https://docs.google.com/spreadsheets/d/14Bd19lYaqBhU8_DElYkX7l4wRkHqqCUFNJY4AfY3kHU/edit?usp=sharing  #gid=0"",""фіз особи new!relations_name""),6,FALSE)
,
(IF
(
G11016=""юридична особа""
,
VLOO"&amp;"KUP(H11016,IMPORTRANGE(""https://docs.google.com/spreadsheets/d/14Bd19lYaqBhU8_DElYkX7l4wRkHqqCUFNJY4AfY3kHU/edit?usp=sharing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J11015" s="7" t="s">
        <v>104</v>
      </c>
    </row>
    <row r="11016" spans="1:10" ht="13.2">
      <c r="A11016" s="7">
        <v>11015</v>
      </c>
      <c r="B11016" s="7">
        <v>1</v>
      </c>
      <c r="C11016" s="7" t="s">
        <v>10</v>
      </c>
      <c r="D11016" s="7">
        <v>17221</v>
      </c>
      <c r="E11016" s="7" t="s">
        <v>29</v>
      </c>
      <c r="F11016" s="8" t="str">
        <f ca="1">IFERROR(__xludf.DUMMYFUNCTION("IF
(
C11017=""фізична особа""
,
VLOOKUP(D11017,IMPORTRANGE(""https://docs.google.com/spreadsheets/d/14Bd19lYaqBhU8_DElYkX7l4wRkHqqCUFNJY4AfY3kHU/edit?usp=sharing  #gid=0"",""фіз особи new!relations_name""),6,FALSE)
,
(IF
(
C11017=""юридична особа""
,
VLOO"&amp;"KUP(D11017,IMPORTRANGE(""https://docs.google.com/spreadsheets/d/14Bd19lYaqBhU8_DElYkX7l4wRkHqqCUFNJY4AfY3kHU/edit?usp=sharing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G11016" s="7" t="s">
        <v>10</v>
      </c>
      <c r="H11016" s="7">
        <v>17224</v>
      </c>
      <c r="I11016" s="8" t="str">
        <f ca="1">IFERROR(__xludf.DUMMYFUNCTION("IF
(
G11017=""фізична особа""
,
VLOOKUP(H11017,IMPORTRANGE(""https://docs.google.com/spreadsheets/d/14Bd19lYaqBhU8_DElYkX7l4wRkHqqCUFNJY4AfY3kHU/edit?usp=sharing  #gid=0"",""фіз особи new!relations_name""),6,FALSE)
,
(IF
(
G11017=""юридична особа""
,
VLOO"&amp;"KUP(H11017,IMPORTRANGE(""https://docs.google.com/spreadsheets/d/14Bd19lYaqBhU8_DElYkX7l4wRkHqqCUFNJY4AfY3kHU/edit?usp=sharing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J11016" s="7" t="s">
        <v>104</v>
      </c>
    </row>
    <row r="11017" spans="1:10" ht="13.2">
      <c r="A11017" s="7">
        <v>11016</v>
      </c>
      <c r="B11017" s="7">
        <v>1</v>
      </c>
      <c r="C11017" s="7" t="s">
        <v>10</v>
      </c>
      <c r="D11017" s="7">
        <v>17221</v>
      </c>
      <c r="E11017" s="7" t="s">
        <v>29</v>
      </c>
      <c r="F11017" s="8" t="str">
        <f ca="1">IFERROR(__xludf.DUMMYFUNCTION("IF
(
C11018=""фізична особа""
,
VLOOKUP(D11018,IMPORTRANGE(""https://docs.google.com/spreadsheets/d/14Bd19lYaqBhU8_DElYkX7l4wRkHqqCUFNJY4AfY3kHU/edit?usp=sharing  #gid=0"",""фіз особи new!relations_name""),6,FALSE)
,
(IF
(
C11018=""юридична особа""
,
VLOO"&amp;"KUP(D11018,IMPORTRANGE(""https://docs.google.com/spreadsheets/d/14Bd19lYaqBhU8_DElYkX7l4wRkHqqCUFNJY4AfY3kHU/edit?usp=sharing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G11017" s="7" t="s">
        <v>10</v>
      </c>
      <c r="H11017" s="7">
        <v>17225</v>
      </c>
      <c r="I11017" s="8" t="str">
        <f ca="1">IFERROR(__xludf.DUMMYFUNCTION("IF
(
G11018=""фізична особа""
,
VLOOKUP(H11018,IMPORTRANGE(""https://docs.google.com/spreadsheets/d/14Bd19lYaqBhU8_DElYkX7l4wRkHqqCUFNJY4AfY3kHU/edit?usp=sharing  #gid=0"",""фіз особи new!relations_name""),6,FALSE)
,
(IF
(
G11018=""юридична особа""
,
VLOO"&amp;"KUP(H11018,IMPORTRANGE(""https://docs.google.com/spreadsheets/d/14Bd19lYaqBhU8_DElYkX7l4wRkHqqCUFNJY4AfY3kHU/edit?usp=sharing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J11017" s="7" t="s">
        <v>104</v>
      </c>
    </row>
    <row r="11018" spans="1:10" ht="13.2">
      <c r="A11018" s="7">
        <v>11017</v>
      </c>
      <c r="B11018" s="7">
        <v>1</v>
      </c>
      <c r="C11018" s="7" t="s">
        <v>10</v>
      </c>
      <c r="D11018" s="7">
        <v>17222</v>
      </c>
      <c r="E11018" s="7" t="s">
        <v>104</v>
      </c>
      <c r="F11018" s="8" t="str">
        <f ca="1">IFERROR(__xludf.DUMMYFUNCTION("IF
(
C11019=""фізична особа""
,
VLOOKUP(D11019,IMPORTRANGE(""https://docs.google.com/spreadsheets/d/14Bd19lYaqBhU8_DElYkX7l4wRkHqqCUFNJY4AfY3kHU/edit?usp=sharing  #gid=0"",""фіз особи new!relations_name""),6,FALSE)
,
(IF
(
C11019=""юридична особа""
,
VLOO"&amp;"KUP(D11019,IMPORTRANGE(""https://docs.google.com/spreadsheets/d/14Bd19lYaqBhU8_DElYkX7l4wRkHqqCUFNJY4AfY3kHU/edit?usp=sharing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G11018" s="7" t="s">
        <v>10</v>
      </c>
      <c r="H11018" s="7">
        <v>17221</v>
      </c>
      <c r="I11018" s="8" t="str">
        <f ca="1">IFERROR(__xludf.DUMMYFUNCTION("IF
(
G11019=""фізична особа""
,
VLOOKUP(H11019,IMPORTRANGE(""https://docs.google.com/spreadsheets/d/14Bd19lYaqBhU8_DElYkX7l4wRkHqqCUFNJY4AfY3kHU/edit?usp=sharing  #gid=0"",""фіз особи new!relations_name""),6,FALSE)
,
(IF
(
G11019=""юридична особа""
,
VLOO"&amp;"KUP(H11019,IMPORTRANGE(""https://docs.google.com/spreadsheets/d/14Bd19lYaqBhU8_DElYkX7l4wRkHqqCUFNJY4AfY3kHU/edit?usp=sharing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J11018" s="7" t="s">
        <v>29</v>
      </c>
    </row>
    <row r="11019" spans="1:10" ht="13.2">
      <c r="A11019" s="7">
        <v>11018</v>
      </c>
      <c r="B11019" s="7">
        <v>1</v>
      </c>
      <c r="C11019" s="7" t="s">
        <v>10</v>
      </c>
      <c r="D11019" s="7">
        <v>17222</v>
      </c>
      <c r="E11019" s="7" t="s">
        <v>11</v>
      </c>
      <c r="F11019" s="8" t="str">
        <f ca="1">IFERROR(__xludf.DUMMYFUNCTION("IF
(
C11020=""фізична особа""
,
VLOOKUP(D11020,IMPORTRANGE(""https://docs.google.com/spreadsheets/d/14Bd19lYaqBhU8_DElYkX7l4wRkHqqCUFNJY4AfY3kHU/edit?usp=sharing  #gid=0"",""фіз особи new!relations_name""),6,FALSE)
,
(IF
(
C11020=""юридична особа""
,
VLOO"&amp;"KUP(D11020,IMPORTRANGE(""https://docs.google.com/spreadsheets/d/14Bd19lYaqBhU8_DElYkX7l4wRkHqqCUFNJY4AfY3kHU/edit?usp=sharing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G11019" s="7" t="s">
        <v>10</v>
      </c>
      <c r="H11019" s="7">
        <v>17223</v>
      </c>
      <c r="I11019" s="8" t="str">
        <f ca="1">IFERROR(__xludf.DUMMYFUNCTION("IF
(
G11020=""фізична особа""
,
VLOOKUP(H11020,IMPORTRANGE(""https://docs.google.com/spreadsheets/d/14Bd19lYaqBhU8_DElYkX7l4wRkHqqCUFNJY4AfY3kHU/edit?usp=sharing  #gid=0"",""фіз особи new!relations_name""),6,FALSE)
,
(IF
(
G11020=""юридична особа""
,
VLOO"&amp;"KUP(H11020,IMPORTRANGE(""https://docs.google.com/spreadsheets/d/14Bd19lYaqBhU8_DElYkX7l4wRkHqqCUFNJY4AfY3kHU/edit?usp=sharing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J11019" s="7" t="s">
        <v>11</v>
      </c>
    </row>
    <row r="11020" spans="1:10" ht="13.2">
      <c r="A11020" s="7">
        <v>11019</v>
      </c>
      <c r="B11020" s="7">
        <v>1</v>
      </c>
      <c r="C11020" s="7" t="s">
        <v>10</v>
      </c>
      <c r="D11020" s="7">
        <v>17222</v>
      </c>
      <c r="E11020" s="7" t="s">
        <v>11</v>
      </c>
      <c r="F11020" s="8" t="str">
        <f ca="1">IFERROR(__xludf.DUMMYFUNCTION("IF
(
C11021=""фізична особа""
,
VLOOKUP(D11021,IMPORTRANGE(""https://docs.google.com/spreadsheets/d/14Bd19lYaqBhU8_DElYkX7l4wRkHqqCUFNJY4AfY3kHU/edit?usp=sharing  #gid=0"",""фіз особи new!relations_name""),6,FALSE)
,
(IF
(
C11021=""юридична особа""
,
VLOO"&amp;"KUP(D11021,IMPORTRANGE(""https://docs.google.com/spreadsheets/d/14Bd19lYaqBhU8_DElYkX7l4wRkHqqCUFNJY4AfY3kHU/edit?usp=sharing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G11020" s="7" t="s">
        <v>10</v>
      </c>
      <c r="H11020" s="7">
        <v>17224</v>
      </c>
      <c r="I11020" s="8" t="str">
        <f ca="1">IFERROR(__xludf.DUMMYFUNCTION("IF
(
G11021=""фізична особа""
,
VLOOKUP(H11021,IMPORTRANGE(""https://docs.google.com/spreadsheets/d/14Bd19lYaqBhU8_DElYkX7l4wRkHqqCUFNJY4AfY3kHU/edit?usp=sharing  #gid=0"",""фіз особи new!relations_name""),6,FALSE)
,
(IF
(
G11021=""юридична особа""
,
VLOO"&amp;"KUP(H11021,IMPORTRANGE(""https://docs.google.com/spreadsheets/d/14Bd19lYaqBhU8_DElYkX7l4wRkHqqCUFNJY4AfY3kHU/edit?usp=sharing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J11020" s="7" t="s">
        <v>11</v>
      </c>
    </row>
    <row r="11021" spans="1:10" ht="13.2">
      <c r="A11021" s="7">
        <v>11020</v>
      </c>
      <c r="B11021" s="7">
        <v>1</v>
      </c>
      <c r="C11021" s="7" t="s">
        <v>10</v>
      </c>
      <c r="D11021" s="7">
        <v>17222</v>
      </c>
      <c r="E11021" s="7" t="s">
        <v>11</v>
      </c>
      <c r="F11021" s="8" t="str">
        <f ca="1">IFERROR(__xludf.DUMMYFUNCTION("IF
(
C11022=""фізична особа""
,
VLOOKUP(D11022,IMPORTRANGE(""https://docs.google.com/spreadsheets/d/14Bd19lYaqBhU8_DElYkX7l4wRkHqqCUFNJY4AfY3kHU/edit?usp=sharing  #gid=0"",""фіз особи new!relations_name""),6,FALSE)
,
(IF
(
C11022=""юридична особа""
,
VLOO"&amp;"KUP(D11022,IMPORTRANGE(""https://docs.google.com/spreadsheets/d/14Bd19lYaqBhU8_DElYkX7l4wRkHqqCUFNJY4AfY3kHU/edit?usp=sharing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G11021" s="7" t="s">
        <v>10</v>
      </c>
      <c r="H11021" s="7">
        <v>17225</v>
      </c>
      <c r="I11021" s="8" t="str">
        <f ca="1">IFERROR(__xludf.DUMMYFUNCTION("IF
(
G11022=""фізична особа""
,
VLOOKUP(H11022,IMPORTRANGE(""https://docs.google.com/spreadsheets/d/14Bd19lYaqBhU8_DElYkX7l4wRkHqqCUFNJY4AfY3kHU/edit?usp=sharing  #gid=0"",""фіз особи new!relations_name""),6,FALSE)
,
(IF
(
G11022=""юридична особа""
,
VLOO"&amp;"KUP(H11022,IMPORTRANGE(""https://docs.google.com/spreadsheets/d/14Bd19lYaqBhU8_DElYkX7l4wRkHqqCUFNJY4AfY3kHU/edit?usp=sharing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J11021" s="7" t="s">
        <v>11</v>
      </c>
    </row>
    <row r="11022" spans="1:10" ht="13.2">
      <c r="A11022" s="7">
        <v>11021</v>
      </c>
      <c r="B11022" s="7">
        <v>1</v>
      </c>
      <c r="C11022" s="7" t="s">
        <v>10</v>
      </c>
      <c r="D11022" s="7">
        <v>17223</v>
      </c>
      <c r="E11022" s="7" t="s">
        <v>104</v>
      </c>
      <c r="F11022" s="8" t="str">
        <f ca="1">IFERROR(__xludf.DUMMYFUNCTION("IF
(
C11023=""фізична особа""
,
VLOOKUP(D11023,IMPORTRANGE(""https://docs.google.com/spreadsheets/d/14Bd19lYaqBhU8_DElYkX7l4wRkHqqCUFNJY4AfY3kHU/edit?usp=sharing  #gid=0"",""фіз особи new!relations_name""),6,FALSE)
,
(IF
(
C11023=""юридична особа""
,
VLOO"&amp;"KUP(D11023,IMPORTRANGE(""https://docs.google.com/spreadsheets/d/14Bd19lYaqBhU8_DElYkX7l4wRkHqqCUFNJY4AfY3kHU/edit?usp=sharing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G11022" s="7" t="s">
        <v>10</v>
      </c>
      <c r="H11022" s="7">
        <v>17221</v>
      </c>
      <c r="I11022" s="8" t="str">
        <f ca="1">IFERROR(__xludf.DUMMYFUNCTION("IF
(
G11023=""фізична особа""
,
VLOOKUP(H11023,IMPORTRANGE(""https://docs.google.com/spreadsheets/d/14Bd19lYaqBhU8_DElYkX7l4wRkHqqCUFNJY4AfY3kHU/edit?usp=sharing  #gid=0"",""фіз особи new!relations_name""),6,FALSE)
,
(IF
(
G11023=""юридична особа""
,
VLOO"&amp;"KUP(H11023,IMPORTRANGE(""https://docs.google.com/spreadsheets/d/14Bd19lYaqBhU8_DElYkX7l4wRkHqqCUFNJY4AfY3kHU/edit?usp=sharing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J11022" s="7" t="s">
        <v>29</v>
      </c>
    </row>
    <row r="11023" spans="1:10" ht="13.2">
      <c r="A11023" s="7">
        <v>11022</v>
      </c>
      <c r="B11023" s="7">
        <v>1</v>
      </c>
      <c r="C11023" s="7" t="s">
        <v>10</v>
      </c>
      <c r="D11023" s="7">
        <v>17223</v>
      </c>
      <c r="E11023" s="7" t="s">
        <v>11</v>
      </c>
      <c r="F11023" s="8" t="str">
        <f ca="1">IFERROR(__xludf.DUMMYFUNCTION("IF
(
C11024=""фізична особа""
,
VLOOKUP(D11024,IMPORTRANGE(""https://docs.google.com/spreadsheets/d/14Bd19lYaqBhU8_DElYkX7l4wRkHqqCUFNJY4AfY3kHU/edit?usp=sharing  #gid=0"",""фіз особи new!relations_name""),6,FALSE)
,
(IF
(
C11024=""юридична особа""
,
VLOO"&amp;"KUP(D11024,IMPORTRANGE(""https://docs.google.com/spreadsheets/d/14Bd19lYaqBhU8_DElYkX7l4wRkHqqCUFNJY4AfY3kHU/edit?usp=sharing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G11023" s="7" t="s">
        <v>10</v>
      </c>
      <c r="H11023" s="7">
        <v>17222</v>
      </c>
      <c r="I11023" s="8" t="str">
        <f ca="1">IFERROR(__xludf.DUMMYFUNCTION("IF
(
G11024=""фізична особа""
,
VLOOKUP(H11024,IMPORTRANGE(""https://docs.google.com/spreadsheets/d/14Bd19lYaqBhU8_DElYkX7l4wRkHqqCUFNJY4AfY3kHU/edit?usp=sharing  #gid=0"",""фіз особи new!relations_name""),6,FALSE)
,
(IF
(
G11024=""юридична особа""
,
VLOO"&amp;"KUP(H11024,IMPORTRANGE(""https://docs.google.com/spreadsheets/d/14Bd19lYaqBhU8_DElYkX7l4wRkHqqCUFNJY4AfY3kHU/edit?usp=sharing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J11023" s="7" t="s">
        <v>11</v>
      </c>
    </row>
    <row r="11024" spans="1:10" ht="13.2">
      <c r="A11024" s="7">
        <v>11023</v>
      </c>
      <c r="B11024" s="7">
        <v>1</v>
      </c>
      <c r="C11024" s="7" t="s">
        <v>10</v>
      </c>
      <c r="D11024" s="7">
        <v>17223</v>
      </c>
      <c r="E11024" s="7" t="s">
        <v>11</v>
      </c>
      <c r="F11024" s="8" t="str">
        <f ca="1">IFERROR(__xludf.DUMMYFUNCTION("IF
(
C11025=""фізична особа""
,
VLOOKUP(D11025,IMPORTRANGE(""https://docs.google.com/spreadsheets/d/14Bd19lYaqBhU8_DElYkX7l4wRkHqqCUFNJY4AfY3kHU/edit?usp=sharing  #gid=0"",""фіз особи new!relations_name""),6,FALSE)
,
(IF
(
C11025=""юридична особа""
,
VLOO"&amp;"KUP(D11025,IMPORTRANGE(""https://docs.google.com/spreadsheets/d/14Bd19lYaqBhU8_DElYkX7l4wRkHqqCUFNJY4AfY3kHU/edit?usp=sharing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G11024" s="7" t="s">
        <v>10</v>
      </c>
      <c r="H11024" s="7">
        <v>17224</v>
      </c>
      <c r="I11024" s="8" t="str">
        <f ca="1">IFERROR(__xludf.DUMMYFUNCTION("IF
(
G11025=""фізична особа""
,
VLOOKUP(H11025,IMPORTRANGE(""https://docs.google.com/spreadsheets/d/14Bd19lYaqBhU8_DElYkX7l4wRkHqqCUFNJY4AfY3kHU/edit?usp=sharing  #gid=0"",""фіз особи new!relations_name""),6,FALSE)
,
(IF
(
G11025=""юридична особа""
,
VLOO"&amp;"KUP(H11025,IMPORTRANGE(""https://docs.google.com/spreadsheets/d/14Bd19lYaqBhU8_DElYkX7l4wRkHqqCUFNJY4AfY3kHU/edit?usp=sharing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J11024" s="7" t="s">
        <v>11</v>
      </c>
    </row>
    <row r="11025" spans="1:10" ht="13.2">
      <c r="A11025" s="7">
        <v>11024</v>
      </c>
      <c r="B11025" s="7">
        <v>1</v>
      </c>
      <c r="C11025" s="7" t="s">
        <v>10</v>
      </c>
      <c r="D11025" s="7">
        <v>17223</v>
      </c>
      <c r="E11025" s="7" t="s">
        <v>11</v>
      </c>
      <c r="F11025" s="8" t="str">
        <f ca="1">IFERROR(__xludf.DUMMYFUNCTION("IF
(
C11026=""фізична особа""
,
VLOOKUP(D11026,IMPORTRANGE(""https://docs.google.com/spreadsheets/d/14Bd19lYaqBhU8_DElYkX7l4wRkHqqCUFNJY4AfY3kHU/edit?usp=sharing  #gid=0"",""фіз особи new!relations_name""),6,FALSE)
,
(IF
(
C11026=""юридична особа""
,
VLOO"&amp;"KUP(D11026,IMPORTRANGE(""https://docs.google.com/spreadsheets/d/14Bd19lYaqBhU8_DElYkX7l4wRkHqqCUFNJY4AfY3kHU/edit?usp=sharing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G11025" s="7" t="s">
        <v>10</v>
      </c>
      <c r="H11025" s="7">
        <v>17225</v>
      </c>
      <c r="I11025" s="8" t="str">
        <f ca="1">IFERROR(__xludf.DUMMYFUNCTION("IF
(
G11026=""фізична особа""
,
VLOOKUP(H11026,IMPORTRANGE(""https://docs.google.com/spreadsheets/d/14Bd19lYaqBhU8_DElYkX7l4wRkHqqCUFNJY4AfY3kHU/edit?usp=sharing  #gid=0"",""фіз особи new!relations_name""),6,FALSE)
,
(IF
(
G11026=""юридична особа""
,
VLOO"&amp;"KUP(H11026,IMPORTRANGE(""https://docs.google.com/spreadsheets/d/14Bd19lYaqBhU8_DElYkX7l4wRkHqqCUFNJY4AfY3kHU/edit?usp=sharing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J11025" s="7" t="s">
        <v>11</v>
      </c>
    </row>
    <row r="11026" spans="1:10" ht="13.2">
      <c r="A11026" s="7">
        <v>11025</v>
      </c>
      <c r="B11026" s="7">
        <v>1</v>
      </c>
      <c r="C11026" s="7" t="s">
        <v>10</v>
      </c>
      <c r="D11026" s="7">
        <v>17224</v>
      </c>
      <c r="E11026" s="7" t="s">
        <v>104</v>
      </c>
      <c r="F11026" s="8" t="str">
        <f ca="1">IFERROR(__xludf.DUMMYFUNCTION("IF
(
C11027=""фізична особа""
,
VLOOKUP(D11027,IMPORTRANGE(""https://docs.google.com/spreadsheets/d/14Bd19lYaqBhU8_DElYkX7l4wRkHqqCUFNJY4AfY3kHU/edit?usp=sharing  #gid=0"",""фіз особи new!relations_name""),6,FALSE)
,
(IF
(
C11027=""юридична особа""
,
VLOO"&amp;"KUP(D11027,IMPORTRANGE(""https://docs.google.com/spreadsheets/d/14Bd19lYaqBhU8_DElYkX7l4wRkHqqCUFNJY4AfY3kHU/edit?usp=sharing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G11026" s="7" t="s">
        <v>10</v>
      </c>
      <c r="H11026" s="7">
        <v>17221</v>
      </c>
      <c r="I11026" s="8" t="str">
        <f ca="1">IFERROR(__xludf.DUMMYFUNCTION("IF
(
G11027=""фізична особа""
,
VLOOKUP(H11027,IMPORTRANGE(""https://docs.google.com/spreadsheets/d/14Bd19lYaqBhU8_DElYkX7l4wRkHqqCUFNJY4AfY3kHU/edit?usp=sharing  #gid=0"",""фіз особи new!relations_name""),6,FALSE)
,
(IF
(
G11027=""юридична особа""
,
VLOO"&amp;"KUP(H11027,IMPORTRANGE(""https://docs.google.com/spreadsheets/d/14Bd19lYaqBhU8_DElYkX7l4wRkHqqCUFNJY4AfY3kHU/edit?usp=sharing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J11026" s="7" t="s">
        <v>29</v>
      </c>
    </row>
    <row r="11027" spans="1:10" ht="13.2">
      <c r="A11027" s="7">
        <v>11026</v>
      </c>
      <c r="B11027" s="7">
        <v>1</v>
      </c>
      <c r="C11027" s="7" t="s">
        <v>10</v>
      </c>
      <c r="D11027" s="7">
        <v>17224</v>
      </c>
      <c r="E11027" s="7" t="s">
        <v>11</v>
      </c>
      <c r="F11027" s="8" t="str">
        <f ca="1">IFERROR(__xludf.DUMMYFUNCTION("IF
(
C11028=""фізична особа""
,
VLOOKUP(D11028,IMPORTRANGE(""https://docs.google.com/spreadsheets/d/14Bd19lYaqBhU8_DElYkX7l4wRkHqqCUFNJY4AfY3kHU/edit?usp=sharing  #gid=0"",""фіз особи new!relations_name""),6,FALSE)
,
(IF
(
C11028=""юридична особа""
,
VLOO"&amp;"KUP(D11028,IMPORTRANGE(""https://docs.google.com/spreadsheets/d/14Bd19lYaqBhU8_DElYkX7l4wRkHqqCUFNJY4AfY3kHU/edit?usp=sharing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G11027" s="7" t="s">
        <v>10</v>
      </c>
      <c r="H11027" s="7">
        <v>17222</v>
      </c>
      <c r="I11027" s="8" t="str">
        <f ca="1">IFERROR(__xludf.DUMMYFUNCTION("IF
(
G11028=""фізична особа""
,
VLOOKUP(H11028,IMPORTRANGE(""https://docs.google.com/spreadsheets/d/14Bd19lYaqBhU8_DElYkX7l4wRkHqqCUFNJY4AfY3kHU/edit?usp=sharing  #gid=0"",""фіз особи new!relations_name""),6,FALSE)
,
(IF
(
G11028=""юридична особа""
,
VLOO"&amp;"KUP(H11028,IMPORTRANGE(""https://docs.google.com/spreadsheets/d/14Bd19lYaqBhU8_DElYkX7l4wRkHqqCUFNJY4AfY3kHU/edit?usp=sharing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J11027" s="7" t="s">
        <v>11</v>
      </c>
    </row>
    <row r="11028" spans="1:10" ht="13.2">
      <c r="A11028" s="7">
        <v>11027</v>
      </c>
      <c r="B11028" s="7">
        <v>1</v>
      </c>
      <c r="C11028" s="7" t="s">
        <v>10</v>
      </c>
      <c r="D11028" s="7">
        <v>17224</v>
      </c>
      <c r="E11028" s="7" t="s">
        <v>11</v>
      </c>
      <c r="F11028" s="8" t="str">
        <f ca="1">IFERROR(__xludf.DUMMYFUNCTION("IF
(
C11029=""фізична особа""
,
VLOOKUP(D11029,IMPORTRANGE(""https://docs.google.com/spreadsheets/d/14Bd19lYaqBhU8_DElYkX7l4wRkHqqCUFNJY4AfY3kHU/edit?usp=sharing  #gid=0"",""фіз особи new!relations_name""),6,FALSE)
,
(IF
(
C11029=""юридична особа""
,
VLOO"&amp;"KUP(D11029,IMPORTRANGE(""https://docs.google.com/spreadsheets/d/14Bd19lYaqBhU8_DElYkX7l4wRkHqqCUFNJY4AfY3kHU/edit?usp=sharing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G11028" s="7" t="s">
        <v>10</v>
      </c>
      <c r="H11028" s="7">
        <v>17223</v>
      </c>
      <c r="I11028" s="8" t="str">
        <f ca="1">IFERROR(__xludf.DUMMYFUNCTION("IF
(
G11029=""фізична особа""
,
VLOOKUP(H11029,IMPORTRANGE(""https://docs.google.com/spreadsheets/d/14Bd19lYaqBhU8_DElYkX7l4wRkHqqCUFNJY4AfY3kHU/edit?usp=sharing  #gid=0"",""фіз особи new!relations_name""),6,FALSE)
,
(IF
(
G11029=""юридична особа""
,
VLOO"&amp;"KUP(H11029,IMPORTRANGE(""https://docs.google.com/spreadsheets/d/14Bd19lYaqBhU8_DElYkX7l4wRkHqqCUFNJY4AfY3kHU/edit?usp=sharing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J11028" s="7" t="s">
        <v>11</v>
      </c>
    </row>
    <row r="11029" spans="1:10" ht="13.2">
      <c r="A11029" s="7">
        <v>11028</v>
      </c>
      <c r="B11029" s="7">
        <v>1</v>
      </c>
      <c r="C11029" s="7" t="s">
        <v>10</v>
      </c>
      <c r="D11029" s="7">
        <v>17224</v>
      </c>
      <c r="E11029" s="7" t="s">
        <v>11</v>
      </c>
      <c r="F11029" s="8" t="str">
        <f ca="1">IFERROR(__xludf.DUMMYFUNCTION("IF
(
C11030=""фізична особа""
,
VLOOKUP(D11030,IMPORTRANGE(""https://docs.google.com/spreadsheets/d/14Bd19lYaqBhU8_DElYkX7l4wRkHqqCUFNJY4AfY3kHU/edit?usp=sharing  #gid=0"",""фіз особи new!relations_name""),6,FALSE)
,
(IF
(
C11030=""юридична особа""
,
VLOO"&amp;"KUP(D11030,IMPORTRANGE(""https://docs.google.com/spreadsheets/d/14Bd19lYaqBhU8_DElYkX7l4wRkHqqCUFNJY4AfY3kHU/edit?usp=sharing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G11029" s="7" t="s">
        <v>10</v>
      </c>
      <c r="H11029" s="7">
        <v>17225</v>
      </c>
      <c r="I11029" s="8" t="str">
        <f ca="1">IFERROR(__xludf.DUMMYFUNCTION("IF
(
G11030=""фізична особа""
,
VLOOKUP(H11030,IMPORTRANGE(""https://docs.google.com/spreadsheets/d/14Bd19lYaqBhU8_DElYkX7l4wRkHqqCUFNJY4AfY3kHU/edit?usp=sharing  #gid=0"",""фіз особи new!relations_name""),6,FALSE)
,
(IF
(
G11030=""юридична особа""
,
VLOO"&amp;"KUP(H11030,IMPORTRANGE(""https://docs.google.com/spreadsheets/d/14Bd19lYaqBhU8_DElYkX7l4wRkHqqCUFNJY4AfY3kHU/edit?usp=sharing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J11029" s="7" t="s">
        <v>11</v>
      </c>
    </row>
    <row r="11030" spans="1:10" ht="13.2">
      <c r="A11030" s="7">
        <v>11029</v>
      </c>
      <c r="B11030" s="7">
        <v>1</v>
      </c>
      <c r="C11030" s="7" t="s">
        <v>10</v>
      </c>
      <c r="D11030" s="7">
        <v>17225</v>
      </c>
      <c r="E11030" s="7" t="s">
        <v>104</v>
      </c>
      <c r="F11030" s="8" t="str">
        <f ca="1">IFERROR(__xludf.DUMMYFUNCTION("IF
(
C11031=""фізична особа""
,
VLOOKUP(D11031,IMPORTRANGE(""https://docs.google.com/spreadsheets/d/14Bd19lYaqBhU8_DElYkX7l4wRkHqqCUFNJY4AfY3kHU/edit?usp=sharing  #gid=0"",""фіз особи new!relations_name""),6,FALSE)
,
(IF
(
C11031=""юридична особа""
,
VLOO"&amp;"KUP(D11031,IMPORTRANGE(""https://docs.google.com/spreadsheets/d/14Bd19lYaqBhU8_DElYkX7l4wRkHqqCUFNJY4AfY3kHU/edit?usp=sharing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G11030" s="7" t="s">
        <v>10</v>
      </c>
      <c r="H11030" s="7">
        <v>17221</v>
      </c>
      <c r="I11030" s="8" t="str">
        <f ca="1">IFERROR(__xludf.DUMMYFUNCTION("IF
(
G11031=""фізична особа""
,
VLOOKUP(H11031,IMPORTRANGE(""https://docs.google.com/spreadsheets/d/14Bd19lYaqBhU8_DElYkX7l4wRkHqqCUFNJY4AfY3kHU/edit?usp=sharing  #gid=0"",""фіз особи new!relations_name""),6,FALSE)
,
(IF
(
G11031=""юридична особа""
,
VLOO"&amp;"KUP(H11031,IMPORTRANGE(""https://docs.google.com/spreadsheets/d/14Bd19lYaqBhU8_DElYkX7l4wRkHqqCUFNJY4AfY3kHU/edit?usp=sharing  #gid=0"",""фіз особи new!relations_name_uo""),7,FALSE)
,
)
))"),"БАЛЯСНІКОВ Павло Вікторович")</f>
        <v>БАЛЯСНІКОВ Павло Вікторович</v>
      </c>
      <c r="J11030" s="7" t="s">
        <v>29</v>
      </c>
    </row>
    <row r="11031" spans="1:10" ht="13.2">
      <c r="A11031" s="7">
        <v>11030</v>
      </c>
      <c r="B11031" s="7">
        <v>1</v>
      </c>
      <c r="C11031" s="7" t="s">
        <v>10</v>
      </c>
      <c r="D11031" s="7">
        <v>17225</v>
      </c>
      <c r="E11031" s="7" t="s">
        <v>11</v>
      </c>
      <c r="F11031" s="8" t="str">
        <f ca="1">IFERROR(__xludf.DUMMYFUNCTION("IF
(
C11032=""фізична особа""
,
VLOOKUP(D11032,IMPORTRANGE(""https://docs.google.com/spreadsheets/d/14Bd19lYaqBhU8_DElYkX7l4wRkHqqCUFNJY4AfY3kHU/edit?usp=sharing  #gid=0"",""фіз особи new!relations_name""),6,FALSE)
,
(IF
(
C11032=""юридична особа""
,
VLOO"&amp;"KUP(D11032,IMPORTRANGE(""https://docs.google.com/spreadsheets/d/14Bd19lYaqBhU8_DElYkX7l4wRkHqqCUFNJY4AfY3kHU/edit?usp=sharing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G11031" s="7" t="s">
        <v>10</v>
      </c>
      <c r="H11031" s="7">
        <v>17222</v>
      </c>
      <c r="I11031" s="8" t="str">
        <f ca="1">IFERROR(__xludf.DUMMYFUNCTION("IF
(
G11032=""фізична особа""
,
VLOOKUP(H11032,IMPORTRANGE(""https://docs.google.com/spreadsheets/d/14Bd19lYaqBhU8_DElYkX7l4wRkHqqCUFNJY4AfY3kHU/edit?usp=sharing  #gid=0"",""фіз особи new!relations_name""),6,FALSE)
,
(IF
(
G11032=""юридична особа""
,
VLOO"&amp;"KUP(H11032,IMPORTRANGE(""https://docs.google.com/spreadsheets/d/14Bd19lYaqBhU8_DElYkX7l4wRkHqqCUFNJY4AfY3kHU/edit?usp=sharing  #gid=0"",""фіз особи new!relations_name_uo""),7,FALSE)
,
)
))"),"ГЛАДКОВ Євгеній Володимирович")</f>
        <v>ГЛАДКОВ Євгеній Володимирович</v>
      </c>
      <c r="J11031" s="7" t="s">
        <v>11</v>
      </c>
    </row>
    <row r="11032" spans="1:10" ht="13.2">
      <c r="A11032" s="7">
        <v>11031</v>
      </c>
      <c r="B11032" s="7">
        <v>1</v>
      </c>
      <c r="C11032" s="7" t="s">
        <v>10</v>
      </c>
      <c r="D11032" s="7">
        <v>17225</v>
      </c>
      <c r="E11032" s="7" t="s">
        <v>11</v>
      </c>
      <c r="F11032" s="8" t="str">
        <f ca="1">IFERROR(__xludf.DUMMYFUNCTION("IF
(
C11033=""фізична особа""
,
VLOOKUP(D11033,IMPORTRANGE(""https://docs.google.com/spreadsheets/d/14Bd19lYaqBhU8_DElYkX7l4wRkHqqCUFNJY4AfY3kHU/edit?usp=sharing  #gid=0"",""фіз особи new!relations_name""),6,FALSE)
,
(IF
(
C11033=""юридична особа""
,
VLOO"&amp;"KUP(D11033,IMPORTRANGE(""https://docs.google.com/spreadsheets/d/14Bd19lYaqBhU8_DElYkX7l4wRkHqqCUFNJY4AfY3kHU/edit?usp=sharing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G11032" s="7" t="s">
        <v>10</v>
      </c>
      <c r="H11032" s="7">
        <v>17223</v>
      </c>
      <c r="I11032" s="8" t="str">
        <f ca="1">IFERROR(__xludf.DUMMYFUNCTION("IF
(
G11033=""фізична особа""
,
VLOOKUP(H11033,IMPORTRANGE(""https://docs.google.com/spreadsheets/d/14Bd19lYaqBhU8_DElYkX7l4wRkHqqCUFNJY4AfY3kHU/edit?usp=sharing  #gid=0"",""фіз особи new!relations_name""),6,FALSE)
,
(IF
(
G11033=""юридична особа""
,
VLOO"&amp;"KUP(H11033,IMPORTRANGE(""https://docs.google.com/spreadsheets/d/14Bd19lYaqBhU8_DElYkX7l4wRkHqqCUFNJY4AfY3kHU/edit?usp=sharing  #gid=0"",""фіз особи new!relations_name_uo""),7,FALSE)
,
)
))"),"ПІНКОВА Катерина Олександрівна")</f>
        <v>ПІНКОВА Катерина Олександрівна</v>
      </c>
      <c r="J11032" s="7" t="s">
        <v>11</v>
      </c>
    </row>
    <row r="11033" spans="1:10" ht="13.2">
      <c r="A11033" s="7">
        <v>11032</v>
      </c>
      <c r="B11033" s="7">
        <v>1</v>
      </c>
      <c r="C11033" s="7" t="s">
        <v>10</v>
      </c>
      <c r="D11033" s="7">
        <v>17225</v>
      </c>
      <c r="E11033" s="7" t="s">
        <v>11</v>
      </c>
      <c r="F11033" s="8" t="str">
        <f ca="1">IFERROR(__xludf.DUMMYFUNCTION("IF
(
C11034=""фізична особа""
,
VLOOKUP(D11034,IMPORTRANGE(""https://docs.google.com/spreadsheets/d/14Bd19lYaqBhU8_DElYkX7l4wRkHqqCUFNJY4AfY3kHU/edit?usp=sharing  #gid=0"",""фіз особи new!relations_name""),6,FALSE)
,
(IF
(
C11034=""юридична особа""
,
VLOO"&amp;"KUP(D11034,IMPORTRANGE(""https://docs.google.com/spreadsheets/d/14Bd19lYaqBhU8_DElYkX7l4wRkHqqCUFNJY4AfY3kHU/edit?usp=sharing  #gid=0"",""фіз особи new!relations_name_uo""),7,FALSE)
,
)
))"),"БАЛЯСНИКОВ Олексій Олександрович")</f>
        <v>БАЛЯСНИКОВ Олексій Олександрович</v>
      </c>
      <c r="G11033" s="7" t="s">
        <v>10</v>
      </c>
      <c r="H11033" s="7">
        <v>17224</v>
      </c>
      <c r="I11033" s="8" t="str">
        <f ca="1">IFERROR(__xludf.DUMMYFUNCTION("IF
(
G11034=""фізична особа""
,
VLOOKUP(H11034,IMPORTRANGE(""https://docs.google.com/spreadsheets/d/14Bd19lYaqBhU8_DElYkX7l4wRkHqqCUFNJY4AfY3kHU/edit?usp=sharing  #gid=0"",""фіз особи new!relations_name""),6,FALSE)
,
(IF
(
G11034=""юридична особа""
,
VLOO"&amp;"KUP(H11034,IMPORTRANGE(""https://docs.google.com/spreadsheets/d/14Bd19lYaqBhU8_DElYkX7l4wRkHqqCUFNJY4AfY3kHU/edit?usp=sharing  #gid=0"",""фіз особи new!relations_name_uo""),7,FALSE)
,
)
))"),"БАЛЯСНІКОВ Віктор Олександрович")</f>
        <v>БАЛЯСНІКОВ Віктор Олександрович</v>
      </c>
      <c r="J11033" s="7" t="s">
        <v>11</v>
      </c>
    </row>
    <row r="11034" spans="1:10" ht="13.2">
      <c r="A11034" s="7">
        <v>11033</v>
      </c>
      <c r="B11034" s="7">
        <v>1</v>
      </c>
      <c r="C11034" s="7" t="s">
        <v>10</v>
      </c>
      <c r="D11034" s="7">
        <v>17227</v>
      </c>
      <c r="E11034" s="7" t="s">
        <v>23</v>
      </c>
      <c r="F11034" s="8" t="str">
        <f ca="1">IFERROR(__xludf.DUMMYFUNCTION("IF
(
C11035=""фізична особа""
,
VLOOKUP(D11035,IMPORTRANGE(""https://docs.google.com/spreadsheets/d/14Bd19lYaqBhU8_DElYkX7l4wRkHqqCUFNJY4AfY3kHU/edit?usp=sharing  #gid=0"",""фіз особи new!relations_name""),6,FALSE)
,
(IF
(
C11035=""юридична особа""
,
VLOO"&amp;"KUP(D11035,IMPORTRANGE(""https://docs.google.com/spreadsheets/d/14Bd19lYaqBhU8_DElYkX7l4wRkHqqCUFNJY4AfY3kHU/edit?usp=sharing  #gid=0"",""фіз особи new!relations_name_uo""),7,FALSE)
,
)
))"),"КОЖИН Дмитро Федорович")</f>
        <v>КОЖИН Дмитро Федорович</v>
      </c>
      <c r="G11034" s="7" t="s">
        <v>10</v>
      </c>
      <c r="H11034" s="7">
        <v>460</v>
      </c>
      <c r="I11034" s="8" t="str">
        <f ca="1">IFERROR(__xludf.DUMMYFUNCTION("IF
(
G11035=""фізична особа""
,
VLOOKUP(H11035,IMPORTRANGE(""https://docs.google.com/spreadsheets/d/14Bd19lYaqBhU8_DElYkX7l4wRkHqqCUFNJY4AfY3kHU/edit?usp=sharing  #gid=0"",""фіз особи new!relations_name""),6,FALSE)
,
(IF
(
G11035=""юридична особа""
,
VLOO"&amp;"KUP(H11035,IMPORTRANGE(""https://docs.google.com/spreadsheets/d/14Bd19lYaqBhU8_DElYkX7l4wRkHqqCUFNJY4AfY3kHU/edit?usp=sharing  #gid=0"",""фіз особи new!relations_name_uo""),7,FALSE)
,
)
))"),"МІШУСТІН Михайло Володимирович")</f>
        <v>МІШУСТІН Михайло Володимирович</v>
      </c>
      <c r="J11034" s="7" t="s">
        <v>23</v>
      </c>
    </row>
    <row r="11035" spans="1:10" ht="13.2">
      <c r="A11035" s="7">
        <v>11034</v>
      </c>
      <c r="B11035" s="7">
        <v>1</v>
      </c>
      <c r="C11035" s="7" t="s">
        <v>10</v>
      </c>
      <c r="D11035" s="7">
        <v>17229</v>
      </c>
      <c r="E11035" s="7" t="s">
        <v>23</v>
      </c>
      <c r="F11035" s="8" t="str">
        <f ca="1">IFERROR(__xludf.DUMMYFUNCTION("IF
(
C11036=""фізична особа""
,
VLOOKUP(D11036,IMPORTRANGE(""https://docs.google.com/spreadsheets/d/14Bd19lYaqBhU8_DElYkX7l4wRkHqqCUFNJY4AfY3kHU/edit?usp=sharing  #gid=0"",""фіз особи new!relations_name""),6,FALSE)
,
(IF
(
C11036=""юридична особа""
,
VLOO"&amp;"KUP(D11036,IMPORTRANGE(""https://docs.google.com/spreadsheets/d/14Bd19lYaqBhU8_DElYkX7l4wRkHqqCUFNJY4AfY3kHU/edit?usp=sharing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35" s="7" t="s">
        <v>10</v>
      </c>
      <c r="H11035" s="7">
        <v>16750</v>
      </c>
      <c r="I11035" s="8" t="str">
        <f ca="1">IFERROR(__xludf.DUMMYFUNCTION("IF
(
G11036=""фізична особа""
,
VLOOKUP(H11036,IMPORTRANGE(""https://docs.google.com/spreadsheets/d/14Bd19lYaqBhU8_DElYkX7l4wRkHqqCUFNJY4AfY3kHU/edit?usp=sharing  #gid=0"",""фіз особи new!relations_name""),6,FALSE)
,
(IF
(
G11036=""юридична особа""
,
VLOO"&amp;"KUP(H11036,IMPORTRANGE(""https://docs.google.com/spreadsheets/d/14Bd19lYaqBhU8_DElYkX7l4wRkHqqCUFNJY4AfY3kHU/edit?usp=sharing  #gid=0"",""фіз особи new!relations_name_uo""),7,FALSE)
,
)
))"),"БАСОВ Максим Дмитрович")</f>
        <v>БАСОВ Максим Дмитрович</v>
      </c>
      <c r="J11035" s="7" t="s">
        <v>23</v>
      </c>
    </row>
    <row r="11036" spans="1:10" ht="13.2">
      <c r="A11036" s="7">
        <v>11035</v>
      </c>
      <c r="B11036" s="7">
        <v>1</v>
      </c>
      <c r="C11036" s="7" t="s">
        <v>10</v>
      </c>
      <c r="D11036" s="7">
        <v>17229</v>
      </c>
      <c r="E11036" s="7" t="s">
        <v>23</v>
      </c>
      <c r="F11036" s="8" t="str">
        <f ca="1">IFERROR(__xludf.DUMMYFUNCTION("IF
(
C11037=""фізична особа""
,
VLOOKUP(D11037,IMPORTRANGE(""https://docs.google.com/spreadsheets/d/14Bd19lYaqBhU8_DElYkX7l4wRkHqqCUFNJY4AfY3kHU/edit?usp=sharing  #gid=0"",""фіз особи new!relations_name""),6,FALSE)
,
(IF
(
C11037=""юридична особа""
,
VLOO"&amp;"KUP(D11037,IMPORTRANGE(""https://docs.google.com/spreadsheets/d/14Bd19lYaqBhU8_DElYkX7l4wRkHqqCUFNJY4AfY3kHU/edit?usp=sharing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36" s="7" t="s">
        <v>10</v>
      </c>
      <c r="H11036" s="7">
        <v>16881</v>
      </c>
      <c r="I11036" s="8" t="str">
        <f ca="1">IFERROR(__xludf.DUMMYFUNCTION("IF
(
G11037=""фізична особа""
,
VLOOKUP(H11037,IMPORTRANGE(""https://docs.google.com/spreadsheets/d/14Bd19lYaqBhU8_DElYkX7l4wRkHqqCUFNJY4AfY3kHU/edit?usp=sharing  #gid=0"",""фіз особи new!relations_name""),6,FALSE)
,
(IF
(
G11037=""юридична особа""
,
VLOO"&amp;"KUP(H11037,IMPORTRANGE(""https://docs.google.com/spreadsheets/d/14Bd19lYaqBhU8_DElYkX7l4wRkHqqCUFNJY4AfY3kHU/edit?usp=sharing  #gid=0"",""фіз особи new!relations_name_uo""),7,FALSE)
,
)
))"),"СОЛЖЕНІЦИН Степан Олександрович")</f>
        <v>СОЛЖЕНІЦИН Степан Олександрович</v>
      </c>
      <c r="J11036" s="7" t="s">
        <v>23</v>
      </c>
    </row>
    <row r="11037" spans="1:10" ht="13.2">
      <c r="A11037" s="7">
        <v>11036</v>
      </c>
      <c r="B11037" s="7">
        <v>1</v>
      </c>
      <c r="C11037" s="7" t="s">
        <v>10</v>
      </c>
      <c r="D11037" s="7">
        <v>17229</v>
      </c>
      <c r="E11037" s="7" t="s">
        <v>23</v>
      </c>
      <c r="F11037" s="8" t="str">
        <f ca="1">IFERROR(__xludf.DUMMYFUNCTION("IF
(
C11038=""фізична особа""
,
VLOOKUP(D11038,IMPORTRANGE(""https://docs.google.com/spreadsheets/d/14Bd19lYaqBhU8_DElYkX7l4wRkHqqCUFNJY4AfY3kHU/edit?usp=sharing  #gid=0"",""фіз особи new!relations_name""),6,FALSE)
,
(IF
(
C11038=""юридична особа""
,
VLOO"&amp;"KUP(D11038,IMPORTRANGE(""https://docs.google.com/spreadsheets/d/14Bd19lYaqBhU8_DElYkX7l4wRkHqqCUFNJY4AfY3kHU/edit?usp=sharing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37" s="7" t="s">
        <v>10</v>
      </c>
      <c r="H11037" s="7">
        <v>0</v>
      </c>
      <c r="I11037" s="8" t="str">
        <f ca="1">IFERROR(__xludf.DUMMYFUNCTION("IF
(
G11038=""фізична особа""
,
VLOOKUP(H11038,IMPORTRANGE(""https://docs.google.com/spreadsheets/d/14Bd19lYaqBhU8_DElYkX7l4wRkHqqCUFNJY4AfY3kHU/edit?usp=sharing  #gid=0"",""фіз особи new!relations_name""),6,FALSE)
,
(IF
(
G11038=""юридична особа""
,
VLOO"&amp;"KUP(H11038,IMPORTRANGE(""https://docs.google.com/spreadsheets/d/14Bd19lYaqBhU8_DElYkX7l4wRkHqqCUFNJY4AfY3kHU/edit?usp=sharing  #gid=0"",""фіз особи new!relations_name_uo""),7,FALSE)
,
)
))"),"#N/A")</f>
        <v>#N/A</v>
      </c>
      <c r="J11037" s="7" t="s">
        <v>23</v>
      </c>
    </row>
    <row r="11038" spans="1:10" ht="13.2">
      <c r="A11038" s="7">
        <v>11037</v>
      </c>
      <c r="B11038" s="7">
        <v>1</v>
      </c>
      <c r="C11038" s="7" t="s">
        <v>10</v>
      </c>
      <c r="D11038" s="7">
        <v>17229</v>
      </c>
      <c r="E11038" s="7" t="s">
        <v>23</v>
      </c>
      <c r="F11038" s="8" t="str">
        <f ca="1">IFERROR(__xludf.DUMMYFUNCTION("IF
(
C11039=""фізична особа""
,
VLOOKUP(D11039,IMPORTRANGE(""https://docs.google.com/spreadsheets/d/14Bd19lYaqBhU8_DElYkX7l4wRkHqqCUFNJY4AfY3kHU/edit?usp=sharing  #gid=0"",""фіз особи new!relations_name""),6,FALSE)
,
(IF
(
C11039=""юридична особа""
,
VLOO"&amp;"KUP(D11039,IMPORTRANGE(""https://docs.google.com/spreadsheets/d/14Bd19lYaqBhU8_DElYkX7l4wRkHqqCUFNJY4AfY3kHU/edit?usp=sharing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38" s="7" t="s">
        <v>10</v>
      </c>
      <c r="H11038" s="7">
        <v>0</v>
      </c>
      <c r="I11038" s="8" t="str">
        <f ca="1">IFERROR(__xludf.DUMMYFUNCTION("IF
(
G11039=""фізична особа""
,
VLOOKUP(H11039,IMPORTRANGE(""https://docs.google.com/spreadsheets/d/14Bd19lYaqBhU8_DElYkX7l4wRkHqqCUFNJY4AfY3kHU/edit?usp=sharing  #gid=0"",""фіз особи new!relations_name""),6,FALSE)
,
(IF
(
G11039=""юридична особа""
,
VLOO"&amp;"KUP(H11039,IMPORTRANGE(""https://docs.google.com/spreadsheets/d/14Bd19lYaqBhU8_DElYkX7l4wRkHqqCUFNJY4AfY3kHU/edit?usp=sharing  #gid=0"",""фіз особи new!relations_name_uo""),7,FALSE)
,
)
))"),"#N/A")</f>
        <v>#N/A</v>
      </c>
      <c r="J11038" s="7" t="s">
        <v>23</v>
      </c>
    </row>
    <row r="11039" spans="1:10" ht="13.2">
      <c r="A11039" s="7">
        <v>11038</v>
      </c>
      <c r="B11039" s="7">
        <v>1</v>
      </c>
      <c r="C11039" s="7" t="s">
        <v>10</v>
      </c>
      <c r="D11039" s="7">
        <v>17229</v>
      </c>
      <c r="E11039" s="7" t="s">
        <v>23</v>
      </c>
      <c r="F11039" s="8" t="str">
        <f ca="1">IFERROR(__xludf.DUMMYFUNCTION("IF
(
C11040=""фізична особа""
,
VLOOKUP(D11040,IMPORTRANGE(""https://docs.google.com/spreadsheets/d/14Bd19lYaqBhU8_DElYkX7l4wRkHqqCUFNJY4AfY3kHU/edit?usp=sharing  #gid=0"",""фіз особи new!relations_name""),6,FALSE)
,
(IF
(
C11040=""юридична особа""
,
VLOO"&amp;"KUP(D11040,IMPORTRANGE(""https://docs.google.com/spreadsheets/d/14Bd19lYaqBhU8_DElYkX7l4wRkHqqCUFNJY4AfY3kHU/edit?usp=sharing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39" s="7" t="s">
        <v>10</v>
      </c>
      <c r="H11039" s="7">
        <v>0</v>
      </c>
      <c r="I11039" s="8" t="str">
        <f ca="1">IFERROR(__xludf.DUMMYFUNCTION("IF
(
G11040=""фізична особа""
,
VLOOKUP(H11040,IMPORTRANGE(""https://docs.google.com/spreadsheets/d/14Bd19lYaqBhU8_DElYkX7l4wRkHqqCUFNJY4AfY3kHU/edit?usp=sharing  #gid=0"",""фіз особи new!relations_name""),6,FALSE)
,
(IF
(
G11040=""юридична особа""
,
VLOO"&amp;"KUP(H11040,IMPORTRANGE(""https://docs.google.com/spreadsheets/d/14Bd19lYaqBhU8_DElYkX7l4wRkHqqCUFNJY4AfY3kHU/edit?usp=sharing  #gid=0"",""фіз особи new!relations_name_uo""),7,FALSE)
,
)
))"),"#N/A")</f>
        <v>#N/A</v>
      </c>
      <c r="J11039" s="7" t="s">
        <v>23</v>
      </c>
    </row>
    <row r="11040" spans="1:10" ht="13.2">
      <c r="A11040" s="7">
        <v>11039</v>
      </c>
      <c r="B11040" s="7">
        <v>1</v>
      </c>
      <c r="C11040" s="7" t="s">
        <v>10</v>
      </c>
      <c r="D11040" s="7">
        <v>17229</v>
      </c>
      <c r="E11040" s="7" t="s">
        <v>23</v>
      </c>
      <c r="F11040" s="8" t="str">
        <f ca="1">IFERROR(__xludf.DUMMYFUNCTION("IF
(
C11041=""фізична особа""
,
VLOOKUP(D11041,IMPORTRANGE(""https://docs.google.com/spreadsheets/d/14Bd19lYaqBhU8_DElYkX7l4wRkHqqCUFNJY4AfY3kHU/edit?usp=sharing  #gid=0"",""фіз особи new!relations_name""),6,FALSE)
,
(IF
(
C11041=""юридична особа""
,
VLOO"&amp;"KUP(D11041,IMPORTRANGE(""https://docs.google.com/spreadsheets/d/14Bd19lYaqBhU8_DElYkX7l4wRkHqqCUFNJY4AfY3kHU/edit?usp=sharing  #gid=0"",""фіз особи new!relations_name_uo""),7,FALSE)
,
)
))"),"КАІНОВ Олександр Іванович")</f>
        <v>КАІНОВ Олександр Іванович</v>
      </c>
      <c r="G11040" s="7" t="s">
        <v>10</v>
      </c>
      <c r="H11040" s="7">
        <v>0</v>
      </c>
      <c r="I11040" s="8" t="str">
        <f ca="1">IFERROR(__xludf.DUMMYFUNCTION("IF
(
G11041=""фізична особа""
,
VLOOKUP(H11041,IMPORTRANGE(""https://docs.google.com/spreadsheets/d/14Bd19lYaqBhU8_DElYkX7l4wRkHqqCUFNJY4AfY3kHU/edit?usp=sharing  #gid=0"",""фіз особи new!relations_name""),6,FALSE)
,
(IF
(
G11041=""юридична особа""
,
VLOO"&amp;"KUP(H11041,IMPORTRANGE(""https://docs.google.com/spreadsheets/d/14Bd19lYaqBhU8_DElYkX7l4wRkHqqCUFNJY4AfY3kHU/edit?usp=sharing  #gid=0"",""фіз особи new!relations_name_uo""),7,FALSE)
,
)
))"),"#N/A")</f>
        <v>#N/A</v>
      </c>
      <c r="J11040" s="7" t="s">
        <v>23</v>
      </c>
    </row>
    <row r="11041" spans="1:10" ht="13.2">
      <c r="A11041" s="7">
        <v>11040</v>
      </c>
      <c r="B11041" s="7">
        <v>1</v>
      </c>
      <c r="C11041" s="7" t="s">
        <v>10</v>
      </c>
      <c r="D11041" s="7">
        <v>17233</v>
      </c>
      <c r="E11041" s="7" t="s">
        <v>12</v>
      </c>
      <c r="F11041" s="8" t="str">
        <f ca="1">IFERROR(__xludf.DUMMYFUNCTION("IF
(
C11042=""фізична особа""
,
VLOOKUP(D11042,IMPORTRANGE(""https://docs.google.com/spreadsheets/d/14Bd19lYaqBhU8_DElYkX7l4wRkHqqCUFNJY4AfY3kHU/edit?usp=sharing  #gid=0"",""фіз особи new!relations_name""),6,FALSE)
,
(IF
(
C11042=""юридична особа""
,
VLOO"&amp;"KUP(D11042,IMPORTRANGE(""https://docs.google.com/spreadsheets/d/14Bd19lYaqBhU8_DElYkX7l4wRkHqqCUFNJY4AfY3kHU/edit?usp=sharing  #gid=0"",""фіз особи new!relations_name_uo""),7,FALSE)
,
)
))"),"СУХАНКІН Михайло Васильович")</f>
        <v>СУХАНКІН Михайло Васильович</v>
      </c>
      <c r="G11041" s="7" t="s">
        <v>10</v>
      </c>
      <c r="H11041" s="7">
        <v>17234</v>
      </c>
      <c r="I11041" s="8" t="str">
        <f ca="1">IFERROR(__xludf.DUMMYFUNCTION("IF
(
G11042=""фізична особа""
,
VLOOKUP(H11042,IMPORTRANGE(""https://docs.google.com/spreadsheets/d/14Bd19lYaqBhU8_DElYkX7l4wRkHqqCUFNJY4AfY3kHU/edit?usp=sharing  #gid=0"",""фіз особи new!relations_name""),6,FALSE)
,
(IF
(
G11042=""юридична особа""
,
VLOO"&amp;"KUP(H11042,IMPORTRANGE(""https://docs.google.com/spreadsheets/d/14Bd19lYaqBhU8_DElYkX7l4wRkHqqCUFNJY4AfY3kHU/edit?usp=sharing  #gid=0"",""фіз особи new!relations_name_uo""),7,FALSE)
,
)
))"),"СУХАНКІН Віталій Михайлович")</f>
        <v>СУХАНКІН Віталій Михайлович</v>
      </c>
      <c r="J11041" s="7" t="s">
        <v>17</v>
      </c>
    </row>
    <row r="11042" spans="1:10" ht="13.2">
      <c r="A11042" s="7">
        <v>11041</v>
      </c>
      <c r="B11042" s="7">
        <v>1</v>
      </c>
      <c r="C11042" s="7" t="s">
        <v>10</v>
      </c>
      <c r="D11042" s="7">
        <v>17234</v>
      </c>
      <c r="E11042" s="7" t="s">
        <v>17</v>
      </c>
      <c r="F11042" s="8" t="str">
        <f ca="1">IFERROR(__xludf.DUMMYFUNCTION("IF
(
C11043=""фізична особа""
,
VLOOKUP(D11043,IMPORTRANGE(""https://docs.google.com/spreadsheets/d/14Bd19lYaqBhU8_DElYkX7l4wRkHqqCUFNJY4AfY3kHU/edit?usp=sharing  #gid=0"",""фіз особи new!relations_name""),6,FALSE)
,
(IF
(
C11043=""юридична особа""
,
VLOO"&amp;"KUP(D11043,IMPORTRANGE(""https://docs.google.com/spreadsheets/d/14Bd19lYaqBhU8_DElYkX7l4wRkHqqCUFNJY4AfY3kHU/edit?usp=sharing  #gid=0"",""фіз особи new!relations_name_uo""),7,FALSE)
,
)
))"),"СУХАНКІН Віталій Михайлович")</f>
        <v>СУХАНКІН Віталій Михайлович</v>
      </c>
      <c r="G11042" s="7" t="s">
        <v>10</v>
      </c>
      <c r="H11042" s="7">
        <v>17235</v>
      </c>
      <c r="I11042" s="8" t="str">
        <f ca="1">IFERROR(__xludf.DUMMYFUNCTION("IF
(
G11043=""фізична особа""
,
VLOOKUP(H11043,IMPORTRANGE(""https://docs.google.com/spreadsheets/d/14Bd19lYaqBhU8_DElYkX7l4wRkHqqCUFNJY4AfY3kHU/edit?usp=sharing  #gid=0"",""фіз особи new!relations_name""),6,FALSE)
,
(IF
(
G11043=""юридична особа""
,
VLOO"&amp;"KUP(H11043,IMPORTRANGE(""https://docs.google.com/spreadsheets/d/14Bd19lYaqBhU8_DElYkX7l4wRkHqqCUFNJY4AfY3kHU/edit?usp=sharing  #gid=0"",""фіз особи new!relations_name_uo""),7,FALSE)
,
)
))"),"УСОЛЬЦЕВ Олександр Олександрович")</f>
        <v>УСОЛЬЦЕВ Олександр Олександрович</v>
      </c>
      <c r="J11042" s="7" t="s">
        <v>12</v>
      </c>
    </row>
    <row r="11043" spans="1:10" ht="13.2">
      <c r="A11043" s="7">
        <v>11042</v>
      </c>
      <c r="B11043" s="7">
        <v>1</v>
      </c>
      <c r="C11043" s="7" t="s">
        <v>10</v>
      </c>
      <c r="D11043" s="7">
        <v>17240</v>
      </c>
      <c r="E11043" s="7" t="s">
        <v>14</v>
      </c>
      <c r="F11043" s="8" t="str">
        <f ca="1">IFERROR(__xludf.DUMMYFUNCTION("IF
(
C11044=""фізична особа""
,
VLOOKUP(D11044,IMPORTRANGE(""https://docs.google.com/spreadsheets/d/14Bd19lYaqBhU8_DElYkX7l4wRkHqqCUFNJY4AfY3kHU/edit?usp=sharing  #gid=0"",""фіз особи new!relations_name""),6,FALSE)
,
(IF
(
C11044=""юридична особа""
,
VLOO"&amp;"KUP(D11044,IMPORTRANGE(""https://docs.google.com/spreadsheets/d/14Bd19lYaqBhU8_DElYkX7l4wRkHqqCUFNJY4AfY3kHU/edit?usp=sharing  #gid=0"",""фіз особи new!relations_name_uo""),7,FALSE)
,
)
))"),"ШЕСТАКОВ Анатолій Зарібзянович")</f>
        <v>ШЕСТАКОВ Анатолій Зарібзянович</v>
      </c>
      <c r="G11043" s="7" t="s">
        <v>10</v>
      </c>
      <c r="H11043" s="7">
        <v>23626</v>
      </c>
      <c r="I11043" s="8" t="str">
        <f ca="1">IFERROR(__xludf.DUMMYFUNCTION("IF
(
G11044=""фізична особа""
,
VLOOKUP(H11044,IMPORTRANGE(""https://docs.google.com/spreadsheets/d/14Bd19lYaqBhU8_DElYkX7l4wRkHqqCUFNJY4AfY3kHU/edit?usp=sharing  #gid=0"",""фіз особи new!relations_name""),6,FALSE)
,
(IF
(
G11044=""юридична особа""
,
VLOO"&amp;"KUP(H11044,IMPORTRANGE(""https://docs.google.com/spreadsheets/d/14Bd19lYaqBhU8_DElYkX7l4wRkHqqCUFNJY4AfY3kHU/edit?usp=sharing  #gid=0"",""фіз особи new!relations_name_uo""),7,FALSE)
,
)
))"),"ШЕСТАКОВА Альбіна Миколаївна")</f>
        <v>ШЕСТАКОВА Альбіна Миколаївна</v>
      </c>
      <c r="J11043" s="7" t="s">
        <v>15</v>
      </c>
    </row>
    <row r="11044" spans="1:10" ht="13.2">
      <c r="A11044" s="7">
        <v>11043</v>
      </c>
      <c r="B11044" s="7">
        <v>1</v>
      </c>
      <c r="C11044" s="7" t="s">
        <v>10</v>
      </c>
      <c r="D11044" s="7">
        <v>17240</v>
      </c>
      <c r="E11044" s="7" t="s">
        <v>18</v>
      </c>
      <c r="F11044" s="8" t="str">
        <f ca="1">IFERROR(__xludf.DUMMYFUNCTION("IF
(
C11045=""фізична особа""
,
VLOOKUP(D11045,IMPORTRANGE(""https://docs.google.com/spreadsheets/d/14Bd19lYaqBhU8_DElYkX7l4wRkHqqCUFNJY4AfY3kHU/edit?usp=sharing  #gid=0"",""фіз особи new!relations_name""),6,FALSE)
,
(IF
(
C11045=""юридична особа""
,
VLOO"&amp;"KUP(D11045,IMPORTRANGE(""https://docs.google.com/spreadsheets/d/14Bd19lYaqBhU8_DElYkX7l4wRkHqqCUFNJY4AfY3kHU/edit?usp=sharing  #gid=0"",""фіз особи new!relations_name_uo""),7,FALSE)
,
)
))"),"ШЕСТАКОВ Анатолій Зарібзянович")</f>
        <v>ШЕСТАКОВ Анатолій Зарібзянович</v>
      </c>
      <c r="G11044" s="7" t="s">
        <v>10</v>
      </c>
      <c r="H11044" s="7">
        <v>23627</v>
      </c>
      <c r="I11044" s="8" t="str">
        <f ca="1">IFERROR(__xludf.DUMMYFUNCTION("IF
(
G11045=""фізична особа""
,
VLOOKUP(H11045,IMPORTRANGE(""https://docs.google.com/spreadsheets/d/14Bd19lYaqBhU8_DElYkX7l4wRkHqqCUFNJY4AfY3kHU/edit?usp=sharing  #gid=0"",""фіз особи new!relations_name""),6,FALSE)
,
(IF
(
G11045=""юридична особа""
,
VLOO"&amp;"KUP(H11045,IMPORTRANGE(""https://docs.google.com/spreadsheets/d/14Bd19lYaqBhU8_DElYkX7l4wRkHqqCUFNJY4AfY3kHU/edit?usp=sharing  #gid=0"",""фіз особи new!relations_name_uo""),7,FALSE)
,
)
))"),"ШЕСТАКОВ Володимир Зарібзянович")</f>
        <v>ШЕСТАКОВ Володимир Зарібзянович</v>
      </c>
      <c r="J11044" s="7" t="s">
        <v>18</v>
      </c>
    </row>
    <row r="11045" spans="1:10" ht="13.2">
      <c r="A11045" s="7">
        <v>11044</v>
      </c>
      <c r="B11045" s="7">
        <v>1</v>
      </c>
      <c r="C11045" s="7" t="s">
        <v>10</v>
      </c>
      <c r="D11045" s="7">
        <v>17240</v>
      </c>
      <c r="E11045" s="7" t="s">
        <v>12</v>
      </c>
      <c r="F11045" s="8" t="str">
        <f ca="1">IFERROR(__xludf.DUMMYFUNCTION("IF
(
C11046=""фізична особа""
,
VLOOKUP(D11046,IMPORTRANGE(""https://docs.google.com/spreadsheets/d/14Bd19lYaqBhU8_DElYkX7l4wRkHqqCUFNJY4AfY3kHU/edit?usp=sharing  #gid=0"",""фіз особи new!relations_name""),6,FALSE)
,
(IF
(
C11046=""юридична особа""
,
VLOO"&amp;"KUP(D11046,IMPORTRANGE(""https://docs.google.com/spreadsheets/d/14Bd19lYaqBhU8_DElYkX7l4wRkHqqCUFNJY4AfY3kHU/edit?usp=sharing  #gid=0"",""фіз особи new!relations_name_uo""),7,FALSE)
,
)
))"),"ШЕСТАКОВ Анатолій Зарібзянович")</f>
        <v>ШЕСТАКОВ Анатолій Зарібзянович</v>
      </c>
      <c r="G11045" s="7" t="s">
        <v>10</v>
      </c>
      <c r="H11045" s="7">
        <v>17241</v>
      </c>
      <c r="I11045" s="8" t="str">
        <f ca="1">IFERROR(__xludf.DUMMYFUNCTION("IF
(
G11046=""фізична особа""
,
VLOOKUP(H11046,IMPORTRANGE(""https://docs.google.com/spreadsheets/d/14Bd19lYaqBhU8_DElYkX7l4wRkHqqCUFNJY4AfY3kHU/edit?usp=sharing  #gid=0"",""фіз особи new!relations_name""),6,FALSE)
,
(IF
(
G11046=""юридична особа""
,
VLOO"&amp;"KUP(H11046,IMPORTRANGE(""https://docs.google.com/spreadsheets/d/14Bd19lYaqBhU8_DElYkX7l4wRkHqqCUFNJY4AfY3kHU/edit?usp=sharing  #gid=0"",""фіз особи new!relations_name_uo""),7,FALSE)
,
)
))"),"ШЕСТАКОВ Єгор Анатолійович")</f>
        <v>ШЕСТАКОВ Єгор Анатолійович</v>
      </c>
      <c r="J11045" s="7" t="s">
        <v>17</v>
      </c>
    </row>
    <row r="11046" spans="1:10" ht="13.2">
      <c r="A11046" s="7">
        <v>11045</v>
      </c>
      <c r="B11046" s="7">
        <v>1</v>
      </c>
      <c r="C11046" s="7" t="s">
        <v>10</v>
      </c>
      <c r="D11046" s="7">
        <v>17241</v>
      </c>
      <c r="E11046" s="7" t="s">
        <v>17</v>
      </c>
      <c r="F11046" s="8" t="str">
        <f ca="1">IFERROR(__xludf.DUMMYFUNCTION("IF
(
C11047=""фізична особа""
,
VLOOKUP(D11047,IMPORTRANGE(""https://docs.google.com/spreadsheets/d/14Bd19lYaqBhU8_DElYkX7l4wRkHqqCUFNJY4AfY3kHU/edit?usp=sharing  #gid=0"",""фіз особи new!relations_name""),6,FALSE)
,
(IF
(
C11047=""юридична особа""
,
VLOO"&amp;"KUP(D11047,IMPORTRANGE(""https://docs.google.com/spreadsheets/d/14Bd19lYaqBhU8_DElYkX7l4wRkHqqCUFNJY4AfY3kHU/edit?usp=sharing  #gid=0"",""фіз особи new!relations_name_uo""),7,FALSE)
,
)
))"),"ШЕСТАКОВ Єгор Анатолійович")</f>
        <v>ШЕСТАКОВ Єгор Анатолійович</v>
      </c>
      <c r="G11046" s="7" t="s">
        <v>10</v>
      </c>
      <c r="H11046" s="7">
        <v>17240</v>
      </c>
      <c r="I11046" s="8" t="str">
        <f ca="1">IFERROR(__xludf.DUMMYFUNCTION("IF
(
G11047=""фізична особа""
,
VLOOKUP(H11047,IMPORTRANGE(""https://docs.google.com/spreadsheets/d/14Bd19lYaqBhU8_DElYkX7l4wRkHqqCUFNJY4AfY3kHU/edit?usp=sharing  #gid=0"",""фіз особи new!relations_name""),6,FALSE)
,
(IF
(
G11047=""юридична особа""
,
VLOO"&amp;"KUP(H11047,IMPORTRANGE(""https://docs.google.com/spreadsheets/d/14Bd19lYaqBhU8_DElYkX7l4wRkHqqCUFNJY4AfY3kHU/edit?usp=sharing  #gid=0"",""фіз особи new!relations_name_uo""),7,FALSE)
,
)
))"),"ШЕСТАКОВ Анатолій Зарібзянович")</f>
        <v>ШЕСТАКОВ Анатолій Зарібзянович</v>
      </c>
      <c r="J11046" s="7" t="s">
        <v>12</v>
      </c>
    </row>
    <row r="11047" spans="1:10" ht="13.2">
      <c r="A11047" s="7">
        <v>11046</v>
      </c>
      <c r="B11047" s="7">
        <v>1</v>
      </c>
      <c r="C11047" s="7" t="s">
        <v>10</v>
      </c>
      <c r="D11047" s="7">
        <v>17241</v>
      </c>
      <c r="E11047" s="7" t="s">
        <v>17</v>
      </c>
      <c r="F11047" s="8" t="str">
        <f ca="1">IFERROR(__xludf.DUMMYFUNCTION("IF
(
C11048=""фізична особа""
,
VLOOKUP(D11048,IMPORTRANGE(""https://docs.google.com/spreadsheets/d/14Bd19lYaqBhU8_DElYkX7l4wRkHqqCUFNJY4AfY3kHU/edit?usp=sharing  #gid=0"",""фіз особи new!relations_name""),6,FALSE)
,
(IF
(
C11048=""юридична особа""
,
VLOO"&amp;"KUP(D11048,IMPORTRANGE(""https://docs.google.com/spreadsheets/d/14Bd19lYaqBhU8_DElYkX7l4wRkHqqCUFNJY4AfY3kHU/edit?usp=sharing  #gid=0"",""фіз особи new!relations_name_uo""),7,FALSE)
,
)
))"),"ШЕСТАКОВ Єгор Анатолійович")</f>
        <v>ШЕСТАКОВ Єгор Анатолійович</v>
      </c>
      <c r="G11047" s="7" t="s">
        <v>10</v>
      </c>
      <c r="H11047" s="7">
        <v>23626</v>
      </c>
      <c r="I11047" s="8" t="str">
        <f ca="1">IFERROR(__xludf.DUMMYFUNCTION("IF
(
G11048=""фізична особа""
,
VLOOKUP(H11048,IMPORTRANGE(""https://docs.google.com/spreadsheets/d/14Bd19lYaqBhU8_DElYkX7l4wRkHqqCUFNJY4AfY3kHU/edit?usp=sharing  #gid=0"",""фіз особи new!relations_name""),6,FALSE)
,
(IF
(
G11048=""юридична особа""
,
VLOO"&amp;"KUP(H11048,IMPORTRANGE(""https://docs.google.com/spreadsheets/d/14Bd19lYaqBhU8_DElYkX7l4wRkHqqCUFNJY4AfY3kHU/edit?usp=sharing  #gid=0"",""фіз особи new!relations_name_uo""),7,FALSE)
,
)
))"),"ШЕСТАКОВА Альбіна Миколаївна")</f>
        <v>ШЕСТАКОВА Альбіна Миколаївна</v>
      </c>
      <c r="J11047" s="7" t="s">
        <v>21</v>
      </c>
    </row>
    <row r="11048" spans="1:10" ht="13.2">
      <c r="A11048" s="7">
        <v>11047</v>
      </c>
      <c r="B11048" s="7">
        <v>1</v>
      </c>
      <c r="C11048" s="7" t="s">
        <v>10</v>
      </c>
      <c r="D11048" s="7">
        <v>17241</v>
      </c>
      <c r="E11048" s="7" t="s">
        <v>20</v>
      </c>
      <c r="F11048" s="8" t="str">
        <f ca="1">IFERROR(__xludf.DUMMYFUNCTION("IF
(
C11049=""фізична особа""
,
VLOOKUP(D11049,IMPORTRANGE(""https://docs.google.com/spreadsheets/d/14Bd19lYaqBhU8_DElYkX7l4wRkHqqCUFNJY4AfY3kHU/edit?usp=sharing  #gid=0"",""фіз особи new!relations_name""),6,FALSE)
,
(IF
(
C11049=""юридична особа""
,
VLOO"&amp;"KUP(D11049,IMPORTRANGE(""https://docs.google.com/spreadsheets/d/14Bd19lYaqBhU8_DElYkX7l4wRkHqqCUFNJY4AfY3kHU/edit?usp=sharing  #gid=0"",""фіз особи new!relations_name_uo""),7,FALSE)
,
)
))"),"ШЕСТАКОВ Єгор Анатолійович")</f>
        <v>ШЕСТАКОВ Єгор Анатолійович</v>
      </c>
      <c r="G11048" s="7" t="s">
        <v>10</v>
      </c>
      <c r="H11048" s="7">
        <v>23627</v>
      </c>
      <c r="I11048" s="8" t="str">
        <f ca="1">IFERROR(__xludf.DUMMYFUNCTION("IF
(
G11049=""фізична особа""
,
VLOOKUP(H11049,IMPORTRANGE(""https://docs.google.com/spreadsheets/d/14Bd19lYaqBhU8_DElYkX7l4wRkHqqCUFNJY4AfY3kHU/edit?usp=sharing  #gid=0"",""фіз особи new!relations_name""),6,FALSE)
,
(IF
(
G11049=""юридична особа""
,
VLOO"&amp;"KUP(H11049,IMPORTRANGE(""https://docs.google.com/spreadsheets/d/14Bd19lYaqBhU8_DElYkX7l4wRkHqqCUFNJY4AfY3kHU/edit?usp=sharing  #gid=0"",""фіз особи new!relations_name_uo""),7,FALSE)
,
)
))"),"ШЕСТАКОВ Володимир Зарібзянович")</f>
        <v>ШЕСТАКОВ Володимир Зарібзянович</v>
      </c>
      <c r="J11048" s="7" t="s">
        <v>19</v>
      </c>
    </row>
    <row r="11049" spans="1:10" ht="13.2">
      <c r="A11049" s="7">
        <v>11048</v>
      </c>
      <c r="B11049" s="7">
        <v>1</v>
      </c>
      <c r="C11049" s="7" t="s">
        <v>10</v>
      </c>
      <c r="D11049" s="7">
        <v>17297</v>
      </c>
      <c r="E11049" s="7" t="s">
        <v>12</v>
      </c>
      <c r="F11049" s="8" t="str">
        <f ca="1">IFERROR(__xludf.DUMMYFUNCTION("IF
(
C11050=""фізична особа""
,
VLOOKUP(D11050,IMPORTRANGE(""https://docs.google.com/spreadsheets/d/14Bd19lYaqBhU8_DElYkX7l4wRkHqqCUFNJY4AfY3kHU/edit?usp=sharing  #gid=0"",""фіз особи new!relations_name""),6,FALSE)
,
(IF
(
C11050=""юридична особа""
,
VLOO"&amp;"KUP(D11050,IMPORTRANGE(""https://docs.google.com/spreadsheets/d/14Bd19lYaqBhU8_DElYkX7l4wRkHqqCUFNJY4AfY3kHU/edit?usp=sharing  #gid=0"",""фіз особи new!relations_name_uo""),7,FALSE)
,
)
))"),"КАДУШЕВ Володимир Босхаєвич")</f>
        <v>КАДУШЕВ Володимир Босхаєвич</v>
      </c>
      <c r="G11049" s="7" t="s">
        <v>10</v>
      </c>
      <c r="H11049" s="7">
        <v>17299</v>
      </c>
      <c r="I11049" s="8" t="str">
        <f ca="1">IFERROR(__xludf.DUMMYFUNCTION("IF
(
G11050=""фізична особа""
,
VLOOKUP(H11050,IMPORTRANGE(""https://docs.google.com/spreadsheets/d/14Bd19lYaqBhU8_DElYkX7l4wRkHqqCUFNJY4AfY3kHU/edit?usp=sharing  #gid=0"",""фіз особи new!relations_name""),6,FALSE)
,
(IF
(
G11050=""юридична особа""
,
VLOO"&amp;"KUP(H11050,IMPORTRANGE(""https://docs.google.com/spreadsheets/d/14Bd19lYaqBhU8_DElYkX7l4wRkHqqCUFNJY4AfY3kHU/edit?usp=sharing  #gid=0"",""фіз особи new!relations_name_uo""),7,FALSE)
,
)
))"),"КАДУШЕВ Тімур Володимирович")</f>
        <v>КАДУШЕВ Тімур Володимирович</v>
      </c>
      <c r="J11049" s="7" t="s">
        <v>17</v>
      </c>
    </row>
    <row r="11050" spans="1:10" ht="13.2">
      <c r="A11050" s="7">
        <v>11049</v>
      </c>
      <c r="B11050" s="7">
        <v>1</v>
      </c>
      <c r="C11050" s="7" t="s">
        <v>10</v>
      </c>
      <c r="D11050" s="7">
        <v>17299</v>
      </c>
      <c r="E11050" s="7" t="s">
        <v>17</v>
      </c>
      <c r="F11050" s="8" t="str">
        <f ca="1">IFERROR(__xludf.DUMMYFUNCTION("IF
(
C11051=""фізична особа""
,
VLOOKUP(D11051,IMPORTRANGE(""https://docs.google.com/spreadsheets/d/14Bd19lYaqBhU8_DElYkX7l4wRkHqqCUFNJY4AfY3kHU/edit?usp=sharing  #gid=0"",""фіз особи new!relations_name""),6,FALSE)
,
(IF
(
C11051=""юридична особа""
,
VLOO"&amp;"KUP(D11051,IMPORTRANGE(""https://docs.google.com/spreadsheets/d/14Bd19lYaqBhU8_DElYkX7l4wRkHqqCUFNJY4AfY3kHU/edit?usp=sharing  #gid=0"",""фіз особи new!relations_name_uo""),7,FALSE)
,
)
))"),"КАДУШЕВ Тімур Володимирович")</f>
        <v>КАДУШЕВ Тімур Володимирович</v>
      </c>
      <c r="G11050" s="7" t="s">
        <v>10</v>
      </c>
      <c r="H11050" s="7">
        <v>17297</v>
      </c>
      <c r="I11050" s="8" t="str">
        <f ca="1">IFERROR(__xludf.DUMMYFUNCTION("IF
(
G11051=""фізична особа""
,
VLOOKUP(H11051,IMPORTRANGE(""https://docs.google.com/spreadsheets/d/14Bd19lYaqBhU8_DElYkX7l4wRkHqqCUFNJY4AfY3kHU/edit?usp=sharing  #gid=0"",""фіз особи new!relations_name""),6,FALSE)
,
(IF
(
G11051=""юридична особа""
,
VLOO"&amp;"KUP(H11051,IMPORTRANGE(""https://docs.google.com/spreadsheets/d/14Bd19lYaqBhU8_DElYkX7l4wRkHqqCUFNJY4AfY3kHU/edit?usp=sharing  #gid=0"",""фіз особи new!relations_name_uo""),7,FALSE)
,
)
))"),"КАДУШЕВ Володимир Босхаєвич")</f>
        <v>КАДУШЕВ Володимир Босхаєвич</v>
      </c>
      <c r="J11050" s="7" t="s">
        <v>12</v>
      </c>
    </row>
    <row r="11051" spans="1:10" ht="13.2">
      <c r="A11051" s="7">
        <v>11050</v>
      </c>
      <c r="B11051" s="7">
        <v>1</v>
      </c>
      <c r="C11051" s="7" t="s">
        <v>10</v>
      </c>
      <c r="D11051" s="7">
        <v>17332</v>
      </c>
      <c r="E11051" s="7" t="s">
        <v>17</v>
      </c>
      <c r="F11051" s="8" t="str">
        <f ca="1">IFERROR(__xludf.DUMMYFUNCTION("IF
(
C11052=""фізична особа""
,
VLOOKUP(D11052,IMPORTRANGE(""https://docs.google.com/spreadsheets/d/14Bd19lYaqBhU8_DElYkX7l4wRkHqqCUFNJY4AfY3kHU/edit?usp=sharing  #gid=0"",""фіз особи new!relations_name""),6,FALSE)
,
(IF
(
C11052=""юридична особа""
,
VLOO"&amp;"KUP(D11052,IMPORTRANGE(""https://docs.google.com/spreadsheets/d/14Bd19lYaqBhU8_DElYkX7l4wRkHqqCUFNJY4AfY3kHU/edit?usp=sharing  #gid=0"",""фіз особи new!relations_name_uo""),7,FALSE)
,
)
))"),"СОЛОДОВ Ігор Миколайович")</f>
        <v>СОЛОДОВ Ігор Миколайович</v>
      </c>
      <c r="G11051" s="7" t="s">
        <v>10</v>
      </c>
      <c r="H11051" s="7">
        <v>0</v>
      </c>
      <c r="I11051" s="8" t="str">
        <f ca="1">IFERROR(__xludf.DUMMYFUNCTION("IF
(
G11052=""фізична особа""
,
VLOOKUP(H11052,IMPORTRANGE(""https://docs.google.com/spreadsheets/d/14Bd19lYaqBhU8_DElYkX7l4wRkHqqCUFNJY4AfY3kHU/edit?usp=sharing  #gid=0"",""фіз особи new!relations_name""),6,FALSE)
,
(IF
(
G11052=""юридична особа""
,
VLOO"&amp;"KUP(H11052,IMPORTRANGE(""https://docs.google.com/spreadsheets/d/14Bd19lYaqBhU8_DElYkX7l4wRkHqqCUFNJY4AfY3kHU/edit?usp=sharing  #gid=0"",""фіз особи new!relations_name_uo""),7,FALSE)
,
)
))"),"#N/A")</f>
        <v>#N/A</v>
      </c>
      <c r="J11051" s="7" t="s">
        <v>12</v>
      </c>
    </row>
    <row r="11052" spans="1:10" ht="13.2">
      <c r="A11052" s="7">
        <v>11051</v>
      </c>
      <c r="B11052" s="7">
        <v>1</v>
      </c>
      <c r="C11052" s="7" t="s">
        <v>10</v>
      </c>
      <c r="D11052" s="7">
        <v>17332</v>
      </c>
      <c r="E11052" s="7" t="s">
        <v>17</v>
      </c>
      <c r="F11052" s="8" t="str">
        <f ca="1">IFERROR(__xludf.DUMMYFUNCTION("IF
(
C11053=""фізична особа""
,
VLOOKUP(D11053,IMPORTRANGE(""https://docs.google.com/spreadsheets/d/14Bd19lYaqBhU8_DElYkX7l4wRkHqqCUFNJY4AfY3kHU/edit?usp=sharing  #gid=0"",""фіз особи new!relations_name""),6,FALSE)
,
(IF
(
C11053=""юридична особа""
,
VLOO"&amp;"KUP(D11053,IMPORTRANGE(""https://docs.google.com/spreadsheets/d/14Bd19lYaqBhU8_DElYkX7l4wRkHqqCUFNJY4AfY3kHU/edit?usp=sharing  #gid=0"",""фіз особи new!relations_name_uo""),7,FALSE)
,
)
))"),"СОЛОДОВ Ігор Миколайович")</f>
        <v>СОЛОДОВ Ігор Миколайович</v>
      </c>
      <c r="G11052" s="7" t="s">
        <v>10</v>
      </c>
      <c r="H11052" s="7">
        <v>0</v>
      </c>
      <c r="I11052" s="8" t="str">
        <f ca="1">IFERROR(__xludf.DUMMYFUNCTION("IF
(
G11053=""фізична особа""
,
VLOOKUP(H11053,IMPORTRANGE(""https://docs.google.com/spreadsheets/d/14Bd19lYaqBhU8_DElYkX7l4wRkHqqCUFNJY4AfY3kHU/edit?usp=sharing  #gid=0"",""фіз особи new!relations_name""),6,FALSE)
,
(IF
(
G11053=""юридична особа""
,
VLOO"&amp;"KUP(H11053,IMPORTRANGE(""https://docs.google.com/spreadsheets/d/14Bd19lYaqBhU8_DElYkX7l4wRkHqqCUFNJY4AfY3kHU/edit?usp=sharing  #gid=0"",""фіз особи new!relations_name_uo""),7,FALSE)
,
)
))"),"#N/A")</f>
        <v>#N/A</v>
      </c>
      <c r="J11052" s="7" t="s">
        <v>21</v>
      </c>
    </row>
    <row r="11053" spans="1:10" ht="13.2">
      <c r="A11053" s="7">
        <v>11052</v>
      </c>
      <c r="B11053" s="7">
        <v>1</v>
      </c>
      <c r="C11053" s="7" t="s">
        <v>10</v>
      </c>
      <c r="D11053" s="7">
        <v>17400</v>
      </c>
      <c r="E11053" s="7" t="s">
        <v>28</v>
      </c>
      <c r="F11053" s="8" t="str">
        <f ca="1">IFERROR(__xludf.DUMMYFUNCTION("IF
(
C11054=""фізична особа""
,
VLOOKUP(D11054,IMPORTRANGE(""https://docs.google.com/spreadsheets/d/14Bd19lYaqBhU8_DElYkX7l4wRkHqqCUFNJY4AfY3kHU/edit?usp=sharing  #gid=0"",""фіз особи new!relations_name""),6,FALSE)
,
(IF
(
C11054=""юридична особа""
,
VLOO"&amp;"KUP(D11054,IMPORTRANGE(""https://docs.google.com/spreadsheets/d/14Bd19lYaqBhU8_DElYkX7l4wRkHqqCUFNJY4AfY3kHU/edit?usp=sharing  #gid=0"",""фіз особи new!relations_name_uo""),7,FALSE)
,
)
))"),"ТОДОРОВ Володимир Леонідович")</f>
        <v>ТОДОРОВ Володимир Леонідович</v>
      </c>
      <c r="G11053" s="7" t="s">
        <v>10</v>
      </c>
      <c r="H11053" s="7">
        <v>17403</v>
      </c>
      <c r="I11053" s="8" t="str">
        <f ca="1">IFERROR(__xludf.DUMMYFUNCTION("IF
(
G11054=""фізична особа""
,
VLOOKUP(H11054,IMPORTRANGE(""https://docs.google.com/spreadsheets/d/14Bd19lYaqBhU8_DElYkX7l4wRkHqqCUFNJY4AfY3kHU/edit?usp=sharing  #gid=0"",""фіз особи new!relations_name""),6,FALSE)
,
(IF
(
G11054=""юридична особа""
,
VLOO"&amp;"KUP(H11054,IMPORTRANGE(""https://docs.google.com/spreadsheets/d/14Bd19lYaqBhU8_DElYkX7l4wRkHqqCUFNJY4AfY3kHU/edit?usp=sharing  #gid=0"",""фіз особи new!relations_name_uo""),7,FALSE)
,
)
))"),"ШИШКІН Сергій Андрійович")</f>
        <v>ШИШКІН Сергій Андрійович</v>
      </c>
      <c r="J11053" s="7" t="s">
        <v>29</v>
      </c>
    </row>
    <row r="11054" spans="1:10" ht="13.2">
      <c r="A11054" s="7">
        <v>11053</v>
      </c>
      <c r="B11054" s="7">
        <v>1</v>
      </c>
      <c r="C11054" s="7" t="s">
        <v>10</v>
      </c>
      <c r="D11054" s="7">
        <v>17402</v>
      </c>
      <c r="E11054" s="7" t="s">
        <v>16</v>
      </c>
      <c r="F11054" s="8" t="str">
        <f ca="1">IFERROR(__xludf.DUMMYFUNCTION("IF
(
C11055=""фізична особа""
,
VLOOKUP(D11055,IMPORTRANGE(""https://docs.google.com/spreadsheets/d/14Bd19lYaqBhU8_DElYkX7l4wRkHqqCUFNJY4AfY3kHU/edit?usp=sharing  #gid=0"",""фіз особи new!relations_name""),6,FALSE)
,
(IF
(
C11055=""юридична особа""
,
VLOO"&amp;"KUP(D11055,IMPORTRANGE(""https://docs.google.com/spreadsheets/d/14Bd19lYaqBhU8_DElYkX7l4wRkHqqCUFNJY4AfY3kHU/edit?usp=sharing  #gid=0"",""фіз особи new!relations_name_uo""),7,FALSE)
,
)
))"),"РУДНОВ Сергій Олегович")</f>
        <v>РУДНОВ Сергій Олегович</v>
      </c>
      <c r="G11054" s="7" t="s">
        <v>10</v>
      </c>
      <c r="H11054" s="7">
        <v>880</v>
      </c>
      <c r="I11054" s="8" t="str">
        <f ca="1">IFERROR(__xludf.DUMMYFUNCTION("IF
(
G11055=""фізична особа""
,
VLOOKUP(H11055,IMPORTRANGE(""https://docs.google.com/spreadsheets/d/14Bd19lYaqBhU8_DElYkX7l4wRkHqqCUFNJY4AfY3kHU/edit?usp=sharing  #gid=0"",""фіз особи new!relations_name""),6,FALSE)
,
(IF
(
G11055=""юридична особа""
,
VLOO"&amp;"KUP(H11055,IMPORTRANGE(""https://docs.google.com/spreadsheets/d/14Bd19lYaqBhU8_DElYkX7l4wRkHqqCUFNJY4AfY3kHU/edit?usp=sharing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1054" s="7" t="s">
        <v>16</v>
      </c>
    </row>
    <row r="11055" spans="1:10" ht="13.2">
      <c r="A11055" s="7">
        <v>11054</v>
      </c>
      <c r="B11055" s="7">
        <v>1</v>
      </c>
      <c r="C11055" s="7" t="s">
        <v>10</v>
      </c>
      <c r="D11055" s="7">
        <v>17403</v>
      </c>
      <c r="E11055" s="7" t="s">
        <v>29</v>
      </c>
      <c r="F11055" s="8" t="str">
        <f ca="1">IFERROR(__xludf.DUMMYFUNCTION("IF
(
C11056=""фізична особа""
,
VLOOKUP(D11056,IMPORTRANGE(""https://docs.google.com/spreadsheets/d/14Bd19lYaqBhU8_DElYkX7l4wRkHqqCUFNJY4AfY3kHU/edit?usp=sharing  #gid=0"",""фіз особи new!relations_name""),6,FALSE)
,
(IF
(
C11056=""юридична особа""
,
VLOO"&amp;"KUP(D11056,IMPORTRANGE(""https://docs.google.com/spreadsheets/d/14Bd19lYaqBhU8_DElYkX7l4wRkHqqCUFNJY4AfY3kHU/edit?usp=sharing  #gid=0"",""фіз особи new!relations_name_uo""),7,FALSE)
,
)
))"),"ШИШКІН Сергій Андрійович")</f>
        <v>ШИШКІН Сергій Андрійович</v>
      </c>
      <c r="G11055" s="7" t="s">
        <v>10</v>
      </c>
      <c r="H11055" s="7">
        <v>17400</v>
      </c>
      <c r="I11055" s="8" t="str">
        <f ca="1">IFERROR(__xludf.DUMMYFUNCTION("IF
(
G11056=""фізична особа""
,
VLOOKUP(H11056,IMPORTRANGE(""https://docs.google.com/spreadsheets/d/14Bd19lYaqBhU8_DElYkX7l4wRkHqqCUFNJY4AfY3kHU/edit?usp=sharing  #gid=0"",""фіз особи new!relations_name""),6,FALSE)
,
(IF
(
G11056=""юридична особа""
,
VLOO"&amp;"KUP(H11056,IMPORTRANGE(""https://docs.google.com/spreadsheets/d/14Bd19lYaqBhU8_DElYkX7l4wRkHqqCUFNJY4AfY3kHU/edit?usp=sharing  #gid=0"",""фіз особи new!relations_name_uo""),7,FALSE)
,
)
))"),"ТОДОРОВ Володимир Леонідович")</f>
        <v>ТОДОРОВ Володимир Леонідович</v>
      </c>
      <c r="J11055" s="7" t="s">
        <v>28</v>
      </c>
    </row>
    <row r="11056" spans="1:10" ht="13.2">
      <c r="A11056" s="7">
        <v>11055</v>
      </c>
      <c r="B11056" s="7">
        <v>1</v>
      </c>
      <c r="C11056" s="7" t="s">
        <v>10</v>
      </c>
      <c r="D11056" s="7">
        <v>17403</v>
      </c>
      <c r="E11056" s="7" t="s">
        <v>29</v>
      </c>
      <c r="F11056" s="8" t="str">
        <f ca="1">IFERROR(__xludf.DUMMYFUNCTION("IF
(
C11057=""фізична особа""
,
VLOOKUP(D11057,IMPORTRANGE(""https://docs.google.com/spreadsheets/d/14Bd19lYaqBhU8_DElYkX7l4wRkHqqCUFNJY4AfY3kHU/edit?usp=sharing  #gid=0"",""фіз особи new!relations_name""),6,FALSE)
,
(IF
(
C11057=""юридична особа""
,
VLOO"&amp;"KUP(D11057,IMPORTRANGE(""https://docs.google.com/spreadsheets/d/14Bd19lYaqBhU8_DElYkX7l4wRkHqqCUFNJY4AfY3kHU/edit?usp=sharing  #gid=0"",""фіз особи new!relations_name_uo""),7,FALSE)
,
)
))"),"ШИШКІН Сергій Андрійович")</f>
        <v>ШИШКІН Сергій Андрійович</v>
      </c>
      <c r="G11056" s="7" t="s">
        <v>10</v>
      </c>
      <c r="H11056" s="7">
        <v>17404</v>
      </c>
      <c r="I11056" s="8" t="str">
        <f ca="1">IFERROR(__xludf.DUMMYFUNCTION("IF
(
G11057=""фізична особа""
,
VLOOKUP(H11057,IMPORTRANGE(""https://docs.google.com/spreadsheets/d/14Bd19lYaqBhU8_DElYkX7l4wRkHqqCUFNJY4AfY3kHU/edit?usp=sharing  #gid=0"",""фіз особи new!relations_name""),6,FALSE)
,
(IF
(
G11057=""юридична особа""
,
VLOO"&amp;"KUP(H11057,IMPORTRANGE(""https://docs.google.com/spreadsheets/d/14Bd19lYaqBhU8_DElYkX7l4wRkHqqCUFNJY4AfY3kHU/edit?usp=sharing  #gid=0"",""фіз особи new!relations_name_uo""),7,FALSE)
,
)
))"),"ЦИПЕР Андрій Сергійович")</f>
        <v>ЦИПЕР Андрій Сергійович</v>
      </c>
      <c r="J11056" s="7" t="s">
        <v>28</v>
      </c>
    </row>
    <row r="11057" spans="1:10" ht="13.2">
      <c r="A11057" s="7">
        <v>11056</v>
      </c>
      <c r="B11057" s="7">
        <v>1</v>
      </c>
      <c r="C11057" s="7" t="s">
        <v>10</v>
      </c>
      <c r="D11057" s="7">
        <v>17404</v>
      </c>
      <c r="E11057" s="7" t="s">
        <v>28</v>
      </c>
      <c r="F11057" s="8" t="str">
        <f ca="1">IFERROR(__xludf.DUMMYFUNCTION("IF
(
C11058=""фізична особа""
,
VLOOKUP(D11058,IMPORTRANGE(""https://docs.google.com/spreadsheets/d/14Bd19lYaqBhU8_DElYkX7l4wRkHqqCUFNJY4AfY3kHU/edit?usp=sharing  #gid=0"",""фіз особи new!relations_name""),6,FALSE)
,
(IF
(
C11058=""юридична особа""
,
VLOO"&amp;"KUP(D11058,IMPORTRANGE(""https://docs.google.com/spreadsheets/d/14Bd19lYaqBhU8_DElYkX7l4wRkHqqCUFNJY4AfY3kHU/edit?usp=sharing  #gid=0"",""фіз особи new!relations_name_uo""),7,FALSE)
,
)
))"),"ЦИПЕР Андрій Сергійович")</f>
        <v>ЦИПЕР Андрій Сергійович</v>
      </c>
      <c r="G11057" s="7" t="s">
        <v>10</v>
      </c>
      <c r="H11057" s="7">
        <v>17403</v>
      </c>
      <c r="I11057" s="8" t="str">
        <f ca="1">IFERROR(__xludf.DUMMYFUNCTION("IF
(
G11058=""фізична особа""
,
VLOOKUP(H11058,IMPORTRANGE(""https://docs.google.com/spreadsheets/d/14Bd19lYaqBhU8_DElYkX7l4wRkHqqCUFNJY4AfY3kHU/edit?usp=sharing  #gid=0"",""фіз особи new!relations_name""),6,FALSE)
,
(IF
(
G11058=""юридична особа""
,
VLOO"&amp;"KUP(H11058,IMPORTRANGE(""https://docs.google.com/spreadsheets/d/14Bd19lYaqBhU8_DElYkX7l4wRkHqqCUFNJY4AfY3kHU/edit?usp=sharing  #gid=0"",""фіз особи new!relations_name_uo""),7,FALSE)
,
)
))"),"ШИШКІН Сергій Андрійович")</f>
        <v>ШИШКІН Сергій Андрійович</v>
      </c>
      <c r="J11057" s="7" t="s">
        <v>29</v>
      </c>
    </row>
    <row r="11058" spans="1:10" ht="13.2">
      <c r="A11058" s="7">
        <v>11057</v>
      </c>
      <c r="B11058" s="7">
        <v>1</v>
      </c>
      <c r="C11058" s="7" t="s">
        <v>10</v>
      </c>
      <c r="D11058" s="7">
        <v>17410</v>
      </c>
      <c r="E11058" s="7" t="s">
        <v>28</v>
      </c>
      <c r="F11058" s="8" t="str">
        <f ca="1">IFERROR(__xludf.DUMMYFUNCTION("IF
(
C11059=""фізична особа""
,
VLOOKUP(D11059,IMPORTRANGE(""https://docs.google.com/spreadsheets/d/14Bd19lYaqBhU8_DElYkX7l4wRkHqqCUFNJY4AfY3kHU/edit?usp=sharing  #gid=0"",""фіз особи new!relations_name""),6,FALSE)
,
(IF
(
C11059=""юридична особа""
,
VLOO"&amp;"KUP(D11059,IMPORTRANGE(""https://docs.google.com/spreadsheets/d/14Bd19lYaqBhU8_DElYkX7l4wRkHqqCUFNJY4AfY3kHU/edit?usp=sharing  #gid=0"",""фіз особи new!relations_name_uo""),7,FALSE)
,
)
))"),"РИБІНА Ольга Генрихівна")</f>
        <v>РИБІНА Ольга Генрихівна</v>
      </c>
      <c r="G11058" s="7" t="s">
        <v>10</v>
      </c>
      <c r="H11058" s="7">
        <v>4027</v>
      </c>
      <c r="I11058" s="8" t="str">
        <f ca="1">IFERROR(__xludf.DUMMYFUNCTION("IF
(
G11059=""фізична особа""
,
VLOOKUP(H11059,IMPORTRANGE(""https://docs.google.com/spreadsheets/d/14Bd19lYaqBhU8_DElYkX7l4wRkHqqCUFNJY4AfY3kHU/edit?usp=sharing  #gid=0"",""фіз особи new!relations_name""),6,FALSE)
,
(IF
(
G11059=""юридична особа""
,
VLOO"&amp;"KUP(H11059,IMPORTRANGE(""https://docs.google.com/spreadsheets/d/14Bd19lYaqBhU8_DElYkX7l4wRkHqqCUFNJY4AfY3kHU/edit?usp=sharing  #gid=0"",""фіз особи new!relations_name_uo""),7,FALSE)
,
)
))"),"ДОБРОДЄЄВ Олег Борисович")</f>
        <v>ДОБРОДЄЄВ Олег Борисович</v>
      </c>
      <c r="J11058" s="7" t="s">
        <v>29</v>
      </c>
    </row>
    <row r="11059" spans="1:10" ht="13.2">
      <c r="A11059" s="7">
        <v>11058</v>
      </c>
      <c r="B11059" s="7">
        <v>1</v>
      </c>
      <c r="C11059" s="7" t="s">
        <v>10</v>
      </c>
      <c r="D11059" s="7">
        <v>17423</v>
      </c>
      <c r="E11059" s="7" t="s">
        <v>29</v>
      </c>
      <c r="F11059" s="8" t="str">
        <f ca="1">IFERROR(__xludf.DUMMYFUNCTION("IF
(
C11060=""фізична особа""
,
VLOOKUP(D11060,IMPORTRANGE(""https://docs.google.com/spreadsheets/d/14Bd19lYaqBhU8_DElYkX7l4wRkHqqCUFNJY4AfY3kHU/edit?usp=sharing  #gid=0"",""фіз особи new!relations_name""),6,FALSE)
,
(IF
(
C11060=""юридична особа""
,
VLOO"&amp;"KUP(D11060,IMPORTRANGE(""https://docs.google.com/spreadsheets/d/14Bd19lYaqBhU8_DElYkX7l4wRkHqqCUFNJY4AfY3kHU/edit?usp=sharing  #gid=0"",""фіз особи new!relations_name_uo""),7,FALSE)
,
)
))"),"ВАГАБОВ Геннадій Явединович")</f>
        <v>ВАГАБОВ Геннадій Явединович</v>
      </c>
      <c r="G11059" s="7" t="s">
        <v>10</v>
      </c>
      <c r="H11059" s="7">
        <v>376</v>
      </c>
      <c r="I11059" s="8" t="str">
        <f ca="1">IFERROR(__xludf.DUMMYFUNCTION("IF
(
G11060=""фізична особа""
,
VLOOKUP(H11060,IMPORTRANGE(""https://docs.google.com/spreadsheets/d/14Bd19lYaqBhU8_DElYkX7l4wRkHqqCUFNJY4AfY3kHU/edit?usp=sharing  #gid=0"",""фіз особи new!relations_name""),6,FALSE)
,
(IF
(
G11060=""юридична особа""
,
VLOO"&amp;"KUP(H11060,IMPORTRANGE(""https://docs.google.com/spreadsheets/d/14Bd19lYaqBhU8_DElYkX7l4wRkHqqCUFNJY4AfY3kHU/edit?usp=sharing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J11059" s="7" t="s">
        <v>104</v>
      </c>
    </row>
    <row r="11060" spans="1:10" ht="13.2">
      <c r="A11060" s="7">
        <v>11059</v>
      </c>
      <c r="B11060" s="7">
        <v>1</v>
      </c>
      <c r="C11060" s="7" t="s">
        <v>10</v>
      </c>
      <c r="D11060" s="7">
        <v>17432</v>
      </c>
      <c r="E11060" s="7" t="s">
        <v>28</v>
      </c>
      <c r="F11060" s="8" t="str">
        <f ca="1">IFERROR(__xludf.DUMMYFUNCTION("IF
(
C11061=""фізична особа""
,
VLOOKUP(D11061,IMPORTRANGE(""https://docs.google.com/spreadsheets/d/14Bd19lYaqBhU8_DElYkX7l4wRkHqqCUFNJY4AfY3kHU/edit?usp=sharing  #gid=0"",""фіз особи new!relations_name""),6,FALSE)
,
(IF
(
C11061=""юридична особа""
,
VLOO"&amp;"KUP(D11061,IMPORTRANGE(""https://docs.google.com/spreadsheets/d/14Bd19lYaqBhU8_DElYkX7l4wRkHqqCUFNJY4AfY3kHU/edit?usp=sharing  #gid=0"",""фіз особи new!relations_name_uo""),7,FALSE)
,
)
))"),"ШАХИДОВ Адам Сайдалаханович")</f>
        <v>ШАХИДОВ Адам Сайдалаханович</v>
      </c>
      <c r="G11060" s="7" t="s">
        <v>10</v>
      </c>
      <c r="H11060" s="7">
        <v>609</v>
      </c>
      <c r="I11060" s="8" t="str">
        <f ca="1">IFERROR(__xludf.DUMMYFUNCTION("IF
(
G11061=""фізична особа""
,
VLOOKUP(H11061,IMPORTRANGE(""https://docs.google.com/spreadsheets/d/14Bd19lYaqBhU8_DElYkX7l4wRkHqqCUFNJY4AfY3kHU/edit?usp=sharing  #gid=0"",""фіз особи new!relations_name""),6,FALSE)
,
(IF
(
G11061=""юридична особа""
,
VLOO"&amp;"KUP(H11061,IMPORTRANGE(""https://docs.google.com/spreadsheets/d/14Bd19lYaqBhU8_DElYkX7l4wRkHqqCUFNJY4AfY3kHU/edit?usp=sharing  #gid=0"",""фіз особи new!relations_name_uo""),7,FALSE)
,
)
))"),"КАДИРОВ Рамзан Ахматович")</f>
        <v>КАДИРОВ Рамзан Ахматович</v>
      </c>
      <c r="J11060" s="7" t="s">
        <v>29</v>
      </c>
    </row>
    <row r="11061" spans="1:10" ht="13.2">
      <c r="A11061" s="7">
        <v>11060</v>
      </c>
      <c r="B11061" s="7">
        <v>1</v>
      </c>
      <c r="C11061" s="7" t="s">
        <v>10</v>
      </c>
      <c r="D11061" s="7">
        <v>17465</v>
      </c>
      <c r="E11061" s="7" t="s">
        <v>11</v>
      </c>
      <c r="F11061" s="8" t="str">
        <f ca="1">IFERROR(__xludf.DUMMYFUNCTION("IF
(
C11062=""фізична особа""
,
VLOOKUP(D11062,IMPORTRANGE(""https://docs.google.com/spreadsheets/d/14Bd19lYaqBhU8_DElYkX7l4wRkHqqCUFNJY4AfY3kHU/edit?usp=sharing  #gid=0"",""фіз особи new!relations_name""),6,FALSE)
,
(IF
(
C11062=""юридична особа""
,
VLOO"&amp;"KUP(D11062,IMPORTRANGE(""https://docs.google.com/spreadsheets/d/14Bd19lYaqBhU8_DElYkX7l4wRkHqqCUFNJY4AfY3kHU/edit?usp=sharing  #gid=0"",""фіз особи new!relations_name_uo""),7,FALSE)
,
)
))"),"СОКОЛОВА Кароліна Олександрівна")</f>
        <v>СОКОЛОВА Кароліна Олександрівна</v>
      </c>
      <c r="G11061" s="7" t="s">
        <v>10</v>
      </c>
      <c r="H11061" s="7">
        <v>8592</v>
      </c>
      <c r="I11061" s="8" t="str">
        <f ca="1">IFERROR(__xludf.DUMMYFUNCTION("IF
(
G11062=""фізична особа""
,
VLOOKUP(H11062,IMPORTRANGE(""https://docs.google.com/spreadsheets/d/14Bd19lYaqBhU8_DElYkX7l4wRkHqqCUFNJY4AfY3kHU/edit?usp=sharing  #gid=0"",""фіз особи new!relations_name""),6,FALSE)
,
(IF
(
G11062=""юридична особа""
,
VLOO"&amp;"KUP(H11062,IMPORTRANGE(""https://docs.google.com/spreadsheets/d/14Bd19lYaqBhU8_DElYkX7l4wRkHqqCUFNJY4AfY3kHU/edit?usp=sharing  #gid=0"",""фіз особи new!relations_name_uo""),7,FALSE)
,
)
))"),"БАЛАНОВА Світлана Євгеніївна")</f>
        <v>БАЛАНОВА Світлана Євгеніївна</v>
      </c>
      <c r="J11061" s="7" t="s">
        <v>11</v>
      </c>
    </row>
    <row r="11062" spans="1:10" ht="13.2">
      <c r="A11062" s="7">
        <v>11061</v>
      </c>
      <c r="B11062" s="7">
        <v>1</v>
      </c>
      <c r="C11062" s="7" t="s">
        <v>10</v>
      </c>
      <c r="D11062" s="7">
        <v>17465</v>
      </c>
      <c r="E11062" s="7" t="s">
        <v>11</v>
      </c>
      <c r="F11062" s="8" t="str">
        <f ca="1">IFERROR(__xludf.DUMMYFUNCTION("IF
(
C11063=""фізична особа""
,
VLOOKUP(D11063,IMPORTRANGE(""https://docs.google.com/spreadsheets/d/14Bd19lYaqBhU8_DElYkX7l4wRkHqqCUFNJY4AfY3kHU/edit?usp=sharing  #gid=0"",""фіз особи new!relations_name""),6,FALSE)
,
(IF
(
C11063=""юридична особа""
,
VLOO"&amp;"KUP(D11063,IMPORTRANGE(""https://docs.google.com/spreadsheets/d/14Bd19lYaqBhU8_DElYkX7l4wRkHqqCUFNJY4AfY3kHU/edit?usp=sharing  #gid=0"",""фіз особи new!relations_name_uo""),7,FALSE)
,
)
))"),"СОКОЛОВА Кароліна Олександрівна")</f>
        <v>СОКОЛОВА Кароліна Олександрівна</v>
      </c>
      <c r="G11062" s="7" t="s">
        <v>10</v>
      </c>
      <c r="H11062" s="7">
        <v>0</v>
      </c>
      <c r="I11062" s="8" t="str">
        <f ca="1">IFERROR(__xludf.DUMMYFUNCTION("IF
(
G11063=""фізична особа""
,
VLOOKUP(H11063,IMPORTRANGE(""https://docs.google.com/spreadsheets/d/14Bd19lYaqBhU8_DElYkX7l4wRkHqqCUFNJY4AfY3kHU/edit?usp=sharing  #gid=0"",""фіз особи new!relations_name""),6,FALSE)
,
(IF
(
G11063=""юридична особа""
,
VLOO"&amp;"KUP(H11063,IMPORTRANGE(""https://docs.google.com/spreadsheets/d/14Bd19lYaqBhU8_DElYkX7l4wRkHqqCUFNJY4AfY3kHU/edit?usp=sharing  #gid=0"",""фіз особи new!relations_name_uo""),7,FALSE)
,
)
))"),"#N/A")</f>
        <v>#N/A</v>
      </c>
      <c r="J11062" s="7" t="s">
        <v>11</v>
      </c>
    </row>
    <row r="11063" spans="1:10" ht="13.2">
      <c r="A11063" s="7">
        <v>11062</v>
      </c>
      <c r="B11063" s="7">
        <v>1</v>
      </c>
      <c r="C11063" s="7" t="s">
        <v>10</v>
      </c>
      <c r="D11063" s="7">
        <v>17466</v>
      </c>
      <c r="E11063" s="7" t="s">
        <v>29</v>
      </c>
      <c r="F11063" s="8" t="str">
        <f ca="1">IFERROR(__xludf.DUMMYFUNCTION("IF
(
C11064=""фізична особа""
,
VLOOKUP(D11064,IMPORTRANGE(""https://docs.google.com/spreadsheets/d/14Bd19lYaqBhU8_DElYkX7l4wRkHqqCUFNJY4AfY3kHU/edit?usp=sharing  #gid=0"",""фіз особи new!relations_name""),6,FALSE)
,
(IF
(
C11064=""юридична особа""
,
VLOO"&amp;"KUP(D11064,IMPORTRANGE(""https://docs.google.com/spreadsheets/d/14Bd19lYaqBhU8_DElYkX7l4wRkHqqCUFNJY4AfY3kHU/edit?usp=sharing  #gid=0"",""фіз особи new!relations_name_uo""),7,FALSE)
,
)
))"),"ГУРКІН Олександр Олександрович")</f>
        <v>ГУРКІН Олександр Олександрович</v>
      </c>
      <c r="G11063" s="7" t="s">
        <v>10</v>
      </c>
      <c r="H11063" s="7">
        <v>581</v>
      </c>
      <c r="I11063" s="8" t="str">
        <f ca="1">IFERROR(__xludf.DUMMYFUNCTION("IF
(
G11064=""фізична особа""
,
VLOOKUP(H11064,IMPORTRANGE(""https://docs.google.com/spreadsheets/d/14Bd19lYaqBhU8_DElYkX7l4wRkHqqCUFNJY4AfY3kHU/edit?usp=sharing  #gid=0"",""фіз особи new!relations_name""),6,FALSE)
,
(IF
(
G11064=""юридична особа""
,
VLOO"&amp;"KUP(H11064,IMPORTRANGE(""https://docs.google.com/spreadsheets/d/14Bd19lYaqBhU8_DElYkX7l4wRkHqqCUFNJY4AfY3kHU/edit?usp=sharing  #gid=0"",""фіз особи new!relations_name_uo""),7,FALSE)
,
)
))"),"СКАБЄЄВА Ольга Володимирівна")</f>
        <v>СКАБЄЄВА Ольга Володимирівна</v>
      </c>
      <c r="J11063" s="7" t="s">
        <v>28</v>
      </c>
    </row>
    <row r="11064" spans="1:10" ht="13.2">
      <c r="A11064" s="7">
        <v>11063</v>
      </c>
      <c r="B11064" s="7">
        <v>1</v>
      </c>
      <c r="C11064" s="7" t="s">
        <v>10</v>
      </c>
      <c r="D11064" s="7">
        <v>17466</v>
      </c>
      <c r="E11064" s="7" t="s">
        <v>29</v>
      </c>
      <c r="F11064" s="8" t="str">
        <f ca="1">IFERROR(__xludf.DUMMYFUNCTION("IF
(
C11065=""фізична особа""
,
VLOOKUP(D11065,IMPORTRANGE(""https://docs.google.com/spreadsheets/d/14Bd19lYaqBhU8_DElYkX7l4wRkHqqCUFNJY4AfY3kHU/edit?usp=sharing  #gid=0"",""фіз особи new!relations_name""),6,FALSE)
,
(IF
(
C11065=""юридична особа""
,
VLOO"&amp;"KUP(D11065,IMPORTRANGE(""https://docs.google.com/spreadsheets/d/14Bd19lYaqBhU8_DElYkX7l4wRkHqqCUFNJY4AfY3kHU/edit?usp=sharing  #gid=0"",""фіз особи new!relations_name_uo""),7,FALSE)
,
)
))"),"ГУРКІН Олександр Олександрович")</f>
        <v>ГУРКІН Олександр Олександрович</v>
      </c>
      <c r="G11064" s="7" t="s">
        <v>10</v>
      </c>
      <c r="H11064" s="7">
        <v>245</v>
      </c>
      <c r="I11064" s="8" t="str">
        <f ca="1">IFERROR(__xludf.DUMMYFUNCTION("IF
(
G11065=""фізична особа""
,
VLOOKUP(H11065,IMPORTRANGE(""https://docs.google.com/spreadsheets/d/14Bd19lYaqBhU8_DElYkX7l4wRkHqqCUFNJY4AfY3kHU/edit?usp=sharing  #gid=0"",""фіз особи new!relations_name""),6,FALSE)
,
(IF
(
G11065=""юридична особа""
,
VLOO"&amp;"KUP(H11065,IMPORTRANGE(""https://docs.google.com/spreadsheets/d/14Bd19lYaqBhU8_DElYkX7l4wRkHqqCUFNJY4AfY3kHU/edit?usp=sharing  #gid=0"",""фіз особи new!relations_name_uo""),7,FALSE)
,
)
))"),"ПОПОВ Євген Георгійович")</f>
        <v>ПОПОВ Євген Георгійович</v>
      </c>
      <c r="J11064" s="7" t="s">
        <v>28</v>
      </c>
    </row>
    <row r="11065" spans="1:10" ht="13.2">
      <c r="A11065" s="7">
        <v>11064</v>
      </c>
      <c r="B11065" s="7">
        <v>1</v>
      </c>
      <c r="C11065" s="7" t="s">
        <v>10</v>
      </c>
      <c r="D11065" s="7">
        <v>17472</v>
      </c>
      <c r="E11065" s="7" t="s">
        <v>23</v>
      </c>
      <c r="F11065" s="8" t="str">
        <f ca="1">IFERROR(__xludf.DUMMYFUNCTION("IF
(
C11066=""фізична особа""
,
VLOOKUP(D11066,IMPORTRANGE(""https://docs.google.com/spreadsheets/d/14Bd19lYaqBhU8_DElYkX7l4wRkHqqCUFNJY4AfY3kHU/edit?usp=sharing  #gid=0"",""фіз особи new!relations_name""),6,FALSE)
,
(IF
(
C11066=""юридична особа""
,
VLOO"&amp;"KUP(D11066,IMPORTRANGE(""https://docs.google.com/spreadsheets/d/14Bd19lYaqBhU8_DElYkX7l4wRkHqqCUFNJY4AfY3kHU/edit?usp=sharing  #gid=0"",""фіз особи new!relations_name_uo""),7,FALSE)
,
)
))"),"КОРТУНОВ Андрій Вадимович")</f>
        <v>КОРТУНОВ Андрій Вадимович</v>
      </c>
      <c r="G11065" s="7" t="s">
        <v>10</v>
      </c>
      <c r="H11065" s="7">
        <v>718</v>
      </c>
      <c r="I11065" s="8" t="str">
        <f ca="1">IFERROR(__xludf.DUMMYFUNCTION("IF
(
G11066=""фізична особа""
,
VLOOKUP(H11066,IMPORTRANGE(""https://docs.google.com/spreadsheets/d/14Bd19lYaqBhU8_DElYkX7l4wRkHqqCUFNJY4AfY3kHU/edit?usp=sharing  #gid=0"",""фіз особи new!relations_name""),6,FALSE)
,
(IF
(
G11066=""юридична особа""
,
VLOO"&amp;"KUP(H11066,IMPORTRANGE(""https://docs.google.com/spreadsheets/d/14Bd19lYaqBhU8_DElYkX7l4wRkHqqCUFNJY4AfY3kHU/edit?usp=sharing  #gid=0"",""фіз особи new!relations_name_uo""),7,FALSE)
,
)
))"),"ЛАВРОВ Сергій Вікторович")</f>
        <v>ЛАВРОВ Сергій Вікторович</v>
      </c>
      <c r="J11065" s="7" t="s">
        <v>23</v>
      </c>
    </row>
    <row r="11066" spans="1:10" ht="13.2">
      <c r="A11066" s="7">
        <v>11065</v>
      </c>
      <c r="B11066" s="7">
        <v>1</v>
      </c>
      <c r="C11066" s="7" t="s">
        <v>10</v>
      </c>
      <c r="D11066" s="7">
        <v>17473</v>
      </c>
      <c r="E11066" s="7" t="s">
        <v>23</v>
      </c>
      <c r="F11066" s="8" t="str">
        <f ca="1">IFERROR(__xludf.DUMMYFUNCTION("IF
(
C11067=""фізична особа""
,
VLOOKUP(D11067,IMPORTRANGE(""https://docs.google.com/spreadsheets/d/14Bd19lYaqBhU8_DElYkX7l4wRkHqqCUFNJY4AfY3kHU/edit?usp=sharing  #gid=0"",""фіз особи new!relations_name""),6,FALSE)
,
(IF
(
C11067=""юридична особа""
,
VLOO"&amp;"KUP(D11067,IMPORTRANGE(""https://docs.google.com/spreadsheets/d/14Bd19lYaqBhU8_DElYkX7l4wRkHqqCUFNJY4AfY3kHU/edit?usp=sharing  #gid=0"",""фіз особи new!relations_name_uo""),7,FALSE)
,
)
))"),"КАРПУШИН Дмитро Олександрович")</f>
        <v>КАРПУШИН Дмитро Олександрович</v>
      </c>
      <c r="G11066" s="7" t="s">
        <v>10</v>
      </c>
      <c r="H11066" s="7">
        <v>0</v>
      </c>
      <c r="I11066" s="8" t="str">
        <f ca="1">IFERROR(__xludf.DUMMYFUNCTION("IF
(
G11067=""фізична особа""
,
VLOOKUP(H11067,IMPORTRANGE(""https://docs.google.com/spreadsheets/d/14Bd19lYaqBhU8_DElYkX7l4wRkHqqCUFNJY4AfY3kHU/edit?usp=sharing  #gid=0"",""фіз особи new!relations_name""),6,FALSE)
,
(IF
(
G11067=""юридична особа""
,
VLOO"&amp;"KUP(H11067,IMPORTRANGE(""https://docs.google.com/spreadsheets/d/14Bd19lYaqBhU8_DElYkX7l4wRkHqqCUFNJY4AfY3kHU/edit?usp=sharing  #gid=0"",""фіз особи new!relations_name_uo""),7,FALSE)
,
)
))"),"#N/A")</f>
        <v>#N/A</v>
      </c>
      <c r="J11066" s="7" t="s">
        <v>23</v>
      </c>
    </row>
    <row r="11067" spans="1:10" ht="13.2">
      <c r="A11067" s="7">
        <v>11066</v>
      </c>
      <c r="B11067" s="7">
        <v>1</v>
      </c>
      <c r="C11067" s="7" t="s">
        <v>10</v>
      </c>
      <c r="D11067" s="7">
        <v>17474</v>
      </c>
      <c r="E11067" s="7" t="s">
        <v>23</v>
      </c>
      <c r="F11067" s="8" t="str">
        <f ca="1">IFERROR(__xludf.DUMMYFUNCTION("IF
(
C11068=""фізична особа""
,
VLOOKUP(D11068,IMPORTRANGE(""https://docs.google.com/spreadsheets/d/14Bd19lYaqBhU8_DElYkX7l4wRkHqqCUFNJY4AfY3kHU/edit?usp=sharing  #gid=0"",""фіз особи new!relations_name""),6,FALSE)
,
(IF
(
C11068=""юридична особа""
,
VLOO"&amp;"KUP(D11068,IMPORTRANGE(""https://docs.google.com/spreadsheets/d/14Bd19lYaqBhU8_DElYkX7l4wRkHqqCUFNJY4AfY3kHU/edit?usp=sharing  #gid=0"",""фіз особи new!relations_name_uo""),7,FALSE)
,
)
))"),"СЄДИХ Наталія Вікторівна")</f>
        <v>СЄДИХ Наталія Вікторівна</v>
      </c>
      <c r="G11067" s="7" t="s">
        <v>10</v>
      </c>
      <c r="H11067" s="7">
        <v>8243</v>
      </c>
      <c r="I11067" s="8" t="str">
        <f ca="1">IFERROR(__xludf.DUMMYFUNCTION("IF
(
G11068=""фізична особа""
,
VLOOKUP(H11068,IMPORTRANGE(""https://docs.google.com/spreadsheets/d/14Bd19lYaqBhU8_DElYkX7l4wRkHqqCUFNJY4AfY3kHU/edit?usp=sharing  #gid=0"",""фіз особи new!relations_name""),6,FALSE)
,
(IF
(
G11068=""юридична особа""
,
VLOO"&amp;"KUP(H11068,IMPORTRANGE(""https://docs.google.com/spreadsheets/d/14Bd19lYaqBhU8_DElYkX7l4wRkHqqCUFNJY4AfY3kHU/edit?usp=sharing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11067" s="7" t="s">
        <v>23</v>
      </c>
    </row>
    <row r="11068" spans="1:10" ht="13.2">
      <c r="A11068" s="7">
        <v>11067</v>
      </c>
      <c r="B11068" s="7">
        <v>1</v>
      </c>
      <c r="C11068" s="7" t="s">
        <v>10</v>
      </c>
      <c r="D11068" s="7">
        <v>17475</v>
      </c>
      <c r="E11068" s="7" t="s">
        <v>23</v>
      </c>
      <c r="F11068" s="8" t="str">
        <f ca="1">IFERROR(__xludf.DUMMYFUNCTION("IF
(
C11069=""фізична особа""
,
VLOOKUP(D11069,IMPORTRANGE(""https://docs.google.com/spreadsheets/d/14Bd19lYaqBhU8_DElYkX7l4wRkHqqCUFNJY4AfY3kHU/edit?usp=sharing  #gid=0"",""фіз особи new!relations_name""),6,FALSE)
,
(IF
(
C11069=""юридична особа""
,
VLOO"&amp;"KUP(D11069,IMPORTRANGE(""https://docs.google.com/spreadsheets/d/14Bd19lYaqBhU8_DElYkX7l4wRkHqqCUFNJY4AfY3kHU/edit?usp=sharing  #gid=0"",""фіз особи new!relations_name_uo""),7,FALSE)
,
)
))"),"ШАШКОВА Марина Євгеніївна")</f>
        <v>ШАШКОВА Марина Євгеніївна</v>
      </c>
      <c r="G11068" s="7" t="s">
        <v>10</v>
      </c>
      <c r="H11068" s="7">
        <v>8243</v>
      </c>
      <c r="I11068" s="8" t="str">
        <f ca="1">IFERROR(__xludf.DUMMYFUNCTION("IF
(
G11069=""фізична особа""
,
VLOOKUP(H11069,IMPORTRANGE(""https://docs.google.com/spreadsheets/d/14Bd19lYaqBhU8_DElYkX7l4wRkHqqCUFNJY4AfY3kHU/edit?usp=sharing  #gid=0"",""фіз особи new!relations_name""),6,FALSE)
,
(IF
(
G11069=""юридична особа""
,
VLOO"&amp;"KUP(H11069,IMPORTRANGE(""https://docs.google.com/spreadsheets/d/14Bd19lYaqBhU8_DElYkX7l4wRkHqqCUFNJY4AfY3kHU/edit?usp=sharing  #gid=0"",""фіз особи new!relations_name_uo""),7,FALSE)
,
)
))"),"ЛЕВКОВСЬКИЙ Олександр Анатолійович")</f>
        <v>ЛЕВКОВСЬКИЙ Олександр Анатолійович</v>
      </c>
      <c r="J11068" s="7" t="s">
        <v>23</v>
      </c>
    </row>
    <row r="11069" spans="1:10" ht="13.2">
      <c r="A11069" s="7">
        <v>11068</v>
      </c>
      <c r="B11069" s="7">
        <v>1</v>
      </c>
      <c r="C11069" s="7" t="s">
        <v>10</v>
      </c>
      <c r="D11069" s="7">
        <v>17476</v>
      </c>
      <c r="E11069" s="7" t="s">
        <v>23</v>
      </c>
      <c r="F11069" s="8" t="str">
        <f ca="1">IFERROR(__xludf.DUMMYFUNCTION("IF
(
C11070=""фізична особа""
,
VLOOKUP(D11070,IMPORTRANGE(""https://docs.google.com/spreadsheets/d/14Bd19lYaqBhU8_DElYkX7l4wRkHqqCUFNJY4AfY3kHU/edit?usp=sharing  #gid=0"",""фіз особи new!relations_name""),6,FALSE)
,
(IF
(
C11070=""юридична особа""
,
VLOO"&amp;"KUP(D11070,IMPORTRANGE(""https://docs.google.com/spreadsheets/d/14Bd19lYaqBhU8_DElYkX7l4wRkHqqCUFNJY4AfY3kHU/edit?usp=sharing  #gid=0"",""фіз особи new!relations_name_uo""),7,FALSE)
,
)
))"),"ГАЛІЄВ Рушан Сагітович")</f>
        <v>ГАЛІЄВ Рушан Сагітович</v>
      </c>
      <c r="G11069" s="7" t="s">
        <v>10</v>
      </c>
      <c r="H11069" s="7">
        <v>660</v>
      </c>
      <c r="I11069" s="8" t="str">
        <f ca="1">IFERROR(__xludf.DUMMYFUNCTION("IF
(
G11070=""фізична особа""
,
VLOOKUP(H11070,IMPORTRANGE(""https://docs.google.com/spreadsheets/d/14Bd19lYaqBhU8_DElYkX7l4wRkHqqCUFNJY4AfY3kHU/edit?usp=sharing  #gid=0"",""фіз особи new!relations_name""),6,FALSE)
,
(IF
(
G11070=""юридична особа""
,
VLOO"&amp;"KUP(H11070,IMPORTRANGE(""https://docs.google.com/spreadsheets/d/14Bd19lYaqBhU8_DElYkX7l4wRkHqqCUFNJY4AfY3kHU/edit?usp=sharing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J11069" s="7" t="s">
        <v>23</v>
      </c>
    </row>
    <row r="11070" spans="1:10" ht="13.2">
      <c r="A11070" s="7">
        <v>11069</v>
      </c>
      <c r="B11070" s="7">
        <v>1</v>
      </c>
      <c r="C11070" s="7" t="s">
        <v>10</v>
      </c>
      <c r="D11070" s="7">
        <v>17477</v>
      </c>
      <c r="E11070" s="7" t="s">
        <v>23</v>
      </c>
      <c r="F11070" s="8" t="str">
        <f ca="1">IFERROR(__xludf.DUMMYFUNCTION("IF
(
C11071=""фізична особа""
,
VLOOKUP(D11071,IMPORTRANGE(""https://docs.google.com/spreadsheets/d/14Bd19lYaqBhU8_DElYkX7l4wRkHqqCUFNJY4AfY3kHU/edit?usp=sharing  #gid=0"",""фіз особи new!relations_name""),6,FALSE)
,
(IF
(
C11071=""юридична особа""
,
VLOO"&amp;"KUP(D11071,IMPORTRANGE(""https://docs.google.com/spreadsheets/d/14Bd19lYaqBhU8_DElYkX7l4wRkHqqCUFNJY4AfY3kHU/edit?usp=sharing  #gid=0"",""фіз особи new!relations_name_uo""),7,FALSE)
,
)
))"),"КАЛІНКІНА Ірина Юріївна")</f>
        <v>КАЛІНКІНА Ірина Юріївна</v>
      </c>
      <c r="G11070" s="7" t="s">
        <v>10</v>
      </c>
      <c r="H11070" s="7">
        <v>660</v>
      </c>
      <c r="I11070" s="8" t="str">
        <f ca="1">IFERROR(__xludf.DUMMYFUNCTION("IF
(
G11071=""фізична особа""
,
VLOOKUP(H11071,IMPORTRANGE(""https://docs.google.com/spreadsheets/d/14Bd19lYaqBhU8_DElYkX7l4wRkHqqCUFNJY4AfY3kHU/edit?usp=sharing  #gid=0"",""фіз особи new!relations_name""),6,FALSE)
,
(IF
(
G11071=""юридична особа""
,
VLOO"&amp;"KUP(H11071,IMPORTRANGE(""https://docs.google.com/spreadsheets/d/14Bd19lYaqBhU8_DElYkX7l4wRkHqqCUFNJY4AfY3kHU/edit?usp=sharing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J11070" s="7" t="s">
        <v>23</v>
      </c>
    </row>
    <row r="11071" spans="1:10" ht="13.2">
      <c r="A11071" s="7">
        <v>11070</v>
      </c>
      <c r="B11071" s="7">
        <v>1</v>
      </c>
      <c r="C11071" s="7" t="s">
        <v>10</v>
      </c>
      <c r="D11071" s="7">
        <v>17478</v>
      </c>
      <c r="E11071" s="7" t="s">
        <v>23</v>
      </c>
      <c r="F11071" s="8" t="str">
        <f ca="1">IFERROR(__xludf.DUMMYFUNCTION("IF
(
C11072=""фізична особа""
,
VLOOKUP(D11072,IMPORTRANGE(""https://docs.google.com/spreadsheets/d/14Bd19lYaqBhU8_DElYkX7l4wRkHqqCUFNJY4AfY3kHU/edit?usp=sharing  #gid=0"",""фіз особи new!relations_name""),6,FALSE)
,
(IF
(
C11072=""юридична особа""
,
VLOO"&amp;"KUP(D11072,IMPORTRANGE(""https://docs.google.com/spreadsheets/d/14Bd19lYaqBhU8_DElYkX7l4wRkHqqCUFNJY4AfY3kHU/edit?usp=sharing  #gid=0"",""фіз особи new!relations_name_uo""),7,FALSE)
,
)
))"),"КОНОВАЛОВ Максим Юрійович")</f>
        <v>КОНОВАЛОВ Максим Юрійович</v>
      </c>
      <c r="G11071" s="7" t="s">
        <v>10</v>
      </c>
      <c r="H11071" s="7">
        <v>660</v>
      </c>
      <c r="I11071" s="8" t="str">
        <f ca="1">IFERROR(__xludf.DUMMYFUNCTION("IF
(
G11072=""фізична особа""
,
VLOOKUP(H11072,IMPORTRANGE(""https://docs.google.com/spreadsheets/d/14Bd19lYaqBhU8_DElYkX7l4wRkHqqCUFNJY4AfY3kHU/edit?usp=sharing  #gid=0"",""фіз особи new!relations_name""),6,FALSE)
,
(IF
(
G11072=""юридична особа""
,
VLOO"&amp;"KUP(H11072,IMPORTRANGE(""https://docs.google.com/spreadsheets/d/14Bd19lYaqBhU8_DElYkX7l4wRkHqqCUFNJY4AfY3kHU/edit?usp=sharing  #gid=0"",""фіз особи new!relations_name_uo""),7,FALSE)
,
)
))"),"ІВАНОВ Сергій Борисович")</f>
        <v>ІВАНОВ Сергій Борисович</v>
      </c>
      <c r="J11071" s="7" t="s">
        <v>23</v>
      </c>
    </row>
    <row r="11072" spans="1:10" ht="13.2">
      <c r="A11072" s="7">
        <v>11071</v>
      </c>
      <c r="B11072" s="7">
        <v>1</v>
      </c>
      <c r="C11072" s="7" t="s">
        <v>10</v>
      </c>
      <c r="D11072" s="7">
        <v>17482</v>
      </c>
      <c r="E11072" s="7" t="s">
        <v>14</v>
      </c>
      <c r="F11072" s="8" t="str">
        <f ca="1">IFERROR(__xludf.DUMMYFUNCTION("IF
(
C11073=""фізична особа""
,
VLOOKUP(D11073,IMPORTRANGE(""https://docs.google.com/spreadsheets/d/14Bd19lYaqBhU8_DElYkX7l4wRkHqqCUFNJY4AfY3kHU/edit?usp=sharing  #gid=0"",""фіз особи new!relations_name""),6,FALSE)
,
(IF
(
C11073=""юридична особа""
,
VLOO"&amp;"KUP(D11073,IMPORTRANGE(""https://docs.google.com/spreadsheets/d/14Bd19lYaqBhU8_DElYkX7l4wRkHqqCUFNJY4AfY3kHU/edit?usp=sharing  #gid=0"",""фіз особи new!relations_name_uo""),7,FALSE)
,
)
))"),"МІШИН Віктор Максимович")</f>
        <v>МІШИН Віктор Максимович</v>
      </c>
      <c r="G11072" s="7" t="s">
        <v>10</v>
      </c>
      <c r="H11072" s="7">
        <v>0</v>
      </c>
      <c r="I11072" s="8" t="str">
        <f ca="1">IFERROR(__xludf.DUMMYFUNCTION("IF
(
G11073=""фізична особа""
,
VLOOKUP(H11073,IMPORTRANGE(""https://docs.google.com/spreadsheets/d/14Bd19lYaqBhU8_DElYkX7l4wRkHqqCUFNJY4AfY3kHU/edit?usp=sharing  #gid=0"",""фіз особи new!relations_name""),6,FALSE)
,
(IF
(
G11073=""юридична особа""
,
VLOO"&amp;"KUP(H11073,IMPORTRANGE(""https://docs.google.com/spreadsheets/d/14Bd19lYaqBhU8_DElYkX7l4wRkHqqCUFNJY4AfY3kHU/edit?usp=sharing  #gid=0"",""фіз особи new!relations_name_uo""),7,FALSE)
,
)
))"),"#N/A")</f>
        <v>#N/A</v>
      </c>
      <c r="J11072" s="7" t="s">
        <v>15</v>
      </c>
    </row>
    <row r="11073" spans="1:10" ht="13.2">
      <c r="A11073" s="7">
        <v>11072</v>
      </c>
      <c r="B11073" s="7">
        <v>1</v>
      </c>
      <c r="C11073" s="7" t="s">
        <v>10</v>
      </c>
      <c r="D11073" s="7">
        <v>17482</v>
      </c>
      <c r="E11073" s="7" t="s">
        <v>12</v>
      </c>
      <c r="F11073" s="8" t="str">
        <f ca="1">IFERROR(__xludf.DUMMYFUNCTION("IF
(
C11074=""фізична особа""
,
VLOOKUP(D11074,IMPORTRANGE(""https://docs.google.com/spreadsheets/d/14Bd19lYaqBhU8_DElYkX7l4wRkHqqCUFNJY4AfY3kHU/edit?usp=sharing  #gid=0"",""фіз особи new!relations_name""),6,FALSE)
,
(IF
(
C11074=""юридична особа""
,
VLOO"&amp;"KUP(D11074,IMPORTRANGE(""https://docs.google.com/spreadsheets/d/14Bd19lYaqBhU8_DElYkX7l4wRkHqqCUFNJY4AfY3kHU/edit?usp=sharing  #gid=0"",""фіз особи new!relations_name_uo""),7,FALSE)
,
)
))"),"МІШИН Віктор Максимович")</f>
        <v>МІШИН Віктор Максимович</v>
      </c>
      <c r="G11073" s="7" t="s">
        <v>10</v>
      </c>
      <c r="H11073" s="7">
        <v>0</v>
      </c>
      <c r="I11073" s="8" t="str">
        <f ca="1">IFERROR(__xludf.DUMMYFUNCTION("IF
(
G11074=""фізична особа""
,
VLOOKUP(H11074,IMPORTRANGE(""https://docs.google.com/spreadsheets/d/14Bd19lYaqBhU8_DElYkX7l4wRkHqqCUFNJY4AfY3kHU/edit?usp=sharing  #gid=0"",""фіз особи new!relations_name""),6,FALSE)
,
(IF
(
G11074=""юридична особа""
,
VLOO"&amp;"KUP(H11074,IMPORTRANGE(""https://docs.google.com/spreadsheets/d/14Bd19lYaqBhU8_DElYkX7l4wRkHqqCUFNJY4AfY3kHU/edit?usp=sharing  #gid=0"",""фіз особи new!relations_name_uo""),7,FALSE)
,
)
))"),"#N/A")</f>
        <v>#N/A</v>
      </c>
      <c r="J11073" s="7" t="s">
        <v>17</v>
      </c>
    </row>
    <row r="11074" spans="1:10" ht="13.2">
      <c r="A11074" s="7">
        <v>11073</v>
      </c>
      <c r="B11074" s="7">
        <v>1</v>
      </c>
      <c r="C11074" s="7" t="s">
        <v>10</v>
      </c>
      <c r="D11074" s="7">
        <v>17492</v>
      </c>
      <c r="E11074" s="7" t="s">
        <v>23</v>
      </c>
      <c r="F11074" s="8" t="str">
        <f ca="1">IFERROR(__xludf.DUMMYFUNCTION("IF
(
C11075=""фізична особа""
,
VLOOKUP(D11075,IMPORTRANGE(""https://docs.google.com/spreadsheets/d/14Bd19lYaqBhU8_DElYkX7l4wRkHqqCUFNJY4AfY3kHU/edit?usp=sharing  #gid=0"",""фіз особи new!relations_name""),6,FALSE)
,
(IF
(
C11075=""юридична особа""
,
VLOO"&amp;"KUP(D11075,IMPORTRANGE(""https://docs.google.com/spreadsheets/d/14Bd19lYaqBhU8_DElYkX7l4wRkHqqCUFNJY4AfY3kHU/edit?usp=sharing  #gid=0"",""фіз особи new!relations_name_uo""),7,FALSE)
,
)
))"),"ГАЛАКТІОНОВА Інесса Василівна")</f>
        <v>ГАЛАКТІОНОВА Інесса Василівна</v>
      </c>
      <c r="G11074" s="7" t="s">
        <v>10</v>
      </c>
      <c r="H11074" s="7">
        <v>6670</v>
      </c>
      <c r="I11074" s="8" t="str">
        <f ca="1">IFERROR(__xludf.DUMMYFUNCTION("IF
(
G11075=""фізична особа""
,
VLOOKUP(H11075,IMPORTRANGE(""https://docs.google.com/spreadsheets/d/14Bd19lYaqBhU8_DElYkX7l4wRkHqqCUFNJY4AfY3kHU/edit?usp=sharing  #gid=0"",""фіз особи new!relations_name""),6,FALSE)
,
(IF
(
G11075=""юридична особа""
,
VLOO"&amp;"KUP(H11075,IMPORTRANGE(""https://docs.google.com/spreadsheets/d/14Bd19lYaqBhU8_DElYkX7l4wRkHqqCUFNJY4AfY3kHU/edit?usp=sharing  #gid=0"",""фіз особи new!relations_name_uo""),7,FALSE)
,
)
))"),"НІКОЛАЄВ Вячеслав Костянтинович")</f>
        <v>НІКОЛАЄВ Вячеслав Костянтинович</v>
      </c>
      <c r="J11074" s="7" t="s">
        <v>23</v>
      </c>
    </row>
    <row r="11075" spans="1:10" ht="13.2">
      <c r="A11075" s="7">
        <v>11074</v>
      </c>
      <c r="B11075" s="7">
        <v>1</v>
      </c>
      <c r="C11075" s="7" t="s">
        <v>10</v>
      </c>
      <c r="D11075" s="7">
        <v>17493</v>
      </c>
      <c r="E11075" s="7" t="s">
        <v>23</v>
      </c>
      <c r="F11075" s="8" t="str">
        <f ca="1">IFERROR(__xludf.DUMMYFUNCTION("IF
(
C11076=""фізична особа""
,
VLOOKUP(D11076,IMPORTRANGE(""https://docs.google.com/spreadsheets/d/14Bd19lYaqBhU8_DElYkX7l4wRkHqqCUFNJY4AfY3kHU/edit?usp=sharing  #gid=0"",""фіз особи new!relations_name""),6,FALSE)
,
(IF
(
C11076=""юридична особа""
,
VLOO"&amp;"KUP(D11076,IMPORTRANGE(""https://docs.google.com/spreadsheets/d/14Bd19lYaqBhU8_DElYkX7l4wRkHqqCUFNJY4AfY3kHU/edit?usp=sharing  #gid=0"",""фіз особи new!relations_name_uo""),7,FALSE)
,
)
))"),"КАМЕНСЬКИЙ Андрій Михайлович")</f>
        <v>КАМЕНСЬКИЙ Андрій Михайлович</v>
      </c>
      <c r="G11075" s="7" t="s">
        <v>10</v>
      </c>
      <c r="H11075" s="7">
        <v>6670</v>
      </c>
      <c r="I11075" s="8" t="str">
        <f ca="1">IFERROR(__xludf.DUMMYFUNCTION("IF
(
G11076=""фізична особа""
,
VLOOKUP(H11076,IMPORTRANGE(""https://docs.google.com/spreadsheets/d/14Bd19lYaqBhU8_DElYkX7l4wRkHqqCUFNJY4AfY3kHU/edit?usp=sharing  #gid=0"",""фіз особи new!relations_name""),6,FALSE)
,
(IF
(
G11076=""юридична особа""
,
VLOO"&amp;"KUP(H11076,IMPORTRANGE(""https://docs.google.com/spreadsheets/d/14Bd19lYaqBhU8_DElYkX7l4wRkHqqCUFNJY4AfY3kHU/edit?usp=sharing  #gid=0"",""фіз особи new!relations_name_uo""),7,FALSE)
,
)
))"),"НІКОЛАЄВ Вячеслав Костянтинович")</f>
        <v>НІКОЛАЄВ Вячеслав Костянтинович</v>
      </c>
      <c r="J11075" s="7" t="s">
        <v>23</v>
      </c>
    </row>
    <row r="11076" spans="1:10" ht="13.2">
      <c r="A11076" s="7">
        <v>11075</v>
      </c>
      <c r="B11076" s="7">
        <v>1</v>
      </c>
      <c r="C11076" s="7" t="s">
        <v>10</v>
      </c>
      <c r="D11076" s="7">
        <v>17494</v>
      </c>
      <c r="E11076" s="7" t="s">
        <v>23</v>
      </c>
      <c r="F11076" s="8" t="str">
        <f ca="1">IFERROR(__xludf.DUMMYFUNCTION("IF
(
C11077=""фізична особа""
,
VLOOKUP(D11077,IMPORTRANGE(""https://docs.google.com/spreadsheets/d/14Bd19lYaqBhU8_DElYkX7l4wRkHqqCUFNJY4AfY3kHU/edit?usp=sharing  #gid=0"",""фіз особи new!relations_name""),6,FALSE)
,
(IF
(
C11077=""юридична особа""
,
VLOO"&amp;"KUP(D11077,IMPORTRANGE(""https://docs.google.com/spreadsheets/d/14Bd19lYaqBhU8_DElYkX7l4wRkHqqCUFNJY4AfY3kHU/edit?usp=sharing  #gid=0"",""фіз особи new!relations_name_uo""),7,FALSE)
,
)
))"),"КОРНЯ Олексій Валерійович")</f>
        <v>КОРНЯ Олексій Валерійович</v>
      </c>
      <c r="G11076" s="7" t="s">
        <v>10</v>
      </c>
      <c r="H11076" s="7">
        <v>0</v>
      </c>
      <c r="I11076" s="8" t="str">
        <f ca="1">IFERROR(__xludf.DUMMYFUNCTION("IF
(
G11077=""фізична особа""
,
VLOOKUP(H11077,IMPORTRANGE(""https://docs.google.com/spreadsheets/d/14Bd19lYaqBhU8_DElYkX7l4wRkHqqCUFNJY4AfY3kHU/edit?usp=sharing  #gid=0"",""фіз особи new!relations_name""),6,FALSE)
,
(IF
(
G11077=""юридична особа""
,
VLOO"&amp;"KUP(H11077,IMPORTRANGE(""https://docs.google.com/spreadsheets/d/14Bd19lYaqBhU8_DElYkX7l4wRkHqqCUFNJY4AfY3kHU/edit?usp=sharing  #gid=0"",""фіз особи new!relations_name_uo""),7,FALSE)
,
)
))"),"#N/A")</f>
        <v>#N/A</v>
      </c>
      <c r="J11076" s="7" t="s">
        <v>23</v>
      </c>
    </row>
    <row r="11077" spans="1:10" ht="13.2">
      <c r="A11077" s="7">
        <v>11076</v>
      </c>
      <c r="B11077" s="7">
        <v>1</v>
      </c>
      <c r="C11077" s="7" t="s">
        <v>10</v>
      </c>
      <c r="D11077" s="7">
        <v>17494</v>
      </c>
      <c r="E11077" s="7" t="s">
        <v>23</v>
      </c>
      <c r="F11077" s="8" t="str">
        <f ca="1">IFERROR(__xludf.DUMMYFUNCTION("IF
(
C11078=""фізична особа""
,
VLOOKUP(D11078,IMPORTRANGE(""https://docs.google.com/spreadsheets/d/14Bd19lYaqBhU8_DElYkX7l4wRkHqqCUFNJY4AfY3kHU/edit?usp=sharing  #gid=0"",""фіз особи new!relations_name""),6,FALSE)
,
(IF
(
C11078=""юридична особа""
,
VLOO"&amp;"KUP(D11078,IMPORTRANGE(""https://docs.google.com/spreadsheets/d/14Bd19lYaqBhU8_DElYkX7l4wRkHqqCUFNJY4AfY3kHU/edit?usp=sharing  #gid=0"",""фіз особи new!relations_name_uo""),7,FALSE)
,
)
))"),"КОРНЯ Олексій Валерійович")</f>
        <v>КОРНЯ Олексій Валерійович</v>
      </c>
      <c r="G11077" s="7" t="s">
        <v>10</v>
      </c>
      <c r="H11077" s="7">
        <v>6670</v>
      </c>
      <c r="I11077" s="8" t="str">
        <f ca="1">IFERROR(__xludf.DUMMYFUNCTION("IF
(
G11078=""фізична особа""
,
VLOOKUP(H11078,IMPORTRANGE(""https://docs.google.com/spreadsheets/d/14Bd19lYaqBhU8_DElYkX7l4wRkHqqCUFNJY4AfY3kHU/edit?usp=sharing  #gid=0"",""фіз особи new!relations_name""),6,FALSE)
,
(IF
(
G11078=""юридична особа""
,
VLOO"&amp;"KUP(H11078,IMPORTRANGE(""https://docs.google.com/spreadsheets/d/14Bd19lYaqBhU8_DElYkX7l4wRkHqqCUFNJY4AfY3kHU/edit?usp=sharing  #gid=0"",""фіз особи new!relations_name_uo""),7,FALSE)
,
)
))"),"НІКОЛАЄВ Вячеслав Костянтинович")</f>
        <v>НІКОЛАЄВ Вячеслав Костянтинович</v>
      </c>
      <c r="J11077" s="7" t="s">
        <v>23</v>
      </c>
    </row>
    <row r="11078" spans="1:10" ht="13.2">
      <c r="A11078" s="7">
        <v>11077</v>
      </c>
      <c r="B11078" s="7">
        <v>1</v>
      </c>
      <c r="C11078" s="7" t="s">
        <v>10</v>
      </c>
      <c r="D11078" s="7">
        <v>17495</v>
      </c>
      <c r="E11078" s="7" t="s">
        <v>23</v>
      </c>
      <c r="F11078" s="8" t="str">
        <f ca="1">IFERROR(__xludf.DUMMYFUNCTION("IF
(
C11079=""фізична особа""
,
VLOOKUP(D11079,IMPORTRANGE(""https://docs.google.com/spreadsheets/d/14Bd19lYaqBhU8_DElYkX7l4wRkHqqCUFNJY4AfY3kHU/edit?usp=sharing  #gid=0"",""фіз особи new!relations_name""),6,FALSE)
,
(IF
(
C11079=""юридична особа""
,
VLOO"&amp;"KUP(D11079,IMPORTRANGE(""https://docs.google.com/spreadsheets/d/14Bd19lYaqBhU8_DElYkX7l4wRkHqqCUFNJY4AfY3kHU/edit?usp=sharing  #gid=0"",""фіз особи new!relations_name_uo""),7,FALSE)
,
)
))"),"ІКАТОВ Сергій Олександрович")</f>
        <v>ІКАТОВ Сергій Олександрович</v>
      </c>
      <c r="G11078" s="7" t="s">
        <v>10</v>
      </c>
      <c r="H11078" s="7">
        <v>8488</v>
      </c>
      <c r="I11078" s="8" t="str">
        <f ca="1">IFERROR(__xludf.DUMMYFUNCTION("IF
(
G11079=""фізична особа""
,
VLOOKUP(H11079,IMPORTRANGE(""https://docs.google.com/spreadsheets/d/14Bd19lYaqBhU8_DElYkX7l4wRkHqqCUFNJY4AfY3kHU/edit?usp=sharing  #gid=0"",""фіз особи new!relations_name""),6,FALSE)
,
(IF
(
G11079=""юридична особа""
,
VLOO"&amp;"KUP(H11079,IMPORTRANGE(""https://docs.google.com/spreadsheets/d/14Bd19lYaqBhU8_DElYkX7l4wRkHqqCUFNJY4AfY3kHU/edit?usp=sharing  #gid=0"",""фіз особи new!relations_name_uo""),7,FALSE)
,
)
))"),"САМОХВАЛОВ Олександр Володимирович")</f>
        <v>САМОХВАЛОВ Олександр Володимирович</v>
      </c>
      <c r="J11078" s="7" t="s">
        <v>23</v>
      </c>
    </row>
    <row r="11079" spans="1:10" ht="13.2">
      <c r="A11079" s="7">
        <v>11078</v>
      </c>
      <c r="B11079" s="7">
        <v>1</v>
      </c>
      <c r="C11079" s="7" t="s">
        <v>10</v>
      </c>
      <c r="D11079" s="7">
        <v>17495</v>
      </c>
      <c r="E11079" s="7" t="s">
        <v>23</v>
      </c>
      <c r="F11079" s="8" t="str">
        <f ca="1">IFERROR(__xludf.DUMMYFUNCTION("IF
(
C11080=""фізична особа""
,
VLOOKUP(D11080,IMPORTRANGE(""https://docs.google.com/spreadsheets/d/14Bd19lYaqBhU8_DElYkX7l4wRkHqqCUFNJY4AfY3kHU/edit?usp=sharing  #gid=0"",""фіз особи new!relations_name""),6,FALSE)
,
(IF
(
C11080=""юридична особа""
,
VLOO"&amp;"KUP(D11080,IMPORTRANGE(""https://docs.google.com/spreadsheets/d/14Bd19lYaqBhU8_DElYkX7l4wRkHqqCUFNJY4AfY3kHU/edit?usp=sharing  #gid=0"",""фіз особи new!relations_name_uo""),7,FALSE)
,
)
))"),"ІКАТОВ Сергій Олександрович")</f>
        <v>ІКАТОВ Сергій Олександрович</v>
      </c>
      <c r="G11079" s="7" t="s">
        <v>10</v>
      </c>
      <c r="H11079" s="7">
        <v>8490</v>
      </c>
      <c r="I11079" s="8" t="str">
        <f ca="1">IFERROR(__xludf.DUMMYFUNCTION("IF
(
G11080=""фізична особа""
,
VLOOKUP(H11080,IMPORTRANGE(""https://docs.google.com/spreadsheets/d/14Bd19lYaqBhU8_DElYkX7l4wRkHqqCUFNJY4AfY3kHU/edit?usp=sharing  #gid=0"",""фіз особи new!relations_name""),6,FALSE)
,
(IF
(
G11080=""юридична особа""
,
VLOO"&amp;"KUP(H11080,IMPORTRANGE(""https://docs.google.com/spreadsheets/d/14Bd19lYaqBhU8_DElYkX7l4wRkHqqCUFNJY4AfY3kHU/edit?usp=sharing  #gid=0"",""фіз особи new!relations_name_uo""),7,FALSE)
,
)
))"),"ТАРИКО Рустам Васильович")</f>
        <v>ТАРИКО Рустам Васильович</v>
      </c>
      <c r="J11079" s="7" t="s">
        <v>23</v>
      </c>
    </row>
    <row r="11080" spans="1:10" ht="13.2">
      <c r="A11080" s="7">
        <v>11079</v>
      </c>
      <c r="B11080" s="7">
        <v>1</v>
      </c>
      <c r="C11080" s="7" t="s">
        <v>10</v>
      </c>
      <c r="D11080" s="7">
        <v>17495</v>
      </c>
      <c r="E11080" s="7" t="s">
        <v>23</v>
      </c>
      <c r="F11080" s="8" t="str">
        <f ca="1">IFERROR(__xludf.DUMMYFUNCTION("IF
(
C11081=""фізична особа""
,
VLOOKUP(D11081,IMPORTRANGE(""https://docs.google.com/spreadsheets/d/14Bd19lYaqBhU8_DElYkX7l4wRkHqqCUFNJY4AfY3kHU/edit?usp=sharing  #gid=0"",""фіз особи new!relations_name""),6,FALSE)
,
(IF
(
C11081=""юридична особа""
,
VLOO"&amp;"KUP(D11081,IMPORTRANGE(""https://docs.google.com/spreadsheets/d/14Bd19lYaqBhU8_DElYkX7l4wRkHqqCUFNJY4AfY3kHU/edit?usp=sharing  #gid=0"",""фіз особи new!relations_name_uo""),7,FALSE)
,
)
))"),"ІКАТОВ Сергій Олександрович")</f>
        <v>ІКАТОВ Сергій Олександрович</v>
      </c>
      <c r="G11080" s="7" t="s">
        <v>10</v>
      </c>
      <c r="H11080" s="7">
        <v>8485</v>
      </c>
      <c r="I11080" s="8" t="str">
        <f ca="1">IFERROR(__xludf.DUMMYFUNCTION("IF
(
G11081=""фізична особа""
,
VLOOKUP(H11081,IMPORTRANGE(""https://docs.google.com/spreadsheets/d/14Bd19lYaqBhU8_DElYkX7l4wRkHqqCUFNJY4AfY3kHU/edit?usp=sharing  #gid=0"",""фіз особи new!relations_name""),6,FALSE)
,
(IF
(
G11081=""юридична особа""
,
VLOO"&amp;"KUP(H11081,IMPORTRANGE(""https://docs.google.com/spreadsheets/d/14Bd19lYaqBhU8_DElYkX7l4wRkHqqCUFNJY4AfY3kHU/edit?usp=sharing  #gid=0"",""фіз особи new!relations_name_uo""),7,FALSE)
,
)
))"),"БЕРЕСТОВОЙ Сергій Вікторович")</f>
        <v>БЕРЕСТОВОЙ Сергій Вікторович</v>
      </c>
      <c r="J11080" s="7" t="s">
        <v>23</v>
      </c>
    </row>
    <row r="11081" spans="1:10" ht="13.2">
      <c r="A11081" s="7">
        <v>11080</v>
      </c>
      <c r="B11081" s="7">
        <v>1</v>
      </c>
      <c r="C11081" s="7" t="s">
        <v>10</v>
      </c>
      <c r="D11081" s="7">
        <v>17496</v>
      </c>
      <c r="E11081" s="7" t="s">
        <v>23</v>
      </c>
      <c r="F11081" s="8" t="str">
        <f ca="1">IFERROR(__xludf.DUMMYFUNCTION("IF
(
C11082=""фізична особа""
,
VLOOKUP(D11082,IMPORTRANGE(""https://docs.google.com/spreadsheets/d/14Bd19lYaqBhU8_DElYkX7l4wRkHqqCUFNJY4AfY3kHU/edit?usp=sharing  #gid=0"",""фіз особи new!relations_name""),6,FALSE)
,
(IF
(
C11082=""юридична особа""
,
VLOO"&amp;"KUP(D11082,IMPORTRANGE(""https://docs.google.com/spreadsheets/d/14Bd19lYaqBhU8_DElYkX7l4wRkHqqCUFNJY4AfY3kHU/edit?usp=sharing  #gid=0"",""фіз особи new!relations_name_uo""),7,FALSE)
,
)
))"),"ХМЕЛЬ Михайло Дмитрович")</f>
        <v>ХМЕЛЬ Михайло Дмитрович</v>
      </c>
      <c r="G11081" s="7" t="s">
        <v>10</v>
      </c>
      <c r="H11081" s="7">
        <v>8488</v>
      </c>
      <c r="I11081" s="8" t="str">
        <f ca="1">IFERROR(__xludf.DUMMYFUNCTION("IF
(
G11082=""фізична особа""
,
VLOOKUP(H11082,IMPORTRANGE(""https://docs.google.com/spreadsheets/d/14Bd19lYaqBhU8_DElYkX7l4wRkHqqCUFNJY4AfY3kHU/edit?usp=sharing  #gid=0"",""фіз особи new!relations_name""),6,FALSE)
,
(IF
(
G11082=""юридична особа""
,
VLOO"&amp;"KUP(H11082,IMPORTRANGE(""https://docs.google.com/spreadsheets/d/14Bd19lYaqBhU8_DElYkX7l4wRkHqqCUFNJY4AfY3kHU/edit?usp=sharing  #gid=0"",""фіз особи new!relations_name_uo""),7,FALSE)
,
)
))"),"САМОХВАЛОВ Олександр Володимирович")</f>
        <v>САМОХВАЛОВ Олександр Володимирович</v>
      </c>
      <c r="J11081" s="7" t="s">
        <v>23</v>
      </c>
    </row>
    <row r="11082" spans="1:10" ht="13.2">
      <c r="A11082" s="7">
        <v>11081</v>
      </c>
      <c r="B11082" s="7">
        <v>1</v>
      </c>
      <c r="C11082" s="7" t="s">
        <v>10</v>
      </c>
      <c r="D11082" s="7">
        <v>17496</v>
      </c>
      <c r="E11082" s="7" t="s">
        <v>23</v>
      </c>
      <c r="F11082" s="8" t="str">
        <f ca="1">IFERROR(__xludf.DUMMYFUNCTION("IF
(
C11083=""фізична особа""
,
VLOOKUP(D11083,IMPORTRANGE(""https://docs.google.com/spreadsheets/d/14Bd19lYaqBhU8_DElYkX7l4wRkHqqCUFNJY4AfY3kHU/edit?usp=sharing  #gid=0"",""фіз особи new!relations_name""),6,FALSE)
,
(IF
(
C11083=""юридична особа""
,
VLOO"&amp;"KUP(D11083,IMPORTRANGE(""https://docs.google.com/spreadsheets/d/14Bd19lYaqBhU8_DElYkX7l4wRkHqqCUFNJY4AfY3kHU/edit?usp=sharing  #gid=0"",""фіз особи new!relations_name_uo""),7,FALSE)
,
)
))"),"ХМЕЛЬ Михайло Дмитрович")</f>
        <v>ХМЕЛЬ Михайло Дмитрович</v>
      </c>
      <c r="G11082" s="7" t="s">
        <v>10</v>
      </c>
      <c r="H11082" s="7">
        <v>8490</v>
      </c>
      <c r="I11082" s="8" t="str">
        <f ca="1">IFERROR(__xludf.DUMMYFUNCTION("IF
(
G11083=""фізична особа""
,
VLOOKUP(H11083,IMPORTRANGE(""https://docs.google.com/spreadsheets/d/14Bd19lYaqBhU8_DElYkX7l4wRkHqqCUFNJY4AfY3kHU/edit?usp=sharing  #gid=0"",""фіз особи new!relations_name""),6,FALSE)
,
(IF
(
G11083=""юридична особа""
,
VLOO"&amp;"KUP(H11083,IMPORTRANGE(""https://docs.google.com/spreadsheets/d/14Bd19lYaqBhU8_DElYkX7l4wRkHqqCUFNJY4AfY3kHU/edit?usp=sharing  #gid=0"",""фіз особи new!relations_name_uo""),7,FALSE)
,
)
))"),"ТАРИКО Рустам Васильович")</f>
        <v>ТАРИКО Рустам Васильович</v>
      </c>
      <c r="J11082" s="7" t="s">
        <v>23</v>
      </c>
    </row>
    <row r="11083" spans="1:10" ht="13.2">
      <c r="A11083" s="7">
        <v>11082</v>
      </c>
      <c r="B11083" s="7">
        <v>1</v>
      </c>
      <c r="C11083" s="7" t="s">
        <v>10</v>
      </c>
      <c r="D11083" s="7">
        <v>17496</v>
      </c>
      <c r="E11083" s="7" t="s">
        <v>23</v>
      </c>
      <c r="F11083" s="8" t="str">
        <f ca="1">IFERROR(__xludf.DUMMYFUNCTION("IF
(
C11084=""фізична особа""
,
VLOOKUP(D11084,IMPORTRANGE(""https://docs.google.com/spreadsheets/d/14Bd19lYaqBhU8_DElYkX7l4wRkHqqCUFNJY4AfY3kHU/edit?usp=sharing  #gid=0"",""фіз особи new!relations_name""),6,FALSE)
,
(IF
(
C11084=""юридична особа""
,
VLOO"&amp;"KUP(D11084,IMPORTRANGE(""https://docs.google.com/spreadsheets/d/14Bd19lYaqBhU8_DElYkX7l4wRkHqqCUFNJY4AfY3kHU/edit?usp=sharing  #gid=0"",""фіз особи new!relations_name_uo""),7,FALSE)
,
)
))"),"ХМЕЛЬ Михайло Дмитрович")</f>
        <v>ХМЕЛЬ Михайло Дмитрович</v>
      </c>
      <c r="G11083" s="7" t="s">
        <v>10</v>
      </c>
      <c r="H11083" s="7">
        <v>8485</v>
      </c>
      <c r="I11083" s="8" t="str">
        <f ca="1">IFERROR(__xludf.DUMMYFUNCTION("IF
(
G11084=""фізична особа""
,
VLOOKUP(H11084,IMPORTRANGE(""https://docs.google.com/spreadsheets/d/14Bd19lYaqBhU8_DElYkX7l4wRkHqqCUFNJY4AfY3kHU/edit?usp=sharing  #gid=0"",""фіз особи new!relations_name""),6,FALSE)
,
(IF
(
G11084=""юридична особа""
,
VLOO"&amp;"KUP(H11084,IMPORTRANGE(""https://docs.google.com/spreadsheets/d/14Bd19lYaqBhU8_DElYkX7l4wRkHqqCUFNJY4AfY3kHU/edit?usp=sharing  #gid=0"",""фіз особи new!relations_name_uo""),7,FALSE)
,
)
))"),"БЕРЕСТОВОЙ Сергій Вікторович")</f>
        <v>БЕРЕСТОВОЙ Сергій Вікторович</v>
      </c>
      <c r="J11083" s="7" t="s">
        <v>23</v>
      </c>
    </row>
    <row r="11084" spans="1:10" ht="13.2">
      <c r="A11084" s="7">
        <v>11083</v>
      </c>
      <c r="B11084" s="7">
        <v>1</v>
      </c>
      <c r="C11084" s="7" t="s">
        <v>10</v>
      </c>
      <c r="D11084" s="7">
        <v>17497</v>
      </c>
      <c r="E11084" s="7" t="s">
        <v>23</v>
      </c>
      <c r="F11084" s="8" t="str">
        <f ca="1">IFERROR(__xludf.DUMMYFUNCTION("IF
(
C11085=""фізична особа""
,
VLOOKUP(D11085,IMPORTRANGE(""https://docs.google.com/spreadsheets/d/14Bd19lYaqBhU8_DElYkX7l4wRkHqqCUFNJY4AfY3kHU/edit?usp=sharing  #gid=0"",""фіз особи new!relations_name""),6,FALSE)
,
(IF
(
C11085=""юридична особа""
,
VLOO"&amp;"KUP(D11085,IMPORTRANGE(""https://docs.google.com/spreadsheets/d/14Bd19lYaqBhU8_DElYkX7l4wRkHqqCUFNJY4AfY3kHU/edit?usp=sharing  #gid=0"",""фіз особи new!relations_name_uo""),7,FALSE)
,
)
))"),"АЛЕКСАНДРОВА Ірина Вячеславівна")</f>
        <v>АЛЕКСАНДРОВА Ірина Вячеславівна</v>
      </c>
      <c r="G11084" s="7" t="s">
        <v>10</v>
      </c>
      <c r="H11084" s="7">
        <v>8488</v>
      </c>
      <c r="I11084" s="8" t="str">
        <f ca="1">IFERROR(__xludf.DUMMYFUNCTION("IF
(
G11085=""фізична особа""
,
VLOOKUP(H11085,IMPORTRANGE(""https://docs.google.com/spreadsheets/d/14Bd19lYaqBhU8_DElYkX7l4wRkHqqCUFNJY4AfY3kHU/edit?usp=sharing  #gid=0"",""фіз особи new!relations_name""),6,FALSE)
,
(IF
(
G11085=""юридична особа""
,
VLOO"&amp;"KUP(H11085,IMPORTRANGE(""https://docs.google.com/spreadsheets/d/14Bd19lYaqBhU8_DElYkX7l4wRkHqqCUFNJY4AfY3kHU/edit?usp=sharing  #gid=0"",""фіз особи new!relations_name_uo""),7,FALSE)
,
)
))"),"САМОХВАЛОВ Олександр Володимирович")</f>
        <v>САМОХВАЛОВ Олександр Володимирович</v>
      </c>
      <c r="J11084" s="7" t="s">
        <v>23</v>
      </c>
    </row>
    <row r="11085" spans="1:10" ht="13.2">
      <c r="A11085" s="7">
        <v>11084</v>
      </c>
      <c r="B11085" s="7">
        <v>1</v>
      </c>
      <c r="C11085" s="7" t="s">
        <v>10</v>
      </c>
      <c r="D11085" s="7">
        <v>17497</v>
      </c>
      <c r="E11085" s="7" t="s">
        <v>23</v>
      </c>
      <c r="F11085" s="8" t="str">
        <f ca="1">IFERROR(__xludf.DUMMYFUNCTION("IF
(
C11086=""фізична особа""
,
VLOOKUP(D11086,IMPORTRANGE(""https://docs.google.com/spreadsheets/d/14Bd19lYaqBhU8_DElYkX7l4wRkHqqCUFNJY4AfY3kHU/edit?usp=sharing  #gid=0"",""фіз особи new!relations_name""),6,FALSE)
,
(IF
(
C11086=""юридична особа""
,
VLOO"&amp;"KUP(D11086,IMPORTRANGE(""https://docs.google.com/spreadsheets/d/14Bd19lYaqBhU8_DElYkX7l4wRkHqqCUFNJY4AfY3kHU/edit?usp=sharing  #gid=0"",""фіз особи new!relations_name_uo""),7,FALSE)
,
)
))"),"АЛЕКСАНДРОВА Ірина Вячеславівна")</f>
        <v>АЛЕКСАНДРОВА Ірина Вячеславівна</v>
      </c>
      <c r="G11085" s="7" t="s">
        <v>10</v>
      </c>
      <c r="H11085" s="7">
        <v>8490</v>
      </c>
      <c r="I11085" s="8" t="str">
        <f ca="1">IFERROR(__xludf.DUMMYFUNCTION("IF
(
G11086=""фізична особа""
,
VLOOKUP(H11086,IMPORTRANGE(""https://docs.google.com/spreadsheets/d/14Bd19lYaqBhU8_DElYkX7l4wRkHqqCUFNJY4AfY3kHU/edit?usp=sharing  #gid=0"",""фіз особи new!relations_name""),6,FALSE)
,
(IF
(
G11086=""юридична особа""
,
VLOO"&amp;"KUP(H11086,IMPORTRANGE(""https://docs.google.com/spreadsheets/d/14Bd19lYaqBhU8_DElYkX7l4wRkHqqCUFNJY4AfY3kHU/edit?usp=sharing  #gid=0"",""фіз особи new!relations_name_uo""),7,FALSE)
,
)
))"),"ТАРИКО Рустам Васильович")</f>
        <v>ТАРИКО Рустам Васильович</v>
      </c>
      <c r="J11085" s="7" t="s">
        <v>23</v>
      </c>
    </row>
    <row r="11086" spans="1:10" ht="13.2">
      <c r="A11086" s="7">
        <v>11085</v>
      </c>
      <c r="B11086" s="7">
        <v>1</v>
      </c>
      <c r="C11086" s="7" t="s">
        <v>10</v>
      </c>
      <c r="D11086" s="7">
        <v>17497</v>
      </c>
      <c r="E11086" s="7" t="s">
        <v>23</v>
      </c>
      <c r="F11086" s="8" t="str">
        <f ca="1">IFERROR(__xludf.DUMMYFUNCTION("IF
(
C11087=""фізична особа""
,
VLOOKUP(D11087,IMPORTRANGE(""https://docs.google.com/spreadsheets/d/14Bd19lYaqBhU8_DElYkX7l4wRkHqqCUFNJY4AfY3kHU/edit?usp=sharing  #gid=0"",""фіз особи new!relations_name""),6,FALSE)
,
(IF
(
C11087=""юридична особа""
,
VLOO"&amp;"KUP(D11087,IMPORTRANGE(""https://docs.google.com/spreadsheets/d/14Bd19lYaqBhU8_DElYkX7l4wRkHqqCUFNJY4AfY3kHU/edit?usp=sharing  #gid=0"",""фіз особи new!relations_name_uo""),7,FALSE)
,
)
))"),"АЛЕКСАНДРОВА Ірина Вячеславівна")</f>
        <v>АЛЕКСАНДРОВА Ірина Вячеславівна</v>
      </c>
      <c r="G11086" s="7" t="s">
        <v>10</v>
      </c>
      <c r="H11086" s="7">
        <v>8485</v>
      </c>
      <c r="I11086" s="8" t="str">
        <f ca="1">IFERROR(__xludf.DUMMYFUNCTION("IF
(
G11087=""фізична особа""
,
VLOOKUP(H11087,IMPORTRANGE(""https://docs.google.com/spreadsheets/d/14Bd19lYaqBhU8_DElYkX7l4wRkHqqCUFNJY4AfY3kHU/edit?usp=sharing  #gid=0"",""фіз особи new!relations_name""),6,FALSE)
,
(IF
(
G11087=""юридична особа""
,
VLOO"&amp;"KUP(H11087,IMPORTRANGE(""https://docs.google.com/spreadsheets/d/14Bd19lYaqBhU8_DElYkX7l4wRkHqqCUFNJY4AfY3kHU/edit?usp=sharing  #gid=0"",""фіз особи new!relations_name_uo""),7,FALSE)
,
)
))"),"БЕРЕСТОВОЙ Сергій Вікторович")</f>
        <v>БЕРЕСТОВОЙ Сергій Вікторович</v>
      </c>
      <c r="J11086" s="7" t="s">
        <v>23</v>
      </c>
    </row>
    <row r="11087" spans="1:10" ht="13.2">
      <c r="A11087" s="7">
        <v>11086</v>
      </c>
      <c r="B11087" s="7">
        <v>1</v>
      </c>
      <c r="C11087" s="7" t="s">
        <v>10</v>
      </c>
      <c r="D11087" s="7">
        <v>17498</v>
      </c>
      <c r="E11087" s="7" t="s">
        <v>23</v>
      </c>
      <c r="F11087" s="8" t="str">
        <f ca="1">IFERROR(__xludf.DUMMYFUNCTION("IF
(
C11088=""фізична особа""
,
VLOOKUP(D11088,IMPORTRANGE(""https://docs.google.com/spreadsheets/d/14Bd19lYaqBhU8_DElYkX7l4wRkHqqCUFNJY4AfY3kHU/edit?usp=sharing  #gid=0"",""фіз особи new!relations_name""),6,FALSE)
,
(IF
(
C11088=""юридична особа""
,
VLOO"&amp;"KUP(D11088,IMPORTRANGE(""https://docs.google.com/spreadsheets/d/14Bd19lYaqBhU8_DElYkX7l4wRkHqqCUFNJY4AfY3kHU/edit?usp=sharing  #gid=0"",""фіз особи new!relations_name_uo""),7,FALSE)
,
)
))"),"ЧЕРНИШОВА Наталія Володимирівна")</f>
        <v>ЧЕРНИШОВА Наталія Володимирівна</v>
      </c>
      <c r="G11087" s="7" t="s">
        <v>10</v>
      </c>
      <c r="H11087" s="7">
        <v>8488</v>
      </c>
      <c r="I11087" s="8" t="str">
        <f ca="1">IFERROR(__xludf.DUMMYFUNCTION("IF
(
G11088=""фізична особа""
,
VLOOKUP(H11088,IMPORTRANGE(""https://docs.google.com/spreadsheets/d/14Bd19lYaqBhU8_DElYkX7l4wRkHqqCUFNJY4AfY3kHU/edit?usp=sharing  #gid=0"",""фіз особи new!relations_name""),6,FALSE)
,
(IF
(
G11088=""юридична особа""
,
VLOO"&amp;"KUP(H11088,IMPORTRANGE(""https://docs.google.com/spreadsheets/d/14Bd19lYaqBhU8_DElYkX7l4wRkHqqCUFNJY4AfY3kHU/edit?usp=sharing  #gid=0"",""фіз особи new!relations_name_uo""),7,FALSE)
,
)
))"),"САМОХВАЛОВ Олександр Володимирович")</f>
        <v>САМОХВАЛОВ Олександр Володимирович</v>
      </c>
      <c r="J11087" s="7" t="s">
        <v>23</v>
      </c>
    </row>
    <row r="11088" spans="1:10" ht="13.2">
      <c r="A11088" s="7">
        <v>11087</v>
      </c>
      <c r="B11088" s="7">
        <v>1</v>
      </c>
      <c r="C11088" s="7" t="s">
        <v>10</v>
      </c>
      <c r="D11088" s="7">
        <v>17498</v>
      </c>
      <c r="E11088" s="7" t="s">
        <v>23</v>
      </c>
      <c r="F11088" s="8" t="str">
        <f ca="1">IFERROR(__xludf.DUMMYFUNCTION("IF
(
C11089=""фізична особа""
,
VLOOKUP(D11089,IMPORTRANGE(""https://docs.google.com/spreadsheets/d/14Bd19lYaqBhU8_DElYkX7l4wRkHqqCUFNJY4AfY3kHU/edit?usp=sharing  #gid=0"",""фіз особи new!relations_name""),6,FALSE)
,
(IF
(
C11089=""юридична особа""
,
VLOO"&amp;"KUP(D11089,IMPORTRANGE(""https://docs.google.com/spreadsheets/d/14Bd19lYaqBhU8_DElYkX7l4wRkHqqCUFNJY4AfY3kHU/edit?usp=sharing  #gid=0"",""фіз особи new!relations_name_uo""),7,FALSE)
,
)
))"),"ЧЕРНИШОВА Наталія Володимирівна")</f>
        <v>ЧЕРНИШОВА Наталія Володимирівна</v>
      </c>
      <c r="G11088" s="7" t="s">
        <v>10</v>
      </c>
      <c r="H11088" s="7">
        <v>8490</v>
      </c>
      <c r="I11088" s="8" t="str">
        <f ca="1">IFERROR(__xludf.DUMMYFUNCTION("IF
(
G11089=""фізична особа""
,
VLOOKUP(H11089,IMPORTRANGE(""https://docs.google.com/spreadsheets/d/14Bd19lYaqBhU8_DElYkX7l4wRkHqqCUFNJY4AfY3kHU/edit?usp=sharing  #gid=0"",""фіз особи new!relations_name""),6,FALSE)
,
(IF
(
G11089=""юридична особа""
,
VLOO"&amp;"KUP(H11089,IMPORTRANGE(""https://docs.google.com/spreadsheets/d/14Bd19lYaqBhU8_DElYkX7l4wRkHqqCUFNJY4AfY3kHU/edit?usp=sharing  #gid=0"",""фіз особи new!relations_name_uo""),7,FALSE)
,
)
))"),"ТАРИКО Рустам Васильович")</f>
        <v>ТАРИКО Рустам Васильович</v>
      </c>
      <c r="J11088" s="7" t="s">
        <v>23</v>
      </c>
    </row>
    <row r="11089" spans="1:10" ht="13.2">
      <c r="A11089" s="7">
        <v>11088</v>
      </c>
      <c r="B11089" s="7">
        <v>1</v>
      </c>
      <c r="C11089" s="7" t="s">
        <v>10</v>
      </c>
      <c r="D11089" s="7">
        <v>17498</v>
      </c>
      <c r="E11089" s="7" t="s">
        <v>23</v>
      </c>
      <c r="F11089" s="8" t="str">
        <f ca="1">IFERROR(__xludf.DUMMYFUNCTION("IF
(
C11090=""фізична особа""
,
VLOOKUP(D11090,IMPORTRANGE(""https://docs.google.com/spreadsheets/d/14Bd19lYaqBhU8_DElYkX7l4wRkHqqCUFNJY4AfY3kHU/edit?usp=sharing  #gid=0"",""фіз особи new!relations_name""),6,FALSE)
,
(IF
(
C11090=""юридична особа""
,
VLOO"&amp;"KUP(D11090,IMPORTRANGE(""https://docs.google.com/spreadsheets/d/14Bd19lYaqBhU8_DElYkX7l4wRkHqqCUFNJY4AfY3kHU/edit?usp=sharing  #gid=0"",""фіз особи new!relations_name_uo""),7,FALSE)
,
)
))"),"ЧЕРНИШОВА Наталія Володимирівна")</f>
        <v>ЧЕРНИШОВА Наталія Володимирівна</v>
      </c>
      <c r="G11089" s="7" t="s">
        <v>10</v>
      </c>
      <c r="H11089" s="7">
        <v>8485</v>
      </c>
      <c r="I11089" s="8" t="str">
        <f ca="1">IFERROR(__xludf.DUMMYFUNCTION("IF
(
G11090=""фізична особа""
,
VLOOKUP(H11090,IMPORTRANGE(""https://docs.google.com/spreadsheets/d/14Bd19lYaqBhU8_DElYkX7l4wRkHqqCUFNJY4AfY3kHU/edit?usp=sharing  #gid=0"",""фіз особи new!relations_name""),6,FALSE)
,
(IF
(
G11090=""юридична особа""
,
VLOO"&amp;"KUP(H11090,IMPORTRANGE(""https://docs.google.com/spreadsheets/d/14Bd19lYaqBhU8_DElYkX7l4wRkHqqCUFNJY4AfY3kHU/edit?usp=sharing  #gid=0"",""фіз особи new!relations_name_uo""),7,FALSE)
,
)
))"),"БЕРЕСТОВОЙ Сергій Вікторович")</f>
        <v>БЕРЕСТОВОЙ Сергій Вікторович</v>
      </c>
      <c r="J11089" s="7" t="s">
        <v>23</v>
      </c>
    </row>
    <row r="11090" spans="1:10" ht="13.2">
      <c r="A11090" s="7">
        <v>11089</v>
      </c>
      <c r="B11090" s="7">
        <v>1</v>
      </c>
      <c r="C11090" s="7" t="s">
        <v>10</v>
      </c>
      <c r="D11090" s="7">
        <v>17501</v>
      </c>
      <c r="E11090" s="7" t="s">
        <v>23</v>
      </c>
      <c r="F11090" s="8" t="str">
        <f ca="1">IFERROR(__xludf.DUMMYFUNCTION("IF
(
C11091=""фізична особа""
,
VLOOKUP(D11091,IMPORTRANGE(""https://docs.google.com/spreadsheets/d/14Bd19lYaqBhU8_DElYkX7l4wRkHqqCUFNJY4AfY3kHU/edit?usp=sharing  #gid=0"",""фіз особи new!relations_name""),6,FALSE)
,
(IF
(
C11091=""юридична особа""
,
VLOO"&amp;"KUP(D11091,IMPORTRANGE(""https://docs.google.com/spreadsheets/d/14Bd19lYaqBhU8_DElYkX7l4wRkHqqCUFNJY4AfY3kHU/edit?usp=sharing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0" s="7" t="s">
        <v>10</v>
      </c>
      <c r="H11090" s="7">
        <v>1481</v>
      </c>
      <c r="I11090" s="8" t="str">
        <f ca="1">IFERROR(__xludf.DUMMYFUNCTION("IF
(
G11091=""фізична особа""
,
VLOOKUP(H11091,IMPORTRANGE(""https://docs.google.com/spreadsheets/d/14Bd19lYaqBhU8_DElYkX7l4wRkHqqCUFNJY4AfY3kHU/edit?usp=sharing  #gid=0"",""фіз особи new!relations_name""),6,FALSE)
,
(IF
(
G11091=""юридична особа""
,
VLOO"&amp;"KUP(H11091,IMPORTRANGE(""https://docs.google.com/spreadsheets/d/14Bd19lYaqBhU8_DElYkX7l4wRkHqqCUFNJY4AfY3kHU/edit?usp=sharing  #gid=0"",""фіз особи new!relations_name_uo""),7,FALSE)
,
)
))"),"ТІЩЕНКО Олександр Сергійович")</f>
        <v>ТІЩЕНКО Олександр Сергійович</v>
      </c>
      <c r="J11090" s="7" t="s">
        <v>23</v>
      </c>
    </row>
    <row r="11091" spans="1:10" ht="13.2">
      <c r="A11091" s="7">
        <v>11090</v>
      </c>
      <c r="B11091" s="7">
        <v>1</v>
      </c>
      <c r="C11091" s="7" t="s">
        <v>10</v>
      </c>
      <c r="D11091" s="7">
        <v>17501</v>
      </c>
      <c r="E11091" s="7" t="s">
        <v>23</v>
      </c>
      <c r="F11091" s="8" t="str">
        <f ca="1">IFERROR(__xludf.DUMMYFUNCTION("IF
(
C11092=""фізична особа""
,
VLOOKUP(D11092,IMPORTRANGE(""https://docs.google.com/spreadsheets/d/14Bd19lYaqBhU8_DElYkX7l4wRkHqqCUFNJY4AfY3kHU/edit?usp=sharing  #gid=0"",""фіз особи new!relations_name""),6,FALSE)
,
(IF
(
C11092=""юридична особа""
,
VLOO"&amp;"KUP(D11092,IMPORTRANGE(""https://docs.google.com/spreadsheets/d/14Bd19lYaqBhU8_DElYkX7l4wRkHqqCUFNJY4AfY3kHU/edit?usp=sharing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1" s="7" t="s">
        <v>10</v>
      </c>
      <c r="H11091" s="7">
        <v>1482</v>
      </c>
      <c r="I11091" s="8" t="str">
        <f ca="1">IFERROR(__xludf.DUMMYFUNCTION("IF
(
G11092=""фізична особа""
,
VLOOKUP(H11092,IMPORTRANGE(""https://docs.google.com/spreadsheets/d/14Bd19lYaqBhU8_DElYkX7l4wRkHqqCUFNJY4AfY3kHU/edit?usp=sharing  #gid=0"",""фіз особи new!relations_name""),6,FALSE)
,
(IF
(
G11092=""юридична особа""
,
VLOO"&amp;"KUP(H11092,IMPORTRANGE(""https://docs.google.com/spreadsheets/d/14Bd19lYaqBhU8_DElYkX7l4wRkHqqCUFNJY4AfY3kHU/edit?usp=sharing  #gid=0"",""фіз особи new!relations_name_uo""),7,FALSE)
,
)
))"),"ХОРОХОРДІН Олексій Федорович")</f>
        <v>ХОРОХОРДІН Олексій Федорович</v>
      </c>
      <c r="J11091" s="7" t="s">
        <v>23</v>
      </c>
    </row>
    <row r="11092" spans="1:10" ht="13.2">
      <c r="A11092" s="7">
        <v>11091</v>
      </c>
      <c r="B11092" s="7">
        <v>1</v>
      </c>
      <c r="C11092" s="7" t="s">
        <v>10</v>
      </c>
      <c r="D11092" s="7">
        <v>17501</v>
      </c>
      <c r="E11092" s="7" t="s">
        <v>23</v>
      </c>
      <c r="F11092" s="8" t="str">
        <f ca="1">IFERROR(__xludf.DUMMYFUNCTION("IF
(
C11093=""фізична особа""
,
VLOOKUP(D11093,IMPORTRANGE(""https://docs.google.com/spreadsheets/d/14Bd19lYaqBhU8_DElYkX7l4wRkHqqCUFNJY4AfY3kHU/edit?usp=sharing  #gid=0"",""фіз особи new!relations_name""),6,FALSE)
,
(IF
(
C11093=""юридична особа""
,
VLOO"&amp;"KUP(D11093,IMPORTRANGE(""https://docs.google.com/spreadsheets/d/14Bd19lYaqBhU8_DElYkX7l4wRkHqqCUFNJY4AfY3kHU/edit?usp=sharing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2" s="7" t="s">
        <v>10</v>
      </c>
      <c r="H11092" s="7">
        <v>1483</v>
      </c>
      <c r="I11092" s="8" t="str">
        <f ca="1">IFERROR(__xludf.DUMMYFUNCTION("IF
(
G11093=""фізична особа""
,
VLOOKUP(H11093,IMPORTRANGE(""https://docs.google.com/spreadsheets/d/14Bd19lYaqBhU8_DElYkX7l4wRkHqqCUFNJY4AfY3kHU/edit?usp=sharing  #gid=0"",""фіз особи new!relations_name""),6,FALSE)
,
(IF
(
G11093=""юридична особа""
,
VLOO"&amp;"KUP(H11093,IMPORTRANGE(""https://docs.google.com/spreadsheets/d/14Bd19lYaqBhU8_DElYkX7l4wRkHqqCUFNJY4AfY3kHU/edit?usp=sharing  #gid=0"",""фіз особи new!relations_name_uo""),7,FALSE)
,
)
))"),"ЗИРЯНОВ Олександр Олегович")</f>
        <v>ЗИРЯНОВ Олександр Олегович</v>
      </c>
      <c r="J11092" s="7" t="s">
        <v>23</v>
      </c>
    </row>
    <row r="11093" spans="1:10" ht="13.2">
      <c r="A11093" s="7">
        <v>11092</v>
      </c>
      <c r="B11093" s="7">
        <v>1</v>
      </c>
      <c r="C11093" s="7" t="s">
        <v>10</v>
      </c>
      <c r="D11093" s="7">
        <v>17501</v>
      </c>
      <c r="E11093" s="7" t="s">
        <v>23</v>
      </c>
      <c r="F11093" s="8" t="str">
        <f ca="1">IFERROR(__xludf.DUMMYFUNCTION("IF
(
C11094=""фізична особа""
,
VLOOKUP(D11094,IMPORTRANGE(""https://docs.google.com/spreadsheets/d/14Bd19lYaqBhU8_DElYkX7l4wRkHqqCUFNJY4AfY3kHU/edit?usp=sharing  #gid=0"",""фіз особи new!relations_name""),6,FALSE)
,
(IF
(
C11094=""юридична особа""
,
VLOO"&amp;"KUP(D11094,IMPORTRANGE(""https://docs.google.com/spreadsheets/d/14Bd19lYaqBhU8_DElYkX7l4wRkHqqCUFNJY4AfY3kHU/edit?usp=sharing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3" s="7" t="s">
        <v>10</v>
      </c>
      <c r="H11093" s="7">
        <v>1490</v>
      </c>
      <c r="I11093" s="8" t="str">
        <f ca="1">IFERROR(__xludf.DUMMYFUNCTION("IF
(
G11094=""фізична особа""
,
VLOOKUP(H11094,IMPORTRANGE(""https://docs.google.com/spreadsheets/d/14Bd19lYaqBhU8_DElYkX7l4wRkHqqCUFNJY4AfY3kHU/edit?usp=sharing  #gid=0"",""фіз особи new!relations_name""),6,FALSE)
,
(IF
(
G11094=""юридична особа""
,
VLOO"&amp;"KUP(H11094,IMPORTRANGE(""https://docs.google.com/spreadsheets/d/14Bd19lYaqBhU8_DElYkX7l4wRkHqqCUFNJY4AfY3kHU/edit?usp=sharing  #gid=0"",""фіз особи new!relations_name_uo""),7,FALSE)
,
)
))"),"ТІХТУРОВ Євгеній Олександрович")</f>
        <v>ТІХТУРОВ Євгеній Олександрович</v>
      </c>
      <c r="J11093" s="7" t="s">
        <v>23</v>
      </c>
    </row>
    <row r="11094" spans="1:10" ht="13.2">
      <c r="A11094" s="7">
        <v>11093</v>
      </c>
      <c r="B11094" s="7">
        <v>1</v>
      </c>
      <c r="C11094" s="7" t="s">
        <v>10</v>
      </c>
      <c r="D11094" s="7">
        <v>17501</v>
      </c>
      <c r="E11094" s="7" t="s">
        <v>23</v>
      </c>
      <c r="F11094" s="8" t="str">
        <f ca="1">IFERROR(__xludf.DUMMYFUNCTION("IF
(
C11095=""фізична особа""
,
VLOOKUP(D11095,IMPORTRANGE(""https://docs.google.com/spreadsheets/d/14Bd19lYaqBhU8_DElYkX7l4wRkHqqCUFNJY4AfY3kHU/edit?usp=sharing  #gid=0"",""фіз особи new!relations_name""),6,FALSE)
,
(IF
(
C11095=""юридична особа""
,
VLOO"&amp;"KUP(D11095,IMPORTRANGE(""https://docs.google.com/spreadsheets/d/14Bd19lYaqBhU8_DElYkX7l4wRkHqqCUFNJY4AfY3kHU/edit?usp=sharing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4" s="7" t="s">
        <v>10</v>
      </c>
      <c r="H11094" s="7">
        <v>1491</v>
      </c>
      <c r="I11094" s="8" t="str">
        <f ca="1">IFERROR(__xludf.DUMMYFUNCTION("IF
(
G11095=""фізична особа""
,
VLOOKUP(H11095,IMPORTRANGE(""https://docs.google.com/spreadsheets/d/14Bd19lYaqBhU8_DElYkX7l4wRkHqqCUFNJY4AfY3kHU/edit?usp=sharing  #gid=0"",""фіз особи new!relations_name""),6,FALSE)
,
(IF
(
G11095=""юридична особа""
,
VLOO"&amp;"KUP(H11095,IMPORTRANGE(""https://docs.google.com/spreadsheets/d/14Bd19lYaqBhU8_DElYkX7l4wRkHqqCUFNJY4AfY3kHU/edit?usp=sharing  #gid=0"",""фіз особи new!relations_name_uo""),7,FALSE)
,
)
))"),"ШИБАЄВ Сергій Вікторович")</f>
        <v>ШИБАЄВ Сергій Вікторович</v>
      </c>
      <c r="J11094" s="7" t="s">
        <v>23</v>
      </c>
    </row>
    <row r="11095" spans="1:10" ht="13.2">
      <c r="A11095" s="7">
        <v>11094</v>
      </c>
      <c r="B11095" s="7">
        <v>1</v>
      </c>
      <c r="C11095" s="7" t="s">
        <v>10</v>
      </c>
      <c r="D11095" s="7">
        <v>17501</v>
      </c>
      <c r="E11095" s="7" t="s">
        <v>23</v>
      </c>
      <c r="F11095" s="8" t="str">
        <f ca="1">IFERROR(__xludf.DUMMYFUNCTION("IF
(
C11096=""фізична особа""
,
VLOOKUP(D11096,IMPORTRANGE(""https://docs.google.com/spreadsheets/d/14Bd19lYaqBhU8_DElYkX7l4wRkHqqCUFNJY4AfY3kHU/edit?usp=sharing  #gid=0"",""фіз особи new!relations_name""),6,FALSE)
,
(IF
(
C11096=""юридична особа""
,
VLOO"&amp;"KUP(D11096,IMPORTRANGE(""https://docs.google.com/spreadsheets/d/14Bd19lYaqBhU8_DElYkX7l4wRkHqqCUFNJY4AfY3kHU/edit?usp=sharing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5" s="7" t="s">
        <v>10</v>
      </c>
      <c r="H11095" s="7">
        <v>1492</v>
      </c>
      <c r="I11095" s="8" t="str">
        <f ca="1">IFERROR(__xludf.DUMMYFUNCTION("IF
(
G11096=""фізична особа""
,
VLOOKUP(H11096,IMPORTRANGE(""https://docs.google.com/spreadsheets/d/14Bd19lYaqBhU8_DElYkX7l4wRkHqqCUFNJY4AfY3kHU/edit?usp=sharing  #gid=0"",""фіз особи new!relations_name""),6,FALSE)
,
(IF
(
G11096=""юридична особа""
,
VLOO"&amp;"KUP(H11096,IMPORTRANGE(""https://docs.google.com/spreadsheets/d/14Bd19lYaqBhU8_DElYkX7l4wRkHqqCUFNJY4AfY3kHU/edit?usp=sharing  #gid=0"",""фіз особи new!relations_name_uo""),7,FALSE)
,
)
))"),"ТЛЄУЛІЄВА Венера Мингаліївна")</f>
        <v>ТЛЄУЛІЄВА Венера Мингаліївна</v>
      </c>
      <c r="J11095" s="7" t="s">
        <v>23</v>
      </c>
    </row>
    <row r="11096" spans="1:10" ht="13.2">
      <c r="A11096" s="7">
        <v>11095</v>
      </c>
      <c r="B11096" s="7">
        <v>1</v>
      </c>
      <c r="C11096" s="7" t="s">
        <v>10</v>
      </c>
      <c r="D11096" s="7">
        <v>17501</v>
      </c>
      <c r="E11096" s="7" t="s">
        <v>23</v>
      </c>
      <c r="F11096" s="8" t="str">
        <f ca="1">IFERROR(__xludf.DUMMYFUNCTION("IF
(
C11097=""фізична особа""
,
VLOOKUP(D11097,IMPORTRANGE(""https://docs.google.com/spreadsheets/d/14Bd19lYaqBhU8_DElYkX7l4wRkHqqCUFNJY4AfY3kHU/edit?usp=sharing  #gid=0"",""фіз особи new!relations_name""),6,FALSE)
,
(IF
(
C11097=""юридична особа""
,
VLOO"&amp;"KUP(D11097,IMPORTRANGE(""https://docs.google.com/spreadsheets/d/14Bd19lYaqBhU8_DElYkX7l4wRkHqqCUFNJY4AfY3kHU/edit?usp=sharing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6" s="7" t="s">
        <v>10</v>
      </c>
      <c r="H11096" s="7">
        <v>1493</v>
      </c>
      <c r="I11096" s="8" t="str">
        <f ca="1">IFERROR(__xludf.DUMMYFUNCTION("IF
(
G11097=""фізична особа""
,
VLOOKUP(H11097,IMPORTRANGE(""https://docs.google.com/spreadsheets/d/14Bd19lYaqBhU8_DElYkX7l4wRkHqqCUFNJY4AfY3kHU/edit?usp=sharing  #gid=0"",""фіз особи new!relations_name""),6,FALSE)
,
(IF
(
G11097=""юридична особа""
,
VLOO"&amp;"KUP(H11097,IMPORTRANGE(""https://docs.google.com/spreadsheets/d/14Bd19lYaqBhU8_DElYkX7l4wRkHqqCUFNJY4AfY3kHU/edit?usp=sharing  #gid=0"",""фіз особи new!relations_name_uo""),7,FALSE)
,
)
))"),"ФІНКЕЛЬШТЕЙН Григорій Михайлович")</f>
        <v>ФІНКЕЛЬШТЕЙН Григорій Михайлович</v>
      </c>
      <c r="J11096" s="7" t="s">
        <v>23</v>
      </c>
    </row>
    <row r="11097" spans="1:10" ht="13.2">
      <c r="A11097" s="7">
        <v>11096</v>
      </c>
      <c r="B11097" s="7">
        <v>1</v>
      </c>
      <c r="C11097" s="7" t="s">
        <v>10</v>
      </c>
      <c r="D11097" s="7">
        <v>17501</v>
      </c>
      <c r="E11097" s="7" t="s">
        <v>23</v>
      </c>
      <c r="F11097" s="8" t="str">
        <f ca="1">IFERROR(__xludf.DUMMYFUNCTION("IF
(
C11098=""фізична особа""
,
VLOOKUP(D11098,IMPORTRANGE(""https://docs.google.com/spreadsheets/d/14Bd19lYaqBhU8_DElYkX7l4wRkHqqCUFNJY4AfY3kHU/edit?usp=sharing  #gid=0"",""фіз особи new!relations_name""),6,FALSE)
,
(IF
(
C11098=""юридична особа""
,
VLOO"&amp;"KUP(D11098,IMPORTRANGE(""https://docs.google.com/spreadsheets/d/14Bd19lYaqBhU8_DElYkX7l4wRkHqqCUFNJY4AfY3kHU/edit?usp=sharing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7" s="7" t="s">
        <v>10</v>
      </c>
      <c r="H11097" s="7">
        <v>16156</v>
      </c>
      <c r="I11097" s="8" t="str">
        <f ca="1">IFERROR(__xludf.DUMMYFUNCTION("IF
(
G11098=""фізична особа""
,
VLOOKUP(H11098,IMPORTRANGE(""https://docs.google.com/spreadsheets/d/14Bd19lYaqBhU8_DElYkX7l4wRkHqqCUFNJY4AfY3kHU/edit?usp=sharing  #gid=0"",""фіз особи new!relations_name""),6,FALSE)
,
(IF
(
G11098=""юридична особа""
,
VLOO"&amp;"KUP(H11098,IMPORTRANGE(""https://docs.google.com/spreadsheets/d/14Bd19lYaqBhU8_DElYkX7l4wRkHqqCUFNJY4AfY3kHU/edit?usp=sharing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1097" s="7" t="s">
        <v>23</v>
      </c>
    </row>
    <row r="11098" spans="1:10" ht="13.2">
      <c r="A11098" s="7">
        <v>11097</v>
      </c>
      <c r="B11098" s="7">
        <v>1</v>
      </c>
      <c r="C11098" s="7" t="s">
        <v>10</v>
      </c>
      <c r="D11098" s="7">
        <v>17501</v>
      </c>
      <c r="E11098" s="7" t="s">
        <v>23</v>
      </c>
      <c r="F11098" s="8" t="str">
        <f ca="1">IFERROR(__xludf.DUMMYFUNCTION("IF
(
C11099=""фізична особа""
,
VLOOKUP(D11099,IMPORTRANGE(""https://docs.google.com/spreadsheets/d/14Bd19lYaqBhU8_DElYkX7l4wRkHqqCUFNJY4AfY3kHU/edit?usp=sharing  #gid=0"",""фіз особи new!relations_name""),6,FALSE)
,
(IF
(
C11099=""юридична особа""
,
VLOO"&amp;"KUP(D11099,IMPORTRANGE(""https://docs.google.com/spreadsheets/d/14Bd19lYaqBhU8_DElYkX7l4wRkHqqCUFNJY4AfY3kHU/edit?usp=sharing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8" s="7" t="s">
        <v>10</v>
      </c>
      <c r="H11098" s="7">
        <v>1487</v>
      </c>
      <c r="I11098" s="8" t="str">
        <f ca="1">IFERROR(__xludf.DUMMYFUNCTION("IF
(
G11099=""фізична особа""
,
VLOOKUP(H11099,IMPORTRANGE(""https://docs.google.com/spreadsheets/d/14Bd19lYaqBhU8_DElYkX7l4wRkHqqCUFNJY4AfY3kHU/edit?usp=sharing  #gid=0"",""фіз особи new!relations_name""),6,FALSE)
,
(IF
(
G11099=""юридична особа""
,
VLOO"&amp;"KUP(H11099,IMPORTRANGE(""https://docs.google.com/spreadsheets/d/14Bd19lYaqBhU8_DElYkX7l4wRkHqqCUFNJY4AfY3kHU/edit?usp=sharing  #gid=0"",""фіз особи new!relations_name_uo""),7,FALSE)
,
)
))"),"РАХМАТУЛЛІН Ільдар Асигларійович")</f>
        <v>РАХМАТУЛЛІН Ільдар Асигларійович</v>
      </c>
      <c r="J11098" s="7" t="s">
        <v>23</v>
      </c>
    </row>
    <row r="11099" spans="1:10" ht="13.2">
      <c r="A11099" s="7">
        <v>11098</v>
      </c>
      <c r="B11099" s="7">
        <v>1</v>
      </c>
      <c r="C11099" s="7" t="s">
        <v>10</v>
      </c>
      <c r="D11099" s="7">
        <v>17501</v>
      </c>
      <c r="E11099" s="7" t="s">
        <v>23</v>
      </c>
      <c r="F11099" s="8" t="str">
        <f ca="1">IFERROR(__xludf.DUMMYFUNCTION("IF
(
C11100=""фізична особа""
,
VLOOKUP(D11100,IMPORTRANGE(""https://docs.google.com/spreadsheets/d/14Bd19lYaqBhU8_DElYkX7l4wRkHqqCUFNJY4AfY3kHU/edit?usp=sharing  #gid=0"",""фіз особи new!relations_name""),6,FALSE)
,
(IF
(
C11100=""юридична особа""
,
VLOO"&amp;"KUP(D11100,IMPORTRANGE(""https://docs.google.com/spreadsheets/d/14Bd19lYaqBhU8_DElYkX7l4wRkHqqCUFNJY4AfY3kHU/edit?usp=sharing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G11099" s="7" t="s">
        <v>10</v>
      </c>
      <c r="H11099" s="7">
        <v>17502</v>
      </c>
      <c r="I11099" s="8" t="str">
        <f ca="1">IFERROR(__xludf.DUMMYFUNCTION("IF
(
G11100=""фізична особа""
,
VLOOKUP(H11100,IMPORTRANGE(""https://docs.google.com/spreadsheets/d/14Bd19lYaqBhU8_DElYkX7l4wRkHqqCUFNJY4AfY3kHU/edit?usp=sharing  #gid=0"",""фіз особи new!relations_name""),6,FALSE)
,
(IF
(
G11100=""юридична особа""
,
VLOO"&amp;"KUP(H11100,IMPORTRANGE(""https://docs.google.com/spreadsheets/d/14Bd19lYaqBhU8_DElYkX7l4wRkHqqCUFNJY4AfY3kHU/edit?usp=sharing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J11099" s="7" t="s">
        <v>23</v>
      </c>
    </row>
    <row r="11100" spans="1:10" ht="13.2">
      <c r="A11100" s="7">
        <v>11099</v>
      </c>
      <c r="B11100" s="7">
        <v>1</v>
      </c>
      <c r="C11100" s="7" t="s">
        <v>10</v>
      </c>
      <c r="D11100" s="7">
        <v>17502</v>
      </c>
      <c r="E11100" s="7" t="s">
        <v>23</v>
      </c>
      <c r="F11100" s="8" t="str">
        <f ca="1">IFERROR(__xludf.DUMMYFUNCTION("IF
(
C11101=""фізична особа""
,
VLOOKUP(D11101,IMPORTRANGE(""https://docs.google.com/spreadsheets/d/14Bd19lYaqBhU8_DElYkX7l4wRkHqqCUFNJY4AfY3kHU/edit?usp=sharing  #gid=0"",""фіз особи new!relations_name""),6,FALSE)
,
(IF
(
C11101=""юридична особа""
,
VLOO"&amp;"KUP(D11101,IMPORTRANGE(""https://docs.google.com/spreadsheets/d/14Bd19lYaqBhU8_DElYkX7l4wRkHqqCUFNJY4AfY3kHU/edit?usp=sharing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0" s="7" t="s">
        <v>10</v>
      </c>
      <c r="H11100" s="7">
        <v>1481</v>
      </c>
      <c r="I11100" s="8" t="str">
        <f ca="1">IFERROR(__xludf.DUMMYFUNCTION("IF
(
G11101=""фізична особа""
,
VLOOKUP(H11101,IMPORTRANGE(""https://docs.google.com/spreadsheets/d/14Bd19lYaqBhU8_DElYkX7l4wRkHqqCUFNJY4AfY3kHU/edit?usp=sharing  #gid=0"",""фіз особи new!relations_name""),6,FALSE)
,
(IF
(
G11101=""юридична особа""
,
VLOO"&amp;"KUP(H11101,IMPORTRANGE(""https://docs.google.com/spreadsheets/d/14Bd19lYaqBhU8_DElYkX7l4wRkHqqCUFNJY4AfY3kHU/edit?usp=sharing  #gid=0"",""фіз особи new!relations_name_uo""),7,FALSE)
,
)
))"),"ТІЩЕНКО Олександр Сергійович")</f>
        <v>ТІЩЕНКО Олександр Сергійович</v>
      </c>
      <c r="J11100" s="7" t="s">
        <v>23</v>
      </c>
    </row>
    <row r="11101" spans="1:10" ht="13.2">
      <c r="A11101" s="7">
        <v>11100</v>
      </c>
      <c r="B11101" s="7">
        <v>1</v>
      </c>
      <c r="C11101" s="7" t="s">
        <v>10</v>
      </c>
      <c r="D11101" s="7">
        <v>17502</v>
      </c>
      <c r="E11101" s="7" t="s">
        <v>23</v>
      </c>
      <c r="F11101" s="8" t="str">
        <f ca="1">IFERROR(__xludf.DUMMYFUNCTION("IF
(
C11102=""фізична особа""
,
VLOOKUP(D11102,IMPORTRANGE(""https://docs.google.com/spreadsheets/d/14Bd19lYaqBhU8_DElYkX7l4wRkHqqCUFNJY4AfY3kHU/edit?usp=sharing  #gid=0"",""фіз особи new!relations_name""),6,FALSE)
,
(IF
(
C11102=""юридична особа""
,
VLOO"&amp;"KUP(D11102,IMPORTRANGE(""https://docs.google.com/spreadsheets/d/14Bd19lYaqBhU8_DElYkX7l4wRkHqqCUFNJY4AfY3kHU/edit?usp=sharing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1" s="7" t="s">
        <v>10</v>
      </c>
      <c r="H11101" s="7">
        <v>1482</v>
      </c>
      <c r="I11101" s="8" t="str">
        <f ca="1">IFERROR(__xludf.DUMMYFUNCTION("IF
(
G11102=""фізична особа""
,
VLOOKUP(H11102,IMPORTRANGE(""https://docs.google.com/spreadsheets/d/14Bd19lYaqBhU8_DElYkX7l4wRkHqqCUFNJY4AfY3kHU/edit?usp=sharing  #gid=0"",""фіз особи new!relations_name""),6,FALSE)
,
(IF
(
G11102=""юридична особа""
,
VLOO"&amp;"KUP(H11102,IMPORTRANGE(""https://docs.google.com/spreadsheets/d/14Bd19lYaqBhU8_DElYkX7l4wRkHqqCUFNJY4AfY3kHU/edit?usp=sharing  #gid=0"",""фіз особи new!relations_name_uo""),7,FALSE)
,
)
))"),"ХОРОХОРДІН Олексій Федорович")</f>
        <v>ХОРОХОРДІН Олексій Федорович</v>
      </c>
      <c r="J11101" s="7" t="s">
        <v>23</v>
      </c>
    </row>
    <row r="11102" spans="1:10" ht="13.2">
      <c r="A11102" s="7">
        <v>11101</v>
      </c>
      <c r="B11102" s="7">
        <v>1</v>
      </c>
      <c r="C11102" s="7" t="s">
        <v>10</v>
      </c>
      <c r="D11102" s="7">
        <v>17502</v>
      </c>
      <c r="E11102" s="7" t="s">
        <v>23</v>
      </c>
      <c r="F11102" s="8" t="str">
        <f ca="1">IFERROR(__xludf.DUMMYFUNCTION("IF
(
C11103=""фізична особа""
,
VLOOKUP(D11103,IMPORTRANGE(""https://docs.google.com/spreadsheets/d/14Bd19lYaqBhU8_DElYkX7l4wRkHqqCUFNJY4AfY3kHU/edit?usp=sharing  #gid=0"",""фіз особи new!relations_name""),6,FALSE)
,
(IF
(
C11103=""юридична особа""
,
VLOO"&amp;"KUP(D11103,IMPORTRANGE(""https://docs.google.com/spreadsheets/d/14Bd19lYaqBhU8_DElYkX7l4wRkHqqCUFNJY4AfY3kHU/edit?usp=sharing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2" s="7" t="s">
        <v>10</v>
      </c>
      <c r="H11102" s="7">
        <v>1483</v>
      </c>
      <c r="I11102" s="8" t="str">
        <f ca="1">IFERROR(__xludf.DUMMYFUNCTION("IF
(
G11103=""фізична особа""
,
VLOOKUP(H11103,IMPORTRANGE(""https://docs.google.com/spreadsheets/d/14Bd19lYaqBhU8_DElYkX7l4wRkHqqCUFNJY4AfY3kHU/edit?usp=sharing  #gid=0"",""фіз особи new!relations_name""),6,FALSE)
,
(IF
(
G11103=""юридична особа""
,
VLOO"&amp;"KUP(H11103,IMPORTRANGE(""https://docs.google.com/spreadsheets/d/14Bd19lYaqBhU8_DElYkX7l4wRkHqqCUFNJY4AfY3kHU/edit?usp=sharing  #gid=0"",""фіз особи new!relations_name_uo""),7,FALSE)
,
)
))"),"ЗИРЯНОВ Олександр Олегович")</f>
        <v>ЗИРЯНОВ Олександр Олегович</v>
      </c>
      <c r="J11102" s="7" t="s">
        <v>23</v>
      </c>
    </row>
    <row r="11103" spans="1:10" ht="13.2">
      <c r="A11103" s="7">
        <v>11102</v>
      </c>
      <c r="B11103" s="7">
        <v>1</v>
      </c>
      <c r="C11103" s="7" t="s">
        <v>10</v>
      </c>
      <c r="D11103" s="7">
        <v>17502</v>
      </c>
      <c r="E11103" s="7" t="s">
        <v>23</v>
      </c>
      <c r="F11103" s="8" t="str">
        <f ca="1">IFERROR(__xludf.DUMMYFUNCTION("IF
(
C11104=""фізична особа""
,
VLOOKUP(D11104,IMPORTRANGE(""https://docs.google.com/spreadsheets/d/14Bd19lYaqBhU8_DElYkX7l4wRkHqqCUFNJY4AfY3kHU/edit?usp=sharing  #gid=0"",""фіз особи new!relations_name""),6,FALSE)
,
(IF
(
C11104=""юридична особа""
,
VLOO"&amp;"KUP(D11104,IMPORTRANGE(""https://docs.google.com/spreadsheets/d/14Bd19lYaqBhU8_DElYkX7l4wRkHqqCUFNJY4AfY3kHU/edit?usp=sharing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3" s="7" t="s">
        <v>10</v>
      </c>
      <c r="H11103" s="7">
        <v>1490</v>
      </c>
      <c r="I11103" s="8" t="str">
        <f ca="1">IFERROR(__xludf.DUMMYFUNCTION("IF
(
G11104=""фізична особа""
,
VLOOKUP(H11104,IMPORTRANGE(""https://docs.google.com/spreadsheets/d/14Bd19lYaqBhU8_DElYkX7l4wRkHqqCUFNJY4AfY3kHU/edit?usp=sharing  #gid=0"",""фіз особи new!relations_name""),6,FALSE)
,
(IF
(
G11104=""юридична особа""
,
VLOO"&amp;"KUP(H11104,IMPORTRANGE(""https://docs.google.com/spreadsheets/d/14Bd19lYaqBhU8_DElYkX7l4wRkHqqCUFNJY4AfY3kHU/edit?usp=sharing  #gid=0"",""фіз особи new!relations_name_uo""),7,FALSE)
,
)
))"),"ТІХТУРОВ Євгеній Олександрович")</f>
        <v>ТІХТУРОВ Євгеній Олександрович</v>
      </c>
      <c r="J11103" s="7" t="s">
        <v>23</v>
      </c>
    </row>
    <row r="11104" spans="1:10" ht="13.2">
      <c r="A11104" s="7">
        <v>11103</v>
      </c>
      <c r="B11104" s="7">
        <v>1</v>
      </c>
      <c r="C11104" s="7" t="s">
        <v>10</v>
      </c>
      <c r="D11104" s="7">
        <v>17502</v>
      </c>
      <c r="E11104" s="7" t="s">
        <v>23</v>
      </c>
      <c r="F11104" s="8" t="str">
        <f ca="1">IFERROR(__xludf.DUMMYFUNCTION("IF
(
C11105=""фізична особа""
,
VLOOKUP(D11105,IMPORTRANGE(""https://docs.google.com/spreadsheets/d/14Bd19lYaqBhU8_DElYkX7l4wRkHqqCUFNJY4AfY3kHU/edit?usp=sharing  #gid=0"",""фіз особи new!relations_name""),6,FALSE)
,
(IF
(
C11105=""юридична особа""
,
VLOO"&amp;"KUP(D11105,IMPORTRANGE(""https://docs.google.com/spreadsheets/d/14Bd19lYaqBhU8_DElYkX7l4wRkHqqCUFNJY4AfY3kHU/edit?usp=sharing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4" s="7" t="s">
        <v>10</v>
      </c>
      <c r="H11104" s="7">
        <v>1491</v>
      </c>
      <c r="I11104" s="8" t="str">
        <f ca="1">IFERROR(__xludf.DUMMYFUNCTION("IF
(
G11105=""фізична особа""
,
VLOOKUP(H11105,IMPORTRANGE(""https://docs.google.com/spreadsheets/d/14Bd19lYaqBhU8_DElYkX7l4wRkHqqCUFNJY4AfY3kHU/edit?usp=sharing  #gid=0"",""фіз особи new!relations_name""),6,FALSE)
,
(IF
(
G11105=""юридична особа""
,
VLOO"&amp;"KUP(H11105,IMPORTRANGE(""https://docs.google.com/spreadsheets/d/14Bd19lYaqBhU8_DElYkX7l4wRkHqqCUFNJY4AfY3kHU/edit?usp=sharing  #gid=0"",""фіз особи new!relations_name_uo""),7,FALSE)
,
)
))"),"ШИБАЄВ Сергій Вікторович")</f>
        <v>ШИБАЄВ Сергій Вікторович</v>
      </c>
      <c r="J11104" s="7" t="s">
        <v>23</v>
      </c>
    </row>
    <row r="11105" spans="1:10" ht="13.2">
      <c r="A11105" s="7">
        <v>11104</v>
      </c>
      <c r="B11105" s="7">
        <v>1</v>
      </c>
      <c r="C11105" s="7" t="s">
        <v>10</v>
      </c>
      <c r="D11105" s="7">
        <v>17502</v>
      </c>
      <c r="E11105" s="7" t="s">
        <v>23</v>
      </c>
      <c r="F11105" s="8" t="str">
        <f ca="1">IFERROR(__xludf.DUMMYFUNCTION("IF
(
C11106=""фізична особа""
,
VLOOKUP(D11106,IMPORTRANGE(""https://docs.google.com/spreadsheets/d/14Bd19lYaqBhU8_DElYkX7l4wRkHqqCUFNJY4AfY3kHU/edit?usp=sharing  #gid=0"",""фіз особи new!relations_name""),6,FALSE)
,
(IF
(
C11106=""юридична особа""
,
VLOO"&amp;"KUP(D11106,IMPORTRANGE(""https://docs.google.com/spreadsheets/d/14Bd19lYaqBhU8_DElYkX7l4wRkHqqCUFNJY4AfY3kHU/edit?usp=sharing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5" s="7" t="s">
        <v>10</v>
      </c>
      <c r="H11105" s="7">
        <v>1492</v>
      </c>
      <c r="I11105" s="8" t="str">
        <f ca="1">IFERROR(__xludf.DUMMYFUNCTION("IF
(
G11106=""фізична особа""
,
VLOOKUP(H11106,IMPORTRANGE(""https://docs.google.com/spreadsheets/d/14Bd19lYaqBhU8_DElYkX7l4wRkHqqCUFNJY4AfY3kHU/edit?usp=sharing  #gid=0"",""фіз особи new!relations_name""),6,FALSE)
,
(IF
(
G11106=""юридична особа""
,
VLOO"&amp;"KUP(H11106,IMPORTRANGE(""https://docs.google.com/spreadsheets/d/14Bd19lYaqBhU8_DElYkX7l4wRkHqqCUFNJY4AfY3kHU/edit?usp=sharing  #gid=0"",""фіз особи new!relations_name_uo""),7,FALSE)
,
)
))"),"ТЛЄУЛІЄВА Венера Мингаліївна")</f>
        <v>ТЛЄУЛІЄВА Венера Мингаліївна</v>
      </c>
      <c r="J11105" s="7" t="s">
        <v>23</v>
      </c>
    </row>
    <row r="11106" spans="1:10" ht="13.2">
      <c r="A11106" s="7">
        <v>11105</v>
      </c>
      <c r="B11106" s="7">
        <v>1</v>
      </c>
      <c r="C11106" s="7" t="s">
        <v>10</v>
      </c>
      <c r="D11106" s="7">
        <v>17502</v>
      </c>
      <c r="E11106" s="7" t="s">
        <v>23</v>
      </c>
      <c r="F11106" s="8" t="str">
        <f ca="1">IFERROR(__xludf.DUMMYFUNCTION("IF
(
C11107=""фізична особа""
,
VLOOKUP(D11107,IMPORTRANGE(""https://docs.google.com/spreadsheets/d/14Bd19lYaqBhU8_DElYkX7l4wRkHqqCUFNJY4AfY3kHU/edit?usp=sharing  #gid=0"",""фіз особи new!relations_name""),6,FALSE)
,
(IF
(
C11107=""юридична особа""
,
VLOO"&amp;"KUP(D11107,IMPORTRANGE(""https://docs.google.com/spreadsheets/d/14Bd19lYaqBhU8_DElYkX7l4wRkHqqCUFNJY4AfY3kHU/edit?usp=sharing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6" s="7" t="s">
        <v>10</v>
      </c>
      <c r="H11106" s="7">
        <v>1493</v>
      </c>
      <c r="I11106" s="8" t="str">
        <f ca="1">IFERROR(__xludf.DUMMYFUNCTION("IF
(
G11107=""фізична особа""
,
VLOOKUP(H11107,IMPORTRANGE(""https://docs.google.com/spreadsheets/d/14Bd19lYaqBhU8_DElYkX7l4wRkHqqCUFNJY4AfY3kHU/edit?usp=sharing  #gid=0"",""фіз особи new!relations_name""),6,FALSE)
,
(IF
(
G11107=""юридична особа""
,
VLOO"&amp;"KUP(H11107,IMPORTRANGE(""https://docs.google.com/spreadsheets/d/14Bd19lYaqBhU8_DElYkX7l4wRkHqqCUFNJY4AfY3kHU/edit?usp=sharing  #gid=0"",""фіз особи new!relations_name_uo""),7,FALSE)
,
)
))"),"ФІНКЕЛЬШТЕЙН Григорій Михайлович")</f>
        <v>ФІНКЕЛЬШТЕЙН Григорій Михайлович</v>
      </c>
      <c r="J11106" s="7" t="s">
        <v>23</v>
      </c>
    </row>
    <row r="11107" spans="1:10" ht="13.2">
      <c r="A11107" s="7">
        <v>11106</v>
      </c>
      <c r="B11107" s="7">
        <v>1</v>
      </c>
      <c r="C11107" s="7" t="s">
        <v>10</v>
      </c>
      <c r="D11107" s="7">
        <v>17502</v>
      </c>
      <c r="E11107" s="7" t="s">
        <v>23</v>
      </c>
      <c r="F11107" s="8" t="str">
        <f ca="1">IFERROR(__xludf.DUMMYFUNCTION("IF
(
C11108=""фізична особа""
,
VLOOKUP(D11108,IMPORTRANGE(""https://docs.google.com/spreadsheets/d/14Bd19lYaqBhU8_DElYkX7l4wRkHqqCUFNJY4AfY3kHU/edit?usp=sharing  #gid=0"",""фіз особи new!relations_name""),6,FALSE)
,
(IF
(
C11108=""юридична особа""
,
VLOO"&amp;"KUP(D11108,IMPORTRANGE(""https://docs.google.com/spreadsheets/d/14Bd19lYaqBhU8_DElYkX7l4wRkHqqCUFNJY4AfY3kHU/edit?usp=sharing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7" s="7" t="s">
        <v>10</v>
      </c>
      <c r="H11107" s="7">
        <v>16156</v>
      </c>
      <c r="I11107" s="8" t="str">
        <f ca="1">IFERROR(__xludf.DUMMYFUNCTION("IF
(
G11108=""фізична особа""
,
VLOOKUP(H11108,IMPORTRANGE(""https://docs.google.com/spreadsheets/d/14Bd19lYaqBhU8_DElYkX7l4wRkHqqCUFNJY4AfY3kHU/edit?usp=sharing  #gid=0"",""фіз особи new!relations_name""),6,FALSE)
,
(IF
(
G11108=""юридична особа""
,
VLOO"&amp;"KUP(H11108,IMPORTRANGE(""https://docs.google.com/spreadsheets/d/14Bd19lYaqBhU8_DElYkX7l4wRkHqqCUFNJY4AfY3kHU/edit?usp=sharing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1107" s="7" t="s">
        <v>23</v>
      </c>
    </row>
    <row r="11108" spans="1:10" ht="13.2">
      <c r="A11108" s="7">
        <v>11107</v>
      </c>
      <c r="B11108" s="7">
        <v>1</v>
      </c>
      <c r="C11108" s="7" t="s">
        <v>10</v>
      </c>
      <c r="D11108" s="7">
        <v>17502</v>
      </c>
      <c r="E11108" s="7" t="s">
        <v>23</v>
      </c>
      <c r="F11108" s="8" t="str">
        <f ca="1">IFERROR(__xludf.DUMMYFUNCTION("IF
(
C11109=""фізична особа""
,
VLOOKUP(D11109,IMPORTRANGE(""https://docs.google.com/spreadsheets/d/14Bd19lYaqBhU8_DElYkX7l4wRkHqqCUFNJY4AfY3kHU/edit?usp=sharing  #gid=0"",""фіз особи new!relations_name""),6,FALSE)
,
(IF
(
C11109=""юридична особа""
,
VLOO"&amp;"KUP(D11109,IMPORTRANGE(""https://docs.google.com/spreadsheets/d/14Bd19lYaqBhU8_DElYkX7l4wRkHqqCUFNJY4AfY3kHU/edit?usp=sharing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8" s="7" t="s">
        <v>10</v>
      </c>
      <c r="H11108" s="7">
        <v>1487</v>
      </c>
      <c r="I11108" s="8" t="str">
        <f ca="1">IFERROR(__xludf.DUMMYFUNCTION("IF
(
G11109=""фізична особа""
,
VLOOKUP(H11109,IMPORTRANGE(""https://docs.google.com/spreadsheets/d/14Bd19lYaqBhU8_DElYkX7l4wRkHqqCUFNJY4AfY3kHU/edit?usp=sharing  #gid=0"",""фіз особи new!relations_name""),6,FALSE)
,
(IF
(
G11109=""юридична особа""
,
VLOO"&amp;"KUP(H11109,IMPORTRANGE(""https://docs.google.com/spreadsheets/d/14Bd19lYaqBhU8_DElYkX7l4wRkHqqCUFNJY4AfY3kHU/edit?usp=sharing  #gid=0"",""фіз особи new!relations_name_uo""),7,FALSE)
,
)
))"),"РАХМАТУЛЛІН Ільдар Асигларійович")</f>
        <v>РАХМАТУЛЛІН Ільдар Асигларійович</v>
      </c>
      <c r="J11108" s="7" t="s">
        <v>23</v>
      </c>
    </row>
    <row r="11109" spans="1:10" ht="13.2">
      <c r="A11109" s="7">
        <v>11108</v>
      </c>
      <c r="B11109" s="7">
        <v>1</v>
      </c>
      <c r="C11109" s="7" t="s">
        <v>10</v>
      </c>
      <c r="D11109" s="7">
        <v>17502</v>
      </c>
      <c r="E11109" s="7" t="s">
        <v>23</v>
      </c>
      <c r="F11109" s="8" t="str">
        <f ca="1">IFERROR(__xludf.DUMMYFUNCTION("IF
(
C11110=""фізична особа""
,
VLOOKUP(D11110,IMPORTRANGE(""https://docs.google.com/spreadsheets/d/14Bd19lYaqBhU8_DElYkX7l4wRkHqqCUFNJY4AfY3kHU/edit?usp=sharing  #gid=0"",""фіз особи new!relations_name""),6,FALSE)
,
(IF
(
C11110=""юридична особа""
,
VLOO"&amp;"KUP(D11110,IMPORTRANGE(""https://docs.google.com/spreadsheets/d/14Bd19lYaqBhU8_DElYkX7l4wRkHqqCUFNJY4AfY3kHU/edit?usp=sharing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G11109" s="7" t="s">
        <v>10</v>
      </c>
      <c r="H11109" s="7">
        <v>17501</v>
      </c>
      <c r="I11109" s="8" t="str">
        <f ca="1">IFERROR(__xludf.DUMMYFUNCTION("IF
(
G11110=""фізична особа""
,
VLOOKUP(H11110,IMPORTRANGE(""https://docs.google.com/spreadsheets/d/14Bd19lYaqBhU8_DElYkX7l4wRkHqqCUFNJY4AfY3kHU/edit?usp=sharing  #gid=0"",""фіз особи new!relations_name""),6,FALSE)
,
(IF
(
G11110=""юридична особа""
,
VLOO"&amp;"KUP(H11110,IMPORTRANGE(""https://docs.google.com/spreadsheets/d/14Bd19lYaqBhU8_DElYkX7l4wRkHqqCUFNJY4AfY3kHU/edit?usp=sharing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J11109" s="7" t="s">
        <v>23</v>
      </c>
    </row>
    <row r="11110" spans="1:10" ht="13.2">
      <c r="A11110" s="7">
        <v>11109</v>
      </c>
      <c r="B11110" s="7">
        <v>1</v>
      </c>
      <c r="C11110" s="7" t="s">
        <v>10</v>
      </c>
      <c r="D11110" s="7">
        <v>17503</v>
      </c>
      <c r="E11110" s="7" t="s">
        <v>23</v>
      </c>
      <c r="F11110" s="8" t="str">
        <f ca="1">IFERROR(__xludf.DUMMYFUNCTION("IF
(
C11111=""фізична особа""
,
VLOOKUP(D11111,IMPORTRANGE(""https://docs.google.com/spreadsheets/d/14Bd19lYaqBhU8_DElYkX7l4wRkHqqCUFNJY4AfY3kHU/edit?usp=sharing  #gid=0"",""фіз особи new!relations_name""),6,FALSE)
,
(IF
(
C11111=""юридична особа""
,
VLOO"&amp;"KUP(D11111,IMPORTRANGE(""https://docs.google.com/spreadsheets/d/14Bd19lYaqBhU8_DElYkX7l4wRkHqqCUFNJY4AfY3kHU/edit?usp=sharing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0" s="7" t="s">
        <v>10</v>
      </c>
      <c r="H11110" s="7">
        <v>1481</v>
      </c>
      <c r="I11110" s="8" t="str">
        <f ca="1">IFERROR(__xludf.DUMMYFUNCTION("IF
(
G11111=""фізична особа""
,
VLOOKUP(H11111,IMPORTRANGE(""https://docs.google.com/spreadsheets/d/14Bd19lYaqBhU8_DElYkX7l4wRkHqqCUFNJY4AfY3kHU/edit?usp=sharing  #gid=0"",""фіз особи new!relations_name""),6,FALSE)
,
(IF
(
G11111=""юридична особа""
,
VLOO"&amp;"KUP(H11111,IMPORTRANGE(""https://docs.google.com/spreadsheets/d/14Bd19lYaqBhU8_DElYkX7l4wRkHqqCUFNJY4AfY3kHU/edit?usp=sharing  #gid=0"",""фіз особи new!relations_name_uo""),7,FALSE)
,
)
))"),"ТІЩЕНКО Олександр Сергійович")</f>
        <v>ТІЩЕНКО Олександр Сергійович</v>
      </c>
      <c r="J11110" s="7" t="s">
        <v>23</v>
      </c>
    </row>
    <row r="11111" spans="1:10" ht="13.2">
      <c r="A11111" s="7">
        <v>11110</v>
      </c>
      <c r="B11111" s="7">
        <v>1</v>
      </c>
      <c r="C11111" s="7" t="s">
        <v>10</v>
      </c>
      <c r="D11111" s="7">
        <v>17503</v>
      </c>
      <c r="E11111" s="7" t="s">
        <v>23</v>
      </c>
      <c r="F11111" s="8" t="str">
        <f ca="1">IFERROR(__xludf.DUMMYFUNCTION("IF
(
C11112=""фізична особа""
,
VLOOKUP(D11112,IMPORTRANGE(""https://docs.google.com/spreadsheets/d/14Bd19lYaqBhU8_DElYkX7l4wRkHqqCUFNJY4AfY3kHU/edit?usp=sharing  #gid=0"",""фіз особи new!relations_name""),6,FALSE)
,
(IF
(
C11112=""юридична особа""
,
VLOO"&amp;"KUP(D11112,IMPORTRANGE(""https://docs.google.com/spreadsheets/d/14Bd19lYaqBhU8_DElYkX7l4wRkHqqCUFNJY4AfY3kHU/edit?usp=sharing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1" s="7" t="s">
        <v>10</v>
      </c>
      <c r="H11111" s="7">
        <v>1482</v>
      </c>
      <c r="I11111" s="8" t="str">
        <f ca="1">IFERROR(__xludf.DUMMYFUNCTION("IF
(
G11112=""фізична особа""
,
VLOOKUP(H11112,IMPORTRANGE(""https://docs.google.com/spreadsheets/d/14Bd19lYaqBhU8_DElYkX7l4wRkHqqCUFNJY4AfY3kHU/edit?usp=sharing  #gid=0"",""фіз особи new!relations_name""),6,FALSE)
,
(IF
(
G11112=""юридична особа""
,
VLOO"&amp;"KUP(H11112,IMPORTRANGE(""https://docs.google.com/spreadsheets/d/14Bd19lYaqBhU8_DElYkX7l4wRkHqqCUFNJY4AfY3kHU/edit?usp=sharing  #gid=0"",""фіз особи new!relations_name_uo""),7,FALSE)
,
)
))"),"ХОРОХОРДІН Олексій Федорович")</f>
        <v>ХОРОХОРДІН Олексій Федорович</v>
      </c>
      <c r="J11111" s="7" t="s">
        <v>23</v>
      </c>
    </row>
    <row r="11112" spans="1:10" ht="13.2">
      <c r="A11112" s="7">
        <v>11111</v>
      </c>
      <c r="B11112" s="7">
        <v>1</v>
      </c>
      <c r="C11112" s="7" t="s">
        <v>10</v>
      </c>
      <c r="D11112" s="7">
        <v>17503</v>
      </c>
      <c r="E11112" s="7" t="s">
        <v>23</v>
      </c>
      <c r="F11112" s="8" t="str">
        <f ca="1">IFERROR(__xludf.DUMMYFUNCTION("IF
(
C11113=""фізична особа""
,
VLOOKUP(D11113,IMPORTRANGE(""https://docs.google.com/spreadsheets/d/14Bd19lYaqBhU8_DElYkX7l4wRkHqqCUFNJY4AfY3kHU/edit?usp=sharing  #gid=0"",""фіз особи new!relations_name""),6,FALSE)
,
(IF
(
C11113=""юридична особа""
,
VLOO"&amp;"KUP(D11113,IMPORTRANGE(""https://docs.google.com/spreadsheets/d/14Bd19lYaqBhU8_DElYkX7l4wRkHqqCUFNJY4AfY3kHU/edit?usp=sharing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2" s="7" t="s">
        <v>10</v>
      </c>
      <c r="H11112" s="7">
        <v>1483</v>
      </c>
      <c r="I11112" s="8" t="str">
        <f ca="1">IFERROR(__xludf.DUMMYFUNCTION("IF
(
G11113=""фізична особа""
,
VLOOKUP(H11113,IMPORTRANGE(""https://docs.google.com/spreadsheets/d/14Bd19lYaqBhU8_DElYkX7l4wRkHqqCUFNJY4AfY3kHU/edit?usp=sharing  #gid=0"",""фіз особи new!relations_name""),6,FALSE)
,
(IF
(
G11113=""юридична особа""
,
VLOO"&amp;"KUP(H11113,IMPORTRANGE(""https://docs.google.com/spreadsheets/d/14Bd19lYaqBhU8_DElYkX7l4wRkHqqCUFNJY4AfY3kHU/edit?usp=sharing  #gid=0"",""фіз особи new!relations_name_uo""),7,FALSE)
,
)
))"),"ЗИРЯНОВ Олександр Олегович")</f>
        <v>ЗИРЯНОВ Олександр Олегович</v>
      </c>
      <c r="J11112" s="7" t="s">
        <v>23</v>
      </c>
    </row>
    <row r="11113" spans="1:10" ht="13.2">
      <c r="A11113" s="7">
        <v>11112</v>
      </c>
      <c r="B11113" s="7">
        <v>1</v>
      </c>
      <c r="C11113" s="7" t="s">
        <v>10</v>
      </c>
      <c r="D11113" s="7">
        <v>17503</v>
      </c>
      <c r="E11113" s="7" t="s">
        <v>23</v>
      </c>
      <c r="F11113" s="8" t="str">
        <f ca="1">IFERROR(__xludf.DUMMYFUNCTION("IF
(
C11114=""фізична особа""
,
VLOOKUP(D11114,IMPORTRANGE(""https://docs.google.com/spreadsheets/d/14Bd19lYaqBhU8_DElYkX7l4wRkHqqCUFNJY4AfY3kHU/edit?usp=sharing  #gid=0"",""фіз особи new!relations_name""),6,FALSE)
,
(IF
(
C11114=""юридична особа""
,
VLOO"&amp;"KUP(D11114,IMPORTRANGE(""https://docs.google.com/spreadsheets/d/14Bd19lYaqBhU8_DElYkX7l4wRkHqqCUFNJY4AfY3kHU/edit?usp=sharing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3" s="7" t="s">
        <v>10</v>
      </c>
      <c r="H11113" s="7">
        <v>1490</v>
      </c>
      <c r="I11113" s="8" t="str">
        <f ca="1">IFERROR(__xludf.DUMMYFUNCTION("IF
(
G11114=""фізична особа""
,
VLOOKUP(H11114,IMPORTRANGE(""https://docs.google.com/spreadsheets/d/14Bd19lYaqBhU8_DElYkX7l4wRkHqqCUFNJY4AfY3kHU/edit?usp=sharing  #gid=0"",""фіз особи new!relations_name""),6,FALSE)
,
(IF
(
G11114=""юридична особа""
,
VLOO"&amp;"KUP(H11114,IMPORTRANGE(""https://docs.google.com/spreadsheets/d/14Bd19lYaqBhU8_DElYkX7l4wRkHqqCUFNJY4AfY3kHU/edit?usp=sharing  #gid=0"",""фіз особи new!relations_name_uo""),7,FALSE)
,
)
))"),"ТІХТУРОВ Євгеній Олександрович")</f>
        <v>ТІХТУРОВ Євгеній Олександрович</v>
      </c>
      <c r="J11113" s="7" t="s">
        <v>23</v>
      </c>
    </row>
    <row r="11114" spans="1:10" ht="13.2">
      <c r="A11114" s="7">
        <v>11113</v>
      </c>
      <c r="B11114" s="7">
        <v>1</v>
      </c>
      <c r="C11114" s="7" t="s">
        <v>10</v>
      </c>
      <c r="D11114" s="7">
        <v>17503</v>
      </c>
      <c r="E11114" s="7" t="s">
        <v>23</v>
      </c>
      <c r="F11114" s="8" t="str">
        <f ca="1">IFERROR(__xludf.DUMMYFUNCTION("IF
(
C11115=""фізична особа""
,
VLOOKUP(D11115,IMPORTRANGE(""https://docs.google.com/spreadsheets/d/14Bd19lYaqBhU8_DElYkX7l4wRkHqqCUFNJY4AfY3kHU/edit?usp=sharing  #gid=0"",""фіз особи new!relations_name""),6,FALSE)
,
(IF
(
C11115=""юридична особа""
,
VLOO"&amp;"KUP(D11115,IMPORTRANGE(""https://docs.google.com/spreadsheets/d/14Bd19lYaqBhU8_DElYkX7l4wRkHqqCUFNJY4AfY3kHU/edit?usp=sharing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4" s="7" t="s">
        <v>10</v>
      </c>
      <c r="H11114" s="7">
        <v>1491</v>
      </c>
      <c r="I11114" s="8" t="str">
        <f ca="1">IFERROR(__xludf.DUMMYFUNCTION("IF
(
G11115=""фізична особа""
,
VLOOKUP(H11115,IMPORTRANGE(""https://docs.google.com/spreadsheets/d/14Bd19lYaqBhU8_DElYkX7l4wRkHqqCUFNJY4AfY3kHU/edit?usp=sharing  #gid=0"",""фіз особи new!relations_name""),6,FALSE)
,
(IF
(
G11115=""юридична особа""
,
VLOO"&amp;"KUP(H11115,IMPORTRANGE(""https://docs.google.com/spreadsheets/d/14Bd19lYaqBhU8_DElYkX7l4wRkHqqCUFNJY4AfY3kHU/edit?usp=sharing  #gid=0"",""фіз особи new!relations_name_uo""),7,FALSE)
,
)
))"),"ШИБАЄВ Сергій Вікторович")</f>
        <v>ШИБАЄВ Сергій Вікторович</v>
      </c>
      <c r="J11114" s="7" t="s">
        <v>23</v>
      </c>
    </row>
    <row r="11115" spans="1:10" ht="13.2">
      <c r="A11115" s="7">
        <v>11114</v>
      </c>
      <c r="B11115" s="7">
        <v>1</v>
      </c>
      <c r="C11115" s="7" t="s">
        <v>10</v>
      </c>
      <c r="D11115" s="7">
        <v>17503</v>
      </c>
      <c r="E11115" s="7" t="s">
        <v>23</v>
      </c>
      <c r="F11115" s="8" t="str">
        <f ca="1">IFERROR(__xludf.DUMMYFUNCTION("IF
(
C11116=""фізична особа""
,
VLOOKUP(D11116,IMPORTRANGE(""https://docs.google.com/spreadsheets/d/14Bd19lYaqBhU8_DElYkX7l4wRkHqqCUFNJY4AfY3kHU/edit?usp=sharing  #gid=0"",""фіз особи new!relations_name""),6,FALSE)
,
(IF
(
C11116=""юридична особа""
,
VLOO"&amp;"KUP(D11116,IMPORTRANGE(""https://docs.google.com/spreadsheets/d/14Bd19lYaqBhU8_DElYkX7l4wRkHqqCUFNJY4AfY3kHU/edit?usp=sharing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5" s="7" t="s">
        <v>10</v>
      </c>
      <c r="H11115" s="7">
        <v>1492</v>
      </c>
      <c r="I11115" s="8" t="str">
        <f ca="1">IFERROR(__xludf.DUMMYFUNCTION("IF
(
G11116=""фізична особа""
,
VLOOKUP(H11116,IMPORTRANGE(""https://docs.google.com/spreadsheets/d/14Bd19lYaqBhU8_DElYkX7l4wRkHqqCUFNJY4AfY3kHU/edit?usp=sharing  #gid=0"",""фіз особи new!relations_name""),6,FALSE)
,
(IF
(
G11116=""юридична особа""
,
VLOO"&amp;"KUP(H11116,IMPORTRANGE(""https://docs.google.com/spreadsheets/d/14Bd19lYaqBhU8_DElYkX7l4wRkHqqCUFNJY4AfY3kHU/edit?usp=sharing  #gid=0"",""фіз особи new!relations_name_uo""),7,FALSE)
,
)
))"),"ТЛЄУЛІЄВА Венера Мингаліївна")</f>
        <v>ТЛЄУЛІЄВА Венера Мингаліївна</v>
      </c>
      <c r="J11115" s="7" t="s">
        <v>23</v>
      </c>
    </row>
    <row r="11116" spans="1:10" ht="13.2">
      <c r="A11116" s="7">
        <v>11115</v>
      </c>
      <c r="B11116" s="7">
        <v>1</v>
      </c>
      <c r="C11116" s="7" t="s">
        <v>10</v>
      </c>
      <c r="D11116" s="7">
        <v>17503</v>
      </c>
      <c r="E11116" s="7" t="s">
        <v>23</v>
      </c>
      <c r="F11116" s="8" t="str">
        <f ca="1">IFERROR(__xludf.DUMMYFUNCTION("IF
(
C11117=""фізична особа""
,
VLOOKUP(D11117,IMPORTRANGE(""https://docs.google.com/spreadsheets/d/14Bd19lYaqBhU8_DElYkX7l4wRkHqqCUFNJY4AfY3kHU/edit?usp=sharing  #gid=0"",""фіз особи new!relations_name""),6,FALSE)
,
(IF
(
C11117=""юридична особа""
,
VLOO"&amp;"KUP(D11117,IMPORTRANGE(""https://docs.google.com/spreadsheets/d/14Bd19lYaqBhU8_DElYkX7l4wRkHqqCUFNJY4AfY3kHU/edit?usp=sharing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6" s="7" t="s">
        <v>10</v>
      </c>
      <c r="H11116" s="7">
        <v>1493</v>
      </c>
      <c r="I11116" s="8" t="str">
        <f ca="1">IFERROR(__xludf.DUMMYFUNCTION("IF
(
G11117=""фізична особа""
,
VLOOKUP(H11117,IMPORTRANGE(""https://docs.google.com/spreadsheets/d/14Bd19lYaqBhU8_DElYkX7l4wRkHqqCUFNJY4AfY3kHU/edit?usp=sharing  #gid=0"",""фіз особи new!relations_name""),6,FALSE)
,
(IF
(
G11117=""юридична особа""
,
VLOO"&amp;"KUP(H11117,IMPORTRANGE(""https://docs.google.com/spreadsheets/d/14Bd19lYaqBhU8_DElYkX7l4wRkHqqCUFNJY4AfY3kHU/edit?usp=sharing  #gid=0"",""фіз особи new!relations_name_uo""),7,FALSE)
,
)
))"),"ФІНКЕЛЬШТЕЙН Григорій Михайлович")</f>
        <v>ФІНКЕЛЬШТЕЙН Григорій Михайлович</v>
      </c>
      <c r="J11116" s="7" t="s">
        <v>23</v>
      </c>
    </row>
    <row r="11117" spans="1:10" ht="13.2">
      <c r="A11117" s="7">
        <v>11116</v>
      </c>
      <c r="B11117" s="7">
        <v>1</v>
      </c>
      <c r="C11117" s="7" t="s">
        <v>10</v>
      </c>
      <c r="D11117" s="7">
        <v>17503</v>
      </c>
      <c r="E11117" s="7" t="s">
        <v>23</v>
      </c>
      <c r="F11117" s="8" t="str">
        <f ca="1">IFERROR(__xludf.DUMMYFUNCTION("IF
(
C11118=""фізична особа""
,
VLOOKUP(D11118,IMPORTRANGE(""https://docs.google.com/spreadsheets/d/14Bd19lYaqBhU8_DElYkX7l4wRkHqqCUFNJY4AfY3kHU/edit?usp=sharing  #gid=0"",""фіз особи new!relations_name""),6,FALSE)
,
(IF
(
C11118=""юридична особа""
,
VLOO"&amp;"KUP(D11118,IMPORTRANGE(""https://docs.google.com/spreadsheets/d/14Bd19lYaqBhU8_DElYkX7l4wRkHqqCUFNJY4AfY3kHU/edit?usp=sharing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7" s="7" t="s">
        <v>10</v>
      </c>
      <c r="H11117" s="7">
        <v>16156</v>
      </c>
      <c r="I11117" s="8" t="str">
        <f ca="1">IFERROR(__xludf.DUMMYFUNCTION("IF
(
G11118=""фізична особа""
,
VLOOKUP(H11118,IMPORTRANGE(""https://docs.google.com/spreadsheets/d/14Bd19lYaqBhU8_DElYkX7l4wRkHqqCUFNJY4AfY3kHU/edit?usp=sharing  #gid=0"",""фіз особи new!relations_name""),6,FALSE)
,
(IF
(
G11118=""юридична особа""
,
VLOO"&amp;"KUP(H11118,IMPORTRANGE(""https://docs.google.com/spreadsheets/d/14Bd19lYaqBhU8_DElYkX7l4wRkHqqCUFNJY4AfY3kHU/edit?usp=sharing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1117" s="7" t="s">
        <v>23</v>
      </c>
    </row>
    <row r="11118" spans="1:10" ht="13.2">
      <c r="A11118" s="7">
        <v>11117</v>
      </c>
      <c r="B11118" s="7">
        <v>1</v>
      </c>
      <c r="C11118" s="7" t="s">
        <v>10</v>
      </c>
      <c r="D11118" s="7">
        <v>17503</v>
      </c>
      <c r="E11118" s="7" t="s">
        <v>23</v>
      </c>
      <c r="F11118" s="8" t="str">
        <f ca="1">IFERROR(__xludf.DUMMYFUNCTION("IF
(
C11119=""фізична особа""
,
VLOOKUP(D11119,IMPORTRANGE(""https://docs.google.com/spreadsheets/d/14Bd19lYaqBhU8_DElYkX7l4wRkHqqCUFNJY4AfY3kHU/edit?usp=sharing  #gid=0"",""фіз особи new!relations_name""),6,FALSE)
,
(IF
(
C11119=""юридична особа""
,
VLOO"&amp;"KUP(D11119,IMPORTRANGE(""https://docs.google.com/spreadsheets/d/14Bd19lYaqBhU8_DElYkX7l4wRkHqqCUFNJY4AfY3kHU/edit?usp=sharing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8" s="7" t="s">
        <v>10</v>
      </c>
      <c r="H11118" s="7">
        <v>1487</v>
      </c>
      <c r="I11118" s="8" t="str">
        <f ca="1">IFERROR(__xludf.DUMMYFUNCTION("IF
(
G11119=""фізична особа""
,
VLOOKUP(H11119,IMPORTRANGE(""https://docs.google.com/spreadsheets/d/14Bd19lYaqBhU8_DElYkX7l4wRkHqqCUFNJY4AfY3kHU/edit?usp=sharing  #gid=0"",""фіз особи new!relations_name""),6,FALSE)
,
(IF
(
G11119=""юридична особа""
,
VLOO"&amp;"KUP(H11119,IMPORTRANGE(""https://docs.google.com/spreadsheets/d/14Bd19lYaqBhU8_DElYkX7l4wRkHqqCUFNJY4AfY3kHU/edit?usp=sharing  #gid=0"",""фіз особи new!relations_name_uo""),7,FALSE)
,
)
))"),"РАХМАТУЛЛІН Ільдар Асигларійович")</f>
        <v>РАХМАТУЛЛІН Ільдар Асигларійович</v>
      </c>
      <c r="J11118" s="7" t="s">
        <v>23</v>
      </c>
    </row>
    <row r="11119" spans="1:10" ht="13.2">
      <c r="A11119" s="7">
        <v>11118</v>
      </c>
      <c r="B11119" s="7">
        <v>1</v>
      </c>
      <c r="C11119" s="7" t="s">
        <v>10</v>
      </c>
      <c r="D11119" s="7">
        <v>17503</v>
      </c>
      <c r="E11119" s="7" t="s">
        <v>23</v>
      </c>
      <c r="F11119" s="8" t="str">
        <f ca="1">IFERROR(__xludf.DUMMYFUNCTION("IF
(
C11120=""фізична особа""
,
VLOOKUP(D11120,IMPORTRANGE(""https://docs.google.com/spreadsheets/d/14Bd19lYaqBhU8_DElYkX7l4wRkHqqCUFNJY4AfY3kHU/edit?usp=sharing  #gid=0"",""фіз особи new!relations_name""),6,FALSE)
,
(IF
(
C11120=""юридична особа""
,
VLOO"&amp;"KUP(D11120,IMPORTRANGE(""https://docs.google.com/spreadsheets/d/14Bd19lYaqBhU8_DElYkX7l4wRkHqqCUFNJY4AfY3kHU/edit?usp=sharing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19" s="7" t="s">
        <v>10</v>
      </c>
      <c r="H11119" s="7">
        <v>17501</v>
      </c>
      <c r="I11119" s="8" t="str">
        <f ca="1">IFERROR(__xludf.DUMMYFUNCTION("IF
(
G11120=""фізична особа""
,
VLOOKUP(H11120,IMPORTRANGE(""https://docs.google.com/spreadsheets/d/14Bd19lYaqBhU8_DElYkX7l4wRkHqqCUFNJY4AfY3kHU/edit?usp=sharing  #gid=0"",""фіз особи new!relations_name""),6,FALSE)
,
(IF
(
G11120=""юридична особа""
,
VLOO"&amp;"KUP(H11120,IMPORTRANGE(""https://docs.google.com/spreadsheets/d/14Bd19lYaqBhU8_DElYkX7l4wRkHqqCUFNJY4AfY3kHU/edit?usp=sharing  #gid=0"",""фіз особи new!relations_name_uo""),7,FALSE)
,
)
))"),"СОКОЛОВ Аркадій Васильович")</f>
        <v>СОКОЛОВ Аркадій Васильович</v>
      </c>
      <c r="J11119" s="7" t="s">
        <v>23</v>
      </c>
    </row>
    <row r="11120" spans="1:10" ht="13.2">
      <c r="A11120" s="7">
        <v>11119</v>
      </c>
      <c r="B11120" s="7">
        <v>1</v>
      </c>
      <c r="C11120" s="7" t="s">
        <v>10</v>
      </c>
      <c r="D11120" s="7">
        <v>17503</v>
      </c>
      <c r="E11120" s="7" t="s">
        <v>23</v>
      </c>
      <c r="F11120" s="8" t="str">
        <f ca="1">IFERROR(__xludf.DUMMYFUNCTION("IF
(
C11121=""фізична особа""
,
VLOOKUP(D11121,IMPORTRANGE(""https://docs.google.com/spreadsheets/d/14Bd19lYaqBhU8_DElYkX7l4wRkHqqCUFNJY4AfY3kHU/edit?usp=sharing  #gid=0"",""фіз особи new!relations_name""),6,FALSE)
,
(IF
(
C11121=""юридична особа""
,
VLOO"&amp;"KUP(D11121,IMPORTRANGE(""https://docs.google.com/spreadsheets/d/14Bd19lYaqBhU8_DElYkX7l4wRkHqqCUFNJY4AfY3kHU/edit?usp=sharing  #gid=0"",""фіз особи new!relations_name_uo""),7,FALSE)
,
)
))"),"ТУТОВА Наталія Ігорівна")</f>
        <v>ТУТОВА Наталія Ігорівна</v>
      </c>
      <c r="G11120" s="7" t="s">
        <v>10</v>
      </c>
      <c r="H11120" s="7">
        <v>17502</v>
      </c>
      <c r="I11120" s="8" t="str">
        <f ca="1">IFERROR(__xludf.DUMMYFUNCTION("IF
(
G11121=""фізична особа""
,
VLOOKUP(H11121,IMPORTRANGE(""https://docs.google.com/spreadsheets/d/14Bd19lYaqBhU8_DElYkX7l4wRkHqqCUFNJY4AfY3kHU/edit?usp=sharing  #gid=0"",""фіз особи new!relations_name""),6,FALSE)
,
(IF
(
G11121=""юридична особа""
,
VLOO"&amp;"KUP(H11121,IMPORTRANGE(""https://docs.google.com/spreadsheets/d/14Bd19lYaqBhU8_DElYkX7l4wRkHqqCUFNJY4AfY3kHU/edit?usp=sharing  #gid=0"",""фіз особи new!relations_name_uo""),7,FALSE)
,
)
))"),"КУЛАКОВКІН Сергій Володимирович")</f>
        <v>КУЛАКОВКІН Сергій Володимирович</v>
      </c>
      <c r="J11120" s="7" t="s">
        <v>23</v>
      </c>
    </row>
    <row r="11121" spans="1:10" ht="13.2">
      <c r="A11121" s="7">
        <v>11120</v>
      </c>
      <c r="B11121" s="7">
        <v>1</v>
      </c>
      <c r="C11121" s="7" t="s">
        <v>10</v>
      </c>
      <c r="D11121" s="7">
        <v>17504</v>
      </c>
      <c r="E11121" s="7" t="s">
        <v>23</v>
      </c>
      <c r="F11121" s="8" t="str">
        <f ca="1">IFERROR(__xludf.DUMMYFUNCTION("IF
(
C11122=""фізична особа""
,
VLOOKUP(D11122,IMPORTRANGE(""https://docs.google.com/spreadsheets/d/14Bd19lYaqBhU8_DElYkX7l4wRkHqqCUFNJY4AfY3kHU/edit?usp=sharing  #gid=0"",""фіз особи new!relations_name""),6,FALSE)
,
(IF
(
C11122=""юридична особа""
,
VLOO"&amp;"KUP(D11122,IMPORTRANGE(""https://docs.google.com/spreadsheets/d/14Bd19lYaqBhU8_DElYkX7l4wRkHqqCUFNJY4AfY3kHU/edit?usp=sharing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1" s="7" t="s">
        <v>10</v>
      </c>
      <c r="H11121" s="7">
        <v>1494</v>
      </c>
      <c r="I11121" s="8" t="str">
        <f ca="1">IFERROR(__xludf.DUMMYFUNCTION("IF
(
G11122=""фізична особа""
,
VLOOKUP(H11122,IMPORTRANGE(""https://docs.google.com/spreadsheets/d/14Bd19lYaqBhU8_DElYkX7l4wRkHqqCUFNJY4AfY3kHU/edit?usp=sharing  #gid=0"",""фіз особи new!relations_name""),6,FALSE)
,
(IF
(
G11122=""юридична особа""
,
VLOO"&amp;"KUP(H11122,IMPORTRANGE(""https://docs.google.com/spreadsheets/d/14Bd19lYaqBhU8_DElYkX7l4wRkHqqCUFNJY4AfY3kHU/edit?usp=sharing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21" s="7" t="s">
        <v>23</v>
      </c>
    </row>
    <row r="11122" spans="1:10" ht="13.2">
      <c r="A11122" s="7">
        <v>11121</v>
      </c>
      <c r="B11122" s="7">
        <v>1</v>
      </c>
      <c r="C11122" s="7" t="s">
        <v>10</v>
      </c>
      <c r="D11122" s="7">
        <v>17504</v>
      </c>
      <c r="E11122" s="7" t="s">
        <v>23</v>
      </c>
      <c r="F11122" s="8" t="str">
        <f ca="1">IFERROR(__xludf.DUMMYFUNCTION("IF
(
C11123=""фізична особа""
,
VLOOKUP(D11123,IMPORTRANGE(""https://docs.google.com/spreadsheets/d/14Bd19lYaqBhU8_DElYkX7l4wRkHqqCUFNJY4AfY3kHU/edit?usp=sharing  #gid=0"",""фіз особи new!relations_name""),6,FALSE)
,
(IF
(
C11123=""юридична особа""
,
VLOO"&amp;"KUP(D11123,IMPORTRANGE(""https://docs.google.com/spreadsheets/d/14Bd19lYaqBhU8_DElYkX7l4wRkHqqCUFNJY4AfY3kHU/edit?usp=sharing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2" s="7" t="s">
        <v>10</v>
      </c>
      <c r="H11122" s="7">
        <v>1495</v>
      </c>
      <c r="I11122" s="8" t="str">
        <f ca="1">IFERROR(__xludf.DUMMYFUNCTION("IF
(
G11123=""фізична особа""
,
VLOOKUP(H11123,IMPORTRANGE(""https://docs.google.com/spreadsheets/d/14Bd19lYaqBhU8_DElYkX7l4wRkHqqCUFNJY4AfY3kHU/edit?usp=sharing  #gid=0"",""фіз особи new!relations_name""),6,FALSE)
,
(IF
(
G11123=""юридична особа""
,
VLOO"&amp;"KUP(H11123,IMPORTRANGE(""https://docs.google.com/spreadsheets/d/14Bd19lYaqBhU8_DElYkX7l4wRkHqqCUFNJY4AfY3kHU/edit?usp=sharing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22" s="7" t="s">
        <v>23</v>
      </c>
    </row>
    <row r="11123" spans="1:10" ht="13.2">
      <c r="A11123" s="7">
        <v>11122</v>
      </c>
      <c r="B11123" s="7">
        <v>1</v>
      </c>
      <c r="C11123" s="7" t="s">
        <v>10</v>
      </c>
      <c r="D11123" s="7">
        <v>17504</v>
      </c>
      <c r="E11123" s="7" t="s">
        <v>23</v>
      </c>
      <c r="F11123" s="8" t="str">
        <f ca="1">IFERROR(__xludf.DUMMYFUNCTION("IF
(
C11124=""фізична особа""
,
VLOOKUP(D11124,IMPORTRANGE(""https://docs.google.com/spreadsheets/d/14Bd19lYaqBhU8_DElYkX7l4wRkHqqCUFNJY4AfY3kHU/edit?usp=sharing  #gid=0"",""фіз особи new!relations_name""),6,FALSE)
,
(IF
(
C11124=""юридична особа""
,
VLOO"&amp;"KUP(D11124,IMPORTRANGE(""https://docs.google.com/spreadsheets/d/14Bd19lYaqBhU8_DElYkX7l4wRkHqqCUFNJY4AfY3kHU/edit?usp=sharing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3" s="7" t="s">
        <v>10</v>
      </c>
      <c r="H11123" s="7">
        <v>1496</v>
      </c>
      <c r="I11123" s="8" t="str">
        <f ca="1">IFERROR(__xludf.DUMMYFUNCTION("IF
(
G11124=""фізична особа""
,
VLOOKUP(H11124,IMPORTRANGE(""https://docs.google.com/spreadsheets/d/14Bd19lYaqBhU8_DElYkX7l4wRkHqqCUFNJY4AfY3kHU/edit?usp=sharing  #gid=0"",""фіз особи new!relations_name""),6,FALSE)
,
(IF
(
G11124=""юридична особа""
,
VLOO"&amp;"KUP(H11124,IMPORTRANGE(""https://docs.google.com/spreadsheets/d/14Bd19lYaqBhU8_DElYkX7l4wRkHqqCUFNJY4AfY3kHU/edit?usp=sharing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23" s="7" t="s">
        <v>23</v>
      </c>
    </row>
    <row r="11124" spans="1:10" ht="13.2">
      <c r="A11124" s="7">
        <v>11123</v>
      </c>
      <c r="B11124" s="7">
        <v>1</v>
      </c>
      <c r="C11124" s="7" t="s">
        <v>10</v>
      </c>
      <c r="D11124" s="7">
        <v>17504</v>
      </c>
      <c r="E11124" s="7" t="s">
        <v>23</v>
      </c>
      <c r="F11124" s="8" t="str">
        <f ca="1">IFERROR(__xludf.DUMMYFUNCTION("IF
(
C11125=""фізична особа""
,
VLOOKUP(D11125,IMPORTRANGE(""https://docs.google.com/spreadsheets/d/14Bd19lYaqBhU8_DElYkX7l4wRkHqqCUFNJY4AfY3kHU/edit?usp=sharing  #gid=0"",""фіз особи new!relations_name""),6,FALSE)
,
(IF
(
C11125=""юридична особа""
,
VLOO"&amp;"KUP(D11125,IMPORTRANGE(""https://docs.google.com/spreadsheets/d/14Bd19lYaqBhU8_DElYkX7l4wRkHqqCUFNJY4AfY3kHU/edit?usp=sharing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4" s="7" t="s">
        <v>10</v>
      </c>
      <c r="H11124" s="7">
        <v>1497</v>
      </c>
      <c r="I11124" s="8" t="str">
        <f ca="1">IFERROR(__xludf.DUMMYFUNCTION("IF
(
G11125=""фізична особа""
,
VLOOKUP(H11125,IMPORTRANGE(""https://docs.google.com/spreadsheets/d/14Bd19lYaqBhU8_DElYkX7l4wRkHqqCUFNJY4AfY3kHU/edit?usp=sharing  #gid=0"",""фіз особи new!relations_name""),6,FALSE)
,
(IF
(
G11125=""юридична особа""
,
VLOO"&amp;"KUP(H11125,IMPORTRANGE(""https://docs.google.com/spreadsheets/d/14Bd19lYaqBhU8_DElYkX7l4wRkHqqCUFNJY4AfY3kHU/edit?usp=sharing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24" s="7" t="s">
        <v>23</v>
      </c>
    </row>
    <row r="11125" spans="1:10" ht="13.2">
      <c r="A11125" s="7">
        <v>11124</v>
      </c>
      <c r="B11125" s="7">
        <v>1</v>
      </c>
      <c r="C11125" s="7" t="s">
        <v>10</v>
      </c>
      <c r="D11125" s="7">
        <v>17504</v>
      </c>
      <c r="E11125" s="7" t="s">
        <v>23</v>
      </c>
      <c r="F11125" s="8" t="str">
        <f ca="1">IFERROR(__xludf.DUMMYFUNCTION("IF
(
C11126=""фізична особа""
,
VLOOKUP(D11126,IMPORTRANGE(""https://docs.google.com/spreadsheets/d/14Bd19lYaqBhU8_DElYkX7l4wRkHqqCUFNJY4AfY3kHU/edit?usp=sharing  #gid=0"",""фіз особи new!relations_name""),6,FALSE)
,
(IF
(
C11126=""юридична особа""
,
VLOO"&amp;"KUP(D11126,IMPORTRANGE(""https://docs.google.com/spreadsheets/d/14Bd19lYaqBhU8_DElYkX7l4wRkHqqCUFNJY4AfY3kHU/edit?usp=sharing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5" s="7" t="s">
        <v>10</v>
      </c>
      <c r="H11125" s="7">
        <v>1498</v>
      </c>
      <c r="I11125" s="8" t="str">
        <f ca="1">IFERROR(__xludf.DUMMYFUNCTION("IF
(
G11126=""фізична особа""
,
VLOOKUP(H11126,IMPORTRANGE(""https://docs.google.com/spreadsheets/d/14Bd19lYaqBhU8_DElYkX7l4wRkHqqCUFNJY4AfY3kHU/edit?usp=sharing  #gid=0"",""фіз особи new!relations_name""),6,FALSE)
,
(IF
(
G11126=""юридична особа""
,
VLOO"&amp;"KUP(H11126,IMPORTRANGE(""https://docs.google.com/spreadsheets/d/14Bd19lYaqBhU8_DElYkX7l4wRkHqqCUFNJY4AfY3kHU/edit?usp=sharing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25" s="7" t="s">
        <v>23</v>
      </c>
    </row>
    <row r="11126" spans="1:10" ht="13.2">
      <c r="A11126" s="7">
        <v>11125</v>
      </c>
      <c r="B11126" s="7">
        <v>1</v>
      </c>
      <c r="C11126" s="7" t="s">
        <v>10</v>
      </c>
      <c r="D11126" s="7">
        <v>17504</v>
      </c>
      <c r="E11126" s="7" t="s">
        <v>23</v>
      </c>
      <c r="F11126" s="8" t="str">
        <f ca="1">IFERROR(__xludf.DUMMYFUNCTION("IF
(
C11127=""фізична особа""
,
VLOOKUP(D11127,IMPORTRANGE(""https://docs.google.com/spreadsheets/d/14Bd19lYaqBhU8_DElYkX7l4wRkHqqCUFNJY4AfY3kHU/edit?usp=sharing  #gid=0"",""фіз особи new!relations_name""),6,FALSE)
,
(IF
(
C11127=""юридична особа""
,
VLOO"&amp;"KUP(D11127,IMPORTRANGE(""https://docs.google.com/spreadsheets/d/14Bd19lYaqBhU8_DElYkX7l4wRkHqqCUFNJY4AfY3kHU/edit?usp=sharing  #gid=0"",""фіз особи new!relations_name_uo""),7,FALSE)
,
)
))"),"АФАНАСЬЄВА Олеся Валеріївна")</f>
        <v>АФАНАСЬЄВА Олеся Валеріївна</v>
      </c>
      <c r="G11126" s="7" t="s">
        <v>10</v>
      </c>
      <c r="H11126" s="7">
        <v>1851</v>
      </c>
      <c r="I11126" s="8" t="str">
        <f ca="1">IFERROR(__xludf.DUMMYFUNCTION("IF
(
G11127=""фізична особа""
,
VLOOKUP(H11127,IMPORTRANGE(""https://docs.google.com/spreadsheets/d/14Bd19lYaqBhU8_DElYkX7l4wRkHqqCUFNJY4AfY3kHU/edit?usp=sharing  #gid=0"",""фіз особи new!relations_name""),6,FALSE)
,
(IF
(
G11127=""юридична особа""
,
VLOO"&amp;"KUP(H11127,IMPORTRANGE(""https://docs.google.com/spreadsheets/d/14Bd19lYaqBhU8_DElYkX7l4wRkHqqCUFNJY4AfY3kHU/edit?usp=sharing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26" s="7" t="s">
        <v>23</v>
      </c>
    </row>
    <row r="11127" spans="1:10" ht="13.2">
      <c r="A11127" s="7">
        <v>11126</v>
      </c>
      <c r="B11127" s="7">
        <v>1</v>
      </c>
      <c r="C11127" s="7" t="s">
        <v>10</v>
      </c>
      <c r="D11127" s="7">
        <v>17505</v>
      </c>
      <c r="E11127" s="7" t="s">
        <v>23</v>
      </c>
      <c r="F11127" s="8" t="str">
        <f ca="1">IFERROR(__xludf.DUMMYFUNCTION("IF
(
C11128=""фізична особа""
,
VLOOKUP(D11128,IMPORTRANGE(""https://docs.google.com/spreadsheets/d/14Bd19lYaqBhU8_DElYkX7l4wRkHqqCUFNJY4AfY3kHU/edit?usp=sharing  #gid=0"",""фіз особи new!relations_name""),6,FALSE)
,
(IF
(
C11128=""юридична особа""
,
VLOO"&amp;"KUP(D11128,IMPORTRANGE(""https://docs.google.com/spreadsheets/d/14Bd19lYaqBhU8_DElYkX7l4wRkHqqCUFNJY4AfY3kHU/edit?usp=sharing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27" s="7" t="s">
        <v>10</v>
      </c>
      <c r="H11127" s="7">
        <v>1494</v>
      </c>
      <c r="I11127" s="8" t="str">
        <f ca="1">IFERROR(__xludf.DUMMYFUNCTION("IF
(
G11128=""фізична особа""
,
VLOOKUP(H11128,IMPORTRANGE(""https://docs.google.com/spreadsheets/d/14Bd19lYaqBhU8_DElYkX7l4wRkHqqCUFNJY4AfY3kHU/edit?usp=sharing  #gid=0"",""фіз особи new!relations_name""),6,FALSE)
,
(IF
(
G11128=""юридична особа""
,
VLOO"&amp;"KUP(H11128,IMPORTRANGE(""https://docs.google.com/spreadsheets/d/14Bd19lYaqBhU8_DElYkX7l4wRkHqqCUFNJY4AfY3kHU/edit?usp=sharing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27" s="7" t="s">
        <v>23</v>
      </c>
    </row>
    <row r="11128" spans="1:10" ht="13.2">
      <c r="A11128" s="7">
        <v>11127</v>
      </c>
      <c r="B11128" s="7">
        <v>1</v>
      </c>
      <c r="C11128" s="7" t="s">
        <v>10</v>
      </c>
      <c r="D11128" s="7">
        <v>17505</v>
      </c>
      <c r="E11128" s="7" t="s">
        <v>23</v>
      </c>
      <c r="F11128" s="8" t="str">
        <f ca="1">IFERROR(__xludf.DUMMYFUNCTION("IF
(
C11129=""фізична особа""
,
VLOOKUP(D11129,IMPORTRANGE(""https://docs.google.com/spreadsheets/d/14Bd19lYaqBhU8_DElYkX7l4wRkHqqCUFNJY4AfY3kHU/edit?usp=sharing  #gid=0"",""фіз особи new!relations_name""),6,FALSE)
,
(IF
(
C11129=""юридична особа""
,
VLOO"&amp;"KUP(D11129,IMPORTRANGE(""https://docs.google.com/spreadsheets/d/14Bd19lYaqBhU8_DElYkX7l4wRkHqqCUFNJY4AfY3kHU/edit?usp=sharing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28" s="7" t="s">
        <v>10</v>
      </c>
      <c r="H11128" s="7">
        <v>1495</v>
      </c>
      <c r="I11128" s="8" t="str">
        <f ca="1">IFERROR(__xludf.DUMMYFUNCTION("IF
(
G11129=""фізична особа""
,
VLOOKUP(H11129,IMPORTRANGE(""https://docs.google.com/spreadsheets/d/14Bd19lYaqBhU8_DElYkX7l4wRkHqqCUFNJY4AfY3kHU/edit?usp=sharing  #gid=0"",""фіз особи new!relations_name""),6,FALSE)
,
(IF
(
G11129=""юридична особа""
,
VLOO"&amp;"KUP(H11129,IMPORTRANGE(""https://docs.google.com/spreadsheets/d/14Bd19lYaqBhU8_DElYkX7l4wRkHqqCUFNJY4AfY3kHU/edit?usp=sharing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28" s="7" t="s">
        <v>23</v>
      </c>
    </row>
    <row r="11129" spans="1:10" ht="13.2">
      <c r="A11129" s="7">
        <v>11128</v>
      </c>
      <c r="B11129" s="7">
        <v>1</v>
      </c>
      <c r="C11129" s="7" t="s">
        <v>10</v>
      </c>
      <c r="D11129" s="7">
        <v>17505</v>
      </c>
      <c r="E11129" s="7" t="s">
        <v>23</v>
      </c>
      <c r="F11129" s="8" t="str">
        <f ca="1">IFERROR(__xludf.DUMMYFUNCTION("IF
(
C11130=""фізична особа""
,
VLOOKUP(D11130,IMPORTRANGE(""https://docs.google.com/spreadsheets/d/14Bd19lYaqBhU8_DElYkX7l4wRkHqqCUFNJY4AfY3kHU/edit?usp=sharing  #gid=0"",""фіз особи new!relations_name""),6,FALSE)
,
(IF
(
C11130=""юридична особа""
,
VLOO"&amp;"KUP(D11130,IMPORTRANGE(""https://docs.google.com/spreadsheets/d/14Bd19lYaqBhU8_DElYkX7l4wRkHqqCUFNJY4AfY3kHU/edit?usp=sharing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29" s="7" t="s">
        <v>10</v>
      </c>
      <c r="H11129" s="7">
        <v>1496</v>
      </c>
      <c r="I11129" s="8" t="str">
        <f ca="1">IFERROR(__xludf.DUMMYFUNCTION("IF
(
G11130=""фізична особа""
,
VLOOKUP(H11130,IMPORTRANGE(""https://docs.google.com/spreadsheets/d/14Bd19lYaqBhU8_DElYkX7l4wRkHqqCUFNJY4AfY3kHU/edit?usp=sharing  #gid=0"",""фіз особи new!relations_name""),6,FALSE)
,
(IF
(
G11130=""юридична особа""
,
VLOO"&amp;"KUP(H11130,IMPORTRANGE(""https://docs.google.com/spreadsheets/d/14Bd19lYaqBhU8_DElYkX7l4wRkHqqCUFNJY4AfY3kHU/edit?usp=sharing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29" s="7" t="s">
        <v>23</v>
      </c>
    </row>
    <row r="11130" spans="1:10" ht="13.2">
      <c r="A11130" s="7">
        <v>11129</v>
      </c>
      <c r="B11130" s="7">
        <v>1</v>
      </c>
      <c r="C11130" s="7" t="s">
        <v>10</v>
      </c>
      <c r="D11130" s="7">
        <v>17505</v>
      </c>
      <c r="E11130" s="7" t="s">
        <v>23</v>
      </c>
      <c r="F11130" s="8" t="str">
        <f ca="1">IFERROR(__xludf.DUMMYFUNCTION("IF
(
C11131=""фізична особа""
,
VLOOKUP(D11131,IMPORTRANGE(""https://docs.google.com/spreadsheets/d/14Bd19lYaqBhU8_DElYkX7l4wRkHqqCUFNJY4AfY3kHU/edit?usp=sharing  #gid=0"",""фіз особи new!relations_name""),6,FALSE)
,
(IF
(
C11131=""юридична особа""
,
VLOO"&amp;"KUP(D11131,IMPORTRANGE(""https://docs.google.com/spreadsheets/d/14Bd19lYaqBhU8_DElYkX7l4wRkHqqCUFNJY4AfY3kHU/edit?usp=sharing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30" s="7" t="s">
        <v>10</v>
      </c>
      <c r="H11130" s="7">
        <v>1497</v>
      </c>
      <c r="I11130" s="8" t="str">
        <f ca="1">IFERROR(__xludf.DUMMYFUNCTION("IF
(
G11131=""фізична особа""
,
VLOOKUP(H11131,IMPORTRANGE(""https://docs.google.com/spreadsheets/d/14Bd19lYaqBhU8_DElYkX7l4wRkHqqCUFNJY4AfY3kHU/edit?usp=sharing  #gid=0"",""фіз особи new!relations_name""),6,FALSE)
,
(IF
(
G11131=""юридична особа""
,
VLOO"&amp;"KUP(H11131,IMPORTRANGE(""https://docs.google.com/spreadsheets/d/14Bd19lYaqBhU8_DElYkX7l4wRkHqqCUFNJY4AfY3kHU/edit?usp=sharing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30" s="7" t="s">
        <v>23</v>
      </c>
    </row>
    <row r="11131" spans="1:10" ht="13.2">
      <c r="A11131" s="7">
        <v>11130</v>
      </c>
      <c r="B11131" s="7">
        <v>1</v>
      </c>
      <c r="C11131" s="7" t="s">
        <v>10</v>
      </c>
      <c r="D11131" s="7">
        <v>17505</v>
      </c>
      <c r="E11131" s="7" t="s">
        <v>23</v>
      </c>
      <c r="F11131" s="8" t="str">
        <f ca="1">IFERROR(__xludf.DUMMYFUNCTION("IF
(
C11132=""фізична особа""
,
VLOOKUP(D11132,IMPORTRANGE(""https://docs.google.com/spreadsheets/d/14Bd19lYaqBhU8_DElYkX7l4wRkHqqCUFNJY4AfY3kHU/edit?usp=sharing  #gid=0"",""фіз особи new!relations_name""),6,FALSE)
,
(IF
(
C11132=""юридична особа""
,
VLOO"&amp;"KUP(D11132,IMPORTRANGE(""https://docs.google.com/spreadsheets/d/14Bd19lYaqBhU8_DElYkX7l4wRkHqqCUFNJY4AfY3kHU/edit?usp=sharing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31" s="7" t="s">
        <v>10</v>
      </c>
      <c r="H11131" s="7">
        <v>1498</v>
      </c>
      <c r="I11131" s="8" t="str">
        <f ca="1">IFERROR(__xludf.DUMMYFUNCTION("IF
(
G11132=""фізична особа""
,
VLOOKUP(H11132,IMPORTRANGE(""https://docs.google.com/spreadsheets/d/14Bd19lYaqBhU8_DElYkX7l4wRkHqqCUFNJY4AfY3kHU/edit?usp=sharing  #gid=0"",""фіз особи new!relations_name""),6,FALSE)
,
(IF
(
G11132=""юридична особа""
,
VLOO"&amp;"KUP(H11132,IMPORTRANGE(""https://docs.google.com/spreadsheets/d/14Bd19lYaqBhU8_DElYkX7l4wRkHqqCUFNJY4AfY3kHU/edit?usp=sharing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31" s="7" t="s">
        <v>23</v>
      </c>
    </row>
    <row r="11132" spans="1:10" ht="13.2">
      <c r="A11132" s="7">
        <v>11131</v>
      </c>
      <c r="B11132" s="7">
        <v>1</v>
      </c>
      <c r="C11132" s="7" t="s">
        <v>10</v>
      </c>
      <c r="D11132" s="7">
        <v>17505</v>
      </c>
      <c r="E11132" s="7" t="s">
        <v>23</v>
      </c>
      <c r="F11132" s="8" t="str">
        <f ca="1">IFERROR(__xludf.DUMMYFUNCTION("IF
(
C11133=""фізична особа""
,
VLOOKUP(D11133,IMPORTRANGE(""https://docs.google.com/spreadsheets/d/14Bd19lYaqBhU8_DElYkX7l4wRkHqqCUFNJY4AfY3kHU/edit?usp=sharing  #gid=0"",""фіз особи new!relations_name""),6,FALSE)
,
(IF
(
C11133=""юридична особа""
,
VLOO"&amp;"KUP(D11133,IMPORTRANGE(""https://docs.google.com/spreadsheets/d/14Bd19lYaqBhU8_DElYkX7l4wRkHqqCUFNJY4AfY3kHU/edit?usp=sharing  #gid=0"",""фіз особи new!relations_name_uo""),7,FALSE)
,
)
))"),"ГОРДЄЄВА Ірина Олегівна")</f>
        <v>ГОРДЄЄВА Ірина Олегівна</v>
      </c>
      <c r="G11132" s="7" t="s">
        <v>10</v>
      </c>
      <c r="H11132" s="7">
        <v>1851</v>
      </c>
      <c r="I11132" s="8" t="str">
        <f ca="1">IFERROR(__xludf.DUMMYFUNCTION("IF
(
G11133=""фізична особа""
,
VLOOKUP(H11133,IMPORTRANGE(""https://docs.google.com/spreadsheets/d/14Bd19lYaqBhU8_DElYkX7l4wRkHqqCUFNJY4AfY3kHU/edit?usp=sharing  #gid=0"",""фіз особи new!relations_name""),6,FALSE)
,
(IF
(
G11133=""юридична особа""
,
VLOO"&amp;"KUP(H11133,IMPORTRANGE(""https://docs.google.com/spreadsheets/d/14Bd19lYaqBhU8_DElYkX7l4wRkHqqCUFNJY4AfY3kHU/edit?usp=sharing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32" s="7" t="s">
        <v>23</v>
      </c>
    </row>
    <row r="11133" spans="1:10" ht="13.2">
      <c r="A11133" s="7">
        <v>11132</v>
      </c>
      <c r="B11133" s="7">
        <v>1</v>
      </c>
      <c r="C11133" s="7" t="s">
        <v>10</v>
      </c>
      <c r="D11133" s="7">
        <v>17506</v>
      </c>
      <c r="E11133" s="7" t="s">
        <v>23</v>
      </c>
      <c r="F11133" s="8" t="str">
        <f ca="1">IFERROR(__xludf.DUMMYFUNCTION("IF
(
C11134=""фізична особа""
,
VLOOKUP(D11134,IMPORTRANGE(""https://docs.google.com/spreadsheets/d/14Bd19lYaqBhU8_DElYkX7l4wRkHqqCUFNJY4AfY3kHU/edit?usp=sharing  #gid=0"",""фіз особи new!relations_name""),6,FALSE)
,
(IF
(
C11134=""юридична особа""
,
VLOO"&amp;"KUP(D11134,IMPORTRANGE(""https://docs.google.com/spreadsheets/d/14Bd19lYaqBhU8_DElYkX7l4wRkHqqCUFNJY4AfY3kHU/edit?usp=sharing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3" s="7" t="s">
        <v>10</v>
      </c>
      <c r="H11133" s="7">
        <v>1494</v>
      </c>
      <c r="I11133" s="8" t="str">
        <f ca="1">IFERROR(__xludf.DUMMYFUNCTION("IF
(
G11134=""фізична особа""
,
VLOOKUP(H11134,IMPORTRANGE(""https://docs.google.com/spreadsheets/d/14Bd19lYaqBhU8_DElYkX7l4wRkHqqCUFNJY4AfY3kHU/edit?usp=sharing  #gid=0"",""фіз особи new!relations_name""),6,FALSE)
,
(IF
(
G11134=""юридична особа""
,
VLOO"&amp;"KUP(H11134,IMPORTRANGE(""https://docs.google.com/spreadsheets/d/14Bd19lYaqBhU8_DElYkX7l4wRkHqqCUFNJY4AfY3kHU/edit?usp=sharing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33" s="7" t="s">
        <v>23</v>
      </c>
    </row>
    <row r="11134" spans="1:10" ht="13.2">
      <c r="A11134" s="7">
        <v>11133</v>
      </c>
      <c r="B11134" s="7">
        <v>1</v>
      </c>
      <c r="C11134" s="7" t="s">
        <v>10</v>
      </c>
      <c r="D11134" s="7">
        <v>17506</v>
      </c>
      <c r="E11134" s="7" t="s">
        <v>23</v>
      </c>
      <c r="F11134" s="8" t="str">
        <f ca="1">IFERROR(__xludf.DUMMYFUNCTION("IF
(
C11135=""фізична особа""
,
VLOOKUP(D11135,IMPORTRANGE(""https://docs.google.com/spreadsheets/d/14Bd19lYaqBhU8_DElYkX7l4wRkHqqCUFNJY4AfY3kHU/edit?usp=sharing  #gid=0"",""фіз особи new!relations_name""),6,FALSE)
,
(IF
(
C11135=""юридична особа""
,
VLOO"&amp;"KUP(D11135,IMPORTRANGE(""https://docs.google.com/spreadsheets/d/14Bd19lYaqBhU8_DElYkX7l4wRkHqqCUFNJY4AfY3kHU/edit?usp=sharing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4" s="7" t="s">
        <v>10</v>
      </c>
      <c r="H11134" s="7">
        <v>1495</v>
      </c>
      <c r="I11134" s="8" t="str">
        <f ca="1">IFERROR(__xludf.DUMMYFUNCTION("IF
(
G11135=""фізична особа""
,
VLOOKUP(H11135,IMPORTRANGE(""https://docs.google.com/spreadsheets/d/14Bd19lYaqBhU8_DElYkX7l4wRkHqqCUFNJY4AfY3kHU/edit?usp=sharing  #gid=0"",""фіз особи new!relations_name""),6,FALSE)
,
(IF
(
G11135=""юридична особа""
,
VLOO"&amp;"KUP(H11135,IMPORTRANGE(""https://docs.google.com/spreadsheets/d/14Bd19lYaqBhU8_DElYkX7l4wRkHqqCUFNJY4AfY3kHU/edit?usp=sharing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34" s="7" t="s">
        <v>23</v>
      </c>
    </row>
    <row r="11135" spans="1:10" ht="13.2">
      <c r="A11135" s="7">
        <v>11134</v>
      </c>
      <c r="B11135" s="7">
        <v>1</v>
      </c>
      <c r="C11135" s="7" t="s">
        <v>10</v>
      </c>
      <c r="D11135" s="7">
        <v>17506</v>
      </c>
      <c r="E11135" s="7" t="s">
        <v>23</v>
      </c>
      <c r="F11135" s="8" t="str">
        <f ca="1">IFERROR(__xludf.DUMMYFUNCTION("IF
(
C11136=""фізична особа""
,
VLOOKUP(D11136,IMPORTRANGE(""https://docs.google.com/spreadsheets/d/14Bd19lYaqBhU8_DElYkX7l4wRkHqqCUFNJY4AfY3kHU/edit?usp=sharing  #gid=0"",""фіз особи new!relations_name""),6,FALSE)
,
(IF
(
C11136=""юридична особа""
,
VLOO"&amp;"KUP(D11136,IMPORTRANGE(""https://docs.google.com/spreadsheets/d/14Bd19lYaqBhU8_DElYkX7l4wRkHqqCUFNJY4AfY3kHU/edit?usp=sharing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5" s="7" t="s">
        <v>10</v>
      </c>
      <c r="H11135" s="7">
        <v>1496</v>
      </c>
      <c r="I11135" s="8" t="str">
        <f ca="1">IFERROR(__xludf.DUMMYFUNCTION("IF
(
G11136=""фізична особа""
,
VLOOKUP(H11136,IMPORTRANGE(""https://docs.google.com/spreadsheets/d/14Bd19lYaqBhU8_DElYkX7l4wRkHqqCUFNJY4AfY3kHU/edit?usp=sharing  #gid=0"",""фіз особи new!relations_name""),6,FALSE)
,
(IF
(
G11136=""юридична особа""
,
VLOO"&amp;"KUP(H11136,IMPORTRANGE(""https://docs.google.com/spreadsheets/d/14Bd19lYaqBhU8_DElYkX7l4wRkHqqCUFNJY4AfY3kHU/edit?usp=sharing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35" s="7" t="s">
        <v>23</v>
      </c>
    </row>
    <row r="11136" spans="1:10" ht="13.2">
      <c r="A11136" s="7">
        <v>11135</v>
      </c>
      <c r="B11136" s="7">
        <v>1</v>
      </c>
      <c r="C11136" s="7" t="s">
        <v>10</v>
      </c>
      <c r="D11136" s="7">
        <v>17506</v>
      </c>
      <c r="E11136" s="7" t="s">
        <v>23</v>
      </c>
      <c r="F11136" s="8" t="str">
        <f ca="1">IFERROR(__xludf.DUMMYFUNCTION("IF
(
C11137=""фізична особа""
,
VLOOKUP(D11137,IMPORTRANGE(""https://docs.google.com/spreadsheets/d/14Bd19lYaqBhU8_DElYkX7l4wRkHqqCUFNJY4AfY3kHU/edit?usp=sharing  #gid=0"",""фіз особи new!relations_name""),6,FALSE)
,
(IF
(
C11137=""юридична особа""
,
VLOO"&amp;"KUP(D11137,IMPORTRANGE(""https://docs.google.com/spreadsheets/d/14Bd19lYaqBhU8_DElYkX7l4wRkHqqCUFNJY4AfY3kHU/edit?usp=sharing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6" s="7" t="s">
        <v>10</v>
      </c>
      <c r="H11136" s="7">
        <v>1497</v>
      </c>
      <c r="I11136" s="8" t="str">
        <f ca="1">IFERROR(__xludf.DUMMYFUNCTION("IF
(
G11137=""фізична особа""
,
VLOOKUP(H11137,IMPORTRANGE(""https://docs.google.com/spreadsheets/d/14Bd19lYaqBhU8_DElYkX7l4wRkHqqCUFNJY4AfY3kHU/edit?usp=sharing  #gid=0"",""фіз особи new!relations_name""),6,FALSE)
,
(IF
(
G11137=""юридична особа""
,
VLOO"&amp;"KUP(H11137,IMPORTRANGE(""https://docs.google.com/spreadsheets/d/14Bd19lYaqBhU8_DElYkX7l4wRkHqqCUFNJY4AfY3kHU/edit?usp=sharing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36" s="7" t="s">
        <v>23</v>
      </c>
    </row>
    <row r="11137" spans="1:10" ht="13.2">
      <c r="A11137" s="7">
        <v>11136</v>
      </c>
      <c r="B11137" s="7">
        <v>1</v>
      </c>
      <c r="C11137" s="7" t="s">
        <v>10</v>
      </c>
      <c r="D11137" s="7">
        <v>17506</v>
      </c>
      <c r="E11137" s="7" t="s">
        <v>23</v>
      </c>
      <c r="F11137" s="8" t="str">
        <f ca="1">IFERROR(__xludf.DUMMYFUNCTION("IF
(
C11138=""фізична особа""
,
VLOOKUP(D11138,IMPORTRANGE(""https://docs.google.com/spreadsheets/d/14Bd19lYaqBhU8_DElYkX7l4wRkHqqCUFNJY4AfY3kHU/edit?usp=sharing  #gid=0"",""фіз особи new!relations_name""),6,FALSE)
,
(IF
(
C11138=""юридична особа""
,
VLOO"&amp;"KUP(D11138,IMPORTRANGE(""https://docs.google.com/spreadsheets/d/14Bd19lYaqBhU8_DElYkX7l4wRkHqqCUFNJY4AfY3kHU/edit?usp=sharing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7" s="7" t="s">
        <v>10</v>
      </c>
      <c r="H11137" s="7">
        <v>1498</v>
      </c>
      <c r="I11137" s="8" t="str">
        <f ca="1">IFERROR(__xludf.DUMMYFUNCTION("IF
(
G11138=""фізична особа""
,
VLOOKUP(H11138,IMPORTRANGE(""https://docs.google.com/spreadsheets/d/14Bd19lYaqBhU8_DElYkX7l4wRkHqqCUFNJY4AfY3kHU/edit?usp=sharing  #gid=0"",""фіз особи new!relations_name""),6,FALSE)
,
(IF
(
G11138=""юридична особа""
,
VLOO"&amp;"KUP(H11138,IMPORTRANGE(""https://docs.google.com/spreadsheets/d/14Bd19lYaqBhU8_DElYkX7l4wRkHqqCUFNJY4AfY3kHU/edit?usp=sharing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37" s="7" t="s">
        <v>23</v>
      </c>
    </row>
    <row r="11138" spans="1:10" ht="13.2">
      <c r="A11138" s="7">
        <v>11137</v>
      </c>
      <c r="B11138" s="7">
        <v>1</v>
      </c>
      <c r="C11138" s="7" t="s">
        <v>10</v>
      </c>
      <c r="D11138" s="7">
        <v>17506</v>
      </c>
      <c r="E11138" s="7" t="s">
        <v>23</v>
      </c>
      <c r="F11138" s="8" t="str">
        <f ca="1">IFERROR(__xludf.DUMMYFUNCTION("IF
(
C11139=""фізична особа""
,
VLOOKUP(D11139,IMPORTRANGE(""https://docs.google.com/spreadsheets/d/14Bd19lYaqBhU8_DElYkX7l4wRkHqqCUFNJY4AfY3kHU/edit?usp=sharing  #gid=0"",""фіз особи new!relations_name""),6,FALSE)
,
(IF
(
C11139=""юридична особа""
,
VLOO"&amp;"KUP(D11139,IMPORTRANGE(""https://docs.google.com/spreadsheets/d/14Bd19lYaqBhU8_DElYkX7l4wRkHqqCUFNJY4AfY3kHU/edit?usp=sharing  #gid=0"",""фіз особи new!relations_name_uo""),7,FALSE)
,
)
))"),"НАЦІЄВСЬКИЙ Олег Дмитрович")</f>
        <v>НАЦІЄВСЬКИЙ Олег Дмитрович</v>
      </c>
      <c r="G11138" s="7" t="s">
        <v>10</v>
      </c>
      <c r="H11138" s="7">
        <v>1851</v>
      </c>
      <c r="I11138" s="8" t="str">
        <f ca="1">IFERROR(__xludf.DUMMYFUNCTION("IF
(
G11139=""фізична особа""
,
VLOOKUP(H11139,IMPORTRANGE(""https://docs.google.com/spreadsheets/d/14Bd19lYaqBhU8_DElYkX7l4wRkHqqCUFNJY4AfY3kHU/edit?usp=sharing  #gid=0"",""фіз особи new!relations_name""),6,FALSE)
,
(IF
(
G11139=""юридична особа""
,
VLOO"&amp;"KUP(H11139,IMPORTRANGE(""https://docs.google.com/spreadsheets/d/14Bd19lYaqBhU8_DElYkX7l4wRkHqqCUFNJY4AfY3kHU/edit?usp=sharing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38" s="7" t="s">
        <v>23</v>
      </c>
    </row>
    <row r="11139" spans="1:10" ht="13.2">
      <c r="A11139" s="7">
        <v>11138</v>
      </c>
      <c r="B11139" s="7">
        <v>1</v>
      </c>
      <c r="C11139" s="7" t="s">
        <v>10</v>
      </c>
      <c r="D11139" s="7">
        <v>17507</v>
      </c>
      <c r="E11139" s="7" t="s">
        <v>23</v>
      </c>
      <c r="F11139" s="8" t="str">
        <f ca="1">IFERROR(__xludf.DUMMYFUNCTION("IF
(
C11140=""фізична особа""
,
VLOOKUP(D11140,IMPORTRANGE(""https://docs.google.com/spreadsheets/d/14Bd19lYaqBhU8_DElYkX7l4wRkHqqCUFNJY4AfY3kHU/edit?usp=sharing  #gid=0"",""фіз особи new!relations_name""),6,FALSE)
,
(IF
(
C11140=""юридична особа""
,
VLOO"&amp;"KUP(D11140,IMPORTRANGE(""https://docs.google.com/spreadsheets/d/14Bd19lYaqBhU8_DElYkX7l4wRkHqqCUFNJY4AfY3kHU/edit?usp=sharing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39" s="7" t="s">
        <v>10</v>
      </c>
      <c r="H11139" s="7">
        <v>1494</v>
      </c>
      <c r="I11139" s="8" t="str">
        <f ca="1">IFERROR(__xludf.DUMMYFUNCTION("IF
(
G11140=""фізична особа""
,
VLOOKUP(H11140,IMPORTRANGE(""https://docs.google.com/spreadsheets/d/14Bd19lYaqBhU8_DElYkX7l4wRkHqqCUFNJY4AfY3kHU/edit?usp=sharing  #gid=0"",""фіз особи new!relations_name""),6,FALSE)
,
(IF
(
G11140=""юридична особа""
,
VLOO"&amp;"KUP(H11140,IMPORTRANGE(""https://docs.google.com/spreadsheets/d/14Bd19lYaqBhU8_DElYkX7l4wRkHqqCUFNJY4AfY3kHU/edit?usp=sharing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39" s="7" t="s">
        <v>23</v>
      </c>
    </row>
    <row r="11140" spans="1:10" ht="13.2">
      <c r="A11140" s="7">
        <v>11139</v>
      </c>
      <c r="B11140" s="7">
        <v>1</v>
      </c>
      <c r="C11140" s="7" t="s">
        <v>10</v>
      </c>
      <c r="D11140" s="7">
        <v>17507</v>
      </c>
      <c r="E11140" s="7" t="s">
        <v>23</v>
      </c>
      <c r="F11140" s="8" t="str">
        <f ca="1">IFERROR(__xludf.DUMMYFUNCTION("IF
(
C11141=""фізична особа""
,
VLOOKUP(D11141,IMPORTRANGE(""https://docs.google.com/spreadsheets/d/14Bd19lYaqBhU8_DElYkX7l4wRkHqqCUFNJY4AfY3kHU/edit?usp=sharing  #gid=0"",""фіз особи new!relations_name""),6,FALSE)
,
(IF
(
C11141=""юридична особа""
,
VLOO"&amp;"KUP(D11141,IMPORTRANGE(""https://docs.google.com/spreadsheets/d/14Bd19lYaqBhU8_DElYkX7l4wRkHqqCUFNJY4AfY3kHU/edit?usp=sharing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40" s="7" t="s">
        <v>10</v>
      </c>
      <c r="H11140" s="7">
        <v>1495</v>
      </c>
      <c r="I11140" s="8" t="str">
        <f ca="1">IFERROR(__xludf.DUMMYFUNCTION("IF
(
G11141=""фізична особа""
,
VLOOKUP(H11141,IMPORTRANGE(""https://docs.google.com/spreadsheets/d/14Bd19lYaqBhU8_DElYkX7l4wRkHqqCUFNJY4AfY3kHU/edit?usp=sharing  #gid=0"",""фіз особи new!relations_name""),6,FALSE)
,
(IF
(
G11141=""юридична особа""
,
VLOO"&amp;"KUP(H11141,IMPORTRANGE(""https://docs.google.com/spreadsheets/d/14Bd19lYaqBhU8_DElYkX7l4wRkHqqCUFNJY4AfY3kHU/edit?usp=sharing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40" s="7" t="s">
        <v>23</v>
      </c>
    </row>
    <row r="11141" spans="1:10" ht="13.2">
      <c r="A11141" s="7">
        <v>11140</v>
      </c>
      <c r="B11141" s="7">
        <v>1</v>
      </c>
      <c r="C11141" s="7" t="s">
        <v>10</v>
      </c>
      <c r="D11141" s="7">
        <v>17507</v>
      </c>
      <c r="E11141" s="7" t="s">
        <v>23</v>
      </c>
      <c r="F11141" s="8" t="str">
        <f ca="1">IFERROR(__xludf.DUMMYFUNCTION("IF
(
C11142=""фізична особа""
,
VLOOKUP(D11142,IMPORTRANGE(""https://docs.google.com/spreadsheets/d/14Bd19lYaqBhU8_DElYkX7l4wRkHqqCUFNJY4AfY3kHU/edit?usp=sharing  #gid=0"",""фіз особи new!relations_name""),6,FALSE)
,
(IF
(
C11142=""юридична особа""
,
VLOO"&amp;"KUP(D11142,IMPORTRANGE(""https://docs.google.com/spreadsheets/d/14Bd19lYaqBhU8_DElYkX7l4wRkHqqCUFNJY4AfY3kHU/edit?usp=sharing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41" s="7" t="s">
        <v>10</v>
      </c>
      <c r="H11141" s="7">
        <v>1496</v>
      </c>
      <c r="I11141" s="8" t="str">
        <f ca="1">IFERROR(__xludf.DUMMYFUNCTION("IF
(
G11142=""фізична особа""
,
VLOOKUP(H11142,IMPORTRANGE(""https://docs.google.com/spreadsheets/d/14Bd19lYaqBhU8_DElYkX7l4wRkHqqCUFNJY4AfY3kHU/edit?usp=sharing  #gid=0"",""фіз особи new!relations_name""),6,FALSE)
,
(IF
(
G11142=""юридична особа""
,
VLOO"&amp;"KUP(H11142,IMPORTRANGE(""https://docs.google.com/spreadsheets/d/14Bd19lYaqBhU8_DElYkX7l4wRkHqqCUFNJY4AfY3kHU/edit?usp=sharing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41" s="7" t="s">
        <v>23</v>
      </c>
    </row>
    <row r="11142" spans="1:10" ht="13.2">
      <c r="A11142" s="7">
        <v>11141</v>
      </c>
      <c r="B11142" s="7">
        <v>1</v>
      </c>
      <c r="C11142" s="7" t="s">
        <v>10</v>
      </c>
      <c r="D11142" s="7">
        <v>17507</v>
      </c>
      <c r="E11142" s="7" t="s">
        <v>23</v>
      </c>
      <c r="F11142" s="8" t="str">
        <f ca="1">IFERROR(__xludf.DUMMYFUNCTION("IF
(
C11143=""фізична особа""
,
VLOOKUP(D11143,IMPORTRANGE(""https://docs.google.com/spreadsheets/d/14Bd19lYaqBhU8_DElYkX7l4wRkHqqCUFNJY4AfY3kHU/edit?usp=sharing  #gid=0"",""фіз особи new!relations_name""),6,FALSE)
,
(IF
(
C11143=""юридична особа""
,
VLOO"&amp;"KUP(D11143,IMPORTRANGE(""https://docs.google.com/spreadsheets/d/14Bd19lYaqBhU8_DElYkX7l4wRkHqqCUFNJY4AfY3kHU/edit?usp=sharing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42" s="7" t="s">
        <v>10</v>
      </c>
      <c r="H11142" s="7">
        <v>1497</v>
      </c>
      <c r="I11142" s="8" t="str">
        <f ca="1">IFERROR(__xludf.DUMMYFUNCTION("IF
(
G11143=""фізична особа""
,
VLOOKUP(H11143,IMPORTRANGE(""https://docs.google.com/spreadsheets/d/14Bd19lYaqBhU8_DElYkX7l4wRkHqqCUFNJY4AfY3kHU/edit?usp=sharing  #gid=0"",""фіз особи new!relations_name""),6,FALSE)
,
(IF
(
G11143=""юридична особа""
,
VLOO"&amp;"KUP(H11143,IMPORTRANGE(""https://docs.google.com/spreadsheets/d/14Bd19lYaqBhU8_DElYkX7l4wRkHqqCUFNJY4AfY3kHU/edit?usp=sharing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42" s="7" t="s">
        <v>23</v>
      </c>
    </row>
    <row r="11143" spans="1:10" ht="13.2">
      <c r="A11143" s="7">
        <v>11142</v>
      </c>
      <c r="B11143" s="7">
        <v>1</v>
      </c>
      <c r="C11143" s="7" t="s">
        <v>10</v>
      </c>
      <c r="D11143" s="7">
        <v>17507</v>
      </c>
      <c r="E11143" s="7" t="s">
        <v>23</v>
      </c>
      <c r="F11143" s="8" t="str">
        <f ca="1">IFERROR(__xludf.DUMMYFUNCTION("IF
(
C11144=""фізична особа""
,
VLOOKUP(D11144,IMPORTRANGE(""https://docs.google.com/spreadsheets/d/14Bd19lYaqBhU8_DElYkX7l4wRkHqqCUFNJY4AfY3kHU/edit?usp=sharing  #gid=0"",""фіз особи new!relations_name""),6,FALSE)
,
(IF
(
C11144=""юридична особа""
,
VLOO"&amp;"KUP(D11144,IMPORTRANGE(""https://docs.google.com/spreadsheets/d/14Bd19lYaqBhU8_DElYkX7l4wRkHqqCUFNJY4AfY3kHU/edit?usp=sharing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43" s="7" t="s">
        <v>10</v>
      </c>
      <c r="H11143" s="7">
        <v>1498</v>
      </c>
      <c r="I11143" s="8" t="str">
        <f ca="1">IFERROR(__xludf.DUMMYFUNCTION("IF
(
G11144=""фізична особа""
,
VLOOKUP(H11144,IMPORTRANGE(""https://docs.google.com/spreadsheets/d/14Bd19lYaqBhU8_DElYkX7l4wRkHqqCUFNJY4AfY3kHU/edit?usp=sharing  #gid=0"",""фіз особи new!relations_name""),6,FALSE)
,
(IF
(
G11144=""юридична особа""
,
VLOO"&amp;"KUP(H11144,IMPORTRANGE(""https://docs.google.com/spreadsheets/d/14Bd19lYaqBhU8_DElYkX7l4wRkHqqCUFNJY4AfY3kHU/edit?usp=sharing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43" s="7" t="s">
        <v>23</v>
      </c>
    </row>
    <row r="11144" spans="1:10" ht="13.2">
      <c r="A11144" s="7">
        <v>11143</v>
      </c>
      <c r="B11144" s="7">
        <v>1</v>
      </c>
      <c r="C11144" s="7" t="s">
        <v>10</v>
      </c>
      <c r="D11144" s="7">
        <v>17507</v>
      </c>
      <c r="E11144" s="7" t="s">
        <v>23</v>
      </c>
      <c r="F11144" s="8" t="str">
        <f ca="1">IFERROR(__xludf.DUMMYFUNCTION("IF
(
C11145=""фізична особа""
,
VLOOKUP(D11145,IMPORTRANGE(""https://docs.google.com/spreadsheets/d/14Bd19lYaqBhU8_DElYkX7l4wRkHqqCUFNJY4AfY3kHU/edit?usp=sharing  #gid=0"",""фіз особи new!relations_name""),6,FALSE)
,
(IF
(
C11145=""юридична особа""
,
VLOO"&amp;"KUP(D11145,IMPORTRANGE(""https://docs.google.com/spreadsheets/d/14Bd19lYaqBhU8_DElYkX7l4wRkHqqCUFNJY4AfY3kHU/edit?usp=sharing  #gid=0"",""фіз особи new!relations_name_uo""),7,FALSE)
,
)
))"),"БОЛДИРЄВА Наталія Асланівна")</f>
        <v>БОЛДИРЄВА Наталія Асланівна</v>
      </c>
      <c r="G11144" s="7" t="s">
        <v>10</v>
      </c>
      <c r="H11144" s="7">
        <v>1851</v>
      </c>
      <c r="I11144" s="8" t="str">
        <f ca="1">IFERROR(__xludf.DUMMYFUNCTION("IF
(
G11145=""фізична особа""
,
VLOOKUP(H11145,IMPORTRANGE(""https://docs.google.com/spreadsheets/d/14Bd19lYaqBhU8_DElYkX7l4wRkHqqCUFNJY4AfY3kHU/edit?usp=sharing  #gid=0"",""фіз особи new!relations_name""),6,FALSE)
,
(IF
(
G11145=""юридична особа""
,
VLOO"&amp;"KUP(H11145,IMPORTRANGE(""https://docs.google.com/spreadsheets/d/14Bd19lYaqBhU8_DElYkX7l4wRkHqqCUFNJY4AfY3kHU/edit?usp=sharing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44" s="7" t="s">
        <v>23</v>
      </c>
    </row>
    <row r="11145" spans="1:10" ht="13.2">
      <c r="A11145" s="7">
        <v>11144</v>
      </c>
      <c r="B11145" s="7">
        <v>1</v>
      </c>
      <c r="C11145" s="7" t="s">
        <v>10</v>
      </c>
      <c r="D11145" s="7">
        <v>17508</v>
      </c>
      <c r="E11145" s="7" t="s">
        <v>23</v>
      </c>
      <c r="F11145" s="8" t="str">
        <f ca="1">IFERROR(__xludf.DUMMYFUNCTION("IF
(
C11146=""фізична особа""
,
VLOOKUP(D11146,IMPORTRANGE(""https://docs.google.com/spreadsheets/d/14Bd19lYaqBhU8_DElYkX7l4wRkHqqCUFNJY4AfY3kHU/edit?usp=sharing  #gid=0"",""фіз особи new!relations_name""),6,FALSE)
,
(IF
(
C11146=""юридична особа""
,
VLOO"&amp;"KUP(D11146,IMPORTRANGE(""https://docs.google.com/spreadsheets/d/14Bd19lYaqBhU8_DElYkX7l4wRkHqqCUFNJY4AfY3kHU/edit?usp=sharing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45" s="7" t="s">
        <v>10</v>
      </c>
      <c r="H11145" s="7">
        <v>1494</v>
      </c>
      <c r="I11145" s="8" t="str">
        <f ca="1">IFERROR(__xludf.DUMMYFUNCTION("IF
(
G11146=""фізична особа""
,
VLOOKUP(H11146,IMPORTRANGE(""https://docs.google.com/spreadsheets/d/14Bd19lYaqBhU8_DElYkX7l4wRkHqqCUFNJY4AfY3kHU/edit?usp=sharing  #gid=0"",""фіз особи new!relations_name""),6,FALSE)
,
(IF
(
G11146=""юридична особа""
,
VLOO"&amp;"KUP(H11146,IMPORTRANGE(""https://docs.google.com/spreadsheets/d/14Bd19lYaqBhU8_DElYkX7l4wRkHqqCUFNJY4AfY3kHU/edit?usp=sharing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45" s="7" t="s">
        <v>23</v>
      </c>
    </row>
    <row r="11146" spans="1:10" ht="13.2">
      <c r="A11146" s="7">
        <v>11145</v>
      </c>
      <c r="B11146" s="7">
        <v>1</v>
      </c>
      <c r="C11146" s="7" t="s">
        <v>10</v>
      </c>
      <c r="D11146" s="7">
        <v>17508</v>
      </c>
      <c r="E11146" s="7" t="s">
        <v>23</v>
      </c>
      <c r="F11146" s="8" t="str">
        <f ca="1">IFERROR(__xludf.DUMMYFUNCTION("IF
(
C11147=""фізична особа""
,
VLOOKUP(D11147,IMPORTRANGE(""https://docs.google.com/spreadsheets/d/14Bd19lYaqBhU8_DElYkX7l4wRkHqqCUFNJY4AfY3kHU/edit?usp=sharing  #gid=0"",""фіз особи new!relations_name""),6,FALSE)
,
(IF
(
C11147=""юридична особа""
,
VLOO"&amp;"KUP(D11147,IMPORTRANGE(""https://docs.google.com/spreadsheets/d/14Bd19lYaqBhU8_DElYkX7l4wRkHqqCUFNJY4AfY3kHU/edit?usp=sharing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46" s="7" t="s">
        <v>10</v>
      </c>
      <c r="H11146" s="7">
        <v>1495</v>
      </c>
      <c r="I11146" s="8" t="str">
        <f ca="1">IFERROR(__xludf.DUMMYFUNCTION("IF
(
G11147=""фізична особа""
,
VLOOKUP(H11147,IMPORTRANGE(""https://docs.google.com/spreadsheets/d/14Bd19lYaqBhU8_DElYkX7l4wRkHqqCUFNJY4AfY3kHU/edit?usp=sharing  #gid=0"",""фіз особи new!relations_name""),6,FALSE)
,
(IF
(
G11147=""юридична особа""
,
VLOO"&amp;"KUP(H11147,IMPORTRANGE(""https://docs.google.com/spreadsheets/d/14Bd19lYaqBhU8_DElYkX7l4wRkHqqCUFNJY4AfY3kHU/edit?usp=sharing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46" s="7" t="s">
        <v>23</v>
      </c>
    </row>
    <row r="11147" spans="1:10" ht="13.2">
      <c r="A11147" s="7">
        <v>11146</v>
      </c>
      <c r="B11147" s="7">
        <v>1</v>
      </c>
      <c r="C11147" s="7" t="s">
        <v>10</v>
      </c>
      <c r="D11147" s="7">
        <v>17508</v>
      </c>
      <c r="E11147" s="7" t="s">
        <v>23</v>
      </c>
      <c r="F11147" s="8" t="str">
        <f ca="1">IFERROR(__xludf.DUMMYFUNCTION("IF
(
C11148=""фізична особа""
,
VLOOKUP(D11148,IMPORTRANGE(""https://docs.google.com/spreadsheets/d/14Bd19lYaqBhU8_DElYkX7l4wRkHqqCUFNJY4AfY3kHU/edit?usp=sharing  #gid=0"",""фіз особи new!relations_name""),6,FALSE)
,
(IF
(
C11148=""юридична особа""
,
VLOO"&amp;"KUP(D11148,IMPORTRANGE(""https://docs.google.com/spreadsheets/d/14Bd19lYaqBhU8_DElYkX7l4wRkHqqCUFNJY4AfY3kHU/edit?usp=sharing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47" s="7" t="s">
        <v>10</v>
      </c>
      <c r="H11147" s="7">
        <v>1496</v>
      </c>
      <c r="I11147" s="8" t="str">
        <f ca="1">IFERROR(__xludf.DUMMYFUNCTION("IF
(
G11148=""фізична особа""
,
VLOOKUP(H11148,IMPORTRANGE(""https://docs.google.com/spreadsheets/d/14Bd19lYaqBhU8_DElYkX7l4wRkHqqCUFNJY4AfY3kHU/edit?usp=sharing  #gid=0"",""фіз особи new!relations_name""),6,FALSE)
,
(IF
(
G11148=""юридична особа""
,
VLOO"&amp;"KUP(H11148,IMPORTRANGE(""https://docs.google.com/spreadsheets/d/14Bd19lYaqBhU8_DElYkX7l4wRkHqqCUFNJY4AfY3kHU/edit?usp=sharing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47" s="7" t="s">
        <v>23</v>
      </c>
    </row>
    <row r="11148" spans="1:10" ht="13.2">
      <c r="A11148" s="7">
        <v>11147</v>
      </c>
      <c r="B11148" s="7">
        <v>1</v>
      </c>
      <c r="C11148" s="7" t="s">
        <v>10</v>
      </c>
      <c r="D11148" s="7">
        <v>17508</v>
      </c>
      <c r="E11148" s="7" t="s">
        <v>23</v>
      </c>
      <c r="F11148" s="8" t="str">
        <f ca="1">IFERROR(__xludf.DUMMYFUNCTION("IF
(
C11149=""фізична особа""
,
VLOOKUP(D11149,IMPORTRANGE(""https://docs.google.com/spreadsheets/d/14Bd19lYaqBhU8_DElYkX7l4wRkHqqCUFNJY4AfY3kHU/edit?usp=sharing  #gid=0"",""фіз особи new!relations_name""),6,FALSE)
,
(IF
(
C11149=""юридична особа""
,
VLOO"&amp;"KUP(D11149,IMPORTRANGE(""https://docs.google.com/spreadsheets/d/14Bd19lYaqBhU8_DElYkX7l4wRkHqqCUFNJY4AfY3kHU/edit?usp=sharing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48" s="7" t="s">
        <v>10</v>
      </c>
      <c r="H11148" s="7">
        <v>1497</v>
      </c>
      <c r="I11148" s="8" t="str">
        <f ca="1">IFERROR(__xludf.DUMMYFUNCTION("IF
(
G11149=""фізична особа""
,
VLOOKUP(H11149,IMPORTRANGE(""https://docs.google.com/spreadsheets/d/14Bd19lYaqBhU8_DElYkX7l4wRkHqqCUFNJY4AfY3kHU/edit?usp=sharing  #gid=0"",""фіз особи new!relations_name""),6,FALSE)
,
(IF
(
G11149=""юридична особа""
,
VLOO"&amp;"KUP(H11149,IMPORTRANGE(""https://docs.google.com/spreadsheets/d/14Bd19lYaqBhU8_DElYkX7l4wRkHqqCUFNJY4AfY3kHU/edit?usp=sharing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48" s="7" t="s">
        <v>23</v>
      </c>
    </row>
    <row r="11149" spans="1:10" ht="13.2">
      <c r="A11149" s="7">
        <v>11148</v>
      </c>
      <c r="B11149" s="7">
        <v>1</v>
      </c>
      <c r="C11149" s="7" t="s">
        <v>10</v>
      </c>
      <c r="D11149" s="7">
        <v>17508</v>
      </c>
      <c r="E11149" s="7" t="s">
        <v>23</v>
      </c>
      <c r="F11149" s="8" t="str">
        <f ca="1">IFERROR(__xludf.DUMMYFUNCTION("IF
(
C11150=""фізична особа""
,
VLOOKUP(D11150,IMPORTRANGE(""https://docs.google.com/spreadsheets/d/14Bd19lYaqBhU8_DElYkX7l4wRkHqqCUFNJY4AfY3kHU/edit?usp=sharing  #gid=0"",""фіз особи new!relations_name""),6,FALSE)
,
(IF
(
C11150=""юридична особа""
,
VLOO"&amp;"KUP(D11150,IMPORTRANGE(""https://docs.google.com/spreadsheets/d/14Bd19lYaqBhU8_DElYkX7l4wRkHqqCUFNJY4AfY3kHU/edit?usp=sharing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49" s="7" t="s">
        <v>10</v>
      </c>
      <c r="H11149" s="7">
        <v>1498</v>
      </c>
      <c r="I11149" s="8" t="str">
        <f ca="1">IFERROR(__xludf.DUMMYFUNCTION("IF
(
G11150=""фізична особа""
,
VLOOKUP(H11150,IMPORTRANGE(""https://docs.google.com/spreadsheets/d/14Bd19lYaqBhU8_DElYkX7l4wRkHqqCUFNJY4AfY3kHU/edit?usp=sharing  #gid=0"",""фіз особи new!relations_name""),6,FALSE)
,
(IF
(
G11150=""юридична особа""
,
VLOO"&amp;"KUP(H11150,IMPORTRANGE(""https://docs.google.com/spreadsheets/d/14Bd19lYaqBhU8_DElYkX7l4wRkHqqCUFNJY4AfY3kHU/edit?usp=sharing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49" s="7" t="s">
        <v>23</v>
      </c>
    </row>
    <row r="11150" spans="1:10" ht="13.2">
      <c r="A11150" s="7">
        <v>11149</v>
      </c>
      <c r="B11150" s="7">
        <v>1</v>
      </c>
      <c r="C11150" s="7" t="s">
        <v>10</v>
      </c>
      <c r="D11150" s="7">
        <v>17508</v>
      </c>
      <c r="E11150" s="7" t="s">
        <v>23</v>
      </c>
      <c r="F11150" s="8" t="str">
        <f ca="1">IFERROR(__xludf.DUMMYFUNCTION("IF
(
C11151=""фізична особа""
,
VLOOKUP(D11151,IMPORTRANGE(""https://docs.google.com/spreadsheets/d/14Bd19lYaqBhU8_DElYkX7l4wRkHqqCUFNJY4AfY3kHU/edit?usp=sharing  #gid=0"",""фіз особи new!relations_name""),6,FALSE)
,
(IF
(
C11151=""юридична особа""
,
VLOO"&amp;"KUP(D11151,IMPORTRANGE(""https://docs.google.com/spreadsheets/d/14Bd19lYaqBhU8_DElYkX7l4wRkHqqCUFNJY4AfY3kHU/edit?usp=sharing  #gid=0"",""фіз особи new!relations_name_uo""),7,FALSE)
,
)
))"),"РУМЯНЦЕВ Антон Євгенійович")</f>
        <v>РУМЯНЦЕВ Антон Євгенійович</v>
      </c>
      <c r="G11150" s="7" t="s">
        <v>10</v>
      </c>
      <c r="H11150" s="7">
        <v>1851</v>
      </c>
      <c r="I11150" s="8" t="str">
        <f ca="1">IFERROR(__xludf.DUMMYFUNCTION("IF
(
G11151=""фізична особа""
,
VLOOKUP(H11151,IMPORTRANGE(""https://docs.google.com/spreadsheets/d/14Bd19lYaqBhU8_DElYkX7l4wRkHqqCUFNJY4AfY3kHU/edit?usp=sharing  #gid=0"",""фіз особи new!relations_name""),6,FALSE)
,
(IF
(
G11151=""юридична особа""
,
VLOO"&amp;"KUP(H11151,IMPORTRANGE(""https://docs.google.com/spreadsheets/d/14Bd19lYaqBhU8_DElYkX7l4wRkHqqCUFNJY4AfY3kHU/edit?usp=sharing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50" s="7" t="s">
        <v>23</v>
      </c>
    </row>
    <row r="11151" spans="1:10" ht="13.2">
      <c r="A11151" s="7">
        <v>11150</v>
      </c>
      <c r="B11151" s="7">
        <v>1</v>
      </c>
      <c r="C11151" s="7" t="s">
        <v>10</v>
      </c>
      <c r="D11151" s="7">
        <v>17509</v>
      </c>
      <c r="E11151" s="7" t="s">
        <v>23</v>
      </c>
      <c r="F11151" s="8" t="str">
        <f ca="1">IFERROR(__xludf.DUMMYFUNCTION("IF
(
C11152=""фізична особа""
,
VLOOKUP(D11152,IMPORTRANGE(""https://docs.google.com/spreadsheets/d/14Bd19lYaqBhU8_DElYkX7l4wRkHqqCUFNJY4AfY3kHU/edit?usp=sharing  #gid=0"",""фіз особи new!relations_name""),6,FALSE)
,
(IF
(
C11152=""юридична особа""
,
VLOO"&amp;"KUP(D11152,IMPORTRANGE(""https://docs.google.com/spreadsheets/d/14Bd19lYaqBhU8_DElYkX7l4wRkHqqCUFNJY4AfY3kHU/edit?usp=sharing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1" s="7" t="s">
        <v>10</v>
      </c>
      <c r="H11151" s="7">
        <v>1494</v>
      </c>
      <c r="I11151" s="8" t="str">
        <f ca="1">IFERROR(__xludf.DUMMYFUNCTION("IF
(
G11152=""фізична особа""
,
VLOOKUP(H11152,IMPORTRANGE(""https://docs.google.com/spreadsheets/d/14Bd19lYaqBhU8_DElYkX7l4wRkHqqCUFNJY4AfY3kHU/edit?usp=sharing  #gid=0"",""фіз особи new!relations_name""),6,FALSE)
,
(IF
(
G11152=""юридична особа""
,
VLOO"&amp;"KUP(H11152,IMPORTRANGE(""https://docs.google.com/spreadsheets/d/14Bd19lYaqBhU8_DElYkX7l4wRkHqqCUFNJY4AfY3kHU/edit?usp=sharing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51" s="7" t="s">
        <v>23</v>
      </c>
    </row>
    <row r="11152" spans="1:10" ht="13.2">
      <c r="A11152" s="7">
        <v>11151</v>
      </c>
      <c r="B11152" s="7">
        <v>1</v>
      </c>
      <c r="C11152" s="7" t="s">
        <v>10</v>
      </c>
      <c r="D11152" s="7">
        <v>17509</v>
      </c>
      <c r="E11152" s="7" t="s">
        <v>23</v>
      </c>
      <c r="F11152" s="8" t="str">
        <f ca="1">IFERROR(__xludf.DUMMYFUNCTION("IF
(
C11153=""фізична особа""
,
VLOOKUP(D11153,IMPORTRANGE(""https://docs.google.com/spreadsheets/d/14Bd19lYaqBhU8_DElYkX7l4wRkHqqCUFNJY4AfY3kHU/edit?usp=sharing  #gid=0"",""фіз особи new!relations_name""),6,FALSE)
,
(IF
(
C11153=""юридична особа""
,
VLOO"&amp;"KUP(D11153,IMPORTRANGE(""https://docs.google.com/spreadsheets/d/14Bd19lYaqBhU8_DElYkX7l4wRkHqqCUFNJY4AfY3kHU/edit?usp=sharing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2" s="7" t="s">
        <v>10</v>
      </c>
      <c r="H11152" s="7">
        <v>1495</v>
      </c>
      <c r="I11152" s="8" t="str">
        <f ca="1">IFERROR(__xludf.DUMMYFUNCTION("IF
(
G11153=""фізична особа""
,
VLOOKUP(H11153,IMPORTRANGE(""https://docs.google.com/spreadsheets/d/14Bd19lYaqBhU8_DElYkX7l4wRkHqqCUFNJY4AfY3kHU/edit?usp=sharing  #gid=0"",""фіз особи new!relations_name""),6,FALSE)
,
(IF
(
G11153=""юридична особа""
,
VLOO"&amp;"KUP(H11153,IMPORTRANGE(""https://docs.google.com/spreadsheets/d/14Bd19lYaqBhU8_DElYkX7l4wRkHqqCUFNJY4AfY3kHU/edit?usp=sharing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52" s="7" t="s">
        <v>23</v>
      </c>
    </row>
    <row r="11153" spans="1:10" ht="13.2">
      <c r="A11153" s="7">
        <v>11152</v>
      </c>
      <c r="B11153" s="7">
        <v>1</v>
      </c>
      <c r="C11153" s="7" t="s">
        <v>10</v>
      </c>
      <c r="D11153" s="7">
        <v>17509</v>
      </c>
      <c r="E11153" s="7" t="s">
        <v>23</v>
      </c>
      <c r="F11153" s="8" t="str">
        <f ca="1">IFERROR(__xludf.DUMMYFUNCTION("IF
(
C11154=""фізична особа""
,
VLOOKUP(D11154,IMPORTRANGE(""https://docs.google.com/spreadsheets/d/14Bd19lYaqBhU8_DElYkX7l4wRkHqqCUFNJY4AfY3kHU/edit?usp=sharing  #gid=0"",""фіз особи new!relations_name""),6,FALSE)
,
(IF
(
C11154=""юридична особа""
,
VLOO"&amp;"KUP(D11154,IMPORTRANGE(""https://docs.google.com/spreadsheets/d/14Bd19lYaqBhU8_DElYkX7l4wRkHqqCUFNJY4AfY3kHU/edit?usp=sharing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3" s="7" t="s">
        <v>10</v>
      </c>
      <c r="H11153" s="7">
        <v>1496</v>
      </c>
      <c r="I11153" s="8" t="str">
        <f ca="1">IFERROR(__xludf.DUMMYFUNCTION("IF
(
G11154=""фізична особа""
,
VLOOKUP(H11154,IMPORTRANGE(""https://docs.google.com/spreadsheets/d/14Bd19lYaqBhU8_DElYkX7l4wRkHqqCUFNJY4AfY3kHU/edit?usp=sharing  #gid=0"",""фіз особи new!relations_name""),6,FALSE)
,
(IF
(
G11154=""юридична особа""
,
VLOO"&amp;"KUP(H11154,IMPORTRANGE(""https://docs.google.com/spreadsheets/d/14Bd19lYaqBhU8_DElYkX7l4wRkHqqCUFNJY4AfY3kHU/edit?usp=sharing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53" s="7" t="s">
        <v>23</v>
      </c>
    </row>
    <row r="11154" spans="1:10" ht="13.2">
      <c r="A11154" s="7">
        <v>11153</v>
      </c>
      <c r="B11154" s="7">
        <v>1</v>
      </c>
      <c r="C11154" s="7" t="s">
        <v>10</v>
      </c>
      <c r="D11154" s="7">
        <v>17509</v>
      </c>
      <c r="E11154" s="7" t="s">
        <v>23</v>
      </c>
      <c r="F11154" s="8" t="str">
        <f ca="1">IFERROR(__xludf.DUMMYFUNCTION("IF
(
C11155=""фізична особа""
,
VLOOKUP(D11155,IMPORTRANGE(""https://docs.google.com/spreadsheets/d/14Bd19lYaqBhU8_DElYkX7l4wRkHqqCUFNJY4AfY3kHU/edit?usp=sharing  #gid=0"",""фіз особи new!relations_name""),6,FALSE)
,
(IF
(
C11155=""юридична особа""
,
VLOO"&amp;"KUP(D11155,IMPORTRANGE(""https://docs.google.com/spreadsheets/d/14Bd19lYaqBhU8_DElYkX7l4wRkHqqCUFNJY4AfY3kHU/edit?usp=sharing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4" s="7" t="s">
        <v>10</v>
      </c>
      <c r="H11154" s="7">
        <v>1497</v>
      </c>
      <c r="I11154" s="8" t="str">
        <f ca="1">IFERROR(__xludf.DUMMYFUNCTION("IF
(
G11155=""фізична особа""
,
VLOOKUP(H11155,IMPORTRANGE(""https://docs.google.com/spreadsheets/d/14Bd19lYaqBhU8_DElYkX7l4wRkHqqCUFNJY4AfY3kHU/edit?usp=sharing  #gid=0"",""фіз особи new!relations_name""),6,FALSE)
,
(IF
(
G11155=""юридична особа""
,
VLOO"&amp;"KUP(H11155,IMPORTRANGE(""https://docs.google.com/spreadsheets/d/14Bd19lYaqBhU8_DElYkX7l4wRkHqqCUFNJY4AfY3kHU/edit?usp=sharing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54" s="7" t="s">
        <v>23</v>
      </c>
    </row>
    <row r="11155" spans="1:10" ht="13.2">
      <c r="A11155" s="7">
        <v>11154</v>
      </c>
      <c r="B11155" s="7">
        <v>1</v>
      </c>
      <c r="C11155" s="7" t="s">
        <v>10</v>
      </c>
      <c r="D11155" s="7">
        <v>17509</v>
      </c>
      <c r="E11155" s="7" t="s">
        <v>23</v>
      </c>
      <c r="F11155" s="8" t="str">
        <f ca="1">IFERROR(__xludf.DUMMYFUNCTION("IF
(
C11156=""фізична особа""
,
VLOOKUP(D11156,IMPORTRANGE(""https://docs.google.com/spreadsheets/d/14Bd19lYaqBhU8_DElYkX7l4wRkHqqCUFNJY4AfY3kHU/edit?usp=sharing  #gid=0"",""фіз особи new!relations_name""),6,FALSE)
,
(IF
(
C11156=""юридична особа""
,
VLOO"&amp;"KUP(D11156,IMPORTRANGE(""https://docs.google.com/spreadsheets/d/14Bd19lYaqBhU8_DElYkX7l4wRkHqqCUFNJY4AfY3kHU/edit?usp=sharing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5" s="7" t="s">
        <v>10</v>
      </c>
      <c r="H11155" s="7">
        <v>1498</v>
      </c>
      <c r="I11155" s="8" t="str">
        <f ca="1">IFERROR(__xludf.DUMMYFUNCTION("IF
(
G11156=""фізична особа""
,
VLOOKUP(H11156,IMPORTRANGE(""https://docs.google.com/spreadsheets/d/14Bd19lYaqBhU8_DElYkX7l4wRkHqqCUFNJY4AfY3kHU/edit?usp=sharing  #gid=0"",""фіз особи new!relations_name""),6,FALSE)
,
(IF
(
G11156=""юридична особа""
,
VLOO"&amp;"KUP(H11156,IMPORTRANGE(""https://docs.google.com/spreadsheets/d/14Bd19lYaqBhU8_DElYkX7l4wRkHqqCUFNJY4AfY3kHU/edit?usp=sharing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55" s="7" t="s">
        <v>23</v>
      </c>
    </row>
    <row r="11156" spans="1:10" ht="13.2">
      <c r="A11156" s="7">
        <v>11155</v>
      </c>
      <c r="B11156" s="7">
        <v>1</v>
      </c>
      <c r="C11156" s="7" t="s">
        <v>10</v>
      </c>
      <c r="D11156" s="7">
        <v>17509</v>
      </c>
      <c r="E11156" s="7" t="s">
        <v>23</v>
      </c>
      <c r="F11156" s="8" t="str">
        <f ca="1">IFERROR(__xludf.DUMMYFUNCTION("IF
(
C11157=""фізична особа""
,
VLOOKUP(D11157,IMPORTRANGE(""https://docs.google.com/spreadsheets/d/14Bd19lYaqBhU8_DElYkX7l4wRkHqqCUFNJY4AfY3kHU/edit?usp=sharing  #gid=0"",""фіз особи new!relations_name""),6,FALSE)
,
(IF
(
C11157=""юридична особа""
,
VLOO"&amp;"KUP(D11157,IMPORTRANGE(""https://docs.google.com/spreadsheets/d/14Bd19lYaqBhU8_DElYkX7l4wRkHqqCUFNJY4AfY3kHU/edit?usp=sharing  #gid=0"",""фіз особи new!relations_name_uo""),7,FALSE)
,
)
))"),"НЕФІДОВ Павло Павлович")</f>
        <v>НЕФІДОВ Павло Павлович</v>
      </c>
      <c r="G11156" s="7" t="s">
        <v>10</v>
      </c>
      <c r="H11156" s="7">
        <v>1851</v>
      </c>
      <c r="I11156" s="8" t="str">
        <f ca="1">IFERROR(__xludf.DUMMYFUNCTION("IF
(
G11157=""фізична особа""
,
VLOOKUP(H11157,IMPORTRANGE(""https://docs.google.com/spreadsheets/d/14Bd19lYaqBhU8_DElYkX7l4wRkHqqCUFNJY4AfY3kHU/edit?usp=sharing  #gid=0"",""фіз особи new!relations_name""),6,FALSE)
,
(IF
(
G11157=""юридична особа""
,
VLOO"&amp;"KUP(H11157,IMPORTRANGE(""https://docs.google.com/spreadsheets/d/14Bd19lYaqBhU8_DElYkX7l4wRkHqqCUFNJY4AfY3kHU/edit?usp=sharing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56" s="7" t="s">
        <v>23</v>
      </c>
    </row>
    <row r="11157" spans="1:10" ht="13.2">
      <c r="A11157" s="7">
        <v>11156</v>
      </c>
      <c r="B11157" s="7">
        <v>1</v>
      </c>
      <c r="C11157" s="7" t="s">
        <v>10</v>
      </c>
      <c r="D11157" s="7">
        <v>17510</v>
      </c>
      <c r="E11157" s="7" t="s">
        <v>23</v>
      </c>
      <c r="F11157" s="8" t="str">
        <f ca="1">IFERROR(__xludf.DUMMYFUNCTION("IF
(
C11158=""фізична особа""
,
VLOOKUP(D11158,IMPORTRANGE(""https://docs.google.com/spreadsheets/d/14Bd19lYaqBhU8_DElYkX7l4wRkHqqCUFNJY4AfY3kHU/edit?usp=sharing  #gid=0"",""фіз особи new!relations_name""),6,FALSE)
,
(IF
(
C11158=""юридична особа""
,
VLOO"&amp;"KUP(D11158,IMPORTRANGE(""https://docs.google.com/spreadsheets/d/14Bd19lYaqBhU8_DElYkX7l4wRkHqqCUFNJY4AfY3kHU/edit?usp=sharing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57" s="7" t="s">
        <v>10</v>
      </c>
      <c r="H11157" s="7">
        <v>1494</v>
      </c>
      <c r="I11157" s="8" t="str">
        <f ca="1">IFERROR(__xludf.DUMMYFUNCTION("IF
(
G11158=""фізична особа""
,
VLOOKUP(H11158,IMPORTRANGE(""https://docs.google.com/spreadsheets/d/14Bd19lYaqBhU8_DElYkX7l4wRkHqqCUFNJY4AfY3kHU/edit?usp=sharing  #gid=0"",""фіз особи new!relations_name""),6,FALSE)
,
(IF
(
G11158=""юридична особа""
,
VLOO"&amp;"KUP(H11158,IMPORTRANGE(""https://docs.google.com/spreadsheets/d/14Bd19lYaqBhU8_DElYkX7l4wRkHqqCUFNJY4AfY3kHU/edit?usp=sharing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57" s="7" t="s">
        <v>23</v>
      </c>
    </row>
    <row r="11158" spans="1:10" ht="13.2">
      <c r="A11158" s="7">
        <v>11157</v>
      </c>
      <c r="B11158" s="7">
        <v>1</v>
      </c>
      <c r="C11158" s="7" t="s">
        <v>10</v>
      </c>
      <c r="D11158" s="7">
        <v>17510</v>
      </c>
      <c r="E11158" s="7" t="s">
        <v>23</v>
      </c>
      <c r="F11158" s="8" t="str">
        <f ca="1">IFERROR(__xludf.DUMMYFUNCTION("IF
(
C11159=""фізична особа""
,
VLOOKUP(D11159,IMPORTRANGE(""https://docs.google.com/spreadsheets/d/14Bd19lYaqBhU8_DElYkX7l4wRkHqqCUFNJY4AfY3kHU/edit?usp=sharing  #gid=0"",""фіз особи new!relations_name""),6,FALSE)
,
(IF
(
C11159=""юридична особа""
,
VLOO"&amp;"KUP(D11159,IMPORTRANGE(""https://docs.google.com/spreadsheets/d/14Bd19lYaqBhU8_DElYkX7l4wRkHqqCUFNJY4AfY3kHU/edit?usp=sharing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58" s="7" t="s">
        <v>10</v>
      </c>
      <c r="H11158" s="7">
        <v>1495</v>
      </c>
      <c r="I11158" s="8" t="str">
        <f ca="1">IFERROR(__xludf.DUMMYFUNCTION("IF
(
G11159=""фізична особа""
,
VLOOKUP(H11159,IMPORTRANGE(""https://docs.google.com/spreadsheets/d/14Bd19lYaqBhU8_DElYkX7l4wRkHqqCUFNJY4AfY3kHU/edit?usp=sharing  #gid=0"",""фіз особи new!relations_name""),6,FALSE)
,
(IF
(
G11159=""юридична особа""
,
VLOO"&amp;"KUP(H11159,IMPORTRANGE(""https://docs.google.com/spreadsheets/d/14Bd19lYaqBhU8_DElYkX7l4wRkHqqCUFNJY4AfY3kHU/edit?usp=sharing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58" s="7" t="s">
        <v>23</v>
      </c>
    </row>
    <row r="11159" spans="1:10" ht="13.2">
      <c r="A11159" s="7">
        <v>11158</v>
      </c>
      <c r="B11159" s="7">
        <v>1</v>
      </c>
      <c r="C11159" s="7" t="s">
        <v>10</v>
      </c>
      <c r="D11159" s="7">
        <v>17510</v>
      </c>
      <c r="E11159" s="7" t="s">
        <v>23</v>
      </c>
      <c r="F11159" s="8" t="str">
        <f ca="1">IFERROR(__xludf.DUMMYFUNCTION("IF
(
C11160=""фізична особа""
,
VLOOKUP(D11160,IMPORTRANGE(""https://docs.google.com/spreadsheets/d/14Bd19lYaqBhU8_DElYkX7l4wRkHqqCUFNJY4AfY3kHU/edit?usp=sharing  #gid=0"",""фіз особи new!relations_name""),6,FALSE)
,
(IF
(
C11160=""юридична особа""
,
VLOO"&amp;"KUP(D11160,IMPORTRANGE(""https://docs.google.com/spreadsheets/d/14Bd19lYaqBhU8_DElYkX7l4wRkHqqCUFNJY4AfY3kHU/edit?usp=sharing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59" s="7" t="s">
        <v>10</v>
      </c>
      <c r="H11159" s="7">
        <v>1496</v>
      </c>
      <c r="I11159" s="8" t="str">
        <f ca="1">IFERROR(__xludf.DUMMYFUNCTION("IF
(
G11160=""фізична особа""
,
VLOOKUP(H11160,IMPORTRANGE(""https://docs.google.com/spreadsheets/d/14Bd19lYaqBhU8_DElYkX7l4wRkHqqCUFNJY4AfY3kHU/edit?usp=sharing  #gid=0"",""фіз особи new!relations_name""),6,FALSE)
,
(IF
(
G11160=""юридична особа""
,
VLOO"&amp;"KUP(H11160,IMPORTRANGE(""https://docs.google.com/spreadsheets/d/14Bd19lYaqBhU8_DElYkX7l4wRkHqqCUFNJY4AfY3kHU/edit?usp=sharing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59" s="7" t="s">
        <v>23</v>
      </c>
    </row>
    <row r="11160" spans="1:10" ht="13.2">
      <c r="A11160" s="7">
        <v>11159</v>
      </c>
      <c r="B11160" s="7">
        <v>1</v>
      </c>
      <c r="C11160" s="7" t="s">
        <v>10</v>
      </c>
      <c r="D11160" s="7">
        <v>17510</v>
      </c>
      <c r="E11160" s="7" t="s">
        <v>23</v>
      </c>
      <c r="F11160" s="8" t="str">
        <f ca="1">IFERROR(__xludf.DUMMYFUNCTION("IF
(
C11161=""фізична особа""
,
VLOOKUP(D11161,IMPORTRANGE(""https://docs.google.com/spreadsheets/d/14Bd19lYaqBhU8_DElYkX7l4wRkHqqCUFNJY4AfY3kHU/edit?usp=sharing  #gid=0"",""фіз особи new!relations_name""),6,FALSE)
,
(IF
(
C11161=""юридична особа""
,
VLOO"&amp;"KUP(D11161,IMPORTRANGE(""https://docs.google.com/spreadsheets/d/14Bd19lYaqBhU8_DElYkX7l4wRkHqqCUFNJY4AfY3kHU/edit?usp=sharing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60" s="7" t="s">
        <v>10</v>
      </c>
      <c r="H11160" s="7">
        <v>1497</v>
      </c>
      <c r="I11160" s="8" t="str">
        <f ca="1">IFERROR(__xludf.DUMMYFUNCTION("IF
(
G11161=""фізична особа""
,
VLOOKUP(H11161,IMPORTRANGE(""https://docs.google.com/spreadsheets/d/14Bd19lYaqBhU8_DElYkX7l4wRkHqqCUFNJY4AfY3kHU/edit?usp=sharing  #gid=0"",""фіз особи new!relations_name""),6,FALSE)
,
(IF
(
G11161=""юридична особа""
,
VLOO"&amp;"KUP(H11161,IMPORTRANGE(""https://docs.google.com/spreadsheets/d/14Bd19lYaqBhU8_DElYkX7l4wRkHqqCUFNJY4AfY3kHU/edit?usp=sharing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60" s="7" t="s">
        <v>23</v>
      </c>
    </row>
    <row r="11161" spans="1:10" ht="13.2">
      <c r="A11161" s="7">
        <v>11160</v>
      </c>
      <c r="B11161" s="7">
        <v>1</v>
      </c>
      <c r="C11161" s="7" t="s">
        <v>10</v>
      </c>
      <c r="D11161" s="7">
        <v>17510</v>
      </c>
      <c r="E11161" s="7" t="s">
        <v>23</v>
      </c>
      <c r="F11161" s="8" t="str">
        <f ca="1">IFERROR(__xludf.DUMMYFUNCTION("IF
(
C11162=""фізична особа""
,
VLOOKUP(D11162,IMPORTRANGE(""https://docs.google.com/spreadsheets/d/14Bd19lYaqBhU8_DElYkX7l4wRkHqqCUFNJY4AfY3kHU/edit?usp=sharing  #gid=0"",""фіз особи new!relations_name""),6,FALSE)
,
(IF
(
C11162=""юридична особа""
,
VLOO"&amp;"KUP(D11162,IMPORTRANGE(""https://docs.google.com/spreadsheets/d/14Bd19lYaqBhU8_DElYkX7l4wRkHqqCUFNJY4AfY3kHU/edit?usp=sharing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61" s="7" t="s">
        <v>10</v>
      </c>
      <c r="H11161" s="7">
        <v>1498</v>
      </c>
      <c r="I11161" s="8" t="str">
        <f ca="1">IFERROR(__xludf.DUMMYFUNCTION("IF
(
G11162=""фізична особа""
,
VLOOKUP(H11162,IMPORTRANGE(""https://docs.google.com/spreadsheets/d/14Bd19lYaqBhU8_DElYkX7l4wRkHqqCUFNJY4AfY3kHU/edit?usp=sharing  #gid=0"",""фіз особи new!relations_name""),6,FALSE)
,
(IF
(
G11162=""юридична особа""
,
VLOO"&amp;"KUP(H11162,IMPORTRANGE(""https://docs.google.com/spreadsheets/d/14Bd19lYaqBhU8_DElYkX7l4wRkHqqCUFNJY4AfY3kHU/edit?usp=sharing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61" s="7" t="s">
        <v>23</v>
      </c>
    </row>
    <row r="11162" spans="1:10" ht="13.2">
      <c r="A11162" s="7">
        <v>11161</v>
      </c>
      <c r="B11162" s="7">
        <v>1</v>
      </c>
      <c r="C11162" s="7" t="s">
        <v>10</v>
      </c>
      <c r="D11162" s="7">
        <v>17510</v>
      </c>
      <c r="E11162" s="7" t="s">
        <v>23</v>
      </c>
      <c r="F11162" s="8" t="str">
        <f ca="1">IFERROR(__xludf.DUMMYFUNCTION("IF
(
C11163=""фізична особа""
,
VLOOKUP(D11163,IMPORTRANGE(""https://docs.google.com/spreadsheets/d/14Bd19lYaqBhU8_DElYkX7l4wRkHqqCUFNJY4AfY3kHU/edit?usp=sharing  #gid=0"",""фіз особи new!relations_name""),6,FALSE)
,
(IF
(
C11163=""юридична особа""
,
VLOO"&amp;"KUP(D11163,IMPORTRANGE(""https://docs.google.com/spreadsheets/d/14Bd19lYaqBhU8_DElYkX7l4wRkHqqCUFNJY4AfY3kHU/edit?usp=sharing  #gid=0"",""фіз особи new!relations_name_uo""),7,FALSE)
,
)
))"),"АРАКЕЛОВ Сергій Ашотович")</f>
        <v>АРАКЕЛОВ Сергій Ашотович</v>
      </c>
      <c r="G11162" s="7" t="s">
        <v>10</v>
      </c>
      <c r="H11162" s="7">
        <v>1851</v>
      </c>
      <c r="I11162" s="8" t="str">
        <f ca="1">IFERROR(__xludf.DUMMYFUNCTION("IF
(
G11163=""фізична особа""
,
VLOOKUP(H11163,IMPORTRANGE(""https://docs.google.com/spreadsheets/d/14Bd19lYaqBhU8_DElYkX7l4wRkHqqCUFNJY4AfY3kHU/edit?usp=sharing  #gid=0"",""фіз особи new!relations_name""),6,FALSE)
,
(IF
(
G11163=""юридична особа""
,
VLOO"&amp;"KUP(H11163,IMPORTRANGE(""https://docs.google.com/spreadsheets/d/14Bd19lYaqBhU8_DElYkX7l4wRkHqqCUFNJY4AfY3kHU/edit?usp=sharing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62" s="7" t="s">
        <v>23</v>
      </c>
    </row>
    <row r="11163" spans="1:10" ht="13.2">
      <c r="A11163" s="7">
        <v>11162</v>
      </c>
      <c r="B11163" s="7">
        <v>1</v>
      </c>
      <c r="C11163" s="7" t="s">
        <v>10</v>
      </c>
      <c r="D11163" s="7">
        <v>17511</v>
      </c>
      <c r="E11163" s="7" t="s">
        <v>17</v>
      </c>
      <c r="F11163" s="8" t="str">
        <f ca="1">IFERROR(__xludf.DUMMYFUNCTION("IF
(
C11164=""фізична особа""
,
VLOOKUP(D11164,IMPORTRANGE(""https://docs.google.com/spreadsheets/d/14Bd19lYaqBhU8_DElYkX7l4wRkHqqCUFNJY4AfY3kHU/edit?usp=sharing  #gid=0"",""фіз особи new!relations_name""),6,FALSE)
,
(IF
(
C11164=""юридична особа""
,
VLOO"&amp;"KUP(D11164,IMPORTRANGE(""https://docs.google.com/spreadsheets/d/14Bd19lYaqBhU8_DElYkX7l4wRkHqqCUFNJY4AfY3kHU/edit?usp=sharing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3" s="7" t="s">
        <v>10</v>
      </c>
      <c r="H11163" s="7">
        <v>0</v>
      </c>
      <c r="I11163" s="8" t="str">
        <f ca="1">IFERROR(__xludf.DUMMYFUNCTION("IF
(
G11164=""фізична особа""
,
VLOOKUP(H11164,IMPORTRANGE(""https://docs.google.com/spreadsheets/d/14Bd19lYaqBhU8_DElYkX7l4wRkHqqCUFNJY4AfY3kHU/edit?usp=sharing  #gid=0"",""фіз особи new!relations_name""),6,FALSE)
,
(IF
(
G11164=""юридична особа""
,
VLOO"&amp;"KUP(H11164,IMPORTRANGE(""https://docs.google.com/spreadsheets/d/14Bd19lYaqBhU8_DElYkX7l4wRkHqqCUFNJY4AfY3kHU/edit?usp=sharing  #gid=0"",""фіз особи new!relations_name_uo""),7,FALSE)
,
)
))"),"#N/A")</f>
        <v>#N/A</v>
      </c>
      <c r="J11163" s="7" t="s">
        <v>12</v>
      </c>
    </row>
    <row r="11164" spans="1:10" ht="13.2">
      <c r="A11164" s="7">
        <v>11163</v>
      </c>
      <c r="B11164" s="7">
        <v>1</v>
      </c>
      <c r="C11164" s="7" t="s">
        <v>10</v>
      </c>
      <c r="D11164" s="7">
        <v>17511</v>
      </c>
      <c r="E11164" s="7" t="s">
        <v>23</v>
      </c>
      <c r="F11164" s="8" t="str">
        <f ca="1">IFERROR(__xludf.DUMMYFUNCTION("IF
(
C11165=""фізична особа""
,
VLOOKUP(D11165,IMPORTRANGE(""https://docs.google.com/spreadsheets/d/14Bd19lYaqBhU8_DElYkX7l4wRkHqqCUFNJY4AfY3kHU/edit?usp=sharing  #gid=0"",""фіз особи new!relations_name""),6,FALSE)
,
(IF
(
C11165=""юридична особа""
,
VLOO"&amp;"KUP(D11165,IMPORTRANGE(""https://docs.google.com/spreadsheets/d/14Bd19lYaqBhU8_DElYkX7l4wRkHqqCUFNJY4AfY3kHU/edit?usp=sharing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4" s="7" t="s">
        <v>10</v>
      </c>
      <c r="H11164" s="7">
        <v>1494</v>
      </c>
      <c r="I11164" s="8" t="str">
        <f ca="1">IFERROR(__xludf.DUMMYFUNCTION("IF
(
G11165=""фізична особа""
,
VLOOKUP(H11165,IMPORTRANGE(""https://docs.google.com/spreadsheets/d/14Bd19lYaqBhU8_DElYkX7l4wRkHqqCUFNJY4AfY3kHU/edit?usp=sharing  #gid=0"",""фіз особи new!relations_name""),6,FALSE)
,
(IF
(
G11165=""юридична особа""
,
VLOO"&amp;"KUP(H11165,IMPORTRANGE(""https://docs.google.com/spreadsheets/d/14Bd19lYaqBhU8_DElYkX7l4wRkHqqCUFNJY4AfY3kHU/edit?usp=sharing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64" s="7" t="s">
        <v>23</v>
      </c>
    </row>
    <row r="11165" spans="1:10" ht="13.2">
      <c r="A11165" s="7">
        <v>11164</v>
      </c>
      <c r="B11165" s="7">
        <v>1</v>
      </c>
      <c r="C11165" s="7" t="s">
        <v>10</v>
      </c>
      <c r="D11165" s="7">
        <v>17511</v>
      </c>
      <c r="E11165" s="7" t="s">
        <v>23</v>
      </c>
      <c r="F11165" s="8" t="str">
        <f ca="1">IFERROR(__xludf.DUMMYFUNCTION("IF
(
C11166=""фізична особа""
,
VLOOKUP(D11166,IMPORTRANGE(""https://docs.google.com/spreadsheets/d/14Bd19lYaqBhU8_DElYkX7l4wRkHqqCUFNJY4AfY3kHU/edit?usp=sharing  #gid=0"",""фіз особи new!relations_name""),6,FALSE)
,
(IF
(
C11166=""юридична особа""
,
VLOO"&amp;"KUP(D11166,IMPORTRANGE(""https://docs.google.com/spreadsheets/d/14Bd19lYaqBhU8_DElYkX7l4wRkHqqCUFNJY4AfY3kHU/edit?usp=sharing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5" s="7" t="s">
        <v>10</v>
      </c>
      <c r="H11165" s="7">
        <v>1495</v>
      </c>
      <c r="I11165" s="8" t="str">
        <f ca="1">IFERROR(__xludf.DUMMYFUNCTION("IF
(
G11166=""фізична особа""
,
VLOOKUP(H11166,IMPORTRANGE(""https://docs.google.com/spreadsheets/d/14Bd19lYaqBhU8_DElYkX7l4wRkHqqCUFNJY4AfY3kHU/edit?usp=sharing  #gid=0"",""фіз особи new!relations_name""),6,FALSE)
,
(IF
(
G11166=""юридична особа""
,
VLOO"&amp;"KUP(H11166,IMPORTRANGE(""https://docs.google.com/spreadsheets/d/14Bd19lYaqBhU8_DElYkX7l4wRkHqqCUFNJY4AfY3kHU/edit?usp=sharing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65" s="7" t="s">
        <v>23</v>
      </c>
    </row>
    <row r="11166" spans="1:10" ht="13.2">
      <c r="A11166" s="7">
        <v>11165</v>
      </c>
      <c r="B11166" s="7">
        <v>1</v>
      </c>
      <c r="C11166" s="7" t="s">
        <v>10</v>
      </c>
      <c r="D11166" s="7">
        <v>17511</v>
      </c>
      <c r="E11166" s="7" t="s">
        <v>23</v>
      </c>
      <c r="F11166" s="8" t="str">
        <f ca="1">IFERROR(__xludf.DUMMYFUNCTION("IF
(
C11167=""фізична особа""
,
VLOOKUP(D11167,IMPORTRANGE(""https://docs.google.com/spreadsheets/d/14Bd19lYaqBhU8_DElYkX7l4wRkHqqCUFNJY4AfY3kHU/edit?usp=sharing  #gid=0"",""фіз особи new!relations_name""),6,FALSE)
,
(IF
(
C11167=""юридична особа""
,
VLOO"&amp;"KUP(D11167,IMPORTRANGE(""https://docs.google.com/spreadsheets/d/14Bd19lYaqBhU8_DElYkX7l4wRkHqqCUFNJY4AfY3kHU/edit?usp=sharing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6" s="7" t="s">
        <v>10</v>
      </c>
      <c r="H11166" s="7">
        <v>1496</v>
      </c>
      <c r="I11166" s="8" t="str">
        <f ca="1">IFERROR(__xludf.DUMMYFUNCTION("IF
(
G11167=""фізична особа""
,
VLOOKUP(H11167,IMPORTRANGE(""https://docs.google.com/spreadsheets/d/14Bd19lYaqBhU8_DElYkX7l4wRkHqqCUFNJY4AfY3kHU/edit?usp=sharing  #gid=0"",""фіз особи new!relations_name""),6,FALSE)
,
(IF
(
G11167=""юридична особа""
,
VLOO"&amp;"KUP(H11167,IMPORTRANGE(""https://docs.google.com/spreadsheets/d/14Bd19lYaqBhU8_DElYkX7l4wRkHqqCUFNJY4AfY3kHU/edit?usp=sharing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66" s="7" t="s">
        <v>23</v>
      </c>
    </row>
    <row r="11167" spans="1:10" ht="13.2">
      <c r="A11167" s="7">
        <v>11166</v>
      </c>
      <c r="B11167" s="7">
        <v>1</v>
      </c>
      <c r="C11167" s="7" t="s">
        <v>10</v>
      </c>
      <c r="D11167" s="7">
        <v>17511</v>
      </c>
      <c r="E11167" s="7" t="s">
        <v>23</v>
      </c>
      <c r="F11167" s="8" t="str">
        <f ca="1">IFERROR(__xludf.DUMMYFUNCTION("IF
(
C11168=""фізична особа""
,
VLOOKUP(D11168,IMPORTRANGE(""https://docs.google.com/spreadsheets/d/14Bd19lYaqBhU8_DElYkX7l4wRkHqqCUFNJY4AfY3kHU/edit?usp=sharing  #gid=0"",""фіз особи new!relations_name""),6,FALSE)
,
(IF
(
C11168=""юридична особа""
,
VLOO"&amp;"KUP(D11168,IMPORTRANGE(""https://docs.google.com/spreadsheets/d/14Bd19lYaqBhU8_DElYkX7l4wRkHqqCUFNJY4AfY3kHU/edit?usp=sharing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7" s="7" t="s">
        <v>10</v>
      </c>
      <c r="H11167" s="7">
        <v>1497</v>
      </c>
      <c r="I11167" s="8" t="str">
        <f ca="1">IFERROR(__xludf.DUMMYFUNCTION("IF
(
G11168=""фізична особа""
,
VLOOKUP(H11168,IMPORTRANGE(""https://docs.google.com/spreadsheets/d/14Bd19lYaqBhU8_DElYkX7l4wRkHqqCUFNJY4AfY3kHU/edit?usp=sharing  #gid=0"",""фіз особи new!relations_name""),6,FALSE)
,
(IF
(
G11168=""юридична особа""
,
VLOO"&amp;"KUP(H11168,IMPORTRANGE(""https://docs.google.com/spreadsheets/d/14Bd19lYaqBhU8_DElYkX7l4wRkHqqCUFNJY4AfY3kHU/edit?usp=sharing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67" s="7" t="s">
        <v>23</v>
      </c>
    </row>
    <row r="11168" spans="1:10" ht="13.2">
      <c r="A11168" s="7">
        <v>11167</v>
      </c>
      <c r="B11168" s="7">
        <v>1</v>
      </c>
      <c r="C11168" s="7" t="s">
        <v>10</v>
      </c>
      <c r="D11168" s="7">
        <v>17511</v>
      </c>
      <c r="E11168" s="7" t="s">
        <v>23</v>
      </c>
      <c r="F11168" s="8" t="str">
        <f ca="1">IFERROR(__xludf.DUMMYFUNCTION("IF
(
C11169=""фізична особа""
,
VLOOKUP(D11169,IMPORTRANGE(""https://docs.google.com/spreadsheets/d/14Bd19lYaqBhU8_DElYkX7l4wRkHqqCUFNJY4AfY3kHU/edit?usp=sharing  #gid=0"",""фіз особи new!relations_name""),6,FALSE)
,
(IF
(
C11169=""юридична особа""
,
VLOO"&amp;"KUP(D11169,IMPORTRANGE(""https://docs.google.com/spreadsheets/d/14Bd19lYaqBhU8_DElYkX7l4wRkHqqCUFNJY4AfY3kHU/edit?usp=sharing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8" s="7" t="s">
        <v>10</v>
      </c>
      <c r="H11168" s="7">
        <v>1498</v>
      </c>
      <c r="I11168" s="8" t="str">
        <f ca="1">IFERROR(__xludf.DUMMYFUNCTION("IF
(
G11169=""фізична особа""
,
VLOOKUP(H11169,IMPORTRANGE(""https://docs.google.com/spreadsheets/d/14Bd19lYaqBhU8_DElYkX7l4wRkHqqCUFNJY4AfY3kHU/edit?usp=sharing  #gid=0"",""фіз особи new!relations_name""),6,FALSE)
,
(IF
(
G11169=""юридична особа""
,
VLOO"&amp;"KUP(H11169,IMPORTRANGE(""https://docs.google.com/spreadsheets/d/14Bd19lYaqBhU8_DElYkX7l4wRkHqqCUFNJY4AfY3kHU/edit?usp=sharing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68" s="7" t="s">
        <v>23</v>
      </c>
    </row>
    <row r="11169" spans="1:10" ht="13.2">
      <c r="A11169" s="7">
        <v>11168</v>
      </c>
      <c r="B11169" s="7">
        <v>1</v>
      </c>
      <c r="C11169" s="7" t="s">
        <v>10</v>
      </c>
      <c r="D11169" s="7">
        <v>17511</v>
      </c>
      <c r="E11169" s="7" t="s">
        <v>23</v>
      </c>
      <c r="F11169" s="8" t="str">
        <f ca="1">IFERROR(__xludf.DUMMYFUNCTION("IF
(
C11170=""фізична особа""
,
VLOOKUP(D11170,IMPORTRANGE(""https://docs.google.com/spreadsheets/d/14Bd19lYaqBhU8_DElYkX7l4wRkHqqCUFNJY4AfY3kHU/edit?usp=sharing  #gid=0"",""фіз особи new!relations_name""),6,FALSE)
,
(IF
(
C11170=""юридична особа""
,
VLOO"&amp;"KUP(D11170,IMPORTRANGE(""https://docs.google.com/spreadsheets/d/14Bd19lYaqBhU8_DElYkX7l4wRkHqqCUFNJY4AfY3kHU/edit?usp=sharing  #gid=0"",""фіз особи new!relations_name_uo""),7,FALSE)
,
)
))"),"ПУГІНСЬКИЙ Станіслав Борисович")</f>
        <v>ПУГІНСЬКИЙ Станіслав Борисович</v>
      </c>
      <c r="G11169" s="7" t="s">
        <v>10</v>
      </c>
      <c r="H11169" s="7">
        <v>1851</v>
      </c>
      <c r="I11169" s="8" t="str">
        <f ca="1">IFERROR(__xludf.DUMMYFUNCTION("IF
(
G11170=""фізична особа""
,
VLOOKUP(H11170,IMPORTRANGE(""https://docs.google.com/spreadsheets/d/14Bd19lYaqBhU8_DElYkX7l4wRkHqqCUFNJY4AfY3kHU/edit?usp=sharing  #gid=0"",""фіз особи new!relations_name""),6,FALSE)
,
(IF
(
G11170=""юридична особа""
,
VLOO"&amp;"KUP(H11170,IMPORTRANGE(""https://docs.google.com/spreadsheets/d/14Bd19lYaqBhU8_DElYkX7l4wRkHqqCUFNJY4AfY3kHU/edit?usp=sharing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69" s="7" t="s">
        <v>23</v>
      </c>
    </row>
    <row r="11170" spans="1:10" ht="13.2">
      <c r="A11170" s="7">
        <v>11169</v>
      </c>
      <c r="B11170" s="7">
        <v>1</v>
      </c>
      <c r="C11170" s="7" t="s">
        <v>10</v>
      </c>
      <c r="D11170" s="7">
        <v>17512</v>
      </c>
      <c r="E11170" s="7" t="s">
        <v>23</v>
      </c>
      <c r="F11170" s="8" t="str">
        <f ca="1">IFERROR(__xludf.DUMMYFUNCTION("IF
(
C11171=""фізична особа""
,
VLOOKUP(D11171,IMPORTRANGE(""https://docs.google.com/spreadsheets/d/14Bd19lYaqBhU8_DElYkX7l4wRkHqqCUFNJY4AfY3kHU/edit?usp=sharing  #gid=0"",""фіз особи new!relations_name""),6,FALSE)
,
(IF
(
C11171=""юридична особа""
,
VLOO"&amp;"KUP(D11171,IMPORTRANGE(""https://docs.google.com/spreadsheets/d/14Bd19lYaqBhU8_DElYkX7l4wRkHqqCUFNJY4AfY3kHU/edit?usp=sharing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0" s="7" t="s">
        <v>10</v>
      </c>
      <c r="H11170" s="7">
        <v>1494</v>
      </c>
      <c r="I11170" s="8" t="str">
        <f ca="1">IFERROR(__xludf.DUMMYFUNCTION("IF
(
G11171=""фізична особа""
,
VLOOKUP(H11171,IMPORTRANGE(""https://docs.google.com/spreadsheets/d/14Bd19lYaqBhU8_DElYkX7l4wRkHqqCUFNJY4AfY3kHU/edit?usp=sharing  #gid=0"",""фіз особи new!relations_name""),6,FALSE)
,
(IF
(
G11171=""юридична особа""
,
VLOO"&amp;"KUP(H11171,IMPORTRANGE(""https://docs.google.com/spreadsheets/d/14Bd19lYaqBhU8_DElYkX7l4wRkHqqCUFNJY4AfY3kHU/edit?usp=sharing  #gid=0"",""фіз особи new!relations_name_uo""),7,FALSE)
,
)
))"),"АРБУЗОВ Вячеслав Петрович")</f>
        <v>АРБУЗОВ Вячеслав Петрович</v>
      </c>
      <c r="J11170" s="7" t="s">
        <v>23</v>
      </c>
    </row>
    <row r="11171" spans="1:10" ht="13.2">
      <c r="A11171" s="7">
        <v>11170</v>
      </c>
      <c r="B11171" s="7">
        <v>1</v>
      </c>
      <c r="C11171" s="7" t="s">
        <v>10</v>
      </c>
      <c r="D11171" s="7">
        <v>17512</v>
      </c>
      <c r="E11171" s="7" t="s">
        <v>23</v>
      </c>
      <c r="F11171" s="8" t="str">
        <f ca="1">IFERROR(__xludf.DUMMYFUNCTION("IF
(
C11172=""фізична особа""
,
VLOOKUP(D11172,IMPORTRANGE(""https://docs.google.com/spreadsheets/d/14Bd19lYaqBhU8_DElYkX7l4wRkHqqCUFNJY4AfY3kHU/edit?usp=sharing  #gid=0"",""фіз особи new!relations_name""),6,FALSE)
,
(IF
(
C11172=""юридична особа""
,
VLOO"&amp;"KUP(D11172,IMPORTRANGE(""https://docs.google.com/spreadsheets/d/14Bd19lYaqBhU8_DElYkX7l4wRkHqqCUFNJY4AfY3kHU/edit?usp=sharing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1" s="7" t="s">
        <v>10</v>
      </c>
      <c r="H11171" s="7">
        <v>1495</v>
      </c>
      <c r="I11171" s="8" t="str">
        <f ca="1">IFERROR(__xludf.DUMMYFUNCTION("IF
(
G11172=""фізична особа""
,
VLOOKUP(H11172,IMPORTRANGE(""https://docs.google.com/spreadsheets/d/14Bd19lYaqBhU8_DElYkX7l4wRkHqqCUFNJY4AfY3kHU/edit?usp=sharing  #gid=0"",""фіз особи new!relations_name""),6,FALSE)
,
(IF
(
G11172=""юридична особа""
,
VLOO"&amp;"KUP(H11172,IMPORTRANGE(""https://docs.google.com/spreadsheets/d/14Bd19lYaqBhU8_DElYkX7l4wRkHqqCUFNJY4AfY3kHU/edit?usp=sharing  #gid=0"",""фіз особи new!relations_name_uo""),7,FALSE)
,
)
))"),"САІДМУРАДОВ Ібодулло Хабібуллоєвич")</f>
        <v>САІДМУРАДОВ Ібодулло Хабібуллоєвич</v>
      </c>
      <c r="J11171" s="7" t="s">
        <v>23</v>
      </c>
    </row>
    <row r="11172" spans="1:10" ht="13.2">
      <c r="A11172" s="7">
        <v>11171</v>
      </c>
      <c r="B11172" s="7">
        <v>1</v>
      </c>
      <c r="C11172" s="7" t="s">
        <v>10</v>
      </c>
      <c r="D11172" s="7">
        <v>17512</v>
      </c>
      <c r="E11172" s="7" t="s">
        <v>23</v>
      </c>
      <c r="F11172" s="8" t="str">
        <f ca="1">IFERROR(__xludf.DUMMYFUNCTION("IF
(
C11173=""фізична особа""
,
VLOOKUP(D11173,IMPORTRANGE(""https://docs.google.com/spreadsheets/d/14Bd19lYaqBhU8_DElYkX7l4wRkHqqCUFNJY4AfY3kHU/edit?usp=sharing  #gid=0"",""фіз особи new!relations_name""),6,FALSE)
,
(IF
(
C11173=""юридична особа""
,
VLOO"&amp;"KUP(D11173,IMPORTRANGE(""https://docs.google.com/spreadsheets/d/14Bd19lYaqBhU8_DElYkX7l4wRkHqqCUFNJY4AfY3kHU/edit?usp=sharing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2" s="7" t="s">
        <v>10</v>
      </c>
      <c r="H11172" s="7">
        <v>1496</v>
      </c>
      <c r="I11172" s="8" t="str">
        <f ca="1">IFERROR(__xludf.DUMMYFUNCTION("IF
(
G11173=""фізична особа""
,
VLOOKUP(H11173,IMPORTRANGE(""https://docs.google.com/spreadsheets/d/14Bd19lYaqBhU8_DElYkX7l4wRkHqqCUFNJY4AfY3kHU/edit?usp=sharing  #gid=0"",""фіз особи new!relations_name""),6,FALSE)
,
(IF
(
G11173=""юридична особа""
,
VLOO"&amp;"KUP(H11173,IMPORTRANGE(""https://docs.google.com/spreadsheets/d/14Bd19lYaqBhU8_DElYkX7l4wRkHqqCUFNJY4AfY3kHU/edit?usp=sharing  #gid=0"",""фіз особи new!relations_name_uo""),7,FALSE)
,
)
))"),"ХАСАНОВ Рафіль Геннадійович")</f>
        <v>ХАСАНОВ Рафіль Геннадійович</v>
      </c>
      <c r="J11172" s="7" t="s">
        <v>23</v>
      </c>
    </row>
    <row r="11173" spans="1:10" ht="13.2">
      <c r="A11173" s="7">
        <v>11172</v>
      </c>
      <c r="B11173" s="7">
        <v>1</v>
      </c>
      <c r="C11173" s="7" t="s">
        <v>10</v>
      </c>
      <c r="D11173" s="7">
        <v>17512</v>
      </c>
      <c r="E11173" s="7" t="s">
        <v>23</v>
      </c>
      <c r="F11173" s="8" t="str">
        <f ca="1">IFERROR(__xludf.DUMMYFUNCTION("IF
(
C11174=""фізична особа""
,
VLOOKUP(D11174,IMPORTRANGE(""https://docs.google.com/spreadsheets/d/14Bd19lYaqBhU8_DElYkX7l4wRkHqqCUFNJY4AfY3kHU/edit?usp=sharing  #gid=0"",""фіз особи new!relations_name""),6,FALSE)
,
(IF
(
C11174=""юридична особа""
,
VLOO"&amp;"KUP(D11174,IMPORTRANGE(""https://docs.google.com/spreadsheets/d/14Bd19lYaqBhU8_DElYkX7l4wRkHqqCUFNJY4AfY3kHU/edit?usp=sharing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3" s="7" t="s">
        <v>10</v>
      </c>
      <c r="H11173" s="7">
        <v>1497</v>
      </c>
      <c r="I11173" s="8" t="str">
        <f ca="1">IFERROR(__xludf.DUMMYFUNCTION("IF
(
G11174=""фізична особа""
,
VLOOKUP(H11174,IMPORTRANGE(""https://docs.google.com/spreadsheets/d/14Bd19lYaqBhU8_DElYkX7l4wRkHqqCUFNJY4AfY3kHU/edit?usp=sharing  #gid=0"",""фіз особи new!relations_name""),6,FALSE)
,
(IF
(
G11174=""юридична особа""
,
VLOO"&amp;"KUP(H11174,IMPORTRANGE(""https://docs.google.com/spreadsheets/d/14Bd19lYaqBhU8_DElYkX7l4wRkHqqCUFNJY4AfY3kHU/edit?usp=sharing  #gid=0"",""фіз особи new!relations_name_uo""),7,FALSE)
,
)
))"),"РИЖОВ Леонід Миколайович")</f>
        <v>РИЖОВ Леонід Миколайович</v>
      </c>
      <c r="J11173" s="7" t="s">
        <v>23</v>
      </c>
    </row>
    <row r="11174" spans="1:10" ht="13.2">
      <c r="A11174" s="7">
        <v>11173</v>
      </c>
      <c r="B11174" s="7">
        <v>1</v>
      </c>
      <c r="C11174" s="7" t="s">
        <v>10</v>
      </c>
      <c r="D11174" s="7">
        <v>17512</v>
      </c>
      <c r="E11174" s="7" t="s">
        <v>23</v>
      </c>
      <c r="F11174" s="8" t="str">
        <f ca="1">IFERROR(__xludf.DUMMYFUNCTION("IF
(
C11175=""фізична особа""
,
VLOOKUP(D11175,IMPORTRANGE(""https://docs.google.com/spreadsheets/d/14Bd19lYaqBhU8_DElYkX7l4wRkHqqCUFNJY4AfY3kHU/edit?usp=sharing  #gid=0"",""фіз особи new!relations_name""),6,FALSE)
,
(IF
(
C11175=""юридична особа""
,
VLOO"&amp;"KUP(D11175,IMPORTRANGE(""https://docs.google.com/spreadsheets/d/14Bd19lYaqBhU8_DElYkX7l4wRkHqqCUFNJY4AfY3kHU/edit?usp=sharing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4" s="7" t="s">
        <v>10</v>
      </c>
      <c r="H11174" s="7">
        <v>1498</v>
      </c>
      <c r="I11174" s="8" t="str">
        <f ca="1">IFERROR(__xludf.DUMMYFUNCTION("IF
(
G11175=""фізична особа""
,
VLOOKUP(H11175,IMPORTRANGE(""https://docs.google.com/spreadsheets/d/14Bd19lYaqBhU8_DElYkX7l4wRkHqqCUFNJY4AfY3kHU/edit?usp=sharing  #gid=0"",""фіз особи new!relations_name""),6,FALSE)
,
(IF
(
G11175=""юридична особа""
,
VLOO"&amp;"KUP(H11175,IMPORTRANGE(""https://docs.google.com/spreadsheets/d/14Bd19lYaqBhU8_DElYkX7l4wRkHqqCUFNJY4AfY3kHU/edit?usp=sharing  #gid=0"",""фіз особи new!relations_name_uo""),7,FALSE)
,
)
))"),"ХАРИТОНОВ Кирило Геннадійович")</f>
        <v>ХАРИТОНОВ Кирило Геннадійович</v>
      </c>
      <c r="J11174" s="7" t="s">
        <v>23</v>
      </c>
    </row>
    <row r="11175" spans="1:10" ht="13.2">
      <c r="A11175" s="7">
        <v>11174</v>
      </c>
      <c r="B11175" s="7">
        <v>1</v>
      </c>
      <c r="C11175" s="7" t="s">
        <v>10</v>
      </c>
      <c r="D11175" s="7">
        <v>17512</v>
      </c>
      <c r="E11175" s="7" t="s">
        <v>23</v>
      </c>
      <c r="F11175" s="8" t="str">
        <f ca="1">IFERROR(__xludf.DUMMYFUNCTION("IF
(
C11176=""фізична особа""
,
VLOOKUP(D11176,IMPORTRANGE(""https://docs.google.com/spreadsheets/d/14Bd19lYaqBhU8_DElYkX7l4wRkHqqCUFNJY4AfY3kHU/edit?usp=sharing  #gid=0"",""фіз особи new!relations_name""),6,FALSE)
,
(IF
(
C11176=""юридична особа""
,
VLOO"&amp;"KUP(D11176,IMPORTRANGE(""https://docs.google.com/spreadsheets/d/14Bd19lYaqBhU8_DElYkX7l4wRkHqqCUFNJY4AfY3kHU/edit?usp=sharing  #gid=0"",""фіз особи new!relations_name_uo""),7,FALSE)
,
)
))"),"АБРАМОВА Ірина Олександрівна")</f>
        <v>АБРАМОВА Ірина Олександрівна</v>
      </c>
      <c r="G11175" s="7" t="s">
        <v>10</v>
      </c>
      <c r="H11175" s="7">
        <v>1851</v>
      </c>
      <c r="I11175" s="8" t="str">
        <f ca="1">IFERROR(__xludf.DUMMYFUNCTION("IF
(
G11176=""фізична особа""
,
VLOOKUP(H11176,IMPORTRANGE(""https://docs.google.com/spreadsheets/d/14Bd19lYaqBhU8_DElYkX7l4wRkHqqCUFNJY4AfY3kHU/edit?usp=sharing  #gid=0"",""фіз особи new!relations_name""),6,FALSE)
,
(IF
(
G11176=""юридична особа""
,
VLOO"&amp;"KUP(H11176,IMPORTRANGE(""https://docs.google.com/spreadsheets/d/14Bd19lYaqBhU8_DElYkX7l4wRkHqqCUFNJY4AfY3kHU/edit?usp=sharing  #gid=0"",""фіз особи new!relations_name_uo""),7,FALSE)
,
)
))"),"ЧУМАКОВСЬКИЙ Ігор Олегович")</f>
        <v>ЧУМАКОВСЬКИЙ Ігор Олегович</v>
      </c>
      <c r="J11175" s="7" t="s">
        <v>23</v>
      </c>
    </row>
    <row r="11176" spans="1:10" ht="13.2">
      <c r="A11176" s="7">
        <v>11175</v>
      </c>
      <c r="B11176" s="7">
        <v>1</v>
      </c>
      <c r="C11176" s="7" t="s">
        <v>10</v>
      </c>
      <c r="D11176" s="7">
        <v>17513</v>
      </c>
      <c r="E11176" s="7" t="s">
        <v>23</v>
      </c>
      <c r="F11176" s="8" t="str">
        <f ca="1">IFERROR(__xludf.DUMMYFUNCTION("IF
(
C11177=""фізична особа""
,
VLOOKUP(D11177,IMPORTRANGE(""https://docs.google.com/spreadsheets/d/14Bd19lYaqBhU8_DElYkX7l4wRkHqqCUFNJY4AfY3kHU/edit?usp=sharing  #gid=0"",""фіз особи new!relations_name""),6,FALSE)
,
(IF
(
C11177=""юридична особа""
,
VLOO"&amp;"KUP(D11177,IMPORTRANGE(""https://docs.google.com/spreadsheets/d/14Bd19lYaqBhU8_DElYkX7l4wRkHqqCUFNJY4AfY3kHU/edit?usp=sharing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76" s="7" t="s">
        <v>10</v>
      </c>
      <c r="H11176" s="7">
        <v>1507</v>
      </c>
      <c r="I11176" s="8" t="str">
        <f ca="1">IFERROR(__xludf.DUMMYFUNCTION("IF
(
G11177=""фізична особа""
,
VLOOKUP(H11177,IMPORTRANGE(""https://docs.google.com/spreadsheets/d/14Bd19lYaqBhU8_DElYkX7l4wRkHqqCUFNJY4AfY3kHU/edit?usp=sharing  #gid=0"",""фіз особи new!relations_name""),6,FALSE)
,
(IF
(
G11177=""юридична особа""
,
VLOO"&amp;"KUP(H11177,IMPORTRANGE(""https://docs.google.com/spreadsheets/d/14Bd19lYaqBhU8_DElYkX7l4wRkHqqCUFNJY4AfY3kHU/edit?usp=sharing  #gid=0"",""фіз особи new!relations_name_uo""),7,FALSE)
,
)
))"),"БІКТАЄВА Белла Ахметівна")</f>
        <v>БІКТАЄВА Белла Ахметівна</v>
      </c>
      <c r="J11176" s="7" t="s">
        <v>23</v>
      </c>
    </row>
    <row r="11177" spans="1:10" ht="13.2">
      <c r="A11177" s="7">
        <v>11176</v>
      </c>
      <c r="B11177" s="7">
        <v>1</v>
      </c>
      <c r="C11177" s="7" t="s">
        <v>10</v>
      </c>
      <c r="D11177" s="7">
        <v>17513</v>
      </c>
      <c r="E11177" s="7" t="s">
        <v>23</v>
      </c>
      <c r="F11177" s="8" t="str">
        <f ca="1">IFERROR(__xludf.DUMMYFUNCTION("IF
(
C11178=""фізична особа""
,
VLOOKUP(D11178,IMPORTRANGE(""https://docs.google.com/spreadsheets/d/14Bd19lYaqBhU8_DElYkX7l4wRkHqqCUFNJY4AfY3kHU/edit?usp=sharing  #gid=0"",""фіз особи new!relations_name""),6,FALSE)
,
(IF
(
C11178=""юридична особа""
,
VLOO"&amp;"KUP(D11178,IMPORTRANGE(""https://docs.google.com/spreadsheets/d/14Bd19lYaqBhU8_DElYkX7l4wRkHqqCUFNJY4AfY3kHU/edit?usp=sharing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77" s="7" t="s">
        <v>10</v>
      </c>
      <c r="H11177" s="7">
        <v>1508</v>
      </c>
      <c r="I11177" s="8" t="str">
        <f ca="1">IFERROR(__xludf.DUMMYFUNCTION("IF
(
G11178=""фізична особа""
,
VLOOKUP(H11178,IMPORTRANGE(""https://docs.google.com/spreadsheets/d/14Bd19lYaqBhU8_DElYkX7l4wRkHqqCUFNJY4AfY3kHU/edit?usp=sharing  #gid=0"",""фіз особи new!relations_name""),6,FALSE)
,
(IF
(
G11178=""юридична особа""
,
VLOO"&amp;"KUP(H11178,IMPORTRANGE(""https://docs.google.com/spreadsheets/d/14Bd19lYaqBhU8_DElYkX7l4wRkHqqCUFNJY4AfY3kHU/edit?usp=sharing  #gid=0"",""фіз особи new!relations_name_uo""),7,FALSE)
,
)
))"),"ЗДОРОВА Олена Сергіївна")</f>
        <v>ЗДОРОВА Олена Сергіївна</v>
      </c>
      <c r="J11177" s="7" t="s">
        <v>23</v>
      </c>
    </row>
    <row r="11178" spans="1:10" ht="13.2">
      <c r="A11178" s="7">
        <v>11177</v>
      </c>
      <c r="B11178" s="7">
        <v>1</v>
      </c>
      <c r="C11178" s="7" t="s">
        <v>10</v>
      </c>
      <c r="D11178" s="7">
        <v>17513</v>
      </c>
      <c r="E11178" s="7" t="s">
        <v>23</v>
      </c>
      <c r="F11178" s="8" t="str">
        <f ca="1">IFERROR(__xludf.DUMMYFUNCTION("IF
(
C11179=""фізична особа""
,
VLOOKUP(D11179,IMPORTRANGE(""https://docs.google.com/spreadsheets/d/14Bd19lYaqBhU8_DElYkX7l4wRkHqqCUFNJY4AfY3kHU/edit?usp=sharing  #gid=0"",""фіз особи new!relations_name""),6,FALSE)
,
(IF
(
C11179=""юридична особа""
,
VLOO"&amp;"KUP(D11179,IMPORTRANGE(""https://docs.google.com/spreadsheets/d/14Bd19lYaqBhU8_DElYkX7l4wRkHqqCUFNJY4AfY3kHU/edit?usp=sharing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78" s="7" t="s">
        <v>10</v>
      </c>
      <c r="H11178" s="7">
        <v>1509</v>
      </c>
      <c r="I11178" s="8" t="str">
        <f ca="1">IFERROR(__xludf.DUMMYFUNCTION("IF
(
G11179=""фізична особа""
,
VLOOKUP(H11179,IMPORTRANGE(""https://docs.google.com/spreadsheets/d/14Bd19lYaqBhU8_DElYkX7l4wRkHqqCUFNJY4AfY3kHU/edit?usp=sharing  #gid=0"",""фіз особи new!relations_name""),6,FALSE)
,
(IF
(
G11179=""юридична особа""
,
VLOO"&amp;"KUP(H11179,IMPORTRANGE(""https://docs.google.com/spreadsheets/d/14Bd19lYaqBhU8_DElYkX7l4wRkHqqCUFNJY4AfY3kHU/edit?usp=sharing  #gid=0"",""фіз особи new!relations_name_uo""),7,FALSE)
,
)
))"),"КОНДЕНКОВА Наталія Олексіївна")</f>
        <v>КОНДЕНКОВА Наталія Олексіївна</v>
      </c>
      <c r="J11178" s="7" t="s">
        <v>23</v>
      </c>
    </row>
    <row r="11179" spans="1:10" ht="13.2">
      <c r="A11179" s="7">
        <v>11178</v>
      </c>
      <c r="B11179" s="7">
        <v>1</v>
      </c>
      <c r="C11179" s="7" t="s">
        <v>10</v>
      </c>
      <c r="D11179" s="7">
        <v>17513</v>
      </c>
      <c r="E11179" s="7" t="s">
        <v>23</v>
      </c>
      <c r="F11179" s="8" t="str">
        <f ca="1">IFERROR(__xludf.DUMMYFUNCTION("IF
(
C11180=""фізична особа""
,
VLOOKUP(D11180,IMPORTRANGE(""https://docs.google.com/spreadsheets/d/14Bd19lYaqBhU8_DElYkX7l4wRkHqqCUFNJY4AfY3kHU/edit?usp=sharing  #gid=0"",""фіз особи new!relations_name""),6,FALSE)
,
(IF
(
C11180=""юридична особа""
,
VLOO"&amp;"KUP(D11180,IMPORTRANGE(""https://docs.google.com/spreadsheets/d/14Bd19lYaqBhU8_DElYkX7l4wRkHqqCUFNJY4AfY3kHU/edit?usp=sharing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79" s="7" t="s">
        <v>10</v>
      </c>
      <c r="H11179" s="7">
        <v>1510</v>
      </c>
      <c r="I11179" s="8" t="str">
        <f ca="1">IFERROR(__xludf.DUMMYFUNCTION("IF
(
G11180=""фізична особа""
,
VLOOKUP(H11180,IMPORTRANGE(""https://docs.google.com/spreadsheets/d/14Bd19lYaqBhU8_DElYkX7l4wRkHqqCUFNJY4AfY3kHU/edit?usp=sharing  #gid=0"",""фіз особи new!relations_name""),6,FALSE)
,
(IF
(
G11180=""юридична особа""
,
VLOO"&amp;"KUP(H11180,IMPORTRANGE(""https://docs.google.com/spreadsheets/d/14Bd19lYaqBhU8_DElYkX7l4wRkHqqCUFNJY4AfY3kHU/edit?usp=sharing  #gid=0"",""фіз особи new!relations_name_uo""),7,FALSE)
,
)
))"),"МЕРКІТАНОВ Олександр Петрович")</f>
        <v>МЕРКІТАНОВ Олександр Петрович</v>
      </c>
      <c r="J11179" s="7" t="s">
        <v>23</v>
      </c>
    </row>
    <row r="11180" spans="1:10" ht="13.2">
      <c r="A11180" s="7">
        <v>11179</v>
      </c>
      <c r="B11180" s="7">
        <v>1</v>
      </c>
      <c r="C11180" s="7" t="s">
        <v>10</v>
      </c>
      <c r="D11180" s="7">
        <v>17513</v>
      </c>
      <c r="E11180" s="7" t="s">
        <v>23</v>
      </c>
      <c r="F11180" s="8" t="str">
        <f ca="1">IFERROR(__xludf.DUMMYFUNCTION("IF
(
C11181=""фізична особа""
,
VLOOKUP(D11181,IMPORTRANGE(""https://docs.google.com/spreadsheets/d/14Bd19lYaqBhU8_DElYkX7l4wRkHqqCUFNJY4AfY3kHU/edit?usp=sharing  #gid=0"",""фіз особи new!relations_name""),6,FALSE)
,
(IF
(
C11181=""юридична особа""
,
VLOO"&amp;"KUP(D11181,IMPORTRANGE(""https://docs.google.com/spreadsheets/d/14Bd19lYaqBhU8_DElYkX7l4wRkHqqCUFNJY4AfY3kHU/edit?usp=sharing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80" s="7" t="s">
        <v>10</v>
      </c>
      <c r="H11180" s="7">
        <v>1511</v>
      </c>
      <c r="I11180" s="8" t="str">
        <f ca="1">IFERROR(__xludf.DUMMYFUNCTION("IF
(
G11181=""фізична особа""
,
VLOOKUP(H11181,IMPORTRANGE(""https://docs.google.com/spreadsheets/d/14Bd19lYaqBhU8_DElYkX7l4wRkHqqCUFNJY4AfY3kHU/edit?usp=sharing  #gid=0"",""фіз особи new!relations_name""),6,FALSE)
,
(IF
(
G11181=""юридична особа""
,
VLOO"&amp;"KUP(H11181,IMPORTRANGE(""https://docs.google.com/spreadsheets/d/14Bd19lYaqBhU8_DElYkX7l4wRkHqqCUFNJY4AfY3kHU/edit?usp=sharing  #gid=0"",""фіз особи new!relations_name_uo""),7,FALSE)
,
)
))"),"ЛЕВІНСОН Наталія Лазарівна")</f>
        <v>ЛЕВІНСОН Наталія Лазарівна</v>
      </c>
      <c r="J11180" s="7" t="s">
        <v>23</v>
      </c>
    </row>
    <row r="11181" spans="1:10" ht="13.2">
      <c r="A11181" s="7">
        <v>11180</v>
      </c>
      <c r="B11181" s="7">
        <v>1</v>
      </c>
      <c r="C11181" s="7" t="s">
        <v>10</v>
      </c>
      <c r="D11181" s="7">
        <v>17513</v>
      </c>
      <c r="E11181" s="7" t="s">
        <v>23</v>
      </c>
      <c r="F11181" s="8" t="str">
        <f ca="1">IFERROR(__xludf.DUMMYFUNCTION("IF
(
C11182=""фізична особа""
,
VLOOKUP(D11182,IMPORTRANGE(""https://docs.google.com/spreadsheets/d/14Bd19lYaqBhU8_DElYkX7l4wRkHqqCUFNJY4AfY3kHU/edit?usp=sharing  #gid=0"",""фіз особи new!relations_name""),6,FALSE)
,
(IF
(
C11182=""юридична особа""
,
VLOO"&amp;"KUP(D11182,IMPORTRANGE(""https://docs.google.com/spreadsheets/d/14Bd19lYaqBhU8_DElYkX7l4wRkHqqCUFNJY4AfY3kHU/edit?usp=sharing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81" s="7" t="s">
        <v>10</v>
      </c>
      <c r="H11181" s="7">
        <v>1512</v>
      </c>
      <c r="I11181" s="8" t="str">
        <f ca="1">IFERROR(__xludf.DUMMYFUNCTION("IF
(
G11182=""фізична особа""
,
VLOOKUP(H11182,IMPORTRANGE(""https://docs.google.com/spreadsheets/d/14Bd19lYaqBhU8_DElYkX7l4wRkHqqCUFNJY4AfY3kHU/edit?usp=sharing  #gid=0"",""фіз особи new!relations_name""),6,FALSE)
,
(IF
(
G11182=""юридична особа""
,
VLOO"&amp;"KUP(H11182,IMPORTRANGE(""https://docs.google.com/spreadsheets/d/14Bd19lYaqBhU8_DElYkX7l4wRkHqqCUFNJY4AfY3kHU/edit?usp=sharing  #gid=0"",""фіз особи new!relations_name_uo""),7,FALSE)
,
)
))"),"МОТЛОХОВА Юлія Вікторівна")</f>
        <v>МОТЛОХОВА Юлія Вікторівна</v>
      </c>
      <c r="J11181" s="7" t="s">
        <v>23</v>
      </c>
    </row>
    <row r="11182" spans="1:10" ht="13.2">
      <c r="A11182" s="7">
        <v>11181</v>
      </c>
      <c r="B11182" s="7">
        <v>1</v>
      </c>
      <c r="C11182" s="7" t="s">
        <v>10</v>
      </c>
      <c r="D11182" s="7">
        <v>17513</v>
      </c>
      <c r="E11182" s="7" t="s">
        <v>23</v>
      </c>
      <c r="F11182" s="8" t="str">
        <f ca="1">IFERROR(__xludf.DUMMYFUNCTION("IF
(
C11183=""фізична особа""
,
VLOOKUP(D11183,IMPORTRANGE(""https://docs.google.com/spreadsheets/d/14Bd19lYaqBhU8_DElYkX7l4wRkHqqCUFNJY4AfY3kHU/edit?usp=sharing  #gid=0"",""фіз особи new!relations_name""),6,FALSE)
,
(IF
(
C11183=""юридична особа""
,
VLOO"&amp;"KUP(D11183,IMPORTRANGE(""https://docs.google.com/spreadsheets/d/14Bd19lYaqBhU8_DElYkX7l4wRkHqqCUFNJY4AfY3kHU/edit?usp=sharing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82" s="7" t="s">
        <v>10</v>
      </c>
      <c r="H11182" s="7">
        <v>1513</v>
      </c>
      <c r="I11182" s="8" t="str">
        <f ca="1">IFERROR(__xludf.DUMMYFUNCTION("IF
(
G11183=""фізична особа""
,
VLOOKUP(H11183,IMPORTRANGE(""https://docs.google.com/spreadsheets/d/14Bd19lYaqBhU8_DElYkX7l4wRkHqqCUFNJY4AfY3kHU/edit?usp=sharing  #gid=0"",""фіз особи new!relations_name""),6,FALSE)
,
(IF
(
G11183=""юридична особа""
,
VLOO"&amp;"KUP(H11183,IMPORTRANGE(""https://docs.google.com/spreadsheets/d/14Bd19lYaqBhU8_DElYkX7l4wRkHqqCUFNJY4AfY3kHU/edit?usp=sharing  #gid=0"",""фіз особи new!relations_name_uo""),7,FALSE)
,
)
))"),"ПЕТРОВА Тетяна Геннадіївна")</f>
        <v>ПЕТРОВА Тетяна Геннадіївна</v>
      </c>
      <c r="J11182" s="7" t="s">
        <v>23</v>
      </c>
    </row>
    <row r="11183" spans="1:10" ht="13.2">
      <c r="A11183" s="7">
        <v>11182</v>
      </c>
      <c r="B11183" s="7">
        <v>1</v>
      </c>
      <c r="C11183" s="7" t="s">
        <v>10</v>
      </c>
      <c r="D11183" s="7">
        <v>17513</v>
      </c>
      <c r="E11183" s="7" t="s">
        <v>23</v>
      </c>
      <c r="F11183" s="8" t="str">
        <f ca="1">IFERROR(__xludf.DUMMYFUNCTION("IF
(
C11184=""фізична особа""
,
VLOOKUP(D11184,IMPORTRANGE(""https://docs.google.com/spreadsheets/d/14Bd19lYaqBhU8_DElYkX7l4wRkHqqCUFNJY4AfY3kHU/edit?usp=sharing  #gid=0"",""фіз особи new!relations_name""),6,FALSE)
,
(IF
(
C11184=""юридична особа""
,
VLOO"&amp;"KUP(D11184,IMPORTRANGE(""https://docs.google.com/spreadsheets/d/14Bd19lYaqBhU8_DElYkX7l4wRkHqqCUFNJY4AfY3kHU/edit?usp=sharing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83" s="7" t="s">
        <v>10</v>
      </c>
      <c r="H11183" s="7">
        <v>1514</v>
      </c>
      <c r="I11183" s="8" t="str">
        <f ca="1">IFERROR(__xludf.DUMMYFUNCTION("IF
(
G11184=""фізична особа""
,
VLOOKUP(H11184,IMPORTRANGE(""https://docs.google.com/spreadsheets/d/14Bd19lYaqBhU8_DElYkX7l4wRkHqqCUFNJY4AfY3kHU/edit?usp=sharing  #gid=0"",""фіз особи new!relations_name""),6,FALSE)
,
(IF
(
G11184=""юридична особа""
,
VLOO"&amp;"KUP(H11184,IMPORTRANGE(""https://docs.google.com/spreadsheets/d/14Bd19lYaqBhU8_DElYkX7l4wRkHqqCUFNJY4AfY3kHU/edit?usp=sharing  #gid=0"",""фіз особи new!relations_name_uo""),7,FALSE)
,
)
))"),"СЕНЬЧЕВ Євгеній Валерійович")</f>
        <v>СЕНЬЧЕВ Євгеній Валерійович</v>
      </c>
      <c r="J11183" s="7" t="s">
        <v>23</v>
      </c>
    </row>
    <row r="11184" spans="1:10" ht="13.2">
      <c r="A11184" s="7">
        <v>11183</v>
      </c>
      <c r="B11184" s="7">
        <v>1</v>
      </c>
      <c r="C11184" s="7" t="s">
        <v>10</v>
      </c>
      <c r="D11184" s="7">
        <v>17513</v>
      </c>
      <c r="E11184" s="7" t="s">
        <v>23</v>
      </c>
      <c r="F11184" s="8" t="str">
        <f ca="1">IFERROR(__xludf.DUMMYFUNCTION("IF
(
C11185=""фізична особа""
,
VLOOKUP(D11185,IMPORTRANGE(""https://docs.google.com/spreadsheets/d/14Bd19lYaqBhU8_DElYkX7l4wRkHqqCUFNJY4AfY3kHU/edit?usp=sharing  #gid=0"",""фіз особи new!relations_name""),6,FALSE)
,
(IF
(
C11185=""юридична особа""
,
VLOO"&amp;"KUP(D11185,IMPORTRANGE(""https://docs.google.com/spreadsheets/d/14Bd19lYaqBhU8_DElYkX7l4wRkHqqCUFNJY4AfY3kHU/edit?usp=sharing  #gid=0"",""фіз особи new!relations_name_uo""),7,FALSE)
,
)
))"),"СІВЕЛЬКІН Андрій Віталійович")</f>
        <v>СІВЕЛЬКІН Андрій Віталійович</v>
      </c>
      <c r="G11184" s="7" t="s">
        <v>10</v>
      </c>
      <c r="H11184" s="7">
        <v>1515</v>
      </c>
      <c r="I11184" s="8" t="str">
        <f ca="1">IFERROR(__xludf.DUMMYFUNCTION("IF
(
G11185=""фізична особа""
,
VLOOKUP(H11185,IMPORTRANGE(""https://docs.google.com/spreadsheets/d/14Bd19lYaqBhU8_DElYkX7l4wRkHqqCUFNJY4AfY3kHU/edit?usp=sharing  #gid=0"",""фіз особи new!relations_name""),6,FALSE)
,
(IF
(
G11185=""юридична особа""
,
VLOO"&amp;"KUP(H11185,IMPORTRANGE(""https://docs.google.com/spreadsheets/d/14Bd19lYaqBhU8_DElYkX7l4wRkHqqCUFNJY4AfY3kHU/edit?usp=sharing  #gid=0"",""фіз особи new!relations_name_uo""),7,FALSE)
,
)
))"),"ФРОЛОВА Юлія Миколаївна")</f>
        <v>ФРОЛОВА Юлія Миколаївна</v>
      </c>
      <c r="J11184" s="7" t="s">
        <v>23</v>
      </c>
    </row>
    <row r="11185" spans="1:10" ht="13.2">
      <c r="A11185" s="7">
        <v>11184</v>
      </c>
      <c r="B11185" s="7">
        <v>1</v>
      </c>
      <c r="C11185" s="7" t="s">
        <v>10</v>
      </c>
      <c r="D11185" s="7">
        <v>17514</v>
      </c>
      <c r="E11185" s="7" t="s">
        <v>23</v>
      </c>
      <c r="F11185" s="8" t="str">
        <f ca="1">IFERROR(__xludf.DUMMYFUNCTION("IF
(
C11186=""фізична особа""
,
VLOOKUP(D11186,IMPORTRANGE(""https://docs.google.com/spreadsheets/d/14Bd19lYaqBhU8_DElYkX7l4wRkHqqCUFNJY4AfY3kHU/edit?usp=sharing  #gid=0"",""фіз особи new!relations_name""),6,FALSE)
,
(IF
(
C11186=""юридична особа""
,
VLOO"&amp;"KUP(D11186,IMPORTRANGE(""https://docs.google.com/spreadsheets/d/14Bd19lYaqBhU8_DElYkX7l4wRkHqqCUFNJY4AfY3kHU/edit?usp=sharing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85" s="7" t="s">
        <v>10</v>
      </c>
      <c r="H11185" s="7">
        <v>1507</v>
      </c>
      <c r="I11185" s="8" t="str">
        <f ca="1">IFERROR(__xludf.DUMMYFUNCTION("IF
(
G11186=""фізична особа""
,
VLOOKUP(H11186,IMPORTRANGE(""https://docs.google.com/spreadsheets/d/14Bd19lYaqBhU8_DElYkX7l4wRkHqqCUFNJY4AfY3kHU/edit?usp=sharing  #gid=0"",""фіз особи new!relations_name""),6,FALSE)
,
(IF
(
G11186=""юридична особа""
,
VLOO"&amp;"KUP(H11186,IMPORTRANGE(""https://docs.google.com/spreadsheets/d/14Bd19lYaqBhU8_DElYkX7l4wRkHqqCUFNJY4AfY3kHU/edit?usp=sharing  #gid=0"",""фіз особи new!relations_name_uo""),7,FALSE)
,
)
))"),"БІКТАЄВА Белла Ахметівна")</f>
        <v>БІКТАЄВА Белла Ахметівна</v>
      </c>
      <c r="J11185" s="7" t="s">
        <v>23</v>
      </c>
    </row>
    <row r="11186" spans="1:10" ht="13.2">
      <c r="A11186" s="7">
        <v>11185</v>
      </c>
      <c r="B11186" s="7">
        <v>1</v>
      </c>
      <c r="C11186" s="7" t="s">
        <v>10</v>
      </c>
      <c r="D11186" s="7">
        <v>17514</v>
      </c>
      <c r="E11186" s="7" t="s">
        <v>23</v>
      </c>
      <c r="F11186" s="8" t="str">
        <f ca="1">IFERROR(__xludf.DUMMYFUNCTION("IF
(
C11187=""фізична особа""
,
VLOOKUP(D11187,IMPORTRANGE(""https://docs.google.com/spreadsheets/d/14Bd19lYaqBhU8_DElYkX7l4wRkHqqCUFNJY4AfY3kHU/edit?usp=sharing  #gid=0"",""фіз особи new!relations_name""),6,FALSE)
,
(IF
(
C11187=""юридична особа""
,
VLOO"&amp;"KUP(D11187,IMPORTRANGE(""https://docs.google.com/spreadsheets/d/14Bd19lYaqBhU8_DElYkX7l4wRkHqqCUFNJY4AfY3kHU/edit?usp=sharing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86" s="7" t="s">
        <v>10</v>
      </c>
      <c r="H11186" s="7">
        <v>1508</v>
      </c>
      <c r="I11186" s="8" t="str">
        <f ca="1">IFERROR(__xludf.DUMMYFUNCTION("IF
(
G11187=""фізична особа""
,
VLOOKUP(H11187,IMPORTRANGE(""https://docs.google.com/spreadsheets/d/14Bd19lYaqBhU8_DElYkX7l4wRkHqqCUFNJY4AfY3kHU/edit?usp=sharing  #gid=0"",""фіз особи new!relations_name""),6,FALSE)
,
(IF
(
G11187=""юридична особа""
,
VLOO"&amp;"KUP(H11187,IMPORTRANGE(""https://docs.google.com/spreadsheets/d/14Bd19lYaqBhU8_DElYkX7l4wRkHqqCUFNJY4AfY3kHU/edit?usp=sharing  #gid=0"",""фіз особи new!relations_name_uo""),7,FALSE)
,
)
))"),"ЗДОРОВА Олена Сергіївна")</f>
        <v>ЗДОРОВА Олена Сергіївна</v>
      </c>
      <c r="J11186" s="7" t="s">
        <v>23</v>
      </c>
    </row>
    <row r="11187" spans="1:10" ht="13.2">
      <c r="A11187" s="7">
        <v>11186</v>
      </c>
      <c r="B11187" s="7">
        <v>1</v>
      </c>
      <c r="C11187" s="7" t="s">
        <v>10</v>
      </c>
      <c r="D11187" s="7">
        <v>17514</v>
      </c>
      <c r="E11187" s="7" t="s">
        <v>23</v>
      </c>
      <c r="F11187" s="8" t="str">
        <f ca="1">IFERROR(__xludf.DUMMYFUNCTION("IF
(
C11188=""фізична особа""
,
VLOOKUP(D11188,IMPORTRANGE(""https://docs.google.com/spreadsheets/d/14Bd19lYaqBhU8_DElYkX7l4wRkHqqCUFNJY4AfY3kHU/edit?usp=sharing  #gid=0"",""фіз особи new!relations_name""),6,FALSE)
,
(IF
(
C11188=""юридична особа""
,
VLOO"&amp;"KUP(D11188,IMPORTRANGE(""https://docs.google.com/spreadsheets/d/14Bd19lYaqBhU8_DElYkX7l4wRkHqqCUFNJY4AfY3kHU/edit?usp=sharing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87" s="7" t="s">
        <v>10</v>
      </c>
      <c r="H11187" s="7">
        <v>1509</v>
      </c>
      <c r="I11187" s="8" t="str">
        <f ca="1">IFERROR(__xludf.DUMMYFUNCTION("IF
(
G11188=""фізична особа""
,
VLOOKUP(H11188,IMPORTRANGE(""https://docs.google.com/spreadsheets/d/14Bd19lYaqBhU8_DElYkX7l4wRkHqqCUFNJY4AfY3kHU/edit?usp=sharing  #gid=0"",""фіз особи new!relations_name""),6,FALSE)
,
(IF
(
G11188=""юридична особа""
,
VLOO"&amp;"KUP(H11188,IMPORTRANGE(""https://docs.google.com/spreadsheets/d/14Bd19lYaqBhU8_DElYkX7l4wRkHqqCUFNJY4AfY3kHU/edit?usp=sharing  #gid=0"",""фіз особи new!relations_name_uo""),7,FALSE)
,
)
))"),"КОНДЕНКОВА Наталія Олексіївна")</f>
        <v>КОНДЕНКОВА Наталія Олексіївна</v>
      </c>
      <c r="J11187" s="7" t="s">
        <v>23</v>
      </c>
    </row>
    <row r="11188" spans="1:10" ht="13.2">
      <c r="A11188" s="7">
        <v>11187</v>
      </c>
      <c r="B11188" s="7">
        <v>1</v>
      </c>
      <c r="C11188" s="7" t="s">
        <v>10</v>
      </c>
      <c r="D11188" s="7">
        <v>17514</v>
      </c>
      <c r="E11188" s="7" t="s">
        <v>23</v>
      </c>
      <c r="F11188" s="8" t="str">
        <f ca="1">IFERROR(__xludf.DUMMYFUNCTION("IF
(
C11189=""фізична особа""
,
VLOOKUP(D11189,IMPORTRANGE(""https://docs.google.com/spreadsheets/d/14Bd19lYaqBhU8_DElYkX7l4wRkHqqCUFNJY4AfY3kHU/edit?usp=sharing  #gid=0"",""фіз особи new!relations_name""),6,FALSE)
,
(IF
(
C11189=""юридична особа""
,
VLOO"&amp;"KUP(D11189,IMPORTRANGE(""https://docs.google.com/spreadsheets/d/14Bd19lYaqBhU8_DElYkX7l4wRkHqqCUFNJY4AfY3kHU/edit?usp=sharing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88" s="7" t="s">
        <v>10</v>
      </c>
      <c r="H11188" s="7">
        <v>1510</v>
      </c>
      <c r="I11188" s="8" t="str">
        <f ca="1">IFERROR(__xludf.DUMMYFUNCTION("IF
(
G11189=""фізична особа""
,
VLOOKUP(H11189,IMPORTRANGE(""https://docs.google.com/spreadsheets/d/14Bd19lYaqBhU8_DElYkX7l4wRkHqqCUFNJY4AfY3kHU/edit?usp=sharing  #gid=0"",""фіз особи new!relations_name""),6,FALSE)
,
(IF
(
G11189=""юридична особа""
,
VLOO"&amp;"KUP(H11189,IMPORTRANGE(""https://docs.google.com/spreadsheets/d/14Bd19lYaqBhU8_DElYkX7l4wRkHqqCUFNJY4AfY3kHU/edit?usp=sharing  #gid=0"",""фіз особи new!relations_name_uo""),7,FALSE)
,
)
))"),"МЕРКІТАНОВ Олександр Петрович")</f>
        <v>МЕРКІТАНОВ Олександр Петрович</v>
      </c>
      <c r="J11188" s="7" t="s">
        <v>23</v>
      </c>
    </row>
    <row r="11189" spans="1:10" ht="13.2">
      <c r="A11189" s="7">
        <v>11188</v>
      </c>
      <c r="B11189" s="7">
        <v>1</v>
      </c>
      <c r="C11189" s="7" t="s">
        <v>10</v>
      </c>
      <c r="D11189" s="7">
        <v>17514</v>
      </c>
      <c r="E11189" s="7" t="s">
        <v>23</v>
      </c>
      <c r="F11189" s="8" t="str">
        <f ca="1">IFERROR(__xludf.DUMMYFUNCTION("IF
(
C11190=""фізична особа""
,
VLOOKUP(D11190,IMPORTRANGE(""https://docs.google.com/spreadsheets/d/14Bd19lYaqBhU8_DElYkX7l4wRkHqqCUFNJY4AfY3kHU/edit?usp=sharing  #gid=0"",""фіз особи new!relations_name""),6,FALSE)
,
(IF
(
C11190=""юридична особа""
,
VLOO"&amp;"KUP(D11190,IMPORTRANGE(""https://docs.google.com/spreadsheets/d/14Bd19lYaqBhU8_DElYkX7l4wRkHqqCUFNJY4AfY3kHU/edit?usp=sharing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89" s="7" t="s">
        <v>10</v>
      </c>
      <c r="H11189" s="7">
        <v>1511</v>
      </c>
      <c r="I11189" s="8" t="str">
        <f ca="1">IFERROR(__xludf.DUMMYFUNCTION("IF
(
G11190=""фізична особа""
,
VLOOKUP(H11190,IMPORTRANGE(""https://docs.google.com/spreadsheets/d/14Bd19lYaqBhU8_DElYkX7l4wRkHqqCUFNJY4AfY3kHU/edit?usp=sharing  #gid=0"",""фіз особи new!relations_name""),6,FALSE)
,
(IF
(
G11190=""юридична особа""
,
VLOO"&amp;"KUP(H11190,IMPORTRANGE(""https://docs.google.com/spreadsheets/d/14Bd19lYaqBhU8_DElYkX7l4wRkHqqCUFNJY4AfY3kHU/edit?usp=sharing  #gid=0"",""фіз особи new!relations_name_uo""),7,FALSE)
,
)
))"),"ЛЕВІНСОН Наталія Лазарівна")</f>
        <v>ЛЕВІНСОН Наталія Лазарівна</v>
      </c>
      <c r="J11189" s="7" t="s">
        <v>23</v>
      </c>
    </row>
    <row r="11190" spans="1:10" ht="13.2">
      <c r="A11190" s="7">
        <v>11189</v>
      </c>
      <c r="B11190" s="7">
        <v>1</v>
      </c>
      <c r="C11190" s="7" t="s">
        <v>10</v>
      </c>
      <c r="D11190" s="7">
        <v>17514</v>
      </c>
      <c r="E11190" s="7" t="s">
        <v>23</v>
      </c>
      <c r="F11190" s="8" t="str">
        <f ca="1">IFERROR(__xludf.DUMMYFUNCTION("IF
(
C11191=""фізична особа""
,
VLOOKUP(D11191,IMPORTRANGE(""https://docs.google.com/spreadsheets/d/14Bd19lYaqBhU8_DElYkX7l4wRkHqqCUFNJY4AfY3kHU/edit?usp=sharing  #gid=0"",""фіз особи new!relations_name""),6,FALSE)
,
(IF
(
C11191=""юридична особа""
,
VLOO"&amp;"KUP(D11191,IMPORTRANGE(""https://docs.google.com/spreadsheets/d/14Bd19lYaqBhU8_DElYkX7l4wRkHqqCUFNJY4AfY3kHU/edit?usp=sharing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90" s="7" t="s">
        <v>10</v>
      </c>
      <c r="H11190" s="7">
        <v>1512</v>
      </c>
      <c r="I11190" s="8" t="str">
        <f ca="1">IFERROR(__xludf.DUMMYFUNCTION("IF
(
G11191=""фізична особа""
,
VLOOKUP(H11191,IMPORTRANGE(""https://docs.google.com/spreadsheets/d/14Bd19lYaqBhU8_DElYkX7l4wRkHqqCUFNJY4AfY3kHU/edit?usp=sharing  #gid=0"",""фіз особи new!relations_name""),6,FALSE)
,
(IF
(
G11191=""юридична особа""
,
VLOO"&amp;"KUP(H11191,IMPORTRANGE(""https://docs.google.com/spreadsheets/d/14Bd19lYaqBhU8_DElYkX7l4wRkHqqCUFNJY4AfY3kHU/edit?usp=sharing  #gid=0"",""фіз особи new!relations_name_uo""),7,FALSE)
,
)
))"),"МОТЛОХОВА Юлія Вікторівна")</f>
        <v>МОТЛОХОВА Юлія Вікторівна</v>
      </c>
      <c r="J11190" s="7" t="s">
        <v>23</v>
      </c>
    </row>
    <row r="11191" spans="1:10" ht="13.2">
      <c r="A11191" s="7">
        <v>11190</v>
      </c>
      <c r="B11191" s="7">
        <v>1</v>
      </c>
      <c r="C11191" s="7" t="s">
        <v>10</v>
      </c>
      <c r="D11191" s="7">
        <v>17514</v>
      </c>
      <c r="E11191" s="7" t="s">
        <v>23</v>
      </c>
      <c r="F11191" s="8" t="str">
        <f ca="1">IFERROR(__xludf.DUMMYFUNCTION("IF
(
C11192=""фізична особа""
,
VLOOKUP(D11192,IMPORTRANGE(""https://docs.google.com/spreadsheets/d/14Bd19lYaqBhU8_DElYkX7l4wRkHqqCUFNJY4AfY3kHU/edit?usp=sharing  #gid=0"",""фіз особи new!relations_name""),6,FALSE)
,
(IF
(
C11192=""юридична особа""
,
VLOO"&amp;"KUP(D11192,IMPORTRANGE(""https://docs.google.com/spreadsheets/d/14Bd19lYaqBhU8_DElYkX7l4wRkHqqCUFNJY4AfY3kHU/edit?usp=sharing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91" s="7" t="s">
        <v>10</v>
      </c>
      <c r="H11191" s="7">
        <v>1513</v>
      </c>
      <c r="I11191" s="8" t="str">
        <f ca="1">IFERROR(__xludf.DUMMYFUNCTION("IF
(
G11192=""фізична особа""
,
VLOOKUP(H11192,IMPORTRANGE(""https://docs.google.com/spreadsheets/d/14Bd19lYaqBhU8_DElYkX7l4wRkHqqCUFNJY4AfY3kHU/edit?usp=sharing  #gid=0"",""фіз особи new!relations_name""),6,FALSE)
,
(IF
(
G11192=""юридична особа""
,
VLOO"&amp;"KUP(H11192,IMPORTRANGE(""https://docs.google.com/spreadsheets/d/14Bd19lYaqBhU8_DElYkX7l4wRkHqqCUFNJY4AfY3kHU/edit?usp=sharing  #gid=0"",""фіз особи new!relations_name_uo""),7,FALSE)
,
)
))"),"ПЕТРОВА Тетяна Геннадіївна")</f>
        <v>ПЕТРОВА Тетяна Геннадіївна</v>
      </c>
      <c r="J11191" s="7" t="s">
        <v>23</v>
      </c>
    </row>
    <row r="11192" spans="1:10" ht="13.2">
      <c r="A11192" s="7">
        <v>11191</v>
      </c>
      <c r="B11192" s="7">
        <v>1</v>
      </c>
      <c r="C11192" s="7" t="s">
        <v>10</v>
      </c>
      <c r="D11192" s="7">
        <v>17514</v>
      </c>
      <c r="E11192" s="7" t="s">
        <v>23</v>
      </c>
      <c r="F11192" s="8" t="str">
        <f ca="1">IFERROR(__xludf.DUMMYFUNCTION("IF
(
C11193=""фізична особа""
,
VLOOKUP(D11193,IMPORTRANGE(""https://docs.google.com/spreadsheets/d/14Bd19lYaqBhU8_DElYkX7l4wRkHqqCUFNJY4AfY3kHU/edit?usp=sharing  #gid=0"",""фіз особи new!relations_name""),6,FALSE)
,
(IF
(
C11193=""юридична особа""
,
VLOO"&amp;"KUP(D11193,IMPORTRANGE(""https://docs.google.com/spreadsheets/d/14Bd19lYaqBhU8_DElYkX7l4wRkHqqCUFNJY4AfY3kHU/edit?usp=sharing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92" s="7" t="s">
        <v>10</v>
      </c>
      <c r="H11192" s="7">
        <v>1514</v>
      </c>
      <c r="I11192" s="8" t="str">
        <f ca="1">IFERROR(__xludf.DUMMYFUNCTION("IF
(
G11193=""фізична особа""
,
VLOOKUP(H11193,IMPORTRANGE(""https://docs.google.com/spreadsheets/d/14Bd19lYaqBhU8_DElYkX7l4wRkHqqCUFNJY4AfY3kHU/edit?usp=sharing  #gid=0"",""фіз особи new!relations_name""),6,FALSE)
,
(IF
(
G11193=""юридична особа""
,
VLOO"&amp;"KUP(H11193,IMPORTRANGE(""https://docs.google.com/spreadsheets/d/14Bd19lYaqBhU8_DElYkX7l4wRkHqqCUFNJY4AfY3kHU/edit?usp=sharing  #gid=0"",""фіз особи new!relations_name_uo""),7,FALSE)
,
)
))"),"СЕНЬЧЕВ Євгеній Валерійович")</f>
        <v>СЕНЬЧЕВ Євгеній Валерійович</v>
      </c>
      <c r="J11192" s="7" t="s">
        <v>23</v>
      </c>
    </row>
    <row r="11193" spans="1:10" ht="13.2">
      <c r="A11193" s="7">
        <v>11192</v>
      </c>
      <c r="B11193" s="7">
        <v>1</v>
      </c>
      <c r="C11193" s="7" t="s">
        <v>10</v>
      </c>
      <c r="D11193" s="7">
        <v>17514</v>
      </c>
      <c r="E11193" s="7" t="s">
        <v>23</v>
      </c>
      <c r="F11193" s="8" t="str">
        <f ca="1">IFERROR(__xludf.DUMMYFUNCTION("IF
(
C11194=""фізична особа""
,
VLOOKUP(D11194,IMPORTRANGE(""https://docs.google.com/spreadsheets/d/14Bd19lYaqBhU8_DElYkX7l4wRkHqqCUFNJY4AfY3kHU/edit?usp=sharing  #gid=0"",""фіз особи new!relations_name""),6,FALSE)
,
(IF
(
C11194=""юридична особа""
,
VLOO"&amp;"KUP(D11194,IMPORTRANGE(""https://docs.google.com/spreadsheets/d/14Bd19lYaqBhU8_DElYkX7l4wRkHqqCUFNJY4AfY3kHU/edit?usp=sharing  #gid=0"",""фіз особи new!relations_name_uo""),7,FALSE)
,
)
))"),"ЯШНІКОВ Дмитро Георгієвич")</f>
        <v>ЯШНІКОВ Дмитро Георгієвич</v>
      </c>
      <c r="G11193" s="7" t="s">
        <v>10</v>
      </c>
      <c r="H11193" s="7">
        <v>1515</v>
      </c>
      <c r="I11193" s="8" t="str">
        <f ca="1">IFERROR(__xludf.DUMMYFUNCTION("IF
(
G11194=""фізична особа""
,
VLOOKUP(H11194,IMPORTRANGE(""https://docs.google.com/spreadsheets/d/14Bd19lYaqBhU8_DElYkX7l4wRkHqqCUFNJY4AfY3kHU/edit?usp=sharing  #gid=0"",""фіз особи new!relations_name""),6,FALSE)
,
(IF
(
G11194=""юридична особа""
,
VLOO"&amp;"KUP(H11194,IMPORTRANGE(""https://docs.google.com/spreadsheets/d/14Bd19lYaqBhU8_DElYkX7l4wRkHqqCUFNJY4AfY3kHU/edit?usp=sharing  #gid=0"",""фіз особи new!relations_name_uo""),7,FALSE)
,
)
))"),"ФРОЛОВА Юлія Миколаївна")</f>
        <v>ФРОЛОВА Юлія Миколаївна</v>
      </c>
      <c r="J11193" s="7" t="s">
        <v>23</v>
      </c>
    </row>
    <row r="11194" spans="1:10" ht="13.2">
      <c r="A11194" s="7">
        <v>11193</v>
      </c>
      <c r="B11194" s="7">
        <v>1</v>
      </c>
      <c r="C11194" s="7" t="s">
        <v>10</v>
      </c>
      <c r="D11194" s="7">
        <v>17541</v>
      </c>
      <c r="E11194" s="7" t="s">
        <v>23</v>
      </c>
      <c r="F11194" s="8" t="str">
        <f ca="1">IFERROR(__xludf.DUMMYFUNCTION("IF
(
C11195=""фізична особа""
,
VLOOKUP(D11195,IMPORTRANGE(""https://docs.google.com/spreadsheets/d/14Bd19lYaqBhU8_DElYkX7l4wRkHqqCUFNJY4AfY3kHU/edit?usp=sharing  #gid=0"",""фіз особи new!relations_name""),6,FALSE)
,
(IF
(
C11195=""юридична особа""
,
VLOO"&amp;"KUP(D11195,IMPORTRANGE(""https://docs.google.com/spreadsheets/d/14Bd19lYaqBhU8_DElYkX7l4wRkHqqCUFNJY4AfY3kHU/edit?usp=sharing  #gid=0"",""фіз особи new!relations_name_uo""),7,FALSE)
,
)
))"),"КУДЛИК Олена Олександрівна")</f>
        <v>КУДЛИК Олена Олександрівна</v>
      </c>
      <c r="G11194" s="7" t="s">
        <v>10</v>
      </c>
      <c r="H11194" s="7">
        <v>8473</v>
      </c>
      <c r="I11194" s="8" t="str">
        <f ca="1">IFERROR(__xludf.DUMMYFUNCTION("IF
(
G11195=""фізична особа""
,
VLOOKUP(H11195,IMPORTRANGE(""https://docs.google.com/spreadsheets/d/14Bd19lYaqBhU8_DElYkX7l4wRkHqqCUFNJY4AfY3kHU/edit?usp=sharing  #gid=0"",""фіз особи new!relations_name""),6,FALSE)
,
(IF
(
G11195=""юридична особа""
,
VLOO"&amp;"KUP(H11195,IMPORTRANGE(""https://docs.google.com/spreadsheets/d/14Bd19lYaqBhU8_DElYkX7l4wRkHqqCUFNJY4AfY3kHU/edit?usp=sharing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J11194" s="7" t="s">
        <v>23</v>
      </c>
    </row>
    <row r="11195" spans="1:10" ht="13.2">
      <c r="A11195" s="7">
        <v>11194</v>
      </c>
      <c r="B11195" s="7">
        <v>1</v>
      </c>
      <c r="C11195" s="7" t="s">
        <v>10</v>
      </c>
      <c r="D11195" s="7">
        <v>17542</v>
      </c>
      <c r="E11195" s="7" t="s">
        <v>23</v>
      </c>
      <c r="F11195" s="8" t="str">
        <f ca="1">IFERROR(__xludf.DUMMYFUNCTION("IF
(
C11196=""фізична особа""
,
VLOOKUP(D11196,IMPORTRANGE(""https://docs.google.com/spreadsheets/d/14Bd19lYaqBhU8_DElYkX7l4wRkHqqCUFNJY4AfY3kHU/edit?usp=sharing  #gid=0"",""фіз особи new!relations_name""),6,FALSE)
,
(IF
(
C11196=""юридична особа""
,
VLOO"&amp;"KUP(D11196,IMPORTRANGE(""https://docs.google.com/spreadsheets/d/14Bd19lYaqBhU8_DElYkX7l4wRkHqqCUFNJY4AfY3kHU/edit?usp=sharing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G11195" s="7" t="s">
        <v>10</v>
      </c>
      <c r="H11195" s="7">
        <v>8473</v>
      </c>
      <c r="I11195" s="8" t="str">
        <f ca="1">IFERROR(__xludf.DUMMYFUNCTION("IF
(
G11196=""фізична особа""
,
VLOOKUP(H11196,IMPORTRANGE(""https://docs.google.com/spreadsheets/d/14Bd19lYaqBhU8_DElYkX7l4wRkHqqCUFNJY4AfY3kHU/edit?usp=sharing  #gid=0"",""фіз особи new!relations_name""),6,FALSE)
,
(IF
(
G11196=""юридична особа""
,
VLOO"&amp;"KUP(H11196,IMPORTRANGE(""https://docs.google.com/spreadsheets/d/14Bd19lYaqBhU8_DElYkX7l4wRkHqqCUFNJY4AfY3kHU/edit?usp=sharing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J11195" s="7" t="s">
        <v>23</v>
      </c>
    </row>
    <row r="11196" spans="1:10" ht="13.2">
      <c r="A11196" s="7">
        <v>11195</v>
      </c>
      <c r="B11196" s="7">
        <v>1</v>
      </c>
      <c r="C11196" s="7" t="s">
        <v>10</v>
      </c>
      <c r="D11196" s="7">
        <v>17542</v>
      </c>
      <c r="E11196" s="7" t="s">
        <v>23</v>
      </c>
      <c r="F11196" s="8" t="str">
        <f ca="1">IFERROR(__xludf.DUMMYFUNCTION("IF
(
C11197=""фізична особа""
,
VLOOKUP(D11197,IMPORTRANGE(""https://docs.google.com/spreadsheets/d/14Bd19lYaqBhU8_DElYkX7l4wRkHqqCUFNJY4AfY3kHU/edit?usp=sharing  #gid=0"",""фіз особи new!relations_name""),6,FALSE)
,
(IF
(
C11197=""юридична особа""
,
VLOO"&amp;"KUP(D11197,IMPORTRANGE(""https://docs.google.com/spreadsheets/d/14Bd19lYaqBhU8_DElYkX7l4wRkHqqCUFNJY4AfY3kHU/edit?usp=sharing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G11196" s="7" t="s">
        <v>10</v>
      </c>
      <c r="H11196" s="7">
        <v>17649</v>
      </c>
      <c r="I11196" s="8" t="str">
        <f ca="1">IFERROR(__xludf.DUMMYFUNCTION("IF
(
G11197=""фізична особа""
,
VLOOKUP(H11197,IMPORTRANGE(""https://docs.google.com/spreadsheets/d/14Bd19lYaqBhU8_DElYkX7l4wRkHqqCUFNJY4AfY3kHU/edit?usp=sharing  #gid=0"",""фіз особи new!relations_name""),6,FALSE)
,
(IF
(
G11197=""юридична особа""
,
VLOO"&amp;"KUP(H11197,IMPORTRANGE(""https://docs.google.com/spreadsheets/d/14Bd19lYaqBhU8_DElYkX7l4wRkHqqCUFNJY4AfY3kHU/edit?usp=sharing  #gid=0"",""фіз особи new!relations_name_uo""),7,FALSE)
,
)
))"),"КОНДРАТЮК Олена Володимирівна")</f>
        <v>КОНДРАТЮК Олена Володимирівна</v>
      </c>
      <c r="J11196" s="7" t="s">
        <v>23</v>
      </c>
    </row>
    <row r="11197" spans="1:10" ht="13.2">
      <c r="A11197" s="7">
        <v>11196</v>
      </c>
      <c r="B11197" s="7">
        <v>1</v>
      </c>
      <c r="C11197" s="7" t="s">
        <v>10</v>
      </c>
      <c r="D11197" s="7">
        <v>17545</v>
      </c>
      <c r="E11197" s="7" t="s">
        <v>23</v>
      </c>
      <c r="F11197" s="8" t="str">
        <f ca="1">IFERROR(__xludf.DUMMYFUNCTION("IF
(
C11198=""фізична особа""
,
VLOOKUP(D11198,IMPORTRANGE(""https://docs.google.com/spreadsheets/d/14Bd19lYaqBhU8_DElYkX7l4wRkHqqCUFNJY4AfY3kHU/edit?usp=sharing  #gid=0"",""фіз особи new!relations_name""),6,FALSE)
,
(IF
(
C11198=""юридична особа""
,
VLOO"&amp;"KUP(D11198,IMPORTRANGE(""https://docs.google.com/spreadsheets/d/14Bd19lYaqBhU8_DElYkX7l4wRkHqqCUFNJY4AfY3kHU/edit?usp=sharing  #gid=0"",""фіз особи new!relations_name_uo""),7,FALSE)
,
)
))"),"ПАВЛОВ Антон Олексійович")</f>
        <v>ПАВЛОВ Антон Олексійович</v>
      </c>
      <c r="G11197" s="7" t="s">
        <v>10</v>
      </c>
      <c r="H11197" s="7">
        <v>8473</v>
      </c>
      <c r="I11197" s="8" t="str">
        <f ca="1">IFERROR(__xludf.DUMMYFUNCTION("IF
(
G11198=""фізична особа""
,
VLOOKUP(H11198,IMPORTRANGE(""https://docs.google.com/spreadsheets/d/14Bd19lYaqBhU8_DElYkX7l4wRkHqqCUFNJY4AfY3kHU/edit?usp=sharing  #gid=0"",""фіз особи new!relations_name""),6,FALSE)
,
(IF
(
G11198=""юридична особа""
,
VLOO"&amp;"KUP(H11198,IMPORTRANGE(""https://docs.google.com/spreadsheets/d/14Bd19lYaqBhU8_DElYkX7l4wRkHqqCUFNJY4AfY3kHU/edit?usp=sharing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J11197" s="7" t="s">
        <v>23</v>
      </c>
    </row>
    <row r="11198" spans="1:10" ht="13.2">
      <c r="A11198" s="7">
        <v>11197</v>
      </c>
      <c r="B11198" s="7">
        <v>1</v>
      </c>
      <c r="C11198" s="7" t="s">
        <v>10</v>
      </c>
      <c r="D11198" s="7">
        <v>17545</v>
      </c>
      <c r="E11198" s="7" t="s">
        <v>23</v>
      </c>
      <c r="F11198" s="8" t="str">
        <f ca="1">IFERROR(__xludf.DUMMYFUNCTION("IF
(
C11199=""фізична особа""
,
VLOOKUP(D11199,IMPORTRANGE(""https://docs.google.com/spreadsheets/d/14Bd19lYaqBhU8_DElYkX7l4wRkHqqCUFNJY4AfY3kHU/edit?usp=sharing  #gid=0"",""фіз особи new!relations_name""),6,FALSE)
,
(IF
(
C11199=""юридична особа""
,
VLOO"&amp;"KUP(D11199,IMPORTRANGE(""https://docs.google.com/spreadsheets/d/14Bd19lYaqBhU8_DElYkX7l4wRkHqqCUFNJY4AfY3kHU/edit?usp=sharing  #gid=0"",""фіз особи new!relations_name_uo""),7,FALSE)
,
)
))"),"ПАВЛОВ Антон Олексійович")</f>
        <v>ПАВЛОВ Антон Олексійович</v>
      </c>
      <c r="G11198" s="7" t="s">
        <v>10</v>
      </c>
      <c r="H11198" s="7">
        <v>17649</v>
      </c>
      <c r="I11198" s="8" t="str">
        <f ca="1">IFERROR(__xludf.DUMMYFUNCTION("IF
(
G11199=""фізична особа""
,
VLOOKUP(H11199,IMPORTRANGE(""https://docs.google.com/spreadsheets/d/14Bd19lYaqBhU8_DElYkX7l4wRkHqqCUFNJY4AfY3kHU/edit?usp=sharing  #gid=0"",""фіз особи new!relations_name""),6,FALSE)
,
(IF
(
G11199=""юридична особа""
,
VLOO"&amp;"KUP(H11199,IMPORTRANGE(""https://docs.google.com/spreadsheets/d/14Bd19lYaqBhU8_DElYkX7l4wRkHqqCUFNJY4AfY3kHU/edit?usp=sharing  #gid=0"",""фіз особи new!relations_name_uo""),7,FALSE)
,
)
))"),"КОНДРАТЮК Олена Володимирівна")</f>
        <v>КОНДРАТЮК Олена Володимирівна</v>
      </c>
      <c r="J11198" s="7" t="s">
        <v>23</v>
      </c>
    </row>
    <row r="11199" spans="1:10" ht="13.2">
      <c r="A11199" s="7">
        <v>11198</v>
      </c>
      <c r="B11199" s="7">
        <v>1</v>
      </c>
      <c r="C11199" s="7" t="s">
        <v>10</v>
      </c>
      <c r="D11199" s="7">
        <v>17546</v>
      </c>
      <c r="E11199" s="7" t="s">
        <v>23</v>
      </c>
      <c r="F11199" s="8" t="str">
        <f ca="1">IFERROR(__xludf.DUMMYFUNCTION("IF
(
C11200=""фізична особа""
,
VLOOKUP(D11200,IMPORTRANGE(""https://docs.google.com/spreadsheets/d/14Bd19lYaqBhU8_DElYkX7l4wRkHqqCUFNJY4AfY3kHU/edit?usp=sharing  #gid=0"",""фіз особи new!relations_name""),6,FALSE)
,
(IF
(
C11200=""юридична особа""
,
VLOO"&amp;"KUP(D11200,IMPORTRANGE(""https://docs.google.com/spreadsheets/d/14Bd19lYaqBhU8_DElYkX7l4wRkHqqCUFNJY4AfY3kHU/edit?usp=sharing  #gid=0"",""фіз особи new!relations_name_uo""),7,FALSE)
,
)
))"),"ШОГЕНОВ Аслан Ауєсович")</f>
        <v>ШОГЕНОВ Аслан Ауєсович</v>
      </c>
      <c r="G11199" s="7" t="s">
        <v>10</v>
      </c>
      <c r="H11199" s="7">
        <v>8473</v>
      </c>
      <c r="I11199" s="8" t="str">
        <f ca="1">IFERROR(__xludf.DUMMYFUNCTION("IF
(
G11200=""фізична особа""
,
VLOOKUP(H11200,IMPORTRANGE(""https://docs.google.com/spreadsheets/d/14Bd19lYaqBhU8_DElYkX7l4wRkHqqCUFNJY4AfY3kHU/edit?usp=sharing  #gid=0"",""фіз особи new!relations_name""),6,FALSE)
,
(IF
(
G11200=""юридична особа""
,
VLOO"&amp;"KUP(H11200,IMPORTRANGE(""https://docs.google.com/spreadsheets/d/14Bd19lYaqBhU8_DElYkX7l4wRkHqqCUFNJY4AfY3kHU/edit?usp=sharing  #gid=0"",""фіз особи new!relations_name_uo""),7,FALSE)
,
)
))"),"УШАКОВА Тетяна Василівна")</f>
        <v>УШАКОВА Тетяна Василівна</v>
      </c>
      <c r="J11199" s="7" t="s">
        <v>23</v>
      </c>
    </row>
    <row r="11200" spans="1:10" ht="13.2">
      <c r="A11200" s="7">
        <v>11199</v>
      </c>
      <c r="B11200" s="7">
        <v>1</v>
      </c>
      <c r="C11200" s="7" t="s">
        <v>10</v>
      </c>
      <c r="D11200" s="7">
        <v>17576</v>
      </c>
      <c r="E11200" s="7" t="s">
        <v>17</v>
      </c>
      <c r="F11200" s="8" t="str">
        <f ca="1">IFERROR(__xludf.DUMMYFUNCTION("IF
(
C11201=""фізична особа""
,
VLOOKUP(D11201,IMPORTRANGE(""https://docs.google.com/spreadsheets/d/14Bd19lYaqBhU8_DElYkX7l4wRkHqqCUFNJY4AfY3kHU/edit?usp=sharing  #gid=0"",""фіз особи new!relations_name""),6,FALSE)
,
(IF
(
C11201=""юридична особа""
,
VLOO"&amp;"KUP(D11201,IMPORTRANGE(""https://docs.google.com/spreadsheets/d/14Bd19lYaqBhU8_DElYkX7l4wRkHqqCUFNJY4AfY3kHU/edit?usp=sharing  #gid=0"",""фіз особи new!relations_name_uo""),7,FALSE)
,
)
))"),"КОСОВСЬКИЙ Павло Іванович")</f>
        <v>КОСОВСЬКИЙ Павло Іванович</v>
      </c>
      <c r="G11200" s="7" t="s">
        <v>10</v>
      </c>
      <c r="H11200" s="7">
        <v>8282</v>
      </c>
      <c r="I11200" s="8" t="str">
        <f ca="1">IFERROR(__xludf.DUMMYFUNCTION("IF
(
G11201=""фізична особа""
,
VLOOKUP(H11201,IMPORTRANGE(""https://docs.google.com/spreadsheets/d/14Bd19lYaqBhU8_DElYkX7l4wRkHqqCUFNJY4AfY3kHU/edit?usp=sharing  #gid=0"",""фіз особи new!relations_name""),6,FALSE)
,
(IF
(
G11201=""юридична особа""
,
VLOO"&amp;"KUP(H11201,IMPORTRANGE(""https://docs.google.com/spreadsheets/d/14Bd19lYaqBhU8_DElYkX7l4wRkHqqCUFNJY4AfY3kHU/edit?usp=sharing  #gid=0"",""фіз особи new!relations_name_uo""),7,FALSE)
,
)
))"),"КОСОВСЬКА Тетяна Петрівна")</f>
        <v>КОСОВСЬКА Тетяна Петрівна</v>
      </c>
      <c r="J11200" s="7" t="s">
        <v>21</v>
      </c>
    </row>
    <row r="11201" spans="1:10" ht="13.2">
      <c r="A11201" s="7">
        <v>11200</v>
      </c>
      <c r="B11201" s="7">
        <v>1</v>
      </c>
      <c r="C11201" s="7" t="s">
        <v>10</v>
      </c>
      <c r="D11201" s="7">
        <v>17576</v>
      </c>
      <c r="E11201" s="7" t="s">
        <v>18</v>
      </c>
      <c r="F11201" s="8" t="str">
        <f ca="1">IFERROR(__xludf.DUMMYFUNCTION("IF
(
C11202=""фізична особа""
,
VLOOKUP(D11202,IMPORTRANGE(""https://docs.google.com/spreadsheets/d/14Bd19lYaqBhU8_DElYkX7l4wRkHqqCUFNJY4AfY3kHU/edit?usp=sharing  #gid=0"",""фіз особи new!relations_name""),6,FALSE)
,
(IF
(
C11202=""юридична особа""
,
VLOO"&amp;"KUP(D11202,IMPORTRANGE(""https://docs.google.com/spreadsheets/d/14Bd19lYaqBhU8_DElYkX7l4wRkHqqCUFNJY4AfY3kHU/edit?usp=sharing  #gid=0"",""фіз особи new!relations_name_uo""),7,FALSE)
,
)
))"),"КОСОВСЬКИЙ Павло Іванович")</f>
        <v>КОСОВСЬКИЙ Павло Іванович</v>
      </c>
      <c r="G11201" s="7" t="s">
        <v>10</v>
      </c>
      <c r="H11201" s="7">
        <v>17577</v>
      </c>
      <c r="I11201" s="8" t="str">
        <f ca="1">IFERROR(__xludf.DUMMYFUNCTION("IF
(
G11202=""фізична особа""
,
VLOOKUP(H11202,IMPORTRANGE(""https://docs.google.com/spreadsheets/d/14Bd19lYaqBhU8_DElYkX7l4wRkHqqCUFNJY4AfY3kHU/edit?usp=sharing  #gid=0"",""фіз особи new!relations_name""),6,FALSE)
,
(IF
(
G11202=""юридична особа""
,
VLOO"&amp;"KUP(H11202,IMPORTRANGE(""https://docs.google.com/spreadsheets/d/14Bd19lYaqBhU8_DElYkX7l4wRkHqqCUFNJY4AfY3kHU/edit?usp=sharing  #gid=0"",""фіз особи new!relations_name_uo""),7,FALSE)
,
)
))"),"КОСОВСЬКИЙ Олексій Іванович")</f>
        <v>КОСОВСЬКИЙ Олексій Іванович</v>
      </c>
      <c r="J11201" s="7" t="s">
        <v>18</v>
      </c>
    </row>
    <row r="11202" spans="1:10" ht="13.2">
      <c r="A11202" s="7">
        <v>11201</v>
      </c>
      <c r="B11202" s="7">
        <v>1</v>
      </c>
      <c r="C11202" s="7" t="s">
        <v>10</v>
      </c>
      <c r="D11202" s="7">
        <v>17577</v>
      </c>
      <c r="E11202" s="7" t="s">
        <v>17</v>
      </c>
      <c r="F11202" s="8" t="str">
        <f ca="1">IFERROR(__xludf.DUMMYFUNCTION("IF
(
C11203=""фізична особа""
,
VLOOKUP(D11203,IMPORTRANGE(""https://docs.google.com/spreadsheets/d/14Bd19lYaqBhU8_DElYkX7l4wRkHqqCUFNJY4AfY3kHU/edit?usp=sharing  #gid=0"",""фіз особи new!relations_name""),6,FALSE)
,
(IF
(
C11203=""юридична особа""
,
VLOO"&amp;"KUP(D11203,IMPORTRANGE(""https://docs.google.com/spreadsheets/d/14Bd19lYaqBhU8_DElYkX7l4wRkHqqCUFNJY4AfY3kHU/edit?usp=sharing  #gid=0"",""фіз особи new!relations_name_uo""),7,FALSE)
,
)
))"),"КОСОВСЬКИЙ Олексій Іванович")</f>
        <v>КОСОВСЬКИЙ Олексій Іванович</v>
      </c>
      <c r="G11202" s="7" t="s">
        <v>10</v>
      </c>
      <c r="H11202" s="7">
        <v>8282</v>
      </c>
      <c r="I11202" s="8" t="str">
        <f ca="1">IFERROR(__xludf.DUMMYFUNCTION("IF
(
G11203=""фізична особа""
,
VLOOKUP(H11203,IMPORTRANGE(""https://docs.google.com/spreadsheets/d/14Bd19lYaqBhU8_DElYkX7l4wRkHqqCUFNJY4AfY3kHU/edit?usp=sharing  #gid=0"",""фіз особи new!relations_name""),6,FALSE)
,
(IF
(
G11203=""юридична особа""
,
VLOO"&amp;"KUP(H11203,IMPORTRANGE(""https://docs.google.com/spreadsheets/d/14Bd19lYaqBhU8_DElYkX7l4wRkHqqCUFNJY4AfY3kHU/edit?usp=sharing  #gid=0"",""фіз особи new!relations_name_uo""),7,FALSE)
,
)
))"),"КОСОВСЬКА Тетяна Петрівна")</f>
        <v>КОСОВСЬКА Тетяна Петрівна</v>
      </c>
      <c r="J11202" s="7" t="s">
        <v>21</v>
      </c>
    </row>
    <row r="11203" spans="1:10" ht="13.2">
      <c r="A11203" s="7">
        <v>11202</v>
      </c>
      <c r="B11203" s="7">
        <v>1</v>
      </c>
      <c r="C11203" s="7" t="s">
        <v>10</v>
      </c>
      <c r="D11203" s="7">
        <v>17577</v>
      </c>
      <c r="E11203" s="7" t="s">
        <v>18</v>
      </c>
      <c r="F11203" s="8" t="str">
        <f ca="1">IFERROR(__xludf.DUMMYFUNCTION("IF
(
C11204=""фізична особа""
,
VLOOKUP(D11204,IMPORTRANGE(""https://docs.google.com/spreadsheets/d/14Bd19lYaqBhU8_DElYkX7l4wRkHqqCUFNJY4AfY3kHU/edit?usp=sharing  #gid=0"",""фіз особи new!relations_name""),6,FALSE)
,
(IF
(
C11204=""юридична особа""
,
VLOO"&amp;"KUP(D11204,IMPORTRANGE(""https://docs.google.com/spreadsheets/d/14Bd19lYaqBhU8_DElYkX7l4wRkHqqCUFNJY4AfY3kHU/edit?usp=sharing  #gid=0"",""фіз особи new!relations_name_uo""),7,FALSE)
,
)
))"),"КОСОВСЬКИЙ Олексій Іванович")</f>
        <v>КОСОВСЬКИЙ Олексій Іванович</v>
      </c>
      <c r="G11203" s="7" t="s">
        <v>10</v>
      </c>
      <c r="H11203" s="7">
        <v>17576</v>
      </c>
      <c r="I11203" s="8" t="str">
        <f ca="1">IFERROR(__xludf.DUMMYFUNCTION("IF
(
G11204=""фізична особа""
,
VLOOKUP(H11204,IMPORTRANGE(""https://docs.google.com/spreadsheets/d/14Bd19lYaqBhU8_DElYkX7l4wRkHqqCUFNJY4AfY3kHU/edit?usp=sharing  #gid=0"",""фіз особи new!relations_name""),6,FALSE)
,
(IF
(
G11204=""юридична особа""
,
VLOO"&amp;"KUP(H11204,IMPORTRANGE(""https://docs.google.com/spreadsheets/d/14Bd19lYaqBhU8_DElYkX7l4wRkHqqCUFNJY4AfY3kHU/edit?usp=sharing  #gid=0"",""фіз особи new!relations_name_uo""),7,FALSE)
,
)
))"),"КОСОВСЬКИЙ Павло Іванович")</f>
        <v>КОСОВСЬКИЙ Павло Іванович</v>
      </c>
      <c r="J11203" s="7" t="s">
        <v>18</v>
      </c>
    </row>
    <row r="11204" spans="1:10" ht="13.2">
      <c r="A11204" s="7">
        <v>11203</v>
      </c>
      <c r="B11204" s="7">
        <v>1</v>
      </c>
      <c r="C11204" s="7" t="s">
        <v>10</v>
      </c>
      <c r="D11204" s="7">
        <v>17584</v>
      </c>
      <c r="E11204" s="7" t="s">
        <v>23</v>
      </c>
      <c r="F11204" s="8" t="str">
        <f ca="1">IFERROR(__xludf.DUMMYFUNCTION("IF
(
C11205=""фізична особа""
,
VLOOKUP(D11205,IMPORTRANGE(""https://docs.google.com/spreadsheets/d/14Bd19lYaqBhU8_DElYkX7l4wRkHqqCUFNJY4AfY3kHU/edit?usp=sharing  #gid=0"",""фіз особи new!relations_name""),6,FALSE)
,
(IF
(
C11205=""юридична особа""
,
VLOO"&amp;"KUP(D11205,IMPORTRANGE(""https://docs.google.com/spreadsheets/d/14Bd19lYaqBhU8_DElYkX7l4wRkHqqCUFNJY4AfY3kHU/edit?usp=sharing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4" s="7" t="s">
        <v>10</v>
      </c>
      <c r="H11204" s="7">
        <v>23628</v>
      </c>
      <c r="I11204" s="8" t="str">
        <f ca="1">IFERROR(__xludf.DUMMYFUNCTION("IF
(
G11205=""фізична особа""
,
VLOOKUP(H11205,IMPORTRANGE(""https://docs.google.com/spreadsheets/d/14Bd19lYaqBhU8_DElYkX7l4wRkHqqCUFNJY4AfY3kHU/edit?usp=sharing  #gid=0"",""фіз особи new!relations_name""),6,FALSE)
,
(IF
(
G11205=""юридична особа""
,
VLOO"&amp;"KUP(H11205,IMPORTRANGE(""https://docs.google.com/spreadsheets/d/14Bd19lYaqBhU8_DElYkX7l4wRkHqqCUFNJY4AfY3kHU/edit?usp=sharing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04" s="7" t="s">
        <v>23</v>
      </c>
    </row>
    <row r="11205" spans="1:10" ht="13.2">
      <c r="A11205" s="7">
        <v>11204</v>
      </c>
      <c r="B11205" s="7">
        <v>1</v>
      </c>
      <c r="C11205" s="7" t="s">
        <v>10</v>
      </c>
      <c r="D11205" s="7">
        <v>17584</v>
      </c>
      <c r="E11205" s="7" t="s">
        <v>23</v>
      </c>
      <c r="F11205" s="8" t="str">
        <f ca="1">IFERROR(__xludf.DUMMYFUNCTION("IF
(
C11206=""фізична особа""
,
VLOOKUP(D11206,IMPORTRANGE(""https://docs.google.com/spreadsheets/d/14Bd19lYaqBhU8_DElYkX7l4wRkHqqCUFNJY4AfY3kHU/edit?usp=sharing  #gid=0"",""фіз особи new!relations_name""),6,FALSE)
,
(IF
(
C11206=""юридична особа""
,
VLOO"&amp;"KUP(D11206,IMPORTRANGE(""https://docs.google.com/spreadsheets/d/14Bd19lYaqBhU8_DElYkX7l4wRkHqqCUFNJY4AfY3kHU/edit?usp=sharing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5" s="7" t="s">
        <v>10</v>
      </c>
      <c r="H11205" s="7">
        <v>17585</v>
      </c>
      <c r="I11205" s="8" t="str">
        <f ca="1">IFERROR(__xludf.DUMMYFUNCTION("IF
(
G11206=""фізична особа""
,
VLOOKUP(H11206,IMPORTRANGE(""https://docs.google.com/spreadsheets/d/14Bd19lYaqBhU8_DElYkX7l4wRkHqqCUFNJY4AfY3kHU/edit?usp=sharing  #gid=0"",""фіз особи new!relations_name""),6,FALSE)
,
(IF
(
G11206=""юридична особа""
,
VLOO"&amp;"KUP(H11206,IMPORTRANGE(""https://docs.google.com/spreadsheets/d/14Bd19lYaqBhU8_DElYkX7l4wRkHqqCUFNJY4AfY3kHU/edit?usp=sharing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05" s="7" t="s">
        <v>23</v>
      </c>
    </row>
    <row r="11206" spans="1:10" ht="13.2">
      <c r="A11206" s="7">
        <v>11205</v>
      </c>
      <c r="B11206" s="7">
        <v>1</v>
      </c>
      <c r="C11206" s="7" t="s">
        <v>10</v>
      </c>
      <c r="D11206" s="7">
        <v>17584</v>
      </c>
      <c r="E11206" s="7" t="s">
        <v>23</v>
      </c>
      <c r="F11206" s="8" t="str">
        <f ca="1">IFERROR(__xludf.DUMMYFUNCTION("IF
(
C11207=""фізична особа""
,
VLOOKUP(D11207,IMPORTRANGE(""https://docs.google.com/spreadsheets/d/14Bd19lYaqBhU8_DElYkX7l4wRkHqqCUFNJY4AfY3kHU/edit?usp=sharing  #gid=0"",""фіз особи new!relations_name""),6,FALSE)
,
(IF
(
C11207=""юридична особа""
,
VLOO"&amp;"KUP(D11207,IMPORTRANGE(""https://docs.google.com/spreadsheets/d/14Bd19lYaqBhU8_DElYkX7l4wRkHqqCUFNJY4AfY3kHU/edit?usp=sharing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6" s="7" t="s">
        <v>10</v>
      </c>
      <c r="H11206" s="7">
        <v>17586</v>
      </c>
      <c r="I11206" s="8" t="str">
        <f ca="1">IFERROR(__xludf.DUMMYFUNCTION("IF
(
G11207=""фізична особа""
,
VLOOKUP(H11207,IMPORTRANGE(""https://docs.google.com/spreadsheets/d/14Bd19lYaqBhU8_DElYkX7l4wRkHqqCUFNJY4AfY3kHU/edit?usp=sharing  #gid=0"",""фіз особи new!relations_name""),6,FALSE)
,
(IF
(
G11207=""юридична особа""
,
VLOO"&amp;"KUP(H11207,IMPORTRANGE(""https://docs.google.com/spreadsheets/d/14Bd19lYaqBhU8_DElYkX7l4wRkHqqCUFNJY4AfY3kHU/edit?usp=sharing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06" s="7" t="s">
        <v>23</v>
      </c>
    </row>
    <row r="11207" spans="1:10" ht="13.2">
      <c r="A11207" s="7">
        <v>11206</v>
      </c>
      <c r="B11207" s="7">
        <v>1</v>
      </c>
      <c r="C11207" s="7" t="s">
        <v>10</v>
      </c>
      <c r="D11207" s="7">
        <v>17584</v>
      </c>
      <c r="E11207" s="7" t="s">
        <v>23</v>
      </c>
      <c r="F11207" s="8" t="str">
        <f ca="1">IFERROR(__xludf.DUMMYFUNCTION("IF
(
C11208=""фізична особа""
,
VLOOKUP(D11208,IMPORTRANGE(""https://docs.google.com/spreadsheets/d/14Bd19lYaqBhU8_DElYkX7l4wRkHqqCUFNJY4AfY3kHU/edit?usp=sharing  #gid=0"",""фіз особи new!relations_name""),6,FALSE)
,
(IF
(
C11208=""юридична особа""
,
VLOO"&amp;"KUP(D11208,IMPORTRANGE(""https://docs.google.com/spreadsheets/d/14Bd19lYaqBhU8_DElYkX7l4wRkHqqCUFNJY4AfY3kHU/edit?usp=sharing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7" s="7" t="s">
        <v>10</v>
      </c>
      <c r="H11207" s="7">
        <v>17587</v>
      </c>
      <c r="I11207" s="8" t="str">
        <f ca="1">IFERROR(__xludf.DUMMYFUNCTION("IF
(
G11208=""фізична особа""
,
VLOOKUP(H11208,IMPORTRANGE(""https://docs.google.com/spreadsheets/d/14Bd19lYaqBhU8_DElYkX7l4wRkHqqCUFNJY4AfY3kHU/edit?usp=sharing  #gid=0"",""фіз особи new!relations_name""),6,FALSE)
,
(IF
(
G11208=""юридична особа""
,
VLOO"&amp;"KUP(H11208,IMPORTRANGE(""https://docs.google.com/spreadsheets/d/14Bd19lYaqBhU8_DElYkX7l4wRkHqqCUFNJY4AfY3kHU/edit?usp=sharing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07" s="7" t="s">
        <v>23</v>
      </c>
    </row>
    <row r="11208" spans="1:10" ht="13.2">
      <c r="A11208" s="7">
        <v>11207</v>
      </c>
      <c r="B11208" s="7">
        <v>1</v>
      </c>
      <c r="C11208" s="7" t="s">
        <v>10</v>
      </c>
      <c r="D11208" s="7">
        <v>17584</v>
      </c>
      <c r="E11208" s="7" t="s">
        <v>23</v>
      </c>
      <c r="F11208" s="8" t="str">
        <f ca="1">IFERROR(__xludf.DUMMYFUNCTION("IF
(
C11209=""фізична особа""
,
VLOOKUP(D11209,IMPORTRANGE(""https://docs.google.com/spreadsheets/d/14Bd19lYaqBhU8_DElYkX7l4wRkHqqCUFNJY4AfY3kHU/edit?usp=sharing  #gid=0"",""фіз особи new!relations_name""),6,FALSE)
,
(IF
(
C11209=""юридична особа""
,
VLOO"&amp;"KUP(D11209,IMPORTRANGE(""https://docs.google.com/spreadsheets/d/14Bd19lYaqBhU8_DElYkX7l4wRkHqqCUFNJY4AfY3kHU/edit?usp=sharing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8" s="7" t="s">
        <v>10</v>
      </c>
      <c r="H11208" s="7">
        <v>17588</v>
      </c>
      <c r="I11208" s="8" t="str">
        <f ca="1">IFERROR(__xludf.DUMMYFUNCTION("IF
(
G11209=""фізична особа""
,
VLOOKUP(H11209,IMPORTRANGE(""https://docs.google.com/spreadsheets/d/14Bd19lYaqBhU8_DElYkX7l4wRkHqqCUFNJY4AfY3kHU/edit?usp=sharing  #gid=0"",""фіз особи new!relations_name""),6,FALSE)
,
(IF
(
G11209=""юридична особа""
,
VLOO"&amp;"KUP(H11209,IMPORTRANGE(""https://docs.google.com/spreadsheets/d/14Bd19lYaqBhU8_DElYkX7l4wRkHqqCUFNJY4AfY3kHU/edit?usp=sharing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08" s="7" t="s">
        <v>23</v>
      </c>
    </row>
    <row r="11209" spans="1:10" ht="13.2">
      <c r="A11209" s="7">
        <v>11208</v>
      </c>
      <c r="B11209" s="7">
        <v>1</v>
      </c>
      <c r="C11209" s="7" t="s">
        <v>10</v>
      </c>
      <c r="D11209" s="7">
        <v>17584</v>
      </c>
      <c r="E11209" s="7" t="s">
        <v>23</v>
      </c>
      <c r="F11209" s="8" t="str">
        <f ca="1">IFERROR(__xludf.DUMMYFUNCTION("IF
(
C11210=""фізична особа""
,
VLOOKUP(D11210,IMPORTRANGE(""https://docs.google.com/spreadsheets/d/14Bd19lYaqBhU8_DElYkX7l4wRkHqqCUFNJY4AfY3kHU/edit?usp=sharing  #gid=0"",""фіз особи new!relations_name""),6,FALSE)
,
(IF
(
C11210=""юридична особа""
,
VLOO"&amp;"KUP(D11210,IMPORTRANGE(""https://docs.google.com/spreadsheets/d/14Bd19lYaqBhU8_DElYkX7l4wRkHqqCUFNJY4AfY3kHU/edit?usp=sharing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09" s="7" t="s">
        <v>10</v>
      </c>
      <c r="H11209" s="7">
        <v>17589</v>
      </c>
      <c r="I11209" s="8" t="str">
        <f ca="1">IFERROR(__xludf.DUMMYFUNCTION("IF
(
G11210=""фізична особа""
,
VLOOKUP(H11210,IMPORTRANGE(""https://docs.google.com/spreadsheets/d/14Bd19lYaqBhU8_DElYkX7l4wRkHqqCUFNJY4AfY3kHU/edit?usp=sharing  #gid=0"",""фіз особи new!relations_name""),6,FALSE)
,
(IF
(
G11210=""юридична особа""
,
VLOO"&amp;"KUP(H11210,IMPORTRANGE(""https://docs.google.com/spreadsheets/d/14Bd19lYaqBhU8_DElYkX7l4wRkHqqCUFNJY4AfY3kHU/edit?usp=sharing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09" s="7" t="s">
        <v>23</v>
      </c>
    </row>
    <row r="11210" spans="1:10" ht="13.2">
      <c r="A11210" s="7">
        <v>11209</v>
      </c>
      <c r="B11210" s="7">
        <v>1</v>
      </c>
      <c r="C11210" s="7" t="s">
        <v>10</v>
      </c>
      <c r="D11210" s="7">
        <v>17584</v>
      </c>
      <c r="E11210" s="7" t="s">
        <v>23</v>
      </c>
      <c r="F11210" s="8" t="str">
        <f ca="1">IFERROR(__xludf.DUMMYFUNCTION("IF
(
C11211=""фізична особа""
,
VLOOKUP(D11211,IMPORTRANGE(""https://docs.google.com/spreadsheets/d/14Bd19lYaqBhU8_DElYkX7l4wRkHqqCUFNJY4AfY3kHU/edit?usp=sharing  #gid=0"",""фіз особи new!relations_name""),6,FALSE)
,
(IF
(
C11211=""юридична особа""
,
VLOO"&amp;"KUP(D11211,IMPORTRANGE(""https://docs.google.com/spreadsheets/d/14Bd19lYaqBhU8_DElYkX7l4wRkHqqCUFNJY4AfY3kHU/edit?usp=sharing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10" s="7" t="s">
        <v>10</v>
      </c>
      <c r="H11210" s="7">
        <v>17590</v>
      </c>
      <c r="I11210" s="8" t="str">
        <f ca="1">IFERROR(__xludf.DUMMYFUNCTION("IF
(
G11211=""фізична особа""
,
VLOOKUP(H11211,IMPORTRANGE(""https://docs.google.com/spreadsheets/d/14Bd19lYaqBhU8_DElYkX7l4wRkHqqCUFNJY4AfY3kHU/edit?usp=sharing  #gid=0"",""фіз особи new!relations_name""),6,FALSE)
,
(IF
(
G11211=""юридична особа""
,
VLOO"&amp;"KUP(H11211,IMPORTRANGE(""https://docs.google.com/spreadsheets/d/14Bd19lYaqBhU8_DElYkX7l4wRkHqqCUFNJY4AfY3kHU/edit?usp=sharing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10" s="7" t="s">
        <v>23</v>
      </c>
    </row>
    <row r="11211" spans="1:10" ht="13.2">
      <c r="A11211" s="7">
        <v>11210</v>
      </c>
      <c r="B11211" s="7">
        <v>1</v>
      </c>
      <c r="C11211" s="7" t="s">
        <v>10</v>
      </c>
      <c r="D11211" s="7">
        <v>17584</v>
      </c>
      <c r="E11211" s="7" t="s">
        <v>23</v>
      </c>
      <c r="F11211" s="8" t="str">
        <f ca="1">IFERROR(__xludf.DUMMYFUNCTION("IF
(
C11212=""фізична особа""
,
VLOOKUP(D11212,IMPORTRANGE(""https://docs.google.com/spreadsheets/d/14Bd19lYaqBhU8_DElYkX7l4wRkHqqCUFNJY4AfY3kHU/edit?usp=sharing  #gid=0"",""фіз особи new!relations_name""),6,FALSE)
,
(IF
(
C11212=""юридична особа""
,
VLOO"&amp;"KUP(D11212,IMPORTRANGE(""https://docs.google.com/spreadsheets/d/14Bd19lYaqBhU8_DElYkX7l4wRkHqqCUFNJY4AfY3kHU/edit?usp=sharing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11" s="7" t="s">
        <v>10</v>
      </c>
      <c r="H11211" s="7">
        <v>17591</v>
      </c>
      <c r="I11211" s="8" t="str">
        <f ca="1">IFERROR(__xludf.DUMMYFUNCTION("IF
(
G11212=""фізична особа""
,
VLOOKUP(H11212,IMPORTRANGE(""https://docs.google.com/spreadsheets/d/14Bd19lYaqBhU8_DElYkX7l4wRkHqqCUFNJY4AfY3kHU/edit?usp=sharing  #gid=0"",""фіз особи new!relations_name""),6,FALSE)
,
(IF
(
G11212=""юридична особа""
,
VLOO"&amp;"KUP(H11212,IMPORTRANGE(""https://docs.google.com/spreadsheets/d/14Bd19lYaqBhU8_DElYkX7l4wRkHqqCUFNJY4AfY3kHU/edit?usp=sharing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11" s="7" t="s">
        <v>23</v>
      </c>
    </row>
    <row r="11212" spans="1:10" ht="13.2">
      <c r="A11212" s="7">
        <v>11211</v>
      </c>
      <c r="B11212" s="7">
        <v>1</v>
      </c>
      <c r="C11212" s="7" t="s">
        <v>10</v>
      </c>
      <c r="D11212" s="7">
        <v>17584</v>
      </c>
      <c r="E11212" s="7" t="s">
        <v>23</v>
      </c>
      <c r="F11212" s="8" t="str">
        <f ca="1">IFERROR(__xludf.DUMMYFUNCTION("IF
(
C11213=""фізична особа""
,
VLOOKUP(D11213,IMPORTRANGE(""https://docs.google.com/spreadsheets/d/14Bd19lYaqBhU8_DElYkX7l4wRkHqqCUFNJY4AfY3kHU/edit?usp=sharing  #gid=0"",""фіз особи new!relations_name""),6,FALSE)
,
(IF
(
C11213=""юридична особа""
,
VLOO"&amp;"KUP(D11213,IMPORTRANGE(""https://docs.google.com/spreadsheets/d/14Bd19lYaqBhU8_DElYkX7l4wRkHqqCUFNJY4AfY3kHU/edit?usp=sharing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G11212" s="7" t="s">
        <v>10</v>
      </c>
      <c r="H11212" s="7">
        <v>17592</v>
      </c>
      <c r="I11212" s="8" t="str">
        <f ca="1">IFERROR(__xludf.DUMMYFUNCTION("IF
(
G11213=""фізична особа""
,
VLOOKUP(H11213,IMPORTRANGE(""https://docs.google.com/spreadsheets/d/14Bd19lYaqBhU8_DElYkX7l4wRkHqqCUFNJY4AfY3kHU/edit?usp=sharing  #gid=0"",""фіз особи new!relations_name""),6,FALSE)
,
(IF
(
G11213=""юридична особа""
,
VLOO"&amp;"KUP(H11213,IMPORTRANGE(""https://docs.google.com/spreadsheets/d/14Bd19lYaqBhU8_DElYkX7l4wRkHqqCUFNJY4AfY3kHU/edit?usp=sharing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12" s="7" t="s">
        <v>23</v>
      </c>
    </row>
    <row r="11213" spans="1:10" ht="13.2">
      <c r="A11213" s="7">
        <v>11212</v>
      </c>
      <c r="B11213" s="7">
        <v>1</v>
      </c>
      <c r="C11213" s="7" t="s">
        <v>10</v>
      </c>
      <c r="D11213" s="7">
        <v>17585</v>
      </c>
      <c r="E11213" s="7" t="s">
        <v>23</v>
      </c>
      <c r="F11213" s="8" t="str">
        <f ca="1">IFERROR(__xludf.DUMMYFUNCTION("IF
(
C11214=""фізична особа""
,
VLOOKUP(D11214,IMPORTRANGE(""https://docs.google.com/spreadsheets/d/14Bd19lYaqBhU8_DElYkX7l4wRkHqqCUFNJY4AfY3kHU/edit?usp=sharing  #gid=0"",""фіз особи new!relations_name""),6,FALSE)
,
(IF
(
C11214=""юридична особа""
,
VLOO"&amp;"KUP(D11214,IMPORTRANGE(""https://docs.google.com/spreadsheets/d/14Bd19lYaqBhU8_DElYkX7l4wRkHqqCUFNJY4AfY3kHU/edit?usp=sharing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3" s="7" t="s">
        <v>10</v>
      </c>
      <c r="H11213" s="7">
        <v>23628</v>
      </c>
      <c r="I11213" s="8" t="str">
        <f ca="1">IFERROR(__xludf.DUMMYFUNCTION("IF
(
G11214=""фізична особа""
,
VLOOKUP(H11214,IMPORTRANGE(""https://docs.google.com/spreadsheets/d/14Bd19lYaqBhU8_DElYkX7l4wRkHqqCUFNJY4AfY3kHU/edit?usp=sharing  #gid=0"",""фіз особи new!relations_name""),6,FALSE)
,
(IF
(
G11214=""юридична особа""
,
VLOO"&amp;"KUP(H11214,IMPORTRANGE(""https://docs.google.com/spreadsheets/d/14Bd19lYaqBhU8_DElYkX7l4wRkHqqCUFNJY4AfY3kHU/edit?usp=sharing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13" s="7" t="s">
        <v>23</v>
      </c>
    </row>
    <row r="11214" spans="1:10" ht="13.2">
      <c r="A11214" s="7">
        <v>11213</v>
      </c>
      <c r="B11214" s="7">
        <v>1</v>
      </c>
      <c r="C11214" s="7" t="s">
        <v>10</v>
      </c>
      <c r="D11214" s="7">
        <v>17585</v>
      </c>
      <c r="E11214" s="7" t="s">
        <v>23</v>
      </c>
      <c r="F11214" s="8" t="str">
        <f ca="1">IFERROR(__xludf.DUMMYFUNCTION("IF
(
C11215=""фізична особа""
,
VLOOKUP(D11215,IMPORTRANGE(""https://docs.google.com/spreadsheets/d/14Bd19lYaqBhU8_DElYkX7l4wRkHqqCUFNJY4AfY3kHU/edit?usp=sharing  #gid=0"",""фіз особи new!relations_name""),6,FALSE)
,
(IF
(
C11215=""юридична особа""
,
VLOO"&amp;"KUP(D11215,IMPORTRANGE(""https://docs.google.com/spreadsheets/d/14Bd19lYaqBhU8_DElYkX7l4wRkHqqCUFNJY4AfY3kHU/edit?usp=sharing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4" s="7" t="s">
        <v>10</v>
      </c>
      <c r="H11214" s="7">
        <v>17584</v>
      </c>
      <c r="I11214" s="8" t="str">
        <f ca="1">IFERROR(__xludf.DUMMYFUNCTION("IF
(
G11215=""фізична особа""
,
VLOOKUP(H11215,IMPORTRANGE(""https://docs.google.com/spreadsheets/d/14Bd19lYaqBhU8_DElYkX7l4wRkHqqCUFNJY4AfY3kHU/edit?usp=sharing  #gid=0"",""фіз особи new!relations_name""),6,FALSE)
,
(IF
(
G11215=""юридична особа""
,
VLOO"&amp;"KUP(H11215,IMPORTRANGE(""https://docs.google.com/spreadsheets/d/14Bd19lYaqBhU8_DElYkX7l4wRkHqqCUFNJY4AfY3kHU/edit?usp=sharing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14" s="7" t="s">
        <v>23</v>
      </c>
    </row>
    <row r="11215" spans="1:10" ht="13.2">
      <c r="A11215" s="7">
        <v>11214</v>
      </c>
      <c r="B11215" s="7">
        <v>1</v>
      </c>
      <c r="C11215" s="7" t="s">
        <v>10</v>
      </c>
      <c r="D11215" s="7">
        <v>17585</v>
      </c>
      <c r="E11215" s="7" t="s">
        <v>23</v>
      </c>
      <c r="F11215" s="8" t="str">
        <f ca="1">IFERROR(__xludf.DUMMYFUNCTION("IF
(
C11216=""фізична особа""
,
VLOOKUP(D11216,IMPORTRANGE(""https://docs.google.com/spreadsheets/d/14Bd19lYaqBhU8_DElYkX7l4wRkHqqCUFNJY4AfY3kHU/edit?usp=sharing  #gid=0"",""фіз особи new!relations_name""),6,FALSE)
,
(IF
(
C11216=""юридична особа""
,
VLOO"&amp;"KUP(D11216,IMPORTRANGE(""https://docs.google.com/spreadsheets/d/14Bd19lYaqBhU8_DElYkX7l4wRkHqqCUFNJY4AfY3kHU/edit?usp=sharing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5" s="7" t="s">
        <v>10</v>
      </c>
      <c r="H11215" s="7">
        <v>17586</v>
      </c>
      <c r="I11215" s="8" t="str">
        <f ca="1">IFERROR(__xludf.DUMMYFUNCTION("IF
(
G11216=""фізична особа""
,
VLOOKUP(H11216,IMPORTRANGE(""https://docs.google.com/spreadsheets/d/14Bd19lYaqBhU8_DElYkX7l4wRkHqqCUFNJY4AfY3kHU/edit?usp=sharing  #gid=0"",""фіз особи new!relations_name""),6,FALSE)
,
(IF
(
G11216=""юридична особа""
,
VLOO"&amp;"KUP(H11216,IMPORTRANGE(""https://docs.google.com/spreadsheets/d/14Bd19lYaqBhU8_DElYkX7l4wRkHqqCUFNJY4AfY3kHU/edit?usp=sharing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15" s="7" t="s">
        <v>23</v>
      </c>
    </row>
    <row r="11216" spans="1:10" ht="13.2">
      <c r="A11216" s="7">
        <v>11215</v>
      </c>
      <c r="B11216" s="7">
        <v>1</v>
      </c>
      <c r="C11216" s="7" t="s">
        <v>10</v>
      </c>
      <c r="D11216" s="7">
        <v>17585</v>
      </c>
      <c r="E11216" s="7" t="s">
        <v>23</v>
      </c>
      <c r="F11216" s="8" t="str">
        <f ca="1">IFERROR(__xludf.DUMMYFUNCTION("IF
(
C11217=""фізична особа""
,
VLOOKUP(D11217,IMPORTRANGE(""https://docs.google.com/spreadsheets/d/14Bd19lYaqBhU8_DElYkX7l4wRkHqqCUFNJY4AfY3kHU/edit?usp=sharing  #gid=0"",""фіз особи new!relations_name""),6,FALSE)
,
(IF
(
C11217=""юридична особа""
,
VLOO"&amp;"KUP(D11217,IMPORTRANGE(""https://docs.google.com/spreadsheets/d/14Bd19lYaqBhU8_DElYkX7l4wRkHqqCUFNJY4AfY3kHU/edit?usp=sharing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6" s="7" t="s">
        <v>10</v>
      </c>
      <c r="H11216" s="7">
        <v>17587</v>
      </c>
      <c r="I11216" s="8" t="str">
        <f ca="1">IFERROR(__xludf.DUMMYFUNCTION("IF
(
G11217=""фізична особа""
,
VLOOKUP(H11217,IMPORTRANGE(""https://docs.google.com/spreadsheets/d/14Bd19lYaqBhU8_DElYkX7l4wRkHqqCUFNJY4AfY3kHU/edit?usp=sharing  #gid=0"",""фіз особи new!relations_name""),6,FALSE)
,
(IF
(
G11217=""юридична особа""
,
VLOO"&amp;"KUP(H11217,IMPORTRANGE(""https://docs.google.com/spreadsheets/d/14Bd19lYaqBhU8_DElYkX7l4wRkHqqCUFNJY4AfY3kHU/edit?usp=sharing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16" s="7" t="s">
        <v>23</v>
      </c>
    </row>
    <row r="11217" spans="1:10" ht="13.2">
      <c r="A11217" s="7">
        <v>11216</v>
      </c>
      <c r="B11217" s="7">
        <v>1</v>
      </c>
      <c r="C11217" s="7" t="s">
        <v>10</v>
      </c>
      <c r="D11217" s="7">
        <v>17585</v>
      </c>
      <c r="E11217" s="7" t="s">
        <v>23</v>
      </c>
      <c r="F11217" s="8" t="str">
        <f ca="1">IFERROR(__xludf.DUMMYFUNCTION("IF
(
C11218=""фізична особа""
,
VLOOKUP(D11218,IMPORTRANGE(""https://docs.google.com/spreadsheets/d/14Bd19lYaqBhU8_DElYkX7l4wRkHqqCUFNJY4AfY3kHU/edit?usp=sharing  #gid=0"",""фіз особи new!relations_name""),6,FALSE)
,
(IF
(
C11218=""юридична особа""
,
VLOO"&amp;"KUP(D11218,IMPORTRANGE(""https://docs.google.com/spreadsheets/d/14Bd19lYaqBhU8_DElYkX7l4wRkHqqCUFNJY4AfY3kHU/edit?usp=sharing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7" s="7" t="s">
        <v>10</v>
      </c>
      <c r="H11217" s="7">
        <v>17588</v>
      </c>
      <c r="I11217" s="8" t="str">
        <f ca="1">IFERROR(__xludf.DUMMYFUNCTION("IF
(
G11218=""фізична особа""
,
VLOOKUP(H11218,IMPORTRANGE(""https://docs.google.com/spreadsheets/d/14Bd19lYaqBhU8_DElYkX7l4wRkHqqCUFNJY4AfY3kHU/edit?usp=sharing  #gid=0"",""фіз особи new!relations_name""),6,FALSE)
,
(IF
(
G11218=""юридична особа""
,
VLOO"&amp;"KUP(H11218,IMPORTRANGE(""https://docs.google.com/spreadsheets/d/14Bd19lYaqBhU8_DElYkX7l4wRkHqqCUFNJY4AfY3kHU/edit?usp=sharing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17" s="7" t="s">
        <v>23</v>
      </c>
    </row>
    <row r="11218" spans="1:10" ht="13.2">
      <c r="A11218" s="7">
        <v>11217</v>
      </c>
      <c r="B11218" s="7">
        <v>1</v>
      </c>
      <c r="C11218" s="7" t="s">
        <v>10</v>
      </c>
      <c r="D11218" s="7">
        <v>17585</v>
      </c>
      <c r="E11218" s="7" t="s">
        <v>23</v>
      </c>
      <c r="F11218" s="8" t="str">
        <f ca="1">IFERROR(__xludf.DUMMYFUNCTION("IF
(
C11219=""фізична особа""
,
VLOOKUP(D11219,IMPORTRANGE(""https://docs.google.com/spreadsheets/d/14Bd19lYaqBhU8_DElYkX7l4wRkHqqCUFNJY4AfY3kHU/edit?usp=sharing  #gid=0"",""фіз особи new!relations_name""),6,FALSE)
,
(IF
(
C11219=""юридична особа""
,
VLOO"&amp;"KUP(D11219,IMPORTRANGE(""https://docs.google.com/spreadsheets/d/14Bd19lYaqBhU8_DElYkX7l4wRkHqqCUFNJY4AfY3kHU/edit?usp=sharing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8" s="7" t="s">
        <v>10</v>
      </c>
      <c r="H11218" s="7">
        <v>17589</v>
      </c>
      <c r="I11218" s="8" t="str">
        <f ca="1">IFERROR(__xludf.DUMMYFUNCTION("IF
(
G11219=""фізична особа""
,
VLOOKUP(H11219,IMPORTRANGE(""https://docs.google.com/spreadsheets/d/14Bd19lYaqBhU8_DElYkX7l4wRkHqqCUFNJY4AfY3kHU/edit?usp=sharing  #gid=0"",""фіз особи new!relations_name""),6,FALSE)
,
(IF
(
G11219=""юридична особа""
,
VLOO"&amp;"KUP(H11219,IMPORTRANGE(""https://docs.google.com/spreadsheets/d/14Bd19lYaqBhU8_DElYkX7l4wRkHqqCUFNJY4AfY3kHU/edit?usp=sharing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18" s="7" t="s">
        <v>23</v>
      </c>
    </row>
    <row r="11219" spans="1:10" ht="13.2">
      <c r="A11219" s="7">
        <v>11218</v>
      </c>
      <c r="B11219" s="7">
        <v>1</v>
      </c>
      <c r="C11219" s="7" t="s">
        <v>10</v>
      </c>
      <c r="D11219" s="7">
        <v>17585</v>
      </c>
      <c r="E11219" s="7" t="s">
        <v>23</v>
      </c>
      <c r="F11219" s="8" t="str">
        <f ca="1">IFERROR(__xludf.DUMMYFUNCTION("IF
(
C11220=""фізична особа""
,
VLOOKUP(D11220,IMPORTRANGE(""https://docs.google.com/spreadsheets/d/14Bd19lYaqBhU8_DElYkX7l4wRkHqqCUFNJY4AfY3kHU/edit?usp=sharing  #gid=0"",""фіз особи new!relations_name""),6,FALSE)
,
(IF
(
C11220=""юридична особа""
,
VLOO"&amp;"KUP(D11220,IMPORTRANGE(""https://docs.google.com/spreadsheets/d/14Bd19lYaqBhU8_DElYkX7l4wRkHqqCUFNJY4AfY3kHU/edit?usp=sharing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19" s="7" t="s">
        <v>10</v>
      </c>
      <c r="H11219" s="7">
        <v>17590</v>
      </c>
      <c r="I11219" s="8" t="str">
        <f ca="1">IFERROR(__xludf.DUMMYFUNCTION("IF
(
G11220=""фізична особа""
,
VLOOKUP(H11220,IMPORTRANGE(""https://docs.google.com/spreadsheets/d/14Bd19lYaqBhU8_DElYkX7l4wRkHqqCUFNJY4AfY3kHU/edit?usp=sharing  #gid=0"",""фіз особи new!relations_name""),6,FALSE)
,
(IF
(
G11220=""юридична особа""
,
VLOO"&amp;"KUP(H11220,IMPORTRANGE(""https://docs.google.com/spreadsheets/d/14Bd19lYaqBhU8_DElYkX7l4wRkHqqCUFNJY4AfY3kHU/edit?usp=sharing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19" s="7" t="s">
        <v>23</v>
      </c>
    </row>
    <row r="11220" spans="1:10" ht="13.2">
      <c r="A11220" s="7">
        <v>11219</v>
      </c>
      <c r="B11220" s="7">
        <v>1</v>
      </c>
      <c r="C11220" s="7" t="s">
        <v>10</v>
      </c>
      <c r="D11220" s="7">
        <v>17585</v>
      </c>
      <c r="E11220" s="7" t="s">
        <v>23</v>
      </c>
      <c r="F11220" s="8" t="str">
        <f ca="1">IFERROR(__xludf.DUMMYFUNCTION("IF
(
C11221=""фізична особа""
,
VLOOKUP(D11221,IMPORTRANGE(""https://docs.google.com/spreadsheets/d/14Bd19lYaqBhU8_DElYkX7l4wRkHqqCUFNJY4AfY3kHU/edit?usp=sharing  #gid=0"",""фіз особи new!relations_name""),6,FALSE)
,
(IF
(
C11221=""юридична особа""
,
VLOO"&amp;"KUP(D11221,IMPORTRANGE(""https://docs.google.com/spreadsheets/d/14Bd19lYaqBhU8_DElYkX7l4wRkHqqCUFNJY4AfY3kHU/edit?usp=sharing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20" s="7" t="s">
        <v>10</v>
      </c>
      <c r="H11220" s="7">
        <v>17591</v>
      </c>
      <c r="I11220" s="8" t="str">
        <f ca="1">IFERROR(__xludf.DUMMYFUNCTION("IF
(
G11221=""фізична особа""
,
VLOOKUP(H11221,IMPORTRANGE(""https://docs.google.com/spreadsheets/d/14Bd19lYaqBhU8_DElYkX7l4wRkHqqCUFNJY4AfY3kHU/edit?usp=sharing  #gid=0"",""фіз особи new!relations_name""),6,FALSE)
,
(IF
(
G11221=""юридична особа""
,
VLOO"&amp;"KUP(H11221,IMPORTRANGE(""https://docs.google.com/spreadsheets/d/14Bd19lYaqBhU8_DElYkX7l4wRkHqqCUFNJY4AfY3kHU/edit?usp=sharing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20" s="7" t="s">
        <v>23</v>
      </c>
    </row>
    <row r="11221" spans="1:10" ht="13.2">
      <c r="A11221" s="7">
        <v>11220</v>
      </c>
      <c r="B11221" s="7">
        <v>1</v>
      </c>
      <c r="C11221" s="7" t="s">
        <v>10</v>
      </c>
      <c r="D11221" s="7">
        <v>17585</v>
      </c>
      <c r="E11221" s="7" t="s">
        <v>23</v>
      </c>
      <c r="F11221" s="8" t="str">
        <f ca="1">IFERROR(__xludf.DUMMYFUNCTION("IF
(
C11222=""фізична особа""
,
VLOOKUP(D11222,IMPORTRANGE(""https://docs.google.com/spreadsheets/d/14Bd19lYaqBhU8_DElYkX7l4wRkHqqCUFNJY4AfY3kHU/edit?usp=sharing  #gid=0"",""фіз особи new!relations_name""),6,FALSE)
,
(IF
(
C11222=""юридична особа""
,
VLOO"&amp;"KUP(D11222,IMPORTRANGE(""https://docs.google.com/spreadsheets/d/14Bd19lYaqBhU8_DElYkX7l4wRkHqqCUFNJY4AfY3kHU/edit?usp=sharing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G11221" s="7" t="s">
        <v>10</v>
      </c>
      <c r="H11221" s="7">
        <v>17592</v>
      </c>
      <c r="I11221" s="8" t="str">
        <f ca="1">IFERROR(__xludf.DUMMYFUNCTION("IF
(
G11222=""фізична особа""
,
VLOOKUP(H11222,IMPORTRANGE(""https://docs.google.com/spreadsheets/d/14Bd19lYaqBhU8_DElYkX7l4wRkHqqCUFNJY4AfY3kHU/edit?usp=sharing  #gid=0"",""фіз особи new!relations_name""),6,FALSE)
,
(IF
(
G11222=""юридична особа""
,
VLOO"&amp;"KUP(H11222,IMPORTRANGE(""https://docs.google.com/spreadsheets/d/14Bd19lYaqBhU8_DElYkX7l4wRkHqqCUFNJY4AfY3kHU/edit?usp=sharing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21" s="7" t="s">
        <v>23</v>
      </c>
    </row>
    <row r="11222" spans="1:10" ht="13.2">
      <c r="A11222" s="7">
        <v>11221</v>
      </c>
      <c r="B11222" s="7">
        <v>1</v>
      </c>
      <c r="C11222" s="7" t="s">
        <v>10</v>
      </c>
      <c r="D11222" s="7">
        <v>17586</v>
      </c>
      <c r="E11222" s="7" t="s">
        <v>23</v>
      </c>
      <c r="F11222" s="8" t="str">
        <f ca="1">IFERROR(__xludf.DUMMYFUNCTION("IF
(
C11223=""фізична особа""
,
VLOOKUP(D11223,IMPORTRANGE(""https://docs.google.com/spreadsheets/d/14Bd19lYaqBhU8_DElYkX7l4wRkHqqCUFNJY4AfY3kHU/edit?usp=sharing  #gid=0"",""фіз особи new!relations_name""),6,FALSE)
,
(IF
(
C11223=""юридична особа""
,
VLOO"&amp;"KUP(D11223,IMPORTRANGE(""https://docs.google.com/spreadsheets/d/14Bd19lYaqBhU8_DElYkX7l4wRkHqqCUFNJY4AfY3kHU/edit?usp=sharing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2" s="7" t="s">
        <v>10</v>
      </c>
      <c r="H11222" s="7">
        <v>23628</v>
      </c>
      <c r="I11222" s="8" t="str">
        <f ca="1">IFERROR(__xludf.DUMMYFUNCTION("IF
(
G11223=""фізична особа""
,
VLOOKUP(H11223,IMPORTRANGE(""https://docs.google.com/spreadsheets/d/14Bd19lYaqBhU8_DElYkX7l4wRkHqqCUFNJY4AfY3kHU/edit?usp=sharing  #gid=0"",""фіз особи new!relations_name""),6,FALSE)
,
(IF
(
G11223=""юридична особа""
,
VLOO"&amp;"KUP(H11223,IMPORTRANGE(""https://docs.google.com/spreadsheets/d/14Bd19lYaqBhU8_DElYkX7l4wRkHqqCUFNJY4AfY3kHU/edit?usp=sharing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22" s="7" t="s">
        <v>23</v>
      </c>
    </row>
    <row r="11223" spans="1:10" ht="13.2">
      <c r="A11223" s="7">
        <v>11222</v>
      </c>
      <c r="B11223" s="7">
        <v>1</v>
      </c>
      <c r="C11223" s="7" t="s">
        <v>10</v>
      </c>
      <c r="D11223" s="7">
        <v>17586</v>
      </c>
      <c r="E11223" s="7" t="s">
        <v>23</v>
      </c>
      <c r="F11223" s="8" t="str">
        <f ca="1">IFERROR(__xludf.DUMMYFUNCTION("IF
(
C11224=""фізична особа""
,
VLOOKUP(D11224,IMPORTRANGE(""https://docs.google.com/spreadsheets/d/14Bd19lYaqBhU8_DElYkX7l4wRkHqqCUFNJY4AfY3kHU/edit?usp=sharing  #gid=0"",""фіз особи new!relations_name""),6,FALSE)
,
(IF
(
C11224=""юридична особа""
,
VLOO"&amp;"KUP(D11224,IMPORTRANGE(""https://docs.google.com/spreadsheets/d/14Bd19lYaqBhU8_DElYkX7l4wRkHqqCUFNJY4AfY3kHU/edit?usp=sharing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3" s="7" t="s">
        <v>10</v>
      </c>
      <c r="H11223" s="7">
        <v>17584</v>
      </c>
      <c r="I11223" s="8" t="str">
        <f ca="1">IFERROR(__xludf.DUMMYFUNCTION("IF
(
G11224=""фізична особа""
,
VLOOKUP(H11224,IMPORTRANGE(""https://docs.google.com/spreadsheets/d/14Bd19lYaqBhU8_DElYkX7l4wRkHqqCUFNJY4AfY3kHU/edit?usp=sharing  #gid=0"",""фіз особи new!relations_name""),6,FALSE)
,
(IF
(
G11224=""юридична особа""
,
VLOO"&amp;"KUP(H11224,IMPORTRANGE(""https://docs.google.com/spreadsheets/d/14Bd19lYaqBhU8_DElYkX7l4wRkHqqCUFNJY4AfY3kHU/edit?usp=sharing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23" s="7" t="s">
        <v>23</v>
      </c>
    </row>
    <row r="11224" spans="1:10" ht="13.2">
      <c r="A11224" s="7">
        <v>11223</v>
      </c>
      <c r="B11224" s="7">
        <v>1</v>
      </c>
      <c r="C11224" s="7" t="s">
        <v>10</v>
      </c>
      <c r="D11224" s="7">
        <v>17586</v>
      </c>
      <c r="E11224" s="7" t="s">
        <v>23</v>
      </c>
      <c r="F11224" s="8" t="str">
        <f ca="1">IFERROR(__xludf.DUMMYFUNCTION("IF
(
C11225=""фізична особа""
,
VLOOKUP(D11225,IMPORTRANGE(""https://docs.google.com/spreadsheets/d/14Bd19lYaqBhU8_DElYkX7l4wRkHqqCUFNJY4AfY3kHU/edit?usp=sharing  #gid=0"",""фіз особи new!relations_name""),6,FALSE)
,
(IF
(
C11225=""юридична особа""
,
VLOO"&amp;"KUP(D11225,IMPORTRANGE(""https://docs.google.com/spreadsheets/d/14Bd19lYaqBhU8_DElYkX7l4wRkHqqCUFNJY4AfY3kHU/edit?usp=sharing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4" s="7" t="s">
        <v>10</v>
      </c>
      <c r="H11224" s="7">
        <v>17585</v>
      </c>
      <c r="I11224" s="8" t="str">
        <f ca="1">IFERROR(__xludf.DUMMYFUNCTION("IF
(
G11225=""фізична особа""
,
VLOOKUP(H11225,IMPORTRANGE(""https://docs.google.com/spreadsheets/d/14Bd19lYaqBhU8_DElYkX7l4wRkHqqCUFNJY4AfY3kHU/edit?usp=sharing  #gid=0"",""фіз особи new!relations_name""),6,FALSE)
,
(IF
(
G11225=""юридична особа""
,
VLOO"&amp;"KUP(H11225,IMPORTRANGE(""https://docs.google.com/spreadsheets/d/14Bd19lYaqBhU8_DElYkX7l4wRkHqqCUFNJY4AfY3kHU/edit?usp=sharing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24" s="7" t="s">
        <v>23</v>
      </c>
    </row>
    <row r="11225" spans="1:10" ht="13.2">
      <c r="A11225" s="7">
        <v>11224</v>
      </c>
      <c r="B11225" s="7">
        <v>1</v>
      </c>
      <c r="C11225" s="7" t="s">
        <v>10</v>
      </c>
      <c r="D11225" s="7">
        <v>17586</v>
      </c>
      <c r="E11225" s="7" t="s">
        <v>23</v>
      </c>
      <c r="F11225" s="8" t="str">
        <f ca="1">IFERROR(__xludf.DUMMYFUNCTION("IF
(
C11226=""фізична особа""
,
VLOOKUP(D11226,IMPORTRANGE(""https://docs.google.com/spreadsheets/d/14Bd19lYaqBhU8_DElYkX7l4wRkHqqCUFNJY4AfY3kHU/edit?usp=sharing  #gid=0"",""фіз особи new!relations_name""),6,FALSE)
,
(IF
(
C11226=""юридична особа""
,
VLOO"&amp;"KUP(D11226,IMPORTRANGE(""https://docs.google.com/spreadsheets/d/14Bd19lYaqBhU8_DElYkX7l4wRkHqqCUFNJY4AfY3kHU/edit?usp=sharing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5" s="7" t="s">
        <v>10</v>
      </c>
      <c r="H11225" s="7">
        <v>17587</v>
      </c>
      <c r="I11225" s="8" t="str">
        <f ca="1">IFERROR(__xludf.DUMMYFUNCTION("IF
(
G11226=""фізична особа""
,
VLOOKUP(H11226,IMPORTRANGE(""https://docs.google.com/spreadsheets/d/14Bd19lYaqBhU8_DElYkX7l4wRkHqqCUFNJY4AfY3kHU/edit?usp=sharing  #gid=0"",""фіз особи new!relations_name""),6,FALSE)
,
(IF
(
G11226=""юридична особа""
,
VLOO"&amp;"KUP(H11226,IMPORTRANGE(""https://docs.google.com/spreadsheets/d/14Bd19lYaqBhU8_DElYkX7l4wRkHqqCUFNJY4AfY3kHU/edit?usp=sharing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25" s="7" t="s">
        <v>23</v>
      </c>
    </row>
    <row r="11226" spans="1:10" ht="13.2">
      <c r="A11226" s="7">
        <v>11225</v>
      </c>
      <c r="B11226" s="7">
        <v>1</v>
      </c>
      <c r="C11226" s="7" t="s">
        <v>10</v>
      </c>
      <c r="D11226" s="7">
        <v>17586</v>
      </c>
      <c r="E11226" s="7" t="s">
        <v>23</v>
      </c>
      <c r="F11226" s="8" t="str">
        <f ca="1">IFERROR(__xludf.DUMMYFUNCTION("IF
(
C11227=""фізична особа""
,
VLOOKUP(D11227,IMPORTRANGE(""https://docs.google.com/spreadsheets/d/14Bd19lYaqBhU8_DElYkX7l4wRkHqqCUFNJY4AfY3kHU/edit?usp=sharing  #gid=0"",""фіз особи new!relations_name""),6,FALSE)
,
(IF
(
C11227=""юридична особа""
,
VLOO"&amp;"KUP(D11227,IMPORTRANGE(""https://docs.google.com/spreadsheets/d/14Bd19lYaqBhU8_DElYkX7l4wRkHqqCUFNJY4AfY3kHU/edit?usp=sharing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6" s="7" t="s">
        <v>10</v>
      </c>
      <c r="H11226" s="7">
        <v>17588</v>
      </c>
      <c r="I11226" s="8" t="str">
        <f ca="1">IFERROR(__xludf.DUMMYFUNCTION("IF
(
G11227=""фізична особа""
,
VLOOKUP(H11227,IMPORTRANGE(""https://docs.google.com/spreadsheets/d/14Bd19lYaqBhU8_DElYkX7l4wRkHqqCUFNJY4AfY3kHU/edit?usp=sharing  #gid=0"",""фіз особи new!relations_name""),6,FALSE)
,
(IF
(
G11227=""юридична особа""
,
VLOO"&amp;"KUP(H11227,IMPORTRANGE(""https://docs.google.com/spreadsheets/d/14Bd19lYaqBhU8_DElYkX7l4wRkHqqCUFNJY4AfY3kHU/edit?usp=sharing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26" s="7" t="s">
        <v>23</v>
      </c>
    </row>
    <row r="11227" spans="1:10" ht="13.2">
      <c r="A11227" s="7">
        <v>11226</v>
      </c>
      <c r="B11227" s="7">
        <v>1</v>
      </c>
      <c r="C11227" s="7" t="s">
        <v>10</v>
      </c>
      <c r="D11227" s="7">
        <v>17586</v>
      </c>
      <c r="E11227" s="7" t="s">
        <v>23</v>
      </c>
      <c r="F11227" s="8" t="str">
        <f ca="1">IFERROR(__xludf.DUMMYFUNCTION("IF
(
C11228=""фізична особа""
,
VLOOKUP(D11228,IMPORTRANGE(""https://docs.google.com/spreadsheets/d/14Bd19lYaqBhU8_DElYkX7l4wRkHqqCUFNJY4AfY3kHU/edit?usp=sharing  #gid=0"",""фіз особи new!relations_name""),6,FALSE)
,
(IF
(
C11228=""юридична особа""
,
VLOO"&amp;"KUP(D11228,IMPORTRANGE(""https://docs.google.com/spreadsheets/d/14Bd19lYaqBhU8_DElYkX7l4wRkHqqCUFNJY4AfY3kHU/edit?usp=sharing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7" s="7" t="s">
        <v>10</v>
      </c>
      <c r="H11227" s="7">
        <v>17589</v>
      </c>
      <c r="I11227" s="8" t="str">
        <f ca="1">IFERROR(__xludf.DUMMYFUNCTION("IF
(
G11228=""фізична особа""
,
VLOOKUP(H11228,IMPORTRANGE(""https://docs.google.com/spreadsheets/d/14Bd19lYaqBhU8_DElYkX7l4wRkHqqCUFNJY4AfY3kHU/edit?usp=sharing  #gid=0"",""фіз особи new!relations_name""),6,FALSE)
,
(IF
(
G11228=""юридична особа""
,
VLOO"&amp;"KUP(H11228,IMPORTRANGE(""https://docs.google.com/spreadsheets/d/14Bd19lYaqBhU8_DElYkX7l4wRkHqqCUFNJY4AfY3kHU/edit?usp=sharing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27" s="7" t="s">
        <v>23</v>
      </c>
    </row>
    <row r="11228" spans="1:10" ht="13.2">
      <c r="A11228" s="7">
        <v>11227</v>
      </c>
      <c r="B11228" s="7">
        <v>1</v>
      </c>
      <c r="C11228" s="7" t="s">
        <v>10</v>
      </c>
      <c r="D11228" s="7">
        <v>17586</v>
      </c>
      <c r="E11228" s="7" t="s">
        <v>23</v>
      </c>
      <c r="F11228" s="8" t="str">
        <f ca="1">IFERROR(__xludf.DUMMYFUNCTION("IF
(
C11229=""фізична особа""
,
VLOOKUP(D11229,IMPORTRANGE(""https://docs.google.com/spreadsheets/d/14Bd19lYaqBhU8_DElYkX7l4wRkHqqCUFNJY4AfY3kHU/edit?usp=sharing  #gid=0"",""фіз особи new!relations_name""),6,FALSE)
,
(IF
(
C11229=""юридична особа""
,
VLOO"&amp;"KUP(D11229,IMPORTRANGE(""https://docs.google.com/spreadsheets/d/14Bd19lYaqBhU8_DElYkX7l4wRkHqqCUFNJY4AfY3kHU/edit?usp=sharing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8" s="7" t="s">
        <v>10</v>
      </c>
      <c r="H11228" s="7">
        <v>17590</v>
      </c>
      <c r="I11228" s="8" t="str">
        <f ca="1">IFERROR(__xludf.DUMMYFUNCTION("IF
(
G11229=""фізична особа""
,
VLOOKUP(H11229,IMPORTRANGE(""https://docs.google.com/spreadsheets/d/14Bd19lYaqBhU8_DElYkX7l4wRkHqqCUFNJY4AfY3kHU/edit?usp=sharing  #gid=0"",""фіз особи new!relations_name""),6,FALSE)
,
(IF
(
G11229=""юридична особа""
,
VLOO"&amp;"KUP(H11229,IMPORTRANGE(""https://docs.google.com/spreadsheets/d/14Bd19lYaqBhU8_DElYkX7l4wRkHqqCUFNJY4AfY3kHU/edit?usp=sharing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28" s="7" t="s">
        <v>23</v>
      </c>
    </row>
    <row r="11229" spans="1:10" ht="13.2">
      <c r="A11229" s="7">
        <v>11228</v>
      </c>
      <c r="B11229" s="7">
        <v>1</v>
      </c>
      <c r="C11229" s="7" t="s">
        <v>10</v>
      </c>
      <c r="D11229" s="7">
        <v>17586</v>
      </c>
      <c r="E11229" s="7" t="s">
        <v>23</v>
      </c>
      <c r="F11229" s="8" t="str">
        <f ca="1">IFERROR(__xludf.DUMMYFUNCTION("IF
(
C11230=""фізична особа""
,
VLOOKUP(D11230,IMPORTRANGE(""https://docs.google.com/spreadsheets/d/14Bd19lYaqBhU8_DElYkX7l4wRkHqqCUFNJY4AfY3kHU/edit?usp=sharing  #gid=0"",""фіз особи new!relations_name""),6,FALSE)
,
(IF
(
C11230=""юридична особа""
,
VLOO"&amp;"KUP(D11230,IMPORTRANGE(""https://docs.google.com/spreadsheets/d/14Bd19lYaqBhU8_DElYkX7l4wRkHqqCUFNJY4AfY3kHU/edit?usp=sharing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29" s="7" t="s">
        <v>10</v>
      </c>
      <c r="H11229" s="7">
        <v>17591</v>
      </c>
      <c r="I11229" s="8" t="str">
        <f ca="1">IFERROR(__xludf.DUMMYFUNCTION("IF
(
G11230=""фізична особа""
,
VLOOKUP(H11230,IMPORTRANGE(""https://docs.google.com/spreadsheets/d/14Bd19lYaqBhU8_DElYkX7l4wRkHqqCUFNJY4AfY3kHU/edit?usp=sharing  #gid=0"",""фіз особи new!relations_name""),6,FALSE)
,
(IF
(
G11230=""юридична особа""
,
VLOO"&amp;"KUP(H11230,IMPORTRANGE(""https://docs.google.com/spreadsheets/d/14Bd19lYaqBhU8_DElYkX7l4wRkHqqCUFNJY4AfY3kHU/edit?usp=sharing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29" s="7" t="s">
        <v>23</v>
      </c>
    </row>
    <row r="11230" spans="1:10" ht="13.2">
      <c r="A11230" s="7">
        <v>11229</v>
      </c>
      <c r="B11230" s="7">
        <v>1</v>
      </c>
      <c r="C11230" s="7" t="s">
        <v>10</v>
      </c>
      <c r="D11230" s="7">
        <v>17586</v>
      </c>
      <c r="E11230" s="7" t="s">
        <v>23</v>
      </c>
      <c r="F11230" s="8" t="str">
        <f ca="1">IFERROR(__xludf.DUMMYFUNCTION("IF
(
C11231=""фізична особа""
,
VLOOKUP(D11231,IMPORTRANGE(""https://docs.google.com/spreadsheets/d/14Bd19lYaqBhU8_DElYkX7l4wRkHqqCUFNJY4AfY3kHU/edit?usp=sharing  #gid=0"",""фіз особи new!relations_name""),6,FALSE)
,
(IF
(
C11231=""юридична особа""
,
VLOO"&amp;"KUP(D11231,IMPORTRANGE(""https://docs.google.com/spreadsheets/d/14Bd19lYaqBhU8_DElYkX7l4wRkHqqCUFNJY4AfY3kHU/edit?usp=sharing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G11230" s="7" t="s">
        <v>10</v>
      </c>
      <c r="H11230" s="7">
        <v>17592</v>
      </c>
      <c r="I11230" s="8" t="str">
        <f ca="1">IFERROR(__xludf.DUMMYFUNCTION("IF
(
G11231=""фізична особа""
,
VLOOKUP(H11231,IMPORTRANGE(""https://docs.google.com/spreadsheets/d/14Bd19lYaqBhU8_DElYkX7l4wRkHqqCUFNJY4AfY3kHU/edit?usp=sharing  #gid=0"",""фіз особи new!relations_name""),6,FALSE)
,
(IF
(
G11231=""юридична особа""
,
VLOO"&amp;"KUP(H11231,IMPORTRANGE(""https://docs.google.com/spreadsheets/d/14Bd19lYaqBhU8_DElYkX7l4wRkHqqCUFNJY4AfY3kHU/edit?usp=sharing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30" s="7" t="s">
        <v>23</v>
      </c>
    </row>
    <row r="11231" spans="1:10" ht="13.2">
      <c r="A11231" s="7">
        <v>11230</v>
      </c>
      <c r="B11231" s="7">
        <v>1</v>
      </c>
      <c r="C11231" s="7" t="s">
        <v>10</v>
      </c>
      <c r="D11231" s="7">
        <v>17587</v>
      </c>
      <c r="E11231" s="7" t="s">
        <v>23</v>
      </c>
      <c r="F11231" s="8" t="str">
        <f ca="1">IFERROR(__xludf.DUMMYFUNCTION("IF
(
C11232=""фізична особа""
,
VLOOKUP(D11232,IMPORTRANGE(""https://docs.google.com/spreadsheets/d/14Bd19lYaqBhU8_DElYkX7l4wRkHqqCUFNJY4AfY3kHU/edit?usp=sharing  #gid=0"",""фіз особи new!relations_name""),6,FALSE)
,
(IF
(
C11232=""юридична особа""
,
VLOO"&amp;"KUP(D11232,IMPORTRANGE(""https://docs.google.com/spreadsheets/d/14Bd19lYaqBhU8_DElYkX7l4wRkHqqCUFNJY4AfY3kHU/edit?usp=sharing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1" s="7" t="s">
        <v>10</v>
      </c>
      <c r="H11231" s="7">
        <v>23628</v>
      </c>
      <c r="I11231" s="8" t="str">
        <f ca="1">IFERROR(__xludf.DUMMYFUNCTION("IF
(
G11232=""фізична особа""
,
VLOOKUP(H11232,IMPORTRANGE(""https://docs.google.com/spreadsheets/d/14Bd19lYaqBhU8_DElYkX7l4wRkHqqCUFNJY4AfY3kHU/edit?usp=sharing  #gid=0"",""фіз особи new!relations_name""),6,FALSE)
,
(IF
(
G11232=""юридична особа""
,
VLOO"&amp;"KUP(H11232,IMPORTRANGE(""https://docs.google.com/spreadsheets/d/14Bd19lYaqBhU8_DElYkX7l4wRkHqqCUFNJY4AfY3kHU/edit?usp=sharing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31" s="7" t="s">
        <v>23</v>
      </c>
    </row>
    <row r="11232" spans="1:10" ht="13.2">
      <c r="A11232" s="7">
        <v>11231</v>
      </c>
      <c r="B11232" s="7">
        <v>1</v>
      </c>
      <c r="C11232" s="7" t="s">
        <v>10</v>
      </c>
      <c r="D11232" s="7">
        <v>17587</v>
      </c>
      <c r="E11232" s="7" t="s">
        <v>23</v>
      </c>
      <c r="F11232" s="8" t="str">
        <f ca="1">IFERROR(__xludf.DUMMYFUNCTION("IF
(
C11233=""фізична особа""
,
VLOOKUP(D11233,IMPORTRANGE(""https://docs.google.com/spreadsheets/d/14Bd19lYaqBhU8_DElYkX7l4wRkHqqCUFNJY4AfY3kHU/edit?usp=sharing  #gid=0"",""фіз особи new!relations_name""),6,FALSE)
,
(IF
(
C11233=""юридична особа""
,
VLOO"&amp;"KUP(D11233,IMPORTRANGE(""https://docs.google.com/spreadsheets/d/14Bd19lYaqBhU8_DElYkX7l4wRkHqqCUFNJY4AfY3kHU/edit?usp=sharing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2" s="7" t="s">
        <v>10</v>
      </c>
      <c r="H11232" s="7">
        <v>17584</v>
      </c>
      <c r="I11232" s="8" t="str">
        <f ca="1">IFERROR(__xludf.DUMMYFUNCTION("IF
(
G11233=""фізична особа""
,
VLOOKUP(H11233,IMPORTRANGE(""https://docs.google.com/spreadsheets/d/14Bd19lYaqBhU8_DElYkX7l4wRkHqqCUFNJY4AfY3kHU/edit?usp=sharing  #gid=0"",""фіз особи new!relations_name""),6,FALSE)
,
(IF
(
G11233=""юридична особа""
,
VLOO"&amp;"KUP(H11233,IMPORTRANGE(""https://docs.google.com/spreadsheets/d/14Bd19lYaqBhU8_DElYkX7l4wRkHqqCUFNJY4AfY3kHU/edit?usp=sharing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32" s="7" t="s">
        <v>23</v>
      </c>
    </row>
    <row r="11233" spans="1:10" ht="13.2">
      <c r="A11233" s="7">
        <v>11232</v>
      </c>
      <c r="B11233" s="7">
        <v>1</v>
      </c>
      <c r="C11233" s="7" t="s">
        <v>10</v>
      </c>
      <c r="D11233" s="7">
        <v>17587</v>
      </c>
      <c r="E11233" s="7" t="s">
        <v>23</v>
      </c>
      <c r="F11233" s="8" t="str">
        <f ca="1">IFERROR(__xludf.DUMMYFUNCTION("IF
(
C11234=""фізична особа""
,
VLOOKUP(D11234,IMPORTRANGE(""https://docs.google.com/spreadsheets/d/14Bd19lYaqBhU8_DElYkX7l4wRkHqqCUFNJY4AfY3kHU/edit?usp=sharing  #gid=0"",""фіз особи new!relations_name""),6,FALSE)
,
(IF
(
C11234=""юридична особа""
,
VLOO"&amp;"KUP(D11234,IMPORTRANGE(""https://docs.google.com/spreadsheets/d/14Bd19lYaqBhU8_DElYkX7l4wRkHqqCUFNJY4AfY3kHU/edit?usp=sharing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3" s="7" t="s">
        <v>10</v>
      </c>
      <c r="H11233" s="7">
        <v>17585</v>
      </c>
      <c r="I11233" s="8" t="str">
        <f ca="1">IFERROR(__xludf.DUMMYFUNCTION("IF
(
G11234=""фізична особа""
,
VLOOKUP(H11234,IMPORTRANGE(""https://docs.google.com/spreadsheets/d/14Bd19lYaqBhU8_DElYkX7l4wRkHqqCUFNJY4AfY3kHU/edit?usp=sharing  #gid=0"",""фіз особи new!relations_name""),6,FALSE)
,
(IF
(
G11234=""юридична особа""
,
VLOO"&amp;"KUP(H11234,IMPORTRANGE(""https://docs.google.com/spreadsheets/d/14Bd19lYaqBhU8_DElYkX7l4wRkHqqCUFNJY4AfY3kHU/edit?usp=sharing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33" s="7" t="s">
        <v>23</v>
      </c>
    </row>
    <row r="11234" spans="1:10" ht="13.2">
      <c r="A11234" s="7">
        <v>11233</v>
      </c>
      <c r="B11234" s="7">
        <v>1</v>
      </c>
      <c r="C11234" s="7" t="s">
        <v>10</v>
      </c>
      <c r="D11234" s="7">
        <v>17587</v>
      </c>
      <c r="E11234" s="7" t="s">
        <v>23</v>
      </c>
      <c r="F11234" s="8" t="str">
        <f ca="1">IFERROR(__xludf.DUMMYFUNCTION("IF
(
C11235=""фізична особа""
,
VLOOKUP(D11235,IMPORTRANGE(""https://docs.google.com/spreadsheets/d/14Bd19lYaqBhU8_DElYkX7l4wRkHqqCUFNJY4AfY3kHU/edit?usp=sharing  #gid=0"",""фіз особи new!relations_name""),6,FALSE)
,
(IF
(
C11235=""юридична особа""
,
VLOO"&amp;"KUP(D11235,IMPORTRANGE(""https://docs.google.com/spreadsheets/d/14Bd19lYaqBhU8_DElYkX7l4wRkHqqCUFNJY4AfY3kHU/edit?usp=sharing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4" s="7" t="s">
        <v>10</v>
      </c>
      <c r="H11234" s="7">
        <v>17586</v>
      </c>
      <c r="I11234" s="8" t="str">
        <f ca="1">IFERROR(__xludf.DUMMYFUNCTION("IF
(
G11235=""фізична особа""
,
VLOOKUP(H11235,IMPORTRANGE(""https://docs.google.com/spreadsheets/d/14Bd19lYaqBhU8_DElYkX7l4wRkHqqCUFNJY4AfY3kHU/edit?usp=sharing  #gid=0"",""фіз особи new!relations_name""),6,FALSE)
,
(IF
(
G11235=""юридична особа""
,
VLOO"&amp;"KUP(H11235,IMPORTRANGE(""https://docs.google.com/spreadsheets/d/14Bd19lYaqBhU8_DElYkX7l4wRkHqqCUFNJY4AfY3kHU/edit?usp=sharing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34" s="7" t="s">
        <v>23</v>
      </c>
    </row>
    <row r="11235" spans="1:10" ht="13.2">
      <c r="A11235" s="7">
        <v>11234</v>
      </c>
      <c r="B11235" s="7">
        <v>1</v>
      </c>
      <c r="C11235" s="7" t="s">
        <v>10</v>
      </c>
      <c r="D11235" s="7">
        <v>17587</v>
      </c>
      <c r="E11235" s="7" t="s">
        <v>23</v>
      </c>
      <c r="F11235" s="8" t="str">
        <f ca="1">IFERROR(__xludf.DUMMYFUNCTION("IF
(
C11236=""фізична особа""
,
VLOOKUP(D11236,IMPORTRANGE(""https://docs.google.com/spreadsheets/d/14Bd19lYaqBhU8_DElYkX7l4wRkHqqCUFNJY4AfY3kHU/edit?usp=sharing  #gid=0"",""фіз особи new!relations_name""),6,FALSE)
,
(IF
(
C11236=""юридична особа""
,
VLOO"&amp;"KUP(D11236,IMPORTRANGE(""https://docs.google.com/spreadsheets/d/14Bd19lYaqBhU8_DElYkX7l4wRkHqqCUFNJY4AfY3kHU/edit?usp=sharing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5" s="7" t="s">
        <v>10</v>
      </c>
      <c r="H11235" s="7">
        <v>17588</v>
      </c>
      <c r="I11235" s="8" t="str">
        <f ca="1">IFERROR(__xludf.DUMMYFUNCTION("IF
(
G11236=""фізична особа""
,
VLOOKUP(H11236,IMPORTRANGE(""https://docs.google.com/spreadsheets/d/14Bd19lYaqBhU8_DElYkX7l4wRkHqqCUFNJY4AfY3kHU/edit?usp=sharing  #gid=0"",""фіз особи new!relations_name""),6,FALSE)
,
(IF
(
G11236=""юридична особа""
,
VLOO"&amp;"KUP(H11236,IMPORTRANGE(""https://docs.google.com/spreadsheets/d/14Bd19lYaqBhU8_DElYkX7l4wRkHqqCUFNJY4AfY3kHU/edit?usp=sharing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35" s="7" t="s">
        <v>23</v>
      </c>
    </row>
    <row r="11236" spans="1:10" ht="13.2">
      <c r="A11236" s="7">
        <v>11235</v>
      </c>
      <c r="B11236" s="7">
        <v>1</v>
      </c>
      <c r="C11236" s="7" t="s">
        <v>10</v>
      </c>
      <c r="D11236" s="7">
        <v>17587</v>
      </c>
      <c r="E11236" s="7" t="s">
        <v>23</v>
      </c>
      <c r="F11236" s="8" t="str">
        <f ca="1">IFERROR(__xludf.DUMMYFUNCTION("IF
(
C11237=""фізична особа""
,
VLOOKUP(D11237,IMPORTRANGE(""https://docs.google.com/spreadsheets/d/14Bd19lYaqBhU8_DElYkX7l4wRkHqqCUFNJY4AfY3kHU/edit?usp=sharing  #gid=0"",""фіз особи new!relations_name""),6,FALSE)
,
(IF
(
C11237=""юридична особа""
,
VLOO"&amp;"KUP(D11237,IMPORTRANGE(""https://docs.google.com/spreadsheets/d/14Bd19lYaqBhU8_DElYkX7l4wRkHqqCUFNJY4AfY3kHU/edit?usp=sharing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6" s="7" t="s">
        <v>10</v>
      </c>
      <c r="H11236" s="7">
        <v>17589</v>
      </c>
      <c r="I11236" s="8" t="str">
        <f ca="1">IFERROR(__xludf.DUMMYFUNCTION("IF
(
G11237=""фізична особа""
,
VLOOKUP(H11237,IMPORTRANGE(""https://docs.google.com/spreadsheets/d/14Bd19lYaqBhU8_DElYkX7l4wRkHqqCUFNJY4AfY3kHU/edit?usp=sharing  #gid=0"",""фіз особи new!relations_name""),6,FALSE)
,
(IF
(
G11237=""юридична особа""
,
VLOO"&amp;"KUP(H11237,IMPORTRANGE(""https://docs.google.com/spreadsheets/d/14Bd19lYaqBhU8_DElYkX7l4wRkHqqCUFNJY4AfY3kHU/edit?usp=sharing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36" s="7" t="s">
        <v>23</v>
      </c>
    </row>
    <row r="11237" spans="1:10" ht="13.2">
      <c r="A11237" s="7">
        <v>11236</v>
      </c>
      <c r="B11237" s="7">
        <v>1</v>
      </c>
      <c r="C11237" s="7" t="s">
        <v>10</v>
      </c>
      <c r="D11237" s="7">
        <v>17587</v>
      </c>
      <c r="E11237" s="7" t="s">
        <v>23</v>
      </c>
      <c r="F11237" s="8" t="str">
        <f ca="1">IFERROR(__xludf.DUMMYFUNCTION("IF
(
C11238=""фізична особа""
,
VLOOKUP(D11238,IMPORTRANGE(""https://docs.google.com/spreadsheets/d/14Bd19lYaqBhU8_DElYkX7l4wRkHqqCUFNJY4AfY3kHU/edit?usp=sharing  #gid=0"",""фіз особи new!relations_name""),6,FALSE)
,
(IF
(
C11238=""юридична особа""
,
VLOO"&amp;"KUP(D11238,IMPORTRANGE(""https://docs.google.com/spreadsheets/d/14Bd19lYaqBhU8_DElYkX7l4wRkHqqCUFNJY4AfY3kHU/edit?usp=sharing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7" s="7" t="s">
        <v>10</v>
      </c>
      <c r="H11237" s="7">
        <v>17590</v>
      </c>
      <c r="I11237" s="8" t="str">
        <f ca="1">IFERROR(__xludf.DUMMYFUNCTION("IF
(
G11238=""фізична особа""
,
VLOOKUP(H11238,IMPORTRANGE(""https://docs.google.com/spreadsheets/d/14Bd19lYaqBhU8_DElYkX7l4wRkHqqCUFNJY4AfY3kHU/edit?usp=sharing  #gid=0"",""фіз особи new!relations_name""),6,FALSE)
,
(IF
(
G11238=""юридична особа""
,
VLOO"&amp;"KUP(H11238,IMPORTRANGE(""https://docs.google.com/spreadsheets/d/14Bd19lYaqBhU8_DElYkX7l4wRkHqqCUFNJY4AfY3kHU/edit?usp=sharing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37" s="7" t="s">
        <v>23</v>
      </c>
    </row>
    <row r="11238" spans="1:10" ht="13.2">
      <c r="A11238" s="7">
        <v>11237</v>
      </c>
      <c r="B11238" s="7">
        <v>1</v>
      </c>
      <c r="C11238" s="7" t="s">
        <v>10</v>
      </c>
      <c r="D11238" s="7">
        <v>17587</v>
      </c>
      <c r="E11238" s="7" t="s">
        <v>23</v>
      </c>
      <c r="F11238" s="8" t="str">
        <f ca="1">IFERROR(__xludf.DUMMYFUNCTION("IF
(
C11239=""фізична особа""
,
VLOOKUP(D11239,IMPORTRANGE(""https://docs.google.com/spreadsheets/d/14Bd19lYaqBhU8_DElYkX7l4wRkHqqCUFNJY4AfY3kHU/edit?usp=sharing  #gid=0"",""фіз особи new!relations_name""),6,FALSE)
,
(IF
(
C11239=""юридична особа""
,
VLOO"&amp;"KUP(D11239,IMPORTRANGE(""https://docs.google.com/spreadsheets/d/14Bd19lYaqBhU8_DElYkX7l4wRkHqqCUFNJY4AfY3kHU/edit?usp=sharing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8" s="7" t="s">
        <v>10</v>
      </c>
      <c r="H11238" s="7">
        <v>17591</v>
      </c>
      <c r="I11238" s="8" t="str">
        <f ca="1">IFERROR(__xludf.DUMMYFUNCTION("IF
(
G11239=""фізична особа""
,
VLOOKUP(H11239,IMPORTRANGE(""https://docs.google.com/spreadsheets/d/14Bd19lYaqBhU8_DElYkX7l4wRkHqqCUFNJY4AfY3kHU/edit?usp=sharing  #gid=0"",""фіз особи new!relations_name""),6,FALSE)
,
(IF
(
G11239=""юридична особа""
,
VLOO"&amp;"KUP(H11239,IMPORTRANGE(""https://docs.google.com/spreadsheets/d/14Bd19lYaqBhU8_DElYkX7l4wRkHqqCUFNJY4AfY3kHU/edit?usp=sharing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38" s="7" t="s">
        <v>23</v>
      </c>
    </row>
    <row r="11239" spans="1:10" ht="13.2">
      <c r="A11239" s="7">
        <v>11238</v>
      </c>
      <c r="B11239" s="7">
        <v>1</v>
      </c>
      <c r="C11239" s="7" t="s">
        <v>10</v>
      </c>
      <c r="D11239" s="7">
        <v>17587</v>
      </c>
      <c r="E11239" s="7" t="s">
        <v>23</v>
      </c>
      <c r="F11239" s="8" t="str">
        <f ca="1">IFERROR(__xludf.DUMMYFUNCTION("IF
(
C11240=""фізична особа""
,
VLOOKUP(D11240,IMPORTRANGE(""https://docs.google.com/spreadsheets/d/14Bd19lYaqBhU8_DElYkX7l4wRkHqqCUFNJY4AfY3kHU/edit?usp=sharing  #gid=0"",""фіз особи new!relations_name""),6,FALSE)
,
(IF
(
C11240=""юридична особа""
,
VLOO"&amp;"KUP(D11240,IMPORTRANGE(""https://docs.google.com/spreadsheets/d/14Bd19lYaqBhU8_DElYkX7l4wRkHqqCUFNJY4AfY3kHU/edit?usp=sharing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G11239" s="7" t="s">
        <v>10</v>
      </c>
      <c r="H11239" s="7">
        <v>17592</v>
      </c>
      <c r="I11239" s="8" t="str">
        <f ca="1">IFERROR(__xludf.DUMMYFUNCTION("IF
(
G11240=""фізична особа""
,
VLOOKUP(H11240,IMPORTRANGE(""https://docs.google.com/spreadsheets/d/14Bd19lYaqBhU8_DElYkX7l4wRkHqqCUFNJY4AfY3kHU/edit?usp=sharing  #gid=0"",""фіз особи new!relations_name""),6,FALSE)
,
(IF
(
G11240=""юридична особа""
,
VLOO"&amp;"KUP(H11240,IMPORTRANGE(""https://docs.google.com/spreadsheets/d/14Bd19lYaqBhU8_DElYkX7l4wRkHqqCUFNJY4AfY3kHU/edit?usp=sharing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39" s="7" t="s">
        <v>23</v>
      </c>
    </row>
    <row r="11240" spans="1:10" ht="13.2">
      <c r="A11240" s="7">
        <v>11239</v>
      </c>
      <c r="B11240" s="7">
        <v>1</v>
      </c>
      <c r="C11240" s="7" t="s">
        <v>10</v>
      </c>
      <c r="D11240" s="7">
        <v>17588</v>
      </c>
      <c r="E11240" s="7" t="s">
        <v>23</v>
      </c>
      <c r="F11240" s="8" t="str">
        <f ca="1">IFERROR(__xludf.DUMMYFUNCTION("IF
(
C11241=""фізична особа""
,
VLOOKUP(D11241,IMPORTRANGE(""https://docs.google.com/spreadsheets/d/14Bd19lYaqBhU8_DElYkX7l4wRkHqqCUFNJY4AfY3kHU/edit?usp=sharing  #gid=0"",""фіз особи new!relations_name""),6,FALSE)
,
(IF
(
C11241=""юридична особа""
,
VLOO"&amp;"KUP(D11241,IMPORTRANGE(""https://docs.google.com/spreadsheets/d/14Bd19lYaqBhU8_DElYkX7l4wRkHqqCUFNJY4AfY3kHU/edit?usp=sharing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0" s="7" t="s">
        <v>10</v>
      </c>
      <c r="H11240" s="7">
        <v>23628</v>
      </c>
      <c r="I11240" s="8" t="str">
        <f ca="1">IFERROR(__xludf.DUMMYFUNCTION("IF
(
G11241=""фізична особа""
,
VLOOKUP(H11241,IMPORTRANGE(""https://docs.google.com/spreadsheets/d/14Bd19lYaqBhU8_DElYkX7l4wRkHqqCUFNJY4AfY3kHU/edit?usp=sharing  #gid=0"",""фіз особи new!relations_name""),6,FALSE)
,
(IF
(
G11241=""юридична особа""
,
VLOO"&amp;"KUP(H11241,IMPORTRANGE(""https://docs.google.com/spreadsheets/d/14Bd19lYaqBhU8_DElYkX7l4wRkHqqCUFNJY4AfY3kHU/edit?usp=sharing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40" s="7" t="s">
        <v>23</v>
      </c>
    </row>
    <row r="11241" spans="1:10" ht="13.2">
      <c r="A11241" s="7">
        <v>11240</v>
      </c>
      <c r="B11241" s="7">
        <v>1</v>
      </c>
      <c r="C11241" s="7" t="s">
        <v>10</v>
      </c>
      <c r="D11241" s="7">
        <v>17588</v>
      </c>
      <c r="E11241" s="7" t="s">
        <v>23</v>
      </c>
      <c r="F11241" s="8" t="str">
        <f ca="1">IFERROR(__xludf.DUMMYFUNCTION("IF
(
C11242=""фізична особа""
,
VLOOKUP(D11242,IMPORTRANGE(""https://docs.google.com/spreadsheets/d/14Bd19lYaqBhU8_DElYkX7l4wRkHqqCUFNJY4AfY3kHU/edit?usp=sharing  #gid=0"",""фіз особи new!relations_name""),6,FALSE)
,
(IF
(
C11242=""юридична особа""
,
VLOO"&amp;"KUP(D11242,IMPORTRANGE(""https://docs.google.com/spreadsheets/d/14Bd19lYaqBhU8_DElYkX7l4wRkHqqCUFNJY4AfY3kHU/edit?usp=sharing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1" s="7" t="s">
        <v>10</v>
      </c>
      <c r="H11241" s="7">
        <v>17584</v>
      </c>
      <c r="I11241" s="8" t="str">
        <f ca="1">IFERROR(__xludf.DUMMYFUNCTION("IF
(
G11242=""фізична особа""
,
VLOOKUP(H11242,IMPORTRANGE(""https://docs.google.com/spreadsheets/d/14Bd19lYaqBhU8_DElYkX7l4wRkHqqCUFNJY4AfY3kHU/edit?usp=sharing  #gid=0"",""фіз особи new!relations_name""),6,FALSE)
,
(IF
(
G11242=""юридична особа""
,
VLOO"&amp;"KUP(H11242,IMPORTRANGE(""https://docs.google.com/spreadsheets/d/14Bd19lYaqBhU8_DElYkX7l4wRkHqqCUFNJY4AfY3kHU/edit?usp=sharing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41" s="7" t="s">
        <v>23</v>
      </c>
    </row>
    <row r="11242" spans="1:10" ht="13.2">
      <c r="A11242" s="7">
        <v>11241</v>
      </c>
      <c r="B11242" s="7">
        <v>1</v>
      </c>
      <c r="C11242" s="7" t="s">
        <v>10</v>
      </c>
      <c r="D11242" s="7">
        <v>17588</v>
      </c>
      <c r="E11242" s="7" t="s">
        <v>23</v>
      </c>
      <c r="F11242" s="8" t="str">
        <f ca="1">IFERROR(__xludf.DUMMYFUNCTION("IF
(
C11243=""фізична особа""
,
VLOOKUP(D11243,IMPORTRANGE(""https://docs.google.com/spreadsheets/d/14Bd19lYaqBhU8_DElYkX7l4wRkHqqCUFNJY4AfY3kHU/edit?usp=sharing  #gid=0"",""фіз особи new!relations_name""),6,FALSE)
,
(IF
(
C11243=""юридична особа""
,
VLOO"&amp;"KUP(D11243,IMPORTRANGE(""https://docs.google.com/spreadsheets/d/14Bd19lYaqBhU8_DElYkX7l4wRkHqqCUFNJY4AfY3kHU/edit?usp=sharing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2" s="7" t="s">
        <v>10</v>
      </c>
      <c r="H11242" s="7">
        <v>17585</v>
      </c>
      <c r="I11242" s="8" t="str">
        <f ca="1">IFERROR(__xludf.DUMMYFUNCTION("IF
(
G11243=""фізична особа""
,
VLOOKUP(H11243,IMPORTRANGE(""https://docs.google.com/spreadsheets/d/14Bd19lYaqBhU8_DElYkX7l4wRkHqqCUFNJY4AfY3kHU/edit?usp=sharing  #gid=0"",""фіз особи new!relations_name""),6,FALSE)
,
(IF
(
G11243=""юридична особа""
,
VLOO"&amp;"KUP(H11243,IMPORTRANGE(""https://docs.google.com/spreadsheets/d/14Bd19lYaqBhU8_DElYkX7l4wRkHqqCUFNJY4AfY3kHU/edit?usp=sharing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42" s="7" t="s">
        <v>23</v>
      </c>
    </row>
    <row r="11243" spans="1:10" ht="13.2">
      <c r="A11243" s="7">
        <v>11242</v>
      </c>
      <c r="B11243" s="7">
        <v>1</v>
      </c>
      <c r="C11243" s="7" t="s">
        <v>10</v>
      </c>
      <c r="D11243" s="7">
        <v>17588</v>
      </c>
      <c r="E11243" s="7" t="s">
        <v>23</v>
      </c>
      <c r="F11243" s="8" t="str">
        <f ca="1">IFERROR(__xludf.DUMMYFUNCTION("IF
(
C11244=""фізична особа""
,
VLOOKUP(D11244,IMPORTRANGE(""https://docs.google.com/spreadsheets/d/14Bd19lYaqBhU8_DElYkX7l4wRkHqqCUFNJY4AfY3kHU/edit?usp=sharing  #gid=0"",""фіз особи new!relations_name""),6,FALSE)
,
(IF
(
C11244=""юридична особа""
,
VLOO"&amp;"KUP(D11244,IMPORTRANGE(""https://docs.google.com/spreadsheets/d/14Bd19lYaqBhU8_DElYkX7l4wRkHqqCUFNJY4AfY3kHU/edit?usp=sharing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3" s="7" t="s">
        <v>10</v>
      </c>
      <c r="H11243" s="7">
        <v>17586</v>
      </c>
      <c r="I11243" s="8" t="str">
        <f ca="1">IFERROR(__xludf.DUMMYFUNCTION("IF
(
G11244=""фізична особа""
,
VLOOKUP(H11244,IMPORTRANGE(""https://docs.google.com/spreadsheets/d/14Bd19lYaqBhU8_DElYkX7l4wRkHqqCUFNJY4AfY3kHU/edit?usp=sharing  #gid=0"",""фіз особи new!relations_name""),6,FALSE)
,
(IF
(
G11244=""юридична особа""
,
VLOO"&amp;"KUP(H11244,IMPORTRANGE(""https://docs.google.com/spreadsheets/d/14Bd19lYaqBhU8_DElYkX7l4wRkHqqCUFNJY4AfY3kHU/edit?usp=sharing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43" s="7" t="s">
        <v>23</v>
      </c>
    </row>
    <row r="11244" spans="1:10" ht="13.2">
      <c r="A11244" s="7">
        <v>11243</v>
      </c>
      <c r="B11244" s="7">
        <v>1</v>
      </c>
      <c r="C11244" s="7" t="s">
        <v>10</v>
      </c>
      <c r="D11244" s="7">
        <v>17588</v>
      </c>
      <c r="E11244" s="7" t="s">
        <v>23</v>
      </c>
      <c r="F11244" s="8" t="str">
        <f ca="1">IFERROR(__xludf.DUMMYFUNCTION("IF
(
C11245=""фізична особа""
,
VLOOKUP(D11245,IMPORTRANGE(""https://docs.google.com/spreadsheets/d/14Bd19lYaqBhU8_DElYkX7l4wRkHqqCUFNJY4AfY3kHU/edit?usp=sharing  #gid=0"",""фіз особи new!relations_name""),6,FALSE)
,
(IF
(
C11245=""юридична особа""
,
VLOO"&amp;"KUP(D11245,IMPORTRANGE(""https://docs.google.com/spreadsheets/d/14Bd19lYaqBhU8_DElYkX7l4wRkHqqCUFNJY4AfY3kHU/edit?usp=sharing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4" s="7" t="s">
        <v>10</v>
      </c>
      <c r="H11244" s="7">
        <v>17587</v>
      </c>
      <c r="I11244" s="8" t="str">
        <f ca="1">IFERROR(__xludf.DUMMYFUNCTION("IF
(
G11245=""фізична особа""
,
VLOOKUP(H11245,IMPORTRANGE(""https://docs.google.com/spreadsheets/d/14Bd19lYaqBhU8_DElYkX7l4wRkHqqCUFNJY4AfY3kHU/edit?usp=sharing  #gid=0"",""фіз особи new!relations_name""),6,FALSE)
,
(IF
(
G11245=""юридична особа""
,
VLOO"&amp;"KUP(H11245,IMPORTRANGE(""https://docs.google.com/spreadsheets/d/14Bd19lYaqBhU8_DElYkX7l4wRkHqqCUFNJY4AfY3kHU/edit?usp=sharing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44" s="7" t="s">
        <v>23</v>
      </c>
    </row>
    <row r="11245" spans="1:10" ht="13.2">
      <c r="A11245" s="7">
        <v>11244</v>
      </c>
      <c r="B11245" s="7">
        <v>1</v>
      </c>
      <c r="C11245" s="7" t="s">
        <v>10</v>
      </c>
      <c r="D11245" s="7">
        <v>17588</v>
      </c>
      <c r="E11245" s="7" t="s">
        <v>23</v>
      </c>
      <c r="F11245" s="8" t="str">
        <f ca="1">IFERROR(__xludf.DUMMYFUNCTION("IF
(
C11246=""фізична особа""
,
VLOOKUP(D11246,IMPORTRANGE(""https://docs.google.com/spreadsheets/d/14Bd19lYaqBhU8_DElYkX7l4wRkHqqCUFNJY4AfY3kHU/edit?usp=sharing  #gid=0"",""фіз особи new!relations_name""),6,FALSE)
,
(IF
(
C11246=""юридична особа""
,
VLOO"&amp;"KUP(D11246,IMPORTRANGE(""https://docs.google.com/spreadsheets/d/14Bd19lYaqBhU8_DElYkX7l4wRkHqqCUFNJY4AfY3kHU/edit?usp=sharing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5" s="7" t="s">
        <v>10</v>
      </c>
      <c r="H11245" s="7">
        <v>17589</v>
      </c>
      <c r="I11245" s="8" t="str">
        <f ca="1">IFERROR(__xludf.DUMMYFUNCTION("IF
(
G11246=""фізична особа""
,
VLOOKUP(H11246,IMPORTRANGE(""https://docs.google.com/spreadsheets/d/14Bd19lYaqBhU8_DElYkX7l4wRkHqqCUFNJY4AfY3kHU/edit?usp=sharing  #gid=0"",""фіз особи new!relations_name""),6,FALSE)
,
(IF
(
G11246=""юридична особа""
,
VLOO"&amp;"KUP(H11246,IMPORTRANGE(""https://docs.google.com/spreadsheets/d/14Bd19lYaqBhU8_DElYkX7l4wRkHqqCUFNJY4AfY3kHU/edit?usp=sharing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45" s="7" t="s">
        <v>23</v>
      </c>
    </row>
    <row r="11246" spans="1:10" ht="13.2">
      <c r="A11246" s="7">
        <v>11245</v>
      </c>
      <c r="B11246" s="7">
        <v>1</v>
      </c>
      <c r="C11246" s="7" t="s">
        <v>10</v>
      </c>
      <c r="D11246" s="7">
        <v>17588</v>
      </c>
      <c r="E11246" s="7" t="s">
        <v>23</v>
      </c>
      <c r="F11246" s="8" t="str">
        <f ca="1">IFERROR(__xludf.DUMMYFUNCTION("IF
(
C11247=""фізична особа""
,
VLOOKUP(D11247,IMPORTRANGE(""https://docs.google.com/spreadsheets/d/14Bd19lYaqBhU8_DElYkX7l4wRkHqqCUFNJY4AfY3kHU/edit?usp=sharing  #gid=0"",""фіз особи new!relations_name""),6,FALSE)
,
(IF
(
C11247=""юридична особа""
,
VLOO"&amp;"KUP(D11247,IMPORTRANGE(""https://docs.google.com/spreadsheets/d/14Bd19lYaqBhU8_DElYkX7l4wRkHqqCUFNJY4AfY3kHU/edit?usp=sharing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6" s="7" t="s">
        <v>10</v>
      </c>
      <c r="H11246" s="7">
        <v>17590</v>
      </c>
      <c r="I11246" s="8" t="str">
        <f ca="1">IFERROR(__xludf.DUMMYFUNCTION("IF
(
G11247=""фізична особа""
,
VLOOKUP(H11247,IMPORTRANGE(""https://docs.google.com/spreadsheets/d/14Bd19lYaqBhU8_DElYkX7l4wRkHqqCUFNJY4AfY3kHU/edit?usp=sharing  #gid=0"",""фіз особи new!relations_name""),6,FALSE)
,
(IF
(
G11247=""юридична особа""
,
VLOO"&amp;"KUP(H11247,IMPORTRANGE(""https://docs.google.com/spreadsheets/d/14Bd19lYaqBhU8_DElYkX7l4wRkHqqCUFNJY4AfY3kHU/edit?usp=sharing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46" s="7" t="s">
        <v>23</v>
      </c>
    </row>
    <row r="11247" spans="1:10" ht="13.2">
      <c r="A11247" s="7">
        <v>11246</v>
      </c>
      <c r="B11247" s="7">
        <v>1</v>
      </c>
      <c r="C11247" s="7" t="s">
        <v>10</v>
      </c>
      <c r="D11247" s="7">
        <v>17588</v>
      </c>
      <c r="E11247" s="7" t="s">
        <v>23</v>
      </c>
      <c r="F11247" s="8" t="str">
        <f ca="1">IFERROR(__xludf.DUMMYFUNCTION("IF
(
C11248=""фізична особа""
,
VLOOKUP(D11248,IMPORTRANGE(""https://docs.google.com/spreadsheets/d/14Bd19lYaqBhU8_DElYkX7l4wRkHqqCUFNJY4AfY3kHU/edit?usp=sharing  #gid=0"",""фіз особи new!relations_name""),6,FALSE)
,
(IF
(
C11248=""юридична особа""
,
VLOO"&amp;"KUP(D11248,IMPORTRANGE(""https://docs.google.com/spreadsheets/d/14Bd19lYaqBhU8_DElYkX7l4wRkHqqCUFNJY4AfY3kHU/edit?usp=sharing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7" s="7" t="s">
        <v>10</v>
      </c>
      <c r="H11247" s="7">
        <v>17591</v>
      </c>
      <c r="I11247" s="8" t="str">
        <f ca="1">IFERROR(__xludf.DUMMYFUNCTION("IF
(
G11248=""фізична особа""
,
VLOOKUP(H11248,IMPORTRANGE(""https://docs.google.com/spreadsheets/d/14Bd19lYaqBhU8_DElYkX7l4wRkHqqCUFNJY4AfY3kHU/edit?usp=sharing  #gid=0"",""фіз особи new!relations_name""),6,FALSE)
,
(IF
(
G11248=""юридична особа""
,
VLOO"&amp;"KUP(H11248,IMPORTRANGE(""https://docs.google.com/spreadsheets/d/14Bd19lYaqBhU8_DElYkX7l4wRkHqqCUFNJY4AfY3kHU/edit?usp=sharing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47" s="7" t="s">
        <v>23</v>
      </c>
    </row>
    <row r="11248" spans="1:10" ht="13.2">
      <c r="A11248" s="7">
        <v>11247</v>
      </c>
      <c r="B11248" s="7">
        <v>1</v>
      </c>
      <c r="C11248" s="7" t="s">
        <v>10</v>
      </c>
      <c r="D11248" s="7">
        <v>17588</v>
      </c>
      <c r="E11248" s="7" t="s">
        <v>23</v>
      </c>
      <c r="F11248" s="8" t="str">
        <f ca="1">IFERROR(__xludf.DUMMYFUNCTION("IF
(
C11249=""фізична особа""
,
VLOOKUP(D11249,IMPORTRANGE(""https://docs.google.com/spreadsheets/d/14Bd19lYaqBhU8_DElYkX7l4wRkHqqCUFNJY4AfY3kHU/edit?usp=sharing  #gid=0"",""фіз особи new!relations_name""),6,FALSE)
,
(IF
(
C11249=""юридична особа""
,
VLOO"&amp;"KUP(D11249,IMPORTRANGE(""https://docs.google.com/spreadsheets/d/14Bd19lYaqBhU8_DElYkX7l4wRkHqqCUFNJY4AfY3kHU/edit?usp=sharing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G11248" s="7" t="s">
        <v>10</v>
      </c>
      <c r="H11248" s="7">
        <v>17592</v>
      </c>
      <c r="I11248" s="8" t="str">
        <f ca="1">IFERROR(__xludf.DUMMYFUNCTION("IF
(
G11249=""фізична особа""
,
VLOOKUP(H11249,IMPORTRANGE(""https://docs.google.com/spreadsheets/d/14Bd19lYaqBhU8_DElYkX7l4wRkHqqCUFNJY4AfY3kHU/edit?usp=sharing  #gid=0"",""фіз особи new!relations_name""),6,FALSE)
,
(IF
(
G11249=""юридична особа""
,
VLOO"&amp;"KUP(H11249,IMPORTRANGE(""https://docs.google.com/spreadsheets/d/14Bd19lYaqBhU8_DElYkX7l4wRkHqqCUFNJY4AfY3kHU/edit?usp=sharing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48" s="7" t="s">
        <v>23</v>
      </c>
    </row>
    <row r="11249" spans="1:10" ht="13.2">
      <c r="A11249" s="7">
        <v>11248</v>
      </c>
      <c r="B11249" s="7">
        <v>1</v>
      </c>
      <c r="C11249" s="7" t="s">
        <v>10</v>
      </c>
      <c r="D11249" s="7">
        <v>17589</v>
      </c>
      <c r="E11249" s="7" t="s">
        <v>23</v>
      </c>
      <c r="F11249" s="8" t="str">
        <f ca="1">IFERROR(__xludf.DUMMYFUNCTION("IF
(
C11250=""фізична особа""
,
VLOOKUP(D11250,IMPORTRANGE(""https://docs.google.com/spreadsheets/d/14Bd19lYaqBhU8_DElYkX7l4wRkHqqCUFNJY4AfY3kHU/edit?usp=sharing  #gid=0"",""фіз особи new!relations_name""),6,FALSE)
,
(IF
(
C11250=""юридична особа""
,
VLOO"&amp;"KUP(D11250,IMPORTRANGE(""https://docs.google.com/spreadsheets/d/14Bd19lYaqBhU8_DElYkX7l4wRkHqqCUFNJY4AfY3kHU/edit?usp=sharing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49" s="7" t="s">
        <v>10</v>
      </c>
      <c r="H11249" s="7">
        <v>23628</v>
      </c>
      <c r="I11249" s="8" t="str">
        <f ca="1">IFERROR(__xludf.DUMMYFUNCTION("IF
(
G11250=""фізична особа""
,
VLOOKUP(H11250,IMPORTRANGE(""https://docs.google.com/spreadsheets/d/14Bd19lYaqBhU8_DElYkX7l4wRkHqqCUFNJY4AfY3kHU/edit?usp=sharing  #gid=0"",""фіз особи new!relations_name""),6,FALSE)
,
(IF
(
G11250=""юридична особа""
,
VLOO"&amp;"KUP(H11250,IMPORTRANGE(""https://docs.google.com/spreadsheets/d/14Bd19lYaqBhU8_DElYkX7l4wRkHqqCUFNJY4AfY3kHU/edit?usp=sharing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49" s="7" t="s">
        <v>23</v>
      </c>
    </row>
    <row r="11250" spans="1:10" ht="13.2">
      <c r="A11250" s="7">
        <v>11249</v>
      </c>
      <c r="B11250" s="7">
        <v>1</v>
      </c>
      <c r="C11250" s="7" t="s">
        <v>10</v>
      </c>
      <c r="D11250" s="7">
        <v>17589</v>
      </c>
      <c r="E11250" s="7" t="s">
        <v>23</v>
      </c>
      <c r="F11250" s="8" t="str">
        <f ca="1">IFERROR(__xludf.DUMMYFUNCTION("IF
(
C11251=""фізична особа""
,
VLOOKUP(D11251,IMPORTRANGE(""https://docs.google.com/spreadsheets/d/14Bd19lYaqBhU8_DElYkX7l4wRkHqqCUFNJY4AfY3kHU/edit?usp=sharing  #gid=0"",""фіз особи new!relations_name""),6,FALSE)
,
(IF
(
C11251=""юридична особа""
,
VLOO"&amp;"KUP(D11251,IMPORTRANGE(""https://docs.google.com/spreadsheets/d/14Bd19lYaqBhU8_DElYkX7l4wRkHqqCUFNJY4AfY3kHU/edit?usp=sharing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0" s="7" t="s">
        <v>10</v>
      </c>
      <c r="H11250" s="7">
        <v>17584</v>
      </c>
      <c r="I11250" s="8" t="str">
        <f ca="1">IFERROR(__xludf.DUMMYFUNCTION("IF
(
G11251=""фізична особа""
,
VLOOKUP(H11251,IMPORTRANGE(""https://docs.google.com/spreadsheets/d/14Bd19lYaqBhU8_DElYkX7l4wRkHqqCUFNJY4AfY3kHU/edit?usp=sharing  #gid=0"",""фіз особи new!relations_name""),6,FALSE)
,
(IF
(
G11251=""юридична особа""
,
VLOO"&amp;"KUP(H11251,IMPORTRANGE(""https://docs.google.com/spreadsheets/d/14Bd19lYaqBhU8_DElYkX7l4wRkHqqCUFNJY4AfY3kHU/edit?usp=sharing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50" s="7" t="s">
        <v>23</v>
      </c>
    </row>
    <row r="11251" spans="1:10" ht="13.2">
      <c r="A11251" s="7">
        <v>11250</v>
      </c>
      <c r="B11251" s="7">
        <v>1</v>
      </c>
      <c r="C11251" s="7" t="s">
        <v>10</v>
      </c>
      <c r="D11251" s="7">
        <v>17589</v>
      </c>
      <c r="E11251" s="7" t="s">
        <v>23</v>
      </c>
      <c r="F11251" s="8" t="str">
        <f ca="1">IFERROR(__xludf.DUMMYFUNCTION("IF
(
C11252=""фізична особа""
,
VLOOKUP(D11252,IMPORTRANGE(""https://docs.google.com/spreadsheets/d/14Bd19lYaqBhU8_DElYkX7l4wRkHqqCUFNJY4AfY3kHU/edit?usp=sharing  #gid=0"",""фіз особи new!relations_name""),6,FALSE)
,
(IF
(
C11252=""юридична особа""
,
VLOO"&amp;"KUP(D11252,IMPORTRANGE(""https://docs.google.com/spreadsheets/d/14Bd19lYaqBhU8_DElYkX7l4wRkHqqCUFNJY4AfY3kHU/edit?usp=sharing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1" s="7" t="s">
        <v>10</v>
      </c>
      <c r="H11251" s="7">
        <v>17585</v>
      </c>
      <c r="I11251" s="8" t="str">
        <f ca="1">IFERROR(__xludf.DUMMYFUNCTION("IF
(
G11252=""фізична особа""
,
VLOOKUP(H11252,IMPORTRANGE(""https://docs.google.com/spreadsheets/d/14Bd19lYaqBhU8_DElYkX7l4wRkHqqCUFNJY4AfY3kHU/edit?usp=sharing  #gid=0"",""фіз особи new!relations_name""),6,FALSE)
,
(IF
(
G11252=""юридична особа""
,
VLOO"&amp;"KUP(H11252,IMPORTRANGE(""https://docs.google.com/spreadsheets/d/14Bd19lYaqBhU8_DElYkX7l4wRkHqqCUFNJY4AfY3kHU/edit?usp=sharing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51" s="7" t="s">
        <v>23</v>
      </c>
    </row>
    <row r="11252" spans="1:10" ht="13.2">
      <c r="A11252" s="7">
        <v>11251</v>
      </c>
      <c r="B11252" s="7">
        <v>1</v>
      </c>
      <c r="C11252" s="7" t="s">
        <v>10</v>
      </c>
      <c r="D11252" s="7">
        <v>17589</v>
      </c>
      <c r="E11252" s="7" t="s">
        <v>23</v>
      </c>
      <c r="F11252" s="8" t="str">
        <f ca="1">IFERROR(__xludf.DUMMYFUNCTION("IF
(
C11253=""фізична особа""
,
VLOOKUP(D11253,IMPORTRANGE(""https://docs.google.com/spreadsheets/d/14Bd19lYaqBhU8_DElYkX7l4wRkHqqCUFNJY4AfY3kHU/edit?usp=sharing  #gid=0"",""фіз особи new!relations_name""),6,FALSE)
,
(IF
(
C11253=""юридична особа""
,
VLOO"&amp;"KUP(D11253,IMPORTRANGE(""https://docs.google.com/spreadsheets/d/14Bd19lYaqBhU8_DElYkX7l4wRkHqqCUFNJY4AfY3kHU/edit?usp=sharing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2" s="7" t="s">
        <v>10</v>
      </c>
      <c r="H11252" s="7">
        <v>17586</v>
      </c>
      <c r="I11252" s="8" t="str">
        <f ca="1">IFERROR(__xludf.DUMMYFUNCTION("IF
(
G11253=""фізична особа""
,
VLOOKUP(H11253,IMPORTRANGE(""https://docs.google.com/spreadsheets/d/14Bd19lYaqBhU8_DElYkX7l4wRkHqqCUFNJY4AfY3kHU/edit?usp=sharing  #gid=0"",""фіз особи new!relations_name""),6,FALSE)
,
(IF
(
G11253=""юридична особа""
,
VLOO"&amp;"KUP(H11253,IMPORTRANGE(""https://docs.google.com/spreadsheets/d/14Bd19lYaqBhU8_DElYkX7l4wRkHqqCUFNJY4AfY3kHU/edit?usp=sharing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52" s="7" t="s">
        <v>23</v>
      </c>
    </row>
    <row r="11253" spans="1:10" ht="13.2">
      <c r="A11253" s="7">
        <v>11252</v>
      </c>
      <c r="B11253" s="7">
        <v>1</v>
      </c>
      <c r="C11253" s="7" t="s">
        <v>10</v>
      </c>
      <c r="D11253" s="7">
        <v>17589</v>
      </c>
      <c r="E11253" s="7" t="s">
        <v>23</v>
      </c>
      <c r="F11253" s="8" t="str">
        <f ca="1">IFERROR(__xludf.DUMMYFUNCTION("IF
(
C11254=""фізична особа""
,
VLOOKUP(D11254,IMPORTRANGE(""https://docs.google.com/spreadsheets/d/14Bd19lYaqBhU8_DElYkX7l4wRkHqqCUFNJY4AfY3kHU/edit?usp=sharing  #gid=0"",""фіз особи new!relations_name""),6,FALSE)
,
(IF
(
C11254=""юридична особа""
,
VLOO"&amp;"KUP(D11254,IMPORTRANGE(""https://docs.google.com/spreadsheets/d/14Bd19lYaqBhU8_DElYkX7l4wRkHqqCUFNJY4AfY3kHU/edit?usp=sharing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3" s="7" t="s">
        <v>10</v>
      </c>
      <c r="H11253" s="7">
        <v>17587</v>
      </c>
      <c r="I11253" s="8" t="str">
        <f ca="1">IFERROR(__xludf.DUMMYFUNCTION("IF
(
G11254=""фізична особа""
,
VLOOKUP(H11254,IMPORTRANGE(""https://docs.google.com/spreadsheets/d/14Bd19lYaqBhU8_DElYkX7l4wRkHqqCUFNJY4AfY3kHU/edit?usp=sharing  #gid=0"",""фіз особи new!relations_name""),6,FALSE)
,
(IF
(
G11254=""юридична особа""
,
VLOO"&amp;"KUP(H11254,IMPORTRANGE(""https://docs.google.com/spreadsheets/d/14Bd19lYaqBhU8_DElYkX7l4wRkHqqCUFNJY4AfY3kHU/edit?usp=sharing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53" s="7" t="s">
        <v>23</v>
      </c>
    </row>
    <row r="11254" spans="1:10" ht="13.2">
      <c r="A11254" s="7">
        <v>11253</v>
      </c>
      <c r="B11254" s="7">
        <v>1</v>
      </c>
      <c r="C11254" s="7" t="s">
        <v>10</v>
      </c>
      <c r="D11254" s="7">
        <v>17589</v>
      </c>
      <c r="E11254" s="7" t="s">
        <v>23</v>
      </c>
      <c r="F11254" s="8" t="str">
        <f ca="1">IFERROR(__xludf.DUMMYFUNCTION("IF
(
C11255=""фізична особа""
,
VLOOKUP(D11255,IMPORTRANGE(""https://docs.google.com/spreadsheets/d/14Bd19lYaqBhU8_DElYkX7l4wRkHqqCUFNJY4AfY3kHU/edit?usp=sharing  #gid=0"",""фіз особи new!relations_name""),6,FALSE)
,
(IF
(
C11255=""юридична особа""
,
VLOO"&amp;"KUP(D11255,IMPORTRANGE(""https://docs.google.com/spreadsheets/d/14Bd19lYaqBhU8_DElYkX7l4wRkHqqCUFNJY4AfY3kHU/edit?usp=sharing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4" s="7" t="s">
        <v>10</v>
      </c>
      <c r="H11254" s="7">
        <v>17588</v>
      </c>
      <c r="I11254" s="8" t="str">
        <f ca="1">IFERROR(__xludf.DUMMYFUNCTION("IF
(
G11255=""фізична особа""
,
VLOOKUP(H11255,IMPORTRANGE(""https://docs.google.com/spreadsheets/d/14Bd19lYaqBhU8_DElYkX7l4wRkHqqCUFNJY4AfY3kHU/edit?usp=sharing  #gid=0"",""фіз особи new!relations_name""),6,FALSE)
,
(IF
(
G11255=""юридична особа""
,
VLOO"&amp;"KUP(H11255,IMPORTRANGE(""https://docs.google.com/spreadsheets/d/14Bd19lYaqBhU8_DElYkX7l4wRkHqqCUFNJY4AfY3kHU/edit?usp=sharing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54" s="7" t="s">
        <v>23</v>
      </c>
    </row>
    <row r="11255" spans="1:10" ht="13.2">
      <c r="A11255" s="7">
        <v>11254</v>
      </c>
      <c r="B11255" s="7">
        <v>1</v>
      </c>
      <c r="C11255" s="7" t="s">
        <v>10</v>
      </c>
      <c r="D11255" s="7">
        <v>17589</v>
      </c>
      <c r="E11255" s="7" t="s">
        <v>23</v>
      </c>
      <c r="F11255" s="8" t="str">
        <f ca="1">IFERROR(__xludf.DUMMYFUNCTION("IF
(
C11256=""фізична особа""
,
VLOOKUP(D11256,IMPORTRANGE(""https://docs.google.com/spreadsheets/d/14Bd19lYaqBhU8_DElYkX7l4wRkHqqCUFNJY4AfY3kHU/edit?usp=sharing  #gid=0"",""фіз особи new!relations_name""),6,FALSE)
,
(IF
(
C11256=""юридична особа""
,
VLOO"&amp;"KUP(D11256,IMPORTRANGE(""https://docs.google.com/spreadsheets/d/14Bd19lYaqBhU8_DElYkX7l4wRkHqqCUFNJY4AfY3kHU/edit?usp=sharing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5" s="7" t="s">
        <v>10</v>
      </c>
      <c r="H11255" s="7">
        <v>17590</v>
      </c>
      <c r="I11255" s="8" t="str">
        <f ca="1">IFERROR(__xludf.DUMMYFUNCTION("IF
(
G11256=""фізична особа""
,
VLOOKUP(H11256,IMPORTRANGE(""https://docs.google.com/spreadsheets/d/14Bd19lYaqBhU8_DElYkX7l4wRkHqqCUFNJY4AfY3kHU/edit?usp=sharing  #gid=0"",""фіз особи new!relations_name""),6,FALSE)
,
(IF
(
G11256=""юридична особа""
,
VLOO"&amp;"KUP(H11256,IMPORTRANGE(""https://docs.google.com/spreadsheets/d/14Bd19lYaqBhU8_DElYkX7l4wRkHqqCUFNJY4AfY3kHU/edit?usp=sharing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55" s="7" t="s">
        <v>23</v>
      </c>
    </row>
    <row r="11256" spans="1:10" ht="13.2">
      <c r="A11256" s="7">
        <v>11255</v>
      </c>
      <c r="B11256" s="7">
        <v>1</v>
      </c>
      <c r="C11256" s="7" t="s">
        <v>10</v>
      </c>
      <c r="D11256" s="7">
        <v>17589</v>
      </c>
      <c r="E11256" s="7" t="s">
        <v>23</v>
      </c>
      <c r="F11256" s="8" t="str">
        <f ca="1">IFERROR(__xludf.DUMMYFUNCTION("IF
(
C11257=""фізична особа""
,
VLOOKUP(D11257,IMPORTRANGE(""https://docs.google.com/spreadsheets/d/14Bd19lYaqBhU8_DElYkX7l4wRkHqqCUFNJY4AfY3kHU/edit?usp=sharing  #gid=0"",""фіз особи new!relations_name""),6,FALSE)
,
(IF
(
C11257=""юридична особа""
,
VLOO"&amp;"KUP(D11257,IMPORTRANGE(""https://docs.google.com/spreadsheets/d/14Bd19lYaqBhU8_DElYkX7l4wRkHqqCUFNJY4AfY3kHU/edit?usp=sharing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6" s="7" t="s">
        <v>10</v>
      </c>
      <c r="H11256" s="7">
        <v>17591</v>
      </c>
      <c r="I11256" s="8" t="str">
        <f ca="1">IFERROR(__xludf.DUMMYFUNCTION("IF
(
G11257=""фізична особа""
,
VLOOKUP(H11257,IMPORTRANGE(""https://docs.google.com/spreadsheets/d/14Bd19lYaqBhU8_DElYkX7l4wRkHqqCUFNJY4AfY3kHU/edit?usp=sharing  #gid=0"",""фіз особи new!relations_name""),6,FALSE)
,
(IF
(
G11257=""юридична особа""
,
VLOO"&amp;"KUP(H11257,IMPORTRANGE(""https://docs.google.com/spreadsheets/d/14Bd19lYaqBhU8_DElYkX7l4wRkHqqCUFNJY4AfY3kHU/edit?usp=sharing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56" s="7" t="s">
        <v>23</v>
      </c>
    </row>
    <row r="11257" spans="1:10" ht="13.2">
      <c r="A11257" s="7">
        <v>11256</v>
      </c>
      <c r="B11257" s="7">
        <v>1</v>
      </c>
      <c r="C11257" s="7" t="s">
        <v>10</v>
      </c>
      <c r="D11257" s="7">
        <v>17589</v>
      </c>
      <c r="E11257" s="7" t="s">
        <v>23</v>
      </c>
      <c r="F11257" s="8" t="str">
        <f ca="1">IFERROR(__xludf.DUMMYFUNCTION("IF
(
C11258=""фізична особа""
,
VLOOKUP(D11258,IMPORTRANGE(""https://docs.google.com/spreadsheets/d/14Bd19lYaqBhU8_DElYkX7l4wRkHqqCUFNJY4AfY3kHU/edit?usp=sharing  #gid=0"",""фіз особи new!relations_name""),6,FALSE)
,
(IF
(
C11258=""юридична особа""
,
VLOO"&amp;"KUP(D11258,IMPORTRANGE(""https://docs.google.com/spreadsheets/d/14Bd19lYaqBhU8_DElYkX7l4wRkHqqCUFNJY4AfY3kHU/edit?usp=sharing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G11257" s="7" t="s">
        <v>10</v>
      </c>
      <c r="H11257" s="7">
        <v>17592</v>
      </c>
      <c r="I11257" s="8" t="str">
        <f ca="1">IFERROR(__xludf.DUMMYFUNCTION("IF
(
G11258=""фізична особа""
,
VLOOKUP(H11258,IMPORTRANGE(""https://docs.google.com/spreadsheets/d/14Bd19lYaqBhU8_DElYkX7l4wRkHqqCUFNJY4AfY3kHU/edit?usp=sharing  #gid=0"",""фіз особи new!relations_name""),6,FALSE)
,
(IF
(
G11258=""юридична особа""
,
VLOO"&amp;"KUP(H11258,IMPORTRANGE(""https://docs.google.com/spreadsheets/d/14Bd19lYaqBhU8_DElYkX7l4wRkHqqCUFNJY4AfY3kHU/edit?usp=sharing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57" s="7" t="s">
        <v>23</v>
      </c>
    </row>
    <row r="11258" spans="1:10" ht="13.2">
      <c r="A11258" s="7">
        <v>11257</v>
      </c>
      <c r="B11258" s="7">
        <v>1</v>
      </c>
      <c r="C11258" s="7" t="s">
        <v>10</v>
      </c>
      <c r="D11258" s="7">
        <v>17590</v>
      </c>
      <c r="E11258" s="7" t="s">
        <v>23</v>
      </c>
      <c r="F11258" s="8" t="str">
        <f ca="1">IFERROR(__xludf.DUMMYFUNCTION("IF
(
C11259=""фізична особа""
,
VLOOKUP(D11259,IMPORTRANGE(""https://docs.google.com/spreadsheets/d/14Bd19lYaqBhU8_DElYkX7l4wRkHqqCUFNJY4AfY3kHU/edit?usp=sharing  #gid=0"",""фіз особи new!relations_name""),6,FALSE)
,
(IF
(
C11259=""юридична особа""
,
VLOO"&amp;"KUP(D11259,IMPORTRANGE(""https://docs.google.com/spreadsheets/d/14Bd19lYaqBhU8_DElYkX7l4wRkHqqCUFNJY4AfY3kHU/edit?usp=sharing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58" s="7" t="s">
        <v>10</v>
      </c>
      <c r="H11258" s="7">
        <v>23628</v>
      </c>
      <c r="I11258" s="8" t="str">
        <f ca="1">IFERROR(__xludf.DUMMYFUNCTION("IF
(
G11259=""фізична особа""
,
VLOOKUP(H11259,IMPORTRANGE(""https://docs.google.com/spreadsheets/d/14Bd19lYaqBhU8_DElYkX7l4wRkHqqCUFNJY4AfY3kHU/edit?usp=sharing  #gid=0"",""фіз особи new!relations_name""),6,FALSE)
,
(IF
(
G11259=""юридична особа""
,
VLOO"&amp;"KUP(H11259,IMPORTRANGE(""https://docs.google.com/spreadsheets/d/14Bd19lYaqBhU8_DElYkX7l4wRkHqqCUFNJY4AfY3kHU/edit?usp=sharing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58" s="7" t="s">
        <v>23</v>
      </c>
    </row>
    <row r="11259" spans="1:10" ht="13.2">
      <c r="A11259" s="7">
        <v>11258</v>
      </c>
      <c r="B11259" s="7">
        <v>1</v>
      </c>
      <c r="C11259" s="7" t="s">
        <v>10</v>
      </c>
      <c r="D11259" s="7">
        <v>17590</v>
      </c>
      <c r="E11259" s="7" t="s">
        <v>23</v>
      </c>
      <c r="F11259" s="8" t="str">
        <f ca="1">IFERROR(__xludf.DUMMYFUNCTION("IF
(
C11260=""фізична особа""
,
VLOOKUP(D11260,IMPORTRANGE(""https://docs.google.com/spreadsheets/d/14Bd19lYaqBhU8_DElYkX7l4wRkHqqCUFNJY4AfY3kHU/edit?usp=sharing  #gid=0"",""фіз особи new!relations_name""),6,FALSE)
,
(IF
(
C11260=""юридична особа""
,
VLOO"&amp;"KUP(D11260,IMPORTRANGE(""https://docs.google.com/spreadsheets/d/14Bd19lYaqBhU8_DElYkX7l4wRkHqqCUFNJY4AfY3kHU/edit?usp=sharing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59" s="7" t="s">
        <v>10</v>
      </c>
      <c r="H11259" s="7">
        <v>17584</v>
      </c>
      <c r="I11259" s="8" t="str">
        <f ca="1">IFERROR(__xludf.DUMMYFUNCTION("IF
(
G11260=""фізична особа""
,
VLOOKUP(H11260,IMPORTRANGE(""https://docs.google.com/spreadsheets/d/14Bd19lYaqBhU8_DElYkX7l4wRkHqqCUFNJY4AfY3kHU/edit?usp=sharing  #gid=0"",""фіз особи new!relations_name""),6,FALSE)
,
(IF
(
G11260=""юридична особа""
,
VLOO"&amp;"KUP(H11260,IMPORTRANGE(""https://docs.google.com/spreadsheets/d/14Bd19lYaqBhU8_DElYkX7l4wRkHqqCUFNJY4AfY3kHU/edit?usp=sharing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59" s="7" t="s">
        <v>23</v>
      </c>
    </row>
    <row r="11260" spans="1:10" ht="13.2">
      <c r="A11260" s="7">
        <v>11259</v>
      </c>
      <c r="B11260" s="7">
        <v>1</v>
      </c>
      <c r="C11260" s="7" t="s">
        <v>10</v>
      </c>
      <c r="D11260" s="7">
        <v>17590</v>
      </c>
      <c r="E11260" s="7" t="s">
        <v>23</v>
      </c>
      <c r="F11260" s="8" t="str">
        <f ca="1">IFERROR(__xludf.DUMMYFUNCTION("IF
(
C11261=""фізична особа""
,
VLOOKUP(D11261,IMPORTRANGE(""https://docs.google.com/spreadsheets/d/14Bd19lYaqBhU8_DElYkX7l4wRkHqqCUFNJY4AfY3kHU/edit?usp=sharing  #gid=0"",""фіз особи new!relations_name""),6,FALSE)
,
(IF
(
C11261=""юридична особа""
,
VLOO"&amp;"KUP(D11261,IMPORTRANGE(""https://docs.google.com/spreadsheets/d/14Bd19lYaqBhU8_DElYkX7l4wRkHqqCUFNJY4AfY3kHU/edit?usp=sharing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0" s="7" t="s">
        <v>10</v>
      </c>
      <c r="H11260" s="7">
        <v>17585</v>
      </c>
      <c r="I11260" s="8" t="str">
        <f ca="1">IFERROR(__xludf.DUMMYFUNCTION("IF
(
G11261=""фізична особа""
,
VLOOKUP(H11261,IMPORTRANGE(""https://docs.google.com/spreadsheets/d/14Bd19lYaqBhU8_DElYkX7l4wRkHqqCUFNJY4AfY3kHU/edit?usp=sharing  #gid=0"",""фіз особи new!relations_name""),6,FALSE)
,
(IF
(
G11261=""юридична особа""
,
VLOO"&amp;"KUP(H11261,IMPORTRANGE(""https://docs.google.com/spreadsheets/d/14Bd19lYaqBhU8_DElYkX7l4wRkHqqCUFNJY4AfY3kHU/edit?usp=sharing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60" s="7" t="s">
        <v>23</v>
      </c>
    </row>
    <row r="11261" spans="1:10" ht="13.2">
      <c r="A11261" s="7">
        <v>11260</v>
      </c>
      <c r="B11261" s="7">
        <v>1</v>
      </c>
      <c r="C11261" s="7" t="s">
        <v>10</v>
      </c>
      <c r="D11261" s="7">
        <v>17590</v>
      </c>
      <c r="E11261" s="7" t="s">
        <v>23</v>
      </c>
      <c r="F11261" s="8" t="str">
        <f ca="1">IFERROR(__xludf.DUMMYFUNCTION("IF
(
C11262=""фізична особа""
,
VLOOKUP(D11262,IMPORTRANGE(""https://docs.google.com/spreadsheets/d/14Bd19lYaqBhU8_DElYkX7l4wRkHqqCUFNJY4AfY3kHU/edit?usp=sharing  #gid=0"",""фіз особи new!relations_name""),6,FALSE)
,
(IF
(
C11262=""юридична особа""
,
VLOO"&amp;"KUP(D11262,IMPORTRANGE(""https://docs.google.com/spreadsheets/d/14Bd19lYaqBhU8_DElYkX7l4wRkHqqCUFNJY4AfY3kHU/edit?usp=sharing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1" s="7" t="s">
        <v>10</v>
      </c>
      <c r="H11261" s="7">
        <v>17586</v>
      </c>
      <c r="I11261" s="8" t="str">
        <f ca="1">IFERROR(__xludf.DUMMYFUNCTION("IF
(
G11262=""фізична особа""
,
VLOOKUP(H11262,IMPORTRANGE(""https://docs.google.com/spreadsheets/d/14Bd19lYaqBhU8_DElYkX7l4wRkHqqCUFNJY4AfY3kHU/edit?usp=sharing  #gid=0"",""фіз особи new!relations_name""),6,FALSE)
,
(IF
(
G11262=""юридична особа""
,
VLOO"&amp;"KUP(H11262,IMPORTRANGE(""https://docs.google.com/spreadsheets/d/14Bd19lYaqBhU8_DElYkX7l4wRkHqqCUFNJY4AfY3kHU/edit?usp=sharing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61" s="7" t="s">
        <v>23</v>
      </c>
    </row>
    <row r="11262" spans="1:10" ht="13.2">
      <c r="A11262" s="7">
        <v>11261</v>
      </c>
      <c r="B11262" s="7">
        <v>1</v>
      </c>
      <c r="C11262" s="7" t="s">
        <v>10</v>
      </c>
      <c r="D11262" s="7">
        <v>17590</v>
      </c>
      <c r="E11262" s="7" t="s">
        <v>23</v>
      </c>
      <c r="F11262" s="8" t="str">
        <f ca="1">IFERROR(__xludf.DUMMYFUNCTION("IF
(
C11263=""фізична особа""
,
VLOOKUP(D11263,IMPORTRANGE(""https://docs.google.com/spreadsheets/d/14Bd19lYaqBhU8_DElYkX7l4wRkHqqCUFNJY4AfY3kHU/edit?usp=sharing  #gid=0"",""фіз особи new!relations_name""),6,FALSE)
,
(IF
(
C11263=""юридична особа""
,
VLOO"&amp;"KUP(D11263,IMPORTRANGE(""https://docs.google.com/spreadsheets/d/14Bd19lYaqBhU8_DElYkX7l4wRkHqqCUFNJY4AfY3kHU/edit?usp=sharing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2" s="7" t="s">
        <v>10</v>
      </c>
      <c r="H11262" s="7">
        <v>17587</v>
      </c>
      <c r="I11262" s="8" t="str">
        <f ca="1">IFERROR(__xludf.DUMMYFUNCTION("IF
(
G11263=""фізична особа""
,
VLOOKUP(H11263,IMPORTRANGE(""https://docs.google.com/spreadsheets/d/14Bd19lYaqBhU8_DElYkX7l4wRkHqqCUFNJY4AfY3kHU/edit?usp=sharing  #gid=0"",""фіз особи new!relations_name""),6,FALSE)
,
(IF
(
G11263=""юридична особа""
,
VLOO"&amp;"KUP(H11263,IMPORTRANGE(""https://docs.google.com/spreadsheets/d/14Bd19lYaqBhU8_DElYkX7l4wRkHqqCUFNJY4AfY3kHU/edit?usp=sharing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62" s="7" t="s">
        <v>23</v>
      </c>
    </row>
    <row r="11263" spans="1:10" ht="13.2">
      <c r="A11263" s="7">
        <v>11262</v>
      </c>
      <c r="B11263" s="7">
        <v>1</v>
      </c>
      <c r="C11263" s="7" t="s">
        <v>10</v>
      </c>
      <c r="D11263" s="7">
        <v>17590</v>
      </c>
      <c r="E11263" s="7" t="s">
        <v>23</v>
      </c>
      <c r="F11263" s="8" t="str">
        <f ca="1">IFERROR(__xludf.DUMMYFUNCTION("IF
(
C11264=""фізична особа""
,
VLOOKUP(D11264,IMPORTRANGE(""https://docs.google.com/spreadsheets/d/14Bd19lYaqBhU8_DElYkX7l4wRkHqqCUFNJY4AfY3kHU/edit?usp=sharing  #gid=0"",""фіз особи new!relations_name""),6,FALSE)
,
(IF
(
C11264=""юридична особа""
,
VLOO"&amp;"KUP(D11264,IMPORTRANGE(""https://docs.google.com/spreadsheets/d/14Bd19lYaqBhU8_DElYkX7l4wRkHqqCUFNJY4AfY3kHU/edit?usp=sharing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3" s="7" t="s">
        <v>10</v>
      </c>
      <c r="H11263" s="7">
        <v>17588</v>
      </c>
      <c r="I11263" s="8" t="str">
        <f ca="1">IFERROR(__xludf.DUMMYFUNCTION("IF
(
G11264=""фізична особа""
,
VLOOKUP(H11264,IMPORTRANGE(""https://docs.google.com/spreadsheets/d/14Bd19lYaqBhU8_DElYkX7l4wRkHqqCUFNJY4AfY3kHU/edit?usp=sharing  #gid=0"",""фіз особи new!relations_name""),6,FALSE)
,
(IF
(
G11264=""юридична особа""
,
VLOO"&amp;"KUP(H11264,IMPORTRANGE(""https://docs.google.com/spreadsheets/d/14Bd19lYaqBhU8_DElYkX7l4wRkHqqCUFNJY4AfY3kHU/edit?usp=sharing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63" s="7" t="s">
        <v>23</v>
      </c>
    </row>
    <row r="11264" spans="1:10" ht="13.2">
      <c r="A11264" s="7">
        <v>11263</v>
      </c>
      <c r="B11264" s="7">
        <v>1</v>
      </c>
      <c r="C11264" s="7" t="s">
        <v>10</v>
      </c>
      <c r="D11264" s="7">
        <v>17590</v>
      </c>
      <c r="E11264" s="7" t="s">
        <v>23</v>
      </c>
      <c r="F11264" s="8" t="str">
        <f ca="1">IFERROR(__xludf.DUMMYFUNCTION("IF
(
C11265=""фізична особа""
,
VLOOKUP(D11265,IMPORTRANGE(""https://docs.google.com/spreadsheets/d/14Bd19lYaqBhU8_DElYkX7l4wRkHqqCUFNJY4AfY3kHU/edit?usp=sharing  #gid=0"",""фіз особи new!relations_name""),6,FALSE)
,
(IF
(
C11265=""юридична особа""
,
VLOO"&amp;"KUP(D11265,IMPORTRANGE(""https://docs.google.com/spreadsheets/d/14Bd19lYaqBhU8_DElYkX7l4wRkHqqCUFNJY4AfY3kHU/edit?usp=sharing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4" s="7" t="s">
        <v>10</v>
      </c>
      <c r="H11264" s="7">
        <v>17589</v>
      </c>
      <c r="I11264" s="8" t="str">
        <f ca="1">IFERROR(__xludf.DUMMYFUNCTION("IF
(
G11265=""фізична особа""
,
VLOOKUP(H11265,IMPORTRANGE(""https://docs.google.com/spreadsheets/d/14Bd19lYaqBhU8_DElYkX7l4wRkHqqCUFNJY4AfY3kHU/edit?usp=sharing  #gid=0"",""фіз особи new!relations_name""),6,FALSE)
,
(IF
(
G11265=""юридична особа""
,
VLOO"&amp;"KUP(H11265,IMPORTRANGE(""https://docs.google.com/spreadsheets/d/14Bd19lYaqBhU8_DElYkX7l4wRkHqqCUFNJY4AfY3kHU/edit?usp=sharing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64" s="7" t="s">
        <v>23</v>
      </c>
    </row>
    <row r="11265" spans="1:10" ht="13.2">
      <c r="A11265" s="7">
        <v>11264</v>
      </c>
      <c r="B11265" s="7">
        <v>1</v>
      </c>
      <c r="C11265" s="7" t="s">
        <v>10</v>
      </c>
      <c r="D11265" s="7">
        <v>17590</v>
      </c>
      <c r="E11265" s="7" t="s">
        <v>23</v>
      </c>
      <c r="F11265" s="8" t="str">
        <f ca="1">IFERROR(__xludf.DUMMYFUNCTION("IF
(
C11266=""фізична особа""
,
VLOOKUP(D11266,IMPORTRANGE(""https://docs.google.com/spreadsheets/d/14Bd19lYaqBhU8_DElYkX7l4wRkHqqCUFNJY4AfY3kHU/edit?usp=sharing  #gid=0"",""фіз особи new!relations_name""),6,FALSE)
,
(IF
(
C11266=""юридична особа""
,
VLOO"&amp;"KUP(D11266,IMPORTRANGE(""https://docs.google.com/spreadsheets/d/14Bd19lYaqBhU8_DElYkX7l4wRkHqqCUFNJY4AfY3kHU/edit?usp=sharing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5" s="7" t="s">
        <v>10</v>
      </c>
      <c r="H11265" s="7">
        <v>17591</v>
      </c>
      <c r="I11265" s="8" t="str">
        <f ca="1">IFERROR(__xludf.DUMMYFUNCTION("IF
(
G11266=""фізична особа""
,
VLOOKUP(H11266,IMPORTRANGE(""https://docs.google.com/spreadsheets/d/14Bd19lYaqBhU8_DElYkX7l4wRkHqqCUFNJY4AfY3kHU/edit?usp=sharing  #gid=0"",""фіз особи new!relations_name""),6,FALSE)
,
(IF
(
G11266=""юридична особа""
,
VLOO"&amp;"KUP(H11266,IMPORTRANGE(""https://docs.google.com/spreadsheets/d/14Bd19lYaqBhU8_DElYkX7l4wRkHqqCUFNJY4AfY3kHU/edit?usp=sharing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65" s="7" t="s">
        <v>23</v>
      </c>
    </row>
    <row r="11266" spans="1:10" ht="13.2">
      <c r="A11266" s="7">
        <v>11265</v>
      </c>
      <c r="B11266" s="7">
        <v>1</v>
      </c>
      <c r="C11266" s="7" t="s">
        <v>10</v>
      </c>
      <c r="D11266" s="7">
        <v>17590</v>
      </c>
      <c r="E11266" s="7" t="s">
        <v>23</v>
      </c>
      <c r="F11266" s="8" t="str">
        <f ca="1">IFERROR(__xludf.DUMMYFUNCTION("IF
(
C11267=""фізична особа""
,
VLOOKUP(D11267,IMPORTRANGE(""https://docs.google.com/spreadsheets/d/14Bd19lYaqBhU8_DElYkX7l4wRkHqqCUFNJY4AfY3kHU/edit?usp=sharing  #gid=0"",""фіз особи new!relations_name""),6,FALSE)
,
(IF
(
C11267=""юридична особа""
,
VLOO"&amp;"KUP(D11267,IMPORTRANGE(""https://docs.google.com/spreadsheets/d/14Bd19lYaqBhU8_DElYkX7l4wRkHqqCUFNJY4AfY3kHU/edit?usp=sharing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G11266" s="7" t="s">
        <v>10</v>
      </c>
      <c r="H11266" s="7">
        <v>17592</v>
      </c>
      <c r="I11266" s="8" t="str">
        <f ca="1">IFERROR(__xludf.DUMMYFUNCTION("IF
(
G11267=""фізична особа""
,
VLOOKUP(H11267,IMPORTRANGE(""https://docs.google.com/spreadsheets/d/14Bd19lYaqBhU8_DElYkX7l4wRkHqqCUFNJY4AfY3kHU/edit?usp=sharing  #gid=0"",""фіз особи new!relations_name""),6,FALSE)
,
(IF
(
G11267=""юридична особа""
,
VLOO"&amp;"KUP(H11267,IMPORTRANGE(""https://docs.google.com/spreadsheets/d/14Bd19lYaqBhU8_DElYkX7l4wRkHqqCUFNJY4AfY3kHU/edit?usp=sharing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66" s="7" t="s">
        <v>23</v>
      </c>
    </row>
    <row r="11267" spans="1:10" ht="13.2">
      <c r="A11267" s="7">
        <v>11266</v>
      </c>
      <c r="B11267" s="7">
        <v>1</v>
      </c>
      <c r="C11267" s="7" t="s">
        <v>10</v>
      </c>
      <c r="D11267" s="7">
        <v>17591</v>
      </c>
      <c r="E11267" s="7" t="s">
        <v>23</v>
      </c>
      <c r="F11267" s="8" t="str">
        <f ca="1">IFERROR(__xludf.DUMMYFUNCTION("IF
(
C11268=""фізична особа""
,
VLOOKUP(D11268,IMPORTRANGE(""https://docs.google.com/spreadsheets/d/14Bd19lYaqBhU8_DElYkX7l4wRkHqqCUFNJY4AfY3kHU/edit?usp=sharing  #gid=0"",""фіз особи new!relations_name""),6,FALSE)
,
(IF
(
C11268=""юридична особа""
,
VLOO"&amp;"KUP(D11268,IMPORTRANGE(""https://docs.google.com/spreadsheets/d/14Bd19lYaqBhU8_DElYkX7l4wRkHqqCUFNJY4AfY3kHU/edit?usp=sharing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67" s="7" t="s">
        <v>10</v>
      </c>
      <c r="H11267" s="7">
        <v>23628</v>
      </c>
      <c r="I11267" s="8" t="str">
        <f ca="1">IFERROR(__xludf.DUMMYFUNCTION("IF
(
G11268=""фізична особа""
,
VLOOKUP(H11268,IMPORTRANGE(""https://docs.google.com/spreadsheets/d/14Bd19lYaqBhU8_DElYkX7l4wRkHqqCUFNJY4AfY3kHU/edit?usp=sharing  #gid=0"",""фіз особи new!relations_name""),6,FALSE)
,
(IF
(
G11268=""юридична особа""
,
VLOO"&amp;"KUP(H11268,IMPORTRANGE(""https://docs.google.com/spreadsheets/d/14Bd19lYaqBhU8_DElYkX7l4wRkHqqCUFNJY4AfY3kHU/edit?usp=sharing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67" s="7" t="s">
        <v>23</v>
      </c>
    </row>
    <row r="11268" spans="1:10" ht="13.2">
      <c r="A11268" s="7">
        <v>11267</v>
      </c>
      <c r="B11268" s="7">
        <v>1</v>
      </c>
      <c r="C11268" s="7" t="s">
        <v>10</v>
      </c>
      <c r="D11268" s="7">
        <v>17591</v>
      </c>
      <c r="E11268" s="7" t="s">
        <v>23</v>
      </c>
      <c r="F11268" s="8" t="str">
        <f ca="1">IFERROR(__xludf.DUMMYFUNCTION("IF
(
C11269=""фізична особа""
,
VLOOKUP(D11269,IMPORTRANGE(""https://docs.google.com/spreadsheets/d/14Bd19lYaqBhU8_DElYkX7l4wRkHqqCUFNJY4AfY3kHU/edit?usp=sharing  #gid=0"",""фіз особи new!relations_name""),6,FALSE)
,
(IF
(
C11269=""юридична особа""
,
VLOO"&amp;"KUP(D11269,IMPORTRANGE(""https://docs.google.com/spreadsheets/d/14Bd19lYaqBhU8_DElYkX7l4wRkHqqCUFNJY4AfY3kHU/edit?usp=sharing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68" s="7" t="s">
        <v>10</v>
      </c>
      <c r="H11268" s="7">
        <v>17584</v>
      </c>
      <c r="I11268" s="8" t="str">
        <f ca="1">IFERROR(__xludf.DUMMYFUNCTION("IF
(
G11269=""фізична особа""
,
VLOOKUP(H11269,IMPORTRANGE(""https://docs.google.com/spreadsheets/d/14Bd19lYaqBhU8_DElYkX7l4wRkHqqCUFNJY4AfY3kHU/edit?usp=sharing  #gid=0"",""фіз особи new!relations_name""),6,FALSE)
,
(IF
(
G11269=""юридична особа""
,
VLOO"&amp;"KUP(H11269,IMPORTRANGE(""https://docs.google.com/spreadsheets/d/14Bd19lYaqBhU8_DElYkX7l4wRkHqqCUFNJY4AfY3kHU/edit?usp=sharing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68" s="7" t="s">
        <v>23</v>
      </c>
    </row>
    <row r="11269" spans="1:10" ht="13.2">
      <c r="A11269" s="7">
        <v>11268</v>
      </c>
      <c r="B11269" s="7">
        <v>1</v>
      </c>
      <c r="C11269" s="7" t="s">
        <v>10</v>
      </c>
      <c r="D11269" s="7">
        <v>17591</v>
      </c>
      <c r="E11269" s="7" t="s">
        <v>23</v>
      </c>
      <c r="F11269" s="8" t="str">
        <f ca="1">IFERROR(__xludf.DUMMYFUNCTION("IF
(
C11270=""фізична особа""
,
VLOOKUP(D11270,IMPORTRANGE(""https://docs.google.com/spreadsheets/d/14Bd19lYaqBhU8_DElYkX7l4wRkHqqCUFNJY4AfY3kHU/edit?usp=sharing  #gid=0"",""фіз особи new!relations_name""),6,FALSE)
,
(IF
(
C11270=""юридична особа""
,
VLOO"&amp;"KUP(D11270,IMPORTRANGE(""https://docs.google.com/spreadsheets/d/14Bd19lYaqBhU8_DElYkX7l4wRkHqqCUFNJY4AfY3kHU/edit?usp=sharing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69" s="7" t="s">
        <v>10</v>
      </c>
      <c r="H11269" s="7">
        <v>17585</v>
      </c>
      <c r="I11269" s="8" t="str">
        <f ca="1">IFERROR(__xludf.DUMMYFUNCTION("IF
(
G11270=""фізична особа""
,
VLOOKUP(H11270,IMPORTRANGE(""https://docs.google.com/spreadsheets/d/14Bd19lYaqBhU8_DElYkX7l4wRkHqqCUFNJY4AfY3kHU/edit?usp=sharing  #gid=0"",""фіз особи new!relations_name""),6,FALSE)
,
(IF
(
G11270=""юридична особа""
,
VLOO"&amp;"KUP(H11270,IMPORTRANGE(""https://docs.google.com/spreadsheets/d/14Bd19lYaqBhU8_DElYkX7l4wRkHqqCUFNJY4AfY3kHU/edit?usp=sharing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69" s="7" t="s">
        <v>23</v>
      </c>
    </row>
    <row r="11270" spans="1:10" ht="13.2">
      <c r="A11270" s="7">
        <v>11269</v>
      </c>
      <c r="B11270" s="7">
        <v>1</v>
      </c>
      <c r="C11270" s="7" t="s">
        <v>10</v>
      </c>
      <c r="D11270" s="7">
        <v>17591</v>
      </c>
      <c r="E11270" s="7" t="s">
        <v>23</v>
      </c>
      <c r="F11270" s="8" t="str">
        <f ca="1">IFERROR(__xludf.DUMMYFUNCTION("IF
(
C11271=""фізична особа""
,
VLOOKUP(D11271,IMPORTRANGE(""https://docs.google.com/spreadsheets/d/14Bd19lYaqBhU8_DElYkX7l4wRkHqqCUFNJY4AfY3kHU/edit?usp=sharing  #gid=0"",""фіз особи new!relations_name""),6,FALSE)
,
(IF
(
C11271=""юридична особа""
,
VLOO"&amp;"KUP(D11271,IMPORTRANGE(""https://docs.google.com/spreadsheets/d/14Bd19lYaqBhU8_DElYkX7l4wRkHqqCUFNJY4AfY3kHU/edit?usp=sharing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0" s="7" t="s">
        <v>10</v>
      </c>
      <c r="H11270" s="7">
        <v>17586</v>
      </c>
      <c r="I11270" s="8" t="str">
        <f ca="1">IFERROR(__xludf.DUMMYFUNCTION("IF
(
G11271=""фізична особа""
,
VLOOKUP(H11271,IMPORTRANGE(""https://docs.google.com/spreadsheets/d/14Bd19lYaqBhU8_DElYkX7l4wRkHqqCUFNJY4AfY3kHU/edit?usp=sharing  #gid=0"",""фіз особи new!relations_name""),6,FALSE)
,
(IF
(
G11271=""юридична особа""
,
VLOO"&amp;"KUP(H11271,IMPORTRANGE(""https://docs.google.com/spreadsheets/d/14Bd19lYaqBhU8_DElYkX7l4wRkHqqCUFNJY4AfY3kHU/edit?usp=sharing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70" s="7" t="s">
        <v>23</v>
      </c>
    </row>
    <row r="11271" spans="1:10" ht="13.2">
      <c r="A11271" s="7">
        <v>11270</v>
      </c>
      <c r="B11271" s="7">
        <v>1</v>
      </c>
      <c r="C11271" s="7" t="s">
        <v>10</v>
      </c>
      <c r="D11271" s="7">
        <v>17591</v>
      </c>
      <c r="E11271" s="7" t="s">
        <v>23</v>
      </c>
      <c r="F11271" s="8" t="str">
        <f ca="1">IFERROR(__xludf.DUMMYFUNCTION("IF
(
C11272=""фізична особа""
,
VLOOKUP(D11272,IMPORTRANGE(""https://docs.google.com/spreadsheets/d/14Bd19lYaqBhU8_DElYkX7l4wRkHqqCUFNJY4AfY3kHU/edit?usp=sharing  #gid=0"",""фіз особи new!relations_name""),6,FALSE)
,
(IF
(
C11272=""юридична особа""
,
VLOO"&amp;"KUP(D11272,IMPORTRANGE(""https://docs.google.com/spreadsheets/d/14Bd19lYaqBhU8_DElYkX7l4wRkHqqCUFNJY4AfY3kHU/edit?usp=sharing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1" s="7" t="s">
        <v>10</v>
      </c>
      <c r="H11271" s="7">
        <v>17587</v>
      </c>
      <c r="I11271" s="8" t="str">
        <f ca="1">IFERROR(__xludf.DUMMYFUNCTION("IF
(
G11272=""фізична особа""
,
VLOOKUP(H11272,IMPORTRANGE(""https://docs.google.com/spreadsheets/d/14Bd19lYaqBhU8_DElYkX7l4wRkHqqCUFNJY4AfY3kHU/edit?usp=sharing  #gid=0"",""фіз особи new!relations_name""),6,FALSE)
,
(IF
(
G11272=""юридична особа""
,
VLOO"&amp;"KUP(H11272,IMPORTRANGE(""https://docs.google.com/spreadsheets/d/14Bd19lYaqBhU8_DElYkX7l4wRkHqqCUFNJY4AfY3kHU/edit?usp=sharing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71" s="7" t="s">
        <v>23</v>
      </c>
    </row>
    <row r="11272" spans="1:10" ht="13.2">
      <c r="A11272" s="7">
        <v>11271</v>
      </c>
      <c r="B11272" s="7">
        <v>1</v>
      </c>
      <c r="C11272" s="7" t="s">
        <v>10</v>
      </c>
      <c r="D11272" s="7">
        <v>17591</v>
      </c>
      <c r="E11272" s="7" t="s">
        <v>23</v>
      </c>
      <c r="F11272" s="8" t="str">
        <f ca="1">IFERROR(__xludf.DUMMYFUNCTION("IF
(
C11273=""фізична особа""
,
VLOOKUP(D11273,IMPORTRANGE(""https://docs.google.com/spreadsheets/d/14Bd19lYaqBhU8_DElYkX7l4wRkHqqCUFNJY4AfY3kHU/edit?usp=sharing  #gid=0"",""фіз особи new!relations_name""),6,FALSE)
,
(IF
(
C11273=""юридична особа""
,
VLOO"&amp;"KUP(D11273,IMPORTRANGE(""https://docs.google.com/spreadsheets/d/14Bd19lYaqBhU8_DElYkX7l4wRkHqqCUFNJY4AfY3kHU/edit?usp=sharing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2" s="7" t="s">
        <v>10</v>
      </c>
      <c r="H11272" s="7">
        <v>17588</v>
      </c>
      <c r="I11272" s="8" t="str">
        <f ca="1">IFERROR(__xludf.DUMMYFUNCTION("IF
(
G11273=""фізична особа""
,
VLOOKUP(H11273,IMPORTRANGE(""https://docs.google.com/spreadsheets/d/14Bd19lYaqBhU8_DElYkX7l4wRkHqqCUFNJY4AfY3kHU/edit?usp=sharing  #gid=0"",""фіз особи new!relations_name""),6,FALSE)
,
(IF
(
G11273=""юридична особа""
,
VLOO"&amp;"KUP(H11273,IMPORTRANGE(""https://docs.google.com/spreadsheets/d/14Bd19lYaqBhU8_DElYkX7l4wRkHqqCUFNJY4AfY3kHU/edit?usp=sharing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72" s="7" t="s">
        <v>23</v>
      </c>
    </row>
    <row r="11273" spans="1:10" ht="13.2">
      <c r="A11273" s="7">
        <v>11272</v>
      </c>
      <c r="B11273" s="7">
        <v>1</v>
      </c>
      <c r="C11273" s="7" t="s">
        <v>10</v>
      </c>
      <c r="D11273" s="7">
        <v>17591</v>
      </c>
      <c r="E11273" s="7" t="s">
        <v>23</v>
      </c>
      <c r="F11273" s="8" t="str">
        <f ca="1">IFERROR(__xludf.DUMMYFUNCTION("IF
(
C11274=""фізична особа""
,
VLOOKUP(D11274,IMPORTRANGE(""https://docs.google.com/spreadsheets/d/14Bd19lYaqBhU8_DElYkX7l4wRkHqqCUFNJY4AfY3kHU/edit?usp=sharing  #gid=0"",""фіз особи new!relations_name""),6,FALSE)
,
(IF
(
C11274=""юридична особа""
,
VLOO"&amp;"KUP(D11274,IMPORTRANGE(""https://docs.google.com/spreadsheets/d/14Bd19lYaqBhU8_DElYkX7l4wRkHqqCUFNJY4AfY3kHU/edit?usp=sharing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3" s="7" t="s">
        <v>10</v>
      </c>
      <c r="H11273" s="7">
        <v>17589</v>
      </c>
      <c r="I11273" s="8" t="str">
        <f ca="1">IFERROR(__xludf.DUMMYFUNCTION("IF
(
G11274=""фізична особа""
,
VLOOKUP(H11274,IMPORTRANGE(""https://docs.google.com/spreadsheets/d/14Bd19lYaqBhU8_DElYkX7l4wRkHqqCUFNJY4AfY3kHU/edit?usp=sharing  #gid=0"",""фіз особи new!relations_name""),6,FALSE)
,
(IF
(
G11274=""юридична особа""
,
VLOO"&amp;"KUP(H11274,IMPORTRANGE(""https://docs.google.com/spreadsheets/d/14Bd19lYaqBhU8_DElYkX7l4wRkHqqCUFNJY4AfY3kHU/edit?usp=sharing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73" s="7" t="s">
        <v>23</v>
      </c>
    </row>
    <row r="11274" spans="1:10" ht="13.2">
      <c r="A11274" s="7">
        <v>11273</v>
      </c>
      <c r="B11274" s="7">
        <v>1</v>
      </c>
      <c r="C11274" s="7" t="s">
        <v>10</v>
      </c>
      <c r="D11274" s="7">
        <v>17591</v>
      </c>
      <c r="E11274" s="7" t="s">
        <v>23</v>
      </c>
      <c r="F11274" s="8" t="str">
        <f ca="1">IFERROR(__xludf.DUMMYFUNCTION("IF
(
C11275=""фізична особа""
,
VLOOKUP(D11275,IMPORTRANGE(""https://docs.google.com/spreadsheets/d/14Bd19lYaqBhU8_DElYkX7l4wRkHqqCUFNJY4AfY3kHU/edit?usp=sharing  #gid=0"",""фіз особи new!relations_name""),6,FALSE)
,
(IF
(
C11275=""юридична особа""
,
VLOO"&amp;"KUP(D11275,IMPORTRANGE(""https://docs.google.com/spreadsheets/d/14Bd19lYaqBhU8_DElYkX7l4wRkHqqCUFNJY4AfY3kHU/edit?usp=sharing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4" s="7" t="s">
        <v>10</v>
      </c>
      <c r="H11274" s="7">
        <v>17590</v>
      </c>
      <c r="I11274" s="8" t="str">
        <f ca="1">IFERROR(__xludf.DUMMYFUNCTION("IF
(
G11275=""фізична особа""
,
VLOOKUP(H11275,IMPORTRANGE(""https://docs.google.com/spreadsheets/d/14Bd19lYaqBhU8_DElYkX7l4wRkHqqCUFNJY4AfY3kHU/edit?usp=sharing  #gid=0"",""фіз особи new!relations_name""),6,FALSE)
,
(IF
(
G11275=""юридична особа""
,
VLOO"&amp;"KUP(H11275,IMPORTRANGE(""https://docs.google.com/spreadsheets/d/14Bd19lYaqBhU8_DElYkX7l4wRkHqqCUFNJY4AfY3kHU/edit?usp=sharing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74" s="7" t="s">
        <v>23</v>
      </c>
    </row>
    <row r="11275" spans="1:10" ht="13.2">
      <c r="A11275" s="7">
        <v>11274</v>
      </c>
      <c r="B11275" s="7">
        <v>1</v>
      </c>
      <c r="C11275" s="7" t="s">
        <v>10</v>
      </c>
      <c r="D11275" s="7">
        <v>17591</v>
      </c>
      <c r="E11275" s="7" t="s">
        <v>23</v>
      </c>
      <c r="F11275" s="8" t="str">
        <f ca="1">IFERROR(__xludf.DUMMYFUNCTION("IF
(
C11276=""фізична особа""
,
VLOOKUP(D11276,IMPORTRANGE(""https://docs.google.com/spreadsheets/d/14Bd19lYaqBhU8_DElYkX7l4wRkHqqCUFNJY4AfY3kHU/edit?usp=sharing  #gid=0"",""фіз особи new!relations_name""),6,FALSE)
,
(IF
(
C11276=""юридична особа""
,
VLOO"&amp;"KUP(D11276,IMPORTRANGE(""https://docs.google.com/spreadsheets/d/14Bd19lYaqBhU8_DElYkX7l4wRkHqqCUFNJY4AfY3kHU/edit?usp=sharing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G11275" s="7" t="s">
        <v>10</v>
      </c>
      <c r="H11275" s="7">
        <v>17592</v>
      </c>
      <c r="I11275" s="8" t="str">
        <f ca="1">IFERROR(__xludf.DUMMYFUNCTION("IF
(
G11276=""фізична особа""
,
VLOOKUP(H11276,IMPORTRANGE(""https://docs.google.com/spreadsheets/d/14Bd19lYaqBhU8_DElYkX7l4wRkHqqCUFNJY4AfY3kHU/edit?usp=sharing  #gid=0"",""фіз особи new!relations_name""),6,FALSE)
,
(IF
(
G11276=""юридична особа""
,
VLOO"&amp;"KUP(H11276,IMPORTRANGE(""https://docs.google.com/spreadsheets/d/14Bd19lYaqBhU8_DElYkX7l4wRkHqqCUFNJY4AfY3kHU/edit?usp=sharing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J11275" s="7" t="s">
        <v>23</v>
      </c>
    </row>
    <row r="11276" spans="1:10" ht="13.2">
      <c r="A11276" s="7">
        <v>11275</v>
      </c>
      <c r="B11276" s="7">
        <v>1</v>
      </c>
      <c r="C11276" s="7" t="s">
        <v>10</v>
      </c>
      <c r="D11276" s="7">
        <v>17592</v>
      </c>
      <c r="E11276" s="7" t="s">
        <v>23</v>
      </c>
      <c r="F11276" s="8" t="str">
        <f ca="1">IFERROR(__xludf.DUMMYFUNCTION("IF
(
C11277=""фізична особа""
,
VLOOKUP(D11277,IMPORTRANGE(""https://docs.google.com/spreadsheets/d/14Bd19lYaqBhU8_DElYkX7l4wRkHqqCUFNJY4AfY3kHU/edit?usp=sharing  #gid=0"",""фіз особи new!relations_name""),6,FALSE)
,
(IF
(
C11277=""юридична особа""
,
VLOO"&amp;"KUP(D11277,IMPORTRANGE(""https://docs.google.com/spreadsheets/d/14Bd19lYaqBhU8_DElYkX7l4wRkHqqCUFNJY4AfY3kHU/edit?usp=sharing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76" s="7" t="s">
        <v>10</v>
      </c>
      <c r="H11276" s="7">
        <v>23628</v>
      </c>
      <c r="I11276" s="8" t="str">
        <f ca="1">IFERROR(__xludf.DUMMYFUNCTION("IF
(
G11277=""фізична особа""
,
VLOOKUP(H11277,IMPORTRANGE(""https://docs.google.com/spreadsheets/d/14Bd19lYaqBhU8_DElYkX7l4wRkHqqCUFNJY4AfY3kHU/edit?usp=sharing  #gid=0"",""фіз особи new!relations_name""),6,FALSE)
,
(IF
(
G11277=""юридична особа""
,
VLOO"&amp;"KUP(H11277,IMPORTRANGE(""https://docs.google.com/spreadsheets/d/14Bd19lYaqBhU8_DElYkX7l4wRkHqqCUFNJY4AfY3kHU/edit?usp=sharing  #gid=0"",""фіз особи new!relations_name_uo""),7,FALSE)
,
)
))"),"ГЯЛЯТУДНІНОВ Ільдар Хайдарович")</f>
        <v>ГЯЛЯТУДНІНОВ Ільдар Хайдарович</v>
      </c>
      <c r="J11276" s="7" t="s">
        <v>23</v>
      </c>
    </row>
    <row r="11277" spans="1:10" ht="13.2">
      <c r="A11277" s="7">
        <v>11276</v>
      </c>
      <c r="B11277" s="7">
        <v>1</v>
      </c>
      <c r="C11277" s="7" t="s">
        <v>10</v>
      </c>
      <c r="D11277" s="7">
        <v>17592</v>
      </c>
      <c r="E11277" s="7" t="s">
        <v>23</v>
      </c>
      <c r="F11277" s="8" t="str">
        <f ca="1">IFERROR(__xludf.DUMMYFUNCTION("IF
(
C11278=""фізична особа""
,
VLOOKUP(D11278,IMPORTRANGE(""https://docs.google.com/spreadsheets/d/14Bd19lYaqBhU8_DElYkX7l4wRkHqqCUFNJY4AfY3kHU/edit?usp=sharing  #gid=0"",""фіз особи new!relations_name""),6,FALSE)
,
(IF
(
C11278=""юридична особа""
,
VLOO"&amp;"KUP(D11278,IMPORTRANGE(""https://docs.google.com/spreadsheets/d/14Bd19lYaqBhU8_DElYkX7l4wRkHqqCUFNJY4AfY3kHU/edit?usp=sharing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77" s="7" t="s">
        <v>10</v>
      </c>
      <c r="H11277" s="7">
        <v>17584</v>
      </c>
      <c r="I11277" s="8" t="str">
        <f ca="1">IFERROR(__xludf.DUMMYFUNCTION("IF
(
G11278=""фізична особа""
,
VLOOKUP(H11278,IMPORTRANGE(""https://docs.google.com/spreadsheets/d/14Bd19lYaqBhU8_DElYkX7l4wRkHqqCUFNJY4AfY3kHU/edit?usp=sharing  #gid=0"",""фіз особи new!relations_name""),6,FALSE)
,
(IF
(
G11278=""юридична особа""
,
VLOO"&amp;"KUP(H11278,IMPORTRANGE(""https://docs.google.com/spreadsheets/d/14Bd19lYaqBhU8_DElYkX7l4wRkHqqCUFNJY4AfY3kHU/edit?usp=sharing  #gid=0"",""фіз особи new!relations_name_uo""),7,FALSE)
,
)
))"),"АЛЄКСЄЄВА Надія Іванівна")</f>
        <v>АЛЄКСЄЄВА Надія Іванівна</v>
      </c>
      <c r="J11277" s="7" t="s">
        <v>23</v>
      </c>
    </row>
    <row r="11278" spans="1:10" ht="13.2">
      <c r="A11278" s="7">
        <v>11277</v>
      </c>
      <c r="B11278" s="7">
        <v>1</v>
      </c>
      <c r="C11278" s="7" t="s">
        <v>10</v>
      </c>
      <c r="D11278" s="7">
        <v>17592</v>
      </c>
      <c r="E11278" s="7" t="s">
        <v>23</v>
      </c>
      <c r="F11278" s="8" t="str">
        <f ca="1">IFERROR(__xludf.DUMMYFUNCTION("IF
(
C11279=""фізична особа""
,
VLOOKUP(D11279,IMPORTRANGE(""https://docs.google.com/spreadsheets/d/14Bd19lYaqBhU8_DElYkX7l4wRkHqqCUFNJY4AfY3kHU/edit?usp=sharing  #gid=0"",""фіз особи new!relations_name""),6,FALSE)
,
(IF
(
C11279=""юридична особа""
,
VLOO"&amp;"KUP(D11279,IMPORTRANGE(""https://docs.google.com/spreadsheets/d/14Bd19lYaqBhU8_DElYkX7l4wRkHqqCUFNJY4AfY3kHU/edit?usp=sharing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78" s="7" t="s">
        <v>10</v>
      </c>
      <c r="H11278" s="7">
        <v>17585</v>
      </c>
      <c r="I11278" s="8" t="str">
        <f ca="1">IFERROR(__xludf.DUMMYFUNCTION("IF
(
G11279=""фізична особа""
,
VLOOKUP(H11279,IMPORTRANGE(""https://docs.google.com/spreadsheets/d/14Bd19lYaqBhU8_DElYkX7l4wRkHqqCUFNJY4AfY3kHU/edit?usp=sharing  #gid=0"",""фіз особи new!relations_name""),6,FALSE)
,
(IF
(
G11279=""юридична особа""
,
VLOO"&amp;"KUP(H11279,IMPORTRANGE(""https://docs.google.com/spreadsheets/d/14Bd19lYaqBhU8_DElYkX7l4wRkHqqCUFNJY4AfY3kHU/edit?usp=sharing  #gid=0"",""фіз особи new!relations_name_uo""),7,FALSE)
,
)
))"),"АШРАПОВА Васіма Мунірівна")</f>
        <v>АШРАПОВА Васіма Мунірівна</v>
      </c>
      <c r="J11278" s="7" t="s">
        <v>23</v>
      </c>
    </row>
    <row r="11279" spans="1:10" ht="13.2">
      <c r="A11279" s="7">
        <v>11278</v>
      </c>
      <c r="B11279" s="7">
        <v>1</v>
      </c>
      <c r="C11279" s="7" t="s">
        <v>10</v>
      </c>
      <c r="D11279" s="7">
        <v>17592</v>
      </c>
      <c r="E11279" s="7" t="s">
        <v>23</v>
      </c>
      <c r="F11279" s="8" t="str">
        <f ca="1">IFERROR(__xludf.DUMMYFUNCTION("IF
(
C11280=""фізична особа""
,
VLOOKUP(D11280,IMPORTRANGE(""https://docs.google.com/spreadsheets/d/14Bd19lYaqBhU8_DElYkX7l4wRkHqqCUFNJY4AfY3kHU/edit?usp=sharing  #gid=0"",""фіз особи new!relations_name""),6,FALSE)
,
(IF
(
C11280=""юридична особа""
,
VLOO"&amp;"KUP(D11280,IMPORTRANGE(""https://docs.google.com/spreadsheets/d/14Bd19lYaqBhU8_DElYkX7l4wRkHqqCUFNJY4AfY3kHU/edit?usp=sharing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79" s="7" t="s">
        <v>10</v>
      </c>
      <c r="H11279" s="7">
        <v>17586</v>
      </c>
      <c r="I11279" s="8" t="str">
        <f ca="1">IFERROR(__xludf.DUMMYFUNCTION("IF
(
G11280=""фізична особа""
,
VLOOKUP(H11280,IMPORTRANGE(""https://docs.google.com/spreadsheets/d/14Bd19lYaqBhU8_DElYkX7l4wRkHqqCUFNJY4AfY3kHU/edit?usp=sharing  #gid=0"",""фіз особи new!relations_name""),6,FALSE)
,
(IF
(
G11280=""юридична особа""
,
VLOO"&amp;"KUP(H11280,IMPORTRANGE(""https://docs.google.com/spreadsheets/d/14Bd19lYaqBhU8_DElYkX7l4wRkHqqCUFNJY4AfY3kHU/edit?usp=sharing  #gid=0"",""фіз особи new!relations_name_uo""),7,FALSE)
,
)
))"),"ПОНОМАРЬОВ Володимир Васильович")</f>
        <v>ПОНОМАРЬОВ Володимир Васильович</v>
      </c>
      <c r="J11279" s="7" t="s">
        <v>23</v>
      </c>
    </row>
    <row r="11280" spans="1:10" ht="13.2">
      <c r="A11280" s="7">
        <v>11279</v>
      </c>
      <c r="B11280" s="7">
        <v>1</v>
      </c>
      <c r="C11280" s="7" t="s">
        <v>10</v>
      </c>
      <c r="D11280" s="7">
        <v>17592</v>
      </c>
      <c r="E11280" s="7" t="s">
        <v>23</v>
      </c>
      <c r="F11280" s="8" t="str">
        <f ca="1">IFERROR(__xludf.DUMMYFUNCTION("IF
(
C11281=""фізична особа""
,
VLOOKUP(D11281,IMPORTRANGE(""https://docs.google.com/spreadsheets/d/14Bd19lYaqBhU8_DElYkX7l4wRkHqqCUFNJY4AfY3kHU/edit?usp=sharing  #gid=0"",""фіз особи new!relations_name""),6,FALSE)
,
(IF
(
C11281=""юридична особа""
,
VLOO"&amp;"KUP(D11281,IMPORTRANGE(""https://docs.google.com/spreadsheets/d/14Bd19lYaqBhU8_DElYkX7l4wRkHqqCUFNJY4AfY3kHU/edit?usp=sharing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80" s="7" t="s">
        <v>10</v>
      </c>
      <c r="H11280" s="7">
        <v>17587</v>
      </c>
      <c r="I11280" s="8" t="str">
        <f ca="1">IFERROR(__xludf.DUMMYFUNCTION("IF
(
G11281=""фізична особа""
,
VLOOKUP(H11281,IMPORTRANGE(""https://docs.google.com/spreadsheets/d/14Bd19lYaqBhU8_DElYkX7l4wRkHqqCUFNJY4AfY3kHU/edit?usp=sharing  #gid=0"",""фіз особи new!relations_name""),6,FALSE)
,
(IF
(
G11281=""юридична особа""
,
VLOO"&amp;"KUP(H11281,IMPORTRANGE(""https://docs.google.com/spreadsheets/d/14Bd19lYaqBhU8_DElYkX7l4wRkHqqCUFNJY4AfY3kHU/edit?usp=sharing  #gid=0"",""фіз особи new!relations_name_uo""),7,FALSE)
,
)
))"),"ФРАНГОПУЛОВ Олександр Дмитрович")</f>
        <v>ФРАНГОПУЛОВ Олександр Дмитрович</v>
      </c>
      <c r="J11280" s="7" t="s">
        <v>23</v>
      </c>
    </row>
    <row r="11281" spans="1:10" ht="13.2">
      <c r="A11281" s="7">
        <v>11280</v>
      </c>
      <c r="B11281" s="7">
        <v>1</v>
      </c>
      <c r="C11281" s="7" t="s">
        <v>10</v>
      </c>
      <c r="D11281" s="7">
        <v>17592</v>
      </c>
      <c r="E11281" s="7" t="s">
        <v>23</v>
      </c>
      <c r="F11281" s="8" t="str">
        <f ca="1">IFERROR(__xludf.DUMMYFUNCTION("IF
(
C11282=""фізична особа""
,
VLOOKUP(D11282,IMPORTRANGE(""https://docs.google.com/spreadsheets/d/14Bd19lYaqBhU8_DElYkX7l4wRkHqqCUFNJY4AfY3kHU/edit?usp=sharing  #gid=0"",""фіз особи new!relations_name""),6,FALSE)
,
(IF
(
C11282=""юридична особа""
,
VLOO"&amp;"KUP(D11282,IMPORTRANGE(""https://docs.google.com/spreadsheets/d/14Bd19lYaqBhU8_DElYkX7l4wRkHqqCUFNJY4AfY3kHU/edit?usp=sharing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81" s="7" t="s">
        <v>10</v>
      </c>
      <c r="H11281" s="7">
        <v>17588</v>
      </c>
      <c r="I11281" s="8" t="str">
        <f ca="1">IFERROR(__xludf.DUMMYFUNCTION("IF
(
G11282=""фізична особа""
,
VLOOKUP(H11282,IMPORTRANGE(""https://docs.google.com/spreadsheets/d/14Bd19lYaqBhU8_DElYkX7l4wRkHqqCUFNJY4AfY3kHU/edit?usp=sharing  #gid=0"",""фіз особи new!relations_name""),6,FALSE)
,
(IF
(
G11282=""юридична особа""
,
VLOO"&amp;"KUP(H11282,IMPORTRANGE(""https://docs.google.com/spreadsheets/d/14Bd19lYaqBhU8_DElYkX7l4wRkHqqCUFNJY4AfY3kHU/edit?usp=sharing  #gid=0"",""фіз особи new!relations_name_uo""),7,FALSE)
,
)
))"),"ГАЗЕТДІНОВ Фаіль Фанісович")</f>
        <v>ГАЗЕТДІНОВ Фаіль Фанісович</v>
      </c>
      <c r="J11281" s="7" t="s">
        <v>23</v>
      </c>
    </row>
    <row r="11282" spans="1:10" ht="13.2">
      <c r="A11282" s="7">
        <v>11281</v>
      </c>
      <c r="B11282" s="7">
        <v>1</v>
      </c>
      <c r="C11282" s="7" t="s">
        <v>10</v>
      </c>
      <c r="D11282" s="7">
        <v>17592</v>
      </c>
      <c r="E11282" s="7" t="s">
        <v>23</v>
      </c>
      <c r="F11282" s="8" t="str">
        <f ca="1">IFERROR(__xludf.DUMMYFUNCTION("IF
(
C11283=""фізична особа""
,
VLOOKUP(D11283,IMPORTRANGE(""https://docs.google.com/spreadsheets/d/14Bd19lYaqBhU8_DElYkX7l4wRkHqqCUFNJY4AfY3kHU/edit?usp=sharing  #gid=0"",""фіз особи new!relations_name""),6,FALSE)
,
(IF
(
C11283=""юридична особа""
,
VLOO"&amp;"KUP(D11283,IMPORTRANGE(""https://docs.google.com/spreadsheets/d/14Bd19lYaqBhU8_DElYkX7l4wRkHqqCUFNJY4AfY3kHU/edit?usp=sharing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82" s="7" t="s">
        <v>10</v>
      </c>
      <c r="H11282" s="7">
        <v>17589</v>
      </c>
      <c r="I11282" s="8" t="str">
        <f ca="1">IFERROR(__xludf.DUMMYFUNCTION("IF
(
G11283=""фізична особа""
,
VLOOKUP(H11283,IMPORTRANGE(""https://docs.google.com/spreadsheets/d/14Bd19lYaqBhU8_DElYkX7l4wRkHqqCUFNJY4AfY3kHU/edit?usp=sharing  #gid=0"",""фіз особи new!relations_name""),6,FALSE)
,
(IF
(
G11283=""юридична особа""
,
VLOO"&amp;"KUP(H11283,IMPORTRANGE(""https://docs.google.com/spreadsheets/d/14Bd19lYaqBhU8_DElYkX7l4wRkHqqCUFNJY4AfY3kHU/edit?usp=sharing  #gid=0"",""фіз особи new!relations_name_uo""),7,FALSE)
,
)
))"),"ТУКТАРОВА Венера Надірівна")</f>
        <v>ТУКТАРОВА Венера Надірівна</v>
      </c>
      <c r="J11282" s="7" t="s">
        <v>23</v>
      </c>
    </row>
    <row r="11283" spans="1:10" ht="13.2">
      <c r="A11283" s="7">
        <v>11282</v>
      </c>
      <c r="B11283" s="7">
        <v>1</v>
      </c>
      <c r="C11283" s="7" t="s">
        <v>10</v>
      </c>
      <c r="D11283" s="7">
        <v>17592</v>
      </c>
      <c r="E11283" s="7" t="s">
        <v>23</v>
      </c>
      <c r="F11283" s="8" t="str">
        <f ca="1">IFERROR(__xludf.DUMMYFUNCTION("IF
(
C11284=""фізична особа""
,
VLOOKUP(D11284,IMPORTRANGE(""https://docs.google.com/spreadsheets/d/14Bd19lYaqBhU8_DElYkX7l4wRkHqqCUFNJY4AfY3kHU/edit?usp=sharing  #gid=0"",""фіз особи new!relations_name""),6,FALSE)
,
(IF
(
C11284=""юридична особа""
,
VLOO"&amp;"KUP(D11284,IMPORTRANGE(""https://docs.google.com/spreadsheets/d/14Bd19lYaqBhU8_DElYkX7l4wRkHqqCUFNJY4AfY3kHU/edit?usp=sharing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83" s="7" t="s">
        <v>10</v>
      </c>
      <c r="H11283" s="7">
        <v>17590</v>
      </c>
      <c r="I11283" s="8" t="str">
        <f ca="1">IFERROR(__xludf.DUMMYFUNCTION("IF
(
G11284=""фізична особа""
,
VLOOKUP(H11284,IMPORTRANGE(""https://docs.google.com/spreadsheets/d/14Bd19lYaqBhU8_DElYkX7l4wRkHqqCUFNJY4AfY3kHU/edit?usp=sharing  #gid=0"",""фіз особи new!relations_name""),6,FALSE)
,
(IF
(
G11284=""юридична особа""
,
VLOO"&amp;"KUP(H11284,IMPORTRANGE(""https://docs.google.com/spreadsheets/d/14Bd19lYaqBhU8_DElYkX7l4wRkHqqCUFNJY4AfY3kHU/edit?usp=sharing  #gid=0"",""фіз особи new!relations_name_uo""),7,FALSE)
,
)
))"),"ХУСНУЛІН Марат Фоатьєвич")</f>
        <v>ХУСНУЛІН Марат Фоатьєвич</v>
      </c>
      <c r="J11283" s="7" t="s">
        <v>23</v>
      </c>
    </row>
    <row r="11284" spans="1:10" ht="13.2">
      <c r="A11284" s="7">
        <v>11283</v>
      </c>
      <c r="B11284" s="7">
        <v>1</v>
      </c>
      <c r="C11284" s="7" t="s">
        <v>10</v>
      </c>
      <c r="D11284" s="7">
        <v>17592</v>
      </c>
      <c r="E11284" s="7" t="s">
        <v>23</v>
      </c>
      <c r="F11284" s="8" t="str">
        <f ca="1">IFERROR(__xludf.DUMMYFUNCTION("IF
(
C11285=""фізична особа""
,
VLOOKUP(D11285,IMPORTRANGE(""https://docs.google.com/spreadsheets/d/14Bd19lYaqBhU8_DElYkX7l4wRkHqqCUFNJY4AfY3kHU/edit?usp=sharing  #gid=0"",""фіз особи new!relations_name""),6,FALSE)
,
(IF
(
C11285=""юридична особа""
,
VLOO"&amp;"KUP(D11285,IMPORTRANGE(""https://docs.google.com/spreadsheets/d/14Bd19lYaqBhU8_DElYkX7l4wRkHqqCUFNJY4AfY3kHU/edit?usp=sharing  #gid=0"",""фіз особи new!relations_name_uo""),7,FALSE)
,
)
))"),"УМАНСЬКИЙ Олександр Євгенійович")</f>
        <v>УМАНСЬКИЙ Олександр Євгенійович</v>
      </c>
      <c r="G11284" s="7" t="s">
        <v>10</v>
      </c>
      <c r="H11284" s="7">
        <v>17591</v>
      </c>
      <c r="I11284" s="8" t="str">
        <f ca="1">IFERROR(__xludf.DUMMYFUNCTION("IF
(
G11285=""фізична особа""
,
VLOOKUP(H11285,IMPORTRANGE(""https://docs.google.com/spreadsheets/d/14Bd19lYaqBhU8_DElYkX7l4wRkHqqCUFNJY4AfY3kHU/edit?usp=sharing  #gid=0"",""фіз особи new!relations_name""),6,FALSE)
,
(IF
(
G11285=""юридична особа""
,
VLOO"&amp;"KUP(H11285,IMPORTRANGE(""https://docs.google.com/spreadsheets/d/14Bd19lYaqBhU8_DElYkX7l4wRkHqqCUFNJY4AfY3kHU/edit?usp=sharing  #gid=0"",""фіз особи new!relations_name_uo""),7,FALSE)
,
)
))"),"САФАРОВА Гульназ Саубанівна")</f>
        <v>САФАРОВА Гульназ Саубанівна</v>
      </c>
      <c r="J11284" s="7" t="s">
        <v>23</v>
      </c>
    </row>
    <row r="11285" spans="1:10" ht="13.2">
      <c r="A11285" s="7">
        <v>11284</v>
      </c>
      <c r="B11285" s="7">
        <v>1</v>
      </c>
      <c r="C11285" s="7" t="s">
        <v>10</v>
      </c>
      <c r="D11285" s="7">
        <v>17593</v>
      </c>
      <c r="E11285" s="7" t="s">
        <v>23</v>
      </c>
      <c r="F11285" s="8" t="str">
        <f ca="1">IFERROR(__xludf.DUMMYFUNCTION("IF
(
C11286=""фізична особа""
,
VLOOKUP(D11286,IMPORTRANGE(""https://docs.google.com/spreadsheets/d/14Bd19lYaqBhU8_DElYkX7l4wRkHqqCUFNJY4AfY3kHU/edit?usp=sharing  #gid=0"",""фіз особи new!relations_name""),6,FALSE)
,
(IF
(
C11286=""юридична особа""
,
VLOO"&amp;"KUP(D11286,IMPORTRANGE(""https://docs.google.com/spreadsheets/d/14Bd19lYaqBhU8_DElYkX7l4wRkHqqCUFNJY4AfY3kHU/edit?usp=sharing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G11285" s="7" t="s">
        <v>10</v>
      </c>
      <c r="H11285" s="7">
        <v>17624</v>
      </c>
      <c r="I11285" s="8" t="str">
        <f ca="1">IFERROR(__xludf.DUMMYFUNCTION("IF
(
G11286=""фізична особа""
,
VLOOKUP(H11286,IMPORTRANGE(""https://docs.google.com/spreadsheets/d/14Bd19lYaqBhU8_DElYkX7l4wRkHqqCUFNJY4AfY3kHU/edit?usp=sharing  #gid=0"",""фіз особи new!relations_name""),6,FALSE)
,
(IF
(
G11286=""юридична особа""
,
VLOO"&amp;"KUP(H11286,IMPORTRANGE(""https://docs.google.com/spreadsheets/d/14Bd19lYaqBhU8_DElYkX7l4wRkHqqCUFNJY4AfY3kHU/edit?usp=sharing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J11285" s="7" t="s">
        <v>23</v>
      </c>
    </row>
    <row r="11286" spans="1:10" ht="13.2">
      <c r="A11286" s="7">
        <v>11285</v>
      </c>
      <c r="B11286" s="7">
        <v>1</v>
      </c>
      <c r="C11286" s="7" t="s">
        <v>10</v>
      </c>
      <c r="D11286" s="7">
        <v>17594</v>
      </c>
      <c r="E11286" s="7" t="s">
        <v>23</v>
      </c>
      <c r="F11286" s="8" t="str">
        <f ca="1">IFERROR(__xludf.DUMMYFUNCTION("IF
(
C11287=""фізична особа""
,
VLOOKUP(D11287,IMPORTRANGE(""https://docs.google.com/spreadsheets/d/14Bd19lYaqBhU8_DElYkX7l4wRkHqqCUFNJY4AfY3kHU/edit?usp=sharing  #gid=0"",""фіз особи new!relations_name""),6,FALSE)
,
(IF
(
C11287=""юридична особа""
,
VLOO"&amp;"KUP(D11287,IMPORTRANGE(""https://docs.google.com/spreadsheets/d/14Bd19lYaqBhU8_DElYkX7l4wRkHqqCUFNJY4AfY3kHU/edit?usp=sharing  #gid=0"",""фіз особи new!relations_name_uo""),7,FALSE)
,
)
))"),"ШМЕЙЦ Іржі")</f>
        <v>ШМЕЙЦ Іржі</v>
      </c>
      <c r="G11286" s="7" t="s">
        <v>10</v>
      </c>
      <c r="H11286" s="7">
        <v>17593</v>
      </c>
      <c r="I11286" s="8" t="str">
        <f ca="1">IFERROR(__xludf.DUMMYFUNCTION("IF
(
G11287=""фізична особа""
,
VLOOKUP(H11287,IMPORTRANGE(""https://docs.google.com/spreadsheets/d/14Bd19lYaqBhU8_DElYkX7l4wRkHqqCUFNJY4AfY3kHU/edit?usp=sharing  #gid=0"",""фіз особи new!relations_name""),6,FALSE)
,
(IF
(
G11287=""юридична особа""
,
VLOO"&amp;"KUP(H11287,IMPORTRANGE(""https://docs.google.com/spreadsheets/d/14Bd19lYaqBhU8_DElYkX7l4wRkHqqCUFNJY4AfY3kHU/edit?usp=sharing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286" s="7" t="s">
        <v>23</v>
      </c>
    </row>
    <row r="11287" spans="1:10" ht="13.2">
      <c r="A11287" s="7">
        <v>11286</v>
      </c>
      <c r="B11287" s="7">
        <v>1</v>
      </c>
      <c r="C11287" s="7" t="s">
        <v>10</v>
      </c>
      <c r="D11287" s="7">
        <v>17594</v>
      </c>
      <c r="E11287" s="7" t="s">
        <v>23</v>
      </c>
      <c r="F11287" s="8" t="str">
        <f ca="1">IFERROR(__xludf.DUMMYFUNCTION("IF
(
C11288=""фізична особа""
,
VLOOKUP(D11288,IMPORTRANGE(""https://docs.google.com/spreadsheets/d/14Bd19lYaqBhU8_DElYkX7l4wRkHqqCUFNJY4AfY3kHU/edit?usp=sharing  #gid=0"",""фіз особи new!relations_name""),6,FALSE)
,
(IF
(
C11288=""юридична особа""
,
VLOO"&amp;"KUP(D11288,IMPORTRANGE(""https://docs.google.com/spreadsheets/d/14Bd19lYaqBhU8_DElYkX7l4wRkHqqCUFNJY4AfY3kHU/edit?usp=sharing  #gid=0"",""фіз особи new!relations_name_uo""),7,FALSE)
,
)
))"),"ШМЕЙЦ Іржі")</f>
        <v>ШМЕЙЦ Іржі</v>
      </c>
      <c r="G11287" s="7" t="s">
        <v>10</v>
      </c>
      <c r="H11287" s="7">
        <v>17595</v>
      </c>
      <c r="I11287" s="8" t="str">
        <f ca="1">IFERROR(__xludf.DUMMYFUNCTION("IF
(
G11288=""фізична особа""
,
VLOOKUP(H11288,IMPORTRANGE(""https://docs.google.com/spreadsheets/d/14Bd19lYaqBhU8_DElYkX7l4wRkHqqCUFNJY4AfY3kHU/edit?usp=sharing  #gid=0"",""фіз особи new!relations_name""),6,FALSE)
,
(IF
(
G11288=""юридична особа""
,
VLOO"&amp;"KUP(H11288,IMPORTRANGE(""https://docs.google.com/spreadsheets/d/14Bd19lYaqBhU8_DElYkX7l4wRkHqqCUFNJY4AfY3kHU/edit?usp=sharing  #gid=0"",""фіз особи new!relations_name_uo""),7,FALSE)
,
)
))"),"КОЛІКОВА Ірина Валеріївна")</f>
        <v>КОЛІКОВА Ірина Валеріївна</v>
      </c>
      <c r="J11287" s="7" t="s">
        <v>23</v>
      </c>
    </row>
    <row r="11288" spans="1:10" ht="13.2">
      <c r="A11288" s="7">
        <v>11287</v>
      </c>
      <c r="B11288" s="7">
        <v>1</v>
      </c>
      <c r="C11288" s="7" t="s">
        <v>10</v>
      </c>
      <c r="D11288" s="7">
        <v>17594</v>
      </c>
      <c r="E11288" s="7" t="s">
        <v>23</v>
      </c>
      <c r="F11288" s="8" t="str">
        <f ca="1">IFERROR(__xludf.DUMMYFUNCTION("IF
(
C11289=""фізична особа""
,
VLOOKUP(D11289,IMPORTRANGE(""https://docs.google.com/spreadsheets/d/14Bd19lYaqBhU8_DElYkX7l4wRkHqqCUFNJY4AfY3kHU/edit?usp=sharing  #gid=0"",""фіз особи new!relations_name""),6,FALSE)
,
(IF
(
C11289=""юридична особа""
,
VLOO"&amp;"KUP(D11289,IMPORTRANGE(""https://docs.google.com/spreadsheets/d/14Bd19lYaqBhU8_DElYkX7l4wRkHqqCUFNJY4AfY3kHU/edit?usp=sharing  #gid=0"",""фіз особи new!relations_name_uo""),7,FALSE)
,
)
))"),"ШМЕЙЦ Іржі")</f>
        <v>ШМЕЙЦ Іржі</v>
      </c>
      <c r="G11288" s="7" t="s">
        <v>10</v>
      </c>
      <c r="H11288" s="7">
        <v>17596</v>
      </c>
      <c r="I11288" s="8" t="str">
        <f ca="1">IFERROR(__xludf.DUMMYFUNCTION("IF
(
G11289=""фізична особа""
,
VLOOKUP(H11289,IMPORTRANGE(""https://docs.google.com/spreadsheets/d/14Bd19lYaqBhU8_DElYkX7l4wRkHqqCUFNJY4AfY3kHU/edit?usp=sharing  #gid=0"",""фіз особи new!relations_name""),6,FALSE)
,
(IF
(
G11289=""юридична особа""
,
VLOO"&amp;"KUP(H11289,IMPORTRANGE(""https://docs.google.com/spreadsheets/d/14Bd19lYaqBhU8_DElYkX7l4wRkHqqCUFNJY4AfY3kHU/edit?usp=sharing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J11288" s="7" t="s">
        <v>23</v>
      </c>
    </row>
    <row r="11289" spans="1:10" ht="13.2">
      <c r="A11289" s="7">
        <v>11288</v>
      </c>
      <c r="B11289" s="7">
        <v>1</v>
      </c>
      <c r="C11289" s="7" t="s">
        <v>10</v>
      </c>
      <c r="D11289" s="7">
        <v>17595</v>
      </c>
      <c r="E11289" s="7" t="s">
        <v>23</v>
      </c>
      <c r="F11289" s="8" t="str">
        <f ca="1">IFERROR(__xludf.DUMMYFUNCTION("IF
(
C11290=""фізична особа""
,
VLOOKUP(D11290,IMPORTRANGE(""https://docs.google.com/spreadsheets/d/14Bd19lYaqBhU8_DElYkX7l4wRkHqqCUFNJY4AfY3kHU/edit?usp=sharing  #gid=0"",""фіз особи new!relations_name""),6,FALSE)
,
(IF
(
C11290=""юридична особа""
,
VLOO"&amp;"KUP(D11290,IMPORTRANGE(""https://docs.google.com/spreadsheets/d/14Bd19lYaqBhU8_DElYkX7l4wRkHqqCUFNJY4AfY3kHU/edit?usp=sharing  #gid=0"",""фіз особи new!relations_name_uo""),7,FALSE)
,
)
))"),"КОЛІКОВА Ірина Валеріївна")</f>
        <v>КОЛІКОВА Ірина Валеріївна</v>
      </c>
      <c r="G11289" s="7" t="s">
        <v>10</v>
      </c>
      <c r="H11289" s="7">
        <v>17593</v>
      </c>
      <c r="I11289" s="8" t="str">
        <f ca="1">IFERROR(__xludf.DUMMYFUNCTION("IF
(
G11290=""фізична особа""
,
VLOOKUP(H11290,IMPORTRANGE(""https://docs.google.com/spreadsheets/d/14Bd19lYaqBhU8_DElYkX7l4wRkHqqCUFNJY4AfY3kHU/edit?usp=sharing  #gid=0"",""фіз особи new!relations_name""),6,FALSE)
,
(IF
(
G11290=""юридична особа""
,
VLOO"&amp;"KUP(H11290,IMPORTRANGE(""https://docs.google.com/spreadsheets/d/14Bd19lYaqBhU8_DElYkX7l4wRkHqqCUFNJY4AfY3kHU/edit?usp=sharing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289" s="7" t="s">
        <v>23</v>
      </c>
    </row>
    <row r="11290" spans="1:10" ht="13.2">
      <c r="A11290" s="7">
        <v>11289</v>
      </c>
      <c r="B11290" s="7">
        <v>1</v>
      </c>
      <c r="C11290" s="7" t="s">
        <v>10</v>
      </c>
      <c r="D11290" s="7">
        <v>17595</v>
      </c>
      <c r="E11290" s="7" t="s">
        <v>23</v>
      </c>
      <c r="F11290" s="8" t="str">
        <f ca="1">IFERROR(__xludf.DUMMYFUNCTION("IF
(
C11291=""фізична особа""
,
VLOOKUP(D11291,IMPORTRANGE(""https://docs.google.com/spreadsheets/d/14Bd19lYaqBhU8_DElYkX7l4wRkHqqCUFNJY4AfY3kHU/edit?usp=sharing  #gid=0"",""фіз особи new!relations_name""),6,FALSE)
,
(IF
(
C11291=""юридична особа""
,
VLOO"&amp;"KUP(D11291,IMPORTRANGE(""https://docs.google.com/spreadsheets/d/14Bd19lYaqBhU8_DElYkX7l4wRkHqqCUFNJY4AfY3kHU/edit?usp=sharing  #gid=0"",""фіз особи new!relations_name_uo""),7,FALSE)
,
)
))"),"КОЛІКОВА Ірина Валеріївна")</f>
        <v>КОЛІКОВА Ірина Валеріївна</v>
      </c>
      <c r="G11290" s="7" t="s">
        <v>10</v>
      </c>
      <c r="H11290" s="7">
        <v>17594</v>
      </c>
      <c r="I11290" s="8" t="str">
        <f ca="1">IFERROR(__xludf.DUMMYFUNCTION("IF
(
G11291=""фізична особа""
,
VLOOKUP(H11291,IMPORTRANGE(""https://docs.google.com/spreadsheets/d/14Bd19lYaqBhU8_DElYkX7l4wRkHqqCUFNJY4AfY3kHU/edit?usp=sharing  #gid=0"",""фіз особи new!relations_name""),6,FALSE)
,
(IF
(
G11291=""юридична особа""
,
VLOO"&amp;"KUP(H11291,IMPORTRANGE(""https://docs.google.com/spreadsheets/d/14Bd19lYaqBhU8_DElYkX7l4wRkHqqCUFNJY4AfY3kHU/edit?usp=sharing  #gid=0"",""фіз особи new!relations_name_uo""),7,FALSE)
,
)
))"),"ШМЕЙЦ Іржі")</f>
        <v>ШМЕЙЦ Іржі</v>
      </c>
      <c r="J11290" s="7" t="s">
        <v>23</v>
      </c>
    </row>
    <row r="11291" spans="1:10" ht="13.2">
      <c r="A11291" s="7">
        <v>11290</v>
      </c>
      <c r="B11291" s="7">
        <v>1</v>
      </c>
      <c r="C11291" s="7" t="s">
        <v>10</v>
      </c>
      <c r="D11291" s="7">
        <v>17595</v>
      </c>
      <c r="E11291" s="7" t="s">
        <v>23</v>
      </c>
      <c r="F11291" s="8" t="str">
        <f ca="1">IFERROR(__xludf.DUMMYFUNCTION("IF
(
C11292=""фізична особа""
,
VLOOKUP(D11292,IMPORTRANGE(""https://docs.google.com/spreadsheets/d/14Bd19lYaqBhU8_DElYkX7l4wRkHqqCUFNJY4AfY3kHU/edit?usp=sharing  #gid=0"",""фіз особи new!relations_name""),6,FALSE)
,
(IF
(
C11292=""юридична особа""
,
VLOO"&amp;"KUP(D11292,IMPORTRANGE(""https://docs.google.com/spreadsheets/d/14Bd19lYaqBhU8_DElYkX7l4wRkHqqCUFNJY4AfY3kHU/edit?usp=sharing  #gid=0"",""фіз особи new!relations_name_uo""),7,FALSE)
,
)
))"),"КОЛІКОВА Ірина Валеріївна")</f>
        <v>КОЛІКОВА Ірина Валеріївна</v>
      </c>
      <c r="G11291" s="7" t="s">
        <v>10</v>
      </c>
      <c r="H11291" s="7">
        <v>17596</v>
      </c>
      <c r="I11291" s="8" t="str">
        <f ca="1">IFERROR(__xludf.DUMMYFUNCTION("IF
(
G11292=""фізична особа""
,
VLOOKUP(H11292,IMPORTRANGE(""https://docs.google.com/spreadsheets/d/14Bd19lYaqBhU8_DElYkX7l4wRkHqqCUFNJY4AfY3kHU/edit?usp=sharing  #gid=0"",""фіз особи new!relations_name""),6,FALSE)
,
(IF
(
G11292=""юридична особа""
,
VLOO"&amp;"KUP(H11292,IMPORTRANGE(""https://docs.google.com/spreadsheets/d/14Bd19lYaqBhU8_DElYkX7l4wRkHqqCUFNJY4AfY3kHU/edit?usp=sharing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J11291" s="7" t="s">
        <v>23</v>
      </c>
    </row>
    <row r="11292" spans="1:10" ht="13.2">
      <c r="A11292" s="7">
        <v>11291</v>
      </c>
      <c r="B11292" s="7">
        <v>1</v>
      </c>
      <c r="C11292" s="7" t="s">
        <v>10</v>
      </c>
      <c r="D11292" s="7">
        <v>17596</v>
      </c>
      <c r="E11292" s="7" t="s">
        <v>23</v>
      </c>
      <c r="F11292" s="8" t="str">
        <f ca="1">IFERROR(__xludf.DUMMYFUNCTION("IF
(
C11293=""фізична особа""
,
VLOOKUP(D11293,IMPORTRANGE(""https://docs.google.com/spreadsheets/d/14Bd19lYaqBhU8_DElYkX7l4wRkHqqCUFNJY4AfY3kHU/edit?usp=sharing  #gid=0"",""фіз особи new!relations_name""),6,FALSE)
,
(IF
(
C11293=""юридична особа""
,
VLOO"&amp;"KUP(D11293,IMPORTRANGE(""https://docs.google.com/spreadsheets/d/14Bd19lYaqBhU8_DElYkX7l4wRkHqqCUFNJY4AfY3kHU/edit?usp=sharing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G11292" s="7" t="s">
        <v>10</v>
      </c>
      <c r="H11292" s="7">
        <v>17593</v>
      </c>
      <c r="I11292" s="8" t="str">
        <f ca="1">IFERROR(__xludf.DUMMYFUNCTION("IF
(
G11293=""фізична особа""
,
VLOOKUP(H11293,IMPORTRANGE(""https://docs.google.com/spreadsheets/d/14Bd19lYaqBhU8_DElYkX7l4wRkHqqCUFNJY4AfY3kHU/edit?usp=sharing  #gid=0"",""фіз особи new!relations_name""),6,FALSE)
,
(IF
(
G11293=""юридична особа""
,
VLOO"&amp;"KUP(H11293,IMPORTRANGE(""https://docs.google.com/spreadsheets/d/14Bd19lYaqBhU8_DElYkX7l4wRkHqqCUFNJY4AfY3kHU/edit?usp=sharing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292" s="7" t="s">
        <v>23</v>
      </c>
    </row>
    <row r="11293" spans="1:10" ht="13.2">
      <c r="A11293" s="7">
        <v>11292</v>
      </c>
      <c r="B11293" s="7">
        <v>1</v>
      </c>
      <c r="C11293" s="7" t="s">
        <v>10</v>
      </c>
      <c r="D11293" s="7">
        <v>17596</v>
      </c>
      <c r="E11293" s="7" t="s">
        <v>23</v>
      </c>
      <c r="F11293" s="8" t="str">
        <f ca="1">IFERROR(__xludf.DUMMYFUNCTION("IF
(
C11294=""фізична особа""
,
VLOOKUP(D11294,IMPORTRANGE(""https://docs.google.com/spreadsheets/d/14Bd19lYaqBhU8_DElYkX7l4wRkHqqCUFNJY4AfY3kHU/edit?usp=sharing  #gid=0"",""фіз особи new!relations_name""),6,FALSE)
,
(IF
(
C11294=""юридична особа""
,
VLOO"&amp;"KUP(D11294,IMPORTRANGE(""https://docs.google.com/spreadsheets/d/14Bd19lYaqBhU8_DElYkX7l4wRkHqqCUFNJY4AfY3kHU/edit?usp=sharing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G11293" s="7" t="s">
        <v>10</v>
      </c>
      <c r="H11293" s="7">
        <v>17594</v>
      </c>
      <c r="I11293" s="8" t="str">
        <f ca="1">IFERROR(__xludf.DUMMYFUNCTION("IF
(
G11294=""фізична особа""
,
VLOOKUP(H11294,IMPORTRANGE(""https://docs.google.com/spreadsheets/d/14Bd19lYaqBhU8_DElYkX7l4wRkHqqCUFNJY4AfY3kHU/edit?usp=sharing  #gid=0"",""фіз особи new!relations_name""),6,FALSE)
,
(IF
(
G11294=""юридична особа""
,
VLOO"&amp;"KUP(H11294,IMPORTRANGE(""https://docs.google.com/spreadsheets/d/14Bd19lYaqBhU8_DElYkX7l4wRkHqqCUFNJY4AfY3kHU/edit?usp=sharing  #gid=0"",""фіз особи new!relations_name_uo""),7,FALSE)
,
)
))"),"ШМЕЙЦ Іржі")</f>
        <v>ШМЕЙЦ Іржі</v>
      </c>
      <c r="J11293" s="7" t="s">
        <v>23</v>
      </c>
    </row>
    <row r="11294" spans="1:10" ht="13.2">
      <c r="A11294" s="7">
        <v>11293</v>
      </c>
      <c r="B11294" s="7">
        <v>1</v>
      </c>
      <c r="C11294" s="7" t="s">
        <v>10</v>
      </c>
      <c r="D11294" s="7">
        <v>17596</v>
      </c>
      <c r="E11294" s="7" t="s">
        <v>23</v>
      </c>
      <c r="F11294" s="8" t="str">
        <f ca="1">IFERROR(__xludf.DUMMYFUNCTION("IF
(
C11295=""фізична особа""
,
VLOOKUP(D11295,IMPORTRANGE(""https://docs.google.com/spreadsheets/d/14Bd19lYaqBhU8_DElYkX7l4wRkHqqCUFNJY4AfY3kHU/edit?usp=sharing  #gid=0"",""фіз особи new!relations_name""),6,FALSE)
,
(IF
(
C11295=""юридична особа""
,
VLOO"&amp;"KUP(D11295,IMPORTRANGE(""https://docs.google.com/spreadsheets/d/14Bd19lYaqBhU8_DElYkX7l4wRkHqqCUFNJY4AfY3kHU/edit?usp=sharing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G11294" s="7" t="s">
        <v>10</v>
      </c>
      <c r="H11294" s="7">
        <v>17595</v>
      </c>
      <c r="I11294" s="8" t="str">
        <f ca="1">IFERROR(__xludf.DUMMYFUNCTION("IF
(
G11295=""фізична особа""
,
VLOOKUP(H11295,IMPORTRANGE(""https://docs.google.com/spreadsheets/d/14Bd19lYaqBhU8_DElYkX7l4wRkHqqCUFNJY4AfY3kHU/edit?usp=sharing  #gid=0"",""фіз особи new!relations_name""),6,FALSE)
,
(IF
(
G11295=""юридична особа""
,
VLOO"&amp;"KUP(H11295,IMPORTRANGE(""https://docs.google.com/spreadsheets/d/14Bd19lYaqBhU8_DElYkX7l4wRkHqqCUFNJY4AfY3kHU/edit?usp=sharing  #gid=0"",""фіз особи new!relations_name_uo""),7,FALSE)
,
)
))"),"КОЛІКОВА Ірина Валеріївна")</f>
        <v>КОЛІКОВА Ірина Валеріївна</v>
      </c>
      <c r="J11294" s="7" t="s">
        <v>23</v>
      </c>
    </row>
    <row r="11295" spans="1:10" ht="13.2">
      <c r="A11295" s="7">
        <v>11294</v>
      </c>
      <c r="B11295" s="7">
        <v>1</v>
      </c>
      <c r="C11295" s="7" t="s">
        <v>10</v>
      </c>
      <c r="D11295" s="7">
        <v>17596</v>
      </c>
      <c r="E11295" s="7" t="s">
        <v>23</v>
      </c>
      <c r="F11295" s="8" t="str">
        <f ca="1">IFERROR(__xludf.DUMMYFUNCTION("IF
(
C11296=""фізична особа""
,
VLOOKUP(D11296,IMPORTRANGE(""https://docs.google.com/spreadsheets/d/14Bd19lYaqBhU8_DElYkX7l4wRkHqqCUFNJY4AfY3kHU/edit?usp=sharing  #gid=0"",""фіз особи new!relations_name""),6,FALSE)
,
(IF
(
C11296=""юридична особа""
,
VLOO"&amp;"KUP(D11296,IMPORTRANGE(""https://docs.google.com/spreadsheets/d/14Bd19lYaqBhU8_DElYkX7l4wRkHqqCUFNJY4AfY3kHU/edit?usp=sharing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G11295" s="7" t="s">
        <v>10</v>
      </c>
      <c r="H11295" s="7">
        <v>0</v>
      </c>
      <c r="I11295" s="8" t="str">
        <f ca="1">IFERROR(__xludf.DUMMYFUNCTION("IF
(
G11296=""фізична особа""
,
VLOOKUP(H11296,IMPORTRANGE(""https://docs.google.com/spreadsheets/d/14Bd19lYaqBhU8_DElYkX7l4wRkHqqCUFNJY4AfY3kHU/edit?usp=sharing  #gid=0"",""фіз особи new!relations_name""),6,FALSE)
,
(IF
(
G11296=""юридична особа""
,
VLOO"&amp;"KUP(H11296,IMPORTRANGE(""https://docs.google.com/spreadsheets/d/14Bd19lYaqBhU8_DElYkX7l4wRkHqqCUFNJY4AfY3kHU/edit?usp=sharing  #gid=0"",""фіз особи new!relations_name_uo""),7,FALSE)
,
)
))"),"#N/A")</f>
        <v>#N/A</v>
      </c>
      <c r="J11295" s="7" t="s">
        <v>23</v>
      </c>
    </row>
    <row r="11296" spans="1:10" ht="13.2">
      <c r="A11296" s="7">
        <v>11295</v>
      </c>
      <c r="B11296" s="7">
        <v>1</v>
      </c>
      <c r="C11296" s="7" t="s">
        <v>10</v>
      </c>
      <c r="D11296" s="7">
        <v>17610</v>
      </c>
      <c r="E11296" s="7" t="s">
        <v>14</v>
      </c>
      <c r="F11296" s="8" t="str">
        <f ca="1">IFERROR(__xludf.DUMMYFUNCTION("IF
(
C11297=""фізична особа""
,
VLOOKUP(D11297,IMPORTRANGE(""https://docs.google.com/spreadsheets/d/14Bd19lYaqBhU8_DElYkX7l4wRkHqqCUFNJY4AfY3kHU/edit?usp=sharing  #gid=0"",""фіз особи new!relations_name""),6,FALSE)
,
(IF
(
C11297=""юридична особа""
,
VLOO"&amp;"KUP(D11297,IMPORTRANGE(""https://docs.google.com/spreadsheets/d/14Bd19lYaqBhU8_DElYkX7l4wRkHqqCUFNJY4AfY3kHU/edit?usp=sharing  #gid=0"",""фіз особи new!relations_name_uo""),7,FALSE)
,
)
))"),"ПЛУТНІК Олександр Альбертович")</f>
        <v>ПЛУТНІК Олександр Альбертович</v>
      </c>
      <c r="G11296" s="7" t="s">
        <v>10</v>
      </c>
      <c r="H11296" s="7">
        <v>0</v>
      </c>
      <c r="I11296" s="8" t="str">
        <f ca="1">IFERROR(__xludf.DUMMYFUNCTION("IF
(
G11297=""фізична особа""
,
VLOOKUP(H11297,IMPORTRANGE(""https://docs.google.com/spreadsheets/d/14Bd19lYaqBhU8_DElYkX7l4wRkHqqCUFNJY4AfY3kHU/edit?usp=sharing  #gid=0"",""фіз особи new!relations_name""),6,FALSE)
,
(IF
(
G11297=""юридична особа""
,
VLOO"&amp;"KUP(H11297,IMPORTRANGE(""https://docs.google.com/spreadsheets/d/14Bd19lYaqBhU8_DElYkX7l4wRkHqqCUFNJY4AfY3kHU/edit?usp=sharing  #gid=0"",""фіз особи new!relations_name_uo""),7,FALSE)
,
)
))"),"#N/A")</f>
        <v>#N/A</v>
      </c>
      <c r="J11296" s="7" t="s">
        <v>15</v>
      </c>
    </row>
    <row r="11297" spans="1:10" ht="13.2">
      <c r="A11297" s="7">
        <v>11296</v>
      </c>
      <c r="B11297" s="7">
        <v>1</v>
      </c>
      <c r="C11297" s="7" t="s">
        <v>10</v>
      </c>
      <c r="D11297" s="7">
        <v>17621</v>
      </c>
      <c r="E11297" s="7" t="s">
        <v>23</v>
      </c>
      <c r="F11297" s="8" t="str">
        <f ca="1">IFERROR(__xludf.DUMMYFUNCTION("IF
(
C11298=""фізична особа""
,
VLOOKUP(D11298,IMPORTRANGE(""https://docs.google.com/spreadsheets/d/14Bd19lYaqBhU8_DElYkX7l4wRkHqqCUFNJY4AfY3kHU/edit?usp=sharing  #gid=0"",""фіз особи new!relations_name""),6,FALSE)
,
(IF
(
C11298=""юридична особа""
,
VLOO"&amp;"KUP(D11298,IMPORTRANGE(""https://docs.google.com/spreadsheets/d/14Bd19lYaqBhU8_DElYkX7l4wRkHqqCUFNJY4AfY3kHU/edit?usp=sharing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297" s="7" t="s">
        <v>10</v>
      </c>
      <c r="H11297" s="7">
        <v>17593</v>
      </c>
      <c r="I11297" s="8" t="str">
        <f ca="1">IFERROR(__xludf.DUMMYFUNCTION("IF
(
G11298=""фізична особа""
,
VLOOKUP(H11298,IMPORTRANGE(""https://docs.google.com/spreadsheets/d/14Bd19lYaqBhU8_DElYkX7l4wRkHqqCUFNJY4AfY3kHU/edit?usp=sharing  #gid=0"",""фіз особи new!relations_name""),6,FALSE)
,
(IF
(
G11298=""юридична особа""
,
VLOO"&amp;"KUP(H11298,IMPORTRANGE(""https://docs.google.com/spreadsheets/d/14Bd19lYaqBhU8_DElYkX7l4wRkHqqCUFNJY4AfY3kHU/edit?usp=sharing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297" s="7" t="s">
        <v>23</v>
      </c>
    </row>
    <row r="11298" spans="1:10" ht="13.2">
      <c r="A11298" s="7">
        <v>11297</v>
      </c>
      <c r="B11298" s="7">
        <v>1</v>
      </c>
      <c r="C11298" s="7" t="s">
        <v>10</v>
      </c>
      <c r="D11298" s="7">
        <v>17621</v>
      </c>
      <c r="E11298" s="7" t="s">
        <v>23</v>
      </c>
      <c r="F11298" s="8" t="str">
        <f ca="1">IFERROR(__xludf.DUMMYFUNCTION("IF
(
C11299=""фізична особа""
,
VLOOKUP(D11299,IMPORTRANGE(""https://docs.google.com/spreadsheets/d/14Bd19lYaqBhU8_DElYkX7l4wRkHqqCUFNJY4AfY3kHU/edit?usp=sharing  #gid=0"",""фіз особи new!relations_name""),6,FALSE)
,
(IF
(
C11299=""юридична особа""
,
VLOO"&amp;"KUP(D11299,IMPORTRANGE(""https://docs.google.com/spreadsheets/d/14Bd19lYaqBhU8_DElYkX7l4wRkHqqCUFNJY4AfY3kHU/edit?usp=sharing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298" s="7" t="s">
        <v>10</v>
      </c>
      <c r="H11298" s="7">
        <v>17594</v>
      </c>
      <c r="I11298" s="8" t="str">
        <f ca="1">IFERROR(__xludf.DUMMYFUNCTION("IF
(
G11299=""фізична особа""
,
VLOOKUP(H11299,IMPORTRANGE(""https://docs.google.com/spreadsheets/d/14Bd19lYaqBhU8_DElYkX7l4wRkHqqCUFNJY4AfY3kHU/edit?usp=sharing  #gid=0"",""фіз особи new!relations_name""),6,FALSE)
,
(IF
(
G11299=""юридична особа""
,
VLOO"&amp;"KUP(H11299,IMPORTRANGE(""https://docs.google.com/spreadsheets/d/14Bd19lYaqBhU8_DElYkX7l4wRkHqqCUFNJY4AfY3kHU/edit?usp=sharing  #gid=0"",""фіз особи new!relations_name_uo""),7,FALSE)
,
)
))"),"ШМЕЙЦ Іржі")</f>
        <v>ШМЕЙЦ Іржі</v>
      </c>
      <c r="J11298" s="7" t="s">
        <v>23</v>
      </c>
    </row>
    <row r="11299" spans="1:10" ht="13.2">
      <c r="A11299" s="7">
        <v>11298</v>
      </c>
      <c r="B11299" s="7">
        <v>1</v>
      </c>
      <c r="C11299" s="7" t="s">
        <v>10</v>
      </c>
      <c r="D11299" s="7">
        <v>17621</v>
      </c>
      <c r="E11299" s="7" t="s">
        <v>23</v>
      </c>
      <c r="F11299" s="8" t="str">
        <f ca="1">IFERROR(__xludf.DUMMYFUNCTION("IF
(
C11300=""фізична особа""
,
VLOOKUP(D11300,IMPORTRANGE(""https://docs.google.com/spreadsheets/d/14Bd19lYaqBhU8_DElYkX7l4wRkHqqCUFNJY4AfY3kHU/edit?usp=sharing  #gid=0"",""фіз особи new!relations_name""),6,FALSE)
,
(IF
(
C11300=""юридична особа""
,
VLOO"&amp;"KUP(D11300,IMPORTRANGE(""https://docs.google.com/spreadsheets/d/14Bd19lYaqBhU8_DElYkX7l4wRkHqqCUFNJY4AfY3kHU/edit?usp=sharing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299" s="7" t="s">
        <v>10</v>
      </c>
      <c r="H11299" s="7">
        <v>17596</v>
      </c>
      <c r="I11299" s="8" t="str">
        <f ca="1">IFERROR(__xludf.DUMMYFUNCTION("IF
(
G11300=""фізична особа""
,
VLOOKUP(H11300,IMPORTRANGE(""https://docs.google.com/spreadsheets/d/14Bd19lYaqBhU8_DElYkX7l4wRkHqqCUFNJY4AfY3kHU/edit?usp=sharing  #gid=0"",""фіз особи new!relations_name""),6,FALSE)
,
(IF
(
G11300=""юридична особа""
,
VLOO"&amp;"KUP(H11300,IMPORTRANGE(""https://docs.google.com/spreadsheets/d/14Bd19lYaqBhU8_DElYkX7l4wRkHqqCUFNJY4AfY3kHU/edit?usp=sharing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J11299" s="7" t="s">
        <v>23</v>
      </c>
    </row>
    <row r="11300" spans="1:10" ht="13.2">
      <c r="A11300" s="7">
        <v>11299</v>
      </c>
      <c r="B11300" s="7">
        <v>1</v>
      </c>
      <c r="C11300" s="7" t="s">
        <v>10</v>
      </c>
      <c r="D11300" s="7">
        <v>17621</v>
      </c>
      <c r="E11300" s="7" t="s">
        <v>23</v>
      </c>
      <c r="F11300" s="8" t="str">
        <f ca="1">IFERROR(__xludf.DUMMYFUNCTION("IF
(
C11301=""фізична особа""
,
VLOOKUP(D11301,IMPORTRANGE(""https://docs.google.com/spreadsheets/d/14Bd19lYaqBhU8_DElYkX7l4wRkHqqCUFNJY4AfY3kHU/edit?usp=sharing  #gid=0"",""фіз особи new!relations_name""),6,FALSE)
,
(IF
(
C11301=""юридична особа""
,
VLOO"&amp;"KUP(D11301,IMPORTRANGE(""https://docs.google.com/spreadsheets/d/14Bd19lYaqBhU8_DElYkX7l4wRkHqqCUFNJY4AfY3kHU/edit?usp=sharing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300" s="7" t="s">
        <v>10</v>
      </c>
      <c r="H11300" s="7">
        <v>0</v>
      </c>
      <c r="I11300" s="8" t="str">
        <f ca="1">IFERROR(__xludf.DUMMYFUNCTION("IF
(
G11301=""фізична особа""
,
VLOOKUP(H11301,IMPORTRANGE(""https://docs.google.com/spreadsheets/d/14Bd19lYaqBhU8_DElYkX7l4wRkHqqCUFNJY4AfY3kHU/edit?usp=sharing  #gid=0"",""фіз особи new!relations_name""),6,FALSE)
,
(IF
(
G11301=""юридична особа""
,
VLOO"&amp;"KUP(H11301,IMPORTRANGE(""https://docs.google.com/spreadsheets/d/14Bd19lYaqBhU8_DElYkX7l4wRkHqqCUFNJY4AfY3kHU/edit?usp=sharing  #gid=0"",""фіз особи new!relations_name_uo""),7,FALSE)
,
)
))"),"#N/A")</f>
        <v>#N/A</v>
      </c>
      <c r="J11300" s="7" t="s">
        <v>23</v>
      </c>
    </row>
    <row r="11301" spans="1:10" ht="13.2">
      <c r="A11301" s="7">
        <v>11300</v>
      </c>
      <c r="B11301" s="7">
        <v>1</v>
      </c>
      <c r="C11301" s="7" t="s">
        <v>10</v>
      </c>
      <c r="D11301" s="7">
        <v>17621</v>
      </c>
      <c r="E11301" s="7" t="s">
        <v>23</v>
      </c>
      <c r="F11301" s="8" t="str">
        <f ca="1">IFERROR(__xludf.DUMMYFUNCTION("IF
(
C11302=""фізична особа""
,
VLOOKUP(D11302,IMPORTRANGE(""https://docs.google.com/spreadsheets/d/14Bd19lYaqBhU8_DElYkX7l4wRkHqqCUFNJY4AfY3kHU/edit?usp=sharing  #gid=0"",""фіз особи new!relations_name""),6,FALSE)
,
(IF
(
C11302=""юридична особа""
,
VLOO"&amp;"KUP(D11302,IMPORTRANGE(""https://docs.google.com/spreadsheets/d/14Bd19lYaqBhU8_DElYkX7l4wRkHqqCUFNJY4AfY3kHU/edit?usp=sharing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301" s="7" t="s">
        <v>10</v>
      </c>
      <c r="H11301" s="7">
        <v>0</v>
      </c>
      <c r="I11301" s="8" t="str">
        <f ca="1">IFERROR(__xludf.DUMMYFUNCTION("IF
(
G11302=""фізична особа""
,
VLOOKUP(H11302,IMPORTRANGE(""https://docs.google.com/spreadsheets/d/14Bd19lYaqBhU8_DElYkX7l4wRkHqqCUFNJY4AfY3kHU/edit?usp=sharing  #gid=0"",""фіз особи new!relations_name""),6,FALSE)
,
(IF
(
G11302=""юридична особа""
,
VLOO"&amp;"KUP(H11302,IMPORTRANGE(""https://docs.google.com/spreadsheets/d/14Bd19lYaqBhU8_DElYkX7l4wRkHqqCUFNJY4AfY3kHU/edit?usp=sharing  #gid=0"",""фіз особи new!relations_name_uo""),7,FALSE)
,
)
))"),"#N/A")</f>
        <v>#N/A</v>
      </c>
      <c r="J11301" s="7" t="s">
        <v>23</v>
      </c>
    </row>
    <row r="11302" spans="1:10" ht="13.2">
      <c r="A11302" s="7">
        <v>11301</v>
      </c>
      <c r="B11302" s="7">
        <v>1</v>
      </c>
      <c r="C11302" s="7" t="s">
        <v>10</v>
      </c>
      <c r="D11302" s="7">
        <v>17621</v>
      </c>
      <c r="E11302" s="7" t="s">
        <v>23</v>
      </c>
      <c r="F11302" s="8" t="str">
        <f ca="1">IFERROR(__xludf.DUMMYFUNCTION("IF
(
C11303=""фізична особа""
,
VLOOKUP(D11303,IMPORTRANGE(""https://docs.google.com/spreadsheets/d/14Bd19lYaqBhU8_DElYkX7l4wRkHqqCUFNJY4AfY3kHU/edit?usp=sharing  #gid=0"",""фіз особи new!relations_name""),6,FALSE)
,
(IF
(
C11303=""юридична особа""
,
VLOO"&amp;"KUP(D11303,IMPORTRANGE(""https://docs.google.com/spreadsheets/d/14Bd19lYaqBhU8_DElYkX7l4wRkHqqCUFNJY4AfY3kHU/edit?usp=sharing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302" s="7" t="s">
        <v>10</v>
      </c>
      <c r="H11302" s="7">
        <v>0</v>
      </c>
      <c r="I11302" s="8" t="str">
        <f ca="1">IFERROR(__xludf.DUMMYFUNCTION("IF
(
G11303=""фізична особа""
,
VLOOKUP(H11303,IMPORTRANGE(""https://docs.google.com/spreadsheets/d/14Bd19lYaqBhU8_DElYkX7l4wRkHqqCUFNJY4AfY3kHU/edit?usp=sharing  #gid=0"",""фіз особи new!relations_name""),6,FALSE)
,
(IF
(
G11303=""юридична особа""
,
VLOO"&amp;"KUP(H11303,IMPORTRANGE(""https://docs.google.com/spreadsheets/d/14Bd19lYaqBhU8_DElYkX7l4wRkHqqCUFNJY4AfY3kHU/edit?usp=sharing  #gid=0"",""фіз особи new!relations_name_uo""),7,FALSE)
,
)
))"),"#N/A")</f>
        <v>#N/A</v>
      </c>
      <c r="J11302" s="7" t="s">
        <v>23</v>
      </c>
    </row>
    <row r="11303" spans="1:10" ht="13.2">
      <c r="A11303" s="7">
        <v>11302</v>
      </c>
      <c r="B11303" s="7">
        <v>1</v>
      </c>
      <c r="C11303" s="7" t="s">
        <v>10</v>
      </c>
      <c r="D11303" s="7">
        <v>17621</v>
      </c>
      <c r="E11303" s="7" t="s">
        <v>23</v>
      </c>
      <c r="F11303" s="8" t="str">
        <f ca="1">IFERROR(__xludf.DUMMYFUNCTION("IF
(
C11304=""фізична особа""
,
VLOOKUP(D11304,IMPORTRANGE(""https://docs.google.com/spreadsheets/d/14Bd19lYaqBhU8_DElYkX7l4wRkHqqCUFNJY4AfY3kHU/edit?usp=sharing  #gid=0"",""фіз особи new!relations_name""),6,FALSE)
,
(IF
(
C11304=""юридична особа""
,
VLOO"&amp;"KUP(D11304,IMPORTRANGE(""https://docs.google.com/spreadsheets/d/14Bd19lYaqBhU8_DElYkX7l4wRkHqqCUFNJY4AfY3kHU/edit?usp=sharing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303" s="7" t="s">
        <v>10</v>
      </c>
      <c r="H11303" s="7">
        <v>0</v>
      </c>
      <c r="I11303" s="8" t="str">
        <f ca="1">IFERROR(__xludf.DUMMYFUNCTION("IF
(
G11304=""фізична особа""
,
VLOOKUP(H11304,IMPORTRANGE(""https://docs.google.com/spreadsheets/d/14Bd19lYaqBhU8_DElYkX7l4wRkHqqCUFNJY4AfY3kHU/edit?usp=sharing  #gid=0"",""фіз особи new!relations_name""),6,FALSE)
,
(IF
(
G11304=""юридична особа""
,
VLOO"&amp;"KUP(H11304,IMPORTRANGE(""https://docs.google.com/spreadsheets/d/14Bd19lYaqBhU8_DElYkX7l4wRkHqqCUFNJY4AfY3kHU/edit?usp=sharing  #gid=0"",""фіз особи new!relations_name_uo""),7,FALSE)
,
)
))"),"#N/A")</f>
        <v>#N/A</v>
      </c>
      <c r="J11303" s="7" t="s">
        <v>23</v>
      </c>
    </row>
    <row r="11304" spans="1:10" ht="13.2">
      <c r="A11304" s="7">
        <v>11303</v>
      </c>
      <c r="B11304" s="7">
        <v>1</v>
      </c>
      <c r="C11304" s="7" t="s">
        <v>10</v>
      </c>
      <c r="D11304" s="7">
        <v>17621</v>
      </c>
      <c r="E11304" s="7" t="s">
        <v>23</v>
      </c>
      <c r="F11304" s="8" t="str">
        <f ca="1">IFERROR(__xludf.DUMMYFUNCTION("IF
(
C11305=""фізична особа""
,
VLOOKUP(D11305,IMPORTRANGE(""https://docs.google.com/spreadsheets/d/14Bd19lYaqBhU8_DElYkX7l4wRkHqqCUFNJY4AfY3kHU/edit?usp=sharing  #gid=0"",""фіз особи new!relations_name""),6,FALSE)
,
(IF
(
C11305=""юридична особа""
,
VLOO"&amp;"KUP(D11305,IMPORTRANGE(""https://docs.google.com/spreadsheets/d/14Bd19lYaqBhU8_DElYkX7l4wRkHqqCUFNJY4AfY3kHU/edit?usp=sharing  #gid=0"",""фіз особи new!relations_name_uo""),7,FALSE)
,
)
))"),"ШАФФЕР Мартін")</f>
        <v>ШАФФЕР Мартін</v>
      </c>
      <c r="G11304" s="7" t="s">
        <v>10</v>
      </c>
      <c r="H11304" s="7">
        <v>0</v>
      </c>
      <c r="I11304" s="8" t="str">
        <f ca="1">IFERROR(__xludf.DUMMYFUNCTION("IF
(
G11305=""фізична особа""
,
VLOOKUP(H11305,IMPORTRANGE(""https://docs.google.com/spreadsheets/d/14Bd19lYaqBhU8_DElYkX7l4wRkHqqCUFNJY4AfY3kHU/edit?usp=sharing  #gid=0"",""фіз особи new!relations_name""),6,FALSE)
,
(IF
(
G11305=""юридична особа""
,
VLOO"&amp;"KUP(H11305,IMPORTRANGE(""https://docs.google.com/spreadsheets/d/14Bd19lYaqBhU8_DElYkX7l4wRkHqqCUFNJY4AfY3kHU/edit?usp=sharing  #gid=0"",""фіз особи new!relations_name_uo""),7,FALSE)
,
)
))"),"#N/A")</f>
        <v>#N/A</v>
      </c>
      <c r="J11304" s="7" t="s">
        <v>23</v>
      </c>
    </row>
    <row r="11305" spans="1:10" ht="13.2">
      <c r="A11305" s="7">
        <v>11304</v>
      </c>
      <c r="B11305" s="7">
        <v>1</v>
      </c>
      <c r="C11305" s="7" t="s">
        <v>10</v>
      </c>
      <c r="D11305" s="7">
        <v>17622</v>
      </c>
      <c r="E11305" s="7" t="s">
        <v>23</v>
      </c>
      <c r="F11305" s="8" t="str">
        <f ca="1">IFERROR(__xludf.DUMMYFUNCTION("IF
(
C11306=""фізична особа""
,
VLOOKUP(D11306,IMPORTRANGE(""https://docs.google.com/spreadsheets/d/14Bd19lYaqBhU8_DElYkX7l4wRkHqqCUFNJY4AfY3kHU/edit?usp=sharing  #gid=0"",""фіз особи new!relations_name""),6,FALSE)
,
(IF
(
C11306=""юридична особа""
,
VLOO"&amp;"KUP(D11306,IMPORTRANGE(""https://docs.google.com/spreadsheets/d/14Bd19lYaqBhU8_DElYkX7l4wRkHqqCUFNJY4AfY3kHU/edit?usp=sharing  #gid=0"",""фіз особи new!relations_name_uo""),7,FALSE)
,
)
))"),"ЄГОРОВА Ольга Валентинівна")</f>
        <v>ЄГОРОВА Ольга Валентинівна</v>
      </c>
      <c r="G11305" s="7" t="s">
        <v>10</v>
      </c>
      <c r="H11305" s="7">
        <v>17593</v>
      </c>
      <c r="I11305" s="8" t="str">
        <f ca="1">IFERROR(__xludf.DUMMYFUNCTION("IF
(
G11306=""фізична особа""
,
VLOOKUP(H11306,IMPORTRANGE(""https://docs.google.com/spreadsheets/d/14Bd19lYaqBhU8_DElYkX7l4wRkHqqCUFNJY4AfY3kHU/edit?usp=sharing  #gid=0"",""фіз особи new!relations_name""),6,FALSE)
,
(IF
(
G11306=""юридична особа""
,
VLOO"&amp;"KUP(H11306,IMPORTRANGE(""https://docs.google.com/spreadsheets/d/14Bd19lYaqBhU8_DElYkX7l4wRkHqqCUFNJY4AfY3kHU/edit?usp=sharing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305" s="7" t="s">
        <v>23</v>
      </c>
    </row>
    <row r="11306" spans="1:10" ht="13.2">
      <c r="A11306" s="7">
        <v>11305</v>
      </c>
      <c r="B11306" s="7">
        <v>1</v>
      </c>
      <c r="C11306" s="7" t="s">
        <v>10</v>
      </c>
      <c r="D11306" s="7">
        <v>17622</v>
      </c>
      <c r="E11306" s="7" t="s">
        <v>23</v>
      </c>
      <c r="F11306" s="8" t="str">
        <f ca="1">IFERROR(__xludf.DUMMYFUNCTION("IF
(
C11307=""фізична особа""
,
VLOOKUP(D11307,IMPORTRANGE(""https://docs.google.com/spreadsheets/d/14Bd19lYaqBhU8_DElYkX7l4wRkHqqCUFNJY4AfY3kHU/edit?usp=sharing  #gid=0"",""фіз особи new!relations_name""),6,FALSE)
,
(IF
(
C11307=""юридична особа""
,
VLOO"&amp;"KUP(D11307,IMPORTRANGE(""https://docs.google.com/spreadsheets/d/14Bd19lYaqBhU8_DElYkX7l4wRkHqqCUFNJY4AfY3kHU/edit?usp=sharing  #gid=0"",""фіз особи new!relations_name_uo""),7,FALSE)
,
)
))"),"ЄГОРОВА Ольга Валентинівна")</f>
        <v>ЄГОРОВА Ольга Валентинівна</v>
      </c>
      <c r="G11306" s="7" t="s">
        <v>10</v>
      </c>
      <c r="H11306" s="7">
        <v>17594</v>
      </c>
      <c r="I11306" s="8" t="str">
        <f ca="1">IFERROR(__xludf.DUMMYFUNCTION("IF
(
G11307=""фізична особа""
,
VLOOKUP(H11307,IMPORTRANGE(""https://docs.google.com/spreadsheets/d/14Bd19lYaqBhU8_DElYkX7l4wRkHqqCUFNJY4AfY3kHU/edit?usp=sharing  #gid=0"",""фіз особи new!relations_name""),6,FALSE)
,
(IF
(
G11307=""юридична особа""
,
VLOO"&amp;"KUP(H11307,IMPORTRANGE(""https://docs.google.com/spreadsheets/d/14Bd19lYaqBhU8_DElYkX7l4wRkHqqCUFNJY4AfY3kHU/edit?usp=sharing  #gid=0"",""фіз особи new!relations_name_uo""),7,FALSE)
,
)
))"),"ШМЕЙЦ Іржі")</f>
        <v>ШМЕЙЦ Іржі</v>
      </c>
      <c r="J11306" s="7" t="s">
        <v>23</v>
      </c>
    </row>
    <row r="11307" spans="1:10" ht="13.2">
      <c r="A11307" s="7">
        <v>11306</v>
      </c>
      <c r="B11307" s="7">
        <v>1</v>
      </c>
      <c r="C11307" s="7" t="s">
        <v>10</v>
      </c>
      <c r="D11307" s="7">
        <v>17622</v>
      </c>
      <c r="E11307" s="7" t="s">
        <v>23</v>
      </c>
      <c r="F11307" s="8" t="str">
        <f ca="1">IFERROR(__xludf.DUMMYFUNCTION("IF
(
C11308=""фізична особа""
,
VLOOKUP(D11308,IMPORTRANGE(""https://docs.google.com/spreadsheets/d/14Bd19lYaqBhU8_DElYkX7l4wRkHqqCUFNJY4AfY3kHU/edit?usp=sharing  #gid=0"",""фіз особи new!relations_name""),6,FALSE)
,
(IF
(
C11308=""юридична особа""
,
VLOO"&amp;"KUP(D11308,IMPORTRANGE(""https://docs.google.com/spreadsheets/d/14Bd19lYaqBhU8_DElYkX7l4wRkHqqCUFNJY4AfY3kHU/edit?usp=sharing  #gid=0"",""фіз особи new!relations_name_uo""),7,FALSE)
,
)
))"),"ЄГОРОВА Ольга Валентинівна")</f>
        <v>ЄГОРОВА Ольга Валентинівна</v>
      </c>
      <c r="G11307" s="7" t="s">
        <v>10</v>
      </c>
      <c r="H11307" s="7">
        <v>17596</v>
      </c>
      <c r="I11307" s="8" t="str">
        <f ca="1">IFERROR(__xludf.DUMMYFUNCTION("IF
(
G11308=""фізична особа""
,
VLOOKUP(H11308,IMPORTRANGE(""https://docs.google.com/spreadsheets/d/14Bd19lYaqBhU8_DElYkX7l4wRkHqqCUFNJY4AfY3kHU/edit?usp=sharing  #gid=0"",""фіз особи new!relations_name""),6,FALSE)
,
(IF
(
G11308=""юридична особа""
,
VLOO"&amp;"KUP(H11308,IMPORTRANGE(""https://docs.google.com/spreadsheets/d/14Bd19lYaqBhU8_DElYkX7l4wRkHqqCUFNJY4AfY3kHU/edit?usp=sharing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J11307" s="7" t="s">
        <v>23</v>
      </c>
    </row>
    <row r="11308" spans="1:10" ht="13.2">
      <c r="A11308" s="7">
        <v>11307</v>
      </c>
      <c r="B11308" s="7">
        <v>1</v>
      </c>
      <c r="C11308" s="7" t="s">
        <v>10</v>
      </c>
      <c r="D11308" s="7">
        <v>17624</v>
      </c>
      <c r="E11308" s="7" t="s">
        <v>23</v>
      </c>
      <c r="F11308" s="8" t="str">
        <f ca="1">IFERROR(__xludf.DUMMYFUNCTION("IF
(
C11309=""фізична особа""
,
VLOOKUP(D11309,IMPORTRANGE(""https://docs.google.com/spreadsheets/d/14Bd19lYaqBhU8_DElYkX7l4wRkHqqCUFNJY4AfY3kHU/edit?usp=sharing  #gid=0"",""фіз особи new!relations_name""),6,FALSE)
,
(IF
(
C11309=""юридична особа""
,
VLOO"&amp;"KUP(D11309,IMPORTRANGE(""https://docs.google.com/spreadsheets/d/14Bd19lYaqBhU8_DElYkX7l4wRkHqqCUFNJY4AfY3kHU/edit?usp=sharing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08" s="7" t="s">
        <v>10</v>
      </c>
      <c r="H11308" s="7">
        <v>0</v>
      </c>
      <c r="I11308" s="8" t="str">
        <f ca="1">IFERROR(__xludf.DUMMYFUNCTION("IF
(
G11309=""фізична особа""
,
VLOOKUP(H11309,IMPORTRANGE(""https://docs.google.com/spreadsheets/d/14Bd19lYaqBhU8_DElYkX7l4wRkHqqCUFNJY4AfY3kHU/edit?usp=sharing  #gid=0"",""фіз особи new!relations_name""),6,FALSE)
,
(IF
(
G11309=""юридична особа""
,
VLOO"&amp;"KUP(H11309,IMPORTRANGE(""https://docs.google.com/spreadsheets/d/14Bd19lYaqBhU8_DElYkX7l4wRkHqqCUFNJY4AfY3kHU/edit?usp=sharing  #gid=0"",""фіз особи new!relations_name_uo""),7,FALSE)
,
)
))"),"#N/A")</f>
        <v>#N/A</v>
      </c>
      <c r="J11308" s="7" t="s">
        <v>23</v>
      </c>
    </row>
    <row r="11309" spans="1:10" ht="13.2">
      <c r="A11309" s="7">
        <v>11308</v>
      </c>
      <c r="B11309" s="7">
        <v>1</v>
      </c>
      <c r="C11309" s="7" t="s">
        <v>10</v>
      </c>
      <c r="D11309" s="7">
        <v>17624</v>
      </c>
      <c r="E11309" s="7" t="s">
        <v>23</v>
      </c>
      <c r="F11309" s="8" t="str">
        <f ca="1">IFERROR(__xludf.DUMMYFUNCTION("IF
(
C11310=""фізична особа""
,
VLOOKUP(D11310,IMPORTRANGE(""https://docs.google.com/spreadsheets/d/14Bd19lYaqBhU8_DElYkX7l4wRkHqqCUFNJY4AfY3kHU/edit?usp=sharing  #gid=0"",""фіз особи new!relations_name""),6,FALSE)
,
(IF
(
C11310=""юридична особа""
,
VLOO"&amp;"KUP(D11310,IMPORTRANGE(""https://docs.google.com/spreadsheets/d/14Bd19lYaqBhU8_DElYkX7l4wRkHqqCUFNJY4AfY3kHU/edit?usp=sharing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09" s="7" t="s">
        <v>10</v>
      </c>
      <c r="H11309" s="7">
        <v>0</v>
      </c>
      <c r="I11309" s="8" t="str">
        <f ca="1">IFERROR(__xludf.DUMMYFUNCTION("IF
(
G11310=""фізична особа""
,
VLOOKUP(H11310,IMPORTRANGE(""https://docs.google.com/spreadsheets/d/14Bd19lYaqBhU8_DElYkX7l4wRkHqqCUFNJY4AfY3kHU/edit?usp=sharing  #gid=0"",""фіз особи new!relations_name""),6,FALSE)
,
(IF
(
G11310=""юридична особа""
,
VLOO"&amp;"KUP(H11310,IMPORTRANGE(""https://docs.google.com/spreadsheets/d/14Bd19lYaqBhU8_DElYkX7l4wRkHqqCUFNJY4AfY3kHU/edit?usp=sharing  #gid=0"",""фіз особи new!relations_name_uo""),7,FALSE)
,
)
))"),"#N/A")</f>
        <v>#N/A</v>
      </c>
      <c r="J11309" s="7" t="s">
        <v>23</v>
      </c>
    </row>
    <row r="11310" spans="1:10" ht="13.2">
      <c r="A11310" s="7">
        <v>11309</v>
      </c>
      <c r="B11310" s="7">
        <v>1</v>
      </c>
      <c r="C11310" s="7" t="s">
        <v>10</v>
      </c>
      <c r="D11310" s="7">
        <v>17624</v>
      </c>
      <c r="E11310" s="7" t="s">
        <v>23</v>
      </c>
      <c r="F11310" s="8" t="str">
        <f ca="1">IFERROR(__xludf.DUMMYFUNCTION("IF
(
C11311=""фізична особа""
,
VLOOKUP(D11311,IMPORTRANGE(""https://docs.google.com/spreadsheets/d/14Bd19lYaqBhU8_DElYkX7l4wRkHqqCUFNJY4AfY3kHU/edit?usp=sharing  #gid=0"",""фіз особи new!relations_name""),6,FALSE)
,
(IF
(
C11311=""юридична особа""
,
VLOO"&amp;"KUP(D11311,IMPORTRANGE(""https://docs.google.com/spreadsheets/d/14Bd19lYaqBhU8_DElYkX7l4wRkHqqCUFNJY4AfY3kHU/edit?usp=sharing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0" s="7" t="s">
        <v>10</v>
      </c>
      <c r="H11310" s="7">
        <v>18761</v>
      </c>
      <c r="I11310" s="8" t="str">
        <f ca="1">IFERROR(__xludf.DUMMYFUNCTION("IF
(
G11311=""фізична особа""
,
VLOOKUP(H11311,IMPORTRANGE(""https://docs.google.com/spreadsheets/d/14Bd19lYaqBhU8_DElYkX7l4wRkHqqCUFNJY4AfY3kHU/edit?usp=sharing  #gid=0"",""фіз особи new!relations_name""),6,FALSE)
,
(IF
(
G11311=""юридична особа""
,
VLOO"&amp;"KUP(H11311,IMPORTRANGE(""https://docs.google.com/spreadsheets/d/14Bd19lYaqBhU8_DElYkX7l4wRkHqqCUFNJY4AfY3kHU/edit?usp=sharing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J11310" s="7" t="s">
        <v>23</v>
      </c>
    </row>
    <row r="11311" spans="1:10" ht="13.2">
      <c r="A11311" s="7">
        <v>11310</v>
      </c>
      <c r="B11311" s="7">
        <v>1</v>
      </c>
      <c r="C11311" s="7" t="s">
        <v>10</v>
      </c>
      <c r="D11311" s="7">
        <v>17624</v>
      </c>
      <c r="E11311" s="7" t="s">
        <v>23</v>
      </c>
      <c r="F11311" s="8" t="str">
        <f ca="1">IFERROR(__xludf.DUMMYFUNCTION("IF
(
C11312=""фізична особа""
,
VLOOKUP(D11312,IMPORTRANGE(""https://docs.google.com/spreadsheets/d/14Bd19lYaqBhU8_DElYkX7l4wRkHqqCUFNJY4AfY3kHU/edit?usp=sharing  #gid=0"",""фіз особи new!relations_name""),6,FALSE)
,
(IF
(
C11312=""юридична особа""
,
VLOO"&amp;"KUP(D11312,IMPORTRANGE(""https://docs.google.com/spreadsheets/d/14Bd19lYaqBhU8_DElYkX7l4wRkHqqCUFNJY4AfY3kHU/edit?usp=sharing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1" s="7" t="s">
        <v>10</v>
      </c>
      <c r="H11311" s="7">
        <v>18764</v>
      </c>
      <c r="I11311" s="8" t="str">
        <f ca="1">IFERROR(__xludf.DUMMYFUNCTION("IF
(
G11312=""фізична особа""
,
VLOOKUP(H11312,IMPORTRANGE(""https://docs.google.com/spreadsheets/d/14Bd19lYaqBhU8_DElYkX7l4wRkHqqCUFNJY4AfY3kHU/edit?usp=sharing  #gid=0"",""фіз особи new!relations_name""),6,FALSE)
,
(IF
(
G11312=""юридична особа""
,
VLOO"&amp;"KUP(H11312,IMPORTRANGE(""https://docs.google.com/spreadsheets/d/14Bd19lYaqBhU8_DElYkX7l4wRkHqqCUFNJY4AfY3kHU/edit?usp=sharing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J11311" s="7" t="s">
        <v>23</v>
      </c>
    </row>
    <row r="11312" spans="1:10" ht="13.2">
      <c r="A11312" s="7">
        <v>11311</v>
      </c>
      <c r="B11312" s="7">
        <v>1</v>
      </c>
      <c r="C11312" s="7" t="s">
        <v>10</v>
      </c>
      <c r="D11312" s="7">
        <v>17624</v>
      </c>
      <c r="E11312" s="7" t="s">
        <v>23</v>
      </c>
      <c r="F11312" s="8" t="str">
        <f ca="1">IFERROR(__xludf.DUMMYFUNCTION("IF
(
C11313=""фізична особа""
,
VLOOKUP(D11313,IMPORTRANGE(""https://docs.google.com/spreadsheets/d/14Bd19lYaqBhU8_DElYkX7l4wRkHqqCUFNJY4AfY3kHU/edit?usp=sharing  #gid=0"",""фіз особи new!relations_name""),6,FALSE)
,
(IF
(
C11313=""юридична особа""
,
VLOO"&amp;"KUP(D11313,IMPORTRANGE(""https://docs.google.com/spreadsheets/d/14Bd19lYaqBhU8_DElYkX7l4wRkHqqCUFNJY4AfY3kHU/edit?usp=sharing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2" s="7" t="s">
        <v>10</v>
      </c>
      <c r="H11312" s="7">
        <v>18762</v>
      </c>
      <c r="I11312" s="8" t="str">
        <f ca="1">IFERROR(__xludf.DUMMYFUNCTION("IF
(
G11313=""фізична особа""
,
VLOOKUP(H11313,IMPORTRANGE(""https://docs.google.com/spreadsheets/d/14Bd19lYaqBhU8_DElYkX7l4wRkHqqCUFNJY4AfY3kHU/edit?usp=sharing  #gid=0"",""фіз особи new!relations_name""),6,FALSE)
,
(IF
(
G11313=""юридична особа""
,
VLOO"&amp;"KUP(H11313,IMPORTRANGE(""https://docs.google.com/spreadsheets/d/14Bd19lYaqBhU8_DElYkX7l4wRkHqqCUFNJY4AfY3kHU/edit?usp=sharing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J11312" s="7" t="s">
        <v>23</v>
      </c>
    </row>
    <row r="11313" spans="1:10" ht="13.2">
      <c r="A11313" s="7">
        <v>11312</v>
      </c>
      <c r="B11313" s="7">
        <v>1</v>
      </c>
      <c r="C11313" s="7" t="s">
        <v>10</v>
      </c>
      <c r="D11313" s="7">
        <v>17624</v>
      </c>
      <c r="E11313" s="7" t="s">
        <v>23</v>
      </c>
      <c r="F11313" s="8" t="str">
        <f ca="1">IFERROR(__xludf.DUMMYFUNCTION("IF
(
C11314=""фізична особа""
,
VLOOKUP(D11314,IMPORTRANGE(""https://docs.google.com/spreadsheets/d/14Bd19lYaqBhU8_DElYkX7l4wRkHqqCUFNJY4AfY3kHU/edit?usp=sharing  #gid=0"",""фіз особи new!relations_name""),6,FALSE)
,
(IF
(
C11314=""юридична особа""
,
VLOO"&amp;"KUP(D11314,IMPORTRANGE(""https://docs.google.com/spreadsheets/d/14Bd19lYaqBhU8_DElYkX7l4wRkHqqCUFNJY4AfY3kHU/edit?usp=sharing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3" s="7" t="s">
        <v>10</v>
      </c>
      <c r="H11313" s="7">
        <v>18763</v>
      </c>
      <c r="I11313" s="8" t="str">
        <f ca="1">IFERROR(__xludf.DUMMYFUNCTION("IF
(
G11314=""фізична особа""
,
VLOOKUP(H11314,IMPORTRANGE(""https://docs.google.com/spreadsheets/d/14Bd19lYaqBhU8_DElYkX7l4wRkHqqCUFNJY4AfY3kHU/edit?usp=sharing  #gid=0"",""фіз особи new!relations_name""),6,FALSE)
,
(IF
(
G11314=""юридична особа""
,
VLOO"&amp;"KUP(H11314,IMPORTRANGE(""https://docs.google.com/spreadsheets/d/14Bd19lYaqBhU8_DElYkX7l4wRkHqqCUFNJY4AfY3kHU/edit?usp=sharing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J11313" s="7" t="s">
        <v>23</v>
      </c>
    </row>
    <row r="11314" spans="1:10" ht="13.2">
      <c r="A11314" s="7">
        <v>11313</v>
      </c>
      <c r="B11314" s="7">
        <v>1</v>
      </c>
      <c r="C11314" s="7" t="s">
        <v>10</v>
      </c>
      <c r="D11314" s="7">
        <v>17624</v>
      </c>
      <c r="E11314" s="7" t="s">
        <v>23</v>
      </c>
      <c r="F11314" s="8" t="str">
        <f ca="1">IFERROR(__xludf.DUMMYFUNCTION("IF
(
C11315=""фізична особа""
,
VLOOKUP(D11315,IMPORTRANGE(""https://docs.google.com/spreadsheets/d/14Bd19lYaqBhU8_DElYkX7l4wRkHqqCUFNJY4AfY3kHU/edit?usp=sharing  #gid=0"",""фіз особи new!relations_name""),6,FALSE)
,
(IF
(
C11315=""юридична особа""
,
VLOO"&amp;"KUP(D11315,IMPORTRANGE(""https://docs.google.com/spreadsheets/d/14Bd19lYaqBhU8_DElYkX7l4wRkHqqCUFNJY4AfY3kHU/edit?usp=sharing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4" s="7" t="s">
        <v>10</v>
      </c>
      <c r="H11314" s="7">
        <v>0</v>
      </c>
      <c r="I11314" s="8" t="str">
        <f ca="1">IFERROR(__xludf.DUMMYFUNCTION("IF
(
G11315=""фізична особа""
,
VLOOKUP(H11315,IMPORTRANGE(""https://docs.google.com/spreadsheets/d/14Bd19lYaqBhU8_DElYkX7l4wRkHqqCUFNJY4AfY3kHU/edit?usp=sharing  #gid=0"",""фіз особи new!relations_name""),6,FALSE)
,
(IF
(
G11315=""юридична особа""
,
VLOO"&amp;"KUP(H11315,IMPORTRANGE(""https://docs.google.com/spreadsheets/d/14Bd19lYaqBhU8_DElYkX7l4wRkHqqCUFNJY4AfY3kHU/edit?usp=sharing  #gid=0"",""фіз особи new!relations_name_uo""),7,FALSE)
,
)
))"),"#N/A")</f>
        <v>#N/A</v>
      </c>
      <c r="J11314" s="7" t="s">
        <v>23</v>
      </c>
    </row>
    <row r="11315" spans="1:10" ht="13.2">
      <c r="A11315" s="7">
        <v>11314</v>
      </c>
      <c r="B11315" s="7">
        <v>1</v>
      </c>
      <c r="C11315" s="7" t="s">
        <v>10</v>
      </c>
      <c r="D11315" s="7">
        <v>17624</v>
      </c>
      <c r="E11315" s="7" t="s">
        <v>23</v>
      </c>
      <c r="F11315" s="8" t="str">
        <f ca="1">IFERROR(__xludf.DUMMYFUNCTION("IF
(
C11316=""фізична особа""
,
VLOOKUP(D11316,IMPORTRANGE(""https://docs.google.com/spreadsheets/d/14Bd19lYaqBhU8_DElYkX7l4wRkHqqCUFNJY4AfY3kHU/edit?usp=sharing  #gid=0"",""фіз особи new!relations_name""),6,FALSE)
,
(IF
(
C11316=""юридична особа""
,
VLOO"&amp;"KUP(D11316,IMPORTRANGE(""https://docs.google.com/spreadsheets/d/14Bd19lYaqBhU8_DElYkX7l4wRkHqqCUFNJY4AfY3kHU/edit?usp=sharing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5" s="7" t="s">
        <v>10</v>
      </c>
      <c r="H11315" s="7">
        <v>0</v>
      </c>
      <c r="I11315" s="8" t="str">
        <f ca="1">IFERROR(__xludf.DUMMYFUNCTION("IF
(
G11316=""фізична особа""
,
VLOOKUP(H11316,IMPORTRANGE(""https://docs.google.com/spreadsheets/d/14Bd19lYaqBhU8_DElYkX7l4wRkHqqCUFNJY4AfY3kHU/edit?usp=sharing  #gid=0"",""фіз особи new!relations_name""),6,FALSE)
,
(IF
(
G11316=""юридична особа""
,
VLOO"&amp;"KUP(H11316,IMPORTRANGE(""https://docs.google.com/spreadsheets/d/14Bd19lYaqBhU8_DElYkX7l4wRkHqqCUFNJY4AfY3kHU/edit?usp=sharing  #gid=0"",""фіз особи new!relations_name_uo""),7,FALSE)
,
)
))"),"#N/A")</f>
        <v>#N/A</v>
      </c>
      <c r="J11315" s="7" t="s">
        <v>23</v>
      </c>
    </row>
    <row r="11316" spans="1:10" ht="13.2">
      <c r="A11316" s="7">
        <v>11315</v>
      </c>
      <c r="B11316" s="7">
        <v>1</v>
      </c>
      <c r="C11316" s="7" t="s">
        <v>10</v>
      </c>
      <c r="D11316" s="7">
        <v>17624</v>
      </c>
      <c r="E11316" s="7" t="s">
        <v>23</v>
      </c>
      <c r="F11316" s="8" t="str">
        <f ca="1">IFERROR(__xludf.DUMMYFUNCTION("IF
(
C11317=""фізична особа""
,
VLOOKUP(D11317,IMPORTRANGE(""https://docs.google.com/spreadsheets/d/14Bd19lYaqBhU8_DElYkX7l4wRkHqqCUFNJY4AfY3kHU/edit?usp=sharing  #gid=0"",""фіз особи new!relations_name""),6,FALSE)
,
(IF
(
C11317=""юридична особа""
,
VLOO"&amp;"KUP(D11317,IMPORTRANGE(""https://docs.google.com/spreadsheets/d/14Bd19lYaqBhU8_DElYkX7l4wRkHqqCUFNJY4AfY3kHU/edit?usp=sharing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6" s="7" t="s">
        <v>10</v>
      </c>
      <c r="H11316" s="7">
        <v>0</v>
      </c>
      <c r="I11316" s="8" t="str">
        <f ca="1">IFERROR(__xludf.DUMMYFUNCTION("IF
(
G11317=""фізична особа""
,
VLOOKUP(H11317,IMPORTRANGE(""https://docs.google.com/spreadsheets/d/14Bd19lYaqBhU8_DElYkX7l4wRkHqqCUFNJY4AfY3kHU/edit?usp=sharing  #gid=0"",""фіз особи new!relations_name""),6,FALSE)
,
(IF
(
G11317=""юридична особа""
,
VLOO"&amp;"KUP(H11317,IMPORTRANGE(""https://docs.google.com/spreadsheets/d/14Bd19lYaqBhU8_DElYkX7l4wRkHqqCUFNJY4AfY3kHU/edit?usp=sharing  #gid=0"",""фіз особи new!relations_name_uo""),7,FALSE)
,
)
))"),"#N/A")</f>
        <v>#N/A</v>
      </c>
      <c r="J11316" s="7" t="s">
        <v>23</v>
      </c>
    </row>
    <row r="11317" spans="1:10" ht="13.2">
      <c r="A11317" s="7">
        <v>11316</v>
      </c>
      <c r="B11317" s="7">
        <v>1</v>
      </c>
      <c r="C11317" s="7" t="s">
        <v>10</v>
      </c>
      <c r="D11317" s="7">
        <v>17624</v>
      </c>
      <c r="E11317" s="7" t="s">
        <v>23</v>
      </c>
      <c r="F11317" s="8" t="str">
        <f ca="1">IFERROR(__xludf.DUMMYFUNCTION("IF
(
C11318=""фізична особа""
,
VLOOKUP(D11318,IMPORTRANGE(""https://docs.google.com/spreadsheets/d/14Bd19lYaqBhU8_DElYkX7l4wRkHqqCUFNJY4AfY3kHU/edit?usp=sharing  #gid=0"",""фіз особи new!relations_name""),6,FALSE)
,
(IF
(
C11318=""юридична особа""
,
VLOO"&amp;"KUP(D11318,IMPORTRANGE(""https://docs.google.com/spreadsheets/d/14Bd19lYaqBhU8_DElYkX7l4wRkHqqCUFNJY4AfY3kHU/edit?usp=sharing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7" s="7" t="s">
        <v>10</v>
      </c>
      <c r="H11317" s="7">
        <v>0</v>
      </c>
      <c r="I11317" s="8" t="str">
        <f ca="1">IFERROR(__xludf.DUMMYFUNCTION("IF
(
G11318=""фізична особа""
,
VLOOKUP(H11318,IMPORTRANGE(""https://docs.google.com/spreadsheets/d/14Bd19lYaqBhU8_DElYkX7l4wRkHqqCUFNJY4AfY3kHU/edit?usp=sharing  #gid=0"",""фіз особи new!relations_name""),6,FALSE)
,
(IF
(
G11318=""юридична особа""
,
VLOO"&amp;"KUP(H11318,IMPORTRANGE(""https://docs.google.com/spreadsheets/d/14Bd19lYaqBhU8_DElYkX7l4wRkHqqCUFNJY4AfY3kHU/edit?usp=sharing  #gid=0"",""фіз особи new!relations_name_uo""),7,FALSE)
,
)
))"),"#N/A")</f>
        <v>#N/A</v>
      </c>
      <c r="J11317" s="7" t="s">
        <v>23</v>
      </c>
    </row>
    <row r="11318" spans="1:10" ht="13.2">
      <c r="A11318" s="7">
        <v>11317</v>
      </c>
      <c r="B11318" s="7">
        <v>1</v>
      </c>
      <c r="C11318" s="7" t="s">
        <v>10</v>
      </c>
      <c r="D11318" s="7">
        <v>17624</v>
      </c>
      <c r="E11318" s="7" t="s">
        <v>23</v>
      </c>
      <c r="F11318" s="8" t="str">
        <f ca="1">IFERROR(__xludf.DUMMYFUNCTION("IF
(
C11319=""фізична особа""
,
VLOOKUP(D11319,IMPORTRANGE(""https://docs.google.com/spreadsheets/d/14Bd19lYaqBhU8_DElYkX7l4wRkHqqCUFNJY4AfY3kHU/edit?usp=sharing  #gid=0"",""фіз особи new!relations_name""),6,FALSE)
,
(IF
(
C11319=""юридична особа""
,
VLOO"&amp;"KUP(D11319,IMPORTRANGE(""https://docs.google.com/spreadsheets/d/14Bd19lYaqBhU8_DElYkX7l4wRkHqqCUFNJY4AfY3kHU/edit?usp=sharing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8" s="7" t="s">
        <v>10</v>
      </c>
      <c r="H11318" s="7">
        <v>0</v>
      </c>
      <c r="I11318" s="8" t="str">
        <f ca="1">IFERROR(__xludf.DUMMYFUNCTION("IF
(
G11319=""фізична особа""
,
VLOOKUP(H11319,IMPORTRANGE(""https://docs.google.com/spreadsheets/d/14Bd19lYaqBhU8_DElYkX7l4wRkHqqCUFNJY4AfY3kHU/edit?usp=sharing  #gid=0"",""фіз особи new!relations_name""),6,FALSE)
,
(IF
(
G11319=""юридична особа""
,
VLOO"&amp;"KUP(H11319,IMPORTRANGE(""https://docs.google.com/spreadsheets/d/14Bd19lYaqBhU8_DElYkX7l4wRkHqqCUFNJY4AfY3kHU/edit?usp=sharing  #gid=0"",""фіз особи new!relations_name_uo""),7,FALSE)
,
)
))"),"#N/A")</f>
        <v>#N/A</v>
      </c>
      <c r="J11318" s="7" t="s">
        <v>23</v>
      </c>
    </row>
    <row r="11319" spans="1:10" ht="13.2">
      <c r="A11319" s="7">
        <v>11318</v>
      </c>
      <c r="B11319" s="7">
        <v>1</v>
      </c>
      <c r="C11319" s="7" t="s">
        <v>10</v>
      </c>
      <c r="D11319" s="7">
        <v>17624</v>
      </c>
      <c r="E11319" s="7" t="s">
        <v>23</v>
      </c>
      <c r="F11319" s="8" t="str">
        <f ca="1">IFERROR(__xludf.DUMMYFUNCTION("IF
(
C11320=""фізична особа""
,
VLOOKUP(D11320,IMPORTRANGE(""https://docs.google.com/spreadsheets/d/14Bd19lYaqBhU8_DElYkX7l4wRkHqqCUFNJY4AfY3kHU/edit?usp=sharing  #gid=0"",""фіз особи new!relations_name""),6,FALSE)
,
(IF
(
C11320=""юридична особа""
,
VLOO"&amp;"KUP(D11320,IMPORTRANGE(""https://docs.google.com/spreadsheets/d/14Bd19lYaqBhU8_DElYkX7l4wRkHqqCUFNJY4AfY3kHU/edit?usp=sharing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19" s="7" t="s">
        <v>10</v>
      </c>
      <c r="H11319" s="7">
        <v>0</v>
      </c>
      <c r="I11319" s="8" t="str">
        <f ca="1">IFERROR(__xludf.DUMMYFUNCTION("IF
(
G11320=""фізична особа""
,
VLOOKUP(H11320,IMPORTRANGE(""https://docs.google.com/spreadsheets/d/14Bd19lYaqBhU8_DElYkX7l4wRkHqqCUFNJY4AfY3kHU/edit?usp=sharing  #gid=0"",""фіз особи new!relations_name""),6,FALSE)
,
(IF
(
G11320=""юридична особа""
,
VLOO"&amp;"KUP(H11320,IMPORTRANGE(""https://docs.google.com/spreadsheets/d/14Bd19lYaqBhU8_DElYkX7l4wRkHqqCUFNJY4AfY3kHU/edit?usp=sharing  #gid=0"",""фіз особи new!relations_name_uo""),7,FALSE)
,
)
))"),"#N/A")</f>
        <v>#N/A</v>
      </c>
      <c r="J11319" s="7" t="s">
        <v>23</v>
      </c>
    </row>
    <row r="11320" spans="1:10" ht="13.2">
      <c r="A11320" s="7">
        <v>11319</v>
      </c>
      <c r="B11320" s="7">
        <v>1</v>
      </c>
      <c r="C11320" s="7" t="s">
        <v>10</v>
      </c>
      <c r="D11320" s="7">
        <v>17624</v>
      </c>
      <c r="E11320" s="7" t="s">
        <v>23</v>
      </c>
      <c r="F11320" s="8" t="str">
        <f ca="1">IFERROR(__xludf.DUMMYFUNCTION("IF
(
C11321=""фізична особа""
,
VLOOKUP(D11321,IMPORTRANGE(""https://docs.google.com/spreadsheets/d/14Bd19lYaqBhU8_DElYkX7l4wRkHqqCUFNJY4AfY3kHU/edit?usp=sharing  #gid=0"",""фіз особи new!relations_name""),6,FALSE)
,
(IF
(
C11321=""юридична особа""
,
VLOO"&amp;"KUP(D11321,IMPORTRANGE(""https://docs.google.com/spreadsheets/d/14Bd19lYaqBhU8_DElYkX7l4wRkHqqCUFNJY4AfY3kHU/edit?usp=sharing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0" s="7" t="s">
        <v>10</v>
      </c>
      <c r="H11320" s="7">
        <v>0</v>
      </c>
      <c r="I11320" s="8" t="str">
        <f ca="1">IFERROR(__xludf.DUMMYFUNCTION("IF
(
G11321=""фізична особа""
,
VLOOKUP(H11321,IMPORTRANGE(""https://docs.google.com/spreadsheets/d/14Bd19lYaqBhU8_DElYkX7l4wRkHqqCUFNJY4AfY3kHU/edit?usp=sharing  #gid=0"",""фіз особи new!relations_name""),6,FALSE)
,
(IF
(
G11321=""юридична особа""
,
VLOO"&amp;"KUP(H11321,IMPORTRANGE(""https://docs.google.com/spreadsheets/d/14Bd19lYaqBhU8_DElYkX7l4wRkHqqCUFNJY4AfY3kHU/edit?usp=sharing  #gid=0"",""фіз особи new!relations_name_uo""),7,FALSE)
,
)
))"),"#N/A")</f>
        <v>#N/A</v>
      </c>
      <c r="J11320" s="7" t="s">
        <v>23</v>
      </c>
    </row>
    <row r="11321" spans="1:10" ht="13.2">
      <c r="A11321" s="7">
        <v>11320</v>
      </c>
      <c r="B11321" s="7">
        <v>1</v>
      </c>
      <c r="C11321" s="7" t="s">
        <v>10</v>
      </c>
      <c r="D11321" s="7">
        <v>17624</v>
      </c>
      <c r="E11321" s="7" t="s">
        <v>23</v>
      </c>
      <c r="F11321" s="8" t="str">
        <f ca="1">IFERROR(__xludf.DUMMYFUNCTION("IF
(
C11322=""фізична особа""
,
VLOOKUP(D11322,IMPORTRANGE(""https://docs.google.com/spreadsheets/d/14Bd19lYaqBhU8_DElYkX7l4wRkHqqCUFNJY4AfY3kHU/edit?usp=sharing  #gid=0"",""фіз особи new!relations_name""),6,FALSE)
,
(IF
(
C11322=""юридична особа""
,
VLOO"&amp;"KUP(D11322,IMPORTRANGE(""https://docs.google.com/spreadsheets/d/14Bd19lYaqBhU8_DElYkX7l4wRkHqqCUFNJY4AfY3kHU/edit?usp=sharing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1" s="7" t="s">
        <v>10</v>
      </c>
      <c r="H11321" s="7">
        <v>0</v>
      </c>
      <c r="I11321" s="8" t="str">
        <f ca="1">IFERROR(__xludf.DUMMYFUNCTION("IF
(
G11322=""фізична особа""
,
VLOOKUP(H11322,IMPORTRANGE(""https://docs.google.com/spreadsheets/d/14Bd19lYaqBhU8_DElYkX7l4wRkHqqCUFNJY4AfY3kHU/edit?usp=sharing  #gid=0"",""фіз особи new!relations_name""),6,FALSE)
,
(IF
(
G11322=""юридична особа""
,
VLOO"&amp;"KUP(H11322,IMPORTRANGE(""https://docs.google.com/spreadsheets/d/14Bd19lYaqBhU8_DElYkX7l4wRkHqqCUFNJY4AfY3kHU/edit?usp=sharing  #gid=0"",""фіз особи new!relations_name_uo""),7,FALSE)
,
)
))"),"#N/A")</f>
        <v>#N/A</v>
      </c>
      <c r="J11321" s="7" t="s">
        <v>23</v>
      </c>
    </row>
    <row r="11322" spans="1:10" ht="13.2">
      <c r="A11322" s="7">
        <v>11321</v>
      </c>
      <c r="B11322" s="7">
        <v>1</v>
      </c>
      <c r="C11322" s="7" t="s">
        <v>10</v>
      </c>
      <c r="D11322" s="7">
        <v>17624</v>
      </c>
      <c r="E11322" s="7" t="s">
        <v>23</v>
      </c>
      <c r="F11322" s="8" t="str">
        <f ca="1">IFERROR(__xludf.DUMMYFUNCTION("IF
(
C11323=""фізична особа""
,
VLOOKUP(D11323,IMPORTRANGE(""https://docs.google.com/spreadsheets/d/14Bd19lYaqBhU8_DElYkX7l4wRkHqqCUFNJY4AfY3kHU/edit?usp=sharing  #gid=0"",""фіз особи new!relations_name""),6,FALSE)
,
(IF
(
C11323=""юридична особа""
,
VLOO"&amp;"KUP(D11323,IMPORTRANGE(""https://docs.google.com/spreadsheets/d/14Bd19lYaqBhU8_DElYkX7l4wRkHqqCUFNJY4AfY3kHU/edit?usp=sharing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2" s="7" t="s">
        <v>10</v>
      </c>
      <c r="H11322" s="7">
        <v>0</v>
      </c>
      <c r="I11322" s="8" t="str">
        <f ca="1">IFERROR(__xludf.DUMMYFUNCTION("IF
(
G11323=""фізична особа""
,
VLOOKUP(H11323,IMPORTRANGE(""https://docs.google.com/spreadsheets/d/14Bd19lYaqBhU8_DElYkX7l4wRkHqqCUFNJY4AfY3kHU/edit?usp=sharing  #gid=0"",""фіз особи new!relations_name""),6,FALSE)
,
(IF
(
G11323=""юридична особа""
,
VLOO"&amp;"KUP(H11323,IMPORTRANGE(""https://docs.google.com/spreadsheets/d/14Bd19lYaqBhU8_DElYkX7l4wRkHqqCUFNJY4AfY3kHU/edit?usp=sharing  #gid=0"",""фіз особи new!relations_name_uo""),7,FALSE)
,
)
))"),"#N/A")</f>
        <v>#N/A</v>
      </c>
      <c r="J11322" s="7" t="s">
        <v>23</v>
      </c>
    </row>
    <row r="11323" spans="1:10" ht="13.2">
      <c r="A11323" s="7">
        <v>11322</v>
      </c>
      <c r="B11323" s="7">
        <v>1</v>
      </c>
      <c r="C11323" s="7" t="s">
        <v>10</v>
      </c>
      <c r="D11323" s="7">
        <v>17624</v>
      </c>
      <c r="E11323" s="7" t="s">
        <v>23</v>
      </c>
      <c r="F11323" s="8" t="str">
        <f ca="1">IFERROR(__xludf.DUMMYFUNCTION("IF
(
C11324=""фізична особа""
,
VLOOKUP(D11324,IMPORTRANGE(""https://docs.google.com/spreadsheets/d/14Bd19lYaqBhU8_DElYkX7l4wRkHqqCUFNJY4AfY3kHU/edit?usp=sharing  #gid=0"",""фіз особи new!relations_name""),6,FALSE)
,
(IF
(
C11324=""юридична особа""
,
VLOO"&amp;"KUP(D11324,IMPORTRANGE(""https://docs.google.com/spreadsheets/d/14Bd19lYaqBhU8_DElYkX7l4wRkHqqCUFNJY4AfY3kHU/edit?usp=sharing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3" s="7" t="s">
        <v>10</v>
      </c>
      <c r="H11323" s="7">
        <v>3634</v>
      </c>
      <c r="I11323" s="8" t="str">
        <f ca="1">IFERROR(__xludf.DUMMYFUNCTION("IF
(
G11324=""фізична особа""
,
VLOOKUP(H11324,IMPORTRANGE(""https://docs.google.com/spreadsheets/d/14Bd19lYaqBhU8_DElYkX7l4wRkHqqCUFNJY4AfY3kHU/edit?usp=sharing  #gid=0"",""фіз особи new!relations_name""),6,FALSE)
,
(IF
(
G11324=""юридична особа""
,
VLOO"&amp;"KUP(H11324,IMPORTRANGE(""https://docs.google.com/spreadsheets/d/14Bd19lYaqBhU8_DElYkX7l4wRkHqqCUFNJY4AfY3kHU/edit?usp=sharing  #gid=0"",""фіз особи new!relations_name_uo""),7,FALSE)
,
)
))"),"ГУРОВ Олексій Олександрович")</f>
        <v>ГУРОВ Олексій Олександрович</v>
      </c>
      <c r="J11323" s="7" t="s">
        <v>23</v>
      </c>
    </row>
    <row r="11324" spans="1:10" ht="13.2">
      <c r="A11324" s="7">
        <v>11323</v>
      </c>
      <c r="B11324" s="7">
        <v>1</v>
      </c>
      <c r="C11324" s="7" t="s">
        <v>10</v>
      </c>
      <c r="D11324" s="7">
        <v>17624</v>
      </c>
      <c r="E11324" s="7" t="s">
        <v>23</v>
      </c>
      <c r="F11324" s="8" t="str">
        <f ca="1">IFERROR(__xludf.DUMMYFUNCTION("IF
(
C11325=""фізична особа""
,
VLOOKUP(D11325,IMPORTRANGE(""https://docs.google.com/spreadsheets/d/14Bd19lYaqBhU8_DElYkX7l4wRkHqqCUFNJY4AfY3kHU/edit?usp=sharing  #gid=0"",""фіз особи new!relations_name""),6,FALSE)
,
(IF
(
C11325=""юридична особа""
,
VLOO"&amp;"KUP(D11325,IMPORTRANGE(""https://docs.google.com/spreadsheets/d/14Bd19lYaqBhU8_DElYkX7l4wRkHqqCUFNJY4AfY3kHU/edit?usp=sharing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4" s="7" t="s">
        <v>10</v>
      </c>
      <c r="H11324" s="7">
        <v>23629</v>
      </c>
      <c r="I11324" s="8" t="str">
        <f ca="1">IFERROR(__xludf.DUMMYFUNCTION("IF
(
G11325=""фізична особа""
,
VLOOKUP(H11325,IMPORTRANGE(""https://docs.google.com/spreadsheets/d/14Bd19lYaqBhU8_DElYkX7l4wRkHqqCUFNJY4AfY3kHU/edit?usp=sharing  #gid=0"",""фіз особи new!relations_name""),6,FALSE)
,
(IF
(
G11325=""юридична особа""
,
VLOO"&amp;"KUP(H11325,IMPORTRANGE(""https://docs.google.com/spreadsheets/d/14Bd19lYaqBhU8_DElYkX7l4wRkHqqCUFNJY4AfY3kHU/edit?usp=sharing  #gid=0"",""фіз особи new!relations_name_uo""),7,FALSE)
,
)
))"),"ТРУБІН Михайло Миколайович")</f>
        <v>ТРУБІН Михайло Миколайович</v>
      </c>
      <c r="J11324" s="7" t="s">
        <v>23</v>
      </c>
    </row>
    <row r="11325" spans="1:10" ht="13.2">
      <c r="A11325" s="7">
        <v>11324</v>
      </c>
      <c r="B11325" s="7">
        <v>1</v>
      </c>
      <c r="C11325" s="7" t="s">
        <v>10</v>
      </c>
      <c r="D11325" s="7">
        <v>17624</v>
      </c>
      <c r="E11325" s="7" t="s">
        <v>23</v>
      </c>
      <c r="F11325" s="8" t="str">
        <f ca="1">IFERROR(__xludf.DUMMYFUNCTION("IF
(
C11326=""фізична особа""
,
VLOOKUP(D11326,IMPORTRANGE(""https://docs.google.com/spreadsheets/d/14Bd19lYaqBhU8_DElYkX7l4wRkHqqCUFNJY4AfY3kHU/edit?usp=sharing  #gid=0"",""фіз особи new!relations_name""),6,FALSE)
,
(IF
(
C11326=""юридична особа""
,
VLOO"&amp;"KUP(D11326,IMPORTRANGE(""https://docs.google.com/spreadsheets/d/14Bd19lYaqBhU8_DElYkX7l4wRkHqqCUFNJY4AfY3kHU/edit?usp=sharing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5" s="7" t="s">
        <v>10</v>
      </c>
      <c r="H11325" s="7">
        <v>0</v>
      </c>
      <c r="I11325" s="8" t="str">
        <f ca="1">IFERROR(__xludf.DUMMYFUNCTION("IF
(
G11326=""фізична особа""
,
VLOOKUP(H11326,IMPORTRANGE(""https://docs.google.com/spreadsheets/d/14Bd19lYaqBhU8_DElYkX7l4wRkHqqCUFNJY4AfY3kHU/edit?usp=sharing  #gid=0"",""фіз особи new!relations_name""),6,FALSE)
,
(IF
(
G11326=""юридична особа""
,
VLOO"&amp;"KUP(H11326,IMPORTRANGE(""https://docs.google.com/spreadsheets/d/14Bd19lYaqBhU8_DElYkX7l4wRkHqqCUFNJY4AfY3kHU/edit?usp=sharing  #gid=0"",""фіз особи new!relations_name_uo""),7,FALSE)
,
)
))"),"#N/A")</f>
        <v>#N/A</v>
      </c>
      <c r="J11325" s="7" t="s">
        <v>23</v>
      </c>
    </row>
    <row r="11326" spans="1:10" ht="13.2">
      <c r="A11326" s="7">
        <v>11325</v>
      </c>
      <c r="B11326" s="7">
        <v>1</v>
      </c>
      <c r="C11326" s="7" t="s">
        <v>10</v>
      </c>
      <c r="D11326" s="7">
        <v>17624</v>
      </c>
      <c r="E11326" s="7" t="s">
        <v>23</v>
      </c>
      <c r="F11326" s="8" t="str">
        <f ca="1">IFERROR(__xludf.DUMMYFUNCTION("IF
(
C11327=""фізична особа""
,
VLOOKUP(D11327,IMPORTRANGE(""https://docs.google.com/spreadsheets/d/14Bd19lYaqBhU8_DElYkX7l4wRkHqqCUFNJY4AfY3kHU/edit?usp=sharing  #gid=0"",""фіз особи new!relations_name""),6,FALSE)
,
(IF
(
C11327=""юридична особа""
,
VLOO"&amp;"KUP(D11327,IMPORTRANGE(""https://docs.google.com/spreadsheets/d/14Bd19lYaqBhU8_DElYkX7l4wRkHqqCUFNJY4AfY3kHU/edit?usp=sharing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6" s="7" t="s">
        <v>10</v>
      </c>
      <c r="H11326" s="7">
        <v>23630</v>
      </c>
      <c r="I11326" s="8" t="str">
        <f ca="1">IFERROR(__xludf.DUMMYFUNCTION("IF
(
G11327=""фізична особа""
,
VLOOKUP(H11327,IMPORTRANGE(""https://docs.google.com/spreadsheets/d/14Bd19lYaqBhU8_DElYkX7l4wRkHqqCUFNJY4AfY3kHU/edit?usp=sharing  #gid=0"",""фіз особи new!relations_name""),6,FALSE)
,
(IF
(
G11327=""юридична особа""
,
VLOO"&amp;"KUP(H11327,IMPORTRANGE(""https://docs.google.com/spreadsheets/d/14Bd19lYaqBhU8_DElYkX7l4wRkHqqCUFNJY4AfY3kHU/edit?usp=sharing  #gid=0"",""фіз особи new!relations_name_uo""),7,FALSE)
,
)
))"),"ЖИМЕРІНА Ірина Олександрівна")</f>
        <v>ЖИМЕРІНА Ірина Олександрівна</v>
      </c>
      <c r="J11326" s="7" t="s">
        <v>23</v>
      </c>
    </row>
    <row r="11327" spans="1:10" ht="13.2">
      <c r="A11327" s="7">
        <v>11326</v>
      </c>
      <c r="B11327" s="7">
        <v>1</v>
      </c>
      <c r="C11327" s="7" t="s">
        <v>10</v>
      </c>
      <c r="D11327" s="7">
        <v>17624</v>
      </c>
      <c r="E11327" s="7" t="s">
        <v>23</v>
      </c>
      <c r="F11327" s="8" t="str">
        <f ca="1">IFERROR(__xludf.DUMMYFUNCTION("IF
(
C11328=""фізична особа""
,
VLOOKUP(D11328,IMPORTRANGE(""https://docs.google.com/spreadsheets/d/14Bd19lYaqBhU8_DElYkX7l4wRkHqqCUFNJY4AfY3kHU/edit?usp=sharing  #gid=0"",""фіз особи new!relations_name""),6,FALSE)
,
(IF
(
C11328=""юридична особа""
,
VLOO"&amp;"KUP(D11328,IMPORTRANGE(""https://docs.google.com/spreadsheets/d/14Bd19lYaqBhU8_DElYkX7l4wRkHqqCUFNJY4AfY3kHU/edit?usp=sharing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7" s="7" t="s">
        <v>10</v>
      </c>
      <c r="H11327" s="7">
        <v>6047</v>
      </c>
      <c r="I11327" s="8" t="str">
        <f ca="1">IFERROR(__xludf.DUMMYFUNCTION("IF
(
G11328=""фізична особа""
,
VLOOKUP(H11328,IMPORTRANGE(""https://docs.google.com/spreadsheets/d/14Bd19lYaqBhU8_DElYkX7l4wRkHqqCUFNJY4AfY3kHU/edit?usp=sharing  #gid=0"",""фіз особи new!relations_name""),6,FALSE)
,
(IF
(
G11328=""юридична особа""
,
VLOO"&amp;"KUP(H11328,IMPORTRANGE(""https://docs.google.com/spreadsheets/d/14Bd19lYaqBhU8_DElYkX7l4wRkHqqCUFNJY4AfY3kHU/edit?usp=sharing  #gid=0"",""фіз особи new!relations_name_uo""),7,FALSE)
,
)
))"),"СТЕКАНОВ Володимир Ігорович")</f>
        <v>СТЕКАНОВ Володимир Ігорович</v>
      </c>
      <c r="J11327" s="7" t="s">
        <v>23</v>
      </c>
    </row>
    <row r="11328" spans="1:10" ht="13.2">
      <c r="A11328" s="7">
        <v>11327</v>
      </c>
      <c r="B11328" s="7">
        <v>1</v>
      </c>
      <c r="C11328" s="7" t="s">
        <v>10</v>
      </c>
      <c r="D11328" s="7">
        <v>17624</v>
      </c>
      <c r="E11328" s="7" t="s">
        <v>23</v>
      </c>
      <c r="F11328" s="8" t="str">
        <f ca="1">IFERROR(__xludf.DUMMYFUNCTION("IF
(
C11329=""фізична особа""
,
VLOOKUP(D11329,IMPORTRANGE(""https://docs.google.com/spreadsheets/d/14Bd19lYaqBhU8_DElYkX7l4wRkHqqCUFNJY4AfY3kHU/edit?usp=sharing  #gid=0"",""фіз особи new!relations_name""),6,FALSE)
,
(IF
(
C11329=""юридична особа""
,
VLOO"&amp;"KUP(D11329,IMPORTRANGE(""https://docs.google.com/spreadsheets/d/14Bd19lYaqBhU8_DElYkX7l4wRkHqqCUFNJY4AfY3kHU/edit?usp=sharing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G11328" s="7" t="s">
        <v>10</v>
      </c>
      <c r="H11328" s="7">
        <v>561</v>
      </c>
      <c r="I11328" s="8" t="str">
        <f ca="1">IFERROR(__xludf.DUMMYFUNCTION("IF
(
G11329=""фізична особа""
,
VLOOKUP(H11329,IMPORTRANGE(""https://docs.google.com/spreadsheets/d/14Bd19lYaqBhU8_DElYkX7l4wRkHqqCUFNJY4AfY3kHU/edit?usp=sharing  #gid=0"",""фіз особи new!relations_name""),6,FALSE)
,
(IF
(
G11329=""юридична особа""
,
VLOO"&amp;"KUP(H11329,IMPORTRANGE(""https://docs.google.com/spreadsheets/d/14Bd19lYaqBhU8_DElYkX7l4wRkHqqCUFNJY4AfY3kHU/edit?usp=sharing  #gid=0"",""фіз особи new!relations_name_uo""),7,FALSE)
,
)
))"),"САВЧЕНКО Олег Володимирович")</f>
        <v>САВЧЕНКО Олег Володимирович</v>
      </c>
      <c r="J11328" s="7" t="s">
        <v>23</v>
      </c>
    </row>
    <row r="11329" spans="1:10" ht="13.2">
      <c r="A11329" s="7">
        <v>11328</v>
      </c>
      <c r="B11329" s="7">
        <v>1</v>
      </c>
      <c r="C11329" s="7" t="s">
        <v>10</v>
      </c>
      <c r="D11329" s="7">
        <v>17625</v>
      </c>
      <c r="E11329" s="7" t="s">
        <v>23</v>
      </c>
      <c r="F11329" s="8" t="str">
        <f ca="1">IFERROR(__xludf.DUMMYFUNCTION("IF
(
C11330=""фізична особа""
,
VLOOKUP(D11330,IMPORTRANGE(""https://docs.google.com/spreadsheets/d/14Bd19lYaqBhU8_DElYkX7l4wRkHqqCUFNJY4AfY3kHU/edit?usp=sharing  #gid=0"",""фіз особи new!relations_name""),6,FALSE)
,
(IF
(
C11330=""юридична особа""
,
VLOO"&amp;"KUP(D11330,IMPORTRANGE(""https://docs.google.com/spreadsheets/d/14Bd19lYaqBhU8_DElYkX7l4wRkHqqCUFNJY4AfY3kHU/edit?usp=sharing  #gid=0"",""фіз особи new!relations_name_uo""),7,FALSE)
,
)
))"),"СУМІНА Ольга Львівна")</f>
        <v>СУМІНА Ольга Львівна</v>
      </c>
      <c r="G11329" s="7" t="s">
        <v>10</v>
      </c>
      <c r="H11329" s="7">
        <v>17593</v>
      </c>
      <c r="I11329" s="8" t="str">
        <f ca="1">IFERROR(__xludf.DUMMYFUNCTION("IF
(
G11330=""фізична особа""
,
VLOOKUP(H11330,IMPORTRANGE(""https://docs.google.com/spreadsheets/d/14Bd19lYaqBhU8_DElYkX7l4wRkHqqCUFNJY4AfY3kHU/edit?usp=sharing  #gid=0"",""фіз особи new!relations_name""),6,FALSE)
,
(IF
(
G11330=""юридична особа""
,
VLOO"&amp;"KUP(H11330,IMPORTRANGE(""https://docs.google.com/spreadsheets/d/14Bd19lYaqBhU8_DElYkX7l4wRkHqqCUFNJY4AfY3kHU/edit?usp=sharing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1329" s="7" t="s">
        <v>23</v>
      </c>
    </row>
    <row r="11330" spans="1:10" ht="13.2">
      <c r="A11330" s="7">
        <v>11329</v>
      </c>
      <c r="B11330" s="7">
        <v>1</v>
      </c>
      <c r="C11330" s="7" t="s">
        <v>10</v>
      </c>
      <c r="D11330" s="7">
        <v>17625</v>
      </c>
      <c r="E11330" s="7" t="s">
        <v>23</v>
      </c>
      <c r="F11330" s="8" t="str">
        <f ca="1">IFERROR(__xludf.DUMMYFUNCTION("IF
(
C11331=""фізична особа""
,
VLOOKUP(D11331,IMPORTRANGE(""https://docs.google.com/spreadsheets/d/14Bd19lYaqBhU8_DElYkX7l4wRkHqqCUFNJY4AfY3kHU/edit?usp=sharing  #gid=0"",""фіз особи new!relations_name""),6,FALSE)
,
(IF
(
C11331=""юридична особа""
,
VLOO"&amp;"KUP(D11331,IMPORTRANGE(""https://docs.google.com/spreadsheets/d/14Bd19lYaqBhU8_DElYkX7l4wRkHqqCUFNJY4AfY3kHU/edit?usp=sharing  #gid=0"",""фіз особи new!relations_name_uo""),7,FALSE)
,
)
))"),"СУМІНА Ольга Львівна")</f>
        <v>СУМІНА Ольга Львівна</v>
      </c>
      <c r="G11330" s="7" t="s">
        <v>10</v>
      </c>
      <c r="H11330" s="7">
        <v>17594</v>
      </c>
      <c r="I11330" s="8" t="str">
        <f ca="1">IFERROR(__xludf.DUMMYFUNCTION("IF
(
G11331=""фізична особа""
,
VLOOKUP(H11331,IMPORTRANGE(""https://docs.google.com/spreadsheets/d/14Bd19lYaqBhU8_DElYkX7l4wRkHqqCUFNJY4AfY3kHU/edit?usp=sharing  #gid=0"",""фіз особи new!relations_name""),6,FALSE)
,
(IF
(
G11331=""юридична особа""
,
VLOO"&amp;"KUP(H11331,IMPORTRANGE(""https://docs.google.com/spreadsheets/d/14Bd19lYaqBhU8_DElYkX7l4wRkHqqCUFNJY4AfY3kHU/edit?usp=sharing  #gid=0"",""фіз особи new!relations_name_uo""),7,FALSE)
,
)
))"),"ШМЕЙЦ Іржі")</f>
        <v>ШМЕЙЦ Іржі</v>
      </c>
      <c r="J11330" s="7" t="s">
        <v>23</v>
      </c>
    </row>
    <row r="11331" spans="1:10" ht="13.2">
      <c r="A11331" s="7">
        <v>11330</v>
      </c>
      <c r="B11331" s="7">
        <v>1</v>
      </c>
      <c r="C11331" s="7" t="s">
        <v>10</v>
      </c>
      <c r="D11331" s="7">
        <v>17625</v>
      </c>
      <c r="E11331" s="7" t="s">
        <v>23</v>
      </c>
      <c r="F11331" s="8" t="str">
        <f ca="1">IFERROR(__xludf.DUMMYFUNCTION("IF
(
C11332=""фізична особа""
,
VLOOKUP(D11332,IMPORTRANGE(""https://docs.google.com/spreadsheets/d/14Bd19lYaqBhU8_DElYkX7l4wRkHqqCUFNJY4AfY3kHU/edit?usp=sharing  #gid=0"",""фіз особи new!relations_name""),6,FALSE)
,
(IF
(
C11332=""юридична особа""
,
VLOO"&amp;"KUP(D11332,IMPORTRANGE(""https://docs.google.com/spreadsheets/d/14Bd19lYaqBhU8_DElYkX7l4wRkHqqCUFNJY4AfY3kHU/edit?usp=sharing  #gid=0"",""фіз особи new!relations_name_uo""),7,FALSE)
,
)
))"),"СУМІНА Ольга Львівна")</f>
        <v>СУМІНА Ольга Львівна</v>
      </c>
      <c r="G11331" s="7" t="s">
        <v>10</v>
      </c>
      <c r="H11331" s="7">
        <v>17596</v>
      </c>
      <c r="I11331" s="8" t="str">
        <f ca="1">IFERROR(__xludf.DUMMYFUNCTION("IF
(
G11332=""фізична особа""
,
VLOOKUP(H11332,IMPORTRANGE(""https://docs.google.com/spreadsheets/d/14Bd19lYaqBhU8_DElYkX7l4wRkHqqCUFNJY4AfY3kHU/edit?usp=sharing  #gid=0"",""фіз особи new!relations_name""),6,FALSE)
,
(IF
(
G11332=""юридична особа""
,
VLOO"&amp;"KUP(H11332,IMPORTRANGE(""https://docs.google.com/spreadsheets/d/14Bd19lYaqBhU8_DElYkX7l4wRkHqqCUFNJY4AfY3kHU/edit?usp=sharing  #gid=0"",""фіз особи new!relations_name_uo""),7,FALSE)
,
)
))"),"ШТЕРБА Йіржі")</f>
        <v>ШТЕРБА Йіржі</v>
      </c>
      <c r="J11331" s="7" t="s">
        <v>23</v>
      </c>
    </row>
    <row r="11332" spans="1:10" ht="13.2">
      <c r="A11332" s="7">
        <v>11331</v>
      </c>
      <c r="B11332" s="7">
        <v>1</v>
      </c>
      <c r="C11332" s="7" t="s">
        <v>10</v>
      </c>
      <c r="D11332" s="7">
        <v>17625</v>
      </c>
      <c r="E11332" s="7" t="s">
        <v>23</v>
      </c>
      <c r="F11332" s="8" t="str">
        <f ca="1">IFERROR(__xludf.DUMMYFUNCTION("IF
(
C11333=""фізична особа""
,
VLOOKUP(D11333,IMPORTRANGE(""https://docs.google.com/spreadsheets/d/14Bd19lYaqBhU8_DElYkX7l4wRkHqqCUFNJY4AfY3kHU/edit?usp=sharing  #gid=0"",""фіз особи new!relations_name""),6,FALSE)
,
(IF
(
C11333=""юридична особа""
,
VLOO"&amp;"KUP(D11333,IMPORTRANGE(""https://docs.google.com/spreadsheets/d/14Bd19lYaqBhU8_DElYkX7l4wRkHqqCUFNJY4AfY3kHU/edit?usp=sharing  #gid=0"",""фіз особи new!relations_name_uo""),7,FALSE)
,
)
))"),"СУМІНА Ольга Львівна")</f>
        <v>СУМІНА Ольга Львівна</v>
      </c>
      <c r="G11332" s="7" t="s">
        <v>10</v>
      </c>
      <c r="H11332" s="7">
        <v>17594</v>
      </c>
      <c r="I11332" s="8" t="str">
        <f ca="1">IFERROR(__xludf.DUMMYFUNCTION("IF
(
G11333=""фізична особа""
,
VLOOKUP(H11333,IMPORTRANGE(""https://docs.google.com/spreadsheets/d/14Bd19lYaqBhU8_DElYkX7l4wRkHqqCUFNJY4AfY3kHU/edit?usp=sharing  #gid=0"",""фіз особи new!relations_name""),6,FALSE)
,
(IF
(
G11333=""юридична особа""
,
VLOO"&amp;"KUP(H11333,IMPORTRANGE(""https://docs.google.com/spreadsheets/d/14Bd19lYaqBhU8_DElYkX7l4wRkHqqCUFNJY4AfY3kHU/edit?usp=sharing  #gid=0"",""фіз особи new!relations_name_uo""),7,FALSE)
,
)
))"),"ШМЕЙЦ Іржі")</f>
        <v>ШМЕЙЦ Іржі</v>
      </c>
      <c r="J11332" s="7" t="s">
        <v>23</v>
      </c>
    </row>
    <row r="11333" spans="1:10" ht="13.2">
      <c r="A11333" s="7">
        <v>11332</v>
      </c>
      <c r="B11333" s="7">
        <v>1</v>
      </c>
      <c r="C11333" s="7" t="s">
        <v>10</v>
      </c>
      <c r="D11333" s="7">
        <v>17626</v>
      </c>
      <c r="E11333" s="7" t="s">
        <v>23</v>
      </c>
      <c r="F11333" s="8" t="str">
        <f ca="1">IFERROR(__xludf.DUMMYFUNCTION("IF
(
C11334=""фізична особа""
,
VLOOKUP(D11334,IMPORTRANGE(""https://docs.google.com/spreadsheets/d/14Bd19lYaqBhU8_DElYkX7l4wRkHqqCUFNJY4AfY3kHU/edit?usp=sharing  #gid=0"",""фіз особи new!relations_name""),6,FALSE)
,
(IF
(
C11334=""юридична особа""
,
VLOO"&amp;"KUP(D11334,IMPORTRANGE(""https://docs.google.com/spreadsheets/d/14Bd19lYaqBhU8_DElYkX7l4wRkHqqCUFNJY4AfY3kHU/edit?usp=sharing  #gid=0"",""фіз особи new!relations_name_uo""),7,FALSE)
,
)
))"),"ЛОГІНОВ Ігор Володимирович")</f>
        <v>ЛОГІНОВ Ігор Володимирович</v>
      </c>
      <c r="G11333" s="7" t="s">
        <v>10</v>
      </c>
      <c r="H11333" s="7">
        <v>16561</v>
      </c>
      <c r="I11333" s="8" t="str">
        <f ca="1">IFERROR(__xludf.DUMMYFUNCTION("IF
(
G11334=""фізична особа""
,
VLOOKUP(H11334,IMPORTRANGE(""https://docs.google.com/spreadsheets/d/14Bd19lYaqBhU8_DElYkX7l4wRkHqqCUFNJY4AfY3kHU/edit?usp=sharing  #gid=0"",""фіз особи new!relations_name""),6,FALSE)
,
(IF
(
G11334=""юридична особа""
,
VLOO"&amp;"KUP(H11334,IMPORTRANGE(""https://docs.google.com/spreadsheets/d/14Bd19lYaqBhU8_DElYkX7l4wRkHqqCUFNJY4AfY3kHU/edit?usp=sharing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33" s="7" t="s">
        <v>23</v>
      </c>
    </row>
    <row r="11334" spans="1:10" ht="13.2">
      <c r="A11334" s="7">
        <v>11333</v>
      </c>
      <c r="B11334" s="7">
        <v>1</v>
      </c>
      <c r="C11334" s="7" t="s">
        <v>10</v>
      </c>
      <c r="D11334" s="7">
        <v>17626</v>
      </c>
      <c r="E11334" s="7" t="s">
        <v>23</v>
      </c>
      <c r="F11334" s="8" t="str">
        <f ca="1">IFERROR(__xludf.DUMMYFUNCTION("IF
(
C11335=""фізична особа""
,
VLOOKUP(D11335,IMPORTRANGE(""https://docs.google.com/spreadsheets/d/14Bd19lYaqBhU8_DElYkX7l4wRkHqqCUFNJY4AfY3kHU/edit?usp=sharing  #gid=0"",""фіз особи new!relations_name""),6,FALSE)
,
(IF
(
C11335=""юридична особа""
,
VLOO"&amp;"KUP(D11335,IMPORTRANGE(""https://docs.google.com/spreadsheets/d/14Bd19lYaqBhU8_DElYkX7l4wRkHqqCUFNJY4AfY3kHU/edit?usp=sharing  #gid=0"",""фіз особи new!relations_name_uo""),7,FALSE)
,
)
))"),"ЛОГІНОВ Ігор Володимирович")</f>
        <v>ЛОГІНОВ Ігор Володимирович</v>
      </c>
      <c r="G11334" s="7" t="s">
        <v>10</v>
      </c>
      <c r="H11334" s="7">
        <v>17627</v>
      </c>
      <c r="I11334" s="8" t="str">
        <f ca="1">IFERROR(__xludf.DUMMYFUNCTION("IF
(
G11335=""фізична особа""
,
VLOOKUP(H11335,IMPORTRANGE(""https://docs.google.com/spreadsheets/d/14Bd19lYaqBhU8_DElYkX7l4wRkHqqCUFNJY4AfY3kHU/edit?usp=sharing  #gid=0"",""фіз особи new!relations_name""),6,FALSE)
,
(IF
(
G11335=""юридична особа""
,
VLOO"&amp;"KUP(H11335,IMPORTRANGE(""https://docs.google.com/spreadsheets/d/14Bd19lYaqBhU8_DElYkX7l4wRkHqqCUFNJY4AfY3kHU/edit?usp=sharing  #gid=0"",""фіз особи new!relations_name_uo""),7,FALSE)
,
)
))"),"ДРЮЧЕНКО Любов Григорівна")</f>
        <v>ДРЮЧЕНКО Любов Григорівна</v>
      </c>
      <c r="J11334" s="7" t="s">
        <v>23</v>
      </c>
    </row>
    <row r="11335" spans="1:10" ht="13.2">
      <c r="A11335" s="7">
        <v>11334</v>
      </c>
      <c r="B11335" s="7">
        <v>1</v>
      </c>
      <c r="C11335" s="7" t="s">
        <v>10</v>
      </c>
      <c r="D11335" s="7">
        <v>17627</v>
      </c>
      <c r="E11335" s="7" t="s">
        <v>23</v>
      </c>
      <c r="F11335" s="8" t="str">
        <f ca="1">IFERROR(__xludf.DUMMYFUNCTION("IF
(
C11336=""фізична особа""
,
VLOOKUP(D11336,IMPORTRANGE(""https://docs.google.com/spreadsheets/d/14Bd19lYaqBhU8_DElYkX7l4wRkHqqCUFNJY4AfY3kHU/edit?usp=sharing  #gid=0"",""фіз особи new!relations_name""),6,FALSE)
,
(IF
(
C11336=""юридична особа""
,
VLOO"&amp;"KUP(D11336,IMPORTRANGE(""https://docs.google.com/spreadsheets/d/14Bd19lYaqBhU8_DElYkX7l4wRkHqqCUFNJY4AfY3kHU/edit?usp=sharing  #gid=0"",""фіз особи new!relations_name_uo""),7,FALSE)
,
)
))"),"ДРЮЧЕНКО Любов Григорівна")</f>
        <v>ДРЮЧЕНКО Любов Григорівна</v>
      </c>
      <c r="G11335" s="7" t="s">
        <v>10</v>
      </c>
      <c r="H11335" s="7">
        <v>16561</v>
      </c>
      <c r="I11335" s="8" t="str">
        <f ca="1">IFERROR(__xludf.DUMMYFUNCTION("IF
(
G11336=""фізична особа""
,
VLOOKUP(H11336,IMPORTRANGE(""https://docs.google.com/spreadsheets/d/14Bd19lYaqBhU8_DElYkX7l4wRkHqqCUFNJY4AfY3kHU/edit?usp=sharing  #gid=0"",""фіз особи new!relations_name""),6,FALSE)
,
(IF
(
G11336=""юридична особа""
,
VLOO"&amp;"KUP(H11336,IMPORTRANGE(""https://docs.google.com/spreadsheets/d/14Bd19lYaqBhU8_DElYkX7l4wRkHqqCUFNJY4AfY3kHU/edit?usp=sharing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35" s="7" t="s">
        <v>23</v>
      </c>
    </row>
    <row r="11336" spans="1:10" ht="13.2">
      <c r="A11336" s="7">
        <v>11335</v>
      </c>
      <c r="B11336" s="7">
        <v>1</v>
      </c>
      <c r="C11336" s="7" t="s">
        <v>10</v>
      </c>
      <c r="D11336" s="7">
        <v>17627</v>
      </c>
      <c r="E11336" s="7" t="s">
        <v>23</v>
      </c>
      <c r="F11336" s="8" t="str">
        <f ca="1">IFERROR(__xludf.DUMMYFUNCTION("IF
(
C11337=""фізична особа""
,
VLOOKUP(D11337,IMPORTRANGE(""https://docs.google.com/spreadsheets/d/14Bd19lYaqBhU8_DElYkX7l4wRkHqqCUFNJY4AfY3kHU/edit?usp=sharing  #gid=0"",""фіз особи new!relations_name""),6,FALSE)
,
(IF
(
C11337=""юридична особа""
,
VLOO"&amp;"KUP(D11337,IMPORTRANGE(""https://docs.google.com/spreadsheets/d/14Bd19lYaqBhU8_DElYkX7l4wRkHqqCUFNJY4AfY3kHU/edit?usp=sharing  #gid=0"",""фіз особи new!relations_name_uo""),7,FALSE)
,
)
))"),"ДРЮЧЕНКО Любов Григорівна")</f>
        <v>ДРЮЧЕНКО Любов Григорівна</v>
      </c>
      <c r="G11336" s="7" t="s">
        <v>10</v>
      </c>
      <c r="H11336" s="7">
        <v>17626</v>
      </c>
      <c r="I11336" s="8" t="str">
        <f ca="1">IFERROR(__xludf.DUMMYFUNCTION("IF
(
G11337=""фізична особа""
,
VLOOKUP(H11337,IMPORTRANGE(""https://docs.google.com/spreadsheets/d/14Bd19lYaqBhU8_DElYkX7l4wRkHqqCUFNJY4AfY3kHU/edit?usp=sharing  #gid=0"",""фіз особи new!relations_name""),6,FALSE)
,
(IF
(
G11337=""юридична особа""
,
VLOO"&amp;"KUP(H11337,IMPORTRANGE(""https://docs.google.com/spreadsheets/d/14Bd19lYaqBhU8_DElYkX7l4wRkHqqCUFNJY4AfY3kHU/edit?usp=sharing  #gid=0"",""фіз особи new!relations_name_uo""),7,FALSE)
,
)
))"),"ЛОГІНОВ Ігор Володимирович")</f>
        <v>ЛОГІНОВ Ігор Володимирович</v>
      </c>
      <c r="J11336" s="7" t="s">
        <v>23</v>
      </c>
    </row>
    <row r="11337" spans="1:10" ht="13.2">
      <c r="A11337" s="7">
        <v>11336</v>
      </c>
      <c r="B11337" s="7">
        <v>1</v>
      </c>
      <c r="C11337" s="7" t="s">
        <v>10</v>
      </c>
      <c r="D11337" s="7">
        <v>17628</v>
      </c>
      <c r="E11337" s="7" t="s">
        <v>23</v>
      </c>
      <c r="F11337" s="8" t="str">
        <f ca="1">IFERROR(__xludf.DUMMYFUNCTION("IF
(
C11338=""фізична особа""
,
VLOOKUP(D11338,IMPORTRANGE(""https://docs.google.com/spreadsheets/d/14Bd19lYaqBhU8_DElYkX7l4wRkHqqCUFNJY4AfY3kHU/edit?usp=sharing  #gid=0"",""фіз особи new!relations_name""),6,FALSE)
,
(IF
(
C11338=""юридична особа""
,
VLOO"&amp;"KUP(D11338,IMPORTRANGE(""https://docs.google.com/spreadsheets/d/14Bd19lYaqBhU8_DElYkX7l4wRkHqqCUFNJY4AfY3kHU/edit?usp=sharing  #gid=0"",""фіз особи new!relations_name_uo""),7,FALSE)
,
)
))"),"ЄРЕМЕНКО Руслан Юрійович")</f>
        <v>ЄРЕМЕНКО Руслан Юрійович</v>
      </c>
      <c r="G11337" s="7" t="s">
        <v>10</v>
      </c>
      <c r="H11337" s="7">
        <v>27</v>
      </c>
      <c r="I11337" s="8" t="str">
        <f ca="1">IFERROR(__xludf.DUMMYFUNCTION("IF
(
G11338=""фізична особа""
,
VLOOKUP(H11338,IMPORTRANGE(""https://docs.google.com/spreadsheets/d/14Bd19lYaqBhU8_DElYkX7l4wRkHqqCUFNJY4AfY3kHU/edit?usp=sharing  #gid=0"",""фіз особи new!relations_name""),6,FALSE)
,
(IF
(
G11338=""юридична особа""
,
VLOO"&amp;"KUP(H11338,IMPORTRANGE(""https://docs.google.com/spreadsheets/d/14Bd19lYaqBhU8_DElYkX7l4wRkHqqCUFNJY4AfY3kHU/edit?usp=sharing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1337" s="7" t="s">
        <v>23</v>
      </c>
    </row>
    <row r="11338" spans="1:10" ht="13.2">
      <c r="A11338" s="7">
        <v>11337</v>
      </c>
      <c r="B11338" s="7">
        <v>1</v>
      </c>
      <c r="C11338" s="7" t="s">
        <v>10</v>
      </c>
      <c r="D11338" s="7">
        <v>17628</v>
      </c>
      <c r="E11338" s="7" t="s">
        <v>23</v>
      </c>
      <c r="F11338" s="8" t="str">
        <f ca="1">IFERROR(__xludf.DUMMYFUNCTION("IF
(
C11339=""фізична особа""
,
VLOOKUP(D11339,IMPORTRANGE(""https://docs.google.com/spreadsheets/d/14Bd19lYaqBhU8_DElYkX7l4wRkHqqCUFNJY4AfY3kHU/edit?usp=sharing  #gid=0"",""фіз особи new!relations_name""),6,FALSE)
,
(IF
(
C11339=""юридична особа""
,
VLOO"&amp;"KUP(D11339,IMPORTRANGE(""https://docs.google.com/spreadsheets/d/14Bd19lYaqBhU8_DElYkX7l4wRkHqqCUFNJY4AfY3kHU/edit?usp=sharing  #gid=0"",""фіз особи new!relations_name_uo""),7,FALSE)
,
)
))"),"ЄРЕМЕНКО Руслан Юрійович")</f>
        <v>ЄРЕМЕНКО Руслан Юрійович</v>
      </c>
      <c r="G11338" s="7" t="s">
        <v>10</v>
      </c>
      <c r="H11338" s="7">
        <v>16561</v>
      </c>
      <c r="I11338" s="8" t="str">
        <f ca="1">IFERROR(__xludf.DUMMYFUNCTION("IF
(
G11339=""фізична особа""
,
VLOOKUP(H11339,IMPORTRANGE(""https://docs.google.com/spreadsheets/d/14Bd19lYaqBhU8_DElYkX7l4wRkHqqCUFNJY4AfY3kHU/edit?usp=sharing  #gid=0"",""фіз особи new!relations_name""),6,FALSE)
,
(IF
(
G11339=""юридична особа""
,
VLOO"&amp;"KUP(H11339,IMPORTRANGE(""https://docs.google.com/spreadsheets/d/14Bd19lYaqBhU8_DElYkX7l4wRkHqqCUFNJY4AfY3kHU/edit?usp=sharing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38" s="7" t="s">
        <v>23</v>
      </c>
    </row>
    <row r="11339" spans="1:10" ht="13.2">
      <c r="A11339" s="7">
        <v>11338</v>
      </c>
      <c r="B11339" s="7">
        <v>1</v>
      </c>
      <c r="C11339" s="7" t="s">
        <v>10</v>
      </c>
      <c r="D11339" s="7">
        <v>17628</v>
      </c>
      <c r="E11339" s="7" t="s">
        <v>23</v>
      </c>
      <c r="F11339" s="8" t="str">
        <f ca="1">IFERROR(__xludf.DUMMYFUNCTION("IF
(
C11340=""фізична особа""
,
VLOOKUP(D11340,IMPORTRANGE(""https://docs.google.com/spreadsheets/d/14Bd19lYaqBhU8_DElYkX7l4wRkHqqCUFNJY4AfY3kHU/edit?usp=sharing  #gid=0"",""фіз особи new!relations_name""),6,FALSE)
,
(IF
(
C11340=""юридична особа""
,
VLOO"&amp;"KUP(D11340,IMPORTRANGE(""https://docs.google.com/spreadsheets/d/14Bd19lYaqBhU8_DElYkX7l4wRkHqqCUFNJY4AfY3kHU/edit?usp=sharing  #gid=0"",""фіз особи new!relations_name_uo""),7,FALSE)
,
)
))"),"ЄРЕМЕНКО Руслан Юрійович")</f>
        <v>ЄРЕМЕНКО Руслан Юрійович</v>
      </c>
      <c r="G11339" s="7" t="s">
        <v>10</v>
      </c>
      <c r="H11339" s="7">
        <v>49</v>
      </c>
      <c r="I11339" s="8" t="str">
        <f ca="1">IFERROR(__xludf.DUMMYFUNCTION("IF
(
G11340=""фізична особа""
,
VLOOKUP(H11340,IMPORTRANGE(""https://docs.google.com/spreadsheets/d/14Bd19lYaqBhU8_DElYkX7l4wRkHqqCUFNJY4AfY3kHU/edit?usp=sharing  #gid=0"",""фіз особи new!relations_name""),6,FALSE)
,
(IF
(
G11340=""юридична особа""
,
VLOO"&amp;"KUP(H11340,IMPORTRANGE(""https://docs.google.com/spreadsheets/d/14Bd19lYaqBhU8_DElYkX7l4wRkHqqCUFNJY4AfY3kHU/edit?usp=sharing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1339" s="7" t="s">
        <v>23</v>
      </c>
    </row>
    <row r="11340" spans="1:10" ht="13.2">
      <c r="A11340" s="7">
        <v>11339</v>
      </c>
      <c r="B11340" s="7">
        <v>1</v>
      </c>
      <c r="C11340" s="7" t="s">
        <v>10</v>
      </c>
      <c r="D11340" s="7">
        <v>17629</v>
      </c>
      <c r="E11340" s="7" t="s">
        <v>23</v>
      </c>
      <c r="F11340" s="8" t="str">
        <f ca="1">IFERROR(__xludf.DUMMYFUNCTION("IF
(
C11341=""фізична особа""
,
VLOOKUP(D11341,IMPORTRANGE(""https://docs.google.com/spreadsheets/d/14Bd19lYaqBhU8_DElYkX7l4wRkHqqCUFNJY4AfY3kHU/edit?usp=sharing  #gid=0"",""фіз особи new!relations_name""),6,FALSE)
,
(IF
(
C11341=""юридична особа""
,
VLOO"&amp;"KUP(D11341,IMPORTRANGE(""https://docs.google.com/spreadsheets/d/14Bd19lYaqBhU8_DElYkX7l4wRkHqqCUFNJY4AfY3kHU/edit?usp=sharing  #gid=0"",""фіз особи new!relations_name_uo""),7,FALSE)
,
)
))"),"ЗАВАЛКО Максим Валентинович")</f>
        <v>ЗАВАЛКО Максим Валентинович</v>
      </c>
      <c r="G11340" s="7" t="s">
        <v>10</v>
      </c>
      <c r="H11340" s="7">
        <v>27</v>
      </c>
      <c r="I11340" s="8" t="str">
        <f ca="1">IFERROR(__xludf.DUMMYFUNCTION("IF
(
G11341=""фізична особа""
,
VLOOKUP(H11341,IMPORTRANGE(""https://docs.google.com/spreadsheets/d/14Bd19lYaqBhU8_DElYkX7l4wRkHqqCUFNJY4AfY3kHU/edit?usp=sharing  #gid=0"",""фіз особи new!relations_name""),6,FALSE)
,
(IF
(
G11341=""юридична особа""
,
VLOO"&amp;"KUP(H11341,IMPORTRANGE(""https://docs.google.com/spreadsheets/d/14Bd19lYaqBhU8_DElYkX7l4wRkHqqCUFNJY4AfY3kHU/edit?usp=sharing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1340" s="7" t="s">
        <v>23</v>
      </c>
    </row>
    <row r="11341" spans="1:10" ht="13.2">
      <c r="A11341" s="7">
        <v>11340</v>
      </c>
      <c r="B11341" s="7">
        <v>1</v>
      </c>
      <c r="C11341" s="7" t="s">
        <v>10</v>
      </c>
      <c r="D11341" s="7">
        <v>17629</v>
      </c>
      <c r="E11341" s="7" t="s">
        <v>23</v>
      </c>
      <c r="F11341" s="8" t="str">
        <f ca="1">IFERROR(__xludf.DUMMYFUNCTION("IF
(
C11342=""фізична особа""
,
VLOOKUP(D11342,IMPORTRANGE(""https://docs.google.com/spreadsheets/d/14Bd19lYaqBhU8_DElYkX7l4wRkHqqCUFNJY4AfY3kHU/edit?usp=sharing  #gid=0"",""фіз особи new!relations_name""),6,FALSE)
,
(IF
(
C11342=""юридична особа""
,
VLOO"&amp;"KUP(D11342,IMPORTRANGE(""https://docs.google.com/spreadsheets/d/14Bd19lYaqBhU8_DElYkX7l4wRkHqqCUFNJY4AfY3kHU/edit?usp=sharing  #gid=0"",""фіз особи new!relations_name_uo""),7,FALSE)
,
)
))"),"ЗАВАЛКО Максим Валентинович")</f>
        <v>ЗАВАЛКО Максим Валентинович</v>
      </c>
      <c r="G11341" s="7" t="s">
        <v>10</v>
      </c>
      <c r="H11341" s="7">
        <v>16561</v>
      </c>
      <c r="I11341" s="8" t="str">
        <f ca="1">IFERROR(__xludf.DUMMYFUNCTION("IF
(
G11342=""фізична особа""
,
VLOOKUP(H11342,IMPORTRANGE(""https://docs.google.com/spreadsheets/d/14Bd19lYaqBhU8_DElYkX7l4wRkHqqCUFNJY4AfY3kHU/edit?usp=sharing  #gid=0"",""фіз особи new!relations_name""),6,FALSE)
,
(IF
(
G11342=""юридична особа""
,
VLOO"&amp;"KUP(H11342,IMPORTRANGE(""https://docs.google.com/spreadsheets/d/14Bd19lYaqBhU8_DElYkX7l4wRkHqqCUFNJY4AfY3kHU/edit?usp=sharing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41" s="7" t="s">
        <v>23</v>
      </c>
    </row>
    <row r="11342" spans="1:10" ht="13.2">
      <c r="A11342" s="7">
        <v>11341</v>
      </c>
      <c r="B11342" s="7">
        <v>1</v>
      </c>
      <c r="C11342" s="7" t="s">
        <v>10</v>
      </c>
      <c r="D11342" s="7">
        <v>17629</v>
      </c>
      <c r="E11342" s="7" t="s">
        <v>23</v>
      </c>
      <c r="F11342" s="8" t="str">
        <f ca="1">IFERROR(__xludf.DUMMYFUNCTION("IF
(
C11343=""фізична особа""
,
VLOOKUP(D11343,IMPORTRANGE(""https://docs.google.com/spreadsheets/d/14Bd19lYaqBhU8_DElYkX7l4wRkHqqCUFNJY4AfY3kHU/edit?usp=sharing  #gid=0"",""фіз особи new!relations_name""),6,FALSE)
,
(IF
(
C11343=""юридична особа""
,
VLOO"&amp;"KUP(D11343,IMPORTRANGE(""https://docs.google.com/spreadsheets/d/14Bd19lYaqBhU8_DElYkX7l4wRkHqqCUFNJY4AfY3kHU/edit?usp=sharing  #gid=0"",""фіз особи new!relations_name_uo""),7,FALSE)
,
)
))"),"ЗАВАЛКО Максим Валентинович")</f>
        <v>ЗАВАЛКО Максим Валентинович</v>
      </c>
      <c r="G11342" s="7" t="s">
        <v>10</v>
      </c>
      <c r="H11342" s="7">
        <v>49</v>
      </c>
      <c r="I11342" s="8" t="str">
        <f ca="1">IFERROR(__xludf.DUMMYFUNCTION("IF
(
G11343=""фізична особа""
,
VLOOKUP(H11343,IMPORTRANGE(""https://docs.google.com/spreadsheets/d/14Bd19lYaqBhU8_DElYkX7l4wRkHqqCUFNJY4AfY3kHU/edit?usp=sharing  #gid=0"",""фіз особи new!relations_name""),6,FALSE)
,
(IF
(
G11343=""юридична особа""
,
VLOO"&amp;"KUP(H11343,IMPORTRANGE(""https://docs.google.com/spreadsheets/d/14Bd19lYaqBhU8_DElYkX7l4wRkHqqCUFNJY4AfY3kHU/edit?usp=sharing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1342" s="7" t="s">
        <v>23</v>
      </c>
    </row>
    <row r="11343" spans="1:10" ht="13.2">
      <c r="A11343" s="7">
        <v>11342</v>
      </c>
      <c r="B11343" s="7">
        <v>1</v>
      </c>
      <c r="C11343" s="7" t="s">
        <v>10</v>
      </c>
      <c r="D11343" s="7">
        <v>17630</v>
      </c>
      <c r="E11343" s="7" t="s">
        <v>23</v>
      </c>
      <c r="F11343" s="8" t="str">
        <f ca="1">IFERROR(__xludf.DUMMYFUNCTION("IF
(
C11344=""фізична особа""
,
VLOOKUP(D11344,IMPORTRANGE(""https://docs.google.com/spreadsheets/d/14Bd19lYaqBhU8_DElYkX7l4wRkHqqCUFNJY4AfY3kHU/edit?usp=sharing  #gid=0"",""фіз особи new!relations_name""),6,FALSE)
,
(IF
(
C11344=""юридична особа""
,
VLOO"&amp;"KUP(D11344,IMPORTRANGE(""https://docs.google.com/spreadsheets/d/14Bd19lYaqBhU8_DElYkX7l4wRkHqqCUFNJY4AfY3kHU/edit?usp=sharing  #gid=0"",""фіз особи new!relations_name_uo""),7,FALSE)
,
)
))"),"КРАСНІКОВ Сергій Павлович")</f>
        <v>КРАСНІКОВ Сергій Павлович</v>
      </c>
      <c r="G11343" s="7" t="s">
        <v>10</v>
      </c>
      <c r="H11343" s="7">
        <v>27</v>
      </c>
      <c r="I11343" s="8" t="str">
        <f ca="1">IFERROR(__xludf.DUMMYFUNCTION("IF
(
G11344=""фізична особа""
,
VLOOKUP(H11344,IMPORTRANGE(""https://docs.google.com/spreadsheets/d/14Bd19lYaqBhU8_DElYkX7l4wRkHqqCUFNJY4AfY3kHU/edit?usp=sharing  #gid=0"",""фіз особи new!relations_name""),6,FALSE)
,
(IF
(
G11344=""юридична особа""
,
VLOO"&amp;"KUP(H11344,IMPORTRANGE(""https://docs.google.com/spreadsheets/d/14Bd19lYaqBhU8_DElYkX7l4wRkHqqCUFNJY4AfY3kHU/edit?usp=sharing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1343" s="7" t="s">
        <v>23</v>
      </c>
    </row>
    <row r="11344" spans="1:10" ht="13.2">
      <c r="A11344" s="7">
        <v>11343</v>
      </c>
      <c r="B11344" s="7">
        <v>1</v>
      </c>
      <c r="C11344" s="7" t="s">
        <v>10</v>
      </c>
      <c r="D11344" s="7">
        <v>17630</v>
      </c>
      <c r="E11344" s="7" t="s">
        <v>23</v>
      </c>
      <c r="F11344" s="8" t="str">
        <f ca="1">IFERROR(__xludf.DUMMYFUNCTION("IF
(
C11345=""фізична особа""
,
VLOOKUP(D11345,IMPORTRANGE(""https://docs.google.com/spreadsheets/d/14Bd19lYaqBhU8_DElYkX7l4wRkHqqCUFNJY4AfY3kHU/edit?usp=sharing  #gid=0"",""фіз особи new!relations_name""),6,FALSE)
,
(IF
(
C11345=""юридична особа""
,
VLOO"&amp;"KUP(D11345,IMPORTRANGE(""https://docs.google.com/spreadsheets/d/14Bd19lYaqBhU8_DElYkX7l4wRkHqqCUFNJY4AfY3kHU/edit?usp=sharing  #gid=0"",""фіз особи new!relations_name_uo""),7,FALSE)
,
)
))"),"КРАСНІКОВ Сергій Павлович")</f>
        <v>КРАСНІКОВ Сергій Павлович</v>
      </c>
      <c r="G11344" s="7" t="s">
        <v>10</v>
      </c>
      <c r="H11344" s="7">
        <v>16561</v>
      </c>
      <c r="I11344" s="8" t="str">
        <f ca="1">IFERROR(__xludf.DUMMYFUNCTION("IF
(
G11345=""фізична особа""
,
VLOOKUP(H11345,IMPORTRANGE(""https://docs.google.com/spreadsheets/d/14Bd19lYaqBhU8_DElYkX7l4wRkHqqCUFNJY4AfY3kHU/edit?usp=sharing  #gid=0"",""фіз особи new!relations_name""),6,FALSE)
,
(IF
(
G11345=""юридична особа""
,
VLOO"&amp;"KUP(H11345,IMPORTRANGE(""https://docs.google.com/spreadsheets/d/14Bd19lYaqBhU8_DElYkX7l4wRkHqqCUFNJY4AfY3kHU/edit?usp=sharing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44" s="7" t="s">
        <v>23</v>
      </c>
    </row>
    <row r="11345" spans="1:10" ht="13.2">
      <c r="A11345" s="7">
        <v>11344</v>
      </c>
      <c r="B11345" s="7">
        <v>1</v>
      </c>
      <c r="C11345" s="7" t="s">
        <v>10</v>
      </c>
      <c r="D11345" s="7">
        <v>17630</v>
      </c>
      <c r="E11345" s="7" t="s">
        <v>23</v>
      </c>
      <c r="F11345" s="8" t="str">
        <f ca="1">IFERROR(__xludf.DUMMYFUNCTION("IF
(
C11346=""фізична особа""
,
VLOOKUP(D11346,IMPORTRANGE(""https://docs.google.com/spreadsheets/d/14Bd19lYaqBhU8_DElYkX7l4wRkHqqCUFNJY4AfY3kHU/edit?usp=sharing  #gid=0"",""фіз особи new!relations_name""),6,FALSE)
,
(IF
(
C11346=""юридична особа""
,
VLOO"&amp;"KUP(D11346,IMPORTRANGE(""https://docs.google.com/spreadsheets/d/14Bd19lYaqBhU8_DElYkX7l4wRkHqqCUFNJY4AfY3kHU/edit?usp=sharing  #gid=0"",""фіз особи new!relations_name_uo""),7,FALSE)
,
)
))"),"КРАСНІКОВ Сергій Павлович")</f>
        <v>КРАСНІКОВ Сергій Павлович</v>
      </c>
      <c r="G11345" s="7" t="s">
        <v>10</v>
      </c>
      <c r="H11345" s="7">
        <v>49</v>
      </c>
      <c r="I11345" s="8" t="str">
        <f ca="1">IFERROR(__xludf.DUMMYFUNCTION("IF
(
G11346=""фізична особа""
,
VLOOKUP(H11346,IMPORTRANGE(""https://docs.google.com/spreadsheets/d/14Bd19lYaqBhU8_DElYkX7l4wRkHqqCUFNJY4AfY3kHU/edit?usp=sharing  #gid=0"",""фіз особи new!relations_name""),6,FALSE)
,
(IF
(
G11346=""юридична особа""
,
VLOO"&amp;"KUP(H11346,IMPORTRANGE(""https://docs.google.com/spreadsheets/d/14Bd19lYaqBhU8_DElYkX7l4wRkHqqCUFNJY4AfY3kHU/edit?usp=sharing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1345" s="7" t="s">
        <v>23</v>
      </c>
    </row>
    <row r="11346" spans="1:10" ht="13.2">
      <c r="A11346" s="7">
        <v>11345</v>
      </c>
      <c r="B11346" s="7">
        <v>1</v>
      </c>
      <c r="C11346" s="7" t="s">
        <v>10</v>
      </c>
      <c r="D11346" s="7">
        <v>17631</v>
      </c>
      <c r="E11346" s="7" t="s">
        <v>23</v>
      </c>
      <c r="F11346" s="8" t="str">
        <f ca="1">IFERROR(__xludf.DUMMYFUNCTION("IF
(
C11347=""фізична особа""
,
VLOOKUP(D11347,IMPORTRANGE(""https://docs.google.com/spreadsheets/d/14Bd19lYaqBhU8_DElYkX7l4wRkHqqCUFNJY4AfY3kHU/edit?usp=sharing  #gid=0"",""фіз особи new!relations_name""),6,FALSE)
,
(IF
(
C11347=""юридична особа""
,
VLOO"&amp;"KUP(D11347,IMPORTRANGE(""https://docs.google.com/spreadsheets/d/14Bd19lYaqBhU8_DElYkX7l4wRkHqqCUFNJY4AfY3kHU/edit?usp=sharing  #gid=0"",""фіз особи new!relations_name_uo""),7,FALSE)
,
)
))"),"СИДОРОВ Георгій Ігорович")</f>
        <v>СИДОРОВ Георгій Ігорович</v>
      </c>
      <c r="G11346" s="7" t="s">
        <v>10</v>
      </c>
      <c r="H11346" s="7">
        <v>27</v>
      </c>
      <c r="I11346" s="8" t="str">
        <f ca="1">IFERROR(__xludf.DUMMYFUNCTION("IF
(
G11347=""фізична особа""
,
VLOOKUP(H11347,IMPORTRANGE(""https://docs.google.com/spreadsheets/d/14Bd19lYaqBhU8_DElYkX7l4wRkHqqCUFNJY4AfY3kHU/edit?usp=sharing  #gid=0"",""фіз особи new!relations_name""),6,FALSE)
,
(IF
(
G11347=""юридична особа""
,
VLOO"&amp;"KUP(H11347,IMPORTRANGE(""https://docs.google.com/spreadsheets/d/14Bd19lYaqBhU8_DElYkX7l4wRkHqqCUFNJY4AfY3kHU/edit?usp=sharing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1346" s="7" t="s">
        <v>23</v>
      </c>
    </row>
    <row r="11347" spans="1:10" ht="13.2">
      <c r="A11347" s="7">
        <v>11346</v>
      </c>
      <c r="B11347" s="7">
        <v>1</v>
      </c>
      <c r="C11347" s="7" t="s">
        <v>10</v>
      </c>
      <c r="D11347" s="7">
        <v>17631</v>
      </c>
      <c r="E11347" s="7" t="s">
        <v>23</v>
      </c>
      <c r="F11347" s="8" t="str">
        <f ca="1">IFERROR(__xludf.DUMMYFUNCTION("IF
(
C11348=""фізична особа""
,
VLOOKUP(D11348,IMPORTRANGE(""https://docs.google.com/spreadsheets/d/14Bd19lYaqBhU8_DElYkX7l4wRkHqqCUFNJY4AfY3kHU/edit?usp=sharing  #gid=0"",""фіз особи new!relations_name""),6,FALSE)
,
(IF
(
C11348=""юридична особа""
,
VLOO"&amp;"KUP(D11348,IMPORTRANGE(""https://docs.google.com/spreadsheets/d/14Bd19lYaqBhU8_DElYkX7l4wRkHqqCUFNJY4AfY3kHU/edit?usp=sharing  #gid=0"",""фіз особи new!relations_name_uo""),7,FALSE)
,
)
))"),"СИДОРОВ Георгій Ігорович")</f>
        <v>СИДОРОВ Георгій Ігорович</v>
      </c>
      <c r="G11347" s="7" t="s">
        <v>10</v>
      </c>
      <c r="H11347" s="7">
        <v>16561</v>
      </c>
      <c r="I11347" s="8" t="str">
        <f ca="1">IFERROR(__xludf.DUMMYFUNCTION("IF
(
G11348=""фізична особа""
,
VLOOKUP(H11348,IMPORTRANGE(""https://docs.google.com/spreadsheets/d/14Bd19lYaqBhU8_DElYkX7l4wRkHqqCUFNJY4AfY3kHU/edit?usp=sharing  #gid=0"",""фіз особи new!relations_name""),6,FALSE)
,
(IF
(
G11348=""юридична особа""
,
VLOO"&amp;"KUP(H11348,IMPORTRANGE(""https://docs.google.com/spreadsheets/d/14Bd19lYaqBhU8_DElYkX7l4wRkHqqCUFNJY4AfY3kHU/edit?usp=sharing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47" s="7" t="s">
        <v>23</v>
      </c>
    </row>
    <row r="11348" spans="1:10" ht="13.2">
      <c r="A11348" s="7">
        <v>11347</v>
      </c>
      <c r="B11348" s="7">
        <v>1</v>
      </c>
      <c r="C11348" s="7" t="s">
        <v>10</v>
      </c>
      <c r="D11348" s="7">
        <v>17631</v>
      </c>
      <c r="E11348" s="7" t="s">
        <v>23</v>
      </c>
      <c r="F11348" s="8" t="str">
        <f ca="1">IFERROR(__xludf.DUMMYFUNCTION("IF
(
C11349=""фізична особа""
,
VLOOKUP(D11349,IMPORTRANGE(""https://docs.google.com/spreadsheets/d/14Bd19lYaqBhU8_DElYkX7l4wRkHqqCUFNJY4AfY3kHU/edit?usp=sharing  #gid=0"",""фіз особи new!relations_name""),6,FALSE)
,
(IF
(
C11349=""юридична особа""
,
VLOO"&amp;"KUP(D11349,IMPORTRANGE(""https://docs.google.com/spreadsheets/d/14Bd19lYaqBhU8_DElYkX7l4wRkHqqCUFNJY4AfY3kHU/edit?usp=sharing  #gid=0"",""фіз особи new!relations_name_uo""),7,FALSE)
,
)
))"),"СИДОРОВ Георгій Ігорович")</f>
        <v>СИДОРОВ Георгій Ігорович</v>
      </c>
      <c r="G11348" s="7" t="s">
        <v>10</v>
      </c>
      <c r="H11348" s="7">
        <v>49</v>
      </c>
      <c r="I11348" s="8" t="str">
        <f ca="1">IFERROR(__xludf.DUMMYFUNCTION("IF
(
G11349=""фізична особа""
,
VLOOKUP(H11349,IMPORTRANGE(""https://docs.google.com/spreadsheets/d/14Bd19lYaqBhU8_DElYkX7l4wRkHqqCUFNJY4AfY3kHU/edit?usp=sharing  #gid=0"",""фіз особи new!relations_name""),6,FALSE)
,
(IF
(
G11349=""юридична особа""
,
VLOO"&amp;"KUP(H11349,IMPORTRANGE(""https://docs.google.com/spreadsheets/d/14Bd19lYaqBhU8_DElYkX7l4wRkHqqCUFNJY4AfY3kHU/edit?usp=sharing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1348" s="7" t="s">
        <v>23</v>
      </c>
    </row>
    <row r="11349" spans="1:10" ht="13.2">
      <c r="A11349" s="7">
        <v>11348</v>
      </c>
      <c r="B11349" s="7">
        <v>1</v>
      </c>
      <c r="C11349" s="7" t="s">
        <v>10</v>
      </c>
      <c r="D11349" s="7">
        <v>17632</v>
      </c>
      <c r="E11349" s="7" t="s">
        <v>23</v>
      </c>
      <c r="F11349" s="8" t="str">
        <f ca="1">IFERROR(__xludf.DUMMYFUNCTION("IF
(
C11350=""фізична особа""
,
VLOOKUP(D11350,IMPORTRANGE(""https://docs.google.com/spreadsheets/d/14Bd19lYaqBhU8_DElYkX7l4wRkHqqCUFNJY4AfY3kHU/edit?usp=sharing  #gid=0"",""фіз особи new!relations_name""),6,FALSE)
,
(IF
(
C11350=""юридична особа""
,
VLOO"&amp;"KUP(D11350,IMPORTRANGE(""https://docs.google.com/spreadsheets/d/14Bd19lYaqBhU8_DElYkX7l4wRkHqqCUFNJY4AfY3kHU/edit?usp=sharing  #gid=0"",""фіз особи new!relations_name_uo""),7,FALSE)
,
)
))"),"ТОМАШЕВСЬКИЙ Вячеслав Вячеславович")</f>
        <v>ТОМАШЕВСЬКИЙ Вячеслав Вячеславович</v>
      </c>
      <c r="G11349" s="7" t="s">
        <v>10</v>
      </c>
      <c r="H11349" s="7">
        <v>27</v>
      </c>
      <c r="I11349" s="8" t="str">
        <f ca="1">IFERROR(__xludf.DUMMYFUNCTION("IF
(
G11350=""фізична особа""
,
VLOOKUP(H11350,IMPORTRANGE(""https://docs.google.com/spreadsheets/d/14Bd19lYaqBhU8_DElYkX7l4wRkHqqCUFNJY4AfY3kHU/edit?usp=sharing  #gid=0"",""фіз особи new!relations_name""),6,FALSE)
,
(IF
(
G11350=""юридична особа""
,
VLOO"&amp;"KUP(H11350,IMPORTRANGE(""https://docs.google.com/spreadsheets/d/14Bd19lYaqBhU8_DElYkX7l4wRkHqqCUFNJY4AfY3kHU/edit?usp=sharing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1349" s="7" t="s">
        <v>23</v>
      </c>
    </row>
    <row r="11350" spans="1:10" ht="13.2">
      <c r="A11350" s="7">
        <v>11349</v>
      </c>
      <c r="B11350" s="7">
        <v>1</v>
      </c>
      <c r="C11350" s="7" t="s">
        <v>10</v>
      </c>
      <c r="D11350" s="7">
        <v>17632</v>
      </c>
      <c r="E11350" s="7" t="s">
        <v>23</v>
      </c>
      <c r="F11350" s="8" t="str">
        <f ca="1">IFERROR(__xludf.DUMMYFUNCTION("IF
(
C11351=""фізична особа""
,
VLOOKUP(D11351,IMPORTRANGE(""https://docs.google.com/spreadsheets/d/14Bd19lYaqBhU8_DElYkX7l4wRkHqqCUFNJY4AfY3kHU/edit?usp=sharing  #gid=0"",""фіз особи new!relations_name""),6,FALSE)
,
(IF
(
C11351=""юридична особа""
,
VLOO"&amp;"KUP(D11351,IMPORTRANGE(""https://docs.google.com/spreadsheets/d/14Bd19lYaqBhU8_DElYkX7l4wRkHqqCUFNJY4AfY3kHU/edit?usp=sharing  #gid=0"",""фіз особи new!relations_name_uo""),7,FALSE)
,
)
))"),"ТОМАШЕВСЬКИЙ Вячеслав Вячеславович")</f>
        <v>ТОМАШЕВСЬКИЙ Вячеслав Вячеславович</v>
      </c>
      <c r="G11350" s="7" t="s">
        <v>10</v>
      </c>
      <c r="H11350" s="7">
        <v>16561</v>
      </c>
      <c r="I11350" s="8" t="str">
        <f ca="1">IFERROR(__xludf.DUMMYFUNCTION("IF
(
G11351=""фізична особа""
,
VLOOKUP(H11351,IMPORTRANGE(""https://docs.google.com/spreadsheets/d/14Bd19lYaqBhU8_DElYkX7l4wRkHqqCUFNJY4AfY3kHU/edit?usp=sharing  #gid=0"",""фіз особи new!relations_name""),6,FALSE)
,
(IF
(
G11351=""юридична особа""
,
VLOO"&amp;"KUP(H11351,IMPORTRANGE(""https://docs.google.com/spreadsheets/d/14Bd19lYaqBhU8_DElYkX7l4wRkHqqCUFNJY4AfY3kHU/edit?usp=sharing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1350" s="7" t="s">
        <v>23</v>
      </c>
    </row>
    <row r="11351" spans="1:10" ht="13.2">
      <c r="A11351" s="7">
        <v>11350</v>
      </c>
      <c r="B11351" s="7">
        <v>1</v>
      </c>
      <c r="C11351" s="7" t="s">
        <v>10</v>
      </c>
      <c r="D11351" s="7">
        <v>17632</v>
      </c>
      <c r="E11351" s="7" t="s">
        <v>23</v>
      </c>
      <c r="F11351" s="8" t="str">
        <f ca="1">IFERROR(__xludf.DUMMYFUNCTION("IF
(
C11352=""фізична особа""
,
VLOOKUP(D11352,IMPORTRANGE(""https://docs.google.com/spreadsheets/d/14Bd19lYaqBhU8_DElYkX7l4wRkHqqCUFNJY4AfY3kHU/edit?usp=sharing  #gid=0"",""фіз особи new!relations_name""),6,FALSE)
,
(IF
(
C11352=""юридична особа""
,
VLOO"&amp;"KUP(D11352,IMPORTRANGE(""https://docs.google.com/spreadsheets/d/14Bd19lYaqBhU8_DElYkX7l4wRkHqqCUFNJY4AfY3kHU/edit?usp=sharing  #gid=0"",""фіз особи new!relations_name_uo""),7,FALSE)
,
)
))"),"ТОМАШЕВСЬКИЙ Вячеслав Вячеславович")</f>
        <v>ТОМАШЕВСЬКИЙ Вячеслав Вячеславович</v>
      </c>
      <c r="G11351" s="7" t="s">
        <v>10</v>
      </c>
      <c r="H11351" s="7">
        <v>49</v>
      </c>
      <c r="I11351" s="8" t="str">
        <f ca="1">IFERROR(__xludf.DUMMYFUNCTION("IF
(
G11352=""фізична особа""
,
VLOOKUP(H11352,IMPORTRANGE(""https://docs.google.com/spreadsheets/d/14Bd19lYaqBhU8_DElYkX7l4wRkHqqCUFNJY4AfY3kHU/edit?usp=sharing  #gid=0"",""фіз особи new!relations_name""),6,FALSE)
,
(IF
(
G11352=""юридична особа""
,
VLOO"&amp;"KUP(H11352,IMPORTRANGE(""https://docs.google.com/spreadsheets/d/14Bd19lYaqBhU8_DElYkX7l4wRkHqqCUFNJY4AfY3kHU/edit?usp=sharing  #gid=0"",""фіз особи new!relations_name_uo""),7,FALSE)
,
)
))"),"КОСТІН Андрій Леонідович")</f>
        <v>КОСТІН Андрій Леонідович</v>
      </c>
      <c r="J11351" s="7" t="s">
        <v>23</v>
      </c>
    </row>
    <row r="11352" spans="1:10" ht="13.2">
      <c r="A11352" s="7">
        <v>11351</v>
      </c>
      <c r="B11352" s="7">
        <v>1</v>
      </c>
      <c r="C11352" s="7" t="s">
        <v>10</v>
      </c>
      <c r="D11352" s="7">
        <v>17633</v>
      </c>
      <c r="E11352" s="7" t="s">
        <v>23</v>
      </c>
      <c r="F11352" s="8" t="str">
        <f ca="1">IFERROR(__xludf.DUMMYFUNCTION("IF
(
C11353=""фізична особа""
,
VLOOKUP(D11353,IMPORTRANGE(""https://docs.google.com/spreadsheets/d/14Bd19lYaqBhU8_DElYkX7l4wRkHqqCUFNJY4AfY3kHU/edit?usp=sharing  #gid=0"",""фіз особи new!relations_name""),6,FALSE)
,
(IF
(
C11353=""юридична особа""
,
VLOO"&amp;"KUP(D11353,IMPORTRANGE(""https://docs.google.com/spreadsheets/d/14Bd19lYaqBhU8_DElYkX7l4wRkHqqCUFNJY4AfY3kHU/edit?usp=sharing  #gid=0"",""фіз особи new!relations_name_uo""),7,FALSE)
,
)
))"),"ГАЙНУТДІНОВА Галія Рафаєзівна")</f>
        <v>ГАЙНУТДІНОВА Галія Рафаєзівна</v>
      </c>
      <c r="G11352" s="7" t="s">
        <v>10</v>
      </c>
      <c r="H11352" s="7">
        <v>1518</v>
      </c>
      <c r="I11352" s="8" t="str">
        <f ca="1">IFERROR(__xludf.DUMMYFUNCTION("IF
(
G11353=""фізична особа""
,
VLOOKUP(H11353,IMPORTRANGE(""https://docs.google.com/spreadsheets/d/14Bd19lYaqBhU8_DElYkX7l4wRkHqqCUFNJY4AfY3kHU/edit?usp=sharing  #gid=0"",""фіз особи new!relations_name""),6,FALSE)
,
(IF
(
G11353=""юридична особа""
,
VLOO"&amp;"KUP(H11353,IMPORTRANGE(""https://docs.google.com/spreadsheets/d/14Bd19lYaqBhU8_DElYkX7l4wRkHqqCUFNJY4AfY3kHU/edit?usp=sharing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52" s="7" t="s">
        <v>23</v>
      </c>
    </row>
    <row r="11353" spans="1:10" ht="13.2">
      <c r="A11353" s="7">
        <v>11352</v>
      </c>
      <c r="B11353" s="7">
        <v>1</v>
      </c>
      <c r="C11353" s="7" t="s">
        <v>10</v>
      </c>
      <c r="D11353" s="7">
        <v>17634</v>
      </c>
      <c r="E11353" s="7" t="s">
        <v>23</v>
      </c>
      <c r="F11353" s="8" t="str">
        <f ca="1">IFERROR(__xludf.DUMMYFUNCTION("IF
(
C11354=""фізична особа""
,
VLOOKUP(D11354,IMPORTRANGE(""https://docs.google.com/spreadsheets/d/14Bd19lYaqBhU8_DElYkX7l4wRkHqqCUFNJY4AfY3kHU/edit?usp=sharing  #gid=0"",""фіз особи new!relations_name""),6,FALSE)
,
(IF
(
C11354=""юридична особа""
,
VLOO"&amp;"KUP(D11354,IMPORTRANGE(""https://docs.google.com/spreadsheets/d/14Bd19lYaqBhU8_DElYkX7l4wRkHqqCUFNJY4AfY3kHU/edit?usp=sharing  #gid=0"",""фіз особи new!relations_name_uo""),7,FALSE)
,
)
))"),"СЕРГЄЄВ Микола Анатолійович")</f>
        <v>СЕРГЄЄВ Микола Анатолійович</v>
      </c>
      <c r="G11353" s="7" t="s">
        <v>10</v>
      </c>
      <c r="H11353" s="7">
        <v>1518</v>
      </c>
      <c r="I11353" s="8" t="str">
        <f ca="1">IFERROR(__xludf.DUMMYFUNCTION("IF
(
G11354=""фізична особа""
,
VLOOKUP(H11354,IMPORTRANGE(""https://docs.google.com/spreadsheets/d/14Bd19lYaqBhU8_DElYkX7l4wRkHqqCUFNJY4AfY3kHU/edit?usp=sharing  #gid=0"",""фіз особи new!relations_name""),6,FALSE)
,
(IF
(
G11354=""юридична особа""
,
VLOO"&amp;"KUP(H11354,IMPORTRANGE(""https://docs.google.com/spreadsheets/d/14Bd19lYaqBhU8_DElYkX7l4wRkHqqCUFNJY4AfY3kHU/edit?usp=sharing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53" s="7" t="s">
        <v>23</v>
      </c>
    </row>
    <row r="11354" spans="1:10" ht="13.2">
      <c r="A11354" s="7">
        <v>11353</v>
      </c>
      <c r="B11354" s="7">
        <v>1</v>
      </c>
      <c r="C11354" s="7" t="s">
        <v>10</v>
      </c>
      <c r="D11354" s="7">
        <v>17635</v>
      </c>
      <c r="E11354" s="7" t="s">
        <v>23</v>
      </c>
      <c r="F11354" s="8" t="str">
        <f ca="1">IFERROR(__xludf.DUMMYFUNCTION("IF
(
C11355=""фізична особа""
,
VLOOKUP(D11355,IMPORTRANGE(""https://docs.google.com/spreadsheets/d/14Bd19lYaqBhU8_DElYkX7l4wRkHqqCUFNJY4AfY3kHU/edit?usp=sharing  #gid=0"",""фіз особи new!relations_name""),6,FALSE)
,
(IF
(
C11355=""юридична особа""
,
VLOO"&amp;"KUP(D11355,IMPORTRANGE(""https://docs.google.com/spreadsheets/d/14Bd19lYaqBhU8_DElYkX7l4wRkHqqCUFNJY4AfY3kHU/edit?usp=sharing  #gid=0"",""фіз особи new!relations_name_uo""),7,FALSE)
,
)
))"),"ДОЛГИХ Олексій Сергійович")</f>
        <v>ДОЛГИХ Олексій Сергійович</v>
      </c>
      <c r="G11354" s="7" t="s">
        <v>10</v>
      </c>
      <c r="H11354" s="7">
        <v>17636</v>
      </c>
      <c r="I11354" s="8" t="str">
        <f ca="1">IFERROR(__xludf.DUMMYFUNCTION("IF
(
G11355=""фізична особа""
,
VLOOKUP(H11355,IMPORTRANGE(""https://docs.google.com/spreadsheets/d/14Bd19lYaqBhU8_DElYkX7l4wRkHqqCUFNJY4AfY3kHU/edit?usp=sharing  #gid=0"",""фіз особи new!relations_name""),6,FALSE)
,
(IF
(
G11355=""юридична особа""
,
VLOO"&amp;"KUP(H11355,IMPORTRANGE(""https://docs.google.com/spreadsheets/d/14Bd19lYaqBhU8_DElYkX7l4wRkHqqCUFNJY4AfY3kHU/edit?usp=sharing  #gid=0"",""фіз особи new!relations_name_uo""),7,FALSE)
,
)
))"),"ПРОКОП'ЄВ Оскар Валерійович")</f>
        <v>ПРОКОП'ЄВ Оскар Валерійович</v>
      </c>
      <c r="J11354" s="7" t="s">
        <v>23</v>
      </c>
    </row>
    <row r="11355" spans="1:10" ht="13.2">
      <c r="A11355" s="7">
        <v>11354</v>
      </c>
      <c r="B11355" s="7">
        <v>1</v>
      </c>
      <c r="C11355" s="7" t="s">
        <v>10</v>
      </c>
      <c r="D11355" s="7">
        <v>17635</v>
      </c>
      <c r="E11355" s="7" t="s">
        <v>23</v>
      </c>
      <c r="F11355" s="8" t="str">
        <f ca="1">IFERROR(__xludf.DUMMYFUNCTION("IF
(
C11356=""фізична особа""
,
VLOOKUP(D11356,IMPORTRANGE(""https://docs.google.com/spreadsheets/d/14Bd19lYaqBhU8_DElYkX7l4wRkHqqCUFNJY4AfY3kHU/edit?usp=sharing  #gid=0"",""фіз особи new!relations_name""),6,FALSE)
,
(IF
(
C11356=""юридична особа""
,
VLOO"&amp;"KUP(D11356,IMPORTRANGE(""https://docs.google.com/spreadsheets/d/14Bd19lYaqBhU8_DElYkX7l4wRkHqqCUFNJY4AfY3kHU/edit?usp=sharing  #gid=0"",""фіз особи new!relations_name_uo""),7,FALSE)
,
)
))"),"ДОЛГИХ Олексій Сергійович")</f>
        <v>ДОЛГИХ Олексій Сергійович</v>
      </c>
      <c r="G11355" s="7" t="s">
        <v>10</v>
      </c>
      <c r="H11355" s="7">
        <v>1518</v>
      </c>
      <c r="I11355" s="8" t="str">
        <f ca="1">IFERROR(__xludf.DUMMYFUNCTION("IF
(
G11356=""фізична особа""
,
VLOOKUP(H11356,IMPORTRANGE(""https://docs.google.com/spreadsheets/d/14Bd19lYaqBhU8_DElYkX7l4wRkHqqCUFNJY4AfY3kHU/edit?usp=sharing  #gid=0"",""фіз особи new!relations_name""),6,FALSE)
,
(IF
(
G11356=""юридична особа""
,
VLOO"&amp;"KUP(H11356,IMPORTRANGE(""https://docs.google.com/spreadsheets/d/14Bd19lYaqBhU8_DElYkX7l4wRkHqqCUFNJY4AfY3kHU/edit?usp=sharing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55" s="7" t="s">
        <v>23</v>
      </c>
    </row>
    <row r="11356" spans="1:10" ht="13.2">
      <c r="A11356" s="7">
        <v>11355</v>
      </c>
      <c r="B11356" s="7">
        <v>1</v>
      </c>
      <c r="C11356" s="7" t="s">
        <v>10</v>
      </c>
      <c r="D11356" s="7">
        <v>17636</v>
      </c>
      <c r="E11356" s="7" t="s">
        <v>23</v>
      </c>
      <c r="F11356" s="8" t="str">
        <f ca="1">IFERROR(__xludf.DUMMYFUNCTION("IF
(
C11357=""фізична особа""
,
VLOOKUP(D11357,IMPORTRANGE(""https://docs.google.com/spreadsheets/d/14Bd19lYaqBhU8_DElYkX7l4wRkHqqCUFNJY4AfY3kHU/edit?usp=sharing  #gid=0"",""фіз особи new!relations_name""),6,FALSE)
,
(IF
(
C11357=""юридична особа""
,
VLOO"&amp;"KUP(D11357,IMPORTRANGE(""https://docs.google.com/spreadsheets/d/14Bd19lYaqBhU8_DElYkX7l4wRkHqqCUFNJY4AfY3kHU/edit?usp=sharing  #gid=0"",""фіз особи new!relations_name_uo""),7,FALSE)
,
)
))"),"ПРОКОП'ЄВ Оскар Валерійович")</f>
        <v>ПРОКОП'ЄВ Оскар Валерійович</v>
      </c>
      <c r="G11356" s="7" t="s">
        <v>10</v>
      </c>
      <c r="H11356" s="7">
        <v>17635</v>
      </c>
      <c r="I11356" s="8" t="str">
        <f ca="1">IFERROR(__xludf.DUMMYFUNCTION("IF
(
G11357=""фізична особа""
,
VLOOKUP(H11357,IMPORTRANGE(""https://docs.google.com/spreadsheets/d/14Bd19lYaqBhU8_DElYkX7l4wRkHqqCUFNJY4AfY3kHU/edit?usp=sharing  #gid=0"",""фіз особи new!relations_name""),6,FALSE)
,
(IF
(
G11357=""юридична особа""
,
VLOO"&amp;"KUP(H11357,IMPORTRANGE(""https://docs.google.com/spreadsheets/d/14Bd19lYaqBhU8_DElYkX7l4wRkHqqCUFNJY4AfY3kHU/edit?usp=sharing  #gid=0"",""фіз особи new!relations_name_uo""),7,FALSE)
,
)
))"),"ДОЛГИХ Олексій Сергійович")</f>
        <v>ДОЛГИХ Олексій Сергійович</v>
      </c>
      <c r="J11356" s="7" t="s">
        <v>23</v>
      </c>
    </row>
    <row r="11357" spans="1:10" ht="13.2">
      <c r="A11357" s="7">
        <v>11356</v>
      </c>
      <c r="B11357" s="7">
        <v>1</v>
      </c>
      <c r="C11357" s="7" t="s">
        <v>10</v>
      </c>
      <c r="D11357" s="7">
        <v>17636</v>
      </c>
      <c r="E11357" s="7" t="s">
        <v>23</v>
      </c>
      <c r="F11357" s="8" t="str">
        <f ca="1">IFERROR(__xludf.DUMMYFUNCTION("IF
(
C11358=""фізична особа""
,
VLOOKUP(D11358,IMPORTRANGE(""https://docs.google.com/spreadsheets/d/14Bd19lYaqBhU8_DElYkX7l4wRkHqqCUFNJY4AfY3kHU/edit?usp=sharing  #gid=0"",""фіз особи new!relations_name""),6,FALSE)
,
(IF
(
C11358=""юридична особа""
,
VLOO"&amp;"KUP(D11358,IMPORTRANGE(""https://docs.google.com/spreadsheets/d/14Bd19lYaqBhU8_DElYkX7l4wRkHqqCUFNJY4AfY3kHU/edit?usp=sharing  #gid=0"",""фіз особи new!relations_name_uo""),7,FALSE)
,
)
))"),"ПРОКОП'ЄВ Оскар Валерійович")</f>
        <v>ПРОКОП'ЄВ Оскар Валерійович</v>
      </c>
      <c r="G11357" s="7" t="s">
        <v>10</v>
      </c>
      <c r="H11357" s="7">
        <v>1518</v>
      </c>
      <c r="I11357" s="8" t="str">
        <f ca="1">IFERROR(__xludf.DUMMYFUNCTION("IF
(
G11358=""фізична особа""
,
VLOOKUP(H11358,IMPORTRANGE(""https://docs.google.com/spreadsheets/d/14Bd19lYaqBhU8_DElYkX7l4wRkHqqCUFNJY4AfY3kHU/edit?usp=sharing  #gid=0"",""фіз особи new!relations_name""),6,FALSE)
,
(IF
(
G11358=""юридична особа""
,
VLOO"&amp;"KUP(H11358,IMPORTRANGE(""https://docs.google.com/spreadsheets/d/14Bd19lYaqBhU8_DElYkX7l4wRkHqqCUFNJY4AfY3kHU/edit?usp=sharing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57" s="7" t="s">
        <v>23</v>
      </c>
    </row>
    <row r="11358" spans="1:10" ht="13.2">
      <c r="A11358" s="7">
        <v>11357</v>
      </c>
      <c r="B11358" s="7">
        <v>1</v>
      </c>
      <c r="C11358" s="7" t="s">
        <v>10</v>
      </c>
      <c r="D11358" s="7">
        <v>17637</v>
      </c>
      <c r="E11358" s="7" t="s">
        <v>23</v>
      </c>
      <c r="F11358" s="8" t="str">
        <f ca="1">IFERROR(__xludf.DUMMYFUNCTION("IF
(
C11359=""фізична особа""
,
VLOOKUP(D11359,IMPORTRANGE(""https://docs.google.com/spreadsheets/d/14Bd19lYaqBhU8_DElYkX7l4wRkHqqCUFNJY4AfY3kHU/edit?usp=sharing  #gid=0"",""фіз особи new!relations_name""),6,FALSE)
,
(IF
(
C11359=""юридична особа""
,
VLOO"&amp;"KUP(D11359,IMPORTRANGE(""https://docs.google.com/spreadsheets/d/14Bd19lYaqBhU8_DElYkX7l4wRkHqqCUFNJY4AfY3kHU/edit?usp=sharing  #gid=0"",""фіз особи new!relations_name_uo""),7,FALSE)
,
)
))"),"МУХАМЕТШИН Ірек Рафілович")</f>
        <v>МУХАМЕТШИН Ірек Рафілович</v>
      </c>
      <c r="G11358" s="7" t="s">
        <v>10</v>
      </c>
      <c r="H11358" s="7">
        <v>17635</v>
      </c>
      <c r="I11358" s="8" t="str">
        <f ca="1">IFERROR(__xludf.DUMMYFUNCTION("IF
(
G11359=""фізична особа""
,
VLOOKUP(H11359,IMPORTRANGE(""https://docs.google.com/spreadsheets/d/14Bd19lYaqBhU8_DElYkX7l4wRkHqqCUFNJY4AfY3kHU/edit?usp=sharing  #gid=0"",""фіз особи new!relations_name""),6,FALSE)
,
(IF
(
G11359=""юридична особа""
,
VLOO"&amp;"KUP(H11359,IMPORTRANGE(""https://docs.google.com/spreadsheets/d/14Bd19lYaqBhU8_DElYkX7l4wRkHqqCUFNJY4AfY3kHU/edit?usp=sharing  #gid=0"",""фіз особи new!relations_name_uo""),7,FALSE)
,
)
))"),"ДОЛГИХ Олексій Сергійович")</f>
        <v>ДОЛГИХ Олексій Сергійович</v>
      </c>
      <c r="J11358" s="7" t="s">
        <v>23</v>
      </c>
    </row>
    <row r="11359" spans="1:10" ht="13.2">
      <c r="A11359" s="7">
        <v>11358</v>
      </c>
      <c r="B11359" s="7">
        <v>1</v>
      </c>
      <c r="C11359" s="7" t="s">
        <v>10</v>
      </c>
      <c r="D11359" s="7">
        <v>17637</v>
      </c>
      <c r="E11359" s="7" t="s">
        <v>23</v>
      </c>
      <c r="F11359" s="8" t="str">
        <f ca="1">IFERROR(__xludf.DUMMYFUNCTION("IF
(
C11360=""фізична особа""
,
VLOOKUP(D11360,IMPORTRANGE(""https://docs.google.com/spreadsheets/d/14Bd19lYaqBhU8_DElYkX7l4wRkHqqCUFNJY4AfY3kHU/edit?usp=sharing  #gid=0"",""фіз особи new!relations_name""),6,FALSE)
,
(IF
(
C11360=""юридична особа""
,
VLOO"&amp;"KUP(D11360,IMPORTRANGE(""https://docs.google.com/spreadsheets/d/14Bd19lYaqBhU8_DElYkX7l4wRkHqqCUFNJY4AfY3kHU/edit?usp=sharing  #gid=0"",""фіз особи new!relations_name_uo""),7,FALSE)
,
)
))"),"МУХАМЕТШИН Ірек Рафілович")</f>
        <v>МУХАМЕТШИН Ірек Рафілович</v>
      </c>
      <c r="G11359" s="7" t="s">
        <v>10</v>
      </c>
      <c r="H11359" s="7">
        <v>1518</v>
      </c>
      <c r="I11359" s="8" t="str">
        <f ca="1">IFERROR(__xludf.DUMMYFUNCTION("IF
(
G11360=""фізична особа""
,
VLOOKUP(H11360,IMPORTRANGE(""https://docs.google.com/spreadsheets/d/14Bd19lYaqBhU8_DElYkX7l4wRkHqqCUFNJY4AfY3kHU/edit?usp=sharing  #gid=0"",""фіз особи new!relations_name""),6,FALSE)
,
(IF
(
G11360=""юридична особа""
,
VLOO"&amp;"KUP(H11360,IMPORTRANGE(""https://docs.google.com/spreadsheets/d/14Bd19lYaqBhU8_DElYkX7l4wRkHqqCUFNJY4AfY3kHU/edit?usp=sharing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59" s="7" t="s">
        <v>23</v>
      </c>
    </row>
    <row r="11360" spans="1:10" ht="13.2">
      <c r="A11360" s="7">
        <v>11359</v>
      </c>
      <c r="B11360" s="7">
        <v>1</v>
      </c>
      <c r="C11360" s="7" t="s">
        <v>10</v>
      </c>
      <c r="D11360" s="7">
        <v>17638</v>
      </c>
      <c r="E11360" s="7" t="s">
        <v>23</v>
      </c>
      <c r="F11360" s="8" t="str">
        <f ca="1">IFERROR(__xludf.DUMMYFUNCTION("IF
(
C11361=""фізична особа""
,
VLOOKUP(D11361,IMPORTRANGE(""https://docs.google.com/spreadsheets/d/14Bd19lYaqBhU8_DElYkX7l4wRkHqqCUFNJY4AfY3kHU/edit?usp=sharing  #gid=0"",""фіз особи new!relations_name""),6,FALSE)
,
(IF
(
C11361=""юридична особа""
,
VLOO"&amp;"KUP(D11361,IMPORTRANGE(""https://docs.google.com/spreadsheets/d/14Bd19lYaqBhU8_DElYkX7l4wRkHqqCUFNJY4AfY3kHU/edit?usp=sharing  #gid=0"",""фіз особи new!relations_name_uo""),7,FALSE)
,
)
))"),"ШАФІГУЛЛІН Радік Равілович")</f>
        <v>ШАФІГУЛЛІН Радік Равілович</v>
      </c>
      <c r="G11360" s="7" t="s">
        <v>10</v>
      </c>
      <c r="H11360" s="7">
        <v>17635</v>
      </c>
      <c r="I11360" s="8" t="str">
        <f ca="1">IFERROR(__xludf.DUMMYFUNCTION("IF
(
G11361=""фізична особа""
,
VLOOKUP(H11361,IMPORTRANGE(""https://docs.google.com/spreadsheets/d/14Bd19lYaqBhU8_DElYkX7l4wRkHqqCUFNJY4AfY3kHU/edit?usp=sharing  #gid=0"",""фіз особи new!relations_name""),6,FALSE)
,
(IF
(
G11361=""юридична особа""
,
VLOO"&amp;"KUP(H11361,IMPORTRANGE(""https://docs.google.com/spreadsheets/d/14Bd19lYaqBhU8_DElYkX7l4wRkHqqCUFNJY4AfY3kHU/edit?usp=sharing  #gid=0"",""фіз особи new!relations_name_uo""),7,FALSE)
,
)
))"),"ДОЛГИХ Олексій Сергійович")</f>
        <v>ДОЛГИХ Олексій Сергійович</v>
      </c>
      <c r="J11360" s="7" t="s">
        <v>23</v>
      </c>
    </row>
    <row r="11361" spans="1:10" ht="13.2">
      <c r="A11361" s="7">
        <v>11360</v>
      </c>
      <c r="B11361" s="7">
        <v>1</v>
      </c>
      <c r="C11361" s="7" t="s">
        <v>10</v>
      </c>
      <c r="D11361" s="7">
        <v>17638</v>
      </c>
      <c r="E11361" s="7" t="s">
        <v>23</v>
      </c>
      <c r="F11361" s="8" t="str">
        <f ca="1">IFERROR(__xludf.DUMMYFUNCTION("IF
(
C11362=""фізична особа""
,
VLOOKUP(D11362,IMPORTRANGE(""https://docs.google.com/spreadsheets/d/14Bd19lYaqBhU8_DElYkX7l4wRkHqqCUFNJY4AfY3kHU/edit?usp=sharing  #gid=0"",""фіз особи new!relations_name""),6,FALSE)
,
(IF
(
C11362=""юридична особа""
,
VLOO"&amp;"KUP(D11362,IMPORTRANGE(""https://docs.google.com/spreadsheets/d/14Bd19lYaqBhU8_DElYkX7l4wRkHqqCUFNJY4AfY3kHU/edit?usp=sharing  #gid=0"",""фіз особи new!relations_name_uo""),7,FALSE)
,
)
))"),"ШАФІГУЛЛІН Радік Равілович")</f>
        <v>ШАФІГУЛЛІН Радік Равілович</v>
      </c>
      <c r="G11361" s="7" t="s">
        <v>10</v>
      </c>
      <c r="H11361" s="7">
        <v>1518</v>
      </c>
      <c r="I11361" s="8" t="str">
        <f ca="1">IFERROR(__xludf.DUMMYFUNCTION("IF
(
G11362=""фізична особа""
,
VLOOKUP(H11362,IMPORTRANGE(""https://docs.google.com/spreadsheets/d/14Bd19lYaqBhU8_DElYkX7l4wRkHqqCUFNJY4AfY3kHU/edit?usp=sharing  #gid=0"",""фіз особи new!relations_name""),6,FALSE)
,
(IF
(
G11362=""юридична особа""
,
VLOO"&amp;"KUP(H11362,IMPORTRANGE(""https://docs.google.com/spreadsheets/d/14Bd19lYaqBhU8_DElYkX7l4wRkHqqCUFNJY4AfY3kHU/edit?usp=sharing  #gid=0"",""фіз особи new!relations_name_uo""),7,FALSE)
,
)
))"),"БАЧУРІН Олег Сергійович")</f>
        <v>БАЧУРІН Олег Сергійович</v>
      </c>
      <c r="J11361" s="7" t="s">
        <v>23</v>
      </c>
    </row>
    <row r="11362" spans="1:10" ht="13.2">
      <c r="A11362" s="7">
        <v>11361</v>
      </c>
      <c r="B11362" s="7">
        <v>1</v>
      </c>
      <c r="C11362" s="7" t="s">
        <v>10</v>
      </c>
      <c r="D11362" s="7">
        <v>17640</v>
      </c>
      <c r="E11362" s="7" t="s">
        <v>23</v>
      </c>
      <c r="F11362" s="8" t="str">
        <f ca="1">IFERROR(__xludf.DUMMYFUNCTION("IF
(
C11363=""фізична особа""
,
VLOOKUP(D11363,IMPORTRANGE(""https://docs.google.com/spreadsheets/d/14Bd19lYaqBhU8_DElYkX7l4wRkHqqCUFNJY4AfY3kHU/edit?usp=sharing  #gid=0"",""фіз особи new!relations_name""),6,FALSE)
,
(IF
(
C11363=""юридична особа""
,
VLOO"&amp;"KUP(D11363,IMPORTRANGE(""https://docs.google.com/spreadsheets/d/14Bd19lYaqBhU8_DElYkX7l4wRkHqqCUFNJY4AfY3kHU/edit?usp=sharing  #gid=0"",""фіз особи new!relations_name_uo""),7,FALSE)
,
)
))"),"ПЕТРОВА Катерина Ігорівна")</f>
        <v>ПЕТРОВА Катерина Ігорівна</v>
      </c>
      <c r="G11362" s="7" t="s">
        <v>10</v>
      </c>
      <c r="H11362" s="7">
        <v>16555</v>
      </c>
      <c r="I11362" s="8" t="str">
        <f ca="1">IFERROR(__xludf.DUMMYFUNCTION("IF
(
G11363=""фізична особа""
,
VLOOKUP(H11363,IMPORTRANGE(""https://docs.google.com/spreadsheets/d/14Bd19lYaqBhU8_DElYkX7l4wRkHqqCUFNJY4AfY3kHU/edit?usp=sharing  #gid=0"",""фіз особи new!relations_name""),6,FALSE)
,
(IF
(
G11363=""юридична особа""
,
VLOO"&amp;"KUP(H11363,IMPORTRANGE(""https://docs.google.com/spreadsheets/d/14Bd19lYaqBhU8_DElYkX7l4wRkHqqCUFNJY4AfY3kHU/edit?usp=sharing  #gid=0"",""фіз особи new!relations_name_uo""),7,FALSE)
,
)
))"),"ЧУБАР Володимир Олександрович")</f>
        <v>ЧУБАР Володимир Олександрович</v>
      </c>
      <c r="J11362" s="7" t="s">
        <v>23</v>
      </c>
    </row>
    <row r="11363" spans="1:10" ht="13.2">
      <c r="A11363" s="7">
        <v>11362</v>
      </c>
      <c r="B11363" s="7">
        <v>1</v>
      </c>
      <c r="C11363" s="7" t="s">
        <v>10</v>
      </c>
      <c r="D11363" s="7">
        <v>17640</v>
      </c>
      <c r="E11363" s="7" t="s">
        <v>23</v>
      </c>
      <c r="F11363" s="8" t="str">
        <f ca="1">IFERROR(__xludf.DUMMYFUNCTION("IF
(
C11364=""фізична особа""
,
VLOOKUP(D11364,IMPORTRANGE(""https://docs.google.com/spreadsheets/d/14Bd19lYaqBhU8_DElYkX7l4wRkHqqCUFNJY4AfY3kHU/edit?usp=sharing  #gid=0"",""фіз особи new!relations_name""),6,FALSE)
,
(IF
(
C11364=""юридична особа""
,
VLOO"&amp;"KUP(D11364,IMPORTRANGE(""https://docs.google.com/spreadsheets/d/14Bd19lYaqBhU8_DElYkX7l4wRkHqqCUFNJY4AfY3kHU/edit?usp=sharing  #gid=0"",""фіз особи new!relations_name_uo""),7,FALSE)
,
)
))"),"ПЕТРОВА Катерина Ігорівна")</f>
        <v>ПЕТРОВА Катерина Ігорівна</v>
      </c>
      <c r="G11363" s="7" t="s">
        <v>10</v>
      </c>
      <c r="H11363" s="7">
        <v>17639</v>
      </c>
      <c r="I11363" s="8" t="str">
        <f ca="1">IFERROR(__xludf.DUMMYFUNCTION("IF
(
G11364=""фізична особа""
,
VLOOKUP(H11364,IMPORTRANGE(""https://docs.google.com/spreadsheets/d/14Bd19lYaqBhU8_DElYkX7l4wRkHqqCUFNJY4AfY3kHU/edit?usp=sharing  #gid=0"",""фіз особи new!relations_name""),6,FALSE)
,
(IF
(
G11364=""юридична особа""
,
VLOO"&amp;"KUP(H11364,IMPORTRANGE(""https://docs.google.com/spreadsheets/d/14Bd19lYaqBhU8_DElYkX7l4wRkHqqCUFNJY4AfY3kHU/edit?usp=sharing  #gid=0"",""фіз особи new!relations_name_uo""),7,FALSE)
,
)
))"),"КОРНІЛОВ Денис Васильович")</f>
        <v>КОРНІЛОВ Денис Васильович</v>
      </c>
      <c r="J11363" s="7" t="s">
        <v>23</v>
      </c>
    </row>
    <row r="11364" spans="1:10" ht="13.2">
      <c r="A11364" s="7">
        <v>11363</v>
      </c>
      <c r="B11364" s="7">
        <v>1</v>
      </c>
      <c r="C11364" s="7" t="s">
        <v>10</v>
      </c>
      <c r="D11364" s="7">
        <v>17641</v>
      </c>
      <c r="E11364" s="7" t="s">
        <v>23</v>
      </c>
      <c r="F11364" s="8" t="str">
        <f ca="1">IFERROR(__xludf.DUMMYFUNCTION("IF
(
C11365=""фізична особа""
,
VLOOKUP(D11365,IMPORTRANGE(""https://docs.google.com/spreadsheets/d/14Bd19lYaqBhU8_DElYkX7l4wRkHqqCUFNJY4AfY3kHU/edit?usp=sharing  #gid=0"",""фіз особи new!relations_name""),6,FALSE)
,
(IF
(
C11365=""юридична особа""
,
VLOO"&amp;"KUP(D11365,IMPORTRANGE(""https://docs.google.com/spreadsheets/d/14Bd19lYaqBhU8_DElYkX7l4wRkHqqCUFNJY4AfY3kHU/edit?usp=sharing  #gid=0"",""фіз особи new!relations_name_uo""),7,FALSE)
,
)
))"),"АРТИШЕВА Олена Вікторівна")</f>
        <v>АРТИШЕВА Олена Вікторівна</v>
      </c>
      <c r="G11364" s="7" t="s">
        <v>10</v>
      </c>
      <c r="H11364" s="7">
        <v>17639</v>
      </c>
      <c r="I11364" s="8" t="str">
        <f ca="1">IFERROR(__xludf.DUMMYFUNCTION("IF
(
G11365=""фізична особа""
,
VLOOKUP(H11365,IMPORTRANGE(""https://docs.google.com/spreadsheets/d/14Bd19lYaqBhU8_DElYkX7l4wRkHqqCUFNJY4AfY3kHU/edit?usp=sharing  #gid=0"",""фіз особи new!relations_name""),6,FALSE)
,
(IF
(
G11365=""юридична особа""
,
VLOO"&amp;"KUP(H11365,IMPORTRANGE(""https://docs.google.com/spreadsheets/d/14Bd19lYaqBhU8_DElYkX7l4wRkHqqCUFNJY4AfY3kHU/edit?usp=sharing  #gid=0"",""фіз особи new!relations_name_uo""),7,FALSE)
,
)
))"),"КОРНІЛОВ Денис Васильович")</f>
        <v>КОРНІЛОВ Денис Васильович</v>
      </c>
      <c r="J11364" s="7" t="s">
        <v>23</v>
      </c>
    </row>
    <row r="11365" spans="1:10" ht="13.2">
      <c r="A11365" s="7">
        <v>11364</v>
      </c>
      <c r="B11365" s="7">
        <v>1</v>
      </c>
      <c r="C11365" s="7" t="s">
        <v>10</v>
      </c>
      <c r="D11365" s="7">
        <v>17642</v>
      </c>
      <c r="E11365" s="7" t="s">
        <v>23</v>
      </c>
      <c r="F11365" s="8" t="str">
        <f ca="1">IFERROR(__xludf.DUMMYFUNCTION("IF
(
C11366=""фізична особа""
,
VLOOKUP(D11366,IMPORTRANGE(""https://docs.google.com/spreadsheets/d/14Bd19lYaqBhU8_DElYkX7l4wRkHqqCUFNJY4AfY3kHU/edit?usp=sharing  #gid=0"",""фіз особи new!relations_name""),6,FALSE)
,
(IF
(
C11366=""юридична особа""
,
VLOO"&amp;"KUP(D11366,IMPORTRANGE(""https://docs.google.com/spreadsheets/d/14Bd19lYaqBhU8_DElYkX7l4wRkHqqCUFNJY4AfY3kHU/edit?usp=sharing  #gid=0"",""фіз особи new!relations_name_uo""),7,FALSE)
,
)
))"),"БАХМЕТЬЄВА Наталія Анатоліївна")</f>
        <v>БАХМЕТЬЄВА Наталія Анатоліївна</v>
      </c>
      <c r="G11365" s="7" t="s">
        <v>10</v>
      </c>
      <c r="H11365" s="7">
        <v>17639</v>
      </c>
      <c r="I11365" s="8" t="str">
        <f ca="1">IFERROR(__xludf.DUMMYFUNCTION("IF
(
G11366=""фізична особа""
,
VLOOKUP(H11366,IMPORTRANGE(""https://docs.google.com/spreadsheets/d/14Bd19lYaqBhU8_DElYkX7l4wRkHqqCUFNJY4AfY3kHU/edit?usp=sharing  #gid=0"",""фіз особи new!relations_name""),6,FALSE)
,
(IF
(
G11366=""юридична особа""
,
VLOO"&amp;"KUP(H11366,IMPORTRANGE(""https://docs.google.com/spreadsheets/d/14Bd19lYaqBhU8_DElYkX7l4wRkHqqCUFNJY4AfY3kHU/edit?usp=sharing  #gid=0"",""фіз особи new!relations_name_uo""),7,FALSE)
,
)
))"),"КОРНІЛОВ Денис Васильович")</f>
        <v>КОРНІЛОВ Денис Васильович</v>
      </c>
      <c r="J11365" s="7" t="s">
        <v>23</v>
      </c>
    </row>
    <row r="11366" spans="1:10" ht="13.2">
      <c r="A11366" s="7">
        <v>11365</v>
      </c>
      <c r="B11366" s="7">
        <v>1</v>
      </c>
      <c r="C11366" s="7" t="s">
        <v>10</v>
      </c>
      <c r="D11366" s="7">
        <v>17648</v>
      </c>
      <c r="E11366" s="7" t="s">
        <v>23</v>
      </c>
      <c r="F11366" s="8" t="str">
        <f ca="1">IFERROR(__xludf.DUMMYFUNCTION("IF
(
C11367=""фізична особа""
,
VLOOKUP(D11367,IMPORTRANGE(""https://docs.google.com/spreadsheets/d/14Bd19lYaqBhU8_DElYkX7l4wRkHqqCUFNJY4AfY3kHU/edit?usp=sharing  #gid=0"",""фіз особи new!relations_name""),6,FALSE)
,
(IF
(
C11367=""юридична особа""
,
VLOO"&amp;"KUP(D11367,IMPORTRANGE(""https://docs.google.com/spreadsheets/d/14Bd19lYaqBhU8_DElYkX7l4wRkHqqCUFNJY4AfY3kHU/edit?usp=sharing  #gid=0"",""фіз особи new!relations_name_uo""),7,FALSE)
,
)
))"),"ХВОСТИКОВ Анатолій Григорович")</f>
        <v>ХВОСТИКОВ Анатолій Григорович</v>
      </c>
      <c r="G11366" s="7" t="s">
        <v>10</v>
      </c>
      <c r="H11366" s="7">
        <v>2045</v>
      </c>
      <c r="I11366" s="8" t="str">
        <f ca="1">IFERROR(__xludf.DUMMYFUNCTION("IF
(
G11367=""фізична особа""
,
VLOOKUP(H11367,IMPORTRANGE(""https://docs.google.com/spreadsheets/d/14Bd19lYaqBhU8_DElYkX7l4wRkHqqCUFNJY4AfY3kHU/edit?usp=sharing  #gid=0"",""фіз особи new!relations_name""),6,FALSE)
,
(IF
(
G11367=""юридична особа""
,
VLOO"&amp;"KUP(H11367,IMPORTRANGE(""https://docs.google.com/spreadsheets/d/14Bd19lYaqBhU8_DElYkX7l4wRkHqqCUFNJY4AfY3kHU/edit?usp=sharing  #gid=0"",""фіз особи new!relations_name_uo""),7,FALSE)
,
)
))"),"ПРОХОРОВ Михайло Дмитрович")</f>
        <v>ПРОХОРОВ Михайло Дмитрович</v>
      </c>
      <c r="J11366" s="7" t="s">
        <v>23</v>
      </c>
    </row>
    <row r="11367" spans="1:10" ht="13.2">
      <c r="A11367" s="7">
        <v>11366</v>
      </c>
      <c r="B11367" s="7">
        <v>1</v>
      </c>
      <c r="C11367" s="7" t="s">
        <v>10</v>
      </c>
      <c r="D11367" s="7">
        <v>17648</v>
      </c>
      <c r="E11367" s="7" t="s">
        <v>23</v>
      </c>
      <c r="F11367" s="8" t="str">
        <f ca="1">IFERROR(__xludf.DUMMYFUNCTION("IF
(
C11368=""фізична особа""
,
VLOOKUP(D11368,IMPORTRANGE(""https://docs.google.com/spreadsheets/d/14Bd19lYaqBhU8_DElYkX7l4wRkHqqCUFNJY4AfY3kHU/edit?usp=sharing  #gid=0"",""фіз особи new!relations_name""),6,FALSE)
,
(IF
(
C11368=""юридична особа""
,
VLOO"&amp;"KUP(D11368,IMPORTRANGE(""https://docs.google.com/spreadsheets/d/14Bd19lYaqBhU8_DElYkX7l4wRkHqqCUFNJY4AfY3kHU/edit?usp=sharing  #gid=0"",""фіз особи new!relations_name_uo""),7,FALSE)
,
)
))"),"ХВОСТИКОВ Анатолій Григорович")</f>
        <v>ХВОСТИКОВ Анатолій Григорович</v>
      </c>
      <c r="G11367" s="7" t="s">
        <v>10</v>
      </c>
      <c r="H11367" s="7">
        <v>288</v>
      </c>
      <c r="I11367" s="8" t="str">
        <f ca="1">IFERROR(__xludf.DUMMYFUNCTION("IF
(
G11368=""фізична особа""
,
VLOOKUP(H11368,IMPORTRANGE(""https://docs.google.com/spreadsheets/d/14Bd19lYaqBhU8_DElYkX7l4wRkHqqCUFNJY4AfY3kHU/edit?usp=sharing  #gid=0"",""фіз особи new!relations_name""),6,FALSE)
,
(IF
(
G11368=""юридична особа""
,
VLOO"&amp;"KUP(H11368,IMPORTRANGE(""https://docs.google.com/spreadsheets/d/14Bd19lYaqBhU8_DElYkX7l4wRkHqqCUFNJY4AfY3kHU/edit?usp=sharing  #gid=0"",""фіз особи new!relations_name_uo""),7,FALSE)
,
)
))"),"ІГНАТОВА Катерина Сергівна")</f>
        <v>ІГНАТОВА Катерина Сергівна</v>
      </c>
      <c r="J11367" s="7" t="s">
        <v>23</v>
      </c>
    </row>
    <row r="11368" spans="1:10" ht="13.2">
      <c r="A11368" s="7">
        <v>11367</v>
      </c>
      <c r="B11368" s="7">
        <v>1</v>
      </c>
      <c r="C11368" s="7" t="s">
        <v>10</v>
      </c>
      <c r="D11368" s="7">
        <v>17648</v>
      </c>
      <c r="E11368" s="7" t="s">
        <v>23</v>
      </c>
      <c r="F11368" s="8" t="str">
        <f ca="1">IFERROR(__xludf.DUMMYFUNCTION("IF
(
C11369=""фізична особа""
,
VLOOKUP(D11369,IMPORTRANGE(""https://docs.google.com/spreadsheets/d/14Bd19lYaqBhU8_DElYkX7l4wRkHqqCUFNJY4AfY3kHU/edit?usp=sharing  #gid=0"",""фіз особи new!relations_name""),6,FALSE)
,
(IF
(
C11369=""юридична особа""
,
VLOO"&amp;"KUP(D11369,IMPORTRANGE(""https://docs.google.com/spreadsheets/d/14Bd19lYaqBhU8_DElYkX7l4wRkHqqCUFNJY4AfY3kHU/edit?usp=sharing  #gid=0"",""фіз особи new!relations_name_uo""),7,FALSE)
,
)
))"),"ХВОСТИКОВ Анатолій Григорович")</f>
        <v>ХВОСТИКОВ Анатолій Григорович</v>
      </c>
      <c r="G11368" s="7" t="s">
        <v>10</v>
      </c>
      <c r="H11368" s="7">
        <v>6627</v>
      </c>
      <c r="I11368" s="8" t="str">
        <f ca="1">IFERROR(__xludf.DUMMYFUNCTION("IF
(
G11369=""фізична особа""
,
VLOOKUP(H11369,IMPORTRANGE(""https://docs.google.com/spreadsheets/d/14Bd19lYaqBhU8_DElYkX7l4wRkHqqCUFNJY4AfY3kHU/edit?usp=sharing  #gid=0"",""фіз особи new!relations_name""),6,FALSE)
,
(IF
(
G11369=""юридична особа""
,
VLOO"&amp;"KUP(H11369,IMPORTRANGE(""https://docs.google.com/spreadsheets/d/14Bd19lYaqBhU8_DElYkX7l4wRkHqqCUFNJY4AfY3kHU/edit?usp=sharing  #gid=0"",""фіз особи new!relations_name_uo""),7,FALSE)
,
)
))"),"ОРЛОВА Тетяна Дмитрівна")</f>
        <v>ОРЛОВА Тетяна Дмитрівна</v>
      </c>
      <c r="J11368" s="7" t="s">
        <v>23</v>
      </c>
    </row>
    <row r="11369" spans="1:10" ht="13.2">
      <c r="A11369" s="7">
        <v>11368</v>
      </c>
      <c r="B11369" s="7">
        <v>1</v>
      </c>
      <c r="C11369" s="7" t="s">
        <v>10</v>
      </c>
      <c r="D11369" s="7">
        <v>17649</v>
      </c>
      <c r="E11369" s="7" t="s">
        <v>23</v>
      </c>
      <c r="F11369" s="8" t="str">
        <f ca="1">IFERROR(__xludf.DUMMYFUNCTION("IF
(
C11370=""фізична особа""
,
VLOOKUP(D11370,IMPORTRANGE(""https://docs.google.com/spreadsheets/d/14Bd19lYaqBhU8_DElYkX7l4wRkHqqCUFNJY4AfY3kHU/edit?usp=sharing  #gid=0"",""фіз особи new!relations_name""),6,FALSE)
,
(IF
(
C11370=""юридична особа""
,
VLOO"&amp;"KUP(D11370,IMPORTRANGE(""https://docs.google.com/spreadsheets/d/14Bd19lYaqBhU8_DElYkX7l4wRkHqqCUFNJY4AfY3kHU/edit?usp=sharing  #gid=0"",""фіз особи new!relations_name_uo""),7,FALSE)
,
)
))"),"КОНДРАТЮК Олена Володимирівна")</f>
        <v>КОНДРАТЮК Олена Володимирівна</v>
      </c>
      <c r="G11369" s="7" t="s">
        <v>10</v>
      </c>
      <c r="H11369" s="7">
        <v>17542</v>
      </c>
      <c r="I11369" s="8" t="str">
        <f ca="1">IFERROR(__xludf.DUMMYFUNCTION("IF
(
G11370=""фізична особа""
,
VLOOKUP(H11370,IMPORTRANGE(""https://docs.google.com/spreadsheets/d/14Bd19lYaqBhU8_DElYkX7l4wRkHqqCUFNJY4AfY3kHU/edit?usp=sharing  #gid=0"",""фіз особи new!relations_name""),6,FALSE)
,
(IF
(
G11370=""юридична особа""
,
VLOO"&amp;"KUP(H11370,IMPORTRANGE(""https://docs.google.com/spreadsheets/d/14Bd19lYaqBhU8_DElYkX7l4wRkHqqCUFNJY4AfY3kHU/edit?usp=sharing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J11369" s="7" t="s">
        <v>23</v>
      </c>
    </row>
    <row r="11370" spans="1:10" ht="13.2">
      <c r="A11370" s="7">
        <v>11369</v>
      </c>
      <c r="B11370" s="7">
        <v>1</v>
      </c>
      <c r="C11370" s="7" t="s">
        <v>10</v>
      </c>
      <c r="D11370" s="7">
        <v>17650</v>
      </c>
      <c r="E11370" s="7" t="s">
        <v>23</v>
      </c>
      <c r="F11370" s="8" t="str">
        <f ca="1">IFERROR(__xludf.DUMMYFUNCTION("IF
(
C11371=""фізична особа""
,
VLOOKUP(D11371,IMPORTRANGE(""https://docs.google.com/spreadsheets/d/14Bd19lYaqBhU8_DElYkX7l4wRkHqqCUFNJY4AfY3kHU/edit?usp=sharing  #gid=0"",""фіз особи new!relations_name""),6,FALSE)
,
(IF
(
C11371=""юридична особа""
,
VLOO"&amp;"KUP(D11371,IMPORTRANGE(""https://docs.google.com/spreadsheets/d/14Bd19lYaqBhU8_DElYkX7l4wRkHqqCUFNJY4AfY3kHU/edit?usp=sharing  #gid=0"",""фіз особи new!relations_name_uo""),7,FALSE)
,
)
))"),"АГАПОВ Віктор Іванович")</f>
        <v>АГАПОВ Віктор Іванович</v>
      </c>
      <c r="G11370" s="7" t="s">
        <v>10</v>
      </c>
      <c r="H11370" s="7">
        <v>17542</v>
      </c>
      <c r="I11370" s="8" t="str">
        <f ca="1">IFERROR(__xludf.DUMMYFUNCTION("IF
(
G11371=""фізична особа""
,
VLOOKUP(H11371,IMPORTRANGE(""https://docs.google.com/spreadsheets/d/14Bd19lYaqBhU8_DElYkX7l4wRkHqqCUFNJY4AfY3kHU/edit?usp=sharing  #gid=0"",""фіз особи new!relations_name""),6,FALSE)
,
(IF
(
G11371=""юридична особа""
,
VLOO"&amp;"KUP(H11371,IMPORTRANGE(""https://docs.google.com/spreadsheets/d/14Bd19lYaqBhU8_DElYkX7l4wRkHqqCUFNJY4AfY3kHU/edit?usp=sharing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J11370" s="7" t="s">
        <v>23</v>
      </c>
    </row>
    <row r="11371" spans="1:10" ht="13.2">
      <c r="A11371" s="7">
        <v>11370</v>
      </c>
      <c r="B11371" s="7">
        <v>1</v>
      </c>
      <c r="C11371" s="7" t="s">
        <v>10</v>
      </c>
      <c r="D11371" s="7">
        <v>17650</v>
      </c>
      <c r="E11371" s="7" t="s">
        <v>23</v>
      </c>
      <c r="F11371" s="8" t="str">
        <f ca="1">IFERROR(__xludf.DUMMYFUNCTION("IF
(
C11372=""фізична особа""
,
VLOOKUP(D11372,IMPORTRANGE(""https://docs.google.com/spreadsheets/d/14Bd19lYaqBhU8_DElYkX7l4wRkHqqCUFNJY4AfY3kHU/edit?usp=sharing  #gid=0"",""фіз особи new!relations_name""),6,FALSE)
,
(IF
(
C11372=""юридична особа""
,
VLOO"&amp;"KUP(D11372,IMPORTRANGE(""https://docs.google.com/spreadsheets/d/14Bd19lYaqBhU8_DElYkX7l4wRkHqqCUFNJY4AfY3kHU/edit?usp=sharing  #gid=0"",""фіз особи new!relations_name_uo""),7,FALSE)
,
)
))"),"АГАПОВ Віктор Іванович")</f>
        <v>АГАПОВ Віктор Іванович</v>
      </c>
      <c r="G11371" s="7" t="s">
        <v>10</v>
      </c>
      <c r="H11371" s="7">
        <v>17549</v>
      </c>
      <c r="I11371" s="8" t="str">
        <f ca="1">IFERROR(__xludf.DUMMYFUNCTION("IF
(
G11372=""фізична особа""
,
VLOOKUP(H11372,IMPORTRANGE(""https://docs.google.com/spreadsheets/d/14Bd19lYaqBhU8_DElYkX7l4wRkHqqCUFNJY4AfY3kHU/edit?usp=sharing  #gid=0"",""фіз особи new!relations_name""),6,FALSE)
,
(IF
(
G11372=""юридична особа""
,
VLOO"&amp;"KUP(H11372,IMPORTRANGE(""https://docs.google.com/spreadsheets/d/14Bd19lYaqBhU8_DElYkX7l4wRkHqqCUFNJY4AfY3kHU/edit?usp=sharing  #gid=0"",""фіз особи new!relations_name_uo""),7,FALSE)
,
)
))"),"КАЦМАН Микола Ірахмілович")</f>
        <v>КАЦМАН Микола Ірахмілович</v>
      </c>
      <c r="J11371" s="7" t="s">
        <v>23</v>
      </c>
    </row>
    <row r="11372" spans="1:10" ht="13.2">
      <c r="A11372" s="7">
        <v>11371</v>
      </c>
      <c r="B11372" s="7">
        <v>1</v>
      </c>
      <c r="C11372" s="7" t="s">
        <v>10</v>
      </c>
      <c r="D11372" s="7">
        <v>17651</v>
      </c>
      <c r="E11372" s="7" t="s">
        <v>23</v>
      </c>
      <c r="F11372" s="8" t="str">
        <f ca="1">IFERROR(__xludf.DUMMYFUNCTION("IF
(
C11373=""фізична особа""
,
VLOOKUP(D11373,IMPORTRANGE(""https://docs.google.com/spreadsheets/d/14Bd19lYaqBhU8_DElYkX7l4wRkHqqCUFNJY4AfY3kHU/edit?usp=sharing  #gid=0"",""фіз особи new!relations_name""),6,FALSE)
,
(IF
(
C11373=""юридична особа""
,
VLOO"&amp;"KUP(D11373,IMPORTRANGE(""https://docs.google.com/spreadsheets/d/14Bd19lYaqBhU8_DElYkX7l4wRkHqqCUFNJY4AfY3kHU/edit?usp=sharing  #gid=0"",""фіз особи new!relations_name_uo""),7,FALSE)
,
)
))"),"АРТЬОМЕНКОВ Сергій Вікторович")</f>
        <v>АРТЬОМЕНКОВ Сергій Вікторович</v>
      </c>
      <c r="G11372" s="7" t="s">
        <v>10</v>
      </c>
      <c r="H11372" s="7">
        <v>17542</v>
      </c>
      <c r="I11372" s="8" t="str">
        <f ca="1">IFERROR(__xludf.DUMMYFUNCTION("IF
(
G11373=""фізична особа""
,
VLOOKUP(H11373,IMPORTRANGE(""https://docs.google.com/spreadsheets/d/14Bd19lYaqBhU8_DElYkX7l4wRkHqqCUFNJY4AfY3kHU/edit?usp=sharing  #gid=0"",""фіз особи new!relations_name""),6,FALSE)
,
(IF
(
G11373=""юридична особа""
,
VLOO"&amp;"KUP(H11373,IMPORTRANGE(""https://docs.google.com/spreadsheets/d/14Bd19lYaqBhU8_DElYkX7l4wRkHqqCUFNJY4AfY3kHU/edit?usp=sharing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J11372" s="7" t="s">
        <v>23</v>
      </c>
    </row>
    <row r="11373" spans="1:10" ht="13.2">
      <c r="A11373" s="7">
        <v>11372</v>
      </c>
      <c r="B11373" s="7">
        <v>1</v>
      </c>
      <c r="C11373" s="7" t="s">
        <v>10</v>
      </c>
      <c r="D11373" s="7">
        <v>17651</v>
      </c>
      <c r="E11373" s="7" t="s">
        <v>23</v>
      </c>
      <c r="F11373" s="8" t="str">
        <f ca="1">IFERROR(__xludf.DUMMYFUNCTION("IF
(
C11374=""фізична особа""
,
VLOOKUP(D11374,IMPORTRANGE(""https://docs.google.com/spreadsheets/d/14Bd19lYaqBhU8_DElYkX7l4wRkHqqCUFNJY4AfY3kHU/edit?usp=sharing  #gid=0"",""фіз особи new!relations_name""),6,FALSE)
,
(IF
(
C11374=""юридична особа""
,
VLOO"&amp;"KUP(D11374,IMPORTRANGE(""https://docs.google.com/spreadsheets/d/14Bd19lYaqBhU8_DElYkX7l4wRkHqqCUFNJY4AfY3kHU/edit?usp=sharing  #gid=0"",""фіз особи new!relations_name_uo""),7,FALSE)
,
)
))"),"АРТЬОМЕНКОВ Сергій Вікторович")</f>
        <v>АРТЬОМЕНКОВ Сергій Вікторович</v>
      </c>
      <c r="G11373" s="7" t="s">
        <v>10</v>
      </c>
      <c r="H11373" s="7">
        <v>17549</v>
      </c>
      <c r="I11373" s="8" t="str">
        <f ca="1">IFERROR(__xludf.DUMMYFUNCTION("IF
(
G11374=""фізична особа""
,
VLOOKUP(H11374,IMPORTRANGE(""https://docs.google.com/spreadsheets/d/14Bd19lYaqBhU8_DElYkX7l4wRkHqqCUFNJY4AfY3kHU/edit?usp=sharing  #gid=0"",""фіз особи new!relations_name""),6,FALSE)
,
(IF
(
G11374=""юридична особа""
,
VLOO"&amp;"KUP(H11374,IMPORTRANGE(""https://docs.google.com/spreadsheets/d/14Bd19lYaqBhU8_DElYkX7l4wRkHqqCUFNJY4AfY3kHU/edit?usp=sharing  #gid=0"",""фіз особи new!relations_name_uo""),7,FALSE)
,
)
))"),"КАЦМАН Микола Ірахмілович")</f>
        <v>КАЦМАН Микола Ірахмілович</v>
      </c>
      <c r="J11373" s="7" t="s">
        <v>23</v>
      </c>
    </row>
    <row r="11374" spans="1:10" ht="13.2">
      <c r="A11374" s="7">
        <v>11373</v>
      </c>
      <c r="B11374" s="7">
        <v>1</v>
      </c>
      <c r="C11374" s="7" t="s">
        <v>10</v>
      </c>
      <c r="D11374" s="7">
        <v>17652</v>
      </c>
      <c r="E11374" s="7" t="s">
        <v>23</v>
      </c>
      <c r="F11374" s="8" t="str">
        <f ca="1">IFERROR(__xludf.DUMMYFUNCTION("IF
(
C11375=""фізична особа""
,
VLOOKUP(D11375,IMPORTRANGE(""https://docs.google.com/spreadsheets/d/14Bd19lYaqBhU8_DElYkX7l4wRkHqqCUFNJY4AfY3kHU/edit?usp=sharing  #gid=0"",""фіз особи new!relations_name""),6,FALSE)
,
(IF
(
C11375=""юридична особа""
,
VLOO"&amp;"KUP(D11375,IMPORTRANGE(""https://docs.google.com/spreadsheets/d/14Bd19lYaqBhU8_DElYkX7l4wRkHqqCUFNJY4AfY3kHU/edit?usp=sharing  #gid=0"",""фіз особи new!relations_name_uo""),7,FALSE)
,
)
))"),"ЦАНГЛЬ Наталія Євгеніївна")</f>
        <v>ЦАНГЛЬ Наталія Євгеніївна</v>
      </c>
      <c r="G11374" s="7" t="s">
        <v>10</v>
      </c>
      <c r="H11374" s="7">
        <v>17542</v>
      </c>
      <c r="I11374" s="8" t="str">
        <f ca="1">IFERROR(__xludf.DUMMYFUNCTION("IF
(
G11375=""фізична особа""
,
VLOOKUP(H11375,IMPORTRANGE(""https://docs.google.com/spreadsheets/d/14Bd19lYaqBhU8_DElYkX7l4wRkHqqCUFNJY4AfY3kHU/edit?usp=sharing  #gid=0"",""фіз особи new!relations_name""),6,FALSE)
,
(IF
(
G11375=""юридична особа""
,
VLOO"&amp;"KUP(H11375,IMPORTRANGE(""https://docs.google.com/spreadsheets/d/14Bd19lYaqBhU8_DElYkX7l4wRkHqqCUFNJY4AfY3kHU/edit?usp=sharing  #gid=0"",""фіз особи new!relations_name_uo""),7,FALSE)
,
)
))"),"ВАСИЛЕВСЬКИЙ Микола Сергійович")</f>
        <v>ВАСИЛЕВСЬКИЙ Микола Сергійович</v>
      </c>
      <c r="J11374" s="7" t="s">
        <v>23</v>
      </c>
    </row>
    <row r="11375" spans="1:10" ht="13.2">
      <c r="A11375" s="7">
        <v>11374</v>
      </c>
      <c r="B11375" s="7">
        <v>1</v>
      </c>
      <c r="C11375" s="7" t="s">
        <v>10</v>
      </c>
      <c r="D11375" s="7">
        <v>17652</v>
      </c>
      <c r="E11375" s="7" t="s">
        <v>23</v>
      </c>
      <c r="F11375" s="8" t="str">
        <f ca="1">IFERROR(__xludf.DUMMYFUNCTION("IF
(
C11376=""фізична особа""
,
VLOOKUP(D11376,IMPORTRANGE(""https://docs.google.com/spreadsheets/d/14Bd19lYaqBhU8_DElYkX7l4wRkHqqCUFNJY4AfY3kHU/edit?usp=sharing  #gid=0"",""фіз особи new!relations_name""),6,FALSE)
,
(IF
(
C11376=""юридична особа""
,
VLOO"&amp;"KUP(D11376,IMPORTRANGE(""https://docs.google.com/spreadsheets/d/14Bd19lYaqBhU8_DElYkX7l4wRkHqqCUFNJY4AfY3kHU/edit?usp=sharing  #gid=0"",""фіз особи new!relations_name_uo""),7,FALSE)
,
)
))"),"ЦАНГЛЬ Наталія Євгеніївна")</f>
        <v>ЦАНГЛЬ Наталія Євгеніївна</v>
      </c>
      <c r="G11375" s="7" t="s">
        <v>10</v>
      </c>
      <c r="H11375" s="7">
        <v>17549</v>
      </c>
      <c r="I11375" s="8" t="str">
        <f ca="1">IFERROR(__xludf.DUMMYFUNCTION("IF
(
G11376=""фізична особа""
,
VLOOKUP(H11376,IMPORTRANGE(""https://docs.google.com/spreadsheets/d/14Bd19lYaqBhU8_DElYkX7l4wRkHqqCUFNJY4AfY3kHU/edit?usp=sharing  #gid=0"",""фіз особи new!relations_name""),6,FALSE)
,
(IF
(
G11376=""юридична особа""
,
VLOO"&amp;"KUP(H11376,IMPORTRANGE(""https://docs.google.com/spreadsheets/d/14Bd19lYaqBhU8_DElYkX7l4wRkHqqCUFNJY4AfY3kHU/edit?usp=sharing  #gid=0"",""фіз особи new!relations_name_uo""),7,FALSE)
,
)
))"),"КАЦМАН Микола Ірахмілович")</f>
        <v>КАЦМАН Микола Ірахмілович</v>
      </c>
      <c r="J11375" s="7" t="s">
        <v>23</v>
      </c>
    </row>
    <row r="11376" spans="1:10" ht="13.2">
      <c r="A11376" s="7">
        <v>11375</v>
      </c>
      <c r="B11376" s="7">
        <v>1</v>
      </c>
      <c r="C11376" s="7" t="s">
        <v>10</v>
      </c>
      <c r="D11376" s="7">
        <v>17653</v>
      </c>
      <c r="E11376" s="7" t="s">
        <v>23</v>
      </c>
      <c r="F11376" s="8" t="str">
        <f ca="1">IFERROR(__xludf.DUMMYFUNCTION("IF
(
C11377=""фізична особа""
,
VLOOKUP(D11377,IMPORTRANGE(""https://docs.google.com/spreadsheets/d/14Bd19lYaqBhU8_DElYkX7l4wRkHqqCUFNJY4AfY3kHU/edit?usp=sharing  #gid=0"",""фіз особи new!relations_name""),6,FALSE)
,
(IF
(
C11377=""юридична особа""
,
VLOO"&amp;"KUP(D11377,IMPORTRANGE(""https://docs.google.com/spreadsheets/d/14Bd19lYaqBhU8_DElYkX7l4wRkHqqCUFNJY4AfY3kHU/edit?usp=sharing  #gid=0"",""фіз особи new!relations_name_uo""),7,FALSE)
,
)
))"),"ФЕДОТОВ Вадим Дмитрович")</f>
        <v>ФЕДОТОВ Вадим Дмитрович</v>
      </c>
      <c r="G11376" s="7" t="s">
        <v>10</v>
      </c>
      <c r="H11376" s="7">
        <v>17549</v>
      </c>
      <c r="I11376" s="8" t="str">
        <f ca="1">IFERROR(__xludf.DUMMYFUNCTION("IF
(
G11377=""фізична особа""
,
VLOOKUP(H11377,IMPORTRANGE(""https://docs.google.com/spreadsheets/d/14Bd19lYaqBhU8_DElYkX7l4wRkHqqCUFNJY4AfY3kHU/edit?usp=sharing  #gid=0"",""фіз особи new!relations_name""),6,FALSE)
,
(IF
(
G11377=""юридична особа""
,
VLOO"&amp;"KUP(H11377,IMPORTRANGE(""https://docs.google.com/spreadsheets/d/14Bd19lYaqBhU8_DElYkX7l4wRkHqqCUFNJY4AfY3kHU/edit?usp=sharing  #gid=0"",""фіз особи new!relations_name_uo""),7,FALSE)
,
)
))"),"КАЦМАН Микола Ірахмілович")</f>
        <v>КАЦМАН Микола Ірахмілович</v>
      </c>
      <c r="J11376" s="7" t="s">
        <v>23</v>
      </c>
    </row>
    <row r="11377" spans="1:10" ht="13.2">
      <c r="A11377" s="7">
        <v>11376</v>
      </c>
      <c r="B11377" s="7">
        <v>1</v>
      </c>
      <c r="C11377" s="7" t="s">
        <v>10</v>
      </c>
      <c r="D11377" s="7">
        <v>17654</v>
      </c>
      <c r="E11377" s="7" t="s">
        <v>23</v>
      </c>
      <c r="F11377" s="8" t="str">
        <f ca="1">IFERROR(__xludf.DUMMYFUNCTION("IF
(
C11378=""фізична особа""
,
VLOOKUP(D11378,IMPORTRANGE(""https://docs.google.com/spreadsheets/d/14Bd19lYaqBhU8_DElYkX7l4wRkHqqCUFNJY4AfY3kHU/edit?usp=sharing  #gid=0"",""фіз особи new!relations_name""),6,FALSE)
,
(IF
(
C11378=""юридична особа""
,
VLOO"&amp;"KUP(D11378,IMPORTRANGE(""https://docs.google.com/spreadsheets/d/14Bd19lYaqBhU8_DElYkX7l4wRkHqqCUFNJY4AfY3kHU/edit?usp=sharing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77" s="7" t="s">
        <v>10</v>
      </c>
      <c r="H11377" s="7">
        <v>17656</v>
      </c>
      <c r="I11377" s="8" t="str">
        <f ca="1">IFERROR(__xludf.DUMMYFUNCTION("IF
(
G11378=""фізична особа""
,
VLOOKUP(H11378,IMPORTRANGE(""https://docs.google.com/spreadsheets/d/14Bd19lYaqBhU8_DElYkX7l4wRkHqqCUFNJY4AfY3kHU/edit?usp=sharing  #gid=0"",""фіз особи new!relations_name""),6,FALSE)
,
(IF
(
G11378=""юридична особа""
,
VLOO"&amp;"KUP(H11378,IMPORTRANGE(""https://docs.google.com/spreadsheets/d/14Bd19lYaqBhU8_DElYkX7l4wRkHqqCUFNJY4AfY3kHU/edit?usp=sharing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377" s="7" t="s">
        <v>23</v>
      </c>
    </row>
    <row r="11378" spans="1:10" ht="13.2">
      <c r="A11378" s="7">
        <v>11377</v>
      </c>
      <c r="B11378" s="7">
        <v>1</v>
      </c>
      <c r="C11378" s="7" t="s">
        <v>10</v>
      </c>
      <c r="D11378" s="7">
        <v>17654</v>
      </c>
      <c r="E11378" s="7" t="s">
        <v>23</v>
      </c>
      <c r="F11378" s="8" t="str">
        <f ca="1">IFERROR(__xludf.DUMMYFUNCTION("IF
(
C11379=""фізична особа""
,
VLOOKUP(D11379,IMPORTRANGE(""https://docs.google.com/spreadsheets/d/14Bd19lYaqBhU8_DElYkX7l4wRkHqqCUFNJY4AfY3kHU/edit?usp=sharing  #gid=0"",""фіз особи new!relations_name""),6,FALSE)
,
(IF
(
C11379=""юридична особа""
,
VLOO"&amp;"KUP(D11379,IMPORTRANGE(""https://docs.google.com/spreadsheets/d/14Bd19lYaqBhU8_DElYkX7l4wRkHqqCUFNJY4AfY3kHU/edit?usp=sharing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78" s="7" t="s">
        <v>10</v>
      </c>
      <c r="H11378" s="7">
        <v>17658</v>
      </c>
      <c r="I11378" s="8" t="str">
        <f ca="1">IFERROR(__xludf.DUMMYFUNCTION("IF
(
G11379=""фізична особа""
,
VLOOKUP(H11379,IMPORTRANGE(""https://docs.google.com/spreadsheets/d/14Bd19lYaqBhU8_DElYkX7l4wRkHqqCUFNJY4AfY3kHU/edit?usp=sharing  #gid=0"",""фіз особи new!relations_name""),6,FALSE)
,
(IF
(
G11379=""юридична особа""
,
VLOO"&amp;"KUP(H11379,IMPORTRANGE(""https://docs.google.com/spreadsheets/d/14Bd19lYaqBhU8_DElYkX7l4wRkHqqCUFNJY4AfY3kHU/edit?usp=sharing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378" s="7" t="s">
        <v>23</v>
      </c>
    </row>
    <row r="11379" spans="1:10" ht="13.2">
      <c r="A11379" s="7">
        <v>11378</v>
      </c>
      <c r="B11379" s="7">
        <v>1</v>
      </c>
      <c r="C11379" s="7" t="s">
        <v>10</v>
      </c>
      <c r="D11379" s="7">
        <v>17654</v>
      </c>
      <c r="E11379" s="7" t="s">
        <v>23</v>
      </c>
      <c r="F11379" s="8" t="str">
        <f ca="1">IFERROR(__xludf.DUMMYFUNCTION("IF
(
C11380=""фізична особа""
,
VLOOKUP(D11380,IMPORTRANGE(""https://docs.google.com/spreadsheets/d/14Bd19lYaqBhU8_DElYkX7l4wRkHqqCUFNJY4AfY3kHU/edit?usp=sharing  #gid=0"",""фіз особи new!relations_name""),6,FALSE)
,
(IF
(
C11380=""юридична особа""
,
VLOO"&amp;"KUP(D11380,IMPORTRANGE(""https://docs.google.com/spreadsheets/d/14Bd19lYaqBhU8_DElYkX7l4wRkHqqCUFNJY4AfY3kHU/edit?usp=sharing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79" s="7" t="s">
        <v>10</v>
      </c>
      <c r="H11379" s="7">
        <v>17659</v>
      </c>
      <c r="I11379" s="8" t="str">
        <f ca="1">IFERROR(__xludf.DUMMYFUNCTION("IF
(
G11380=""фізична особа""
,
VLOOKUP(H11380,IMPORTRANGE(""https://docs.google.com/spreadsheets/d/14Bd19lYaqBhU8_DElYkX7l4wRkHqqCUFNJY4AfY3kHU/edit?usp=sharing  #gid=0"",""фіз особи new!relations_name""),6,FALSE)
,
(IF
(
G11380=""юридична особа""
,
VLOO"&amp;"KUP(H11380,IMPORTRANGE(""https://docs.google.com/spreadsheets/d/14Bd19lYaqBhU8_DElYkX7l4wRkHqqCUFNJY4AfY3kHU/edit?usp=sharing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379" s="7" t="s">
        <v>23</v>
      </c>
    </row>
    <row r="11380" spans="1:10" ht="13.2">
      <c r="A11380" s="7">
        <v>11379</v>
      </c>
      <c r="B11380" s="7">
        <v>1</v>
      </c>
      <c r="C11380" s="7" t="s">
        <v>10</v>
      </c>
      <c r="D11380" s="7">
        <v>17654</v>
      </c>
      <c r="E11380" s="7" t="s">
        <v>23</v>
      </c>
      <c r="F11380" s="8" t="str">
        <f ca="1">IFERROR(__xludf.DUMMYFUNCTION("IF
(
C11381=""фізична особа""
,
VLOOKUP(D11381,IMPORTRANGE(""https://docs.google.com/spreadsheets/d/14Bd19lYaqBhU8_DElYkX7l4wRkHqqCUFNJY4AfY3kHU/edit?usp=sharing  #gid=0"",""фіз особи new!relations_name""),6,FALSE)
,
(IF
(
C11381=""юридична особа""
,
VLOO"&amp;"KUP(D11381,IMPORTRANGE(""https://docs.google.com/spreadsheets/d/14Bd19lYaqBhU8_DElYkX7l4wRkHqqCUFNJY4AfY3kHU/edit?usp=sharing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0" s="7" t="s">
        <v>10</v>
      </c>
      <c r="H11380" s="7">
        <v>17657</v>
      </c>
      <c r="I11380" s="8" t="str">
        <f ca="1">IFERROR(__xludf.DUMMYFUNCTION("IF
(
G11381=""фізична особа""
,
VLOOKUP(H11381,IMPORTRANGE(""https://docs.google.com/spreadsheets/d/14Bd19lYaqBhU8_DElYkX7l4wRkHqqCUFNJY4AfY3kHU/edit?usp=sharing  #gid=0"",""фіз особи new!relations_name""),6,FALSE)
,
(IF
(
G11381=""юридична особа""
,
VLOO"&amp;"KUP(H11381,IMPORTRANGE(""https://docs.google.com/spreadsheets/d/14Bd19lYaqBhU8_DElYkX7l4wRkHqqCUFNJY4AfY3kHU/edit?usp=sharing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380" s="7" t="s">
        <v>23</v>
      </c>
    </row>
    <row r="11381" spans="1:10" ht="13.2">
      <c r="A11381" s="7">
        <v>11380</v>
      </c>
      <c r="B11381" s="7">
        <v>1</v>
      </c>
      <c r="C11381" s="7" t="s">
        <v>10</v>
      </c>
      <c r="D11381" s="7">
        <v>17654</v>
      </c>
      <c r="E11381" s="7" t="s">
        <v>23</v>
      </c>
      <c r="F11381" s="8" t="str">
        <f ca="1">IFERROR(__xludf.DUMMYFUNCTION("IF
(
C11382=""фізична особа""
,
VLOOKUP(D11382,IMPORTRANGE(""https://docs.google.com/spreadsheets/d/14Bd19lYaqBhU8_DElYkX7l4wRkHqqCUFNJY4AfY3kHU/edit?usp=sharing  #gid=0"",""фіз особи new!relations_name""),6,FALSE)
,
(IF
(
C11382=""юридична особа""
,
VLOO"&amp;"KUP(D11382,IMPORTRANGE(""https://docs.google.com/spreadsheets/d/14Bd19lYaqBhU8_DElYkX7l4wRkHqqCUFNJY4AfY3kHU/edit?usp=sharing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1" s="7" t="s">
        <v>10</v>
      </c>
      <c r="H11381" s="7">
        <v>17655</v>
      </c>
      <c r="I11381" s="8" t="str">
        <f ca="1">IFERROR(__xludf.DUMMYFUNCTION("IF
(
G11382=""фізична особа""
,
VLOOKUP(H11382,IMPORTRANGE(""https://docs.google.com/spreadsheets/d/14Bd19lYaqBhU8_DElYkX7l4wRkHqqCUFNJY4AfY3kHU/edit?usp=sharing  #gid=0"",""фіз особи new!relations_name""),6,FALSE)
,
(IF
(
G11382=""юридична особа""
,
VLOO"&amp;"KUP(H11382,IMPORTRANGE(""https://docs.google.com/spreadsheets/d/14Bd19lYaqBhU8_DElYkX7l4wRkHqqCUFNJY4AfY3kHU/edit?usp=sharing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381" s="7" t="s">
        <v>23</v>
      </c>
    </row>
    <row r="11382" spans="1:10" ht="13.2">
      <c r="A11382" s="7">
        <v>11381</v>
      </c>
      <c r="B11382" s="7">
        <v>1</v>
      </c>
      <c r="C11382" s="7" t="s">
        <v>10</v>
      </c>
      <c r="D11382" s="7">
        <v>17654</v>
      </c>
      <c r="E11382" s="7" t="s">
        <v>23</v>
      </c>
      <c r="F11382" s="8" t="str">
        <f ca="1">IFERROR(__xludf.DUMMYFUNCTION("IF
(
C11383=""фізична особа""
,
VLOOKUP(D11383,IMPORTRANGE(""https://docs.google.com/spreadsheets/d/14Bd19lYaqBhU8_DElYkX7l4wRkHqqCUFNJY4AfY3kHU/edit?usp=sharing  #gid=0"",""фіз особи new!relations_name""),6,FALSE)
,
(IF
(
C11383=""юридична особа""
,
VLOO"&amp;"KUP(D11383,IMPORTRANGE(""https://docs.google.com/spreadsheets/d/14Bd19lYaqBhU8_DElYkX7l4wRkHqqCUFNJY4AfY3kHU/edit?usp=sharing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2" s="7" t="s">
        <v>10</v>
      </c>
      <c r="H11382" s="7">
        <v>17666</v>
      </c>
      <c r="I11382" s="8" t="str">
        <f ca="1">IFERROR(__xludf.DUMMYFUNCTION("IF
(
G11383=""фізична особа""
,
VLOOKUP(H11383,IMPORTRANGE(""https://docs.google.com/spreadsheets/d/14Bd19lYaqBhU8_DElYkX7l4wRkHqqCUFNJY4AfY3kHU/edit?usp=sharing  #gid=0"",""фіз особи new!relations_name""),6,FALSE)
,
(IF
(
G11383=""юридична особа""
,
VLOO"&amp;"KUP(H11383,IMPORTRANGE(""https://docs.google.com/spreadsheets/d/14Bd19lYaqBhU8_DElYkX7l4wRkHqqCUFNJY4AfY3kHU/edit?usp=sharing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382" s="7" t="s">
        <v>23</v>
      </c>
    </row>
    <row r="11383" spans="1:10" ht="13.2">
      <c r="A11383" s="7">
        <v>11382</v>
      </c>
      <c r="B11383" s="7">
        <v>1</v>
      </c>
      <c r="C11383" s="7" t="s">
        <v>10</v>
      </c>
      <c r="D11383" s="7">
        <v>17654</v>
      </c>
      <c r="E11383" s="7" t="s">
        <v>23</v>
      </c>
      <c r="F11383" s="8" t="str">
        <f ca="1">IFERROR(__xludf.DUMMYFUNCTION("IF
(
C11384=""фізична особа""
,
VLOOKUP(D11384,IMPORTRANGE(""https://docs.google.com/spreadsheets/d/14Bd19lYaqBhU8_DElYkX7l4wRkHqqCUFNJY4AfY3kHU/edit?usp=sharing  #gid=0"",""фіз особи new!relations_name""),6,FALSE)
,
(IF
(
C11384=""юридична особа""
,
VLOO"&amp;"KUP(D11384,IMPORTRANGE(""https://docs.google.com/spreadsheets/d/14Bd19lYaqBhU8_DElYkX7l4wRkHqqCUFNJY4AfY3kHU/edit?usp=sharing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3" s="7" t="s">
        <v>10</v>
      </c>
      <c r="H11383" s="7">
        <v>17664</v>
      </c>
      <c r="I11383" s="8" t="str">
        <f ca="1">IFERROR(__xludf.DUMMYFUNCTION("IF
(
G11384=""фізична особа""
,
VLOOKUP(H11384,IMPORTRANGE(""https://docs.google.com/spreadsheets/d/14Bd19lYaqBhU8_DElYkX7l4wRkHqqCUFNJY4AfY3kHU/edit?usp=sharing  #gid=0"",""фіз особи new!relations_name""),6,FALSE)
,
(IF
(
G11384=""юридична особа""
,
VLOO"&amp;"KUP(H11384,IMPORTRANGE(""https://docs.google.com/spreadsheets/d/14Bd19lYaqBhU8_DElYkX7l4wRkHqqCUFNJY4AfY3kHU/edit?usp=sharing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383" s="7" t="s">
        <v>23</v>
      </c>
    </row>
    <row r="11384" spans="1:10" ht="13.2">
      <c r="A11384" s="7">
        <v>11383</v>
      </c>
      <c r="B11384" s="7">
        <v>1</v>
      </c>
      <c r="C11384" s="7" t="s">
        <v>10</v>
      </c>
      <c r="D11384" s="7">
        <v>17654</v>
      </c>
      <c r="E11384" s="7" t="s">
        <v>23</v>
      </c>
      <c r="F11384" s="8" t="str">
        <f ca="1">IFERROR(__xludf.DUMMYFUNCTION("IF
(
C11385=""фізична особа""
,
VLOOKUP(D11385,IMPORTRANGE(""https://docs.google.com/spreadsheets/d/14Bd19lYaqBhU8_DElYkX7l4wRkHqqCUFNJY4AfY3kHU/edit?usp=sharing  #gid=0"",""фіз особи new!relations_name""),6,FALSE)
,
(IF
(
C11385=""юридична особа""
,
VLOO"&amp;"KUP(D11385,IMPORTRANGE(""https://docs.google.com/spreadsheets/d/14Bd19lYaqBhU8_DElYkX7l4wRkHqqCUFNJY4AfY3kHU/edit?usp=sharing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4" s="7" t="s">
        <v>10</v>
      </c>
      <c r="H11384" s="7">
        <v>17665</v>
      </c>
      <c r="I11384" s="8" t="str">
        <f ca="1">IFERROR(__xludf.DUMMYFUNCTION("IF
(
G11385=""фізична особа""
,
VLOOKUP(H11385,IMPORTRANGE(""https://docs.google.com/spreadsheets/d/14Bd19lYaqBhU8_DElYkX7l4wRkHqqCUFNJY4AfY3kHU/edit?usp=sharing  #gid=0"",""фіз особи new!relations_name""),6,FALSE)
,
(IF
(
G11385=""юридична особа""
,
VLOO"&amp;"KUP(H11385,IMPORTRANGE(""https://docs.google.com/spreadsheets/d/14Bd19lYaqBhU8_DElYkX7l4wRkHqqCUFNJY4AfY3kHU/edit?usp=sharing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384" s="7" t="s">
        <v>23</v>
      </c>
    </row>
    <row r="11385" spans="1:10" ht="13.2">
      <c r="A11385" s="7">
        <v>11384</v>
      </c>
      <c r="B11385" s="7">
        <v>1</v>
      </c>
      <c r="C11385" s="7" t="s">
        <v>10</v>
      </c>
      <c r="D11385" s="7">
        <v>17654</v>
      </c>
      <c r="E11385" s="7" t="s">
        <v>23</v>
      </c>
      <c r="F11385" s="8" t="str">
        <f ca="1">IFERROR(__xludf.DUMMYFUNCTION("IF
(
C11386=""фізична особа""
,
VLOOKUP(D11386,IMPORTRANGE(""https://docs.google.com/spreadsheets/d/14Bd19lYaqBhU8_DElYkX7l4wRkHqqCUFNJY4AfY3kHU/edit?usp=sharing  #gid=0"",""фіз особи new!relations_name""),6,FALSE)
,
(IF
(
C11386=""юридична особа""
,
VLOO"&amp;"KUP(D11386,IMPORTRANGE(""https://docs.google.com/spreadsheets/d/14Bd19lYaqBhU8_DElYkX7l4wRkHqqCUFNJY4AfY3kHU/edit?usp=sharing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5" s="7" t="s">
        <v>10</v>
      </c>
      <c r="H11385" s="7">
        <v>17661</v>
      </c>
      <c r="I11385" s="8" t="str">
        <f ca="1">IFERROR(__xludf.DUMMYFUNCTION("IF
(
G11386=""фізична особа""
,
VLOOKUP(H11386,IMPORTRANGE(""https://docs.google.com/spreadsheets/d/14Bd19lYaqBhU8_DElYkX7l4wRkHqqCUFNJY4AfY3kHU/edit?usp=sharing  #gid=0"",""фіз особи new!relations_name""),6,FALSE)
,
(IF
(
G11386=""юридична особа""
,
VLOO"&amp;"KUP(H11386,IMPORTRANGE(""https://docs.google.com/spreadsheets/d/14Bd19lYaqBhU8_DElYkX7l4wRkHqqCUFNJY4AfY3kHU/edit?usp=sharing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385" s="7" t="s">
        <v>23</v>
      </c>
    </row>
    <row r="11386" spans="1:10" ht="13.2">
      <c r="A11386" s="7">
        <v>11385</v>
      </c>
      <c r="B11386" s="7">
        <v>1</v>
      </c>
      <c r="C11386" s="7" t="s">
        <v>10</v>
      </c>
      <c r="D11386" s="7">
        <v>17654</v>
      </c>
      <c r="E11386" s="7" t="s">
        <v>23</v>
      </c>
      <c r="F11386" s="8" t="str">
        <f ca="1">IFERROR(__xludf.DUMMYFUNCTION("IF
(
C11387=""фізична особа""
,
VLOOKUP(D11387,IMPORTRANGE(""https://docs.google.com/spreadsheets/d/14Bd19lYaqBhU8_DElYkX7l4wRkHqqCUFNJY4AfY3kHU/edit?usp=sharing  #gid=0"",""фіз особи new!relations_name""),6,FALSE)
,
(IF
(
C11387=""юридична особа""
,
VLOO"&amp;"KUP(D11387,IMPORTRANGE(""https://docs.google.com/spreadsheets/d/14Bd19lYaqBhU8_DElYkX7l4wRkHqqCUFNJY4AfY3kHU/edit?usp=sharing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6" s="7" t="s">
        <v>10</v>
      </c>
      <c r="H11386" s="7">
        <v>17660</v>
      </c>
      <c r="I11386" s="8" t="str">
        <f ca="1">IFERROR(__xludf.DUMMYFUNCTION("IF
(
G11387=""фізична особа""
,
VLOOKUP(H11387,IMPORTRANGE(""https://docs.google.com/spreadsheets/d/14Bd19lYaqBhU8_DElYkX7l4wRkHqqCUFNJY4AfY3kHU/edit?usp=sharing  #gid=0"",""фіз особи new!relations_name""),6,FALSE)
,
(IF
(
G11387=""юридична особа""
,
VLOO"&amp;"KUP(H11387,IMPORTRANGE(""https://docs.google.com/spreadsheets/d/14Bd19lYaqBhU8_DElYkX7l4wRkHqqCUFNJY4AfY3kHU/edit?usp=sharing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386" s="7" t="s">
        <v>23</v>
      </c>
    </row>
    <row r="11387" spans="1:10" ht="13.2">
      <c r="A11387" s="7">
        <v>11386</v>
      </c>
      <c r="B11387" s="7">
        <v>1</v>
      </c>
      <c r="C11387" s="7" t="s">
        <v>10</v>
      </c>
      <c r="D11387" s="7">
        <v>17654</v>
      </c>
      <c r="E11387" s="7" t="s">
        <v>23</v>
      </c>
      <c r="F11387" s="8" t="str">
        <f ca="1">IFERROR(__xludf.DUMMYFUNCTION("IF
(
C11388=""фізична особа""
,
VLOOKUP(D11388,IMPORTRANGE(""https://docs.google.com/spreadsheets/d/14Bd19lYaqBhU8_DElYkX7l4wRkHqqCUFNJY4AfY3kHU/edit?usp=sharing  #gid=0"",""фіз особи new!relations_name""),6,FALSE)
,
(IF
(
C11388=""юридична особа""
,
VLOO"&amp;"KUP(D11388,IMPORTRANGE(""https://docs.google.com/spreadsheets/d/14Bd19lYaqBhU8_DElYkX7l4wRkHqqCUFNJY4AfY3kHU/edit?usp=sharing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7" s="7" t="s">
        <v>10</v>
      </c>
      <c r="H11387" s="7">
        <v>17663</v>
      </c>
      <c r="I11387" s="8" t="str">
        <f ca="1">IFERROR(__xludf.DUMMYFUNCTION("IF
(
G11388=""фізична особа""
,
VLOOKUP(H11388,IMPORTRANGE(""https://docs.google.com/spreadsheets/d/14Bd19lYaqBhU8_DElYkX7l4wRkHqqCUFNJY4AfY3kHU/edit?usp=sharing  #gid=0"",""фіз особи new!relations_name""),6,FALSE)
,
(IF
(
G11388=""юридична особа""
,
VLOO"&amp;"KUP(H11388,IMPORTRANGE(""https://docs.google.com/spreadsheets/d/14Bd19lYaqBhU8_DElYkX7l4wRkHqqCUFNJY4AfY3kHU/edit?usp=sharing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387" s="7" t="s">
        <v>23</v>
      </c>
    </row>
    <row r="11388" spans="1:10" ht="13.2">
      <c r="A11388" s="7">
        <v>11387</v>
      </c>
      <c r="B11388" s="7">
        <v>1</v>
      </c>
      <c r="C11388" s="7" t="s">
        <v>10</v>
      </c>
      <c r="D11388" s="7">
        <v>17654</v>
      </c>
      <c r="E11388" s="7" t="s">
        <v>23</v>
      </c>
      <c r="F11388" s="8" t="str">
        <f ca="1">IFERROR(__xludf.DUMMYFUNCTION("IF
(
C11389=""фізична особа""
,
VLOOKUP(D11389,IMPORTRANGE(""https://docs.google.com/spreadsheets/d/14Bd19lYaqBhU8_DElYkX7l4wRkHqqCUFNJY4AfY3kHU/edit?usp=sharing  #gid=0"",""фіз особи new!relations_name""),6,FALSE)
,
(IF
(
C11389=""юридична особа""
,
VLOO"&amp;"KUP(D11389,IMPORTRANGE(""https://docs.google.com/spreadsheets/d/14Bd19lYaqBhU8_DElYkX7l4wRkHqqCUFNJY4AfY3kHU/edit?usp=sharing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8" s="7" t="s">
        <v>10</v>
      </c>
      <c r="H11388" s="7">
        <v>17662</v>
      </c>
      <c r="I11388" s="8" t="str">
        <f ca="1">IFERROR(__xludf.DUMMYFUNCTION("IF
(
G11389=""фізична особа""
,
VLOOKUP(H11389,IMPORTRANGE(""https://docs.google.com/spreadsheets/d/14Bd19lYaqBhU8_DElYkX7l4wRkHqqCUFNJY4AfY3kHU/edit?usp=sharing  #gid=0"",""фіз особи new!relations_name""),6,FALSE)
,
(IF
(
G11389=""юридична особа""
,
VLOO"&amp;"KUP(H11389,IMPORTRANGE(""https://docs.google.com/spreadsheets/d/14Bd19lYaqBhU8_DElYkX7l4wRkHqqCUFNJY4AfY3kHU/edit?usp=sharing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388" s="7" t="s">
        <v>23</v>
      </c>
    </row>
    <row r="11389" spans="1:10" ht="13.2">
      <c r="A11389" s="7">
        <v>11388</v>
      </c>
      <c r="B11389" s="7">
        <v>1</v>
      </c>
      <c r="C11389" s="7" t="s">
        <v>10</v>
      </c>
      <c r="D11389" s="7">
        <v>17654</v>
      </c>
      <c r="E11389" s="7" t="s">
        <v>23</v>
      </c>
      <c r="F11389" s="8" t="str">
        <f ca="1">IFERROR(__xludf.DUMMYFUNCTION("IF
(
C11390=""фізична особа""
,
VLOOKUP(D11390,IMPORTRANGE(""https://docs.google.com/spreadsheets/d/14Bd19lYaqBhU8_DElYkX7l4wRkHqqCUFNJY4AfY3kHU/edit?usp=sharing  #gid=0"",""фіз особи new!relations_name""),6,FALSE)
,
(IF
(
C11390=""юридична особа""
,
VLOO"&amp;"KUP(D11390,IMPORTRANGE(""https://docs.google.com/spreadsheets/d/14Bd19lYaqBhU8_DElYkX7l4wRkHqqCUFNJY4AfY3kHU/edit?usp=sharing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89" s="7" t="s">
        <v>10</v>
      </c>
      <c r="H11389" s="7">
        <v>0</v>
      </c>
      <c r="I11389" s="8" t="str">
        <f ca="1">IFERROR(__xludf.DUMMYFUNCTION("IF
(
G11390=""фізична особа""
,
VLOOKUP(H11390,IMPORTRANGE(""https://docs.google.com/spreadsheets/d/14Bd19lYaqBhU8_DElYkX7l4wRkHqqCUFNJY4AfY3kHU/edit?usp=sharing  #gid=0"",""фіз особи new!relations_name""),6,FALSE)
,
(IF
(
G11390=""юридична особа""
,
VLOO"&amp;"KUP(H11390,IMPORTRANGE(""https://docs.google.com/spreadsheets/d/14Bd19lYaqBhU8_DElYkX7l4wRkHqqCUFNJY4AfY3kHU/edit?usp=sharing  #gid=0"",""фіз особи new!relations_name_uo""),7,FALSE)
,
)
))"),"#N/A")</f>
        <v>#N/A</v>
      </c>
      <c r="J11389" s="7" t="s">
        <v>23</v>
      </c>
    </row>
    <row r="11390" spans="1:10" ht="13.2">
      <c r="A11390" s="7">
        <v>11389</v>
      </c>
      <c r="B11390" s="7">
        <v>1</v>
      </c>
      <c r="C11390" s="7" t="s">
        <v>10</v>
      </c>
      <c r="D11390" s="7">
        <v>17654</v>
      </c>
      <c r="E11390" s="7" t="s">
        <v>23</v>
      </c>
      <c r="F11390" s="8" t="str">
        <f ca="1">IFERROR(__xludf.DUMMYFUNCTION("IF
(
C11391=""фізична особа""
,
VLOOKUP(D11391,IMPORTRANGE(""https://docs.google.com/spreadsheets/d/14Bd19lYaqBhU8_DElYkX7l4wRkHqqCUFNJY4AfY3kHU/edit?usp=sharing  #gid=0"",""фіз особи new!relations_name""),6,FALSE)
,
(IF
(
C11391=""юридична особа""
,
VLOO"&amp;"KUP(D11391,IMPORTRANGE(""https://docs.google.com/spreadsheets/d/14Bd19lYaqBhU8_DElYkX7l4wRkHqqCUFNJY4AfY3kHU/edit?usp=sharing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90" s="7" t="s">
        <v>10</v>
      </c>
      <c r="H11390" s="7">
        <v>0</v>
      </c>
      <c r="I11390" s="8" t="str">
        <f ca="1">IFERROR(__xludf.DUMMYFUNCTION("IF
(
G11391=""фізична особа""
,
VLOOKUP(H11391,IMPORTRANGE(""https://docs.google.com/spreadsheets/d/14Bd19lYaqBhU8_DElYkX7l4wRkHqqCUFNJY4AfY3kHU/edit?usp=sharing  #gid=0"",""фіз особи new!relations_name""),6,FALSE)
,
(IF
(
G11391=""юридична особа""
,
VLOO"&amp;"KUP(H11391,IMPORTRANGE(""https://docs.google.com/spreadsheets/d/14Bd19lYaqBhU8_DElYkX7l4wRkHqqCUFNJY4AfY3kHU/edit?usp=sharing  #gid=0"",""фіз особи new!relations_name_uo""),7,FALSE)
,
)
))"),"#N/A")</f>
        <v>#N/A</v>
      </c>
      <c r="J11390" s="7" t="s">
        <v>23</v>
      </c>
    </row>
    <row r="11391" spans="1:10" ht="13.2">
      <c r="A11391" s="7">
        <v>11390</v>
      </c>
      <c r="B11391" s="7">
        <v>1</v>
      </c>
      <c r="C11391" s="7" t="s">
        <v>10</v>
      </c>
      <c r="D11391" s="7">
        <v>17654</v>
      </c>
      <c r="E11391" s="7" t="s">
        <v>23</v>
      </c>
      <c r="F11391" s="8" t="str">
        <f ca="1">IFERROR(__xludf.DUMMYFUNCTION("IF
(
C11392=""фізична особа""
,
VLOOKUP(D11392,IMPORTRANGE(""https://docs.google.com/spreadsheets/d/14Bd19lYaqBhU8_DElYkX7l4wRkHqqCUFNJY4AfY3kHU/edit?usp=sharing  #gid=0"",""фіз особи new!relations_name""),6,FALSE)
,
(IF
(
C11392=""юридична особа""
,
VLOO"&amp;"KUP(D11392,IMPORTRANGE(""https://docs.google.com/spreadsheets/d/14Bd19lYaqBhU8_DElYkX7l4wRkHqqCUFNJY4AfY3kHU/edit?usp=sharing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91" s="7" t="s">
        <v>10</v>
      </c>
      <c r="H11391" s="7">
        <v>0</v>
      </c>
      <c r="I11391" s="8" t="str">
        <f ca="1">IFERROR(__xludf.DUMMYFUNCTION("IF
(
G11392=""фізична особа""
,
VLOOKUP(H11392,IMPORTRANGE(""https://docs.google.com/spreadsheets/d/14Bd19lYaqBhU8_DElYkX7l4wRkHqqCUFNJY4AfY3kHU/edit?usp=sharing  #gid=0"",""фіз особи new!relations_name""),6,FALSE)
,
(IF
(
G11392=""юридична особа""
,
VLOO"&amp;"KUP(H11392,IMPORTRANGE(""https://docs.google.com/spreadsheets/d/14Bd19lYaqBhU8_DElYkX7l4wRkHqqCUFNJY4AfY3kHU/edit?usp=sharing  #gid=0"",""фіз особи new!relations_name_uo""),7,FALSE)
,
)
))"),"#N/A")</f>
        <v>#N/A</v>
      </c>
      <c r="J11391" s="7" t="s">
        <v>23</v>
      </c>
    </row>
    <row r="11392" spans="1:10" ht="13.2">
      <c r="A11392" s="7">
        <v>11391</v>
      </c>
      <c r="B11392" s="7">
        <v>1</v>
      </c>
      <c r="C11392" s="7" t="s">
        <v>10</v>
      </c>
      <c r="D11392" s="7">
        <v>17654</v>
      </c>
      <c r="E11392" s="7" t="s">
        <v>23</v>
      </c>
      <c r="F11392" s="8" t="str">
        <f ca="1">IFERROR(__xludf.DUMMYFUNCTION("IF
(
C11393=""фізична особа""
,
VLOOKUP(D11393,IMPORTRANGE(""https://docs.google.com/spreadsheets/d/14Bd19lYaqBhU8_DElYkX7l4wRkHqqCUFNJY4AfY3kHU/edit?usp=sharing  #gid=0"",""фіз особи new!relations_name""),6,FALSE)
,
(IF
(
C11393=""юридична особа""
,
VLOO"&amp;"KUP(D11393,IMPORTRANGE(""https://docs.google.com/spreadsheets/d/14Bd19lYaqBhU8_DElYkX7l4wRkHqqCUFNJY4AfY3kHU/edit?usp=sharing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92" s="7" t="s">
        <v>10</v>
      </c>
      <c r="H11392" s="7">
        <v>0</v>
      </c>
      <c r="I11392" s="8" t="str">
        <f ca="1">IFERROR(__xludf.DUMMYFUNCTION("IF
(
G11393=""фізична особа""
,
VLOOKUP(H11393,IMPORTRANGE(""https://docs.google.com/spreadsheets/d/14Bd19lYaqBhU8_DElYkX7l4wRkHqqCUFNJY4AfY3kHU/edit?usp=sharing  #gid=0"",""фіз особи new!relations_name""),6,FALSE)
,
(IF
(
G11393=""юридична особа""
,
VLOO"&amp;"KUP(H11393,IMPORTRANGE(""https://docs.google.com/spreadsheets/d/14Bd19lYaqBhU8_DElYkX7l4wRkHqqCUFNJY4AfY3kHU/edit?usp=sharing  #gid=0"",""фіз особи new!relations_name_uo""),7,FALSE)
,
)
))"),"#N/A")</f>
        <v>#N/A</v>
      </c>
      <c r="J11392" s="7" t="s">
        <v>23</v>
      </c>
    </row>
    <row r="11393" spans="1:10" ht="13.2">
      <c r="A11393" s="7">
        <v>11392</v>
      </c>
      <c r="B11393" s="7">
        <v>1</v>
      </c>
      <c r="C11393" s="7" t="s">
        <v>10</v>
      </c>
      <c r="D11393" s="7">
        <v>17654</v>
      </c>
      <c r="E11393" s="7" t="s">
        <v>23</v>
      </c>
      <c r="F11393" s="8" t="str">
        <f ca="1">IFERROR(__xludf.DUMMYFUNCTION("IF
(
C11394=""фізична особа""
,
VLOOKUP(D11394,IMPORTRANGE(""https://docs.google.com/spreadsheets/d/14Bd19lYaqBhU8_DElYkX7l4wRkHqqCUFNJY4AfY3kHU/edit?usp=sharing  #gid=0"",""фіз особи new!relations_name""),6,FALSE)
,
(IF
(
C11394=""юридична особа""
,
VLOO"&amp;"KUP(D11394,IMPORTRANGE(""https://docs.google.com/spreadsheets/d/14Bd19lYaqBhU8_DElYkX7l4wRkHqqCUFNJY4AfY3kHU/edit?usp=sharing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93" s="7" t="s">
        <v>10</v>
      </c>
      <c r="H11393" s="7">
        <v>0</v>
      </c>
      <c r="I11393" s="8" t="str">
        <f ca="1">IFERROR(__xludf.DUMMYFUNCTION("IF
(
G11394=""фізична особа""
,
VLOOKUP(H11394,IMPORTRANGE(""https://docs.google.com/spreadsheets/d/14Bd19lYaqBhU8_DElYkX7l4wRkHqqCUFNJY4AfY3kHU/edit?usp=sharing  #gid=0"",""фіз особи new!relations_name""),6,FALSE)
,
(IF
(
G11394=""юридична особа""
,
VLOO"&amp;"KUP(H11394,IMPORTRANGE(""https://docs.google.com/spreadsheets/d/14Bd19lYaqBhU8_DElYkX7l4wRkHqqCUFNJY4AfY3kHU/edit?usp=sharing  #gid=0"",""фіз особи new!relations_name_uo""),7,FALSE)
,
)
))"),"#N/A")</f>
        <v>#N/A</v>
      </c>
      <c r="J11393" s="7" t="s">
        <v>23</v>
      </c>
    </row>
    <row r="11394" spans="1:10" ht="13.2">
      <c r="A11394" s="7">
        <v>11393</v>
      </c>
      <c r="B11394" s="7">
        <v>1</v>
      </c>
      <c r="C11394" s="7" t="s">
        <v>10</v>
      </c>
      <c r="D11394" s="7">
        <v>17654</v>
      </c>
      <c r="E11394" s="7" t="s">
        <v>23</v>
      </c>
      <c r="F11394" s="8" t="str">
        <f ca="1">IFERROR(__xludf.DUMMYFUNCTION("IF
(
C11395=""фізична особа""
,
VLOOKUP(D11395,IMPORTRANGE(""https://docs.google.com/spreadsheets/d/14Bd19lYaqBhU8_DElYkX7l4wRkHqqCUFNJY4AfY3kHU/edit?usp=sharing  #gid=0"",""фіз особи new!relations_name""),6,FALSE)
,
(IF
(
C11395=""юридична особа""
,
VLOO"&amp;"KUP(D11395,IMPORTRANGE(""https://docs.google.com/spreadsheets/d/14Bd19lYaqBhU8_DElYkX7l4wRkHqqCUFNJY4AfY3kHU/edit?usp=sharing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394" s="7" t="s">
        <v>10</v>
      </c>
      <c r="H11394" s="7">
        <v>23631</v>
      </c>
      <c r="I11394" s="8" t="str">
        <f ca="1">IFERROR(__xludf.DUMMYFUNCTION("IF
(
G11395=""фізична особа""
,
VLOOKUP(H11395,IMPORTRANGE(""https://docs.google.com/spreadsheets/d/14Bd19lYaqBhU8_DElYkX7l4wRkHqqCUFNJY4AfY3kHU/edit?usp=sharing  #gid=0"",""фіз особи new!relations_name""),6,FALSE)
,
(IF
(
G11395=""юридична особа""
,
VLOO"&amp;"KUP(H11395,IMPORTRANGE(""https://docs.google.com/spreadsheets/d/14Bd19lYaqBhU8_DElYkX7l4wRkHqqCUFNJY4AfY3kHU/edit?usp=sharing  #gid=0"",""фіз особи new!relations_name_uo""),7,FALSE)
,
)
))"),"ЧЕТВЕРТНОЙ Олег Борисович")</f>
        <v>ЧЕТВЕРТНОЙ Олег Борисович</v>
      </c>
      <c r="J11394" s="7" t="s">
        <v>23</v>
      </c>
    </row>
    <row r="11395" spans="1:10" ht="13.2">
      <c r="A11395" s="7">
        <v>11394</v>
      </c>
      <c r="B11395" s="7">
        <v>1</v>
      </c>
      <c r="C11395" s="7" t="s">
        <v>10</v>
      </c>
      <c r="D11395" s="7">
        <v>17655</v>
      </c>
      <c r="E11395" s="7" t="s">
        <v>23</v>
      </c>
      <c r="F11395" s="8" t="str">
        <f ca="1">IFERROR(__xludf.DUMMYFUNCTION("IF
(
C11396=""фізична особа""
,
VLOOKUP(D11396,IMPORTRANGE(""https://docs.google.com/spreadsheets/d/14Bd19lYaqBhU8_DElYkX7l4wRkHqqCUFNJY4AfY3kHU/edit?usp=sharing  #gid=0"",""фіз особи new!relations_name""),6,FALSE)
,
(IF
(
C11396=""юридична особа""
,
VLOO"&amp;"KUP(D11396,IMPORTRANGE(""https://docs.google.com/spreadsheets/d/14Bd19lYaqBhU8_DElYkX7l4wRkHqqCUFNJY4AfY3kHU/edit?usp=sharing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395" s="7" t="s">
        <v>10</v>
      </c>
      <c r="H11395" s="7">
        <v>23632</v>
      </c>
      <c r="I11395" s="8" t="str">
        <f ca="1">IFERROR(__xludf.DUMMYFUNCTION("IF
(
G11396=""фізична особа""
,
VLOOKUP(H11396,IMPORTRANGE(""https://docs.google.com/spreadsheets/d/14Bd19lYaqBhU8_DElYkX7l4wRkHqqCUFNJY4AfY3kHU/edit?usp=sharing  #gid=0"",""фіз особи new!relations_name""),6,FALSE)
,
(IF
(
G11396=""юридична особа""
,
VLOO"&amp;"KUP(H11396,IMPORTRANGE(""https://docs.google.com/spreadsheets/d/14Bd19lYaqBhU8_DElYkX7l4wRkHqqCUFNJY4AfY3kHU/edit?usp=sharing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395" s="7" t="s">
        <v>23</v>
      </c>
    </row>
    <row r="11396" spans="1:10" ht="13.2">
      <c r="A11396" s="7">
        <v>11395</v>
      </c>
      <c r="B11396" s="7">
        <v>1</v>
      </c>
      <c r="C11396" s="7" t="s">
        <v>10</v>
      </c>
      <c r="D11396" s="7">
        <v>17655</v>
      </c>
      <c r="E11396" s="7" t="s">
        <v>23</v>
      </c>
      <c r="F11396" s="8" t="str">
        <f ca="1">IFERROR(__xludf.DUMMYFUNCTION("IF
(
C11397=""фізична особа""
,
VLOOKUP(D11397,IMPORTRANGE(""https://docs.google.com/spreadsheets/d/14Bd19lYaqBhU8_DElYkX7l4wRkHqqCUFNJY4AfY3kHU/edit?usp=sharing  #gid=0"",""фіз особи new!relations_name""),6,FALSE)
,
(IF
(
C11397=""юридична особа""
,
VLOO"&amp;"KUP(D11397,IMPORTRANGE(""https://docs.google.com/spreadsheets/d/14Bd19lYaqBhU8_DElYkX7l4wRkHqqCUFNJY4AfY3kHU/edit?usp=sharing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396" s="7" t="s">
        <v>10</v>
      </c>
      <c r="H11396" s="7">
        <v>23633</v>
      </c>
      <c r="I11396" s="8" t="str">
        <f ca="1">IFERROR(__xludf.DUMMYFUNCTION("IF
(
G11397=""фізична особа""
,
VLOOKUP(H11397,IMPORTRANGE(""https://docs.google.com/spreadsheets/d/14Bd19lYaqBhU8_DElYkX7l4wRkHqqCUFNJY4AfY3kHU/edit?usp=sharing  #gid=0"",""фіз особи new!relations_name""),6,FALSE)
,
(IF
(
G11397=""юридична особа""
,
VLOO"&amp;"KUP(H11397,IMPORTRANGE(""https://docs.google.com/spreadsheets/d/14Bd19lYaqBhU8_DElYkX7l4wRkHqqCUFNJY4AfY3kHU/edit?usp=sharing  #gid=0"",""фіз особи new!relations_name_uo""),7,FALSE)
,
)
))"),"СТАТКЕВИЧ Андрій Геннадійович")</f>
        <v>СТАТКЕВИЧ Андрій Геннадійович</v>
      </c>
      <c r="J11396" s="7" t="s">
        <v>23</v>
      </c>
    </row>
    <row r="11397" spans="1:10" ht="13.2">
      <c r="A11397" s="7">
        <v>11396</v>
      </c>
      <c r="B11397" s="7">
        <v>1</v>
      </c>
      <c r="C11397" s="7" t="s">
        <v>10</v>
      </c>
      <c r="D11397" s="7">
        <v>17655</v>
      </c>
      <c r="E11397" s="7" t="s">
        <v>23</v>
      </c>
      <c r="F11397" s="8" t="str">
        <f ca="1">IFERROR(__xludf.DUMMYFUNCTION("IF
(
C11398=""фізична особа""
,
VLOOKUP(D11398,IMPORTRANGE(""https://docs.google.com/spreadsheets/d/14Bd19lYaqBhU8_DElYkX7l4wRkHqqCUFNJY4AfY3kHU/edit?usp=sharing  #gid=0"",""фіз особи new!relations_name""),6,FALSE)
,
(IF
(
C11398=""юридична особа""
,
VLOO"&amp;"KUP(D11398,IMPORTRANGE(""https://docs.google.com/spreadsheets/d/14Bd19lYaqBhU8_DElYkX7l4wRkHqqCUFNJY4AfY3kHU/edit?usp=sharing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397" s="7" t="s">
        <v>10</v>
      </c>
      <c r="H11397" s="7">
        <v>23634</v>
      </c>
      <c r="I11397" s="8" t="str">
        <f ca="1">IFERROR(__xludf.DUMMYFUNCTION("IF
(
G11398=""фізична особа""
,
VLOOKUP(H11398,IMPORTRANGE(""https://docs.google.com/spreadsheets/d/14Bd19lYaqBhU8_DElYkX7l4wRkHqqCUFNJY4AfY3kHU/edit?usp=sharing  #gid=0"",""фіз особи new!relations_name""),6,FALSE)
,
(IF
(
G11398=""юридична особа""
,
VLOO"&amp;"KUP(H11398,IMPORTRANGE(""https://docs.google.com/spreadsheets/d/14Bd19lYaqBhU8_DElYkX7l4wRkHqqCUFNJY4AfY3kHU/edit?usp=sharing  #gid=0"",""фіз особи new!relations_name_uo""),7,FALSE)
,
)
))"),"СТЕПАНОВ Едуард Іванович")</f>
        <v>СТЕПАНОВ Едуард Іванович</v>
      </c>
      <c r="J11397" s="7" t="s">
        <v>23</v>
      </c>
    </row>
    <row r="11398" spans="1:10" ht="13.2">
      <c r="A11398" s="7">
        <v>11397</v>
      </c>
      <c r="B11398" s="7">
        <v>1</v>
      </c>
      <c r="C11398" s="7" t="s">
        <v>10</v>
      </c>
      <c r="D11398" s="7">
        <v>17655</v>
      </c>
      <c r="E11398" s="7" t="s">
        <v>23</v>
      </c>
      <c r="F11398" s="8" t="str">
        <f ca="1">IFERROR(__xludf.DUMMYFUNCTION("IF
(
C11399=""фізична особа""
,
VLOOKUP(D11399,IMPORTRANGE(""https://docs.google.com/spreadsheets/d/14Bd19lYaqBhU8_DElYkX7l4wRkHqqCUFNJY4AfY3kHU/edit?usp=sharing  #gid=0"",""фіз особи new!relations_name""),6,FALSE)
,
(IF
(
C11399=""юридична особа""
,
VLOO"&amp;"KUP(D11399,IMPORTRANGE(""https://docs.google.com/spreadsheets/d/14Bd19lYaqBhU8_DElYkX7l4wRkHqqCUFNJY4AfY3kHU/edit?usp=sharing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398" s="7" t="s">
        <v>10</v>
      </c>
      <c r="H11398" s="7">
        <v>17656</v>
      </c>
      <c r="I11398" s="8" t="str">
        <f ca="1">IFERROR(__xludf.DUMMYFUNCTION("IF
(
G11399=""фізична особа""
,
VLOOKUP(H11399,IMPORTRANGE(""https://docs.google.com/spreadsheets/d/14Bd19lYaqBhU8_DElYkX7l4wRkHqqCUFNJY4AfY3kHU/edit?usp=sharing  #gid=0"",""фіз особи new!relations_name""),6,FALSE)
,
(IF
(
G11399=""юридична особа""
,
VLOO"&amp;"KUP(H11399,IMPORTRANGE(""https://docs.google.com/spreadsheets/d/14Bd19lYaqBhU8_DElYkX7l4wRkHqqCUFNJY4AfY3kHU/edit?usp=sharing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398" s="7" t="s">
        <v>23</v>
      </c>
    </row>
    <row r="11399" spans="1:10" ht="13.2">
      <c r="A11399" s="7">
        <v>11398</v>
      </c>
      <c r="B11399" s="7">
        <v>1</v>
      </c>
      <c r="C11399" s="7" t="s">
        <v>10</v>
      </c>
      <c r="D11399" s="7">
        <v>17655</v>
      </c>
      <c r="E11399" s="7" t="s">
        <v>23</v>
      </c>
      <c r="F11399" s="8" t="str">
        <f ca="1">IFERROR(__xludf.DUMMYFUNCTION("IF
(
C11400=""фізична особа""
,
VLOOKUP(D11400,IMPORTRANGE(""https://docs.google.com/spreadsheets/d/14Bd19lYaqBhU8_DElYkX7l4wRkHqqCUFNJY4AfY3kHU/edit?usp=sharing  #gid=0"",""фіз особи new!relations_name""),6,FALSE)
,
(IF
(
C11400=""юридична особа""
,
VLOO"&amp;"KUP(D11400,IMPORTRANGE(""https://docs.google.com/spreadsheets/d/14Bd19lYaqBhU8_DElYkX7l4wRkHqqCUFNJY4AfY3kHU/edit?usp=sharing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399" s="7" t="s">
        <v>10</v>
      </c>
      <c r="H11399" s="7">
        <v>17658</v>
      </c>
      <c r="I11399" s="8" t="str">
        <f ca="1">IFERROR(__xludf.DUMMYFUNCTION("IF
(
G11400=""фізична особа""
,
VLOOKUP(H11400,IMPORTRANGE(""https://docs.google.com/spreadsheets/d/14Bd19lYaqBhU8_DElYkX7l4wRkHqqCUFNJY4AfY3kHU/edit?usp=sharing  #gid=0"",""фіз особи new!relations_name""),6,FALSE)
,
(IF
(
G11400=""юридична особа""
,
VLOO"&amp;"KUP(H11400,IMPORTRANGE(""https://docs.google.com/spreadsheets/d/14Bd19lYaqBhU8_DElYkX7l4wRkHqqCUFNJY4AfY3kHU/edit?usp=sharing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399" s="7" t="s">
        <v>23</v>
      </c>
    </row>
    <row r="11400" spans="1:10" ht="13.2">
      <c r="A11400" s="7">
        <v>11399</v>
      </c>
      <c r="B11400" s="7">
        <v>1</v>
      </c>
      <c r="C11400" s="7" t="s">
        <v>10</v>
      </c>
      <c r="D11400" s="7">
        <v>17655</v>
      </c>
      <c r="E11400" s="7" t="s">
        <v>23</v>
      </c>
      <c r="F11400" s="8" t="str">
        <f ca="1">IFERROR(__xludf.DUMMYFUNCTION("IF
(
C11401=""фізична особа""
,
VLOOKUP(D11401,IMPORTRANGE(""https://docs.google.com/spreadsheets/d/14Bd19lYaqBhU8_DElYkX7l4wRkHqqCUFNJY4AfY3kHU/edit?usp=sharing  #gid=0"",""фіз особи new!relations_name""),6,FALSE)
,
(IF
(
C11401=""юридична особа""
,
VLOO"&amp;"KUP(D11401,IMPORTRANGE(""https://docs.google.com/spreadsheets/d/14Bd19lYaqBhU8_DElYkX7l4wRkHqqCUFNJY4AfY3kHU/edit?usp=sharing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0" s="7" t="s">
        <v>10</v>
      </c>
      <c r="H11400" s="7">
        <v>17659</v>
      </c>
      <c r="I11400" s="8" t="str">
        <f ca="1">IFERROR(__xludf.DUMMYFUNCTION("IF
(
G11401=""фізична особа""
,
VLOOKUP(H11401,IMPORTRANGE(""https://docs.google.com/spreadsheets/d/14Bd19lYaqBhU8_DElYkX7l4wRkHqqCUFNJY4AfY3kHU/edit?usp=sharing  #gid=0"",""фіз особи new!relations_name""),6,FALSE)
,
(IF
(
G11401=""юридична особа""
,
VLOO"&amp;"KUP(H11401,IMPORTRANGE(""https://docs.google.com/spreadsheets/d/14Bd19lYaqBhU8_DElYkX7l4wRkHqqCUFNJY4AfY3kHU/edit?usp=sharing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00" s="7" t="s">
        <v>23</v>
      </c>
    </row>
    <row r="11401" spans="1:10" ht="13.2">
      <c r="A11401" s="7">
        <v>11400</v>
      </c>
      <c r="B11401" s="7">
        <v>1</v>
      </c>
      <c r="C11401" s="7" t="s">
        <v>10</v>
      </c>
      <c r="D11401" s="7">
        <v>17655</v>
      </c>
      <c r="E11401" s="7" t="s">
        <v>23</v>
      </c>
      <c r="F11401" s="8" t="str">
        <f ca="1">IFERROR(__xludf.DUMMYFUNCTION("IF
(
C11402=""фізична особа""
,
VLOOKUP(D11402,IMPORTRANGE(""https://docs.google.com/spreadsheets/d/14Bd19lYaqBhU8_DElYkX7l4wRkHqqCUFNJY4AfY3kHU/edit?usp=sharing  #gid=0"",""фіз особи new!relations_name""),6,FALSE)
,
(IF
(
C11402=""юридична особа""
,
VLOO"&amp;"KUP(D11402,IMPORTRANGE(""https://docs.google.com/spreadsheets/d/14Bd19lYaqBhU8_DElYkX7l4wRkHqqCUFNJY4AfY3kHU/edit?usp=sharing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1" s="7" t="s">
        <v>10</v>
      </c>
      <c r="H11401" s="7">
        <v>17657</v>
      </c>
      <c r="I11401" s="8" t="str">
        <f ca="1">IFERROR(__xludf.DUMMYFUNCTION("IF
(
G11402=""фізична особа""
,
VLOOKUP(H11402,IMPORTRANGE(""https://docs.google.com/spreadsheets/d/14Bd19lYaqBhU8_DElYkX7l4wRkHqqCUFNJY4AfY3kHU/edit?usp=sharing  #gid=0"",""фіз особи new!relations_name""),6,FALSE)
,
(IF
(
G11402=""юридична особа""
,
VLOO"&amp;"KUP(H11402,IMPORTRANGE(""https://docs.google.com/spreadsheets/d/14Bd19lYaqBhU8_DElYkX7l4wRkHqqCUFNJY4AfY3kHU/edit?usp=sharing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01" s="7" t="s">
        <v>23</v>
      </c>
    </row>
    <row r="11402" spans="1:10" ht="13.2">
      <c r="A11402" s="7">
        <v>11401</v>
      </c>
      <c r="B11402" s="7">
        <v>1</v>
      </c>
      <c r="C11402" s="7" t="s">
        <v>10</v>
      </c>
      <c r="D11402" s="7">
        <v>17655</v>
      </c>
      <c r="E11402" s="7" t="s">
        <v>23</v>
      </c>
      <c r="F11402" s="8" t="str">
        <f ca="1">IFERROR(__xludf.DUMMYFUNCTION("IF
(
C11403=""фізична особа""
,
VLOOKUP(D11403,IMPORTRANGE(""https://docs.google.com/spreadsheets/d/14Bd19lYaqBhU8_DElYkX7l4wRkHqqCUFNJY4AfY3kHU/edit?usp=sharing  #gid=0"",""фіз особи new!relations_name""),6,FALSE)
,
(IF
(
C11403=""юридична особа""
,
VLOO"&amp;"KUP(D11403,IMPORTRANGE(""https://docs.google.com/spreadsheets/d/14Bd19lYaqBhU8_DElYkX7l4wRkHqqCUFNJY4AfY3kHU/edit?usp=sharing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2" s="7" t="s">
        <v>10</v>
      </c>
      <c r="H11402" s="7">
        <v>17654</v>
      </c>
      <c r="I11402" s="8" t="str">
        <f ca="1">IFERROR(__xludf.DUMMYFUNCTION("IF
(
G11403=""фізична особа""
,
VLOOKUP(H11403,IMPORTRANGE(""https://docs.google.com/spreadsheets/d/14Bd19lYaqBhU8_DElYkX7l4wRkHqqCUFNJY4AfY3kHU/edit?usp=sharing  #gid=0"",""фіз особи new!relations_name""),6,FALSE)
,
(IF
(
G11403=""юридична особа""
,
VLOO"&amp;"KUP(H11403,IMPORTRANGE(""https://docs.google.com/spreadsheets/d/14Bd19lYaqBhU8_DElYkX7l4wRkHqqCUFNJY4AfY3kHU/edit?usp=sharing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02" s="7" t="s">
        <v>23</v>
      </c>
    </row>
    <row r="11403" spans="1:10" ht="13.2">
      <c r="A11403" s="7">
        <v>11402</v>
      </c>
      <c r="B11403" s="7">
        <v>1</v>
      </c>
      <c r="C11403" s="7" t="s">
        <v>10</v>
      </c>
      <c r="D11403" s="7">
        <v>17655</v>
      </c>
      <c r="E11403" s="7" t="s">
        <v>23</v>
      </c>
      <c r="F11403" s="8" t="str">
        <f ca="1">IFERROR(__xludf.DUMMYFUNCTION("IF
(
C11404=""фізична особа""
,
VLOOKUP(D11404,IMPORTRANGE(""https://docs.google.com/spreadsheets/d/14Bd19lYaqBhU8_DElYkX7l4wRkHqqCUFNJY4AfY3kHU/edit?usp=sharing  #gid=0"",""фіз особи new!relations_name""),6,FALSE)
,
(IF
(
C11404=""юридична особа""
,
VLOO"&amp;"KUP(D11404,IMPORTRANGE(""https://docs.google.com/spreadsheets/d/14Bd19lYaqBhU8_DElYkX7l4wRkHqqCUFNJY4AfY3kHU/edit?usp=sharing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3" s="7" t="s">
        <v>10</v>
      </c>
      <c r="H11403" s="7">
        <v>17666</v>
      </c>
      <c r="I11403" s="8" t="str">
        <f ca="1">IFERROR(__xludf.DUMMYFUNCTION("IF
(
G11404=""фізична особа""
,
VLOOKUP(H11404,IMPORTRANGE(""https://docs.google.com/spreadsheets/d/14Bd19lYaqBhU8_DElYkX7l4wRkHqqCUFNJY4AfY3kHU/edit?usp=sharing  #gid=0"",""фіз особи new!relations_name""),6,FALSE)
,
(IF
(
G11404=""юридична особа""
,
VLOO"&amp;"KUP(H11404,IMPORTRANGE(""https://docs.google.com/spreadsheets/d/14Bd19lYaqBhU8_DElYkX7l4wRkHqqCUFNJY4AfY3kHU/edit?usp=sharing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03" s="7" t="s">
        <v>23</v>
      </c>
    </row>
    <row r="11404" spans="1:10" ht="13.2">
      <c r="A11404" s="7">
        <v>11403</v>
      </c>
      <c r="B11404" s="7">
        <v>1</v>
      </c>
      <c r="C11404" s="7" t="s">
        <v>10</v>
      </c>
      <c r="D11404" s="7">
        <v>17655</v>
      </c>
      <c r="E11404" s="7" t="s">
        <v>23</v>
      </c>
      <c r="F11404" s="8" t="str">
        <f ca="1">IFERROR(__xludf.DUMMYFUNCTION("IF
(
C11405=""фізична особа""
,
VLOOKUP(D11405,IMPORTRANGE(""https://docs.google.com/spreadsheets/d/14Bd19lYaqBhU8_DElYkX7l4wRkHqqCUFNJY4AfY3kHU/edit?usp=sharing  #gid=0"",""фіз особи new!relations_name""),6,FALSE)
,
(IF
(
C11405=""юридична особа""
,
VLOO"&amp;"KUP(D11405,IMPORTRANGE(""https://docs.google.com/spreadsheets/d/14Bd19lYaqBhU8_DElYkX7l4wRkHqqCUFNJY4AfY3kHU/edit?usp=sharing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4" s="7" t="s">
        <v>10</v>
      </c>
      <c r="H11404" s="7">
        <v>17664</v>
      </c>
      <c r="I11404" s="8" t="str">
        <f ca="1">IFERROR(__xludf.DUMMYFUNCTION("IF
(
G11405=""фізична особа""
,
VLOOKUP(H11405,IMPORTRANGE(""https://docs.google.com/spreadsheets/d/14Bd19lYaqBhU8_DElYkX7l4wRkHqqCUFNJY4AfY3kHU/edit?usp=sharing  #gid=0"",""фіз особи new!relations_name""),6,FALSE)
,
(IF
(
G11405=""юридична особа""
,
VLOO"&amp;"KUP(H11405,IMPORTRANGE(""https://docs.google.com/spreadsheets/d/14Bd19lYaqBhU8_DElYkX7l4wRkHqqCUFNJY4AfY3kHU/edit?usp=sharing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04" s="7" t="s">
        <v>23</v>
      </c>
    </row>
    <row r="11405" spans="1:10" ht="13.2">
      <c r="A11405" s="7">
        <v>11404</v>
      </c>
      <c r="B11405" s="7">
        <v>1</v>
      </c>
      <c r="C11405" s="7" t="s">
        <v>10</v>
      </c>
      <c r="D11405" s="7">
        <v>17655</v>
      </c>
      <c r="E11405" s="7" t="s">
        <v>23</v>
      </c>
      <c r="F11405" s="8" t="str">
        <f ca="1">IFERROR(__xludf.DUMMYFUNCTION("IF
(
C11406=""фізична особа""
,
VLOOKUP(D11406,IMPORTRANGE(""https://docs.google.com/spreadsheets/d/14Bd19lYaqBhU8_DElYkX7l4wRkHqqCUFNJY4AfY3kHU/edit?usp=sharing  #gid=0"",""фіз особи new!relations_name""),6,FALSE)
,
(IF
(
C11406=""юридична особа""
,
VLOO"&amp;"KUP(D11406,IMPORTRANGE(""https://docs.google.com/spreadsheets/d/14Bd19lYaqBhU8_DElYkX7l4wRkHqqCUFNJY4AfY3kHU/edit?usp=sharing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5" s="7" t="s">
        <v>10</v>
      </c>
      <c r="H11405" s="7">
        <v>17665</v>
      </c>
      <c r="I11405" s="8" t="str">
        <f ca="1">IFERROR(__xludf.DUMMYFUNCTION("IF
(
G11406=""фізична особа""
,
VLOOKUP(H11406,IMPORTRANGE(""https://docs.google.com/spreadsheets/d/14Bd19lYaqBhU8_DElYkX7l4wRkHqqCUFNJY4AfY3kHU/edit?usp=sharing  #gid=0"",""фіз особи new!relations_name""),6,FALSE)
,
(IF
(
G11406=""юридична особа""
,
VLOO"&amp;"KUP(H11406,IMPORTRANGE(""https://docs.google.com/spreadsheets/d/14Bd19lYaqBhU8_DElYkX7l4wRkHqqCUFNJY4AfY3kHU/edit?usp=sharing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05" s="7" t="s">
        <v>23</v>
      </c>
    </row>
    <row r="11406" spans="1:10" ht="13.2">
      <c r="A11406" s="7">
        <v>11405</v>
      </c>
      <c r="B11406" s="7">
        <v>1</v>
      </c>
      <c r="C11406" s="7" t="s">
        <v>10</v>
      </c>
      <c r="D11406" s="7">
        <v>17655</v>
      </c>
      <c r="E11406" s="7" t="s">
        <v>23</v>
      </c>
      <c r="F11406" s="8" t="str">
        <f ca="1">IFERROR(__xludf.DUMMYFUNCTION("IF
(
C11407=""фізична особа""
,
VLOOKUP(D11407,IMPORTRANGE(""https://docs.google.com/spreadsheets/d/14Bd19lYaqBhU8_DElYkX7l4wRkHqqCUFNJY4AfY3kHU/edit?usp=sharing  #gid=0"",""фіз особи new!relations_name""),6,FALSE)
,
(IF
(
C11407=""юридична особа""
,
VLOO"&amp;"KUP(D11407,IMPORTRANGE(""https://docs.google.com/spreadsheets/d/14Bd19lYaqBhU8_DElYkX7l4wRkHqqCUFNJY4AfY3kHU/edit?usp=sharing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6" s="7" t="s">
        <v>10</v>
      </c>
      <c r="H11406" s="7">
        <v>17661</v>
      </c>
      <c r="I11406" s="8" t="str">
        <f ca="1">IFERROR(__xludf.DUMMYFUNCTION("IF
(
G11407=""фізична особа""
,
VLOOKUP(H11407,IMPORTRANGE(""https://docs.google.com/spreadsheets/d/14Bd19lYaqBhU8_DElYkX7l4wRkHqqCUFNJY4AfY3kHU/edit?usp=sharing  #gid=0"",""фіз особи new!relations_name""),6,FALSE)
,
(IF
(
G11407=""юридична особа""
,
VLOO"&amp;"KUP(H11407,IMPORTRANGE(""https://docs.google.com/spreadsheets/d/14Bd19lYaqBhU8_DElYkX7l4wRkHqqCUFNJY4AfY3kHU/edit?usp=sharing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06" s="7" t="s">
        <v>23</v>
      </c>
    </row>
    <row r="11407" spans="1:10" ht="13.2">
      <c r="A11407" s="7">
        <v>11406</v>
      </c>
      <c r="B11407" s="7">
        <v>1</v>
      </c>
      <c r="C11407" s="7" t="s">
        <v>10</v>
      </c>
      <c r="D11407" s="7">
        <v>17655</v>
      </c>
      <c r="E11407" s="7" t="s">
        <v>23</v>
      </c>
      <c r="F11407" s="8" t="str">
        <f ca="1">IFERROR(__xludf.DUMMYFUNCTION("IF
(
C11408=""фізична особа""
,
VLOOKUP(D11408,IMPORTRANGE(""https://docs.google.com/spreadsheets/d/14Bd19lYaqBhU8_DElYkX7l4wRkHqqCUFNJY4AfY3kHU/edit?usp=sharing  #gid=0"",""фіз особи new!relations_name""),6,FALSE)
,
(IF
(
C11408=""юридична особа""
,
VLOO"&amp;"KUP(D11408,IMPORTRANGE(""https://docs.google.com/spreadsheets/d/14Bd19lYaqBhU8_DElYkX7l4wRkHqqCUFNJY4AfY3kHU/edit?usp=sharing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7" s="7" t="s">
        <v>10</v>
      </c>
      <c r="H11407" s="7">
        <v>17660</v>
      </c>
      <c r="I11407" s="8" t="str">
        <f ca="1">IFERROR(__xludf.DUMMYFUNCTION("IF
(
G11408=""фізична особа""
,
VLOOKUP(H11408,IMPORTRANGE(""https://docs.google.com/spreadsheets/d/14Bd19lYaqBhU8_DElYkX7l4wRkHqqCUFNJY4AfY3kHU/edit?usp=sharing  #gid=0"",""фіз особи new!relations_name""),6,FALSE)
,
(IF
(
G11408=""юридична особа""
,
VLOO"&amp;"KUP(H11408,IMPORTRANGE(""https://docs.google.com/spreadsheets/d/14Bd19lYaqBhU8_DElYkX7l4wRkHqqCUFNJY4AfY3kHU/edit?usp=sharing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407" s="7" t="s">
        <v>23</v>
      </c>
    </row>
    <row r="11408" spans="1:10" ht="13.2">
      <c r="A11408" s="7">
        <v>11407</v>
      </c>
      <c r="B11408" s="7">
        <v>1</v>
      </c>
      <c r="C11408" s="7" t="s">
        <v>10</v>
      </c>
      <c r="D11408" s="7">
        <v>17655</v>
      </c>
      <c r="E11408" s="7" t="s">
        <v>23</v>
      </c>
      <c r="F11408" s="8" t="str">
        <f ca="1">IFERROR(__xludf.DUMMYFUNCTION("IF
(
C11409=""фізична особа""
,
VLOOKUP(D11409,IMPORTRANGE(""https://docs.google.com/spreadsheets/d/14Bd19lYaqBhU8_DElYkX7l4wRkHqqCUFNJY4AfY3kHU/edit?usp=sharing  #gid=0"",""фіз особи new!relations_name""),6,FALSE)
,
(IF
(
C11409=""юридична особа""
,
VLOO"&amp;"KUP(D11409,IMPORTRANGE(""https://docs.google.com/spreadsheets/d/14Bd19lYaqBhU8_DElYkX7l4wRkHqqCUFNJY4AfY3kHU/edit?usp=sharing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8" s="7" t="s">
        <v>10</v>
      </c>
      <c r="H11408" s="7">
        <v>17663</v>
      </c>
      <c r="I11408" s="8" t="str">
        <f ca="1">IFERROR(__xludf.DUMMYFUNCTION("IF
(
G11409=""фізична особа""
,
VLOOKUP(H11409,IMPORTRANGE(""https://docs.google.com/spreadsheets/d/14Bd19lYaqBhU8_DElYkX7l4wRkHqqCUFNJY4AfY3kHU/edit?usp=sharing  #gid=0"",""фіз особи new!relations_name""),6,FALSE)
,
(IF
(
G11409=""юридична особа""
,
VLOO"&amp;"KUP(H11409,IMPORTRANGE(""https://docs.google.com/spreadsheets/d/14Bd19lYaqBhU8_DElYkX7l4wRkHqqCUFNJY4AfY3kHU/edit?usp=sharing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08" s="7" t="s">
        <v>23</v>
      </c>
    </row>
    <row r="11409" spans="1:10" ht="13.2">
      <c r="A11409" s="7">
        <v>11408</v>
      </c>
      <c r="B11409" s="7">
        <v>1</v>
      </c>
      <c r="C11409" s="7" t="s">
        <v>10</v>
      </c>
      <c r="D11409" s="7">
        <v>17655</v>
      </c>
      <c r="E11409" s="7" t="s">
        <v>23</v>
      </c>
      <c r="F11409" s="8" t="str">
        <f ca="1">IFERROR(__xludf.DUMMYFUNCTION("IF
(
C11410=""фізична особа""
,
VLOOKUP(D11410,IMPORTRANGE(""https://docs.google.com/spreadsheets/d/14Bd19lYaqBhU8_DElYkX7l4wRkHqqCUFNJY4AfY3kHU/edit?usp=sharing  #gid=0"",""фіз особи new!relations_name""),6,FALSE)
,
(IF
(
C11410=""юридична особа""
,
VLOO"&amp;"KUP(D11410,IMPORTRANGE(""https://docs.google.com/spreadsheets/d/14Bd19lYaqBhU8_DElYkX7l4wRkHqqCUFNJY4AfY3kHU/edit?usp=sharing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G11409" s="7" t="s">
        <v>10</v>
      </c>
      <c r="H11409" s="7">
        <v>17662</v>
      </c>
      <c r="I11409" s="8" t="str">
        <f ca="1">IFERROR(__xludf.DUMMYFUNCTION("IF
(
G11410=""фізична особа""
,
VLOOKUP(H11410,IMPORTRANGE(""https://docs.google.com/spreadsheets/d/14Bd19lYaqBhU8_DElYkX7l4wRkHqqCUFNJY4AfY3kHU/edit?usp=sharing  #gid=0"",""фіз особи new!relations_name""),6,FALSE)
,
(IF
(
G11410=""юридична особа""
,
VLOO"&amp;"KUP(H11410,IMPORTRANGE(""https://docs.google.com/spreadsheets/d/14Bd19lYaqBhU8_DElYkX7l4wRkHqqCUFNJY4AfY3kHU/edit?usp=sharing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09" s="7" t="s">
        <v>23</v>
      </c>
    </row>
    <row r="11410" spans="1:10" ht="13.2">
      <c r="A11410" s="7">
        <v>11409</v>
      </c>
      <c r="B11410" s="7">
        <v>1</v>
      </c>
      <c r="C11410" s="7" t="s">
        <v>10</v>
      </c>
      <c r="D11410" s="7">
        <v>17656</v>
      </c>
      <c r="E11410" s="7" t="s">
        <v>23</v>
      </c>
      <c r="F11410" s="8" t="str">
        <f ca="1">IFERROR(__xludf.DUMMYFUNCTION("IF
(
C11411=""фізична особа""
,
VLOOKUP(D11411,IMPORTRANGE(""https://docs.google.com/spreadsheets/d/14Bd19lYaqBhU8_DElYkX7l4wRkHqqCUFNJY4AfY3kHU/edit?usp=sharing  #gid=0"",""фіз особи new!relations_name""),6,FALSE)
,
(IF
(
C11411=""юридична особа""
,
VLOO"&amp;"KUP(D11411,IMPORTRANGE(""https://docs.google.com/spreadsheets/d/14Bd19lYaqBhU8_DElYkX7l4wRkHqqCUFNJY4AfY3kHU/edit?usp=sharing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0" s="7" t="s">
        <v>10</v>
      </c>
      <c r="H11410" s="7">
        <v>23632</v>
      </c>
      <c r="I11410" s="8" t="str">
        <f ca="1">IFERROR(__xludf.DUMMYFUNCTION("IF
(
G11411=""фізична особа""
,
VLOOKUP(H11411,IMPORTRANGE(""https://docs.google.com/spreadsheets/d/14Bd19lYaqBhU8_DElYkX7l4wRkHqqCUFNJY4AfY3kHU/edit?usp=sharing  #gid=0"",""фіз особи new!relations_name""),6,FALSE)
,
(IF
(
G11411=""юридична особа""
,
VLOO"&amp;"KUP(H11411,IMPORTRANGE(""https://docs.google.com/spreadsheets/d/14Bd19lYaqBhU8_DElYkX7l4wRkHqqCUFNJY4AfY3kHU/edit?usp=sharing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410" s="7" t="s">
        <v>23</v>
      </c>
    </row>
    <row r="11411" spans="1:10" ht="13.2">
      <c r="A11411" s="7">
        <v>11410</v>
      </c>
      <c r="B11411" s="7">
        <v>1</v>
      </c>
      <c r="C11411" s="7" t="s">
        <v>10</v>
      </c>
      <c r="D11411" s="7">
        <v>17656</v>
      </c>
      <c r="E11411" s="7" t="s">
        <v>23</v>
      </c>
      <c r="F11411" s="8" t="str">
        <f ca="1">IFERROR(__xludf.DUMMYFUNCTION("IF
(
C11412=""фізична особа""
,
VLOOKUP(D11412,IMPORTRANGE(""https://docs.google.com/spreadsheets/d/14Bd19lYaqBhU8_DElYkX7l4wRkHqqCUFNJY4AfY3kHU/edit?usp=sharing  #gid=0"",""фіз особи new!relations_name""),6,FALSE)
,
(IF
(
C11412=""юридична особа""
,
VLOO"&amp;"KUP(D11412,IMPORTRANGE(""https://docs.google.com/spreadsheets/d/14Bd19lYaqBhU8_DElYkX7l4wRkHqqCUFNJY4AfY3kHU/edit?usp=sharing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1" s="7" t="s">
        <v>10</v>
      </c>
      <c r="H11411" s="7">
        <v>23633</v>
      </c>
      <c r="I11411" s="8" t="str">
        <f ca="1">IFERROR(__xludf.DUMMYFUNCTION("IF
(
G11412=""фізична особа""
,
VLOOKUP(H11412,IMPORTRANGE(""https://docs.google.com/spreadsheets/d/14Bd19lYaqBhU8_DElYkX7l4wRkHqqCUFNJY4AfY3kHU/edit?usp=sharing  #gid=0"",""фіз особи new!relations_name""),6,FALSE)
,
(IF
(
G11412=""юридична особа""
,
VLOO"&amp;"KUP(H11412,IMPORTRANGE(""https://docs.google.com/spreadsheets/d/14Bd19lYaqBhU8_DElYkX7l4wRkHqqCUFNJY4AfY3kHU/edit?usp=sharing  #gid=0"",""фіз особи new!relations_name_uo""),7,FALSE)
,
)
))"),"СТАТКЕВИЧ Андрій Геннадійович")</f>
        <v>СТАТКЕВИЧ Андрій Геннадійович</v>
      </c>
      <c r="J11411" s="7" t="s">
        <v>23</v>
      </c>
    </row>
    <row r="11412" spans="1:10" ht="13.2">
      <c r="A11412" s="7">
        <v>11411</v>
      </c>
      <c r="B11412" s="7">
        <v>1</v>
      </c>
      <c r="C11412" s="7" t="s">
        <v>10</v>
      </c>
      <c r="D11412" s="7">
        <v>17656</v>
      </c>
      <c r="E11412" s="7" t="s">
        <v>23</v>
      </c>
      <c r="F11412" s="8" t="str">
        <f ca="1">IFERROR(__xludf.DUMMYFUNCTION("IF
(
C11413=""фізична особа""
,
VLOOKUP(D11413,IMPORTRANGE(""https://docs.google.com/spreadsheets/d/14Bd19lYaqBhU8_DElYkX7l4wRkHqqCUFNJY4AfY3kHU/edit?usp=sharing  #gid=0"",""фіз особи new!relations_name""),6,FALSE)
,
(IF
(
C11413=""юридична особа""
,
VLOO"&amp;"KUP(D11413,IMPORTRANGE(""https://docs.google.com/spreadsheets/d/14Bd19lYaqBhU8_DElYkX7l4wRkHqqCUFNJY4AfY3kHU/edit?usp=sharing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2" s="7" t="s">
        <v>10</v>
      </c>
      <c r="H11412" s="7">
        <v>23634</v>
      </c>
      <c r="I11412" s="8" t="str">
        <f ca="1">IFERROR(__xludf.DUMMYFUNCTION("IF
(
G11413=""фізична особа""
,
VLOOKUP(H11413,IMPORTRANGE(""https://docs.google.com/spreadsheets/d/14Bd19lYaqBhU8_DElYkX7l4wRkHqqCUFNJY4AfY3kHU/edit?usp=sharing  #gid=0"",""фіз особи new!relations_name""),6,FALSE)
,
(IF
(
G11413=""юридична особа""
,
VLOO"&amp;"KUP(H11413,IMPORTRANGE(""https://docs.google.com/spreadsheets/d/14Bd19lYaqBhU8_DElYkX7l4wRkHqqCUFNJY4AfY3kHU/edit?usp=sharing  #gid=0"",""фіз особи new!relations_name_uo""),7,FALSE)
,
)
))"),"СТЕПАНОВ Едуард Іванович")</f>
        <v>СТЕПАНОВ Едуард Іванович</v>
      </c>
      <c r="J11412" s="7" t="s">
        <v>23</v>
      </c>
    </row>
    <row r="11413" spans="1:10" ht="13.2">
      <c r="A11413" s="7">
        <v>11412</v>
      </c>
      <c r="B11413" s="7">
        <v>1</v>
      </c>
      <c r="C11413" s="7" t="s">
        <v>10</v>
      </c>
      <c r="D11413" s="7">
        <v>17656</v>
      </c>
      <c r="E11413" s="7" t="s">
        <v>23</v>
      </c>
      <c r="F11413" s="8" t="str">
        <f ca="1">IFERROR(__xludf.DUMMYFUNCTION("IF
(
C11414=""фізична особа""
,
VLOOKUP(D11414,IMPORTRANGE(""https://docs.google.com/spreadsheets/d/14Bd19lYaqBhU8_DElYkX7l4wRkHqqCUFNJY4AfY3kHU/edit?usp=sharing  #gid=0"",""фіз особи new!relations_name""),6,FALSE)
,
(IF
(
C11414=""юридична особа""
,
VLOO"&amp;"KUP(D11414,IMPORTRANGE(""https://docs.google.com/spreadsheets/d/14Bd19lYaqBhU8_DElYkX7l4wRkHqqCUFNJY4AfY3kHU/edit?usp=sharing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3" s="7" t="s">
        <v>10</v>
      </c>
      <c r="H11413" s="7">
        <v>17655</v>
      </c>
      <c r="I11413" s="8" t="str">
        <f ca="1">IFERROR(__xludf.DUMMYFUNCTION("IF
(
G11414=""фізична особа""
,
VLOOKUP(H11414,IMPORTRANGE(""https://docs.google.com/spreadsheets/d/14Bd19lYaqBhU8_DElYkX7l4wRkHqqCUFNJY4AfY3kHU/edit?usp=sharing  #gid=0"",""фіз особи new!relations_name""),6,FALSE)
,
(IF
(
G11414=""юридична особа""
,
VLOO"&amp;"KUP(H11414,IMPORTRANGE(""https://docs.google.com/spreadsheets/d/14Bd19lYaqBhU8_DElYkX7l4wRkHqqCUFNJY4AfY3kHU/edit?usp=sharing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13" s="7" t="s">
        <v>23</v>
      </c>
    </row>
    <row r="11414" spans="1:10" ht="13.2">
      <c r="A11414" s="7">
        <v>11413</v>
      </c>
      <c r="B11414" s="7">
        <v>1</v>
      </c>
      <c r="C11414" s="7" t="s">
        <v>10</v>
      </c>
      <c r="D11414" s="7">
        <v>17656</v>
      </c>
      <c r="E11414" s="7" t="s">
        <v>23</v>
      </c>
      <c r="F11414" s="8" t="str">
        <f ca="1">IFERROR(__xludf.DUMMYFUNCTION("IF
(
C11415=""фізична особа""
,
VLOOKUP(D11415,IMPORTRANGE(""https://docs.google.com/spreadsheets/d/14Bd19lYaqBhU8_DElYkX7l4wRkHqqCUFNJY4AfY3kHU/edit?usp=sharing  #gid=0"",""фіз особи new!relations_name""),6,FALSE)
,
(IF
(
C11415=""юридична особа""
,
VLOO"&amp;"KUP(D11415,IMPORTRANGE(""https://docs.google.com/spreadsheets/d/14Bd19lYaqBhU8_DElYkX7l4wRkHqqCUFNJY4AfY3kHU/edit?usp=sharing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4" s="7" t="s">
        <v>10</v>
      </c>
      <c r="H11414" s="7">
        <v>17658</v>
      </c>
      <c r="I11414" s="8" t="str">
        <f ca="1">IFERROR(__xludf.DUMMYFUNCTION("IF
(
G11415=""фізична особа""
,
VLOOKUP(H11415,IMPORTRANGE(""https://docs.google.com/spreadsheets/d/14Bd19lYaqBhU8_DElYkX7l4wRkHqqCUFNJY4AfY3kHU/edit?usp=sharing  #gid=0"",""фіз особи new!relations_name""),6,FALSE)
,
(IF
(
G11415=""юридична особа""
,
VLOO"&amp;"KUP(H11415,IMPORTRANGE(""https://docs.google.com/spreadsheets/d/14Bd19lYaqBhU8_DElYkX7l4wRkHqqCUFNJY4AfY3kHU/edit?usp=sharing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414" s="7" t="s">
        <v>23</v>
      </c>
    </row>
    <row r="11415" spans="1:10" ht="13.2">
      <c r="A11415" s="7">
        <v>11414</v>
      </c>
      <c r="B11415" s="7">
        <v>1</v>
      </c>
      <c r="C11415" s="7" t="s">
        <v>10</v>
      </c>
      <c r="D11415" s="7">
        <v>17656</v>
      </c>
      <c r="E11415" s="7" t="s">
        <v>23</v>
      </c>
      <c r="F11415" s="8" t="str">
        <f ca="1">IFERROR(__xludf.DUMMYFUNCTION("IF
(
C11416=""фізична особа""
,
VLOOKUP(D11416,IMPORTRANGE(""https://docs.google.com/spreadsheets/d/14Bd19lYaqBhU8_DElYkX7l4wRkHqqCUFNJY4AfY3kHU/edit?usp=sharing  #gid=0"",""фіз особи new!relations_name""),6,FALSE)
,
(IF
(
C11416=""юридична особа""
,
VLOO"&amp;"KUP(D11416,IMPORTRANGE(""https://docs.google.com/spreadsheets/d/14Bd19lYaqBhU8_DElYkX7l4wRkHqqCUFNJY4AfY3kHU/edit?usp=sharing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5" s="7" t="s">
        <v>10</v>
      </c>
      <c r="H11415" s="7">
        <v>17659</v>
      </c>
      <c r="I11415" s="8" t="str">
        <f ca="1">IFERROR(__xludf.DUMMYFUNCTION("IF
(
G11416=""фізична особа""
,
VLOOKUP(H11416,IMPORTRANGE(""https://docs.google.com/spreadsheets/d/14Bd19lYaqBhU8_DElYkX7l4wRkHqqCUFNJY4AfY3kHU/edit?usp=sharing  #gid=0"",""фіз особи new!relations_name""),6,FALSE)
,
(IF
(
G11416=""юридична особа""
,
VLOO"&amp;"KUP(H11416,IMPORTRANGE(""https://docs.google.com/spreadsheets/d/14Bd19lYaqBhU8_DElYkX7l4wRkHqqCUFNJY4AfY3kHU/edit?usp=sharing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15" s="7" t="s">
        <v>23</v>
      </c>
    </row>
    <row r="11416" spans="1:10" ht="13.2">
      <c r="A11416" s="7">
        <v>11415</v>
      </c>
      <c r="B11416" s="7">
        <v>1</v>
      </c>
      <c r="C11416" s="7" t="s">
        <v>10</v>
      </c>
      <c r="D11416" s="7">
        <v>17656</v>
      </c>
      <c r="E11416" s="7" t="s">
        <v>23</v>
      </c>
      <c r="F11416" s="8" t="str">
        <f ca="1">IFERROR(__xludf.DUMMYFUNCTION("IF
(
C11417=""фізична особа""
,
VLOOKUP(D11417,IMPORTRANGE(""https://docs.google.com/spreadsheets/d/14Bd19lYaqBhU8_DElYkX7l4wRkHqqCUFNJY4AfY3kHU/edit?usp=sharing  #gid=0"",""фіз особи new!relations_name""),6,FALSE)
,
(IF
(
C11417=""юридична особа""
,
VLOO"&amp;"KUP(D11417,IMPORTRANGE(""https://docs.google.com/spreadsheets/d/14Bd19lYaqBhU8_DElYkX7l4wRkHqqCUFNJY4AfY3kHU/edit?usp=sharing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6" s="7" t="s">
        <v>10</v>
      </c>
      <c r="H11416" s="7">
        <v>17657</v>
      </c>
      <c r="I11416" s="8" t="str">
        <f ca="1">IFERROR(__xludf.DUMMYFUNCTION("IF
(
G11417=""фізична особа""
,
VLOOKUP(H11417,IMPORTRANGE(""https://docs.google.com/spreadsheets/d/14Bd19lYaqBhU8_DElYkX7l4wRkHqqCUFNJY4AfY3kHU/edit?usp=sharing  #gid=0"",""фіз особи new!relations_name""),6,FALSE)
,
(IF
(
G11417=""юридична особа""
,
VLOO"&amp;"KUP(H11417,IMPORTRANGE(""https://docs.google.com/spreadsheets/d/14Bd19lYaqBhU8_DElYkX7l4wRkHqqCUFNJY4AfY3kHU/edit?usp=sharing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16" s="7" t="s">
        <v>23</v>
      </c>
    </row>
    <row r="11417" spans="1:10" ht="13.2">
      <c r="A11417" s="7">
        <v>11416</v>
      </c>
      <c r="B11417" s="7">
        <v>1</v>
      </c>
      <c r="C11417" s="7" t="s">
        <v>10</v>
      </c>
      <c r="D11417" s="7">
        <v>17656</v>
      </c>
      <c r="E11417" s="7" t="s">
        <v>23</v>
      </c>
      <c r="F11417" s="8" t="str">
        <f ca="1">IFERROR(__xludf.DUMMYFUNCTION("IF
(
C11418=""фізична особа""
,
VLOOKUP(D11418,IMPORTRANGE(""https://docs.google.com/spreadsheets/d/14Bd19lYaqBhU8_DElYkX7l4wRkHqqCUFNJY4AfY3kHU/edit?usp=sharing  #gid=0"",""фіз особи new!relations_name""),6,FALSE)
,
(IF
(
C11418=""юридична особа""
,
VLOO"&amp;"KUP(D11418,IMPORTRANGE(""https://docs.google.com/spreadsheets/d/14Bd19lYaqBhU8_DElYkX7l4wRkHqqCUFNJY4AfY3kHU/edit?usp=sharing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7" s="7" t="s">
        <v>10</v>
      </c>
      <c r="H11417" s="7">
        <v>17654</v>
      </c>
      <c r="I11417" s="8" t="str">
        <f ca="1">IFERROR(__xludf.DUMMYFUNCTION("IF
(
G11418=""фізична особа""
,
VLOOKUP(H11418,IMPORTRANGE(""https://docs.google.com/spreadsheets/d/14Bd19lYaqBhU8_DElYkX7l4wRkHqqCUFNJY4AfY3kHU/edit?usp=sharing  #gid=0"",""фіз особи new!relations_name""),6,FALSE)
,
(IF
(
G11418=""юридична особа""
,
VLOO"&amp;"KUP(H11418,IMPORTRANGE(""https://docs.google.com/spreadsheets/d/14Bd19lYaqBhU8_DElYkX7l4wRkHqqCUFNJY4AfY3kHU/edit?usp=sharing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17" s="7" t="s">
        <v>23</v>
      </c>
    </row>
    <row r="11418" spans="1:10" ht="13.2">
      <c r="A11418" s="7">
        <v>11417</v>
      </c>
      <c r="B11418" s="7">
        <v>1</v>
      </c>
      <c r="C11418" s="7" t="s">
        <v>10</v>
      </c>
      <c r="D11418" s="7">
        <v>17656</v>
      </c>
      <c r="E11418" s="7" t="s">
        <v>23</v>
      </c>
      <c r="F11418" s="8" t="str">
        <f ca="1">IFERROR(__xludf.DUMMYFUNCTION("IF
(
C11419=""фізична особа""
,
VLOOKUP(D11419,IMPORTRANGE(""https://docs.google.com/spreadsheets/d/14Bd19lYaqBhU8_DElYkX7l4wRkHqqCUFNJY4AfY3kHU/edit?usp=sharing  #gid=0"",""фіз особи new!relations_name""),6,FALSE)
,
(IF
(
C11419=""юридична особа""
,
VLOO"&amp;"KUP(D11419,IMPORTRANGE(""https://docs.google.com/spreadsheets/d/14Bd19lYaqBhU8_DElYkX7l4wRkHqqCUFNJY4AfY3kHU/edit?usp=sharing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8" s="7" t="s">
        <v>10</v>
      </c>
      <c r="H11418" s="7">
        <v>17666</v>
      </c>
      <c r="I11418" s="8" t="str">
        <f ca="1">IFERROR(__xludf.DUMMYFUNCTION("IF
(
G11419=""фізична особа""
,
VLOOKUP(H11419,IMPORTRANGE(""https://docs.google.com/spreadsheets/d/14Bd19lYaqBhU8_DElYkX7l4wRkHqqCUFNJY4AfY3kHU/edit?usp=sharing  #gid=0"",""фіз особи new!relations_name""),6,FALSE)
,
(IF
(
G11419=""юридична особа""
,
VLOO"&amp;"KUP(H11419,IMPORTRANGE(""https://docs.google.com/spreadsheets/d/14Bd19lYaqBhU8_DElYkX7l4wRkHqqCUFNJY4AfY3kHU/edit?usp=sharing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18" s="7" t="s">
        <v>23</v>
      </c>
    </row>
    <row r="11419" spans="1:10" ht="13.2">
      <c r="A11419" s="7">
        <v>11418</v>
      </c>
      <c r="B11419" s="7">
        <v>1</v>
      </c>
      <c r="C11419" s="7" t="s">
        <v>10</v>
      </c>
      <c r="D11419" s="7">
        <v>17656</v>
      </c>
      <c r="E11419" s="7" t="s">
        <v>23</v>
      </c>
      <c r="F11419" s="8" t="str">
        <f ca="1">IFERROR(__xludf.DUMMYFUNCTION("IF
(
C11420=""фізична особа""
,
VLOOKUP(D11420,IMPORTRANGE(""https://docs.google.com/spreadsheets/d/14Bd19lYaqBhU8_DElYkX7l4wRkHqqCUFNJY4AfY3kHU/edit?usp=sharing  #gid=0"",""фіз особи new!relations_name""),6,FALSE)
,
(IF
(
C11420=""юридична особа""
,
VLOO"&amp;"KUP(D11420,IMPORTRANGE(""https://docs.google.com/spreadsheets/d/14Bd19lYaqBhU8_DElYkX7l4wRkHqqCUFNJY4AfY3kHU/edit?usp=sharing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19" s="7" t="s">
        <v>10</v>
      </c>
      <c r="H11419" s="7">
        <v>17664</v>
      </c>
      <c r="I11419" s="8" t="str">
        <f ca="1">IFERROR(__xludf.DUMMYFUNCTION("IF
(
G11420=""фізична особа""
,
VLOOKUP(H11420,IMPORTRANGE(""https://docs.google.com/spreadsheets/d/14Bd19lYaqBhU8_DElYkX7l4wRkHqqCUFNJY4AfY3kHU/edit?usp=sharing  #gid=0"",""фіз особи new!relations_name""),6,FALSE)
,
(IF
(
G11420=""юридична особа""
,
VLOO"&amp;"KUP(H11420,IMPORTRANGE(""https://docs.google.com/spreadsheets/d/14Bd19lYaqBhU8_DElYkX7l4wRkHqqCUFNJY4AfY3kHU/edit?usp=sharing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19" s="7" t="s">
        <v>23</v>
      </c>
    </row>
    <row r="11420" spans="1:10" ht="13.2">
      <c r="A11420" s="7">
        <v>11419</v>
      </c>
      <c r="B11420" s="7">
        <v>1</v>
      </c>
      <c r="C11420" s="7" t="s">
        <v>10</v>
      </c>
      <c r="D11420" s="7">
        <v>17656</v>
      </c>
      <c r="E11420" s="7" t="s">
        <v>23</v>
      </c>
      <c r="F11420" s="8" t="str">
        <f ca="1">IFERROR(__xludf.DUMMYFUNCTION("IF
(
C11421=""фізична особа""
,
VLOOKUP(D11421,IMPORTRANGE(""https://docs.google.com/spreadsheets/d/14Bd19lYaqBhU8_DElYkX7l4wRkHqqCUFNJY4AfY3kHU/edit?usp=sharing  #gid=0"",""фіз особи new!relations_name""),6,FALSE)
,
(IF
(
C11421=""юридична особа""
,
VLOO"&amp;"KUP(D11421,IMPORTRANGE(""https://docs.google.com/spreadsheets/d/14Bd19lYaqBhU8_DElYkX7l4wRkHqqCUFNJY4AfY3kHU/edit?usp=sharing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0" s="7" t="s">
        <v>10</v>
      </c>
      <c r="H11420" s="7">
        <v>17665</v>
      </c>
      <c r="I11420" s="8" t="str">
        <f ca="1">IFERROR(__xludf.DUMMYFUNCTION("IF
(
G11421=""фізична особа""
,
VLOOKUP(H11421,IMPORTRANGE(""https://docs.google.com/spreadsheets/d/14Bd19lYaqBhU8_DElYkX7l4wRkHqqCUFNJY4AfY3kHU/edit?usp=sharing  #gid=0"",""фіз особи new!relations_name""),6,FALSE)
,
(IF
(
G11421=""юридична особа""
,
VLOO"&amp;"KUP(H11421,IMPORTRANGE(""https://docs.google.com/spreadsheets/d/14Bd19lYaqBhU8_DElYkX7l4wRkHqqCUFNJY4AfY3kHU/edit?usp=sharing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20" s="7" t="s">
        <v>23</v>
      </c>
    </row>
    <row r="11421" spans="1:10" ht="13.2">
      <c r="A11421" s="7">
        <v>11420</v>
      </c>
      <c r="B11421" s="7">
        <v>1</v>
      </c>
      <c r="C11421" s="7" t="s">
        <v>10</v>
      </c>
      <c r="D11421" s="7">
        <v>17656</v>
      </c>
      <c r="E11421" s="7" t="s">
        <v>23</v>
      </c>
      <c r="F11421" s="8" t="str">
        <f ca="1">IFERROR(__xludf.DUMMYFUNCTION("IF
(
C11422=""фізична особа""
,
VLOOKUP(D11422,IMPORTRANGE(""https://docs.google.com/spreadsheets/d/14Bd19lYaqBhU8_DElYkX7l4wRkHqqCUFNJY4AfY3kHU/edit?usp=sharing  #gid=0"",""фіз особи new!relations_name""),6,FALSE)
,
(IF
(
C11422=""юридична особа""
,
VLOO"&amp;"KUP(D11422,IMPORTRANGE(""https://docs.google.com/spreadsheets/d/14Bd19lYaqBhU8_DElYkX7l4wRkHqqCUFNJY4AfY3kHU/edit?usp=sharing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1" s="7" t="s">
        <v>10</v>
      </c>
      <c r="H11421" s="7">
        <v>17661</v>
      </c>
      <c r="I11421" s="8" t="str">
        <f ca="1">IFERROR(__xludf.DUMMYFUNCTION("IF
(
G11422=""фізична особа""
,
VLOOKUP(H11422,IMPORTRANGE(""https://docs.google.com/spreadsheets/d/14Bd19lYaqBhU8_DElYkX7l4wRkHqqCUFNJY4AfY3kHU/edit?usp=sharing  #gid=0"",""фіз особи new!relations_name""),6,FALSE)
,
(IF
(
G11422=""юридична особа""
,
VLOO"&amp;"KUP(H11422,IMPORTRANGE(""https://docs.google.com/spreadsheets/d/14Bd19lYaqBhU8_DElYkX7l4wRkHqqCUFNJY4AfY3kHU/edit?usp=sharing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21" s="7" t="s">
        <v>23</v>
      </c>
    </row>
    <row r="11422" spans="1:10" ht="13.2">
      <c r="A11422" s="7">
        <v>11421</v>
      </c>
      <c r="B11422" s="7">
        <v>1</v>
      </c>
      <c r="C11422" s="7" t="s">
        <v>10</v>
      </c>
      <c r="D11422" s="7">
        <v>17656</v>
      </c>
      <c r="E11422" s="7" t="s">
        <v>23</v>
      </c>
      <c r="F11422" s="8" t="str">
        <f ca="1">IFERROR(__xludf.DUMMYFUNCTION("IF
(
C11423=""фізична особа""
,
VLOOKUP(D11423,IMPORTRANGE(""https://docs.google.com/spreadsheets/d/14Bd19lYaqBhU8_DElYkX7l4wRkHqqCUFNJY4AfY3kHU/edit?usp=sharing  #gid=0"",""фіз особи new!relations_name""),6,FALSE)
,
(IF
(
C11423=""юридична особа""
,
VLOO"&amp;"KUP(D11423,IMPORTRANGE(""https://docs.google.com/spreadsheets/d/14Bd19lYaqBhU8_DElYkX7l4wRkHqqCUFNJY4AfY3kHU/edit?usp=sharing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2" s="7" t="s">
        <v>10</v>
      </c>
      <c r="H11422" s="7">
        <v>17660</v>
      </c>
      <c r="I11422" s="8" t="str">
        <f ca="1">IFERROR(__xludf.DUMMYFUNCTION("IF
(
G11423=""фізична особа""
,
VLOOKUP(H11423,IMPORTRANGE(""https://docs.google.com/spreadsheets/d/14Bd19lYaqBhU8_DElYkX7l4wRkHqqCUFNJY4AfY3kHU/edit?usp=sharing  #gid=0"",""фіз особи new!relations_name""),6,FALSE)
,
(IF
(
G11423=""юридична особа""
,
VLOO"&amp;"KUP(H11423,IMPORTRANGE(""https://docs.google.com/spreadsheets/d/14Bd19lYaqBhU8_DElYkX7l4wRkHqqCUFNJY4AfY3kHU/edit?usp=sharing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422" s="7" t="s">
        <v>23</v>
      </c>
    </row>
    <row r="11423" spans="1:10" ht="13.2">
      <c r="A11423" s="7">
        <v>11422</v>
      </c>
      <c r="B11423" s="7">
        <v>1</v>
      </c>
      <c r="C11423" s="7" t="s">
        <v>10</v>
      </c>
      <c r="D11423" s="7">
        <v>17656</v>
      </c>
      <c r="E11423" s="7" t="s">
        <v>23</v>
      </c>
      <c r="F11423" s="8" t="str">
        <f ca="1">IFERROR(__xludf.DUMMYFUNCTION("IF
(
C11424=""фізична особа""
,
VLOOKUP(D11424,IMPORTRANGE(""https://docs.google.com/spreadsheets/d/14Bd19lYaqBhU8_DElYkX7l4wRkHqqCUFNJY4AfY3kHU/edit?usp=sharing  #gid=0"",""фіз особи new!relations_name""),6,FALSE)
,
(IF
(
C11424=""юридична особа""
,
VLOO"&amp;"KUP(D11424,IMPORTRANGE(""https://docs.google.com/spreadsheets/d/14Bd19lYaqBhU8_DElYkX7l4wRkHqqCUFNJY4AfY3kHU/edit?usp=sharing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3" s="7" t="s">
        <v>10</v>
      </c>
      <c r="H11423" s="7">
        <v>17663</v>
      </c>
      <c r="I11423" s="8" t="str">
        <f ca="1">IFERROR(__xludf.DUMMYFUNCTION("IF
(
G11424=""фізична особа""
,
VLOOKUP(H11424,IMPORTRANGE(""https://docs.google.com/spreadsheets/d/14Bd19lYaqBhU8_DElYkX7l4wRkHqqCUFNJY4AfY3kHU/edit?usp=sharing  #gid=0"",""фіз особи new!relations_name""),6,FALSE)
,
(IF
(
G11424=""юридична особа""
,
VLOO"&amp;"KUP(H11424,IMPORTRANGE(""https://docs.google.com/spreadsheets/d/14Bd19lYaqBhU8_DElYkX7l4wRkHqqCUFNJY4AfY3kHU/edit?usp=sharing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23" s="7" t="s">
        <v>23</v>
      </c>
    </row>
    <row r="11424" spans="1:10" ht="13.2">
      <c r="A11424" s="7">
        <v>11423</v>
      </c>
      <c r="B11424" s="7">
        <v>1</v>
      </c>
      <c r="C11424" s="7" t="s">
        <v>10</v>
      </c>
      <c r="D11424" s="7">
        <v>17656</v>
      </c>
      <c r="E11424" s="7" t="s">
        <v>23</v>
      </c>
      <c r="F11424" s="8" t="str">
        <f ca="1">IFERROR(__xludf.DUMMYFUNCTION("IF
(
C11425=""фізична особа""
,
VLOOKUP(D11425,IMPORTRANGE(""https://docs.google.com/spreadsheets/d/14Bd19lYaqBhU8_DElYkX7l4wRkHqqCUFNJY4AfY3kHU/edit?usp=sharing  #gid=0"",""фіз особи new!relations_name""),6,FALSE)
,
(IF
(
C11425=""юридична особа""
,
VLOO"&amp;"KUP(D11425,IMPORTRANGE(""https://docs.google.com/spreadsheets/d/14Bd19lYaqBhU8_DElYkX7l4wRkHqqCUFNJY4AfY3kHU/edit?usp=sharing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4" s="7" t="s">
        <v>10</v>
      </c>
      <c r="H11424" s="7">
        <v>17662</v>
      </c>
      <c r="I11424" s="8" t="str">
        <f ca="1">IFERROR(__xludf.DUMMYFUNCTION("IF
(
G11425=""фізична особа""
,
VLOOKUP(H11425,IMPORTRANGE(""https://docs.google.com/spreadsheets/d/14Bd19lYaqBhU8_DElYkX7l4wRkHqqCUFNJY4AfY3kHU/edit?usp=sharing  #gid=0"",""фіз особи new!relations_name""),6,FALSE)
,
(IF
(
G11425=""юридична особа""
,
VLOO"&amp;"KUP(H11425,IMPORTRANGE(""https://docs.google.com/spreadsheets/d/14Bd19lYaqBhU8_DElYkX7l4wRkHqqCUFNJY4AfY3kHU/edit?usp=sharing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24" s="7" t="s">
        <v>23</v>
      </c>
    </row>
    <row r="11425" spans="1:10" ht="13.2">
      <c r="A11425" s="7">
        <v>11424</v>
      </c>
      <c r="B11425" s="7">
        <v>1</v>
      </c>
      <c r="C11425" s="7" t="s">
        <v>10</v>
      </c>
      <c r="D11425" s="7">
        <v>17656</v>
      </c>
      <c r="E11425" s="7" t="s">
        <v>23</v>
      </c>
      <c r="F11425" s="8" t="str">
        <f ca="1">IFERROR(__xludf.DUMMYFUNCTION("IF
(
C11426=""фізична особа""
,
VLOOKUP(D11426,IMPORTRANGE(""https://docs.google.com/spreadsheets/d/14Bd19lYaqBhU8_DElYkX7l4wRkHqqCUFNJY4AfY3kHU/edit?usp=sharing  #gid=0"",""фіз особи new!relations_name""),6,FALSE)
,
(IF
(
C11426=""юридична особа""
,
VLOO"&amp;"KUP(D11426,IMPORTRANGE(""https://docs.google.com/spreadsheets/d/14Bd19lYaqBhU8_DElYkX7l4wRkHqqCUFNJY4AfY3kHU/edit?usp=sharing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5" s="7" t="s">
        <v>10</v>
      </c>
      <c r="H11425" s="7">
        <v>23635</v>
      </c>
      <c r="I11425" s="8" t="str">
        <f ca="1">IFERROR(__xludf.DUMMYFUNCTION("IF
(
G11426=""фізична особа""
,
VLOOKUP(H11426,IMPORTRANGE(""https://docs.google.com/spreadsheets/d/14Bd19lYaqBhU8_DElYkX7l4wRkHqqCUFNJY4AfY3kHU/edit?usp=sharing  #gid=0"",""фіз особи new!relations_name""),6,FALSE)
,
(IF
(
G11426=""юридична особа""
,
VLOO"&amp;"KUP(H11426,IMPORTRANGE(""https://docs.google.com/spreadsheets/d/14Bd19lYaqBhU8_DElYkX7l4wRkHqqCUFNJY4AfY3kHU/edit?usp=sharing  #gid=0"",""фіз особи new!relations_name_uo""),7,FALSE)
,
)
))"),"ФУРАШОВ Андрій Володимирович")</f>
        <v>ФУРАШОВ Андрій Володимирович</v>
      </c>
      <c r="J11425" s="7" t="s">
        <v>23</v>
      </c>
    </row>
    <row r="11426" spans="1:10" ht="13.2">
      <c r="A11426" s="7">
        <v>11425</v>
      </c>
      <c r="B11426" s="7">
        <v>1</v>
      </c>
      <c r="C11426" s="7" t="s">
        <v>10</v>
      </c>
      <c r="D11426" s="7">
        <v>17656</v>
      </c>
      <c r="E11426" s="7" t="s">
        <v>23</v>
      </c>
      <c r="F11426" s="8" t="str">
        <f ca="1">IFERROR(__xludf.DUMMYFUNCTION("IF
(
C11427=""фізична особа""
,
VLOOKUP(D11427,IMPORTRANGE(""https://docs.google.com/spreadsheets/d/14Bd19lYaqBhU8_DElYkX7l4wRkHqqCUFNJY4AfY3kHU/edit?usp=sharing  #gid=0"",""фіз особи new!relations_name""),6,FALSE)
,
(IF
(
C11427=""юридична особа""
,
VLOO"&amp;"KUP(D11427,IMPORTRANGE(""https://docs.google.com/spreadsheets/d/14Bd19lYaqBhU8_DElYkX7l4wRkHqqCUFNJY4AfY3kHU/edit?usp=sharing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6" s="7" t="s">
        <v>10</v>
      </c>
      <c r="H11426" s="7">
        <v>23636</v>
      </c>
      <c r="I11426" s="8" t="str">
        <f ca="1">IFERROR(__xludf.DUMMYFUNCTION("IF
(
G11427=""фізична особа""
,
VLOOKUP(H11427,IMPORTRANGE(""https://docs.google.com/spreadsheets/d/14Bd19lYaqBhU8_DElYkX7l4wRkHqqCUFNJY4AfY3kHU/edit?usp=sharing  #gid=0"",""фіз особи new!relations_name""),6,FALSE)
,
(IF
(
G11427=""юридична особа""
,
VLOO"&amp;"KUP(H11427,IMPORTRANGE(""https://docs.google.com/spreadsheets/d/14Bd19lYaqBhU8_DElYkX7l4wRkHqqCUFNJY4AfY3kHU/edit?usp=sharing  #gid=0"",""фіз особи new!relations_name_uo""),7,FALSE)
,
)
))"),"ТИХОНОВ Юрій Геннадійович")</f>
        <v>ТИХОНОВ Юрій Геннадійович</v>
      </c>
      <c r="J11426" s="7" t="s">
        <v>23</v>
      </c>
    </row>
    <row r="11427" spans="1:10" ht="13.2">
      <c r="A11427" s="7">
        <v>11426</v>
      </c>
      <c r="B11427" s="7">
        <v>1</v>
      </c>
      <c r="C11427" s="7" t="s">
        <v>10</v>
      </c>
      <c r="D11427" s="7">
        <v>17656</v>
      </c>
      <c r="E11427" s="7" t="s">
        <v>23</v>
      </c>
      <c r="F11427" s="8" t="str">
        <f ca="1">IFERROR(__xludf.DUMMYFUNCTION("IF
(
C11428=""фізична особа""
,
VLOOKUP(D11428,IMPORTRANGE(""https://docs.google.com/spreadsheets/d/14Bd19lYaqBhU8_DElYkX7l4wRkHqqCUFNJY4AfY3kHU/edit?usp=sharing  #gid=0"",""фіз особи new!relations_name""),6,FALSE)
,
(IF
(
C11428=""юридична особа""
,
VLOO"&amp;"KUP(D11428,IMPORTRANGE(""https://docs.google.com/spreadsheets/d/14Bd19lYaqBhU8_DElYkX7l4wRkHqqCUFNJY4AfY3kHU/edit?usp=sharing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7" s="7" t="s">
        <v>10</v>
      </c>
      <c r="H11427" s="7">
        <v>23637</v>
      </c>
      <c r="I11427" s="8" t="str">
        <f ca="1">IFERROR(__xludf.DUMMYFUNCTION("IF
(
G11428=""фізична особа""
,
VLOOKUP(H11428,IMPORTRANGE(""https://docs.google.com/spreadsheets/d/14Bd19lYaqBhU8_DElYkX7l4wRkHqqCUFNJY4AfY3kHU/edit?usp=sharing  #gid=0"",""фіз особи new!relations_name""),6,FALSE)
,
(IF
(
G11428=""юридична особа""
,
VLOO"&amp;"KUP(H11428,IMPORTRANGE(""https://docs.google.com/spreadsheets/d/14Bd19lYaqBhU8_DElYkX7l4wRkHqqCUFNJY4AfY3kHU/edit?usp=sharing  #gid=0"",""фіз особи new!relations_name_uo""),7,FALSE)
,
)
))"),"ІВАНОВ Микола Анатолійович")</f>
        <v>ІВАНОВ Микола Анатолійович</v>
      </c>
      <c r="J11427" s="7" t="s">
        <v>23</v>
      </c>
    </row>
    <row r="11428" spans="1:10" ht="13.2">
      <c r="A11428" s="7">
        <v>11427</v>
      </c>
      <c r="B11428" s="7">
        <v>1</v>
      </c>
      <c r="C11428" s="7" t="s">
        <v>10</v>
      </c>
      <c r="D11428" s="7">
        <v>17656</v>
      </c>
      <c r="E11428" s="7" t="s">
        <v>23</v>
      </c>
      <c r="F11428" s="8" t="str">
        <f ca="1">IFERROR(__xludf.DUMMYFUNCTION("IF
(
C11429=""фізична особа""
,
VLOOKUP(D11429,IMPORTRANGE(""https://docs.google.com/spreadsheets/d/14Bd19lYaqBhU8_DElYkX7l4wRkHqqCUFNJY4AfY3kHU/edit?usp=sharing  #gid=0"",""фіз особи new!relations_name""),6,FALSE)
,
(IF
(
C11429=""юридична особа""
,
VLOO"&amp;"KUP(D11429,IMPORTRANGE(""https://docs.google.com/spreadsheets/d/14Bd19lYaqBhU8_DElYkX7l4wRkHqqCUFNJY4AfY3kHU/edit?usp=sharing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8" s="7" t="s">
        <v>10</v>
      </c>
      <c r="H11428" s="7">
        <v>0</v>
      </c>
      <c r="I11428" s="8" t="str">
        <f ca="1">IFERROR(__xludf.DUMMYFUNCTION("IF
(
G11429=""фізична особа""
,
VLOOKUP(H11429,IMPORTRANGE(""https://docs.google.com/spreadsheets/d/14Bd19lYaqBhU8_DElYkX7l4wRkHqqCUFNJY4AfY3kHU/edit?usp=sharing  #gid=0"",""фіз особи new!relations_name""),6,FALSE)
,
(IF
(
G11429=""юридична особа""
,
VLOO"&amp;"KUP(H11429,IMPORTRANGE(""https://docs.google.com/spreadsheets/d/14Bd19lYaqBhU8_DElYkX7l4wRkHqqCUFNJY4AfY3kHU/edit?usp=sharing  #gid=0"",""фіз особи new!relations_name_uo""),7,FALSE)
,
)
))"),"#N/A")</f>
        <v>#N/A</v>
      </c>
      <c r="J11428" s="7" t="s">
        <v>23</v>
      </c>
    </row>
    <row r="11429" spans="1:10" ht="13.2">
      <c r="A11429" s="7">
        <v>11428</v>
      </c>
      <c r="B11429" s="7">
        <v>1</v>
      </c>
      <c r="C11429" s="7" t="s">
        <v>10</v>
      </c>
      <c r="D11429" s="7">
        <v>17656</v>
      </c>
      <c r="E11429" s="7" t="s">
        <v>23</v>
      </c>
      <c r="F11429" s="8" t="str">
        <f ca="1">IFERROR(__xludf.DUMMYFUNCTION("IF
(
C11430=""фізична особа""
,
VLOOKUP(D11430,IMPORTRANGE(""https://docs.google.com/spreadsheets/d/14Bd19lYaqBhU8_DElYkX7l4wRkHqqCUFNJY4AfY3kHU/edit?usp=sharing  #gid=0"",""фіз особи new!relations_name""),6,FALSE)
,
(IF
(
C11430=""юридична особа""
,
VLOO"&amp;"KUP(D11430,IMPORTRANGE(""https://docs.google.com/spreadsheets/d/14Bd19lYaqBhU8_DElYkX7l4wRkHqqCUFNJY4AfY3kHU/edit?usp=sharing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G11429" s="7" t="s">
        <v>10</v>
      </c>
      <c r="H11429" s="7">
        <v>23638</v>
      </c>
      <c r="I11429" s="8" t="str">
        <f ca="1">IFERROR(__xludf.DUMMYFUNCTION("IF
(
G11430=""фізична особа""
,
VLOOKUP(H11430,IMPORTRANGE(""https://docs.google.com/spreadsheets/d/14Bd19lYaqBhU8_DElYkX7l4wRkHqqCUFNJY4AfY3kHU/edit?usp=sharing  #gid=0"",""фіз особи new!relations_name""),6,FALSE)
,
(IF
(
G11430=""юридична особа""
,
VLOO"&amp;"KUP(H11430,IMPORTRANGE(""https://docs.google.com/spreadsheets/d/14Bd19lYaqBhU8_DElYkX7l4wRkHqqCUFNJY4AfY3kHU/edit?usp=sharing  #gid=0"",""фіз особи new!relations_name_uo""),7,FALSE)
,
)
))"),"ТЮРІН Віталій Борисович")</f>
        <v>ТЮРІН Віталій Борисович</v>
      </c>
      <c r="J11429" s="7" t="s">
        <v>23</v>
      </c>
    </row>
    <row r="11430" spans="1:10" ht="13.2">
      <c r="A11430" s="7">
        <v>11429</v>
      </c>
      <c r="B11430" s="7">
        <v>1</v>
      </c>
      <c r="C11430" s="7" t="s">
        <v>10</v>
      </c>
      <c r="D11430" s="7">
        <v>17657</v>
      </c>
      <c r="E11430" s="7" t="s">
        <v>23</v>
      </c>
      <c r="F11430" s="8" t="str">
        <f ca="1">IFERROR(__xludf.DUMMYFUNCTION("IF
(
C11431=""фізична особа""
,
VLOOKUP(D11431,IMPORTRANGE(""https://docs.google.com/spreadsheets/d/14Bd19lYaqBhU8_DElYkX7l4wRkHqqCUFNJY4AfY3kHU/edit?usp=sharing  #gid=0"",""фіз особи new!relations_name""),6,FALSE)
,
(IF
(
C11431=""юридична особа""
,
VLOO"&amp;"KUP(D11431,IMPORTRANGE(""https://docs.google.com/spreadsheets/d/14Bd19lYaqBhU8_DElYkX7l4wRkHqqCUFNJY4AfY3kHU/edit?usp=sharing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0" s="7" t="s">
        <v>10</v>
      </c>
      <c r="H11430" s="7">
        <v>23632</v>
      </c>
      <c r="I11430" s="8" t="str">
        <f ca="1">IFERROR(__xludf.DUMMYFUNCTION("IF
(
G11431=""фізична особа""
,
VLOOKUP(H11431,IMPORTRANGE(""https://docs.google.com/spreadsheets/d/14Bd19lYaqBhU8_DElYkX7l4wRkHqqCUFNJY4AfY3kHU/edit?usp=sharing  #gid=0"",""фіз особи new!relations_name""),6,FALSE)
,
(IF
(
G11431=""юридична особа""
,
VLOO"&amp;"KUP(H11431,IMPORTRANGE(""https://docs.google.com/spreadsheets/d/14Bd19lYaqBhU8_DElYkX7l4wRkHqqCUFNJY4AfY3kHU/edit?usp=sharing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430" s="7" t="s">
        <v>23</v>
      </c>
    </row>
    <row r="11431" spans="1:10" ht="13.2">
      <c r="A11431" s="7">
        <v>11430</v>
      </c>
      <c r="B11431" s="7">
        <v>1</v>
      </c>
      <c r="C11431" s="7" t="s">
        <v>10</v>
      </c>
      <c r="D11431" s="7">
        <v>17657</v>
      </c>
      <c r="E11431" s="7" t="s">
        <v>23</v>
      </c>
      <c r="F11431" s="8" t="str">
        <f ca="1">IFERROR(__xludf.DUMMYFUNCTION("IF
(
C11432=""фізична особа""
,
VLOOKUP(D11432,IMPORTRANGE(""https://docs.google.com/spreadsheets/d/14Bd19lYaqBhU8_DElYkX7l4wRkHqqCUFNJY4AfY3kHU/edit?usp=sharing  #gid=0"",""фіз особи new!relations_name""),6,FALSE)
,
(IF
(
C11432=""юридична особа""
,
VLOO"&amp;"KUP(D11432,IMPORTRANGE(""https://docs.google.com/spreadsheets/d/14Bd19lYaqBhU8_DElYkX7l4wRkHqqCUFNJY4AfY3kHU/edit?usp=sharing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1" s="7" t="s">
        <v>10</v>
      </c>
      <c r="H11431" s="7">
        <v>23633</v>
      </c>
      <c r="I11431" s="8" t="str">
        <f ca="1">IFERROR(__xludf.DUMMYFUNCTION("IF
(
G11432=""фізична особа""
,
VLOOKUP(H11432,IMPORTRANGE(""https://docs.google.com/spreadsheets/d/14Bd19lYaqBhU8_DElYkX7l4wRkHqqCUFNJY4AfY3kHU/edit?usp=sharing  #gid=0"",""фіз особи new!relations_name""),6,FALSE)
,
(IF
(
G11432=""юридична особа""
,
VLOO"&amp;"KUP(H11432,IMPORTRANGE(""https://docs.google.com/spreadsheets/d/14Bd19lYaqBhU8_DElYkX7l4wRkHqqCUFNJY4AfY3kHU/edit?usp=sharing  #gid=0"",""фіз особи new!relations_name_uo""),7,FALSE)
,
)
))"),"СТАТКЕВИЧ Андрій Геннадійович")</f>
        <v>СТАТКЕВИЧ Андрій Геннадійович</v>
      </c>
      <c r="J11431" s="7" t="s">
        <v>23</v>
      </c>
    </row>
    <row r="11432" spans="1:10" ht="13.2">
      <c r="A11432" s="7">
        <v>11431</v>
      </c>
      <c r="B11432" s="7">
        <v>1</v>
      </c>
      <c r="C11432" s="7" t="s">
        <v>10</v>
      </c>
      <c r="D11432" s="7">
        <v>17657</v>
      </c>
      <c r="E11432" s="7" t="s">
        <v>23</v>
      </c>
      <c r="F11432" s="8" t="str">
        <f ca="1">IFERROR(__xludf.DUMMYFUNCTION("IF
(
C11433=""фізична особа""
,
VLOOKUP(D11433,IMPORTRANGE(""https://docs.google.com/spreadsheets/d/14Bd19lYaqBhU8_DElYkX7l4wRkHqqCUFNJY4AfY3kHU/edit?usp=sharing  #gid=0"",""фіз особи new!relations_name""),6,FALSE)
,
(IF
(
C11433=""юридична особа""
,
VLOO"&amp;"KUP(D11433,IMPORTRANGE(""https://docs.google.com/spreadsheets/d/14Bd19lYaqBhU8_DElYkX7l4wRkHqqCUFNJY4AfY3kHU/edit?usp=sharing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2" s="7" t="s">
        <v>10</v>
      </c>
      <c r="H11432" s="7">
        <v>23634</v>
      </c>
      <c r="I11432" s="8" t="str">
        <f ca="1">IFERROR(__xludf.DUMMYFUNCTION("IF
(
G11433=""фізична особа""
,
VLOOKUP(H11433,IMPORTRANGE(""https://docs.google.com/spreadsheets/d/14Bd19lYaqBhU8_DElYkX7l4wRkHqqCUFNJY4AfY3kHU/edit?usp=sharing  #gid=0"",""фіз особи new!relations_name""),6,FALSE)
,
(IF
(
G11433=""юридична особа""
,
VLOO"&amp;"KUP(H11433,IMPORTRANGE(""https://docs.google.com/spreadsheets/d/14Bd19lYaqBhU8_DElYkX7l4wRkHqqCUFNJY4AfY3kHU/edit?usp=sharing  #gid=0"",""фіз особи new!relations_name_uo""),7,FALSE)
,
)
))"),"СТЕПАНОВ Едуард Іванович")</f>
        <v>СТЕПАНОВ Едуард Іванович</v>
      </c>
      <c r="J11432" s="7" t="s">
        <v>23</v>
      </c>
    </row>
    <row r="11433" spans="1:10" ht="13.2">
      <c r="A11433" s="7">
        <v>11432</v>
      </c>
      <c r="B11433" s="7">
        <v>1</v>
      </c>
      <c r="C11433" s="7" t="s">
        <v>10</v>
      </c>
      <c r="D11433" s="7">
        <v>17657</v>
      </c>
      <c r="E11433" s="7" t="s">
        <v>23</v>
      </c>
      <c r="F11433" s="8" t="str">
        <f ca="1">IFERROR(__xludf.DUMMYFUNCTION("IF
(
C11434=""фізична особа""
,
VLOOKUP(D11434,IMPORTRANGE(""https://docs.google.com/spreadsheets/d/14Bd19lYaqBhU8_DElYkX7l4wRkHqqCUFNJY4AfY3kHU/edit?usp=sharing  #gid=0"",""фіз особи new!relations_name""),6,FALSE)
,
(IF
(
C11434=""юридична особа""
,
VLOO"&amp;"KUP(D11434,IMPORTRANGE(""https://docs.google.com/spreadsheets/d/14Bd19lYaqBhU8_DElYkX7l4wRkHqqCUFNJY4AfY3kHU/edit?usp=sharing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3" s="7" t="s">
        <v>10</v>
      </c>
      <c r="H11433" s="7">
        <v>17655</v>
      </c>
      <c r="I11433" s="8" t="str">
        <f ca="1">IFERROR(__xludf.DUMMYFUNCTION("IF
(
G11434=""фізична особа""
,
VLOOKUP(H11434,IMPORTRANGE(""https://docs.google.com/spreadsheets/d/14Bd19lYaqBhU8_DElYkX7l4wRkHqqCUFNJY4AfY3kHU/edit?usp=sharing  #gid=0"",""фіз особи new!relations_name""),6,FALSE)
,
(IF
(
G11434=""юридична особа""
,
VLOO"&amp;"KUP(H11434,IMPORTRANGE(""https://docs.google.com/spreadsheets/d/14Bd19lYaqBhU8_DElYkX7l4wRkHqqCUFNJY4AfY3kHU/edit?usp=sharing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33" s="7" t="s">
        <v>23</v>
      </c>
    </row>
    <row r="11434" spans="1:10" ht="13.2">
      <c r="A11434" s="7">
        <v>11433</v>
      </c>
      <c r="B11434" s="7">
        <v>1</v>
      </c>
      <c r="C11434" s="7" t="s">
        <v>10</v>
      </c>
      <c r="D11434" s="7">
        <v>17657</v>
      </c>
      <c r="E11434" s="7" t="s">
        <v>23</v>
      </c>
      <c r="F11434" s="8" t="str">
        <f ca="1">IFERROR(__xludf.DUMMYFUNCTION("IF
(
C11435=""фізична особа""
,
VLOOKUP(D11435,IMPORTRANGE(""https://docs.google.com/spreadsheets/d/14Bd19lYaqBhU8_DElYkX7l4wRkHqqCUFNJY4AfY3kHU/edit?usp=sharing  #gid=0"",""фіз особи new!relations_name""),6,FALSE)
,
(IF
(
C11435=""юридична особа""
,
VLOO"&amp;"KUP(D11435,IMPORTRANGE(""https://docs.google.com/spreadsheets/d/14Bd19lYaqBhU8_DElYkX7l4wRkHqqCUFNJY4AfY3kHU/edit?usp=sharing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4" s="7" t="s">
        <v>10</v>
      </c>
      <c r="H11434" s="7">
        <v>17658</v>
      </c>
      <c r="I11434" s="8" t="str">
        <f ca="1">IFERROR(__xludf.DUMMYFUNCTION("IF
(
G11435=""фізична особа""
,
VLOOKUP(H11435,IMPORTRANGE(""https://docs.google.com/spreadsheets/d/14Bd19lYaqBhU8_DElYkX7l4wRkHqqCUFNJY4AfY3kHU/edit?usp=sharing  #gid=0"",""фіз особи new!relations_name""),6,FALSE)
,
(IF
(
G11435=""юридична особа""
,
VLOO"&amp;"KUP(H11435,IMPORTRANGE(""https://docs.google.com/spreadsheets/d/14Bd19lYaqBhU8_DElYkX7l4wRkHqqCUFNJY4AfY3kHU/edit?usp=sharing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434" s="7" t="s">
        <v>23</v>
      </c>
    </row>
    <row r="11435" spans="1:10" ht="13.2">
      <c r="A11435" s="7">
        <v>11434</v>
      </c>
      <c r="B11435" s="7">
        <v>1</v>
      </c>
      <c r="C11435" s="7" t="s">
        <v>10</v>
      </c>
      <c r="D11435" s="7">
        <v>17657</v>
      </c>
      <c r="E11435" s="7" t="s">
        <v>23</v>
      </c>
      <c r="F11435" s="8" t="str">
        <f ca="1">IFERROR(__xludf.DUMMYFUNCTION("IF
(
C11436=""фізична особа""
,
VLOOKUP(D11436,IMPORTRANGE(""https://docs.google.com/spreadsheets/d/14Bd19lYaqBhU8_DElYkX7l4wRkHqqCUFNJY4AfY3kHU/edit?usp=sharing  #gid=0"",""фіз особи new!relations_name""),6,FALSE)
,
(IF
(
C11436=""юридична особа""
,
VLOO"&amp;"KUP(D11436,IMPORTRANGE(""https://docs.google.com/spreadsheets/d/14Bd19lYaqBhU8_DElYkX7l4wRkHqqCUFNJY4AfY3kHU/edit?usp=sharing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5" s="7" t="s">
        <v>10</v>
      </c>
      <c r="H11435" s="7">
        <v>17659</v>
      </c>
      <c r="I11435" s="8" t="str">
        <f ca="1">IFERROR(__xludf.DUMMYFUNCTION("IF
(
G11436=""фізична особа""
,
VLOOKUP(H11436,IMPORTRANGE(""https://docs.google.com/spreadsheets/d/14Bd19lYaqBhU8_DElYkX7l4wRkHqqCUFNJY4AfY3kHU/edit?usp=sharing  #gid=0"",""фіз особи new!relations_name""),6,FALSE)
,
(IF
(
G11436=""юридична особа""
,
VLOO"&amp;"KUP(H11436,IMPORTRANGE(""https://docs.google.com/spreadsheets/d/14Bd19lYaqBhU8_DElYkX7l4wRkHqqCUFNJY4AfY3kHU/edit?usp=sharing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35" s="7" t="s">
        <v>23</v>
      </c>
    </row>
    <row r="11436" spans="1:10" ht="13.2">
      <c r="A11436" s="7">
        <v>11435</v>
      </c>
      <c r="B11436" s="7">
        <v>1</v>
      </c>
      <c r="C11436" s="7" t="s">
        <v>10</v>
      </c>
      <c r="D11436" s="7">
        <v>17657</v>
      </c>
      <c r="E11436" s="7" t="s">
        <v>23</v>
      </c>
      <c r="F11436" s="8" t="str">
        <f ca="1">IFERROR(__xludf.DUMMYFUNCTION("IF
(
C11437=""фізична особа""
,
VLOOKUP(D11437,IMPORTRANGE(""https://docs.google.com/spreadsheets/d/14Bd19lYaqBhU8_DElYkX7l4wRkHqqCUFNJY4AfY3kHU/edit?usp=sharing  #gid=0"",""фіз особи new!relations_name""),6,FALSE)
,
(IF
(
C11437=""юридична особа""
,
VLOO"&amp;"KUP(D11437,IMPORTRANGE(""https://docs.google.com/spreadsheets/d/14Bd19lYaqBhU8_DElYkX7l4wRkHqqCUFNJY4AfY3kHU/edit?usp=sharing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6" s="7" t="s">
        <v>10</v>
      </c>
      <c r="H11436" s="7">
        <v>17656</v>
      </c>
      <c r="I11436" s="8" t="str">
        <f ca="1">IFERROR(__xludf.DUMMYFUNCTION("IF
(
G11437=""фізична особа""
,
VLOOKUP(H11437,IMPORTRANGE(""https://docs.google.com/spreadsheets/d/14Bd19lYaqBhU8_DElYkX7l4wRkHqqCUFNJY4AfY3kHU/edit?usp=sharing  #gid=0"",""фіз особи new!relations_name""),6,FALSE)
,
(IF
(
G11437=""юридична особа""
,
VLOO"&amp;"KUP(H11437,IMPORTRANGE(""https://docs.google.com/spreadsheets/d/14Bd19lYaqBhU8_DElYkX7l4wRkHqqCUFNJY4AfY3kHU/edit?usp=sharing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436" s="7" t="s">
        <v>23</v>
      </c>
    </row>
    <row r="11437" spans="1:10" ht="13.2">
      <c r="A11437" s="7">
        <v>11436</v>
      </c>
      <c r="B11437" s="7">
        <v>1</v>
      </c>
      <c r="C11437" s="7" t="s">
        <v>10</v>
      </c>
      <c r="D11437" s="7">
        <v>17657</v>
      </c>
      <c r="E11437" s="7" t="s">
        <v>23</v>
      </c>
      <c r="F11437" s="8" t="str">
        <f ca="1">IFERROR(__xludf.DUMMYFUNCTION("IF
(
C11438=""фізична особа""
,
VLOOKUP(D11438,IMPORTRANGE(""https://docs.google.com/spreadsheets/d/14Bd19lYaqBhU8_DElYkX7l4wRkHqqCUFNJY4AfY3kHU/edit?usp=sharing  #gid=0"",""фіз особи new!relations_name""),6,FALSE)
,
(IF
(
C11438=""юридична особа""
,
VLOO"&amp;"KUP(D11438,IMPORTRANGE(""https://docs.google.com/spreadsheets/d/14Bd19lYaqBhU8_DElYkX7l4wRkHqqCUFNJY4AfY3kHU/edit?usp=sharing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7" s="7" t="s">
        <v>10</v>
      </c>
      <c r="H11437" s="7">
        <v>17654</v>
      </c>
      <c r="I11437" s="8" t="str">
        <f ca="1">IFERROR(__xludf.DUMMYFUNCTION("IF
(
G11438=""фізична особа""
,
VLOOKUP(H11438,IMPORTRANGE(""https://docs.google.com/spreadsheets/d/14Bd19lYaqBhU8_DElYkX7l4wRkHqqCUFNJY4AfY3kHU/edit?usp=sharing  #gid=0"",""фіз особи new!relations_name""),6,FALSE)
,
(IF
(
G11438=""юридична особа""
,
VLOO"&amp;"KUP(H11438,IMPORTRANGE(""https://docs.google.com/spreadsheets/d/14Bd19lYaqBhU8_DElYkX7l4wRkHqqCUFNJY4AfY3kHU/edit?usp=sharing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37" s="7" t="s">
        <v>23</v>
      </c>
    </row>
    <row r="11438" spans="1:10" ht="13.2">
      <c r="A11438" s="7">
        <v>11437</v>
      </c>
      <c r="B11438" s="7">
        <v>1</v>
      </c>
      <c r="C11438" s="7" t="s">
        <v>10</v>
      </c>
      <c r="D11438" s="7">
        <v>17657</v>
      </c>
      <c r="E11438" s="7" t="s">
        <v>23</v>
      </c>
      <c r="F11438" s="8" t="str">
        <f ca="1">IFERROR(__xludf.DUMMYFUNCTION("IF
(
C11439=""фізична особа""
,
VLOOKUP(D11439,IMPORTRANGE(""https://docs.google.com/spreadsheets/d/14Bd19lYaqBhU8_DElYkX7l4wRkHqqCUFNJY4AfY3kHU/edit?usp=sharing  #gid=0"",""фіз особи new!relations_name""),6,FALSE)
,
(IF
(
C11439=""юридична особа""
,
VLOO"&amp;"KUP(D11439,IMPORTRANGE(""https://docs.google.com/spreadsheets/d/14Bd19lYaqBhU8_DElYkX7l4wRkHqqCUFNJY4AfY3kHU/edit?usp=sharing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8" s="7" t="s">
        <v>10</v>
      </c>
      <c r="H11438" s="7">
        <v>17666</v>
      </c>
      <c r="I11438" s="8" t="str">
        <f ca="1">IFERROR(__xludf.DUMMYFUNCTION("IF
(
G11439=""фізична особа""
,
VLOOKUP(H11439,IMPORTRANGE(""https://docs.google.com/spreadsheets/d/14Bd19lYaqBhU8_DElYkX7l4wRkHqqCUFNJY4AfY3kHU/edit?usp=sharing  #gid=0"",""фіз особи new!relations_name""),6,FALSE)
,
(IF
(
G11439=""юридична особа""
,
VLOO"&amp;"KUP(H11439,IMPORTRANGE(""https://docs.google.com/spreadsheets/d/14Bd19lYaqBhU8_DElYkX7l4wRkHqqCUFNJY4AfY3kHU/edit?usp=sharing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38" s="7" t="s">
        <v>23</v>
      </c>
    </row>
    <row r="11439" spans="1:10" ht="13.2">
      <c r="A11439" s="7">
        <v>11438</v>
      </c>
      <c r="B11439" s="7">
        <v>1</v>
      </c>
      <c r="C11439" s="7" t="s">
        <v>10</v>
      </c>
      <c r="D11439" s="7">
        <v>17657</v>
      </c>
      <c r="E11439" s="7" t="s">
        <v>23</v>
      </c>
      <c r="F11439" s="8" t="str">
        <f ca="1">IFERROR(__xludf.DUMMYFUNCTION("IF
(
C11440=""фізична особа""
,
VLOOKUP(D11440,IMPORTRANGE(""https://docs.google.com/spreadsheets/d/14Bd19lYaqBhU8_DElYkX7l4wRkHqqCUFNJY4AfY3kHU/edit?usp=sharing  #gid=0"",""фіз особи new!relations_name""),6,FALSE)
,
(IF
(
C11440=""юридична особа""
,
VLOO"&amp;"KUP(D11440,IMPORTRANGE(""https://docs.google.com/spreadsheets/d/14Bd19lYaqBhU8_DElYkX7l4wRkHqqCUFNJY4AfY3kHU/edit?usp=sharing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39" s="7" t="s">
        <v>10</v>
      </c>
      <c r="H11439" s="7">
        <v>17664</v>
      </c>
      <c r="I11439" s="8" t="str">
        <f ca="1">IFERROR(__xludf.DUMMYFUNCTION("IF
(
G11440=""фізична особа""
,
VLOOKUP(H11440,IMPORTRANGE(""https://docs.google.com/spreadsheets/d/14Bd19lYaqBhU8_DElYkX7l4wRkHqqCUFNJY4AfY3kHU/edit?usp=sharing  #gid=0"",""фіз особи new!relations_name""),6,FALSE)
,
(IF
(
G11440=""юридична особа""
,
VLOO"&amp;"KUP(H11440,IMPORTRANGE(""https://docs.google.com/spreadsheets/d/14Bd19lYaqBhU8_DElYkX7l4wRkHqqCUFNJY4AfY3kHU/edit?usp=sharing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39" s="7" t="s">
        <v>23</v>
      </c>
    </row>
    <row r="11440" spans="1:10" ht="13.2">
      <c r="A11440" s="7">
        <v>11439</v>
      </c>
      <c r="B11440" s="7">
        <v>1</v>
      </c>
      <c r="C11440" s="7" t="s">
        <v>10</v>
      </c>
      <c r="D11440" s="7">
        <v>17657</v>
      </c>
      <c r="E11440" s="7" t="s">
        <v>23</v>
      </c>
      <c r="F11440" s="8" t="str">
        <f ca="1">IFERROR(__xludf.DUMMYFUNCTION("IF
(
C11441=""фізична особа""
,
VLOOKUP(D11441,IMPORTRANGE(""https://docs.google.com/spreadsheets/d/14Bd19lYaqBhU8_DElYkX7l4wRkHqqCUFNJY4AfY3kHU/edit?usp=sharing  #gid=0"",""фіз особи new!relations_name""),6,FALSE)
,
(IF
(
C11441=""юридична особа""
,
VLOO"&amp;"KUP(D11441,IMPORTRANGE(""https://docs.google.com/spreadsheets/d/14Bd19lYaqBhU8_DElYkX7l4wRkHqqCUFNJY4AfY3kHU/edit?usp=sharing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0" s="7" t="s">
        <v>10</v>
      </c>
      <c r="H11440" s="7">
        <v>17665</v>
      </c>
      <c r="I11440" s="8" t="str">
        <f ca="1">IFERROR(__xludf.DUMMYFUNCTION("IF
(
G11441=""фізична особа""
,
VLOOKUP(H11441,IMPORTRANGE(""https://docs.google.com/spreadsheets/d/14Bd19lYaqBhU8_DElYkX7l4wRkHqqCUFNJY4AfY3kHU/edit?usp=sharing  #gid=0"",""фіз особи new!relations_name""),6,FALSE)
,
(IF
(
G11441=""юридична особа""
,
VLOO"&amp;"KUP(H11441,IMPORTRANGE(""https://docs.google.com/spreadsheets/d/14Bd19lYaqBhU8_DElYkX7l4wRkHqqCUFNJY4AfY3kHU/edit?usp=sharing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40" s="7" t="s">
        <v>23</v>
      </c>
    </row>
    <row r="11441" spans="1:10" ht="13.2">
      <c r="A11441" s="7">
        <v>11440</v>
      </c>
      <c r="B11441" s="7">
        <v>1</v>
      </c>
      <c r="C11441" s="7" t="s">
        <v>10</v>
      </c>
      <c r="D11441" s="7">
        <v>17657</v>
      </c>
      <c r="E11441" s="7" t="s">
        <v>23</v>
      </c>
      <c r="F11441" s="8" t="str">
        <f ca="1">IFERROR(__xludf.DUMMYFUNCTION("IF
(
C11442=""фізична особа""
,
VLOOKUP(D11442,IMPORTRANGE(""https://docs.google.com/spreadsheets/d/14Bd19lYaqBhU8_DElYkX7l4wRkHqqCUFNJY4AfY3kHU/edit?usp=sharing  #gid=0"",""фіз особи new!relations_name""),6,FALSE)
,
(IF
(
C11442=""юридична особа""
,
VLOO"&amp;"KUP(D11442,IMPORTRANGE(""https://docs.google.com/spreadsheets/d/14Bd19lYaqBhU8_DElYkX7l4wRkHqqCUFNJY4AfY3kHU/edit?usp=sharing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1" s="7" t="s">
        <v>10</v>
      </c>
      <c r="H11441" s="7">
        <v>17661</v>
      </c>
      <c r="I11441" s="8" t="str">
        <f ca="1">IFERROR(__xludf.DUMMYFUNCTION("IF
(
G11442=""фізична особа""
,
VLOOKUP(H11442,IMPORTRANGE(""https://docs.google.com/spreadsheets/d/14Bd19lYaqBhU8_DElYkX7l4wRkHqqCUFNJY4AfY3kHU/edit?usp=sharing  #gid=0"",""фіз особи new!relations_name""),6,FALSE)
,
(IF
(
G11442=""юридична особа""
,
VLOO"&amp;"KUP(H11442,IMPORTRANGE(""https://docs.google.com/spreadsheets/d/14Bd19lYaqBhU8_DElYkX7l4wRkHqqCUFNJY4AfY3kHU/edit?usp=sharing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41" s="7" t="s">
        <v>23</v>
      </c>
    </row>
    <row r="11442" spans="1:10" ht="13.2">
      <c r="A11442" s="7">
        <v>11441</v>
      </c>
      <c r="B11442" s="7">
        <v>1</v>
      </c>
      <c r="C11442" s="7" t="s">
        <v>10</v>
      </c>
      <c r="D11442" s="7">
        <v>17657</v>
      </c>
      <c r="E11442" s="7" t="s">
        <v>23</v>
      </c>
      <c r="F11442" s="8" t="str">
        <f ca="1">IFERROR(__xludf.DUMMYFUNCTION("IF
(
C11443=""фізична особа""
,
VLOOKUP(D11443,IMPORTRANGE(""https://docs.google.com/spreadsheets/d/14Bd19lYaqBhU8_DElYkX7l4wRkHqqCUFNJY4AfY3kHU/edit?usp=sharing  #gid=0"",""фіз особи new!relations_name""),6,FALSE)
,
(IF
(
C11443=""юридична особа""
,
VLOO"&amp;"KUP(D11443,IMPORTRANGE(""https://docs.google.com/spreadsheets/d/14Bd19lYaqBhU8_DElYkX7l4wRkHqqCUFNJY4AfY3kHU/edit?usp=sharing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2" s="7" t="s">
        <v>10</v>
      </c>
      <c r="H11442" s="7">
        <v>17660</v>
      </c>
      <c r="I11442" s="8" t="str">
        <f ca="1">IFERROR(__xludf.DUMMYFUNCTION("IF
(
G11443=""фізична особа""
,
VLOOKUP(H11443,IMPORTRANGE(""https://docs.google.com/spreadsheets/d/14Bd19lYaqBhU8_DElYkX7l4wRkHqqCUFNJY4AfY3kHU/edit?usp=sharing  #gid=0"",""фіз особи new!relations_name""),6,FALSE)
,
(IF
(
G11443=""юридична особа""
,
VLOO"&amp;"KUP(H11443,IMPORTRANGE(""https://docs.google.com/spreadsheets/d/14Bd19lYaqBhU8_DElYkX7l4wRkHqqCUFNJY4AfY3kHU/edit?usp=sharing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442" s="7" t="s">
        <v>23</v>
      </c>
    </row>
    <row r="11443" spans="1:10" ht="13.2">
      <c r="A11443" s="7">
        <v>11442</v>
      </c>
      <c r="B11443" s="7">
        <v>1</v>
      </c>
      <c r="C11443" s="7" t="s">
        <v>10</v>
      </c>
      <c r="D11443" s="7">
        <v>17657</v>
      </c>
      <c r="E11443" s="7" t="s">
        <v>23</v>
      </c>
      <c r="F11443" s="8" t="str">
        <f ca="1">IFERROR(__xludf.DUMMYFUNCTION("IF
(
C11444=""фізична особа""
,
VLOOKUP(D11444,IMPORTRANGE(""https://docs.google.com/spreadsheets/d/14Bd19lYaqBhU8_DElYkX7l4wRkHqqCUFNJY4AfY3kHU/edit?usp=sharing  #gid=0"",""фіз особи new!relations_name""),6,FALSE)
,
(IF
(
C11444=""юридична особа""
,
VLOO"&amp;"KUP(D11444,IMPORTRANGE(""https://docs.google.com/spreadsheets/d/14Bd19lYaqBhU8_DElYkX7l4wRkHqqCUFNJY4AfY3kHU/edit?usp=sharing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3" s="7" t="s">
        <v>10</v>
      </c>
      <c r="H11443" s="7">
        <v>17663</v>
      </c>
      <c r="I11443" s="8" t="str">
        <f ca="1">IFERROR(__xludf.DUMMYFUNCTION("IF
(
G11444=""фізична особа""
,
VLOOKUP(H11444,IMPORTRANGE(""https://docs.google.com/spreadsheets/d/14Bd19lYaqBhU8_DElYkX7l4wRkHqqCUFNJY4AfY3kHU/edit?usp=sharing  #gid=0"",""фіз особи new!relations_name""),6,FALSE)
,
(IF
(
G11444=""юридична особа""
,
VLOO"&amp;"KUP(H11444,IMPORTRANGE(""https://docs.google.com/spreadsheets/d/14Bd19lYaqBhU8_DElYkX7l4wRkHqqCUFNJY4AfY3kHU/edit?usp=sharing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43" s="7" t="s">
        <v>23</v>
      </c>
    </row>
    <row r="11444" spans="1:10" ht="13.2">
      <c r="A11444" s="7">
        <v>11443</v>
      </c>
      <c r="B11444" s="7">
        <v>1</v>
      </c>
      <c r="C11444" s="7" t="s">
        <v>10</v>
      </c>
      <c r="D11444" s="7">
        <v>17657</v>
      </c>
      <c r="E11444" s="7" t="s">
        <v>23</v>
      </c>
      <c r="F11444" s="8" t="str">
        <f ca="1">IFERROR(__xludf.DUMMYFUNCTION("IF
(
C11445=""фізична особа""
,
VLOOKUP(D11445,IMPORTRANGE(""https://docs.google.com/spreadsheets/d/14Bd19lYaqBhU8_DElYkX7l4wRkHqqCUFNJY4AfY3kHU/edit?usp=sharing  #gid=0"",""фіз особи new!relations_name""),6,FALSE)
,
(IF
(
C11445=""юридична особа""
,
VLOO"&amp;"KUP(D11445,IMPORTRANGE(""https://docs.google.com/spreadsheets/d/14Bd19lYaqBhU8_DElYkX7l4wRkHqqCUFNJY4AfY3kHU/edit?usp=sharing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4" s="7" t="s">
        <v>10</v>
      </c>
      <c r="H11444" s="7">
        <v>17662</v>
      </c>
      <c r="I11444" s="8" t="str">
        <f ca="1">IFERROR(__xludf.DUMMYFUNCTION("IF
(
G11445=""фізична особа""
,
VLOOKUP(H11445,IMPORTRANGE(""https://docs.google.com/spreadsheets/d/14Bd19lYaqBhU8_DElYkX7l4wRkHqqCUFNJY4AfY3kHU/edit?usp=sharing  #gid=0"",""фіз особи new!relations_name""),6,FALSE)
,
(IF
(
G11445=""юридична особа""
,
VLOO"&amp;"KUP(H11445,IMPORTRANGE(""https://docs.google.com/spreadsheets/d/14Bd19lYaqBhU8_DElYkX7l4wRkHqqCUFNJY4AfY3kHU/edit?usp=sharing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44" s="7" t="s">
        <v>23</v>
      </c>
    </row>
    <row r="11445" spans="1:10" ht="13.2">
      <c r="A11445" s="7">
        <v>11444</v>
      </c>
      <c r="B11445" s="7">
        <v>1</v>
      </c>
      <c r="C11445" s="7" t="s">
        <v>10</v>
      </c>
      <c r="D11445" s="7">
        <v>17657</v>
      </c>
      <c r="E11445" s="7" t="s">
        <v>23</v>
      </c>
      <c r="F11445" s="8" t="str">
        <f ca="1">IFERROR(__xludf.DUMMYFUNCTION("IF
(
C11446=""фізична особа""
,
VLOOKUP(D11446,IMPORTRANGE(""https://docs.google.com/spreadsheets/d/14Bd19lYaqBhU8_DElYkX7l4wRkHqqCUFNJY4AfY3kHU/edit?usp=sharing  #gid=0"",""фіз особи new!relations_name""),6,FALSE)
,
(IF
(
C11446=""юридична особа""
,
VLOO"&amp;"KUP(D11446,IMPORTRANGE(""https://docs.google.com/spreadsheets/d/14Bd19lYaqBhU8_DElYkX7l4wRkHqqCUFNJY4AfY3kHU/edit?usp=sharing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5" s="7" t="s">
        <v>10</v>
      </c>
      <c r="H11445" s="7">
        <v>23635</v>
      </c>
      <c r="I11445" s="8" t="str">
        <f ca="1">IFERROR(__xludf.DUMMYFUNCTION("IF
(
G11446=""фізична особа""
,
VLOOKUP(H11446,IMPORTRANGE(""https://docs.google.com/spreadsheets/d/14Bd19lYaqBhU8_DElYkX7l4wRkHqqCUFNJY4AfY3kHU/edit?usp=sharing  #gid=0"",""фіз особи new!relations_name""),6,FALSE)
,
(IF
(
G11446=""юридична особа""
,
VLOO"&amp;"KUP(H11446,IMPORTRANGE(""https://docs.google.com/spreadsheets/d/14Bd19lYaqBhU8_DElYkX7l4wRkHqqCUFNJY4AfY3kHU/edit?usp=sharing  #gid=0"",""фіз особи new!relations_name_uo""),7,FALSE)
,
)
))"),"ФУРАШОВ Андрій Володимирович")</f>
        <v>ФУРАШОВ Андрій Володимирович</v>
      </c>
      <c r="J11445" s="7" t="s">
        <v>23</v>
      </c>
    </row>
    <row r="11446" spans="1:10" ht="13.2">
      <c r="A11446" s="7">
        <v>11445</v>
      </c>
      <c r="B11446" s="7">
        <v>1</v>
      </c>
      <c r="C11446" s="7" t="s">
        <v>10</v>
      </c>
      <c r="D11446" s="7">
        <v>17657</v>
      </c>
      <c r="E11446" s="7" t="s">
        <v>23</v>
      </c>
      <c r="F11446" s="8" t="str">
        <f ca="1">IFERROR(__xludf.DUMMYFUNCTION("IF
(
C11447=""фізична особа""
,
VLOOKUP(D11447,IMPORTRANGE(""https://docs.google.com/spreadsheets/d/14Bd19lYaqBhU8_DElYkX7l4wRkHqqCUFNJY4AfY3kHU/edit?usp=sharing  #gid=0"",""фіз особи new!relations_name""),6,FALSE)
,
(IF
(
C11447=""юридична особа""
,
VLOO"&amp;"KUP(D11447,IMPORTRANGE(""https://docs.google.com/spreadsheets/d/14Bd19lYaqBhU8_DElYkX7l4wRkHqqCUFNJY4AfY3kHU/edit?usp=sharing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G11446" s="7" t="s">
        <v>10</v>
      </c>
      <c r="H11446" s="7">
        <v>23636</v>
      </c>
      <c r="I11446" s="8" t="str">
        <f ca="1">IFERROR(__xludf.DUMMYFUNCTION("IF
(
G11447=""фізична особа""
,
VLOOKUP(H11447,IMPORTRANGE(""https://docs.google.com/spreadsheets/d/14Bd19lYaqBhU8_DElYkX7l4wRkHqqCUFNJY4AfY3kHU/edit?usp=sharing  #gid=0"",""фіз особи new!relations_name""),6,FALSE)
,
(IF
(
G11447=""юридична особа""
,
VLOO"&amp;"KUP(H11447,IMPORTRANGE(""https://docs.google.com/spreadsheets/d/14Bd19lYaqBhU8_DElYkX7l4wRkHqqCUFNJY4AfY3kHU/edit?usp=sharing  #gid=0"",""фіз особи new!relations_name_uo""),7,FALSE)
,
)
))"),"ТИХОНОВ Юрій Геннадійович")</f>
        <v>ТИХОНОВ Юрій Геннадійович</v>
      </c>
      <c r="J11446" s="7" t="s">
        <v>23</v>
      </c>
    </row>
    <row r="11447" spans="1:10" ht="13.2">
      <c r="A11447" s="7">
        <v>11446</v>
      </c>
      <c r="B11447" s="7">
        <v>1</v>
      </c>
      <c r="C11447" s="7" t="s">
        <v>10</v>
      </c>
      <c r="D11447" s="7">
        <v>17658</v>
      </c>
      <c r="E11447" s="7" t="s">
        <v>23</v>
      </c>
      <c r="F11447" s="8" t="str">
        <f ca="1">IFERROR(__xludf.DUMMYFUNCTION("IF
(
C11448=""фізична особа""
,
VLOOKUP(D11448,IMPORTRANGE(""https://docs.google.com/spreadsheets/d/14Bd19lYaqBhU8_DElYkX7l4wRkHqqCUFNJY4AfY3kHU/edit?usp=sharing  #gid=0"",""фіз особи new!relations_name""),6,FALSE)
,
(IF
(
C11448=""юридична особа""
,
VLOO"&amp;"KUP(D11448,IMPORTRANGE(""https://docs.google.com/spreadsheets/d/14Bd19lYaqBhU8_DElYkX7l4wRkHqqCUFNJY4AfY3kHU/edit?usp=sharing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47" s="7" t="s">
        <v>10</v>
      </c>
      <c r="H11447" s="7">
        <v>23632</v>
      </c>
      <c r="I11447" s="8" t="str">
        <f ca="1">IFERROR(__xludf.DUMMYFUNCTION("IF
(
G11448=""фізична особа""
,
VLOOKUP(H11448,IMPORTRANGE(""https://docs.google.com/spreadsheets/d/14Bd19lYaqBhU8_DElYkX7l4wRkHqqCUFNJY4AfY3kHU/edit?usp=sharing  #gid=0"",""фіз особи new!relations_name""),6,FALSE)
,
(IF
(
G11448=""юридична особа""
,
VLOO"&amp;"KUP(H11448,IMPORTRANGE(""https://docs.google.com/spreadsheets/d/14Bd19lYaqBhU8_DElYkX7l4wRkHqqCUFNJY4AfY3kHU/edit?usp=sharing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447" s="7" t="s">
        <v>23</v>
      </c>
    </row>
    <row r="11448" spans="1:10" ht="13.2">
      <c r="A11448" s="7">
        <v>11447</v>
      </c>
      <c r="B11448" s="7">
        <v>1</v>
      </c>
      <c r="C11448" s="7" t="s">
        <v>10</v>
      </c>
      <c r="D11448" s="7">
        <v>17658</v>
      </c>
      <c r="E11448" s="7" t="s">
        <v>23</v>
      </c>
      <c r="F11448" s="8" t="str">
        <f ca="1">IFERROR(__xludf.DUMMYFUNCTION("IF
(
C11449=""фізична особа""
,
VLOOKUP(D11449,IMPORTRANGE(""https://docs.google.com/spreadsheets/d/14Bd19lYaqBhU8_DElYkX7l4wRkHqqCUFNJY4AfY3kHU/edit?usp=sharing  #gid=0"",""фіз особи new!relations_name""),6,FALSE)
,
(IF
(
C11449=""юридична особа""
,
VLOO"&amp;"KUP(D11449,IMPORTRANGE(""https://docs.google.com/spreadsheets/d/14Bd19lYaqBhU8_DElYkX7l4wRkHqqCUFNJY4AfY3kHU/edit?usp=sharing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48" s="7" t="s">
        <v>10</v>
      </c>
      <c r="H11448" s="7">
        <v>23633</v>
      </c>
      <c r="I11448" s="8" t="str">
        <f ca="1">IFERROR(__xludf.DUMMYFUNCTION("IF
(
G11449=""фізична особа""
,
VLOOKUP(H11449,IMPORTRANGE(""https://docs.google.com/spreadsheets/d/14Bd19lYaqBhU8_DElYkX7l4wRkHqqCUFNJY4AfY3kHU/edit?usp=sharing  #gid=0"",""фіз особи new!relations_name""),6,FALSE)
,
(IF
(
G11449=""юридична особа""
,
VLOO"&amp;"KUP(H11449,IMPORTRANGE(""https://docs.google.com/spreadsheets/d/14Bd19lYaqBhU8_DElYkX7l4wRkHqqCUFNJY4AfY3kHU/edit?usp=sharing  #gid=0"",""фіз особи new!relations_name_uo""),7,FALSE)
,
)
))"),"СТАТКЕВИЧ Андрій Геннадійович")</f>
        <v>СТАТКЕВИЧ Андрій Геннадійович</v>
      </c>
      <c r="J11448" s="7" t="s">
        <v>23</v>
      </c>
    </row>
    <row r="11449" spans="1:10" ht="13.2">
      <c r="A11449" s="7">
        <v>11448</v>
      </c>
      <c r="B11449" s="7">
        <v>1</v>
      </c>
      <c r="C11449" s="7" t="s">
        <v>10</v>
      </c>
      <c r="D11449" s="7">
        <v>17658</v>
      </c>
      <c r="E11449" s="7" t="s">
        <v>23</v>
      </c>
      <c r="F11449" s="8" t="str">
        <f ca="1">IFERROR(__xludf.DUMMYFUNCTION("IF
(
C11450=""фізична особа""
,
VLOOKUP(D11450,IMPORTRANGE(""https://docs.google.com/spreadsheets/d/14Bd19lYaqBhU8_DElYkX7l4wRkHqqCUFNJY4AfY3kHU/edit?usp=sharing  #gid=0"",""фіз особи new!relations_name""),6,FALSE)
,
(IF
(
C11450=""юридична особа""
,
VLOO"&amp;"KUP(D11450,IMPORTRANGE(""https://docs.google.com/spreadsheets/d/14Bd19lYaqBhU8_DElYkX7l4wRkHqqCUFNJY4AfY3kHU/edit?usp=sharing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49" s="7" t="s">
        <v>10</v>
      </c>
      <c r="H11449" s="7">
        <v>23634</v>
      </c>
      <c r="I11449" s="8" t="str">
        <f ca="1">IFERROR(__xludf.DUMMYFUNCTION("IF
(
G11450=""фізична особа""
,
VLOOKUP(H11450,IMPORTRANGE(""https://docs.google.com/spreadsheets/d/14Bd19lYaqBhU8_DElYkX7l4wRkHqqCUFNJY4AfY3kHU/edit?usp=sharing  #gid=0"",""фіз особи new!relations_name""),6,FALSE)
,
(IF
(
G11450=""юридична особа""
,
VLOO"&amp;"KUP(H11450,IMPORTRANGE(""https://docs.google.com/spreadsheets/d/14Bd19lYaqBhU8_DElYkX7l4wRkHqqCUFNJY4AfY3kHU/edit?usp=sharing  #gid=0"",""фіз особи new!relations_name_uo""),7,FALSE)
,
)
))"),"СТЕПАНОВ Едуард Іванович")</f>
        <v>СТЕПАНОВ Едуард Іванович</v>
      </c>
      <c r="J11449" s="7" t="s">
        <v>23</v>
      </c>
    </row>
    <row r="11450" spans="1:10" ht="13.2">
      <c r="A11450" s="7">
        <v>11449</v>
      </c>
      <c r="B11450" s="7">
        <v>1</v>
      </c>
      <c r="C11450" s="7" t="s">
        <v>10</v>
      </c>
      <c r="D11450" s="7">
        <v>17658</v>
      </c>
      <c r="E11450" s="7" t="s">
        <v>23</v>
      </c>
      <c r="F11450" s="8" t="str">
        <f ca="1">IFERROR(__xludf.DUMMYFUNCTION("IF
(
C11451=""фізична особа""
,
VLOOKUP(D11451,IMPORTRANGE(""https://docs.google.com/spreadsheets/d/14Bd19lYaqBhU8_DElYkX7l4wRkHqqCUFNJY4AfY3kHU/edit?usp=sharing  #gid=0"",""фіз особи new!relations_name""),6,FALSE)
,
(IF
(
C11451=""юридична особа""
,
VLOO"&amp;"KUP(D11451,IMPORTRANGE(""https://docs.google.com/spreadsheets/d/14Bd19lYaqBhU8_DElYkX7l4wRkHqqCUFNJY4AfY3kHU/edit?usp=sharing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0" s="7" t="s">
        <v>10</v>
      </c>
      <c r="H11450" s="7">
        <v>17655</v>
      </c>
      <c r="I11450" s="8" t="str">
        <f ca="1">IFERROR(__xludf.DUMMYFUNCTION("IF
(
G11451=""фізична особа""
,
VLOOKUP(H11451,IMPORTRANGE(""https://docs.google.com/spreadsheets/d/14Bd19lYaqBhU8_DElYkX7l4wRkHqqCUFNJY4AfY3kHU/edit?usp=sharing  #gid=0"",""фіз особи new!relations_name""),6,FALSE)
,
(IF
(
G11451=""юридична особа""
,
VLOO"&amp;"KUP(H11451,IMPORTRANGE(""https://docs.google.com/spreadsheets/d/14Bd19lYaqBhU8_DElYkX7l4wRkHqqCUFNJY4AfY3kHU/edit?usp=sharing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50" s="7" t="s">
        <v>23</v>
      </c>
    </row>
    <row r="11451" spans="1:10" ht="13.2">
      <c r="A11451" s="7">
        <v>11450</v>
      </c>
      <c r="B11451" s="7">
        <v>1</v>
      </c>
      <c r="C11451" s="7" t="s">
        <v>10</v>
      </c>
      <c r="D11451" s="7">
        <v>17658</v>
      </c>
      <c r="E11451" s="7" t="s">
        <v>23</v>
      </c>
      <c r="F11451" s="8" t="str">
        <f ca="1">IFERROR(__xludf.DUMMYFUNCTION("IF
(
C11452=""фізична особа""
,
VLOOKUP(D11452,IMPORTRANGE(""https://docs.google.com/spreadsheets/d/14Bd19lYaqBhU8_DElYkX7l4wRkHqqCUFNJY4AfY3kHU/edit?usp=sharing  #gid=0"",""фіз особи new!relations_name""),6,FALSE)
,
(IF
(
C11452=""юридична особа""
,
VLOO"&amp;"KUP(D11452,IMPORTRANGE(""https://docs.google.com/spreadsheets/d/14Bd19lYaqBhU8_DElYkX7l4wRkHqqCUFNJY4AfY3kHU/edit?usp=sharing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1" s="7" t="s">
        <v>10</v>
      </c>
      <c r="H11451" s="7">
        <v>17657</v>
      </c>
      <c r="I11451" s="8" t="str">
        <f ca="1">IFERROR(__xludf.DUMMYFUNCTION("IF
(
G11452=""фізична особа""
,
VLOOKUP(H11452,IMPORTRANGE(""https://docs.google.com/spreadsheets/d/14Bd19lYaqBhU8_DElYkX7l4wRkHqqCUFNJY4AfY3kHU/edit?usp=sharing  #gid=0"",""фіз особи new!relations_name""),6,FALSE)
,
(IF
(
G11452=""юридична особа""
,
VLOO"&amp;"KUP(H11452,IMPORTRANGE(""https://docs.google.com/spreadsheets/d/14Bd19lYaqBhU8_DElYkX7l4wRkHqqCUFNJY4AfY3kHU/edit?usp=sharing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51" s="7" t="s">
        <v>23</v>
      </c>
    </row>
    <row r="11452" spans="1:10" ht="13.2">
      <c r="A11452" s="7">
        <v>11451</v>
      </c>
      <c r="B11452" s="7">
        <v>1</v>
      </c>
      <c r="C11452" s="7" t="s">
        <v>10</v>
      </c>
      <c r="D11452" s="7">
        <v>17658</v>
      </c>
      <c r="E11452" s="7" t="s">
        <v>23</v>
      </c>
      <c r="F11452" s="8" t="str">
        <f ca="1">IFERROR(__xludf.DUMMYFUNCTION("IF
(
C11453=""фізична особа""
,
VLOOKUP(D11453,IMPORTRANGE(""https://docs.google.com/spreadsheets/d/14Bd19lYaqBhU8_DElYkX7l4wRkHqqCUFNJY4AfY3kHU/edit?usp=sharing  #gid=0"",""фіз особи new!relations_name""),6,FALSE)
,
(IF
(
C11453=""юридична особа""
,
VLOO"&amp;"KUP(D11453,IMPORTRANGE(""https://docs.google.com/spreadsheets/d/14Bd19lYaqBhU8_DElYkX7l4wRkHqqCUFNJY4AfY3kHU/edit?usp=sharing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2" s="7" t="s">
        <v>10</v>
      </c>
      <c r="H11452" s="7">
        <v>17659</v>
      </c>
      <c r="I11452" s="8" t="str">
        <f ca="1">IFERROR(__xludf.DUMMYFUNCTION("IF
(
G11453=""фізична особа""
,
VLOOKUP(H11453,IMPORTRANGE(""https://docs.google.com/spreadsheets/d/14Bd19lYaqBhU8_DElYkX7l4wRkHqqCUFNJY4AfY3kHU/edit?usp=sharing  #gid=0"",""фіз особи new!relations_name""),6,FALSE)
,
(IF
(
G11453=""юридична особа""
,
VLOO"&amp;"KUP(H11453,IMPORTRANGE(""https://docs.google.com/spreadsheets/d/14Bd19lYaqBhU8_DElYkX7l4wRkHqqCUFNJY4AfY3kHU/edit?usp=sharing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52" s="7" t="s">
        <v>23</v>
      </c>
    </row>
    <row r="11453" spans="1:10" ht="13.2">
      <c r="A11453" s="7">
        <v>11452</v>
      </c>
      <c r="B11453" s="7">
        <v>1</v>
      </c>
      <c r="C11453" s="7" t="s">
        <v>10</v>
      </c>
      <c r="D11453" s="7">
        <v>17658</v>
      </c>
      <c r="E11453" s="7" t="s">
        <v>23</v>
      </c>
      <c r="F11453" s="8" t="str">
        <f ca="1">IFERROR(__xludf.DUMMYFUNCTION("IF
(
C11454=""фізична особа""
,
VLOOKUP(D11454,IMPORTRANGE(""https://docs.google.com/spreadsheets/d/14Bd19lYaqBhU8_DElYkX7l4wRkHqqCUFNJY4AfY3kHU/edit?usp=sharing  #gid=0"",""фіз особи new!relations_name""),6,FALSE)
,
(IF
(
C11454=""юридична особа""
,
VLOO"&amp;"KUP(D11454,IMPORTRANGE(""https://docs.google.com/spreadsheets/d/14Bd19lYaqBhU8_DElYkX7l4wRkHqqCUFNJY4AfY3kHU/edit?usp=sharing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3" s="7" t="s">
        <v>10</v>
      </c>
      <c r="H11453" s="7">
        <v>17656</v>
      </c>
      <c r="I11453" s="8" t="str">
        <f ca="1">IFERROR(__xludf.DUMMYFUNCTION("IF
(
G11454=""фізична особа""
,
VLOOKUP(H11454,IMPORTRANGE(""https://docs.google.com/spreadsheets/d/14Bd19lYaqBhU8_DElYkX7l4wRkHqqCUFNJY4AfY3kHU/edit?usp=sharing  #gid=0"",""фіз особи new!relations_name""),6,FALSE)
,
(IF
(
G11454=""юридична особа""
,
VLOO"&amp;"KUP(H11454,IMPORTRANGE(""https://docs.google.com/spreadsheets/d/14Bd19lYaqBhU8_DElYkX7l4wRkHqqCUFNJY4AfY3kHU/edit?usp=sharing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453" s="7" t="s">
        <v>23</v>
      </c>
    </row>
    <row r="11454" spans="1:10" ht="13.2">
      <c r="A11454" s="7">
        <v>11453</v>
      </c>
      <c r="B11454" s="7">
        <v>1</v>
      </c>
      <c r="C11454" s="7" t="s">
        <v>10</v>
      </c>
      <c r="D11454" s="7">
        <v>17658</v>
      </c>
      <c r="E11454" s="7" t="s">
        <v>23</v>
      </c>
      <c r="F11454" s="8" t="str">
        <f ca="1">IFERROR(__xludf.DUMMYFUNCTION("IF
(
C11455=""фізична особа""
,
VLOOKUP(D11455,IMPORTRANGE(""https://docs.google.com/spreadsheets/d/14Bd19lYaqBhU8_DElYkX7l4wRkHqqCUFNJY4AfY3kHU/edit?usp=sharing  #gid=0"",""фіз особи new!relations_name""),6,FALSE)
,
(IF
(
C11455=""юридична особа""
,
VLOO"&amp;"KUP(D11455,IMPORTRANGE(""https://docs.google.com/spreadsheets/d/14Bd19lYaqBhU8_DElYkX7l4wRkHqqCUFNJY4AfY3kHU/edit?usp=sharing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4" s="7" t="s">
        <v>10</v>
      </c>
      <c r="H11454" s="7">
        <v>17654</v>
      </c>
      <c r="I11454" s="8" t="str">
        <f ca="1">IFERROR(__xludf.DUMMYFUNCTION("IF
(
G11455=""фізична особа""
,
VLOOKUP(H11455,IMPORTRANGE(""https://docs.google.com/spreadsheets/d/14Bd19lYaqBhU8_DElYkX7l4wRkHqqCUFNJY4AfY3kHU/edit?usp=sharing  #gid=0"",""фіз особи new!relations_name""),6,FALSE)
,
(IF
(
G11455=""юридична особа""
,
VLOO"&amp;"KUP(H11455,IMPORTRANGE(""https://docs.google.com/spreadsheets/d/14Bd19lYaqBhU8_DElYkX7l4wRkHqqCUFNJY4AfY3kHU/edit?usp=sharing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54" s="7" t="s">
        <v>23</v>
      </c>
    </row>
    <row r="11455" spans="1:10" ht="13.2">
      <c r="A11455" s="7">
        <v>11454</v>
      </c>
      <c r="B11455" s="7">
        <v>1</v>
      </c>
      <c r="C11455" s="7" t="s">
        <v>10</v>
      </c>
      <c r="D11455" s="7">
        <v>17658</v>
      </c>
      <c r="E11455" s="7" t="s">
        <v>23</v>
      </c>
      <c r="F11455" s="8" t="str">
        <f ca="1">IFERROR(__xludf.DUMMYFUNCTION("IF
(
C11456=""фізична особа""
,
VLOOKUP(D11456,IMPORTRANGE(""https://docs.google.com/spreadsheets/d/14Bd19lYaqBhU8_DElYkX7l4wRkHqqCUFNJY4AfY3kHU/edit?usp=sharing  #gid=0"",""фіз особи new!relations_name""),6,FALSE)
,
(IF
(
C11456=""юридична особа""
,
VLOO"&amp;"KUP(D11456,IMPORTRANGE(""https://docs.google.com/spreadsheets/d/14Bd19lYaqBhU8_DElYkX7l4wRkHqqCUFNJY4AfY3kHU/edit?usp=sharing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5" s="7" t="s">
        <v>10</v>
      </c>
      <c r="H11455" s="7">
        <v>17666</v>
      </c>
      <c r="I11455" s="8" t="str">
        <f ca="1">IFERROR(__xludf.DUMMYFUNCTION("IF
(
G11456=""фізична особа""
,
VLOOKUP(H11456,IMPORTRANGE(""https://docs.google.com/spreadsheets/d/14Bd19lYaqBhU8_DElYkX7l4wRkHqqCUFNJY4AfY3kHU/edit?usp=sharing  #gid=0"",""фіз особи new!relations_name""),6,FALSE)
,
(IF
(
G11456=""юридична особа""
,
VLOO"&amp;"KUP(H11456,IMPORTRANGE(""https://docs.google.com/spreadsheets/d/14Bd19lYaqBhU8_DElYkX7l4wRkHqqCUFNJY4AfY3kHU/edit?usp=sharing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55" s="7" t="s">
        <v>23</v>
      </c>
    </row>
    <row r="11456" spans="1:10" ht="13.2">
      <c r="A11456" s="7">
        <v>11455</v>
      </c>
      <c r="B11456" s="7">
        <v>1</v>
      </c>
      <c r="C11456" s="7" t="s">
        <v>10</v>
      </c>
      <c r="D11456" s="7">
        <v>17658</v>
      </c>
      <c r="E11456" s="7" t="s">
        <v>23</v>
      </c>
      <c r="F11456" s="8" t="str">
        <f ca="1">IFERROR(__xludf.DUMMYFUNCTION("IF
(
C11457=""фізична особа""
,
VLOOKUP(D11457,IMPORTRANGE(""https://docs.google.com/spreadsheets/d/14Bd19lYaqBhU8_DElYkX7l4wRkHqqCUFNJY4AfY3kHU/edit?usp=sharing  #gid=0"",""фіз особи new!relations_name""),6,FALSE)
,
(IF
(
C11457=""юридична особа""
,
VLOO"&amp;"KUP(D11457,IMPORTRANGE(""https://docs.google.com/spreadsheets/d/14Bd19lYaqBhU8_DElYkX7l4wRkHqqCUFNJY4AfY3kHU/edit?usp=sharing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6" s="7" t="s">
        <v>10</v>
      </c>
      <c r="H11456" s="7">
        <v>17664</v>
      </c>
      <c r="I11456" s="8" t="str">
        <f ca="1">IFERROR(__xludf.DUMMYFUNCTION("IF
(
G11457=""фізична особа""
,
VLOOKUP(H11457,IMPORTRANGE(""https://docs.google.com/spreadsheets/d/14Bd19lYaqBhU8_DElYkX7l4wRkHqqCUFNJY4AfY3kHU/edit?usp=sharing  #gid=0"",""фіз особи new!relations_name""),6,FALSE)
,
(IF
(
G11457=""юридична особа""
,
VLOO"&amp;"KUP(H11457,IMPORTRANGE(""https://docs.google.com/spreadsheets/d/14Bd19lYaqBhU8_DElYkX7l4wRkHqqCUFNJY4AfY3kHU/edit?usp=sharing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56" s="7" t="s">
        <v>23</v>
      </c>
    </row>
    <row r="11457" spans="1:10" ht="13.2">
      <c r="A11457" s="7">
        <v>11456</v>
      </c>
      <c r="B11457" s="7">
        <v>1</v>
      </c>
      <c r="C11457" s="7" t="s">
        <v>10</v>
      </c>
      <c r="D11457" s="7">
        <v>17658</v>
      </c>
      <c r="E11457" s="7" t="s">
        <v>23</v>
      </c>
      <c r="F11457" s="8" t="str">
        <f ca="1">IFERROR(__xludf.DUMMYFUNCTION("IF
(
C11458=""фізична особа""
,
VLOOKUP(D11458,IMPORTRANGE(""https://docs.google.com/spreadsheets/d/14Bd19lYaqBhU8_DElYkX7l4wRkHqqCUFNJY4AfY3kHU/edit?usp=sharing  #gid=0"",""фіз особи new!relations_name""),6,FALSE)
,
(IF
(
C11458=""юридична особа""
,
VLOO"&amp;"KUP(D11458,IMPORTRANGE(""https://docs.google.com/spreadsheets/d/14Bd19lYaqBhU8_DElYkX7l4wRkHqqCUFNJY4AfY3kHU/edit?usp=sharing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7" s="7" t="s">
        <v>10</v>
      </c>
      <c r="H11457" s="7">
        <v>17665</v>
      </c>
      <c r="I11457" s="8" t="str">
        <f ca="1">IFERROR(__xludf.DUMMYFUNCTION("IF
(
G11458=""фізична особа""
,
VLOOKUP(H11458,IMPORTRANGE(""https://docs.google.com/spreadsheets/d/14Bd19lYaqBhU8_DElYkX7l4wRkHqqCUFNJY4AfY3kHU/edit?usp=sharing  #gid=0"",""фіз особи new!relations_name""),6,FALSE)
,
(IF
(
G11458=""юридична особа""
,
VLOO"&amp;"KUP(H11458,IMPORTRANGE(""https://docs.google.com/spreadsheets/d/14Bd19lYaqBhU8_DElYkX7l4wRkHqqCUFNJY4AfY3kHU/edit?usp=sharing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57" s="7" t="s">
        <v>23</v>
      </c>
    </row>
    <row r="11458" spans="1:10" ht="13.2">
      <c r="A11458" s="7">
        <v>11457</v>
      </c>
      <c r="B11458" s="7">
        <v>1</v>
      </c>
      <c r="C11458" s="7" t="s">
        <v>10</v>
      </c>
      <c r="D11458" s="7">
        <v>17658</v>
      </c>
      <c r="E11458" s="7" t="s">
        <v>23</v>
      </c>
      <c r="F11458" s="8" t="str">
        <f ca="1">IFERROR(__xludf.DUMMYFUNCTION("IF
(
C11459=""фізична особа""
,
VLOOKUP(D11459,IMPORTRANGE(""https://docs.google.com/spreadsheets/d/14Bd19lYaqBhU8_DElYkX7l4wRkHqqCUFNJY4AfY3kHU/edit?usp=sharing  #gid=0"",""фіз особи new!relations_name""),6,FALSE)
,
(IF
(
C11459=""юридична особа""
,
VLOO"&amp;"KUP(D11459,IMPORTRANGE(""https://docs.google.com/spreadsheets/d/14Bd19lYaqBhU8_DElYkX7l4wRkHqqCUFNJY4AfY3kHU/edit?usp=sharing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8" s="7" t="s">
        <v>10</v>
      </c>
      <c r="H11458" s="7">
        <v>17661</v>
      </c>
      <c r="I11458" s="8" t="str">
        <f ca="1">IFERROR(__xludf.DUMMYFUNCTION("IF
(
G11459=""фізична особа""
,
VLOOKUP(H11459,IMPORTRANGE(""https://docs.google.com/spreadsheets/d/14Bd19lYaqBhU8_DElYkX7l4wRkHqqCUFNJY4AfY3kHU/edit?usp=sharing  #gid=0"",""фіз особи new!relations_name""),6,FALSE)
,
(IF
(
G11459=""юридична особа""
,
VLOO"&amp;"KUP(H11459,IMPORTRANGE(""https://docs.google.com/spreadsheets/d/14Bd19lYaqBhU8_DElYkX7l4wRkHqqCUFNJY4AfY3kHU/edit?usp=sharing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58" s="7" t="s">
        <v>23</v>
      </c>
    </row>
    <row r="11459" spans="1:10" ht="13.2">
      <c r="A11459" s="7">
        <v>11458</v>
      </c>
      <c r="B11459" s="7">
        <v>1</v>
      </c>
      <c r="C11459" s="7" t="s">
        <v>10</v>
      </c>
      <c r="D11459" s="7">
        <v>17658</v>
      </c>
      <c r="E11459" s="7" t="s">
        <v>23</v>
      </c>
      <c r="F11459" s="8" t="str">
        <f ca="1">IFERROR(__xludf.DUMMYFUNCTION("IF
(
C11460=""фізична особа""
,
VLOOKUP(D11460,IMPORTRANGE(""https://docs.google.com/spreadsheets/d/14Bd19lYaqBhU8_DElYkX7l4wRkHqqCUFNJY4AfY3kHU/edit?usp=sharing  #gid=0"",""фіз особи new!relations_name""),6,FALSE)
,
(IF
(
C11460=""юридична особа""
,
VLOO"&amp;"KUP(D11460,IMPORTRANGE(""https://docs.google.com/spreadsheets/d/14Bd19lYaqBhU8_DElYkX7l4wRkHqqCUFNJY4AfY3kHU/edit?usp=sharing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59" s="7" t="s">
        <v>10</v>
      </c>
      <c r="H11459" s="7">
        <v>17660</v>
      </c>
      <c r="I11459" s="8" t="str">
        <f ca="1">IFERROR(__xludf.DUMMYFUNCTION("IF
(
G11460=""фізична особа""
,
VLOOKUP(H11460,IMPORTRANGE(""https://docs.google.com/spreadsheets/d/14Bd19lYaqBhU8_DElYkX7l4wRkHqqCUFNJY4AfY3kHU/edit?usp=sharing  #gid=0"",""фіз особи new!relations_name""),6,FALSE)
,
(IF
(
G11460=""юридична особа""
,
VLOO"&amp;"KUP(H11460,IMPORTRANGE(""https://docs.google.com/spreadsheets/d/14Bd19lYaqBhU8_DElYkX7l4wRkHqqCUFNJY4AfY3kHU/edit?usp=sharing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459" s="7" t="s">
        <v>23</v>
      </c>
    </row>
    <row r="11460" spans="1:10" ht="13.2">
      <c r="A11460" s="7">
        <v>11459</v>
      </c>
      <c r="B11460" s="7">
        <v>1</v>
      </c>
      <c r="C11460" s="7" t="s">
        <v>10</v>
      </c>
      <c r="D11460" s="7">
        <v>17658</v>
      </c>
      <c r="E11460" s="7" t="s">
        <v>23</v>
      </c>
      <c r="F11460" s="8" t="str">
        <f ca="1">IFERROR(__xludf.DUMMYFUNCTION("IF
(
C11461=""фізична особа""
,
VLOOKUP(D11461,IMPORTRANGE(""https://docs.google.com/spreadsheets/d/14Bd19lYaqBhU8_DElYkX7l4wRkHqqCUFNJY4AfY3kHU/edit?usp=sharing  #gid=0"",""фіз особи new!relations_name""),6,FALSE)
,
(IF
(
C11461=""юридична особа""
,
VLOO"&amp;"KUP(D11461,IMPORTRANGE(""https://docs.google.com/spreadsheets/d/14Bd19lYaqBhU8_DElYkX7l4wRkHqqCUFNJY4AfY3kHU/edit?usp=sharing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60" s="7" t="s">
        <v>10</v>
      </c>
      <c r="H11460" s="7">
        <v>17663</v>
      </c>
      <c r="I11460" s="8" t="str">
        <f ca="1">IFERROR(__xludf.DUMMYFUNCTION("IF
(
G11461=""фізична особа""
,
VLOOKUP(H11461,IMPORTRANGE(""https://docs.google.com/spreadsheets/d/14Bd19lYaqBhU8_DElYkX7l4wRkHqqCUFNJY4AfY3kHU/edit?usp=sharing  #gid=0"",""фіз особи new!relations_name""),6,FALSE)
,
(IF
(
G11461=""юридична особа""
,
VLOO"&amp;"KUP(H11461,IMPORTRANGE(""https://docs.google.com/spreadsheets/d/14Bd19lYaqBhU8_DElYkX7l4wRkHqqCUFNJY4AfY3kHU/edit?usp=sharing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60" s="7" t="s">
        <v>23</v>
      </c>
    </row>
    <row r="11461" spans="1:10" ht="13.2">
      <c r="A11461" s="7">
        <v>11460</v>
      </c>
      <c r="B11461" s="7">
        <v>1</v>
      </c>
      <c r="C11461" s="7" t="s">
        <v>10</v>
      </c>
      <c r="D11461" s="7">
        <v>17658</v>
      </c>
      <c r="E11461" s="7" t="s">
        <v>23</v>
      </c>
      <c r="F11461" s="8" t="str">
        <f ca="1">IFERROR(__xludf.DUMMYFUNCTION("IF
(
C11462=""фізична особа""
,
VLOOKUP(D11462,IMPORTRANGE(""https://docs.google.com/spreadsheets/d/14Bd19lYaqBhU8_DElYkX7l4wRkHqqCUFNJY4AfY3kHU/edit?usp=sharing  #gid=0"",""фіз особи new!relations_name""),6,FALSE)
,
(IF
(
C11462=""юридична особа""
,
VLOO"&amp;"KUP(D11462,IMPORTRANGE(""https://docs.google.com/spreadsheets/d/14Bd19lYaqBhU8_DElYkX7l4wRkHqqCUFNJY4AfY3kHU/edit?usp=sharing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61" s="7" t="s">
        <v>10</v>
      </c>
      <c r="H11461" s="7">
        <v>17662</v>
      </c>
      <c r="I11461" s="8" t="str">
        <f ca="1">IFERROR(__xludf.DUMMYFUNCTION("IF
(
G11462=""фізична особа""
,
VLOOKUP(H11462,IMPORTRANGE(""https://docs.google.com/spreadsheets/d/14Bd19lYaqBhU8_DElYkX7l4wRkHqqCUFNJY4AfY3kHU/edit?usp=sharing  #gid=0"",""фіз особи new!relations_name""),6,FALSE)
,
(IF
(
G11462=""юридична особа""
,
VLOO"&amp;"KUP(H11462,IMPORTRANGE(""https://docs.google.com/spreadsheets/d/14Bd19lYaqBhU8_DElYkX7l4wRkHqqCUFNJY4AfY3kHU/edit?usp=sharing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61" s="7" t="s">
        <v>23</v>
      </c>
    </row>
    <row r="11462" spans="1:10" ht="13.2">
      <c r="A11462" s="7">
        <v>11461</v>
      </c>
      <c r="B11462" s="7">
        <v>1</v>
      </c>
      <c r="C11462" s="7" t="s">
        <v>10</v>
      </c>
      <c r="D11462" s="7">
        <v>17658</v>
      </c>
      <c r="E11462" s="7" t="s">
        <v>23</v>
      </c>
      <c r="F11462" s="8" t="str">
        <f ca="1">IFERROR(__xludf.DUMMYFUNCTION("IF
(
C11463=""фізична особа""
,
VLOOKUP(D11463,IMPORTRANGE(""https://docs.google.com/spreadsheets/d/14Bd19lYaqBhU8_DElYkX7l4wRkHqqCUFNJY4AfY3kHU/edit?usp=sharing  #gid=0"",""фіз особи new!relations_name""),6,FALSE)
,
(IF
(
C11463=""юридична особа""
,
VLOO"&amp;"KUP(D11463,IMPORTRANGE(""https://docs.google.com/spreadsheets/d/14Bd19lYaqBhU8_DElYkX7l4wRkHqqCUFNJY4AfY3kHU/edit?usp=sharing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62" s="7" t="s">
        <v>10</v>
      </c>
      <c r="H11462" s="7">
        <v>23635</v>
      </c>
      <c r="I11462" s="8" t="str">
        <f ca="1">IFERROR(__xludf.DUMMYFUNCTION("IF
(
G11463=""фізична особа""
,
VLOOKUP(H11463,IMPORTRANGE(""https://docs.google.com/spreadsheets/d/14Bd19lYaqBhU8_DElYkX7l4wRkHqqCUFNJY4AfY3kHU/edit?usp=sharing  #gid=0"",""фіз особи new!relations_name""),6,FALSE)
,
(IF
(
G11463=""юридична особа""
,
VLOO"&amp;"KUP(H11463,IMPORTRANGE(""https://docs.google.com/spreadsheets/d/14Bd19lYaqBhU8_DElYkX7l4wRkHqqCUFNJY4AfY3kHU/edit?usp=sharing  #gid=0"",""фіз особи new!relations_name_uo""),7,FALSE)
,
)
))"),"ФУРАШОВ Андрій Володимирович")</f>
        <v>ФУРАШОВ Андрій Володимирович</v>
      </c>
      <c r="J11462" s="7" t="s">
        <v>23</v>
      </c>
    </row>
    <row r="11463" spans="1:10" ht="13.2">
      <c r="A11463" s="7">
        <v>11462</v>
      </c>
      <c r="B11463" s="7">
        <v>1</v>
      </c>
      <c r="C11463" s="7" t="s">
        <v>10</v>
      </c>
      <c r="D11463" s="7">
        <v>17658</v>
      </c>
      <c r="E11463" s="7" t="s">
        <v>23</v>
      </c>
      <c r="F11463" s="8" t="str">
        <f ca="1">IFERROR(__xludf.DUMMYFUNCTION("IF
(
C11464=""фізична особа""
,
VLOOKUP(D11464,IMPORTRANGE(""https://docs.google.com/spreadsheets/d/14Bd19lYaqBhU8_DElYkX7l4wRkHqqCUFNJY4AfY3kHU/edit?usp=sharing  #gid=0"",""фіз особи new!relations_name""),6,FALSE)
,
(IF
(
C11464=""юридична особа""
,
VLOO"&amp;"KUP(D11464,IMPORTRANGE(""https://docs.google.com/spreadsheets/d/14Bd19lYaqBhU8_DElYkX7l4wRkHqqCUFNJY4AfY3kHU/edit?usp=sharing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63" s="7" t="s">
        <v>10</v>
      </c>
      <c r="H11463" s="7">
        <v>23636</v>
      </c>
      <c r="I11463" s="8" t="str">
        <f ca="1">IFERROR(__xludf.DUMMYFUNCTION("IF
(
G11464=""фізична особа""
,
VLOOKUP(H11464,IMPORTRANGE(""https://docs.google.com/spreadsheets/d/14Bd19lYaqBhU8_DElYkX7l4wRkHqqCUFNJY4AfY3kHU/edit?usp=sharing  #gid=0"",""фіз особи new!relations_name""),6,FALSE)
,
(IF
(
G11464=""юридична особа""
,
VLOO"&amp;"KUP(H11464,IMPORTRANGE(""https://docs.google.com/spreadsheets/d/14Bd19lYaqBhU8_DElYkX7l4wRkHqqCUFNJY4AfY3kHU/edit?usp=sharing  #gid=0"",""фіз особи new!relations_name_uo""),7,FALSE)
,
)
))"),"ТИХОНОВ Юрій Геннадійович")</f>
        <v>ТИХОНОВ Юрій Геннадійович</v>
      </c>
      <c r="J11463" s="7" t="s">
        <v>23</v>
      </c>
    </row>
    <row r="11464" spans="1:10" ht="13.2">
      <c r="A11464" s="7">
        <v>11463</v>
      </c>
      <c r="B11464" s="7">
        <v>1</v>
      </c>
      <c r="C11464" s="7" t="s">
        <v>10</v>
      </c>
      <c r="D11464" s="7">
        <v>17658</v>
      </c>
      <c r="E11464" s="7" t="s">
        <v>23</v>
      </c>
      <c r="F11464" s="8" t="str">
        <f ca="1">IFERROR(__xludf.DUMMYFUNCTION("IF
(
C11465=""фізична особа""
,
VLOOKUP(D11465,IMPORTRANGE(""https://docs.google.com/spreadsheets/d/14Bd19lYaqBhU8_DElYkX7l4wRkHqqCUFNJY4AfY3kHU/edit?usp=sharing  #gid=0"",""фіз особи new!relations_name""),6,FALSE)
,
(IF
(
C11465=""юридична особа""
,
VLOO"&amp;"KUP(D11465,IMPORTRANGE(""https://docs.google.com/spreadsheets/d/14Bd19lYaqBhU8_DElYkX7l4wRkHqqCUFNJY4AfY3kHU/edit?usp=sharing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G11464" s="7" t="s">
        <v>10</v>
      </c>
      <c r="H11464" s="7">
        <v>0</v>
      </c>
      <c r="I11464" s="8" t="str">
        <f ca="1">IFERROR(__xludf.DUMMYFUNCTION("IF
(
G11465=""фізична особа""
,
VLOOKUP(H11465,IMPORTRANGE(""https://docs.google.com/spreadsheets/d/14Bd19lYaqBhU8_DElYkX7l4wRkHqqCUFNJY4AfY3kHU/edit?usp=sharing  #gid=0"",""фіз особи new!relations_name""),6,FALSE)
,
(IF
(
G11465=""юридична особа""
,
VLOO"&amp;"KUP(H11465,IMPORTRANGE(""https://docs.google.com/spreadsheets/d/14Bd19lYaqBhU8_DElYkX7l4wRkHqqCUFNJY4AfY3kHU/edit?usp=sharing  #gid=0"",""фіз особи new!relations_name_uo""),7,FALSE)
,
)
))"),"#N/A")</f>
        <v>#N/A</v>
      </c>
      <c r="J11464" s="7" t="s">
        <v>23</v>
      </c>
    </row>
    <row r="11465" spans="1:10" ht="13.2">
      <c r="A11465" s="7">
        <v>11464</v>
      </c>
      <c r="B11465" s="7">
        <v>1</v>
      </c>
      <c r="C11465" s="7" t="s">
        <v>10</v>
      </c>
      <c r="D11465" s="7">
        <v>17659</v>
      </c>
      <c r="E11465" s="7" t="s">
        <v>23</v>
      </c>
      <c r="F11465" s="8" t="str">
        <f ca="1">IFERROR(__xludf.DUMMYFUNCTION("IF
(
C11466=""фізична особа""
,
VLOOKUP(D11466,IMPORTRANGE(""https://docs.google.com/spreadsheets/d/14Bd19lYaqBhU8_DElYkX7l4wRkHqqCUFNJY4AfY3kHU/edit?usp=sharing  #gid=0"",""фіз особи new!relations_name""),6,FALSE)
,
(IF
(
C11466=""юридична особа""
,
VLOO"&amp;"KUP(D11466,IMPORTRANGE(""https://docs.google.com/spreadsheets/d/14Bd19lYaqBhU8_DElYkX7l4wRkHqqCUFNJY4AfY3kHU/edit?usp=sharing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65" s="7" t="s">
        <v>10</v>
      </c>
      <c r="H11465" s="7">
        <v>23632</v>
      </c>
      <c r="I11465" s="8" t="str">
        <f ca="1">IFERROR(__xludf.DUMMYFUNCTION("IF
(
G11466=""фізична особа""
,
VLOOKUP(H11466,IMPORTRANGE(""https://docs.google.com/spreadsheets/d/14Bd19lYaqBhU8_DElYkX7l4wRkHqqCUFNJY4AfY3kHU/edit?usp=sharing  #gid=0"",""фіз особи new!relations_name""),6,FALSE)
,
(IF
(
G11466=""юридична особа""
,
VLOO"&amp;"KUP(H11466,IMPORTRANGE(""https://docs.google.com/spreadsheets/d/14Bd19lYaqBhU8_DElYkX7l4wRkHqqCUFNJY4AfY3kHU/edit?usp=sharing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465" s="7" t="s">
        <v>23</v>
      </c>
    </row>
    <row r="11466" spans="1:10" ht="13.2">
      <c r="A11466" s="7">
        <v>11465</v>
      </c>
      <c r="B11466" s="7">
        <v>1</v>
      </c>
      <c r="C11466" s="7" t="s">
        <v>10</v>
      </c>
      <c r="D11466" s="7">
        <v>17659</v>
      </c>
      <c r="E11466" s="7" t="s">
        <v>23</v>
      </c>
      <c r="F11466" s="8" t="str">
        <f ca="1">IFERROR(__xludf.DUMMYFUNCTION("IF
(
C11467=""фізична особа""
,
VLOOKUP(D11467,IMPORTRANGE(""https://docs.google.com/spreadsheets/d/14Bd19lYaqBhU8_DElYkX7l4wRkHqqCUFNJY4AfY3kHU/edit?usp=sharing  #gid=0"",""фіз особи new!relations_name""),6,FALSE)
,
(IF
(
C11467=""юридична особа""
,
VLOO"&amp;"KUP(D11467,IMPORTRANGE(""https://docs.google.com/spreadsheets/d/14Bd19lYaqBhU8_DElYkX7l4wRkHqqCUFNJY4AfY3kHU/edit?usp=sharing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66" s="7" t="s">
        <v>10</v>
      </c>
      <c r="H11466" s="7">
        <v>23633</v>
      </c>
      <c r="I11466" s="8" t="str">
        <f ca="1">IFERROR(__xludf.DUMMYFUNCTION("IF
(
G11467=""фізична особа""
,
VLOOKUP(H11467,IMPORTRANGE(""https://docs.google.com/spreadsheets/d/14Bd19lYaqBhU8_DElYkX7l4wRkHqqCUFNJY4AfY3kHU/edit?usp=sharing  #gid=0"",""фіз особи new!relations_name""),6,FALSE)
,
(IF
(
G11467=""юридична особа""
,
VLOO"&amp;"KUP(H11467,IMPORTRANGE(""https://docs.google.com/spreadsheets/d/14Bd19lYaqBhU8_DElYkX7l4wRkHqqCUFNJY4AfY3kHU/edit?usp=sharing  #gid=0"",""фіз особи new!relations_name_uo""),7,FALSE)
,
)
))"),"СТАТКЕВИЧ Андрій Геннадійович")</f>
        <v>СТАТКЕВИЧ Андрій Геннадійович</v>
      </c>
      <c r="J11466" s="7" t="s">
        <v>23</v>
      </c>
    </row>
    <row r="11467" spans="1:10" ht="13.2">
      <c r="A11467" s="7">
        <v>11466</v>
      </c>
      <c r="B11467" s="7">
        <v>1</v>
      </c>
      <c r="C11467" s="7" t="s">
        <v>10</v>
      </c>
      <c r="D11467" s="7">
        <v>17659</v>
      </c>
      <c r="E11467" s="7" t="s">
        <v>23</v>
      </c>
      <c r="F11467" s="8" t="str">
        <f ca="1">IFERROR(__xludf.DUMMYFUNCTION("IF
(
C11468=""фізична особа""
,
VLOOKUP(D11468,IMPORTRANGE(""https://docs.google.com/spreadsheets/d/14Bd19lYaqBhU8_DElYkX7l4wRkHqqCUFNJY4AfY3kHU/edit?usp=sharing  #gid=0"",""фіз особи new!relations_name""),6,FALSE)
,
(IF
(
C11468=""юридична особа""
,
VLOO"&amp;"KUP(D11468,IMPORTRANGE(""https://docs.google.com/spreadsheets/d/14Bd19lYaqBhU8_DElYkX7l4wRkHqqCUFNJY4AfY3kHU/edit?usp=sharing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67" s="7" t="s">
        <v>10</v>
      </c>
      <c r="H11467" s="7">
        <v>23634</v>
      </c>
      <c r="I11467" s="8" t="str">
        <f ca="1">IFERROR(__xludf.DUMMYFUNCTION("IF
(
G11468=""фізична особа""
,
VLOOKUP(H11468,IMPORTRANGE(""https://docs.google.com/spreadsheets/d/14Bd19lYaqBhU8_DElYkX7l4wRkHqqCUFNJY4AfY3kHU/edit?usp=sharing  #gid=0"",""фіз особи new!relations_name""),6,FALSE)
,
(IF
(
G11468=""юридична особа""
,
VLOO"&amp;"KUP(H11468,IMPORTRANGE(""https://docs.google.com/spreadsheets/d/14Bd19lYaqBhU8_DElYkX7l4wRkHqqCUFNJY4AfY3kHU/edit?usp=sharing  #gid=0"",""фіз особи new!relations_name_uo""),7,FALSE)
,
)
))"),"СТЕПАНОВ Едуард Іванович")</f>
        <v>СТЕПАНОВ Едуард Іванович</v>
      </c>
      <c r="J11467" s="7" t="s">
        <v>23</v>
      </c>
    </row>
    <row r="11468" spans="1:10" ht="13.2">
      <c r="A11468" s="7">
        <v>11467</v>
      </c>
      <c r="B11468" s="7">
        <v>1</v>
      </c>
      <c r="C11468" s="7" t="s">
        <v>10</v>
      </c>
      <c r="D11468" s="7">
        <v>17659</v>
      </c>
      <c r="E11468" s="7" t="s">
        <v>23</v>
      </c>
      <c r="F11468" s="8" t="str">
        <f ca="1">IFERROR(__xludf.DUMMYFUNCTION("IF
(
C11469=""фізична особа""
,
VLOOKUP(D11469,IMPORTRANGE(""https://docs.google.com/spreadsheets/d/14Bd19lYaqBhU8_DElYkX7l4wRkHqqCUFNJY4AfY3kHU/edit?usp=sharing  #gid=0"",""фіз особи new!relations_name""),6,FALSE)
,
(IF
(
C11469=""юридична особа""
,
VLOO"&amp;"KUP(D11469,IMPORTRANGE(""https://docs.google.com/spreadsheets/d/14Bd19lYaqBhU8_DElYkX7l4wRkHqqCUFNJY4AfY3kHU/edit?usp=sharing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68" s="7" t="s">
        <v>10</v>
      </c>
      <c r="H11468" s="7">
        <v>17655</v>
      </c>
      <c r="I11468" s="8" t="str">
        <f ca="1">IFERROR(__xludf.DUMMYFUNCTION("IF
(
G11469=""фізична особа""
,
VLOOKUP(H11469,IMPORTRANGE(""https://docs.google.com/spreadsheets/d/14Bd19lYaqBhU8_DElYkX7l4wRkHqqCUFNJY4AfY3kHU/edit?usp=sharing  #gid=0"",""фіз особи new!relations_name""),6,FALSE)
,
(IF
(
G11469=""юридична особа""
,
VLOO"&amp;"KUP(H11469,IMPORTRANGE(""https://docs.google.com/spreadsheets/d/14Bd19lYaqBhU8_DElYkX7l4wRkHqqCUFNJY4AfY3kHU/edit?usp=sharing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68" s="7" t="s">
        <v>23</v>
      </c>
    </row>
    <row r="11469" spans="1:10" ht="13.2">
      <c r="A11469" s="7">
        <v>11468</v>
      </c>
      <c r="B11469" s="7">
        <v>1</v>
      </c>
      <c r="C11469" s="7" t="s">
        <v>10</v>
      </c>
      <c r="D11469" s="7">
        <v>17659</v>
      </c>
      <c r="E11469" s="7" t="s">
        <v>23</v>
      </c>
      <c r="F11469" s="8" t="str">
        <f ca="1">IFERROR(__xludf.DUMMYFUNCTION("IF
(
C11470=""фізична особа""
,
VLOOKUP(D11470,IMPORTRANGE(""https://docs.google.com/spreadsheets/d/14Bd19lYaqBhU8_DElYkX7l4wRkHqqCUFNJY4AfY3kHU/edit?usp=sharing  #gid=0"",""фіз особи new!relations_name""),6,FALSE)
,
(IF
(
C11470=""юридична особа""
,
VLOO"&amp;"KUP(D11470,IMPORTRANGE(""https://docs.google.com/spreadsheets/d/14Bd19lYaqBhU8_DElYkX7l4wRkHqqCUFNJY4AfY3kHU/edit?usp=sharing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69" s="7" t="s">
        <v>10</v>
      </c>
      <c r="H11469" s="7">
        <v>17657</v>
      </c>
      <c r="I11469" s="8" t="str">
        <f ca="1">IFERROR(__xludf.DUMMYFUNCTION("IF
(
G11470=""фізична особа""
,
VLOOKUP(H11470,IMPORTRANGE(""https://docs.google.com/spreadsheets/d/14Bd19lYaqBhU8_DElYkX7l4wRkHqqCUFNJY4AfY3kHU/edit?usp=sharing  #gid=0"",""фіз особи new!relations_name""),6,FALSE)
,
(IF
(
G11470=""юридична особа""
,
VLOO"&amp;"KUP(H11470,IMPORTRANGE(""https://docs.google.com/spreadsheets/d/14Bd19lYaqBhU8_DElYkX7l4wRkHqqCUFNJY4AfY3kHU/edit?usp=sharing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69" s="7" t="s">
        <v>23</v>
      </c>
    </row>
    <row r="11470" spans="1:10" ht="13.2">
      <c r="A11470" s="7">
        <v>11469</v>
      </c>
      <c r="B11470" s="7">
        <v>1</v>
      </c>
      <c r="C11470" s="7" t="s">
        <v>10</v>
      </c>
      <c r="D11470" s="7">
        <v>17659</v>
      </c>
      <c r="E11470" s="7" t="s">
        <v>23</v>
      </c>
      <c r="F11470" s="8" t="str">
        <f ca="1">IFERROR(__xludf.DUMMYFUNCTION("IF
(
C11471=""фізична особа""
,
VLOOKUP(D11471,IMPORTRANGE(""https://docs.google.com/spreadsheets/d/14Bd19lYaqBhU8_DElYkX7l4wRkHqqCUFNJY4AfY3kHU/edit?usp=sharing  #gid=0"",""фіз особи new!relations_name""),6,FALSE)
,
(IF
(
C11471=""юридична особа""
,
VLOO"&amp;"KUP(D11471,IMPORTRANGE(""https://docs.google.com/spreadsheets/d/14Bd19lYaqBhU8_DElYkX7l4wRkHqqCUFNJY4AfY3kHU/edit?usp=sharing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0" s="7" t="s">
        <v>10</v>
      </c>
      <c r="H11470" s="7">
        <v>17658</v>
      </c>
      <c r="I11470" s="8" t="str">
        <f ca="1">IFERROR(__xludf.DUMMYFUNCTION("IF
(
G11471=""фізична особа""
,
VLOOKUP(H11471,IMPORTRANGE(""https://docs.google.com/spreadsheets/d/14Bd19lYaqBhU8_DElYkX7l4wRkHqqCUFNJY4AfY3kHU/edit?usp=sharing  #gid=0"",""фіз особи new!relations_name""),6,FALSE)
,
(IF
(
G11471=""юридична особа""
,
VLOO"&amp;"KUP(H11471,IMPORTRANGE(""https://docs.google.com/spreadsheets/d/14Bd19lYaqBhU8_DElYkX7l4wRkHqqCUFNJY4AfY3kHU/edit?usp=sharing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470" s="7" t="s">
        <v>23</v>
      </c>
    </row>
    <row r="11471" spans="1:10" ht="13.2">
      <c r="A11471" s="7">
        <v>11470</v>
      </c>
      <c r="B11471" s="7">
        <v>1</v>
      </c>
      <c r="C11471" s="7" t="s">
        <v>10</v>
      </c>
      <c r="D11471" s="7">
        <v>17659</v>
      </c>
      <c r="E11471" s="7" t="s">
        <v>23</v>
      </c>
      <c r="F11471" s="8" t="str">
        <f ca="1">IFERROR(__xludf.DUMMYFUNCTION("IF
(
C11472=""фізична особа""
,
VLOOKUP(D11472,IMPORTRANGE(""https://docs.google.com/spreadsheets/d/14Bd19lYaqBhU8_DElYkX7l4wRkHqqCUFNJY4AfY3kHU/edit?usp=sharing  #gid=0"",""фіз особи new!relations_name""),6,FALSE)
,
(IF
(
C11472=""юридична особа""
,
VLOO"&amp;"KUP(D11472,IMPORTRANGE(""https://docs.google.com/spreadsheets/d/14Bd19lYaqBhU8_DElYkX7l4wRkHqqCUFNJY4AfY3kHU/edit?usp=sharing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1" s="7" t="s">
        <v>10</v>
      </c>
      <c r="H11471" s="7">
        <v>17656</v>
      </c>
      <c r="I11471" s="8" t="str">
        <f ca="1">IFERROR(__xludf.DUMMYFUNCTION("IF
(
G11472=""фізична особа""
,
VLOOKUP(H11472,IMPORTRANGE(""https://docs.google.com/spreadsheets/d/14Bd19lYaqBhU8_DElYkX7l4wRkHqqCUFNJY4AfY3kHU/edit?usp=sharing  #gid=0"",""фіз особи new!relations_name""),6,FALSE)
,
(IF
(
G11472=""юридична особа""
,
VLOO"&amp;"KUP(H11472,IMPORTRANGE(""https://docs.google.com/spreadsheets/d/14Bd19lYaqBhU8_DElYkX7l4wRkHqqCUFNJY4AfY3kHU/edit?usp=sharing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471" s="7" t="s">
        <v>23</v>
      </c>
    </row>
    <row r="11472" spans="1:10" ht="13.2">
      <c r="A11472" s="7">
        <v>11471</v>
      </c>
      <c r="B11472" s="7">
        <v>1</v>
      </c>
      <c r="C11472" s="7" t="s">
        <v>10</v>
      </c>
      <c r="D11472" s="7">
        <v>17659</v>
      </c>
      <c r="E11472" s="7" t="s">
        <v>23</v>
      </c>
      <c r="F11472" s="8" t="str">
        <f ca="1">IFERROR(__xludf.DUMMYFUNCTION("IF
(
C11473=""фізична особа""
,
VLOOKUP(D11473,IMPORTRANGE(""https://docs.google.com/spreadsheets/d/14Bd19lYaqBhU8_DElYkX7l4wRkHqqCUFNJY4AfY3kHU/edit?usp=sharing  #gid=0"",""фіз особи new!relations_name""),6,FALSE)
,
(IF
(
C11473=""юридична особа""
,
VLOO"&amp;"KUP(D11473,IMPORTRANGE(""https://docs.google.com/spreadsheets/d/14Bd19lYaqBhU8_DElYkX7l4wRkHqqCUFNJY4AfY3kHU/edit?usp=sharing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2" s="7" t="s">
        <v>10</v>
      </c>
      <c r="H11472" s="7">
        <v>17654</v>
      </c>
      <c r="I11472" s="8" t="str">
        <f ca="1">IFERROR(__xludf.DUMMYFUNCTION("IF
(
G11473=""фізична особа""
,
VLOOKUP(H11473,IMPORTRANGE(""https://docs.google.com/spreadsheets/d/14Bd19lYaqBhU8_DElYkX7l4wRkHqqCUFNJY4AfY3kHU/edit?usp=sharing  #gid=0"",""фіз особи new!relations_name""),6,FALSE)
,
(IF
(
G11473=""юридична особа""
,
VLOO"&amp;"KUP(H11473,IMPORTRANGE(""https://docs.google.com/spreadsheets/d/14Bd19lYaqBhU8_DElYkX7l4wRkHqqCUFNJY4AfY3kHU/edit?usp=sharing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72" s="7" t="s">
        <v>23</v>
      </c>
    </row>
    <row r="11473" spans="1:10" ht="13.2">
      <c r="A11473" s="7">
        <v>11472</v>
      </c>
      <c r="B11473" s="7">
        <v>1</v>
      </c>
      <c r="C11473" s="7" t="s">
        <v>10</v>
      </c>
      <c r="D11473" s="7">
        <v>17659</v>
      </c>
      <c r="E11473" s="7" t="s">
        <v>23</v>
      </c>
      <c r="F11473" s="8" t="str">
        <f ca="1">IFERROR(__xludf.DUMMYFUNCTION("IF
(
C11474=""фізична особа""
,
VLOOKUP(D11474,IMPORTRANGE(""https://docs.google.com/spreadsheets/d/14Bd19lYaqBhU8_DElYkX7l4wRkHqqCUFNJY4AfY3kHU/edit?usp=sharing  #gid=0"",""фіз особи new!relations_name""),6,FALSE)
,
(IF
(
C11474=""юридична особа""
,
VLOO"&amp;"KUP(D11474,IMPORTRANGE(""https://docs.google.com/spreadsheets/d/14Bd19lYaqBhU8_DElYkX7l4wRkHqqCUFNJY4AfY3kHU/edit?usp=sharing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3" s="7" t="s">
        <v>10</v>
      </c>
      <c r="H11473" s="7">
        <v>17666</v>
      </c>
      <c r="I11473" s="8" t="str">
        <f ca="1">IFERROR(__xludf.DUMMYFUNCTION("IF
(
G11474=""фізична особа""
,
VLOOKUP(H11474,IMPORTRANGE(""https://docs.google.com/spreadsheets/d/14Bd19lYaqBhU8_DElYkX7l4wRkHqqCUFNJY4AfY3kHU/edit?usp=sharing  #gid=0"",""фіз особи new!relations_name""),6,FALSE)
,
(IF
(
G11474=""юридична особа""
,
VLOO"&amp;"KUP(H11474,IMPORTRANGE(""https://docs.google.com/spreadsheets/d/14Bd19lYaqBhU8_DElYkX7l4wRkHqqCUFNJY4AfY3kHU/edit?usp=sharing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73" s="7" t="s">
        <v>23</v>
      </c>
    </row>
    <row r="11474" spans="1:10" ht="13.2">
      <c r="A11474" s="7">
        <v>11473</v>
      </c>
      <c r="B11474" s="7">
        <v>1</v>
      </c>
      <c r="C11474" s="7" t="s">
        <v>10</v>
      </c>
      <c r="D11474" s="7">
        <v>17659</v>
      </c>
      <c r="E11474" s="7" t="s">
        <v>23</v>
      </c>
      <c r="F11474" s="8" t="str">
        <f ca="1">IFERROR(__xludf.DUMMYFUNCTION("IF
(
C11475=""фізична особа""
,
VLOOKUP(D11475,IMPORTRANGE(""https://docs.google.com/spreadsheets/d/14Bd19lYaqBhU8_DElYkX7l4wRkHqqCUFNJY4AfY3kHU/edit?usp=sharing  #gid=0"",""фіз особи new!relations_name""),6,FALSE)
,
(IF
(
C11475=""юридична особа""
,
VLOO"&amp;"KUP(D11475,IMPORTRANGE(""https://docs.google.com/spreadsheets/d/14Bd19lYaqBhU8_DElYkX7l4wRkHqqCUFNJY4AfY3kHU/edit?usp=sharing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4" s="7" t="s">
        <v>10</v>
      </c>
      <c r="H11474" s="7">
        <v>17664</v>
      </c>
      <c r="I11474" s="8" t="str">
        <f ca="1">IFERROR(__xludf.DUMMYFUNCTION("IF
(
G11475=""фізична особа""
,
VLOOKUP(H11475,IMPORTRANGE(""https://docs.google.com/spreadsheets/d/14Bd19lYaqBhU8_DElYkX7l4wRkHqqCUFNJY4AfY3kHU/edit?usp=sharing  #gid=0"",""фіз особи new!relations_name""),6,FALSE)
,
(IF
(
G11475=""юридична особа""
,
VLOO"&amp;"KUP(H11475,IMPORTRANGE(""https://docs.google.com/spreadsheets/d/14Bd19lYaqBhU8_DElYkX7l4wRkHqqCUFNJY4AfY3kHU/edit?usp=sharing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74" s="7" t="s">
        <v>23</v>
      </c>
    </row>
    <row r="11475" spans="1:10" ht="13.2">
      <c r="A11475" s="7">
        <v>11474</v>
      </c>
      <c r="B11475" s="7">
        <v>1</v>
      </c>
      <c r="C11475" s="7" t="s">
        <v>10</v>
      </c>
      <c r="D11475" s="7">
        <v>17659</v>
      </c>
      <c r="E11475" s="7" t="s">
        <v>23</v>
      </c>
      <c r="F11475" s="8" t="str">
        <f ca="1">IFERROR(__xludf.DUMMYFUNCTION("IF
(
C11476=""фізична особа""
,
VLOOKUP(D11476,IMPORTRANGE(""https://docs.google.com/spreadsheets/d/14Bd19lYaqBhU8_DElYkX7l4wRkHqqCUFNJY4AfY3kHU/edit?usp=sharing  #gid=0"",""фіз особи new!relations_name""),6,FALSE)
,
(IF
(
C11476=""юридична особа""
,
VLOO"&amp;"KUP(D11476,IMPORTRANGE(""https://docs.google.com/spreadsheets/d/14Bd19lYaqBhU8_DElYkX7l4wRkHqqCUFNJY4AfY3kHU/edit?usp=sharing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5" s="7" t="s">
        <v>10</v>
      </c>
      <c r="H11475" s="7">
        <v>17665</v>
      </c>
      <c r="I11475" s="8" t="str">
        <f ca="1">IFERROR(__xludf.DUMMYFUNCTION("IF
(
G11476=""фізична особа""
,
VLOOKUP(H11476,IMPORTRANGE(""https://docs.google.com/spreadsheets/d/14Bd19lYaqBhU8_DElYkX7l4wRkHqqCUFNJY4AfY3kHU/edit?usp=sharing  #gid=0"",""фіз особи new!relations_name""),6,FALSE)
,
(IF
(
G11476=""юридична особа""
,
VLOO"&amp;"KUP(H11476,IMPORTRANGE(""https://docs.google.com/spreadsheets/d/14Bd19lYaqBhU8_DElYkX7l4wRkHqqCUFNJY4AfY3kHU/edit?usp=sharing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75" s="7" t="s">
        <v>23</v>
      </c>
    </row>
    <row r="11476" spans="1:10" ht="13.2">
      <c r="A11476" s="7">
        <v>11475</v>
      </c>
      <c r="B11476" s="7">
        <v>1</v>
      </c>
      <c r="C11476" s="7" t="s">
        <v>10</v>
      </c>
      <c r="D11476" s="7">
        <v>17659</v>
      </c>
      <c r="E11476" s="7" t="s">
        <v>23</v>
      </c>
      <c r="F11476" s="8" t="str">
        <f ca="1">IFERROR(__xludf.DUMMYFUNCTION("IF
(
C11477=""фізична особа""
,
VLOOKUP(D11477,IMPORTRANGE(""https://docs.google.com/spreadsheets/d/14Bd19lYaqBhU8_DElYkX7l4wRkHqqCUFNJY4AfY3kHU/edit?usp=sharing  #gid=0"",""фіз особи new!relations_name""),6,FALSE)
,
(IF
(
C11477=""юридична особа""
,
VLOO"&amp;"KUP(D11477,IMPORTRANGE(""https://docs.google.com/spreadsheets/d/14Bd19lYaqBhU8_DElYkX7l4wRkHqqCUFNJY4AfY3kHU/edit?usp=sharing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6" s="7" t="s">
        <v>10</v>
      </c>
      <c r="H11476" s="7">
        <v>17661</v>
      </c>
      <c r="I11476" s="8" t="str">
        <f ca="1">IFERROR(__xludf.DUMMYFUNCTION("IF
(
G11477=""фізична особа""
,
VLOOKUP(H11477,IMPORTRANGE(""https://docs.google.com/spreadsheets/d/14Bd19lYaqBhU8_DElYkX7l4wRkHqqCUFNJY4AfY3kHU/edit?usp=sharing  #gid=0"",""фіз особи new!relations_name""),6,FALSE)
,
(IF
(
G11477=""юридична особа""
,
VLOO"&amp;"KUP(H11477,IMPORTRANGE(""https://docs.google.com/spreadsheets/d/14Bd19lYaqBhU8_DElYkX7l4wRkHqqCUFNJY4AfY3kHU/edit?usp=sharing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76" s="7" t="s">
        <v>23</v>
      </c>
    </row>
    <row r="11477" spans="1:10" ht="13.2">
      <c r="A11477" s="7">
        <v>11476</v>
      </c>
      <c r="B11477" s="7">
        <v>1</v>
      </c>
      <c r="C11477" s="7" t="s">
        <v>10</v>
      </c>
      <c r="D11477" s="7">
        <v>17659</v>
      </c>
      <c r="E11477" s="7" t="s">
        <v>23</v>
      </c>
      <c r="F11477" s="8" t="str">
        <f ca="1">IFERROR(__xludf.DUMMYFUNCTION("IF
(
C11478=""фізична особа""
,
VLOOKUP(D11478,IMPORTRANGE(""https://docs.google.com/spreadsheets/d/14Bd19lYaqBhU8_DElYkX7l4wRkHqqCUFNJY4AfY3kHU/edit?usp=sharing  #gid=0"",""фіз особи new!relations_name""),6,FALSE)
,
(IF
(
C11478=""юридична особа""
,
VLOO"&amp;"KUP(D11478,IMPORTRANGE(""https://docs.google.com/spreadsheets/d/14Bd19lYaqBhU8_DElYkX7l4wRkHqqCUFNJY4AfY3kHU/edit?usp=sharing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7" s="7" t="s">
        <v>10</v>
      </c>
      <c r="H11477" s="7">
        <v>17660</v>
      </c>
      <c r="I11477" s="8" t="str">
        <f ca="1">IFERROR(__xludf.DUMMYFUNCTION("IF
(
G11478=""фізична особа""
,
VLOOKUP(H11478,IMPORTRANGE(""https://docs.google.com/spreadsheets/d/14Bd19lYaqBhU8_DElYkX7l4wRkHqqCUFNJY4AfY3kHU/edit?usp=sharing  #gid=0"",""фіз особи new!relations_name""),6,FALSE)
,
(IF
(
G11478=""юридична особа""
,
VLOO"&amp;"KUP(H11478,IMPORTRANGE(""https://docs.google.com/spreadsheets/d/14Bd19lYaqBhU8_DElYkX7l4wRkHqqCUFNJY4AfY3kHU/edit?usp=sharing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477" s="7" t="s">
        <v>23</v>
      </c>
    </row>
    <row r="11478" spans="1:10" ht="13.2">
      <c r="A11478" s="7">
        <v>11477</v>
      </c>
      <c r="B11478" s="7">
        <v>1</v>
      </c>
      <c r="C11478" s="7" t="s">
        <v>10</v>
      </c>
      <c r="D11478" s="7">
        <v>17659</v>
      </c>
      <c r="E11478" s="7" t="s">
        <v>23</v>
      </c>
      <c r="F11478" s="8" t="str">
        <f ca="1">IFERROR(__xludf.DUMMYFUNCTION("IF
(
C11479=""фізична особа""
,
VLOOKUP(D11479,IMPORTRANGE(""https://docs.google.com/spreadsheets/d/14Bd19lYaqBhU8_DElYkX7l4wRkHqqCUFNJY4AfY3kHU/edit?usp=sharing  #gid=0"",""фіз особи new!relations_name""),6,FALSE)
,
(IF
(
C11479=""юридична особа""
,
VLOO"&amp;"KUP(D11479,IMPORTRANGE(""https://docs.google.com/spreadsheets/d/14Bd19lYaqBhU8_DElYkX7l4wRkHqqCUFNJY4AfY3kHU/edit?usp=sharing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8" s="7" t="s">
        <v>10</v>
      </c>
      <c r="H11478" s="7">
        <v>17663</v>
      </c>
      <c r="I11478" s="8" t="str">
        <f ca="1">IFERROR(__xludf.DUMMYFUNCTION("IF
(
G11479=""фізична особа""
,
VLOOKUP(H11479,IMPORTRANGE(""https://docs.google.com/spreadsheets/d/14Bd19lYaqBhU8_DElYkX7l4wRkHqqCUFNJY4AfY3kHU/edit?usp=sharing  #gid=0"",""фіз особи new!relations_name""),6,FALSE)
,
(IF
(
G11479=""юридична особа""
,
VLOO"&amp;"KUP(H11479,IMPORTRANGE(""https://docs.google.com/spreadsheets/d/14Bd19lYaqBhU8_DElYkX7l4wRkHqqCUFNJY4AfY3kHU/edit?usp=sharing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78" s="7" t="s">
        <v>23</v>
      </c>
    </row>
    <row r="11479" spans="1:10" ht="13.2">
      <c r="A11479" s="7">
        <v>11478</v>
      </c>
      <c r="B11479" s="7">
        <v>1</v>
      </c>
      <c r="C11479" s="7" t="s">
        <v>10</v>
      </c>
      <c r="D11479" s="7">
        <v>17659</v>
      </c>
      <c r="E11479" s="7" t="s">
        <v>23</v>
      </c>
      <c r="F11479" s="8" t="str">
        <f ca="1">IFERROR(__xludf.DUMMYFUNCTION("IF
(
C11480=""фізична особа""
,
VLOOKUP(D11480,IMPORTRANGE(""https://docs.google.com/spreadsheets/d/14Bd19lYaqBhU8_DElYkX7l4wRkHqqCUFNJY4AfY3kHU/edit?usp=sharing  #gid=0"",""фіз особи new!relations_name""),6,FALSE)
,
(IF
(
C11480=""юридична особа""
,
VLOO"&amp;"KUP(D11480,IMPORTRANGE(""https://docs.google.com/spreadsheets/d/14Bd19lYaqBhU8_DElYkX7l4wRkHqqCUFNJY4AfY3kHU/edit?usp=sharing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79" s="7" t="s">
        <v>10</v>
      </c>
      <c r="H11479" s="7">
        <v>17662</v>
      </c>
      <c r="I11479" s="8" t="str">
        <f ca="1">IFERROR(__xludf.DUMMYFUNCTION("IF
(
G11480=""фізична особа""
,
VLOOKUP(H11480,IMPORTRANGE(""https://docs.google.com/spreadsheets/d/14Bd19lYaqBhU8_DElYkX7l4wRkHqqCUFNJY4AfY3kHU/edit?usp=sharing  #gid=0"",""фіз особи new!relations_name""),6,FALSE)
,
(IF
(
G11480=""юридична особа""
,
VLOO"&amp;"KUP(H11480,IMPORTRANGE(""https://docs.google.com/spreadsheets/d/14Bd19lYaqBhU8_DElYkX7l4wRkHqqCUFNJY4AfY3kHU/edit?usp=sharing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79" s="7" t="s">
        <v>23</v>
      </c>
    </row>
    <row r="11480" spans="1:10" ht="13.2">
      <c r="A11480" s="7">
        <v>11479</v>
      </c>
      <c r="B11480" s="7">
        <v>1</v>
      </c>
      <c r="C11480" s="7" t="s">
        <v>10</v>
      </c>
      <c r="D11480" s="7">
        <v>17659</v>
      </c>
      <c r="E11480" s="7" t="s">
        <v>23</v>
      </c>
      <c r="F11480" s="8" t="str">
        <f ca="1">IFERROR(__xludf.DUMMYFUNCTION("IF
(
C11481=""фізична особа""
,
VLOOKUP(D11481,IMPORTRANGE(""https://docs.google.com/spreadsheets/d/14Bd19lYaqBhU8_DElYkX7l4wRkHqqCUFNJY4AfY3kHU/edit?usp=sharing  #gid=0"",""фіз особи new!relations_name""),6,FALSE)
,
(IF
(
C11481=""юридична особа""
,
VLOO"&amp;"KUP(D11481,IMPORTRANGE(""https://docs.google.com/spreadsheets/d/14Bd19lYaqBhU8_DElYkX7l4wRkHqqCUFNJY4AfY3kHU/edit?usp=sharing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80" s="7" t="s">
        <v>10</v>
      </c>
      <c r="H11480" s="7">
        <v>23635</v>
      </c>
      <c r="I11480" s="8" t="str">
        <f ca="1">IFERROR(__xludf.DUMMYFUNCTION("IF
(
G11481=""фізична особа""
,
VLOOKUP(H11481,IMPORTRANGE(""https://docs.google.com/spreadsheets/d/14Bd19lYaqBhU8_DElYkX7l4wRkHqqCUFNJY4AfY3kHU/edit?usp=sharing  #gid=0"",""фіз особи new!relations_name""),6,FALSE)
,
(IF
(
G11481=""юридична особа""
,
VLOO"&amp;"KUP(H11481,IMPORTRANGE(""https://docs.google.com/spreadsheets/d/14Bd19lYaqBhU8_DElYkX7l4wRkHqqCUFNJY4AfY3kHU/edit?usp=sharing  #gid=0"",""фіз особи new!relations_name_uo""),7,FALSE)
,
)
))"),"ФУРАШОВ Андрій Володимирович")</f>
        <v>ФУРАШОВ Андрій Володимирович</v>
      </c>
      <c r="J11480" s="7" t="s">
        <v>23</v>
      </c>
    </row>
    <row r="11481" spans="1:10" ht="13.2">
      <c r="A11481" s="7">
        <v>11480</v>
      </c>
      <c r="B11481" s="7">
        <v>1</v>
      </c>
      <c r="C11481" s="7" t="s">
        <v>10</v>
      </c>
      <c r="D11481" s="7">
        <v>17659</v>
      </c>
      <c r="E11481" s="7" t="s">
        <v>23</v>
      </c>
      <c r="F11481" s="8" t="str">
        <f ca="1">IFERROR(__xludf.DUMMYFUNCTION("IF
(
C11482=""фізична особа""
,
VLOOKUP(D11482,IMPORTRANGE(""https://docs.google.com/spreadsheets/d/14Bd19lYaqBhU8_DElYkX7l4wRkHqqCUFNJY4AfY3kHU/edit?usp=sharing  #gid=0"",""фіз особи new!relations_name""),6,FALSE)
,
(IF
(
C11482=""юридична особа""
,
VLOO"&amp;"KUP(D11482,IMPORTRANGE(""https://docs.google.com/spreadsheets/d/14Bd19lYaqBhU8_DElYkX7l4wRkHqqCUFNJY4AfY3kHU/edit?usp=sharing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81" s="7" t="s">
        <v>10</v>
      </c>
      <c r="H11481" s="7">
        <v>23637</v>
      </c>
      <c r="I11481" s="8" t="str">
        <f ca="1">IFERROR(__xludf.DUMMYFUNCTION("IF
(
G11482=""фізична особа""
,
VLOOKUP(H11482,IMPORTRANGE(""https://docs.google.com/spreadsheets/d/14Bd19lYaqBhU8_DElYkX7l4wRkHqqCUFNJY4AfY3kHU/edit?usp=sharing  #gid=0"",""фіз особи new!relations_name""),6,FALSE)
,
(IF
(
G11482=""юридична особа""
,
VLOO"&amp;"KUP(H11482,IMPORTRANGE(""https://docs.google.com/spreadsheets/d/14Bd19lYaqBhU8_DElYkX7l4wRkHqqCUFNJY4AfY3kHU/edit?usp=sharing  #gid=0"",""фіз особи new!relations_name_uo""),7,FALSE)
,
)
))"),"ІВАНОВ Микола Анатолійович")</f>
        <v>ІВАНОВ Микола Анатолійович</v>
      </c>
      <c r="J11481" s="7" t="s">
        <v>23</v>
      </c>
    </row>
    <row r="11482" spans="1:10" ht="13.2">
      <c r="A11482" s="7">
        <v>11481</v>
      </c>
      <c r="B11482" s="7">
        <v>1</v>
      </c>
      <c r="C11482" s="7" t="s">
        <v>10</v>
      </c>
      <c r="D11482" s="7">
        <v>17659</v>
      </c>
      <c r="E11482" s="7" t="s">
        <v>23</v>
      </c>
      <c r="F11482" s="8" t="str">
        <f ca="1">IFERROR(__xludf.DUMMYFUNCTION("IF
(
C11483=""фізична особа""
,
VLOOKUP(D11483,IMPORTRANGE(""https://docs.google.com/spreadsheets/d/14Bd19lYaqBhU8_DElYkX7l4wRkHqqCUFNJY4AfY3kHU/edit?usp=sharing  #gid=0"",""фіз особи new!relations_name""),6,FALSE)
,
(IF
(
C11483=""юридична особа""
,
VLOO"&amp;"KUP(D11483,IMPORTRANGE(""https://docs.google.com/spreadsheets/d/14Bd19lYaqBhU8_DElYkX7l4wRkHqqCUFNJY4AfY3kHU/edit?usp=sharing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G11482" s="7" t="s">
        <v>10</v>
      </c>
      <c r="H11482" s="7">
        <v>23638</v>
      </c>
      <c r="I11482" s="8" t="str">
        <f ca="1">IFERROR(__xludf.DUMMYFUNCTION("IF
(
G11483=""фізична особа""
,
VLOOKUP(H11483,IMPORTRANGE(""https://docs.google.com/spreadsheets/d/14Bd19lYaqBhU8_DElYkX7l4wRkHqqCUFNJY4AfY3kHU/edit?usp=sharing  #gid=0"",""фіз особи new!relations_name""),6,FALSE)
,
(IF
(
G11483=""юридична особа""
,
VLOO"&amp;"KUP(H11483,IMPORTRANGE(""https://docs.google.com/spreadsheets/d/14Bd19lYaqBhU8_DElYkX7l4wRkHqqCUFNJY4AfY3kHU/edit?usp=sharing  #gid=0"",""фіз особи new!relations_name_uo""),7,FALSE)
,
)
))"),"ТЮРІН Віталій Борисович")</f>
        <v>ТЮРІН Віталій Борисович</v>
      </c>
      <c r="J11482" s="7" t="s">
        <v>23</v>
      </c>
    </row>
    <row r="11483" spans="1:10" ht="13.2">
      <c r="A11483" s="7">
        <v>11482</v>
      </c>
      <c r="B11483" s="7">
        <v>1</v>
      </c>
      <c r="C11483" s="7" t="s">
        <v>10</v>
      </c>
      <c r="D11483" s="7">
        <v>17660</v>
      </c>
      <c r="E11483" s="7" t="s">
        <v>23</v>
      </c>
      <c r="F11483" s="8" t="str">
        <f ca="1">IFERROR(__xludf.DUMMYFUNCTION("IF
(
C11484=""фізична особа""
,
VLOOKUP(D11484,IMPORTRANGE(""https://docs.google.com/spreadsheets/d/14Bd19lYaqBhU8_DElYkX7l4wRkHqqCUFNJY4AfY3kHU/edit?usp=sharing  #gid=0"",""фіз особи new!relations_name""),6,FALSE)
,
(IF
(
C11484=""юридична особа""
,
VLOO"&amp;"KUP(D11484,IMPORTRANGE(""https://docs.google.com/spreadsheets/d/14Bd19lYaqBhU8_DElYkX7l4wRkHqqCUFNJY4AfY3kHU/edit?usp=sharing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3" s="7" t="s">
        <v>10</v>
      </c>
      <c r="H11483" s="7">
        <v>17656</v>
      </c>
      <c r="I11483" s="8" t="str">
        <f ca="1">IFERROR(__xludf.DUMMYFUNCTION("IF
(
G11484=""фізична особа""
,
VLOOKUP(H11484,IMPORTRANGE(""https://docs.google.com/spreadsheets/d/14Bd19lYaqBhU8_DElYkX7l4wRkHqqCUFNJY4AfY3kHU/edit?usp=sharing  #gid=0"",""фіз особи new!relations_name""),6,FALSE)
,
(IF
(
G11484=""юридична особа""
,
VLOO"&amp;"KUP(H11484,IMPORTRANGE(""https://docs.google.com/spreadsheets/d/14Bd19lYaqBhU8_DElYkX7l4wRkHqqCUFNJY4AfY3kHU/edit?usp=sharing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483" s="7" t="s">
        <v>23</v>
      </c>
    </row>
    <row r="11484" spans="1:10" ht="13.2">
      <c r="A11484" s="7">
        <v>11483</v>
      </c>
      <c r="B11484" s="7">
        <v>1</v>
      </c>
      <c r="C11484" s="7" t="s">
        <v>10</v>
      </c>
      <c r="D11484" s="7">
        <v>17660</v>
      </c>
      <c r="E11484" s="7" t="s">
        <v>23</v>
      </c>
      <c r="F11484" s="8" t="str">
        <f ca="1">IFERROR(__xludf.DUMMYFUNCTION("IF
(
C11485=""фізична особа""
,
VLOOKUP(D11485,IMPORTRANGE(""https://docs.google.com/spreadsheets/d/14Bd19lYaqBhU8_DElYkX7l4wRkHqqCUFNJY4AfY3kHU/edit?usp=sharing  #gid=0"",""фіз особи new!relations_name""),6,FALSE)
,
(IF
(
C11485=""юридична особа""
,
VLOO"&amp;"KUP(D11485,IMPORTRANGE(""https://docs.google.com/spreadsheets/d/14Bd19lYaqBhU8_DElYkX7l4wRkHqqCUFNJY4AfY3kHU/edit?usp=sharing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4" s="7" t="s">
        <v>10</v>
      </c>
      <c r="H11484" s="7">
        <v>17658</v>
      </c>
      <c r="I11484" s="8" t="str">
        <f ca="1">IFERROR(__xludf.DUMMYFUNCTION("IF
(
G11485=""фізична особа""
,
VLOOKUP(H11485,IMPORTRANGE(""https://docs.google.com/spreadsheets/d/14Bd19lYaqBhU8_DElYkX7l4wRkHqqCUFNJY4AfY3kHU/edit?usp=sharing  #gid=0"",""фіз особи new!relations_name""),6,FALSE)
,
(IF
(
G11485=""юридична особа""
,
VLOO"&amp;"KUP(H11485,IMPORTRANGE(""https://docs.google.com/spreadsheets/d/14Bd19lYaqBhU8_DElYkX7l4wRkHqqCUFNJY4AfY3kHU/edit?usp=sharing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484" s="7" t="s">
        <v>23</v>
      </c>
    </row>
    <row r="11485" spans="1:10" ht="13.2">
      <c r="A11485" s="7">
        <v>11484</v>
      </c>
      <c r="B11485" s="7">
        <v>1</v>
      </c>
      <c r="C11485" s="7" t="s">
        <v>10</v>
      </c>
      <c r="D11485" s="7">
        <v>17660</v>
      </c>
      <c r="E11485" s="7" t="s">
        <v>23</v>
      </c>
      <c r="F11485" s="8" t="str">
        <f ca="1">IFERROR(__xludf.DUMMYFUNCTION("IF
(
C11486=""фізична особа""
,
VLOOKUP(D11486,IMPORTRANGE(""https://docs.google.com/spreadsheets/d/14Bd19lYaqBhU8_DElYkX7l4wRkHqqCUFNJY4AfY3kHU/edit?usp=sharing  #gid=0"",""фіз особи new!relations_name""),6,FALSE)
,
(IF
(
C11486=""юридична особа""
,
VLOO"&amp;"KUP(D11486,IMPORTRANGE(""https://docs.google.com/spreadsheets/d/14Bd19lYaqBhU8_DElYkX7l4wRkHqqCUFNJY4AfY3kHU/edit?usp=sharing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5" s="7" t="s">
        <v>10</v>
      </c>
      <c r="H11485" s="7">
        <v>17659</v>
      </c>
      <c r="I11485" s="8" t="str">
        <f ca="1">IFERROR(__xludf.DUMMYFUNCTION("IF
(
G11486=""фізична особа""
,
VLOOKUP(H11486,IMPORTRANGE(""https://docs.google.com/spreadsheets/d/14Bd19lYaqBhU8_DElYkX7l4wRkHqqCUFNJY4AfY3kHU/edit?usp=sharing  #gid=0"",""фіз особи new!relations_name""),6,FALSE)
,
(IF
(
G11486=""юридична особа""
,
VLOO"&amp;"KUP(H11486,IMPORTRANGE(""https://docs.google.com/spreadsheets/d/14Bd19lYaqBhU8_DElYkX7l4wRkHqqCUFNJY4AfY3kHU/edit?usp=sharing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85" s="7" t="s">
        <v>23</v>
      </c>
    </row>
    <row r="11486" spans="1:10" ht="13.2">
      <c r="A11486" s="7">
        <v>11485</v>
      </c>
      <c r="B11486" s="7">
        <v>1</v>
      </c>
      <c r="C11486" s="7" t="s">
        <v>10</v>
      </c>
      <c r="D11486" s="7">
        <v>17660</v>
      </c>
      <c r="E11486" s="7" t="s">
        <v>23</v>
      </c>
      <c r="F11486" s="8" t="str">
        <f ca="1">IFERROR(__xludf.DUMMYFUNCTION("IF
(
C11487=""фізична особа""
,
VLOOKUP(D11487,IMPORTRANGE(""https://docs.google.com/spreadsheets/d/14Bd19lYaqBhU8_DElYkX7l4wRkHqqCUFNJY4AfY3kHU/edit?usp=sharing  #gid=0"",""фіз особи new!relations_name""),6,FALSE)
,
(IF
(
C11487=""юридична особа""
,
VLOO"&amp;"KUP(D11487,IMPORTRANGE(""https://docs.google.com/spreadsheets/d/14Bd19lYaqBhU8_DElYkX7l4wRkHqqCUFNJY4AfY3kHU/edit?usp=sharing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6" s="7" t="s">
        <v>10</v>
      </c>
      <c r="H11486" s="7">
        <v>17657</v>
      </c>
      <c r="I11486" s="8" t="str">
        <f ca="1">IFERROR(__xludf.DUMMYFUNCTION("IF
(
G11487=""фізична особа""
,
VLOOKUP(H11487,IMPORTRANGE(""https://docs.google.com/spreadsheets/d/14Bd19lYaqBhU8_DElYkX7l4wRkHqqCUFNJY4AfY3kHU/edit?usp=sharing  #gid=0"",""фіз особи new!relations_name""),6,FALSE)
,
(IF
(
G11487=""юридична особа""
,
VLOO"&amp;"KUP(H11487,IMPORTRANGE(""https://docs.google.com/spreadsheets/d/14Bd19lYaqBhU8_DElYkX7l4wRkHqqCUFNJY4AfY3kHU/edit?usp=sharing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86" s="7" t="s">
        <v>23</v>
      </c>
    </row>
    <row r="11487" spans="1:10" ht="13.2">
      <c r="A11487" s="7">
        <v>11486</v>
      </c>
      <c r="B11487" s="7">
        <v>1</v>
      </c>
      <c r="C11487" s="7" t="s">
        <v>10</v>
      </c>
      <c r="D11487" s="7">
        <v>17660</v>
      </c>
      <c r="E11487" s="7" t="s">
        <v>23</v>
      </c>
      <c r="F11487" s="8" t="str">
        <f ca="1">IFERROR(__xludf.DUMMYFUNCTION("IF
(
C11488=""фізична особа""
,
VLOOKUP(D11488,IMPORTRANGE(""https://docs.google.com/spreadsheets/d/14Bd19lYaqBhU8_DElYkX7l4wRkHqqCUFNJY4AfY3kHU/edit?usp=sharing  #gid=0"",""фіз особи new!relations_name""),6,FALSE)
,
(IF
(
C11488=""юридична особа""
,
VLOO"&amp;"KUP(D11488,IMPORTRANGE(""https://docs.google.com/spreadsheets/d/14Bd19lYaqBhU8_DElYkX7l4wRkHqqCUFNJY4AfY3kHU/edit?usp=sharing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7" s="7" t="s">
        <v>10</v>
      </c>
      <c r="H11487" s="7">
        <v>17655</v>
      </c>
      <c r="I11487" s="8" t="str">
        <f ca="1">IFERROR(__xludf.DUMMYFUNCTION("IF
(
G11488=""фізична особа""
,
VLOOKUP(H11488,IMPORTRANGE(""https://docs.google.com/spreadsheets/d/14Bd19lYaqBhU8_DElYkX7l4wRkHqqCUFNJY4AfY3kHU/edit?usp=sharing  #gid=0"",""фіз особи new!relations_name""),6,FALSE)
,
(IF
(
G11488=""юридична особа""
,
VLOO"&amp;"KUP(H11488,IMPORTRANGE(""https://docs.google.com/spreadsheets/d/14Bd19lYaqBhU8_DElYkX7l4wRkHqqCUFNJY4AfY3kHU/edit?usp=sharing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87" s="7" t="s">
        <v>23</v>
      </c>
    </row>
    <row r="11488" spans="1:10" ht="13.2">
      <c r="A11488" s="7">
        <v>11487</v>
      </c>
      <c r="B11488" s="7">
        <v>1</v>
      </c>
      <c r="C11488" s="7" t="s">
        <v>10</v>
      </c>
      <c r="D11488" s="7">
        <v>17660</v>
      </c>
      <c r="E11488" s="7" t="s">
        <v>23</v>
      </c>
      <c r="F11488" s="8" t="str">
        <f ca="1">IFERROR(__xludf.DUMMYFUNCTION("IF
(
C11489=""фізична особа""
,
VLOOKUP(D11489,IMPORTRANGE(""https://docs.google.com/spreadsheets/d/14Bd19lYaqBhU8_DElYkX7l4wRkHqqCUFNJY4AfY3kHU/edit?usp=sharing  #gid=0"",""фіз особи new!relations_name""),6,FALSE)
,
(IF
(
C11489=""юридична особа""
,
VLOO"&amp;"KUP(D11489,IMPORTRANGE(""https://docs.google.com/spreadsheets/d/14Bd19lYaqBhU8_DElYkX7l4wRkHqqCUFNJY4AfY3kHU/edit?usp=sharing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8" s="7" t="s">
        <v>10</v>
      </c>
      <c r="H11488" s="7">
        <v>17666</v>
      </c>
      <c r="I11488" s="8" t="str">
        <f ca="1">IFERROR(__xludf.DUMMYFUNCTION("IF
(
G11489=""фізична особа""
,
VLOOKUP(H11489,IMPORTRANGE(""https://docs.google.com/spreadsheets/d/14Bd19lYaqBhU8_DElYkX7l4wRkHqqCUFNJY4AfY3kHU/edit?usp=sharing  #gid=0"",""фіз особи new!relations_name""),6,FALSE)
,
(IF
(
G11489=""юридична особа""
,
VLOO"&amp;"KUP(H11489,IMPORTRANGE(""https://docs.google.com/spreadsheets/d/14Bd19lYaqBhU8_DElYkX7l4wRkHqqCUFNJY4AfY3kHU/edit?usp=sharing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488" s="7" t="s">
        <v>23</v>
      </c>
    </row>
    <row r="11489" spans="1:10" ht="13.2">
      <c r="A11489" s="7">
        <v>11488</v>
      </c>
      <c r="B11489" s="7">
        <v>1</v>
      </c>
      <c r="C11489" s="7" t="s">
        <v>10</v>
      </c>
      <c r="D11489" s="7">
        <v>17660</v>
      </c>
      <c r="E11489" s="7" t="s">
        <v>23</v>
      </c>
      <c r="F11489" s="8" t="str">
        <f ca="1">IFERROR(__xludf.DUMMYFUNCTION("IF
(
C11490=""фізична особа""
,
VLOOKUP(D11490,IMPORTRANGE(""https://docs.google.com/spreadsheets/d/14Bd19lYaqBhU8_DElYkX7l4wRkHqqCUFNJY4AfY3kHU/edit?usp=sharing  #gid=0"",""фіз особи new!relations_name""),6,FALSE)
,
(IF
(
C11490=""юридична особа""
,
VLOO"&amp;"KUP(D11490,IMPORTRANGE(""https://docs.google.com/spreadsheets/d/14Bd19lYaqBhU8_DElYkX7l4wRkHqqCUFNJY4AfY3kHU/edit?usp=sharing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89" s="7" t="s">
        <v>10</v>
      </c>
      <c r="H11489" s="7">
        <v>17664</v>
      </c>
      <c r="I11489" s="8" t="str">
        <f ca="1">IFERROR(__xludf.DUMMYFUNCTION("IF
(
G11490=""фізична особа""
,
VLOOKUP(H11490,IMPORTRANGE(""https://docs.google.com/spreadsheets/d/14Bd19lYaqBhU8_DElYkX7l4wRkHqqCUFNJY4AfY3kHU/edit?usp=sharing  #gid=0"",""фіз особи new!relations_name""),6,FALSE)
,
(IF
(
G11490=""юридична особа""
,
VLOO"&amp;"KUP(H11490,IMPORTRANGE(""https://docs.google.com/spreadsheets/d/14Bd19lYaqBhU8_DElYkX7l4wRkHqqCUFNJY4AfY3kHU/edit?usp=sharing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489" s="7" t="s">
        <v>23</v>
      </c>
    </row>
    <row r="11490" spans="1:10" ht="13.2">
      <c r="A11490" s="7">
        <v>11489</v>
      </c>
      <c r="B11490" s="7">
        <v>1</v>
      </c>
      <c r="C11490" s="7" t="s">
        <v>10</v>
      </c>
      <c r="D11490" s="7">
        <v>17660</v>
      </c>
      <c r="E11490" s="7" t="s">
        <v>23</v>
      </c>
      <c r="F11490" s="8" t="str">
        <f ca="1">IFERROR(__xludf.DUMMYFUNCTION("IF
(
C11491=""фізична особа""
,
VLOOKUP(D11491,IMPORTRANGE(""https://docs.google.com/spreadsheets/d/14Bd19lYaqBhU8_DElYkX7l4wRkHqqCUFNJY4AfY3kHU/edit?usp=sharing  #gid=0"",""фіз особи new!relations_name""),6,FALSE)
,
(IF
(
C11491=""юридична особа""
,
VLOO"&amp;"KUP(D11491,IMPORTRANGE(""https://docs.google.com/spreadsheets/d/14Bd19lYaqBhU8_DElYkX7l4wRkHqqCUFNJY4AfY3kHU/edit?usp=sharing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90" s="7" t="s">
        <v>10</v>
      </c>
      <c r="H11490" s="7">
        <v>17665</v>
      </c>
      <c r="I11490" s="8" t="str">
        <f ca="1">IFERROR(__xludf.DUMMYFUNCTION("IF
(
G11491=""фізична особа""
,
VLOOKUP(H11491,IMPORTRANGE(""https://docs.google.com/spreadsheets/d/14Bd19lYaqBhU8_DElYkX7l4wRkHqqCUFNJY4AfY3kHU/edit?usp=sharing  #gid=0"",""фіз особи new!relations_name""),6,FALSE)
,
(IF
(
G11491=""юридична особа""
,
VLOO"&amp;"KUP(H11491,IMPORTRANGE(""https://docs.google.com/spreadsheets/d/14Bd19lYaqBhU8_DElYkX7l4wRkHqqCUFNJY4AfY3kHU/edit?usp=sharing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490" s="7" t="s">
        <v>23</v>
      </c>
    </row>
    <row r="11491" spans="1:10" ht="13.2">
      <c r="A11491" s="7">
        <v>11490</v>
      </c>
      <c r="B11491" s="7">
        <v>1</v>
      </c>
      <c r="C11491" s="7" t="s">
        <v>10</v>
      </c>
      <c r="D11491" s="7">
        <v>17660</v>
      </c>
      <c r="E11491" s="7" t="s">
        <v>23</v>
      </c>
      <c r="F11491" s="8" t="str">
        <f ca="1">IFERROR(__xludf.DUMMYFUNCTION("IF
(
C11492=""фізична особа""
,
VLOOKUP(D11492,IMPORTRANGE(""https://docs.google.com/spreadsheets/d/14Bd19lYaqBhU8_DElYkX7l4wRkHqqCUFNJY4AfY3kHU/edit?usp=sharing  #gid=0"",""фіз особи new!relations_name""),6,FALSE)
,
(IF
(
C11492=""юридична особа""
,
VLOO"&amp;"KUP(D11492,IMPORTRANGE(""https://docs.google.com/spreadsheets/d/14Bd19lYaqBhU8_DElYkX7l4wRkHqqCUFNJY4AfY3kHU/edit?usp=sharing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91" s="7" t="s">
        <v>10</v>
      </c>
      <c r="H11491" s="7">
        <v>17661</v>
      </c>
      <c r="I11491" s="8" t="str">
        <f ca="1">IFERROR(__xludf.DUMMYFUNCTION("IF
(
G11492=""фізична особа""
,
VLOOKUP(H11492,IMPORTRANGE(""https://docs.google.com/spreadsheets/d/14Bd19lYaqBhU8_DElYkX7l4wRkHqqCUFNJY4AfY3kHU/edit?usp=sharing  #gid=0"",""фіз особи new!relations_name""),6,FALSE)
,
(IF
(
G11492=""юридична особа""
,
VLOO"&amp;"KUP(H11492,IMPORTRANGE(""https://docs.google.com/spreadsheets/d/14Bd19lYaqBhU8_DElYkX7l4wRkHqqCUFNJY4AfY3kHU/edit?usp=sharing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491" s="7" t="s">
        <v>23</v>
      </c>
    </row>
    <row r="11492" spans="1:10" ht="13.2">
      <c r="A11492" s="7">
        <v>11491</v>
      </c>
      <c r="B11492" s="7">
        <v>1</v>
      </c>
      <c r="C11492" s="7" t="s">
        <v>10</v>
      </c>
      <c r="D11492" s="7">
        <v>17660</v>
      </c>
      <c r="E11492" s="7" t="s">
        <v>23</v>
      </c>
      <c r="F11492" s="8" t="str">
        <f ca="1">IFERROR(__xludf.DUMMYFUNCTION("IF
(
C11493=""фізична особа""
,
VLOOKUP(D11493,IMPORTRANGE(""https://docs.google.com/spreadsheets/d/14Bd19lYaqBhU8_DElYkX7l4wRkHqqCUFNJY4AfY3kHU/edit?usp=sharing  #gid=0"",""фіз особи new!relations_name""),6,FALSE)
,
(IF
(
C11493=""юридична особа""
,
VLOO"&amp;"KUP(D11493,IMPORTRANGE(""https://docs.google.com/spreadsheets/d/14Bd19lYaqBhU8_DElYkX7l4wRkHqqCUFNJY4AfY3kHU/edit?usp=sharing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92" s="7" t="s">
        <v>10</v>
      </c>
      <c r="H11492" s="7">
        <v>17654</v>
      </c>
      <c r="I11492" s="8" t="str">
        <f ca="1">IFERROR(__xludf.DUMMYFUNCTION("IF
(
G11493=""фізична особа""
,
VLOOKUP(H11493,IMPORTRANGE(""https://docs.google.com/spreadsheets/d/14Bd19lYaqBhU8_DElYkX7l4wRkHqqCUFNJY4AfY3kHU/edit?usp=sharing  #gid=0"",""фіз особи new!relations_name""),6,FALSE)
,
(IF
(
G11493=""юридична особа""
,
VLOO"&amp;"KUP(H11493,IMPORTRANGE(""https://docs.google.com/spreadsheets/d/14Bd19lYaqBhU8_DElYkX7l4wRkHqqCUFNJY4AfY3kHU/edit?usp=sharing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492" s="7" t="s">
        <v>23</v>
      </c>
    </row>
    <row r="11493" spans="1:10" ht="13.2">
      <c r="A11493" s="7">
        <v>11492</v>
      </c>
      <c r="B11493" s="7">
        <v>1</v>
      </c>
      <c r="C11493" s="7" t="s">
        <v>10</v>
      </c>
      <c r="D11493" s="7">
        <v>17660</v>
      </c>
      <c r="E11493" s="7" t="s">
        <v>23</v>
      </c>
      <c r="F11493" s="8" t="str">
        <f ca="1">IFERROR(__xludf.DUMMYFUNCTION("IF
(
C11494=""фізична особа""
,
VLOOKUP(D11494,IMPORTRANGE(""https://docs.google.com/spreadsheets/d/14Bd19lYaqBhU8_DElYkX7l4wRkHqqCUFNJY4AfY3kHU/edit?usp=sharing  #gid=0"",""фіз особи new!relations_name""),6,FALSE)
,
(IF
(
C11494=""юридична особа""
,
VLOO"&amp;"KUP(D11494,IMPORTRANGE(""https://docs.google.com/spreadsheets/d/14Bd19lYaqBhU8_DElYkX7l4wRkHqqCUFNJY4AfY3kHU/edit?usp=sharing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93" s="7" t="s">
        <v>10</v>
      </c>
      <c r="H11493" s="7">
        <v>17663</v>
      </c>
      <c r="I11493" s="8" t="str">
        <f ca="1">IFERROR(__xludf.DUMMYFUNCTION("IF
(
G11494=""фізична особа""
,
VLOOKUP(H11494,IMPORTRANGE(""https://docs.google.com/spreadsheets/d/14Bd19lYaqBhU8_DElYkX7l4wRkHqqCUFNJY4AfY3kHU/edit?usp=sharing  #gid=0"",""фіз особи new!relations_name""),6,FALSE)
,
(IF
(
G11494=""юридична особа""
,
VLOO"&amp;"KUP(H11494,IMPORTRANGE(""https://docs.google.com/spreadsheets/d/14Bd19lYaqBhU8_DElYkX7l4wRkHqqCUFNJY4AfY3kHU/edit?usp=sharing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493" s="7" t="s">
        <v>23</v>
      </c>
    </row>
    <row r="11494" spans="1:10" ht="13.2">
      <c r="A11494" s="7">
        <v>11493</v>
      </c>
      <c r="B11494" s="7">
        <v>1</v>
      </c>
      <c r="C11494" s="7" t="s">
        <v>10</v>
      </c>
      <c r="D11494" s="7">
        <v>17660</v>
      </c>
      <c r="E11494" s="7" t="s">
        <v>23</v>
      </c>
      <c r="F11494" s="8" t="str">
        <f ca="1">IFERROR(__xludf.DUMMYFUNCTION("IF
(
C11495=""фізична особа""
,
VLOOKUP(D11495,IMPORTRANGE(""https://docs.google.com/spreadsheets/d/14Bd19lYaqBhU8_DElYkX7l4wRkHqqCUFNJY4AfY3kHU/edit?usp=sharing  #gid=0"",""фіз особи new!relations_name""),6,FALSE)
,
(IF
(
C11495=""юридична особа""
,
VLOO"&amp;"KUP(D11495,IMPORTRANGE(""https://docs.google.com/spreadsheets/d/14Bd19lYaqBhU8_DElYkX7l4wRkHqqCUFNJY4AfY3kHU/edit?usp=sharing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G11494" s="7" t="s">
        <v>10</v>
      </c>
      <c r="H11494" s="7">
        <v>17662</v>
      </c>
      <c r="I11494" s="8" t="str">
        <f ca="1">IFERROR(__xludf.DUMMYFUNCTION("IF
(
G11495=""фізична особа""
,
VLOOKUP(H11495,IMPORTRANGE(""https://docs.google.com/spreadsheets/d/14Bd19lYaqBhU8_DElYkX7l4wRkHqqCUFNJY4AfY3kHU/edit?usp=sharing  #gid=0"",""фіз особи new!relations_name""),6,FALSE)
,
(IF
(
G11495=""юридична особа""
,
VLOO"&amp;"KUP(H11495,IMPORTRANGE(""https://docs.google.com/spreadsheets/d/14Bd19lYaqBhU8_DElYkX7l4wRkHqqCUFNJY4AfY3kHU/edit?usp=sharing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494" s="7" t="s">
        <v>23</v>
      </c>
    </row>
    <row r="11495" spans="1:10" ht="13.2">
      <c r="A11495" s="7">
        <v>11494</v>
      </c>
      <c r="B11495" s="7">
        <v>1</v>
      </c>
      <c r="C11495" s="7" t="s">
        <v>10</v>
      </c>
      <c r="D11495" s="7">
        <v>17661</v>
      </c>
      <c r="E11495" s="7" t="s">
        <v>23</v>
      </c>
      <c r="F11495" s="8" t="str">
        <f ca="1">IFERROR(__xludf.DUMMYFUNCTION("IF
(
C11496=""фізична особа""
,
VLOOKUP(D11496,IMPORTRANGE(""https://docs.google.com/spreadsheets/d/14Bd19lYaqBhU8_DElYkX7l4wRkHqqCUFNJY4AfY3kHU/edit?usp=sharing  #gid=0"",""фіз особи new!relations_name""),6,FALSE)
,
(IF
(
C11496=""юридична особа""
,
VLOO"&amp;"KUP(D11496,IMPORTRANGE(""https://docs.google.com/spreadsheets/d/14Bd19lYaqBhU8_DElYkX7l4wRkHqqCUFNJY4AfY3kHU/edit?usp=sharing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495" s="7" t="s">
        <v>10</v>
      </c>
      <c r="H11495" s="7">
        <v>17656</v>
      </c>
      <c r="I11495" s="8" t="str">
        <f ca="1">IFERROR(__xludf.DUMMYFUNCTION("IF
(
G11496=""фізична особа""
,
VLOOKUP(H11496,IMPORTRANGE(""https://docs.google.com/spreadsheets/d/14Bd19lYaqBhU8_DElYkX7l4wRkHqqCUFNJY4AfY3kHU/edit?usp=sharing  #gid=0"",""фіз особи new!relations_name""),6,FALSE)
,
(IF
(
G11496=""юридична особа""
,
VLOO"&amp;"KUP(H11496,IMPORTRANGE(""https://docs.google.com/spreadsheets/d/14Bd19lYaqBhU8_DElYkX7l4wRkHqqCUFNJY4AfY3kHU/edit?usp=sharing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495" s="7" t="s">
        <v>23</v>
      </c>
    </row>
    <row r="11496" spans="1:10" ht="13.2">
      <c r="A11496" s="7">
        <v>11495</v>
      </c>
      <c r="B11496" s="7">
        <v>1</v>
      </c>
      <c r="C11496" s="7" t="s">
        <v>10</v>
      </c>
      <c r="D11496" s="7">
        <v>17661</v>
      </c>
      <c r="E11496" s="7" t="s">
        <v>23</v>
      </c>
      <c r="F11496" s="8" t="str">
        <f ca="1">IFERROR(__xludf.DUMMYFUNCTION("IF
(
C11497=""фізична особа""
,
VLOOKUP(D11497,IMPORTRANGE(""https://docs.google.com/spreadsheets/d/14Bd19lYaqBhU8_DElYkX7l4wRkHqqCUFNJY4AfY3kHU/edit?usp=sharing  #gid=0"",""фіз особи new!relations_name""),6,FALSE)
,
(IF
(
C11497=""юридична особа""
,
VLOO"&amp;"KUP(D11497,IMPORTRANGE(""https://docs.google.com/spreadsheets/d/14Bd19lYaqBhU8_DElYkX7l4wRkHqqCUFNJY4AfY3kHU/edit?usp=sharing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496" s="7" t="s">
        <v>10</v>
      </c>
      <c r="H11496" s="7">
        <v>17658</v>
      </c>
      <c r="I11496" s="8" t="str">
        <f ca="1">IFERROR(__xludf.DUMMYFUNCTION("IF
(
G11497=""фізична особа""
,
VLOOKUP(H11497,IMPORTRANGE(""https://docs.google.com/spreadsheets/d/14Bd19lYaqBhU8_DElYkX7l4wRkHqqCUFNJY4AfY3kHU/edit?usp=sharing  #gid=0"",""фіз особи new!relations_name""),6,FALSE)
,
(IF
(
G11497=""юридична особа""
,
VLOO"&amp;"KUP(H11497,IMPORTRANGE(""https://docs.google.com/spreadsheets/d/14Bd19lYaqBhU8_DElYkX7l4wRkHqqCUFNJY4AfY3kHU/edit?usp=sharing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496" s="7" t="s">
        <v>23</v>
      </c>
    </row>
    <row r="11497" spans="1:10" ht="13.2">
      <c r="A11497" s="7">
        <v>11496</v>
      </c>
      <c r="B11497" s="7">
        <v>1</v>
      </c>
      <c r="C11497" s="7" t="s">
        <v>10</v>
      </c>
      <c r="D11497" s="7">
        <v>17661</v>
      </c>
      <c r="E11497" s="7" t="s">
        <v>23</v>
      </c>
      <c r="F11497" s="8" t="str">
        <f ca="1">IFERROR(__xludf.DUMMYFUNCTION("IF
(
C11498=""фізична особа""
,
VLOOKUP(D11498,IMPORTRANGE(""https://docs.google.com/spreadsheets/d/14Bd19lYaqBhU8_DElYkX7l4wRkHqqCUFNJY4AfY3kHU/edit?usp=sharing  #gid=0"",""фіз особи new!relations_name""),6,FALSE)
,
(IF
(
C11498=""юридична особа""
,
VLOO"&amp;"KUP(D11498,IMPORTRANGE(""https://docs.google.com/spreadsheets/d/14Bd19lYaqBhU8_DElYkX7l4wRkHqqCUFNJY4AfY3kHU/edit?usp=sharing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497" s="7" t="s">
        <v>10</v>
      </c>
      <c r="H11497" s="7">
        <v>17659</v>
      </c>
      <c r="I11497" s="8" t="str">
        <f ca="1">IFERROR(__xludf.DUMMYFUNCTION("IF
(
G11498=""фізична особа""
,
VLOOKUP(H11498,IMPORTRANGE(""https://docs.google.com/spreadsheets/d/14Bd19lYaqBhU8_DElYkX7l4wRkHqqCUFNJY4AfY3kHU/edit?usp=sharing  #gid=0"",""фіз особи new!relations_name""),6,FALSE)
,
(IF
(
G11498=""юридична особа""
,
VLOO"&amp;"KUP(H11498,IMPORTRANGE(""https://docs.google.com/spreadsheets/d/14Bd19lYaqBhU8_DElYkX7l4wRkHqqCUFNJY4AfY3kHU/edit?usp=sharing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497" s="7" t="s">
        <v>23</v>
      </c>
    </row>
    <row r="11498" spans="1:10" ht="13.2">
      <c r="A11498" s="7">
        <v>11497</v>
      </c>
      <c r="B11498" s="7">
        <v>1</v>
      </c>
      <c r="C11498" s="7" t="s">
        <v>10</v>
      </c>
      <c r="D11498" s="7">
        <v>17661</v>
      </c>
      <c r="E11498" s="7" t="s">
        <v>23</v>
      </c>
      <c r="F11498" s="8" t="str">
        <f ca="1">IFERROR(__xludf.DUMMYFUNCTION("IF
(
C11499=""фізична особа""
,
VLOOKUP(D11499,IMPORTRANGE(""https://docs.google.com/spreadsheets/d/14Bd19lYaqBhU8_DElYkX7l4wRkHqqCUFNJY4AfY3kHU/edit?usp=sharing  #gid=0"",""фіз особи new!relations_name""),6,FALSE)
,
(IF
(
C11499=""юридична особа""
,
VLOO"&amp;"KUP(D11499,IMPORTRANGE(""https://docs.google.com/spreadsheets/d/14Bd19lYaqBhU8_DElYkX7l4wRkHqqCUFNJY4AfY3kHU/edit?usp=sharing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498" s="7" t="s">
        <v>10</v>
      </c>
      <c r="H11498" s="7">
        <v>17657</v>
      </c>
      <c r="I11498" s="8" t="str">
        <f ca="1">IFERROR(__xludf.DUMMYFUNCTION("IF
(
G11499=""фізична особа""
,
VLOOKUP(H11499,IMPORTRANGE(""https://docs.google.com/spreadsheets/d/14Bd19lYaqBhU8_DElYkX7l4wRkHqqCUFNJY4AfY3kHU/edit?usp=sharing  #gid=0"",""фіз особи new!relations_name""),6,FALSE)
,
(IF
(
G11499=""юридична особа""
,
VLOO"&amp;"KUP(H11499,IMPORTRANGE(""https://docs.google.com/spreadsheets/d/14Bd19lYaqBhU8_DElYkX7l4wRkHqqCUFNJY4AfY3kHU/edit?usp=sharing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498" s="7" t="s">
        <v>23</v>
      </c>
    </row>
    <row r="11499" spans="1:10" ht="13.2">
      <c r="A11499" s="7">
        <v>11498</v>
      </c>
      <c r="B11499" s="7">
        <v>1</v>
      </c>
      <c r="C11499" s="7" t="s">
        <v>10</v>
      </c>
      <c r="D11499" s="7">
        <v>17661</v>
      </c>
      <c r="E11499" s="7" t="s">
        <v>23</v>
      </c>
      <c r="F11499" s="8" t="str">
        <f ca="1">IFERROR(__xludf.DUMMYFUNCTION("IF
(
C11500=""фізична особа""
,
VLOOKUP(D11500,IMPORTRANGE(""https://docs.google.com/spreadsheets/d/14Bd19lYaqBhU8_DElYkX7l4wRkHqqCUFNJY4AfY3kHU/edit?usp=sharing  #gid=0"",""фіз особи new!relations_name""),6,FALSE)
,
(IF
(
C11500=""юридична особа""
,
VLOO"&amp;"KUP(D11500,IMPORTRANGE(""https://docs.google.com/spreadsheets/d/14Bd19lYaqBhU8_DElYkX7l4wRkHqqCUFNJY4AfY3kHU/edit?usp=sharing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499" s="7" t="s">
        <v>10</v>
      </c>
      <c r="H11499" s="7">
        <v>17655</v>
      </c>
      <c r="I11499" s="8" t="str">
        <f ca="1">IFERROR(__xludf.DUMMYFUNCTION("IF
(
G11500=""фізична особа""
,
VLOOKUP(H11500,IMPORTRANGE(""https://docs.google.com/spreadsheets/d/14Bd19lYaqBhU8_DElYkX7l4wRkHqqCUFNJY4AfY3kHU/edit?usp=sharing  #gid=0"",""фіз особи new!relations_name""),6,FALSE)
,
(IF
(
G11500=""юридична особа""
,
VLOO"&amp;"KUP(H11500,IMPORTRANGE(""https://docs.google.com/spreadsheets/d/14Bd19lYaqBhU8_DElYkX7l4wRkHqqCUFNJY4AfY3kHU/edit?usp=sharing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499" s="7" t="s">
        <v>23</v>
      </c>
    </row>
    <row r="11500" spans="1:10" ht="13.2">
      <c r="A11500" s="7">
        <v>11499</v>
      </c>
      <c r="B11500" s="7">
        <v>1</v>
      </c>
      <c r="C11500" s="7" t="s">
        <v>10</v>
      </c>
      <c r="D11500" s="7">
        <v>17661</v>
      </c>
      <c r="E11500" s="7" t="s">
        <v>23</v>
      </c>
      <c r="F11500" s="8" t="str">
        <f ca="1">IFERROR(__xludf.DUMMYFUNCTION("IF
(
C11501=""фізична особа""
,
VLOOKUP(D11501,IMPORTRANGE(""https://docs.google.com/spreadsheets/d/14Bd19lYaqBhU8_DElYkX7l4wRkHqqCUFNJY4AfY3kHU/edit?usp=sharing  #gid=0"",""фіз особи new!relations_name""),6,FALSE)
,
(IF
(
C11501=""юридична особа""
,
VLOO"&amp;"KUP(D11501,IMPORTRANGE(""https://docs.google.com/spreadsheets/d/14Bd19lYaqBhU8_DElYkX7l4wRkHqqCUFNJY4AfY3kHU/edit?usp=sharing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0" s="7" t="s">
        <v>10</v>
      </c>
      <c r="H11500" s="7">
        <v>17666</v>
      </c>
      <c r="I11500" s="8" t="str">
        <f ca="1">IFERROR(__xludf.DUMMYFUNCTION("IF
(
G11501=""фізична особа""
,
VLOOKUP(H11501,IMPORTRANGE(""https://docs.google.com/spreadsheets/d/14Bd19lYaqBhU8_DElYkX7l4wRkHqqCUFNJY4AfY3kHU/edit?usp=sharing  #gid=0"",""фіз особи new!relations_name""),6,FALSE)
,
(IF
(
G11501=""юридична особа""
,
VLOO"&amp;"KUP(H11501,IMPORTRANGE(""https://docs.google.com/spreadsheets/d/14Bd19lYaqBhU8_DElYkX7l4wRkHqqCUFNJY4AfY3kHU/edit?usp=sharing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500" s="7" t="s">
        <v>23</v>
      </c>
    </row>
    <row r="11501" spans="1:10" ht="13.2">
      <c r="A11501" s="7">
        <v>11500</v>
      </c>
      <c r="B11501" s="7">
        <v>1</v>
      </c>
      <c r="C11501" s="7" t="s">
        <v>10</v>
      </c>
      <c r="D11501" s="7">
        <v>17661</v>
      </c>
      <c r="E11501" s="7" t="s">
        <v>23</v>
      </c>
      <c r="F11501" s="8" t="str">
        <f ca="1">IFERROR(__xludf.DUMMYFUNCTION("IF
(
C11502=""фізична особа""
,
VLOOKUP(D11502,IMPORTRANGE(""https://docs.google.com/spreadsheets/d/14Bd19lYaqBhU8_DElYkX7l4wRkHqqCUFNJY4AfY3kHU/edit?usp=sharing  #gid=0"",""фіз особи new!relations_name""),6,FALSE)
,
(IF
(
C11502=""юридична особа""
,
VLOO"&amp;"KUP(D11502,IMPORTRANGE(""https://docs.google.com/spreadsheets/d/14Bd19lYaqBhU8_DElYkX7l4wRkHqqCUFNJY4AfY3kHU/edit?usp=sharing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1" s="7" t="s">
        <v>10</v>
      </c>
      <c r="H11501" s="7">
        <v>17664</v>
      </c>
      <c r="I11501" s="8" t="str">
        <f ca="1">IFERROR(__xludf.DUMMYFUNCTION("IF
(
G11502=""фізична особа""
,
VLOOKUP(H11502,IMPORTRANGE(""https://docs.google.com/spreadsheets/d/14Bd19lYaqBhU8_DElYkX7l4wRkHqqCUFNJY4AfY3kHU/edit?usp=sharing  #gid=0"",""фіз особи new!relations_name""),6,FALSE)
,
(IF
(
G11502=""юридична особа""
,
VLOO"&amp;"KUP(H11502,IMPORTRANGE(""https://docs.google.com/spreadsheets/d/14Bd19lYaqBhU8_DElYkX7l4wRkHqqCUFNJY4AfY3kHU/edit?usp=sharing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501" s="7" t="s">
        <v>23</v>
      </c>
    </row>
    <row r="11502" spans="1:10" ht="13.2">
      <c r="A11502" s="7">
        <v>11501</v>
      </c>
      <c r="B11502" s="7">
        <v>1</v>
      </c>
      <c r="C11502" s="7" t="s">
        <v>10</v>
      </c>
      <c r="D11502" s="7">
        <v>17661</v>
      </c>
      <c r="E11502" s="7" t="s">
        <v>23</v>
      </c>
      <c r="F11502" s="8" t="str">
        <f ca="1">IFERROR(__xludf.DUMMYFUNCTION("IF
(
C11503=""фізична особа""
,
VLOOKUP(D11503,IMPORTRANGE(""https://docs.google.com/spreadsheets/d/14Bd19lYaqBhU8_DElYkX7l4wRkHqqCUFNJY4AfY3kHU/edit?usp=sharing  #gid=0"",""фіз особи new!relations_name""),6,FALSE)
,
(IF
(
C11503=""юридична особа""
,
VLOO"&amp;"KUP(D11503,IMPORTRANGE(""https://docs.google.com/spreadsheets/d/14Bd19lYaqBhU8_DElYkX7l4wRkHqqCUFNJY4AfY3kHU/edit?usp=sharing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2" s="7" t="s">
        <v>10</v>
      </c>
      <c r="H11502" s="7">
        <v>17665</v>
      </c>
      <c r="I11502" s="8" t="str">
        <f ca="1">IFERROR(__xludf.DUMMYFUNCTION("IF
(
G11503=""фізична особа""
,
VLOOKUP(H11503,IMPORTRANGE(""https://docs.google.com/spreadsheets/d/14Bd19lYaqBhU8_DElYkX7l4wRkHqqCUFNJY4AfY3kHU/edit?usp=sharing  #gid=0"",""фіз особи new!relations_name""),6,FALSE)
,
(IF
(
G11503=""юридична особа""
,
VLOO"&amp;"KUP(H11503,IMPORTRANGE(""https://docs.google.com/spreadsheets/d/14Bd19lYaqBhU8_DElYkX7l4wRkHqqCUFNJY4AfY3kHU/edit?usp=sharing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502" s="7" t="s">
        <v>23</v>
      </c>
    </row>
    <row r="11503" spans="1:10" ht="13.2">
      <c r="A11503" s="7">
        <v>11502</v>
      </c>
      <c r="B11503" s="7">
        <v>1</v>
      </c>
      <c r="C11503" s="7" t="s">
        <v>10</v>
      </c>
      <c r="D11503" s="7">
        <v>17661</v>
      </c>
      <c r="E11503" s="7" t="s">
        <v>23</v>
      </c>
      <c r="F11503" s="8" t="str">
        <f ca="1">IFERROR(__xludf.DUMMYFUNCTION("IF
(
C11504=""фізична особа""
,
VLOOKUP(D11504,IMPORTRANGE(""https://docs.google.com/spreadsheets/d/14Bd19lYaqBhU8_DElYkX7l4wRkHqqCUFNJY4AfY3kHU/edit?usp=sharing  #gid=0"",""фіз особи new!relations_name""),6,FALSE)
,
(IF
(
C11504=""юридична особа""
,
VLOO"&amp;"KUP(D11504,IMPORTRANGE(""https://docs.google.com/spreadsheets/d/14Bd19lYaqBhU8_DElYkX7l4wRkHqqCUFNJY4AfY3kHU/edit?usp=sharing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3" s="7" t="s">
        <v>10</v>
      </c>
      <c r="H11503" s="7">
        <v>17660</v>
      </c>
      <c r="I11503" s="8" t="str">
        <f ca="1">IFERROR(__xludf.DUMMYFUNCTION("IF
(
G11504=""фізична особа""
,
VLOOKUP(H11504,IMPORTRANGE(""https://docs.google.com/spreadsheets/d/14Bd19lYaqBhU8_DElYkX7l4wRkHqqCUFNJY4AfY3kHU/edit?usp=sharing  #gid=0"",""фіз особи new!relations_name""),6,FALSE)
,
(IF
(
G11504=""юридична особа""
,
VLOO"&amp;"KUP(H11504,IMPORTRANGE(""https://docs.google.com/spreadsheets/d/14Bd19lYaqBhU8_DElYkX7l4wRkHqqCUFNJY4AfY3kHU/edit?usp=sharing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03" s="7" t="s">
        <v>23</v>
      </c>
    </row>
    <row r="11504" spans="1:10" ht="13.2">
      <c r="A11504" s="7">
        <v>11503</v>
      </c>
      <c r="B11504" s="7">
        <v>1</v>
      </c>
      <c r="C11504" s="7" t="s">
        <v>10</v>
      </c>
      <c r="D11504" s="7">
        <v>17661</v>
      </c>
      <c r="E11504" s="7" t="s">
        <v>23</v>
      </c>
      <c r="F11504" s="8" t="str">
        <f ca="1">IFERROR(__xludf.DUMMYFUNCTION("IF
(
C11505=""фізична особа""
,
VLOOKUP(D11505,IMPORTRANGE(""https://docs.google.com/spreadsheets/d/14Bd19lYaqBhU8_DElYkX7l4wRkHqqCUFNJY4AfY3kHU/edit?usp=sharing  #gid=0"",""фіз особи new!relations_name""),6,FALSE)
,
(IF
(
C11505=""юридична особа""
,
VLOO"&amp;"KUP(D11505,IMPORTRANGE(""https://docs.google.com/spreadsheets/d/14Bd19lYaqBhU8_DElYkX7l4wRkHqqCUFNJY4AfY3kHU/edit?usp=sharing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4" s="7" t="s">
        <v>10</v>
      </c>
      <c r="H11504" s="7">
        <v>17654</v>
      </c>
      <c r="I11504" s="8" t="str">
        <f ca="1">IFERROR(__xludf.DUMMYFUNCTION("IF
(
G11505=""фізична особа""
,
VLOOKUP(H11505,IMPORTRANGE(""https://docs.google.com/spreadsheets/d/14Bd19lYaqBhU8_DElYkX7l4wRkHqqCUFNJY4AfY3kHU/edit?usp=sharing  #gid=0"",""фіз особи new!relations_name""),6,FALSE)
,
(IF
(
G11505=""юридична особа""
,
VLOO"&amp;"KUP(H11505,IMPORTRANGE(""https://docs.google.com/spreadsheets/d/14Bd19lYaqBhU8_DElYkX7l4wRkHqqCUFNJY4AfY3kHU/edit?usp=sharing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04" s="7" t="s">
        <v>23</v>
      </c>
    </row>
    <row r="11505" spans="1:10" ht="13.2">
      <c r="A11505" s="7">
        <v>11504</v>
      </c>
      <c r="B11505" s="7">
        <v>1</v>
      </c>
      <c r="C11505" s="7" t="s">
        <v>10</v>
      </c>
      <c r="D11505" s="7">
        <v>17661</v>
      </c>
      <c r="E11505" s="7" t="s">
        <v>23</v>
      </c>
      <c r="F11505" s="8" t="str">
        <f ca="1">IFERROR(__xludf.DUMMYFUNCTION("IF
(
C11506=""фізична особа""
,
VLOOKUP(D11506,IMPORTRANGE(""https://docs.google.com/spreadsheets/d/14Bd19lYaqBhU8_DElYkX7l4wRkHqqCUFNJY4AfY3kHU/edit?usp=sharing  #gid=0"",""фіз особи new!relations_name""),6,FALSE)
,
(IF
(
C11506=""юридична особа""
,
VLOO"&amp;"KUP(D11506,IMPORTRANGE(""https://docs.google.com/spreadsheets/d/14Bd19lYaqBhU8_DElYkX7l4wRkHqqCUFNJY4AfY3kHU/edit?usp=sharing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5" s="7" t="s">
        <v>10</v>
      </c>
      <c r="H11505" s="7">
        <v>17663</v>
      </c>
      <c r="I11505" s="8" t="str">
        <f ca="1">IFERROR(__xludf.DUMMYFUNCTION("IF
(
G11506=""фізична особа""
,
VLOOKUP(H11506,IMPORTRANGE(""https://docs.google.com/spreadsheets/d/14Bd19lYaqBhU8_DElYkX7l4wRkHqqCUFNJY4AfY3kHU/edit?usp=sharing  #gid=0"",""фіз особи new!relations_name""),6,FALSE)
,
(IF
(
G11506=""юридична особа""
,
VLOO"&amp;"KUP(H11506,IMPORTRANGE(""https://docs.google.com/spreadsheets/d/14Bd19lYaqBhU8_DElYkX7l4wRkHqqCUFNJY4AfY3kHU/edit?usp=sharing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505" s="7" t="s">
        <v>23</v>
      </c>
    </row>
    <row r="11506" spans="1:10" ht="13.2">
      <c r="A11506" s="7">
        <v>11505</v>
      </c>
      <c r="B11506" s="7">
        <v>1</v>
      </c>
      <c r="C11506" s="7" t="s">
        <v>10</v>
      </c>
      <c r="D11506" s="7">
        <v>17661</v>
      </c>
      <c r="E11506" s="7" t="s">
        <v>23</v>
      </c>
      <c r="F11506" s="8" t="str">
        <f ca="1">IFERROR(__xludf.DUMMYFUNCTION("IF
(
C11507=""фізична особа""
,
VLOOKUP(D11507,IMPORTRANGE(""https://docs.google.com/spreadsheets/d/14Bd19lYaqBhU8_DElYkX7l4wRkHqqCUFNJY4AfY3kHU/edit?usp=sharing  #gid=0"",""фіз особи new!relations_name""),6,FALSE)
,
(IF
(
C11507=""юридична особа""
,
VLOO"&amp;"KUP(D11507,IMPORTRANGE(""https://docs.google.com/spreadsheets/d/14Bd19lYaqBhU8_DElYkX7l4wRkHqqCUFNJY4AfY3kHU/edit?usp=sharing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G11506" s="7" t="s">
        <v>10</v>
      </c>
      <c r="H11506" s="7">
        <v>17662</v>
      </c>
      <c r="I11506" s="8" t="str">
        <f ca="1">IFERROR(__xludf.DUMMYFUNCTION("IF
(
G11507=""фізична особа""
,
VLOOKUP(H11507,IMPORTRANGE(""https://docs.google.com/spreadsheets/d/14Bd19lYaqBhU8_DElYkX7l4wRkHqqCUFNJY4AfY3kHU/edit?usp=sharing  #gid=0"",""фіз особи new!relations_name""),6,FALSE)
,
(IF
(
G11507=""юридична особа""
,
VLOO"&amp;"KUP(H11507,IMPORTRANGE(""https://docs.google.com/spreadsheets/d/14Bd19lYaqBhU8_DElYkX7l4wRkHqqCUFNJY4AfY3kHU/edit?usp=sharing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506" s="7" t="s">
        <v>23</v>
      </c>
    </row>
    <row r="11507" spans="1:10" ht="13.2">
      <c r="A11507" s="7">
        <v>11506</v>
      </c>
      <c r="B11507" s="7">
        <v>1</v>
      </c>
      <c r="C11507" s="7" t="s">
        <v>10</v>
      </c>
      <c r="D11507" s="7">
        <v>17654</v>
      </c>
      <c r="E11507" s="7" t="s">
        <v>23</v>
      </c>
      <c r="F11507" s="8" t="str">
        <f ca="1">IFERROR(__xludf.DUMMYFUNCTION("IF
(
C11508=""фізична особа""
,
VLOOKUP(D11508,IMPORTRANGE(""https://docs.google.com/spreadsheets/d/14Bd19lYaqBhU8_DElYkX7l4wRkHqqCUFNJY4AfY3kHU/edit?usp=sharing  #gid=0"",""фіз особи new!relations_name""),6,FALSE)
,
(IF
(
C11508=""юридична особа""
,
VLOO"&amp;"KUP(D11508,IMPORTRANGE(""https://docs.google.com/spreadsheets/d/14Bd19lYaqBhU8_DElYkX7l4wRkHqqCUFNJY4AfY3kHU/edit?usp=sharing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G11507" s="7" t="s">
        <v>10</v>
      </c>
      <c r="H11507" s="7">
        <v>23631</v>
      </c>
      <c r="I11507" s="8" t="str">
        <f ca="1">IFERROR(__xludf.DUMMYFUNCTION("IF
(
G11508=""фізична особа""
,
VLOOKUP(H11508,IMPORTRANGE(""https://docs.google.com/spreadsheets/d/14Bd19lYaqBhU8_DElYkX7l4wRkHqqCUFNJY4AfY3kHU/edit?usp=sharing  #gid=0"",""фіз особи new!relations_name""),6,FALSE)
,
(IF
(
G11508=""юридична особа""
,
VLOO"&amp;"KUP(H11508,IMPORTRANGE(""https://docs.google.com/spreadsheets/d/14Bd19lYaqBhU8_DElYkX7l4wRkHqqCUFNJY4AfY3kHU/edit?usp=sharing  #gid=0"",""фіз особи new!relations_name_uo""),7,FALSE)
,
)
))"),"ЧЕТВЕРТНОЙ Олег Борисович")</f>
        <v>ЧЕТВЕРТНОЙ Олег Борисович</v>
      </c>
      <c r="J11507" s="7" t="s">
        <v>23</v>
      </c>
    </row>
    <row r="11508" spans="1:10" ht="13.2">
      <c r="A11508" s="7">
        <v>11507</v>
      </c>
      <c r="B11508" s="7">
        <v>1</v>
      </c>
      <c r="C11508" s="7" t="s">
        <v>10</v>
      </c>
      <c r="D11508" s="7">
        <v>17662</v>
      </c>
      <c r="E11508" s="7" t="s">
        <v>23</v>
      </c>
      <c r="F11508" s="8" t="str">
        <f ca="1">IFERROR(__xludf.DUMMYFUNCTION("IF
(
C11509=""фізична особа""
,
VLOOKUP(D11509,IMPORTRANGE(""https://docs.google.com/spreadsheets/d/14Bd19lYaqBhU8_DElYkX7l4wRkHqqCUFNJY4AfY3kHU/edit?usp=sharing  #gid=0"",""фіз особи new!relations_name""),6,FALSE)
,
(IF
(
C11509=""юридична особа""
,
VLOO"&amp;"KUP(D11509,IMPORTRANGE(""https://docs.google.com/spreadsheets/d/14Bd19lYaqBhU8_DElYkX7l4wRkHqqCUFNJY4AfY3kHU/edit?usp=sharing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08" s="7" t="s">
        <v>10</v>
      </c>
      <c r="H11508" s="7">
        <v>17656</v>
      </c>
      <c r="I11508" s="8" t="str">
        <f ca="1">IFERROR(__xludf.DUMMYFUNCTION("IF
(
G11509=""фізична особа""
,
VLOOKUP(H11509,IMPORTRANGE(""https://docs.google.com/spreadsheets/d/14Bd19lYaqBhU8_DElYkX7l4wRkHqqCUFNJY4AfY3kHU/edit?usp=sharing  #gid=0"",""фіз особи new!relations_name""),6,FALSE)
,
(IF
(
G11509=""юридична особа""
,
VLOO"&amp;"KUP(H11509,IMPORTRANGE(""https://docs.google.com/spreadsheets/d/14Bd19lYaqBhU8_DElYkX7l4wRkHqqCUFNJY4AfY3kHU/edit?usp=sharing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508" s="7" t="s">
        <v>23</v>
      </c>
    </row>
    <row r="11509" spans="1:10" ht="13.2">
      <c r="A11509" s="7">
        <v>11508</v>
      </c>
      <c r="B11509" s="7">
        <v>1</v>
      </c>
      <c r="C11509" s="7" t="s">
        <v>10</v>
      </c>
      <c r="D11509" s="7">
        <v>17662</v>
      </c>
      <c r="E11509" s="7" t="s">
        <v>23</v>
      </c>
      <c r="F11509" s="8" t="str">
        <f ca="1">IFERROR(__xludf.DUMMYFUNCTION("IF
(
C11510=""фізична особа""
,
VLOOKUP(D11510,IMPORTRANGE(""https://docs.google.com/spreadsheets/d/14Bd19lYaqBhU8_DElYkX7l4wRkHqqCUFNJY4AfY3kHU/edit?usp=sharing  #gid=0"",""фіз особи new!relations_name""),6,FALSE)
,
(IF
(
C11510=""юридична особа""
,
VLOO"&amp;"KUP(D11510,IMPORTRANGE(""https://docs.google.com/spreadsheets/d/14Bd19lYaqBhU8_DElYkX7l4wRkHqqCUFNJY4AfY3kHU/edit?usp=sharing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09" s="7" t="s">
        <v>10</v>
      </c>
      <c r="H11509" s="7">
        <v>17658</v>
      </c>
      <c r="I11509" s="8" t="str">
        <f ca="1">IFERROR(__xludf.DUMMYFUNCTION("IF
(
G11510=""фізична особа""
,
VLOOKUP(H11510,IMPORTRANGE(""https://docs.google.com/spreadsheets/d/14Bd19lYaqBhU8_DElYkX7l4wRkHqqCUFNJY4AfY3kHU/edit?usp=sharing  #gid=0"",""фіз особи new!relations_name""),6,FALSE)
,
(IF
(
G11510=""юридична особа""
,
VLOO"&amp;"KUP(H11510,IMPORTRANGE(""https://docs.google.com/spreadsheets/d/14Bd19lYaqBhU8_DElYkX7l4wRkHqqCUFNJY4AfY3kHU/edit?usp=sharing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509" s="7" t="s">
        <v>23</v>
      </c>
    </row>
    <row r="11510" spans="1:10" ht="13.2">
      <c r="A11510" s="7">
        <v>11509</v>
      </c>
      <c r="B11510" s="7">
        <v>1</v>
      </c>
      <c r="C11510" s="7" t="s">
        <v>10</v>
      </c>
      <c r="D11510" s="7">
        <v>17662</v>
      </c>
      <c r="E11510" s="7" t="s">
        <v>23</v>
      </c>
      <c r="F11510" s="8" t="str">
        <f ca="1">IFERROR(__xludf.DUMMYFUNCTION("IF
(
C11511=""фізична особа""
,
VLOOKUP(D11511,IMPORTRANGE(""https://docs.google.com/spreadsheets/d/14Bd19lYaqBhU8_DElYkX7l4wRkHqqCUFNJY4AfY3kHU/edit?usp=sharing  #gid=0"",""фіз особи new!relations_name""),6,FALSE)
,
(IF
(
C11511=""юридична особа""
,
VLOO"&amp;"KUP(D11511,IMPORTRANGE(""https://docs.google.com/spreadsheets/d/14Bd19lYaqBhU8_DElYkX7l4wRkHqqCUFNJY4AfY3kHU/edit?usp=sharing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0" s="7" t="s">
        <v>10</v>
      </c>
      <c r="H11510" s="7">
        <v>17659</v>
      </c>
      <c r="I11510" s="8" t="str">
        <f ca="1">IFERROR(__xludf.DUMMYFUNCTION("IF
(
G11511=""фізична особа""
,
VLOOKUP(H11511,IMPORTRANGE(""https://docs.google.com/spreadsheets/d/14Bd19lYaqBhU8_DElYkX7l4wRkHqqCUFNJY4AfY3kHU/edit?usp=sharing  #gid=0"",""фіз особи new!relations_name""),6,FALSE)
,
(IF
(
G11511=""юридична особа""
,
VLOO"&amp;"KUP(H11511,IMPORTRANGE(""https://docs.google.com/spreadsheets/d/14Bd19lYaqBhU8_DElYkX7l4wRkHqqCUFNJY4AfY3kHU/edit?usp=sharing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510" s="7" t="s">
        <v>23</v>
      </c>
    </row>
    <row r="11511" spans="1:10" ht="13.2">
      <c r="A11511" s="7">
        <v>11510</v>
      </c>
      <c r="B11511" s="7">
        <v>1</v>
      </c>
      <c r="C11511" s="7" t="s">
        <v>10</v>
      </c>
      <c r="D11511" s="7">
        <v>17662</v>
      </c>
      <c r="E11511" s="7" t="s">
        <v>23</v>
      </c>
      <c r="F11511" s="8" t="str">
        <f ca="1">IFERROR(__xludf.DUMMYFUNCTION("IF
(
C11512=""фізична особа""
,
VLOOKUP(D11512,IMPORTRANGE(""https://docs.google.com/spreadsheets/d/14Bd19lYaqBhU8_DElYkX7l4wRkHqqCUFNJY4AfY3kHU/edit?usp=sharing  #gid=0"",""фіз особи new!relations_name""),6,FALSE)
,
(IF
(
C11512=""юридична особа""
,
VLOO"&amp;"KUP(D11512,IMPORTRANGE(""https://docs.google.com/spreadsheets/d/14Bd19lYaqBhU8_DElYkX7l4wRkHqqCUFNJY4AfY3kHU/edit?usp=sharing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1" s="7" t="s">
        <v>10</v>
      </c>
      <c r="H11511" s="7">
        <v>17657</v>
      </c>
      <c r="I11511" s="8" t="str">
        <f ca="1">IFERROR(__xludf.DUMMYFUNCTION("IF
(
G11512=""фізична особа""
,
VLOOKUP(H11512,IMPORTRANGE(""https://docs.google.com/spreadsheets/d/14Bd19lYaqBhU8_DElYkX7l4wRkHqqCUFNJY4AfY3kHU/edit?usp=sharing  #gid=0"",""фіз особи new!relations_name""),6,FALSE)
,
(IF
(
G11512=""юридична особа""
,
VLOO"&amp;"KUP(H11512,IMPORTRANGE(""https://docs.google.com/spreadsheets/d/14Bd19lYaqBhU8_DElYkX7l4wRkHqqCUFNJY4AfY3kHU/edit?usp=sharing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511" s="7" t="s">
        <v>23</v>
      </c>
    </row>
    <row r="11512" spans="1:10" ht="13.2">
      <c r="A11512" s="7">
        <v>11511</v>
      </c>
      <c r="B11512" s="7">
        <v>1</v>
      </c>
      <c r="C11512" s="7" t="s">
        <v>10</v>
      </c>
      <c r="D11512" s="7">
        <v>17662</v>
      </c>
      <c r="E11512" s="7" t="s">
        <v>23</v>
      </c>
      <c r="F11512" s="8" t="str">
        <f ca="1">IFERROR(__xludf.DUMMYFUNCTION("IF
(
C11513=""фізична особа""
,
VLOOKUP(D11513,IMPORTRANGE(""https://docs.google.com/spreadsheets/d/14Bd19lYaqBhU8_DElYkX7l4wRkHqqCUFNJY4AfY3kHU/edit?usp=sharing  #gid=0"",""фіз особи new!relations_name""),6,FALSE)
,
(IF
(
C11513=""юридична особа""
,
VLOO"&amp;"KUP(D11513,IMPORTRANGE(""https://docs.google.com/spreadsheets/d/14Bd19lYaqBhU8_DElYkX7l4wRkHqqCUFNJY4AfY3kHU/edit?usp=sharing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2" s="7" t="s">
        <v>10</v>
      </c>
      <c r="H11512" s="7">
        <v>17655</v>
      </c>
      <c r="I11512" s="8" t="str">
        <f ca="1">IFERROR(__xludf.DUMMYFUNCTION("IF
(
G11513=""фізична особа""
,
VLOOKUP(H11513,IMPORTRANGE(""https://docs.google.com/spreadsheets/d/14Bd19lYaqBhU8_DElYkX7l4wRkHqqCUFNJY4AfY3kHU/edit?usp=sharing  #gid=0"",""фіз особи new!relations_name""),6,FALSE)
,
(IF
(
G11513=""юридична особа""
,
VLOO"&amp;"KUP(H11513,IMPORTRANGE(""https://docs.google.com/spreadsheets/d/14Bd19lYaqBhU8_DElYkX7l4wRkHqqCUFNJY4AfY3kHU/edit?usp=sharing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512" s="7" t="s">
        <v>23</v>
      </c>
    </row>
    <row r="11513" spans="1:10" ht="13.2">
      <c r="A11513" s="7">
        <v>11512</v>
      </c>
      <c r="B11513" s="7">
        <v>1</v>
      </c>
      <c r="C11513" s="7" t="s">
        <v>10</v>
      </c>
      <c r="D11513" s="7">
        <v>17662</v>
      </c>
      <c r="E11513" s="7" t="s">
        <v>23</v>
      </c>
      <c r="F11513" s="8" t="str">
        <f ca="1">IFERROR(__xludf.DUMMYFUNCTION("IF
(
C11514=""фізична особа""
,
VLOOKUP(D11514,IMPORTRANGE(""https://docs.google.com/spreadsheets/d/14Bd19lYaqBhU8_DElYkX7l4wRkHqqCUFNJY4AfY3kHU/edit?usp=sharing  #gid=0"",""фіз особи new!relations_name""),6,FALSE)
,
(IF
(
C11514=""юридична особа""
,
VLOO"&amp;"KUP(D11514,IMPORTRANGE(""https://docs.google.com/spreadsheets/d/14Bd19lYaqBhU8_DElYkX7l4wRkHqqCUFNJY4AfY3kHU/edit?usp=sharing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3" s="7" t="s">
        <v>10</v>
      </c>
      <c r="H11513" s="7">
        <v>17666</v>
      </c>
      <c r="I11513" s="8" t="str">
        <f ca="1">IFERROR(__xludf.DUMMYFUNCTION("IF
(
G11514=""фізична особа""
,
VLOOKUP(H11514,IMPORTRANGE(""https://docs.google.com/spreadsheets/d/14Bd19lYaqBhU8_DElYkX7l4wRkHqqCUFNJY4AfY3kHU/edit?usp=sharing  #gid=0"",""фіз особи new!relations_name""),6,FALSE)
,
(IF
(
G11514=""юридична особа""
,
VLOO"&amp;"KUP(H11514,IMPORTRANGE(""https://docs.google.com/spreadsheets/d/14Bd19lYaqBhU8_DElYkX7l4wRkHqqCUFNJY4AfY3kHU/edit?usp=sharing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513" s="7" t="s">
        <v>23</v>
      </c>
    </row>
    <row r="11514" spans="1:10" ht="13.2">
      <c r="A11514" s="7">
        <v>11513</v>
      </c>
      <c r="B11514" s="7">
        <v>1</v>
      </c>
      <c r="C11514" s="7" t="s">
        <v>10</v>
      </c>
      <c r="D11514" s="7">
        <v>17662</v>
      </c>
      <c r="E11514" s="7" t="s">
        <v>23</v>
      </c>
      <c r="F11514" s="8" t="str">
        <f ca="1">IFERROR(__xludf.DUMMYFUNCTION("IF
(
C11515=""фізична особа""
,
VLOOKUP(D11515,IMPORTRANGE(""https://docs.google.com/spreadsheets/d/14Bd19lYaqBhU8_DElYkX7l4wRkHqqCUFNJY4AfY3kHU/edit?usp=sharing  #gid=0"",""фіз особи new!relations_name""),6,FALSE)
,
(IF
(
C11515=""юридична особа""
,
VLOO"&amp;"KUP(D11515,IMPORTRANGE(""https://docs.google.com/spreadsheets/d/14Bd19lYaqBhU8_DElYkX7l4wRkHqqCUFNJY4AfY3kHU/edit?usp=sharing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4" s="7" t="s">
        <v>10</v>
      </c>
      <c r="H11514" s="7">
        <v>17664</v>
      </c>
      <c r="I11514" s="8" t="str">
        <f ca="1">IFERROR(__xludf.DUMMYFUNCTION("IF
(
G11515=""фізична особа""
,
VLOOKUP(H11515,IMPORTRANGE(""https://docs.google.com/spreadsheets/d/14Bd19lYaqBhU8_DElYkX7l4wRkHqqCUFNJY4AfY3kHU/edit?usp=sharing  #gid=0"",""фіз особи new!relations_name""),6,FALSE)
,
(IF
(
G11515=""юридична особа""
,
VLOO"&amp;"KUP(H11515,IMPORTRANGE(""https://docs.google.com/spreadsheets/d/14Bd19lYaqBhU8_DElYkX7l4wRkHqqCUFNJY4AfY3kHU/edit?usp=sharing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514" s="7" t="s">
        <v>23</v>
      </c>
    </row>
    <row r="11515" spans="1:10" ht="13.2">
      <c r="A11515" s="7">
        <v>11514</v>
      </c>
      <c r="B11515" s="7">
        <v>1</v>
      </c>
      <c r="C11515" s="7" t="s">
        <v>10</v>
      </c>
      <c r="D11515" s="7">
        <v>17662</v>
      </c>
      <c r="E11515" s="7" t="s">
        <v>23</v>
      </c>
      <c r="F11515" s="8" t="str">
        <f ca="1">IFERROR(__xludf.DUMMYFUNCTION("IF
(
C11516=""фізична особа""
,
VLOOKUP(D11516,IMPORTRANGE(""https://docs.google.com/spreadsheets/d/14Bd19lYaqBhU8_DElYkX7l4wRkHqqCUFNJY4AfY3kHU/edit?usp=sharing  #gid=0"",""фіз особи new!relations_name""),6,FALSE)
,
(IF
(
C11516=""юридична особа""
,
VLOO"&amp;"KUP(D11516,IMPORTRANGE(""https://docs.google.com/spreadsheets/d/14Bd19lYaqBhU8_DElYkX7l4wRkHqqCUFNJY4AfY3kHU/edit?usp=sharing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5" s="7" t="s">
        <v>10</v>
      </c>
      <c r="H11515" s="7">
        <v>17665</v>
      </c>
      <c r="I11515" s="8" t="str">
        <f ca="1">IFERROR(__xludf.DUMMYFUNCTION("IF
(
G11516=""фізична особа""
,
VLOOKUP(H11516,IMPORTRANGE(""https://docs.google.com/spreadsheets/d/14Bd19lYaqBhU8_DElYkX7l4wRkHqqCUFNJY4AfY3kHU/edit?usp=sharing  #gid=0"",""фіз особи new!relations_name""),6,FALSE)
,
(IF
(
G11516=""юридична особа""
,
VLOO"&amp;"KUP(H11516,IMPORTRANGE(""https://docs.google.com/spreadsheets/d/14Bd19lYaqBhU8_DElYkX7l4wRkHqqCUFNJY4AfY3kHU/edit?usp=sharing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515" s="7" t="s">
        <v>23</v>
      </c>
    </row>
    <row r="11516" spans="1:10" ht="13.2">
      <c r="A11516" s="7">
        <v>11515</v>
      </c>
      <c r="B11516" s="7">
        <v>1</v>
      </c>
      <c r="C11516" s="7" t="s">
        <v>10</v>
      </c>
      <c r="D11516" s="7">
        <v>17662</v>
      </c>
      <c r="E11516" s="7" t="s">
        <v>23</v>
      </c>
      <c r="F11516" s="8" t="str">
        <f ca="1">IFERROR(__xludf.DUMMYFUNCTION("IF
(
C11517=""фізична особа""
,
VLOOKUP(D11517,IMPORTRANGE(""https://docs.google.com/spreadsheets/d/14Bd19lYaqBhU8_DElYkX7l4wRkHqqCUFNJY4AfY3kHU/edit?usp=sharing  #gid=0"",""фіз особи new!relations_name""),6,FALSE)
,
(IF
(
C11517=""юридична особа""
,
VLOO"&amp;"KUP(D11517,IMPORTRANGE(""https://docs.google.com/spreadsheets/d/14Bd19lYaqBhU8_DElYkX7l4wRkHqqCUFNJY4AfY3kHU/edit?usp=sharing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6" s="7" t="s">
        <v>10</v>
      </c>
      <c r="H11516" s="7">
        <v>17660</v>
      </c>
      <c r="I11516" s="8" t="str">
        <f ca="1">IFERROR(__xludf.DUMMYFUNCTION("IF
(
G11517=""фізична особа""
,
VLOOKUP(H11517,IMPORTRANGE(""https://docs.google.com/spreadsheets/d/14Bd19lYaqBhU8_DElYkX7l4wRkHqqCUFNJY4AfY3kHU/edit?usp=sharing  #gid=0"",""фіз особи new!relations_name""),6,FALSE)
,
(IF
(
G11517=""юридична особа""
,
VLOO"&amp;"KUP(H11517,IMPORTRANGE(""https://docs.google.com/spreadsheets/d/14Bd19lYaqBhU8_DElYkX7l4wRkHqqCUFNJY4AfY3kHU/edit?usp=sharing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16" s="7" t="s">
        <v>23</v>
      </c>
    </row>
    <row r="11517" spans="1:10" ht="13.2">
      <c r="A11517" s="7">
        <v>11516</v>
      </c>
      <c r="B11517" s="7">
        <v>1</v>
      </c>
      <c r="C11517" s="7" t="s">
        <v>10</v>
      </c>
      <c r="D11517" s="7">
        <v>17662</v>
      </c>
      <c r="E11517" s="7" t="s">
        <v>23</v>
      </c>
      <c r="F11517" s="8" t="str">
        <f ca="1">IFERROR(__xludf.DUMMYFUNCTION("IF
(
C11518=""фізична особа""
,
VLOOKUP(D11518,IMPORTRANGE(""https://docs.google.com/spreadsheets/d/14Bd19lYaqBhU8_DElYkX7l4wRkHqqCUFNJY4AfY3kHU/edit?usp=sharing  #gid=0"",""фіз особи new!relations_name""),6,FALSE)
,
(IF
(
C11518=""юридична особа""
,
VLOO"&amp;"KUP(D11518,IMPORTRANGE(""https://docs.google.com/spreadsheets/d/14Bd19lYaqBhU8_DElYkX7l4wRkHqqCUFNJY4AfY3kHU/edit?usp=sharing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7" s="7" t="s">
        <v>10</v>
      </c>
      <c r="H11517" s="7">
        <v>17661</v>
      </c>
      <c r="I11517" s="8" t="str">
        <f ca="1">IFERROR(__xludf.DUMMYFUNCTION("IF
(
G11518=""фізична особа""
,
VLOOKUP(H11518,IMPORTRANGE(""https://docs.google.com/spreadsheets/d/14Bd19lYaqBhU8_DElYkX7l4wRkHqqCUFNJY4AfY3kHU/edit?usp=sharing  #gid=0"",""фіз особи new!relations_name""),6,FALSE)
,
(IF
(
G11518=""юридична особа""
,
VLOO"&amp;"KUP(H11518,IMPORTRANGE(""https://docs.google.com/spreadsheets/d/14Bd19lYaqBhU8_DElYkX7l4wRkHqqCUFNJY4AfY3kHU/edit?usp=sharing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517" s="7" t="s">
        <v>23</v>
      </c>
    </row>
    <row r="11518" spans="1:10" ht="13.2">
      <c r="A11518" s="7">
        <v>11517</v>
      </c>
      <c r="B11518" s="7">
        <v>1</v>
      </c>
      <c r="C11518" s="7" t="s">
        <v>10</v>
      </c>
      <c r="D11518" s="7">
        <v>17662</v>
      </c>
      <c r="E11518" s="7" t="s">
        <v>23</v>
      </c>
      <c r="F11518" s="8" t="str">
        <f ca="1">IFERROR(__xludf.DUMMYFUNCTION("IF
(
C11519=""фізична особа""
,
VLOOKUP(D11519,IMPORTRANGE(""https://docs.google.com/spreadsheets/d/14Bd19lYaqBhU8_DElYkX7l4wRkHqqCUFNJY4AfY3kHU/edit?usp=sharing  #gid=0"",""фіз особи new!relations_name""),6,FALSE)
,
(IF
(
C11519=""юридична особа""
,
VLOO"&amp;"KUP(D11519,IMPORTRANGE(""https://docs.google.com/spreadsheets/d/14Bd19lYaqBhU8_DElYkX7l4wRkHqqCUFNJY4AfY3kHU/edit?usp=sharing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8" s="7" t="s">
        <v>10</v>
      </c>
      <c r="H11518" s="7">
        <v>17654</v>
      </c>
      <c r="I11518" s="8" t="str">
        <f ca="1">IFERROR(__xludf.DUMMYFUNCTION("IF
(
G11519=""фізична особа""
,
VLOOKUP(H11519,IMPORTRANGE(""https://docs.google.com/spreadsheets/d/14Bd19lYaqBhU8_DElYkX7l4wRkHqqCUFNJY4AfY3kHU/edit?usp=sharing  #gid=0"",""фіз особи new!relations_name""),6,FALSE)
,
(IF
(
G11519=""юридична особа""
,
VLOO"&amp;"KUP(H11519,IMPORTRANGE(""https://docs.google.com/spreadsheets/d/14Bd19lYaqBhU8_DElYkX7l4wRkHqqCUFNJY4AfY3kHU/edit?usp=sharing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18" s="7" t="s">
        <v>23</v>
      </c>
    </row>
    <row r="11519" spans="1:10" ht="13.2">
      <c r="A11519" s="7">
        <v>11518</v>
      </c>
      <c r="B11519" s="7">
        <v>1</v>
      </c>
      <c r="C11519" s="7" t="s">
        <v>10</v>
      </c>
      <c r="D11519" s="7">
        <v>17662</v>
      </c>
      <c r="E11519" s="7" t="s">
        <v>23</v>
      </c>
      <c r="F11519" s="8" t="str">
        <f ca="1">IFERROR(__xludf.DUMMYFUNCTION("IF
(
C11520=""фізична особа""
,
VLOOKUP(D11520,IMPORTRANGE(""https://docs.google.com/spreadsheets/d/14Bd19lYaqBhU8_DElYkX7l4wRkHqqCUFNJY4AfY3kHU/edit?usp=sharing  #gid=0"",""фіз особи new!relations_name""),6,FALSE)
,
(IF
(
C11520=""юридична особа""
,
VLOO"&amp;"KUP(D11520,IMPORTRANGE(""https://docs.google.com/spreadsheets/d/14Bd19lYaqBhU8_DElYkX7l4wRkHqqCUFNJY4AfY3kHU/edit?usp=sharing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G11519" s="7" t="s">
        <v>10</v>
      </c>
      <c r="H11519" s="7">
        <v>17663</v>
      </c>
      <c r="I11519" s="8" t="str">
        <f ca="1">IFERROR(__xludf.DUMMYFUNCTION("IF
(
G11520=""фізична особа""
,
VLOOKUP(H11520,IMPORTRANGE(""https://docs.google.com/spreadsheets/d/14Bd19lYaqBhU8_DElYkX7l4wRkHqqCUFNJY4AfY3kHU/edit?usp=sharing  #gid=0"",""фіз особи new!relations_name""),6,FALSE)
,
(IF
(
G11520=""юридична особа""
,
VLOO"&amp;"KUP(H11520,IMPORTRANGE(""https://docs.google.com/spreadsheets/d/14Bd19lYaqBhU8_DElYkX7l4wRkHqqCUFNJY4AfY3kHU/edit?usp=sharing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519" s="7" t="s">
        <v>23</v>
      </c>
    </row>
    <row r="11520" spans="1:10" ht="13.2">
      <c r="A11520" s="7">
        <v>11519</v>
      </c>
      <c r="B11520" s="7">
        <v>1</v>
      </c>
      <c r="C11520" s="7" t="s">
        <v>10</v>
      </c>
      <c r="D11520" s="7">
        <v>17663</v>
      </c>
      <c r="E11520" s="7" t="s">
        <v>23</v>
      </c>
      <c r="F11520" s="8" t="str">
        <f ca="1">IFERROR(__xludf.DUMMYFUNCTION("IF
(
C11521=""фізична особа""
,
VLOOKUP(D11521,IMPORTRANGE(""https://docs.google.com/spreadsheets/d/14Bd19lYaqBhU8_DElYkX7l4wRkHqqCUFNJY4AfY3kHU/edit?usp=sharing  #gid=0"",""фіз особи new!relations_name""),6,FALSE)
,
(IF
(
C11521=""юридична особа""
,
VLOO"&amp;"KUP(D11521,IMPORTRANGE(""https://docs.google.com/spreadsheets/d/14Bd19lYaqBhU8_DElYkX7l4wRkHqqCUFNJY4AfY3kHU/edit?usp=sharing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0" s="7" t="s">
        <v>10</v>
      </c>
      <c r="H11520" s="7">
        <v>17656</v>
      </c>
      <c r="I11520" s="8" t="str">
        <f ca="1">IFERROR(__xludf.DUMMYFUNCTION("IF
(
G11521=""фізична особа""
,
VLOOKUP(H11521,IMPORTRANGE(""https://docs.google.com/spreadsheets/d/14Bd19lYaqBhU8_DElYkX7l4wRkHqqCUFNJY4AfY3kHU/edit?usp=sharing  #gid=0"",""фіз особи new!relations_name""),6,FALSE)
,
(IF
(
G11521=""юридична особа""
,
VLOO"&amp;"KUP(H11521,IMPORTRANGE(""https://docs.google.com/spreadsheets/d/14Bd19lYaqBhU8_DElYkX7l4wRkHqqCUFNJY4AfY3kHU/edit?usp=sharing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520" s="7" t="s">
        <v>23</v>
      </c>
    </row>
    <row r="11521" spans="1:10" ht="13.2">
      <c r="A11521" s="7">
        <v>11520</v>
      </c>
      <c r="B11521" s="7">
        <v>1</v>
      </c>
      <c r="C11521" s="7" t="s">
        <v>10</v>
      </c>
      <c r="D11521" s="7">
        <v>17663</v>
      </c>
      <c r="E11521" s="7" t="s">
        <v>23</v>
      </c>
      <c r="F11521" s="8" t="str">
        <f ca="1">IFERROR(__xludf.DUMMYFUNCTION("IF
(
C11522=""фізична особа""
,
VLOOKUP(D11522,IMPORTRANGE(""https://docs.google.com/spreadsheets/d/14Bd19lYaqBhU8_DElYkX7l4wRkHqqCUFNJY4AfY3kHU/edit?usp=sharing  #gid=0"",""фіз особи new!relations_name""),6,FALSE)
,
(IF
(
C11522=""юридична особа""
,
VLOO"&amp;"KUP(D11522,IMPORTRANGE(""https://docs.google.com/spreadsheets/d/14Bd19lYaqBhU8_DElYkX7l4wRkHqqCUFNJY4AfY3kHU/edit?usp=sharing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1" s="7" t="s">
        <v>10</v>
      </c>
      <c r="H11521" s="7">
        <v>17658</v>
      </c>
      <c r="I11521" s="8" t="str">
        <f ca="1">IFERROR(__xludf.DUMMYFUNCTION("IF
(
G11522=""фізична особа""
,
VLOOKUP(H11522,IMPORTRANGE(""https://docs.google.com/spreadsheets/d/14Bd19lYaqBhU8_DElYkX7l4wRkHqqCUFNJY4AfY3kHU/edit?usp=sharing  #gid=0"",""фіз особи new!relations_name""),6,FALSE)
,
(IF
(
G11522=""юридична особа""
,
VLOO"&amp;"KUP(H11522,IMPORTRANGE(""https://docs.google.com/spreadsheets/d/14Bd19lYaqBhU8_DElYkX7l4wRkHqqCUFNJY4AfY3kHU/edit?usp=sharing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521" s="7" t="s">
        <v>23</v>
      </c>
    </row>
    <row r="11522" spans="1:10" ht="13.2">
      <c r="A11522" s="7">
        <v>11521</v>
      </c>
      <c r="B11522" s="7">
        <v>1</v>
      </c>
      <c r="C11522" s="7" t="s">
        <v>10</v>
      </c>
      <c r="D11522" s="7">
        <v>17663</v>
      </c>
      <c r="E11522" s="7" t="s">
        <v>23</v>
      </c>
      <c r="F11522" s="8" t="str">
        <f ca="1">IFERROR(__xludf.DUMMYFUNCTION("IF
(
C11523=""фізична особа""
,
VLOOKUP(D11523,IMPORTRANGE(""https://docs.google.com/spreadsheets/d/14Bd19lYaqBhU8_DElYkX7l4wRkHqqCUFNJY4AfY3kHU/edit?usp=sharing  #gid=0"",""фіз особи new!relations_name""),6,FALSE)
,
(IF
(
C11523=""юридична особа""
,
VLOO"&amp;"KUP(D11523,IMPORTRANGE(""https://docs.google.com/spreadsheets/d/14Bd19lYaqBhU8_DElYkX7l4wRkHqqCUFNJY4AfY3kHU/edit?usp=sharing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2" s="7" t="s">
        <v>10</v>
      </c>
      <c r="H11522" s="7">
        <v>17659</v>
      </c>
      <c r="I11522" s="8" t="str">
        <f ca="1">IFERROR(__xludf.DUMMYFUNCTION("IF
(
G11523=""фізична особа""
,
VLOOKUP(H11523,IMPORTRANGE(""https://docs.google.com/spreadsheets/d/14Bd19lYaqBhU8_DElYkX7l4wRkHqqCUFNJY4AfY3kHU/edit?usp=sharing  #gid=0"",""фіз особи new!relations_name""),6,FALSE)
,
(IF
(
G11523=""юридична особа""
,
VLOO"&amp;"KUP(H11523,IMPORTRANGE(""https://docs.google.com/spreadsheets/d/14Bd19lYaqBhU8_DElYkX7l4wRkHqqCUFNJY4AfY3kHU/edit?usp=sharing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522" s="7" t="s">
        <v>23</v>
      </c>
    </row>
    <row r="11523" spans="1:10" ht="13.2">
      <c r="A11523" s="7">
        <v>11522</v>
      </c>
      <c r="B11523" s="7">
        <v>1</v>
      </c>
      <c r="C11523" s="7" t="s">
        <v>10</v>
      </c>
      <c r="D11523" s="7">
        <v>17663</v>
      </c>
      <c r="E11523" s="7" t="s">
        <v>23</v>
      </c>
      <c r="F11523" s="8" t="str">
        <f ca="1">IFERROR(__xludf.DUMMYFUNCTION("IF
(
C11524=""фізична особа""
,
VLOOKUP(D11524,IMPORTRANGE(""https://docs.google.com/spreadsheets/d/14Bd19lYaqBhU8_DElYkX7l4wRkHqqCUFNJY4AfY3kHU/edit?usp=sharing  #gid=0"",""фіз особи new!relations_name""),6,FALSE)
,
(IF
(
C11524=""юридична особа""
,
VLOO"&amp;"KUP(D11524,IMPORTRANGE(""https://docs.google.com/spreadsheets/d/14Bd19lYaqBhU8_DElYkX7l4wRkHqqCUFNJY4AfY3kHU/edit?usp=sharing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3" s="7" t="s">
        <v>10</v>
      </c>
      <c r="H11523" s="7">
        <v>17657</v>
      </c>
      <c r="I11523" s="8" t="str">
        <f ca="1">IFERROR(__xludf.DUMMYFUNCTION("IF
(
G11524=""фізична особа""
,
VLOOKUP(H11524,IMPORTRANGE(""https://docs.google.com/spreadsheets/d/14Bd19lYaqBhU8_DElYkX7l4wRkHqqCUFNJY4AfY3kHU/edit?usp=sharing  #gid=0"",""фіз особи new!relations_name""),6,FALSE)
,
(IF
(
G11524=""юридична особа""
,
VLOO"&amp;"KUP(H11524,IMPORTRANGE(""https://docs.google.com/spreadsheets/d/14Bd19lYaqBhU8_DElYkX7l4wRkHqqCUFNJY4AfY3kHU/edit?usp=sharing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523" s="7" t="s">
        <v>23</v>
      </c>
    </row>
    <row r="11524" spans="1:10" ht="13.2">
      <c r="A11524" s="7">
        <v>11523</v>
      </c>
      <c r="B11524" s="7">
        <v>1</v>
      </c>
      <c r="C11524" s="7" t="s">
        <v>10</v>
      </c>
      <c r="D11524" s="7">
        <v>17663</v>
      </c>
      <c r="E11524" s="7" t="s">
        <v>23</v>
      </c>
      <c r="F11524" s="8" t="str">
        <f ca="1">IFERROR(__xludf.DUMMYFUNCTION("IF
(
C11525=""фізична особа""
,
VLOOKUP(D11525,IMPORTRANGE(""https://docs.google.com/spreadsheets/d/14Bd19lYaqBhU8_DElYkX7l4wRkHqqCUFNJY4AfY3kHU/edit?usp=sharing  #gid=0"",""фіз особи new!relations_name""),6,FALSE)
,
(IF
(
C11525=""юридична особа""
,
VLOO"&amp;"KUP(D11525,IMPORTRANGE(""https://docs.google.com/spreadsheets/d/14Bd19lYaqBhU8_DElYkX7l4wRkHqqCUFNJY4AfY3kHU/edit?usp=sharing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4" s="7" t="s">
        <v>10</v>
      </c>
      <c r="H11524" s="7">
        <v>17655</v>
      </c>
      <c r="I11524" s="8" t="str">
        <f ca="1">IFERROR(__xludf.DUMMYFUNCTION("IF
(
G11525=""фізична особа""
,
VLOOKUP(H11525,IMPORTRANGE(""https://docs.google.com/spreadsheets/d/14Bd19lYaqBhU8_DElYkX7l4wRkHqqCUFNJY4AfY3kHU/edit?usp=sharing  #gid=0"",""фіз особи new!relations_name""),6,FALSE)
,
(IF
(
G11525=""юридична особа""
,
VLOO"&amp;"KUP(H11525,IMPORTRANGE(""https://docs.google.com/spreadsheets/d/14Bd19lYaqBhU8_DElYkX7l4wRkHqqCUFNJY4AfY3kHU/edit?usp=sharing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524" s="7" t="s">
        <v>23</v>
      </c>
    </row>
    <row r="11525" spans="1:10" ht="13.2">
      <c r="A11525" s="7">
        <v>11524</v>
      </c>
      <c r="B11525" s="7">
        <v>1</v>
      </c>
      <c r="C11525" s="7" t="s">
        <v>10</v>
      </c>
      <c r="D11525" s="7">
        <v>17663</v>
      </c>
      <c r="E11525" s="7" t="s">
        <v>23</v>
      </c>
      <c r="F11525" s="8" t="str">
        <f ca="1">IFERROR(__xludf.DUMMYFUNCTION("IF
(
C11526=""фізична особа""
,
VLOOKUP(D11526,IMPORTRANGE(""https://docs.google.com/spreadsheets/d/14Bd19lYaqBhU8_DElYkX7l4wRkHqqCUFNJY4AfY3kHU/edit?usp=sharing  #gid=0"",""фіз особи new!relations_name""),6,FALSE)
,
(IF
(
C11526=""юридична особа""
,
VLOO"&amp;"KUP(D11526,IMPORTRANGE(""https://docs.google.com/spreadsheets/d/14Bd19lYaqBhU8_DElYkX7l4wRkHqqCUFNJY4AfY3kHU/edit?usp=sharing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5" s="7" t="s">
        <v>10</v>
      </c>
      <c r="H11525" s="7">
        <v>17666</v>
      </c>
      <c r="I11525" s="8" t="str">
        <f ca="1">IFERROR(__xludf.DUMMYFUNCTION("IF
(
G11526=""фізична особа""
,
VLOOKUP(H11526,IMPORTRANGE(""https://docs.google.com/spreadsheets/d/14Bd19lYaqBhU8_DElYkX7l4wRkHqqCUFNJY4AfY3kHU/edit?usp=sharing  #gid=0"",""фіз особи new!relations_name""),6,FALSE)
,
(IF
(
G11526=""юридична особа""
,
VLOO"&amp;"KUP(H11526,IMPORTRANGE(""https://docs.google.com/spreadsheets/d/14Bd19lYaqBhU8_DElYkX7l4wRkHqqCUFNJY4AfY3kHU/edit?usp=sharing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525" s="7" t="s">
        <v>23</v>
      </c>
    </row>
    <row r="11526" spans="1:10" ht="13.2">
      <c r="A11526" s="7">
        <v>11525</v>
      </c>
      <c r="B11526" s="7">
        <v>1</v>
      </c>
      <c r="C11526" s="7" t="s">
        <v>10</v>
      </c>
      <c r="D11526" s="7">
        <v>17663</v>
      </c>
      <c r="E11526" s="7" t="s">
        <v>23</v>
      </c>
      <c r="F11526" s="8" t="str">
        <f ca="1">IFERROR(__xludf.DUMMYFUNCTION("IF
(
C11527=""фізична особа""
,
VLOOKUP(D11527,IMPORTRANGE(""https://docs.google.com/spreadsheets/d/14Bd19lYaqBhU8_DElYkX7l4wRkHqqCUFNJY4AfY3kHU/edit?usp=sharing  #gid=0"",""фіз особи new!relations_name""),6,FALSE)
,
(IF
(
C11527=""юридична особа""
,
VLOO"&amp;"KUP(D11527,IMPORTRANGE(""https://docs.google.com/spreadsheets/d/14Bd19lYaqBhU8_DElYkX7l4wRkHqqCUFNJY4AfY3kHU/edit?usp=sharing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6" s="7" t="s">
        <v>10</v>
      </c>
      <c r="H11526" s="7">
        <v>17664</v>
      </c>
      <c r="I11526" s="8" t="str">
        <f ca="1">IFERROR(__xludf.DUMMYFUNCTION("IF
(
G11527=""фізична особа""
,
VLOOKUP(H11527,IMPORTRANGE(""https://docs.google.com/spreadsheets/d/14Bd19lYaqBhU8_DElYkX7l4wRkHqqCUFNJY4AfY3kHU/edit?usp=sharing  #gid=0"",""фіз особи new!relations_name""),6,FALSE)
,
(IF
(
G11527=""юридична особа""
,
VLOO"&amp;"KUP(H11527,IMPORTRANGE(""https://docs.google.com/spreadsheets/d/14Bd19lYaqBhU8_DElYkX7l4wRkHqqCUFNJY4AfY3kHU/edit?usp=sharing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526" s="7" t="s">
        <v>23</v>
      </c>
    </row>
    <row r="11527" spans="1:10" ht="13.2">
      <c r="A11527" s="7">
        <v>11526</v>
      </c>
      <c r="B11527" s="7">
        <v>1</v>
      </c>
      <c r="C11527" s="7" t="s">
        <v>10</v>
      </c>
      <c r="D11527" s="7">
        <v>17663</v>
      </c>
      <c r="E11527" s="7" t="s">
        <v>23</v>
      </c>
      <c r="F11527" s="8" t="str">
        <f ca="1">IFERROR(__xludf.DUMMYFUNCTION("IF
(
C11528=""фізична особа""
,
VLOOKUP(D11528,IMPORTRANGE(""https://docs.google.com/spreadsheets/d/14Bd19lYaqBhU8_DElYkX7l4wRkHqqCUFNJY4AfY3kHU/edit?usp=sharing  #gid=0"",""фіз особи new!relations_name""),6,FALSE)
,
(IF
(
C11528=""юридична особа""
,
VLOO"&amp;"KUP(D11528,IMPORTRANGE(""https://docs.google.com/spreadsheets/d/14Bd19lYaqBhU8_DElYkX7l4wRkHqqCUFNJY4AfY3kHU/edit?usp=sharing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7" s="7" t="s">
        <v>10</v>
      </c>
      <c r="H11527" s="7">
        <v>17665</v>
      </c>
      <c r="I11527" s="8" t="str">
        <f ca="1">IFERROR(__xludf.DUMMYFUNCTION("IF
(
G11528=""фізична особа""
,
VLOOKUP(H11528,IMPORTRANGE(""https://docs.google.com/spreadsheets/d/14Bd19lYaqBhU8_DElYkX7l4wRkHqqCUFNJY4AfY3kHU/edit?usp=sharing  #gid=0"",""фіз особи new!relations_name""),6,FALSE)
,
(IF
(
G11528=""юридична особа""
,
VLOO"&amp;"KUP(H11528,IMPORTRANGE(""https://docs.google.com/spreadsheets/d/14Bd19lYaqBhU8_DElYkX7l4wRkHqqCUFNJY4AfY3kHU/edit?usp=sharing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527" s="7" t="s">
        <v>23</v>
      </c>
    </row>
    <row r="11528" spans="1:10" ht="13.2">
      <c r="A11528" s="7">
        <v>11527</v>
      </c>
      <c r="B11528" s="7">
        <v>1</v>
      </c>
      <c r="C11528" s="7" t="s">
        <v>10</v>
      </c>
      <c r="D11528" s="7">
        <v>17663</v>
      </c>
      <c r="E11528" s="7" t="s">
        <v>23</v>
      </c>
      <c r="F11528" s="8" t="str">
        <f ca="1">IFERROR(__xludf.DUMMYFUNCTION("IF
(
C11529=""фізична особа""
,
VLOOKUP(D11529,IMPORTRANGE(""https://docs.google.com/spreadsheets/d/14Bd19lYaqBhU8_DElYkX7l4wRkHqqCUFNJY4AfY3kHU/edit?usp=sharing  #gid=0"",""фіз особи new!relations_name""),6,FALSE)
,
(IF
(
C11529=""юридична особа""
,
VLOO"&amp;"KUP(D11529,IMPORTRANGE(""https://docs.google.com/spreadsheets/d/14Bd19lYaqBhU8_DElYkX7l4wRkHqqCUFNJY4AfY3kHU/edit?usp=sharing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8" s="7" t="s">
        <v>10</v>
      </c>
      <c r="H11528" s="7">
        <v>17660</v>
      </c>
      <c r="I11528" s="8" t="str">
        <f ca="1">IFERROR(__xludf.DUMMYFUNCTION("IF
(
G11529=""фізична особа""
,
VLOOKUP(H11529,IMPORTRANGE(""https://docs.google.com/spreadsheets/d/14Bd19lYaqBhU8_DElYkX7l4wRkHqqCUFNJY4AfY3kHU/edit?usp=sharing  #gid=0"",""фіз особи new!relations_name""),6,FALSE)
,
(IF
(
G11529=""юридична особа""
,
VLOO"&amp;"KUP(H11529,IMPORTRANGE(""https://docs.google.com/spreadsheets/d/14Bd19lYaqBhU8_DElYkX7l4wRkHqqCUFNJY4AfY3kHU/edit?usp=sharing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28" s="7" t="s">
        <v>23</v>
      </c>
    </row>
    <row r="11529" spans="1:10" ht="13.2">
      <c r="A11529" s="7">
        <v>11528</v>
      </c>
      <c r="B11529" s="7">
        <v>1</v>
      </c>
      <c r="C11529" s="7" t="s">
        <v>10</v>
      </c>
      <c r="D11529" s="7">
        <v>17663</v>
      </c>
      <c r="E11529" s="7" t="s">
        <v>23</v>
      </c>
      <c r="F11529" s="8" t="str">
        <f ca="1">IFERROR(__xludf.DUMMYFUNCTION("IF
(
C11530=""фізична особа""
,
VLOOKUP(D11530,IMPORTRANGE(""https://docs.google.com/spreadsheets/d/14Bd19lYaqBhU8_DElYkX7l4wRkHqqCUFNJY4AfY3kHU/edit?usp=sharing  #gid=0"",""фіз особи new!relations_name""),6,FALSE)
,
(IF
(
C11530=""юридична особа""
,
VLOO"&amp;"KUP(D11530,IMPORTRANGE(""https://docs.google.com/spreadsheets/d/14Bd19lYaqBhU8_DElYkX7l4wRkHqqCUFNJY4AfY3kHU/edit?usp=sharing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29" s="7" t="s">
        <v>10</v>
      </c>
      <c r="H11529" s="7">
        <v>17661</v>
      </c>
      <c r="I11529" s="8" t="str">
        <f ca="1">IFERROR(__xludf.DUMMYFUNCTION("IF
(
G11530=""фізична особа""
,
VLOOKUP(H11530,IMPORTRANGE(""https://docs.google.com/spreadsheets/d/14Bd19lYaqBhU8_DElYkX7l4wRkHqqCUFNJY4AfY3kHU/edit?usp=sharing  #gid=0"",""фіз особи new!relations_name""),6,FALSE)
,
(IF
(
G11530=""юридична особа""
,
VLOO"&amp;"KUP(H11530,IMPORTRANGE(""https://docs.google.com/spreadsheets/d/14Bd19lYaqBhU8_DElYkX7l4wRkHqqCUFNJY4AfY3kHU/edit?usp=sharing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529" s="7" t="s">
        <v>23</v>
      </c>
    </row>
    <row r="11530" spans="1:10" ht="13.2">
      <c r="A11530" s="7">
        <v>11529</v>
      </c>
      <c r="B11530" s="7">
        <v>1</v>
      </c>
      <c r="C11530" s="7" t="s">
        <v>10</v>
      </c>
      <c r="D11530" s="7">
        <v>17663</v>
      </c>
      <c r="E11530" s="7" t="s">
        <v>23</v>
      </c>
      <c r="F11530" s="8" t="str">
        <f ca="1">IFERROR(__xludf.DUMMYFUNCTION("IF
(
C11531=""фізична особа""
,
VLOOKUP(D11531,IMPORTRANGE(""https://docs.google.com/spreadsheets/d/14Bd19lYaqBhU8_DElYkX7l4wRkHqqCUFNJY4AfY3kHU/edit?usp=sharing  #gid=0"",""фіз особи new!relations_name""),6,FALSE)
,
(IF
(
C11531=""юридична особа""
,
VLOO"&amp;"KUP(D11531,IMPORTRANGE(""https://docs.google.com/spreadsheets/d/14Bd19lYaqBhU8_DElYkX7l4wRkHqqCUFNJY4AfY3kHU/edit?usp=sharing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0" s="7" t="s">
        <v>10</v>
      </c>
      <c r="H11530" s="7">
        <v>17654</v>
      </c>
      <c r="I11530" s="8" t="str">
        <f ca="1">IFERROR(__xludf.DUMMYFUNCTION("IF
(
G11531=""фізична особа""
,
VLOOKUP(H11531,IMPORTRANGE(""https://docs.google.com/spreadsheets/d/14Bd19lYaqBhU8_DElYkX7l4wRkHqqCUFNJY4AfY3kHU/edit?usp=sharing  #gid=0"",""фіз особи new!relations_name""),6,FALSE)
,
(IF
(
G11531=""юридична особа""
,
VLOO"&amp;"KUP(H11531,IMPORTRANGE(""https://docs.google.com/spreadsheets/d/14Bd19lYaqBhU8_DElYkX7l4wRkHqqCUFNJY4AfY3kHU/edit?usp=sharing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30" s="7" t="s">
        <v>23</v>
      </c>
    </row>
    <row r="11531" spans="1:10" ht="13.2">
      <c r="A11531" s="7">
        <v>11530</v>
      </c>
      <c r="B11531" s="7">
        <v>1</v>
      </c>
      <c r="C11531" s="7" t="s">
        <v>10</v>
      </c>
      <c r="D11531" s="7">
        <v>17663</v>
      </c>
      <c r="E11531" s="7" t="s">
        <v>23</v>
      </c>
      <c r="F11531" s="8" t="str">
        <f ca="1">IFERROR(__xludf.DUMMYFUNCTION("IF
(
C11532=""фізична особа""
,
VLOOKUP(D11532,IMPORTRANGE(""https://docs.google.com/spreadsheets/d/14Bd19lYaqBhU8_DElYkX7l4wRkHqqCUFNJY4AfY3kHU/edit?usp=sharing  #gid=0"",""фіз особи new!relations_name""),6,FALSE)
,
(IF
(
C11532=""юридична особа""
,
VLOO"&amp;"KUP(D11532,IMPORTRANGE(""https://docs.google.com/spreadsheets/d/14Bd19lYaqBhU8_DElYkX7l4wRkHqqCUFNJY4AfY3kHU/edit?usp=sharing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1" s="7" t="s">
        <v>10</v>
      </c>
      <c r="H11531" s="7">
        <v>17662</v>
      </c>
      <c r="I11531" s="8" t="str">
        <f ca="1">IFERROR(__xludf.DUMMYFUNCTION("IF
(
G11532=""фізична особа""
,
VLOOKUP(H11532,IMPORTRANGE(""https://docs.google.com/spreadsheets/d/14Bd19lYaqBhU8_DElYkX7l4wRkHqqCUFNJY4AfY3kHU/edit?usp=sharing  #gid=0"",""фіз особи new!relations_name""),6,FALSE)
,
(IF
(
G11532=""юридична особа""
,
VLOO"&amp;"KUP(H11532,IMPORTRANGE(""https://docs.google.com/spreadsheets/d/14Bd19lYaqBhU8_DElYkX7l4wRkHqqCUFNJY4AfY3kHU/edit?usp=sharing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531" s="7" t="s">
        <v>23</v>
      </c>
    </row>
    <row r="11532" spans="1:10" ht="13.2">
      <c r="A11532" s="7">
        <v>11531</v>
      </c>
      <c r="B11532" s="7">
        <v>1</v>
      </c>
      <c r="C11532" s="7" t="s">
        <v>10</v>
      </c>
      <c r="D11532" s="7">
        <v>17663</v>
      </c>
      <c r="E11532" s="7" t="s">
        <v>23</v>
      </c>
      <c r="F11532" s="8" t="str">
        <f ca="1">IFERROR(__xludf.DUMMYFUNCTION("IF
(
C11533=""фізична особа""
,
VLOOKUP(D11533,IMPORTRANGE(""https://docs.google.com/spreadsheets/d/14Bd19lYaqBhU8_DElYkX7l4wRkHqqCUFNJY4AfY3kHU/edit?usp=sharing  #gid=0"",""фіз особи new!relations_name""),6,FALSE)
,
(IF
(
C11533=""юридична особа""
,
VLOO"&amp;"KUP(D11533,IMPORTRANGE(""https://docs.google.com/spreadsheets/d/14Bd19lYaqBhU8_DElYkX7l4wRkHqqCUFNJY4AfY3kHU/edit?usp=sharing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2" s="7" t="s">
        <v>10</v>
      </c>
      <c r="H11532" s="7">
        <v>0</v>
      </c>
      <c r="I11532" s="8" t="str">
        <f ca="1">IFERROR(__xludf.DUMMYFUNCTION("IF
(
G11533=""фізична особа""
,
VLOOKUP(H11533,IMPORTRANGE(""https://docs.google.com/spreadsheets/d/14Bd19lYaqBhU8_DElYkX7l4wRkHqqCUFNJY4AfY3kHU/edit?usp=sharing  #gid=0"",""фіз особи new!relations_name""),6,FALSE)
,
(IF
(
G11533=""юридична особа""
,
VLOO"&amp;"KUP(H11533,IMPORTRANGE(""https://docs.google.com/spreadsheets/d/14Bd19lYaqBhU8_DElYkX7l4wRkHqqCUFNJY4AfY3kHU/edit?usp=sharing  #gid=0"",""фіз особи new!relations_name_uo""),7,FALSE)
,
)
))"),"#N/A")</f>
        <v>#N/A</v>
      </c>
      <c r="J11532" s="7" t="s">
        <v>23</v>
      </c>
    </row>
    <row r="11533" spans="1:10" ht="13.2">
      <c r="A11533" s="7">
        <v>11532</v>
      </c>
      <c r="B11533" s="7">
        <v>1</v>
      </c>
      <c r="C11533" s="7" t="s">
        <v>10</v>
      </c>
      <c r="D11533" s="7">
        <v>17663</v>
      </c>
      <c r="E11533" s="7" t="s">
        <v>23</v>
      </c>
      <c r="F11533" s="8" t="str">
        <f ca="1">IFERROR(__xludf.DUMMYFUNCTION("IF
(
C11534=""фізична особа""
,
VLOOKUP(D11534,IMPORTRANGE(""https://docs.google.com/spreadsheets/d/14Bd19lYaqBhU8_DElYkX7l4wRkHqqCUFNJY4AfY3kHU/edit?usp=sharing  #gid=0"",""фіз особи new!relations_name""),6,FALSE)
,
(IF
(
C11534=""юридична особа""
,
VLOO"&amp;"KUP(D11534,IMPORTRANGE(""https://docs.google.com/spreadsheets/d/14Bd19lYaqBhU8_DElYkX7l4wRkHqqCUFNJY4AfY3kHU/edit?usp=sharing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3" s="7" t="s">
        <v>10</v>
      </c>
      <c r="H11533" s="7">
        <v>0</v>
      </c>
      <c r="I11533" s="8" t="str">
        <f ca="1">IFERROR(__xludf.DUMMYFUNCTION("IF
(
G11534=""фізична особа""
,
VLOOKUP(H11534,IMPORTRANGE(""https://docs.google.com/spreadsheets/d/14Bd19lYaqBhU8_DElYkX7l4wRkHqqCUFNJY4AfY3kHU/edit?usp=sharing  #gid=0"",""фіз особи new!relations_name""),6,FALSE)
,
(IF
(
G11534=""юридична особа""
,
VLOO"&amp;"KUP(H11534,IMPORTRANGE(""https://docs.google.com/spreadsheets/d/14Bd19lYaqBhU8_DElYkX7l4wRkHqqCUFNJY4AfY3kHU/edit?usp=sharing  #gid=0"",""фіз особи new!relations_name_uo""),7,FALSE)
,
)
))"),"#N/A")</f>
        <v>#N/A</v>
      </c>
      <c r="J11533" s="7" t="s">
        <v>23</v>
      </c>
    </row>
    <row r="11534" spans="1:10" ht="13.2">
      <c r="A11534" s="7">
        <v>11533</v>
      </c>
      <c r="B11534" s="7">
        <v>1</v>
      </c>
      <c r="C11534" s="7" t="s">
        <v>10</v>
      </c>
      <c r="D11534" s="7">
        <v>17663</v>
      </c>
      <c r="E11534" s="7" t="s">
        <v>23</v>
      </c>
      <c r="F11534" s="8" t="str">
        <f ca="1">IFERROR(__xludf.DUMMYFUNCTION("IF
(
C11535=""фізична особа""
,
VLOOKUP(D11535,IMPORTRANGE(""https://docs.google.com/spreadsheets/d/14Bd19lYaqBhU8_DElYkX7l4wRkHqqCUFNJY4AfY3kHU/edit?usp=sharing  #gid=0"",""фіз особи new!relations_name""),6,FALSE)
,
(IF
(
C11535=""юридична особа""
,
VLOO"&amp;"KUP(D11535,IMPORTRANGE(""https://docs.google.com/spreadsheets/d/14Bd19lYaqBhU8_DElYkX7l4wRkHqqCUFNJY4AfY3kHU/edit?usp=sharing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4" s="7" t="s">
        <v>10</v>
      </c>
      <c r="H11534" s="7">
        <v>0</v>
      </c>
      <c r="I11534" s="8" t="str">
        <f ca="1">IFERROR(__xludf.DUMMYFUNCTION("IF
(
G11535=""фізична особа""
,
VLOOKUP(H11535,IMPORTRANGE(""https://docs.google.com/spreadsheets/d/14Bd19lYaqBhU8_DElYkX7l4wRkHqqCUFNJY4AfY3kHU/edit?usp=sharing  #gid=0"",""фіз особи new!relations_name""),6,FALSE)
,
(IF
(
G11535=""юридична особа""
,
VLOO"&amp;"KUP(H11535,IMPORTRANGE(""https://docs.google.com/spreadsheets/d/14Bd19lYaqBhU8_DElYkX7l4wRkHqqCUFNJY4AfY3kHU/edit?usp=sharing  #gid=0"",""фіз особи new!relations_name_uo""),7,FALSE)
,
)
))"),"#N/A")</f>
        <v>#N/A</v>
      </c>
      <c r="J11534" s="7" t="s">
        <v>23</v>
      </c>
    </row>
    <row r="11535" spans="1:10" ht="13.2">
      <c r="A11535" s="7">
        <v>11534</v>
      </c>
      <c r="B11535" s="7">
        <v>1</v>
      </c>
      <c r="C11535" s="7" t="s">
        <v>10</v>
      </c>
      <c r="D11535" s="7">
        <v>17663</v>
      </c>
      <c r="E11535" s="7" t="s">
        <v>23</v>
      </c>
      <c r="F11535" s="8" t="str">
        <f ca="1">IFERROR(__xludf.DUMMYFUNCTION("IF
(
C11536=""фізична особа""
,
VLOOKUP(D11536,IMPORTRANGE(""https://docs.google.com/spreadsheets/d/14Bd19lYaqBhU8_DElYkX7l4wRkHqqCUFNJY4AfY3kHU/edit?usp=sharing  #gid=0"",""фіз особи new!relations_name""),6,FALSE)
,
(IF
(
C11536=""юридична особа""
,
VLOO"&amp;"KUP(D11536,IMPORTRANGE(""https://docs.google.com/spreadsheets/d/14Bd19lYaqBhU8_DElYkX7l4wRkHqqCUFNJY4AfY3kHU/edit?usp=sharing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5" s="7" t="s">
        <v>10</v>
      </c>
      <c r="H11535" s="7">
        <v>18099</v>
      </c>
      <c r="I11535" s="8" t="str">
        <f ca="1">IFERROR(__xludf.DUMMYFUNCTION("IF
(
G11536=""фізична особа""
,
VLOOKUP(H11536,IMPORTRANGE(""https://docs.google.com/spreadsheets/d/14Bd19lYaqBhU8_DElYkX7l4wRkHqqCUFNJY4AfY3kHU/edit?usp=sharing  #gid=0"",""фіз особи new!relations_name""),6,FALSE)
,
(IF
(
G11536=""юридична особа""
,
VLOO"&amp;"KUP(H11536,IMPORTRANGE(""https://docs.google.com/spreadsheets/d/14Bd19lYaqBhU8_DElYkX7l4wRkHqqCUFNJY4AfY3kHU/edit?usp=sharing  #gid=0"",""фіз особи new!relations_name_uo""),7,FALSE)
,
)
))"),"МИХАЙЛОВА Олена Володимирівна")</f>
        <v>МИХАЙЛОВА Олена Володимирівна</v>
      </c>
      <c r="J11535" s="7" t="s">
        <v>23</v>
      </c>
    </row>
    <row r="11536" spans="1:10" ht="13.2">
      <c r="A11536" s="7">
        <v>11535</v>
      </c>
      <c r="B11536" s="7">
        <v>1</v>
      </c>
      <c r="C11536" s="7" t="s">
        <v>10</v>
      </c>
      <c r="D11536" s="7">
        <v>17663</v>
      </c>
      <c r="E11536" s="7" t="s">
        <v>23</v>
      </c>
      <c r="F11536" s="8" t="str">
        <f ca="1">IFERROR(__xludf.DUMMYFUNCTION("IF
(
C11537=""фізична особа""
,
VLOOKUP(D11537,IMPORTRANGE(""https://docs.google.com/spreadsheets/d/14Bd19lYaqBhU8_DElYkX7l4wRkHqqCUFNJY4AfY3kHU/edit?usp=sharing  #gid=0"",""фіз особи new!relations_name""),6,FALSE)
,
(IF
(
C11537=""юридична особа""
,
VLOO"&amp;"KUP(D11537,IMPORTRANGE(""https://docs.google.com/spreadsheets/d/14Bd19lYaqBhU8_DElYkX7l4wRkHqqCUFNJY4AfY3kHU/edit?usp=sharing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6" s="7" t="s">
        <v>10</v>
      </c>
      <c r="H11536" s="7">
        <v>0</v>
      </c>
      <c r="I11536" s="8" t="str">
        <f ca="1">IFERROR(__xludf.DUMMYFUNCTION("IF
(
G11537=""фізична особа""
,
VLOOKUP(H11537,IMPORTRANGE(""https://docs.google.com/spreadsheets/d/14Bd19lYaqBhU8_DElYkX7l4wRkHqqCUFNJY4AfY3kHU/edit?usp=sharing  #gid=0"",""фіз особи new!relations_name""),6,FALSE)
,
(IF
(
G11537=""юридична особа""
,
VLOO"&amp;"KUP(H11537,IMPORTRANGE(""https://docs.google.com/spreadsheets/d/14Bd19lYaqBhU8_DElYkX7l4wRkHqqCUFNJY4AfY3kHU/edit?usp=sharing  #gid=0"",""фіз особи new!relations_name_uo""),7,FALSE)
,
)
))"),"#N/A")</f>
        <v>#N/A</v>
      </c>
      <c r="J11536" s="7" t="s">
        <v>23</v>
      </c>
    </row>
    <row r="11537" spans="1:10" ht="13.2">
      <c r="A11537" s="7">
        <v>11536</v>
      </c>
      <c r="B11537" s="7">
        <v>1</v>
      </c>
      <c r="C11537" s="7" t="s">
        <v>10</v>
      </c>
      <c r="D11537" s="7">
        <v>17663</v>
      </c>
      <c r="E11537" s="7" t="s">
        <v>23</v>
      </c>
      <c r="F11537" s="8" t="str">
        <f ca="1">IFERROR(__xludf.DUMMYFUNCTION("IF
(
C11538=""фізична особа""
,
VLOOKUP(D11538,IMPORTRANGE(""https://docs.google.com/spreadsheets/d/14Bd19lYaqBhU8_DElYkX7l4wRkHqqCUFNJY4AfY3kHU/edit?usp=sharing  #gid=0"",""фіз особи new!relations_name""),6,FALSE)
,
(IF
(
C11538=""юридична особа""
,
VLOO"&amp;"KUP(D11538,IMPORTRANGE(""https://docs.google.com/spreadsheets/d/14Bd19lYaqBhU8_DElYkX7l4wRkHqqCUFNJY4AfY3kHU/edit?usp=sharing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G11537" s="7" t="s">
        <v>10</v>
      </c>
      <c r="H11537" s="7">
        <v>0</v>
      </c>
      <c r="I11537" s="8" t="str">
        <f ca="1">IFERROR(__xludf.DUMMYFUNCTION("IF
(
G11538=""фізична особа""
,
VLOOKUP(H11538,IMPORTRANGE(""https://docs.google.com/spreadsheets/d/14Bd19lYaqBhU8_DElYkX7l4wRkHqqCUFNJY4AfY3kHU/edit?usp=sharing  #gid=0"",""фіз особи new!relations_name""),6,FALSE)
,
(IF
(
G11538=""юридична особа""
,
VLOO"&amp;"KUP(H11538,IMPORTRANGE(""https://docs.google.com/spreadsheets/d/14Bd19lYaqBhU8_DElYkX7l4wRkHqqCUFNJY4AfY3kHU/edit?usp=sharing  #gid=0"",""фіз особи new!relations_name_uo""),7,FALSE)
,
)
))"),"#N/A")</f>
        <v>#N/A</v>
      </c>
      <c r="J11537" s="7" t="s">
        <v>23</v>
      </c>
    </row>
    <row r="11538" spans="1:10" ht="13.2">
      <c r="A11538" s="7">
        <v>11537</v>
      </c>
      <c r="B11538" s="7">
        <v>1</v>
      </c>
      <c r="C11538" s="7" t="s">
        <v>10</v>
      </c>
      <c r="D11538" s="7">
        <v>17664</v>
      </c>
      <c r="E11538" s="7" t="s">
        <v>23</v>
      </c>
      <c r="F11538" s="8" t="str">
        <f ca="1">IFERROR(__xludf.DUMMYFUNCTION("IF
(
C11539=""фізична особа""
,
VLOOKUP(D11539,IMPORTRANGE(""https://docs.google.com/spreadsheets/d/14Bd19lYaqBhU8_DElYkX7l4wRkHqqCUFNJY4AfY3kHU/edit?usp=sharing  #gid=0"",""фіз особи new!relations_name""),6,FALSE)
,
(IF
(
C11539=""юридична особа""
,
VLOO"&amp;"KUP(D11539,IMPORTRANGE(""https://docs.google.com/spreadsheets/d/14Bd19lYaqBhU8_DElYkX7l4wRkHqqCUFNJY4AfY3kHU/edit?usp=sharing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38" s="7" t="s">
        <v>10</v>
      </c>
      <c r="H11538" s="7">
        <v>17656</v>
      </c>
      <c r="I11538" s="8" t="str">
        <f ca="1">IFERROR(__xludf.DUMMYFUNCTION("IF
(
G11539=""фізична особа""
,
VLOOKUP(H11539,IMPORTRANGE(""https://docs.google.com/spreadsheets/d/14Bd19lYaqBhU8_DElYkX7l4wRkHqqCUFNJY4AfY3kHU/edit?usp=sharing  #gid=0"",""фіз особи new!relations_name""),6,FALSE)
,
(IF
(
G11539=""юридична особа""
,
VLOO"&amp;"KUP(H11539,IMPORTRANGE(""https://docs.google.com/spreadsheets/d/14Bd19lYaqBhU8_DElYkX7l4wRkHqqCUFNJY4AfY3kHU/edit?usp=sharing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538" s="7" t="s">
        <v>23</v>
      </c>
    </row>
    <row r="11539" spans="1:10" ht="13.2">
      <c r="A11539" s="7">
        <v>11538</v>
      </c>
      <c r="B11539" s="7">
        <v>1</v>
      </c>
      <c r="C11539" s="7" t="s">
        <v>10</v>
      </c>
      <c r="D11539" s="7">
        <v>17664</v>
      </c>
      <c r="E11539" s="7" t="s">
        <v>23</v>
      </c>
      <c r="F11539" s="8" t="str">
        <f ca="1">IFERROR(__xludf.DUMMYFUNCTION("IF
(
C11540=""фізична особа""
,
VLOOKUP(D11540,IMPORTRANGE(""https://docs.google.com/spreadsheets/d/14Bd19lYaqBhU8_DElYkX7l4wRkHqqCUFNJY4AfY3kHU/edit?usp=sharing  #gid=0"",""фіз особи new!relations_name""),6,FALSE)
,
(IF
(
C11540=""юридична особа""
,
VLOO"&amp;"KUP(D11540,IMPORTRANGE(""https://docs.google.com/spreadsheets/d/14Bd19lYaqBhU8_DElYkX7l4wRkHqqCUFNJY4AfY3kHU/edit?usp=sharing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39" s="7" t="s">
        <v>10</v>
      </c>
      <c r="H11539" s="7">
        <v>17658</v>
      </c>
      <c r="I11539" s="8" t="str">
        <f ca="1">IFERROR(__xludf.DUMMYFUNCTION("IF
(
G11540=""фізична особа""
,
VLOOKUP(H11540,IMPORTRANGE(""https://docs.google.com/spreadsheets/d/14Bd19lYaqBhU8_DElYkX7l4wRkHqqCUFNJY4AfY3kHU/edit?usp=sharing  #gid=0"",""фіз особи new!relations_name""),6,FALSE)
,
(IF
(
G11540=""юридична особа""
,
VLOO"&amp;"KUP(H11540,IMPORTRANGE(""https://docs.google.com/spreadsheets/d/14Bd19lYaqBhU8_DElYkX7l4wRkHqqCUFNJY4AfY3kHU/edit?usp=sharing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539" s="7" t="s">
        <v>23</v>
      </c>
    </row>
    <row r="11540" spans="1:10" ht="13.2">
      <c r="A11540" s="7">
        <v>11539</v>
      </c>
      <c r="B11540" s="7">
        <v>1</v>
      </c>
      <c r="C11540" s="7" t="s">
        <v>10</v>
      </c>
      <c r="D11540" s="7">
        <v>17664</v>
      </c>
      <c r="E11540" s="7" t="s">
        <v>23</v>
      </c>
      <c r="F11540" s="8" t="str">
        <f ca="1">IFERROR(__xludf.DUMMYFUNCTION("IF
(
C11541=""фізична особа""
,
VLOOKUP(D11541,IMPORTRANGE(""https://docs.google.com/spreadsheets/d/14Bd19lYaqBhU8_DElYkX7l4wRkHqqCUFNJY4AfY3kHU/edit?usp=sharing  #gid=0"",""фіз особи new!relations_name""),6,FALSE)
,
(IF
(
C11541=""юридична особа""
,
VLOO"&amp;"KUP(D11541,IMPORTRANGE(""https://docs.google.com/spreadsheets/d/14Bd19lYaqBhU8_DElYkX7l4wRkHqqCUFNJY4AfY3kHU/edit?usp=sharing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0" s="7" t="s">
        <v>10</v>
      </c>
      <c r="H11540" s="7">
        <v>17659</v>
      </c>
      <c r="I11540" s="8" t="str">
        <f ca="1">IFERROR(__xludf.DUMMYFUNCTION("IF
(
G11541=""фізична особа""
,
VLOOKUP(H11541,IMPORTRANGE(""https://docs.google.com/spreadsheets/d/14Bd19lYaqBhU8_DElYkX7l4wRkHqqCUFNJY4AfY3kHU/edit?usp=sharing  #gid=0"",""фіз особи new!relations_name""),6,FALSE)
,
(IF
(
G11541=""юридична особа""
,
VLOO"&amp;"KUP(H11541,IMPORTRANGE(""https://docs.google.com/spreadsheets/d/14Bd19lYaqBhU8_DElYkX7l4wRkHqqCUFNJY4AfY3kHU/edit?usp=sharing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540" s="7" t="s">
        <v>23</v>
      </c>
    </row>
    <row r="11541" spans="1:10" ht="13.2">
      <c r="A11541" s="7">
        <v>11540</v>
      </c>
      <c r="B11541" s="7">
        <v>1</v>
      </c>
      <c r="C11541" s="7" t="s">
        <v>10</v>
      </c>
      <c r="D11541" s="7">
        <v>17664</v>
      </c>
      <c r="E11541" s="7" t="s">
        <v>23</v>
      </c>
      <c r="F11541" s="8" t="str">
        <f ca="1">IFERROR(__xludf.DUMMYFUNCTION("IF
(
C11542=""фізична особа""
,
VLOOKUP(D11542,IMPORTRANGE(""https://docs.google.com/spreadsheets/d/14Bd19lYaqBhU8_DElYkX7l4wRkHqqCUFNJY4AfY3kHU/edit?usp=sharing  #gid=0"",""фіз особи new!relations_name""),6,FALSE)
,
(IF
(
C11542=""юридична особа""
,
VLOO"&amp;"KUP(D11542,IMPORTRANGE(""https://docs.google.com/spreadsheets/d/14Bd19lYaqBhU8_DElYkX7l4wRkHqqCUFNJY4AfY3kHU/edit?usp=sharing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1" s="7" t="s">
        <v>10</v>
      </c>
      <c r="H11541" s="7">
        <v>17657</v>
      </c>
      <c r="I11541" s="8" t="str">
        <f ca="1">IFERROR(__xludf.DUMMYFUNCTION("IF
(
G11542=""фізична особа""
,
VLOOKUP(H11542,IMPORTRANGE(""https://docs.google.com/spreadsheets/d/14Bd19lYaqBhU8_DElYkX7l4wRkHqqCUFNJY4AfY3kHU/edit?usp=sharing  #gid=0"",""фіз особи new!relations_name""),6,FALSE)
,
(IF
(
G11542=""юридична особа""
,
VLOO"&amp;"KUP(H11542,IMPORTRANGE(""https://docs.google.com/spreadsheets/d/14Bd19lYaqBhU8_DElYkX7l4wRkHqqCUFNJY4AfY3kHU/edit?usp=sharing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541" s="7" t="s">
        <v>23</v>
      </c>
    </row>
    <row r="11542" spans="1:10" ht="13.2">
      <c r="A11542" s="7">
        <v>11541</v>
      </c>
      <c r="B11542" s="7">
        <v>1</v>
      </c>
      <c r="C11542" s="7" t="s">
        <v>10</v>
      </c>
      <c r="D11542" s="7">
        <v>17664</v>
      </c>
      <c r="E11542" s="7" t="s">
        <v>23</v>
      </c>
      <c r="F11542" s="8" t="str">
        <f ca="1">IFERROR(__xludf.DUMMYFUNCTION("IF
(
C11543=""фізична особа""
,
VLOOKUP(D11543,IMPORTRANGE(""https://docs.google.com/spreadsheets/d/14Bd19lYaqBhU8_DElYkX7l4wRkHqqCUFNJY4AfY3kHU/edit?usp=sharing  #gid=0"",""фіз особи new!relations_name""),6,FALSE)
,
(IF
(
C11543=""юридична особа""
,
VLOO"&amp;"KUP(D11543,IMPORTRANGE(""https://docs.google.com/spreadsheets/d/14Bd19lYaqBhU8_DElYkX7l4wRkHqqCUFNJY4AfY3kHU/edit?usp=sharing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2" s="7" t="s">
        <v>10</v>
      </c>
      <c r="H11542" s="7">
        <v>17655</v>
      </c>
      <c r="I11542" s="8" t="str">
        <f ca="1">IFERROR(__xludf.DUMMYFUNCTION("IF
(
G11543=""фізична особа""
,
VLOOKUP(H11543,IMPORTRANGE(""https://docs.google.com/spreadsheets/d/14Bd19lYaqBhU8_DElYkX7l4wRkHqqCUFNJY4AfY3kHU/edit?usp=sharing  #gid=0"",""фіз особи new!relations_name""),6,FALSE)
,
(IF
(
G11543=""юридична особа""
,
VLOO"&amp;"KUP(H11543,IMPORTRANGE(""https://docs.google.com/spreadsheets/d/14Bd19lYaqBhU8_DElYkX7l4wRkHqqCUFNJY4AfY3kHU/edit?usp=sharing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542" s="7" t="s">
        <v>23</v>
      </c>
    </row>
    <row r="11543" spans="1:10" ht="13.2">
      <c r="A11543" s="7">
        <v>11542</v>
      </c>
      <c r="B11543" s="7">
        <v>1</v>
      </c>
      <c r="C11543" s="7" t="s">
        <v>10</v>
      </c>
      <c r="D11543" s="7">
        <v>17664</v>
      </c>
      <c r="E11543" s="7" t="s">
        <v>23</v>
      </c>
      <c r="F11543" s="8" t="str">
        <f ca="1">IFERROR(__xludf.DUMMYFUNCTION("IF
(
C11544=""фізична особа""
,
VLOOKUP(D11544,IMPORTRANGE(""https://docs.google.com/spreadsheets/d/14Bd19lYaqBhU8_DElYkX7l4wRkHqqCUFNJY4AfY3kHU/edit?usp=sharing  #gid=0"",""фіз особи new!relations_name""),6,FALSE)
,
(IF
(
C11544=""юридична особа""
,
VLOO"&amp;"KUP(D11544,IMPORTRANGE(""https://docs.google.com/spreadsheets/d/14Bd19lYaqBhU8_DElYkX7l4wRkHqqCUFNJY4AfY3kHU/edit?usp=sharing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3" s="7" t="s">
        <v>10</v>
      </c>
      <c r="H11543" s="7">
        <v>17666</v>
      </c>
      <c r="I11543" s="8" t="str">
        <f ca="1">IFERROR(__xludf.DUMMYFUNCTION("IF
(
G11544=""фізична особа""
,
VLOOKUP(H11544,IMPORTRANGE(""https://docs.google.com/spreadsheets/d/14Bd19lYaqBhU8_DElYkX7l4wRkHqqCUFNJY4AfY3kHU/edit?usp=sharing  #gid=0"",""фіз особи new!relations_name""),6,FALSE)
,
(IF
(
G11544=""юридична особа""
,
VLOO"&amp;"KUP(H11544,IMPORTRANGE(""https://docs.google.com/spreadsheets/d/14Bd19lYaqBhU8_DElYkX7l4wRkHqqCUFNJY4AfY3kHU/edit?usp=sharing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543" s="7" t="s">
        <v>23</v>
      </c>
    </row>
    <row r="11544" spans="1:10" ht="13.2">
      <c r="A11544" s="7">
        <v>11543</v>
      </c>
      <c r="B11544" s="7">
        <v>1</v>
      </c>
      <c r="C11544" s="7" t="s">
        <v>10</v>
      </c>
      <c r="D11544" s="7">
        <v>17664</v>
      </c>
      <c r="E11544" s="7" t="s">
        <v>23</v>
      </c>
      <c r="F11544" s="8" t="str">
        <f ca="1">IFERROR(__xludf.DUMMYFUNCTION("IF
(
C11545=""фізична особа""
,
VLOOKUP(D11545,IMPORTRANGE(""https://docs.google.com/spreadsheets/d/14Bd19lYaqBhU8_DElYkX7l4wRkHqqCUFNJY4AfY3kHU/edit?usp=sharing  #gid=0"",""фіз особи new!relations_name""),6,FALSE)
,
(IF
(
C11545=""юридична особа""
,
VLOO"&amp;"KUP(D11545,IMPORTRANGE(""https://docs.google.com/spreadsheets/d/14Bd19lYaqBhU8_DElYkX7l4wRkHqqCUFNJY4AfY3kHU/edit?usp=sharing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4" s="7" t="s">
        <v>10</v>
      </c>
      <c r="H11544" s="7">
        <v>17663</v>
      </c>
      <c r="I11544" s="8" t="str">
        <f ca="1">IFERROR(__xludf.DUMMYFUNCTION("IF
(
G11545=""фізична особа""
,
VLOOKUP(H11545,IMPORTRANGE(""https://docs.google.com/spreadsheets/d/14Bd19lYaqBhU8_DElYkX7l4wRkHqqCUFNJY4AfY3kHU/edit?usp=sharing  #gid=0"",""фіз особи new!relations_name""),6,FALSE)
,
(IF
(
G11545=""юридична особа""
,
VLOO"&amp;"KUP(H11545,IMPORTRANGE(""https://docs.google.com/spreadsheets/d/14Bd19lYaqBhU8_DElYkX7l4wRkHqqCUFNJY4AfY3kHU/edit?usp=sharing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544" s="7" t="s">
        <v>23</v>
      </c>
    </row>
    <row r="11545" spans="1:10" ht="13.2">
      <c r="A11545" s="7">
        <v>11544</v>
      </c>
      <c r="B11545" s="7">
        <v>1</v>
      </c>
      <c r="C11545" s="7" t="s">
        <v>10</v>
      </c>
      <c r="D11545" s="7">
        <v>17664</v>
      </c>
      <c r="E11545" s="7" t="s">
        <v>23</v>
      </c>
      <c r="F11545" s="8" t="str">
        <f ca="1">IFERROR(__xludf.DUMMYFUNCTION("IF
(
C11546=""фізична особа""
,
VLOOKUP(D11546,IMPORTRANGE(""https://docs.google.com/spreadsheets/d/14Bd19lYaqBhU8_DElYkX7l4wRkHqqCUFNJY4AfY3kHU/edit?usp=sharing  #gid=0"",""фіз особи new!relations_name""),6,FALSE)
,
(IF
(
C11546=""юридична особа""
,
VLOO"&amp;"KUP(D11546,IMPORTRANGE(""https://docs.google.com/spreadsheets/d/14Bd19lYaqBhU8_DElYkX7l4wRkHqqCUFNJY4AfY3kHU/edit?usp=sharing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5" s="7" t="s">
        <v>10</v>
      </c>
      <c r="H11545" s="7">
        <v>17665</v>
      </c>
      <c r="I11545" s="8" t="str">
        <f ca="1">IFERROR(__xludf.DUMMYFUNCTION("IF
(
G11546=""фізична особа""
,
VLOOKUP(H11546,IMPORTRANGE(""https://docs.google.com/spreadsheets/d/14Bd19lYaqBhU8_DElYkX7l4wRkHqqCUFNJY4AfY3kHU/edit?usp=sharing  #gid=0"",""фіз особи new!relations_name""),6,FALSE)
,
(IF
(
G11546=""юридична особа""
,
VLOO"&amp;"KUP(H11546,IMPORTRANGE(""https://docs.google.com/spreadsheets/d/14Bd19lYaqBhU8_DElYkX7l4wRkHqqCUFNJY4AfY3kHU/edit?usp=sharing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545" s="7" t="s">
        <v>23</v>
      </c>
    </row>
    <row r="11546" spans="1:10" ht="13.2">
      <c r="A11546" s="7">
        <v>11545</v>
      </c>
      <c r="B11546" s="7">
        <v>1</v>
      </c>
      <c r="C11546" s="7" t="s">
        <v>10</v>
      </c>
      <c r="D11546" s="7">
        <v>17664</v>
      </c>
      <c r="E11546" s="7" t="s">
        <v>23</v>
      </c>
      <c r="F11546" s="8" t="str">
        <f ca="1">IFERROR(__xludf.DUMMYFUNCTION("IF
(
C11547=""фізична особа""
,
VLOOKUP(D11547,IMPORTRANGE(""https://docs.google.com/spreadsheets/d/14Bd19lYaqBhU8_DElYkX7l4wRkHqqCUFNJY4AfY3kHU/edit?usp=sharing  #gid=0"",""фіз особи new!relations_name""),6,FALSE)
,
(IF
(
C11547=""юридична особа""
,
VLOO"&amp;"KUP(D11547,IMPORTRANGE(""https://docs.google.com/spreadsheets/d/14Bd19lYaqBhU8_DElYkX7l4wRkHqqCUFNJY4AfY3kHU/edit?usp=sharing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6" s="7" t="s">
        <v>10</v>
      </c>
      <c r="H11546" s="7">
        <v>17660</v>
      </c>
      <c r="I11546" s="8" t="str">
        <f ca="1">IFERROR(__xludf.DUMMYFUNCTION("IF
(
G11547=""фізична особа""
,
VLOOKUP(H11547,IMPORTRANGE(""https://docs.google.com/spreadsheets/d/14Bd19lYaqBhU8_DElYkX7l4wRkHqqCUFNJY4AfY3kHU/edit?usp=sharing  #gid=0"",""фіз особи new!relations_name""),6,FALSE)
,
(IF
(
G11547=""юридична особа""
,
VLOO"&amp;"KUP(H11547,IMPORTRANGE(""https://docs.google.com/spreadsheets/d/14Bd19lYaqBhU8_DElYkX7l4wRkHqqCUFNJY4AfY3kHU/edit?usp=sharing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46" s="7" t="s">
        <v>23</v>
      </c>
    </row>
    <row r="11547" spans="1:10" ht="13.2">
      <c r="A11547" s="7">
        <v>11546</v>
      </c>
      <c r="B11547" s="7">
        <v>1</v>
      </c>
      <c r="C11547" s="7" t="s">
        <v>10</v>
      </c>
      <c r="D11547" s="7">
        <v>17664</v>
      </c>
      <c r="E11547" s="7" t="s">
        <v>23</v>
      </c>
      <c r="F11547" s="8" t="str">
        <f ca="1">IFERROR(__xludf.DUMMYFUNCTION("IF
(
C11548=""фізична особа""
,
VLOOKUP(D11548,IMPORTRANGE(""https://docs.google.com/spreadsheets/d/14Bd19lYaqBhU8_DElYkX7l4wRkHqqCUFNJY4AfY3kHU/edit?usp=sharing  #gid=0"",""фіз особи new!relations_name""),6,FALSE)
,
(IF
(
C11548=""юридична особа""
,
VLOO"&amp;"KUP(D11548,IMPORTRANGE(""https://docs.google.com/spreadsheets/d/14Bd19lYaqBhU8_DElYkX7l4wRkHqqCUFNJY4AfY3kHU/edit?usp=sharing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7" s="7" t="s">
        <v>10</v>
      </c>
      <c r="H11547" s="7">
        <v>17661</v>
      </c>
      <c r="I11547" s="8" t="str">
        <f ca="1">IFERROR(__xludf.DUMMYFUNCTION("IF
(
G11548=""фізична особа""
,
VLOOKUP(H11548,IMPORTRANGE(""https://docs.google.com/spreadsheets/d/14Bd19lYaqBhU8_DElYkX7l4wRkHqqCUFNJY4AfY3kHU/edit?usp=sharing  #gid=0"",""фіз особи new!relations_name""),6,FALSE)
,
(IF
(
G11548=""юридична особа""
,
VLOO"&amp;"KUP(H11548,IMPORTRANGE(""https://docs.google.com/spreadsheets/d/14Bd19lYaqBhU8_DElYkX7l4wRkHqqCUFNJY4AfY3kHU/edit?usp=sharing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547" s="7" t="s">
        <v>23</v>
      </c>
    </row>
    <row r="11548" spans="1:10" ht="13.2">
      <c r="A11548" s="7">
        <v>11547</v>
      </c>
      <c r="B11548" s="7">
        <v>1</v>
      </c>
      <c r="C11548" s="7" t="s">
        <v>10</v>
      </c>
      <c r="D11548" s="7">
        <v>17664</v>
      </c>
      <c r="E11548" s="7" t="s">
        <v>23</v>
      </c>
      <c r="F11548" s="8" t="str">
        <f ca="1">IFERROR(__xludf.DUMMYFUNCTION("IF
(
C11549=""фізична особа""
,
VLOOKUP(D11549,IMPORTRANGE(""https://docs.google.com/spreadsheets/d/14Bd19lYaqBhU8_DElYkX7l4wRkHqqCUFNJY4AfY3kHU/edit?usp=sharing  #gid=0"",""фіз особи new!relations_name""),6,FALSE)
,
(IF
(
C11549=""юридична особа""
,
VLOO"&amp;"KUP(D11549,IMPORTRANGE(""https://docs.google.com/spreadsheets/d/14Bd19lYaqBhU8_DElYkX7l4wRkHqqCUFNJY4AfY3kHU/edit?usp=sharing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8" s="7" t="s">
        <v>10</v>
      </c>
      <c r="H11548" s="7">
        <v>17654</v>
      </c>
      <c r="I11548" s="8" t="str">
        <f ca="1">IFERROR(__xludf.DUMMYFUNCTION("IF
(
G11549=""фізична особа""
,
VLOOKUP(H11549,IMPORTRANGE(""https://docs.google.com/spreadsheets/d/14Bd19lYaqBhU8_DElYkX7l4wRkHqqCUFNJY4AfY3kHU/edit?usp=sharing  #gid=0"",""фіз особи new!relations_name""),6,FALSE)
,
(IF
(
G11549=""юридична особа""
,
VLOO"&amp;"KUP(H11549,IMPORTRANGE(""https://docs.google.com/spreadsheets/d/14Bd19lYaqBhU8_DElYkX7l4wRkHqqCUFNJY4AfY3kHU/edit?usp=sharing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48" s="7" t="s">
        <v>23</v>
      </c>
    </row>
    <row r="11549" spans="1:10" ht="13.2">
      <c r="A11549" s="7">
        <v>11548</v>
      </c>
      <c r="B11549" s="7">
        <v>1</v>
      </c>
      <c r="C11549" s="7" t="s">
        <v>10</v>
      </c>
      <c r="D11549" s="7">
        <v>17664</v>
      </c>
      <c r="E11549" s="7" t="s">
        <v>23</v>
      </c>
      <c r="F11549" s="8" t="str">
        <f ca="1">IFERROR(__xludf.DUMMYFUNCTION("IF
(
C11550=""фізична особа""
,
VLOOKUP(D11550,IMPORTRANGE(""https://docs.google.com/spreadsheets/d/14Bd19lYaqBhU8_DElYkX7l4wRkHqqCUFNJY4AfY3kHU/edit?usp=sharing  #gid=0"",""фіз особи new!relations_name""),6,FALSE)
,
(IF
(
C11550=""юридична особа""
,
VLOO"&amp;"KUP(D11550,IMPORTRANGE(""https://docs.google.com/spreadsheets/d/14Bd19lYaqBhU8_DElYkX7l4wRkHqqCUFNJY4AfY3kHU/edit?usp=sharing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49" s="7" t="s">
        <v>10</v>
      </c>
      <c r="H11549" s="7">
        <v>17662</v>
      </c>
      <c r="I11549" s="8" t="str">
        <f ca="1">IFERROR(__xludf.DUMMYFUNCTION("IF
(
G11550=""фізична особа""
,
VLOOKUP(H11550,IMPORTRANGE(""https://docs.google.com/spreadsheets/d/14Bd19lYaqBhU8_DElYkX7l4wRkHqqCUFNJY4AfY3kHU/edit?usp=sharing  #gid=0"",""фіз особи new!relations_name""),6,FALSE)
,
(IF
(
G11550=""юридична особа""
,
VLOO"&amp;"KUP(H11550,IMPORTRANGE(""https://docs.google.com/spreadsheets/d/14Bd19lYaqBhU8_DElYkX7l4wRkHqqCUFNJY4AfY3kHU/edit?usp=sharing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549" s="7" t="s">
        <v>23</v>
      </c>
    </row>
    <row r="11550" spans="1:10" ht="13.2">
      <c r="A11550" s="7">
        <v>11549</v>
      </c>
      <c r="B11550" s="7">
        <v>1</v>
      </c>
      <c r="C11550" s="7" t="s">
        <v>10</v>
      </c>
      <c r="D11550" s="7">
        <v>17664</v>
      </c>
      <c r="E11550" s="7" t="s">
        <v>23</v>
      </c>
      <c r="F11550" s="8" t="str">
        <f ca="1">IFERROR(__xludf.DUMMYFUNCTION("IF
(
C11551=""фізична особа""
,
VLOOKUP(D11551,IMPORTRANGE(""https://docs.google.com/spreadsheets/d/14Bd19lYaqBhU8_DElYkX7l4wRkHqqCUFNJY4AfY3kHU/edit?usp=sharing  #gid=0"",""фіз особи new!relations_name""),6,FALSE)
,
(IF
(
C11551=""юридична особа""
,
VLOO"&amp;"KUP(D11551,IMPORTRANGE(""https://docs.google.com/spreadsheets/d/14Bd19lYaqBhU8_DElYkX7l4wRkHqqCUFNJY4AfY3kHU/edit?usp=sharing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G11550" s="7" t="s">
        <v>10</v>
      </c>
      <c r="H11550" s="7">
        <v>23631</v>
      </c>
      <c r="I11550" s="8" t="str">
        <f ca="1">IFERROR(__xludf.DUMMYFUNCTION("IF
(
G11551=""фізична особа""
,
VLOOKUP(H11551,IMPORTRANGE(""https://docs.google.com/spreadsheets/d/14Bd19lYaqBhU8_DElYkX7l4wRkHqqCUFNJY4AfY3kHU/edit?usp=sharing  #gid=0"",""фіз особи new!relations_name""),6,FALSE)
,
(IF
(
G11551=""юридична особа""
,
VLOO"&amp;"KUP(H11551,IMPORTRANGE(""https://docs.google.com/spreadsheets/d/14Bd19lYaqBhU8_DElYkX7l4wRkHqqCUFNJY4AfY3kHU/edit?usp=sharing  #gid=0"",""фіз особи new!relations_name_uo""),7,FALSE)
,
)
))"),"ЧЕТВЕРТНОЙ Олег Борисович")</f>
        <v>ЧЕТВЕРТНОЙ Олег Борисович</v>
      </c>
      <c r="J11550" s="7" t="s">
        <v>23</v>
      </c>
    </row>
    <row r="11551" spans="1:10" ht="13.2">
      <c r="A11551" s="7">
        <v>11550</v>
      </c>
      <c r="B11551" s="7">
        <v>1</v>
      </c>
      <c r="C11551" s="7" t="s">
        <v>10</v>
      </c>
      <c r="D11551" s="7">
        <v>17665</v>
      </c>
      <c r="E11551" s="7" t="s">
        <v>23</v>
      </c>
      <c r="F11551" s="8" t="str">
        <f ca="1">IFERROR(__xludf.DUMMYFUNCTION("IF
(
C11552=""фізична особа""
,
VLOOKUP(D11552,IMPORTRANGE(""https://docs.google.com/spreadsheets/d/14Bd19lYaqBhU8_DElYkX7l4wRkHqqCUFNJY4AfY3kHU/edit?usp=sharing  #gid=0"",""фіз особи new!relations_name""),6,FALSE)
,
(IF
(
C11552=""юридична особа""
,
VLOO"&amp;"KUP(D11552,IMPORTRANGE(""https://docs.google.com/spreadsheets/d/14Bd19lYaqBhU8_DElYkX7l4wRkHqqCUFNJY4AfY3kHU/edit?usp=sharing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1" s="7" t="s">
        <v>10</v>
      </c>
      <c r="H11551" s="7">
        <v>17656</v>
      </c>
      <c r="I11551" s="8" t="str">
        <f ca="1">IFERROR(__xludf.DUMMYFUNCTION("IF
(
G11552=""фізична особа""
,
VLOOKUP(H11552,IMPORTRANGE(""https://docs.google.com/spreadsheets/d/14Bd19lYaqBhU8_DElYkX7l4wRkHqqCUFNJY4AfY3kHU/edit?usp=sharing  #gid=0"",""фіз особи new!relations_name""),6,FALSE)
,
(IF
(
G11552=""юридична особа""
,
VLOO"&amp;"KUP(H11552,IMPORTRANGE(""https://docs.google.com/spreadsheets/d/14Bd19lYaqBhU8_DElYkX7l4wRkHqqCUFNJY4AfY3kHU/edit?usp=sharing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551" s="7" t="s">
        <v>23</v>
      </c>
    </row>
    <row r="11552" spans="1:10" ht="13.2">
      <c r="A11552" s="7">
        <v>11551</v>
      </c>
      <c r="B11552" s="7">
        <v>1</v>
      </c>
      <c r="C11552" s="7" t="s">
        <v>10</v>
      </c>
      <c r="D11552" s="7">
        <v>17665</v>
      </c>
      <c r="E11552" s="7" t="s">
        <v>23</v>
      </c>
      <c r="F11552" s="8" t="str">
        <f ca="1">IFERROR(__xludf.DUMMYFUNCTION("IF
(
C11553=""фізична особа""
,
VLOOKUP(D11553,IMPORTRANGE(""https://docs.google.com/spreadsheets/d/14Bd19lYaqBhU8_DElYkX7l4wRkHqqCUFNJY4AfY3kHU/edit?usp=sharing  #gid=0"",""фіз особи new!relations_name""),6,FALSE)
,
(IF
(
C11553=""юридична особа""
,
VLOO"&amp;"KUP(D11553,IMPORTRANGE(""https://docs.google.com/spreadsheets/d/14Bd19lYaqBhU8_DElYkX7l4wRkHqqCUFNJY4AfY3kHU/edit?usp=sharing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2" s="7" t="s">
        <v>10</v>
      </c>
      <c r="H11552" s="7">
        <v>17658</v>
      </c>
      <c r="I11552" s="8" t="str">
        <f ca="1">IFERROR(__xludf.DUMMYFUNCTION("IF
(
G11553=""фізична особа""
,
VLOOKUP(H11553,IMPORTRANGE(""https://docs.google.com/spreadsheets/d/14Bd19lYaqBhU8_DElYkX7l4wRkHqqCUFNJY4AfY3kHU/edit?usp=sharing  #gid=0"",""фіз особи new!relations_name""),6,FALSE)
,
(IF
(
G11553=""юридична особа""
,
VLOO"&amp;"KUP(H11553,IMPORTRANGE(""https://docs.google.com/spreadsheets/d/14Bd19lYaqBhU8_DElYkX7l4wRkHqqCUFNJY4AfY3kHU/edit?usp=sharing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552" s="7" t="s">
        <v>23</v>
      </c>
    </row>
    <row r="11553" spans="1:10" ht="13.2">
      <c r="A11553" s="7">
        <v>11552</v>
      </c>
      <c r="B11553" s="7">
        <v>1</v>
      </c>
      <c r="C11553" s="7" t="s">
        <v>10</v>
      </c>
      <c r="D11553" s="7">
        <v>17665</v>
      </c>
      <c r="E11553" s="7" t="s">
        <v>23</v>
      </c>
      <c r="F11553" s="8" t="str">
        <f ca="1">IFERROR(__xludf.DUMMYFUNCTION("IF
(
C11554=""фізична особа""
,
VLOOKUP(D11554,IMPORTRANGE(""https://docs.google.com/spreadsheets/d/14Bd19lYaqBhU8_DElYkX7l4wRkHqqCUFNJY4AfY3kHU/edit?usp=sharing  #gid=0"",""фіз особи new!relations_name""),6,FALSE)
,
(IF
(
C11554=""юридична особа""
,
VLOO"&amp;"KUP(D11554,IMPORTRANGE(""https://docs.google.com/spreadsheets/d/14Bd19lYaqBhU8_DElYkX7l4wRkHqqCUFNJY4AfY3kHU/edit?usp=sharing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3" s="7" t="s">
        <v>10</v>
      </c>
      <c r="H11553" s="7">
        <v>17659</v>
      </c>
      <c r="I11553" s="8" t="str">
        <f ca="1">IFERROR(__xludf.DUMMYFUNCTION("IF
(
G11554=""фізична особа""
,
VLOOKUP(H11554,IMPORTRANGE(""https://docs.google.com/spreadsheets/d/14Bd19lYaqBhU8_DElYkX7l4wRkHqqCUFNJY4AfY3kHU/edit?usp=sharing  #gid=0"",""фіз особи new!relations_name""),6,FALSE)
,
(IF
(
G11554=""юридична особа""
,
VLOO"&amp;"KUP(H11554,IMPORTRANGE(""https://docs.google.com/spreadsheets/d/14Bd19lYaqBhU8_DElYkX7l4wRkHqqCUFNJY4AfY3kHU/edit?usp=sharing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553" s="7" t="s">
        <v>23</v>
      </c>
    </row>
    <row r="11554" spans="1:10" ht="13.2">
      <c r="A11554" s="7">
        <v>11553</v>
      </c>
      <c r="B11554" s="7">
        <v>1</v>
      </c>
      <c r="C11554" s="7" t="s">
        <v>10</v>
      </c>
      <c r="D11554" s="7">
        <v>17665</v>
      </c>
      <c r="E11554" s="7" t="s">
        <v>23</v>
      </c>
      <c r="F11554" s="8" t="str">
        <f ca="1">IFERROR(__xludf.DUMMYFUNCTION("IF
(
C11555=""фізична особа""
,
VLOOKUP(D11555,IMPORTRANGE(""https://docs.google.com/spreadsheets/d/14Bd19lYaqBhU8_DElYkX7l4wRkHqqCUFNJY4AfY3kHU/edit?usp=sharing  #gid=0"",""фіз особи new!relations_name""),6,FALSE)
,
(IF
(
C11555=""юридична особа""
,
VLOO"&amp;"KUP(D11555,IMPORTRANGE(""https://docs.google.com/spreadsheets/d/14Bd19lYaqBhU8_DElYkX7l4wRkHqqCUFNJY4AfY3kHU/edit?usp=sharing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4" s="7" t="s">
        <v>10</v>
      </c>
      <c r="H11554" s="7">
        <v>17657</v>
      </c>
      <c r="I11554" s="8" t="str">
        <f ca="1">IFERROR(__xludf.DUMMYFUNCTION("IF
(
G11555=""фізична особа""
,
VLOOKUP(H11555,IMPORTRANGE(""https://docs.google.com/spreadsheets/d/14Bd19lYaqBhU8_DElYkX7l4wRkHqqCUFNJY4AfY3kHU/edit?usp=sharing  #gid=0"",""фіз особи new!relations_name""),6,FALSE)
,
(IF
(
G11555=""юридична особа""
,
VLOO"&amp;"KUP(H11555,IMPORTRANGE(""https://docs.google.com/spreadsheets/d/14Bd19lYaqBhU8_DElYkX7l4wRkHqqCUFNJY4AfY3kHU/edit?usp=sharing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554" s="7" t="s">
        <v>23</v>
      </c>
    </row>
    <row r="11555" spans="1:10" ht="13.2">
      <c r="A11555" s="7">
        <v>11554</v>
      </c>
      <c r="B11555" s="7">
        <v>1</v>
      </c>
      <c r="C11555" s="7" t="s">
        <v>10</v>
      </c>
      <c r="D11555" s="7">
        <v>17665</v>
      </c>
      <c r="E11555" s="7" t="s">
        <v>23</v>
      </c>
      <c r="F11555" s="8" t="str">
        <f ca="1">IFERROR(__xludf.DUMMYFUNCTION("IF
(
C11556=""фізична особа""
,
VLOOKUP(D11556,IMPORTRANGE(""https://docs.google.com/spreadsheets/d/14Bd19lYaqBhU8_DElYkX7l4wRkHqqCUFNJY4AfY3kHU/edit?usp=sharing  #gid=0"",""фіз особи new!relations_name""),6,FALSE)
,
(IF
(
C11556=""юридична особа""
,
VLOO"&amp;"KUP(D11556,IMPORTRANGE(""https://docs.google.com/spreadsheets/d/14Bd19lYaqBhU8_DElYkX7l4wRkHqqCUFNJY4AfY3kHU/edit?usp=sharing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5" s="7" t="s">
        <v>10</v>
      </c>
      <c r="H11555" s="7">
        <v>17655</v>
      </c>
      <c r="I11555" s="8" t="str">
        <f ca="1">IFERROR(__xludf.DUMMYFUNCTION("IF
(
G11556=""фізична особа""
,
VLOOKUP(H11556,IMPORTRANGE(""https://docs.google.com/spreadsheets/d/14Bd19lYaqBhU8_DElYkX7l4wRkHqqCUFNJY4AfY3kHU/edit?usp=sharing  #gid=0"",""фіз особи new!relations_name""),6,FALSE)
,
(IF
(
G11556=""юридична особа""
,
VLOO"&amp;"KUP(H11556,IMPORTRANGE(""https://docs.google.com/spreadsheets/d/14Bd19lYaqBhU8_DElYkX7l4wRkHqqCUFNJY4AfY3kHU/edit?usp=sharing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555" s="7" t="s">
        <v>23</v>
      </c>
    </row>
    <row r="11556" spans="1:10" ht="13.2">
      <c r="A11556" s="7">
        <v>11555</v>
      </c>
      <c r="B11556" s="7">
        <v>1</v>
      </c>
      <c r="C11556" s="7" t="s">
        <v>10</v>
      </c>
      <c r="D11556" s="7">
        <v>17665</v>
      </c>
      <c r="E11556" s="7" t="s">
        <v>23</v>
      </c>
      <c r="F11556" s="8" t="str">
        <f ca="1">IFERROR(__xludf.DUMMYFUNCTION("IF
(
C11557=""фізична особа""
,
VLOOKUP(D11557,IMPORTRANGE(""https://docs.google.com/spreadsheets/d/14Bd19lYaqBhU8_DElYkX7l4wRkHqqCUFNJY4AfY3kHU/edit?usp=sharing  #gid=0"",""фіз особи new!relations_name""),6,FALSE)
,
(IF
(
C11557=""юридична особа""
,
VLOO"&amp;"KUP(D11557,IMPORTRANGE(""https://docs.google.com/spreadsheets/d/14Bd19lYaqBhU8_DElYkX7l4wRkHqqCUFNJY4AfY3kHU/edit?usp=sharing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6" s="7" t="s">
        <v>10</v>
      </c>
      <c r="H11556" s="7">
        <v>17666</v>
      </c>
      <c r="I11556" s="8" t="str">
        <f ca="1">IFERROR(__xludf.DUMMYFUNCTION("IF
(
G11557=""фізична особа""
,
VLOOKUP(H11557,IMPORTRANGE(""https://docs.google.com/spreadsheets/d/14Bd19lYaqBhU8_DElYkX7l4wRkHqqCUFNJY4AfY3kHU/edit?usp=sharing  #gid=0"",""фіз особи new!relations_name""),6,FALSE)
,
(IF
(
G11557=""юридична особа""
,
VLOO"&amp;"KUP(H11557,IMPORTRANGE(""https://docs.google.com/spreadsheets/d/14Bd19lYaqBhU8_DElYkX7l4wRkHqqCUFNJY4AfY3kHU/edit?usp=sharing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J11556" s="7" t="s">
        <v>23</v>
      </c>
    </row>
    <row r="11557" spans="1:10" ht="13.2">
      <c r="A11557" s="7">
        <v>11556</v>
      </c>
      <c r="B11557" s="7">
        <v>1</v>
      </c>
      <c r="C11557" s="7" t="s">
        <v>10</v>
      </c>
      <c r="D11557" s="7">
        <v>17665</v>
      </c>
      <c r="E11557" s="7" t="s">
        <v>23</v>
      </c>
      <c r="F11557" s="8" t="str">
        <f ca="1">IFERROR(__xludf.DUMMYFUNCTION("IF
(
C11558=""фізична особа""
,
VLOOKUP(D11558,IMPORTRANGE(""https://docs.google.com/spreadsheets/d/14Bd19lYaqBhU8_DElYkX7l4wRkHqqCUFNJY4AfY3kHU/edit?usp=sharing  #gid=0"",""фіз особи new!relations_name""),6,FALSE)
,
(IF
(
C11558=""юридична особа""
,
VLOO"&amp;"KUP(D11558,IMPORTRANGE(""https://docs.google.com/spreadsheets/d/14Bd19lYaqBhU8_DElYkX7l4wRkHqqCUFNJY4AfY3kHU/edit?usp=sharing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7" s="7" t="s">
        <v>10</v>
      </c>
      <c r="H11557" s="7">
        <v>17663</v>
      </c>
      <c r="I11557" s="8" t="str">
        <f ca="1">IFERROR(__xludf.DUMMYFUNCTION("IF
(
G11558=""фізична особа""
,
VLOOKUP(H11558,IMPORTRANGE(""https://docs.google.com/spreadsheets/d/14Bd19lYaqBhU8_DElYkX7l4wRkHqqCUFNJY4AfY3kHU/edit?usp=sharing  #gid=0"",""фіз особи new!relations_name""),6,FALSE)
,
(IF
(
G11558=""юридична особа""
,
VLOO"&amp;"KUP(H11558,IMPORTRANGE(""https://docs.google.com/spreadsheets/d/14Bd19lYaqBhU8_DElYkX7l4wRkHqqCUFNJY4AfY3kHU/edit?usp=sharing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557" s="7" t="s">
        <v>23</v>
      </c>
    </row>
    <row r="11558" spans="1:10" ht="13.2">
      <c r="A11558" s="7">
        <v>11557</v>
      </c>
      <c r="B11558" s="7">
        <v>1</v>
      </c>
      <c r="C11558" s="7" t="s">
        <v>10</v>
      </c>
      <c r="D11558" s="7">
        <v>17665</v>
      </c>
      <c r="E11558" s="7" t="s">
        <v>23</v>
      </c>
      <c r="F11558" s="8" t="str">
        <f ca="1">IFERROR(__xludf.DUMMYFUNCTION("IF
(
C11559=""фізична особа""
,
VLOOKUP(D11559,IMPORTRANGE(""https://docs.google.com/spreadsheets/d/14Bd19lYaqBhU8_DElYkX7l4wRkHqqCUFNJY4AfY3kHU/edit?usp=sharing  #gid=0"",""фіз особи new!relations_name""),6,FALSE)
,
(IF
(
C11559=""юридична особа""
,
VLOO"&amp;"KUP(D11559,IMPORTRANGE(""https://docs.google.com/spreadsheets/d/14Bd19lYaqBhU8_DElYkX7l4wRkHqqCUFNJY4AfY3kHU/edit?usp=sharing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8" s="7" t="s">
        <v>10</v>
      </c>
      <c r="H11558" s="7">
        <v>17664</v>
      </c>
      <c r="I11558" s="8" t="str">
        <f ca="1">IFERROR(__xludf.DUMMYFUNCTION("IF
(
G11559=""фізична особа""
,
VLOOKUP(H11559,IMPORTRANGE(""https://docs.google.com/spreadsheets/d/14Bd19lYaqBhU8_DElYkX7l4wRkHqqCUFNJY4AfY3kHU/edit?usp=sharing  #gid=0"",""фіз особи new!relations_name""),6,FALSE)
,
(IF
(
G11559=""юридична особа""
,
VLOO"&amp;"KUP(H11559,IMPORTRANGE(""https://docs.google.com/spreadsheets/d/14Bd19lYaqBhU8_DElYkX7l4wRkHqqCUFNJY4AfY3kHU/edit?usp=sharing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558" s="7" t="s">
        <v>23</v>
      </c>
    </row>
    <row r="11559" spans="1:10" ht="13.2">
      <c r="A11559" s="7">
        <v>11558</v>
      </c>
      <c r="B11559" s="7">
        <v>1</v>
      </c>
      <c r="C11559" s="7" t="s">
        <v>10</v>
      </c>
      <c r="D11559" s="7">
        <v>17665</v>
      </c>
      <c r="E11559" s="7" t="s">
        <v>23</v>
      </c>
      <c r="F11559" s="8" t="str">
        <f ca="1">IFERROR(__xludf.DUMMYFUNCTION("IF
(
C11560=""фізична особа""
,
VLOOKUP(D11560,IMPORTRANGE(""https://docs.google.com/spreadsheets/d/14Bd19lYaqBhU8_DElYkX7l4wRkHqqCUFNJY4AfY3kHU/edit?usp=sharing  #gid=0"",""фіз особи new!relations_name""),6,FALSE)
,
(IF
(
C11560=""юридична особа""
,
VLOO"&amp;"KUP(D11560,IMPORTRANGE(""https://docs.google.com/spreadsheets/d/14Bd19lYaqBhU8_DElYkX7l4wRkHqqCUFNJY4AfY3kHU/edit?usp=sharing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59" s="7" t="s">
        <v>10</v>
      </c>
      <c r="H11559" s="7">
        <v>17660</v>
      </c>
      <c r="I11559" s="8" t="str">
        <f ca="1">IFERROR(__xludf.DUMMYFUNCTION("IF
(
G11560=""фізична особа""
,
VLOOKUP(H11560,IMPORTRANGE(""https://docs.google.com/spreadsheets/d/14Bd19lYaqBhU8_DElYkX7l4wRkHqqCUFNJY4AfY3kHU/edit?usp=sharing  #gid=0"",""фіз особи new!relations_name""),6,FALSE)
,
(IF
(
G11560=""юридична особа""
,
VLOO"&amp;"KUP(H11560,IMPORTRANGE(""https://docs.google.com/spreadsheets/d/14Bd19lYaqBhU8_DElYkX7l4wRkHqqCUFNJY4AfY3kHU/edit?usp=sharing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59" s="7" t="s">
        <v>23</v>
      </c>
    </row>
    <row r="11560" spans="1:10" ht="13.2">
      <c r="A11560" s="7">
        <v>11559</v>
      </c>
      <c r="B11560" s="7">
        <v>1</v>
      </c>
      <c r="C11560" s="7" t="s">
        <v>10</v>
      </c>
      <c r="D11560" s="7">
        <v>17665</v>
      </c>
      <c r="E11560" s="7" t="s">
        <v>23</v>
      </c>
      <c r="F11560" s="8" t="str">
        <f ca="1">IFERROR(__xludf.DUMMYFUNCTION("IF
(
C11561=""фізична особа""
,
VLOOKUP(D11561,IMPORTRANGE(""https://docs.google.com/spreadsheets/d/14Bd19lYaqBhU8_DElYkX7l4wRkHqqCUFNJY4AfY3kHU/edit?usp=sharing  #gid=0"",""фіз особи new!relations_name""),6,FALSE)
,
(IF
(
C11561=""юридична особа""
,
VLOO"&amp;"KUP(D11561,IMPORTRANGE(""https://docs.google.com/spreadsheets/d/14Bd19lYaqBhU8_DElYkX7l4wRkHqqCUFNJY4AfY3kHU/edit?usp=sharing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60" s="7" t="s">
        <v>10</v>
      </c>
      <c r="H11560" s="7">
        <v>17661</v>
      </c>
      <c r="I11560" s="8" t="str">
        <f ca="1">IFERROR(__xludf.DUMMYFUNCTION("IF
(
G11561=""фізична особа""
,
VLOOKUP(H11561,IMPORTRANGE(""https://docs.google.com/spreadsheets/d/14Bd19lYaqBhU8_DElYkX7l4wRkHqqCUFNJY4AfY3kHU/edit?usp=sharing  #gid=0"",""фіз особи new!relations_name""),6,FALSE)
,
(IF
(
G11561=""юридична особа""
,
VLOO"&amp;"KUP(H11561,IMPORTRANGE(""https://docs.google.com/spreadsheets/d/14Bd19lYaqBhU8_DElYkX7l4wRkHqqCUFNJY4AfY3kHU/edit?usp=sharing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560" s="7" t="s">
        <v>23</v>
      </c>
    </row>
    <row r="11561" spans="1:10" ht="13.2">
      <c r="A11561" s="7">
        <v>11560</v>
      </c>
      <c r="B11561" s="7">
        <v>1</v>
      </c>
      <c r="C11561" s="7" t="s">
        <v>10</v>
      </c>
      <c r="D11561" s="7">
        <v>17665</v>
      </c>
      <c r="E11561" s="7" t="s">
        <v>23</v>
      </c>
      <c r="F11561" s="8" t="str">
        <f ca="1">IFERROR(__xludf.DUMMYFUNCTION("IF
(
C11562=""фізична особа""
,
VLOOKUP(D11562,IMPORTRANGE(""https://docs.google.com/spreadsheets/d/14Bd19lYaqBhU8_DElYkX7l4wRkHqqCUFNJY4AfY3kHU/edit?usp=sharing  #gid=0"",""фіз особи new!relations_name""),6,FALSE)
,
(IF
(
C11562=""юридична особа""
,
VLOO"&amp;"KUP(D11562,IMPORTRANGE(""https://docs.google.com/spreadsheets/d/14Bd19lYaqBhU8_DElYkX7l4wRkHqqCUFNJY4AfY3kHU/edit?usp=sharing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61" s="7" t="s">
        <v>10</v>
      </c>
      <c r="H11561" s="7">
        <v>17654</v>
      </c>
      <c r="I11561" s="8" t="str">
        <f ca="1">IFERROR(__xludf.DUMMYFUNCTION("IF
(
G11562=""фізична особа""
,
VLOOKUP(H11562,IMPORTRANGE(""https://docs.google.com/spreadsheets/d/14Bd19lYaqBhU8_DElYkX7l4wRkHqqCUFNJY4AfY3kHU/edit?usp=sharing  #gid=0"",""фіз особи new!relations_name""),6,FALSE)
,
(IF
(
G11562=""юридична особа""
,
VLOO"&amp;"KUP(H11562,IMPORTRANGE(""https://docs.google.com/spreadsheets/d/14Bd19lYaqBhU8_DElYkX7l4wRkHqqCUFNJY4AfY3kHU/edit?usp=sharing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61" s="7" t="s">
        <v>23</v>
      </c>
    </row>
    <row r="11562" spans="1:10" ht="13.2">
      <c r="A11562" s="7">
        <v>11561</v>
      </c>
      <c r="B11562" s="7">
        <v>1</v>
      </c>
      <c r="C11562" s="7" t="s">
        <v>10</v>
      </c>
      <c r="D11562" s="7">
        <v>17665</v>
      </c>
      <c r="E11562" s="7" t="s">
        <v>23</v>
      </c>
      <c r="F11562" s="8" t="str">
        <f ca="1">IFERROR(__xludf.DUMMYFUNCTION("IF
(
C11563=""фізична особа""
,
VLOOKUP(D11563,IMPORTRANGE(""https://docs.google.com/spreadsheets/d/14Bd19lYaqBhU8_DElYkX7l4wRkHqqCUFNJY4AfY3kHU/edit?usp=sharing  #gid=0"",""фіз особи new!relations_name""),6,FALSE)
,
(IF
(
C11563=""юридична особа""
,
VLOO"&amp;"KUP(D11563,IMPORTRANGE(""https://docs.google.com/spreadsheets/d/14Bd19lYaqBhU8_DElYkX7l4wRkHqqCUFNJY4AfY3kHU/edit?usp=sharing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62" s="7" t="s">
        <v>10</v>
      </c>
      <c r="H11562" s="7">
        <v>17662</v>
      </c>
      <c r="I11562" s="8" t="str">
        <f ca="1">IFERROR(__xludf.DUMMYFUNCTION("IF
(
G11563=""фізична особа""
,
VLOOKUP(H11563,IMPORTRANGE(""https://docs.google.com/spreadsheets/d/14Bd19lYaqBhU8_DElYkX7l4wRkHqqCUFNJY4AfY3kHU/edit?usp=sharing  #gid=0"",""фіз особи new!relations_name""),6,FALSE)
,
(IF
(
G11563=""юридична особа""
,
VLOO"&amp;"KUP(H11563,IMPORTRANGE(""https://docs.google.com/spreadsheets/d/14Bd19lYaqBhU8_DElYkX7l4wRkHqqCUFNJY4AfY3kHU/edit?usp=sharing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562" s="7" t="s">
        <v>23</v>
      </c>
    </row>
    <row r="11563" spans="1:10" ht="13.2">
      <c r="A11563" s="7">
        <v>11562</v>
      </c>
      <c r="B11563" s="7">
        <v>1</v>
      </c>
      <c r="C11563" s="7" t="s">
        <v>10</v>
      </c>
      <c r="D11563" s="7">
        <v>17665</v>
      </c>
      <c r="E11563" s="7" t="s">
        <v>23</v>
      </c>
      <c r="F11563" s="8" t="str">
        <f ca="1">IFERROR(__xludf.DUMMYFUNCTION("IF
(
C11564=""фізична особа""
,
VLOOKUP(D11564,IMPORTRANGE(""https://docs.google.com/spreadsheets/d/14Bd19lYaqBhU8_DElYkX7l4wRkHqqCUFNJY4AfY3kHU/edit?usp=sharing  #gid=0"",""фіз особи new!relations_name""),6,FALSE)
,
(IF
(
C11564=""юридична особа""
,
VLOO"&amp;"KUP(D11564,IMPORTRANGE(""https://docs.google.com/spreadsheets/d/14Bd19lYaqBhU8_DElYkX7l4wRkHqqCUFNJY4AfY3kHU/edit?usp=sharing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G11563" s="7" t="s">
        <v>10</v>
      </c>
      <c r="H11563" s="7">
        <v>23632</v>
      </c>
      <c r="I11563" s="8" t="str">
        <f ca="1">IFERROR(__xludf.DUMMYFUNCTION("IF
(
G11564=""фізична особа""
,
VLOOKUP(H11564,IMPORTRANGE(""https://docs.google.com/spreadsheets/d/14Bd19lYaqBhU8_DElYkX7l4wRkHqqCUFNJY4AfY3kHU/edit?usp=sharing  #gid=0"",""фіз особи new!relations_name""),6,FALSE)
,
(IF
(
G11564=""юридична особа""
,
VLOO"&amp;"KUP(H11564,IMPORTRANGE(""https://docs.google.com/spreadsheets/d/14Bd19lYaqBhU8_DElYkX7l4wRkHqqCUFNJY4AfY3kHU/edit?usp=sharing  #gid=0"",""фіз особи new!relations_name_uo""),7,FALSE)
,
)
))"),"ЮРОВ Степан Вікторович")</f>
        <v>ЮРОВ Степан Вікторович</v>
      </c>
      <c r="J11563" s="7" t="s">
        <v>23</v>
      </c>
    </row>
    <row r="11564" spans="1:10" ht="13.2">
      <c r="A11564" s="7">
        <v>11563</v>
      </c>
      <c r="B11564" s="7">
        <v>1</v>
      </c>
      <c r="C11564" s="7" t="s">
        <v>10</v>
      </c>
      <c r="D11564" s="7">
        <v>17666</v>
      </c>
      <c r="E11564" s="7" t="s">
        <v>23</v>
      </c>
      <c r="F11564" s="8" t="str">
        <f ca="1">IFERROR(__xludf.DUMMYFUNCTION("IF
(
C11565=""фізична особа""
,
VLOOKUP(D11565,IMPORTRANGE(""https://docs.google.com/spreadsheets/d/14Bd19lYaqBhU8_DElYkX7l4wRkHqqCUFNJY4AfY3kHU/edit?usp=sharing  #gid=0"",""фіз особи new!relations_name""),6,FALSE)
,
(IF
(
C11565=""юридична особа""
,
VLOO"&amp;"KUP(D11565,IMPORTRANGE(""https://docs.google.com/spreadsheets/d/14Bd19lYaqBhU8_DElYkX7l4wRkHqqCUFNJY4AfY3kHU/edit?usp=sharing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4" s="7" t="s">
        <v>10</v>
      </c>
      <c r="H11564" s="7">
        <v>17656</v>
      </c>
      <c r="I11564" s="8" t="str">
        <f ca="1">IFERROR(__xludf.DUMMYFUNCTION("IF
(
G11565=""фізична особа""
,
VLOOKUP(H11565,IMPORTRANGE(""https://docs.google.com/spreadsheets/d/14Bd19lYaqBhU8_DElYkX7l4wRkHqqCUFNJY4AfY3kHU/edit?usp=sharing  #gid=0"",""фіз особи new!relations_name""),6,FALSE)
,
(IF
(
G11565=""юридична особа""
,
VLOO"&amp;"KUP(H11565,IMPORTRANGE(""https://docs.google.com/spreadsheets/d/14Bd19lYaqBhU8_DElYkX7l4wRkHqqCUFNJY4AfY3kHU/edit?usp=sharing  #gid=0"",""фіз особи new!relations_name_uo""),7,FALSE)
,
)
))"),"САЄВИЧ Олег Леонідович")</f>
        <v>САЄВИЧ Олег Леонідович</v>
      </c>
      <c r="J11564" s="7" t="s">
        <v>23</v>
      </c>
    </row>
    <row r="11565" spans="1:10" ht="13.2">
      <c r="A11565" s="7">
        <v>11564</v>
      </c>
      <c r="B11565" s="7">
        <v>1</v>
      </c>
      <c r="C11565" s="7" t="s">
        <v>10</v>
      </c>
      <c r="D11565" s="7">
        <v>17666</v>
      </c>
      <c r="E11565" s="7" t="s">
        <v>23</v>
      </c>
      <c r="F11565" s="8" t="str">
        <f ca="1">IFERROR(__xludf.DUMMYFUNCTION("IF
(
C11566=""фізична особа""
,
VLOOKUP(D11566,IMPORTRANGE(""https://docs.google.com/spreadsheets/d/14Bd19lYaqBhU8_DElYkX7l4wRkHqqCUFNJY4AfY3kHU/edit?usp=sharing  #gid=0"",""фіз особи new!relations_name""),6,FALSE)
,
(IF
(
C11566=""юридична особа""
,
VLOO"&amp;"KUP(D11566,IMPORTRANGE(""https://docs.google.com/spreadsheets/d/14Bd19lYaqBhU8_DElYkX7l4wRkHqqCUFNJY4AfY3kHU/edit?usp=sharing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5" s="7" t="s">
        <v>10</v>
      </c>
      <c r="H11565" s="7">
        <v>17658</v>
      </c>
      <c r="I11565" s="8" t="str">
        <f ca="1">IFERROR(__xludf.DUMMYFUNCTION("IF
(
G11566=""фізична особа""
,
VLOOKUP(H11566,IMPORTRANGE(""https://docs.google.com/spreadsheets/d/14Bd19lYaqBhU8_DElYkX7l4wRkHqqCUFNJY4AfY3kHU/edit?usp=sharing  #gid=0"",""фіз особи new!relations_name""),6,FALSE)
,
(IF
(
G11566=""юридична особа""
,
VLOO"&amp;"KUP(H11566,IMPORTRANGE(""https://docs.google.com/spreadsheets/d/14Bd19lYaqBhU8_DElYkX7l4wRkHqqCUFNJY4AfY3kHU/edit?usp=sharing  #gid=0"",""фіз особи new!relations_name_uo""),7,FALSE)
,
)
))"),"ФУРАШОВ Володимир Сергійович")</f>
        <v>ФУРАШОВ Володимир Сергійович</v>
      </c>
      <c r="J11565" s="7" t="s">
        <v>23</v>
      </c>
    </row>
    <row r="11566" spans="1:10" ht="13.2">
      <c r="A11566" s="7">
        <v>11565</v>
      </c>
      <c r="B11566" s="7">
        <v>1</v>
      </c>
      <c r="C11566" s="7" t="s">
        <v>10</v>
      </c>
      <c r="D11566" s="7">
        <v>17666</v>
      </c>
      <c r="E11566" s="7" t="s">
        <v>23</v>
      </c>
      <c r="F11566" s="8" t="str">
        <f ca="1">IFERROR(__xludf.DUMMYFUNCTION("IF
(
C11567=""фізична особа""
,
VLOOKUP(D11567,IMPORTRANGE(""https://docs.google.com/spreadsheets/d/14Bd19lYaqBhU8_DElYkX7l4wRkHqqCUFNJY4AfY3kHU/edit?usp=sharing  #gid=0"",""фіз особи new!relations_name""),6,FALSE)
,
(IF
(
C11567=""юридична особа""
,
VLOO"&amp;"KUP(D11567,IMPORTRANGE(""https://docs.google.com/spreadsheets/d/14Bd19lYaqBhU8_DElYkX7l4wRkHqqCUFNJY4AfY3kHU/edit?usp=sharing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6" s="7" t="s">
        <v>10</v>
      </c>
      <c r="H11566" s="7">
        <v>17659</v>
      </c>
      <c r="I11566" s="8" t="str">
        <f ca="1">IFERROR(__xludf.DUMMYFUNCTION("IF
(
G11567=""фізична особа""
,
VLOOKUP(H11567,IMPORTRANGE(""https://docs.google.com/spreadsheets/d/14Bd19lYaqBhU8_DElYkX7l4wRkHqqCUFNJY4AfY3kHU/edit?usp=sharing  #gid=0"",""фіз особи new!relations_name""),6,FALSE)
,
(IF
(
G11567=""юридична особа""
,
VLOO"&amp;"KUP(H11567,IMPORTRANGE(""https://docs.google.com/spreadsheets/d/14Bd19lYaqBhU8_DElYkX7l4wRkHqqCUFNJY4AfY3kHU/edit?usp=sharing  #gid=0"",""фіз особи new!relations_name_uo""),7,FALSE)
,
)
))"),"ШУРУПОВ Олексій Олександрович")</f>
        <v>ШУРУПОВ Олексій Олександрович</v>
      </c>
      <c r="J11566" s="7" t="s">
        <v>23</v>
      </c>
    </row>
    <row r="11567" spans="1:10" ht="13.2">
      <c r="A11567" s="7">
        <v>11566</v>
      </c>
      <c r="B11567" s="7">
        <v>1</v>
      </c>
      <c r="C11567" s="7" t="s">
        <v>10</v>
      </c>
      <c r="D11567" s="7">
        <v>17666</v>
      </c>
      <c r="E11567" s="7" t="s">
        <v>23</v>
      </c>
      <c r="F11567" s="8" t="str">
        <f ca="1">IFERROR(__xludf.DUMMYFUNCTION("IF
(
C11568=""фізична особа""
,
VLOOKUP(D11568,IMPORTRANGE(""https://docs.google.com/spreadsheets/d/14Bd19lYaqBhU8_DElYkX7l4wRkHqqCUFNJY4AfY3kHU/edit?usp=sharing  #gid=0"",""фіз особи new!relations_name""),6,FALSE)
,
(IF
(
C11568=""юридична особа""
,
VLOO"&amp;"KUP(D11568,IMPORTRANGE(""https://docs.google.com/spreadsheets/d/14Bd19lYaqBhU8_DElYkX7l4wRkHqqCUFNJY4AfY3kHU/edit?usp=sharing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7" s="7" t="s">
        <v>10</v>
      </c>
      <c r="H11567" s="7">
        <v>17657</v>
      </c>
      <c r="I11567" s="8" t="str">
        <f ca="1">IFERROR(__xludf.DUMMYFUNCTION("IF
(
G11568=""фізична особа""
,
VLOOKUP(H11568,IMPORTRANGE(""https://docs.google.com/spreadsheets/d/14Bd19lYaqBhU8_DElYkX7l4wRkHqqCUFNJY4AfY3kHU/edit?usp=sharing  #gid=0"",""фіз особи new!relations_name""),6,FALSE)
,
(IF
(
G11568=""юридична особа""
,
VLOO"&amp;"KUP(H11568,IMPORTRANGE(""https://docs.google.com/spreadsheets/d/14Bd19lYaqBhU8_DElYkX7l4wRkHqqCUFNJY4AfY3kHU/edit?usp=sharing  #gid=0"",""фіз особи new!relations_name_uo""),7,FALSE)
,
)
))"),"ДОНІ Микола Анатолійович")</f>
        <v>ДОНІ Микола Анатолійович</v>
      </c>
      <c r="J11567" s="7" t="s">
        <v>23</v>
      </c>
    </row>
    <row r="11568" spans="1:10" ht="13.2">
      <c r="A11568" s="7">
        <v>11567</v>
      </c>
      <c r="B11568" s="7">
        <v>1</v>
      </c>
      <c r="C11568" s="7" t="s">
        <v>10</v>
      </c>
      <c r="D11568" s="7">
        <v>17666</v>
      </c>
      <c r="E11568" s="7" t="s">
        <v>23</v>
      </c>
      <c r="F11568" s="8" t="str">
        <f ca="1">IFERROR(__xludf.DUMMYFUNCTION("IF
(
C11569=""фізична особа""
,
VLOOKUP(D11569,IMPORTRANGE(""https://docs.google.com/spreadsheets/d/14Bd19lYaqBhU8_DElYkX7l4wRkHqqCUFNJY4AfY3kHU/edit?usp=sharing  #gid=0"",""фіз особи new!relations_name""),6,FALSE)
,
(IF
(
C11569=""юридична особа""
,
VLOO"&amp;"KUP(D11569,IMPORTRANGE(""https://docs.google.com/spreadsheets/d/14Bd19lYaqBhU8_DElYkX7l4wRkHqqCUFNJY4AfY3kHU/edit?usp=sharing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8" s="7" t="s">
        <v>10</v>
      </c>
      <c r="H11568" s="7">
        <v>17655</v>
      </c>
      <c r="I11568" s="8" t="str">
        <f ca="1">IFERROR(__xludf.DUMMYFUNCTION("IF
(
G11569=""фізична особа""
,
VLOOKUP(H11569,IMPORTRANGE(""https://docs.google.com/spreadsheets/d/14Bd19lYaqBhU8_DElYkX7l4wRkHqqCUFNJY4AfY3kHU/edit?usp=sharing  #gid=0"",""фіз особи new!relations_name""),6,FALSE)
,
(IF
(
G11569=""юридична особа""
,
VLOO"&amp;"KUP(H11569,IMPORTRANGE(""https://docs.google.com/spreadsheets/d/14Bd19lYaqBhU8_DElYkX7l4wRkHqqCUFNJY4AfY3kHU/edit?usp=sharing  #gid=0"",""фіз особи new!relations_name_uo""),7,FALSE)
,
)
))"),"НАУМОВ Олександр Михайлович")</f>
        <v>НАУМОВ Олександр Михайлович</v>
      </c>
      <c r="J11568" s="7" t="s">
        <v>23</v>
      </c>
    </row>
    <row r="11569" spans="1:10" ht="13.2">
      <c r="A11569" s="7">
        <v>11568</v>
      </c>
      <c r="B11569" s="7">
        <v>1</v>
      </c>
      <c r="C11569" s="7" t="s">
        <v>10</v>
      </c>
      <c r="D11569" s="7">
        <v>17666</v>
      </c>
      <c r="E11569" s="7" t="s">
        <v>23</v>
      </c>
      <c r="F11569" s="8" t="str">
        <f ca="1">IFERROR(__xludf.DUMMYFUNCTION("IF
(
C11570=""фізична особа""
,
VLOOKUP(D11570,IMPORTRANGE(""https://docs.google.com/spreadsheets/d/14Bd19lYaqBhU8_DElYkX7l4wRkHqqCUFNJY4AfY3kHU/edit?usp=sharing  #gid=0"",""фіз особи new!relations_name""),6,FALSE)
,
(IF
(
C11570=""юридична особа""
,
VLOO"&amp;"KUP(D11570,IMPORTRANGE(""https://docs.google.com/spreadsheets/d/14Bd19lYaqBhU8_DElYkX7l4wRkHqqCUFNJY4AfY3kHU/edit?usp=sharing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69" s="7" t="s">
        <v>10</v>
      </c>
      <c r="H11569" s="7">
        <v>17665</v>
      </c>
      <c r="I11569" s="8" t="str">
        <f ca="1">IFERROR(__xludf.DUMMYFUNCTION("IF
(
G11570=""фізична особа""
,
VLOOKUP(H11570,IMPORTRANGE(""https://docs.google.com/spreadsheets/d/14Bd19lYaqBhU8_DElYkX7l4wRkHqqCUFNJY4AfY3kHU/edit?usp=sharing  #gid=0"",""фіз особи new!relations_name""),6,FALSE)
,
(IF
(
G11570=""юридична особа""
,
VLOO"&amp;"KUP(H11570,IMPORTRANGE(""https://docs.google.com/spreadsheets/d/14Bd19lYaqBhU8_DElYkX7l4wRkHqqCUFNJY4AfY3kHU/edit?usp=sharing  #gid=0"",""фіз особи new!relations_name_uo""),7,FALSE)
,
)
))"),"АЛІМОВ Юрій Миколайович")</f>
        <v>АЛІМОВ Юрій Миколайович</v>
      </c>
      <c r="J11569" s="7" t="s">
        <v>23</v>
      </c>
    </row>
    <row r="11570" spans="1:10" ht="13.2">
      <c r="A11570" s="7">
        <v>11569</v>
      </c>
      <c r="B11570" s="7">
        <v>1</v>
      </c>
      <c r="C11570" s="7" t="s">
        <v>10</v>
      </c>
      <c r="D11570" s="7">
        <v>17666</v>
      </c>
      <c r="E11570" s="7" t="s">
        <v>23</v>
      </c>
      <c r="F11570" s="8" t="str">
        <f ca="1">IFERROR(__xludf.DUMMYFUNCTION("IF
(
C11571=""фізична особа""
,
VLOOKUP(D11571,IMPORTRANGE(""https://docs.google.com/spreadsheets/d/14Bd19lYaqBhU8_DElYkX7l4wRkHqqCUFNJY4AfY3kHU/edit?usp=sharing  #gid=0"",""фіз особи new!relations_name""),6,FALSE)
,
(IF
(
C11571=""юридична особа""
,
VLOO"&amp;"KUP(D11571,IMPORTRANGE(""https://docs.google.com/spreadsheets/d/14Bd19lYaqBhU8_DElYkX7l4wRkHqqCUFNJY4AfY3kHU/edit?usp=sharing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0" s="7" t="s">
        <v>10</v>
      </c>
      <c r="H11570" s="7">
        <v>17663</v>
      </c>
      <c r="I11570" s="8" t="str">
        <f ca="1">IFERROR(__xludf.DUMMYFUNCTION("IF
(
G11571=""фізична особа""
,
VLOOKUP(H11571,IMPORTRANGE(""https://docs.google.com/spreadsheets/d/14Bd19lYaqBhU8_DElYkX7l4wRkHqqCUFNJY4AfY3kHU/edit?usp=sharing  #gid=0"",""фіз особи new!relations_name""),6,FALSE)
,
(IF
(
G11571=""юридична особа""
,
VLOO"&amp;"KUP(H11571,IMPORTRANGE(""https://docs.google.com/spreadsheets/d/14Bd19lYaqBhU8_DElYkX7l4wRkHqqCUFNJY4AfY3kHU/edit?usp=sharing  #gid=0"",""фіз особи new!relations_name_uo""),7,FALSE)
,
)
))"),"СТЕПАНОВ Сергій Ананійович")</f>
        <v>СТЕПАНОВ Сергій Ананійович</v>
      </c>
      <c r="J11570" s="7" t="s">
        <v>23</v>
      </c>
    </row>
    <row r="11571" spans="1:10" ht="13.2">
      <c r="A11571" s="7">
        <v>11570</v>
      </c>
      <c r="B11571" s="7">
        <v>1</v>
      </c>
      <c r="C11571" s="7" t="s">
        <v>10</v>
      </c>
      <c r="D11571" s="7">
        <v>17666</v>
      </c>
      <c r="E11571" s="7" t="s">
        <v>23</v>
      </c>
      <c r="F11571" s="8" t="str">
        <f ca="1">IFERROR(__xludf.DUMMYFUNCTION("IF
(
C11572=""фізична особа""
,
VLOOKUP(D11572,IMPORTRANGE(""https://docs.google.com/spreadsheets/d/14Bd19lYaqBhU8_DElYkX7l4wRkHqqCUFNJY4AfY3kHU/edit?usp=sharing  #gid=0"",""фіз особи new!relations_name""),6,FALSE)
,
(IF
(
C11572=""юридична особа""
,
VLOO"&amp;"KUP(D11572,IMPORTRANGE(""https://docs.google.com/spreadsheets/d/14Bd19lYaqBhU8_DElYkX7l4wRkHqqCUFNJY4AfY3kHU/edit?usp=sharing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1" s="7" t="s">
        <v>10</v>
      </c>
      <c r="H11571" s="7">
        <v>17664</v>
      </c>
      <c r="I11571" s="8" t="str">
        <f ca="1">IFERROR(__xludf.DUMMYFUNCTION("IF
(
G11572=""фізична особа""
,
VLOOKUP(H11572,IMPORTRANGE(""https://docs.google.com/spreadsheets/d/14Bd19lYaqBhU8_DElYkX7l4wRkHqqCUFNJY4AfY3kHU/edit?usp=sharing  #gid=0"",""фіз особи new!relations_name""),6,FALSE)
,
(IF
(
G11572=""юридична особа""
,
VLOO"&amp;"KUP(H11572,IMPORTRANGE(""https://docs.google.com/spreadsheets/d/14Bd19lYaqBhU8_DElYkX7l4wRkHqqCUFNJY4AfY3kHU/edit?usp=sharing  #gid=0"",""фіз особи new!relations_name_uo""),7,FALSE)
,
)
))"),"АНІСІМОВА Надія Геннадіївна")</f>
        <v>АНІСІМОВА Надія Геннадіївна</v>
      </c>
      <c r="J11571" s="7" t="s">
        <v>23</v>
      </c>
    </row>
    <row r="11572" spans="1:10" ht="13.2">
      <c r="A11572" s="7">
        <v>11571</v>
      </c>
      <c r="B11572" s="7">
        <v>1</v>
      </c>
      <c r="C11572" s="7" t="s">
        <v>10</v>
      </c>
      <c r="D11572" s="7">
        <v>17666</v>
      </c>
      <c r="E11572" s="7" t="s">
        <v>23</v>
      </c>
      <c r="F11572" s="8" t="str">
        <f ca="1">IFERROR(__xludf.DUMMYFUNCTION("IF
(
C11573=""фізична особа""
,
VLOOKUP(D11573,IMPORTRANGE(""https://docs.google.com/spreadsheets/d/14Bd19lYaqBhU8_DElYkX7l4wRkHqqCUFNJY4AfY3kHU/edit?usp=sharing  #gid=0"",""фіз особи new!relations_name""),6,FALSE)
,
(IF
(
C11573=""юридична особа""
,
VLOO"&amp;"KUP(D11573,IMPORTRANGE(""https://docs.google.com/spreadsheets/d/14Bd19lYaqBhU8_DElYkX7l4wRkHqqCUFNJY4AfY3kHU/edit?usp=sharing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2" s="7" t="s">
        <v>10</v>
      </c>
      <c r="H11572" s="7">
        <v>17660</v>
      </c>
      <c r="I11572" s="8" t="str">
        <f ca="1">IFERROR(__xludf.DUMMYFUNCTION("IF
(
G11573=""фізична особа""
,
VLOOKUP(H11573,IMPORTRANGE(""https://docs.google.com/spreadsheets/d/14Bd19lYaqBhU8_DElYkX7l4wRkHqqCUFNJY4AfY3kHU/edit?usp=sharing  #gid=0"",""фіз особи new!relations_name""),6,FALSE)
,
(IF
(
G11573=""юридична особа""
,
VLOO"&amp;"KUP(H11573,IMPORTRANGE(""https://docs.google.com/spreadsheets/d/14Bd19lYaqBhU8_DElYkX7l4wRkHqqCUFNJY4AfY3kHU/edit?usp=sharing  #gid=0"",""фіз особи new!relations_name_uo""),7,FALSE)
,
)
))"),"ВАСИЛЬЄВА Аліна Миколаївна")</f>
        <v>ВАСИЛЬЄВА Аліна Миколаївна</v>
      </c>
      <c r="J11572" s="7" t="s">
        <v>23</v>
      </c>
    </row>
    <row r="11573" spans="1:10" ht="13.2">
      <c r="A11573" s="7">
        <v>11572</v>
      </c>
      <c r="B11573" s="7">
        <v>1</v>
      </c>
      <c r="C11573" s="7" t="s">
        <v>10</v>
      </c>
      <c r="D11573" s="7">
        <v>17666</v>
      </c>
      <c r="E11573" s="7" t="s">
        <v>23</v>
      </c>
      <c r="F11573" s="8" t="str">
        <f ca="1">IFERROR(__xludf.DUMMYFUNCTION("IF
(
C11574=""фізична особа""
,
VLOOKUP(D11574,IMPORTRANGE(""https://docs.google.com/spreadsheets/d/14Bd19lYaqBhU8_DElYkX7l4wRkHqqCUFNJY4AfY3kHU/edit?usp=sharing  #gid=0"",""фіз особи new!relations_name""),6,FALSE)
,
(IF
(
C11574=""юридична особа""
,
VLOO"&amp;"KUP(D11574,IMPORTRANGE(""https://docs.google.com/spreadsheets/d/14Bd19lYaqBhU8_DElYkX7l4wRkHqqCUFNJY4AfY3kHU/edit?usp=sharing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3" s="7" t="s">
        <v>10</v>
      </c>
      <c r="H11573" s="7">
        <v>17661</v>
      </c>
      <c r="I11573" s="8" t="str">
        <f ca="1">IFERROR(__xludf.DUMMYFUNCTION("IF
(
G11574=""фізична особа""
,
VLOOKUP(H11574,IMPORTRANGE(""https://docs.google.com/spreadsheets/d/14Bd19lYaqBhU8_DElYkX7l4wRkHqqCUFNJY4AfY3kHU/edit?usp=sharing  #gid=0"",""фіз особи new!relations_name""),6,FALSE)
,
(IF
(
G11574=""юридична особа""
,
VLOO"&amp;"KUP(H11574,IMPORTRANGE(""https://docs.google.com/spreadsheets/d/14Bd19lYaqBhU8_DElYkX7l4wRkHqqCUFNJY4AfY3kHU/edit?usp=sharing  #gid=0"",""фіз особи new!relations_name_uo""),7,FALSE)
,
)
))"),"МЕДОГОНОВА Галина Дмитрівна")</f>
        <v>МЕДОГОНОВА Галина Дмитрівна</v>
      </c>
      <c r="J11573" s="7" t="s">
        <v>23</v>
      </c>
    </row>
    <row r="11574" spans="1:10" ht="13.2">
      <c r="A11574" s="7">
        <v>11573</v>
      </c>
      <c r="B11574" s="7">
        <v>1</v>
      </c>
      <c r="C11574" s="7" t="s">
        <v>10</v>
      </c>
      <c r="D11574" s="7">
        <v>17666</v>
      </c>
      <c r="E11574" s="7" t="s">
        <v>23</v>
      </c>
      <c r="F11574" s="8" t="str">
        <f ca="1">IFERROR(__xludf.DUMMYFUNCTION("IF
(
C11575=""фізична особа""
,
VLOOKUP(D11575,IMPORTRANGE(""https://docs.google.com/spreadsheets/d/14Bd19lYaqBhU8_DElYkX7l4wRkHqqCUFNJY4AfY3kHU/edit?usp=sharing  #gid=0"",""фіз особи new!relations_name""),6,FALSE)
,
(IF
(
C11575=""юридична особа""
,
VLOO"&amp;"KUP(D11575,IMPORTRANGE(""https://docs.google.com/spreadsheets/d/14Bd19lYaqBhU8_DElYkX7l4wRkHqqCUFNJY4AfY3kHU/edit?usp=sharing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4" s="7" t="s">
        <v>10</v>
      </c>
      <c r="H11574" s="7">
        <v>17654</v>
      </c>
      <c r="I11574" s="8" t="str">
        <f ca="1">IFERROR(__xludf.DUMMYFUNCTION("IF
(
G11575=""фізична особа""
,
VLOOKUP(H11575,IMPORTRANGE(""https://docs.google.com/spreadsheets/d/14Bd19lYaqBhU8_DElYkX7l4wRkHqqCUFNJY4AfY3kHU/edit?usp=sharing  #gid=0"",""фіз особи new!relations_name""),6,FALSE)
,
(IF
(
G11575=""юридична особа""
,
VLOO"&amp;"KUP(H11575,IMPORTRANGE(""https://docs.google.com/spreadsheets/d/14Bd19lYaqBhU8_DElYkX7l4wRkHqqCUFNJY4AfY3kHU/edit?usp=sharing  #gid=0"",""фіз особи new!relations_name_uo""),7,FALSE)
,
)
))"),"ІЛІВАНОВ Володимир Петрович")</f>
        <v>ІЛІВАНОВ Володимир Петрович</v>
      </c>
      <c r="J11574" s="7" t="s">
        <v>23</v>
      </c>
    </row>
    <row r="11575" spans="1:10" ht="13.2">
      <c r="A11575" s="7">
        <v>11574</v>
      </c>
      <c r="B11575" s="7">
        <v>1</v>
      </c>
      <c r="C11575" s="7" t="s">
        <v>10</v>
      </c>
      <c r="D11575" s="7">
        <v>17666</v>
      </c>
      <c r="E11575" s="7" t="s">
        <v>23</v>
      </c>
      <c r="F11575" s="8" t="str">
        <f ca="1">IFERROR(__xludf.DUMMYFUNCTION("IF
(
C11576=""фізична особа""
,
VLOOKUP(D11576,IMPORTRANGE(""https://docs.google.com/spreadsheets/d/14Bd19lYaqBhU8_DElYkX7l4wRkHqqCUFNJY4AfY3kHU/edit?usp=sharing  #gid=0"",""фіз особи new!relations_name""),6,FALSE)
,
(IF
(
C11576=""юридична особа""
,
VLOO"&amp;"KUP(D11576,IMPORTRANGE(""https://docs.google.com/spreadsheets/d/14Bd19lYaqBhU8_DElYkX7l4wRkHqqCUFNJY4AfY3kHU/edit?usp=sharing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5" s="7" t="s">
        <v>10</v>
      </c>
      <c r="H11575" s="7">
        <v>17662</v>
      </c>
      <c r="I11575" s="8" t="str">
        <f ca="1">IFERROR(__xludf.DUMMYFUNCTION("IF
(
G11576=""фізична особа""
,
VLOOKUP(H11576,IMPORTRANGE(""https://docs.google.com/spreadsheets/d/14Bd19lYaqBhU8_DElYkX7l4wRkHqqCUFNJY4AfY3kHU/edit?usp=sharing  #gid=0"",""фіз особи new!relations_name""),6,FALSE)
,
(IF
(
G11576=""юридична особа""
,
VLOO"&amp;"KUP(H11576,IMPORTRANGE(""https://docs.google.com/spreadsheets/d/14Bd19lYaqBhU8_DElYkX7l4wRkHqqCUFNJY4AfY3kHU/edit?usp=sharing  #gid=0"",""фіз особи new!relations_name_uo""),7,FALSE)
,
)
))"),"ЗВЕРЄВ Павло Євгенійович")</f>
        <v>ЗВЕРЄВ Павло Євгенійович</v>
      </c>
      <c r="J11575" s="7" t="s">
        <v>23</v>
      </c>
    </row>
    <row r="11576" spans="1:10" ht="13.2">
      <c r="A11576" s="7">
        <v>11575</v>
      </c>
      <c r="B11576" s="7">
        <v>1</v>
      </c>
      <c r="C11576" s="7" t="s">
        <v>10</v>
      </c>
      <c r="D11576" s="7">
        <v>17666</v>
      </c>
      <c r="E11576" s="7" t="s">
        <v>23</v>
      </c>
      <c r="F11576" s="8" t="str">
        <f ca="1">IFERROR(__xludf.DUMMYFUNCTION("IF
(
C11577=""фізична особа""
,
VLOOKUP(D11577,IMPORTRANGE(""https://docs.google.com/spreadsheets/d/14Bd19lYaqBhU8_DElYkX7l4wRkHqqCUFNJY4AfY3kHU/edit?usp=sharing  #gid=0"",""фіз особи new!relations_name""),6,FALSE)
,
(IF
(
C11577=""юридична особа""
,
VLOO"&amp;"KUP(D11577,IMPORTRANGE(""https://docs.google.com/spreadsheets/d/14Bd19lYaqBhU8_DElYkX7l4wRkHqqCUFNJY4AfY3kHU/edit?usp=sharing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6" s="7" t="s">
        <v>10</v>
      </c>
      <c r="H11576" s="7">
        <v>0</v>
      </c>
      <c r="I11576" s="8" t="str">
        <f ca="1">IFERROR(__xludf.DUMMYFUNCTION("IF
(
G11577=""фізична особа""
,
VLOOKUP(H11577,IMPORTRANGE(""https://docs.google.com/spreadsheets/d/14Bd19lYaqBhU8_DElYkX7l4wRkHqqCUFNJY4AfY3kHU/edit?usp=sharing  #gid=0"",""фіз особи new!relations_name""),6,FALSE)
,
(IF
(
G11577=""юридична особа""
,
VLOO"&amp;"KUP(H11577,IMPORTRANGE(""https://docs.google.com/spreadsheets/d/14Bd19lYaqBhU8_DElYkX7l4wRkHqqCUFNJY4AfY3kHU/edit?usp=sharing  #gid=0"",""фіз особи new!relations_name_uo""),7,FALSE)
,
)
))"),"#N/A")</f>
        <v>#N/A</v>
      </c>
      <c r="J11576" s="7" t="s">
        <v>23</v>
      </c>
    </row>
    <row r="11577" spans="1:10" ht="13.2">
      <c r="A11577" s="7">
        <v>11576</v>
      </c>
      <c r="B11577" s="7">
        <v>1</v>
      </c>
      <c r="C11577" s="7" t="s">
        <v>10</v>
      </c>
      <c r="D11577" s="7">
        <v>17666</v>
      </c>
      <c r="E11577" s="7" t="s">
        <v>23</v>
      </c>
      <c r="F11577" s="8" t="str">
        <f ca="1">IFERROR(__xludf.DUMMYFUNCTION("IF
(
C11578=""фізична особа""
,
VLOOKUP(D11578,IMPORTRANGE(""https://docs.google.com/spreadsheets/d/14Bd19lYaqBhU8_DElYkX7l4wRkHqqCUFNJY4AfY3kHU/edit?usp=sharing  #gid=0"",""фіз особи new!relations_name""),6,FALSE)
,
(IF
(
C11578=""юридична особа""
,
VLOO"&amp;"KUP(D11578,IMPORTRANGE(""https://docs.google.com/spreadsheets/d/14Bd19lYaqBhU8_DElYkX7l4wRkHqqCUFNJY4AfY3kHU/edit?usp=sharing  #gid=0"",""фіз особи new!relations_name_uo""),7,FALSE)
,
)
))"),"ГРИГОР'ЄВА Наталія Юріївна")</f>
        <v>ГРИГОР'ЄВА Наталія Юріївна</v>
      </c>
      <c r="G11577" s="7" t="s">
        <v>10</v>
      </c>
      <c r="H11577" s="7">
        <v>0</v>
      </c>
      <c r="I11577" s="8" t="str">
        <f ca="1">IFERROR(__xludf.DUMMYFUNCTION("IF
(
G11578=""фізична особа""
,
VLOOKUP(H11578,IMPORTRANGE(""https://docs.google.com/spreadsheets/d/14Bd19lYaqBhU8_DElYkX7l4wRkHqqCUFNJY4AfY3kHU/edit?usp=sharing  #gid=0"",""фіз особи new!relations_name""),6,FALSE)
,
(IF
(
G11578=""юридична особа""
,
VLOO"&amp;"KUP(H11578,IMPORTRANGE(""https://docs.google.com/spreadsheets/d/14Bd19lYaqBhU8_DElYkX7l4wRkHqqCUFNJY4AfY3kHU/edit?usp=sharing  #gid=0"",""фіз особи new!relations_name_uo""),7,FALSE)
,
)
))"),"#N/A")</f>
        <v>#N/A</v>
      </c>
      <c r="J11577" s="7" t="s">
        <v>23</v>
      </c>
    </row>
    <row r="11578" spans="1:10" ht="13.2">
      <c r="A11578" s="7">
        <v>11577</v>
      </c>
      <c r="B11578" s="7">
        <v>1</v>
      </c>
      <c r="C11578" s="7" t="s">
        <v>10</v>
      </c>
      <c r="D11578" s="7">
        <v>17668</v>
      </c>
      <c r="E11578" s="7" t="s">
        <v>13</v>
      </c>
      <c r="F11578" s="8" t="str">
        <f ca="1">IFERROR(__xludf.DUMMYFUNCTION("IF
(
C11579=""фізична особа""
,
VLOOKUP(D11579,IMPORTRANGE(""https://docs.google.com/spreadsheets/d/14Bd19lYaqBhU8_DElYkX7l4wRkHqqCUFNJY4AfY3kHU/edit?usp=sharing  #gid=0"",""фіз особи new!relations_name""),6,FALSE)
,
(IF
(
C11579=""юридична особа""
,
VLOO"&amp;"KUP(D11579,IMPORTRANGE(""https://docs.google.com/spreadsheets/d/14Bd19lYaqBhU8_DElYkX7l4wRkHqqCUFNJY4AfY3kHU/edit?usp=sharing  #gid=0"",""фіз особи new!relations_name_uo""),7,FALSE)
,
)
))"),"БОГУСЛАВСЬКА Яна Станіславівна")</f>
        <v>БОГУСЛАВСЬКА Яна Станіславівна</v>
      </c>
      <c r="G11578" s="7" t="s">
        <v>10</v>
      </c>
      <c r="H11578" s="7">
        <v>6220</v>
      </c>
      <c r="I11578" s="8" t="str">
        <f ca="1">IFERROR(__xludf.DUMMYFUNCTION("IF
(
G11579=""фізична особа""
,
VLOOKUP(H11579,IMPORTRANGE(""https://docs.google.com/spreadsheets/d/14Bd19lYaqBhU8_DElYkX7l4wRkHqqCUFNJY4AfY3kHU/edit?usp=sharing  #gid=0"",""фіз особи new!relations_name""),6,FALSE)
,
(IF
(
G11579=""юридична особа""
,
VLOO"&amp;"KUP(H11579,IMPORTRANGE(""https://docs.google.com/spreadsheets/d/14Bd19lYaqBhU8_DElYkX7l4wRkHqqCUFNJY4AfY3kHU/edit?usp=sharing  #gid=0"",""фіз особи new!relations_name_uo""),7,FALSE)
,
)
))"),"БОГУСЛАВСЬКИЙ Станіслав Йосипович")</f>
        <v>БОГУСЛАВСЬКИЙ Станіслав Йосипович</v>
      </c>
      <c r="J11578" s="7" t="s">
        <v>12</v>
      </c>
    </row>
    <row r="11579" spans="1:10" ht="13.2">
      <c r="A11579" s="7">
        <v>11578</v>
      </c>
      <c r="B11579" s="7">
        <v>1</v>
      </c>
      <c r="C11579" s="7" t="s">
        <v>10</v>
      </c>
      <c r="D11579" s="7">
        <v>17669</v>
      </c>
      <c r="E11579" s="7" t="s">
        <v>17</v>
      </c>
      <c r="F11579" s="8" t="str">
        <f ca="1">IFERROR(__xludf.DUMMYFUNCTION("IF
(
C11580=""фізична особа""
,
VLOOKUP(D11580,IMPORTRANGE(""https://docs.google.com/spreadsheets/d/14Bd19lYaqBhU8_DElYkX7l4wRkHqqCUFNJY4AfY3kHU/edit?usp=sharing  #gid=0"",""фіз особи new!relations_name""),6,FALSE)
,
(IF
(
C11580=""юридична особа""
,
VLOO"&amp;"KUP(D11580,IMPORTRANGE(""https://docs.google.com/spreadsheets/d/14Bd19lYaqBhU8_DElYkX7l4wRkHqqCUFNJY4AfY3kHU/edit?usp=sharing  #gid=0"",""фіз особи new!relations_name_uo""),7,FALSE)
,
)
))"),"ДАВИДІК Ілля Володимирович")</f>
        <v>ДАВИДІК Ілля Володимирович</v>
      </c>
      <c r="G11579" s="7" t="s">
        <v>10</v>
      </c>
      <c r="H11579" s="7">
        <v>17667</v>
      </c>
      <c r="I11579" s="8" t="str">
        <f ca="1">IFERROR(__xludf.DUMMYFUNCTION("IF
(
G11580=""фізична особа""
,
VLOOKUP(H11580,IMPORTRANGE(""https://docs.google.com/spreadsheets/d/14Bd19lYaqBhU8_DElYkX7l4wRkHqqCUFNJY4AfY3kHU/edit?usp=sharing  #gid=0"",""фіз особи new!relations_name""),6,FALSE)
,
(IF
(
G11580=""юридична особа""
,
VLOO"&amp;"KUP(H11580,IMPORTRANGE(""https://docs.google.com/spreadsheets/d/14Bd19lYaqBhU8_DElYkX7l4wRkHqqCUFNJY4AfY3kHU/edit?usp=sharing  #gid=0"",""фіз особи new!relations_name_uo""),7,FALSE)
,
)
))"),"ДАВИДІК Володимир Юльянович")</f>
        <v>ДАВИДІК Володимир Юльянович</v>
      </c>
      <c r="J11579" s="7" t="s">
        <v>12</v>
      </c>
    </row>
    <row r="11580" spans="1:10" ht="13.2">
      <c r="A11580" s="7">
        <v>11579</v>
      </c>
      <c r="B11580" s="7">
        <v>1</v>
      </c>
      <c r="C11580" s="7" t="s">
        <v>10</v>
      </c>
      <c r="D11580" s="7">
        <v>17679</v>
      </c>
      <c r="E11580" s="7" t="s">
        <v>11</v>
      </c>
      <c r="F11580" s="8" t="str">
        <f ca="1">IFERROR(__xludf.DUMMYFUNCTION("IF
(
C11581=""фізична особа""
,
VLOOKUP(D11581,IMPORTRANGE(""https://docs.google.com/spreadsheets/d/14Bd19lYaqBhU8_DElYkX7l4wRkHqqCUFNJY4AfY3kHU/edit?usp=sharing  #gid=0"",""фіз особи new!relations_name""),6,FALSE)
,
(IF
(
C11581=""юридична особа""
,
VLOO"&amp;"KUP(D11581,IMPORTRANGE(""https://docs.google.com/spreadsheets/d/14Bd19lYaqBhU8_DElYkX7l4wRkHqqCUFNJY4AfY3kHU/edit?usp=sharing  #gid=0"",""фіз особи new!relations_name_uo""),7,FALSE)
,
)
))"),"ІСАКОВ Сергій Володимирович")</f>
        <v>ІСАКОВ Сергій Володимирович</v>
      </c>
      <c r="G11580" s="7" t="s">
        <v>10</v>
      </c>
      <c r="H11580" s="7">
        <v>0</v>
      </c>
      <c r="I11580" s="8" t="str">
        <f ca="1">IFERROR(__xludf.DUMMYFUNCTION("IF
(
G11581=""фізична особа""
,
VLOOKUP(H11581,IMPORTRANGE(""https://docs.google.com/spreadsheets/d/14Bd19lYaqBhU8_DElYkX7l4wRkHqqCUFNJY4AfY3kHU/edit?usp=sharing  #gid=0"",""фіз особи new!relations_name""),6,FALSE)
,
(IF
(
G11581=""юридична особа""
,
VLOO"&amp;"KUP(H11581,IMPORTRANGE(""https://docs.google.com/spreadsheets/d/14Bd19lYaqBhU8_DElYkX7l4wRkHqqCUFNJY4AfY3kHU/edit?usp=sharing  #gid=0"",""фіз особи new!relations_name_uo""),7,FALSE)
,
)
))"),"#N/A")</f>
        <v>#N/A</v>
      </c>
      <c r="J11580" s="7" t="s">
        <v>11</v>
      </c>
    </row>
    <row r="11581" spans="1:10" ht="13.2">
      <c r="A11581" s="7">
        <v>11580</v>
      </c>
      <c r="B11581" s="7">
        <v>1</v>
      </c>
      <c r="C11581" s="7" t="s">
        <v>10</v>
      </c>
      <c r="D11581" s="7">
        <v>17679</v>
      </c>
      <c r="E11581" s="7" t="s">
        <v>11</v>
      </c>
      <c r="F11581" s="8" t="str">
        <f ca="1">IFERROR(__xludf.DUMMYFUNCTION("IF
(
C11582=""фізична особа""
,
VLOOKUP(D11582,IMPORTRANGE(""https://docs.google.com/spreadsheets/d/14Bd19lYaqBhU8_DElYkX7l4wRkHqqCUFNJY4AfY3kHU/edit?usp=sharing  #gid=0"",""фіз особи new!relations_name""),6,FALSE)
,
(IF
(
C11582=""юридична особа""
,
VLOO"&amp;"KUP(D11582,IMPORTRANGE(""https://docs.google.com/spreadsheets/d/14Bd19lYaqBhU8_DElYkX7l4wRkHqqCUFNJY4AfY3kHU/edit?usp=sharing  #gid=0"",""фіз особи new!relations_name_uo""),7,FALSE)
,
)
))"),"ІСАКОВ Сергій Володимирович")</f>
        <v>ІСАКОВ Сергій Володимирович</v>
      </c>
      <c r="G11581" s="7" t="s">
        <v>10</v>
      </c>
      <c r="H11581" s="7">
        <v>0</v>
      </c>
      <c r="I11581" s="8" t="str">
        <f ca="1">IFERROR(__xludf.DUMMYFUNCTION("IF
(
G11582=""фізична особа""
,
VLOOKUP(H11582,IMPORTRANGE(""https://docs.google.com/spreadsheets/d/14Bd19lYaqBhU8_DElYkX7l4wRkHqqCUFNJY4AfY3kHU/edit?usp=sharing  #gid=0"",""фіз особи new!relations_name""),6,FALSE)
,
(IF
(
G11582=""юридична особа""
,
VLOO"&amp;"KUP(H11582,IMPORTRANGE(""https://docs.google.com/spreadsheets/d/14Bd19lYaqBhU8_DElYkX7l4wRkHqqCUFNJY4AfY3kHU/edit?usp=sharing  #gid=0"",""фіз особи new!relations_name_uo""),7,FALSE)
,
)
))"),"#N/A")</f>
        <v>#N/A</v>
      </c>
      <c r="J11581" s="7" t="s">
        <v>11</v>
      </c>
    </row>
    <row r="11582" spans="1:10" ht="13.2">
      <c r="A11582" s="7">
        <v>11581</v>
      </c>
      <c r="B11582" s="7">
        <v>1</v>
      </c>
      <c r="C11582" s="7" t="s">
        <v>10</v>
      </c>
      <c r="D11582" s="7">
        <v>17692</v>
      </c>
      <c r="E11582" s="7" t="s">
        <v>11</v>
      </c>
      <c r="F11582" s="8" t="str">
        <f ca="1">IFERROR(__xludf.DUMMYFUNCTION("IF
(
C11583=""фізична особа""
,
VLOOKUP(D11583,IMPORTRANGE(""https://docs.google.com/spreadsheets/d/14Bd19lYaqBhU8_DElYkX7l4wRkHqqCUFNJY4AfY3kHU/edit?usp=sharing  #gid=0"",""фіз особи new!relations_name""),6,FALSE)
,
(IF
(
C11583=""юридична особа""
,
VLOO"&amp;"KUP(D11583,IMPORTRANGE(""https://docs.google.com/spreadsheets/d/14Bd19lYaqBhU8_DElYkX7l4wRkHqqCUFNJY4AfY3kHU/edit?usp=sharing  #gid=0"",""фіз особи new!relations_name_uo""),7,FALSE)
,
)
))"),"КРЮКОВ Євгеній Миколайович")</f>
        <v>КРЮКОВ Євгеній Миколайович</v>
      </c>
      <c r="G11582" s="7" t="s">
        <v>10</v>
      </c>
      <c r="H11582" s="7">
        <v>17693</v>
      </c>
      <c r="I11582" s="8" t="str">
        <f ca="1">IFERROR(__xludf.DUMMYFUNCTION("IF
(
G11583=""фізична особа""
,
VLOOKUP(H11583,IMPORTRANGE(""https://docs.google.com/spreadsheets/d/14Bd19lYaqBhU8_DElYkX7l4wRkHqqCUFNJY4AfY3kHU/edit?usp=sharing  #gid=0"",""фіз особи new!relations_name""),6,FALSE)
,
(IF
(
G11583=""юридична особа""
,
VLOO"&amp;"KUP(H11583,IMPORTRANGE(""https://docs.google.com/spreadsheets/d/14Bd19lYaqBhU8_DElYkX7l4wRkHqqCUFNJY4AfY3kHU/edit?usp=sharing  #gid=0"",""фіз особи new!relations_name_uo""),7,FALSE)
,
)
))"),"КРЮКОВ Микола Єгорович")</f>
        <v>КРЮКОВ Микола Єгорович</v>
      </c>
      <c r="J11582" s="7" t="s">
        <v>11</v>
      </c>
    </row>
    <row r="11583" spans="1:10" ht="13.2">
      <c r="A11583" s="7">
        <v>11582</v>
      </c>
      <c r="B11583" s="7">
        <v>1</v>
      </c>
      <c r="C11583" s="7" t="s">
        <v>10</v>
      </c>
      <c r="D11583" s="7">
        <v>17692</v>
      </c>
      <c r="E11583" s="7" t="s">
        <v>11</v>
      </c>
      <c r="F11583" s="8" t="str">
        <f ca="1">IFERROR(__xludf.DUMMYFUNCTION("IF
(
C11584=""фізична особа""
,
VLOOKUP(D11584,IMPORTRANGE(""https://docs.google.com/spreadsheets/d/14Bd19lYaqBhU8_DElYkX7l4wRkHqqCUFNJY4AfY3kHU/edit?usp=sharing  #gid=0"",""фіз особи new!relations_name""),6,FALSE)
,
(IF
(
C11584=""юридична особа""
,
VLOO"&amp;"KUP(D11584,IMPORTRANGE(""https://docs.google.com/spreadsheets/d/14Bd19lYaqBhU8_DElYkX7l4wRkHqqCUFNJY4AfY3kHU/edit?usp=sharing  #gid=0"",""фіз особи new!relations_name_uo""),7,FALSE)
,
)
))"),"КРЮКОВ Євгеній Миколайович")</f>
        <v>КРЮКОВ Євгеній Миколайович</v>
      </c>
      <c r="G11583" s="7" t="s">
        <v>10</v>
      </c>
      <c r="H11583" s="7">
        <v>23639</v>
      </c>
      <c r="I11583" s="8" t="str">
        <f ca="1">IFERROR(__xludf.DUMMYFUNCTION("IF
(
G11584=""фізична особа""
,
VLOOKUP(H11584,IMPORTRANGE(""https://docs.google.com/spreadsheets/d/14Bd19lYaqBhU8_DElYkX7l4wRkHqqCUFNJY4AfY3kHU/edit?usp=sharing  #gid=0"",""фіз особи new!relations_name""),6,FALSE)
,
(IF
(
G11584=""юридична особа""
,
VLOO"&amp;"KUP(H11584,IMPORTRANGE(""https://docs.google.com/spreadsheets/d/14Bd19lYaqBhU8_DElYkX7l4wRkHqqCUFNJY4AfY3kHU/edit?usp=sharing  #gid=0"",""фіз особи new!relations_name_uo""),7,FALSE)
,
)
))"),"ПУШКАРЬОВА Ірина Борисівна")</f>
        <v>ПУШКАРЬОВА Ірина Борисівна</v>
      </c>
      <c r="J11583" s="7" t="s">
        <v>11</v>
      </c>
    </row>
    <row r="11584" spans="1:10" ht="13.2">
      <c r="A11584" s="7">
        <v>11583</v>
      </c>
      <c r="B11584" s="7">
        <v>1</v>
      </c>
      <c r="C11584" s="7" t="s">
        <v>10</v>
      </c>
      <c r="D11584" s="7">
        <v>17692</v>
      </c>
      <c r="E11584" s="7" t="s">
        <v>11</v>
      </c>
      <c r="F11584" s="8" t="str">
        <f ca="1">IFERROR(__xludf.DUMMYFUNCTION("IF
(
C11585=""фізична особа""
,
VLOOKUP(D11585,IMPORTRANGE(""https://docs.google.com/spreadsheets/d/14Bd19lYaqBhU8_DElYkX7l4wRkHqqCUFNJY4AfY3kHU/edit?usp=sharing  #gid=0"",""фіз особи new!relations_name""),6,FALSE)
,
(IF
(
C11585=""юридична особа""
,
VLOO"&amp;"KUP(D11585,IMPORTRANGE(""https://docs.google.com/spreadsheets/d/14Bd19lYaqBhU8_DElYkX7l4wRkHqqCUFNJY4AfY3kHU/edit?usp=sharing  #gid=0"",""фіз особи new!relations_name_uo""),7,FALSE)
,
)
))"),"КРЮКОВ Євгеній Миколайович")</f>
        <v>КРЮКОВ Євгеній Миколайович</v>
      </c>
      <c r="G11584" s="7" t="s">
        <v>10</v>
      </c>
      <c r="H11584" s="7">
        <v>0</v>
      </c>
      <c r="I11584" s="8" t="str">
        <f ca="1">IFERROR(__xludf.DUMMYFUNCTION("IF
(
G11585=""фізична особа""
,
VLOOKUP(H11585,IMPORTRANGE(""https://docs.google.com/spreadsheets/d/14Bd19lYaqBhU8_DElYkX7l4wRkHqqCUFNJY4AfY3kHU/edit?usp=sharing  #gid=0"",""фіз особи new!relations_name""),6,FALSE)
,
(IF
(
G11585=""юридична особа""
,
VLOO"&amp;"KUP(H11585,IMPORTRANGE(""https://docs.google.com/spreadsheets/d/14Bd19lYaqBhU8_DElYkX7l4wRkHqqCUFNJY4AfY3kHU/edit?usp=sharing  #gid=0"",""фіз особи new!relations_name_uo""),7,FALSE)
,
)
))"),"#N/A")</f>
        <v>#N/A</v>
      </c>
      <c r="J11584" s="7" t="s">
        <v>11</v>
      </c>
    </row>
    <row r="11585" spans="1:10" ht="13.2">
      <c r="A11585" s="7">
        <v>11584</v>
      </c>
      <c r="B11585" s="7">
        <v>1</v>
      </c>
      <c r="C11585" s="7" t="s">
        <v>10</v>
      </c>
      <c r="D11585" s="7">
        <v>17692</v>
      </c>
      <c r="E11585" s="7" t="s">
        <v>11</v>
      </c>
      <c r="F11585" s="8" t="str">
        <f ca="1">IFERROR(__xludf.DUMMYFUNCTION("IF
(
C11586=""фізична особа""
,
VLOOKUP(D11586,IMPORTRANGE(""https://docs.google.com/spreadsheets/d/14Bd19lYaqBhU8_DElYkX7l4wRkHqqCUFNJY4AfY3kHU/edit?usp=sharing  #gid=0"",""фіз особи new!relations_name""),6,FALSE)
,
(IF
(
C11586=""юридична особа""
,
VLOO"&amp;"KUP(D11586,IMPORTRANGE(""https://docs.google.com/spreadsheets/d/14Bd19lYaqBhU8_DElYkX7l4wRkHqqCUFNJY4AfY3kHU/edit?usp=sharing  #gid=0"",""фіз особи new!relations_name_uo""),7,FALSE)
,
)
))"),"КРЮКОВ Євгеній Миколайович")</f>
        <v>КРЮКОВ Євгеній Миколайович</v>
      </c>
      <c r="G11585" s="7" t="s">
        <v>10</v>
      </c>
      <c r="H11585" s="7">
        <v>23640</v>
      </c>
      <c r="I11585" s="8" t="str">
        <f ca="1">IFERROR(__xludf.DUMMYFUNCTION("IF
(
G11586=""фізична особа""
,
VLOOKUP(H11586,IMPORTRANGE(""https://docs.google.com/spreadsheets/d/14Bd19lYaqBhU8_DElYkX7l4wRkHqqCUFNJY4AfY3kHU/edit?usp=sharing  #gid=0"",""фіз особи new!relations_name""),6,FALSE)
,
(IF
(
G11586=""юридична особа""
,
VLOO"&amp;"KUP(H11586,IMPORTRANGE(""https://docs.google.com/spreadsheets/d/14Bd19lYaqBhU8_DElYkX7l4wRkHqqCUFNJY4AfY3kHU/edit?usp=sharing  #gid=0"",""фіз особи new!relations_name_uo""),7,FALSE)
,
)
))"),"КУЗНЄЦОВА Світлана Андріївна")</f>
        <v>КУЗНЄЦОВА Світлана Андріївна</v>
      </c>
      <c r="J11585" s="7" t="s">
        <v>11</v>
      </c>
    </row>
    <row r="11586" spans="1:10" ht="13.2">
      <c r="A11586" s="7">
        <v>11585</v>
      </c>
      <c r="B11586" s="7">
        <v>1</v>
      </c>
      <c r="C11586" s="7" t="s">
        <v>10</v>
      </c>
      <c r="D11586" s="7">
        <v>17693</v>
      </c>
      <c r="E11586" s="7" t="s">
        <v>11</v>
      </c>
      <c r="F11586" s="8" t="str">
        <f ca="1">IFERROR(__xludf.DUMMYFUNCTION("IF
(
C11587=""фізична особа""
,
VLOOKUP(D11587,IMPORTRANGE(""https://docs.google.com/spreadsheets/d/14Bd19lYaqBhU8_DElYkX7l4wRkHqqCUFNJY4AfY3kHU/edit?usp=sharing  #gid=0"",""фіз особи new!relations_name""),6,FALSE)
,
(IF
(
C11587=""юридична особа""
,
VLOO"&amp;"KUP(D11587,IMPORTRANGE(""https://docs.google.com/spreadsheets/d/14Bd19lYaqBhU8_DElYkX7l4wRkHqqCUFNJY4AfY3kHU/edit?usp=sharing  #gid=0"",""фіз особи new!relations_name_uo""),7,FALSE)
,
)
))"),"КРЮКОВ Микола Єгорович")</f>
        <v>КРЮКОВ Микола Єгорович</v>
      </c>
      <c r="G11586" s="7" t="s">
        <v>10</v>
      </c>
      <c r="H11586" s="7">
        <v>23639</v>
      </c>
      <c r="I11586" s="8" t="str">
        <f ca="1">IFERROR(__xludf.DUMMYFUNCTION("IF
(
G11587=""фізична особа""
,
VLOOKUP(H11587,IMPORTRANGE(""https://docs.google.com/spreadsheets/d/14Bd19lYaqBhU8_DElYkX7l4wRkHqqCUFNJY4AfY3kHU/edit?usp=sharing  #gid=0"",""фіз особи new!relations_name""),6,FALSE)
,
(IF
(
G11587=""юридична особа""
,
VLOO"&amp;"KUP(H11587,IMPORTRANGE(""https://docs.google.com/spreadsheets/d/14Bd19lYaqBhU8_DElYkX7l4wRkHqqCUFNJY4AfY3kHU/edit?usp=sharing  #gid=0"",""фіз особи new!relations_name_uo""),7,FALSE)
,
)
))"),"ПУШКАРЬОВА Ірина Борисівна")</f>
        <v>ПУШКАРЬОВА Ірина Борисівна</v>
      </c>
      <c r="J11586" s="7" t="s">
        <v>11</v>
      </c>
    </row>
    <row r="11587" spans="1:10" ht="13.2">
      <c r="A11587" s="7">
        <v>11586</v>
      </c>
      <c r="B11587" s="7">
        <v>1</v>
      </c>
      <c r="C11587" s="7" t="s">
        <v>10</v>
      </c>
      <c r="D11587" s="7">
        <v>17693</v>
      </c>
      <c r="E11587" s="7" t="s">
        <v>11</v>
      </c>
      <c r="F11587" s="8" t="str">
        <f ca="1">IFERROR(__xludf.DUMMYFUNCTION("IF
(
C11588=""фізична особа""
,
VLOOKUP(D11588,IMPORTRANGE(""https://docs.google.com/spreadsheets/d/14Bd19lYaqBhU8_DElYkX7l4wRkHqqCUFNJY4AfY3kHU/edit?usp=sharing  #gid=0"",""фіз особи new!relations_name""),6,FALSE)
,
(IF
(
C11588=""юридична особа""
,
VLOO"&amp;"KUP(D11588,IMPORTRANGE(""https://docs.google.com/spreadsheets/d/14Bd19lYaqBhU8_DElYkX7l4wRkHqqCUFNJY4AfY3kHU/edit?usp=sharing  #gid=0"",""фіз особи new!relations_name_uo""),7,FALSE)
,
)
))"),"КРЮКОВ Микола Єгорович")</f>
        <v>КРЮКОВ Микола Єгорович</v>
      </c>
      <c r="G11587" s="7" t="s">
        <v>10</v>
      </c>
      <c r="H11587" s="7">
        <v>0</v>
      </c>
      <c r="I11587" s="8" t="str">
        <f ca="1">IFERROR(__xludf.DUMMYFUNCTION("IF
(
G11588=""фізична особа""
,
VLOOKUP(H11588,IMPORTRANGE(""https://docs.google.com/spreadsheets/d/14Bd19lYaqBhU8_DElYkX7l4wRkHqqCUFNJY4AfY3kHU/edit?usp=sharing  #gid=0"",""фіз особи new!relations_name""),6,FALSE)
,
(IF
(
G11588=""юридична особа""
,
VLOO"&amp;"KUP(H11588,IMPORTRANGE(""https://docs.google.com/spreadsheets/d/14Bd19lYaqBhU8_DElYkX7l4wRkHqqCUFNJY4AfY3kHU/edit?usp=sharing  #gid=0"",""фіз особи new!relations_name_uo""),7,FALSE)
,
)
))"),"#N/A")</f>
        <v>#N/A</v>
      </c>
      <c r="J11587" s="7" t="s">
        <v>11</v>
      </c>
    </row>
    <row r="11588" spans="1:10" ht="13.2">
      <c r="A11588" s="7">
        <v>11587</v>
      </c>
      <c r="B11588" s="7">
        <v>1</v>
      </c>
      <c r="C11588" s="7" t="s">
        <v>10</v>
      </c>
      <c r="D11588" s="7">
        <v>17693</v>
      </c>
      <c r="E11588" s="7" t="s">
        <v>11</v>
      </c>
      <c r="F11588" s="8" t="str">
        <f ca="1">IFERROR(__xludf.DUMMYFUNCTION("IF
(
C11589=""фізична особа""
,
VLOOKUP(D11589,IMPORTRANGE(""https://docs.google.com/spreadsheets/d/14Bd19lYaqBhU8_DElYkX7l4wRkHqqCUFNJY4AfY3kHU/edit?usp=sharing  #gid=0"",""фіз особи new!relations_name""),6,FALSE)
,
(IF
(
C11589=""юридична особа""
,
VLOO"&amp;"KUP(D11589,IMPORTRANGE(""https://docs.google.com/spreadsheets/d/14Bd19lYaqBhU8_DElYkX7l4wRkHqqCUFNJY4AfY3kHU/edit?usp=sharing  #gid=0"",""фіз особи new!relations_name_uo""),7,FALSE)
,
)
))"),"КРЮКОВ Микола Єгорович")</f>
        <v>КРЮКОВ Микола Єгорович</v>
      </c>
      <c r="G11588" s="7" t="s">
        <v>10</v>
      </c>
      <c r="H11588" s="7">
        <v>23640</v>
      </c>
      <c r="I11588" s="8" t="str">
        <f ca="1">IFERROR(__xludf.DUMMYFUNCTION("IF
(
G11589=""фізична особа""
,
VLOOKUP(H11589,IMPORTRANGE(""https://docs.google.com/spreadsheets/d/14Bd19lYaqBhU8_DElYkX7l4wRkHqqCUFNJY4AfY3kHU/edit?usp=sharing  #gid=0"",""фіз особи new!relations_name""),6,FALSE)
,
(IF
(
G11589=""юридична особа""
,
VLOO"&amp;"KUP(H11589,IMPORTRANGE(""https://docs.google.com/spreadsheets/d/14Bd19lYaqBhU8_DElYkX7l4wRkHqqCUFNJY4AfY3kHU/edit?usp=sharing  #gid=0"",""фіз особи new!relations_name_uo""),7,FALSE)
,
)
))"),"КУЗНЄЦОВА Світлана Андріївна")</f>
        <v>КУЗНЄЦОВА Світлана Андріївна</v>
      </c>
      <c r="J11588" s="7" t="s">
        <v>11</v>
      </c>
    </row>
    <row r="11589" spans="1:10" ht="13.2">
      <c r="A11589" s="7">
        <v>11588</v>
      </c>
      <c r="B11589" s="7">
        <v>1</v>
      </c>
      <c r="C11589" s="7" t="s">
        <v>10</v>
      </c>
      <c r="D11589" s="7">
        <v>17693</v>
      </c>
      <c r="E11589" s="7" t="s">
        <v>11</v>
      </c>
      <c r="F11589" s="8" t="str">
        <f ca="1">IFERROR(__xludf.DUMMYFUNCTION("IF
(
C11590=""фізична особа""
,
VLOOKUP(D11590,IMPORTRANGE(""https://docs.google.com/spreadsheets/d/14Bd19lYaqBhU8_DElYkX7l4wRkHqqCUFNJY4AfY3kHU/edit?usp=sharing  #gid=0"",""фіз особи new!relations_name""),6,FALSE)
,
(IF
(
C11590=""юридична особа""
,
VLOO"&amp;"KUP(D11590,IMPORTRANGE(""https://docs.google.com/spreadsheets/d/14Bd19lYaqBhU8_DElYkX7l4wRkHqqCUFNJY4AfY3kHU/edit?usp=sharing  #gid=0"",""фіз особи new!relations_name_uo""),7,FALSE)
,
)
))"),"КРЮКОВ Микола Єгорович")</f>
        <v>КРЮКОВ Микола Єгорович</v>
      </c>
      <c r="G11589" s="7" t="s">
        <v>10</v>
      </c>
      <c r="H11589" s="7">
        <v>0</v>
      </c>
      <c r="I11589" s="8" t="str">
        <f ca="1">IFERROR(__xludf.DUMMYFUNCTION("IF
(
G11590=""фізична особа""
,
VLOOKUP(H11590,IMPORTRANGE(""https://docs.google.com/spreadsheets/d/14Bd19lYaqBhU8_DElYkX7l4wRkHqqCUFNJY4AfY3kHU/edit?usp=sharing  #gid=0"",""фіз особи new!relations_name""),6,FALSE)
,
(IF
(
G11590=""юридична особа""
,
VLOO"&amp;"KUP(H11590,IMPORTRANGE(""https://docs.google.com/spreadsheets/d/14Bd19lYaqBhU8_DElYkX7l4wRkHqqCUFNJY4AfY3kHU/edit?usp=sharing  #gid=0"",""фіз особи new!relations_name_uo""),7,FALSE)
,
)
))"),"#N/A")</f>
        <v>#N/A</v>
      </c>
      <c r="J11589" s="7" t="s">
        <v>11</v>
      </c>
    </row>
    <row r="11590" spans="1:10" ht="13.2">
      <c r="A11590" s="7">
        <v>11589</v>
      </c>
      <c r="B11590" s="7">
        <v>1</v>
      </c>
      <c r="C11590" s="7" t="s">
        <v>10</v>
      </c>
      <c r="D11590" s="7">
        <v>17716</v>
      </c>
      <c r="E11590" s="7" t="s">
        <v>23</v>
      </c>
      <c r="F11590" s="8" t="str">
        <f ca="1">IFERROR(__xludf.DUMMYFUNCTION("IF
(
C11591=""фізична особа""
,
VLOOKUP(D11591,IMPORTRANGE(""https://docs.google.com/spreadsheets/d/14Bd19lYaqBhU8_DElYkX7l4wRkHqqCUFNJY4AfY3kHU/edit?usp=sharing  #gid=0"",""фіз особи new!relations_name""),6,FALSE)
,
(IF
(
C11591=""юридична особа""
,
VLOO"&amp;"KUP(D11591,IMPORTRANGE(""https://docs.google.com/spreadsheets/d/14Bd19lYaqBhU8_DElYkX7l4wRkHqqCUFNJY4AfY3kHU/edit?usp=sharing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G11590" s="7" t="s">
        <v>10</v>
      </c>
      <c r="H11590" s="7">
        <v>8805</v>
      </c>
      <c r="I11590" s="8" t="str">
        <f ca="1">IFERROR(__xludf.DUMMYFUNCTION("IF
(
G11591=""фізична особа""
,
VLOOKUP(H11591,IMPORTRANGE(""https://docs.google.com/spreadsheets/d/14Bd19lYaqBhU8_DElYkX7l4wRkHqqCUFNJY4AfY3kHU/edit?usp=sharing  #gid=0"",""фіз особи new!relations_name""),6,FALSE)
,
(IF
(
G11591=""юридична особа""
,
VLOO"&amp;"KUP(H11591,IMPORTRANGE(""https://docs.google.com/spreadsheets/d/14Bd19lYaqBhU8_DElYkX7l4wRkHqqCUFNJY4AfY3kHU/edit?usp=sharing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11590" s="7" t="s">
        <v>23</v>
      </c>
    </row>
    <row r="11591" spans="1:10" ht="13.2">
      <c r="A11591" s="7">
        <v>11590</v>
      </c>
      <c r="B11591" s="7">
        <v>1</v>
      </c>
      <c r="C11591" s="7" t="s">
        <v>10</v>
      </c>
      <c r="D11591" s="7">
        <v>17716</v>
      </c>
      <c r="E11591" s="7" t="s">
        <v>23</v>
      </c>
      <c r="F11591" s="8" t="str">
        <f ca="1">IFERROR(__xludf.DUMMYFUNCTION("IF
(
C11592=""фізична особа""
,
VLOOKUP(D11592,IMPORTRANGE(""https://docs.google.com/spreadsheets/d/14Bd19lYaqBhU8_DElYkX7l4wRkHqqCUFNJY4AfY3kHU/edit?usp=sharing  #gid=0"",""фіз особи new!relations_name""),6,FALSE)
,
(IF
(
C11592=""юридична особа""
,
VLOO"&amp;"KUP(D11592,IMPORTRANGE(""https://docs.google.com/spreadsheets/d/14Bd19lYaqBhU8_DElYkX7l4wRkHqqCUFNJY4AfY3kHU/edit?usp=sharing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G11591" s="7" t="s">
        <v>10</v>
      </c>
      <c r="H11591" s="7">
        <v>17717</v>
      </c>
      <c r="I11591" s="8" t="str">
        <f ca="1">IFERROR(__xludf.DUMMYFUNCTION("IF
(
G11592=""фізична особа""
,
VLOOKUP(H11592,IMPORTRANGE(""https://docs.google.com/spreadsheets/d/14Bd19lYaqBhU8_DElYkX7l4wRkHqqCUFNJY4AfY3kHU/edit?usp=sharing  #gid=0"",""фіз особи new!relations_name""),6,FALSE)
,
(IF
(
G11592=""юридична особа""
,
VLOO"&amp;"KUP(H11592,IMPORTRANGE(""https://docs.google.com/spreadsheets/d/14Bd19lYaqBhU8_DElYkX7l4wRkHqqCUFNJY4AfY3kHU/edit?usp=sharing  #gid=0"",""фіз особи new!relations_name_uo""),7,FALSE)
,
)
))"),"КОЧЕТКОВА Марина Геннадіївна")</f>
        <v>КОЧЕТКОВА Марина Геннадіївна</v>
      </c>
      <c r="J11591" s="7" t="s">
        <v>23</v>
      </c>
    </row>
    <row r="11592" spans="1:10" ht="13.2">
      <c r="A11592" s="7">
        <v>11591</v>
      </c>
      <c r="B11592" s="7">
        <v>1</v>
      </c>
      <c r="C11592" s="7" t="s">
        <v>10</v>
      </c>
      <c r="D11592" s="7">
        <v>17717</v>
      </c>
      <c r="E11592" s="7" t="s">
        <v>23</v>
      </c>
      <c r="F11592" s="8" t="str">
        <f ca="1">IFERROR(__xludf.DUMMYFUNCTION("IF
(
C11593=""фізична особа""
,
VLOOKUP(D11593,IMPORTRANGE(""https://docs.google.com/spreadsheets/d/14Bd19lYaqBhU8_DElYkX7l4wRkHqqCUFNJY4AfY3kHU/edit?usp=sharing  #gid=0"",""фіз особи new!relations_name""),6,FALSE)
,
(IF
(
C11593=""юридична особа""
,
VLOO"&amp;"KUP(D11593,IMPORTRANGE(""https://docs.google.com/spreadsheets/d/14Bd19lYaqBhU8_DElYkX7l4wRkHqqCUFNJY4AfY3kHU/edit?usp=sharing  #gid=0"",""фіз особи new!relations_name_uo""),7,FALSE)
,
)
))"),"КОЧЕТКОВА Марина Геннадіївна")</f>
        <v>КОЧЕТКОВА Марина Геннадіївна</v>
      </c>
      <c r="G11592" s="7" t="s">
        <v>10</v>
      </c>
      <c r="H11592" s="7">
        <v>8805</v>
      </c>
      <c r="I11592" s="8" t="str">
        <f ca="1">IFERROR(__xludf.DUMMYFUNCTION("IF
(
G11593=""фізична особа""
,
VLOOKUP(H11593,IMPORTRANGE(""https://docs.google.com/spreadsheets/d/14Bd19lYaqBhU8_DElYkX7l4wRkHqqCUFNJY4AfY3kHU/edit?usp=sharing  #gid=0"",""фіз особи new!relations_name""),6,FALSE)
,
(IF
(
G11593=""юридична особа""
,
VLOO"&amp;"KUP(H11593,IMPORTRANGE(""https://docs.google.com/spreadsheets/d/14Bd19lYaqBhU8_DElYkX7l4wRkHqqCUFNJY4AfY3kHU/edit?usp=sharing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11592" s="7" t="s">
        <v>23</v>
      </c>
    </row>
    <row r="11593" spans="1:10" ht="13.2">
      <c r="A11593" s="7">
        <v>11592</v>
      </c>
      <c r="B11593" s="7">
        <v>1</v>
      </c>
      <c r="C11593" s="7" t="s">
        <v>10</v>
      </c>
      <c r="D11593" s="7">
        <v>17717</v>
      </c>
      <c r="E11593" s="7" t="s">
        <v>23</v>
      </c>
      <c r="F11593" s="8" t="str">
        <f ca="1">IFERROR(__xludf.DUMMYFUNCTION("IF
(
C11594=""фізична особа""
,
VLOOKUP(D11594,IMPORTRANGE(""https://docs.google.com/spreadsheets/d/14Bd19lYaqBhU8_DElYkX7l4wRkHqqCUFNJY4AfY3kHU/edit?usp=sharing  #gid=0"",""фіз особи new!relations_name""),6,FALSE)
,
(IF
(
C11594=""юридична особа""
,
VLOO"&amp;"KUP(D11594,IMPORTRANGE(""https://docs.google.com/spreadsheets/d/14Bd19lYaqBhU8_DElYkX7l4wRkHqqCUFNJY4AfY3kHU/edit?usp=sharing  #gid=0"",""фіз особи new!relations_name_uo""),7,FALSE)
,
)
))"),"КОЧЕТКОВА Марина Геннадіївна")</f>
        <v>КОЧЕТКОВА Марина Геннадіївна</v>
      </c>
      <c r="G11593" s="7" t="s">
        <v>10</v>
      </c>
      <c r="H11593" s="7">
        <v>17716</v>
      </c>
      <c r="I11593" s="8" t="str">
        <f ca="1">IFERROR(__xludf.DUMMYFUNCTION("IF
(
G11594=""фізична особа""
,
VLOOKUP(H11594,IMPORTRANGE(""https://docs.google.com/spreadsheets/d/14Bd19lYaqBhU8_DElYkX7l4wRkHqqCUFNJY4AfY3kHU/edit?usp=sharing  #gid=0"",""фіз особи new!relations_name""),6,FALSE)
,
(IF
(
G11594=""юридична особа""
,
VLOO"&amp;"KUP(H11594,IMPORTRANGE(""https://docs.google.com/spreadsheets/d/14Bd19lYaqBhU8_DElYkX7l4wRkHqqCUFNJY4AfY3kHU/edit?usp=sharing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3" s="7" t="s">
        <v>23</v>
      </c>
    </row>
    <row r="11594" spans="1:10" ht="13.2">
      <c r="A11594" s="7">
        <v>11593</v>
      </c>
      <c r="B11594" s="7">
        <v>1</v>
      </c>
      <c r="C11594" s="7" t="s">
        <v>10</v>
      </c>
      <c r="D11594" s="7">
        <v>17718</v>
      </c>
      <c r="E11594" s="7" t="s">
        <v>23</v>
      </c>
      <c r="F11594" s="8" t="str">
        <f ca="1">IFERROR(__xludf.DUMMYFUNCTION("IF
(
C11595=""фізична особа""
,
VLOOKUP(D11595,IMPORTRANGE(""https://docs.google.com/spreadsheets/d/14Bd19lYaqBhU8_DElYkX7l4wRkHqqCUFNJY4AfY3kHU/edit?usp=sharing  #gid=0"",""фіз особи new!relations_name""),6,FALSE)
,
(IF
(
C11595=""юридична особа""
,
VLOO"&amp;"KUP(D11595,IMPORTRANGE(""https://docs.google.com/spreadsheets/d/14Bd19lYaqBhU8_DElYkX7l4wRkHqqCUFNJY4AfY3kHU/edit?usp=sharing  #gid=0"",""фіз особи new!relations_name_uo""),7,FALSE)
,
)
))"),"ЯКУБИЧ Андрій Валерійович")</f>
        <v>ЯКУБИЧ Андрій Валерійович</v>
      </c>
      <c r="G11594" s="7" t="s">
        <v>10</v>
      </c>
      <c r="H11594" s="7">
        <v>17716</v>
      </c>
      <c r="I11594" s="8" t="str">
        <f ca="1">IFERROR(__xludf.DUMMYFUNCTION("IF
(
G11595=""фізична особа""
,
VLOOKUP(H11595,IMPORTRANGE(""https://docs.google.com/spreadsheets/d/14Bd19lYaqBhU8_DElYkX7l4wRkHqqCUFNJY4AfY3kHU/edit?usp=sharing  #gid=0"",""фіз особи new!relations_name""),6,FALSE)
,
(IF
(
G11595=""юридична особа""
,
VLOO"&amp;"KUP(H11595,IMPORTRANGE(""https://docs.google.com/spreadsheets/d/14Bd19lYaqBhU8_DElYkX7l4wRkHqqCUFNJY4AfY3kHU/edit?usp=sharing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4" s="7" t="s">
        <v>23</v>
      </c>
    </row>
    <row r="11595" spans="1:10" ht="13.2">
      <c r="A11595" s="7">
        <v>11594</v>
      </c>
      <c r="B11595" s="7">
        <v>1</v>
      </c>
      <c r="C11595" s="7" t="s">
        <v>10</v>
      </c>
      <c r="D11595" s="7">
        <v>17719</v>
      </c>
      <c r="E11595" s="7" t="s">
        <v>23</v>
      </c>
      <c r="F11595" s="8" t="str">
        <f ca="1">IFERROR(__xludf.DUMMYFUNCTION("IF
(
C11596=""фізична особа""
,
VLOOKUP(D11596,IMPORTRANGE(""https://docs.google.com/spreadsheets/d/14Bd19lYaqBhU8_DElYkX7l4wRkHqqCUFNJY4AfY3kHU/edit?usp=sharing  #gid=0"",""фіз особи new!relations_name""),6,FALSE)
,
(IF
(
C11596=""юридична особа""
,
VLOO"&amp;"KUP(D11596,IMPORTRANGE(""https://docs.google.com/spreadsheets/d/14Bd19lYaqBhU8_DElYkX7l4wRkHqqCUFNJY4AfY3kHU/edit?usp=sharing  #gid=0"",""фіз особи new!relations_name_uo""),7,FALSE)
,
)
))"),"КРУПНІКОВ Дмитро Михайлович")</f>
        <v>КРУПНІКОВ Дмитро Михайлович</v>
      </c>
      <c r="G11595" s="7" t="s">
        <v>10</v>
      </c>
      <c r="H11595" s="7">
        <v>17716</v>
      </c>
      <c r="I11595" s="8" t="str">
        <f ca="1">IFERROR(__xludf.DUMMYFUNCTION("IF
(
G11596=""фізична особа""
,
VLOOKUP(H11596,IMPORTRANGE(""https://docs.google.com/spreadsheets/d/14Bd19lYaqBhU8_DElYkX7l4wRkHqqCUFNJY4AfY3kHU/edit?usp=sharing  #gid=0"",""фіз особи new!relations_name""),6,FALSE)
,
(IF
(
G11596=""юридична особа""
,
VLOO"&amp;"KUP(H11596,IMPORTRANGE(""https://docs.google.com/spreadsheets/d/14Bd19lYaqBhU8_DElYkX7l4wRkHqqCUFNJY4AfY3kHU/edit?usp=sharing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5" s="7" t="s">
        <v>23</v>
      </c>
    </row>
    <row r="11596" spans="1:10" ht="13.2">
      <c r="A11596" s="7">
        <v>11595</v>
      </c>
      <c r="B11596" s="7">
        <v>1</v>
      </c>
      <c r="C11596" s="7" t="s">
        <v>10</v>
      </c>
      <c r="D11596" s="7">
        <v>17720</v>
      </c>
      <c r="E11596" s="7" t="s">
        <v>23</v>
      </c>
      <c r="F11596" s="8" t="str">
        <f ca="1">IFERROR(__xludf.DUMMYFUNCTION("IF
(
C11597=""фізична особа""
,
VLOOKUP(D11597,IMPORTRANGE(""https://docs.google.com/spreadsheets/d/14Bd19lYaqBhU8_DElYkX7l4wRkHqqCUFNJY4AfY3kHU/edit?usp=sharing  #gid=0"",""фіз особи new!relations_name""),6,FALSE)
,
(IF
(
C11597=""юридична особа""
,
VLOO"&amp;"KUP(D11597,IMPORTRANGE(""https://docs.google.com/spreadsheets/d/14Bd19lYaqBhU8_DElYkX7l4wRkHqqCUFNJY4AfY3kHU/edit?usp=sharing  #gid=0"",""фіз особи new!relations_name_uo""),7,FALSE)
,
)
))"),"СТАРОСТІН Олександр Володимирович")</f>
        <v>СТАРОСТІН Олександр Володимирович</v>
      </c>
      <c r="G11596" s="7" t="s">
        <v>10</v>
      </c>
      <c r="H11596" s="7">
        <v>17716</v>
      </c>
      <c r="I11596" s="8" t="str">
        <f ca="1">IFERROR(__xludf.DUMMYFUNCTION("IF
(
G11597=""фізична особа""
,
VLOOKUP(H11597,IMPORTRANGE(""https://docs.google.com/spreadsheets/d/14Bd19lYaqBhU8_DElYkX7l4wRkHqqCUFNJY4AfY3kHU/edit?usp=sharing  #gid=0"",""фіз особи new!relations_name""),6,FALSE)
,
(IF
(
G11597=""юридична особа""
,
VLOO"&amp;"KUP(H11597,IMPORTRANGE(""https://docs.google.com/spreadsheets/d/14Bd19lYaqBhU8_DElYkX7l4wRkHqqCUFNJY4AfY3kHU/edit?usp=sharing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6" s="7" t="s">
        <v>23</v>
      </c>
    </row>
    <row r="11597" spans="1:10" ht="13.2">
      <c r="A11597" s="7">
        <v>11596</v>
      </c>
      <c r="B11597" s="7">
        <v>1</v>
      </c>
      <c r="C11597" s="7" t="s">
        <v>10</v>
      </c>
      <c r="D11597" s="7">
        <v>17721</v>
      </c>
      <c r="E11597" s="7" t="s">
        <v>23</v>
      </c>
      <c r="F11597" s="8" t="str">
        <f ca="1">IFERROR(__xludf.DUMMYFUNCTION("IF
(
C11598=""фізична особа""
,
VLOOKUP(D11598,IMPORTRANGE(""https://docs.google.com/spreadsheets/d/14Bd19lYaqBhU8_DElYkX7l4wRkHqqCUFNJY4AfY3kHU/edit?usp=sharing  #gid=0"",""фіз особи new!relations_name""),6,FALSE)
,
(IF
(
C11598=""юридична особа""
,
VLOO"&amp;"KUP(D11598,IMPORTRANGE(""https://docs.google.com/spreadsheets/d/14Bd19lYaqBhU8_DElYkX7l4wRkHqqCUFNJY4AfY3kHU/edit?usp=sharing  #gid=0"",""фіз особи new!relations_name_uo""),7,FALSE)
,
)
))"),"ГРИЩУК Михайло Олександрович")</f>
        <v>ГРИЩУК Михайло Олександрович</v>
      </c>
      <c r="G11597" s="7" t="s">
        <v>10</v>
      </c>
      <c r="H11597" s="7">
        <v>17716</v>
      </c>
      <c r="I11597" s="8" t="str">
        <f ca="1">IFERROR(__xludf.DUMMYFUNCTION("IF
(
G11598=""фізична особа""
,
VLOOKUP(H11598,IMPORTRANGE(""https://docs.google.com/spreadsheets/d/14Bd19lYaqBhU8_DElYkX7l4wRkHqqCUFNJY4AfY3kHU/edit?usp=sharing  #gid=0"",""фіз особи new!relations_name""),6,FALSE)
,
(IF
(
G11598=""юридична особа""
,
VLOO"&amp;"KUP(H11598,IMPORTRANGE(""https://docs.google.com/spreadsheets/d/14Bd19lYaqBhU8_DElYkX7l4wRkHqqCUFNJY4AfY3kHU/edit?usp=sharing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7" s="7" t="s">
        <v>23</v>
      </c>
    </row>
    <row r="11598" spans="1:10" ht="13.2">
      <c r="A11598" s="7">
        <v>11597</v>
      </c>
      <c r="B11598" s="7">
        <v>1</v>
      </c>
      <c r="C11598" s="7" t="s">
        <v>10</v>
      </c>
      <c r="D11598" s="7">
        <v>17722</v>
      </c>
      <c r="E11598" s="7" t="s">
        <v>23</v>
      </c>
      <c r="F11598" s="8" t="str">
        <f ca="1">IFERROR(__xludf.DUMMYFUNCTION("IF
(
C11599=""фізична особа""
,
VLOOKUP(D11599,IMPORTRANGE(""https://docs.google.com/spreadsheets/d/14Bd19lYaqBhU8_DElYkX7l4wRkHqqCUFNJY4AfY3kHU/edit?usp=sharing  #gid=0"",""фіз особи new!relations_name""),6,FALSE)
,
(IF
(
C11599=""юридична особа""
,
VLOO"&amp;"KUP(D11599,IMPORTRANGE(""https://docs.google.com/spreadsheets/d/14Bd19lYaqBhU8_DElYkX7l4wRkHqqCUFNJY4AfY3kHU/edit?usp=sharing  #gid=0"",""фіз особи new!relations_name_uo""),7,FALSE)
,
)
))"),"НІКОЛАЙЧУК Роман Олександрович")</f>
        <v>НІКОЛАЙЧУК Роман Олександрович</v>
      </c>
      <c r="G11598" s="7" t="s">
        <v>10</v>
      </c>
      <c r="H11598" s="7">
        <v>17716</v>
      </c>
      <c r="I11598" s="8" t="str">
        <f ca="1">IFERROR(__xludf.DUMMYFUNCTION("IF
(
G11599=""фізична особа""
,
VLOOKUP(H11599,IMPORTRANGE(""https://docs.google.com/spreadsheets/d/14Bd19lYaqBhU8_DElYkX7l4wRkHqqCUFNJY4AfY3kHU/edit?usp=sharing  #gid=0"",""фіз особи new!relations_name""),6,FALSE)
,
(IF
(
G11599=""юридична особа""
,
VLOO"&amp;"KUP(H11599,IMPORTRANGE(""https://docs.google.com/spreadsheets/d/14Bd19lYaqBhU8_DElYkX7l4wRkHqqCUFNJY4AfY3kHU/edit?usp=sharing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8" s="7" t="s">
        <v>23</v>
      </c>
    </row>
    <row r="11599" spans="1:10" ht="13.2">
      <c r="A11599" s="7">
        <v>11598</v>
      </c>
      <c r="B11599" s="7">
        <v>1</v>
      </c>
      <c r="C11599" s="7" t="s">
        <v>10</v>
      </c>
      <c r="D11599" s="7">
        <v>17723</v>
      </c>
      <c r="E11599" s="7" t="s">
        <v>23</v>
      </c>
      <c r="F11599" s="8" t="str">
        <f ca="1">IFERROR(__xludf.DUMMYFUNCTION("IF
(
C11600=""фізична особа""
,
VLOOKUP(D11600,IMPORTRANGE(""https://docs.google.com/spreadsheets/d/14Bd19lYaqBhU8_DElYkX7l4wRkHqqCUFNJY4AfY3kHU/edit?usp=sharing  #gid=0"",""фіз особи new!relations_name""),6,FALSE)
,
(IF
(
C11600=""юридична особа""
,
VLOO"&amp;"KUP(D11600,IMPORTRANGE(""https://docs.google.com/spreadsheets/d/14Bd19lYaqBhU8_DElYkX7l4wRkHqqCUFNJY4AfY3kHU/edit?usp=sharing  #gid=0"",""фіз особи new!relations_name_uo""),7,FALSE)
,
)
))"),"СВЄТЛІКОВ Юрій Миколайович")</f>
        <v>СВЄТЛІКОВ Юрій Миколайович</v>
      </c>
      <c r="G11599" s="7" t="s">
        <v>10</v>
      </c>
      <c r="H11599" s="7">
        <v>17716</v>
      </c>
      <c r="I11599" s="8" t="str">
        <f ca="1">IFERROR(__xludf.DUMMYFUNCTION("IF
(
G11600=""фізична особа""
,
VLOOKUP(H11600,IMPORTRANGE(""https://docs.google.com/spreadsheets/d/14Bd19lYaqBhU8_DElYkX7l4wRkHqqCUFNJY4AfY3kHU/edit?usp=sharing  #gid=0"",""фіз особи new!relations_name""),6,FALSE)
,
(IF
(
G11600=""юридична особа""
,
VLOO"&amp;"KUP(H11600,IMPORTRANGE(""https://docs.google.com/spreadsheets/d/14Bd19lYaqBhU8_DElYkX7l4wRkHqqCUFNJY4AfY3kHU/edit?usp=sharing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599" s="7" t="s">
        <v>23</v>
      </c>
    </row>
    <row r="11600" spans="1:10" ht="13.2">
      <c r="A11600" s="7">
        <v>11599</v>
      </c>
      <c r="B11600" s="7">
        <v>1</v>
      </c>
      <c r="C11600" s="7" t="s">
        <v>10</v>
      </c>
      <c r="D11600" s="7">
        <v>17723</v>
      </c>
      <c r="E11600" s="7" t="s">
        <v>23</v>
      </c>
      <c r="F11600" s="8" t="str">
        <f ca="1">IFERROR(__xludf.DUMMYFUNCTION("IF
(
C11601=""фізична особа""
,
VLOOKUP(D11601,IMPORTRANGE(""https://docs.google.com/spreadsheets/d/14Bd19lYaqBhU8_DElYkX7l4wRkHqqCUFNJY4AfY3kHU/edit?usp=sharing  #gid=0"",""фіз особи new!relations_name""),6,FALSE)
,
(IF
(
C11601=""юридична особа""
,
VLOO"&amp;"KUP(D11601,IMPORTRANGE(""https://docs.google.com/spreadsheets/d/14Bd19lYaqBhU8_DElYkX7l4wRkHqqCUFNJY4AfY3kHU/edit?usp=sharing  #gid=0"",""фіз особи new!relations_name_uo""),7,FALSE)
,
)
))"),"СВЄТЛІКОВ Юрій Миколайович")</f>
        <v>СВЄТЛІКОВ Юрій Миколайович</v>
      </c>
      <c r="G11600" s="7" t="s">
        <v>10</v>
      </c>
      <c r="H11600" s="7">
        <v>8805</v>
      </c>
      <c r="I11600" s="8" t="str">
        <f ca="1">IFERROR(__xludf.DUMMYFUNCTION("IF
(
G11601=""фізична особа""
,
VLOOKUP(H11601,IMPORTRANGE(""https://docs.google.com/spreadsheets/d/14Bd19lYaqBhU8_DElYkX7l4wRkHqqCUFNJY4AfY3kHU/edit?usp=sharing  #gid=0"",""фіз особи new!relations_name""),6,FALSE)
,
(IF
(
G11601=""юридична особа""
,
VLOO"&amp;"KUP(H11601,IMPORTRANGE(""https://docs.google.com/spreadsheets/d/14Bd19lYaqBhU8_DElYkX7l4wRkHqqCUFNJY4AfY3kHU/edit?usp=sharing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11600" s="7" t="s">
        <v>23</v>
      </c>
    </row>
    <row r="11601" spans="1:10" ht="13.2">
      <c r="A11601" s="7">
        <v>11600</v>
      </c>
      <c r="B11601" s="7">
        <v>1</v>
      </c>
      <c r="C11601" s="7" t="s">
        <v>10</v>
      </c>
      <c r="D11601" s="7">
        <v>17724</v>
      </c>
      <c r="E11601" s="7" t="s">
        <v>23</v>
      </c>
      <c r="F11601" s="8" t="str">
        <f ca="1">IFERROR(__xludf.DUMMYFUNCTION("IF
(
C11602=""фізична особа""
,
VLOOKUP(D11602,IMPORTRANGE(""https://docs.google.com/spreadsheets/d/14Bd19lYaqBhU8_DElYkX7l4wRkHqqCUFNJY4AfY3kHU/edit?usp=sharing  #gid=0"",""фіз особи new!relations_name""),6,FALSE)
,
(IF
(
C11602=""юридична особа""
,
VLOO"&amp;"KUP(D11602,IMPORTRANGE(""https://docs.google.com/spreadsheets/d/14Bd19lYaqBhU8_DElYkX7l4wRkHqqCUFNJY4AfY3kHU/edit?usp=sharing  #gid=0"",""фіз особи new!relations_name_uo""),7,FALSE)
,
)
))"),"ПРОСКУРЯКОВА Анжела Анатоліївна")</f>
        <v>ПРОСКУРЯКОВА Анжела Анатоліївна</v>
      </c>
      <c r="G11601" s="7" t="s">
        <v>10</v>
      </c>
      <c r="H11601" s="7">
        <v>17716</v>
      </c>
      <c r="I11601" s="8" t="str">
        <f ca="1">IFERROR(__xludf.DUMMYFUNCTION("IF
(
G11602=""фізична особа""
,
VLOOKUP(H11602,IMPORTRANGE(""https://docs.google.com/spreadsheets/d/14Bd19lYaqBhU8_DElYkX7l4wRkHqqCUFNJY4AfY3kHU/edit?usp=sharing  #gid=0"",""фіз особи new!relations_name""),6,FALSE)
,
(IF
(
G11602=""юридична особа""
,
VLOO"&amp;"KUP(H11602,IMPORTRANGE(""https://docs.google.com/spreadsheets/d/14Bd19lYaqBhU8_DElYkX7l4wRkHqqCUFNJY4AfY3kHU/edit?usp=sharing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601" s="7" t="s">
        <v>23</v>
      </c>
    </row>
    <row r="11602" spans="1:10" ht="13.2">
      <c r="A11602" s="7">
        <v>11601</v>
      </c>
      <c r="B11602" s="7">
        <v>1</v>
      </c>
      <c r="C11602" s="7" t="s">
        <v>10</v>
      </c>
      <c r="D11602" s="7">
        <v>17724</v>
      </c>
      <c r="E11602" s="7" t="s">
        <v>23</v>
      </c>
      <c r="F11602" s="8" t="str">
        <f ca="1">IFERROR(__xludf.DUMMYFUNCTION("IF
(
C11603=""фізична особа""
,
VLOOKUP(D11603,IMPORTRANGE(""https://docs.google.com/spreadsheets/d/14Bd19lYaqBhU8_DElYkX7l4wRkHqqCUFNJY4AfY3kHU/edit?usp=sharing  #gid=0"",""фіз особи new!relations_name""),6,FALSE)
,
(IF
(
C11603=""юридична особа""
,
VLOO"&amp;"KUP(D11603,IMPORTRANGE(""https://docs.google.com/spreadsheets/d/14Bd19lYaqBhU8_DElYkX7l4wRkHqqCUFNJY4AfY3kHU/edit?usp=sharing  #gid=0"",""фіз особи new!relations_name_uo""),7,FALSE)
,
)
))"),"ПРОСКУРЯКОВА Анжела Анатоліївна")</f>
        <v>ПРОСКУРЯКОВА Анжела Анатоліївна</v>
      </c>
      <c r="G11602" s="7" t="s">
        <v>10</v>
      </c>
      <c r="H11602" s="7">
        <v>8805</v>
      </c>
      <c r="I11602" s="8" t="str">
        <f ca="1">IFERROR(__xludf.DUMMYFUNCTION("IF
(
G11603=""фізична особа""
,
VLOOKUP(H11603,IMPORTRANGE(""https://docs.google.com/spreadsheets/d/14Bd19lYaqBhU8_DElYkX7l4wRkHqqCUFNJY4AfY3kHU/edit?usp=sharing  #gid=0"",""фіз особи new!relations_name""),6,FALSE)
,
(IF
(
G11603=""юридична особа""
,
VLOO"&amp;"KUP(H11603,IMPORTRANGE(""https://docs.google.com/spreadsheets/d/14Bd19lYaqBhU8_DElYkX7l4wRkHqqCUFNJY4AfY3kHU/edit?usp=sharing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11602" s="7" t="s">
        <v>23</v>
      </c>
    </row>
    <row r="11603" spans="1:10" ht="13.2">
      <c r="A11603" s="7">
        <v>11602</v>
      </c>
      <c r="B11603" s="7">
        <v>1</v>
      </c>
      <c r="C11603" s="7" t="s">
        <v>10</v>
      </c>
      <c r="D11603" s="7">
        <v>17724</v>
      </c>
      <c r="E11603" s="7" t="s">
        <v>23</v>
      </c>
      <c r="F11603" s="8" t="str">
        <f ca="1">IFERROR(__xludf.DUMMYFUNCTION("IF
(
C11604=""фізична особа""
,
VLOOKUP(D11604,IMPORTRANGE(""https://docs.google.com/spreadsheets/d/14Bd19lYaqBhU8_DElYkX7l4wRkHqqCUFNJY4AfY3kHU/edit?usp=sharing  #gid=0"",""фіз особи new!relations_name""),6,FALSE)
,
(IF
(
C11604=""юридична особа""
,
VLOO"&amp;"KUP(D11604,IMPORTRANGE(""https://docs.google.com/spreadsheets/d/14Bd19lYaqBhU8_DElYkX7l4wRkHqqCUFNJY4AfY3kHU/edit?usp=sharing  #gid=0"",""фіз особи new!relations_name_uo""),7,FALSE)
,
)
))"),"ПРОСКУРЯКОВА Анжела Анатоліївна")</f>
        <v>ПРОСКУРЯКОВА Анжела Анатоліївна</v>
      </c>
      <c r="G11603" s="7" t="s">
        <v>10</v>
      </c>
      <c r="H11603" s="7">
        <v>17723</v>
      </c>
      <c r="I11603" s="8" t="str">
        <f ca="1">IFERROR(__xludf.DUMMYFUNCTION("IF
(
G11604=""фізична особа""
,
VLOOKUP(H11604,IMPORTRANGE(""https://docs.google.com/spreadsheets/d/14Bd19lYaqBhU8_DElYkX7l4wRkHqqCUFNJY4AfY3kHU/edit?usp=sharing  #gid=0"",""фіз особи new!relations_name""),6,FALSE)
,
(IF
(
G11604=""юридична особа""
,
VLOO"&amp;"KUP(H11604,IMPORTRANGE(""https://docs.google.com/spreadsheets/d/14Bd19lYaqBhU8_DElYkX7l4wRkHqqCUFNJY4AfY3kHU/edit?usp=sharing  #gid=0"",""фіз особи new!relations_name_uo""),7,FALSE)
,
)
))"),"СВЄТЛІКОВ Юрій Миколайович")</f>
        <v>СВЄТЛІКОВ Юрій Миколайович</v>
      </c>
      <c r="J11603" s="7" t="s">
        <v>23</v>
      </c>
    </row>
    <row r="11604" spans="1:10" ht="13.2">
      <c r="A11604" s="7">
        <v>11603</v>
      </c>
      <c r="B11604" s="7">
        <v>1</v>
      </c>
      <c r="C11604" s="7" t="s">
        <v>10</v>
      </c>
      <c r="D11604" s="7">
        <v>17725</v>
      </c>
      <c r="E11604" s="7" t="s">
        <v>23</v>
      </c>
      <c r="F11604" s="8" t="str">
        <f ca="1">IFERROR(__xludf.DUMMYFUNCTION("IF
(
C11605=""фізична особа""
,
VLOOKUP(D11605,IMPORTRANGE(""https://docs.google.com/spreadsheets/d/14Bd19lYaqBhU8_DElYkX7l4wRkHqqCUFNJY4AfY3kHU/edit?usp=sharing  #gid=0"",""фіз особи new!relations_name""),6,FALSE)
,
(IF
(
C11605=""юридична особа""
,
VLOO"&amp;"KUP(D11605,IMPORTRANGE(""https://docs.google.com/spreadsheets/d/14Bd19lYaqBhU8_DElYkX7l4wRkHqqCUFNJY4AfY3kHU/edit?usp=sharing  #gid=0"",""фіз особи new!relations_name_uo""),7,FALSE)
,
)
))"),"ШЕРЕДЕКІН Сергій Григорович")</f>
        <v>ШЕРЕДЕКІН Сергій Григорович</v>
      </c>
      <c r="G11604" s="7" t="s">
        <v>10</v>
      </c>
      <c r="H11604" s="7">
        <v>17716</v>
      </c>
      <c r="I11604" s="8" t="str">
        <f ca="1">IFERROR(__xludf.DUMMYFUNCTION("IF
(
G11605=""фізична особа""
,
VLOOKUP(H11605,IMPORTRANGE(""https://docs.google.com/spreadsheets/d/14Bd19lYaqBhU8_DElYkX7l4wRkHqqCUFNJY4AfY3kHU/edit?usp=sharing  #gid=0"",""фіз особи new!relations_name""),6,FALSE)
,
(IF
(
G11605=""юридична особа""
,
VLOO"&amp;"KUP(H11605,IMPORTRANGE(""https://docs.google.com/spreadsheets/d/14Bd19lYaqBhU8_DElYkX7l4wRkHqqCUFNJY4AfY3kHU/edit?usp=sharing  #gid=0"",""фіз особи new!relations_name_uo""),7,FALSE)
,
)
))"),"НЕСТЕРОВ Дмитро Володимирович")</f>
        <v>НЕСТЕРОВ Дмитро Володимирович</v>
      </c>
      <c r="J11604" s="7" t="s">
        <v>23</v>
      </c>
    </row>
    <row r="11605" spans="1:10" ht="13.2">
      <c r="A11605" s="7">
        <v>11604</v>
      </c>
      <c r="B11605" s="7">
        <v>1</v>
      </c>
      <c r="C11605" s="7" t="s">
        <v>10</v>
      </c>
      <c r="D11605" s="7">
        <v>17725</v>
      </c>
      <c r="E11605" s="7" t="s">
        <v>23</v>
      </c>
      <c r="F11605" s="8" t="str">
        <f ca="1">IFERROR(__xludf.DUMMYFUNCTION("IF
(
C11606=""фізична особа""
,
VLOOKUP(D11606,IMPORTRANGE(""https://docs.google.com/spreadsheets/d/14Bd19lYaqBhU8_DElYkX7l4wRkHqqCUFNJY4AfY3kHU/edit?usp=sharing  #gid=0"",""фіз особи new!relations_name""),6,FALSE)
,
(IF
(
C11606=""юридична особа""
,
VLOO"&amp;"KUP(D11606,IMPORTRANGE(""https://docs.google.com/spreadsheets/d/14Bd19lYaqBhU8_DElYkX7l4wRkHqqCUFNJY4AfY3kHU/edit?usp=sharing  #gid=0"",""фіз особи new!relations_name_uo""),7,FALSE)
,
)
))"),"ШЕРЕДЕКІН Сергій Григорович")</f>
        <v>ШЕРЕДЕКІН Сергій Григорович</v>
      </c>
      <c r="G11605" s="7" t="s">
        <v>10</v>
      </c>
      <c r="H11605" s="7">
        <v>8805</v>
      </c>
      <c r="I11605" s="8" t="str">
        <f ca="1">IFERROR(__xludf.DUMMYFUNCTION("IF
(
G11606=""фізична особа""
,
VLOOKUP(H11606,IMPORTRANGE(""https://docs.google.com/spreadsheets/d/14Bd19lYaqBhU8_DElYkX7l4wRkHqqCUFNJY4AfY3kHU/edit?usp=sharing  #gid=0"",""фіз особи new!relations_name""),6,FALSE)
,
(IF
(
G11606=""юридична особа""
,
VLOO"&amp;"KUP(H11606,IMPORTRANGE(""https://docs.google.com/spreadsheets/d/14Bd19lYaqBhU8_DElYkX7l4wRkHqqCUFNJY4AfY3kHU/edit?usp=sharing  #gid=0"",""фіз особи new!relations_name_uo""),7,FALSE)
,
)
))"),"ВЕРХОВСЬКИЙ Олександр Григорович")</f>
        <v>ВЕРХОВСЬКИЙ Олександр Григорович</v>
      </c>
      <c r="J11605" s="7" t="s">
        <v>23</v>
      </c>
    </row>
    <row r="11606" spans="1:10" ht="13.2">
      <c r="A11606" s="7">
        <v>11605</v>
      </c>
      <c r="B11606" s="7">
        <v>1</v>
      </c>
      <c r="C11606" s="7" t="s">
        <v>10</v>
      </c>
      <c r="D11606" s="7">
        <v>17725</v>
      </c>
      <c r="E11606" s="7" t="s">
        <v>23</v>
      </c>
      <c r="F11606" s="8" t="str">
        <f ca="1">IFERROR(__xludf.DUMMYFUNCTION("IF
(
C11607=""фізична особа""
,
VLOOKUP(D11607,IMPORTRANGE(""https://docs.google.com/spreadsheets/d/14Bd19lYaqBhU8_DElYkX7l4wRkHqqCUFNJY4AfY3kHU/edit?usp=sharing  #gid=0"",""фіз особи new!relations_name""),6,FALSE)
,
(IF
(
C11607=""юридична особа""
,
VLOO"&amp;"KUP(D11607,IMPORTRANGE(""https://docs.google.com/spreadsheets/d/14Bd19lYaqBhU8_DElYkX7l4wRkHqqCUFNJY4AfY3kHU/edit?usp=sharing  #gid=0"",""фіз особи new!relations_name_uo""),7,FALSE)
,
)
))"),"ШЕРЕДЕКІН Сергій Григорович")</f>
        <v>ШЕРЕДЕКІН Сергій Григорович</v>
      </c>
      <c r="G11606" s="7" t="s">
        <v>10</v>
      </c>
      <c r="H11606" s="7">
        <v>17723</v>
      </c>
      <c r="I11606" s="8" t="str">
        <f ca="1">IFERROR(__xludf.DUMMYFUNCTION("IF
(
G11607=""фізична особа""
,
VLOOKUP(H11607,IMPORTRANGE(""https://docs.google.com/spreadsheets/d/14Bd19lYaqBhU8_DElYkX7l4wRkHqqCUFNJY4AfY3kHU/edit?usp=sharing  #gid=0"",""фіз особи new!relations_name""),6,FALSE)
,
(IF
(
G11607=""юридична особа""
,
VLOO"&amp;"KUP(H11607,IMPORTRANGE(""https://docs.google.com/spreadsheets/d/14Bd19lYaqBhU8_DElYkX7l4wRkHqqCUFNJY4AfY3kHU/edit?usp=sharing  #gid=0"",""фіз особи new!relations_name_uo""),7,FALSE)
,
)
))"),"СВЄТЛІКОВ Юрій Миколайович")</f>
        <v>СВЄТЛІКОВ Юрій Миколайович</v>
      </c>
      <c r="J11606" s="7" t="s">
        <v>23</v>
      </c>
    </row>
    <row r="11607" spans="1:10" ht="13.2">
      <c r="A11607" s="7">
        <v>11606</v>
      </c>
      <c r="B11607" s="7">
        <v>1</v>
      </c>
      <c r="C11607" s="7" t="s">
        <v>10</v>
      </c>
      <c r="D11607" s="7">
        <v>17737</v>
      </c>
      <c r="E11607" s="7" t="s">
        <v>23</v>
      </c>
      <c r="F11607" s="8" t="str">
        <f ca="1">IFERROR(__xludf.DUMMYFUNCTION("IF
(
C11608=""фізична особа""
,
VLOOKUP(D11608,IMPORTRANGE(""https://docs.google.com/spreadsheets/d/14Bd19lYaqBhU8_DElYkX7l4wRkHqqCUFNJY4AfY3kHU/edit?usp=sharing  #gid=0"",""фіз особи new!relations_name""),6,FALSE)
,
(IF
(
C11608=""юридична особа""
,
VLOO"&amp;"KUP(D11608,IMPORTRANGE(""https://docs.google.com/spreadsheets/d/14Bd19lYaqBhU8_DElYkX7l4wRkHqqCUFNJY4AfY3kHU/edit?usp=sharing  #gid=0"",""фіз особи new!relations_name_uo""),7,FALSE)
,
)
))"),"СЕЛЮТІНА Марія Ігорівна")</f>
        <v>СЕЛЮТІНА Марія Ігорівна</v>
      </c>
      <c r="G11607" s="7" t="s">
        <v>10</v>
      </c>
      <c r="H11607" s="7">
        <v>17738</v>
      </c>
      <c r="I11607" s="8" t="str">
        <f ca="1">IFERROR(__xludf.DUMMYFUNCTION("IF
(
G11608=""фізична особа""
,
VLOOKUP(H11608,IMPORTRANGE(""https://docs.google.com/spreadsheets/d/14Bd19lYaqBhU8_DElYkX7l4wRkHqqCUFNJY4AfY3kHU/edit?usp=sharing  #gid=0"",""фіз особи new!relations_name""),6,FALSE)
,
(IF
(
G11608=""юридична особа""
,
VLOO"&amp;"KUP(H11608,IMPORTRANGE(""https://docs.google.com/spreadsheets/d/14Bd19lYaqBhU8_DElYkX7l4wRkHqqCUFNJY4AfY3kHU/edit?usp=sharing  #gid=0"",""фіз особи new!relations_name_uo""),7,FALSE)
,
)
))"),"АГЄЄВА Марія Сергіївна")</f>
        <v>АГЄЄВА Марія Сергіївна</v>
      </c>
      <c r="J11607" s="7" t="s">
        <v>23</v>
      </c>
    </row>
    <row r="11608" spans="1:10" ht="13.2">
      <c r="A11608" s="7">
        <v>11607</v>
      </c>
      <c r="B11608" s="7">
        <v>1</v>
      </c>
      <c r="C11608" s="7" t="s">
        <v>10</v>
      </c>
      <c r="D11608" s="7">
        <v>17738</v>
      </c>
      <c r="E11608" s="7" t="s">
        <v>23</v>
      </c>
      <c r="F11608" s="8" t="str">
        <f ca="1">IFERROR(__xludf.DUMMYFUNCTION("IF
(
C11609=""фізична особа""
,
VLOOKUP(D11609,IMPORTRANGE(""https://docs.google.com/spreadsheets/d/14Bd19lYaqBhU8_DElYkX7l4wRkHqqCUFNJY4AfY3kHU/edit?usp=sharing  #gid=0"",""фіз особи new!relations_name""),6,FALSE)
,
(IF
(
C11609=""юридична особа""
,
VLOO"&amp;"KUP(D11609,IMPORTRANGE(""https://docs.google.com/spreadsheets/d/14Bd19lYaqBhU8_DElYkX7l4wRkHqqCUFNJY4AfY3kHU/edit?usp=sharing  #gid=0"",""фіз особи new!relations_name_uo""),7,FALSE)
,
)
))"),"АГЄЄВА Марія Сергіївна")</f>
        <v>АГЄЄВА Марія Сергіївна</v>
      </c>
      <c r="G11608" s="7" t="s">
        <v>10</v>
      </c>
      <c r="H11608" s="7">
        <v>17737</v>
      </c>
      <c r="I11608" s="8" t="str">
        <f ca="1">IFERROR(__xludf.DUMMYFUNCTION("IF
(
G11609=""фізична особа""
,
VLOOKUP(H11609,IMPORTRANGE(""https://docs.google.com/spreadsheets/d/14Bd19lYaqBhU8_DElYkX7l4wRkHqqCUFNJY4AfY3kHU/edit?usp=sharing  #gid=0"",""фіз особи new!relations_name""),6,FALSE)
,
(IF
(
G11609=""юридична особа""
,
VLOO"&amp;"KUP(H11609,IMPORTRANGE(""https://docs.google.com/spreadsheets/d/14Bd19lYaqBhU8_DElYkX7l4wRkHqqCUFNJY4AfY3kHU/edit?usp=sharing  #gid=0"",""фіз особи new!relations_name_uo""),7,FALSE)
,
)
))"),"СЕЛЮТІНА Марія Ігорівна")</f>
        <v>СЕЛЮТІНА Марія Ігорівна</v>
      </c>
      <c r="J11608" s="7" t="s">
        <v>23</v>
      </c>
    </row>
    <row r="11609" spans="1:10" ht="13.2">
      <c r="A11609" s="7">
        <v>11608</v>
      </c>
      <c r="B11609" s="7">
        <v>1</v>
      </c>
      <c r="C11609" s="7" t="s">
        <v>10</v>
      </c>
      <c r="D11609" s="7">
        <v>17739</v>
      </c>
      <c r="E11609" s="7" t="s">
        <v>23</v>
      </c>
      <c r="F11609" s="8" t="str">
        <f ca="1">IFERROR(__xludf.DUMMYFUNCTION("IF
(
C11610=""фізична особа""
,
VLOOKUP(D11610,IMPORTRANGE(""https://docs.google.com/spreadsheets/d/14Bd19lYaqBhU8_DElYkX7l4wRkHqqCUFNJY4AfY3kHU/edit?usp=sharing  #gid=0"",""фіз особи new!relations_name""),6,FALSE)
,
(IF
(
C11610=""юридична особа""
,
VLOO"&amp;"KUP(D11610,IMPORTRANGE(""https://docs.google.com/spreadsheets/d/14Bd19lYaqBhU8_DElYkX7l4wRkHqqCUFNJY4AfY3kHU/edit?usp=sharing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09" s="7" t="s">
        <v>10</v>
      </c>
      <c r="H11609" s="7">
        <v>17740</v>
      </c>
      <c r="I11609" s="8" t="str">
        <f ca="1">IFERROR(__xludf.DUMMYFUNCTION("IF
(
G11610=""фізична особа""
,
VLOOKUP(H11610,IMPORTRANGE(""https://docs.google.com/spreadsheets/d/14Bd19lYaqBhU8_DElYkX7l4wRkHqqCUFNJY4AfY3kHU/edit?usp=sharing  #gid=0"",""фіз особи new!relations_name""),6,FALSE)
,
(IF
(
G11610=""юридична особа""
,
VLOO"&amp;"KUP(H11610,IMPORTRANGE(""https://docs.google.com/spreadsheets/d/14Bd19lYaqBhU8_DElYkX7l4wRkHqqCUFNJY4AfY3kHU/edit?usp=sharing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09" s="7" t="s">
        <v>23</v>
      </c>
    </row>
    <row r="11610" spans="1:10" ht="13.2">
      <c r="A11610" s="7">
        <v>11609</v>
      </c>
      <c r="B11610" s="7">
        <v>1</v>
      </c>
      <c r="C11610" s="7" t="s">
        <v>10</v>
      </c>
      <c r="D11610" s="7">
        <v>17739</v>
      </c>
      <c r="E11610" s="7" t="s">
        <v>23</v>
      </c>
      <c r="F11610" s="8" t="str">
        <f ca="1">IFERROR(__xludf.DUMMYFUNCTION("IF
(
C11611=""фізична особа""
,
VLOOKUP(D11611,IMPORTRANGE(""https://docs.google.com/spreadsheets/d/14Bd19lYaqBhU8_DElYkX7l4wRkHqqCUFNJY4AfY3kHU/edit?usp=sharing  #gid=0"",""фіз особи new!relations_name""),6,FALSE)
,
(IF
(
C11611=""юридична особа""
,
VLOO"&amp;"KUP(D11611,IMPORTRANGE(""https://docs.google.com/spreadsheets/d/14Bd19lYaqBhU8_DElYkX7l4wRkHqqCUFNJY4AfY3kHU/edit?usp=sharing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10" s="7" t="s">
        <v>10</v>
      </c>
      <c r="H11610" s="7">
        <v>17741</v>
      </c>
      <c r="I11610" s="8" t="str">
        <f ca="1">IFERROR(__xludf.DUMMYFUNCTION("IF
(
G11611=""фізична особа""
,
VLOOKUP(H11611,IMPORTRANGE(""https://docs.google.com/spreadsheets/d/14Bd19lYaqBhU8_DElYkX7l4wRkHqqCUFNJY4AfY3kHU/edit?usp=sharing  #gid=0"",""фіз особи new!relations_name""),6,FALSE)
,
(IF
(
G11611=""юридична особа""
,
VLOO"&amp;"KUP(H11611,IMPORTRANGE(""https://docs.google.com/spreadsheets/d/14Bd19lYaqBhU8_DElYkX7l4wRkHqqCUFNJY4AfY3kHU/edit?usp=sharing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10" s="7" t="s">
        <v>23</v>
      </c>
    </row>
    <row r="11611" spans="1:10" ht="13.2">
      <c r="A11611" s="7">
        <v>11610</v>
      </c>
      <c r="B11611" s="7">
        <v>1</v>
      </c>
      <c r="C11611" s="7" t="s">
        <v>10</v>
      </c>
      <c r="D11611" s="7">
        <v>17739</v>
      </c>
      <c r="E11611" s="7" t="s">
        <v>23</v>
      </c>
      <c r="F11611" s="8" t="str">
        <f ca="1">IFERROR(__xludf.DUMMYFUNCTION("IF
(
C11612=""фізична особа""
,
VLOOKUP(D11612,IMPORTRANGE(""https://docs.google.com/spreadsheets/d/14Bd19lYaqBhU8_DElYkX7l4wRkHqqCUFNJY4AfY3kHU/edit?usp=sharing  #gid=0"",""фіз особи new!relations_name""),6,FALSE)
,
(IF
(
C11612=""юридична особа""
,
VLOO"&amp;"KUP(D11612,IMPORTRANGE(""https://docs.google.com/spreadsheets/d/14Bd19lYaqBhU8_DElYkX7l4wRkHqqCUFNJY4AfY3kHU/edit?usp=sharing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11" s="7" t="s">
        <v>10</v>
      </c>
      <c r="H11611" s="7">
        <v>17742</v>
      </c>
      <c r="I11611" s="8" t="str">
        <f ca="1">IFERROR(__xludf.DUMMYFUNCTION("IF
(
G11612=""фізична особа""
,
VLOOKUP(H11612,IMPORTRANGE(""https://docs.google.com/spreadsheets/d/14Bd19lYaqBhU8_DElYkX7l4wRkHqqCUFNJY4AfY3kHU/edit?usp=sharing  #gid=0"",""фіз особи new!relations_name""),6,FALSE)
,
(IF
(
G11612=""юридична особа""
,
VLOO"&amp;"KUP(H11612,IMPORTRANGE(""https://docs.google.com/spreadsheets/d/14Bd19lYaqBhU8_DElYkX7l4wRkHqqCUFNJY4AfY3kHU/edit?usp=sharing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11" s="7" t="s">
        <v>23</v>
      </c>
    </row>
    <row r="11612" spans="1:10" ht="13.2">
      <c r="A11612" s="7">
        <v>11611</v>
      </c>
      <c r="B11612" s="7">
        <v>1</v>
      </c>
      <c r="C11612" s="7" t="s">
        <v>10</v>
      </c>
      <c r="D11612" s="7">
        <v>17739</v>
      </c>
      <c r="E11612" s="7" t="s">
        <v>23</v>
      </c>
      <c r="F11612" s="8" t="str">
        <f ca="1">IFERROR(__xludf.DUMMYFUNCTION("IF
(
C11613=""фізична особа""
,
VLOOKUP(D11613,IMPORTRANGE(""https://docs.google.com/spreadsheets/d/14Bd19lYaqBhU8_DElYkX7l4wRkHqqCUFNJY4AfY3kHU/edit?usp=sharing  #gid=0"",""фіз особи new!relations_name""),6,FALSE)
,
(IF
(
C11613=""юридична особа""
,
VLOO"&amp;"KUP(D11613,IMPORTRANGE(""https://docs.google.com/spreadsheets/d/14Bd19lYaqBhU8_DElYkX7l4wRkHqqCUFNJY4AfY3kHU/edit?usp=sharing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12" s="7" t="s">
        <v>10</v>
      </c>
      <c r="H11612" s="7">
        <v>17743</v>
      </c>
      <c r="I11612" s="8" t="str">
        <f ca="1">IFERROR(__xludf.DUMMYFUNCTION("IF
(
G11613=""фізична особа""
,
VLOOKUP(H11613,IMPORTRANGE(""https://docs.google.com/spreadsheets/d/14Bd19lYaqBhU8_DElYkX7l4wRkHqqCUFNJY4AfY3kHU/edit?usp=sharing  #gid=0"",""фіз особи new!relations_name""),6,FALSE)
,
(IF
(
G11613=""юридична особа""
,
VLOO"&amp;"KUP(H11613,IMPORTRANGE(""https://docs.google.com/spreadsheets/d/14Bd19lYaqBhU8_DElYkX7l4wRkHqqCUFNJY4AfY3kHU/edit?usp=sharing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12" s="7" t="s">
        <v>23</v>
      </c>
    </row>
    <row r="11613" spans="1:10" ht="13.2">
      <c r="A11613" s="7">
        <v>11612</v>
      </c>
      <c r="B11613" s="7">
        <v>1</v>
      </c>
      <c r="C11613" s="7" t="s">
        <v>10</v>
      </c>
      <c r="D11613" s="7">
        <v>17739</v>
      </c>
      <c r="E11613" s="7" t="s">
        <v>23</v>
      </c>
      <c r="F11613" s="8" t="str">
        <f ca="1">IFERROR(__xludf.DUMMYFUNCTION("IF
(
C11614=""фізична особа""
,
VLOOKUP(D11614,IMPORTRANGE(""https://docs.google.com/spreadsheets/d/14Bd19lYaqBhU8_DElYkX7l4wRkHqqCUFNJY4AfY3kHU/edit?usp=sharing  #gid=0"",""фіз особи new!relations_name""),6,FALSE)
,
(IF
(
C11614=""юридична особа""
,
VLOO"&amp;"KUP(D11614,IMPORTRANGE(""https://docs.google.com/spreadsheets/d/14Bd19lYaqBhU8_DElYkX7l4wRkHqqCUFNJY4AfY3kHU/edit?usp=sharing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13" s="7" t="s">
        <v>10</v>
      </c>
      <c r="H11613" s="7">
        <v>17744</v>
      </c>
      <c r="I11613" s="8" t="str">
        <f ca="1">IFERROR(__xludf.DUMMYFUNCTION("IF
(
G11614=""фізична особа""
,
VLOOKUP(H11614,IMPORTRANGE(""https://docs.google.com/spreadsheets/d/14Bd19lYaqBhU8_DElYkX7l4wRkHqqCUFNJY4AfY3kHU/edit?usp=sharing  #gid=0"",""фіз особи new!relations_name""),6,FALSE)
,
(IF
(
G11614=""юридична особа""
,
VLOO"&amp;"KUP(H11614,IMPORTRANGE(""https://docs.google.com/spreadsheets/d/14Bd19lYaqBhU8_DElYkX7l4wRkHqqCUFNJY4AfY3kHU/edit?usp=sharing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13" s="7" t="s">
        <v>23</v>
      </c>
    </row>
    <row r="11614" spans="1:10" ht="13.2">
      <c r="A11614" s="7">
        <v>11613</v>
      </c>
      <c r="B11614" s="7">
        <v>1</v>
      </c>
      <c r="C11614" s="7" t="s">
        <v>10</v>
      </c>
      <c r="D11614" s="7">
        <v>17739</v>
      </c>
      <c r="E11614" s="7" t="s">
        <v>23</v>
      </c>
      <c r="F11614" s="8" t="str">
        <f ca="1">IFERROR(__xludf.DUMMYFUNCTION("IF
(
C11615=""фізична особа""
,
VLOOKUP(D11615,IMPORTRANGE(""https://docs.google.com/spreadsheets/d/14Bd19lYaqBhU8_DElYkX7l4wRkHqqCUFNJY4AfY3kHU/edit?usp=sharing  #gid=0"",""фіз особи new!relations_name""),6,FALSE)
,
(IF
(
C11615=""юридична особа""
,
VLOO"&amp;"KUP(D11615,IMPORTRANGE(""https://docs.google.com/spreadsheets/d/14Bd19lYaqBhU8_DElYkX7l4wRkHqqCUFNJY4AfY3kHU/edit?usp=sharing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G11614" s="7" t="s">
        <v>10</v>
      </c>
      <c r="H11614" s="7">
        <v>17745</v>
      </c>
      <c r="I11614" s="8" t="str">
        <f ca="1">IFERROR(__xludf.DUMMYFUNCTION("IF
(
G11615=""фізична особа""
,
VLOOKUP(H11615,IMPORTRANGE(""https://docs.google.com/spreadsheets/d/14Bd19lYaqBhU8_DElYkX7l4wRkHqqCUFNJY4AfY3kHU/edit?usp=sharing  #gid=0"",""фіз особи new!relations_name""),6,FALSE)
,
(IF
(
G11615=""юридична особа""
,
VLOO"&amp;"KUP(H11615,IMPORTRANGE(""https://docs.google.com/spreadsheets/d/14Bd19lYaqBhU8_DElYkX7l4wRkHqqCUFNJY4AfY3kHU/edit?usp=sharing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14" s="7" t="s">
        <v>23</v>
      </c>
    </row>
    <row r="11615" spans="1:10" ht="13.2">
      <c r="A11615" s="7">
        <v>11614</v>
      </c>
      <c r="B11615" s="7">
        <v>1</v>
      </c>
      <c r="C11615" s="7" t="s">
        <v>10</v>
      </c>
      <c r="D11615" s="7">
        <v>17740</v>
      </c>
      <c r="E11615" s="7" t="s">
        <v>23</v>
      </c>
      <c r="F11615" s="8" t="str">
        <f ca="1">IFERROR(__xludf.DUMMYFUNCTION("IF
(
C11616=""фізична особа""
,
VLOOKUP(D11616,IMPORTRANGE(""https://docs.google.com/spreadsheets/d/14Bd19lYaqBhU8_DElYkX7l4wRkHqqCUFNJY4AfY3kHU/edit?usp=sharing  #gid=0"",""фіз особи new!relations_name""),6,FALSE)
,
(IF
(
C11616=""юридична особа""
,
VLOO"&amp;"KUP(D11616,IMPORTRANGE(""https://docs.google.com/spreadsheets/d/14Bd19lYaqBhU8_DElYkX7l4wRkHqqCUFNJY4AfY3kHU/edit?usp=sharing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15" s="7" t="s">
        <v>10</v>
      </c>
      <c r="H11615" s="7">
        <v>17739</v>
      </c>
      <c r="I11615" s="8" t="str">
        <f ca="1">IFERROR(__xludf.DUMMYFUNCTION("IF
(
G11616=""фізична особа""
,
VLOOKUP(H11616,IMPORTRANGE(""https://docs.google.com/spreadsheets/d/14Bd19lYaqBhU8_DElYkX7l4wRkHqqCUFNJY4AfY3kHU/edit?usp=sharing  #gid=0"",""фіз особи new!relations_name""),6,FALSE)
,
(IF
(
G11616=""юридична особа""
,
VLOO"&amp;"KUP(H11616,IMPORTRANGE(""https://docs.google.com/spreadsheets/d/14Bd19lYaqBhU8_DElYkX7l4wRkHqqCUFNJY4AfY3kHU/edit?usp=sharing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15" s="7" t="s">
        <v>23</v>
      </c>
    </row>
    <row r="11616" spans="1:10" ht="13.2">
      <c r="A11616" s="7">
        <v>11615</v>
      </c>
      <c r="B11616" s="7">
        <v>1</v>
      </c>
      <c r="C11616" s="7" t="s">
        <v>10</v>
      </c>
      <c r="D11616" s="7">
        <v>17740</v>
      </c>
      <c r="E11616" s="7" t="s">
        <v>23</v>
      </c>
      <c r="F11616" s="8" t="str">
        <f ca="1">IFERROR(__xludf.DUMMYFUNCTION("IF
(
C11617=""фізична особа""
,
VLOOKUP(D11617,IMPORTRANGE(""https://docs.google.com/spreadsheets/d/14Bd19lYaqBhU8_DElYkX7l4wRkHqqCUFNJY4AfY3kHU/edit?usp=sharing  #gid=0"",""фіз особи new!relations_name""),6,FALSE)
,
(IF
(
C11617=""юридична особа""
,
VLOO"&amp;"KUP(D11617,IMPORTRANGE(""https://docs.google.com/spreadsheets/d/14Bd19lYaqBhU8_DElYkX7l4wRkHqqCUFNJY4AfY3kHU/edit?usp=sharing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16" s="7" t="s">
        <v>10</v>
      </c>
      <c r="H11616" s="7">
        <v>17741</v>
      </c>
      <c r="I11616" s="8" t="str">
        <f ca="1">IFERROR(__xludf.DUMMYFUNCTION("IF
(
G11617=""фізична особа""
,
VLOOKUP(H11617,IMPORTRANGE(""https://docs.google.com/spreadsheets/d/14Bd19lYaqBhU8_DElYkX7l4wRkHqqCUFNJY4AfY3kHU/edit?usp=sharing  #gid=0"",""фіз особи new!relations_name""),6,FALSE)
,
(IF
(
G11617=""юридична особа""
,
VLOO"&amp;"KUP(H11617,IMPORTRANGE(""https://docs.google.com/spreadsheets/d/14Bd19lYaqBhU8_DElYkX7l4wRkHqqCUFNJY4AfY3kHU/edit?usp=sharing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16" s="7" t="s">
        <v>23</v>
      </c>
    </row>
    <row r="11617" spans="1:10" ht="13.2">
      <c r="A11617" s="7">
        <v>11616</v>
      </c>
      <c r="B11617" s="7">
        <v>1</v>
      </c>
      <c r="C11617" s="7" t="s">
        <v>10</v>
      </c>
      <c r="D11617" s="7">
        <v>17740</v>
      </c>
      <c r="E11617" s="7" t="s">
        <v>23</v>
      </c>
      <c r="F11617" s="8" t="str">
        <f ca="1">IFERROR(__xludf.DUMMYFUNCTION("IF
(
C11618=""фізична особа""
,
VLOOKUP(D11618,IMPORTRANGE(""https://docs.google.com/spreadsheets/d/14Bd19lYaqBhU8_DElYkX7l4wRkHqqCUFNJY4AfY3kHU/edit?usp=sharing  #gid=0"",""фіз особи new!relations_name""),6,FALSE)
,
(IF
(
C11618=""юридична особа""
,
VLOO"&amp;"KUP(D11618,IMPORTRANGE(""https://docs.google.com/spreadsheets/d/14Bd19lYaqBhU8_DElYkX7l4wRkHqqCUFNJY4AfY3kHU/edit?usp=sharing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17" s="7" t="s">
        <v>10</v>
      </c>
      <c r="H11617" s="7">
        <v>17742</v>
      </c>
      <c r="I11617" s="8" t="str">
        <f ca="1">IFERROR(__xludf.DUMMYFUNCTION("IF
(
G11618=""фізична особа""
,
VLOOKUP(H11618,IMPORTRANGE(""https://docs.google.com/spreadsheets/d/14Bd19lYaqBhU8_DElYkX7l4wRkHqqCUFNJY4AfY3kHU/edit?usp=sharing  #gid=0"",""фіз особи new!relations_name""),6,FALSE)
,
(IF
(
G11618=""юридична особа""
,
VLOO"&amp;"KUP(H11618,IMPORTRANGE(""https://docs.google.com/spreadsheets/d/14Bd19lYaqBhU8_DElYkX7l4wRkHqqCUFNJY4AfY3kHU/edit?usp=sharing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17" s="7" t="s">
        <v>23</v>
      </c>
    </row>
    <row r="11618" spans="1:10" ht="13.2">
      <c r="A11618" s="7">
        <v>11617</v>
      </c>
      <c r="B11618" s="7">
        <v>1</v>
      </c>
      <c r="C11618" s="7" t="s">
        <v>10</v>
      </c>
      <c r="D11618" s="7">
        <v>17740</v>
      </c>
      <c r="E11618" s="7" t="s">
        <v>23</v>
      </c>
      <c r="F11618" s="8" t="str">
        <f ca="1">IFERROR(__xludf.DUMMYFUNCTION("IF
(
C11619=""фізична особа""
,
VLOOKUP(D11619,IMPORTRANGE(""https://docs.google.com/spreadsheets/d/14Bd19lYaqBhU8_DElYkX7l4wRkHqqCUFNJY4AfY3kHU/edit?usp=sharing  #gid=0"",""фіз особи new!relations_name""),6,FALSE)
,
(IF
(
C11619=""юридична особа""
,
VLOO"&amp;"KUP(D11619,IMPORTRANGE(""https://docs.google.com/spreadsheets/d/14Bd19lYaqBhU8_DElYkX7l4wRkHqqCUFNJY4AfY3kHU/edit?usp=sharing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18" s="7" t="s">
        <v>10</v>
      </c>
      <c r="H11618" s="7">
        <v>17743</v>
      </c>
      <c r="I11618" s="8" t="str">
        <f ca="1">IFERROR(__xludf.DUMMYFUNCTION("IF
(
G11619=""фізична особа""
,
VLOOKUP(H11619,IMPORTRANGE(""https://docs.google.com/spreadsheets/d/14Bd19lYaqBhU8_DElYkX7l4wRkHqqCUFNJY4AfY3kHU/edit?usp=sharing  #gid=0"",""фіз особи new!relations_name""),6,FALSE)
,
(IF
(
G11619=""юридична особа""
,
VLOO"&amp;"KUP(H11619,IMPORTRANGE(""https://docs.google.com/spreadsheets/d/14Bd19lYaqBhU8_DElYkX7l4wRkHqqCUFNJY4AfY3kHU/edit?usp=sharing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18" s="7" t="s">
        <v>23</v>
      </c>
    </row>
    <row r="11619" spans="1:10" ht="13.2">
      <c r="A11619" s="7">
        <v>11618</v>
      </c>
      <c r="B11619" s="7">
        <v>1</v>
      </c>
      <c r="C11619" s="7" t="s">
        <v>10</v>
      </c>
      <c r="D11619" s="7">
        <v>17740</v>
      </c>
      <c r="E11619" s="7" t="s">
        <v>23</v>
      </c>
      <c r="F11619" s="8" t="str">
        <f ca="1">IFERROR(__xludf.DUMMYFUNCTION("IF
(
C11620=""фізична особа""
,
VLOOKUP(D11620,IMPORTRANGE(""https://docs.google.com/spreadsheets/d/14Bd19lYaqBhU8_DElYkX7l4wRkHqqCUFNJY4AfY3kHU/edit?usp=sharing  #gid=0"",""фіз особи new!relations_name""),6,FALSE)
,
(IF
(
C11620=""юридична особа""
,
VLOO"&amp;"KUP(D11620,IMPORTRANGE(""https://docs.google.com/spreadsheets/d/14Bd19lYaqBhU8_DElYkX7l4wRkHqqCUFNJY4AfY3kHU/edit?usp=sharing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19" s="7" t="s">
        <v>10</v>
      </c>
      <c r="H11619" s="7">
        <v>17744</v>
      </c>
      <c r="I11619" s="8" t="str">
        <f ca="1">IFERROR(__xludf.DUMMYFUNCTION("IF
(
G11620=""фізична особа""
,
VLOOKUP(H11620,IMPORTRANGE(""https://docs.google.com/spreadsheets/d/14Bd19lYaqBhU8_DElYkX7l4wRkHqqCUFNJY4AfY3kHU/edit?usp=sharing  #gid=0"",""фіз особи new!relations_name""),6,FALSE)
,
(IF
(
G11620=""юридична особа""
,
VLOO"&amp;"KUP(H11620,IMPORTRANGE(""https://docs.google.com/spreadsheets/d/14Bd19lYaqBhU8_DElYkX7l4wRkHqqCUFNJY4AfY3kHU/edit?usp=sharing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19" s="7" t="s">
        <v>23</v>
      </c>
    </row>
    <row r="11620" spans="1:10" ht="13.2">
      <c r="A11620" s="7">
        <v>11619</v>
      </c>
      <c r="B11620" s="7">
        <v>1</v>
      </c>
      <c r="C11620" s="7" t="s">
        <v>10</v>
      </c>
      <c r="D11620" s="7">
        <v>17740</v>
      </c>
      <c r="E11620" s="7" t="s">
        <v>23</v>
      </c>
      <c r="F11620" s="8" t="str">
        <f ca="1">IFERROR(__xludf.DUMMYFUNCTION("IF
(
C11621=""фізична особа""
,
VLOOKUP(D11621,IMPORTRANGE(""https://docs.google.com/spreadsheets/d/14Bd19lYaqBhU8_DElYkX7l4wRkHqqCUFNJY4AfY3kHU/edit?usp=sharing  #gid=0"",""фіз особи new!relations_name""),6,FALSE)
,
(IF
(
C11621=""юридична особа""
,
VLOO"&amp;"KUP(D11621,IMPORTRANGE(""https://docs.google.com/spreadsheets/d/14Bd19lYaqBhU8_DElYkX7l4wRkHqqCUFNJY4AfY3kHU/edit?usp=sharing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G11620" s="7" t="s">
        <v>10</v>
      </c>
      <c r="H11620" s="7">
        <v>17745</v>
      </c>
      <c r="I11620" s="8" t="str">
        <f ca="1">IFERROR(__xludf.DUMMYFUNCTION("IF
(
G11621=""фізична особа""
,
VLOOKUP(H11621,IMPORTRANGE(""https://docs.google.com/spreadsheets/d/14Bd19lYaqBhU8_DElYkX7l4wRkHqqCUFNJY4AfY3kHU/edit?usp=sharing  #gid=0"",""фіз особи new!relations_name""),6,FALSE)
,
(IF
(
G11621=""юридична особа""
,
VLOO"&amp;"KUP(H11621,IMPORTRANGE(""https://docs.google.com/spreadsheets/d/14Bd19lYaqBhU8_DElYkX7l4wRkHqqCUFNJY4AfY3kHU/edit?usp=sharing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20" s="7" t="s">
        <v>23</v>
      </c>
    </row>
    <row r="11621" spans="1:10" ht="13.2">
      <c r="A11621" s="7">
        <v>11620</v>
      </c>
      <c r="B11621" s="7">
        <v>1</v>
      </c>
      <c r="C11621" s="7" t="s">
        <v>10</v>
      </c>
      <c r="D11621" s="7">
        <v>17741</v>
      </c>
      <c r="E11621" s="7" t="s">
        <v>23</v>
      </c>
      <c r="F11621" s="8" t="str">
        <f ca="1">IFERROR(__xludf.DUMMYFUNCTION("IF
(
C11622=""фізична особа""
,
VLOOKUP(D11622,IMPORTRANGE(""https://docs.google.com/spreadsheets/d/14Bd19lYaqBhU8_DElYkX7l4wRkHqqCUFNJY4AfY3kHU/edit?usp=sharing  #gid=0"",""фіз особи new!relations_name""),6,FALSE)
,
(IF
(
C11622=""юридична особа""
,
VLOO"&amp;"KUP(D11622,IMPORTRANGE(""https://docs.google.com/spreadsheets/d/14Bd19lYaqBhU8_DElYkX7l4wRkHqqCUFNJY4AfY3kHU/edit?usp=sharing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1" s="7" t="s">
        <v>10</v>
      </c>
      <c r="H11621" s="7">
        <v>17739</v>
      </c>
      <c r="I11621" s="8" t="str">
        <f ca="1">IFERROR(__xludf.DUMMYFUNCTION("IF
(
G11622=""фізична особа""
,
VLOOKUP(H11622,IMPORTRANGE(""https://docs.google.com/spreadsheets/d/14Bd19lYaqBhU8_DElYkX7l4wRkHqqCUFNJY4AfY3kHU/edit?usp=sharing  #gid=0"",""фіз особи new!relations_name""),6,FALSE)
,
(IF
(
G11622=""юридична особа""
,
VLOO"&amp;"KUP(H11622,IMPORTRANGE(""https://docs.google.com/spreadsheets/d/14Bd19lYaqBhU8_DElYkX7l4wRkHqqCUFNJY4AfY3kHU/edit?usp=sharing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21" s="7" t="s">
        <v>23</v>
      </c>
    </row>
    <row r="11622" spans="1:10" ht="13.2">
      <c r="A11622" s="7">
        <v>11621</v>
      </c>
      <c r="B11622" s="7">
        <v>1</v>
      </c>
      <c r="C11622" s="7" t="s">
        <v>10</v>
      </c>
      <c r="D11622" s="7">
        <v>17741</v>
      </c>
      <c r="E11622" s="7" t="s">
        <v>23</v>
      </c>
      <c r="F11622" s="8" t="str">
        <f ca="1">IFERROR(__xludf.DUMMYFUNCTION("IF
(
C11623=""фізична особа""
,
VLOOKUP(D11623,IMPORTRANGE(""https://docs.google.com/spreadsheets/d/14Bd19lYaqBhU8_DElYkX7l4wRkHqqCUFNJY4AfY3kHU/edit?usp=sharing  #gid=0"",""фіз особи new!relations_name""),6,FALSE)
,
(IF
(
C11623=""юридична особа""
,
VLOO"&amp;"KUP(D11623,IMPORTRANGE(""https://docs.google.com/spreadsheets/d/14Bd19lYaqBhU8_DElYkX7l4wRkHqqCUFNJY4AfY3kHU/edit?usp=sharing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2" s="7" t="s">
        <v>10</v>
      </c>
      <c r="H11622" s="7">
        <v>17740</v>
      </c>
      <c r="I11622" s="8" t="str">
        <f ca="1">IFERROR(__xludf.DUMMYFUNCTION("IF
(
G11623=""фізична особа""
,
VLOOKUP(H11623,IMPORTRANGE(""https://docs.google.com/spreadsheets/d/14Bd19lYaqBhU8_DElYkX7l4wRkHqqCUFNJY4AfY3kHU/edit?usp=sharing  #gid=0"",""фіз особи new!relations_name""),6,FALSE)
,
(IF
(
G11623=""юридична особа""
,
VLOO"&amp;"KUP(H11623,IMPORTRANGE(""https://docs.google.com/spreadsheets/d/14Bd19lYaqBhU8_DElYkX7l4wRkHqqCUFNJY4AfY3kHU/edit?usp=sharing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22" s="7" t="s">
        <v>23</v>
      </c>
    </row>
    <row r="11623" spans="1:10" ht="13.2">
      <c r="A11623" s="7">
        <v>11622</v>
      </c>
      <c r="B11623" s="7">
        <v>1</v>
      </c>
      <c r="C11623" s="7" t="s">
        <v>10</v>
      </c>
      <c r="D11623" s="7">
        <v>17741</v>
      </c>
      <c r="E11623" s="7" t="s">
        <v>23</v>
      </c>
      <c r="F11623" s="8" t="str">
        <f ca="1">IFERROR(__xludf.DUMMYFUNCTION("IF
(
C11624=""фізична особа""
,
VLOOKUP(D11624,IMPORTRANGE(""https://docs.google.com/spreadsheets/d/14Bd19lYaqBhU8_DElYkX7l4wRkHqqCUFNJY4AfY3kHU/edit?usp=sharing  #gid=0"",""фіз особи new!relations_name""),6,FALSE)
,
(IF
(
C11624=""юридична особа""
,
VLOO"&amp;"KUP(D11624,IMPORTRANGE(""https://docs.google.com/spreadsheets/d/14Bd19lYaqBhU8_DElYkX7l4wRkHqqCUFNJY4AfY3kHU/edit?usp=sharing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3" s="7" t="s">
        <v>10</v>
      </c>
      <c r="H11623" s="7">
        <v>17742</v>
      </c>
      <c r="I11623" s="8" t="str">
        <f ca="1">IFERROR(__xludf.DUMMYFUNCTION("IF
(
G11624=""фізична особа""
,
VLOOKUP(H11624,IMPORTRANGE(""https://docs.google.com/spreadsheets/d/14Bd19lYaqBhU8_DElYkX7l4wRkHqqCUFNJY4AfY3kHU/edit?usp=sharing  #gid=0"",""фіз особи new!relations_name""),6,FALSE)
,
(IF
(
G11624=""юридична особа""
,
VLOO"&amp;"KUP(H11624,IMPORTRANGE(""https://docs.google.com/spreadsheets/d/14Bd19lYaqBhU8_DElYkX7l4wRkHqqCUFNJY4AfY3kHU/edit?usp=sharing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23" s="7" t="s">
        <v>23</v>
      </c>
    </row>
    <row r="11624" spans="1:10" ht="13.2">
      <c r="A11624" s="7">
        <v>11623</v>
      </c>
      <c r="B11624" s="7">
        <v>1</v>
      </c>
      <c r="C11624" s="7" t="s">
        <v>10</v>
      </c>
      <c r="D11624" s="7">
        <v>17741</v>
      </c>
      <c r="E11624" s="7" t="s">
        <v>23</v>
      </c>
      <c r="F11624" s="8" t="str">
        <f ca="1">IFERROR(__xludf.DUMMYFUNCTION("IF
(
C11625=""фізична особа""
,
VLOOKUP(D11625,IMPORTRANGE(""https://docs.google.com/spreadsheets/d/14Bd19lYaqBhU8_DElYkX7l4wRkHqqCUFNJY4AfY3kHU/edit?usp=sharing  #gid=0"",""фіз особи new!relations_name""),6,FALSE)
,
(IF
(
C11625=""юридична особа""
,
VLOO"&amp;"KUP(D11625,IMPORTRANGE(""https://docs.google.com/spreadsheets/d/14Bd19lYaqBhU8_DElYkX7l4wRkHqqCUFNJY4AfY3kHU/edit?usp=sharing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4" s="7" t="s">
        <v>10</v>
      </c>
      <c r="H11624" s="7">
        <v>17743</v>
      </c>
      <c r="I11624" s="8" t="str">
        <f ca="1">IFERROR(__xludf.DUMMYFUNCTION("IF
(
G11625=""фізична особа""
,
VLOOKUP(H11625,IMPORTRANGE(""https://docs.google.com/spreadsheets/d/14Bd19lYaqBhU8_DElYkX7l4wRkHqqCUFNJY4AfY3kHU/edit?usp=sharing  #gid=0"",""фіз особи new!relations_name""),6,FALSE)
,
(IF
(
G11625=""юридична особа""
,
VLOO"&amp;"KUP(H11625,IMPORTRANGE(""https://docs.google.com/spreadsheets/d/14Bd19lYaqBhU8_DElYkX7l4wRkHqqCUFNJY4AfY3kHU/edit?usp=sharing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24" s="7" t="s">
        <v>23</v>
      </c>
    </row>
    <row r="11625" spans="1:10" ht="13.2">
      <c r="A11625" s="7">
        <v>11624</v>
      </c>
      <c r="B11625" s="7">
        <v>1</v>
      </c>
      <c r="C11625" s="7" t="s">
        <v>10</v>
      </c>
      <c r="D11625" s="7">
        <v>17741</v>
      </c>
      <c r="E11625" s="7" t="s">
        <v>23</v>
      </c>
      <c r="F11625" s="8" t="str">
        <f ca="1">IFERROR(__xludf.DUMMYFUNCTION("IF
(
C11626=""фізична особа""
,
VLOOKUP(D11626,IMPORTRANGE(""https://docs.google.com/spreadsheets/d/14Bd19lYaqBhU8_DElYkX7l4wRkHqqCUFNJY4AfY3kHU/edit?usp=sharing  #gid=0"",""фіз особи new!relations_name""),6,FALSE)
,
(IF
(
C11626=""юридична особа""
,
VLOO"&amp;"KUP(D11626,IMPORTRANGE(""https://docs.google.com/spreadsheets/d/14Bd19lYaqBhU8_DElYkX7l4wRkHqqCUFNJY4AfY3kHU/edit?usp=sharing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5" s="7" t="s">
        <v>10</v>
      </c>
      <c r="H11625" s="7">
        <v>17744</v>
      </c>
      <c r="I11625" s="8" t="str">
        <f ca="1">IFERROR(__xludf.DUMMYFUNCTION("IF
(
G11626=""фізична особа""
,
VLOOKUP(H11626,IMPORTRANGE(""https://docs.google.com/spreadsheets/d/14Bd19lYaqBhU8_DElYkX7l4wRkHqqCUFNJY4AfY3kHU/edit?usp=sharing  #gid=0"",""фіз особи new!relations_name""),6,FALSE)
,
(IF
(
G11626=""юридична особа""
,
VLOO"&amp;"KUP(H11626,IMPORTRANGE(""https://docs.google.com/spreadsheets/d/14Bd19lYaqBhU8_DElYkX7l4wRkHqqCUFNJY4AfY3kHU/edit?usp=sharing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25" s="7" t="s">
        <v>23</v>
      </c>
    </row>
    <row r="11626" spans="1:10" ht="13.2">
      <c r="A11626" s="7">
        <v>11625</v>
      </c>
      <c r="B11626" s="7">
        <v>1</v>
      </c>
      <c r="C11626" s="7" t="s">
        <v>10</v>
      </c>
      <c r="D11626" s="7">
        <v>17741</v>
      </c>
      <c r="E11626" s="7" t="s">
        <v>23</v>
      </c>
      <c r="F11626" s="8" t="str">
        <f ca="1">IFERROR(__xludf.DUMMYFUNCTION("IF
(
C11627=""фізична особа""
,
VLOOKUP(D11627,IMPORTRANGE(""https://docs.google.com/spreadsheets/d/14Bd19lYaqBhU8_DElYkX7l4wRkHqqCUFNJY4AfY3kHU/edit?usp=sharing  #gid=0"",""фіз особи new!relations_name""),6,FALSE)
,
(IF
(
C11627=""юридична особа""
,
VLOO"&amp;"KUP(D11627,IMPORTRANGE(""https://docs.google.com/spreadsheets/d/14Bd19lYaqBhU8_DElYkX7l4wRkHqqCUFNJY4AfY3kHU/edit?usp=sharing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G11626" s="7" t="s">
        <v>10</v>
      </c>
      <c r="H11626" s="7">
        <v>17745</v>
      </c>
      <c r="I11626" s="8" t="str">
        <f ca="1">IFERROR(__xludf.DUMMYFUNCTION("IF
(
G11627=""фізична особа""
,
VLOOKUP(H11627,IMPORTRANGE(""https://docs.google.com/spreadsheets/d/14Bd19lYaqBhU8_DElYkX7l4wRkHqqCUFNJY4AfY3kHU/edit?usp=sharing  #gid=0"",""фіз особи new!relations_name""),6,FALSE)
,
(IF
(
G11627=""юридична особа""
,
VLOO"&amp;"KUP(H11627,IMPORTRANGE(""https://docs.google.com/spreadsheets/d/14Bd19lYaqBhU8_DElYkX7l4wRkHqqCUFNJY4AfY3kHU/edit?usp=sharing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26" s="7" t="s">
        <v>23</v>
      </c>
    </row>
    <row r="11627" spans="1:10" ht="13.2">
      <c r="A11627" s="7">
        <v>11626</v>
      </c>
      <c r="B11627" s="7">
        <v>1</v>
      </c>
      <c r="C11627" s="7" t="s">
        <v>10</v>
      </c>
      <c r="D11627" s="7">
        <v>17742</v>
      </c>
      <c r="E11627" s="7" t="s">
        <v>23</v>
      </c>
      <c r="F11627" s="8" t="str">
        <f ca="1">IFERROR(__xludf.DUMMYFUNCTION("IF
(
C11628=""фізична особа""
,
VLOOKUP(D11628,IMPORTRANGE(""https://docs.google.com/spreadsheets/d/14Bd19lYaqBhU8_DElYkX7l4wRkHqqCUFNJY4AfY3kHU/edit?usp=sharing  #gid=0"",""фіз особи new!relations_name""),6,FALSE)
,
(IF
(
C11628=""юридична особа""
,
VLOO"&amp;"KUP(D11628,IMPORTRANGE(""https://docs.google.com/spreadsheets/d/14Bd19lYaqBhU8_DElYkX7l4wRkHqqCUFNJY4AfY3kHU/edit?usp=sharing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27" s="7" t="s">
        <v>10</v>
      </c>
      <c r="H11627" s="7">
        <v>17739</v>
      </c>
      <c r="I11627" s="8" t="str">
        <f ca="1">IFERROR(__xludf.DUMMYFUNCTION("IF
(
G11628=""фізична особа""
,
VLOOKUP(H11628,IMPORTRANGE(""https://docs.google.com/spreadsheets/d/14Bd19lYaqBhU8_DElYkX7l4wRkHqqCUFNJY4AfY3kHU/edit?usp=sharing  #gid=0"",""фіз особи new!relations_name""),6,FALSE)
,
(IF
(
G11628=""юридична особа""
,
VLOO"&amp;"KUP(H11628,IMPORTRANGE(""https://docs.google.com/spreadsheets/d/14Bd19lYaqBhU8_DElYkX7l4wRkHqqCUFNJY4AfY3kHU/edit?usp=sharing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27" s="7" t="s">
        <v>23</v>
      </c>
    </row>
    <row r="11628" spans="1:10" ht="13.2">
      <c r="A11628" s="7">
        <v>11627</v>
      </c>
      <c r="B11628" s="7">
        <v>1</v>
      </c>
      <c r="C11628" s="7" t="s">
        <v>10</v>
      </c>
      <c r="D11628" s="7">
        <v>17742</v>
      </c>
      <c r="E11628" s="7" t="s">
        <v>23</v>
      </c>
      <c r="F11628" s="8" t="str">
        <f ca="1">IFERROR(__xludf.DUMMYFUNCTION("IF
(
C11629=""фізична особа""
,
VLOOKUP(D11629,IMPORTRANGE(""https://docs.google.com/spreadsheets/d/14Bd19lYaqBhU8_DElYkX7l4wRkHqqCUFNJY4AfY3kHU/edit?usp=sharing  #gid=0"",""фіз особи new!relations_name""),6,FALSE)
,
(IF
(
C11629=""юридична особа""
,
VLOO"&amp;"KUP(D11629,IMPORTRANGE(""https://docs.google.com/spreadsheets/d/14Bd19lYaqBhU8_DElYkX7l4wRkHqqCUFNJY4AfY3kHU/edit?usp=sharing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28" s="7" t="s">
        <v>10</v>
      </c>
      <c r="H11628" s="7">
        <v>17740</v>
      </c>
      <c r="I11628" s="8" t="str">
        <f ca="1">IFERROR(__xludf.DUMMYFUNCTION("IF
(
G11629=""фізична особа""
,
VLOOKUP(H11629,IMPORTRANGE(""https://docs.google.com/spreadsheets/d/14Bd19lYaqBhU8_DElYkX7l4wRkHqqCUFNJY4AfY3kHU/edit?usp=sharing  #gid=0"",""фіз особи new!relations_name""),6,FALSE)
,
(IF
(
G11629=""юридична особа""
,
VLOO"&amp;"KUP(H11629,IMPORTRANGE(""https://docs.google.com/spreadsheets/d/14Bd19lYaqBhU8_DElYkX7l4wRkHqqCUFNJY4AfY3kHU/edit?usp=sharing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28" s="7" t="s">
        <v>23</v>
      </c>
    </row>
    <row r="11629" spans="1:10" ht="13.2">
      <c r="A11629" s="7">
        <v>11628</v>
      </c>
      <c r="B11629" s="7">
        <v>1</v>
      </c>
      <c r="C11629" s="7" t="s">
        <v>10</v>
      </c>
      <c r="D11629" s="7">
        <v>17742</v>
      </c>
      <c r="E11629" s="7" t="s">
        <v>23</v>
      </c>
      <c r="F11629" s="8" t="str">
        <f ca="1">IFERROR(__xludf.DUMMYFUNCTION("IF
(
C11630=""фізична особа""
,
VLOOKUP(D11630,IMPORTRANGE(""https://docs.google.com/spreadsheets/d/14Bd19lYaqBhU8_DElYkX7l4wRkHqqCUFNJY4AfY3kHU/edit?usp=sharing  #gid=0"",""фіз особи new!relations_name""),6,FALSE)
,
(IF
(
C11630=""юридична особа""
,
VLOO"&amp;"KUP(D11630,IMPORTRANGE(""https://docs.google.com/spreadsheets/d/14Bd19lYaqBhU8_DElYkX7l4wRkHqqCUFNJY4AfY3kHU/edit?usp=sharing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29" s="7" t="s">
        <v>10</v>
      </c>
      <c r="H11629" s="7">
        <v>17741</v>
      </c>
      <c r="I11629" s="8" t="str">
        <f ca="1">IFERROR(__xludf.DUMMYFUNCTION("IF
(
G11630=""фізична особа""
,
VLOOKUP(H11630,IMPORTRANGE(""https://docs.google.com/spreadsheets/d/14Bd19lYaqBhU8_DElYkX7l4wRkHqqCUFNJY4AfY3kHU/edit?usp=sharing  #gid=0"",""фіз особи new!relations_name""),6,FALSE)
,
(IF
(
G11630=""юридична особа""
,
VLOO"&amp;"KUP(H11630,IMPORTRANGE(""https://docs.google.com/spreadsheets/d/14Bd19lYaqBhU8_DElYkX7l4wRkHqqCUFNJY4AfY3kHU/edit?usp=sharing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29" s="7" t="s">
        <v>23</v>
      </c>
    </row>
    <row r="11630" spans="1:10" ht="13.2">
      <c r="A11630" s="7">
        <v>11629</v>
      </c>
      <c r="B11630" s="7">
        <v>1</v>
      </c>
      <c r="C11630" s="7" t="s">
        <v>10</v>
      </c>
      <c r="D11630" s="7">
        <v>17742</v>
      </c>
      <c r="E11630" s="7" t="s">
        <v>23</v>
      </c>
      <c r="F11630" s="8" t="str">
        <f ca="1">IFERROR(__xludf.DUMMYFUNCTION("IF
(
C11631=""фізична особа""
,
VLOOKUP(D11631,IMPORTRANGE(""https://docs.google.com/spreadsheets/d/14Bd19lYaqBhU8_DElYkX7l4wRkHqqCUFNJY4AfY3kHU/edit?usp=sharing  #gid=0"",""фіз особи new!relations_name""),6,FALSE)
,
(IF
(
C11631=""юридична особа""
,
VLOO"&amp;"KUP(D11631,IMPORTRANGE(""https://docs.google.com/spreadsheets/d/14Bd19lYaqBhU8_DElYkX7l4wRkHqqCUFNJY4AfY3kHU/edit?usp=sharing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30" s="7" t="s">
        <v>10</v>
      </c>
      <c r="H11630" s="7">
        <v>17743</v>
      </c>
      <c r="I11630" s="8" t="str">
        <f ca="1">IFERROR(__xludf.DUMMYFUNCTION("IF
(
G11631=""фізична особа""
,
VLOOKUP(H11631,IMPORTRANGE(""https://docs.google.com/spreadsheets/d/14Bd19lYaqBhU8_DElYkX7l4wRkHqqCUFNJY4AfY3kHU/edit?usp=sharing  #gid=0"",""фіз особи new!relations_name""),6,FALSE)
,
(IF
(
G11631=""юридична особа""
,
VLOO"&amp;"KUP(H11631,IMPORTRANGE(""https://docs.google.com/spreadsheets/d/14Bd19lYaqBhU8_DElYkX7l4wRkHqqCUFNJY4AfY3kHU/edit?usp=sharing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30" s="7" t="s">
        <v>23</v>
      </c>
    </row>
    <row r="11631" spans="1:10" ht="13.2">
      <c r="A11631" s="7">
        <v>11630</v>
      </c>
      <c r="B11631" s="7">
        <v>1</v>
      </c>
      <c r="C11631" s="7" t="s">
        <v>10</v>
      </c>
      <c r="D11631" s="7">
        <v>17742</v>
      </c>
      <c r="E11631" s="7" t="s">
        <v>23</v>
      </c>
      <c r="F11631" s="8" t="str">
        <f ca="1">IFERROR(__xludf.DUMMYFUNCTION("IF
(
C11632=""фізична особа""
,
VLOOKUP(D11632,IMPORTRANGE(""https://docs.google.com/spreadsheets/d/14Bd19lYaqBhU8_DElYkX7l4wRkHqqCUFNJY4AfY3kHU/edit?usp=sharing  #gid=0"",""фіз особи new!relations_name""),6,FALSE)
,
(IF
(
C11632=""юридична особа""
,
VLOO"&amp;"KUP(D11632,IMPORTRANGE(""https://docs.google.com/spreadsheets/d/14Bd19lYaqBhU8_DElYkX7l4wRkHqqCUFNJY4AfY3kHU/edit?usp=sharing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31" s="7" t="s">
        <v>10</v>
      </c>
      <c r="H11631" s="7">
        <v>17744</v>
      </c>
      <c r="I11631" s="8" t="str">
        <f ca="1">IFERROR(__xludf.DUMMYFUNCTION("IF
(
G11632=""фізична особа""
,
VLOOKUP(H11632,IMPORTRANGE(""https://docs.google.com/spreadsheets/d/14Bd19lYaqBhU8_DElYkX7l4wRkHqqCUFNJY4AfY3kHU/edit?usp=sharing  #gid=0"",""фіз особи new!relations_name""),6,FALSE)
,
(IF
(
G11632=""юридична особа""
,
VLOO"&amp;"KUP(H11632,IMPORTRANGE(""https://docs.google.com/spreadsheets/d/14Bd19lYaqBhU8_DElYkX7l4wRkHqqCUFNJY4AfY3kHU/edit?usp=sharing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31" s="7" t="s">
        <v>23</v>
      </c>
    </row>
    <row r="11632" spans="1:10" ht="13.2">
      <c r="A11632" s="7">
        <v>11631</v>
      </c>
      <c r="B11632" s="7">
        <v>1</v>
      </c>
      <c r="C11632" s="7" t="s">
        <v>10</v>
      </c>
      <c r="D11632" s="7">
        <v>17742</v>
      </c>
      <c r="E11632" s="7" t="s">
        <v>23</v>
      </c>
      <c r="F11632" s="8" t="str">
        <f ca="1">IFERROR(__xludf.DUMMYFUNCTION("IF
(
C11633=""фізична особа""
,
VLOOKUP(D11633,IMPORTRANGE(""https://docs.google.com/spreadsheets/d/14Bd19lYaqBhU8_DElYkX7l4wRkHqqCUFNJY4AfY3kHU/edit?usp=sharing  #gid=0"",""фіз особи new!relations_name""),6,FALSE)
,
(IF
(
C11633=""юридична особа""
,
VLOO"&amp;"KUP(D11633,IMPORTRANGE(""https://docs.google.com/spreadsheets/d/14Bd19lYaqBhU8_DElYkX7l4wRkHqqCUFNJY4AfY3kHU/edit?usp=sharing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G11632" s="7" t="s">
        <v>10</v>
      </c>
      <c r="H11632" s="7">
        <v>17745</v>
      </c>
      <c r="I11632" s="8" t="str">
        <f ca="1">IFERROR(__xludf.DUMMYFUNCTION("IF
(
G11633=""фізична особа""
,
VLOOKUP(H11633,IMPORTRANGE(""https://docs.google.com/spreadsheets/d/14Bd19lYaqBhU8_DElYkX7l4wRkHqqCUFNJY4AfY3kHU/edit?usp=sharing  #gid=0"",""фіз особи new!relations_name""),6,FALSE)
,
(IF
(
G11633=""юридична особа""
,
VLOO"&amp;"KUP(H11633,IMPORTRANGE(""https://docs.google.com/spreadsheets/d/14Bd19lYaqBhU8_DElYkX7l4wRkHqqCUFNJY4AfY3kHU/edit?usp=sharing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32" s="7" t="s">
        <v>23</v>
      </c>
    </row>
    <row r="11633" spans="1:10" ht="13.2">
      <c r="A11633" s="7">
        <v>11632</v>
      </c>
      <c r="B11633" s="7">
        <v>1</v>
      </c>
      <c r="C11633" s="7" t="s">
        <v>10</v>
      </c>
      <c r="D11633" s="7">
        <v>17743</v>
      </c>
      <c r="E11633" s="7" t="s">
        <v>23</v>
      </c>
      <c r="F11633" s="8" t="str">
        <f ca="1">IFERROR(__xludf.DUMMYFUNCTION("IF
(
C11634=""фізична особа""
,
VLOOKUP(D11634,IMPORTRANGE(""https://docs.google.com/spreadsheets/d/14Bd19lYaqBhU8_DElYkX7l4wRkHqqCUFNJY4AfY3kHU/edit?usp=sharing  #gid=0"",""фіз особи new!relations_name""),6,FALSE)
,
(IF
(
C11634=""юридична особа""
,
VLOO"&amp;"KUP(D11634,IMPORTRANGE(""https://docs.google.com/spreadsheets/d/14Bd19lYaqBhU8_DElYkX7l4wRkHqqCUFNJY4AfY3kHU/edit?usp=sharing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3" s="7" t="s">
        <v>10</v>
      </c>
      <c r="H11633" s="7">
        <v>17739</v>
      </c>
      <c r="I11633" s="8" t="str">
        <f ca="1">IFERROR(__xludf.DUMMYFUNCTION("IF
(
G11634=""фізична особа""
,
VLOOKUP(H11634,IMPORTRANGE(""https://docs.google.com/spreadsheets/d/14Bd19lYaqBhU8_DElYkX7l4wRkHqqCUFNJY4AfY3kHU/edit?usp=sharing  #gid=0"",""фіз особи new!relations_name""),6,FALSE)
,
(IF
(
G11634=""юридична особа""
,
VLOO"&amp;"KUP(H11634,IMPORTRANGE(""https://docs.google.com/spreadsheets/d/14Bd19lYaqBhU8_DElYkX7l4wRkHqqCUFNJY4AfY3kHU/edit?usp=sharing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33" s="7" t="s">
        <v>23</v>
      </c>
    </row>
    <row r="11634" spans="1:10" ht="13.2">
      <c r="A11634" s="7">
        <v>11633</v>
      </c>
      <c r="B11634" s="7">
        <v>1</v>
      </c>
      <c r="C11634" s="7" t="s">
        <v>10</v>
      </c>
      <c r="D11634" s="7">
        <v>17743</v>
      </c>
      <c r="E11634" s="7" t="s">
        <v>23</v>
      </c>
      <c r="F11634" s="8" t="str">
        <f ca="1">IFERROR(__xludf.DUMMYFUNCTION("IF
(
C11635=""фізична особа""
,
VLOOKUP(D11635,IMPORTRANGE(""https://docs.google.com/spreadsheets/d/14Bd19lYaqBhU8_DElYkX7l4wRkHqqCUFNJY4AfY3kHU/edit?usp=sharing  #gid=0"",""фіз особи new!relations_name""),6,FALSE)
,
(IF
(
C11635=""юридична особа""
,
VLOO"&amp;"KUP(D11635,IMPORTRANGE(""https://docs.google.com/spreadsheets/d/14Bd19lYaqBhU8_DElYkX7l4wRkHqqCUFNJY4AfY3kHU/edit?usp=sharing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4" s="7" t="s">
        <v>10</v>
      </c>
      <c r="H11634" s="7">
        <v>17740</v>
      </c>
      <c r="I11634" s="8" t="str">
        <f ca="1">IFERROR(__xludf.DUMMYFUNCTION("IF
(
G11635=""фізична особа""
,
VLOOKUP(H11635,IMPORTRANGE(""https://docs.google.com/spreadsheets/d/14Bd19lYaqBhU8_DElYkX7l4wRkHqqCUFNJY4AfY3kHU/edit?usp=sharing  #gid=0"",""фіз особи new!relations_name""),6,FALSE)
,
(IF
(
G11635=""юридична особа""
,
VLOO"&amp;"KUP(H11635,IMPORTRANGE(""https://docs.google.com/spreadsheets/d/14Bd19lYaqBhU8_DElYkX7l4wRkHqqCUFNJY4AfY3kHU/edit?usp=sharing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34" s="7" t="s">
        <v>23</v>
      </c>
    </row>
    <row r="11635" spans="1:10" ht="13.2">
      <c r="A11635" s="7">
        <v>11634</v>
      </c>
      <c r="B11635" s="7">
        <v>1</v>
      </c>
      <c r="C11635" s="7" t="s">
        <v>10</v>
      </c>
      <c r="D11635" s="7">
        <v>17743</v>
      </c>
      <c r="E11635" s="7" t="s">
        <v>23</v>
      </c>
      <c r="F11635" s="8" t="str">
        <f ca="1">IFERROR(__xludf.DUMMYFUNCTION("IF
(
C11636=""фізична особа""
,
VLOOKUP(D11636,IMPORTRANGE(""https://docs.google.com/spreadsheets/d/14Bd19lYaqBhU8_DElYkX7l4wRkHqqCUFNJY4AfY3kHU/edit?usp=sharing  #gid=0"",""фіз особи new!relations_name""),6,FALSE)
,
(IF
(
C11636=""юридична особа""
,
VLOO"&amp;"KUP(D11636,IMPORTRANGE(""https://docs.google.com/spreadsheets/d/14Bd19lYaqBhU8_DElYkX7l4wRkHqqCUFNJY4AfY3kHU/edit?usp=sharing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5" s="7" t="s">
        <v>10</v>
      </c>
      <c r="H11635" s="7">
        <v>17741</v>
      </c>
      <c r="I11635" s="8" t="str">
        <f ca="1">IFERROR(__xludf.DUMMYFUNCTION("IF
(
G11636=""фізична особа""
,
VLOOKUP(H11636,IMPORTRANGE(""https://docs.google.com/spreadsheets/d/14Bd19lYaqBhU8_DElYkX7l4wRkHqqCUFNJY4AfY3kHU/edit?usp=sharing  #gid=0"",""фіз особи new!relations_name""),6,FALSE)
,
(IF
(
G11636=""юридична особа""
,
VLOO"&amp;"KUP(H11636,IMPORTRANGE(""https://docs.google.com/spreadsheets/d/14Bd19lYaqBhU8_DElYkX7l4wRkHqqCUFNJY4AfY3kHU/edit?usp=sharing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35" s="7" t="s">
        <v>23</v>
      </c>
    </row>
    <row r="11636" spans="1:10" ht="13.2">
      <c r="A11636" s="7">
        <v>11635</v>
      </c>
      <c r="B11636" s="7">
        <v>1</v>
      </c>
      <c r="C11636" s="7" t="s">
        <v>10</v>
      </c>
      <c r="D11636" s="7">
        <v>17743</v>
      </c>
      <c r="E11636" s="7" t="s">
        <v>23</v>
      </c>
      <c r="F11636" s="8" t="str">
        <f ca="1">IFERROR(__xludf.DUMMYFUNCTION("IF
(
C11637=""фізична особа""
,
VLOOKUP(D11637,IMPORTRANGE(""https://docs.google.com/spreadsheets/d/14Bd19lYaqBhU8_DElYkX7l4wRkHqqCUFNJY4AfY3kHU/edit?usp=sharing  #gid=0"",""фіз особи new!relations_name""),6,FALSE)
,
(IF
(
C11637=""юридична особа""
,
VLOO"&amp;"KUP(D11637,IMPORTRANGE(""https://docs.google.com/spreadsheets/d/14Bd19lYaqBhU8_DElYkX7l4wRkHqqCUFNJY4AfY3kHU/edit?usp=sharing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6" s="7" t="s">
        <v>10</v>
      </c>
      <c r="H11636" s="7">
        <v>17742</v>
      </c>
      <c r="I11636" s="8" t="str">
        <f ca="1">IFERROR(__xludf.DUMMYFUNCTION("IF
(
G11637=""фізична особа""
,
VLOOKUP(H11637,IMPORTRANGE(""https://docs.google.com/spreadsheets/d/14Bd19lYaqBhU8_DElYkX7l4wRkHqqCUFNJY4AfY3kHU/edit?usp=sharing  #gid=0"",""фіз особи new!relations_name""),6,FALSE)
,
(IF
(
G11637=""юридична особа""
,
VLOO"&amp;"KUP(H11637,IMPORTRANGE(""https://docs.google.com/spreadsheets/d/14Bd19lYaqBhU8_DElYkX7l4wRkHqqCUFNJY4AfY3kHU/edit?usp=sharing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36" s="7" t="s">
        <v>23</v>
      </c>
    </row>
    <row r="11637" spans="1:10" ht="13.2">
      <c r="A11637" s="7">
        <v>11636</v>
      </c>
      <c r="B11637" s="7">
        <v>1</v>
      </c>
      <c r="C11637" s="7" t="s">
        <v>10</v>
      </c>
      <c r="D11637" s="7">
        <v>17743</v>
      </c>
      <c r="E11637" s="7" t="s">
        <v>23</v>
      </c>
      <c r="F11637" s="8" t="str">
        <f ca="1">IFERROR(__xludf.DUMMYFUNCTION("IF
(
C11638=""фізична особа""
,
VLOOKUP(D11638,IMPORTRANGE(""https://docs.google.com/spreadsheets/d/14Bd19lYaqBhU8_DElYkX7l4wRkHqqCUFNJY4AfY3kHU/edit?usp=sharing  #gid=0"",""фіз особи new!relations_name""),6,FALSE)
,
(IF
(
C11638=""юридична особа""
,
VLOO"&amp;"KUP(D11638,IMPORTRANGE(""https://docs.google.com/spreadsheets/d/14Bd19lYaqBhU8_DElYkX7l4wRkHqqCUFNJY4AfY3kHU/edit?usp=sharing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7" s="7" t="s">
        <v>10</v>
      </c>
      <c r="H11637" s="7">
        <v>17744</v>
      </c>
      <c r="I11637" s="8" t="str">
        <f ca="1">IFERROR(__xludf.DUMMYFUNCTION("IF
(
G11638=""фізична особа""
,
VLOOKUP(H11638,IMPORTRANGE(""https://docs.google.com/spreadsheets/d/14Bd19lYaqBhU8_DElYkX7l4wRkHqqCUFNJY4AfY3kHU/edit?usp=sharing  #gid=0"",""фіз особи new!relations_name""),6,FALSE)
,
(IF
(
G11638=""юридична особа""
,
VLOO"&amp;"KUP(H11638,IMPORTRANGE(""https://docs.google.com/spreadsheets/d/14Bd19lYaqBhU8_DElYkX7l4wRkHqqCUFNJY4AfY3kHU/edit?usp=sharing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37" s="7" t="s">
        <v>23</v>
      </c>
    </row>
    <row r="11638" spans="1:10" ht="13.2">
      <c r="A11638" s="7">
        <v>11637</v>
      </c>
      <c r="B11638" s="7">
        <v>1</v>
      </c>
      <c r="C11638" s="7" t="s">
        <v>10</v>
      </c>
      <c r="D11638" s="7">
        <v>17743</v>
      </c>
      <c r="E11638" s="7" t="s">
        <v>23</v>
      </c>
      <c r="F11638" s="8" t="str">
        <f ca="1">IFERROR(__xludf.DUMMYFUNCTION("IF
(
C11639=""фізична особа""
,
VLOOKUP(D11639,IMPORTRANGE(""https://docs.google.com/spreadsheets/d/14Bd19lYaqBhU8_DElYkX7l4wRkHqqCUFNJY4AfY3kHU/edit?usp=sharing  #gid=0"",""фіз особи new!relations_name""),6,FALSE)
,
(IF
(
C11639=""юридична особа""
,
VLOO"&amp;"KUP(D11639,IMPORTRANGE(""https://docs.google.com/spreadsheets/d/14Bd19lYaqBhU8_DElYkX7l4wRkHqqCUFNJY4AfY3kHU/edit?usp=sharing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G11638" s="7" t="s">
        <v>10</v>
      </c>
      <c r="H11638" s="7">
        <v>17745</v>
      </c>
      <c r="I11638" s="8" t="str">
        <f ca="1">IFERROR(__xludf.DUMMYFUNCTION("IF
(
G11639=""фізична особа""
,
VLOOKUP(H11639,IMPORTRANGE(""https://docs.google.com/spreadsheets/d/14Bd19lYaqBhU8_DElYkX7l4wRkHqqCUFNJY4AfY3kHU/edit?usp=sharing  #gid=0"",""фіз особи new!relations_name""),6,FALSE)
,
(IF
(
G11639=""юридична особа""
,
VLOO"&amp;"KUP(H11639,IMPORTRANGE(""https://docs.google.com/spreadsheets/d/14Bd19lYaqBhU8_DElYkX7l4wRkHqqCUFNJY4AfY3kHU/edit?usp=sharing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38" s="7" t="s">
        <v>23</v>
      </c>
    </row>
    <row r="11639" spans="1:10" ht="13.2">
      <c r="A11639" s="7">
        <v>11638</v>
      </c>
      <c r="B11639" s="7">
        <v>1</v>
      </c>
      <c r="C11639" s="7" t="s">
        <v>10</v>
      </c>
      <c r="D11639" s="7">
        <v>17744</v>
      </c>
      <c r="E11639" s="7" t="s">
        <v>23</v>
      </c>
      <c r="F11639" s="8" t="str">
        <f ca="1">IFERROR(__xludf.DUMMYFUNCTION("IF
(
C11640=""фізична особа""
,
VLOOKUP(D11640,IMPORTRANGE(""https://docs.google.com/spreadsheets/d/14Bd19lYaqBhU8_DElYkX7l4wRkHqqCUFNJY4AfY3kHU/edit?usp=sharing  #gid=0"",""фіз особи new!relations_name""),6,FALSE)
,
(IF
(
C11640=""юридична особа""
,
VLOO"&amp;"KUP(D11640,IMPORTRANGE(""https://docs.google.com/spreadsheets/d/14Bd19lYaqBhU8_DElYkX7l4wRkHqqCUFNJY4AfY3kHU/edit?usp=sharing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39" s="7" t="s">
        <v>10</v>
      </c>
      <c r="H11639" s="7">
        <v>17739</v>
      </c>
      <c r="I11639" s="8" t="str">
        <f ca="1">IFERROR(__xludf.DUMMYFUNCTION("IF
(
G11640=""фізична особа""
,
VLOOKUP(H11640,IMPORTRANGE(""https://docs.google.com/spreadsheets/d/14Bd19lYaqBhU8_DElYkX7l4wRkHqqCUFNJY4AfY3kHU/edit?usp=sharing  #gid=0"",""фіз особи new!relations_name""),6,FALSE)
,
(IF
(
G11640=""юридична особа""
,
VLOO"&amp;"KUP(H11640,IMPORTRANGE(""https://docs.google.com/spreadsheets/d/14Bd19lYaqBhU8_DElYkX7l4wRkHqqCUFNJY4AfY3kHU/edit?usp=sharing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39" s="7" t="s">
        <v>23</v>
      </c>
    </row>
    <row r="11640" spans="1:10" ht="13.2">
      <c r="A11640" s="7">
        <v>11639</v>
      </c>
      <c r="B11640" s="7">
        <v>1</v>
      </c>
      <c r="C11640" s="7" t="s">
        <v>10</v>
      </c>
      <c r="D11640" s="7">
        <v>17744</v>
      </c>
      <c r="E11640" s="7" t="s">
        <v>23</v>
      </c>
      <c r="F11640" s="8" t="str">
        <f ca="1">IFERROR(__xludf.DUMMYFUNCTION("IF
(
C11641=""фізична особа""
,
VLOOKUP(D11641,IMPORTRANGE(""https://docs.google.com/spreadsheets/d/14Bd19lYaqBhU8_DElYkX7l4wRkHqqCUFNJY4AfY3kHU/edit?usp=sharing  #gid=0"",""фіз особи new!relations_name""),6,FALSE)
,
(IF
(
C11641=""юридична особа""
,
VLOO"&amp;"KUP(D11641,IMPORTRANGE(""https://docs.google.com/spreadsheets/d/14Bd19lYaqBhU8_DElYkX7l4wRkHqqCUFNJY4AfY3kHU/edit?usp=sharing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40" s="7" t="s">
        <v>10</v>
      </c>
      <c r="H11640" s="7">
        <v>17740</v>
      </c>
      <c r="I11640" s="8" t="str">
        <f ca="1">IFERROR(__xludf.DUMMYFUNCTION("IF
(
G11641=""фізична особа""
,
VLOOKUP(H11641,IMPORTRANGE(""https://docs.google.com/spreadsheets/d/14Bd19lYaqBhU8_DElYkX7l4wRkHqqCUFNJY4AfY3kHU/edit?usp=sharing  #gid=0"",""фіз особи new!relations_name""),6,FALSE)
,
(IF
(
G11641=""юридична особа""
,
VLOO"&amp;"KUP(H11641,IMPORTRANGE(""https://docs.google.com/spreadsheets/d/14Bd19lYaqBhU8_DElYkX7l4wRkHqqCUFNJY4AfY3kHU/edit?usp=sharing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40" s="7" t="s">
        <v>23</v>
      </c>
    </row>
    <row r="11641" spans="1:10" ht="13.2">
      <c r="A11641" s="7">
        <v>11640</v>
      </c>
      <c r="B11641" s="7">
        <v>1</v>
      </c>
      <c r="C11641" s="7" t="s">
        <v>10</v>
      </c>
      <c r="D11641" s="7">
        <v>17744</v>
      </c>
      <c r="E11641" s="7" t="s">
        <v>23</v>
      </c>
      <c r="F11641" s="8" t="str">
        <f ca="1">IFERROR(__xludf.DUMMYFUNCTION("IF
(
C11642=""фізична особа""
,
VLOOKUP(D11642,IMPORTRANGE(""https://docs.google.com/spreadsheets/d/14Bd19lYaqBhU8_DElYkX7l4wRkHqqCUFNJY4AfY3kHU/edit?usp=sharing  #gid=0"",""фіз особи new!relations_name""),6,FALSE)
,
(IF
(
C11642=""юридична особа""
,
VLOO"&amp;"KUP(D11642,IMPORTRANGE(""https://docs.google.com/spreadsheets/d/14Bd19lYaqBhU8_DElYkX7l4wRkHqqCUFNJY4AfY3kHU/edit?usp=sharing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41" s="7" t="s">
        <v>10</v>
      </c>
      <c r="H11641" s="7">
        <v>17741</v>
      </c>
      <c r="I11641" s="8" t="str">
        <f ca="1">IFERROR(__xludf.DUMMYFUNCTION("IF
(
G11642=""фізична особа""
,
VLOOKUP(H11642,IMPORTRANGE(""https://docs.google.com/spreadsheets/d/14Bd19lYaqBhU8_DElYkX7l4wRkHqqCUFNJY4AfY3kHU/edit?usp=sharing  #gid=0"",""фіз особи new!relations_name""),6,FALSE)
,
(IF
(
G11642=""юридична особа""
,
VLOO"&amp;"KUP(H11642,IMPORTRANGE(""https://docs.google.com/spreadsheets/d/14Bd19lYaqBhU8_DElYkX7l4wRkHqqCUFNJY4AfY3kHU/edit?usp=sharing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41" s="7" t="s">
        <v>23</v>
      </c>
    </row>
    <row r="11642" spans="1:10" ht="13.2">
      <c r="A11642" s="7">
        <v>11641</v>
      </c>
      <c r="B11642" s="7">
        <v>1</v>
      </c>
      <c r="C11642" s="7" t="s">
        <v>10</v>
      </c>
      <c r="D11642" s="7">
        <v>17744</v>
      </c>
      <c r="E11642" s="7" t="s">
        <v>23</v>
      </c>
      <c r="F11642" s="8" t="str">
        <f ca="1">IFERROR(__xludf.DUMMYFUNCTION("IF
(
C11643=""фізична особа""
,
VLOOKUP(D11643,IMPORTRANGE(""https://docs.google.com/spreadsheets/d/14Bd19lYaqBhU8_DElYkX7l4wRkHqqCUFNJY4AfY3kHU/edit?usp=sharing  #gid=0"",""фіз особи new!relations_name""),6,FALSE)
,
(IF
(
C11643=""юридична особа""
,
VLOO"&amp;"KUP(D11643,IMPORTRANGE(""https://docs.google.com/spreadsheets/d/14Bd19lYaqBhU8_DElYkX7l4wRkHqqCUFNJY4AfY3kHU/edit?usp=sharing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42" s="7" t="s">
        <v>10</v>
      </c>
      <c r="H11642" s="7">
        <v>17742</v>
      </c>
      <c r="I11642" s="8" t="str">
        <f ca="1">IFERROR(__xludf.DUMMYFUNCTION("IF
(
G11643=""фізична особа""
,
VLOOKUP(H11643,IMPORTRANGE(""https://docs.google.com/spreadsheets/d/14Bd19lYaqBhU8_DElYkX7l4wRkHqqCUFNJY4AfY3kHU/edit?usp=sharing  #gid=0"",""фіз особи new!relations_name""),6,FALSE)
,
(IF
(
G11643=""юридична особа""
,
VLOO"&amp;"KUP(H11643,IMPORTRANGE(""https://docs.google.com/spreadsheets/d/14Bd19lYaqBhU8_DElYkX7l4wRkHqqCUFNJY4AfY3kHU/edit?usp=sharing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42" s="7" t="s">
        <v>23</v>
      </c>
    </row>
    <row r="11643" spans="1:10" ht="13.2">
      <c r="A11643" s="7">
        <v>11642</v>
      </c>
      <c r="B11643" s="7">
        <v>1</v>
      </c>
      <c r="C11643" s="7" t="s">
        <v>10</v>
      </c>
      <c r="D11643" s="7">
        <v>17744</v>
      </c>
      <c r="E11643" s="7" t="s">
        <v>23</v>
      </c>
      <c r="F11643" s="8" t="str">
        <f ca="1">IFERROR(__xludf.DUMMYFUNCTION("IF
(
C11644=""фізична особа""
,
VLOOKUP(D11644,IMPORTRANGE(""https://docs.google.com/spreadsheets/d/14Bd19lYaqBhU8_DElYkX7l4wRkHqqCUFNJY4AfY3kHU/edit?usp=sharing  #gid=0"",""фіз особи new!relations_name""),6,FALSE)
,
(IF
(
C11644=""юридична особа""
,
VLOO"&amp;"KUP(D11644,IMPORTRANGE(""https://docs.google.com/spreadsheets/d/14Bd19lYaqBhU8_DElYkX7l4wRkHqqCUFNJY4AfY3kHU/edit?usp=sharing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43" s="7" t="s">
        <v>10</v>
      </c>
      <c r="H11643" s="7">
        <v>17743</v>
      </c>
      <c r="I11643" s="8" t="str">
        <f ca="1">IFERROR(__xludf.DUMMYFUNCTION("IF
(
G11644=""фізична особа""
,
VLOOKUP(H11644,IMPORTRANGE(""https://docs.google.com/spreadsheets/d/14Bd19lYaqBhU8_DElYkX7l4wRkHqqCUFNJY4AfY3kHU/edit?usp=sharing  #gid=0"",""фіз особи new!relations_name""),6,FALSE)
,
(IF
(
G11644=""юридична особа""
,
VLOO"&amp;"KUP(H11644,IMPORTRANGE(""https://docs.google.com/spreadsheets/d/14Bd19lYaqBhU8_DElYkX7l4wRkHqqCUFNJY4AfY3kHU/edit?usp=sharing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43" s="7" t="s">
        <v>23</v>
      </c>
    </row>
    <row r="11644" spans="1:10" ht="13.2">
      <c r="A11644" s="7">
        <v>11643</v>
      </c>
      <c r="B11644" s="7">
        <v>1</v>
      </c>
      <c r="C11644" s="7" t="s">
        <v>10</v>
      </c>
      <c r="D11644" s="7">
        <v>17744</v>
      </c>
      <c r="E11644" s="7" t="s">
        <v>23</v>
      </c>
      <c r="F11644" s="8" t="str">
        <f ca="1">IFERROR(__xludf.DUMMYFUNCTION("IF
(
C11645=""фізична особа""
,
VLOOKUP(D11645,IMPORTRANGE(""https://docs.google.com/spreadsheets/d/14Bd19lYaqBhU8_DElYkX7l4wRkHqqCUFNJY4AfY3kHU/edit?usp=sharing  #gid=0"",""фіз особи new!relations_name""),6,FALSE)
,
(IF
(
C11645=""юридична особа""
,
VLOO"&amp;"KUP(D11645,IMPORTRANGE(""https://docs.google.com/spreadsheets/d/14Bd19lYaqBhU8_DElYkX7l4wRkHqqCUFNJY4AfY3kHU/edit?usp=sharing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G11644" s="7" t="s">
        <v>10</v>
      </c>
      <c r="H11644" s="7">
        <v>17745</v>
      </c>
      <c r="I11644" s="8" t="str">
        <f ca="1">IFERROR(__xludf.DUMMYFUNCTION("IF
(
G11645=""фізична особа""
,
VLOOKUP(H11645,IMPORTRANGE(""https://docs.google.com/spreadsheets/d/14Bd19lYaqBhU8_DElYkX7l4wRkHqqCUFNJY4AfY3kHU/edit?usp=sharing  #gid=0"",""фіз особи new!relations_name""),6,FALSE)
,
(IF
(
G11645=""юридична особа""
,
VLOO"&amp;"KUP(H11645,IMPORTRANGE(""https://docs.google.com/spreadsheets/d/14Bd19lYaqBhU8_DElYkX7l4wRkHqqCUFNJY4AfY3kHU/edit?usp=sharing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J11644" s="7" t="s">
        <v>23</v>
      </c>
    </row>
    <row r="11645" spans="1:10" ht="13.2">
      <c r="A11645" s="7">
        <v>11644</v>
      </c>
      <c r="B11645" s="7">
        <v>1</v>
      </c>
      <c r="C11645" s="7" t="s">
        <v>10</v>
      </c>
      <c r="D11645" s="7">
        <v>17745</v>
      </c>
      <c r="E11645" s="7" t="s">
        <v>23</v>
      </c>
      <c r="F11645" s="8" t="str">
        <f ca="1">IFERROR(__xludf.DUMMYFUNCTION("IF
(
C11646=""фізична особа""
,
VLOOKUP(D11646,IMPORTRANGE(""https://docs.google.com/spreadsheets/d/14Bd19lYaqBhU8_DElYkX7l4wRkHqqCUFNJY4AfY3kHU/edit?usp=sharing  #gid=0"",""фіз особи new!relations_name""),6,FALSE)
,
(IF
(
C11646=""юридична особа""
,
VLOO"&amp;"KUP(D11646,IMPORTRANGE(""https://docs.google.com/spreadsheets/d/14Bd19lYaqBhU8_DElYkX7l4wRkHqqCUFNJY4AfY3kHU/edit?usp=sharing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45" s="7" t="s">
        <v>10</v>
      </c>
      <c r="H11645" s="7">
        <v>17739</v>
      </c>
      <c r="I11645" s="8" t="str">
        <f ca="1">IFERROR(__xludf.DUMMYFUNCTION("IF
(
G11646=""фізична особа""
,
VLOOKUP(H11646,IMPORTRANGE(""https://docs.google.com/spreadsheets/d/14Bd19lYaqBhU8_DElYkX7l4wRkHqqCUFNJY4AfY3kHU/edit?usp=sharing  #gid=0"",""фіз особи new!relations_name""),6,FALSE)
,
(IF
(
G11646=""юридична особа""
,
VLOO"&amp;"KUP(H11646,IMPORTRANGE(""https://docs.google.com/spreadsheets/d/14Bd19lYaqBhU8_DElYkX7l4wRkHqqCUFNJY4AfY3kHU/edit?usp=sharing  #gid=0"",""фіз особи new!relations_name_uo""),7,FALSE)
,
)
))"),"ГІЛЬЦ Антоніна Борисівна")</f>
        <v>ГІЛЬЦ Антоніна Борисівна</v>
      </c>
      <c r="J11645" s="7" t="s">
        <v>23</v>
      </c>
    </row>
    <row r="11646" spans="1:10" ht="13.2">
      <c r="A11646" s="7">
        <v>11645</v>
      </c>
      <c r="B11646" s="7">
        <v>1</v>
      </c>
      <c r="C11646" s="7" t="s">
        <v>10</v>
      </c>
      <c r="D11646" s="7">
        <v>17745</v>
      </c>
      <c r="E11646" s="7" t="s">
        <v>23</v>
      </c>
      <c r="F11646" s="8" t="str">
        <f ca="1">IFERROR(__xludf.DUMMYFUNCTION("IF
(
C11647=""фізична особа""
,
VLOOKUP(D11647,IMPORTRANGE(""https://docs.google.com/spreadsheets/d/14Bd19lYaqBhU8_DElYkX7l4wRkHqqCUFNJY4AfY3kHU/edit?usp=sharing  #gid=0"",""фіз особи new!relations_name""),6,FALSE)
,
(IF
(
C11647=""юридична особа""
,
VLOO"&amp;"KUP(D11647,IMPORTRANGE(""https://docs.google.com/spreadsheets/d/14Bd19lYaqBhU8_DElYkX7l4wRkHqqCUFNJY4AfY3kHU/edit?usp=sharing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46" s="7" t="s">
        <v>10</v>
      </c>
      <c r="H11646" s="7">
        <v>17740</v>
      </c>
      <c r="I11646" s="8" t="str">
        <f ca="1">IFERROR(__xludf.DUMMYFUNCTION("IF
(
G11647=""фізична особа""
,
VLOOKUP(H11647,IMPORTRANGE(""https://docs.google.com/spreadsheets/d/14Bd19lYaqBhU8_DElYkX7l4wRkHqqCUFNJY4AfY3kHU/edit?usp=sharing  #gid=0"",""фіз особи new!relations_name""),6,FALSE)
,
(IF
(
G11647=""юридична особа""
,
VLOO"&amp;"KUP(H11647,IMPORTRANGE(""https://docs.google.com/spreadsheets/d/14Bd19lYaqBhU8_DElYkX7l4wRkHqqCUFNJY4AfY3kHU/edit?usp=sharing  #gid=0"",""фіз особи new!relations_name_uo""),7,FALSE)
,
)
))"),"ЛІХАЧОВ Максим Васильович")</f>
        <v>ЛІХАЧОВ Максим Васильович</v>
      </c>
      <c r="J11646" s="7" t="s">
        <v>23</v>
      </c>
    </row>
    <row r="11647" spans="1:10" ht="13.2">
      <c r="A11647" s="7">
        <v>11646</v>
      </c>
      <c r="B11647" s="7">
        <v>1</v>
      </c>
      <c r="C11647" s="7" t="s">
        <v>10</v>
      </c>
      <c r="D11647" s="7">
        <v>17745</v>
      </c>
      <c r="E11647" s="7" t="s">
        <v>23</v>
      </c>
      <c r="F11647" s="8" t="str">
        <f ca="1">IFERROR(__xludf.DUMMYFUNCTION("IF
(
C11648=""фізична особа""
,
VLOOKUP(D11648,IMPORTRANGE(""https://docs.google.com/spreadsheets/d/14Bd19lYaqBhU8_DElYkX7l4wRkHqqCUFNJY4AfY3kHU/edit?usp=sharing  #gid=0"",""фіз особи new!relations_name""),6,FALSE)
,
(IF
(
C11648=""юридична особа""
,
VLOO"&amp;"KUP(D11648,IMPORTRANGE(""https://docs.google.com/spreadsheets/d/14Bd19lYaqBhU8_DElYkX7l4wRkHqqCUFNJY4AfY3kHU/edit?usp=sharing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47" s="7" t="s">
        <v>10</v>
      </c>
      <c r="H11647" s="7">
        <v>17741</v>
      </c>
      <c r="I11647" s="8" t="str">
        <f ca="1">IFERROR(__xludf.DUMMYFUNCTION("IF
(
G11648=""фізична особа""
,
VLOOKUP(H11648,IMPORTRANGE(""https://docs.google.com/spreadsheets/d/14Bd19lYaqBhU8_DElYkX7l4wRkHqqCUFNJY4AfY3kHU/edit?usp=sharing  #gid=0"",""фіз особи new!relations_name""),6,FALSE)
,
(IF
(
G11648=""юридична особа""
,
VLOO"&amp;"KUP(H11648,IMPORTRANGE(""https://docs.google.com/spreadsheets/d/14Bd19lYaqBhU8_DElYkX7l4wRkHqqCUFNJY4AfY3kHU/edit?usp=sharing  #gid=0"",""фіз особи new!relations_name_uo""),7,FALSE)
,
)
))"),"БУРЛІНОВ АНдрій Юрійович")</f>
        <v>БУРЛІНОВ АНдрій Юрійович</v>
      </c>
      <c r="J11647" s="7" t="s">
        <v>23</v>
      </c>
    </row>
    <row r="11648" spans="1:10" ht="13.2">
      <c r="A11648" s="7">
        <v>11647</v>
      </c>
      <c r="B11648" s="7">
        <v>1</v>
      </c>
      <c r="C11648" s="7" t="s">
        <v>10</v>
      </c>
      <c r="D11648" s="7">
        <v>17745</v>
      </c>
      <c r="E11648" s="7" t="s">
        <v>23</v>
      </c>
      <c r="F11648" s="8" t="str">
        <f ca="1">IFERROR(__xludf.DUMMYFUNCTION("IF
(
C11649=""фізична особа""
,
VLOOKUP(D11649,IMPORTRANGE(""https://docs.google.com/spreadsheets/d/14Bd19lYaqBhU8_DElYkX7l4wRkHqqCUFNJY4AfY3kHU/edit?usp=sharing  #gid=0"",""фіз особи new!relations_name""),6,FALSE)
,
(IF
(
C11649=""юридична особа""
,
VLOO"&amp;"KUP(D11649,IMPORTRANGE(""https://docs.google.com/spreadsheets/d/14Bd19lYaqBhU8_DElYkX7l4wRkHqqCUFNJY4AfY3kHU/edit?usp=sharing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48" s="7" t="s">
        <v>10</v>
      </c>
      <c r="H11648" s="7">
        <v>17742</v>
      </c>
      <c r="I11648" s="8" t="str">
        <f ca="1">IFERROR(__xludf.DUMMYFUNCTION("IF
(
G11649=""фізична особа""
,
VLOOKUP(H11649,IMPORTRANGE(""https://docs.google.com/spreadsheets/d/14Bd19lYaqBhU8_DElYkX7l4wRkHqqCUFNJY4AfY3kHU/edit?usp=sharing  #gid=0"",""фіз особи new!relations_name""),6,FALSE)
,
(IF
(
G11649=""юридична особа""
,
VLOO"&amp;"KUP(H11649,IMPORTRANGE(""https://docs.google.com/spreadsheets/d/14Bd19lYaqBhU8_DElYkX7l4wRkHqqCUFNJY4AfY3kHU/edit?usp=sharing  #gid=0"",""фіз особи new!relations_name_uo""),7,FALSE)
,
)
))"),"ОСТРЕЙКО Денис Володимирович")</f>
        <v>ОСТРЕЙКО Денис Володимирович</v>
      </c>
      <c r="J11648" s="7" t="s">
        <v>23</v>
      </c>
    </row>
    <row r="11649" spans="1:10" ht="13.2">
      <c r="A11649" s="7">
        <v>11648</v>
      </c>
      <c r="B11649" s="7">
        <v>1</v>
      </c>
      <c r="C11649" s="7" t="s">
        <v>10</v>
      </c>
      <c r="D11649" s="7">
        <v>17745</v>
      </c>
      <c r="E11649" s="7" t="s">
        <v>23</v>
      </c>
      <c r="F11649" s="8" t="str">
        <f ca="1">IFERROR(__xludf.DUMMYFUNCTION("IF
(
C11650=""фізична особа""
,
VLOOKUP(D11650,IMPORTRANGE(""https://docs.google.com/spreadsheets/d/14Bd19lYaqBhU8_DElYkX7l4wRkHqqCUFNJY4AfY3kHU/edit?usp=sharing  #gid=0"",""фіз особи new!relations_name""),6,FALSE)
,
(IF
(
C11650=""юридична особа""
,
VLOO"&amp;"KUP(D11650,IMPORTRANGE(""https://docs.google.com/spreadsheets/d/14Bd19lYaqBhU8_DElYkX7l4wRkHqqCUFNJY4AfY3kHU/edit?usp=sharing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49" s="7" t="s">
        <v>10</v>
      </c>
      <c r="H11649" s="7">
        <v>17743</v>
      </c>
      <c r="I11649" s="8" t="str">
        <f ca="1">IFERROR(__xludf.DUMMYFUNCTION("IF
(
G11650=""фізична особа""
,
VLOOKUP(H11650,IMPORTRANGE(""https://docs.google.com/spreadsheets/d/14Bd19lYaqBhU8_DElYkX7l4wRkHqqCUFNJY4AfY3kHU/edit?usp=sharing  #gid=0"",""фіз особи new!relations_name""),6,FALSE)
,
(IF
(
G11650=""юридична особа""
,
VLOO"&amp;"KUP(H11650,IMPORTRANGE(""https://docs.google.com/spreadsheets/d/14Bd19lYaqBhU8_DElYkX7l4wRkHqqCUFNJY4AfY3kHU/edit?usp=sharing  #gid=0"",""фіз особи new!relations_name_uo""),7,FALSE)
,
)
))"),"НАГІРНИЙ Вячеслав Юрійович")</f>
        <v>НАГІРНИЙ Вячеслав Юрійович</v>
      </c>
      <c r="J11649" s="7" t="s">
        <v>23</v>
      </c>
    </row>
    <row r="11650" spans="1:10" ht="13.2">
      <c r="A11650" s="7">
        <v>11649</v>
      </c>
      <c r="B11650" s="7">
        <v>1</v>
      </c>
      <c r="C11650" s="7" t="s">
        <v>10</v>
      </c>
      <c r="D11650" s="7">
        <v>17745</v>
      </c>
      <c r="E11650" s="7" t="s">
        <v>23</v>
      </c>
      <c r="F11650" s="8" t="str">
        <f ca="1">IFERROR(__xludf.DUMMYFUNCTION("IF
(
C11651=""фізична особа""
,
VLOOKUP(D11651,IMPORTRANGE(""https://docs.google.com/spreadsheets/d/14Bd19lYaqBhU8_DElYkX7l4wRkHqqCUFNJY4AfY3kHU/edit?usp=sharing  #gid=0"",""фіз особи new!relations_name""),6,FALSE)
,
(IF
(
C11651=""юридична особа""
,
VLOO"&amp;"KUP(D11651,IMPORTRANGE(""https://docs.google.com/spreadsheets/d/14Bd19lYaqBhU8_DElYkX7l4wRkHqqCUFNJY4AfY3kHU/edit?usp=sharing  #gid=0"",""фіз особи new!relations_name_uo""),7,FALSE)
,
)
))"),"БУЗІН Антон Юрійович")</f>
        <v>БУЗІН Антон Юрійович</v>
      </c>
      <c r="G11650" s="7" t="s">
        <v>10</v>
      </c>
      <c r="H11650" s="7">
        <v>17744</v>
      </c>
      <c r="I11650" s="8" t="str">
        <f ca="1">IFERROR(__xludf.DUMMYFUNCTION("IF
(
G11651=""фізична особа""
,
VLOOKUP(H11651,IMPORTRANGE(""https://docs.google.com/spreadsheets/d/14Bd19lYaqBhU8_DElYkX7l4wRkHqqCUFNJY4AfY3kHU/edit?usp=sharing  #gid=0"",""фіз особи new!relations_name""),6,FALSE)
,
(IF
(
G11651=""юридична особа""
,
VLOO"&amp;"KUP(H11651,IMPORTRANGE(""https://docs.google.com/spreadsheets/d/14Bd19lYaqBhU8_DElYkX7l4wRkHqqCUFNJY4AfY3kHU/edit?usp=sharing  #gid=0"",""фіз особи new!relations_name_uo""),7,FALSE)
,
)
))"),"ВОЛКОВ Олег Валерійович")</f>
        <v>ВОЛКОВ Олег Валерійович</v>
      </c>
      <c r="J11650" s="7" t="s">
        <v>23</v>
      </c>
    </row>
    <row r="11651" spans="1:10" ht="13.2">
      <c r="A11651" s="7">
        <v>11650</v>
      </c>
      <c r="B11651" s="7">
        <v>1</v>
      </c>
      <c r="C11651" s="7" t="s">
        <v>10</v>
      </c>
      <c r="D11651" s="7">
        <v>17746</v>
      </c>
      <c r="E11651" s="7" t="s">
        <v>23</v>
      </c>
      <c r="F11651" s="8" t="str">
        <f ca="1">IFERROR(__xludf.DUMMYFUNCTION("IF
(
C11652=""фізична особа""
,
VLOOKUP(D11652,IMPORTRANGE(""https://docs.google.com/spreadsheets/d/14Bd19lYaqBhU8_DElYkX7l4wRkHqqCUFNJY4AfY3kHU/edit?usp=sharing  #gid=0"",""фіз особи new!relations_name""),6,FALSE)
,
(IF
(
C11652=""юридична особа""
,
VLOO"&amp;"KUP(D11652,IMPORTRANGE(""https://docs.google.com/spreadsheets/d/14Bd19lYaqBhU8_DElYkX7l4wRkHqqCUFNJY4AfY3kHU/edit?usp=sharing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1" s="7" t="s">
        <v>10</v>
      </c>
      <c r="H11651" s="7">
        <v>17747</v>
      </c>
      <c r="I11651" s="8" t="str">
        <f ca="1">IFERROR(__xludf.DUMMYFUNCTION("IF
(
G11652=""фізична особа""
,
VLOOKUP(H11652,IMPORTRANGE(""https://docs.google.com/spreadsheets/d/14Bd19lYaqBhU8_DElYkX7l4wRkHqqCUFNJY4AfY3kHU/edit?usp=sharing  #gid=0"",""фіз особи new!relations_name""),6,FALSE)
,
(IF
(
G11652=""юридична особа""
,
VLOO"&amp;"KUP(H11652,IMPORTRANGE(""https://docs.google.com/spreadsheets/d/14Bd19lYaqBhU8_DElYkX7l4wRkHqqCUFNJY4AfY3kHU/edit?usp=sharing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651" s="7" t="s">
        <v>23</v>
      </c>
    </row>
    <row r="11652" spans="1:10" ht="13.2">
      <c r="A11652" s="7">
        <v>11651</v>
      </c>
      <c r="B11652" s="7">
        <v>1</v>
      </c>
      <c r="C11652" s="7" t="s">
        <v>10</v>
      </c>
      <c r="D11652" s="7">
        <v>17746</v>
      </c>
      <c r="E11652" s="7" t="s">
        <v>23</v>
      </c>
      <c r="F11652" s="8" t="str">
        <f ca="1">IFERROR(__xludf.DUMMYFUNCTION("IF
(
C11653=""фізична особа""
,
VLOOKUP(D11653,IMPORTRANGE(""https://docs.google.com/spreadsheets/d/14Bd19lYaqBhU8_DElYkX7l4wRkHqqCUFNJY4AfY3kHU/edit?usp=sharing  #gid=0"",""фіз особи new!relations_name""),6,FALSE)
,
(IF
(
C11653=""юридична особа""
,
VLOO"&amp;"KUP(D11653,IMPORTRANGE(""https://docs.google.com/spreadsheets/d/14Bd19lYaqBhU8_DElYkX7l4wRkHqqCUFNJY4AfY3kHU/edit?usp=sharing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2" s="7" t="s">
        <v>10</v>
      </c>
      <c r="H11652" s="7">
        <v>17748</v>
      </c>
      <c r="I11652" s="8" t="str">
        <f ca="1">IFERROR(__xludf.DUMMYFUNCTION("IF
(
G11653=""фізична особа""
,
VLOOKUP(H11653,IMPORTRANGE(""https://docs.google.com/spreadsheets/d/14Bd19lYaqBhU8_DElYkX7l4wRkHqqCUFNJY4AfY3kHU/edit?usp=sharing  #gid=0"",""фіз особи new!relations_name""),6,FALSE)
,
(IF
(
G11653=""юридична особа""
,
VLOO"&amp;"KUP(H11653,IMPORTRANGE(""https://docs.google.com/spreadsheets/d/14Bd19lYaqBhU8_DElYkX7l4wRkHqqCUFNJY4AfY3kHU/edit?usp=sharing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652" s="7" t="s">
        <v>23</v>
      </c>
    </row>
    <row r="11653" spans="1:10" ht="13.2">
      <c r="A11653" s="7">
        <v>11652</v>
      </c>
      <c r="B11653" s="7">
        <v>1</v>
      </c>
      <c r="C11653" s="7" t="s">
        <v>10</v>
      </c>
      <c r="D11653" s="7">
        <v>17746</v>
      </c>
      <c r="E11653" s="7" t="s">
        <v>23</v>
      </c>
      <c r="F11653" s="8" t="str">
        <f ca="1">IFERROR(__xludf.DUMMYFUNCTION("IF
(
C11654=""фізична особа""
,
VLOOKUP(D11654,IMPORTRANGE(""https://docs.google.com/spreadsheets/d/14Bd19lYaqBhU8_DElYkX7l4wRkHqqCUFNJY4AfY3kHU/edit?usp=sharing  #gid=0"",""фіз особи new!relations_name""),6,FALSE)
,
(IF
(
C11654=""юридична особа""
,
VLOO"&amp;"KUP(D11654,IMPORTRANGE(""https://docs.google.com/spreadsheets/d/14Bd19lYaqBhU8_DElYkX7l4wRkHqqCUFNJY4AfY3kHU/edit?usp=sharing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3" s="7" t="s">
        <v>10</v>
      </c>
      <c r="H11653" s="7">
        <v>17749</v>
      </c>
      <c r="I11653" s="8" t="str">
        <f ca="1">IFERROR(__xludf.DUMMYFUNCTION("IF
(
G11654=""фізична особа""
,
VLOOKUP(H11654,IMPORTRANGE(""https://docs.google.com/spreadsheets/d/14Bd19lYaqBhU8_DElYkX7l4wRkHqqCUFNJY4AfY3kHU/edit?usp=sharing  #gid=0"",""фіз особи new!relations_name""),6,FALSE)
,
(IF
(
G11654=""юридична особа""
,
VLOO"&amp;"KUP(H11654,IMPORTRANGE(""https://docs.google.com/spreadsheets/d/14Bd19lYaqBhU8_DElYkX7l4wRkHqqCUFNJY4AfY3kHU/edit?usp=sharing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653" s="7" t="s">
        <v>23</v>
      </c>
    </row>
    <row r="11654" spans="1:10" ht="13.2">
      <c r="A11654" s="7">
        <v>11653</v>
      </c>
      <c r="B11654" s="7">
        <v>1</v>
      </c>
      <c r="C11654" s="7" t="s">
        <v>10</v>
      </c>
      <c r="D11654" s="7">
        <v>17746</v>
      </c>
      <c r="E11654" s="7" t="s">
        <v>23</v>
      </c>
      <c r="F11654" s="8" t="str">
        <f ca="1">IFERROR(__xludf.DUMMYFUNCTION("IF
(
C11655=""фізична особа""
,
VLOOKUP(D11655,IMPORTRANGE(""https://docs.google.com/spreadsheets/d/14Bd19lYaqBhU8_DElYkX7l4wRkHqqCUFNJY4AfY3kHU/edit?usp=sharing  #gid=0"",""фіз особи new!relations_name""),6,FALSE)
,
(IF
(
C11655=""юридична особа""
,
VLOO"&amp;"KUP(D11655,IMPORTRANGE(""https://docs.google.com/spreadsheets/d/14Bd19lYaqBhU8_DElYkX7l4wRkHqqCUFNJY4AfY3kHU/edit?usp=sharing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4" s="7" t="s">
        <v>10</v>
      </c>
      <c r="H11654" s="7">
        <v>17750</v>
      </c>
      <c r="I11654" s="8" t="str">
        <f ca="1">IFERROR(__xludf.DUMMYFUNCTION("IF
(
G11655=""фізична особа""
,
VLOOKUP(H11655,IMPORTRANGE(""https://docs.google.com/spreadsheets/d/14Bd19lYaqBhU8_DElYkX7l4wRkHqqCUFNJY4AfY3kHU/edit?usp=sharing  #gid=0"",""фіз особи new!relations_name""),6,FALSE)
,
(IF
(
G11655=""юридична особа""
,
VLOO"&amp;"KUP(H11655,IMPORTRANGE(""https://docs.google.com/spreadsheets/d/14Bd19lYaqBhU8_DElYkX7l4wRkHqqCUFNJY4AfY3kHU/edit?usp=sharing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654" s="7" t="s">
        <v>23</v>
      </c>
    </row>
    <row r="11655" spans="1:10" ht="13.2">
      <c r="A11655" s="7">
        <v>11654</v>
      </c>
      <c r="B11655" s="7">
        <v>1</v>
      </c>
      <c r="C11655" s="7" t="s">
        <v>10</v>
      </c>
      <c r="D11655" s="7">
        <v>17746</v>
      </c>
      <c r="E11655" s="7" t="s">
        <v>23</v>
      </c>
      <c r="F11655" s="8" t="str">
        <f ca="1">IFERROR(__xludf.DUMMYFUNCTION("IF
(
C11656=""фізична особа""
,
VLOOKUP(D11656,IMPORTRANGE(""https://docs.google.com/spreadsheets/d/14Bd19lYaqBhU8_DElYkX7l4wRkHqqCUFNJY4AfY3kHU/edit?usp=sharing  #gid=0"",""фіз особи new!relations_name""),6,FALSE)
,
(IF
(
C11656=""юридична особа""
,
VLOO"&amp;"KUP(D11656,IMPORTRANGE(""https://docs.google.com/spreadsheets/d/14Bd19lYaqBhU8_DElYkX7l4wRkHqqCUFNJY4AfY3kHU/edit?usp=sharing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5" s="7" t="s">
        <v>10</v>
      </c>
      <c r="H11655" s="7">
        <v>17751</v>
      </c>
      <c r="I11655" s="8" t="str">
        <f ca="1">IFERROR(__xludf.DUMMYFUNCTION("IF
(
G11656=""фізична особа""
,
VLOOKUP(H11656,IMPORTRANGE(""https://docs.google.com/spreadsheets/d/14Bd19lYaqBhU8_DElYkX7l4wRkHqqCUFNJY4AfY3kHU/edit?usp=sharing  #gid=0"",""фіз особи new!relations_name""),6,FALSE)
,
(IF
(
G11656=""юридична особа""
,
VLOO"&amp;"KUP(H11656,IMPORTRANGE(""https://docs.google.com/spreadsheets/d/14Bd19lYaqBhU8_DElYkX7l4wRkHqqCUFNJY4AfY3kHU/edit?usp=sharing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655" s="7" t="s">
        <v>23</v>
      </c>
    </row>
    <row r="11656" spans="1:10" ht="13.2">
      <c r="A11656" s="7">
        <v>11655</v>
      </c>
      <c r="B11656" s="7">
        <v>1</v>
      </c>
      <c r="C11656" s="7" t="s">
        <v>10</v>
      </c>
      <c r="D11656" s="7">
        <v>17746</v>
      </c>
      <c r="E11656" s="7" t="s">
        <v>23</v>
      </c>
      <c r="F11656" s="8" t="str">
        <f ca="1">IFERROR(__xludf.DUMMYFUNCTION("IF
(
C11657=""фізична особа""
,
VLOOKUP(D11657,IMPORTRANGE(""https://docs.google.com/spreadsheets/d/14Bd19lYaqBhU8_DElYkX7l4wRkHqqCUFNJY4AfY3kHU/edit?usp=sharing  #gid=0"",""фіз особи new!relations_name""),6,FALSE)
,
(IF
(
C11657=""юридична особа""
,
VLOO"&amp;"KUP(D11657,IMPORTRANGE(""https://docs.google.com/spreadsheets/d/14Bd19lYaqBhU8_DElYkX7l4wRkHqqCUFNJY4AfY3kHU/edit?usp=sharing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6" s="7" t="s">
        <v>10</v>
      </c>
      <c r="H11656" s="7">
        <v>17752</v>
      </c>
      <c r="I11656" s="8" t="str">
        <f ca="1">IFERROR(__xludf.DUMMYFUNCTION("IF
(
G11657=""фізична особа""
,
VLOOKUP(H11657,IMPORTRANGE(""https://docs.google.com/spreadsheets/d/14Bd19lYaqBhU8_DElYkX7l4wRkHqqCUFNJY4AfY3kHU/edit?usp=sharing  #gid=0"",""фіз особи new!relations_name""),6,FALSE)
,
(IF
(
G11657=""юридична особа""
,
VLOO"&amp;"KUP(H11657,IMPORTRANGE(""https://docs.google.com/spreadsheets/d/14Bd19lYaqBhU8_DElYkX7l4wRkHqqCUFNJY4AfY3kHU/edit?usp=sharing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656" s="7" t="s">
        <v>23</v>
      </c>
    </row>
    <row r="11657" spans="1:10" ht="13.2">
      <c r="A11657" s="7">
        <v>11656</v>
      </c>
      <c r="B11657" s="7">
        <v>1</v>
      </c>
      <c r="C11657" s="7" t="s">
        <v>10</v>
      </c>
      <c r="D11657" s="7">
        <v>17746</v>
      </c>
      <c r="E11657" s="7" t="s">
        <v>23</v>
      </c>
      <c r="F11657" s="8" t="str">
        <f ca="1">IFERROR(__xludf.DUMMYFUNCTION("IF
(
C11658=""фізична особа""
,
VLOOKUP(D11658,IMPORTRANGE(""https://docs.google.com/spreadsheets/d/14Bd19lYaqBhU8_DElYkX7l4wRkHqqCUFNJY4AfY3kHU/edit?usp=sharing  #gid=0"",""фіз особи new!relations_name""),6,FALSE)
,
(IF
(
C11658=""юридична особа""
,
VLOO"&amp;"KUP(D11658,IMPORTRANGE(""https://docs.google.com/spreadsheets/d/14Bd19lYaqBhU8_DElYkX7l4wRkHqqCUFNJY4AfY3kHU/edit?usp=sharing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7" s="7" t="s">
        <v>10</v>
      </c>
      <c r="H11657" s="7">
        <v>17753</v>
      </c>
      <c r="I11657" s="8" t="str">
        <f ca="1">IFERROR(__xludf.DUMMYFUNCTION("IF
(
G11658=""фізична особа""
,
VLOOKUP(H11658,IMPORTRANGE(""https://docs.google.com/spreadsheets/d/14Bd19lYaqBhU8_DElYkX7l4wRkHqqCUFNJY4AfY3kHU/edit?usp=sharing  #gid=0"",""фіз особи new!relations_name""),6,FALSE)
,
(IF
(
G11658=""юридична особа""
,
VLOO"&amp;"KUP(H11658,IMPORTRANGE(""https://docs.google.com/spreadsheets/d/14Bd19lYaqBhU8_DElYkX7l4wRkHqqCUFNJY4AfY3kHU/edit?usp=sharing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657" s="7" t="s">
        <v>23</v>
      </c>
    </row>
    <row r="11658" spans="1:10" ht="13.2">
      <c r="A11658" s="7">
        <v>11657</v>
      </c>
      <c r="B11658" s="7">
        <v>1</v>
      </c>
      <c r="C11658" s="7" t="s">
        <v>10</v>
      </c>
      <c r="D11658" s="7">
        <v>17746</v>
      </c>
      <c r="E11658" s="7" t="s">
        <v>23</v>
      </c>
      <c r="F11658" s="8" t="str">
        <f ca="1">IFERROR(__xludf.DUMMYFUNCTION("IF
(
C11659=""фізична особа""
,
VLOOKUP(D11659,IMPORTRANGE(""https://docs.google.com/spreadsheets/d/14Bd19lYaqBhU8_DElYkX7l4wRkHqqCUFNJY4AfY3kHU/edit?usp=sharing  #gid=0"",""фіз особи new!relations_name""),6,FALSE)
,
(IF
(
C11659=""юридична особа""
,
VLOO"&amp;"KUP(D11659,IMPORTRANGE(""https://docs.google.com/spreadsheets/d/14Bd19lYaqBhU8_DElYkX7l4wRkHqqCUFNJY4AfY3kHU/edit?usp=sharing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8" s="7" t="s">
        <v>10</v>
      </c>
      <c r="H11658" s="7">
        <v>17754</v>
      </c>
      <c r="I11658" s="8" t="str">
        <f ca="1">IFERROR(__xludf.DUMMYFUNCTION("IF
(
G11659=""фізична особа""
,
VLOOKUP(H11659,IMPORTRANGE(""https://docs.google.com/spreadsheets/d/14Bd19lYaqBhU8_DElYkX7l4wRkHqqCUFNJY4AfY3kHU/edit?usp=sharing  #gid=0"",""фіз особи new!relations_name""),6,FALSE)
,
(IF
(
G11659=""юридична особа""
,
VLOO"&amp;"KUP(H11659,IMPORTRANGE(""https://docs.google.com/spreadsheets/d/14Bd19lYaqBhU8_DElYkX7l4wRkHqqCUFNJY4AfY3kHU/edit?usp=sharing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658" s="7" t="s">
        <v>23</v>
      </c>
    </row>
    <row r="11659" spans="1:10" ht="13.2">
      <c r="A11659" s="7">
        <v>11658</v>
      </c>
      <c r="B11659" s="7">
        <v>1</v>
      </c>
      <c r="C11659" s="7" t="s">
        <v>10</v>
      </c>
      <c r="D11659" s="7">
        <v>17746</v>
      </c>
      <c r="E11659" s="7" t="s">
        <v>23</v>
      </c>
      <c r="F11659" s="8" t="str">
        <f ca="1">IFERROR(__xludf.DUMMYFUNCTION("IF
(
C11660=""фізична особа""
,
VLOOKUP(D11660,IMPORTRANGE(""https://docs.google.com/spreadsheets/d/14Bd19lYaqBhU8_DElYkX7l4wRkHqqCUFNJY4AfY3kHU/edit?usp=sharing  #gid=0"",""фіз особи new!relations_name""),6,FALSE)
,
(IF
(
C11660=""юридична особа""
,
VLOO"&amp;"KUP(D11660,IMPORTRANGE(""https://docs.google.com/spreadsheets/d/14Bd19lYaqBhU8_DElYkX7l4wRkHqqCUFNJY4AfY3kHU/edit?usp=sharing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G11659" s="7" t="s">
        <v>10</v>
      </c>
      <c r="H11659" s="7">
        <v>17755</v>
      </c>
      <c r="I11659" s="8" t="str">
        <f ca="1">IFERROR(__xludf.DUMMYFUNCTION("IF
(
G11660=""фізична особа""
,
VLOOKUP(H11660,IMPORTRANGE(""https://docs.google.com/spreadsheets/d/14Bd19lYaqBhU8_DElYkX7l4wRkHqqCUFNJY4AfY3kHU/edit?usp=sharing  #gid=0"",""фіз особи new!relations_name""),6,FALSE)
,
(IF
(
G11660=""юридична особа""
,
VLOO"&amp;"KUP(H11660,IMPORTRANGE(""https://docs.google.com/spreadsheets/d/14Bd19lYaqBhU8_DElYkX7l4wRkHqqCUFNJY4AfY3kHU/edit?usp=sharing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659" s="7" t="s">
        <v>23</v>
      </c>
    </row>
    <row r="11660" spans="1:10" ht="13.2">
      <c r="A11660" s="7">
        <v>11659</v>
      </c>
      <c r="B11660" s="7">
        <v>1</v>
      </c>
      <c r="C11660" s="7" t="s">
        <v>10</v>
      </c>
      <c r="D11660" s="7">
        <v>17747</v>
      </c>
      <c r="E11660" s="7" t="s">
        <v>23</v>
      </c>
      <c r="F11660" s="8" t="str">
        <f ca="1">IFERROR(__xludf.DUMMYFUNCTION("IF
(
C11661=""фізична особа""
,
VLOOKUP(D11661,IMPORTRANGE(""https://docs.google.com/spreadsheets/d/14Bd19lYaqBhU8_DElYkX7l4wRkHqqCUFNJY4AfY3kHU/edit?usp=sharing  #gid=0"",""фіз особи new!relations_name""),6,FALSE)
,
(IF
(
C11661=""юридична особа""
,
VLOO"&amp;"KUP(D11661,IMPORTRANGE(""https://docs.google.com/spreadsheets/d/14Bd19lYaqBhU8_DElYkX7l4wRkHqqCUFNJY4AfY3kHU/edit?usp=sharing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0" s="7" t="s">
        <v>10</v>
      </c>
      <c r="H11660" s="7">
        <v>17746</v>
      </c>
      <c r="I11660" s="8" t="str">
        <f ca="1">IFERROR(__xludf.DUMMYFUNCTION("IF
(
G11661=""фізична особа""
,
VLOOKUP(H11661,IMPORTRANGE(""https://docs.google.com/spreadsheets/d/14Bd19lYaqBhU8_DElYkX7l4wRkHqqCUFNJY4AfY3kHU/edit?usp=sharing  #gid=0"",""фіз особи new!relations_name""),6,FALSE)
,
(IF
(
G11661=""юридична особа""
,
VLOO"&amp;"KUP(H11661,IMPORTRANGE(""https://docs.google.com/spreadsheets/d/14Bd19lYaqBhU8_DElYkX7l4wRkHqqCUFNJY4AfY3kHU/edit?usp=sharing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660" s="7" t="s">
        <v>23</v>
      </c>
    </row>
    <row r="11661" spans="1:10" ht="13.2">
      <c r="A11661" s="7">
        <v>11660</v>
      </c>
      <c r="B11661" s="7">
        <v>1</v>
      </c>
      <c r="C11661" s="7" t="s">
        <v>10</v>
      </c>
      <c r="D11661" s="7">
        <v>17747</v>
      </c>
      <c r="E11661" s="7" t="s">
        <v>23</v>
      </c>
      <c r="F11661" s="8" t="str">
        <f ca="1">IFERROR(__xludf.DUMMYFUNCTION("IF
(
C11662=""фізична особа""
,
VLOOKUP(D11662,IMPORTRANGE(""https://docs.google.com/spreadsheets/d/14Bd19lYaqBhU8_DElYkX7l4wRkHqqCUFNJY4AfY3kHU/edit?usp=sharing  #gid=0"",""фіз особи new!relations_name""),6,FALSE)
,
(IF
(
C11662=""юридична особа""
,
VLOO"&amp;"KUP(D11662,IMPORTRANGE(""https://docs.google.com/spreadsheets/d/14Bd19lYaqBhU8_DElYkX7l4wRkHqqCUFNJY4AfY3kHU/edit?usp=sharing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1" s="7" t="s">
        <v>10</v>
      </c>
      <c r="H11661" s="7">
        <v>17748</v>
      </c>
      <c r="I11661" s="8" t="str">
        <f ca="1">IFERROR(__xludf.DUMMYFUNCTION("IF
(
G11662=""фізична особа""
,
VLOOKUP(H11662,IMPORTRANGE(""https://docs.google.com/spreadsheets/d/14Bd19lYaqBhU8_DElYkX7l4wRkHqqCUFNJY4AfY3kHU/edit?usp=sharing  #gid=0"",""фіз особи new!relations_name""),6,FALSE)
,
(IF
(
G11662=""юридична особа""
,
VLOO"&amp;"KUP(H11662,IMPORTRANGE(""https://docs.google.com/spreadsheets/d/14Bd19lYaqBhU8_DElYkX7l4wRkHqqCUFNJY4AfY3kHU/edit?usp=sharing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661" s="7" t="s">
        <v>23</v>
      </c>
    </row>
    <row r="11662" spans="1:10" ht="13.2">
      <c r="A11662" s="7">
        <v>11661</v>
      </c>
      <c r="B11662" s="7">
        <v>1</v>
      </c>
      <c r="C11662" s="7" t="s">
        <v>10</v>
      </c>
      <c r="D11662" s="7">
        <v>17747</v>
      </c>
      <c r="E11662" s="7" t="s">
        <v>23</v>
      </c>
      <c r="F11662" s="8" t="str">
        <f ca="1">IFERROR(__xludf.DUMMYFUNCTION("IF
(
C11663=""фізична особа""
,
VLOOKUP(D11663,IMPORTRANGE(""https://docs.google.com/spreadsheets/d/14Bd19lYaqBhU8_DElYkX7l4wRkHqqCUFNJY4AfY3kHU/edit?usp=sharing  #gid=0"",""фіз особи new!relations_name""),6,FALSE)
,
(IF
(
C11663=""юридична особа""
,
VLOO"&amp;"KUP(D11663,IMPORTRANGE(""https://docs.google.com/spreadsheets/d/14Bd19lYaqBhU8_DElYkX7l4wRkHqqCUFNJY4AfY3kHU/edit?usp=sharing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2" s="7" t="s">
        <v>10</v>
      </c>
      <c r="H11662" s="7">
        <v>17749</v>
      </c>
      <c r="I11662" s="8" t="str">
        <f ca="1">IFERROR(__xludf.DUMMYFUNCTION("IF
(
G11663=""фізична особа""
,
VLOOKUP(H11663,IMPORTRANGE(""https://docs.google.com/spreadsheets/d/14Bd19lYaqBhU8_DElYkX7l4wRkHqqCUFNJY4AfY3kHU/edit?usp=sharing  #gid=0"",""фіз особи new!relations_name""),6,FALSE)
,
(IF
(
G11663=""юридична особа""
,
VLOO"&amp;"KUP(H11663,IMPORTRANGE(""https://docs.google.com/spreadsheets/d/14Bd19lYaqBhU8_DElYkX7l4wRkHqqCUFNJY4AfY3kHU/edit?usp=sharing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662" s="7" t="s">
        <v>23</v>
      </c>
    </row>
    <row r="11663" spans="1:10" ht="13.2">
      <c r="A11663" s="7">
        <v>11662</v>
      </c>
      <c r="B11663" s="7">
        <v>1</v>
      </c>
      <c r="C11663" s="7" t="s">
        <v>10</v>
      </c>
      <c r="D11663" s="7">
        <v>17747</v>
      </c>
      <c r="E11663" s="7" t="s">
        <v>23</v>
      </c>
      <c r="F11663" s="8" t="str">
        <f ca="1">IFERROR(__xludf.DUMMYFUNCTION("IF
(
C11664=""фізична особа""
,
VLOOKUP(D11664,IMPORTRANGE(""https://docs.google.com/spreadsheets/d/14Bd19lYaqBhU8_DElYkX7l4wRkHqqCUFNJY4AfY3kHU/edit?usp=sharing  #gid=0"",""фіз особи new!relations_name""),6,FALSE)
,
(IF
(
C11664=""юридична особа""
,
VLOO"&amp;"KUP(D11664,IMPORTRANGE(""https://docs.google.com/spreadsheets/d/14Bd19lYaqBhU8_DElYkX7l4wRkHqqCUFNJY4AfY3kHU/edit?usp=sharing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3" s="7" t="s">
        <v>10</v>
      </c>
      <c r="H11663" s="7">
        <v>17750</v>
      </c>
      <c r="I11663" s="8" t="str">
        <f ca="1">IFERROR(__xludf.DUMMYFUNCTION("IF
(
G11664=""фізична особа""
,
VLOOKUP(H11664,IMPORTRANGE(""https://docs.google.com/spreadsheets/d/14Bd19lYaqBhU8_DElYkX7l4wRkHqqCUFNJY4AfY3kHU/edit?usp=sharing  #gid=0"",""фіз особи new!relations_name""),6,FALSE)
,
(IF
(
G11664=""юридична особа""
,
VLOO"&amp;"KUP(H11664,IMPORTRANGE(""https://docs.google.com/spreadsheets/d/14Bd19lYaqBhU8_DElYkX7l4wRkHqqCUFNJY4AfY3kHU/edit?usp=sharing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663" s="7" t="s">
        <v>23</v>
      </c>
    </row>
    <row r="11664" spans="1:10" ht="13.2">
      <c r="A11664" s="7">
        <v>11663</v>
      </c>
      <c r="B11664" s="7">
        <v>1</v>
      </c>
      <c r="C11664" s="7" t="s">
        <v>10</v>
      </c>
      <c r="D11664" s="7">
        <v>17747</v>
      </c>
      <c r="E11664" s="7" t="s">
        <v>23</v>
      </c>
      <c r="F11664" s="8" t="str">
        <f ca="1">IFERROR(__xludf.DUMMYFUNCTION("IF
(
C11665=""фізична особа""
,
VLOOKUP(D11665,IMPORTRANGE(""https://docs.google.com/spreadsheets/d/14Bd19lYaqBhU8_DElYkX7l4wRkHqqCUFNJY4AfY3kHU/edit?usp=sharing  #gid=0"",""фіз особи new!relations_name""),6,FALSE)
,
(IF
(
C11665=""юридична особа""
,
VLOO"&amp;"KUP(D11665,IMPORTRANGE(""https://docs.google.com/spreadsheets/d/14Bd19lYaqBhU8_DElYkX7l4wRkHqqCUFNJY4AfY3kHU/edit?usp=sharing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4" s="7" t="s">
        <v>10</v>
      </c>
      <c r="H11664" s="7">
        <v>17751</v>
      </c>
      <c r="I11664" s="8" t="str">
        <f ca="1">IFERROR(__xludf.DUMMYFUNCTION("IF
(
G11665=""фізична особа""
,
VLOOKUP(H11665,IMPORTRANGE(""https://docs.google.com/spreadsheets/d/14Bd19lYaqBhU8_DElYkX7l4wRkHqqCUFNJY4AfY3kHU/edit?usp=sharing  #gid=0"",""фіз особи new!relations_name""),6,FALSE)
,
(IF
(
G11665=""юридична особа""
,
VLOO"&amp;"KUP(H11665,IMPORTRANGE(""https://docs.google.com/spreadsheets/d/14Bd19lYaqBhU8_DElYkX7l4wRkHqqCUFNJY4AfY3kHU/edit?usp=sharing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664" s="7" t="s">
        <v>23</v>
      </c>
    </row>
    <row r="11665" spans="1:10" ht="13.2">
      <c r="A11665" s="7">
        <v>11664</v>
      </c>
      <c r="B11665" s="7">
        <v>1</v>
      </c>
      <c r="C11665" s="7" t="s">
        <v>10</v>
      </c>
      <c r="D11665" s="7">
        <v>17747</v>
      </c>
      <c r="E11665" s="7" t="s">
        <v>23</v>
      </c>
      <c r="F11665" s="8" t="str">
        <f ca="1">IFERROR(__xludf.DUMMYFUNCTION("IF
(
C11666=""фізична особа""
,
VLOOKUP(D11666,IMPORTRANGE(""https://docs.google.com/spreadsheets/d/14Bd19lYaqBhU8_DElYkX7l4wRkHqqCUFNJY4AfY3kHU/edit?usp=sharing  #gid=0"",""фіз особи new!relations_name""),6,FALSE)
,
(IF
(
C11666=""юридична особа""
,
VLOO"&amp;"KUP(D11666,IMPORTRANGE(""https://docs.google.com/spreadsheets/d/14Bd19lYaqBhU8_DElYkX7l4wRkHqqCUFNJY4AfY3kHU/edit?usp=sharing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5" s="7" t="s">
        <v>10</v>
      </c>
      <c r="H11665" s="7">
        <v>17752</v>
      </c>
      <c r="I11665" s="8" t="str">
        <f ca="1">IFERROR(__xludf.DUMMYFUNCTION("IF
(
G11666=""фізична особа""
,
VLOOKUP(H11666,IMPORTRANGE(""https://docs.google.com/spreadsheets/d/14Bd19lYaqBhU8_DElYkX7l4wRkHqqCUFNJY4AfY3kHU/edit?usp=sharing  #gid=0"",""фіз особи new!relations_name""),6,FALSE)
,
(IF
(
G11666=""юридична особа""
,
VLOO"&amp;"KUP(H11666,IMPORTRANGE(""https://docs.google.com/spreadsheets/d/14Bd19lYaqBhU8_DElYkX7l4wRkHqqCUFNJY4AfY3kHU/edit?usp=sharing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665" s="7" t="s">
        <v>23</v>
      </c>
    </row>
    <row r="11666" spans="1:10" ht="13.2">
      <c r="A11666" s="7">
        <v>11665</v>
      </c>
      <c r="B11666" s="7">
        <v>1</v>
      </c>
      <c r="C11666" s="7" t="s">
        <v>10</v>
      </c>
      <c r="D11666" s="7">
        <v>17747</v>
      </c>
      <c r="E11666" s="7" t="s">
        <v>23</v>
      </c>
      <c r="F11666" s="8" t="str">
        <f ca="1">IFERROR(__xludf.DUMMYFUNCTION("IF
(
C11667=""фізична особа""
,
VLOOKUP(D11667,IMPORTRANGE(""https://docs.google.com/spreadsheets/d/14Bd19lYaqBhU8_DElYkX7l4wRkHqqCUFNJY4AfY3kHU/edit?usp=sharing  #gid=0"",""фіз особи new!relations_name""),6,FALSE)
,
(IF
(
C11667=""юридична особа""
,
VLOO"&amp;"KUP(D11667,IMPORTRANGE(""https://docs.google.com/spreadsheets/d/14Bd19lYaqBhU8_DElYkX7l4wRkHqqCUFNJY4AfY3kHU/edit?usp=sharing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6" s="7" t="s">
        <v>10</v>
      </c>
      <c r="H11666" s="7">
        <v>17753</v>
      </c>
      <c r="I11666" s="8" t="str">
        <f ca="1">IFERROR(__xludf.DUMMYFUNCTION("IF
(
G11667=""фізична особа""
,
VLOOKUP(H11667,IMPORTRANGE(""https://docs.google.com/spreadsheets/d/14Bd19lYaqBhU8_DElYkX7l4wRkHqqCUFNJY4AfY3kHU/edit?usp=sharing  #gid=0"",""фіз особи new!relations_name""),6,FALSE)
,
(IF
(
G11667=""юридична особа""
,
VLOO"&amp;"KUP(H11667,IMPORTRANGE(""https://docs.google.com/spreadsheets/d/14Bd19lYaqBhU8_DElYkX7l4wRkHqqCUFNJY4AfY3kHU/edit?usp=sharing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666" s="7" t="s">
        <v>23</v>
      </c>
    </row>
    <row r="11667" spans="1:10" ht="13.2">
      <c r="A11667" s="7">
        <v>11666</v>
      </c>
      <c r="B11667" s="7">
        <v>1</v>
      </c>
      <c r="C11667" s="7" t="s">
        <v>10</v>
      </c>
      <c r="D11667" s="7">
        <v>17747</v>
      </c>
      <c r="E11667" s="7" t="s">
        <v>23</v>
      </c>
      <c r="F11667" s="8" t="str">
        <f ca="1">IFERROR(__xludf.DUMMYFUNCTION("IF
(
C11668=""фізична особа""
,
VLOOKUP(D11668,IMPORTRANGE(""https://docs.google.com/spreadsheets/d/14Bd19lYaqBhU8_DElYkX7l4wRkHqqCUFNJY4AfY3kHU/edit?usp=sharing  #gid=0"",""фіз особи new!relations_name""),6,FALSE)
,
(IF
(
C11668=""юридична особа""
,
VLOO"&amp;"KUP(D11668,IMPORTRANGE(""https://docs.google.com/spreadsheets/d/14Bd19lYaqBhU8_DElYkX7l4wRkHqqCUFNJY4AfY3kHU/edit?usp=sharing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7" s="7" t="s">
        <v>10</v>
      </c>
      <c r="H11667" s="7">
        <v>17754</v>
      </c>
      <c r="I11667" s="8" t="str">
        <f ca="1">IFERROR(__xludf.DUMMYFUNCTION("IF
(
G11668=""фізична особа""
,
VLOOKUP(H11668,IMPORTRANGE(""https://docs.google.com/spreadsheets/d/14Bd19lYaqBhU8_DElYkX7l4wRkHqqCUFNJY4AfY3kHU/edit?usp=sharing  #gid=0"",""фіз особи new!relations_name""),6,FALSE)
,
(IF
(
G11668=""юридична особа""
,
VLOO"&amp;"KUP(H11668,IMPORTRANGE(""https://docs.google.com/spreadsheets/d/14Bd19lYaqBhU8_DElYkX7l4wRkHqqCUFNJY4AfY3kHU/edit?usp=sharing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667" s="7" t="s">
        <v>23</v>
      </c>
    </row>
    <row r="11668" spans="1:10" ht="13.2">
      <c r="A11668" s="7">
        <v>11667</v>
      </c>
      <c r="B11668" s="7">
        <v>1</v>
      </c>
      <c r="C11668" s="7" t="s">
        <v>10</v>
      </c>
      <c r="D11668" s="7">
        <v>17747</v>
      </c>
      <c r="E11668" s="7" t="s">
        <v>23</v>
      </c>
      <c r="F11668" s="8" t="str">
        <f ca="1">IFERROR(__xludf.DUMMYFUNCTION("IF
(
C11669=""фізична особа""
,
VLOOKUP(D11669,IMPORTRANGE(""https://docs.google.com/spreadsheets/d/14Bd19lYaqBhU8_DElYkX7l4wRkHqqCUFNJY4AfY3kHU/edit?usp=sharing  #gid=0"",""фіз особи new!relations_name""),6,FALSE)
,
(IF
(
C11669=""юридична особа""
,
VLOO"&amp;"KUP(D11669,IMPORTRANGE(""https://docs.google.com/spreadsheets/d/14Bd19lYaqBhU8_DElYkX7l4wRkHqqCUFNJY4AfY3kHU/edit?usp=sharing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G11668" s="7" t="s">
        <v>10</v>
      </c>
      <c r="H11668" s="7">
        <v>17755</v>
      </c>
      <c r="I11668" s="8" t="str">
        <f ca="1">IFERROR(__xludf.DUMMYFUNCTION("IF
(
G11669=""фізична особа""
,
VLOOKUP(H11669,IMPORTRANGE(""https://docs.google.com/spreadsheets/d/14Bd19lYaqBhU8_DElYkX7l4wRkHqqCUFNJY4AfY3kHU/edit?usp=sharing  #gid=0"",""фіз особи new!relations_name""),6,FALSE)
,
(IF
(
G11669=""юридична особа""
,
VLOO"&amp;"KUP(H11669,IMPORTRANGE(""https://docs.google.com/spreadsheets/d/14Bd19lYaqBhU8_DElYkX7l4wRkHqqCUFNJY4AfY3kHU/edit?usp=sharing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668" s="7" t="s">
        <v>23</v>
      </c>
    </row>
    <row r="11669" spans="1:10" ht="13.2">
      <c r="A11669" s="7">
        <v>11668</v>
      </c>
      <c r="B11669" s="7">
        <v>1</v>
      </c>
      <c r="C11669" s="7" t="s">
        <v>10</v>
      </c>
      <c r="D11669" s="7">
        <v>17748</v>
      </c>
      <c r="E11669" s="7" t="s">
        <v>23</v>
      </c>
      <c r="F11669" s="8" t="str">
        <f ca="1">IFERROR(__xludf.DUMMYFUNCTION("IF
(
C11670=""фізична особа""
,
VLOOKUP(D11670,IMPORTRANGE(""https://docs.google.com/spreadsheets/d/14Bd19lYaqBhU8_DElYkX7l4wRkHqqCUFNJY4AfY3kHU/edit?usp=sharing  #gid=0"",""фіз особи new!relations_name""),6,FALSE)
,
(IF
(
C11670=""юридична особа""
,
VLOO"&amp;"KUP(D11670,IMPORTRANGE(""https://docs.google.com/spreadsheets/d/14Bd19lYaqBhU8_DElYkX7l4wRkHqqCUFNJY4AfY3kHU/edit?usp=sharing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69" s="7" t="s">
        <v>10</v>
      </c>
      <c r="H11669" s="7">
        <v>17746</v>
      </c>
      <c r="I11669" s="8" t="str">
        <f ca="1">IFERROR(__xludf.DUMMYFUNCTION("IF
(
G11670=""фізична особа""
,
VLOOKUP(H11670,IMPORTRANGE(""https://docs.google.com/spreadsheets/d/14Bd19lYaqBhU8_DElYkX7l4wRkHqqCUFNJY4AfY3kHU/edit?usp=sharing  #gid=0"",""фіз особи new!relations_name""),6,FALSE)
,
(IF
(
G11670=""юридична особа""
,
VLOO"&amp;"KUP(H11670,IMPORTRANGE(""https://docs.google.com/spreadsheets/d/14Bd19lYaqBhU8_DElYkX7l4wRkHqqCUFNJY4AfY3kHU/edit?usp=sharing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669" s="7" t="s">
        <v>23</v>
      </c>
    </row>
    <row r="11670" spans="1:10" ht="13.2">
      <c r="A11670" s="7">
        <v>11669</v>
      </c>
      <c r="B11670" s="7">
        <v>1</v>
      </c>
      <c r="C11670" s="7" t="s">
        <v>10</v>
      </c>
      <c r="D11670" s="7">
        <v>17748</v>
      </c>
      <c r="E11670" s="7" t="s">
        <v>23</v>
      </c>
      <c r="F11670" s="8" t="str">
        <f ca="1">IFERROR(__xludf.DUMMYFUNCTION("IF
(
C11671=""фізична особа""
,
VLOOKUP(D11671,IMPORTRANGE(""https://docs.google.com/spreadsheets/d/14Bd19lYaqBhU8_DElYkX7l4wRkHqqCUFNJY4AfY3kHU/edit?usp=sharing  #gid=0"",""фіз особи new!relations_name""),6,FALSE)
,
(IF
(
C11671=""юридична особа""
,
VLOO"&amp;"KUP(D11671,IMPORTRANGE(""https://docs.google.com/spreadsheets/d/14Bd19lYaqBhU8_DElYkX7l4wRkHqqCUFNJY4AfY3kHU/edit?usp=sharing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0" s="7" t="s">
        <v>10</v>
      </c>
      <c r="H11670" s="7">
        <v>17747</v>
      </c>
      <c r="I11670" s="8" t="str">
        <f ca="1">IFERROR(__xludf.DUMMYFUNCTION("IF
(
G11671=""фізична особа""
,
VLOOKUP(H11671,IMPORTRANGE(""https://docs.google.com/spreadsheets/d/14Bd19lYaqBhU8_DElYkX7l4wRkHqqCUFNJY4AfY3kHU/edit?usp=sharing  #gid=0"",""фіз особи new!relations_name""),6,FALSE)
,
(IF
(
G11671=""юридична особа""
,
VLOO"&amp;"KUP(H11671,IMPORTRANGE(""https://docs.google.com/spreadsheets/d/14Bd19lYaqBhU8_DElYkX7l4wRkHqqCUFNJY4AfY3kHU/edit?usp=sharing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670" s="7" t="s">
        <v>23</v>
      </c>
    </row>
    <row r="11671" spans="1:10" ht="13.2">
      <c r="A11671" s="7">
        <v>11670</v>
      </c>
      <c r="B11671" s="7">
        <v>1</v>
      </c>
      <c r="C11671" s="7" t="s">
        <v>10</v>
      </c>
      <c r="D11671" s="7">
        <v>17748</v>
      </c>
      <c r="E11671" s="7" t="s">
        <v>23</v>
      </c>
      <c r="F11671" s="8" t="str">
        <f ca="1">IFERROR(__xludf.DUMMYFUNCTION("IF
(
C11672=""фізична особа""
,
VLOOKUP(D11672,IMPORTRANGE(""https://docs.google.com/spreadsheets/d/14Bd19lYaqBhU8_DElYkX7l4wRkHqqCUFNJY4AfY3kHU/edit?usp=sharing  #gid=0"",""фіз особи new!relations_name""),6,FALSE)
,
(IF
(
C11672=""юридична особа""
,
VLOO"&amp;"KUP(D11672,IMPORTRANGE(""https://docs.google.com/spreadsheets/d/14Bd19lYaqBhU8_DElYkX7l4wRkHqqCUFNJY4AfY3kHU/edit?usp=sharing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1" s="7" t="s">
        <v>10</v>
      </c>
      <c r="H11671" s="7">
        <v>17749</v>
      </c>
      <c r="I11671" s="8" t="str">
        <f ca="1">IFERROR(__xludf.DUMMYFUNCTION("IF
(
G11672=""фізична особа""
,
VLOOKUP(H11672,IMPORTRANGE(""https://docs.google.com/spreadsheets/d/14Bd19lYaqBhU8_DElYkX7l4wRkHqqCUFNJY4AfY3kHU/edit?usp=sharing  #gid=0"",""фіз особи new!relations_name""),6,FALSE)
,
(IF
(
G11672=""юридична особа""
,
VLOO"&amp;"KUP(H11672,IMPORTRANGE(""https://docs.google.com/spreadsheets/d/14Bd19lYaqBhU8_DElYkX7l4wRkHqqCUFNJY4AfY3kHU/edit?usp=sharing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671" s="7" t="s">
        <v>23</v>
      </c>
    </row>
    <row r="11672" spans="1:10" ht="13.2">
      <c r="A11672" s="7">
        <v>11671</v>
      </c>
      <c r="B11672" s="7">
        <v>1</v>
      </c>
      <c r="C11672" s="7" t="s">
        <v>10</v>
      </c>
      <c r="D11672" s="7">
        <v>17748</v>
      </c>
      <c r="E11672" s="7" t="s">
        <v>23</v>
      </c>
      <c r="F11672" s="8" t="str">
        <f ca="1">IFERROR(__xludf.DUMMYFUNCTION("IF
(
C11673=""фізична особа""
,
VLOOKUP(D11673,IMPORTRANGE(""https://docs.google.com/spreadsheets/d/14Bd19lYaqBhU8_DElYkX7l4wRkHqqCUFNJY4AfY3kHU/edit?usp=sharing  #gid=0"",""фіз особи new!relations_name""),6,FALSE)
,
(IF
(
C11673=""юридична особа""
,
VLOO"&amp;"KUP(D11673,IMPORTRANGE(""https://docs.google.com/spreadsheets/d/14Bd19lYaqBhU8_DElYkX7l4wRkHqqCUFNJY4AfY3kHU/edit?usp=sharing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2" s="7" t="s">
        <v>10</v>
      </c>
      <c r="H11672" s="7">
        <v>17750</v>
      </c>
      <c r="I11672" s="8" t="str">
        <f ca="1">IFERROR(__xludf.DUMMYFUNCTION("IF
(
G11673=""фізична особа""
,
VLOOKUP(H11673,IMPORTRANGE(""https://docs.google.com/spreadsheets/d/14Bd19lYaqBhU8_DElYkX7l4wRkHqqCUFNJY4AfY3kHU/edit?usp=sharing  #gid=0"",""фіз особи new!relations_name""),6,FALSE)
,
(IF
(
G11673=""юридична особа""
,
VLOO"&amp;"KUP(H11673,IMPORTRANGE(""https://docs.google.com/spreadsheets/d/14Bd19lYaqBhU8_DElYkX7l4wRkHqqCUFNJY4AfY3kHU/edit?usp=sharing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672" s="7" t="s">
        <v>23</v>
      </c>
    </row>
    <row r="11673" spans="1:10" ht="13.2">
      <c r="A11673" s="7">
        <v>11672</v>
      </c>
      <c r="B11673" s="7">
        <v>1</v>
      </c>
      <c r="C11673" s="7" t="s">
        <v>10</v>
      </c>
      <c r="D11673" s="7">
        <v>17748</v>
      </c>
      <c r="E11673" s="7" t="s">
        <v>23</v>
      </c>
      <c r="F11673" s="8" t="str">
        <f ca="1">IFERROR(__xludf.DUMMYFUNCTION("IF
(
C11674=""фізична особа""
,
VLOOKUP(D11674,IMPORTRANGE(""https://docs.google.com/spreadsheets/d/14Bd19lYaqBhU8_DElYkX7l4wRkHqqCUFNJY4AfY3kHU/edit?usp=sharing  #gid=0"",""фіз особи new!relations_name""),6,FALSE)
,
(IF
(
C11674=""юридична особа""
,
VLOO"&amp;"KUP(D11674,IMPORTRANGE(""https://docs.google.com/spreadsheets/d/14Bd19lYaqBhU8_DElYkX7l4wRkHqqCUFNJY4AfY3kHU/edit?usp=sharing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3" s="7" t="s">
        <v>10</v>
      </c>
      <c r="H11673" s="7">
        <v>17751</v>
      </c>
      <c r="I11673" s="8" t="str">
        <f ca="1">IFERROR(__xludf.DUMMYFUNCTION("IF
(
G11674=""фізична особа""
,
VLOOKUP(H11674,IMPORTRANGE(""https://docs.google.com/spreadsheets/d/14Bd19lYaqBhU8_DElYkX7l4wRkHqqCUFNJY4AfY3kHU/edit?usp=sharing  #gid=0"",""фіз особи new!relations_name""),6,FALSE)
,
(IF
(
G11674=""юридична особа""
,
VLOO"&amp;"KUP(H11674,IMPORTRANGE(""https://docs.google.com/spreadsheets/d/14Bd19lYaqBhU8_DElYkX7l4wRkHqqCUFNJY4AfY3kHU/edit?usp=sharing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673" s="7" t="s">
        <v>23</v>
      </c>
    </row>
    <row r="11674" spans="1:10" ht="13.2">
      <c r="A11674" s="7">
        <v>11673</v>
      </c>
      <c r="B11674" s="7">
        <v>1</v>
      </c>
      <c r="C11674" s="7" t="s">
        <v>10</v>
      </c>
      <c r="D11674" s="7">
        <v>17748</v>
      </c>
      <c r="E11674" s="7" t="s">
        <v>23</v>
      </c>
      <c r="F11674" s="8" t="str">
        <f ca="1">IFERROR(__xludf.DUMMYFUNCTION("IF
(
C11675=""фізична особа""
,
VLOOKUP(D11675,IMPORTRANGE(""https://docs.google.com/spreadsheets/d/14Bd19lYaqBhU8_DElYkX7l4wRkHqqCUFNJY4AfY3kHU/edit?usp=sharing  #gid=0"",""фіз особи new!relations_name""),6,FALSE)
,
(IF
(
C11675=""юридична особа""
,
VLOO"&amp;"KUP(D11675,IMPORTRANGE(""https://docs.google.com/spreadsheets/d/14Bd19lYaqBhU8_DElYkX7l4wRkHqqCUFNJY4AfY3kHU/edit?usp=sharing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4" s="7" t="s">
        <v>10</v>
      </c>
      <c r="H11674" s="7">
        <v>17752</v>
      </c>
      <c r="I11674" s="8" t="str">
        <f ca="1">IFERROR(__xludf.DUMMYFUNCTION("IF
(
G11675=""фізична особа""
,
VLOOKUP(H11675,IMPORTRANGE(""https://docs.google.com/spreadsheets/d/14Bd19lYaqBhU8_DElYkX7l4wRkHqqCUFNJY4AfY3kHU/edit?usp=sharing  #gid=0"",""фіз особи new!relations_name""),6,FALSE)
,
(IF
(
G11675=""юридична особа""
,
VLOO"&amp;"KUP(H11675,IMPORTRANGE(""https://docs.google.com/spreadsheets/d/14Bd19lYaqBhU8_DElYkX7l4wRkHqqCUFNJY4AfY3kHU/edit?usp=sharing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674" s="7" t="s">
        <v>23</v>
      </c>
    </row>
    <row r="11675" spans="1:10" ht="13.2">
      <c r="A11675" s="7">
        <v>11674</v>
      </c>
      <c r="B11675" s="7">
        <v>1</v>
      </c>
      <c r="C11675" s="7" t="s">
        <v>10</v>
      </c>
      <c r="D11675" s="7">
        <v>17748</v>
      </c>
      <c r="E11675" s="7" t="s">
        <v>23</v>
      </c>
      <c r="F11675" s="8" t="str">
        <f ca="1">IFERROR(__xludf.DUMMYFUNCTION("IF
(
C11676=""фізична особа""
,
VLOOKUP(D11676,IMPORTRANGE(""https://docs.google.com/spreadsheets/d/14Bd19lYaqBhU8_DElYkX7l4wRkHqqCUFNJY4AfY3kHU/edit?usp=sharing  #gid=0"",""фіз особи new!relations_name""),6,FALSE)
,
(IF
(
C11676=""юридична особа""
,
VLOO"&amp;"KUP(D11676,IMPORTRANGE(""https://docs.google.com/spreadsheets/d/14Bd19lYaqBhU8_DElYkX7l4wRkHqqCUFNJY4AfY3kHU/edit?usp=sharing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5" s="7" t="s">
        <v>10</v>
      </c>
      <c r="H11675" s="7">
        <v>17753</v>
      </c>
      <c r="I11675" s="8" t="str">
        <f ca="1">IFERROR(__xludf.DUMMYFUNCTION("IF
(
G11676=""фізична особа""
,
VLOOKUP(H11676,IMPORTRANGE(""https://docs.google.com/spreadsheets/d/14Bd19lYaqBhU8_DElYkX7l4wRkHqqCUFNJY4AfY3kHU/edit?usp=sharing  #gid=0"",""фіз особи new!relations_name""),6,FALSE)
,
(IF
(
G11676=""юридична особа""
,
VLOO"&amp;"KUP(H11676,IMPORTRANGE(""https://docs.google.com/spreadsheets/d/14Bd19lYaqBhU8_DElYkX7l4wRkHqqCUFNJY4AfY3kHU/edit?usp=sharing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675" s="7" t="s">
        <v>23</v>
      </c>
    </row>
    <row r="11676" spans="1:10" ht="13.2">
      <c r="A11676" s="7">
        <v>11675</v>
      </c>
      <c r="B11676" s="7">
        <v>1</v>
      </c>
      <c r="C11676" s="7" t="s">
        <v>10</v>
      </c>
      <c r="D11676" s="7">
        <v>17748</v>
      </c>
      <c r="E11676" s="7" t="s">
        <v>23</v>
      </c>
      <c r="F11676" s="8" t="str">
        <f ca="1">IFERROR(__xludf.DUMMYFUNCTION("IF
(
C11677=""фізична особа""
,
VLOOKUP(D11677,IMPORTRANGE(""https://docs.google.com/spreadsheets/d/14Bd19lYaqBhU8_DElYkX7l4wRkHqqCUFNJY4AfY3kHU/edit?usp=sharing  #gid=0"",""фіз особи new!relations_name""),6,FALSE)
,
(IF
(
C11677=""юридична особа""
,
VLOO"&amp;"KUP(D11677,IMPORTRANGE(""https://docs.google.com/spreadsheets/d/14Bd19lYaqBhU8_DElYkX7l4wRkHqqCUFNJY4AfY3kHU/edit?usp=sharing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6" s="7" t="s">
        <v>10</v>
      </c>
      <c r="H11676" s="7">
        <v>17754</v>
      </c>
      <c r="I11676" s="8" t="str">
        <f ca="1">IFERROR(__xludf.DUMMYFUNCTION("IF
(
G11677=""фізична особа""
,
VLOOKUP(H11677,IMPORTRANGE(""https://docs.google.com/spreadsheets/d/14Bd19lYaqBhU8_DElYkX7l4wRkHqqCUFNJY4AfY3kHU/edit?usp=sharing  #gid=0"",""фіз особи new!relations_name""),6,FALSE)
,
(IF
(
G11677=""юридична особа""
,
VLOO"&amp;"KUP(H11677,IMPORTRANGE(""https://docs.google.com/spreadsheets/d/14Bd19lYaqBhU8_DElYkX7l4wRkHqqCUFNJY4AfY3kHU/edit?usp=sharing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676" s="7" t="s">
        <v>23</v>
      </c>
    </row>
    <row r="11677" spans="1:10" ht="13.2">
      <c r="A11677" s="7">
        <v>11676</v>
      </c>
      <c r="B11677" s="7">
        <v>1</v>
      </c>
      <c r="C11677" s="7" t="s">
        <v>10</v>
      </c>
      <c r="D11677" s="7">
        <v>17748</v>
      </c>
      <c r="E11677" s="7" t="s">
        <v>23</v>
      </c>
      <c r="F11677" s="8" t="str">
        <f ca="1">IFERROR(__xludf.DUMMYFUNCTION("IF
(
C11678=""фізична особа""
,
VLOOKUP(D11678,IMPORTRANGE(""https://docs.google.com/spreadsheets/d/14Bd19lYaqBhU8_DElYkX7l4wRkHqqCUFNJY4AfY3kHU/edit?usp=sharing  #gid=0"",""фіз особи new!relations_name""),6,FALSE)
,
(IF
(
C11678=""юридична особа""
,
VLOO"&amp;"KUP(D11678,IMPORTRANGE(""https://docs.google.com/spreadsheets/d/14Bd19lYaqBhU8_DElYkX7l4wRkHqqCUFNJY4AfY3kHU/edit?usp=sharing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G11677" s="7" t="s">
        <v>10</v>
      </c>
      <c r="H11677" s="7">
        <v>17755</v>
      </c>
      <c r="I11677" s="8" t="str">
        <f ca="1">IFERROR(__xludf.DUMMYFUNCTION("IF
(
G11678=""фізична особа""
,
VLOOKUP(H11678,IMPORTRANGE(""https://docs.google.com/spreadsheets/d/14Bd19lYaqBhU8_DElYkX7l4wRkHqqCUFNJY4AfY3kHU/edit?usp=sharing  #gid=0"",""фіз особи new!relations_name""),6,FALSE)
,
(IF
(
G11678=""юридична особа""
,
VLOO"&amp;"KUP(H11678,IMPORTRANGE(""https://docs.google.com/spreadsheets/d/14Bd19lYaqBhU8_DElYkX7l4wRkHqqCUFNJY4AfY3kHU/edit?usp=sharing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677" s="7" t="s">
        <v>23</v>
      </c>
    </row>
    <row r="11678" spans="1:10" ht="13.2">
      <c r="A11678" s="7">
        <v>11677</v>
      </c>
      <c r="B11678" s="7">
        <v>1</v>
      </c>
      <c r="C11678" s="7" t="s">
        <v>10</v>
      </c>
      <c r="D11678" s="7">
        <v>17749</v>
      </c>
      <c r="E11678" s="7" t="s">
        <v>23</v>
      </c>
      <c r="F11678" s="8" t="str">
        <f ca="1">IFERROR(__xludf.DUMMYFUNCTION("IF
(
C11679=""фізична особа""
,
VLOOKUP(D11679,IMPORTRANGE(""https://docs.google.com/spreadsheets/d/14Bd19lYaqBhU8_DElYkX7l4wRkHqqCUFNJY4AfY3kHU/edit?usp=sharing  #gid=0"",""фіз особи new!relations_name""),6,FALSE)
,
(IF
(
C11679=""юридична особа""
,
VLOO"&amp;"KUP(D11679,IMPORTRANGE(""https://docs.google.com/spreadsheets/d/14Bd19lYaqBhU8_DElYkX7l4wRkHqqCUFNJY4AfY3kHU/edit?usp=sharing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78" s="7" t="s">
        <v>10</v>
      </c>
      <c r="H11678" s="7">
        <v>17746</v>
      </c>
      <c r="I11678" s="8" t="str">
        <f ca="1">IFERROR(__xludf.DUMMYFUNCTION("IF
(
G11679=""фізична особа""
,
VLOOKUP(H11679,IMPORTRANGE(""https://docs.google.com/spreadsheets/d/14Bd19lYaqBhU8_DElYkX7l4wRkHqqCUFNJY4AfY3kHU/edit?usp=sharing  #gid=0"",""фіз особи new!relations_name""),6,FALSE)
,
(IF
(
G11679=""юридична особа""
,
VLOO"&amp;"KUP(H11679,IMPORTRANGE(""https://docs.google.com/spreadsheets/d/14Bd19lYaqBhU8_DElYkX7l4wRkHqqCUFNJY4AfY3kHU/edit?usp=sharing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678" s="7" t="s">
        <v>23</v>
      </c>
    </row>
    <row r="11679" spans="1:10" ht="13.2">
      <c r="A11679" s="7">
        <v>11678</v>
      </c>
      <c r="B11679" s="7">
        <v>1</v>
      </c>
      <c r="C11679" s="7" t="s">
        <v>10</v>
      </c>
      <c r="D11679" s="7">
        <v>17749</v>
      </c>
      <c r="E11679" s="7" t="s">
        <v>23</v>
      </c>
      <c r="F11679" s="8" t="str">
        <f ca="1">IFERROR(__xludf.DUMMYFUNCTION("IF
(
C11680=""фізична особа""
,
VLOOKUP(D11680,IMPORTRANGE(""https://docs.google.com/spreadsheets/d/14Bd19lYaqBhU8_DElYkX7l4wRkHqqCUFNJY4AfY3kHU/edit?usp=sharing  #gid=0"",""фіз особи new!relations_name""),6,FALSE)
,
(IF
(
C11680=""юридична особа""
,
VLOO"&amp;"KUP(D11680,IMPORTRANGE(""https://docs.google.com/spreadsheets/d/14Bd19lYaqBhU8_DElYkX7l4wRkHqqCUFNJY4AfY3kHU/edit?usp=sharing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79" s="7" t="s">
        <v>10</v>
      </c>
      <c r="H11679" s="7">
        <v>17747</v>
      </c>
      <c r="I11679" s="8" t="str">
        <f ca="1">IFERROR(__xludf.DUMMYFUNCTION("IF
(
G11680=""фізична особа""
,
VLOOKUP(H11680,IMPORTRANGE(""https://docs.google.com/spreadsheets/d/14Bd19lYaqBhU8_DElYkX7l4wRkHqqCUFNJY4AfY3kHU/edit?usp=sharing  #gid=0"",""фіз особи new!relations_name""),6,FALSE)
,
(IF
(
G11680=""юридична особа""
,
VLOO"&amp;"KUP(H11680,IMPORTRANGE(""https://docs.google.com/spreadsheets/d/14Bd19lYaqBhU8_DElYkX7l4wRkHqqCUFNJY4AfY3kHU/edit?usp=sharing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679" s="7" t="s">
        <v>23</v>
      </c>
    </row>
    <row r="11680" spans="1:10" ht="13.2">
      <c r="A11680" s="7">
        <v>11679</v>
      </c>
      <c r="B11680" s="7">
        <v>1</v>
      </c>
      <c r="C11680" s="7" t="s">
        <v>10</v>
      </c>
      <c r="D11680" s="7">
        <v>17749</v>
      </c>
      <c r="E11680" s="7" t="s">
        <v>23</v>
      </c>
      <c r="F11680" s="8" t="str">
        <f ca="1">IFERROR(__xludf.DUMMYFUNCTION("IF
(
C11681=""фізична особа""
,
VLOOKUP(D11681,IMPORTRANGE(""https://docs.google.com/spreadsheets/d/14Bd19lYaqBhU8_DElYkX7l4wRkHqqCUFNJY4AfY3kHU/edit?usp=sharing  #gid=0"",""фіз особи new!relations_name""),6,FALSE)
,
(IF
(
C11681=""юридична особа""
,
VLOO"&amp;"KUP(D11681,IMPORTRANGE(""https://docs.google.com/spreadsheets/d/14Bd19lYaqBhU8_DElYkX7l4wRkHqqCUFNJY4AfY3kHU/edit?usp=sharing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0" s="7" t="s">
        <v>10</v>
      </c>
      <c r="H11680" s="7">
        <v>17748</v>
      </c>
      <c r="I11680" s="8" t="str">
        <f ca="1">IFERROR(__xludf.DUMMYFUNCTION("IF
(
G11681=""фізична особа""
,
VLOOKUP(H11681,IMPORTRANGE(""https://docs.google.com/spreadsheets/d/14Bd19lYaqBhU8_DElYkX7l4wRkHqqCUFNJY4AfY3kHU/edit?usp=sharing  #gid=0"",""фіз особи new!relations_name""),6,FALSE)
,
(IF
(
G11681=""юридична особа""
,
VLOO"&amp;"KUP(H11681,IMPORTRANGE(""https://docs.google.com/spreadsheets/d/14Bd19lYaqBhU8_DElYkX7l4wRkHqqCUFNJY4AfY3kHU/edit?usp=sharing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680" s="7" t="s">
        <v>23</v>
      </c>
    </row>
    <row r="11681" spans="1:10" ht="13.2">
      <c r="A11681" s="7">
        <v>11680</v>
      </c>
      <c r="B11681" s="7">
        <v>1</v>
      </c>
      <c r="C11681" s="7" t="s">
        <v>10</v>
      </c>
      <c r="D11681" s="7">
        <v>17749</v>
      </c>
      <c r="E11681" s="7" t="s">
        <v>23</v>
      </c>
      <c r="F11681" s="8" t="str">
        <f ca="1">IFERROR(__xludf.DUMMYFUNCTION("IF
(
C11682=""фізична особа""
,
VLOOKUP(D11682,IMPORTRANGE(""https://docs.google.com/spreadsheets/d/14Bd19lYaqBhU8_DElYkX7l4wRkHqqCUFNJY4AfY3kHU/edit?usp=sharing  #gid=0"",""фіз особи new!relations_name""),6,FALSE)
,
(IF
(
C11682=""юридична особа""
,
VLOO"&amp;"KUP(D11682,IMPORTRANGE(""https://docs.google.com/spreadsheets/d/14Bd19lYaqBhU8_DElYkX7l4wRkHqqCUFNJY4AfY3kHU/edit?usp=sharing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1" s="7" t="s">
        <v>10</v>
      </c>
      <c r="H11681" s="7">
        <v>17750</v>
      </c>
      <c r="I11681" s="8" t="str">
        <f ca="1">IFERROR(__xludf.DUMMYFUNCTION("IF
(
G11682=""фізична особа""
,
VLOOKUP(H11682,IMPORTRANGE(""https://docs.google.com/spreadsheets/d/14Bd19lYaqBhU8_DElYkX7l4wRkHqqCUFNJY4AfY3kHU/edit?usp=sharing  #gid=0"",""фіз особи new!relations_name""),6,FALSE)
,
(IF
(
G11682=""юридична особа""
,
VLOO"&amp;"KUP(H11682,IMPORTRANGE(""https://docs.google.com/spreadsheets/d/14Bd19lYaqBhU8_DElYkX7l4wRkHqqCUFNJY4AfY3kHU/edit?usp=sharing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681" s="7" t="s">
        <v>23</v>
      </c>
    </row>
    <row r="11682" spans="1:10" ht="13.2">
      <c r="A11682" s="7">
        <v>11681</v>
      </c>
      <c r="B11682" s="7">
        <v>1</v>
      </c>
      <c r="C11682" s="7" t="s">
        <v>10</v>
      </c>
      <c r="D11682" s="7">
        <v>17749</v>
      </c>
      <c r="E11682" s="7" t="s">
        <v>23</v>
      </c>
      <c r="F11682" s="8" t="str">
        <f ca="1">IFERROR(__xludf.DUMMYFUNCTION("IF
(
C11683=""фізична особа""
,
VLOOKUP(D11683,IMPORTRANGE(""https://docs.google.com/spreadsheets/d/14Bd19lYaqBhU8_DElYkX7l4wRkHqqCUFNJY4AfY3kHU/edit?usp=sharing  #gid=0"",""фіз особи new!relations_name""),6,FALSE)
,
(IF
(
C11683=""юридична особа""
,
VLOO"&amp;"KUP(D11683,IMPORTRANGE(""https://docs.google.com/spreadsheets/d/14Bd19lYaqBhU8_DElYkX7l4wRkHqqCUFNJY4AfY3kHU/edit?usp=sharing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2" s="7" t="s">
        <v>10</v>
      </c>
      <c r="H11682" s="7">
        <v>17751</v>
      </c>
      <c r="I11682" s="8" t="str">
        <f ca="1">IFERROR(__xludf.DUMMYFUNCTION("IF
(
G11683=""фізична особа""
,
VLOOKUP(H11683,IMPORTRANGE(""https://docs.google.com/spreadsheets/d/14Bd19lYaqBhU8_DElYkX7l4wRkHqqCUFNJY4AfY3kHU/edit?usp=sharing  #gid=0"",""фіз особи new!relations_name""),6,FALSE)
,
(IF
(
G11683=""юридична особа""
,
VLOO"&amp;"KUP(H11683,IMPORTRANGE(""https://docs.google.com/spreadsheets/d/14Bd19lYaqBhU8_DElYkX7l4wRkHqqCUFNJY4AfY3kHU/edit?usp=sharing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682" s="7" t="s">
        <v>23</v>
      </c>
    </row>
    <row r="11683" spans="1:10" ht="13.2">
      <c r="A11683" s="7">
        <v>11682</v>
      </c>
      <c r="B11683" s="7">
        <v>1</v>
      </c>
      <c r="C11683" s="7" t="s">
        <v>10</v>
      </c>
      <c r="D11683" s="7">
        <v>17749</v>
      </c>
      <c r="E11683" s="7" t="s">
        <v>23</v>
      </c>
      <c r="F11683" s="8" t="str">
        <f ca="1">IFERROR(__xludf.DUMMYFUNCTION("IF
(
C11684=""фізична особа""
,
VLOOKUP(D11684,IMPORTRANGE(""https://docs.google.com/spreadsheets/d/14Bd19lYaqBhU8_DElYkX7l4wRkHqqCUFNJY4AfY3kHU/edit?usp=sharing  #gid=0"",""фіз особи new!relations_name""),6,FALSE)
,
(IF
(
C11684=""юридична особа""
,
VLOO"&amp;"KUP(D11684,IMPORTRANGE(""https://docs.google.com/spreadsheets/d/14Bd19lYaqBhU8_DElYkX7l4wRkHqqCUFNJY4AfY3kHU/edit?usp=sharing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3" s="7" t="s">
        <v>10</v>
      </c>
      <c r="H11683" s="7">
        <v>17752</v>
      </c>
      <c r="I11683" s="8" t="str">
        <f ca="1">IFERROR(__xludf.DUMMYFUNCTION("IF
(
G11684=""фізична особа""
,
VLOOKUP(H11684,IMPORTRANGE(""https://docs.google.com/spreadsheets/d/14Bd19lYaqBhU8_DElYkX7l4wRkHqqCUFNJY4AfY3kHU/edit?usp=sharing  #gid=0"",""фіз особи new!relations_name""),6,FALSE)
,
(IF
(
G11684=""юридична особа""
,
VLOO"&amp;"KUP(H11684,IMPORTRANGE(""https://docs.google.com/spreadsheets/d/14Bd19lYaqBhU8_DElYkX7l4wRkHqqCUFNJY4AfY3kHU/edit?usp=sharing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683" s="7" t="s">
        <v>23</v>
      </c>
    </row>
    <row r="11684" spans="1:10" ht="13.2">
      <c r="A11684" s="7">
        <v>11683</v>
      </c>
      <c r="B11684" s="7">
        <v>1</v>
      </c>
      <c r="C11684" s="7" t="s">
        <v>10</v>
      </c>
      <c r="D11684" s="7">
        <v>17749</v>
      </c>
      <c r="E11684" s="7" t="s">
        <v>23</v>
      </c>
      <c r="F11684" s="8" t="str">
        <f ca="1">IFERROR(__xludf.DUMMYFUNCTION("IF
(
C11685=""фізична особа""
,
VLOOKUP(D11685,IMPORTRANGE(""https://docs.google.com/spreadsheets/d/14Bd19lYaqBhU8_DElYkX7l4wRkHqqCUFNJY4AfY3kHU/edit?usp=sharing  #gid=0"",""фіз особи new!relations_name""),6,FALSE)
,
(IF
(
C11685=""юридична особа""
,
VLOO"&amp;"KUP(D11685,IMPORTRANGE(""https://docs.google.com/spreadsheets/d/14Bd19lYaqBhU8_DElYkX7l4wRkHqqCUFNJY4AfY3kHU/edit?usp=sharing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4" s="7" t="s">
        <v>10</v>
      </c>
      <c r="H11684" s="7">
        <v>17753</v>
      </c>
      <c r="I11684" s="8" t="str">
        <f ca="1">IFERROR(__xludf.DUMMYFUNCTION("IF
(
G11685=""фізична особа""
,
VLOOKUP(H11685,IMPORTRANGE(""https://docs.google.com/spreadsheets/d/14Bd19lYaqBhU8_DElYkX7l4wRkHqqCUFNJY4AfY3kHU/edit?usp=sharing  #gid=0"",""фіз особи new!relations_name""),6,FALSE)
,
(IF
(
G11685=""юридична особа""
,
VLOO"&amp;"KUP(H11685,IMPORTRANGE(""https://docs.google.com/spreadsheets/d/14Bd19lYaqBhU8_DElYkX7l4wRkHqqCUFNJY4AfY3kHU/edit?usp=sharing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684" s="7" t="s">
        <v>23</v>
      </c>
    </row>
    <row r="11685" spans="1:10" ht="13.2">
      <c r="A11685" s="7">
        <v>11684</v>
      </c>
      <c r="B11685" s="7">
        <v>1</v>
      </c>
      <c r="C11685" s="7" t="s">
        <v>10</v>
      </c>
      <c r="D11685" s="7">
        <v>17749</v>
      </c>
      <c r="E11685" s="7" t="s">
        <v>23</v>
      </c>
      <c r="F11685" s="8" t="str">
        <f ca="1">IFERROR(__xludf.DUMMYFUNCTION("IF
(
C11686=""фізична особа""
,
VLOOKUP(D11686,IMPORTRANGE(""https://docs.google.com/spreadsheets/d/14Bd19lYaqBhU8_DElYkX7l4wRkHqqCUFNJY4AfY3kHU/edit?usp=sharing  #gid=0"",""фіз особи new!relations_name""),6,FALSE)
,
(IF
(
C11686=""юридична особа""
,
VLOO"&amp;"KUP(D11686,IMPORTRANGE(""https://docs.google.com/spreadsheets/d/14Bd19lYaqBhU8_DElYkX7l4wRkHqqCUFNJY4AfY3kHU/edit?usp=sharing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5" s="7" t="s">
        <v>10</v>
      </c>
      <c r="H11685" s="7">
        <v>17754</v>
      </c>
      <c r="I11685" s="8" t="str">
        <f ca="1">IFERROR(__xludf.DUMMYFUNCTION("IF
(
G11686=""фізична особа""
,
VLOOKUP(H11686,IMPORTRANGE(""https://docs.google.com/spreadsheets/d/14Bd19lYaqBhU8_DElYkX7l4wRkHqqCUFNJY4AfY3kHU/edit?usp=sharing  #gid=0"",""фіз особи new!relations_name""),6,FALSE)
,
(IF
(
G11686=""юридична особа""
,
VLOO"&amp;"KUP(H11686,IMPORTRANGE(""https://docs.google.com/spreadsheets/d/14Bd19lYaqBhU8_DElYkX7l4wRkHqqCUFNJY4AfY3kHU/edit?usp=sharing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685" s="7" t="s">
        <v>23</v>
      </c>
    </row>
    <row r="11686" spans="1:10" ht="13.2">
      <c r="A11686" s="7">
        <v>11685</v>
      </c>
      <c r="B11686" s="7">
        <v>1</v>
      </c>
      <c r="C11686" s="7" t="s">
        <v>10</v>
      </c>
      <c r="D11686" s="7">
        <v>17749</v>
      </c>
      <c r="E11686" s="7" t="s">
        <v>23</v>
      </c>
      <c r="F11686" s="8" t="str">
        <f ca="1">IFERROR(__xludf.DUMMYFUNCTION("IF
(
C11687=""фізична особа""
,
VLOOKUP(D11687,IMPORTRANGE(""https://docs.google.com/spreadsheets/d/14Bd19lYaqBhU8_DElYkX7l4wRkHqqCUFNJY4AfY3kHU/edit?usp=sharing  #gid=0"",""фіз особи new!relations_name""),6,FALSE)
,
(IF
(
C11687=""юридична особа""
,
VLOO"&amp;"KUP(D11687,IMPORTRANGE(""https://docs.google.com/spreadsheets/d/14Bd19lYaqBhU8_DElYkX7l4wRkHqqCUFNJY4AfY3kHU/edit?usp=sharing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G11686" s="7" t="s">
        <v>10</v>
      </c>
      <c r="H11686" s="7">
        <v>17755</v>
      </c>
      <c r="I11686" s="8" t="str">
        <f ca="1">IFERROR(__xludf.DUMMYFUNCTION("IF
(
G11687=""фізична особа""
,
VLOOKUP(H11687,IMPORTRANGE(""https://docs.google.com/spreadsheets/d/14Bd19lYaqBhU8_DElYkX7l4wRkHqqCUFNJY4AfY3kHU/edit?usp=sharing  #gid=0"",""фіз особи new!relations_name""),6,FALSE)
,
(IF
(
G11687=""юридична особа""
,
VLOO"&amp;"KUP(H11687,IMPORTRANGE(""https://docs.google.com/spreadsheets/d/14Bd19lYaqBhU8_DElYkX7l4wRkHqqCUFNJY4AfY3kHU/edit?usp=sharing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686" s="7" t="s">
        <v>23</v>
      </c>
    </row>
    <row r="11687" spans="1:10" ht="13.2">
      <c r="A11687" s="7">
        <v>11686</v>
      </c>
      <c r="B11687" s="7">
        <v>1</v>
      </c>
      <c r="C11687" s="7" t="s">
        <v>10</v>
      </c>
      <c r="D11687" s="7">
        <v>17750</v>
      </c>
      <c r="E11687" s="7" t="s">
        <v>23</v>
      </c>
      <c r="F11687" s="8" t="str">
        <f ca="1">IFERROR(__xludf.DUMMYFUNCTION("IF
(
C11688=""фізична особа""
,
VLOOKUP(D11688,IMPORTRANGE(""https://docs.google.com/spreadsheets/d/14Bd19lYaqBhU8_DElYkX7l4wRkHqqCUFNJY4AfY3kHU/edit?usp=sharing  #gid=0"",""фіз особи new!relations_name""),6,FALSE)
,
(IF
(
C11688=""юридична особа""
,
VLOO"&amp;"KUP(D11688,IMPORTRANGE(""https://docs.google.com/spreadsheets/d/14Bd19lYaqBhU8_DElYkX7l4wRkHqqCUFNJY4AfY3kHU/edit?usp=sharing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87" s="7" t="s">
        <v>10</v>
      </c>
      <c r="H11687" s="7">
        <v>17746</v>
      </c>
      <c r="I11687" s="8" t="str">
        <f ca="1">IFERROR(__xludf.DUMMYFUNCTION("IF
(
G11688=""фізична особа""
,
VLOOKUP(H11688,IMPORTRANGE(""https://docs.google.com/spreadsheets/d/14Bd19lYaqBhU8_DElYkX7l4wRkHqqCUFNJY4AfY3kHU/edit?usp=sharing  #gid=0"",""фіз особи new!relations_name""),6,FALSE)
,
(IF
(
G11688=""юридична особа""
,
VLOO"&amp;"KUP(H11688,IMPORTRANGE(""https://docs.google.com/spreadsheets/d/14Bd19lYaqBhU8_DElYkX7l4wRkHqqCUFNJY4AfY3kHU/edit?usp=sharing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687" s="7" t="s">
        <v>23</v>
      </c>
    </row>
    <row r="11688" spans="1:10" ht="13.2">
      <c r="A11688" s="7">
        <v>11687</v>
      </c>
      <c r="B11688" s="7">
        <v>1</v>
      </c>
      <c r="C11688" s="7" t="s">
        <v>10</v>
      </c>
      <c r="D11688" s="7">
        <v>17750</v>
      </c>
      <c r="E11688" s="7" t="s">
        <v>23</v>
      </c>
      <c r="F11688" s="8" t="str">
        <f ca="1">IFERROR(__xludf.DUMMYFUNCTION("IF
(
C11689=""фізична особа""
,
VLOOKUP(D11689,IMPORTRANGE(""https://docs.google.com/spreadsheets/d/14Bd19lYaqBhU8_DElYkX7l4wRkHqqCUFNJY4AfY3kHU/edit?usp=sharing  #gid=0"",""фіз особи new!relations_name""),6,FALSE)
,
(IF
(
C11689=""юридична особа""
,
VLOO"&amp;"KUP(D11689,IMPORTRANGE(""https://docs.google.com/spreadsheets/d/14Bd19lYaqBhU8_DElYkX7l4wRkHqqCUFNJY4AfY3kHU/edit?usp=sharing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88" s="7" t="s">
        <v>10</v>
      </c>
      <c r="H11688" s="7">
        <v>17747</v>
      </c>
      <c r="I11688" s="8" t="str">
        <f ca="1">IFERROR(__xludf.DUMMYFUNCTION("IF
(
G11689=""фізична особа""
,
VLOOKUP(H11689,IMPORTRANGE(""https://docs.google.com/spreadsheets/d/14Bd19lYaqBhU8_DElYkX7l4wRkHqqCUFNJY4AfY3kHU/edit?usp=sharing  #gid=0"",""фіз особи new!relations_name""),6,FALSE)
,
(IF
(
G11689=""юридична особа""
,
VLOO"&amp;"KUP(H11689,IMPORTRANGE(""https://docs.google.com/spreadsheets/d/14Bd19lYaqBhU8_DElYkX7l4wRkHqqCUFNJY4AfY3kHU/edit?usp=sharing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688" s="7" t="s">
        <v>23</v>
      </c>
    </row>
    <row r="11689" spans="1:10" ht="13.2">
      <c r="A11689" s="7">
        <v>11688</v>
      </c>
      <c r="B11689" s="7">
        <v>1</v>
      </c>
      <c r="C11689" s="7" t="s">
        <v>10</v>
      </c>
      <c r="D11689" s="7">
        <v>17750</v>
      </c>
      <c r="E11689" s="7" t="s">
        <v>23</v>
      </c>
      <c r="F11689" s="8" t="str">
        <f ca="1">IFERROR(__xludf.DUMMYFUNCTION("IF
(
C11690=""фізична особа""
,
VLOOKUP(D11690,IMPORTRANGE(""https://docs.google.com/spreadsheets/d/14Bd19lYaqBhU8_DElYkX7l4wRkHqqCUFNJY4AfY3kHU/edit?usp=sharing  #gid=0"",""фіз особи new!relations_name""),6,FALSE)
,
(IF
(
C11690=""юридична особа""
,
VLOO"&amp;"KUP(D11690,IMPORTRANGE(""https://docs.google.com/spreadsheets/d/14Bd19lYaqBhU8_DElYkX7l4wRkHqqCUFNJY4AfY3kHU/edit?usp=sharing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89" s="7" t="s">
        <v>10</v>
      </c>
      <c r="H11689" s="7">
        <v>17748</v>
      </c>
      <c r="I11689" s="8" t="str">
        <f ca="1">IFERROR(__xludf.DUMMYFUNCTION("IF
(
G11690=""фізична особа""
,
VLOOKUP(H11690,IMPORTRANGE(""https://docs.google.com/spreadsheets/d/14Bd19lYaqBhU8_DElYkX7l4wRkHqqCUFNJY4AfY3kHU/edit?usp=sharing  #gid=0"",""фіз особи new!relations_name""),6,FALSE)
,
(IF
(
G11690=""юридична особа""
,
VLOO"&amp;"KUP(H11690,IMPORTRANGE(""https://docs.google.com/spreadsheets/d/14Bd19lYaqBhU8_DElYkX7l4wRkHqqCUFNJY4AfY3kHU/edit?usp=sharing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689" s="7" t="s">
        <v>23</v>
      </c>
    </row>
    <row r="11690" spans="1:10" ht="13.2">
      <c r="A11690" s="7">
        <v>11689</v>
      </c>
      <c r="B11690" s="7">
        <v>1</v>
      </c>
      <c r="C11690" s="7" t="s">
        <v>10</v>
      </c>
      <c r="D11690" s="7">
        <v>17750</v>
      </c>
      <c r="E11690" s="7" t="s">
        <v>23</v>
      </c>
      <c r="F11690" s="8" t="str">
        <f ca="1">IFERROR(__xludf.DUMMYFUNCTION("IF
(
C11691=""фізична особа""
,
VLOOKUP(D11691,IMPORTRANGE(""https://docs.google.com/spreadsheets/d/14Bd19lYaqBhU8_DElYkX7l4wRkHqqCUFNJY4AfY3kHU/edit?usp=sharing  #gid=0"",""фіз особи new!relations_name""),6,FALSE)
,
(IF
(
C11691=""юридична особа""
,
VLOO"&amp;"KUP(D11691,IMPORTRANGE(""https://docs.google.com/spreadsheets/d/14Bd19lYaqBhU8_DElYkX7l4wRkHqqCUFNJY4AfY3kHU/edit?usp=sharing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0" s="7" t="s">
        <v>10</v>
      </c>
      <c r="H11690" s="7">
        <v>17749</v>
      </c>
      <c r="I11690" s="8" t="str">
        <f ca="1">IFERROR(__xludf.DUMMYFUNCTION("IF
(
G11691=""фізична особа""
,
VLOOKUP(H11691,IMPORTRANGE(""https://docs.google.com/spreadsheets/d/14Bd19lYaqBhU8_DElYkX7l4wRkHqqCUFNJY4AfY3kHU/edit?usp=sharing  #gid=0"",""фіз особи new!relations_name""),6,FALSE)
,
(IF
(
G11691=""юридична особа""
,
VLOO"&amp;"KUP(H11691,IMPORTRANGE(""https://docs.google.com/spreadsheets/d/14Bd19lYaqBhU8_DElYkX7l4wRkHqqCUFNJY4AfY3kHU/edit?usp=sharing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690" s="7" t="s">
        <v>23</v>
      </c>
    </row>
    <row r="11691" spans="1:10" ht="13.2">
      <c r="A11691" s="7">
        <v>11690</v>
      </c>
      <c r="B11691" s="7">
        <v>1</v>
      </c>
      <c r="C11691" s="7" t="s">
        <v>10</v>
      </c>
      <c r="D11691" s="7">
        <v>17750</v>
      </c>
      <c r="E11691" s="7" t="s">
        <v>23</v>
      </c>
      <c r="F11691" s="8" t="str">
        <f ca="1">IFERROR(__xludf.DUMMYFUNCTION("IF
(
C11692=""фізична особа""
,
VLOOKUP(D11692,IMPORTRANGE(""https://docs.google.com/spreadsheets/d/14Bd19lYaqBhU8_DElYkX7l4wRkHqqCUFNJY4AfY3kHU/edit?usp=sharing  #gid=0"",""фіз особи new!relations_name""),6,FALSE)
,
(IF
(
C11692=""юридична особа""
,
VLOO"&amp;"KUP(D11692,IMPORTRANGE(""https://docs.google.com/spreadsheets/d/14Bd19lYaqBhU8_DElYkX7l4wRkHqqCUFNJY4AfY3kHU/edit?usp=sharing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1" s="7" t="s">
        <v>10</v>
      </c>
      <c r="H11691" s="7">
        <v>17751</v>
      </c>
      <c r="I11691" s="8" t="str">
        <f ca="1">IFERROR(__xludf.DUMMYFUNCTION("IF
(
G11692=""фізична особа""
,
VLOOKUP(H11692,IMPORTRANGE(""https://docs.google.com/spreadsheets/d/14Bd19lYaqBhU8_DElYkX7l4wRkHqqCUFNJY4AfY3kHU/edit?usp=sharing  #gid=0"",""фіз особи new!relations_name""),6,FALSE)
,
(IF
(
G11692=""юридична особа""
,
VLOO"&amp;"KUP(H11692,IMPORTRANGE(""https://docs.google.com/spreadsheets/d/14Bd19lYaqBhU8_DElYkX7l4wRkHqqCUFNJY4AfY3kHU/edit?usp=sharing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691" s="7" t="s">
        <v>23</v>
      </c>
    </row>
    <row r="11692" spans="1:10" ht="13.2">
      <c r="A11692" s="7">
        <v>11691</v>
      </c>
      <c r="B11692" s="7">
        <v>1</v>
      </c>
      <c r="C11692" s="7" t="s">
        <v>10</v>
      </c>
      <c r="D11692" s="7">
        <v>17750</v>
      </c>
      <c r="E11692" s="7" t="s">
        <v>23</v>
      </c>
      <c r="F11692" s="8" t="str">
        <f ca="1">IFERROR(__xludf.DUMMYFUNCTION("IF
(
C11693=""фізична особа""
,
VLOOKUP(D11693,IMPORTRANGE(""https://docs.google.com/spreadsheets/d/14Bd19lYaqBhU8_DElYkX7l4wRkHqqCUFNJY4AfY3kHU/edit?usp=sharing  #gid=0"",""фіз особи new!relations_name""),6,FALSE)
,
(IF
(
C11693=""юридична особа""
,
VLOO"&amp;"KUP(D11693,IMPORTRANGE(""https://docs.google.com/spreadsheets/d/14Bd19lYaqBhU8_DElYkX7l4wRkHqqCUFNJY4AfY3kHU/edit?usp=sharing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2" s="7" t="s">
        <v>10</v>
      </c>
      <c r="H11692" s="7">
        <v>17752</v>
      </c>
      <c r="I11692" s="8" t="str">
        <f ca="1">IFERROR(__xludf.DUMMYFUNCTION("IF
(
G11693=""фізична особа""
,
VLOOKUP(H11693,IMPORTRANGE(""https://docs.google.com/spreadsheets/d/14Bd19lYaqBhU8_DElYkX7l4wRkHqqCUFNJY4AfY3kHU/edit?usp=sharing  #gid=0"",""фіз особи new!relations_name""),6,FALSE)
,
(IF
(
G11693=""юридична особа""
,
VLOO"&amp;"KUP(H11693,IMPORTRANGE(""https://docs.google.com/spreadsheets/d/14Bd19lYaqBhU8_DElYkX7l4wRkHqqCUFNJY4AfY3kHU/edit?usp=sharing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692" s="7" t="s">
        <v>23</v>
      </c>
    </row>
    <row r="11693" spans="1:10" ht="13.2">
      <c r="A11693" s="7">
        <v>11692</v>
      </c>
      <c r="B11693" s="7">
        <v>1</v>
      </c>
      <c r="C11693" s="7" t="s">
        <v>10</v>
      </c>
      <c r="D11693" s="7">
        <v>17750</v>
      </c>
      <c r="E11693" s="7" t="s">
        <v>23</v>
      </c>
      <c r="F11693" s="8" t="str">
        <f ca="1">IFERROR(__xludf.DUMMYFUNCTION("IF
(
C11694=""фізична особа""
,
VLOOKUP(D11694,IMPORTRANGE(""https://docs.google.com/spreadsheets/d/14Bd19lYaqBhU8_DElYkX7l4wRkHqqCUFNJY4AfY3kHU/edit?usp=sharing  #gid=0"",""фіз особи new!relations_name""),6,FALSE)
,
(IF
(
C11694=""юридична особа""
,
VLOO"&amp;"KUP(D11694,IMPORTRANGE(""https://docs.google.com/spreadsheets/d/14Bd19lYaqBhU8_DElYkX7l4wRkHqqCUFNJY4AfY3kHU/edit?usp=sharing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3" s="7" t="s">
        <v>10</v>
      </c>
      <c r="H11693" s="7">
        <v>17753</v>
      </c>
      <c r="I11693" s="8" t="str">
        <f ca="1">IFERROR(__xludf.DUMMYFUNCTION("IF
(
G11694=""фізична особа""
,
VLOOKUP(H11694,IMPORTRANGE(""https://docs.google.com/spreadsheets/d/14Bd19lYaqBhU8_DElYkX7l4wRkHqqCUFNJY4AfY3kHU/edit?usp=sharing  #gid=0"",""фіз особи new!relations_name""),6,FALSE)
,
(IF
(
G11694=""юридична особа""
,
VLOO"&amp;"KUP(H11694,IMPORTRANGE(""https://docs.google.com/spreadsheets/d/14Bd19lYaqBhU8_DElYkX7l4wRkHqqCUFNJY4AfY3kHU/edit?usp=sharing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693" s="7" t="s">
        <v>23</v>
      </c>
    </row>
    <row r="11694" spans="1:10" ht="13.2">
      <c r="A11694" s="7">
        <v>11693</v>
      </c>
      <c r="B11694" s="7">
        <v>1</v>
      </c>
      <c r="C11694" s="7" t="s">
        <v>10</v>
      </c>
      <c r="D11694" s="7">
        <v>17750</v>
      </c>
      <c r="E11694" s="7" t="s">
        <v>23</v>
      </c>
      <c r="F11694" s="8" t="str">
        <f ca="1">IFERROR(__xludf.DUMMYFUNCTION("IF
(
C11695=""фізична особа""
,
VLOOKUP(D11695,IMPORTRANGE(""https://docs.google.com/spreadsheets/d/14Bd19lYaqBhU8_DElYkX7l4wRkHqqCUFNJY4AfY3kHU/edit?usp=sharing  #gid=0"",""фіз особи new!relations_name""),6,FALSE)
,
(IF
(
C11695=""юридична особа""
,
VLOO"&amp;"KUP(D11695,IMPORTRANGE(""https://docs.google.com/spreadsheets/d/14Bd19lYaqBhU8_DElYkX7l4wRkHqqCUFNJY4AfY3kHU/edit?usp=sharing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4" s="7" t="s">
        <v>10</v>
      </c>
      <c r="H11694" s="7">
        <v>17754</v>
      </c>
      <c r="I11694" s="8" t="str">
        <f ca="1">IFERROR(__xludf.DUMMYFUNCTION("IF
(
G11695=""фізична особа""
,
VLOOKUP(H11695,IMPORTRANGE(""https://docs.google.com/spreadsheets/d/14Bd19lYaqBhU8_DElYkX7l4wRkHqqCUFNJY4AfY3kHU/edit?usp=sharing  #gid=0"",""фіз особи new!relations_name""),6,FALSE)
,
(IF
(
G11695=""юридична особа""
,
VLOO"&amp;"KUP(H11695,IMPORTRANGE(""https://docs.google.com/spreadsheets/d/14Bd19lYaqBhU8_DElYkX7l4wRkHqqCUFNJY4AfY3kHU/edit?usp=sharing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694" s="7" t="s">
        <v>23</v>
      </c>
    </row>
    <row r="11695" spans="1:10" ht="13.2">
      <c r="A11695" s="7">
        <v>11694</v>
      </c>
      <c r="B11695" s="7">
        <v>1</v>
      </c>
      <c r="C11695" s="7" t="s">
        <v>10</v>
      </c>
      <c r="D11695" s="7">
        <v>17750</v>
      </c>
      <c r="E11695" s="7" t="s">
        <v>23</v>
      </c>
      <c r="F11695" s="8" t="str">
        <f ca="1">IFERROR(__xludf.DUMMYFUNCTION("IF
(
C11696=""фізична особа""
,
VLOOKUP(D11696,IMPORTRANGE(""https://docs.google.com/spreadsheets/d/14Bd19lYaqBhU8_DElYkX7l4wRkHqqCUFNJY4AfY3kHU/edit?usp=sharing  #gid=0"",""фіз особи new!relations_name""),6,FALSE)
,
(IF
(
C11696=""юридична особа""
,
VLOO"&amp;"KUP(D11696,IMPORTRANGE(""https://docs.google.com/spreadsheets/d/14Bd19lYaqBhU8_DElYkX7l4wRkHqqCUFNJY4AfY3kHU/edit?usp=sharing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G11695" s="7" t="s">
        <v>10</v>
      </c>
      <c r="H11695" s="7">
        <v>17755</v>
      </c>
      <c r="I11695" s="8" t="str">
        <f ca="1">IFERROR(__xludf.DUMMYFUNCTION("IF
(
G11696=""фізична особа""
,
VLOOKUP(H11696,IMPORTRANGE(""https://docs.google.com/spreadsheets/d/14Bd19lYaqBhU8_DElYkX7l4wRkHqqCUFNJY4AfY3kHU/edit?usp=sharing  #gid=0"",""фіз особи new!relations_name""),6,FALSE)
,
(IF
(
G11696=""юридична особа""
,
VLOO"&amp;"KUP(H11696,IMPORTRANGE(""https://docs.google.com/spreadsheets/d/14Bd19lYaqBhU8_DElYkX7l4wRkHqqCUFNJY4AfY3kHU/edit?usp=sharing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695" s="7" t="s">
        <v>23</v>
      </c>
    </row>
    <row r="11696" spans="1:10" ht="13.2">
      <c r="A11696" s="7">
        <v>11695</v>
      </c>
      <c r="B11696" s="7">
        <v>1</v>
      </c>
      <c r="C11696" s="7" t="s">
        <v>10</v>
      </c>
      <c r="D11696" s="7">
        <v>17751</v>
      </c>
      <c r="E11696" s="7" t="s">
        <v>23</v>
      </c>
      <c r="F11696" s="8" t="str">
        <f ca="1">IFERROR(__xludf.DUMMYFUNCTION("IF
(
C11697=""фізична особа""
,
VLOOKUP(D11697,IMPORTRANGE(""https://docs.google.com/spreadsheets/d/14Bd19lYaqBhU8_DElYkX7l4wRkHqqCUFNJY4AfY3kHU/edit?usp=sharing  #gid=0"",""фіз особи new!relations_name""),6,FALSE)
,
(IF
(
C11697=""юридична особа""
,
VLOO"&amp;"KUP(D11697,IMPORTRANGE(""https://docs.google.com/spreadsheets/d/14Bd19lYaqBhU8_DElYkX7l4wRkHqqCUFNJY4AfY3kHU/edit?usp=sharing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696" s="7" t="s">
        <v>10</v>
      </c>
      <c r="H11696" s="7">
        <v>17746</v>
      </c>
      <c r="I11696" s="8" t="str">
        <f ca="1">IFERROR(__xludf.DUMMYFUNCTION("IF
(
G11697=""фізична особа""
,
VLOOKUP(H11697,IMPORTRANGE(""https://docs.google.com/spreadsheets/d/14Bd19lYaqBhU8_DElYkX7l4wRkHqqCUFNJY4AfY3kHU/edit?usp=sharing  #gid=0"",""фіз особи new!relations_name""),6,FALSE)
,
(IF
(
G11697=""юридична особа""
,
VLOO"&amp;"KUP(H11697,IMPORTRANGE(""https://docs.google.com/spreadsheets/d/14Bd19lYaqBhU8_DElYkX7l4wRkHqqCUFNJY4AfY3kHU/edit?usp=sharing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696" s="7" t="s">
        <v>23</v>
      </c>
    </row>
    <row r="11697" spans="1:10" ht="13.2">
      <c r="A11697" s="7">
        <v>11696</v>
      </c>
      <c r="B11697" s="7">
        <v>1</v>
      </c>
      <c r="C11697" s="7" t="s">
        <v>10</v>
      </c>
      <c r="D11697" s="7">
        <v>17751</v>
      </c>
      <c r="E11697" s="7" t="s">
        <v>23</v>
      </c>
      <c r="F11697" s="8" t="str">
        <f ca="1">IFERROR(__xludf.DUMMYFUNCTION("IF
(
C11698=""фізична особа""
,
VLOOKUP(D11698,IMPORTRANGE(""https://docs.google.com/spreadsheets/d/14Bd19lYaqBhU8_DElYkX7l4wRkHqqCUFNJY4AfY3kHU/edit?usp=sharing  #gid=0"",""фіз особи new!relations_name""),6,FALSE)
,
(IF
(
C11698=""юридична особа""
,
VLOO"&amp;"KUP(D11698,IMPORTRANGE(""https://docs.google.com/spreadsheets/d/14Bd19lYaqBhU8_DElYkX7l4wRkHqqCUFNJY4AfY3kHU/edit?usp=sharing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697" s="7" t="s">
        <v>10</v>
      </c>
      <c r="H11697" s="7">
        <v>17747</v>
      </c>
      <c r="I11697" s="8" t="str">
        <f ca="1">IFERROR(__xludf.DUMMYFUNCTION("IF
(
G11698=""фізична особа""
,
VLOOKUP(H11698,IMPORTRANGE(""https://docs.google.com/spreadsheets/d/14Bd19lYaqBhU8_DElYkX7l4wRkHqqCUFNJY4AfY3kHU/edit?usp=sharing  #gid=0"",""фіз особи new!relations_name""),6,FALSE)
,
(IF
(
G11698=""юридична особа""
,
VLOO"&amp;"KUP(H11698,IMPORTRANGE(""https://docs.google.com/spreadsheets/d/14Bd19lYaqBhU8_DElYkX7l4wRkHqqCUFNJY4AfY3kHU/edit?usp=sharing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697" s="7" t="s">
        <v>23</v>
      </c>
    </row>
    <row r="11698" spans="1:10" ht="13.2">
      <c r="A11698" s="7">
        <v>11697</v>
      </c>
      <c r="B11698" s="7">
        <v>1</v>
      </c>
      <c r="C11698" s="7" t="s">
        <v>10</v>
      </c>
      <c r="D11698" s="7">
        <v>17751</v>
      </c>
      <c r="E11698" s="7" t="s">
        <v>23</v>
      </c>
      <c r="F11698" s="8" t="str">
        <f ca="1">IFERROR(__xludf.DUMMYFUNCTION("IF
(
C11699=""фізична особа""
,
VLOOKUP(D11699,IMPORTRANGE(""https://docs.google.com/spreadsheets/d/14Bd19lYaqBhU8_DElYkX7l4wRkHqqCUFNJY4AfY3kHU/edit?usp=sharing  #gid=0"",""фіз особи new!relations_name""),6,FALSE)
,
(IF
(
C11699=""юридична особа""
,
VLOO"&amp;"KUP(D11699,IMPORTRANGE(""https://docs.google.com/spreadsheets/d/14Bd19lYaqBhU8_DElYkX7l4wRkHqqCUFNJY4AfY3kHU/edit?usp=sharing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698" s="7" t="s">
        <v>10</v>
      </c>
      <c r="H11698" s="7">
        <v>17748</v>
      </c>
      <c r="I11698" s="8" t="str">
        <f ca="1">IFERROR(__xludf.DUMMYFUNCTION("IF
(
G11699=""фізична особа""
,
VLOOKUP(H11699,IMPORTRANGE(""https://docs.google.com/spreadsheets/d/14Bd19lYaqBhU8_DElYkX7l4wRkHqqCUFNJY4AfY3kHU/edit?usp=sharing  #gid=0"",""фіз особи new!relations_name""),6,FALSE)
,
(IF
(
G11699=""юридична особа""
,
VLOO"&amp;"KUP(H11699,IMPORTRANGE(""https://docs.google.com/spreadsheets/d/14Bd19lYaqBhU8_DElYkX7l4wRkHqqCUFNJY4AfY3kHU/edit?usp=sharing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698" s="7" t="s">
        <v>23</v>
      </c>
    </row>
    <row r="11699" spans="1:10" ht="13.2">
      <c r="A11699" s="7">
        <v>11698</v>
      </c>
      <c r="B11699" s="7">
        <v>1</v>
      </c>
      <c r="C11699" s="7" t="s">
        <v>10</v>
      </c>
      <c r="D11699" s="7">
        <v>17751</v>
      </c>
      <c r="E11699" s="7" t="s">
        <v>23</v>
      </c>
      <c r="F11699" s="8" t="str">
        <f ca="1">IFERROR(__xludf.DUMMYFUNCTION("IF
(
C11700=""фізична особа""
,
VLOOKUP(D11700,IMPORTRANGE(""https://docs.google.com/spreadsheets/d/14Bd19lYaqBhU8_DElYkX7l4wRkHqqCUFNJY4AfY3kHU/edit?usp=sharing  #gid=0"",""фіз особи new!relations_name""),6,FALSE)
,
(IF
(
C11700=""юридична особа""
,
VLOO"&amp;"KUP(D11700,IMPORTRANGE(""https://docs.google.com/spreadsheets/d/14Bd19lYaqBhU8_DElYkX7l4wRkHqqCUFNJY4AfY3kHU/edit?usp=sharing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699" s="7" t="s">
        <v>10</v>
      </c>
      <c r="H11699" s="7">
        <v>17749</v>
      </c>
      <c r="I11699" s="8" t="str">
        <f ca="1">IFERROR(__xludf.DUMMYFUNCTION("IF
(
G11700=""фізична особа""
,
VLOOKUP(H11700,IMPORTRANGE(""https://docs.google.com/spreadsheets/d/14Bd19lYaqBhU8_DElYkX7l4wRkHqqCUFNJY4AfY3kHU/edit?usp=sharing  #gid=0"",""фіз особи new!relations_name""),6,FALSE)
,
(IF
(
G11700=""юридична особа""
,
VLOO"&amp;"KUP(H11700,IMPORTRANGE(""https://docs.google.com/spreadsheets/d/14Bd19lYaqBhU8_DElYkX7l4wRkHqqCUFNJY4AfY3kHU/edit?usp=sharing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699" s="7" t="s">
        <v>23</v>
      </c>
    </row>
    <row r="11700" spans="1:10" ht="13.2">
      <c r="A11700" s="7">
        <v>11699</v>
      </c>
      <c r="B11700" s="7">
        <v>1</v>
      </c>
      <c r="C11700" s="7" t="s">
        <v>10</v>
      </c>
      <c r="D11700" s="7">
        <v>17751</v>
      </c>
      <c r="E11700" s="7" t="s">
        <v>23</v>
      </c>
      <c r="F11700" s="8" t="str">
        <f ca="1">IFERROR(__xludf.DUMMYFUNCTION("IF
(
C11701=""фізична особа""
,
VLOOKUP(D11701,IMPORTRANGE(""https://docs.google.com/spreadsheets/d/14Bd19lYaqBhU8_DElYkX7l4wRkHqqCUFNJY4AfY3kHU/edit?usp=sharing  #gid=0"",""фіз особи new!relations_name""),6,FALSE)
,
(IF
(
C11701=""юридична особа""
,
VLOO"&amp;"KUP(D11701,IMPORTRANGE(""https://docs.google.com/spreadsheets/d/14Bd19lYaqBhU8_DElYkX7l4wRkHqqCUFNJY4AfY3kHU/edit?usp=sharing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700" s="7" t="s">
        <v>10</v>
      </c>
      <c r="H11700" s="7">
        <v>17750</v>
      </c>
      <c r="I11700" s="8" t="str">
        <f ca="1">IFERROR(__xludf.DUMMYFUNCTION("IF
(
G11701=""фізична особа""
,
VLOOKUP(H11701,IMPORTRANGE(""https://docs.google.com/spreadsheets/d/14Bd19lYaqBhU8_DElYkX7l4wRkHqqCUFNJY4AfY3kHU/edit?usp=sharing  #gid=0"",""фіз особи new!relations_name""),6,FALSE)
,
(IF
(
G11701=""юридична особа""
,
VLOO"&amp;"KUP(H11701,IMPORTRANGE(""https://docs.google.com/spreadsheets/d/14Bd19lYaqBhU8_DElYkX7l4wRkHqqCUFNJY4AfY3kHU/edit?usp=sharing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700" s="7" t="s">
        <v>23</v>
      </c>
    </row>
    <row r="11701" spans="1:10" ht="13.2">
      <c r="A11701" s="7">
        <v>11700</v>
      </c>
      <c r="B11701" s="7">
        <v>1</v>
      </c>
      <c r="C11701" s="7" t="s">
        <v>10</v>
      </c>
      <c r="D11701" s="7">
        <v>17751</v>
      </c>
      <c r="E11701" s="7" t="s">
        <v>23</v>
      </c>
      <c r="F11701" s="8" t="str">
        <f ca="1">IFERROR(__xludf.DUMMYFUNCTION("IF
(
C11702=""фізична особа""
,
VLOOKUP(D11702,IMPORTRANGE(""https://docs.google.com/spreadsheets/d/14Bd19lYaqBhU8_DElYkX7l4wRkHqqCUFNJY4AfY3kHU/edit?usp=sharing  #gid=0"",""фіз особи new!relations_name""),6,FALSE)
,
(IF
(
C11702=""юридична особа""
,
VLOO"&amp;"KUP(D11702,IMPORTRANGE(""https://docs.google.com/spreadsheets/d/14Bd19lYaqBhU8_DElYkX7l4wRkHqqCUFNJY4AfY3kHU/edit?usp=sharing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701" s="7" t="s">
        <v>10</v>
      </c>
      <c r="H11701" s="7">
        <v>17752</v>
      </c>
      <c r="I11701" s="8" t="str">
        <f ca="1">IFERROR(__xludf.DUMMYFUNCTION("IF
(
G11702=""фізична особа""
,
VLOOKUP(H11702,IMPORTRANGE(""https://docs.google.com/spreadsheets/d/14Bd19lYaqBhU8_DElYkX7l4wRkHqqCUFNJY4AfY3kHU/edit?usp=sharing  #gid=0"",""фіз особи new!relations_name""),6,FALSE)
,
(IF
(
G11702=""юридична особа""
,
VLOO"&amp;"KUP(H11702,IMPORTRANGE(""https://docs.google.com/spreadsheets/d/14Bd19lYaqBhU8_DElYkX7l4wRkHqqCUFNJY4AfY3kHU/edit?usp=sharing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701" s="7" t="s">
        <v>23</v>
      </c>
    </row>
    <row r="11702" spans="1:10" ht="13.2">
      <c r="A11702" s="7">
        <v>11701</v>
      </c>
      <c r="B11702" s="7">
        <v>1</v>
      </c>
      <c r="C11702" s="7" t="s">
        <v>10</v>
      </c>
      <c r="D11702" s="7">
        <v>17751</v>
      </c>
      <c r="E11702" s="7" t="s">
        <v>23</v>
      </c>
      <c r="F11702" s="8" t="str">
        <f ca="1">IFERROR(__xludf.DUMMYFUNCTION("IF
(
C11703=""фізична особа""
,
VLOOKUP(D11703,IMPORTRANGE(""https://docs.google.com/spreadsheets/d/14Bd19lYaqBhU8_DElYkX7l4wRkHqqCUFNJY4AfY3kHU/edit?usp=sharing  #gid=0"",""фіз особи new!relations_name""),6,FALSE)
,
(IF
(
C11703=""юридична особа""
,
VLOO"&amp;"KUP(D11703,IMPORTRANGE(""https://docs.google.com/spreadsheets/d/14Bd19lYaqBhU8_DElYkX7l4wRkHqqCUFNJY4AfY3kHU/edit?usp=sharing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702" s="7" t="s">
        <v>10</v>
      </c>
      <c r="H11702" s="7">
        <v>17753</v>
      </c>
      <c r="I11702" s="8" t="str">
        <f ca="1">IFERROR(__xludf.DUMMYFUNCTION("IF
(
G11703=""фізична особа""
,
VLOOKUP(H11703,IMPORTRANGE(""https://docs.google.com/spreadsheets/d/14Bd19lYaqBhU8_DElYkX7l4wRkHqqCUFNJY4AfY3kHU/edit?usp=sharing  #gid=0"",""фіз особи new!relations_name""),6,FALSE)
,
(IF
(
G11703=""юридична особа""
,
VLOO"&amp;"KUP(H11703,IMPORTRANGE(""https://docs.google.com/spreadsheets/d/14Bd19lYaqBhU8_DElYkX7l4wRkHqqCUFNJY4AfY3kHU/edit?usp=sharing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702" s="7" t="s">
        <v>23</v>
      </c>
    </row>
    <row r="11703" spans="1:10" ht="13.2">
      <c r="A11703" s="7">
        <v>11702</v>
      </c>
      <c r="B11703" s="7">
        <v>1</v>
      </c>
      <c r="C11703" s="7" t="s">
        <v>10</v>
      </c>
      <c r="D11703" s="7">
        <v>17751</v>
      </c>
      <c r="E11703" s="7" t="s">
        <v>23</v>
      </c>
      <c r="F11703" s="8" t="str">
        <f ca="1">IFERROR(__xludf.DUMMYFUNCTION("IF
(
C11704=""фізична особа""
,
VLOOKUP(D11704,IMPORTRANGE(""https://docs.google.com/spreadsheets/d/14Bd19lYaqBhU8_DElYkX7l4wRkHqqCUFNJY4AfY3kHU/edit?usp=sharing  #gid=0"",""фіз особи new!relations_name""),6,FALSE)
,
(IF
(
C11704=""юридична особа""
,
VLOO"&amp;"KUP(D11704,IMPORTRANGE(""https://docs.google.com/spreadsheets/d/14Bd19lYaqBhU8_DElYkX7l4wRkHqqCUFNJY4AfY3kHU/edit?usp=sharing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703" s="7" t="s">
        <v>10</v>
      </c>
      <c r="H11703" s="7">
        <v>17754</v>
      </c>
      <c r="I11703" s="8" t="str">
        <f ca="1">IFERROR(__xludf.DUMMYFUNCTION("IF
(
G11704=""фізична особа""
,
VLOOKUP(H11704,IMPORTRANGE(""https://docs.google.com/spreadsheets/d/14Bd19lYaqBhU8_DElYkX7l4wRkHqqCUFNJY4AfY3kHU/edit?usp=sharing  #gid=0"",""фіз особи new!relations_name""),6,FALSE)
,
(IF
(
G11704=""юридична особа""
,
VLOO"&amp;"KUP(H11704,IMPORTRANGE(""https://docs.google.com/spreadsheets/d/14Bd19lYaqBhU8_DElYkX7l4wRkHqqCUFNJY4AfY3kHU/edit?usp=sharing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703" s="7" t="s">
        <v>23</v>
      </c>
    </row>
    <row r="11704" spans="1:10" ht="13.2">
      <c r="A11704" s="7">
        <v>11703</v>
      </c>
      <c r="B11704" s="7">
        <v>1</v>
      </c>
      <c r="C11704" s="7" t="s">
        <v>10</v>
      </c>
      <c r="D11704" s="7">
        <v>17751</v>
      </c>
      <c r="E11704" s="7" t="s">
        <v>23</v>
      </c>
      <c r="F11704" s="8" t="str">
        <f ca="1">IFERROR(__xludf.DUMMYFUNCTION("IF
(
C11705=""фізична особа""
,
VLOOKUP(D11705,IMPORTRANGE(""https://docs.google.com/spreadsheets/d/14Bd19lYaqBhU8_DElYkX7l4wRkHqqCUFNJY4AfY3kHU/edit?usp=sharing  #gid=0"",""фіз особи new!relations_name""),6,FALSE)
,
(IF
(
C11705=""юридична особа""
,
VLOO"&amp;"KUP(D11705,IMPORTRANGE(""https://docs.google.com/spreadsheets/d/14Bd19lYaqBhU8_DElYkX7l4wRkHqqCUFNJY4AfY3kHU/edit?usp=sharing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G11704" s="7" t="s">
        <v>10</v>
      </c>
      <c r="H11704" s="7">
        <v>17755</v>
      </c>
      <c r="I11704" s="8" t="str">
        <f ca="1">IFERROR(__xludf.DUMMYFUNCTION("IF
(
G11705=""фізична особа""
,
VLOOKUP(H11705,IMPORTRANGE(""https://docs.google.com/spreadsheets/d/14Bd19lYaqBhU8_DElYkX7l4wRkHqqCUFNJY4AfY3kHU/edit?usp=sharing  #gid=0"",""фіз особи new!relations_name""),6,FALSE)
,
(IF
(
G11705=""юридична особа""
,
VLOO"&amp;"KUP(H11705,IMPORTRANGE(""https://docs.google.com/spreadsheets/d/14Bd19lYaqBhU8_DElYkX7l4wRkHqqCUFNJY4AfY3kHU/edit?usp=sharing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704" s="7" t="s">
        <v>23</v>
      </c>
    </row>
    <row r="11705" spans="1:10" ht="13.2">
      <c r="A11705" s="7">
        <v>11704</v>
      </c>
      <c r="B11705" s="7">
        <v>1</v>
      </c>
      <c r="C11705" s="7" t="s">
        <v>10</v>
      </c>
      <c r="D11705" s="7">
        <v>17752</v>
      </c>
      <c r="E11705" s="7" t="s">
        <v>23</v>
      </c>
      <c r="F11705" s="8" t="str">
        <f ca="1">IFERROR(__xludf.DUMMYFUNCTION("IF
(
C11706=""фізична особа""
,
VLOOKUP(D11706,IMPORTRANGE(""https://docs.google.com/spreadsheets/d/14Bd19lYaqBhU8_DElYkX7l4wRkHqqCUFNJY4AfY3kHU/edit?usp=sharing  #gid=0"",""фіз особи new!relations_name""),6,FALSE)
,
(IF
(
C11706=""юридична особа""
,
VLOO"&amp;"KUP(D11706,IMPORTRANGE(""https://docs.google.com/spreadsheets/d/14Bd19lYaqBhU8_DElYkX7l4wRkHqqCUFNJY4AfY3kHU/edit?usp=sharing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05" s="7" t="s">
        <v>10</v>
      </c>
      <c r="H11705" s="7">
        <v>17746</v>
      </c>
      <c r="I11705" s="8" t="str">
        <f ca="1">IFERROR(__xludf.DUMMYFUNCTION("IF
(
G11706=""фізична особа""
,
VLOOKUP(H11706,IMPORTRANGE(""https://docs.google.com/spreadsheets/d/14Bd19lYaqBhU8_DElYkX7l4wRkHqqCUFNJY4AfY3kHU/edit?usp=sharing  #gid=0"",""фіз особи new!relations_name""),6,FALSE)
,
(IF
(
G11706=""юридична особа""
,
VLOO"&amp;"KUP(H11706,IMPORTRANGE(""https://docs.google.com/spreadsheets/d/14Bd19lYaqBhU8_DElYkX7l4wRkHqqCUFNJY4AfY3kHU/edit?usp=sharing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705" s="7" t="s">
        <v>23</v>
      </c>
    </row>
    <row r="11706" spans="1:10" ht="13.2">
      <c r="A11706" s="7">
        <v>11705</v>
      </c>
      <c r="B11706" s="7">
        <v>1</v>
      </c>
      <c r="C11706" s="7" t="s">
        <v>10</v>
      </c>
      <c r="D11706" s="7">
        <v>17752</v>
      </c>
      <c r="E11706" s="7" t="s">
        <v>23</v>
      </c>
      <c r="F11706" s="8" t="str">
        <f ca="1">IFERROR(__xludf.DUMMYFUNCTION("IF
(
C11707=""фізична особа""
,
VLOOKUP(D11707,IMPORTRANGE(""https://docs.google.com/spreadsheets/d/14Bd19lYaqBhU8_DElYkX7l4wRkHqqCUFNJY4AfY3kHU/edit?usp=sharing  #gid=0"",""фіз особи new!relations_name""),6,FALSE)
,
(IF
(
C11707=""юридична особа""
,
VLOO"&amp;"KUP(D11707,IMPORTRANGE(""https://docs.google.com/spreadsheets/d/14Bd19lYaqBhU8_DElYkX7l4wRkHqqCUFNJY4AfY3kHU/edit?usp=sharing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06" s="7" t="s">
        <v>10</v>
      </c>
      <c r="H11706" s="7">
        <v>17747</v>
      </c>
      <c r="I11706" s="8" t="str">
        <f ca="1">IFERROR(__xludf.DUMMYFUNCTION("IF
(
G11707=""фізична особа""
,
VLOOKUP(H11707,IMPORTRANGE(""https://docs.google.com/spreadsheets/d/14Bd19lYaqBhU8_DElYkX7l4wRkHqqCUFNJY4AfY3kHU/edit?usp=sharing  #gid=0"",""фіз особи new!relations_name""),6,FALSE)
,
(IF
(
G11707=""юридична особа""
,
VLOO"&amp;"KUP(H11707,IMPORTRANGE(""https://docs.google.com/spreadsheets/d/14Bd19lYaqBhU8_DElYkX7l4wRkHqqCUFNJY4AfY3kHU/edit?usp=sharing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706" s="7" t="s">
        <v>23</v>
      </c>
    </row>
    <row r="11707" spans="1:10" ht="13.2">
      <c r="A11707" s="7">
        <v>11706</v>
      </c>
      <c r="B11707" s="7">
        <v>1</v>
      </c>
      <c r="C11707" s="7" t="s">
        <v>10</v>
      </c>
      <c r="D11707" s="7">
        <v>17752</v>
      </c>
      <c r="E11707" s="7" t="s">
        <v>23</v>
      </c>
      <c r="F11707" s="8" t="str">
        <f ca="1">IFERROR(__xludf.DUMMYFUNCTION("IF
(
C11708=""фізична особа""
,
VLOOKUP(D11708,IMPORTRANGE(""https://docs.google.com/spreadsheets/d/14Bd19lYaqBhU8_DElYkX7l4wRkHqqCUFNJY4AfY3kHU/edit?usp=sharing  #gid=0"",""фіз особи new!relations_name""),6,FALSE)
,
(IF
(
C11708=""юридична особа""
,
VLOO"&amp;"KUP(D11708,IMPORTRANGE(""https://docs.google.com/spreadsheets/d/14Bd19lYaqBhU8_DElYkX7l4wRkHqqCUFNJY4AfY3kHU/edit?usp=sharing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07" s="7" t="s">
        <v>10</v>
      </c>
      <c r="H11707" s="7">
        <v>17748</v>
      </c>
      <c r="I11707" s="8" t="str">
        <f ca="1">IFERROR(__xludf.DUMMYFUNCTION("IF
(
G11708=""фізична особа""
,
VLOOKUP(H11708,IMPORTRANGE(""https://docs.google.com/spreadsheets/d/14Bd19lYaqBhU8_DElYkX7l4wRkHqqCUFNJY4AfY3kHU/edit?usp=sharing  #gid=0"",""фіз особи new!relations_name""),6,FALSE)
,
(IF
(
G11708=""юридична особа""
,
VLOO"&amp;"KUP(H11708,IMPORTRANGE(""https://docs.google.com/spreadsheets/d/14Bd19lYaqBhU8_DElYkX7l4wRkHqqCUFNJY4AfY3kHU/edit?usp=sharing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707" s="7" t="s">
        <v>23</v>
      </c>
    </row>
    <row r="11708" spans="1:10" ht="13.2">
      <c r="A11708" s="7">
        <v>11707</v>
      </c>
      <c r="B11708" s="7">
        <v>1</v>
      </c>
      <c r="C11708" s="7" t="s">
        <v>10</v>
      </c>
      <c r="D11708" s="7">
        <v>17752</v>
      </c>
      <c r="E11708" s="7" t="s">
        <v>23</v>
      </c>
      <c r="F11708" s="8" t="str">
        <f ca="1">IFERROR(__xludf.DUMMYFUNCTION("IF
(
C11709=""фізична особа""
,
VLOOKUP(D11709,IMPORTRANGE(""https://docs.google.com/spreadsheets/d/14Bd19lYaqBhU8_DElYkX7l4wRkHqqCUFNJY4AfY3kHU/edit?usp=sharing  #gid=0"",""фіз особи new!relations_name""),6,FALSE)
,
(IF
(
C11709=""юридична особа""
,
VLOO"&amp;"KUP(D11709,IMPORTRANGE(""https://docs.google.com/spreadsheets/d/14Bd19lYaqBhU8_DElYkX7l4wRkHqqCUFNJY4AfY3kHU/edit?usp=sharing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08" s="7" t="s">
        <v>10</v>
      </c>
      <c r="H11708" s="7">
        <v>17749</v>
      </c>
      <c r="I11708" s="8" t="str">
        <f ca="1">IFERROR(__xludf.DUMMYFUNCTION("IF
(
G11709=""фізична особа""
,
VLOOKUP(H11709,IMPORTRANGE(""https://docs.google.com/spreadsheets/d/14Bd19lYaqBhU8_DElYkX7l4wRkHqqCUFNJY4AfY3kHU/edit?usp=sharing  #gid=0"",""фіз особи new!relations_name""),6,FALSE)
,
(IF
(
G11709=""юридична особа""
,
VLOO"&amp;"KUP(H11709,IMPORTRANGE(""https://docs.google.com/spreadsheets/d/14Bd19lYaqBhU8_DElYkX7l4wRkHqqCUFNJY4AfY3kHU/edit?usp=sharing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708" s="7" t="s">
        <v>23</v>
      </c>
    </row>
    <row r="11709" spans="1:10" ht="13.2">
      <c r="A11709" s="7">
        <v>11708</v>
      </c>
      <c r="B11709" s="7">
        <v>1</v>
      </c>
      <c r="C11709" s="7" t="s">
        <v>10</v>
      </c>
      <c r="D11709" s="7">
        <v>17752</v>
      </c>
      <c r="E11709" s="7" t="s">
        <v>23</v>
      </c>
      <c r="F11709" s="8" t="str">
        <f ca="1">IFERROR(__xludf.DUMMYFUNCTION("IF
(
C11710=""фізична особа""
,
VLOOKUP(D11710,IMPORTRANGE(""https://docs.google.com/spreadsheets/d/14Bd19lYaqBhU8_DElYkX7l4wRkHqqCUFNJY4AfY3kHU/edit?usp=sharing  #gid=0"",""фіз особи new!relations_name""),6,FALSE)
,
(IF
(
C11710=""юридична особа""
,
VLOO"&amp;"KUP(D11710,IMPORTRANGE(""https://docs.google.com/spreadsheets/d/14Bd19lYaqBhU8_DElYkX7l4wRkHqqCUFNJY4AfY3kHU/edit?usp=sharing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09" s="7" t="s">
        <v>10</v>
      </c>
      <c r="H11709" s="7">
        <v>17750</v>
      </c>
      <c r="I11709" s="8" t="str">
        <f ca="1">IFERROR(__xludf.DUMMYFUNCTION("IF
(
G11710=""фізична особа""
,
VLOOKUP(H11710,IMPORTRANGE(""https://docs.google.com/spreadsheets/d/14Bd19lYaqBhU8_DElYkX7l4wRkHqqCUFNJY4AfY3kHU/edit?usp=sharing  #gid=0"",""фіз особи new!relations_name""),6,FALSE)
,
(IF
(
G11710=""юридична особа""
,
VLOO"&amp;"KUP(H11710,IMPORTRANGE(""https://docs.google.com/spreadsheets/d/14Bd19lYaqBhU8_DElYkX7l4wRkHqqCUFNJY4AfY3kHU/edit?usp=sharing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709" s="7" t="s">
        <v>23</v>
      </c>
    </row>
    <row r="11710" spans="1:10" ht="13.2">
      <c r="A11710" s="7">
        <v>11709</v>
      </c>
      <c r="B11710" s="7">
        <v>1</v>
      </c>
      <c r="C11710" s="7" t="s">
        <v>10</v>
      </c>
      <c r="D11710" s="7">
        <v>17752</v>
      </c>
      <c r="E11710" s="7" t="s">
        <v>23</v>
      </c>
      <c r="F11710" s="8" t="str">
        <f ca="1">IFERROR(__xludf.DUMMYFUNCTION("IF
(
C11711=""фізична особа""
,
VLOOKUP(D11711,IMPORTRANGE(""https://docs.google.com/spreadsheets/d/14Bd19lYaqBhU8_DElYkX7l4wRkHqqCUFNJY4AfY3kHU/edit?usp=sharing  #gid=0"",""фіз особи new!relations_name""),6,FALSE)
,
(IF
(
C11711=""юридична особа""
,
VLOO"&amp;"KUP(D11711,IMPORTRANGE(""https://docs.google.com/spreadsheets/d/14Bd19lYaqBhU8_DElYkX7l4wRkHqqCUFNJY4AfY3kHU/edit?usp=sharing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10" s="7" t="s">
        <v>10</v>
      </c>
      <c r="H11710" s="7">
        <v>17751</v>
      </c>
      <c r="I11710" s="8" t="str">
        <f ca="1">IFERROR(__xludf.DUMMYFUNCTION("IF
(
G11711=""фізична особа""
,
VLOOKUP(H11711,IMPORTRANGE(""https://docs.google.com/spreadsheets/d/14Bd19lYaqBhU8_DElYkX7l4wRkHqqCUFNJY4AfY3kHU/edit?usp=sharing  #gid=0"",""фіз особи new!relations_name""),6,FALSE)
,
(IF
(
G11711=""юридична особа""
,
VLOO"&amp;"KUP(H11711,IMPORTRANGE(""https://docs.google.com/spreadsheets/d/14Bd19lYaqBhU8_DElYkX7l4wRkHqqCUFNJY4AfY3kHU/edit?usp=sharing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710" s="7" t="s">
        <v>23</v>
      </c>
    </row>
    <row r="11711" spans="1:10" ht="13.2">
      <c r="A11711" s="7">
        <v>11710</v>
      </c>
      <c r="B11711" s="7">
        <v>1</v>
      </c>
      <c r="C11711" s="7" t="s">
        <v>10</v>
      </c>
      <c r="D11711" s="7">
        <v>17752</v>
      </c>
      <c r="E11711" s="7" t="s">
        <v>23</v>
      </c>
      <c r="F11711" s="8" t="str">
        <f ca="1">IFERROR(__xludf.DUMMYFUNCTION("IF
(
C11712=""фізична особа""
,
VLOOKUP(D11712,IMPORTRANGE(""https://docs.google.com/spreadsheets/d/14Bd19lYaqBhU8_DElYkX7l4wRkHqqCUFNJY4AfY3kHU/edit?usp=sharing  #gid=0"",""фіз особи new!relations_name""),6,FALSE)
,
(IF
(
C11712=""юридична особа""
,
VLOO"&amp;"KUP(D11712,IMPORTRANGE(""https://docs.google.com/spreadsheets/d/14Bd19lYaqBhU8_DElYkX7l4wRkHqqCUFNJY4AfY3kHU/edit?usp=sharing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11" s="7" t="s">
        <v>10</v>
      </c>
      <c r="H11711" s="7">
        <v>17753</v>
      </c>
      <c r="I11711" s="8" t="str">
        <f ca="1">IFERROR(__xludf.DUMMYFUNCTION("IF
(
G11712=""фізична особа""
,
VLOOKUP(H11712,IMPORTRANGE(""https://docs.google.com/spreadsheets/d/14Bd19lYaqBhU8_DElYkX7l4wRkHqqCUFNJY4AfY3kHU/edit?usp=sharing  #gid=0"",""фіз особи new!relations_name""),6,FALSE)
,
(IF
(
G11712=""юридична особа""
,
VLOO"&amp;"KUP(H11712,IMPORTRANGE(""https://docs.google.com/spreadsheets/d/14Bd19lYaqBhU8_DElYkX7l4wRkHqqCUFNJY4AfY3kHU/edit?usp=sharing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711" s="7" t="s">
        <v>23</v>
      </c>
    </row>
    <row r="11712" spans="1:10" ht="13.2">
      <c r="A11712" s="7">
        <v>11711</v>
      </c>
      <c r="B11712" s="7">
        <v>1</v>
      </c>
      <c r="C11712" s="7" t="s">
        <v>10</v>
      </c>
      <c r="D11712" s="7">
        <v>17752</v>
      </c>
      <c r="E11712" s="7" t="s">
        <v>23</v>
      </c>
      <c r="F11712" s="8" t="str">
        <f ca="1">IFERROR(__xludf.DUMMYFUNCTION("IF
(
C11713=""фізична особа""
,
VLOOKUP(D11713,IMPORTRANGE(""https://docs.google.com/spreadsheets/d/14Bd19lYaqBhU8_DElYkX7l4wRkHqqCUFNJY4AfY3kHU/edit?usp=sharing  #gid=0"",""фіз особи new!relations_name""),6,FALSE)
,
(IF
(
C11713=""юридична особа""
,
VLOO"&amp;"KUP(D11713,IMPORTRANGE(""https://docs.google.com/spreadsheets/d/14Bd19lYaqBhU8_DElYkX7l4wRkHqqCUFNJY4AfY3kHU/edit?usp=sharing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12" s="7" t="s">
        <v>10</v>
      </c>
      <c r="H11712" s="7">
        <v>17754</v>
      </c>
      <c r="I11712" s="8" t="str">
        <f ca="1">IFERROR(__xludf.DUMMYFUNCTION("IF
(
G11713=""фізична особа""
,
VLOOKUP(H11713,IMPORTRANGE(""https://docs.google.com/spreadsheets/d/14Bd19lYaqBhU8_DElYkX7l4wRkHqqCUFNJY4AfY3kHU/edit?usp=sharing  #gid=0"",""фіз особи new!relations_name""),6,FALSE)
,
(IF
(
G11713=""юридична особа""
,
VLOO"&amp;"KUP(H11713,IMPORTRANGE(""https://docs.google.com/spreadsheets/d/14Bd19lYaqBhU8_DElYkX7l4wRkHqqCUFNJY4AfY3kHU/edit?usp=sharing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712" s="7" t="s">
        <v>23</v>
      </c>
    </row>
    <row r="11713" spans="1:10" ht="13.2">
      <c r="A11713" s="7">
        <v>11712</v>
      </c>
      <c r="B11713" s="7">
        <v>1</v>
      </c>
      <c r="C11713" s="7" t="s">
        <v>10</v>
      </c>
      <c r="D11713" s="7">
        <v>17752</v>
      </c>
      <c r="E11713" s="7" t="s">
        <v>23</v>
      </c>
      <c r="F11713" s="8" t="str">
        <f ca="1">IFERROR(__xludf.DUMMYFUNCTION("IF
(
C11714=""фізична особа""
,
VLOOKUP(D11714,IMPORTRANGE(""https://docs.google.com/spreadsheets/d/14Bd19lYaqBhU8_DElYkX7l4wRkHqqCUFNJY4AfY3kHU/edit?usp=sharing  #gid=0"",""фіз особи new!relations_name""),6,FALSE)
,
(IF
(
C11714=""юридична особа""
,
VLOO"&amp;"KUP(D11714,IMPORTRANGE(""https://docs.google.com/spreadsheets/d/14Bd19lYaqBhU8_DElYkX7l4wRkHqqCUFNJY4AfY3kHU/edit?usp=sharing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G11713" s="7" t="s">
        <v>10</v>
      </c>
      <c r="H11713" s="7">
        <v>17755</v>
      </c>
      <c r="I11713" s="8" t="str">
        <f ca="1">IFERROR(__xludf.DUMMYFUNCTION("IF
(
G11714=""фізична особа""
,
VLOOKUP(H11714,IMPORTRANGE(""https://docs.google.com/spreadsheets/d/14Bd19lYaqBhU8_DElYkX7l4wRkHqqCUFNJY4AfY3kHU/edit?usp=sharing  #gid=0"",""фіз особи new!relations_name""),6,FALSE)
,
(IF
(
G11714=""юридична особа""
,
VLOO"&amp;"KUP(H11714,IMPORTRANGE(""https://docs.google.com/spreadsheets/d/14Bd19lYaqBhU8_DElYkX7l4wRkHqqCUFNJY4AfY3kHU/edit?usp=sharing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713" s="7" t="s">
        <v>23</v>
      </c>
    </row>
    <row r="11714" spans="1:10" ht="13.2">
      <c r="A11714" s="7">
        <v>11713</v>
      </c>
      <c r="B11714" s="7">
        <v>1</v>
      </c>
      <c r="C11714" s="7" t="s">
        <v>10</v>
      </c>
      <c r="D11714" s="7">
        <v>17753</v>
      </c>
      <c r="E11714" s="7" t="s">
        <v>23</v>
      </c>
      <c r="F11714" s="8" t="str">
        <f ca="1">IFERROR(__xludf.DUMMYFUNCTION("IF
(
C11715=""фізична особа""
,
VLOOKUP(D11715,IMPORTRANGE(""https://docs.google.com/spreadsheets/d/14Bd19lYaqBhU8_DElYkX7l4wRkHqqCUFNJY4AfY3kHU/edit?usp=sharing  #gid=0"",""фіз особи new!relations_name""),6,FALSE)
,
(IF
(
C11715=""юридична особа""
,
VLOO"&amp;"KUP(D11715,IMPORTRANGE(""https://docs.google.com/spreadsheets/d/14Bd19lYaqBhU8_DElYkX7l4wRkHqqCUFNJY4AfY3kHU/edit?usp=sharing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4" s="7" t="s">
        <v>10</v>
      </c>
      <c r="H11714" s="7">
        <v>17746</v>
      </c>
      <c r="I11714" s="8" t="str">
        <f ca="1">IFERROR(__xludf.DUMMYFUNCTION("IF
(
G11715=""фізична особа""
,
VLOOKUP(H11715,IMPORTRANGE(""https://docs.google.com/spreadsheets/d/14Bd19lYaqBhU8_DElYkX7l4wRkHqqCUFNJY4AfY3kHU/edit?usp=sharing  #gid=0"",""фіз особи new!relations_name""),6,FALSE)
,
(IF
(
G11715=""юридична особа""
,
VLOO"&amp;"KUP(H11715,IMPORTRANGE(""https://docs.google.com/spreadsheets/d/14Bd19lYaqBhU8_DElYkX7l4wRkHqqCUFNJY4AfY3kHU/edit?usp=sharing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714" s="7" t="s">
        <v>23</v>
      </c>
    </row>
    <row r="11715" spans="1:10" ht="13.2">
      <c r="A11715" s="7">
        <v>11714</v>
      </c>
      <c r="B11715" s="7">
        <v>1</v>
      </c>
      <c r="C11715" s="7" t="s">
        <v>10</v>
      </c>
      <c r="D11715" s="7">
        <v>17753</v>
      </c>
      <c r="E11715" s="7" t="s">
        <v>23</v>
      </c>
      <c r="F11715" s="8" t="str">
        <f ca="1">IFERROR(__xludf.DUMMYFUNCTION("IF
(
C11716=""фізична особа""
,
VLOOKUP(D11716,IMPORTRANGE(""https://docs.google.com/spreadsheets/d/14Bd19lYaqBhU8_DElYkX7l4wRkHqqCUFNJY4AfY3kHU/edit?usp=sharing  #gid=0"",""фіз особи new!relations_name""),6,FALSE)
,
(IF
(
C11716=""юридична особа""
,
VLOO"&amp;"KUP(D11716,IMPORTRANGE(""https://docs.google.com/spreadsheets/d/14Bd19lYaqBhU8_DElYkX7l4wRkHqqCUFNJY4AfY3kHU/edit?usp=sharing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5" s="7" t="s">
        <v>10</v>
      </c>
      <c r="H11715" s="7">
        <v>17747</v>
      </c>
      <c r="I11715" s="8" t="str">
        <f ca="1">IFERROR(__xludf.DUMMYFUNCTION("IF
(
G11716=""фізична особа""
,
VLOOKUP(H11716,IMPORTRANGE(""https://docs.google.com/spreadsheets/d/14Bd19lYaqBhU8_DElYkX7l4wRkHqqCUFNJY4AfY3kHU/edit?usp=sharing  #gid=0"",""фіз особи new!relations_name""),6,FALSE)
,
(IF
(
G11716=""юридична особа""
,
VLOO"&amp;"KUP(H11716,IMPORTRANGE(""https://docs.google.com/spreadsheets/d/14Bd19lYaqBhU8_DElYkX7l4wRkHqqCUFNJY4AfY3kHU/edit?usp=sharing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715" s="7" t="s">
        <v>23</v>
      </c>
    </row>
    <row r="11716" spans="1:10" ht="13.2">
      <c r="A11716" s="7">
        <v>11715</v>
      </c>
      <c r="B11716" s="7">
        <v>1</v>
      </c>
      <c r="C11716" s="7" t="s">
        <v>10</v>
      </c>
      <c r="D11716" s="7">
        <v>17753</v>
      </c>
      <c r="E11716" s="7" t="s">
        <v>23</v>
      </c>
      <c r="F11716" s="8" t="str">
        <f ca="1">IFERROR(__xludf.DUMMYFUNCTION("IF
(
C11717=""фізична особа""
,
VLOOKUP(D11717,IMPORTRANGE(""https://docs.google.com/spreadsheets/d/14Bd19lYaqBhU8_DElYkX7l4wRkHqqCUFNJY4AfY3kHU/edit?usp=sharing  #gid=0"",""фіз особи new!relations_name""),6,FALSE)
,
(IF
(
C11717=""юридична особа""
,
VLOO"&amp;"KUP(D11717,IMPORTRANGE(""https://docs.google.com/spreadsheets/d/14Bd19lYaqBhU8_DElYkX7l4wRkHqqCUFNJY4AfY3kHU/edit?usp=sharing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6" s="7" t="s">
        <v>10</v>
      </c>
      <c r="H11716" s="7">
        <v>17748</v>
      </c>
      <c r="I11716" s="8" t="str">
        <f ca="1">IFERROR(__xludf.DUMMYFUNCTION("IF
(
G11717=""фізична особа""
,
VLOOKUP(H11717,IMPORTRANGE(""https://docs.google.com/spreadsheets/d/14Bd19lYaqBhU8_DElYkX7l4wRkHqqCUFNJY4AfY3kHU/edit?usp=sharing  #gid=0"",""фіз особи new!relations_name""),6,FALSE)
,
(IF
(
G11717=""юридична особа""
,
VLOO"&amp;"KUP(H11717,IMPORTRANGE(""https://docs.google.com/spreadsheets/d/14Bd19lYaqBhU8_DElYkX7l4wRkHqqCUFNJY4AfY3kHU/edit?usp=sharing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716" s="7" t="s">
        <v>23</v>
      </c>
    </row>
    <row r="11717" spans="1:10" ht="13.2">
      <c r="A11717" s="7">
        <v>11716</v>
      </c>
      <c r="B11717" s="7">
        <v>1</v>
      </c>
      <c r="C11717" s="7" t="s">
        <v>10</v>
      </c>
      <c r="D11717" s="7">
        <v>17753</v>
      </c>
      <c r="E11717" s="7" t="s">
        <v>23</v>
      </c>
      <c r="F11717" s="8" t="str">
        <f ca="1">IFERROR(__xludf.DUMMYFUNCTION("IF
(
C11718=""фізична особа""
,
VLOOKUP(D11718,IMPORTRANGE(""https://docs.google.com/spreadsheets/d/14Bd19lYaqBhU8_DElYkX7l4wRkHqqCUFNJY4AfY3kHU/edit?usp=sharing  #gid=0"",""фіз особи new!relations_name""),6,FALSE)
,
(IF
(
C11718=""юридична особа""
,
VLOO"&amp;"KUP(D11718,IMPORTRANGE(""https://docs.google.com/spreadsheets/d/14Bd19lYaqBhU8_DElYkX7l4wRkHqqCUFNJY4AfY3kHU/edit?usp=sharing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7" s="7" t="s">
        <v>10</v>
      </c>
      <c r="H11717" s="7">
        <v>17749</v>
      </c>
      <c r="I11717" s="8" t="str">
        <f ca="1">IFERROR(__xludf.DUMMYFUNCTION("IF
(
G11718=""фізична особа""
,
VLOOKUP(H11718,IMPORTRANGE(""https://docs.google.com/spreadsheets/d/14Bd19lYaqBhU8_DElYkX7l4wRkHqqCUFNJY4AfY3kHU/edit?usp=sharing  #gid=0"",""фіз особи new!relations_name""),6,FALSE)
,
(IF
(
G11718=""юридична особа""
,
VLOO"&amp;"KUP(H11718,IMPORTRANGE(""https://docs.google.com/spreadsheets/d/14Bd19lYaqBhU8_DElYkX7l4wRkHqqCUFNJY4AfY3kHU/edit?usp=sharing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717" s="7" t="s">
        <v>23</v>
      </c>
    </row>
    <row r="11718" spans="1:10" ht="13.2">
      <c r="A11718" s="7">
        <v>11717</v>
      </c>
      <c r="B11718" s="7">
        <v>1</v>
      </c>
      <c r="C11718" s="7" t="s">
        <v>10</v>
      </c>
      <c r="D11718" s="7">
        <v>17753</v>
      </c>
      <c r="E11718" s="7" t="s">
        <v>23</v>
      </c>
      <c r="F11718" s="8" t="str">
        <f ca="1">IFERROR(__xludf.DUMMYFUNCTION("IF
(
C11719=""фізична особа""
,
VLOOKUP(D11719,IMPORTRANGE(""https://docs.google.com/spreadsheets/d/14Bd19lYaqBhU8_DElYkX7l4wRkHqqCUFNJY4AfY3kHU/edit?usp=sharing  #gid=0"",""фіз особи new!relations_name""),6,FALSE)
,
(IF
(
C11719=""юридична особа""
,
VLOO"&amp;"KUP(D11719,IMPORTRANGE(""https://docs.google.com/spreadsheets/d/14Bd19lYaqBhU8_DElYkX7l4wRkHqqCUFNJY4AfY3kHU/edit?usp=sharing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8" s="7" t="s">
        <v>10</v>
      </c>
      <c r="H11718" s="7">
        <v>17750</v>
      </c>
      <c r="I11718" s="8" t="str">
        <f ca="1">IFERROR(__xludf.DUMMYFUNCTION("IF
(
G11719=""фізична особа""
,
VLOOKUP(H11719,IMPORTRANGE(""https://docs.google.com/spreadsheets/d/14Bd19lYaqBhU8_DElYkX7l4wRkHqqCUFNJY4AfY3kHU/edit?usp=sharing  #gid=0"",""фіз особи new!relations_name""),6,FALSE)
,
(IF
(
G11719=""юридична особа""
,
VLOO"&amp;"KUP(H11719,IMPORTRANGE(""https://docs.google.com/spreadsheets/d/14Bd19lYaqBhU8_DElYkX7l4wRkHqqCUFNJY4AfY3kHU/edit?usp=sharing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718" s="7" t="s">
        <v>23</v>
      </c>
    </row>
    <row r="11719" spans="1:10" ht="13.2">
      <c r="A11719" s="7">
        <v>11718</v>
      </c>
      <c r="B11719" s="7">
        <v>1</v>
      </c>
      <c r="C11719" s="7" t="s">
        <v>10</v>
      </c>
      <c r="D11719" s="7">
        <v>17753</v>
      </c>
      <c r="E11719" s="7" t="s">
        <v>23</v>
      </c>
      <c r="F11719" s="8" t="str">
        <f ca="1">IFERROR(__xludf.DUMMYFUNCTION("IF
(
C11720=""фізична особа""
,
VLOOKUP(D11720,IMPORTRANGE(""https://docs.google.com/spreadsheets/d/14Bd19lYaqBhU8_DElYkX7l4wRkHqqCUFNJY4AfY3kHU/edit?usp=sharing  #gid=0"",""фіз особи new!relations_name""),6,FALSE)
,
(IF
(
C11720=""юридична особа""
,
VLOO"&amp;"KUP(D11720,IMPORTRANGE(""https://docs.google.com/spreadsheets/d/14Bd19lYaqBhU8_DElYkX7l4wRkHqqCUFNJY4AfY3kHU/edit?usp=sharing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19" s="7" t="s">
        <v>10</v>
      </c>
      <c r="H11719" s="7">
        <v>17751</v>
      </c>
      <c r="I11719" s="8" t="str">
        <f ca="1">IFERROR(__xludf.DUMMYFUNCTION("IF
(
G11720=""фізична особа""
,
VLOOKUP(H11720,IMPORTRANGE(""https://docs.google.com/spreadsheets/d/14Bd19lYaqBhU8_DElYkX7l4wRkHqqCUFNJY4AfY3kHU/edit?usp=sharing  #gid=0"",""фіз особи new!relations_name""),6,FALSE)
,
(IF
(
G11720=""юридична особа""
,
VLOO"&amp;"KUP(H11720,IMPORTRANGE(""https://docs.google.com/spreadsheets/d/14Bd19lYaqBhU8_DElYkX7l4wRkHqqCUFNJY4AfY3kHU/edit?usp=sharing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719" s="7" t="s">
        <v>23</v>
      </c>
    </row>
    <row r="11720" spans="1:10" ht="13.2">
      <c r="A11720" s="7">
        <v>11719</v>
      </c>
      <c r="B11720" s="7">
        <v>1</v>
      </c>
      <c r="C11720" s="7" t="s">
        <v>10</v>
      </c>
      <c r="D11720" s="7">
        <v>17753</v>
      </c>
      <c r="E11720" s="7" t="s">
        <v>23</v>
      </c>
      <c r="F11720" s="8" t="str">
        <f ca="1">IFERROR(__xludf.DUMMYFUNCTION("IF
(
C11721=""фізична особа""
,
VLOOKUP(D11721,IMPORTRANGE(""https://docs.google.com/spreadsheets/d/14Bd19lYaqBhU8_DElYkX7l4wRkHqqCUFNJY4AfY3kHU/edit?usp=sharing  #gid=0"",""фіз особи new!relations_name""),6,FALSE)
,
(IF
(
C11721=""юридична особа""
,
VLOO"&amp;"KUP(D11721,IMPORTRANGE(""https://docs.google.com/spreadsheets/d/14Bd19lYaqBhU8_DElYkX7l4wRkHqqCUFNJY4AfY3kHU/edit?usp=sharing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20" s="7" t="s">
        <v>10</v>
      </c>
      <c r="H11720" s="7">
        <v>17752</v>
      </c>
      <c r="I11720" s="8" t="str">
        <f ca="1">IFERROR(__xludf.DUMMYFUNCTION("IF
(
G11721=""фізична особа""
,
VLOOKUP(H11721,IMPORTRANGE(""https://docs.google.com/spreadsheets/d/14Bd19lYaqBhU8_DElYkX7l4wRkHqqCUFNJY4AfY3kHU/edit?usp=sharing  #gid=0"",""фіз особи new!relations_name""),6,FALSE)
,
(IF
(
G11721=""юридична особа""
,
VLOO"&amp;"KUP(H11721,IMPORTRANGE(""https://docs.google.com/spreadsheets/d/14Bd19lYaqBhU8_DElYkX7l4wRkHqqCUFNJY4AfY3kHU/edit?usp=sharing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720" s="7" t="s">
        <v>23</v>
      </c>
    </row>
    <row r="11721" spans="1:10" ht="13.2">
      <c r="A11721" s="7">
        <v>11720</v>
      </c>
      <c r="B11721" s="7">
        <v>1</v>
      </c>
      <c r="C11721" s="7" t="s">
        <v>10</v>
      </c>
      <c r="D11721" s="7">
        <v>17753</v>
      </c>
      <c r="E11721" s="7" t="s">
        <v>23</v>
      </c>
      <c r="F11721" s="8" t="str">
        <f ca="1">IFERROR(__xludf.DUMMYFUNCTION("IF
(
C11722=""фізична особа""
,
VLOOKUP(D11722,IMPORTRANGE(""https://docs.google.com/spreadsheets/d/14Bd19lYaqBhU8_DElYkX7l4wRkHqqCUFNJY4AfY3kHU/edit?usp=sharing  #gid=0"",""фіз особи new!relations_name""),6,FALSE)
,
(IF
(
C11722=""юридична особа""
,
VLOO"&amp;"KUP(D11722,IMPORTRANGE(""https://docs.google.com/spreadsheets/d/14Bd19lYaqBhU8_DElYkX7l4wRkHqqCUFNJY4AfY3kHU/edit?usp=sharing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21" s="7" t="s">
        <v>10</v>
      </c>
      <c r="H11721" s="7">
        <v>17754</v>
      </c>
      <c r="I11721" s="8" t="str">
        <f ca="1">IFERROR(__xludf.DUMMYFUNCTION("IF
(
G11722=""фізична особа""
,
VLOOKUP(H11722,IMPORTRANGE(""https://docs.google.com/spreadsheets/d/14Bd19lYaqBhU8_DElYkX7l4wRkHqqCUFNJY4AfY3kHU/edit?usp=sharing  #gid=0"",""фіз особи new!relations_name""),6,FALSE)
,
(IF
(
G11722=""юридична особа""
,
VLOO"&amp;"KUP(H11722,IMPORTRANGE(""https://docs.google.com/spreadsheets/d/14Bd19lYaqBhU8_DElYkX7l4wRkHqqCUFNJY4AfY3kHU/edit?usp=sharing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721" s="7" t="s">
        <v>23</v>
      </c>
    </row>
    <row r="11722" spans="1:10" ht="13.2">
      <c r="A11722" s="7">
        <v>11721</v>
      </c>
      <c r="B11722" s="7">
        <v>1</v>
      </c>
      <c r="C11722" s="7" t="s">
        <v>10</v>
      </c>
      <c r="D11722" s="7">
        <v>17753</v>
      </c>
      <c r="E11722" s="7" t="s">
        <v>23</v>
      </c>
      <c r="F11722" s="8" t="str">
        <f ca="1">IFERROR(__xludf.DUMMYFUNCTION("IF
(
C11723=""фізична особа""
,
VLOOKUP(D11723,IMPORTRANGE(""https://docs.google.com/spreadsheets/d/14Bd19lYaqBhU8_DElYkX7l4wRkHqqCUFNJY4AfY3kHU/edit?usp=sharing  #gid=0"",""фіз особи new!relations_name""),6,FALSE)
,
(IF
(
C11723=""юридична особа""
,
VLOO"&amp;"KUP(D11723,IMPORTRANGE(""https://docs.google.com/spreadsheets/d/14Bd19lYaqBhU8_DElYkX7l4wRkHqqCUFNJY4AfY3kHU/edit?usp=sharing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G11722" s="7" t="s">
        <v>10</v>
      </c>
      <c r="H11722" s="7">
        <v>17755</v>
      </c>
      <c r="I11722" s="8" t="str">
        <f ca="1">IFERROR(__xludf.DUMMYFUNCTION("IF
(
G11723=""фізична особа""
,
VLOOKUP(H11723,IMPORTRANGE(""https://docs.google.com/spreadsheets/d/14Bd19lYaqBhU8_DElYkX7l4wRkHqqCUFNJY4AfY3kHU/edit?usp=sharing  #gid=0"",""фіз особи new!relations_name""),6,FALSE)
,
(IF
(
G11723=""юридична особа""
,
VLOO"&amp;"KUP(H11723,IMPORTRANGE(""https://docs.google.com/spreadsheets/d/14Bd19lYaqBhU8_DElYkX7l4wRkHqqCUFNJY4AfY3kHU/edit?usp=sharing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722" s="7" t="s">
        <v>23</v>
      </c>
    </row>
    <row r="11723" spans="1:10" ht="13.2">
      <c r="A11723" s="7">
        <v>11722</v>
      </c>
      <c r="B11723" s="7">
        <v>1</v>
      </c>
      <c r="C11723" s="7" t="s">
        <v>10</v>
      </c>
      <c r="D11723" s="7">
        <v>17754</v>
      </c>
      <c r="E11723" s="7" t="s">
        <v>23</v>
      </c>
      <c r="F11723" s="8" t="str">
        <f ca="1">IFERROR(__xludf.DUMMYFUNCTION("IF
(
C11724=""фізична особа""
,
VLOOKUP(D11724,IMPORTRANGE(""https://docs.google.com/spreadsheets/d/14Bd19lYaqBhU8_DElYkX7l4wRkHqqCUFNJY4AfY3kHU/edit?usp=sharing  #gid=0"",""фіз особи new!relations_name""),6,FALSE)
,
(IF
(
C11724=""юридична особа""
,
VLOO"&amp;"KUP(D11724,IMPORTRANGE(""https://docs.google.com/spreadsheets/d/14Bd19lYaqBhU8_DElYkX7l4wRkHqqCUFNJY4AfY3kHU/edit?usp=sharing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3" s="7" t="s">
        <v>10</v>
      </c>
      <c r="H11723" s="7">
        <v>17746</v>
      </c>
      <c r="I11723" s="8" t="str">
        <f ca="1">IFERROR(__xludf.DUMMYFUNCTION("IF
(
G11724=""фізична особа""
,
VLOOKUP(H11724,IMPORTRANGE(""https://docs.google.com/spreadsheets/d/14Bd19lYaqBhU8_DElYkX7l4wRkHqqCUFNJY4AfY3kHU/edit?usp=sharing  #gid=0"",""фіз особи new!relations_name""),6,FALSE)
,
(IF
(
G11724=""юридична особа""
,
VLOO"&amp;"KUP(H11724,IMPORTRANGE(""https://docs.google.com/spreadsheets/d/14Bd19lYaqBhU8_DElYkX7l4wRkHqqCUFNJY4AfY3kHU/edit?usp=sharing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723" s="7" t="s">
        <v>23</v>
      </c>
    </row>
    <row r="11724" spans="1:10" ht="13.2">
      <c r="A11724" s="7">
        <v>11723</v>
      </c>
      <c r="B11724" s="7">
        <v>1</v>
      </c>
      <c r="C11724" s="7" t="s">
        <v>10</v>
      </c>
      <c r="D11724" s="7">
        <v>17754</v>
      </c>
      <c r="E11724" s="7" t="s">
        <v>23</v>
      </c>
      <c r="F11724" s="8" t="str">
        <f ca="1">IFERROR(__xludf.DUMMYFUNCTION("IF
(
C11725=""фізична особа""
,
VLOOKUP(D11725,IMPORTRANGE(""https://docs.google.com/spreadsheets/d/14Bd19lYaqBhU8_DElYkX7l4wRkHqqCUFNJY4AfY3kHU/edit?usp=sharing  #gid=0"",""фіз особи new!relations_name""),6,FALSE)
,
(IF
(
C11725=""юридична особа""
,
VLOO"&amp;"KUP(D11725,IMPORTRANGE(""https://docs.google.com/spreadsheets/d/14Bd19lYaqBhU8_DElYkX7l4wRkHqqCUFNJY4AfY3kHU/edit?usp=sharing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4" s="7" t="s">
        <v>10</v>
      </c>
      <c r="H11724" s="7">
        <v>17747</v>
      </c>
      <c r="I11724" s="8" t="str">
        <f ca="1">IFERROR(__xludf.DUMMYFUNCTION("IF
(
G11725=""фізична особа""
,
VLOOKUP(H11725,IMPORTRANGE(""https://docs.google.com/spreadsheets/d/14Bd19lYaqBhU8_DElYkX7l4wRkHqqCUFNJY4AfY3kHU/edit?usp=sharing  #gid=0"",""фіз особи new!relations_name""),6,FALSE)
,
(IF
(
G11725=""юридична особа""
,
VLOO"&amp;"KUP(H11725,IMPORTRANGE(""https://docs.google.com/spreadsheets/d/14Bd19lYaqBhU8_DElYkX7l4wRkHqqCUFNJY4AfY3kHU/edit?usp=sharing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724" s="7" t="s">
        <v>23</v>
      </c>
    </row>
    <row r="11725" spans="1:10" ht="13.2">
      <c r="A11725" s="7">
        <v>11724</v>
      </c>
      <c r="B11725" s="7">
        <v>1</v>
      </c>
      <c r="C11725" s="7" t="s">
        <v>10</v>
      </c>
      <c r="D11725" s="7">
        <v>17754</v>
      </c>
      <c r="E11725" s="7" t="s">
        <v>23</v>
      </c>
      <c r="F11725" s="8" t="str">
        <f ca="1">IFERROR(__xludf.DUMMYFUNCTION("IF
(
C11726=""фізична особа""
,
VLOOKUP(D11726,IMPORTRANGE(""https://docs.google.com/spreadsheets/d/14Bd19lYaqBhU8_DElYkX7l4wRkHqqCUFNJY4AfY3kHU/edit?usp=sharing  #gid=0"",""фіз особи new!relations_name""),6,FALSE)
,
(IF
(
C11726=""юридична особа""
,
VLOO"&amp;"KUP(D11726,IMPORTRANGE(""https://docs.google.com/spreadsheets/d/14Bd19lYaqBhU8_DElYkX7l4wRkHqqCUFNJY4AfY3kHU/edit?usp=sharing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5" s="7" t="s">
        <v>10</v>
      </c>
      <c r="H11725" s="7">
        <v>17748</v>
      </c>
      <c r="I11725" s="8" t="str">
        <f ca="1">IFERROR(__xludf.DUMMYFUNCTION("IF
(
G11726=""фізична особа""
,
VLOOKUP(H11726,IMPORTRANGE(""https://docs.google.com/spreadsheets/d/14Bd19lYaqBhU8_DElYkX7l4wRkHqqCUFNJY4AfY3kHU/edit?usp=sharing  #gid=0"",""фіз особи new!relations_name""),6,FALSE)
,
(IF
(
G11726=""юридична особа""
,
VLOO"&amp;"KUP(H11726,IMPORTRANGE(""https://docs.google.com/spreadsheets/d/14Bd19lYaqBhU8_DElYkX7l4wRkHqqCUFNJY4AfY3kHU/edit?usp=sharing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725" s="7" t="s">
        <v>23</v>
      </c>
    </row>
    <row r="11726" spans="1:10" ht="13.2">
      <c r="A11726" s="7">
        <v>11725</v>
      </c>
      <c r="B11726" s="7">
        <v>1</v>
      </c>
      <c r="C11726" s="7" t="s">
        <v>10</v>
      </c>
      <c r="D11726" s="7">
        <v>17754</v>
      </c>
      <c r="E11726" s="7" t="s">
        <v>23</v>
      </c>
      <c r="F11726" s="8" t="str">
        <f ca="1">IFERROR(__xludf.DUMMYFUNCTION("IF
(
C11727=""фізична особа""
,
VLOOKUP(D11727,IMPORTRANGE(""https://docs.google.com/spreadsheets/d/14Bd19lYaqBhU8_DElYkX7l4wRkHqqCUFNJY4AfY3kHU/edit?usp=sharing  #gid=0"",""фіз особи new!relations_name""),6,FALSE)
,
(IF
(
C11727=""юридична особа""
,
VLOO"&amp;"KUP(D11727,IMPORTRANGE(""https://docs.google.com/spreadsheets/d/14Bd19lYaqBhU8_DElYkX7l4wRkHqqCUFNJY4AfY3kHU/edit?usp=sharing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6" s="7" t="s">
        <v>10</v>
      </c>
      <c r="H11726" s="7">
        <v>17749</v>
      </c>
      <c r="I11726" s="8" t="str">
        <f ca="1">IFERROR(__xludf.DUMMYFUNCTION("IF
(
G11727=""фізична особа""
,
VLOOKUP(H11727,IMPORTRANGE(""https://docs.google.com/spreadsheets/d/14Bd19lYaqBhU8_DElYkX7l4wRkHqqCUFNJY4AfY3kHU/edit?usp=sharing  #gid=0"",""фіз особи new!relations_name""),6,FALSE)
,
(IF
(
G11727=""юридична особа""
,
VLOO"&amp;"KUP(H11727,IMPORTRANGE(""https://docs.google.com/spreadsheets/d/14Bd19lYaqBhU8_DElYkX7l4wRkHqqCUFNJY4AfY3kHU/edit?usp=sharing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726" s="7" t="s">
        <v>23</v>
      </c>
    </row>
    <row r="11727" spans="1:10" ht="13.2">
      <c r="A11727" s="7">
        <v>11726</v>
      </c>
      <c r="B11727" s="7">
        <v>1</v>
      </c>
      <c r="C11727" s="7" t="s">
        <v>10</v>
      </c>
      <c r="D11727" s="7">
        <v>17754</v>
      </c>
      <c r="E11727" s="7" t="s">
        <v>23</v>
      </c>
      <c r="F11727" s="8" t="str">
        <f ca="1">IFERROR(__xludf.DUMMYFUNCTION("IF
(
C11728=""фізична особа""
,
VLOOKUP(D11728,IMPORTRANGE(""https://docs.google.com/spreadsheets/d/14Bd19lYaqBhU8_DElYkX7l4wRkHqqCUFNJY4AfY3kHU/edit?usp=sharing  #gid=0"",""фіз особи new!relations_name""),6,FALSE)
,
(IF
(
C11728=""юридична особа""
,
VLOO"&amp;"KUP(D11728,IMPORTRANGE(""https://docs.google.com/spreadsheets/d/14Bd19lYaqBhU8_DElYkX7l4wRkHqqCUFNJY4AfY3kHU/edit?usp=sharing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7" s="7" t="s">
        <v>10</v>
      </c>
      <c r="H11727" s="7">
        <v>17750</v>
      </c>
      <c r="I11727" s="8" t="str">
        <f ca="1">IFERROR(__xludf.DUMMYFUNCTION("IF
(
G11728=""фізична особа""
,
VLOOKUP(H11728,IMPORTRANGE(""https://docs.google.com/spreadsheets/d/14Bd19lYaqBhU8_DElYkX7l4wRkHqqCUFNJY4AfY3kHU/edit?usp=sharing  #gid=0"",""фіз особи new!relations_name""),6,FALSE)
,
(IF
(
G11728=""юридична особа""
,
VLOO"&amp;"KUP(H11728,IMPORTRANGE(""https://docs.google.com/spreadsheets/d/14Bd19lYaqBhU8_DElYkX7l4wRkHqqCUFNJY4AfY3kHU/edit?usp=sharing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727" s="7" t="s">
        <v>23</v>
      </c>
    </row>
    <row r="11728" spans="1:10" ht="13.2">
      <c r="A11728" s="7">
        <v>11727</v>
      </c>
      <c r="B11728" s="7">
        <v>1</v>
      </c>
      <c r="C11728" s="7" t="s">
        <v>10</v>
      </c>
      <c r="D11728" s="7">
        <v>17754</v>
      </c>
      <c r="E11728" s="7" t="s">
        <v>23</v>
      </c>
      <c r="F11728" s="8" t="str">
        <f ca="1">IFERROR(__xludf.DUMMYFUNCTION("IF
(
C11729=""фізична особа""
,
VLOOKUP(D11729,IMPORTRANGE(""https://docs.google.com/spreadsheets/d/14Bd19lYaqBhU8_DElYkX7l4wRkHqqCUFNJY4AfY3kHU/edit?usp=sharing  #gid=0"",""фіз особи new!relations_name""),6,FALSE)
,
(IF
(
C11729=""юридична особа""
,
VLOO"&amp;"KUP(D11729,IMPORTRANGE(""https://docs.google.com/spreadsheets/d/14Bd19lYaqBhU8_DElYkX7l4wRkHqqCUFNJY4AfY3kHU/edit?usp=sharing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8" s="7" t="s">
        <v>10</v>
      </c>
      <c r="H11728" s="7">
        <v>17751</v>
      </c>
      <c r="I11728" s="8" t="str">
        <f ca="1">IFERROR(__xludf.DUMMYFUNCTION("IF
(
G11729=""фізична особа""
,
VLOOKUP(H11729,IMPORTRANGE(""https://docs.google.com/spreadsheets/d/14Bd19lYaqBhU8_DElYkX7l4wRkHqqCUFNJY4AfY3kHU/edit?usp=sharing  #gid=0"",""фіз особи new!relations_name""),6,FALSE)
,
(IF
(
G11729=""юридична особа""
,
VLOO"&amp;"KUP(H11729,IMPORTRANGE(""https://docs.google.com/spreadsheets/d/14Bd19lYaqBhU8_DElYkX7l4wRkHqqCUFNJY4AfY3kHU/edit?usp=sharing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728" s="7" t="s">
        <v>23</v>
      </c>
    </row>
    <row r="11729" spans="1:10" ht="13.2">
      <c r="A11729" s="7">
        <v>11728</v>
      </c>
      <c r="B11729" s="7">
        <v>1</v>
      </c>
      <c r="C11729" s="7" t="s">
        <v>10</v>
      </c>
      <c r="D11729" s="7">
        <v>17754</v>
      </c>
      <c r="E11729" s="7" t="s">
        <v>23</v>
      </c>
      <c r="F11729" s="8" t="str">
        <f ca="1">IFERROR(__xludf.DUMMYFUNCTION("IF
(
C11730=""фізична особа""
,
VLOOKUP(D11730,IMPORTRANGE(""https://docs.google.com/spreadsheets/d/14Bd19lYaqBhU8_DElYkX7l4wRkHqqCUFNJY4AfY3kHU/edit?usp=sharing  #gid=0"",""фіз особи new!relations_name""),6,FALSE)
,
(IF
(
C11730=""юридична особа""
,
VLOO"&amp;"KUP(D11730,IMPORTRANGE(""https://docs.google.com/spreadsheets/d/14Bd19lYaqBhU8_DElYkX7l4wRkHqqCUFNJY4AfY3kHU/edit?usp=sharing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29" s="7" t="s">
        <v>10</v>
      </c>
      <c r="H11729" s="7">
        <v>17752</v>
      </c>
      <c r="I11729" s="8" t="str">
        <f ca="1">IFERROR(__xludf.DUMMYFUNCTION("IF
(
G11730=""фізична особа""
,
VLOOKUP(H11730,IMPORTRANGE(""https://docs.google.com/spreadsheets/d/14Bd19lYaqBhU8_DElYkX7l4wRkHqqCUFNJY4AfY3kHU/edit?usp=sharing  #gid=0"",""фіз особи new!relations_name""),6,FALSE)
,
(IF
(
G11730=""юридична особа""
,
VLOO"&amp;"KUP(H11730,IMPORTRANGE(""https://docs.google.com/spreadsheets/d/14Bd19lYaqBhU8_DElYkX7l4wRkHqqCUFNJY4AfY3kHU/edit?usp=sharing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729" s="7" t="s">
        <v>23</v>
      </c>
    </row>
    <row r="11730" spans="1:10" ht="13.2">
      <c r="A11730" s="7">
        <v>11729</v>
      </c>
      <c r="B11730" s="7">
        <v>1</v>
      </c>
      <c r="C11730" s="7" t="s">
        <v>10</v>
      </c>
      <c r="D11730" s="7">
        <v>17754</v>
      </c>
      <c r="E11730" s="7" t="s">
        <v>23</v>
      </c>
      <c r="F11730" s="8" t="str">
        <f ca="1">IFERROR(__xludf.DUMMYFUNCTION("IF
(
C11731=""фізична особа""
,
VLOOKUP(D11731,IMPORTRANGE(""https://docs.google.com/spreadsheets/d/14Bd19lYaqBhU8_DElYkX7l4wRkHqqCUFNJY4AfY3kHU/edit?usp=sharing  #gid=0"",""фіз особи new!relations_name""),6,FALSE)
,
(IF
(
C11731=""юридична особа""
,
VLOO"&amp;"KUP(D11731,IMPORTRANGE(""https://docs.google.com/spreadsheets/d/14Bd19lYaqBhU8_DElYkX7l4wRkHqqCUFNJY4AfY3kHU/edit?usp=sharing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30" s="7" t="s">
        <v>10</v>
      </c>
      <c r="H11730" s="7">
        <v>17753</v>
      </c>
      <c r="I11730" s="8" t="str">
        <f ca="1">IFERROR(__xludf.DUMMYFUNCTION("IF
(
G11731=""фізична особа""
,
VLOOKUP(H11731,IMPORTRANGE(""https://docs.google.com/spreadsheets/d/14Bd19lYaqBhU8_DElYkX7l4wRkHqqCUFNJY4AfY3kHU/edit?usp=sharing  #gid=0"",""фіз особи new!relations_name""),6,FALSE)
,
(IF
(
G11731=""юридична особа""
,
VLOO"&amp;"KUP(H11731,IMPORTRANGE(""https://docs.google.com/spreadsheets/d/14Bd19lYaqBhU8_DElYkX7l4wRkHqqCUFNJY4AfY3kHU/edit?usp=sharing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730" s="7" t="s">
        <v>23</v>
      </c>
    </row>
    <row r="11731" spans="1:10" ht="13.2">
      <c r="A11731" s="7">
        <v>11730</v>
      </c>
      <c r="B11731" s="7">
        <v>1</v>
      </c>
      <c r="C11731" s="7" t="s">
        <v>10</v>
      </c>
      <c r="D11731" s="7">
        <v>17754</v>
      </c>
      <c r="E11731" s="7" t="s">
        <v>23</v>
      </c>
      <c r="F11731" s="8" t="str">
        <f ca="1">IFERROR(__xludf.DUMMYFUNCTION("IF
(
C11732=""фізична особа""
,
VLOOKUP(D11732,IMPORTRANGE(""https://docs.google.com/spreadsheets/d/14Bd19lYaqBhU8_DElYkX7l4wRkHqqCUFNJY4AfY3kHU/edit?usp=sharing  #gid=0"",""фіз особи new!relations_name""),6,FALSE)
,
(IF
(
C11732=""юридична особа""
,
VLOO"&amp;"KUP(D11732,IMPORTRANGE(""https://docs.google.com/spreadsheets/d/14Bd19lYaqBhU8_DElYkX7l4wRkHqqCUFNJY4AfY3kHU/edit?usp=sharing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G11731" s="7" t="s">
        <v>10</v>
      </c>
      <c r="H11731" s="7">
        <v>17755</v>
      </c>
      <c r="I11731" s="8" t="str">
        <f ca="1">IFERROR(__xludf.DUMMYFUNCTION("IF
(
G11732=""фізична особа""
,
VLOOKUP(H11732,IMPORTRANGE(""https://docs.google.com/spreadsheets/d/14Bd19lYaqBhU8_DElYkX7l4wRkHqqCUFNJY4AfY3kHU/edit?usp=sharing  #gid=0"",""фіз особи new!relations_name""),6,FALSE)
,
(IF
(
G11732=""юридична особа""
,
VLOO"&amp;"KUP(H11732,IMPORTRANGE(""https://docs.google.com/spreadsheets/d/14Bd19lYaqBhU8_DElYkX7l4wRkHqqCUFNJY4AfY3kHU/edit?usp=sharing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J11731" s="7" t="s">
        <v>23</v>
      </c>
    </row>
    <row r="11732" spans="1:10" ht="13.2">
      <c r="A11732" s="7">
        <v>11731</v>
      </c>
      <c r="B11732" s="7">
        <v>1</v>
      </c>
      <c r="C11732" s="7" t="s">
        <v>10</v>
      </c>
      <c r="D11732" s="7">
        <v>17755</v>
      </c>
      <c r="E11732" s="7" t="s">
        <v>23</v>
      </c>
      <c r="F11732" s="8" t="str">
        <f ca="1">IFERROR(__xludf.DUMMYFUNCTION("IF
(
C11733=""фізична особа""
,
VLOOKUP(D11733,IMPORTRANGE(""https://docs.google.com/spreadsheets/d/14Bd19lYaqBhU8_DElYkX7l4wRkHqqCUFNJY4AfY3kHU/edit?usp=sharing  #gid=0"",""фіз особи new!relations_name""),6,FALSE)
,
(IF
(
C11733=""юридична особа""
,
VLOO"&amp;"KUP(D11733,IMPORTRANGE(""https://docs.google.com/spreadsheets/d/14Bd19lYaqBhU8_DElYkX7l4wRkHqqCUFNJY4AfY3kHU/edit?usp=sharing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2" s="7" t="s">
        <v>10</v>
      </c>
      <c r="H11732" s="7">
        <v>17746</v>
      </c>
      <c r="I11732" s="8" t="str">
        <f ca="1">IFERROR(__xludf.DUMMYFUNCTION("IF
(
G11733=""фізична особа""
,
VLOOKUP(H11733,IMPORTRANGE(""https://docs.google.com/spreadsheets/d/14Bd19lYaqBhU8_DElYkX7l4wRkHqqCUFNJY4AfY3kHU/edit?usp=sharing  #gid=0"",""фіз особи new!relations_name""),6,FALSE)
,
(IF
(
G11733=""юридична особа""
,
VLOO"&amp;"KUP(H11733,IMPORTRANGE(""https://docs.google.com/spreadsheets/d/14Bd19lYaqBhU8_DElYkX7l4wRkHqqCUFNJY4AfY3kHU/edit?usp=sharing  #gid=0"",""фіз особи new!relations_name_uo""),7,FALSE)
,
)
))"),"ГАНІШИН Роман Вікторович")</f>
        <v>ГАНІШИН Роман Вікторович</v>
      </c>
      <c r="J11732" s="7" t="s">
        <v>23</v>
      </c>
    </row>
    <row r="11733" spans="1:10" ht="13.2">
      <c r="A11733" s="7">
        <v>11732</v>
      </c>
      <c r="B11733" s="7">
        <v>1</v>
      </c>
      <c r="C11733" s="7" t="s">
        <v>10</v>
      </c>
      <c r="D11733" s="7">
        <v>17755</v>
      </c>
      <c r="E11733" s="7" t="s">
        <v>23</v>
      </c>
      <c r="F11733" s="8" t="str">
        <f ca="1">IFERROR(__xludf.DUMMYFUNCTION("IF
(
C11734=""фізична особа""
,
VLOOKUP(D11734,IMPORTRANGE(""https://docs.google.com/spreadsheets/d/14Bd19lYaqBhU8_DElYkX7l4wRkHqqCUFNJY4AfY3kHU/edit?usp=sharing  #gid=0"",""фіз особи new!relations_name""),6,FALSE)
,
(IF
(
C11734=""юридична особа""
,
VLOO"&amp;"KUP(D11734,IMPORTRANGE(""https://docs.google.com/spreadsheets/d/14Bd19lYaqBhU8_DElYkX7l4wRkHqqCUFNJY4AfY3kHU/edit?usp=sharing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3" s="7" t="s">
        <v>10</v>
      </c>
      <c r="H11733" s="7">
        <v>17747</v>
      </c>
      <c r="I11733" s="8" t="str">
        <f ca="1">IFERROR(__xludf.DUMMYFUNCTION("IF
(
G11734=""фізична особа""
,
VLOOKUP(H11734,IMPORTRANGE(""https://docs.google.com/spreadsheets/d/14Bd19lYaqBhU8_DElYkX7l4wRkHqqCUFNJY4AfY3kHU/edit?usp=sharing  #gid=0"",""фіз особи new!relations_name""),6,FALSE)
,
(IF
(
G11734=""юридична особа""
,
VLOO"&amp;"KUP(H11734,IMPORTRANGE(""https://docs.google.com/spreadsheets/d/14Bd19lYaqBhU8_DElYkX7l4wRkHqqCUFNJY4AfY3kHU/edit?usp=sharing  #gid=0"",""фіз особи new!relations_name_uo""),7,FALSE)
,
)
))"),"ВОЛКОВ Михайло Володимирович")</f>
        <v>ВОЛКОВ Михайло Володимирович</v>
      </c>
      <c r="J11733" s="7" t="s">
        <v>23</v>
      </c>
    </row>
    <row r="11734" spans="1:10" ht="13.2">
      <c r="A11734" s="7">
        <v>11733</v>
      </c>
      <c r="B11734" s="7">
        <v>1</v>
      </c>
      <c r="C11734" s="7" t="s">
        <v>10</v>
      </c>
      <c r="D11734" s="7">
        <v>17755</v>
      </c>
      <c r="E11734" s="7" t="s">
        <v>23</v>
      </c>
      <c r="F11734" s="8" t="str">
        <f ca="1">IFERROR(__xludf.DUMMYFUNCTION("IF
(
C11735=""фізична особа""
,
VLOOKUP(D11735,IMPORTRANGE(""https://docs.google.com/spreadsheets/d/14Bd19lYaqBhU8_DElYkX7l4wRkHqqCUFNJY4AfY3kHU/edit?usp=sharing  #gid=0"",""фіз особи new!relations_name""),6,FALSE)
,
(IF
(
C11735=""юридична особа""
,
VLOO"&amp;"KUP(D11735,IMPORTRANGE(""https://docs.google.com/spreadsheets/d/14Bd19lYaqBhU8_DElYkX7l4wRkHqqCUFNJY4AfY3kHU/edit?usp=sharing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4" s="7" t="s">
        <v>10</v>
      </c>
      <c r="H11734" s="7">
        <v>17748</v>
      </c>
      <c r="I11734" s="8" t="str">
        <f ca="1">IFERROR(__xludf.DUMMYFUNCTION("IF
(
G11735=""фізична особа""
,
VLOOKUP(H11735,IMPORTRANGE(""https://docs.google.com/spreadsheets/d/14Bd19lYaqBhU8_DElYkX7l4wRkHqqCUFNJY4AfY3kHU/edit?usp=sharing  #gid=0"",""фіз особи new!relations_name""),6,FALSE)
,
(IF
(
G11735=""юридична особа""
,
VLOO"&amp;"KUP(H11735,IMPORTRANGE(""https://docs.google.com/spreadsheets/d/14Bd19lYaqBhU8_DElYkX7l4wRkHqqCUFNJY4AfY3kHU/edit?usp=sharing  #gid=0"",""фіз особи new!relations_name_uo""),7,FALSE)
,
)
))"),"ДРОНОВ Геннадій Геннадійович")</f>
        <v>ДРОНОВ Геннадій Геннадійович</v>
      </c>
      <c r="J11734" s="7" t="s">
        <v>23</v>
      </c>
    </row>
    <row r="11735" spans="1:10" ht="13.2">
      <c r="A11735" s="7">
        <v>11734</v>
      </c>
      <c r="B11735" s="7">
        <v>1</v>
      </c>
      <c r="C11735" s="7" t="s">
        <v>10</v>
      </c>
      <c r="D11735" s="7">
        <v>17755</v>
      </c>
      <c r="E11735" s="7" t="s">
        <v>23</v>
      </c>
      <c r="F11735" s="8" t="str">
        <f ca="1">IFERROR(__xludf.DUMMYFUNCTION("IF
(
C11736=""фізична особа""
,
VLOOKUP(D11736,IMPORTRANGE(""https://docs.google.com/spreadsheets/d/14Bd19lYaqBhU8_DElYkX7l4wRkHqqCUFNJY4AfY3kHU/edit?usp=sharing  #gid=0"",""фіз особи new!relations_name""),6,FALSE)
,
(IF
(
C11736=""юридична особа""
,
VLOO"&amp;"KUP(D11736,IMPORTRANGE(""https://docs.google.com/spreadsheets/d/14Bd19lYaqBhU8_DElYkX7l4wRkHqqCUFNJY4AfY3kHU/edit?usp=sharing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5" s="7" t="s">
        <v>10</v>
      </c>
      <c r="H11735" s="7">
        <v>17749</v>
      </c>
      <c r="I11735" s="8" t="str">
        <f ca="1">IFERROR(__xludf.DUMMYFUNCTION("IF
(
G11736=""фізична особа""
,
VLOOKUP(H11736,IMPORTRANGE(""https://docs.google.com/spreadsheets/d/14Bd19lYaqBhU8_DElYkX7l4wRkHqqCUFNJY4AfY3kHU/edit?usp=sharing  #gid=0"",""фіз особи new!relations_name""),6,FALSE)
,
(IF
(
G11736=""юридична особа""
,
VLOO"&amp;"KUP(H11736,IMPORTRANGE(""https://docs.google.com/spreadsheets/d/14Bd19lYaqBhU8_DElYkX7l4wRkHqqCUFNJY4AfY3kHU/edit?usp=sharing  #gid=0"",""фіз особи new!relations_name_uo""),7,FALSE)
,
)
))"),"ДРОНОВ Олександр Євгенійович")</f>
        <v>ДРОНОВ Олександр Євгенійович</v>
      </c>
      <c r="J11735" s="7" t="s">
        <v>23</v>
      </c>
    </row>
    <row r="11736" spans="1:10" ht="13.2">
      <c r="A11736" s="7">
        <v>11735</v>
      </c>
      <c r="B11736" s="7">
        <v>1</v>
      </c>
      <c r="C11736" s="7" t="s">
        <v>10</v>
      </c>
      <c r="D11736" s="7">
        <v>17755</v>
      </c>
      <c r="E11736" s="7" t="s">
        <v>23</v>
      </c>
      <c r="F11736" s="8" t="str">
        <f ca="1">IFERROR(__xludf.DUMMYFUNCTION("IF
(
C11737=""фізична особа""
,
VLOOKUP(D11737,IMPORTRANGE(""https://docs.google.com/spreadsheets/d/14Bd19lYaqBhU8_DElYkX7l4wRkHqqCUFNJY4AfY3kHU/edit?usp=sharing  #gid=0"",""фіз особи new!relations_name""),6,FALSE)
,
(IF
(
C11737=""юридична особа""
,
VLOO"&amp;"KUP(D11737,IMPORTRANGE(""https://docs.google.com/spreadsheets/d/14Bd19lYaqBhU8_DElYkX7l4wRkHqqCUFNJY4AfY3kHU/edit?usp=sharing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6" s="7" t="s">
        <v>10</v>
      </c>
      <c r="H11736" s="7">
        <v>17750</v>
      </c>
      <c r="I11736" s="8" t="str">
        <f ca="1">IFERROR(__xludf.DUMMYFUNCTION("IF
(
G11737=""фізична особа""
,
VLOOKUP(H11737,IMPORTRANGE(""https://docs.google.com/spreadsheets/d/14Bd19lYaqBhU8_DElYkX7l4wRkHqqCUFNJY4AfY3kHU/edit?usp=sharing  #gid=0"",""фіз особи new!relations_name""),6,FALSE)
,
(IF
(
G11737=""юридична особа""
,
VLOO"&amp;"KUP(H11737,IMPORTRANGE(""https://docs.google.com/spreadsheets/d/14Bd19lYaqBhU8_DElYkX7l4wRkHqqCUFNJY4AfY3kHU/edit?usp=sharing  #gid=0"",""фіз особи new!relations_name_uo""),7,FALSE)
,
)
))"),"СИНЬОВ Денис Сергійович")</f>
        <v>СИНЬОВ Денис Сергійович</v>
      </c>
      <c r="J11736" s="7" t="s">
        <v>23</v>
      </c>
    </row>
    <row r="11737" spans="1:10" ht="13.2">
      <c r="A11737" s="7">
        <v>11736</v>
      </c>
      <c r="B11737" s="7">
        <v>1</v>
      </c>
      <c r="C11737" s="7" t="s">
        <v>10</v>
      </c>
      <c r="D11737" s="7">
        <v>17755</v>
      </c>
      <c r="E11737" s="7" t="s">
        <v>23</v>
      </c>
      <c r="F11737" s="8" t="str">
        <f ca="1">IFERROR(__xludf.DUMMYFUNCTION("IF
(
C11738=""фізична особа""
,
VLOOKUP(D11738,IMPORTRANGE(""https://docs.google.com/spreadsheets/d/14Bd19lYaqBhU8_DElYkX7l4wRkHqqCUFNJY4AfY3kHU/edit?usp=sharing  #gid=0"",""фіз особи new!relations_name""),6,FALSE)
,
(IF
(
C11738=""юридична особа""
,
VLOO"&amp;"KUP(D11738,IMPORTRANGE(""https://docs.google.com/spreadsheets/d/14Bd19lYaqBhU8_DElYkX7l4wRkHqqCUFNJY4AfY3kHU/edit?usp=sharing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7" s="7" t="s">
        <v>10</v>
      </c>
      <c r="H11737" s="7">
        <v>17751</v>
      </c>
      <c r="I11737" s="8" t="str">
        <f ca="1">IFERROR(__xludf.DUMMYFUNCTION("IF
(
G11738=""фізична особа""
,
VLOOKUP(H11738,IMPORTRANGE(""https://docs.google.com/spreadsheets/d/14Bd19lYaqBhU8_DElYkX7l4wRkHqqCUFNJY4AfY3kHU/edit?usp=sharing  #gid=0"",""фіз особи new!relations_name""),6,FALSE)
,
(IF
(
G11738=""юридична особа""
,
VLOO"&amp;"KUP(H11738,IMPORTRANGE(""https://docs.google.com/spreadsheets/d/14Bd19lYaqBhU8_DElYkX7l4wRkHqqCUFNJY4AfY3kHU/edit?usp=sharing  #gid=0"",""фіз особи new!relations_name_uo""),7,FALSE)
,
)
))"),"КОНДРАШИН Сергій Вячеславович")</f>
        <v>КОНДРАШИН Сергій Вячеславович</v>
      </c>
      <c r="J11737" s="7" t="s">
        <v>23</v>
      </c>
    </row>
    <row r="11738" spans="1:10" ht="13.2">
      <c r="A11738" s="7">
        <v>11737</v>
      </c>
      <c r="B11738" s="7">
        <v>1</v>
      </c>
      <c r="C11738" s="7" t="s">
        <v>10</v>
      </c>
      <c r="D11738" s="7">
        <v>17755</v>
      </c>
      <c r="E11738" s="7" t="s">
        <v>23</v>
      </c>
      <c r="F11738" s="8" t="str">
        <f ca="1">IFERROR(__xludf.DUMMYFUNCTION("IF
(
C11739=""фізична особа""
,
VLOOKUP(D11739,IMPORTRANGE(""https://docs.google.com/spreadsheets/d/14Bd19lYaqBhU8_DElYkX7l4wRkHqqCUFNJY4AfY3kHU/edit?usp=sharing  #gid=0"",""фіз особи new!relations_name""),6,FALSE)
,
(IF
(
C11739=""юридична особа""
,
VLOO"&amp;"KUP(D11739,IMPORTRANGE(""https://docs.google.com/spreadsheets/d/14Bd19lYaqBhU8_DElYkX7l4wRkHqqCUFNJY4AfY3kHU/edit?usp=sharing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8" s="7" t="s">
        <v>10</v>
      </c>
      <c r="H11738" s="7">
        <v>17752</v>
      </c>
      <c r="I11738" s="8" t="str">
        <f ca="1">IFERROR(__xludf.DUMMYFUNCTION("IF
(
G11739=""фізична особа""
,
VLOOKUP(H11739,IMPORTRANGE(""https://docs.google.com/spreadsheets/d/14Bd19lYaqBhU8_DElYkX7l4wRkHqqCUFNJY4AfY3kHU/edit?usp=sharing  #gid=0"",""фіз особи new!relations_name""),6,FALSE)
,
(IF
(
G11739=""юридична особа""
,
VLOO"&amp;"KUP(H11739,IMPORTRANGE(""https://docs.google.com/spreadsheets/d/14Bd19lYaqBhU8_DElYkX7l4wRkHqqCUFNJY4AfY3kHU/edit?usp=sharing  #gid=0"",""фіз особи new!relations_name_uo""),7,FALSE)
,
)
))"),"ВИНОКУРОВ Василь Володимирович")</f>
        <v>ВИНОКУРОВ Василь Володимирович</v>
      </c>
      <c r="J11738" s="7" t="s">
        <v>23</v>
      </c>
    </row>
    <row r="11739" spans="1:10" ht="13.2">
      <c r="A11739" s="7">
        <v>11738</v>
      </c>
      <c r="B11739" s="7">
        <v>1</v>
      </c>
      <c r="C11739" s="7" t="s">
        <v>10</v>
      </c>
      <c r="D11739" s="7">
        <v>17755</v>
      </c>
      <c r="E11739" s="7" t="s">
        <v>23</v>
      </c>
      <c r="F11739" s="8" t="str">
        <f ca="1">IFERROR(__xludf.DUMMYFUNCTION("IF
(
C11740=""фізична особа""
,
VLOOKUP(D11740,IMPORTRANGE(""https://docs.google.com/spreadsheets/d/14Bd19lYaqBhU8_DElYkX7l4wRkHqqCUFNJY4AfY3kHU/edit?usp=sharing  #gid=0"",""фіз особи new!relations_name""),6,FALSE)
,
(IF
(
C11740=""юридична особа""
,
VLOO"&amp;"KUP(D11740,IMPORTRANGE(""https://docs.google.com/spreadsheets/d/14Bd19lYaqBhU8_DElYkX7l4wRkHqqCUFNJY4AfY3kHU/edit?usp=sharing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39" s="7" t="s">
        <v>10</v>
      </c>
      <c r="H11739" s="7">
        <v>17753</v>
      </c>
      <c r="I11739" s="8" t="str">
        <f ca="1">IFERROR(__xludf.DUMMYFUNCTION("IF
(
G11740=""фізична особа""
,
VLOOKUP(H11740,IMPORTRANGE(""https://docs.google.com/spreadsheets/d/14Bd19lYaqBhU8_DElYkX7l4wRkHqqCUFNJY4AfY3kHU/edit?usp=sharing  #gid=0"",""фіз особи new!relations_name""),6,FALSE)
,
(IF
(
G11740=""юридична особа""
,
VLOO"&amp;"KUP(H11740,IMPORTRANGE(""https://docs.google.com/spreadsheets/d/14Bd19lYaqBhU8_DElYkX7l4wRkHqqCUFNJY4AfY3kHU/edit?usp=sharing  #gid=0"",""фіз особи new!relations_name_uo""),7,FALSE)
,
)
))"),"ЯЗЄВ Олексій Олексійович")</f>
        <v>ЯЗЄВ Олексій Олексійович</v>
      </c>
      <c r="J11739" s="7" t="s">
        <v>23</v>
      </c>
    </row>
    <row r="11740" spans="1:10" ht="13.2">
      <c r="A11740" s="7">
        <v>11739</v>
      </c>
      <c r="B11740" s="7">
        <v>1</v>
      </c>
      <c r="C11740" s="7" t="s">
        <v>10</v>
      </c>
      <c r="D11740" s="7">
        <v>17755</v>
      </c>
      <c r="E11740" s="7" t="s">
        <v>23</v>
      </c>
      <c r="F11740" s="8" t="str">
        <f ca="1">IFERROR(__xludf.DUMMYFUNCTION("IF
(
C11741=""фізична особа""
,
VLOOKUP(D11741,IMPORTRANGE(""https://docs.google.com/spreadsheets/d/14Bd19lYaqBhU8_DElYkX7l4wRkHqqCUFNJY4AfY3kHU/edit?usp=sharing  #gid=0"",""фіз особи new!relations_name""),6,FALSE)
,
(IF
(
C11741=""юридична особа""
,
VLOO"&amp;"KUP(D11741,IMPORTRANGE(""https://docs.google.com/spreadsheets/d/14Bd19lYaqBhU8_DElYkX7l4wRkHqqCUFNJY4AfY3kHU/edit?usp=sharing  #gid=0"",""фіз особи new!relations_name_uo""),7,FALSE)
,
)
))"),"МІШУТКІНА Ірина Володимирівна")</f>
        <v>МІШУТКІНА Ірина Володимирівна</v>
      </c>
      <c r="G11740" s="7" t="s">
        <v>10</v>
      </c>
      <c r="H11740" s="7">
        <v>17754</v>
      </c>
      <c r="I11740" s="8" t="str">
        <f ca="1">IFERROR(__xludf.DUMMYFUNCTION("IF
(
G11741=""фізична особа""
,
VLOOKUP(H11741,IMPORTRANGE(""https://docs.google.com/spreadsheets/d/14Bd19lYaqBhU8_DElYkX7l4wRkHqqCUFNJY4AfY3kHU/edit?usp=sharing  #gid=0"",""фіз особи new!relations_name""),6,FALSE)
,
(IF
(
G11741=""юридична особа""
,
VLOO"&amp;"KUP(H11741,IMPORTRANGE(""https://docs.google.com/spreadsheets/d/14Bd19lYaqBhU8_DElYkX7l4wRkHqqCUFNJY4AfY3kHU/edit?usp=sharing  #gid=0"",""фіз особи new!relations_name_uo""),7,FALSE)
,
)
))"),"ТЕРЕНТЬЄВА Наталія Григорівна")</f>
        <v>ТЕРЕНТЬЄВА Наталія Григорівна</v>
      </c>
      <c r="J11740" s="7" t="s">
        <v>23</v>
      </c>
    </row>
    <row r="11741" spans="1:10" ht="13.2">
      <c r="A11741" s="7">
        <v>11740</v>
      </c>
      <c r="B11741" s="7">
        <v>1</v>
      </c>
      <c r="C11741" s="7" t="s">
        <v>10</v>
      </c>
      <c r="D11741" s="7">
        <v>17767</v>
      </c>
      <c r="E11741" s="7" t="s">
        <v>28</v>
      </c>
      <c r="F11741" s="8" t="str">
        <f ca="1">IFERROR(__xludf.DUMMYFUNCTION("IF
(
C11742=""фізична особа""
,
VLOOKUP(D11742,IMPORTRANGE(""https://docs.google.com/spreadsheets/d/14Bd19lYaqBhU8_DElYkX7l4wRkHqqCUFNJY4AfY3kHU/edit?usp=sharing  #gid=0"",""фіз особи new!relations_name""),6,FALSE)
,
(IF
(
C11742=""юридична особа""
,
VLOO"&amp;"KUP(D11742,IMPORTRANGE(""https://docs.google.com/spreadsheets/d/14Bd19lYaqBhU8_DElYkX7l4wRkHqqCUFNJY4AfY3kHU/edit?usp=sharing  #gid=0"",""фіз особи new!relations_name_uo""),7,FALSE)
,
)
))"),"СОЛОМЕНЦЕВ Віктор Володимирович")</f>
        <v>СОЛОМЕНЦЕВ Віктор Володимирович</v>
      </c>
      <c r="G11741" s="7" t="s">
        <v>10</v>
      </c>
      <c r="H11741" s="7">
        <v>16429</v>
      </c>
      <c r="I11741" s="8" t="str">
        <f ca="1">IFERROR(__xludf.DUMMYFUNCTION("IF
(
G11742=""фізична особа""
,
VLOOKUP(H11742,IMPORTRANGE(""https://docs.google.com/spreadsheets/d/14Bd19lYaqBhU8_DElYkX7l4wRkHqqCUFNJY4AfY3kHU/edit?usp=sharing  #gid=0"",""фіз особи new!relations_name""),6,FALSE)
,
(IF
(
G11742=""юридична особа""
,
VLOO"&amp;"KUP(H11742,IMPORTRANGE(""https://docs.google.com/spreadsheets/d/14Bd19lYaqBhU8_DElYkX7l4wRkHqqCUFNJY4AfY3kHU/edit?usp=sharing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J11741" s="7" t="s">
        <v>29</v>
      </c>
    </row>
    <row r="11742" spans="1:10" ht="13.2">
      <c r="A11742" s="7">
        <v>11741</v>
      </c>
      <c r="B11742" s="7">
        <v>1</v>
      </c>
      <c r="C11742" s="7" t="s">
        <v>10</v>
      </c>
      <c r="D11742" s="7">
        <v>17768</v>
      </c>
      <c r="E11742" s="7" t="s">
        <v>28</v>
      </c>
      <c r="F11742" s="8" t="str">
        <f ca="1">IFERROR(__xludf.DUMMYFUNCTION("IF
(
C11743=""фізична особа""
,
VLOOKUP(D11743,IMPORTRANGE(""https://docs.google.com/spreadsheets/d/14Bd19lYaqBhU8_DElYkX7l4wRkHqqCUFNJY4AfY3kHU/edit?usp=sharing  #gid=0"",""фіз особи new!relations_name""),6,FALSE)
,
(IF
(
C11743=""юридична особа""
,
VLOO"&amp;"KUP(D11743,IMPORTRANGE(""https://docs.google.com/spreadsheets/d/14Bd19lYaqBhU8_DElYkX7l4wRkHqqCUFNJY4AfY3kHU/edit?usp=sharing  #gid=0"",""фіз особи new!relations_name_uo""),7,FALSE)
,
)
))"),"ТОКАРЬ Сергій В'ячеславович")</f>
        <v>ТОКАРЬ Сергій В'ячеславович</v>
      </c>
      <c r="G11742" s="7" t="s">
        <v>10</v>
      </c>
      <c r="H11742" s="7">
        <v>16429</v>
      </c>
      <c r="I11742" s="8" t="str">
        <f ca="1">IFERROR(__xludf.DUMMYFUNCTION("IF
(
G11743=""фізична особа""
,
VLOOKUP(H11743,IMPORTRANGE(""https://docs.google.com/spreadsheets/d/14Bd19lYaqBhU8_DElYkX7l4wRkHqqCUFNJY4AfY3kHU/edit?usp=sharing  #gid=0"",""фіз особи new!relations_name""),6,FALSE)
,
(IF
(
G11743=""юридична особа""
,
VLOO"&amp;"KUP(H11743,IMPORTRANGE(""https://docs.google.com/spreadsheets/d/14Bd19lYaqBhU8_DElYkX7l4wRkHqqCUFNJY4AfY3kHU/edit?usp=sharing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J11742" s="7" t="s">
        <v>29</v>
      </c>
    </row>
    <row r="11743" spans="1:10" ht="13.2">
      <c r="A11743" s="7">
        <v>11742</v>
      </c>
      <c r="B11743" s="7">
        <v>1</v>
      </c>
      <c r="C11743" s="7" t="s">
        <v>10</v>
      </c>
      <c r="D11743" s="7">
        <v>17769</v>
      </c>
      <c r="E11743" s="7" t="s">
        <v>28</v>
      </c>
      <c r="F11743" s="8" t="str">
        <f ca="1">IFERROR(__xludf.DUMMYFUNCTION("IF
(
C11744=""фізична особа""
,
VLOOKUP(D11744,IMPORTRANGE(""https://docs.google.com/spreadsheets/d/14Bd19lYaqBhU8_DElYkX7l4wRkHqqCUFNJY4AfY3kHU/edit?usp=sharing  #gid=0"",""фіз особи new!relations_name""),6,FALSE)
,
(IF
(
C11744=""юридична особа""
,
VLOO"&amp;"KUP(D11744,IMPORTRANGE(""https://docs.google.com/spreadsheets/d/14Bd19lYaqBhU8_DElYkX7l4wRkHqqCUFNJY4AfY3kHU/edit?usp=sharing  #gid=0"",""фіз особи new!relations_name_uo""),7,FALSE)
,
)
))"),"КУПРІЯНОВ Сергій Олексійович
")</f>
        <v xml:space="preserve">КУПРІЯНОВ Сергій Олексійович
</v>
      </c>
      <c r="G11743" s="7" t="s">
        <v>10</v>
      </c>
      <c r="H11743" s="7">
        <v>5292</v>
      </c>
      <c r="I11743" s="8" t="str">
        <f ca="1">IFERROR(__xludf.DUMMYFUNCTION("IF
(
G11744=""фізична особа""
,
VLOOKUP(H11744,IMPORTRANGE(""https://docs.google.com/spreadsheets/d/14Bd19lYaqBhU8_DElYkX7l4wRkHqqCUFNJY4AfY3kHU/edit?usp=sharing  #gid=0"",""фіз особи new!relations_name""),6,FALSE)
,
(IF
(
G11744=""юридична особа""
,
VLOO"&amp;"KUP(H11744,IMPORTRANGE(""https://docs.google.com/spreadsheets/d/14Bd19lYaqBhU8_DElYkX7l4wRkHqqCUFNJY4AfY3kHU/edit?usp=sharing  #gid=0"",""фіз особи new!relations_name_uo""),7,FALSE)
,
)
))"),"САМАРІН Ілля Сергійович")</f>
        <v>САМАРІН Ілля Сергійович</v>
      </c>
      <c r="J11743" s="7" t="s">
        <v>29</v>
      </c>
    </row>
    <row r="11744" spans="1:10" ht="13.2">
      <c r="A11744" s="7">
        <v>11743</v>
      </c>
      <c r="B11744" s="7">
        <v>1</v>
      </c>
      <c r="C11744" s="7" t="s">
        <v>10</v>
      </c>
      <c r="D11744" s="7">
        <v>17770</v>
      </c>
      <c r="E11744" s="7" t="s">
        <v>28</v>
      </c>
      <c r="F11744" s="8" t="str">
        <f ca="1">IFERROR(__xludf.DUMMYFUNCTION("IF
(
C11745=""фізична особа""
,
VLOOKUP(D11745,IMPORTRANGE(""https://docs.google.com/spreadsheets/d/14Bd19lYaqBhU8_DElYkX7l4wRkHqqCUFNJY4AfY3kHU/edit?usp=sharing  #gid=0"",""фіз особи new!relations_name""),6,FALSE)
,
(IF
(
C11745=""юридична особа""
,
VLOO"&amp;"KUP(D11745,IMPORTRANGE(""https://docs.google.com/spreadsheets/d/14Bd19lYaqBhU8_DElYkX7l4wRkHqqCUFNJY4AfY3kHU/edit?usp=sharing  #gid=0"",""фіз особи new!relations_name_uo""),7,FALSE)
,
)
))"),"КУЗНЄЦОВ Андрій Вікторович")</f>
        <v>КУЗНЄЦОВ Андрій Вікторович</v>
      </c>
      <c r="G11744" s="7" t="s">
        <v>10</v>
      </c>
      <c r="H11744" s="7">
        <v>16429</v>
      </c>
      <c r="I11744" s="8" t="str">
        <f ca="1">IFERROR(__xludf.DUMMYFUNCTION("IF
(
G11745=""фізична особа""
,
VLOOKUP(H11745,IMPORTRANGE(""https://docs.google.com/spreadsheets/d/14Bd19lYaqBhU8_DElYkX7l4wRkHqqCUFNJY4AfY3kHU/edit?usp=sharing  #gid=0"",""фіз особи new!relations_name""),6,FALSE)
,
(IF
(
G11745=""юридична особа""
,
VLOO"&amp;"KUP(H11745,IMPORTRANGE(""https://docs.google.com/spreadsheets/d/14Bd19lYaqBhU8_DElYkX7l4wRkHqqCUFNJY4AfY3kHU/edit?usp=sharing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J11744" s="7" t="s">
        <v>29</v>
      </c>
    </row>
    <row r="11745" spans="1:10" ht="13.2">
      <c r="A11745" s="7">
        <v>11744</v>
      </c>
      <c r="B11745" s="7">
        <v>1</v>
      </c>
      <c r="C11745" s="7" t="s">
        <v>10</v>
      </c>
      <c r="D11745" s="7">
        <v>17771</v>
      </c>
      <c r="E11745" s="7" t="s">
        <v>18</v>
      </c>
      <c r="F11745" s="8" t="str">
        <f ca="1">IFERROR(__xludf.DUMMYFUNCTION("IF
(
C11746=""фізична особа""
,
VLOOKUP(D11746,IMPORTRANGE(""https://docs.google.com/spreadsheets/d/14Bd19lYaqBhU8_DElYkX7l4wRkHqqCUFNJY4AfY3kHU/edit?usp=sharing  #gid=0"",""фіз особи new!relations_name""),6,FALSE)
,
(IF
(
C11746=""юридична особа""
,
VLOO"&amp;"KUP(D11746,IMPORTRANGE(""https://docs.google.com/spreadsheets/d/14Bd19lYaqBhU8_DElYkX7l4wRkHqqCUFNJY4AfY3kHU/edit?usp=sharing  #gid=0"",""фіз особи new!relations_name_uo""),7,FALSE)
,
)
))"),"САЇДОВ Аділь Абукович")</f>
        <v>САЇДОВ Аділь Абукович</v>
      </c>
      <c r="G11745" s="7" t="s">
        <v>10</v>
      </c>
      <c r="H11745" s="7">
        <v>16429</v>
      </c>
      <c r="I11745" s="8" t="str">
        <f ca="1">IFERROR(__xludf.DUMMYFUNCTION("IF
(
G11746=""фізична особа""
,
VLOOKUP(H11746,IMPORTRANGE(""https://docs.google.com/spreadsheets/d/14Bd19lYaqBhU8_DElYkX7l4wRkHqqCUFNJY4AfY3kHU/edit?usp=sharing  #gid=0"",""фіз особи new!relations_name""),6,FALSE)
,
(IF
(
G11746=""юридична особа""
,
VLOO"&amp;"KUP(H11746,IMPORTRANGE(""https://docs.google.com/spreadsheets/d/14Bd19lYaqBhU8_DElYkX7l4wRkHqqCUFNJY4AfY3kHU/edit?usp=sharing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J11745" s="7" t="s">
        <v>18</v>
      </c>
    </row>
    <row r="11746" spans="1:10" ht="13.2">
      <c r="A11746" s="7">
        <v>11745</v>
      </c>
      <c r="B11746" s="7">
        <v>1</v>
      </c>
      <c r="C11746" s="7" t="s">
        <v>10</v>
      </c>
      <c r="D11746" s="7">
        <v>17771</v>
      </c>
      <c r="E11746" s="7" t="s">
        <v>28</v>
      </c>
      <c r="F11746" s="8" t="str">
        <f ca="1">IFERROR(__xludf.DUMMYFUNCTION("IF
(
C11747=""фізична особа""
,
VLOOKUP(D11747,IMPORTRANGE(""https://docs.google.com/spreadsheets/d/14Bd19lYaqBhU8_DElYkX7l4wRkHqqCUFNJY4AfY3kHU/edit?usp=sharing  #gid=0"",""фіз особи new!relations_name""),6,FALSE)
,
(IF
(
C11747=""юридична особа""
,
VLOO"&amp;"KUP(D11747,IMPORTRANGE(""https://docs.google.com/spreadsheets/d/14Bd19lYaqBhU8_DElYkX7l4wRkHqqCUFNJY4AfY3kHU/edit?usp=sharing  #gid=0"",""фіз особи new!relations_name_uo""),7,FALSE)
,
)
))"),"САЇДОВ Аділь Абукович")</f>
        <v>САЇДОВ Аділь Абукович</v>
      </c>
      <c r="G11746" s="7" t="s">
        <v>10</v>
      </c>
      <c r="H11746" s="7">
        <v>150</v>
      </c>
      <c r="I11746" s="8" t="str">
        <f ca="1">IFERROR(__xludf.DUMMYFUNCTION("IF
(
G11747=""фізична особа""
,
VLOOKUP(H11747,IMPORTRANGE(""https://docs.google.com/spreadsheets/d/14Bd19lYaqBhU8_DElYkX7l4wRkHqqCUFNJY4AfY3kHU/edit?usp=sharing  #gid=0"",""фіз особи new!relations_name""),6,FALSE)
,
(IF
(
G11747=""юридична особа""
,
VLOO"&amp;"KUP(H11747,IMPORTRANGE(""https://docs.google.com/spreadsheets/d/14Bd19lYaqBhU8_DElYkX7l4wRkHqqCUFNJY4AfY3kHU/edit?usp=sharing  #gid=0"",""фіз особи new!relations_name_uo""),7,FALSE)
,
)
))"),"ЧЕМЕЗОВ Сергій Вікторович")</f>
        <v>ЧЕМЕЗОВ Сергій Вікторович</v>
      </c>
      <c r="J11746" s="7" t="s">
        <v>29</v>
      </c>
    </row>
    <row r="11747" spans="1:10" ht="13.2">
      <c r="A11747" s="7">
        <v>11746</v>
      </c>
      <c r="B11747" s="7">
        <v>1</v>
      </c>
      <c r="C11747" s="7" t="s">
        <v>10</v>
      </c>
      <c r="D11747" s="7">
        <v>17771</v>
      </c>
      <c r="E11747" s="7" t="s">
        <v>11</v>
      </c>
      <c r="F11747" s="8" t="str">
        <f ca="1">IFERROR(__xludf.DUMMYFUNCTION("IF
(
C11748=""фізична особа""
,
VLOOKUP(D11748,IMPORTRANGE(""https://docs.google.com/spreadsheets/d/14Bd19lYaqBhU8_DElYkX7l4wRkHqqCUFNJY4AfY3kHU/edit?usp=sharing  #gid=0"",""фіз особи new!relations_name""),6,FALSE)
,
(IF
(
C11748=""юридична особа""
,
VLOO"&amp;"KUP(D11748,IMPORTRANGE(""https://docs.google.com/spreadsheets/d/14Bd19lYaqBhU8_DElYkX7l4wRkHqqCUFNJY4AfY3kHU/edit?usp=sharing  #gid=0"",""фіз особи new!relations_name_uo""),7,FALSE)
,
)
))"),"САЇДОВ Аділь Абукович")</f>
        <v>САЇДОВ Аділь Абукович</v>
      </c>
      <c r="G11747" s="7" t="s">
        <v>10</v>
      </c>
      <c r="H11747" s="7">
        <v>4051</v>
      </c>
      <c r="I11747" s="8" t="str">
        <f ca="1">IFERROR(__xludf.DUMMYFUNCTION("IF
(
G11748=""фізична особа""
,
VLOOKUP(H11748,IMPORTRANGE(""https://docs.google.com/spreadsheets/d/14Bd19lYaqBhU8_DElYkX7l4wRkHqqCUFNJY4AfY3kHU/edit?usp=sharing  #gid=0"",""фіз особи new!relations_name""),6,FALSE)
,
(IF
(
G11748=""юридична особа""
,
VLOO"&amp;"KUP(H11748,IMPORTRANGE(""https://docs.google.com/spreadsheets/d/14Bd19lYaqBhU8_DElYkX7l4wRkHqqCUFNJY4AfY3kHU/edit?usp=sharing  #gid=0"",""фіз особи new!relations_name_uo""),7,FALSE)
,
)
))"),"ГУТЕНЬОВ Володимир Володимирович")</f>
        <v>ГУТЕНЬОВ Володимир Володимирович</v>
      </c>
      <c r="J11747" s="7" t="s">
        <v>11</v>
      </c>
    </row>
    <row r="11748" spans="1:10" ht="13.2">
      <c r="A11748" s="7">
        <v>11747</v>
      </c>
      <c r="B11748" s="7">
        <v>1</v>
      </c>
      <c r="C11748" s="7" t="s">
        <v>10</v>
      </c>
      <c r="D11748" s="7">
        <v>17771</v>
      </c>
      <c r="E11748" s="7" t="s">
        <v>11</v>
      </c>
      <c r="F11748" s="8" t="str">
        <f ca="1">IFERROR(__xludf.DUMMYFUNCTION("IF
(
C11749=""фізична особа""
,
VLOOKUP(D11749,IMPORTRANGE(""https://docs.google.com/spreadsheets/d/14Bd19lYaqBhU8_DElYkX7l4wRkHqqCUFNJY4AfY3kHU/edit?usp=sharing  #gid=0"",""фіз особи new!relations_name""),6,FALSE)
,
(IF
(
C11749=""юридична особа""
,
VLOO"&amp;"KUP(D11749,IMPORTRANGE(""https://docs.google.com/spreadsheets/d/14Bd19lYaqBhU8_DElYkX7l4wRkHqqCUFNJY4AfY3kHU/edit?usp=sharing  #gid=0"",""фіз особи new!relations_name_uo""),7,FALSE)
,
)
))"),"САЇДОВ Аділь Абукович")</f>
        <v>САЇДОВ Аділь Абукович</v>
      </c>
      <c r="G11748" s="7" t="s">
        <v>10</v>
      </c>
      <c r="H11748" s="7">
        <v>0</v>
      </c>
      <c r="I11748" s="8" t="str">
        <f ca="1">IFERROR(__xludf.DUMMYFUNCTION("IF
(
G11749=""фізична особа""
,
VLOOKUP(H11749,IMPORTRANGE(""https://docs.google.com/spreadsheets/d/14Bd19lYaqBhU8_DElYkX7l4wRkHqqCUFNJY4AfY3kHU/edit?usp=sharing  #gid=0"",""фіз особи new!relations_name""),6,FALSE)
,
(IF
(
G11749=""юридична особа""
,
VLOO"&amp;"KUP(H11749,IMPORTRANGE(""https://docs.google.com/spreadsheets/d/14Bd19lYaqBhU8_DElYkX7l4wRkHqqCUFNJY4AfY3kHU/edit?usp=sharing  #gid=0"",""фіз особи new!relations_name_uo""),7,FALSE)
,
)
))"),"#N/A")</f>
        <v>#N/A</v>
      </c>
      <c r="J11748" s="7" t="s">
        <v>11</v>
      </c>
    </row>
    <row r="11749" spans="1:10" ht="13.2">
      <c r="A11749" s="7">
        <v>11748</v>
      </c>
      <c r="B11749" s="7">
        <v>1</v>
      </c>
      <c r="C11749" s="7" t="s">
        <v>10</v>
      </c>
      <c r="D11749" s="7">
        <v>17772</v>
      </c>
      <c r="E11749" s="7" t="s">
        <v>28</v>
      </c>
      <c r="F11749" s="8" t="str">
        <f ca="1">IFERROR(__xludf.DUMMYFUNCTION("IF
(
C11750=""фізична особа""
,
VLOOKUP(D11750,IMPORTRANGE(""https://docs.google.com/spreadsheets/d/14Bd19lYaqBhU8_DElYkX7l4wRkHqqCUFNJY4AfY3kHU/edit?usp=sharing  #gid=0"",""фіз особи new!relations_name""),6,FALSE)
,
(IF
(
C11750=""юридична особа""
,
VLOO"&amp;"KUP(D11750,IMPORTRANGE(""https://docs.google.com/spreadsheets/d/14Bd19lYaqBhU8_DElYkX7l4wRkHqqCUFNJY4AfY3kHU/edit?usp=sharing  #gid=0"",""фіз особи new!relations_name_uo""),7,FALSE)
,
)
))"),"ШЕР Михайло Ісаакович")</f>
        <v>ШЕР Михайло Ісаакович</v>
      </c>
      <c r="G11749" s="7" t="s">
        <v>10</v>
      </c>
      <c r="H11749" s="7">
        <v>16429</v>
      </c>
      <c r="I11749" s="8" t="str">
        <f ca="1">IFERROR(__xludf.DUMMYFUNCTION("IF
(
G11750=""фізична особа""
,
VLOOKUP(H11750,IMPORTRANGE(""https://docs.google.com/spreadsheets/d/14Bd19lYaqBhU8_DElYkX7l4wRkHqqCUFNJY4AfY3kHU/edit?usp=sharing  #gid=0"",""фіз особи new!relations_name""),6,FALSE)
,
(IF
(
G11750=""юридична особа""
,
VLOO"&amp;"KUP(H11750,IMPORTRANGE(""https://docs.google.com/spreadsheets/d/14Bd19lYaqBhU8_DElYkX7l4wRkHqqCUFNJY4AfY3kHU/edit?usp=sharing  #gid=0"",""фіз особи new!relations_name_uo""),7,FALSE)
,
)
))"),"САЇДОВ Аскер Казбекович")</f>
        <v>САЇДОВ Аскер Казбекович</v>
      </c>
      <c r="J11749" s="7" t="s">
        <v>29</v>
      </c>
    </row>
    <row r="11750" spans="1:10" ht="13.2">
      <c r="A11750" s="7">
        <v>11749</v>
      </c>
      <c r="B11750" s="7">
        <v>1</v>
      </c>
      <c r="C11750" s="7" t="s">
        <v>10</v>
      </c>
      <c r="D11750" s="7">
        <v>17773</v>
      </c>
      <c r="E11750" s="7" t="s">
        <v>28</v>
      </c>
      <c r="F11750" s="8" t="str">
        <f ca="1">IFERROR(__xludf.DUMMYFUNCTION("IF
(
C11751=""фізична особа""
,
VLOOKUP(D11751,IMPORTRANGE(""https://docs.google.com/spreadsheets/d/14Bd19lYaqBhU8_DElYkX7l4wRkHqqCUFNJY4AfY3kHU/edit?usp=sharing  #gid=0"",""фіз особи new!relations_name""),6,FALSE)
,
(IF
(
C11751=""юридична особа""
,
VLOO"&amp;"KUP(D11751,IMPORTRANGE(""https://docs.google.com/spreadsheets/d/14Bd19lYaqBhU8_DElYkX7l4wRkHqqCUFNJY4AfY3kHU/edit?usp=sharing  #gid=0"",""фіз особи new!relations_name_uo""),7,FALSE)
,
)
))"),"СЛУЦЬКИЙ Олексій Сергійович")</f>
        <v>СЛУЦЬКИЙ Олексій Сергійович</v>
      </c>
      <c r="G11750" s="7" t="s">
        <v>10</v>
      </c>
      <c r="H11750" s="7">
        <v>3660</v>
      </c>
      <c r="I11750" s="8" t="str">
        <f ca="1">IFERROR(__xludf.DUMMYFUNCTION("IF
(
G11751=""фізична особа""
,
VLOOKUP(H11751,IMPORTRANGE(""https://docs.google.com/spreadsheets/d/14Bd19lYaqBhU8_DElYkX7l4wRkHqqCUFNJY4AfY3kHU/edit?usp=sharing  #gid=0"",""фіз особи new!relations_name""),6,FALSE)
,
(IF
(
G11751=""юридична особа""
,
VLOO"&amp;"KUP(H11751,IMPORTRANGE(""https://docs.google.com/spreadsheets/d/14Bd19lYaqBhU8_DElYkX7l4wRkHqqCUFNJY4AfY3kHU/edit?usp=sharing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1750" s="7" t="s">
        <v>29</v>
      </c>
    </row>
    <row r="11751" spans="1:10" ht="13.2">
      <c r="A11751" s="7">
        <v>11750</v>
      </c>
      <c r="B11751" s="7">
        <v>1</v>
      </c>
      <c r="C11751" s="7" t="s">
        <v>10</v>
      </c>
      <c r="D11751" s="7">
        <v>17774</v>
      </c>
      <c r="E11751" s="7" t="s">
        <v>28</v>
      </c>
      <c r="F11751" s="8" t="str">
        <f ca="1">IFERROR(__xludf.DUMMYFUNCTION("IF
(
C11752=""фізична особа""
,
VLOOKUP(D11752,IMPORTRANGE(""https://docs.google.com/spreadsheets/d/14Bd19lYaqBhU8_DElYkX7l4wRkHqqCUFNJY4AfY3kHU/edit?usp=sharing  #gid=0"",""фіз особи new!relations_name""),6,FALSE)
,
(IF
(
C11752=""юридична особа""
,
VLOO"&amp;"KUP(D11752,IMPORTRANGE(""https://docs.google.com/spreadsheets/d/14Bd19lYaqBhU8_DElYkX7l4wRkHqqCUFNJY4AfY3kHU/edit?usp=sharing  #gid=0"",""фіз особи new!relations_name_uo""),7,FALSE)
,
)
))"),"АБДУЛОВ Гаджі Ібрагімович")</f>
        <v>АБДУЛОВ Гаджі Ібрагімович</v>
      </c>
      <c r="G11751" s="7" t="s">
        <v>10</v>
      </c>
      <c r="H11751" s="7">
        <v>3660</v>
      </c>
      <c r="I11751" s="8" t="str">
        <f ca="1">IFERROR(__xludf.DUMMYFUNCTION("IF
(
G11752=""фізична особа""
,
VLOOKUP(H11752,IMPORTRANGE(""https://docs.google.com/spreadsheets/d/14Bd19lYaqBhU8_DElYkX7l4wRkHqqCUFNJY4AfY3kHU/edit?usp=sharing  #gid=0"",""фіз особи new!relations_name""),6,FALSE)
,
(IF
(
G11752=""юридична особа""
,
VLOO"&amp;"KUP(H11752,IMPORTRANGE(""https://docs.google.com/spreadsheets/d/14Bd19lYaqBhU8_DElYkX7l4wRkHqqCUFNJY4AfY3kHU/edit?usp=sharing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1751" s="7" t="s">
        <v>29</v>
      </c>
    </row>
    <row r="11752" spans="1:10" ht="13.2">
      <c r="A11752" s="7">
        <v>11751</v>
      </c>
      <c r="B11752" s="7">
        <v>1</v>
      </c>
      <c r="C11752" s="7" t="s">
        <v>10</v>
      </c>
      <c r="D11752" s="7">
        <v>17775</v>
      </c>
      <c r="E11752" s="7" t="s">
        <v>28</v>
      </c>
      <c r="F11752" s="8" t="str">
        <f ca="1">IFERROR(__xludf.DUMMYFUNCTION("IF
(
C11753=""фізична особа""
,
VLOOKUP(D11753,IMPORTRANGE(""https://docs.google.com/spreadsheets/d/14Bd19lYaqBhU8_DElYkX7l4wRkHqqCUFNJY4AfY3kHU/edit?usp=sharing  #gid=0"",""фіз особи new!relations_name""),6,FALSE)
,
(IF
(
C11753=""юридична особа""
,
VLOO"&amp;"KUP(D11753,IMPORTRANGE(""https://docs.google.com/spreadsheets/d/14Bd19lYaqBhU8_DElYkX7l4wRkHqqCUFNJY4AfY3kHU/edit?usp=sharing  #gid=0"",""фіз особи new!relations_name_uo""),7,FALSE)
,
)
))"),"АБАКУМОВ Андрій Олексійович")</f>
        <v>АБАКУМОВ Андрій Олексійович</v>
      </c>
      <c r="G11752" s="7" t="s">
        <v>10</v>
      </c>
      <c r="H11752" s="7">
        <v>3660</v>
      </c>
      <c r="I11752" s="8" t="str">
        <f ca="1">IFERROR(__xludf.DUMMYFUNCTION("IF
(
G11753=""фізична особа""
,
VLOOKUP(H11753,IMPORTRANGE(""https://docs.google.com/spreadsheets/d/14Bd19lYaqBhU8_DElYkX7l4wRkHqqCUFNJY4AfY3kHU/edit?usp=sharing  #gid=0"",""фіз особи new!relations_name""),6,FALSE)
,
(IF
(
G11753=""юридична особа""
,
VLOO"&amp;"KUP(H11753,IMPORTRANGE(""https://docs.google.com/spreadsheets/d/14Bd19lYaqBhU8_DElYkX7l4wRkHqqCUFNJY4AfY3kHU/edit?usp=sharing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1752" s="7" t="s">
        <v>29</v>
      </c>
    </row>
    <row r="11753" spans="1:10" ht="13.2">
      <c r="A11753" s="7">
        <v>11752</v>
      </c>
      <c r="B11753" s="7">
        <v>1</v>
      </c>
      <c r="C11753" s="7" t="s">
        <v>10</v>
      </c>
      <c r="D11753" s="7">
        <v>17776</v>
      </c>
      <c r="E11753" s="7" t="s">
        <v>28</v>
      </c>
      <c r="F11753" s="8" t="str">
        <f ca="1">IFERROR(__xludf.DUMMYFUNCTION("IF
(
C11754=""фізична особа""
,
VLOOKUP(D11754,IMPORTRANGE(""https://docs.google.com/spreadsheets/d/14Bd19lYaqBhU8_DElYkX7l4wRkHqqCUFNJY4AfY3kHU/edit?usp=sharing  #gid=0"",""фіз особи new!relations_name""),6,FALSE)
,
(IF
(
C11754=""юридична особа""
,
VLOO"&amp;"KUP(D11754,IMPORTRANGE(""https://docs.google.com/spreadsheets/d/14Bd19lYaqBhU8_DElYkX7l4wRkHqqCUFNJY4AfY3kHU/edit?usp=sharing  #gid=0"",""фіз особи new!relations_name_uo""),7,FALSE)
,
)
))"),"ОВЕЛЯН Артем Апетнакович")</f>
        <v>ОВЕЛЯН Артем Апетнакович</v>
      </c>
      <c r="G11753" s="7" t="s">
        <v>10</v>
      </c>
      <c r="H11753" s="7">
        <v>3660</v>
      </c>
      <c r="I11753" s="8" t="str">
        <f ca="1">IFERROR(__xludf.DUMMYFUNCTION("IF
(
G11754=""фізична особа""
,
VLOOKUP(H11754,IMPORTRANGE(""https://docs.google.com/spreadsheets/d/14Bd19lYaqBhU8_DElYkX7l4wRkHqqCUFNJY4AfY3kHU/edit?usp=sharing  #gid=0"",""фіз особи new!relations_name""),6,FALSE)
,
(IF
(
G11754=""юридична особа""
,
VLOO"&amp;"KUP(H11754,IMPORTRANGE(""https://docs.google.com/spreadsheets/d/14Bd19lYaqBhU8_DElYkX7l4wRkHqqCUFNJY4AfY3kHU/edit?usp=sharing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1753" s="7" t="s">
        <v>29</v>
      </c>
    </row>
    <row r="11754" spans="1:10" ht="13.2">
      <c r="A11754" s="7">
        <v>11753</v>
      </c>
      <c r="B11754" s="7">
        <v>1</v>
      </c>
      <c r="C11754" s="7" t="s">
        <v>10</v>
      </c>
      <c r="D11754" s="7">
        <v>17777</v>
      </c>
      <c r="E11754" s="7" t="s">
        <v>28</v>
      </c>
      <c r="F11754" s="8" t="str">
        <f ca="1">IFERROR(__xludf.DUMMYFUNCTION("IF
(
C11755=""фізична особа""
,
VLOOKUP(D11755,IMPORTRANGE(""https://docs.google.com/spreadsheets/d/14Bd19lYaqBhU8_DElYkX7l4wRkHqqCUFNJY4AfY3kHU/edit?usp=sharing  #gid=0"",""фіз особи new!relations_name""),6,FALSE)
,
(IF
(
C11755=""юридична особа""
,
VLOO"&amp;"KUP(D11755,IMPORTRANGE(""https://docs.google.com/spreadsheets/d/14Bd19lYaqBhU8_DElYkX7l4wRkHqqCUFNJY4AfY3kHU/edit?usp=sharing  #gid=0"",""фіз особи new!relations_name_uo""),7,FALSE)
,
)
))"),"КЛИМЕНКОВ Сергій Олександрович")</f>
        <v>КЛИМЕНКОВ Сергій Олександрович</v>
      </c>
      <c r="G11754" s="7" t="s">
        <v>10</v>
      </c>
      <c r="H11754" s="7">
        <v>3660</v>
      </c>
      <c r="I11754" s="8" t="str">
        <f ca="1">IFERROR(__xludf.DUMMYFUNCTION("IF
(
G11755=""фізична особа""
,
VLOOKUP(H11755,IMPORTRANGE(""https://docs.google.com/spreadsheets/d/14Bd19lYaqBhU8_DElYkX7l4wRkHqqCUFNJY4AfY3kHU/edit?usp=sharing  #gid=0"",""фіз особи new!relations_name""),6,FALSE)
,
(IF
(
G11755=""юридична особа""
,
VLOO"&amp;"KUP(H11755,IMPORTRANGE(""https://docs.google.com/spreadsheets/d/14Bd19lYaqBhU8_DElYkX7l4wRkHqqCUFNJY4AfY3kHU/edit?usp=sharing  #gid=0"",""фіз особи new!relations_name_uo""),7,FALSE)
,
)
))"),"ПОТАПОВ Олександр Валерійович")</f>
        <v>ПОТАПОВ Олександр Валерійович</v>
      </c>
      <c r="J11754" s="7" t="s">
        <v>29</v>
      </c>
    </row>
    <row r="11755" spans="1:10" ht="13.2">
      <c r="A11755" s="7">
        <v>11754</v>
      </c>
      <c r="B11755" s="7">
        <v>1</v>
      </c>
      <c r="C11755" s="7" t="s">
        <v>10</v>
      </c>
      <c r="D11755" s="7">
        <v>17778</v>
      </c>
      <c r="E11755" s="7" t="s">
        <v>28</v>
      </c>
      <c r="F11755" s="8" t="str">
        <f ca="1">IFERROR(__xludf.DUMMYFUNCTION("IF
(
C11756=""фізична особа""
,
VLOOKUP(D11756,IMPORTRANGE(""https://docs.google.com/spreadsheets/d/14Bd19lYaqBhU8_DElYkX7l4wRkHqqCUFNJY4AfY3kHU/edit?usp=sharing  #gid=0"",""фіз особи new!relations_name""),6,FALSE)
,
(IF
(
C11756=""юридична особа""
,
VLOO"&amp;"KUP(D11756,IMPORTRANGE(""https://docs.google.com/spreadsheets/d/14Bd19lYaqBhU8_DElYkX7l4wRkHqqCUFNJY4AfY3kHU/edit?usp=sharing  #gid=0"",""фіз особи new!relations_name_uo""),7,FALSE)
,
)
))"),"ЖИРКОВ Євгеній Миколайович")</f>
        <v>ЖИРКОВ Євгеній Миколайович</v>
      </c>
      <c r="G11755" s="7" t="s">
        <v>10</v>
      </c>
      <c r="H11755" s="7">
        <v>4023</v>
      </c>
      <c r="I11755" s="8" t="str">
        <f ca="1">IFERROR(__xludf.DUMMYFUNCTION("IF
(
G11756=""фізична особа""
,
VLOOKUP(H11756,IMPORTRANGE(""https://docs.google.com/spreadsheets/d/14Bd19lYaqBhU8_DElYkX7l4wRkHqqCUFNJY4AfY3kHU/edit?usp=sharing  #gid=0"",""фіз особи new!relations_name""),6,FALSE)
,
(IF
(
G11756=""юридична особа""
,
VLOO"&amp;"KUP(H11756,IMPORTRANGE(""https://docs.google.com/spreadsheets/d/14Bd19lYaqBhU8_DElYkX7l4wRkHqqCUFNJY4AfY3kHU/edit?usp=sharing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1755" s="7" t="s">
        <v>29</v>
      </c>
    </row>
    <row r="11756" spans="1:10" ht="13.2">
      <c r="A11756" s="7">
        <v>11755</v>
      </c>
      <c r="B11756" s="7">
        <v>1</v>
      </c>
      <c r="C11756" s="7" t="s">
        <v>10</v>
      </c>
      <c r="D11756" s="7">
        <v>17779</v>
      </c>
      <c r="E11756" s="7" t="s">
        <v>28</v>
      </c>
      <c r="F11756" s="8" t="str">
        <f ca="1">IFERROR(__xludf.DUMMYFUNCTION("IF
(
C11757=""фізична особа""
,
VLOOKUP(D11757,IMPORTRANGE(""https://docs.google.com/spreadsheets/d/14Bd19lYaqBhU8_DElYkX7l4wRkHqqCUFNJY4AfY3kHU/edit?usp=sharing  #gid=0"",""фіз особи new!relations_name""),6,FALSE)
,
(IF
(
C11757=""юридична особа""
,
VLOO"&amp;"KUP(D11757,IMPORTRANGE(""https://docs.google.com/spreadsheets/d/14Bd19lYaqBhU8_DElYkX7l4wRkHqqCUFNJY4AfY3kHU/edit?usp=sharing  #gid=0"",""фіз особи new!relations_name_uo""),7,FALSE)
,
)
))"),"ЮХИМЧУК Олексій Миколайович")</f>
        <v>ЮХИМЧУК Олексій Миколайович</v>
      </c>
      <c r="G11756" s="7" t="s">
        <v>10</v>
      </c>
      <c r="H11756" s="7">
        <v>4023</v>
      </c>
      <c r="I11756" s="8" t="str">
        <f ca="1">IFERROR(__xludf.DUMMYFUNCTION("IF
(
G11757=""фізична особа""
,
VLOOKUP(H11757,IMPORTRANGE(""https://docs.google.com/spreadsheets/d/14Bd19lYaqBhU8_DElYkX7l4wRkHqqCUFNJY4AfY3kHU/edit?usp=sharing  #gid=0"",""фіз особи new!relations_name""),6,FALSE)
,
(IF
(
G11757=""юридична особа""
,
VLOO"&amp;"KUP(H11757,IMPORTRANGE(""https://docs.google.com/spreadsheets/d/14Bd19lYaqBhU8_DElYkX7l4wRkHqqCUFNJY4AfY3kHU/edit?usp=sharing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1756" s="7" t="s">
        <v>29</v>
      </c>
    </row>
    <row r="11757" spans="1:10" ht="13.2">
      <c r="A11757" s="7">
        <v>11756</v>
      </c>
      <c r="B11757" s="7">
        <v>1</v>
      </c>
      <c r="C11757" s="7" t="s">
        <v>10</v>
      </c>
      <c r="D11757" s="7">
        <v>17780</v>
      </c>
      <c r="E11757" s="7" t="s">
        <v>28</v>
      </c>
      <c r="F11757" s="8" t="str">
        <f ca="1">IFERROR(__xludf.DUMMYFUNCTION("IF
(
C11758=""фізична особа""
,
VLOOKUP(D11758,IMPORTRANGE(""https://docs.google.com/spreadsheets/d/14Bd19lYaqBhU8_DElYkX7l4wRkHqqCUFNJY4AfY3kHU/edit?usp=sharing  #gid=0"",""фіз особи new!relations_name""),6,FALSE)
,
(IF
(
C11758=""юридична особа""
,
VLOO"&amp;"KUP(D11758,IMPORTRANGE(""https://docs.google.com/spreadsheets/d/14Bd19lYaqBhU8_DElYkX7l4wRkHqqCUFNJY4AfY3kHU/edit?usp=sharing  #gid=0"",""фіз особи new!relations_name_uo""),7,FALSE)
,
)
))"),"ШЕРСТНЬОВ Владислав Юрійович")</f>
        <v>ШЕРСТНЬОВ Владислав Юрійович</v>
      </c>
      <c r="G11757" s="7" t="s">
        <v>10</v>
      </c>
      <c r="H11757" s="7">
        <v>4023</v>
      </c>
      <c r="I11757" s="8" t="str">
        <f ca="1">IFERROR(__xludf.DUMMYFUNCTION("IF
(
G11758=""фізична особа""
,
VLOOKUP(H11758,IMPORTRANGE(""https://docs.google.com/spreadsheets/d/14Bd19lYaqBhU8_DElYkX7l4wRkHqqCUFNJY4AfY3kHU/edit?usp=sharing  #gid=0"",""фіз особи new!relations_name""),6,FALSE)
,
(IF
(
G11758=""юридична особа""
,
VLOO"&amp;"KUP(H11758,IMPORTRANGE(""https://docs.google.com/spreadsheets/d/14Bd19lYaqBhU8_DElYkX7l4wRkHqqCUFNJY4AfY3kHU/edit?usp=sharing  #gid=0"",""фіз особи new!relations_name_uo""),7,FALSE)
,
)
))"),"РАХМАНОВ Олексій Львович")</f>
        <v>РАХМАНОВ Олексій Львович</v>
      </c>
      <c r="J11757" s="7" t="s">
        <v>29</v>
      </c>
    </row>
    <row r="11758" spans="1:10" ht="13.2">
      <c r="A11758" s="7">
        <v>11757</v>
      </c>
      <c r="B11758" s="7">
        <v>1</v>
      </c>
      <c r="C11758" s="7" t="s">
        <v>10</v>
      </c>
      <c r="D11758" s="7">
        <v>17781</v>
      </c>
      <c r="E11758" s="7" t="s">
        <v>28</v>
      </c>
      <c r="F11758" s="8" t="str">
        <f ca="1">IFERROR(__xludf.DUMMYFUNCTION("IF
(
C11759=""фізична особа""
,
VLOOKUP(D11759,IMPORTRANGE(""https://docs.google.com/spreadsheets/d/14Bd19lYaqBhU8_DElYkX7l4wRkHqqCUFNJY4AfY3kHU/edit?usp=sharing  #gid=0"",""фіз особи new!relations_name""),6,FALSE)
,
(IF
(
C11759=""юридична особа""
,
VLOO"&amp;"KUP(D11759,IMPORTRANGE(""https://docs.google.com/spreadsheets/d/14Bd19lYaqBhU8_DElYkX7l4wRkHqqCUFNJY4AfY3kHU/edit?usp=sharing  #gid=0"",""фіз особи new!relations_name_uo""),7,FALSE)
,
)
))"),"ГАРІПОВ Дмитро Фарідович")</f>
        <v>ГАРІПОВ Дмитро Фарідович</v>
      </c>
      <c r="G11758" s="7" t="s">
        <v>10</v>
      </c>
      <c r="H11758" s="7">
        <v>2120</v>
      </c>
      <c r="I11758" s="8" t="str">
        <f ca="1">IFERROR(__xludf.DUMMYFUNCTION("IF
(
G11759=""фізична особа""
,
VLOOKUP(H11759,IMPORTRANGE(""https://docs.google.com/spreadsheets/d/14Bd19lYaqBhU8_DElYkX7l4wRkHqqCUFNJY4AfY3kHU/edit?usp=sharing  #gid=0"",""фіз особи new!relations_name""),6,FALSE)
,
(IF
(
G11759=""юридична особа""
,
VLOO"&amp;"KUP(H11759,IMPORTRANGE(""https://docs.google.com/spreadsheets/d/14Bd19lYaqBhU8_DElYkX7l4wRkHqqCUFNJY4AfY3kHU/edit?usp=sharing  #gid=0"",""фіз особи new!relations_name_uo""),7,FALSE)
,
)
))"),"БОГИНСЬКИЙ Андрій Іванович")</f>
        <v>БОГИНСЬКИЙ Андрій Іванович</v>
      </c>
      <c r="J11758" s="7" t="s">
        <v>29</v>
      </c>
    </row>
    <row r="11759" spans="1:10" ht="13.2">
      <c r="A11759" s="7">
        <v>11758</v>
      </c>
      <c r="B11759" s="7">
        <v>1</v>
      </c>
      <c r="C11759" s="7" t="s">
        <v>10</v>
      </c>
      <c r="D11759" s="7">
        <v>17782</v>
      </c>
      <c r="E11759" s="7" t="s">
        <v>28</v>
      </c>
      <c r="F11759" s="8" t="str">
        <f ca="1">IFERROR(__xludf.DUMMYFUNCTION("IF
(
C11760=""фізична особа""
,
VLOOKUP(D11760,IMPORTRANGE(""https://docs.google.com/spreadsheets/d/14Bd19lYaqBhU8_DElYkX7l4wRkHqqCUFNJY4AfY3kHU/edit?usp=sharing  #gid=0"",""фіз особи new!relations_name""),6,FALSE)
,
(IF
(
C11760=""юридична особа""
,
VLOO"&amp;"KUP(D11760,IMPORTRANGE(""https://docs.google.com/spreadsheets/d/14Bd19lYaqBhU8_DElYkX7l4wRkHqqCUFNJY4AfY3kHU/edit?usp=sharing  #gid=0"",""фіз особи new!relations_name_uo""),7,FALSE)
,
)
))"),"ЖУРЕНКО Роман Леонідович")</f>
        <v>ЖУРЕНКО Роман Леонідович</v>
      </c>
      <c r="G11759" s="7" t="s">
        <v>10</v>
      </c>
      <c r="H11759" s="7">
        <v>2120</v>
      </c>
      <c r="I11759" s="8" t="str">
        <f ca="1">IFERROR(__xludf.DUMMYFUNCTION("IF
(
G11760=""фізична особа""
,
VLOOKUP(H11760,IMPORTRANGE(""https://docs.google.com/spreadsheets/d/14Bd19lYaqBhU8_DElYkX7l4wRkHqqCUFNJY4AfY3kHU/edit?usp=sharing  #gid=0"",""фіз особи new!relations_name""),6,FALSE)
,
(IF
(
G11760=""юридична особа""
,
VLOO"&amp;"KUP(H11760,IMPORTRANGE(""https://docs.google.com/spreadsheets/d/14Bd19lYaqBhU8_DElYkX7l4wRkHqqCUFNJY4AfY3kHU/edit?usp=sharing  #gid=0"",""фіз особи new!relations_name_uo""),7,FALSE)
,
)
))"),"БОГИНСЬКИЙ Андрій Іванович")</f>
        <v>БОГИНСЬКИЙ Андрій Іванович</v>
      </c>
      <c r="J11759" s="7" t="s">
        <v>29</v>
      </c>
    </row>
    <row r="11760" spans="1:10" ht="13.2">
      <c r="A11760" s="7">
        <v>11759</v>
      </c>
      <c r="B11760" s="7">
        <v>1</v>
      </c>
      <c r="C11760" s="7" t="s">
        <v>10</v>
      </c>
      <c r="D11760" s="7">
        <v>17784</v>
      </c>
      <c r="E11760" s="7" t="s">
        <v>28</v>
      </c>
      <c r="F11760" s="8" t="str">
        <f ca="1">IFERROR(__xludf.DUMMYFUNCTION("IF
(
C11761=""фізична особа""
,
VLOOKUP(D11761,IMPORTRANGE(""https://docs.google.com/spreadsheets/d/14Bd19lYaqBhU8_DElYkX7l4wRkHqqCUFNJY4AfY3kHU/edit?usp=sharing  #gid=0"",""фіз особи new!relations_name""),6,FALSE)
,
(IF
(
C11761=""юридична особа""
,
VLOO"&amp;"KUP(D11761,IMPORTRANGE(""https://docs.google.com/spreadsheets/d/14Bd19lYaqBhU8_DElYkX7l4wRkHqqCUFNJY4AfY3kHU/edit?usp=sharing  #gid=0"",""фіз особи new!relations_name_uo""),7,FALSE)
,
)
))"),"ЖИДКОВ Олег Михайлович")</f>
        <v>ЖИДКОВ Олег Михайлович</v>
      </c>
      <c r="G11760" s="7" t="s">
        <v>10</v>
      </c>
      <c r="H11760" s="7">
        <v>5321</v>
      </c>
      <c r="I11760" s="8" t="str">
        <f ca="1">IFERROR(__xludf.DUMMYFUNCTION("IF
(
G11761=""фізична особа""
,
VLOOKUP(H11761,IMPORTRANGE(""https://docs.google.com/spreadsheets/d/14Bd19lYaqBhU8_DElYkX7l4wRkHqqCUFNJY4AfY3kHU/edit?usp=sharing  #gid=0"",""фіз особи new!relations_name""),6,FALSE)
,
(IF
(
G11761=""юридична особа""
,
VLOO"&amp;"KUP(H11761,IMPORTRANGE(""https://docs.google.com/spreadsheets/d/14Bd19lYaqBhU8_DElYkX7l4wRkHqqCUFNJY4AfY3kHU/edit?usp=sharing  #gid=0"",""фіз особи new!relations_name_uo""),7,FALSE)
,
)
))"),"АРТЕМОВ Михайло Леонідович")</f>
        <v>АРТЕМОВ Михайло Леонідович</v>
      </c>
      <c r="J11760" s="7" t="s">
        <v>29</v>
      </c>
    </row>
    <row r="11761" spans="1:10" ht="13.2">
      <c r="A11761" s="7">
        <v>11760</v>
      </c>
      <c r="B11761" s="7">
        <v>1</v>
      </c>
      <c r="C11761" s="7" t="s">
        <v>10</v>
      </c>
      <c r="D11761" s="7">
        <v>17784</v>
      </c>
      <c r="E11761" s="7" t="s">
        <v>11</v>
      </c>
      <c r="F11761" s="8" t="str">
        <f ca="1">IFERROR(__xludf.DUMMYFUNCTION("IF
(
C11762=""фізична особа""
,
VLOOKUP(D11762,IMPORTRANGE(""https://docs.google.com/spreadsheets/d/14Bd19lYaqBhU8_DElYkX7l4wRkHqqCUFNJY4AfY3kHU/edit?usp=sharing  #gid=0"",""фіз особи new!relations_name""),6,FALSE)
,
(IF
(
C11762=""юридична особа""
,
VLOO"&amp;"KUP(D11762,IMPORTRANGE(""https://docs.google.com/spreadsheets/d/14Bd19lYaqBhU8_DElYkX7l4wRkHqqCUFNJY4AfY3kHU/edit?usp=sharing  #gid=0"",""фіз особи new!relations_name_uo""),7,FALSE)
,
)
))"),"ЖИДКОВ Олег Михайлович")</f>
        <v>ЖИДКОВ Олег Михайлович</v>
      </c>
      <c r="G11761" s="7" t="s">
        <v>10</v>
      </c>
      <c r="H11761" s="7">
        <v>22897</v>
      </c>
      <c r="I11761" s="8" t="str">
        <f ca="1">IFERROR(__xludf.DUMMYFUNCTION("IF
(
G11762=""фізична особа""
,
VLOOKUP(H11762,IMPORTRANGE(""https://docs.google.com/spreadsheets/d/14Bd19lYaqBhU8_DElYkX7l4wRkHqqCUFNJY4AfY3kHU/edit?usp=sharing  #gid=0"",""фіз особи new!relations_name""),6,FALSE)
,
(IF
(
G11762=""юридична особа""
,
VLOO"&amp;"KUP(H11762,IMPORTRANGE(""https://docs.google.com/spreadsheets/d/14Bd19lYaqBhU8_DElYkX7l4wRkHqqCUFNJY4AfY3kHU/edit?usp=sharing  #gid=0"",""фіз особи new!relations_name_uo""),7,FALSE)
,
)
))"),"НІКОЛАШИН Юрій Львович")</f>
        <v>НІКОЛАШИН Юрій Львович</v>
      </c>
      <c r="J11761" s="7" t="s">
        <v>11</v>
      </c>
    </row>
    <row r="11762" spans="1:10" ht="13.2">
      <c r="A11762" s="7">
        <v>11761</v>
      </c>
      <c r="B11762" s="7">
        <v>1</v>
      </c>
      <c r="C11762" s="7" t="s">
        <v>10</v>
      </c>
      <c r="D11762" s="7">
        <v>17784</v>
      </c>
      <c r="E11762" s="7" t="s">
        <v>11</v>
      </c>
      <c r="F11762" s="8" t="str">
        <f ca="1">IFERROR(__xludf.DUMMYFUNCTION("IF
(
C11763=""фізична особа""
,
VLOOKUP(D11763,IMPORTRANGE(""https://docs.google.com/spreadsheets/d/14Bd19lYaqBhU8_DElYkX7l4wRkHqqCUFNJY4AfY3kHU/edit?usp=sharing  #gid=0"",""фіз особи new!relations_name""),6,FALSE)
,
(IF
(
C11763=""юридична особа""
,
VLOO"&amp;"KUP(D11763,IMPORTRANGE(""https://docs.google.com/spreadsheets/d/14Bd19lYaqBhU8_DElYkX7l4wRkHqqCUFNJY4AfY3kHU/edit?usp=sharing  #gid=0"",""фіз особи new!relations_name_uo""),7,FALSE)
,
)
))"),"ЖИДКОВ Олег Михайлович")</f>
        <v>ЖИДКОВ Олег Михайлович</v>
      </c>
      <c r="G11762" s="7" t="s">
        <v>10</v>
      </c>
      <c r="H11762" s="7">
        <v>22951</v>
      </c>
      <c r="I11762" s="8" t="str">
        <f ca="1">IFERROR(__xludf.DUMMYFUNCTION("IF
(
G11763=""фізична особа""
,
VLOOKUP(H11763,IMPORTRANGE(""https://docs.google.com/spreadsheets/d/14Bd19lYaqBhU8_DElYkX7l4wRkHqqCUFNJY4AfY3kHU/edit?usp=sharing  #gid=0"",""фіз особи new!relations_name""),6,FALSE)
,
(IF
(
G11763=""юридична особа""
,
VLOO"&amp;"KUP(H11763,IMPORTRANGE(""https://docs.google.com/spreadsheets/d/14Bd19lYaqBhU8_DElYkX7l4wRkHqqCUFNJY4AfY3kHU/edit?usp=sharing  #gid=0"",""фіз особи new!relations_name_uo""),7,FALSE)
,
)
))"),"ДОРОФЄЄВ Сергій Михайлович")</f>
        <v>ДОРОФЄЄВ Сергій Михайлович</v>
      </c>
      <c r="J11762" s="7" t="s">
        <v>11</v>
      </c>
    </row>
    <row r="11763" spans="1:10" ht="13.2">
      <c r="A11763" s="7">
        <v>11762</v>
      </c>
      <c r="B11763" s="7">
        <v>1</v>
      </c>
      <c r="C11763" s="7" t="s">
        <v>10</v>
      </c>
      <c r="D11763" s="7">
        <v>17784</v>
      </c>
      <c r="E11763" s="7" t="s">
        <v>11</v>
      </c>
      <c r="F11763" s="8" t="str">
        <f ca="1">IFERROR(__xludf.DUMMYFUNCTION("IF
(
C11764=""фізична особа""
,
VLOOKUP(D11764,IMPORTRANGE(""https://docs.google.com/spreadsheets/d/14Bd19lYaqBhU8_DElYkX7l4wRkHqqCUFNJY4AfY3kHU/edit?usp=sharing  #gid=0"",""фіз особи new!relations_name""),6,FALSE)
,
(IF
(
C11764=""юридична особа""
,
VLOO"&amp;"KUP(D11764,IMPORTRANGE(""https://docs.google.com/spreadsheets/d/14Bd19lYaqBhU8_DElYkX7l4wRkHqqCUFNJY4AfY3kHU/edit?usp=sharing  #gid=0"",""фіз особи new!relations_name_uo""),7,FALSE)
,
)
))"),"ЖИДКОВ Олег Михайлович")</f>
        <v>ЖИДКОВ Олег Михайлович</v>
      </c>
      <c r="G11763" s="7" t="s">
        <v>10</v>
      </c>
      <c r="H11763" s="7">
        <v>23623</v>
      </c>
      <c r="I11763" s="8" t="str">
        <f ca="1">IFERROR(__xludf.DUMMYFUNCTION("IF
(
G11764=""фізична особа""
,
VLOOKUP(H11764,IMPORTRANGE(""https://docs.google.com/spreadsheets/d/14Bd19lYaqBhU8_DElYkX7l4wRkHqqCUFNJY4AfY3kHU/edit?usp=sharing  #gid=0"",""фіз особи new!relations_name""),6,FALSE)
,
(IF
(
G11764=""юридична особа""
,
VLOO"&amp;"KUP(H11764,IMPORTRANGE(""https://docs.google.com/spreadsheets/d/14Bd19lYaqBhU8_DElYkX7l4wRkHqqCUFNJY4AfY3kHU/edit?usp=sharing  #gid=0"",""фіз особи new!relations_name_uo""),7,FALSE)
,
)
))"),"ГРИШИН Сергій Євгенович")</f>
        <v>ГРИШИН Сергій Євгенович</v>
      </c>
      <c r="J11763" s="7" t="s">
        <v>11</v>
      </c>
    </row>
    <row r="11764" spans="1:10" ht="13.2">
      <c r="A11764" s="7">
        <v>11763</v>
      </c>
      <c r="B11764" s="7">
        <v>1</v>
      </c>
      <c r="C11764" s="7" t="s">
        <v>10</v>
      </c>
      <c r="D11764" s="7">
        <v>17784</v>
      </c>
      <c r="E11764" s="7" t="s">
        <v>11</v>
      </c>
      <c r="F11764" s="8" t="str">
        <f ca="1">IFERROR(__xludf.DUMMYFUNCTION("IF
(
C11765=""фізична особа""
,
VLOOKUP(D11765,IMPORTRANGE(""https://docs.google.com/spreadsheets/d/14Bd19lYaqBhU8_DElYkX7l4wRkHqqCUFNJY4AfY3kHU/edit?usp=sharing  #gid=0"",""фіз особи new!relations_name""),6,FALSE)
,
(IF
(
C11765=""юридична особа""
,
VLOO"&amp;"KUP(D11765,IMPORTRANGE(""https://docs.google.com/spreadsheets/d/14Bd19lYaqBhU8_DElYkX7l4wRkHqqCUFNJY4AfY3kHU/edit?usp=sharing  #gid=0"",""фіз особи new!relations_name_uo""),7,FALSE)
,
)
))"),"ЖИДКОВ Олег Михайлович")</f>
        <v>ЖИДКОВ Олег Михайлович</v>
      </c>
      <c r="G11764" s="7" t="s">
        <v>10</v>
      </c>
      <c r="H11764" s="7">
        <v>0</v>
      </c>
      <c r="I11764" s="8" t="str">
        <f ca="1">IFERROR(__xludf.DUMMYFUNCTION("IF
(
G11765=""фізична особа""
,
VLOOKUP(H11765,IMPORTRANGE(""https://docs.google.com/spreadsheets/d/14Bd19lYaqBhU8_DElYkX7l4wRkHqqCUFNJY4AfY3kHU/edit?usp=sharing  #gid=0"",""фіз особи new!relations_name""),6,FALSE)
,
(IF
(
G11765=""юридична особа""
,
VLOO"&amp;"KUP(H11765,IMPORTRANGE(""https://docs.google.com/spreadsheets/d/14Bd19lYaqBhU8_DElYkX7l4wRkHqqCUFNJY4AfY3kHU/edit?usp=sharing  #gid=0"",""фіз особи new!relations_name_uo""),7,FALSE)
,
)
))"),"#N/A")</f>
        <v>#N/A</v>
      </c>
      <c r="J11764" s="7" t="s">
        <v>11</v>
      </c>
    </row>
    <row r="11765" spans="1:10" ht="13.2">
      <c r="A11765" s="7">
        <v>11764</v>
      </c>
      <c r="B11765" s="7">
        <v>1</v>
      </c>
      <c r="C11765" s="7" t="s">
        <v>10</v>
      </c>
      <c r="D11765" s="7">
        <v>17785</v>
      </c>
      <c r="E11765" s="7" t="s">
        <v>23</v>
      </c>
      <c r="F11765" s="8" t="str">
        <f ca="1">IFERROR(__xludf.DUMMYFUNCTION("IF
(
C11766=""фізична особа""
,
VLOOKUP(D11766,IMPORTRANGE(""https://docs.google.com/spreadsheets/d/14Bd19lYaqBhU8_DElYkX7l4wRkHqqCUFNJY4AfY3kHU/edit?usp=sharing  #gid=0"",""фіз особи new!relations_name""),6,FALSE)
,
(IF
(
C11766=""юридична особа""
,
VLOO"&amp;"KUP(D11766,IMPORTRANGE(""https://docs.google.com/spreadsheets/d/14Bd19lYaqBhU8_DElYkX7l4wRkHqqCUFNJY4AfY3kHU/edit?usp=sharing  #gid=0"",""фіз особи new!relations_name_uo""),7,FALSE)
,
)
))"),"ЄМЕЛЬЯНОВ Роман Олександрович")</f>
        <v>ЄМЕЛЬЯНОВ Роман Олександрович</v>
      </c>
      <c r="G11765" s="7" t="s">
        <v>10</v>
      </c>
      <c r="H11765" s="7">
        <v>8742</v>
      </c>
      <c r="I11765" s="8" t="str">
        <f ca="1">IFERROR(__xludf.DUMMYFUNCTION("IF
(
G11766=""фізична особа""
,
VLOOKUP(H11766,IMPORTRANGE(""https://docs.google.com/spreadsheets/d/14Bd19lYaqBhU8_DElYkX7l4wRkHqqCUFNJY4AfY3kHU/edit?usp=sharing  #gid=0"",""фіз особи new!relations_name""),6,FALSE)
,
(IF
(
G11766=""юридична особа""
,
VLOO"&amp;"KUP(H11766,IMPORTRANGE(""https://docs.google.com/spreadsheets/d/14Bd19lYaqBhU8_DElYkX7l4wRkHqqCUFNJY4AfY3kHU/edit?usp=sharing  #gid=0"",""фіз особи new!relations_name_uo""),7,FALSE)
,
)
))"),"КУДРЯШКІН Ігор Геннадійович")</f>
        <v>КУДРЯШКІН Ігор Геннадійович</v>
      </c>
      <c r="J11765" s="7" t="s">
        <v>23</v>
      </c>
    </row>
    <row r="11766" spans="1:10" ht="13.2">
      <c r="A11766" s="7">
        <v>11765</v>
      </c>
      <c r="B11766" s="7">
        <v>1</v>
      </c>
      <c r="C11766" s="7" t="s">
        <v>10</v>
      </c>
      <c r="D11766" s="7">
        <v>17785</v>
      </c>
      <c r="E11766" s="7" t="s">
        <v>23</v>
      </c>
      <c r="F11766" s="8" t="str">
        <f ca="1">IFERROR(__xludf.DUMMYFUNCTION("IF
(
C11767=""фізична особа""
,
VLOOKUP(D11767,IMPORTRANGE(""https://docs.google.com/spreadsheets/d/14Bd19lYaqBhU8_DElYkX7l4wRkHqqCUFNJY4AfY3kHU/edit?usp=sharing  #gid=0"",""фіз особи new!relations_name""),6,FALSE)
,
(IF
(
C11767=""юридична особа""
,
VLOO"&amp;"KUP(D11767,IMPORTRANGE(""https://docs.google.com/spreadsheets/d/14Bd19lYaqBhU8_DElYkX7l4wRkHqqCUFNJY4AfY3kHU/edit?usp=sharing  #gid=0"",""фіз особи new!relations_name_uo""),7,FALSE)
,
)
))"),"ЄМЕЛЬЯНОВ Роман Олександрович")</f>
        <v>ЄМЕЛЬЯНОВ Роман Олександрович</v>
      </c>
      <c r="G11766" s="7" t="s">
        <v>10</v>
      </c>
      <c r="H11766" s="7">
        <v>23571</v>
      </c>
      <c r="I11766" s="8" t="str">
        <f ca="1">IFERROR(__xludf.DUMMYFUNCTION("IF
(
G11767=""фізична особа""
,
VLOOKUP(H11767,IMPORTRANGE(""https://docs.google.com/spreadsheets/d/14Bd19lYaqBhU8_DElYkX7l4wRkHqqCUFNJY4AfY3kHU/edit?usp=sharing  #gid=0"",""фіз особи new!relations_name""),6,FALSE)
,
(IF
(
G11767=""юридична особа""
,
VLOO"&amp;"KUP(H11767,IMPORTRANGE(""https://docs.google.com/spreadsheets/d/14Bd19lYaqBhU8_DElYkX7l4wRkHqqCUFNJY4AfY3kHU/edit?usp=sharing  #gid=0"",""фіз особи new!relations_name_uo""),7,FALSE)
,
)
))"),"КУДРЯШКІНА Світлана Борисівна")</f>
        <v>КУДРЯШКІНА Світлана Борисівна</v>
      </c>
      <c r="J11766" s="7" t="s">
        <v>23</v>
      </c>
    </row>
    <row r="11767" spans="1:10" ht="13.2">
      <c r="A11767" s="7">
        <v>11766</v>
      </c>
      <c r="B11767" s="7">
        <v>1</v>
      </c>
      <c r="C11767" s="7" t="s">
        <v>10</v>
      </c>
      <c r="D11767" s="7">
        <v>17785</v>
      </c>
      <c r="E11767" s="7" t="s">
        <v>23</v>
      </c>
      <c r="F11767" s="8" t="str">
        <f ca="1">IFERROR(__xludf.DUMMYFUNCTION("IF
(
C11768=""фізична особа""
,
VLOOKUP(D11768,IMPORTRANGE(""https://docs.google.com/spreadsheets/d/14Bd19lYaqBhU8_DElYkX7l4wRkHqqCUFNJY4AfY3kHU/edit?usp=sharing  #gid=0"",""фіз особи new!relations_name""),6,FALSE)
,
(IF
(
C11768=""юридична особа""
,
VLOO"&amp;"KUP(D11768,IMPORTRANGE(""https://docs.google.com/spreadsheets/d/14Bd19lYaqBhU8_DElYkX7l4wRkHqqCUFNJY4AfY3kHU/edit?usp=sharing  #gid=0"",""фіз особи new!relations_name_uo""),7,FALSE)
,
)
))"),"ЄМЕЛЬЯНОВ Роман Олександрович")</f>
        <v>ЄМЕЛЬЯНОВ Роман Олександрович</v>
      </c>
      <c r="G11767" s="7" t="s">
        <v>10</v>
      </c>
      <c r="H11767" s="7">
        <v>2002</v>
      </c>
      <c r="I11767" s="8" t="str">
        <f ca="1">IFERROR(__xludf.DUMMYFUNCTION("IF
(
G11768=""фізична особа""
,
VLOOKUP(H11768,IMPORTRANGE(""https://docs.google.com/spreadsheets/d/14Bd19lYaqBhU8_DElYkX7l4wRkHqqCUFNJY4AfY3kHU/edit?usp=sharing  #gid=0"",""фіз особи new!relations_name""),6,FALSE)
,
(IF
(
G11768=""юридична особа""
,
VLOO"&amp;"KUP(H11768,IMPORTRANGE(""https://docs.google.com/spreadsheets/d/14Bd19lYaqBhU8_DElYkX7l4wRkHqqCUFNJY4AfY3kHU/edit?usp=sharing  #gid=0"",""фіз особи new!relations_name_uo""),7,FALSE)
,
)
))"),"КОЗІЦИН Андрій Анатолійович")</f>
        <v>КОЗІЦИН Андрій Анатолійович</v>
      </c>
      <c r="J11767" s="7" t="s">
        <v>23</v>
      </c>
    </row>
    <row r="11768" spans="1:10" ht="13.2">
      <c r="A11768" s="7">
        <v>11767</v>
      </c>
      <c r="B11768" s="7">
        <v>1</v>
      </c>
      <c r="C11768" s="7" t="s">
        <v>10</v>
      </c>
      <c r="D11768" s="7">
        <v>17785</v>
      </c>
      <c r="E11768" s="7" t="s">
        <v>23</v>
      </c>
      <c r="F11768" s="8" t="str">
        <f ca="1">IFERROR(__xludf.DUMMYFUNCTION("IF
(
C11769=""фізична особа""
,
VLOOKUP(D11769,IMPORTRANGE(""https://docs.google.com/spreadsheets/d/14Bd19lYaqBhU8_DElYkX7l4wRkHqqCUFNJY4AfY3kHU/edit?usp=sharing  #gid=0"",""фіз особи new!relations_name""),6,FALSE)
,
(IF
(
C11769=""юридична особа""
,
VLOO"&amp;"KUP(D11769,IMPORTRANGE(""https://docs.google.com/spreadsheets/d/14Bd19lYaqBhU8_DElYkX7l4wRkHqqCUFNJY4AfY3kHU/edit?usp=sharing  #gid=0"",""фіз особи new!relations_name_uo""),7,FALSE)
,
)
))"),"ЄМЕЛЬЯНОВ Роман Олександрович")</f>
        <v>ЄМЕЛЬЯНОВ Роман Олександрович</v>
      </c>
      <c r="G11768" s="7" t="s">
        <v>10</v>
      </c>
      <c r="H11768" s="7">
        <v>1973</v>
      </c>
      <c r="I11768" s="8" t="str">
        <f ca="1">IFERROR(__xludf.DUMMYFUNCTION("IF
(
G11769=""фізична особа""
,
VLOOKUP(H11769,IMPORTRANGE(""https://docs.google.com/spreadsheets/d/14Bd19lYaqBhU8_DElYkX7l4wRkHqqCUFNJY4AfY3kHU/edit?usp=sharing  #gid=0"",""фіз особи new!relations_name""),6,FALSE)
,
(IF
(
G11769=""юридична особа""
,
VLOO"&amp;"KUP(H11769,IMPORTRANGE(""https://docs.google.com/spreadsheets/d/14Bd19lYaqBhU8_DElYkX7l4wRkHqqCUFNJY4AfY3kHU/edit?usp=sharing  #gid=0"",""фіз особи new!relations_name_uo""),7,FALSE)
,
)
))"),"БОКАРЄВ Андрій Ремович")</f>
        <v>БОКАРЄВ Андрій Ремович</v>
      </c>
      <c r="J11768" s="7" t="s">
        <v>23</v>
      </c>
    </row>
    <row r="11769" spans="1:10" ht="13.2">
      <c r="A11769" s="7">
        <v>11768</v>
      </c>
      <c r="B11769" s="7">
        <v>1</v>
      </c>
      <c r="C11769" s="7" t="s">
        <v>10</v>
      </c>
      <c r="D11769" s="7">
        <v>17786</v>
      </c>
      <c r="E11769" s="7" t="s">
        <v>23</v>
      </c>
      <c r="F11769" s="8" t="str">
        <f ca="1">IFERROR(__xludf.DUMMYFUNCTION("IF
(
C11770=""фізична особа""
,
VLOOKUP(D11770,IMPORTRANGE(""https://docs.google.com/spreadsheets/d/14Bd19lYaqBhU8_DElYkX7l4wRkHqqCUFNJY4AfY3kHU/edit?usp=sharing  #gid=0"",""фіз особи new!relations_name""),6,FALSE)
,
(IF
(
C11770=""юридична особа""
,
VLOO"&amp;"KUP(D11770,IMPORTRANGE(""https://docs.google.com/spreadsheets/d/14Bd19lYaqBhU8_DElYkX7l4wRkHqqCUFNJY4AfY3kHU/edit?usp=sharing  #gid=0"",""фіз особи new!relations_name_uo""),7,FALSE)
,
)
))"),"ПЕТРОВА Світлана Анатоліївна")</f>
        <v>ПЕТРОВА Світлана Анатоліївна</v>
      </c>
      <c r="G11769" s="7" t="s">
        <v>10</v>
      </c>
      <c r="H11769" s="7">
        <v>0</v>
      </c>
      <c r="I11769" s="8" t="str">
        <f ca="1">IFERROR(__xludf.DUMMYFUNCTION("IF
(
G11770=""фізична особа""
,
VLOOKUP(H11770,IMPORTRANGE(""https://docs.google.com/spreadsheets/d/14Bd19lYaqBhU8_DElYkX7l4wRkHqqCUFNJY4AfY3kHU/edit?usp=sharing  #gid=0"",""фіз особи new!relations_name""),6,FALSE)
,
(IF
(
G11770=""юридична особа""
,
VLOO"&amp;"KUP(H11770,IMPORTRANGE(""https://docs.google.com/spreadsheets/d/14Bd19lYaqBhU8_DElYkX7l4wRkHqqCUFNJY4AfY3kHU/edit?usp=sharing  #gid=0"",""фіз особи new!relations_name_uo""),7,FALSE)
,
)
))"),"#N/A")</f>
        <v>#N/A</v>
      </c>
      <c r="J11769" s="7" t="s">
        <v>23</v>
      </c>
    </row>
    <row r="11770" spans="1:10" ht="13.2">
      <c r="A11770" s="7">
        <v>11769</v>
      </c>
      <c r="B11770" s="7">
        <v>1</v>
      </c>
      <c r="C11770" s="7" t="s">
        <v>10</v>
      </c>
      <c r="D11770" s="7">
        <v>17786</v>
      </c>
      <c r="E11770" s="7" t="s">
        <v>23</v>
      </c>
      <c r="F11770" s="8" t="str">
        <f ca="1">IFERROR(__xludf.DUMMYFUNCTION("IF
(
C11771=""фізична особа""
,
VLOOKUP(D11771,IMPORTRANGE(""https://docs.google.com/spreadsheets/d/14Bd19lYaqBhU8_DElYkX7l4wRkHqqCUFNJY4AfY3kHU/edit?usp=sharing  #gid=0"",""фіз особи new!relations_name""),6,FALSE)
,
(IF
(
C11771=""юридична особа""
,
VLOO"&amp;"KUP(D11771,IMPORTRANGE(""https://docs.google.com/spreadsheets/d/14Bd19lYaqBhU8_DElYkX7l4wRkHqqCUFNJY4AfY3kHU/edit?usp=sharing  #gid=0"",""фіз особи new!relations_name_uo""),7,FALSE)
,
)
))"),"ПЕТРОВА Світлана Анатоліївна")</f>
        <v>ПЕТРОВА Світлана Анатоліївна</v>
      </c>
      <c r="G11770" s="7" t="s">
        <v>10</v>
      </c>
      <c r="H11770" s="7">
        <v>0</v>
      </c>
      <c r="I11770" s="8" t="str">
        <f ca="1">IFERROR(__xludf.DUMMYFUNCTION("IF
(
G11771=""фізична особа""
,
VLOOKUP(H11771,IMPORTRANGE(""https://docs.google.com/spreadsheets/d/14Bd19lYaqBhU8_DElYkX7l4wRkHqqCUFNJY4AfY3kHU/edit?usp=sharing  #gid=0"",""фіз особи new!relations_name""),6,FALSE)
,
(IF
(
G11771=""юридична особа""
,
VLOO"&amp;"KUP(H11771,IMPORTRANGE(""https://docs.google.com/spreadsheets/d/14Bd19lYaqBhU8_DElYkX7l4wRkHqqCUFNJY4AfY3kHU/edit?usp=sharing  #gid=0"",""фіз особи new!relations_name_uo""),7,FALSE)
,
)
))"),"#N/A")</f>
        <v>#N/A</v>
      </c>
      <c r="J11770" s="7" t="s">
        <v>23</v>
      </c>
    </row>
    <row r="11771" spans="1:10" ht="13.2">
      <c r="A11771" s="7">
        <v>11770</v>
      </c>
      <c r="B11771" s="7">
        <v>1</v>
      </c>
      <c r="C11771" s="7" t="s">
        <v>10</v>
      </c>
      <c r="D11771" s="7">
        <v>17786</v>
      </c>
      <c r="E11771" s="7" t="s">
        <v>23</v>
      </c>
      <c r="F11771" s="8" t="str">
        <f ca="1">IFERROR(__xludf.DUMMYFUNCTION("IF
(
C11772=""фізична особа""
,
VLOOKUP(D11772,IMPORTRANGE(""https://docs.google.com/spreadsheets/d/14Bd19lYaqBhU8_DElYkX7l4wRkHqqCUFNJY4AfY3kHU/edit?usp=sharing  #gid=0"",""фіз особи new!relations_name""),6,FALSE)
,
(IF
(
C11772=""юридична особа""
,
VLOO"&amp;"KUP(D11772,IMPORTRANGE(""https://docs.google.com/spreadsheets/d/14Bd19lYaqBhU8_DElYkX7l4wRkHqqCUFNJY4AfY3kHU/edit?usp=sharing  #gid=0"",""фіз особи new!relations_name_uo""),7,FALSE)
,
)
))"),"ПЕТРОВА Світлана Анатоліївна")</f>
        <v>ПЕТРОВА Світлана Анатоліївна</v>
      </c>
      <c r="G11771" s="7" t="s">
        <v>10</v>
      </c>
      <c r="H11771" s="7">
        <v>0</v>
      </c>
      <c r="I11771" s="8" t="str">
        <f ca="1">IFERROR(__xludf.DUMMYFUNCTION("IF
(
G11772=""фізична особа""
,
VLOOKUP(H11772,IMPORTRANGE(""https://docs.google.com/spreadsheets/d/14Bd19lYaqBhU8_DElYkX7l4wRkHqqCUFNJY4AfY3kHU/edit?usp=sharing  #gid=0"",""фіз особи new!relations_name""),6,FALSE)
,
(IF
(
G11772=""юридична особа""
,
VLOO"&amp;"KUP(H11772,IMPORTRANGE(""https://docs.google.com/spreadsheets/d/14Bd19lYaqBhU8_DElYkX7l4wRkHqqCUFNJY4AfY3kHU/edit?usp=sharing  #gid=0"",""фіз особи new!relations_name_uo""),7,FALSE)
,
)
))"),"#N/A")</f>
        <v>#N/A</v>
      </c>
      <c r="J11771" s="7" t="s">
        <v>23</v>
      </c>
    </row>
    <row r="11772" spans="1:10" ht="13.2">
      <c r="A11772" s="7">
        <v>11771</v>
      </c>
      <c r="B11772" s="7">
        <v>1</v>
      </c>
      <c r="C11772" s="7" t="s">
        <v>10</v>
      </c>
      <c r="D11772" s="7">
        <v>17786</v>
      </c>
      <c r="E11772" s="7" t="s">
        <v>23</v>
      </c>
      <c r="F11772" s="8" t="str">
        <f ca="1">IFERROR(__xludf.DUMMYFUNCTION("IF
(
C11773=""фізична особа""
,
VLOOKUP(D11773,IMPORTRANGE(""https://docs.google.com/spreadsheets/d/14Bd19lYaqBhU8_DElYkX7l4wRkHqqCUFNJY4AfY3kHU/edit?usp=sharing  #gid=0"",""фіз особи new!relations_name""),6,FALSE)
,
(IF
(
C11773=""юридична особа""
,
VLOO"&amp;"KUP(D11773,IMPORTRANGE(""https://docs.google.com/spreadsheets/d/14Bd19lYaqBhU8_DElYkX7l4wRkHqqCUFNJY4AfY3kHU/edit?usp=sharing  #gid=0"",""фіз особи new!relations_name_uo""),7,FALSE)
,
)
))"),"ПЕТРОВА Світлана Анатоліївна")</f>
        <v>ПЕТРОВА Світлана Анатоліївна</v>
      </c>
      <c r="G11772" s="7" t="s">
        <v>10</v>
      </c>
      <c r="H11772" s="7">
        <v>0</v>
      </c>
      <c r="I11772" s="8" t="str">
        <f ca="1">IFERROR(__xludf.DUMMYFUNCTION("IF
(
G11773=""фізична особа""
,
VLOOKUP(H11773,IMPORTRANGE(""https://docs.google.com/spreadsheets/d/14Bd19lYaqBhU8_DElYkX7l4wRkHqqCUFNJY4AfY3kHU/edit?usp=sharing  #gid=0"",""фіз особи new!relations_name""),6,FALSE)
,
(IF
(
G11773=""юридична особа""
,
VLOO"&amp;"KUP(H11773,IMPORTRANGE(""https://docs.google.com/spreadsheets/d/14Bd19lYaqBhU8_DElYkX7l4wRkHqqCUFNJY4AfY3kHU/edit?usp=sharing  #gid=0"",""фіз особи new!relations_name_uo""),7,FALSE)
,
)
))"),"#N/A")</f>
        <v>#N/A</v>
      </c>
      <c r="J11772" s="7" t="s">
        <v>23</v>
      </c>
    </row>
    <row r="11773" spans="1:10" ht="13.2">
      <c r="A11773" s="7">
        <v>11772</v>
      </c>
      <c r="B11773" s="7">
        <v>1</v>
      </c>
      <c r="C11773" s="7" t="s">
        <v>10</v>
      </c>
      <c r="D11773" s="7">
        <v>17787</v>
      </c>
      <c r="E11773" s="7" t="s">
        <v>23</v>
      </c>
      <c r="F11773" s="8" t="str">
        <f ca="1">IFERROR(__xludf.DUMMYFUNCTION("IF
(
C11774=""фізична особа""
,
VLOOKUP(D11774,IMPORTRANGE(""https://docs.google.com/spreadsheets/d/14Bd19lYaqBhU8_DElYkX7l4wRkHqqCUFNJY4AfY3kHU/edit?usp=sharing  #gid=0"",""фіз особи new!relations_name""),6,FALSE)
,
(IF
(
C11774=""юридична особа""
,
VLOO"&amp;"KUP(D11774,IMPORTRANGE(""https://docs.google.com/spreadsheets/d/14Bd19lYaqBhU8_DElYkX7l4wRkHqqCUFNJY4AfY3kHU/edit?usp=sharing  #gid=0"",""фіз особи new!relations_name_uo""),7,FALSE)
,
)
))"),"КОМАРОВА Марія Олександрівна")</f>
        <v>КОМАРОВА Марія Олександрівна</v>
      </c>
      <c r="G11773" s="7" t="s">
        <v>10</v>
      </c>
      <c r="H11773" s="7">
        <v>0</v>
      </c>
      <c r="I11773" s="8" t="str">
        <f ca="1">IFERROR(__xludf.DUMMYFUNCTION("IF
(
G11774=""фізична особа""
,
VLOOKUP(H11774,IMPORTRANGE(""https://docs.google.com/spreadsheets/d/14Bd19lYaqBhU8_DElYkX7l4wRkHqqCUFNJY4AfY3kHU/edit?usp=sharing  #gid=0"",""фіз особи new!relations_name""),6,FALSE)
,
(IF
(
G11774=""юридична особа""
,
VLOO"&amp;"KUP(H11774,IMPORTRANGE(""https://docs.google.com/spreadsheets/d/14Bd19lYaqBhU8_DElYkX7l4wRkHqqCUFNJY4AfY3kHU/edit?usp=sharing  #gid=0"",""фіз особи new!relations_name_uo""),7,FALSE)
,
)
))"),"#N/A")</f>
        <v>#N/A</v>
      </c>
      <c r="J11773" s="7" t="s">
        <v>23</v>
      </c>
    </row>
    <row r="11774" spans="1:10" ht="13.2">
      <c r="A11774" s="7">
        <v>11773</v>
      </c>
      <c r="B11774" s="7">
        <v>1</v>
      </c>
      <c r="C11774" s="7" t="s">
        <v>10</v>
      </c>
      <c r="D11774" s="7">
        <v>17790</v>
      </c>
      <c r="E11774" s="7" t="s">
        <v>23</v>
      </c>
      <c r="F11774" s="8" t="str">
        <f ca="1">IFERROR(__xludf.DUMMYFUNCTION("IF
(
C11775=""фізична особа""
,
VLOOKUP(D11775,IMPORTRANGE(""https://docs.google.com/spreadsheets/d/14Bd19lYaqBhU8_DElYkX7l4wRkHqqCUFNJY4AfY3kHU/edit?usp=sharing  #gid=0"",""фіз особи new!relations_name""),6,FALSE)
,
(IF
(
C11775=""юридична особа""
,
VLOO"&amp;"KUP(D11775,IMPORTRANGE(""https://docs.google.com/spreadsheets/d/14Bd19lYaqBhU8_DElYkX7l4wRkHqqCUFNJY4AfY3kHU/edit?usp=sharing  #gid=0"",""фіз особи new!relations_name_uo""),7,FALSE)
,
)
))"),"ЗУБКОВ Олег Олександрович")</f>
        <v>ЗУБКОВ Олег Олександрович</v>
      </c>
      <c r="G11774" s="7" t="s">
        <v>10</v>
      </c>
      <c r="H11774" s="7">
        <v>0</v>
      </c>
      <c r="I11774" s="8" t="str">
        <f ca="1">IFERROR(__xludf.DUMMYFUNCTION("IF
(
G11775=""фізична особа""
,
VLOOKUP(H11775,IMPORTRANGE(""https://docs.google.com/spreadsheets/d/14Bd19lYaqBhU8_DElYkX7l4wRkHqqCUFNJY4AfY3kHU/edit?usp=sharing  #gid=0"",""фіз особи new!relations_name""),6,FALSE)
,
(IF
(
G11775=""юридична особа""
,
VLOO"&amp;"KUP(H11775,IMPORTRANGE(""https://docs.google.com/spreadsheets/d/14Bd19lYaqBhU8_DElYkX7l4wRkHqqCUFNJY4AfY3kHU/edit?usp=sharing  #gid=0"",""фіз особи new!relations_name_uo""),7,FALSE)
,
)
))"),"#N/A")</f>
        <v>#N/A</v>
      </c>
      <c r="J11774" s="7" t="s">
        <v>23</v>
      </c>
    </row>
    <row r="11775" spans="1:10" ht="13.2">
      <c r="A11775" s="7">
        <v>11774</v>
      </c>
      <c r="B11775" s="7">
        <v>1</v>
      </c>
      <c r="C11775" s="7" t="s">
        <v>10</v>
      </c>
      <c r="D11775" s="7">
        <v>17790</v>
      </c>
      <c r="E11775" s="7" t="s">
        <v>23</v>
      </c>
      <c r="F11775" s="8" t="str">
        <f ca="1">IFERROR(__xludf.DUMMYFUNCTION("IF
(
C11776=""фізична особа""
,
VLOOKUP(D11776,IMPORTRANGE(""https://docs.google.com/spreadsheets/d/14Bd19lYaqBhU8_DElYkX7l4wRkHqqCUFNJY4AfY3kHU/edit?usp=sharing  #gid=0"",""фіз особи new!relations_name""),6,FALSE)
,
(IF
(
C11776=""юридична особа""
,
VLOO"&amp;"KUP(D11776,IMPORTRANGE(""https://docs.google.com/spreadsheets/d/14Bd19lYaqBhU8_DElYkX7l4wRkHqqCUFNJY4AfY3kHU/edit?usp=sharing  #gid=0"",""фіз особи new!relations_name_uo""),7,FALSE)
,
)
))"),"ЗУБКОВ Олег Олександрович")</f>
        <v>ЗУБКОВ Олег Олександрович</v>
      </c>
      <c r="G11775" s="7" t="s">
        <v>10</v>
      </c>
      <c r="H11775" s="7">
        <v>19768</v>
      </c>
      <c r="I11775" s="8" t="str">
        <f ca="1">IFERROR(__xludf.DUMMYFUNCTION("IF
(
G11776=""фізична особа""
,
VLOOKUP(H11776,IMPORTRANGE(""https://docs.google.com/spreadsheets/d/14Bd19lYaqBhU8_DElYkX7l4wRkHqqCUFNJY4AfY3kHU/edit?usp=sharing  #gid=0"",""фіз особи new!relations_name""),6,FALSE)
,
(IF
(
G11776=""юридична особа""
,
VLOO"&amp;"KUP(H11776,IMPORTRANGE(""https://docs.google.com/spreadsheets/d/14Bd19lYaqBhU8_DElYkX7l4wRkHqqCUFNJY4AfY3kHU/edit?usp=sharing  #gid=0"",""фіз особи new!relations_name_uo""),7,FALSE)
,
)
))"),"МІЗГУЛІН Дмитро Олександрович")</f>
        <v>МІЗГУЛІН Дмитро Олександрович</v>
      </c>
      <c r="J11775" s="7" t="s">
        <v>23</v>
      </c>
    </row>
    <row r="11776" spans="1:10" ht="13.2">
      <c r="A11776" s="7">
        <v>11775</v>
      </c>
      <c r="B11776" s="7">
        <v>1</v>
      </c>
      <c r="C11776" s="7" t="s">
        <v>10</v>
      </c>
      <c r="D11776" s="7">
        <v>17790</v>
      </c>
      <c r="E11776" s="7" t="s">
        <v>23</v>
      </c>
      <c r="F11776" s="8" t="str">
        <f ca="1">IFERROR(__xludf.DUMMYFUNCTION("IF
(
C11777=""фізична особа""
,
VLOOKUP(D11777,IMPORTRANGE(""https://docs.google.com/spreadsheets/d/14Bd19lYaqBhU8_DElYkX7l4wRkHqqCUFNJY4AfY3kHU/edit?usp=sharing  #gid=0"",""фіз особи new!relations_name""),6,FALSE)
,
(IF
(
C11777=""юридична особа""
,
VLOO"&amp;"KUP(D11777,IMPORTRANGE(""https://docs.google.com/spreadsheets/d/14Bd19lYaqBhU8_DElYkX7l4wRkHqqCUFNJY4AfY3kHU/edit?usp=sharing  #gid=0"",""фіз особи new!relations_name_uo""),7,FALSE)
,
)
))"),"ЗУБКОВ Олег Олександрович")</f>
        <v>ЗУБКОВ Олег Олександрович</v>
      </c>
      <c r="G11776" s="7" t="s">
        <v>10</v>
      </c>
      <c r="H11776" s="7">
        <v>18304</v>
      </c>
      <c r="I11776" s="8" t="str">
        <f ca="1">IFERROR(__xludf.DUMMYFUNCTION("IF
(
G11777=""фізична особа""
,
VLOOKUP(H11777,IMPORTRANGE(""https://docs.google.com/spreadsheets/d/14Bd19lYaqBhU8_DElYkX7l4wRkHqqCUFNJY4AfY3kHU/edit?usp=sharing  #gid=0"",""фіз особи new!relations_name""),6,FALSE)
,
(IF
(
G11777=""юридична особа""
,
VLOO"&amp;"KUP(H11777,IMPORTRANGE(""https://docs.google.com/spreadsheets/d/14Bd19lYaqBhU8_DElYkX7l4wRkHqqCUFNJY4AfY3kHU/edit?usp=sharing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1776" s="7" t="s">
        <v>23</v>
      </c>
    </row>
    <row r="11777" spans="1:10" ht="13.2">
      <c r="A11777" s="7">
        <v>11776</v>
      </c>
      <c r="B11777" s="7">
        <v>1</v>
      </c>
      <c r="C11777" s="7" t="s">
        <v>10</v>
      </c>
      <c r="D11777" s="7">
        <v>17843</v>
      </c>
      <c r="E11777" s="7" t="s">
        <v>28</v>
      </c>
      <c r="F11777" s="8" t="str">
        <f ca="1">IFERROR(__xludf.DUMMYFUNCTION("IF
(
C11778=""фізична особа""
,
VLOOKUP(D11778,IMPORTRANGE(""https://docs.google.com/spreadsheets/d/14Bd19lYaqBhU8_DElYkX7l4wRkHqqCUFNJY4AfY3kHU/edit?usp=sharing  #gid=0"",""фіз особи new!relations_name""),6,FALSE)
,
(IF
(
C11778=""юридична особа""
,
VLOO"&amp;"KUP(D11778,IMPORTRANGE(""https://docs.google.com/spreadsheets/d/14Bd19lYaqBhU8_DElYkX7l4wRkHqqCUFNJY4AfY3kHU/edit?usp=sharing  #gid=0"",""фіз особи new!relations_name_uo""),7,FALSE)
,
)
))"),"МЕЛЬНИЧЕНКО Андрій Вікторович")</f>
        <v>МЕЛЬНИЧЕНКО Андрій Вікторович</v>
      </c>
      <c r="G11777" s="7" t="s">
        <v>10</v>
      </c>
      <c r="H11777" s="7">
        <v>4</v>
      </c>
      <c r="I11777" s="8" t="str">
        <f ca="1">IFERROR(__xludf.DUMMYFUNCTION("IF
(
G11778=""фізична особа""
,
VLOOKUP(H11778,IMPORTRANGE(""https://docs.google.com/spreadsheets/d/14Bd19lYaqBhU8_DElYkX7l4wRkHqqCUFNJY4AfY3kHU/edit?usp=sharing  #gid=0"",""фіз особи new!relations_name""),6,FALSE)
,
(IF
(
G11778=""юридична особа""
,
VLOO"&amp;"KUP(H11778,IMPORTRANGE(""https://docs.google.com/spreadsheets/d/14Bd19lYaqBhU8_DElYkX7l4wRkHqqCUFNJY4AfY3kHU/edit?usp=sharing  #gid=0"",""фіз особи new!relations_name_uo""),7,FALSE)
,
)
))"),"МІЛЛЕР Олексій Борисович")</f>
        <v>МІЛЛЕР Олексій Борисович</v>
      </c>
      <c r="J11777" s="7" t="s">
        <v>29</v>
      </c>
    </row>
    <row r="11778" spans="1:10" ht="13.2">
      <c r="A11778" s="7">
        <v>11777</v>
      </c>
      <c r="B11778" s="7">
        <v>1</v>
      </c>
      <c r="C11778" s="7" t="s">
        <v>10</v>
      </c>
      <c r="D11778" s="7">
        <v>17843</v>
      </c>
      <c r="E11778" s="7" t="s">
        <v>23</v>
      </c>
      <c r="F11778" s="8" t="str">
        <f ca="1">IFERROR(__xludf.DUMMYFUNCTION("IF
(
C11779=""фізична особа""
,
VLOOKUP(D11779,IMPORTRANGE(""https://docs.google.com/spreadsheets/d/14Bd19lYaqBhU8_DElYkX7l4wRkHqqCUFNJY4AfY3kHU/edit?usp=sharing  #gid=0"",""фіз особи new!relations_name""),6,FALSE)
,
(IF
(
C11779=""юридична особа""
,
VLOO"&amp;"KUP(D11779,IMPORTRANGE(""https://docs.google.com/spreadsheets/d/14Bd19lYaqBhU8_DElYkX7l4wRkHqqCUFNJY4AfY3kHU/edit?usp=sharing  #gid=0"",""фіз особи new!relations_name_uo""),7,FALSE)
,
)
))"),"МЕЛЬНИЧЕНКО Андрій Вікторович")</f>
        <v>МЕЛЬНИЧЕНКО Андрій Вікторович</v>
      </c>
      <c r="G11778" s="7" t="s">
        <v>10</v>
      </c>
      <c r="H11778" s="7">
        <v>0</v>
      </c>
      <c r="I11778" s="8" t="str">
        <f ca="1">IFERROR(__xludf.DUMMYFUNCTION("IF
(
G11779=""фізична особа""
,
VLOOKUP(H11779,IMPORTRANGE(""https://docs.google.com/spreadsheets/d/14Bd19lYaqBhU8_DElYkX7l4wRkHqqCUFNJY4AfY3kHU/edit?usp=sharing  #gid=0"",""фіз особи new!relations_name""),6,FALSE)
,
(IF
(
G11779=""юридична особа""
,
VLOO"&amp;"KUP(H11779,IMPORTRANGE(""https://docs.google.com/spreadsheets/d/14Bd19lYaqBhU8_DElYkX7l4wRkHqqCUFNJY4AfY3kHU/edit?usp=sharing  #gid=0"",""фіз особи new!relations_name_uo""),7,FALSE)
,
)
))"),"#N/A")</f>
        <v>#N/A</v>
      </c>
      <c r="J11778" s="7" t="s">
        <v>23</v>
      </c>
    </row>
    <row r="11779" spans="1:10" ht="13.2">
      <c r="A11779" s="7">
        <v>11778</v>
      </c>
      <c r="B11779" s="7">
        <v>1</v>
      </c>
      <c r="C11779" s="7" t="s">
        <v>10</v>
      </c>
      <c r="D11779" s="7">
        <v>17845</v>
      </c>
      <c r="E11779" s="7" t="s">
        <v>29</v>
      </c>
      <c r="F11779" s="8" t="str">
        <f ca="1">IFERROR(__xludf.DUMMYFUNCTION("IF
(
C11780=""фізична особа""
,
VLOOKUP(D11780,IMPORTRANGE(""https://docs.google.com/spreadsheets/d/14Bd19lYaqBhU8_DElYkX7l4wRkHqqCUFNJY4AfY3kHU/edit?usp=sharing  #gid=0"",""фіз особи new!relations_name""),6,FALSE)
,
(IF
(
C11780=""юридична особа""
,
VLOO"&amp;"KUP(D11780,IMPORTRANGE(""https://docs.google.com/spreadsheets/d/14Bd19lYaqBhU8_DElYkX7l4wRkHqqCUFNJY4AfY3kHU/edit?usp=sharing  #gid=0"",""фіз особи new!relations_name_uo""),7,FALSE)
,
)
))"),"ЧУЧКОВ Євген Михайлович")</f>
        <v>ЧУЧКОВ Євген Михайлович</v>
      </c>
      <c r="G11779" s="7" t="s">
        <v>10</v>
      </c>
      <c r="H11779" s="7">
        <v>17846</v>
      </c>
      <c r="I11779" s="8" t="str">
        <f ca="1">IFERROR(__xludf.DUMMYFUNCTION("IF
(
G11780=""фізична особа""
,
VLOOKUP(H11780,IMPORTRANGE(""https://docs.google.com/spreadsheets/d/14Bd19lYaqBhU8_DElYkX7l4wRkHqqCUFNJY4AfY3kHU/edit?usp=sharing  #gid=0"",""фіз особи new!relations_name""),6,FALSE)
,
(IF
(
G11780=""юридична особа""
,
VLOO"&amp;"KUP(H11780,IMPORTRANGE(""https://docs.google.com/spreadsheets/d/14Bd19lYaqBhU8_DElYkX7l4wRkHqqCUFNJY4AfY3kHU/edit?usp=sharing  #gid=0"",""фіз особи new!relations_name_uo""),7,FALSE)
,
)
))"),"КУЗНЄЦОВ Геннадій Миколайович")</f>
        <v>КУЗНЄЦОВ Геннадій Миколайович</v>
      </c>
      <c r="J11779" s="7" t="s">
        <v>104</v>
      </c>
    </row>
    <row r="11780" spans="1:10" ht="13.2">
      <c r="A11780" s="7">
        <v>11779</v>
      </c>
      <c r="B11780" s="7">
        <v>1</v>
      </c>
      <c r="C11780" s="7" t="s">
        <v>10</v>
      </c>
      <c r="D11780" s="7">
        <v>17845</v>
      </c>
      <c r="E11780" s="7" t="s">
        <v>29</v>
      </c>
      <c r="F11780" s="8" t="str">
        <f ca="1">IFERROR(__xludf.DUMMYFUNCTION("IF
(
C11781=""фізична особа""
,
VLOOKUP(D11781,IMPORTRANGE(""https://docs.google.com/spreadsheets/d/14Bd19lYaqBhU8_DElYkX7l4wRkHqqCUFNJY4AfY3kHU/edit?usp=sharing  #gid=0"",""фіз особи new!relations_name""),6,FALSE)
,
(IF
(
C11781=""юридична особа""
,
VLOO"&amp;"KUP(D11781,IMPORTRANGE(""https://docs.google.com/spreadsheets/d/14Bd19lYaqBhU8_DElYkX7l4wRkHqqCUFNJY4AfY3kHU/edit?usp=sharing  #gid=0"",""фіз особи new!relations_name_uo""),7,FALSE)
,
)
))"),"ЧУЧКОВ Євген Михайлович")</f>
        <v>ЧУЧКОВ Євген Михайлович</v>
      </c>
      <c r="G11780" s="7" t="s">
        <v>10</v>
      </c>
      <c r="H11780" s="7">
        <v>17847</v>
      </c>
      <c r="I11780" s="8" t="str">
        <f ca="1">IFERROR(__xludf.DUMMYFUNCTION("IF
(
G11781=""фізична особа""
,
VLOOKUP(H11781,IMPORTRANGE(""https://docs.google.com/spreadsheets/d/14Bd19lYaqBhU8_DElYkX7l4wRkHqqCUFNJY4AfY3kHU/edit?usp=sharing  #gid=0"",""фіз особи new!relations_name""),6,FALSE)
,
(IF
(
G11781=""юридична особа""
,
VLOO"&amp;"KUP(H11781,IMPORTRANGE(""https://docs.google.com/spreadsheets/d/14Bd19lYaqBhU8_DElYkX7l4wRkHqqCUFNJY4AfY3kHU/edit?usp=sharing  #gid=0"",""фіз особи new!relations_name_uo""),7,FALSE)
,
)
))"),"ГУЛЯЄВА Ольга Михайлівна")</f>
        <v>ГУЛЯЄВА Ольга Михайлівна</v>
      </c>
      <c r="J11780" s="7" t="s">
        <v>104</v>
      </c>
    </row>
    <row r="11781" spans="1:10" ht="13.2">
      <c r="A11781" s="7">
        <v>11780</v>
      </c>
      <c r="B11781" s="7">
        <v>1</v>
      </c>
      <c r="C11781" s="7" t="s">
        <v>10</v>
      </c>
      <c r="D11781" s="7">
        <v>17846</v>
      </c>
      <c r="E11781" s="7" t="s">
        <v>104</v>
      </c>
      <c r="F11781" s="8" t="str">
        <f ca="1">IFERROR(__xludf.DUMMYFUNCTION("IF
(
C11782=""фізична особа""
,
VLOOKUP(D11782,IMPORTRANGE(""https://docs.google.com/spreadsheets/d/14Bd19lYaqBhU8_DElYkX7l4wRkHqqCUFNJY4AfY3kHU/edit?usp=sharing  #gid=0"",""фіз особи new!relations_name""),6,FALSE)
,
(IF
(
C11782=""юридична особа""
,
VLOO"&amp;"KUP(D11782,IMPORTRANGE(""https://docs.google.com/spreadsheets/d/14Bd19lYaqBhU8_DElYkX7l4wRkHqqCUFNJY4AfY3kHU/edit?usp=sharing  #gid=0"",""фіз особи new!relations_name_uo""),7,FALSE)
,
)
))"),"КУЗНЄЦОВ Геннадій Миколайович")</f>
        <v>КУЗНЄЦОВ Геннадій Миколайович</v>
      </c>
      <c r="G11781" s="7" t="s">
        <v>10</v>
      </c>
      <c r="H11781" s="7">
        <v>17845</v>
      </c>
      <c r="I11781" s="8" t="str">
        <f ca="1">IFERROR(__xludf.DUMMYFUNCTION("IF
(
G11782=""фізична особа""
,
VLOOKUP(H11782,IMPORTRANGE(""https://docs.google.com/spreadsheets/d/14Bd19lYaqBhU8_DElYkX7l4wRkHqqCUFNJY4AfY3kHU/edit?usp=sharing  #gid=0"",""фіз особи new!relations_name""),6,FALSE)
,
(IF
(
G11782=""юридична особа""
,
VLOO"&amp;"KUP(H11782,IMPORTRANGE(""https://docs.google.com/spreadsheets/d/14Bd19lYaqBhU8_DElYkX7l4wRkHqqCUFNJY4AfY3kHU/edit?usp=sharing  #gid=0"",""фіз особи new!relations_name_uo""),7,FALSE)
,
)
))"),"ЧУЧКОВ Євген Михайлович")</f>
        <v>ЧУЧКОВ Євген Михайлович</v>
      </c>
      <c r="J11781" s="7" t="s">
        <v>29</v>
      </c>
    </row>
    <row r="11782" spans="1:10" ht="13.2">
      <c r="A11782" s="7">
        <v>11781</v>
      </c>
      <c r="B11782" s="7">
        <v>1</v>
      </c>
      <c r="C11782" s="7" t="s">
        <v>10</v>
      </c>
      <c r="D11782" s="7">
        <v>17846</v>
      </c>
      <c r="E11782" s="7" t="s">
        <v>11</v>
      </c>
      <c r="F11782" s="8" t="str">
        <f ca="1">IFERROR(__xludf.DUMMYFUNCTION("IF
(
C11783=""фізична особа""
,
VLOOKUP(D11783,IMPORTRANGE(""https://docs.google.com/spreadsheets/d/14Bd19lYaqBhU8_DElYkX7l4wRkHqqCUFNJY4AfY3kHU/edit?usp=sharing  #gid=0"",""фіз особи new!relations_name""),6,FALSE)
,
(IF
(
C11783=""юридична особа""
,
VLOO"&amp;"KUP(D11783,IMPORTRANGE(""https://docs.google.com/spreadsheets/d/14Bd19lYaqBhU8_DElYkX7l4wRkHqqCUFNJY4AfY3kHU/edit?usp=sharing  #gid=0"",""фіз особи new!relations_name_uo""),7,FALSE)
,
)
))"),"КУЗНЄЦОВ Геннадій Миколайович")</f>
        <v>КУЗНЄЦОВ Геннадій Миколайович</v>
      </c>
      <c r="G11782" s="7" t="s">
        <v>10</v>
      </c>
      <c r="H11782" s="7">
        <v>17847</v>
      </c>
      <c r="I11782" s="8" t="str">
        <f ca="1">IFERROR(__xludf.DUMMYFUNCTION("IF
(
G11783=""фізична особа""
,
VLOOKUP(H11783,IMPORTRANGE(""https://docs.google.com/spreadsheets/d/14Bd19lYaqBhU8_DElYkX7l4wRkHqqCUFNJY4AfY3kHU/edit?usp=sharing  #gid=0"",""фіз особи new!relations_name""),6,FALSE)
,
(IF
(
G11783=""юридична особа""
,
VLOO"&amp;"KUP(H11783,IMPORTRANGE(""https://docs.google.com/spreadsheets/d/14Bd19lYaqBhU8_DElYkX7l4wRkHqqCUFNJY4AfY3kHU/edit?usp=sharing  #gid=0"",""фіз особи new!relations_name_uo""),7,FALSE)
,
)
))"),"ГУЛЯЄВА Ольга Михайлівна")</f>
        <v>ГУЛЯЄВА Ольга Михайлівна</v>
      </c>
      <c r="J11782" s="7" t="s">
        <v>11</v>
      </c>
    </row>
    <row r="11783" spans="1:10" ht="13.2">
      <c r="A11783" s="7">
        <v>11782</v>
      </c>
      <c r="B11783" s="7">
        <v>1</v>
      </c>
      <c r="C11783" s="7" t="s">
        <v>10</v>
      </c>
      <c r="D11783" s="7">
        <v>17847</v>
      </c>
      <c r="E11783" s="7" t="s">
        <v>104</v>
      </c>
      <c r="F11783" s="8" t="str">
        <f ca="1">IFERROR(__xludf.DUMMYFUNCTION("IF
(
C11784=""фізична особа""
,
VLOOKUP(D11784,IMPORTRANGE(""https://docs.google.com/spreadsheets/d/14Bd19lYaqBhU8_DElYkX7l4wRkHqqCUFNJY4AfY3kHU/edit?usp=sharing  #gid=0"",""фіз особи new!relations_name""),6,FALSE)
,
(IF
(
C11784=""юридична особа""
,
VLOO"&amp;"KUP(D11784,IMPORTRANGE(""https://docs.google.com/spreadsheets/d/14Bd19lYaqBhU8_DElYkX7l4wRkHqqCUFNJY4AfY3kHU/edit?usp=sharing  #gid=0"",""фіз особи new!relations_name_uo""),7,FALSE)
,
)
))"),"ГУЛЯЄВА Ольга Михайлівна")</f>
        <v>ГУЛЯЄВА Ольга Михайлівна</v>
      </c>
      <c r="G11783" s="7" t="s">
        <v>10</v>
      </c>
      <c r="H11783" s="7">
        <v>17845</v>
      </c>
      <c r="I11783" s="8" t="str">
        <f ca="1">IFERROR(__xludf.DUMMYFUNCTION("IF
(
G11784=""фізична особа""
,
VLOOKUP(H11784,IMPORTRANGE(""https://docs.google.com/spreadsheets/d/14Bd19lYaqBhU8_DElYkX7l4wRkHqqCUFNJY4AfY3kHU/edit?usp=sharing  #gid=0"",""фіз особи new!relations_name""),6,FALSE)
,
(IF
(
G11784=""юридична особа""
,
VLOO"&amp;"KUP(H11784,IMPORTRANGE(""https://docs.google.com/spreadsheets/d/14Bd19lYaqBhU8_DElYkX7l4wRkHqqCUFNJY4AfY3kHU/edit?usp=sharing  #gid=0"",""фіз особи new!relations_name_uo""),7,FALSE)
,
)
))"),"ЧУЧКОВ Євген Михайлович")</f>
        <v>ЧУЧКОВ Євген Михайлович</v>
      </c>
      <c r="J11783" s="7" t="s">
        <v>29</v>
      </c>
    </row>
    <row r="11784" spans="1:10" ht="13.2">
      <c r="A11784" s="7">
        <v>11783</v>
      </c>
      <c r="B11784" s="7">
        <v>1</v>
      </c>
      <c r="C11784" s="7" t="s">
        <v>10</v>
      </c>
      <c r="D11784" s="7">
        <v>17847</v>
      </c>
      <c r="E11784" s="7" t="s">
        <v>11</v>
      </c>
      <c r="F11784" s="8" t="str">
        <f ca="1">IFERROR(__xludf.DUMMYFUNCTION("IF
(
C11785=""фізична особа""
,
VLOOKUP(D11785,IMPORTRANGE(""https://docs.google.com/spreadsheets/d/14Bd19lYaqBhU8_DElYkX7l4wRkHqqCUFNJY4AfY3kHU/edit?usp=sharing  #gid=0"",""фіз особи new!relations_name""),6,FALSE)
,
(IF
(
C11785=""юридична особа""
,
VLOO"&amp;"KUP(D11785,IMPORTRANGE(""https://docs.google.com/spreadsheets/d/14Bd19lYaqBhU8_DElYkX7l4wRkHqqCUFNJY4AfY3kHU/edit?usp=sharing  #gid=0"",""фіз особи new!relations_name_uo""),7,FALSE)
,
)
))"),"ГУЛЯЄВА Ольга Михайлівна")</f>
        <v>ГУЛЯЄВА Ольга Михайлівна</v>
      </c>
      <c r="G11784" s="7" t="s">
        <v>10</v>
      </c>
      <c r="H11784" s="7">
        <v>17846</v>
      </c>
      <c r="I11784" s="8" t="str">
        <f ca="1">IFERROR(__xludf.DUMMYFUNCTION("IF
(
G11785=""фізична особа""
,
VLOOKUP(H11785,IMPORTRANGE(""https://docs.google.com/spreadsheets/d/14Bd19lYaqBhU8_DElYkX7l4wRkHqqCUFNJY4AfY3kHU/edit?usp=sharing  #gid=0"",""фіз особи new!relations_name""),6,FALSE)
,
(IF
(
G11785=""юридична особа""
,
VLOO"&amp;"KUP(H11785,IMPORTRANGE(""https://docs.google.com/spreadsheets/d/14Bd19lYaqBhU8_DElYkX7l4wRkHqqCUFNJY4AfY3kHU/edit?usp=sharing  #gid=0"",""фіз особи new!relations_name_uo""),7,FALSE)
,
)
))"),"КУЗНЄЦОВ Геннадій Миколайович")</f>
        <v>КУЗНЄЦОВ Геннадій Миколайович</v>
      </c>
      <c r="J11784" s="7" t="s">
        <v>11</v>
      </c>
    </row>
    <row r="11785" spans="1:10" ht="13.2">
      <c r="A11785" s="7">
        <v>11784</v>
      </c>
      <c r="B11785" s="7">
        <v>1</v>
      </c>
      <c r="C11785" s="7" t="s">
        <v>10</v>
      </c>
      <c r="D11785" s="7">
        <v>17848</v>
      </c>
      <c r="E11785" s="7" t="s">
        <v>11</v>
      </c>
      <c r="F11785" s="8" t="str">
        <f ca="1">IFERROR(__xludf.DUMMYFUNCTION("IF
(
C11786=""фізична особа""
,
VLOOKUP(D11786,IMPORTRANGE(""https://docs.google.com/spreadsheets/d/14Bd19lYaqBhU8_DElYkX7l4wRkHqqCUFNJY4AfY3kHU/edit?usp=sharing  #gid=0"",""фіз особи new!relations_name""),6,FALSE)
,
(IF
(
C11786=""юридична особа""
,
VLOO"&amp;"KUP(D11786,IMPORTRANGE(""https://docs.google.com/spreadsheets/d/14Bd19lYaqBhU8_DElYkX7l4wRkHqqCUFNJY4AfY3kHU/edit?usp=sharing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G11785" s="7" t="s">
        <v>10</v>
      </c>
      <c r="H11785" s="7">
        <v>17849</v>
      </c>
      <c r="I11785" s="8" t="str">
        <f ca="1">IFERROR(__xludf.DUMMYFUNCTION("IF
(
G11786=""фізична особа""
,
VLOOKUP(H11786,IMPORTRANGE(""https://docs.google.com/spreadsheets/d/14Bd19lYaqBhU8_DElYkX7l4wRkHqqCUFNJY4AfY3kHU/edit?usp=sharing  #gid=0"",""фіз особи new!relations_name""),6,FALSE)
,
(IF
(
G11786=""юридична особа""
,
VLOO"&amp;"KUP(H11786,IMPORTRANGE(""https://docs.google.com/spreadsheets/d/14Bd19lYaqBhU8_DElYkX7l4wRkHqqCUFNJY4AfY3kHU/edit?usp=sharing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J11785" s="7" t="s">
        <v>11</v>
      </c>
    </row>
    <row r="11786" spans="1:10" ht="13.2">
      <c r="A11786" s="7">
        <v>11785</v>
      </c>
      <c r="B11786" s="7">
        <v>1</v>
      </c>
      <c r="C11786" s="7" t="s">
        <v>10</v>
      </c>
      <c r="D11786" s="7">
        <v>17848</v>
      </c>
      <c r="E11786" s="7" t="s">
        <v>11</v>
      </c>
      <c r="F11786" s="8" t="str">
        <f ca="1">IFERROR(__xludf.DUMMYFUNCTION("IF
(
C11787=""фізична особа""
,
VLOOKUP(D11787,IMPORTRANGE(""https://docs.google.com/spreadsheets/d/14Bd19lYaqBhU8_DElYkX7l4wRkHqqCUFNJY4AfY3kHU/edit?usp=sharing  #gid=0"",""фіз особи new!relations_name""),6,FALSE)
,
(IF
(
C11787=""юридична особа""
,
VLOO"&amp;"KUP(D11787,IMPORTRANGE(""https://docs.google.com/spreadsheets/d/14Bd19lYaqBhU8_DElYkX7l4wRkHqqCUFNJY4AfY3kHU/edit?usp=sharing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G11786" s="7" t="s">
        <v>10</v>
      </c>
      <c r="H11786" s="7">
        <v>17850</v>
      </c>
      <c r="I11786" s="8" t="str">
        <f ca="1">IFERROR(__xludf.DUMMYFUNCTION("IF
(
G11787=""фізична особа""
,
VLOOKUP(H11787,IMPORTRANGE(""https://docs.google.com/spreadsheets/d/14Bd19lYaqBhU8_DElYkX7l4wRkHqqCUFNJY4AfY3kHU/edit?usp=sharing  #gid=0"",""фіз особи new!relations_name""),6,FALSE)
,
(IF
(
G11787=""юридична особа""
,
VLOO"&amp;"KUP(H11787,IMPORTRANGE(""https://docs.google.com/spreadsheets/d/14Bd19lYaqBhU8_DElYkX7l4wRkHqqCUFNJY4AfY3kHU/edit?usp=sharing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J11786" s="7" t="s">
        <v>11</v>
      </c>
    </row>
    <row r="11787" spans="1:10" ht="13.2">
      <c r="A11787" s="7">
        <v>11786</v>
      </c>
      <c r="B11787" s="7">
        <v>1</v>
      </c>
      <c r="C11787" s="7" t="s">
        <v>10</v>
      </c>
      <c r="D11787" s="7">
        <v>17848</v>
      </c>
      <c r="E11787" s="7" t="s">
        <v>11</v>
      </c>
      <c r="F11787" s="8" t="str">
        <f ca="1">IFERROR(__xludf.DUMMYFUNCTION("IF
(
C11788=""фізична особа""
,
VLOOKUP(D11788,IMPORTRANGE(""https://docs.google.com/spreadsheets/d/14Bd19lYaqBhU8_DElYkX7l4wRkHqqCUFNJY4AfY3kHU/edit?usp=sharing  #gid=0"",""фіз особи new!relations_name""),6,FALSE)
,
(IF
(
C11788=""юридична особа""
,
VLOO"&amp;"KUP(D11788,IMPORTRANGE(""https://docs.google.com/spreadsheets/d/14Bd19lYaqBhU8_DElYkX7l4wRkHqqCUFNJY4AfY3kHU/edit?usp=sharing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G11787" s="7" t="s">
        <v>10</v>
      </c>
      <c r="H11787" s="7">
        <v>17851</v>
      </c>
      <c r="I11787" s="8" t="str">
        <f ca="1">IFERROR(__xludf.DUMMYFUNCTION("IF
(
G11788=""фізична особа""
,
VLOOKUP(H11788,IMPORTRANGE(""https://docs.google.com/spreadsheets/d/14Bd19lYaqBhU8_DElYkX7l4wRkHqqCUFNJY4AfY3kHU/edit?usp=sharing  #gid=0"",""фіз особи new!relations_name""),6,FALSE)
,
(IF
(
G11788=""юридична особа""
,
VLOO"&amp;"KUP(H11788,IMPORTRANGE(""https://docs.google.com/spreadsheets/d/14Bd19lYaqBhU8_DElYkX7l4wRkHqqCUFNJY4AfY3kHU/edit?usp=sharing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J11787" s="7" t="s">
        <v>11</v>
      </c>
    </row>
    <row r="11788" spans="1:10" ht="13.2">
      <c r="A11788" s="7">
        <v>11787</v>
      </c>
      <c r="B11788" s="7">
        <v>1</v>
      </c>
      <c r="C11788" s="7" t="s">
        <v>10</v>
      </c>
      <c r="D11788" s="7">
        <v>17849</v>
      </c>
      <c r="E11788" s="7" t="s">
        <v>11</v>
      </c>
      <c r="F11788" s="8" t="str">
        <f ca="1">IFERROR(__xludf.DUMMYFUNCTION("IF
(
C11789=""фізична особа""
,
VLOOKUP(D11789,IMPORTRANGE(""https://docs.google.com/spreadsheets/d/14Bd19lYaqBhU8_DElYkX7l4wRkHqqCUFNJY4AfY3kHU/edit?usp=sharing  #gid=0"",""фіз особи new!relations_name""),6,FALSE)
,
(IF
(
C11789=""юридична особа""
,
VLOO"&amp;"KUP(D11789,IMPORTRANGE(""https://docs.google.com/spreadsheets/d/14Bd19lYaqBhU8_DElYkX7l4wRkHqqCUFNJY4AfY3kHU/edit?usp=sharing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G11788" s="7" t="s">
        <v>10</v>
      </c>
      <c r="H11788" s="7">
        <v>17848</v>
      </c>
      <c r="I11788" s="8" t="str">
        <f ca="1">IFERROR(__xludf.DUMMYFUNCTION("IF
(
G11789=""фізична особа""
,
VLOOKUP(H11789,IMPORTRANGE(""https://docs.google.com/spreadsheets/d/14Bd19lYaqBhU8_DElYkX7l4wRkHqqCUFNJY4AfY3kHU/edit?usp=sharing  #gid=0"",""фіз особи new!relations_name""),6,FALSE)
,
(IF
(
G11789=""юридична особа""
,
VLOO"&amp;"KUP(H11789,IMPORTRANGE(""https://docs.google.com/spreadsheets/d/14Bd19lYaqBhU8_DElYkX7l4wRkHqqCUFNJY4AfY3kHU/edit?usp=sharing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J11788" s="7" t="s">
        <v>11</v>
      </c>
    </row>
    <row r="11789" spans="1:10" ht="13.2">
      <c r="A11789" s="7">
        <v>11788</v>
      </c>
      <c r="B11789" s="7">
        <v>1</v>
      </c>
      <c r="C11789" s="7" t="s">
        <v>10</v>
      </c>
      <c r="D11789" s="7">
        <v>17849</v>
      </c>
      <c r="E11789" s="7" t="s">
        <v>11</v>
      </c>
      <c r="F11789" s="8" t="str">
        <f ca="1">IFERROR(__xludf.DUMMYFUNCTION("IF
(
C11790=""фізична особа""
,
VLOOKUP(D11790,IMPORTRANGE(""https://docs.google.com/spreadsheets/d/14Bd19lYaqBhU8_DElYkX7l4wRkHqqCUFNJY4AfY3kHU/edit?usp=sharing  #gid=0"",""фіз особи new!relations_name""),6,FALSE)
,
(IF
(
C11790=""юридична особа""
,
VLOO"&amp;"KUP(D11790,IMPORTRANGE(""https://docs.google.com/spreadsheets/d/14Bd19lYaqBhU8_DElYkX7l4wRkHqqCUFNJY4AfY3kHU/edit?usp=sharing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G11789" s="7" t="s">
        <v>10</v>
      </c>
      <c r="H11789" s="7">
        <v>17850</v>
      </c>
      <c r="I11789" s="8" t="str">
        <f ca="1">IFERROR(__xludf.DUMMYFUNCTION("IF
(
G11790=""фізична особа""
,
VLOOKUP(H11790,IMPORTRANGE(""https://docs.google.com/spreadsheets/d/14Bd19lYaqBhU8_DElYkX7l4wRkHqqCUFNJY4AfY3kHU/edit?usp=sharing  #gid=0"",""фіз особи new!relations_name""),6,FALSE)
,
(IF
(
G11790=""юридична особа""
,
VLOO"&amp;"KUP(H11790,IMPORTRANGE(""https://docs.google.com/spreadsheets/d/14Bd19lYaqBhU8_DElYkX7l4wRkHqqCUFNJY4AfY3kHU/edit?usp=sharing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J11789" s="7" t="s">
        <v>11</v>
      </c>
    </row>
    <row r="11790" spans="1:10" ht="13.2">
      <c r="A11790" s="7">
        <v>11789</v>
      </c>
      <c r="B11790" s="7">
        <v>1</v>
      </c>
      <c r="C11790" s="7" t="s">
        <v>10</v>
      </c>
      <c r="D11790" s="7">
        <v>17849</v>
      </c>
      <c r="E11790" s="7" t="s">
        <v>11</v>
      </c>
      <c r="F11790" s="8" t="str">
        <f ca="1">IFERROR(__xludf.DUMMYFUNCTION("IF
(
C11791=""фізична особа""
,
VLOOKUP(D11791,IMPORTRANGE(""https://docs.google.com/spreadsheets/d/14Bd19lYaqBhU8_DElYkX7l4wRkHqqCUFNJY4AfY3kHU/edit?usp=sharing  #gid=0"",""фіз особи new!relations_name""),6,FALSE)
,
(IF
(
C11791=""юридична особа""
,
VLOO"&amp;"KUP(D11791,IMPORTRANGE(""https://docs.google.com/spreadsheets/d/14Bd19lYaqBhU8_DElYkX7l4wRkHqqCUFNJY4AfY3kHU/edit?usp=sharing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G11790" s="7" t="s">
        <v>10</v>
      </c>
      <c r="H11790" s="7">
        <v>17851</v>
      </c>
      <c r="I11790" s="8" t="str">
        <f ca="1">IFERROR(__xludf.DUMMYFUNCTION("IF
(
G11791=""фізична особа""
,
VLOOKUP(H11791,IMPORTRANGE(""https://docs.google.com/spreadsheets/d/14Bd19lYaqBhU8_DElYkX7l4wRkHqqCUFNJY4AfY3kHU/edit?usp=sharing  #gid=0"",""фіз особи new!relations_name""),6,FALSE)
,
(IF
(
G11791=""юридична особа""
,
VLOO"&amp;"KUP(H11791,IMPORTRANGE(""https://docs.google.com/spreadsheets/d/14Bd19lYaqBhU8_DElYkX7l4wRkHqqCUFNJY4AfY3kHU/edit?usp=sharing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J11790" s="7" t="s">
        <v>11</v>
      </c>
    </row>
    <row r="11791" spans="1:10" ht="13.2">
      <c r="A11791" s="7">
        <v>11790</v>
      </c>
      <c r="B11791" s="7">
        <v>1</v>
      </c>
      <c r="C11791" s="7" t="s">
        <v>10</v>
      </c>
      <c r="D11791" s="7">
        <v>17850</v>
      </c>
      <c r="E11791" s="7" t="s">
        <v>11</v>
      </c>
      <c r="F11791" s="8" t="str">
        <f ca="1">IFERROR(__xludf.DUMMYFUNCTION("IF
(
C11792=""фізична особа""
,
VLOOKUP(D11792,IMPORTRANGE(""https://docs.google.com/spreadsheets/d/14Bd19lYaqBhU8_DElYkX7l4wRkHqqCUFNJY4AfY3kHU/edit?usp=sharing  #gid=0"",""фіз особи new!relations_name""),6,FALSE)
,
(IF
(
C11792=""юридична особа""
,
VLOO"&amp;"KUP(D11792,IMPORTRANGE(""https://docs.google.com/spreadsheets/d/14Bd19lYaqBhU8_DElYkX7l4wRkHqqCUFNJY4AfY3kHU/edit?usp=sharing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G11791" s="7" t="s">
        <v>10</v>
      </c>
      <c r="H11791" s="7">
        <v>17848</v>
      </c>
      <c r="I11791" s="8" t="str">
        <f ca="1">IFERROR(__xludf.DUMMYFUNCTION("IF
(
G11792=""фізична особа""
,
VLOOKUP(H11792,IMPORTRANGE(""https://docs.google.com/spreadsheets/d/14Bd19lYaqBhU8_DElYkX7l4wRkHqqCUFNJY4AfY3kHU/edit?usp=sharing  #gid=0"",""фіз особи new!relations_name""),6,FALSE)
,
(IF
(
G11792=""юридична особа""
,
VLOO"&amp;"KUP(H11792,IMPORTRANGE(""https://docs.google.com/spreadsheets/d/14Bd19lYaqBhU8_DElYkX7l4wRkHqqCUFNJY4AfY3kHU/edit?usp=sharing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J11791" s="7" t="s">
        <v>11</v>
      </c>
    </row>
    <row r="11792" spans="1:10" ht="13.2">
      <c r="A11792" s="7">
        <v>11791</v>
      </c>
      <c r="B11792" s="7">
        <v>1</v>
      </c>
      <c r="C11792" s="7" t="s">
        <v>10</v>
      </c>
      <c r="D11792" s="7">
        <v>17850</v>
      </c>
      <c r="E11792" s="7" t="s">
        <v>11</v>
      </c>
      <c r="F11792" s="8" t="str">
        <f ca="1">IFERROR(__xludf.DUMMYFUNCTION("IF
(
C11793=""фізична особа""
,
VLOOKUP(D11793,IMPORTRANGE(""https://docs.google.com/spreadsheets/d/14Bd19lYaqBhU8_DElYkX7l4wRkHqqCUFNJY4AfY3kHU/edit?usp=sharing  #gid=0"",""фіз особи new!relations_name""),6,FALSE)
,
(IF
(
C11793=""юридична особа""
,
VLOO"&amp;"KUP(D11793,IMPORTRANGE(""https://docs.google.com/spreadsheets/d/14Bd19lYaqBhU8_DElYkX7l4wRkHqqCUFNJY4AfY3kHU/edit?usp=sharing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G11792" s="7" t="s">
        <v>10</v>
      </c>
      <c r="H11792" s="7">
        <v>17849</v>
      </c>
      <c r="I11792" s="8" t="str">
        <f ca="1">IFERROR(__xludf.DUMMYFUNCTION("IF
(
G11793=""фізична особа""
,
VLOOKUP(H11793,IMPORTRANGE(""https://docs.google.com/spreadsheets/d/14Bd19lYaqBhU8_DElYkX7l4wRkHqqCUFNJY4AfY3kHU/edit?usp=sharing  #gid=0"",""фіз особи new!relations_name""),6,FALSE)
,
(IF
(
G11793=""юридична особа""
,
VLOO"&amp;"KUP(H11793,IMPORTRANGE(""https://docs.google.com/spreadsheets/d/14Bd19lYaqBhU8_DElYkX7l4wRkHqqCUFNJY4AfY3kHU/edit?usp=sharing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J11792" s="7" t="s">
        <v>11</v>
      </c>
    </row>
    <row r="11793" spans="1:10" ht="13.2">
      <c r="A11793" s="7">
        <v>11792</v>
      </c>
      <c r="B11793" s="7">
        <v>1</v>
      </c>
      <c r="C11793" s="7" t="s">
        <v>10</v>
      </c>
      <c r="D11793" s="7">
        <v>17850</v>
      </c>
      <c r="E11793" s="7" t="s">
        <v>11</v>
      </c>
      <c r="F11793" s="8" t="str">
        <f ca="1">IFERROR(__xludf.DUMMYFUNCTION("IF
(
C11794=""фізична особа""
,
VLOOKUP(D11794,IMPORTRANGE(""https://docs.google.com/spreadsheets/d/14Bd19lYaqBhU8_DElYkX7l4wRkHqqCUFNJY4AfY3kHU/edit?usp=sharing  #gid=0"",""фіз особи new!relations_name""),6,FALSE)
,
(IF
(
C11794=""юридична особа""
,
VLOO"&amp;"KUP(D11794,IMPORTRANGE(""https://docs.google.com/spreadsheets/d/14Bd19lYaqBhU8_DElYkX7l4wRkHqqCUFNJY4AfY3kHU/edit?usp=sharing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G11793" s="7" t="s">
        <v>10</v>
      </c>
      <c r="H11793" s="7">
        <v>17851</v>
      </c>
      <c r="I11793" s="8" t="str">
        <f ca="1">IFERROR(__xludf.DUMMYFUNCTION("IF
(
G11794=""фізична особа""
,
VLOOKUP(H11794,IMPORTRANGE(""https://docs.google.com/spreadsheets/d/14Bd19lYaqBhU8_DElYkX7l4wRkHqqCUFNJY4AfY3kHU/edit?usp=sharing  #gid=0"",""фіз особи new!relations_name""),6,FALSE)
,
(IF
(
G11794=""юридична особа""
,
VLOO"&amp;"KUP(H11794,IMPORTRANGE(""https://docs.google.com/spreadsheets/d/14Bd19lYaqBhU8_DElYkX7l4wRkHqqCUFNJY4AfY3kHU/edit?usp=sharing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J11793" s="7" t="s">
        <v>11</v>
      </c>
    </row>
    <row r="11794" spans="1:10" ht="13.2">
      <c r="A11794" s="7">
        <v>11793</v>
      </c>
      <c r="B11794" s="7">
        <v>1</v>
      </c>
      <c r="C11794" s="7" t="s">
        <v>10</v>
      </c>
      <c r="D11794" s="7">
        <v>17851</v>
      </c>
      <c r="E11794" s="7" t="s">
        <v>11</v>
      </c>
      <c r="F11794" s="8" t="str">
        <f ca="1">IFERROR(__xludf.DUMMYFUNCTION("IF
(
C11795=""фізична особа""
,
VLOOKUP(D11795,IMPORTRANGE(""https://docs.google.com/spreadsheets/d/14Bd19lYaqBhU8_DElYkX7l4wRkHqqCUFNJY4AfY3kHU/edit?usp=sharing  #gid=0"",""фіз особи new!relations_name""),6,FALSE)
,
(IF
(
C11795=""юридична особа""
,
VLOO"&amp;"KUP(D11795,IMPORTRANGE(""https://docs.google.com/spreadsheets/d/14Bd19lYaqBhU8_DElYkX7l4wRkHqqCUFNJY4AfY3kHU/edit?usp=sharing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G11794" s="7" t="s">
        <v>10</v>
      </c>
      <c r="H11794" s="7">
        <v>17848</v>
      </c>
      <c r="I11794" s="8" t="str">
        <f ca="1">IFERROR(__xludf.DUMMYFUNCTION("IF
(
G11795=""фізична особа""
,
VLOOKUP(H11795,IMPORTRANGE(""https://docs.google.com/spreadsheets/d/14Bd19lYaqBhU8_DElYkX7l4wRkHqqCUFNJY4AfY3kHU/edit?usp=sharing  #gid=0"",""фіз особи new!relations_name""),6,FALSE)
,
(IF
(
G11795=""юридична особа""
,
VLOO"&amp;"KUP(H11795,IMPORTRANGE(""https://docs.google.com/spreadsheets/d/14Bd19lYaqBhU8_DElYkX7l4wRkHqqCUFNJY4AfY3kHU/edit?usp=sharing  #gid=0"",""фіз особи new!relations_name_uo""),7,FALSE)
,
)
))"),"ПОНОМАРЬОВ Дмитро Миколайович")</f>
        <v>ПОНОМАРЬОВ Дмитро Миколайович</v>
      </c>
      <c r="J11794" s="7" t="s">
        <v>11</v>
      </c>
    </row>
    <row r="11795" spans="1:10" ht="13.2">
      <c r="A11795" s="7">
        <v>11794</v>
      </c>
      <c r="B11795" s="7">
        <v>1</v>
      </c>
      <c r="C11795" s="7" t="s">
        <v>10</v>
      </c>
      <c r="D11795" s="7">
        <v>17851</v>
      </c>
      <c r="E11795" s="7" t="s">
        <v>11</v>
      </c>
      <c r="F11795" s="8" t="str">
        <f ca="1">IFERROR(__xludf.DUMMYFUNCTION("IF
(
C11796=""фізична особа""
,
VLOOKUP(D11796,IMPORTRANGE(""https://docs.google.com/spreadsheets/d/14Bd19lYaqBhU8_DElYkX7l4wRkHqqCUFNJY4AfY3kHU/edit?usp=sharing  #gid=0"",""фіз особи new!relations_name""),6,FALSE)
,
(IF
(
C11796=""юридична особа""
,
VLOO"&amp;"KUP(D11796,IMPORTRANGE(""https://docs.google.com/spreadsheets/d/14Bd19lYaqBhU8_DElYkX7l4wRkHqqCUFNJY4AfY3kHU/edit?usp=sharing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G11795" s="7" t="s">
        <v>10</v>
      </c>
      <c r="H11795" s="7">
        <v>17849</v>
      </c>
      <c r="I11795" s="8" t="str">
        <f ca="1">IFERROR(__xludf.DUMMYFUNCTION("IF
(
G11796=""фізична особа""
,
VLOOKUP(H11796,IMPORTRANGE(""https://docs.google.com/spreadsheets/d/14Bd19lYaqBhU8_DElYkX7l4wRkHqqCUFNJY4AfY3kHU/edit?usp=sharing  #gid=0"",""фіз особи new!relations_name""),6,FALSE)
,
(IF
(
G11796=""юридична особа""
,
VLOO"&amp;"KUP(H11796,IMPORTRANGE(""https://docs.google.com/spreadsheets/d/14Bd19lYaqBhU8_DElYkX7l4wRkHqqCUFNJY4AfY3kHU/edit?usp=sharing  #gid=0"",""фіз особи new!relations_name_uo""),7,FALSE)
,
)
))"),"МІЗЯКІН Олександр Арійович")</f>
        <v>МІЗЯКІН Олександр Арійович</v>
      </c>
      <c r="J11795" s="7" t="s">
        <v>11</v>
      </c>
    </row>
    <row r="11796" spans="1:10" ht="13.2">
      <c r="A11796" s="7">
        <v>11795</v>
      </c>
      <c r="B11796" s="7">
        <v>1</v>
      </c>
      <c r="C11796" s="7" t="s">
        <v>10</v>
      </c>
      <c r="D11796" s="7">
        <v>17851</v>
      </c>
      <c r="E11796" s="7" t="s">
        <v>11</v>
      </c>
      <c r="F11796" s="8" t="str">
        <f ca="1">IFERROR(__xludf.DUMMYFUNCTION("IF
(
C11797=""фізична особа""
,
VLOOKUP(D11797,IMPORTRANGE(""https://docs.google.com/spreadsheets/d/14Bd19lYaqBhU8_DElYkX7l4wRkHqqCUFNJY4AfY3kHU/edit?usp=sharing  #gid=0"",""фіз особи new!relations_name""),6,FALSE)
,
(IF
(
C11797=""юридична особа""
,
VLOO"&amp;"KUP(D11797,IMPORTRANGE(""https://docs.google.com/spreadsheets/d/14Bd19lYaqBhU8_DElYkX7l4wRkHqqCUFNJY4AfY3kHU/edit?usp=sharing  #gid=0"",""фіз особи new!relations_name_uo""),7,FALSE)
,
)
))"),"ГЕВОРКЯН Ваган Геворкович")</f>
        <v>ГЕВОРКЯН Ваган Геворкович</v>
      </c>
      <c r="G11796" s="7" t="s">
        <v>10</v>
      </c>
      <c r="H11796" s="7">
        <v>17850</v>
      </c>
      <c r="I11796" s="8" t="str">
        <f ca="1">IFERROR(__xludf.DUMMYFUNCTION("IF
(
G11797=""фізична особа""
,
VLOOKUP(H11797,IMPORTRANGE(""https://docs.google.com/spreadsheets/d/14Bd19lYaqBhU8_DElYkX7l4wRkHqqCUFNJY4AfY3kHU/edit?usp=sharing  #gid=0"",""фіз особи new!relations_name""),6,FALSE)
,
(IF
(
G11797=""юридична особа""
,
VLOO"&amp;"KUP(H11797,IMPORTRANGE(""https://docs.google.com/spreadsheets/d/14Bd19lYaqBhU8_DElYkX7l4wRkHqqCUFNJY4AfY3kHU/edit?usp=sharing  #gid=0"",""фіз особи new!relations_name_uo""),7,FALSE)
,
)
))"),"МУКАЄВ Роберт Фарітович")</f>
        <v>МУКАЄВ Роберт Фарітович</v>
      </c>
      <c r="J11796" s="7" t="s">
        <v>11</v>
      </c>
    </row>
    <row r="11797" spans="1:10" ht="13.2">
      <c r="A11797" s="7">
        <v>11796</v>
      </c>
      <c r="B11797" s="7">
        <v>1</v>
      </c>
      <c r="C11797" s="7" t="s">
        <v>10</v>
      </c>
      <c r="D11797" s="7">
        <v>17852</v>
      </c>
      <c r="E11797" s="7" t="s">
        <v>11</v>
      </c>
      <c r="F11797" s="8" t="str">
        <f ca="1">IFERROR(__xludf.DUMMYFUNCTION("IF
(
C11798=""фізична особа""
,
VLOOKUP(D11798,IMPORTRANGE(""https://docs.google.com/spreadsheets/d/14Bd19lYaqBhU8_DElYkX7l4wRkHqqCUFNJY4AfY3kHU/edit?usp=sharing  #gid=0"",""фіз особи new!relations_name""),6,FALSE)
,
(IF
(
C11798=""юридична особа""
,
VLOO"&amp;"KUP(D11798,IMPORTRANGE(""https://docs.google.com/spreadsheets/d/14Bd19lYaqBhU8_DElYkX7l4wRkHqqCUFNJY4AfY3kHU/edit?usp=sharing  #gid=0"",""фіз особи new!relations_name_uo""),7,FALSE)
,
)
))"),"ЧУМАКОВ Василь Ігорович")</f>
        <v>ЧУМАКОВ Василь Ігорович</v>
      </c>
      <c r="G11797" s="7" t="s">
        <v>10</v>
      </c>
      <c r="H11797" s="7">
        <v>17853</v>
      </c>
      <c r="I11797" s="8" t="str">
        <f ca="1">IFERROR(__xludf.DUMMYFUNCTION("IF
(
G11798=""фізична особа""
,
VLOOKUP(H11798,IMPORTRANGE(""https://docs.google.com/spreadsheets/d/14Bd19lYaqBhU8_DElYkX7l4wRkHqqCUFNJY4AfY3kHU/edit?usp=sharing  #gid=0"",""фіз особи new!relations_name""),6,FALSE)
,
(IF
(
G11798=""юридична особа""
,
VLOO"&amp;"KUP(H11798,IMPORTRANGE(""https://docs.google.com/spreadsheets/d/14Bd19lYaqBhU8_DElYkX7l4wRkHqqCUFNJY4AfY3kHU/edit?usp=sharing  #gid=0"",""фіз особи new!relations_name_uo""),7,FALSE)
,
)
))"),"МАЗУРКЕВИЧ Сергій Леонідович")</f>
        <v>МАЗУРКЕВИЧ Сергій Леонідович</v>
      </c>
      <c r="J11797" s="7" t="s">
        <v>11</v>
      </c>
    </row>
    <row r="11798" spans="1:10" ht="13.2">
      <c r="A11798" s="7">
        <v>11797</v>
      </c>
      <c r="B11798" s="7">
        <v>1</v>
      </c>
      <c r="C11798" s="7" t="s">
        <v>10</v>
      </c>
      <c r="D11798" s="7">
        <v>17853</v>
      </c>
      <c r="E11798" s="7" t="s">
        <v>11</v>
      </c>
      <c r="F11798" s="8" t="str">
        <f ca="1">IFERROR(__xludf.DUMMYFUNCTION("IF
(
C11799=""фізична особа""
,
VLOOKUP(D11799,IMPORTRANGE(""https://docs.google.com/spreadsheets/d/14Bd19lYaqBhU8_DElYkX7l4wRkHqqCUFNJY4AfY3kHU/edit?usp=sharing  #gid=0"",""фіз особи new!relations_name""),6,FALSE)
,
(IF
(
C11799=""юридична особа""
,
VLOO"&amp;"KUP(D11799,IMPORTRANGE(""https://docs.google.com/spreadsheets/d/14Bd19lYaqBhU8_DElYkX7l4wRkHqqCUFNJY4AfY3kHU/edit?usp=sharing  #gid=0"",""фіз особи new!relations_name_uo""),7,FALSE)
,
)
))"),"МАЗУРКЕВИЧ Сергій Леонідович")</f>
        <v>МАЗУРКЕВИЧ Сергій Леонідович</v>
      </c>
      <c r="G11798" s="7" t="s">
        <v>10</v>
      </c>
      <c r="H11798" s="7">
        <v>17852</v>
      </c>
      <c r="I11798" s="8" t="str">
        <f ca="1">IFERROR(__xludf.DUMMYFUNCTION("IF
(
G11799=""фізична особа""
,
VLOOKUP(H11799,IMPORTRANGE(""https://docs.google.com/spreadsheets/d/14Bd19lYaqBhU8_DElYkX7l4wRkHqqCUFNJY4AfY3kHU/edit?usp=sharing  #gid=0"",""фіз особи new!relations_name""),6,FALSE)
,
(IF
(
G11799=""юридична особа""
,
VLOO"&amp;"KUP(H11799,IMPORTRANGE(""https://docs.google.com/spreadsheets/d/14Bd19lYaqBhU8_DElYkX7l4wRkHqqCUFNJY4AfY3kHU/edit?usp=sharing  #gid=0"",""фіз особи new!relations_name_uo""),7,FALSE)
,
)
))"),"ЧУМАКОВ Василь Ігорович")</f>
        <v>ЧУМАКОВ Василь Ігорович</v>
      </c>
      <c r="J11798" s="7" t="s">
        <v>11</v>
      </c>
    </row>
    <row r="11799" spans="1:10" ht="13.2">
      <c r="A11799" s="7">
        <v>11798</v>
      </c>
      <c r="B11799" s="7">
        <v>1</v>
      </c>
      <c r="C11799" s="7" t="s">
        <v>10</v>
      </c>
      <c r="D11799" s="7">
        <v>17854</v>
      </c>
      <c r="E11799" s="7" t="s">
        <v>11</v>
      </c>
      <c r="F11799" s="8" t="str">
        <f ca="1">IFERROR(__xludf.DUMMYFUNCTION("IF
(
C11800=""фізична особа""
,
VLOOKUP(D11800,IMPORTRANGE(""https://docs.google.com/spreadsheets/d/14Bd19lYaqBhU8_DElYkX7l4wRkHqqCUFNJY4AfY3kHU/edit?usp=sharing  #gid=0"",""фіз особи new!relations_name""),6,FALSE)
,
(IF
(
C11800=""юридична особа""
,
VLOO"&amp;"KUP(D11800,IMPORTRANGE(""https://docs.google.com/spreadsheets/d/14Bd19lYaqBhU8_DElYkX7l4wRkHqqCUFNJY4AfY3kHU/edit?usp=sharing  #gid=0"",""фіз особи new!relations_name_uo""),7,FALSE)
,
)
))"),"ФЕКЛІСТОВ Денис Георгійович")</f>
        <v>ФЕКЛІСТОВ Денис Георгійович</v>
      </c>
      <c r="G11799" s="7" t="s">
        <v>10</v>
      </c>
      <c r="H11799" s="7">
        <v>17855</v>
      </c>
      <c r="I11799" s="8" t="str">
        <f ca="1">IFERROR(__xludf.DUMMYFUNCTION("IF
(
G11800=""фізична особа""
,
VLOOKUP(H11800,IMPORTRANGE(""https://docs.google.com/spreadsheets/d/14Bd19lYaqBhU8_DElYkX7l4wRkHqqCUFNJY4AfY3kHU/edit?usp=sharing  #gid=0"",""фіз особи new!relations_name""),6,FALSE)
,
(IF
(
G11800=""юридична особа""
,
VLOO"&amp;"KUP(H11800,IMPORTRANGE(""https://docs.google.com/spreadsheets/d/14Bd19lYaqBhU8_DElYkX7l4wRkHqqCUFNJY4AfY3kHU/edit?usp=sharing  #gid=0"",""фіз особи new!relations_name_uo""),7,FALSE)
,
)
))"),"МІГАЛЧАН Петро Троянович")</f>
        <v>МІГАЛЧАН Петро Троянович</v>
      </c>
      <c r="J11799" s="7" t="s">
        <v>11</v>
      </c>
    </row>
    <row r="11800" spans="1:10" ht="13.2">
      <c r="A11800" s="7">
        <v>11799</v>
      </c>
      <c r="B11800" s="7">
        <v>1</v>
      </c>
      <c r="C11800" s="7" t="s">
        <v>10</v>
      </c>
      <c r="D11800" s="7">
        <v>17855</v>
      </c>
      <c r="E11800" s="7" t="s">
        <v>11</v>
      </c>
      <c r="F11800" s="8" t="str">
        <f ca="1">IFERROR(__xludf.DUMMYFUNCTION("IF
(
C11801=""фізична особа""
,
VLOOKUP(D11801,IMPORTRANGE(""https://docs.google.com/spreadsheets/d/14Bd19lYaqBhU8_DElYkX7l4wRkHqqCUFNJY4AfY3kHU/edit?usp=sharing  #gid=0"",""фіз особи new!relations_name""),6,FALSE)
,
(IF
(
C11801=""юридична особа""
,
VLOO"&amp;"KUP(D11801,IMPORTRANGE(""https://docs.google.com/spreadsheets/d/14Bd19lYaqBhU8_DElYkX7l4wRkHqqCUFNJY4AfY3kHU/edit?usp=sharing  #gid=0"",""фіз особи new!relations_name_uo""),7,FALSE)
,
)
))"),"МІГАЛЧАН Петро Троянович")</f>
        <v>МІГАЛЧАН Петро Троянович</v>
      </c>
      <c r="G11800" s="7" t="s">
        <v>10</v>
      </c>
      <c r="H11800" s="7">
        <v>17854</v>
      </c>
      <c r="I11800" s="8" t="str">
        <f ca="1">IFERROR(__xludf.DUMMYFUNCTION("IF
(
G11801=""фізична особа""
,
VLOOKUP(H11801,IMPORTRANGE(""https://docs.google.com/spreadsheets/d/14Bd19lYaqBhU8_DElYkX7l4wRkHqqCUFNJY4AfY3kHU/edit?usp=sharing  #gid=0"",""фіз особи new!relations_name""),6,FALSE)
,
(IF
(
G11801=""юридична особа""
,
VLOO"&amp;"KUP(H11801,IMPORTRANGE(""https://docs.google.com/spreadsheets/d/14Bd19lYaqBhU8_DElYkX7l4wRkHqqCUFNJY4AfY3kHU/edit?usp=sharing  #gid=0"",""фіз особи new!relations_name_uo""),7,FALSE)
,
)
))"),"ФЕКЛІСТОВ Денис Георгійович")</f>
        <v>ФЕКЛІСТОВ Денис Георгійович</v>
      </c>
      <c r="J11800" s="7" t="s">
        <v>11</v>
      </c>
    </row>
    <row r="11801" spans="1:10" ht="13.2">
      <c r="A11801" s="7">
        <v>11800</v>
      </c>
      <c r="B11801" s="7">
        <v>1</v>
      </c>
      <c r="C11801" s="7" t="s">
        <v>10</v>
      </c>
      <c r="D11801" s="7">
        <v>17856</v>
      </c>
      <c r="E11801" s="7" t="s">
        <v>11</v>
      </c>
      <c r="F11801" s="8" t="str">
        <f ca="1">IFERROR(__xludf.DUMMYFUNCTION("IF
(
C11802=""фізична особа""
,
VLOOKUP(D11802,IMPORTRANGE(""https://docs.google.com/spreadsheets/d/14Bd19lYaqBhU8_DElYkX7l4wRkHqqCUFNJY4AfY3kHU/edit?usp=sharing  #gid=0"",""фіз особи new!relations_name""),6,FALSE)
,
(IF
(
C11802=""юридична особа""
,
VLOO"&amp;"KUP(D11802,IMPORTRANGE(""https://docs.google.com/spreadsheets/d/14Bd19lYaqBhU8_DElYkX7l4wRkHqqCUFNJY4AfY3kHU/edit?usp=sharing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G11801" s="7" t="s">
        <v>10</v>
      </c>
      <c r="H11801" s="7">
        <v>17857</v>
      </c>
      <c r="I11801" s="8" t="str">
        <f ca="1">IFERROR(__xludf.DUMMYFUNCTION("IF
(
G11802=""фізична особа""
,
VLOOKUP(H11802,IMPORTRANGE(""https://docs.google.com/spreadsheets/d/14Bd19lYaqBhU8_DElYkX7l4wRkHqqCUFNJY4AfY3kHU/edit?usp=sharing  #gid=0"",""фіз особи new!relations_name""),6,FALSE)
,
(IF
(
G11802=""юридична особа""
,
VLOO"&amp;"KUP(H11802,IMPORTRANGE(""https://docs.google.com/spreadsheets/d/14Bd19lYaqBhU8_DElYkX7l4wRkHqqCUFNJY4AfY3kHU/edit?usp=sharing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J11801" s="7" t="s">
        <v>11</v>
      </c>
    </row>
    <row r="11802" spans="1:10" ht="13.2">
      <c r="A11802" s="7">
        <v>11801</v>
      </c>
      <c r="B11802" s="7">
        <v>1</v>
      </c>
      <c r="C11802" s="7" t="s">
        <v>10</v>
      </c>
      <c r="D11802" s="7">
        <v>17856</v>
      </c>
      <c r="E11802" s="7" t="s">
        <v>11</v>
      </c>
      <c r="F11802" s="8" t="str">
        <f ca="1">IFERROR(__xludf.DUMMYFUNCTION("IF
(
C11803=""фізична особа""
,
VLOOKUP(D11803,IMPORTRANGE(""https://docs.google.com/spreadsheets/d/14Bd19lYaqBhU8_DElYkX7l4wRkHqqCUFNJY4AfY3kHU/edit?usp=sharing  #gid=0"",""фіз особи new!relations_name""),6,FALSE)
,
(IF
(
C11803=""юридична особа""
,
VLOO"&amp;"KUP(D11803,IMPORTRANGE(""https://docs.google.com/spreadsheets/d/14Bd19lYaqBhU8_DElYkX7l4wRkHqqCUFNJY4AfY3kHU/edit?usp=sharing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G11802" s="7" t="s">
        <v>10</v>
      </c>
      <c r="H11802" s="7">
        <v>17858</v>
      </c>
      <c r="I11802" s="8" t="str">
        <f ca="1">IFERROR(__xludf.DUMMYFUNCTION("IF
(
G11803=""фізична особа""
,
VLOOKUP(H11803,IMPORTRANGE(""https://docs.google.com/spreadsheets/d/14Bd19lYaqBhU8_DElYkX7l4wRkHqqCUFNJY4AfY3kHU/edit?usp=sharing  #gid=0"",""фіз особи new!relations_name""),6,FALSE)
,
(IF
(
G11803=""юридична особа""
,
VLOO"&amp;"KUP(H11803,IMPORTRANGE(""https://docs.google.com/spreadsheets/d/14Bd19lYaqBhU8_DElYkX7l4wRkHqqCUFNJY4AfY3kHU/edit?usp=sharing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J11802" s="7" t="s">
        <v>11</v>
      </c>
    </row>
    <row r="11803" spans="1:10" ht="13.2">
      <c r="A11803" s="7">
        <v>11802</v>
      </c>
      <c r="B11803" s="7">
        <v>1</v>
      </c>
      <c r="C11803" s="7" t="s">
        <v>10</v>
      </c>
      <c r="D11803" s="7">
        <v>17856</v>
      </c>
      <c r="E11803" s="7" t="s">
        <v>11</v>
      </c>
      <c r="F11803" s="8" t="str">
        <f ca="1">IFERROR(__xludf.DUMMYFUNCTION("IF
(
C11804=""фізична особа""
,
VLOOKUP(D11804,IMPORTRANGE(""https://docs.google.com/spreadsheets/d/14Bd19lYaqBhU8_DElYkX7l4wRkHqqCUFNJY4AfY3kHU/edit?usp=sharing  #gid=0"",""фіз особи new!relations_name""),6,FALSE)
,
(IF
(
C11804=""юридична особа""
,
VLOO"&amp;"KUP(D11804,IMPORTRANGE(""https://docs.google.com/spreadsheets/d/14Bd19lYaqBhU8_DElYkX7l4wRkHqqCUFNJY4AfY3kHU/edit?usp=sharing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G11803" s="7" t="s">
        <v>10</v>
      </c>
      <c r="H11803" s="7">
        <v>17859</v>
      </c>
      <c r="I11803" s="8" t="str">
        <f ca="1">IFERROR(__xludf.DUMMYFUNCTION("IF
(
G11804=""фізична особа""
,
VLOOKUP(H11804,IMPORTRANGE(""https://docs.google.com/spreadsheets/d/14Bd19lYaqBhU8_DElYkX7l4wRkHqqCUFNJY4AfY3kHU/edit?usp=sharing  #gid=0"",""фіз особи new!relations_name""),6,FALSE)
,
(IF
(
G11804=""юридична особа""
,
VLOO"&amp;"KUP(H11804,IMPORTRANGE(""https://docs.google.com/spreadsheets/d/14Bd19lYaqBhU8_DElYkX7l4wRkHqqCUFNJY4AfY3kHU/edit?usp=sharing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J11803" s="7" t="s">
        <v>11</v>
      </c>
    </row>
    <row r="11804" spans="1:10" ht="13.2">
      <c r="A11804" s="7">
        <v>11803</v>
      </c>
      <c r="B11804" s="7">
        <v>1</v>
      </c>
      <c r="C11804" s="7" t="s">
        <v>10</v>
      </c>
      <c r="D11804" s="7">
        <v>17856</v>
      </c>
      <c r="E11804" s="7" t="s">
        <v>11</v>
      </c>
      <c r="F11804" s="8" t="str">
        <f ca="1">IFERROR(__xludf.DUMMYFUNCTION("IF
(
C11805=""фізична особа""
,
VLOOKUP(D11805,IMPORTRANGE(""https://docs.google.com/spreadsheets/d/14Bd19lYaqBhU8_DElYkX7l4wRkHqqCUFNJY4AfY3kHU/edit?usp=sharing  #gid=0"",""фіз особи new!relations_name""),6,FALSE)
,
(IF
(
C11805=""юридична особа""
,
VLOO"&amp;"KUP(D11805,IMPORTRANGE(""https://docs.google.com/spreadsheets/d/14Bd19lYaqBhU8_DElYkX7l4wRkHqqCUFNJY4AfY3kHU/edit?usp=sharing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G11804" s="7" t="s">
        <v>10</v>
      </c>
      <c r="H11804" s="7">
        <v>23356</v>
      </c>
      <c r="I11804" s="8" t="str">
        <f ca="1">IFERROR(__xludf.DUMMYFUNCTION("IF
(
G11805=""фізична особа""
,
VLOOKUP(H11805,IMPORTRANGE(""https://docs.google.com/spreadsheets/d/14Bd19lYaqBhU8_DElYkX7l4wRkHqqCUFNJY4AfY3kHU/edit?usp=sharing  #gid=0"",""фіз особи new!relations_name""),6,FALSE)
,
(IF
(
G11805=""юридична особа""
,
VLOO"&amp;"KUP(H11805,IMPORTRANGE(""https://docs.google.com/spreadsheets/d/14Bd19lYaqBhU8_DElYkX7l4wRkHqqCUFNJY4AfY3kHU/edit?usp=sharing  #gid=0"",""фіз особи new!relations_name_uo""),7,FALSE)
,
)
))"),"ДМІТРІЄВ Володимир Олександрович")</f>
        <v>ДМІТРІЄВ Володимир Олександрович</v>
      </c>
      <c r="J11804" s="7" t="s">
        <v>11</v>
      </c>
    </row>
    <row r="11805" spans="1:10" ht="13.2">
      <c r="A11805" s="7">
        <v>11804</v>
      </c>
      <c r="B11805" s="7">
        <v>1</v>
      </c>
      <c r="C11805" s="7" t="s">
        <v>10</v>
      </c>
      <c r="D11805" s="7">
        <v>17857</v>
      </c>
      <c r="E11805" s="7" t="s">
        <v>11</v>
      </c>
      <c r="F11805" s="8" t="str">
        <f ca="1">IFERROR(__xludf.DUMMYFUNCTION("IF
(
C11806=""фізична особа""
,
VLOOKUP(D11806,IMPORTRANGE(""https://docs.google.com/spreadsheets/d/14Bd19lYaqBhU8_DElYkX7l4wRkHqqCUFNJY4AfY3kHU/edit?usp=sharing  #gid=0"",""фіз особи new!relations_name""),6,FALSE)
,
(IF
(
C11806=""юридична особа""
,
VLOO"&amp;"KUP(D11806,IMPORTRANGE(""https://docs.google.com/spreadsheets/d/14Bd19lYaqBhU8_DElYkX7l4wRkHqqCUFNJY4AfY3kHU/edit?usp=sharing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G11805" s="7" t="s">
        <v>10</v>
      </c>
      <c r="H11805" s="7">
        <v>17856</v>
      </c>
      <c r="I11805" s="8" t="str">
        <f ca="1">IFERROR(__xludf.DUMMYFUNCTION("IF
(
G11806=""фізична особа""
,
VLOOKUP(H11806,IMPORTRANGE(""https://docs.google.com/spreadsheets/d/14Bd19lYaqBhU8_DElYkX7l4wRkHqqCUFNJY4AfY3kHU/edit?usp=sharing  #gid=0"",""фіз особи new!relations_name""),6,FALSE)
,
(IF
(
G11806=""юридична особа""
,
VLOO"&amp;"KUP(H11806,IMPORTRANGE(""https://docs.google.com/spreadsheets/d/14Bd19lYaqBhU8_DElYkX7l4wRkHqqCUFNJY4AfY3kHU/edit?usp=sharing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J11805" s="7" t="s">
        <v>11</v>
      </c>
    </row>
    <row r="11806" spans="1:10" ht="13.2">
      <c r="A11806" s="7">
        <v>11805</v>
      </c>
      <c r="B11806" s="7">
        <v>1</v>
      </c>
      <c r="C11806" s="7" t="s">
        <v>10</v>
      </c>
      <c r="D11806" s="7">
        <v>17857</v>
      </c>
      <c r="E11806" s="7" t="s">
        <v>11</v>
      </c>
      <c r="F11806" s="8" t="str">
        <f ca="1">IFERROR(__xludf.DUMMYFUNCTION("IF
(
C11807=""фізична особа""
,
VLOOKUP(D11807,IMPORTRANGE(""https://docs.google.com/spreadsheets/d/14Bd19lYaqBhU8_DElYkX7l4wRkHqqCUFNJY4AfY3kHU/edit?usp=sharing  #gid=0"",""фіз особи new!relations_name""),6,FALSE)
,
(IF
(
C11807=""юридична особа""
,
VLOO"&amp;"KUP(D11807,IMPORTRANGE(""https://docs.google.com/spreadsheets/d/14Bd19lYaqBhU8_DElYkX7l4wRkHqqCUFNJY4AfY3kHU/edit?usp=sharing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G11806" s="7" t="s">
        <v>10</v>
      </c>
      <c r="H11806" s="7">
        <v>17858</v>
      </c>
      <c r="I11806" s="8" t="str">
        <f ca="1">IFERROR(__xludf.DUMMYFUNCTION("IF
(
G11807=""фізична особа""
,
VLOOKUP(H11807,IMPORTRANGE(""https://docs.google.com/spreadsheets/d/14Bd19lYaqBhU8_DElYkX7l4wRkHqqCUFNJY4AfY3kHU/edit?usp=sharing  #gid=0"",""фіз особи new!relations_name""),6,FALSE)
,
(IF
(
G11807=""юридична особа""
,
VLOO"&amp;"KUP(H11807,IMPORTRANGE(""https://docs.google.com/spreadsheets/d/14Bd19lYaqBhU8_DElYkX7l4wRkHqqCUFNJY4AfY3kHU/edit?usp=sharing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J11806" s="7" t="s">
        <v>11</v>
      </c>
    </row>
    <row r="11807" spans="1:10" ht="13.2">
      <c r="A11807" s="7">
        <v>11806</v>
      </c>
      <c r="B11807" s="7">
        <v>1</v>
      </c>
      <c r="C11807" s="7" t="s">
        <v>10</v>
      </c>
      <c r="D11807" s="7">
        <v>17857</v>
      </c>
      <c r="E11807" s="7" t="s">
        <v>11</v>
      </c>
      <c r="F11807" s="8" t="str">
        <f ca="1">IFERROR(__xludf.DUMMYFUNCTION("IF
(
C11808=""фізична особа""
,
VLOOKUP(D11808,IMPORTRANGE(""https://docs.google.com/spreadsheets/d/14Bd19lYaqBhU8_DElYkX7l4wRkHqqCUFNJY4AfY3kHU/edit?usp=sharing  #gid=0"",""фіз особи new!relations_name""),6,FALSE)
,
(IF
(
C11808=""юридична особа""
,
VLOO"&amp;"KUP(D11808,IMPORTRANGE(""https://docs.google.com/spreadsheets/d/14Bd19lYaqBhU8_DElYkX7l4wRkHqqCUFNJY4AfY3kHU/edit?usp=sharing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G11807" s="7" t="s">
        <v>10</v>
      </c>
      <c r="H11807" s="7">
        <v>17859</v>
      </c>
      <c r="I11807" s="8" t="str">
        <f ca="1">IFERROR(__xludf.DUMMYFUNCTION("IF
(
G11808=""фізична особа""
,
VLOOKUP(H11808,IMPORTRANGE(""https://docs.google.com/spreadsheets/d/14Bd19lYaqBhU8_DElYkX7l4wRkHqqCUFNJY4AfY3kHU/edit?usp=sharing  #gid=0"",""фіз особи new!relations_name""),6,FALSE)
,
(IF
(
G11808=""юридична особа""
,
VLOO"&amp;"KUP(H11808,IMPORTRANGE(""https://docs.google.com/spreadsheets/d/14Bd19lYaqBhU8_DElYkX7l4wRkHqqCUFNJY4AfY3kHU/edit?usp=sharing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J11807" s="7" t="s">
        <v>11</v>
      </c>
    </row>
    <row r="11808" spans="1:10" ht="13.2">
      <c r="A11808" s="7">
        <v>11807</v>
      </c>
      <c r="B11808" s="7">
        <v>1</v>
      </c>
      <c r="C11808" s="7" t="s">
        <v>10</v>
      </c>
      <c r="D11808" s="7">
        <v>17857</v>
      </c>
      <c r="E11808" s="7" t="s">
        <v>11</v>
      </c>
      <c r="F11808" s="8" t="str">
        <f ca="1">IFERROR(__xludf.DUMMYFUNCTION("IF
(
C11809=""фізична особа""
,
VLOOKUP(D11809,IMPORTRANGE(""https://docs.google.com/spreadsheets/d/14Bd19lYaqBhU8_DElYkX7l4wRkHqqCUFNJY4AfY3kHU/edit?usp=sharing  #gid=0"",""фіз особи new!relations_name""),6,FALSE)
,
(IF
(
C11809=""юридична особа""
,
VLOO"&amp;"KUP(D11809,IMPORTRANGE(""https://docs.google.com/spreadsheets/d/14Bd19lYaqBhU8_DElYkX7l4wRkHqqCUFNJY4AfY3kHU/edit?usp=sharing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G11808" s="7" t="s">
        <v>10</v>
      </c>
      <c r="H11808" s="7">
        <v>23356</v>
      </c>
      <c r="I11808" s="8" t="str">
        <f ca="1">IFERROR(__xludf.DUMMYFUNCTION("IF
(
G11809=""фізична особа""
,
VLOOKUP(H11809,IMPORTRANGE(""https://docs.google.com/spreadsheets/d/14Bd19lYaqBhU8_DElYkX7l4wRkHqqCUFNJY4AfY3kHU/edit?usp=sharing  #gid=0"",""фіз особи new!relations_name""),6,FALSE)
,
(IF
(
G11809=""юридична особа""
,
VLOO"&amp;"KUP(H11809,IMPORTRANGE(""https://docs.google.com/spreadsheets/d/14Bd19lYaqBhU8_DElYkX7l4wRkHqqCUFNJY4AfY3kHU/edit?usp=sharing  #gid=0"",""фіз особи new!relations_name_uo""),7,FALSE)
,
)
))"),"ДМІТРІЄВ Володимир Олександрович")</f>
        <v>ДМІТРІЄВ Володимир Олександрович</v>
      </c>
      <c r="J11808" s="7" t="s">
        <v>11</v>
      </c>
    </row>
    <row r="11809" spans="1:10" ht="13.2">
      <c r="A11809" s="7">
        <v>11808</v>
      </c>
      <c r="B11809" s="7">
        <v>1</v>
      </c>
      <c r="C11809" s="7" t="s">
        <v>10</v>
      </c>
      <c r="D11809" s="7">
        <v>17858</v>
      </c>
      <c r="E11809" s="7" t="s">
        <v>11</v>
      </c>
      <c r="F11809" s="8" t="str">
        <f ca="1">IFERROR(__xludf.DUMMYFUNCTION("IF
(
C11810=""фізична особа""
,
VLOOKUP(D11810,IMPORTRANGE(""https://docs.google.com/spreadsheets/d/14Bd19lYaqBhU8_DElYkX7l4wRkHqqCUFNJY4AfY3kHU/edit?usp=sharing  #gid=0"",""фіз особи new!relations_name""),6,FALSE)
,
(IF
(
C11810=""юридична особа""
,
VLOO"&amp;"KUP(D11810,IMPORTRANGE(""https://docs.google.com/spreadsheets/d/14Bd19lYaqBhU8_DElYkX7l4wRkHqqCUFNJY4AfY3kHU/edit?usp=sharing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G11809" s="7" t="s">
        <v>10</v>
      </c>
      <c r="H11809" s="7">
        <v>17856</v>
      </c>
      <c r="I11809" s="8" t="str">
        <f ca="1">IFERROR(__xludf.DUMMYFUNCTION("IF
(
G11810=""фізична особа""
,
VLOOKUP(H11810,IMPORTRANGE(""https://docs.google.com/spreadsheets/d/14Bd19lYaqBhU8_DElYkX7l4wRkHqqCUFNJY4AfY3kHU/edit?usp=sharing  #gid=0"",""фіз особи new!relations_name""),6,FALSE)
,
(IF
(
G11810=""юридична особа""
,
VLOO"&amp;"KUP(H11810,IMPORTRANGE(""https://docs.google.com/spreadsheets/d/14Bd19lYaqBhU8_DElYkX7l4wRkHqqCUFNJY4AfY3kHU/edit?usp=sharing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J11809" s="7" t="s">
        <v>11</v>
      </c>
    </row>
    <row r="11810" spans="1:10" ht="13.2">
      <c r="A11810" s="7">
        <v>11809</v>
      </c>
      <c r="B11810" s="7">
        <v>1</v>
      </c>
      <c r="C11810" s="7" t="s">
        <v>10</v>
      </c>
      <c r="D11810" s="7">
        <v>17858</v>
      </c>
      <c r="E11810" s="7" t="s">
        <v>11</v>
      </c>
      <c r="F11810" s="8" t="str">
        <f ca="1">IFERROR(__xludf.DUMMYFUNCTION("IF
(
C11811=""фізична особа""
,
VLOOKUP(D11811,IMPORTRANGE(""https://docs.google.com/spreadsheets/d/14Bd19lYaqBhU8_DElYkX7l4wRkHqqCUFNJY4AfY3kHU/edit?usp=sharing  #gid=0"",""фіз особи new!relations_name""),6,FALSE)
,
(IF
(
C11811=""юридична особа""
,
VLOO"&amp;"KUP(D11811,IMPORTRANGE(""https://docs.google.com/spreadsheets/d/14Bd19lYaqBhU8_DElYkX7l4wRkHqqCUFNJY4AfY3kHU/edit?usp=sharing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G11810" s="7" t="s">
        <v>10</v>
      </c>
      <c r="H11810" s="7">
        <v>17857</v>
      </c>
      <c r="I11810" s="8" t="str">
        <f ca="1">IFERROR(__xludf.DUMMYFUNCTION("IF
(
G11811=""фізична особа""
,
VLOOKUP(H11811,IMPORTRANGE(""https://docs.google.com/spreadsheets/d/14Bd19lYaqBhU8_DElYkX7l4wRkHqqCUFNJY4AfY3kHU/edit?usp=sharing  #gid=0"",""фіз особи new!relations_name""),6,FALSE)
,
(IF
(
G11811=""юридична особа""
,
VLOO"&amp;"KUP(H11811,IMPORTRANGE(""https://docs.google.com/spreadsheets/d/14Bd19lYaqBhU8_DElYkX7l4wRkHqqCUFNJY4AfY3kHU/edit?usp=sharing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J11810" s="7" t="s">
        <v>11</v>
      </c>
    </row>
    <row r="11811" spans="1:10" ht="13.2">
      <c r="A11811" s="7">
        <v>11810</v>
      </c>
      <c r="B11811" s="7">
        <v>1</v>
      </c>
      <c r="C11811" s="7" t="s">
        <v>10</v>
      </c>
      <c r="D11811" s="7">
        <v>17858</v>
      </c>
      <c r="E11811" s="7" t="s">
        <v>11</v>
      </c>
      <c r="F11811" s="8" t="str">
        <f ca="1">IFERROR(__xludf.DUMMYFUNCTION("IF
(
C11812=""фізична особа""
,
VLOOKUP(D11812,IMPORTRANGE(""https://docs.google.com/spreadsheets/d/14Bd19lYaqBhU8_DElYkX7l4wRkHqqCUFNJY4AfY3kHU/edit?usp=sharing  #gid=0"",""фіз особи new!relations_name""),6,FALSE)
,
(IF
(
C11812=""юридична особа""
,
VLOO"&amp;"KUP(D11812,IMPORTRANGE(""https://docs.google.com/spreadsheets/d/14Bd19lYaqBhU8_DElYkX7l4wRkHqqCUFNJY4AfY3kHU/edit?usp=sharing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G11811" s="7" t="s">
        <v>10</v>
      </c>
      <c r="H11811" s="7">
        <v>17859</v>
      </c>
      <c r="I11811" s="8" t="str">
        <f ca="1">IFERROR(__xludf.DUMMYFUNCTION("IF
(
G11812=""фізична особа""
,
VLOOKUP(H11812,IMPORTRANGE(""https://docs.google.com/spreadsheets/d/14Bd19lYaqBhU8_DElYkX7l4wRkHqqCUFNJY4AfY3kHU/edit?usp=sharing  #gid=0"",""фіз особи new!relations_name""),6,FALSE)
,
(IF
(
G11812=""юридична особа""
,
VLOO"&amp;"KUP(H11812,IMPORTRANGE(""https://docs.google.com/spreadsheets/d/14Bd19lYaqBhU8_DElYkX7l4wRkHqqCUFNJY4AfY3kHU/edit?usp=sharing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J11811" s="7" t="s">
        <v>11</v>
      </c>
    </row>
    <row r="11812" spans="1:10" ht="13.2">
      <c r="A11812" s="7">
        <v>11811</v>
      </c>
      <c r="B11812" s="7">
        <v>1</v>
      </c>
      <c r="C11812" s="7" t="s">
        <v>10</v>
      </c>
      <c r="D11812" s="7">
        <v>17858</v>
      </c>
      <c r="E11812" s="7" t="s">
        <v>11</v>
      </c>
      <c r="F11812" s="8" t="str">
        <f ca="1">IFERROR(__xludf.DUMMYFUNCTION("IF
(
C11813=""фізична особа""
,
VLOOKUP(D11813,IMPORTRANGE(""https://docs.google.com/spreadsheets/d/14Bd19lYaqBhU8_DElYkX7l4wRkHqqCUFNJY4AfY3kHU/edit?usp=sharing  #gid=0"",""фіз особи new!relations_name""),6,FALSE)
,
(IF
(
C11813=""юридична особа""
,
VLOO"&amp;"KUP(D11813,IMPORTRANGE(""https://docs.google.com/spreadsheets/d/14Bd19lYaqBhU8_DElYkX7l4wRkHqqCUFNJY4AfY3kHU/edit?usp=sharing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G11812" s="7" t="s">
        <v>10</v>
      </c>
      <c r="H11812" s="7">
        <v>23356</v>
      </c>
      <c r="I11812" s="8" t="str">
        <f ca="1">IFERROR(__xludf.DUMMYFUNCTION("IF
(
G11813=""фізична особа""
,
VLOOKUP(H11813,IMPORTRANGE(""https://docs.google.com/spreadsheets/d/14Bd19lYaqBhU8_DElYkX7l4wRkHqqCUFNJY4AfY3kHU/edit?usp=sharing  #gid=0"",""фіз особи new!relations_name""),6,FALSE)
,
(IF
(
G11813=""юридична особа""
,
VLOO"&amp;"KUP(H11813,IMPORTRANGE(""https://docs.google.com/spreadsheets/d/14Bd19lYaqBhU8_DElYkX7l4wRkHqqCUFNJY4AfY3kHU/edit?usp=sharing  #gid=0"",""фіз особи new!relations_name_uo""),7,FALSE)
,
)
))"),"ДМІТРІЄВ Володимир Олександрович")</f>
        <v>ДМІТРІЄВ Володимир Олександрович</v>
      </c>
      <c r="J11812" s="7" t="s">
        <v>11</v>
      </c>
    </row>
    <row r="11813" spans="1:10" ht="13.2">
      <c r="A11813" s="7">
        <v>11812</v>
      </c>
      <c r="B11813" s="7">
        <v>1</v>
      </c>
      <c r="C11813" s="7" t="s">
        <v>10</v>
      </c>
      <c r="D11813" s="7">
        <v>17859</v>
      </c>
      <c r="E11813" s="7" t="s">
        <v>11</v>
      </c>
      <c r="F11813" s="8" t="str">
        <f ca="1">IFERROR(__xludf.DUMMYFUNCTION("IF
(
C11814=""фізична особа""
,
VLOOKUP(D11814,IMPORTRANGE(""https://docs.google.com/spreadsheets/d/14Bd19lYaqBhU8_DElYkX7l4wRkHqqCUFNJY4AfY3kHU/edit?usp=sharing  #gid=0"",""фіз особи new!relations_name""),6,FALSE)
,
(IF
(
C11814=""юридична особа""
,
VLOO"&amp;"KUP(D11814,IMPORTRANGE(""https://docs.google.com/spreadsheets/d/14Bd19lYaqBhU8_DElYkX7l4wRkHqqCUFNJY4AfY3kHU/edit?usp=sharing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G11813" s="7" t="s">
        <v>10</v>
      </c>
      <c r="H11813" s="7">
        <v>17856</v>
      </c>
      <c r="I11813" s="8" t="str">
        <f ca="1">IFERROR(__xludf.DUMMYFUNCTION("IF
(
G11814=""фізична особа""
,
VLOOKUP(H11814,IMPORTRANGE(""https://docs.google.com/spreadsheets/d/14Bd19lYaqBhU8_DElYkX7l4wRkHqqCUFNJY4AfY3kHU/edit?usp=sharing  #gid=0"",""фіз особи new!relations_name""),6,FALSE)
,
(IF
(
G11814=""юридична особа""
,
VLOO"&amp;"KUP(H11814,IMPORTRANGE(""https://docs.google.com/spreadsheets/d/14Bd19lYaqBhU8_DElYkX7l4wRkHqqCUFNJY4AfY3kHU/edit?usp=sharing  #gid=0"",""фіз особи new!relations_name_uo""),7,FALSE)
,
)
))"),"ДІГТЯРЬОВ Ігор Євгенійович")</f>
        <v>ДІГТЯРЬОВ Ігор Євгенійович</v>
      </c>
      <c r="J11813" s="7" t="s">
        <v>11</v>
      </c>
    </row>
    <row r="11814" spans="1:10" ht="13.2">
      <c r="A11814" s="7">
        <v>11813</v>
      </c>
      <c r="B11814" s="7">
        <v>1</v>
      </c>
      <c r="C11814" s="7" t="s">
        <v>10</v>
      </c>
      <c r="D11814" s="7">
        <v>17859</v>
      </c>
      <c r="E11814" s="7" t="s">
        <v>11</v>
      </c>
      <c r="F11814" s="8" t="str">
        <f ca="1">IFERROR(__xludf.DUMMYFUNCTION("IF
(
C11815=""фізична особа""
,
VLOOKUP(D11815,IMPORTRANGE(""https://docs.google.com/spreadsheets/d/14Bd19lYaqBhU8_DElYkX7l4wRkHqqCUFNJY4AfY3kHU/edit?usp=sharing  #gid=0"",""фіз особи new!relations_name""),6,FALSE)
,
(IF
(
C11815=""юридична особа""
,
VLOO"&amp;"KUP(D11815,IMPORTRANGE(""https://docs.google.com/spreadsheets/d/14Bd19lYaqBhU8_DElYkX7l4wRkHqqCUFNJY4AfY3kHU/edit?usp=sharing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G11814" s="7" t="s">
        <v>10</v>
      </c>
      <c r="H11814" s="7">
        <v>17857</v>
      </c>
      <c r="I11814" s="8" t="str">
        <f ca="1">IFERROR(__xludf.DUMMYFUNCTION("IF
(
G11815=""фізична особа""
,
VLOOKUP(H11815,IMPORTRANGE(""https://docs.google.com/spreadsheets/d/14Bd19lYaqBhU8_DElYkX7l4wRkHqqCUFNJY4AfY3kHU/edit?usp=sharing  #gid=0"",""фіз особи new!relations_name""),6,FALSE)
,
(IF
(
G11815=""юридична особа""
,
VLOO"&amp;"KUP(H11815,IMPORTRANGE(""https://docs.google.com/spreadsheets/d/14Bd19lYaqBhU8_DElYkX7l4wRkHqqCUFNJY4AfY3kHU/edit?usp=sharing  #gid=0"",""фіз особи new!relations_name_uo""),7,FALSE)
,
)
))"),"ХОЙКОВ Олександр Васильович")</f>
        <v>ХОЙКОВ Олександр Васильович</v>
      </c>
      <c r="J11814" s="7" t="s">
        <v>11</v>
      </c>
    </row>
    <row r="11815" spans="1:10" ht="13.2">
      <c r="A11815" s="7">
        <v>11814</v>
      </c>
      <c r="B11815" s="7">
        <v>1</v>
      </c>
      <c r="C11815" s="7" t="s">
        <v>10</v>
      </c>
      <c r="D11815" s="7">
        <v>17859</v>
      </c>
      <c r="E11815" s="7" t="s">
        <v>11</v>
      </c>
      <c r="F11815" s="8" t="str">
        <f ca="1">IFERROR(__xludf.DUMMYFUNCTION("IF
(
C11816=""фізична особа""
,
VLOOKUP(D11816,IMPORTRANGE(""https://docs.google.com/spreadsheets/d/14Bd19lYaqBhU8_DElYkX7l4wRkHqqCUFNJY4AfY3kHU/edit?usp=sharing  #gid=0"",""фіз особи new!relations_name""),6,FALSE)
,
(IF
(
C11816=""юридична особа""
,
VLOO"&amp;"KUP(D11816,IMPORTRANGE(""https://docs.google.com/spreadsheets/d/14Bd19lYaqBhU8_DElYkX7l4wRkHqqCUFNJY4AfY3kHU/edit?usp=sharing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G11815" s="7" t="s">
        <v>10</v>
      </c>
      <c r="H11815" s="7">
        <v>17858</v>
      </c>
      <c r="I11815" s="8" t="str">
        <f ca="1">IFERROR(__xludf.DUMMYFUNCTION("IF
(
G11816=""фізична особа""
,
VLOOKUP(H11816,IMPORTRANGE(""https://docs.google.com/spreadsheets/d/14Bd19lYaqBhU8_DElYkX7l4wRkHqqCUFNJY4AfY3kHU/edit?usp=sharing  #gid=0"",""фіз особи new!relations_name""),6,FALSE)
,
(IF
(
G11816=""юридична особа""
,
VLOO"&amp;"KUP(H11816,IMPORTRANGE(""https://docs.google.com/spreadsheets/d/14Bd19lYaqBhU8_DElYkX7l4wRkHqqCUFNJY4AfY3kHU/edit?usp=sharing  #gid=0"",""фіз особи new!relations_name_uo""),7,FALSE)
,
)
))"),"ДОРЖИЄВ Євгеній Миколайович")</f>
        <v>ДОРЖИЄВ Євгеній Миколайович</v>
      </c>
      <c r="J11815" s="7" t="s">
        <v>11</v>
      </c>
    </row>
    <row r="11816" spans="1:10" ht="13.2">
      <c r="A11816" s="7">
        <v>11815</v>
      </c>
      <c r="B11816" s="7">
        <v>1</v>
      </c>
      <c r="C11816" s="7" t="s">
        <v>10</v>
      </c>
      <c r="D11816" s="7">
        <v>17859</v>
      </c>
      <c r="E11816" s="7" t="s">
        <v>11</v>
      </c>
      <c r="F11816" s="8" t="str">
        <f ca="1">IFERROR(__xludf.DUMMYFUNCTION("IF
(
C11817=""фізична особа""
,
VLOOKUP(D11817,IMPORTRANGE(""https://docs.google.com/spreadsheets/d/14Bd19lYaqBhU8_DElYkX7l4wRkHqqCUFNJY4AfY3kHU/edit?usp=sharing  #gid=0"",""фіз особи new!relations_name""),6,FALSE)
,
(IF
(
C11817=""юридична особа""
,
VLOO"&amp;"KUP(D11817,IMPORTRANGE(""https://docs.google.com/spreadsheets/d/14Bd19lYaqBhU8_DElYkX7l4wRkHqqCUFNJY4AfY3kHU/edit?usp=sharing  #gid=0"",""фіз особи new!relations_name_uo""),7,FALSE)
,
)
))"),"ДМИТРІЄВА Людмила Олександрівна")</f>
        <v>ДМИТРІЄВА Людмила Олександрівна</v>
      </c>
      <c r="G11816" s="7" t="s">
        <v>10</v>
      </c>
      <c r="H11816" s="7">
        <v>23356</v>
      </c>
      <c r="I11816" s="8" t="str">
        <f ca="1">IFERROR(__xludf.DUMMYFUNCTION("IF
(
G11817=""фізична особа""
,
VLOOKUP(H11817,IMPORTRANGE(""https://docs.google.com/spreadsheets/d/14Bd19lYaqBhU8_DElYkX7l4wRkHqqCUFNJY4AfY3kHU/edit?usp=sharing  #gid=0"",""фіз особи new!relations_name""),6,FALSE)
,
(IF
(
G11817=""юридична особа""
,
VLOO"&amp;"KUP(H11817,IMPORTRANGE(""https://docs.google.com/spreadsheets/d/14Bd19lYaqBhU8_DElYkX7l4wRkHqqCUFNJY4AfY3kHU/edit?usp=sharing  #gid=0"",""фіз особи new!relations_name_uo""),7,FALSE)
,
)
))"),"ДМІТРІЄВ Володимир Олександрович")</f>
        <v>ДМІТРІЄВ Володимир Олександрович</v>
      </c>
      <c r="J11816" s="7" t="s">
        <v>11</v>
      </c>
    </row>
    <row r="11817" spans="1:10" ht="13.2">
      <c r="A11817" s="7">
        <v>11816</v>
      </c>
      <c r="B11817" s="7">
        <v>1</v>
      </c>
      <c r="C11817" s="7" t="s">
        <v>10</v>
      </c>
      <c r="D11817" s="7">
        <v>17860</v>
      </c>
      <c r="E11817" s="7" t="s">
        <v>23</v>
      </c>
      <c r="F11817" s="8" t="str">
        <f ca="1">IFERROR(__xludf.DUMMYFUNCTION("IF
(
C11818=""фізична особа""
,
VLOOKUP(D11818,IMPORTRANGE(""https://docs.google.com/spreadsheets/d/14Bd19lYaqBhU8_DElYkX7l4wRkHqqCUFNJY4AfY3kHU/edit?usp=sharing  #gid=0"",""фіз особи new!relations_name""),6,FALSE)
,
(IF
(
C11818=""юридична особа""
,
VLOO"&amp;"KUP(D11818,IMPORTRANGE(""https://docs.google.com/spreadsheets/d/14Bd19lYaqBhU8_DElYkX7l4wRkHqqCUFNJY4AfY3kHU/edit?usp=sharing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17" s="7" t="s">
        <v>10</v>
      </c>
      <c r="H11817" s="7">
        <v>17875</v>
      </c>
      <c r="I11817" s="8" t="str">
        <f ca="1">IFERROR(__xludf.DUMMYFUNCTION("IF
(
G11818=""фізична особа""
,
VLOOKUP(H11818,IMPORTRANGE(""https://docs.google.com/spreadsheets/d/14Bd19lYaqBhU8_DElYkX7l4wRkHqqCUFNJY4AfY3kHU/edit?usp=sharing  #gid=0"",""фіз особи new!relations_name""),6,FALSE)
,
(IF
(
G11818=""юридична особа""
,
VLOO"&amp;"KUP(H11818,IMPORTRANGE(""https://docs.google.com/spreadsheets/d/14Bd19lYaqBhU8_DElYkX7l4wRkHqqCUFNJY4AfY3kHU/edit?usp=sharing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J11817" s="7" t="s">
        <v>23</v>
      </c>
    </row>
    <row r="11818" spans="1:10" ht="13.2">
      <c r="A11818" s="7">
        <v>11817</v>
      </c>
      <c r="B11818" s="7">
        <v>1</v>
      </c>
      <c r="C11818" s="7" t="s">
        <v>10</v>
      </c>
      <c r="D11818" s="7">
        <v>17860</v>
      </c>
      <c r="E11818" s="7" t="s">
        <v>23</v>
      </c>
      <c r="F11818" s="8" t="str">
        <f ca="1">IFERROR(__xludf.DUMMYFUNCTION("IF
(
C11819=""фізична особа""
,
VLOOKUP(D11819,IMPORTRANGE(""https://docs.google.com/spreadsheets/d/14Bd19lYaqBhU8_DElYkX7l4wRkHqqCUFNJY4AfY3kHU/edit?usp=sharing  #gid=0"",""фіз особи new!relations_name""),6,FALSE)
,
(IF
(
C11819=""юридична особа""
,
VLOO"&amp;"KUP(D11819,IMPORTRANGE(""https://docs.google.com/spreadsheets/d/14Bd19lYaqBhU8_DElYkX7l4wRkHqqCUFNJY4AfY3kHU/edit?usp=sharing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18" s="7" t="s">
        <v>10</v>
      </c>
      <c r="H11818" s="7">
        <v>17313</v>
      </c>
      <c r="I11818" s="8" t="str">
        <f ca="1">IFERROR(__xludf.DUMMYFUNCTION("IF
(
G11819=""фізична особа""
,
VLOOKUP(H11819,IMPORTRANGE(""https://docs.google.com/spreadsheets/d/14Bd19lYaqBhU8_DElYkX7l4wRkHqqCUFNJY4AfY3kHU/edit?usp=sharing  #gid=0"",""фіз особи new!relations_name""),6,FALSE)
,
(IF
(
G11819=""юридична особа""
,
VLOO"&amp;"KUP(H11819,IMPORTRANGE(""https://docs.google.com/spreadsheets/d/14Bd19lYaqBhU8_DElYkX7l4wRkHqqCUFNJY4AfY3kHU/edit?usp=sharing  #gid=0"",""фіз особи new!relations_name_uo""),7,FALSE)
,
)
))"),"ГЛЄБОВ Сергій Леонідович")</f>
        <v>ГЛЄБОВ Сергій Леонідович</v>
      </c>
      <c r="J11818" s="7" t="s">
        <v>23</v>
      </c>
    </row>
    <row r="11819" spans="1:10" ht="13.2">
      <c r="A11819" s="7">
        <v>11818</v>
      </c>
      <c r="B11819" s="7">
        <v>1</v>
      </c>
      <c r="C11819" s="7" t="s">
        <v>10</v>
      </c>
      <c r="D11819" s="7">
        <v>17860</v>
      </c>
      <c r="E11819" s="7" t="s">
        <v>23</v>
      </c>
      <c r="F11819" s="8" t="str">
        <f ca="1">IFERROR(__xludf.DUMMYFUNCTION("IF
(
C11820=""фізична особа""
,
VLOOKUP(D11820,IMPORTRANGE(""https://docs.google.com/spreadsheets/d/14Bd19lYaqBhU8_DElYkX7l4wRkHqqCUFNJY4AfY3kHU/edit?usp=sharing  #gid=0"",""фіз особи new!relations_name""),6,FALSE)
,
(IF
(
C11820=""юридична особа""
,
VLOO"&amp;"KUP(D11820,IMPORTRANGE(""https://docs.google.com/spreadsheets/d/14Bd19lYaqBhU8_DElYkX7l4wRkHqqCUFNJY4AfY3kHU/edit?usp=sharing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19" s="7" t="s">
        <v>10</v>
      </c>
      <c r="H11819" s="7">
        <v>17314</v>
      </c>
      <c r="I11819" s="8" t="str">
        <f ca="1">IFERROR(__xludf.DUMMYFUNCTION("IF
(
G11820=""фізична особа""
,
VLOOKUP(H11820,IMPORTRANGE(""https://docs.google.com/spreadsheets/d/14Bd19lYaqBhU8_DElYkX7l4wRkHqqCUFNJY4AfY3kHU/edit?usp=sharing  #gid=0"",""фіз особи new!relations_name""),6,FALSE)
,
(IF
(
G11820=""юридична особа""
,
VLOO"&amp;"KUP(H11820,IMPORTRANGE(""https://docs.google.com/spreadsheets/d/14Bd19lYaqBhU8_DElYkX7l4wRkHqqCUFNJY4AfY3kHU/edit?usp=sharing  #gid=0"",""фіз особи new!relations_name_uo""),7,FALSE)
,
)
))"),"ЛАШКЕВИЧ Костянтин В'ячеславович")</f>
        <v>ЛАШКЕВИЧ Костянтин В'ячеславович</v>
      </c>
      <c r="J11819" s="7" t="s">
        <v>23</v>
      </c>
    </row>
    <row r="11820" spans="1:10" ht="13.2">
      <c r="A11820" s="7">
        <v>11819</v>
      </c>
      <c r="B11820" s="7">
        <v>1</v>
      </c>
      <c r="C11820" s="7" t="s">
        <v>10</v>
      </c>
      <c r="D11820" s="7">
        <v>17860</v>
      </c>
      <c r="E11820" s="7" t="s">
        <v>23</v>
      </c>
      <c r="F11820" s="8" t="str">
        <f ca="1">IFERROR(__xludf.DUMMYFUNCTION("IF
(
C11821=""фізична особа""
,
VLOOKUP(D11821,IMPORTRANGE(""https://docs.google.com/spreadsheets/d/14Bd19lYaqBhU8_DElYkX7l4wRkHqqCUFNJY4AfY3kHU/edit?usp=sharing  #gid=0"",""фіз особи new!relations_name""),6,FALSE)
,
(IF
(
C11821=""юридична особа""
,
VLOO"&amp;"KUP(D11821,IMPORTRANGE(""https://docs.google.com/spreadsheets/d/14Bd19lYaqBhU8_DElYkX7l4wRkHqqCUFNJY4AfY3kHU/edit?usp=sharing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20" s="7" t="s">
        <v>10</v>
      </c>
      <c r="H11820" s="7">
        <v>17315</v>
      </c>
      <c r="I11820" s="8" t="str">
        <f ca="1">IFERROR(__xludf.DUMMYFUNCTION("IF
(
G11821=""фізична особа""
,
VLOOKUP(H11821,IMPORTRANGE(""https://docs.google.com/spreadsheets/d/14Bd19lYaqBhU8_DElYkX7l4wRkHqqCUFNJY4AfY3kHU/edit?usp=sharing  #gid=0"",""фіз особи new!relations_name""),6,FALSE)
,
(IF
(
G11821=""юридична особа""
,
VLOO"&amp;"KUP(H11821,IMPORTRANGE(""https://docs.google.com/spreadsheets/d/14Bd19lYaqBhU8_DElYkX7l4wRkHqqCUFNJY4AfY3kHU/edit?usp=sharing  #gid=0"",""фіз особи new!relations_name_uo""),7,FALSE)
,
)
))"),"ПОПОВ Михайло Сергійович")</f>
        <v>ПОПОВ Михайло Сергійович</v>
      </c>
      <c r="J11820" s="7" t="s">
        <v>23</v>
      </c>
    </row>
    <row r="11821" spans="1:10" ht="13.2">
      <c r="A11821" s="7">
        <v>11820</v>
      </c>
      <c r="B11821" s="7">
        <v>1</v>
      </c>
      <c r="C11821" s="7" t="s">
        <v>10</v>
      </c>
      <c r="D11821" s="7">
        <v>17860</v>
      </c>
      <c r="E11821" s="7" t="s">
        <v>23</v>
      </c>
      <c r="F11821" s="8" t="str">
        <f ca="1">IFERROR(__xludf.DUMMYFUNCTION("IF
(
C11822=""фізична особа""
,
VLOOKUP(D11822,IMPORTRANGE(""https://docs.google.com/spreadsheets/d/14Bd19lYaqBhU8_DElYkX7l4wRkHqqCUFNJY4AfY3kHU/edit?usp=sharing  #gid=0"",""фіз особи new!relations_name""),6,FALSE)
,
(IF
(
C11822=""юридична особа""
,
VLOO"&amp;"KUP(D11822,IMPORTRANGE(""https://docs.google.com/spreadsheets/d/14Bd19lYaqBhU8_DElYkX7l4wRkHqqCUFNJY4AfY3kHU/edit?usp=sharing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21" s="7" t="s">
        <v>10</v>
      </c>
      <c r="H11821" s="7">
        <v>17875</v>
      </c>
      <c r="I11821" s="8" t="str">
        <f ca="1">IFERROR(__xludf.DUMMYFUNCTION("IF
(
G11822=""фізична особа""
,
VLOOKUP(H11822,IMPORTRANGE(""https://docs.google.com/spreadsheets/d/14Bd19lYaqBhU8_DElYkX7l4wRkHqqCUFNJY4AfY3kHU/edit?usp=sharing  #gid=0"",""фіз особи new!relations_name""),6,FALSE)
,
(IF
(
G11822=""юридична особа""
,
VLOO"&amp;"KUP(H11822,IMPORTRANGE(""https://docs.google.com/spreadsheets/d/14Bd19lYaqBhU8_DElYkX7l4wRkHqqCUFNJY4AfY3kHU/edit?usp=sharing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J11821" s="7" t="s">
        <v>23</v>
      </c>
    </row>
    <row r="11822" spans="1:10" ht="13.2">
      <c r="A11822" s="7">
        <v>11821</v>
      </c>
      <c r="B11822" s="7">
        <v>1</v>
      </c>
      <c r="C11822" s="7" t="s">
        <v>10</v>
      </c>
      <c r="D11822" s="7">
        <v>17860</v>
      </c>
      <c r="E11822" s="7" t="s">
        <v>23</v>
      </c>
      <c r="F11822" s="8" t="str">
        <f ca="1">IFERROR(__xludf.DUMMYFUNCTION("IF
(
C11823=""фізична особа""
,
VLOOKUP(D11823,IMPORTRANGE(""https://docs.google.com/spreadsheets/d/14Bd19lYaqBhU8_DElYkX7l4wRkHqqCUFNJY4AfY3kHU/edit?usp=sharing  #gid=0"",""фіз особи new!relations_name""),6,FALSE)
,
(IF
(
C11823=""юридична особа""
,
VLOO"&amp;"KUP(D11823,IMPORTRANGE(""https://docs.google.com/spreadsheets/d/14Bd19lYaqBhU8_DElYkX7l4wRkHqqCUFNJY4AfY3kHU/edit?usp=sharing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G11822" s="7" t="s">
        <v>10</v>
      </c>
      <c r="H11822" s="7">
        <v>17316</v>
      </c>
      <c r="I11822" s="8" t="str">
        <f ca="1">IFERROR(__xludf.DUMMYFUNCTION("IF
(
G11823=""фізична особа""
,
VLOOKUP(H11823,IMPORTRANGE(""https://docs.google.com/spreadsheets/d/14Bd19lYaqBhU8_DElYkX7l4wRkHqqCUFNJY4AfY3kHU/edit?usp=sharing  #gid=0"",""фіз особи new!relations_name""),6,FALSE)
,
(IF
(
G11823=""юридична особа""
,
VLOO"&amp;"KUP(H11823,IMPORTRANGE(""https://docs.google.com/spreadsheets/d/14Bd19lYaqBhU8_DElYkX7l4wRkHqqCUFNJY4AfY3kHU/edit?usp=sharing  #gid=0"",""фіз особи new!relations_name_uo""),7,FALSE)
,
)
))"),"ТОМАЛАК Сервер Маметович")</f>
        <v>ТОМАЛАК Сервер Маметович</v>
      </c>
      <c r="J11822" s="7" t="s">
        <v>23</v>
      </c>
    </row>
    <row r="11823" spans="1:10" ht="13.2">
      <c r="A11823" s="7">
        <v>11822</v>
      </c>
      <c r="B11823" s="7">
        <v>1</v>
      </c>
      <c r="C11823" s="7" t="s">
        <v>10</v>
      </c>
      <c r="D11823" s="7">
        <v>17875</v>
      </c>
      <c r="E11823" s="7" t="s">
        <v>23</v>
      </c>
      <c r="F11823" s="8" t="str">
        <f ca="1">IFERROR(__xludf.DUMMYFUNCTION("IF
(
C11824=""фізична особа""
,
VLOOKUP(D11824,IMPORTRANGE(""https://docs.google.com/spreadsheets/d/14Bd19lYaqBhU8_DElYkX7l4wRkHqqCUFNJY4AfY3kHU/edit?usp=sharing  #gid=0"",""фіз особи new!relations_name""),6,FALSE)
,
(IF
(
C11824=""юридична особа""
,
VLOO"&amp;"KUP(D11824,IMPORTRANGE(""https://docs.google.com/spreadsheets/d/14Bd19lYaqBhU8_DElYkX7l4wRkHqqCUFNJY4AfY3kHU/edit?usp=sharing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3" s="7" t="s">
        <v>10</v>
      </c>
      <c r="H11823" s="7">
        <v>17860</v>
      </c>
      <c r="I11823" s="8" t="str">
        <f ca="1">IFERROR(__xludf.DUMMYFUNCTION("IF
(
G11824=""фізична особа""
,
VLOOKUP(H11824,IMPORTRANGE(""https://docs.google.com/spreadsheets/d/14Bd19lYaqBhU8_DElYkX7l4wRkHqqCUFNJY4AfY3kHU/edit?usp=sharing  #gid=0"",""фіз особи new!relations_name""),6,FALSE)
,
(IF
(
G11824=""юридична особа""
,
VLOO"&amp;"KUP(H11824,IMPORTRANGE(""https://docs.google.com/spreadsheets/d/14Bd19lYaqBhU8_DElYkX7l4wRkHqqCUFNJY4AfY3kHU/edit?usp=sharing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J11823" s="7" t="s">
        <v>23</v>
      </c>
    </row>
    <row r="11824" spans="1:10" ht="13.2">
      <c r="A11824" s="7">
        <v>11823</v>
      </c>
      <c r="B11824" s="7">
        <v>1</v>
      </c>
      <c r="C11824" s="7" t="s">
        <v>10</v>
      </c>
      <c r="D11824" s="7">
        <v>17875</v>
      </c>
      <c r="E11824" s="7" t="s">
        <v>23</v>
      </c>
      <c r="F11824" s="8" t="str">
        <f ca="1">IFERROR(__xludf.DUMMYFUNCTION("IF
(
C11825=""фізична особа""
,
VLOOKUP(D11825,IMPORTRANGE(""https://docs.google.com/spreadsheets/d/14Bd19lYaqBhU8_DElYkX7l4wRkHqqCUFNJY4AfY3kHU/edit?usp=sharing  #gid=0"",""фіз особи new!relations_name""),6,FALSE)
,
(IF
(
C11825=""юридична особа""
,
VLOO"&amp;"KUP(D11825,IMPORTRANGE(""https://docs.google.com/spreadsheets/d/14Bd19lYaqBhU8_DElYkX7l4wRkHqqCUFNJY4AfY3kHU/edit?usp=sharing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4" s="7" t="s">
        <v>10</v>
      </c>
      <c r="H11824" s="7">
        <v>17313</v>
      </c>
      <c r="I11824" s="8" t="str">
        <f ca="1">IFERROR(__xludf.DUMMYFUNCTION("IF
(
G11825=""фізична особа""
,
VLOOKUP(H11825,IMPORTRANGE(""https://docs.google.com/spreadsheets/d/14Bd19lYaqBhU8_DElYkX7l4wRkHqqCUFNJY4AfY3kHU/edit?usp=sharing  #gid=0"",""фіз особи new!relations_name""),6,FALSE)
,
(IF
(
G11825=""юридична особа""
,
VLOO"&amp;"KUP(H11825,IMPORTRANGE(""https://docs.google.com/spreadsheets/d/14Bd19lYaqBhU8_DElYkX7l4wRkHqqCUFNJY4AfY3kHU/edit?usp=sharing  #gid=0"",""фіз особи new!relations_name_uo""),7,FALSE)
,
)
))"),"ГЛЄБОВ Сергій Леонідович")</f>
        <v>ГЛЄБОВ Сергій Леонідович</v>
      </c>
      <c r="J11824" s="7" t="s">
        <v>23</v>
      </c>
    </row>
    <row r="11825" spans="1:10" ht="13.2">
      <c r="A11825" s="7">
        <v>11824</v>
      </c>
      <c r="B11825" s="7">
        <v>1</v>
      </c>
      <c r="C11825" s="7" t="s">
        <v>10</v>
      </c>
      <c r="D11825" s="7">
        <v>17875</v>
      </c>
      <c r="E11825" s="7" t="s">
        <v>23</v>
      </c>
      <c r="F11825" s="8" t="str">
        <f ca="1">IFERROR(__xludf.DUMMYFUNCTION("IF
(
C11826=""фізична особа""
,
VLOOKUP(D11826,IMPORTRANGE(""https://docs.google.com/spreadsheets/d/14Bd19lYaqBhU8_DElYkX7l4wRkHqqCUFNJY4AfY3kHU/edit?usp=sharing  #gid=0"",""фіз особи new!relations_name""),6,FALSE)
,
(IF
(
C11826=""юридична особа""
,
VLOO"&amp;"KUP(D11826,IMPORTRANGE(""https://docs.google.com/spreadsheets/d/14Bd19lYaqBhU8_DElYkX7l4wRkHqqCUFNJY4AfY3kHU/edit?usp=sharing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5" s="7" t="s">
        <v>10</v>
      </c>
      <c r="H11825" s="7">
        <v>17314</v>
      </c>
      <c r="I11825" s="8" t="str">
        <f ca="1">IFERROR(__xludf.DUMMYFUNCTION("IF
(
G11826=""фізична особа""
,
VLOOKUP(H11826,IMPORTRANGE(""https://docs.google.com/spreadsheets/d/14Bd19lYaqBhU8_DElYkX7l4wRkHqqCUFNJY4AfY3kHU/edit?usp=sharing  #gid=0"",""фіз особи new!relations_name""),6,FALSE)
,
(IF
(
G11826=""юридична особа""
,
VLOO"&amp;"KUP(H11826,IMPORTRANGE(""https://docs.google.com/spreadsheets/d/14Bd19lYaqBhU8_DElYkX7l4wRkHqqCUFNJY4AfY3kHU/edit?usp=sharing  #gid=0"",""фіз особи new!relations_name_uo""),7,FALSE)
,
)
))"),"ЛАШКЕВИЧ Костянтин В'ячеславович")</f>
        <v>ЛАШКЕВИЧ Костянтин В'ячеславович</v>
      </c>
      <c r="J11825" s="7" t="s">
        <v>23</v>
      </c>
    </row>
    <row r="11826" spans="1:10" ht="13.2">
      <c r="A11826" s="7">
        <v>11825</v>
      </c>
      <c r="B11826" s="7">
        <v>1</v>
      </c>
      <c r="C11826" s="7" t="s">
        <v>10</v>
      </c>
      <c r="D11826" s="7">
        <v>17875</v>
      </c>
      <c r="E11826" s="7" t="s">
        <v>23</v>
      </c>
      <c r="F11826" s="8" t="str">
        <f ca="1">IFERROR(__xludf.DUMMYFUNCTION("IF
(
C11827=""фізична особа""
,
VLOOKUP(D11827,IMPORTRANGE(""https://docs.google.com/spreadsheets/d/14Bd19lYaqBhU8_DElYkX7l4wRkHqqCUFNJY4AfY3kHU/edit?usp=sharing  #gid=0"",""фіз особи new!relations_name""),6,FALSE)
,
(IF
(
C11827=""юридична особа""
,
VLOO"&amp;"KUP(D11827,IMPORTRANGE(""https://docs.google.com/spreadsheets/d/14Bd19lYaqBhU8_DElYkX7l4wRkHqqCUFNJY4AfY3kHU/edit?usp=sharing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6" s="7" t="s">
        <v>10</v>
      </c>
      <c r="H11826" s="7">
        <v>17315</v>
      </c>
      <c r="I11826" s="8" t="str">
        <f ca="1">IFERROR(__xludf.DUMMYFUNCTION("IF
(
G11827=""фізична особа""
,
VLOOKUP(H11827,IMPORTRANGE(""https://docs.google.com/spreadsheets/d/14Bd19lYaqBhU8_DElYkX7l4wRkHqqCUFNJY4AfY3kHU/edit?usp=sharing  #gid=0"",""фіз особи new!relations_name""),6,FALSE)
,
(IF
(
G11827=""юридична особа""
,
VLOO"&amp;"KUP(H11827,IMPORTRANGE(""https://docs.google.com/spreadsheets/d/14Bd19lYaqBhU8_DElYkX7l4wRkHqqCUFNJY4AfY3kHU/edit?usp=sharing  #gid=0"",""фіз особи new!relations_name_uo""),7,FALSE)
,
)
))"),"ПОПОВ Михайло Сергійович")</f>
        <v>ПОПОВ Михайло Сергійович</v>
      </c>
      <c r="J11826" s="7" t="s">
        <v>23</v>
      </c>
    </row>
    <row r="11827" spans="1:10" ht="13.2">
      <c r="A11827" s="7">
        <v>11826</v>
      </c>
      <c r="B11827" s="7">
        <v>1</v>
      </c>
      <c r="C11827" s="7" t="s">
        <v>10</v>
      </c>
      <c r="D11827" s="7">
        <v>17875</v>
      </c>
      <c r="E11827" s="7" t="s">
        <v>23</v>
      </c>
      <c r="F11827" s="8" t="str">
        <f ca="1">IFERROR(__xludf.DUMMYFUNCTION("IF
(
C11828=""фізична особа""
,
VLOOKUP(D11828,IMPORTRANGE(""https://docs.google.com/spreadsheets/d/14Bd19lYaqBhU8_DElYkX7l4wRkHqqCUFNJY4AfY3kHU/edit?usp=sharing  #gid=0"",""фіз особи new!relations_name""),6,FALSE)
,
(IF
(
C11828=""юридична особа""
,
VLOO"&amp;"KUP(D11828,IMPORTRANGE(""https://docs.google.com/spreadsheets/d/14Bd19lYaqBhU8_DElYkX7l4wRkHqqCUFNJY4AfY3kHU/edit?usp=sharing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7" s="7" t="s">
        <v>10</v>
      </c>
      <c r="H11827" s="7">
        <v>17875</v>
      </c>
      <c r="I11827" s="8" t="str">
        <f ca="1">IFERROR(__xludf.DUMMYFUNCTION("IF
(
G11828=""фізична особа""
,
VLOOKUP(H11828,IMPORTRANGE(""https://docs.google.com/spreadsheets/d/14Bd19lYaqBhU8_DElYkX7l4wRkHqqCUFNJY4AfY3kHU/edit?usp=sharing  #gid=0"",""фіз особи new!relations_name""),6,FALSE)
,
(IF
(
G11828=""юридична особа""
,
VLOO"&amp;"KUP(H11828,IMPORTRANGE(""https://docs.google.com/spreadsheets/d/14Bd19lYaqBhU8_DElYkX7l4wRkHqqCUFNJY4AfY3kHU/edit?usp=sharing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J11827" s="7" t="s">
        <v>23</v>
      </c>
    </row>
    <row r="11828" spans="1:10" ht="13.2">
      <c r="A11828" s="7">
        <v>11827</v>
      </c>
      <c r="B11828" s="7">
        <v>1</v>
      </c>
      <c r="C11828" s="7" t="s">
        <v>10</v>
      </c>
      <c r="D11828" s="7">
        <v>17875</v>
      </c>
      <c r="E11828" s="7" t="s">
        <v>23</v>
      </c>
      <c r="F11828" s="8" t="str">
        <f ca="1">IFERROR(__xludf.DUMMYFUNCTION("IF
(
C11829=""фізична особа""
,
VLOOKUP(D11829,IMPORTRANGE(""https://docs.google.com/spreadsheets/d/14Bd19lYaqBhU8_DElYkX7l4wRkHqqCUFNJY4AfY3kHU/edit?usp=sharing  #gid=0"",""фіз особи new!relations_name""),6,FALSE)
,
(IF
(
C11829=""юридична особа""
,
VLOO"&amp;"KUP(D11829,IMPORTRANGE(""https://docs.google.com/spreadsheets/d/14Bd19lYaqBhU8_DElYkX7l4wRkHqqCUFNJY4AfY3kHU/edit?usp=sharing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G11828" s="7" t="s">
        <v>10</v>
      </c>
      <c r="H11828" s="7">
        <v>17316</v>
      </c>
      <c r="I11828" s="8" t="str">
        <f ca="1">IFERROR(__xludf.DUMMYFUNCTION("IF
(
G11829=""фізична особа""
,
VLOOKUP(H11829,IMPORTRANGE(""https://docs.google.com/spreadsheets/d/14Bd19lYaqBhU8_DElYkX7l4wRkHqqCUFNJY4AfY3kHU/edit?usp=sharing  #gid=0"",""фіз особи new!relations_name""),6,FALSE)
,
(IF
(
G11829=""юридична особа""
,
VLOO"&amp;"KUP(H11829,IMPORTRANGE(""https://docs.google.com/spreadsheets/d/14Bd19lYaqBhU8_DElYkX7l4wRkHqqCUFNJY4AfY3kHU/edit?usp=sharing  #gid=0"",""фіз особи new!relations_name_uo""),7,FALSE)
,
)
))"),"ТОМАЛАК Сервер Маметович")</f>
        <v>ТОМАЛАК Сервер Маметович</v>
      </c>
      <c r="J11828" s="7" t="s">
        <v>23</v>
      </c>
    </row>
    <row r="11829" spans="1:10" ht="13.2">
      <c r="A11829" s="7">
        <v>11828</v>
      </c>
      <c r="B11829" s="7">
        <v>1</v>
      </c>
      <c r="C11829" s="7" t="s">
        <v>10</v>
      </c>
      <c r="D11829" s="7">
        <v>17876</v>
      </c>
      <c r="E11829" s="7" t="s">
        <v>23</v>
      </c>
      <c r="F11829" s="8" t="str">
        <f ca="1">IFERROR(__xludf.DUMMYFUNCTION("IF
(
C11830=""фізична особа""
,
VLOOKUP(D11830,IMPORTRANGE(""https://docs.google.com/spreadsheets/d/14Bd19lYaqBhU8_DElYkX7l4wRkHqqCUFNJY4AfY3kHU/edit?usp=sharing  #gid=0"",""фіз особи new!relations_name""),6,FALSE)
,
(IF
(
C11830=""юридична особа""
,
VLOO"&amp;"KUP(D11830,IMPORTRANGE(""https://docs.google.com/spreadsheets/d/14Bd19lYaqBhU8_DElYkX7l4wRkHqqCUFNJY4AfY3kHU/edit?usp=sharing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29" s="7" t="s">
        <v>10</v>
      </c>
      <c r="H11829" s="7">
        <v>17860</v>
      </c>
      <c r="I11829" s="8" t="str">
        <f ca="1">IFERROR(__xludf.DUMMYFUNCTION("IF
(
G11830=""фізична особа""
,
VLOOKUP(H11830,IMPORTRANGE(""https://docs.google.com/spreadsheets/d/14Bd19lYaqBhU8_DElYkX7l4wRkHqqCUFNJY4AfY3kHU/edit?usp=sharing  #gid=0"",""фіз особи new!relations_name""),6,FALSE)
,
(IF
(
G11830=""юридична особа""
,
VLOO"&amp;"KUP(H11830,IMPORTRANGE(""https://docs.google.com/spreadsheets/d/14Bd19lYaqBhU8_DElYkX7l4wRkHqqCUFNJY4AfY3kHU/edit?usp=sharing  #gid=0"",""фіз особи new!relations_name_uo""),7,FALSE)
,
)
))"),"ТРУНОВ Марк Валерійович")</f>
        <v>ТРУНОВ Марк Валерійович</v>
      </c>
      <c r="J11829" s="7" t="s">
        <v>23</v>
      </c>
    </row>
    <row r="11830" spans="1:10" ht="13.2">
      <c r="A11830" s="7">
        <v>11829</v>
      </c>
      <c r="B11830" s="7">
        <v>1</v>
      </c>
      <c r="C11830" s="7" t="s">
        <v>10</v>
      </c>
      <c r="D11830" s="7">
        <v>17876</v>
      </c>
      <c r="E11830" s="7" t="s">
        <v>23</v>
      </c>
      <c r="F11830" s="8" t="str">
        <f ca="1">IFERROR(__xludf.DUMMYFUNCTION("IF
(
C11831=""фізична особа""
,
VLOOKUP(D11831,IMPORTRANGE(""https://docs.google.com/spreadsheets/d/14Bd19lYaqBhU8_DElYkX7l4wRkHqqCUFNJY4AfY3kHU/edit?usp=sharing  #gid=0"",""фіз особи new!relations_name""),6,FALSE)
,
(IF
(
C11831=""юридична особа""
,
VLOO"&amp;"KUP(D11831,IMPORTRANGE(""https://docs.google.com/spreadsheets/d/14Bd19lYaqBhU8_DElYkX7l4wRkHqqCUFNJY4AfY3kHU/edit?usp=sharing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30" s="7" t="s">
        <v>10</v>
      </c>
      <c r="H11830" s="7">
        <v>17313</v>
      </c>
      <c r="I11830" s="8" t="str">
        <f ca="1">IFERROR(__xludf.DUMMYFUNCTION("IF
(
G11831=""фізична особа""
,
VLOOKUP(H11831,IMPORTRANGE(""https://docs.google.com/spreadsheets/d/14Bd19lYaqBhU8_DElYkX7l4wRkHqqCUFNJY4AfY3kHU/edit?usp=sharing  #gid=0"",""фіз особи new!relations_name""),6,FALSE)
,
(IF
(
G11831=""юридична особа""
,
VLOO"&amp;"KUP(H11831,IMPORTRANGE(""https://docs.google.com/spreadsheets/d/14Bd19lYaqBhU8_DElYkX7l4wRkHqqCUFNJY4AfY3kHU/edit?usp=sharing  #gid=0"",""фіз особи new!relations_name_uo""),7,FALSE)
,
)
))"),"ГЛЄБОВ Сергій Леонідович")</f>
        <v>ГЛЄБОВ Сергій Леонідович</v>
      </c>
      <c r="J11830" s="7" t="s">
        <v>23</v>
      </c>
    </row>
    <row r="11831" spans="1:10" ht="13.2">
      <c r="A11831" s="7">
        <v>11830</v>
      </c>
      <c r="B11831" s="7">
        <v>1</v>
      </c>
      <c r="C11831" s="7" t="s">
        <v>10</v>
      </c>
      <c r="D11831" s="7">
        <v>17876</v>
      </c>
      <c r="E11831" s="7" t="s">
        <v>23</v>
      </c>
      <c r="F11831" s="8" t="str">
        <f ca="1">IFERROR(__xludf.DUMMYFUNCTION("IF
(
C11832=""фізична особа""
,
VLOOKUP(D11832,IMPORTRANGE(""https://docs.google.com/spreadsheets/d/14Bd19lYaqBhU8_DElYkX7l4wRkHqqCUFNJY4AfY3kHU/edit?usp=sharing  #gid=0"",""фіз особи new!relations_name""),6,FALSE)
,
(IF
(
C11832=""юридична особа""
,
VLOO"&amp;"KUP(D11832,IMPORTRANGE(""https://docs.google.com/spreadsheets/d/14Bd19lYaqBhU8_DElYkX7l4wRkHqqCUFNJY4AfY3kHU/edit?usp=sharing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31" s="7" t="s">
        <v>10</v>
      </c>
      <c r="H11831" s="7">
        <v>17314</v>
      </c>
      <c r="I11831" s="8" t="str">
        <f ca="1">IFERROR(__xludf.DUMMYFUNCTION("IF
(
G11832=""фізична особа""
,
VLOOKUP(H11832,IMPORTRANGE(""https://docs.google.com/spreadsheets/d/14Bd19lYaqBhU8_DElYkX7l4wRkHqqCUFNJY4AfY3kHU/edit?usp=sharing  #gid=0"",""фіз особи new!relations_name""),6,FALSE)
,
(IF
(
G11832=""юридична особа""
,
VLOO"&amp;"KUP(H11832,IMPORTRANGE(""https://docs.google.com/spreadsheets/d/14Bd19lYaqBhU8_DElYkX7l4wRkHqqCUFNJY4AfY3kHU/edit?usp=sharing  #gid=0"",""фіз особи new!relations_name_uo""),7,FALSE)
,
)
))"),"ЛАШКЕВИЧ Костянтин В'ячеславович")</f>
        <v>ЛАШКЕВИЧ Костянтин В'ячеславович</v>
      </c>
      <c r="J11831" s="7" t="s">
        <v>23</v>
      </c>
    </row>
    <row r="11832" spans="1:10" ht="13.2">
      <c r="A11832" s="7">
        <v>11831</v>
      </c>
      <c r="B11832" s="7">
        <v>1</v>
      </c>
      <c r="C11832" s="7" t="s">
        <v>10</v>
      </c>
      <c r="D11832" s="7">
        <v>17876</v>
      </c>
      <c r="E11832" s="7" t="s">
        <v>23</v>
      </c>
      <c r="F11832" s="8" t="str">
        <f ca="1">IFERROR(__xludf.DUMMYFUNCTION("IF
(
C11833=""фізична особа""
,
VLOOKUP(D11833,IMPORTRANGE(""https://docs.google.com/spreadsheets/d/14Bd19lYaqBhU8_DElYkX7l4wRkHqqCUFNJY4AfY3kHU/edit?usp=sharing  #gid=0"",""фіз особи new!relations_name""),6,FALSE)
,
(IF
(
C11833=""юридична особа""
,
VLOO"&amp;"KUP(D11833,IMPORTRANGE(""https://docs.google.com/spreadsheets/d/14Bd19lYaqBhU8_DElYkX7l4wRkHqqCUFNJY4AfY3kHU/edit?usp=sharing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32" s="7" t="s">
        <v>10</v>
      </c>
      <c r="H11832" s="7">
        <v>17315</v>
      </c>
      <c r="I11832" s="8" t="str">
        <f ca="1">IFERROR(__xludf.DUMMYFUNCTION("IF
(
G11833=""фізична особа""
,
VLOOKUP(H11833,IMPORTRANGE(""https://docs.google.com/spreadsheets/d/14Bd19lYaqBhU8_DElYkX7l4wRkHqqCUFNJY4AfY3kHU/edit?usp=sharing  #gid=0"",""фіз особи new!relations_name""),6,FALSE)
,
(IF
(
G11833=""юридична особа""
,
VLOO"&amp;"KUP(H11833,IMPORTRANGE(""https://docs.google.com/spreadsheets/d/14Bd19lYaqBhU8_DElYkX7l4wRkHqqCUFNJY4AfY3kHU/edit?usp=sharing  #gid=0"",""фіз особи new!relations_name_uo""),7,FALSE)
,
)
))"),"ПОПОВ Михайло Сергійович")</f>
        <v>ПОПОВ Михайло Сергійович</v>
      </c>
      <c r="J11832" s="7" t="s">
        <v>23</v>
      </c>
    </row>
    <row r="11833" spans="1:10" ht="13.2">
      <c r="A11833" s="7">
        <v>11832</v>
      </c>
      <c r="B11833" s="7">
        <v>1</v>
      </c>
      <c r="C11833" s="7" t="s">
        <v>10</v>
      </c>
      <c r="D11833" s="7">
        <v>17876</v>
      </c>
      <c r="E11833" s="7" t="s">
        <v>23</v>
      </c>
      <c r="F11833" s="8" t="str">
        <f ca="1">IFERROR(__xludf.DUMMYFUNCTION("IF
(
C11834=""фізична особа""
,
VLOOKUP(D11834,IMPORTRANGE(""https://docs.google.com/spreadsheets/d/14Bd19lYaqBhU8_DElYkX7l4wRkHqqCUFNJY4AfY3kHU/edit?usp=sharing  #gid=0"",""фіз особи new!relations_name""),6,FALSE)
,
(IF
(
C11834=""юридична особа""
,
VLOO"&amp;"KUP(D11834,IMPORTRANGE(""https://docs.google.com/spreadsheets/d/14Bd19lYaqBhU8_DElYkX7l4wRkHqqCUFNJY4AfY3kHU/edit?usp=sharing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33" s="7" t="s">
        <v>10</v>
      </c>
      <c r="H11833" s="7">
        <v>17875</v>
      </c>
      <c r="I11833" s="8" t="str">
        <f ca="1">IFERROR(__xludf.DUMMYFUNCTION("IF
(
G11834=""фізична особа""
,
VLOOKUP(H11834,IMPORTRANGE(""https://docs.google.com/spreadsheets/d/14Bd19lYaqBhU8_DElYkX7l4wRkHqqCUFNJY4AfY3kHU/edit?usp=sharing  #gid=0"",""фіз особи new!relations_name""),6,FALSE)
,
(IF
(
G11834=""юридична особа""
,
VLOO"&amp;"KUP(H11834,IMPORTRANGE(""https://docs.google.com/spreadsheets/d/14Bd19lYaqBhU8_DElYkX7l4wRkHqqCUFNJY4AfY3kHU/edit?usp=sharing  #gid=0"",""фіз особи new!relations_name_uo""),7,FALSE)
,
)
))"),"АРХІПОВ Антон Володимирович")</f>
        <v>АРХІПОВ Антон Володимирович</v>
      </c>
      <c r="J11833" s="7" t="s">
        <v>23</v>
      </c>
    </row>
    <row r="11834" spans="1:10" ht="13.2">
      <c r="A11834" s="7">
        <v>11833</v>
      </c>
      <c r="B11834" s="7">
        <v>1</v>
      </c>
      <c r="C11834" s="7" t="s">
        <v>10</v>
      </c>
      <c r="D11834" s="7">
        <v>17876</v>
      </c>
      <c r="E11834" s="7" t="s">
        <v>23</v>
      </c>
      <c r="F11834" s="8" t="str">
        <f ca="1">IFERROR(__xludf.DUMMYFUNCTION("IF
(
C11835=""фізична особа""
,
VLOOKUP(D11835,IMPORTRANGE(""https://docs.google.com/spreadsheets/d/14Bd19lYaqBhU8_DElYkX7l4wRkHqqCUFNJY4AfY3kHU/edit?usp=sharing  #gid=0"",""фіз особи new!relations_name""),6,FALSE)
,
(IF
(
C11835=""юридична особа""
,
VLOO"&amp;"KUP(D11835,IMPORTRANGE(""https://docs.google.com/spreadsheets/d/14Bd19lYaqBhU8_DElYkX7l4wRkHqqCUFNJY4AfY3kHU/edit?usp=sharing  #gid=0"",""фіз особи new!relations_name_uo""),7,FALSE)
,
)
))"),"СЕРКІНА Марина Олександрівна")</f>
        <v>СЕРКІНА Марина Олександрівна</v>
      </c>
      <c r="G11834" s="7" t="s">
        <v>10</v>
      </c>
      <c r="H11834" s="7">
        <v>17316</v>
      </c>
      <c r="I11834" s="8" t="str">
        <f ca="1">IFERROR(__xludf.DUMMYFUNCTION("IF
(
G11835=""фізична особа""
,
VLOOKUP(H11835,IMPORTRANGE(""https://docs.google.com/spreadsheets/d/14Bd19lYaqBhU8_DElYkX7l4wRkHqqCUFNJY4AfY3kHU/edit?usp=sharing  #gid=0"",""фіз особи new!relations_name""),6,FALSE)
,
(IF
(
G11835=""юридична особа""
,
VLOO"&amp;"KUP(H11835,IMPORTRANGE(""https://docs.google.com/spreadsheets/d/14Bd19lYaqBhU8_DElYkX7l4wRkHqqCUFNJY4AfY3kHU/edit?usp=sharing  #gid=0"",""фіз особи new!relations_name_uo""),7,FALSE)
,
)
))"),"ТОМАЛАК Сервер Маметович")</f>
        <v>ТОМАЛАК Сервер Маметович</v>
      </c>
      <c r="J11834" s="7" t="s">
        <v>23</v>
      </c>
    </row>
    <row r="11835" spans="1:10" ht="13.2">
      <c r="A11835" s="7">
        <v>11834</v>
      </c>
      <c r="B11835" s="7">
        <v>1</v>
      </c>
      <c r="C11835" s="7" t="s">
        <v>10</v>
      </c>
      <c r="D11835" s="7">
        <v>17892</v>
      </c>
      <c r="E11835" s="7" t="s">
        <v>23</v>
      </c>
      <c r="F11835" s="8" t="str">
        <f ca="1">IFERROR(__xludf.DUMMYFUNCTION("IF
(
C11836=""фізична особа""
,
VLOOKUP(D11836,IMPORTRANGE(""https://docs.google.com/spreadsheets/d/14Bd19lYaqBhU8_DElYkX7l4wRkHqqCUFNJY4AfY3kHU/edit?usp=sharing  #gid=0"",""фіз особи new!relations_name""),6,FALSE)
,
(IF
(
C11836=""юридична особа""
,
VLOO"&amp;"KUP(D11836,IMPORTRANGE(""https://docs.google.com/spreadsheets/d/14Bd19lYaqBhU8_DElYkX7l4wRkHqqCUFNJY4AfY3kHU/edit?usp=sharing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G11835" s="7" t="s">
        <v>10</v>
      </c>
      <c r="H11835" s="7">
        <v>17893</v>
      </c>
      <c r="I11835" s="8" t="str">
        <f ca="1">IFERROR(__xludf.DUMMYFUNCTION("IF
(
G11836=""фізична особа""
,
VLOOKUP(H11836,IMPORTRANGE(""https://docs.google.com/spreadsheets/d/14Bd19lYaqBhU8_DElYkX7l4wRkHqqCUFNJY4AfY3kHU/edit?usp=sharing  #gid=0"",""фіз особи new!relations_name""),6,FALSE)
,
(IF
(
G11836=""юридична особа""
,
VLOO"&amp;"KUP(H11836,IMPORTRANGE(""https://docs.google.com/spreadsheets/d/14Bd19lYaqBhU8_DElYkX7l4wRkHqqCUFNJY4AfY3kHU/edit?usp=sharing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J11835" s="7" t="s">
        <v>23</v>
      </c>
    </row>
    <row r="11836" spans="1:10" ht="13.2">
      <c r="A11836" s="7">
        <v>11835</v>
      </c>
      <c r="B11836" s="7">
        <v>1</v>
      </c>
      <c r="C11836" s="7" t="s">
        <v>10</v>
      </c>
      <c r="D11836" s="7">
        <v>17892</v>
      </c>
      <c r="E11836" s="7" t="s">
        <v>23</v>
      </c>
      <c r="F11836" s="8" t="str">
        <f ca="1">IFERROR(__xludf.DUMMYFUNCTION("IF
(
C11837=""фізична особа""
,
VLOOKUP(D11837,IMPORTRANGE(""https://docs.google.com/spreadsheets/d/14Bd19lYaqBhU8_DElYkX7l4wRkHqqCUFNJY4AfY3kHU/edit?usp=sharing  #gid=0"",""фіз особи new!relations_name""),6,FALSE)
,
(IF
(
C11837=""юридична особа""
,
VLOO"&amp;"KUP(D11837,IMPORTRANGE(""https://docs.google.com/spreadsheets/d/14Bd19lYaqBhU8_DElYkX7l4wRkHqqCUFNJY4AfY3kHU/edit?usp=sharing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G11836" s="7" t="s">
        <v>10</v>
      </c>
      <c r="H11836" s="7">
        <v>17894</v>
      </c>
      <c r="I11836" s="8" t="str">
        <f ca="1">IFERROR(__xludf.DUMMYFUNCTION("IF
(
G11837=""фізична особа""
,
VLOOKUP(H11837,IMPORTRANGE(""https://docs.google.com/spreadsheets/d/14Bd19lYaqBhU8_DElYkX7l4wRkHqqCUFNJY4AfY3kHU/edit?usp=sharing  #gid=0"",""фіз особи new!relations_name""),6,FALSE)
,
(IF
(
G11837=""юридична особа""
,
VLOO"&amp;"KUP(H11837,IMPORTRANGE(""https://docs.google.com/spreadsheets/d/14Bd19lYaqBhU8_DElYkX7l4wRkHqqCUFNJY4AfY3kHU/edit?usp=sharing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J11836" s="7" t="s">
        <v>23</v>
      </c>
    </row>
    <row r="11837" spans="1:10" ht="13.2">
      <c r="A11837" s="7">
        <v>11836</v>
      </c>
      <c r="B11837" s="7">
        <v>1</v>
      </c>
      <c r="C11837" s="7" t="s">
        <v>10</v>
      </c>
      <c r="D11837" s="7">
        <v>17892</v>
      </c>
      <c r="E11837" s="7" t="s">
        <v>23</v>
      </c>
      <c r="F11837" s="8" t="str">
        <f ca="1">IFERROR(__xludf.DUMMYFUNCTION("IF
(
C11838=""фізична особа""
,
VLOOKUP(D11838,IMPORTRANGE(""https://docs.google.com/spreadsheets/d/14Bd19lYaqBhU8_DElYkX7l4wRkHqqCUFNJY4AfY3kHU/edit?usp=sharing  #gid=0"",""фіз особи new!relations_name""),6,FALSE)
,
(IF
(
C11838=""юридична особа""
,
VLOO"&amp;"KUP(D11838,IMPORTRANGE(""https://docs.google.com/spreadsheets/d/14Bd19lYaqBhU8_DElYkX7l4wRkHqqCUFNJY4AfY3kHU/edit?usp=sharing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G11837" s="7" t="s">
        <v>10</v>
      </c>
      <c r="H11837" s="7">
        <v>17895</v>
      </c>
      <c r="I11837" s="8" t="str">
        <f ca="1">IFERROR(__xludf.DUMMYFUNCTION("IF
(
G11838=""фізична особа""
,
VLOOKUP(H11838,IMPORTRANGE(""https://docs.google.com/spreadsheets/d/14Bd19lYaqBhU8_DElYkX7l4wRkHqqCUFNJY4AfY3kHU/edit?usp=sharing  #gid=0"",""фіз особи new!relations_name""),6,FALSE)
,
(IF
(
G11838=""юридична особа""
,
VLOO"&amp;"KUP(H11838,IMPORTRANGE(""https://docs.google.com/spreadsheets/d/14Bd19lYaqBhU8_DElYkX7l4wRkHqqCUFNJY4AfY3kHU/edit?usp=sharing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J11837" s="7" t="s">
        <v>23</v>
      </c>
    </row>
    <row r="11838" spans="1:10" ht="13.2">
      <c r="A11838" s="7">
        <v>11837</v>
      </c>
      <c r="B11838" s="7">
        <v>1</v>
      </c>
      <c r="C11838" s="7" t="s">
        <v>10</v>
      </c>
      <c r="D11838" s="7">
        <v>17893</v>
      </c>
      <c r="E11838" s="7" t="s">
        <v>23</v>
      </c>
      <c r="F11838" s="8" t="str">
        <f ca="1">IFERROR(__xludf.DUMMYFUNCTION("IF
(
C11839=""фізична особа""
,
VLOOKUP(D11839,IMPORTRANGE(""https://docs.google.com/spreadsheets/d/14Bd19lYaqBhU8_DElYkX7l4wRkHqqCUFNJY4AfY3kHU/edit?usp=sharing  #gid=0"",""фіз особи new!relations_name""),6,FALSE)
,
(IF
(
C11839=""юридична особа""
,
VLOO"&amp;"KUP(D11839,IMPORTRANGE(""https://docs.google.com/spreadsheets/d/14Bd19lYaqBhU8_DElYkX7l4wRkHqqCUFNJY4AfY3kHU/edit?usp=sharing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G11838" s="7" t="s">
        <v>10</v>
      </c>
      <c r="H11838" s="7">
        <v>17892</v>
      </c>
      <c r="I11838" s="8" t="str">
        <f ca="1">IFERROR(__xludf.DUMMYFUNCTION("IF
(
G11839=""фізична особа""
,
VLOOKUP(H11839,IMPORTRANGE(""https://docs.google.com/spreadsheets/d/14Bd19lYaqBhU8_DElYkX7l4wRkHqqCUFNJY4AfY3kHU/edit?usp=sharing  #gid=0"",""фіз особи new!relations_name""),6,FALSE)
,
(IF
(
G11839=""юридична особа""
,
VLOO"&amp;"KUP(H11839,IMPORTRANGE(""https://docs.google.com/spreadsheets/d/14Bd19lYaqBhU8_DElYkX7l4wRkHqqCUFNJY4AfY3kHU/edit?usp=sharing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J11838" s="7" t="s">
        <v>23</v>
      </c>
    </row>
    <row r="11839" spans="1:10" ht="13.2">
      <c r="A11839" s="7">
        <v>11838</v>
      </c>
      <c r="B11839" s="7">
        <v>1</v>
      </c>
      <c r="C11839" s="7" t="s">
        <v>10</v>
      </c>
      <c r="D11839" s="7">
        <v>17893</v>
      </c>
      <c r="E11839" s="7" t="s">
        <v>23</v>
      </c>
      <c r="F11839" s="8" t="str">
        <f ca="1">IFERROR(__xludf.DUMMYFUNCTION("IF
(
C11840=""фізична особа""
,
VLOOKUP(D11840,IMPORTRANGE(""https://docs.google.com/spreadsheets/d/14Bd19lYaqBhU8_DElYkX7l4wRkHqqCUFNJY4AfY3kHU/edit?usp=sharing  #gid=0"",""фіз особи new!relations_name""),6,FALSE)
,
(IF
(
C11840=""юридична особа""
,
VLOO"&amp;"KUP(D11840,IMPORTRANGE(""https://docs.google.com/spreadsheets/d/14Bd19lYaqBhU8_DElYkX7l4wRkHqqCUFNJY4AfY3kHU/edit?usp=sharing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G11839" s="7" t="s">
        <v>10</v>
      </c>
      <c r="H11839" s="7">
        <v>17894</v>
      </c>
      <c r="I11839" s="8" t="str">
        <f ca="1">IFERROR(__xludf.DUMMYFUNCTION("IF
(
G11840=""фізична особа""
,
VLOOKUP(H11840,IMPORTRANGE(""https://docs.google.com/spreadsheets/d/14Bd19lYaqBhU8_DElYkX7l4wRkHqqCUFNJY4AfY3kHU/edit?usp=sharing  #gid=0"",""фіз особи new!relations_name""),6,FALSE)
,
(IF
(
G11840=""юридична особа""
,
VLOO"&amp;"KUP(H11840,IMPORTRANGE(""https://docs.google.com/spreadsheets/d/14Bd19lYaqBhU8_DElYkX7l4wRkHqqCUFNJY4AfY3kHU/edit?usp=sharing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J11839" s="7" t="s">
        <v>23</v>
      </c>
    </row>
    <row r="11840" spans="1:10" ht="13.2">
      <c r="A11840" s="7">
        <v>11839</v>
      </c>
      <c r="B11840" s="7">
        <v>1</v>
      </c>
      <c r="C11840" s="7" t="s">
        <v>10</v>
      </c>
      <c r="D11840" s="7">
        <v>17893</v>
      </c>
      <c r="E11840" s="7" t="s">
        <v>23</v>
      </c>
      <c r="F11840" s="8" t="str">
        <f ca="1">IFERROR(__xludf.DUMMYFUNCTION("IF
(
C11841=""фізична особа""
,
VLOOKUP(D11841,IMPORTRANGE(""https://docs.google.com/spreadsheets/d/14Bd19lYaqBhU8_DElYkX7l4wRkHqqCUFNJY4AfY3kHU/edit?usp=sharing  #gid=0"",""фіз особи new!relations_name""),6,FALSE)
,
(IF
(
C11841=""юридична особа""
,
VLOO"&amp;"KUP(D11841,IMPORTRANGE(""https://docs.google.com/spreadsheets/d/14Bd19lYaqBhU8_DElYkX7l4wRkHqqCUFNJY4AfY3kHU/edit?usp=sharing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G11840" s="7" t="s">
        <v>10</v>
      </c>
      <c r="H11840" s="7">
        <v>17895</v>
      </c>
      <c r="I11840" s="8" t="str">
        <f ca="1">IFERROR(__xludf.DUMMYFUNCTION("IF
(
G11841=""фізична особа""
,
VLOOKUP(H11841,IMPORTRANGE(""https://docs.google.com/spreadsheets/d/14Bd19lYaqBhU8_DElYkX7l4wRkHqqCUFNJY4AfY3kHU/edit?usp=sharing  #gid=0"",""фіз особи new!relations_name""),6,FALSE)
,
(IF
(
G11841=""юридична особа""
,
VLOO"&amp;"KUP(H11841,IMPORTRANGE(""https://docs.google.com/spreadsheets/d/14Bd19lYaqBhU8_DElYkX7l4wRkHqqCUFNJY4AfY3kHU/edit?usp=sharing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J11840" s="7" t="s">
        <v>23</v>
      </c>
    </row>
    <row r="11841" spans="1:10" ht="13.2">
      <c r="A11841" s="7">
        <v>11840</v>
      </c>
      <c r="B11841" s="7">
        <v>1</v>
      </c>
      <c r="C11841" s="7" t="s">
        <v>10</v>
      </c>
      <c r="D11841" s="7">
        <v>17894</v>
      </c>
      <c r="E11841" s="7" t="s">
        <v>23</v>
      </c>
      <c r="F11841" s="8" t="str">
        <f ca="1">IFERROR(__xludf.DUMMYFUNCTION("IF
(
C11842=""фізична особа""
,
VLOOKUP(D11842,IMPORTRANGE(""https://docs.google.com/spreadsheets/d/14Bd19lYaqBhU8_DElYkX7l4wRkHqqCUFNJY4AfY3kHU/edit?usp=sharing  #gid=0"",""фіз особи new!relations_name""),6,FALSE)
,
(IF
(
C11842=""юридична особа""
,
VLOO"&amp;"KUP(D11842,IMPORTRANGE(""https://docs.google.com/spreadsheets/d/14Bd19lYaqBhU8_DElYkX7l4wRkHqqCUFNJY4AfY3kHU/edit?usp=sharing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G11841" s="7" t="s">
        <v>10</v>
      </c>
      <c r="H11841" s="7">
        <v>17892</v>
      </c>
      <c r="I11841" s="8" t="str">
        <f ca="1">IFERROR(__xludf.DUMMYFUNCTION("IF
(
G11842=""фізична особа""
,
VLOOKUP(H11842,IMPORTRANGE(""https://docs.google.com/spreadsheets/d/14Bd19lYaqBhU8_DElYkX7l4wRkHqqCUFNJY4AfY3kHU/edit?usp=sharing  #gid=0"",""фіз особи new!relations_name""),6,FALSE)
,
(IF
(
G11842=""юридична особа""
,
VLOO"&amp;"KUP(H11842,IMPORTRANGE(""https://docs.google.com/spreadsheets/d/14Bd19lYaqBhU8_DElYkX7l4wRkHqqCUFNJY4AfY3kHU/edit?usp=sharing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J11841" s="7" t="s">
        <v>23</v>
      </c>
    </row>
    <row r="11842" spans="1:10" ht="13.2">
      <c r="A11842" s="7">
        <v>11841</v>
      </c>
      <c r="B11842" s="7">
        <v>1</v>
      </c>
      <c r="C11842" s="7" t="s">
        <v>10</v>
      </c>
      <c r="D11842" s="7">
        <v>17894</v>
      </c>
      <c r="E11842" s="7" t="s">
        <v>23</v>
      </c>
      <c r="F11842" s="8" t="str">
        <f ca="1">IFERROR(__xludf.DUMMYFUNCTION("IF
(
C11843=""фізична особа""
,
VLOOKUP(D11843,IMPORTRANGE(""https://docs.google.com/spreadsheets/d/14Bd19lYaqBhU8_DElYkX7l4wRkHqqCUFNJY4AfY3kHU/edit?usp=sharing  #gid=0"",""фіз особи new!relations_name""),6,FALSE)
,
(IF
(
C11843=""юридична особа""
,
VLOO"&amp;"KUP(D11843,IMPORTRANGE(""https://docs.google.com/spreadsheets/d/14Bd19lYaqBhU8_DElYkX7l4wRkHqqCUFNJY4AfY3kHU/edit?usp=sharing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G11842" s="7" t="s">
        <v>10</v>
      </c>
      <c r="H11842" s="7">
        <v>17893</v>
      </c>
      <c r="I11842" s="8" t="str">
        <f ca="1">IFERROR(__xludf.DUMMYFUNCTION("IF
(
G11843=""фізична особа""
,
VLOOKUP(H11843,IMPORTRANGE(""https://docs.google.com/spreadsheets/d/14Bd19lYaqBhU8_DElYkX7l4wRkHqqCUFNJY4AfY3kHU/edit?usp=sharing  #gid=0"",""фіз особи new!relations_name""),6,FALSE)
,
(IF
(
G11843=""юридична особа""
,
VLOO"&amp;"KUP(H11843,IMPORTRANGE(""https://docs.google.com/spreadsheets/d/14Bd19lYaqBhU8_DElYkX7l4wRkHqqCUFNJY4AfY3kHU/edit?usp=sharing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J11842" s="7" t="s">
        <v>23</v>
      </c>
    </row>
    <row r="11843" spans="1:10" ht="13.2">
      <c r="A11843" s="7">
        <v>11842</v>
      </c>
      <c r="B11843" s="7">
        <v>1</v>
      </c>
      <c r="C11843" s="7" t="s">
        <v>10</v>
      </c>
      <c r="D11843" s="7">
        <v>17894</v>
      </c>
      <c r="E11843" s="7" t="s">
        <v>23</v>
      </c>
      <c r="F11843" s="8" t="str">
        <f ca="1">IFERROR(__xludf.DUMMYFUNCTION("IF
(
C11844=""фізична особа""
,
VLOOKUP(D11844,IMPORTRANGE(""https://docs.google.com/spreadsheets/d/14Bd19lYaqBhU8_DElYkX7l4wRkHqqCUFNJY4AfY3kHU/edit?usp=sharing  #gid=0"",""фіз особи new!relations_name""),6,FALSE)
,
(IF
(
C11844=""юридична особа""
,
VLOO"&amp;"KUP(D11844,IMPORTRANGE(""https://docs.google.com/spreadsheets/d/14Bd19lYaqBhU8_DElYkX7l4wRkHqqCUFNJY4AfY3kHU/edit?usp=sharing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G11843" s="7" t="s">
        <v>10</v>
      </c>
      <c r="H11843" s="7">
        <v>17895</v>
      </c>
      <c r="I11843" s="8" t="str">
        <f ca="1">IFERROR(__xludf.DUMMYFUNCTION("IF
(
G11844=""фізична особа""
,
VLOOKUP(H11844,IMPORTRANGE(""https://docs.google.com/spreadsheets/d/14Bd19lYaqBhU8_DElYkX7l4wRkHqqCUFNJY4AfY3kHU/edit?usp=sharing  #gid=0"",""фіз особи new!relations_name""),6,FALSE)
,
(IF
(
G11844=""юридична особа""
,
VLOO"&amp;"KUP(H11844,IMPORTRANGE(""https://docs.google.com/spreadsheets/d/14Bd19lYaqBhU8_DElYkX7l4wRkHqqCUFNJY4AfY3kHU/edit?usp=sharing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J11843" s="7" t="s">
        <v>23</v>
      </c>
    </row>
    <row r="11844" spans="1:10" ht="13.2">
      <c r="A11844" s="7">
        <v>11843</v>
      </c>
      <c r="B11844" s="7">
        <v>1</v>
      </c>
      <c r="C11844" s="7" t="s">
        <v>10</v>
      </c>
      <c r="D11844" s="7">
        <v>17895</v>
      </c>
      <c r="E11844" s="7" t="s">
        <v>23</v>
      </c>
      <c r="F11844" s="8" t="str">
        <f ca="1">IFERROR(__xludf.DUMMYFUNCTION("IF
(
C11845=""фізична особа""
,
VLOOKUP(D11845,IMPORTRANGE(""https://docs.google.com/spreadsheets/d/14Bd19lYaqBhU8_DElYkX7l4wRkHqqCUFNJY4AfY3kHU/edit?usp=sharing  #gid=0"",""фіз особи new!relations_name""),6,FALSE)
,
(IF
(
C11845=""юридична особа""
,
VLOO"&amp;"KUP(D11845,IMPORTRANGE(""https://docs.google.com/spreadsheets/d/14Bd19lYaqBhU8_DElYkX7l4wRkHqqCUFNJY4AfY3kHU/edit?usp=sharing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G11844" s="7" t="s">
        <v>10</v>
      </c>
      <c r="H11844" s="7">
        <v>17892</v>
      </c>
      <c r="I11844" s="8" t="str">
        <f ca="1">IFERROR(__xludf.DUMMYFUNCTION("IF
(
G11845=""фізична особа""
,
VLOOKUP(H11845,IMPORTRANGE(""https://docs.google.com/spreadsheets/d/14Bd19lYaqBhU8_DElYkX7l4wRkHqqCUFNJY4AfY3kHU/edit?usp=sharing  #gid=0"",""фіз особи new!relations_name""),6,FALSE)
,
(IF
(
G11845=""юридична особа""
,
VLOO"&amp;"KUP(H11845,IMPORTRANGE(""https://docs.google.com/spreadsheets/d/14Bd19lYaqBhU8_DElYkX7l4wRkHqqCUFNJY4AfY3kHU/edit?usp=sharing  #gid=0"",""фіз особи new!relations_name_uo""),7,FALSE)
,
)
))"),"ДАЦКОВСЬКИЙ Євгеній Вікторович")</f>
        <v>ДАЦКОВСЬКИЙ Євгеній Вікторович</v>
      </c>
      <c r="J11844" s="7" t="s">
        <v>23</v>
      </c>
    </row>
    <row r="11845" spans="1:10" ht="13.2">
      <c r="A11845" s="7">
        <v>11844</v>
      </c>
      <c r="B11845" s="7">
        <v>1</v>
      </c>
      <c r="C11845" s="7" t="s">
        <v>10</v>
      </c>
      <c r="D11845" s="7">
        <v>17895</v>
      </c>
      <c r="E11845" s="7" t="s">
        <v>23</v>
      </c>
      <c r="F11845" s="8" t="str">
        <f ca="1">IFERROR(__xludf.DUMMYFUNCTION("IF
(
C11846=""фізична особа""
,
VLOOKUP(D11846,IMPORTRANGE(""https://docs.google.com/spreadsheets/d/14Bd19lYaqBhU8_DElYkX7l4wRkHqqCUFNJY4AfY3kHU/edit?usp=sharing  #gid=0"",""фіз особи new!relations_name""),6,FALSE)
,
(IF
(
C11846=""юридична особа""
,
VLOO"&amp;"KUP(D11846,IMPORTRANGE(""https://docs.google.com/spreadsheets/d/14Bd19lYaqBhU8_DElYkX7l4wRkHqqCUFNJY4AfY3kHU/edit?usp=sharing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G11845" s="7" t="s">
        <v>10</v>
      </c>
      <c r="H11845" s="7">
        <v>17893</v>
      </c>
      <c r="I11845" s="8" t="str">
        <f ca="1">IFERROR(__xludf.DUMMYFUNCTION("IF
(
G11846=""фізична особа""
,
VLOOKUP(H11846,IMPORTRANGE(""https://docs.google.com/spreadsheets/d/14Bd19lYaqBhU8_DElYkX7l4wRkHqqCUFNJY4AfY3kHU/edit?usp=sharing  #gid=0"",""фіз особи new!relations_name""),6,FALSE)
,
(IF
(
G11846=""юридична особа""
,
VLOO"&amp;"KUP(H11846,IMPORTRANGE(""https://docs.google.com/spreadsheets/d/14Bd19lYaqBhU8_DElYkX7l4wRkHqqCUFNJY4AfY3kHU/edit?usp=sharing  #gid=0"",""фіз особи new!relations_name_uo""),7,FALSE)
,
)
))"),"САМОРУКОВ Дмитро Володимирович")</f>
        <v>САМОРУКОВ Дмитро Володимирович</v>
      </c>
      <c r="J11845" s="7" t="s">
        <v>23</v>
      </c>
    </row>
    <row r="11846" spans="1:10" ht="13.2">
      <c r="A11846" s="7">
        <v>11845</v>
      </c>
      <c r="B11846" s="7">
        <v>1</v>
      </c>
      <c r="C11846" s="7" t="s">
        <v>10</v>
      </c>
      <c r="D11846" s="7">
        <v>17895</v>
      </c>
      <c r="E11846" s="7" t="s">
        <v>23</v>
      </c>
      <c r="F11846" s="8" t="str">
        <f ca="1">IFERROR(__xludf.DUMMYFUNCTION("IF
(
C11847=""фізична особа""
,
VLOOKUP(D11847,IMPORTRANGE(""https://docs.google.com/spreadsheets/d/14Bd19lYaqBhU8_DElYkX7l4wRkHqqCUFNJY4AfY3kHU/edit?usp=sharing  #gid=0"",""фіз особи new!relations_name""),6,FALSE)
,
(IF
(
C11847=""юридична особа""
,
VLOO"&amp;"KUP(D11847,IMPORTRANGE(""https://docs.google.com/spreadsheets/d/14Bd19lYaqBhU8_DElYkX7l4wRkHqqCUFNJY4AfY3kHU/edit?usp=sharing  #gid=0"",""фіз особи new!relations_name_uo""),7,FALSE)
,
)
))"),"КЛИМЕНТЬЄВА Юлія Валеріївна")</f>
        <v>КЛИМЕНТЬЄВА Юлія Валеріївна</v>
      </c>
      <c r="G11846" s="7" t="s">
        <v>10</v>
      </c>
      <c r="H11846" s="7">
        <v>17894</v>
      </c>
      <c r="I11846" s="8" t="str">
        <f ca="1">IFERROR(__xludf.DUMMYFUNCTION("IF
(
G11847=""фізична особа""
,
VLOOKUP(H11847,IMPORTRANGE(""https://docs.google.com/spreadsheets/d/14Bd19lYaqBhU8_DElYkX7l4wRkHqqCUFNJY4AfY3kHU/edit?usp=sharing  #gid=0"",""фіз особи new!relations_name""),6,FALSE)
,
(IF
(
G11847=""юридична особа""
,
VLOO"&amp;"KUP(H11847,IMPORTRANGE(""https://docs.google.com/spreadsheets/d/14Bd19lYaqBhU8_DElYkX7l4wRkHqqCUFNJY4AfY3kHU/edit?usp=sharing  #gid=0"",""фіз особи new!relations_name_uo""),7,FALSE)
,
)
))"),"БАЖЕНОВА Інна Борисівна")</f>
        <v>БАЖЕНОВА Інна Борисівна</v>
      </c>
      <c r="J11846" s="7" t="s">
        <v>23</v>
      </c>
    </row>
    <row r="11847" spans="1:10" ht="13.2">
      <c r="A11847" s="7">
        <v>11846</v>
      </c>
      <c r="B11847" s="7">
        <v>1</v>
      </c>
      <c r="C11847" s="7" t="s">
        <v>10</v>
      </c>
      <c r="D11847" s="7">
        <v>17896</v>
      </c>
      <c r="E11847" s="7" t="s">
        <v>23</v>
      </c>
      <c r="F11847" s="8" t="str">
        <f ca="1">IFERROR(__xludf.DUMMYFUNCTION("IF
(
C11848=""фізична особа""
,
VLOOKUP(D11848,IMPORTRANGE(""https://docs.google.com/spreadsheets/d/14Bd19lYaqBhU8_DElYkX7l4wRkHqqCUFNJY4AfY3kHU/edit?usp=sharing  #gid=0"",""фіз особи new!relations_name""),6,FALSE)
,
(IF
(
C11848=""юридична особа""
,
VLOO"&amp;"KUP(D11848,IMPORTRANGE(""https://docs.google.com/spreadsheets/d/14Bd19lYaqBhU8_DElYkX7l4wRkHqqCUFNJY4AfY3kHU/edit?usp=sharing  #gid=0"",""фіз особи new!relations_name_uo""),7,FALSE)
,
)
))"),"АГАДУЛЛІН Тімур Акрамович")</f>
        <v>АГАДУЛЛІН Тімур Акрамович</v>
      </c>
      <c r="G11847" s="7" t="s">
        <v>10</v>
      </c>
      <c r="H11847" s="7">
        <v>17897</v>
      </c>
      <c r="I11847" s="8" t="str">
        <f ca="1">IFERROR(__xludf.DUMMYFUNCTION("IF
(
G11848=""фізична особа""
,
VLOOKUP(H11848,IMPORTRANGE(""https://docs.google.com/spreadsheets/d/14Bd19lYaqBhU8_DElYkX7l4wRkHqqCUFNJY4AfY3kHU/edit?usp=sharing  #gid=0"",""фіз особи new!relations_name""),6,FALSE)
,
(IF
(
G11848=""юридична особа""
,
VLOO"&amp;"KUP(H11848,IMPORTRANGE(""https://docs.google.com/spreadsheets/d/14Bd19lYaqBhU8_DElYkX7l4wRkHqqCUFNJY4AfY3kHU/edit?usp=sharing  #gid=0"",""фіз особи new!relations_name_uo""),7,FALSE)
,
)
))"),"АДІЄВ Явдат Равілович")</f>
        <v>АДІЄВ Явдат Равілович</v>
      </c>
      <c r="J11847" s="7" t="s">
        <v>23</v>
      </c>
    </row>
    <row r="11848" spans="1:10" ht="13.2">
      <c r="A11848" s="7">
        <v>11847</v>
      </c>
      <c r="B11848" s="7">
        <v>1</v>
      </c>
      <c r="C11848" s="7" t="s">
        <v>10</v>
      </c>
      <c r="D11848" s="7">
        <v>17897</v>
      </c>
      <c r="E11848" s="7" t="s">
        <v>23</v>
      </c>
      <c r="F11848" s="8" t="str">
        <f ca="1">IFERROR(__xludf.DUMMYFUNCTION("IF
(
C11849=""фізична особа""
,
VLOOKUP(D11849,IMPORTRANGE(""https://docs.google.com/spreadsheets/d/14Bd19lYaqBhU8_DElYkX7l4wRkHqqCUFNJY4AfY3kHU/edit?usp=sharing  #gid=0"",""фіз особи new!relations_name""),6,FALSE)
,
(IF
(
C11849=""юридична особа""
,
VLOO"&amp;"KUP(D11849,IMPORTRANGE(""https://docs.google.com/spreadsheets/d/14Bd19lYaqBhU8_DElYkX7l4wRkHqqCUFNJY4AfY3kHU/edit?usp=sharing  #gid=0"",""фіз особи new!relations_name_uo""),7,FALSE)
,
)
))"),"АДІЄВ Явдат Равілович")</f>
        <v>АДІЄВ Явдат Равілович</v>
      </c>
      <c r="G11848" s="7" t="s">
        <v>10</v>
      </c>
      <c r="H11848" s="7">
        <v>17896</v>
      </c>
      <c r="I11848" s="8" t="str">
        <f ca="1">IFERROR(__xludf.DUMMYFUNCTION("IF
(
G11849=""фізична особа""
,
VLOOKUP(H11849,IMPORTRANGE(""https://docs.google.com/spreadsheets/d/14Bd19lYaqBhU8_DElYkX7l4wRkHqqCUFNJY4AfY3kHU/edit?usp=sharing  #gid=0"",""фіз особи new!relations_name""),6,FALSE)
,
(IF
(
G11849=""юридична особа""
,
VLOO"&amp;"KUP(H11849,IMPORTRANGE(""https://docs.google.com/spreadsheets/d/14Bd19lYaqBhU8_DElYkX7l4wRkHqqCUFNJY4AfY3kHU/edit?usp=sharing  #gid=0"",""фіз особи new!relations_name_uo""),7,FALSE)
,
)
))"),"АГАДУЛЛІН Тімур Акрамович")</f>
        <v>АГАДУЛЛІН Тімур Акрамович</v>
      </c>
      <c r="J11848" s="7" t="s">
        <v>23</v>
      </c>
    </row>
    <row r="11849" spans="1:10" ht="13.2">
      <c r="A11849" s="7">
        <v>11848</v>
      </c>
      <c r="B11849" s="7">
        <v>1</v>
      </c>
      <c r="C11849" s="7" t="s">
        <v>10</v>
      </c>
      <c r="D11849" s="7">
        <v>17898</v>
      </c>
      <c r="E11849" s="7" t="s">
        <v>23</v>
      </c>
      <c r="F11849" s="8" t="str">
        <f ca="1">IFERROR(__xludf.DUMMYFUNCTION("IF
(
C11850=""фізична особа""
,
VLOOKUP(D11850,IMPORTRANGE(""https://docs.google.com/spreadsheets/d/14Bd19lYaqBhU8_DElYkX7l4wRkHqqCUFNJY4AfY3kHU/edit?usp=sharing  #gid=0"",""фіз особи new!relations_name""),6,FALSE)
,
(IF
(
C11850=""юридична особа""
,
VLOO"&amp;"KUP(D11850,IMPORTRANGE(""https://docs.google.com/spreadsheets/d/14Bd19lYaqBhU8_DElYkX7l4wRkHqqCUFNJY4AfY3kHU/edit?usp=sharing  #gid=0"",""фіз особи new!relations_name_uo""),7,FALSE)
,
)
))"),"СМІРНОВ Олександр Юрійович")</f>
        <v>СМІРНОВ Олександр Юрійович</v>
      </c>
      <c r="G11849" s="7" t="s">
        <v>10</v>
      </c>
      <c r="H11849" s="7">
        <v>17899</v>
      </c>
      <c r="I11849" s="8" t="str">
        <f ca="1">IFERROR(__xludf.DUMMYFUNCTION("IF
(
G11850=""фізична особа""
,
VLOOKUP(H11850,IMPORTRANGE(""https://docs.google.com/spreadsheets/d/14Bd19lYaqBhU8_DElYkX7l4wRkHqqCUFNJY4AfY3kHU/edit?usp=sharing  #gid=0"",""фіз особи new!relations_name""),6,FALSE)
,
(IF
(
G11850=""юридична особа""
,
VLOO"&amp;"KUP(H11850,IMPORTRANGE(""https://docs.google.com/spreadsheets/d/14Bd19lYaqBhU8_DElYkX7l4wRkHqqCUFNJY4AfY3kHU/edit?usp=sharing  #gid=0"",""фіз особи new!relations_name_uo""),7,FALSE)
,
)
))"),"КУЗАН Тетяна Михайлівна")</f>
        <v>КУЗАН Тетяна Михайлівна</v>
      </c>
      <c r="J11849" s="7" t="s">
        <v>23</v>
      </c>
    </row>
    <row r="11850" spans="1:10" ht="13.2">
      <c r="A11850" s="7">
        <v>11849</v>
      </c>
      <c r="B11850" s="7">
        <v>1</v>
      </c>
      <c r="C11850" s="7" t="s">
        <v>10</v>
      </c>
      <c r="D11850" s="7">
        <v>17899</v>
      </c>
      <c r="E11850" s="7" t="s">
        <v>23</v>
      </c>
      <c r="F11850" s="8" t="str">
        <f ca="1">IFERROR(__xludf.DUMMYFUNCTION("IF
(
C11851=""фізична особа""
,
VLOOKUP(D11851,IMPORTRANGE(""https://docs.google.com/spreadsheets/d/14Bd19lYaqBhU8_DElYkX7l4wRkHqqCUFNJY4AfY3kHU/edit?usp=sharing  #gid=0"",""фіз особи new!relations_name""),6,FALSE)
,
(IF
(
C11851=""юридична особа""
,
VLOO"&amp;"KUP(D11851,IMPORTRANGE(""https://docs.google.com/spreadsheets/d/14Bd19lYaqBhU8_DElYkX7l4wRkHqqCUFNJY4AfY3kHU/edit?usp=sharing  #gid=0"",""фіз особи new!relations_name_uo""),7,FALSE)
,
)
))"),"КУЗАН Тетяна Михайлівна")</f>
        <v>КУЗАН Тетяна Михайлівна</v>
      </c>
      <c r="G11850" s="7" t="s">
        <v>10</v>
      </c>
      <c r="H11850" s="7">
        <v>17898</v>
      </c>
      <c r="I11850" s="8" t="str">
        <f ca="1">IFERROR(__xludf.DUMMYFUNCTION("IF
(
G11851=""фізична особа""
,
VLOOKUP(H11851,IMPORTRANGE(""https://docs.google.com/spreadsheets/d/14Bd19lYaqBhU8_DElYkX7l4wRkHqqCUFNJY4AfY3kHU/edit?usp=sharing  #gid=0"",""фіз особи new!relations_name""),6,FALSE)
,
(IF
(
G11851=""юридична особа""
,
VLOO"&amp;"KUP(H11851,IMPORTRANGE(""https://docs.google.com/spreadsheets/d/14Bd19lYaqBhU8_DElYkX7l4wRkHqqCUFNJY4AfY3kHU/edit?usp=sharing  #gid=0"",""фіз особи new!relations_name_uo""),7,FALSE)
,
)
))"),"СМІРНОВ Олександр Юрійович")</f>
        <v>СМІРНОВ Олександр Юрійович</v>
      </c>
      <c r="J11850" s="7" t="s">
        <v>23</v>
      </c>
    </row>
    <row r="11851" spans="1:10" ht="13.2">
      <c r="A11851" s="7">
        <v>11850</v>
      </c>
      <c r="B11851" s="7">
        <v>1</v>
      </c>
      <c r="C11851" s="7" t="s">
        <v>10</v>
      </c>
      <c r="D11851" s="7">
        <v>17900</v>
      </c>
      <c r="E11851" s="7" t="s">
        <v>23</v>
      </c>
      <c r="F11851" s="8" t="str">
        <f ca="1">IFERROR(__xludf.DUMMYFUNCTION("IF
(
C11852=""фізична особа""
,
VLOOKUP(D11852,IMPORTRANGE(""https://docs.google.com/spreadsheets/d/14Bd19lYaqBhU8_DElYkX7l4wRkHqqCUFNJY4AfY3kHU/edit?usp=sharing  #gid=0"",""фіз особи new!relations_name""),6,FALSE)
,
(IF
(
C11852=""юридична особа""
,
VLOO"&amp;"KUP(D11852,IMPORTRANGE(""https://docs.google.com/spreadsheets/d/14Bd19lYaqBhU8_DElYkX7l4wRkHqqCUFNJY4AfY3kHU/edit?usp=sharing  #gid=0"",""фіз особи new!relations_name_uo""),7,FALSE)
,
)
))"),"БЕЗРУКОВ Олександр Миколайович")</f>
        <v>БЕЗРУКОВ Олександр Миколайович</v>
      </c>
      <c r="G11851" s="7" t="s">
        <v>10</v>
      </c>
      <c r="H11851" s="7">
        <v>16905</v>
      </c>
      <c r="I11851" s="8" t="str">
        <f ca="1">IFERROR(__xludf.DUMMYFUNCTION("IF
(
G11852=""фізична особа""
,
VLOOKUP(H11852,IMPORTRANGE(""https://docs.google.com/spreadsheets/d/14Bd19lYaqBhU8_DElYkX7l4wRkHqqCUFNJY4AfY3kHU/edit?usp=sharing  #gid=0"",""фіз особи new!relations_name""),6,FALSE)
,
(IF
(
G11852=""юридична особа""
,
VLOO"&amp;"KUP(H11852,IMPORTRANGE(""https://docs.google.com/spreadsheets/d/14Bd19lYaqBhU8_DElYkX7l4wRkHqqCUFNJY4AfY3kHU/edit?usp=sharing  #gid=0"",""фіз особи new!relations_name_uo""),7,FALSE)
,
)
))"),"ПОПКОВ В'ячеслав В'ячеславович")</f>
        <v>ПОПКОВ В'ячеслав В'ячеславович</v>
      </c>
      <c r="J11851" s="7" t="s">
        <v>23</v>
      </c>
    </row>
    <row r="11852" spans="1:10" ht="13.2">
      <c r="A11852" s="7">
        <v>11851</v>
      </c>
      <c r="B11852" s="7">
        <v>1</v>
      </c>
      <c r="C11852" s="7" t="s">
        <v>10</v>
      </c>
      <c r="D11852" s="7">
        <v>17900</v>
      </c>
      <c r="E11852" s="7" t="s">
        <v>23</v>
      </c>
      <c r="F11852" s="8" t="str">
        <f ca="1">IFERROR(__xludf.DUMMYFUNCTION("IF
(
C11853=""фізична особа""
,
VLOOKUP(D11853,IMPORTRANGE(""https://docs.google.com/spreadsheets/d/14Bd19lYaqBhU8_DElYkX7l4wRkHqqCUFNJY4AfY3kHU/edit?usp=sharing  #gid=0"",""фіз особи new!relations_name""),6,FALSE)
,
(IF
(
C11853=""юридична особа""
,
VLOO"&amp;"KUP(D11853,IMPORTRANGE(""https://docs.google.com/spreadsheets/d/14Bd19lYaqBhU8_DElYkX7l4wRkHqqCUFNJY4AfY3kHU/edit?usp=sharing  #gid=0"",""фіз особи new!relations_name_uo""),7,FALSE)
,
)
))"),"БЕЗРУКОВ Олександр Миколайович")</f>
        <v>БЕЗРУКОВ Олександр Миколайович</v>
      </c>
      <c r="G11852" s="7" t="s">
        <v>10</v>
      </c>
      <c r="H11852" s="7">
        <v>16908</v>
      </c>
      <c r="I11852" s="8" t="str">
        <f ca="1">IFERROR(__xludf.DUMMYFUNCTION("IF
(
G11853=""фізична особа""
,
VLOOKUP(H11853,IMPORTRANGE(""https://docs.google.com/spreadsheets/d/14Bd19lYaqBhU8_DElYkX7l4wRkHqqCUFNJY4AfY3kHU/edit?usp=sharing  #gid=0"",""фіз особи new!relations_name""),6,FALSE)
,
(IF
(
G11853=""юридична особа""
,
VLOO"&amp;"KUP(H11853,IMPORTRANGE(""https://docs.google.com/spreadsheets/d/14Bd19lYaqBhU8_DElYkX7l4wRkHqqCUFNJY4AfY3kHU/edit?usp=sharing  #gid=0"",""фіз особи new!relations_name_uo""),7,FALSE)
,
)
))"),"КАПЛУНОВ Андрій Юрійович")</f>
        <v>КАПЛУНОВ Андрій Юрійович</v>
      </c>
      <c r="J11852" s="7" t="s">
        <v>23</v>
      </c>
    </row>
    <row r="11853" spans="1:10" ht="13.2">
      <c r="A11853" s="7">
        <v>11852</v>
      </c>
      <c r="B11853" s="7">
        <v>1</v>
      </c>
      <c r="C11853" s="7" t="s">
        <v>10</v>
      </c>
      <c r="D11853" s="7">
        <v>17900</v>
      </c>
      <c r="E11853" s="7" t="s">
        <v>23</v>
      </c>
      <c r="F11853" s="8" t="str">
        <f ca="1">IFERROR(__xludf.DUMMYFUNCTION("IF
(
C11854=""фізична особа""
,
VLOOKUP(D11854,IMPORTRANGE(""https://docs.google.com/spreadsheets/d/14Bd19lYaqBhU8_DElYkX7l4wRkHqqCUFNJY4AfY3kHU/edit?usp=sharing  #gid=0"",""фіз особи new!relations_name""),6,FALSE)
,
(IF
(
C11854=""юридична особа""
,
VLOO"&amp;"KUP(D11854,IMPORTRANGE(""https://docs.google.com/spreadsheets/d/14Bd19lYaqBhU8_DElYkX7l4wRkHqqCUFNJY4AfY3kHU/edit?usp=sharing  #gid=0"",""фіз особи new!relations_name_uo""),7,FALSE)
,
)
))"),"БЕЗРУКОВ Олександр Миколайович")</f>
        <v>БЕЗРУКОВ Олександр Миколайович</v>
      </c>
      <c r="G11853" s="7" t="s">
        <v>10</v>
      </c>
      <c r="H11853" s="7">
        <v>16903</v>
      </c>
      <c r="I11853" s="8" t="str">
        <f ca="1">IFERROR(__xludf.DUMMYFUNCTION("IF
(
G11854=""фізична особа""
,
VLOOKUP(H11854,IMPORTRANGE(""https://docs.google.com/spreadsheets/d/14Bd19lYaqBhU8_DElYkX7l4wRkHqqCUFNJY4AfY3kHU/edit?usp=sharing  #gid=0"",""фіз особи new!relations_name""),6,FALSE)
,
(IF
(
G11854=""юридична особа""
,
VLOO"&amp;"KUP(H11854,IMPORTRANGE(""https://docs.google.com/spreadsheets/d/14Bd19lYaqBhU8_DElYkX7l4wRkHqqCUFNJY4AfY3kHU/edit?usp=sharing  #gid=0"",""фіз особи new!relations_name_uo""),7,FALSE)
,
)
))"),"ПЕТРОСЯН Тигран Ішханович")</f>
        <v>ПЕТРОСЯН Тигран Ішханович</v>
      </c>
      <c r="J11853" s="7" t="s">
        <v>23</v>
      </c>
    </row>
    <row r="11854" spans="1:10" ht="13.2">
      <c r="A11854" s="7">
        <v>11853</v>
      </c>
      <c r="B11854" s="7">
        <v>1</v>
      </c>
      <c r="C11854" s="7" t="s">
        <v>10</v>
      </c>
      <c r="D11854" s="7">
        <v>17927</v>
      </c>
      <c r="E11854" s="7" t="s">
        <v>29</v>
      </c>
      <c r="F11854" s="8" t="str">
        <f ca="1">IFERROR(__xludf.DUMMYFUNCTION("IF
(
C11855=""фізична особа""
,
VLOOKUP(D11855,IMPORTRANGE(""https://docs.google.com/spreadsheets/d/14Bd19lYaqBhU8_DElYkX7l4wRkHqqCUFNJY4AfY3kHU/edit?usp=sharing  #gid=0"",""фіз особи new!relations_name""),6,FALSE)
,
(IF
(
C11855=""юридична особа""
,
VLOO"&amp;"KUP(D11855,IMPORTRANGE(""https://docs.google.com/spreadsheets/d/14Bd19lYaqBhU8_DElYkX7l4wRkHqqCUFNJY4AfY3kHU/edit?usp=sharing  #gid=0"",""фіз особи new!relations_name_uo""),7,FALSE)
,
)
))"),"УФІМЦЕВ Максим Валентинович")</f>
        <v>УФІМЦЕВ Максим Валентинович</v>
      </c>
      <c r="G11854" s="7" t="s">
        <v>10</v>
      </c>
      <c r="H11854" s="7">
        <v>17928</v>
      </c>
      <c r="I11854" s="8" t="str">
        <f ca="1">IFERROR(__xludf.DUMMYFUNCTION("IF
(
G11855=""фізична особа""
,
VLOOKUP(H11855,IMPORTRANGE(""https://docs.google.com/spreadsheets/d/14Bd19lYaqBhU8_DElYkX7l4wRkHqqCUFNJY4AfY3kHU/edit?usp=sharing  #gid=0"",""фіз особи new!relations_name""),6,FALSE)
,
(IF
(
G11855=""юридична особа""
,
VLOO"&amp;"KUP(H11855,IMPORTRANGE(""https://docs.google.com/spreadsheets/d/14Bd19lYaqBhU8_DElYkX7l4wRkHqqCUFNJY4AfY3kHU/edit?usp=sharing  #gid=0"",""фіз особи new!relations_name_uo""),7,FALSE)
,
)
))"),"ПОПОВ Олексій Володимирович")</f>
        <v>ПОПОВ Олексій Володимирович</v>
      </c>
      <c r="J11854" s="7" t="s">
        <v>104</v>
      </c>
    </row>
    <row r="11855" spans="1:10" ht="13.2">
      <c r="A11855" s="7">
        <v>11854</v>
      </c>
      <c r="B11855" s="7">
        <v>1</v>
      </c>
      <c r="C11855" s="7" t="s">
        <v>10</v>
      </c>
      <c r="D11855" s="7">
        <v>17928</v>
      </c>
      <c r="E11855" s="7" t="s">
        <v>104</v>
      </c>
      <c r="F11855" s="8" t="str">
        <f ca="1">IFERROR(__xludf.DUMMYFUNCTION("IF
(
C11856=""фізична особа""
,
VLOOKUP(D11856,IMPORTRANGE(""https://docs.google.com/spreadsheets/d/14Bd19lYaqBhU8_DElYkX7l4wRkHqqCUFNJY4AfY3kHU/edit?usp=sharing  #gid=0"",""фіз особи new!relations_name""),6,FALSE)
,
(IF
(
C11856=""юридична особа""
,
VLOO"&amp;"KUP(D11856,IMPORTRANGE(""https://docs.google.com/spreadsheets/d/14Bd19lYaqBhU8_DElYkX7l4wRkHqqCUFNJY4AfY3kHU/edit?usp=sharing  #gid=0"",""фіз особи new!relations_name_uo""),7,FALSE)
,
)
))"),"ПОПОВ Олексій Володимирович")</f>
        <v>ПОПОВ Олексій Володимирович</v>
      </c>
      <c r="G11855" s="7" t="s">
        <v>10</v>
      </c>
      <c r="H11855" s="7">
        <v>17927</v>
      </c>
      <c r="I11855" s="8" t="str">
        <f ca="1">IFERROR(__xludf.DUMMYFUNCTION("IF
(
G11856=""фізична особа""
,
VLOOKUP(H11856,IMPORTRANGE(""https://docs.google.com/spreadsheets/d/14Bd19lYaqBhU8_DElYkX7l4wRkHqqCUFNJY4AfY3kHU/edit?usp=sharing  #gid=0"",""фіз особи new!relations_name""),6,FALSE)
,
(IF
(
G11856=""юридична особа""
,
VLOO"&amp;"KUP(H11856,IMPORTRANGE(""https://docs.google.com/spreadsheets/d/14Bd19lYaqBhU8_DElYkX7l4wRkHqqCUFNJY4AfY3kHU/edit?usp=sharing  #gid=0"",""фіз особи new!relations_name_uo""),7,FALSE)
,
)
))"),"УФІМЦЕВ Максим Валентинович")</f>
        <v>УФІМЦЕВ Максим Валентинович</v>
      </c>
      <c r="J11855" s="7" t="s">
        <v>29</v>
      </c>
    </row>
    <row r="11856" spans="1:10" ht="13.2">
      <c r="A11856" s="7">
        <v>11855</v>
      </c>
      <c r="B11856" s="7">
        <v>1</v>
      </c>
      <c r="C11856" s="7" t="s">
        <v>10</v>
      </c>
      <c r="D11856" s="7">
        <v>17930</v>
      </c>
      <c r="E11856" s="7" t="s">
        <v>23</v>
      </c>
      <c r="F11856" s="8" t="str">
        <f ca="1">IFERROR(__xludf.DUMMYFUNCTION("IF
(
C11857=""фізична особа""
,
VLOOKUP(D11857,IMPORTRANGE(""https://docs.google.com/spreadsheets/d/14Bd19lYaqBhU8_DElYkX7l4wRkHqqCUFNJY4AfY3kHU/edit?usp=sharing  #gid=0"",""фіз особи new!relations_name""),6,FALSE)
,
(IF
(
C11857=""юридична особа""
,
VLOO"&amp;"KUP(D11857,IMPORTRANGE(""https://docs.google.com/spreadsheets/d/14Bd19lYaqBhU8_DElYkX7l4wRkHqqCUFNJY4AfY3kHU/edit?usp=sharing  #gid=0"",""фіз особи new!relations_name_uo""),7,FALSE)
,
)
))"),"ТАРАН Іван Олександрович")</f>
        <v>ТАРАН Іван Олександрович</v>
      </c>
      <c r="G11856" s="7" t="s">
        <v>10</v>
      </c>
      <c r="H11856" s="7">
        <v>23641</v>
      </c>
      <c r="I11856" s="8" t="str">
        <f ca="1">IFERROR(__xludf.DUMMYFUNCTION("IF
(
G11857=""фізична особа""
,
VLOOKUP(H11857,IMPORTRANGE(""https://docs.google.com/spreadsheets/d/14Bd19lYaqBhU8_DElYkX7l4wRkHqqCUFNJY4AfY3kHU/edit?usp=sharing  #gid=0"",""фіз особи new!relations_name""),6,FALSE)
,
(IF
(
G11857=""юридична особа""
,
VLOO"&amp;"KUP(H11857,IMPORTRANGE(""https://docs.google.com/spreadsheets/d/14Bd19lYaqBhU8_DElYkX7l4wRkHqqCUFNJY4AfY3kHU/edit?usp=sharing  #gid=0"",""фіз особи new!relations_name_uo""),7,FALSE)
,
)
))"),"ХУДАЙНАТОВ Едуард Юрійович")</f>
        <v>ХУДАЙНАТОВ Едуард Юрійович</v>
      </c>
      <c r="J11856" s="7" t="s">
        <v>23</v>
      </c>
    </row>
    <row r="11857" spans="1:10" ht="13.2">
      <c r="A11857" s="7">
        <v>11856</v>
      </c>
      <c r="B11857" s="7">
        <v>1</v>
      </c>
      <c r="C11857" s="7" t="s">
        <v>10</v>
      </c>
      <c r="D11857" s="7">
        <v>17931</v>
      </c>
      <c r="E11857" s="7" t="s">
        <v>23</v>
      </c>
      <c r="F11857" s="8" t="str">
        <f ca="1">IFERROR(__xludf.DUMMYFUNCTION("IF
(
C11858=""фізична особа""
,
VLOOKUP(D11858,IMPORTRANGE(""https://docs.google.com/spreadsheets/d/14Bd19lYaqBhU8_DElYkX7l4wRkHqqCUFNJY4AfY3kHU/edit?usp=sharing  #gid=0"",""фіз особи new!relations_name""),6,FALSE)
,
(IF
(
C11858=""юридична особа""
,
VLOO"&amp;"KUP(D11858,IMPORTRANGE(""https://docs.google.com/spreadsheets/d/14Bd19lYaqBhU8_DElYkX7l4wRkHqqCUFNJY4AfY3kHU/edit?usp=sharing  #gid=0"",""фіз особи new!relations_name_uo""),7,FALSE)
,
)
))"),"БОРЩ Єгор Геннадійович")</f>
        <v>БОРЩ Єгор Геннадійович</v>
      </c>
      <c r="G11857" s="7" t="s">
        <v>10</v>
      </c>
      <c r="H11857" s="7">
        <v>23641</v>
      </c>
      <c r="I11857" s="8" t="str">
        <f ca="1">IFERROR(__xludf.DUMMYFUNCTION("IF
(
G11858=""фізична особа""
,
VLOOKUP(H11858,IMPORTRANGE(""https://docs.google.com/spreadsheets/d/14Bd19lYaqBhU8_DElYkX7l4wRkHqqCUFNJY4AfY3kHU/edit?usp=sharing  #gid=0"",""фіз особи new!relations_name""),6,FALSE)
,
(IF
(
G11858=""юридична особа""
,
VLOO"&amp;"KUP(H11858,IMPORTRANGE(""https://docs.google.com/spreadsheets/d/14Bd19lYaqBhU8_DElYkX7l4wRkHqqCUFNJY4AfY3kHU/edit?usp=sharing  #gid=0"",""фіз особи new!relations_name_uo""),7,FALSE)
,
)
))"),"ХУДАЙНАТОВ Едуард Юрійович")</f>
        <v>ХУДАЙНАТОВ Едуард Юрійович</v>
      </c>
      <c r="J11857" s="7" t="s">
        <v>23</v>
      </c>
    </row>
    <row r="11858" spans="1:10" ht="13.2">
      <c r="A11858" s="7">
        <v>11857</v>
      </c>
      <c r="B11858" s="7">
        <v>1</v>
      </c>
      <c r="C11858" s="7" t="s">
        <v>10</v>
      </c>
      <c r="D11858" s="7">
        <v>17936</v>
      </c>
      <c r="E11858" s="7" t="s">
        <v>23</v>
      </c>
      <c r="F11858" s="8" t="str">
        <f ca="1">IFERROR(__xludf.DUMMYFUNCTION("IF
(
C11859=""фізична особа""
,
VLOOKUP(D11859,IMPORTRANGE(""https://docs.google.com/spreadsheets/d/14Bd19lYaqBhU8_DElYkX7l4wRkHqqCUFNJY4AfY3kHU/edit?usp=sharing  #gid=0"",""фіз особи new!relations_name""),6,FALSE)
,
(IF
(
C11859=""юридична особа""
,
VLOO"&amp;"KUP(D11859,IMPORTRANGE(""https://docs.google.com/spreadsheets/d/14Bd19lYaqBhU8_DElYkX7l4wRkHqqCUFNJY4AfY3kHU/edit?usp=sharing  #gid=0"",""фіз особи new!relations_name_uo""),7,FALSE)
,
)
))"),"АНУФРІЄВ Віктор Петрович")</f>
        <v>АНУФРІЄВ Віктор Петрович</v>
      </c>
      <c r="G11858" s="7" t="s">
        <v>10</v>
      </c>
      <c r="H11858" s="7">
        <v>4667</v>
      </c>
      <c r="I11858" s="8" t="str">
        <f ca="1">IFERROR(__xludf.DUMMYFUNCTION("IF
(
G11859=""фізична особа""
,
VLOOKUP(H11859,IMPORTRANGE(""https://docs.google.com/spreadsheets/d/14Bd19lYaqBhU8_DElYkX7l4wRkHqqCUFNJY4AfY3kHU/edit?usp=sharing  #gid=0"",""фіз особи new!relations_name""),6,FALSE)
,
(IF
(
G11859=""юридична особа""
,
VLOO"&amp;"KUP(H11859,IMPORTRANGE(""https://docs.google.com/spreadsheets/d/14Bd19lYaqBhU8_DElYkX7l4wRkHqqCUFNJY4AfY3kHU/edit?usp=sharing  #gid=0"",""фіз особи new!relations_name_uo""),7,FALSE)
,
)
))"),"ФЕДЯЄВ Михайло Юрійович")</f>
        <v>ФЕДЯЄВ Михайло Юрійович</v>
      </c>
      <c r="J11858" s="7" t="s">
        <v>23</v>
      </c>
    </row>
    <row r="11859" spans="1:10" ht="13.2">
      <c r="A11859" s="7">
        <v>11858</v>
      </c>
      <c r="B11859" s="7">
        <v>1</v>
      </c>
      <c r="C11859" s="7" t="s">
        <v>10</v>
      </c>
      <c r="D11859" s="7">
        <v>17936</v>
      </c>
      <c r="E11859" s="7" t="s">
        <v>23</v>
      </c>
      <c r="F11859" s="8" t="str">
        <f ca="1">IFERROR(__xludf.DUMMYFUNCTION("IF
(
C11860=""фізична особа""
,
VLOOKUP(D11860,IMPORTRANGE(""https://docs.google.com/spreadsheets/d/14Bd19lYaqBhU8_DElYkX7l4wRkHqqCUFNJY4AfY3kHU/edit?usp=sharing  #gid=0"",""фіз особи new!relations_name""),6,FALSE)
,
(IF
(
C11860=""юридична особа""
,
VLOO"&amp;"KUP(D11860,IMPORTRANGE(""https://docs.google.com/spreadsheets/d/14Bd19lYaqBhU8_DElYkX7l4wRkHqqCUFNJY4AfY3kHU/edit?usp=sharing  #gid=0"",""фіз особи new!relations_name_uo""),7,FALSE)
,
)
))"),"АНУФРІЄВ Віктор Петрович")</f>
        <v>АНУФРІЄВ Віктор Петрович</v>
      </c>
      <c r="G11859" s="7" t="s">
        <v>10</v>
      </c>
      <c r="H11859" s="7">
        <v>17937</v>
      </c>
      <c r="I11859" s="8" t="str">
        <f ca="1">IFERROR(__xludf.DUMMYFUNCTION("IF
(
G11860=""фізична особа""
,
VLOOKUP(H11860,IMPORTRANGE(""https://docs.google.com/spreadsheets/d/14Bd19lYaqBhU8_DElYkX7l4wRkHqqCUFNJY4AfY3kHU/edit?usp=sharing  #gid=0"",""фіз особи new!relations_name""),6,FALSE)
,
(IF
(
G11860=""юридична особа""
,
VLOO"&amp;"KUP(H11860,IMPORTRANGE(""https://docs.google.com/spreadsheets/d/14Bd19lYaqBhU8_DElYkX7l4wRkHqqCUFNJY4AfY3kHU/edit?usp=sharing  #gid=0"",""фіз особи new!relations_name_uo""),7,FALSE)
,
)
))"),"ГРІДІН Володимир Григорович")</f>
        <v>ГРІДІН Володимир Григорович</v>
      </c>
      <c r="J11859" s="7" t="s">
        <v>23</v>
      </c>
    </row>
    <row r="11860" spans="1:10" ht="13.2">
      <c r="A11860" s="7">
        <v>11859</v>
      </c>
      <c r="B11860" s="7">
        <v>1</v>
      </c>
      <c r="C11860" s="7" t="s">
        <v>10</v>
      </c>
      <c r="D11860" s="7">
        <v>17937</v>
      </c>
      <c r="E11860" s="7" t="s">
        <v>23</v>
      </c>
      <c r="F11860" s="8" t="str">
        <f ca="1">IFERROR(__xludf.DUMMYFUNCTION("IF
(
C11861=""фізична особа""
,
VLOOKUP(D11861,IMPORTRANGE(""https://docs.google.com/spreadsheets/d/14Bd19lYaqBhU8_DElYkX7l4wRkHqqCUFNJY4AfY3kHU/edit?usp=sharing  #gid=0"",""фіз особи new!relations_name""),6,FALSE)
,
(IF
(
C11861=""юридична особа""
,
VLOO"&amp;"KUP(D11861,IMPORTRANGE(""https://docs.google.com/spreadsheets/d/14Bd19lYaqBhU8_DElYkX7l4wRkHqqCUFNJY4AfY3kHU/edit?usp=sharing  #gid=0"",""фіз особи new!relations_name_uo""),7,FALSE)
,
)
))"),"ГРІДІН Володимир Григорович")</f>
        <v>ГРІДІН Володимир Григорович</v>
      </c>
      <c r="G11860" s="7" t="s">
        <v>10</v>
      </c>
      <c r="H11860" s="7">
        <v>4667</v>
      </c>
      <c r="I11860" s="8" t="str">
        <f ca="1">IFERROR(__xludf.DUMMYFUNCTION("IF
(
G11861=""фізична особа""
,
VLOOKUP(H11861,IMPORTRANGE(""https://docs.google.com/spreadsheets/d/14Bd19lYaqBhU8_DElYkX7l4wRkHqqCUFNJY4AfY3kHU/edit?usp=sharing  #gid=0"",""фіз особи new!relations_name""),6,FALSE)
,
(IF
(
G11861=""юридична особа""
,
VLOO"&amp;"KUP(H11861,IMPORTRANGE(""https://docs.google.com/spreadsheets/d/14Bd19lYaqBhU8_DElYkX7l4wRkHqqCUFNJY4AfY3kHU/edit?usp=sharing  #gid=0"",""фіз особи new!relations_name_uo""),7,FALSE)
,
)
))"),"ФЕДЯЄВ Михайло Юрійович")</f>
        <v>ФЕДЯЄВ Михайло Юрійович</v>
      </c>
      <c r="J11860" s="7" t="s">
        <v>23</v>
      </c>
    </row>
    <row r="11861" spans="1:10" ht="13.2">
      <c r="A11861" s="7">
        <v>11860</v>
      </c>
      <c r="B11861" s="7">
        <v>1</v>
      </c>
      <c r="C11861" s="7" t="s">
        <v>10</v>
      </c>
      <c r="D11861" s="7">
        <v>17937</v>
      </c>
      <c r="E11861" s="7" t="s">
        <v>23</v>
      </c>
      <c r="F11861" s="8" t="str">
        <f ca="1">IFERROR(__xludf.DUMMYFUNCTION("IF
(
C11862=""фізична особа""
,
VLOOKUP(D11862,IMPORTRANGE(""https://docs.google.com/spreadsheets/d/14Bd19lYaqBhU8_DElYkX7l4wRkHqqCUFNJY4AfY3kHU/edit?usp=sharing  #gid=0"",""фіз особи new!relations_name""),6,FALSE)
,
(IF
(
C11862=""юридична особа""
,
VLOO"&amp;"KUP(D11862,IMPORTRANGE(""https://docs.google.com/spreadsheets/d/14Bd19lYaqBhU8_DElYkX7l4wRkHqqCUFNJY4AfY3kHU/edit?usp=sharing  #gid=0"",""фіз особи new!relations_name_uo""),7,FALSE)
,
)
))"),"ГРІДІН Володимир Григорович")</f>
        <v>ГРІДІН Володимир Григорович</v>
      </c>
      <c r="G11861" s="7" t="s">
        <v>10</v>
      </c>
      <c r="H11861" s="7">
        <v>17936</v>
      </c>
      <c r="I11861" s="8" t="str">
        <f ca="1">IFERROR(__xludf.DUMMYFUNCTION("IF
(
G11862=""фізична особа""
,
VLOOKUP(H11862,IMPORTRANGE(""https://docs.google.com/spreadsheets/d/14Bd19lYaqBhU8_DElYkX7l4wRkHqqCUFNJY4AfY3kHU/edit?usp=sharing  #gid=0"",""фіз особи new!relations_name""),6,FALSE)
,
(IF
(
G11862=""юридична особа""
,
VLOO"&amp;"KUP(H11862,IMPORTRANGE(""https://docs.google.com/spreadsheets/d/14Bd19lYaqBhU8_DElYkX7l4wRkHqqCUFNJY4AfY3kHU/edit?usp=sharing  #gid=0"",""фіз особи new!relations_name_uo""),7,FALSE)
,
)
))"),"АНУФРІЄВ Віктор Петрович")</f>
        <v>АНУФРІЄВ Віктор Петрович</v>
      </c>
      <c r="J11861" s="7" t="s">
        <v>23</v>
      </c>
    </row>
    <row r="11862" spans="1:10" ht="13.2">
      <c r="A11862" s="7">
        <v>11861</v>
      </c>
      <c r="B11862" s="7">
        <v>1</v>
      </c>
      <c r="C11862" s="7" t="s">
        <v>10</v>
      </c>
      <c r="D11862" s="7">
        <v>17938</v>
      </c>
      <c r="E11862" s="7" t="s">
        <v>11</v>
      </c>
      <c r="F11862" s="8" t="str">
        <f ca="1">IFERROR(__xludf.DUMMYFUNCTION("IF
(
C11863=""фізична особа""
,
VLOOKUP(D11863,IMPORTRANGE(""https://docs.google.com/spreadsheets/d/14Bd19lYaqBhU8_DElYkX7l4wRkHqqCUFNJY4AfY3kHU/edit?usp=sharing  #gid=0"",""фіз особи new!relations_name""),6,FALSE)
,
(IF
(
C11863=""юридична особа""
,
VLOO"&amp;"KUP(D11863,IMPORTRANGE(""https://docs.google.com/spreadsheets/d/14Bd19lYaqBhU8_DElYkX7l4wRkHqqCUFNJY4AfY3kHU/edit?usp=sharing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G11862" s="7" t="s">
        <v>10</v>
      </c>
      <c r="H11862" s="7">
        <v>17939</v>
      </c>
      <c r="I11862" s="8" t="str">
        <f ca="1">IFERROR(__xludf.DUMMYFUNCTION("IF
(
G11863=""фізична особа""
,
VLOOKUP(H11863,IMPORTRANGE(""https://docs.google.com/spreadsheets/d/14Bd19lYaqBhU8_DElYkX7l4wRkHqqCUFNJY4AfY3kHU/edit?usp=sharing  #gid=0"",""фіз особи new!relations_name""),6,FALSE)
,
(IF
(
G11863=""юридична особа""
,
VLOO"&amp;"KUP(H11863,IMPORTRANGE(""https://docs.google.com/spreadsheets/d/14Bd19lYaqBhU8_DElYkX7l4wRkHqqCUFNJY4AfY3kHU/edit?usp=sharing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J11862" s="7" t="s">
        <v>11</v>
      </c>
    </row>
    <row r="11863" spans="1:10" ht="13.2">
      <c r="A11863" s="7">
        <v>11862</v>
      </c>
      <c r="B11863" s="7">
        <v>1</v>
      </c>
      <c r="C11863" s="7" t="s">
        <v>10</v>
      </c>
      <c r="D11863" s="7">
        <v>17938</v>
      </c>
      <c r="E11863" s="7" t="s">
        <v>11</v>
      </c>
      <c r="F11863" s="8" t="str">
        <f ca="1">IFERROR(__xludf.DUMMYFUNCTION("IF
(
C11864=""фізична особа""
,
VLOOKUP(D11864,IMPORTRANGE(""https://docs.google.com/spreadsheets/d/14Bd19lYaqBhU8_DElYkX7l4wRkHqqCUFNJY4AfY3kHU/edit?usp=sharing  #gid=0"",""фіз особи new!relations_name""),6,FALSE)
,
(IF
(
C11864=""юридична особа""
,
VLOO"&amp;"KUP(D11864,IMPORTRANGE(""https://docs.google.com/spreadsheets/d/14Bd19lYaqBhU8_DElYkX7l4wRkHqqCUFNJY4AfY3kHU/edit?usp=sharing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G11863" s="7" t="s">
        <v>10</v>
      </c>
      <c r="H11863" s="7">
        <v>17940</v>
      </c>
      <c r="I11863" s="8" t="str">
        <f ca="1">IFERROR(__xludf.DUMMYFUNCTION("IF
(
G11864=""фізична особа""
,
VLOOKUP(H11864,IMPORTRANGE(""https://docs.google.com/spreadsheets/d/14Bd19lYaqBhU8_DElYkX7l4wRkHqqCUFNJY4AfY3kHU/edit?usp=sharing  #gid=0"",""фіз особи new!relations_name""),6,FALSE)
,
(IF
(
G11864=""юридична особа""
,
VLOO"&amp;"KUP(H11864,IMPORTRANGE(""https://docs.google.com/spreadsheets/d/14Bd19lYaqBhU8_DElYkX7l4wRkHqqCUFNJY4AfY3kHU/edit?usp=sharing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J11863" s="7" t="s">
        <v>11</v>
      </c>
    </row>
    <row r="11864" spans="1:10" ht="13.2">
      <c r="A11864" s="7">
        <v>11863</v>
      </c>
      <c r="B11864" s="7">
        <v>1</v>
      </c>
      <c r="C11864" s="7" t="s">
        <v>10</v>
      </c>
      <c r="D11864" s="7">
        <v>17938</v>
      </c>
      <c r="E11864" s="7" t="s">
        <v>11</v>
      </c>
      <c r="F11864" s="8" t="str">
        <f ca="1">IFERROR(__xludf.DUMMYFUNCTION("IF
(
C11865=""фізична особа""
,
VLOOKUP(D11865,IMPORTRANGE(""https://docs.google.com/spreadsheets/d/14Bd19lYaqBhU8_DElYkX7l4wRkHqqCUFNJY4AfY3kHU/edit?usp=sharing  #gid=0"",""фіз особи new!relations_name""),6,FALSE)
,
(IF
(
C11865=""юридична особа""
,
VLOO"&amp;"KUP(D11865,IMPORTRANGE(""https://docs.google.com/spreadsheets/d/14Bd19lYaqBhU8_DElYkX7l4wRkHqqCUFNJY4AfY3kHU/edit?usp=sharing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G11864" s="7" t="s">
        <v>10</v>
      </c>
      <c r="H11864" s="7">
        <v>17941</v>
      </c>
      <c r="I11864" s="8" t="str">
        <f ca="1">IFERROR(__xludf.DUMMYFUNCTION("IF
(
G11865=""фізична особа""
,
VLOOKUP(H11865,IMPORTRANGE(""https://docs.google.com/spreadsheets/d/14Bd19lYaqBhU8_DElYkX7l4wRkHqqCUFNJY4AfY3kHU/edit?usp=sharing  #gid=0"",""фіз особи new!relations_name""),6,FALSE)
,
(IF
(
G11865=""юридична особа""
,
VLOO"&amp;"KUP(H11865,IMPORTRANGE(""https://docs.google.com/spreadsheets/d/14Bd19lYaqBhU8_DElYkX7l4wRkHqqCUFNJY4AfY3kHU/edit?usp=sharing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J11864" s="7" t="s">
        <v>11</v>
      </c>
    </row>
    <row r="11865" spans="1:10" ht="13.2">
      <c r="A11865" s="7">
        <v>11864</v>
      </c>
      <c r="B11865" s="7">
        <v>1</v>
      </c>
      <c r="C11865" s="7" t="s">
        <v>10</v>
      </c>
      <c r="D11865" s="7">
        <v>17939</v>
      </c>
      <c r="E11865" s="7" t="s">
        <v>11</v>
      </c>
      <c r="F11865" s="8" t="str">
        <f ca="1">IFERROR(__xludf.DUMMYFUNCTION("IF
(
C11866=""фізична особа""
,
VLOOKUP(D11866,IMPORTRANGE(""https://docs.google.com/spreadsheets/d/14Bd19lYaqBhU8_DElYkX7l4wRkHqqCUFNJY4AfY3kHU/edit?usp=sharing  #gid=0"",""фіз особи new!relations_name""),6,FALSE)
,
(IF
(
C11866=""юридична особа""
,
VLOO"&amp;"KUP(D11866,IMPORTRANGE(""https://docs.google.com/spreadsheets/d/14Bd19lYaqBhU8_DElYkX7l4wRkHqqCUFNJY4AfY3kHU/edit?usp=sharing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G11865" s="7" t="s">
        <v>10</v>
      </c>
      <c r="H11865" s="7">
        <v>17938</v>
      </c>
      <c r="I11865" s="8" t="str">
        <f ca="1">IFERROR(__xludf.DUMMYFUNCTION("IF
(
G11866=""фізична особа""
,
VLOOKUP(H11866,IMPORTRANGE(""https://docs.google.com/spreadsheets/d/14Bd19lYaqBhU8_DElYkX7l4wRkHqqCUFNJY4AfY3kHU/edit?usp=sharing  #gid=0"",""фіз особи new!relations_name""),6,FALSE)
,
(IF
(
G11866=""юридична особа""
,
VLOO"&amp;"KUP(H11866,IMPORTRANGE(""https://docs.google.com/spreadsheets/d/14Bd19lYaqBhU8_DElYkX7l4wRkHqqCUFNJY4AfY3kHU/edit?usp=sharing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J11865" s="7" t="s">
        <v>11</v>
      </c>
    </row>
    <row r="11866" spans="1:10" ht="13.2">
      <c r="A11866" s="7">
        <v>11865</v>
      </c>
      <c r="B11866" s="7">
        <v>1</v>
      </c>
      <c r="C11866" s="7" t="s">
        <v>10</v>
      </c>
      <c r="D11866" s="7">
        <v>17939</v>
      </c>
      <c r="E11866" s="7" t="s">
        <v>11</v>
      </c>
      <c r="F11866" s="8" t="str">
        <f ca="1">IFERROR(__xludf.DUMMYFUNCTION("IF
(
C11867=""фізична особа""
,
VLOOKUP(D11867,IMPORTRANGE(""https://docs.google.com/spreadsheets/d/14Bd19lYaqBhU8_DElYkX7l4wRkHqqCUFNJY4AfY3kHU/edit?usp=sharing  #gid=0"",""фіз особи new!relations_name""),6,FALSE)
,
(IF
(
C11867=""юридична особа""
,
VLOO"&amp;"KUP(D11867,IMPORTRANGE(""https://docs.google.com/spreadsheets/d/14Bd19lYaqBhU8_DElYkX7l4wRkHqqCUFNJY4AfY3kHU/edit?usp=sharing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G11866" s="7" t="s">
        <v>10</v>
      </c>
      <c r="H11866" s="7">
        <v>17940</v>
      </c>
      <c r="I11866" s="8" t="str">
        <f ca="1">IFERROR(__xludf.DUMMYFUNCTION("IF
(
G11867=""фізична особа""
,
VLOOKUP(H11867,IMPORTRANGE(""https://docs.google.com/spreadsheets/d/14Bd19lYaqBhU8_DElYkX7l4wRkHqqCUFNJY4AfY3kHU/edit?usp=sharing  #gid=0"",""фіз особи new!relations_name""),6,FALSE)
,
(IF
(
G11867=""юридична особа""
,
VLOO"&amp;"KUP(H11867,IMPORTRANGE(""https://docs.google.com/spreadsheets/d/14Bd19lYaqBhU8_DElYkX7l4wRkHqqCUFNJY4AfY3kHU/edit?usp=sharing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J11866" s="7" t="s">
        <v>11</v>
      </c>
    </row>
    <row r="11867" spans="1:10" ht="13.2">
      <c r="A11867" s="7">
        <v>11866</v>
      </c>
      <c r="B11867" s="7">
        <v>1</v>
      </c>
      <c r="C11867" s="7" t="s">
        <v>10</v>
      </c>
      <c r="D11867" s="7">
        <v>17939</v>
      </c>
      <c r="E11867" s="7" t="s">
        <v>11</v>
      </c>
      <c r="F11867" s="8" t="str">
        <f ca="1">IFERROR(__xludf.DUMMYFUNCTION("IF
(
C11868=""фізична особа""
,
VLOOKUP(D11868,IMPORTRANGE(""https://docs.google.com/spreadsheets/d/14Bd19lYaqBhU8_DElYkX7l4wRkHqqCUFNJY4AfY3kHU/edit?usp=sharing  #gid=0"",""фіз особи new!relations_name""),6,FALSE)
,
(IF
(
C11868=""юридична особа""
,
VLOO"&amp;"KUP(D11868,IMPORTRANGE(""https://docs.google.com/spreadsheets/d/14Bd19lYaqBhU8_DElYkX7l4wRkHqqCUFNJY4AfY3kHU/edit?usp=sharing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G11867" s="7" t="s">
        <v>10</v>
      </c>
      <c r="H11867" s="7">
        <v>17941</v>
      </c>
      <c r="I11867" s="8" t="str">
        <f ca="1">IFERROR(__xludf.DUMMYFUNCTION("IF
(
G11868=""фізична особа""
,
VLOOKUP(H11868,IMPORTRANGE(""https://docs.google.com/spreadsheets/d/14Bd19lYaqBhU8_DElYkX7l4wRkHqqCUFNJY4AfY3kHU/edit?usp=sharing  #gid=0"",""фіз особи new!relations_name""),6,FALSE)
,
(IF
(
G11868=""юридична особа""
,
VLOO"&amp;"KUP(H11868,IMPORTRANGE(""https://docs.google.com/spreadsheets/d/14Bd19lYaqBhU8_DElYkX7l4wRkHqqCUFNJY4AfY3kHU/edit?usp=sharing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J11867" s="7" t="s">
        <v>11</v>
      </c>
    </row>
    <row r="11868" spans="1:10" ht="13.2">
      <c r="A11868" s="7">
        <v>11867</v>
      </c>
      <c r="B11868" s="7">
        <v>1</v>
      </c>
      <c r="C11868" s="7" t="s">
        <v>10</v>
      </c>
      <c r="D11868" s="7">
        <v>17940</v>
      </c>
      <c r="E11868" s="7" t="s">
        <v>11</v>
      </c>
      <c r="F11868" s="8" t="str">
        <f ca="1">IFERROR(__xludf.DUMMYFUNCTION("IF
(
C11869=""фізична особа""
,
VLOOKUP(D11869,IMPORTRANGE(""https://docs.google.com/spreadsheets/d/14Bd19lYaqBhU8_DElYkX7l4wRkHqqCUFNJY4AfY3kHU/edit?usp=sharing  #gid=0"",""фіз особи new!relations_name""),6,FALSE)
,
(IF
(
C11869=""юридична особа""
,
VLOO"&amp;"KUP(D11869,IMPORTRANGE(""https://docs.google.com/spreadsheets/d/14Bd19lYaqBhU8_DElYkX7l4wRkHqqCUFNJY4AfY3kHU/edit?usp=sharing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G11868" s="7" t="s">
        <v>10</v>
      </c>
      <c r="H11868" s="7">
        <v>17938</v>
      </c>
      <c r="I11868" s="8" t="str">
        <f ca="1">IFERROR(__xludf.DUMMYFUNCTION("IF
(
G11869=""фізична особа""
,
VLOOKUP(H11869,IMPORTRANGE(""https://docs.google.com/spreadsheets/d/14Bd19lYaqBhU8_DElYkX7l4wRkHqqCUFNJY4AfY3kHU/edit?usp=sharing  #gid=0"",""фіз особи new!relations_name""),6,FALSE)
,
(IF
(
G11869=""юридична особа""
,
VLOO"&amp;"KUP(H11869,IMPORTRANGE(""https://docs.google.com/spreadsheets/d/14Bd19lYaqBhU8_DElYkX7l4wRkHqqCUFNJY4AfY3kHU/edit?usp=sharing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J11868" s="7" t="s">
        <v>11</v>
      </c>
    </row>
    <row r="11869" spans="1:10" ht="13.2">
      <c r="A11869" s="7">
        <v>11868</v>
      </c>
      <c r="B11869" s="7">
        <v>1</v>
      </c>
      <c r="C11869" s="7" t="s">
        <v>10</v>
      </c>
      <c r="D11869" s="7">
        <v>17940</v>
      </c>
      <c r="E11869" s="7" t="s">
        <v>11</v>
      </c>
      <c r="F11869" s="8" t="str">
        <f ca="1">IFERROR(__xludf.DUMMYFUNCTION("IF
(
C11870=""фізична особа""
,
VLOOKUP(D11870,IMPORTRANGE(""https://docs.google.com/spreadsheets/d/14Bd19lYaqBhU8_DElYkX7l4wRkHqqCUFNJY4AfY3kHU/edit?usp=sharing  #gid=0"",""фіз особи new!relations_name""),6,FALSE)
,
(IF
(
C11870=""юридична особа""
,
VLOO"&amp;"KUP(D11870,IMPORTRANGE(""https://docs.google.com/spreadsheets/d/14Bd19lYaqBhU8_DElYkX7l4wRkHqqCUFNJY4AfY3kHU/edit?usp=sharing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G11869" s="7" t="s">
        <v>10</v>
      </c>
      <c r="H11869" s="7">
        <v>17939</v>
      </c>
      <c r="I11869" s="8" t="str">
        <f ca="1">IFERROR(__xludf.DUMMYFUNCTION("IF
(
G11870=""фізична особа""
,
VLOOKUP(H11870,IMPORTRANGE(""https://docs.google.com/spreadsheets/d/14Bd19lYaqBhU8_DElYkX7l4wRkHqqCUFNJY4AfY3kHU/edit?usp=sharing  #gid=0"",""фіз особи new!relations_name""),6,FALSE)
,
(IF
(
G11870=""юридична особа""
,
VLOO"&amp;"KUP(H11870,IMPORTRANGE(""https://docs.google.com/spreadsheets/d/14Bd19lYaqBhU8_DElYkX7l4wRkHqqCUFNJY4AfY3kHU/edit?usp=sharing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J11869" s="7" t="s">
        <v>11</v>
      </c>
    </row>
    <row r="11870" spans="1:10" ht="13.2">
      <c r="A11870" s="7">
        <v>11869</v>
      </c>
      <c r="B11870" s="7">
        <v>1</v>
      </c>
      <c r="C11870" s="7" t="s">
        <v>10</v>
      </c>
      <c r="D11870" s="7">
        <v>17940</v>
      </c>
      <c r="E11870" s="7" t="s">
        <v>11</v>
      </c>
      <c r="F11870" s="8" t="str">
        <f ca="1">IFERROR(__xludf.DUMMYFUNCTION("IF
(
C11871=""фізична особа""
,
VLOOKUP(D11871,IMPORTRANGE(""https://docs.google.com/spreadsheets/d/14Bd19lYaqBhU8_DElYkX7l4wRkHqqCUFNJY4AfY3kHU/edit?usp=sharing  #gid=0"",""фіз особи new!relations_name""),6,FALSE)
,
(IF
(
C11871=""юридична особа""
,
VLOO"&amp;"KUP(D11871,IMPORTRANGE(""https://docs.google.com/spreadsheets/d/14Bd19lYaqBhU8_DElYkX7l4wRkHqqCUFNJY4AfY3kHU/edit?usp=sharing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G11870" s="7" t="s">
        <v>10</v>
      </c>
      <c r="H11870" s="7">
        <v>17941</v>
      </c>
      <c r="I11870" s="8" t="str">
        <f ca="1">IFERROR(__xludf.DUMMYFUNCTION("IF
(
G11871=""фізична особа""
,
VLOOKUP(H11871,IMPORTRANGE(""https://docs.google.com/spreadsheets/d/14Bd19lYaqBhU8_DElYkX7l4wRkHqqCUFNJY4AfY3kHU/edit?usp=sharing  #gid=0"",""фіз особи new!relations_name""),6,FALSE)
,
(IF
(
G11871=""юридична особа""
,
VLOO"&amp;"KUP(H11871,IMPORTRANGE(""https://docs.google.com/spreadsheets/d/14Bd19lYaqBhU8_DElYkX7l4wRkHqqCUFNJY4AfY3kHU/edit?usp=sharing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J11870" s="7" t="s">
        <v>11</v>
      </c>
    </row>
    <row r="11871" spans="1:10" ht="13.2">
      <c r="A11871" s="7">
        <v>11870</v>
      </c>
      <c r="B11871" s="7">
        <v>1</v>
      </c>
      <c r="C11871" s="7" t="s">
        <v>10</v>
      </c>
      <c r="D11871" s="7">
        <v>17941</v>
      </c>
      <c r="E11871" s="7" t="s">
        <v>11</v>
      </c>
      <c r="F11871" s="8" t="str">
        <f ca="1">IFERROR(__xludf.DUMMYFUNCTION("IF
(
C11872=""фізична особа""
,
VLOOKUP(D11872,IMPORTRANGE(""https://docs.google.com/spreadsheets/d/14Bd19lYaqBhU8_DElYkX7l4wRkHqqCUFNJY4AfY3kHU/edit?usp=sharing  #gid=0"",""фіз особи new!relations_name""),6,FALSE)
,
(IF
(
C11872=""юридична особа""
,
VLOO"&amp;"KUP(D11872,IMPORTRANGE(""https://docs.google.com/spreadsheets/d/14Bd19lYaqBhU8_DElYkX7l4wRkHqqCUFNJY4AfY3kHU/edit?usp=sharing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G11871" s="7" t="s">
        <v>10</v>
      </c>
      <c r="H11871" s="7">
        <v>17938</v>
      </c>
      <c r="I11871" s="8" t="str">
        <f ca="1">IFERROR(__xludf.DUMMYFUNCTION("IF
(
G11872=""фізична особа""
,
VLOOKUP(H11872,IMPORTRANGE(""https://docs.google.com/spreadsheets/d/14Bd19lYaqBhU8_DElYkX7l4wRkHqqCUFNJY4AfY3kHU/edit?usp=sharing  #gid=0"",""фіз особи new!relations_name""),6,FALSE)
,
(IF
(
G11872=""юридична особа""
,
VLOO"&amp;"KUP(H11872,IMPORTRANGE(""https://docs.google.com/spreadsheets/d/14Bd19lYaqBhU8_DElYkX7l4wRkHqqCUFNJY4AfY3kHU/edit?usp=sharing  #gid=0"",""фіз особи new!relations_name_uo""),7,FALSE)
,
)
))"),"КИСЛІЦИН Максим Олександрович")</f>
        <v>КИСЛІЦИН Максим Олександрович</v>
      </c>
      <c r="J11871" s="7" t="s">
        <v>11</v>
      </c>
    </row>
    <row r="11872" spans="1:10" ht="13.2">
      <c r="A11872" s="7">
        <v>11871</v>
      </c>
      <c r="B11872" s="7">
        <v>1</v>
      </c>
      <c r="C11872" s="7" t="s">
        <v>10</v>
      </c>
      <c r="D11872" s="7">
        <v>17941</v>
      </c>
      <c r="E11872" s="7" t="s">
        <v>11</v>
      </c>
      <c r="F11872" s="8" t="str">
        <f ca="1">IFERROR(__xludf.DUMMYFUNCTION("IF
(
C11873=""фізична особа""
,
VLOOKUP(D11873,IMPORTRANGE(""https://docs.google.com/spreadsheets/d/14Bd19lYaqBhU8_DElYkX7l4wRkHqqCUFNJY4AfY3kHU/edit?usp=sharing  #gid=0"",""фіз особи new!relations_name""),6,FALSE)
,
(IF
(
C11873=""юридична особа""
,
VLOO"&amp;"KUP(D11873,IMPORTRANGE(""https://docs.google.com/spreadsheets/d/14Bd19lYaqBhU8_DElYkX7l4wRkHqqCUFNJY4AfY3kHU/edit?usp=sharing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G11872" s="7" t="s">
        <v>10</v>
      </c>
      <c r="H11872" s="7">
        <v>17939</v>
      </c>
      <c r="I11872" s="8" t="str">
        <f ca="1">IFERROR(__xludf.DUMMYFUNCTION("IF
(
G11873=""фізична особа""
,
VLOOKUP(H11873,IMPORTRANGE(""https://docs.google.com/spreadsheets/d/14Bd19lYaqBhU8_DElYkX7l4wRkHqqCUFNJY4AfY3kHU/edit?usp=sharing  #gid=0"",""фіз особи new!relations_name""),6,FALSE)
,
(IF
(
G11873=""юридична особа""
,
VLOO"&amp;"KUP(H11873,IMPORTRANGE(""https://docs.google.com/spreadsheets/d/14Bd19lYaqBhU8_DElYkX7l4wRkHqqCUFNJY4AfY3kHU/edit?usp=sharing  #gid=0"",""фіз особи new!relations_name_uo""),7,FALSE)
,
)
))"),"ШИРОКОВ Дмитро Вікторович")</f>
        <v>ШИРОКОВ Дмитро Вікторович</v>
      </c>
      <c r="J11872" s="7" t="s">
        <v>11</v>
      </c>
    </row>
    <row r="11873" spans="1:10" ht="13.2">
      <c r="A11873" s="7">
        <v>11872</v>
      </c>
      <c r="B11873" s="7">
        <v>1</v>
      </c>
      <c r="C11873" s="7" t="s">
        <v>10</v>
      </c>
      <c r="D11873" s="7">
        <v>17941</v>
      </c>
      <c r="E11873" s="7" t="s">
        <v>11</v>
      </c>
      <c r="F11873" s="8" t="str">
        <f ca="1">IFERROR(__xludf.DUMMYFUNCTION("IF
(
C11874=""фізична особа""
,
VLOOKUP(D11874,IMPORTRANGE(""https://docs.google.com/spreadsheets/d/14Bd19lYaqBhU8_DElYkX7l4wRkHqqCUFNJY4AfY3kHU/edit?usp=sharing  #gid=0"",""фіз особи new!relations_name""),6,FALSE)
,
(IF
(
C11874=""юридична особа""
,
VLOO"&amp;"KUP(D11874,IMPORTRANGE(""https://docs.google.com/spreadsheets/d/14Bd19lYaqBhU8_DElYkX7l4wRkHqqCUFNJY4AfY3kHU/edit?usp=sharing  #gid=0"",""фіз особи new!relations_name_uo""),7,FALSE)
,
)
))"),"АВЕТІСЯН Левон Варданович")</f>
        <v>АВЕТІСЯН Левон Варданович</v>
      </c>
      <c r="G11873" s="7" t="s">
        <v>10</v>
      </c>
      <c r="H11873" s="7">
        <v>17940</v>
      </c>
      <c r="I11873" s="8" t="str">
        <f ca="1">IFERROR(__xludf.DUMMYFUNCTION("IF
(
G11874=""фізична особа""
,
VLOOKUP(H11874,IMPORTRANGE(""https://docs.google.com/spreadsheets/d/14Bd19lYaqBhU8_DElYkX7l4wRkHqqCUFNJY4AfY3kHU/edit?usp=sharing  #gid=0"",""фіз особи new!relations_name""),6,FALSE)
,
(IF
(
G11874=""юридична особа""
,
VLOO"&amp;"KUP(H11874,IMPORTRANGE(""https://docs.google.com/spreadsheets/d/14Bd19lYaqBhU8_DElYkX7l4wRkHqqCUFNJY4AfY3kHU/edit?usp=sharing  #gid=0"",""фіз особи new!relations_name_uo""),7,FALSE)
,
)
))"),"ПОНОМАРЬОВ Володимир Павлович")</f>
        <v>ПОНОМАРЬОВ Володимир Павлович</v>
      </c>
      <c r="J11873" s="7" t="s">
        <v>11</v>
      </c>
    </row>
    <row r="11874" spans="1:10" ht="13.2">
      <c r="A11874" s="7">
        <v>11873</v>
      </c>
      <c r="B11874" s="7">
        <v>1</v>
      </c>
      <c r="C11874" s="7" t="s">
        <v>10</v>
      </c>
      <c r="D11874" s="7">
        <v>17944</v>
      </c>
      <c r="E11874" s="7" t="s">
        <v>14</v>
      </c>
      <c r="F11874" s="8" t="str">
        <f ca="1">IFERROR(__xludf.DUMMYFUNCTION("IF
(
C11875=""фізична особа""
,
VLOOKUP(D11875,IMPORTRANGE(""https://docs.google.com/spreadsheets/d/14Bd19lYaqBhU8_DElYkX7l4wRkHqqCUFNJY4AfY3kHU/edit?usp=sharing  #gid=0"",""фіз особи new!relations_name""),6,FALSE)
,
(IF
(
C11875=""юридична особа""
,
VLOO"&amp;"KUP(D11875,IMPORTRANGE(""https://docs.google.com/spreadsheets/d/14Bd19lYaqBhU8_DElYkX7l4wRkHqqCUFNJY4AfY3kHU/edit?usp=sharing  #gid=0"",""фіз особи new!relations_name_uo""),7,FALSE)
,
)
))"),"САРДАРОВ Рашид Селімович")</f>
        <v>САРДАРОВ Рашид Селімович</v>
      </c>
      <c r="G11874" s="7" t="s">
        <v>10</v>
      </c>
      <c r="H11874" s="7">
        <v>0</v>
      </c>
      <c r="I11874" s="8" t="str">
        <f ca="1">IFERROR(__xludf.DUMMYFUNCTION("IF
(
G11875=""фізична особа""
,
VLOOKUP(H11875,IMPORTRANGE(""https://docs.google.com/spreadsheets/d/14Bd19lYaqBhU8_DElYkX7l4wRkHqqCUFNJY4AfY3kHU/edit?usp=sharing  #gid=0"",""фіз особи new!relations_name""),6,FALSE)
,
(IF
(
G11875=""юридична особа""
,
VLOO"&amp;"KUP(H11875,IMPORTRANGE(""https://docs.google.com/spreadsheets/d/14Bd19lYaqBhU8_DElYkX7l4wRkHqqCUFNJY4AfY3kHU/edit?usp=sharing  #gid=0"",""фіз особи new!relations_name_uo""),7,FALSE)
,
)
))"),"#N/A")</f>
        <v>#N/A</v>
      </c>
      <c r="J11874" s="7" t="s">
        <v>15</v>
      </c>
    </row>
    <row r="11875" spans="1:10" ht="13.2">
      <c r="A11875" s="7">
        <v>11874</v>
      </c>
      <c r="B11875" s="7">
        <v>1</v>
      </c>
      <c r="C11875" s="7" t="s">
        <v>10</v>
      </c>
      <c r="D11875" s="7">
        <v>17945</v>
      </c>
      <c r="E11875" s="7" t="s">
        <v>29</v>
      </c>
      <c r="F11875" s="8" t="str">
        <f ca="1">IFERROR(__xludf.DUMMYFUNCTION("IF
(
C11876=""фізична особа""
,
VLOOKUP(D11876,IMPORTRANGE(""https://docs.google.com/spreadsheets/d/14Bd19lYaqBhU8_DElYkX7l4wRkHqqCUFNJY4AfY3kHU/edit?usp=sharing  #gid=0"",""фіз особи new!relations_name""),6,FALSE)
,
(IF
(
C11876=""юридична особа""
,
VLOO"&amp;"KUP(D11876,IMPORTRANGE(""https://docs.google.com/spreadsheets/d/14Bd19lYaqBhU8_DElYkX7l4wRkHqqCUFNJY4AfY3kHU/edit?usp=sharing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G11875" s="7" t="s">
        <v>10</v>
      </c>
      <c r="H11875" s="7">
        <v>17946</v>
      </c>
      <c r="I11875" s="8" t="str">
        <f ca="1">IFERROR(__xludf.DUMMYFUNCTION("IF
(
G11876=""фізична особа""
,
VLOOKUP(H11876,IMPORTRANGE(""https://docs.google.com/spreadsheets/d/14Bd19lYaqBhU8_DElYkX7l4wRkHqqCUFNJY4AfY3kHU/edit?usp=sharing  #gid=0"",""фіз особи new!relations_name""),6,FALSE)
,
(IF
(
G11876=""юридична особа""
,
VLOO"&amp;"KUP(H11876,IMPORTRANGE(""https://docs.google.com/spreadsheets/d/14Bd19lYaqBhU8_DElYkX7l4wRkHqqCUFNJY4AfY3kHU/edit?usp=sharing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J11875" s="7" t="s">
        <v>104</v>
      </c>
    </row>
    <row r="11876" spans="1:10" ht="13.2">
      <c r="A11876" s="7">
        <v>11875</v>
      </c>
      <c r="B11876" s="7">
        <v>1</v>
      </c>
      <c r="C11876" s="7" t="s">
        <v>10</v>
      </c>
      <c r="D11876" s="7">
        <v>17945</v>
      </c>
      <c r="E11876" s="7" t="s">
        <v>29</v>
      </c>
      <c r="F11876" s="8" t="str">
        <f ca="1">IFERROR(__xludf.DUMMYFUNCTION("IF
(
C11877=""фізична особа""
,
VLOOKUP(D11877,IMPORTRANGE(""https://docs.google.com/spreadsheets/d/14Bd19lYaqBhU8_DElYkX7l4wRkHqqCUFNJY4AfY3kHU/edit?usp=sharing  #gid=0"",""фіз особи new!relations_name""),6,FALSE)
,
(IF
(
C11877=""юридична особа""
,
VLOO"&amp;"KUP(D11877,IMPORTRANGE(""https://docs.google.com/spreadsheets/d/14Bd19lYaqBhU8_DElYkX7l4wRkHqqCUFNJY4AfY3kHU/edit?usp=sharing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G11876" s="7" t="s">
        <v>10</v>
      </c>
      <c r="H11876" s="7">
        <v>17947</v>
      </c>
      <c r="I11876" s="8" t="str">
        <f ca="1">IFERROR(__xludf.DUMMYFUNCTION("IF
(
G11877=""фізична особа""
,
VLOOKUP(H11877,IMPORTRANGE(""https://docs.google.com/spreadsheets/d/14Bd19lYaqBhU8_DElYkX7l4wRkHqqCUFNJY4AfY3kHU/edit?usp=sharing  #gid=0"",""фіз особи new!relations_name""),6,FALSE)
,
(IF
(
G11877=""юридична особа""
,
VLOO"&amp;"KUP(H11877,IMPORTRANGE(""https://docs.google.com/spreadsheets/d/14Bd19lYaqBhU8_DElYkX7l4wRkHqqCUFNJY4AfY3kHU/edit?usp=sharing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J11876" s="7" t="s">
        <v>104</v>
      </c>
    </row>
    <row r="11877" spans="1:10" ht="13.2">
      <c r="A11877" s="7">
        <v>11876</v>
      </c>
      <c r="B11877" s="7">
        <v>1</v>
      </c>
      <c r="C11877" s="7" t="s">
        <v>10</v>
      </c>
      <c r="D11877" s="7">
        <v>17945</v>
      </c>
      <c r="E11877" s="7" t="s">
        <v>29</v>
      </c>
      <c r="F11877" s="8" t="str">
        <f ca="1">IFERROR(__xludf.DUMMYFUNCTION("IF
(
C11878=""фізична особа""
,
VLOOKUP(D11878,IMPORTRANGE(""https://docs.google.com/spreadsheets/d/14Bd19lYaqBhU8_DElYkX7l4wRkHqqCUFNJY4AfY3kHU/edit?usp=sharing  #gid=0"",""фіз особи new!relations_name""),6,FALSE)
,
(IF
(
C11878=""юридична особа""
,
VLOO"&amp;"KUP(D11878,IMPORTRANGE(""https://docs.google.com/spreadsheets/d/14Bd19lYaqBhU8_DElYkX7l4wRkHqqCUFNJY4AfY3kHU/edit?usp=sharing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G11877" s="7" t="s">
        <v>10</v>
      </c>
      <c r="H11877" s="7">
        <v>17948</v>
      </c>
      <c r="I11877" s="8" t="str">
        <f ca="1">IFERROR(__xludf.DUMMYFUNCTION("IF
(
G11878=""фізична особа""
,
VLOOKUP(H11878,IMPORTRANGE(""https://docs.google.com/spreadsheets/d/14Bd19lYaqBhU8_DElYkX7l4wRkHqqCUFNJY4AfY3kHU/edit?usp=sharing  #gid=0"",""фіз особи new!relations_name""),6,FALSE)
,
(IF
(
G11878=""юридична особа""
,
VLOO"&amp;"KUP(H11878,IMPORTRANGE(""https://docs.google.com/spreadsheets/d/14Bd19lYaqBhU8_DElYkX7l4wRkHqqCUFNJY4AfY3kHU/edit?usp=sharing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J11877" s="7" t="s">
        <v>104</v>
      </c>
    </row>
    <row r="11878" spans="1:10" ht="13.2">
      <c r="A11878" s="7">
        <v>11877</v>
      </c>
      <c r="B11878" s="7">
        <v>1</v>
      </c>
      <c r="C11878" s="7" t="s">
        <v>10</v>
      </c>
      <c r="D11878" s="7">
        <v>17946</v>
      </c>
      <c r="E11878" s="7" t="s">
        <v>104</v>
      </c>
      <c r="F11878" s="8" t="str">
        <f ca="1">IFERROR(__xludf.DUMMYFUNCTION("IF
(
C11879=""фізична особа""
,
VLOOKUP(D11879,IMPORTRANGE(""https://docs.google.com/spreadsheets/d/14Bd19lYaqBhU8_DElYkX7l4wRkHqqCUFNJY4AfY3kHU/edit?usp=sharing  #gid=0"",""фіз особи new!relations_name""),6,FALSE)
,
(IF
(
C11879=""юридична особа""
,
VLOO"&amp;"KUP(D11879,IMPORTRANGE(""https://docs.google.com/spreadsheets/d/14Bd19lYaqBhU8_DElYkX7l4wRkHqqCUFNJY4AfY3kHU/edit?usp=sharing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G11878" s="7" t="s">
        <v>10</v>
      </c>
      <c r="H11878" s="7">
        <v>17945</v>
      </c>
      <c r="I11878" s="8" t="str">
        <f ca="1">IFERROR(__xludf.DUMMYFUNCTION("IF
(
G11879=""фізична особа""
,
VLOOKUP(H11879,IMPORTRANGE(""https://docs.google.com/spreadsheets/d/14Bd19lYaqBhU8_DElYkX7l4wRkHqqCUFNJY4AfY3kHU/edit?usp=sharing  #gid=0"",""фіз особи new!relations_name""),6,FALSE)
,
(IF
(
G11879=""юридична особа""
,
VLOO"&amp;"KUP(H11879,IMPORTRANGE(""https://docs.google.com/spreadsheets/d/14Bd19lYaqBhU8_DElYkX7l4wRkHqqCUFNJY4AfY3kHU/edit?usp=sharing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J11878" s="7" t="s">
        <v>29</v>
      </c>
    </row>
    <row r="11879" spans="1:10" ht="13.2">
      <c r="A11879" s="7">
        <v>11878</v>
      </c>
      <c r="B11879" s="7">
        <v>1</v>
      </c>
      <c r="C11879" s="7" t="s">
        <v>10</v>
      </c>
      <c r="D11879" s="7">
        <v>17946</v>
      </c>
      <c r="E11879" s="7" t="s">
        <v>11</v>
      </c>
      <c r="F11879" s="8" t="str">
        <f ca="1">IFERROR(__xludf.DUMMYFUNCTION("IF
(
C11880=""фізична особа""
,
VLOOKUP(D11880,IMPORTRANGE(""https://docs.google.com/spreadsheets/d/14Bd19lYaqBhU8_DElYkX7l4wRkHqqCUFNJY4AfY3kHU/edit?usp=sharing  #gid=0"",""фіз особи new!relations_name""),6,FALSE)
,
(IF
(
C11880=""юридична особа""
,
VLOO"&amp;"KUP(D11880,IMPORTRANGE(""https://docs.google.com/spreadsheets/d/14Bd19lYaqBhU8_DElYkX7l4wRkHqqCUFNJY4AfY3kHU/edit?usp=sharing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G11879" s="7" t="s">
        <v>10</v>
      </c>
      <c r="H11879" s="7">
        <v>17947</v>
      </c>
      <c r="I11879" s="8" t="str">
        <f ca="1">IFERROR(__xludf.DUMMYFUNCTION("IF
(
G11880=""фізична особа""
,
VLOOKUP(H11880,IMPORTRANGE(""https://docs.google.com/spreadsheets/d/14Bd19lYaqBhU8_DElYkX7l4wRkHqqCUFNJY4AfY3kHU/edit?usp=sharing  #gid=0"",""фіз особи new!relations_name""),6,FALSE)
,
(IF
(
G11880=""юридична особа""
,
VLOO"&amp;"KUP(H11880,IMPORTRANGE(""https://docs.google.com/spreadsheets/d/14Bd19lYaqBhU8_DElYkX7l4wRkHqqCUFNJY4AfY3kHU/edit?usp=sharing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J11879" s="7" t="s">
        <v>11</v>
      </c>
    </row>
    <row r="11880" spans="1:10" ht="13.2">
      <c r="A11880" s="7">
        <v>11879</v>
      </c>
      <c r="B11880" s="7">
        <v>1</v>
      </c>
      <c r="C11880" s="7" t="s">
        <v>10</v>
      </c>
      <c r="D11880" s="7">
        <v>17946</v>
      </c>
      <c r="E11880" s="7" t="s">
        <v>11</v>
      </c>
      <c r="F11880" s="8" t="str">
        <f ca="1">IFERROR(__xludf.DUMMYFUNCTION("IF
(
C11881=""фізична особа""
,
VLOOKUP(D11881,IMPORTRANGE(""https://docs.google.com/spreadsheets/d/14Bd19lYaqBhU8_DElYkX7l4wRkHqqCUFNJY4AfY3kHU/edit?usp=sharing  #gid=0"",""фіз особи new!relations_name""),6,FALSE)
,
(IF
(
C11881=""юридична особа""
,
VLOO"&amp;"KUP(D11881,IMPORTRANGE(""https://docs.google.com/spreadsheets/d/14Bd19lYaqBhU8_DElYkX7l4wRkHqqCUFNJY4AfY3kHU/edit?usp=sharing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G11880" s="7" t="s">
        <v>10</v>
      </c>
      <c r="H11880" s="7">
        <v>17948</v>
      </c>
      <c r="I11880" s="8" t="str">
        <f ca="1">IFERROR(__xludf.DUMMYFUNCTION("IF
(
G11881=""фізична особа""
,
VLOOKUP(H11881,IMPORTRANGE(""https://docs.google.com/spreadsheets/d/14Bd19lYaqBhU8_DElYkX7l4wRkHqqCUFNJY4AfY3kHU/edit?usp=sharing  #gid=0"",""фіз особи new!relations_name""),6,FALSE)
,
(IF
(
G11881=""юридична особа""
,
VLOO"&amp;"KUP(H11881,IMPORTRANGE(""https://docs.google.com/spreadsheets/d/14Bd19lYaqBhU8_DElYkX7l4wRkHqqCUFNJY4AfY3kHU/edit?usp=sharing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J11880" s="7" t="s">
        <v>11</v>
      </c>
    </row>
    <row r="11881" spans="1:10" ht="13.2">
      <c r="A11881" s="7">
        <v>11880</v>
      </c>
      <c r="B11881" s="7">
        <v>1</v>
      </c>
      <c r="C11881" s="7" t="s">
        <v>10</v>
      </c>
      <c r="D11881" s="7">
        <v>17947</v>
      </c>
      <c r="E11881" s="7" t="s">
        <v>104</v>
      </c>
      <c r="F11881" s="8" t="str">
        <f ca="1">IFERROR(__xludf.DUMMYFUNCTION("IF
(
C11882=""фізична особа""
,
VLOOKUP(D11882,IMPORTRANGE(""https://docs.google.com/spreadsheets/d/14Bd19lYaqBhU8_DElYkX7l4wRkHqqCUFNJY4AfY3kHU/edit?usp=sharing  #gid=0"",""фіз особи new!relations_name""),6,FALSE)
,
(IF
(
C11882=""юридична особа""
,
VLOO"&amp;"KUP(D11882,IMPORTRANGE(""https://docs.google.com/spreadsheets/d/14Bd19lYaqBhU8_DElYkX7l4wRkHqqCUFNJY4AfY3kHU/edit?usp=sharing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G11881" s="7" t="s">
        <v>10</v>
      </c>
      <c r="H11881" s="7">
        <v>17945</v>
      </c>
      <c r="I11881" s="8" t="str">
        <f ca="1">IFERROR(__xludf.DUMMYFUNCTION("IF
(
G11882=""фізична особа""
,
VLOOKUP(H11882,IMPORTRANGE(""https://docs.google.com/spreadsheets/d/14Bd19lYaqBhU8_DElYkX7l4wRkHqqCUFNJY4AfY3kHU/edit?usp=sharing  #gid=0"",""фіз особи new!relations_name""),6,FALSE)
,
(IF
(
G11882=""юридична особа""
,
VLOO"&amp;"KUP(H11882,IMPORTRANGE(""https://docs.google.com/spreadsheets/d/14Bd19lYaqBhU8_DElYkX7l4wRkHqqCUFNJY4AfY3kHU/edit?usp=sharing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J11881" s="7" t="s">
        <v>29</v>
      </c>
    </row>
    <row r="11882" spans="1:10" ht="13.2">
      <c r="A11882" s="7">
        <v>11881</v>
      </c>
      <c r="B11882" s="7">
        <v>1</v>
      </c>
      <c r="C11882" s="7" t="s">
        <v>10</v>
      </c>
      <c r="D11882" s="7">
        <v>17947</v>
      </c>
      <c r="E11882" s="7" t="s">
        <v>11</v>
      </c>
      <c r="F11882" s="8" t="str">
        <f ca="1">IFERROR(__xludf.DUMMYFUNCTION("IF
(
C11883=""фізична особа""
,
VLOOKUP(D11883,IMPORTRANGE(""https://docs.google.com/spreadsheets/d/14Bd19lYaqBhU8_DElYkX7l4wRkHqqCUFNJY4AfY3kHU/edit?usp=sharing  #gid=0"",""фіз особи new!relations_name""),6,FALSE)
,
(IF
(
C11883=""юридична особа""
,
VLOO"&amp;"KUP(D11883,IMPORTRANGE(""https://docs.google.com/spreadsheets/d/14Bd19lYaqBhU8_DElYkX7l4wRkHqqCUFNJY4AfY3kHU/edit?usp=sharing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G11882" s="7" t="s">
        <v>10</v>
      </c>
      <c r="H11882" s="7">
        <v>17946</v>
      </c>
      <c r="I11882" s="8" t="str">
        <f ca="1">IFERROR(__xludf.DUMMYFUNCTION("IF
(
G11883=""фізична особа""
,
VLOOKUP(H11883,IMPORTRANGE(""https://docs.google.com/spreadsheets/d/14Bd19lYaqBhU8_DElYkX7l4wRkHqqCUFNJY4AfY3kHU/edit?usp=sharing  #gid=0"",""фіз особи new!relations_name""),6,FALSE)
,
(IF
(
G11883=""юридична особа""
,
VLOO"&amp;"KUP(H11883,IMPORTRANGE(""https://docs.google.com/spreadsheets/d/14Bd19lYaqBhU8_DElYkX7l4wRkHqqCUFNJY4AfY3kHU/edit?usp=sharing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J11882" s="7" t="s">
        <v>11</v>
      </c>
    </row>
    <row r="11883" spans="1:10" ht="13.2">
      <c r="A11883" s="7">
        <v>11882</v>
      </c>
      <c r="B11883" s="7">
        <v>1</v>
      </c>
      <c r="C11883" s="7" t="s">
        <v>10</v>
      </c>
      <c r="D11883" s="7">
        <v>17947</v>
      </c>
      <c r="E11883" s="7" t="s">
        <v>11</v>
      </c>
      <c r="F11883" s="8" t="str">
        <f ca="1">IFERROR(__xludf.DUMMYFUNCTION("IF
(
C11884=""фізична особа""
,
VLOOKUP(D11884,IMPORTRANGE(""https://docs.google.com/spreadsheets/d/14Bd19lYaqBhU8_DElYkX7l4wRkHqqCUFNJY4AfY3kHU/edit?usp=sharing  #gid=0"",""фіз особи new!relations_name""),6,FALSE)
,
(IF
(
C11884=""юридична особа""
,
VLOO"&amp;"KUP(D11884,IMPORTRANGE(""https://docs.google.com/spreadsheets/d/14Bd19lYaqBhU8_DElYkX7l4wRkHqqCUFNJY4AfY3kHU/edit?usp=sharing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G11883" s="7" t="s">
        <v>10</v>
      </c>
      <c r="H11883" s="7">
        <v>17948</v>
      </c>
      <c r="I11883" s="8" t="str">
        <f ca="1">IFERROR(__xludf.DUMMYFUNCTION("IF
(
G11884=""фізична особа""
,
VLOOKUP(H11884,IMPORTRANGE(""https://docs.google.com/spreadsheets/d/14Bd19lYaqBhU8_DElYkX7l4wRkHqqCUFNJY4AfY3kHU/edit?usp=sharing  #gid=0"",""фіз особи new!relations_name""),6,FALSE)
,
(IF
(
G11884=""юридична особа""
,
VLOO"&amp;"KUP(H11884,IMPORTRANGE(""https://docs.google.com/spreadsheets/d/14Bd19lYaqBhU8_DElYkX7l4wRkHqqCUFNJY4AfY3kHU/edit?usp=sharing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J11883" s="7" t="s">
        <v>11</v>
      </c>
    </row>
    <row r="11884" spans="1:10" ht="13.2">
      <c r="A11884" s="7">
        <v>11883</v>
      </c>
      <c r="B11884" s="7">
        <v>1</v>
      </c>
      <c r="C11884" s="7" t="s">
        <v>10</v>
      </c>
      <c r="D11884" s="7">
        <v>17948</v>
      </c>
      <c r="E11884" s="7" t="s">
        <v>104</v>
      </c>
      <c r="F11884" s="8" t="str">
        <f ca="1">IFERROR(__xludf.DUMMYFUNCTION("IF
(
C11885=""фізична особа""
,
VLOOKUP(D11885,IMPORTRANGE(""https://docs.google.com/spreadsheets/d/14Bd19lYaqBhU8_DElYkX7l4wRkHqqCUFNJY4AfY3kHU/edit?usp=sharing  #gid=0"",""фіз особи new!relations_name""),6,FALSE)
,
(IF
(
C11885=""юридична особа""
,
VLOO"&amp;"KUP(D11885,IMPORTRANGE(""https://docs.google.com/spreadsheets/d/14Bd19lYaqBhU8_DElYkX7l4wRkHqqCUFNJY4AfY3kHU/edit?usp=sharing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G11884" s="7" t="s">
        <v>10</v>
      </c>
      <c r="H11884" s="7">
        <v>17945</v>
      </c>
      <c r="I11884" s="8" t="str">
        <f ca="1">IFERROR(__xludf.DUMMYFUNCTION("IF
(
G11885=""фізична особа""
,
VLOOKUP(H11885,IMPORTRANGE(""https://docs.google.com/spreadsheets/d/14Bd19lYaqBhU8_DElYkX7l4wRkHqqCUFNJY4AfY3kHU/edit?usp=sharing  #gid=0"",""фіз особи new!relations_name""),6,FALSE)
,
(IF
(
G11885=""юридична особа""
,
VLOO"&amp;"KUP(H11885,IMPORTRANGE(""https://docs.google.com/spreadsheets/d/14Bd19lYaqBhU8_DElYkX7l4wRkHqqCUFNJY4AfY3kHU/edit?usp=sharing  #gid=0"",""фіз особи new!relations_name_uo""),7,FALSE)
,
)
))"),"МОРОЗОВ Євгеній Олександрович")</f>
        <v>МОРОЗОВ Євгеній Олександрович</v>
      </c>
      <c r="J11884" s="7" t="s">
        <v>29</v>
      </c>
    </row>
    <row r="11885" spans="1:10" ht="13.2">
      <c r="A11885" s="7">
        <v>11884</v>
      </c>
      <c r="B11885" s="7">
        <v>1</v>
      </c>
      <c r="C11885" s="7" t="s">
        <v>10</v>
      </c>
      <c r="D11885" s="7">
        <v>17948</v>
      </c>
      <c r="E11885" s="7" t="s">
        <v>11</v>
      </c>
      <c r="F11885" s="8" t="str">
        <f ca="1">IFERROR(__xludf.DUMMYFUNCTION("IF
(
C11886=""фізична особа""
,
VLOOKUP(D11886,IMPORTRANGE(""https://docs.google.com/spreadsheets/d/14Bd19lYaqBhU8_DElYkX7l4wRkHqqCUFNJY4AfY3kHU/edit?usp=sharing  #gid=0"",""фіз особи new!relations_name""),6,FALSE)
,
(IF
(
C11886=""юридична особа""
,
VLOO"&amp;"KUP(D11886,IMPORTRANGE(""https://docs.google.com/spreadsheets/d/14Bd19lYaqBhU8_DElYkX7l4wRkHqqCUFNJY4AfY3kHU/edit?usp=sharing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G11885" s="7" t="s">
        <v>10</v>
      </c>
      <c r="H11885" s="7">
        <v>17946</v>
      </c>
      <c r="I11885" s="8" t="str">
        <f ca="1">IFERROR(__xludf.DUMMYFUNCTION("IF
(
G11886=""фізична особа""
,
VLOOKUP(H11886,IMPORTRANGE(""https://docs.google.com/spreadsheets/d/14Bd19lYaqBhU8_DElYkX7l4wRkHqqCUFNJY4AfY3kHU/edit?usp=sharing  #gid=0"",""фіз особи new!relations_name""),6,FALSE)
,
(IF
(
G11886=""юридична особа""
,
VLOO"&amp;"KUP(H11886,IMPORTRANGE(""https://docs.google.com/spreadsheets/d/14Bd19lYaqBhU8_DElYkX7l4wRkHqqCUFNJY4AfY3kHU/edit?usp=sharing  #gid=0"",""фіз особи new!relations_name_uo""),7,FALSE)
,
)
))"),"ШУМСЬКИЙ Валерій Костянтинович")</f>
        <v>ШУМСЬКИЙ Валерій Костянтинович</v>
      </c>
      <c r="J11885" s="7" t="s">
        <v>11</v>
      </c>
    </row>
    <row r="11886" spans="1:10" ht="13.2">
      <c r="A11886" s="7">
        <v>11885</v>
      </c>
      <c r="B11886" s="7">
        <v>1</v>
      </c>
      <c r="C11886" s="7" t="s">
        <v>10</v>
      </c>
      <c r="D11886" s="7">
        <v>17948</v>
      </c>
      <c r="E11886" s="7" t="s">
        <v>11</v>
      </c>
      <c r="F11886" s="8" t="str">
        <f ca="1">IFERROR(__xludf.DUMMYFUNCTION("IF
(
C11887=""фізична особа""
,
VLOOKUP(D11887,IMPORTRANGE(""https://docs.google.com/spreadsheets/d/14Bd19lYaqBhU8_DElYkX7l4wRkHqqCUFNJY4AfY3kHU/edit?usp=sharing  #gid=0"",""фіз особи new!relations_name""),6,FALSE)
,
(IF
(
C11887=""юридична особа""
,
VLOO"&amp;"KUP(D11887,IMPORTRANGE(""https://docs.google.com/spreadsheets/d/14Bd19lYaqBhU8_DElYkX7l4wRkHqqCUFNJY4AfY3kHU/edit?usp=sharing  #gid=0"",""фіз особи new!relations_name_uo""),7,FALSE)
,
)
))"),"МЕСЯЧИК Вероніка Миколаївна")</f>
        <v>МЕСЯЧИК Вероніка Миколаївна</v>
      </c>
      <c r="G11886" s="7" t="s">
        <v>10</v>
      </c>
      <c r="H11886" s="7">
        <v>17947</v>
      </c>
      <c r="I11886" s="8" t="str">
        <f ca="1">IFERROR(__xludf.DUMMYFUNCTION("IF
(
G11887=""фізична особа""
,
VLOOKUP(H11887,IMPORTRANGE(""https://docs.google.com/spreadsheets/d/14Bd19lYaqBhU8_DElYkX7l4wRkHqqCUFNJY4AfY3kHU/edit?usp=sharing  #gid=0"",""фіз особи new!relations_name""),6,FALSE)
,
(IF
(
G11887=""юридична особа""
,
VLOO"&amp;"KUP(H11887,IMPORTRANGE(""https://docs.google.com/spreadsheets/d/14Bd19lYaqBhU8_DElYkX7l4wRkHqqCUFNJY4AfY3kHU/edit?usp=sharing  #gid=0"",""фіз особи new!relations_name_uo""),7,FALSE)
,
)
))"),"ШУМСЬКА Тетяна В'ячеславівна")</f>
        <v>ШУМСЬКА Тетяна В'ячеславівна</v>
      </c>
      <c r="J11886" s="7" t="s">
        <v>11</v>
      </c>
    </row>
    <row r="11887" spans="1:10" ht="13.2">
      <c r="A11887" s="7">
        <v>11886</v>
      </c>
      <c r="B11887" s="7">
        <v>1</v>
      </c>
      <c r="C11887" s="7" t="s">
        <v>10</v>
      </c>
      <c r="D11887" s="7">
        <v>17949</v>
      </c>
      <c r="E11887" s="7" t="s">
        <v>29</v>
      </c>
      <c r="F11887" s="8" t="str">
        <f ca="1">IFERROR(__xludf.DUMMYFUNCTION("IF
(
C11888=""фізична особа""
,
VLOOKUP(D11888,IMPORTRANGE(""https://docs.google.com/spreadsheets/d/14Bd19lYaqBhU8_DElYkX7l4wRkHqqCUFNJY4AfY3kHU/edit?usp=sharing  #gid=0"",""фіз особи new!relations_name""),6,FALSE)
,
(IF
(
C11888=""юридична особа""
,
VLOO"&amp;"KUP(D11888,IMPORTRANGE(""https://docs.google.com/spreadsheets/d/14Bd19lYaqBhU8_DElYkX7l4wRkHqqCUFNJY4AfY3kHU/edit?usp=sharing  #gid=0"",""фіз особи new!relations_name_uo""),7,FALSE)
,
)
))"),"ГІЛЬМУЛЛІН Ленар Рафаїлович")</f>
        <v>ГІЛЬМУЛЛІН Ленар Рафаїлович</v>
      </c>
      <c r="G11887" s="7" t="s">
        <v>10</v>
      </c>
      <c r="H11887" s="7">
        <v>17950</v>
      </c>
      <c r="I11887" s="8" t="str">
        <f ca="1">IFERROR(__xludf.DUMMYFUNCTION("IF
(
G11888=""фізична особа""
,
VLOOKUP(H11888,IMPORTRANGE(""https://docs.google.com/spreadsheets/d/14Bd19lYaqBhU8_DElYkX7l4wRkHqqCUFNJY4AfY3kHU/edit?usp=sharing  #gid=0"",""фіз особи new!relations_name""),6,FALSE)
,
(IF
(
G11888=""юридична особа""
,
VLOO"&amp;"KUP(H11888,IMPORTRANGE(""https://docs.google.com/spreadsheets/d/14Bd19lYaqBhU8_DElYkX7l4wRkHqqCUFNJY4AfY3kHU/edit?usp=sharing  #gid=0"",""фіз особи new!relations_name_uo""),7,FALSE)
,
)
))"),"ЗАКІРОВ Тімур Заріфович")</f>
        <v>ЗАКІРОВ Тімур Заріфович</v>
      </c>
      <c r="J11887" s="7" t="s">
        <v>104</v>
      </c>
    </row>
    <row r="11888" spans="1:10" ht="13.2">
      <c r="A11888" s="7">
        <v>11887</v>
      </c>
      <c r="B11888" s="7">
        <v>1</v>
      </c>
      <c r="C11888" s="7" t="s">
        <v>10</v>
      </c>
      <c r="D11888" s="7">
        <v>17949</v>
      </c>
      <c r="E11888" s="7" t="s">
        <v>29</v>
      </c>
      <c r="F11888" s="8" t="str">
        <f ca="1">IFERROR(__xludf.DUMMYFUNCTION("IF
(
C11889=""фізична особа""
,
VLOOKUP(D11889,IMPORTRANGE(""https://docs.google.com/spreadsheets/d/14Bd19lYaqBhU8_DElYkX7l4wRkHqqCUFNJY4AfY3kHU/edit?usp=sharing  #gid=0"",""фіз особи new!relations_name""),6,FALSE)
,
(IF
(
C11889=""юридична особа""
,
VLOO"&amp;"KUP(D11889,IMPORTRANGE(""https://docs.google.com/spreadsheets/d/14Bd19lYaqBhU8_DElYkX7l4wRkHqqCUFNJY4AfY3kHU/edit?usp=sharing  #gid=0"",""фіз особи new!relations_name_uo""),7,FALSE)
,
)
))"),"ГІЛЬМУЛЛІН Ленар Рафаїлович")</f>
        <v>ГІЛЬМУЛЛІН Ленар Рафаїлович</v>
      </c>
      <c r="G11888" s="7" t="s">
        <v>10</v>
      </c>
      <c r="H11888" s="7">
        <v>17951</v>
      </c>
      <c r="I11888" s="8" t="str">
        <f ca="1">IFERROR(__xludf.DUMMYFUNCTION("IF
(
G11889=""фізична особа""
,
VLOOKUP(H11889,IMPORTRANGE(""https://docs.google.com/spreadsheets/d/14Bd19lYaqBhU8_DElYkX7l4wRkHqqCUFNJY4AfY3kHU/edit?usp=sharing  #gid=0"",""фіз особи new!relations_name""),6,FALSE)
,
(IF
(
G11889=""юридична особа""
,
VLOO"&amp;"KUP(H11889,IMPORTRANGE(""https://docs.google.com/spreadsheets/d/14Bd19lYaqBhU8_DElYkX7l4wRkHqqCUFNJY4AfY3kHU/edit?usp=sharing  #gid=0"",""фіз особи new!relations_name_uo""),7,FALSE)
,
)
))"),"ШЕЛАНОВ Артем Олексійович")</f>
        <v>ШЕЛАНОВ Артем Олексійович</v>
      </c>
      <c r="J11888" s="7" t="s">
        <v>104</v>
      </c>
    </row>
    <row r="11889" spans="1:10" ht="13.2">
      <c r="A11889" s="7">
        <v>11888</v>
      </c>
      <c r="B11889" s="7">
        <v>1</v>
      </c>
      <c r="C11889" s="7" t="s">
        <v>10</v>
      </c>
      <c r="D11889" s="7">
        <v>17950</v>
      </c>
      <c r="E11889" s="7" t="s">
        <v>104</v>
      </c>
      <c r="F11889" s="8" t="str">
        <f ca="1">IFERROR(__xludf.DUMMYFUNCTION("IF
(
C11890=""фізична особа""
,
VLOOKUP(D11890,IMPORTRANGE(""https://docs.google.com/spreadsheets/d/14Bd19lYaqBhU8_DElYkX7l4wRkHqqCUFNJY4AfY3kHU/edit?usp=sharing  #gid=0"",""фіз особи new!relations_name""),6,FALSE)
,
(IF
(
C11890=""юридична особа""
,
VLOO"&amp;"KUP(D11890,IMPORTRANGE(""https://docs.google.com/spreadsheets/d/14Bd19lYaqBhU8_DElYkX7l4wRkHqqCUFNJY4AfY3kHU/edit?usp=sharing  #gid=0"",""фіз особи new!relations_name_uo""),7,FALSE)
,
)
))"),"ЗАКІРОВ Тімур Заріфович")</f>
        <v>ЗАКІРОВ Тімур Заріфович</v>
      </c>
      <c r="G11889" s="7" t="s">
        <v>10</v>
      </c>
      <c r="H11889" s="7">
        <v>17949</v>
      </c>
      <c r="I11889" s="8" t="str">
        <f ca="1">IFERROR(__xludf.DUMMYFUNCTION("IF
(
G11890=""фізична особа""
,
VLOOKUP(H11890,IMPORTRANGE(""https://docs.google.com/spreadsheets/d/14Bd19lYaqBhU8_DElYkX7l4wRkHqqCUFNJY4AfY3kHU/edit?usp=sharing  #gid=0"",""фіз особи new!relations_name""),6,FALSE)
,
(IF
(
G11890=""юридична особа""
,
VLOO"&amp;"KUP(H11890,IMPORTRANGE(""https://docs.google.com/spreadsheets/d/14Bd19lYaqBhU8_DElYkX7l4wRkHqqCUFNJY4AfY3kHU/edit?usp=sharing  #gid=0"",""фіз особи new!relations_name_uo""),7,FALSE)
,
)
))"),"ГІЛЬМУЛЛІН Ленар Рафаїлович")</f>
        <v>ГІЛЬМУЛЛІН Ленар Рафаїлович</v>
      </c>
      <c r="J11889" s="7" t="s">
        <v>29</v>
      </c>
    </row>
    <row r="11890" spans="1:10" ht="13.2">
      <c r="A11890" s="7">
        <v>11889</v>
      </c>
      <c r="B11890" s="7">
        <v>1</v>
      </c>
      <c r="C11890" s="7" t="s">
        <v>10</v>
      </c>
      <c r="D11890" s="7">
        <v>17950</v>
      </c>
      <c r="E11890" s="7" t="s">
        <v>11</v>
      </c>
      <c r="F11890" s="8" t="str">
        <f ca="1">IFERROR(__xludf.DUMMYFUNCTION("IF
(
C11891=""фізична особа""
,
VLOOKUP(D11891,IMPORTRANGE(""https://docs.google.com/spreadsheets/d/14Bd19lYaqBhU8_DElYkX7l4wRkHqqCUFNJY4AfY3kHU/edit?usp=sharing  #gid=0"",""фіз особи new!relations_name""),6,FALSE)
,
(IF
(
C11891=""юридична особа""
,
VLOO"&amp;"KUP(D11891,IMPORTRANGE(""https://docs.google.com/spreadsheets/d/14Bd19lYaqBhU8_DElYkX7l4wRkHqqCUFNJY4AfY3kHU/edit?usp=sharing  #gid=0"",""фіз особи new!relations_name_uo""),7,FALSE)
,
)
))"),"ЗАКІРОВ Тімур Заріфович")</f>
        <v>ЗАКІРОВ Тімур Заріфович</v>
      </c>
      <c r="G11890" s="7" t="s">
        <v>10</v>
      </c>
      <c r="H11890" s="7">
        <v>17951</v>
      </c>
      <c r="I11890" s="8" t="str">
        <f ca="1">IFERROR(__xludf.DUMMYFUNCTION("IF
(
G11891=""фізична особа""
,
VLOOKUP(H11891,IMPORTRANGE(""https://docs.google.com/spreadsheets/d/14Bd19lYaqBhU8_DElYkX7l4wRkHqqCUFNJY4AfY3kHU/edit?usp=sharing  #gid=0"",""фіз особи new!relations_name""),6,FALSE)
,
(IF
(
G11891=""юридична особа""
,
VLOO"&amp;"KUP(H11891,IMPORTRANGE(""https://docs.google.com/spreadsheets/d/14Bd19lYaqBhU8_DElYkX7l4wRkHqqCUFNJY4AfY3kHU/edit?usp=sharing  #gid=0"",""фіз особи new!relations_name_uo""),7,FALSE)
,
)
))"),"ШЕЛАНОВ Артем Олексійович")</f>
        <v>ШЕЛАНОВ Артем Олексійович</v>
      </c>
      <c r="J11890" s="7" t="s">
        <v>11</v>
      </c>
    </row>
    <row r="11891" spans="1:10" ht="13.2">
      <c r="A11891" s="7">
        <v>11890</v>
      </c>
      <c r="B11891" s="7">
        <v>1</v>
      </c>
      <c r="C11891" s="7" t="s">
        <v>10</v>
      </c>
      <c r="D11891" s="7">
        <v>17950</v>
      </c>
      <c r="E11891" s="7" t="s">
        <v>104</v>
      </c>
      <c r="F11891" s="8" t="str">
        <f ca="1">IFERROR(__xludf.DUMMYFUNCTION("IF
(
C11892=""фізична особа""
,
VLOOKUP(D11892,IMPORTRANGE(""https://docs.google.com/spreadsheets/d/14Bd19lYaqBhU8_DElYkX7l4wRkHqqCUFNJY4AfY3kHU/edit?usp=sharing  #gid=0"",""фіз особи new!relations_name""),6,FALSE)
,
(IF
(
C11892=""юридична особа""
,
VLOO"&amp;"KUP(D11892,IMPORTRANGE(""https://docs.google.com/spreadsheets/d/14Bd19lYaqBhU8_DElYkX7l4wRkHqqCUFNJY4AfY3kHU/edit?usp=sharing  #gid=0"",""фіз особи new!relations_name_uo""),7,FALSE)
,
)
))"),"ЗАКІРОВ Тімур Заріфович")</f>
        <v>ЗАКІРОВ Тімур Заріфович</v>
      </c>
      <c r="G11891" s="7" t="s">
        <v>10</v>
      </c>
      <c r="H11891" s="7">
        <v>17949</v>
      </c>
      <c r="I11891" s="8" t="str">
        <f ca="1">IFERROR(__xludf.DUMMYFUNCTION("IF
(
G11892=""фізична особа""
,
VLOOKUP(H11892,IMPORTRANGE(""https://docs.google.com/spreadsheets/d/14Bd19lYaqBhU8_DElYkX7l4wRkHqqCUFNJY4AfY3kHU/edit?usp=sharing  #gid=0"",""фіз особи new!relations_name""),6,FALSE)
,
(IF
(
G11892=""юридична особа""
,
VLOO"&amp;"KUP(H11892,IMPORTRANGE(""https://docs.google.com/spreadsheets/d/14Bd19lYaqBhU8_DElYkX7l4wRkHqqCUFNJY4AfY3kHU/edit?usp=sharing  #gid=0"",""фіз особи new!relations_name_uo""),7,FALSE)
,
)
))"),"ГІЛЬМУЛЛІН Ленар Рафаїлович")</f>
        <v>ГІЛЬМУЛЛІН Ленар Рафаїлович</v>
      </c>
      <c r="J11891" s="7" t="s">
        <v>29</v>
      </c>
    </row>
    <row r="11892" spans="1:10" ht="13.2">
      <c r="A11892" s="7">
        <v>11891</v>
      </c>
      <c r="B11892" s="7">
        <v>1</v>
      </c>
      <c r="C11892" s="7" t="s">
        <v>10</v>
      </c>
      <c r="D11892" s="7">
        <v>17950</v>
      </c>
      <c r="E11892" s="7" t="s">
        <v>11</v>
      </c>
      <c r="F11892" s="8" t="str">
        <f ca="1">IFERROR(__xludf.DUMMYFUNCTION("IF
(
C11893=""фізична особа""
,
VLOOKUP(D11893,IMPORTRANGE(""https://docs.google.com/spreadsheets/d/14Bd19lYaqBhU8_DElYkX7l4wRkHqqCUFNJY4AfY3kHU/edit?usp=sharing  #gid=0"",""фіз особи new!relations_name""),6,FALSE)
,
(IF
(
C11893=""юридична особа""
,
VLOO"&amp;"KUP(D11893,IMPORTRANGE(""https://docs.google.com/spreadsheets/d/14Bd19lYaqBhU8_DElYkX7l4wRkHqqCUFNJY4AfY3kHU/edit?usp=sharing  #gid=0"",""фіз особи new!relations_name_uo""),7,FALSE)
,
)
))"),"ЗАКІРОВ Тімур Заріфович")</f>
        <v>ЗАКІРОВ Тімур Заріфович</v>
      </c>
      <c r="G11892" s="7" t="s">
        <v>10</v>
      </c>
      <c r="H11892" s="7">
        <v>17951</v>
      </c>
      <c r="I11892" s="8" t="str">
        <f ca="1">IFERROR(__xludf.DUMMYFUNCTION("IF
(
G11893=""фізична особа""
,
VLOOKUP(H11893,IMPORTRANGE(""https://docs.google.com/spreadsheets/d/14Bd19lYaqBhU8_DElYkX7l4wRkHqqCUFNJY4AfY3kHU/edit?usp=sharing  #gid=0"",""фіз особи new!relations_name""),6,FALSE)
,
(IF
(
G11893=""юридична особа""
,
VLOO"&amp;"KUP(H11893,IMPORTRANGE(""https://docs.google.com/spreadsheets/d/14Bd19lYaqBhU8_DElYkX7l4wRkHqqCUFNJY4AfY3kHU/edit?usp=sharing  #gid=0"",""фіз особи new!relations_name_uo""),7,FALSE)
,
)
))"),"ШЕЛАНОВ Артем Олексійович")</f>
        <v>ШЕЛАНОВ Артем Олексійович</v>
      </c>
      <c r="J11892" s="7" t="s">
        <v>11</v>
      </c>
    </row>
    <row r="11893" spans="1:10" ht="13.2">
      <c r="A11893" s="7">
        <v>11892</v>
      </c>
      <c r="B11893" s="7">
        <v>1</v>
      </c>
      <c r="C11893" s="7" t="s">
        <v>10</v>
      </c>
      <c r="D11893" s="7">
        <v>17959</v>
      </c>
      <c r="E11893" s="7" t="s">
        <v>11</v>
      </c>
      <c r="F11893" s="8" t="str">
        <f ca="1">IFERROR(__xludf.DUMMYFUNCTION("IF
(
C11894=""фізична особа""
,
VLOOKUP(D11894,IMPORTRANGE(""https://docs.google.com/spreadsheets/d/14Bd19lYaqBhU8_DElYkX7l4wRkHqqCUFNJY4AfY3kHU/edit?usp=sharing  #gid=0"",""фіз особи new!relations_name""),6,FALSE)
,
(IF
(
C11894=""юридична особа""
,
VLOO"&amp;"KUP(D11894,IMPORTRANGE(""https://docs.google.com/spreadsheets/d/14Bd19lYaqBhU8_DElYkX7l4wRkHqqCUFNJY4AfY3kHU/edit?usp=sharing  #gid=0"",""фіз особи new!relations_name_uo""),7,FALSE)
,
)
))"),"НІШКЕВИЧ Юрій Олександрович")</f>
        <v>НІШКЕВИЧ Юрій Олександрович</v>
      </c>
      <c r="G11893" s="7" t="s">
        <v>10</v>
      </c>
      <c r="H11893" s="7">
        <v>1986</v>
      </c>
      <c r="I11893" s="8" t="str">
        <f ca="1">IFERROR(__xludf.DUMMYFUNCTION("IF
(
G11894=""фізична особа""
,
VLOOKUP(H11894,IMPORTRANGE(""https://docs.google.com/spreadsheets/d/14Bd19lYaqBhU8_DElYkX7l4wRkHqqCUFNJY4AfY3kHU/edit?usp=sharing  #gid=0"",""фіз особи new!relations_name""),6,FALSE)
,
(IF
(
G11894=""юридична особа""
,
VLOO"&amp;"KUP(H11894,IMPORTRANGE(""https://docs.google.com/spreadsheets/d/14Bd19lYaqBhU8_DElYkX7l4wRkHqqCUFNJY4AfY3kHU/edit?usp=sharing  #gid=0"",""фіз особи new!relations_name_uo""),7,FALSE)
,
)
))"),"ГУЦЕРІЄВ Саїд Михайлович")</f>
        <v>ГУЦЕРІЄВ Саїд Михайлович</v>
      </c>
      <c r="J11893" s="7" t="s">
        <v>11</v>
      </c>
    </row>
    <row r="11894" spans="1:10" ht="13.2">
      <c r="A11894" s="7">
        <v>11893</v>
      </c>
      <c r="B11894" s="7">
        <v>1</v>
      </c>
      <c r="C11894" s="7" t="s">
        <v>10</v>
      </c>
      <c r="D11894" s="7">
        <v>17965</v>
      </c>
      <c r="E11894" s="7" t="s">
        <v>11</v>
      </c>
      <c r="F11894" s="8" t="str">
        <f ca="1">IFERROR(__xludf.DUMMYFUNCTION("IF
(
C11895=""фізична особа""
,
VLOOKUP(D11895,IMPORTRANGE(""https://docs.google.com/spreadsheets/d/14Bd19lYaqBhU8_DElYkX7l4wRkHqqCUFNJY4AfY3kHU/edit?usp=sharing  #gid=0"",""фіз особи new!relations_name""),6,FALSE)
,
(IF
(
C11895=""юридична особа""
,
VLOO"&amp;"KUP(D11895,IMPORTRANGE(""https://docs.google.com/spreadsheets/d/14Bd19lYaqBhU8_DElYkX7l4wRkHqqCUFNJY4AfY3kHU/edit?usp=sharing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G11894" s="7" t="s">
        <v>10</v>
      </c>
      <c r="H11894" s="7">
        <v>17966</v>
      </c>
      <c r="I11894" s="8" t="str">
        <f ca="1">IFERROR(__xludf.DUMMYFUNCTION("IF
(
G11895=""фізична особа""
,
VLOOKUP(H11895,IMPORTRANGE(""https://docs.google.com/spreadsheets/d/14Bd19lYaqBhU8_DElYkX7l4wRkHqqCUFNJY4AfY3kHU/edit?usp=sharing  #gid=0"",""фіз особи new!relations_name""),6,FALSE)
,
(IF
(
G11895=""юридична особа""
,
VLOO"&amp;"KUP(H11895,IMPORTRANGE(""https://docs.google.com/spreadsheets/d/14Bd19lYaqBhU8_DElYkX7l4wRkHqqCUFNJY4AfY3kHU/edit?usp=sharing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J11894" s="7" t="s">
        <v>11</v>
      </c>
    </row>
    <row r="11895" spans="1:10" ht="13.2">
      <c r="A11895" s="7">
        <v>11894</v>
      </c>
      <c r="B11895" s="7">
        <v>1</v>
      </c>
      <c r="C11895" s="7" t="s">
        <v>10</v>
      </c>
      <c r="D11895" s="7">
        <v>17965</v>
      </c>
      <c r="E11895" s="7" t="s">
        <v>11</v>
      </c>
      <c r="F11895" s="8" t="str">
        <f ca="1">IFERROR(__xludf.DUMMYFUNCTION("IF
(
C11896=""фізична особа""
,
VLOOKUP(D11896,IMPORTRANGE(""https://docs.google.com/spreadsheets/d/14Bd19lYaqBhU8_DElYkX7l4wRkHqqCUFNJY4AfY3kHU/edit?usp=sharing  #gid=0"",""фіз особи new!relations_name""),6,FALSE)
,
(IF
(
C11896=""юридична особа""
,
VLOO"&amp;"KUP(D11896,IMPORTRANGE(""https://docs.google.com/spreadsheets/d/14Bd19lYaqBhU8_DElYkX7l4wRkHqqCUFNJY4AfY3kHU/edit?usp=sharing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G11895" s="7" t="s">
        <v>10</v>
      </c>
      <c r="H11895" s="7">
        <v>17967</v>
      </c>
      <c r="I11895" s="8" t="str">
        <f ca="1">IFERROR(__xludf.DUMMYFUNCTION("IF
(
G11896=""фізична особа""
,
VLOOKUP(H11896,IMPORTRANGE(""https://docs.google.com/spreadsheets/d/14Bd19lYaqBhU8_DElYkX7l4wRkHqqCUFNJY4AfY3kHU/edit?usp=sharing  #gid=0"",""фіз особи new!relations_name""),6,FALSE)
,
(IF
(
G11896=""юридична особа""
,
VLOO"&amp;"KUP(H11896,IMPORTRANGE(""https://docs.google.com/spreadsheets/d/14Bd19lYaqBhU8_DElYkX7l4wRkHqqCUFNJY4AfY3kHU/edit?usp=sharing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J11895" s="7" t="s">
        <v>11</v>
      </c>
    </row>
    <row r="11896" spans="1:10" ht="13.2">
      <c r="A11896" s="7">
        <v>11895</v>
      </c>
      <c r="B11896" s="7">
        <v>1</v>
      </c>
      <c r="C11896" s="7" t="s">
        <v>10</v>
      </c>
      <c r="D11896" s="7">
        <v>17965</v>
      </c>
      <c r="E11896" s="7" t="s">
        <v>11</v>
      </c>
      <c r="F11896" s="8" t="str">
        <f ca="1">IFERROR(__xludf.DUMMYFUNCTION("IF
(
C11897=""фізична особа""
,
VLOOKUP(D11897,IMPORTRANGE(""https://docs.google.com/spreadsheets/d/14Bd19lYaqBhU8_DElYkX7l4wRkHqqCUFNJY4AfY3kHU/edit?usp=sharing  #gid=0"",""фіз особи new!relations_name""),6,FALSE)
,
(IF
(
C11897=""юридична особа""
,
VLOO"&amp;"KUP(D11897,IMPORTRANGE(""https://docs.google.com/spreadsheets/d/14Bd19lYaqBhU8_DElYkX7l4wRkHqqCUFNJY4AfY3kHU/edit?usp=sharing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G11896" s="7" t="s">
        <v>10</v>
      </c>
      <c r="H11896" s="7">
        <v>17968</v>
      </c>
      <c r="I11896" s="8" t="str">
        <f ca="1">IFERROR(__xludf.DUMMYFUNCTION("IF
(
G11897=""фізична особа""
,
VLOOKUP(H11897,IMPORTRANGE(""https://docs.google.com/spreadsheets/d/14Bd19lYaqBhU8_DElYkX7l4wRkHqqCUFNJY4AfY3kHU/edit?usp=sharing  #gid=0"",""фіз особи new!relations_name""),6,FALSE)
,
(IF
(
G11897=""юридична особа""
,
VLOO"&amp;"KUP(H11897,IMPORTRANGE(""https://docs.google.com/spreadsheets/d/14Bd19lYaqBhU8_DElYkX7l4wRkHqqCUFNJY4AfY3kHU/edit?usp=sharing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J11896" s="7" t="s">
        <v>11</v>
      </c>
    </row>
    <row r="11897" spans="1:10" ht="13.2">
      <c r="A11897" s="7">
        <v>11896</v>
      </c>
      <c r="B11897" s="7">
        <v>1</v>
      </c>
      <c r="C11897" s="7" t="s">
        <v>10</v>
      </c>
      <c r="D11897" s="7">
        <v>17965</v>
      </c>
      <c r="E11897" s="7" t="s">
        <v>11</v>
      </c>
      <c r="F11897" s="8" t="str">
        <f ca="1">IFERROR(__xludf.DUMMYFUNCTION("IF
(
C11898=""фізична особа""
,
VLOOKUP(D11898,IMPORTRANGE(""https://docs.google.com/spreadsheets/d/14Bd19lYaqBhU8_DElYkX7l4wRkHqqCUFNJY4AfY3kHU/edit?usp=sharing  #gid=0"",""фіз особи new!relations_name""),6,FALSE)
,
(IF
(
C11898=""юридична особа""
,
VLOO"&amp;"KUP(D11898,IMPORTRANGE(""https://docs.google.com/spreadsheets/d/14Bd19lYaqBhU8_DElYkX7l4wRkHqqCUFNJY4AfY3kHU/edit?usp=sharing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G11897" s="7" t="s">
        <v>10</v>
      </c>
      <c r="H11897" s="7">
        <v>17969</v>
      </c>
      <c r="I11897" s="8" t="str">
        <f ca="1">IFERROR(__xludf.DUMMYFUNCTION("IF
(
G11898=""фізична особа""
,
VLOOKUP(H11898,IMPORTRANGE(""https://docs.google.com/spreadsheets/d/14Bd19lYaqBhU8_DElYkX7l4wRkHqqCUFNJY4AfY3kHU/edit?usp=sharing  #gid=0"",""фіз особи new!relations_name""),6,FALSE)
,
(IF
(
G11898=""юридична особа""
,
VLOO"&amp;"KUP(H11898,IMPORTRANGE(""https://docs.google.com/spreadsheets/d/14Bd19lYaqBhU8_DElYkX7l4wRkHqqCUFNJY4AfY3kHU/edit?usp=sharing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J11897" s="7" t="s">
        <v>11</v>
      </c>
    </row>
    <row r="11898" spans="1:10" ht="13.2">
      <c r="A11898" s="7">
        <v>11897</v>
      </c>
      <c r="B11898" s="7">
        <v>1</v>
      </c>
      <c r="C11898" s="7" t="s">
        <v>10</v>
      </c>
      <c r="D11898" s="7">
        <v>17966</v>
      </c>
      <c r="E11898" s="7" t="s">
        <v>11</v>
      </c>
      <c r="F11898" s="8" t="str">
        <f ca="1">IFERROR(__xludf.DUMMYFUNCTION("IF
(
C11899=""фізична особа""
,
VLOOKUP(D11899,IMPORTRANGE(""https://docs.google.com/spreadsheets/d/14Bd19lYaqBhU8_DElYkX7l4wRkHqqCUFNJY4AfY3kHU/edit?usp=sharing  #gid=0"",""фіз особи new!relations_name""),6,FALSE)
,
(IF
(
C11899=""юридична особа""
,
VLOO"&amp;"KUP(D11899,IMPORTRANGE(""https://docs.google.com/spreadsheets/d/14Bd19lYaqBhU8_DElYkX7l4wRkHqqCUFNJY4AfY3kHU/edit?usp=sharing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G11898" s="7" t="s">
        <v>10</v>
      </c>
      <c r="H11898" s="7">
        <v>17965</v>
      </c>
      <c r="I11898" s="8" t="str">
        <f ca="1">IFERROR(__xludf.DUMMYFUNCTION("IF
(
G11899=""фізична особа""
,
VLOOKUP(H11899,IMPORTRANGE(""https://docs.google.com/spreadsheets/d/14Bd19lYaqBhU8_DElYkX7l4wRkHqqCUFNJY4AfY3kHU/edit?usp=sharing  #gid=0"",""фіз особи new!relations_name""),6,FALSE)
,
(IF
(
G11899=""юридична особа""
,
VLOO"&amp;"KUP(H11899,IMPORTRANGE(""https://docs.google.com/spreadsheets/d/14Bd19lYaqBhU8_DElYkX7l4wRkHqqCUFNJY4AfY3kHU/edit?usp=sharing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J11898" s="7" t="s">
        <v>11</v>
      </c>
    </row>
    <row r="11899" spans="1:10" ht="13.2">
      <c r="A11899" s="7">
        <v>11898</v>
      </c>
      <c r="B11899" s="7">
        <v>1</v>
      </c>
      <c r="C11899" s="7" t="s">
        <v>10</v>
      </c>
      <c r="D11899" s="7">
        <v>17966</v>
      </c>
      <c r="E11899" s="7" t="s">
        <v>11</v>
      </c>
      <c r="F11899" s="8" t="str">
        <f ca="1">IFERROR(__xludf.DUMMYFUNCTION("IF
(
C11900=""фізична особа""
,
VLOOKUP(D11900,IMPORTRANGE(""https://docs.google.com/spreadsheets/d/14Bd19lYaqBhU8_DElYkX7l4wRkHqqCUFNJY4AfY3kHU/edit?usp=sharing  #gid=0"",""фіз особи new!relations_name""),6,FALSE)
,
(IF
(
C11900=""юридична особа""
,
VLOO"&amp;"KUP(D11900,IMPORTRANGE(""https://docs.google.com/spreadsheets/d/14Bd19lYaqBhU8_DElYkX7l4wRkHqqCUFNJY4AfY3kHU/edit?usp=sharing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G11899" s="7" t="s">
        <v>10</v>
      </c>
      <c r="H11899" s="7">
        <v>17967</v>
      </c>
      <c r="I11899" s="8" t="str">
        <f ca="1">IFERROR(__xludf.DUMMYFUNCTION("IF
(
G11900=""фізична особа""
,
VLOOKUP(H11900,IMPORTRANGE(""https://docs.google.com/spreadsheets/d/14Bd19lYaqBhU8_DElYkX7l4wRkHqqCUFNJY4AfY3kHU/edit?usp=sharing  #gid=0"",""фіз особи new!relations_name""),6,FALSE)
,
(IF
(
G11900=""юридична особа""
,
VLOO"&amp;"KUP(H11900,IMPORTRANGE(""https://docs.google.com/spreadsheets/d/14Bd19lYaqBhU8_DElYkX7l4wRkHqqCUFNJY4AfY3kHU/edit?usp=sharing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J11899" s="7" t="s">
        <v>11</v>
      </c>
    </row>
    <row r="11900" spans="1:10" ht="13.2">
      <c r="A11900" s="7">
        <v>11899</v>
      </c>
      <c r="B11900" s="7">
        <v>1</v>
      </c>
      <c r="C11900" s="7" t="s">
        <v>10</v>
      </c>
      <c r="D11900" s="7">
        <v>17966</v>
      </c>
      <c r="E11900" s="7" t="s">
        <v>11</v>
      </c>
      <c r="F11900" s="8" t="str">
        <f ca="1">IFERROR(__xludf.DUMMYFUNCTION("IF
(
C11901=""фізична особа""
,
VLOOKUP(D11901,IMPORTRANGE(""https://docs.google.com/spreadsheets/d/14Bd19lYaqBhU8_DElYkX7l4wRkHqqCUFNJY4AfY3kHU/edit?usp=sharing  #gid=0"",""фіз особи new!relations_name""),6,FALSE)
,
(IF
(
C11901=""юридична особа""
,
VLOO"&amp;"KUP(D11901,IMPORTRANGE(""https://docs.google.com/spreadsheets/d/14Bd19lYaqBhU8_DElYkX7l4wRkHqqCUFNJY4AfY3kHU/edit?usp=sharing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G11900" s="7" t="s">
        <v>10</v>
      </c>
      <c r="H11900" s="7">
        <v>17968</v>
      </c>
      <c r="I11900" s="8" t="str">
        <f ca="1">IFERROR(__xludf.DUMMYFUNCTION("IF
(
G11901=""фізична особа""
,
VLOOKUP(H11901,IMPORTRANGE(""https://docs.google.com/spreadsheets/d/14Bd19lYaqBhU8_DElYkX7l4wRkHqqCUFNJY4AfY3kHU/edit?usp=sharing  #gid=0"",""фіз особи new!relations_name""),6,FALSE)
,
(IF
(
G11901=""юридична особа""
,
VLOO"&amp;"KUP(H11901,IMPORTRANGE(""https://docs.google.com/spreadsheets/d/14Bd19lYaqBhU8_DElYkX7l4wRkHqqCUFNJY4AfY3kHU/edit?usp=sharing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J11900" s="7" t="s">
        <v>11</v>
      </c>
    </row>
    <row r="11901" spans="1:10" ht="13.2">
      <c r="A11901" s="7">
        <v>11900</v>
      </c>
      <c r="B11901" s="7">
        <v>1</v>
      </c>
      <c r="C11901" s="7" t="s">
        <v>10</v>
      </c>
      <c r="D11901" s="7">
        <v>17966</v>
      </c>
      <c r="E11901" s="7" t="s">
        <v>11</v>
      </c>
      <c r="F11901" s="8" t="str">
        <f ca="1">IFERROR(__xludf.DUMMYFUNCTION("IF
(
C11902=""фізична особа""
,
VLOOKUP(D11902,IMPORTRANGE(""https://docs.google.com/spreadsheets/d/14Bd19lYaqBhU8_DElYkX7l4wRkHqqCUFNJY4AfY3kHU/edit?usp=sharing  #gid=0"",""фіз особи new!relations_name""),6,FALSE)
,
(IF
(
C11902=""юридична особа""
,
VLOO"&amp;"KUP(D11902,IMPORTRANGE(""https://docs.google.com/spreadsheets/d/14Bd19lYaqBhU8_DElYkX7l4wRkHqqCUFNJY4AfY3kHU/edit?usp=sharing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G11901" s="7" t="s">
        <v>10</v>
      </c>
      <c r="H11901" s="7">
        <v>17969</v>
      </c>
      <c r="I11901" s="8" t="str">
        <f ca="1">IFERROR(__xludf.DUMMYFUNCTION("IF
(
G11902=""фізична особа""
,
VLOOKUP(H11902,IMPORTRANGE(""https://docs.google.com/spreadsheets/d/14Bd19lYaqBhU8_DElYkX7l4wRkHqqCUFNJY4AfY3kHU/edit?usp=sharing  #gid=0"",""фіз особи new!relations_name""),6,FALSE)
,
(IF
(
G11902=""юридична особа""
,
VLOO"&amp;"KUP(H11902,IMPORTRANGE(""https://docs.google.com/spreadsheets/d/14Bd19lYaqBhU8_DElYkX7l4wRkHqqCUFNJY4AfY3kHU/edit?usp=sharing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J11901" s="7" t="s">
        <v>11</v>
      </c>
    </row>
    <row r="11902" spans="1:10" ht="13.2">
      <c r="A11902" s="7">
        <v>11901</v>
      </c>
      <c r="B11902" s="7">
        <v>1</v>
      </c>
      <c r="C11902" s="7" t="s">
        <v>10</v>
      </c>
      <c r="D11902" s="7">
        <v>17967</v>
      </c>
      <c r="E11902" s="7" t="s">
        <v>11</v>
      </c>
      <c r="F11902" s="8" t="str">
        <f ca="1">IFERROR(__xludf.DUMMYFUNCTION("IF
(
C11903=""фізична особа""
,
VLOOKUP(D11903,IMPORTRANGE(""https://docs.google.com/spreadsheets/d/14Bd19lYaqBhU8_DElYkX7l4wRkHqqCUFNJY4AfY3kHU/edit?usp=sharing  #gid=0"",""фіз особи new!relations_name""),6,FALSE)
,
(IF
(
C11903=""юридична особа""
,
VLOO"&amp;"KUP(D11903,IMPORTRANGE(""https://docs.google.com/spreadsheets/d/14Bd19lYaqBhU8_DElYkX7l4wRkHqqCUFNJY4AfY3kHU/edit?usp=sharing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G11902" s="7" t="s">
        <v>10</v>
      </c>
      <c r="H11902" s="7">
        <v>17965</v>
      </c>
      <c r="I11902" s="8" t="str">
        <f ca="1">IFERROR(__xludf.DUMMYFUNCTION("IF
(
G11903=""фізична особа""
,
VLOOKUP(H11903,IMPORTRANGE(""https://docs.google.com/spreadsheets/d/14Bd19lYaqBhU8_DElYkX7l4wRkHqqCUFNJY4AfY3kHU/edit?usp=sharing  #gid=0"",""фіз особи new!relations_name""),6,FALSE)
,
(IF
(
G11903=""юридична особа""
,
VLOO"&amp;"KUP(H11903,IMPORTRANGE(""https://docs.google.com/spreadsheets/d/14Bd19lYaqBhU8_DElYkX7l4wRkHqqCUFNJY4AfY3kHU/edit?usp=sharing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J11902" s="7" t="s">
        <v>11</v>
      </c>
    </row>
    <row r="11903" spans="1:10" ht="13.2">
      <c r="A11903" s="7">
        <v>11902</v>
      </c>
      <c r="B11903" s="7">
        <v>1</v>
      </c>
      <c r="C11903" s="7" t="s">
        <v>10</v>
      </c>
      <c r="D11903" s="7">
        <v>17967</v>
      </c>
      <c r="E11903" s="7" t="s">
        <v>11</v>
      </c>
      <c r="F11903" s="8" t="str">
        <f ca="1">IFERROR(__xludf.DUMMYFUNCTION("IF
(
C11904=""фізична особа""
,
VLOOKUP(D11904,IMPORTRANGE(""https://docs.google.com/spreadsheets/d/14Bd19lYaqBhU8_DElYkX7l4wRkHqqCUFNJY4AfY3kHU/edit?usp=sharing  #gid=0"",""фіз особи new!relations_name""),6,FALSE)
,
(IF
(
C11904=""юридична особа""
,
VLOO"&amp;"KUP(D11904,IMPORTRANGE(""https://docs.google.com/spreadsheets/d/14Bd19lYaqBhU8_DElYkX7l4wRkHqqCUFNJY4AfY3kHU/edit?usp=sharing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G11903" s="7" t="s">
        <v>10</v>
      </c>
      <c r="H11903" s="7">
        <v>17966</v>
      </c>
      <c r="I11903" s="8" t="str">
        <f ca="1">IFERROR(__xludf.DUMMYFUNCTION("IF
(
G11904=""фізична особа""
,
VLOOKUP(H11904,IMPORTRANGE(""https://docs.google.com/spreadsheets/d/14Bd19lYaqBhU8_DElYkX7l4wRkHqqCUFNJY4AfY3kHU/edit?usp=sharing  #gid=0"",""фіз особи new!relations_name""),6,FALSE)
,
(IF
(
G11904=""юридична особа""
,
VLOO"&amp;"KUP(H11904,IMPORTRANGE(""https://docs.google.com/spreadsheets/d/14Bd19lYaqBhU8_DElYkX7l4wRkHqqCUFNJY4AfY3kHU/edit?usp=sharing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J11903" s="7" t="s">
        <v>11</v>
      </c>
    </row>
    <row r="11904" spans="1:10" ht="13.2">
      <c r="A11904" s="7">
        <v>11903</v>
      </c>
      <c r="B11904" s="7">
        <v>1</v>
      </c>
      <c r="C11904" s="7" t="s">
        <v>10</v>
      </c>
      <c r="D11904" s="7">
        <v>17967</v>
      </c>
      <c r="E11904" s="7" t="s">
        <v>11</v>
      </c>
      <c r="F11904" s="8" t="str">
        <f ca="1">IFERROR(__xludf.DUMMYFUNCTION("IF
(
C11905=""фізична особа""
,
VLOOKUP(D11905,IMPORTRANGE(""https://docs.google.com/spreadsheets/d/14Bd19lYaqBhU8_DElYkX7l4wRkHqqCUFNJY4AfY3kHU/edit?usp=sharing  #gid=0"",""фіз особи new!relations_name""),6,FALSE)
,
(IF
(
C11905=""юридична особа""
,
VLOO"&amp;"KUP(D11905,IMPORTRANGE(""https://docs.google.com/spreadsheets/d/14Bd19lYaqBhU8_DElYkX7l4wRkHqqCUFNJY4AfY3kHU/edit?usp=sharing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G11904" s="7" t="s">
        <v>10</v>
      </c>
      <c r="H11904" s="7">
        <v>17968</v>
      </c>
      <c r="I11904" s="8" t="str">
        <f ca="1">IFERROR(__xludf.DUMMYFUNCTION("IF
(
G11905=""фізична особа""
,
VLOOKUP(H11905,IMPORTRANGE(""https://docs.google.com/spreadsheets/d/14Bd19lYaqBhU8_DElYkX7l4wRkHqqCUFNJY4AfY3kHU/edit?usp=sharing  #gid=0"",""фіз особи new!relations_name""),6,FALSE)
,
(IF
(
G11905=""юридична особа""
,
VLOO"&amp;"KUP(H11905,IMPORTRANGE(""https://docs.google.com/spreadsheets/d/14Bd19lYaqBhU8_DElYkX7l4wRkHqqCUFNJY4AfY3kHU/edit?usp=sharing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J11904" s="7" t="s">
        <v>11</v>
      </c>
    </row>
    <row r="11905" spans="1:10" ht="13.2">
      <c r="A11905" s="7">
        <v>11904</v>
      </c>
      <c r="B11905" s="7">
        <v>1</v>
      </c>
      <c r="C11905" s="7" t="s">
        <v>10</v>
      </c>
      <c r="D11905" s="7">
        <v>17967</v>
      </c>
      <c r="E11905" s="7" t="s">
        <v>11</v>
      </c>
      <c r="F11905" s="8" t="str">
        <f ca="1">IFERROR(__xludf.DUMMYFUNCTION("IF
(
C11906=""фізична особа""
,
VLOOKUP(D11906,IMPORTRANGE(""https://docs.google.com/spreadsheets/d/14Bd19lYaqBhU8_DElYkX7l4wRkHqqCUFNJY4AfY3kHU/edit?usp=sharing  #gid=0"",""фіз особи new!relations_name""),6,FALSE)
,
(IF
(
C11906=""юридична особа""
,
VLOO"&amp;"KUP(D11906,IMPORTRANGE(""https://docs.google.com/spreadsheets/d/14Bd19lYaqBhU8_DElYkX7l4wRkHqqCUFNJY4AfY3kHU/edit?usp=sharing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G11905" s="7" t="s">
        <v>10</v>
      </c>
      <c r="H11905" s="7">
        <v>17969</v>
      </c>
      <c r="I11905" s="8" t="str">
        <f ca="1">IFERROR(__xludf.DUMMYFUNCTION("IF
(
G11906=""фізична особа""
,
VLOOKUP(H11906,IMPORTRANGE(""https://docs.google.com/spreadsheets/d/14Bd19lYaqBhU8_DElYkX7l4wRkHqqCUFNJY4AfY3kHU/edit?usp=sharing  #gid=0"",""фіз особи new!relations_name""),6,FALSE)
,
(IF
(
G11906=""юридична особа""
,
VLOO"&amp;"KUP(H11906,IMPORTRANGE(""https://docs.google.com/spreadsheets/d/14Bd19lYaqBhU8_DElYkX7l4wRkHqqCUFNJY4AfY3kHU/edit?usp=sharing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J11905" s="7" t="s">
        <v>11</v>
      </c>
    </row>
    <row r="11906" spans="1:10" ht="13.2">
      <c r="A11906" s="7">
        <v>11905</v>
      </c>
      <c r="B11906" s="7">
        <v>1</v>
      </c>
      <c r="C11906" s="7" t="s">
        <v>10</v>
      </c>
      <c r="D11906" s="7">
        <v>17968</v>
      </c>
      <c r="E11906" s="7" t="s">
        <v>11</v>
      </c>
      <c r="F11906" s="8" t="str">
        <f ca="1">IFERROR(__xludf.DUMMYFUNCTION("IF
(
C11907=""фізична особа""
,
VLOOKUP(D11907,IMPORTRANGE(""https://docs.google.com/spreadsheets/d/14Bd19lYaqBhU8_DElYkX7l4wRkHqqCUFNJY4AfY3kHU/edit?usp=sharing  #gid=0"",""фіз особи new!relations_name""),6,FALSE)
,
(IF
(
C11907=""юридична особа""
,
VLOO"&amp;"KUP(D11907,IMPORTRANGE(""https://docs.google.com/spreadsheets/d/14Bd19lYaqBhU8_DElYkX7l4wRkHqqCUFNJY4AfY3kHU/edit?usp=sharing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G11906" s="7" t="s">
        <v>10</v>
      </c>
      <c r="H11906" s="7">
        <v>17965</v>
      </c>
      <c r="I11906" s="8" t="str">
        <f ca="1">IFERROR(__xludf.DUMMYFUNCTION("IF
(
G11907=""фізична особа""
,
VLOOKUP(H11907,IMPORTRANGE(""https://docs.google.com/spreadsheets/d/14Bd19lYaqBhU8_DElYkX7l4wRkHqqCUFNJY4AfY3kHU/edit?usp=sharing  #gid=0"",""фіз особи new!relations_name""),6,FALSE)
,
(IF
(
G11907=""юридична особа""
,
VLOO"&amp;"KUP(H11907,IMPORTRANGE(""https://docs.google.com/spreadsheets/d/14Bd19lYaqBhU8_DElYkX7l4wRkHqqCUFNJY4AfY3kHU/edit?usp=sharing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J11906" s="7" t="s">
        <v>11</v>
      </c>
    </row>
    <row r="11907" spans="1:10" ht="13.2">
      <c r="A11907" s="7">
        <v>11906</v>
      </c>
      <c r="B11907" s="7">
        <v>1</v>
      </c>
      <c r="C11907" s="7" t="s">
        <v>10</v>
      </c>
      <c r="D11907" s="7">
        <v>17968</v>
      </c>
      <c r="E11907" s="7" t="s">
        <v>11</v>
      </c>
      <c r="F11907" s="8" t="str">
        <f ca="1">IFERROR(__xludf.DUMMYFUNCTION("IF
(
C11908=""фізична особа""
,
VLOOKUP(D11908,IMPORTRANGE(""https://docs.google.com/spreadsheets/d/14Bd19lYaqBhU8_DElYkX7l4wRkHqqCUFNJY4AfY3kHU/edit?usp=sharing  #gid=0"",""фіз особи new!relations_name""),6,FALSE)
,
(IF
(
C11908=""юридична особа""
,
VLOO"&amp;"KUP(D11908,IMPORTRANGE(""https://docs.google.com/spreadsheets/d/14Bd19lYaqBhU8_DElYkX7l4wRkHqqCUFNJY4AfY3kHU/edit?usp=sharing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G11907" s="7" t="s">
        <v>10</v>
      </c>
      <c r="H11907" s="7">
        <v>17966</v>
      </c>
      <c r="I11907" s="8" t="str">
        <f ca="1">IFERROR(__xludf.DUMMYFUNCTION("IF
(
G11908=""фізична особа""
,
VLOOKUP(H11908,IMPORTRANGE(""https://docs.google.com/spreadsheets/d/14Bd19lYaqBhU8_DElYkX7l4wRkHqqCUFNJY4AfY3kHU/edit?usp=sharing  #gid=0"",""фіз особи new!relations_name""),6,FALSE)
,
(IF
(
G11908=""юридична особа""
,
VLOO"&amp;"KUP(H11908,IMPORTRANGE(""https://docs.google.com/spreadsheets/d/14Bd19lYaqBhU8_DElYkX7l4wRkHqqCUFNJY4AfY3kHU/edit?usp=sharing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J11907" s="7" t="s">
        <v>11</v>
      </c>
    </row>
    <row r="11908" spans="1:10" ht="13.2">
      <c r="A11908" s="7">
        <v>11907</v>
      </c>
      <c r="B11908" s="7">
        <v>1</v>
      </c>
      <c r="C11908" s="7" t="s">
        <v>10</v>
      </c>
      <c r="D11908" s="7">
        <v>17968</v>
      </c>
      <c r="E11908" s="7" t="s">
        <v>11</v>
      </c>
      <c r="F11908" s="8" t="str">
        <f ca="1">IFERROR(__xludf.DUMMYFUNCTION("IF
(
C11909=""фізична особа""
,
VLOOKUP(D11909,IMPORTRANGE(""https://docs.google.com/spreadsheets/d/14Bd19lYaqBhU8_DElYkX7l4wRkHqqCUFNJY4AfY3kHU/edit?usp=sharing  #gid=0"",""фіз особи new!relations_name""),6,FALSE)
,
(IF
(
C11909=""юридична особа""
,
VLOO"&amp;"KUP(D11909,IMPORTRANGE(""https://docs.google.com/spreadsheets/d/14Bd19lYaqBhU8_DElYkX7l4wRkHqqCUFNJY4AfY3kHU/edit?usp=sharing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G11908" s="7" t="s">
        <v>10</v>
      </c>
      <c r="H11908" s="7">
        <v>17967</v>
      </c>
      <c r="I11908" s="8" t="str">
        <f ca="1">IFERROR(__xludf.DUMMYFUNCTION("IF
(
G11909=""фізична особа""
,
VLOOKUP(H11909,IMPORTRANGE(""https://docs.google.com/spreadsheets/d/14Bd19lYaqBhU8_DElYkX7l4wRkHqqCUFNJY4AfY3kHU/edit?usp=sharing  #gid=0"",""фіз особи new!relations_name""),6,FALSE)
,
(IF
(
G11909=""юридична особа""
,
VLOO"&amp;"KUP(H11909,IMPORTRANGE(""https://docs.google.com/spreadsheets/d/14Bd19lYaqBhU8_DElYkX7l4wRkHqqCUFNJY4AfY3kHU/edit?usp=sharing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J11908" s="7" t="s">
        <v>11</v>
      </c>
    </row>
    <row r="11909" spans="1:10" ht="13.2">
      <c r="A11909" s="7">
        <v>11908</v>
      </c>
      <c r="B11909" s="7">
        <v>1</v>
      </c>
      <c r="C11909" s="7" t="s">
        <v>10</v>
      </c>
      <c r="D11909" s="7">
        <v>17968</v>
      </c>
      <c r="E11909" s="7" t="s">
        <v>11</v>
      </c>
      <c r="F11909" s="8" t="str">
        <f ca="1">IFERROR(__xludf.DUMMYFUNCTION("IF
(
C11910=""фізична особа""
,
VLOOKUP(D11910,IMPORTRANGE(""https://docs.google.com/spreadsheets/d/14Bd19lYaqBhU8_DElYkX7l4wRkHqqCUFNJY4AfY3kHU/edit?usp=sharing  #gid=0"",""фіз особи new!relations_name""),6,FALSE)
,
(IF
(
C11910=""юридична особа""
,
VLOO"&amp;"KUP(D11910,IMPORTRANGE(""https://docs.google.com/spreadsheets/d/14Bd19lYaqBhU8_DElYkX7l4wRkHqqCUFNJY4AfY3kHU/edit?usp=sharing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G11909" s="7" t="s">
        <v>10</v>
      </c>
      <c r="H11909" s="7">
        <v>17969</v>
      </c>
      <c r="I11909" s="8" t="str">
        <f ca="1">IFERROR(__xludf.DUMMYFUNCTION("IF
(
G11910=""фізична особа""
,
VLOOKUP(H11910,IMPORTRANGE(""https://docs.google.com/spreadsheets/d/14Bd19lYaqBhU8_DElYkX7l4wRkHqqCUFNJY4AfY3kHU/edit?usp=sharing  #gid=0"",""фіз особи new!relations_name""),6,FALSE)
,
(IF
(
G11910=""юридична особа""
,
VLOO"&amp;"KUP(H11910,IMPORTRANGE(""https://docs.google.com/spreadsheets/d/14Bd19lYaqBhU8_DElYkX7l4wRkHqqCUFNJY4AfY3kHU/edit?usp=sharing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J11909" s="7" t="s">
        <v>11</v>
      </c>
    </row>
    <row r="11910" spans="1:10" ht="13.2">
      <c r="A11910" s="7">
        <v>11909</v>
      </c>
      <c r="B11910" s="7">
        <v>1</v>
      </c>
      <c r="C11910" s="7" t="s">
        <v>10</v>
      </c>
      <c r="D11910" s="7">
        <v>17969</v>
      </c>
      <c r="E11910" s="7" t="s">
        <v>11</v>
      </c>
      <c r="F11910" s="8" t="str">
        <f ca="1">IFERROR(__xludf.DUMMYFUNCTION("IF
(
C11911=""фізична особа""
,
VLOOKUP(D11911,IMPORTRANGE(""https://docs.google.com/spreadsheets/d/14Bd19lYaqBhU8_DElYkX7l4wRkHqqCUFNJY4AfY3kHU/edit?usp=sharing  #gid=0"",""фіз особи new!relations_name""),6,FALSE)
,
(IF
(
C11911=""юридична особа""
,
VLOO"&amp;"KUP(D11911,IMPORTRANGE(""https://docs.google.com/spreadsheets/d/14Bd19lYaqBhU8_DElYkX7l4wRkHqqCUFNJY4AfY3kHU/edit?usp=sharing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G11910" s="7" t="s">
        <v>10</v>
      </c>
      <c r="H11910" s="7">
        <v>17965</v>
      </c>
      <c r="I11910" s="8" t="str">
        <f ca="1">IFERROR(__xludf.DUMMYFUNCTION("IF
(
G11911=""фізична особа""
,
VLOOKUP(H11911,IMPORTRANGE(""https://docs.google.com/spreadsheets/d/14Bd19lYaqBhU8_DElYkX7l4wRkHqqCUFNJY4AfY3kHU/edit?usp=sharing  #gid=0"",""фіз особи new!relations_name""),6,FALSE)
,
(IF
(
G11911=""юридична особа""
,
VLOO"&amp;"KUP(H11911,IMPORTRANGE(""https://docs.google.com/spreadsheets/d/14Bd19lYaqBhU8_DElYkX7l4wRkHqqCUFNJY4AfY3kHU/edit?usp=sharing  #gid=0"",""фіз особи new!relations_name_uo""),7,FALSE)
,
)
))"),"ПРОНІН Артем Сергійович")</f>
        <v>ПРОНІН Артем Сергійович</v>
      </c>
      <c r="J11910" s="7" t="s">
        <v>11</v>
      </c>
    </row>
    <row r="11911" spans="1:10" ht="13.2">
      <c r="A11911" s="7">
        <v>11910</v>
      </c>
      <c r="B11911" s="7">
        <v>1</v>
      </c>
      <c r="C11911" s="7" t="s">
        <v>10</v>
      </c>
      <c r="D11911" s="7">
        <v>17969</v>
      </c>
      <c r="E11911" s="7" t="s">
        <v>11</v>
      </c>
      <c r="F11911" s="8" t="str">
        <f ca="1">IFERROR(__xludf.DUMMYFUNCTION("IF
(
C11912=""фізична особа""
,
VLOOKUP(D11912,IMPORTRANGE(""https://docs.google.com/spreadsheets/d/14Bd19lYaqBhU8_DElYkX7l4wRkHqqCUFNJY4AfY3kHU/edit?usp=sharing  #gid=0"",""фіз особи new!relations_name""),6,FALSE)
,
(IF
(
C11912=""юридична особа""
,
VLOO"&amp;"KUP(D11912,IMPORTRANGE(""https://docs.google.com/spreadsheets/d/14Bd19lYaqBhU8_DElYkX7l4wRkHqqCUFNJY4AfY3kHU/edit?usp=sharing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G11911" s="7" t="s">
        <v>10</v>
      </c>
      <c r="H11911" s="7">
        <v>17966</v>
      </c>
      <c r="I11911" s="8" t="str">
        <f ca="1">IFERROR(__xludf.DUMMYFUNCTION("IF
(
G11912=""фізична особа""
,
VLOOKUP(H11912,IMPORTRANGE(""https://docs.google.com/spreadsheets/d/14Bd19lYaqBhU8_DElYkX7l4wRkHqqCUFNJY4AfY3kHU/edit?usp=sharing  #gid=0"",""фіз особи new!relations_name""),6,FALSE)
,
(IF
(
G11912=""юридична особа""
,
VLOO"&amp;"KUP(H11912,IMPORTRANGE(""https://docs.google.com/spreadsheets/d/14Bd19lYaqBhU8_DElYkX7l4wRkHqqCUFNJY4AfY3kHU/edit?usp=sharing  #gid=0"",""фіз особи new!relations_name_uo""),7,FALSE)
,
)
))"),"ЧАБАНОВ Єгор Юрійович")</f>
        <v>ЧАБАНОВ Єгор Юрійович</v>
      </c>
      <c r="J11911" s="7" t="s">
        <v>11</v>
      </c>
    </row>
    <row r="11912" spans="1:10" ht="13.2">
      <c r="A11912" s="7">
        <v>11911</v>
      </c>
      <c r="B11912" s="7">
        <v>1</v>
      </c>
      <c r="C11912" s="7" t="s">
        <v>10</v>
      </c>
      <c r="D11912" s="7">
        <v>17969</v>
      </c>
      <c r="E11912" s="7" t="s">
        <v>11</v>
      </c>
      <c r="F11912" s="8" t="str">
        <f ca="1">IFERROR(__xludf.DUMMYFUNCTION("IF
(
C11913=""фізична особа""
,
VLOOKUP(D11913,IMPORTRANGE(""https://docs.google.com/spreadsheets/d/14Bd19lYaqBhU8_DElYkX7l4wRkHqqCUFNJY4AfY3kHU/edit?usp=sharing  #gid=0"",""фіз особи new!relations_name""),6,FALSE)
,
(IF
(
C11913=""юридична особа""
,
VLOO"&amp;"KUP(D11913,IMPORTRANGE(""https://docs.google.com/spreadsheets/d/14Bd19lYaqBhU8_DElYkX7l4wRkHqqCUFNJY4AfY3kHU/edit?usp=sharing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G11912" s="7" t="s">
        <v>10</v>
      </c>
      <c r="H11912" s="7">
        <v>17967</v>
      </c>
      <c r="I11912" s="8" t="str">
        <f ca="1">IFERROR(__xludf.DUMMYFUNCTION("IF
(
G11913=""фізична особа""
,
VLOOKUP(H11913,IMPORTRANGE(""https://docs.google.com/spreadsheets/d/14Bd19lYaqBhU8_DElYkX7l4wRkHqqCUFNJY4AfY3kHU/edit?usp=sharing  #gid=0"",""фіз особи new!relations_name""),6,FALSE)
,
(IF
(
G11913=""юридична особа""
,
VLOO"&amp;"KUP(H11913,IMPORTRANGE(""https://docs.google.com/spreadsheets/d/14Bd19lYaqBhU8_DElYkX7l4wRkHqqCUFNJY4AfY3kHU/edit?usp=sharing  #gid=0"",""фіз особи new!relations_name_uo""),7,FALSE)
,
)
))"),"ФУРСОВА Оксана Вікторівна")</f>
        <v>ФУРСОВА Оксана Вікторівна</v>
      </c>
      <c r="J11912" s="7" t="s">
        <v>11</v>
      </c>
    </row>
    <row r="11913" spans="1:10" ht="13.2">
      <c r="A11913" s="7">
        <v>11912</v>
      </c>
      <c r="B11913" s="7">
        <v>1</v>
      </c>
      <c r="C11913" s="7" t="s">
        <v>10</v>
      </c>
      <c r="D11913" s="7">
        <v>17969</v>
      </c>
      <c r="E11913" s="7" t="s">
        <v>11</v>
      </c>
      <c r="F11913" s="8" t="str">
        <f ca="1">IFERROR(__xludf.DUMMYFUNCTION("IF
(
C11914=""фізична особа""
,
VLOOKUP(D11914,IMPORTRANGE(""https://docs.google.com/spreadsheets/d/14Bd19lYaqBhU8_DElYkX7l4wRkHqqCUFNJY4AfY3kHU/edit?usp=sharing  #gid=0"",""фіз особи new!relations_name""),6,FALSE)
,
(IF
(
C11914=""юридична особа""
,
VLOO"&amp;"KUP(D11914,IMPORTRANGE(""https://docs.google.com/spreadsheets/d/14Bd19lYaqBhU8_DElYkX7l4wRkHqqCUFNJY4AfY3kHU/edit?usp=sharing  #gid=0"",""фіз особи new!relations_name_uo""),7,FALSE)
,
)
))"),"РУДЯКОВ Максим Вадимович")</f>
        <v>РУДЯКОВ Максим Вадимович</v>
      </c>
      <c r="G11913" s="7" t="s">
        <v>10</v>
      </c>
      <c r="H11913" s="7">
        <v>17968</v>
      </c>
      <c r="I11913" s="8" t="str">
        <f ca="1">IFERROR(__xludf.DUMMYFUNCTION("IF
(
G11914=""фізична особа""
,
VLOOKUP(H11914,IMPORTRANGE(""https://docs.google.com/spreadsheets/d/14Bd19lYaqBhU8_DElYkX7l4wRkHqqCUFNJY4AfY3kHU/edit?usp=sharing  #gid=0"",""фіз особи new!relations_name""),6,FALSE)
,
(IF
(
G11914=""юридична особа""
,
VLOO"&amp;"KUP(H11914,IMPORTRANGE(""https://docs.google.com/spreadsheets/d/14Bd19lYaqBhU8_DElYkX7l4wRkHqqCUFNJY4AfY3kHU/edit?usp=sharing  #gid=0"",""фіз особи new!relations_name_uo""),7,FALSE)
,
)
))"),"ОГАРКОВ Олег Олександрович")</f>
        <v>ОГАРКОВ Олег Олександрович</v>
      </c>
      <c r="J11913" s="7" t="s">
        <v>11</v>
      </c>
    </row>
    <row r="11914" spans="1:10" ht="13.2">
      <c r="A11914" s="7">
        <v>11913</v>
      </c>
      <c r="B11914" s="7">
        <v>1</v>
      </c>
      <c r="C11914" s="7" t="s">
        <v>10</v>
      </c>
      <c r="D11914" s="7">
        <v>17970</v>
      </c>
      <c r="E11914" s="7" t="s">
        <v>11</v>
      </c>
      <c r="F11914" s="8" t="str">
        <f ca="1">IFERROR(__xludf.DUMMYFUNCTION("IF
(
C11915=""фізична особа""
,
VLOOKUP(D11915,IMPORTRANGE(""https://docs.google.com/spreadsheets/d/14Bd19lYaqBhU8_DElYkX7l4wRkHqqCUFNJY4AfY3kHU/edit?usp=sharing  #gid=0"",""фіз особи new!relations_name""),6,FALSE)
,
(IF
(
C11915=""юридична особа""
,
VLOO"&amp;"KUP(D11915,IMPORTRANGE(""https://docs.google.com/spreadsheets/d/14Bd19lYaqBhU8_DElYkX7l4wRkHqqCUFNJY4AfY3kHU/edit?usp=sharing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G11914" s="7" t="s">
        <v>10</v>
      </c>
      <c r="H11914" s="7">
        <v>17971</v>
      </c>
      <c r="I11914" s="8" t="str">
        <f ca="1">IFERROR(__xludf.DUMMYFUNCTION("IF
(
G11915=""фізична особа""
,
VLOOKUP(H11915,IMPORTRANGE(""https://docs.google.com/spreadsheets/d/14Bd19lYaqBhU8_DElYkX7l4wRkHqqCUFNJY4AfY3kHU/edit?usp=sharing  #gid=0"",""фіз особи new!relations_name""),6,FALSE)
,
(IF
(
G11915=""юридична особа""
,
VLOO"&amp;"KUP(H11915,IMPORTRANGE(""https://docs.google.com/spreadsheets/d/14Bd19lYaqBhU8_DElYkX7l4wRkHqqCUFNJY4AfY3kHU/edit?usp=sharing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J11914" s="7" t="s">
        <v>11</v>
      </c>
    </row>
    <row r="11915" spans="1:10" ht="13.2">
      <c r="A11915" s="7">
        <v>11914</v>
      </c>
      <c r="B11915" s="7">
        <v>1</v>
      </c>
      <c r="C11915" s="7" t="s">
        <v>10</v>
      </c>
      <c r="D11915" s="7">
        <v>17970</v>
      </c>
      <c r="E11915" s="7" t="s">
        <v>11</v>
      </c>
      <c r="F11915" s="8" t="str">
        <f ca="1">IFERROR(__xludf.DUMMYFUNCTION("IF
(
C11916=""фізична особа""
,
VLOOKUP(D11916,IMPORTRANGE(""https://docs.google.com/spreadsheets/d/14Bd19lYaqBhU8_DElYkX7l4wRkHqqCUFNJY4AfY3kHU/edit?usp=sharing  #gid=0"",""фіз особи new!relations_name""),6,FALSE)
,
(IF
(
C11916=""юридична особа""
,
VLOO"&amp;"KUP(D11916,IMPORTRANGE(""https://docs.google.com/spreadsheets/d/14Bd19lYaqBhU8_DElYkX7l4wRkHqqCUFNJY4AfY3kHU/edit?usp=sharing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G11915" s="7" t="s">
        <v>10</v>
      </c>
      <c r="H11915" s="7">
        <v>17972</v>
      </c>
      <c r="I11915" s="8" t="str">
        <f ca="1">IFERROR(__xludf.DUMMYFUNCTION("IF
(
G11916=""фізична особа""
,
VLOOKUP(H11916,IMPORTRANGE(""https://docs.google.com/spreadsheets/d/14Bd19lYaqBhU8_DElYkX7l4wRkHqqCUFNJY4AfY3kHU/edit?usp=sharing  #gid=0"",""фіз особи new!relations_name""),6,FALSE)
,
(IF
(
G11916=""юридична особа""
,
VLOO"&amp;"KUP(H11916,IMPORTRANGE(""https://docs.google.com/spreadsheets/d/14Bd19lYaqBhU8_DElYkX7l4wRkHqqCUFNJY4AfY3kHU/edit?usp=sharing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J11915" s="7" t="s">
        <v>11</v>
      </c>
    </row>
    <row r="11916" spans="1:10" ht="13.2">
      <c r="A11916" s="7">
        <v>11915</v>
      </c>
      <c r="B11916" s="7">
        <v>1</v>
      </c>
      <c r="C11916" s="7" t="s">
        <v>10</v>
      </c>
      <c r="D11916" s="7">
        <v>17970</v>
      </c>
      <c r="E11916" s="7" t="s">
        <v>11</v>
      </c>
      <c r="F11916" s="8" t="str">
        <f ca="1">IFERROR(__xludf.DUMMYFUNCTION("IF
(
C11917=""фізична особа""
,
VLOOKUP(D11917,IMPORTRANGE(""https://docs.google.com/spreadsheets/d/14Bd19lYaqBhU8_DElYkX7l4wRkHqqCUFNJY4AfY3kHU/edit?usp=sharing  #gid=0"",""фіз особи new!relations_name""),6,FALSE)
,
(IF
(
C11917=""юридична особа""
,
VLOO"&amp;"KUP(D11917,IMPORTRANGE(""https://docs.google.com/spreadsheets/d/14Bd19lYaqBhU8_DElYkX7l4wRkHqqCUFNJY4AfY3kHU/edit?usp=sharing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G11916" s="7" t="s">
        <v>10</v>
      </c>
      <c r="H11916" s="7">
        <v>17973</v>
      </c>
      <c r="I11916" s="8" t="str">
        <f ca="1">IFERROR(__xludf.DUMMYFUNCTION("IF
(
G11917=""фізична особа""
,
VLOOKUP(H11917,IMPORTRANGE(""https://docs.google.com/spreadsheets/d/14Bd19lYaqBhU8_DElYkX7l4wRkHqqCUFNJY4AfY3kHU/edit?usp=sharing  #gid=0"",""фіз особи new!relations_name""),6,FALSE)
,
(IF
(
G11917=""юридична особа""
,
VLOO"&amp;"KUP(H11917,IMPORTRANGE(""https://docs.google.com/spreadsheets/d/14Bd19lYaqBhU8_DElYkX7l4wRkHqqCUFNJY4AfY3kHU/edit?usp=sharing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J11916" s="7" t="s">
        <v>11</v>
      </c>
    </row>
    <row r="11917" spans="1:10" ht="13.2">
      <c r="A11917" s="7">
        <v>11916</v>
      </c>
      <c r="B11917" s="7">
        <v>1</v>
      </c>
      <c r="C11917" s="7" t="s">
        <v>10</v>
      </c>
      <c r="D11917" s="7">
        <v>17970</v>
      </c>
      <c r="E11917" s="7" t="s">
        <v>11</v>
      </c>
      <c r="F11917" s="8" t="str">
        <f ca="1">IFERROR(__xludf.DUMMYFUNCTION("IF
(
C11918=""фізична особа""
,
VLOOKUP(D11918,IMPORTRANGE(""https://docs.google.com/spreadsheets/d/14Bd19lYaqBhU8_DElYkX7l4wRkHqqCUFNJY4AfY3kHU/edit?usp=sharing  #gid=0"",""фіз особи new!relations_name""),6,FALSE)
,
(IF
(
C11918=""юридична особа""
,
VLOO"&amp;"KUP(D11918,IMPORTRANGE(""https://docs.google.com/spreadsheets/d/14Bd19lYaqBhU8_DElYkX7l4wRkHqqCUFNJY4AfY3kHU/edit?usp=sharing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G11917" s="7" t="s">
        <v>10</v>
      </c>
      <c r="H11917" s="7">
        <v>17974</v>
      </c>
      <c r="I11917" s="8" t="str">
        <f ca="1">IFERROR(__xludf.DUMMYFUNCTION("IF
(
G11918=""фізична особа""
,
VLOOKUP(H11918,IMPORTRANGE(""https://docs.google.com/spreadsheets/d/14Bd19lYaqBhU8_DElYkX7l4wRkHqqCUFNJY4AfY3kHU/edit?usp=sharing  #gid=0"",""фіз особи new!relations_name""),6,FALSE)
,
(IF
(
G11918=""юридична особа""
,
VLOO"&amp;"KUP(H11918,IMPORTRANGE(""https://docs.google.com/spreadsheets/d/14Bd19lYaqBhU8_DElYkX7l4wRkHqqCUFNJY4AfY3kHU/edit?usp=sharing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J11917" s="7" t="s">
        <v>11</v>
      </c>
    </row>
    <row r="11918" spans="1:10" ht="13.2">
      <c r="A11918" s="7">
        <v>11917</v>
      </c>
      <c r="B11918" s="7">
        <v>1</v>
      </c>
      <c r="C11918" s="7" t="s">
        <v>10</v>
      </c>
      <c r="D11918" s="7">
        <v>17970</v>
      </c>
      <c r="E11918" s="7" t="s">
        <v>11</v>
      </c>
      <c r="F11918" s="8" t="str">
        <f ca="1">IFERROR(__xludf.DUMMYFUNCTION("IF
(
C11919=""фізична особа""
,
VLOOKUP(D11919,IMPORTRANGE(""https://docs.google.com/spreadsheets/d/14Bd19lYaqBhU8_DElYkX7l4wRkHqqCUFNJY4AfY3kHU/edit?usp=sharing  #gid=0"",""фіз особи new!relations_name""),6,FALSE)
,
(IF
(
C11919=""юридична особа""
,
VLOO"&amp;"KUP(D11919,IMPORTRANGE(""https://docs.google.com/spreadsheets/d/14Bd19lYaqBhU8_DElYkX7l4wRkHqqCUFNJY4AfY3kHU/edit?usp=sharing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G11918" s="7" t="s">
        <v>10</v>
      </c>
      <c r="H11918" s="7">
        <v>17975</v>
      </c>
      <c r="I11918" s="8" t="str">
        <f ca="1">IFERROR(__xludf.DUMMYFUNCTION("IF
(
G11919=""фізична особа""
,
VLOOKUP(H11919,IMPORTRANGE(""https://docs.google.com/spreadsheets/d/14Bd19lYaqBhU8_DElYkX7l4wRkHqqCUFNJY4AfY3kHU/edit?usp=sharing  #gid=0"",""фіз особи new!relations_name""),6,FALSE)
,
(IF
(
G11919=""юридична особа""
,
VLOO"&amp;"KUP(H11919,IMPORTRANGE(""https://docs.google.com/spreadsheets/d/14Bd19lYaqBhU8_DElYkX7l4wRkHqqCUFNJY4AfY3kHU/edit?usp=sharing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J11918" s="7" t="s">
        <v>11</v>
      </c>
    </row>
    <row r="11919" spans="1:10" ht="13.2">
      <c r="A11919" s="7">
        <v>11918</v>
      </c>
      <c r="B11919" s="7">
        <v>1</v>
      </c>
      <c r="C11919" s="7" t="s">
        <v>10</v>
      </c>
      <c r="D11919" s="7">
        <v>17971</v>
      </c>
      <c r="E11919" s="7" t="s">
        <v>11</v>
      </c>
      <c r="F11919" s="8" t="str">
        <f ca="1">IFERROR(__xludf.DUMMYFUNCTION("IF
(
C11920=""фізична особа""
,
VLOOKUP(D11920,IMPORTRANGE(""https://docs.google.com/spreadsheets/d/14Bd19lYaqBhU8_DElYkX7l4wRkHqqCUFNJY4AfY3kHU/edit?usp=sharing  #gid=0"",""фіз особи new!relations_name""),6,FALSE)
,
(IF
(
C11920=""юридична особа""
,
VLOO"&amp;"KUP(D11920,IMPORTRANGE(""https://docs.google.com/spreadsheets/d/14Bd19lYaqBhU8_DElYkX7l4wRkHqqCUFNJY4AfY3kHU/edit?usp=sharing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G11919" s="7" t="s">
        <v>10</v>
      </c>
      <c r="H11919" s="7">
        <v>17970</v>
      </c>
      <c r="I11919" s="8" t="str">
        <f ca="1">IFERROR(__xludf.DUMMYFUNCTION("IF
(
G11920=""фізична особа""
,
VLOOKUP(H11920,IMPORTRANGE(""https://docs.google.com/spreadsheets/d/14Bd19lYaqBhU8_DElYkX7l4wRkHqqCUFNJY4AfY3kHU/edit?usp=sharing  #gid=0"",""фіз особи new!relations_name""),6,FALSE)
,
(IF
(
G11920=""юридична особа""
,
VLOO"&amp;"KUP(H11920,IMPORTRANGE(""https://docs.google.com/spreadsheets/d/14Bd19lYaqBhU8_DElYkX7l4wRkHqqCUFNJY4AfY3kHU/edit?usp=sharing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J11919" s="7" t="s">
        <v>11</v>
      </c>
    </row>
    <row r="11920" spans="1:10" ht="13.2">
      <c r="A11920" s="7">
        <v>11919</v>
      </c>
      <c r="B11920" s="7">
        <v>1</v>
      </c>
      <c r="C11920" s="7" t="s">
        <v>10</v>
      </c>
      <c r="D11920" s="7">
        <v>17971</v>
      </c>
      <c r="E11920" s="7" t="s">
        <v>11</v>
      </c>
      <c r="F11920" s="8" t="str">
        <f ca="1">IFERROR(__xludf.DUMMYFUNCTION("IF
(
C11921=""фізична особа""
,
VLOOKUP(D11921,IMPORTRANGE(""https://docs.google.com/spreadsheets/d/14Bd19lYaqBhU8_DElYkX7l4wRkHqqCUFNJY4AfY3kHU/edit?usp=sharing  #gid=0"",""фіз особи new!relations_name""),6,FALSE)
,
(IF
(
C11921=""юридична особа""
,
VLOO"&amp;"KUP(D11921,IMPORTRANGE(""https://docs.google.com/spreadsheets/d/14Bd19lYaqBhU8_DElYkX7l4wRkHqqCUFNJY4AfY3kHU/edit?usp=sharing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G11920" s="7" t="s">
        <v>10</v>
      </c>
      <c r="H11920" s="7">
        <v>17972</v>
      </c>
      <c r="I11920" s="8" t="str">
        <f ca="1">IFERROR(__xludf.DUMMYFUNCTION("IF
(
G11921=""фізична особа""
,
VLOOKUP(H11921,IMPORTRANGE(""https://docs.google.com/spreadsheets/d/14Bd19lYaqBhU8_DElYkX7l4wRkHqqCUFNJY4AfY3kHU/edit?usp=sharing  #gid=0"",""фіз особи new!relations_name""),6,FALSE)
,
(IF
(
G11921=""юридична особа""
,
VLOO"&amp;"KUP(H11921,IMPORTRANGE(""https://docs.google.com/spreadsheets/d/14Bd19lYaqBhU8_DElYkX7l4wRkHqqCUFNJY4AfY3kHU/edit?usp=sharing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J11920" s="7" t="s">
        <v>11</v>
      </c>
    </row>
    <row r="11921" spans="1:10" ht="13.2">
      <c r="A11921" s="7">
        <v>11920</v>
      </c>
      <c r="B11921" s="7">
        <v>1</v>
      </c>
      <c r="C11921" s="7" t="s">
        <v>10</v>
      </c>
      <c r="D11921" s="7">
        <v>17971</v>
      </c>
      <c r="E11921" s="7" t="s">
        <v>11</v>
      </c>
      <c r="F11921" s="8" t="str">
        <f ca="1">IFERROR(__xludf.DUMMYFUNCTION("IF
(
C11922=""фізична особа""
,
VLOOKUP(D11922,IMPORTRANGE(""https://docs.google.com/spreadsheets/d/14Bd19lYaqBhU8_DElYkX7l4wRkHqqCUFNJY4AfY3kHU/edit?usp=sharing  #gid=0"",""фіз особи new!relations_name""),6,FALSE)
,
(IF
(
C11922=""юридична особа""
,
VLOO"&amp;"KUP(D11922,IMPORTRANGE(""https://docs.google.com/spreadsheets/d/14Bd19lYaqBhU8_DElYkX7l4wRkHqqCUFNJY4AfY3kHU/edit?usp=sharing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G11921" s="7" t="s">
        <v>10</v>
      </c>
      <c r="H11921" s="7">
        <v>17973</v>
      </c>
      <c r="I11921" s="8" t="str">
        <f ca="1">IFERROR(__xludf.DUMMYFUNCTION("IF
(
G11922=""фізична особа""
,
VLOOKUP(H11922,IMPORTRANGE(""https://docs.google.com/spreadsheets/d/14Bd19lYaqBhU8_DElYkX7l4wRkHqqCUFNJY4AfY3kHU/edit?usp=sharing  #gid=0"",""фіз особи new!relations_name""),6,FALSE)
,
(IF
(
G11922=""юридична особа""
,
VLOO"&amp;"KUP(H11922,IMPORTRANGE(""https://docs.google.com/spreadsheets/d/14Bd19lYaqBhU8_DElYkX7l4wRkHqqCUFNJY4AfY3kHU/edit?usp=sharing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J11921" s="7" t="s">
        <v>11</v>
      </c>
    </row>
    <row r="11922" spans="1:10" ht="13.2">
      <c r="A11922" s="7">
        <v>11921</v>
      </c>
      <c r="B11922" s="7">
        <v>1</v>
      </c>
      <c r="C11922" s="7" t="s">
        <v>10</v>
      </c>
      <c r="D11922" s="7">
        <v>17971</v>
      </c>
      <c r="E11922" s="7" t="s">
        <v>11</v>
      </c>
      <c r="F11922" s="8" t="str">
        <f ca="1">IFERROR(__xludf.DUMMYFUNCTION("IF
(
C11923=""фізична особа""
,
VLOOKUP(D11923,IMPORTRANGE(""https://docs.google.com/spreadsheets/d/14Bd19lYaqBhU8_DElYkX7l4wRkHqqCUFNJY4AfY3kHU/edit?usp=sharing  #gid=0"",""фіз особи new!relations_name""),6,FALSE)
,
(IF
(
C11923=""юридична особа""
,
VLOO"&amp;"KUP(D11923,IMPORTRANGE(""https://docs.google.com/spreadsheets/d/14Bd19lYaqBhU8_DElYkX7l4wRkHqqCUFNJY4AfY3kHU/edit?usp=sharing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G11922" s="7" t="s">
        <v>10</v>
      </c>
      <c r="H11922" s="7">
        <v>17974</v>
      </c>
      <c r="I11922" s="8" t="str">
        <f ca="1">IFERROR(__xludf.DUMMYFUNCTION("IF
(
G11923=""фізична особа""
,
VLOOKUP(H11923,IMPORTRANGE(""https://docs.google.com/spreadsheets/d/14Bd19lYaqBhU8_DElYkX7l4wRkHqqCUFNJY4AfY3kHU/edit?usp=sharing  #gid=0"",""фіз особи new!relations_name""),6,FALSE)
,
(IF
(
G11923=""юридична особа""
,
VLOO"&amp;"KUP(H11923,IMPORTRANGE(""https://docs.google.com/spreadsheets/d/14Bd19lYaqBhU8_DElYkX7l4wRkHqqCUFNJY4AfY3kHU/edit?usp=sharing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J11922" s="7" t="s">
        <v>11</v>
      </c>
    </row>
    <row r="11923" spans="1:10" ht="13.2">
      <c r="A11923" s="7">
        <v>11922</v>
      </c>
      <c r="B11923" s="7">
        <v>1</v>
      </c>
      <c r="C11923" s="7" t="s">
        <v>10</v>
      </c>
      <c r="D11923" s="7">
        <v>17971</v>
      </c>
      <c r="E11923" s="7" t="s">
        <v>11</v>
      </c>
      <c r="F11923" s="8" t="str">
        <f ca="1">IFERROR(__xludf.DUMMYFUNCTION("IF
(
C11924=""фізична особа""
,
VLOOKUP(D11924,IMPORTRANGE(""https://docs.google.com/spreadsheets/d/14Bd19lYaqBhU8_DElYkX7l4wRkHqqCUFNJY4AfY3kHU/edit?usp=sharing  #gid=0"",""фіз особи new!relations_name""),6,FALSE)
,
(IF
(
C11924=""юридична особа""
,
VLOO"&amp;"KUP(D11924,IMPORTRANGE(""https://docs.google.com/spreadsheets/d/14Bd19lYaqBhU8_DElYkX7l4wRkHqqCUFNJY4AfY3kHU/edit?usp=sharing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G11923" s="7" t="s">
        <v>10</v>
      </c>
      <c r="H11923" s="7">
        <v>17975</v>
      </c>
      <c r="I11923" s="8" t="str">
        <f ca="1">IFERROR(__xludf.DUMMYFUNCTION("IF
(
G11924=""фізична особа""
,
VLOOKUP(H11924,IMPORTRANGE(""https://docs.google.com/spreadsheets/d/14Bd19lYaqBhU8_DElYkX7l4wRkHqqCUFNJY4AfY3kHU/edit?usp=sharing  #gid=0"",""фіз особи new!relations_name""),6,FALSE)
,
(IF
(
G11924=""юридична особа""
,
VLOO"&amp;"KUP(H11924,IMPORTRANGE(""https://docs.google.com/spreadsheets/d/14Bd19lYaqBhU8_DElYkX7l4wRkHqqCUFNJY4AfY3kHU/edit?usp=sharing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J11923" s="7" t="s">
        <v>11</v>
      </c>
    </row>
    <row r="11924" spans="1:10" ht="13.2">
      <c r="A11924" s="7">
        <v>11923</v>
      </c>
      <c r="B11924" s="7">
        <v>1</v>
      </c>
      <c r="C11924" s="7" t="s">
        <v>10</v>
      </c>
      <c r="D11924" s="7">
        <v>17972</v>
      </c>
      <c r="E11924" s="7" t="s">
        <v>11</v>
      </c>
      <c r="F11924" s="8" t="str">
        <f ca="1">IFERROR(__xludf.DUMMYFUNCTION("IF
(
C11925=""фізична особа""
,
VLOOKUP(D11925,IMPORTRANGE(""https://docs.google.com/spreadsheets/d/14Bd19lYaqBhU8_DElYkX7l4wRkHqqCUFNJY4AfY3kHU/edit?usp=sharing  #gid=0"",""фіз особи new!relations_name""),6,FALSE)
,
(IF
(
C11925=""юридична особа""
,
VLOO"&amp;"KUP(D11925,IMPORTRANGE(""https://docs.google.com/spreadsheets/d/14Bd19lYaqBhU8_DElYkX7l4wRkHqqCUFNJY4AfY3kHU/edit?usp=sharing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G11924" s="7" t="s">
        <v>10</v>
      </c>
      <c r="H11924" s="7">
        <v>17970</v>
      </c>
      <c r="I11924" s="8" t="str">
        <f ca="1">IFERROR(__xludf.DUMMYFUNCTION("IF
(
G11925=""фізична особа""
,
VLOOKUP(H11925,IMPORTRANGE(""https://docs.google.com/spreadsheets/d/14Bd19lYaqBhU8_DElYkX7l4wRkHqqCUFNJY4AfY3kHU/edit?usp=sharing  #gid=0"",""фіз особи new!relations_name""),6,FALSE)
,
(IF
(
G11925=""юридична особа""
,
VLOO"&amp;"KUP(H11925,IMPORTRANGE(""https://docs.google.com/spreadsheets/d/14Bd19lYaqBhU8_DElYkX7l4wRkHqqCUFNJY4AfY3kHU/edit?usp=sharing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J11924" s="7" t="s">
        <v>11</v>
      </c>
    </row>
    <row r="11925" spans="1:10" ht="13.2">
      <c r="A11925" s="7">
        <v>11924</v>
      </c>
      <c r="B11925" s="7">
        <v>1</v>
      </c>
      <c r="C11925" s="7" t="s">
        <v>10</v>
      </c>
      <c r="D11925" s="7">
        <v>17972</v>
      </c>
      <c r="E11925" s="7" t="s">
        <v>11</v>
      </c>
      <c r="F11925" s="8" t="str">
        <f ca="1">IFERROR(__xludf.DUMMYFUNCTION("IF
(
C11926=""фізична особа""
,
VLOOKUP(D11926,IMPORTRANGE(""https://docs.google.com/spreadsheets/d/14Bd19lYaqBhU8_DElYkX7l4wRkHqqCUFNJY4AfY3kHU/edit?usp=sharing  #gid=0"",""фіз особи new!relations_name""),6,FALSE)
,
(IF
(
C11926=""юридична особа""
,
VLOO"&amp;"KUP(D11926,IMPORTRANGE(""https://docs.google.com/spreadsheets/d/14Bd19lYaqBhU8_DElYkX7l4wRkHqqCUFNJY4AfY3kHU/edit?usp=sharing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G11925" s="7" t="s">
        <v>10</v>
      </c>
      <c r="H11925" s="7">
        <v>17971</v>
      </c>
      <c r="I11925" s="8" t="str">
        <f ca="1">IFERROR(__xludf.DUMMYFUNCTION("IF
(
G11926=""фізична особа""
,
VLOOKUP(H11926,IMPORTRANGE(""https://docs.google.com/spreadsheets/d/14Bd19lYaqBhU8_DElYkX7l4wRkHqqCUFNJY4AfY3kHU/edit?usp=sharing  #gid=0"",""фіз особи new!relations_name""),6,FALSE)
,
(IF
(
G11926=""юридична особа""
,
VLOO"&amp;"KUP(H11926,IMPORTRANGE(""https://docs.google.com/spreadsheets/d/14Bd19lYaqBhU8_DElYkX7l4wRkHqqCUFNJY4AfY3kHU/edit?usp=sharing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J11925" s="7" t="s">
        <v>11</v>
      </c>
    </row>
    <row r="11926" spans="1:10" ht="13.2">
      <c r="A11926" s="7">
        <v>11925</v>
      </c>
      <c r="B11926" s="7">
        <v>1</v>
      </c>
      <c r="C11926" s="7" t="s">
        <v>10</v>
      </c>
      <c r="D11926" s="7">
        <v>17972</v>
      </c>
      <c r="E11926" s="7" t="s">
        <v>11</v>
      </c>
      <c r="F11926" s="8" t="str">
        <f ca="1">IFERROR(__xludf.DUMMYFUNCTION("IF
(
C11927=""фізична особа""
,
VLOOKUP(D11927,IMPORTRANGE(""https://docs.google.com/spreadsheets/d/14Bd19lYaqBhU8_DElYkX7l4wRkHqqCUFNJY4AfY3kHU/edit?usp=sharing  #gid=0"",""фіз особи new!relations_name""),6,FALSE)
,
(IF
(
C11927=""юридична особа""
,
VLOO"&amp;"KUP(D11927,IMPORTRANGE(""https://docs.google.com/spreadsheets/d/14Bd19lYaqBhU8_DElYkX7l4wRkHqqCUFNJY4AfY3kHU/edit?usp=sharing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G11926" s="7" t="s">
        <v>10</v>
      </c>
      <c r="H11926" s="7">
        <v>17973</v>
      </c>
      <c r="I11926" s="8" t="str">
        <f ca="1">IFERROR(__xludf.DUMMYFUNCTION("IF
(
G11927=""фізична особа""
,
VLOOKUP(H11927,IMPORTRANGE(""https://docs.google.com/spreadsheets/d/14Bd19lYaqBhU8_DElYkX7l4wRkHqqCUFNJY4AfY3kHU/edit?usp=sharing  #gid=0"",""фіз особи new!relations_name""),6,FALSE)
,
(IF
(
G11927=""юридична особа""
,
VLOO"&amp;"KUP(H11927,IMPORTRANGE(""https://docs.google.com/spreadsheets/d/14Bd19lYaqBhU8_DElYkX7l4wRkHqqCUFNJY4AfY3kHU/edit?usp=sharing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J11926" s="7" t="s">
        <v>11</v>
      </c>
    </row>
    <row r="11927" spans="1:10" ht="13.2">
      <c r="A11927" s="7">
        <v>11926</v>
      </c>
      <c r="B11927" s="7">
        <v>1</v>
      </c>
      <c r="C11927" s="7" t="s">
        <v>10</v>
      </c>
      <c r="D11927" s="7">
        <v>17972</v>
      </c>
      <c r="E11927" s="7" t="s">
        <v>11</v>
      </c>
      <c r="F11927" s="8" t="str">
        <f ca="1">IFERROR(__xludf.DUMMYFUNCTION("IF
(
C11928=""фізична особа""
,
VLOOKUP(D11928,IMPORTRANGE(""https://docs.google.com/spreadsheets/d/14Bd19lYaqBhU8_DElYkX7l4wRkHqqCUFNJY4AfY3kHU/edit?usp=sharing  #gid=0"",""фіз особи new!relations_name""),6,FALSE)
,
(IF
(
C11928=""юридична особа""
,
VLOO"&amp;"KUP(D11928,IMPORTRANGE(""https://docs.google.com/spreadsheets/d/14Bd19lYaqBhU8_DElYkX7l4wRkHqqCUFNJY4AfY3kHU/edit?usp=sharing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G11927" s="7" t="s">
        <v>10</v>
      </c>
      <c r="H11927" s="7">
        <v>17974</v>
      </c>
      <c r="I11927" s="8" t="str">
        <f ca="1">IFERROR(__xludf.DUMMYFUNCTION("IF
(
G11928=""фізична особа""
,
VLOOKUP(H11928,IMPORTRANGE(""https://docs.google.com/spreadsheets/d/14Bd19lYaqBhU8_DElYkX7l4wRkHqqCUFNJY4AfY3kHU/edit?usp=sharing  #gid=0"",""фіз особи new!relations_name""),6,FALSE)
,
(IF
(
G11928=""юридична особа""
,
VLOO"&amp;"KUP(H11928,IMPORTRANGE(""https://docs.google.com/spreadsheets/d/14Bd19lYaqBhU8_DElYkX7l4wRkHqqCUFNJY4AfY3kHU/edit?usp=sharing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J11927" s="7" t="s">
        <v>11</v>
      </c>
    </row>
    <row r="11928" spans="1:10" ht="13.2">
      <c r="A11928" s="7">
        <v>11927</v>
      </c>
      <c r="B11928" s="7">
        <v>1</v>
      </c>
      <c r="C11928" s="7" t="s">
        <v>10</v>
      </c>
      <c r="D11928" s="7">
        <v>17972</v>
      </c>
      <c r="E11928" s="7" t="s">
        <v>11</v>
      </c>
      <c r="F11928" s="8" t="str">
        <f ca="1">IFERROR(__xludf.DUMMYFUNCTION("IF
(
C11929=""фізична особа""
,
VLOOKUP(D11929,IMPORTRANGE(""https://docs.google.com/spreadsheets/d/14Bd19lYaqBhU8_DElYkX7l4wRkHqqCUFNJY4AfY3kHU/edit?usp=sharing  #gid=0"",""фіз особи new!relations_name""),6,FALSE)
,
(IF
(
C11929=""юридична особа""
,
VLOO"&amp;"KUP(D11929,IMPORTRANGE(""https://docs.google.com/spreadsheets/d/14Bd19lYaqBhU8_DElYkX7l4wRkHqqCUFNJY4AfY3kHU/edit?usp=sharing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G11928" s="7" t="s">
        <v>10</v>
      </c>
      <c r="H11928" s="7">
        <v>17975</v>
      </c>
      <c r="I11928" s="8" t="str">
        <f ca="1">IFERROR(__xludf.DUMMYFUNCTION("IF
(
G11929=""фізична особа""
,
VLOOKUP(H11929,IMPORTRANGE(""https://docs.google.com/spreadsheets/d/14Bd19lYaqBhU8_DElYkX7l4wRkHqqCUFNJY4AfY3kHU/edit?usp=sharing  #gid=0"",""фіз особи new!relations_name""),6,FALSE)
,
(IF
(
G11929=""юридична особа""
,
VLOO"&amp;"KUP(H11929,IMPORTRANGE(""https://docs.google.com/spreadsheets/d/14Bd19lYaqBhU8_DElYkX7l4wRkHqqCUFNJY4AfY3kHU/edit?usp=sharing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J11928" s="7" t="s">
        <v>11</v>
      </c>
    </row>
    <row r="11929" spans="1:10" ht="13.2">
      <c r="A11929" s="7">
        <v>11928</v>
      </c>
      <c r="B11929" s="7">
        <v>1</v>
      </c>
      <c r="C11929" s="7" t="s">
        <v>10</v>
      </c>
      <c r="D11929" s="7">
        <v>17973</v>
      </c>
      <c r="E11929" s="7" t="s">
        <v>11</v>
      </c>
      <c r="F11929" s="8" t="str">
        <f ca="1">IFERROR(__xludf.DUMMYFUNCTION("IF
(
C11930=""фізична особа""
,
VLOOKUP(D11930,IMPORTRANGE(""https://docs.google.com/spreadsheets/d/14Bd19lYaqBhU8_DElYkX7l4wRkHqqCUFNJY4AfY3kHU/edit?usp=sharing  #gid=0"",""фіз особи new!relations_name""),6,FALSE)
,
(IF
(
C11930=""юридична особа""
,
VLOO"&amp;"KUP(D11930,IMPORTRANGE(""https://docs.google.com/spreadsheets/d/14Bd19lYaqBhU8_DElYkX7l4wRkHqqCUFNJY4AfY3kHU/edit?usp=sharing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G11929" s="7" t="s">
        <v>10</v>
      </c>
      <c r="H11929" s="7">
        <v>17970</v>
      </c>
      <c r="I11929" s="8" t="str">
        <f ca="1">IFERROR(__xludf.DUMMYFUNCTION("IF
(
G11930=""фізична особа""
,
VLOOKUP(H11930,IMPORTRANGE(""https://docs.google.com/spreadsheets/d/14Bd19lYaqBhU8_DElYkX7l4wRkHqqCUFNJY4AfY3kHU/edit?usp=sharing  #gid=0"",""фіз особи new!relations_name""),6,FALSE)
,
(IF
(
G11930=""юридична особа""
,
VLOO"&amp;"KUP(H11930,IMPORTRANGE(""https://docs.google.com/spreadsheets/d/14Bd19lYaqBhU8_DElYkX7l4wRkHqqCUFNJY4AfY3kHU/edit?usp=sharing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J11929" s="7" t="s">
        <v>11</v>
      </c>
    </row>
    <row r="11930" spans="1:10" ht="13.2">
      <c r="A11930" s="7">
        <v>11929</v>
      </c>
      <c r="B11930" s="7">
        <v>1</v>
      </c>
      <c r="C11930" s="7" t="s">
        <v>10</v>
      </c>
      <c r="D11930" s="7">
        <v>17973</v>
      </c>
      <c r="E11930" s="7" t="s">
        <v>11</v>
      </c>
      <c r="F11930" s="8" t="str">
        <f ca="1">IFERROR(__xludf.DUMMYFUNCTION("IF
(
C11931=""фізична особа""
,
VLOOKUP(D11931,IMPORTRANGE(""https://docs.google.com/spreadsheets/d/14Bd19lYaqBhU8_DElYkX7l4wRkHqqCUFNJY4AfY3kHU/edit?usp=sharing  #gid=0"",""фіз особи new!relations_name""),6,FALSE)
,
(IF
(
C11931=""юридична особа""
,
VLOO"&amp;"KUP(D11931,IMPORTRANGE(""https://docs.google.com/spreadsheets/d/14Bd19lYaqBhU8_DElYkX7l4wRkHqqCUFNJY4AfY3kHU/edit?usp=sharing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G11930" s="7" t="s">
        <v>10</v>
      </c>
      <c r="H11930" s="7">
        <v>17971</v>
      </c>
      <c r="I11930" s="8" t="str">
        <f ca="1">IFERROR(__xludf.DUMMYFUNCTION("IF
(
G11931=""фізична особа""
,
VLOOKUP(H11931,IMPORTRANGE(""https://docs.google.com/spreadsheets/d/14Bd19lYaqBhU8_DElYkX7l4wRkHqqCUFNJY4AfY3kHU/edit?usp=sharing  #gid=0"",""фіз особи new!relations_name""),6,FALSE)
,
(IF
(
G11931=""юридична особа""
,
VLOO"&amp;"KUP(H11931,IMPORTRANGE(""https://docs.google.com/spreadsheets/d/14Bd19lYaqBhU8_DElYkX7l4wRkHqqCUFNJY4AfY3kHU/edit?usp=sharing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J11930" s="7" t="s">
        <v>11</v>
      </c>
    </row>
    <row r="11931" spans="1:10" ht="13.2">
      <c r="A11931" s="7">
        <v>11930</v>
      </c>
      <c r="B11931" s="7">
        <v>1</v>
      </c>
      <c r="C11931" s="7" t="s">
        <v>10</v>
      </c>
      <c r="D11931" s="7">
        <v>17973</v>
      </c>
      <c r="E11931" s="7" t="s">
        <v>11</v>
      </c>
      <c r="F11931" s="8" t="str">
        <f ca="1">IFERROR(__xludf.DUMMYFUNCTION("IF
(
C11932=""фізична особа""
,
VLOOKUP(D11932,IMPORTRANGE(""https://docs.google.com/spreadsheets/d/14Bd19lYaqBhU8_DElYkX7l4wRkHqqCUFNJY4AfY3kHU/edit?usp=sharing  #gid=0"",""фіз особи new!relations_name""),6,FALSE)
,
(IF
(
C11932=""юридична особа""
,
VLOO"&amp;"KUP(D11932,IMPORTRANGE(""https://docs.google.com/spreadsheets/d/14Bd19lYaqBhU8_DElYkX7l4wRkHqqCUFNJY4AfY3kHU/edit?usp=sharing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G11931" s="7" t="s">
        <v>10</v>
      </c>
      <c r="H11931" s="7">
        <v>17972</v>
      </c>
      <c r="I11931" s="8" t="str">
        <f ca="1">IFERROR(__xludf.DUMMYFUNCTION("IF
(
G11932=""фізична особа""
,
VLOOKUP(H11932,IMPORTRANGE(""https://docs.google.com/spreadsheets/d/14Bd19lYaqBhU8_DElYkX7l4wRkHqqCUFNJY4AfY3kHU/edit?usp=sharing  #gid=0"",""фіз особи new!relations_name""),6,FALSE)
,
(IF
(
G11932=""юридична особа""
,
VLOO"&amp;"KUP(H11932,IMPORTRANGE(""https://docs.google.com/spreadsheets/d/14Bd19lYaqBhU8_DElYkX7l4wRkHqqCUFNJY4AfY3kHU/edit?usp=sharing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J11931" s="7" t="s">
        <v>11</v>
      </c>
    </row>
    <row r="11932" spans="1:10" ht="13.2">
      <c r="A11932" s="7">
        <v>11931</v>
      </c>
      <c r="B11932" s="7">
        <v>1</v>
      </c>
      <c r="C11932" s="7" t="s">
        <v>10</v>
      </c>
      <c r="D11932" s="7">
        <v>17973</v>
      </c>
      <c r="E11932" s="7" t="s">
        <v>11</v>
      </c>
      <c r="F11932" s="8" t="str">
        <f ca="1">IFERROR(__xludf.DUMMYFUNCTION("IF
(
C11933=""фізична особа""
,
VLOOKUP(D11933,IMPORTRANGE(""https://docs.google.com/spreadsheets/d/14Bd19lYaqBhU8_DElYkX7l4wRkHqqCUFNJY4AfY3kHU/edit?usp=sharing  #gid=0"",""фіз особи new!relations_name""),6,FALSE)
,
(IF
(
C11933=""юридична особа""
,
VLOO"&amp;"KUP(D11933,IMPORTRANGE(""https://docs.google.com/spreadsheets/d/14Bd19lYaqBhU8_DElYkX7l4wRkHqqCUFNJY4AfY3kHU/edit?usp=sharing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G11932" s="7" t="s">
        <v>10</v>
      </c>
      <c r="H11932" s="7">
        <v>17974</v>
      </c>
      <c r="I11932" s="8" t="str">
        <f ca="1">IFERROR(__xludf.DUMMYFUNCTION("IF
(
G11933=""фізична особа""
,
VLOOKUP(H11933,IMPORTRANGE(""https://docs.google.com/spreadsheets/d/14Bd19lYaqBhU8_DElYkX7l4wRkHqqCUFNJY4AfY3kHU/edit?usp=sharing  #gid=0"",""фіз особи new!relations_name""),6,FALSE)
,
(IF
(
G11933=""юридична особа""
,
VLOO"&amp;"KUP(H11933,IMPORTRANGE(""https://docs.google.com/spreadsheets/d/14Bd19lYaqBhU8_DElYkX7l4wRkHqqCUFNJY4AfY3kHU/edit?usp=sharing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J11932" s="7" t="s">
        <v>11</v>
      </c>
    </row>
    <row r="11933" spans="1:10" ht="13.2">
      <c r="A11933" s="7">
        <v>11932</v>
      </c>
      <c r="B11933" s="7">
        <v>1</v>
      </c>
      <c r="C11933" s="7" t="s">
        <v>10</v>
      </c>
      <c r="D11933" s="7">
        <v>17973</v>
      </c>
      <c r="E11933" s="7" t="s">
        <v>11</v>
      </c>
      <c r="F11933" s="8" t="str">
        <f ca="1">IFERROR(__xludf.DUMMYFUNCTION("IF
(
C11934=""фізична особа""
,
VLOOKUP(D11934,IMPORTRANGE(""https://docs.google.com/spreadsheets/d/14Bd19lYaqBhU8_DElYkX7l4wRkHqqCUFNJY4AfY3kHU/edit?usp=sharing  #gid=0"",""фіз особи new!relations_name""),6,FALSE)
,
(IF
(
C11934=""юридична особа""
,
VLOO"&amp;"KUP(D11934,IMPORTRANGE(""https://docs.google.com/spreadsheets/d/14Bd19lYaqBhU8_DElYkX7l4wRkHqqCUFNJY4AfY3kHU/edit?usp=sharing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G11933" s="7" t="s">
        <v>10</v>
      </c>
      <c r="H11933" s="7">
        <v>17975</v>
      </c>
      <c r="I11933" s="8" t="str">
        <f ca="1">IFERROR(__xludf.DUMMYFUNCTION("IF
(
G11934=""фізична особа""
,
VLOOKUP(H11934,IMPORTRANGE(""https://docs.google.com/spreadsheets/d/14Bd19lYaqBhU8_DElYkX7l4wRkHqqCUFNJY4AfY3kHU/edit?usp=sharing  #gid=0"",""фіз особи new!relations_name""),6,FALSE)
,
(IF
(
G11934=""юридична особа""
,
VLOO"&amp;"KUP(H11934,IMPORTRANGE(""https://docs.google.com/spreadsheets/d/14Bd19lYaqBhU8_DElYkX7l4wRkHqqCUFNJY4AfY3kHU/edit?usp=sharing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J11933" s="7" t="s">
        <v>11</v>
      </c>
    </row>
    <row r="11934" spans="1:10" ht="13.2">
      <c r="A11934" s="7">
        <v>11933</v>
      </c>
      <c r="B11934" s="7">
        <v>1</v>
      </c>
      <c r="C11934" s="7" t="s">
        <v>10</v>
      </c>
      <c r="D11934" s="7">
        <v>17974</v>
      </c>
      <c r="E11934" s="7" t="s">
        <v>11</v>
      </c>
      <c r="F11934" s="8" t="str">
        <f ca="1">IFERROR(__xludf.DUMMYFUNCTION("IF
(
C11935=""фізична особа""
,
VLOOKUP(D11935,IMPORTRANGE(""https://docs.google.com/spreadsheets/d/14Bd19lYaqBhU8_DElYkX7l4wRkHqqCUFNJY4AfY3kHU/edit?usp=sharing  #gid=0"",""фіз особи new!relations_name""),6,FALSE)
,
(IF
(
C11935=""юридична особа""
,
VLOO"&amp;"KUP(D11935,IMPORTRANGE(""https://docs.google.com/spreadsheets/d/14Bd19lYaqBhU8_DElYkX7l4wRkHqqCUFNJY4AfY3kHU/edit?usp=sharing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G11934" s="7" t="s">
        <v>10</v>
      </c>
      <c r="H11934" s="7">
        <v>17970</v>
      </c>
      <c r="I11934" s="8" t="str">
        <f ca="1">IFERROR(__xludf.DUMMYFUNCTION("IF
(
G11935=""фізична особа""
,
VLOOKUP(H11935,IMPORTRANGE(""https://docs.google.com/spreadsheets/d/14Bd19lYaqBhU8_DElYkX7l4wRkHqqCUFNJY4AfY3kHU/edit?usp=sharing  #gid=0"",""фіз особи new!relations_name""),6,FALSE)
,
(IF
(
G11935=""юридична особа""
,
VLOO"&amp;"KUP(H11935,IMPORTRANGE(""https://docs.google.com/spreadsheets/d/14Bd19lYaqBhU8_DElYkX7l4wRkHqqCUFNJY4AfY3kHU/edit?usp=sharing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J11934" s="7" t="s">
        <v>11</v>
      </c>
    </row>
    <row r="11935" spans="1:10" ht="13.2">
      <c r="A11935" s="7">
        <v>11934</v>
      </c>
      <c r="B11935" s="7">
        <v>1</v>
      </c>
      <c r="C11935" s="7" t="s">
        <v>10</v>
      </c>
      <c r="D11935" s="7">
        <v>17974</v>
      </c>
      <c r="E11935" s="7" t="s">
        <v>11</v>
      </c>
      <c r="F11935" s="8" t="str">
        <f ca="1">IFERROR(__xludf.DUMMYFUNCTION("IF
(
C11936=""фізична особа""
,
VLOOKUP(D11936,IMPORTRANGE(""https://docs.google.com/spreadsheets/d/14Bd19lYaqBhU8_DElYkX7l4wRkHqqCUFNJY4AfY3kHU/edit?usp=sharing  #gid=0"",""фіз особи new!relations_name""),6,FALSE)
,
(IF
(
C11936=""юридична особа""
,
VLOO"&amp;"KUP(D11936,IMPORTRANGE(""https://docs.google.com/spreadsheets/d/14Bd19lYaqBhU8_DElYkX7l4wRkHqqCUFNJY4AfY3kHU/edit?usp=sharing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G11935" s="7" t="s">
        <v>10</v>
      </c>
      <c r="H11935" s="7">
        <v>17971</v>
      </c>
      <c r="I11935" s="8" t="str">
        <f ca="1">IFERROR(__xludf.DUMMYFUNCTION("IF
(
G11936=""фізична особа""
,
VLOOKUP(H11936,IMPORTRANGE(""https://docs.google.com/spreadsheets/d/14Bd19lYaqBhU8_DElYkX7l4wRkHqqCUFNJY4AfY3kHU/edit?usp=sharing  #gid=0"",""фіз особи new!relations_name""),6,FALSE)
,
(IF
(
G11936=""юридична особа""
,
VLOO"&amp;"KUP(H11936,IMPORTRANGE(""https://docs.google.com/spreadsheets/d/14Bd19lYaqBhU8_DElYkX7l4wRkHqqCUFNJY4AfY3kHU/edit?usp=sharing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J11935" s="7" t="s">
        <v>11</v>
      </c>
    </row>
    <row r="11936" spans="1:10" ht="13.2">
      <c r="A11936" s="7">
        <v>11935</v>
      </c>
      <c r="B11936" s="7">
        <v>1</v>
      </c>
      <c r="C11936" s="7" t="s">
        <v>10</v>
      </c>
      <c r="D11936" s="7">
        <v>17974</v>
      </c>
      <c r="E11936" s="7" t="s">
        <v>11</v>
      </c>
      <c r="F11936" s="8" t="str">
        <f ca="1">IFERROR(__xludf.DUMMYFUNCTION("IF
(
C11937=""фізична особа""
,
VLOOKUP(D11937,IMPORTRANGE(""https://docs.google.com/spreadsheets/d/14Bd19lYaqBhU8_DElYkX7l4wRkHqqCUFNJY4AfY3kHU/edit?usp=sharing  #gid=0"",""фіз особи new!relations_name""),6,FALSE)
,
(IF
(
C11937=""юридична особа""
,
VLOO"&amp;"KUP(D11937,IMPORTRANGE(""https://docs.google.com/spreadsheets/d/14Bd19lYaqBhU8_DElYkX7l4wRkHqqCUFNJY4AfY3kHU/edit?usp=sharing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G11936" s="7" t="s">
        <v>10</v>
      </c>
      <c r="H11936" s="7">
        <v>17972</v>
      </c>
      <c r="I11936" s="8" t="str">
        <f ca="1">IFERROR(__xludf.DUMMYFUNCTION("IF
(
G11937=""фізична особа""
,
VLOOKUP(H11937,IMPORTRANGE(""https://docs.google.com/spreadsheets/d/14Bd19lYaqBhU8_DElYkX7l4wRkHqqCUFNJY4AfY3kHU/edit?usp=sharing  #gid=0"",""фіз особи new!relations_name""),6,FALSE)
,
(IF
(
G11937=""юридична особа""
,
VLOO"&amp;"KUP(H11937,IMPORTRANGE(""https://docs.google.com/spreadsheets/d/14Bd19lYaqBhU8_DElYkX7l4wRkHqqCUFNJY4AfY3kHU/edit?usp=sharing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J11936" s="7" t="s">
        <v>11</v>
      </c>
    </row>
    <row r="11937" spans="1:10" ht="13.2">
      <c r="A11937" s="7">
        <v>11936</v>
      </c>
      <c r="B11937" s="7">
        <v>1</v>
      </c>
      <c r="C11937" s="7" t="s">
        <v>10</v>
      </c>
      <c r="D11937" s="7">
        <v>17974</v>
      </c>
      <c r="E11937" s="7" t="s">
        <v>11</v>
      </c>
      <c r="F11937" s="8" t="str">
        <f ca="1">IFERROR(__xludf.DUMMYFUNCTION("IF
(
C11938=""фізична особа""
,
VLOOKUP(D11938,IMPORTRANGE(""https://docs.google.com/spreadsheets/d/14Bd19lYaqBhU8_DElYkX7l4wRkHqqCUFNJY4AfY3kHU/edit?usp=sharing  #gid=0"",""фіз особи new!relations_name""),6,FALSE)
,
(IF
(
C11938=""юридична особа""
,
VLOO"&amp;"KUP(D11938,IMPORTRANGE(""https://docs.google.com/spreadsheets/d/14Bd19lYaqBhU8_DElYkX7l4wRkHqqCUFNJY4AfY3kHU/edit?usp=sharing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G11937" s="7" t="s">
        <v>10</v>
      </c>
      <c r="H11937" s="7">
        <v>17973</v>
      </c>
      <c r="I11937" s="8" t="str">
        <f ca="1">IFERROR(__xludf.DUMMYFUNCTION("IF
(
G11938=""фізична особа""
,
VLOOKUP(H11938,IMPORTRANGE(""https://docs.google.com/spreadsheets/d/14Bd19lYaqBhU8_DElYkX7l4wRkHqqCUFNJY4AfY3kHU/edit?usp=sharing  #gid=0"",""фіз особи new!relations_name""),6,FALSE)
,
(IF
(
G11938=""юридична особа""
,
VLOO"&amp;"KUP(H11938,IMPORTRANGE(""https://docs.google.com/spreadsheets/d/14Bd19lYaqBhU8_DElYkX7l4wRkHqqCUFNJY4AfY3kHU/edit?usp=sharing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J11937" s="7" t="s">
        <v>11</v>
      </c>
    </row>
    <row r="11938" spans="1:10" ht="13.2">
      <c r="A11938" s="7">
        <v>11937</v>
      </c>
      <c r="B11938" s="7">
        <v>1</v>
      </c>
      <c r="C11938" s="7" t="s">
        <v>10</v>
      </c>
      <c r="D11938" s="7">
        <v>17974</v>
      </c>
      <c r="E11938" s="7" t="s">
        <v>11</v>
      </c>
      <c r="F11938" s="8" t="str">
        <f ca="1">IFERROR(__xludf.DUMMYFUNCTION("IF
(
C11939=""фізична особа""
,
VLOOKUP(D11939,IMPORTRANGE(""https://docs.google.com/spreadsheets/d/14Bd19lYaqBhU8_DElYkX7l4wRkHqqCUFNJY4AfY3kHU/edit?usp=sharing  #gid=0"",""фіз особи new!relations_name""),6,FALSE)
,
(IF
(
C11939=""юридична особа""
,
VLOO"&amp;"KUP(D11939,IMPORTRANGE(""https://docs.google.com/spreadsheets/d/14Bd19lYaqBhU8_DElYkX7l4wRkHqqCUFNJY4AfY3kHU/edit?usp=sharing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G11938" s="7" t="s">
        <v>10</v>
      </c>
      <c r="H11938" s="7">
        <v>17975</v>
      </c>
      <c r="I11938" s="8" t="str">
        <f ca="1">IFERROR(__xludf.DUMMYFUNCTION("IF
(
G11939=""фізична особа""
,
VLOOKUP(H11939,IMPORTRANGE(""https://docs.google.com/spreadsheets/d/14Bd19lYaqBhU8_DElYkX7l4wRkHqqCUFNJY4AfY3kHU/edit?usp=sharing  #gid=0"",""фіз особи new!relations_name""),6,FALSE)
,
(IF
(
G11939=""юридична особа""
,
VLOO"&amp;"KUP(H11939,IMPORTRANGE(""https://docs.google.com/spreadsheets/d/14Bd19lYaqBhU8_DElYkX7l4wRkHqqCUFNJY4AfY3kHU/edit?usp=sharing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J11938" s="7" t="s">
        <v>11</v>
      </c>
    </row>
    <row r="11939" spans="1:10" ht="13.2">
      <c r="A11939" s="7">
        <v>11938</v>
      </c>
      <c r="B11939" s="7">
        <v>1</v>
      </c>
      <c r="C11939" s="7" t="s">
        <v>10</v>
      </c>
      <c r="D11939" s="7">
        <v>17975</v>
      </c>
      <c r="E11939" s="7" t="s">
        <v>11</v>
      </c>
      <c r="F11939" s="8" t="str">
        <f ca="1">IFERROR(__xludf.DUMMYFUNCTION("IF
(
C11940=""фізична особа""
,
VLOOKUP(D11940,IMPORTRANGE(""https://docs.google.com/spreadsheets/d/14Bd19lYaqBhU8_DElYkX7l4wRkHqqCUFNJY4AfY3kHU/edit?usp=sharing  #gid=0"",""фіз особи new!relations_name""),6,FALSE)
,
(IF
(
C11940=""юридична особа""
,
VLOO"&amp;"KUP(D11940,IMPORTRANGE(""https://docs.google.com/spreadsheets/d/14Bd19lYaqBhU8_DElYkX7l4wRkHqqCUFNJY4AfY3kHU/edit?usp=sharing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G11939" s="7" t="s">
        <v>10</v>
      </c>
      <c r="H11939" s="7">
        <v>17970</v>
      </c>
      <c r="I11939" s="8" t="str">
        <f ca="1">IFERROR(__xludf.DUMMYFUNCTION("IF
(
G11940=""фізична особа""
,
VLOOKUP(H11940,IMPORTRANGE(""https://docs.google.com/spreadsheets/d/14Bd19lYaqBhU8_DElYkX7l4wRkHqqCUFNJY4AfY3kHU/edit?usp=sharing  #gid=0"",""фіз особи new!relations_name""),6,FALSE)
,
(IF
(
G11940=""юридична особа""
,
VLOO"&amp;"KUP(H11940,IMPORTRANGE(""https://docs.google.com/spreadsheets/d/14Bd19lYaqBhU8_DElYkX7l4wRkHqqCUFNJY4AfY3kHU/edit?usp=sharing  #gid=0"",""фіз особи new!relations_name_uo""),7,FALSE)
,
)
))"),"ШАХБАЗЯН Леван Арменакович")</f>
        <v>ШАХБАЗЯН Леван Арменакович</v>
      </c>
      <c r="J11939" s="7" t="s">
        <v>11</v>
      </c>
    </row>
    <row r="11940" spans="1:10" ht="13.2">
      <c r="A11940" s="7">
        <v>11939</v>
      </c>
      <c r="B11940" s="7">
        <v>1</v>
      </c>
      <c r="C11940" s="7" t="s">
        <v>10</v>
      </c>
      <c r="D11940" s="7">
        <v>17975</v>
      </c>
      <c r="E11940" s="7" t="s">
        <v>11</v>
      </c>
      <c r="F11940" s="8" t="str">
        <f ca="1">IFERROR(__xludf.DUMMYFUNCTION("IF
(
C11941=""фізична особа""
,
VLOOKUP(D11941,IMPORTRANGE(""https://docs.google.com/spreadsheets/d/14Bd19lYaqBhU8_DElYkX7l4wRkHqqCUFNJY4AfY3kHU/edit?usp=sharing  #gid=0"",""фіз особи new!relations_name""),6,FALSE)
,
(IF
(
C11941=""юридична особа""
,
VLOO"&amp;"KUP(D11941,IMPORTRANGE(""https://docs.google.com/spreadsheets/d/14Bd19lYaqBhU8_DElYkX7l4wRkHqqCUFNJY4AfY3kHU/edit?usp=sharing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G11940" s="7" t="s">
        <v>10</v>
      </c>
      <c r="H11940" s="7">
        <v>17971</v>
      </c>
      <c r="I11940" s="8" t="str">
        <f ca="1">IFERROR(__xludf.DUMMYFUNCTION("IF
(
G11941=""фізична особа""
,
VLOOKUP(H11941,IMPORTRANGE(""https://docs.google.com/spreadsheets/d/14Bd19lYaqBhU8_DElYkX7l4wRkHqqCUFNJY4AfY3kHU/edit?usp=sharing  #gid=0"",""фіз особи new!relations_name""),6,FALSE)
,
(IF
(
G11941=""юридична особа""
,
VLOO"&amp;"KUP(H11941,IMPORTRANGE(""https://docs.google.com/spreadsheets/d/14Bd19lYaqBhU8_DElYkX7l4wRkHqqCUFNJY4AfY3kHU/edit?usp=sharing  #gid=0"",""фіз особи new!relations_name_uo""),7,FALSE)
,
)
))"),"БЕЛІЦЬКА Ганна Вікторівна")</f>
        <v>БЕЛІЦЬКА Ганна Вікторівна</v>
      </c>
      <c r="J11940" s="7" t="s">
        <v>11</v>
      </c>
    </row>
    <row r="11941" spans="1:10" ht="13.2">
      <c r="A11941" s="7">
        <v>11940</v>
      </c>
      <c r="B11941" s="7">
        <v>1</v>
      </c>
      <c r="C11941" s="7" t="s">
        <v>10</v>
      </c>
      <c r="D11941" s="7">
        <v>17975</v>
      </c>
      <c r="E11941" s="7" t="s">
        <v>11</v>
      </c>
      <c r="F11941" s="8" t="str">
        <f ca="1">IFERROR(__xludf.DUMMYFUNCTION("IF
(
C11942=""фізична особа""
,
VLOOKUP(D11942,IMPORTRANGE(""https://docs.google.com/spreadsheets/d/14Bd19lYaqBhU8_DElYkX7l4wRkHqqCUFNJY4AfY3kHU/edit?usp=sharing  #gid=0"",""фіз особи new!relations_name""),6,FALSE)
,
(IF
(
C11942=""юридична особа""
,
VLOO"&amp;"KUP(D11942,IMPORTRANGE(""https://docs.google.com/spreadsheets/d/14Bd19lYaqBhU8_DElYkX7l4wRkHqqCUFNJY4AfY3kHU/edit?usp=sharing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G11941" s="7" t="s">
        <v>10</v>
      </c>
      <c r="H11941" s="7">
        <v>17972</v>
      </c>
      <c r="I11941" s="8" t="str">
        <f ca="1">IFERROR(__xludf.DUMMYFUNCTION("IF
(
G11942=""фізична особа""
,
VLOOKUP(H11942,IMPORTRANGE(""https://docs.google.com/spreadsheets/d/14Bd19lYaqBhU8_DElYkX7l4wRkHqqCUFNJY4AfY3kHU/edit?usp=sharing  #gid=0"",""фіз особи new!relations_name""),6,FALSE)
,
(IF
(
G11942=""юридична особа""
,
VLOO"&amp;"KUP(H11942,IMPORTRANGE(""https://docs.google.com/spreadsheets/d/14Bd19lYaqBhU8_DElYkX7l4wRkHqqCUFNJY4AfY3kHU/edit?usp=sharing  #gid=0"",""фіз особи new!relations_name_uo""),7,FALSE)
,
)
))"),"БЕЗЗУБІК Роман Євгенович")</f>
        <v>БЕЗЗУБІК Роман Євгенович</v>
      </c>
      <c r="J11941" s="7" t="s">
        <v>11</v>
      </c>
    </row>
    <row r="11942" spans="1:10" ht="13.2">
      <c r="A11942" s="7">
        <v>11941</v>
      </c>
      <c r="B11942" s="7">
        <v>1</v>
      </c>
      <c r="C11942" s="7" t="s">
        <v>10</v>
      </c>
      <c r="D11942" s="7">
        <v>17975</v>
      </c>
      <c r="E11942" s="7" t="s">
        <v>11</v>
      </c>
      <c r="F11942" s="8" t="str">
        <f ca="1">IFERROR(__xludf.DUMMYFUNCTION("IF
(
C11943=""фізична особа""
,
VLOOKUP(D11943,IMPORTRANGE(""https://docs.google.com/spreadsheets/d/14Bd19lYaqBhU8_DElYkX7l4wRkHqqCUFNJY4AfY3kHU/edit?usp=sharing  #gid=0"",""фіз особи new!relations_name""),6,FALSE)
,
(IF
(
C11943=""юридична особа""
,
VLOO"&amp;"KUP(D11943,IMPORTRANGE(""https://docs.google.com/spreadsheets/d/14Bd19lYaqBhU8_DElYkX7l4wRkHqqCUFNJY4AfY3kHU/edit?usp=sharing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G11942" s="7" t="s">
        <v>10</v>
      </c>
      <c r="H11942" s="7">
        <v>17973</v>
      </c>
      <c r="I11942" s="8" t="str">
        <f ca="1">IFERROR(__xludf.DUMMYFUNCTION("IF
(
G11943=""фізична особа""
,
VLOOKUP(H11943,IMPORTRANGE(""https://docs.google.com/spreadsheets/d/14Bd19lYaqBhU8_DElYkX7l4wRkHqqCUFNJY4AfY3kHU/edit?usp=sharing  #gid=0"",""фіз особи new!relations_name""),6,FALSE)
,
(IF
(
G11943=""юридична особа""
,
VLOO"&amp;"KUP(H11943,IMPORTRANGE(""https://docs.google.com/spreadsheets/d/14Bd19lYaqBhU8_DElYkX7l4wRkHqqCUFNJY4AfY3kHU/edit?usp=sharing  #gid=0"",""фіз особи new!relations_name_uo""),7,FALSE)
,
)
))"),"ДУРБАЛЕ Дмитро Олександрович")</f>
        <v>ДУРБАЛЕ Дмитро Олександрович</v>
      </c>
      <c r="J11942" s="7" t="s">
        <v>11</v>
      </c>
    </row>
    <row r="11943" spans="1:10" ht="13.2">
      <c r="A11943" s="7">
        <v>11942</v>
      </c>
      <c r="B11943" s="7">
        <v>1</v>
      </c>
      <c r="C11943" s="7" t="s">
        <v>10</v>
      </c>
      <c r="D11943" s="7">
        <v>17975</v>
      </c>
      <c r="E11943" s="7" t="s">
        <v>11</v>
      </c>
      <c r="F11943" s="8" t="str">
        <f ca="1">IFERROR(__xludf.DUMMYFUNCTION("IF
(
C11944=""фізична особа""
,
VLOOKUP(D11944,IMPORTRANGE(""https://docs.google.com/spreadsheets/d/14Bd19lYaqBhU8_DElYkX7l4wRkHqqCUFNJY4AfY3kHU/edit?usp=sharing  #gid=0"",""фіз особи new!relations_name""),6,FALSE)
,
(IF
(
C11944=""юридична особа""
,
VLOO"&amp;"KUP(D11944,IMPORTRANGE(""https://docs.google.com/spreadsheets/d/14Bd19lYaqBhU8_DElYkX7l4wRkHqqCUFNJY4AfY3kHU/edit?usp=sharing  #gid=0"",""фіз особи new!relations_name_uo""),7,FALSE)
,
)
))"),"ЛЕВІН Микита Сергійович")</f>
        <v>ЛЕВІН Микита Сергійович</v>
      </c>
      <c r="G11943" s="7" t="s">
        <v>10</v>
      </c>
      <c r="H11943" s="7">
        <v>17974</v>
      </c>
      <c r="I11943" s="8" t="str">
        <f ca="1">IFERROR(__xludf.DUMMYFUNCTION("IF
(
G11944=""фізична особа""
,
VLOOKUP(H11944,IMPORTRANGE(""https://docs.google.com/spreadsheets/d/14Bd19lYaqBhU8_DElYkX7l4wRkHqqCUFNJY4AfY3kHU/edit?usp=sharing  #gid=0"",""фіз особи new!relations_name""),6,FALSE)
,
(IF
(
G11944=""юридична особа""
,
VLOO"&amp;"KUP(H11944,IMPORTRANGE(""https://docs.google.com/spreadsheets/d/14Bd19lYaqBhU8_DElYkX7l4wRkHqqCUFNJY4AfY3kHU/edit?usp=sharing  #gid=0"",""фіз особи new!relations_name_uo""),7,FALSE)
,
)
))"),"ХАЗІФОВ Валерій Ернестович")</f>
        <v>ХАЗІФОВ Валерій Ернестович</v>
      </c>
      <c r="J11943" s="7" t="s">
        <v>11</v>
      </c>
    </row>
    <row r="11944" spans="1:10" ht="13.2">
      <c r="A11944" s="7">
        <v>11943</v>
      </c>
      <c r="B11944" s="7">
        <v>1</v>
      </c>
      <c r="C11944" s="7" t="s">
        <v>10</v>
      </c>
      <c r="D11944" s="7">
        <v>17976</v>
      </c>
      <c r="E11944" s="7" t="s">
        <v>11</v>
      </c>
      <c r="F11944" s="8" t="str">
        <f ca="1">IFERROR(__xludf.DUMMYFUNCTION("IF
(
C11945=""фізична особа""
,
VLOOKUP(D11945,IMPORTRANGE(""https://docs.google.com/spreadsheets/d/14Bd19lYaqBhU8_DElYkX7l4wRkHqqCUFNJY4AfY3kHU/edit?usp=sharing  #gid=0"",""фіз особи new!relations_name""),6,FALSE)
,
(IF
(
C11945=""юридична особа""
,
VLOO"&amp;"KUP(D11945,IMPORTRANGE(""https://docs.google.com/spreadsheets/d/14Bd19lYaqBhU8_DElYkX7l4wRkHqqCUFNJY4AfY3kHU/edit?usp=sharing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G11944" s="7" t="s">
        <v>10</v>
      </c>
      <c r="H11944" s="7">
        <v>17138</v>
      </c>
      <c r="I11944" s="8" t="str">
        <f ca="1">IFERROR(__xludf.DUMMYFUNCTION("IF
(
G11945=""фізична особа""
,
VLOOKUP(H11945,IMPORTRANGE(""https://docs.google.com/spreadsheets/d/14Bd19lYaqBhU8_DElYkX7l4wRkHqqCUFNJY4AfY3kHU/edit?usp=sharing  #gid=0"",""фіз особи new!relations_name""),6,FALSE)
,
(IF
(
G11945=""юридична особа""
,
VLOO"&amp;"KUP(H11945,IMPORTRANGE(""https://docs.google.com/spreadsheets/d/14Bd19lYaqBhU8_DElYkX7l4wRkHqqCUFNJY4AfY3kHU/edit?usp=sharing  #gid=0"",""фіз особи new!relations_name_uo""),7,FALSE)
,
)
))"),"ПОЛЯКОВ Олександр Вікторович")</f>
        <v>ПОЛЯКОВ Олександр Вікторович</v>
      </c>
      <c r="J11944" s="7" t="s">
        <v>11</v>
      </c>
    </row>
    <row r="11945" spans="1:10" ht="13.2">
      <c r="A11945" s="7">
        <v>11944</v>
      </c>
      <c r="B11945" s="7">
        <v>1</v>
      </c>
      <c r="C11945" s="7" t="s">
        <v>10</v>
      </c>
      <c r="D11945" s="7">
        <v>17976</v>
      </c>
      <c r="E11945" s="7" t="s">
        <v>11</v>
      </c>
      <c r="F11945" s="8" t="str">
        <f ca="1">IFERROR(__xludf.DUMMYFUNCTION("IF
(
C11946=""фізична особа""
,
VLOOKUP(D11946,IMPORTRANGE(""https://docs.google.com/spreadsheets/d/14Bd19lYaqBhU8_DElYkX7l4wRkHqqCUFNJY4AfY3kHU/edit?usp=sharing  #gid=0"",""фіз особи new!relations_name""),6,FALSE)
,
(IF
(
C11946=""юридична особа""
,
VLOO"&amp;"KUP(D11946,IMPORTRANGE(""https://docs.google.com/spreadsheets/d/14Bd19lYaqBhU8_DElYkX7l4wRkHqqCUFNJY4AfY3kHU/edit?usp=sharing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G11945" s="7" t="s">
        <v>10</v>
      </c>
      <c r="H11945" s="7">
        <v>17977</v>
      </c>
      <c r="I11945" s="8" t="str">
        <f ca="1">IFERROR(__xludf.DUMMYFUNCTION("IF
(
G11946=""фізична особа""
,
VLOOKUP(H11946,IMPORTRANGE(""https://docs.google.com/spreadsheets/d/14Bd19lYaqBhU8_DElYkX7l4wRkHqqCUFNJY4AfY3kHU/edit?usp=sharing  #gid=0"",""фіз особи new!relations_name""),6,FALSE)
,
(IF
(
G11946=""юридична особа""
,
VLOO"&amp;"KUP(H11946,IMPORTRANGE(""https://docs.google.com/spreadsheets/d/14Bd19lYaqBhU8_DElYkX7l4wRkHqqCUFNJY4AfY3kHU/edit?usp=sharing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J11945" s="7" t="s">
        <v>11</v>
      </c>
    </row>
    <row r="11946" spans="1:10" ht="13.2">
      <c r="A11946" s="7">
        <v>11945</v>
      </c>
      <c r="B11946" s="7">
        <v>1</v>
      </c>
      <c r="C11946" s="7" t="s">
        <v>10</v>
      </c>
      <c r="D11946" s="7">
        <v>17976</v>
      </c>
      <c r="E11946" s="7" t="s">
        <v>11</v>
      </c>
      <c r="F11946" s="8" t="str">
        <f ca="1">IFERROR(__xludf.DUMMYFUNCTION("IF
(
C11947=""фізична особа""
,
VLOOKUP(D11947,IMPORTRANGE(""https://docs.google.com/spreadsheets/d/14Bd19lYaqBhU8_DElYkX7l4wRkHqqCUFNJY4AfY3kHU/edit?usp=sharing  #gid=0"",""фіз особи new!relations_name""),6,FALSE)
,
(IF
(
C11947=""юридична особа""
,
VLOO"&amp;"KUP(D11947,IMPORTRANGE(""https://docs.google.com/spreadsheets/d/14Bd19lYaqBhU8_DElYkX7l4wRkHqqCUFNJY4AfY3kHU/edit?usp=sharing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G11946" s="7" t="s">
        <v>10</v>
      </c>
      <c r="H11946" s="7">
        <v>17978</v>
      </c>
      <c r="I11946" s="8" t="str">
        <f ca="1">IFERROR(__xludf.DUMMYFUNCTION("IF
(
G11947=""фізична особа""
,
VLOOKUP(H11947,IMPORTRANGE(""https://docs.google.com/spreadsheets/d/14Bd19lYaqBhU8_DElYkX7l4wRkHqqCUFNJY4AfY3kHU/edit?usp=sharing  #gid=0"",""фіз особи new!relations_name""),6,FALSE)
,
(IF
(
G11947=""юридична особа""
,
VLOO"&amp;"KUP(H11947,IMPORTRANGE(""https://docs.google.com/spreadsheets/d/14Bd19lYaqBhU8_DElYkX7l4wRkHqqCUFNJY4AfY3kHU/edit?usp=sharing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J11946" s="7" t="s">
        <v>11</v>
      </c>
    </row>
    <row r="11947" spans="1:10" ht="13.2">
      <c r="A11947" s="7">
        <v>11946</v>
      </c>
      <c r="B11947" s="7">
        <v>1</v>
      </c>
      <c r="C11947" s="7" t="s">
        <v>10</v>
      </c>
      <c r="D11947" s="7">
        <v>17976</v>
      </c>
      <c r="E11947" s="7" t="s">
        <v>11</v>
      </c>
      <c r="F11947" s="8" t="str">
        <f ca="1">IFERROR(__xludf.DUMMYFUNCTION("IF
(
C11948=""фізична особа""
,
VLOOKUP(D11948,IMPORTRANGE(""https://docs.google.com/spreadsheets/d/14Bd19lYaqBhU8_DElYkX7l4wRkHqqCUFNJY4AfY3kHU/edit?usp=sharing  #gid=0"",""фіз особи new!relations_name""),6,FALSE)
,
(IF
(
C11948=""юридична особа""
,
VLOO"&amp;"KUP(D11948,IMPORTRANGE(""https://docs.google.com/spreadsheets/d/14Bd19lYaqBhU8_DElYkX7l4wRkHqqCUFNJY4AfY3kHU/edit?usp=sharing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G11947" s="7" t="s">
        <v>10</v>
      </c>
      <c r="H11947" s="7">
        <v>17979</v>
      </c>
      <c r="I11947" s="8" t="str">
        <f ca="1">IFERROR(__xludf.DUMMYFUNCTION("IF
(
G11948=""фізична особа""
,
VLOOKUP(H11948,IMPORTRANGE(""https://docs.google.com/spreadsheets/d/14Bd19lYaqBhU8_DElYkX7l4wRkHqqCUFNJY4AfY3kHU/edit?usp=sharing  #gid=0"",""фіз особи new!relations_name""),6,FALSE)
,
(IF
(
G11948=""юридична особа""
,
VLOO"&amp;"KUP(H11948,IMPORTRANGE(""https://docs.google.com/spreadsheets/d/14Bd19lYaqBhU8_DElYkX7l4wRkHqqCUFNJY4AfY3kHU/edit?usp=sharing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J11947" s="7" t="s">
        <v>11</v>
      </c>
    </row>
    <row r="11948" spans="1:10" ht="13.2">
      <c r="A11948" s="7">
        <v>11947</v>
      </c>
      <c r="B11948" s="7">
        <v>1</v>
      </c>
      <c r="C11948" s="7" t="s">
        <v>10</v>
      </c>
      <c r="D11948" s="7">
        <v>17976</v>
      </c>
      <c r="E11948" s="7" t="s">
        <v>11</v>
      </c>
      <c r="F11948" s="8" t="str">
        <f ca="1">IFERROR(__xludf.DUMMYFUNCTION("IF
(
C11949=""фізична особа""
,
VLOOKUP(D11949,IMPORTRANGE(""https://docs.google.com/spreadsheets/d/14Bd19lYaqBhU8_DElYkX7l4wRkHqqCUFNJY4AfY3kHU/edit?usp=sharing  #gid=0"",""фіз особи new!relations_name""),6,FALSE)
,
(IF
(
C11949=""юридична особа""
,
VLOO"&amp;"KUP(D11949,IMPORTRANGE(""https://docs.google.com/spreadsheets/d/14Bd19lYaqBhU8_DElYkX7l4wRkHqqCUFNJY4AfY3kHU/edit?usp=sharing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G11948" s="7" t="s">
        <v>10</v>
      </c>
      <c r="H11948" s="7">
        <v>17980</v>
      </c>
      <c r="I11948" s="8" t="str">
        <f ca="1">IFERROR(__xludf.DUMMYFUNCTION("IF
(
G11949=""фізична особа""
,
VLOOKUP(H11949,IMPORTRANGE(""https://docs.google.com/spreadsheets/d/14Bd19lYaqBhU8_DElYkX7l4wRkHqqCUFNJY4AfY3kHU/edit?usp=sharing  #gid=0"",""фіз особи new!relations_name""),6,FALSE)
,
(IF
(
G11949=""юридична особа""
,
VLOO"&amp;"KUP(H11949,IMPORTRANGE(""https://docs.google.com/spreadsheets/d/14Bd19lYaqBhU8_DElYkX7l4wRkHqqCUFNJY4AfY3kHU/edit?usp=sharing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J11948" s="7" t="s">
        <v>11</v>
      </c>
    </row>
    <row r="11949" spans="1:10" ht="13.2">
      <c r="A11949" s="7">
        <v>11948</v>
      </c>
      <c r="B11949" s="7">
        <v>1</v>
      </c>
      <c r="C11949" s="7" t="s">
        <v>10</v>
      </c>
      <c r="D11949" s="7">
        <v>17977</v>
      </c>
      <c r="E11949" s="7" t="s">
        <v>11</v>
      </c>
      <c r="F11949" s="8" t="str">
        <f ca="1">IFERROR(__xludf.DUMMYFUNCTION("IF
(
C11950=""фізична особа""
,
VLOOKUP(D11950,IMPORTRANGE(""https://docs.google.com/spreadsheets/d/14Bd19lYaqBhU8_DElYkX7l4wRkHqqCUFNJY4AfY3kHU/edit?usp=sharing  #gid=0"",""фіз особи new!relations_name""),6,FALSE)
,
(IF
(
C11950=""юридична особа""
,
VLOO"&amp;"KUP(D11950,IMPORTRANGE(""https://docs.google.com/spreadsheets/d/14Bd19lYaqBhU8_DElYkX7l4wRkHqqCUFNJY4AfY3kHU/edit?usp=sharing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G11949" s="7" t="s">
        <v>10</v>
      </c>
      <c r="H11949" s="7">
        <v>17138</v>
      </c>
      <c r="I11949" s="8" t="str">
        <f ca="1">IFERROR(__xludf.DUMMYFUNCTION("IF
(
G11950=""фізична особа""
,
VLOOKUP(H11950,IMPORTRANGE(""https://docs.google.com/spreadsheets/d/14Bd19lYaqBhU8_DElYkX7l4wRkHqqCUFNJY4AfY3kHU/edit?usp=sharing  #gid=0"",""фіз особи new!relations_name""),6,FALSE)
,
(IF
(
G11950=""юридична особа""
,
VLOO"&amp;"KUP(H11950,IMPORTRANGE(""https://docs.google.com/spreadsheets/d/14Bd19lYaqBhU8_DElYkX7l4wRkHqqCUFNJY4AfY3kHU/edit?usp=sharing  #gid=0"",""фіз особи new!relations_name_uo""),7,FALSE)
,
)
))"),"ПОЛЯКОВ Олександр Вікторович")</f>
        <v>ПОЛЯКОВ Олександр Вікторович</v>
      </c>
      <c r="J11949" s="7" t="s">
        <v>11</v>
      </c>
    </row>
    <row r="11950" spans="1:10" ht="13.2">
      <c r="A11950" s="7">
        <v>11949</v>
      </c>
      <c r="B11950" s="7">
        <v>1</v>
      </c>
      <c r="C11950" s="7" t="s">
        <v>10</v>
      </c>
      <c r="D11950" s="7">
        <v>17977</v>
      </c>
      <c r="E11950" s="7" t="s">
        <v>11</v>
      </c>
      <c r="F11950" s="8" t="str">
        <f ca="1">IFERROR(__xludf.DUMMYFUNCTION("IF
(
C11951=""фізична особа""
,
VLOOKUP(D11951,IMPORTRANGE(""https://docs.google.com/spreadsheets/d/14Bd19lYaqBhU8_DElYkX7l4wRkHqqCUFNJY4AfY3kHU/edit?usp=sharing  #gid=0"",""фіз особи new!relations_name""),6,FALSE)
,
(IF
(
C11951=""юридична особа""
,
VLOO"&amp;"KUP(D11951,IMPORTRANGE(""https://docs.google.com/spreadsheets/d/14Bd19lYaqBhU8_DElYkX7l4wRkHqqCUFNJY4AfY3kHU/edit?usp=sharing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G11950" s="7" t="s">
        <v>10</v>
      </c>
      <c r="H11950" s="7">
        <v>17976</v>
      </c>
      <c r="I11950" s="8" t="str">
        <f ca="1">IFERROR(__xludf.DUMMYFUNCTION("IF
(
G11951=""фізична особа""
,
VLOOKUP(H11951,IMPORTRANGE(""https://docs.google.com/spreadsheets/d/14Bd19lYaqBhU8_DElYkX7l4wRkHqqCUFNJY4AfY3kHU/edit?usp=sharing  #gid=0"",""фіз особи new!relations_name""),6,FALSE)
,
(IF
(
G11951=""юридична особа""
,
VLOO"&amp;"KUP(H11951,IMPORTRANGE(""https://docs.google.com/spreadsheets/d/14Bd19lYaqBhU8_DElYkX7l4wRkHqqCUFNJY4AfY3kHU/edit?usp=sharing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J11950" s="7" t="s">
        <v>11</v>
      </c>
    </row>
    <row r="11951" spans="1:10" ht="13.2">
      <c r="A11951" s="7">
        <v>11950</v>
      </c>
      <c r="B11951" s="7">
        <v>1</v>
      </c>
      <c r="C11951" s="7" t="s">
        <v>10</v>
      </c>
      <c r="D11951" s="7">
        <v>17977</v>
      </c>
      <c r="E11951" s="7" t="s">
        <v>11</v>
      </c>
      <c r="F11951" s="8" t="str">
        <f ca="1">IFERROR(__xludf.DUMMYFUNCTION("IF
(
C11952=""фізична особа""
,
VLOOKUP(D11952,IMPORTRANGE(""https://docs.google.com/spreadsheets/d/14Bd19lYaqBhU8_DElYkX7l4wRkHqqCUFNJY4AfY3kHU/edit?usp=sharing  #gid=0"",""фіз особи new!relations_name""),6,FALSE)
,
(IF
(
C11952=""юридична особа""
,
VLOO"&amp;"KUP(D11952,IMPORTRANGE(""https://docs.google.com/spreadsheets/d/14Bd19lYaqBhU8_DElYkX7l4wRkHqqCUFNJY4AfY3kHU/edit?usp=sharing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G11951" s="7" t="s">
        <v>10</v>
      </c>
      <c r="H11951" s="7">
        <v>17978</v>
      </c>
      <c r="I11951" s="8" t="str">
        <f ca="1">IFERROR(__xludf.DUMMYFUNCTION("IF
(
G11952=""фізична особа""
,
VLOOKUP(H11952,IMPORTRANGE(""https://docs.google.com/spreadsheets/d/14Bd19lYaqBhU8_DElYkX7l4wRkHqqCUFNJY4AfY3kHU/edit?usp=sharing  #gid=0"",""фіз особи new!relations_name""),6,FALSE)
,
(IF
(
G11952=""юридична особа""
,
VLOO"&amp;"KUP(H11952,IMPORTRANGE(""https://docs.google.com/spreadsheets/d/14Bd19lYaqBhU8_DElYkX7l4wRkHqqCUFNJY4AfY3kHU/edit?usp=sharing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J11951" s="7" t="s">
        <v>11</v>
      </c>
    </row>
    <row r="11952" spans="1:10" ht="13.2">
      <c r="A11952" s="7">
        <v>11951</v>
      </c>
      <c r="B11952" s="7">
        <v>1</v>
      </c>
      <c r="C11952" s="7" t="s">
        <v>10</v>
      </c>
      <c r="D11952" s="7">
        <v>17977</v>
      </c>
      <c r="E11952" s="7" t="s">
        <v>11</v>
      </c>
      <c r="F11952" s="8" t="str">
        <f ca="1">IFERROR(__xludf.DUMMYFUNCTION("IF
(
C11953=""фізична особа""
,
VLOOKUP(D11953,IMPORTRANGE(""https://docs.google.com/spreadsheets/d/14Bd19lYaqBhU8_DElYkX7l4wRkHqqCUFNJY4AfY3kHU/edit?usp=sharing  #gid=0"",""фіз особи new!relations_name""),6,FALSE)
,
(IF
(
C11953=""юридична особа""
,
VLOO"&amp;"KUP(D11953,IMPORTRANGE(""https://docs.google.com/spreadsheets/d/14Bd19lYaqBhU8_DElYkX7l4wRkHqqCUFNJY4AfY3kHU/edit?usp=sharing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G11952" s="7" t="s">
        <v>10</v>
      </c>
      <c r="H11952" s="7">
        <v>17979</v>
      </c>
      <c r="I11952" s="8" t="str">
        <f ca="1">IFERROR(__xludf.DUMMYFUNCTION("IF
(
G11953=""фізична особа""
,
VLOOKUP(H11953,IMPORTRANGE(""https://docs.google.com/spreadsheets/d/14Bd19lYaqBhU8_DElYkX7l4wRkHqqCUFNJY4AfY3kHU/edit?usp=sharing  #gid=0"",""фіз особи new!relations_name""),6,FALSE)
,
(IF
(
G11953=""юридична особа""
,
VLOO"&amp;"KUP(H11953,IMPORTRANGE(""https://docs.google.com/spreadsheets/d/14Bd19lYaqBhU8_DElYkX7l4wRkHqqCUFNJY4AfY3kHU/edit?usp=sharing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J11952" s="7" t="s">
        <v>11</v>
      </c>
    </row>
    <row r="11953" spans="1:10" ht="13.2">
      <c r="A11953" s="7">
        <v>11952</v>
      </c>
      <c r="B11953" s="7">
        <v>1</v>
      </c>
      <c r="C11953" s="7" t="s">
        <v>10</v>
      </c>
      <c r="D11953" s="7">
        <v>17977</v>
      </c>
      <c r="E11953" s="7" t="s">
        <v>11</v>
      </c>
      <c r="F11953" s="8" t="str">
        <f ca="1">IFERROR(__xludf.DUMMYFUNCTION("IF
(
C11954=""фізична особа""
,
VLOOKUP(D11954,IMPORTRANGE(""https://docs.google.com/spreadsheets/d/14Bd19lYaqBhU8_DElYkX7l4wRkHqqCUFNJY4AfY3kHU/edit?usp=sharing  #gid=0"",""фіз особи new!relations_name""),6,FALSE)
,
(IF
(
C11954=""юридична особа""
,
VLOO"&amp;"KUP(D11954,IMPORTRANGE(""https://docs.google.com/spreadsheets/d/14Bd19lYaqBhU8_DElYkX7l4wRkHqqCUFNJY4AfY3kHU/edit?usp=sharing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G11953" s="7" t="s">
        <v>10</v>
      </c>
      <c r="H11953" s="7">
        <v>17980</v>
      </c>
      <c r="I11953" s="8" t="str">
        <f ca="1">IFERROR(__xludf.DUMMYFUNCTION("IF
(
G11954=""фізична особа""
,
VLOOKUP(H11954,IMPORTRANGE(""https://docs.google.com/spreadsheets/d/14Bd19lYaqBhU8_DElYkX7l4wRkHqqCUFNJY4AfY3kHU/edit?usp=sharing  #gid=0"",""фіз особи new!relations_name""),6,FALSE)
,
(IF
(
G11954=""юридична особа""
,
VLOO"&amp;"KUP(H11954,IMPORTRANGE(""https://docs.google.com/spreadsheets/d/14Bd19lYaqBhU8_DElYkX7l4wRkHqqCUFNJY4AfY3kHU/edit?usp=sharing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J11953" s="7" t="s">
        <v>11</v>
      </c>
    </row>
    <row r="11954" spans="1:10" ht="13.2">
      <c r="A11954" s="7">
        <v>11953</v>
      </c>
      <c r="B11954" s="7">
        <v>1</v>
      </c>
      <c r="C11954" s="7" t="s">
        <v>10</v>
      </c>
      <c r="D11954" s="7">
        <v>17978</v>
      </c>
      <c r="E11954" s="7" t="s">
        <v>11</v>
      </c>
      <c r="F11954" s="8" t="str">
        <f ca="1">IFERROR(__xludf.DUMMYFUNCTION("IF
(
C11955=""фізична особа""
,
VLOOKUP(D11955,IMPORTRANGE(""https://docs.google.com/spreadsheets/d/14Bd19lYaqBhU8_DElYkX7l4wRkHqqCUFNJY4AfY3kHU/edit?usp=sharing  #gid=0"",""фіз особи new!relations_name""),6,FALSE)
,
(IF
(
C11955=""юридична особа""
,
VLOO"&amp;"KUP(D11955,IMPORTRANGE(""https://docs.google.com/spreadsheets/d/14Bd19lYaqBhU8_DElYkX7l4wRkHqqCUFNJY4AfY3kHU/edit?usp=sharing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G11954" s="7" t="s">
        <v>10</v>
      </c>
      <c r="H11954" s="7">
        <v>17138</v>
      </c>
      <c r="I11954" s="8" t="str">
        <f ca="1">IFERROR(__xludf.DUMMYFUNCTION("IF
(
G11955=""фізична особа""
,
VLOOKUP(H11955,IMPORTRANGE(""https://docs.google.com/spreadsheets/d/14Bd19lYaqBhU8_DElYkX7l4wRkHqqCUFNJY4AfY3kHU/edit?usp=sharing  #gid=0"",""фіз особи new!relations_name""),6,FALSE)
,
(IF
(
G11955=""юридична особа""
,
VLOO"&amp;"KUP(H11955,IMPORTRANGE(""https://docs.google.com/spreadsheets/d/14Bd19lYaqBhU8_DElYkX7l4wRkHqqCUFNJY4AfY3kHU/edit?usp=sharing  #gid=0"",""фіз особи new!relations_name_uo""),7,FALSE)
,
)
))"),"ПОЛЯКОВ Олександр Вікторович")</f>
        <v>ПОЛЯКОВ Олександр Вікторович</v>
      </c>
      <c r="J11954" s="7" t="s">
        <v>11</v>
      </c>
    </row>
    <row r="11955" spans="1:10" ht="13.2">
      <c r="A11955" s="7">
        <v>11954</v>
      </c>
      <c r="B11955" s="7">
        <v>1</v>
      </c>
      <c r="C11955" s="7" t="s">
        <v>10</v>
      </c>
      <c r="D11955" s="7">
        <v>17978</v>
      </c>
      <c r="E11955" s="7" t="s">
        <v>11</v>
      </c>
      <c r="F11955" s="8" t="str">
        <f ca="1">IFERROR(__xludf.DUMMYFUNCTION("IF
(
C11956=""фізична особа""
,
VLOOKUP(D11956,IMPORTRANGE(""https://docs.google.com/spreadsheets/d/14Bd19lYaqBhU8_DElYkX7l4wRkHqqCUFNJY4AfY3kHU/edit?usp=sharing  #gid=0"",""фіз особи new!relations_name""),6,FALSE)
,
(IF
(
C11956=""юридична особа""
,
VLOO"&amp;"KUP(D11956,IMPORTRANGE(""https://docs.google.com/spreadsheets/d/14Bd19lYaqBhU8_DElYkX7l4wRkHqqCUFNJY4AfY3kHU/edit?usp=sharing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G11955" s="7" t="s">
        <v>10</v>
      </c>
      <c r="H11955" s="7">
        <v>17976</v>
      </c>
      <c r="I11955" s="8" t="str">
        <f ca="1">IFERROR(__xludf.DUMMYFUNCTION("IF
(
G11956=""фізична особа""
,
VLOOKUP(H11956,IMPORTRANGE(""https://docs.google.com/spreadsheets/d/14Bd19lYaqBhU8_DElYkX7l4wRkHqqCUFNJY4AfY3kHU/edit?usp=sharing  #gid=0"",""фіз особи new!relations_name""),6,FALSE)
,
(IF
(
G11956=""юридична особа""
,
VLOO"&amp;"KUP(H11956,IMPORTRANGE(""https://docs.google.com/spreadsheets/d/14Bd19lYaqBhU8_DElYkX7l4wRkHqqCUFNJY4AfY3kHU/edit?usp=sharing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J11955" s="7" t="s">
        <v>11</v>
      </c>
    </row>
    <row r="11956" spans="1:10" ht="13.2">
      <c r="A11956" s="7">
        <v>11955</v>
      </c>
      <c r="B11956" s="7">
        <v>1</v>
      </c>
      <c r="C11956" s="7" t="s">
        <v>10</v>
      </c>
      <c r="D11956" s="7">
        <v>17978</v>
      </c>
      <c r="E11956" s="7" t="s">
        <v>11</v>
      </c>
      <c r="F11956" s="8" t="str">
        <f ca="1">IFERROR(__xludf.DUMMYFUNCTION("IF
(
C11957=""фізична особа""
,
VLOOKUP(D11957,IMPORTRANGE(""https://docs.google.com/spreadsheets/d/14Bd19lYaqBhU8_DElYkX7l4wRkHqqCUFNJY4AfY3kHU/edit?usp=sharing  #gid=0"",""фіз особи new!relations_name""),6,FALSE)
,
(IF
(
C11957=""юридична особа""
,
VLOO"&amp;"KUP(D11957,IMPORTRANGE(""https://docs.google.com/spreadsheets/d/14Bd19lYaqBhU8_DElYkX7l4wRkHqqCUFNJY4AfY3kHU/edit?usp=sharing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G11956" s="7" t="s">
        <v>10</v>
      </c>
      <c r="H11956" s="7">
        <v>17977</v>
      </c>
      <c r="I11956" s="8" t="str">
        <f ca="1">IFERROR(__xludf.DUMMYFUNCTION("IF
(
G11957=""фізична особа""
,
VLOOKUP(H11957,IMPORTRANGE(""https://docs.google.com/spreadsheets/d/14Bd19lYaqBhU8_DElYkX7l4wRkHqqCUFNJY4AfY3kHU/edit?usp=sharing  #gid=0"",""фіз особи new!relations_name""),6,FALSE)
,
(IF
(
G11957=""юридична особа""
,
VLOO"&amp;"KUP(H11957,IMPORTRANGE(""https://docs.google.com/spreadsheets/d/14Bd19lYaqBhU8_DElYkX7l4wRkHqqCUFNJY4AfY3kHU/edit?usp=sharing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J11956" s="7" t="s">
        <v>11</v>
      </c>
    </row>
    <row r="11957" spans="1:10" ht="13.2">
      <c r="A11957" s="7">
        <v>11956</v>
      </c>
      <c r="B11957" s="7">
        <v>1</v>
      </c>
      <c r="C11957" s="7" t="s">
        <v>10</v>
      </c>
      <c r="D11957" s="7">
        <v>17978</v>
      </c>
      <c r="E11957" s="7" t="s">
        <v>11</v>
      </c>
      <c r="F11957" s="8" t="str">
        <f ca="1">IFERROR(__xludf.DUMMYFUNCTION("IF
(
C11958=""фізична особа""
,
VLOOKUP(D11958,IMPORTRANGE(""https://docs.google.com/spreadsheets/d/14Bd19lYaqBhU8_DElYkX7l4wRkHqqCUFNJY4AfY3kHU/edit?usp=sharing  #gid=0"",""фіз особи new!relations_name""),6,FALSE)
,
(IF
(
C11958=""юридична особа""
,
VLOO"&amp;"KUP(D11958,IMPORTRANGE(""https://docs.google.com/spreadsheets/d/14Bd19lYaqBhU8_DElYkX7l4wRkHqqCUFNJY4AfY3kHU/edit?usp=sharing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G11957" s="7" t="s">
        <v>10</v>
      </c>
      <c r="H11957" s="7">
        <v>17979</v>
      </c>
      <c r="I11957" s="8" t="str">
        <f ca="1">IFERROR(__xludf.DUMMYFUNCTION("IF
(
G11958=""фізична особа""
,
VLOOKUP(H11958,IMPORTRANGE(""https://docs.google.com/spreadsheets/d/14Bd19lYaqBhU8_DElYkX7l4wRkHqqCUFNJY4AfY3kHU/edit?usp=sharing  #gid=0"",""фіз особи new!relations_name""),6,FALSE)
,
(IF
(
G11958=""юридична особа""
,
VLOO"&amp;"KUP(H11958,IMPORTRANGE(""https://docs.google.com/spreadsheets/d/14Bd19lYaqBhU8_DElYkX7l4wRkHqqCUFNJY4AfY3kHU/edit?usp=sharing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J11957" s="7" t="s">
        <v>11</v>
      </c>
    </row>
    <row r="11958" spans="1:10" ht="13.2">
      <c r="A11958" s="7">
        <v>11957</v>
      </c>
      <c r="B11958" s="7">
        <v>1</v>
      </c>
      <c r="C11958" s="7" t="s">
        <v>10</v>
      </c>
      <c r="D11958" s="7">
        <v>17978</v>
      </c>
      <c r="E11958" s="7" t="s">
        <v>11</v>
      </c>
      <c r="F11958" s="8" t="str">
        <f ca="1">IFERROR(__xludf.DUMMYFUNCTION("IF
(
C11959=""фізична особа""
,
VLOOKUP(D11959,IMPORTRANGE(""https://docs.google.com/spreadsheets/d/14Bd19lYaqBhU8_DElYkX7l4wRkHqqCUFNJY4AfY3kHU/edit?usp=sharing  #gid=0"",""фіз особи new!relations_name""),6,FALSE)
,
(IF
(
C11959=""юридична особа""
,
VLOO"&amp;"KUP(D11959,IMPORTRANGE(""https://docs.google.com/spreadsheets/d/14Bd19lYaqBhU8_DElYkX7l4wRkHqqCUFNJY4AfY3kHU/edit?usp=sharing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G11958" s="7" t="s">
        <v>10</v>
      </c>
      <c r="H11958" s="7">
        <v>17980</v>
      </c>
      <c r="I11958" s="8" t="str">
        <f ca="1">IFERROR(__xludf.DUMMYFUNCTION("IF
(
G11959=""фізична особа""
,
VLOOKUP(H11959,IMPORTRANGE(""https://docs.google.com/spreadsheets/d/14Bd19lYaqBhU8_DElYkX7l4wRkHqqCUFNJY4AfY3kHU/edit?usp=sharing  #gid=0"",""фіз особи new!relations_name""),6,FALSE)
,
(IF
(
G11959=""юридична особа""
,
VLOO"&amp;"KUP(H11959,IMPORTRANGE(""https://docs.google.com/spreadsheets/d/14Bd19lYaqBhU8_DElYkX7l4wRkHqqCUFNJY4AfY3kHU/edit?usp=sharing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J11958" s="7" t="s">
        <v>11</v>
      </c>
    </row>
    <row r="11959" spans="1:10" ht="13.2">
      <c r="A11959" s="7">
        <v>11958</v>
      </c>
      <c r="B11959" s="7">
        <v>1</v>
      </c>
      <c r="C11959" s="7" t="s">
        <v>10</v>
      </c>
      <c r="D11959" s="7">
        <v>17979</v>
      </c>
      <c r="E11959" s="7" t="s">
        <v>11</v>
      </c>
      <c r="F11959" s="8" t="str">
        <f ca="1">IFERROR(__xludf.DUMMYFUNCTION("IF
(
C11960=""фізична особа""
,
VLOOKUP(D11960,IMPORTRANGE(""https://docs.google.com/spreadsheets/d/14Bd19lYaqBhU8_DElYkX7l4wRkHqqCUFNJY4AfY3kHU/edit?usp=sharing  #gid=0"",""фіз особи new!relations_name""),6,FALSE)
,
(IF
(
C11960=""юридична особа""
,
VLOO"&amp;"KUP(D11960,IMPORTRANGE(""https://docs.google.com/spreadsheets/d/14Bd19lYaqBhU8_DElYkX7l4wRkHqqCUFNJY4AfY3kHU/edit?usp=sharing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G11959" s="7" t="s">
        <v>10</v>
      </c>
      <c r="H11959" s="7">
        <v>17138</v>
      </c>
      <c r="I11959" s="8" t="str">
        <f ca="1">IFERROR(__xludf.DUMMYFUNCTION("IF
(
G11960=""фізична особа""
,
VLOOKUP(H11960,IMPORTRANGE(""https://docs.google.com/spreadsheets/d/14Bd19lYaqBhU8_DElYkX7l4wRkHqqCUFNJY4AfY3kHU/edit?usp=sharing  #gid=0"",""фіз особи new!relations_name""),6,FALSE)
,
(IF
(
G11960=""юридична особа""
,
VLOO"&amp;"KUP(H11960,IMPORTRANGE(""https://docs.google.com/spreadsheets/d/14Bd19lYaqBhU8_DElYkX7l4wRkHqqCUFNJY4AfY3kHU/edit?usp=sharing  #gid=0"",""фіз особи new!relations_name_uo""),7,FALSE)
,
)
))"),"ПОЛЯКОВ Олександр Вікторович")</f>
        <v>ПОЛЯКОВ Олександр Вікторович</v>
      </c>
      <c r="J11959" s="7" t="s">
        <v>11</v>
      </c>
    </row>
    <row r="11960" spans="1:10" ht="13.2">
      <c r="A11960" s="7">
        <v>11959</v>
      </c>
      <c r="B11960" s="7">
        <v>1</v>
      </c>
      <c r="C11960" s="7" t="s">
        <v>10</v>
      </c>
      <c r="D11960" s="7">
        <v>17979</v>
      </c>
      <c r="E11960" s="7" t="s">
        <v>11</v>
      </c>
      <c r="F11960" s="8" t="str">
        <f ca="1">IFERROR(__xludf.DUMMYFUNCTION("IF
(
C11961=""фізична особа""
,
VLOOKUP(D11961,IMPORTRANGE(""https://docs.google.com/spreadsheets/d/14Bd19lYaqBhU8_DElYkX7l4wRkHqqCUFNJY4AfY3kHU/edit?usp=sharing  #gid=0"",""фіз особи new!relations_name""),6,FALSE)
,
(IF
(
C11961=""юридична особа""
,
VLOO"&amp;"KUP(D11961,IMPORTRANGE(""https://docs.google.com/spreadsheets/d/14Bd19lYaqBhU8_DElYkX7l4wRkHqqCUFNJY4AfY3kHU/edit?usp=sharing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G11960" s="7" t="s">
        <v>10</v>
      </c>
      <c r="H11960" s="7">
        <v>17976</v>
      </c>
      <c r="I11960" s="8" t="str">
        <f ca="1">IFERROR(__xludf.DUMMYFUNCTION("IF
(
G11961=""фізична особа""
,
VLOOKUP(H11961,IMPORTRANGE(""https://docs.google.com/spreadsheets/d/14Bd19lYaqBhU8_DElYkX7l4wRkHqqCUFNJY4AfY3kHU/edit?usp=sharing  #gid=0"",""фіз особи new!relations_name""),6,FALSE)
,
(IF
(
G11961=""юридична особа""
,
VLOO"&amp;"KUP(H11961,IMPORTRANGE(""https://docs.google.com/spreadsheets/d/14Bd19lYaqBhU8_DElYkX7l4wRkHqqCUFNJY4AfY3kHU/edit?usp=sharing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J11960" s="7" t="s">
        <v>11</v>
      </c>
    </row>
    <row r="11961" spans="1:10" ht="13.2">
      <c r="A11961" s="7">
        <v>11960</v>
      </c>
      <c r="B11961" s="7">
        <v>1</v>
      </c>
      <c r="C11961" s="7" t="s">
        <v>10</v>
      </c>
      <c r="D11961" s="7">
        <v>17979</v>
      </c>
      <c r="E11961" s="7" t="s">
        <v>11</v>
      </c>
      <c r="F11961" s="8" t="str">
        <f ca="1">IFERROR(__xludf.DUMMYFUNCTION("IF
(
C11962=""фізична особа""
,
VLOOKUP(D11962,IMPORTRANGE(""https://docs.google.com/spreadsheets/d/14Bd19lYaqBhU8_DElYkX7l4wRkHqqCUFNJY4AfY3kHU/edit?usp=sharing  #gid=0"",""фіз особи new!relations_name""),6,FALSE)
,
(IF
(
C11962=""юридична особа""
,
VLOO"&amp;"KUP(D11962,IMPORTRANGE(""https://docs.google.com/spreadsheets/d/14Bd19lYaqBhU8_DElYkX7l4wRkHqqCUFNJY4AfY3kHU/edit?usp=sharing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G11961" s="7" t="s">
        <v>10</v>
      </c>
      <c r="H11961" s="7">
        <v>17977</v>
      </c>
      <c r="I11961" s="8" t="str">
        <f ca="1">IFERROR(__xludf.DUMMYFUNCTION("IF
(
G11962=""фізична особа""
,
VLOOKUP(H11962,IMPORTRANGE(""https://docs.google.com/spreadsheets/d/14Bd19lYaqBhU8_DElYkX7l4wRkHqqCUFNJY4AfY3kHU/edit?usp=sharing  #gid=0"",""фіз особи new!relations_name""),6,FALSE)
,
(IF
(
G11962=""юридична особа""
,
VLOO"&amp;"KUP(H11962,IMPORTRANGE(""https://docs.google.com/spreadsheets/d/14Bd19lYaqBhU8_DElYkX7l4wRkHqqCUFNJY4AfY3kHU/edit?usp=sharing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J11961" s="7" t="s">
        <v>11</v>
      </c>
    </row>
    <row r="11962" spans="1:10" ht="13.2">
      <c r="A11962" s="7">
        <v>11961</v>
      </c>
      <c r="B11962" s="7">
        <v>1</v>
      </c>
      <c r="C11962" s="7" t="s">
        <v>10</v>
      </c>
      <c r="D11962" s="7">
        <v>17979</v>
      </c>
      <c r="E11962" s="7" t="s">
        <v>11</v>
      </c>
      <c r="F11962" s="8" t="str">
        <f ca="1">IFERROR(__xludf.DUMMYFUNCTION("IF
(
C11963=""фізична особа""
,
VLOOKUP(D11963,IMPORTRANGE(""https://docs.google.com/spreadsheets/d/14Bd19lYaqBhU8_DElYkX7l4wRkHqqCUFNJY4AfY3kHU/edit?usp=sharing  #gid=0"",""фіз особи new!relations_name""),6,FALSE)
,
(IF
(
C11963=""юридична особа""
,
VLOO"&amp;"KUP(D11963,IMPORTRANGE(""https://docs.google.com/spreadsheets/d/14Bd19lYaqBhU8_DElYkX7l4wRkHqqCUFNJY4AfY3kHU/edit?usp=sharing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G11962" s="7" t="s">
        <v>10</v>
      </c>
      <c r="H11962" s="7">
        <v>17978</v>
      </c>
      <c r="I11962" s="8" t="str">
        <f ca="1">IFERROR(__xludf.DUMMYFUNCTION("IF
(
G11963=""фізична особа""
,
VLOOKUP(H11963,IMPORTRANGE(""https://docs.google.com/spreadsheets/d/14Bd19lYaqBhU8_DElYkX7l4wRkHqqCUFNJY4AfY3kHU/edit?usp=sharing  #gid=0"",""фіз особи new!relations_name""),6,FALSE)
,
(IF
(
G11963=""юридична особа""
,
VLOO"&amp;"KUP(H11963,IMPORTRANGE(""https://docs.google.com/spreadsheets/d/14Bd19lYaqBhU8_DElYkX7l4wRkHqqCUFNJY4AfY3kHU/edit?usp=sharing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J11962" s="7" t="s">
        <v>11</v>
      </c>
    </row>
    <row r="11963" spans="1:10" ht="13.2">
      <c r="A11963" s="7">
        <v>11962</v>
      </c>
      <c r="B11963" s="7">
        <v>1</v>
      </c>
      <c r="C11963" s="7" t="s">
        <v>10</v>
      </c>
      <c r="D11963" s="7">
        <v>17979</v>
      </c>
      <c r="E11963" s="7" t="s">
        <v>11</v>
      </c>
      <c r="F11963" s="8" t="str">
        <f ca="1">IFERROR(__xludf.DUMMYFUNCTION("IF
(
C11964=""фізична особа""
,
VLOOKUP(D11964,IMPORTRANGE(""https://docs.google.com/spreadsheets/d/14Bd19lYaqBhU8_DElYkX7l4wRkHqqCUFNJY4AfY3kHU/edit?usp=sharing  #gid=0"",""фіз особи new!relations_name""),6,FALSE)
,
(IF
(
C11964=""юридична особа""
,
VLOO"&amp;"KUP(D11964,IMPORTRANGE(""https://docs.google.com/spreadsheets/d/14Bd19lYaqBhU8_DElYkX7l4wRkHqqCUFNJY4AfY3kHU/edit?usp=sharing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G11963" s="7" t="s">
        <v>10</v>
      </c>
      <c r="H11963" s="7">
        <v>17980</v>
      </c>
      <c r="I11963" s="8" t="str">
        <f ca="1">IFERROR(__xludf.DUMMYFUNCTION("IF
(
G11964=""фізична особа""
,
VLOOKUP(H11964,IMPORTRANGE(""https://docs.google.com/spreadsheets/d/14Bd19lYaqBhU8_DElYkX7l4wRkHqqCUFNJY4AfY3kHU/edit?usp=sharing  #gid=0"",""фіз особи new!relations_name""),6,FALSE)
,
(IF
(
G11964=""юридична особа""
,
VLOO"&amp;"KUP(H11964,IMPORTRANGE(""https://docs.google.com/spreadsheets/d/14Bd19lYaqBhU8_DElYkX7l4wRkHqqCUFNJY4AfY3kHU/edit?usp=sharing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J11963" s="7" t="s">
        <v>11</v>
      </c>
    </row>
    <row r="11964" spans="1:10" ht="13.2">
      <c r="A11964" s="7">
        <v>11963</v>
      </c>
      <c r="B11964" s="7">
        <v>1</v>
      </c>
      <c r="C11964" s="7" t="s">
        <v>10</v>
      </c>
      <c r="D11964" s="7">
        <v>17980</v>
      </c>
      <c r="E11964" s="7" t="s">
        <v>11</v>
      </c>
      <c r="F11964" s="8" t="str">
        <f ca="1">IFERROR(__xludf.DUMMYFUNCTION("IF
(
C11965=""фізична особа""
,
VLOOKUP(D11965,IMPORTRANGE(""https://docs.google.com/spreadsheets/d/14Bd19lYaqBhU8_DElYkX7l4wRkHqqCUFNJY4AfY3kHU/edit?usp=sharing  #gid=0"",""фіз особи new!relations_name""),6,FALSE)
,
(IF
(
C11965=""юридична особа""
,
VLOO"&amp;"KUP(D11965,IMPORTRANGE(""https://docs.google.com/spreadsheets/d/14Bd19lYaqBhU8_DElYkX7l4wRkHqqCUFNJY4AfY3kHU/edit?usp=sharing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G11964" s="7" t="s">
        <v>10</v>
      </c>
      <c r="H11964" s="7">
        <v>17138</v>
      </c>
      <c r="I11964" s="8" t="str">
        <f ca="1">IFERROR(__xludf.DUMMYFUNCTION("IF
(
G11965=""фізична особа""
,
VLOOKUP(H11965,IMPORTRANGE(""https://docs.google.com/spreadsheets/d/14Bd19lYaqBhU8_DElYkX7l4wRkHqqCUFNJY4AfY3kHU/edit?usp=sharing  #gid=0"",""фіз особи new!relations_name""),6,FALSE)
,
(IF
(
G11965=""юридична особа""
,
VLOO"&amp;"KUP(H11965,IMPORTRANGE(""https://docs.google.com/spreadsheets/d/14Bd19lYaqBhU8_DElYkX7l4wRkHqqCUFNJY4AfY3kHU/edit?usp=sharing  #gid=0"",""фіз особи new!relations_name_uo""),7,FALSE)
,
)
))"),"ПОЛЯКОВ Олександр Вікторович")</f>
        <v>ПОЛЯКОВ Олександр Вікторович</v>
      </c>
      <c r="J11964" s="7" t="s">
        <v>11</v>
      </c>
    </row>
    <row r="11965" spans="1:10" ht="13.2">
      <c r="A11965" s="7">
        <v>11964</v>
      </c>
      <c r="B11965" s="7">
        <v>1</v>
      </c>
      <c r="C11965" s="7" t="s">
        <v>10</v>
      </c>
      <c r="D11965" s="7">
        <v>17980</v>
      </c>
      <c r="E11965" s="7" t="s">
        <v>11</v>
      </c>
      <c r="F11965" s="8" t="str">
        <f ca="1">IFERROR(__xludf.DUMMYFUNCTION("IF
(
C11966=""фізична особа""
,
VLOOKUP(D11966,IMPORTRANGE(""https://docs.google.com/spreadsheets/d/14Bd19lYaqBhU8_DElYkX7l4wRkHqqCUFNJY4AfY3kHU/edit?usp=sharing  #gid=0"",""фіз особи new!relations_name""),6,FALSE)
,
(IF
(
C11966=""юридична особа""
,
VLOO"&amp;"KUP(D11966,IMPORTRANGE(""https://docs.google.com/spreadsheets/d/14Bd19lYaqBhU8_DElYkX7l4wRkHqqCUFNJY4AfY3kHU/edit?usp=sharing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G11965" s="7" t="s">
        <v>10</v>
      </c>
      <c r="H11965" s="7">
        <v>17976</v>
      </c>
      <c r="I11965" s="8" t="str">
        <f ca="1">IFERROR(__xludf.DUMMYFUNCTION("IF
(
G11966=""фізична особа""
,
VLOOKUP(H11966,IMPORTRANGE(""https://docs.google.com/spreadsheets/d/14Bd19lYaqBhU8_DElYkX7l4wRkHqqCUFNJY4AfY3kHU/edit?usp=sharing  #gid=0"",""фіз особи new!relations_name""),6,FALSE)
,
(IF
(
G11966=""юридична особа""
,
VLOO"&amp;"KUP(H11966,IMPORTRANGE(""https://docs.google.com/spreadsheets/d/14Bd19lYaqBhU8_DElYkX7l4wRkHqqCUFNJY4AfY3kHU/edit?usp=sharing  #gid=0"",""фіз особи new!relations_name_uo""),7,FALSE)
,
)
))"),"ПОТУПЧИК Сергій Володимирович")</f>
        <v>ПОТУПЧИК Сергій Володимирович</v>
      </c>
      <c r="J11965" s="7" t="s">
        <v>11</v>
      </c>
    </row>
    <row r="11966" spans="1:10" ht="13.2">
      <c r="A11966" s="7">
        <v>11965</v>
      </c>
      <c r="B11966" s="7">
        <v>1</v>
      </c>
      <c r="C11966" s="7" t="s">
        <v>10</v>
      </c>
      <c r="D11966" s="7">
        <v>17980</v>
      </c>
      <c r="E11966" s="7" t="s">
        <v>11</v>
      </c>
      <c r="F11966" s="8" t="str">
        <f ca="1">IFERROR(__xludf.DUMMYFUNCTION("IF
(
C11967=""фізична особа""
,
VLOOKUP(D11967,IMPORTRANGE(""https://docs.google.com/spreadsheets/d/14Bd19lYaqBhU8_DElYkX7l4wRkHqqCUFNJY4AfY3kHU/edit?usp=sharing  #gid=0"",""фіз особи new!relations_name""),6,FALSE)
,
(IF
(
C11967=""юридична особа""
,
VLOO"&amp;"KUP(D11967,IMPORTRANGE(""https://docs.google.com/spreadsheets/d/14Bd19lYaqBhU8_DElYkX7l4wRkHqqCUFNJY4AfY3kHU/edit?usp=sharing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G11966" s="7" t="s">
        <v>10</v>
      </c>
      <c r="H11966" s="7">
        <v>17977</v>
      </c>
      <c r="I11966" s="8" t="str">
        <f ca="1">IFERROR(__xludf.DUMMYFUNCTION("IF
(
G11967=""фізична особа""
,
VLOOKUP(H11967,IMPORTRANGE(""https://docs.google.com/spreadsheets/d/14Bd19lYaqBhU8_DElYkX7l4wRkHqqCUFNJY4AfY3kHU/edit?usp=sharing  #gid=0"",""фіз особи new!relations_name""),6,FALSE)
,
(IF
(
G11967=""юридична особа""
,
VLOO"&amp;"KUP(H11967,IMPORTRANGE(""https://docs.google.com/spreadsheets/d/14Bd19lYaqBhU8_DElYkX7l4wRkHqqCUFNJY4AfY3kHU/edit?usp=sharing  #gid=0"",""фіз особи new!relations_name_uo""),7,FALSE)
,
)
))"),"АТРОЩЕНКО Валерій Михайлович")</f>
        <v>АТРОЩЕНКО Валерій Михайлович</v>
      </c>
      <c r="J11966" s="7" t="s">
        <v>11</v>
      </c>
    </row>
    <row r="11967" spans="1:10" ht="13.2">
      <c r="A11967" s="7">
        <v>11966</v>
      </c>
      <c r="B11967" s="7">
        <v>1</v>
      </c>
      <c r="C11967" s="7" t="s">
        <v>10</v>
      </c>
      <c r="D11967" s="7">
        <v>17980</v>
      </c>
      <c r="E11967" s="7" t="s">
        <v>11</v>
      </c>
      <c r="F11967" s="8" t="str">
        <f ca="1">IFERROR(__xludf.DUMMYFUNCTION("IF
(
C11968=""фізична особа""
,
VLOOKUP(D11968,IMPORTRANGE(""https://docs.google.com/spreadsheets/d/14Bd19lYaqBhU8_DElYkX7l4wRkHqqCUFNJY4AfY3kHU/edit?usp=sharing  #gid=0"",""фіз особи new!relations_name""),6,FALSE)
,
(IF
(
C11968=""юридична особа""
,
VLOO"&amp;"KUP(D11968,IMPORTRANGE(""https://docs.google.com/spreadsheets/d/14Bd19lYaqBhU8_DElYkX7l4wRkHqqCUFNJY4AfY3kHU/edit?usp=sharing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G11967" s="7" t="s">
        <v>10</v>
      </c>
      <c r="H11967" s="7">
        <v>17978</v>
      </c>
      <c r="I11967" s="8" t="str">
        <f ca="1">IFERROR(__xludf.DUMMYFUNCTION("IF
(
G11968=""фізична особа""
,
VLOOKUP(H11968,IMPORTRANGE(""https://docs.google.com/spreadsheets/d/14Bd19lYaqBhU8_DElYkX7l4wRkHqqCUFNJY4AfY3kHU/edit?usp=sharing  #gid=0"",""фіз особи new!relations_name""),6,FALSE)
,
(IF
(
G11968=""юридична особа""
,
VLOO"&amp;"KUP(H11968,IMPORTRANGE(""https://docs.google.com/spreadsheets/d/14Bd19lYaqBhU8_DElYkX7l4wRkHqqCUFNJY4AfY3kHU/edit?usp=sharing  #gid=0"",""фіз особи new!relations_name_uo""),7,FALSE)
,
)
))"),"БОХАН Андрій Олександрович")</f>
        <v>БОХАН Андрій Олександрович</v>
      </c>
      <c r="J11967" s="7" t="s">
        <v>11</v>
      </c>
    </row>
    <row r="11968" spans="1:10" ht="13.2">
      <c r="A11968" s="7">
        <v>11967</v>
      </c>
      <c r="B11968" s="7">
        <v>1</v>
      </c>
      <c r="C11968" s="7" t="s">
        <v>10</v>
      </c>
      <c r="D11968" s="7">
        <v>17980</v>
      </c>
      <c r="E11968" s="7" t="s">
        <v>11</v>
      </c>
      <c r="F11968" s="8" t="str">
        <f ca="1">IFERROR(__xludf.DUMMYFUNCTION("IF
(
C11969=""фізична особа""
,
VLOOKUP(D11969,IMPORTRANGE(""https://docs.google.com/spreadsheets/d/14Bd19lYaqBhU8_DElYkX7l4wRkHqqCUFNJY4AfY3kHU/edit?usp=sharing  #gid=0"",""фіз особи new!relations_name""),6,FALSE)
,
(IF
(
C11969=""юридична особа""
,
VLOO"&amp;"KUP(D11969,IMPORTRANGE(""https://docs.google.com/spreadsheets/d/14Bd19lYaqBhU8_DElYkX7l4wRkHqqCUFNJY4AfY3kHU/edit?usp=sharing  #gid=0"",""фіз особи new!relations_name_uo""),7,FALSE)
,
)
))"),"ЖИЛІНА Тетяна Вікторівна")</f>
        <v>ЖИЛІНА Тетяна Вікторівна</v>
      </c>
      <c r="G11968" s="7" t="s">
        <v>10</v>
      </c>
      <c r="H11968" s="7">
        <v>17979</v>
      </c>
      <c r="I11968" s="8" t="str">
        <f ca="1">IFERROR(__xludf.DUMMYFUNCTION("IF
(
G11969=""фізична особа""
,
VLOOKUP(H11969,IMPORTRANGE(""https://docs.google.com/spreadsheets/d/14Bd19lYaqBhU8_DElYkX7l4wRkHqqCUFNJY4AfY3kHU/edit?usp=sharing  #gid=0"",""фіз особи new!relations_name""),6,FALSE)
,
(IF
(
G11969=""юридична особа""
,
VLOO"&amp;"KUP(H11969,IMPORTRANGE(""https://docs.google.com/spreadsheets/d/14Bd19lYaqBhU8_DElYkX7l4wRkHqqCUFNJY4AfY3kHU/edit?usp=sharing  #gid=0"",""фіз особи new!relations_name_uo""),7,FALSE)
,
)
))"),"КАРПОВ Василь Олександрович")</f>
        <v>КАРПОВ Василь Олександрович</v>
      </c>
      <c r="J11968" s="7" t="s">
        <v>11</v>
      </c>
    </row>
    <row r="11969" spans="1:10" ht="13.2">
      <c r="A11969" s="7">
        <v>11968</v>
      </c>
      <c r="B11969" s="7">
        <v>1</v>
      </c>
      <c r="C11969" s="7" t="s">
        <v>10</v>
      </c>
      <c r="D11969" s="7">
        <v>17981</v>
      </c>
      <c r="E11969" s="7" t="s">
        <v>11</v>
      </c>
      <c r="F11969" s="8" t="str">
        <f ca="1">IFERROR(__xludf.DUMMYFUNCTION("IF
(
C11970=""фізична особа""
,
VLOOKUP(D11970,IMPORTRANGE(""https://docs.google.com/spreadsheets/d/14Bd19lYaqBhU8_DElYkX7l4wRkHqqCUFNJY4AfY3kHU/edit?usp=sharing  #gid=0"",""фіз особи new!relations_name""),6,FALSE)
,
(IF
(
C11970=""юридична особа""
,
VLOO"&amp;"KUP(D11970,IMPORTRANGE(""https://docs.google.com/spreadsheets/d/14Bd19lYaqBhU8_DElYkX7l4wRkHqqCUFNJY4AfY3kHU/edit?usp=sharing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G11969" s="7" t="s">
        <v>10</v>
      </c>
      <c r="H11969" s="7">
        <v>17982</v>
      </c>
      <c r="I11969" s="8" t="str">
        <f ca="1">IFERROR(__xludf.DUMMYFUNCTION("IF
(
G11970=""фізична особа""
,
VLOOKUP(H11970,IMPORTRANGE(""https://docs.google.com/spreadsheets/d/14Bd19lYaqBhU8_DElYkX7l4wRkHqqCUFNJY4AfY3kHU/edit?usp=sharing  #gid=0"",""фіз особи new!relations_name""),6,FALSE)
,
(IF
(
G11970=""юридична особа""
,
VLOO"&amp;"KUP(H11970,IMPORTRANGE(""https://docs.google.com/spreadsheets/d/14Bd19lYaqBhU8_DElYkX7l4wRkHqqCUFNJY4AfY3kHU/edit?usp=sharing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J11969" s="7" t="s">
        <v>11</v>
      </c>
    </row>
    <row r="11970" spans="1:10" ht="13.2">
      <c r="A11970" s="7">
        <v>11969</v>
      </c>
      <c r="B11970" s="7">
        <v>1</v>
      </c>
      <c r="C11970" s="7" t="s">
        <v>10</v>
      </c>
      <c r="D11970" s="7">
        <v>17981</v>
      </c>
      <c r="E11970" s="7" t="s">
        <v>11</v>
      </c>
      <c r="F11970" s="8" t="str">
        <f ca="1">IFERROR(__xludf.DUMMYFUNCTION("IF
(
C11971=""фізична особа""
,
VLOOKUP(D11971,IMPORTRANGE(""https://docs.google.com/spreadsheets/d/14Bd19lYaqBhU8_DElYkX7l4wRkHqqCUFNJY4AfY3kHU/edit?usp=sharing  #gid=0"",""фіз особи new!relations_name""),6,FALSE)
,
(IF
(
C11971=""юридична особа""
,
VLOO"&amp;"KUP(D11971,IMPORTRANGE(""https://docs.google.com/spreadsheets/d/14Bd19lYaqBhU8_DElYkX7l4wRkHqqCUFNJY4AfY3kHU/edit?usp=sharing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G11970" s="7" t="s">
        <v>10</v>
      </c>
      <c r="H11970" s="7">
        <v>17983</v>
      </c>
      <c r="I11970" s="8" t="str">
        <f ca="1">IFERROR(__xludf.DUMMYFUNCTION("IF
(
G11971=""фізична особа""
,
VLOOKUP(H11971,IMPORTRANGE(""https://docs.google.com/spreadsheets/d/14Bd19lYaqBhU8_DElYkX7l4wRkHqqCUFNJY4AfY3kHU/edit?usp=sharing  #gid=0"",""фіз особи new!relations_name""),6,FALSE)
,
(IF
(
G11971=""юридична особа""
,
VLOO"&amp;"KUP(H11971,IMPORTRANGE(""https://docs.google.com/spreadsheets/d/14Bd19lYaqBhU8_DElYkX7l4wRkHqqCUFNJY4AfY3kHU/edit?usp=sharing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J11970" s="7" t="s">
        <v>11</v>
      </c>
    </row>
    <row r="11971" spans="1:10" ht="13.2">
      <c r="A11971" s="7">
        <v>11970</v>
      </c>
      <c r="B11971" s="7">
        <v>1</v>
      </c>
      <c r="C11971" s="7" t="s">
        <v>10</v>
      </c>
      <c r="D11971" s="7">
        <v>17981</v>
      </c>
      <c r="E11971" s="7" t="s">
        <v>11</v>
      </c>
      <c r="F11971" s="8" t="str">
        <f ca="1">IFERROR(__xludf.DUMMYFUNCTION("IF
(
C11972=""фізична особа""
,
VLOOKUP(D11972,IMPORTRANGE(""https://docs.google.com/spreadsheets/d/14Bd19lYaqBhU8_DElYkX7l4wRkHqqCUFNJY4AfY3kHU/edit?usp=sharing  #gid=0"",""фіз особи new!relations_name""),6,FALSE)
,
(IF
(
C11972=""юридична особа""
,
VLOO"&amp;"KUP(D11972,IMPORTRANGE(""https://docs.google.com/spreadsheets/d/14Bd19lYaqBhU8_DElYkX7l4wRkHqqCUFNJY4AfY3kHU/edit?usp=sharing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G11971" s="7" t="s">
        <v>10</v>
      </c>
      <c r="H11971" s="7">
        <v>17984</v>
      </c>
      <c r="I11971" s="8" t="str">
        <f ca="1">IFERROR(__xludf.DUMMYFUNCTION("IF
(
G11972=""фізична особа""
,
VLOOKUP(H11972,IMPORTRANGE(""https://docs.google.com/spreadsheets/d/14Bd19lYaqBhU8_DElYkX7l4wRkHqqCUFNJY4AfY3kHU/edit?usp=sharing  #gid=0"",""фіз особи new!relations_name""),6,FALSE)
,
(IF
(
G11972=""юридична особа""
,
VLOO"&amp;"KUP(H11972,IMPORTRANGE(""https://docs.google.com/spreadsheets/d/14Bd19lYaqBhU8_DElYkX7l4wRkHqqCUFNJY4AfY3kHU/edit?usp=sharing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J11971" s="7" t="s">
        <v>11</v>
      </c>
    </row>
    <row r="11972" spans="1:10" ht="13.2">
      <c r="A11972" s="7">
        <v>11971</v>
      </c>
      <c r="B11972" s="7">
        <v>1</v>
      </c>
      <c r="C11972" s="7" t="s">
        <v>10</v>
      </c>
      <c r="D11972" s="7">
        <v>17981</v>
      </c>
      <c r="E11972" s="7" t="s">
        <v>11</v>
      </c>
      <c r="F11972" s="8" t="str">
        <f ca="1">IFERROR(__xludf.DUMMYFUNCTION("IF
(
C11973=""фізична особа""
,
VLOOKUP(D11973,IMPORTRANGE(""https://docs.google.com/spreadsheets/d/14Bd19lYaqBhU8_DElYkX7l4wRkHqqCUFNJY4AfY3kHU/edit?usp=sharing  #gid=0"",""фіз особи new!relations_name""),6,FALSE)
,
(IF
(
C11973=""юридична особа""
,
VLOO"&amp;"KUP(D11973,IMPORTRANGE(""https://docs.google.com/spreadsheets/d/14Bd19lYaqBhU8_DElYkX7l4wRkHqqCUFNJY4AfY3kHU/edit?usp=sharing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G11972" s="7" t="s">
        <v>10</v>
      </c>
      <c r="H11972" s="7">
        <v>17985</v>
      </c>
      <c r="I11972" s="8" t="str">
        <f ca="1">IFERROR(__xludf.DUMMYFUNCTION("IF
(
G11973=""фізична особа""
,
VLOOKUP(H11973,IMPORTRANGE(""https://docs.google.com/spreadsheets/d/14Bd19lYaqBhU8_DElYkX7l4wRkHqqCUFNJY4AfY3kHU/edit?usp=sharing  #gid=0"",""фіз особи new!relations_name""),6,FALSE)
,
(IF
(
G11973=""юридична особа""
,
VLOO"&amp;"KUP(H11973,IMPORTRANGE(""https://docs.google.com/spreadsheets/d/14Bd19lYaqBhU8_DElYkX7l4wRkHqqCUFNJY4AfY3kHU/edit?usp=sharing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J11972" s="7" t="s">
        <v>11</v>
      </c>
    </row>
    <row r="11973" spans="1:10" ht="13.2">
      <c r="A11973" s="7">
        <v>11972</v>
      </c>
      <c r="B11973" s="7">
        <v>1</v>
      </c>
      <c r="C11973" s="7" t="s">
        <v>10</v>
      </c>
      <c r="D11973" s="7">
        <v>17981</v>
      </c>
      <c r="E11973" s="7" t="s">
        <v>11</v>
      </c>
      <c r="F11973" s="8" t="str">
        <f ca="1">IFERROR(__xludf.DUMMYFUNCTION("IF
(
C11974=""фізична особа""
,
VLOOKUP(D11974,IMPORTRANGE(""https://docs.google.com/spreadsheets/d/14Bd19lYaqBhU8_DElYkX7l4wRkHqqCUFNJY4AfY3kHU/edit?usp=sharing  #gid=0"",""фіз особи new!relations_name""),6,FALSE)
,
(IF
(
C11974=""юридична особа""
,
VLOO"&amp;"KUP(D11974,IMPORTRANGE(""https://docs.google.com/spreadsheets/d/14Bd19lYaqBhU8_DElYkX7l4wRkHqqCUFNJY4AfY3kHU/edit?usp=sharing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G11973" s="7" t="s">
        <v>10</v>
      </c>
      <c r="H11973" s="7">
        <v>17986</v>
      </c>
      <c r="I11973" s="8" t="str">
        <f ca="1">IFERROR(__xludf.DUMMYFUNCTION("IF
(
G11974=""фізична особа""
,
VLOOKUP(H11974,IMPORTRANGE(""https://docs.google.com/spreadsheets/d/14Bd19lYaqBhU8_DElYkX7l4wRkHqqCUFNJY4AfY3kHU/edit?usp=sharing  #gid=0"",""фіз особи new!relations_name""),6,FALSE)
,
(IF
(
G11974=""юридична особа""
,
VLOO"&amp;"KUP(H11974,IMPORTRANGE(""https://docs.google.com/spreadsheets/d/14Bd19lYaqBhU8_DElYkX7l4wRkHqqCUFNJY4AfY3kHU/edit?usp=sharing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J11973" s="7" t="s">
        <v>11</v>
      </c>
    </row>
    <row r="11974" spans="1:10" ht="13.2">
      <c r="A11974" s="7">
        <v>11973</v>
      </c>
      <c r="B11974" s="7">
        <v>1</v>
      </c>
      <c r="C11974" s="7" t="s">
        <v>10</v>
      </c>
      <c r="D11974" s="7">
        <v>17982</v>
      </c>
      <c r="E11974" s="7" t="s">
        <v>11</v>
      </c>
      <c r="F11974" s="8" t="str">
        <f ca="1">IFERROR(__xludf.DUMMYFUNCTION("IF
(
C11975=""фізична особа""
,
VLOOKUP(D11975,IMPORTRANGE(""https://docs.google.com/spreadsheets/d/14Bd19lYaqBhU8_DElYkX7l4wRkHqqCUFNJY4AfY3kHU/edit?usp=sharing  #gid=0"",""фіз особи new!relations_name""),6,FALSE)
,
(IF
(
C11975=""юридична особа""
,
VLOO"&amp;"KUP(D11975,IMPORTRANGE(""https://docs.google.com/spreadsheets/d/14Bd19lYaqBhU8_DElYkX7l4wRkHqqCUFNJY4AfY3kHU/edit?usp=sharing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G11974" s="7" t="s">
        <v>10</v>
      </c>
      <c r="H11974" s="7">
        <v>17981</v>
      </c>
      <c r="I11974" s="8" t="str">
        <f ca="1">IFERROR(__xludf.DUMMYFUNCTION("IF
(
G11975=""фізична особа""
,
VLOOKUP(H11975,IMPORTRANGE(""https://docs.google.com/spreadsheets/d/14Bd19lYaqBhU8_DElYkX7l4wRkHqqCUFNJY4AfY3kHU/edit?usp=sharing  #gid=0"",""фіз особи new!relations_name""),6,FALSE)
,
(IF
(
G11975=""юридична особа""
,
VLOO"&amp;"KUP(H11975,IMPORTRANGE(""https://docs.google.com/spreadsheets/d/14Bd19lYaqBhU8_DElYkX7l4wRkHqqCUFNJY4AfY3kHU/edit?usp=sharing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J11974" s="7" t="s">
        <v>11</v>
      </c>
    </row>
    <row r="11975" spans="1:10" ht="13.2">
      <c r="A11975" s="7">
        <v>11974</v>
      </c>
      <c r="B11975" s="7">
        <v>1</v>
      </c>
      <c r="C11975" s="7" t="s">
        <v>10</v>
      </c>
      <c r="D11975" s="7">
        <v>17982</v>
      </c>
      <c r="E11975" s="7" t="s">
        <v>11</v>
      </c>
      <c r="F11975" s="8" t="str">
        <f ca="1">IFERROR(__xludf.DUMMYFUNCTION("IF
(
C11976=""фізична особа""
,
VLOOKUP(D11976,IMPORTRANGE(""https://docs.google.com/spreadsheets/d/14Bd19lYaqBhU8_DElYkX7l4wRkHqqCUFNJY4AfY3kHU/edit?usp=sharing  #gid=0"",""фіз особи new!relations_name""),6,FALSE)
,
(IF
(
C11976=""юридична особа""
,
VLOO"&amp;"KUP(D11976,IMPORTRANGE(""https://docs.google.com/spreadsheets/d/14Bd19lYaqBhU8_DElYkX7l4wRkHqqCUFNJY4AfY3kHU/edit?usp=sharing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G11975" s="7" t="s">
        <v>10</v>
      </c>
      <c r="H11975" s="7">
        <v>17983</v>
      </c>
      <c r="I11975" s="8" t="str">
        <f ca="1">IFERROR(__xludf.DUMMYFUNCTION("IF
(
G11976=""фізична особа""
,
VLOOKUP(H11976,IMPORTRANGE(""https://docs.google.com/spreadsheets/d/14Bd19lYaqBhU8_DElYkX7l4wRkHqqCUFNJY4AfY3kHU/edit?usp=sharing  #gid=0"",""фіз особи new!relations_name""),6,FALSE)
,
(IF
(
G11976=""юридична особа""
,
VLOO"&amp;"KUP(H11976,IMPORTRANGE(""https://docs.google.com/spreadsheets/d/14Bd19lYaqBhU8_DElYkX7l4wRkHqqCUFNJY4AfY3kHU/edit?usp=sharing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J11975" s="7" t="s">
        <v>11</v>
      </c>
    </row>
    <row r="11976" spans="1:10" ht="13.2">
      <c r="A11976" s="7">
        <v>11975</v>
      </c>
      <c r="B11976" s="7">
        <v>1</v>
      </c>
      <c r="C11976" s="7" t="s">
        <v>10</v>
      </c>
      <c r="D11976" s="7">
        <v>17982</v>
      </c>
      <c r="E11976" s="7" t="s">
        <v>11</v>
      </c>
      <c r="F11976" s="8" t="str">
        <f ca="1">IFERROR(__xludf.DUMMYFUNCTION("IF
(
C11977=""фізична особа""
,
VLOOKUP(D11977,IMPORTRANGE(""https://docs.google.com/spreadsheets/d/14Bd19lYaqBhU8_DElYkX7l4wRkHqqCUFNJY4AfY3kHU/edit?usp=sharing  #gid=0"",""фіз особи new!relations_name""),6,FALSE)
,
(IF
(
C11977=""юридична особа""
,
VLOO"&amp;"KUP(D11977,IMPORTRANGE(""https://docs.google.com/spreadsheets/d/14Bd19lYaqBhU8_DElYkX7l4wRkHqqCUFNJY4AfY3kHU/edit?usp=sharing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G11976" s="7" t="s">
        <v>10</v>
      </c>
      <c r="H11976" s="7">
        <v>17984</v>
      </c>
      <c r="I11976" s="8" t="str">
        <f ca="1">IFERROR(__xludf.DUMMYFUNCTION("IF
(
G11977=""фізична особа""
,
VLOOKUP(H11977,IMPORTRANGE(""https://docs.google.com/spreadsheets/d/14Bd19lYaqBhU8_DElYkX7l4wRkHqqCUFNJY4AfY3kHU/edit?usp=sharing  #gid=0"",""фіз особи new!relations_name""),6,FALSE)
,
(IF
(
G11977=""юридична особа""
,
VLOO"&amp;"KUP(H11977,IMPORTRANGE(""https://docs.google.com/spreadsheets/d/14Bd19lYaqBhU8_DElYkX7l4wRkHqqCUFNJY4AfY3kHU/edit?usp=sharing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J11976" s="7" t="s">
        <v>11</v>
      </c>
    </row>
    <row r="11977" spans="1:10" ht="13.2">
      <c r="A11977" s="7">
        <v>11976</v>
      </c>
      <c r="B11977" s="7">
        <v>1</v>
      </c>
      <c r="C11977" s="7" t="s">
        <v>10</v>
      </c>
      <c r="D11977" s="7">
        <v>17982</v>
      </c>
      <c r="E11977" s="7" t="s">
        <v>11</v>
      </c>
      <c r="F11977" s="8" t="str">
        <f ca="1">IFERROR(__xludf.DUMMYFUNCTION("IF
(
C11978=""фізична особа""
,
VLOOKUP(D11978,IMPORTRANGE(""https://docs.google.com/spreadsheets/d/14Bd19lYaqBhU8_DElYkX7l4wRkHqqCUFNJY4AfY3kHU/edit?usp=sharing  #gid=0"",""фіз особи new!relations_name""),6,FALSE)
,
(IF
(
C11978=""юридична особа""
,
VLOO"&amp;"KUP(D11978,IMPORTRANGE(""https://docs.google.com/spreadsheets/d/14Bd19lYaqBhU8_DElYkX7l4wRkHqqCUFNJY4AfY3kHU/edit?usp=sharing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G11977" s="7" t="s">
        <v>10</v>
      </c>
      <c r="H11977" s="7">
        <v>17985</v>
      </c>
      <c r="I11977" s="8" t="str">
        <f ca="1">IFERROR(__xludf.DUMMYFUNCTION("IF
(
G11978=""фізична особа""
,
VLOOKUP(H11978,IMPORTRANGE(""https://docs.google.com/spreadsheets/d/14Bd19lYaqBhU8_DElYkX7l4wRkHqqCUFNJY4AfY3kHU/edit?usp=sharing  #gid=0"",""фіз особи new!relations_name""),6,FALSE)
,
(IF
(
G11978=""юридична особа""
,
VLOO"&amp;"KUP(H11978,IMPORTRANGE(""https://docs.google.com/spreadsheets/d/14Bd19lYaqBhU8_DElYkX7l4wRkHqqCUFNJY4AfY3kHU/edit?usp=sharing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J11977" s="7" t="s">
        <v>11</v>
      </c>
    </row>
    <row r="11978" spans="1:10" ht="13.2">
      <c r="A11978" s="7">
        <v>11977</v>
      </c>
      <c r="B11978" s="7">
        <v>1</v>
      </c>
      <c r="C11978" s="7" t="s">
        <v>10</v>
      </c>
      <c r="D11978" s="7">
        <v>17982</v>
      </c>
      <c r="E11978" s="7" t="s">
        <v>11</v>
      </c>
      <c r="F11978" s="8" t="str">
        <f ca="1">IFERROR(__xludf.DUMMYFUNCTION("IF
(
C11979=""фізична особа""
,
VLOOKUP(D11979,IMPORTRANGE(""https://docs.google.com/spreadsheets/d/14Bd19lYaqBhU8_DElYkX7l4wRkHqqCUFNJY4AfY3kHU/edit?usp=sharing  #gid=0"",""фіз особи new!relations_name""),6,FALSE)
,
(IF
(
C11979=""юридична особа""
,
VLOO"&amp;"KUP(D11979,IMPORTRANGE(""https://docs.google.com/spreadsheets/d/14Bd19lYaqBhU8_DElYkX7l4wRkHqqCUFNJY4AfY3kHU/edit?usp=sharing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G11978" s="7" t="s">
        <v>10</v>
      </c>
      <c r="H11978" s="7">
        <v>17986</v>
      </c>
      <c r="I11978" s="8" t="str">
        <f ca="1">IFERROR(__xludf.DUMMYFUNCTION("IF
(
G11979=""фізична особа""
,
VLOOKUP(H11979,IMPORTRANGE(""https://docs.google.com/spreadsheets/d/14Bd19lYaqBhU8_DElYkX7l4wRkHqqCUFNJY4AfY3kHU/edit?usp=sharing  #gid=0"",""фіз особи new!relations_name""),6,FALSE)
,
(IF
(
G11979=""юридична особа""
,
VLOO"&amp;"KUP(H11979,IMPORTRANGE(""https://docs.google.com/spreadsheets/d/14Bd19lYaqBhU8_DElYkX7l4wRkHqqCUFNJY4AfY3kHU/edit?usp=sharing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J11978" s="7" t="s">
        <v>11</v>
      </c>
    </row>
    <row r="11979" spans="1:10" ht="13.2">
      <c r="A11979" s="7">
        <v>11978</v>
      </c>
      <c r="B11979" s="7">
        <v>1</v>
      </c>
      <c r="C11979" s="7" t="s">
        <v>10</v>
      </c>
      <c r="D11979" s="7">
        <v>17983</v>
      </c>
      <c r="E11979" s="7" t="s">
        <v>11</v>
      </c>
      <c r="F11979" s="8" t="str">
        <f ca="1">IFERROR(__xludf.DUMMYFUNCTION("IF
(
C11980=""фізична особа""
,
VLOOKUP(D11980,IMPORTRANGE(""https://docs.google.com/spreadsheets/d/14Bd19lYaqBhU8_DElYkX7l4wRkHqqCUFNJY4AfY3kHU/edit?usp=sharing  #gid=0"",""фіз особи new!relations_name""),6,FALSE)
,
(IF
(
C11980=""юридична особа""
,
VLOO"&amp;"KUP(D11980,IMPORTRANGE(""https://docs.google.com/spreadsheets/d/14Bd19lYaqBhU8_DElYkX7l4wRkHqqCUFNJY4AfY3kHU/edit?usp=sharing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G11979" s="7" t="s">
        <v>10</v>
      </c>
      <c r="H11979" s="7">
        <v>17981</v>
      </c>
      <c r="I11979" s="8" t="str">
        <f ca="1">IFERROR(__xludf.DUMMYFUNCTION("IF
(
G11980=""фізична особа""
,
VLOOKUP(H11980,IMPORTRANGE(""https://docs.google.com/spreadsheets/d/14Bd19lYaqBhU8_DElYkX7l4wRkHqqCUFNJY4AfY3kHU/edit?usp=sharing  #gid=0"",""фіз особи new!relations_name""),6,FALSE)
,
(IF
(
G11980=""юридична особа""
,
VLOO"&amp;"KUP(H11980,IMPORTRANGE(""https://docs.google.com/spreadsheets/d/14Bd19lYaqBhU8_DElYkX7l4wRkHqqCUFNJY4AfY3kHU/edit?usp=sharing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J11979" s="7" t="s">
        <v>11</v>
      </c>
    </row>
    <row r="11980" spans="1:10" ht="13.2">
      <c r="A11980" s="7">
        <v>11979</v>
      </c>
      <c r="B11980" s="7">
        <v>1</v>
      </c>
      <c r="C11980" s="7" t="s">
        <v>10</v>
      </c>
      <c r="D11980" s="7">
        <v>17983</v>
      </c>
      <c r="E11980" s="7" t="s">
        <v>11</v>
      </c>
      <c r="F11980" s="8" t="str">
        <f ca="1">IFERROR(__xludf.DUMMYFUNCTION("IF
(
C11981=""фізична особа""
,
VLOOKUP(D11981,IMPORTRANGE(""https://docs.google.com/spreadsheets/d/14Bd19lYaqBhU8_DElYkX7l4wRkHqqCUFNJY4AfY3kHU/edit?usp=sharing  #gid=0"",""фіз особи new!relations_name""),6,FALSE)
,
(IF
(
C11981=""юридична особа""
,
VLOO"&amp;"KUP(D11981,IMPORTRANGE(""https://docs.google.com/spreadsheets/d/14Bd19lYaqBhU8_DElYkX7l4wRkHqqCUFNJY4AfY3kHU/edit?usp=sharing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G11980" s="7" t="s">
        <v>10</v>
      </c>
      <c r="H11980" s="7">
        <v>17982</v>
      </c>
      <c r="I11980" s="8" t="str">
        <f ca="1">IFERROR(__xludf.DUMMYFUNCTION("IF
(
G11981=""фізична особа""
,
VLOOKUP(H11981,IMPORTRANGE(""https://docs.google.com/spreadsheets/d/14Bd19lYaqBhU8_DElYkX7l4wRkHqqCUFNJY4AfY3kHU/edit?usp=sharing  #gid=0"",""фіз особи new!relations_name""),6,FALSE)
,
(IF
(
G11981=""юридична особа""
,
VLOO"&amp;"KUP(H11981,IMPORTRANGE(""https://docs.google.com/spreadsheets/d/14Bd19lYaqBhU8_DElYkX7l4wRkHqqCUFNJY4AfY3kHU/edit?usp=sharing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J11980" s="7" t="s">
        <v>11</v>
      </c>
    </row>
    <row r="11981" spans="1:10" ht="13.2">
      <c r="A11981" s="7">
        <v>11980</v>
      </c>
      <c r="B11981" s="7">
        <v>1</v>
      </c>
      <c r="C11981" s="7" t="s">
        <v>10</v>
      </c>
      <c r="D11981" s="7">
        <v>17983</v>
      </c>
      <c r="E11981" s="7" t="s">
        <v>11</v>
      </c>
      <c r="F11981" s="8" t="str">
        <f ca="1">IFERROR(__xludf.DUMMYFUNCTION("IF
(
C11982=""фізична особа""
,
VLOOKUP(D11982,IMPORTRANGE(""https://docs.google.com/spreadsheets/d/14Bd19lYaqBhU8_DElYkX7l4wRkHqqCUFNJY4AfY3kHU/edit?usp=sharing  #gid=0"",""фіз особи new!relations_name""),6,FALSE)
,
(IF
(
C11982=""юридична особа""
,
VLOO"&amp;"KUP(D11982,IMPORTRANGE(""https://docs.google.com/spreadsheets/d/14Bd19lYaqBhU8_DElYkX7l4wRkHqqCUFNJY4AfY3kHU/edit?usp=sharing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G11981" s="7" t="s">
        <v>10</v>
      </c>
      <c r="H11981" s="7">
        <v>17984</v>
      </c>
      <c r="I11981" s="8" t="str">
        <f ca="1">IFERROR(__xludf.DUMMYFUNCTION("IF
(
G11982=""фізична особа""
,
VLOOKUP(H11982,IMPORTRANGE(""https://docs.google.com/spreadsheets/d/14Bd19lYaqBhU8_DElYkX7l4wRkHqqCUFNJY4AfY3kHU/edit?usp=sharing  #gid=0"",""фіз особи new!relations_name""),6,FALSE)
,
(IF
(
G11982=""юридична особа""
,
VLOO"&amp;"KUP(H11982,IMPORTRANGE(""https://docs.google.com/spreadsheets/d/14Bd19lYaqBhU8_DElYkX7l4wRkHqqCUFNJY4AfY3kHU/edit?usp=sharing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J11981" s="7" t="s">
        <v>11</v>
      </c>
    </row>
    <row r="11982" spans="1:10" ht="13.2">
      <c r="A11982" s="7">
        <v>11981</v>
      </c>
      <c r="B11982" s="7">
        <v>1</v>
      </c>
      <c r="C11982" s="7" t="s">
        <v>10</v>
      </c>
      <c r="D11982" s="7">
        <v>17983</v>
      </c>
      <c r="E11982" s="7" t="s">
        <v>11</v>
      </c>
      <c r="F11982" s="8" t="str">
        <f ca="1">IFERROR(__xludf.DUMMYFUNCTION("IF
(
C11983=""фізична особа""
,
VLOOKUP(D11983,IMPORTRANGE(""https://docs.google.com/spreadsheets/d/14Bd19lYaqBhU8_DElYkX7l4wRkHqqCUFNJY4AfY3kHU/edit?usp=sharing  #gid=0"",""фіз особи new!relations_name""),6,FALSE)
,
(IF
(
C11983=""юридична особа""
,
VLOO"&amp;"KUP(D11983,IMPORTRANGE(""https://docs.google.com/spreadsheets/d/14Bd19lYaqBhU8_DElYkX7l4wRkHqqCUFNJY4AfY3kHU/edit?usp=sharing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G11982" s="7" t="s">
        <v>10</v>
      </c>
      <c r="H11982" s="7">
        <v>17985</v>
      </c>
      <c r="I11982" s="8" t="str">
        <f ca="1">IFERROR(__xludf.DUMMYFUNCTION("IF
(
G11983=""фізична особа""
,
VLOOKUP(H11983,IMPORTRANGE(""https://docs.google.com/spreadsheets/d/14Bd19lYaqBhU8_DElYkX7l4wRkHqqCUFNJY4AfY3kHU/edit?usp=sharing  #gid=0"",""фіз особи new!relations_name""),6,FALSE)
,
(IF
(
G11983=""юридична особа""
,
VLOO"&amp;"KUP(H11983,IMPORTRANGE(""https://docs.google.com/spreadsheets/d/14Bd19lYaqBhU8_DElYkX7l4wRkHqqCUFNJY4AfY3kHU/edit?usp=sharing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J11982" s="7" t="s">
        <v>11</v>
      </c>
    </row>
    <row r="11983" spans="1:10" ht="13.2">
      <c r="A11983" s="7">
        <v>11982</v>
      </c>
      <c r="B11983" s="7">
        <v>1</v>
      </c>
      <c r="C11983" s="7" t="s">
        <v>10</v>
      </c>
      <c r="D11983" s="7">
        <v>17983</v>
      </c>
      <c r="E11983" s="7" t="s">
        <v>11</v>
      </c>
      <c r="F11983" s="8" t="str">
        <f ca="1">IFERROR(__xludf.DUMMYFUNCTION("IF
(
C11984=""фізична особа""
,
VLOOKUP(D11984,IMPORTRANGE(""https://docs.google.com/spreadsheets/d/14Bd19lYaqBhU8_DElYkX7l4wRkHqqCUFNJY4AfY3kHU/edit?usp=sharing  #gid=0"",""фіз особи new!relations_name""),6,FALSE)
,
(IF
(
C11984=""юридична особа""
,
VLOO"&amp;"KUP(D11984,IMPORTRANGE(""https://docs.google.com/spreadsheets/d/14Bd19lYaqBhU8_DElYkX7l4wRkHqqCUFNJY4AfY3kHU/edit?usp=sharing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G11983" s="7" t="s">
        <v>10</v>
      </c>
      <c r="H11983" s="7">
        <v>17986</v>
      </c>
      <c r="I11983" s="8" t="str">
        <f ca="1">IFERROR(__xludf.DUMMYFUNCTION("IF
(
G11984=""фізична особа""
,
VLOOKUP(H11984,IMPORTRANGE(""https://docs.google.com/spreadsheets/d/14Bd19lYaqBhU8_DElYkX7l4wRkHqqCUFNJY4AfY3kHU/edit?usp=sharing  #gid=0"",""фіз особи new!relations_name""),6,FALSE)
,
(IF
(
G11984=""юридична особа""
,
VLOO"&amp;"KUP(H11984,IMPORTRANGE(""https://docs.google.com/spreadsheets/d/14Bd19lYaqBhU8_DElYkX7l4wRkHqqCUFNJY4AfY3kHU/edit?usp=sharing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J11983" s="7" t="s">
        <v>11</v>
      </c>
    </row>
    <row r="11984" spans="1:10" ht="13.2">
      <c r="A11984" s="7">
        <v>11983</v>
      </c>
      <c r="B11984" s="7">
        <v>1</v>
      </c>
      <c r="C11984" s="7" t="s">
        <v>10</v>
      </c>
      <c r="D11984" s="7">
        <v>17984</v>
      </c>
      <c r="E11984" s="7" t="s">
        <v>11</v>
      </c>
      <c r="F11984" s="8" t="str">
        <f ca="1">IFERROR(__xludf.DUMMYFUNCTION("IF
(
C11985=""фізична особа""
,
VLOOKUP(D11985,IMPORTRANGE(""https://docs.google.com/spreadsheets/d/14Bd19lYaqBhU8_DElYkX7l4wRkHqqCUFNJY4AfY3kHU/edit?usp=sharing  #gid=0"",""фіз особи new!relations_name""),6,FALSE)
,
(IF
(
C11985=""юридична особа""
,
VLOO"&amp;"KUP(D11985,IMPORTRANGE(""https://docs.google.com/spreadsheets/d/14Bd19lYaqBhU8_DElYkX7l4wRkHqqCUFNJY4AfY3kHU/edit?usp=sharing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G11984" s="7" t="s">
        <v>10</v>
      </c>
      <c r="H11984" s="7">
        <v>17981</v>
      </c>
      <c r="I11984" s="8" t="str">
        <f ca="1">IFERROR(__xludf.DUMMYFUNCTION("IF
(
G11985=""фізична особа""
,
VLOOKUP(H11985,IMPORTRANGE(""https://docs.google.com/spreadsheets/d/14Bd19lYaqBhU8_DElYkX7l4wRkHqqCUFNJY4AfY3kHU/edit?usp=sharing  #gid=0"",""фіз особи new!relations_name""),6,FALSE)
,
(IF
(
G11985=""юридична особа""
,
VLOO"&amp;"KUP(H11985,IMPORTRANGE(""https://docs.google.com/spreadsheets/d/14Bd19lYaqBhU8_DElYkX7l4wRkHqqCUFNJY4AfY3kHU/edit?usp=sharing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J11984" s="7" t="s">
        <v>11</v>
      </c>
    </row>
    <row r="11985" spans="1:10" ht="13.2">
      <c r="A11985" s="7">
        <v>11984</v>
      </c>
      <c r="B11985" s="7">
        <v>1</v>
      </c>
      <c r="C11985" s="7" t="s">
        <v>10</v>
      </c>
      <c r="D11985" s="7">
        <v>17984</v>
      </c>
      <c r="E11985" s="7" t="s">
        <v>11</v>
      </c>
      <c r="F11985" s="8" t="str">
        <f ca="1">IFERROR(__xludf.DUMMYFUNCTION("IF
(
C11986=""фізична особа""
,
VLOOKUP(D11986,IMPORTRANGE(""https://docs.google.com/spreadsheets/d/14Bd19lYaqBhU8_DElYkX7l4wRkHqqCUFNJY4AfY3kHU/edit?usp=sharing  #gid=0"",""фіз особи new!relations_name""),6,FALSE)
,
(IF
(
C11986=""юридична особа""
,
VLOO"&amp;"KUP(D11986,IMPORTRANGE(""https://docs.google.com/spreadsheets/d/14Bd19lYaqBhU8_DElYkX7l4wRkHqqCUFNJY4AfY3kHU/edit?usp=sharing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G11985" s="7" t="s">
        <v>10</v>
      </c>
      <c r="H11985" s="7">
        <v>17982</v>
      </c>
      <c r="I11985" s="8" t="str">
        <f ca="1">IFERROR(__xludf.DUMMYFUNCTION("IF
(
G11986=""фізична особа""
,
VLOOKUP(H11986,IMPORTRANGE(""https://docs.google.com/spreadsheets/d/14Bd19lYaqBhU8_DElYkX7l4wRkHqqCUFNJY4AfY3kHU/edit?usp=sharing  #gid=0"",""фіз особи new!relations_name""),6,FALSE)
,
(IF
(
G11986=""юридична особа""
,
VLOO"&amp;"KUP(H11986,IMPORTRANGE(""https://docs.google.com/spreadsheets/d/14Bd19lYaqBhU8_DElYkX7l4wRkHqqCUFNJY4AfY3kHU/edit?usp=sharing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J11985" s="7" t="s">
        <v>11</v>
      </c>
    </row>
    <row r="11986" spans="1:10" ht="13.2">
      <c r="A11986" s="7">
        <v>11985</v>
      </c>
      <c r="B11986" s="7">
        <v>1</v>
      </c>
      <c r="C11986" s="7" t="s">
        <v>10</v>
      </c>
      <c r="D11986" s="7">
        <v>17984</v>
      </c>
      <c r="E11986" s="7" t="s">
        <v>11</v>
      </c>
      <c r="F11986" s="8" t="str">
        <f ca="1">IFERROR(__xludf.DUMMYFUNCTION("IF
(
C11987=""фізична особа""
,
VLOOKUP(D11987,IMPORTRANGE(""https://docs.google.com/spreadsheets/d/14Bd19lYaqBhU8_DElYkX7l4wRkHqqCUFNJY4AfY3kHU/edit?usp=sharing  #gid=0"",""фіз особи new!relations_name""),6,FALSE)
,
(IF
(
C11987=""юридична особа""
,
VLOO"&amp;"KUP(D11987,IMPORTRANGE(""https://docs.google.com/spreadsheets/d/14Bd19lYaqBhU8_DElYkX7l4wRkHqqCUFNJY4AfY3kHU/edit?usp=sharing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G11986" s="7" t="s">
        <v>10</v>
      </c>
      <c r="H11986" s="7">
        <v>17983</v>
      </c>
      <c r="I11986" s="8" t="str">
        <f ca="1">IFERROR(__xludf.DUMMYFUNCTION("IF
(
G11987=""фізична особа""
,
VLOOKUP(H11987,IMPORTRANGE(""https://docs.google.com/spreadsheets/d/14Bd19lYaqBhU8_DElYkX7l4wRkHqqCUFNJY4AfY3kHU/edit?usp=sharing  #gid=0"",""фіз особи new!relations_name""),6,FALSE)
,
(IF
(
G11987=""юридична особа""
,
VLOO"&amp;"KUP(H11987,IMPORTRANGE(""https://docs.google.com/spreadsheets/d/14Bd19lYaqBhU8_DElYkX7l4wRkHqqCUFNJY4AfY3kHU/edit?usp=sharing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J11986" s="7" t="s">
        <v>11</v>
      </c>
    </row>
    <row r="11987" spans="1:10" ht="13.2">
      <c r="A11987" s="7">
        <v>11986</v>
      </c>
      <c r="B11987" s="7">
        <v>1</v>
      </c>
      <c r="C11987" s="7" t="s">
        <v>10</v>
      </c>
      <c r="D11987" s="7">
        <v>17984</v>
      </c>
      <c r="E11987" s="7" t="s">
        <v>11</v>
      </c>
      <c r="F11987" s="8" t="str">
        <f ca="1">IFERROR(__xludf.DUMMYFUNCTION("IF
(
C11988=""фізична особа""
,
VLOOKUP(D11988,IMPORTRANGE(""https://docs.google.com/spreadsheets/d/14Bd19lYaqBhU8_DElYkX7l4wRkHqqCUFNJY4AfY3kHU/edit?usp=sharing  #gid=0"",""фіз особи new!relations_name""),6,FALSE)
,
(IF
(
C11988=""юридична особа""
,
VLOO"&amp;"KUP(D11988,IMPORTRANGE(""https://docs.google.com/spreadsheets/d/14Bd19lYaqBhU8_DElYkX7l4wRkHqqCUFNJY4AfY3kHU/edit?usp=sharing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G11987" s="7" t="s">
        <v>10</v>
      </c>
      <c r="H11987" s="7">
        <v>17985</v>
      </c>
      <c r="I11987" s="8" t="str">
        <f ca="1">IFERROR(__xludf.DUMMYFUNCTION("IF
(
G11988=""фізична особа""
,
VLOOKUP(H11988,IMPORTRANGE(""https://docs.google.com/spreadsheets/d/14Bd19lYaqBhU8_DElYkX7l4wRkHqqCUFNJY4AfY3kHU/edit?usp=sharing  #gid=0"",""фіз особи new!relations_name""),6,FALSE)
,
(IF
(
G11988=""юридична особа""
,
VLOO"&amp;"KUP(H11988,IMPORTRANGE(""https://docs.google.com/spreadsheets/d/14Bd19lYaqBhU8_DElYkX7l4wRkHqqCUFNJY4AfY3kHU/edit?usp=sharing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J11987" s="7" t="s">
        <v>11</v>
      </c>
    </row>
    <row r="11988" spans="1:10" ht="13.2">
      <c r="A11988" s="7">
        <v>11987</v>
      </c>
      <c r="B11988" s="7">
        <v>1</v>
      </c>
      <c r="C11988" s="7" t="s">
        <v>10</v>
      </c>
      <c r="D11988" s="7">
        <v>17984</v>
      </c>
      <c r="E11988" s="7" t="s">
        <v>11</v>
      </c>
      <c r="F11988" s="8" t="str">
        <f ca="1">IFERROR(__xludf.DUMMYFUNCTION("IF
(
C11989=""фізична особа""
,
VLOOKUP(D11989,IMPORTRANGE(""https://docs.google.com/spreadsheets/d/14Bd19lYaqBhU8_DElYkX7l4wRkHqqCUFNJY4AfY3kHU/edit?usp=sharing  #gid=0"",""фіз особи new!relations_name""),6,FALSE)
,
(IF
(
C11989=""юридична особа""
,
VLOO"&amp;"KUP(D11989,IMPORTRANGE(""https://docs.google.com/spreadsheets/d/14Bd19lYaqBhU8_DElYkX7l4wRkHqqCUFNJY4AfY3kHU/edit?usp=sharing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G11988" s="7" t="s">
        <v>10</v>
      </c>
      <c r="H11988" s="7">
        <v>17986</v>
      </c>
      <c r="I11988" s="8" t="str">
        <f ca="1">IFERROR(__xludf.DUMMYFUNCTION("IF
(
G11989=""фізична особа""
,
VLOOKUP(H11989,IMPORTRANGE(""https://docs.google.com/spreadsheets/d/14Bd19lYaqBhU8_DElYkX7l4wRkHqqCUFNJY4AfY3kHU/edit?usp=sharing  #gid=0"",""фіз особи new!relations_name""),6,FALSE)
,
(IF
(
G11989=""юридична особа""
,
VLOO"&amp;"KUP(H11989,IMPORTRANGE(""https://docs.google.com/spreadsheets/d/14Bd19lYaqBhU8_DElYkX7l4wRkHqqCUFNJY4AfY3kHU/edit?usp=sharing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J11988" s="7" t="s">
        <v>11</v>
      </c>
    </row>
    <row r="11989" spans="1:10" ht="13.2">
      <c r="A11989" s="7">
        <v>11988</v>
      </c>
      <c r="B11989" s="7">
        <v>1</v>
      </c>
      <c r="C11989" s="7" t="s">
        <v>10</v>
      </c>
      <c r="D11989" s="7">
        <v>17985</v>
      </c>
      <c r="E11989" s="7" t="s">
        <v>11</v>
      </c>
      <c r="F11989" s="8" t="str">
        <f ca="1">IFERROR(__xludf.DUMMYFUNCTION("IF
(
C11990=""фізична особа""
,
VLOOKUP(D11990,IMPORTRANGE(""https://docs.google.com/spreadsheets/d/14Bd19lYaqBhU8_DElYkX7l4wRkHqqCUFNJY4AfY3kHU/edit?usp=sharing  #gid=0"",""фіз особи new!relations_name""),6,FALSE)
,
(IF
(
C11990=""юридична особа""
,
VLOO"&amp;"KUP(D11990,IMPORTRANGE(""https://docs.google.com/spreadsheets/d/14Bd19lYaqBhU8_DElYkX7l4wRkHqqCUFNJY4AfY3kHU/edit?usp=sharing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G11989" s="7" t="s">
        <v>10</v>
      </c>
      <c r="H11989" s="7">
        <v>17981</v>
      </c>
      <c r="I11989" s="8" t="str">
        <f ca="1">IFERROR(__xludf.DUMMYFUNCTION("IF
(
G11990=""фізична особа""
,
VLOOKUP(H11990,IMPORTRANGE(""https://docs.google.com/spreadsheets/d/14Bd19lYaqBhU8_DElYkX7l4wRkHqqCUFNJY4AfY3kHU/edit?usp=sharing  #gid=0"",""фіз особи new!relations_name""),6,FALSE)
,
(IF
(
G11990=""юридична особа""
,
VLOO"&amp;"KUP(H11990,IMPORTRANGE(""https://docs.google.com/spreadsheets/d/14Bd19lYaqBhU8_DElYkX7l4wRkHqqCUFNJY4AfY3kHU/edit?usp=sharing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J11989" s="7" t="s">
        <v>11</v>
      </c>
    </row>
    <row r="11990" spans="1:10" ht="13.2">
      <c r="A11990" s="7">
        <v>11989</v>
      </c>
      <c r="B11990" s="7">
        <v>1</v>
      </c>
      <c r="C11990" s="7" t="s">
        <v>10</v>
      </c>
      <c r="D11990" s="7">
        <v>17985</v>
      </c>
      <c r="E11990" s="7" t="s">
        <v>11</v>
      </c>
      <c r="F11990" s="8" t="str">
        <f ca="1">IFERROR(__xludf.DUMMYFUNCTION("IF
(
C11991=""фізична особа""
,
VLOOKUP(D11991,IMPORTRANGE(""https://docs.google.com/spreadsheets/d/14Bd19lYaqBhU8_DElYkX7l4wRkHqqCUFNJY4AfY3kHU/edit?usp=sharing  #gid=0"",""фіз особи new!relations_name""),6,FALSE)
,
(IF
(
C11991=""юридична особа""
,
VLOO"&amp;"KUP(D11991,IMPORTRANGE(""https://docs.google.com/spreadsheets/d/14Bd19lYaqBhU8_DElYkX7l4wRkHqqCUFNJY4AfY3kHU/edit?usp=sharing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G11990" s="7" t="s">
        <v>10</v>
      </c>
      <c r="H11990" s="7">
        <v>17982</v>
      </c>
      <c r="I11990" s="8" t="str">
        <f ca="1">IFERROR(__xludf.DUMMYFUNCTION("IF
(
G11991=""фізична особа""
,
VLOOKUP(H11991,IMPORTRANGE(""https://docs.google.com/spreadsheets/d/14Bd19lYaqBhU8_DElYkX7l4wRkHqqCUFNJY4AfY3kHU/edit?usp=sharing  #gid=0"",""фіз особи new!relations_name""),6,FALSE)
,
(IF
(
G11991=""юридична особа""
,
VLOO"&amp;"KUP(H11991,IMPORTRANGE(""https://docs.google.com/spreadsheets/d/14Bd19lYaqBhU8_DElYkX7l4wRkHqqCUFNJY4AfY3kHU/edit?usp=sharing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J11990" s="7" t="s">
        <v>11</v>
      </c>
    </row>
    <row r="11991" spans="1:10" ht="13.2">
      <c r="A11991" s="7">
        <v>11990</v>
      </c>
      <c r="B11991" s="7">
        <v>1</v>
      </c>
      <c r="C11991" s="7" t="s">
        <v>10</v>
      </c>
      <c r="D11991" s="7">
        <v>17985</v>
      </c>
      <c r="E11991" s="7" t="s">
        <v>11</v>
      </c>
      <c r="F11991" s="8" t="str">
        <f ca="1">IFERROR(__xludf.DUMMYFUNCTION("IF
(
C11992=""фізична особа""
,
VLOOKUP(D11992,IMPORTRANGE(""https://docs.google.com/spreadsheets/d/14Bd19lYaqBhU8_DElYkX7l4wRkHqqCUFNJY4AfY3kHU/edit?usp=sharing  #gid=0"",""фіз особи new!relations_name""),6,FALSE)
,
(IF
(
C11992=""юридична особа""
,
VLOO"&amp;"KUP(D11992,IMPORTRANGE(""https://docs.google.com/spreadsheets/d/14Bd19lYaqBhU8_DElYkX7l4wRkHqqCUFNJY4AfY3kHU/edit?usp=sharing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G11991" s="7" t="s">
        <v>10</v>
      </c>
      <c r="H11991" s="7">
        <v>17983</v>
      </c>
      <c r="I11991" s="8" t="str">
        <f ca="1">IFERROR(__xludf.DUMMYFUNCTION("IF
(
G11992=""фізична особа""
,
VLOOKUP(H11992,IMPORTRANGE(""https://docs.google.com/spreadsheets/d/14Bd19lYaqBhU8_DElYkX7l4wRkHqqCUFNJY4AfY3kHU/edit?usp=sharing  #gid=0"",""фіз особи new!relations_name""),6,FALSE)
,
(IF
(
G11992=""юридична особа""
,
VLOO"&amp;"KUP(H11992,IMPORTRANGE(""https://docs.google.com/spreadsheets/d/14Bd19lYaqBhU8_DElYkX7l4wRkHqqCUFNJY4AfY3kHU/edit?usp=sharing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J11991" s="7" t="s">
        <v>11</v>
      </c>
    </row>
    <row r="11992" spans="1:10" ht="13.2">
      <c r="A11992" s="7">
        <v>11991</v>
      </c>
      <c r="B11992" s="7">
        <v>1</v>
      </c>
      <c r="C11992" s="7" t="s">
        <v>10</v>
      </c>
      <c r="D11992" s="7">
        <v>17985</v>
      </c>
      <c r="E11992" s="7" t="s">
        <v>11</v>
      </c>
      <c r="F11992" s="8" t="str">
        <f ca="1">IFERROR(__xludf.DUMMYFUNCTION("IF
(
C11993=""фізична особа""
,
VLOOKUP(D11993,IMPORTRANGE(""https://docs.google.com/spreadsheets/d/14Bd19lYaqBhU8_DElYkX7l4wRkHqqCUFNJY4AfY3kHU/edit?usp=sharing  #gid=0"",""фіз особи new!relations_name""),6,FALSE)
,
(IF
(
C11993=""юридична особа""
,
VLOO"&amp;"KUP(D11993,IMPORTRANGE(""https://docs.google.com/spreadsheets/d/14Bd19lYaqBhU8_DElYkX7l4wRkHqqCUFNJY4AfY3kHU/edit?usp=sharing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G11992" s="7" t="s">
        <v>10</v>
      </c>
      <c r="H11992" s="7">
        <v>17984</v>
      </c>
      <c r="I11992" s="8" t="str">
        <f ca="1">IFERROR(__xludf.DUMMYFUNCTION("IF
(
G11993=""фізична особа""
,
VLOOKUP(H11993,IMPORTRANGE(""https://docs.google.com/spreadsheets/d/14Bd19lYaqBhU8_DElYkX7l4wRkHqqCUFNJY4AfY3kHU/edit?usp=sharing  #gid=0"",""фіз особи new!relations_name""),6,FALSE)
,
(IF
(
G11993=""юридична особа""
,
VLOO"&amp;"KUP(H11993,IMPORTRANGE(""https://docs.google.com/spreadsheets/d/14Bd19lYaqBhU8_DElYkX7l4wRkHqqCUFNJY4AfY3kHU/edit?usp=sharing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J11992" s="7" t="s">
        <v>11</v>
      </c>
    </row>
    <row r="11993" spans="1:10" ht="13.2">
      <c r="A11993" s="7">
        <v>11992</v>
      </c>
      <c r="B11993" s="7">
        <v>1</v>
      </c>
      <c r="C11993" s="7" t="s">
        <v>10</v>
      </c>
      <c r="D11993" s="7">
        <v>17985</v>
      </c>
      <c r="E11993" s="7" t="s">
        <v>11</v>
      </c>
      <c r="F11993" s="8" t="str">
        <f ca="1">IFERROR(__xludf.DUMMYFUNCTION("IF
(
C11994=""фізична особа""
,
VLOOKUP(D11994,IMPORTRANGE(""https://docs.google.com/spreadsheets/d/14Bd19lYaqBhU8_DElYkX7l4wRkHqqCUFNJY4AfY3kHU/edit?usp=sharing  #gid=0"",""фіз особи new!relations_name""),6,FALSE)
,
(IF
(
C11994=""юридична особа""
,
VLOO"&amp;"KUP(D11994,IMPORTRANGE(""https://docs.google.com/spreadsheets/d/14Bd19lYaqBhU8_DElYkX7l4wRkHqqCUFNJY4AfY3kHU/edit?usp=sharing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G11993" s="7" t="s">
        <v>10</v>
      </c>
      <c r="H11993" s="7">
        <v>17986</v>
      </c>
      <c r="I11993" s="8" t="str">
        <f ca="1">IFERROR(__xludf.DUMMYFUNCTION("IF
(
G11994=""фізична особа""
,
VLOOKUP(H11994,IMPORTRANGE(""https://docs.google.com/spreadsheets/d/14Bd19lYaqBhU8_DElYkX7l4wRkHqqCUFNJY4AfY3kHU/edit?usp=sharing  #gid=0"",""фіз особи new!relations_name""),6,FALSE)
,
(IF
(
G11994=""юридична особа""
,
VLOO"&amp;"KUP(H11994,IMPORTRANGE(""https://docs.google.com/spreadsheets/d/14Bd19lYaqBhU8_DElYkX7l4wRkHqqCUFNJY4AfY3kHU/edit?usp=sharing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J11993" s="7" t="s">
        <v>11</v>
      </c>
    </row>
    <row r="11994" spans="1:10" ht="13.2">
      <c r="A11994" s="7">
        <v>11993</v>
      </c>
      <c r="B11994" s="7">
        <v>1</v>
      </c>
      <c r="C11994" s="7" t="s">
        <v>10</v>
      </c>
      <c r="D11994" s="7">
        <v>17986</v>
      </c>
      <c r="E11994" s="7" t="s">
        <v>11</v>
      </c>
      <c r="F11994" s="8" t="str">
        <f ca="1">IFERROR(__xludf.DUMMYFUNCTION("IF
(
C11995=""фізична особа""
,
VLOOKUP(D11995,IMPORTRANGE(""https://docs.google.com/spreadsheets/d/14Bd19lYaqBhU8_DElYkX7l4wRkHqqCUFNJY4AfY3kHU/edit?usp=sharing  #gid=0"",""фіз особи new!relations_name""),6,FALSE)
,
(IF
(
C11995=""юридична особа""
,
VLOO"&amp;"KUP(D11995,IMPORTRANGE(""https://docs.google.com/spreadsheets/d/14Bd19lYaqBhU8_DElYkX7l4wRkHqqCUFNJY4AfY3kHU/edit?usp=sharing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G11994" s="7" t="s">
        <v>10</v>
      </c>
      <c r="H11994" s="7">
        <v>17981</v>
      </c>
      <c r="I11994" s="8" t="str">
        <f ca="1">IFERROR(__xludf.DUMMYFUNCTION("IF
(
G11995=""фізична особа""
,
VLOOKUP(H11995,IMPORTRANGE(""https://docs.google.com/spreadsheets/d/14Bd19lYaqBhU8_DElYkX7l4wRkHqqCUFNJY4AfY3kHU/edit?usp=sharing  #gid=0"",""фіз особи new!relations_name""),6,FALSE)
,
(IF
(
G11995=""юридична особа""
,
VLOO"&amp;"KUP(H11995,IMPORTRANGE(""https://docs.google.com/spreadsheets/d/14Bd19lYaqBhU8_DElYkX7l4wRkHqqCUFNJY4AfY3kHU/edit?usp=sharing  #gid=0"",""фіз особи new!relations_name_uo""),7,FALSE)
,
)
))"),"МІЛКО Еміль Марія Буркард")</f>
        <v>МІЛКО Еміль Марія Буркард</v>
      </c>
      <c r="J11994" s="7" t="s">
        <v>11</v>
      </c>
    </row>
    <row r="11995" spans="1:10" ht="13.2">
      <c r="A11995" s="7">
        <v>11994</v>
      </c>
      <c r="B11995" s="7">
        <v>1</v>
      </c>
      <c r="C11995" s="7" t="s">
        <v>10</v>
      </c>
      <c r="D11995" s="7">
        <v>17986</v>
      </c>
      <c r="E11995" s="7" t="s">
        <v>11</v>
      </c>
      <c r="F11995" s="8" t="str">
        <f ca="1">IFERROR(__xludf.DUMMYFUNCTION("IF
(
C11996=""фізична особа""
,
VLOOKUP(D11996,IMPORTRANGE(""https://docs.google.com/spreadsheets/d/14Bd19lYaqBhU8_DElYkX7l4wRkHqqCUFNJY4AfY3kHU/edit?usp=sharing  #gid=0"",""фіз особи new!relations_name""),6,FALSE)
,
(IF
(
C11996=""юридична особа""
,
VLOO"&amp;"KUP(D11996,IMPORTRANGE(""https://docs.google.com/spreadsheets/d/14Bd19lYaqBhU8_DElYkX7l4wRkHqqCUFNJY4AfY3kHU/edit?usp=sharing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G11995" s="7" t="s">
        <v>10</v>
      </c>
      <c r="H11995" s="7">
        <v>17982</v>
      </c>
      <c r="I11995" s="8" t="str">
        <f ca="1">IFERROR(__xludf.DUMMYFUNCTION("IF
(
G11996=""фізична особа""
,
VLOOKUP(H11996,IMPORTRANGE(""https://docs.google.com/spreadsheets/d/14Bd19lYaqBhU8_DElYkX7l4wRkHqqCUFNJY4AfY3kHU/edit?usp=sharing  #gid=0"",""фіз особи new!relations_name""),6,FALSE)
,
(IF
(
G11996=""юридична особа""
,
VLOO"&amp;"KUP(H11996,IMPORTRANGE(""https://docs.google.com/spreadsheets/d/14Bd19lYaqBhU8_DElYkX7l4wRkHqqCUFNJY4AfY3kHU/edit?usp=sharing  #gid=0"",""фіз особи new!relations_name_uo""),7,FALSE)
,
)
))"),"ГОРДІЄНКО Денис Геннадійович")</f>
        <v>ГОРДІЄНКО Денис Геннадійович</v>
      </c>
      <c r="J11995" s="7" t="s">
        <v>11</v>
      </c>
    </row>
    <row r="11996" spans="1:10" ht="13.2">
      <c r="A11996" s="7">
        <v>11995</v>
      </c>
      <c r="B11996" s="7">
        <v>1</v>
      </c>
      <c r="C11996" s="7" t="s">
        <v>10</v>
      </c>
      <c r="D11996" s="7">
        <v>17986</v>
      </c>
      <c r="E11996" s="7" t="s">
        <v>11</v>
      </c>
      <c r="F11996" s="8" t="str">
        <f ca="1">IFERROR(__xludf.DUMMYFUNCTION("IF
(
C11997=""фізична особа""
,
VLOOKUP(D11997,IMPORTRANGE(""https://docs.google.com/spreadsheets/d/14Bd19lYaqBhU8_DElYkX7l4wRkHqqCUFNJY4AfY3kHU/edit?usp=sharing  #gid=0"",""фіз особи new!relations_name""),6,FALSE)
,
(IF
(
C11997=""юридична особа""
,
VLOO"&amp;"KUP(D11997,IMPORTRANGE(""https://docs.google.com/spreadsheets/d/14Bd19lYaqBhU8_DElYkX7l4wRkHqqCUFNJY4AfY3kHU/edit?usp=sharing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G11996" s="7" t="s">
        <v>10</v>
      </c>
      <c r="H11996" s="7">
        <v>17983</v>
      </c>
      <c r="I11996" s="8" t="str">
        <f ca="1">IFERROR(__xludf.DUMMYFUNCTION("IF
(
G11997=""фізична особа""
,
VLOOKUP(H11997,IMPORTRANGE(""https://docs.google.com/spreadsheets/d/14Bd19lYaqBhU8_DElYkX7l4wRkHqqCUFNJY4AfY3kHU/edit?usp=sharing  #gid=0"",""фіз особи new!relations_name""),6,FALSE)
,
(IF
(
G11997=""юридична особа""
,
VLOO"&amp;"KUP(H11997,IMPORTRANGE(""https://docs.google.com/spreadsheets/d/14Bd19lYaqBhU8_DElYkX7l4wRkHqqCUFNJY4AfY3kHU/edit?usp=sharing  #gid=0"",""фіз особи new!relations_name_uo""),7,FALSE)
,
)
))"),"КРИВИЦЬКИЙ Михайло Борисович")</f>
        <v>КРИВИЦЬКИЙ Михайло Борисович</v>
      </c>
      <c r="J11996" s="7" t="s">
        <v>11</v>
      </c>
    </row>
    <row r="11997" spans="1:10" ht="13.2">
      <c r="A11997" s="7">
        <v>11996</v>
      </c>
      <c r="B11997" s="7">
        <v>1</v>
      </c>
      <c r="C11997" s="7" t="s">
        <v>10</v>
      </c>
      <c r="D11997" s="7">
        <v>17986</v>
      </c>
      <c r="E11997" s="7" t="s">
        <v>11</v>
      </c>
      <c r="F11997" s="8" t="str">
        <f ca="1">IFERROR(__xludf.DUMMYFUNCTION("IF
(
C11998=""фізична особа""
,
VLOOKUP(D11998,IMPORTRANGE(""https://docs.google.com/spreadsheets/d/14Bd19lYaqBhU8_DElYkX7l4wRkHqqCUFNJY4AfY3kHU/edit?usp=sharing  #gid=0"",""фіз особи new!relations_name""),6,FALSE)
,
(IF
(
C11998=""юридична особа""
,
VLOO"&amp;"KUP(D11998,IMPORTRANGE(""https://docs.google.com/spreadsheets/d/14Bd19lYaqBhU8_DElYkX7l4wRkHqqCUFNJY4AfY3kHU/edit?usp=sharing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G11997" s="7" t="s">
        <v>10</v>
      </c>
      <c r="H11997" s="7">
        <v>17984</v>
      </c>
      <c r="I11997" s="8" t="str">
        <f ca="1">IFERROR(__xludf.DUMMYFUNCTION("IF
(
G11998=""фізична особа""
,
VLOOKUP(H11998,IMPORTRANGE(""https://docs.google.com/spreadsheets/d/14Bd19lYaqBhU8_DElYkX7l4wRkHqqCUFNJY4AfY3kHU/edit?usp=sharing  #gid=0"",""фіз особи new!relations_name""),6,FALSE)
,
(IF
(
G11998=""юридична особа""
,
VLOO"&amp;"KUP(H11998,IMPORTRANGE(""https://docs.google.com/spreadsheets/d/14Bd19lYaqBhU8_DElYkX7l4wRkHqqCUFNJY4AfY3kHU/edit?usp=sharing  #gid=0"",""фіз особи new!relations_name_uo""),7,FALSE)
,
)
))"),"ФЕЛІКС Морено Діас")</f>
        <v>ФЕЛІКС Морено Діас</v>
      </c>
      <c r="J11997" s="7" t="s">
        <v>11</v>
      </c>
    </row>
    <row r="11998" spans="1:10" ht="13.2">
      <c r="A11998" s="7">
        <v>11997</v>
      </c>
      <c r="B11998" s="7">
        <v>1</v>
      </c>
      <c r="C11998" s="7" t="s">
        <v>10</v>
      </c>
      <c r="D11998" s="7">
        <v>17986</v>
      </c>
      <c r="E11998" s="7" t="s">
        <v>11</v>
      </c>
      <c r="F11998" s="8" t="str">
        <f ca="1">IFERROR(__xludf.DUMMYFUNCTION("IF
(
C11999=""фізична особа""
,
VLOOKUP(D11999,IMPORTRANGE(""https://docs.google.com/spreadsheets/d/14Bd19lYaqBhU8_DElYkX7l4wRkHqqCUFNJY4AfY3kHU/edit?usp=sharing  #gid=0"",""фіз особи new!relations_name""),6,FALSE)
,
(IF
(
C11999=""юридична особа""
,
VLOO"&amp;"KUP(D11999,IMPORTRANGE(""https://docs.google.com/spreadsheets/d/14Bd19lYaqBhU8_DElYkX7l4wRkHqqCUFNJY4AfY3kHU/edit?usp=sharing  #gid=0"",""фіз особи new!relations_name_uo""),7,FALSE)
,
)
))"),"ДЖОН Віллем Ван Пут")</f>
        <v>ДЖОН Віллем Ван Пут</v>
      </c>
      <c r="G11998" s="7" t="s">
        <v>10</v>
      </c>
      <c r="H11998" s="7">
        <v>17985</v>
      </c>
      <c r="I11998" s="8" t="str">
        <f ca="1">IFERROR(__xludf.DUMMYFUNCTION("IF
(
G11999=""фізична особа""
,
VLOOKUP(H11999,IMPORTRANGE(""https://docs.google.com/spreadsheets/d/14Bd19lYaqBhU8_DElYkX7l4wRkHqqCUFNJY4AfY3kHU/edit?usp=sharing  #gid=0"",""фіз особи new!relations_name""),6,FALSE)
,
(IF
(
G11999=""юридична особа""
,
VLOO"&amp;"KUP(H11999,IMPORTRANGE(""https://docs.google.com/spreadsheets/d/14Bd19lYaqBhU8_DElYkX7l4wRkHqqCUFNJY4AfY3kHU/edit?usp=sharing  #gid=0"",""фіз особи new!relations_name_uo""),7,FALSE)
,
)
))"),"СОЛДАТОВ Андрій Євгенійович")</f>
        <v>СОЛДАТОВ Андрій Євгенійович</v>
      </c>
      <c r="J11998" s="7" t="s">
        <v>11</v>
      </c>
    </row>
    <row r="11999" spans="1:10" ht="13.2">
      <c r="A11999" s="7">
        <v>11998</v>
      </c>
      <c r="B11999" s="7">
        <v>1</v>
      </c>
      <c r="C11999" s="7" t="s">
        <v>10</v>
      </c>
      <c r="D11999" s="7">
        <v>17987</v>
      </c>
      <c r="E11999" s="7" t="s">
        <v>11</v>
      </c>
      <c r="F11999" s="8" t="str">
        <f ca="1">IFERROR(__xludf.DUMMYFUNCTION("IF
(
C12000=""фізична особа""
,
VLOOKUP(D12000,IMPORTRANGE(""https://docs.google.com/spreadsheets/d/14Bd19lYaqBhU8_DElYkX7l4wRkHqqCUFNJY4AfY3kHU/edit?usp=sharing  #gid=0"",""фіз особи new!relations_name""),6,FALSE)
,
(IF
(
C12000=""юридична особа""
,
VLOO"&amp;"KUP(D12000,IMPORTRANGE(""https://docs.google.com/spreadsheets/d/14Bd19lYaqBhU8_DElYkX7l4wRkHqqCUFNJY4AfY3kHU/edit?usp=sharing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G11999" s="7" t="s">
        <v>10</v>
      </c>
      <c r="H11999" s="7">
        <v>17988</v>
      </c>
      <c r="I11999" s="8" t="str">
        <f ca="1">IFERROR(__xludf.DUMMYFUNCTION("IF
(
G12000=""фізична особа""
,
VLOOKUP(H12000,IMPORTRANGE(""https://docs.google.com/spreadsheets/d/14Bd19lYaqBhU8_DElYkX7l4wRkHqqCUFNJY4AfY3kHU/edit?usp=sharing  #gid=0"",""фіз особи new!relations_name""),6,FALSE)
,
(IF
(
G12000=""юридична особа""
,
VLOO"&amp;"KUP(H12000,IMPORTRANGE(""https://docs.google.com/spreadsheets/d/14Bd19lYaqBhU8_DElYkX7l4wRkHqqCUFNJY4AfY3kHU/edit?usp=sharing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J11999" s="7" t="s">
        <v>11</v>
      </c>
    </row>
    <row r="12000" spans="1:10" ht="13.2">
      <c r="A12000" s="7">
        <v>11999</v>
      </c>
      <c r="B12000" s="7">
        <v>1</v>
      </c>
      <c r="C12000" s="7" t="s">
        <v>10</v>
      </c>
      <c r="D12000" s="7">
        <v>17987</v>
      </c>
      <c r="E12000" s="7" t="s">
        <v>11</v>
      </c>
      <c r="F12000" s="8" t="str">
        <f ca="1">IFERROR(__xludf.DUMMYFUNCTION("IF
(
C12001=""фізична особа""
,
VLOOKUP(D12001,IMPORTRANGE(""https://docs.google.com/spreadsheets/d/14Bd19lYaqBhU8_DElYkX7l4wRkHqqCUFNJY4AfY3kHU/edit?usp=sharing  #gid=0"",""фіз особи new!relations_name""),6,FALSE)
,
(IF
(
C12001=""юридична особа""
,
VLOO"&amp;"KUP(D12001,IMPORTRANGE(""https://docs.google.com/spreadsheets/d/14Bd19lYaqBhU8_DElYkX7l4wRkHqqCUFNJY4AfY3kHU/edit?usp=sharing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G12000" s="7" t="s">
        <v>10</v>
      </c>
      <c r="H12000" s="7">
        <v>17989</v>
      </c>
      <c r="I12000" s="8" t="str">
        <f ca="1">IFERROR(__xludf.DUMMYFUNCTION("IF
(
G12001=""фізична особа""
,
VLOOKUP(H12001,IMPORTRANGE(""https://docs.google.com/spreadsheets/d/14Bd19lYaqBhU8_DElYkX7l4wRkHqqCUFNJY4AfY3kHU/edit?usp=sharing  #gid=0"",""фіз особи new!relations_name""),6,FALSE)
,
(IF
(
G12001=""юридична особа""
,
VLOO"&amp;"KUP(H12001,IMPORTRANGE(""https://docs.google.com/spreadsheets/d/14Bd19lYaqBhU8_DElYkX7l4wRkHqqCUFNJY4AfY3kHU/edit?usp=sharing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J12000" s="7" t="s">
        <v>11</v>
      </c>
    </row>
    <row r="12001" spans="1:10" ht="13.2">
      <c r="A12001" s="7">
        <v>12000</v>
      </c>
      <c r="B12001" s="7">
        <v>1</v>
      </c>
      <c r="C12001" s="7" t="s">
        <v>10</v>
      </c>
      <c r="D12001" s="7">
        <v>17987</v>
      </c>
      <c r="E12001" s="7" t="s">
        <v>11</v>
      </c>
      <c r="F12001" s="8" t="str">
        <f ca="1">IFERROR(__xludf.DUMMYFUNCTION("IF
(
C12002=""фізична особа""
,
VLOOKUP(D12002,IMPORTRANGE(""https://docs.google.com/spreadsheets/d/14Bd19lYaqBhU8_DElYkX7l4wRkHqqCUFNJY4AfY3kHU/edit?usp=sharing  #gid=0"",""фіз особи new!relations_name""),6,FALSE)
,
(IF
(
C12002=""юридична особа""
,
VLOO"&amp;"KUP(D12002,IMPORTRANGE(""https://docs.google.com/spreadsheets/d/14Bd19lYaqBhU8_DElYkX7l4wRkHqqCUFNJY4AfY3kHU/edit?usp=sharing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G12001" s="7" t="s">
        <v>10</v>
      </c>
      <c r="H12001" s="7">
        <v>17990</v>
      </c>
      <c r="I12001" s="8" t="str">
        <f ca="1">IFERROR(__xludf.DUMMYFUNCTION("IF
(
G12002=""фізична особа""
,
VLOOKUP(H12002,IMPORTRANGE(""https://docs.google.com/spreadsheets/d/14Bd19lYaqBhU8_DElYkX7l4wRkHqqCUFNJY4AfY3kHU/edit?usp=sharing  #gid=0"",""фіз особи new!relations_name""),6,FALSE)
,
(IF
(
G12002=""юридична особа""
,
VLOO"&amp;"KUP(H12002,IMPORTRANGE(""https://docs.google.com/spreadsheets/d/14Bd19lYaqBhU8_DElYkX7l4wRkHqqCUFNJY4AfY3kHU/edit?usp=sharing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J12001" s="7" t="s">
        <v>11</v>
      </c>
    </row>
    <row r="12002" spans="1:10" ht="13.2">
      <c r="A12002" s="7">
        <v>12001</v>
      </c>
      <c r="B12002" s="7">
        <v>1</v>
      </c>
      <c r="C12002" s="7" t="s">
        <v>10</v>
      </c>
      <c r="D12002" s="7">
        <v>17987</v>
      </c>
      <c r="E12002" s="7" t="s">
        <v>11</v>
      </c>
      <c r="F12002" s="8" t="str">
        <f ca="1">IFERROR(__xludf.DUMMYFUNCTION("IF
(
C12003=""фізична особа""
,
VLOOKUP(D12003,IMPORTRANGE(""https://docs.google.com/spreadsheets/d/14Bd19lYaqBhU8_DElYkX7l4wRkHqqCUFNJY4AfY3kHU/edit?usp=sharing  #gid=0"",""фіз особи new!relations_name""),6,FALSE)
,
(IF
(
C12003=""юридична особа""
,
VLOO"&amp;"KUP(D12003,IMPORTRANGE(""https://docs.google.com/spreadsheets/d/14Bd19lYaqBhU8_DElYkX7l4wRkHqqCUFNJY4AfY3kHU/edit?usp=sharing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G12002" s="7" t="s">
        <v>10</v>
      </c>
      <c r="H12002" s="7">
        <v>17991</v>
      </c>
      <c r="I12002" s="8" t="str">
        <f ca="1">IFERROR(__xludf.DUMMYFUNCTION("IF
(
G12003=""фізична особа""
,
VLOOKUP(H12003,IMPORTRANGE(""https://docs.google.com/spreadsheets/d/14Bd19lYaqBhU8_DElYkX7l4wRkHqqCUFNJY4AfY3kHU/edit?usp=sharing  #gid=0"",""фіз особи new!relations_name""),6,FALSE)
,
(IF
(
G12003=""юридична особа""
,
VLOO"&amp;"KUP(H12003,IMPORTRANGE(""https://docs.google.com/spreadsheets/d/14Bd19lYaqBhU8_DElYkX7l4wRkHqqCUFNJY4AfY3kHU/edit?usp=sharing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J12002" s="7" t="s">
        <v>11</v>
      </c>
    </row>
    <row r="12003" spans="1:10" ht="13.2">
      <c r="A12003" s="7">
        <v>12002</v>
      </c>
      <c r="B12003" s="7">
        <v>1</v>
      </c>
      <c r="C12003" s="7" t="s">
        <v>10</v>
      </c>
      <c r="D12003" s="7">
        <v>17988</v>
      </c>
      <c r="E12003" s="7" t="s">
        <v>11</v>
      </c>
      <c r="F12003" s="8" t="str">
        <f ca="1">IFERROR(__xludf.DUMMYFUNCTION("IF
(
C12004=""фізична особа""
,
VLOOKUP(D12004,IMPORTRANGE(""https://docs.google.com/spreadsheets/d/14Bd19lYaqBhU8_DElYkX7l4wRkHqqCUFNJY4AfY3kHU/edit?usp=sharing  #gid=0"",""фіз особи new!relations_name""),6,FALSE)
,
(IF
(
C12004=""юридична особа""
,
VLOO"&amp;"KUP(D12004,IMPORTRANGE(""https://docs.google.com/spreadsheets/d/14Bd19lYaqBhU8_DElYkX7l4wRkHqqCUFNJY4AfY3kHU/edit?usp=sharing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G12003" s="7" t="s">
        <v>10</v>
      </c>
      <c r="H12003" s="7">
        <v>17987</v>
      </c>
      <c r="I12003" s="8" t="str">
        <f ca="1">IFERROR(__xludf.DUMMYFUNCTION("IF
(
G12004=""фізична особа""
,
VLOOKUP(H12004,IMPORTRANGE(""https://docs.google.com/spreadsheets/d/14Bd19lYaqBhU8_DElYkX7l4wRkHqqCUFNJY4AfY3kHU/edit?usp=sharing  #gid=0"",""фіз особи new!relations_name""),6,FALSE)
,
(IF
(
G12004=""юридична особа""
,
VLOO"&amp;"KUP(H12004,IMPORTRANGE(""https://docs.google.com/spreadsheets/d/14Bd19lYaqBhU8_DElYkX7l4wRkHqqCUFNJY4AfY3kHU/edit?usp=sharing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J12003" s="7" t="s">
        <v>11</v>
      </c>
    </row>
    <row r="12004" spans="1:10" ht="13.2">
      <c r="A12004" s="7">
        <v>12003</v>
      </c>
      <c r="B12004" s="7">
        <v>1</v>
      </c>
      <c r="C12004" s="7" t="s">
        <v>10</v>
      </c>
      <c r="D12004" s="7">
        <v>17988</v>
      </c>
      <c r="E12004" s="7" t="s">
        <v>11</v>
      </c>
      <c r="F12004" s="8" t="str">
        <f ca="1">IFERROR(__xludf.DUMMYFUNCTION("IF
(
C12005=""фізична особа""
,
VLOOKUP(D12005,IMPORTRANGE(""https://docs.google.com/spreadsheets/d/14Bd19lYaqBhU8_DElYkX7l4wRkHqqCUFNJY4AfY3kHU/edit?usp=sharing  #gid=0"",""фіз особи new!relations_name""),6,FALSE)
,
(IF
(
C12005=""юридична особа""
,
VLOO"&amp;"KUP(D12005,IMPORTRANGE(""https://docs.google.com/spreadsheets/d/14Bd19lYaqBhU8_DElYkX7l4wRkHqqCUFNJY4AfY3kHU/edit?usp=sharing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G12004" s="7" t="s">
        <v>10</v>
      </c>
      <c r="H12004" s="7">
        <v>17989</v>
      </c>
      <c r="I12004" s="8" t="str">
        <f ca="1">IFERROR(__xludf.DUMMYFUNCTION("IF
(
G12005=""фізична особа""
,
VLOOKUP(H12005,IMPORTRANGE(""https://docs.google.com/spreadsheets/d/14Bd19lYaqBhU8_DElYkX7l4wRkHqqCUFNJY4AfY3kHU/edit?usp=sharing  #gid=0"",""фіз особи new!relations_name""),6,FALSE)
,
(IF
(
G12005=""юридична особа""
,
VLOO"&amp;"KUP(H12005,IMPORTRANGE(""https://docs.google.com/spreadsheets/d/14Bd19lYaqBhU8_DElYkX7l4wRkHqqCUFNJY4AfY3kHU/edit?usp=sharing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J12004" s="7" t="s">
        <v>11</v>
      </c>
    </row>
    <row r="12005" spans="1:10" ht="13.2">
      <c r="A12005" s="7">
        <v>12004</v>
      </c>
      <c r="B12005" s="7">
        <v>1</v>
      </c>
      <c r="C12005" s="7" t="s">
        <v>10</v>
      </c>
      <c r="D12005" s="7">
        <v>17988</v>
      </c>
      <c r="E12005" s="7" t="s">
        <v>11</v>
      </c>
      <c r="F12005" s="8" t="str">
        <f ca="1">IFERROR(__xludf.DUMMYFUNCTION("IF
(
C12006=""фізична особа""
,
VLOOKUP(D12006,IMPORTRANGE(""https://docs.google.com/spreadsheets/d/14Bd19lYaqBhU8_DElYkX7l4wRkHqqCUFNJY4AfY3kHU/edit?usp=sharing  #gid=0"",""фіз особи new!relations_name""),6,FALSE)
,
(IF
(
C12006=""юридична особа""
,
VLOO"&amp;"KUP(D12006,IMPORTRANGE(""https://docs.google.com/spreadsheets/d/14Bd19lYaqBhU8_DElYkX7l4wRkHqqCUFNJY4AfY3kHU/edit?usp=sharing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G12005" s="7" t="s">
        <v>10</v>
      </c>
      <c r="H12005" s="7">
        <v>17990</v>
      </c>
      <c r="I12005" s="8" t="str">
        <f ca="1">IFERROR(__xludf.DUMMYFUNCTION("IF
(
G12006=""фізична особа""
,
VLOOKUP(H12006,IMPORTRANGE(""https://docs.google.com/spreadsheets/d/14Bd19lYaqBhU8_DElYkX7l4wRkHqqCUFNJY4AfY3kHU/edit?usp=sharing  #gid=0"",""фіз особи new!relations_name""),6,FALSE)
,
(IF
(
G12006=""юридична особа""
,
VLOO"&amp;"KUP(H12006,IMPORTRANGE(""https://docs.google.com/spreadsheets/d/14Bd19lYaqBhU8_DElYkX7l4wRkHqqCUFNJY4AfY3kHU/edit?usp=sharing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J12005" s="7" t="s">
        <v>11</v>
      </c>
    </row>
    <row r="12006" spans="1:10" ht="13.2">
      <c r="A12006" s="7">
        <v>12005</v>
      </c>
      <c r="B12006" s="7">
        <v>1</v>
      </c>
      <c r="C12006" s="7" t="s">
        <v>10</v>
      </c>
      <c r="D12006" s="7">
        <v>17988</v>
      </c>
      <c r="E12006" s="7" t="s">
        <v>11</v>
      </c>
      <c r="F12006" s="8" t="str">
        <f ca="1">IFERROR(__xludf.DUMMYFUNCTION("IF
(
C12007=""фізична особа""
,
VLOOKUP(D12007,IMPORTRANGE(""https://docs.google.com/spreadsheets/d/14Bd19lYaqBhU8_DElYkX7l4wRkHqqCUFNJY4AfY3kHU/edit?usp=sharing  #gid=0"",""фіз особи new!relations_name""),6,FALSE)
,
(IF
(
C12007=""юридична особа""
,
VLOO"&amp;"KUP(D12007,IMPORTRANGE(""https://docs.google.com/spreadsheets/d/14Bd19lYaqBhU8_DElYkX7l4wRkHqqCUFNJY4AfY3kHU/edit?usp=sharing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G12006" s="7" t="s">
        <v>10</v>
      </c>
      <c r="H12006" s="7">
        <v>17991</v>
      </c>
      <c r="I12006" s="8" t="str">
        <f ca="1">IFERROR(__xludf.DUMMYFUNCTION("IF
(
G12007=""фізична особа""
,
VLOOKUP(H12007,IMPORTRANGE(""https://docs.google.com/spreadsheets/d/14Bd19lYaqBhU8_DElYkX7l4wRkHqqCUFNJY4AfY3kHU/edit?usp=sharing  #gid=0"",""фіз особи new!relations_name""),6,FALSE)
,
(IF
(
G12007=""юридична особа""
,
VLOO"&amp;"KUP(H12007,IMPORTRANGE(""https://docs.google.com/spreadsheets/d/14Bd19lYaqBhU8_DElYkX7l4wRkHqqCUFNJY4AfY3kHU/edit?usp=sharing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J12006" s="7" t="s">
        <v>11</v>
      </c>
    </row>
    <row r="12007" spans="1:10" ht="13.2">
      <c r="A12007" s="7">
        <v>12006</v>
      </c>
      <c r="B12007" s="7">
        <v>1</v>
      </c>
      <c r="C12007" s="7" t="s">
        <v>10</v>
      </c>
      <c r="D12007" s="7">
        <v>17989</v>
      </c>
      <c r="E12007" s="7" t="s">
        <v>11</v>
      </c>
      <c r="F12007" s="8" t="str">
        <f ca="1">IFERROR(__xludf.DUMMYFUNCTION("IF
(
C12008=""фізична особа""
,
VLOOKUP(D12008,IMPORTRANGE(""https://docs.google.com/spreadsheets/d/14Bd19lYaqBhU8_DElYkX7l4wRkHqqCUFNJY4AfY3kHU/edit?usp=sharing  #gid=0"",""фіз особи new!relations_name""),6,FALSE)
,
(IF
(
C12008=""юридична особа""
,
VLOO"&amp;"KUP(D12008,IMPORTRANGE(""https://docs.google.com/spreadsheets/d/14Bd19lYaqBhU8_DElYkX7l4wRkHqqCUFNJY4AfY3kHU/edit?usp=sharing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G12007" s="7" t="s">
        <v>10</v>
      </c>
      <c r="H12007" s="7">
        <v>17987</v>
      </c>
      <c r="I12007" s="8" t="str">
        <f ca="1">IFERROR(__xludf.DUMMYFUNCTION("IF
(
G12008=""фізична особа""
,
VLOOKUP(H12008,IMPORTRANGE(""https://docs.google.com/spreadsheets/d/14Bd19lYaqBhU8_DElYkX7l4wRkHqqCUFNJY4AfY3kHU/edit?usp=sharing  #gid=0"",""фіз особи new!relations_name""),6,FALSE)
,
(IF
(
G12008=""юридична особа""
,
VLOO"&amp;"KUP(H12008,IMPORTRANGE(""https://docs.google.com/spreadsheets/d/14Bd19lYaqBhU8_DElYkX7l4wRkHqqCUFNJY4AfY3kHU/edit?usp=sharing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J12007" s="7" t="s">
        <v>11</v>
      </c>
    </row>
    <row r="12008" spans="1:10" ht="13.2">
      <c r="A12008" s="7">
        <v>12007</v>
      </c>
      <c r="B12008" s="7">
        <v>1</v>
      </c>
      <c r="C12008" s="7" t="s">
        <v>10</v>
      </c>
      <c r="D12008" s="7">
        <v>17989</v>
      </c>
      <c r="E12008" s="7" t="s">
        <v>11</v>
      </c>
      <c r="F12008" s="8" t="str">
        <f ca="1">IFERROR(__xludf.DUMMYFUNCTION("IF
(
C12009=""фізична особа""
,
VLOOKUP(D12009,IMPORTRANGE(""https://docs.google.com/spreadsheets/d/14Bd19lYaqBhU8_DElYkX7l4wRkHqqCUFNJY4AfY3kHU/edit?usp=sharing  #gid=0"",""фіз особи new!relations_name""),6,FALSE)
,
(IF
(
C12009=""юридична особа""
,
VLOO"&amp;"KUP(D12009,IMPORTRANGE(""https://docs.google.com/spreadsheets/d/14Bd19lYaqBhU8_DElYkX7l4wRkHqqCUFNJY4AfY3kHU/edit?usp=sharing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G12008" s="7" t="s">
        <v>10</v>
      </c>
      <c r="H12008" s="7">
        <v>17988</v>
      </c>
      <c r="I12008" s="8" t="str">
        <f ca="1">IFERROR(__xludf.DUMMYFUNCTION("IF
(
G12009=""фізична особа""
,
VLOOKUP(H12009,IMPORTRANGE(""https://docs.google.com/spreadsheets/d/14Bd19lYaqBhU8_DElYkX7l4wRkHqqCUFNJY4AfY3kHU/edit?usp=sharing  #gid=0"",""фіз особи new!relations_name""),6,FALSE)
,
(IF
(
G12009=""юридична особа""
,
VLOO"&amp;"KUP(H12009,IMPORTRANGE(""https://docs.google.com/spreadsheets/d/14Bd19lYaqBhU8_DElYkX7l4wRkHqqCUFNJY4AfY3kHU/edit?usp=sharing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J12008" s="7" t="s">
        <v>11</v>
      </c>
    </row>
    <row r="12009" spans="1:10" ht="13.2">
      <c r="A12009" s="7">
        <v>12008</v>
      </c>
      <c r="B12009" s="7">
        <v>1</v>
      </c>
      <c r="C12009" s="7" t="s">
        <v>10</v>
      </c>
      <c r="D12009" s="7">
        <v>17989</v>
      </c>
      <c r="E12009" s="7" t="s">
        <v>11</v>
      </c>
      <c r="F12009" s="8" t="str">
        <f ca="1">IFERROR(__xludf.DUMMYFUNCTION("IF
(
C12010=""фізична особа""
,
VLOOKUP(D12010,IMPORTRANGE(""https://docs.google.com/spreadsheets/d/14Bd19lYaqBhU8_DElYkX7l4wRkHqqCUFNJY4AfY3kHU/edit?usp=sharing  #gid=0"",""фіз особи new!relations_name""),6,FALSE)
,
(IF
(
C12010=""юридична особа""
,
VLOO"&amp;"KUP(D12010,IMPORTRANGE(""https://docs.google.com/spreadsheets/d/14Bd19lYaqBhU8_DElYkX7l4wRkHqqCUFNJY4AfY3kHU/edit?usp=sharing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G12009" s="7" t="s">
        <v>10</v>
      </c>
      <c r="H12009" s="7">
        <v>17990</v>
      </c>
      <c r="I12009" s="8" t="str">
        <f ca="1">IFERROR(__xludf.DUMMYFUNCTION("IF
(
G12010=""фізична особа""
,
VLOOKUP(H12010,IMPORTRANGE(""https://docs.google.com/spreadsheets/d/14Bd19lYaqBhU8_DElYkX7l4wRkHqqCUFNJY4AfY3kHU/edit?usp=sharing  #gid=0"",""фіз особи new!relations_name""),6,FALSE)
,
(IF
(
G12010=""юридична особа""
,
VLOO"&amp;"KUP(H12010,IMPORTRANGE(""https://docs.google.com/spreadsheets/d/14Bd19lYaqBhU8_DElYkX7l4wRkHqqCUFNJY4AfY3kHU/edit?usp=sharing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J12009" s="7" t="s">
        <v>11</v>
      </c>
    </row>
    <row r="12010" spans="1:10" ht="13.2">
      <c r="A12010" s="7">
        <v>12009</v>
      </c>
      <c r="B12010" s="7">
        <v>1</v>
      </c>
      <c r="C12010" s="7" t="s">
        <v>10</v>
      </c>
      <c r="D12010" s="7">
        <v>17989</v>
      </c>
      <c r="E12010" s="7" t="s">
        <v>11</v>
      </c>
      <c r="F12010" s="8" t="str">
        <f ca="1">IFERROR(__xludf.DUMMYFUNCTION("IF
(
C12011=""фізична особа""
,
VLOOKUP(D12011,IMPORTRANGE(""https://docs.google.com/spreadsheets/d/14Bd19lYaqBhU8_DElYkX7l4wRkHqqCUFNJY4AfY3kHU/edit?usp=sharing  #gid=0"",""фіз особи new!relations_name""),6,FALSE)
,
(IF
(
C12011=""юридична особа""
,
VLOO"&amp;"KUP(D12011,IMPORTRANGE(""https://docs.google.com/spreadsheets/d/14Bd19lYaqBhU8_DElYkX7l4wRkHqqCUFNJY4AfY3kHU/edit?usp=sharing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G12010" s="7" t="s">
        <v>10</v>
      </c>
      <c r="H12010" s="7">
        <v>17991</v>
      </c>
      <c r="I12010" s="8" t="str">
        <f ca="1">IFERROR(__xludf.DUMMYFUNCTION("IF
(
G12011=""фізична особа""
,
VLOOKUP(H12011,IMPORTRANGE(""https://docs.google.com/spreadsheets/d/14Bd19lYaqBhU8_DElYkX7l4wRkHqqCUFNJY4AfY3kHU/edit?usp=sharing  #gid=0"",""фіз особи new!relations_name""),6,FALSE)
,
(IF
(
G12011=""юридична особа""
,
VLOO"&amp;"KUP(H12011,IMPORTRANGE(""https://docs.google.com/spreadsheets/d/14Bd19lYaqBhU8_DElYkX7l4wRkHqqCUFNJY4AfY3kHU/edit?usp=sharing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J12010" s="7" t="s">
        <v>11</v>
      </c>
    </row>
    <row r="12011" spans="1:10" ht="13.2">
      <c r="A12011" s="7">
        <v>12010</v>
      </c>
      <c r="B12011" s="7">
        <v>1</v>
      </c>
      <c r="C12011" s="7" t="s">
        <v>10</v>
      </c>
      <c r="D12011" s="7">
        <v>17990</v>
      </c>
      <c r="E12011" s="7" t="s">
        <v>11</v>
      </c>
      <c r="F12011" s="8" t="str">
        <f ca="1">IFERROR(__xludf.DUMMYFUNCTION("IF
(
C12012=""фізична особа""
,
VLOOKUP(D12012,IMPORTRANGE(""https://docs.google.com/spreadsheets/d/14Bd19lYaqBhU8_DElYkX7l4wRkHqqCUFNJY4AfY3kHU/edit?usp=sharing  #gid=0"",""фіз особи new!relations_name""),6,FALSE)
,
(IF
(
C12012=""юридична особа""
,
VLOO"&amp;"KUP(D12012,IMPORTRANGE(""https://docs.google.com/spreadsheets/d/14Bd19lYaqBhU8_DElYkX7l4wRkHqqCUFNJY4AfY3kHU/edit?usp=sharing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G12011" s="7" t="s">
        <v>10</v>
      </c>
      <c r="H12011" s="7">
        <v>17987</v>
      </c>
      <c r="I12011" s="8" t="str">
        <f ca="1">IFERROR(__xludf.DUMMYFUNCTION("IF
(
G12012=""фізична особа""
,
VLOOKUP(H12012,IMPORTRANGE(""https://docs.google.com/spreadsheets/d/14Bd19lYaqBhU8_DElYkX7l4wRkHqqCUFNJY4AfY3kHU/edit?usp=sharing  #gid=0"",""фіз особи new!relations_name""),6,FALSE)
,
(IF
(
G12012=""юридична особа""
,
VLOO"&amp;"KUP(H12012,IMPORTRANGE(""https://docs.google.com/spreadsheets/d/14Bd19lYaqBhU8_DElYkX7l4wRkHqqCUFNJY4AfY3kHU/edit?usp=sharing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J12011" s="7" t="s">
        <v>11</v>
      </c>
    </row>
    <row r="12012" spans="1:10" ht="13.2">
      <c r="A12012" s="7">
        <v>12011</v>
      </c>
      <c r="B12012" s="7">
        <v>1</v>
      </c>
      <c r="C12012" s="7" t="s">
        <v>10</v>
      </c>
      <c r="D12012" s="7">
        <v>17990</v>
      </c>
      <c r="E12012" s="7" t="s">
        <v>11</v>
      </c>
      <c r="F12012" s="8" t="str">
        <f ca="1">IFERROR(__xludf.DUMMYFUNCTION("IF
(
C12013=""фізична особа""
,
VLOOKUP(D12013,IMPORTRANGE(""https://docs.google.com/spreadsheets/d/14Bd19lYaqBhU8_DElYkX7l4wRkHqqCUFNJY4AfY3kHU/edit?usp=sharing  #gid=0"",""фіз особи new!relations_name""),6,FALSE)
,
(IF
(
C12013=""юридична особа""
,
VLOO"&amp;"KUP(D12013,IMPORTRANGE(""https://docs.google.com/spreadsheets/d/14Bd19lYaqBhU8_DElYkX7l4wRkHqqCUFNJY4AfY3kHU/edit?usp=sharing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G12012" s="7" t="s">
        <v>10</v>
      </c>
      <c r="H12012" s="7">
        <v>17988</v>
      </c>
      <c r="I12012" s="8" t="str">
        <f ca="1">IFERROR(__xludf.DUMMYFUNCTION("IF
(
G12013=""фізична особа""
,
VLOOKUP(H12013,IMPORTRANGE(""https://docs.google.com/spreadsheets/d/14Bd19lYaqBhU8_DElYkX7l4wRkHqqCUFNJY4AfY3kHU/edit?usp=sharing  #gid=0"",""фіз особи new!relations_name""),6,FALSE)
,
(IF
(
G12013=""юридична особа""
,
VLOO"&amp;"KUP(H12013,IMPORTRANGE(""https://docs.google.com/spreadsheets/d/14Bd19lYaqBhU8_DElYkX7l4wRkHqqCUFNJY4AfY3kHU/edit?usp=sharing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J12012" s="7" t="s">
        <v>11</v>
      </c>
    </row>
    <row r="12013" spans="1:10" ht="13.2">
      <c r="A12013" s="7">
        <v>12012</v>
      </c>
      <c r="B12013" s="7">
        <v>1</v>
      </c>
      <c r="C12013" s="7" t="s">
        <v>10</v>
      </c>
      <c r="D12013" s="7">
        <v>17990</v>
      </c>
      <c r="E12013" s="7" t="s">
        <v>11</v>
      </c>
      <c r="F12013" s="8" t="str">
        <f ca="1">IFERROR(__xludf.DUMMYFUNCTION("IF
(
C12014=""фізична особа""
,
VLOOKUP(D12014,IMPORTRANGE(""https://docs.google.com/spreadsheets/d/14Bd19lYaqBhU8_DElYkX7l4wRkHqqCUFNJY4AfY3kHU/edit?usp=sharing  #gid=0"",""фіз особи new!relations_name""),6,FALSE)
,
(IF
(
C12014=""юридична особа""
,
VLOO"&amp;"KUP(D12014,IMPORTRANGE(""https://docs.google.com/spreadsheets/d/14Bd19lYaqBhU8_DElYkX7l4wRkHqqCUFNJY4AfY3kHU/edit?usp=sharing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G12013" s="7" t="s">
        <v>10</v>
      </c>
      <c r="H12013" s="7">
        <v>17989</v>
      </c>
      <c r="I12013" s="8" t="str">
        <f ca="1">IFERROR(__xludf.DUMMYFUNCTION("IF
(
G12014=""фізична особа""
,
VLOOKUP(H12014,IMPORTRANGE(""https://docs.google.com/spreadsheets/d/14Bd19lYaqBhU8_DElYkX7l4wRkHqqCUFNJY4AfY3kHU/edit?usp=sharing  #gid=0"",""фіз особи new!relations_name""),6,FALSE)
,
(IF
(
G12014=""юридична особа""
,
VLOO"&amp;"KUP(H12014,IMPORTRANGE(""https://docs.google.com/spreadsheets/d/14Bd19lYaqBhU8_DElYkX7l4wRkHqqCUFNJY4AfY3kHU/edit?usp=sharing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J12013" s="7" t="s">
        <v>11</v>
      </c>
    </row>
    <row r="12014" spans="1:10" ht="13.2">
      <c r="A12014" s="7">
        <v>12013</v>
      </c>
      <c r="B12014" s="7">
        <v>1</v>
      </c>
      <c r="C12014" s="7" t="s">
        <v>10</v>
      </c>
      <c r="D12014" s="7">
        <v>17990</v>
      </c>
      <c r="E12014" s="7" t="s">
        <v>11</v>
      </c>
      <c r="F12014" s="8" t="str">
        <f ca="1">IFERROR(__xludf.DUMMYFUNCTION("IF
(
C12015=""фізична особа""
,
VLOOKUP(D12015,IMPORTRANGE(""https://docs.google.com/spreadsheets/d/14Bd19lYaqBhU8_DElYkX7l4wRkHqqCUFNJY4AfY3kHU/edit?usp=sharing  #gid=0"",""фіз особи new!relations_name""),6,FALSE)
,
(IF
(
C12015=""юридична особа""
,
VLOO"&amp;"KUP(D12015,IMPORTRANGE(""https://docs.google.com/spreadsheets/d/14Bd19lYaqBhU8_DElYkX7l4wRkHqqCUFNJY4AfY3kHU/edit?usp=sharing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G12014" s="7" t="s">
        <v>10</v>
      </c>
      <c r="H12014" s="7">
        <v>17991</v>
      </c>
      <c r="I12014" s="8" t="str">
        <f ca="1">IFERROR(__xludf.DUMMYFUNCTION("IF
(
G12015=""фізична особа""
,
VLOOKUP(H12015,IMPORTRANGE(""https://docs.google.com/spreadsheets/d/14Bd19lYaqBhU8_DElYkX7l4wRkHqqCUFNJY4AfY3kHU/edit?usp=sharing  #gid=0"",""фіз особи new!relations_name""),6,FALSE)
,
(IF
(
G12015=""юридична особа""
,
VLOO"&amp;"KUP(H12015,IMPORTRANGE(""https://docs.google.com/spreadsheets/d/14Bd19lYaqBhU8_DElYkX7l4wRkHqqCUFNJY4AfY3kHU/edit?usp=sharing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J12014" s="7" t="s">
        <v>11</v>
      </c>
    </row>
    <row r="12015" spans="1:10" ht="13.2">
      <c r="A12015" s="7">
        <v>12014</v>
      </c>
      <c r="B12015" s="7">
        <v>1</v>
      </c>
      <c r="C12015" s="7" t="s">
        <v>10</v>
      </c>
      <c r="D12015" s="7">
        <v>17990</v>
      </c>
      <c r="E12015" s="7" t="s">
        <v>11</v>
      </c>
      <c r="F12015" s="8" t="str">
        <f ca="1">IFERROR(__xludf.DUMMYFUNCTION("IF
(
C12016=""фізична особа""
,
VLOOKUP(D12016,IMPORTRANGE(""https://docs.google.com/spreadsheets/d/14Bd19lYaqBhU8_DElYkX7l4wRkHqqCUFNJY4AfY3kHU/edit?usp=sharing  #gid=0"",""фіз особи new!relations_name""),6,FALSE)
,
(IF
(
C12016=""юридична особа""
,
VLOO"&amp;"KUP(D12016,IMPORTRANGE(""https://docs.google.com/spreadsheets/d/14Bd19lYaqBhU8_DElYkX7l4wRkHqqCUFNJY4AfY3kHU/edit?usp=sharing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G12015" s="7" t="s">
        <v>10</v>
      </c>
      <c r="H12015" s="7">
        <v>16351</v>
      </c>
      <c r="I12015" s="8" t="str">
        <f ca="1">IFERROR(__xludf.DUMMYFUNCTION("IF
(
G12016=""фізична особа""
,
VLOOKUP(H12016,IMPORTRANGE(""https://docs.google.com/spreadsheets/d/14Bd19lYaqBhU8_DElYkX7l4wRkHqqCUFNJY4AfY3kHU/edit?usp=sharing  #gid=0"",""фіз особи new!relations_name""),6,FALSE)
,
(IF
(
G12016=""юридична особа""
,
VLOO"&amp;"KUP(H12016,IMPORTRANGE(""https://docs.google.com/spreadsheets/d/14Bd19lYaqBhU8_DElYkX7l4wRkHqqCUFNJY4AfY3kHU/edit?usp=sharing  #gid=0"",""фіз особи new!relations_name_uo""),7,FALSE)
,
)
))"),"ПОДГОРБУНСЬКИХ Андрій Володимирович")</f>
        <v>ПОДГОРБУНСЬКИХ Андрій Володимирович</v>
      </c>
      <c r="J12015" s="7" t="s">
        <v>11</v>
      </c>
    </row>
    <row r="12016" spans="1:10" ht="13.2">
      <c r="A12016" s="7">
        <v>12015</v>
      </c>
      <c r="B12016" s="7">
        <v>1</v>
      </c>
      <c r="C12016" s="7" t="s">
        <v>10</v>
      </c>
      <c r="D12016" s="7">
        <v>17991</v>
      </c>
      <c r="E12016" s="7" t="s">
        <v>11</v>
      </c>
      <c r="F12016" s="8" t="str">
        <f ca="1">IFERROR(__xludf.DUMMYFUNCTION("IF
(
C12017=""фізична особа""
,
VLOOKUP(D12017,IMPORTRANGE(""https://docs.google.com/spreadsheets/d/14Bd19lYaqBhU8_DElYkX7l4wRkHqqCUFNJY4AfY3kHU/edit?usp=sharing  #gid=0"",""фіз особи new!relations_name""),6,FALSE)
,
(IF
(
C12017=""юридична особа""
,
VLOO"&amp;"KUP(D12017,IMPORTRANGE(""https://docs.google.com/spreadsheets/d/14Bd19lYaqBhU8_DElYkX7l4wRkHqqCUFNJY4AfY3kHU/edit?usp=sharing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G12016" s="7" t="s">
        <v>10</v>
      </c>
      <c r="H12016" s="7">
        <v>17987</v>
      </c>
      <c r="I12016" s="8" t="str">
        <f ca="1">IFERROR(__xludf.DUMMYFUNCTION("IF
(
G12017=""фізична особа""
,
VLOOKUP(H12017,IMPORTRANGE(""https://docs.google.com/spreadsheets/d/14Bd19lYaqBhU8_DElYkX7l4wRkHqqCUFNJY4AfY3kHU/edit?usp=sharing  #gid=0"",""фіз особи new!relations_name""),6,FALSE)
,
(IF
(
G12017=""юридична особа""
,
VLOO"&amp;"KUP(H12017,IMPORTRANGE(""https://docs.google.com/spreadsheets/d/14Bd19lYaqBhU8_DElYkX7l4wRkHqqCUFNJY4AfY3kHU/edit?usp=sharing  #gid=0"",""фіз особи new!relations_name_uo""),7,FALSE)
,
)
))"),"ПАНКРАТОВ Олександр Михайлович")</f>
        <v>ПАНКРАТОВ Олександр Михайлович</v>
      </c>
      <c r="J12016" s="7" t="s">
        <v>11</v>
      </c>
    </row>
    <row r="12017" spans="1:10" ht="13.2">
      <c r="A12017" s="7">
        <v>12016</v>
      </c>
      <c r="B12017" s="7">
        <v>1</v>
      </c>
      <c r="C12017" s="7" t="s">
        <v>10</v>
      </c>
      <c r="D12017" s="7">
        <v>17991</v>
      </c>
      <c r="E12017" s="7" t="s">
        <v>11</v>
      </c>
      <c r="F12017" s="8" t="str">
        <f ca="1">IFERROR(__xludf.DUMMYFUNCTION("IF
(
C12018=""фізична особа""
,
VLOOKUP(D12018,IMPORTRANGE(""https://docs.google.com/spreadsheets/d/14Bd19lYaqBhU8_DElYkX7l4wRkHqqCUFNJY4AfY3kHU/edit?usp=sharing  #gid=0"",""фіз особи new!relations_name""),6,FALSE)
,
(IF
(
C12018=""юридична особа""
,
VLOO"&amp;"KUP(D12018,IMPORTRANGE(""https://docs.google.com/spreadsheets/d/14Bd19lYaqBhU8_DElYkX7l4wRkHqqCUFNJY4AfY3kHU/edit?usp=sharing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G12017" s="7" t="s">
        <v>10</v>
      </c>
      <c r="H12017" s="7">
        <v>17988</v>
      </c>
      <c r="I12017" s="8" t="str">
        <f ca="1">IFERROR(__xludf.DUMMYFUNCTION("IF
(
G12018=""фізична особа""
,
VLOOKUP(H12018,IMPORTRANGE(""https://docs.google.com/spreadsheets/d/14Bd19lYaqBhU8_DElYkX7l4wRkHqqCUFNJY4AfY3kHU/edit?usp=sharing  #gid=0"",""фіз особи new!relations_name""),6,FALSE)
,
(IF
(
G12018=""юридична особа""
,
VLOO"&amp;"KUP(H12018,IMPORTRANGE(""https://docs.google.com/spreadsheets/d/14Bd19lYaqBhU8_DElYkX7l4wRkHqqCUFNJY4AfY3kHU/edit?usp=sharing  #gid=0"",""фіз особи new!relations_name_uo""),7,FALSE)
,
)
))"),"АРТЮШИНА Світалана Григорівна")</f>
        <v>АРТЮШИНА Світалана Григорівна</v>
      </c>
      <c r="J12017" s="7" t="s">
        <v>11</v>
      </c>
    </row>
    <row r="12018" spans="1:10" ht="13.2">
      <c r="A12018" s="7">
        <v>12017</v>
      </c>
      <c r="B12018" s="7">
        <v>1</v>
      </c>
      <c r="C12018" s="7" t="s">
        <v>10</v>
      </c>
      <c r="D12018" s="7">
        <v>17991</v>
      </c>
      <c r="E12018" s="7" t="s">
        <v>11</v>
      </c>
      <c r="F12018" s="8" t="str">
        <f ca="1">IFERROR(__xludf.DUMMYFUNCTION("IF
(
C12019=""фізична особа""
,
VLOOKUP(D12019,IMPORTRANGE(""https://docs.google.com/spreadsheets/d/14Bd19lYaqBhU8_DElYkX7l4wRkHqqCUFNJY4AfY3kHU/edit?usp=sharing  #gid=0"",""фіз особи new!relations_name""),6,FALSE)
,
(IF
(
C12019=""юридична особа""
,
VLOO"&amp;"KUP(D12019,IMPORTRANGE(""https://docs.google.com/spreadsheets/d/14Bd19lYaqBhU8_DElYkX7l4wRkHqqCUFNJY4AfY3kHU/edit?usp=sharing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G12018" s="7" t="s">
        <v>10</v>
      </c>
      <c r="H12018" s="7">
        <v>17989</v>
      </c>
      <c r="I12018" s="8" t="str">
        <f ca="1">IFERROR(__xludf.DUMMYFUNCTION("IF
(
G12019=""фізична особа""
,
VLOOKUP(H12019,IMPORTRANGE(""https://docs.google.com/spreadsheets/d/14Bd19lYaqBhU8_DElYkX7l4wRkHqqCUFNJY4AfY3kHU/edit?usp=sharing  #gid=0"",""фіз особи new!relations_name""),6,FALSE)
,
(IF
(
G12019=""юридична особа""
,
VLOO"&amp;"KUP(H12019,IMPORTRANGE(""https://docs.google.com/spreadsheets/d/14Bd19lYaqBhU8_DElYkX7l4wRkHqqCUFNJY4AfY3kHU/edit?usp=sharing  #gid=0"",""фіз особи new!relations_name_uo""),7,FALSE)
,
)
))"),"ЛУК'ЯНОВ Ігор В'ячеславович")</f>
        <v>ЛУК'ЯНОВ Ігор В'ячеславович</v>
      </c>
      <c r="J12018" s="7" t="s">
        <v>11</v>
      </c>
    </row>
    <row r="12019" spans="1:10" ht="13.2">
      <c r="A12019" s="7">
        <v>12018</v>
      </c>
      <c r="B12019" s="7">
        <v>1</v>
      </c>
      <c r="C12019" s="7" t="s">
        <v>10</v>
      </c>
      <c r="D12019" s="7">
        <v>17991</v>
      </c>
      <c r="E12019" s="7" t="s">
        <v>11</v>
      </c>
      <c r="F12019" s="8" t="str">
        <f ca="1">IFERROR(__xludf.DUMMYFUNCTION("IF
(
C12020=""фізична особа""
,
VLOOKUP(D12020,IMPORTRANGE(""https://docs.google.com/spreadsheets/d/14Bd19lYaqBhU8_DElYkX7l4wRkHqqCUFNJY4AfY3kHU/edit?usp=sharing  #gid=0"",""фіз особи new!relations_name""),6,FALSE)
,
(IF
(
C12020=""юридична особа""
,
VLOO"&amp;"KUP(D12020,IMPORTRANGE(""https://docs.google.com/spreadsheets/d/14Bd19lYaqBhU8_DElYkX7l4wRkHqqCUFNJY4AfY3kHU/edit?usp=sharing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G12019" s="7" t="s">
        <v>10</v>
      </c>
      <c r="H12019" s="7">
        <v>17990</v>
      </c>
      <c r="I12019" s="8" t="str">
        <f ca="1">IFERROR(__xludf.DUMMYFUNCTION("IF
(
G12020=""фізична особа""
,
VLOOKUP(H12020,IMPORTRANGE(""https://docs.google.com/spreadsheets/d/14Bd19lYaqBhU8_DElYkX7l4wRkHqqCUFNJY4AfY3kHU/edit?usp=sharing  #gid=0"",""фіз особи new!relations_name""),6,FALSE)
,
(IF
(
G12020=""юридична особа""
,
VLOO"&amp;"KUP(H12020,IMPORTRANGE(""https://docs.google.com/spreadsheets/d/14Bd19lYaqBhU8_DElYkX7l4wRkHqqCUFNJY4AfY3kHU/edit?usp=sharing  #gid=0"",""фіз особи new!relations_name_uo""),7,FALSE)
,
)
))"),"ПОЛЯНСЬКИЙ Костянтин Миколайович")</f>
        <v>ПОЛЯНСЬКИЙ Костянтин Миколайович</v>
      </c>
      <c r="J12019" s="7" t="s">
        <v>11</v>
      </c>
    </row>
    <row r="12020" spans="1:10" ht="13.2">
      <c r="A12020" s="7">
        <v>12019</v>
      </c>
      <c r="B12020" s="7">
        <v>1</v>
      </c>
      <c r="C12020" s="7" t="s">
        <v>10</v>
      </c>
      <c r="D12020" s="7">
        <v>17991</v>
      </c>
      <c r="E12020" s="7" t="s">
        <v>11</v>
      </c>
      <c r="F12020" s="8" t="str">
        <f ca="1">IFERROR(__xludf.DUMMYFUNCTION("IF
(
C12021=""фізична особа""
,
VLOOKUP(D12021,IMPORTRANGE(""https://docs.google.com/spreadsheets/d/14Bd19lYaqBhU8_DElYkX7l4wRkHqqCUFNJY4AfY3kHU/edit?usp=sharing  #gid=0"",""фіз особи new!relations_name""),6,FALSE)
,
(IF
(
C12021=""юридична особа""
,
VLOO"&amp;"KUP(D12021,IMPORTRANGE(""https://docs.google.com/spreadsheets/d/14Bd19lYaqBhU8_DElYkX7l4wRkHqqCUFNJY4AfY3kHU/edit?usp=sharing  #gid=0"",""фіз особи new!relations_name_uo""),7,FALSE)
,
)
))"),"СОЛДАТОВ Євгеній Дмитрович")</f>
        <v>СОЛДАТОВ Євгеній Дмитрович</v>
      </c>
      <c r="G12020" s="7" t="s">
        <v>10</v>
      </c>
      <c r="H12020" s="7">
        <v>16351</v>
      </c>
      <c r="I12020" s="8" t="str">
        <f ca="1">IFERROR(__xludf.DUMMYFUNCTION("IF
(
G12021=""фізична особа""
,
VLOOKUP(H12021,IMPORTRANGE(""https://docs.google.com/spreadsheets/d/14Bd19lYaqBhU8_DElYkX7l4wRkHqqCUFNJY4AfY3kHU/edit?usp=sharing  #gid=0"",""фіз особи new!relations_name""),6,FALSE)
,
(IF
(
G12021=""юридична особа""
,
VLOO"&amp;"KUP(H12021,IMPORTRANGE(""https://docs.google.com/spreadsheets/d/14Bd19lYaqBhU8_DElYkX7l4wRkHqqCUFNJY4AfY3kHU/edit?usp=sharing  #gid=0"",""фіз особи new!relations_name_uo""),7,FALSE)
,
)
))"),"ПОДГОРБУНСЬКИХ Андрій Володимирович")</f>
        <v>ПОДГОРБУНСЬКИХ Андрій Володимирович</v>
      </c>
      <c r="J12020" s="7" t="s">
        <v>11</v>
      </c>
    </row>
    <row r="12021" spans="1:10" ht="13.2">
      <c r="A12021" s="7">
        <v>12020</v>
      </c>
      <c r="B12021" s="7">
        <v>1</v>
      </c>
      <c r="C12021" s="7" t="s">
        <v>10</v>
      </c>
      <c r="D12021" s="7">
        <v>17992</v>
      </c>
      <c r="E12021" s="7" t="s">
        <v>11</v>
      </c>
      <c r="F12021" s="8" t="str">
        <f ca="1">IFERROR(__xludf.DUMMYFUNCTION("IF
(
C12022=""фізична особа""
,
VLOOKUP(D12022,IMPORTRANGE(""https://docs.google.com/spreadsheets/d/14Bd19lYaqBhU8_DElYkX7l4wRkHqqCUFNJY4AfY3kHU/edit?usp=sharing  #gid=0"",""фіз особи new!relations_name""),6,FALSE)
,
(IF
(
C12022=""юридична особа""
,
VLOO"&amp;"KUP(D12022,IMPORTRANGE(""https://docs.google.com/spreadsheets/d/14Bd19lYaqBhU8_DElYkX7l4wRkHqqCUFNJY4AfY3kHU/edit?usp=sharing  #gid=0"",""фіз особи new!relations_name_uo""),7,FALSE)
,
)
))"),"КАРАМУШКА Михайло Миколайович")</f>
        <v>КАРАМУШКА Михайло Миколайович</v>
      </c>
      <c r="G12021" s="7" t="s">
        <v>10</v>
      </c>
      <c r="H12021" s="7">
        <v>17993</v>
      </c>
      <c r="I12021" s="8" t="str">
        <f ca="1">IFERROR(__xludf.DUMMYFUNCTION("IF
(
G12022=""фізична особа""
,
VLOOKUP(H12022,IMPORTRANGE(""https://docs.google.com/spreadsheets/d/14Bd19lYaqBhU8_DElYkX7l4wRkHqqCUFNJY4AfY3kHU/edit?usp=sharing  #gid=0"",""фіз особи new!relations_name""),6,FALSE)
,
(IF
(
G12022=""юридична особа""
,
VLOO"&amp;"KUP(H12022,IMPORTRANGE(""https://docs.google.com/spreadsheets/d/14Bd19lYaqBhU8_DElYkX7l4wRkHqqCUFNJY4AfY3kHU/edit?usp=sharing  #gid=0"",""фіз особи new!relations_name_uo""),7,FALSE)
,
)
))"),"СВЯТОШЕНКО Андрій Володимирович")</f>
        <v>СВЯТОШЕНКО Андрій Володимирович</v>
      </c>
      <c r="J12021" s="7" t="s">
        <v>11</v>
      </c>
    </row>
    <row r="12022" spans="1:10" ht="13.2">
      <c r="A12022" s="7">
        <v>12021</v>
      </c>
      <c r="B12022" s="7">
        <v>1</v>
      </c>
      <c r="C12022" s="7" t="s">
        <v>10</v>
      </c>
      <c r="D12022" s="7">
        <v>17993</v>
      </c>
      <c r="E12022" s="7" t="s">
        <v>11</v>
      </c>
      <c r="F12022" s="8" t="str">
        <f ca="1">IFERROR(__xludf.DUMMYFUNCTION("IF
(
C12023=""фізична особа""
,
VLOOKUP(D12023,IMPORTRANGE(""https://docs.google.com/spreadsheets/d/14Bd19lYaqBhU8_DElYkX7l4wRkHqqCUFNJY4AfY3kHU/edit?usp=sharing  #gid=0"",""фіз особи new!relations_name""),6,FALSE)
,
(IF
(
C12023=""юридична особа""
,
VLOO"&amp;"KUP(D12023,IMPORTRANGE(""https://docs.google.com/spreadsheets/d/14Bd19lYaqBhU8_DElYkX7l4wRkHqqCUFNJY4AfY3kHU/edit?usp=sharing  #gid=0"",""фіз особи new!relations_name_uo""),7,FALSE)
,
)
))"),"СВЯТОШЕНКО Андрій Володимирович")</f>
        <v>СВЯТОШЕНКО Андрій Володимирович</v>
      </c>
      <c r="G12022" s="7" t="s">
        <v>10</v>
      </c>
      <c r="H12022" s="7">
        <v>17992</v>
      </c>
      <c r="I12022" s="8" t="str">
        <f ca="1">IFERROR(__xludf.DUMMYFUNCTION("IF
(
G12023=""фізична особа""
,
VLOOKUP(H12023,IMPORTRANGE(""https://docs.google.com/spreadsheets/d/14Bd19lYaqBhU8_DElYkX7l4wRkHqqCUFNJY4AfY3kHU/edit?usp=sharing  #gid=0"",""фіз особи new!relations_name""),6,FALSE)
,
(IF
(
G12023=""юридична особа""
,
VLOO"&amp;"KUP(H12023,IMPORTRANGE(""https://docs.google.com/spreadsheets/d/14Bd19lYaqBhU8_DElYkX7l4wRkHqqCUFNJY4AfY3kHU/edit?usp=sharing  #gid=0"",""фіз особи new!relations_name_uo""),7,FALSE)
,
)
))"),"КАРАМУШКА Михайло Миколайович")</f>
        <v>КАРАМУШКА Михайло Миколайович</v>
      </c>
      <c r="J12022" s="7" t="s">
        <v>11</v>
      </c>
    </row>
    <row r="12023" spans="1:10" ht="13.2">
      <c r="A12023" s="7">
        <v>12022</v>
      </c>
      <c r="B12023" s="7">
        <v>1</v>
      </c>
      <c r="C12023" s="7" t="s">
        <v>10</v>
      </c>
      <c r="D12023" s="7">
        <v>17994</v>
      </c>
      <c r="E12023" s="7" t="s">
        <v>11</v>
      </c>
      <c r="F12023" s="8" t="str">
        <f ca="1">IFERROR(__xludf.DUMMYFUNCTION("IF
(
C12024=""фізична особа""
,
VLOOKUP(D12024,IMPORTRANGE(""https://docs.google.com/spreadsheets/d/14Bd19lYaqBhU8_DElYkX7l4wRkHqqCUFNJY4AfY3kHU/edit?usp=sharing  #gid=0"",""фіз особи new!relations_name""),6,FALSE)
,
(IF
(
C12024=""юридична особа""
,
VLOO"&amp;"KUP(D12024,IMPORTRANGE(""https://docs.google.com/spreadsheets/d/14Bd19lYaqBhU8_DElYkX7l4wRkHqqCUFNJY4AfY3kHU/edit?usp=sharing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3" s="7" t="s">
        <v>10</v>
      </c>
      <c r="H12023" s="7">
        <v>17995</v>
      </c>
      <c r="I12023" s="8" t="str">
        <f ca="1">IFERROR(__xludf.DUMMYFUNCTION("IF
(
G12024=""фізична особа""
,
VLOOKUP(H12024,IMPORTRANGE(""https://docs.google.com/spreadsheets/d/14Bd19lYaqBhU8_DElYkX7l4wRkHqqCUFNJY4AfY3kHU/edit?usp=sharing  #gid=0"",""фіз особи new!relations_name""),6,FALSE)
,
(IF
(
G12024=""юридична особа""
,
VLOO"&amp;"KUP(H12024,IMPORTRANGE(""https://docs.google.com/spreadsheets/d/14Bd19lYaqBhU8_DElYkX7l4wRkHqqCUFNJY4AfY3kHU/edit?usp=sharing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23" s="7" t="s">
        <v>11</v>
      </c>
    </row>
    <row r="12024" spans="1:10" ht="13.2">
      <c r="A12024" s="7">
        <v>12023</v>
      </c>
      <c r="B12024" s="7">
        <v>1</v>
      </c>
      <c r="C12024" s="7" t="s">
        <v>10</v>
      </c>
      <c r="D12024" s="7">
        <v>17994</v>
      </c>
      <c r="E12024" s="7" t="s">
        <v>11</v>
      </c>
      <c r="F12024" s="8" t="str">
        <f ca="1">IFERROR(__xludf.DUMMYFUNCTION("IF
(
C12025=""фізична особа""
,
VLOOKUP(D12025,IMPORTRANGE(""https://docs.google.com/spreadsheets/d/14Bd19lYaqBhU8_DElYkX7l4wRkHqqCUFNJY4AfY3kHU/edit?usp=sharing  #gid=0"",""фіз особи new!relations_name""),6,FALSE)
,
(IF
(
C12025=""юридична особа""
,
VLOO"&amp;"KUP(D12025,IMPORTRANGE(""https://docs.google.com/spreadsheets/d/14Bd19lYaqBhU8_DElYkX7l4wRkHqqCUFNJY4AfY3kHU/edit?usp=sharing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4" s="7" t="s">
        <v>10</v>
      </c>
      <c r="H12024" s="7">
        <v>17996</v>
      </c>
      <c r="I12024" s="8" t="str">
        <f ca="1">IFERROR(__xludf.DUMMYFUNCTION("IF
(
G12025=""фізична особа""
,
VLOOKUP(H12025,IMPORTRANGE(""https://docs.google.com/spreadsheets/d/14Bd19lYaqBhU8_DElYkX7l4wRkHqqCUFNJY4AfY3kHU/edit?usp=sharing  #gid=0"",""фіз особи new!relations_name""),6,FALSE)
,
(IF
(
G12025=""юридична особа""
,
VLOO"&amp;"KUP(H12025,IMPORTRANGE(""https://docs.google.com/spreadsheets/d/14Bd19lYaqBhU8_DElYkX7l4wRkHqqCUFNJY4AfY3kHU/edit?usp=sharing  #gid=0"",""фіз особи new!relations_name_uo""),7,FALSE)
,
)
))"),"ЛЮ Чжи")</f>
        <v>ЛЮ Чжи</v>
      </c>
      <c r="J12024" s="7" t="s">
        <v>11</v>
      </c>
    </row>
    <row r="12025" spans="1:10" ht="13.2">
      <c r="A12025" s="7">
        <v>12024</v>
      </c>
      <c r="B12025" s="7">
        <v>1</v>
      </c>
      <c r="C12025" s="7" t="s">
        <v>10</v>
      </c>
      <c r="D12025" s="7">
        <v>17994</v>
      </c>
      <c r="E12025" s="7" t="s">
        <v>11</v>
      </c>
      <c r="F12025" s="8" t="str">
        <f ca="1">IFERROR(__xludf.DUMMYFUNCTION("IF
(
C12026=""фізична особа""
,
VLOOKUP(D12026,IMPORTRANGE(""https://docs.google.com/spreadsheets/d/14Bd19lYaqBhU8_DElYkX7l4wRkHqqCUFNJY4AfY3kHU/edit?usp=sharing  #gid=0"",""фіз особи new!relations_name""),6,FALSE)
,
(IF
(
C12026=""юридична особа""
,
VLOO"&amp;"KUP(D12026,IMPORTRANGE(""https://docs.google.com/spreadsheets/d/14Bd19lYaqBhU8_DElYkX7l4wRkHqqCUFNJY4AfY3kHU/edit?usp=sharing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5" s="7" t="s">
        <v>10</v>
      </c>
      <c r="H12025" s="7">
        <v>17997</v>
      </c>
      <c r="I12025" s="8" t="str">
        <f ca="1">IFERROR(__xludf.DUMMYFUNCTION("IF
(
G12026=""фізична особа""
,
VLOOKUP(H12026,IMPORTRANGE(""https://docs.google.com/spreadsheets/d/14Bd19lYaqBhU8_DElYkX7l4wRkHqqCUFNJY4AfY3kHU/edit?usp=sharing  #gid=0"",""фіз особи new!relations_name""),6,FALSE)
,
(IF
(
G12026=""юридична особа""
,
VLOO"&amp;"KUP(H12026,IMPORTRANGE(""https://docs.google.com/spreadsheets/d/14Bd19lYaqBhU8_DElYkX7l4wRkHqqCUFNJY4AfY3kHU/edit?usp=sharing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25" s="7" t="s">
        <v>11</v>
      </c>
    </row>
    <row r="12026" spans="1:10" ht="13.2">
      <c r="A12026" s="7">
        <v>12025</v>
      </c>
      <c r="B12026" s="7">
        <v>1</v>
      </c>
      <c r="C12026" s="7" t="s">
        <v>10</v>
      </c>
      <c r="D12026" s="7">
        <v>17994</v>
      </c>
      <c r="E12026" s="7" t="s">
        <v>11</v>
      </c>
      <c r="F12026" s="8" t="str">
        <f ca="1">IFERROR(__xludf.DUMMYFUNCTION("IF
(
C12027=""фізична особа""
,
VLOOKUP(D12027,IMPORTRANGE(""https://docs.google.com/spreadsheets/d/14Bd19lYaqBhU8_DElYkX7l4wRkHqqCUFNJY4AfY3kHU/edit?usp=sharing  #gid=0"",""фіз особи new!relations_name""),6,FALSE)
,
(IF
(
C12027=""юридична особа""
,
VLOO"&amp;"KUP(D12027,IMPORTRANGE(""https://docs.google.com/spreadsheets/d/14Bd19lYaqBhU8_DElYkX7l4wRkHqqCUFNJY4AfY3kHU/edit?usp=sharing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6" s="7" t="s">
        <v>10</v>
      </c>
      <c r="H12026" s="7">
        <v>17998</v>
      </c>
      <c r="I12026" s="8" t="str">
        <f ca="1">IFERROR(__xludf.DUMMYFUNCTION("IF
(
G12027=""фізична особа""
,
VLOOKUP(H12027,IMPORTRANGE(""https://docs.google.com/spreadsheets/d/14Bd19lYaqBhU8_DElYkX7l4wRkHqqCUFNJY4AfY3kHU/edit?usp=sharing  #gid=0"",""фіз особи new!relations_name""),6,FALSE)
,
(IF
(
G12027=""юридична особа""
,
VLOO"&amp;"KUP(H12027,IMPORTRANGE(""https://docs.google.com/spreadsheets/d/14Bd19lYaqBhU8_DElYkX7l4wRkHqqCUFNJY4AfY3kHU/edit?usp=sharing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26" s="7" t="s">
        <v>11</v>
      </c>
    </row>
    <row r="12027" spans="1:10" ht="13.2">
      <c r="A12027" s="7">
        <v>12026</v>
      </c>
      <c r="B12027" s="7">
        <v>1</v>
      </c>
      <c r="C12027" s="7" t="s">
        <v>10</v>
      </c>
      <c r="D12027" s="7">
        <v>17994</v>
      </c>
      <c r="E12027" s="7" t="s">
        <v>11</v>
      </c>
      <c r="F12027" s="8" t="str">
        <f ca="1">IFERROR(__xludf.DUMMYFUNCTION("IF
(
C12028=""фізична особа""
,
VLOOKUP(D12028,IMPORTRANGE(""https://docs.google.com/spreadsheets/d/14Bd19lYaqBhU8_DElYkX7l4wRkHqqCUFNJY4AfY3kHU/edit?usp=sharing  #gid=0"",""фіз особи new!relations_name""),6,FALSE)
,
(IF
(
C12028=""юридична особа""
,
VLOO"&amp;"KUP(D12028,IMPORTRANGE(""https://docs.google.com/spreadsheets/d/14Bd19lYaqBhU8_DElYkX7l4wRkHqqCUFNJY4AfY3kHU/edit?usp=sharing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7" s="7" t="s">
        <v>10</v>
      </c>
      <c r="H12027" s="7">
        <v>17999</v>
      </c>
      <c r="I12027" s="8" t="str">
        <f ca="1">IFERROR(__xludf.DUMMYFUNCTION("IF
(
G12028=""фізична особа""
,
VLOOKUP(H12028,IMPORTRANGE(""https://docs.google.com/spreadsheets/d/14Bd19lYaqBhU8_DElYkX7l4wRkHqqCUFNJY4AfY3kHU/edit?usp=sharing  #gid=0"",""фіз особи new!relations_name""),6,FALSE)
,
(IF
(
G12028=""юридична особа""
,
VLOO"&amp;"KUP(H12028,IMPORTRANGE(""https://docs.google.com/spreadsheets/d/14Bd19lYaqBhU8_DElYkX7l4wRkHqqCUFNJY4AfY3kHU/edit?usp=sharing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27" s="7" t="s">
        <v>11</v>
      </c>
    </row>
    <row r="12028" spans="1:10" ht="13.2">
      <c r="A12028" s="7">
        <v>12027</v>
      </c>
      <c r="B12028" s="7">
        <v>1</v>
      </c>
      <c r="C12028" s="7" t="s">
        <v>10</v>
      </c>
      <c r="D12028" s="7">
        <v>17994</v>
      </c>
      <c r="E12028" s="7" t="s">
        <v>11</v>
      </c>
      <c r="F12028" s="8" t="str">
        <f ca="1">IFERROR(__xludf.DUMMYFUNCTION("IF
(
C12029=""фізична особа""
,
VLOOKUP(D12029,IMPORTRANGE(""https://docs.google.com/spreadsheets/d/14Bd19lYaqBhU8_DElYkX7l4wRkHqqCUFNJY4AfY3kHU/edit?usp=sharing  #gid=0"",""фіз особи new!relations_name""),6,FALSE)
,
(IF
(
C12029=""юридична особа""
,
VLOO"&amp;"KUP(D12029,IMPORTRANGE(""https://docs.google.com/spreadsheets/d/14Bd19lYaqBhU8_DElYkX7l4wRkHqqCUFNJY4AfY3kHU/edit?usp=sharing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8" s="7" t="s">
        <v>10</v>
      </c>
      <c r="H12028" s="7">
        <v>18000</v>
      </c>
      <c r="I12028" s="8" t="str">
        <f ca="1">IFERROR(__xludf.DUMMYFUNCTION("IF
(
G12029=""фізична особа""
,
VLOOKUP(H12029,IMPORTRANGE(""https://docs.google.com/spreadsheets/d/14Bd19lYaqBhU8_DElYkX7l4wRkHqqCUFNJY4AfY3kHU/edit?usp=sharing  #gid=0"",""фіз особи new!relations_name""),6,FALSE)
,
(IF
(
G12029=""юридична особа""
,
VLOO"&amp;"KUP(H12029,IMPORTRANGE(""https://docs.google.com/spreadsheets/d/14Bd19lYaqBhU8_DElYkX7l4wRkHqqCUFNJY4AfY3kHU/edit?usp=sharing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28" s="7" t="s">
        <v>11</v>
      </c>
    </row>
    <row r="12029" spans="1:10" ht="13.2">
      <c r="A12029" s="7">
        <v>12028</v>
      </c>
      <c r="B12029" s="7">
        <v>1</v>
      </c>
      <c r="C12029" s="7" t="s">
        <v>10</v>
      </c>
      <c r="D12029" s="7">
        <v>17994</v>
      </c>
      <c r="E12029" s="7" t="s">
        <v>11</v>
      </c>
      <c r="F12029" s="8" t="str">
        <f ca="1">IFERROR(__xludf.DUMMYFUNCTION("IF
(
C12030=""фізична особа""
,
VLOOKUP(D12030,IMPORTRANGE(""https://docs.google.com/spreadsheets/d/14Bd19lYaqBhU8_DElYkX7l4wRkHqqCUFNJY4AfY3kHU/edit?usp=sharing  #gid=0"",""фіз особи new!relations_name""),6,FALSE)
,
(IF
(
C12030=""юридична особа""
,
VLOO"&amp;"KUP(D12030,IMPORTRANGE(""https://docs.google.com/spreadsheets/d/14Bd19lYaqBhU8_DElYkX7l4wRkHqqCUFNJY4AfY3kHU/edit?usp=sharing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29" s="7" t="s">
        <v>10</v>
      </c>
      <c r="H12029" s="7">
        <v>18001</v>
      </c>
      <c r="I12029" s="8" t="str">
        <f ca="1">IFERROR(__xludf.DUMMYFUNCTION("IF
(
G12030=""фізична особа""
,
VLOOKUP(H12030,IMPORTRANGE(""https://docs.google.com/spreadsheets/d/14Bd19lYaqBhU8_DElYkX7l4wRkHqqCUFNJY4AfY3kHU/edit?usp=sharing  #gid=0"",""фіз особи new!relations_name""),6,FALSE)
,
(IF
(
G12030=""юридична особа""
,
VLOO"&amp;"KUP(H12030,IMPORTRANGE(""https://docs.google.com/spreadsheets/d/14Bd19lYaqBhU8_DElYkX7l4wRkHqqCUFNJY4AfY3kHU/edit?usp=sharing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29" s="7" t="s">
        <v>11</v>
      </c>
    </row>
    <row r="12030" spans="1:10" ht="13.2">
      <c r="A12030" s="7">
        <v>12029</v>
      </c>
      <c r="B12030" s="7">
        <v>1</v>
      </c>
      <c r="C12030" s="7" t="s">
        <v>10</v>
      </c>
      <c r="D12030" s="7">
        <v>17994</v>
      </c>
      <c r="E12030" s="7" t="s">
        <v>11</v>
      </c>
      <c r="F12030" s="8" t="str">
        <f ca="1">IFERROR(__xludf.DUMMYFUNCTION("IF
(
C12031=""фізична особа""
,
VLOOKUP(D12031,IMPORTRANGE(""https://docs.google.com/spreadsheets/d/14Bd19lYaqBhU8_DElYkX7l4wRkHqqCUFNJY4AfY3kHU/edit?usp=sharing  #gid=0"",""фіз особи new!relations_name""),6,FALSE)
,
(IF
(
C12031=""юридична особа""
,
VLOO"&amp;"KUP(D12031,IMPORTRANGE(""https://docs.google.com/spreadsheets/d/14Bd19lYaqBhU8_DElYkX7l4wRkHqqCUFNJY4AfY3kHU/edit?usp=sharing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30" s="7" t="s">
        <v>10</v>
      </c>
      <c r="H12030" s="7">
        <v>18002</v>
      </c>
      <c r="I12030" s="8" t="str">
        <f ca="1">IFERROR(__xludf.DUMMYFUNCTION("IF
(
G12031=""фізична особа""
,
VLOOKUP(H12031,IMPORTRANGE(""https://docs.google.com/spreadsheets/d/14Bd19lYaqBhU8_DElYkX7l4wRkHqqCUFNJY4AfY3kHU/edit?usp=sharing  #gid=0"",""фіз особи new!relations_name""),6,FALSE)
,
(IF
(
G12031=""юридична особа""
,
VLOO"&amp;"KUP(H12031,IMPORTRANGE(""https://docs.google.com/spreadsheets/d/14Bd19lYaqBhU8_DElYkX7l4wRkHqqCUFNJY4AfY3kHU/edit?usp=sharing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30" s="7" t="s">
        <v>11</v>
      </c>
    </row>
    <row r="12031" spans="1:10" ht="13.2">
      <c r="A12031" s="7">
        <v>12030</v>
      </c>
      <c r="B12031" s="7">
        <v>1</v>
      </c>
      <c r="C12031" s="7" t="s">
        <v>10</v>
      </c>
      <c r="D12031" s="7">
        <v>17994</v>
      </c>
      <c r="E12031" s="7" t="s">
        <v>11</v>
      </c>
      <c r="F12031" s="8" t="str">
        <f ca="1">IFERROR(__xludf.DUMMYFUNCTION("IF
(
C12032=""фізична особа""
,
VLOOKUP(D12032,IMPORTRANGE(""https://docs.google.com/spreadsheets/d/14Bd19lYaqBhU8_DElYkX7l4wRkHqqCUFNJY4AfY3kHU/edit?usp=sharing  #gid=0"",""фіз особи new!relations_name""),6,FALSE)
,
(IF
(
C12032=""юридична особа""
,
VLOO"&amp;"KUP(D12032,IMPORTRANGE(""https://docs.google.com/spreadsheets/d/14Bd19lYaqBhU8_DElYkX7l4wRkHqqCUFNJY4AfY3kHU/edit?usp=sharing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31" s="7" t="s">
        <v>10</v>
      </c>
      <c r="H12031" s="7">
        <v>18003</v>
      </c>
      <c r="I12031" s="8" t="str">
        <f ca="1">IFERROR(__xludf.DUMMYFUNCTION("IF
(
G12032=""фізична особа""
,
VLOOKUP(H12032,IMPORTRANGE(""https://docs.google.com/spreadsheets/d/14Bd19lYaqBhU8_DElYkX7l4wRkHqqCUFNJY4AfY3kHU/edit?usp=sharing  #gid=0"",""фіз особи new!relations_name""),6,FALSE)
,
(IF
(
G12032=""юридична особа""
,
VLOO"&amp;"KUP(H12032,IMPORTRANGE(""https://docs.google.com/spreadsheets/d/14Bd19lYaqBhU8_DElYkX7l4wRkHqqCUFNJY4AfY3kHU/edit?usp=sharing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31" s="7" t="s">
        <v>11</v>
      </c>
    </row>
    <row r="12032" spans="1:10" ht="13.2">
      <c r="A12032" s="7">
        <v>12031</v>
      </c>
      <c r="B12032" s="7">
        <v>1</v>
      </c>
      <c r="C12032" s="7" t="s">
        <v>10</v>
      </c>
      <c r="D12032" s="7">
        <v>17994</v>
      </c>
      <c r="E12032" s="7" t="s">
        <v>11</v>
      </c>
      <c r="F12032" s="8" t="str">
        <f ca="1">IFERROR(__xludf.DUMMYFUNCTION("IF
(
C12033=""фізична особа""
,
VLOOKUP(D12033,IMPORTRANGE(""https://docs.google.com/spreadsheets/d/14Bd19lYaqBhU8_DElYkX7l4wRkHqqCUFNJY4AfY3kHU/edit?usp=sharing  #gid=0"",""фіз особи new!relations_name""),6,FALSE)
,
(IF
(
C12033=""юридична особа""
,
VLOO"&amp;"KUP(D12033,IMPORTRANGE(""https://docs.google.com/spreadsheets/d/14Bd19lYaqBhU8_DElYkX7l4wRkHqqCUFNJY4AfY3kHU/edit?usp=sharing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G12032" s="7" t="s">
        <v>10</v>
      </c>
      <c r="H12032" s="7">
        <v>18004</v>
      </c>
      <c r="I12032" s="8" t="str">
        <f ca="1">IFERROR(__xludf.DUMMYFUNCTION("IF
(
G12033=""фізична особа""
,
VLOOKUP(H12033,IMPORTRANGE(""https://docs.google.com/spreadsheets/d/14Bd19lYaqBhU8_DElYkX7l4wRkHqqCUFNJY4AfY3kHU/edit?usp=sharing  #gid=0"",""фіз особи new!relations_name""),6,FALSE)
,
(IF
(
G12033=""юридична особа""
,
VLOO"&amp;"KUP(H12033,IMPORTRANGE(""https://docs.google.com/spreadsheets/d/14Bd19lYaqBhU8_DElYkX7l4wRkHqqCUFNJY4AfY3kHU/edit?usp=sharing  #gid=0"",""фіз особи new!relations_name_uo""),7,FALSE)
,
)
))"),"ЮНХАО Бо")</f>
        <v>ЮНХАО Бо</v>
      </c>
      <c r="J12032" s="7" t="s">
        <v>11</v>
      </c>
    </row>
    <row r="12033" spans="1:10" ht="13.2">
      <c r="A12033" s="7">
        <v>12032</v>
      </c>
      <c r="B12033" s="7">
        <v>1</v>
      </c>
      <c r="C12033" s="7" t="s">
        <v>10</v>
      </c>
      <c r="D12033" s="7">
        <v>17995</v>
      </c>
      <c r="E12033" s="7" t="s">
        <v>11</v>
      </c>
      <c r="F12033" s="8" t="str">
        <f ca="1">IFERROR(__xludf.DUMMYFUNCTION("IF
(
C12034=""фізична особа""
,
VLOOKUP(D12034,IMPORTRANGE(""https://docs.google.com/spreadsheets/d/14Bd19lYaqBhU8_DElYkX7l4wRkHqqCUFNJY4AfY3kHU/edit?usp=sharing  #gid=0"",""фіз особи new!relations_name""),6,FALSE)
,
(IF
(
C12034=""юридична особа""
,
VLOO"&amp;"KUP(D12034,IMPORTRANGE(""https://docs.google.com/spreadsheets/d/14Bd19lYaqBhU8_DElYkX7l4wRkHqqCUFNJY4AfY3kHU/edit?usp=sharing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3" s="7" t="s">
        <v>10</v>
      </c>
      <c r="H12033" s="7">
        <v>17994</v>
      </c>
      <c r="I12033" s="8" t="str">
        <f ca="1">IFERROR(__xludf.DUMMYFUNCTION("IF
(
G12034=""фізична особа""
,
VLOOKUP(H12034,IMPORTRANGE(""https://docs.google.com/spreadsheets/d/14Bd19lYaqBhU8_DElYkX7l4wRkHqqCUFNJY4AfY3kHU/edit?usp=sharing  #gid=0"",""фіз особи new!relations_name""),6,FALSE)
,
(IF
(
G12034=""юридична особа""
,
VLOO"&amp;"KUP(H12034,IMPORTRANGE(""https://docs.google.com/spreadsheets/d/14Bd19lYaqBhU8_DElYkX7l4wRkHqqCUFNJY4AfY3kHU/edit?usp=sharing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33" s="7" t="s">
        <v>11</v>
      </c>
    </row>
    <row r="12034" spans="1:10" ht="13.2">
      <c r="A12034" s="7">
        <v>12033</v>
      </c>
      <c r="B12034" s="7">
        <v>1</v>
      </c>
      <c r="C12034" s="7" t="s">
        <v>10</v>
      </c>
      <c r="D12034" s="7">
        <v>17995</v>
      </c>
      <c r="E12034" s="7" t="s">
        <v>11</v>
      </c>
      <c r="F12034" s="8" t="str">
        <f ca="1">IFERROR(__xludf.DUMMYFUNCTION("IF
(
C12035=""фізична особа""
,
VLOOKUP(D12035,IMPORTRANGE(""https://docs.google.com/spreadsheets/d/14Bd19lYaqBhU8_DElYkX7l4wRkHqqCUFNJY4AfY3kHU/edit?usp=sharing  #gid=0"",""фіз особи new!relations_name""),6,FALSE)
,
(IF
(
C12035=""юридична особа""
,
VLOO"&amp;"KUP(D12035,IMPORTRANGE(""https://docs.google.com/spreadsheets/d/14Bd19lYaqBhU8_DElYkX7l4wRkHqqCUFNJY4AfY3kHU/edit?usp=sharing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4" s="7" t="s">
        <v>10</v>
      </c>
      <c r="H12034" s="7">
        <v>17996</v>
      </c>
      <c r="I12034" s="8" t="str">
        <f ca="1">IFERROR(__xludf.DUMMYFUNCTION("IF
(
G12035=""фізична особа""
,
VLOOKUP(H12035,IMPORTRANGE(""https://docs.google.com/spreadsheets/d/14Bd19lYaqBhU8_DElYkX7l4wRkHqqCUFNJY4AfY3kHU/edit?usp=sharing  #gid=0"",""фіз особи new!relations_name""),6,FALSE)
,
(IF
(
G12035=""юридична особа""
,
VLOO"&amp;"KUP(H12035,IMPORTRANGE(""https://docs.google.com/spreadsheets/d/14Bd19lYaqBhU8_DElYkX7l4wRkHqqCUFNJY4AfY3kHU/edit?usp=sharing  #gid=0"",""фіз особи new!relations_name_uo""),7,FALSE)
,
)
))"),"ЛЮ Чжи")</f>
        <v>ЛЮ Чжи</v>
      </c>
      <c r="J12034" s="7" t="s">
        <v>11</v>
      </c>
    </row>
    <row r="12035" spans="1:10" ht="13.2">
      <c r="A12035" s="7">
        <v>12034</v>
      </c>
      <c r="B12035" s="7">
        <v>1</v>
      </c>
      <c r="C12035" s="7" t="s">
        <v>10</v>
      </c>
      <c r="D12035" s="7">
        <v>17995</v>
      </c>
      <c r="E12035" s="7" t="s">
        <v>11</v>
      </c>
      <c r="F12035" s="8" t="str">
        <f ca="1">IFERROR(__xludf.DUMMYFUNCTION("IF
(
C12036=""фізична особа""
,
VLOOKUP(D12036,IMPORTRANGE(""https://docs.google.com/spreadsheets/d/14Bd19lYaqBhU8_DElYkX7l4wRkHqqCUFNJY4AfY3kHU/edit?usp=sharing  #gid=0"",""фіз особи new!relations_name""),6,FALSE)
,
(IF
(
C12036=""юридична особа""
,
VLOO"&amp;"KUP(D12036,IMPORTRANGE(""https://docs.google.com/spreadsheets/d/14Bd19lYaqBhU8_DElYkX7l4wRkHqqCUFNJY4AfY3kHU/edit?usp=sharing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5" s="7" t="s">
        <v>10</v>
      </c>
      <c r="H12035" s="7">
        <v>17997</v>
      </c>
      <c r="I12035" s="8" t="str">
        <f ca="1">IFERROR(__xludf.DUMMYFUNCTION("IF
(
G12036=""фізична особа""
,
VLOOKUP(H12036,IMPORTRANGE(""https://docs.google.com/spreadsheets/d/14Bd19lYaqBhU8_DElYkX7l4wRkHqqCUFNJY4AfY3kHU/edit?usp=sharing  #gid=0"",""фіз особи new!relations_name""),6,FALSE)
,
(IF
(
G12036=""юридична особа""
,
VLOO"&amp;"KUP(H12036,IMPORTRANGE(""https://docs.google.com/spreadsheets/d/14Bd19lYaqBhU8_DElYkX7l4wRkHqqCUFNJY4AfY3kHU/edit?usp=sharing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35" s="7" t="s">
        <v>11</v>
      </c>
    </row>
    <row r="12036" spans="1:10" ht="13.2">
      <c r="A12036" s="7">
        <v>12035</v>
      </c>
      <c r="B12036" s="7">
        <v>1</v>
      </c>
      <c r="C12036" s="7" t="s">
        <v>10</v>
      </c>
      <c r="D12036" s="7">
        <v>17995</v>
      </c>
      <c r="E12036" s="7" t="s">
        <v>11</v>
      </c>
      <c r="F12036" s="8" t="str">
        <f ca="1">IFERROR(__xludf.DUMMYFUNCTION("IF
(
C12037=""фізична особа""
,
VLOOKUP(D12037,IMPORTRANGE(""https://docs.google.com/spreadsheets/d/14Bd19lYaqBhU8_DElYkX7l4wRkHqqCUFNJY4AfY3kHU/edit?usp=sharing  #gid=0"",""фіз особи new!relations_name""),6,FALSE)
,
(IF
(
C12037=""юридична особа""
,
VLOO"&amp;"KUP(D12037,IMPORTRANGE(""https://docs.google.com/spreadsheets/d/14Bd19lYaqBhU8_DElYkX7l4wRkHqqCUFNJY4AfY3kHU/edit?usp=sharing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6" s="7" t="s">
        <v>10</v>
      </c>
      <c r="H12036" s="7">
        <v>17998</v>
      </c>
      <c r="I12036" s="8" t="str">
        <f ca="1">IFERROR(__xludf.DUMMYFUNCTION("IF
(
G12037=""фізична особа""
,
VLOOKUP(H12037,IMPORTRANGE(""https://docs.google.com/spreadsheets/d/14Bd19lYaqBhU8_DElYkX7l4wRkHqqCUFNJY4AfY3kHU/edit?usp=sharing  #gid=0"",""фіз особи new!relations_name""),6,FALSE)
,
(IF
(
G12037=""юридична особа""
,
VLOO"&amp;"KUP(H12037,IMPORTRANGE(""https://docs.google.com/spreadsheets/d/14Bd19lYaqBhU8_DElYkX7l4wRkHqqCUFNJY4AfY3kHU/edit?usp=sharing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36" s="7" t="s">
        <v>11</v>
      </c>
    </row>
    <row r="12037" spans="1:10" ht="13.2">
      <c r="A12037" s="7">
        <v>12036</v>
      </c>
      <c r="B12037" s="7">
        <v>1</v>
      </c>
      <c r="C12037" s="7" t="s">
        <v>10</v>
      </c>
      <c r="D12037" s="7">
        <v>17995</v>
      </c>
      <c r="E12037" s="7" t="s">
        <v>11</v>
      </c>
      <c r="F12037" s="8" t="str">
        <f ca="1">IFERROR(__xludf.DUMMYFUNCTION("IF
(
C12038=""фізична особа""
,
VLOOKUP(D12038,IMPORTRANGE(""https://docs.google.com/spreadsheets/d/14Bd19lYaqBhU8_DElYkX7l4wRkHqqCUFNJY4AfY3kHU/edit?usp=sharing  #gid=0"",""фіз особи new!relations_name""),6,FALSE)
,
(IF
(
C12038=""юридична особа""
,
VLOO"&amp;"KUP(D12038,IMPORTRANGE(""https://docs.google.com/spreadsheets/d/14Bd19lYaqBhU8_DElYkX7l4wRkHqqCUFNJY4AfY3kHU/edit?usp=sharing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7" s="7" t="s">
        <v>10</v>
      </c>
      <c r="H12037" s="7">
        <v>17999</v>
      </c>
      <c r="I12037" s="8" t="str">
        <f ca="1">IFERROR(__xludf.DUMMYFUNCTION("IF
(
G12038=""фізична особа""
,
VLOOKUP(H12038,IMPORTRANGE(""https://docs.google.com/spreadsheets/d/14Bd19lYaqBhU8_DElYkX7l4wRkHqqCUFNJY4AfY3kHU/edit?usp=sharing  #gid=0"",""фіз особи new!relations_name""),6,FALSE)
,
(IF
(
G12038=""юридична особа""
,
VLOO"&amp;"KUP(H12038,IMPORTRANGE(""https://docs.google.com/spreadsheets/d/14Bd19lYaqBhU8_DElYkX7l4wRkHqqCUFNJY4AfY3kHU/edit?usp=sharing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37" s="7" t="s">
        <v>11</v>
      </c>
    </row>
    <row r="12038" spans="1:10" ht="13.2">
      <c r="A12038" s="7">
        <v>12037</v>
      </c>
      <c r="B12038" s="7">
        <v>1</v>
      </c>
      <c r="C12038" s="7" t="s">
        <v>10</v>
      </c>
      <c r="D12038" s="7">
        <v>17995</v>
      </c>
      <c r="E12038" s="7" t="s">
        <v>11</v>
      </c>
      <c r="F12038" s="8" t="str">
        <f ca="1">IFERROR(__xludf.DUMMYFUNCTION("IF
(
C12039=""фізична особа""
,
VLOOKUP(D12039,IMPORTRANGE(""https://docs.google.com/spreadsheets/d/14Bd19lYaqBhU8_DElYkX7l4wRkHqqCUFNJY4AfY3kHU/edit?usp=sharing  #gid=0"",""фіз особи new!relations_name""),6,FALSE)
,
(IF
(
C12039=""юридична особа""
,
VLOO"&amp;"KUP(D12039,IMPORTRANGE(""https://docs.google.com/spreadsheets/d/14Bd19lYaqBhU8_DElYkX7l4wRkHqqCUFNJY4AfY3kHU/edit?usp=sharing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8" s="7" t="s">
        <v>10</v>
      </c>
      <c r="H12038" s="7">
        <v>18000</v>
      </c>
      <c r="I12038" s="8" t="str">
        <f ca="1">IFERROR(__xludf.DUMMYFUNCTION("IF
(
G12039=""фізична особа""
,
VLOOKUP(H12039,IMPORTRANGE(""https://docs.google.com/spreadsheets/d/14Bd19lYaqBhU8_DElYkX7l4wRkHqqCUFNJY4AfY3kHU/edit?usp=sharing  #gid=0"",""фіз особи new!relations_name""),6,FALSE)
,
(IF
(
G12039=""юридична особа""
,
VLOO"&amp;"KUP(H12039,IMPORTRANGE(""https://docs.google.com/spreadsheets/d/14Bd19lYaqBhU8_DElYkX7l4wRkHqqCUFNJY4AfY3kHU/edit?usp=sharing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38" s="7" t="s">
        <v>11</v>
      </c>
    </row>
    <row r="12039" spans="1:10" ht="13.2">
      <c r="A12039" s="7">
        <v>12038</v>
      </c>
      <c r="B12039" s="7">
        <v>1</v>
      </c>
      <c r="C12039" s="7" t="s">
        <v>10</v>
      </c>
      <c r="D12039" s="7">
        <v>17995</v>
      </c>
      <c r="E12039" s="7" t="s">
        <v>11</v>
      </c>
      <c r="F12039" s="8" t="str">
        <f ca="1">IFERROR(__xludf.DUMMYFUNCTION("IF
(
C12040=""фізична особа""
,
VLOOKUP(D12040,IMPORTRANGE(""https://docs.google.com/spreadsheets/d/14Bd19lYaqBhU8_DElYkX7l4wRkHqqCUFNJY4AfY3kHU/edit?usp=sharing  #gid=0"",""фіз особи new!relations_name""),6,FALSE)
,
(IF
(
C12040=""юридична особа""
,
VLOO"&amp;"KUP(D12040,IMPORTRANGE(""https://docs.google.com/spreadsheets/d/14Bd19lYaqBhU8_DElYkX7l4wRkHqqCUFNJY4AfY3kHU/edit?usp=sharing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39" s="7" t="s">
        <v>10</v>
      </c>
      <c r="H12039" s="7">
        <v>18001</v>
      </c>
      <c r="I12039" s="8" t="str">
        <f ca="1">IFERROR(__xludf.DUMMYFUNCTION("IF
(
G12040=""фізична особа""
,
VLOOKUP(H12040,IMPORTRANGE(""https://docs.google.com/spreadsheets/d/14Bd19lYaqBhU8_DElYkX7l4wRkHqqCUFNJY4AfY3kHU/edit?usp=sharing  #gid=0"",""фіз особи new!relations_name""),6,FALSE)
,
(IF
(
G12040=""юридична особа""
,
VLOO"&amp;"KUP(H12040,IMPORTRANGE(""https://docs.google.com/spreadsheets/d/14Bd19lYaqBhU8_DElYkX7l4wRkHqqCUFNJY4AfY3kHU/edit?usp=sharing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39" s="7" t="s">
        <v>11</v>
      </c>
    </row>
    <row r="12040" spans="1:10" ht="13.2">
      <c r="A12040" s="7">
        <v>12039</v>
      </c>
      <c r="B12040" s="7">
        <v>1</v>
      </c>
      <c r="C12040" s="7" t="s">
        <v>10</v>
      </c>
      <c r="D12040" s="7">
        <v>17995</v>
      </c>
      <c r="E12040" s="7" t="s">
        <v>11</v>
      </c>
      <c r="F12040" s="8" t="str">
        <f ca="1">IFERROR(__xludf.DUMMYFUNCTION("IF
(
C12041=""фізична особа""
,
VLOOKUP(D12041,IMPORTRANGE(""https://docs.google.com/spreadsheets/d/14Bd19lYaqBhU8_DElYkX7l4wRkHqqCUFNJY4AfY3kHU/edit?usp=sharing  #gid=0"",""фіз особи new!relations_name""),6,FALSE)
,
(IF
(
C12041=""юридична особа""
,
VLOO"&amp;"KUP(D12041,IMPORTRANGE(""https://docs.google.com/spreadsheets/d/14Bd19lYaqBhU8_DElYkX7l4wRkHqqCUFNJY4AfY3kHU/edit?usp=sharing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40" s="7" t="s">
        <v>10</v>
      </c>
      <c r="H12040" s="7">
        <v>18002</v>
      </c>
      <c r="I12040" s="8" t="str">
        <f ca="1">IFERROR(__xludf.DUMMYFUNCTION("IF
(
G12041=""фізична особа""
,
VLOOKUP(H12041,IMPORTRANGE(""https://docs.google.com/spreadsheets/d/14Bd19lYaqBhU8_DElYkX7l4wRkHqqCUFNJY4AfY3kHU/edit?usp=sharing  #gid=0"",""фіз особи new!relations_name""),6,FALSE)
,
(IF
(
G12041=""юридична особа""
,
VLOO"&amp;"KUP(H12041,IMPORTRANGE(""https://docs.google.com/spreadsheets/d/14Bd19lYaqBhU8_DElYkX7l4wRkHqqCUFNJY4AfY3kHU/edit?usp=sharing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40" s="7" t="s">
        <v>11</v>
      </c>
    </row>
    <row r="12041" spans="1:10" ht="13.2">
      <c r="A12041" s="7">
        <v>12040</v>
      </c>
      <c r="B12041" s="7">
        <v>1</v>
      </c>
      <c r="C12041" s="7" t="s">
        <v>10</v>
      </c>
      <c r="D12041" s="7">
        <v>17995</v>
      </c>
      <c r="E12041" s="7" t="s">
        <v>11</v>
      </c>
      <c r="F12041" s="8" t="str">
        <f ca="1">IFERROR(__xludf.DUMMYFUNCTION("IF
(
C12042=""фізична особа""
,
VLOOKUP(D12042,IMPORTRANGE(""https://docs.google.com/spreadsheets/d/14Bd19lYaqBhU8_DElYkX7l4wRkHqqCUFNJY4AfY3kHU/edit?usp=sharing  #gid=0"",""фіз особи new!relations_name""),6,FALSE)
,
(IF
(
C12042=""юридична особа""
,
VLOO"&amp;"KUP(D12042,IMPORTRANGE(""https://docs.google.com/spreadsheets/d/14Bd19lYaqBhU8_DElYkX7l4wRkHqqCUFNJY4AfY3kHU/edit?usp=sharing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41" s="7" t="s">
        <v>10</v>
      </c>
      <c r="H12041" s="7">
        <v>18003</v>
      </c>
      <c r="I12041" s="8" t="str">
        <f ca="1">IFERROR(__xludf.DUMMYFUNCTION("IF
(
G12042=""фізична особа""
,
VLOOKUP(H12042,IMPORTRANGE(""https://docs.google.com/spreadsheets/d/14Bd19lYaqBhU8_DElYkX7l4wRkHqqCUFNJY4AfY3kHU/edit?usp=sharing  #gid=0"",""фіз особи new!relations_name""),6,FALSE)
,
(IF
(
G12042=""юридична особа""
,
VLOO"&amp;"KUP(H12042,IMPORTRANGE(""https://docs.google.com/spreadsheets/d/14Bd19lYaqBhU8_DElYkX7l4wRkHqqCUFNJY4AfY3kHU/edit?usp=sharing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41" s="7" t="s">
        <v>11</v>
      </c>
    </row>
    <row r="12042" spans="1:10" ht="13.2">
      <c r="A12042" s="7">
        <v>12041</v>
      </c>
      <c r="B12042" s="7">
        <v>1</v>
      </c>
      <c r="C12042" s="7" t="s">
        <v>10</v>
      </c>
      <c r="D12042" s="7">
        <v>17995</v>
      </c>
      <c r="E12042" s="7" t="s">
        <v>11</v>
      </c>
      <c r="F12042" s="8" t="str">
        <f ca="1">IFERROR(__xludf.DUMMYFUNCTION("IF
(
C12043=""фізична особа""
,
VLOOKUP(D12043,IMPORTRANGE(""https://docs.google.com/spreadsheets/d/14Bd19lYaqBhU8_DElYkX7l4wRkHqqCUFNJY4AfY3kHU/edit?usp=sharing  #gid=0"",""фіз особи new!relations_name""),6,FALSE)
,
(IF
(
C12043=""юридична особа""
,
VLOO"&amp;"KUP(D12043,IMPORTRANGE(""https://docs.google.com/spreadsheets/d/14Bd19lYaqBhU8_DElYkX7l4wRkHqqCUFNJY4AfY3kHU/edit?usp=sharing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G12042" s="7" t="s">
        <v>10</v>
      </c>
      <c r="H12042" s="7">
        <v>18004</v>
      </c>
      <c r="I12042" s="8" t="str">
        <f ca="1">IFERROR(__xludf.DUMMYFUNCTION("IF
(
G12043=""фізична особа""
,
VLOOKUP(H12043,IMPORTRANGE(""https://docs.google.com/spreadsheets/d/14Bd19lYaqBhU8_DElYkX7l4wRkHqqCUFNJY4AfY3kHU/edit?usp=sharing  #gid=0"",""фіз особи new!relations_name""),6,FALSE)
,
(IF
(
G12043=""юридична особа""
,
VLOO"&amp;"KUP(H12043,IMPORTRANGE(""https://docs.google.com/spreadsheets/d/14Bd19lYaqBhU8_DElYkX7l4wRkHqqCUFNJY4AfY3kHU/edit?usp=sharing  #gid=0"",""фіз особи new!relations_name_uo""),7,FALSE)
,
)
))"),"ЮНХАО Бо")</f>
        <v>ЮНХАО Бо</v>
      </c>
      <c r="J12042" s="7" t="s">
        <v>11</v>
      </c>
    </row>
    <row r="12043" spans="1:10" ht="13.2">
      <c r="A12043" s="7">
        <v>12042</v>
      </c>
      <c r="B12043" s="7">
        <v>1</v>
      </c>
      <c r="C12043" s="7" t="s">
        <v>10</v>
      </c>
      <c r="D12043" s="7">
        <v>17996</v>
      </c>
      <c r="E12043" s="7" t="s">
        <v>11</v>
      </c>
      <c r="F12043" s="8" t="str">
        <f ca="1">IFERROR(__xludf.DUMMYFUNCTION("IF
(
C12044=""фізична особа""
,
VLOOKUP(D12044,IMPORTRANGE(""https://docs.google.com/spreadsheets/d/14Bd19lYaqBhU8_DElYkX7l4wRkHqqCUFNJY4AfY3kHU/edit?usp=sharing  #gid=0"",""фіз особи new!relations_name""),6,FALSE)
,
(IF
(
C12044=""юридична особа""
,
VLOO"&amp;"KUP(D12044,IMPORTRANGE(""https://docs.google.com/spreadsheets/d/14Bd19lYaqBhU8_DElYkX7l4wRkHqqCUFNJY4AfY3kHU/edit?usp=sharing  #gid=0"",""фіз особи new!relations_name_uo""),7,FALSE)
,
)
))"),"ЛЮ Чжи")</f>
        <v>ЛЮ Чжи</v>
      </c>
      <c r="G12043" s="7" t="s">
        <v>10</v>
      </c>
      <c r="H12043" s="7">
        <v>17994</v>
      </c>
      <c r="I12043" s="8" t="str">
        <f ca="1">IFERROR(__xludf.DUMMYFUNCTION("IF
(
G12044=""фізична особа""
,
VLOOKUP(H12044,IMPORTRANGE(""https://docs.google.com/spreadsheets/d/14Bd19lYaqBhU8_DElYkX7l4wRkHqqCUFNJY4AfY3kHU/edit?usp=sharing  #gid=0"",""фіз особи new!relations_name""),6,FALSE)
,
(IF
(
G12044=""юридична особа""
,
VLOO"&amp;"KUP(H12044,IMPORTRANGE(""https://docs.google.com/spreadsheets/d/14Bd19lYaqBhU8_DElYkX7l4wRkHqqCUFNJY4AfY3kHU/edit?usp=sharing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43" s="7" t="s">
        <v>11</v>
      </c>
    </row>
    <row r="12044" spans="1:10" ht="13.2">
      <c r="A12044" s="7">
        <v>12043</v>
      </c>
      <c r="B12044" s="7">
        <v>1</v>
      </c>
      <c r="C12044" s="7" t="s">
        <v>10</v>
      </c>
      <c r="D12044" s="7">
        <v>17996</v>
      </c>
      <c r="E12044" s="7" t="s">
        <v>11</v>
      </c>
      <c r="F12044" s="8" t="str">
        <f ca="1">IFERROR(__xludf.DUMMYFUNCTION("IF
(
C12045=""фізична особа""
,
VLOOKUP(D12045,IMPORTRANGE(""https://docs.google.com/spreadsheets/d/14Bd19lYaqBhU8_DElYkX7l4wRkHqqCUFNJY4AfY3kHU/edit?usp=sharing  #gid=0"",""фіз особи new!relations_name""),6,FALSE)
,
(IF
(
C12045=""юридична особа""
,
VLOO"&amp;"KUP(D12045,IMPORTRANGE(""https://docs.google.com/spreadsheets/d/14Bd19lYaqBhU8_DElYkX7l4wRkHqqCUFNJY4AfY3kHU/edit?usp=sharing  #gid=0"",""фіз особи new!relations_name_uo""),7,FALSE)
,
)
))"),"ЛЮ Чжи")</f>
        <v>ЛЮ Чжи</v>
      </c>
      <c r="G12044" s="7" t="s">
        <v>10</v>
      </c>
      <c r="H12044" s="7">
        <v>17995</v>
      </c>
      <c r="I12044" s="8" t="str">
        <f ca="1">IFERROR(__xludf.DUMMYFUNCTION("IF
(
G12045=""фізична особа""
,
VLOOKUP(H12045,IMPORTRANGE(""https://docs.google.com/spreadsheets/d/14Bd19lYaqBhU8_DElYkX7l4wRkHqqCUFNJY4AfY3kHU/edit?usp=sharing  #gid=0"",""фіз особи new!relations_name""),6,FALSE)
,
(IF
(
G12045=""юридична особа""
,
VLOO"&amp;"KUP(H12045,IMPORTRANGE(""https://docs.google.com/spreadsheets/d/14Bd19lYaqBhU8_DElYkX7l4wRkHqqCUFNJY4AfY3kHU/edit?usp=sharing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44" s="7" t="s">
        <v>11</v>
      </c>
    </row>
    <row r="12045" spans="1:10" ht="13.2">
      <c r="A12045" s="7">
        <v>12044</v>
      </c>
      <c r="B12045" s="7">
        <v>1</v>
      </c>
      <c r="C12045" s="7" t="s">
        <v>10</v>
      </c>
      <c r="D12045" s="7">
        <v>17996</v>
      </c>
      <c r="E12045" s="7" t="s">
        <v>11</v>
      </c>
      <c r="F12045" s="8" t="str">
        <f ca="1">IFERROR(__xludf.DUMMYFUNCTION("IF
(
C12046=""фізична особа""
,
VLOOKUP(D12046,IMPORTRANGE(""https://docs.google.com/spreadsheets/d/14Bd19lYaqBhU8_DElYkX7l4wRkHqqCUFNJY4AfY3kHU/edit?usp=sharing  #gid=0"",""фіз особи new!relations_name""),6,FALSE)
,
(IF
(
C12046=""юридична особа""
,
VLOO"&amp;"KUP(D12046,IMPORTRANGE(""https://docs.google.com/spreadsheets/d/14Bd19lYaqBhU8_DElYkX7l4wRkHqqCUFNJY4AfY3kHU/edit?usp=sharing  #gid=0"",""фіз особи new!relations_name_uo""),7,FALSE)
,
)
))"),"ЛЮ Чжи")</f>
        <v>ЛЮ Чжи</v>
      </c>
      <c r="G12045" s="7" t="s">
        <v>10</v>
      </c>
      <c r="H12045" s="7">
        <v>17997</v>
      </c>
      <c r="I12045" s="8" t="str">
        <f ca="1">IFERROR(__xludf.DUMMYFUNCTION("IF
(
G12046=""фізична особа""
,
VLOOKUP(H12046,IMPORTRANGE(""https://docs.google.com/spreadsheets/d/14Bd19lYaqBhU8_DElYkX7l4wRkHqqCUFNJY4AfY3kHU/edit?usp=sharing  #gid=0"",""фіз особи new!relations_name""),6,FALSE)
,
(IF
(
G12046=""юридична особа""
,
VLOO"&amp;"KUP(H12046,IMPORTRANGE(""https://docs.google.com/spreadsheets/d/14Bd19lYaqBhU8_DElYkX7l4wRkHqqCUFNJY4AfY3kHU/edit?usp=sharing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45" s="7" t="s">
        <v>11</v>
      </c>
    </row>
    <row r="12046" spans="1:10" ht="13.2">
      <c r="A12046" s="7">
        <v>12045</v>
      </c>
      <c r="B12046" s="7">
        <v>1</v>
      </c>
      <c r="C12046" s="7" t="s">
        <v>10</v>
      </c>
      <c r="D12046" s="7">
        <v>17996</v>
      </c>
      <c r="E12046" s="7" t="s">
        <v>11</v>
      </c>
      <c r="F12046" s="8" t="str">
        <f ca="1">IFERROR(__xludf.DUMMYFUNCTION("IF
(
C12047=""фізична особа""
,
VLOOKUP(D12047,IMPORTRANGE(""https://docs.google.com/spreadsheets/d/14Bd19lYaqBhU8_DElYkX7l4wRkHqqCUFNJY4AfY3kHU/edit?usp=sharing  #gid=0"",""фіз особи new!relations_name""),6,FALSE)
,
(IF
(
C12047=""юридична особа""
,
VLOO"&amp;"KUP(D12047,IMPORTRANGE(""https://docs.google.com/spreadsheets/d/14Bd19lYaqBhU8_DElYkX7l4wRkHqqCUFNJY4AfY3kHU/edit?usp=sharing  #gid=0"",""фіз особи new!relations_name_uo""),7,FALSE)
,
)
))"),"ЛЮ Чжи")</f>
        <v>ЛЮ Чжи</v>
      </c>
      <c r="G12046" s="7" t="s">
        <v>10</v>
      </c>
      <c r="H12046" s="7">
        <v>17998</v>
      </c>
      <c r="I12046" s="8" t="str">
        <f ca="1">IFERROR(__xludf.DUMMYFUNCTION("IF
(
G12047=""фізична особа""
,
VLOOKUP(H12047,IMPORTRANGE(""https://docs.google.com/spreadsheets/d/14Bd19lYaqBhU8_DElYkX7l4wRkHqqCUFNJY4AfY3kHU/edit?usp=sharing  #gid=0"",""фіз особи new!relations_name""),6,FALSE)
,
(IF
(
G12047=""юридична особа""
,
VLOO"&amp;"KUP(H12047,IMPORTRANGE(""https://docs.google.com/spreadsheets/d/14Bd19lYaqBhU8_DElYkX7l4wRkHqqCUFNJY4AfY3kHU/edit?usp=sharing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46" s="7" t="s">
        <v>11</v>
      </c>
    </row>
    <row r="12047" spans="1:10" ht="13.2">
      <c r="A12047" s="7">
        <v>12046</v>
      </c>
      <c r="B12047" s="7">
        <v>1</v>
      </c>
      <c r="C12047" s="7" t="s">
        <v>10</v>
      </c>
      <c r="D12047" s="7">
        <v>17996</v>
      </c>
      <c r="E12047" s="7" t="s">
        <v>11</v>
      </c>
      <c r="F12047" s="8" t="str">
        <f ca="1">IFERROR(__xludf.DUMMYFUNCTION("IF
(
C12048=""фізична особа""
,
VLOOKUP(D12048,IMPORTRANGE(""https://docs.google.com/spreadsheets/d/14Bd19lYaqBhU8_DElYkX7l4wRkHqqCUFNJY4AfY3kHU/edit?usp=sharing  #gid=0"",""фіз особи new!relations_name""),6,FALSE)
,
(IF
(
C12048=""юридична особа""
,
VLOO"&amp;"KUP(D12048,IMPORTRANGE(""https://docs.google.com/spreadsheets/d/14Bd19lYaqBhU8_DElYkX7l4wRkHqqCUFNJY4AfY3kHU/edit?usp=sharing  #gid=0"",""фіз особи new!relations_name_uo""),7,FALSE)
,
)
))"),"ЛЮ Чжи")</f>
        <v>ЛЮ Чжи</v>
      </c>
      <c r="G12047" s="7" t="s">
        <v>10</v>
      </c>
      <c r="H12047" s="7">
        <v>17999</v>
      </c>
      <c r="I12047" s="8" t="str">
        <f ca="1">IFERROR(__xludf.DUMMYFUNCTION("IF
(
G12048=""фізична особа""
,
VLOOKUP(H12048,IMPORTRANGE(""https://docs.google.com/spreadsheets/d/14Bd19lYaqBhU8_DElYkX7l4wRkHqqCUFNJY4AfY3kHU/edit?usp=sharing  #gid=0"",""фіз особи new!relations_name""),6,FALSE)
,
(IF
(
G12048=""юридична особа""
,
VLOO"&amp;"KUP(H12048,IMPORTRANGE(""https://docs.google.com/spreadsheets/d/14Bd19lYaqBhU8_DElYkX7l4wRkHqqCUFNJY4AfY3kHU/edit?usp=sharing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47" s="7" t="s">
        <v>11</v>
      </c>
    </row>
    <row r="12048" spans="1:10" ht="13.2">
      <c r="A12048" s="7">
        <v>12047</v>
      </c>
      <c r="B12048" s="7">
        <v>1</v>
      </c>
      <c r="C12048" s="7" t="s">
        <v>10</v>
      </c>
      <c r="D12048" s="7">
        <v>17996</v>
      </c>
      <c r="E12048" s="7" t="s">
        <v>11</v>
      </c>
      <c r="F12048" s="8" t="str">
        <f ca="1">IFERROR(__xludf.DUMMYFUNCTION("IF
(
C12049=""фізична особа""
,
VLOOKUP(D12049,IMPORTRANGE(""https://docs.google.com/spreadsheets/d/14Bd19lYaqBhU8_DElYkX7l4wRkHqqCUFNJY4AfY3kHU/edit?usp=sharing  #gid=0"",""фіз особи new!relations_name""),6,FALSE)
,
(IF
(
C12049=""юридична особа""
,
VLOO"&amp;"KUP(D12049,IMPORTRANGE(""https://docs.google.com/spreadsheets/d/14Bd19lYaqBhU8_DElYkX7l4wRkHqqCUFNJY4AfY3kHU/edit?usp=sharing  #gid=0"",""фіз особи new!relations_name_uo""),7,FALSE)
,
)
))"),"ЛЮ Чжи")</f>
        <v>ЛЮ Чжи</v>
      </c>
      <c r="G12048" s="7" t="s">
        <v>10</v>
      </c>
      <c r="H12048" s="7">
        <v>18000</v>
      </c>
      <c r="I12048" s="8" t="str">
        <f ca="1">IFERROR(__xludf.DUMMYFUNCTION("IF
(
G12049=""фізична особа""
,
VLOOKUP(H12049,IMPORTRANGE(""https://docs.google.com/spreadsheets/d/14Bd19lYaqBhU8_DElYkX7l4wRkHqqCUFNJY4AfY3kHU/edit?usp=sharing  #gid=0"",""фіз особи new!relations_name""),6,FALSE)
,
(IF
(
G12049=""юридична особа""
,
VLOO"&amp;"KUP(H12049,IMPORTRANGE(""https://docs.google.com/spreadsheets/d/14Bd19lYaqBhU8_DElYkX7l4wRkHqqCUFNJY4AfY3kHU/edit?usp=sharing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48" s="7" t="s">
        <v>11</v>
      </c>
    </row>
    <row r="12049" spans="1:10" ht="13.2">
      <c r="A12049" s="7">
        <v>12048</v>
      </c>
      <c r="B12049" s="7">
        <v>1</v>
      </c>
      <c r="C12049" s="7" t="s">
        <v>10</v>
      </c>
      <c r="D12049" s="7">
        <v>17996</v>
      </c>
      <c r="E12049" s="7" t="s">
        <v>11</v>
      </c>
      <c r="F12049" s="8" t="str">
        <f ca="1">IFERROR(__xludf.DUMMYFUNCTION("IF
(
C12050=""фізична особа""
,
VLOOKUP(D12050,IMPORTRANGE(""https://docs.google.com/spreadsheets/d/14Bd19lYaqBhU8_DElYkX7l4wRkHqqCUFNJY4AfY3kHU/edit?usp=sharing  #gid=0"",""фіз особи new!relations_name""),6,FALSE)
,
(IF
(
C12050=""юридична особа""
,
VLOO"&amp;"KUP(D12050,IMPORTRANGE(""https://docs.google.com/spreadsheets/d/14Bd19lYaqBhU8_DElYkX7l4wRkHqqCUFNJY4AfY3kHU/edit?usp=sharing  #gid=0"",""фіз особи new!relations_name_uo""),7,FALSE)
,
)
))"),"ЛЮ Чжи")</f>
        <v>ЛЮ Чжи</v>
      </c>
      <c r="G12049" s="7" t="s">
        <v>10</v>
      </c>
      <c r="H12049" s="7">
        <v>18001</v>
      </c>
      <c r="I12049" s="8" t="str">
        <f ca="1">IFERROR(__xludf.DUMMYFUNCTION("IF
(
G12050=""фізична особа""
,
VLOOKUP(H12050,IMPORTRANGE(""https://docs.google.com/spreadsheets/d/14Bd19lYaqBhU8_DElYkX7l4wRkHqqCUFNJY4AfY3kHU/edit?usp=sharing  #gid=0"",""фіз особи new!relations_name""),6,FALSE)
,
(IF
(
G12050=""юридична особа""
,
VLOO"&amp;"KUP(H12050,IMPORTRANGE(""https://docs.google.com/spreadsheets/d/14Bd19lYaqBhU8_DElYkX7l4wRkHqqCUFNJY4AfY3kHU/edit?usp=sharing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49" s="7" t="s">
        <v>11</v>
      </c>
    </row>
    <row r="12050" spans="1:10" ht="13.2">
      <c r="A12050" s="7">
        <v>12049</v>
      </c>
      <c r="B12050" s="7">
        <v>1</v>
      </c>
      <c r="C12050" s="7" t="s">
        <v>10</v>
      </c>
      <c r="D12050" s="7">
        <v>17996</v>
      </c>
      <c r="E12050" s="7" t="s">
        <v>11</v>
      </c>
      <c r="F12050" s="8" t="str">
        <f ca="1">IFERROR(__xludf.DUMMYFUNCTION("IF
(
C12051=""фізична особа""
,
VLOOKUP(D12051,IMPORTRANGE(""https://docs.google.com/spreadsheets/d/14Bd19lYaqBhU8_DElYkX7l4wRkHqqCUFNJY4AfY3kHU/edit?usp=sharing  #gid=0"",""фіз особи new!relations_name""),6,FALSE)
,
(IF
(
C12051=""юридична особа""
,
VLOO"&amp;"KUP(D12051,IMPORTRANGE(""https://docs.google.com/spreadsheets/d/14Bd19lYaqBhU8_DElYkX7l4wRkHqqCUFNJY4AfY3kHU/edit?usp=sharing  #gid=0"",""фіз особи new!relations_name_uo""),7,FALSE)
,
)
))"),"ЛЮ Чжи")</f>
        <v>ЛЮ Чжи</v>
      </c>
      <c r="G12050" s="7" t="s">
        <v>10</v>
      </c>
      <c r="H12050" s="7">
        <v>18002</v>
      </c>
      <c r="I12050" s="8" t="str">
        <f ca="1">IFERROR(__xludf.DUMMYFUNCTION("IF
(
G12051=""фізична особа""
,
VLOOKUP(H12051,IMPORTRANGE(""https://docs.google.com/spreadsheets/d/14Bd19lYaqBhU8_DElYkX7l4wRkHqqCUFNJY4AfY3kHU/edit?usp=sharing  #gid=0"",""фіз особи new!relations_name""),6,FALSE)
,
(IF
(
G12051=""юридична особа""
,
VLOO"&amp;"KUP(H12051,IMPORTRANGE(""https://docs.google.com/spreadsheets/d/14Bd19lYaqBhU8_DElYkX7l4wRkHqqCUFNJY4AfY3kHU/edit?usp=sharing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50" s="7" t="s">
        <v>11</v>
      </c>
    </row>
    <row r="12051" spans="1:10" ht="13.2">
      <c r="A12051" s="7">
        <v>12050</v>
      </c>
      <c r="B12051" s="7">
        <v>1</v>
      </c>
      <c r="C12051" s="7" t="s">
        <v>10</v>
      </c>
      <c r="D12051" s="7">
        <v>17996</v>
      </c>
      <c r="E12051" s="7" t="s">
        <v>11</v>
      </c>
      <c r="F12051" s="8" t="str">
        <f ca="1">IFERROR(__xludf.DUMMYFUNCTION("IF
(
C12052=""фізична особа""
,
VLOOKUP(D12052,IMPORTRANGE(""https://docs.google.com/spreadsheets/d/14Bd19lYaqBhU8_DElYkX7l4wRkHqqCUFNJY4AfY3kHU/edit?usp=sharing  #gid=0"",""фіз особи new!relations_name""),6,FALSE)
,
(IF
(
C12052=""юридична особа""
,
VLOO"&amp;"KUP(D12052,IMPORTRANGE(""https://docs.google.com/spreadsheets/d/14Bd19lYaqBhU8_DElYkX7l4wRkHqqCUFNJY4AfY3kHU/edit?usp=sharing  #gid=0"",""фіз особи new!relations_name_uo""),7,FALSE)
,
)
))"),"ЛЮ Чжи")</f>
        <v>ЛЮ Чжи</v>
      </c>
      <c r="G12051" s="7" t="s">
        <v>10</v>
      </c>
      <c r="H12051" s="7">
        <v>18003</v>
      </c>
      <c r="I12051" s="8" t="str">
        <f ca="1">IFERROR(__xludf.DUMMYFUNCTION("IF
(
G12052=""фізична особа""
,
VLOOKUP(H12052,IMPORTRANGE(""https://docs.google.com/spreadsheets/d/14Bd19lYaqBhU8_DElYkX7l4wRkHqqCUFNJY4AfY3kHU/edit?usp=sharing  #gid=0"",""фіз особи new!relations_name""),6,FALSE)
,
(IF
(
G12052=""юридична особа""
,
VLOO"&amp;"KUP(H12052,IMPORTRANGE(""https://docs.google.com/spreadsheets/d/14Bd19lYaqBhU8_DElYkX7l4wRkHqqCUFNJY4AfY3kHU/edit?usp=sharing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51" s="7" t="s">
        <v>11</v>
      </c>
    </row>
    <row r="12052" spans="1:10" ht="13.2">
      <c r="A12052" s="7">
        <v>12051</v>
      </c>
      <c r="B12052" s="7">
        <v>1</v>
      </c>
      <c r="C12052" s="7" t="s">
        <v>10</v>
      </c>
      <c r="D12052" s="7">
        <v>17996</v>
      </c>
      <c r="E12052" s="7" t="s">
        <v>11</v>
      </c>
      <c r="F12052" s="8" t="str">
        <f ca="1">IFERROR(__xludf.DUMMYFUNCTION("IF
(
C12053=""фізична особа""
,
VLOOKUP(D12053,IMPORTRANGE(""https://docs.google.com/spreadsheets/d/14Bd19lYaqBhU8_DElYkX7l4wRkHqqCUFNJY4AfY3kHU/edit?usp=sharing  #gid=0"",""фіз особи new!relations_name""),6,FALSE)
,
(IF
(
C12053=""юридична особа""
,
VLOO"&amp;"KUP(D12053,IMPORTRANGE(""https://docs.google.com/spreadsheets/d/14Bd19lYaqBhU8_DElYkX7l4wRkHqqCUFNJY4AfY3kHU/edit?usp=sharing  #gid=0"",""фіз особи new!relations_name_uo""),7,FALSE)
,
)
))"),"ЛЮ Чжи")</f>
        <v>ЛЮ Чжи</v>
      </c>
      <c r="G12052" s="7" t="s">
        <v>10</v>
      </c>
      <c r="H12052" s="7">
        <v>18004</v>
      </c>
      <c r="I12052" s="8" t="str">
        <f ca="1">IFERROR(__xludf.DUMMYFUNCTION("IF
(
G12053=""фізична особа""
,
VLOOKUP(H12053,IMPORTRANGE(""https://docs.google.com/spreadsheets/d/14Bd19lYaqBhU8_DElYkX7l4wRkHqqCUFNJY4AfY3kHU/edit?usp=sharing  #gid=0"",""фіз особи new!relations_name""),6,FALSE)
,
(IF
(
G12053=""юридична особа""
,
VLOO"&amp;"KUP(H12053,IMPORTRANGE(""https://docs.google.com/spreadsheets/d/14Bd19lYaqBhU8_DElYkX7l4wRkHqqCUFNJY4AfY3kHU/edit?usp=sharing  #gid=0"",""фіз особи new!relations_name_uo""),7,FALSE)
,
)
))"),"ЮНХАО Бо")</f>
        <v>ЮНХАО Бо</v>
      </c>
      <c r="J12052" s="7" t="s">
        <v>11</v>
      </c>
    </row>
    <row r="12053" spans="1:10" ht="13.2">
      <c r="A12053" s="7">
        <v>12052</v>
      </c>
      <c r="B12053" s="7">
        <v>1</v>
      </c>
      <c r="C12053" s="7" t="s">
        <v>10</v>
      </c>
      <c r="D12053" s="7">
        <v>17997</v>
      </c>
      <c r="E12053" s="7" t="s">
        <v>11</v>
      </c>
      <c r="F12053" s="8" t="str">
        <f ca="1">IFERROR(__xludf.DUMMYFUNCTION("IF
(
C12054=""фізична особа""
,
VLOOKUP(D12054,IMPORTRANGE(""https://docs.google.com/spreadsheets/d/14Bd19lYaqBhU8_DElYkX7l4wRkHqqCUFNJY4AfY3kHU/edit?usp=sharing  #gid=0"",""фіз особи new!relations_name""),6,FALSE)
,
(IF
(
C12054=""юридична особа""
,
VLOO"&amp;"KUP(D12054,IMPORTRANGE(""https://docs.google.com/spreadsheets/d/14Bd19lYaqBhU8_DElYkX7l4wRkHqqCUFNJY4AfY3kHU/edit?usp=sharing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3" s="7" t="s">
        <v>10</v>
      </c>
      <c r="H12053" s="7">
        <v>17994</v>
      </c>
      <c r="I12053" s="8" t="str">
        <f ca="1">IFERROR(__xludf.DUMMYFUNCTION("IF
(
G12054=""фізична особа""
,
VLOOKUP(H12054,IMPORTRANGE(""https://docs.google.com/spreadsheets/d/14Bd19lYaqBhU8_DElYkX7l4wRkHqqCUFNJY4AfY3kHU/edit?usp=sharing  #gid=0"",""фіз особи new!relations_name""),6,FALSE)
,
(IF
(
G12054=""юридична особа""
,
VLOO"&amp;"KUP(H12054,IMPORTRANGE(""https://docs.google.com/spreadsheets/d/14Bd19lYaqBhU8_DElYkX7l4wRkHqqCUFNJY4AfY3kHU/edit?usp=sharing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53" s="7" t="s">
        <v>11</v>
      </c>
    </row>
    <row r="12054" spans="1:10" ht="13.2">
      <c r="A12054" s="7">
        <v>12053</v>
      </c>
      <c r="B12054" s="7">
        <v>1</v>
      </c>
      <c r="C12054" s="7" t="s">
        <v>10</v>
      </c>
      <c r="D12054" s="7">
        <v>17997</v>
      </c>
      <c r="E12054" s="7" t="s">
        <v>11</v>
      </c>
      <c r="F12054" s="8" t="str">
        <f ca="1">IFERROR(__xludf.DUMMYFUNCTION("IF
(
C12055=""фізична особа""
,
VLOOKUP(D12055,IMPORTRANGE(""https://docs.google.com/spreadsheets/d/14Bd19lYaqBhU8_DElYkX7l4wRkHqqCUFNJY4AfY3kHU/edit?usp=sharing  #gid=0"",""фіз особи new!relations_name""),6,FALSE)
,
(IF
(
C12055=""юридична особа""
,
VLOO"&amp;"KUP(D12055,IMPORTRANGE(""https://docs.google.com/spreadsheets/d/14Bd19lYaqBhU8_DElYkX7l4wRkHqqCUFNJY4AfY3kHU/edit?usp=sharing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4" s="7" t="s">
        <v>10</v>
      </c>
      <c r="H12054" s="7">
        <v>17995</v>
      </c>
      <c r="I12054" s="8" t="str">
        <f ca="1">IFERROR(__xludf.DUMMYFUNCTION("IF
(
G12055=""фізична особа""
,
VLOOKUP(H12055,IMPORTRANGE(""https://docs.google.com/spreadsheets/d/14Bd19lYaqBhU8_DElYkX7l4wRkHqqCUFNJY4AfY3kHU/edit?usp=sharing  #gid=0"",""фіз особи new!relations_name""),6,FALSE)
,
(IF
(
G12055=""юридична особа""
,
VLOO"&amp;"KUP(H12055,IMPORTRANGE(""https://docs.google.com/spreadsheets/d/14Bd19lYaqBhU8_DElYkX7l4wRkHqqCUFNJY4AfY3kHU/edit?usp=sharing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54" s="7" t="s">
        <v>11</v>
      </c>
    </row>
    <row r="12055" spans="1:10" ht="13.2">
      <c r="A12055" s="7">
        <v>12054</v>
      </c>
      <c r="B12055" s="7">
        <v>1</v>
      </c>
      <c r="C12055" s="7" t="s">
        <v>10</v>
      </c>
      <c r="D12055" s="7">
        <v>17997</v>
      </c>
      <c r="E12055" s="7" t="s">
        <v>11</v>
      </c>
      <c r="F12055" s="8" t="str">
        <f ca="1">IFERROR(__xludf.DUMMYFUNCTION("IF
(
C12056=""фізична особа""
,
VLOOKUP(D12056,IMPORTRANGE(""https://docs.google.com/spreadsheets/d/14Bd19lYaqBhU8_DElYkX7l4wRkHqqCUFNJY4AfY3kHU/edit?usp=sharing  #gid=0"",""фіз особи new!relations_name""),6,FALSE)
,
(IF
(
C12056=""юридична особа""
,
VLOO"&amp;"KUP(D12056,IMPORTRANGE(""https://docs.google.com/spreadsheets/d/14Bd19lYaqBhU8_DElYkX7l4wRkHqqCUFNJY4AfY3kHU/edit?usp=sharing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5" s="7" t="s">
        <v>10</v>
      </c>
      <c r="H12055" s="7">
        <v>17996</v>
      </c>
      <c r="I12055" s="8" t="str">
        <f ca="1">IFERROR(__xludf.DUMMYFUNCTION("IF
(
G12056=""фізична особа""
,
VLOOKUP(H12056,IMPORTRANGE(""https://docs.google.com/spreadsheets/d/14Bd19lYaqBhU8_DElYkX7l4wRkHqqCUFNJY4AfY3kHU/edit?usp=sharing  #gid=0"",""фіз особи new!relations_name""),6,FALSE)
,
(IF
(
G12056=""юридична особа""
,
VLOO"&amp;"KUP(H12056,IMPORTRANGE(""https://docs.google.com/spreadsheets/d/14Bd19lYaqBhU8_DElYkX7l4wRkHqqCUFNJY4AfY3kHU/edit?usp=sharing  #gid=0"",""фіз особи new!relations_name_uo""),7,FALSE)
,
)
))"),"ЛЮ Чжи")</f>
        <v>ЛЮ Чжи</v>
      </c>
      <c r="J12055" s="7" t="s">
        <v>11</v>
      </c>
    </row>
    <row r="12056" spans="1:10" ht="13.2">
      <c r="A12056" s="7">
        <v>12055</v>
      </c>
      <c r="B12056" s="7">
        <v>1</v>
      </c>
      <c r="C12056" s="7" t="s">
        <v>10</v>
      </c>
      <c r="D12056" s="7">
        <v>17997</v>
      </c>
      <c r="E12056" s="7" t="s">
        <v>11</v>
      </c>
      <c r="F12056" s="8" t="str">
        <f ca="1">IFERROR(__xludf.DUMMYFUNCTION("IF
(
C12057=""фізична особа""
,
VLOOKUP(D12057,IMPORTRANGE(""https://docs.google.com/spreadsheets/d/14Bd19lYaqBhU8_DElYkX7l4wRkHqqCUFNJY4AfY3kHU/edit?usp=sharing  #gid=0"",""фіз особи new!relations_name""),6,FALSE)
,
(IF
(
C12057=""юридична особа""
,
VLOO"&amp;"KUP(D12057,IMPORTRANGE(""https://docs.google.com/spreadsheets/d/14Bd19lYaqBhU8_DElYkX7l4wRkHqqCUFNJY4AfY3kHU/edit?usp=sharing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6" s="7" t="s">
        <v>10</v>
      </c>
      <c r="H12056" s="7">
        <v>17998</v>
      </c>
      <c r="I12056" s="8" t="str">
        <f ca="1">IFERROR(__xludf.DUMMYFUNCTION("IF
(
G12057=""фізична особа""
,
VLOOKUP(H12057,IMPORTRANGE(""https://docs.google.com/spreadsheets/d/14Bd19lYaqBhU8_DElYkX7l4wRkHqqCUFNJY4AfY3kHU/edit?usp=sharing  #gid=0"",""фіз особи new!relations_name""),6,FALSE)
,
(IF
(
G12057=""юридична особа""
,
VLOO"&amp;"KUP(H12057,IMPORTRANGE(""https://docs.google.com/spreadsheets/d/14Bd19lYaqBhU8_DElYkX7l4wRkHqqCUFNJY4AfY3kHU/edit?usp=sharing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56" s="7" t="s">
        <v>11</v>
      </c>
    </row>
    <row r="12057" spans="1:10" ht="13.2">
      <c r="A12057" s="7">
        <v>12056</v>
      </c>
      <c r="B12057" s="7">
        <v>1</v>
      </c>
      <c r="C12057" s="7" t="s">
        <v>10</v>
      </c>
      <c r="D12057" s="7">
        <v>17997</v>
      </c>
      <c r="E12057" s="7" t="s">
        <v>11</v>
      </c>
      <c r="F12057" s="8" t="str">
        <f ca="1">IFERROR(__xludf.DUMMYFUNCTION("IF
(
C12058=""фізична особа""
,
VLOOKUP(D12058,IMPORTRANGE(""https://docs.google.com/spreadsheets/d/14Bd19lYaqBhU8_DElYkX7l4wRkHqqCUFNJY4AfY3kHU/edit?usp=sharing  #gid=0"",""фіз особи new!relations_name""),6,FALSE)
,
(IF
(
C12058=""юридична особа""
,
VLOO"&amp;"KUP(D12058,IMPORTRANGE(""https://docs.google.com/spreadsheets/d/14Bd19lYaqBhU8_DElYkX7l4wRkHqqCUFNJY4AfY3kHU/edit?usp=sharing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7" s="7" t="s">
        <v>10</v>
      </c>
      <c r="H12057" s="7">
        <v>17999</v>
      </c>
      <c r="I12057" s="8" t="str">
        <f ca="1">IFERROR(__xludf.DUMMYFUNCTION("IF
(
G12058=""фізична особа""
,
VLOOKUP(H12058,IMPORTRANGE(""https://docs.google.com/spreadsheets/d/14Bd19lYaqBhU8_DElYkX7l4wRkHqqCUFNJY4AfY3kHU/edit?usp=sharing  #gid=0"",""фіз особи new!relations_name""),6,FALSE)
,
(IF
(
G12058=""юридична особа""
,
VLOO"&amp;"KUP(H12058,IMPORTRANGE(""https://docs.google.com/spreadsheets/d/14Bd19lYaqBhU8_DElYkX7l4wRkHqqCUFNJY4AfY3kHU/edit?usp=sharing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57" s="7" t="s">
        <v>11</v>
      </c>
    </row>
    <row r="12058" spans="1:10" ht="13.2">
      <c r="A12058" s="7">
        <v>12057</v>
      </c>
      <c r="B12058" s="7">
        <v>1</v>
      </c>
      <c r="C12058" s="7" t="s">
        <v>10</v>
      </c>
      <c r="D12058" s="7">
        <v>17997</v>
      </c>
      <c r="E12058" s="7" t="s">
        <v>11</v>
      </c>
      <c r="F12058" s="8" t="str">
        <f ca="1">IFERROR(__xludf.DUMMYFUNCTION("IF
(
C12059=""фізична особа""
,
VLOOKUP(D12059,IMPORTRANGE(""https://docs.google.com/spreadsheets/d/14Bd19lYaqBhU8_DElYkX7l4wRkHqqCUFNJY4AfY3kHU/edit?usp=sharing  #gid=0"",""фіз особи new!relations_name""),6,FALSE)
,
(IF
(
C12059=""юридична особа""
,
VLOO"&amp;"KUP(D12059,IMPORTRANGE(""https://docs.google.com/spreadsheets/d/14Bd19lYaqBhU8_DElYkX7l4wRkHqqCUFNJY4AfY3kHU/edit?usp=sharing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8" s="7" t="s">
        <v>10</v>
      </c>
      <c r="H12058" s="7">
        <v>18000</v>
      </c>
      <c r="I12058" s="8" t="str">
        <f ca="1">IFERROR(__xludf.DUMMYFUNCTION("IF
(
G12059=""фізична особа""
,
VLOOKUP(H12059,IMPORTRANGE(""https://docs.google.com/spreadsheets/d/14Bd19lYaqBhU8_DElYkX7l4wRkHqqCUFNJY4AfY3kHU/edit?usp=sharing  #gid=0"",""фіз особи new!relations_name""),6,FALSE)
,
(IF
(
G12059=""юридична особа""
,
VLOO"&amp;"KUP(H12059,IMPORTRANGE(""https://docs.google.com/spreadsheets/d/14Bd19lYaqBhU8_DElYkX7l4wRkHqqCUFNJY4AfY3kHU/edit?usp=sharing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58" s="7" t="s">
        <v>11</v>
      </c>
    </row>
    <row r="12059" spans="1:10" ht="13.2">
      <c r="A12059" s="7">
        <v>12058</v>
      </c>
      <c r="B12059" s="7">
        <v>1</v>
      </c>
      <c r="C12059" s="7" t="s">
        <v>10</v>
      </c>
      <c r="D12059" s="7">
        <v>17997</v>
      </c>
      <c r="E12059" s="7" t="s">
        <v>11</v>
      </c>
      <c r="F12059" s="8" t="str">
        <f ca="1">IFERROR(__xludf.DUMMYFUNCTION("IF
(
C12060=""фізична особа""
,
VLOOKUP(D12060,IMPORTRANGE(""https://docs.google.com/spreadsheets/d/14Bd19lYaqBhU8_DElYkX7l4wRkHqqCUFNJY4AfY3kHU/edit?usp=sharing  #gid=0"",""фіз особи new!relations_name""),6,FALSE)
,
(IF
(
C12060=""юридична особа""
,
VLOO"&amp;"KUP(D12060,IMPORTRANGE(""https://docs.google.com/spreadsheets/d/14Bd19lYaqBhU8_DElYkX7l4wRkHqqCUFNJY4AfY3kHU/edit?usp=sharing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59" s="7" t="s">
        <v>10</v>
      </c>
      <c r="H12059" s="7">
        <v>18001</v>
      </c>
      <c r="I12059" s="8" t="str">
        <f ca="1">IFERROR(__xludf.DUMMYFUNCTION("IF
(
G12060=""фізична особа""
,
VLOOKUP(H12060,IMPORTRANGE(""https://docs.google.com/spreadsheets/d/14Bd19lYaqBhU8_DElYkX7l4wRkHqqCUFNJY4AfY3kHU/edit?usp=sharing  #gid=0"",""фіз особи new!relations_name""),6,FALSE)
,
(IF
(
G12060=""юридична особа""
,
VLOO"&amp;"KUP(H12060,IMPORTRANGE(""https://docs.google.com/spreadsheets/d/14Bd19lYaqBhU8_DElYkX7l4wRkHqqCUFNJY4AfY3kHU/edit?usp=sharing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59" s="7" t="s">
        <v>11</v>
      </c>
    </row>
    <row r="12060" spans="1:10" ht="13.2">
      <c r="A12060" s="7">
        <v>12059</v>
      </c>
      <c r="B12060" s="7">
        <v>1</v>
      </c>
      <c r="C12060" s="7" t="s">
        <v>10</v>
      </c>
      <c r="D12060" s="7">
        <v>17997</v>
      </c>
      <c r="E12060" s="7" t="s">
        <v>11</v>
      </c>
      <c r="F12060" s="8" t="str">
        <f ca="1">IFERROR(__xludf.DUMMYFUNCTION("IF
(
C12061=""фізична особа""
,
VLOOKUP(D12061,IMPORTRANGE(""https://docs.google.com/spreadsheets/d/14Bd19lYaqBhU8_DElYkX7l4wRkHqqCUFNJY4AfY3kHU/edit?usp=sharing  #gid=0"",""фіз особи new!relations_name""),6,FALSE)
,
(IF
(
C12061=""юридична особа""
,
VLOO"&amp;"KUP(D12061,IMPORTRANGE(""https://docs.google.com/spreadsheets/d/14Bd19lYaqBhU8_DElYkX7l4wRkHqqCUFNJY4AfY3kHU/edit?usp=sharing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60" s="7" t="s">
        <v>10</v>
      </c>
      <c r="H12060" s="7">
        <v>18002</v>
      </c>
      <c r="I12060" s="8" t="str">
        <f ca="1">IFERROR(__xludf.DUMMYFUNCTION("IF
(
G12061=""фізична особа""
,
VLOOKUP(H12061,IMPORTRANGE(""https://docs.google.com/spreadsheets/d/14Bd19lYaqBhU8_DElYkX7l4wRkHqqCUFNJY4AfY3kHU/edit?usp=sharing  #gid=0"",""фіз особи new!relations_name""),6,FALSE)
,
(IF
(
G12061=""юридична особа""
,
VLOO"&amp;"KUP(H12061,IMPORTRANGE(""https://docs.google.com/spreadsheets/d/14Bd19lYaqBhU8_DElYkX7l4wRkHqqCUFNJY4AfY3kHU/edit?usp=sharing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60" s="7" t="s">
        <v>11</v>
      </c>
    </row>
    <row r="12061" spans="1:10" ht="13.2">
      <c r="A12061" s="7">
        <v>12060</v>
      </c>
      <c r="B12061" s="7">
        <v>1</v>
      </c>
      <c r="C12061" s="7" t="s">
        <v>10</v>
      </c>
      <c r="D12061" s="7">
        <v>17997</v>
      </c>
      <c r="E12061" s="7" t="s">
        <v>11</v>
      </c>
      <c r="F12061" s="8" t="str">
        <f ca="1">IFERROR(__xludf.DUMMYFUNCTION("IF
(
C12062=""фізична особа""
,
VLOOKUP(D12062,IMPORTRANGE(""https://docs.google.com/spreadsheets/d/14Bd19lYaqBhU8_DElYkX7l4wRkHqqCUFNJY4AfY3kHU/edit?usp=sharing  #gid=0"",""фіз особи new!relations_name""),6,FALSE)
,
(IF
(
C12062=""юридична особа""
,
VLOO"&amp;"KUP(D12062,IMPORTRANGE(""https://docs.google.com/spreadsheets/d/14Bd19lYaqBhU8_DElYkX7l4wRkHqqCUFNJY4AfY3kHU/edit?usp=sharing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61" s="7" t="s">
        <v>10</v>
      </c>
      <c r="H12061" s="7">
        <v>18003</v>
      </c>
      <c r="I12061" s="8" t="str">
        <f ca="1">IFERROR(__xludf.DUMMYFUNCTION("IF
(
G12062=""фізична особа""
,
VLOOKUP(H12062,IMPORTRANGE(""https://docs.google.com/spreadsheets/d/14Bd19lYaqBhU8_DElYkX7l4wRkHqqCUFNJY4AfY3kHU/edit?usp=sharing  #gid=0"",""фіз особи new!relations_name""),6,FALSE)
,
(IF
(
G12062=""юридична особа""
,
VLOO"&amp;"KUP(H12062,IMPORTRANGE(""https://docs.google.com/spreadsheets/d/14Bd19lYaqBhU8_DElYkX7l4wRkHqqCUFNJY4AfY3kHU/edit?usp=sharing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61" s="7" t="s">
        <v>11</v>
      </c>
    </row>
    <row r="12062" spans="1:10" ht="13.2">
      <c r="A12062" s="7">
        <v>12061</v>
      </c>
      <c r="B12062" s="7">
        <v>1</v>
      </c>
      <c r="C12062" s="7" t="s">
        <v>10</v>
      </c>
      <c r="D12062" s="7">
        <v>17997</v>
      </c>
      <c r="E12062" s="7" t="s">
        <v>11</v>
      </c>
      <c r="F12062" s="8" t="str">
        <f ca="1">IFERROR(__xludf.DUMMYFUNCTION("IF
(
C12063=""фізична особа""
,
VLOOKUP(D12063,IMPORTRANGE(""https://docs.google.com/spreadsheets/d/14Bd19lYaqBhU8_DElYkX7l4wRkHqqCUFNJY4AfY3kHU/edit?usp=sharing  #gid=0"",""фіз особи new!relations_name""),6,FALSE)
,
(IF
(
C12063=""юридична особа""
,
VLOO"&amp;"KUP(D12063,IMPORTRANGE(""https://docs.google.com/spreadsheets/d/14Bd19lYaqBhU8_DElYkX7l4wRkHqqCUFNJY4AfY3kHU/edit?usp=sharing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G12062" s="7" t="s">
        <v>10</v>
      </c>
      <c r="H12062" s="7">
        <v>18004</v>
      </c>
      <c r="I12062" s="8" t="str">
        <f ca="1">IFERROR(__xludf.DUMMYFUNCTION("IF
(
G12063=""фізична особа""
,
VLOOKUP(H12063,IMPORTRANGE(""https://docs.google.com/spreadsheets/d/14Bd19lYaqBhU8_DElYkX7l4wRkHqqCUFNJY4AfY3kHU/edit?usp=sharing  #gid=0"",""фіз особи new!relations_name""),6,FALSE)
,
(IF
(
G12063=""юридична особа""
,
VLOO"&amp;"KUP(H12063,IMPORTRANGE(""https://docs.google.com/spreadsheets/d/14Bd19lYaqBhU8_DElYkX7l4wRkHqqCUFNJY4AfY3kHU/edit?usp=sharing  #gid=0"",""фіз особи new!relations_name_uo""),7,FALSE)
,
)
))"),"ЮНХАО Бо")</f>
        <v>ЮНХАО Бо</v>
      </c>
      <c r="J12062" s="7" t="s">
        <v>11</v>
      </c>
    </row>
    <row r="12063" spans="1:10" ht="13.2">
      <c r="A12063" s="7">
        <v>12062</v>
      </c>
      <c r="B12063" s="7">
        <v>1</v>
      </c>
      <c r="C12063" s="7" t="s">
        <v>10</v>
      </c>
      <c r="D12063" s="7">
        <v>17998</v>
      </c>
      <c r="E12063" s="7" t="s">
        <v>11</v>
      </c>
      <c r="F12063" s="8" t="str">
        <f ca="1">IFERROR(__xludf.DUMMYFUNCTION("IF
(
C12064=""фізична особа""
,
VLOOKUP(D12064,IMPORTRANGE(""https://docs.google.com/spreadsheets/d/14Bd19lYaqBhU8_DElYkX7l4wRkHqqCUFNJY4AfY3kHU/edit?usp=sharing  #gid=0"",""фіз особи new!relations_name""),6,FALSE)
,
(IF
(
C12064=""юридична особа""
,
VLOO"&amp;"KUP(D12064,IMPORTRANGE(""https://docs.google.com/spreadsheets/d/14Bd19lYaqBhU8_DElYkX7l4wRkHqqCUFNJY4AfY3kHU/edit?usp=sharing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3" s="7" t="s">
        <v>10</v>
      </c>
      <c r="H12063" s="7">
        <v>17994</v>
      </c>
      <c r="I12063" s="8" t="str">
        <f ca="1">IFERROR(__xludf.DUMMYFUNCTION("IF
(
G12064=""фізична особа""
,
VLOOKUP(H12064,IMPORTRANGE(""https://docs.google.com/spreadsheets/d/14Bd19lYaqBhU8_DElYkX7l4wRkHqqCUFNJY4AfY3kHU/edit?usp=sharing  #gid=0"",""фіз особи new!relations_name""),6,FALSE)
,
(IF
(
G12064=""юридична особа""
,
VLOO"&amp;"KUP(H12064,IMPORTRANGE(""https://docs.google.com/spreadsheets/d/14Bd19lYaqBhU8_DElYkX7l4wRkHqqCUFNJY4AfY3kHU/edit?usp=sharing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63" s="7" t="s">
        <v>11</v>
      </c>
    </row>
    <row r="12064" spans="1:10" ht="13.2">
      <c r="A12064" s="7">
        <v>12063</v>
      </c>
      <c r="B12064" s="7">
        <v>1</v>
      </c>
      <c r="C12064" s="7" t="s">
        <v>10</v>
      </c>
      <c r="D12064" s="7">
        <v>17998</v>
      </c>
      <c r="E12064" s="7" t="s">
        <v>11</v>
      </c>
      <c r="F12064" s="8" t="str">
        <f ca="1">IFERROR(__xludf.DUMMYFUNCTION("IF
(
C12065=""фізична особа""
,
VLOOKUP(D12065,IMPORTRANGE(""https://docs.google.com/spreadsheets/d/14Bd19lYaqBhU8_DElYkX7l4wRkHqqCUFNJY4AfY3kHU/edit?usp=sharing  #gid=0"",""фіз особи new!relations_name""),6,FALSE)
,
(IF
(
C12065=""юридична особа""
,
VLOO"&amp;"KUP(D12065,IMPORTRANGE(""https://docs.google.com/spreadsheets/d/14Bd19lYaqBhU8_DElYkX7l4wRkHqqCUFNJY4AfY3kHU/edit?usp=sharing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4" s="7" t="s">
        <v>10</v>
      </c>
      <c r="H12064" s="7">
        <v>17995</v>
      </c>
      <c r="I12064" s="8" t="str">
        <f ca="1">IFERROR(__xludf.DUMMYFUNCTION("IF
(
G12065=""фізична особа""
,
VLOOKUP(H12065,IMPORTRANGE(""https://docs.google.com/spreadsheets/d/14Bd19lYaqBhU8_DElYkX7l4wRkHqqCUFNJY4AfY3kHU/edit?usp=sharing  #gid=0"",""фіз особи new!relations_name""),6,FALSE)
,
(IF
(
G12065=""юридична особа""
,
VLOO"&amp;"KUP(H12065,IMPORTRANGE(""https://docs.google.com/spreadsheets/d/14Bd19lYaqBhU8_DElYkX7l4wRkHqqCUFNJY4AfY3kHU/edit?usp=sharing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64" s="7" t="s">
        <v>11</v>
      </c>
    </row>
    <row r="12065" spans="1:10" ht="13.2">
      <c r="A12065" s="7">
        <v>12064</v>
      </c>
      <c r="B12065" s="7">
        <v>1</v>
      </c>
      <c r="C12065" s="7" t="s">
        <v>10</v>
      </c>
      <c r="D12065" s="7">
        <v>17998</v>
      </c>
      <c r="E12065" s="7" t="s">
        <v>11</v>
      </c>
      <c r="F12065" s="8" t="str">
        <f ca="1">IFERROR(__xludf.DUMMYFUNCTION("IF
(
C12066=""фізична особа""
,
VLOOKUP(D12066,IMPORTRANGE(""https://docs.google.com/spreadsheets/d/14Bd19lYaqBhU8_DElYkX7l4wRkHqqCUFNJY4AfY3kHU/edit?usp=sharing  #gid=0"",""фіз особи new!relations_name""),6,FALSE)
,
(IF
(
C12066=""юридична особа""
,
VLOO"&amp;"KUP(D12066,IMPORTRANGE(""https://docs.google.com/spreadsheets/d/14Bd19lYaqBhU8_DElYkX7l4wRkHqqCUFNJY4AfY3kHU/edit?usp=sharing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5" s="7" t="s">
        <v>10</v>
      </c>
      <c r="H12065" s="7">
        <v>17996</v>
      </c>
      <c r="I12065" s="8" t="str">
        <f ca="1">IFERROR(__xludf.DUMMYFUNCTION("IF
(
G12066=""фізична особа""
,
VLOOKUP(H12066,IMPORTRANGE(""https://docs.google.com/spreadsheets/d/14Bd19lYaqBhU8_DElYkX7l4wRkHqqCUFNJY4AfY3kHU/edit?usp=sharing  #gid=0"",""фіз особи new!relations_name""),6,FALSE)
,
(IF
(
G12066=""юридична особа""
,
VLOO"&amp;"KUP(H12066,IMPORTRANGE(""https://docs.google.com/spreadsheets/d/14Bd19lYaqBhU8_DElYkX7l4wRkHqqCUFNJY4AfY3kHU/edit?usp=sharing  #gid=0"",""фіз особи new!relations_name_uo""),7,FALSE)
,
)
))"),"ЛЮ Чжи")</f>
        <v>ЛЮ Чжи</v>
      </c>
      <c r="J12065" s="7" t="s">
        <v>11</v>
      </c>
    </row>
    <row r="12066" spans="1:10" ht="13.2">
      <c r="A12066" s="7">
        <v>12065</v>
      </c>
      <c r="B12066" s="7">
        <v>1</v>
      </c>
      <c r="C12066" s="7" t="s">
        <v>10</v>
      </c>
      <c r="D12066" s="7">
        <v>17998</v>
      </c>
      <c r="E12066" s="7" t="s">
        <v>11</v>
      </c>
      <c r="F12066" s="8" t="str">
        <f ca="1">IFERROR(__xludf.DUMMYFUNCTION("IF
(
C12067=""фізична особа""
,
VLOOKUP(D12067,IMPORTRANGE(""https://docs.google.com/spreadsheets/d/14Bd19lYaqBhU8_DElYkX7l4wRkHqqCUFNJY4AfY3kHU/edit?usp=sharing  #gid=0"",""фіз особи new!relations_name""),6,FALSE)
,
(IF
(
C12067=""юридична особа""
,
VLOO"&amp;"KUP(D12067,IMPORTRANGE(""https://docs.google.com/spreadsheets/d/14Bd19lYaqBhU8_DElYkX7l4wRkHqqCUFNJY4AfY3kHU/edit?usp=sharing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6" s="7" t="s">
        <v>10</v>
      </c>
      <c r="H12066" s="7">
        <v>17997</v>
      </c>
      <c r="I12066" s="8" t="str">
        <f ca="1">IFERROR(__xludf.DUMMYFUNCTION("IF
(
G12067=""фізична особа""
,
VLOOKUP(H12067,IMPORTRANGE(""https://docs.google.com/spreadsheets/d/14Bd19lYaqBhU8_DElYkX7l4wRkHqqCUFNJY4AfY3kHU/edit?usp=sharing  #gid=0"",""фіз особи new!relations_name""),6,FALSE)
,
(IF
(
G12067=""юридична особа""
,
VLOO"&amp;"KUP(H12067,IMPORTRANGE(""https://docs.google.com/spreadsheets/d/14Bd19lYaqBhU8_DElYkX7l4wRkHqqCUFNJY4AfY3kHU/edit?usp=sharing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66" s="7" t="s">
        <v>11</v>
      </c>
    </row>
    <row r="12067" spans="1:10" ht="13.2">
      <c r="A12067" s="7">
        <v>12066</v>
      </c>
      <c r="B12067" s="7">
        <v>1</v>
      </c>
      <c r="C12067" s="7" t="s">
        <v>10</v>
      </c>
      <c r="D12067" s="7">
        <v>17998</v>
      </c>
      <c r="E12067" s="7" t="s">
        <v>11</v>
      </c>
      <c r="F12067" s="8" t="str">
        <f ca="1">IFERROR(__xludf.DUMMYFUNCTION("IF
(
C12068=""фізична особа""
,
VLOOKUP(D12068,IMPORTRANGE(""https://docs.google.com/spreadsheets/d/14Bd19lYaqBhU8_DElYkX7l4wRkHqqCUFNJY4AfY3kHU/edit?usp=sharing  #gid=0"",""фіз особи new!relations_name""),6,FALSE)
,
(IF
(
C12068=""юридична особа""
,
VLOO"&amp;"KUP(D12068,IMPORTRANGE(""https://docs.google.com/spreadsheets/d/14Bd19lYaqBhU8_DElYkX7l4wRkHqqCUFNJY4AfY3kHU/edit?usp=sharing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7" s="7" t="s">
        <v>10</v>
      </c>
      <c r="H12067" s="7">
        <v>17999</v>
      </c>
      <c r="I12067" s="8" t="str">
        <f ca="1">IFERROR(__xludf.DUMMYFUNCTION("IF
(
G12068=""фізична особа""
,
VLOOKUP(H12068,IMPORTRANGE(""https://docs.google.com/spreadsheets/d/14Bd19lYaqBhU8_DElYkX7l4wRkHqqCUFNJY4AfY3kHU/edit?usp=sharing  #gid=0"",""фіз особи new!relations_name""),6,FALSE)
,
(IF
(
G12068=""юридична особа""
,
VLOO"&amp;"KUP(H12068,IMPORTRANGE(""https://docs.google.com/spreadsheets/d/14Bd19lYaqBhU8_DElYkX7l4wRkHqqCUFNJY4AfY3kHU/edit?usp=sharing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67" s="7" t="s">
        <v>11</v>
      </c>
    </row>
    <row r="12068" spans="1:10" ht="13.2">
      <c r="A12068" s="7">
        <v>12067</v>
      </c>
      <c r="B12068" s="7">
        <v>1</v>
      </c>
      <c r="C12068" s="7" t="s">
        <v>10</v>
      </c>
      <c r="D12068" s="7">
        <v>17998</v>
      </c>
      <c r="E12068" s="7" t="s">
        <v>11</v>
      </c>
      <c r="F12068" s="8" t="str">
        <f ca="1">IFERROR(__xludf.DUMMYFUNCTION("IF
(
C12069=""фізична особа""
,
VLOOKUP(D12069,IMPORTRANGE(""https://docs.google.com/spreadsheets/d/14Bd19lYaqBhU8_DElYkX7l4wRkHqqCUFNJY4AfY3kHU/edit?usp=sharing  #gid=0"",""фіз особи new!relations_name""),6,FALSE)
,
(IF
(
C12069=""юридична особа""
,
VLOO"&amp;"KUP(D12069,IMPORTRANGE(""https://docs.google.com/spreadsheets/d/14Bd19lYaqBhU8_DElYkX7l4wRkHqqCUFNJY4AfY3kHU/edit?usp=sharing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8" s="7" t="s">
        <v>10</v>
      </c>
      <c r="H12068" s="7">
        <v>18000</v>
      </c>
      <c r="I12068" s="8" t="str">
        <f ca="1">IFERROR(__xludf.DUMMYFUNCTION("IF
(
G12069=""фізична особа""
,
VLOOKUP(H12069,IMPORTRANGE(""https://docs.google.com/spreadsheets/d/14Bd19lYaqBhU8_DElYkX7l4wRkHqqCUFNJY4AfY3kHU/edit?usp=sharing  #gid=0"",""фіз особи new!relations_name""),6,FALSE)
,
(IF
(
G12069=""юридична особа""
,
VLOO"&amp;"KUP(H12069,IMPORTRANGE(""https://docs.google.com/spreadsheets/d/14Bd19lYaqBhU8_DElYkX7l4wRkHqqCUFNJY4AfY3kHU/edit?usp=sharing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68" s="7" t="s">
        <v>11</v>
      </c>
    </row>
    <row r="12069" spans="1:10" ht="13.2">
      <c r="A12069" s="7">
        <v>12068</v>
      </c>
      <c r="B12069" s="7">
        <v>1</v>
      </c>
      <c r="C12069" s="7" t="s">
        <v>10</v>
      </c>
      <c r="D12069" s="7">
        <v>17998</v>
      </c>
      <c r="E12069" s="7" t="s">
        <v>11</v>
      </c>
      <c r="F12069" s="8" t="str">
        <f ca="1">IFERROR(__xludf.DUMMYFUNCTION("IF
(
C12070=""фізична особа""
,
VLOOKUP(D12070,IMPORTRANGE(""https://docs.google.com/spreadsheets/d/14Bd19lYaqBhU8_DElYkX7l4wRkHqqCUFNJY4AfY3kHU/edit?usp=sharing  #gid=0"",""фіз особи new!relations_name""),6,FALSE)
,
(IF
(
C12070=""юридична особа""
,
VLOO"&amp;"KUP(D12070,IMPORTRANGE(""https://docs.google.com/spreadsheets/d/14Bd19lYaqBhU8_DElYkX7l4wRkHqqCUFNJY4AfY3kHU/edit?usp=sharing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69" s="7" t="s">
        <v>10</v>
      </c>
      <c r="H12069" s="7">
        <v>18001</v>
      </c>
      <c r="I12069" s="8" t="str">
        <f ca="1">IFERROR(__xludf.DUMMYFUNCTION("IF
(
G12070=""фізична особа""
,
VLOOKUP(H12070,IMPORTRANGE(""https://docs.google.com/spreadsheets/d/14Bd19lYaqBhU8_DElYkX7l4wRkHqqCUFNJY4AfY3kHU/edit?usp=sharing  #gid=0"",""фіз особи new!relations_name""),6,FALSE)
,
(IF
(
G12070=""юридична особа""
,
VLOO"&amp;"KUP(H12070,IMPORTRANGE(""https://docs.google.com/spreadsheets/d/14Bd19lYaqBhU8_DElYkX7l4wRkHqqCUFNJY4AfY3kHU/edit?usp=sharing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69" s="7" t="s">
        <v>11</v>
      </c>
    </row>
    <row r="12070" spans="1:10" ht="13.2">
      <c r="A12070" s="7">
        <v>12069</v>
      </c>
      <c r="B12070" s="7">
        <v>1</v>
      </c>
      <c r="C12070" s="7" t="s">
        <v>10</v>
      </c>
      <c r="D12070" s="7">
        <v>17998</v>
      </c>
      <c r="E12070" s="7" t="s">
        <v>11</v>
      </c>
      <c r="F12070" s="8" t="str">
        <f ca="1">IFERROR(__xludf.DUMMYFUNCTION("IF
(
C12071=""фізична особа""
,
VLOOKUP(D12071,IMPORTRANGE(""https://docs.google.com/spreadsheets/d/14Bd19lYaqBhU8_DElYkX7l4wRkHqqCUFNJY4AfY3kHU/edit?usp=sharing  #gid=0"",""фіз особи new!relations_name""),6,FALSE)
,
(IF
(
C12071=""юридична особа""
,
VLOO"&amp;"KUP(D12071,IMPORTRANGE(""https://docs.google.com/spreadsheets/d/14Bd19lYaqBhU8_DElYkX7l4wRkHqqCUFNJY4AfY3kHU/edit?usp=sharing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70" s="7" t="s">
        <v>10</v>
      </c>
      <c r="H12070" s="7">
        <v>18002</v>
      </c>
      <c r="I12070" s="8" t="str">
        <f ca="1">IFERROR(__xludf.DUMMYFUNCTION("IF
(
G12071=""фізична особа""
,
VLOOKUP(H12071,IMPORTRANGE(""https://docs.google.com/spreadsheets/d/14Bd19lYaqBhU8_DElYkX7l4wRkHqqCUFNJY4AfY3kHU/edit?usp=sharing  #gid=0"",""фіз особи new!relations_name""),6,FALSE)
,
(IF
(
G12071=""юридична особа""
,
VLOO"&amp;"KUP(H12071,IMPORTRANGE(""https://docs.google.com/spreadsheets/d/14Bd19lYaqBhU8_DElYkX7l4wRkHqqCUFNJY4AfY3kHU/edit?usp=sharing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70" s="7" t="s">
        <v>11</v>
      </c>
    </row>
    <row r="12071" spans="1:10" ht="13.2">
      <c r="A12071" s="7">
        <v>12070</v>
      </c>
      <c r="B12071" s="7">
        <v>1</v>
      </c>
      <c r="C12071" s="7" t="s">
        <v>10</v>
      </c>
      <c r="D12071" s="7">
        <v>17998</v>
      </c>
      <c r="E12071" s="7" t="s">
        <v>11</v>
      </c>
      <c r="F12071" s="8" t="str">
        <f ca="1">IFERROR(__xludf.DUMMYFUNCTION("IF
(
C12072=""фізична особа""
,
VLOOKUP(D12072,IMPORTRANGE(""https://docs.google.com/spreadsheets/d/14Bd19lYaqBhU8_DElYkX7l4wRkHqqCUFNJY4AfY3kHU/edit?usp=sharing  #gid=0"",""фіз особи new!relations_name""),6,FALSE)
,
(IF
(
C12072=""юридична особа""
,
VLOO"&amp;"KUP(D12072,IMPORTRANGE(""https://docs.google.com/spreadsheets/d/14Bd19lYaqBhU8_DElYkX7l4wRkHqqCUFNJY4AfY3kHU/edit?usp=sharing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71" s="7" t="s">
        <v>10</v>
      </c>
      <c r="H12071" s="7">
        <v>18003</v>
      </c>
      <c r="I12071" s="8" t="str">
        <f ca="1">IFERROR(__xludf.DUMMYFUNCTION("IF
(
G12072=""фізична особа""
,
VLOOKUP(H12072,IMPORTRANGE(""https://docs.google.com/spreadsheets/d/14Bd19lYaqBhU8_DElYkX7l4wRkHqqCUFNJY4AfY3kHU/edit?usp=sharing  #gid=0"",""фіз особи new!relations_name""),6,FALSE)
,
(IF
(
G12072=""юридична особа""
,
VLOO"&amp;"KUP(H12072,IMPORTRANGE(""https://docs.google.com/spreadsheets/d/14Bd19lYaqBhU8_DElYkX7l4wRkHqqCUFNJY4AfY3kHU/edit?usp=sharing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71" s="7" t="s">
        <v>11</v>
      </c>
    </row>
    <row r="12072" spans="1:10" ht="13.2">
      <c r="A12072" s="7">
        <v>12071</v>
      </c>
      <c r="B12072" s="7">
        <v>1</v>
      </c>
      <c r="C12072" s="7" t="s">
        <v>10</v>
      </c>
      <c r="D12072" s="7">
        <v>17998</v>
      </c>
      <c r="E12072" s="7" t="s">
        <v>11</v>
      </c>
      <c r="F12072" s="8" t="str">
        <f ca="1">IFERROR(__xludf.DUMMYFUNCTION("IF
(
C12073=""фізична особа""
,
VLOOKUP(D12073,IMPORTRANGE(""https://docs.google.com/spreadsheets/d/14Bd19lYaqBhU8_DElYkX7l4wRkHqqCUFNJY4AfY3kHU/edit?usp=sharing  #gid=0"",""фіз особи new!relations_name""),6,FALSE)
,
(IF
(
C12073=""юридична особа""
,
VLOO"&amp;"KUP(D12073,IMPORTRANGE(""https://docs.google.com/spreadsheets/d/14Bd19lYaqBhU8_DElYkX7l4wRkHqqCUFNJY4AfY3kHU/edit?usp=sharing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G12072" s="7" t="s">
        <v>10</v>
      </c>
      <c r="H12072" s="7">
        <v>18004</v>
      </c>
      <c r="I12072" s="8" t="str">
        <f ca="1">IFERROR(__xludf.DUMMYFUNCTION("IF
(
G12073=""фізична особа""
,
VLOOKUP(H12073,IMPORTRANGE(""https://docs.google.com/spreadsheets/d/14Bd19lYaqBhU8_DElYkX7l4wRkHqqCUFNJY4AfY3kHU/edit?usp=sharing  #gid=0"",""фіз особи new!relations_name""),6,FALSE)
,
(IF
(
G12073=""юридична особа""
,
VLOO"&amp;"KUP(H12073,IMPORTRANGE(""https://docs.google.com/spreadsheets/d/14Bd19lYaqBhU8_DElYkX7l4wRkHqqCUFNJY4AfY3kHU/edit?usp=sharing  #gid=0"",""фіз особи new!relations_name_uo""),7,FALSE)
,
)
))"),"ЮНХАО Бо")</f>
        <v>ЮНХАО Бо</v>
      </c>
      <c r="J12072" s="7" t="s">
        <v>11</v>
      </c>
    </row>
    <row r="12073" spans="1:10" ht="13.2">
      <c r="A12073" s="7">
        <v>12072</v>
      </c>
      <c r="B12073" s="7">
        <v>1</v>
      </c>
      <c r="C12073" s="7" t="s">
        <v>10</v>
      </c>
      <c r="D12073" s="7">
        <v>17999</v>
      </c>
      <c r="E12073" s="7" t="s">
        <v>11</v>
      </c>
      <c r="F12073" s="8" t="str">
        <f ca="1">IFERROR(__xludf.DUMMYFUNCTION("IF
(
C12074=""фізична особа""
,
VLOOKUP(D12074,IMPORTRANGE(""https://docs.google.com/spreadsheets/d/14Bd19lYaqBhU8_DElYkX7l4wRkHqqCUFNJY4AfY3kHU/edit?usp=sharing  #gid=0"",""фіз особи new!relations_name""),6,FALSE)
,
(IF
(
C12074=""юридична особа""
,
VLOO"&amp;"KUP(D12074,IMPORTRANGE(""https://docs.google.com/spreadsheets/d/14Bd19lYaqBhU8_DElYkX7l4wRkHqqCUFNJY4AfY3kHU/edit?usp=sharing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3" s="7" t="s">
        <v>10</v>
      </c>
      <c r="H12073" s="7">
        <v>17994</v>
      </c>
      <c r="I12073" s="8" t="str">
        <f ca="1">IFERROR(__xludf.DUMMYFUNCTION("IF
(
G12074=""фізична особа""
,
VLOOKUP(H12074,IMPORTRANGE(""https://docs.google.com/spreadsheets/d/14Bd19lYaqBhU8_DElYkX7l4wRkHqqCUFNJY4AfY3kHU/edit?usp=sharing  #gid=0"",""фіз особи new!relations_name""),6,FALSE)
,
(IF
(
G12074=""юридична особа""
,
VLOO"&amp;"KUP(H12074,IMPORTRANGE(""https://docs.google.com/spreadsheets/d/14Bd19lYaqBhU8_DElYkX7l4wRkHqqCUFNJY4AfY3kHU/edit?usp=sharing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73" s="7" t="s">
        <v>11</v>
      </c>
    </row>
    <row r="12074" spans="1:10" ht="13.2">
      <c r="A12074" s="7">
        <v>12073</v>
      </c>
      <c r="B12074" s="7">
        <v>1</v>
      </c>
      <c r="C12074" s="7" t="s">
        <v>10</v>
      </c>
      <c r="D12074" s="7">
        <v>17999</v>
      </c>
      <c r="E12074" s="7" t="s">
        <v>11</v>
      </c>
      <c r="F12074" s="8" t="str">
        <f ca="1">IFERROR(__xludf.DUMMYFUNCTION("IF
(
C12075=""фізична особа""
,
VLOOKUP(D12075,IMPORTRANGE(""https://docs.google.com/spreadsheets/d/14Bd19lYaqBhU8_DElYkX7l4wRkHqqCUFNJY4AfY3kHU/edit?usp=sharing  #gid=0"",""фіз особи new!relations_name""),6,FALSE)
,
(IF
(
C12075=""юридична особа""
,
VLOO"&amp;"KUP(D12075,IMPORTRANGE(""https://docs.google.com/spreadsheets/d/14Bd19lYaqBhU8_DElYkX7l4wRkHqqCUFNJY4AfY3kHU/edit?usp=sharing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4" s="7" t="s">
        <v>10</v>
      </c>
      <c r="H12074" s="7">
        <v>17995</v>
      </c>
      <c r="I12074" s="8" t="str">
        <f ca="1">IFERROR(__xludf.DUMMYFUNCTION("IF
(
G12075=""фізична особа""
,
VLOOKUP(H12075,IMPORTRANGE(""https://docs.google.com/spreadsheets/d/14Bd19lYaqBhU8_DElYkX7l4wRkHqqCUFNJY4AfY3kHU/edit?usp=sharing  #gid=0"",""фіз особи new!relations_name""),6,FALSE)
,
(IF
(
G12075=""юридична особа""
,
VLOO"&amp;"KUP(H12075,IMPORTRANGE(""https://docs.google.com/spreadsheets/d/14Bd19lYaqBhU8_DElYkX7l4wRkHqqCUFNJY4AfY3kHU/edit?usp=sharing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74" s="7" t="s">
        <v>11</v>
      </c>
    </row>
    <row r="12075" spans="1:10" ht="13.2">
      <c r="A12075" s="7">
        <v>12074</v>
      </c>
      <c r="B12075" s="7">
        <v>1</v>
      </c>
      <c r="C12075" s="7" t="s">
        <v>10</v>
      </c>
      <c r="D12075" s="7">
        <v>17999</v>
      </c>
      <c r="E12075" s="7" t="s">
        <v>11</v>
      </c>
      <c r="F12075" s="8" t="str">
        <f ca="1">IFERROR(__xludf.DUMMYFUNCTION("IF
(
C12076=""фізична особа""
,
VLOOKUP(D12076,IMPORTRANGE(""https://docs.google.com/spreadsheets/d/14Bd19lYaqBhU8_DElYkX7l4wRkHqqCUFNJY4AfY3kHU/edit?usp=sharing  #gid=0"",""фіз особи new!relations_name""),6,FALSE)
,
(IF
(
C12076=""юридична особа""
,
VLOO"&amp;"KUP(D12076,IMPORTRANGE(""https://docs.google.com/spreadsheets/d/14Bd19lYaqBhU8_DElYkX7l4wRkHqqCUFNJY4AfY3kHU/edit?usp=sharing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5" s="7" t="s">
        <v>10</v>
      </c>
      <c r="H12075" s="7">
        <v>17996</v>
      </c>
      <c r="I12075" s="8" t="str">
        <f ca="1">IFERROR(__xludf.DUMMYFUNCTION("IF
(
G12076=""фізична особа""
,
VLOOKUP(H12076,IMPORTRANGE(""https://docs.google.com/spreadsheets/d/14Bd19lYaqBhU8_DElYkX7l4wRkHqqCUFNJY4AfY3kHU/edit?usp=sharing  #gid=0"",""фіз особи new!relations_name""),6,FALSE)
,
(IF
(
G12076=""юридична особа""
,
VLOO"&amp;"KUP(H12076,IMPORTRANGE(""https://docs.google.com/spreadsheets/d/14Bd19lYaqBhU8_DElYkX7l4wRkHqqCUFNJY4AfY3kHU/edit?usp=sharing  #gid=0"",""фіз особи new!relations_name_uo""),7,FALSE)
,
)
))"),"ЛЮ Чжи")</f>
        <v>ЛЮ Чжи</v>
      </c>
      <c r="J12075" s="7" t="s">
        <v>11</v>
      </c>
    </row>
    <row r="12076" spans="1:10" ht="13.2">
      <c r="A12076" s="7">
        <v>12075</v>
      </c>
      <c r="B12076" s="7">
        <v>1</v>
      </c>
      <c r="C12076" s="7" t="s">
        <v>10</v>
      </c>
      <c r="D12076" s="7">
        <v>17999</v>
      </c>
      <c r="E12076" s="7" t="s">
        <v>11</v>
      </c>
      <c r="F12076" s="8" t="str">
        <f ca="1">IFERROR(__xludf.DUMMYFUNCTION("IF
(
C12077=""фізична особа""
,
VLOOKUP(D12077,IMPORTRANGE(""https://docs.google.com/spreadsheets/d/14Bd19lYaqBhU8_DElYkX7l4wRkHqqCUFNJY4AfY3kHU/edit?usp=sharing  #gid=0"",""фіз особи new!relations_name""),6,FALSE)
,
(IF
(
C12077=""юридична особа""
,
VLOO"&amp;"KUP(D12077,IMPORTRANGE(""https://docs.google.com/spreadsheets/d/14Bd19lYaqBhU8_DElYkX7l4wRkHqqCUFNJY4AfY3kHU/edit?usp=sharing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6" s="7" t="s">
        <v>10</v>
      </c>
      <c r="H12076" s="7">
        <v>17997</v>
      </c>
      <c r="I12076" s="8" t="str">
        <f ca="1">IFERROR(__xludf.DUMMYFUNCTION("IF
(
G12077=""фізична особа""
,
VLOOKUP(H12077,IMPORTRANGE(""https://docs.google.com/spreadsheets/d/14Bd19lYaqBhU8_DElYkX7l4wRkHqqCUFNJY4AfY3kHU/edit?usp=sharing  #gid=0"",""фіз особи new!relations_name""),6,FALSE)
,
(IF
(
G12077=""юридична особа""
,
VLOO"&amp;"KUP(H12077,IMPORTRANGE(""https://docs.google.com/spreadsheets/d/14Bd19lYaqBhU8_DElYkX7l4wRkHqqCUFNJY4AfY3kHU/edit?usp=sharing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76" s="7" t="s">
        <v>11</v>
      </c>
    </row>
    <row r="12077" spans="1:10" ht="13.2">
      <c r="A12077" s="7">
        <v>12076</v>
      </c>
      <c r="B12077" s="7">
        <v>1</v>
      </c>
      <c r="C12077" s="7" t="s">
        <v>10</v>
      </c>
      <c r="D12077" s="7">
        <v>17999</v>
      </c>
      <c r="E12077" s="7" t="s">
        <v>11</v>
      </c>
      <c r="F12077" s="8" t="str">
        <f ca="1">IFERROR(__xludf.DUMMYFUNCTION("IF
(
C12078=""фізична особа""
,
VLOOKUP(D12078,IMPORTRANGE(""https://docs.google.com/spreadsheets/d/14Bd19lYaqBhU8_DElYkX7l4wRkHqqCUFNJY4AfY3kHU/edit?usp=sharing  #gid=0"",""фіз особи new!relations_name""),6,FALSE)
,
(IF
(
C12078=""юридична особа""
,
VLOO"&amp;"KUP(D12078,IMPORTRANGE(""https://docs.google.com/spreadsheets/d/14Bd19lYaqBhU8_DElYkX7l4wRkHqqCUFNJY4AfY3kHU/edit?usp=sharing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7" s="7" t="s">
        <v>10</v>
      </c>
      <c r="H12077" s="7">
        <v>17998</v>
      </c>
      <c r="I12077" s="8" t="str">
        <f ca="1">IFERROR(__xludf.DUMMYFUNCTION("IF
(
G12078=""фізична особа""
,
VLOOKUP(H12078,IMPORTRANGE(""https://docs.google.com/spreadsheets/d/14Bd19lYaqBhU8_DElYkX7l4wRkHqqCUFNJY4AfY3kHU/edit?usp=sharing  #gid=0"",""фіз особи new!relations_name""),6,FALSE)
,
(IF
(
G12078=""юридична особа""
,
VLOO"&amp;"KUP(H12078,IMPORTRANGE(""https://docs.google.com/spreadsheets/d/14Bd19lYaqBhU8_DElYkX7l4wRkHqqCUFNJY4AfY3kHU/edit?usp=sharing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77" s="7" t="s">
        <v>11</v>
      </c>
    </row>
    <row r="12078" spans="1:10" ht="13.2">
      <c r="A12078" s="7">
        <v>12077</v>
      </c>
      <c r="B12078" s="7">
        <v>1</v>
      </c>
      <c r="C12078" s="7" t="s">
        <v>10</v>
      </c>
      <c r="D12078" s="7">
        <v>17999</v>
      </c>
      <c r="E12078" s="7" t="s">
        <v>11</v>
      </c>
      <c r="F12078" s="8" t="str">
        <f ca="1">IFERROR(__xludf.DUMMYFUNCTION("IF
(
C12079=""фізична особа""
,
VLOOKUP(D12079,IMPORTRANGE(""https://docs.google.com/spreadsheets/d/14Bd19lYaqBhU8_DElYkX7l4wRkHqqCUFNJY4AfY3kHU/edit?usp=sharing  #gid=0"",""фіз особи new!relations_name""),6,FALSE)
,
(IF
(
C12079=""юридична особа""
,
VLOO"&amp;"KUP(D12079,IMPORTRANGE(""https://docs.google.com/spreadsheets/d/14Bd19lYaqBhU8_DElYkX7l4wRkHqqCUFNJY4AfY3kHU/edit?usp=sharing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8" s="7" t="s">
        <v>10</v>
      </c>
      <c r="H12078" s="7">
        <v>18000</v>
      </c>
      <c r="I12078" s="8" t="str">
        <f ca="1">IFERROR(__xludf.DUMMYFUNCTION("IF
(
G12079=""фізична особа""
,
VLOOKUP(H12079,IMPORTRANGE(""https://docs.google.com/spreadsheets/d/14Bd19lYaqBhU8_DElYkX7l4wRkHqqCUFNJY4AfY3kHU/edit?usp=sharing  #gid=0"",""фіз особи new!relations_name""),6,FALSE)
,
(IF
(
G12079=""юридична особа""
,
VLOO"&amp;"KUP(H12079,IMPORTRANGE(""https://docs.google.com/spreadsheets/d/14Bd19lYaqBhU8_DElYkX7l4wRkHqqCUFNJY4AfY3kHU/edit?usp=sharing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78" s="7" t="s">
        <v>11</v>
      </c>
    </row>
    <row r="12079" spans="1:10" ht="13.2">
      <c r="A12079" s="7">
        <v>12078</v>
      </c>
      <c r="B12079" s="7">
        <v>1</v>
      </c>
      <c r="C12079" s="7" t="s">
        <v>10</v>
      </c>
      <c r="D12079" s="7">
        <v>17999</v>
      </c>
      <c r="E12079" s="7" t="s">
        <v>11</v>
      </c>
      <c r="F12079" s="8" t="str">
        <f ca="1">IFERROR(__xludf.DUMMYFUNCTION("IF
(
C12080=""фізична особа""
,
VLOOKUP(D12080,IMPORTRANGE(""https://docs.google.com/spreadsheets/d/14Bd19lYaqBhU8_DElYkX7l4wRkHqqCUFNJY4AfY3kHU/edit?usp=sharing  #gid=0"",""фіз особи new!relations_name""),6,FALSE)
,
(IF
(
C12080=""юридична особа""
,
VLOO"&amp;"KUP(D12080,IMPORTRANGE(""https://docs.google.com/spreadsheets/d/14Bd19lYaqBhU8_DElYkX7l4wRkHqqCUFNJY4AfY3kHU/edit?usp=sharing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79" s="7" t="s">
        <v>10</v>
      </c>
      <c r="H12079" s="7">
        <v>18001</v>
      </c>
      <c r="I12079" s="8" t="str">
        <f ca="1">IFERROR(__xludf.DUMMYFUNCTION("IF
(
G12080=""фізична особа""
,
VLOOKUP(H12080,IMPORTRANGE(""https://docs.google.com/spreadsheets/d/14Bd19lYaqBhU8_DElYkX7l4wRkHqqCUFNJY4AfY3kHU/edit?usp=sharing  #gid=0"",""фіз особи new!relations_name""),6,FALSE)
,
(IF
(
G12080=""юридична особа""
,
VLOO"&amp;"KUP(H12080,IMPORTRANGE(""https://docs.google.com/spreadsheets/d/14Bd19lYaqBhU8_DElYkX7l4wRkHqqCUFNJY4AfY3kHU/edit?usp=sharing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79" s="7" t="s">
        <v>11</v>
      </c>
    </row>
    <row r="12080" spans="1:10" ht="13.2">
      <c r="A12080" s="7">
        <v>12079</v>
      </c>
      <c r="B12080" s="7">
        <v>1</v>
      </c>
      <c r="C12080" s="7" t="s">
        <v>10</v>
      </c>
      <c r="D12080" s="7">
        <v>17999</v>
      </c>
      <c r="E12080" s="7" t="s">
        <v>11</v>
      </c>
      <c r="F12080" s="8" t="str">
        <f ca="1">IFERROR(__xludf.DUMMYFUNCTION("IF
(
C12081=""фізична особа""
,
VLOOKUP(D12081,IMPORTRANGE(""https://docs.google.com/spreadsheets/d/14Bd19lYaqBhU8_DElYkX7l4wRkHqqCUFNJY4AfY3kHU/edit?usp=sharing  #gid=0"",""фіз особи new!relations_name""),6,FALSE)
,
(IF
(
C12081=""юридична особа""
,
VLOO"&amp;"KUP(D12081,IMPORTRANGE(""https://docs.google.com/spreadsheets/d/14Bd19lYaqBhU8_DElYkX7l4wRkHqqCUFNJY4AfY3kHU/edit?usp=sharing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80" s="7" t="s">
        <v>10</v>
      </c>
      <c r="H12080" s="7">
        <v>18002</v>
      </c>
      <c r="I12080" s="8" t="str">
        <f ca="1">IFERROR(__xludf.DUMMYFUNCTION("IF
(
G12081=""фізична особа""
,
VLOOKUP(H12081,IMPORTRANGE(""https://docs.google.com/spreadsheets/d/14Bd19lYaqBhU8_DElYkX7l4wRkHqqCUFNJY4AfY3kHU/edit?usp=sharing  #gid=0"",""фіз особи new!relations_name""),6,FALSE)
,
(IF
(
G12081=""юридична особа""
,
VLOO"&amp;"KUP(H12081,IMPORTRANGE(""https://docs.google.com/spreadsheets/d/14Bd19lYaqBhU8_DElYkX7l4wRkHqqCUFNJY4AfY3kHU/edit?usp=sharing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80" s="7" t="s">
        <v>11</v>
      </c>
    </row>
    <row r="12081" spans="1:10" ht="13.2">
      <c r="A12081" s="7">
        <v>12080</v>
      </c>
      <c r="B12081" s="7">
        <v>1</v>
      </c>
      <c r="C12081" s="7" t="s">
        <v>10</v>
      </c>
      <c r="D12081" s="7">
        <v>17999</v>
      </c>
      <c r="E12081" s="7" t="s">
        <v>11</v>
      </c>
      <c r="F12081" s="8" t="str">
        <f ca="1">IFERROR(__xludf.DUMMYFUNCTION("IF
(
C12082=""фізична особа""
,
VLOOKUP(D12082,IMPORTRANGE(""https://docs.google.com/spreadsheets/d/14Bd19lYaqBhU8_DElYkX7l4wRkHqqCUFNJY4AfY3kHU/edit?usp=sharing  #gid=0"",""фіз особи new!relations_name""),6,FALSE)
,
(IF
(
C12082=""юридична особа""
,
VLOO"&amp;"KUP(D12082,IMPORTRANGE(""https://docs.google.com/spreadsheets/d/14Bd19lYaqBhU8_DElYkX7l4wRkHqqCUFNJY4AfY3kHU/edit?usp=sharing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81" s="7" t="s">
        <v>10</v>
      </c>
      <c r="H12081" s="7">
        <v>18003</v>
      </c>
      <c r="I12081" s="8" t="str">
        <f ca="1">IFERROR(__xludf.DUMMYFUNCTION("IF
(
G12082=""фізична особа""
,
VLOOKUP(H12082,IMPORTRANGE(""https://docs.google.com/spreadsheets/d/14Bd19lYaqBhU8_DElYkX7l4wRkHqqCUFNJY4AfY3kHU/edit?usp=sharing  #gid=0"",""фіз особи new!relations_name""),6,FALSE)
,
(IF
(
G12082=""юридична особа""
,
VLOO"&amp;"KUP(H12082,IMPORTRANGE(""https://docs.google.com/spreadsheets/d/14Bd19lYaqBhU8_DElYkX7l4wRkHqqCUFNJY4AfY3kHU/edit?usp=sharing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81" s="7" t="s">
        <v>11</v>
      </c>
    </row>
    <row r="12082" spans="1:10" ht="13.2">
      <c r="A12082" s="7">
        <v>12081</v>
      </c>
      <c r="B12082" s="7">
        <v>1</v>
      </c>
      <c r="C12082" s="7" t="s">
        <v>10</v>
      </c>
      <c r="D12082" s="7">
        <v>17999</v>
      </c>
      <c r="E12082" s="7" t="s">
        <v>11</v>
      </c>
      <c r="F12082" s="8" t="str">
        <f ca="1">IFERROR(__xludf.DUMMYFUNCTION("IF
(
C12083=""фізична особа""
,
VLOOKUP(D12083,IMPORTRANGE(""https://docs.google.com/spreadsheets/d/14Bd19lYaqBhU8_DElYkX7l4wRkHqqCUFNJY4AfY3kHU/edit?usp=sharing  #gid=0"",""фіз особи new!relations_name""),6,FALSE)
,
(IF
(
C12083=""юридична особа""
,
VLOO"&amp;"KUP(D12083,IMPORTRANGE(""https://docs.google.com/spreadsheets/d/14Bd19lYaqBhU8_DElYkX7l4wRkHqqCUFNJY4AfY3kHU/edit?usp=sharing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G12082" s="7" t="s">
        <v>10</v>
      </c>
      <c r="H12082" s="7">
        <v>18004</v>
      </c>
      <c r="I12082" s="8" t="str">
        <f ca="1">IFERROR(__xludf.DUMMYFUNCTION("IF
(
G12083=""фізична особа""
,
VLOOKUP(H12083,IMPORTRANGE(""https://docs.google.com/spreadsheets/d/14Bd19lYaqBhU8_DElYkX7l4wRkHqqCUFNJY4AfY3kHU/edit?usp=sharing  #gid=0"",""фіз особи new!relations_name""),6,FALSE)
,
(IF
(
G12083=""юридична особа""
,
VLOO"&amp;"KUP(H12083,IMPORTRANGE(""https://docs.google.com/spreadsheets/d/14Bd19lYaqBhU8_DElYkX7l4wRkHqqCUFNJY4AfY3kHU/edit?usp=sharing  #gid=0"",""фіз особи new!relations_name_uo""),7,FALSE)
,
)
))"),"ЮНХАО Бо")</f>
        <v>ЮНХАО Бо</v>
      </c>
      <c r="J12082" s="7" t="s">
        <v>11</v>
      </c>
    </row>
    <row r="12083" spans="1:10" ht="13.2">
      <c r="A12083" s="7">
        <v>12082</v>
      </c>
      <c r="B12083" s="7">
        <v>1</v>
      </c>
      <c r="C12083" s="7" t="s">
        <v>10</v>
      </c>
      <c r="D12083" s="7">
        <v>18000</v>
      </c>
      <c r="E12083" s="7" t="s">
        <v>11</v>
      </c>
      <c r="F12083" s="8" t="str">
        <f ca="1">IFERROR(__xludf.DUMMYFUNCTION("IF
(
C12084=""фізична особа""
,
VLOOKUP(D12084,IMPORTRANGE(""https://docs.google.com/spreadsheets/d/14Bd19lYaqBhU8_DElYkX7l4wRkHqqCUFNJY4AfY3kHU/edit?usp=sharing  #gid=0"",""фіз особи new!relations_name""),6,FALSE)
,
(IF
(
C12084=""юридична особа""
,
VLOO"&amp;"KUP(D12084,IMPORTRANGE(""https://docs.google.com/spreadsheets/d/14Bd19lYaqBhU8_DElYkX7l4wRkHqqCUFNJY4AfY3kHU/edit?usp=sharing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3" s="7" t="s">
        <v>10</v>
      </c>
      <c r="H12083" s="7">
        <v>17994</v>
      </c>
      <c r="I12083" s="8" t="str">
        <f ca="1">IFERROR(__xludf.DUMMYFUNCTION("IF
(
G12084=""фізична особа""
,
VLOOKUP(H12084,IMPORTRANGE(""https://docs.google.com/spreadsheets/d/14Bd19lYaqBhU8_DElYkX7l4wRkHqqCUFNJY4AfY3kHU/edit?usp=sharing  #gid=0"",""фіз особи new!relations_name""),6,FALSE)
,
(IF
(
G12084=""юридична особа""
,
VLOO"&amp;"KUP(H12084,IMPORTRANGE(""https://docs.google.com/spreadsheets/d/14Bd19lYaqBhU8_DElYkX7l4wRkHqqCUFNJY4AfY3kHU/edit?usp=sharing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83" s="7" t="s">
        <v>11</v>
      </c>
    </row>
    <row r="12084" spans="1:10" ht="13.2">
      <c r="A12084" s="7">
        <v>12083</v>
      </c>
      <c r="B12084" s="7">
        <v>1</v>
      </c>
      <c r="C12084" s="7" t="s">
        <v>10</v>
      </c>
      <c r="D12084" s="7">
        <v>18000</v>
      </c>
      <c r="E12084" s="7" t="s">
        <v>11</v>
      </c>
      <c r="F12084" s="8" t="str">
        <f ca="1">IFERROR(__xludf.DUMMYFUNCTION("IF
(
C12085=""фізична особа""
,
VLOOKUP(D12085,IMPORTRANGE(""https://docs.google.com/spreadsheets/d/14Bd19lYaqBhU8_DElYkX7l4wRkHqqCUFNJY4AfY3kHU/edit?usp=sharing  #gid=0"",""фіз особи new!relations_name""),6,FALSE)
,
(IF
(
C12085=""юридична особа""
,
VLOO"&amp;"KUP(D12085,IMPORTRANGE(""https://docs.google.com/spreadsheets/d/14Bd19lYaqBhU8_DElYkX7l4wRkHqqCUFNJY4AfY3kHU/edit?usp=sharing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4" s="7" t="s">
        <v>10</v>
      </c>
      <c r="H12084" s="7">
        <v>17995</v>
      </c>
      <c r="I12084" s="8" t="str">
        <f ca="1">IFERROR(__xludf.DUMMYFUNCTION("IF
(
G12085=""фізична особа""
,
VLOOKUP(H12085,IMPORTRANGE(""https://docs.google.com/spreadsheets/d/14Bd19lYaqBhU8_DElYkX7l4wRkHqqCUFNJY4AfY3kHU/edit?usp=sharing  #gid=0"",""фіз особи new!relations_name""),6,FALSE)
,
(IF
(
G12085=""юридична особа""
,
VLOO"&amp;"KUP(H12085,IMPORTRANGE(""https://docs.google.com/spreadsheets/d/14Bd19lYaqBhU8_DElYkX7l4wRkHqqCUFNJY4AfY3kHU/edit?usp=sharing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84" s="7" t="s">
        <v>11</v>
      </c>
    </row>
    <row r="12085" spans="1:10" ht="13.2">
      <c r="A12085" s="7">
        <v>12084</v>
      </c>
      <c r="B12085" s="7">
        <v>1</v>
      </c>
      <c r="C12085" s="7" t="s">
        <v>10</v>
      </c>
      <c r="D12085" s="7">
        <v>18000</v>
      </c>
      <c r="E12085" s="7" t="s">
        <v>11</v>
      </c>
      <c r="F12085" s="8" t="str">
        <f ca="1">IFERROR(__xludf.DUMMYFUNCTION("IF
(
C12086=""фізична особа""
,
VLOOKUP(D12086,IMPORTRANGE(""https://docs.google.com/spreadsheets/d/14Bd19lYaqBhU8_DElYkX7l4wRkHqqCUFNJY4AfY3kHU/edit?usp=sharing  #gid=0"",""фіз особи new!relations_name""),6,FALSE)
,
(IF
(
C12086=""юридична особа""
,
VLOO"&amp;"KUP(D12086,IMPORTRANGE(""https://docs.google.com/spreadsheets/d/14Bd19lYaqBhU8_DElYkX7l4wRkHqqCUFNJY4AfY3kHU/edit?usp=sharing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5" s="7" t="s">
        <v>10</v>
      </c>
      <c r="H12085" s="7">
        <v>17996</v>
      </c>
      <c r="I12085" s="8" t="str">
        <f ca="1">IFERROR(__xludf.DUMMYFUNCTION("IF
(
G12086=""фізична особа""
,
VLOOKUP(H12086,IMPORTRANGE(""https://docs.google.com/spreadsheets/d/14Bd19lYaqBhU8_DElYkX7l4wRkHqqCUFNJY4AfY3kHU/edit?usp=sharing  #gid=0"",""фіз особи new!relations_name""),6,FALSE)
,
(IF
(
G12086=""юридична особа""
,
VLOO"&amp;"KUP(H12086,IMPORTRANGE(""https://docs.google.com/spreadsheets/d/14Bd19lYaqBhU8_DElYkX7l4wRkHqqCUFNJY4AfY3kHU/edit?usp=sharing  #gid=0"",""фіз особи new!relations_name_uo""),7,FALSE)
,
)
))"),"ЛЮ Чжи")</f>
        <v>ЛЮ Чжи</v>
      </c>
      <c r="J12085" s="7" t="s">
        <v>11</v>
      </c>
    </row>
    <row r="12086" spans="1:10" ht="13.2">
      <c r="A12086" s="7">
        <v>12085</v>
      </c>
      <c r="B12086" s="7">
        <v>1</v>
      </c>
      <c r="C12086" s="7" t="s">
        <v>10</v>
      </c>
      <c r="D12086" s="7">
        <v>18000</v>
      </c>
      <c r="E12086" s="7" t="s">
        <v>11</v>
      </c>
      <c r="F12086" s="8" t="str">
        <f ca="1">IFERROR(__xludf.DUMMYFUNCTION("IF
(
C12087=""фізична особа""
,
VLOOKUP(D12087,IMPORTRANGE(""https://docs.google.com/spreadsheets/d/14Bd19lYaqBhU8_DElYkX7l4wRkHqqCUFNJY4AfY3kHU/edit?usp=sharing  #gid=0"",""фіз особи new!relations_name""),6,FALSE)
,
(IF
(
C12087=""юридична особа""
,
VLOO"&amp;"KUP(D12087,IMPORTRANGE(""https://docs.google.com/spreadsheets/d/14Bd19lYaqBhU8_DElYkX7l4wRkHqqCUFNJY4AfY3kHU/edit?usp=sharing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6" s="7" t="s">
        <v>10</v>
      </c>
      <c r="H12086" s="7">
        <v>17997</v>
      </c>
      <c r="I12086" s="8" t="str">
        <f ca="1">IFERROR(__xludf.DUMMYFUNCTION("IF
(
G12087=""фізична особа""
,
VLOOKUP(H12087,IMPORTRANGE(""https://docs.google.com/spreadsheets/d/14Bd19lYaqBhU8_DElYkX7l4wRkHqqCUFNJY4AfY3kHU/edit?usp=sharing  #gid=0"",""фіз особи new!relations_name""),6,FALSE)
,
(IF
(
G12087=""юридична особа""
,
VLOO"&amp;"KUP(H12087,IMPORTRANGE(""https://docs.google.com/spreadsheets/d/14Bd19lYaqBhU8_DElYkX7l4wRkHqqCUFNJY4AfY3kHU/edit?usp=sharing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86" s="7" t="s">
        <v>11</v>
      </c>
    </row>
    <row r="12087" spans="1:10" ht="13.2">
      <c r="A12087" s="7">
        <v>12086</v>
      </c>
      <c r="B12087" s="7">
        <v>1</v>
      </c>
      <c r="C12087" s="7" t="s">
        <v>10</v>
      </c>
      <c r="D12087" s="7">
        <v>18000</v>
      </c>
      <c r="E12087" s="7" t="s">
        <v>11</v>
      </c>
      <c r="F12087" s="8" t="str">
        <f ca="1">IFERROR(__xludf.DUMMYFUNCTION("IF
(
C12088=""фізична особа""
,
VLOOKUP(D12088,IMPORTRANGE(""https://docs.google.com/spreadsheets/d/14Bd19lYaqBhU8_DElYkX7l4wRkHqqCUFNJY4AfY3kHU/edit?usp=sharing  #gid=0"",""фіз особи new!relations_name""),6,FALSE)
,
(IF
(
C12088=""юридична особа""
,
VLOO"&amp;"KUP(D12088,IMPORTRANGE(""https://docs.google.com/spreadsheets/d/14Bd19lYaqBhU8_DElYkX7l4wRkHqqCUFNJY4AfY3kHU/edit?usp=sharing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7" s="7" t="s">
        <v>10</v>
      </c>
      <c r="H12087" s="7">
        <v>17998</v>
      </c>
      <c r="I12087" s="8" t="str">
        <f ca="1">IFERROR(__xludf.DUMMYFUNCTION("IF
(
G12088=""фізична особа""
,
VLOOKUP(H12088,IMPORTRANGE(""https://docs.google.com/spreadsheets/d/14Bd19lYaqBhU8_DElYkX7l4wRkHqqCUFNJY4AfY3kHU/edit?usp=sharing  #gid=0"",""фіз особи new!relations_name""),6,FALSE)
,
(IF
(
G12088=""юридична особа""
,
VLOO"&amp;"KUP(H12088,IMPORTRANGE(""https://docs.google.com/spreadsheets/d/14Bd19lYaqBhU8_DElYkX7l4wRkHqqCUFNJY4AfY3kHU/edit?usp=sharing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87" s="7" t="s">
        <v>11</v>
      </c>
    </row>
    <row r="12088" spans="1:10" ht="13.2">
      <c r="A12088" s="7">
        <v>12087</v>
      </c>
      <c r="B12088" s="7">
        <v>1</v>
      </c>
      <c r="C12088" s="7" t="s">
        <v>10</v>
      </c>
      <c r="D12088" s="7">
        <v>18000</v>
      </c>
      <c r="E12088" s="7" t="s">
        <v>11</v>
      </c>
      <c r="F12088" s="8" t="str">
        <f ca="1">IFERROR(__xludf.DUMMYFUNCTION("IF
(
C12089=""фізична особа""
,
VLOOKUP(D12089,IMPORTRANGE(""https://docs.google.com/spreadsheets/d/14Bd19lYaqBhU8_DElYkX7l4wRkHqqCUFNJY4AfY3kHU/edit?usp=sharing  #gid=0"",""фіз особи new!relations_name""),6,FALSE)
,
(IF
(
C12089=""юридична особа""
,
VLOO"&amp;"KUP(D12089,IMPORTRANGE(""https://docs.google.com/spreadsheets/d/14Bd19lYaqBhU8_DElYkX7l4wRkHqqCUFNJY4AfY3kHU/edit?usp=sharing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8" s="7" t="s">
        <v>10</v>
      </c>
      <c r="H12088" s="7">
        <v>17999</v>
      </c>
      <c r="I12088" s="8" t="str">
        <f ca="1">IFERROR(__xludf.DUMMYFUNCTION("IF
(
G12089=""фізична особа""
,
VLOOKUP(H12089,IMPORTRANGE(""https://docs.google.com/spreadsheets/d/14Bd19lYaqBhU8_DElYkX7l4wRkHqqCUFNJY4AfY3kHU/edit?usp=sharing  #gid=0"",""фіз особи new!relations_name""),6,FALSE)
,
(IF
(
G12089=""юридична особа""
,
VLOO"&amp;"KUP(H12089,IMPORTRANGE(""https://docs.google.com/spreadsheets/d/14Bd19lYaqBhU8_DElYkX7l4wRkHqqCUFNJY4AfY3kHU/edit?usp=sharing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88" s="7" t="s">
        <v>11</v>
      </c>
    </row>
    <row r="12089" spans="1:10" ht="13.2">
      <c r="A12089" s="7">
        <v>12088</v>
      </c>
      <c r="B12089" s="7">
        <v>1</v>
      </c>
      <c r="C12089" s="7" t="s">
        <v>10</v>
      </c>
      <c r="D12089" s="7">
        <v>18000</v>
      </c>
      <c r="E12089" s="7" t="s">
        <v>11</v>
      </c>
      <c r="F12089" s="8" t="str">
        <f ca="1">IFERROR(__xludf.DUMMYFUNCTION("IF
(
C12090=""фізична особа""
,
VLOOKUP(D12090,IMPORTRANGE(""https://docs.google.com/spreadsheets/d/14Bd19lYaqBhU8_DElYkX7l4wRkHqqCUFNJY4AfY3kHU/edit?usp=sharing  #gid=0"",""фіз особи new!relations_name""),6,FALSE)
,
(IF
(
C12090=""юридична особа""
,
VLOO"&amp;"KUP(D12090,IMPORTRANGE(""https://docs.google.com/spreadsheets/d/14Bd19lYaqBhU8_DElYkX7l4wRkHqqCUFNJY4AfY3kHU/edit?usp=sharing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89" s="7" t="s">
        <v>10</v>
      </c>
      <c r="H12089" s="7">
        <v>18001</v>
      </c>
      <c r="I12089" s="8" t="str">
        <f ca="1">IFERROR(__xludf.DUMMYFUNCTION("IF
(
G12090=""фізична особа""
,
VLOOKUP(H12090,IMPORTRANGE(""https://docs.google.com/spreadsheets/d/14Bd19lYaqBhU8_DElYkX7l4wRkHqqCUFNJY4AfY3kHU/edit?usp=sharing  #gid=0"",""фіз особи new!relations_name""),6,FALSE)
,
(IF
(
G12090=""юридична особа""
,
VLOO"&amp;"KUP(H12090,IMPORTRANGE(""https://docs.google.com/spreadsheets/d/14Bd19lYaqBhU8_DElYkX7l4wRkHqqCUFNJY4AfY3kHU/edit?usp=sharing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089" s="7" t="s">
        <v>11</v>
      </c>
    </row>
    <row r="12090" spans="1:10" ht="13.2">
      <c r="A12090" s="7">
        <v>12089</v>
      </c>
      <c r="B12090" s="7">
        <v>1</v>
      </c>
      <c r="C12090" s="7" t="s">
        <v>10</v>
      </c>
      <c r="D12090" s="7">
        <v>18000</v>
      </c>
      <c r="E12090" s="7" t="s">
        <v>11</v>
      </c>
      <c r="F12090" s="8" t="str">
        <f ca="1">IFERROR(__xludf.DUMMYFUNCTION("IF
(
C12091=""фізична особа""
,
VLOOKUP(D12091,IMPORTRANGE(""https://docs.google.com/spreadsheets/d/14Bd19lYaqBhU8_DElYkX7l4wRkHqqCUFNJY4AfY3kHU/edit?usp=sharing  #gid=0"",""фіз особи new!relations_name""),6,FALSE)
,
(IF
(
C12091=""юридична особа""
,
VLOO"&amp;"KUP(D12091,IMPORTRANGE(""https://docs.google.com/spreadsheets/d/14Bd19lYaqBhU8_DElYkX7l4wRkHqqCUFNJY4AfY3kHU/edit?usp=sharing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90" s="7" t="s">
        <v>10</v>
      </c>
      <c r="H12090" s="7">
        <v>18002</v>
      </c>
      <c r="I12090" s="8" t="str">
        <f ca="1">IFERROR(__xludf.DUMMYFUNCTION("IF
(
G12091=""фізична особа""
,
VLOOKUP(H12091,IMPORTRANGE(""https://docs.google.com/spreadsheets/d/14Bd19lYaqBhU8_DElYkX7l4wRkHqqCUFNJY4AfY3kHU/edit?usp=sharing  #gid=0"",""фіз особи new!relations_name""),6,FALSE)
,
(IF
(
G12091=""юридична особа""
,
VLOO"&amp;"KUP(H12091,IMPORTRANGE(""https://docs.google.com/spreadsheets/d/14Bd19lYaqBhU8_DElYkX7l4wRkHqqCUFNJY4AfY3kHU/edit?usp=sharing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090" s="7" t="s">
        <v>11</v>
      </c>
    </row>
    <row r="12091" spans="1:10" ht="13.2">
      <c r="A12091" s="7">
        <v>12090</v>
      </c>
      <c r="B12091" s="7">
        <v>1</v>
      </c>
      <c r="C12091" s="7" t="s">
        <v>10</v>
      </c>
      <c r="D12091" s="7">
        <v>18000</v>
      </c>
      <c r="E12091" s="7" t="s">
        <v>11</v>
      </c>
      <c r="F12091" s="8" t="str">
        <f ca="1">IFERROR(__xludf.DUMMYFUNCTION("IF
(
C12092=""фізична особа""
,
VLOOKUP(D12092,IMPORTRANGE(""https://docs.google.com/spreadsheets/d/14Bd19lYaqBhU8_DElYkX7l4wRkHqqCUFNJY4AfY3kHU/edit?usp=sharing  #gid=0"",""фіз особи new!relations_name""),6,FALSE)
,
(IF
(
C12092=""юридична особа""
,
VLOO"&amp;"KUP(D12092,IMPORTRANGE(""https://docs.google.com/spreadsheets/d/14Bd19lYaqBhU8_DElYkX7l4wRkHqqCUFNJY4AfY3kHU/edit?usp=sharing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91" s="7" t="s">
        <v>10</v>
      </c>
      <c r="H12091" s="7">
        <v>18003</v>
      </c>
      <c r="I12091" s="8" t="str">
        <f ca="1">IFERROR(__xludf.DUMMYFUNCTION("IF
(
G12092=""фізична особа""
,
VLOOKUP(H12092,IMPORTRANGE(""https://docs.google.com/spreadsheets/d/14Bd19lYaqBhU8_DElYkX7l4wRkHqqCUFNJY4AfY3kHU/edit?usp=sharing  #gid=0"",""фіз особи new!relations_name""),6,FALSE)
,
(IF
(
G12092=""юридична особа""
,
VLOO"&amp;"KUP(H12092,IMPORTRANGE(""https://docs.google.com/spreadsheets/d/14Bd19lYaqBhU8_DElYkX7l4wRkHqqCUFNJY4AfY3kHU/edit?usp=sharing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091" s="7" t="s">
        <v>11</v>
      </c>
    </row>
    <row r="12092" spans="1:10" ht="13.2">
      <c r="A12092" s="7">
        <v>12091</v>
      </c>
      <c r="B12092" s="7">
        <v>1</v>
      </c>
      <c r="C12092" s="7" t="s">
        <v>10</v>
      </c>
      <c r="D12092" s="7">
        <v>18000</v>
      </c>
      <c r="E12092" s="7" t="s">
        <v>11</v>
      </c>
      <c r="F12092" s="8" t="str">
        <f ca="1">IFERROR(__xludf.DUMMYFUNCTION("IF
(
C12093=""фізична особа""
,
VLOOKUP(D12093,IMPORTRANGE(""https://docs.google.com/spreadsheets/d/14Bd19lYaqBhU8_DElYkX7l4wRkHqqCUFNJY4AfY3kHU/edit?usp=sharing  #gid=0"",""фіз особи new!relations_name""),6,FALSE)
,
(IF
(
C12093=""юридична особа""
,
VLOO"&amp;"KUP(D12093,IMPORTRANGE(""https://docs.google.com/spreadsheets/d/14Bd19lYaqBhU8_DElYkX7l4wRkHqqCUFNJY4AfY3kHU/edit?usp=sharing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G12092" s="7" t="s">
        <v>10</v>
      </c>
      <c r="H12092" s="7">
        <v>18004</v>
      </c>
      <c r="I12092" s="8" t="str">
        <f ca="1">IFERROR(__xludf.DUMMYFUNCTION("IF
(
G12093=""фізична особа""
,
VLOOKUP(H12093,IMPORTRANGE(""https://docs.google.com/spreadsheets/d/14Bd19lYaqBhU8_DElYkX7l4wRkHqqCUFNJY4AfY3kHU/edit?usp=sharing  #gid=0"",""фіз особи new!relations_name""),6,FALSE)
,
(IF
(
G12093=""юридична особа""
,
VLOO"&amp;"KUP(H12093,IMPORTRANGE(""https://docs.google.com/spreadsheets/d/14Bd19lYaqBhU8_DElYkX7l4wRkHqqCUFNJY4AfY3kHU/edit?usp=sharing  #gid=0"",""фіз особи new!relations_name_uo""),7,FALSE)
,
)
))"),"ЮНХАО Бо")</f>
        <v>ЮНХАО Бо</v>
      </c>
      <c r="J12092" s="7" t="s">
        <v>11</v>
      </c>
    </row>
    <row r="12093" spans="1:10" ht="13.2">
      <c r="A12093" s="7">
        <v>12092</v>
      </c>
      <c r="B12093" s="7">
        <v>1</v>
      </c>
      <c r="C12093" s="7" t="s">
        <v>10</v>
      </c>
      <c r="D12093" s="7">
        <v>18001</v>
      </c>
      <c r="E12093" s="7" t="s">
        <v>11</v>
      </c>
      <c r="F12093" s="8" t="str">
        <f ca="1">IFERROR(__xludf.DUMMYFUNCTION("IF
(
C12094=""фізична особа""
,
VLOOKUP(D12094,IMPORTRANGE(""https://docs.google.com/spreadsheets/d/14Bd19lYaqBhU8_DElYkX7l4wRkHqqCUFNJY4AfY3kHU/edit?usp=sharing  #gid=0"",""фіз особи new!relations_name""),6,FALSE)
,
(IF
(
C12094=""юридична особа""
,
VLOO"&amp;"KUP(D12094,IMPORTRANGE(""https://docs.google.com/spreadsheets/d/14Bd19lYaqBhU8_DElYkX7l4wRkHqqCUFNJY4AfY3kHU/edit?usp=sharing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3" s="7" t="s">
        <v>10</v>
      </c>
      <c r="H12093" s="7">
        <v>17994</v>
      </c>
      <c r="I12093" s="8" t="str">
        <f ca="1">IFERROR(__xludf.DUMMYFUNCTION("IF
(
G12094=""фізична особа""
,
VLOOKUP(H12094,IMPORTRANGE(""https://docs.google.com/spreadsheets/d/14Bd19lYaqBhU8_DElYkX7l4wRkHqqCUFNJY4AfY3kHU/edit?usp=sharing  #gid=0"",""фіз особи new!relations_name""),6,FALSE)
,
(IF
(
G12094=""юридична особа""
,
VLOO"&amp;"KUP(H12094,IMPORTRANGE(""https://docs.google.com/spreadsheets/d/14Bd19lYaqBhU8_DElYkX7l4wRkHqqCUFNJY4AfY3kHU/edit?usp=sharing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093" s="7" t="s">
        <v>11</v>
      </c>
    </row>
    <row r="12094" spans="1:10" ht="13.2">
      <c r="A12094" s="7">
        <v>12093</v>
      </c>
      <c r="B12094" s="7">
        <v>1</v>
      </c>
      <c r="C12094" s="7" t="s">
        <v>10</v>
      </c>
      <c r="D12094" s="7">
        <v>18001</v>
      </c>
      <c r="E12094" s="7" t="s">
        <v>11</v>
      </c>
      <c r="F12094" s="8" t="str">
        <f ca="1">IFERROR(__xludf.DUMMYFUNCTION("IF
(
C12095=""фізична особа""
,
VLOOKUP(D12095,IMPORTRANGE(""https://docs.google.com/spreadsheets/d/14Bd19lYaqBhU8_DElYkX7l4wRkHqqCUFNJY4AfY3kHU/edit?usp=sharing  #gid=0"",""фіз особи new!relations_name""),6,FALSE)
,
(IF
(
C12095=""юридична особа""
,
VLOO"&amp;"KUP(D12095,IMPORTRANGE(""https://docs.google.com/spreadsheets/d/14Bd19lYaqBhU8_DElYkX7l4wRkHqqCUFNJY4AfY3kHU/edit?usp=sharing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4" s="7" t="s">
        <v>10</v>
      </c>
      <c r="H12094" s="7">
        <v>17995</v>
      </c>
      <c r="I12094" s="8" t="str">
        <f ca="1">IFERROR(__xludf.DUMMYFUNCTION("IF
(
G12095=""фізична особа""
,
VLOOKUP(H12095,IMPORTRANGE(""https://docs.google.com/spreadsheets/d/14Bd19lYaqBhU8_DElYkX7l4wRkHqqCUFNJY4AfY3kHU/edit?usp=sharing  #gid=0"",""фіз особи new!relations_name""),6,FALSE)
,
(IF
(
G12095=""юридична особа""
,
VLOO"&amp;"KUP(H12095,IMPORTRANGE(""https://docs.google.com/spreadsheets/d/14Bd19lYaqBhU8_DElYkX7l4wRkHqqCUFNJY4AfY3kHU/edit?usp=sharing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094" s="7" t="s">
        <v>11</v>
      </c>
    </row>
    <row r="12095" spans="1:10" ht="13.2">
      <c r="A12095" s="7">
        <v>12094</v>
      </c>
      <c r="B12095" s="7">
        <v>1</v>
      </c>
      <c r="C12095" s="7" t="s">
        <v>10</v>
      </c>
      <c r="D12095" s="7">
        <v>18001</v>
      </c>
      <c r="E12095" s="7" t="s">
        <v>11</v>
      </c>
      <c r="F12095" s="8" t="str">
        <f ca="1">IFERROR(__xludf.DUMMYFUNCTION("IF
(
C12096=""фізична особа""
,
VLOOKUP(D12096,IMPORTRANGE(""https://docs.google.com/spreadsheets/d/14Bd19lYaqBhU8_DElYkX7l4wRkHqqCUFNJY4AfY3kHU/edit?usp=sharing  #gid=0"",""фіз особи new!relations_name""),6,FALSE)
,
(IF
(
C12096=""юридична особа""
,
VLOO"&amp;"KUP(D12096,IMPORTRANGE(""https://docs.google.com/spreadsheets/d/14Bd19lYaqBhU8_DElYkX7l4wRkHqqCUFNJY4AfY3kHU/edit?usp=sharing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5" s="7" t="s">
        <v>10</v>
      </c>
      <c r="H12095" s="7">
        <v>17996</v>
      </c>
      <c r="I12095" s="8" t="str">
        <f ca="1">IFERROR(__xludf.DUMMYFUNCTION("IF
(
G12096=""фізична особа""
,
VLOOKUP(H12096,IMPORTRANGE(""https://docs.google.com/spreadsheets/d/14Bd19lYaqBhU8_DElYkX7l4wRkHqqCUFNJY4AfY3kHU/edit?usp=sharing  #gid=0"",""фіз особи new!relations_name""),6,FALSE)
,
(IF
(
G12096=""юридична особа""
,
VLOO"&amp;"KUP(H12096,IMPORTRANGE(""https://docs.google.com/spreadsheets/d/14Bd19lYaqBhU8_DElYkX7l4wRkHqqCUFNJY4AfY3kHU/edit?usp=sharing  #gid=0"",""фіз особи new!relations_name_uo""),7,FALSE)
,
)
))"),"ЛЮ Чжи")</f>
        <v>ЛЮ Чжи</v>
      </c>
      <c r="J12095" s="7" t="s">
        <v>11</v>
      </c>
    </row>
    <row r="12096" spans="1:10" ht="13.2">
      <c r="A12096" s="7">
        <v>12095</v>
      </c>
      <c r="B12096" s="7">
        <v>1</v>
      </c>
      <c r="C12096" s="7" t="s">
        <v>10</v>
      </c>
      <c r="D12096" s="7">
        <v>18001</v>
      </c>
      <c r="E12096" s="7" t="s">
        <v>11</v>
      </c>
      <c r="F12096" s="8" t="str">
        <f ca="1">IFERROR(__xludf.DUMMYFUNCTION("IF
(
C12097=""фізична особа""
,
VLOOKUP(D12097,IMPORTRANGE(""https://docs.google.com/spreadsheets/d/14Bd19lYaqBhU8_DElYkX7l4wRkHqqCUFNJY4AfY3kHU/edit?usp=sharing  #gid=0"",""фіз особи new!relations_name""),6,FALSE)
,
(IF
(
C12097=""юридична особа""
,
VLOO"&amp;"KUP(D12097,IMPORTRANGE(""https://docs.google.com/spreadsheets/d/14Bd19lYaqBhU8_DElYkX7l4wRkHqqCUFNJY4AfY3kHU/edit?usp=sharing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6" s="7" t="s">
        <v>10</v>
      </c>
      <c r="H12096" s="7">
        <v>17997</v>
      </c>
      <c r="I12096" s="8" t="str">
        <f ca="1">IFERROR(__xludf.DUMMYFUNCTION("IF
(
G12097=""фізична особа""
,
VLOOKUP(H12097,IMPORTRANGE(""https://docs.google.com/spreadsheets/d/14Bd19lYaqBhU8_DElYkX7l4wRkHqqCUFNJY4AfY3kHU/edit?usp=sharing  #gid=0"",""фіз особи new!relations_name""),6,FALSE)
,
(IF
(
G12097=""юридична особа""
,
VLOO"&amp;"KUP(H12097,IMPORTRANGE(""https://docs.google.com/spreadsheets/d/14Bd19lYaqBhU8_DElYkX7l4wRkHqqCUFNJY4AfY3kHU/edit?usp=sharing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096" s="7" t="s">
        <v>11</v>
      </c>
    </row>
    <row r="12097" spans="1:10" ht="13.2">
      <c r="A12097" s="7">
        <v>12096</v>
      </c>
      <c r="B12097" s="7">
        <v>1</v>
      </c>
      <c r="C12097" s="7" t="s">
        <v>10</v>
      </c>
      <c r="D12097" s="7">
        <v>18001</v>
      </c>
      <c r="E12097" s="7" t="s">
        <v>11</v>
      </c>
      <c r="F12097" s="8" t="str">
        <f ca="1">IFERROR(__xludf.DUMMYFUNCTION("IF
(
C12098=""фізична особа""
,
VLOOKUP(D12098,IMPORTRANGE(""https://docs.google.com/spreadsheets/d/14Bd19lYaqBhU8_DElYkX7l4wRkHqqCUFNJY4AfY3kHU/edit?usp=sharing  #gid=0"",""фіз особи new!relations_name""),6,FALSE)
,
(IF
(
C12098=""юридична особа""
,
VLOO"&amp;"KUP(D12098,IMPORTRANGE(""https://docs.google.com/spreadsheets/d/14Bd19lYaqBhU8_DElYkX7l4wRkHqqCUFNJY4AfY3kHU/edit?usp=sharing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7" s="7" t="s">
        <v>10</v>
      </c>
      <c r="H12097" s="7">
        <v>17998</v>
      </c>
      <c r="I12097" s="8" t="str">
        <f ca="1">IFERROR(__xludf.DUMMYFUNCTION("IF
(
G12098=""фізична особа""
,
VLOOKUP(H12098,IMPORTRANGE(""https://docs.google.com/spreadsheets/d/14Bd19lYaqBhU8_DElYkX7l4wRkHqqCUFNJY4AfY3kHU/edit?usp=sharing  #gid=0"",""фіз особи new!relations_name""),6,FALSE)
,
(IF
(
G12098=""юридична особа""
,
VLOO"&amp;"KUP(H12098,IMPORTRANGE(""https://docs.google.com/spreadsheets/d/14Bd19lYaqBhU8_DElYkX7l4wRkHqqCUFNJY4AfY3kHU/edit?usp=sharing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097" s="7" t="s">
        <v>11</v>
      </c>
    </row>
    <row r="12098" spans="1:10" ht="13.2">
      <c r="A12098" s="7">
        <v>12097</v>
      </c>
      <c r="B12098" s="7">
        <v>1</v>
      </c>
      <c r="C12098" s="7" t="s">
        <v>10</v>
      </c>
      <c r="D12098" s="7">
        <v>18001</v>
      </c>
      <c r="E12098" s="7" t="s">
        <v>11</v>
      </c>
      <c r="F12098" s="8" t="str">
        <f ca="1">IFERROR(__xludf.DUMMYFUNCTION("IF
(
C12099=""фізична особа""
,
VLOOKUP(D12099,IMPORTRANGE(""https://docs.google.com/spreadsheets/d/14Bd19lYaqBhU8_DElYkX7l4wRkHqqCUFNJY4AfY3kHU/edit?usp=sharing  #gid=0"",""фіз особи new!relations_name""),6,FALSE)
,
(IF
(
C12099=""юридична особа""
,
VLOO"&amp;"KUP(D12099,IMPORTRANGE(""https://docs.google.com/spreadsheets/d/14Bd19lYaqBhU8_DElYkX7l4wRkHqqCUFNJY4AfY3kHU/edit?usp=sharing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8" s="7" t="s">
        <v>10</v>
      </c>
      <c r="H12098" s="7">
        <v>17999</v>
      </c>
      <c r="I12098" s="8" t="str">
        <f ca="1">IFERROR(__xludf.DUMMYFUNCTION("IF
(
G12099=""фізична особа""
,
VLOOKUP(H12099,IMPORTRANGE(""https://docs.google.com/spreadsheets/d/14Bd19lYaqBhU8_DElYkX7l4wRkHqqCUFNJY4AfY3kHU/edit?usp=sharing  #gid=0"",""фіз особи new!relations_name""),6,FALSE)
,
(IF
(
G12099=""юридична особа""
,
VLOO"&amp;"KUP(H12099,IMPORTRANGE(""https://docs.google.com/spreadsheets/d/14Bd19lYaqBhU8_DElYkX7l4wRkHqqCUFNJY4AfY3kHU/edit?usp=sharing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098" s="7" t="s">
        <v>11</v>
      </c>
    </row>
    <row r="12099" spans="1:10" ht="13.2">
      <c r="A12099" s="7">
        <v>12098</v>
      </c>
      <c r="B12099" s="7">
        <v>1</v>
      </c>
      <c r="C12099" s="7" t="s">
        <v>10</v>
      </c>
      <c r="D12099" s="7">
        <v>18001</v>
      </c>
      <c r="E12099" s="7" t="s">
        <v>11</v>
      </c>
      <c r="F12099" s="8" t="str">
        <f ca="1">IFERROR(__xludf.DUMMYFUNCTION("IF
(
C12100=""фізична особа""
,
VLOOKUP(D12100,IMPORTRANGE(""https://docs.google.com/spreadsheets/d/14Bd19lYaqBhU8_DElYkX7l4wRkHqqCUFNJY4AfY3kHU/edit?usp=sharing  #gid=0"",""фіз особи new!relations_name""),6,FALSE)
,
(IF
(
C12100=""юридична особа""
,
VLOO"&amp;"KUP(D12100,IMPORTRANGE(""https://docs.google.com/spreadsheets/d/14Bd19lYaqBhU8_DElYkX7l4wRkHqqCUFNJY4AfY3kHU/edit?usp=sharing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099" s="7" t="s">
        <v>10</v>
      </c>
      <c r="H12099" s="7">
        <v>18000</v>
      </c>
      <c r="I12099" s="8" t="str">
        <f ca="1">IFERROR(__xludf.DUMMYFUNCTION("IF
(
G12100=""фізична особа""
,
VLOOKUP(H12100,IMPORTRANGE(""https://docs.google.com/spreadsheets/d/14Bd19lYaqBhU8_DElYkX7l4wRkHqqCUFNJY4AfY3kHU/edit?usp=sharing  #gid=0"",""фіз особи new!relations_name""),6,FALSE)
,
(IF
(
G12100=""юридична особа""
,
VLOO"&amp;"KUP(H12100,IMPORTRANGE(""https://docs.google.com/spreadsheets/d/14Bd19lYaqBhU8_DElYkX7l4wRkHqqCUFNJY4AfY3kHU/edit?usp=sharing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099" s="7" t="s">
        <v>11</v>
      </c>
    </row>
    <row r="12100" spans="1:10" ht="13.2">
      <c r="A12100" s="7">
        <v>12099</v>
      </c>
      <c r="B12100" s="7">
        <v>1</v>
      </c>
      <c r="C12100" s="7" t="s">
        <v>10</v>
      </c>
      <c r="D12100" s="7">
        <v>18001</v>
      </c>
      <c r="E12100" s="7" t="s">
        <v>11</v>
      </c>
      <c r="F12100" s="8" t="str">
        <f ca="1">IFERROR(__xludf.DUMMYFUNCTION("IF
(
C12101=""фізична особа""
,
VLOOKUP(D12101,IMPORTRANGE(""https://docs.google.com/spreadsheets/d/14Bd19lYaqBhU8_DElYkX7l4wRkHqqCUFNJY4AfY3kHU/edit?usp=sharing  #gid=0"",""фіз особи new!relations_name""),6,FALSE)
,
(IF
(
C12101=""юридична особа""
,
VLOO"&amp;"KUP(D12101,IMPORTRANGE(""https://docs.google.com/spreadsheets/d/14Bd19lYaqBhU8_DElYkX7l4wRkHqqCUFNJY4AfY3kHU/edit?usp=sharing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100" s="7" t="s">
        <v>10</v>
      </c>
      <c r="H12100" s="7">
        <v>18002</v>
      </c>
      <c r="I12100" s="8" t="str">
        <f ca="1">IFERROR(__xludf.DUMMYFUNCTION("IF
(
G12101=""фізична особа""
,
VLOOKUP(H12101,IMPORTRANGE(""https://docs.google.com/spreadsheets/d/14Bd19lYaqBhU8_DElYkX7l4wRkHqqCUFNJY4AfY3kHU/edit?usp=sharing  #gid=0"",""фіз особи new!relations_name""),6,FALSE)
,
(IF
(
G12101=""юридична особа""
,
VLOO"&amp;"KUP(H12101,IMPORTRANGE(""https://docs.google.com/spreadsheets/d/14Bd19lYaqBhU8_DElYkX7l4wRkHqqCUFNJY4AfY3kHU/edit?usp=sharing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100" s="7" t="s">
        <v>11</v>
      </c>
    </row>
    <row r="12101" spans="1:10" ht="13.2">
      <c r="A12101" s="7">
        <v>12100</v>
      </c>
      <c r="B12101" s="7">
        <v>1</v>
      </c>
      <c r="C12101" s="7" t="s">
        <v>10</v>
      </c>
      <c r="D12101" s="7">
        <v>18001</v>
      </c>
      <c r="E12101" s="7" t="s">
        <v>11</v>
      </c>
      <c r="F12101" s="8" t="str">
        <f ca="1">IFERROR(__xludf.DUMMYFUNCTION("IF
(
C12102=""фізична особа""
,
VLOOKUP(D12102,IMPORTRANGE(""https://docs.google.com/spreadsheets/d/14Bd19lYaqBhU8_DElYkX7l4wRkHqqCUFNJY4AfY3kHU/edit?usp=sharing  #gid=0"",""фіз особи new!relations_name""),6,FALSE)
,
(IF
(
C12102=""юридична особа""
,
VLOO"&amp;"KUP(D12102,IMPORTRANGE(""https://docs.google.com/spreadsheets/d/14Bd19lYaqBhU8_DElYkX7l4wRkHqqCUFNJY4AfY3kHU/edit?usp=sharing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101" s="7" t="s">
        <v>10</v>
      </c>
      <c r="H12101" s="7">
        <v>18003</v>
      </c>
      <c r="I12101" s="8" t="str">
        <f ca="1">IFERROR(__xludf.DUMMYFUNCTION("IF
(
G12102=""фізична особа""
,
VLOOKUP(H12102,IMPORTRANGE(""https://docs.google.com/spreadsheets/d/14Bd19lYaqBhU8_DElYkX7l4wRkHqqCUFNJY4AfY3kHU/edit?usp=sharing  #gid=0"",""фіз особи new!relations_name""),6,FALSE)
,
(IF
(
G12102=""юридична особа""
,
VLOO"&amp;"KUP(H12102,IMPORTRANGE(""https://docs.google.com/spreadsheets/d/14Bd19lYaqBhU8_DElYkX7l4wRkHqqCUFNJY4AfY3kHU/edit?usp=sharing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101" s="7" t="s">
        <v>11</v>
      </c>
    </row>
    <row r="12102" spans="1:10" ht="13.2">
      <c r="A12102" s="7">
        <v>12101</v>
      </c>
      <c r="B12102" s="7">
        <v>1</v>
      </c>
      <c r="C12102" s="7" t="s">
        <v>10</v>
      </c>
      <c r="D12102" s="7">
        <v>18001</v>
      </c>
      <c r="E12102" s="7" t="s">
        <v>11</v>
      </c>
      <c r="F12102" s="8" t="str">
        <f ca="1">IFERROR(__xludf.DUMMYFUNCTION("IF
(
C12103=""фізична особа""
,
VLOOKUP(D12103,IMPORTRANGE(""https://docs.google.com/spreadsheets/d/14Bd19lYaqBhU8_DElYkX7l4wRkHqqCUFNJY4AfY3kHU/edit?usp=sharing  #gid=0"",""фіз особи new!relations_name""),6,FALSE)
,
(IF
(
C12103=""юридична особа""
,
VLOO"&amp;"KUP(D12103,IMPORTRANGE(""https://docs.google.com/spreadsheets/d/14Bd19lYaqBhU8_DElYkX7l4wRkHqqCUFNJY4AfY3kHU/edit?usp=sharing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G12102" s="7" t="s">
        <v>10</v>
      </c>
      <c r="H12102" s="7">
        <v>18004</v>
      </c>
      <c r="I12102" s="8" t="str">
        <f ca="1">IFERROR(__xludf.DUMMYFUNCTION("IF
(
G12103=""фізична особа""
,
VLOOKUP(H12103,IMPORTRANGE(""https://docs.google.com/spreadsheets/d/14Bd19lYaqBhU8_DElYkX7l4wRkHqqCUFNJY4AfY3kHU/edit?usp=sharing  #gid=0"",""фіз особи new!relations_name""),6,FALSE)
,
(IF
(
G12103=""юридична особа""
,
VLOO"&amp;"KUP(H12103,IMPORTRANGE(""https://docs.google.com/spreadsheets/d/14Bd19lYaqBhU8_DElYkX7l4wRkHqqCUFNJY4AfY3kHU/edit?usp=sharing  #gid=0"",""фіз особи new!relations_name_uo""),7,FALSE)
,
)
))"),"ЮНХАО Бо")</f>
        <v>ЮНХАО Бо</v>
      </c>
      <c r="J12102" s="7" t="s">
        <v>11</v>
      </c>
    </row>
    <row r="12103" spans="1:10" ht="13.2">
      <c r="A12103" s="7">
        <v>12102</v>
      </c>
      <c r="B12103" s="7">
        <v>1</v>
      </c>
      <c r="C12103" s="7" t="s">
        <v>10</v>
      </c>
      <c r="D12103" s="7">
        <v>18002</v>
      </c>
      <c r="E12103" s="7" t="s">
        <v>11</v>
      </c>
      <c r="F12103" s="8" t="str">
        <f ca="1">IFERROR(__xludf.DUMMYFUNCTION("IF
(
C12104=""фізична особа""
,
VLOOKUP(D12104,IMPORTRANGE(""https://docs.google.com/spreadsheets/d/14Bd19lYaqBhU8_DElYkX7l4wRkHqqCUFNJY4AfY3kHU/edit?usp=sharing  #gid=0"",""фіз особи new!relations_name""),6,FALSE)
,
(IF
(
C12104=""юридична особа""
,
VLOO"&amp;"KUP(D12104,IMPORTRANGE(""https://docs.google.com/spreadsheets/d/14Bd19lYaqBhU8_DElYkX7l4wRkHqqCUFNJY4AfY3kHU/edit?usp=sharing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3" s="7" t="s">
        <v>10</v>
      </c>
      <c r="H12103" s="7">
        <v>17994</v>
      </c>
      <c r="I12103" s="8" t="str">
        <f ca="1">IFERROR(__xludf.DUMMYFUNCTION("IF
(
G12104=""фізична особа""
,
VLOOKUP(H12104,IMPORTRANGE(""https://docs.google.com/spreadsheets/d/14Bd19lYaqBhU8_DElYkX7l4wRkHqqCUFNJY4AfY3kHU/edit?usp=sharing  #gid=0"",""фіз особи new!relations_name""),6,FALSE)
,
(IF
(
G12104=""юридична особа""
,
VLOO"&amp;"KUP(H12104,IMPORTRANGE(""https://docs.google.com/spreadsheets/d/14Bd19lYaqBhU8_DElYkX7l4wRkHqqCUFNJY4AfY3kHU/edit?usp=sharing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103" s="7" t="s">
        <v>11</v>
      </c>
    </row>
    <row r="12104" spans="1:10" ht="13.2">
      <c r="A12104" s="7">
        <v>12103</v>
      </c>
      <c r="B12104" s="7">
        <v>1</v>
      </c>
      <c r="C12104" s="7" t="s">
        <v>10</v>
      </c>
      <c r="D12104" s="7">
        <v>18002</v>
      </c>
      <c r="E12104" s="7" t="s">
        <v>11</v>
      </c>
      <c r="F12104" s="8" t="str">
        <f ca="1">IFERROR(__xludf.DUMMYFUNCTION("IF
(
C12105=""фізична особа""
,
VLOOKUP(D12105,IMPORTRANGE(""https://docs.google.com/spreadsheets/d/14Bd19lYaqBhU8_DElYkX7l4wRkHqqCUFNJY4AfY3kHU/edit?usp=sharing  #gid=0"",""фіз особи new!relations_name""),6,FALSE)
,
(IF
(
C12105=""юридична особа""
,
VLOO"&amp;"KUP(D12105,IMPORTRANGE(""https://docs.google.com/spreadsheets/d/14Bd19lYaqBhU8_DElYkX7l4wRkHqqCUFNJY4AfY3kHU/edit?usp=sharing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4" s="7" t="s">
        <v>10</v>
      </c>
      <c r="H12104" s="7">
        <v>17995</v>
      </c>
      <c r="I12104" s="8" t="str">
        <f ca="1">IFERROR(__xludf.DUMMYFUNCTION("IF
(
G12105=""фізична особа""
,
VLOOKUP(H12105,IMPORTRANGE(""https://docs.google.com/spreadsheets/d/14Bd19lYaqBhU8_DElYkX7l4wRkHqqCUFNJY4AfY3kHU/edit?usp=sharing  #gid=0"",""фіз особи new!relations_name""),6,FALSE)
,
(IF
(
G12105=""юридична особа""
,
VLOO"&amp;"KUP(H12105,IMPORTRANGE(""https://docs.google.com/spreadsheets/d/14Bd19lYaqBhU8_DElYkX7l4wRkHqqCUFNJY4AfY3kHU/edit?usp=sharing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104" s="7" t="s">
        <v>11</v>
      </c>
    </row>
    <row r="12105" spans="1:10" ht="13.2">
      <c r="A12105" s="7">
        <v>12104</v>
      </c>
      <c r="B12105" s="7">
        <v>1</v>
      </c>
      <c r="C12105" s="7" t="s">
        <v>10</v>
      </c>
      <c r="D12105" s="7">
        <v>18002</v>
      </c>
      <c r="E12105" s="7" t="s">
        <v>11</v>
      </c>
      <c r="F12105" s="8" t="str">
        <f ca="1">IFERROR(__xludf.DUMMYFUNCTION("IF
(
C12106=""фізична особа""
,
VLOOKUP(D12106,IMPORTRANGE(""https://docs.google.com/spreadsheets/d/14Bd19lYaqBhU8_DElYkX7l4wRkHqqCUFNJY4AfY3kHU/edit?usp=sharing  #gid=0"",""фіз особи new!relations_name""),6,FALSE)
,
(IF
(
C12106=""юридична особа""
,
VLOO"&amp;"KUP(D12106,IMPORTRANGE(""https://docs.google.com/spreadsheets/d/14Bd19lYaqBhU8_DElYkX7l4wRkHqqCUFNJY4AfY3kHU/edit?usp=sharing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5" s="7" t="s">
        <v>10</v>
      </c>
      <c r="H12105" s="7">
        <v>17996</v>
      </c>
      <c r="I12105" s="8" t="str">
        <f ca="1">IFERROR(__xludf.DUMMYFUNCTION("IF
(
G12106=""фізична особа""
,
VLOOKUP(H12106,IMPORTRANGE(""https://docs.google.com/spreadsheets/d/14Bd19lYaqBhU8_DElYkX7l4wRkHqqCUFNJY4AfY3kHU/edit?usp=sharing  #gid=0"",""фіз особи new!relations_name""),6,FALSE)
,
(IF
(
G12106=""юридична особа""
,
VLOO"&amp;"KUP(H12106,IMPORTRANGE(""https://docs.google.com/spreadsheets/d/14Bd19lYaqBhU8_DElYkX7l4wRkHqqCUFNJY4AfY3kHU/edit?usp=sharing  #gid=0"",""фіз особи new!relations_name_uo""),7,FALSE)
,
)
))"),"ЛЮ Чжи")</f>
        <v>ЛЮ Чжи</v>
      </c>
      <c r="J12105" s="7" t="s">
        <v>11</v>
      </c>
    </row>
    <row r="12106" spans="1:10" ht="13.2">
      <c r="A12106" s="7">
        <v>12105</v>
      </c>
      <c r="B12106" s="7">
        <v>1</v>
      </c>
      <c r="C12106" s="7" t="s">
        <v>10</v>
      </c>
      <c r="D12106" s="7">
        <v>18002</v>
      </c>
      <c r="E12106" s="7" t="s">
        <v>11</v>
      </c>
      <c r="F12106" s="8" t="str">
        <f ca="1">IFERROR(__xludf.DUMMYFUNCTION("IF
(
C12107=""фізична особа""
,
VLOOKUP(D12107,IMPORTRANGE(""https://docs.google.com/spreadsheets/d/14Bd19lYaqBhU8_DElYkX7l4wRkHqqCUFNJY4AfY3kHU/edit?usp=sharing  #gid=0"",""фіз особи new!relations_name""),6,FALSE)
,
(IF
(
C12107=""юридична особа""
,
VLOO"&amp;"KUP(D12107,IMPORTRANGE(""https://docs.google.com/spreadsheets/d/14Bd19lYaqBhU8_DElYkX7l4wRkHqqCUFNJY4AfY3kHU/edit?usp=sharing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6" s="7" t="s">
        <v>10</v>
      </c>
      <c r="H12106" s="7">
        <v>17997</v>
      </c>
      <c r="I12106" s="8" t="str">
        <f ca="1">IFERROR(__xludf.DUMMYFUNCTION("IF
(
G12107=""фізична особа""
,
VLOOKUP(H12107,IMPORTRANGE(""https://docs.google.com/spreadsheets/d/14Bd19lYaqBhU8_DElYkX7l4wRkHqqCUFNJY4AfY3kHU/edit?usp=sharing  #gid=0"",""фіз особи new!relations_name""),6,FALSE)
,
(IF
(
G12107=""юридична особа""
,
VLOO"&amp;"KUP(H12107,IMPORTRANGE(""https://docs.google.com/spreadsheets/d/14Bd19lYaqBhU8_DElYkX7l4wRkHqqCUFNJY4AfY3kHU/edit?usp=sharing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106" s="7" t="s">
        <v>11</v>
      </c>
    </row>
    <row r="12107" spans="1:10" ht="13.2">
      <c r="A12107" s="7">
        <v>12106</v>
      </c>
      <c r="B12107" s="7">
        <v>1</v>
      </c>
      <c r="C12107" s="7" t="s">
        <v>10</v>
      </c>
      <c r="D12107" s="7">
        <v>18002</v>
      </c>
      <c r="E12107" s="7" t="s">
        <v>11</v>
      </c>
      <c r="F12107" s="8" t="str">
        <f ca="1">IFERROR(__xludf.DUMMYFUNCTION("IF
(
C12108=""фізична особа""
,
VLOOKUP(D12108,IMPORTRANGE(""https://docs.google.com/spreadsheets/d/14Bd19lYaqBhU8_DElYkX7l4wRkHqqCUFNJY4AfY3kHU/edit?usp=sharing  #gid=0"",""фіз особи new!relations_name""),6,FALSE)
,
(IF
(
C12108=""юридична особа""
,
VLOO"&amp;"KUP(D12108,IMPORTRANGE(""https://docs.google.com/spreadsheets/d/14Bd19lYaqBhU8_DElYkX7l4wRkHqqCUFNJY4AfY3kHU/edit?usp=sharing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7" s="7" t="s">
        <v>10</v>
      </c>
      <c r="H12107" s="7">
        <v>17998</v>
      </c>
      <c r="I12107" s="8" t="str">
        <f ca="1">IFERROR(__xludf.DUMMYFUNCTION("IF
(
G12108=""фізична особа""
,
VLOOKUP(H12108,IMPORTRANGE(""https://docs.google.com/spreadsheets/d/14Bd19lYaqBhU8_DElYkX7l4wRkHqqCUFNJY4AfY3kHU/edit?usp=sharing  #gid=0"",""фіз особи new!relations_name""),6,FALSE)
,
(IF
(
G12108=""юридична особа""
,
VLOO"&amp;"KUP(H12108,IMPORTRANGE(""https://docs.google.com/spreadsheets/d/14Bd19lYaqBhU8_DElYkX7l4wRkHqqCUFNJY4AfY3kHU/edit?usp=sharing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107" s="7" t="s">
        <v>11</v>
      </c>
    </row>
    <row r="12108" spans="1:10" ht="13.2">
      <c r="A12108" s="7">
        <v>12107</v>
      </c>
      <c r="B12108" s="7">
        <v>1</v>
      </c>
      <c r="C12108" s="7" t="s">
        <v>10</v>
      </c>
      <c r="D12108" s="7">
        <v>18002</v>
      </c>
      <c r="E12108" s="7" t="s">
        <v>11</v>
      </c>
      <c r="F12108" s="8" t="str">
        <f ca="1">IFERROR(__xludf.DUMMYFUNCTION("IF
(
C12109=""фізична особа""
,
VLOOKUP(D12109,IMPORTRANGE(""https://docs.google.com/spreadsheets/d/14Bd19lYaqBhU8_DElYkX7l4wRkHqqCUFNJY4AfY3kHU/edit?usp=sharing  #gid=0"",""фіз особи new!relations_name""),6,FALSE)
,
(IF
(
C12109=""юридична особа""
,
VLOO"&amp;"KUP(D12109,IMPORTRANGE(""https://docs.google.com/spreadsheets/d/14Bd19lYaqBhU8_DElYkX7l4wRkHqqCUFNJY4AfY3kHU/edit?usp=sharing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8" s="7" t="s">
        <v>10</v>
      </c>
      <c r="H12108" s="7">
        <v>17999</v>
      </c>
      <c r="I12108" s="8" t="str">
        <f ca="1">IFERROR(__xludf.DUMMYFUNCTION("IF
(
G12109=""фізична особа""
,
VLOOKUP(H12109,IMPORTRANGE(""https://docs.google.com/spreadsheets/d/14Bd19lYaqBhU8_DElYkX7l4wRkHqqCUFNJY4AfY3kHU/edit?usp=sharing  #gid=0"",""фіз особи new!relations_name""),6,FALSE)
,
(IF
(
G12109=""юридична особа""
,
VLOO"&amp;"KUP(H12109,IMPORTRANGE(""https://docs.google.com/spreadsheets/d/14Bd19lYaqBhU8_DElYkX7l4wRkHqqCUFNJY4AfY3kHU/edit?usp=sharing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108" s="7" t="s">
        <v>11</v>
      </c>
    </row>
    <row r="12109" spans="1:10" ht="13.2">
      <c r="A12109" s="7">
        <v>12108</v>
      </c>
      <c r="B12109" s="7">
        <v>1</v>
      </c>
      <c r="C12109" s="7" t="s">
        <v>10</v>
      </c>
      <c r="D12109" s="7">
        <v>18002</v>
      </c>
      <c r="E12109" s="7" t="s">
        <v>11</v>
      </c>
      <c r="F12109" s="8" t="str">
        <f ca="1">IFERROR(__xludf.DUMMYFUNCTION("IF
(
C12110=""фізична особа""
,
VLOOKUP(D12110,IMPORTRANGE(""https://docs.google.com/spreadsheets/d/14Bd19lYaqBhU8_DElYkX7l4wRkHqqCUFNJY4AfY3kHU/edit?usp=sharing  #gid=0"",""фіз особи new!relations_name""),6,FALSE)
,
(IF
(
C12110=""юридична особа""
,
VLOO"&amp;"KUP(D12110,IMPORTRANGE(""https://docs.google.com/spreadsheets/d/14Bd19lYaqBhU8_DElYkX7l4wRkHqqCUFNJY4AfY3kHU/edit?usp=sharing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09" s="7" t="s">
        <v>10</v>
      </c>
      <c r="H12109" s="7">
        <v>18000</v>
      </c>
      <c r="I12109" s="8" t="str">
        <f ca="1">IFERROR(__xludf.DUMMYFUNCTION("IF
(
G12110=""фізична особа""
,
VLOOKUP(H12110,IMPORTRANGE(""https://docs.google.com/spreadsheets/d/14Bd19lYaqBhU8_DElYkX7l4wRkHqqCUFNJY4AfY3kHU/edit?usp=sharing  #gid=0"",""фіз особи new!relations_name""),6,FALSE)
,
(IF
(
G12110=""юридична особа""
,
VLOO"&amp;"KUP(H12110,IMPORTRANGE(""https://docs.google.com/spreadsheets/d/14Bd19lYaqBhU8_DElYkX7l4wRkHqqCUFNJY4AfY3kHU/edit?usp=sharing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109" s="7" t="s">
        <v>11</v>
      </c>
    </row>
    <row r="12110" spans="1:10" ht="13.2">
      <c r="A12110" s="7">
        <v>12109</v>
      </c>
      <c r="B12110" s="7">
        <v>1</v>
      </c>
      <c r="C12110" s="7" t="s">
        <v>10</v>
      </c>
      <c r="D12110" s="7">
        <v>18002</v>
      </c>
      <c r="E12110" s="7" t="s">
        <v>11</v>
      </c>
      <c r="F12110" s="8" t="str">
        <f ca="1">IFERROR(__xludf.DUMMYFUNCTION("IF
(
C12111=""фізична особа""
,
VLOOKUP(D12111,IMPORTRANGE(""https://docs.google.com/spreadsheets/d/14Bd19lYaqBhU8_DElYkX7l4wRkHqqCUFNJY4AfY3kHU/edit?usp=sharing  #gid=0"",""фіз особи new!relations_name""),6,FALSE)
,
(IF
(
C12111=""юридична особа""
,
VLOO"&amp;"KUP(D12111,IMPORTRANGE(""https://docs.google.com/spreadsheets/d/14Bd19lYaqBhU8_DElYkX7l4wRkHqqCUFNJY4AfY3kHU/edit?usp=sharing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10" s="7" t="s">
        <v>10</v>
      </c>
      <c r="H12110" s="7">
        <v>18001</v>
      </c>
      <c r="I12110" s="8" t="str">
        <f ca="1">IFERROR(__xludf.DUMMYFUNCTION("IF
(
G12111=""фізична особа""
,
VLOOKUP(H12111,IMPORTRANGE(""https://docs.google.com/spreadsheets/d/14Bd19lYaqBhU8_DElYkX7l4wRkHqqCUFNJY4AfY3kHU/edit?usp=sharing  #gid=0"",""фіз особи new!relations_name""),6,FALSE)
,
(IF
(
G12111=""юридична особа""
,
VLOO"&amp;"KUP(H12111,IMPORTRANGE(""https://docs.google.com/spreadsheets/d/14Bd19lYaqBhU8_DElYkX7l4wRkHqqCUFNJY4AfY3kHU/edit?usp=sharing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110" s="7" t="s">
        <v>11</v>
      </c>
    </row>
    <row r="12111" spans="1:10" ht="13.2">
      <c r="A12111" s="7">
        <v>12110</v>
      </c>
      <c r="B12111" s="7">
        <v>1</v>
      </c>
      <c r="C12111" s="7" t="s">
        <v>10</v>
      </c>
      <c r="D12111" s="7">
        <v>18002</v>
      </c>
      <c r="E12111" s="7" t="s">
        <v>11</v>
      </c>
      <c r="F12111" s="8" t="str">
        <f ca="1">IFERROR(__xludf.DUMMYFUNCTION("IF
(
C12112=""фізична особа""
,
VLOOKUP(D12112,IMPORTRANGE(""https://docs.google.com/spreadsheets/d/14Bd19lYaqBhU8_DElYkX7l4wRkHqqCUFNJY4AfY3kHU/edit?usp=sharing  #gid=0"",""фіз особи new!relations_name""),6,FALSE)
,
(IF
(
C12112=""юридична особа""
,
VLOO"&amp;"KUP(D12112,IMPORTRANGE(""https://docs.google.com/spreadsheets/d/14Bd19lYaqBhU8_DElYkX7l4wRkHqqCUFNJY4AfY3kHU/edit?usp=sharing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11" s="7" t="s">
        <v>10</v>
      </c>
      <c r="H12111" s="7">
        <v>18003</v>
      </c>
      <c r="I12111" s="8" t="str">
        <f ca="1">IFERROR(__xludf.DUMMYFUNCTION("IF
(
G12112=""фізична особа""
,
VLOOKUP(H12112,IMPORTRANGE(""https://docs.google.com/spreadsheets/d/14Bd19lYaqBhU8_DElYkX7l4wRkHqqCUFNJY4AfY3kHU/edit?usp=sharing  #gid=0"",""фіз особи new!relations_name""),6,FALSE)
,
(IF
(
G12112=""юридична особа""
,
VLOO"&amp;"KUP(H12112,IMPORTRANGE(""https://docs.google.com/spreadsheets/d/14Bd19lYaqBhU8_DElYkX7l4wRkHqqCUFNJY4AfY3kHU/edit?usp=sharing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111" s="7" t="s">
        <v>11</v>
      </c>
    </row>
    <row r="12112" spans="1:10" ht="13.2">
      <c r="A12112" s="7">
        <v>12111</v>
      </c>
      <c r="B12112" s="7">
        <v>1</v>
      </c>
      <c r="C12112" s="7" t="s">
        <v>10</v>
      </c>
      <c r="D12112" s="7">
        <v>18002</v>
      </c>
      <c r="E12112" s="7" t="s">
        <v>11</v>
      </c>
      <c r="F12112" s="8" t="str">
        <f ca="1">IFERROR(__xludf.DUMMYFUNCTION("IF
(
C12113=""фізична особа""
,
VLOOKUP(D12113,IMPORTRANGE(""https://docs.google.com/spreadsheets/d/14Bd19lYaqBhU8_DElYkX7l4wRkHqqCUFNJY4AfY3kHU/edit?usp=sharing  #gid=0"",""фіз особи new!relations_name""),6,FALSE)
,
(IF
(
C12113=""юридична особа""
,
VLOO"&amp;"KUP(D12113,IMPORTRANGE(""https://docs.google.com/spreadsheets/d/14Bd19lYaqBhU8_DElYkX7l4wRkHqqCUFNJY4AfY3kHU/edit?usp=sharing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G12112" s="7" t="s">
        <v>10</v>
      </c>
      <c r="H12112" s="7">
        <v>18004</v>
      </c>
      <c r="I12112" s="8" t="str">
        <f ca="1">IFERROR(__xludf.DUMMYFUNCTION("IF
(
G12113=""фізична особа""
,
VLOOKUP(H12113,IMPORTRANGE(""https://docs.google.com/spreadsheets/d/14Bd19lYaqBhU8_DElYkX7l4wRkHqqCUFNJY4AfY3kHU/edit?usp=sharing  #gid=0"",""фіз особи new!relations_name""),6,FALSE)
,
(IF
(
G12113=""юридична особа""
,
VLOO"&amp;"KUP(H12113,IMPORTRANGE(""https://docs.google.com/spreadsheets/d/14Bd19lYaqBhU8_DElYkX7l4wRkHqqCUFNJY4AfY3kHU/edit?usp=sharing  #gid=0"",""фіз особи new!relations_name_uo""),7,FALSE)
,
)
))"),"ЮНХАО Бо")</f>
        <v>ЮНХАО Бо</v>
      </c>
      <c r="J12112" s="7" t="s">
        <v>11</v>
      </c>
    </row>
    <row r="12113" spans="1:10" ht="13.2">
      <c r="A12113" s="7">
        <v>12112</v>
      </c>
      <c r="B12113" s="7">
        <v>1</v>
      </c>
      <c r="C12113" s="7" t="s">
        <v>10</v>
      </c>
      <c r="D12113" s="7">
        <v>18003</v>
      </c>
      <c r="E12113" s="7" t="s">
        <v>11</v>
      </c>
      <c r="F12113" s="8" t="str">
        <f ca="1">IFERROR(__xludf.DUMMYFUNCTION("IF
(
C12114=""фізична особа""
,
VLOOKUP(D12114,IMPORTRANGE(""https://docs.google.com/spreadsheets/d/14Bd19lYaqBhU8_DElYkX7l4wRkHqqCUFNJY4AfY3kHU/edit?usp=sharing  #gid=0"",""фіз особи new!relations_name""),6,FALSE)
,
(IF
(
C12114=""юридична особа""
,
VLOO"&amp;"KUP(D12114,IMPORTRANGE(""https://docs.google.com/spreadsheets/d/14Bd19lYaqBhU8_DElYkX7l4wRkHqqCUFNJY4AfY3kHU/edit?usp=sharing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3" s="7" t="s">
        <v>10</v>
      </c>
      <c r="H12113" s="7">
        <v>17994</v>
      </c>
      <c r="I12113" s="8" t="str">
        <f ca="1">IFERROR(__xludf.DUMMYFUNCTION("IF
(
G12114=""фізична особа""
,
VLOOKUP(H12114,IMPORTRANGE(""https://docs.google.com/spreadsheets/d/14Bd19lYaqBhU8_DElYkX7l4wRkHqqCUFNJY4AfY3kHU/edit?usp=sharing  #gid=0"",""фіз особи new!relations_name""),6,FALSE)
,
(IF
(
G12114=""юридична особа""
,
VLOO"&amp;"KUP(H12114,IMPORTRANGE(""https://docs.google.com/spreadsheets/d/14Bd19lYaqBhU8_DElYkX7l4wRkHqqCUFNJY4AfY3kHU/edit?usp=sharing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113" s="7" t="s">
        <v>11</v>
      </c>
    </row>
    <row r="12114" spans="1:10" ht="13.2">
      <c r="A12114" s="7">
        <v>12113</v>
      </c>
      <c r="B12114" s="7">
        <v>1</v>
      </c>
      <c r="C12114" s="7" t="s">
        <v>10</v>
      </c>
      <c r="D12114" s="7">
        <v>18003</v>
      </c>
      <c r="E12114" s="7" t="s">
        <v>11</v>
      </c>
      <c r="F12114" s="8" t="str">
        <f ca="1">IFERROR(__xludf.DUMMYFUNCTION("IF
(
C12115=""фізична особа""
,
VLOOKUP(D12115,IMPORTRANGE(""https://docs.google.com/spreadsheets/d/14Bd19lYaqBhU8_DElYkX7l4wRkHqqCUFNJY4AfY3kHU/edit?usp=sharing  #gid=0"",""фіз особи new!relations_name""),6,FALSE)
,
(IF
(
C12115=""юридична особа""
,
VLOO"&amp;"KUP(D12115,IMPORTRANGE(""https://docs.google.com/spreadsheets/d/14Bd19lYaqBhU8_DElYkX7l4wRkHqqCUFNJY4AfY3kHU/edit?usp=sharing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4" s="7" t="s">
        <v>10</v>
      </c>
      <c r="H12114" s="7">
        <v>17995</v>
      </c>
      <c r="I12114" s="8" t="str">
        <f ca="1">IFERROR(__xludf.DUMMYFUNCTION("IF
(
G12115=""фізична особа""
,
VLOOKUP(H12115,IMPORTRANGE(""https://docs.google.com/spreadsheets/d/14Bd19lYaqBhU8_DElYkX7l4wRkHqqCUFNJY4AfY3kHU/edit?usp=sharing  #gid=0"",""фіз особи new!relations_name""),6,FALSE)
,
(IF
(
G12115=""юридична особа""
,
VLOO"&amp;"KUP(H12115,IMPORTRANGE(""https://docs.google.com/spreadsheets/d/14Bd19lYaqBhU8_DElYkX7l4wRkHqqCUFNJY4AfY3kHU/edit?usp=sharing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114" s="7" t="s">
        <v>11</v>
      </c>
    </row>
    <row r="12115" spans="1:10" ht="13.2">
      <c r="A12115" s="7">
        <v>12114</v>
      </c>
      <c r="B12115" s="7">
        <v>1</v>
      </c>
      <c r="C12115" s="7" t="s">
        <v>10</v>
      </c>
      <c r="D12115" s="7">
        <v>18003</v>
      </c>
      <c r="E12115" s="7" t="s">
        <v>11</v>
      </c>
      <c r="F12115" s="8" t="str">
        <f ca="1">IFERROR(__xludf.DUMMYFUNCTION("IF
(
C12116=""фізична особа""
,
VLOOKUP(D12116,IMPORTRANGE(""https://docs.google.com/spreadsheets/d/14Bd19lYaqBhU8_DElYkX7l4wRkHqqCUFNJY4AfY3kHU/edit?usp=sharing  #gid=0"",""фіз особи new!relations_name""),6,FALSE)
,
(IF
(
C12116=""юридична особа""
,
VLOO"&amp;"KUP(D12116,IMPORTRANGE(""https://docs.google.com/spreadsheets/d/14Bd19lYaqBhU8_DElYkX7l4wRkHqqCUFNJY4AfY3kHU/edit?usp=sharing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5" s="7" t="s">
        <v>10</v>
      </c>
      <c r="H12115" s="7">
        <v>17996</v>
      </c>
      <c r="I12115" s="8" t="str">
        <f ca="1">IFERROR(__xludf.DUMMYFUNCTION("IF
(
G12116=""фізична особа""
,
VLOOKUP(H12116,IMPORTRANGE(""https://docs.google.com/spreadsheets/d/14Bd19lYaqBhU8_DElYkX7l4wRkHqqCUFNJY4AfY3kHU/edit?usp=sharing  #gid=0"",""фіз особи new!relations_name""),6,FALSE)
,
(IF
(
G12116=""юридична особа""
,
VLOO"&amp;"KUP(H12116,IMPORTRANGE(""https://docs.google.com/spreadsheets/d/14Bd19lYaqBhU8_DElYkX7l4wRkHqqCUFNJY4AfY3kHU/edit?usp=sharing  #gid=0"",""фіз особи new!relations_name_uo""),7,FALSE)
,
)
))"),"ЛЮ Чжи")</f>
        <v>ЛЮ Чжи</v>
      </c>
      <c r="J12115" s="7" t="s">
        <v>11</v>
      </c>
    </row>
    <row r="12116" spans="1:10" ht="13.2">
      <c r="A12116" s="7">
        <v>12115</v>
      </c>
      <c r="B12116" s="7">
        <v>1</v>
      </c>
      <c r="C12116" s="7" t="s">
        <v>10</v>
      </c>
      <c r="D12116" s="7">
        <v>18003</v>
      </c>
      <c r="E12116" s="7" t="s">
        <v>11</v>
      </c>
      <c r="F12116" s="8" t="str">
        <f ca="1">IFERROR(__xludf.DUMMYFUNCTION("IF
(
C12117=""фізична особа""
,
VLOOKUP(D12117,IMPORTRANGE(""https://docs.google.com/spreadsheets/d/14Bd19lYaqBhU8_DElYkX7l4wRkHqqCUFNJY4AfY3kHU/edit?usp=sharing  #gid=0"",""фіз особи new!relations_name""),6,FALSE)
,
(IF
(
C12117=""юридична особа""
,
VLOO"&amp;"KUP(D12117,IMPORTRANGE(""https://docs.google.com/spreadsheets/d/14Bd19lYaqBhU8_DElYkX7l4wRkHqqCUFNJY4AfY3kHU/edit?usp=sharing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6" s="7" t="s">
        <v>10</v>
      </c>
      <c r="H12116" s="7">
        <v>17997</v>
      </c>
      <c r="I12116" s="8" t="str">
        <f ca="1">IFERROR(__xludf.DUMMYFUNCTION("IF
(
G12117=""фізична особа""
,
VLOOKUP(H12117,IMPORTRANGE(""https://docs.google.com/spreadsheets/d/14Bd19lYaqBhU8_DElYkX7l4wRkHqqCUFNJY4AfY3kHU/edit?usp=sharing  #gid=0"",""фіз особи new!relations_name""),6,FALSE)
,
(IF
(
G12117=""юридична особа""
,
VLOO"&amp;"KUP(H12117,IMPORTRANGE(""https://docs.google.com/spreadsheets/d/14Bd19lYaqBhU8_DElYkX7l4wRkHqqCUFNJY4AfY3kHU/edit?usp=sharing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116" s="7" t="s">
        <v>11</v>
      </c>
    </row>
    <row r="12117" spans="1:10" ht="13.2">
      <c r="A12117" s="7">
        <v>12116</v>
      </c>
      <c r="B12117" s="7">
        <v>1</v>
      </c>
      <c r="C12117" s="7" t="s">
        <v>10</v>
      </c>
      <c r="D12117" s="7">
        <v>18003</v>
      </c>
      <c r="E12117" s="7" t="s">
        <v>11</v>
      </c>
      <c r="F12117" s="8" t="str">
        <f ca="1">IFERROR(__xludf.DUMMYFUNCTION("IF
(
C12118=""фізична особа""
,
VLOOKUP(D12118,IMPORTRANGE(""https://docs.google.com/spreadsheets/d/14Bd19lYaqBhU8_DElYkX7l4wRkHqqCUFNJY4AfY3kHU/edit?usp=sharing  #gid=0"",""фіз особи new!relations_name""),6,FALSE)
,
(IF
(
C12118=""юридична особа""
,
VLOO"&amp;"KUP(D12118,IMPORTRANGE(""https://docs.google.com/spreadsheets/d/14Bd19lYaqBhU8_DElYkX7l4wRkHqqCUFNJY4AfY3kHU/edit?usp=sharing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7" s="7" t="s">
        <v>10</v>
      </c>
      <c r="H12117" s="7">
        <v>17998</v>
      </c>
      <c r="I12117" s="8" t="str">
        <f ca="1">IFERROR(__xludf.DUMMYFUNCTION("IF
(
G12118=""фізична особа""
,
VLOOKUP(H12118,IMPORTRANGE(""https://docs.google.com/spreadsheets/d/14Bd19lYaqBhU8_DElYkX7l4wRkHqqCUFNJY4AfY3kHU/edit?usp=sharing  #gid=0"",""фіз особи new!relations_name""),6,FALSE)
,
(IF
(
G12118=""юридична особа""
,
VLOO"&amp;"KUP(H12118,IMPORTRANGE(""https://docs.google.com/spreadsheets/d/14Bd19lYaqBhU8_DElYkX7l4wRkHqqCUFNJY4AfY3kHU/edit?usp=sharing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117" s="7" t="s">
        <v>11</v>
      </c>
    </row>
    <row r="12118" spans="1:10" ht="13.2">
      <c r="A12118" s="7">
        <v>12117</v>
      </c>
      <c r="B12118" s="7">
        <v>1</v>
      </c>
      <c r="C12118" s="7" t="s">
        <v>10</v>
      </c>
      <c r="D12118" s="7">
        <v>18003</v>
      </c>
      <c r="E12118" s="7" t="s">
        <v>11</v>
      </c>
      <c r="F12118" s="8" t="str">
        <f ca="1">IFERROR(__xludf.DUMMYFUNCTION("IF
(
C12119=""фізична особа""
,
VLOOKUP(D12119,IMPORTRANGE(""https://docs.google.com/spreadsheets/d/14Bd19lYaqBhU8_DElYkX7l4wRkHqqCUFNJY4AfY3kHU/edit?usp=sharing  #gid=0"",""фіз особи new!relations_name""),6,FALSE)
,
(IF
(
C12119=""юридична особа""
,
VLOO"&amp;"KUP(D12119,IMPORTRANGE(""https://docs.google.com/spreadsheets/d/14Bd19lYaqBhU8_DElYkX7l4wRkHqqCUFNJY4AfY3kHU/edit?usp=sharing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8" s="7" t="s">
        <v>10</v>
      </c>
      <c r="H12118" s="7">
        <v>17999</v>
      </c>
      <c r="I12118" s="8" t="str">
        <f ca="1">IFERROR(__xludf.DUMMYFUNCTION("IF
(
G12119=""фізична особа""
,
VLOOKUP(H12119,IMPORTRANGE(""https://docs.google.com/spreadsheets/d/14Bd19lYaqBhU8_DElYkX7l4wRkHqqCUFNJY4AfY3kHU/edit?usp=sharing  #gid=0"",""фіз особи new!relations_name""),6,FALSE)
,
(IF
(
G12119=""юридична особа""
,
VLOO"&amp;"KUP(H12119,IMPORTRANGE(""https://docs.google.com/spreadsheets/d/14Bd19lYaqBhU8_DElYkX7l4wRkHqqCUFNJY4AfY3kHU/edit?usp=sharing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118" s="7" t="s">
        <v>11</v>
      </c>
    </row>
    <row r="12119" spans="1:10" ht="13.2">
      <c r="A12119" s="7">
        <v>12118</v>
      </c>
      <c r="B12119" s="7">
        <v>1</v>
      </c>
      <c r="C12119" s="7" t="s">
        <v>10</v>
      </c>
      <c r="D12119" s="7">
        <v>18003</v>
      </c>
      <c r="E12119" s="7" t="s">
        <v>11</v>
      </c>
      <c r="F12119" s="8" t="str">
        <f ca="1">IFERROR(__xludf.DUMMYFUNCTION("IF
(
C12120=""фізична особа""
,
VLOOKUP(D12120,IMPORTRANGE(""https://docs.google.com/spreadsheets/d/14Bd19lYaqBhU8_DElYkX7l4wRkHqqCUFNJY4AfY3kHU/edit?usp=sharing  #gid=0"",""фіз особи new!relations_name""),6,FALSE)
,
(IF
(
C12120=""юридична особа""
,
VLOO"&amp;"KUP(D12120,IMPORTRANGE(""https://docs.google.com/spreadsheets/d/14Bd19lYaqBhU8_DElYkX7l4wRkHqqCUFNJY4AfY3kHU/edit?usp=sharing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19" s="7" t="s">
        <v>10</v>
      </c>
      <c r="H12119" s="7">
        <v>18000</v>
      </c>
      <c r="I12119" s="8" t="str">
        <f ca="1">IFERROR(__xludf.DUMMYFUNCTION("IF
(
G12120=""фізична особа""
,
VLOOKUP(H12120,IMPORTRANGE(""https://docs.google.com/spreadsheets/d/14Bd19lYaqBhU8_DElYkX7l4wRkHqqCUFNJY4AfY3kHU/edit?usp=sharing  #gid=0"",""фіз особи new!relations_name""),6,FALSE)
,
(IF
(
G12120=""юридична особа""
,
VLOO"&amp;"KUP(H12120,IMPORTRANGE(""https://docs.google.com/spreadsheets/d/14Bd19lYaqBhU8_DElYkX7l4wRkHqqCUFNJY4AfY3kHU/edit?usp=sharing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119" s="7" t="s">
        <v>11</v>
      </c>
    </row>
    <row r="12120" spans="1:10" ht="13.2">
      <c r="A12120" s="7">
        <v>12119</v>
      </c>
      <c r="B12120" s="7">
        <v>1</v>
      </c>
      <c r="C12120" s="7" t="s">
        <v>10</v>
      </c>
      <c r="D12120" s="7">
        <v>18003</v>
      </c>
      <c r="E12120" s="7" t="s">
        <v>11</v>
      </c>
      <c r="F12120" s="8" t="str">
        <f ca="1">IFERROR(__xludf.DUMMYFUNCTION("IF
(
C12121=""фізична особа""
,
VLOOKUP(D12121,IMPORTRANGE(""https://docs.google.com/spreadsheets/d/14Bd19lYaqBhU8_DElYkX7l4wRkHqqCUFNJY4AfY3kHU/edit?usp=sharing  #gid=0"",""фіз особи new!relations_name""),6,FALSE)
,
(IF
(
C12121=""юридична особа""
,
VLOO"&amp;"KUP(D12121,IMPORTRANGE(""https://docs.google.com/spreadsheets/d/14Bd19lYaqBhU8_DElYkX7l4wRkHqqCUFNJY4AfY3kHU/edit?usp=sharing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20" s="7" t="s">
        <v>10</v>
      </c>
      <c r="H12120" s="7">
        <v>18001</v>
      </c>
      <c r="I12120" s="8" t="str">
        <f ca="1">IFERROR(__xludf.DUMMYFUNCTION("IF
(
G12121=""фізична особа""
,
VLOOKUP(H12121,IMPORTRANGE(""https://docs.google.com/spreadsheets/d/14Bd19lYaqBhU8_DElYkX7l4wRkHqqCUFNJY4AfY3kHU/edit?usp=sharing  #gid=0"",""фіз особи new!relations_name""),6,FALSE)
,
(IF
(
G12121=""юридична особа""
,
VLOO"&amp;"KUP(H12121,IMPORTRANGE(""https://docs.google.com/spreadsheets/d/14Bd19lYaqBhU8_DElYkX7l4wRkHqqCUFNJY4AfY3kHU/edit?usp=sharing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120" s="7" t="s">
        <v>11</v>
      </c>
    </row>
    <row r="12121" spans="1:10" ht="13.2">
      <c r="A12121" s="7">
        <v>12120</v>
      </c>
      <c r="B12121" s="7">
        <v>1</v>
      </c>
      <c r="C12121" s="7" t="s">
        <v>10</v>
      </c>
      <c r="D12121" s="7">
        <v>18003</v>
      </c>
      <c r="E12121" s="7" t="s">
        <v>11</v>
      </c>
      <c r="F12121" s="8" t="str">
        <f ca="1">IFERROR(__xludf.DUMMYFUNCTION("IF
(
C12122=""фізична особа""
,
VLOOKUP(D12122,IMPORTRANGE(""https://docs.google.com/spreadsheets/d/14Bd19lYaqBhU8_DElYkX7l4wRkHqqCUFNJY4AfY3kHU/edit?usp=sharing  #gid=0"",""фіз особи new!relations_name""),6,FALSE)
,
(IF
(
C12122=""юридична особа""
,
VLOO"&amp;"KUP(D12122,IMPORTRANGE(""https://docs.google.com/spreadsheets/d/14Bd19lYaqBhU8_DElYkX7l4wRkHqqCUFNJY4AfY3kHU/edit?usp=sharing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21" s="7" t="s">
        <v>10</v>
      </c>
      <c r="H12121" s="7">
        <v>18002</v>
      </c>
      <c r="I12121" s="8" t="str">
        <f ca="1">IFERROR(__xludf.DUMMYFUNCTION("IF
(
G12122=""фізична особа""
,
VLOOKUP(H12122,IMPORTRANGE(""https://docs.google.com/spreadsheets/d/14Bd19lYaqBhU8_DElYkX7l4wRkHqqCUFNJY4AfY3kHU/edit?usp=sharing  #gid=0"",""фіз особи new!relations_name""),6,FALSE)
,
(IF
(
G12122=""юридична особа""
,
VLOO"&amp;"KUP(H12122,IMPORTRANGE(""https://docs.google.com/spreadsheets/d/14Bd19lYaqBhU8_DElYkX7l4wRkHqqCUFNJY4AfY3kHU/edit?usp=sharing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121" s="7" t="s">
        <v>11</v>
      </c>
    </row>
    <row r="12122" spans="1:10" ht="13.2">
      <c r="A12122" s="7">
        <v>12121</v>
      </c>
      <c r="B12122" s="7">
        <v>1</v>
      </c>
      <c r="C12122" s="7" t="s">
        <v>10</v>
      </c>
      <c r="D12122" s="7">
        <v>18003</v>
      </c>
      <c r="E12122" s="7" t="s">
        <v>11</v>
      </c>
      <c r="F12122" s="8" t="str">
        <f ca="1">IFERROR(__xludf.DUMMYFUNCTION("IF
(
C12123=""фізична особа""
,
VLOOKUP(D12123,IMPORTRANGE(""https://docs.google.com/spreadsheets/d/14Bd19lYaqBhU8_DElYkX7l4wRkHqqCUFNJY4AfY3kHU/edit?usp=sharing  #gid=0"",""фіз особи new!relations_name""),6,FALSE)
,
(IF
(
C12123=""юридична особа""
,
VLOO"&amp;"KUP(D12123,IMPORTRANGE(""https://docs.google.com/spreadsheets/d/14Bd19lYaqBhU8_DElYkX7l4wRkHqqCUFNJY4AfY3kHU/edit?usp=sharing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G12122" s="7" t="s">
        <v>10</v>
      </c>
      <c r="H12122" s="7">
        <v>18004</v>
      </c>
      <c r="I12122" s="8" t="str">
        <f ca="1">IFERROR(__xludf.DUMMYFUNCTION("IF
(
G12123=""фізична особа""
,
VLOOKUP(H12123,IMPORTRANGE(""https://docs.google.com/spreadsheets/d/14Bd19lYaqBhU8_DElYkX7l4wRkHqqCUFNJY4AfY3kHU/edit?usp=sharing  #gid=0"",""фіз особи new!relations_name""),6,FALSE)
,
(IF
(
G12123=""юридична особа""
,
VLOO"&amp;"KUP(H12123,IMPORTRANGE(""https://docs.google.com/spreadsheets/d/14Bd19lYaqBhU8_DElYkX7l4wRkHqqCUFNJY4AfY3kHU/edit?usp=sharing  #gid=0"",""фіз особи new!relations_name_uo""),7,FALSE)
,
)
))"),"ЮНХАО Бо")</f>
        <v>ЮНХАО Бо</v>
      </c>
      <c r="J12122" s="7" t="s">
        <v>11</v>
      </c>
    </row>
    <row r="12123" spans="1:10" ht="13.2">
      <c r="A12123" s="7">
        <v>12122</v>
      </c>
      <c r="B12123" s="7">
        <v>1</v>
      </c>
      <c r="C12123" s="7" t="s">
        <v>10</v>
      </c>
      <c r="D12123" s="7">
        <v>18004</v>
      </c>
      <c r="E12123" s="7" t="s">
        <v>11</v>
      </c>
      <c r="F12123" s="8" t="str">
        <f ca="1">IFERROR(__xludf.DUMMYFUNCTION("IF
(
C12124=""фізична особа""
,
VLOOKUP(D12124,IMPORTRANGE(""https://docs.google.com/spreadsheets/d/14Bd19lYaqBhU8_DElYkX7l4wRkHqqCUFNJY4AfY3kHU/edit?usp=sharing  #gid=0"",""фіз особи new!relations_name""),6,FALSE)
,
(IF
(
C12124=""юридична особа""
,
VLOO"&amp;"KUP(D12124,IMPORTRANGE(""https://docs.google.com/spreadsheets/d/14Bd19lYaqBhU8_DElYkX7l4wRkHqqCUFNJY4AfY3kHU/edit?usp=sharing  #gid=0"",""фіз особи new!relations_name_uo""),7,FALSE)
,
)
))"),"ЮНХАО Бо")</f>
        <v>ЮНХАО Бо</v>
      </c>
      <c r="G12123" s="7" t="s">
        <v>10</v>
      </c>
      <c r="H12123" s="7">
        <v>17994</v>
      </c>
      <c r="I12123" s="8" t="str">
        <f ca="1">IFERROR(__xludf.DUMMYFUNCTION("IF
(
G12124=""фізична особа""
,
VLOOKUP(H12124,IMPORTRANGE(""https://docs.google.com/spreadsheets/d/14Bd19lYaqBhU8_DElYkX7l4wRkHqqCUFNJY4AfY3kHU/edit?usp=sharing  #gid=0"",""фіз особи new!relations_name""),6,FALSE)
,
(IF
(
G12124=""юридична особа""
,
VLOO"&amp;"KUP(H12124,IMPORTRANGE(""https://docs.google.com/spreadsheets/d/14Bd19lYaqBhU8_DElYkX7l4wRkHqqCUFNJY4AfY3kHU/edit?usp=sharing  #gid=0"",""фіз особи new!relations_name_uo""),7,FALSE)
,
)
))"),"КОЛЕСНІКОВ Ігор Олександрович")</f>
        <v>КОЛЕСНІКОВ Ігор Олександрович</v>
      </c>
      <c r="J12123" s="7" t="s">
        <v>11</v>
      </c>
    </row>
    <row r="12124" spans="1:10" ht="13.2">
      <c r="A12124" s="7">
        <v>12123</v>
      </c>
      <c r="B12124" s="7">
        <v>1</v>
      </c>
      <c r="C12124" s="7" t="s">
        <v>10</v>
      </c>
      <c r="D12124" s="7">
        <v>18004</v>
      </c>
      <c r="E12124" s="7" t="s">
        <v>11</v>
      </c>
      <c r="F12124" s="8" t="str">
        <f ca="1">IFERROR(__xludf.DUMMYFUNCTION("IF
(
C12125=""фізична особа""
,
VLOOKUP(D12125,IMPORTRANGE(""https://docs.google.com/spreadsheets/d/14Bd19lYaqBhU8_DElYkX7l4wRkHqqCUFNJY4AfY3kHU/edit?usp=sharing  #gid=0"",""фіз особи new!relations_name""),6,FALSE)
,
(IF
(
C12125=""юридична особа""
,
VLOO"&amp;"KUP(D12125,IMPORTRANGE(""https://docs.google.com/spreadsheets/d/14Bd19lYaqBhU8_DElYkX7l4wRkHqqCUFNJY4AfY3kHU/edit?usp=sharing  #gid=0"",""фіз особи new!relations_name_uo""),7,FALSE)
,
)
))"),"ЮНХАО Бо")</f>
        <v>ЮНХАО Бо</v>
      </c>
      <c r="G12124" s="7" t="s">
        <v>10</v>
      </c>
      <c r="H12124" s="7">
        <v>17995</v>
      </c>
      <c r="I12124" s="8" t="str">
        <f ca="1">IFERROR(__xludf.DUMMYFUNCTION("IF
(
G12125=""фізична особа""
,
VLOOKUP(H12125,IMPORTRANGE(""https://docs.google.com/spreadsheets/d/14Bd19lYaqBhU8_DElYkX7l4wRkHqqCUFNJY4AfY3kHU/edit?usp=sharing  #gid=0"",""фіз особи new!relations_name""),6,FALSE)
,
(IF
(
G12125=""юридична особа""
,
VLOO"&amp;"KUP(H12125,IMPORTRANGE(""https://docs.google.com/spreadsheets/d/14Bd19lYaqBhU8_DElYkX7l4wRkHqqCUFNJY4AfY3kHU/edit?usp=sharing  #gid=0"",""фіз особи new!relations_name_uo""),7,FALSE)
,
)
))"),"ЧАСНИК Ігор Олегович")</f>
        <v>ЧАСНИК Ігор Олегович</v>
      </c>
      <c r="J12124" s="7" t="s">
        <v>11</v>
      </c>
    </row>
    <row r="12125" spans="1:10" ht="13.2">
      <c r="A12125" s="7">
        <v>12124</v>
      </c>
      <c r="B12125" s="7">
        <v>1</v>
      </c>
      <c r="C12125" s="7" t="s">
        <v>10</v>
      </c>
      <c r="D12125" s="7">
        <v>18004</v>
      </c>
      <c r="E12125" s="7" t="s">
        <v>11</v>
      </c>
      <c r="F12125" s="8" t="str">
        <f ca="1">IFERROR(__xludf.DUMMYFUNCTION("IF
(
C12126=""фізична особа""
,
VLOOKUP(D12126,IMPORTRANGE(""https://docs.google.com/spreadsheets/d/14Bd19lYaqBhU8_DElYkX7l4wRkHqqCUFNJY4AfY3kHU/edit?usp=sharing  #gid=0"",""фіз особи new!relations_name""),6,FALSE)
,
(IF
(
C12126=""юридична особа""
,
VLOO"&amp;"KUP(D12126,IMPORTRANGE(""https://docs.google.com/spreadsheets/d/14Bd19lYaqBhU8_DElYkX7l4wRkHqqCUFNJY4AfY3kHU/edit?usp=sharing  #gid=0"",""фіз особи new!relations_name_uo""),7,FALSE)
,
)
))"),"ЮНХАО Бо")</f>
        <v>ЮНХАО Бо</v>
      </c>
      <c r="G12125" s="7" t="s">
        <v>10</v>
      </c>
      <c r="H12125" s="7">
        <v>17996</v>
      </c>
      <c r="I12125" s="8" t="str">
        <f ca="1">IFERROR(__xludf.DUMMYFUNCTION("IF
(
G12126=""фізична особа""
,
VLOOKUP(H12126,IMPORTRANGE(""https://docs.google.com/spreadsheets/d/14Bd19lYaqBhU8_DElYkX7l4wRkHqqCUFNJY4AfY3kHU/edit?usp=sharing  #gid=0"",""фіз особи new!relations_name""),6,FALSE)
,
(IF
(
G12126=""юридична особа""
,
VLOO"&amp;"KUP(H12126,IMPORTRANGE(""https://docs.google.com/spreadsheets/d/14Bd19lYaqBhU8_DElYkX7l4wRkHqqCUFNJY4AfY3kHU/edit?usp=sharing  #gid=0"",""фіз особи new!relations_name_uo""),7,FALSE)
,
)
))"),"ЛЮ Чжи")</f>
        <v>ЛЮ Чжи</v>
      </c>
      <c r="J12125" s="7" t="s">
        <v>11</v>
      </c>
    </row>
    <row r="12126" spans="1:10" ht="13.2">
      <c r="A12126" s="7">
        <v>12125</v>
      </c>
      <c r="B12126" s="7">
        <v>1</v>
      </c>
      <c r="C12126" s="7" t="s">
        <v>10</v>
      </c>
      <c r="D12126" s="7">
        <v>18004</v>
      </c>
      <c r="E12126" s="7" t="s">
        <v>11</v>
      </c>
      <c r="F12126" s="8" t="str">
        <f ca="1">IFERROR(__xludf.DUMMYFUNCTION("IF
(
C12127=""фізична особа""
,
VLOOKUP(D12127,IMPORTRANGE(""https://docs.google.com/spreadsheets/d/14Bd19lYaqBhU8_DElYkX7l4wRkHqqCUFNJY4AfY3kHU/edit?usp=sharing  #gid=0"",""фіз особи new!relations_name""),6,FALSE)
,
(IF
(
C12127=""юридична особа""
,
VLOO"&amp;"KUP(D12127,IMPORTRANGE(""https://docs.google.com/spreadsheets/d/14Bd19lYaqBhU8_DElYkX7l4wRkHqqCUFNJY4AfY3kHU/edit?usp=sharing  #gid=0"",""фіз особи new!relations_name_uo""),7,FALSE)
,
)
))"),"ЮНХАО Бо")</f>
        <v>ЮНХАО Бо</v>
      </c>
      <c r="G12126" s="7" t="s">
        <v>10</v>
      </c>
      <c r="H12126" s="7">
        <v>17997</v>
      </c>
      <c r="I12126" s="8" t="str">
        <f ca="1">IFERROR(__xludf.DUMMYFUNCTION("IF
(
G12127=""фізична особа""
,
VLOOKUP(H12127,IMPORTRANGE(""https://docs.google.com/spreadsheets/d/14Bd19lYaqBhU8_DElYkX7l4wRkHqqCUFNJY4AfY3kHU/edit?usp=sharing  #gid=0"",""фіз особи new!relations_name""),6,FALSE)
,
(IF
(
G12127=""юридична особа""
,
VLOO"&amp;"KUP(H12127,IMPORTRANGE(""https://docs.google.com/spreadsheets/d/14Bd19lYaqBhU8_DElYkX7l4wRkHqqCUFNJY4AfY3kHU/edit?usp=sharing  #gid=0"",""фіз особи new!relations_name_uo""),7,FALSE)
,
)
))"),"ДЖИНХУА Денг")</f>
        <v>ДЖИНХУА Денг</v>
      </c>
      <c r="J12126" s="7" t="s">
        <v>11</v>
      </c>
    </row>
    <row r="12127" spans="1:10" ht="13.2">
      <c r="A12127" s="7">
        <v>12126</v>
      </c>
      <c r="B12127" s="7">
        <v>1</v>
      </c>
      <c r="C12127" s="7" t="s">
        <v>10</v>
      </c>
      <c r="D12127" s="7">
        <v>18004</v>
      </c>
      <c r="E12127" s="7" t="s">
        <v>11</v>
      </c>
      <c r="F12127" s="8" t="str">
        <f ca="1">IFERROR(__xludf.DUMMYFUNCTION("IF
(
C12128=""фізична особа""
,
VLOOKUP(D12128,IMPORTRANGE(""https://docs.google.com/spreadsheets/d/14Bd19lYaqBhU8_DElYkX7l4wRkHqqCUFNJY4AfY3kHU/edit?usp=sharing  #gid=0"",""фіз особи new!relations_name""),6,FALSE)
,
(IF
(
C12128=""юридична особа""
,
VLOO"&amp;"KUP(D12128,IMPORTRANGE(""https://docs.google.com/spreadsheets/d/14Bd19lYaqBhU8_DElYkX7l4wRkHqqCUFNJY4AfY3kHU/edit?usp=sharing  #gid=0"",""фіз особи new!relations_name_uo""),7,FALSE)
,
)
))"),"ЮНХАО Бо")</f>
        <v>ЮНХАО Бо</v>
      </c>
      <c r="G12127" s="7" t="s">
        <v>10</v>
      </c>
      <c r="H12127" s="7">
        <v>17998</v>
      </c>
      <c r="I12127" s="8" t="str">
        <f ca="1">IFERROR(__xludf.DUMMYFUNCTION("IF
(
G12128=""фізична особа""
,
VLOOKUP(H12128,IMPORTRANGE(""https://docs.google.com/spreadsheets/d/14Bd19lYaqBhU8_DElYkX7l4wRkHqqCUFNJY4AfY3kHU/edit?usp=sharing  #gid=0"",""фіз особи new!relations_name""),6,FALSE)
,
(IF
(
G12128=""юридична особа""
,
VLOO"&amp;"KUP(H12128,IMPORTRANGE(""https://docs.google.com/spreadsheets/d/14Bd19lYaqBhU8_DElYkX7l4wRkHqqCUFNJY4AfY3kHU/edit?usp=sharing  #gid=0"",""фіз особи new!relations_name_uo""),7,FALSE)
,
)
))"),"ЄРОШИН Юрій Олександрович")</f>
        <v>ЄРОШИН Юрій Олександрович</v>
      </c>
      <c r="J12127" s="7" t="s">
        <v>11</v>
      </c>
    </row>
    <row r="12128" spans="1:10" ht="13.2">
      <c r="A12128" s="7">
        <v>12127</v>
      </c>
      <c r="B12128" s="7">
        <v>1</v>
      </c>
      <c r="C12128" s="7" t="s">
        <v>10</v>
      </c>
      <c r="D12128" s="7">
        <v>18004</v>
      </c>
      <c r="E12128" s="7" t="s">
        <v>11</v>
      </c>
      <c r="F12128" s="8" t="str">
        <f ca="1">IFERROR(__xludf.DUMMYFUNCTION("IF
(
C12129=""фізична особа""
,
VLOOKUP(D12129,IMPORTRANGE(""https://docs.google.com/spreadsheets/d/14Bd19lYaqBhU8_DElYkX7l4wRkHqqCUFNJY4AfY3kHU/edit?usp=sharing  #gid=0"",""фіз особи new!relations_name""),6,FALSE)
,
(IF
(
C12129=""юридична особа""
,
VLOO"&amp;"KUP(D12129,IMPORTRANGE(""https://docs.google.com/spreadsheets/d/14Bd19lYaqBhU8_DElYkX7l4wRkHqqCUFNJY4AfY3kHU/edit?usp=sharing  #gid=0"",""фіз особи new!relations_name_uo""),7,FALSE)
,
)
))"),"ЮНХАО Бо")</f>
        <v>ЮНХАО Бо</v>
      </c>
      <c r="G12128" s="7" t="s">
        <v>10</v>
      </c>
      <c r="H12128" s="7">
        <v>17999</v>
      </c>
      <c r="I12128" s="8" t="str">
        <f ca="1">IFERROR(__xludf.DUMMYFUNCTION("IF
(
G12129=""фізична особа""
,
VLOOKUP(H12129,IMPORTRANGE(""https://docs.google.com/spreadsheets/d/14Bd19lYaqBhU8_DElYkX7l4wRkHqqCUFNJY4AfY3kHU/edit?usp=sharing  #gid=0"",""фіз особи new!relations_name""),6,FALSE)
,
(IF
(
G12129=""юридична особа""
,
VLOO"&amp;"KUP(H12129,IMPORTRANGE(""https://docs.google.com/spreadsheets/d/14Bd19lYaqBhU8_DElYkX7l4wRkHqqCUFNJY4AfY3kHU/edit?usp=sharing  #gid=0"",""фіз особи new!relations_name_uo""),7,FALSE)
,
)
))"),"ЄРШОВА Ірина Олександрівна")</f>
        <v>ЄРШОВА Ірина Олександрівна</v>
      </c>
      <c r="J12128" s="7" t="s">
        <v>11</v>
      </c>
    </row>
    <row r="12129" spans="1:10" ht="13.2">
      <c r="A12129" s="7">
        <v>12128</v>
      </c>
      <c r="B12129" s="7">
        <v>1</v>
      </c>
      <c r="C12129" s="7" t="s">
        <v>10</v>
      </c>
      <c r="D12129" s="7">
        <v>18004</v>
      </c>
      <c r="E12129" s="7" t="s">
        <v>11</v>
      </c>
      <c r="F12129" s="8" t="str">
        <f ca="1">IFERROR(__xludf.DUMMYFUNCTION("IF
(
C12130=""фізична особа""
,
VLOOKUP(D12130,IMPORTRANGE(""https://docs.google.com/spreadsheets/d/14Bd19lYaqBhU8_DElYkX7l4wRkHqqCUFNJY4AfY3kHU/edit?usp=sharing  #gid=0"",""фіз особи new!relations_name""),6,FALSE)
,
(IF
(
C12130=""юридична особа""
,
VLOO"&amp;"KUP(D12130,IMPORTRANGE(""https://docs.google.com/spreadsheets/d/14Bd19lYaqBhU8_DElYkX7l4wRkHqqCUFNJY4AfY3kHU/edit?usp=sharing  #gid=0"",""фіз особи new!relations_name_uo""),7,FALSE)
,
)
))"),"ЮНХАО Бо")</f>
        <v>ЮНХАО Бо</v>
      </c>
      <c r="G12129" s="7" t="s">
        <v>10</v>
      </c>
      <c r="H12129" s="7">
        <v>18000</v>
      </c>
      <c r="I12129" s="8" t="str">
        <f ca="1">IFERROR(__xludf.DUMMYFUNCTION("IF
(
G12130=""фізична особа""
,
VLOOKUP(H12130,IMPORTRANGE(""https://docs.google.com/spreadsheets/d/14Bd19lYaqBhU8_DElYkX7l4wRkHqqCUFNJY4AfY3kHU/edit?usp=sharing  #gid=0"",""фіз особи new!relations_name""),6,FALSE)
,
(IF
(
G12130=""юридична особа""
,
VLOO"&amp;"KUP(H12130,IMPORTRANGE(""https://docs.google.com/spreadsheets/d/14Bd19lYaqBhU8_DElYkX7l4wRkHqqCUFNJY4AfY3kHU/edit?usp=sharing  #gid=0"",""фіз особи new!relations_name_uo""),7,FALSE)
,
)
))"),"ГОЛЬМ Олена Миколаївна")</f>
        <v>ГОЛЬМ Олена Миколаївна</v>
      </c>
      <c r="J12129" s="7" t="s">
        <v>11</v>
      </c>
    </row>
    <row r="12130" spans="1:10" ht="13.2">
      <c r="A12130" s="7">
        <v>12129</v>
      </c>
      <c r="B12130" s="7">
        <v>1</v>
      </c>
      <c r="C12130" s="7" t="s">
        <v>10</v>
      </c>
      <c r="D12130" s="7">
        <v>18004</v>
      </c>
      <c r="E12130" s="7" t="s">
        <v>11</v>
      </c>
      <c r="F12130" s="8" t="str">
        <f ca="1">IFERROR(__xludf.DUMMYFUNCTION("IF
(
C12131=""фізична особа""
,
VLOOKUP(D12131,IMPORTRANGE(""https://docs.google.com/spreadsheets/d/14Bd19lYaqBhU8_DElYkX7l4wRkHqqCUFNJY4AfY3kHU/edit?usp=sharing  #gid=0"",""фіз особи new!relations_name""),6,FALSE)
,
(IF
(
C12131=""юридична особа""
,
VLOO"&amp;"KUP(D12131,IMPORTRANGE(""https://docs.google.com/spreadsheets/d/14Bd19lYaqBhU8_DElYkX7l4wRkHqqCUFNJY4AfY3kHU/edit?usp=sharing  #gid=0"",""фіз особи new!relations_name_uo""),7,FALSE)
,
)
))"),"ЮНХАО Бо")</f>
        <v>ЮНХАО Бо</v>
      </c>
      <c r="G12130" s="7" t="s">
        <v>10</v>
      </c>
      <c r="H12130" s="7">
        <v>18001</v>
      </c>
      <c r="I12130" s="8" t="str">
        <f ca="1">IFERROR(__xludf.DUMMYFUNCTION("IF
(
G12131=""фізична особа""
,
VLOOKUP(H12131,IMPORTRANGE(""https://docs.google.com/spreadsheets/d/14Bd19lYaqBhU8_DElYkX7l4wRkHqqCUFNJY4AfY3kHU/edit?usp=sharing  #gid=0"",""фіз особи new!relations_name""),6,FALSE)
,
(IF
(
G12131=""юридична особа""
,
VLOO"&amp;"KUP(H12131,IMPORTRANGE(""https://docs.google.com/spreadsheets/d/14Bd19lYaqBhU8_DElYkX7l4wRkHqqCUFNJY4AfY3kHU/edit?usp=sharing  #gid=0"",""фіз особи new!relations_name_uo""),7,FALSE)
,
)
))"),"ПЕРРЕ Жан-П'єр")</f>
        <v>ПЕРРЕ Жан-П'єр</v>
      </c>
      <c r="J12130" s="7" t="s">
        <v>11</v>
      </c>
    </row>
    <row r="12131" spans="1:10" ht="13.2">
      <c r="A12131" s="7">
        <v>12130</v>
      </c>
      <c r="B12131" s="7">
        <v>1</v>
      </c>
      <c r="C12131" s="7" t="s">
        <v>10</v>
      </c>
      <c r="D12131" s="7">
        <v>18004</v>
      </c>
      <c r="E12131" s="7" t="s">
        <v>11</v>
      </c>
      <c r="F12131" s="8" t="str">
        <f ca="1">IFERROR(__xludf.DUMMYFUNCTION("IF
(
C12132=""фізична особа""
,
VLOOKUP(D12132,IMPORTRANGE(""https://docs.google.com/spreadsheets/d/14Bd19lYaqBhU8_DElYkX7l4wRkHqqCUFNJY4AfY3kHU/edit?usp=sharing  #gid=0"",""фіз особи new!relations_name""),6,FALSE)
,
(IF
(
C12132=""юридична особа""
,
VLOO"&amp;"KUP(D12132,IMPORTRANGE(""https://docs.google.com/spreadsheets/d/14Bd19lYaqBhU8_DElYkX7l4wRkHqqCUFNJY4AfY3kHU/edit?usp=sharing  #gid=0"",""фіз особи new!relations_name_uo""),7,FALSE)
,
)
))"),"ЮНХАО Бо")</f>
        <v>ЮНХАО Бо</v>
      </c>
      <c r="G12131" s="7" t="s">
        <v>10</v>
      </c>
      <c r="H12131" s="7">
        <v>18002</v>
      </c>
      <c r="I12131" s="8" t="str">
        <f ca="1">IFERROR(__xludf.DUMMYFUNCTION("IF
(
G12132=""фізична особа""
,
VLOOKUP(H12132,IMPORTRANGE(""https://docs.google.com/spreadsheets/d/14Bd19lYaqBhU8_DElYkX7l4wRkHqqCUFNJY4AfY3kHU/edit?usp=sharing  #gid=0"",""фіз особи new!relations_name""),6,FALSE)
,
(IF
(
G12132=""юридична особа""
,
VLOO"&amp;"KUP(H12132,IMPORTRANGE(""https://docs.google.com/spreadsheets/d/14Bd19lYaqBhU8_DElYkX7l4wRkHqqCUFNJY4AfY3kHU/edit?usp=sharing  #gid=0"",""фіз особи new!relations_name_uo""),7,FALSE)
,
)
))"),"РАБІНОВИЧ Олександр Володимирович")</f>
        <v>РАБІНОВИЧ Олександр Володимирович</v>
      </c>
      <c r="J12131" s="7" t="s">
        <v>11</v>
      </c>
    </row>
    <row r="12132" spans="1:10" ht="13.2">
      <c r="A12132" s="7">
        <v>12131</v>
      </c>
      <c r="B12132" s="7">
        <v>1</v>
      </c>
      <c r="C12132" s="7" t="s">
        <v>10</v>
      </c>
      <c r="D12132" s="7">
        <v>18004</v>
      </c>
      <c r="E12132" s="7" t="s">
        <v>11</v>
      </c>
      <c r="F12132" s="8" t="str">
        <f ca="1">IFERROR(__xludf.DUMMYFUNCTION("IF
(
C12133=""фізична особа""
,
VLOOKUP(D12133,IMPORTRANGE(""https://docs.google.com/spreadsheets/d/14Bd19lYaqBhU8_DElYkX7l4wRkHqqCUFNJY4AfY3kHU/edit?usp=sharing  #gid=0"",""фіз особи new!relations_name""),6,FALSE)
,
(IF
(
C12133=""юридична особа""
,
VLOO"&amp;"KUP(D12133,IMPORTRANGE(""https://docs.google.com/spreadsheets/d/14Bd19lYaqBhU8_DElYkX7l4wRkHqqCUFNJY4AfY3kHU/edit?usp=sharing  #gid=0"",""фіз особи new!relations_name_uo""),7,FALSE)
,
)
))"),"ЮНХАО Бо")</f>
        <v>ЮНХАО Бо</v>
      </c>
      <c r="G12132" s="7" t="s">
        <v>10</v>
      </c>
      <c r="H12132" s="7">
        <v>18003</v>
      </c>
      <c r="I12132" s="8" t="str">
        <f ca="1">IFERROR(__xludf.DUMMYFUNCTION("IF
(
G12133=""фізична особа""
,
VLOOKUP(H12133,IMPORTRANGE(""https://docs.google.com/spreadsheets/d/14Bd19lYaqBhU8_DElYkX7l4wRkHqqCUFNJY4AfY3kHU/edit?usp=sharing  #gid=0"",""фіз особи new!relations_name""),6,FALSE)
,
(IF
(
G12133=""юридична особа""
,
VLOO"&amp;"KUP(H12133,IMPORTRANGE(""https://docs.google.com/spreadsheets/d/14Bd19lYaqBhU8_DElYkX7l4wRkHqqCUFNJY4AfY3kHU/edit?usp=sharing  #gid=0"",""фіз особи new!relations_name_uo""),7,FALSE)
,
)
))"),"СТРОКОВ Віталій Сергійович")</f>
        <v>СТРОКОВ Віталій Сергійович</v>
      </c>
      <c r="J12132" s="7" t="s">
        <v>11</v>
      </c>
    </row>
    <row r="12133" spans="1:10" ht="13.2">
      <c r="A12133" s="7">
        <v>12132</v>
      </c>
      <c r="B12133" s="7">
        <v>1</v>
      </c>
      <c r="C12133" s="7" t="s">
        <v>10</v>
      </c>
      <c r="D12133" s="7">
        <v>18005</v>
      </c>
      <c r="E12133" s="7" t="s">
        <v>11</v>
      </c>
      <c r="F12133" s="8" t="str">
        <f ca="1">IFERROR(__xludf.DUMMYFUNCTION("IF
(
C12134=""фізична особа""
,
VLOOKUP(D12134,IMPORTRANGE(""https://docs.google.com/spreadsheets/d/14Bd19lYaqBhU8_DElYkX7l4wRkHqqCUFNJY4AfY3kHU/edit?usp=sharing  #gid=0"",""фіз особи new!relations_name""),6,FALSE)
,
(IF
(
C12134=""юридична особа""
,
VLOO"&amp;"KUP(D12134,IMPORTRANGE(""https://docs.google.com/spreadsheets/d/14Bd19lYaqBhU8_DElYkX7l4wRkHqqCUFNJY4AfY3kHU/edit?usp=sharing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3" s="7" t="s">
        <v>10</v>
      </c>
      <c r="H12133" s="7">
        <v>18006</v>
      </c>
      <c r="I12133" s="8" t="str">
        <f ca="1">IFERROR(__xludf.DUMMYFUNCTION("IF
(
G12134=""фізична особа""
,
VLOOKUP(H12134,IMPORTRANGE(""https://docs.google.com/spreadsheets/d/14Bd19lYaqBhU8_DElYkX7l4wRkHqqCUFNJY4AfY3kHU/edit?usp=sharing  #gid=0"",""фіз особи new!relations_name""),6,FALSE)
,
(IF
(
G12134=""юридична особа""
,
VLOO"&amp;"KUP(H12134,IMPORTRANGE(""https://docs.google.com/spreadsheets/d/14Bd19lYaqBhU8_DElYkX7l4wRkHqqCUFNJY4AfY3kHU/edit?usp=sharing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J12133" s="7" t="s">
        <v>11</v>
      </c>
    </row>
    <row r="12134" spans="1:10" ht="13.2">
      <c r="A12134" s="7">
        <v>12133</v>
      </c>
      <c r="B12134" s="7">
        <v>1</v>
      </c>
      <c r="C12134" s="7" t="s">
        <v>10</v>
      </c>
      <c r="D12134" s="7">
        <v>18005</v>
      </c>
      <c r="E12134" s="7" t="s">
        <v>11</v>
      </c>
      <c r="F12134" s="8" t="str">
        <f ca="1">IFERROR(__xludf.DUMMYFUNCTION("IF
(
C12135=""фізична особа""
,
VLOOKUP(D12135,IMPORTRANGE(""https://docs.google.com/spreadsheets/d/14Bd19lYaqBhU8_DElYkX7l4wRkHqqCUFNJY4AfY3kHU/edit?usp=sharing  #gid=0"",""фіз особи new!relations_name""),6,FALSE)
,
(IF
(
C12135=""юридична особа""
,
VLOO"&amp;"KUP(D12135,IMPORTRANGE(""https://docs.google.com/spreadsheets/d/14Bd19lYaqBhU8_DElYkX7l4wRkHqqCUFNJY4AfY3kHU/edit?usp=sharing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4" s="7" t="s">
        <v>10</v>
      </c>
      <c r="H12134" s="7">
        <v>18007</v>
      </c>
      <c r="I12134" s="8" t="str">
        <f ca="1">IFERROR(__xludf.DUMMYFUNCTION("IF
(
G12135=""фізична особа""
,
VLOOKUP(H12135,IMPORTRANGE(""https://docs.google.com/spreadsheets/d/14Bd19lYaqBhU8_DElYkX7l4wRkHqqCUFNJY4AfY3kHU/edit?usp=sharing  #gid=0"",""фіз особи new!relations_name""),6,FALSE)
,
(IF
(
G12135=""юридична особа""
,
VLOO"&amp;"KUP(H12135,IMPORTRANGE(""https://docs.google.com/spreadsheets/d/14Bd19lYaqBhU8_DElYkX7l4wRkHqqCUFNJY4AfY3kHU/edit?usp=sharing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J12134" s="7" t="s">
        <v>11</v>
      </c>
    </row>
    <row r="12135" spans="1:10" ht="13.2">
      <c r="A12135" s="7">
        <v>12134</v>
      </c>
      <c r="B12135" s="7">
        <v>1</v>
      </c>
      <c r="C12135" s="7" t="s">
        <v>10</v>
      </c>
      <c r="D12135" s="7">
        <v>18005</v>
      </c>
      <c r="E12135" s="7" t="s">
        <v>11</v>
      </c>
      <c r="F12135" s="8" t="str">
        <f ca="1">IFERROR(__xludf.DUMMYFUNCTION("IF
(
C12136=""фізична особа""
,
VLOOKUP(D12136,IMPORTRANGE(""https://docs.google.com/spreadsheets/d/14Bd19lYaqBhU8_DElYkX7l4wRkHqqCUFNJY4AfY3kHU/edit?usp=sharing  #gid=0"",""фіз особи new!relations_name""),6,FALSE)
,
(IF
(
C12136=""юридична особа""
,
VLOO"&amp;"KUP(D12136,IMPORTRANGE(""https://docs.google.com/spreadsheets/d/14Bd19lYaqBhU8_DElYkX7l4wRkHqqCUFNJY4AfY3kHU/edit?usp=sharing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5" s="7" t="s">
        <v>10</v>
      </c>
      <c r="H12135" s="7">
        <v>18008</v>
      </c>
      <c r="I12135" s="8" t="str">
        <f ca="1">IFERROR(__xludf.DUMMYFUNCTION("IF
(
G12136=""фізична особа""
,
VLOOKUP(H12136,IMPORTRANGE(""https://docs.google.com/spreadsheets/d/14Bd19lYaqBhU8_DElYkX7l4wRkHqqCUFNJY4AfY3kHU/edit?usp=sharing  #gid=0"",""фіз особи new!relations_name""),6,FALSE)
,
(IF
(
G12136=""юридична особа""
,
VLOO"&amp;"KUP(H12136,IMPORTRANGE(""https://docs.google.com/spreadsheets/d/14Bd19lYaqBhU8_DElYkX7l4wRkHqqCUFNJY4AfY3kHU/edit?usp=sharing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J12135" s="7" t="s">
        <v>11</v>
      </c>
    </row>
    <row r="12136" spans="1:10" ht="13.2">
      <c r="A12136" s="7">
        <v>12135</v>
      </c>
      <c r="B12136" s="7">
        <v>1</v>
      </c>
      <c r="C12136" s="7" t="s">
        <v>10</v>
      </c>
      <c r="D12136" s="7">
        <v>18005</v>
      </c>
      <c r="E12136" s="7" t="s">
        <v>11</v>
      </c>
      <c r="F12136" s="8" t="str">
        <f ca="1">IFERROR(__xludf.DUMMYFUNCTION("IF
(
C12137=""фізична особа""
,
VLOOKUP(D12137,IMPORTRANGE(""https://docs.google.com/spreadsheets/d/14Bd19lYaqBhU8_DElYkX7l4wRkHqqCUFNJY4AfY3kHU/edit?usp=sharing  #gid=0"",""фіз особи new!relations_name""),6,FALSE)
,
(IF
(
C12137=""юридична особа""
,
VLOO"&amp;"KUP(D12137,IMPORTRANGE(""https://docs.google.com/spreadsheets/d/14Bd19lYaqBhU8_DElYkX7l4wRkHqqCUFNJY4AfY3kHU/edit?usp=sharing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6" s="7" t="s">
        <v>10</v>
      </c>
      <c r="H12136" s="7">
        <v>18009</v>
      </c>
      <c r="I12136" s="8" t="str">
        <f ca="1">IFERROR(__xludf.DUMMYFUNCTION("IF
(
G12137=""фізична особа""
,
VLOOKUP(H12137,IMPORTRANGE(""https://docs.google.com/spreadsheets/d/14Bd19lYaqBhU8_DElYkX7l4wRkHqqCUFNJY4AfY3kHU/edit?usp=sharing  #gid=0"",""фіз особи new!relations_name""),6,FALSE)
,
(IF
(
G12137=""юридична особа""
,
VLOO"&amp;"KUP(H12137,IMPORTRANGE(""https://docs.google.com/spreadsheets/d/14Bd19lYaqBhU8_DElYkX7l4wRkHqqCUFNJY4AfY3kHU/edit?usp=sharing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J12136" s="7" t="s">
        <v>11</v>
      </c>
    </row>
    <row r="12137" spans="1:10" ht="13.2">
      <c r="A12137" s="7">
        <v>12136</v>
      </c>
      <c r="B12137" s="7">
        <v>1</v>
      </c>
      <c r="C12137" s="7" t="s">
        <v>10</v>
      </c>
      <c r="D12137" s="7">
        <v>18005</v>
      </c>
      <c r="E12137" s="7" t="s">
        <v>11</v>
      </c>
      <c r="F12137" s="8" t="str">
        <f ca="1">IFERROR(__xludf.DUMMYFUNCTION("IF
(
C12138=""фізична особа""
,
VLOOKUP(D12138,IMPORTRANGE(""https://docs.google.com/spreadsheets/d/14Bd19lYaqBhU8_DElYkX7l4wRkHqqCUFNJY4AfY3kHU/edit?usp=sharing  #gid=0"",""фіз особи new!relations_name""),6,FALSE)
,
(IF
(
C12138=""юридична особа""
,
VLOO"&amp;"KUP(D12138,IMPORTRANGE(""https://docs.google.com/spreadsheets/d/14Bd19lYaqBhU8_DElYkX7l4wRkHqqCUFNJY4AfY3kHU/edit?usp=sharing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7" s="7" t="s">
        <v>10</v>
      </c>
      <c r="H12137" s="7">
        <v>18010</v>
      </c>
      <c r="I12137" s="8" t="str">
        <f ca="1">IFERROR(__xludf.DUMMYFUNCTION("IF
(
G12138=""фізична особа""
,
VLOOKUP(H12138,IMPORTRANGE(""https://docs.google.com/spreadsheets/d/14Bd19lYaqBhU8_DElYkX7l4wRkHqqCUFNJY4AfY3kHU/edit?usp=sharing  #gid=0"",""фіз особи new!relations_name""),6,FALSE)
,
(IF
(
G12138=""юридична особа""
,
VLOO"&amp;"KUP(H12138,IMPORTRANGE(""https://docs.google.com/spreadsheets/d/14Bd19lYaqBhU8_DElYkX7l4wRkHqqCUFNJY4AfY3kHU/edit?usp=sharing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J12137" s="7" t="s">
        <v>11</v>
      </c>
    </row>
    <row r="12138" spans="1:10" ht="13.2">
      <c r="A12138" s="7">
        <v>12137</v>
      </c>
      <c r="B12138" s="7">
        <v>1</v>
      </c>
      <c r="C12138" s="7" t="s">
        <v>10</v>
      </c>
      <c r="D12138" s="7">
        <v>18005</v>
      </c>
      <c r="E12138" s="7" t="s">
        <v>11</v>
      </c>
      <c r="F12138" s="8" t="str">
        <f ca="1">IFERROR(__xludf.DUMMYFUNCTION("IF
(
C12139=""фізична особа""
,
VLOOKUP(D12139,IMPORTRANGE(""https://docs.google.com/spreadsheets/d/14Bd19lYaqBhU8_DElYkX7l4wRkHqqCUFNJY4AfY3kHU/edit?usp=sharing  #gid=0"",""фіз особи new!relations_name""),6,FALSE)
,
(IF
(
C12139=""юридична особа""
,
VLOO"&amp;"KUP(D12139,IMPORTRANGE(""https://docs.google.com/spreadsheets/d/14Bd19lYaqBhU8_DElYkX7l4wRkHqqCUFNJY4AfY3kHU/edit?usp=sharing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8" s="7" t="s">
        <v>10</v>
      </c>
      <c r="H12138" s="7">
        <v>2180</v>
      </c>
      <c r="I12138" s="8" t="str">
        <f ca="1">IFERROR(__xludf.DUMMYFUNCTION("IF
(
G12139=""фізична особа""
,
VLOOKUP(H12139,IMPORTRANGE(""https://docs.google.com/spreadsheets/d/14Bd19lYaqBhU8_DElYkX7l4wRkHqqCUFNJY4AfY3kHU/edit?usp=sharing  #gid=0"",""фіз особи new!relations_name""),6,FALSE)
,
(IF
(
G12139=""юридична особа""
,
VLOO"&amp;"KUP(H12139,IMPORTRANGE(""https://docs.google.com/spreadsheets/d/14Bd19lYaqBhU8_DElYkX7l4wRkHqqCUFNJY4AfY3kHU/edit?usp=sharing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38" s="7" t="s">
        <v>11</v>
      </c>
    </row>
    <row r="12139" spans="1:10" ht="13.2">
      <c r="A12139" s="7">
        <v>12138</v>
      </c>
      <c r="B12139" s="7">
        <v>1</v>
      </c>
      <c r="C12139" s="7" t="s">
        <v>10</v>
      </c>
      <c r="D12139" s="7">
        <v>18005</v>
      </c>
      <c r="E12139" s="7" t="s">
        <v>11</v>
      </c>
      <c r="F12139" s="8" t="str">
        <f ca="1">IFERROR(__xludf.DUMMYFUNCTION("IF
(
C12140=""фізична особа""
,
VLOOKUP(D12140,IMPORTRANGE(""https://docs.google.com/spreadsheets/d/14Bd19lYaqBhU8_DElYkX7l4wRkHqqCUFNJY4AfY3kHU/edit?usp=sharing  #gid=0"",""фіз особи new!relations_name""),6,FALSE)
,
(IF
(
C12140=""юридична особа""
,
VLOO"&amp;"KUP(D12140,IMPORTRANGE(""https://docs.google.com/spreadsheets/d/14Bd19lYaqBhU8_DElYkX7l4wRkHqqCUFNJY4AfY3kHU/edit?usp=sharing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39" s="7" t="s">
        <v>10</v>
      </c>
      <c r="H12139" s="7">
        <v>16800</v>
      </c>
      <c r="I12139" s="8" t="str">
        <f ca="1">IFERROR(__xludf.DUMMYFUNCTION("IF
(
G12140=""фізична особа""
,
VLOOKUP(H12140,IMPORTRANGE(""https://docs.google.com/spreadsheets/d/14Bd19lYaqBhU8_DElYkX7l4wRkHqqCUFNJY4AfY3kHU/edit?usp=sharing  #gid=0"",""фіз особи new!relations_name""),6,FALSE)
,
(IF
(
G12140=""юридична особа""
,
VLOO"&amp;"KUP(H12140,IMPORTRANGE(""https://docs.google.com/spreadsheets/d/14Bd19lYaqBhU8_DElYkX7l4wRkHqqCUFNJY4AfY3kHU/edit?usp=sharing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39" s="7" t="s">
        <v>11</v>
      </c>
    </row>
    <row r="12140" spans="1:10" ht="13.2">
      <c r="A12140" s="7">
        <v>12139</v>
      </c>
      <c r="B12140" s="7">
        <v>1</v>
      </c>
      <c r="C12140" s="7" t="s">
        <v>10</v>
      </c>
      <c r="D12140" s="7">
        <v>18005</v>
      </c>
      <c r="E12140" s="7" t="s">
        <v>11</v>
      </c>
      <c r="F12140" s="8" t="str">
        <f ca="1">IFERROR(__xludf.DUMMYFUNCTION("IF
(
C12141=""фізична особа""
,
VLOOKUP(D12141,IMPORTRANGE(""https://docs.google.com/spreadsheets/d/14Bd19lYaqBhU8_DElYkX7l4wRkHqqCUFNJY4AfY3kHU/edit?usp=sharing  #gid=0"",""фіз особи new!relations_name""),6,FALSE)
,
(IF
(
C12141=""юридична особа""
,
VLOO"&amp;"KUP(D12141,IMPORTRANGE(""https://docs.google.com/spreadsheets/d/14Bd19lYaqBhU8_DElYkX7l4wRkHqqCUFNJY4AfY3kHU/edit?usp=sharing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40" s="7" t="s">
        <v>10</v>
      </c>
      <c r="H12140" s="7">
        <v>957</v>
      </c>
      <c r="I12140" s="8" t="str">
        <f ca="1">IFERROR(__xludf.DUMMYFUNCTION("IF
(
G12141=""фізична особа""
,
VLOOKUP(H12141,IMPORTRANGE(""https://docs.google.com/spreadsheets/d/14Bd19lYaqBhU8_DElYkX7l4wRkHqqCUFNJY4AfY3kHU/edit?usp=sharing  #gid=0"",""фіз особи new!relations_name""),6,FALSE)
,
(IF
(
G12141=""юридична особа""
,
VLOO"&amp;"KUP(H12141,IMPORTRANGE(""https://docs.google.com/spreadsheets/d/14Bd19lYaqBhU8_DElYkX7l4wRkHqqCUFNJY4AfY3kHU/edit?usp=sharing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40" s="7" t="s">
        <v>11</v>
      </c>
    </row>
    <row r="12141" spans="1:10" ht="13.2">
      <c r="A12141" s="7">
        <v>12140</v>
      </c>
      <c r="B12141" s="7">
        <v>1</v>
      </c>
      <c r="C12141" s="7" t="s">
        <v>10</v>
      </c>
      <c r="D12141" s="7">
        <v>18005</v>
      </c>
      <c r="E12141" s="7" t="s">
        <v>11</v>
      </c>
      <c r="F12141" s="8" t="str">
        <f ca="1">IFERROR(__xludf.DUMMYFUNCTION("IF
(
C12142=""фізична особа""
,
VLOOKUP(D12142,IMPORTRANGE(""https://docs.google.com/spreadsheets/d/14Bd19lYaqBhU8_DElYkX7l4wRkHqqCUFNJY4AfY3kHU/edit?usp=sharing  #gid=0"",""фіз особи new!relations_name""),6,FALSE)
,
(IF
(
C12142=""юридична особа""
,
VLOO"&amp;"KUP(D12142,IMPORTRANGE(""https://docs.google.com/spreadsheets/d/14Bd19lYaqBhU8_DElYkX7l4wRkHqqCUFNJY4AfY3kHU/edit?usp=sharing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G12141" s="7" t="s">
        <v>10</v>
      </c>
      <c r="H12141" s="7">
        <v>163</v>
      </c>
      <c r="I12141" s="8" t="str">
        <f ca="1">IFERROR(__xludf.DUMMYFUNCTION("IF
(
G12142=""фізична особа""
,
VLOOKUP(H12142,IMPORTRANGE(""https://docs.google.com/spreadsheets/d/14Bd19lYaqBhU8_DElYkX7l4wRkHqqCUFNJY4AfY3kHU/edit?usp=sharing  #gid=0"",""фіз особи new!relations_name""),6,FALSE)
,
(IF
(
G12142=""юридична особа""
,
VLOO"&amp;"KUP(H12142,IMPORTRANGE(""https://docs.google.com/spreadsheets/d/14Bd19lYaqBhU8_DElYkX7l4wRkHqqCUFNJY4AfY3kHU/edit?usp=sharing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41" s="7" t="s">
        <v>11</v>
      </c>
    </row>
    <row r="12142" spans="1:10" ht="13.2">
      <c r="A12142" s="7">
        <v>12141</v>
      </c>
      <c r="B12142" s="7">
        <v>1</v>
      </c>
      <c r="C12142" s="7" t="s">
        <v>10</v>
      </c>
      <c r="D12142" s="7">
        <v>18006</v>
      </c>
      <c r="E12142" s="7" t="s">
        <v>11</v>
      </c>
      <c r="F12142" s="8" t="str">
        <f ca="1">IFERROR(__xludf.DUMMYFUNCTION("IF
(
C12143=""фізична особа""
,
VLOOKUP(D12143,IMPORTRANGE(""https://docs.google.com/spreadsheets/d/14Bd19lYaqBhU8_DElYkX7l4wRkHqqCUFNJY4AfY3kHU/edit?usp=sharing  #gid=0"",""фіз особи new!relations_name""),6,FALSE)
,
(IF
(
C12143=""юридична особа""
,
VLOO"&amp;"KUP(D12143,IMPORTRANGE(""https://docs.google.com/spreadsheets/d/14Bd19lYaqBhU8_DElYkX7l4wRkHqqCUFNJY4AfY3kHU/edit?usp=sharing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2" s="7" t="s">
        <v>10</v>
      </c>
      <c r="H12142" s="7">
        <v>18005</v>
      </c>
      <c r="I12142" s="8" t="str">
        <f ca="1">IFERROR(__xludf.DUMMYFUNCTION("IF
(
G12143=""фізична особа""
,
VLOOKUP(H12143,IMPORTRANGE(""https://docs.google.com/spreadsheets/d/14Bd19lYaqBhU8_DElYkX7l4wRkHqqCUFNJY4AfY3kHU/edit?usp=sharing  #gid=0"",""фіз особи new!relations_name""),6,FALSE)
,
(IF
(
G12143=""юридична особа""
,
VLOO"&amp;"KUP(H12143,IMPORTRANGE(""https://docs.google.com/spreadsheets/d/14Bd19lYaqBhU8_DElYkX7l4wRkHqqCUFNJY4AfY3kHU/edit?usp=sharing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J12142" s="7" t="s">
        <v>11</v>
      </c>
    </row>
    <row r="12143" spans="1:10" ht="13.2">
      <c r="A12143" s="7">
        <v>12142</v>
      </c>
      <c r="B12143" s="7">
        <v>1</v>
      </c>
      <c r="C12143" s="7" t="s">
        <v>10</v>
      </c>
      <c r="D12143" s="7">
        <v>18006</v>
      </c>
      <c r="E12143" s="7" t="s">
        <v>11</v>
      </c>
      <c r="F12143" s="8" t="str">
        <f ca="1">IFERROR(__xludf.DUMMYFUNCTION("IF
(
C12144=""фізична особа""
,
VLOOKUP(D12144,IMPORTRANGE(""https://docs.google.com/spreadsheets/d/14Bd19lYaqBhU8_DElYkX7l4wRkHqqCUFNJY4AfY3kHU/edit?usp=sharing  #gid=0"",""фіз особи new!relations_name""),6,FALSE)
,
(IF
(
C12144=""юридична особа""
,
VLOO"&amp;"KUP(D12144,IMPORTRANGE(""https://docs.google.com/spreadsheets/d/14Bd19lYaqBhU8_DElYkX7l4wRkHqqCUFNJY4AfY3kHU/edit?usp=sharing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3" s="7" t="s">
        <v>10</v>
      </c>
      <c r="H12143" s="7">
        <v>18007</v>
      </c>
      <c r="I12143" s="8" t="str">
        <f ca="1">IFERROR(__xludf.DUMMYFUNCTION("IF
(
G12144=""фізична особа""
,
VLOOKUP(H12144,IMPORTRANGE(""https://docs.google.com/spreadsheets/d/14Bd19lYaqBhU8_DElYkX7l4wRkHqqCUFNJY4AfY3kHU/edit?usp=sharing  #gid=0"",""фіз особи new!relations_name""),6,FALSE)
,
(IF
(
G12144=""юридична особа""
,
VLOO"&amp;"KUP(H12144,IMPORTRANGE(""https://docs.google.com/spreadsheets/d/14Bd19lYaqBhU8_DElYkX7l4wRkHqqCUFNJY4AfY3kHU/edit?usp=sharing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J12143" s="7" t="s">
        <v>11</v>
      </c>
    </row>
    <row r="12144" spans="1:10" ht="13.2">
      <c r="A12144" s="7">
        <v>12143</v>
      </c>
      <c r="B12144" s="7">
        <v>1</v>
      </c>
      <c r="C12144" s="7" t="s">
        <v>10</v>
      </c>
      <c r="D12144" s="7">
        <v>18006</v>
      </c>
      <c r="E12144" s="7" t="s">
        <v>11</v>
      </c>
      <c r="F12144" s="8" t="str">
        <f ca="1">IFERROR(__xludf.DUMMYFUNCTION("IF
(
C12145=""фізична особа""
,
VLOOKUP(D12145,IMPORTRANGE(""https://docs.google.com/spreadsheets/d/14Bd19lYaqBhU8_DElYkX7l4wRkHqqCUFNJY4AfY3kHU/edit?usp=sharing  #gid=0"",""фіз особи new!relations_name""),6,FALSE)
,
(IF
(
C12145=""юридична особа""
,
VLOO"&amp;"KUP(D12145,IMPORTRANGE(""https://docs.google.com/spreadsheets/d/14Bd19lYaqBhU8_DElYkX7l4wRkHqqCUFNJY4AfY3kHU/edit?usp=sharing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4" s="7" t="s">
        <v>10</v>
      </c>
      <c r="H12144" s="7">
        <v>18008</v>
      </c>
      <c r="I12144" s="8" t="str">
        <f ca="1">IFERROR(__xludf.DUMMYFUNCTION("IF
(
G12145=""фізична особа""
,
VLOOKUP(H12145,IMPORTRANGE(""https://docs.google.com/spreadsheets/d/14Bd19lYaqBhU8_DElYkX7l4wRkHqqCUFNJY4AfY3kHU/edit?usp=sharing  #gid=0"",""фіз особи new!relations_name""),6,FALSE)
,
(IF
(
G12145=""юридична особа""
,
VLOO"&amp;"KUP(H12145,IMPORTRANGE(""https://docs.google.com/spreadsheets/d/14Bd19lYaqBhU8_DElYkX7l4wRkHqqCUFNJY4AfY3kHU/edit?usp=sharing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J12144" s="7" t="s">
        <v>11</v>
      </c>
    </row>
    <row r="12145" spans="1:10" ht="13.2">
      <c r="A12145" s="7">
        <v>12144</v>
      </c>
      <c r="B12145" s="7">
        <v>1</v>
      </c>
      <c r="C12145" s="7" t="s">
        <v>10</v>
      </c>
      <c r="D12145" s="7">
        <v>18006</v>
      </c>
      <c r="E12145" s="7" t="s">
        <v>11</v>
      </c>
      <c r="F12145" s="8" t="str">
        <f ca="1">IFERROR(__xludf.DUMMYFUNCTION("IF
(
C12146=""фізична особа""
,
VLOOKUP(D12146,IMPORTRANGE(""https://docs.google.com/spreadsheets/d/14Bd19lYaqBhU8_DElYkX7l4wRkHqqCUFNJY4AfY3kHU/edit?usp=sharing  #gid=0"",""фіз особи new!relations_name""),6,FALSE)
,
(IF
(
C12146=""юридична особа""
,
VLOO"&amp;"KUP(D12146,IMPORTRANGE(""https://docs.google.com/spreadsheets/d/14Bd19lYaqBhU8_DElYkX7l4wRkHqqCUFNJY4AfY3kHU/edit?usp=sharing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5" s="7" t="s">
        <v>10</v>
      </c>
      <c r="H12145" s="7">
        <v>18009</v>
      </c>
      <c r="I12145" s="8" t="str">
        <f ca="1">IFERROR(__xludf.DUMMYFUNCTION("IF
(
G12146=""фізична особа""
,
VLOOKUP(H12146,IMPORTRANGE(""https://docs.google.com/spreadsheets/d/14Bd19lYaqBhU8_DElYkX7l4wRkHqqCUFNJY4AfY3kHU/edit?usp=sharing  #gid=0"",""фіз особи new!relations_name""),6,FALSE)
,
(IF
(
G12146=""юридична особа""
,
VLOO"&amp;"KUP(H12146,IMPORTRANGE(""https://docs.google.com/spreadsheets/d/14Bd19lYaqBhU8_DElYkX7l4wRkHqqCUFNJY4AfY3kHU/edit?usp=sharing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J12145" s="7" t="s">
        <v>11</v>
      </c>
    </row>
    <row r="12146" spans="1:10" ht="13.2">
      <c r="A12146" s="7">
        <v>12145</v>
      </c>
      <c r="B12146" s="7">
        <v>1</v>
      </c>
      <c r="C12146" s="7" t="s">
        <v>10</v>
      </c>
      <c r="D12146" s="7">
        <v>18006</v>
      </c>
      <c r="E12146" s="7" t="s">
        <v>11</v>
      </c>
      <c r="F12146" s="8" t="str">
        <f ca="1">IFERROR(__xludf.DUMMYFUNCTION("IF
(
C12147=""фізична особа""
,
VLOOKUP(D12147,IMPORTRANGE(""https://docs.google.com/spreadsheets/d/14Bd19lYaqBhU8_DElYkX7l4wRkHqqCUFNJY4AfY3kHU/edit?usp=sharing  #gid=0"",""фіз особи new!relations_name""),6,FALSE)
,
(IF
(
C12147=""юридична особа""
,
VLOO"&amp;"KUP(D12147,IMPORTRANGE(""https://docs.google.com/spreadsheets/d/14Bd19lYaqBhU8_DElYkX7l4wRkHqqCUFNJY4AfY3kHU/edit?usp=sharing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6" s="7" t="s">
        <v>10</v>
      </c>
      <c r="H12146" s="7">
        <v>18010</v>
      </c>
      <c r="I12146" s="8" t="str">
        <f ca="1">IFERROR(__xludf.DUMMYFUNCTION("IF
(
G12147=""фізична особа""
,
VLOOKUP(H12147,IMPORTRANGE(""https://docs.google.com/spreadsheets/d/14Bd19lYaqBhU8_DElYkX7l4wRkHqqCUFNJY4AfY3kHU/edit?usp=sharing  #gid=0"",""фіз особи new!relations_name""),6,FALSE)
,
(IF
(
G12147=""юридична особа""
,
VLOO"&amp;"KUP(H12147,IMPORTRANGE(""https://docs.google.com/spreadsheets/d/14Bd19lYaqBhU8_DElYkX7l4wRkHqqCUFNJY4AfY3kHU/edit?usp=sharing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J12146" s="7" t="s">
        <v>11</v>
      </c>
    </row>
    <row r="12147" spans="1:10" ht="13.2">
      <c r="A12147" s="7">
        <v>12146</v>
      </c>
      <c r="B12147" s="7">
        <v>1</v>
      </c>
      <c r="C12147" s="7" t="s">
        <v>10</v>
      </c>
      <c r="D12147" s="7">
        <v>18006</v>
      </c>
      <c r="E12147" s="7" t="s">
        <v>11</v>
      </c>
      <c r="F12147" s="8" t="str">
        <f ca="1">IFERROR(__xludf.DUMMYFUNCTION("IF
(
C12148=""фізична особа""
,
VLOOKUP(D12148,IMPORTRANGE(""https://docs.google.com/spreadsheets/d/14Bd19lYaqBhU8_DElYkX7l4wRkHqqCUFNJY4AfY3kHU/edit?usp=sharing  #gid=0"",""фіз особи new!relations_name""),6,FALSE)
,
(IF
(
C12148=""юридична особа""
,
VLOO"&amp;"KUP(D12148,IMPORTRANGE(""https://docs.google.com/spreadsheets/d/14Bd19lYaqBhU8_DElYkX7l4wRkHqqCUFNJY4AfY3kHU/edit?usp=sharing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7" s="7" t="s">
        <v>10</v>
      </c>
      <c r="H12147" s="7">
        <v>2180</v>
      </c>
      <c r="I12147" s="8" t="str">
        <f ca="1">IFERROR(__xludf.DUMMYFUNCTION("IF
(
G12148=""фізична особа""
,
VLOOKUP(H12148,IMPORTRANGE(""https://docs.google.com/spreadsheets/d/14Bd19lYaqBhU8_DElYkX7l4wRkHqqCUFNJY4AfY3kHU/edit?usp=sharing  #gid=0"",""фіз особи new!relations_name""),6,FALSE)
,
(IF
(
G12148=""юридична особа""
,
VLOO"&amp;"KUP(H12148,IMPORTRANGE(""https://docs.google.com/spreadsheets/d/14Bd19lYaqBhU8_DElYkX7l4wRkHqqCUFNJY4AfY3kHU/edit?usp=sharing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47" s="7" t="s">
        <v>11</v>
      </c>
    </row>
    <row r="12148" spans="1:10" ht="13.2">
      <c r="A12148" s="7">
        <v>12147</v>
      </c>
      <c r="B12148" s="7">
        <v>1</v>
      </c>
      <c r="C12148" s="7" t="s">
        <v>10</v>
      </c>
      <c r="D12148" s="7">
        <v>18006</v>
      </c>
      <c r="E12148" s="7" t="s">
        <v>11</v>
      </c>
      <c r="F12148" s="8" t="str">
        <f ca="1">IFERROR(__xludf.DUMMYFUNCTION("IF
(
C12149=""фізична особа""
,
VLOOKUP(D12149,IMPORTRANGE(""https://docs.google.com/spreadsheets/d/14Bd19lYaqBhU8_DElYkX7l4wRkHqqCUFNJY4AfY3kHU/edit?usp=sharing  #gid=0"",""фіз особи new!relations_name""),6,FALSE)
,
(IF
(
C12149=""юридична особа""
,
VLOO"&amp;"KUP(D12149,IMPORTRANGE(""https://docs.google.com/spreadsheets/d/14Bd19lYaqBhU8_DElYkX7l4wRkHqqCUFNJY4AfY3kHU/edit?usp=sharing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8" s="7" t="s">
        <v>10</v>
      </c>
      <c r="H12148" s="7">
        <v>16800</v>
      </c>
      <c r="I12148" s="8" t="str">
        <f ca="1">IFERROR(__xludf.DUMMYFUNCTION("IF
(
G12149=""фізична особа""
,
VLOOKUP(H12149,IMPORTRANGE(""https://docs.google.com/spreadsheets/d/14Bd19lYaqBhU8_DElYkX7l4wRkHqqCUFNJY4AfY3kHU/edit?usp=sharing  #gid=0"",""фіз особи new!relations_name""),6,FALSE)
,
(IF
(
G12149=""юридична особа""
,
VLOO"&amp;"KUP(H12149,IMPORTRANGE(""https://docs.google.com/spreadsheets/d/14Bd19lYaqBhU8_DElYkX7l4wRkHqqCUFNJY4AfY3kHU/edit?usp=sharing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48" s="7" t="s">
        <v>11</v>
      </c>
    </row>
    <row r="12149" spans="1:10" ht="13.2">
      <c r="A12149" s="7">
        <v>12148</v>
      </c>
      <c r="B12149" s="7">
        <v>1</v>
      </c>
      <c r="C12149" s="7" t="s">
        <v>10</v>
      </c>
      <c r="D12149" s="7">
        <v>18006</v>
      </c>
      <c r="E12149" s="7" t="s">
        <v>11</v>
      </c>
      <c r="F12149" s="8" t="str">
        <f ca="1">IFERROR(__xludf.DUMMYFUNCTION("IF
(
C12150=""фізична особа""
,
VLOOKUP(D12150,IMPORTRANGE(""https://docs.google.com/spreadsheets/d/14Bd19lYaqBhU8_DElYkX7l4wRkHqqCUFNJY4AfY3kHU/edit?usp=sharing  #gid=0"",""фіз особи new!relations_name""),6,FALSE)
,
(IF
(
C12150=""юридична особа""
,
VLOO"&amp;"KUP(D12150,IMPORTRANGE(""https://docs.google.com/spreadsheets/d/14Bd19lYaqBhU8_DElYkX7l4wRkHqqCUFNJY4AfY3kHU/edit?usp=sharing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49" s="7" t="s">
        <v>10</v>
      </c>
      <c r="H12149" s="7">
        <v>957</v>
      </c>
      <c r="I12149" s="8" t="str">
        <f ca="1">IFERROR(__xludf.DUMMYFUNCTION("IF
(
G12150=""фізична особа""
,
VLOOKUP(H12150,IMPORTRANGE(""https://docs.google.com/spreadsheets/d/14Bd19lYaqBhU8_DElYkX7l4wRkHqqCUFNJY4AfY3kHU/edit?usp=sharing  #gid=0"",""фіз особи new!relations_name""),6,FALSE)
,
(IF
(
G12150=""юридична особа""
,
VLOO"&amp;"KUP(H12150,IMPORTRANGE(""https://docs.google.com/spreadsheets/d/14Bd19lYaqBhU8_DElYkX7l4wRkHqqCUFNJY4AfY3kHU/edit?usp=sharing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49" s="7" t="s">
        <v>11</v>
      </c>
    </row>
    <row r="12150" spans="1:10" ht="13.2">
      <c r="A12150" s="7">
        <v>12149</v>
      </c>
      <c r="B12150" s="7">
        <v>1</v>
      </c>
      <c r="C12150" s="7" t="s">
        <v>10</v>
      </c>
      <c r="D12150" s="7">
        <v>18006</v>
      </c>
      <c r="E12150" s="7" t="s">
        <v>11</v>
      </c>
      <c r="F12150" s="8" t="str">
        <f ca="1">IFERROR(__xludf.DUMMYFUNCTION("IF
(
C12151=""фізична особа""
,
VLOOKUP(D12151,IMPORTRANGE(""https://docs.google.com/spreadsheets/d/14Bd19lYaqBhU8_DElYkX7l4wRkHqqCUFNJY4AfY3kHU/edit?usp=sharing  #gid=0"",""фіз особи new!relations_name""),6,FALSE)
,
(IF
(
C12151=""юридична особа""
,
VLOO"&amp;"KUP(D12151,IMPORTRANGE(""https://docs.google.com/spreadsheets/d/14Bd19lYaqBhU8_DElYkX7l4wRkHqqCUFNJY4AfY3kHU/edit?usp=sharing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G12150" s="7" t="s">
        <v>10</v>
      </c>
      <c r="H12150" s="7">
        <v>163</v>
      </c>
      <c r="I12150" s="8" t="str">
        <f ca="1">IFERROR(__xludf.DUMMYFUNCTION("IF
(
G12151=""фізична особа""
,
VLOOKUP(H12151,IMPORTRANGE(""https://docs.google.com/spreadsheets/d/14Bd19lYaqBhU8_DElYkX7l4wRkHqqCUFNJY4AfY3kHU/edit?usp=sharing  #gid=0"",""фіз особи new!relations_name""),6,FALSE)
,
(IF
(
G12151=""юридична особа""
,
VLOO"&amp;"KUP(H12151,IMPORTRANGE(""https://docs.google.com/spreadsheets/d/14Bd19lYaqBhU8_DElYkX7l4wRkHqqCUFNJY4AfY3kHU/edit?usp=sharing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50" s="7" t="s">
        <v>11</v>
      </c>
    </row>
    <row r="12151" spans="1:10" ht="13.2">
      <c r="A12151" s="7">
        <v>12150</v>
      </c>
      <c r="B12151" s="7">
        <v>1</v>
      </c>
      <c r="C12151" s="7" t="s">
        <v>10</v>
      </c>
      <c r="D12151" s="7">
        <v>18007</v>
      </c>
      <c r="E12151" s="7" t="s">
        <v>11</v>
      </c>
      <c r="F12151" s="8" t="str">
        <f ca="1">IFERROR(__xludf.DUMMYFUNCTION("IF
(
C12152=""фізична особа""
,
VLOOKUP(D12152,IMPORTRANGE(""https://docs.google.com/spreadsheets/d/14Bd19lYaqBhU8_DElYkX7l4wRkHqqCUFNJY4AfY3kHU/edit?usp=sharing  #gid=0"",""фіз особи new!relations_name""),6,FALSE)
,
(IF
(
C12152=""юридична особа""
,
VLOO"&amp;"KUP(D12152,IMPORTRANGE(""https://docs.google.com/spreadsheets/d/14Bd19lYaqBhU8_DElYkX7l4wRkHqqCUFNJY4AfY3kHU/edit?usp=sharing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1" s="7" t="s">
        <v>10</v>
      </c>
      <c r="H12151" s="7">
        <v>18005</v>
      </c>
      <c r="I12151" s="8" t="str">
        <f ca="1">IFERROR(__xludf.DUMMYFUNCTION("IF
(
G12152=""фізична особа""
,
VLOOKUP(H12152,IMPORTRANGE(""https://docs.google.com/spreadsheets/d/14Bd19lYaqBhU8_DElYkX7l4wRkHqqCUFNJY4AfY3kHU/edit?usp=sharing  #gid=0"",""фіз особи new!relations_name""),6,FALSE)
,
(IF
(
G12152=""юридична особа""
,
VLOO"&amp;"KUP(H12152,IMPORTRANGE(""https://docs.google.com/spreadsheets/d/14Bd19lYaqBhU8_DElYkX7l4wRkHqqCUFNJY4AfY3kHU/edit?usp=sharing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J12151" s="7" t="s">
        <v>11</v>
      </c>
    </row>
    <row r="12152" spans="1:10" ht="13.2">
      <c r="A12152" s="7">
        <v>12151</v>
      </c>
      <c r="B12152" s="7">
        <v>1</v>
      </c>
      <c r="C12152" s="7" t="s">
        <v>10</v>
      </c>
      <c r="D12152" s="7">
        <v>18007</v>
      </c>
      <c r="E12152" s="7" t="s">
        <v>11</v>
      </c>
      <c r="F12152" s="8" t="str">
        <f ca="1">IFERROR(__xludf.DUMMYFUNCTION("IF
(
C12153=""фізична особа""
,
VLOOKUP(D12153,IMPORTRANGE(""https://docs.google.com/spreadsheets/d/14Bd19lYaqBhU8_DElYkX7l4wRkHqqCUFNJY4AfY3kHU/edit?usp=sharing  #gid=0"",""фіз особи new!relations_name""),6,FALSE)
,
(IF
(
C12153=""юридична особа""
,
VLOO"&amp;"KUP(D12153,IMPORTRANGE(""https://docs.google.com/spreadsheets/d/14Bd19lYaqBhU8_DElYkX7l4wRkHqqCUFNJY4AfY3kHU/edit?usp=sharing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2" s="7" t="s">
        <v>10</v>
      </c>
      <c r="H12152" s="7">
        <v>18006</v>
      </c>
      <c r="I12152" s="8" t="str">
        <f ca="1">IFERROR(__xludf.DUMMYFUNCTION("IF
(
G12153=""фізична особа""
,
VLOOKUP(H12153,IMPORTRANGE(""https://docs.google.com/spreadsheets/d/14Bd19lYaqBhU8_DElYkX7l4wRkHqqCUFNJY4AfY3kHU/edit?usp=sharing  #gid=0"",""фіз особи new!relations_name""),6,FALSE)
,
(IF
(
G12153=""юридична особа""
,
VLOO"&amp;"KUP(H12153,IMPORTRANGE(""https://docs.google.com/spreadsheets/d/14Bd19lYaqBhU8_DElYkX7l4wRkHqqCUFNJY4AfY3kHU/edit?usp=sharing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J12152" s="7" t="s">
        <v>11</v>
      </c>
    </row>
    <row r="12153" spans="1:10" ht="13.2">
      <c r="A12153" s="7">
        <v>12152</v>
      </c>
      <c r="B12153" s="7">
        <v>1</v>
      </c>
      <c r="C12153" s="7" t="s">
        <v>10</v>
      </c>
      <c r="D12153" s="7">
        <v>18007</v>
      </c>
      <c r="E12153" s="7" t="s">
        <v>11</v>
      </c>
      <c r="F12153" s="8" t="str">
        <f ca="1">IFERROR(__xludf.DUMMYFUNCTION("IF
(
C12154=""фізична особа""
,
VLOOKUP(D12154,IMPORTRANGE(""https://docs.google.com/spreadsheets/d/14Bd19lYaqBhU8_DElYkX7l4wRkHqqCUFNJY4AfY3kHU/edit?usp=sharing  #gid=0"",""фіз особи new!relations_name""),6,FALSE)
,
(IF
(
C12154=""юридична особа""
,
VLOO"&amp;"KUP(D12154,IMPORTRANGE(""https://docs.google.com/spreadsheets/d/14Bd19lYaqBhU8_DElYkX7l4wRkHqqCUFNJY4AfY3kHU/edit?usp=sharing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3" s="7" t="s">
        <v>10</v>
      </c>
      <c r="H12153" s="7">
        <v>18008</v>
      </c>
      <c r="I12153" s="8" t="str">
        <f ca="1">IFERROR(__xludf.DUMMYFUNCTION("IF
(
G12154=""фізична особа""
,
VLOOKUP(H12154,IMPORTRANGE(""https://docs.google.com/spreadsheets/d/14Bd19lYaqBhU8_DElYkX7l4wRkHqqCUFNJY4AfY3kHU/edit?usp=sharing  #gid=0"",""фіз особи new!relations_name""),6,FALSE)
,
(IF
(
G12154=""юридична особа""
,
VLOO"&amp;"KUP(H12154,IMPORTRANGE(""https://docs.google.com/spreadsheets/d/14Bd19lYaqBhU8_DElYkX7l4wRkHqqCUFNJY4AfY3kHU/edit?usp=sharing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J12153" s="7" t="s">
        <v>11</v>
      </c>
    </row>
    <row r="12154" spans="1:10" ht="13.2">
      <c r="A12154" s="7">
        <v>12153</v>
      </c>
      <c r="B12154" s="7">
        <v>1</v>
      </c>
      <c r="C12154" s="7" t="s">
        <v>10</v>
      </c>
      <c r="D12154" s="7">
        <v>18007</v>
      </c>
      <c r="E12154" s="7" t="s">
        <v>11</v>
      </c>
      <c r="F12154" s="8" t="str">
        <f ca="1">IFERROR(__xludf.DUMMYFUNCTION("IF
(
C12155=""фізична особа""
,
VLOOKUP(D12155,IMPORTRANGE(""https://docs.google.com/spreadsheets/d/14Bd19lYaqBhU8_DElYkX7l4wRkHqqCUFNJY4AfY3kHU/edit?usp=sharing  #gid=0"",""фіз особи new!relations_name""),6,FALSE)
,
(IF
(
C12155=""юридична особа""
,
VLOO"&amp;"KUP(D12155,IMPORTRANGE(""https://docs.google.com/spreadsheets/d/14Bd19lYaqBhU8_DElYkX7l4wRkHqqCUFNJY4AfY3kHU/edit?usp=sharing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4" s="7" t="s">
        <v>10</v>
      </c>
      <c r="H12154" s="7">
        <v>18009</v>
      </c>
      <c r="I12154" s="8" t="str">
        <f ca="1">IFERROR(__xludf.DUMMYFUNCTION("IF
(
G12155=""фізична особа""
,
VLOOKUP(H12155,IMPORTRANGE(""https://docs.google.com/spreadsheets/d/14Bd19lYaqBhU8_DElYkX7l4wRkHqqCUFNJY4AfY3kHU/edit?usp=sharing  #gid=0"",""фіз особи new!relations_name""),6,FALSE)
,
(IF
(
G12155=""юридична особа""
,
VLOO"&amp;"KUP(H12155,IMPORTRANGE(""https://docs.google.com/spreadsheets/d/14Bd19lYaqBhU8_DElYkX7l4wRkHqqCUFNJY4AfY3kHU/edit?usp=sharing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J12154" s="7" t="s">
        <v>11</v>
      </c>
    </row>
    <row r="12155" spans="1:10" ht="13.2">
      <c r="A12155" s="7">
        <v>12154</v>
      </c>
      <c r="B12155" s="7">
        <v>1</v>
      </c>
      <c r="C12155" s="7" t="s">
        <v>10</v>
      </c>
      <c r="D12155" s="7">
        <v>18007</v>
      </c>
      <c r="E12155" s="7" t="s">
        <v>11</v>
      </c>
      <c r="F12155" s="8" t="str">
        <f ca="1">IFERROR(__xludf.DUMMYFUNCTION("IF
(
C12156=""фізична особа""
,
VLOOKUP(D12156,IMPORTRANGE(""https://docs.google.com/spreadsheets/d/14Bd19lYaqBhU8_DElYkX7l4wRkHqqCUFNJY4AfY3kHU/edit?usp=sharing  #gid=0"",""фіз особи new!relations_name""),6,FALSE)
,
(IF
(
C12156=""юридична особа""
,
VLOO"&amp;"KUP(D12156,IMPORTRANGE(""https://docs.google.com/spreadsheets/d/14Bd19lYaqBhU8_DElYkX7l4wRkHqqCUFNJY4AfY3kHU/edit?usp=sharing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5" s="7" t="s">
        <v>10</v>
      </c>
      <c r="H12155" s="7">
        <v>18010</v>
      </c>
      <c r="I12155" s="8" t="str">
        <f ca="1">IFERROR(__xludf.DUMMYFUNCTION("IF
(
G12156=""фізична особа""
,
VLOOKUP(H12156,IMPORTRANGE(""https://docs.google.com/spreadsheets/d/14Bd19lYaqBhU8_DElYkX7l4wRkHqqCUFNJY4AfY3kHU/edit?usp=sharing  #gid=0"",""фіз особи new!relations_name""),6,FALSE)
,
(IF
(
G12156=""юридична особа""
,
VLOO"&amp;"KUP(H12156,IMPORTRANGE(""https://docs.google.com/spreadsheets/d/14Bd19lYaqBhU8_DElYkX7l4wRkHqqCUFNJY4AfY3kHU/edit?usp=sharing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J12155" s="7" t="s">
        <v>11</v>
      </c>
    </row>
    <row r="12156" spans="1:10" ht="13.2">
      <c r="A12156" s="7">
        <v>12155</v>
      </c>
      <c r="B12156" s="7">
        <v>1</v>
      </c>
      <c r="C12156" s="7" t="s">
        <v>10</v>
      </c>
      <c r="D12156" s="7">
        <v>18007</v>
      </c>
      <c r="E12156" s="7" t="s">
        <v>11</v>
      </c>
      <c r="F12156" s="8" t="str">
        <f ca="1">IFERROR(__xludf.DUMMYFUNCTION("IF
(
C12157=""фізична особа""
,
VLOOKUP(D12157,IMPORTRANGE(""https://docs.google.com/spreadsheets/d/14Bd19lYaqBhU8_DElYkX7l4wRkHqqCUFNJY4AfY3kHU/edit?usp=sharing  #gid=0"",""фіз особи new!relations_name""),6,FALSE)
,
(IF
(
C12157=""юридична особа""
,
VLOO"&amp;"KUP(D12157,IMPORTRANGE(""https://docs.google.com/spreadsheets/d/14Bd19lYaqBhU8_DElYkX7l4wRkHqqCUFNJY4AfY3kHU/edit?usp=sharing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6" s="7" t="s">
        <v>10</v>
      </c>
      <c r="H12156" s="7">
        <v>2180</v>
      </c>
      <c r="I12156" s="8" t="str">
        <f ca="1">IFERROR(__xludf.DUMMYFUNCTION("IF
(
G12157=""фізична особа""
,
VLOOKUP(H12157,IMPORTRANGE(""https://docs.google.com/spreadsheets/d/14Bd19lYaqBhU8_DElYkX7l4wRkHqqCUFNJY4AfY3kHU/edit?usp=sharing  #gid=0"",""фіз особи new!relations_name""),6,FALSE)
,
(IF
(
G12157=""юридична особа""
,
VLOO"&amp;"KUP(H12157,IMPORTRANGE(""https://docs.google.com/spreadsheets/d/14Bd19lYaqBhU8_DElYkX7l4wRkHqqCUFNJY4AfY3kHU/edit?usp=sharing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56" s="7" t="s">
        <v>11</v>
      </c>
    </row>
    <row r="12157" spans="1:10" ht="13.2">
      <c r="A12157" s="7">
        <v>12156</v>
      </c>
      <c r="B12157" s="7">
        <v>1</v>
      </c>
      <c r="C12157" s="7" t="s">
        <v>10</v>
      </c>
      <c r="D12157" s="7">
        <v>18007</v>
      </c>
      <c r="E12157" s="7" t="s">
        <v>11</v>
      </c>
      <c r="F12157" s="8" t="str">
        <f ca="1">IFERROR(__xludf.DUMMYFUNCTION("IF
(
C12158=""фізична особа""
,
VLOOKUP(D12158,IMPORTRANGE(""https://docs.google.com/spreadsheets/d/14Bd19lYaqBhU8_DElYkX7l4wRkHqqCUFNJY4AfY3kHU/edit?usp=sharing  #gid=0"",""фіз особи new!relations_name""),6,FALSE)
,
(IF
(
C12158=""юридична особа""
,
VLOO"&amp;"KUP(D12158,IMPORTRANGE(""https://docs.google.com/spreadsheets/d/14Bd19lYaqBhU8_DElYkX7l4wRkHqqCUFNJY4AfY3kHU/edit?usp=sharing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7" s="7" t="s">
        <v>10</v>
      </c>
      <c r="H12157" s="7">
        <v>16800</v>
      </c>
      <c r="I12157" s="8" t="str">
        <f ca="1">IFERROR(__xludf.DUMMYFUNCTION("IF
(
G12158=""фізична особа""
,
VLOOKUP(H12158,IMPORTRANGE(""https://docs.google.com/spreadsheets/d/14Bd19lYaqBhU8_DElYkX7l4wRkHqqCUFNJY4AfY3kHU/edit?usp=sharing  #gid=0"",""фіз особи new!relations_name""),6,FALSE)
,
(IF
(
G12158=""юридична особа""
,
VLOO"&amp;"KUP(H12158,IMPORTRANGE(""https://docs.google.com/spreadsheets/d/14Bd19lYaqBhU8_DElYkX7l4wRkHqqCUFNJY4AfY3kHU/edit?usp=sharing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57" s="7" t="s">
        <v>11</v>
      </c>
    </row>
    <row r="12158" spans="1:10" ht="13.2">
      <c r="A12158" s="7">
        <v>12157</v>
      </c>
      <c r="B12158" s="7">
        <v>1</v>
      </c>
      <c r="C12158" s="7" t="s">
        <v>10</v>
      </c>
      <c r="D12158" s="7">
        <v>18007</v>
      </c>
      <c r="E12158" s="7" t="s">
        <v>11</v>
      </c>
      <c r="F12158" s="8" t="str">
        <f ca="1">IFERROR(__xludf.DUMMYFUNCTION("IF
(
C12159=""фізична особа""
,
VLOOKUP(D12159,IMPORTRANGE(""https://docs.google.com/spreadsheets/d/14Bd19lYaqBhU8_DElYkX7l4wRkHqqCUFNJY4AfY3kHU/edit?usp=sharing  #gid=0"",""фіз особи new!relations_name""),6,FALSE)
,
(IF
(
C12159=""юридична особа""
,
VLOO"&amp;"KUP(D12159,IMPORTRANGE(""https://docs.google.com/spreadsheets/d/14Bd19lYaqBhU8_DElYkX7l4wRkHqqCUFNJY4AfY3kHU/edit?usp=sharing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8" s="7" t="s">
        <v>10</v>
      </c>
      <c r="H12158" s="7">
        <v>957</v>
      </c>
      <c r="I12158" s="8" t="str">
        <f ca="1">IFERROR(__xludf.DUMMYFUNCTION("IF
(
G12159=""фізична особа""
,
VLOOKUP(H12159,IMPORTRANGE(""https://docs.google.com/spreadsheets/d/14Bd19lYaqBhU8_DElYkX7l4wRkHqqCUFNJY4AfY3kHU/edit?usp=sharing  #gid=0"",""фіз особи new!relations_name""),6,FALSE)
,
(IF
(
G12159=""юридична особа""
,
VLOO"&amp;"KUP(H12159,IMPORTRANGE(""https://docs.google.com/spreadsheets/d/14Bd19lYaqBhU8_DElYkX7l4wRkHqqCUFNJY4AfY3kHU/edit?usp=sharing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58" s="7" t="s">
        <v>11</v>
      </c>
    </row>
    <row r="12159" spans="1:10" ht="13.2">
      <c r="A12159" s="7">
        <v>12158</v>
      </c>
      <c r="B12159" s="7">
        <v>1</v>
      </c>
      <c r="C12159" s="7" t="s">
        <v>10</v>
      </c>
      <c r="D12159" s="7">
        <v>18007</v>
      </c>
      <c r="E12159" s="7" t="s">
        <v>11</v>
      </c>
      <c r="F12159" s="8" t="str">
        <f ca="1">IFERROR(__xludf.DUMMYFUNCTION("IF
(
C12160=""фізична особа""
,
VLOOKUP(D12160,IMPORTRANGE(""https://docs.google.com/spreadsheets/d/14Bd19lYaqBhU8_DElYkX7l4wRkHqqCUFNJY4AfY3kHU/edit?usp=sharing  #gid=0"",""фіз особи new!relations_name""),6,FALSE)
,
(IF
(
C12160=""юридична особа""
,
VLOO"&amp;"KUP(D12160,IMPORTRANGE(""https://docs.google.com/spreadsheets/d/14Bd19lYaqBhU8_DElYkX7l4wRkHqqCUFNJY4AfY3kHU/edit?usp=sharing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2159" s="7" t="s">
        <v>10</v>
      </c>
      <c r="H12159" s="7">
        <v>163</v>
      </c>
      <c r="I12159" s="8" t="str">
        <f ca="1">IFERROR(__xludf.DUMMYFUNCTION("IF
(
G12160=""фізична особа""
,
VLOOKUP(H12160,IMPORTRANGE(""https://docs.google.com/spreadsheets/d/14Bd19lYaqBhU8_DElYkX7l4wRkHqqCUFNJY4AfY3kHU/edit?usp=sharing  #gid=0"",""фіз особи new!relations_name""),6,FALSE)
,
(IF
(
G12160=""юридична особа""
,
VLOO"&amp;"KUP(H12160,IMPORTRANGE(""https://docs.google.com/spreadsheets/d/14Bd19lYaqBhU8_DElYkX7l4wRkHqqCUFNJY4AfY3kHU/edit?usp=sharing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59" s="7" t="s">
        <v>11</v>
      </c>
    </row>
    <row r="12160" spans="1:10" ht="13.2">
      <c r="A12160" s="7">
        <v>12159</v>
      </c>
      <c r="B12160" s="7">
        <v>1</v>
      </c>
      <c r="C12160" s="7" t="s">
        <v>10</v>
      </c>
      <c r="D12160" s="7">
        <v>18008</v>
      </c>
      <c r="E12160" s="7" t="s">
        <v>11</v>
      </c>
      <c r="F12160" s="8" t="str">
        <f ca="1">IFERROR(__xludf.DUMMYFUNCTION("IF
(
C12161=""фізична особа""
,
VLOOKUP(D12161,IMPORTRANGE(""https://docs.google.com/spreadsheets/d/14Bd19lYaqBhU8_DElYkX7l4wRkHqqCUFNJY4AfY3kHU/edit?usp=sharing  #gid=0"",""фіз особи new!relations_name""),6,FALSE)
,
(IF
(
C12161=""юридична особа""
,
VLOO"&amp;"KUP(D12161,IMPORTRANGE(""https://docs.google.com/spreadsheets/d/14Bd19lYaqBhU8_DElYkX7l4wRkHqqCUFNJY4AfY3kHU/edit?usp=sharing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0" s="7" t="s">
        <v>10</v>
      </c>
      <c r="H12160" s="7">
        <v>18005</v>
      </c>
      <c r="I12160" s="8" t="str">
        <f ca="1">IFERROR(__xludf.DUMMYFUNCTION("IF
(
G12161=""фізична особа""
,
VLOOKUP(H12161,IMPORTRANGE(""https://docs.google.com/spreadsheets/d/14Bd19lYaqBhU8_DElYkX7l4wRkHqqCUFNJY4AfY3kHU/edit?usp=sharing  #gid=0"",""фіз особи new!relations_name""),6,FALSE)
,
(IF
(
G12161=""юридична особа""
,
VLOO"&amp;"KUP(H12161,IMPORTRANGE(""https://docs.google.com/spreadsheets/d/14Bd19lYaqBhU8_DElYkX7l4wRkHqqCUFNJY4AfY3kHU/edit?usp=sharing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J12160" s="7" t="s">
        <v>11</v>
      </c>
    </row>
    <row r="12161" spans="1:10" ht="13.2">
      <c r="A12161" s="7">
        <v>12160</v>
      </c>
      <c r="B12161" s="7">
        <v>1</v>
      </c>
      <c r="C12161" s="7" t="s">
        <v>10</v>
      </c>
      <c r="D12161" s="7">
        <v>18008</v>
      </c>
      <c r="E12161" s="7" t="s">
        <v>11</v>
      </c>
      <c r="F12161" s="8" t="str">
        <f ca="1">IFERROR(__xludf.DUMMYFUNCTION("IF
(
C12162=""фізична особа""
,
VLOOKUP(D12162,IMPORTRANGE(""https://docs.google.com/spreadsheets/d/14Bd19lYaqBhU8_DElYkX7l4wRkHqqCUFNJY4AfY3kHU/edit?usp=sharing  #gid=0"",""фіз особи new!relations_name""),6,FALSE)
,
(IF
(
C12162=""юридична особа""
,
VLOO"&amp;"KUP(D12162,IMPORTRANGE(""https://docs.google.com/spreadsheets/d/14Bd19lYaqBhU8_DElYkX7l4wRkHqqCUFNJY4AfY3kHU/edit?usp=sharing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1" s="7" t="s">
        <v>10</v>
      </c>
      <c r="H12161" s="7">
        <v>18006</v>
      </c>
      <c r="I12161" s="8" t="str">
        <f ca="1">IFERROR(__xludf.DUMMYFUNCTION("IF
(
G12162=""фізична особа""
,
VLOOKUP(H12162,IMPORTRANGE(""https://docs.google.com/spreadsheets/d/14Bd19lYaqBhU8_DElYkX7l4wRkHqqCUFNJY4AfY3kHU/edit?usp=sharing  #gid=0"",""фіз особи new!relations_name""),6,FALSE)
,
(IF
(
G12162=""юридична особа""
,
VLOO"&amp;"KUP(H12162,IMPORTRANGE(""https://docs.google.com/spreadsheets/d/14Bd19lYaqBhU8_DElYkX7l4wRkHqqCUFNJY4AfY3kHU/edit?usp=sharing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J12161" s="7" t="s">
        <v>11</v>
      </c>
    </row>
    <row r="12162" spans="1:10" ht="13.2">
      <c r="A12162" s="7">
        <v>12161</v>
      </c>
      <c r="B12162" s="7">
        <v>1</v>
      </c>
      <c r="C12162" s="7" t="s">
        <v>10</v>
      </c>
      <c r="D12162" s="7">
        <v>18008</v>
      </c>
      <c r="E12162" s="7" t="s">
        <v>11</v>
      </c>
      <c r="F12162" s="8" t="str">
        <f ca="1">IFERROR(__xludf.DUMMYFUNCTION("IF
(
C12163=""фізична особа""
,
VLOOKUP(D12163,IMPORTRANGE(""https://docs.google.com/spreadsheets/d/14Bd19lYaqBhU8_DElYkX7l4wRkHqqCUFNJY4AfY3kHU/edit?usp=sharing  #gid=0"",""фіз особи new!relations_name""),6,FALSE)
,
(IF
(
C12163=""юридична особа""
,
VLOO"&amp;"KUP(D12163,IMPORTRANGE(""https://docs.google.com/spreadsheets/d/14Bd19lYaqBhU8_DElYkX7l4wRkHqqCUFNJY4AfY3kHU/edit?usp=sharing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2" s="7" t="s">
        <v>10</v>
      </c>
      <c r="H12162" s="7">
        <v>18007</v>
      </c>
      <c r="I12162" s="8" t="str">
        <f ca="1">IFERROR(__xludf.DUMMYFUNCTION("IF
(
G12163=""фізична особа""
,
VLOOKUP(H12163,IMPORTRANGE(""https://docs.google.com/spreadsheets/d/14Bd19lYaqBhU8_DElYkX7l4wRkHqqCUFNJY4AfY3kHU/edit?usp=sharing  #gid=0"",""фіз особи new!relations_name""),6,FALSE)
,
(IF
(
G12163=""юридична особа""
,
VLOO"&amp;"KUP(H12163,IMPORTRANGE(""https://docs.google.com/spreadsheets/d/14Bd19lYaqBhU8_DElYkX7l4wRkHqqCUFNJY4AfY3kHU/edit?usp=sharing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J12162" s="7" t="s">
        <v>11</v>
      </c>
    </row>
    <row r="12163" spans="1:10" ht="13.2">
      <c r="A12163" s="7">
        <v>12162</v>
      </c>
      <c r="B12163" s="7">
        <v>1</v>
      </c>
      <c r="C12163" s="7" t="s">
        <v>10</v>
      </c>
      <c r="D12163" s="7">
        <v>18008</v>
      </c>
      <c r="E12163" s="7" t="s">
        <v>11</v>
      </c>
      <c r="F12163" s="8" t="str">
        <f ca="1">IFERROR(__xludf.DUMMYFUNCTION("IF
(
C12164=""фізична особа""
,
VLOOKUP(D12164,IMPORTRANGE(""https://docs.google.com/spreadsheets/d/14Bd19lYaqBhU8_DElYkX7l4wRkHqqCUFNJY4AfY3kHU/edit?usp=sharing  #gid=0"",""фіз особи new!relations_name""),6,FALSE)
,
(IF
(
C12164=""юридична особа""
,
VLOO"&amp;"KUP(D12164,IMPORTRANGE(""https://docs.google.com/spreadsheets/d/14Bd19lYaqBhU8_DElYkX7l4wRkHqqCUFNJY4AfY3kHU/edit?usp=sharing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3" s="7" t="s">
        <v>10</v>
      </c>
      <c r="H12163" s="7">
        <v>18009</v>
      </c>
      <c r="I12163" s="8" t="str">
        <f ca="1">IFERROR(__xludf.DUMMYFUNCTION("IF
(
G12164=""фізична особа""
,
VLOOKUP(H12164,IMPORTRANGE(""https://docs.google.com/spreadsheets/d/14Bd19lYaqBhU8_DElYkX7l4wRkHqqCUFNJY4AfY3kHU/edit?usp=sharing  #gid=0"",""фіз особи new!relations_name""),6,FALSE)
,
(IF
(
G12164=""юридична особа""
,
VLOO"&amp;"KUP(H12164,IMPORTRANGE(""https://docs.google.com/spreadsheets/d/14Bd19lYaqBhU8_DElYkX7l4wRkHqqCUFNJY4AfY3kHU/edit?usp=sharing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J12163" s="7" t="s">
        <v>11</v>
      </c>
    </row>
    <row r="12164" spans="1:10" ht="13.2">
      <c r="A12164" s="7">
        <v>12163</v>
      </c>
      <c r="B12164" s="7">
        <v>1</v>
      </c>
      <c r="C12164" s="7" t="s">
        <v>10</v>
      </c>
      <c r="D12164" s="7">
        <v>18008</v>
      </c>
      <c r="E12164" s="7" t="s">
        <v>11</v>
      </c>
      <c r="F12164" s="8" t="str">
        <f ca="1">IFERROR(__xludf.DUMMYFUNCTION("IF
(
C12165=""фізична особа""
,
VLOOKUP(D12165,IMPORTRANGE(""https://docs.google.com/spreadsheets/d/14Bd19lYaqBhU8_DElYkX7l4wRkHqqCUFNJY4AfY3kHU/edit?usp=sharing  #gid=0"",""фіз особи new!relations_name""),6,FALSE)
,
(IF
(
C12165=""юридична особа""
,
VLOO"&amp;"KUP(D12165,IMPORTRANGE(""https://docs.google.com/spreadsheets/d/14Bd19lYaqBhU8_DElYkX7l4wRkHqqCUFNJY4AfY3kHU/edit?usp=sharing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4" s="7" t="s">
        <v>10</v>
      </c>
      <c r="H12164" s="7">
        <v>18010</v>
      </c>
      <c r="I12164" s="8" t="str">
        <f ca="1">IFERROR(__xludf.DUMMYFUNCTION("IF
(
G12165=""фізична особа""
,
VLOOKUP(H12165,IMPORTRANGE(""https://docs.google.com/spreadsheets/d/14Bd19lYaqBhU8_DElYkX7l4wRkHqqCUFNJY4AfY3kHU/edit?usp=sharing  #gid=0"",""фіз особи new!relations_name""),6,FALSE)
,
(IF
(
G12165=""юридична особа""
,
VLOO"&amp;"KUP(H12165,IMPORTRANGE(""https://docs.google.com/spreadsheets/d/14Bd19lYaqBhU8_DElYkX7l4wRkHqqCUFNJY4AfY3kHU/edit?usp=sharing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J12164" s="7" t="s">
        <v>11</v>
      </c>
    </row>
    <row r="12165" spans="1:10" ht="13.2">
      <c r="A12165" s="7">
        <v>12164</v>
      </c>
      <c r="B12165" s="7">
        <v>1</v>
      </c>
      <c r="C12165" s="7" t="s">
        <v>10</v>
      </c>
      <c r="D12165" s="7">
        <v>18008</v>
      </c>
      <c r="E12165" s="7" t="s">
        <v>11</v>
      </c>
      <c r="F12165" s="8" t="str">
        <f ca="1">IFERROR(__xludf.DUMMYFUNCTION("IF
(
C12166=""фізична особа""
,
VLOOKUP(D12166,IMPORTRANGE(""https://docs.google.com/spreadsheets/d/14Bd19lYaqBhU8_DElYkX7l4wRkHqqCUFNJY4AfY3kHU/edit?usp=sharing  #gid=0"",""фіз особи new!relations_name""),6,FALSE)
,
(IF
(
C12166=""юридична особа""
,
VLOO"&amp;"KUP(D12166,IMPORTRANGE(""https://docs.google.com/spreadsheets/d/14Bd19lYaqBhU8_DElYkX7l4wRkHqqCUFNJY4AfY3kHU/edit?usp=sharing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5" s="7" t="s">
        <v>10</v>
      </c>
      <c r="H12165" s="7">
        <v>2180</v>
      </c>
      <c r="I12165" s="8" t="str">
        <f ca="1">IFERROR(__xludf.DUMMYFUNCTION("IF
(
G12166=""фізична особа""
,
VLOOKUP(H12166,IMPORTRANGE(""https://docs.google.com/spreadsheets/d/14Bd19lYaqBhU8_DElYkX7l4wRkHqqCUFNJY4AfY3kHU/edit?usp=sharing  #gid=0"",""фіз особи new!relations_name""),6,FALSE)
,
(IF
(
G12166=""юридична особа""
,
VLOO"&amp;"KUP(H12166,IMPORTRANGE(""https://docs.google.com/spreadsheets/d/14Bd19lYaqBhU8_DElYkX7l4wRkHqqCUFNJY4AfY3kHU/edit?usp=sharing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65" s="7" t="s">
        <v>11</v>
      </c>
    </row>
    <row r="12166" spans="1:10" ht="13.2">
      <c r="A12166" s="7">
        <v>12165</v>
      </c>
      <c r="B12166" s="7">
        <v>1</v>
      </c>
      <c r="C12166" s="7" t="s">
        <v>10</v>
      </c>
      <c r="D12166" s="7">
        <v>18008</v>
      </c>
      <c r="E12166" s="7" t="s">
        <v>11</v>
      </c>
      <c r="F12166" s="8" t="str">
        <f ca="1">IFERROR(__xludf.DUMMYFUNCTION("IF
(
C12167=""фізична особа""
,
VLOOKUP(D12167,IMPORTRANGE(""https://docs.google.com/spreadsheets/d/14Bd19lYaqBhU8_DElYkX7l4wRkHqqCUFNJY4AfY3kHU/edit?usp=sharing  #gid=0"",""фіз особи new!relations_name""),6,FALSE)
,
(IF
(
C12167=""юридична особа""
,
VLOO"&amp;"KUP(D12167,IMPORTRANGE(""https://docs.google.com/spreadsheets/d/14Bd19lYaqBhU8_DElYkX7l4wRkHqqCUFNJY4AfY3kHU/edit?usp=sharing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6" s="7" t="s">
        <v>10</v>
      </c>
      <c r="H12166" s="7">
        <v>16800</v>
      </c>
      <c r="I12166" s="8" t="str">
        <f ca="1">IFERROR(__xludf.DUMMYFUNCTION("IF
(
G12167=""фізична особа""
,
VLOOKUP(H12167,IMPORTRANGE(""https://docs.google.com/spreadsheets/d/14Bd19lYaqBhU8_DElYkX7l4wRkHqqCUFNJY4AfY3kHU/edit?usp=sharing  #gid=0"",""фіз особи new!relations_name""),6,FALSE)
,
(IF
(
G12167=""юридична особа""
,
VLOO"&amp;"KUP(H12167,IMPORTRANGE(""https://docs.google.com/spreadsheets/d/14Bd19lYaqBhU8_DElYkX7l4wRkHqqCUFNJY4AfY3kHU/edit?usp=sharing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66" s="7" t="s">
        <v>11</v>
      </c>
    </row>
    <row r="12167" spans="1:10" ht="13.2">
      <c r="A12167" s="7">
        <v>12166</v>
      </c>
      <c r="B12167" s="7">
        <v>1</v>
      </c>
      <c r="C12167" s="7" t="s">
        <v>10</v>
      </c>
      <c r="D12167" s="7">
        <v>18008</v>
      </c>
      <c r="E12167" s="7" t="s">
        <v>11</v>
      </c>
      <c r="F12167" s="8" t="str">
        <f ca="1">IFERROR(__xludf.DUMMYFUNCTION("IF
(
C12168=""фізична особа""
,
VLOOKUP(D12168,IMPORTRANGE(""https://docs.google.com/spreadsheets/d/14Bd19lYaqBhU8_DElYkX7l4wRkHqqCUFNJY4AfY3kHU/edit?usp=sharing  #gid=0"",""фіз особи new!relations_name""),6,FALSE)
,
(IF
(
C12168=""юридична особа""
,
VLOO"&amp;"KUP(D12168,IMPORTRANGE(""https://docs.google.com/spreadsheets/d/14Bd19lYaqBhU8_DElYkX7l4wRkHqqCUFNJY4AfY3kHU/edit?usp=sharing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7" s="7" t="s">
        <v>10</v>
      </c>
      <c r="H12167" s="7">
        <v>957</v>
      </c>
      <c r="I12167" s="8" t="str">
        <f ca="1">IFERROR(__xludf.DUMMYFUNCTION("IF
(
G12168=""фізична особа""
,
VLOOKUP(H12168,IMPORTRANGE(""https://docs.google.com/spreadsheets/d/14Bd19lYaqBhU8_DElYkX7l4wRkHqqCUFNJY4AfY3kHU/edit?usp=sharing  #gid=0"",""фіз особи new!relations_name""),6,FALSE)
,
(IF
(
G12168=""юридична особа""
,
VLOO"&amp;"KUP(H12168,IMPORTRANGE(""https://docs.google.com/spreadsheets/d/14Bd19lYaqBhU8_DElYkX7l4wRkHqqCUFNJY4AfY3kHU/edit?usp=sharing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67" s="7" t="s">
        <v>11</v>
      </c>
    </row>
    <row r="12168" spans="1:10" ht="13.2">
      <c r="A12168" s="7">
        <v>12167</v>
      </c>
      <c r="B12168" s="7">
        <v>1</v>
      </c>
      <c r="C12168" s="7" t="s">
        <v>10</v>
      </c>
      <c r="D12168" s="7">
        <v>18008</v>
      </c>
      <c r="E12168" s="7" t="s">
        <v>11</v>
      </c>
      <c r="F12168" s="8" t="str">
        <f ca="1">IFERROR(__xludf.DUMMYFUNCTION("IF
(
C12169=""фізична особа""
,
VLOOKUP(D12169,IMPORTRANGE(""https://docs.google.com/spreadsheets/d/14Bd19lYaqBhU8_DElYkX7l4wRkHqqCUFNJY4AfY3kHU/edit?usp=sharing  #gid=0"",""фіз особи new!relations_name""),6,FALSE)
,
(IF
(
C12169=""юридична особа""
,
VLOO"&amp;"KUP(D12169,IMPORTRANGE(""https://docs.google.com/spreadsheets/d/14Bd19lYaqBhU8_DElYkX7l4wRkHqqCUFNJY4AfY3kHU/edit?usp=sharing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G12168" s="7" t="s">
        <v>10</v>
      </c>
      <c r="H12168" s="7">
        <v>163</v>
      </c>
      <c r="I12168" s="8" t="str">
        <f ca="1">IFERROR(__xludf.DUMMYFUNCTION("IF
(
G12169=""фізична особа""
,
VLOOKUP(H12169,IMPORTRANGE(""https://docs.google.com/spreadsheets/d/14Bd19lYaqBhU8_DElYkX7l4wRkHqqCUFNJY4AfY3kHU/edit?usp=sharing  #gid=0"",""фіз особи new!relations_name""),6,FALSE)
,
(IF
(
G12169=""юридична особа""
,
VLOO"&amp;"KUP(H12169,IMPORTRANGE(""https://docs.google.com/spreadsheets/d/14Bd19lYaqBhU8_DElYkX7l4wRkHqqCUFNJY4AfY3kHU/edit?usp=sharing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68" s="7" t="s">
        <v>11</v>
      </c>
    </row>
    <row r="12169" spans="1:10" ht="13.2">
      <c r="A12169" s="7">
        <v>12168</v>
      </c>
      <c r="B12169" s="7">
        <v>1</v>
      </c>
      <c r="C12169" s="7" t="s">
        <v>10</v>
      </c>
      <c r="D12169" s="7">
        <v>18009</v>
      </c>
      <c r="E12169" s="7" t="s">
        <v>11</v>
      </c>
      <c r="F12169" s="8" t="str">
        <f ca="1">IFERROR(__xludf.DUMMYFUNCTION("IF
(
C12170=""фізична особа""
,
VLOOKUP(D12170,IMPORTRANGE(""https://docs.google.com/spreadsheets/d/14Bd19lYaqBhU8_DElYkX7l4wRkHqqCUFNJY4AfY3kHU/edit?usp=sharing  #gid=0"",""фіз особи new!relations_name""),6,FALSE)
,
(IF
(
C12170=""юридична особа""
,
VLOO"&amp;"KUP(D12170,IMPORTRANGE(""https://docs.google.com/spreadsheets/d/14Bd19lYaqBhU8_DElYkX7l4wRkHqqCUFNJY4AfY3kHU/edit?usp=sharing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69" s="7" t="s">
        <v>10</v>
      </c>
      <c r="H12169" s="7">
        <v>18005</v>
      </c>
      <c r="I12169" s="8" t="str">
        <f ca="1">IFERROR(__xludf.DUMMYFUNCTION("IF
(
G12170=""фізична особа""
,
VLOOKUP(H12170,IMPORTRANGE(""https://docs.google.com/spreadsheets/d/14Bd19lYaqBhU8_DElYkX7l4wRkHqqCUFNJY4AfY3kHU/edit?usp=sharing  #gid=0"",""фіз особи new!relations_name""),6,FALSE)
,
(IF
(
G12170=""юридична особа""
,
VLOO"&amp;"KUP(H12170,IMPORTRANGE(""https://docs.google.com/spreadsheets/d/14Bd19lYaqBhU8_DElYkX7l4wRkHqqCUFNJY4AfY3kHU/edit?usp=sharing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J12169" s="7" t="s">
        <v>11</v>
      </c>
    </row>
    <row r="12170" spans="1:10" ht="13.2">
      <c r="A12170" s="7">
        <v>12169</v>
      </c>
      <c r="B12170" s="7">
        <v>1</v>
      </c>
      <c r="C12170" s="7" t="s">
        <v>10</v>
      </c>
      <c r="D12170" s="7">
        <v>18009</v>
      </c>
      <c r="E12170" s="7" t="s">
        <v>11</v>
      </c>
      <c r="F12170" s="8" t="str">
        <f ca="1">IFERROR(__xludf.DUMMYFUNCTION("IF
(
C12171=""фізична особа""
,
VLOOKUP(D12171,IMPORTRANGE(""https://docs.google.com/spreadsheets/d/14Bd19lYaqBhU8_DElYkX7l4wRkHqqCUFNJY4AfY3kHU/edit?usp=sharing  #gid=0"",""фіз особи new!relations_name""),6,FALSE)
,
(IF
(
C12171=""юридична особа""
,
VLOO"&amp;"KUP(D12171,IMPORTRANGE(""https://docs.google.com/spreadsheets/d/14Bd19lYaqBhU8_DElYkX7l4wRkHqqCUFNJY4AfY3kHU/edit?usp=sharing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0" s="7" t="s">
        <v>10</v>
      </c>
      <c r="H12170" s="7">
        <v>18006</v>
      </c>
      <c r="I12170" s="8" t="str">
        <f ca="1">IFERROR(__xludf.DUMMYFUNCTION("IF
(
G12171=""фізична особа""
,
VLOOKUP(H12171,IMPORTRANGE(""https://docs.google.com/spreadsheets/d/14Bd19lYaqBhU8_DElYkX7l4wRkHqqCUFNJY4AfY3kHU/edit?usp=sharing  #gid=0"",""фіз особи new!relations_name""),6,FALSE)
,
(IF
(
G12171=""юридична особа""
,
VLOO"&amp;"KUP(H12171,IMPORTRANGE(""https://docs.google.com/spreadsheets/d/14Bd19lYaqBhU8_DElYkX7l4wRkHqqCUFNJY4AfY3kHU/edit?usp=sharing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J12170" s="7" t="s">
        <v>11</v>
      </c>
    </row>
    <row r="12171" spans="1:10" ht="13.2">
      <c r="A12171" s="7">
        <v>12170</v>
      </c>
      <c r="B12171" s="7">
        <v>1</v>
      </c>
      <c r="C12171" s="7" t="s">
        <v>10</v>
      </c>
      <c r="D12171" s="7">
        <v>18009</v>
      </c>
      <c r="E12171" s="7" t="s">
        <v>11</v>
      </c>
      <c r="F12171" s="8" t="str">
        <f ca="1">IFERROR(__xludf.DUMMYFUNCTION("IF
(
C12172=""фізична особа""
,
VLOOKUP(D12172,IMPORTRANGE(""https://docs.google.com/spreadsheets/d/14Bd19lYaqBhU8_DElYkX7l4wRkHqqCUFNJY4AfY3kHU/edit?usp=sharing  #gid=0"",""фіз особи new!relations_name""),6,FALSE)
,
(IF
(
C12172=""юридична особа""
,
VLOO"&amp;"KUP(D12172,IMPORTRANGE(""https://docs.google.com/spreadsheets/d/14Bd19lYaqBhU8_DElYkX7l4wRkHqqCUFNJY4AfY3kHU/edit?usp=sharing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1" s="7" t="s">
        <v>10</v>
      </c>
      <c r="H12171" s="7">
        <v>18007</v>
      </c>
      <c r="I12171" s="8" t="str">
        <f ca="1">IFERROR(__xludf.DUMMYFUNCTION("IF
(
G12172=""фізична особа""
,
VLOOKUP(H12172,IMPORTRANGE(""https://docs.google.com/spreadsheets/d/14Bd19lYaqBhU8_DElYkX7l4wRkHqqCUFNJY4AfY3kHU/edit?usp=sharing  #gid=0"",""фіз особи new!relations_name""),6,FALSE)
,
(IF
(
G12172=""юридична особа""
,
VLOO"&amp;"KUP(H12172,IMPORTRANGE(""https://docs.google.com/spreadsheets/d/14Bd19lYaqBhU8_DElYkX7l4wRkHqqCUFNJY4AfY3kHU/edit?usp=sharing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J12171" s="7" t="s">
        <v>11</v>
      </c>
    </row>
    <row r="12172" spans="1:10" ht="13.2">
      <c r="A12172" s="7">
        <v>12171</v>
      </c>
      <c r="B12172" s="7">
        <v>1</v>
      </c>
      <c r="C12172" s="7" t="s">
        <v>10</v>
      </c>
      <c r="D12172" s="7">
        <v>18009</v>
      </c>
      <c r="E12172" s="7" t="s">
        <v>11</v>
      </c>
      <c r="F12172" s="8" t="str">
        <f ca="1">IFERROR(__xludf.DUMMYFUNCTION("IF
(
C12173=""фізична особа""
,
VLOOKUP(D12173,IMPORTRANGE(""https://docs.google.com/spreadsheets/d/14Bd19lYaqBhU8_DElYkX7l4wRkHqqCUFNJY4AfY3kHU/edit?usp=sharing  #gid=0"",""фіз особи new!relations_name""),6,FALSE)
,
(IF
(
C12173=""юридична особа""
,
VLOO"&amp;"KUP(D12173,IMPORTRANGE(""https://docs.google.com/spreadsheets/d/14Bd19lYaqBhU8_DElYkX7l4wRkHqqCUFNJY4AfY3kHU/edit?usp=sharing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2" s="7" t="s">
        <v>10</v>
      </c>
      <c r="H12172" s="7">
        <v>18008</v>
      </c>
      <c r="I12172" s="8" t="str">
        <f ca="1">IFERROR(__xludf.DUMMYFUNCTION("IF
(
G12173=""фізична особа""
,
VLOOKUP(H12173,IMPORTRANGE(""https://docs.google.com/spreadsheets/d/14Bd19lYaqBhU8_DElYkX7l4wRkHqqCUFNJY4AfY3kHU/edit?usp=sharing  #gid=0"",""фіз особи new!relations_name""),6,FALSE)
,
(IF
(
G12173=""юридична особа""
,
VLOO"&amp;"KUP(H12173,IMPORTRANGE(""https://docs.google.com/spreadsheets/d/14Bd19lYaqBhU8_DElYkX7l4wRkHqqCUFNJY4AfY3kHU/edit?usp=sharing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J12172" s="7" t="s">
        <v>11</v>
      </c>
    </row>
    <row r="12173" spans="1:10" ht="13.2">
      <c r="A12173" s="7">
        <v>12172</v>
      </c>
      <c r="B12173" s="7">
        <v>1</v>
      </c>
      <c r="C12173" s="7" t="s">
        <v>10</v>
      </c>
      <c r="D12173" s="7">
        <v>18009</v>
      </c>
      <c r="E12173" s="7" t="s">
        <v>11</v>
      </c>
      <c r="F12173" s="8" t="str">
        <f ca="1">IFERROR(__xludf.DUMMYFUNCTION("IF
(
C12174=""фізична особа""
,
VLOOKUP(D12174,IMPORTRANGE(""https://docs.google.com/spreadsheets/d/14Bd19lYaqBhU8_DElYkX7l4wRkHqqCUFNJY4AfY3kHU/edit?usp=sharing  #gid=0"",""фіз особи new!relations_name""),6,FALSE)
,
(IF
(
C12174=""юридична особа""
,
VLOO"&amp;"KUP(D12174,IMPORTRANGE(""https://docs.google.com/spreadsheets/d/14Bd19lYaqBhU8_DElYkX7l4wRkHqqCUFNJY4AfY3kHU/edit?usp=sharing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3" s="7" t="s">
        <v>10</v>
      </c>
      <c r="H12173" s="7">
        <v>18010</v>
      </c>
      <c r="I12173" s="8" t="str">
        <f ca="1">IFERROR(__xludf.DUMMYFUNCTION("IF
(
G12174=""фізична особа""
,
VLOOKUP(H12174,IMPORTRANGE(""https://docs.google.com/spreadsheets/d/14Bd19lYaqBhU8_DElYkX7l4wRkHqqCUFNJY4AfY3kHU/edit?usp=sharing  #gid=0"",""фіз особи new!relations_name""),6,FALSE)
,
(IF
(
G12174=""юридична особа""
,
VLOO"&amp;"KUP(H12174,IMPORTRANGE(""https://docs.google.com/spreadsheets/d/14Bd19lYaqBhU8_DElYkX7l4wRkHqqCUFNJY4AfY3kHU/edit?usp=sharing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J12173" s="7" t="s">
        <v>11</v>
      </c>
    </row>
    <row r="12174" spans="1:10" ht="13.2">
      <c r="A12174" s="7">
        <v>12173</v>
      </c>
      <c r="B12174" s="7">
        <v>1</v>
      </c>
      <c r="C12174" s="7" t="s">
        <v>10</v>
      </c>
      <c r="D12174" s="7">
        <v>18009</v>
      </c>
      <c r="E12174" s="7" t="s">
        <v>11</v>
      </c>
      <c r="F12174" s="8" t="str">
        <f ca="1">IFERROR(__xludf.DUMMYFUNCTION("IF
(
C12175=""фізична особа""
,
VLOOKUP(D12175,IMPORTRANGE(""https://docs.google.com/spreadsheets/d/14Bd19lYaqBhU8_DElYkX7l4wRkHqqCUFNJY4AfY3kHU/edit?usp=sharing  #gid=0"",""фіз особи new!relations_name""),6,FALSE)
,
(IF
(
C12175=""юридична особа""
,
VLOO"&amp;"KUP(D12175,IMPORTRANGE(""https://docs.google.com/spreadsheets/d/14Bd19lYaqBhU8_DElYkX7l4wRkHqqCUFNJY4AfY3kHU/edit?usp=sharing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4" s="7" t="s">
        <v>10</v>
      </c>
      <c r="H12174" s="7">
        <v>2180</v>
      </c>
      <c r="I12174" s="8" t="str">
        <f ca="1">IFERROR(__xludf.DUMMYFUNCTION("IF
(
G12175=""фізична особа""
,
VLOOKUP(H12175,IMPORTRANGE(""https://docs.google.com/spreadsheets/d/14Bd19lYaqBhU8_DElYkX7l4wRkHqqCUFNJY4AfY3kHU/edit?usp=sharing  #gid=0"",""фіз особи new!relations_name""),6,FALSE)
,
(IF
(
G12175=""юридична особа""
,
VLOO"&amp;"KUP(H12175,IMPORTRANGE(""https://docs.google.com/spreadsheets/d/14Bd19lYaqBhU8_DElYkX7l4wRkHqqCUFNJY4AfY3kHU/edit?usp=sharing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74" s="7" t="s">
        <v>11</v>
      </c>
    </row>
    <row r="12175" spans="1:10" ht="13.2">
      <c r="A12175" s="7">
        <v>12174</v>
      </c>
      <c r="B12175" s="7">
        <v>1</v>
      </c>
      <c r="C12175" s="7" t="s">
        <v>10</v>
      </c>
      <c r="D12175" s="7">
        <v>18009</v>
      </c>
      <c r="E12175" s="7" t="s">
        <v>11</v>
      </c>
      <c r="F12175" s="8" t="str">
        <f ca="1">IFERROR(__xludf.DUMMYFUNCTION("IF
(
C12176=""фізична особа""
,
VLOOKUP(D12176,IMPORTRANGE(""https://docs.google.com/spreadsheets/d/14Bd19lYaqBhU8_DElYkX7l4wRkHqqCUFNJY4AfY3kHU/edit?usp=sharing  #gid=0"",""фіз особи new!relations_name""),6,FALSE)
,
(IF
(
C12176=""юридична особа""
,
VLOO"&amp;"KUP(D12176,IMPORTRANGE(""https://docs.google.com/spreadsheets/d/14Bd19lYaqBhU8_DElYkX7l4wRkHqqCUFNJY4AfY3kHU/edit?usp=sharing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5" s="7" t="s">
        <v>10</v>
      </c>
      <c r="H12175" s="7">
        <v>16800</v>
      </c>
      <c r="I12175" s="8" t="str">
        <f ca="1">IFERROR(__xludf.DUMMYFUNCTION("IF
(
G12176=""фізична особа""
,
VLOOKUP(H12176,IMPORTRANGE(""https://docs.google.com/spreadsheets/d/14Bd19lYaqBhU8_DElYkX7l4wRkHqqCUFNJY4AfY3kHU/edit?usp=sharing  #gid=0"",""фіз особи new!relations_name""),6,FALSE)
,
(IF
(
G12176=""юридична особа""
,
VLOO"&amp;"KUP(H12176,IMPORTRANGE(""https://docs.google.com/spreadsheets/d/14Bd19lYaqBhU8_DElYkX7l4wRkHqqCUFNJY4AfY3kHU/edit?usp=sharing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75" s="7" t="s">
        <v>11</v>
      </c>
    </row>
    <row r="12176" spans="1:10" ht="13.2">
      <c r="A12176" s="7">
        <v>12175</v>
      </c>
      <c r="B12176" s="7">
        <v>1</v>
      </c>
      <c r="C12176" s="7" t="s">
        <v>10</v>
      </c>
      <c r="D12176" s="7">
        <v>18009</v>
      </c>
      <c r="E12176" s="7" t="s">
        <v>11</v>
      </c>
      <c r="F12176" s="8" t="str">
        <f ca="1">IFERROR(__xludf.DUMMYFUNCTION("IF
(
C12177=""фізична особа""
,
VLOOKUP(D12177,IMPORTRANGE(""https://docs.google.com/spreadsheets/d/14Bd19lYaqBhU8_DElYkX7l4wRkHqqCUFNJY4AfY3kHU/edit?usp=sharing  #gid=0"",""фіз особи new!relations_name""),6,FALSE)
,
(IF
(
C12177=""юридична особа""
,
VLOO"&amp;"KUP(D12177,IMPORTRANGE(""https://docs.google.com/spreadsheets/d/14Bd19lYaqBhU8_DElYkX7l4wRkHqqCUFNJY4AfY3kHU/edit?usp=sharing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6" s="7" t="s">
        <v>10</v>
      </c>
      <c r="H12176" s="7">
        <v>957</v>
      </c>
      <c r="I12176" s="8" t="str">
        <f ca="1">IFERROR(__xludf.DUMMYFUNCTION("IF
(
G12177=""фізична особа""
,
VLOOKUP(H12177,IMPORTRANGE(""https://docs.google.com/spreadsheets/d/14Bd19lYaqBhU8_DElYkX7l4wRkHqqCUFNJY4AfY3kHU/edit?usp=sharing  #gid=0"",""фіз особи new!relations_name""),6,FALSE)
,
(IF
(
G12177=""юридична особа""
,
VLOO"&amp;"KUP(H12177,IMPORTRANGE(""https://docs.google.com/spreadsheets/d/14Bd19lYaqBhU8_DElYkX7l4wRkHqqCUFNJY4AfY3kHU/edit?usp=sharing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76" s="7" t="s">
        <v>11</v>
      </c>
    </row>
    <row r="12177" spans="1:10" ht="13.2">
      <c r="A12177" s="7">
        <v>12176</v>
      </c>
      <c r="B12177" s="7">
        <v>1</v>
      </c>
      <c r="C12177" s="7" t="s">
        <v>10</v>
      </c>
      <c r="D12177" s="7">
        <v>18009</v>
      </c>
      <c r="E12177" s="7" t="s">
        <v>11</v>
      </c>
      <c r="F12177" s="8" t="str">
        <f ca="1">IFERROR(__xludf.DUMMYFUNCTION("IF
(
C12178=""фізична особа""
,
VLOOKUP(D12178,IMPORTRANGE(""https://docs.google.com/spreadsheets/d/14Bd19lYaqBhU8_DElYkX7l4wRkHqqCUFNJY4AfY3kHU/edit?usp=sharing  #gid=0"",""фіз особи new!relations_name""),6,FALSE)
,
(IF
(
C12178=""юридична особа""
,
VLOO"&amp;"KUP(D12178,IMPORTRANGE(""https://docs.google.com/spreadsheets/d/14Bd19lYaqBhU8_DElYkX7l4wRkHqqCUFNJY4AfY3kHU/edit?usp=sharing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G12177" s="7" t="s">
        <v>10</v>
      </c>
      <c r="H12177" s="7">
        <v>163</v>
      </c>
      <c r="I12177" s="8" t="str">
        <f ca="1">IFERROR(__xludf.DUMMYFUNCTION("IF
(
G12178=""фізична особа""
,
VLOOKUP(H12178,IMPORTRANGE(""https://docs.google.com/spreadsheets/d/14Bd19lYaqBhU8_DElYkX7l4wRkHqqCUFNJY4AfY3kHU/edit?usp=sharing  #gid=0"",""фіз особи new!relations_name""),6,FALSE)
,
(IF
(
G12178=""юридична особа""
,
VLOO"&amp;"KUP(H12178,IMPORTRANGE(""https://docs.google.com/spreadsheets/d/14Bd19lYaqBhU8_DElYkX7l4wRkHqqCUFNJY4AfY3kHU/edit?usp=sharing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77" s="7" t="s">
        <v>11</v>
      </c>
    </row>
    <row r="12178" spans="1:10" ht="13.2">
      <c r="A12178" s="7">
        <v>12177</v>
      </c>
      <c r="B12178" s="7">
        <v>1</v>
      </c>
      <c r="C12178" s="7" t="s">
        <v>10</v>
      </c>
      <c r="D12178" s="7">
        <v>18010</v>
      </c>
      <c r="E12178" s="7" t="s">
        <v>11</v>
      </c>
      <c r="F12178" s="8" t="str">
        <f ca="1">IFERROR(__xludf.DUMMYFUNCTION("IF
(
C12179=""фізична особа""
,
VLOOKUP(D12179,IMPORTRANGE(""https://docs.google.com/spreadsheets/d/14Bd19lYaqBhU8_DElYkX7l4wRkHqqCUFNJY4AfY3kHU/edit?usp=sharing  #gid=0"",""фіз особи new!relations_name""),6,FALSE)
,
(IF
(
C12179=""юридична особа""
,
VLOO"&amp;"KUP(D12179,IMPORTRANGE(""https://docs.google.com/spreadsheets/d/14Bd19lYaqBhU8_DElYkX7l4wRkHqqCUFNJY4AfY3kHU/edit?usp=sharing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78" s="7" t="s">
        <v>10</v>
      </c>
      <c r="H12178" s="7">
        <v>18005</v>
      </c>
      <c r="I12178" s="8" t="str">
        <f ca="1">IFERROR(__xludf.DUMMYFUNCTION("IF
(
G12179=""фізична особа""
,
VLOOKUP(H12179,IMPORTRANGE(""https://docs.google.com/spreadsheets/d/14Bd19lYaqBhU8_DElYkX7l4wRkHqqCUFNJY4AfY3kHU/edit?usp=sharing  #gid=0"",""фіз особи new!relations_name""),6,FALSE)
,
(IF
(
G12179=""юридична особа""
,
VLOO"&amp;"KUP(H12179,IMPORTRANGE(""https://docs.google.com/spreadsheets/d/14Bd19lYaqBhU8_DElYkX7l4wRkHqqCUFNJY4AfY3kHU/edit?usp=sharing  #gid=0"",""фіз особи new!relations_name_uo""),7,FALSE)
,
)
))"),"ЛАЗЄЄВ Андрій Миколайович")</f>
        <v>ЛАЗЄЄВ Андрій Миколайович</v>
      </c>
      <c r="J12178" s="7" t="s">
        <v>11</v>
      </c>
    </row>
    <row r="12179" spans="1:10" ht="13.2">
      <c r="A12179" s="7">
        <v>12178</v>
      </c>
      <c r="B12179" s="7">
        <v>1</v>
      </c>
      <c r="C12179" s="7" t="s">
        <v>10</v>
      </c>
      <c r="D12179" s="7">
        <v>18010</v>
      </c>
      <c r="E12179" s="7" t="s">
        <v>11</v>
      </c>
      <c r="F12179" s="8" t="str">
        <f ca="1">IFERROR(__xludf.DUMMYFUNCTION("IF
(
C12180=""фізична особа""
,
VLOOKUP(D12180,IMPORTRANGE(""https://docs.google.com/spreadsheets/d/14Bd19lYaqBhU8_DElYkX7l4wRkHqqCUFNJY4AfY3kHU/edit?usp=sharing  #gid=0"",""фіз особи new!relations_name""),6,FALSE)
,
(IF
(
C12180=""юридична особа""
,
VLOO"&amp;"KUP(D12180,IMPORTRANGE(""https://docs.google.com/spreadsheets/d/14Bd19lYaqBhU8_DElYkX7l4wRkHqqCUFNJY4AfY3kHU/edit?usp=sharing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79" s="7" t="s">
        <v>10</v>
      </c>
      <c r="H12179" s="7">
        <v>18006</v>
      </c>
      <c r="I12179" s="8" t="str">
        <f ca="1">IFERROR(__xludf.DUMMYFUNCTION("IF
(
G12180=""фізична особа""
,
VLOOKUP(H12180,IMPORTRANGE(""https://docs.google.com/spreadsheets/d/14Bd19lYaqBhU8_DElYkX7l4wRkHqqCUFNJY4AfY3kHU/edit?usp=sharing  #gid=0"",""фіз особи new!relations_name""),6,FALSE)
,
(IF
(
G12180=""юридична особа""
,
VLOO"&amp;"KUP(H12180,IMPORTRANGE(""https://docs.google.com/spreadsheets/d/14Bd19lYaqBhU8_DElYkX7l4wRkHqqCUFNJY4AfY3kHU/edit?usp=sharing  #gid=0"",""фіз особи new!relations_name_uo""),7,FALSE)
,
)
))"),"ХАМІТОВ Рустем Закієвич")</f>
        <v>ХАМІТОВ Рустем Закієвич</v>
      </c>
      <c r="J12179" s="7" t="s">
        <v>11</v>
      </c>
    </row>
    <row r="12180" spans="1:10" ht="13.2">
      <c r="A12180" s="7">
        <v>12179</v>
      </c>
      <c r="B12180" s="7">
        <v>1</v>
      </c>
      <c r="C12180" s="7" t="s">
        <v>10</v>
      </c>
      <c r="D12180" s="7">
        <v>18010</v>
      </c>
      <c r="E12180" s="7" t="s">
        <v>11</v>
      </c>
      <c r="F12180" s="8" t="str">
        <f ca="1">IFERROR(__xludf.DUMMYFUNCTION("IF
(
C12181=""фізична особа""
,
VLOOKUP(D12181,IMPORTRANGE(""https://docs.google.com/spreadsheets/d/14Bd19lYaqBhU8_DElYkX7l4wRkHqqCUFNJY4AfY3kHU/edit?usp=sharing  #gid=0"",""фіз особи new!relations_name""),6,FALSE)
,
(IF
(
C12181=""юридична особа""
,
VLOO"&amp;"KUP(D12181,IMPORTRANGE(""https://docs.google.com/spreadsheets/d/14Bd19lYaqBhU8_DElYkX7l4wRkHqqCUFNJY4AfY3kHU/edit?usp=sharing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0" s="7" t="s">
        <v>10</v>
      </c>
      <c r="H12180" s="7">
        <v>18007</v>
      </c>
      <c r="I12180" s="8" t="str">
        <f ca="1">IFERROR(__xludf.DUMMYFUNCTION("IF
(
G12181=""фізична особа""
,
VLOOKUP(H12181,IMPORTRANGE(""https://docs.google.com/spreadsheets/d/14Bd19lYaqBhU8_DElYkX7l4wRkHqqCUFNJY4AfY3kHU/edit?usp=sharing  #gid=0"",""фіз особи new!relations_name""),6,FALSE)
,
(IF
(
G12181=""юридична особа""
,
VLOO"&amp;"KUP(H12181,IMPORTRANGE(""https://docs.google.com/spreadsheets/d/14Bd19lYaqBhU8_DElYkX7l4wRkHqqCUFNJY4AfY3kHU/edit?usp=sharing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J12180" s="7" t="s">
        <v>11</v>
      </c>
    </row>
    <row r="12181" spans="1:10" ht="13.2">
      <c r="A12181" s="7">
        <v>12180</v>
      </c>
      <c r="B12181" s="7">
        <v>1</v>
      </c>
      <c r="C12181" s="7" t="s">
        <v>10</v>
      </c>
      <c r="D12181" s="7">
        <v>18010</v>
      </c>
      <c r="E12181" s="7" t="s">
        <v>11</v>
      </c>
      <c r="F12181" s="8" t="str">
        <f ca="1">IFERROR(__xludf.DUMMYFUNCTION("IF
(
C12182=""фізична особа""
,
VLOOKUP(D12182,IMPORTRANGE(""https://docs.google.com/spreadsheets/d/14Bd19lYaqBhU8_DElYkX7l4wRkHqqCUFNJY4AfY3kHU/edit?usp=sharing  #gid=0"",""фіз особи new!relations_name""),6,FALSE)
,
(IF
(
C12182=""юридична особа""
,
VLOO"&amp;"KUP(D12182,IMPORTRANGE(""https://docs.google.com/spreadsheets/d/14Bd19lYaqBhU8_DElYkX7l4wRkHqqCUFNJY4AfY3kHU/edit?usp=sharing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1" s="7" t="s">
        <v>10</v>
      </c>
      <c r="H12181" s="7">
        <v>18008</v>
      </c>
      <c r="I12181" s="8" t="str">
        <f ca="1">IFERROR(__xludf.DUMMYFUNCTION("IF
(
G12182=""фізична особа""
,
VLOOKUP(H12182,IMPORTRANGE(""https://docs.google.com/spreadsheets/d/14Bd19lYaqBhU8_DElYkX7l4wRkHqqCUFNJY4AfY3kHU/edit?usp=sharing  #gid=0"",""фіз особи new!relations_name""),6,FALSE)
,
(IF
(
G12182=""юридична особа""
,
VLOO"&amp;"KUP(H12182,IMPORTRANGE(""https://docs.google.com/spreadsheets/d/14Bd19lYaqBhU8_DElYkX7l4wRkHqqCUFNJY4AfY3kHU/edit?usp=sharing  #gid=0"",""фіз особи new!relations_name_uo""),7,FALSE)
,
)
))"),"РОМАНОВ Олександр Анатолійович")</f>
        <v>РОМАНОВ Олександр Анатолійович</v>
      </c>
      <c r="J12181" s="7" t="s">
        <v>11</v>
      </c>
    </row>
    <row r="12182" spans="1:10" ht="13.2">
      <c r="A12182" s="7">
        <v>12181</v>
      </c>
      <c r="B12182" s="7">
        <v>1</v>
      </c>
      <c r="C12182" s="7" t="s">
        <v>10</v>
      </c>
      <c r="D12182" s="7">
        <v>18010</v>
      </c>
      <c r="E12182" s="7" t="s">
        <v>11</v>
      </c>
      <c r="F12182" s="8" t="str">
        <f ca="1">IFERROR(__xludf.DUMMYFUNCTION("IF
(
C12183=""фізична особа""
,
VLOOKUP(D12183,IMPORTRANGE(""https://docs.google.com/spreadsheets/d/14Bd19lYaqBhU8_DElYkX7l4wRkHqqCUFNJY4AfY3kHU/edit?usp=sharing  #gid=0"",""фіз особи new!relations_name""),6,FALSE)
,
(IF
(
C12183=""юридична особа""
,
VLOO"&amp;"KUP(D12183,IMPORTRANGE(""https://docs.google.com/spreadsheets/d/14Bd19lYaqBhU8_DElYkX7l4wRkHqqCUFNJY4AfY3kHU/edit?usp=sharing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2" s="7" t="s">
        <v>10</v>
      </c>
      <c r="H12182" s="7">
        <v>18009</v>
      </c>
      <c r="I12182" s="8" t="str">
        <f ca="1">IFERROR(__xludf.DUMMYFUNCTION("IF
(
G12183=""фізична особа""
,
VLOOKUP(H12183,IMPORTRANGE(""https://docs.google.com/spreadsheets/d/14Bd19lYaqBhU8_DElYkX7l4wRkHqqCUFNJY4AfY3kHU/edit?usp=sharing  #gid=0"",""фіз особи new!relations_name""),6,FALSE)
,
(IF
(
G12183=""юридична особа""
,
VLOO"&amp;"KUP(H12183,IMPORTRANGE(""https://docs.google.com/spreadsheets/d/14Bd19lYaqBhU8_DElYkX7l4wRkHqqCUFNJY4AfY3kHU/edit?usp=sharing  #gid=0"",""фіз особи new!relations_name_uo""),7,FALSE)
,
)
))"),"ТАБАЧНІКОВ Ігор Борисович")</f>
        <v>ТАБАЧНІКОВ Ігор Борисович</v>
      </c>
      <c r="J12182" s="7" t="s">
        <v>11</v>
      </c>
    </row>
    <row r="12183" spans="1:10" ht="13.2">
      <c r="A12183" s="7">
        <v>12182</v>
      </c>
      <c r="B12183" s="7">
        <v>1</v>
      </c>
      <c r="C12183" s="7" t="s">
        <v>10</v>
      </c>
      <c r="D12183" s="7">
        <v>18010</v>
      </c>
      <c r="E12183" s="7" t="s">
        <v>11</v>
      </c>
      <c r="F12183" s="8" t="str">
        <f ca="1">IFERROR(__xludf.DUMMYFUNCTION("IF
(
C12184=""фізична особа""
,
VLOOKUP(D12184,IMPORTRANGE(""https://docs.google.com/spreadsheets/d/14Bd19lYaqBhU8_DElYkX7l4wRkHqqCUFNJY4AfY3kHU/edit?usp=sharing  #gid=0"",""фіз особи new!relations_name""),6,FALSE)
,
(IF
(
C12184=""юридична особа""
,
VLOO"&amp;"KUP(D12184,IMPORTRANGE(""https://docs.google.com/spreadsheets/d/14Bd19lYaqBhU8_DElYkX7l4wRkHqqCUFNJY4AfY3kHU/edit?usp=sharing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3" s="7" t="s">
        <v>10</v>
      </c>
      <c r="H12183" s="7">
        <v>2180</v>
      </c>
      <c r="I12183" s="8" t="str">
        <f ca="1">IFERROR(__xludf.DUMMYFUNCTION("IF
(
G12184=""фізична особа""
,
VLOOKUP(H12184,IMPORTRANGE(""https://docs.google.com/spreadsheets/d/14Bd19lYaqBhU8_DElYkX7l4wRkHqqCUFNJY4AfY3kHU/edit?usp=sharing  #gid=0"",""фіз особи new!relations_name""),6,FALSE)
,
(IF
(
G12184=""юридична особа""
,
VLOO"&amp;"KUP(H12184,IMPORTRANGE(""https://docs.google.com/spreadsheets/d/14Bd19lYaqBhU8_DElYkX7l4wRkHqqCUFNJY4AfY3kHU/edit?usp=sharing  #gid=0"",""фіз особи new!relations_name_uo""),7,FALSE)
,
)
))"),"ШИШКІН Андрій Миколайович")</f>
        <v>ШИШКІН Андрій Миколайович</v>
      </c>
      <c r="J12183" s="7" t="s">
        <v>11</v>
      </c>
    </row>
    <row r="12184" spans="1:10" ht="13.2">
      <c r="A12184" s="7">
        <v>12183</v>
      </c>
      <c r="B12184" s="7">
        <v>1</v>
      </c>
      <c r="C12184" s="7" t="s">
        <v>10</v>
      </c>
      <c r="D12184" s="7">
        <v>18010</v>
      </c>
      <c r="E12184" s="7" t="s">
        <v>11</v>
      </c>
      <c r="F12184" s="8" t="str">
        <f ca="1">IFERROR(__xludf.DUMMYFUNCTION("IF
(
C12185=""фізична особа""
,
VLOOKUP(D12185,IMPORTRANGE(""https://docs.google.com/spreadsheets/d/14Bd19lYaqBhU8_DElYkX7l4wRkHqqCUFNJY4AfY3kHU/edit?usp=sharing  #gid=0"",""фіз особи new!relations_name""),6,FALSE)
,
(IF
(
C12185=""юридична особа""
,
VLOO"&amp;"KUP(D12185,IMPORTRANGE(""https://docs.google.com/spreadsheets/d/14Bd19lYaqBhU8_DElYkX7l4wRkHqqCUFNJY4AfY3kHU/edit?usp=sharing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4" s="7" t="s">
        <v>10</v>
      </c>
      <c r="H12184" s="7">
        <v>16800</v>
      </c>
      <c r="I12184" s="8" t="str">
        <f ca="1">IFERROR(__xludf.DUMMYFUNCTION("IF
(
G12185=""фізична особа""
,
VLOOKUP(H12185,IMPORTRANGE(""https://docs.google.com/spreadsheets/d/14Bd19lYaqBhU8_DElYkX7l4wRkHqqCUFNJY4AfY3kHU/edit?usp=sharing  #gid=0"",""фіз особи new!relations_name""),6,FALSE)
,
(IF
(
G12185=""юридична особа""
,
VLOO"&amp;"KUP(H12185,IMPORTRANGE(""https://docs.google.com/spreadsheets/d/14Bd19lYaqBhU8_DElYkX7l4wRkHqqCUFNJY4AfY3kHU/edit?usp=sharing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184" s="7" t="s">
        <v>11</v>
      </c>
    </row>
    <row r="12185" spans="1:10" ht="13.2">
      <c r="A12185" s="7">
        <v>12184</v>
      </c>
      <c r="B12185" s="7">
        <v>1</v>
      </c>
      <c r="C12185" s="7" t="s">
        <v>10</v>
      </c>
      <c r="D12185" s="7">
        <v>18010</v>
      </c>
      <c r="E12185" s="7" t="s">
        <v>11</v>
      </c>
      <c r="F12185" s="8" t="str">
        <f ca="1">IFERROR(__xludf.DUMMYFUNCTION("IF
(
C12186=""фізична особа""
,
VLOOKUP(D12186,IMPORTRANGE(""https://docs.google.com/spreadsheets/d/14Bd19lYaqBhU8_DElYkX7l4wRkHqqCUFNJY4AfY3kHU/edit?usp=sharing  #gid=0"",""фіз особи new!relations_name""),6,FALSE)
,
(IF
(
C12186=""юридична особа""
,
VLOO"&amp;"KUP(D12186,IMPORTRANGE(""https://docs.google.com/spreadsheets/d/14Bd19lYaqBhU8_DElYkX7l4wRkHqqCUFNJY4AfY3kHU/edit?usp=sharing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5" s="7" t="s">
        <v>10</v>
      </c>
      <c r="H12185" s="7">
        <v>957</v>
      </c>
      <c r="I12185" s="8" t="str">
        <f ca="1">IFERROR(__xludf.DUMMYFUNCTION("IF
(
G12186=""фізична особа""
,
VLOOKUP(H12186,IMPORTRANGE(""https://docs.google.com/spreadsheets/d/14Bd19lYaqBhU8_DElYkX7l4wRkHqqCUFNJY4AfY3kHU/edit?usp=sharing  #gid=0"",""фіз особи new!relations_name""),6,FALSE)
,
(IF
(
G12186=""юридична особа""
,
VLOO"&amp;"KUP(H12186,IMPORTRANGE(""https://docs.google.com/spreadsheets/d/14Bd19lYaqBhU8_DElYkX7l4wRkHqqCUFNJY4AfY3kHU/edit?usp=sharing  #gid=0"",""фіз особи new!relations_name_uo""),7,FALSE)
,
)
))"),"РУНЬЄ Желько")</f>
        <v>РУНЬЄ Желько</v>
      </c>
      <c r="J12185" s="7" t="s">
        <v>11</v>
      </c>
    </row>
    <row r="12186" spans="1:10" ht="13.2">
      <c r="A12186" s="7">
        <v>12185</v>
      </c>
      <c r="B12186" s="7">
        <v>1</v>
      </c>
      <c r="C12186" s="7" t="s">
        <v>10</v>
      </c>
      <c r="D12186" s="7">
        <v>18010</v>
      </c>
      <c r="E12186" s="7" t="s">
        <v>11</v>
      </c>
      <c r="F12186" s="8" t="str">
        <f ca="1">IFERROR(__xludf.DUMMYFUNCTION("IF
(
C12187=""фізична особа""
,
VLOOKUP(D12187,IMPORTRANGE(""https://docs.google.com/spreadsheets/d/14Bd19lYaqBhU8_DElYkX7l4wRkHqqCUFNJY4AfY3kHU/edit?usp=sharing  #gid=0"",""фіз особи new!relations_name""),6,FALSE)
,
(IF
(
C12187=""юридична особа""
,
VLOO"&amp;"KUP(D12187,IMPORTRANGE(""https://docs.google.com/spreadsheets/d/14Bd19lYaqBhU8_DElYkX7l4wRkHqqCUFNJY4AfY3kHU/edit?usp=sharing  #gid=0"",""фіз особи new!relations_name_uo""),7,FALSE)
,
)
))"),"ЗАВАЛЄЄВА Олена Володимирівна")</f>
        <v>ЗАВАЛЄЄВА Олена Володимирівна</v>
      </c>
      <c r="G12186" s="7" t="s">
        <v>10</v>
      </c>
      <c r="H12186" s="7">
        <v>163</v>
      </c>
      <c r="I12186" s="8" t="str">
        <f ca="1">IFERROR(__xludf.DUMMYFUNCTION("IF
(
G12187=""фізична особа""
,
VLOOKUP(H12187,IMPORTRANGE(""https://docs.google.com/spreadsheets/d/14Bd19lYaqBhU8_DElYkX7l4wRkHqqCUFNJY4AfY3kHU/edit?usp=sharing  #gid=0"",""фіз особи new!relations_name""),6,FALSE)
,
(IF
(
G12187=""юридична особа""
,
VLOO"&amp;"KUP(H12187,IMPORTRANGE(""https://docs.google.com/spreadsheets/d/14Bd19lYaqBhU8_DElYkX7l4wRkHqqCUFNJY4AfY3kHU/edit?usp=sharing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86" s="7" t="s">
        <v>11</v>
      </c>
    </row>
    <row r="12187" spans="1:10" ht="13.2">
      <c r="A12187" s="7">
        <v>12186</v>
      </c>
      <c r="B12187" s="7">
        <v>1</v>
      </c>
      <c r="C12187" s="7" t="s">
        <v>10</v>
      </c>
      <c r="D12187" s="7">
        <v>18011</v>
      </c>
      <c r="E12187" s="7" t="s">
        <v>11</v>
      </c>
      <c r="F12187" s="8" t="str">
        <f ca="1">IFERROR(__xludf.DUMMYFUNCTION("IF
(
C12188=""фізична особа""
,
VLOOKUP(D12188,IMPORTRANGE(""https://docs.google.com/spreadsheets/d/14Bd19lYaqBhU8_DElYkX7l4wRkHqqCUFNJY4AfY3kHU/edit?usp=sharing  #gid=0"",""фіз особи new!relations_name""),6,FALSE)
,
(IF
(
C12188=""юридична особа""
,
VLOO"&amp;"KUP(D12188,IMPORTRANGE(""https://docs.google.com/spreadsheets/d/14Bd19lYaqBhU8_DElYkX7l4wRkHqqCUFNJY4AfY3kHU/edit?usp=sharing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87" s="7" t="s">
        <v>10</v>
      </c>
      <c r="H12187" s="7">
        <v>18012</v>
      </c>
      <c r="I12187" s="8" t="str">
        <f ca="1">IFERROR(__xludf.DUMMYFUNCTION("IF
(
G12188=""фізична особа""
,
VLOOKUP(H12188,IMPORTRANGE(""https://docs.google.com/spreadsheets/d/14Bd19lYaqBhU8_DElYkX7l4wRkHqqCUFNJY4AfY3kHU/edit?usp=sharing  #gid=0"",""фіз особи new!relations_name""),6,FALSE)
,
(IF
(
G12188=""юридична особа""
,
VLOO"&amp;"KUP(H12188,IMPORTRANGE(""https://docs.google.com/spreadsheets/d/14Bd19lYaqBhU8_DElYkX7l4wRkHqqCUFNJY4AfY3kHU/edit?usp=sharing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187" s="7" t="s">
        <v>11</v>
      </c>
    </row>
    <row r="12188" spans="1:10" ht="13.2">
      <c r="A12188" s="7">
        <v>12187</v>
      </c>
      <c r="B12188" s="7">
        <v>1</v>
      </c>
      <c r="C12188" s="7" t="s">
        <v>10</v>
      </c>
      <c r="D12188" s="7">
        <v>18011</v>
      </c>
      <c r="E12188" s="7" t="s">
        <v>11</v>
      </c>
      <c r="F12188" s="8" t="str">
        <f ca="1">IFERROR(__xludf.DUMMYFUNCTION("IF
(
C12189=""фізична особа""
,
VLOOKUP(D12189,IMPORTRANGE(""https://docs.google.com/spreadsheets/d/14Bd19lYaqBhU8_DElYkX7l4wRkHqqCUFNJY4AfY3kHU/edit?usp=sharing  #gid=0"",""фіз особи new!relations_name""),6,FALSE)
,
(IF
(
C12189=""юридична особа""
,
VLOO"&amp;"KUP(D12189,IMPORTRANGE(""https://docs.google.com/spreadsheets/d/14Bd19lYaqBhU8_DElYkX7l4wRkHqqCUFNJY4AfY3kHU/edit?usp=sharing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88" s="7" t="s">
        <v>10</v>
      </c>
      <c r="H12188" s="7">
        <v>163</v>
      </c>
      <c r="I12188" s="8" t="str">
        <f ca="1">IFERROR(__xludf.DUMMYFUNCTION("IF
(
G12189=""фізична особа""
,
VLOOKUP(H12189,IMPORTRANGE(""https://docs.google.com/spreadsheets/d/14Bd19lYaqBhU8_DElYkX7l4wRkHqqCUFNJY4AfY3kHU/edit?usp=sharing  #gid=0"",""фіз особи new!relations_name""),6,FALSE)
,
(IF
(
G12189=""юридична особа""
,
VLOO"&amp;"KUP(H12189,IMPORTRANGE(""https://docs.google.com/spreadsheets/d/14Bd19lYaqBhU8_DElYkX7l4wRkHqqCUFNJY4AfY3kHU/edit?usp=sharing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88" s="7" t="s">
        <v>11</v>
      </c>
    </row>
    <row r="12189" spans="1:10" ht="13.2">
      <c r="A12189" s="7">
        <v>12188</v>
      </c>
      <c r="B12189" s="7">
        <v>1</v>
      </c>
      <c r="C12189" s="7" t="s">
        <v>10</v>
      </c>
      <c r="D12189" s="7">
        <v>18011</v>
      </c>
      <c r="E12189" s="7" t="s">
        <v>11</v>
      </c>
      <c r="F12189" s="8" t="str">
        <f ca="1">IFERROR(__xludf.DUMMYFUNCTION("IF
(
C12190=""фізична особа""
,
VLOOKUP(D12190,IMPORTRANGE(""https://docs.google.com/spreadsheets/d/14Bd19lYaqBhU8_DElYkX7l4wRkHqqCUFNJY4AfY3kHU/edit?usp=sharing  #gid=0"",""фіз особи new!relations_name""),6,FALSE)
,
(IF
(
C12190=""юридична особа""
,
VLOO"&amp;"KUP(D12190,IMPORTRANGE(""https://docs.google.com/spreadsheets/d/14Bd19lYaqBhU8_DElYkX7l4wRkHqqCUFNJY4AfY3kHU/edit?usp=sharing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89" s="7" t="s">
        <v>10</v>
      </c>
      <c r="H12189" s="7">
        <v>16803</v>
      </c>
      <c r="I12189" s="8" t="str">
        <f ca="1">IFERROR(__xludf.DUMMYFUNCTION("IF
(
G12190=""фізична особа""
,
VLOOKUP(H12190,IMPORTRANGE(""https://docs.google.com/spreadsheets/d/14Bd19lYaqBhU8_DElYkX7l4wRkHqqCUFNJY4AfY3kHU/edit?usp=sharing  #gid=0"",""фіз особи new!relations_name""),6,FALSE)
,
(IF
(
G12190=""юридична особа""
,
VLOO"&amp;"KUP(H12190,IMPORTRANGE(""https://docs.google.com/spreadsheets/d/14Bd19lYaqBhU8_DElYkX7l4wRkHqqCUFNJY4AfY3kHU/edit?usp=sharing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189" s="7" t="s">
        <v>11</v>
      </c>
    </row>
    <row r="12190" spans="1:10" ht="13.2">
      <c r="A12190" s="7">
        <v>12189</v>
      </c>
      <c r="B12190" s="7">
        <v>1</v>
      </c>
      <c r="C12190" s="7" t="s">
        <v>10</v>
      </c>
      <c r="D12190" s="7">
        <v>18011</v>
      </c>
      <c r="E12190" s="7" t="s">
        <v>11</v>
      </c>
      <c r="F12190" s="8" t="str">
        <f ca="1">IFERROR(__xludf.DUMMYFUNCTION("IF
(
C12191=""фізична особа""
,
VLOOKUP(D12191,IMPORTRANGE(""https://docs.google.com/spreadsheets/d/14Bd19lYaqBhU8_DElYkX7l4wRkHqqCUFNJY4AfY3kHU/edit?usp=sharing  #gid=0"",""фіз особи new!relations_name""),6,FALSE)
,
(IF
(
C12191=""юридична особа""
,
VLOO"&amp;"KUP(D12191,IMPORTRANGE(""https://docs.google.com/spreadsheets/d/14Bd19lYaqBhU8_DElYkX7l4wRkHqqCUFNJY4AfY3kHU/edit?usp=sharing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90" s="7" t="s">
        <v>10</v>
      </c>
      <c r="H12190" s="7">
        <v>18013</v>
      </c>
      <c r="I12190" s="8" t="str">
        <f ca="1">IFERROR(__xludf.DUMMYFUNCTION("IF
(
G12191=""фізична особа""
,
VLOOKUP(H12191,IMPORTRANGE(""https://docs.google.com/spreadsheets/d/14Bd19lYaqBhU8_DElYkX7l4wRkHqqCUFNJY4AfY3kHU/edit?usp=sharing  #gid=0"",""фіз особи new!relations_name""),6,FALSE)
,
(IF
(
G12191=""юридична особа""
,
VLOO"&amp;"KUP(H12191,IMPORTRANGE(""https://docs.google.com/spreadsheets/d/14Bd19lYaqBhU8_DElYkX7l4wRkHqqCUFNJY4AfY3kHU/edit?usp=sharing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190" s="7" t="s">
        <v>11</v>
      </c>
    </row>
    <row r="12191" spans="1:10" ht="13.2">
      <c r="A12191" s="7">
        <v>12190</v>
      </c>
      <c r="B12191" s="7">
        <v>1</v>
      </c>
      <c r="C12191" s="7" t="s">
        <v>10</v>
      </c>
      <c r="D12191" s="7">
        <v>18011</v>
      </c>
      <c r="E12191" s="7" t="s">
        <v>11</v>
      </c>
      <c r="F12191" s="8" t="str">
        <f ca="1">IFERROR(__xludf.DUMMYFUNCTION("IF
(
C12192=""фізична особа""
,
VLOOKUP(D12192,IMPORTRANGE(""https://docs.google.com/spreadsheets/d/14Bd19lYaqBhU8_DElYkX7l4wRkHqqCUFNJY4AfY3kHU/edit?usp=sharing  #gid=0"",""фіз особи new!relations_name""),6,FALSE)
,
(IF
(
C12192=""юридична особа""
,
VLOO"&amp;"KUP(D12192,IMPORTRANGE(""https://docs.google.com/spreadsheets/d/14Bd19lYaqBhU8_DElYkX7l4wRkHqqCUFNJY4AfY3kHU/edit?usp=sharing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91" s="7" t="s">
        <v>10</v>
      </c>
      <c r="H12191" s="7">
        <v>18014</v>
      </c>
      <c r="I12191" s="8" t="str">
        <f ca="1">IFERROR(__xludf.DUMMYFUNCTION("IF
(
G12192=""фізична особа""
,
VLOOKUP(H12192,IMPORTRANGE(""https://docs.google.com/spreadsheets/d/14Bd19lYaqBhU8_DElYkX7l4wRkHqqCUFNJY4AfY3kHU/edit?usp=sharing  #gid=0"",""фіз особи new!relations_name""),6,FALSE)
,
(IF
(
G12192=""юридична особа""
,
VLOO"&amp;"KUP(H12192,IMPORTRANGE(""https://docs.google.com/spreadsheets/d/14Bd19lYaqBhU8_DElYkX7l4wRkHqqCUFNJY4AfY3kHU/edit?usp=sharing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191" s="7" t="s">
        <v>11</v>
      </c>
    </row>
    <row r="12192" spans="1:10" ht="13.2">
      <c r="A12192" s="7">
        <v>12191</v>
      </c>
      <c r="B12192" s="7">
        <v>1</v>
      </c>
      <c r="C12192" s="7" t="s">
        <v>10</v>
      </c>
      <c r="D12192" s="7">
        <v>18011</v>
      </c>
      <c r="E12192" s="7" t="s">
        <v>11</v>
      </c>
      <c r="F12192" s="8" t="str">
        <f ca="1">IFERROR(__xludf.DUMMYFUNCTION("IF
(
C12193=""фізична особа""
,
VLOOKUP(D12193,IMPORTRANGE(""https://docs.google.com/spreadsheets/d/14Bd19lYaqBhU8_DElYkX7l4wRkHqqCUFNJY4AfY3kHU/edit?usp=sharing  #gid=0"",""фіз особи new!relations_name""),6,FALSE)
,
(IF
(
C12193=""юридична особа""
,
VLOO"&amp;"KUP(D12193,IMPORTRANGE(""https://docs.google.com/spreadsheets/d/14Bd19lYaqBhU8_DElYkX7l4wRkHqqCUFNJY4AfY3kHU/edit?usp=sharing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G12192" s="7" t="s">
        <v>10</v>
      </c>
      <c r="H12192" s="7">
        <v>18017</v>
      </c>
      <c r="I12192" s="8" t="str">
        <f ca="1">IFERROR(__xludf.DUMMYFUNCTION("IF
(
G12193=""фізична особа""
,
VLOOKUP(H12193,IMPORTRANGE(""https://docs.google.com/spreadsheets/d/14Bd19lYaqBhU8_DElYkX7l4wRkHqqCUFNJY4AfY3kHU/edit?usp=sharing  #gid=0"",""фіз особи new!relations_name""),6,FALSE)
,
(IF
(
G12193=""юридична особа""
,
VLOO"&amp;"KUP(H12193,IMPORTRANGE(""https://docs.google.com/spreadsheets/d/14Bd19lYaqBhU8_DElYkX7l4wRkHqqCUFNJY4AfY3kHU/edit?usp=sharing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192" s="7" t="s">
        <v>11</v>
      </c>
    </row>
    <row r="12193" spans="1:10" ht="13.2">
      <c r="A12193" s="7">
        <v>12192</v>
      </c>
      <c r="B12193" s="7">
        <v>1</v>
      </c>
      <c r="C12193" s="7" t="s">
        <v>10</v>
      </c>
      <c r="D12193" s="7">
        <v>18012</v>
      </c>
      <c r="E12193" s="7" t="s">
        <v>11</v>
      </c>
      <c r="F12193" s="8" t="str">
        <f ca="1">IFERROR(__xludf.DUMMYFUNCTION("IF
(
C12194=""фізична особа""
,
VLOOKUP(D12194,IMPORTRANGE(""https://docs.google.com/spreadsheets/d/14Bd19lYaqBhU8_DElYkX7l4wRkHqqCUFNJY4AfY3kHU/edit?usp=sharing  #gid=0"",""фіз особи new!relations_name""),6,FALSE)
,
(IF
(
C12194=""юридична особа""
,
VLOO"&amp;"KUP(D12194,IMPORTRANGE(""https://docs.google.com/spreadsheets/d/14Bd19lYaqBhU8_DElYkX7l4wRkHqqCUFNJY4AfY3kHU/edit?usp=sharing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3" s="7" t="s">
        <v>10</v>
      </c>
      <c r="H12193" s="7">
        <v>18011</v>
      </c>
      <c r="I12193" s="8" t="str">
        <f ca="1">IFERROR(__xludf.DUMMYFUNCTION("IF
(
G12194=""фізична особа""
,
VLOOKUP(H12194,IMPORTRANGE(""https://docs.google.com/spreadsheets/d/14Bd19lYaqBhU8_DElYkX7l4wRkHqqCUFNJY4AfY3kHU/edit?usp=sharing  #gid=0"",""фіз особи new!relations_name""),6,FALSE)
,
(IF
(
G12194=""юридична особа""
,
VLOO"&amp;"KUP(H12194,IMPORTRANGE(""https://docs.google.com/spreadsheets/d/14Bd19lYaqBhU8_DElYkX7l4wRkHqqCUFNJY4AfY3kHU/edit?usp=sharing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193" s="7" t="s">
        <v>11</v>
      </c>
    </row>
    <row r="12194" spans="1:10" ht="13.2">
      <c r="A12194" s="7">
        <v>12193</v>
      </c>
      <c r="B12194" s="7">
        <v>1</v>
      </c>
      <c r="C12194" s="7" t="s">
        <v>10</v>
      </c>
      <c r="D12194" s="7">
        <v>18012</v>
      </c>
      <c r="E12194" s="7" t="s">
        <v>11</v>
      </c>
      <c r="F12194" s="8" t="str">
        <f ca="1">IFERROR(__xludf.DUMMYFUNCTION("IF
(
C12195=""фізична особа""
,
VLOOKUP(D12195,IMPORTRANGE(""https://docs.google.com/spreadsheets/d/14Bd19lYaqBhU8_DElYkX7l4wRkHqqCUFNJY4AfY3kHU/edit?usp=sharing  #gid=0"",""фіз особи new!relations_name""),6,FALSE)
,
(IF
(
C12195=""юридична особа""
,
VLOO"&amp;"KUP(D12195,IMPORTRANGE(""https://docs.google.com/spreadsheets/d/14Bd19lYaqBhU8_DElYkX7l4wRkHqqCUFNJY4AfY3kHU/edit?usp=sharing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4" s="7" t="s">
        <v>10</v>
      </c>
      <c r="H12194" s="7">
        <v>163</v>
      </c>
      <c r="I12194" s="8" t="str">
        <f ca="1">IFERROR(__xludf.DUMMYFUNCTION("IF
(
G12195=""фізична особа""
,
VLOOKUP(H12195,IMPORTRANGE(""https://docs.google.com/spreadsheets/d/14Bd19lYaqBhU8_DElYkX7l4wRkHqqCUFNJY4AfY3kHU/edit?usp=sharing  #gid=0"",""фіз особи new!relations_name""),6,FALSE)
,
(IF
(
G12195=""юридична особа""
,
VLOO"&amp;"KUP(H12195,IMPORTRANGE(""https://docs.google.com/spreadsheets/d/14Bd19lYaqBhU8_DElYkX7l4wRkHqqCUFNJY4AfY3kHU/edit?usp=sharing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194" s="7" t="s">
        <v>11</v>
      </c>
    </row>
    <row r="12195" spans="1:10" ht="13.2">
      <c r="A12195" s="7">
        <v>12194</v>
      </c>
      <c r="B12195" s="7">
        <v>1</v>
      </c>
      <c r="C12195" s="7" t="s">
        <v>10</v>
      </c>
      <c r="D12195" s="7">
        <v>18012</v>
      </c>
      <c r="E12195" s="7" t="s">
        <v>11</v>
      </c>
      <c r="F12195" s="8" t="str">
        <f ca="1">IFERROR(__xludf.DUMMYFUNCTION("IF
(
C12196=""фізична особа""
,
VLOOKUP(D12196,IMPORTRANGE(""https://docs.google.com/spreadsheets/d/14Bd19lYaqBhU8_DElYkX7l4wRkHqqCUFNJY4AfY3kHU/edit?usp=sharing  #gid=0"",""фіз особи new!relations_name""),6,FALSE)
,
(IF
(
C12196=""юридична особа""
,
VLOO"&amp;"KUP(D12196,IMPORTRANGE(""https://docs.google.com/spreadsheets/d/14Bd19lYaqBhU8_DElYkX7l4wRkHqqCUFNJY4AfY3kHU/edit?usp=sharing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5" s="7" t="s">
        <v>10</v>
      </c>
      <c r="H12195" s="7">
        <v>16803</v>
      </c>
      <c r="I12195" s="8" t="str">
        <f ca="1">IFERROR(__xludf.DUMMYFUNCTION("IF
(
G12196=""фізична особа""
,
VLOOKUP(H12196,IMPORTRANGE(""https://docs.google.com/spreadsheets/d/14Bd19lYaqBhU8_DElYkX7l4wRkHqqCUFNJY4AfY3kHU/edit?usp=sharing  #gid=0"",""фіз особи new!relations_name""),6,FALSE)
,
(IF
(
G12196=""юридична особа""
,
VLOO"&amp;"KUP(H12196,IMPORTRANGE(""https://docs.google.com/spreadsheets/d/14Bd19lYaqBhU8_DElYkX7l4wRkHqqCUFNJY4AfY3kHU/edit?usp=sharing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195" s="7" t="s">
        <v>11</v>
      </c>
    </row>
    <row r="12196" spans="1:10" ht="13.2">
      <c r="A12196" s="7">
        <v>12195</v>
      </c>
      <c r="B12196" s="7">
        <v>1</v>
      </c>
      <c r="C12196" s="7" t="s">
        <v>10</v>
      </c>
      <c r="D12196" s="7">
        <v>18012</v>
      </c>
      <c r="E12196" s="7" t="s">
        <v>11</v>
      </c>
      <c r="F12196" s="8" t="str">
        <f ca="1">IFERROR(__xludf.DUMMYFUNCTION("IF
(
C12197=""фізична особа""
,
VLOOKUP(D12197,IMPORTRANGE(""https://docs.google.com/spreadsheets/d/14Bd19lYaqBhU8_DElYkX7l4wRkHqqCUFNJY4AfY3kHU/edit?usp=sharing  #gid=0"",""фіз особи new!relations_name""),6,FALSE)
,
(IF
(
C12197=""юридична особа""
,
VLOO"&amp;"KUP(D12197,IMPORTRANGE(""https://docs.google.com/spreadsheets/d/14Bd19lYaqBhU8_DElYkX7l4wRkHqqCUFNJY4AfY3kHU/edit?usp=sharing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6" s="7" t="s">
        <v>10</v>
      </c>
      <c r="H12196" s="7">
        <v>18013</v>
      </c>
      <c r="I12196" s="8" t="str">
        <f ca="1">IFERROR(__xludf.DUMMYFUNCTION("IF
(
G12197=""фізична особа""
,
VLOOKUP(H12197,IMPORTRANGE(""https://docs.google.com/spreadsheets/d/14Bd19lYaqBhU8_DElYkX7l4wRkHqqCUFNJY4AfY3kHU/edit?usp=sharing  #gid=0"",""фіз особи new!relations_name""),6,FALSE)
,
(IF
(
G12197=""юридична особа""
,
VLOO"&amp;"KUP(H12197,IMPORTRANGE(""https://docs.google.com/spreadsheets/d/14Bd19lYaqBhU8_DElYkX7l4wRkHqqCUFNJY4AfY3kHU/edit?usp=sharing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196" s="7" t="s">
        <v>11</v>
      </c>
    </row>
    <row r="12197" spans="1:10" ht="13.2">
      <c r="A12197" s="7">
        <v>12196</v>
      </c>
      <c r="B12197" s="7">
        <v>1</v>
      </c>
      <c r="C12197" s="7" t="s">
        <v>10</v>
      </c>
      <c r="D12197" s="7">
        <v>18012</v>
      </c>
      <c r="E12197" s="7" t="s">
        <v>11</v>
      </c>
      <c r="F12197" s="8" t="str">
        <f ca="1">IFERROR(__xludf.DUMMYFUNCTION("IF
(
C12198=""фізична особа""
,
VLOOKUP(D12198,IMPORTRANGE(""https://docs.google.com/spreadsheets/d/14Bd19lYaqBhU8_DElYkX7l4wRkHqqCUFNJY4AfY3kHU/edit?usp=sharing  #gid=0"",""фіз особи new!relations_name""),6,FALSE)
,
(IF
(
C12198=""юридична особа""
,
VLOO"&amp;"KUP(D12198,IMPORTRANGE(""https://docs.google.com/spreadsheets/d/14Bd19lYaqBhU8_DElYkX7l4wRkHqqCUFNJY4AfY3kHU/edit?usp=sharing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7" s="7" t="s">
        <v>10</v>
      </c>
      <c r="H12197" s="7">
        <v>18014</v>
      </c>
      <c r="I12197" s="8" t="str">
        <f ca="1">IFERROR(__xludf.DUMMYFUNCTION("IF
(
G12198=""фізична особа""
,
VLOOKUP(H12198,IMPORTRANGE(""https://docs.google.com/spreadsheets/d/14Bd19lYaqBhU8_DElYkX7l4wRkHqqCUFNJY4AfY3kHU/edit?usp=sharing  #gid=0"",""фіз особи new!relations_name""),6,FALSE)
,
(IF
(
G12198=""юридична особа""
,
VLOO"&amp;"KUP(H12198,IMPORTRANGE(""https://docs.google.com/spreadsheets/d/14Bd19lYaqBhU8_DElYkX7l4wRkHqqCUFNJY4AfY3kHU/edit?usp=sharing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197" s="7" t="s">
        <v>11</v>
      </c>
    </row>
    <row r="12198" spans="1:10" ht="13.2">
      <c r="A12198" s="7">
        <v>12197</v>
      </c>
      <c r="B12198" s="7">
        <v>1</v>
      </c>
      <c r="C12198" s="7" t="s">
        <v>10</v>
      </c>
      <c r="D12198" s="7">
        <v>18012</v>
      </c>
      <c r="E12198" s="7" t="s">
        <v>11</v>
      </c>
      <c r="F12198" s="8" t="str">
        <f ca="1">IFERROR(__xludf.DUMMYFUNCTION("IF
(
C12199=""фізична особа""
,
VLOOKUP(D12199,IMPORTRANGE(""https://docs.google.com/spreadsheets/d/14Bd19lYaqBhU8_DElYkX7l4wRkHqqCUFNJY4AfY3kHU/edit?usp=sharing  #gid=0"",""фіз особи new!relations_name""),6,FALSE)
,
(IF
(
C12199=""юридична особа""
,
VLOO"&amp;"KUP(D12199,IMPORTRANGE(""https://docs.google.com/spreadsheets/d/14Bd19lYaqBhU8_DElYkX7l4wRkHqqCUFNJY4AfY3kHU/edit?usp=sharing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8" s="7" t="s">
        <v>10</v>
      </c>
      <c r="H12198" s="7">
        <v>18017</v>
      </c>
      <c r="I12198" s="8" t="str">
        <f ca="1">IFERROR(__xludf.DUMMYFUNCTION("IF
(
G12199=""фізична особа""
,
VLOOKUP(H12199,IMPORTRANGE(""https://docs.google.com/spreadsheets/d/14Bd19lYaqBhU8_DElYkX7l4wRkHqqCUFNJY4AfY3kHU/edit?usp=sharing  #gid=0"",""фіз особи new!relations_name""),6,FALSE)
,
(IF
(
G12199=""юридична особа""
,
VLOO"&amp;"KUP(H12199,IMPORTRANGE(""https://docs.google.com/spreadsheets/d/14Bd19lYaqBhU8_DElYkX7l4wRkHqqCUFNJY4AfY3kHU/edit?usp=sharing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198" s="7" t="s">
        <v>11</v>
      </c>
    </row>
    <row r="12199" spans="1:10" ht="13.2">
      <c r="A12199" s="7">
        <v>12198</v>
      </c>
      <c r="B12199" s="7">
        <v>1</v>
      </c>
      <c r="C12199" s="7" t="s">
        <v>10</v>
      </c>
      <c r="D12199" s="7">
        <v>18012</v>
      </c>
      <c r="E12199" s="7" t="s">
        <v>11</v>
      </c>
      <c r="F12199" s="8" t="str">
        <f ca="1">IFERROR(__xludf.DUMMYFUNCTION("IF
(
C12200=""фізична особа""
,
VLOOKUP(D12200,IMPORTRANGE(""https://docs.google.com/spreadsheets/d/14Bd19lYaqBhU8_DElYkX7l4wRkHqqCUFNJY4AfY3kHU/edit?usp=sharing  #gid=0"",""фіз особи new!relations_name""),6,FALSE)
,
(IF
(
C12200=""юридична особа""
,
VLOO"&amp;"KUP(D12200,IMPORTRANGE(""https://docs.google.com/spreadsheets/d/14Bd19lYaqBhU8_DElYkX7l4wRkHqqCUFNJY4AfY3kHU/edit?usp=sharing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199" s="7" t="s">
        <v>10</v>
      </c>
      <c r="H12199" s="7">
        <v>18015</v>
      </c>
      <c r="I12199" s="8" t="str">
        <f ca="1">IFERROR(__xludf.DUMMYFUNCTION("IF
(
G12200=""фізична особа""
,
VLOOKUP(H12200,IMPORTRANGE(""https://docs.google.com/spreadsheets/d/14Bd19lYaqBhU8_DElYkX7l4wRkHqqCUFNJY4AfY3kHU/edit?usp=sharing  #gid=0"",""фіз особи new!relations_name""),6,FALSE)
,
(IF
(
G12200=""юридична особа""
,
VLOO"&amp;"KUP(H12200,IMPORTRANGE(""https://docs.google.com/spreadsheets/d/14Bd19lYaqBhU8_DElYkX7l4wRkHqqCUFNJY4AfY3kHU/edit?usp=sharing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12199" s="7" t="s">
        <v>11</v>
      </c>
    </row>
    <row r="12200" spans="1:10" ht="13.2">
      <c r="A12200" s="7">
        <v>12199</v>
      </c>
      <c r="B12200" s="7">
        <v>1</v>
      </c>
      <c r="C12200" s="7" t="s">
        <v>10</v>
      </c>
      <c r="D12200" s="7">
        <v>18012</v>
      </c>
      <c r="E12200" s="7" t="s">
        <v>11</v>
      </c>
      <c r="F12200" s="8" t="str">
        <f ca="1">IFERROR(__xludf.DUMMYFUNCTION("IF
(
C12201=""фізична особа""
,
VLOOKUP(D12201,IMPORTRANGE(""https://docs.google.com/spreadsheets/d/14Bd19lYaqBhU8_DElYkX7l4wRkHqqCUFNJY4AfY3kHU/edit?usp=sharing  #gid=0"",""фіз особи new!relations_name""),6,FALSE)
,
(IF
(
C12201=""юридична особа""
,
VLOO"&amp;"KUP(D12201,IMPORTRANGE(""https://docs.google.com/spreadsheets/d/14Bd19lYaqBhU8_DElYkX7l4wRkHqqCUFNJY4AfY3kHU/edit?usp=sharing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200" s="7" t="s">
        <v>10</v>
      </c>
      <c r="H12200" s="7">
        <v>16799</v>
      </c>
      <c r="I12200" s="8" t="str">
        <f ca="1">IFERROR(__xludf.DUMMYFUNCTION("IF
(
G12201=""фізична особа""
,
VLOOKUP(H12201,IMPORTRANGE(""https://docs.google.com/spreadsheets/d/14Bd19lYaqBhU8_DElYkX7l4wRkHqqCUFNJY4AfY3kHU/edit?usp=sharing  #gid=0"",""фіз особи new!relations_name""),6,FALSE)
,
(IF
(
G12201=""юридична особа""
,
VLOO"&amp;"KUP(H12201,IMPORTRANGE(""https://docs.google.com/spreadsheets/d/14Bd19lYaqBhU8_DElYkX7l4wRkHqqCUFNJY4AfY3kHU/edit?usp=sharing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00" s="7" t="s">
        <v>11</v>
      </c>
    </row>
    <row r="12201" spans="1:10" ht="13.2">
      <c r="A12201" s="7">
        <v>12200</v>
      </c>
      <c r="B12201" s="7">
        <v>1</v>
      </c>
      <c r="C12201" s="7" t="s">
        <v>10</v>
      </c>
      <c r="D12201" s="7">
        <v>18012</v>
      </c>
      <c r="E12201" s="7" t="s">
        <v>11</v>
      </c>
      <c r="F12201" s="8" t="str">
        <f ca="1">IFERROR(__xludf.DUMMYFUNCTION("IF
(
C12202=""фізична особа""
,
VLOOKUP(D12202,IMPORTRANGE(""https://docs.google.com/spreadsheets/d/14Bd19lYaqBhU8_DElYkX7l4wRkHqqCUFNJY4AfY3kHU/edit?usp=sharing  #gid=0"",""фіз особи new!relations_name""),6,FALSE)
,
(IF
(
C12202=""юридична особа""
,
VLOO"&amp;"KUP(D12202,IMPORTRANGE(""https://docs.google.com/spreadsheets/d/14Bd19lYaqBhU8_DElYkX7l4wRkHqqCUFNJY4AfY3kHU/edit?usp=sharing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201" s="7" t="s">
        <v>10</v>
      </c>
      <c r="H12201" s="7">
        <v>16800</v>
      </c>
      <c r="I12201" s="8" t="str">
        <f ca="1">IFERROR(__xludf.DUMMYFUNCTION("IF
(
G12202=""фізична особа""
,
VLOOKUP(H12202,IMPORTRANGE(""https://docs.google.com/spreadsheets/d/14Bd19lYaqBhU8_DElYkX7l4wRkHqqCUFNJY4AfY3kHU/edit?usp=sharing  #gid=0"",""фіз особи new!relations_name""),6,FALSE)
,
(IF
(
G12202=""юридична особа""
,
VLOO"&amp;"KUP(H12202,IMPORTRANGE(""https://docs.google.com/spreadsheets/d/14Bd19lYaqBhU8_DElYkX7l4wRkHqqCUFNJY4AfY3kHU/edit?usp=sharing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01" s="7" t="s">
        <v>11</v>
      </c>
    </row>
    <row r="12202" spans="1:10" ht="13.2">
      <c r="A12202" s="7">
        <v>12201</v>
      </c>
      <c r="B12202" s="7">
        <v>1</v>
      </c>
      <c r="C12202" s="7" t="s">
        <v>10</v>
      </c>
      <c r="D12202" s="7">
        <v>18012</v>
      </c>
      <c r="E12202" s="7" t="s">
        <v>11</v>
      </c>
      <c r="F12202" s="8" t="str">
        <f ca="1">IFERROR(__xludf.DUMMYFUNCTION("IF
(
C12203=""фізична особа""
,
VLOOKUP(D12203,IMPORTRANGE(""https://docs.google.com/spreadsheets/d/14Bd19lYaqBhU8_DElYkX7l4wRkHqqCUFNJY4AfY3kHU/edit?usp=sharing  #gid=0"",""фіз особи new!relations_name""),6,FALSE)
,
(IF
(
C12203=""юридична особа""
,
VLOO"&amp;"KUP(D12203,IMPORTRANGE(""https://docs.google.com/spreadsheets/d/14Bd19lYaqBhU8_DElYkX7l4wRkHqqCUFNJY4AfY3kHU/edit?usp=sharing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202" s="7" t="s">
        <v>10</v>
      </c>
      <c r="H12202" s="7">
        <v>1820</v>
      </c>
      <c r="I12202" s="8" t="str">
        <f ca="1">IFERROR(__xludf.DUMMYFUNCTION("IF
(
G12203=""фізична особа""
,
VLOOKUP(H12203,IMPORTRANGE(""https://docs.google.com/spreadsheets/d/14Bd19lYaqBhU8_DElYkX7l4wRkHqqCUFNJY4AfY3kHU/edit?usp=sharing  #gid=0"",""фіз особи new!relations_name""),6,FALSE)
,
(IF
(
G12203=""юридична особа""
,
VLOO"&amp;"KUP(H12203,IMPORTRANGE(""https://docs.google.com/spreadsheets/d/14Bd19lYaqBhU8_DElYkX7l4wRkHqqCUFNJY4AfY3kHU/edit?usp=sharing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02" s="7" t="s">
        <v>11</v>
      </c>
    </row>
    <row r="12203" spans="1:10" ht="13.2">
      <c r="A12203" s="7">
        <v>12202</v>
      </c>
      <c r="B12203" s="7">
        <v>1</v>
      </c>
      <c r="C12203" s="7" t="s">
        <v>10</v>
      </c>
      <c r="D12203" s="7">
        <v>18012</v>
      </c>
      <c r="E12203" s="7" t="s">
        <v>11</v>
      </c>
      <c r="F12203" s="8" t="str">
        <f ca="1">IFERROR(__xludf.DUMMYFUNCTION("IF
(
C12204=""фізична особа""
,
VLOOKUP(D12204,IMPORTRANGE(""https://docs.google.com/spreadsheets/d/14Bd19lYaqBhU8_DElYkX7l4wRkHqqCUFNJY4AfY3kHU/edit?usp=sharing  #gid=0"",""фіз особи new!relations_name""),6,FALSE)
,
(IF
(
C12204=""юридична особа""
,
VLOO"&amp;"KUP(D12204,IMPORTRANGE(""https://docs.google.com/spreadsheets/d/14Bd19lYaqBhU8_DElYkX7l4wRkHqqCUFNJY4AfY3kHU/edit?usp=sharing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203" s="7" t="s">
        <v>10</v>
      </c>
      <c r="H12203" s="7">
        <v>16802</v>
      </c>
      <c r="I12203" s="8" t="str">
        <f ca="1">IFERROR(__xludf.DUMMYFUNCTION("IF
(
G12204=""фізична особа""
,
VLOOKUP(H12204,IMPORTRANGE(""https://docs.google.com/spreadsheets/d/14Bd19lYaqBhU8_DElYkX7l4wRkHqqCUFNJY4AfY3kHU/edit?usp=sharing  #gid=0"",""фіз особи new!relations_name""),6,FALSE)
,
(IF
(
G12204=""юридична особа""
,
VLOO"&amp;"KUP(H12204,IMPORTRANGE(""https://docs.google.com/spreadsheets/d/14Bd19lYaqBhU8_DElYkX7l4wRkHqqCUFNJY4AfY3kHU/edit?usp=sharing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03" s="7" t="s">
        <v>11</v>
      </c>
    </row>
    <row r="12204" spans="1:10" ht="13.2">
      <c r="A12204" s="7">
        <v>12203</v>
      </c>
      <c r="B12204" s="7">
        <v>1</v>
      </c>
      <c r="C12204" s="7" t="s">
        <v>10</v>
      </c>
      <c r="D12204" s="7">
        <v>18012</v>
      </c>
      <c r="E12204" s="7" t="s">
        <v>11</v>
      </c>
      <c r="F12204" s="8" t="str">
        <f ca="1">IFERROR(__xludf.DUMMYFUNCTION("IF
(
C12205=""фізична особа""
,
VLOOKUP(D12205,IMPORTRANGE(""https://docs.google.com/spreadsheets/d/14Bd19lYaqBhU8_DElYkX7l4wRkHqqCUFNJY4AfY3kHU/edit?usp=sharing  #gid=0"",""фіз особи new!relations_name""),6,FALSE)
,
(IF
(
C12205=""юридична особа""
,
VLOO"&amp;"KUP(D12205,IMPORTRANGE(""https://docs.google.com/spreadsheets/d/14Bd19lYaqBhU8_DElYkX7l4wRkHqqCUFNJY4AfY3kHU/edit?usp=sharing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G12204" s="7" t="s">
        <v>10</v>
      </c>
      <c r="H12204" s="7">
        <v>16805</v>
      </c>
      <c r="I12204" s="8" t="str">
        <f ca="1">IFERROR(__xludf.DUMMYFUNCTION("IF
(
G12205=""фізична особа""
,
VLOOKUP(H12205,IMPORTRANGE(""https://docs.google.com/spreadsheets/d/14Bd19lYaqBhU8_DElYkX7l4wRkHqqCUFNJY4AfY3kHU/edit?usp=sharing  #gid=0"",""фіз особи new!relations_name""),6,FALSE)
,
(IF
(
G12205=""юридична особа""
,
VLOO"&amp;"KUP(H12205,IMPORTRANGE(""https://docs.google.com/spreadsheets/d/14Bd19lYaqBhU8_DElYkX7l4wRkHqqCUFNJY4AfY3kHU/edit?usp=sharing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04" s="7" t="s">
        <v>11</v>
      </c>
    </row>
    <row r="12205" spans="1:10" ht="13.2">
      <c r="A12205" s="7">
        <v>12204</v>
      </c>
      <c r="B12205" s="7">
        <v>1</v>
      </c>
      <c r="C12205" s="7" t="s">
        <v>10</v>
      </c>
      <c r="D12205" s="7">
        <v>18013</v>
      </c>
      <c r="E12205" s="7" t="s">
        <v>11</v>
      </c>
      <c r="F12205" s="8" t="str">
        <f ca="1">IFERROR(__xludf.DUMMYFUNCTION("IF
(
C12206=""фізична особа""
,
VLOOKUP(D12206,IMPORTRANGE(""https://docs.google.com/spreadsheets/d/14Bd19lYaqBhU8_DElYkX7l4wRkHqqCUFNJY4AfY3kHU/edit?usp=sharing  #gid=0"",""фіз особи new!relations_name""),6,FALSE)
,
(IF
(
C12206=""юридична особа""
,
VLOO"&amp;"KUP(D12206,IMPORTRANGE(""https://docs.google.com/spreadsheets/d/14Bd19lYaqBhU8_DElYkX7l4wRkHqqCUFNJY4AfY3kHU/edit?usp=sharing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05" s="7" t="s">
        <v>10</v>
      </c>
      <c r="H12205" s="7">
        <v>18011</v>
      </c>
      <c r="I12205" s="8" t="str">
        <f ca="1">IFERROR(__xludf.DUMMYFUNCTION("IF
(
G12206=""фізична особа""
,
VLOOKUP(H12206,IMPORTRANGE(""https://docs.google.com/spreadsheets/d/14Bd19lYaqBhU8_DElYkX7l4wRkHqqCUFNJY4AfY3kHU/edit?usp=sharing  #gid=0"",""фіз особи new!relations_name""),6,FALSE)
,
(IF
(
G12206=""юридична особа""
,
VLOO"&amp;"KUP(H12206,IMPORTRANGE(""https://docs.google.com/spreadsheets/d/14Bd19lYaqBhU8_DElYkX7l4wRkHqqCUFNJY4AfY3kHU/edit?usp=sharing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205" s="7" t="s">
        <v>11</v>
      </c>
    </row>
    <row r="12206" spans="1:10" ht="13.2">
      <c r="A12206" s="7">
        <v>12205</v>
      </c>
      <c r="B12206" s="7">
        <v>1</v>
      </c>
      <c r="C12206" s="7" t="s">
        <v>10</v>
      </c>
      <c r="D12206" s="7">
        <v>18013</v>
      </c>
      <c r="E12206" s="7" t="s">
        <v>11</v>
      </c>
      <c r="F12206" s="8" t="str">
        <f ca="1">IFERROR(__xludf.DUMMYFUNCTION("IF
(
C12207=""фізична особа""
,
VLOOKUP(D12207,IMPORTRANGE(""https://docs.google.com/spreadsheets/d/14Bd19lYaqBhU8_DElYkX7l4wRkHqqCUFNJY4AfY3kHU/edit?usp=sharing  #gid=0"",""фіз особи new!relations_name""),6,FALSE)
,
(IF
(
C12207=""юридична особа""
,
VLOO"&amp;"KUP(D12207,IMPORTRANGE(""https://docs.google.com/spreadsheets/d/14Bd19lYaqBhU8_DElYkX7l4wRkHqqCUFNJY4AfY3kHU/edit?usp=sharing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06" s="7" t="s">
        <v>10</v>
      </c>
      <c r="H12206" s="7">
        <v>163</v>
      </c>
      <c r="I12206" s="8" t="str">
        <f ca="1">IFERROR(__xludf.DUMMYFUNCTION("IF
(
G12207=""фізична особа""
,
VLOOKUP(H12207,IMPORTRANGE(""https://docs.google.com/spreadsheets/d/14Bd19lYaqBhU8_DElYkX7l4wRkHqqCUFNJY4AfY3kHU/edit?usp=sharing  #gid=0"",""фіз особи new!relations_name""),6,FALSE)
,
(IF
(
G12207=""юридична особа""
,
VLOO"&amp;"KUP(H12207,IMPORTRANGE(""https://docs.google.com/spreadsheets/d/14Bd19lYaqBhU8_DElYkX7l4wRkHqqCUFNJY4AfY3kHU/edit?usp=sharing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206" s="7" t="s">
        <v>11</v>
      </c>
    </row>
    <row r="12207" spans="1:10" ht="13.2">
      <c r="A12207" s="7">
        <v>12206</v>
      </c>
      <c r="B12207" s="7">
        <v>1</v>
      </c>
      <c r="C12207" s="7" t="s">
        <v>10</v>
      </c>
      <c r="D12207" s="7">
        <v>18013</v>
      </c>
      <c r="E12207" s="7" t="s">
        <v>11</v>
      </c>
      <c r="F12207" s="8" t="str">
        <f ca="1">IFERROR(__xludf.DUMMYFUNCTION("IF
(
C12208=""фізична особа""
,
VLOOKUP(D12208,IMPORTRANGE(""https://docs.google.com/spreadsheets/d/14Bd19lYaqBhU8_DElYkX7l4wRkHqqCUFNJY4AfY3kHU/edit?usp=sharing  #gid=0"",""фіз особи new!relations_name""),6,FALSE)
,
(IF
(
C12208=""юридична особа""
,
VLOO"&amp;"KUP(D12208,IMPORTRANGE(""https://docs.google.com/spreadsheets/d/14Bd19lYaqBhU8_DElYkX7l4wRkHqqCUFNJY4AfY3kHU/edit?usp=sharing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07" s="7" t="s">
        <v>10</v>
      </c>
      <c r="H12207" s="7">
        <v>16803</v>
      </c>
      <c r="I12207" s="8" t="str">
        <f ca="1">IFERROR(__xludf.DUMMYFUNCTION("IF
(
G12208=""фізична особа""
,
VLOOKUP(H12208,IMPORTRANGE(""https://docs.google.com/spreadsheets/d/14Bd19lYaqBhU8_DElYkX7l4wRkHqqCUFNJY4AfY3kHU/edit?usp=sharing  #gid=0"",""фіз особи new!relations_name""),6,FALSE)
,
(IF
(
G12208=""юридична особа""
,
VLOO"&amp;"KUP(H12208,IMPORTRANGE(""https://docs.google.com/spreadsheets/d/14Bd19lYaqBhU8_DElYkX7l4wRkHqqCUFNJY4AfY3kHU/edit?usp=sharing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207" s="7" t="s">
        <v>11</v>
      </c>
    </row>
    <row r="12208" spans="1:10" ht="13.2">
      <c r="A12208" s="7">
        <v>12207</v>
      </c>
      <c r="B12208" s="7">
        <v>1</v>
      </c>
      <c r="C12208" s="7" t="s">
        <v>10</v>
      </c>
      <c r="D12208" s="7">
        <v>18013</v>
      </c>
      <c r="E12208" s="7" t="s">
        <v>11</v>
      </c>
      <c r="F12208" s="8" t="str">
        <f ca="1">IFERROR(__xludf.DUMMYFUNCTION("IF
(
C12209=""фізична особа""
,
VLOOKUP(D12209,IMPORTRANGE(""https://docs.google.com/spreadsheets/d/14Bd19lYaqBhU8_DElYkX7l4wRkHqqCUFNJY4AfY3kHU/edit?usp=sharing  #gid=0"",""фіз особи new!relations_name""),6,FALSE)
,
(IF
(
C12209=""юридична особа""
,
VLOO"&amp;"KUP(D12209,IMPORTRANGE(""https://docs.google.com/spreadsheets/d/14Bd19lYaqBhU8_DElYkX7l4wRkHqqCUFNJY4AfY3kHU/edit?usp=sharing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08" s="7" t="s">
        <v>10</v>
      </c>
      <c r="H12208" s="7">
        <v>18012</v>
      </c>
      <c r="I12208" s="8" t="str">
        <f ca="1">IFERROR(__xludf.DUMMYFUNCTION("IF
(
G12209=""фізична особа""
,
VLOOKUP(H12209,IMPORTRANGE(""https://docs.google.com/spreadsheets/d/14Bd19lYaqBhU8_DElYkX7l4wRkHqqCUFNJY4AfY3kHU/edit?usp=sharing  #gid=0"",""фіз особи new!relations_name""),6,FALSE)
,
(IF
(
G12209=""юридична особа""
,
VLOO"&amp;"KUP(H12209,IMPORTRANGE(""https://docs.google.com/spreadsheets/d/14Bd19lYaqBhU8_DElYkX7l4wRkHqqCUFNJY4AfY3kHU/edit?usp=sharing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208" s="7" t="s">
        <v>11</v>
      </c>
    </row>
    <row r="12209" spans="1:10" ht="13.2">
      <c r="A12209" s="7">
        <v>12208</v>
      </c>
      <c r="B12209" s="7">
        <v>1</v>
      </c>
      <c r="C12209" s="7" t="s">
        <v>10</v>
      </c>
      <c r="D12209" s="7">
        <v>18013</v>
      </c>
      <c r="E12209" s="7" t="s">
        <v>11</v>
      </c>
      <c r="F12209" s="8" t="str">
        <f ca="1">IFERROR(__xludf.DUMMYFUNCTION("IF
(
C12210=""фізична особа""
,
VLOOKUP(D12210,IMPORTRANGE(""https://docs.google.com/spreadsheets/d/14Bd19lYaqBhU8_DElYkX7l4wRkHqqCUFNJY4AfY3kHU/edit?usp=sharing  #gid=0"",""фіз особи new!relations_name""),6,FALSE)
,
(IF
(
C12210=""юридична особа""
,
VLOO"&amp;"KUP(D12210,IMPORTRANGE(""https://docs.google.com/spreadsheets/d/14Bd19lYaqBhU8_DElYkX7l4wRkHqqCUFNJY4AfY3kHU/edit?usp=sharing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09" s="7" t="s">
        <v>10</v>
      </c>
      <c r="H12209" s="7">
        <v>18014</v>
      </c>
      <c r="I12209" s="8" t="str">
        <f ca="1">IFERROR(__xludf.DUMMYFUNCTION("IF
(
G12210=""фізична особа""
,
VLOOKUP(H12210,IMPORTRANGE(""https://docs.google.com/spreadsheets/d/14Bd19lYaqBhU8_DElYkX7l4wRkHqqCUFNJY4AfY3kHU/edit?usp=sharing  #gid=0"",""фіз особи new!relations_name""),6,FALSE)
,
(IF
(
G12210=""юридична особа""
,
VLOO"&amp;"KUP(H12210,IMPORTRANGE(""https://docs.google.com/spreadsheets/d/14Bd19lYaqBhU8_DElYkX7l4wRkHqqCUFNJY4AfY3kHU/edit?usp=sharing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209" s="7" t="s">
        <v>11</v>
      </c>
    </row>
    <row r="12210" spans="1:10" ht="13.2">
      <c r="A12210" s="7">
        <v>12209</v>
      </c>
      <c r="B12210" s="7">
        <v>1</v>
      </c>
      <c r="C12210" s="7" t="s">
        <v>10</v>
      </c>
      <c r="D12210" s="7">
        <v>18013</v>
      </c>
      <c r="E12210" s="7" t="s">
        <v>11</v>
      </c>
      <c r="F12210" s="8" t="str">
        <f ca="1">IFERROR(__xludf.DUMMYFUNCTION("IF
(
C12211=""фізична особа""
,
VLOOKUP(D12211,IMPORTRANGE(""https://docs.google.com/spreadsheets/d/14Bd19lYaqBhU8_DElYkX7l4wRkHqqCUFNJY4AfY3kHU/edit?usp=sharing  #gid=0"",""фіз особи new!relations_name""),6,FALSE)
,
(IF
(
C12211=""юридична особа""
,
VLOO"&amp;"KUP(D12211,IMPORTRANGE(""https://docs.google.com/spreadsheets/d/14Bd19lYaqBhU8_DElYkX7l4wRkHqqCUFNJY4AfY3kHU/edit?usp=sharing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0" s="7" t="s">
        <v>10</v>
      </c>
      <c r="H12210" s="7">
        <v>18017</v>
      </c>
      <c r="I12210" s="8" t="str">
        <f ca="1">IFERROR(__xludf.DUMMYFUNCTION("IF
(
G12211=""фізична особа""
,
VLOOKUP(H12211,IMPORTRANGE(""https://docs.google.com/spreadsheets/d/14Bd19lYaqBhU8_DElYkX7l4wRkHqqCUFNJY4AfY3kHU/edit?usp=sharing  #gid=0"",""фіз особи new!relations_name""),6,FALSE)
,
(IF
(
G12211=""юридична особа""
,
VLOO"&amp;"KUP(H12211,IMPORTRANGE(""https://docs.google.com/spreadsheets/d/14Bd19lYaqBhU8_DElYkX7l4wRkHqqCUFNJY4AfY3kHU/edit?usp=sharing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210" s="7" t="s">
        <v>11</v>
      </c>
    </row>
    <row r="12211" spans="1:10" ht="13.2">
      <c r="A12211" s="7">
        <v>12210</v>
      </c>
      <c r="B12211" s="7">
        <v>1</v>
      </c>
      <c r="C12211" s="7" t="s">
        <v>10</v>
      </c>
      <c r="D12211" s="7">
        <v>18013</v>
      </c>
      <c r="E12211" s="7" t="s">
        <v>11</v>
      </c>
      <c r="F12211" s="8" t="str">
        <f ca="1">IFERROR(__xludf.DUMMYFUNCTION("IF
(
C12212=""фізична особа""
,
VLOOKUP(D12212,IMPORTRANGE(""https://docs.google.com/spreadsheets/d/14Bd19lYaqBhU8_DElYkX7l4wRkHqqCUFNJY4AfY3kHU/edit?usp=sharing  #gid=0"",""фіз особи new!relations_name""),6,FALSE)
,
(IF
(
C12212=""юридична особа""
,
VLOO"&amp;"KUP(D12212,IMPORTRANGE(""https://docs.google.com/spreadsheets/d/14Bd19lYaqBhU8_DElYkX7l4wRkHqqCUFNJY4AfY3kHU/edit?usp=sharing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1" s="7" t="s">
        <v>10</v>
      </c>
      <c r="H12211" s="7">
        <v>18015</v>
      </c>
      <c r="I12211" s="8" t="str">
        <f ca="1">IFERROR(__xludf.DUMMYFUNCTION("IF
(
G12212=""фізична особа""
,
VLOOKUP(H12212,IMPORTRANGE(""https://docs.google.com/spreadsheets/d/14Bd19lYaqBhU8_DElYkX7l4wRkHqqCUFNJY4AfY3kHU/edit?usp=sharing  #gid=0"",""фіз особи new!relations_name""),6,FALSE)
,
(IF
(
G12212=""юридична особа""
,
VLOO"&amp;"KUP(H12212,IMPORTRANGE(""https://docs.google.com/spreadsheets/d/14Bd19lYaqBhU8_DElYkX7l4wRkHqqCUFNJY4AfY3kHU/edit?usp=sharing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12211" s="7" t="s">
        <v>11</v>
      </c>
    </row>
    <row r="12212" spans="1:10" ht="13.2">
      <c r="A12212" s="7">
        <v>12211</v>
      </c>
      <c r="B12212" s="7">
        <v>1</v>
      </c>
      <c r="C12212" s="7" t="s">
        <v>10</v>
      </c>
      <c r="D12212" s="7">
        <v>18013</v>
      </c>
      <c r="E12212" s="7" t="s">
        <v>11</v>
      </c>
      <c r="F12212" s="8" t="str">
        <f ca="1">IFERROR(__xludf.DUMMYFUNCTION("IF
(
C12213=""фізична особа""
,
VLOOKUP(D12213,IMPORTRANGE(""https://docs.google.com/spreadsheets/d/14Bd19lYaqBhU8_DElYkX7l4wRkHqqCUFNJY4AfY3kHU/edit?usp=sharing  #gid=0"",""фіз особи new!relations_name""),6,FALSE)
,
(IF
(
C12213=""юридична особа""
,
VLOO"&amp;"KUP(D12213,IMPORTRANGE(""https://docs.google.com/spreadsheets/d/14Bd19lYaqBhU8_DElYkX7l4wRkHqqCUFNJY4AfY3kHU/edit?usp=sharing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2" s="7" t="s">
        <v>10</v>
      </c>
      <c r="H12212" s="7">
        <v>16799</v>
      </c>
      <c r="I12212" s="8" t="str">
        <f ca="1">IFERROR(__xludf.DUMMYFUNCTION("IF
(
G12213=""фізична особа""
,
VLOOKUP(H12213,IMPORTRANGE(""https://docs.google.com/spreadsheets/d/14Bd19lYaqBhU8_DElYkX7l4wRkHqqCUFNJY4AfY3kHU/edit?usp=sharing  #gid=0"",""фіз особи new!relations_name""),6,FALSE)
,
(IF
(
G12213=""юридична особа""
,
VLOO"&amp;"KUP(H12213,IMPORTRANGE(""https://docs.google.com/spreadsheets/d/14Bd19lYaqBhU8_DElYkX7l4wRkHqqCUFNJY4AfY3kHU/edit?usp=sharing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12" s="7" t="s">
        <v>11</v>
      </c>
    </row>
    <row r="12213" spans="1:10" ht="13.2">
      <c r="A12213" s="7">
        <v>12212</v>
      </c>
      <c r="B12213" s="7">
        <v>1</v>
      </c>
      <c r="C12213" s="7" t="s">
        <v>10</v>
      </c>
      <c r="D12213" s="7">
        <v>18013</v>
      </c>
      <c r="E12213" s="7" t="s">
        <v>11</v>
      </c>
      <c r="F12213" s="8" t="str">
        <f ca="1">IFERROR(__xludf.DUMMYFUNCTION("IF
(
C12214=""фізична особа""
,
VLOOKUP(D12214,IMPORTRANGE(""https://docs.google.com/spreadsheets/d/14Bd19lYaqBhU8_DElYkX7l4wRkHqqCUFNJY4AfY3kHU/edit?usp=sharing  #gid=0"",""фіз особи new!relations_name""),6,FALSE)
,
(IF
(
C12214=""юридична особа""
,
VLOO"&amp;"KUP(D12214,IMPORTRANGE(""https://docs.google.com/spreadsheets/d/14Bd19lYaqBhU8_DElYkX7l4wRkHqqCUFNJY4AfY3kHU/edit?usp=sharing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3" s="7" t="s">
        <v>10</v>
      </c>
      <c r="H12213" s="7">
        <v>16800</v>
      </c>
      <c r="I12213" s="8" t="str">
        <f ca="1">IFERROR(__xludf.DUMMYFUNCTION("IF
(
G12214=""фізична особа""
,
VLOOKUP(H12214,IMPORTRANGE(""https://docs.google.com/spreadsheets/d/14Bd19lYaqBhU8_DElYkX7l4wRkHqqCUFNJY4AfY3kHU/edit?usp=sharing  #gid=0"",""фіз особи new!relations_name""),6,FALSE)
,
(IF
(
G12214=""юридична особа""
,
VLOO"&amp;"KUP(H12214,IMPORTRANGE(""https://docs.google.com/spreadsheets/d/14Bd19lYaqBhU8_DElYkX7l4wRkHqqCUFNJY4AfY3kHU/edit?usp=sharing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13" s="7" t="s">
        <v>11</v>
      </c>
    </row>
    <row r="12214" spans="1:10" ht="13.2">
      <c r="A12214" s="7">
        <v>12213</v>
      </c>
      <c r="B12214" s="7">
        <v>1</v>
      </c>
      <c r="C12214" s="7" t="s">
        <v>10</v>
      </c>
      <c r="D12214" s="7">
        <v>18013</v>
      </c>
      <c r="E12214" s="7" t="s">
        <v>11</v>
      </c>
      <c r="F12214" s="8" t="str">
        <f ca="1">IFERROR(__xludf.DUMMYFUNCTION("IF
(
C12215=""фізична особа""
,
VLOOKUP(D12215,IMPORTRANGE(""https://docs.google.com/spreadsheets/d/14Bd19lYaqBhU8_DElYkX7l4wRkHqqCUFNJY4AfY3kHU/edit?usp=sharing  #gid=0"",""фіз особи new!relations_name""),6,FALSE)
,
(IF
(
C12215=""юридична особа""
,
VLOO"&amp;"KUP(D12215,IMPORTRANGE(""https://docs.google.com/spreadsheets/d/14Bd19lYaqBhU8_DElYkX7l4wRkHqqCUFNJY4AfY3kHU/edit?usp=sharing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4" s="7" t="s">
        <v>10</v>
      </c>
      <c r="H12214" s="7">
        <v>1820</v>
      </c>
      <c r="I12214" s="8" t="str">
        <f ca="1">IFERROR(__xludf.DUMMYFUNCTION("IF
(
G12215=""фізична особа""
,
VLOOKUP(H12215,IMPORTRANGE(""https://docs.google.com/spreadsheets/d/14Bd19lYaqBhU8_DElYkX7l4wRkHqqCUFNJY4AfY3kHU/edit?usp=sharing  #gid=0"",""фіз особи new!relations_name""),6,FALSE)
,
(IF
(
G12215=""юридична особа""
,
VLOO"&amp;"KUP(H12215,IMPORTRANGE(""https://docs.google.com/spreadsheets/d/14Bd19lYaqBhU8_DElYkX7l4wRkHqqCUFNJY4AfY3kHU/edit?usp=sharing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14" s="7" t="s">
        <v>11</v>
      </c>
    </row>
    <row r="12215" spans="1:10" ht="13.2">
      <c r="A12215" s="7">
        <v>12214</v>
      </c>
      <c r="B12215" s="7">
        <v>1</v>
      </c>
      <c r="C12215" s="7" t="s">
        <v>10</v>
      </c>
      <c r="D12215" s="7">
        <v>18013</v>
      </c>
      <c r="E12215" s="7" t="s">
        <v>11</v>
      </c>
      <c r="F12215" s="8" t="str">
        <f ca="1">IFERROR(__xludf.DUMMYFUNCTION("IF
(
C12216=""фізична особа""
,
VLOOKUP(D12216,IMPORTRANGE(""https://docs.google.com/spreadsheets/d/14Bd19lYaqBhU8_DElYkX7l4wRkHqqCUFNJY4AfY3kHU/edit?usp=sharing  #gid=0"",""фіз особи new!relations_name""),6,FALSE)
,
(IF
(
C12216=""юридична особа""
,
VLOO"&amp;"KUP(D12216,IMPORTRANGE(""https://docs.google.com/spreadsheets/d/14Bd19lYaqBhU8_DElYkX7l4wRkHqqCUFNJY4AfY3kHU/edit?usp=sharing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5" s="7" t="s">
        <v>10</v>
      </c>
      <c r="H12215" s="7">
        <v>16802</v>
      </c>
      <c r="I12215" s="8" t="str">
        <f ca="1">IFERROR(__xludf.DUMMYFUNCTION("IF
(
G12216=""фізична особа""
,
VLOOKUP(H12216,IMPORTRANGE(""https://docs.google.com/spreadsheets/d/14Bd19lYaqBhU8_DElYkX7l4wRkHqqCUFNJY4AfY3kHU/edit?usp=sharing  #gid=0"",""фіз особи new!relations_name""),6,FALSE)
,
(IF
(
G12216=""юридична особа""
,
VLOO"&amp;"KUP(H12216,IMPORTRANGE(""https://docs.google.com/spreadsheets/d/14Bd19lYaqBhU8_DElYkX7l4wRkHqqCUFNJY4AfY3kHU/edit?usp=sharing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15" s="7" t="s">
        <v>11</v>
      </c>
    </row>
    <row r="12216" spans="1:10" ht="13.2">
      <c r="A12216" s="7">
        <v>12215</v>
      </c>
      <c r="B12216" s="7">
        <v>1</v>
      </c>
      <c r="C12216" s="7" t="s">
        <v>10</v>
      </c>
      <c r="D12216" s="7">
        <v>18013</v>
      </c>
      <c r="E12216" s="7" t="s">
        <v>11</v>
      </c>
      <c r="F12216" s="8" t="str">
        <f ca="1">IFERROR(__xludf.DUMMYFUNCTION("IF
(
C12217=""фізична особа""
,
VLOOKUP(D12217,IMPORTRANGE(""https://docs.google.com/spreadsheets/d/14Bd19lYaqBhU8_DElYkX7l4wRkHqqCUFNJY4AfY3kHU/edit?usp=sharing  #gid=0"",""фіз особи new!relations_name""),6,FALSE)
,
(IF
(
C12217=""юридична особа""
,
VLOO"&amp;"KUP(D12217,IMPORTRANGE(""https://docs.google.com/spreadsheets/d/14Bd19lYaqBhU8_DElYkX7l4wRkHqqCUFNJY4AfY3kHU/edit?usp=sharing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G12216" s="7" t="s">
        <v>10</v>
      </c>
      <c r="H12216" s="7">
        <v>16805</v>
      </c>
      <c r="I12216" s="8" t="str">
        <f ca="1">IFERROR(__xludf.DUMMYFUNCTION("IF
(
G12217=""фізична особа""
,
VLOOKUP(H12217,IMPORTRANGE(""https://docs.google.com/spreadsheets/d/14Bd19lYaqBhU8_DElYkX7l4wRkHqqCUFNJY4AfY3kHU/edit?usp=sharing  #gid=0"",""фіз особи new!relations_name""),6,FALSE)
,
(IF
(
G12217=""юридична особа""
,
VLOO"&amp;"KUP(H12217,IMPORTRANGE(""https://docs.google.com/spreadsheets/d/14Bd19lYaqBhU8_DElYkX7l4wRkHqqCUFNJY4AfY3kHU/edit?usp=sharing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16" s="7" t="s">
        <v>11</v>
      </c>
    </row>
    <row r="12217" spans="1:10" ht="13.2">
      <c r="A12217" s="7">
        <v>12216</v>
      </c>
      <c r="B12217" s="7">
        <v>1</v>
      </c>
      <c r="C12217" s="7" t="s">
        <v>10</v>
      </c>
      <c r="D12217" s="7">
        <v>18014</v>
      </c>
      <c r="E12217" s="7" t="s">
        <v>11</v>
      </c>
      <c r="F12217" s="8" t="str">
        <f ca="1">IFERROR(__xludf.DUMMYFUNCTION("IF
(
C12218=""фізична особа""
,
VLOOKUP(D12218,IMPORTRANGE(""https://docs.google.com/spreadsheets/d/14Bd19lYaqBhU8_DElYkX7l4wRkHqqCUFNJY4AfY3kHU/edit?usp=sharing  #gid=0"",""фіз особи new!relations_name""),6,FALSE)
,
(IF
(
C12218=""юридична особа""
,
VLOO"&amp;"KUP(D12218,IMPORTRANGE(""https://docs.google.com/spreadsheets/d/14Bd19lYaqBhU8_DElYkX7l4wRkHqqCUFNJY4AfY3kHU/edit?usp=sharing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17" s="7" t="s">
        <v>10</v>
      </c>
      <c r="H12217" s="7">
        <v>18011</v>
      </c>
      <c r="I12217" s="8" t="str">
        <f ca="1">IFERROR(__xludf.DUMMYFUNCTION("IF
(
G12218=""фізична особа""
,
VLOOKUP(H12218,IMPORTRANGE(""https://docs.google.com/spreadsheets/d/14Bd19lYaqBhU8_DElYkX7l4wRkHqqCUFNJY4AfY3kHU/edit?usp=sharing  #gid=0"",""фіз особи new!relations_name""),6,FALSE)
,
(IF
(
G12218=""юридична особа""
,
VLOO"&amp;"KUP(H12218,IMPORTRANGE(""https://docs.google.com/spreadsheets/d/14Bd19lYaqBhU8_DElYkX7l4wRkHqqCUFNJY4AfY3kHU/edit?usp=sharing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217" s="7" t="s">
        <v>11</v>
      </c>
    </row>
    <row r="12218" spans="1:10" ht="13.2">
      <c r="A12218" s="7">
        <v>12217</v>
      </c>
      <c r="B12218" s="7">
        <v>1</v>
      </c>
      <c r="C12218" s="7" t="s">
        <v>10</v>
      </c>
      <c r="D12218" s="7">
        <v>18014</v>
      </c>
      <c r="E12218" s="7" t="s">
        <v>11</v>
      </c>
      <c r="F12218" s="8" t="str">
        <f ca="1">IFERROR(__xludf.DUMMYFUNCTION("IF
(
C12219=""фізична особа""
,
VLOOKUP(D12219,IMPORTRANGE(""https://docs.google.com/spreadsheets/d/14Bd19lYaqBhU8_DElYkX7l4wRkHqqCUFNJY4AfY3kHU/edit?usp=sharing  #gid=0"",""фіз особи new!relations_name""),6,FALSE)
,
(IF
(
C12219=""юридична особа""
,
VLOO"&amp;"KUP(D12219,IMPORTRANGE(""https://docs.google.com/spreadsheets/d/14Bd19lYaqBhU8_DElYkX7l4wRkHqqCUFNJY4AfY3kHU/edit?usp=sharing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18" s="7" t="s">
        <v>10</v>
      </c>
      <c r="H12218" s="7">
        <v>163</v>
      </c>
      <c r="I12218" s="8" t="str">
        <f ca="1">IFERROR(__xludf.DUMMYFUNCTION("IF
(
G12219=""фізична особа""
,
VLOOKUP(H12219,IMPORTRANGE(""https://docs.google.com/spreadsheets/d/14Bd19lYaqBhU8_DElYkX7l4wRkHqqCUFNJY4AfY3kHU/edit?usp=sharing  #gid=0"",""фіз особи new!relations_name""),6,FALSE)
,
(IF
(
G12219=""юридична особа""
,
VLOO"&amp;"KUP(H12219,IMPORTRANGE(""https://docs.google.com/spreadsheets/d/14Bd19lYaqBhU8_DElYkX7l4wRkHqqCUFNJY4AfY3kHU/edit?usp=sharing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218" s="7" t="s">
        <v>11</v>
      </c>
    </row>
    <row r="12219" spans="1:10" ht="13.2">
      <c r="A12219" s="7">
        <v>12218</v>
      </c>
      <c r="B12219" s="7">
        <v>1</v>
      </c>
      <c r="C12219" s="7" t="s">
        <v>10</v>
      </c>
      <c r="D12219" s="7">
        <v>18014</v>
      </c>
      <c r="E12219" s="7" t="s">
        <v>11</v>
      </c>
      <c r="F12219" s="8" t="str">
        <f ca="1">IFERROR(__xludf.DUMMYFUNCTION("IF
(
C12220=""фізична особа""
,
VLOOKUP(D12220,IMPORTRANGE(""https://docs.google.com/spreadsheets/d/14Bd19lYaqBhU8_DElYkX7l4wRkHqqCUFNJY4AfY3kHU/edit?usp=sharing  #gid=0"",""фіз особи new!relations_name""),6,FALSE)
,
(IF
(
C12220=""юридична особа""
,
VLOO"&amp;"KUP(D12220,IMPORTRANGE(""https://docs.google.com/spreadsheets/d/14Bd19lYaqBhU8_DElYkX7l4wRkHqqCUFNJY4AfY3kHU/edit?usp=sharing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19" s="7" t="s">
        <v>10</v>
      </c>
      <c r="H12219" s="7">
        <v>16803</v>
      </c>
      <c r="I12219" s="8" t="str">
        <f ca="1">IFERROR(__xludf.DUMMYFUNCTION("IF
(
G12220=""фізична особа""
,
VLOOKUP(H12220,IMPORTRANGE(""https://docs.google.com/spreadsheets/d/14Bd19lYaqBhU8_DElYkX7l4wRkHqqCUFNJY4AfY3kHU/edit?usp=sharing  #gid=0"",""фіз особи new!relations_name""),6,FALSE)
,
(IF
(
G12220=""юридична особа""
,
VLOO"&amp;"KUP(H12220,IMPORTRANGE(""https://docs.google.com/spreadsheets/d/14Bd19lYaqBhU8_DElYkX7l4wRkHqqCUFNJY4AfY3kHU/edit?usp=sharing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219" s="7" t="s">
        <v>11</v>
      </c>
    </row>
    <row r="12220" spans="1:10" ht="13.2">
      <c r="A12220" s="7">
        <v>12219</v>
      </c>
      <c r="B12220" s="7">
        <v>1</v>
      </c>
      <c r="C12220" s="7" t="s">
        <v>10</v>
      </c>
      <c r="D12220" s="7">
        <v>18014</v>
      </c>
      <c r="E12220" s="7" t="s">
        <v>11</v>
      </c>
      <c r="F12220" s="8" t="str">
        <f ca="1">IFERROR(__xludf.DUMMYFUNCTION("IF
(
C12221=""фізична особа""
,
VLOOKUP(D12221,IMPORTRANGE(""https://docs.google.com/spreadsheets/d/14Bd19lYaqBhU8_DElYkX7l4wRkHqqCUFNJY4AfY3kHU/edit?usp=sharing  #gid=0"",""фіз особи new!relations_name""),6,FALSE)
,
(IF
(
C12221=""юридична особа""
,
VLOO"&amp;"KUP(D12221,IMPORTRANGE(""https://docs.google.com/spreadsheets/d/14Bd19lYaqBhU8_DElYkX7l4wRkHqqCUFNJY4AfY3kHU/edit?usp=sharing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0" s="7" t="s">
        <v>10</v>
      </c>
      <c r="H12220" s="7">
        <v>18012</v>
      </c>
      <c r="I12220" s="8" t="str">
        <f ca="1">IFERROR(__xludf.DUMMYFUNCTION("IF
(
G12221=""фізична особа""
,
VLOOKUP(H12221,IMPORTRANGE(""https://docs.google.com/spreadsheets/d/14Bd19lYaqBhU8_DElYkX7l4wRkHqqCUFNJY4AfY3kHU/edit?usp=sharing  #gid=0"",""фіз особи new!relations_name""),6,FALSE)
,
(IF
(
G12221=""юридична особа""
,
VLOO"&amp;"KUP(H12221,IMPORTRANGE(""https://docs.google.com/spreadsheets/d/14Bd19lYaqBhU8_DElYkX7l4wRkHqqCUFNJY4AfY3kHU/edit?usp=sharing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220" s="7" t="s">
        <v>11</v>
      </c>
    </row>
    <row r="12221" spans="1:10" ht="13.2">
      <c r="A12221" s="7">
        <v>12220</v>
      </c>
      <c r="B12221" s="7">
        <v>1</v>
      </c>
      <c r="C12221" s="7" t="s">
        <v>10</v>
      </c>
      <c r="D12221" s="7">
        <v>18014</v>
      </c>
      <c r="E12221" s="7" t="s">
        <v>11</v>
      </c>
      <c r="F12221" s="8" t="str">
        <f ca="1">IFERROR(__xludf.DUMMYFUNCTION("IF
(
C12222=""фізична особа""
,
VLOOKUP(D12222,IMPORTRANGE(""https://docs.google.com/spreadsheets/d/14Bd19lYaqBhU8_DElYkX7l4wRkHqqCUFNJY4AfY3kHU/edit?usp=sharing  #gid=0"",""фіз особи new!relations_name""),6,FALSE)
,
(IF
(
C12222=""юридична особа""
,
VLOO"&amp;"KUP(D12222,IMPORTRANGE(""https://docs.google.com/spreadsheets/d/14Bd19lYaqBhU8_DElYkX7l4wRkHqqCUFNJY4AfY3kHU/edit?usp=sharing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1" s="7" t="s">
        <v>10</v>
      </c>
      <c r="H12221" s="7">
        <v>18013</v>
      </c>
      <c r="I12221" s="8" t="str">
        <f ca="1">IFERROR(__xludf.DUMMYFUNCTION("IF
(
G12222=""фізична особа""
,
VLOOKUP(H12222,IMPORTRANGE(""https://docs.google.com/spreadsheets/d/14Bd19lYaqBhU8_DElYkX7l4wRkHqqCUFNJY4AfY3kHU/edit?usp=sharing  #gid=0"",""фіз особи new!relations_name""),6,FALSE)
,
(IF
(
G12222=""юридична особа""
,
VLOO"&amp;"KUP(H12222,IMPORTRANGE(""https://docs.google.com/spreadsheets/d/14Bd19lYaqBhU8_DElYkX7l4wRkHqqCUFNJY4AfY3kHU/edit?usp=sharing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221" s="7" t="s">
        <v>11</v>
      </c>
    </row>
    <row r="12222" spans="1:10" ht="13.2">
      <c r="A12222" s="7">
        <v>12221</v>
      </c>
      <c r="B12222" s="7">
        <v>1</v>
      </c>
      <c r="C12222" s="7" t="s">
        <v>10</v>
      </c>
      <c r="D12222" s="7">
        <v>18014</v>
      </c>
      <c r="E12222" s="7" t="s">
        <v>11</v>
      </c>
      <c r="F12222" s="8" t="str">
        <f ca="1">IFERROR(__xludf.DUMMYFUNCTION("IF
(
C12223=""фізична особа""
,
VLOOKUP(D12223,IMPORTRANGE(""https://docs.google.com/spreadsheets/d/14Bd19lYaqBhU8_DElYkX7l4wRkHqqCUFNJY4AfY3kHU/edit?usp=sharing  #gid=0"",""фіз особи new!relations_name""),6,FALSE)
,
(IF
(
C12223=""юридична особа""
,
VLOO"&amp;"KUP(D12223,IMPORTRANGE(""https://docs.google.com/spreadsheets/d/14Bd19lYaqBhU8_DElYkX7l4wRkHqqCUFNJY4AfY3kHU/edit?usp=sharing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2" s="7" t="s">
        <v>10</v>
      </c>
      <c r="H12222" s="7">
        <v>18017</v>
      </c>
      <c r="I12222" s="8" t="str">
        <f ca="1">IFERROR(__xludf.DUMMYFUNCTION("IF
(
G12223=""фізична особа""
,
VLOOKUP(H12223,IMPORTRANGE(""https://docs.google.com/spreadsheets/d/14Bd19lYaqBhU8_DElYkX7l4wRkHqqCUFNJY4AfY3kHU/edit?usp=sharing  #gid=0"",""фіз особи new!relations_name""),6,FALSE)
,
(IF
(
G12223=""юридична особа""
,
VLOO"&amp;"KUP(H12223,IMPORTRANGE(""https://docs.google.com/spreadsheets/d/14Bd19lYaqBhU8_DElYkX7l4wRkHqqCUFNJY4AfY3kHU/edit?usp=sharing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222" s="7" t="s">
        <v>11</v>
      </c>
    </row>
    <row r="12223" spans="1:10" ht="13.2">
      <c r="A12223" s="7">
        <v>12222</v>
      </c>
      <c r="B12223" s="7">
        <v>1</v>
      </c>
      <c r="C12223" s="7" t="s">
        <v>10</v>
      </c>
      <c r="D12223" s="7">
        <v>18014</v>
      </c>
      <c r="E12223" s="7" t="s">
        <v>11</v>
      </c>
      <c r="F12223" s="8" t="str">
        <f ca="1">IFERROR(__xludf.DUMMYFUNCTION("IF
(
C12224=""фізична особа""
,
VLOOKUP(D12224,IMPORTRANGE(""https://docs.google.com/spreadsheets/d/14Bd19lYaqBhU8_DElYkX7l4wRkHqqCUFNJY4AfY3kHU/edit?usp=sharing  #gid=0"",""фіз особи new!relations_name""),6,FALSE)
,
(IF
(
C12224=""юридична особа""
,
VLOO"&amp;"KUP(D12224,IMPORTRANGE(""https://docs.google.com/spreadsheets/d/14Bd19lYaqBhU8_DElYkX7l4wRkHqqCUFNJY4AfY3kHU/edit?usp=sharing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3" s="7" t="s">
        <v>10</v>
      </c>
      <c r="H12223" s="7">
        <v>18015</v>
      </c>
      <c r="I12223" s="8" t="str">
        <f ca="1">IFERROR(__xludf.DUMMYFUNCTION("IF
(
G12224=""фізична особа""
,
VLOOKUP(H12224,IMPORTRANGE(""https://docs.google.com/spreadsheets/d/14Bd19lYaqBhU8_DElYkX7l4wRkHqqCUFNJY4AfY3kHU/edit?usp=sharing  #gid=0"",""фіз особи new!relations_name""),6,FALSE)
,
(IF
(
G12224=""юридична особа""
,
VLOO"&amp;"KUP(H12224,IMPORTRANGE(""https://docs.google.com/spreadsheets/d/14Bd19lYaqBhU8_DElYkX7l4wRkHqqCUFNJY4AfY3kHU/edit?usp=sharing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J12223" s="7" t="s">
        <v>11</v>
      </c>
    </row>
    <row r="12224" spans="1:10" ht="13.2">
      <c r="A12224" s="7">
        <v>12223</v>
      </c>
      <c r="B12224" s="7">
        <v>1</v>
      </c>
      <c r="C12224" s="7" t="s">
        <v>10</v>
      </c>
      <c r="D12224" s="7">
        <v>18014</v>
      </c>
      <c r="E12224" s="7" t="s">
        <v>11</v>
      </c>
      <c r="F12224" s="8" t="str">
        <f ca="1">IFERROR(__xludf.DUMMYFUNCTION("IF
(
C12225=""фізична особа""
,
VLOOKUP(D12225,IMPORTRANGE(""https://docs.google.com/spreadsheets/d/14Bd19lYaqBhU8_DElYkX7l4wRkHqqCUFNJY4AfY3kHU/edit?usp=sharing  #gid=0"",""фіз особи new!relations_name""),6,FALSE)
,
(IF
(
C12225=""юридична особа""
,
VLOO"&amp;"KUP(D12225,IMPORTRANGE(""https://docs.google.com/spreadsheets/d/14Bd19lYaqBhU8_DElYkX7l4wRkHqqCUFNJY4AfY3kHU/edit?usp=sharing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4" s="7" t="s">
        <v>10</v>
      </c>
      <c r="H12224" s="7">
        <v>16799</v>
      </c>
      <c r="I12224" s="8" t="str">
        <f ca="1">IFERROR(__xludf.DUMMYFUNCTION("IF
(
G12225=""фізична особа""
,
VLOOKUP(H12225,IMPORTRANGE(""https://docs.google.com/spreadsheets/d/14Bd19lYaqBhU8_DElYkX7l4wRkHqqCUFNJY4AfY3kHU/edit?usp=sharing  #gid=0"",""фіз особи new!relations_name""),6,FALSE)
,
(IF
(
G12225=""юридична особа""
,
VLOO"&amp;"KUP(H12225,IMPORTRANGE(""https://docs.google.com/spreadsheets/d/14Bd19lYaqBhU8_DElYkX7l4wRkHqqCUFNJY4AfY3kHU/edit?usp=sharing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24" s="7" t="s">
        <v>11</v>
      </c>
    </row>
    <row r="12225" spans="1:10" ht="13.2">
      <c r="A12225" s="7">
        <v>12224</v>
      </c>
      <c r="B12225" s="7">
        <v>1</v>
      </c>
      <c r="C12225" s="7" t="s">
        <v>10</v>
      </c>
      <c r="D12225" s="7">
        <v>18014</v>
      </c>
      <c r="E12225" s="7" t="s">
        <v>11</v>
      </c>
      <c r="F12225" s="8" t="str">
        <f ca="1">IFERROR(__xludf.DUMMYFUNCTION("IF
(
C12226=""фізична особа""
,
VLOOKUP(D12226,IMPORTRANGE(""https://docs.google.com/spreadsheets/d/14Bd19lYaqBhU8_DElYkX7l4wRkHqqCUFNJY4AfY3kHU/edit?usp=sharing  #gid=0"",""фіз особи new!relations_name""),6,FALSE)
,
(IF
(
C12226=""юридична особа""
,
VLOO"&amp;"KUP(D12226,IMPORTRANGE(""https://docs.google.com/spreadsheets/d/14Bd19lYaqBhU8_DElYkX7l4wRkHqqCUFNJY4AfY3kHU/edit?usp=sharing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5" s="7" t="s">
        <v>10</v>
      </c>
      <c r="H12225" s="7">
        <v>16800</v>
      </c>
      <c r="I12225" s="8" t="str">
        <f ca="1">IFERROR(__xludf.DUMMYFUNCTION("IF
(
G12226=""фізична особа""
,
VLOOKUP(H12226,IMPORTRANGE(""https://docs.google.com/spreadsheets/d/14Bd19lYaqBhU8_DElYkX7l4wRkHqqCUFNJY4AfY3kHU/edit?usp=sharing  #gid=0"",""фіз особи new!relations_name""),6,FALSE)
,
(IF
(
G12226=""юридична особа""
,
VLOO"&amp;"KUP(H12226,IMPORTRANGE(""https://docs.google.com/spreadsheets/d/14Bd19lYaqBhU8_DElYkX7l4wRkHqqCUFNJY4AfY3kHU/edit?usp=sharing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25" s="7" t="s">
        <v>11</v>
      </c>
    </row>
    <row r="12226" spans="1:10" ht="13.2">
      <c r="A12226" s="7">
        <v>12225</v>
      </c>
      <c r="B12226" s="7">
        <v>1</v>
      </c>
      <c r="C12226" s="7" t="s">
        <v>10</v>
      </c>
      <c r="D12226" s="7">
        <v>18014</v>
      </c>
      <c r="E12226" s="7" t="s">
        <v>11</v>
      </c>
      <c r="F12226" s="8" t="str">
        <f ca="1">IFERROR(__xludf.DUMMYFUNCTION("IF
(
C12227=""фізична особа""
,
VLOOKUP(D12227,IMPORTRANGE(""https://docs.google.com/spreadsheets/d/14Bd19lYaqBhU8_DElYkX7l4wRkHqqCUFNJY4AfY3kHU/edit?usp=sharing  #gid=0"",""фіз особи new!relations_name""),6,FALSE)
,
(IF
(
C12227=""юридична особа""
,
VLOO"&amp;"KUP(D12227,IMPORTRANGE(""https://docs.google.com/spreadsheets/d/14Bd19lYaqBhU8_DElYkX7l4wRkHqqCUFNJY4AfY3kHU/edit?usp=sharing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6" s="7" t="s">
        <v>10</v>
      </c>
      <c r="H12226" s="7">
        <v>1820</v>
      </c>
      <c r="I12226" s="8" t="str">
        <f ca="1">IFERROR(__xludf.DUMMYFUNCTION("IF
(
G12227=""фізична особа""
,
VLOOKUP(H12227,IMPORTRANGE(""https://docs.google.com/spreadsheets/d/14Bd19lYaqBhU8_DElYkX7l4wRkHqqCUFNJY4AfY3kHU/edit?usp=sharing  #gid=0"",""фіз особи new!relations_name""),6,FALSE)
,
(IF
(
G12227=""юридична особа""
,
VLOO"&amp;"KUP(H12227,IMPORTRANGE(""https://docs.google.com/spreadsheets/d/14Bd19lYaqBhU8_DElYkX7l4wRkHqqCUFNJY4AfY3kHU/edit?usp=sharing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26" s="7" t="s">
        <v>11</v>
      </c>
    </row>
    <row r="12227" spans="1:10" ht="13.2">
      <c r="A12227" s="7">
        <v>12226</v>
      </c>
      <c r="B12227" s="7">
        <v>1</v>
      </c>
      <c r="C12227" s="7" t="s">
        <v>10</v>
      </c>
      <c r="D12227" s="7">
        <v>18014</v>
      </c>
      <c r="E12227" s="7" t="s">
        <v>11</v>
      </c>
      <c r="F12227" s="8" t="str">
        <f ca="1">IFERROR(__xludf.DUMMYFUNCTION("IF
(
C12228=""фізична особа""
,
VLOOKUP(D12228,IMPORTRANGE(""https://docs.google.com/spreadsheets/d/14Bd19lYaqBhU8_DElYkX7l4wRkHqqCUFNJY4AfY3kHU/edit?usp=sharing  #gid=0"",""фіз особи new!relations_name""),6,FALSE)
,
(IF
(
C12228=""юридична особа""
,
VLOO"&amp;"KUP(D12228,IMPORTRANGE(""https://docs.google.com/spreadsheets/d/14Bd19lYaqBhU8_DElYkX7l4wRkHqqCUFNJY4AfY3kHU/edit?usp=sharing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7" s="7" t="s">
        <v>10</v>
      </c>
      <c r="H12227" s="7">
        <v>16802</v>
      </c>
      <c r="I12227" s="8" t="str">
        <f ca="1">IFERROR(__xludf.DUMMYFUNCTION("IF
(
G12228=""фізична особа""
,
VLOOKUP(H12228,IMPORTRANGE(""https://docs.google.com/spreadsheets/d/14Bd19lYaqBhU8_DElYkX7l4wRkHqqCUFNJY4AfY3kHU/edit?usp=sharing  #gid=0"",""фіз особи new!relations_name""),6,FALSE)
,
(IF
(
G12228=""юридична особа""
,
VLOO"&amp;"KUP(H12228,IMPORTRANGE(""https://docs.google.com/spreadsheets/d/14Bd19lYaqBhU8_DElYkX7l4wRkHqqCUFNJY4AfY3kHU/edit?usp=sharing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27" s="7" t="s">
        <v>11</v>
      </c>
    </row>
    <row r="12228" spans="1:10" ht="13.2">
      <c r="A12228" s="7">
        <v>12227</v>
      </c>
      <c r="B12228" s="7">
        <v>1</v>
      </c>
      <c r="C12228" s="7" t="s">
        <v>10</v>
      </c>
      <c r="D12228" s="7">
        <v>18014</v>
      </c>
      <c r="E12228" s="7" t="s">
        <v>11</v>
      </c>
      <c r="F12228" s="8" t="str">
        <f ca="1">IFERROR(__xludf.DUMMYFUNCTION("IF
(
C12229=""фізична особа""
,
VLOOKUP(D12229,IMPORTRANGE(""https://docs.google.com/spreadsheets/d/14Bd19lYaqBhU8_DElYkX7l4wRkHqqCUFNJY4AfY3kHU/edit?usp=sharing  #gid=0"",""фіз особи new!relations_name""),6,FALSE)
,
(IF
(
C12229=""юридична особа""
,
VLOO"&amp;"KUP(D12229,IMPORTRANGE(""https://docs.google.com/spreadsheets/d/14Bd19lYaqBhU8_DElYkX7l4wRkHqqCUFNJY4AfY3kHU/edit?usp=sharing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G12228" s="7" t="s">
        <v>10</v>
      </c>
      <c r="H12228" s="7">
        <v>16805</v>
      </c>
      <c r="I12228" s="8" t="str">
        <f ca="1">IFERROR(__xludf.DUMMYFUNCTION("IF
(
G12229=""фізична особа""
,
VLOOKUP(H12229,IMPORTRANGE(""https://docs.google.com/spreadsheets/d/14Bd19lYaqBhU8_DElYkX7l4wRkHqqCUFNJY4AfY3kHU/edit?usp=sharing  #gid=0"",""фіз особи new!relations_name""),6,FALSE)
,
(IF
(
G12229=""юридична особа""
,
VLOO"&amp;"KUP(H12229,IMPORTRANGE(""https://docs.google.com/spreadsheets/d/14Bd19lYaqBhU8_DElYkX7l4wRkHqqCUFNJY4AfY3kHU/edit?usp=sharing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28" s="7" t="s">
        <v>11</v>
      </c>
    </row>
    <row r="12229" spans="1:10" ht="13.2">
      <c r="A12229" s="7">
        <v>12228</v>
      </c>
      <c r="B12229" s="7">
        <v>1</v>
      </c>
      <c r="C12229" s="7" t="s">
        <v>10</v>
      </c>
      <c r="D12229" s="7">
        <v>18015</v>
      </c>
      <c r="E12229" s="7" t="s">
        <v>11</v>
      </c>
      <c r="F12229" s="8" t="str">
        <f ca="1">IFERROR(__xludf.DUMMYFUNCTION("IF
(
C12230=""фізична особа""
,
VLOOKUP(D12230,IMPORTRANGE(""https://docs.google.com/spreadsheets/d/14Bd19lYaqBhU8_DElYkX7l4wRkHqqCUFNJY4AfY3kHU/edit?usp=sharing  #gid=0"",""фіз особи new!relations_name""),6,FALSE)
,
(IF
(
C12230=""юридична особа""
,
VLOO"&amp;"KUP(D12230,IMPORTRANGE(""https://docs.google.com/spreadsheets/d/14Bd19lYaqBhU8_DElYkX7l4wRkHqqCUFNJY4AfY3kHU/edit?usp=sharing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29" s="7" t="s">
        <v>10</v>
      </c>
      <c r="H12229" s="7">
        <v>18011</v>
      </c>
      <c r="I12229" s="8" t="str">
        <f ca="1">IFERROR(__xludf.DUMMYFUNCTION("IF
(
G12230=""фізична особа""
,
VLOOKUP(H12230,IMPORTRANGE(""https://docs.google.com/spreadsheets/d/14Bd19lYaqBhU8_DElYkX7l4wRkHqqCUFNJY4AfY3kHU/edit?usp=sharing  #gid=0"",""фіз особи new!relations_name""),6,FALSE)
,
(IF
(
G12230=""юридична особа""
,
VLOO"&amp;"KUP(H12230,IMPORTRANGE(""https://docs.google.com/spreadsheets/d/14Bd19lYaqBhU8_DElYkX7l4wRkHqqCUFNJY4AfY3kHU/edit?usp=sharing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229" s="7" t="s">
        <v>11</v>
      </c>
    </row>
    <row r="12230" spans="1:10" ht="13.2">
      <c r="A12230" s="7">
        <v>12229</v>
      </c>
      <c r="B12230" s="7">
        <v>1</v>
      </c>
      <c r="C12230" s="7" t="s">
        <v>10</v>
      </c>
      <c r="D12230" s="7">
        <v>18015</v>
      </c>
      <c r="E12230" s="7" t="s">
        <v>11</v>
      </c>
      <c r="F12230" s="8" t="str">
        <f ca="1">IFERROR(__xludf.DUMMYFUNCTION("IF
(
C12231=""фізична особа""
,
VLOOKUP(D12231,IMPORTRANGE(""https://docs.google.com/spreadsheets/d/14Bd19lYaqBhU8_DElYkX7l4wRkHqqCUFNJY4AfY3kHU/edit?usp=sharing  #gid=0"",""фіз особи new!relations_name""),6,FALSE)
,
(IF
(
C12231=""юридична особа""
,
VLOO"&amp;"KUP(D12231,IMPORTRANGE(""https://docs.google.com/spreadsheets/d/14Bd19lYaqBhU8_DElYkX7l4wRkHqqCUFNJY4AfY3kHU/edit?usp=sharing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0" s="7" t="s">
        <v>10</v>
      </c>
      <c r="H12230" s="7">
        <v>163</v>
      </c>
      <c r="I12230" s="8" t="str">
        <f ca="1">IFERROR(__xludf.DUMMYFUNCTION("IF
(
G12231=""фізична особа""
,
VLOOKUP(H12231,IMPORTRANGE(""https://docs.google.com/spreadsheets/d/14Bd19lYaqBhU8_DElYkX7l4wRkHqqCUFNJY4AfY3kHU/edit?usp=sharing  #gid=0"",""фіз особи new!relations_name""),6,FALSE)
,
(IF
(
G12231=""юридична особа""
,
VLOO"&amp;"KUP(H12231,IMPORTRANGE(""https://docs.google.com/spreadsheets/d/14Bd19lYaqBhU8_DElYkX7l4wRkHqqCUFNJY4AfY3kHU/edit?usp=sharing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230" s="7" t="s">
        <v>11</v>
      </c>
    </row>
    <row r="12231" spans="1:10" ht="13.2">
      <c r="A12231" s="7">
        <v>12230</v>
      </c>
      <c r="B12231" s="7">
        <v>1</v>
      </c>
      <c r="C12231" s="7" t="s">
        <v>10</v>
      </c>
      <c r="D12231" s="7">
        <v>18015</v>
      </c>
      <c r="E12231" s="7" t="s">
        <v>11</v>
      </c>
      <c r="F12231" s="8" t="str">
        <f ca="1">IFERROR(__xludf.DUMMYFUNCTION("IF
(
C12232=""фізична особа""
,
VLOOKUP(D12232,IMPORTRANGE(""https://docs.google.com/spreadsheets/d/14Bd19lYaqBhU8_DElYkX7l4wRkHqqCUFNJY4AfY3kHU/edit?usp=sharing  #gid=0"",""фіз особи new!relations_name""),6,FALSE)
,
(IF
(
C12232=""юридична особа""
,
VLOO"&amp;"KUP(D12232,IMPORTRANGE(""https://docs.google.com/spreadsheets/d/14Bd19lYaqBhU8_DElYkX7l4wRkHqqCUFNJY4AfY3kHU/edit?usp=sharing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1" s="7" t="s">
        <v>10</v>
      </c>
      <c r="H12231" s="7">
        <v>16803</v>
      </c>
      <c r="I12231" s="8" t="str">
        <f ca="1">IFERROR(__xludf.DUMMYFUNCTION("IF
(
G12232=""фізична особа""
,
VLOOKUP(H12232,IMPORTRANGE(""https://docs.google.com/spreadsheets/d/14Bd19lYaqBhU8_DElYkX7l4wRkHqqCUFNJY4AfY3kHU/edit?usp=sharing  #gid=0"",""фіз особи new!relations_name""),6,FALSE)
,
(IF
(
G12232=""юридична особа""
,
VLOO"&amp;"KUP(H12232,IMPORTRANGE(""https://docs.google.com/spreadsheets/d/14Bd19lYaqBhU8_DElYkX7l4wRkHqqCUFNJY4AfY3kHU/edit?usp=sharing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231" s="7" t="s">
        <v>11</v>
      </c>
    </row>
    <row r="12232" spans="1:10" ht="13.2">
      <c r="A12232" s="7">
        <v>12231</v>
      </c>
      <c r="B12232" s="7">
        <v>1</v>
      </c>
      <c r="C12232" s="7" t="s">
        <v>10</v>
      </c>
      <c r="D12232" s="7">
        <v>18015</v>
      </c>
      <c r="E12232" s="7" t="s">
        <v>11</v>
      </c>
      <c r="F12232" s="8" t="str">
        <f ca="1">IFERROR(__xludf.DUMMYFUNCTION("IF
(
C12233=""фізична особа""
,
VLOOKUP(D12233,IMPORTRANGE(""https://docs.google.com/spreadsheets/d/14Bd19lYaqBhU8_DElYkX7l4wRkHqqCUFNJY4AfY3kHU/edit?usp=sharing  #gid=0"",""фіз особи new!relations_name""),6,FALSE)
,
(IF
(
C12233=""юридична особа""
,
VLOO"&amp;"KUP(D12233,IMPORTRANGE(""https://docs.google.com/spreadsheets/d/14Bd19lYaqBhU8_DElYkX7l4wRkHqqCUFNJY4AfY3kHU/edit?usp=sharing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2" s="7" t="s">
        <v>10</v>
      </c>
      <c r="H12232" s="7">
        <v>18012</v>
      </c>
      <c r="I12232" s="8" t="str">
        <f ca="1">IFERROR(__xludf.DUMMYFUNCTION("IF
(
G12233=""фізична особа""
,
VLOOKUP(H12233,IMPORTRANGE(""https://docs.google.com/spreadsheets/d/14Bd19lYaqBhU8_DElYkX7l4wRkHqqCUFNJY4AfY3kHU/edit?usp=sharing  #gid=0"",""фіз особи new!relations_name""),6,FALSE)
,
(IF
(
G12233=""юридична особа""
,
VLOO"&amp;"KUP(H12233,IMPORTRANGE(""https://docs.google.com/spreadsheets/d/14Bd19lYaqBhU8_DElYkX7l4wRkHqqCUFNJY4AfY3kHU/edit?usp=sharing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232" s="7" t="s">
        <v>11</v>
      </c>
    </row>
    <row r="12233" spans="1:10" ht="13.2">
      <c r="A12233" s="7">
        <v>12232</v>
      </c>
      <c r="B12233" s="7">
        <v>1</v>
      </c>
      <c r="C12233" s="7" t="s">
        <v>10</v>
      </c>
      <c r="D12233" s="7">
        <v>18015</v>
      </c>
      <c r="E12233" s="7" t="s">
        <v>11</v>
      </c>
      <c r="F12233" s="8" t="str">
        <f ca="1">IFERROR(__xludf.DUMMYFUNCTION("IF
(
C12234=""фізична особа""
,
VLOOKUP(D12234,IMPORTRANGE(""https://docs.google.com/spreadsheets/d/14Bd19lYaqBhU8_DElYkX7l4wRkHqqCUFNJY4AfY3kHU/edit?usp=sharing  #gid=0"",""фіз особи new!relations_name""),6,FALSE)
,
(IF
(
C12234=""юридична особа""
,
VLOO"&amp;"KUP(D12234,IMPORTRANGE(""https://docs.google.com/spreadsheets/d/14Bd19lYaqBhU8_DElYkX7l4wRkHqqCUFNJY4AfY3kHU/edit?usp=sharing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3" s="7" t="s">
        <v>10</v>
      </c>
      <c r="H12233" s="7">
        <v>18013</v>
      </c>
      <c r="I12233" s="8" t="str">
        <f ca="1">IFERROR(__xludf.DUMMYFUNCTION("IF
(
G12234=""фізична особа""
,
VLOOKUP(H12234,IMPORTRANGE(""https://docs.google.com/spreadsheets/d/14Bd19lYaqBhU8_DElYkX7l4wRkHqqCUFNJY4AfY3kHU/edit?usp=sharing  #gid=0"",""фіз особи new!relations_name""),6,FALSE)
,
(IF
(
G12234=""юридична особа""
,
VLOO"&amp;"KUP(H12234,IMPORTRANGE(""https://docs.google.com/spreadsheets/d/14Bd19lYaqBhU8_DElYkX7l4wRkHqqCUFNJY4AfY3kHU/edit?usp=sharing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233" s="7" t="s">
        <v>11</v>
      </c>
    </row>
    <row r="12234" spans="1:10" ht="13.2">
      <c r="A12234" s="7">
        <v>12233</v>
      </c>
      <c r="B12234" s="7">
        <v>1</v>
      </c>
      <c r="C12234" s="7" t="s">
        <v>10</v>
      </c>
      <c r="D12234" s="7">
        <v>18015</v>
      </c>
      <c r="E12234" s="7" t="s">
        <v>11</v>
      </c>
      <c r="F12234" s="8" t="str">
        <f ca="1">IFERROR(__xludf.DUMMYFUNCTION("IF
(
C12235=""фізична особа""
,
VLOOKUP(D12235,IMPORTRANGE(""https://docs.google.com/spreadsheets/d/14Bd19lYaqBhU8_DElYkX7l4wRkHqqCUFNJY4AfY3kHU/edit?usp=sharing  #gid=0"",""фіз особи new!relations_name""),6,FALSE)
,
(IF
(
C12235=""юридична особа""
,
VLOO"&amp;"KUP(D12235,IMPORTRANGE(""https://docs.google.com/spreadsheets/d/14Bd19lYaqBhU8_DElYkX7l4wRkHqqCUFNJY4AfY3kHU/edit?usp=sharing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4" s="7" t="s">
        <v>10</v>
      </c>
      <c r="H12234" s="7">
        <v>18017</v>
      </c>
      <c r="I12234" s="8" t="str">
        <f ca="1">IFERROR(__xludf.DUMMYFUNCTION("IF
(
G12235=""фізична особа""
,
VLOOKUP(H12235,IMPORTRANGE(""https://docs.google.com/spreadsheets/d/14Bd19lYaqBhU8_DElYkX7l4wRkHqqCUFNJY4AfY3kHU/edit?usp=sharing  #gid=0"",""фіз особи new!relations_name""),6,FALSE)
,
(IF
(
G12235=""юридична особа""
,
VLOO"&amp;"KUP(H12235,IMPORTRANGE(""https://docs.google.com/spreadsheets/d/14Bd19lYaqBhU8_DElYkX7l4wRkHqqCUFNJY4AfY3kHU/edit?usp=sharing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234" s="7" t="s">
        <v>11</v>
      </c>
    </row>
    <row r="12235" spans="1:10" ht="13.2">
      <c r="A12235" s="7">
        <v>12234</v>
      </c>
      <c r="B12235" s="7">
        <v>1</v>
      </c>
      <c r="C12235" s="7" t="s">
        <v>10</v>
      </c>
      <c r="D12235" s="7">
        <v>18015</v>
      </c>
      <c r="E12235" s="7" t="s">
        <v>11</v>
      </c>
      <c r="F12235" s="8" t="str">
        <f ca="1">IFERROR(__xludf.DUMMYFUNCTION("IF
(
C12236=""фізична особа""
,
VLOOKUP(D12236,IMPORTRANGE(""https://docs.google.com/spreadsheets/d/14Bd19lYaqBhU8_DElYkX7l4wRkHqqCUFNJY4AfY3kHU/edit?usp=sharing  #gid=0"",""фіз особи new!relations_name""),6,FALSE)
,
(IF
(
C12236=""юридична особа""
,
VLOO"&amp;"KUP(D12236,IMPORTRANGE(""https://docs.google.com/spreadsheets/d/14Bd19lYaqBhU8_DElYkX7l4wRkHqqCUFNJY4AfY3kHU/edit?usp=sharing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5" s="7" t="s">
        <v>10</v>
      </c>
      <c r="H12235" s="7">
        <v>18014</v>
      </c>
      <c r="I12235" s="8" t="str">
        <f ca="1">IFERROR(__xludf.DUMMYFUNCTION("IF
(
G12236=""фізична особа""
,
VLOOKUP(H12236,IMPORTRANGE(""https://docs.google.com/spreadsheets/d/14Bd19lYaqBhU8_DElYkX7l4wRkHqqCUFNJY4AfY3kHU/edit?usp=sharing  #gid=0"",""фіз особи new!relations_name""),6,FALSE)
,
(IF
(
G12236=""юридична особа""
,
VLOO"&amp;"KUP(H12236,IMPORTRANGE(""https://docs.google.com/spreadsheets/d/14Bd19lYaqBhU8_DElYkX7l4wRkHqqCUFNJY4AfY3kHU/edit?usp=sharing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235" s="7" t="s">
        <v>11</v>
      </c>
    </row>
    <row r="12236" spans="1:10" ht="13.2">
      <c r="A12236" s="7">
        <v>12235</v>
      </c>
      <c r="B12236" s="7">
        <v>1</v>
      </c>
      <c r="C12236" s="7" t="s">
        <v>10</v>
      </c>
      <c r="D12236" s="7">
        <v>18015</v>
      </c>
      <c r="E12236" s="7" t="s">
        <v>11</v>
      </c>
      <c r="F12236" s="8" t="str">
        <f ca="1">IFERROR(__xludf.DUMMYFUNCTION("IF
(
C12237=""фізична особа""
,
VLOOKUP(D12237,IMPORTRANGE(""https://docs.google.com/spreadsheets/d/14Bd19lYaqBhU8_DElYkX7l4wRkHqqCUFNJY4AfY3kHU/edit?usp=sharing  #gid=0"",""фіз особи new!relations_name""),6,FALSE)
,
(IF
(
C12237=""юридична особа""
,
VLOO"&amp;"KUP(D12237,IMPORTRANGE(""https://docs.google.com/spreadsheets/d/14Bd19lYaqBhU8_DElYkX7l4wRkHqqCUFNJY4AfY3kHU/edit?usp=sharing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6" s="7" t="s">
        <v>10</v>
      </c>
      <c r="H12236" s="7">
        <v>16799</v>
      </c>
      <c r="I12236" s="8" t="str">
        <f ca="1">IFERROR(__xludf.DUMMYFUNCTION("IF
(
G12237=""фізична особа""
,
VLOOKUP(H12237,IMPORTRANGE(""https://docs.google.com/spreadsheets/d/14Bd19lYaqBhU8_DElYkX7l4wRkHqqCUFNJY4AfY3kHU/edit?usp=sharing  #gid=0"",""фіз особи new!relations_name""),6,FALSE)
,
(IF
(
G12237=""юридична особа""
,
VLOO"&amp;"KUP(H12237,IMPORTRANGE(""https://docs.google.com/spreadsheets/d/14Bd19lYaqBhU8_DElYkX7l4wRkHqqCUFNJY4AfY3kHU/edit?usp=sharing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36" s="7" t="s">
        <v>11</v>
      </c>
    </row>
    <row r="12237" spans="1:10" ht="13.2">
      <c r="A12237" s="7">
        <v>12236</v>
      </c>
      <c r="B12237" s="7">
        <v>1</v>
      </c>
      <c r="C12237" s="7" t="s">
        <v>10</v>
      </c>
      <c r="D12237" s="7">
        <v>18015</v>
      </c>
      <c r="E12237" s="7" t="s">
        <v>11</v>
      </c>
      <c r="F12237" s="8" t="str">
        <f ca="1">IFERROR(__xludf.DUMMYFUNCTION("IF
(
C12238=""фізична особа""
,
VLOOKUP(D12238,IMPORTRANGE(""https://docs.google.com/spreadsheets/d/14Bd19lYaqBhU8_DElYkX7l4wRkHqqCUFNJY4AfY3kHU/edit?usp=sharing  #gid=0"",""фіз особи new!relations_name""),6,FALSE)
,
(IF
(
C12238=""юридична особа""
,
VLOO"&amp;"KUP(D12238,IMPORTRANGE(""https://docs.google.com/spreadsheets/d/14Bd19lYaqBhU8_DElYkX7l4wRkHqqCUFNJY4AfY3kHU/edit?usp=sharing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7" s="7" t="s">
        <v>10</v>
      </c>
      <c r="H12237" s="7">
        <v>16800</v>
      </c>
      <c r="I12237" s="8" t="str">
        <f ca="1">IFERROR(__xludf.DUMMYFUNCTION("IF
(
G12238=""фізична особа""
,
VLOOKUP(H12238,IMPORTRANGE(""https://docs.google.com/spreadsheets/d/14Bd19lYaqBhU8_DElYkX7l4wRkHqqCUFNJY4AfY3kHU/edit?usp=sharing  #gid=0"",""фіз особи new!relations_name""),6,FALSE)
,
(IF
(
G12238=""юридична особа""
,
VLOO"&amp;"KUP(H12238,IMPORTRANGE(""https://docs.google.com/spreadsheets/d/14Bd19lYaqBhU8_DElYkX7l4wRkHqqCUFNJY4AfY3kHU/edit?usp=sharing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37" s="7" t="s">
        <v>11</v>
      </c>
    </row>
    <row r="12238" spans="1:10" ht="13.2">
      <c r="A12238" s="7">
        <v>12237</v>
      </c>
      <c r="B12238" s="7">
        <v>1</v>
      </c>
      <c r="C12238" s="7" t="s">
        <v>10</v>
      </c>
      <c r="D12238" s="7">
        <v>18015</v>
      </c>
      <c r="E12238" s="7" t="s">
        <v>11</v>
      </c>
      <c r="F12238" s="8" t="str">
        <f ca="1">IFERROR(__xludf.DUMMYFUNCTION("IF
(
C12239=""фізична особа""
,
VLOOKUP(D12239,IMPORTRANGE(""https://docs.google.com/spreadsheets/d/14Bd19lYaqBhU8_DElYkX7l4wRkHqqCUFNJY4AfY3kHU/edit?usp=sharing  #gid=0"",""фіз особи new!relations_name""),6,FALSE)
,
(IF
(
C12239=""юридична особа""
,
VLOO"&amp;"KUP(D12239,IMPORTRANGE(""https://docs.google.com/spreadsheets/d/14Bd19lYaqBhU8_DElYkX7l4wRkHqqCUFNJY4AfY3kHU/edit?usp=sharing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8" s="7" t="s">
        <v>10</v>
      </c>
      <c r="H12238" s="7">
        <v>1820</v>
      </c>
      <c r="I12238" s="8" t="str">
        <f ca="1">IFERROR(__xludf.DUMMYFUNCTION("IF
(
G12239=""фізична особа""
,
VLOOKUP(H12239,IMPORTRANGE(""https://docs.google.com/spreadsheets/d/14Bd19lYaqBhU8_DElYkX7l4wRkHqqCUFNJY4AfY3kHU/edit?usp=sharing  #gid=0"",""фіз особи new!relations_name""),6,FALSE)
,
(IF
(
G12239=""юридична особа""
,
VLOO"&amp;"KUP(H12239,IMPORTRANGE(""https://docs.google.com/spreadsheets/d/14Bd19lYaqBhU8_DElYkX7l4wRkHqqCUFNJY4AfY3kHU/edit?usp=sharing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38" s="7" t="s">
        <v>11</v>
      </c>
    </row>
    <row r="12239" spans="1:10" ht="13.2">
      <c r="A12239" s="7">
        <v>12238</v>
      </c>
      <c r="B12239" s="7">
        <v>1</v>
      </c>
      <c r="C12239" s="7" t="s">
        <v>10</v>
      </c>
      <c r="D12239" s="7">
        <v>18015</v>
      </c>
      <c r="E12239" s="7" t="s">
        <v>11</v>
      </c>
      <c r="F12239" s="8" t="str">
        <f ca="1">IFERROR(__xludf.DUMMYFUNCTION("IF
(
C12240=""фізична особа""
,
VLOOKUP(D12240,IMPORTRANGE(""https://docs.google.com/spreadsheets/d/14Bd19lYaqBhU8_DElYkX7l4wRkHqqCUFNJY4AfY3kHU/edit?usp=sharing  #gid=0"",""фіз особи new!relations_name""),6,FALSE)
,
(IF
(
C12240=""юридична особа""
,
VLOO"&amp;"KUP(D12240,IMPORTRANGE(""https://docs.google.com/spreadsheets/d/14Bd19lYaqBhU8_DElYkX7l4wRkHqqCUFNJY4AfY3kHU/edit?usp=sharing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39" s="7" t="s">
        <v>10</v>
      </c>
      <c r="H12239" s="7">
        <v>16802</v>
      </c>
      <c r="I12239" s="8" t="str">
        <f ca="1">IFERROR(__xludf.DUMMYFUNCTION("IF
(
G12240=""фізична особа""
,
VLOOKUP(H12240,IMPORTRANGE(""https://docs.google.com/spreadsheets/d/14Bd19lYaqBhU8_DElYkX7l4wRkHqqCUFNJY4AfY3kHU/edit?usp=sharing  #gid=0"",""фіз особи new!relations_name""),6,FALSE)
,
(IF
(
G12240=""юридична особа""
,
VLOO"&amp;"KUP(H12240,IMPORTRANGE(""https://docs.google.com/spreadsheets/d/14Bd19lYaqBhU8_DElYkX7l4wRkHqqCUFNJY4AfY3kHU/edit?usp=sharing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39" s="7" t="s">
        <v>11</v>
      </c>
    </row>
    <row r="12240" spans="1:10" ht="13.2">
      <c r="A12240" s="7">
        <v>12239</v>
      </c>
      <c r="B12240" s="7">
        <v>1</v>
      </c>
      <c r="C12240" s="7" t="s">
        <v>10</v>
      </c>
      <c r="D12240" s="7">
        <v>18015</v>
      </c>
      <c r="E12240" s="7" t="s">
        <v>11</v>
      </c>
      <c r="F12240" s="8" t="str">
        <f ca="1">IFERROR(__xludf.DUMMYFUNCTION("IF
(
C12241=""фізична особа""
,
VLOOKUP(D12241,IMPORTRANGE(""https://docs.google.com/spreadsheets/d/14Bd19lYaqBhU8_DElYkX7l4wRkHqqCUFNJY4AfY3kHU/edit?usp=sharing  #gid=0"",""фіз особи new!relations_name""),6,FALSE)
,
(IF
(
C12241=""юридична особа""
,
VLOO"&amp;"KUP(D12241,IMPORTRANGE(""https://docs.google.com/spreadsheets/d/14Bd19lYaqBhU8_DElYkX7l4wRkHqqCUFNJY4AfY3kHU/edit?usp=sharing  #gid=0"",""фіз особи new!relations_name_uo""),7,FALSE)
,
)
))"),"ГАРІФУЛЛІН Азат Анасович")</f>
        <v>ГАРІФУЛЛІН Азат Анасович</v>
      </c>
      <c r="G12240" s="7" t="s">
        <v>10</v>
      </c>
      <c r="H12240" s="7">
        <v>16805</v>
      </c>
      <c r="I12240" s="8" t="str">
        <f ca="1">IFERROR(__xludf.DUMMYFUNCTION("IF
(
G12241=""фізична особа""
,
VLOOKUP(H12241,IMPORTRANGE(""https://docs.google.com/spreadsheets/d/14Bd19lYaqBhU8_DElYkX7l4wRkHqqCUFNJY4AfY3kHU/edit?usp=sharing  #gid=0"",""фіз особи new!relations_name""),6,FALSE)
,
(IF
(
G12241=""юридична особа""
,
VLOO"&amp;"KUP(H12241,IMPORTRANGE(""https://docs.google.com/spreadsheets/d/14Bd19lYaqBhU8_DElYkX7l4wRkHqqCUFNJY4AfY3kHU/edit?usp=sharing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40" s="7" t="s">
        <v>11</v>
      </c>
    </row>
    <row r="12241" spans="1:10" ht="13.2">
      <c r="A12241" s="7">
        <v>12240</v>
      </c>
      <c r="B12241" s="7">
        <v>1</v>
      </c>
      <c r="C12241" s="7" t="s">
        <v>10</v>
      </c>
      <c r="D12241" s="7">
        <v>18016</v>
      </c>
      <c r="E12241" s="7" t="s">
        <v>11</v>
      </c>
      <c r="F12241" s="8" t="str">
        <f ca="1">IFERROR(__xludf.DUMMYFUNCTION("IF
(
C12242=""фізична особа""
,
VLOOKUP(D12242,IMPORTRANGE(""https://docs.google.com/spreadsheets/d/14Bd19lYaqBhU8_DElYkX7l4wRkHqqCUFNJY4AfY3kHU/edit?usp=sharing  #gid=0"",""фіз особи new!relations_name""),6,FALSE)
,
(IF
(
C12242=""юридична особа""
,
VLOO"&amp;"KUP(D12242,IMPORTRANGE(""https://docs.google.com/spreadsheets/d/14Bd19lYaqBhU8_DElYkX7l4wRkHqqCUFNJY4AfY3kHU/edit?usp=sharing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1" s="7" t="s">
        <v>10</v>
      </c>
      <c r="H12241" s="7">
        <v>18011</v>
      </c>
      <c r="I12241" s="8" t="str">
        <f ca="1">IFERROR(__xludf.DUMMYFUNCTION("IF
(
G12242=""фізична особа""
,
VLOOKUP(H12242,IMPORTRANGE(""https://docs.google.com/spreadsheets/d/14Bd19lYaqBhU8_DElYkX7l4wRkHqqCUFNJY4AfY3kHU/edit?usp=sharing  #gid=0"",""фіз особи new!relations_name""),6,FALSE)
,
(IF
(
G12242=""юридична особа""
,
VLOO"&amp;"KUP(H12242,IMPORTRANGE(""https://docs.google.com/spreadsheets/d/14Bd19lYaqBhU8_DElYkX7l4wRkHqqCUFNJY4AfY3kHU/edit?usp=sharing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241" s="7" t="s">
        <v>11</v>
      </c>
    </row>
    <row r="12242" spans="1:10" ht="13.2">
      <c r="A12242" s="7">
        <v>12241</v>
      </c>
      <c r="B12242" s="7">
        <v>1</v>
      </c>
      <c r="C12242" s="7" t="s">
        <v>10</v>
      </c>
      <c r="D12242" s="7">
        <v>18016</v>
      </c>
      <c r="E12242" s="7" t="s">
        <v>11</v>
      </c>
      <c r="F12242" s="8" t="str">
        <f ca="1">IFERROR(__xludf.DUMMYFUNCTION("IF
(
C12243=""фізична особа""
,
VLOOKUP(D12243,IMPORTRANGE(""https://docs.google.com/spreadsheets/d/14Bd19lYaqBhU8_DElYkX7l4wRkHqqCUFNJY4AfY3kHU/edit?usp=sharing  #gid=0"",""фіз особи new!relations_name""),6,FALSE)
,
(IF
(
C12243=""юридична особа""
,
VLOO"&amp;"KUP(D12243,IMPORTRANGE(""https://docs.google.com/spreadsheets/d/14Bd19lYaqBhU8_DElYkX7l4wRkHqqCUFNJY4AfY3kHU/edit?usp=sharing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2" s="7" t="s">
        <v>10</v>
      </c>
      <c r="H12242" s="7">
        <v>163</v>
      </c>
      <c r="I12242" s="8" t="str">
        <f ca="1">IFERROR(__xludf.DUMMYFUNCTION("IF
(
G12243=""фізична особа""
,
VLOOKUP(H12243,IMPORTRANGE(""https://docs.google.com/spreadsheets/d/14Bd19lYaqBhU8_DElYkX7l4wRkHqqCUFNJY4AfY3kHU/edit?usp=sharing  #gid=0"",""фіз особи new!relations_name""),6,FALSE)
,
(IF
(
G12243=""юридична особа""
,
VLOO"&amp;"KUP(H12243,IMPORTRANGE(""https://docs.google.com/spreadsheets/d/14Bd19lYaqBhU8_DElYkX7l4wRkHqqCUFNJY4AfY3kHU/edit?usp=sharing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242" s="7" t="s">
        <v>11</v>
      </c>
    </row>
    <row r="12243" spans="1:10" ht="13.2">
      <c r="A12243" s="7">
        <v>12242</v>
      </c>
      <c r="B12243" s="7">
        <v>1</v>
      </c>
      <c r="C12243" s="7" t="s">
        <v>10</v>
      </c>
      <c r="D12243" s="7">
        <v>18016</v>
      </c>
      <c r="E12243" s="7" t="s">
        <v>11</v>
      </c>
      <c r="F12243" s="8" t="str">
        <f ca="1">IFERROR(__xludf.DUMMYFUNCTION("IF
(
C12244=""фізична особа""
,
VLOOKUP(D12244,IMPORTRANGE(""https://docs.google.com/spreadsheets/d/14Bd19lYaqBhU8_DElYkX7l4wRkHqqCUFNJY4AfY3kHU/edit?usp=sharing  #gid=0"",""фіз особи new!relations_name""),6,FALSE)
,
(IF
(
C12244=""юридична особа""
,
VLOO"&amp;"KUP(D12244,IMPORTRANGE(""https://docs.google.com/spreadsheets/d/14Bd19lYaqBhU8_DElYkX7l4wRkHqqCUFNJY4AfY3kHU/edit?usp=sharing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3" s="7" t="s">
        <v>10</v>
      </c>
      <c r="H12243" s="7">
        <v>16803</v>
      </c>
      <c r="I12243" s="8" t="str">
        <f ca="1">IFERROR(__xludf.DUMMYFUNCTION("IF
(
G12244=""фізична особа""
,
VLOOKUP(H12244,IMPORTRANGE(""https://docs.google.com/spreadsheets/d/14Bd19lYaqBhU8_DElYkX7l4wRkHqqCUFNJY4AfY3kHU/edit?usp=sharing  #gid=0"",""фіз особи new!relations_name""),6,FALSE)
,
(IF
(
G12244=""юридична особа""
,
VLOO"&amp;"KUP(H12244,IMPORTRANGE(""https://docs.google.com/spreadsheets/d/14Bd19lYaqBhU8_DElYkX7l4wRkHqqCUFNJY4AfY3kHU/edit?usp=sharing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243" s="7" t="s">
        <v>11</v>
      </c>
    </row>
    <row r="12244" spans="1:10" ht="13.2">
      <c r="A12244" s="7">
        <v>12243</v>
      </c>
      <c r="B12244" s="7">
        <v>1</v>
      </c>
      <c r="C12244" s="7" t="s">
        <v>10</v>
      </c>
      <c r="D12244" s="7">
        <v>18016</v>
      </c>
      <c r="E12244" s="7" t="s">
        <v>11</v>
      </c>
      <c r="F12244" s="8" t="str">
        <f ca="1">IFERROR(__xludf.DUMMYFUNCTION("IF
(
C12245=""фізична особа""
,
VLOOKUP(D12245,IMPORTRANGE(""https://docs.google.com/spreadsheets/d/14Bd19lYaqBhU8_DElYkX7l4wRkHqqCUFNJY4AfY3kHU/edit?usp=sharing  #gid=0"",""фіз особи new!relations_name""),6,FALSE)
,
(IF
(
C12245=""юридична особа""
,
VLOO"&amp;"KUP(D12245,IMPORTRANGE(""https://docs.google.com/spreadsheets/d/14Bd19lYaqBhU8_DElYkX7l4wRkHqqCUFNJY4AfY3kHU/edit?usp=sharing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4" s="7" t="s">
        <v>10</v>
      </c>
      <c r="H12244" s="7">
        <v>18012</v>
      </c>
      <c r="I12244" s="8" t="str">
        <f ca="1">IFERROR(__xludf.DUMMYFUNCTION("IF
(
G12245=""фізична особа""
,
VLOOKUP(H12245,IMPORTRANGE(""https://docs.google.com/spreadsheets/d/14Bd19lYaqBhU8_DElYkX7l4wRkHqqCUFNJY4AfY3kHU/edit?usp=sharing  #gid=0"",""фіз особи new!relations_name""),6,FALSE)
,
(IF
(
G12245=""юридична особа""
,
VLOO"&amp;"KUP(H12245,IMPORTRANGE(""https://docs.google.com/spreadsheets/d/14Bd19lYaqBhU8_DElYkX7l4wRkHqqCUFNJY4AfY3kHU/edit?usp=sharing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244" s="7" t="s">
        <v>11</v>
      </c>
    </row>
    <row r="12245" spans="1:10" ht="13.2">
      <c r="A12245" s="7">
        <v>12244</v>
      </c>
      <c r="B12245" s="7">
        <v>1</v>
      </c>
      <c r="C12245" s="7" t="s">
        <v>10</v>
      </c>
      <c r="D12245" s="7">
        <v>18016</v>
      </c>
      <c r="E12245" s="7" t="s">
        <v>11</v>
      </c>
      <c r="F12245" s="8" t="str">
        <f ca="1">IFERROR(__xludf.DUMMYFUNCTION("IF
(
C12246=""фізична особа""
,
VLOOKUP(D12246,IMPORTRANGE(""https://docs.google.com/spreadsheets/d/14Bd19lYaqBhU8_DElYkX7l4wRkHqqCUFNJY4AfY3kHU/edit?usp=sharing  #gid=0"",""фіз особи new!relations_name""),6,FALSE)
,
(IF
(
C12246=""юридична особа""
,
VLOO"&amp;"KUP(D12246,IMPORTRANGE(""https://docs.google.com/spreadsheets/d/14Bd19lYaqBhU8_DElYkX7l4wRkHqqCUFNJY4AfY3kHU/edit?usp=sharing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5" s="7" t="s">
        <v>10</v>
      </c>
      <c r="H12245" s="7">
        <v>18013</v>
      </c>
      <c r="I12245" s="8" t="str">
        <f ca="1">IFERROR(__xludf.DUMMYFUNCTION("IF
(
G12246=""фізична особа""
,
VLOOKUP(H12246,IMPORTRANGE(""https://docs.google.com/spreadsheets/d/14Bd19lYaqBhU8_DElYkX7l4wRkHqqCUFNJY4AfY3kHU/edit?usp=sharing  #gid=0"",""фіз особи new!relations_name""),6,FALSE)
,
(IF
(
G12246=""юридична особа""
,
VLOO"&amp;"KUP(H12246,IMPORTRANGE(""https://docs.google.com/spreadsheets/d/14Bd19lYaqBhU8_DElYkX7l4wRkHqqCUFNJY4AfY3kHU/edit?usp=sharing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245" s="7" t="s">
        <v>11</v>
      </c>
    </row>
    <row r="12246" spans="1:10" ht="13.2">
      <c r="A12246" s="7">
        <v>12245</v>
      </c>
      <c r="B12246" s="7">
        <v>1</v>
      </c>
      <c r="C12246" s="7" t="s">
        <v>10</v>
      </c>
      <c r="D12246" s="7">
        <v>18016</v>
      </c>
      <c r="E12246" s="7" t="s">
        <v>11</v>
      </c>
      <c r="F12246" s="8" t="str">
        <f ca="1">IFERROR(__xludf.DUMMYFUNCTION("IF
(
C12247=""фізична особа""
,
VLOOKUP(D12247,IMPORTRANGE(""https://docs.google.com/spreadsheets/d/14Bd19lYaqBhU8_DElYkX7l4wRkHqqCUFNJY4AfY3kHU/edit?usp=sharing  #gid=0"",""фіз особи new!relations_name""),6,FALSE)
,
(IF
(
C12247=""юридична особа""
,
VLOO"&amp;"KUP(D12247,IMPORTRANGE(""https://docs.google.com/spreadsheets/d/14Bd19lYaqBhU8_DElYkX7l4wRkHqqCUFNJY4AfY3kHU/edit?usp=sharing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6" s="7" t="s">
        <v>10</v>
      </c>
      <c r="H12246" s="7">
        <v>18017</v>
      </c>
      <c r="I12246" s="8" t="str">
        <f ca="1">IFERROR(__xludf.DUMMYFUNCTION("IF
(
G12247=""фізична особа""
,
VLOOKUP(H12247,IMPORTRANGE(""https://docs.google.com/spreadsheets/d/14Bd19lYaqBhU8_DElYkX7l4wRkHqqCUFNJY4AfY3kHU/edit?usp=sharing  #gid=0"",""фіз особи new!relations_name""),6,FALSE)
,
(IF
(
G12247=""юридична особа""
,
VLOO"&amp;"KUP(H12247,IMPORTRANGE(""https://docs.google.com/spreadsheets/d/14Bd19lYaqBhU8_DElYkX7l4wRkHqqCUFNJY4AfY3kHU/edit?usp=sharing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J12246" s="7" t="s">
        <v>11</v>
      </c>
    </row>
    <row r="12247" spans="1:10" ht="13.2">
      <c r="A12247" s="7">
        <v>12246</v>
      </c>
      <c r="B12247" s="7">
        <v>1</v>
      </c>
      <c r="C12247" s="7" t="s">
        <v>10</v>
      </c>
      <c r="D12247" s="7">
        <v>18016</v>
      </c>
      <c r="E12247" s="7" t="s">
        <v>11</v>
      </c>
      <c r="F12247" s="8" t="str">
        <f ca="1">IFERROR(__xludf.DUMMYFUNCTION("IF
(
C12248=""фізична особа""
,
VLOOKUP(D12248,IMPORTRANGE(""https://docs.google.com/spreadsheets/d/14Bd19lYaqBhU8_DElYkX7l4wRkHqqCUFNJY4AfY3kHU/edit?usp=sharing  #gid=0"",""фіз особи new!relations_name""),6,FALSE)
,
(IF
(
C12248=""юридична особа""
,
VLOO"&amp;"KUP(D12248,IMPORTRANGE(""https://docs.google.com/spreadsheets/d/14Bd19lYaqBhU8_DElYkX7l4wRkHqqCUFNJY4AfY3kHU/edit?usp=sharing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7" s="7" t="s">
        <v>10</v>
      </c>
      <c r="H12247" s="7">
        <v>18014</v>
      </c>
      <c r="I12247" s="8" t="str">
        <f ca="1">IFERROR(__xludf.DUMMYFUNCTION("IF
(
G12248=""фізична особа""
,
VLOOKUP(H12248,IMPORTRANGE(""https://docs.google.com/spreadsheets/d/14Bd19lYaqBhU8_DElYkX7l4wRkHqqCUFNJY4AfY3kHU/edit?usp=sharing  #gid=0"",""фіз особи new!relations_name""),6,FALSE)
,
(IF
(
G12248=""юридична особа""
,
VLOO"&amp;"KUP(H12248,IMPORTRANGE(""https://docs.google.com/spreadsheets/d/14Bd19lYaqBhU8_DElYkX7l4wRkHqqCUFNJY4AfY3kHU/edit?usp=sharing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247" s="7" t="s">
        <v>11</v>
      </c>
    </row>
    <row r="12248" spans="1:10" ht="13.2">
      <c r="A12248" s="7">
        <v>12247</v>
      </c>
      <c r="B12248" s="7">
        <v>1</v>
      </c>
      <c r="C12248" s="7" t="s">
        <v>10</v>
      </c>
      <c r="D12248" s="7">
        <v>18016</v>
      </c>
      <c r="E12248" s="7" t="s">
        <v>11</v>
      </c>
      <c r="F12248" s="8" t="str">
        <f ca="1">IFERROR(__xludf.DUMMYFUNCTION("IF
(
C12249=""фізична особа""
,
VLOOKUP(D12249,IMPORTRANGE(""https://docs.google.com/spreadsheets/d/14Bd19lYaqBhU8_DElYkX7l4wRkHqqCUFNJY4AfY3kHU/edit?usp=sharing  #gid=0"",""фіз особи new!relations_name""),6,FALSE)
,
(IF
(
C12249=""юридична особа""
,
VLOO"&amp;"KUP(D12249,IMPORTRANGE(""https://docs.google.com/spreadsheets/d/14Bd19lYaqBhU8_DElYkX7l4wRkHqqCUFNJY4AfY3kHU/edit?usp=sharing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8" s="7" t="s">
        <v>10</v>
      </c>
      <c r="H12248" s="7">
        <v>16799</v>
      </c>
      <c r="I12248" s="8" t="str">
        <f ca="1">IFERROR(__xludf.DUMMYFUNCTION("IF
(
G12249=""фізична особа""
,
VLOOKUP(H12249,IMPORTRANGE(""https://docs.google.com/spreadsheets/d/14Bd19lYaqBhU8_DElYkX7l4wRkHqqCUFNJY4AfY3kHU/edit?usp=sharing  #gid=0"",""фіз особи new!relations_name""),6,FALSE)
,
(IF
(
G12249=""юридична особа""
,
VLOO"&amp;"KUP(H12249,IMPORTRANGE(""https://docs.google.com/spreadsheets/d/14Bd19lYaqBhU8_DElYkX7l4wRkHqqCUFNJY4AfY3kHU/edit?usp=sharing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48" s="7" t="s">
        <v>11</v>
      </c>
    </row>
    <row r="12249" spans="1:10" ht="13.2">
      <c r="A12249" s="7">
        <v>12248</v>
      </c>
      <c r="B12249" s="7">
        <v>1</v>
      </c>
      <c r="C12249" s="7" t="s">
        <v>10</v>
      </c>
      <c r="D12249" s="7">
        <v>18016</v>
      </c>
      <c r="E12249" s="7" t="s">
        <v>11</v>
      </c>
      <c r="F12249" s="8" t="str">
        <f ca="1">IFERROR(__xludf.DUMMYFUNCTION("IF
(
C12250=""фізична особа""
,
VLOOKUP(D12250,IMPORTRANGE(""https://docs.google.com/spreadsheets/d/14Bd19lYaqBhU8_DElYkX7l4wRkHqqCUFNJY4AfY3kHU/edit?usp=sharing  #gid=0"",""фіз особи new!relations_name""),6,FALSE)
,
(IF
(
C12250=""юридична особа""
,
VLOO"&amp;"KUP(D12250,IMPORTRANGE(""https://docs.google.com/spreadsheets/d/14Bd19lYaqBhU8_DElYkX7l4wRkHqqCUFNJY4AfY3kHU/edit?usp=sharing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49" s="7" t="s">
        <v>10</v>
      </c>
      <c r="H12249" s="7">
        <v>16800</v>
      </c>
      <c r="I12249" s="8" t="str">
        <f ca="1">IFERROR(__xludf.DUMMYFUNCTION("IF
(
G12250=""фізична особа""
,
VLOOKUP(H12250,IMPORTRANGE(""https://docs.google.com/spreadsheets/d/14Bd19lYaqBhU8_DElYkX7l4wRkHqqCUFNJY4AfY3kHU/edit?usp=sharing  #gid=0"",""фіз особи new!relations_name""),6,FALSE)
,
(IF
(
G12250=""юридична особа""
,
VLOO"&amp;"KUP(H12250,IMPORTRANGE(""https://docs.google.com/spreadsheets/d/14Bd19lYaqBhU8_DElYkX7l4wRkHqqCUFNJY4AfY3kHU/edit?usp=sharing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49" s="7" t="s">
        <v>11</v>
      </c>
    </row>
    <row r="12250" spans="1:10" ht="13.2">
      <c r="A12250" s="7">
        <v>12249</v>
      </c>
      <c r="B12250" s="7">
        <v>1</v>
      </c>
      <c r="C12250" s="7" t="s">
        <v>10</v>
      </c>
      <c r="D12250" s="7">
        <v>18016</v>
      </c>
      <c r="E12250" s="7" t="s">
        <v>11</v>
      </c>
      <c r="F12250" s="8" t="str">
        <f ca="1">IFERROR(__xludf.DUMMYFUNCTION("IF
(
C12251=""фізична особа""
,
VLOOKUP(D12251,IMPORTRANGE(""https://docs.google.com/spreadsheets/d/14Bd19lYaqBhU8_DElYkX7l4wRkHqqCUFNJY4AfY3kHU/edit?usp=sharing  #gid=0"",""фіз особи new!relations_name""),6,FALSE)
,
(IF
(
C12251=""юридична особа""
,
VLOO"&amp;"KUP(D12251,IMPORTRANGE(""https://docs.google.com/spreadsheets/d/14Bd19lYaqBhU8_DElYkX7l4wRkHqqCUFNJY4AfY3kHU/edit?usp=sharing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50" s="7" t="s">
        <v>10</v>
      </c>
      <c r="H12250" s="7">
        <v>1820</v>
      </c>
      <c r="I12250" s="8" t="str">
        <f ca="1">IFERROR(__xludf.DUMMYFUNCTION("IF
(
G12251=""фізична особа""
,
VLOOKUP(H12251,IMPORTRANGE(""https://docs.google.com/spreadsheets/d/14Bd19lYaqBhU8_DElYkX7l4wRkHqqCUFNJY4AfY3kHU/edit?usp=sharing  #gid=0"",""фіз особи new!relations_name""),6,FALSE)
,
(IF
(
G12251=""юридична особа""
,
VLOO"&amp;"KUP(H12251,IMPORTRANGE(""https://docs.google.com/spreadsheets/d/14Bd19lYaqBhU8_DElYkX7l4wRkHqqCUFNJY4AfY3kHU/edit?usp=sharing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50" s="7" t="s">
        <v>11</v>
      </c>
    </row>
    <row r="12251" spans="1:10" ht="13.2">
      <c r="A12251" s="7">
        <v>12250</v>
      </c>
      <c r="B12251" s="7">
        <v>1</v>
      </c>
      <c r="C12251" s="7" t="s">
        <v>10</v>
      </c>
      <c r="D12251" s="7">
        <v>18016</v>
      </c>
      <c r="E12251" s="7" t="s">
        <v>11</v>
      </c>
      <c r="F12251" s="8" t="str">
        <f ca="1">IFERROR(__xludf.DUMMYFUNCTION("IF
(
C12252=""фізична особа""
,
VLOOKUP(D12252,IMPORTRANGE(""https://docs.google.com/spreadsheets/d/14Bd19lYaqBhU8_DElYkX7l4wRkHqqCUFNJY4AfY3kHU/edit?usp=sharing  #gid=0"",""фіз особи new!relations_name""),6,FALSE)
,
(IF
(
C12252=""юридична особа""
,
VLOO"&amp;"KUP(D12252,IMPORTRANGE(""https://docs.google.com/spreadsheets/d/14Bd19lYaqBhU8_DElYkX7l4wRkHqqCUFNJY4AfY3kHU/edit?usp=sharing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51" s="7" t="s">
        <v>10</v>
      </c>
      <c r="H12251" s="7">
        <v>16802</v>
      </c>
      <c r="I12251" s="8" t="str">
        <f ca="1">IFERROR(__xludf.DUMMYFUNCTION("IF
(
G12252=""фізична особа""
,
VLOOKUP(H12252,IMPORTRANGE(""https://docs.google.com/spreadsheets/d/14Bd19lYaqBhU8_DElYkX7l4wRkHqqCUFNJY4AfY3kHU/edit?usp=sharing  #gid=0"",""фіз особи new!relations_name""),6,FALSE)
,
(IF
(
G12252=""юридична особа""
,
VLOO"&amp;"KUP(H12252,IMPORTRANGE(""https://docs.google.com/spreadsheets/d/14Bd19lYaqBhU8_DElYkX7l4wRkHqqCUFNJY4AfY3kHU/edit?usp=sharing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51" s="7" t="s">
        <v>11</v>
      </c>
    </row>
    <row r="12252" spans="1:10" ht="13.2">
      <c r="A12252" s="7">
        <v>12251</v>
      </c>
      <c r="B12252" s="7">
        <v>1</v>
      </c>
      <c r="C12252" s="7" t="s">
        <v>10</v>
      </c>
      <c r="D12252" s="7">
        <v>18016</v>
      </c>
      <c r="E12252" s="7" t="s">
        <v>11</v>
      </c>
      <c r="F12252" s="8" t="str">
        <f ca="1">IFERROR(__xludf.DUMMYFUNCTION("IF
(
C12253=""фізична особа""
,
VLOOKUP(D12253,IMPORTRANGE(""https://docs.google.com/spreadsheets/d/14Bd19lYaqBhU8_DElYkX7l4wRkHqqCUFNJY4AfY3kHU/edit?usp=sharing  #gid=0"",""фіз особи new!relations_name""),6,FALSE)
,
(IF
(
C12253=""юридична особа""
,
VLOO"&amp;"KUP(D12253,IMPORTRANGE(""https://docs.google.com/spreadsheets/d/14Bd19lYaqBhU8_DElYkX7l4wRkHqqCUFNJY4AfY3kHU/edit?usp=sharing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52" s="7" t="s">
        <v>10</v>
      </c>
      <c r="H12252" s="7">
        <v>16805</v>
      </c>
      <c r="I12252" s="8" t="str">
        <f ca="1">IFERROR(__xludf.DUMMYFUNCTION("IF
(
G12253=""фізична особа""
,
VLOOKUP(H12253,IMPORTRANGE(""https://docs.google.com/spreadsheets/d/14Bd19lYaqBhU8_DElYkX7l4wRkHqqCUFNJY4AfY3kHU/edit?usp=sharing  #gid=0"",""фіз особи new!relations_name""),6,FALSE)
,
(IF
(
G12253=""юридична особа""
,
VLOO"&amp;"KUP(H12253,IMPORTRANGE(""https://docs.google.com/spreadsheets/d/14Bd19lYaqBhU8_DElYkX7l4wRkHqqCUFNJY4AfY3kHU/edit?usp=sharing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52" s="7" t="s">
        <v>11</v>
      </c>
    </row>
    <row r="12253" spans="1:10" ht="13.2">
      <c r="A12253" s="7">
        <v>12252</v>
      </c>
      <c r="B12253" s="7">
        <v>1</v>
      </c>
      <c r="C12253" s="7" t="s">
        <v>10</v>
      </c>
      <c r="D12253" s="7">
        <v>18016</v>
      </c>
      <c r="E12253" s="7" t="s">
        <v>11</v>
      </c>
      <c r="F12253" s="8" t="str">
        <f ca="1">IFERROR(__xludf.DUMMYFUNCTION("IF
(
C12254=""фізична особа""
,
VLOOKUP(D12254,IMPORTRANGE(""https://docs.google.com/spreadsheets/d/14Bd19lYaqBhU8_DElYkX7l4wRkHqqCUFNJY4AfY3kHU/edit?usp=sharing  #gid=0"",""фіз особи new!relations_name""),6,FALSE)
,
(IF
(
C12254=""юридична особа""
,
VLOO"&amp;"KUP(D12254,IMPORTRANGE(""https://docs.google.com/spreadsheets/d/14Bd19lYaqBhU8_DElYkX7l4wRkHqqCUFNJY4AfY3kHU/edit?usp=sharing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G12253" s="7" t="s">
        <v>10</v>
      </c>
      <c r="H12253" s="7">
        <v>17377</v>
      </c>
      <c r="I12253" s="8" t="str">
        <f ca="1">IFERROR(__xludf.DUMMYFUNCTION("IF
(
G12254=""фізична особа""
,
VLOOKUP(H12254,IMPORTRANGE(""https://docs.google.com/spreadsheets/d/14Bd19lYaqBhU8_DElYkX7l4wRkHqqCUFNJY4AfY3kHU/edit?usp=sharing  #gid=0"",""фіз особи new!relations_name""),6,FALSE)
,
(IF
(
G12254=""юридична особа""
,
VLOO"&amp;"KUP(H12254,IMPORTRANGE(""https://docs.google.com/spreadsheets/d/14Bd19lYaqBhU8_DElYkX7l4wRkHqqCUFNJY4AfY3kHU/edit?usp=sharing  #gid=0"",""фіз особи new!relations_name_uo""),7,FALSE)
,
)
))"),"МАКАРОВА Ольга Юріївна")</f>
        <v>МАКАРОВА Ольга Юріївна</v>
      </c>
      <c r="J12253" s="7" t="s">
        <v>11</v>
      </c>
    </row>
    <row r="12254" spans="1:10" ht="13.2">
      <c r="A12254" s="7">
        <v>12253</v>
      </c>
      <c r="B12254" s="7">
        <v>1</v>
      </c>
      <c r="C12254" s="7" t="s">
        <v>10</v>
      </c>
      <c r="D12254" s="7">
        <v>18017</v>
      </c>
      <c r="E12254" s="7" t="s">
        <v>11</v>
      </c>
      <c r="F12254" s="8" t="str">
        <f ca="1">IFERROR(__xludf.DUMMYFUNCTION("IF
(
C12255=""фізична особа""
,
VLOOKUP(D12255,IMPORTRANGE(""https://docs.google.com/spreadsheets/d/14Bd19lYaqBhU8_DElYkX7l4wRkHqqCUFNJY4AfY3kHU/edit?usp=sharing  #gid=0"",""фіз особи new!relations_name""),6,FALSE)
,
(IF
(
C12255=""юридична особа""
,
VLOO"&amp;"KUP(D12255,IMPORTRANGE(""https://docs.google.com/spreadsheets/d/14Bd19lYaqBhU8_DElYkX7l4wRkHqqCUFNJY4AfY3kHU/edit?usp=sharing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4" s="7" t="s">
        <v>10</v>
      </c>
      <c r="H12254" s="7">
        <v>18011</v>
      </c>
      <c r="I12254" s="8" t="str">
        <f ca="1">IFERROR(__xludf.DUMMYFUNCTION("IF
(
G12255=""фізична особа""
,
VLOOKUP(H12255,IMPORTRANGE(""https://docs.google.com/spreadsheets/d/14Bd19lYaqBhU8_DElYkX7l4wRkHqqCUFNJY4AfY3kHU/edit?usp=sharing  #gid=0"",""фіз особи new!relations_name""),6,FALSE)
,
(IF
(
G12255=""юридична особа""
,
VLOO"&amp;"KUP(H12255,IMPORTRANGE(""https://docs.google.com/spreadsheets/d/14Bd19lYaqBhU8_DElYkX7l4wRkHqqCUFNJY4AfY3kHU/edit?usp=sharing  #gid=0"",""фіз особи new!relations_name_uo""),7,FALSE)
,
)
))"),"ЧЕРЕВКО Михайло Олександрович")</f>
        <v>ЧЕРЕВКО Михайло Олександрович</v>
      </c>
      <c r="J12254" s="7" t="s">
        <v>11</v>
      </c>
    </row>
    <row r="12255" spans="1:10" ht="13.2">
      <c r="A12255" s="7">
        <v>12254</v>
      </c>
      <c r="B12255" s="7">
        <v>1</v>
      </c>
      <c r="C12255" s="7" t="s">
        <v>10</v>
      </c>
      <c r="D12255" s="7">
        <v>18017</v>
      </c>
      <c r="E12255" s="7" t="s">
        <v>11</v>
      </c>
      <c r="F12255" s="8" t="str">
        <f ca="1">IFERROR(__xludf.DUMMYFUNCTION("IF
(
C12256=""фізична особа""
,
VLOOKUP(D12256,IMPORTRANGE(""https://docs.google.com/spreadsheets/d/14Bd19lYaqBhU8_DElYkX7l4wRkHqqCUFNJY4AfY3kHU/edit?usp=sharing  #gid=0"",""фіз особи new!relations_name""),6,FALSE)
,
(IF
(
C12256=""юридична особа""
,
VLOO"&amp;"KUP(D12256,IMPORTRANGE(""https://docs.google.com/spreadsheets/d/14Bd19lYaqBhU8_DElYkX7l4wRkHqqCUFNJY4AfY3kHU/edit?usp=sharing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5" s="7" t="s">
        <v>10</v>
      </c>
      <c r="H12255" s="7">
        <v>163</v>
      </c>
      <c r="I12255" s="8" t="str">
        <f ca="1">IFERROR(__xludf.DUMMYFUNCTION("IF
(
G12256=""фізична особа""
,
VLOOKUP(H12256,IMPORTRANGE(""https://docs.google.com/spreadsheets/d/14Bd19lYaqBhU8_DElYkX7l4wRkHqqCUFNJY4AfY3kHU/edit?usp=sharing  #gid=0"",""фіз особи new!relations_name""),6,FALSE)
,
(IF
(
G12256=""юридична особа""
,
VLOO"&amp;"KUP(H12256,IMPORTRANGE(""https://docs.google.com/spreadsheets/d/14Bd19lYaqBhU8_DElYkX7l4wRkHqqCUFNJY4AfY3kHU/edit?usp=sharing  #gid=0"",""фіз особи new!relations_name_uo""),7,FALSE)
,
)
))"),"КАСІМІРО Дідьє")</f>
        <v>КАСІМІРО Дідьє</v>
      </c>
      <c r="J12255" s="7" t="s">
        <v>11</v>
      </c>
    </row>
    <row r="12256" spans="1:10" ht="13.2">
      <c r="A12256" s="7">
        <v>12255</v>
      </c>
      <c r="B12256" s="7">
        <v>1</v>
      </c>
      <c r="C12256" s="7" t="s">
        <v>10</v>
      </c>
      <c r="D12256" s="7">
        <v>18017</v>
      </c>
      <c r="E12256" s="7" t="s">
        <v>11</v>
      </c>
      <c r="F12256" s="8" t="str">
        <f ca="1">IFERROR(__xludf.DUMMYFUNCTION("IF
(
C12257=""фізична особа""
,
VLOOKUP(D12257,IMPORTRANGE(""https://docs.google.com/spreadsheets/d/14Bd19lYaqBhU8_DElYkX7l4wRkHqqCUFNJY4AfY3kHU/edit?usp=sharing  #gid=0"",""фіз особи new!relations_name""),6,FALSE)
,
(IF
(
C12257=""юридична особа""
,
VLOO"&amp;"KUP(D12257,IMPORTRANGE(""https://docs.google.com/spreadsheets/d/14Bd19lYaqBhU8_DElYkX7l4wRkHqqCUFNJY4AfY3kHU/edit?usp=sharing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6" s="7" t="s">
        <v>10</v>
      </c>
      <c r="H12256" s="7">
        <v>16803</v>
      </c>
      <c r="I12256" s="8" t="str">
        <f ca="1">IFERROR(__xludf.DUMMYFUNCTION("IF
(
G12257=""фізична особа""
,
VLOOKUP(H12257,IMPORTRANGE(""https://docs.google.com/spreadsheets/d/14Bd19lYaqBhU8_DElYkX7l4wRkHqqCUFNJY4AfY3kHU/edit?usp=sharing  #gid=0"",""фіз особи new!relations_name""),6,FALSE)
,
(IF
(
G12257=""юридична особа""
,
VLOO"&amp;"KUP(H12257,IMPORTRANGE(""https://docs.google.com/spreadsheets/d/14Bd19lYaqBhU8_DElYkX7l4wRkHqqCUFNJY4AfY3kHU/edit?usp=sharing  #gid=0"",""фіз особи new!relations_name_uo""),7,FALSE)
,
)
))"),"ЧЕРНЕР Анатолій Моїсейович")</f>
        <v>ЧЕРНЕР Анатолій Моїсейович</v>
      </c>
      <c r="J12256" s="7" t="s">
        <v>11</v>
      </c>
    </row>
    <row r="12257" spans="1:10" ht="13.2">
      <c r="A12257" s="7">
        <v>12256</v>
      </c>
      <c r="B12257" s="7">
        <v>1</v>
      </c>
      <c r="C12257" s="7" t="s">
        <v>10</v>
      </c>
      <c r="D12257" s="7">
        <v>18017</v>
      </c>
      <c r="E12257" s="7" t="s">
        <v>11</v>
      </c>
      <c r="F12257" s="8" t="str">
        <f ca="1">IFERROR(__xludf.DUMMYFUNCTION("IF
(
C12258=""фізична особа""
,
VLOOKUP(D12258,IMPORTRANGE(""https://docs.google.com/spreadsheets/d/14Bd19lYaqBhU8_DElYkX7l4wRkHqqCUFNJY4AfY3kHU/edit?usp=sharing  #gid=0"",""фіз особи new!relations_name""),6,FALSE)
,
(IF
(
C12258=""юридична особа""
,
VLOO"&amp;"KUP(D12258,IMPORTRANGE(""https://docs.google.com/spreadsheets/d/14Bd19lYaqBhU8_DElYkX7l4wRkHqqCUFNJY4AfY3kHU/edit?usp=sharing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7" s="7" t="s">
        <v>10</v>
      </c>
      <c r="H12257" s="7">
        <v>18012</v>
      </c>
      <c r="I12257" s="8" t="str">
        <f ca="1">IFERROR(__xludf.DUMMYFUNCTION("IF
(
G12258=""фізична особа""
,
VLOOKUP(H12258,IMPORTRANGE(""https://docs.google.com/spreadsheets/d/14Bd19lYaqBhU8_DElYkX7l4wRkHqqCUFNJY4AfY3kHU/edit?usp=sharing  #gid=0"",""фіз особи new!relations_name""),6,FALSE)
,
(IF
(
G12258=""юридична особа""
,
VLOO"&amp;"KUP(H12258,IMPORTRANGE(""https://docs.google.com/spreadsheets/d/14Bd19lYaqBhU8_DElYkX7l4wRkHqqCUFNJY4AfY3kHU/edit?usp=sharing  #gid=0"",""фіз особи new!relations_name_uo""),7,FALSE)
,
)
))"),"АКІМЕНКО Вадим Вікторович")</f>
        <v>АКІМЕНКО Вадим Вікторович</v>
      </c>
      <c r="J12257" s="7" t="s">
        <v>11</v>
      </c>
    </row>
    <row r="12258" spans="1:10" ht="13.2">
      <c r="A12258" s="7">
        <v>12257</v>
      </c>
      <c r="B12258" s="7">
        <v>1</v>
      </c>
      <c r="C12258" s="7" t="s">
        <v>10</v>
      </c>
      <c r="D12258" s="7">
        <v>18017</v>
      </c>
      <c r="E12258" s="7" t="s">
        <v>11</v>
      </c>
      <c r="F12258" s="8" t="str">
        <f ca="1">IFERROR(__xludf.DUMMYFUNCTION("IF
(
C12259=""фізична особа""
,
VLOOKUP(D12259,IMPORTRANGE(""https://docs.google.com/spreadsheets/d/14Bd19lYaqBhU8_DElYkX7l4wRkHqqCUFNJY4AfY3kHU/edit?usp=sharing  #gid=0"",""фіз особи new!relations_name""),6,FALSE)
,
(IF
(
C12259=""юридична особа""
,
VLOO"&amp;"KUP(D12259,IMPORTRANGE(""https://docs.google.com/spreadsheets/d/14Bd19lYaqBhU8_DElYkX7l4wRkHqqCUFNJY4AfY3kHU/edit?usp=sharing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8" s="7" t="s">
        <v>10</v>
      </c>
      <c r="H12258" s="7">
        <v>18013</v>
      </c>
      <c r="I12258" s="8" t="str">
        <f ca="1">IFERROR(__xludf.DUMMYFUNCTION("IF
(
G12259=""фізична особа""
,
VLOOKUP(H12259,IMPORTRANGE(""https://docs.google.com/spreadsheets/d/14Bd19lYaqBhU8_DElYkX7l4wRkHqqCUFNJY4AfY3kHU/edit?usp=sharing  #gid=0"",""фіз особи new!relations_name""),6,FALSE)
,
(IF
(
G12259=""юридична особа""
,
VLOO"&amp;"KUP(H12259,IMPORTRANGE(""https://docs.google.com/spreadsheets/d/14Bd19lYaqBhU8_DElYkX7l4wRkHqqCUFNJY4AfY3kHU/edit?usp=sharing  #gid=0"",""фіз особи new!relations_name_uo""),7,FALSE)
,
)
))"),"ДОКТОР Сергій Анатолійович")</f>
        <v>ДОКТОР Сергій Анатолійович</v>
      </c>
      <c r="J12258" s="7" t="s">
        <v>11</v>
      </c>
    </row>
    <row r="12259" spans="1:10" ht="13.2">
      <c r="A12259" s="7">
        <v>12258</v>
      </c>
      <c r="B12259" s="7">
        <v>1</v>
      </c>
      <c r="C12259" s="7" t="s">
        <v>10</v>
      </c>
      <c r="D12259" s="7">
        <v>18017</v>
      </c>
      <c r="E12259" s="7" t="s">
        <v>11</v>
      </c>
      <c r="F12259" s="8" t="str">
        <f ca="1">IFERROR(__xludf.DUMMYFUNCTION("IF
(
C12260=""фізична особа""
,
VLOOKUP(D12260,IMPORTRANGE(""https://docs.google.com/spreadsheets/d/14Bd19lYaqBhU8_DElYkX7l4wRkHqqCUFNJY4AfY3kHU/edit?usp=sharing  #gid=0"",""фіз особи new!relations_name""),6,FALSE)
,
(IF
(
C12260=""юридична особа""
,
VLOO"&amp;"KUP(D12260,IMPORTRANGE(""https://docs.google.com/spreadsheets/d/14Bd19lYaqBhU8_DElYkX7l4wRkHqqCUFNJY4AfY3kHU/edit?usp=sharing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59" s="7" t="s">
        <v>10</v>
      </c>
      <c r="H12259" s="7">
        <v>18016</v>
      </c>
      <c r="I12259" s="8" t="str">
        <f ca="1">IFERROR(__xludf.DUMMYFUNCTION("IF
(
G12260=""фізична особа""
,
VLOOKUP(H12260,IMPORTRANGE(""https://docs.google.com/spreadsheets/d/14Bd19lYaqBhU8_DElYkX7l4wRkHqqCUFNJY4AfY3kHU/edit?usp=sharing  #gid=0"",""фіз особи new!relations_name""),6,FALSE)
,
(IF
(
G12260=""юридична особа""
,
VLOO"&amp;"KUP(H12260,IMPORTRANGE(""https://docs.google.com/spreadsheets/d/14Bd19lYaqBhU8_DElYkX7l4wRkHqqCUFNJY4AfY3kHU/edit?usp=sharing  #gid=0"",""фіз особи new!relations_name_uo""),7,FALSE)
,
)
))"),"ОВСЯННІКОВ Максим Юрійович")</f>
        <v>ОВСЯННІКОВ Максим Юрійович</v>
      </c>
      <c r="J12259" s="7" t="s">
        <v>11</v>
      </c>
    </row>
    <row r="12260" spans="1:10" ht="13.2">
      <c r="A12260" s="7">
        <v>12259</v>
      </c>
      <c r="B12260" s="7">
        <v>1</v>
      </c>
      <c r="C12260" s="7" t="s">
        <v>10</v>
      </c>
      <c r="D12260" s="7">
        <v>18017</v>
      </c>
      <c r="E12260" s="7" t="s">
        <v>11</v>
      </c>
      <c r="F12260" s="8" t="str">
        <f ca="1">IFERROR(__xludf.DUMMYFUNCTION("IF
(
C12261=""фізична особа""
,
VLOOKUP(D12261,IMPORTRANGE(""https://docs.google.com/spreadsheets/d/14Bd19lYaqBhU8_DElYkX7l4wRkHqqCUFNJY4AfY3kHU/edit?usp=sharing  #gid=0"",""фіз особи new!relations_name""),6,FALSE)
,
(IF
(
C12261=""юридична особа""
,
VLOO"&amp;"KUP(D12261,IMPORTRANGE(""https://docs.google.com/spreadsheets/d/14Bd19lYaqBhU8_DElYkX7l4wRkHqqCUFNJY4AfY3kHU/edit?usp=sharing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0" s="7" t="s">
        <v>10</v>
      </c>
      <c r="H12260" s="7">
        <v>18014</v>
      </c>
      <c r="I12260" s="8" t="str">
        <f ca="1">IFERROR(__xludf.DUMMYFUNCTION("IF
(
G12261=""фізична особа""
,
VLOOKUP(H12261,IMPORTRANGE(""https://docs.google.com/spreadsheets/d/14Bd19lYaqBhU8_DElYkX7l4wRkHqqCUFNJY4AfY3kHU/edit?usp=sharing  #gid=0"",""фіз особи new!relations_name""),6,FALSE)
,
(IF
(
G12261=""юридична особа""
,
VLOO"&amp;"KUP(H12261,IMPORTRANGE(""https://docs.google.com/spreadsheets/d/14Bd19lYaqBhU8_DElYkX7l4wRkHqqCUFNJY4AfY3kHU/edit?usp=sharing  #gid=0"",""фіз особи new!relations_name_uo""),7,FALSE)
,
)
))"),"ЄВТУШЕНКО Антон Євгенович")</f>
        <v>ЄВТУШЕНКО Антон Євгенович</v>
      </c>
      <c r="J12260" s="7" t="s">
        <v>11</v>
      </c>
    </row>
    <row r="12261" spans="1:10" ht="13.2">
      <c r="A12261" s="7">
        <v>12260</v>
      </c>
      <c r="B12261" s="7">
        <v>1</v>
      </c>
      <c r="C12261" s="7" t="s">
        <v>10</v>
      </c>
      <c r="D12261" s="7">
        <v>18017</v>
      </c>
      <c r="E12261" s="7" t="s">
        <v>11</v>
      </c>
      <c r="F12261" s="8" t="str">
        <f ca="1">IFERROR(__xludf.DUMMYFUNCTION("IF
(
C12262=""фізична особа""
,
VLOOKUP(D12262,IMPORTRANGE(""https://docs.google.com/spreadsheets/d/14Bd19lYaqBhU8_DElYkX7l4wRkHqqCUFNJY4AfY3kHU/edit?usp=sharing  #gid=0"",""фіз особи new!relations_name""),6,FALSE)
,
(IF
(
C12262=""юридична особа""
,
VLOO"&amp;"KUP(D12262,IMPORTRANGE(""https://docs.google.com/spreadsheets/d/14Bd19lYaqBhU8_DElYkX7l4wRkHqqCUFNJY4AfY3kHU/edit?usp=sharing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1" s="7" t="s">
        <v>10</v>
      </c>
      <c r="H12261" s="7">
        <v>16799</v>
      </c>
      <c r="I12261" s="8" t="str">
        <f ca="1">IFERROR(__xludf.DUMMYFUNCTION("IF
(
G12262=""фізична особа""
,
VLOOKUP(H12262,IMPORTRANGE(""https://docs.google.com/spreadsheets/d/14Bd19lYaqBhU8_DElYkX7l4wRkHqqCUFNJY4AfY3kHU/edit?usp=sharing  #gid=0"",""фіз особи new!relations_name""),6,FALSE)
,
(IF
(
G12262=""юридична особа""
,
VLOO"&amp;"KUP(H12262,IMPORTRANGE(""https://docs.google.com/spreadsheets/d/14Bd19lYaqBhU8_DElYkX7l4wRkHqqCUFNJY4AfY3kHU/edit?usp=sharing  #gid=0"",""фіз особи new!relations_name_uo""),7,FALSE)
,
)
))"),"КРАВЧЕНКО Кирило Альбертович")</f>
        <v>КРАВЧЕНКО Кирило Альбертович</v>
      </c>
      <c r="J12261" s="7" t="s">
        <v>11</v>
      </c>
    </row>
    <row r="12262" spans="1:10" ht="13.2">
      <c r="A12262" s="7">
        <v>12261</v>
      </c>
      <c r="B12262" s="7">
        <v>1</v>
      </c>
      <c r="C12262" s="7" t="s">
        <v>10</v>
      </c>
      <c r="D12262" s="7">
        <v>18017</v>
      </c>
      <c r="E12262" s="7" t="s">
        <v>11</v>
      </c>
      <c r="F12262" s="8" t="str">
        <f ca="1">IFERROR(__xludf.DUMMYFUNCTION("IF
(
C12263=""фізична особа""
,
VLOOKUP(D12263,IMPORTRANGE(""https://docs.google.com/spreadsheets/d/14Bd19lYaqBhU8_DElYkX7l4wRkHqqCUFNJY4AfY3kHU/edit?usp=sharing  #gid=0"",""фіз особи new!relations_name""),6,FALSE)
,
(IF
(
C12263=""юридична особа""
,
VLOO"&amp;"KUP(D12263,IMPORTRANGE(""https://docs.google.com/spreadsheets/d/14Bd19lYaqBhU8_DElYkX7l4wRkHqqCUFNJY4AfY3kHU/edit?usp=sharing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2" s="7" t="s">
        <v>10</v>
      </c>
      <c r="H12262" s="7">
        <v>16800</v>
      </c>
      <c r="I12262" s="8" t="str">
        <f ca="1">IFERROR(__xludf.DUMMYFUNCTION("IF
(
G12263=""фізична особа""
,
VLOOKUP(H12263,IMPORTRANGE(""https://docs.google.com/spreadsheets/d/14Bd19lYaqBhU8_DElYkX7l4wRkHqqCUFNJY4AfY3kHU/edit?usp=sharing  #gid=0"",""фіз особи new!relations_name""),6,FALSE)
,
(IF
(
G12263=""юридична особа""
,
VLOO"&amp;"KUP(H12263,IMPORTRANGE(""https://docs.google.com/spreadsheets/d/14Bd19lYaqBhU8_DElYkX7l4wRkHqqCUFNJY4AfY3kHU/edit?usp=sharing  #gid=0"",""фіз особи new!relations_name_uo""),7,FALSE)
,
)
))"),"ЛАТИПОВ Урал Альфретович")</f>
        <v>ЛАТИПОВ Урал Альфретович</v>
      </c>
      <c r="J12262" s="7" t="s">
        <v>11</v>
      </c>
    </row>
    <row r="12263" spans="1:10" ht="13.2">
      <c r="A12263" s="7">
        <v>12262</v>
      </c>
      <c r="B12263" s="7">
        <v>1</v>
      </c>
      <c r="C12263" s="7" t="s">
        <v>10</v>
      </c>
      <c r="D12263" s="7">
        <v>18017</v>
      </c>
      <c r="E12263" s="7" t="s">
        <v>11</v>
      </c>
      <c r="F12263" s="8" t="str">
        <f ca="1">IFERROR(__xludf.DUMMYFUNCTION("IF
(
C12264=""фізична особа""
,
VLOOKUP(D12264,IMPORTRANGE(""https://docs.google.com/spreadsheets/d/14Bd19lYaqBhU8_DElYkX7l4wRkHqqCUFNJY4AfY3kHU/edit?usp=sharing  #gid=0"",""фіз особи new!relations_name""),6,FALSE)
,
(IF
(
C12264=""юридична особа""
,
VLOO"&amp;"KUP(D12264,IMPORTRANGE(""https://docs.google.com/spreadsheets/d/14Bd19lYaqBhU8_DElYkX7l4wRkHqqCUFNJY4AfY3kHU/edit?usp=sharing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3" s="7" t="s">
        <v>10</v>
      </c>
      <c r="H12263" s="7">
        <v>1820</v>
      </c>
      <c r="I12263" s="8" t="str">
        <f ca="1">IFERROR(__xludf.DUMMYFUNCTION("IF
(
G12264=""фізична особа""
,
VLOOKUP(H12264,IMPORTRANGE(""https://docs.google.com/spreadsheets/d/14Bd19lYaqBhU8_DElYkX7l4wRkHqqCUFNJY4AfY3kHU/edit?usp=sharing  #gid=0"",""фіз особи new!relations_name""),6,FALSE)
,
(IF
(
G12264=""юридична особа""
,
VLOO"&amp;"KUP(H12264,IMPORTRANGE(""https://docs.google.com/spreadsheets/d/14Bd19lYaqBhU8_DElYkX7l4wRkHqqCUFNJY4AfY3kHU/edit?usp=sharing  #gid=0"",""фіз особи new!relations_name_uo""),7,FALSE)
,
)
))"),"ЛАТИШ Ростислав Ростиславович")</f>
        <v>ЛАТИШ Ростислав Ростиславович</v>
      </c>
      <c r="J12263" s="7" t="s">
        <v>11</v>
      </c>
    </row>
    <row r="12264" spans="1:10" ht="13.2">
      <c r="A12264" s="7">
        <v>12263</v>
      </c>
      <c r="B12264" s="7">
        <v>1</v>
      </c>
      <c r="C12264" s="7" t="s">
        <v>10</v>
      </c>
      <c r="D12264" s="7">
        <v>18017</v>
      </c>
      <c r="E12264" s="7" t="s">
        <v>11</v>
      </c>
      <c r="F12264" s="8" t="str">
        <f ca="1">IFERROR(__xludf.DUMMYFUNCTION("IF
(
C12265=""фізична особа""
,
VLOOKUP(D12265,IMPORTRANGE(""https://docs.google.com/spreadsheets/d/14Bd19lYaqBhU8_DElYkX7l4wRkHqqCUFNJY4AfY3kHU/edit?usp=sharing  #gid=0"",""фіз особи new!relations_name""),6,FALSE)
,
(IF
(
C12265=""юридична особа""
,
VLOO"&amp;"KUP(D12265,IMPORTRANGE(""https://docs.google.com/spreadsheets/d/14Bd19lYaqBhU8_DElYkX7l4wRkHqqCUFNJY4AfY3kHU/edit?usp=sharing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4" s="7" t="s">
        <v>10</v>
      </c>
      <c r="H12264" s="7">
        <v>16802</v>
      </c>
      <c r="I12264" s="8" t="str">
        <f ca="1">IFERROR(__xludf.DUMMYFUNCTION("IF
(
G12265=""фізична особа""
,
VLOOKUP(H12265,IMPORTRANGE(""https://docs.google.com/spreadsheets/d/14Bd19lYaqBhU8_DElYkX7l4wRkHqqCUFNJY4AfY3kHU/edit?usp=sharing  #gid=0"",""фіз особи new!relations_name""),6,FALSE)
,
(IF
(
G12265=""юридична особа""
,
VLOO"&amp;"KUP(H12265,IMPORTRANGE(""https://docs.google.com/spreadsheets/d/14Bd19lYaqBhU8_DElYkX7l4wRkHqqCUFNJY4AfY3kHU/edit?usp=sharing  #gid=0"",""фіз особи new!relations_name_uo""),7,FALSE)
,
)
))"),"ПРИГОДА Артем Володимирович")</f>
        <v>ПРИГОДА Артем Володимирович</v>
      </c>
      <c r="J12264" s="7" t="s">
        <v>11</v>
      </c>
    </row>
    <row r="12265" spans="1:10" ht="13.2">
      <c r="A12265" s="7">
        <v>12264</v>
      </c>
      <c r="B12265" s="7">
        <v>1</v>
      </c>
      <c r="C12265" s="7" t="s">
        <v>10</v>
      </c>
      <c r="D12265" s="7">
        <v>18017</v>
      </c>
      <c r="E12265" s="7" t="s">
        <v>11</v>
      </c>
      <c r="F12265" s="8" t="str">
        <f ca="1">IFERROR(__xludf.DUMMYFUNCTION("IF
(
C12266=""фізична особа""
,
VLOOKUP(D12266,IMPORTRANGE(""https://docs.google.com/spreadsheets/d/14Bd19lYaqBhU8_DElYkX7l4wRkHqqCUFNJY4AfY3kHU/edit?usp=sharing  #gid=0"",""фіз особи new!relations_name""),6,FALSE)
,
(IF
(
C12266=""юридична особа""
,
VLOO"&amp;"KUP(D12266,IMPORTRANGE(""https://docs.google.com/spreadsheets/d/14Bd19lYaqBhU8_DElYkX7l4wRkHqqCUFNJY4AfY3kHU/edit?usp=sharing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5" s="7" t="s">
        <v>10</v>
      </c>
      <c r="H12265" s="7">
        <v>16805</v>
      </c>
      <c r="I12265" s="8" t="str">
        <f ca="1">IFERROR(__xludf.DUMMYFUNCTION("IF
(
G12266=""фізична особа""
,
VLOOKUP(H12266,IMPORTRANGE(""https://docs.google.com/spreadsheets/d/14Bd19lYaqBhU8_DElYkX7l4wRkHqqCUFNJY4AfY3kHU/edit?usp=sharing  #gid=0"",""фіз особи new!relations_name""),6,FALSE)
,
(IF
(
G12266=""юридична особа""
,
VLOO"&amp;"KUP(H12266,IMPORTRANGE(""https://docs.google.com/spreadsheets/d/14Bd19lYaqBhU8_DElYkX7l4wRkHqqCUFNJY4AfY3kHU/edit?usp=sharing  #gid=0"",""фіз особи new!relations_name_uo""),7,FALSE)
,
)
))"),"ЯНКЕВИЧ Олексій Вікторович")</f>
        <v>ЯНКЕВИЧ Олексій Вікторович</v>
      </c>
      <c r="J12265" s="7" t="s">
        <v>11</v>
      </c>
    </row>
    <row r="12266" spans="1:10" ht="13.2">
      <c r="A12266" s="7">
        <v>12265</v>
      </c>
      <c r="B12266" s="7">
        <v>1</v>
      </c>
      <c r="C12266" s="7" t="s">
        <v>10</v>
      </c>
      <c r="D12266" s="7">
        <v>18017</v>
      </c>
      <c r="E12266" s="7" t="s">
        <v>11</v>
      </c>
      <c r="F12266" s="8" t="str">
        <f ca="1">IFERROR(__xludf.DUMMYFUNCTION("IF
(
C12267=""фізична особа""
,
VLOOKUP(D12267,IMPORTRANGE(""https://docs.google.com/spreadsheets/d/14Bd19lYaqBhU8_DElYkX7l4wRkHqqCUFNJY4AfY3kHU/edit?usp=sharing  #gid=0"",""фіз особи new!relations_name""),6,FALSE)
,
(IF
(
C12267=""юридична особа""
,
VLOO"&amp;"KUP(D12267,IMPORTRANGE(""https://docs.google.com/spreadsheets/d/14Bd19lYaqBhU8_DElYkX7l4wRkHqqCUFNJY4AfY3kHU/edit?usp=sharing  #gid=0"",""фіз особи new!relations_name_uo""),7,FALSE)
,
)
))"),"УТРОБІНА Ольга Іванівна")</f>
        <v>УТРОБІНА Ольга Іванівна</v>
      </c>
      <c r="G12266" s="7" t="s">
        <v>10</v>
      </c>
      <c r="H12266" s="7">
        <v>17377</v>
      </c>
      <c r="I12266" s="8" t="str">
        <f ca="1">IFERROR(__xludf.DUMMYFUNCTION("IF
(
G12267=""фізична особа""
,
VLOOKUP(H12267,IMPORTRANGE(""https://docs.google.com/spreadsheets/d/14Bd19lYaqBhU8_DElYkX7l4wRkHqqCUFNJY4AfY3kHU/edit?usp=sharing  #gid=0"",""фіз особи new!relations_name""),6,FALSE)
,
(IF
(
G12267=""юридична особа""
,
VLOO"&amp;"KUP(H12267,IMPORTRANGE(""https://docs.google.com/spreadsheets/d/14Bd19lYaqBhU8_DElYkX7l4wRkHqqCUFNJY4AfY3kHU/edit?usp=sharing  #gid=0"",""фіз особи new!relations_name_uo""),7,FALSE)
,
)
))"),"МАКАРОВА Ольга Юріївна")</f>
        <v>МАКАРОВА Ольга Юріївна</v>
      </c>
      <c r="J12266" s="7" t="s">
        <v>11</v>
      </c>
    </row>
    <row r="12267" spans="1:10" ht="13.2">
      <c r="A12267" s="7">
        <v>12266</v>
      </c>
      <c r="B12267" s="7">
        <v>1</v>
      </c>
      <c r="C12267" s="7" t="s">
        <v>10</v>
      </c>
      <c r="D12267" s="7">
        <v>18018</v>
      </c>
      <c r="E12267" s="7" t="s">
        <v>11</v>
      </c>
      <c r="F12267" s="8" t="str">
        <f ca="1">IFERROR(__xludf.DUMMYFUNCTION("IF
(
C12268=""фізична особа""
,
VLOOKUP(D12268,IMPORTRANGE(""https://docs.google.com/spreadsheets/d/14Bd19lYaqBhU8_DElYkX7l4wRkHqqCUFNJY4AfY3kHU/edit?usp=sharing  #gid=0"",""фіз особи new!relations_name""),6,FALSE)
,
(IF
(
C12268=""юридична особа""
,
VLOO"&amp;"KUP(D12268,IMPORTRANGE(""https://docs.google.com/spreadsheets/d/14Bd19lYaqBhU8_DElYkX7l4wRkHqqCUFNJY4AfY3kHU/edit?usp=sharing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67" s="7" t="s">
        <v>10</v>
      </c>
      <c r="H12267" s="7">
        <v>16156</v>
      </c>
      <c r="I12267" s="8" t="str">
        <f ca="1">IFERROR(__xludf.DUMMYFUNCTION("IF
(
G12268=""фізична особа""
,
VLOOKUP(H12268,IMPORTRANGE(""https://docs.google.com/spreadsheets/d/14Bd19lYaqBhU8_DElYkX7l4wRkHqqCUFNJY4AfY3kHU/edit?usp=sharing  #gid=0"",""фіз особи new!relations_name""),6,FALSE)
,
(IF
(
G12268=""юридична особа""
,
VLOO"&amp;"KUP(H12268,IMPORTRANGE(""https://docs.google.com/spreadsheets/d/14Bd19lYaqBhU8_DElYkX7l4wRkHqqCUFNJY4AfY3kHU/edit?usp=sharing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267" s="7" t="s">
        <v>11</v>
      </c>
    </row>
    <row r="12268" spans="1:10" ht="13.2">
      <c r="A12268" s="7">
        <v>12267</v>
      </c>
      <c r="B12268" s="7">
        <v>1</v>
      </c>
      <c r="C12268" s="7" t="s">
        <v>10</v>
      </c>
      <c r="D12268" s="7">
        <v>18018</v>
      </c>
      <c r="E12268" s="7" t="s">
        <v>11</v>
      </c>
      <c r="F12268" s="8" t="str">
        <f ca="1">IFERROR(__xludf.DUMMYFUNCTION("IF
(
C12269=""фізична особа""
,
VLOOKUP(D12269,IMPORTRANGE(""https://docs.google.com/spreadsheets/d/14Bd19lYaqBhU8_DElYkX7l4wRkHqqCUFNJY4AfY3kHU/edit?usp=sharing  #gid=0"",""фіз особи new!relations_name""),6,FALSE)
,
(IF
(
C12269=""юридична особа""
,
VLOO"&amp;"KUP(D12269,IMPORTRANGE(""https://docs.google.com/spreadsheets/d/14Bd19lYaqBhU8_DElYkX7l4wRkHqqCUFNJY4AfY3kHU/edit?usp=sharing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68" s="7" t="s">
        <v>10</v>
      </c>
      <c r="H12268" s="7">
        <v>2513</v>
      </c>
      <c r="I12268" s="8" t="str">
        <f ca="1">IFERROR(__xludf.DUMMYFUNCTION("IF
(
G12269=""фізична особа""
,
VLOOKUP(H12269,IMPORTRANGE(""https://docs.google.com/spreadsheets/d/14Bd19lYaqBhU8_DElYkX7l4wRkHqqCUFNJY4AfY3kHU/edit?usp=sharing  #gid=0"",""фіз особи new!relations_name""),6,FALSE)
,
(IF
(
G12269=""юридична особа""
,
VLOO"&amp;"KUP(H12269,IMPORTRANGE(""https://docs.google.com/spreadsheets/d/14Bd19lYaqBhU8_DElYkX7l4wRkHqqCUFNJY4AfY3kHU/edit?usp=sharing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268" s="7" t="s">
        <v>11</v>
      </c>
    </row>
    <row r="12269" spans="1:10" ht="13.2">
      <c r="A12269" s="7">
        <v>12268</v>
      </c>
      <c r="B12269" s="7">
        <v>1</v>
      </c>
      <c r="C12269" s="7" t="s">
        <v>10</v>
      </c>
      <c r="D12269" s="7">
        <v>18018</v>
      </c>
      <c r="E12269" s="7" t="s">
        <v>11</v>
      </c>
      <c r="F12269" s="8" t="str">
        <f ca="1">IFERROR(__xludf.DUMMYFUNCTION("IF
(
C12270=""фізична особа""
,
VLOOKUP(D12270,IMPORTRANGE(""https://docs.google.com/spreadsheets/d/14Bd19lYaqBhU8_DElYkX7l4wRkHqqCUFNJY4AfY3kHU/edit?usp=sharing  #gid=0"",""фіз особи new!relations_name""),6,FALSE)
,
(IF
(
C12270=""юридична особа""
,
VLOO"&amp;"KUP(D12270,IMPORTRANGE(""https://docs.google.com/spreadsheets/d/14Bd19lYaqBhU8_DElYkX7l4wRkHqqCUFNJY4AfY3kHU/edit?usp=sharing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69" s="7" t="s">
        <v>10</v>
      </c>
      <c r="H12269" s="7">
        <v>16152</v>
      </c>
      <c r="I12269" s="8" t="str">
        <f ca="1">IFERROR(__xludf.DUMMYFUNCTION("IF
(
G12270=""фізична особа""
,
VLOOKUP(H12270,IMPORTRANGE(""https://docs.google.com/spreadsheets/d/14Bd19lYaqBhU8_DElYkX7l4wRkHqqCUFNJY4AfY3kHU/edit?usp=sharing  #gid=0"",""фіз особи new!relations_name""),6,FALSE)
,
(IF
(
G12270=""юридична особа""
,
VLOO"&amp;"KUP(H12270,IMPORTRANGE(""https://docs.google.com/spreadsheets/d/14Bd19lYaqBhU8_DElYkX7l4wRkHqqCUFNJY4AfY3kHU/edit?usp=sharing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269" s="7" t="s">
        <v>11</v>
      </c>
    </row>
    <row r="12270" spans="1:10" ht="13.2">
      <c r="A12270" s="7">
        <v>12269</v>
      </c>
      <c r="B12270" s="7">
        <v>1</v>
      </c>
      <c r="C12270" s="7" t="s">
        <v>10</v>
      </c>
      <c r="D12270" s="7">
        <v>18018</v>
      </c>
      <c r="E12270" s="7" t="s">
        <v>11</v>
      </c>
      <c r="F12270" s="8" t="str">
        <f ca="1">IFERROR(__xludf.DUMMYFUNCTION("IF
(
C12271=""фізична особа""
,
VLOOKUP(D12271,IMPORTRANGE(""https://docs.google.com/spreadsheets/d/14Bd19lYaqBhU8_DElYkX7l4wRkHqqCUFNJY4AfY3kHU/edit?usp=sharing  #gid=0"",""фіз особи new!relations_name""),6,FALSE)
,
(IF
(
C12271=""юридична особа""
,
VLOO"&amp;"KUP(D12271,IMPORTRANGE(""https://docs.google.com/spreadsheets/d/14Bd19lYaqBhU8_DElYkX7l4wRkHqqCUFNJY4AfY3kHU/edit?usp=sharing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70" s="7" t="s">
        <v>10</v>
      </c>
      <c r="H12270" s="7">
        <v>18019</v>
      </c>
      <c r="I12270" s="8" t="str">
        <f ca="1">IFERROR(__xludf.DUMMYFUNCTION("IF
(
G12271=""фізична особа""
,
VLOOKUP(H12271,IMPORTRANGE(""https://docs.google.com/spreadsheets/d/14Bd19lYaqBhU8_DElYkX7l4wRkHqqCUFNJY4AfY3kHU/edit?usp=sharing  #gid=0"",""фіз особи new!relations_name""),6,FALSE)
,
(IF
(
G12271=""юридична особа""
,
VLOO"&amp;"KUP(H12271,IMPORTRANGE(""https://docs.google.com/spreadsheets/d/14Bd19lYaqBhU8_DElYkX7l4wRkHqqCUFNJY4AfY3kHU/edit?usp=sharing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270" s="7" t="s">
        <v>11</v>
      </c>
    </row>
    <row r="12271" spans="1:10" ht="13.2">
      <c r="A12271" s="7">
        <v>12270</v>
      </c>
      <c r="B12271" s="7">
        <v>1</v>
      </c>
      <c r="C12271" s="7" t="s">
        <v>10</v>
      </c>
      <c r="D12271" s="7">
        <v>18018</v>
      </c>
      <c r="E12271" s="7" t="s">
        <v>11</v>
      </c>
      <c r="F12271" s="8" t="str">
        <f ca="1">IFERROR(__xludf.DUMMYFUNCTION("IF
(
C12272=""фізична особа""
,
VLOOKUP(D12272,IMPORTRANGE(""https://docs.google.com/spreadsheets/d/14Bd19lYaqBhU8_DElYkX7l4wRkHqqCUFNJY4AfY3kHU/edit?usp=sharing  #gid=0"",""фіз особи new!relations_name""),6,FALSE)
,
(IF
(
C12272=""юридична особа""
,
VLOO"&amp;"KUP(D12272,IMPORTRANGE(""https://docs.google.com/spreadsheets/d/14Bd19lYaqBhU8_DElYkX7l4wRkHqqCUFNJY4AfY3kHU/edit?usp=sharing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71" s="7" t="s">
        <v>10</v>
      </c>
      <c r="H12271" s="7">
        <v>18020</v>
      </c>
      <c r="I12271" s="8" t="str">
        <f ca="1">IFERROR(__xludf.DUMMYFUNCTION("IF
(
G12272=""фізична особа""
,
VLOOKUP(H12272,IMPORTRANGE(""https://docs.google.com/spreadsheets/d/14Bd19lYaqBhU8_DElYkX7l4wRkHqqCUFNJY4AfY3kHU/edit?usp=sharing  #gid=0"",""фіз особи new!relations_name""),6,FALSE)
,
(IF
(
G12272=""юридична особа""
,
VLOO"&amp;"KUP(H12272,IMPORTRANGE(""https://docs.google.com/spreadsheets/d/14Bd19lYaqBhU8_DElYkX7l4wRkHqqCUFNJY4AfY3kHU/edit?usp=sharing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271" s="7" t="s">
        <v>11</v>
      </c>
    </row>
    <row r="12272" spans="1:10" ht="13.2">
      <c r="A12272" s="7">
        <v>12271</v>
      </c>
      <c r="B12272" s="7">
        <v>1</v>
      </c>
      <c r="C12272" s="7" t="s">
        <v>10</v>
      </c>
      <c r="D12272" s="7">
        <v>18018</v>
      </c>
      <c r="E12272" s="7" t="s">
        <v>11</v>
      </c>
      <c r="F12272" s="8" t="str">
        <f ca="1">IFERROR(__xludf.DUMMYFUNCTION("IF
(
C12273=""фізична особа""
,
VLOOKUP(D12273,IMPORTRANGE(""https://docs.google.com/spreadsheets/d/14Bd19lYaqBhU8_DElYkX7l4wRkHqqCUFNJY4AfY3kHU/edit?usp=sharing  #gid=0"",""фіз особи new!relations_name""),6,FALSE)
,
(IF
(
C12273=""юридична особа""
,
VLOO"&amp;"KUP(D12273,IMPORTRANGE(""https://docs.google.com/spreadsheets/d/14Bd19lYaqBhU8_DElYkX7l4wRkHqqCUFNJY4AfY3kHU/edit?usp=sharing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72" s="7" t="s">
        <v>10</v>
      </c>
      <c r="H12272" s="7">
        <v>16024</v>
      </c>
      <c r="I12272" s="8" t="str">
        <f ca="1">IFERROR(__xludf.DUMMYFUNCTION("IF
(
G12273=""фізична особа""
,
VLOOKUP(H12273,IMPORTRANGE(""https://docs.google.com/spreadsheets/d/14Bd19lYaqBhU8_DElYkX7l4wRkHqqCUFNJY4AfY3kHU/edit?usp=sharing  #gid=0"",""фіз особи new!relations_name""),6,FALSE)
,
(IF
(
G12273=""юридична особа""
,
VLOO"&amp;"KUP(H12273,IMPORTRANGE(""https://docs.google.com/spreadsheets/d/14Bd19lYaqBhU8_DElYkX7l4wRkHqqCUFNJY4AfY3kHU/edit?usp=sharing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272" s="7" t="s">
        <v>11</v>
      </c>
    </row>
    <row r="12273" spans="1:10" ht="13.2">
      <c r="A12273" s="7">
        <v>12272</v>
      </c>
      <c r="B12273" s="7">
        <v>1</v>
      </c>
      <c r="C12273" s="7" t="s">
        <v>10</v>
      </c>
      <c r="D12273" s="7">
        <v>18018</v>
      </c>
      <c r="E12273" s="7" t="s">
        <v>11</v>
      </c>
      <c r="F12273" s="8" t="str">
        <f ca="1">IFERROR(__xludf.DUMMYFUNCTION("IF
(
C12274=""фізична особа""
,
VLOOKUP(D12274,IMPORTRANGE(""https://docs.google.com/spreadsheets/d/14Bd19lYaqBhU8_DElYkX7l4wRkHqqCUFNJY4AfY3kHU/edit?usp=sharing  #gid=0"",""фіз особи new!relations_name""),6,FALSE)
,
(IF
(
C12274=""юридична особа""
,
VLOO"&amp;"KUP(D12274,IMPORTRANGE(""https://docs.google.com/spreadsheets/d/14Bd19lYaqBhU8_DElYkX7l4wRkHqqCUFNJY4AfY3kHU/edit?usp=sharing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73" s="7" t="s">
        <v>10</v>
      </c>
      <c r="H12273" s="7">
        <v>18021</v>
      </c>
      <c r="I12273" s="8" t="str">
        <f ca="1">IFERROR(__xludf.DUMMYFUNCTION("IF
(
G12274=""фізична особа""
,
VLOOKUP(H12274,IMPORTRANGE(""https://docs.google.com/spreadsheets/d/14Bd19lYaqBhU8_DElYkX7l4wRkHqqCUFNJY4AfY3kHU/edit?usp=sharing  #gid=0"",""фіз особи new!relations_name""),6,FALSE)
,
(IF
(
G12274=""юридична особа""
,
VLOO"&amp;"KUP(H12274,IMPORTRANGE(""https://docs.google.com/spreadsheets/d/14Bd19lYaqBhU8_DElYkX7l4wRkHqqCUFNJY4AfY3kHU/edit?usp=sharing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12273" s="7" t="s">
        <v>11</v>
      </c>
    </row>
    <row r="12274" spans="1:10" ht="13.2">
      <c r="A12274" s="7">
        <v>12273</v>
      </c>
      <c r="B12274" s="7">
        <v>1</v>
      </c>
      <c r="C12274" s="7" t="s">
        <v>10</v>
      </c>
      <c r="D12274" s="7">
        <v>18018</v>
      </c>
      <c r="E12274" s="7" t="s">
        <v>11</v>
      </c>
      <c r="F12274" s="8" t="str">
        <f ca="1">IFERROR(__xludf.DUMMYFUNCTION("IF
(
C12275=""фізична особа""
,
VLOOKUP(D12275,IMPORTRANGE(""https://docs.google.com/spreadsheets/d/14Bd19lYaqBhU8_DElYkX7l4wRkHqqCUFNJY4AfY3kHU/edit?usp=sharing  #gid=0"",""фіз особи new!relations_name""),6,FALSE)
,
(IF
(
C12275=""юридична особа""
,
VLOO"&amp;"KUP(D12275,IMPORTRANGE(""https://docs.google.com/spreadsheets/d/14Bd19lYaqBhU8_DElYkX7l4wRkHqqCUFNJY4AfY3kHU/edit?usp=sharing  #gid=0"",""фіз особи new!relations_name_uo""),7,FALSE)
,
)
))"),"ГЕРЕЧ Ласло")</f>
        <v>ГЕРЕЧ Ласло</v>
      </c>
      <c r="G12274" s="7" t="s">
        <v>10</v>
      </c>
      <c r="H12274" s="7">
        <v>18022</v>
      </c>
      <c r="I12274" s="8" t="str">
        <f ca="1">IFERROR(__xludf.DUMMYFUNCTION("IF
(
G12275=""фізична особа""
,
VLOOKUP(H12275,IMPORTRANGE(""https://docs.google.com/spreadsheets/d/14Bd19lYaqBhU8_DElYkX7l4wRkHqqCUFNJY4AfY3kHU/edit?usp=sharing  #gid=0"",""фіз особи new!relations_name""),6,FALSE)
,
(IF
(
G12275=""юридична особа""
,
VLOO"&amp;"KUP(H12275,IMPORTRANGE(""https://docs.google.com/spreadsheets/d/14Bd19lYaqBhU8_DElYkX7l4wRkHqqCUFNJY4AfY3kHU/edit?usp=sharing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J12274" s="7" t="s">
        <v>11</v>
      </c>
    </row>
    <row r="12275" spans="1:10" ht="13.2">
      <c r="A12275" s="7">
        <v>12274</v>
      </c>
      <c r="B12275" s="7">
        <v>1</v>
      </c>
      <c r="C12275" s="7" t="s">
        <v>10</v>
      </c>
      <c r="D12275" s="7">
        <v>18019</v>
      </c>
      <c r="E12275" s="7" t="s">
        <v>11</v>
      </c>
      <c r="F12275" s="8" t="str">
        <f ca="1">IFERROR(__xludf.DUMMYFUNCTION("IF
(
C12276=""фізична особа""
,
VLOOKUP(D12276,IMPORTRANGE(""https://docs.google.com/spreadsheets/d/14Bd19lYaqBhU8_DElYkX7l4wRkHqqCUFNJY4AfY3kHU/edit?usp=sharing  #gid=0"",""фіз особи new!relations_name""),6,FALSE)
,
(IF
(
C12276=""юридична особа""
,
VLOO"&amp;"KUP(D12276,IMPORTRANGE(""https://docs.google.com/spreadsheets/d/14Bd19lYaqBhU8_DElYkX7l4wRkHqqCUFNJY4AfY3kHU/edit?usp=sharing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75" s="7" t="s">
        <v>10</v>
      </c>
      <c r="H12275" s="7">
        <v>16156</v>
      </c>
      <c r="I12275" s="8" t="str">
        <f ca="1">IFERROR(__xludf.DUMMYFUNCTION("IF
(
G12276=""фізична особа""
,
VLOOKUP(H12276,IMPORTRANGE(""https://docs.google.com/spreadsheets/d/14Bd19lYaqBhU8_DElYkX7l4wRkHqqCUFNJY4AfY3kHU/edit?usp=sharing  #gid=0"",""фіз особи new!relations_name""),6,FALSE)
,
(IF
(
G12276=""юридична особа""
,
VLOO"&amp;"KUP(H12276,IMPORTRANGE(""https://docs.google.com/spreadsheets/d/14Bd19lYaqBhU8_DElYkX7l4wRkHqqCUFNJY4AfY3kHU/edit?usp=sharing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275" s="7" t="s">
        <v>11</v>
      </c>
    </row>
    <row r="12276" spans="1:10" ht="13.2">
      <c r="A12276" s="7">
        <v>12275</v>
      </c>
      <c r="B12276" s="7">
        <v>1</v>
      </c>
      <c r="C12276" s="7" t="s">
        <v>10</v>
      </c>
      <c r="D12276" s="7">
        <v>18019</v>
      </c>
      <c r="E12276" s="7" t="s">
        <v>11</v>
      </c>
      <c r="F12276" s="8" t="str">
        <f ca="1">IFERROR(__xludf.DUMMYFUNCTION("IF
(
C12277=""фізична особа""
,
VLOOKUP(D12277,IMPORTRANGE(""https://docs.google.com/spreadsheets/d/14Bd19lYaqBhU8_DElYkX7l4wRkHqqCUFNJY4AfY3kHU/edit?usp=sharing  #gid=0"",""фіз особи new!relations_name""),6,FALSE)
,
(IF
(
C12277=""юридична особа""
,
VLOO"&amp;"KUP(D12277,IMPORTRANGE(""https://docs.google.com/spreadsheets/d/14Bd19lYaqBhU8_DElYkX7l4wRkHqqCUFNJY4AfY3kHU/edit?usp=sharing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76" s="7" t="s">
        <v>10</v>
      </c>
      <c r="H12276" s="7">
        <v>2513</v>
      </c>
      <c r="I12276" s="8" t="str">
        <f ca="1">IFERROR(__xludf.DUMMYFUNCTION("IF
(
G12277=""фізична особа""
,
VLOOKUP(H12277,IMPORTRANGE(""https://docs.google.com/spreadsheets/d/14Bd19lYaqBhU8_DElYkX7l4wRkHqqCUFNJY4AfY3kHU/edit?usp=sharing  #gid=0"",""фіз особи new!relations_name""),6,FALSE)
,
(IF
(
G12277=""юридична особа""
,
VLOO"&amp;"KUP(H12277,IMPORTRANGE(""https://docs.google.com/spreadsheets/d/14Bd19lYaqBhU8_DElYkX7l4wRkHqqCUFNJY4AfY3kHU/edit?usp=sharing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276" s="7" t="s">
        <v>11</v>
      </c>
    </row>
    <row r="12277" spans="1:10" ht="13.2">
      <c r="A12277" s="7">
        <v>12276</v>
      </c>
      <c r="B12277" s="7">
        <v>1</v>
      </c>
      <c r="C12277" s="7" t="s">
        <v>10</v>
      </c>
      <c r="D12277" s="7">
        <v>18019</v>
      </c>
      <c r="E12277" s="7" t="s">
        <v>11</v>
      </c>
      <c r="F12277" s="8" t="str">
        <f ca="1">IFERROR(__xludf.DUMMYFUNCTION("IF
(
C12278=""фізична особа""
,
VLOOKUP(D12278,IMPORTRANGE(""https://docs.google.com/spreadsheets/d/14Bd19lYaqBhU8_DElYkX7l4wRkHqqCUFNJY4AfY3kHU/edit?usp=sharing  #gid=0"",""фіз особи new!relations_name""),6,FALSE)
,
(IF
(
C12278=""юридична особа""
,
VLOO"&amp;"KUP(D12278,IMPORTRANGE(""https://docs.google.com/spreadsheets/d/14Bd19lYaqBhU8_DElYkX7l4wRkHqqCUFNJY4AfY3kHU/edit?usp=sharing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77" s="7" t="s">
        <v>10</v>
      </c>
      <c r="H12277" s="7">
        <v>16152</v>
      </c>
      <c r="I12277" s="8" t="str">
        <f ca="1">IFERROR(__xludf.DUMMYFUNCTION("IF
(
G12278=""фізична особа""
,
VLOOKUP(H12278,IMPORTRANGE(""https://docs.google.com/spreadsheets/d/14Bd19lYaqBhU8_DElYkX7l4wRkHqqCUFNJY4AfY3kHU/edit?usp=sharing  #gid=0"",""фіз особи new!relations_name""),6,FALSE)
,
(IF
(
G12278=""юридична особа""
,
VLOO"&amp;"KUP(H12278,IMPORTRANGE(""https://docs.google.com/spreadsheets/d/14Bd19lYaqBhU8_DElYkX7l4wRkHqqCUFNJY4AfY3kHU/edit?usp=sharing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277" s="7" t="s">
        <v>11</v>
      </c>
    </row>
    <row r="12278" spans="1:10" ht="13.2">
      <c r="A12278" s="7">
        <v>12277</v>
      </c>
      <c r="B12278" s="7">
        <v>1</v>
      </c>
      <c r="C12278" s="7" t="s">
        <v>10</v>
      </c>
      <c r="D12278" s="7">
        <v>18019</v>
      </c>
      <c r="E12278" s="7" t="s">
        <v>11</v>
      </c>
      <c r="F12278" s="8" t="str">
        <f ca="1">IFERROR(__xludf.DUMMYFUNCTION("IF
(
C12279=""фізична особа""
,
VLOOKUP(D12279,IMPORTRANGE(""https://docs.google.com/spreadsheets/d/14Bd19lYaqBhU8_DElYkX7l4wRkHqqCUFNJY4AfY3kHU/edit?usp=sharing  #gid=0"",""фіз особи new!relations_name""),6,FALSE)
,
(IF
(
C12279=""юридична особа""
,
VLOO"&amp;"KUP(D12279,IMPORTRANGE(""https://docs.google.com/spreadsheets/d/14Bd19lYaqBhU8_DElYkX7l4wRkHqqCUFNJY4AfY3kHU/edit?usp=sharing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78" s="7" t="s">
        <v>10</v>
      </c>
      <c r="H12278" s="7">
        <v>18018</v>
      </c>
      <c r="I12278" s="8" t="str">
        <f ca="1">IFERROR(__xludf.DUMMYFUNCTION("IF
(
G12279=""фізична особа""
,
VLOOKUP(H12279,IMPORTRANGE(""https://docs.google.com/spreadsheets/d/14Bd19lYaqBhU8_DElYkX7l4wRkHqqCUFNJY4AfY3kHU/edit?usp=sharing  #gid=0"",""фіз особи new!relations_name""),6,FALSE)
,
(IF
(
G12279=""юридична особа""
,
VLOO"&amp;"KUP(H12279,IMPORTRANGE(""https://docs.google.com/spreadsheets/d/14Bd19lYaqBhU8_DElYkX7l4wRkHqqCUFNJY4AfY3kHU/edit?usp=sharing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278" s="7" t="s">
        <v>11</v>
      </c>
    </row>
    <row r="12279" spans="1:10" ht="13.2">
      <c r="A12279" s="7">
        <v>12278</v>
      </c>
      <c r="B12279" s="7">
        <v>1</v>
      </c>
      <c r="C12279" s="7" t="s">
        <v>10</v>
      </c>
      <c r="D12279" s="7">
        <v>18019</v>
      </c>
      <c r="E12279" s="7" t="s">
        <v>11</v>
      </c>
      <c r="F12279" s="8" t="str">
        <f ca="1">IFERROR(__xludf.DUMMYFUNCTION("IF
(
C12280=""фізична особа""
,
VLOOKUP(D12280,IMPORTRANGE(""https://docs.google.com/spreadsheets/d/14Bd19lYaqBhU8_DElYkX7l4wRkHqqCUFNJY4AfY3kHU/edit?usp=sharing  #gid=0"",""фіз особи new!relations_name""),6,FALSE)
,
(IF
(
C12280=""юридична особа""
,
VLOO"&amp;"KUP(D12280,IMPORTRANGE(""https://docs.google.com/spreadsheets/d/14Bd19lYaqBhU8_DElYkX7l4wRkHqqCUFNJY4AfY3kHU/edit?usp=sharing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79" s="7" t="s">
        <v>10</v>
      </c>
      <c r="H12279" s="7">
        <v>18020</v>
      </c>
      <c r="I12279" s="8" t="str">
        <f ca="1">IFERROR(__xludf.DUMMYFUNCTION("IF
(
G12280=""фізична особа""
,
VLOOKUP(H12280,IMPORTRANGE(""https://docs.google.com/spreadsheets/d/14Bd19lYaqBhU8_DElYkX7l4wRkHqqCUFNJY4AfY3kHU/edit?usp=sharing  #gid=0"",""фіз особи new!relations_name""),6,FALSE)
,
(IF
(
G12280=""юридична особа""
,
VLOO"&amp;"KUP(H12280,IMPORTRANGE(""https://docs.google.com/spreadsheets/d/14Bd19lYaqBhU8_DElYkX7l4wRkHqqCUFNJY4AfY3kHU/edit?usp=sharing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279" s="7" t="s">
        <v>11</v>
      </c>
    </row>
    <row r="12280" spans="1:10" ht="13.2">
      <c r="A12280" s="7">
        <v>12279</v>
      </c>
      <c r="B12280" s="7">
        <v>1</v>
      </c>
      <c r="C12280" s="7" t="s">
        <v>10</v>
      </c>
      <c r="D12280" s="7">
        <v>18019</v>
      </c>
      <c r="E12280" s="7" t="s">
        <v>11</v>
      </c>
      <c r="F12280" s="8" t="str">
        <f ca="1">IFERROR(__xludf.DUMMYFUNCTION("IF
(
C12281=""фізична особа""
,
VLOOKUP(D12281,IMPORTRANGE(""https://docs.google.com/spreadsheets/d/14Bd19lYaqBhU8_DElYkX7l4wRkHqqCUFNJY4AfY3kHU/edit?usp=sharing  #gid=0"",""фіз особи new!relations_name""),6,FALSE)
,
(IF
(
C12281=""юридична особа""
,
VLOO"&amp;"KUP(D12281,IMPORTRANGE(""https://docs.google.com/spreadsheets/d/14Bd19lYaqBhU8_DElYkX7l4wRkHqqCUFNJY4AfY3kHU/edit?usp=sharing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80" s="7" t="s">
        <v>10</v>
      </c>
      <c r="H12280" s="7">
        <v>18021</v>
      </c>
      <c r="I12280" s="8" t="str">
        <f ca="1">IFERROR(__xludf.DUMMYFUNCTION("IF
(
G12281=""фізична особа""
,
VLOOKUP(H12281,IMPORTRANGE(""https://docs.google.com/spreadsheets/d/14Bd19lYaqBhU8_DElYkX7l4wRkHqqCUFNJY4AfY3kHU/edit?usp=sharing  #gid=0"",""фіз особи new!relations_name""),6,FALSE)
,
(IF
(
G12281=""юридична особа""
,
VLOO"&amp;"KUP(H12281,IMPORTRANGE(""https://docs.google.com/spreadsheets/d/14Bd19lYaqBhU8_DElYkX7l4wRkHqqCUFNJY4AfY3kHU/edit?usp=sharing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12280" s="7" t="s">
        <v>11</v>
      </c>
    </row>
    <row r="12281" spans="1:10" ht="13.2">
      <c r="A12281" s="7">
        <v>12280</v>
      </c>
      <c r="B12281" s="7">
        <v>1</v>
      </c>
      <c r="C12281" s="7" t="s">
        <v>10</v>
      </c>
      <c r="D12281" s="7">
        <v>18019</v>
      </c>
      <c r="E12281" s="7" t="s">
        <v>11</v>
      </c>
      <c r="F12281" s="8" t="str">
        <f ca="1">IFERROR(__xludf.DUMMYFUNCTION("IF
(
C12282=""фізична особа""
,
VLOOKUP(D12282,IMPORTRANGE(""https://docs.google.com/spreadsheets/d/14Bd19lYaqBhU8_DElYkX7l4wRkHqqCUFNJY4AfY3kHU/edit?usp=sharing  #gid=0"",""фіз особи new!relations_name""),6,FALSE)
,
(IF
(
C12282=""юридична особа""
,
VLOO"&amp;"KUP(D12282,IMPORTRANGE(""https://docs.google.com/spreadsheets/d/14Bd19lYaqBhU8_DElYkX7l4wRkHqqCUFNJY4AfY3kHU/edit?usp=sharing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81" s="7" t="s">
        <v>10</v>
      </c>
      <c r="H12281" s="7">
        <v>16024</v>
      </c>
      <c r="I12281" s="8" t="str">
        <f ca="1">IFERROR(__xludf.DUMMYFUNCTION("IF
(
G12282=""фізична особа""
,
VLOOKUP(H12282,IMPORTRANGE(""https://docs.google.com/spreadsheets/d/14Bd19lYaqBhU8_DElYkX7l4wRkHqqCUFNJY4AfY3kHU/edit?usp=sharing  #gid=0"",""фіз особи new!relations_name""),6,FALSE)
,
(IF
(
G12282=""юридична особа""
,
VLOO"&amp;"KUP(H12282,IMPORTRANGE(""https://docs.google.com/spreadsheets/d/14Bd19lYaqBhU8_DElYkX7l4wRkHqqCUFNJY4AfY3kHU/edit?usp=sharing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281" s="7" t="s">
        <v>11</v>
      </c>
    </row>
    <row r="12282" spans="1:10" ht="13.2">
      <c r="A12282" s="7">
        <v>12281</v>
      </c>
      <c r="B12282" s="7">
        <v>1</v>
      </c>
      <c r="C12282" s="7" t="s">
        <v>10</v>
      </c>
      <c r="D12282" s="7">
        <v>18019</v>
      </c>
      <c r="E12282" s="7" t="s">
        <v>11</v>
      </c>
      <c r="F12282" s="8" t="str">
        <f ca="1">IFERROR(__xludf.DUMMYFUNCTION("IF
(
C12283=""фізична особа""
,
VLOOKUP(D12283,IMPORTRANGE(""https://docs.google.com/spreadsheets/d/14Bd19lYaqBhU8_DElYkX7l4wRkHqqCUFNJY4AfY3kHU/edit?usp=sharing  #gid=0"",""фіз особи new!relations_name""),6,FALSE)
,
(IF
(
C12283=""юридична особа""
,
VLOO"&amp;"KUP(D12283,IMPORTRANGE(""https://docs.google.com/spreadsheets/d/14Bd19lYaqBhU8_DElYkX7l4wRkHqqCUFNJY4AfY3kHU/edit?usp=sharing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82" s="7" t="s">
        <v>10</v>
      </c>
      <c r="H12282" s="7">
        <v>1842</v>
      </c>
      <c r="I12282" s="8" t="str">
        <f ca="1">IFERROR(__xludf.DUMMYFUNCTION("IF
(
G12283=""фізична особа""
,
VLOOKUP(H12283,IMPORTRANGE(""https://docs.google.com/spreadsheets/d/14Bd19lYaqBhU8_DElYkX7l4wRkHqqCUFNJY4AfY3kHU/edit?usp=sharing  #gid=0"",""фіз особи new!relations_name""),6,FALSE)
,
(IF
(
G12283=""юридична особа""
,
VLOO"&amp;"KUP(H12283,IMPORTRANGE(""https://docs.google.com/spreadsheets/d/14Bd19lYaqBhU8_DElYkX7l4wRkHqqCUFNJY4AfY3kHU/edit?usp=sharing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282" s="7" t="s">
        <v>11</v>
      </c>
    </row>
    <row r="12283" spans="1:10" ht="13.2">
      <c r="A12283" s="7">
        <v>12282</v>
      </c>
      <c r="B12283" s="7">
        <v>1</v>
      </c>
      <c r="C12283" s="7" t="s">
        <v>10</v>
      </c>
      <c r="D12283" s="7">
        <v>18019</v>
      </c>
      <c r="E12283" s="7" t="s">
        <v>11</v>
      </c>
      <c r="F12283" s="8" t="str">
        <f ca="1">IFERROR(__xludf.DUMMYFUNCTION("IF
(
C12284=""фізична особа""
,
VLOOKUP(D12284,IMPORTRANGE(""https://docs.google.com/spreadsheets/d/14Bd19lYaqBhU8_DElYkX7l4wRkHqqCUFNJY4AfY3kHU/edit?usp=sharing  #gid=0"",""фіз особи new!relations_name""),6,FALSE)
,
(IF
(
C12284=""юридична особа""
,
VLOO"&amp;"KUP(D12284,IMPORTRANGE(""https://docs.google.com/spreadsheets/d/14Bd19lYaqBhU8_DElYkX7l4wRkHqqCUFNJY4AfY3kHU/edit?usp=sharing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83" s="7" t="s">
        <v>10</v>
      </c>
      <c r="H12283" s="7">
        <v>18023</v>
      </c>
      <c r="I12283" s="8" t="str">
        <f ca="1">IFERROR(__xludf.DUMMYFUNCTION("IF
(
G12284=""фізична особа""
,
VLOOKUP(H12284,IMPORTRANGE(""https://docs.google.com/spreadsheets/d/14Bd19lYaqBhU8_DElYkX7l4wRkHqqCUFNJY4AfY3kHU/edit?usp=sharing  #gid=0"",""фіз особи new!relations_name""),6,FALSE)
,
(IF
(
G12284=""юридична особа""
,
VLOO"&amp;"KUP(H12284,IMPORTRANGE(""https://docs.google.com/spreadsheets/d/14Bd19lYaqBhU8_DElYkX7l4wRkHqqCUFNJY4AfY3kHU/edit?usp=sharing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12283" s="7" t="s">
        <v>11</v>
      </c>
    </row>
    <row r="12284" spans="1:10" ht="13.2">
      <c r="A12284" s="7">
        <v>12283</v>
      </c>
      <c r="B12284" s="7">
        <v>1</v>
      </c>
      <c r="C12284" s="7" t="s">
        <v>10</v>
      </c>
      <c r="D12284" s="7">
        <v>18019</v>
      </c>
      <c r="E12284" s="7" t="s">
        <v>11</v>
      </c>
      <c r="F12284" s="8" t="str">
        <f ca="1">IFERROR(__xludf.DUMMYFUNCTION("IF
(
C12285=""фізична особа""
,
VLOOKUP(D12285,IMPORTRANGE(""https://docs.google.com/spreadsheets/d/14Bd19lYaqBhU8_DElYkX7l4wRkHqqCUFNJY4AfY3kHU/edit?usp=sharing  #gid=0"",""фіз особи new!relations_name""),6,FALSE)
,
(IF
(
C12285=""юридична особа""
,
VLOO"&amp;"KUP(D12285,IMPORTRANGE(""https://docs.google.com/spreadsheets/d/14Bd19lYaqBhU8_DElYkX7l4wRkHqqCUFNJY4AfY3kHU/edit?usp=sharing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G12284" s="7" t="s">
        <v>10</v>
      </c>
      <c r="H12284" s="7">
        <v>18024</v>
      </c>
      <c r="I12284" s="8" t="str">
        <f ca="1">IFERROR(__xludf.DUMMYFUNCTION("IF
(
G12285=""фізична особа""
,
VLOOKUP(H12285,IMPORTRANGE(""https://docs.google.com/spreadsheets/d/14Bd19lYaqBhU8_DElYkX7l4wRkHqqCUFNJY4AfY3kHU/edit?usp=sharing  #gid=0"",""фіз особи new!relations_name""),6,FALSE)
,
(IF
(
G12285=""юридична особа""
,
VLOO"&amp;"KUP(H12285,IMPORTRANGE(""https://docs.google.com/spreadsheets/d/14Bd19lYaqBhU8_DElYkX7l4wRkHqqCUFNJY4AfY3kHU/edit?usp=sharing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12284" s="7" t="s">
        <v>11</v>
      </c>
    </row>
    <row r="12285" spans="1:10" ht="13.2">
      <c r="A12285" s="7">
        <v>12284</v>
      </c>
      <c r="B12285" s="7">
        <v>1</v>
      </c>
      <c r="C12285" s="7" t="s">
        <v>10</v>
      </c>
      <c r="D12285" s="7">
        <v>18020</v>
      </c>
      <c r="E12285" s="7" t="s">
        <v>11</v>
      </c>
      <c r="F12285" s="8" t="str">
        <f ca="1">IFERROR(__xludf.DUMMYFUNCTION("IF
(
C12286=""фізична особа""
,
VLOOKUP(D12286,IMPORTRANGE(""https://docs.google.com/spreadsheets/d/14Bd19lYaqBhU8_DElYkX7l4wRkHqqCUFNJY4AfY3kHU/edit?usp=sharing  #gid=0"",""фіз особи new!relations_name""),6,FALSE)
,
(IF
(
C12286=""юридична особа""
,
VLOO"&amp;"KUP(D12286,IMPORTRANGE(""https://docs.google.com/spreadsheets/d/14Bd19lYaqBhU8_DElYkX7l4wRkHqqCUFNJY4AfY3kHU/edit?usp=sharing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85" s="7" t="s">
        <v>10</v>
      </c>
      <c r="H12285" s="7">
        <v>16156</v>
      </c>
      <c r="I12285" s="8" t="str">
        <f ca="1">IFERROR(__xludf.DUMMYFUNCTION("IF
(
G12286=""фізична особа""
,
VLOOKUP(H12286,IMPORTRANGE(""https://docs.google.com/spreadsheets/d/14Bd19lYaqBhU8_DElYkX7l4wRkHqqCUFNJY4AfY3kHU/edit?usp=sharing  #gid=0"",""фіз особи new!relations_name""),6,FALSE)
,
(IF
(
G12286=""юридична особа""
,
VLOO"&amp;"KUP(H12286,IMPORTRANGE(""https://docs.google.com/spreadsheets/d/14Bd19lYaqBhU8_DElYkX7l4wRkHqqCUFNJY4AfY3kHU/edit?usp=sharing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285" s="7" t="s">
        <v>11</v>
      </c>
    </row>
    <row r="12286" spans="1:10" ht="13.2">
      <c r="A12286" s="7">
        <v>12285</v>
      </c>
      <c r="B12286" s="7">
        <v>1</v>
      </c>
      <c r="C12286" s="7" t="s">
        <v>10</v>
      </c>
      <c r="D12286" s="7">
        <v>18020</v>
      </c>
      <c r="E12286" s="7" t="s">
        <v>11</v>
      </c>
      <c r="F12286" s="8" t="str">
        <f ca="1">IFERROR(__xludf.DUMMYFUNCTION("IF
(
C12287=""фізична особа""
,
VLOOKUP(D12287,IMPORTRANGE(""https://docs.google.com/spreadsheets/d/14Bd19lYaqBhU8_DElYkX7l4wRkHqqCUFNJY4AfY3kHU/edit?usp=sharing  #gid=0"",""фіз особи new!relations_name""),6,FALSE)
,
(IF
(
C12287=""юридична особа""
,
VLOO"&amp;"KUP(D12287,IMPORTRANGE(""https://docs.google.com/spreadsheets/d/14Bd19lYaqBhU8_DElYkX7l4wRkHqqCUFNJY4AfY3kHU/edit?usp=sharing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86" s="7" t="s">
        <v>10</v>
      </c>
      <c r="H12286" s="7">
        <v>2513</v>
      </c>
      <c r="I12286" s="8" t="str">
        <f ca="1">IFERROR(__xludf.DUMMYFUNCTION("IF
(
G12287=""фізична особа""
,
VLOOKUP(H12287,IMPORTRANGE(""https://docs.google.com/spreadsheets/d/14Bd19lYaqBhU8_DElYkX7l4wRkHqqCUFNJY4AfY3kHU/edit?usp=sharing  #gid=0"",""фіз особи new!relations_name""),6,FALSE)
,
(IF
(
G12287=""юридична особа""
,
VLOO"&amp;"KUP(H12287,IMPORTRANGE(""https://docs.google.com/spreadsheets/d/14Bd19lYaqBhU8_DElYkX7l4wRkHqqCUFNJY4AfY3kHU/edit?usp=sharing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286" s="7" t="s">
        <v>11</v>
      </c>
    </row>
    <row r="12287" spans="1:10" ht="13.2">
      <c r="A12287" s="7">
        <v>12286</v>
      </c>
      <c r="B12287" s="7">
        <v>1</v>
      </c>
      <c r="C12287" s="7" t="s">
        <v>10</v>
      </c>
      <c r="D12287" s="7">
        <v>18020</v>
      </c>
      <c r="E12287" s="7" t="s">
        <v>11</v>
      </c>
      <c r="F12287" s="8" t="str">
        <f ca="1">IFERROR(__xludf.DUMMYFUNCTION("IF
(
C12288=""фізична особа""
,
VLOOKUP(D12288,IMPORTRANGE(""https://docs.google.com/spreadsheets/d/14Bd19lYaqBhU8_DElYkX7l4wRkHqqCUFNJY4AfY3kHU/edit?usp=sharing  #gid=0"",""фіз особи new!relations_name""),6,FALSE)
,
(IF
(
C12288=""юридична особа""
,
VLOO"&amp;"KUP(D12288,IMPORTRANGE(""https://docs.google.com/spreadsheets/d/14Bd19lYaqBhU8_DElYkX7l4wRkHqqCUFNJY4AfY3kHU/edit?usp=sharing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87" s="7" t="s">
        <v>10</v>
      </c>
      <c r="H12287" s="7">
        <v>16152</v>
      </c>
      <c r="I12287" s="8" t="str">
        <f ca="1">IFERROR(__xludf.DUMMYFUNCTION("IF
(
G12288=""фізична особа""
,
VLOOKUP(H12288,IMPORTRANGE(""https://docs.google.com/spreadsheets/d/14Bd19lYaqBhU8_DElYkX7l4wRkHqqCUFNJY4AfY3kHU/edit?usp=sharing  #gid=0"",""фіз особи new!relations_name""),6,FALSE)
,
(IF
(
G12288=""юридична особа""
,
VLOO"&amp;"KUP(H12288,IMPORTRANGE(""https://docs.google.com/spreadsheets/d/14Bd19lYaqBhU8_DElYkX7l4wRkHqqCUFNJY4AfY3kHU/edit?usp=sharing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287" s="7" t="s">
        <v>11</v>
      </c>
    </row>
    <row r="12288" spans="1:10" ht="13.2">
      <c r="A12288" s="7">
        <v>12287</v>
      </c>
      <c r="B12288" s="7">
        <v>1</v>
      </c>
      <c r="C12288" s="7" t="s">
        <v>10</v>
      </c>
      <c r="D12288" s="7">
        <v>18020</v>
      </c>
      <c r="E12288" s="7" t="s">
        <v>11</v>
      </c>
      <c r="F12288" s="8" t="str">
        <f ca="1">IFERROR(__xludf.DUMMYFUNCTION("IF
(
C12289=""фізична особа""
,
VLOOKUP(D12289,IMPORTRANGE(""https://docs.google.com/spreadsheets/d/14Bd19lYaqBhU8_DElYkX7l4wRkHqqCUFNJY4AfY3kHU/edit?usp=sharing  #gid=0"",""фіз особи new!relations_name""),6,FALSE)
,
(IF
(
C12289=""юридична особа""
,
VLOO"&amp;"KUP(D12289,IMPORTRANGE(""https://docs.google.com/spreadsheets/d/14Bd19lYaqBhU8_DElYkX7l4wRkHqqCUFNJY4AfY3kHU/edit?usp=sharing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88" s="7" t="s">
        <v>10</v>
      </c>
      <c r="H12288" s="7">
        <v>18018</v>
      </c>
      <c r="I12288" s="8" t="str">
        <f ca="1">IFERROR(__xludf.DUMMYFUNCTION("IF
(
G12289=""фізична особа""
,
VLOOKUP(H12289,IMPORTRANGE(""https://docs.google.com/spreadsheets/d/14Bd19lYaqBhU8_DElYkX7l4wRkHqqCUFNJY4AfY3kHU/edit?usp=sharing  #gid=0"",""фіз особи new!relations_name""),6,FALSE)
,
(IF
(
G12289=""юридична особа""
,
VLOO"&amp;"KUP(H12289,IMPORTRANGE(""https://docs.google.com/spreadsheets/d/14Bd19lYaqBhU8_DElYkX7l4wRkHqqCUFNJY4AfY3kHU/edit?usp=sharing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288" s="7" t="s">
        <v>11</v>
      </c>
    </row>
    <row r="12289" spans="1:10" ht="13.2">
      <c r="A12289" s="7">
        <v>12288</v>
      </c>
      <c r="B12289" s="7">
        <v>1</v>
      </c>
      <c r="C12289" s="7" t="s">
        <v>10</v>
      </c>
      <c r="D12289" s="7">
        <v>18020</v>
      </c>
      <c r="E12289" s="7" t="s">
        <v>11</v>
      </c>
      <c r="F12289" s="8" t="str">
        <f ca="1">IFERROR(__xludf.DUMMYFUNCTION("IF
(
C12290=""фізична особа""
,
VLOOKUP(D12290,IMPORTRANGE(""https://docs.google.com/spreadsheets/d/14Bd19lYaqBhU8_DElYkX7l4wRkHqqCUFNJY4AfY3kHU/edit?usp=sharing  #gid=0"",""фіз особи new!relations_name""),6,FALSE)
,
(IF
(
C12290=""юридична особа""
,
VLOO"&amp;"KUP(D12290,IMPORTRANGE(""https://docs.google.com/spreadsheets/d/14Bd19lYaqBhU8_DElYkX7l4wRkHqqCUFNJY4AfY3kHU/edit?usp=sharing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89" s="7" t="s">
        <v>10</v>
      </c>
      <c r="H12289" s="7">
        <v>18019</v>
      </c>
      <c r="I12289" s="8" t="str">
        <f ca="1">IFERROR(__xludf.DUMMYFUNCTION("IF
(
G12290=""фізична особа""
,
VLOOKUP(H12290,IMPORTRANGE(""https://docs.google.com/spreadsheets/d/14Bd19lYaqBhU8_DElYkX7l4wRkHqqCUFNJY4AfY3kHU/edit?usp=sharing  #gid=0"",""фіз особи new!relations_name""),6,FALSE)
,
(IF
(
G12290=""юридична особа""
,
VLOO"&amp;"KUP(H12290,IMPORTRANGE(""https://docs.google.com/spreadsheets/d/14Bd19lYaqBhU8_DElYkX7l4wRkHqqCUFNJY4AfY3kHU/edit?usp=sharing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289" s="7" t="s">
        <v>11</v>
      </c>
    </row>
    <row r="12290" spans="1:10" ht="13.2">
      <c r="A12290" s="7">
        <v>12289</v>
      </c>
      <c r="B12290" s="7">
        <v>1</v>
      </c>
      <c r="C12290" s="7" t="s">
        <v>10</v>
      </c>
      <c r="D12290" s="7">
        <v>18020</v>
      </c>
      <c r="E12290" s="7" t="s">
        <v>11</v>
      </c>
      <c r="F12290" s="8" t="str">
        <f ca="1">IFERROR(__xludf.DUMMYFUNCTION("IF
(
C12291=""фізична особа""
,
VLOOKUP(D12291,IMPORTRANGE(""https://docs.google.com/spreadsheets/d/14Bd19lYaqBhU8_DElYkX7l4wRkHqqCUFNJY4AfY3kHU/edit?usp=sharing  #gid=0"",""фіз особи new!relations_name""),6,FALSE)
,
(IF
(
C12291=""юридична особа""
,
VLOO"&amp;"KUP(D12291,IMPORTRANGE(""https://docs.google.com/spreadsheets/d/14Bd19lYaqBhU8_DElYkX7l4wRkHqqCUFNJY4AfY3kHU/edit?usp=sharing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90" s="7" t="s">
        <v>10</v>
      </c>
      <c r="H12290" s="7">
        <v>18021</v>
      </c>
      <c r="I12290" s="8" t="str">
        <f ca="1">IFERROR(__xludf.DUMMYFUNCTION("IF
(
G12291=""фізична особа""
,
VLOOKUP(H12291,IMPORTRANGE(""https://docs.google.com/spreadsheets/d/14Bd19lYaqBhU8_DElYkX7l4wRkHqqCUFNJY4AfY3kHU/edit?usp=sharing  #gid=0"",""фіз особи new!relations_name""),6,FALSE)
,
(IF
(
G12291=""юридична особа""
,
VLOO"&amp;"KUP(H12291,IMPORTRANGE(""https://docs.google.com/spreadsheets/d/14Bd19lYaqBhU8_DElYkX7l4wRkHqqCUFNJY4AfY3kHU/edit?usp=sharing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J12290" s="7" t="s">
        <v>11</v>
      </c>
    </row>
    <row r="12291" spans="1:10" ht="13.2">
      <c r="A12291" s="7">
        <v>12290</v>
      </c>
      <c r="B12291" s="7">
        <v>1</v>
      </c>
      <c r="C12291" s="7" t="s">
        <v>10</v>
      </c>
      <c r="D12291" s="7">
        <v>18020</v>
      </c>
      <c r="E12291" s="7" t="s">
        <v>11</v>
      </c>
      <c r="F12291" s="8" t="str">
        <f ca="1">IFERROR(__xludf.DUMMYFUNCTION("IF
(
C12292=""фізична особа""
,
VLOOKUP(D12292,IMPORTRANGE(""https://docs.google.com/spreadsheets/d/14Bd19lYaqBhU8_DElYkX7l4wRkHqqCUFNJY4AfY3kHU/edit?usp=sharing  #gid=0"",""фіз особи new!relations_name""),6,FALSE)
,
(IF
(
C12292=""юридична особа""
,
VLOO"&amp;"KUP(D12292,IMPORTRANGE(""https://docs.google.com/spreadsheets/d/14Bd19lYaqBhU8_DElYkX7l4wRkHqqCUFNJY4AfY3kHU/edit?usp=sharing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91" s="7" t="s">
        <v>10</v>
      </c>
      <c r="H12291" s="7">
        <v>16024</v>
      </c>
      <c r="I12291" s="8" t="str">
        <f ca="1">IFERROR(__xludf.DUMMYFUNCTION("IF
(
G12292=""фізична особа""
,
VLOOKUP(H12292,IMPORTRANGE(""https://docs.google.com/spreadsheets/d/14Bd19lYaqBhU8_DElYkX7l4wRkHqqCUFNJY4AfY3kHU/edit?usp=sharing  #gid=0"",""фіз особи new!relations_name""),6,FALSE)
,
(IF
(
G12292=""юридична особа""
,
VLOO"&amp;"KUP(H12292,IMPORTRANGE(""https://docs.google.com/spreadsheets/d/14Bd19lYaqBhU8_DElYkX7l4wRkHqqCUFNJY4AfY3kHU/edit?usp=sharing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291" s="7" t="s">
        <v>11</v>
      </c>
    </row>
    <row r="12292" spans="1:10" ht="13.2">
      <c r="A12292" s="7">
        <v>12291</v>
      </c>
      <c r="B12292" s="7">
        <v>1</v>
      </c>
      <c r="C12292" s="7" t="s">
        <v>10</v>
      </c>
      <c r="D12292" s="7">
        <v>18020</v>
      </c>
      <c r="E12292" s="7" t="s">
        <v>11</v>
      </c>
      <c r="F12292" s="8" t="str">
        <f ca="1">IFERROR(__xludf.DUMMYFUNCTION("IF
(
C12293=""фізична особа""
,
VLOOKUP(D12293,IMPORTRANGE(""https://docs.google.com/spreadsheets/d/14Bd19lYaqBhU8_DElYkX7l4wRkHqqCUFNJY4AfY3kHU/edit?usp=sharing  #gid=0"",""фіз особи new!relations_name""),6,FALSE)
,
(IF
(
C12293=""юридична особа""
,
VLOO"&amp;"KUP(D12293,IMPORTRANGE(""https://docs.google.com/spreadsheets/d/14Bd19lYaqBhU8_DElYkX7l4wRkHqqCUFNJY4AfY3kHU/edit?usp=sharing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92" s="7" t="s">
        <v>10</v>
      </c>
      <c r="H12292" s="7">
        <v>1842</v>
      </c>
      <c r="I12292" s="8" t="str">
        <f ca="1">IFERROR(__xludf.DUMMYFUNCTION("IF
(
G12293=""фізична особа""
,
VLOOKUP(H12293,IMPORTRANGE(""https://docs.google.com/spreadsheets/d/14Bd19lYaqBhU8_DElYkX7l4wRkHqqCUFNJY4AfY3kHU/edit?usp=sharing  #gid=0"",""фіз особи new!relations_name""),6,FALSE)
,
(IF
(
G12293=""юридична особа""
,
VLOO"&amp;"KUP(H12293,IMPORTRANGE(""https://docs.google.com/spreadsheets/d/14Bd19lYaqBhU8_DElYkX7l4wRkHqqCUFNJY4AfY3kHU/edit?usp=sharing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292" s="7" t="s">
        <v>11</v>
      </c>
    </row>
    <row r="12293" spans="1:10" ht="13.2">
      <c r="A12293" s="7">
        <v>12292</v>
      </c>
      <c r="B12293" s="7">
        <v>1</v>
      </c>
      <c r="C12293" s="7" t="s">
        <v>10</v>
      </c>
      <c r="D12293" s="7">
        <v>18020</v>
      </c>
      <c r="E12293" s="7" t="s">
        <v>11</v>
      </c>
      <c r="F12293" s="8" t="str">
        <f ca="1">IFERROR(__xludf.DUMMYFUNCTION("IF
(
C12294=""фізична особа""
,
VLOOKUP(D12294,IMPORTRANGE(""https://docs.google.com/spreadsheets/d/14Bd19lYaqBhU8_DElYkX7l4wRkHqqCUFNJY4AfY3kHU/edit?usp=sharing  #gid=0"",""фіз особи new!relations_name""),6,FALSE)
,
(IF
(
C12294=""юридична особа""
,
VLOO"&amp;"KUP(D12294,IMPORTRANGE(""https://docs.google.com/spreadsheets/d/14Bd19lYaqBhU8_DElYkX7l4wRkHqqCUFNJY4AfY3kHU/edit?usp=sharing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93" s="7" t="s">
        <v>10</v>
      </c>
      <c r="H12293" s="7">
        <v>18023</v>
      </c>
      <c r="I12293" s="8" t="str">
        <f ca="1">IFERROR(__xludf.DUMMYFUNCTION("IF
(
G12294=""фізична особа""
,
VLOOKUP(H12294,IMPORTRANGE(""https://docs.google.com/spreadsheets/d/14Bd19lYaqBhU8_DElYkX7l4wRkHqqCUFNJY4AfY3kHU/edit?usp=sharing  #gid=0"",""фіз особи new!relations_name""),6,FALSE)
,
(IF
(
G12294=""юридична особа""
,
VLOO"&amp;"KUP(H12294,IMPORTRANGE(""https://docs.google.com/spreadsheets/d/14Bd19lYaqBhU8_DElYkX7l4wRkHqqCUFNJY4AfY3kHU/edit?usp=sharing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12293" s="7" t="s">
        <v>11</v>
      </c>
    </row>
    <row r="12294" spans="1:10" ht="13.2">
      <c r="A12294" s="7">
        <v>12293</v>
      </c>
      <c r="B12294" s="7">
        <v>1</v>
      </c>
      <c r="C12294" s="7" t="s">
        <v>10</v>
      </c>
      <c r="D12294" s="7">
        <v>18020</v>
      </c>
      <c r="E12294" s="7" t="s">
        <v>11</v>
      </c>
      <c r="F12294" s="8" t="str">
        <f ca="1">IFERROR(__xludf.DUMMYFUNCTION("IF
(
C12295=""фізична особа""
,
VLOOKUP(D12295,IMPORTRANGE(""https://docs.google.com/spreadsheets/d/14Bd19lYaqBhU8_DElYkX7l4wRkHqqCUFNJY4AfY3kHU/edit?usp=sharing  #gid=0"",""фіз особи new!relations_name""),6,FALSE)
,
(IF
(
C12295=""юридична особа""
,
VLOO"&amp;"KUP(D12295,IMPORTRANGE(""https://docs.google.com/spreadsheets/d/14Bd19lYaqBhU8_DElYkX7l4wRkHqqCUFNJY4AfY3kHU/edit?usp=sharing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G12294" s="7" t="s">
        <v>10</v>
      </c>
      <c r="H12294" s="7">
        <v>18024</v>
      </c>
      <c r="I12294" s="8" t="str">
        <f ca="1">IFERROR(__xludf.DUMMYFUNCTION("IF
(
G12295=""фізична особа""
,
VLOOKUP(H12295,IMPORTRANGE(""https://docs.google.com/spreadsheets/d/14Bd19lYaqBhU8_DElYkX7l4wRkHqqCUFNJY4AfY3kHU/edit?usp=sharing  #gid=0"",""фіз особи new!relations_name""),6,FALSE)
,
(IF
(
G12295=""юридична особа""
,
VLOO"&amp;"KUP(H12295,IMPORTRANGE(""https://docs.google.com/spreadsheets/d/14Bd19lYaqBhU8_DElYkX7l4wRkHqqCUFNJY4AfY3kHU/edit?usp=sharing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12294" s="7" t="s">
        <v>11</v>
      </c>
    </row>
    <row r="12295" spans="1:10" ht="13.2">
      <c r="A12295" s="7">
        <v>12294</v>
      </c>
      <c r="B12295" s="7">
        <v>1</v>
      </c>
      <c r="C12295" s="7" t="s">
        <v>10</v>
      </c>
      <c r="D12295" s="7">
        <v>18021</v>
      </c>
      <c r="E12295" s="7" t="s">
        <v>11</v>
      </c>
      <c r="F12295" s="8" t="str">
        <f ca="1">IFERROR(__xludf.DUMMYFUNCTION("IF
(
C12296=""фізична особа""
,
VLOOKUP(D12296,IMPORTRANGE(""https://docs.google.com/spreadsheets/d/14Bd19lYaqBhU8_DElYkX7l4wRkHqqCUFNJY4AfY3kHU/edit?usp=sharing  #gid=0"",""фіз особи new!relations_name""),6,FALSE)
,
(IF
(
C12296=""юридична особа""
,
VLOO"&amp;"KUP(D12296,IMPORTRANGE(""https://docs.google.com/spreadsheets/d/14Bd19lYaqBhU8_DElYkX7l4wRkHqqCUFNJY4AfY3kHU/edit?usp=sharing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295" s="7" t="s">
        <v>10</v>
      </c>
      <c r="H12295" s="7">
        <v>16156</v>
      </c>
      <c r="I12295" s="8" t="str">
        <f ca="1">IFERROR(__xludf.DUMMYFUNCTION("IF
(
G12296=""фізична особа""
,
VLOOKUP(H12296,IMPORTRANGE(""https://docs.google.com/spreadsheets/d/14Bd19lYaqBhU8_DElYkX7l4wRkHqqCUFNJY4AfY3kHU/edit?usp=sharing  #gid=0"",""фіз особи new!relations_name""),6,FALSE)
,
(IF
(
G12296=""юридична особа""
,
VLOO"&amp;"KUP(H12296,IMPORTRANGE(""https://docs.google.com/spreadsheets/d/14Bd19lYaqBhU8_DElYkX7l4wRkHqqCUFNJY4AfY3kHU/edit?usp=sharing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295" s="7" t="s">
        <v>11</v>
      </c>
    </row>
    <row r="12296" spans="1:10" ht="13.2">
      <c r="A12296" s="7">
        <v>12295</v>
      </c>
      <c r="B12296" s="7">
        <v>1</v>
      </c>
      <c r="C12296" s="7" t="s">
        <v>10</v>
      </c>
      <c r="D12296" s="7">
        <v>18021</v>
      </c>
      <c r="E12296" s="7" t="s">
        <v>11</v>
      </c>
      <c r="F12296" s="8" t="str">
        <f ca="1">IFERROR(__xludf.DUMMYFUNCTION("IF
(
C12297=""фізична особа""
,
VLOOKUP(D12297,IMPORTRANGE(""https://docs.google.com/spreadsheets/d/14Bd19lYaqBhU8_DElYkX7l4wRkHqqCUFNJY4AfY3kHU/edit?usp=sharing  #gid=0"",""фіз особи new!relations_name""),6,FALSE)
,
(IF
(
C12297=""юридична особа""
,
VLOO"&amp;"KUP(D12297,IMPORTRANGE(""https://docs.google.com/spreadsheets/d/14Bd19lYaqBhU8_DElYkX7l4wRkHqqCUFNJY4AfY3kHU/edit?usp=sharing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296" s="7" t="s">
        <v>10</v>
      </c>
      <c r="H12296" s="7">
        <v>2513</v>
      </c>
      <c r="I12296" s="8" t="str">
        <f ca="1">IFERROR(__xludf.DUMMYFUNCTION("IF
(
G12297=""фізична особа""
,
VLOOKUP(H12297,IMPORTRANGE(""https://docs.google.com/spreadsheets/d/14Bd19lYaqBhU8_DElYkX7l4wRkHqqCUFNJY4AfY3kHU/edit?usp=sharing  #gid=0"",""фіз особи new!relations_name""),6,FALSE)
,
(IF
(
G12297=""юридична особа""
,
VLOO"&amp;"KUP(H12297,IMPORTRANGE(""https://docs.google.com/spreadsheets/d/14Bd19lYaqBhU8_DElYkX7l4wRkHqqCUFNJY4AfY3kHU/edit?usp=sharing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296" s="7" t="s">
        <v>11</v>
      </c>
    </row>
    <row r="12297" spans="1:10" ht="13.2">
      <c r="A12297" s="7">
        <v>12296</v>
      </c>
      <c r="B12297" s="7">
        <v>1</v>
      </c>
      <c r="C12297" s="7" t="s">
        <v>10</v>
      </c>
      <c r="D12297" s="7">
        <v>18021</v>
      </c>
      <c r="E12297" s="7" t="s">
        <v>11</v>
      </c>
      <c r="F12297" s="8" t="str">
        <f ca="1">IFERROR(__xludf.DUMMYFUNCTION("IF
(
C12298=""фізична особа""
,
VLOOKUP(D12298,IMPORTRANGE(""https://docs.google.com/spreadsheets/d/14Bd19lYaqBhU8_DElYkX7l4wRkHqqCUFNJY4AfY3kHU/edit?usp=sharing  #gid=0"",""фіз особи new!relations_name""),6,FALSE)
,
(IF
(
C12298=""юридична особа""
,
VLOO"&amp;"KUP(D12298,IMPORTRANGE(""https://docs.google.com/spreadsheets/d/14Bd19lYaqBhU8_DElYkX7l4wRkHqqCUFNJY4AfY3kHU/edit?usp=sharing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297" s="7" t="s">
        <v>10</v>
      </c>
      <c r="H12297" s="7">
        <v>16152</v>
      </c>
      <c r="I12297" s="8" t="str">
        <f ca="1">IFERROR(__xludf.DUMMYFUNCTION("IF
(
G12298=""фізична особа""
,
VLOOKUP(H12298,IMPORTRANGE(""https://docs.google.com/spreadsheets/d/14Bd19lYaqBhU8_DElYkX7l4wRkHqqCUFNJY4AfY3kHU/edit?usp=sharing  #gid=0"",""фіз особи new!relations_name""),6,FALSE)
,
(IF
(
G12298=""юридична особа""
,
VLOO"&amp;"KUP(H12298,IMPORTRANGE(""https://docs.google.com/spreadsheets/d/14Bd19lYaqBhU8_DElYkX7l4wRkHqqCUFNJY4AfY3kHU/edit?usp=sharing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297" s="7" t="s">
        <v>11</v>
      </c>
    </row>
    <row r="12298" spans="1:10" ht="13.2">
      <c r="A12298" s="7">
        <v>12297</v>
      </c>
      <c r="B12298" s="7">
        <v>1</v>
      </c>
      <c r="C12298" s="7" t="s">
        <v>10</v>
      </c>
      <c r="D12298" s="7">
        <v>18021</v>
      </c>
      <c r="E12298" s="7" t="s">
        <v>11</v>
      </c>
      <c r="F12298" s="8" t="str">
        <f ca="1">IFERROR(__xludf.DUMMYFUNCTION("IF
(
C12299=""фізична особа""
,
VLOOKUP(D12299,IMPORTRANGE(""https://docs.google.com/spreadsheets/d/14Bd19lYaqBhU8_DElYkX7l4wRkHqqCUFNJY4AfY3kHU/edit?usp=sharing  #gid=0"",""фіз особи new!relations_name""),6,FALSE)
,
(IF
(
C12299=""юридична особа""
,
VLOO"&amp;"KUP(D12299,IMPORTRANGE(""https://docs.google.com/spreadsheets/d/14Bd19lYaqBhU8_DElYkX7l4wRkHqqCUFNJY4AfY3kHU/edit?usp=sharing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298" s="7" t="s">
        <v>10</v>
      </c>
      <c r="H12298" s="7">
        <v>18018</v>
      </c>
      <c r="I12298" s="8" t="str">
        <f ca="1">IFERROR(__xludf.DUMMYFUNCTION("IF
(
G12299=""фізична особа""
,
VLOOKUP(H12299,IMPORTRANGE(""https://docs.google.com/spreadsheets/d/14Bd19lYaqBhU8_DElYkX7l4wRkHqqCUFNJY4AfY3kHU/edit?usp=sharing  #gid=0"",""фіз особи new!relations_name""),6,FALSE)
,
(IF
(
G12299=""юридична особа""
,
VLOO"&amp;"KUP(H12299,IMPORTRANGE(""https://docs.google.com/spreadsheets/d/14Bd19lYaqBhU8_DElYkX7l4wRkHqqCUFNJY4AfY3kHU/edit?usp=sharing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298" s="7" t="s">
        <v>11</v>
      </c>
    </row>
    <row r="12299" spans="1:10" ht="13.2">
      <c r="A12299" s="7">
        <v>12298</v>
      </c>
      <c r="B12299" s="7">
        <v>1</v>
      </c>
      <c r="C12299" s="7" t="s">
        <v>10</v>
      </c>
      <c r="D12299" s="7">
        <v>18021</v>
      </c>
      <c r="E12299" s="7" t="s">
        <v>11</v>
      </c>
      <c r="F12299" s="8" t="str">
        <f ca="1">IFERROR(__xludf.DUMMYFUNCTION("IF
(
C12300=""фізична особа""
,
VLOOKUP(D12300,IMPORTRANGE(""https://docs.google.com/spreadsheets/d/14Bd19lYaqBhU8_DElYkX7l4wRkHqqCUFNJY4AfY3kHU/edit?usp=sharing  #gid=0"",""фіз особи new!relations_name""),6,FALSE)
,
(IF
(
C12300=""юридична особа""
,
VLOO"&amp;"KUP(D12300,IMPORTRANGE(""https://docs.google.com/spreadsheets/d/14Bd19lYaqBhU8_DElYkX7l4wRkHqqCUFNJY4AfY3kHU/edit?usp=sharing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299" s="7" t="s">
        <v>10</v>
      </c>
      <c r="H12299" s="7">
        <v>18019</v>
      </c>
      <c r="I12299" s="8" t="str">
        <f ca="1">IFERROR(__xludf.DUMMYFUNCTION("IF
(
G12300=""фізична особа""
,
VLOOKUP(H12300,IMPORTRANGE(""https://docs.google.com/spreadsheets/d/14Bd19lYaqBhU8_DElYkX7l4wRkHqqCUFNJY4AfY3kHU/edit?usp=sharing  #gid=0"",""фіз особи new!relations_name""),6,FALSE)
,
(IF
(
G12300=""юридична особа""
,
VLOO"&amp;"KUP(H12300,IMPORTRANGE(""https://docs.google.com/spreadsheets/d/14Bd19lYaqBhU8_DElYkX7l4wRkHqqCUFNJY4AfY3kHU/edit?usp=sharing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299" s="7" t="s">
        <v>11</v>
      </c>
    </row>
    <row r="12300" spans="1:10" ht="13.2">
      <c r="A12300" s="7">
        <v>12299</v>
      </c>
      <c r="B12300" s="7">
        <v>1</v>
      </c>
      <c r="C12300" s="7" t="s">
        <v>10</v>
      </c>
      <c r="D12300" s="7">
        <v>18021</v>
      </c>
      <c r="E12300" s="7" t="s">
        <v>11</v>
      </c>
      <c r="F12300" s="8" t="str">
        <f ca="1">IFERROR(__xludf.DUMMYFUNCTION("IF
(
C12301=""фізична особа""
,
VLOOKUP(D12301,IMPORTRANGE(""https://docs.google.com/spreadsheets/d/14Bd19lYaqBhU8_DElYkX7l4wRkHqqCUFNJY4AfY3kHU/edit?usp=sharing  #gid=0"",""фіз особи new!relations_name""),6,FALSE)
,
(IF
(
C12301=""юридична особа""
,
VLOO"&amp;"KUP(D12301,IMPORTRANGE(""https://docs.google.com/spreadsheets/d/14Bd19lYaqBhU8_DElYkX7l4wRkHqqCUFNJY4AfY3kHU/edit?usp=sharing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300" s="7" t="s">
        <v>10</v>
      </c>
      <c r="H12300" s="7">
        <v>18020</v>
      </c>
      <c r="I12300" s="8" t="str">
        <f ca="1">IFERROR(__xludf.DUMMYFUNCTION("IF
(
G12301=""фізична особа""
,
VLOOKUP(H12301,IMPORTRANGE(""https://docs.google.com/spreadsheets/d/14Bd19lYaqBhU8_DElYkX7l4wRkHqqCUFNJY4AfY3kHU/edit?usp=sharing  #gid=0"",""фіз особи new!relations_name""),6,FALSE)
,
(IF
(
G12301=""юридична особа""
,
VLOO"&amp;"KUP(H12301,IMPORTRANGE(""https://docs.google.com/spreadsheets/d/14Bd19lYaqBhU8_DElYkX7l4wRkHqqCUFNJY4AfY3kHU/edit?usp=sharing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300" s="7" t="s">
        <v>11</v>
      </c>
    </row>
    <row r="12301" spans="1:10" ht="13.2">
      <c r="A12301" s="7">
        <v>12300</v>
      </c>
      <c r="B12301" s="7">
        <v>1</v>
      </c>
      <c r="C12301" s="7" t="s">
        <v>10</v>
      </c>
      <c r="D12301" s="7">
        <v>18021</v>
      </c>
      <c r="E12301" s="7" t="s">
        <v>11</v>
      </c>
      <c r="F12301" s="8" t="str">
        <f ca="1">IFERROR(__xludf.DUMMYFUNCTION("IF
(
C12302=""фізична особа""
,
VLOOKUP(D12302,IMPORTRANGE(""https://docs.google.com/spreadsheets/d/14Bd19lYaqBhU8_DElYkX7l4wRkHqqCUFNJY4AfY3kHU/edit?usp=sharing  #gid=0"",""фіз особи new!relations_name""),6,FALSE)
,
(IF
(
C12302=""юридична особа""
,
VLOO"&amp;"KUP(D12302,IMPORTRANGE(""https://docs.google.com/spreadsheets/d/14Bd19lYaqBhU8_DElYkX7l4wRkHqqCUFNJY4AfY3kHU/edit?usp=sharing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301" s="7" t="s">
        <v>10</v>
      </c>
      <c r="H12301" s="7">
        <v>16024</v>
      </c>
      <c r="I12301" s="8" t="str">
        <f ca="1">IFERROR(__xludf.DUMMYFUNCTION("IF
(
G12302=""фізична особа""
,
VLOOKUP(H12302,IMPORTRANGE(""https://docs.google.com/spreadsheets/d/14Bd19lYaqBhU8_DElYkX7l4wRkHqqCUFNJY4AfY3kHU/edit?usp=sharing  #gid=0"",""фіз особи new!relations_name""),6,FALSE)
,
(IF
(
G12302=""юридична особа""
,
VLOO"&amp;"KUP(H12302,IMPORTRANGE(""https://docs.google.com/spreadsheets/d/14Bd19lYaqBhU8_DElYkX7l4wRkHqqCUFNJY4AfY3kHU/edit?usp=sharing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301" s="7" t="s">
        <v>11</v>
      </c>
    </row>
    <row r="12302" spans="1:10" ht="13.2">
      <c r="A12302" s="7">
        <v>12301</v>
      </c>
      <c r="B12302" s="7">
        <v>1</v>
      </c>
      <c r="C12302" s="7" t="s">
        <v>10</v>
      </c>
      <c r="D12302" s="7">
        <v>18021</v>
      </c>
      <c r="E12302" s="7" t="s">
        <v>11</v>
      </c>
      <c r="F12302" s="8" t="str">
        <f ca="1">IFERROR(__xludf.DUMMYFUNCTION("IF
(
C12303=""фізична особа""
,
VLOOKUP(D12303,IMPORTRANGE(""https://docs.google.com/spreadsheets/d/14Bd19lYaqBhU8_DElYkX7l4wRkHqqCUFNJY4AfY3kHU/edit?usp=sharing  #gid=0"",""фіз особи new!relations_name""),6,FALSE)
,
(IF
(
C12303=""юридична особа""
,
VLOO"&amp;"KUP(D12303,IMPORTRANGE(""https://docs.google.com/spreadsheets/d/14Bd19lYaqBhU8_DElYkX7l4wRkHqqCUFNJY4AfY3kHU/edit?usp=sharing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302" s="7" t="s">
        <v>10</v>
      </c>
      <c r="H12302" s="7">
        <v>1842</v>
      </c>
      <c r="I12302" s="8" t="str">
        <f ca="1">IFERROR(__xludf.DUMMYFUNCTION("IF
(
G12303=""фізична особа""
,
VLOOKUP(H12303,IMPORTRANGE(""https://docs.google.com/spreadsheets/d/14Bd19lYaqBhU8_DElYkX7l4wRkHqqCUFNJY4AfY3kHU/edit?usp=sharing  #gid=0"",""фіз особи new!relations_name""),6,FALSE)
,
(IF
(
G12303=""юридична особа""
,
VLOO"&amp;"KUP(H12303,IMPORTRANGE(""https://docs.google.com/spreadsheets/d/14Bd19lYaqBhU8_DElYkX7l4wRkHqqCUFNJY4AfY3kHU/edit?usp=sharing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302" s="7" t="s">
        <v>11</v>
      </c>
    </row>
    <row r="12303" spans="1:10" ht="13.2">
      <c r="A12303" s="7">
        <v>12302</v>
      </c>
      <c r="B12303" s="7">
        <v>1</v>
      </c>
      <c r="C12303" s="7" t="s">
        <v>10</v>
      </c>
      <c r="D12303" s="7">
        <v>18021</v>
      </c>
      <c r="E12303" s="7" t="s">
        <v>11</v>
      </c>
      <c r="F12303" s="8" t="str">
        <f ca="1">IFERROR(__xludf.DUMMYFUNCTION("IF
(
C12304=""фізична особа""
,
VLOOKUP(D12304,IMPORTRANGE(""https://docs.google.com/spreadsheets/d/14Bd19lYaqBhU8_DElYkX7l4wRkHqqCUFNJY4AfY3kHU/edit?usp=sharing  #gid=0"",""фіз особи new!relations_name""),6,FALSE)
,
(IF
(
C12304=""юридична особа""
,
VLOO"&amp;"KUP(D12304,IMPORTRANGE(""https://docs.google.com/spreadsheets/d/14Bd19lYaqBhU8_DElYkX7l4wRkHqqCUFNJY4AfY3kHU/edit?usp=sharing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303" s="7" t="s">
        <v>10</v>
      </c>
      <c r="H12303" s="7">
        <v>18023</v>
      </c>
      <c r="I12303" s="8" t="str">
        <f ca="1">IFERROR(__xludf.DUMMYFUNCTION("IF
(
G12304=""фізична особа""
,
VLOOKUP(H12304,IMPORTRANGE(""https://docs.google.com/spreadsheets/d/14Bd19lYaqBhU8_DElYkX7l4wRkHqqCUFNJY4AfY3kHU/edit?usp=sharing  #gid=0"",""фіз особи new!relations_name""),6,FALSE)
,
(IF
(
G12304=""юридична особа""
,
VLOO"&amp;"KUP(H12304,IMPORTRANGE(""https://docs.google.com/spreadsheets/d/14Bd19lYaqBhU8_DElYkX7l4wRkHqqCUFNJY4AfY3kHU/edit?usp=sharing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12303" s="7" t="s">
        <v>11</v>
      </c>
    </row>
    <row r="12304" spans="1:10" ht="13.2">
      <c r="A12304" s="7">
        <v>12303</v>
      </c>
      <c r="B12304" s="7">
        <v>1</v>
      </c>
      <c r="C12304" s="7" t="s">
        <v>10</v>
      </c>
      <c r="D12304" s="7">
        <v>18021</v>
      </c>
      <c r="E12304" s="7" t="s">
        <v>11</v>
      </c>
      <c r="F12304" s="8" t="str">
        <f ca="1">IFERROR(__xludf.DUMMYFUNCTION("IF
(
C12305=""фізична особа""
,
VLOOKUP(D12305,IMPORTRANGE(""https://docs.google.com/spreadsheets/d/14Bd19lYaqBhU8_DElYkX7l4wRkHqqCUFNJY4AfY3kHU/edit?usp=sharing  #gid=0"",""фіз особи new!relations_name""),6,FALSE)
,
(IF
(
C12305=""юридична особа""
,
VLOO"&amp;"KUP(D12305,IMPORTRANGE(""https://docs.google.com/spreadsheets/d/14Bd19lYaqBhU8_DElYkX7l4wRkHqqCUFNJY4AfY3kHU/edit?usp=sharing  #gid=0"",""фіз особи new!relations_name_uo""),7,FALSE)
,
)
))"),"ШТАЙНЕР Рене Фредерік")</f>
        <v>ШТАЙНЕР Рене Фредерік</v>
      </c>
      <c r="G12304" s="7" t="s">
        <v>10</v>
      </c>
      <c r="H12304" s="7">
        <v>18024</v>
      </c>
      <c r="I12304" s="8" t="str">
        <f ca="1">IFERROR(__xludf.DUMMYFUNCTION("IF
(
G12305=""фізична особа""
,
VLOOKUP(H12305,IMPORTRANGE(""https://docs.google.com/spreadsheets/d/14Bd19lYaqBhU8_DElYkX7l4wRkHqqCUFNJY4AfY3kHU/edit?usp=sharing  #gid=0"",""фіз особи new!relations_name""),6,FALSE)
,
(IF
(
G12305=""юридична особа""
,
VLOO"&amp;"KUP(H12305,IMPORTRANGE(""https://docs.google.com/spreadsheets/d/14Bd19lYaqBhU8_DElYkX7l4wRkHqqCUFNJY4AfY3kHU/edit?usp=sharing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12304" s="7" t="s">
        <v>11</v>
      </c>
    </row>
    <row r="12305" spans="1:10" ht="13.2">
      <c r="A12305" s="7">
        <v>12304</v>
      </c>
      <c r="B12305" s="7">
        <v>1</v>
      </c>
      <c r="C12305" s="7" t="s">
        <v>10</v>
      </c>
      <c r="D12305" s="7">
        <v>18022</v>
      </c>
      <c r="E12305" s="7" t="s">
        <v>11</v>
      </c>
      <c r="F12305" s="8" t="str">
        <f ca="1">IFERROR(__xludf.DUMMYFUNCTION("IF
(
C12306=""фізична особа""
,
VLOOKUP(D12306,IMPORTRANGE(""https://docs.google.com/spreadsheets/d/14Bd19lYaqBhU8_DElYkX7l4wRkHqqCUFNJY4AfY3kHU/edit?usp=sharing  #gid=0"",""фіз особи new!relations_name""),6,FALSE)
,
(IF
(
C12306=""юридична особа""
,
VLOO"&amp;"KUP(D12306,IMPORTRANGE(""https://docs.google.com/spreadsheets/d/14Bd19lYaqBhU8_DElYkX7l4wRkHqqCUFNJY4AfY3kHU/edit?usp=sharing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05" s="7" t="s">
        <v>10</v>
      </c>
      <c r="H12305" s="7">
        <v>16156</v>
      </c>
      <c r="I12305" s="8" t="str">
        <f ca="1">IFERROR(__xludf.DUMMYFUNCTION("IF
(
G12306=""фізична особа""
,
VLOOKUP(H12306,IMPORTRANGE(""https://docs.google.com/spreadsheets/d/14Bd19lYaqBhU8_DElYkX7l4wRkHqqCUFNJY4AfY3kHU/edit?usp=sharing  #gid=0"",""фіз особи new!relations_name""),6,FALSE)
,
(IF
(
G12306=""юридична особа""
,
VLOO"&amp;"KUP(H12306,IMPORTRANGE(""https://docs.google.com/spreadsheets/d/14Bd19lYaqBhU8_DElYkX7l4wRkHqqCUFNJY4AfY3kHU/edit?usp=sharing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305" s="7" t="s">
        <v>11</v>
      </c>
    </row>
    <row r="12306" spans="1:10" ht="13.2">
      <c r="A12306" s="7">
        <v>12305</v>
      </c>
      <c r="B12306" s="7">
        <v>1</v>
      </c>
      <c r="C12306" s="7" t="s">
        <v>10</v>
      </c>
      <c r="D12306" s="7">
        <v>18022</v>
      </c>
      <c r="E12306" s="7" t="s">
        <v>11</v>
      </c>
      <c r="F12306" s="8" t="str">
        <f ca="1">IFERROR(__xludf.DUMMYFUNCTION("IF
(
C12307=""фізична особа""
,
VLOOKUP(D12307,IMPORTRANGE(""https://docs.google.com/spreadsheets/d/14Bd19lYaqBhU8_DElYkX7l4wRkHqqCUFNJY4AfY3kHU/edit?usp=sharing  #gid=0"",""фіз особи new!relations_name""),6,FALSE)
,
(IF
(
C12307=""юридична особа""
,
VLOO"&amp;"KUP(D12307,IMPORTRANGE(""https://docs.google.com/spreadsheets/d/14Bd19lYaqBhU8_DElYkX7l4wRkHqqCUFNJY4AfY3kHU/edit?usp=sharing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06" s="7" t="s">
        <v>10</v>
      </c>
      <c r="H12306" s="7">
        <v>2513</v>
      </c>
      <c r="I12306" s="8" t="str">
        <f ca="1">IFERROR(__xludf.DUMMYFUNCTION("IF
(
G12307=""фізична особа""
,
VLOOKUP(H12307,IMPORTRANGE(""https://docs.google.com/spreadsheets/d/14Bd19lYaqBhU8_DElYkX7l4wRkHqqCUFNJY4AfY3kHU/edit?usp=sharing  #gid=0"",""фіз особи new!relations_name""),6,FALSE)
,
(IF
(
G12307=""юридична особа""
,
VLOO"&amp;"KUP(H12307,IMPORTRANGE(""https://docs.google.com/spreadsheets/d/14Bd19lYaqBhU8_DElYkX7l4wRkHqqCUFNJY4AfY3kHU/edit?usp=sharing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306" s="7" t="s">
        <v>11</v>
      </c>
    </row>
    <row r="12307" spans="1:10" ht="13.2">
      <c r="A12307" s="7">
        <v>12306</v>
      </c>
      <c r="B12307" s="7">
        <v>1</v>
      </c>
      <c r="C12307" s="7" t="s">
        <v>10</v>
      </c>
      <c r="D12307" s="7">
        <v>18022</v>
      </c>
      <c r="E12307" s="7" t="s">
        <v>11</v>
      </c>
      <c r="F12307" s="8" t="str">
        <f ca="1">IFERROR(__xludf.DUMMYFUNCTION("IF
(
C12308=""фізична особа""
,
VLOOKUP(D12308,IMPORTRANGE(""https://docs.google.com/spreadsheets/d/14Bd19lYaqBhU8_DElYkX7l4wRkHqqCUFNJY4AfY3kHU/edit?usp=sharing  #gid=0"",""фіз особи new!relations_name""),6,FALSE)
,
(IF
(
C12308=""юридична особа""
,
VLOO"&amp;"KUP(D12308,IMPORTRANGE(""https://docs.google.com/spreadsheets/d/14Bd19lYaqBhU8_DElYkX7l4wRkHqqCUFNJY4AfY3kHU/edit?usp=sharing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07" s="7" t="s">
        <v>10</v>
      </c>
      <c r="H12307" s="7">
        <v>16152</v>
      </c>
      <c r="I12307" s="8" t="str">
        <f ca="1">IFERROR(__xludf.DUMMYFUNCTION("IF
(
G12308=""фізична особа""
,
VLOOKUP(H12308,IMPORTRANGE(""https://docs.google.com/spreadsheets/d/14Bd19lYaqBhU8_DElYkX7l4wRkHqqCUFNJY4AfY3kHU/edit?usp=sharing  #gid=0"",""фіз особи new!relations_name""),6,FALSE)
,
(IF
(
G12308=""юридична особа""
,
VLOO"&amp;"KUP(H12308,IMPORTRANGE(""https://docs.google.com/spreadsheets/d/14Bd19lYaqBhU8_DElYkX7l4wRkHqqCUFNJY4AfY3kHU/edit?usp=sharing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307" s="7" t="s">
        <v>11</v>
      </c>
    </row>
    <row r="12308" spans="1:10" ht="13.2">
      <c r="A12308" s="7">
        <v>12307</v>
      </c>
      <c r="B12308" s="7">
        <v>1</v>
      </c>
      <c r="C12308" s="7" t="s">
        <v>10</v>
      </c>
      <c r="D12308" s="7">
        <v>18022</v>
      </c>
      <c r="E12308" s="7" t="s">
        <v>11</v>
      </c>
      <c r="F12308" s="8" t="str">
        <f ca="1">IFERROR(__xludf.DUMMYFUNCTION("IF
(
C12309=""фізична особа""
,
VLOOKUP(D12309,IMPORTRANGE(""https://docs.google.com/spreadsheets/d/14Bd19lYaqBhU8_DElYkX7l4wRkHqqCUFNJY4AfY3kHU/edit?usp=sharing  #gid=0"",""фіз особи new!relations_name""),6,FALSE)
,
(IF
(
C12309=""юридична особа""
,
VLOO"&amp;"KUP(D12309,IMPORTRANGE(""https://docs.google.com/spreadsheets/d/14Bd19lYaqBhU8_DElYkX7l4wRkHqqCUFNJY4AfY3kHU/edit?usp=sharing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08" s="7" t="s">
        <v>10</v>
      </c>
      <c r="H12308" s="7">
        <v>18018</v>
      </c>
      <c r="I12308" s="8" t="str">
        <f ca="1">IFERROR(__xludf.DUMMYFUNCTION("IF
(
G12309=""фізична особа""
,
VLOOKUP(H12309,IMPORTRANGE(""https://docs.google.com/spreadsheets/d/14Bd19lYaqBhU8_DElYkX7l4wRkHqqCUFNJY4AfY3kHU/edit?usp=sharing  #gid=0"",""фіз особи new!relations_name""),6,FALSE)
,
(IF
(
G12309=""юридична особа""
,
VLOO"&amp;"KUP(H12309,IMPORTRANGE(""https://docs.google.com/spreadsheets/d/14Bd19lYaqBhU8_DElYkX7l4wRkHqqCUFNJY4AfY3kHU/edit?usp=sharing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308" s="7" t="s">
        <v>11</v>
      </c>
    </row>
    <row r="12309" spans="1:10" ht="13.2">
      <c r="A12309" s="7">
        <v>12308</v>
      </c>
      <c r="B12309" s="7">
        <v>1</v>
      </c>
      <c r="C12309" s="7" t="s">
        <v>10</v>
      </c>
      <c r="D12309" s="7">
        <v>18022</v>
      </c>
      <c r="E12309" s="7" t="s">
        <v>11</v>
      </c>
      <c r="F12309" s="8" t="str">
        <f ca="1">IFERROR(__xludf.DUMMYFUNCTION("IF
(
C12310=""фізична особа""
,
VLOOKUP(D12310,IMPORTRANGE(""https://docs.google.com/spreadsheets/d/14Bd19lYaqBhU8_DElYkX7l4wRkHqqCUFNJY4AfY3kHU/edit?usp=sharing  #gid=0"",""фіз особи new!relations_name""),6,FALSE)
,
(IF
(
C12310=""юридична особа""
,
VLOO"&amp;"KUP(D12310,IMPORTRANGE(""https://docs.google.com/spreadsheets/d/14Bd19lYaqBhU8_DElYkX7l4wRkHqqCUFNJY4AfY3kHU/edit?usp=sharing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09" s="7" t="s">
        <v>10</v>
      </c>
      <c r="H12309" s="7">
        <v>18019</v>
      </c>
      <c r="I12309" s="8" t="str">
        <f ca="1">IFERROR(__xludf.DUMMYFUNCTION("IF
(
G12310=""фізична особа""
,
VLOOKUP(H12310,IMPORTRANGE(""https://docs.google.com/spreadsheets/d/14Bd19lYaqBhU8_DElYkX7l4wRkHqqCUFNJY4AfY3kHU/edit?usp=sharing  #gid=0"",""фіз особи new!relations_name""),6,FALSE)
,
(IF
(
G12310=""юридична особа""
,
VLOO"&amp;"KUP(H12310,IMPORTRANGE(""https://docs.google.com/spreadsheets/d/14Bd19lYaqBhU8_DElYkX7l4wRkHqqCUFNJY4AfY3kHU/edit?usp=sharing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309" s="7" t="s">
        <v>11</v>
      </c>
    </row>
    <row r="12310" spans="1:10" ht="13.2">
      <c r="A12310" s="7">
        <v>12309</v>
      </c>
      <c r="B12310" s="7">
        <v>1</v>
      </c>
      <c r="C12310" s="7" t="s">
        <v>10</v>
      </c>
      <c r="D12310" s="7">
        <v>18022</v>
      </c>
      <c r="E12310" s="7" t="s">
        <v>11</v>
      </c>
      <c r="F12310" s="8" t="str">
        <f ca="1">IFERROR(__xludf.DUMMYFUNCTION("IF
(
C12311=""фізична особа""
,
VLOOKUP(D12311,IMPORTRANGE(""https://docs.google.com/spreadsheets/d/14Bd19lYaqBhU8_DElYkX7l4wRkHqqCUFNJY4AfY3kHU/edit?usp=sharing  #gid=0"",""фіз особи new!relations_name""),6,FALSE)
,
(IF
(
C12311=""юридична особа""
,
VLOO"&amp;"KUP(D12311,IMPORTRANGE(""https://docs.google.com/spreadsheets/d/14Bd19lYaqBhU8_DElYkX7l4wRkHqqCUFNJY4AfY3kHU/edit?usp=sharing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10" s="7" t="s">
        <v>10</v>
      </c>
      <c r="H12310" s="7">
        <v>18020</v>
      </c>
      <c r="I12310" s="8" t="str">
        <f ca="1">IFERROR(__xludf.DUMMYFUNCTION("IF
(
G12311=""фізична особа""
,
VLOOKUP(H12311,IMPORTRANGE(""https://docs.google.com/spreadsheets/d/14Bd19lYaqBhU8_DElYkX7l4wRkHqqCUFNJY4AfY3kHU/edit?usp=sharing  #gid=0"",""фіз особи new!relations_name""),6,FALSE)
,
(IF
(
G12311=""юридична особа""
,
VLOO"&amp;"KUP(H12311,IMPORTRANGE(""https://docs.google.com/spreadsheets/d/14Bd19lYaqBhU8_DElYkX7l4wRkHqqCUFNJY4AfY3kHU/edit?usp=sharing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310" s="7" t="s">
        <v>11</v>
      </c>
    </row>
    <row r="12311" spans="1:10" ht="13.2">
      <c r="A12311" s="7">
        <v>12310</v>
      </c>
      <c r="B12311" s="7">
        <v>1</v>
      </c>
      <c r="C12311" s="7" t="s">
        <v>10</v>
      </c>
      <c r="D12311" s="7">
        <v>18022</v>
      </c>
      <c r="E12311" s="7" t="s">
        <v>11</v>
      </c>
      <c r="F12311" s="8" t="str">
        <f ca="1">IFERROR(__xludf.DUMMYFUNCTION("IF
(
C12312=""фізична особа""
,
VLOOKUP(D12312,IMPORTRANGE(""https://docs.google.com/spreadsheets/d/14Bd19lYaqBhU8_DElYkX7l4wRkHqqCUFNJY4AfY3kHU/edit?usp=sharing  #gid=0"",""фіз особи new!relations_name""),6,FALSE)
,
(IF
(
C12312=""юридична особа""
,
VLOO"&amp;"KUP(D12312,IMPORTRANGE(""https://docs.google.com/spreadsheets/d/14Bd19lYaqBhU8_DElYkX7l4wRkHqqCUFNJY4AfY3kHU/edit?usp=sharing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11" s="7" t="s">
        <v>10</v>
      </c>
      <c r="H12311" s="7">
        <v>16024</v>
      </c>
      <c r="I12311" s="8" t="str">
        <f ca="1">IFERROR(__xludf.DUMMYFUNCTION("IF
(
G12312=""фізична особа""
,
VLOOKUP(H12312,IMPORTRANGE(""https://docs.google.com/spreadsheets/d/14Bd19lYaqBhU8_DElYkX7l4wRkHqqCUFNJY4AfY3kHU/edit?usp=sharing  #gid=0"",""фіз особи new!relations_name""),6,FALSE)
,
(IF
(
G12312=""юридична особа""
,
VLOO"&amp;"KUP(H12312,IMPORTRANGE(""https://docs.google.com/spreadsheets/d/14Bd19lYaqBhU8_DElYkX7l4wRkHqqCUFNJY4AfY3kHU/edit?usp=sharing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311" s="7" t="s">
        <v>11</v>
      </c>
    </row>
    <row r="12312" spans="1:10" ht="13.2">
      <c r="A12312" s="7">
        <v>12311</v>
      </c>
      <c r="B12312" s="7">
        <v>1</v>
      </c>
      <c r="C12312" s="7" t="s">
        <v>10</v>
      </c>
      <c r="D12312" s="7">
        <v>18022</v>
      </c>
      <c r="E12312" s="7" t="s">
        <v>11</v>
      </c>
      <c r="F12312" s="8" t="str">
        <f ca="1">IFERROR(__xludf.DUMMYFUNCTION("IF
(
C12313=""фізична особа""
,
VLOOKUP(D12313,IMPORTRANGE(""https://docs.google.com/spreadsheets/d/14Bd19lYaqBhU8_DElYkX7l4wRkHqqCUFNJY4AfY3kHU/edit?usp=sharing  #gid=0"",""фіз особи new!relations_name""),6,FALSE)
,
(IF
(
C12313=""юридична особа""
,
VLOO"&amp;"KUP(D12313,IMPORTRANGE(""https://docs.google.com/spreadsheets/d/14Bd19lYaqBhU8_DElYkX7l4wRkHqqCUFNJY4AfY3kHU/edit?usp=sharing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12" s="7" t="s">
        <v>10</v>
      </c>
      <c r="H12312" s="7">
        <v>1842</v>
      </c>
      <c r="I12312" s="8" t="str">
        <f ca="1">IFERROR(__xludf.DUMMYFUNCTION("IF
(
G12313=""фізична особа""
,
VLOOKUP(H12313,IMPORTRANGE(""https://docs.google.com/spreadsheets/d/14Bd19lYaqBhU8_DElYkX7l4wRkHqqCUFNJY4AfY3kHU/edit?usp=sharing  #gid=0"",""фіз особи new!relations_name""),6,FALSE)
,
(IF
(
G12313=""юридична особа""
,
VLOO"&amp;"KUP(H12313,IMPORTRANGE(""https://docs.google.com/spreadsheets/d/14Bd19lYaqBhU8_DElYkX7l4wRkHqqCUFNJY4AfY3kHU/edit?usp=sharing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312" s="7" t="s">
        <v>11</v>
      </c>
    </row>
    <row r="12313" spans="1:10" ht="13.2">
      <c r="A12313" s="7">
        <v>12312</v>
      </c>
      <c r="B12313" s="7">
        <v>1</v>
      </c>
      <c r="C12313" s="7" t="s">
        <v>10</v>
      </c>
      <c r="D12313" s="7">
        <v>18022</v>
      </c>
      <c r="E12313" s="7" t="s">
        <v>11</v>
      </c>
      <c r="F12313" s="8" t="str">
        <f ca="1">IFERROR(__xludf.DUMMYFUNCTION("IF
(
C12314=""фізична особа""
,
VLOOKUP(D12314,IMPORTRANGE(""https://docs.google.com/spreadsheets/d/14Bd19lYaqBhU8_DElYkX7l4wRkHqqCUFNJY4AfY3kHU/edit?usp=sharing  #gid=0"",""фіз особи new!relations_name""),6,FALSE)
,
(IF
(
C12314=""юридична особа""
,
VLOO"&amp;"KUP(D12314,IMPORTRANGE(""https://docs.google.com/spreadsheets/d/14Bd19lYaqBhU8_DElYkX7l4wRkHqqCUFNJY4AfY3kHU/edit?usp=sharing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13" s="7" t="s">
        <v>10</v>
      </c>
      <c r="H12313" s="7">
        <v>18023</v>
      </c>
      <c r="I12313" s="8" t="str">
        <f ca="1">IFERROR(__xludf.DUMMYFUNCTION("IF
(
G12314=""фізична особа""
,
VLOOKUP(H12314,IMPORTRANGE(""https://docs.google.com/spreadsheets/d/14Bd19lYaqBhU8_DElYkX7l4wRkHqqCUFNJY4AfY3kHU/edit?usp=sharing  #gid=0"",""фіз особи new!relations_name""),6,FALSE)
,
(IF
(
G12314=""юридична особа""
,
VLOO"&amp;"KUP(H12314,IMPORTRANGE(""https://docs.google.com/spreadsheets/d/14Bd19lYaqBhU8_DElYkX7l4wRkHqqCUFNJY4AfY3kHU/edit?usp=sharing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12313" s="7" t="s">
        <v>11</v>
      </c>
    </row>
    <row r="12314" spans="1:10" ht="13.2">
      <c r="A12314" s="7">
        <v>12313</v>
      </c>
      <c r="B12314" s="7">
        <v>1</v>
      </c>
      <c r="C12314" s="7" t="s">
        <v>10</v>
      </c>
      <c r="D12314" s="7">
        <v>18022</v>
      </c>
      <c r="E12314" s="7" t="s">
        <v>11</v>
      </c>
      <c r="F12314" s="8" t="str">
        <f ca="1">IFERROR(__xludf.DUMMYFUNCTION("IF
(
C12315=""фізична особа""
,
VLOOKUP(D12315,IMPORTRANGE(""https://docs.google.com/spreadsheets/d/14Bd19lYaqBhU8_DElYkX7l4wRkHqqCUFNJY4AfY3kHU/edit?usp=sharing  #gid=0"",""фіз особи new!relations_name""),6,FALSE)
,
(IF
(
C12315=""юридична особа""
,
VLOO"&amp;"KUP(D12315,IMPORTRANGE(""https://docs.google.com/spreadsheets/d/14Bd19lYaqBhU8_DElYkX7l4wRkHqqCUFNJY4AfY3kHU/edit?usp=sharing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G12314" s="7" t="s">
        <v>10</v>
      </c>
      <c r="H12314" s="7">
        <v>18024</v>
      </c>
      <c r="I12314" s="8" t="str">
        <f ca="1">IFERROR(__xludf.DUMMYFUNCTION("IF
(
G12315=""фізична особа""
,
VLOOKUP(H12315,IMPORTRANGE(""https://docs.google.com/spreadsheets/d/14Bd19lYaqBhU8_DElYkX7l4wRkHqqCUFNJY4AfY3kHU/edit?usp=sharing  #gid=0"",""фіз особи new!relations_name""),6,FALSE)
,
(IF
(
G12315=""юридична особа""
,
VLOO"&amp;"KUP(H12315,IMPORTRANGE(""https://docs.google.com/spreadsheets/d/14Bd19lYaqBhU8_DElYkX7l4wRkHqqCUFNJY4AfY3kHU/edit?usp=sharing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12314" s="7" t="s">
        <v>11</v>
      </c>
    </row>
    <row r="12315" spans="1:10" ht="13.2">
      <c r="A12315" s="7">
        <v>12314</v>
      </c>
      <c r="B12315" s="7">
        <v>1</v>
      </c>
      <c r="C12315" s="7" t="s">
        <v>10</v>
      </c>
      <c r="D12315" s="7">
        <v>18023</v>
      </c>
      <c r="E12315" s="7" t="s">
        <v>11</v>
      </c>
      <c r="F12315" s="8" t="str">
        <f ca="1">IFERROR(__xludf.DUMMYFUNCTION("IF
(
C12316=""фізична особа""
,
VLOOKUP(D12316,IMPORTRANGE(""https://docs.google.com/spreadsheets/d/14Bd19lYaqBhU8_DElYkX7l4wRkHqqCUFNJY4AfY3kHU/edit?usp=sharing  #gid=0"",""фіз особи new!relations_name""),6,FALSE)
,
(IF
(
C12316=""юридична особа""
,
VLOO"&amp;"KUP(D12316,IMPORTRANGE(""https://docs.google.com/spreadsheets/d/14Bd19lYaqBhU8_DElYkX7l4wRkHqqCUFNJY4AfY3kHU/edit?usp=sharing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15" s="7" t="s">
        <v>10</v>
      </c>
      <c r="H12315" s="7">
        <v>16156</v>
      </c>
      <c r="I12315" s="8" t="str">
        <f ca="1">IFERROR(__xludf.DUMMYFUNCTION("IF
(
G12316=""фізична особа""
,
VLOOKUP(H12316,IMPORTRANGE(""https://docs.google.com/spreadsheets/d/14Bd19lYaqBhU8_DElYkX7l4wRkHqqCUFNJY4AfY3kHU/edit?usp=sharing  #gid=0"",""фіз особи new!relations_name""),6,FALSE)
,
(IF
(
G12316=""юридична особа""
,
VLOO"&amp;"KUP(H12316,IMPORTRANGE(""https://docs.google.com/spreadsheets/d/14Bd19lYaqBhU8_DElYkX7l4wRkHqqCUFNJY4AfY3kHU/edit?usp=sharing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315" s="7" t="s">
        <v>11</v>
      </c>
    </row>
    <row r="12316" spans="1:10" ht="13.2">
      <c r="A12316" s="7">
        <v>12315</v>
      </c>
      <c r="B12316" s="7">
        <v>1</v>
      </c>
      <c r="C12316" s="7" t="s">
        <v>10</v>
      </c>
      <c r="D12316" s="7">
        <v>18023</v>
      </c>
      <c r="E12316" s="7" t="s">
        <v>11</v>
      </c>
      <c r="F12316" s="8" t="str">
        <f ca="1">IFERROR(__xludf.DUMMYFUNCTION("IF
(
C12317=""фізична особа""
,
VLOOKUP(D12317,IMPORTRANGE(""https://docs.google.com/spreadsheets/d/14Bd19lYaqBhU8_DElYkX7l4wRkHqqCUFNJY4AfY3kHU/edit?usp=sharing  #gid=0"",""фіз особи new!relations_name""),6,FALSE)
,
(IF
(
C12317=""юридична особа""
,
VLOO"&amp;"KUP(D12317,IMPORTRANGE(""https://docs.google.com/spreadsheets/d/14Bd19lYaqBhU8_DElYkX7l4wRkHqqCUFNJY4AfY3kHU/edit?usp=sharing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16" s="7" t="s">
        <v>10</v>
      </c>
      <c r="H12316" s="7">
        <v>2513</v>
      </c>
      <c r="I12316" s="8" t="str">
        <f ca="1">IFERROR(__xludf.DUMMYFUNCTION("IF
(
G12317=""фізична особа""
,
VLOOKUP(H12317,IMPORTRANGE(""https://docs.google.com/spreadsheets/d/14Bd19lYaqBhU8_DElYkX7l4wRkHqqCUFNJY4AfY3kHU/edit?usp=sharing  #gid=0"",""фіз особи new!relations_name""),6,FALSE)
,
(IF
(
G12317=""юридична особа""
,
VLOO"&amp;"KUP(H12317,IMPORTRANGE(""https://docs.google.com/spreadsheets/d/14Bd19lYaqBhU8_DElYkX7l4wRkHqqCUFNJY4AfY3kHU/edit?usp=sharing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316" s="7" t="s">
        <v>11</v>
      </c>
    </row>
    <row r="12317" spans="1:10" ht="13.2">
      <c r="A12317" s="7">
        <v>12316</v>
      </c>
      <c r="B12317" s="7">
        <v>1</v>
      </c>
      <c r="C12317" s="7" t="s">
        <v>10</v>
      </c>
      <c r="D12317" s="7">
        <v>18023</v>
      </c>
      <c r="E12317" s="7" t="s">
        <v>11</v>
      </c>
      <c r="F12317" s="8" t="str">
        <f ca="1">IFERROR(__xludf.DUMMYFUNCTION("IF
(
C12318=""фізична особа""
,
VLOOKUP(D12318,IMPORTRANGE(""https://docs.google.com/spreadsheets/d/14Bd19lYaqBhU8_DElYkX7l4wRkHqqCUFNJY4AfY3kHU/edit?usp=sharing  #gid=0"",""фіз особи new!relations_name""),6,FALSE)
,
(IF
(
C12318=""юридична особа""
,
VLOO"&amp;"KUP(D12318,IMPORTRANGE(""https://docs.google.com/spreadsheets/d/14Bd19lYaqBhU8_DElYkX7l4wRkHqqCUFNJY4AfY3kHU/edit?usp=sharing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17" s="7" t="s">
        <v>10</v>
      </c>
      <c r="H12317" s="7">
        <v>16152</v>
      </c>
      <c r="I12317" s="8" t="str">
        <f ca="1">IFERROR(__xludf.DUMMYFUNCTION("IF
(
G12318=""фізична особа""
,
VLOOKUP(H12318,IMPORTRANGE(""https://docs.google.com/spreadsheets/d/14Bd19lYaqBhU8_DElYkX7l4wRkHqqCUFNJY4AfY3kHU/edit?usp=sharing  #gid=0"",""фіз особи new!relations_name""),6,FALSE)
,
(IF
(
G12318=""юридична особа""
,
VLOO"&amp;"KUP(H12318,IMPORTRANGE(""https://docs.google.com/spreadsheets/d/14Bd19lYaqBhU8_DElYkX7l4wRkHqqCUFNJY4AfY3kHU/edit?usp=sharing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317" s="7" t="s">
        <v>11</v>
      </c>
    </row>
    <row r="12318" spans="1:10" ht="13.2">
      <c r="A12318" s="7">
        <v>12317</v>
      </c>
      <c r="B12318" s="7">
        <v>1</v>
      </c>
      <c r="C12318" s="7" t="s">
        <v>10</v>
      </c>
      <c r="D12318" s="7">
        <v>18023</v>
      </c>
      <c r="E12318" s="7" t="s">
        <v>11</v>
      </c>
      <c r="F12318" s="8" t="str">
        <f ca="1">IFERROR(__xludf.DUMMYFUNCTION("IF
(
C12319=""фізична особа""
,
VLOOKUP(D12319,IMPORTRANGE(""https://docs.google.com/spreadsheets/d/14Bd19lYaqBhU8_DElYkX7l4wRkHqqCUFNJY4AfY3kHU/edit?usp=sharing  #gid=0"",""фіз особи new!relations_name""),6,FALSE)
,
(IF
(
C12319=""юридична особа""
,
VLOO"&amp;"KUP(D12319,IMPORTRANGE(""https://docs.google.com/spreadsheets/d/14Bd19lYaqBhU8_DElYkX7l4wRkHqqCUFNJY4AfY3kHU/edit?usp=sharing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18" s="7" t="s">
        <v>10</v>
      </c>
      <c r="H12318" s="7">
        <v>18018</v>
      </c>
      <c r="I12318" s="8" t="str">
        <f ca="1">IFERROR(__xludf.DUMMYFUNCTION("IF
(
G12319=""фізична особа""
,
VLOOKUP(H12319,IMPORTRANGE(""https://docs.google.com/spreadsheets/d/14Bd19lYaqBhU8_DElYkX7l4wRkHqqCUFNJY4AfY3kHU/edit?usp=sharing  #gid=0"",""фіз особи new!relations_name""),6,FALSE)
,
(IF
(
G12319=""юридична особа""
,
VLOO"&amp;"KUP(H12319,IMPORTRANGE(""https://docs.google.com/spreadsheets/d/14Bd19lYaqBhU8_DElYkX7l4wRkHqqCUFNJY4AfY3kHU/edit?usp=sharing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318" s="7" t="s">
        <v>11</v>
      </c>
    </row>
    <row r="12319" spans="1:10" ht="13.2">
      <c r="A12319" s="7">
        <v>12318</v>
      </c>
      <c r="B12319" s="7">
        <v>1</v>
      </c>
      <c r="C12319" s="7" t="s">
        <v>10</v>
      </c>
      <c r="D12319" s="7">
        <v>18023</v>
      </c>
      <c r="E12319" s="7" t="s">
        <v>11</v>
      </c>
      <c r="F12319" s="8" t="str">
        <f ca="1">IFERROR(__xludf.DUMMYFUNCTION("IF
(
C12320=""фізична особа""
,
VLOOKUP(D12320,IMPORTRANGE(""https://docs.google.com/spreadsheets/d/14Bd19lYaqBhU8_DElYkX7l4wRkHqqCUFNJY4AfY3kHU/edit?usp=sharing  #gid=0"",""фіз особи new!relations_name""),6,FALSE)
,
(IF
(
C12320=""юридична особа""
,
VLOO"&amp;"KUP(D12320,IMPORTRANGE(""https://docs.google.com/spreadsheets/d/14Bd19lYaqBhU8_DElYkX7l4wRkHqqCUFNJY4AfY3kHU/edit?usp=sharing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19" s="7" t="s">
        <v>10</v>
      </c>
      <c r="H12319" s="7">
        <v>18019</v>
      </c>
      <c r="I12319" s="8" t="str">
        <f ca="1">IFERROR(__xludf.DUMMYFUNCTION("IF
(
G12320=""фізична особа""
,
VLOOKUP(H12320,IMPORTRANGE(""https://docs.google.com/spreadsheets/d/14Bd19lYaqBhU8_DElYkX7l4wRkHqqCUFNJY4AfY3kHU/edit?usp=sharing  #gid=0"",""фіз особи new!relations_name""),6,FALSE)
,
(IF
(
G12320=""юридична особа""
,
VLOO"&amp;"KUP(H12320,IMPORTRANGE(""https://docs.google.com/spreadsheets/d/14Bd19lYaqBhU8_DElYkX7l4wRkHqqCUFNJY4AfY3kHU/edit?usp=sharing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319" s="7" t="s">
        <v>11</v>
      </c>
    </row>
    <row r="12320" spans="1:10" ht="13.2">
      <c r="A12320" s="7">
        <v>12319</v>
      </c>
      <c r="B12320" s="7">
        <v>1</v>
      </c>
      <c r="C12320" s="7" t="s">
        <v>10</v>
      </c>
      <c r="D12320" s="7">
        <v>18023</v>
      </c>
      <c r="E12320" s="7" t="s">
        <v>11</v>
      </c>
      <c r="F12320" s="8" t="str">
        <f ca="1">IFERROR(__xludf.DUMMYFUNCTION("IF
(
C12321=""фізична особа""
,
VLOOKUP(D12321,IMPORTRANGE(""https://docs.google.com/spreadsheets/d/14Bd19lYaqBhU8_DElYkX7l4wRkHqqCUFNJY4AfY3kHU/edit?usp=sharing  #gid=0"",""фіз особи new!relations_name""),6,FALSE)
,
(IF
(
C12321=""юридична особа""
,
VLOO"&amp;"KUP(D12321,IMPORTRANGE(""https://docs.google.com/spreadsheets/d/14Bd19lYaqBhU8_DElYkX7l4wRkHqqCUFNJY4AfY3kHU/edit?usp=sharing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20" s="7" t="s">
        <v>10</v>
      </c>
      <c r="H12320" s="7">
        <v>18020</v>
      </c>
      <c r="I12320" s="8" t="str">
        <f ca="1">IFERROR(__xludf.DUMMYFUNCTION("IF
(
G12321=""фізична особа""
,
VLOOKUP(H12321,IMPORTRANGE(""https://docs.google.com/spreadsheets/d/14Bd19lYaqBhU8_DElYkX7l4wRkHqqCUFNJY4AfY3kHU/edit?usp=sharing  #gid=0"",""фіз особи new!relations_name""),6,FALSE)
,
(IF
(
G12321=""юридична особа""
,
VLOO"&amp;"KUP(H12321,IMPORTRANGE(""https://docs.google.com/spreadsheets/d/14Bd19lYaqBhU8_DElYkX7l4wRkHqqCUFNJY4AfY3kHU/edit?usp=sharing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320" s="7" t="s">
        <v>11</v>
      </c>
    </row>
    <row r="12321" spans="1:10" ht="13.2">
      <c r="A12321" s="7">
        <v>12320</v>
      </c>
      <c r="B12321" s="7">
        <v>1</v>
      </c>
      <c r="C12321" s="7" t="s">
        <v>10</v>
      </c>
      <c r="D12321" s="7">
        <v>18023</v>
      </c>
      <c r="E12321" s="7" t="s">
        <v>11</v>
      </c>
      <c r="F12321" s="8" t="str">
        <f ca="1">IFERROR(__xludf.DUMMYFUNCTION("IF
(
C12322=""фізична особа""
,
VLOOKUP(D12322,IMPORTRANGE(""https://docs.google.com/spreadsheets/d/14Bd19lYaqBhU8_DElYkX7l4wRkHqqCUFNJY4AfY3kHU/edit?usp=sharing  #gid=0"",""фіз особи new!relations_name""),6,FALSE)
,
(IF
(
C12322=""юридична особа""
,
VLOO"&amp;"KUP(D12322,IMPORTRANGE(""https://docs.google.com/spreadsheets/d/14Bd19lYaqBhU8_DElYkX7l4wRkHqqCUFNJY4AfY3kHU/edit?usp=sharing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21" s="7" t="s">
        <v>10</v>
      </c>
      <c r="H12321" s="7">
        <v>16024</v>
      </c>
      <c r="I12321" s="8" t="str">
        <f ca="1">IFERROR(__xludf.DUMMYFUNCTION("IF
(
G12322=""фізична особа""
,
VLOOKUP(H12322,IMPORTRANGE(""https://docs.google.com/spreadsheets/d/14Bd19lYaqBhU8_DElYkX7l4wRkHqqCUFNJY4AfY3kHU/edit?usp=sharing  #gid=0"",""фіз особи new!relations_name""),6,FALSE)
,
(IF
(
G12322=""юридична особа""
,
VLOO"&amp;"KUP(H12322,IMPORTRANGE(""https://docs.google.com/spreadsheets/d/14Bd19lYaqBhU8_DElYkX7l4wRkHqqCUFNJY4AfY3kHU/edit?usp=sharing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321" s="7" t="s">
        <v>11</v>
      </c>
    </row>
    <row r="12322" spans="1:10" ht="13.2">
      <c r="A12322" s="7">
        <v>12321</v>
      </c>
      <c r="B12322" s="7">
        <v>1</v>
      </c>
      <c r="C12322" s="7" t="s">
        <v>10</v>
      </c>
      <c r="D12322" s="7">
        <v>18023</v>
      </c>
      <c r="E12322" s="7" t="s">
        <v>11</v>
      </c>
      <c r="F12322" s="8" t="str">
        <f ca="1">IFERROR(__xludf.DUMMYFUNCTION("IF
(
C12323=""фізична особа""
,
VLOOKUP(D12323,IMPORTRANGE(""https://docs.google.com/spreadsheets/d/14Bd19lYaqBhU8_DElYkX7l4wRkHqqCUFNJY4AfY3kHU/edit?usp=sharing  #gid=0"",""фіз особи new!relations_name""),6,FALSE)
,
(IF
(
C12323=""юридична особа""
,
VLOO"&amp;"KUP(D12323,IMPORTRANGE(""https://docs.google.com/spreadsheets/d/14Bd19lYaqBhU8_DElYkX7l4wRkHqqCUFNJY4AfY3kHU/edit?usp=sharing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22" s="7" t="s">
        <v>10</v>
      </c>
      <c r="H12322" s="7">
        <v>1842</v>
      </c>
      <c r="I12322" s="8" t="str">
        <f ca="1">IFERROR(__xludf.DUMMYFUNCTION("IF
(
G12323=""фізична особа""
,
VLOOKUP(H12323,IMPORTRANGE(""https://docs.google.com/spreadsheets/d/14Bd19lYaqBhU8_DElYkX7l4wRkHqqCUFNJY4AfY3kHU/edit?usp=sharing  #gid=0"",""фіз особи new!relations_name""),6,FALSE)
,
(IF
(
G12323=""юридична особа""
,
VLOO"&amp;"KUP(H12323,IMPORTRANGE(""https://docs.google.com/spreadsheets/d/14Bd19lYaqBhU8_DElYkX7l4wRkHqqCUFNJY4AfY3kHU/edit?usp=sharing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322" s="7" t="s">
        <v>11</v>
      </c>
    </row>
    <row r="12323" spans="1:10" ht="13.2">
      <c r="A12323" s="7">
        <v>12322</v>
      </c>
      <c r="B12323" s="7">
        <v>1</v>
      </c>
      <c r="C12323" s="7" t="s">
        <v>10</v>
      </c>
      <c r="D12323" s="7">
        <v>18023</v>
      </c>
      <c r="E12323" s="7" t="s">
        <v>11</v>
      </c>
      <c r="F12323" s="8" t="str">
        <f ca="1">IFERROR(__xludf.DUMMYFUNCTION("IF
(
C12324=""фізична особа""
,
VLOOKUP(D12324,IMPORTRANGE(""https://docs.google.com/spreadsheets/d/14Bd19lYaqBhU8_DElYkX7l4wRkHqqCUFNJY4AfY3kHU/edit?usp=sharing  #gid=0"",""фіз особи new!relations_name""),6,FALSE)
,
(IF
(
C12324=""юридична особа""
,
VLOO"&amp;"KUP(D12324,IMPORTRANGE(""https://docs.google.com/spreadsheets/d/14Bd19lYaqBhU8_DElYkX7l4wRkHqqCUFNJY4AfY3kHU/edit?usp=sharing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23" s="7" t="s">
        <v>10</v>
      </c>
      <c r="H12323" s="7">
        <v>18022</v>
      </c>
      <c r="I12323" s="8" t="str">
        <f ca="1">IFERROR(__xludf.DUMMYFUNCTION("IF
(
G12324=""фізична особа""
,
VLOOKUP(H12324,IMPORTRANGE(""https://docs.google.com/spreadsheets/d/14Bd19lYaqBhU8_DElYkX7l4wRkHqqCUFNJY4AfY3kHU/edit?usp=sharing  #gid=0"",""фіз особи new!relations_name""),6,FALSE)
,
(IF
(
G12324=""юридична особа""
,
VLOO"&amp;"KUP(H12324,IMPORTRANGE(""https://docs.google.com/spreadsheets/d/14Bd19lYaqBhU8_DElYkX7l4wRkHqqCUFNJY4AfY3kHU/edit?usp=sharing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J12323" s="7" t="s">
        <v>11</v>
      </c>
    </row>
    <row r="12324" spans="1:10" ht="13.2">
      <c r="A12324" s="7">
        <v>12323</v>
      </c>
      <c r="B12324" s="7">
        <v>1</v>
      </c>
      <c r="C12324" s="7" t="s">
        <v>10</v>
      </c>
      <c r="D12324" s="7">
        <v>18023</v>
      </c>
      <c r="E12324" s="7" t="s">
        <v>11</v>
      </c>
      <c r="F12324" s="8" t="str">
        <f ca="1">IFERROR(__xludf.DUMMYFUNCTION("IF
(
C12325=""фізична особа""
,
VLOOKUP(D12325,IMPORTRANGE(""https://docs.google.com/spreadsheets/d/14Bd19lYaqBhU8_DElYkX7l4wRkHqqCUFNJY4AfY3kHU/edit?usp=sharing  #gid=0"",""фіз особи new!relations_name""),6,FALSE)
,
(IF
(
C12325=""юридична особа""
,
VLOO"&amp;"KUP(D12325,IMPORTRANGE(""https://docs.google.com/spreadsheets/d/14Bd19lYaqBhU8_DElYkX7l4wRkHqqCUFNJY4AfY3kHU/edit?usp=sharing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G12324" s="7" t="s">
        <v>10</v>
      </c>
      <c r="H12324" s="7">
        <v>18024</v>
      </c>
      <c r="I12324" s="8" t="str">
        <f ca="1">IFERROR(__xludf.DUMMYFUNCTION("IF
(
G12325=""фізична особа""
,
VLOOKUP(H12325,IMPORTRANGE(""https://docs.google.com/spreadsheets/d/14Bd19lYaqBhU8_DElYkX7l4wRkHqqCUFNJY4AfY3kHU/edit?usp=sharing  #gid=0"",""фіз особи new!relations_name""),6,FALSE)
,
(IF
(
G12325=""юридична особа""
,
VLOO"&amp;"KUP(H12325,IMPORTRANGE(""https://docs.google.com/spreadsheets/d/14Bd19lYaqBhU8_DElYkX7l4wRkHqqCUFNJY4AfY3kHU/edit?usp=sharing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J12324" s="7" t="s">
        <v>11</v>
      </c>
    </row>
    <row r="12325" spans="1:10" ht="13.2">
      <c r="A12325" s="7">
        <v>12324</v>
      </c>
      <c r="B12325" s="7">
        <v>1</v>
      </c>
      <c r="C12325" s="7" t="s">
        <v>10</v>
      </c>
      <c r="D12325" s="7">
        <v>18024</v>
      </c>
      <c r="E12325" s="7" t="s">
        <v>11</v>
      </c>
      <c r="F12325" s="8" t="str">
        <f ca="1">IFERROR(__xludf.DUMMYFUNCTION("IF
(
C12326=""фізична особа""
,
VLOOKUP(D12326,IMPORTRANGE(""https://docs.google.com/spreadsheets/d/14Bd19lYaqBhU8_DElYkX7l4wRkHqqCUFNJY4AfY3kHU/edit?usp=sharing  #gid=0"",""фіз особи new!relations_name""),6,FALSE)
,
(IF
(
C12326=""юридична особа""
,
VLOO"&amp;"KUP(D12326,IMPORTRANGE(""https://docs.google.com/spreadsheets/d/14Bd19lYaqBhU8_DElYkX7l4wRkHqqCUFNJY4AfY3kHU/edit?usp=sharing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25" s="7" t="s">
        <v>10</v>
      </c>
      <c r="H12325" s="7">
        <v>16156</v>
      </c>
      <c r="I12325" s="8" t="str">
        <f ca="1">IFERROR(__xludf.DUMMYFUNCTION("IF
(
G12326=""фізична особа""
,
VLOOKUP(H12326,IMPORTRANGE(""https://docs.google.com/spreadsheets/d/14Bd19lYaqBhU8_DElYkX7l4wRkHqqCUFNJY4AfY3kHU/edit?usp=sharing  #gid=0"",""фіз особи new!relations_name""),6,FALSE)
,
(IF
(
G12326=""юридична особа""
,
VLOO"&amp;"KUP(H12326,IMPORTRANGE(""https://docs.google.com/spreadsheets/d/14Bd19lYaqBhU8_DElYkX7l4wRkHqqCUFNJY4AfY3kHU/edit?usp=sharing  #gid=0"",""фіз особи new!relations_name_uo""),7,FALSE)
,
)
))"),"МАГАНОВ Наїль Ульфатович")</f>
        <v>МАГАНОВ Наїль Ульфатович</v>
      </c>
      <c r="J12325" s="7" t="s">
        <v>11</v>
      </c>
    </row>
    <row r="12326" spans="1:10" ht="13.2">
      <c r="A12326" s="7">
        <v>12325</v>
      </c>
      <c r="B12326" s="7">
        <v>1</v>
      </c>
      <c r="C12326" s="7" t="s">
        <v>10</v>
      </c>
      <c r="D12326" s="7">
        <v>18024</v>
      </c>
      <c r="E12326" s="7" t="s">
        <v>11</v>
      </c>
      <c r="F12326" s="8" t="str">
        <f ca="1">IFERROR(__xludf.DUMMYFUNCTION("IF
(
C12327=""фізична особа""
,
VLOOKUP(D12327,IMPORTRANGE(""https://docs.google.com/spreadsheets/d/14Bd19lYaqBhU8_DElYkX7l4wRkHqqCUFNJY4AfY3kHU/edit?usp=sharing  #gid=0"",""фіз особи new!relations_name""),6,FALSE)
,
(IF
(
C12327=""юридична особа""
,
VLOO"&amp;"KUP(D12327,IMPORTRANGE(""https://docs.google.com/spreadsheets/d/14Bd19lYaqBhU8_DElYkX7l4wRkHqqCUFNJY4AfY3kHU/edit?usp=sharing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26" s="7" t="s">
        <v>10</v>
      </c>
      <c r="H12326" s="7">
        <v>2513</v>
      </c>
      <c r="I12326" s="8" t="str">
        <f ca="1">IFERROR(__xludf.DUMMYFUNCTION("IF
(
G12327=""фізична особа""
,
VLOOKUP(H12327,IMPORTRANGE(""https://docs.google.com/spreadsheets/d/14Bd19lYaqBhU8_DElYkX7l4wRkHqqCUFNJY4AfY3kHU/edit?usp=sharing  #gid=0"",""фіз особи new!relations_name""),6,FALSE)
,
(IF
(
G12327=""юридична особа""
,
VLOO"&amp;"KUP(H12327,IMPORTRANGE(""https://docs.google.com/spreadsheets/d/14Bd19lYaqBhU8_DElYkX7l4wRkHqqCUFNJY4AfY3kHU/edit?usp=sharing  #gid=0"",""фіз особи new!relations_name_uo""),7,FALSE)
,
)
))"),"Мінніханов Рустам Нургалієвич")</f>
        <v>Мінніханов Рустам Нургалієвич</v>
      </c>
      <c r="J12326" s="7" t="s">
        <v>11</v>
      </c>
    </row>
    <row r="12327" spans="1:10" ht="13.2">
      <c r="A12327" s="7">
        <v>12326</v>
      </c>
      <c r="B12327" s="7">
        <v>1</v>
      </c>
      <c r="C12327" s="7" t="s">
        <v>10</v>
      </c>
      <c r="D12327" s="7">
        <v>18024</v>
      </c>
      <c r="E12327" s="7" t="s">
        <v>11</v>
      </c>
      <c r="F12327" s="8" t="str">
        <f ca="1">IFERROR(__xludf.DUMMYFUNCTION("IF
(
C12328=""фізична особа""
,
VLOOKUP(D12328,IMPORTRANGE(""https://docs.google.com/spreadsheets/d/14Bd19lYaqBhU8_DElYkX7l4wRkHqqCUFNJY4AfY3kHU/edit?usp=sharing  #gid=0"",""фіз особи new!relations_name""),6,FALSE)
,
(IF
(
C12328=""юридична особа""
,
VLOO"&amp;"KUP(D12328,IMPORTRANGE(""https://docs.google.com/spreadsheets/d/14Bd19lYaqBhU8_DElYkX7l4wRkHqqCUFNJY4AfY3kHU/edit?usp=sharing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27" s="7" t="s">
        <v>10</v>
      </c>
      <c r="H12327" s="7">
        <v>16152</v>
      </c>
      <c r="I12327" s="8" t="str">
        <f ca="1">IFERROR(__xludf.DUMMYFUNCTION("IF
(
G12328=""фізична особа""
,
VLOOKUP(H12328,IMPORTRANGE(""https://docs.google.com/spreadsheets/d/14Bd19lYaqBhU8_DElYkX7l4wRkHqqCUFNJY4AfY3kHU/edit?usp=sharing  #gid=0"",""фіз особи new!relations_name""),6,FALSE)
,
(IF
(
G12328=""юридична особа""
,
VLOO"&amp;"KUP(H12328,IMPORTRANGE(""https://docs.google.com/spreadsheets/d/14Bd19lYaqBhU8_DElYkX7l4wRkHqqCUFNJY4AfY3kHU/edit?usp=sharing  #gid=0"",""фіз особи new!relations_name_uo""),7,FALSE)
,
)
))"),"ГЛУХОВА Лариса Юріївна")</f>
        <v>ГЛУХОВА Лариса Юріївна</v>
      </c>
      <c r="J12327" s="7" t="s">
        <v>11</v>
      </c>
    </row>
    <row r="12328" spans="1:10" ht="13.2">
      <c r="A12328" s="7">
        <v>12327</v>
      </c>
      <c r="B12328" s="7">
        <v>1</v>
      </c>
      <c r="C12328" s="7" t="s">
        <v>10</v>
      </c>
      <c r="D12328" s="7">
        <v>18024</v>
      </c>
      <c r="E12328" s="7" t="s">
        <v>11</v>
      </c>
      <c r="F12328" s="8" t="str">
        <f ca="1">IFERROR(__xludf.DUMMYFUNCTION("IF
(
C12329=""фізична особа""
,
VLOOKUP(D12329,IMPORTRANGE(""https://docs.google.com/spreadsheets/d/14Bd19lYaqBhU8_DElYkX7l4wRkHqqCUFNJY4AfY3kHU/edit?usp=sharing  #gid=0"",""фіз особи new!relations_name""),6,FALSE)
,
(IF
(
C12329=""юридична особа""
,
VLOO"&amp;"KUP(D12329,IMPORTRANGE(""https://docs.google.com/spreadsheets/d/14Bd19lYaqBhU8_DElYkX7l4wRkHqqCUFNJY4AfY3kHU/edit?usp=sharing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28" s="7" t="s">
        <v>10</v>
      </c>
      <c r="H12328" s="7">
        <v>18018</v>
      </c>
      <c r="I12328" s="8" t="str">
        <f ca="1">IFERROR(__xludf.DUMMYFUNCTION("IF
(
G12329=""фізична особа""
,
VLOOKUP(H12329,IMPORTRANGE(""https://docs.google.com/spreadsheets/d/14Bd19lYaqBhU8_DElYkX7l4wRkHqqCUFNJY4AfY3kHU/edit?usp=sharing  #gid=0"",""фіз особи new!relations_name""),6,FALSE)
,
(IF
(
G12329=""юридична особа""
,
VLOO"&amp;"KUP(H12329,IMPORTRANGE(""https://docs.google.com/spreadsheets/d/14Bd19lYaqBhU8_DElYkX7l4wRkHqqCUFNJY4AfY3kHU/edit?usp=sharing  #gid=0"",""фіз особи new!relations_name_uo""),7,FALSE)
,
)
))"),"ГЕРЕЧ Ласло")</f>
        <v>ГЕРЕЧ Ласло</v>
      </c>
      <c r="J12328" s="7" t="s">
        <v>11</v>
      </c>
    </row>
    <row r="12329" spans="1:10" ht="13.2">
      <c r="A12329" s="7">
        <v>12328</v>
      </c>
      <c r="B12329" s="7">
        <v>1</v>
      </c>
      <c r="C12329" s="7" t="s">
        <v>10</v>
      </c>
      <c r="D12329" s="7">
        <v>18024</v>
      </c>
      <c r="E12329" s="7" t="s">
        <v>11</v>
      </c>
      <c r="F12329" s="8" t="str">
        <f ca="1">IFERROR(__xludf.DUMMYFUNCTION("IF
(
C12330=""фізична особа""
,
VLOOKUP(D12330,IMPORTRANGE(""https://docs.google.com/spreadsheets/d/14Bd19lYaqBhU8_DElYkX7l4wRkHqqCUFNJY4AfY3kHU/edit?usp=sharing  #gid=0"",""фіз особи new!relations_name""),6,FALSE)
,
(IF
(
C12330=""юридична особа""
,
VLOO"&amp;"KUP(D12330,IMPORTRANGE(""https://docs.google.com/spreadsheets/d/14Bd19lYaqBhU8_DElYkX7l4wRkHqqCUFNJY4AfY3kHU/edit?usp=sharing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29" s="7" t="s">
        <v>10</v>
      </c>
      <c r="H12329" s="7">
        <v>18019</v>
      </c>
      <c r="I12329" s="8" t="str">
        <f ca="1">IFERROR(__xludf.DUMMYFUNCTION("IF
(
G12330=""фізична особа""
,
VLOOKUP(H12330,IMPORTRANGE(""https://docs.google.com/spreadsheets/d/14Bd19lYaqBhU8_DElYkX7l4wRkHqqCUFNJY4AfY3kHU/edit?usp=sharing  #gid=0"",""фіз особи new!relations_name""),6,FALSE)
,
(IF
(
G12330=""юридична особа""
,
VLOO"&amp;"KUP(H12330,IMPORTRANGE(""https://docs.google.com/spreadsheets/d/14Bd19lYaqBhU8_DElYkX7l4wRkHqqCUFNJY4AfY3kHU/edit?usp=sharing  #gid=0"",""фіз особи new!relations_name_uo""),7,FALSE)
,
)
))"),"ХАЛІМОВ Рустам Хамісович")</f>
        <v>ХАЛІМОВ Рустам Хамісович</v>
      </c>
      <c r="J12329" s="7" t="s">
        <v>11</v>
      </c>
    </row>
    <row r="12330" spans="1:10" ht="13.2">
      <c r="A12330" s="7">
        <v>12329</v>
      </c>
      <c r="B12330" s="7">
        <v>1</v>
      </c>
      <c r="C12330" s="7" t="s">
        <v>10</v>
      </c>
      <c r="D12330" s="7">
        <v>18024</v>
      </c>
      <c r="E12330" s="7" t="s">
        <v>11</v>
      </c>
      <c r="F12330" s="8" t="str">
        <f ca="1">IFERROR(__xludf.DUMMYFUNCTION("IF
(
C12331=""фізична особа""
,
VLOOKUP(D12331,IMPORTRANGE(""https://docs.google.com/spreadsheets/d/14Bd19lYaqBhU8_DElYkX7l4wRkHqqCUFNJY4AfY3kHU/edit?usp=sharing  #gid=0"",""фіз особи new!relations_name""),6,FALSE)
,
(IF
(
C12331=""юридична особа""
,
VLOO"&amp;"KUP(D12331,IMPORTRANGE(""https://docs.google.com/spreadsheets/d/14Bd19lYaqBhU8_DElYkX7l4wRkHqqCUFNJY4AfY3kHU/edit?usp=sharing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30" s="7" t="s">
        <v>10</v>
      </c>
      <c r="H12330" s="7">
        <v>18020</v>
      </c>
      <c r="I12330" s="8" t="str">
        <f ca="1">IFERROR(__xludf.DUMMYFUNCTION("IF
(
G12331=""фізична особа""
,
VLOOKUP(H12331,IMPORTRANGE(""https://docs.google.com/spreadsheets/d/14Bd19lYaqBhU8_DElYkX7l4wRkHqqCUFNJY4AfY3kHU/edit?usp=sharing  #gid=0"",""фіз особи new!relations_name""),6,FALSE)
,
(IF
(
G12331=""юридична особа""
,
VLOO"&amp;"KUP(H12331,IMPORTRANGE(""https://docs.google.com/spreadsheets/d/14Bd19lYaqBhU8_DElYkX7l4wRkHqqCUFNJY4AfY3kHU/edit?usp=sharing  #gid=0"",""фіз особи new!relations_name_uo""),7,FALSE)
,
)
))"),"ХІСАМОВ Раїс Саліхович")</f>
        <v>ХІСАМОВ Раїс Саліхович</v>
      </c>
      <c r="J12330" s="7" t="s">
        <v>11</v>
      </c>
    </row>
    <row r="12331" spans="1:10" ht="13.2">
      <c r="A12331" s="7">
        <v>12330</v>
      </c>
      <c r="B12331" s="7">
        <v>1</v>
      </c>
      <c r="C12331" s="7" t="s">
        <v>10</v>
      </c>
      <c r="D12331" s="7">
        <v>18024</v>
      </c>
      <c r="E12331" s="7" t="s">
        <v>11</v>
      </c>
      <c r="F12331" s="8" t="str">
        <f ca="1">IFERROR(__xludf.DUMMYFUNCTION("IF
(
C12332=""фізична особа""
,
VLOOKUP(D12332,IMPORTRANGE(""https://docs.google.com/spreadsheets/d/14Bd19lYaqBhU8_DElYkX7l4wRkHqqCUFNJY4AfY3kHU/edit?usp=sharing  #gid=0"",""фіз особи new!relations_name""),6,FALSE)
,
(IF
(
C12332=""юридична особа""
,
VLOO"&amp;"KUP(D12332,IMPORTRANGE(""https://docs.google.com/spreadsheets/d/14Bd19lYaqBhU8_DElYkX7l4wRkHqqCUFNJY4AfY3kHU/edit?usp=sharing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31" s="7" t="s">
        <v>10</v>
      </c>
      <c r="H12331" s="7">
        <v>16024</v>
      </c>
      <c r="I12331" s="8" t="str">
        <f ca="1">IFERROR(__xludf.DUMMYFUNCTION("IF
(
G12332=""фізична особа""
,
VLOOKUP(H12332,IMPORTRANGE(""https://docs.google.com/spreadsheets/d/14Bd19lYaqBhU8_DElYkX7l4wRkHqqCUFNJY4AfY3kHU/edit?usp=sharing  #gid=0"",""фіз особи new!relations_name""),6,FALSE)
,
(IF
(
G12332=""юридична особа""
,
VLOO"&amp;"KUP(H12332,IMPORTRANGE(""https://docs.google.com/spreadsheets/d/14Bd19lYaqBhU8_DElYkX7l4wRkHqqCUFNJY4AfY3kHU/edit?usp=sharing  #gid=0"",""фіз особи new!relations_name_uo""),7,FALSE)
,
)
))"),"НАФІГІН Альберт Ільдарович")</f>
        <v>НАФІГІН Альберт Ільдарович</v>
      </c>
      <c r="J12331" s="7" t="s">
        <v>11</v>
      </c>
    </row>
    <row r="12332" spans="1:10" ht="13.2">
      <c r="A12332" s="7">
        <v>12331</v>
      </c>
      <c r="B12332" s="7">
        <v>1</v>
      </c>
      <c r="C12332" s="7" t="s">
        <v>10</v>
      </c>
      <c r="D12332" s="7">
        <v>18024</v>
      </c>
      <c r="E12332" s="7" t="s">
        <v>11</v>
      </c>
      <c r="F12332" s="8" t="str">
        <f ca="1">IFERROR(__xludf.DUMMYFUNCTION("IF
(
C12333=""фізична особа""
,
VLOOKUP(D12333,IMPORTRANGE(""https://docs.google.com/spreadsheets/d/14Bd19lYaqBhU8_DElYkX7l4wRkHqqCUFNJY4AfY3kHU/edit?usp=sharing  #gid=0"",""фіз особи new!relations_name""),6,FALSE)
,
(IF
(
C12333=""юридична особа""
,
VLOO"&amp;"KUP(D12333,IMPORTRANGE(""https://docs.google.com/spreadsheets/d/14Bd19lYaqBhU8_DElYkX7l4wRkHqqCUFNJY4AfY3kHU/edit?usp=sharing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32" s="7" t="s">
        <v>10</v>
      </c>
      <c r="H12332" s="7">
        <v>1842</v>
      </c>
      <c r="I12332" s="8" t="str">
        <f ca="1">IFERROR(__xludf.DUMMYFUNCTION("IF
(
G12333=""фізична особа""
,
VLOOKUP(H12333,IMPORTRANGE(""https://docs.google.com/spreadsheets/d/14Bd19lYaqBhU8_DElYkX7l4wRkHqqCUFNJY4AfY3kHU/edit?usp=sharing  #gid=0"",""фіз особи new!relations_name""),6,FALSE)
,
(IF
(
G12333=""юридична особа""
,
VLOO"&amp;"KUP(H12333,IMPORTRANGE(""https://docs.google.com/spreadsheets/d/14Bd19lYaqBhU8_DElYkX7l4wRkHqqCUFNJY4AfY3kHU/edit?usp=sharing  #gid=0"",""фіз особи new!relations_name_uo""),7,FALSE)
,
)
))"),"ЛЕВІН Юрій Львович")</f>
        <v>ЛЕВІН Юрій Львович</v>
      </c>
      <c r="J12332" s="7" t="s">
        <v>11</v>
      </c>
    </row>
    <row r="12333" spans="1:10" ht="13.2">
      <c r="A12333" s="7">
        <v>12332</v>
      </c>
      <c r="B12333" s="7">
        <v>1</v>
      </c>
      <c r="C12333" s="7" t="s">
        <v>10</v>
      </c>
      <c r="D12333" s="7">
        <v>18024</v>
      </c>
      <c r="E12333" s="7" t="s">
        <v>11</v>
      </c>
      <c r="F12333" s="8" t="str">
        <f ca="1">IFERROR(__xludf.DUMMYFUNCTION("IF
(
C12334=""фізична особа""
,
VLOOKUP(D12334,IMPORTRANGE(""https://docs.google.com/spreadsheets/d/14Bd19lYaqBhU8_DElYkX7l4wRkHqqCUFNJY4AfY3kHU/edit?usp=sharing  #gid=0"",""фіз особи new!relations_name""),6,FALSE)
,
(IF
(
C12334=""юридична особа""
,
VLOO"&amp;"KUP(D12334,IMPORTRANGE(""https://docs.google.com/spreadsheets/d/14Bd19lYaqBhU8_DElYkX7l4wRkHqqCUFNJY4AfY3kHU/edit?usp=sharing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33" s="7" t="s">
        <v>10</v>
      </c>
      <c r="H12333" s="7">
        <v>18022</v>
      </c>
      <c r="I12333" s="8" t="str">
        <f ca="1">IFERROR(__xludf.DUMMYFUNCTION("IF
(
G12334=""фізична особа""
,
VLOOKUP(H12334,IMPORTRANGE(""https://docs.google.com/spreadsheets/d/14Bd19lYaqBhU8_DElYkX7l4wRkHqqCUFNJY4AfY3kHU/edit?usp=sharing  #gid=0"",""фіз особи new!relations_name""),6,FALSE)
,
(IF
(
G12334=""юридична особа""
,
VLOO"&amp;"KUP(H12334,IMPORTRANGE(""https://docs.google.com/spreadsheets/d/14Bd19lYaqBhU8_DElYkX7l4wRkHqqCUFNJY4AfY3kHU/edit?usp=sharing  #gid=0"",""фіз особи new!relations_name_uo""),7,FALSE)
,
)
))"),"САБЛІН Сергій Іванович")</f>
        <v>САБЛІН Сергій Іванович</v>
      </c>
      <c r="J12333" s="7" t="s">
        <v>11</v>
      </c>
    </row>
    <row r="12334" spans="1:10" ht="13.2">
      <c r="A12334" s="7">
        <v>12333</v>
      </c>
      <c r="B12334" s="7">
        <v>1</v>
      </c>
      <c r="C12334" s="7" t="s">
        <v>10</v>
      </c>
      <c r="D12334" s="7">
        <v>18024</v>
      </c>
      <c r="E12334" s="7" t="s">
        <v>11</v>
      </c>
      <c r="F12334" s="8" t="str">
        <f ca="1">IFERROR(__xludf.DUMMYFUNCTION("IF
(
C12335=""фізична особа""
,
VLOOKUP(D12335,IMPORTRANGE(""https://docs.google.com/spreadsheets/d/14Bd19lYaqBhU8_DElYkX7l4wRkHqqCUFNJY4AfY3kHU/edit?usp=sharing  #gid=0"",""фіз особи new!relations_name""),6,FALSE)
,
(IF
(
C12335=""юридична особа""
,
VLOO"&amp;"KUP(D12335,IMPORTRANGE(""https://docs.google.com/spreadsheets/d/14Bd19lYaqBhU8_DElYkX7l4wRkHqqCUFNJY4AfY3kHU/edit?usp=sharing  #gid=0"",""фіз особи new!relations_name_uo""),7,FALSE)
,
)
))"),"ІБРАГІМОВ Рауф Гаріфзянович")</f>
        <v>ІБРАГІМОВ Рауф Гаріфзянович</v>
      </c>
      <c r="G12334" s="7" t="s">
        <v>10</v>
      </c>
      <c r="H12334" s="7">
        <v>18023</v>
      </c>
      <c r="I12334" s="8" t="str">
        <f ca="1">IFERROR(__xludf.DUMMYFUNCTION("IF
(
G12335=""фізична особа""
,
VLOOKUP(H12335,IMPORTRANGE(""https://docs.google.com/spreadsheets/d/14Bd19lYaqBhU8_DElYkX7l4wRkHqqCUFNJY4AfY3kHU/edit?usp=sharing  #gid=0"",""фіз особи new!relations_name""),6,FALSE)
,
(IF
(
G12335=""юридична особа""
,
VLOO"&amp;"KUP(H12335,IMPORTRANGE(""https://docs.google.com/spreadsheets/d/14Bd19lYaqBhU8_DElYkX7l4wRkHqqCUFNJY4AfY3kHU/edit?usp=sharing  #gid=0"",""фіз особи new!relations_name_uo""),7,FALSE)
,
)
))"),"ЯКУПОВ Равіль Насібуллович")</f>
        <v>ЯКУПОВ Равіль Насібуллович</v>
      </c>
      <c r="J12334" s="7" t="s">
        <v>11</v>
      </c>
    </row>
    <row r="12335" spans="1:10" ht="13.2">
      <c r="A12335" s="7">
        <v>12334</v>
      </c>
      <c r="B12335" s="7">
        <v>1</v>
      </c>
      <c r="C12335" s="7" t="s">
        <v>10</v>
      </c>
      <c r="D12335" s="7">
        <v>18025</v>
      </c>
      <c r="E12335" s="7" t="s">
        <v>11</v>
      </c>
      <c r="F12335" s="8" t="str">
        <f ca="1">IFERROR(__xludf.DUMMYFUNCTION("IF
(
C12336=""фізична особа""
,
VLOOKUP(D12336,IMPORTRANGE(""https://docs.google.com/spreadsheets/d/14Bd19lYaqBhU8_DElYkX7l4wRkHqqCUFNJY4AfY3kHU/edit?usp=sharing  #gid=0"",""фіз особи new!relations_name""),6,FALSE)
,
(IF
(
C12336=""юридична особа""
,
VLOO"&amp;"KUP(D12336,IMPORTRANGE(""https://docs.google.com/spreadsheets/d/14Bd19lYaqBhU8_DElYkX7l4wRkHqqCUFNJY4AfY3kHU/edit?usp=sharing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35" s="7" t="s">
        <v>10</v>
      </c>
      <c r="H12335" s="7">
        <v>18026</v>
      </c>
      <c r="I12335" s="8" t="str">
        <f ca="1">IFERROR(__xludf.DUMMYFUNCTION("IF
(
G12336=""фізична особа""
,
VLOOKUP(H12336,IMPORTRANGE(""https://docs.google.com/spreadsheets/d/14Bd19lYaqBhU8_DElYkX7l4wRkHqqCUFNJY4AfY3kHU/edit?usp=sharing  #gid=0"",""фіз особи new!relations_name""),6,FALSE)
,
(IF
(
G12336=""юридична особа""
,
VLOO"&amp;"KUP(H12336,IMPORTRANGE(""https://docs.google.com/spreadsheets/d/14Bd19lYaqBhU8_DElYkX7l4wRkHqqCUFNJY4AfY3kHU/edit?usp=sharing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335" s="7" t="s">
        <v>11</v>
      </c>
    </row>
    <row r="12336" spans="1:10" ht="13.2">
      <c r="A12336" s="7">
        <v>12335</v>
      </c>
      <c r="B12336" s="7">
        <v>1</v>
      </c>
      <c r="C12336" s="7" t="s">
        <v>10</v>
      </c>
      <c r="D12336" s="7">
        <v>18025</v>
      </c>
      <c r="E12336" s="7" t="s">
        <v>11</v>
      </c>
      <c r="F12336" s="8" t="str">
        <f ca="1">IFERROR(__xludf.DUMMYFUNCTION("IF
(
C12337=""фізична особа""
,
VLOOKUP(D12337,IMPORTRANGE(""https://docs.google.com/spreadsheets/d/14Bd19lYaqBhU8_DElYkX7l4wRkHqqCUFNJY4AfY3kHU/edit?usp=sharing  #gid=0"",""фіз особи new!relations_name""),6,FALSE)
,
(IF
(
C12337=""юридична особа""
,
VLOO"&amp;"KUP(D12337,IMPORTRANGE(""https://docs.google.com/spreadsheets/d/14Bd19lYaqBhU8_DElYkX7l4wRkHqqCUFNJY4AfY3kHU/edit?usp=sharing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36" s="7" t="s">
        <v>10</v>
      </c>
      <c r="H12336" s="7">
        <v>18027</v>
      </c>
      <c r="I12336" s="8" t="str">
        <f ca="1">IFERROR(__xludf.DUMMYFUNCTION("IF
(
G12337=""фізична особа""
,
VLOOKUP(H12337,IMPORTRANGE(""https://docs.google.com/spreadsheets/d/14Bd19lYaqBhU8_DElYkX7l4wRkHqqCUFNJY4AfY3kHU/edit?usp=sharing  #gid=0"",""фіз особи new!relations_name""),6,FALSE)
,
(IF
(
G12337=""юридична особа""
,
VLOO"&amp;"KUP(H12337,IMPORTRANGE(""https://docs.google.com/spreadsheets/d/14Bd19lYaqBhU8_DElYkX7l4wRkHqqCUFNJY4AfY3kHU/edit?usp=sharing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336" s="7" t="s">
        <v>11</v>
      </c>
    </row>
    <row r="12337" spans="1:10" ht="13.2">
      <c r="A12337" s="7">
        <v>12336</v>
      </c>
      <c r="B12337" s="7">
        <v>1</v>
      </c>
      <c r="C12337" s="7" t="s">
        <v>10</v>
      </c>
      <c r="D12337" s="7">
        <v>18025</v>
      </c>
      <c r="E12337" s="7" t="s">
        <v>11</v>
      </c>
      <c r="F12337" s="8" t="str">
        <f ca="1">IFERROR(__xludf.DUMMYFUNCTION("IF
(
C12338=""фізична особа""
,
VLOOKUP(D12338,IMPORTRANGE(""https://docs.google.com/spreadsheets/d/14Bd19lYaqBhU8_DElYkX7l4wRkHqqCUFNJY4AfY3kHU/edit?usp=sharing  #gid=0"",""фіз особи new!relations_name""),6,FALSE)
,
(IF
(
C12338=""юридична особа""
,
VLOO"&amp;"KUP(D12338,IMPORTRANGE(""https://docs.google.com/spreadsheets/d/14Bd19lYaqBhU8_DElYkX7l4wRkHqqCUFNJY4AfY3kHU/edit?usp=sharing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37" s="7" t="s">
        <v>10</v>
      </c>
      <c r="H12337" s="7">
        <v>18028</v>
      </c>
      <c r="I12337" s="8" t="str">
        <f ca="1">IFERROR(__xludf.DUMMYFUNCTION("IF
(
G12338=""фізична особа""
,
VLOOKUP(H12338,IMPORTRANGE(""https://docs.google.com/spreadsheets/d/14Bd19lYaqBhU8_DElYkX7l4wRkHqqCUFNJY4AfY3kHU/edit?usp=sharing  #gid=0"",""фіз особи new!relations_name""),6,FALSE)
,
(IF
(
G12338=""юридична особа""
,
VLOO"&amp;"KUP(H12338,IMPORTRANGE(""https://docs.google.com/spreadsheets/d/14Bd19lYaqBhU8_DElYkX7l4wRkHqqCUFNJY4AfY3kHU/edit?usp=sharing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337" s="7" t="s">
        <v>11</v>
      </c>
    </row>
    <row r="12338" spans="1:10" ht="13.2">
      <c r="A12338" s="7">
        <v>12337</v>
      </c>
      <c r="B12338" s="7">
        <v>1</v>
      </c>
      <c r="C12338" s="7" t="s">
        <v>10</v>
      </c>
      <c r="D12338" s="7">
        <v>18025</v>
      </c>
      <c r="E12338" s="7" t="s">
        <v>11</v>
      </c>
      <c r="F12338" s="8" t="str">
        <f ca="1">IFERROR(__xludf.DUMMYFUNCTION("IF
(
C12339=""фізична особа""
,
VLOOKUP(D12339,IMPORTRANGE(""https://docs.google.com/spreadsheets/d/14Bd19lYaqBhU8_DElYkX7l4wRkHqqCUFNJY4AfY3kHU/edit?usp=sharing  #gid=0"",""фіз особи new!relations_name""),6,FALSE)
,
(IF
(
C12339=""юридична особа""
,
VLOO"&amp;"KUP(D12339,IMPORTRANGE(""https://docs.google.com/spreadsheets/d/14Bd19lYaqBhU8_DElYkX7l4wRkHqqCUFNJY4AfY3kHU/edit?usp=sharing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38" s="7" t="s">
        <v>10</v>
      </c>
      <c r="H12338" s="7">
        <v>18029</v>
      </c>
      <c r="I12338" s="8" t="str">
        <f ca="1">IFERROR(__xludf.DUMMYFUNCTION("IF
(
G12339=""фізична особа""
,
VLOOKUP(H12339,IMPORTRANGE(""https://docs.google.com/spreadsheets/d/14Bd19lYaqBhU8_DElYkX7l4wRkHqqCUFNJY4AfY3kHU/edit?usp=sharing  #gid=0"",""фіз особи new!relations_name""),6,FALSE)
,
(IF
(
G12339=""юридична особа""
,
VLOO"&amp;"KUP(H12339,IMPORTRANGE(""https://docs.google.com/spreadsheets/d/14Bd19lYaqBhU8_DElYkX7l4wRkHqqCUFNJY4AfY3kHU/edit?usp=sharing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338" s="7" t="s">
        <v>11</v>
      </c>
    </row>
    <row r="12339" spans="1:10" ht="13.2">
      <c r="A12339" s="7">
        <v>12338</v>
      </c>
      <c r="B12339" s="7">
        <v>1</v>
      </c>
      <c r="C12339" s="7" t="s">
        <v>10</v>
      </c>
      <c r="D12339" s="7">
        <v>18025</v>
      </c>
      <c r="E12339" s="7" t="s">
        <v>11</v>
      </c>
      <c r="F12339" s="8" t="str">
        <f ca="1">IFERROR(__xludf.DUMMYFUNCTION("IF
(
C12340=""фізична особа""
,
VLOOKUP(D12340,IMPORTRANGE(""https://docs.google.com/spreadsheets/d/14Bd19lYaqBhU8_DElYkX7l4wRkHqqCUFNJY4AfY3kHU/edit?usp=sharing  #gid=0"",""фіз особи new!relations_name""),6,FALSE)
,
(IF
(
C12340=""юридична особа""
,
VLOO"&amp;"KUP(D12340,IMPORTRANGE(""https://docs.google.com/spreadsheets/d/14Bd19lYaqBhU8_DElYkX7l4wRkHqqCUFNJY4AfY3kHU/edit?usp=sharing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39" s="7" t="s">
        <v>10</v>
      </c>
      <c r="H12339" s="7">
        <v>18030</v>
      </c>
      <c r="I12339" s="8" t="str">
        <f ca="1">IFERROR(__xludf.DUMMYFUNCTION("IF
(
G12340=""фізична особа""
,
VLOOKUP(H12340,IMPORTRANGE(""https://docs.google.com/spreadsheets/d/14Bd19lYaqBhU8_DElYkX7l4wRkHqqCUFNJY4AfY3kHU/edit?usp=sharing  #gid=0"",""фіз особи new!relations_name""),6,FALSE)
,
(IF
(
G12340=""юридична особа""
,
VLOO"&amp;"KUP(H12340,IMPORTRANGE(""https://docs.google.com/spreadsheets/d/14Bd19lYaqBhU8_DElYkX7l4wRkHqqCUFNJY4AfY3kHU/edit?usp=sharing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339" s="7" t="s">
        <v>11</v>
      </c>
    </row>
    <row r="12340" spans="1:10" ht="13.2">
      <c r="A12340" s="7">
        <v>12339</v>
      </c>
      <c r="B12340" s="7">
        <v>1</v>
      </c>
      <c r="C12340" s="7" t="s">
        <v>10</v>
      </c>
      <c r="D12340" s="7">
        <v>18025</v>
      </c>
      <c r="E12340" s="7" t="s">
        <v>11</v>
      </c>
      <c r="F12340" s="8" t="str">
        <f ca="1">IFERROR(__xludf.DUMMYFUNCTION("IF
(
C12341=""фізична особа""
,
VLOOKUP(D12341,IMPORTRANGE(""https://docs.google.com/spreadsheets/d/14Bd19lYaqBhU8_DElYkX7l4wRkHqqCUFNJY4AfY3kHU/edit?usp=sharing  #gid=0"",""фіз особи new!relations_name""),6,FALSE)
,
(IF
(
C12341=""юридична особа""
,
VLOO"&amp;"KUP(D12341,IMPORTRANGE(""https://docs.google.com/spreadsheets/d/14Bd19lYaqBhU8_DElYkX7l4wRkHqqCUFNJY4AfY3kHU/edit?usp=sharing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0" s="7" t="s">
        <v>10</v>
      </c>
      <c r="H12340" s="7">
        <v>18031</v>
      </c>
      <c r="I12340" s="8" t="str">
        <f ca="1">IFERROR(__xludf.DUMMYFUNCTION("IF
(
G12341=""фізична особа""
,
VLOOKUP(H12341,IMPORTRANGE(""https://docs.google.com/spreadsheets/d/14Bd19lYaqBhU8_DElYkX7l4wRkHqqCUFNJY4AfY3kHU/edit?usp=sharing  #gid=0"",""фіз особи new!relations_name""),6,FALSE)
,
(IF
(
G12341=""юридична особа""
,
VLOO"&amp;"KUP(H12341,IMPORTRANGE(""https://docs.google.com/spreadsheets/d/14Bd19lYaqBhU8_DElYkX7l4wRkHqqCUFNJY4AfY3kHU/edit?usp=sharing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40" s="7" t="s">
        <v>11</v>
      </c>
    </row>
    <row r="12341" spans="1:10" ht="13.2">
      <c r="A12341" s="7">
        <v>12340</v>
      </c>
      <c r="B12341" s="7">
        <v>1</v>
      </c>
      <c r="C12341" s="7" t="s">
        <v>10</v>
      </c>
      <c r="D12341" s="7">
        <v>18025</v>
      </c>
      <c r="E12341" s="7" t="s">
        <v>11</v>
      </c>
      <c r="F12341" s="8" t="str">
        <f ca="1">IFERROR(__xludf.DUMMYFUNCTION("IF
(
C12342=""фізична особа""
,
VLOOKUP(D12342,IMPORTRANGE(""https://docs.google.com/spreadsheets/d/14Bd19lYaqBhU8_DElYkX7l4wRkHqqCUFNJY4AfY3kHU/edit?usp=sharing  #gid=0"",""фіз особи new!relations_name""),6,FALSE)
,
(IF
(
C12342=""юридична особа""
,
VLOO"&amp;"KUP(D12342,IMPORTRANGE(""https://docs.google.com/spreadsheets/d/14Bd19lYaqBhU8_DElYkX7l4wRkHqqCUFNJY4AfY3kHU/edit?usp=sharing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1" s="7" t="s">
        <v>10</v>
      </c>
      <c r="H12341" s="7">
        <v>18032</v>
      </c>
      <c r="I12341" s="8" t="str">
        <f ca="1">IFERROR(__xludf.DUMMYFUNCTION("IF
(
G12342=""фізична особа""
,
VLOOKUP(H12342,IMPORTRANGE(""https://docs.google.com/spreadsheets/d/14Bd19lYaqBhU8_DElYkX7l4wRkHqqCUFNJY4AfY3kHU/edit?usp=sharing  #gid=0"",""фіз особи new!relations_name""),6,FALSE)
,
(IF
(
G12342=""юридична особа""
,
VLOO"&amp;"KUP(H12342,IMPORTRANGE(""https://docs.google.com/spreadsheets/d/14Bd19lYaqBhU8_DElYkX7l4wRkHqqCUFNJY4AfY3kHU/edit?usp=sharing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41" s="7" t="s">
        <v>11</v>
      </c>
    </row>
    <row r="12342" spans="1:10" ht="13.2">
      <c r="A12342" s="7">
        <v>12341</v>
      </c>
      <c r="B12342" s="7">
        <v>1</v>
      </c>
      <c r="C12342" s="7" t="s">
        <v>10</v>
      </c>
      <c r="D12342" s="7">
        <v>18025</v>
      </c>
      <c r="E12342" s="7" t="s">
        <v>11</v>
      </c>
      <c r="F12342" s="8" t="str">
        <f ca="1">IFERROR(__xludf.DUMMYFUNCTION("IF
(
C12343=""фізична особа""
,
VLOOKUP(D12343,IMPORTRANGE(""https://docs.google.com/spreadsheets/d/14Bd19lYaqBhU8_DElYkX7l4wRkHqqCUFNJY4AfY3kHU/edit?usp=sharing  #gid=0"",""фіз особи new!relations_name""),6,FALSE)
,
(IF
(
C12343=""юридична особа""
,
VLOO"&amp;"KUP(D12343,IMPORTRANGE(""https://docs.google.com/spreadsheets/d/14Bd19lYaqBhU8_DElYkX7l4wRkHqqCUFNJY4AfY3kHU/edit?usp=sharing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2" s="7" t="s">
        <v>10</v>
      </c>
      <c r="H12342" s="7">
        <v>18033</v>
      </c>
      <c r="I12342" s="8" t="str">
        <f ca="1">IFERROR(__xludf.DUMMYFUNCTION("IF
(
G12343=""фізична особа""
,
VLOOKUP(H12343,IMPORTRANGE(""https://docs.google.com/spreadsheets/d/14Bd19lYaqBhU8_DElYkX7l4wRkHqqCUFNJY4AfY3kHU/edit?usp=sharing  #gid=0"",""фіз особи new!relations_name""),6,FALSE)
,
(IF
(
G12343=""юридична особа""
,
VLOO"&amp;"KUP(H12343,IMPORTRANGE(""https://docs.google.com/spreadsheets/d/14Bd19lYaqBhU8_DElYkX7l4wRkHqqCUFNJY4AfY3kHU/edit?usp=sharing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42" s="7" t="s">
        <v>11</v>
      </c>
    </row>
    <row r="12343" spans="1:10" ht="13.2">
      <c r="A12343" s="7">
        <v>12342</v>
      </c>
      <c r="B12343" s="7">
        <v>1</v>
      </c>
      <c r="C12343" s="7" t="s">
        <v>10</v>
      </c>
      <c r="D12343" s="7">
        <v>18025</v>
      </c>
      <c r="E12343" s="7" t="s">
        <v>11</v>
      </c>
      <c r="F12343" s="8" t="str">
        <f ca="1">IFERROR(__xludf.DUMMYFUNCTION("IF
(
C12344=""фізична особа""
,
VLOOKUP(D12344,IMPORTRANGE(""https://docs.google.com/spreadsheets/d/14Bd19lYaqBhU8_DElYkX7l4wRkHqqCUFNJY4AfY3kHU/edit?usp=sharing  #gid=0"",""фіз особи new!relations_name""),6,FALSE)
,
(IF
(
C12344=""юридична особа""
,
VLOO"&amp;"KUP(D12344,IMPORTRANGE(""https://docs.google.com/spreadsheets/d/14Bd19lYaqBhU8_DElYkX7l4wRkHqqCUFNJY4AfY3kHU/edit?usp=sharing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3" s="7" t="s">
        <v>10</v>
      </c>
      <c r="H12343" s="7">
        <v>18034</v>
      </c>
      <c r="I12343" s="8" t="str">
        <f ca="1">IFERROR(__xludf.DUMMYFUNCTION("IF
(
G12344=""фізична особа""
,
VLOOKUP(H12344,IMPORTRANGE(""https://docs.google.com/spreadsheets/d/14Bd19lYaqBhU8_DElYkX7l4wRkHqqCUFNJY4AfY3kHU/edit?usp=sharing  #gid=0"",""фіз особи new!relations_name""),6,FALSE)
,
(IF
(
G12344=""юридична особа""
,
VLOO"&amp;"KUP(H12344,IMPORTRANGE(""https://docs.google.com/spreadsheets/d/14Bd19lYaqBhU8_DElYkX7l4wRkHqqCUFNJY4AfY3kHU/edit?usp=sharing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43" s="7" t="s">
        <v>11</v>
      </c>
    </row>
    <row r="12344" spans="1:10" ht="13.2">
      <c r="A12344" s="7">
        <v>12343</v>
      </c>
      <c r="B12344" s="7">
        <v>1</v>
      </c>
      <c r="C12344" s="7" t="s">
        <v>10</v>
      </c>
      <c r="D12344" s="7">
        <v>18025</v>
      </c>
      <c r="E12344" s="7" t="s">
        <v>11</v>
      </c>
      <c r="F12344" s="8" t="str">
        <f ca="1">IFERROR(__xludf.DUMMYFUNCTION("IF
(
C12345=""фізична особа""
,
VLOOKUP(D12345,IMPORTRANGE(""https://docs.google.com/spreadsheets/d/14Bd19lYaqBhU8_DElYkX7l4wRkHqqCUFNJY4AfY3kHU/edit?usp=sharing  #gid=0"",""фіз особи new!relations_name""),6,FALSE)
,
(IF
(
C12345=""юридична особа""
,
VLOO"&amp;"KUP(D12345,IMPORTRANGE(""https://docs.google.com/spreadsheets/d/14Bd19lYaqBhU8_DElYkX7l4wRkHqqCUFNJY4AfY3kHU/edit?usp=sharing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4" s="7" t="s">
        <v>10</v>
      </c>
      <c r="H12344" s="7">
        <v>18035</v>
      </c>
      <c r="I12344" s="8" t="str">
        <f ca="1">IFERROR(__xludf.DUMMYFUNCTION("IF
(
G12345=""фізична особа""
,
VLOOKUP(H12345,IMPORTRANGE(""https://docs.google.com/spreadsheets/d/14Bd19lYaqBhU8_DElYkX7l4wRkHqqCUFNJY4AfY3kHU/edit?usp=sharing  #gid=0"",""фіз особи new!relations_name""),6,FALSE)
,
(IF
(
G12345=""юридична особа""
,
VLOO"&amp;"KUP(H12345,IMPORTRANGE(""https://docs.google.com/spreadsheets/d/14Bd19lYaqBhU8_DElYkX7l4wRkHqqCUFNJY4AfY3kHU/edit?usp=sharing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44" s="7" t="s">
        <v>11</v>
      </c>
    </row>
    <row r="12345" spans="1:10" ht="13.2">
      <c r="A12345" s="7">
        <v>12344</v>
      </c>
      <c r="B12345" s="7">
        <v>1</v>
      </c>
      <c r="C12345" s="7" t="s">
        <v>10</v>
      </c>
      <c r="D12345" s="7">
        <v>18025</v>
      </c>
      <c r="E12345" s="7" t="s">
        <v>11</v>
      </c>
      <c r="F12345" s="8" t="str">
        <f ca="1">IFERROR(__xludf.DUMMYFUNCTION("IF
(
C12346=""фізична особа""
,
VLOOKUP(D12346,IMPORTRANGE(""https://docs.google.com/spreadsheets/d/14Bd19lYaqBhU8_DElYkX7l4wRkHqqCUFNJY4AfY3kHU/edit?usp=sharing  #gid=0"",""фіз особи new!relations_name""),6,FALSE)
,
(IF
(
C12346=""юридична особа""
,
VLOO"&amp;"KUP(D12346,IMPORTRANGE(""https://docs.google.com/spreadsheets/d/14Bd19lYaqBhU8_DElYkX7l4wRkHqqCUFNJY4AfY3kHU/edit?usp=sharing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G12345" s="7" t="s">
        <v>10</v>
      </c>
      <c r="H12345" s="7">
        <v>18036</v>
      </c>
      <c r="I12345" s="8" t="str">
        <f ca="1">IFERROR(__xludf.DUMMYFUNCTION("IF
(
G12346=""фізична особа""
,
VLOOKUP(H12346,IMPORTRANGE(""https://docs.google.com/spreadsheets/d/14Bd19lYaqBhU8_DElYkX7l4wRkHqqCUFNJY4AfY3kHU/edit?usp=sharing  #gid=0"",""фіз особи new!relations_name""),6,FALSE)
,
(IF
(
G12346=""юридична особа""
,
VLOO"&amp;"KUP(H12346,IMPORTRANGE(""https://docs.google.com/spreadsheets/d/14Bd19lYaqBhU8_DElYkX7l4wRkHqqCUFNJY4AfY3kHU/edit?usp=sharing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345" s="7" t="s">
        <v>11</v>
      </c>
    </row>
    <row r="12346" spans="1:10" ht="13.2">
      <c r="A12346" s="7">
        <v>12345</v>
      </c>
      <c r="B12346" s="7">
        <v>1</v>
      </c>
      <c r="C12346" s="7" t="s">
        <v>10</v>
      </c>
      <c r="D12346" s="7">
        <v>18026</v>
      </c>
      <c r="E12346" s="7" t="s">
        <v>11</v>
      </c>
      <c r="F12346" s="8" t="str">
        <f ca="1">IFERROR(__xludf.DUMMYFUNCTION("IF
(
C12347=""фізична особа""
,
VLOOKUP(D12347,IMPORTRANGE(""https://docs.google.com/spreadsheets/d/14Bd19lYaqBhU8_DElYkX7l4wRkHqqCUFNJY4AfY3kHU/edit?usp=sharing  #gid=0"",""фіз особи new!relations_name""),6,FALSE)
,
(IF
(
C12347=""юридична особа""
,
VLOO"&amp;"KUP(D12347,IMPORTRANGE(""https://docs.google.com/spreadsheets/d/14Bd19lYaqBhU8_DElYkX7l4wRkHqqCUFNJY4AfY3kHU/edit?usp=sharing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46" s="7" t="s">
        <v>10</v>
      </c>
      <c r="H12346" s="7">
        <v>18025</v>
      </c>
      <c r="I12346" s="8" t="str">
        <f ca="1">IFERROR(__xludf.DUMMYFUNCTION("IF
(
G12347=""фізична особа""
,
VLOOKUP(H12347,IMPORTRANGE(""https://docs.google.com/spreadsheets/d/14Bd19lYaqBhU8_DElYkX7l4wRkHqqCUFNJY4AfY3kHU/edit?usp=sharing  #gid=0"",""фіз особи new!relations_name""),6,FALSE)
,
(IF
(
G12347=""юридична особа""
,
VLOO"&amp;"KUP(H12347,IMPORTRANGE(""https://docs.google.com/spreadsheets/d/14Bd19lYaqBhU8_DElYkX7l4wRkHqqCUFNJY4AfY3kHU/edit?usp=sharing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346" s="7" t="s">
        <v>11</v>
      </c>
    </row>
    <row r="12347" spans="1:10" ht="13.2">
      <c r="A12347" s="7">
        <v>12346</v>
      </c>
      <c r="B12347" s="7">
        <v>1</v>
      </c>
      <c r="C12347" s="7" t="s">
        <v>10</v>
      </c>
      <c r="D12347" s="7">
        <v>18026</v>
      </c>
      <c r="E12347" s="7" t="s">
        <v>11</v>
      </c>
      <c r="F12347" s="8" t="str">
        <f ca="1">IFERROR(__xludf.DUMMYFUNCTION("IF
(
C12348=""фізична особа""
,
VLOOKUP(D12348,IMPORTRANGE(""https://docs.google.com/spreadsheets/d/14Bd19lYaqBhU8_DElYkX7l4wRkHqqCUFNJY4AfY3kHU/edit?usp=sharing  #gid=0"",""фіз особи new!relations_name""),6,FALSE)
,
(IF
(
C12348=""юридична особа""
,
VLOO"&amp;"KUP(D12348,IMPORTRANGE(""https://docs.google.com/spreadsheets/d/14Bd19lYaqBhU8_DElYkX7l4wRkHqqCUFNJY4AfY3kHU/edit?usp=sharing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47" s="7" t="s">
        <v>10</v>
      </c>
      <c r="H12347" s="7">
        <v>18027</v>
      </c>
      <c r="I12347" s="8" t="str">
        <f ca="1">IFERROR(__xludf.DUMMYFUNCTION("IF
(
G12348=""фізична особа""
,
VLOOKUP(H12348,IMPORTRANGE(""https://docs.google.com/spreadsheets/d/14Bd19lYaqBhU8_DElYkX7l4wRkHqqCUFNJY4AfY3kHU/edit?usp=sharing  #gid=0"",""фіз особи new!relations_name""),6,FALSE)
,
(IF
(
G12348=""юридична особа""
,
VLOO"&amp;"KUP(H12348,IMPORTRANGE(""https://docs.google.com/spreadsheets/d/14Bd19lYaqBhU8_DElYkX7l4wRkHqqCUFNJY4AfY3kHU/edit?usp=sharing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347" s="7" t="s">
        <v>11</v>
      </c>
    </row>
    <row r="12348" spans="1:10" ht="13.2">
      <c r="A12348" s="7">
        <v>12347</v>
      </c>
      <c r="B12348" s="7">
        <v>1</v>
      </c>
      <c r="C12348" s="7" t="s">
        <v>10</v>
      </c>
      <c r="D12348" s="7">
        <v>18026</v>
      </c>
      <c r="E12348" s="7" t="s">
        <v>11</v>
      </c>
      <c r="F12348" s="8" t="str">
        <f ca="1">IFERROR(__xludf.DUMMYFUNCTION("IF
(
C12349=""фізична особа""
,
VLOOKUP(D12349,IMPORTRANGE(""https://docs.google.com/spreadsheets/d/14Bd19lYaqBhU8_DElYkX7l4wRkHqqCUFNJY4AfY3kHU/edit?usp=sharing  #gid=0"",""фіз особи new!relations_name""),6,FALSE)
,
(IF
(
C12349=""юридична особа""
,
VLOO"&amp;"KUP(D12349,IMPORTRANGE(""https://docs.google.com/spreadsheets/d/14Bd19lYaqBhU8_DElYkX7l4wRkHqqCUFNJY4AfY3kHU/edit?usp=sharing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48" s="7" t="s">
        <v>10</v>
      </c>
      <c r="H12348" s="7">
        <v>18028</v>
      </c>
      <c r="I12348" s="8" t="str">
        <f ca="1">IFERROR(__xludf.DUMMYFUNCTION("IF
(
G12349=""фізична особа""
,
VLOOKUP(H12349,IMPORTRANGE(""https://docs.google.com/spreadsheets/d/14Bd19lYaqBhU8_DElYkX7l4wRkHqqCUFNJY4AfY3kHU/edit?usp=sharing  #gid=0"",""фіз особи new!relations_name""),6,FALSE)
,
(IF
(
G12349=""юридична особа""
,
VLOO"&amp;"KUP(H12349,IMPORTRANGE(""https://docs.google.com/spreadsheets/d/14Bd19lYaqBhU8_DElYkX7l4wRkHqqCUFNJY4AfY3kHU/edit?usp=sharing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348" s="7" t="s">
        <v>11</v>
      </c>
    </row>
    <row r="12349" spans="1:10" ht="13.2">
      <c r="A12349" s="7">
        <v>12348</v>
      </c>
      <c r="B12349" s="7">
        <v>1</v>
      </c>
      <c r="C12349" s="7" t="s">
        <v>10</v>
      </c>
      <c r="D12349" s="7">
        <v>18026</v>
      </c>
      <c r="E12349" s="7" t="s">
        <v>11</v>
      </c>
      <c r="F12349" s="8" t="str">
        <f ca="1">IFERROR(__xludf.DUMMYFUNCTION("IF
(
C12350=""фізична особа""
,
VLOOKUP(D12350,IMPORTRANGE(""https://docs.google.com/spreadsheets/d/14Bd19lYaqBhU8_DElYkX7l4wRkHqqCUFNJY4AfY3kHU/edit?usp=sharing  #gid=0"",""фіз особи new!relations_name""),6,FALSE)
,
(IF
(
C12350=""юридична особа""
,
VLOO"&amp;"KUP(D12350,IMPORTRANGE(""https://docs.google.com/spreadsheets/d/14Bd19lYaqBhU8_DElYkX7l4wRkHqqCUFNJY4AfY3kHU/edit?usp=sharing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49" s="7" t="s">
        <v>10</v>
      </c>
      <c r="H12349" s="7">
        <v>18029</v>
      </c>
      <c r="I12349" s="8" t="str">
        <f ca="1">IFERROR(__xludf.DUMMYFUNCTION("IF
(
G12350=""фізична особа""
,
VLOOKUP(H12350,IMPORTRANGE(""https://docs.google.com/spreadsheets/d/14Bd19lYaqBhU8_DElYkX7l4wRkHqqCUFNJY4AfY3kHU/edit?usp=sharing  #gid=0"",""фіз особи new!relations_name""),6,FALSE)
,
(IF
(
G12350=""юридична особа""
,
VLOO"&amp;"KUP(H12350,IMPORTRANGE(""https://docs.google.com/spreadsheets/d/14Bd19lYaqBhU8_DElYkX7l4wRkHqqCUFNJY4AfY3kHU/edit?usp=sharing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349" s="7" t="s">
        <v>11</v>
      </c>
    </row>
    <row r="12350" spans="1:10" ht="13.2">
      <c r="A12350" s="7">
        <v>12349</v>
      </c>
      <c r="B12350" s="7">
        <v>1</v>
      </c>
      <c r="C12350" s="7" t="s">
        <v>10</v>
      </c>
      <c r="D12350" s="7">
        <v>18026</v>
      </c>
      <c r="E12350" s="7" t="s">
        <v>11</v>
      </c>
      <c r="F12350" s="8" t="str">
        <f ca="1">IFERROR(__xludf.DUMMYFUNCTION("IF
(
C12351=""фізична особа""
,
VLOOKUP(D12351,IMPORTRANGE(""https://docs.google.com/spreadsheets/d/14Bd19lYaqBhU8_DElYkX7l4wRkHqqCUFNJY4AfY3kHU/edit?usp=sharing  #gid=0"",""фіз особи new!relations_name""),6,FALSE)
,
(IF
(
C12351=""юридична особа""
,
VLOO"&amp;"KUP(D12351,IMPORTRANGE(""https://docs.google.com/spreadsheets/d/14Bd19lYaqBhU8_DElYkX7l4wRkHqqCUFNJY4AfY3kHU/edit?usp=sharing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0" s="7" t="s">
        <v>10</v>
      </c>
      <c r="H12350" s="7">
        <v>18030</v>
      </c>
      <c r="I12350" s="8" t="str">
        <f ca="1">IFERROR(__xludf.DUMMYFUNCTION("IF
(
G12351=""фізична особа""
,
VLOOKUP(H12351,IMPORTRANGE(""https://docs.google.com/spreadsheets/d/14Bd19lYaqBhU8_DElYkX7l4wRkHqqCUFNJY4AfY3kHU/edit?usp=sharing  #gid=0"",""фіз особи new!relations_name""),6,FALSE)
,
(IF
(
G12351=""юридична особа""
,
VLOO"&amp;"KUP(H12351,IMPORTRANGE(""https://docs.google.com/spreadsheets/d/14Bd19lYaqBhU8_DElYkX7l4wRkHqqCUFNJY4AfY3kHU/edit?usp=sharing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350" s="7" t="s">
        <v>11</v>
      </c>
    </row>
    <row r="12351" spans="1:10" ht="13.2">
      <c r="A12351" s="7">
        <v>12350</v>
      </c>
      <c r="B12351" s="7">
        <v>1</v>
      </c>
      <c r="C12351" s="7" t="s">
        <v>10</v>
      </c>
      <c r="D12351" s="7">
        <v>18026</v>
      </c>
      <c r="E12351" s="7" t="s">
        <v>11</v>
      </c>
      <c r="F12351" s="8" t="str">
        <f ca="1">IFERROR(__xludf.DUMMYFUNCTION("IF
(
C12352=""фізична особа""
,
VLOOKUP(D12352,IMPORTRANGE(""https://docs.google.com/spreadsheets/d/14Bd19lYaqBhU8_DElYkX7l4wRkHqqCUFNJY4AfY3kHU/edit?usp=sharing  #gid=0"",""фіз особи new!relations_name""),6,FALSE)
,
(IF
(
C12352=""юридична особа""
,
VLOO"&amp;"KUP(D12352,IMPORTRANGE(""https://docs.google.com/spreadsheets/d/14Bd19lYaqBhU8_DElYkX7l4wRkHqqCUFNJY4AfY3kHU/edit?usp=sharing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1" s="7" t="s">
        <v>10</v>
      </c>
      <c r="H12351" s="7">
        <v>18031</v>
      </c>
      <c r="I12351" s="8" t="str">
        <f ca="1">IFERROR(__xludf.DUMMYFUNCTION("IF
(
G12352=""фізична особа""
,
VLOOKUP(H12352,IMPORTRANGE(""https://docs.google.com/spreadsheets/d/14Bd19lYaqBhU8_DElYkX7l4wRkHqqCUFNJY4AfY3kHU/edit?usp=sharing  #gid=0"",""фіз особи new!relations_name""),6,FALSE)
,
(IF
(
G12352=""юридична особа""
,
VLOO"&amp;"KUP(H12352,IMPORTRANGE(""https://docs.google.com/spreadsheets/d/14Bd19lYaqBhU8_DElYkX7l4wRkHqqCUFNJY4AfY3kHU/edit?usp=sharing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51" s="7" t="s">
        <v>11</v>
      </c>
    </row>
    <row r="12352" spans="1:10" ht="13.2">
      <c r="A12352" s="7">
        <v>12351</v>
      </c>
      <c r="B12352" s="7">
        <v>1</v>
      </c>
      <c r="C12352" s="7" t="s">
        <v>10</v>
      </c>
      <c r="D12352" s="7">
        <v>18026</v>
      </c>
      <c r="E12352" s="7" t="s">
        <v>11</v>
      </c>
      <c r="F12352" s="8" t="str">
        <f ca="1">IFERROR(__xludf.DUMMYFUNCTION("IF
(
C12353=""фізична особа""
,
VLOOKUP(D12353,IMPORTRANGE(""https://docs.google.com/spreadsheets/d/14Bd19lYaqBhU8_DElYkX7l4wRkHqqCUFNJY4AfY3kHU/edit?usp=sharing  #gid=0"",""фіз особи new!relations_name""),6,FALSE)
,
(IF
(
C12353=""юридична особа""
,
VLOO"&amp;"KUP(D12353,IMPORTRANGE(""https://docs.google.com/spreadsheets/d/14Bd19lYaqBhU8_DElYkX7l4wRkHqqCUFNJY4AfY3kHU/edit?usp=sharing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2" s="7" t="s">
        <v>10</v>
      </c>
      <c r="H12352" s="7">
        <v>18032</v>
      </c>
      <c r="I12352" s="8" t="str">
        <f ca="1">IFERROR(__xludf.DUMMYFUNCTION("IF
(
G12353=""фізична особа""
,
VLOOKUP(H12353,IMPORTRANGE(""https://docs.google.com/spreadsheets/d/14Bd19lYaqBhU8_DElYkX7l4wRkHqqCUFNJY4AfY3kHU/edit?usp=sharing  #gid=0"",""фіз особи new!relations_name""),6,FALSE)
,
(IF
(
G12353=""юридична особа""
,
VLOO"&amp;"KUP(H12353,IMPORTRANGE(""https://docs.google.com/spreadsheets/d/14Bd19lYaqBhU8_DElYkX7l4wRkHqqCUFNJY4AfY3kHU/edit?usp=sharing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52" s="7" t="s">
        <v>11</v>
      </c>
    </row>
    <row r="12353" spans="1:10" ht="13.2">
      <c r="A12353" s="7">
        <v>12352</v>
      </c>
      <c r="B12353" s="7">
        <v>1</v>
      </c>
      <c r="C12353" s="7" t="s">
        <v>10</v>
      </c>
      <c r="D12353" s="7">
        <v>18026</v>
      </c>
      <c r="E12353" s="7" t="s">
        <v>11</v>
      </c>
      <c r="F12353" s="8" t="str">
        <f ca="1">IFERROR(__xludf.DUMMYFUNCTION("IF
(
C12354=""фізична особа""
,
VLOOKUP(D12354,IMPORTRANGE(""https://docs.google.com/spreadsheets/d/14Bd19lYaqBhU8_DElYkX7l4wRkHqqCUFNJY4AfY3kHU/edit?usp=sharing  #gid=0"",""фіз особи new!relations_name""),6,FALSE)
,
(IF
(
C12354=""юридична особа""
,
VLOO"&amp;"KUP(D12354,IMPORTRANGE(""https://docs.google.com/spreadsheets/d/14Bd19lYaqBhU8_DElYkX7l4wRkHqqCUFNJY4AfY3kHU/edit?usp=sharing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3" s="7" t="s">
        <v>10</v>
      </c>
      <c r="H12353" s="7">
        <v>18033</v>
      </c>
      <c r="I12353" s="8" t="str">
        <f ca="1">IFERROR(__xludf.DUMMYFUNCTION("IF
(
G12354=""фізична особа""
,
VLOOKUP(H12354,IMPORTRANGE(""https://docs.google.com/spreadsheets/d/14Bd19lYaqBhU8_DElYkX7l4wRkHqqCUFNJY4AfY3kHU/edit?usp=sharing  #gid=0"",""фіз особи new!relations_name""),6,FALSE)
,
(IF
(
G12354=""юридична особа""
,
VLOO"&amp;"KUP(H12354,IMPORTRANGE(""https://docs.google.com/spreadsheets/d/14Bd19lYaqBhU8_DElYkX7l4wRkHqqCUFNJY4AfY3kHU/edit?usp=sharing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53" s="7" t="s">
        <v>11</v>
      </c>
    </row>
    <row r="12354" spans="1:10" ht="13.2">
      <c r="A12354" s="7">
        <v>12353</v>
      </c>
      <c r="B12354" s="7">
        <v>1</v>
      </c>
      <c r="C12354" s="7" t="s">
        <v>10</v>
      </c>
      <c r="D12354" s="7">
        <v>18026</v>
      </c>
      <c r="E12354" s="7" t="s">
        <v>11</v>
      </c>
      <c r="F12354" s="8" t="str">
        <f ca="1">IFERROR(__xludf.DUMMYFUNCTION("IF
(
C12355=""фізична особа""
,
VLOOKUP(D12355,IMPORTRANGE(""https://docs.google.com/spreadsheets/d/14Bd19lYaqBhU8_DElYkX7l4wRkHqqCUFNJY4AfY3kHU/edit?usp=sharing  #gid=0"",""фіз особи new!relations_name""),6,FALSE)
,
(IF
(
C12355=""юридична особа""
,
VLOO"&amp;"KUP(D12355,IMPORTRANGE(""https://docs.google.com/spreadsheets/d/14Bd19lYaqBhU8_DElYkX7l4wRkHqqCUFNJY4AfY3kHU/edit?usp=sharing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4" s="7" t="s">
        <v>10</v>
      </c>
      <c r="H12354" s="7">
        <v>18034</v>
      </c>
      <c r="I12354" s="8" t="str">
        <f ca="1">IFERROR(__xludf.DUMMYFUNCTION("IF
(
G12355=""фізична особа""
,
VLOOKUP(H12355,IMPORTRANGE(""https://docs.google.com/spreadsheets/d/14Bd19lYaqBhU8_DElYkX7l4wRkHqqCUFNJY4AfY3kHU/edit?usp=sharing  #gid=0"",""фіз особи new!relations_name""),6,FALSE)
,
(IF
(
G12355=""юридична особа""
,
VLOO"&amp;"KUP(H12355,IMPORTRANGE(""https://docs.google.com/spreadsheets/d/14Bd19lYaqBhU8_DElYkX7l4wRkHqqCUFNJY4AfY3kHU/edit?usp=sharing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54" s="7" t="s">
        <v>11</v>
      </c>
    </row>
    <row r="12355" spans="1:10" ht="13.2">
      <c r="A12355" s="7">
        <v>12354</v>
      </c>
      <c r="B12355" s="7">
        <v>1</v>
      </c>
      <c r="C12355" s="7" t="s">
        <v>10</v>
      </c>
      <c r="D12355" s="7">
        <v>18026</v>
      </c>
      <c r="E12355" s="7" t="s">
        <v>11</v>
      </c>
      <c r="F12355" s="8" t="str">
        <f ca="1">IFERROR(__xludf.DUMMYFUNCTION("IF
(
C12356=""фізична особа""
,
VLOOKUP(D12356,IMPORTRANGE(""https://docs.google.com/spreadsheets/d/14Bd19lYaqBhU8_DElYkX7l4wRkHqqCUFNJY4AfY3kHU/edit?usp=sharing  #gid=0"",""фіз особи new!relations_name""),6,FALSE)
,
(IF
(
C12356=""юридична особа""
,
VLOO"&amp;"KUP(D12356,IMPORTRANGE(""https://docs.google.com/spreadsheets/d/14Bd19lYaqBhU8_DElYkX7l4wRkHqqCUFNJY4AfY3kHU/edit?usp=sharing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5" s="7" t="s">
        <v>10</v>
      </c>
      <c r="H12355" s="7">
        <v>18035</v>
      </c>
      <c r="I12355" s="8" t="str">
        <f ca="1">IFERROR(__xludf.DUMMYFUNCTION("IF
(
G12356=""фізична особа""
,
VLOOKUP(H12356,IMPORTRANGE(""https://docs.google.com/spreadsheets/d/14Bd19lYaqBhU8_DElYkX7l4wRkHqqCUFNJY4AfY3kHU/edit?usp=sharing  #gid=0"",""фіз особи new!relations_name""),6,FALSE)
,
(IF
(
G12356=""юридична особа""
,
VLOO"&amp;"KUP(H12356,IMPORTRANGE(""https://docs.google.com/spreadsheets/d/14Bd19lYaqBhU8_DElYkX7l4wRkHqqCUFNJY4AfY3kHU/edit?usp=sharing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55" s="7" t="s">
        <v>11</v>
      </c>
    </row>
    <row r="12356" spans="1:10" ht="13.2">
      <c r="A12356" s="7">
        <v>12355</v>
      </c>
      <c r="B12356" s="7">
        <v>1</v>
      </c>
      <c r="C12356" s="7" t="s">
        <v>10</v>
      </c>
      <c r="D12356" s="7">
        <v>18026</v>
      </c>
      <c r="E12356" s="7" t="s">
        <v>11</v>
      </c>
      <c r="F12356" s="8" t="str">
        <f ca="1">IFERROR(__xludf.DUMMYFUNCTION("IF
(
C12357=""фізична особа""
,
VLOOKUP(D12357,IMPORTRANGE(""https://docs.google.com/spreadsheets/d/14Bd19lYaqBhU8_DElYkX7l4wRkHqqCUFNJY4AfY3kHU/edit?usp=sharing  #gid=0"",""фіз особи new!relations_name""),6,FALSE)
,
(IF
(
C12357=""юридична особа""
,
VLOO"&amp;"KUP(D12357,IMPORTRANGE(""https://docs.google.com/spreadsheets/d/14Bd19lYaqBhU8_DElYkX7l4wRkHqqCUFNJY4AfY3kHU/edit?usp=sharing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G12356" s="7" t="s">
        <v>10</v>
      </c>
      <c r="H12356" s="7">
        <v>18036</v>
      </c>
      <c r="I12356" s="8" t="str">
        <f ca="1">IFERROR(__xludf.DUMMYFUNCTION("IF
(
G12357=""фізична особа""
,
VLOOKUP(H12357,IMPORTRANGE(""https://docs.google.com/spreadsheets/d/14Bd19lYaqBhU8_DElYkX7l4wRkHqqCUFNJY4AfY3kHU/edit?usp=sharing  #gid=0"",""фіз особи new!relations_name""),6,FALSE)
,
(IF
(
G12357=""юридична особа""
,
VLOO"&amp;"KUP(H12357,IMPORTRANGE(""https://docs.google.com/spreadsheets/d/14Bd19lYaqBhU8_DElYkX7l4wRkHqqCUFNJY4AfY3kHU/edit?usp=sharing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356" s="7" t="s">
        <v>11</v>
      </c>
    </row>
    <row r="12357" spans="1:10" ht="13.2">
      <c r="A12357" s="7">
        <v>12356</v>
      </c>
      <c r="B12357" s="7">
        <v>1</v>
      </c>
      <c r="C12357" s="7" t="s">
        <v>10</v>
      </c>
      <c r="D12357" s="7">
        <v>18027</v>
      </c>
      <c r="E12357" s="7" t="s">
        <v>11</v>
      </c>
      <c r="F12357" s="8" t="str">
        <f ca="1">IFERROR(__xludf.DUMMYFUNCTION("IF
(
C12358=""фізична особа""
,
VLOOKUP(D12358,IMPORTRANGE(""https://docs.google.com/spreadsheets/d/14Bd19lYaqBhU8_DElYkX7l4wRkHqqCUFNJY4AfY3kHU/edit?usp=sharing  #gid=0"",""фіз особи new!relations_name""),6,FALSE)
,
(IF
(
C12358=""юридична особа""
,
VLOO"&amp;"KUP(D12358,IMPORTRANGE(""https://docs.google.com/spreadsheets/d/14Bd19lYaqBhU8_DElYkX7l4wRkHqqCUFNJY4AfY3kHU/edit?usp=sharing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57" s="7" t="s">
        <v>10</v>
      </c>
      <c r="H12357" s="7">
        <v>18025</v>
      </c>
      <c r="I12357" s="8" t="str">
        <f ca="1">IFERROR(__xludf.DUMMYFUNCTION("IF
(
G12358=""фізична особа""
,
VLOOKUP(H12358,IMPORTRANGE(""https://docs.google.com/spreadsheets/d/14Bd19lYaqBhU8_DElYkX7l4wRkHqqCUFNJY4AfY3kHU/edit?usp=sharing  #gid=0"",""фіз особи new!relations_name""),6,FALSE)
,
(IF
(
G12358=""юридична особа""
,
VLOO"&amp;"KUP(H12358,IMPORTRANGE(""https://docs.google.com/spreadsheets/d/14Bd19lYaqBhU8_DElYkX7l4wRkHqqCUFNJY4AfY3kHU/edit?usp=sharing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357" s="7" t="s">
        <v>11</v>
      </c>
    </row>
    <row r="12358" spans="1:10" ht="13.2">
      <c r="A12358" s="7">
        <v>12357</v>
      </c>
      <c r="B12358" s="7">
        <v>1</v>
      </c>
      <c r="C12358" s="7" t="s">
        <v>10</v>
      </c>
      <c r="D12358" s="7">
        <v>18027</v>
      </c>
      <c r="E12358" s="7" t="s">
        <v>11</v>
      </c>
      <c r="F12358" s="8" t="str">
        <f ca="1">IFERROR(__xludf.DUMMYFUNCTION("IF
(
C12359=""фізична особа""
,
VLOOKUP(D12359,IMPORTRANGE(""https://docs.google.com/spreadsheets/d/14Bd19lYaqBhU8_DElYkX7l4wRkHqqCUFNJY4AfY3kHU/edit?usp=sharing  #gid=0"",""фіз особи new!relations_name""),6,FALSE)
,
(IF
(
C12359=""юридична особа""
,
VLOO"&amp;"KUP(D12359,IMPORTRANGE(""https://docs.google.com/spreadsheets/d/14Bd19lYaqBhU8_DElYkX7l4wRkHqqCUFNJY4AfY3kHU/edit?usp=sharing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58" s="7" t="s">
        <v>10</v>
      </c>
      <c r="H12358" s="7">
        <v>18026</v>
      </c>
      <c r="I12358" s="8" t="str">
        <f ca="1">IFERROR(__xludf.DUMMYFUNCTION("IF
(
G12359=""фізична особа""
,
VLOOKUP(H12359,IMPORTRANGE(""https://docs.google.com/spreadsheets/d/14Bd19lYaqBhU8_DElYkX7l4wRkHqqCUFNJY4AfY3kHU/edit?usp=sharing  #gid=0"",""фіз особи new!relations_name""),6,FALSE)
,
(IF
(
G12359=""юридична особа""
,
VLOO"&amp;"KUP(H12359,IMPORTRANGE(""https://docs.google.com/spreadsheets/d/14Bd19lYaqBhU8_DElYkX7l4wRkHqqCUFNJY4AfY3kHU/edit?usp=sharing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358" s="7" t="s">
        <v>11</v>
      </c>
    </row>
    <row r="12359" spans="1:10" ht="13.2">
      <c r="A12359" s="7">
        <v>12358</v>
      </c>
      <c r="B12359" s="7">
        <v>1</v>
      </c>
      <c r="C12359" s="7" t="s">
        <v>10</v>
      </c>
      <c r="D12359" s="7">
        <v>18027</v>
      </c>
      <c r="E12359" s="7" t="s">
        <v>11</v>
      </c>
      <c r="F12359" s="8" t="str">
        <f ca="1">IFERROR(__xludf.DUMMYFUNCTION("IF
(
C12360=""фізична особа""
,
VLOOKUP(D12360,IMPORTRANGE(""https://docs.google.com/spreadsheets/d/14Bd19lYaqBhU8_DElYkX7l4wRkHqqCUFNJY4AfY3kHU/edit?usp=sharing  #gid=0"",""фіз особи new!relations_name""),6,FALSE)
,
(IF
(
C12360=""юридична особа""
,
VLOO"&amp;"KUP(D12360,IMPORTRANGE(""https://docs.google.com/spreadsheets/d/14Bd19lYaqBhU8_DElYkX7l4wRkHqqCUFNJY4AfY3kHU/edit?usp=sharing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59" s="7" t="s">
        <v>10</v>
      </c>
      <c r="H12359" s="7">
        <v>18028</v>
      </c>
      <c r="I12359" s="8" t="str">
        <f ca="1">IFERROR(__xludf.DUMMYFUNCTION("IF
(
G12360=""фізична особа""
,
VLOOKUP(H12360,IMPORTRANGE(""https://docs.google.com/spreadsheets/d/14Bd19lYaqBhU8_DElYkX7l4wRkHqqCUFNJY4AfY3kHU/edit?usp=sharing  #gid=0"",""фіз особи new!relations_name""),6,FALSE)
,
(IF
(
G12360=""юридична особа""
,
VLOO"&amp;"KUP(H12360,IMPORTRANGE(""https://docs.google.com/spreadsheets/d/14Bd19lYaqBhU8_DElYkX7l4wRkHqqCUFNJY4AfY3kHU/edit?usp=sharing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359" s="7" t="s">
        <v>11</v>
      </c>
    </row>
    <row r="12360" spans="1:10" ht="13.2">
      <c r="A12360" s="7">
        <v>12359</v>
      </c>
      <c r="B12360" s="7">
        <v>1</v>
      </c>
      <c r="C12360" s="7" t="s">
        <v>10</v>
      </c>
      <c r="D12360" s="7">
        <v>18027</v>
      </c>
      <c r="E12360" s="7" t="s">
        <v>11</v>
      </c>
      <c r="F12360" s="8" t="str">
        <f ca="1">IFERROR(__xludf.DUMMYFUNCTION("IF
(
C12361=""фізична особа""
,
VLOOKUP(D12361,IMPORTRANGE(""https://docs.google.com/spreadsheets/d/14Bd19lYaqBhU8_DElYkX7l4wRkHqqCUFNJY4AfY3kHU/edit?usp=sharing  #gid=0"",""фіз особи new!relations_name""),6,FALSE)
,
(IF
(
C12361=""юридична особа""
,
VLOO"&amp;"KUP(D12361,IMPORTRANGE(""https://docs.google.com/spreadsheets/d/14Bd19lYaqBhU8_DElYkX7l4wRkHqqCUFNJY4AfY3kHU/edit?usp=sharing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0" s="7" t="s">
        <v>10</v>
      </c>
      <c r="H12360" s="7">
        <v>18029</v>
      </c>
      <c r="I12360" s="8" t="str">
        <f ca="1">IFERROR(__xludf.DUMMYFUNCTION("IF
(
G12361=""фізична особа""
,
VLOOKUP(H12361,IMPORTRANGE(""https://docs.google.com/spreadsheets/d/14Bd19lYaqBhU8_DElYkX7l4wRkHqqCUFNJY4AfY3kHU/edit?usp=sharing  #gid=0"",""фіз особи new!relations_name""),6,FALSE)
,
(IF
(
G12361=""юридична особа""
,
VLOO"&amp;"KUP(H12361,IMPORTRANGE(""https://docs.google.com/spreadsheets/d/14Bd19lYaqBhU8_DElYkX7l4wRkHqqCUFNJY4AfY3kHU/edit?usp=sharing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360" s="7" t="s">
        <v>11</v>
      </c>
    </row>
    <row r="12361" spans="1:10" ht="13.2">
      <c r="A12361" s="7">
        <v>12360</v>
      </c>
      <c r="B12361" s="7">
        <v>1</v>
      </c>
      <c r="C12361" s="7" t="s">
        <v>10</v>
      </c>
      <c r="D12361" s="7">
        <v>18027</v>
      </c>
      <c r="E12361" s="7" t="s">
        <v>11</v>
      </c>
      <c r="F12361" s="8" t="str">
        <f ca="1">IFERROR(__xludf.DUMMYFUNCTION("IF
(
C12362=""фізична особа""
,
VLOOKUP(D12362,IMPORTRANGE(""https://docs.google.com/spreadsheets/d/14Bd19lYaqBhU8_DElYkX7l4wRkHqqCUFNJY4AfY3kHU/edit?usp=sharing  #gid=0"",""фіз особи new!relations_name""),6,FALSE)
,
(IF
(
C12362=""юридична особа""
,
VLOO"&amp;"KUP(D12362,IMPORTRANGE(""https://docs.google.com/spreadsheets/d/14Bd19lYaqBhU8_DElYkX7l4wRkHqqCUFNJY4AfY3kHU/edit?usp=sharing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1" s="7" t="s">
        <v>10</v>
      </c>
      <c r="H12361" s="7">
        <v>18030</v>
      </c>
      <c r="I12361" s="8" t="str">
        <f ca="1">IFERROR(__xludf.DUMMYFUNCTION("IF
(
G12362=""фізична особа""
,
VLOOKUP(H12362,IMPORTRANGE(""https://docs.google.com/spreadsheets/d/14Bd19lYaqBhU8_DElYkX7l4wRkHqqCUFNJY4AfY3kHU/edit?usp=sharing  #gid=0"",""фіз особи new!relations_name""),6,FALSE)
,
(IF
(
G12362=""юридична особа""
,
VLOO"&amp;"KUP(H12362,IMPORTRANGE(""https://docs.google.com/spreadsheets/d/14Bd19lYaqBhU8_DElYkX7l4wRkHqqCUFNJY4AfY3kHU/edit?usp=sharing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361" s="7" t="s">
        <v>11</v>
      </c>
    </row>
    <row r="12362" spans="1:10" ht="13.2">
      <c r="A12362" s="7">
        <v>12361</v>
      </c>
      <c r="B12362" s="7">
        <v>1</v>
      </c>
      <c r="C12362" s="7" t="s">
        <v>10</v>
      </c>
      <c r="D12362" s="7">
        <v>18027</v>
      </c>
      <c r="E12362" s="7" t="s">
        <v>11</v>
      </c>
      <c r="F12362" s="8" t="str">
        <f ca="1">IFERROR(__xludf.DUMMYFUNCTION("IF
(
C12363=""фізична особа""
,
VLOOKUP(D12363,IMPORTRANGE(""https://docs.google.com/spreadsheets/d/14Bd19lYaqBhU8_DElYkX7l4wRkHqqCUFNJY4AfY3kHU/edit?usp=sharing  #gid=0"",""фіз особи new!relations_name""),6,FALSE)
,
(IF
(
C12363=""юридична особа""
,
VLOO"&amp;"KUP(D12363,IMPORTRANGE(""https://docs.google.com/spreadsheets/d/14Bd19lYaqBhU8_DElYkX7l4wRkHqqCUFNJY4AfY3kHU/edit?usp=sharing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2" s="7" t="s">
        <v>10</v>
      </c>
      <c r="H12362" s="7">
        <v>18031</v>
      </c>
      <c r="I12362" s="8" t="str">
        <f ca="1">IFERROR(__xludf.DUMMYFUNCTION("IF
(
G12363=""фізична особа""
,
VLOOKUP(H12363,IMPORTRANGE(""https://docs.google.com/spreadsheets/d/14Bd19lYaqBhU8_DElYkX7l4wRkHqqCUFNJY4AfY3kHU/edit?usp=sharing  #gid=0"",""фіз особи new!relations_name""),6,FALSE)
,
(IF
(
G12363=""юридична особа""
,
VLOO"&amp;"KUP(H12363,IMPORTRANGE(""https://docs.google.com/spreadsheets/d/14Bd19lYaqBhU8_DElYkX7l4wRkHqqCUFNJY4AfY3kHU/edit?usp=sharing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62" s="7" t="s">
        <v>11</v>
      </c>
    </row>
    <row r="12363" spans="1:10" ht="13.2">
      <c r="A12363" s="7">
        <v>12362</v>
      </c>
      <c r="B12363" s="7">
        <v>1</v>
      </c>
      <c r="C12363" s="7" t="s">
        <v>10</v>
      </c>
      <c r="D12363" s="7">
        <v>18027</v>
      </c>
      <c r="E12363" s="7" t="s">
        <v>11</v>
      </c>
      <c r="F12363" s="8" t="str">
        <f ca="1">IFERROR(__xludf.DUMMYFUNCTION("IF
(
C12364=""фізична особа""
,
VLOOKUP(D12364,IMPORTRANGE(""https://docs.google.com/spreadsheets/d/14Bd19lYaqBhU8_DElYkX7l4wRkHqqCUFNJY4AfY3kHU/edit?usp=sharing  #gid=0"",""фіз особи new!relations_name""),6,FALSE)
,
(IF
(
C12364=""юридична особа""
,
VLOO"&amp;"KUP(D12364,IMPORTRANGE(""https://docs.google.com/spreadsheets/d/14Bd19lYaqBhU8_DElYkX7l4wRkHqqCUFNJY4AfY3kHU/edit?usp=sharing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3" s="7" t="s">
        <v>10</v>
      </c>
      <c r="H12363" s="7">
        <v>18032</v>
      </c>
      <c r="I12363" s="8" t="str">
        <f ca="1">IFERROR(__xludf.DUMMYFUNCTION("IF
(
G12364=""фізична особа""
,
VLOOKUP(H12364,IMPORTRANGE(""https://docs.google.com/spreadsheets/d/14Bd19lYaqBhU8_DElYkX7l4wRkHqqCUFNJY4AfY3kHU/edit?usp=sharing  #gid=0"",""фіз особи new!relations_name""),6,FALSE)
,
(IF
(
G12364=""юридична особа""
,
VLOO"&amp;"KUP(H12364,IMPORTRANGE(""https://docs.google.com/spreadsheets/d/14Bd19lYaqBhU8_DElYkX7l4wRkHqqCUFNJY4AfY3kHU/edit?usp=sharing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63" s="7" t="s">
        <v>11</v>
      </c>
    </row>
    <row r="12364" spans="1:10" ht="13.2">
      <c r="A12364" s="7">
        <v>12363</v>
      </c>
      <c r="B12364" s="7">
        <v>1</v>
      </c>
      <c r="C12364" s="7" t="s">
        <v>10</v>
      </c>
      <c r="D12364" s="7">
        <v>18027</v>
      </c>
      <c r="E12364" s="7" t="s">
        <v>11</v>
      </c>
      <c r="F12364" s="8" t="str">
        <f ca="1">IFERROR(__xludf.DUMMYFUNCTION("IF
(
C12365=""фізична особа""
,
VLOOKUP(D12365,IMPORTRANGE(""https://docs.google.com/spreadsheets/d/14Bd19lYaqBhU8_DElYkX7l4wRkHqqCUFNJY4AfY3kHU/edit?usp=sharing  #gid=0"",""фіз особи new!relations_name""),6,FALSE)
,
(IF
(
C12365=""юридична особа""
,
VLOO"&amp;"KUP(D12365,IMPORTRANGE(""https://docs.google.com/spreadsheets/d/14Bd19lYaqBhU8_DElYkX7l4wRkHqqCUFNJY4AfY3kHU/edit?usp=sharing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4" s="7" t="s">
        <v>10</v>
      </c>
      <c r="H12364" s="7">
        <v>18033</v>
      </c>
      <c r="I12364" s="8" t="str">
        <f ca="1">IFERROR(__xludf.DUMMYFUNCTION("IF
(
G12365=""фізична особа""
,
VLOOKUP(H12365,IMPORTRANGE(""https://docs.google.com/spreadsheets/d/14Bd19lYaqBhU8_DElYkX7l4wRkHqqCUFNJY4AfY3kHU/edit?usp=sharing  #gid=0"",""фіз особи new!relations_name""),6,FALSE)
,
(IF
(
G12365=""юридична особа""
,
VLOO"&amp;"KUP(H12365,IMPORTRANGE(""https://docs.google.com/spreadsheets/d/14Bd19lYaqBhU8_DElYkX7l4wRkHqqCUFNJY4AfY3kHU/edit?usp=sharing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64" s="7" t="s">
        <v>11</v>
      </c>
    </row>
    <row r="12365" spans="1:10" ht="13.2">
      <c r="A12365" s="7">
        <v>12364</v>
      </c>
      <c r="B12365" s="7">
        <v>1</v>
      </c>
      <c r="C12365" s="7" t="s">
        <v>10</v>
      </c>
      <c r="D12365" s="7">
        <v>18027</v>
      </c>
      <c r="E12365" s="7" t="s">
        <v>11</v>
      </c>
      <c r="F12365" s="8" t="str">
        <f ca="1">IFERROR(__xludf.DUMMYFUNCTION("IF
(
C12366=""фізична особа""
,
VLOOKUP(D12366,IMPORTRANGE(""https://docs.google.com/spreadsheets/d/14Bd19lYaqBhU8_DElYkX7l4wRkHqqCUFNJY4AfY3kHU/edit?usp=sharing  #gid=0"",""фіз особи new!relations_name""),6,FALSE)
,
(IF
(
C12366=""юридична особа""
,
VLOO"&amp;"KUP(D12366,IMPORTRANGE(""https://docs.google.com/spreadsheets/d/14Bd19lYaqBhU8_DElYkX7l4wRkHqqCUFNJY4AfY3kHU/edit?usp=sharing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5" s="7" t="s">
        <v>10</v>
      </c>
      <c r="H12365" s="7">
        <v>18034</v>
      </c>
      <c r="I12365" s="8" t="str">
        <f ca="1">IFERROR(__xludf.DUMMYFUNCTION("IF
(
G12366=""фізична особа""
,
VLOOKUP(H12366,IMPORTRANGE(""https://docs.google.com/spreadsheets/d/14Bd19lYaqBhU8_DElYkX7l4wRkHqqCUFNJY4AfY3kHU/edit?usp=sharing  #gid=0"",""фіз особи new!relations_name""),6,FALSE)
,
(IF
(
G12366=""юридична особа""
,
VLOO"&amp;"KUP(H12366,IMPORTRANGE(""https://docs.google.com/spreadsheets/d/14Bd19lYaqBhU8_DElYkX7l4wRkHqqCUFNJY4AfY3kHU/edit?usp=sharing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65" s="7" t="s">
        <v>11</v>
      </c>
    </row>
    <row r="12366" spans="1:10" ht="13.2">
      <c r="A12366" s="7">
        <v>12365</v>
      </c>
      <c r="B12366" s="7">
        <v>1</v>
      </c>
      <c r="C12366" s="7" t="s">
        <v>10</v>
      </c>
      <c r="D12366" s="7">
        <v>18027</v>
      </c>
      <c r="E12366" s="7" t="s">
        <v>11</v>
      </c>
      <c r="F12366" s="8" t="str">
        <f ca="1">IFERROR(__xludf.DUMMYFUNCTION("IF
(
C12367=""фізична особа""
,
VLOOKUP(D12367,IMPORTRANGE(""https://docs.google.com/spreadsheets/d/14Bd19lYaqBhU8_DElYkX7l4wRkHqqCUFNJY4AfY3kHU/edit?usp=sharing  #gid=0"",""фіз особи new!relations_name""),6,FALSE)
,
(IF
(
C12367=""юридична особа""
,
VLOO"&amp;"KUP(D12367,IMPORTRANGE(""https://docs.google.com/spreadsheets/d/14Bd19lYaqBhU8_DElYkX7l4wRkHqqCUFNJY4AfY3kHU/edit?usp=sharing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6" s="7" t="s">
        <v>10</v>
      </c>
      <c r="H12366" s="7">
        <v>18035</v>
      </c>
      <c r="I12366" s="8" t="str">
        <f ca="1">IFERROR(__xludf.DUMMYFUNCTION("IF
(
G12367=""фізична особа""
,
VLOOKUP(H12367,IMPORTRANGE(""https://docs.google.com/spreadsheets/d/14Bd19lYaqBhU8_DElYkX7l4wRkHqqCUFNJY4AfY3kHU/edit?usp=sharing  #gid=0"",""фіз особи new!relations_name""),6,FALSE)
,
(IF
(
G12367=""юридична особа""
,
VLOO"&amp;"KUP(H12367,IMPORTRANGE(""https://docs.google.com/spreadsheets/d/14Bd19lYaqBhU8_DElYkX7l4wRkHqqCUFNJY4AfY3kHU/edit?usp=sharing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66" s="7" t="s">
        <v>11</v>
      </c>
    </row>
    <row r="12367" spans="1:10" ht="13.2">
      <c r="A12367" s="7">
        <v>12366</v>
      </c>
      <c r="B12367" s="7">
        <v>1</v>
      </c>
      <c r="C12367" s="7" t="s">
        <v>10</v>
      </c>
      <c r="D12367" s="7">
        <v>18027</v>
      </c>
      <c r="E12367" s="7" t="s">
        <v>11</v>
      </c>
      <c r="F12367" s="8" t="str">
        <f ca="1">IFERROR(__xludf.DUMMYFUNCTION("IF
(
C12368=""фізична особа""
,
VLOOKUP(D12368,IMPORTRANGE(""https://docs.google.com/spreadsheets/d/14Bd19lYaqBhU8_DElYkX7l4wRkHqqCUFNJY4AfY3kHU/edit?usp=sharing  #gid=0"",""фіз особи new!relations_name""),6,FALSE)
,
(IF
(
C12368=""юридична особа""
,
VLOO"&amp;"KUP(D12368,IMPORTRANGE(""https://docs.google.com/spreadsheets/d/14Bd19lYaqBhU8_DElYkX7l4wRkHqqCUFNJY4AfY3kHU/edit?usp=sharing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G12367" s="7" t="s">
        <v>10</v>
      </c>
      <c r="H12367" s="7">
        <v>18036</v>
      </c>
      <c r="I12367" s="8" t="str">
        <f ca="1">IFERROR(__xludf.DUMMYFUNCTION("IF
(
G12368=""фізична особа""
,
VLOOKUP(H12368,IMPORTRANGE(""https://docs.google.com/spreadsheets/d/14Bd19lYaqBhU8_DElYkX7l4wRkHqqCUFNJY4AfY3kHU/edit?usp=sharing  #gid=0"",""фіз особи new!relations_name""),6,FALSE)
,
(IF
(
G12368=""юридична особа""
,
VLOO"&amp;"KUP(H12368,IMPORTRANGE(""https://docs.google.com/spreadsheets/d/14Bd19lYaqBhU8_DElYkX7l4wRkHqqCUFNJY4AfY3kHU/edit?usp=sharing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367" s="7" t="s">
        <v>11</v>
      </c>
    </row>
    <row r="12368" spans="1:10" ht="13.2">
      <c r="A12368" s="7">
        <v>12367</v>
      </c>
      <c r="B12368" s="7">
        <v>1</v>
      </c>
      <c r="C12368" s="7" t="s">
        <v>10</v>
      </c>
      <c r="D12368" s="7">
        <v>18028</v>
      </c>
      <c r="E12368" s="7" t="s">
        <v>11</v>
      </c>
      <c r="F12368" s="8" t="str">
        <f ca="1">IFERROR(__xludf.DUMMYFUNCTION("IF
(
C12369=""фізична особа""
,
VLOOKUP(D12369,IMPORTRANGE(""https://docs.google.com/spreadsheets/d/14Bd19lYaqBhU8_DElYkX7l4wRkHqqCUFNJY4AfY3kHU/edit?usp=sharing  #gid=0"",""фіз особи new!relations_name""),6,FALSE)
,
(IF
(
C12369=""юридична особа""
,
VLOO"&amp;"KUP(D12369,IMPORTRANGE(""https://docs.google.com/spreadsheets/d/14Bd19lYaqBhU8_DElYkX7l4wRkHqqCUFNJY4AfY3kHU/edit?usp=sharing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68" s="7" t="s">
        <v>10</v>
      </c>
      <c r="H12368" s="7">
        <v>18025</v>
      </c>
      <c r="I12368" s="8" t="str">
        <f ca="1">IFERROR(__xludf.DUMMYFUNCTION("IF
(
G12369=""фізична особа""
,
VLOOKUP(H12369,IMPORTRANGE(""https://docs.google.com/spreadsheets/d/14Bd19lYaqBhU8_DElYkX7l4wRkHqqCUFNJY4AfY3kHU/edit?usp=sharing  #gid=0"",""фіз особи new!relations_name""),6,FALSE)
,
(IF
(
G12369=""юридична особа""
,
VLOO"&amp;"KUP(H12369,IMPORTRANGE(""https://docs.google.com/spreadsheets/d/14Bd19lYaqBhU8_DElYkX7l4wRkHqqCUFNJY4AfY3kHU/edit?usp=sharing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368" s="7" t="s">
        <v>11</v>
      </c>
    </row>
    <row r="12369" spans="1:10" ht="13.2">
      <c r="A12369" s="7">
        <v>12368</v>
      </c>
      <c r="B12369" s="7">
        <v>1</v>
      </c>
      <c r="C12369" s="7" t="s">
        <v>10</v>
      </c>
      <c r="D12369" s="7">
        <v>18028</v>
      </c>
      <c r="E12369" s="7" t="s">
        <v>11</v>
      </c>
      <c r="F12369" s="8" t="str">
        <f ca="1">IFERROR(__xludf.DUMMYFUNCTION("IF
(
C12370=""фізична особа""
,
VLOOKUP(D12370,IMPORTRANGE(""https://docs.google.com/spreadsheets/d/14Bd19lYaqBhU8_DElYkX7l4wRkHqqCUFNJY4AfY3kHU/edit?usp=sharing  #gid=0"",""фіз особи new!relations_name""),6,FALSE)
,
(IF
(
C12370=""юридична особа""
,
VLOO"&amp;"KUP(D12370,IMPORTRANGE(""https://docs.google.com/spreadsheets/d/14Bd19lYaqBhU8_DElYkX7l4wRkHqqCUFNJY4AfY3kHU/edit?usp=sharing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69" s="7" t="s">
        <v>10</v>
      </c>
      <c r="H12369" s="7">
        <v>18026</v>
      </c>
      <c r="I12369" s="8" t="str">
        <f ca="1">IFERROR(__xludf.DUMMYFUNCTION("IF
(
G12370=""фізична особа""
,
VLOOKUP(H12370,IMPORTRANGE(""https://docs.google.com/spreadsheets/d/14Bd19lYaqBhU8_DElYkX7l4wRkHqqCUFNJY4AfY3kHU/edit?usp=sharing  #gid=0"",""фіз особи new!relations_name""),6,FALSE)
,
(IF
(
G12370=""юридична особа""
,
VLOO"&amp;"KUP(H12370,IMPORTRANGE(""https://docs.google.com/spreadsheets/d/14Bd19lYaqBhU8_DElYkX7l4wRkHqqCUFNJY4AfY3kHU/edit?usp=sharing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369" s="7" t="s">
        <v>11</v>
      </c>
    </row>
    <row r="12370" spans="1:10" ht="13.2">
      <c r="A12370" s="7">
        <v>12369</v>
      </c>
      <c r="B12370" s="7">
        <v>1</v>
      </c>
      <c r="C12370" s="7" t="s">
        <v>10</v>
      </c>
      <c r="D12370" s="7">
        <v>18028</v>
      </c>
      <c r="E12370" s="7" t="s">
        <v>11</v>
      </c>
      <c r="F12370" s="8" t="str">
        <f ca="1">IFERROR(__xludf.DUMMYFUNCTION("IF
(
C12371=""фізична особа""
,
VLOOKUP(D12371,IMPORTRANGE(""https://docs.google.com/spreadsheets/d/14Bd19lYaqBhU8_DElYkX7l4wRkHqqCUFNJY4AfY3kHU/edit?usp=sharing  #gid=0"",""фіз особи new!relations_name""),6,FALSE)
,
(IF
(
C12371=""юридична особа""
,
VLOO"&amp;"KUP(D12371,IMPORTRANGE(""https://docs.google.com/spreadsheets/d/14Bd19lYaqBhU8_DElYkX7l4wRkHqqCUFNJY4AfY3kHU/edit?usp=sharing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0" s="7" t="s">
        <v>10</v>
      </c>
      <c r="H12370" s="7">
        <v>18027</v>
      </c>
      <c r="I12370" s="8" t="str">
        <f ca="1">IFERROR(__xludf.DUMMYFUNCTION("IF
(
G12371=""фізична особа""
,
VLOOKUP(H12371,IMPORTRANGE(""https://docs.google.com/spreadsheets/d/14Bd19lYaqBhU8_DElYkX7l4wRkHqqCUFNJY4AfY3kHU/edit?usp=sharing  #gid=0"",""фіз особи new!relations_name""),6,FALSE)
,
(IF
(
G12371=""юридична особа""
,
VLOO"&amp;"KUP(H12371,IMPORTRANGE(""https://docs.google.com/spreadsheets/d/14Bd19lYaqBhU8_DElYkX7l4wRkHqqCUFNJY4AfY3kHU/edit?usp=sharing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370" s="7" t="s">
        <v>11</v>
      </c>
    </row>
    <row r="12371" spans="1:10" ht="13.2">
      <c r="A12371" s="7">
        <v>12370</v>
      </c>
      <c r="B12371" s="7">
        <v>1</v>
      </c>
      <c r="C12371" s="7" t="s">
        <v>10</v>
      </c>
      <c r="D12371" s="7">
        <v>18028</v>
      </c>
      <c r="E12371" s="7" t="s">
        <v>11</v>
      </c>
      <c r="F12371" s="8" t="str">
        <f ca="1">IFERROR(__xludf.DUMMYFUNCTION("IF
(
C12372=""фізична особа""
,
VLOOKUP(D12372,IMPORTRANGE(""https://docs.google.com/spreadsheets/d/14Bd19lYaqBhU8_DElYkX7l4wRkHqqCUFNJY4AfY3kHU/edit?usp=sharing  #gid=0"",""фіз особи new!relations_name""),6,FALSE)
,
(IF
(
C12372=""юридична особа""
,
VLOO"&amp;"KUP(D12372,IMPORTRANGE(""https://docs.google.com/spreadsheets/d/14Bd19lYaqBhU8_DElYkX7l4wRkHqqCUFNJY4AfY3kHU/edit?usp=sharing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1" s="7" t="s">
        <v>10</v>
      </c>
      <c r="H12371" s="7">
        <v>18029</v>
      </c>
      <c r="I12371" s="8" t="str">
        <f ca="1">IFERROR(__xludf.DUMMYFUNCTION("IF
(
G12372=""фізична особа""
,
VLOOKUP(H12372,IMPORTRANGE(""https://docs.google.com/spreadsheets/d/14Bd19lYaqBhU8_DElYkX7l4wRkHqqCUFNJY4AfY3kHU/edit?usp=sharing  #gid=0"",""фіз особи new!relations_name""),6,FALSE)
,
(IF
(
G12372=""юридична особа""
,
VLOO"&amp;"KUP(H12372,IMPORTRANGE(""https://docs.google.com/spreadsheets/d/14Bd19lYaqBhU8_DElYkX7l4wRkHqqCUFNJY4AfY3kHU/edit?usp=sharing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371" s="7" t="s">
        <v>11</v>
      </c>
    </row>
    <row r="12372" spans="1:10" ht="13.2">
      <c r="A12372" s="7">
        <v>12371</v>
      </c>
      <c r="B12372" s="7">
        <v>1</v>
      </c>
      <c r="C12372" s="7" t="s">
        <v>10</v>
      </c>
      <c r="D12372" s="7">
        <v>18028</v>
      </c>
      <c r="E12372" s="7" t="s">
        <v>11</v>
      </c>
      <c r="F12372" s="8" t="str">
        <f ca="1">IFERROR(__xludf.DUMMYFUNCTION("IF
(
C12373=""фізична особа""
,
VLOOKUP(D12373,IMPORTRANGE(""https://docs.google.com/spreadsheets/d/14Bd19lYaqBhU8_DElYkX7l4wRkHqqCUFNJY4AfY3kHU/edit?usp=sharing  #gid=0"",""фіз особи new!relations_name""),6,FALSE)
,
(IF
(
C12373=""юридична особа""
,
VLOO"&amp;"KUP(D12373,IMPORTRANGE(""https://docs.google.com/spreadsheets/d/14Bd19lYaqBhU8_DElYkX7l4wRkHqqCUFNJY4AfY3kHU/edit?usp=sharing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2" s="7" t="s">
        <v>10</v>
      </c>
      <c r="H12372" s="7">
        <v>18030</v>
      </c>
      <c r="I12372" s="8" t="str">
        <f ca="1">IFERROR(__xludf.DUMMYFUNCTION("IF
(
G12373=""фізична особа""
,
VLOOKUP(H12373,IMPORTRANGE(""https://docs.google.com/spreadsheets/d/14Bd19lYaqBhU8_DElYkX7l4wRkHqqCUFNJY4AfY3kHU/edit?usp=sharing  #gid=0"",""фіз особи new!relations_name""),6,FALSE)
,
(IF
(
G12373=""юридична особа""
,
VLOO"&amp;"KUP(H12373,IMPORTRANGE(""https://docs.google.com/spreadsheets/d/14Bd19lYaqBhU8_DElYkX7l4wRkHqqCUFNJY4AfY3kHU/edit?usp=sharing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372" s="7" t="s">
        <v>11</v>
      </c>
    </row>
    <row r="12373" spans="1:10" ht="13.2">
      <c r="A12373" s="7">
        <v>12372</v>
      </c>
      <c r="B12373" s="7">
        <v>1</v>
      </c>
      <c r="C12373" s="7" t="s">
        <v>10</v>
      </c>
      <c r="D12373" s="7">
        <v>18028</v>
      </c>
      <c r="E12373" s="7" t="s">
        <v>11</v>
      </c>
      <c r="F12373" s="8" t="str">
        <f ca="1">IFERROR(__xludf.DUMMYFUNCTION("IF
(
C12374=""фізична особа""
,
VLOOKUP(D12374,IMPORTRANGE(""https://docs.google.com/spreadsheets/d/14Bd19lYaqBhU8_DElYkX7l4wRkHqqCUFNJY4AfY3kHU/edit?usp=sharing  #gid=0"",""фіз особи new!relations_name""),6,FALSE)
,
(IF
(
C12374=""юридична особа""
,
VLOO"&amp;"KUP(D12374,IMPORTRANGE(""https://docs.google.com/spreadsheets/d/14Bd19lYaqBhU8_DElYkX7l4wRkHqqCUFNJY4AfY3kHU/edit?usp=sharing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3" s="7" t="s">
        <v>10</v>
      </c>
      <c r="H12373" s="7">
        <v>18031</v>
      </c>
      <c r="I12373" s="8" t="str">
        <f ca="1">IFERROR(__xludf.DUMMYFUNCTION("IF
(
G12374=""фізична особа""
,
VLOOKUP(H12374,IMPORTRANGE(""https://docs.google.com/spreadsheets/d/14Bd19lYaqBhU8_DElYkX7l4wRkHqqCUFNJY4AfY3kHU/edit?usp=sharing  #gid=0"",""фіз особи new!relations_name""),6,FALSE)
,
(IF
(
G12374=""юридична особа""
,
VLOO"&amp;"KUP(H12374,IMPORTRANGE(""https://docs.google.com/spreadsheets/d/14Bd19lYaqBhU8_DElYkX7l4wRkHqqCUFNJY4AfY3kHU/edit?usp=sharing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73" s="7" t="s">
        <v>11</v>
      </c>
    </row>
    <row r="12374" spans="1:10" ht="13.2">
      <c r="A12374" s="7">
        <v>12373</v>
      </c>
      <c r="B12374" s="7">
        <v>1</v>
      </c>
      <c r="C12374" s="7" t="s">
        <v>10</v>
      </c>
      <c r="D12374" s="7">
        <v>18028</v>
      </c>
      <c r="E12374" s="7" t="s">
        <v>11</v>
      </c>
      <c r="F12374" s="8" t="str">
        <f ca="1">IFERROR(__xludf.DUMMYFUNCTION("IF
(
C12375=""фізична особа""
,
VLOOKUP(D12375,IMPORTRANGE(""https://docs.google.com/spreadsheets/d/14Bd19lYaqBhU8_DElYkX7l4wRkHqqCUFNJY4AfY3kHU/edit?usp=sharing  #gid=0"",""фіз особи new!relations_name""),6,FALSE)
,
(IF
(
C12375=""юридична особа""
,
VLOO"&amp;"KUP(D12375,IMPORTRANGE(""https://docs.google.com/spreadsheets/d/14Bd19lYaqBhU8_DElYkX7l4wRkHqqCUFNJY4AfY3kHU/edit?usp=sharing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4" s="7" t="s">
        <v>10</v>
      </c>
      <c r="H12374" s="7">
        <v>18032</v>
      </c>
      <c r="I12374" s="8" t="str">
        <f ca="1">IFERROR(__xludf.DUMMYFUNCTION("IF
(
G12375=""фізична особа""
,
VLOOKUP(H12375,IMPORTRANGE(""https://docs.google.com/spreadsheets/d/14Bd19lYaqBhU8_DElYkX7l4wRkHqqCUFNJY4AfY3kHU/edit?usp=sharing  #gid=0"",""фіз особи new!relations_name""),6,FALSE)
,
(IF
(
G12375=""юридична особа""
,
VLOO"&amp;"KUP(H12375,IMPORTRANGE(""https://docs.google.com/spreadsheets/d/14Bd19lYaqBhU8_DElYkX7l4wRkHqqCUFNJY4AfY3kHU/edit?usp=sharing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74" s="7" t="s">
        <v>11</v>
      </c>
    </row>
    <row r="12375" spans="1:10" ht="13.2">
      <c r="A12375" s="7">
        <v>12374</v>
      </c>
      <c r="B12375" s="7">
        <v>1</v>
      </c>
      <c r="C12375" s="7" t="s">
        <v>10</v>
      </c>
      <c r="D12375" s="7">
        <v>18028</v>
      </c>
      <c r="E12375" s="7" t="s">
        <v>11</v>
      </c>
      <c r="F12375" s="8" t="str">
        <f ca="1">IFERROR(__xludf.DUMMYFUNCTION("IF
(
C12376=""фізична особа""
,
VLOOKUP(D12376,IMPORTRANGE(""https://docs.google.com/spreadsheets/d/14Bd19lYaqBhU8_DElYkX7l4wRkHqqCUFNJY4AfY3kHU/edit?usp=sharing  #gid=0"",""фіз особи new!relations_name""),6,FALSE)
,
(IF
(
C12376=""юридична особа""
,
VLOO"&amp;"KUP(D12376,IMPORTRANGE(""https://docs.google.com/spreadsheets/d/14Bd19lYaqBhU8_DElYkX7l4wRkHqqCUFNJY4AfY3kHU/edit?usp=sharing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5" s="7" t="s">
        <v>10</v>
      </c>
      <c r="H12375" s="7">
        <v>18033</v>
      </c>
      <c r="I12375" s="8" t="str">
        <f ca="1">IFERROR(__xludf.DUMMYFUNCTION("IF
(
G12376=""фізична особа""
,
VLOOKUP(H12376,IMPORTRANGE(""https://docs.google.com/spreadsheets/d/14Bd19lYaqBhU8_DElYkX7l4wRkHqqCUFNJY4AfY3kHU/edit?usp=sharing  #gid=0"",""фіз особи new!relations_name""),6,FALSE)
,
(IF
(
G12376=""юридична особа""
,
VLOO"&amp;"KUP(H12376,IMPORTRANGE(""https://docs.google.com/spreadsheets/d/14Bd19lYaqBhU8_DElYkX7l4wRkHqqCUFNJY4AfY3kHU/edit?usp=sharing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75" s="7" t="s">
        <v>11</v>
      </c>
    </row>
    <row r="12376" spans="1:10" ht="13.2">
      <c r="A12376" s="7">
        <v>12375</v>
      </c>
      <c r="B12376" s="7">
        <v>1</v>
      </c>
      <c r="C12376" s="7" t="s">
        <v>10</v>
      </c>
      <c r="D12376" s="7">
        <v>18028</v>
      </c>
      <c r="E12376" s="7" t="s">
        <v>11</v>
      </c>
      <c r="F12376" s="8" t="str">
        <f ca="1">IFERROR(__xludf.DUMMYFUNCTION("IF
(
C12377=""фізична особа""
,
VLOOKUP(D12377,IMPORTRANGE(""https://docs.google.com/spreadsheets/d/14Bd19lYaqBhU8_DElYkX7l4wRkHqqCUFNJY4AfY3kHU/edit?usp=sharing  #gid=0"",""фіз особи new!relations_name""),6,FALSE)
,
(IF
(
C12377=""юридична особа""
,
VLOO"&amp;"KUP(D12377,IMPORTRANGE(""https://docs.google.com/spreadsheets/d/14Bd19lYaqBhU8_DElYkX7l4wRkHqqCUFNJY4AfY3kHU/edit?usp=sharing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6" s="7" t="s">
        <v>10</v>
      </c>
      <c r="H12376" s="7">
        <v>18034</v>
      </c>
      <c r="I12376" s="8" t="str">
        <f ca="1">IFERROR(__xludf.DUMMYFUNCTION("IF
(
G12377=""фізична особа""
,
VLOOKUP(H12377,IMPORTRANGE(""https://docs.google.com/spreadsheets/d/14Bd19lYaqBhU8_DElYkX7l4wRkHqqCUFNJY4AfY3kHU/edit?usp=sharing  #gid=0"",""фіз особи new!relations_name""),6,FALSE)
,
(IF
(
G12377=""юридична особа""
,
VLOO"&amp;"KUP(H12377,IMPORTRANGE(""https://docs.google.com/spreadsheets/d/14Bd19lYaqBhU8_DElYkX7l4wRkHqqCUFNJY4AfY3kHU/edit?usp=sharing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76" s="7" t="s">
        <v>11</v>
      </c>
    </row>
    <row r="12377" spans="1:10" ht="13.2">
      <c r="A12377" s="7">
        <v>12376</v>
      </c>
      <c r="B12377" s="7">
        <v>1</v>
      </c>
      <c r="C12377" s="7" t="s">
        <v>10</v>
      </c>
      <c r="D12377" s="7">
        <v>18028</v>
      </c>
      <c r="E12377" s="7" t="s">
        <v>11</v>
      </c>
      <c r="F12377" s="8" t="str">
        <f ca="1">IFERROR(__xludf.DUMMYFUNCTION("IF
(
C12378=""фізична особа""
,
VLOOKUP(D12378,IMPORTRANGE(""https://docs.google.com/spreadsheets/d/14Bd19lYaqBhU8_DElYkX7l4wRkHqqCUFNJY4AfY3kHU/edit?usp=sharing  #gid=0"",""фіз особи new!relations_name""),6,FALSE)
,
(IF
(
C12378=""юридична особа""
,
VLOO"&amp;"KUP(D12378,IMPORTRANGE(""https://docs.google.com/spreadsheets/d/14Bd19lYaqBhU8_DElYkX7l4wRkHqqCUFNJY4AfY3kHU/edit?usp=sharing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7" s="7" t="s">
        <v>10</v>
      </c>
      <c r="H12377" s="7">
        <v>18035</v>
      </c>
      <c r="I12377" s="8" t="str">
        <f ca="1">IFERROR(__xludf.DUMMYFUNCTION("IF
(
G12378=""фізична особа""
,
VLOOKUP(H12378,IMPORTRANGE(""https://docs.google.com/spreadsheets/d/14Bd19lYaqBhU8_DElYkX7l4wRkHqqCUFNJY4AfY3kHU/edit?usp=sharing  #gid=0"",""фіз особи new!relations_name""),6,FALSE)
,
(IF
(
G12378=""юридична особа""
,
VLOO"&amp;"KUP(H12378,IMPORTRANGE(""https://docs.google.com/spreadsheets/d/14Bd19lYaqBhU8_DElYkX7l4wRkHqqCUFNJY4AfY3kHU/edit?usp=sharing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77" s="7" t="s">
        <v>11</v>
      </c>
    </row>
    <row r="12378" spans="1:10" ht="13.2">
      <c r="A12378" s="7">
        <v>12377</v>
      </c>
      <c r="B12378" s="7">
        <v>1</v>
      </c>
      <c r="C12378" s="7" t="s">
        <v>10</v>
      </c>
      <c r="D12378" s="7">
        <v>18028</v>
      </c>
      <c r="E12378" s="7" t="s">
        <v>11</v>
      </c>
      <c r="F12378" s="8" t="str">
        <f ca="1">IFERROR(__xludf.DUMMYFUNCTION("IF
(
C12379=""фізична особа""
,
VLOOKUP(D12379,IMPORTRANGE(""https://docs.google.com/spreadsheets/d/14Bd19lYaqBhU8_DElYkX7l4wRkHqqCUFNJY4AfY3kHU/edit?usp=sharing  #gid=0"",""фіз особи new!relations_name""),6,FALSE)
,
(IF
(
C12379=""юридична особа""
,
VLOO"&amp;"KUP(D12379,IMPORTRANGE(""https://docs.google.com/spreadsheets/d/14Bd19lYaqBhU8_DElYkX7l4wRkHqqCUFNJY4AfY3kHU/edit?usp=sharing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G12378" s="7" t="s">
        <v>10</v>
      </c>
      <c r="H12378" s="7">
        <v>18036</v>
      </c>
      <c r="I12378" s="8" t="str">
        <f ca="1">IFERROR(__xludf.DUMMYFUNCTION("IF
(
G12379=""фізична особа""
,
VLOOKUP(H12379,IMPORTRANGE(""https://docs.google.com/spreadsheets/d/14Bd19lYaqBhU8_DElYkX7l4wRkHqqCUFNJY4AfY3kHU/edit?usp=sharing  #gid=0"",""фіз особи new!relations_name""),6,FALSE)
,
(IF
(
G12379=""юридична особа""
,
VLOO"&amp;"KUP(H12379,IMPORTRANGE(""https://docs.google.com/spreadsheets/d/14Bd19lYaqBhU8_DElYkX7l4wRkHqqCUFNJY4AfY3kHU/edit?usp=sharing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378" s="7" t="s">
        <v>11</v>
      </c>
    </row>
    <row r="12379" spans="1:10" ht="13.2">
      <c r="A12379" s="7">
        <v>12378</v>
      </c>
      <c r="B12379" s="7">
        <v>1</v>
      </c>
      <c r="C12379" s="7" t="s">
        <v>10</v>
      </c>
      <c r="D12379" s="7">
        <v>18029</v>
      </c>
      <c r="E12379" s="7" t="s">
        <v>11</v>
      </c>
      <c r="F12379" s="8" t="str">
        <f ca="1">IFERROR(__xludf.DUMMYFUNCTION("IF
(
C12380=""фізична особа""
,
VLOOKUP(D12380,IMPORTRANGE(""https://docs.google.com/spreadsheets/d/14Bd19lYaqBhU8_DElYkX7l4wRkHqqCUFNJY4AfY3kHU/edit?usp=sharing  #gid=0"",""фіз особи new!relations_name""),6,FALSE)
,
(IF
(
C12380=""юридична особа""
,
VLOO"&amp;"KUP(D12380,IMPORTRANGE(""https://docs.google.com/spreadsheets/d/14Bd19lYaqBhU8_DElYkX7l4wRkHqqCUFNJY4AfY3kHU/edit?usp=sharing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79" s="7" t="s">
        <v>10</v>
      </c>
      <c r="H12379" s="7">
        <v>18025</v>
      </c>
      <c r="I12379" s="8" t="str">
        <f ca="1">IFERROR(__xludf.DUMMYFUNCTION("IF
(
G12380=""фізична особа""
,
VLOOKUP(H12380,IMPORTRANGE(""https://docs.google.com/spreadsheets/d/14Bd19lYaqBhU8_DElYkX7l4wRkHqqCUFNJY4AfY3kHU/edit?usp=sharing  #gid=0"",""фіз особи new!relations_name""),6,FALSE)
,
(IF
(
G12380=""юридична особа""
,
VLOO"&amp;"KUP(H12380,IMPORTRANGE(""https://docs.google.com/spreadsheets/d/14Bd19lYaqBhU8_DElYkX7l4wRkHqqCUFNJY4AfY3kHU/edit?usp=sharing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379" s="7" t="s">
        <v>11</v>
      </c>
    </row>
    <row r="12380" spans="1:10" ht="13.2">
      <c r="A12380" s="7">
        <v>12379</v>
      </c>
      <c r="B12380" s="7">
        <v>1</v>
      </c>
      <c r="C12380" s="7" t="s">
        <v>10</v>
      </c>
      <c r="D12380" s="7">
        <v>18029</v>
      </c>
      <c r="E12380" s="7" t="s">
        <v>11</v>
      </c>
      <c r="F12380" s="8" t="str">
        <f ca="1">IFERROR(__xludf.DUMMYFUNCTION("IF
(
C12381=""фізична особа""
,
VLOOKUP(D12381,IMPORTRANGE(""https://docs.google.com/spreadsheets/d/14Bd19lYaqBhU8_DElYkX7l4wRkHqqCUFNJY4AfY3kHU/edit?usp=sharing  #gid=0"",""фіз особи new!relations_name""),6,FALSE)
,
(IF
(
C12381=""юридична особа""
,
VLOO"&amp;"KUP(D12381,IMPORTRANGE(""https://docs.google.com/spreadsheets/d/14Bd19lYaqBhU8_DElYkX7l4wRkHqqCUFNJY4AfY3kHU/edit?usp=sharing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0" s="7" t="s">
        <v>10</v>
      </c>
      <c r="H12380" s="7">
        <v>18026</v>
      </c>
      <c r="I12380" s="8" t="str">
        <f ca="1">IFERROR(__xludf.DUMMYFUNCTION("IF
(
G12381=""фізична особа""
,
VLOOKUP(H12381,IMPORTRANGE(""https://docs.google.com/spreadsheets/d/14Bd19lYaqBhU8_DElYkX7l4wRkHqqCUFNJY4AfY3kHU/edit?usp=sharing  #gid=0"",""фіз особи new!relations_name""),6,FALSE)
,
(IF
(
G12381=""юридична особа""
,
VLOO"&amp;"KUP(H12381,IMPORTRANGE(""https://docs.google.com/spreadsheets/d/14Bd19lYaqBhU8_DElYkX7l4wRkHqqCUFNJY4AfY3kHU/edit?usp=sharing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380" s="7" t="s">
        <v>11</v>
      </c>
    </row>
    <row r="12381" spans="1:10" ht="13.2">
      <c r="A12381" s="7">
        <v>12380</v>
      </c>
      <c r="B12381" s="7">
        <v>1</v>
      </c>
      <c r="C12381" s="7" t="s">
        <v>10</v>
      </c>
      <c r="D12381" s="7">
        <v>18029</v>
      </c>
      <c r="E12381" s="7" t="s">
        <v>11</v>
      </c>
      <c r="F12381" s="8" t="str">
        <f ca="1">IFERROR(__xludf.DUMMYFUNCTION("IF
(
C12382=""фізична особа""
,
VLOOKUP(D12382,IMPORTRANGE(""https://docs.google.com/spreadsheets/d/14Bd19lYaqBhU8_DElYkX7l4wRkHqqCUFNJY4AfY3kHU/edit?usp=sharing  #gid=0"",""фіз особи new!relations_name""),6,FALSE)
,
(IF
(
C12382=""юридична особа""
,
VLOO"&amp;"KUP(D12382,IMPORTRANGE(""https://docs.google.com/spreadsheets/d/14Bd19lYaqBhU8_DElYkX7l4wRkHqqCUFNJY4AfY3kHU/edit?usp=sharing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1" s="7" t="s">
        <v>10</v>
      </c>
      <c r="H12381" s="7">
        <v>18027</v>
      </c>
      <c r="I12381" s="8" t="str">
        <f ca="1">IFERROR(__xludf.DUMMYFUNCTION("IF
(
G12382=""фізична особа""
,
VLOOKUP(H12382,IMPORTRANGE(""https://docs.google.com/spreadsheets/d/14Bd19lYaqBhU8_DElYkX7l4wRkHqqCUFNJY4AfY3kHU/edit?usp=sharing  #gid=0"",""фіз особи new!relations_name""),6,FALSE)
,
(IF
(
G12382=""юридична особа""
,
VLOO"&amp;"KUP(H12382,IMPORTRANGE(""https://docs.google.com/spreadsheets/d/14Bd19lYaqBhU8_DElYkX7l4wRkHqqCUFNJY4AfY3kHU/edit?usp=sharing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381" s="7" t="s">
        <v>11</v>
      </c>
    </row>
    <row r="12382" spans="1:10" ht="13.2">
      <c r="A12382" s="7">
        <v>12381</v>
      </c>
      <c r="B12382" s="7">
        <v>1</v>
      </c>
      <c r="C12382" s="7" t="s">
        <v>10</v>
      </c>
      <c r="D12382" s="7">
        <v>18029</v>
      </c>
      <c r="E12382" s="7" t="s">
        <v>11</v>
      </c>
      <c r="F12382" s="8" t="str">
        <f ca="1">IFERROR(__xludf.DUMMYFUNCTION("IF
(
C12383=""фізична особа""
,
VLOOKUP(D12383,IMPORTRANGE(""https://docs.google.com/spreadsheets/d/14Bd19lYaqBhU8_DElYkX7l4wRkHqqCUFNJY4AfY3kHU/edit?usp=sharing  #gid=0"",""фіз особи new!relations_name""),6,FALSE)
,
(IF
(
C12383=""юридична особа""
,
VLOO"&amp;"KUP(D12383,IMPORTRANGE(""https://docs.google.com/spreadsheets/d/14Bd19lYaqBhU8_DElYkX7l4wRkHqqCUFNJY4AfY3kHU/edit?usp=sharing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2" s="7" t="s">
        <v>10</v>
      </c>
      <c r="H12382" s="7">
        <v>18028</v>
      </c>
      <c r="I12382" s="8" t="str">
        <f ca="1">IFERROR(__xludf.DUMMYFUNCTION("IF
(
G12383=""фізична особа""
,
VLOOKUP(H12383,IMPORTRANGE(""https://docs.google.com/spreadsheets/d/14Bd19lYaqBhU8_DElYkX7l4wRkHqqCUFNJY4AfY3kHU/edit?usp=sharing  #gid=0"",""фіз особи new!relations_name""),6,FALSE)
,
(IF
(
G12383=""юридична особа""
,
VLOO"&amp;"KUP(H12383,IMPORTRANGE(""https://docs.google.com/spreadsheets/d/14Bd19lYaqBhU8_DElYkX7l4wRkHqqCUFNJY4AfY3kHU/edit?usp=sharing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382" s="7" t="s">
        <v>11</v>
      </c>
    </row>
    <row r="12383" spans="1:10" ht="13.2">
      <c r="A12383" s="7">
        <v>12382</v>
      </c>
      <c r="B12383" s="7">
        <v>1</v>
      </c>
      <c r="C12383" s="7" t="s">
        <v>10</v>
      </c>
      <c r="D12383" s="7">
        <v>18029</v>
      </c>
      <c r="E12383" s="7" t="s">
        <v>11</v>
      </c>
      <c r="F12383" s="8" t="str">
        <f ca="1">IFERROR(__xludf.DUMMYFUNCTION("IF
(
C12384=""фізична особа""
,
VLOOKUP(D12384,IMPORTRANGE(""https://docs.google.com/spreadsheets/d/14Bd19lYaqBhU8_DElYkX7l4wRkHqqCUFNJY4AfY3kHU/edit?usp=sharing  #gid=0"",""фіз особи new!relations_name""),6,FALSE)
,
(IF
(
C12384=""юридична особа""
,
VLOO"&amp;"KUP(D12384,IMPORTRANGE(""https://docs.google.com/spreadsheets/d/14Bd19lYaqBhU8_DElYkX7l4wRkHqqCUFNJY4AfY3kHU/edit?usp=sharing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3" s="7" t="s">
        <v>10</v>
      </c>
      <c r="H12383" s="7">
        <v>18030</v>
      </c>
      <c r="I12383" s="8" t="str">
        <f ca="1">IFERROR(__xludf.DUMMYFUNCTION("IF
(
G12384=""фізична особа""
,
VLOOKUP(H12384,IMPORTRANGE(""https://docs.google.com/spreadsheets/d/14Bd19lYaqBhU8_DElYkX7l4wRkHqqCUFNJY4AfY3kHU/edit?usp=sharing  #gid=0"",""фіз особи new!relations_name""),6,FALSE)
,
(IF
(
G12384=""юридична особа""
,
VLOO"&amp;"KUP(H12384,IMPORTRANGE(""https://docs.google.com/spreadsheets/d/14Bd19lYaqBhU8_DElYkX7l4wRkHqqCUFNJY4AfY3kHU/edit?usp=sharing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383" s="7" t="s">
        <v>11</v>
      </c>
    </row>
    <row r="12384" spans="1:10" ht="13.2">
      <c r="A12384" s="7">
        <v>12383</v>
      </c>
      <c r="B12384" s="7">
        <v>1</v>
      </c>
      <c r="C12384" s="7" t="s">
        <v>10</v>
      </c>
      <c r="D12384" s="7">
        <v>18029</v>
      </c>
      <c r="E12384" s="7" t="s">
        <v>11</v>
      </c>
      <c r="F12384" s="8" t="str">
        <f ca="1">IFERROR(__xludf.DUMMYFUNCTION("IF
(
C12385=""фізична особа""
,
VLOOKUP(D12385,IMPORTRANGE(""https://docs.google.com/spreadsheets/d/14Bd19lYaqBhU8_DElYkX7l4wRkHqqCUFNJY4AfY3kHU/edit?usp=sharing  #gid=0"",""фіз особи new!relations_name""),6,FALSE)
,
(IF
(
C12385=""юридична особа""
,
VLOO"&amp;"KUP(D12385,IMPORTRANGE(""https://docs.google.com/spreadsheets/d/14Bd19lYaqBhU8_DElYkX7l4wRkHqqCUFNJY4AfY3kHU/edit?usp=sharing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4" s="7" t="s">
        <v>10</v>
      </c>
      <c r="H12384" s="7">
        <v>18031</v>
      </c>
      <c r="I12384" s="8" t="str">
        <f ca="1">IFERROR(__xludf.DUMMYFUNCTION("IF
(
G12385=""фізична особа""
,
VLOOKUP(H12385,IMPORTRANGE(""https://docs.google.com/spreadsheets/d/14Bd19lYaqBhU8_DElYkX7l4wRkHqqCUFNJY4AfY3kHU/edit?usp=sharing  #gid=0"",""фіз особи new!relations_name""),6,FALSE)
,
(IF
(
G12385=""юридична особа""
,
VLOO"&amp;"KUP(H12385,IMPORTRANGE(""https://docs.google.com/spreadsheets/d/14Bd19lYaqBhU8_DElYkX7l4wRkHqqCUFNJY4AfY3kHU/edit?usp=sharing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84" s="7" t="s">
        <v>11</v>
      </c>
    </row>
    <row r="12385" spans="1:10" ht="13.2">
      <c r="A12385" s="7">
        <v>12384</v>
      </c>
      <c r="B12385" s="7">
        <v>1</v>
      </c>
      <c r="C12385" s="7" t="s">
        <v>10</v>
      </c>
      <c r="D12385" s="7">
        <v>18029</v>
      </c>
      <c r="E12385" s="7" t="s">
        <v>11</v>
      </c>
      <c r="F12385" s="8" t="str">
        <f ca="1">IFERROR(__xludf.DUMMYFUNCTION("IF
(
C12386=""фізична особа""
,
VLOOKUP(D12386,IMPORTRANGE(""https://docs.google.com/spreadsheets/d/14Bd19lYaqBhU8_DElYkX7l4wRkHqqCUFNJY4AfY3kHU/edit?usp=sharing  #gid=0"",""фіз особи new!relations_name""),6,FALSE)
,
(IF
(
C12386=""юридична особа""
,
VLOO"&amp;"KUP(D12386,IMPORTRANGE(""https://docs.google.com/spreadsheets/d/14Bd19lYaqBhU8_DElYkX7l4wRkHqqCUFNJY4AfY3kHU/edit?usp=sharing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5" s="7" t="s">
        <v>10</v>
      </c>
      <c r="H12385" s="7">
        <v>18032</v>
      </c>
      <c r="I12385" s="8" t="str">
        <f ca="1">IFERROR(__xludf.DUMMYFUNCTION("IF
(
G12386=""фізична особа""
,
VLOOKUP(H12386,IMPORTRANGE(""https://docs.google.com/spreadsheets/d/14Bd19lYaqBhU8_DElYkX7l4wRkHqqCUFNJY4AfY3kHU/edit?usp=sharing  #gid=0"",""фіз особи new!relations_name""),6,FALSE)
,
(IF
(
G12386=""юридична особа""
,
VLOO"&amp;"KUP(H12386,IMPORTRANGE(""https://docs.google.com/spreadsheets/d/14Bd19lYaqBhU8_DElYkX7l4wRkHqqCUFNJY4AfY3kHU/edit?usp=sharing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85" s="7" t="s">
        <v>11</v>
      </c>
    </row>
    <row r="12386" spans="1:10" ht="13.2">
      <c r="A12386" s="7">
        <v>12385</v>
      </c>
      <c r="B12386" s="7">
        <v>1</v>
      </c>
      <c r="C12386" s="7" t="s">
        <v>10</v>
      </c>
      <c r="D12386" s="7">
        <v>18029</v>
      </c>
      <c r="E12386" s="7" t="s">
        <v>11</v>
      </c>
      <c r="F12386" s="8" t="str">
        <f ca="1">IFERROR(__xludf.DUMMYFUNCTION("IF
(
C12387=""фізична особа""
,
VLOOKUP(D12387,IMPORTRANGE(""https://docs.google.com/spreadsheets/d/14Bd19lYaqBhU8_DElYkX7l4wRkHqqCUFNJY4AfY3kHU/edit?usp=sharing  #gid=0"",""фіз особи new!relations_name""),6,FALSE)
,
(IF
(
C12387=""юридична особа""
,
VLOO"&amp;"KUP(D12387,IMPORTRANGE(""https://docs.google.com/spreadsheets/d/14Bd19lYaqBhU8_DElYkX7l4wRkHqqCUFNJY4AfY3kHU/edit?usp=sharing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6" s="7" t="s">
        <v>10</v>
      </c>
      <c r="H12386" s="7">
        <v>18033</v>
      </c>
      <c r="I12386" s="8" t="str">
        <f ca="1">IFERROR(__xludf.DUMMYFUNCTION("IF
(
G12387=""фізична особа""
,
VLOOKUP(H12387,IMPORTRANGE(""https://docs.google.com/spreadsheets/d/14Bd19lYaqBhU8_DElYkX7l4wRkHqqCUFNJY4AfY3kHU/edit?usp=sharing  #gid=0"",""фіз особи new!relations_name""),6,FALSE)
,
(IF
(
G12387=""юридична особа""
,
VLOO"&amp;"KUP(H12387,IMPORTRANGE(""https://docs.google.com/spreadsheets/d/14Bd19lYaqBhU8_DElYkX7l4wRkHqqCUFNJY4AfY3kHU/edit?usp=sharing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86" s="7" t="s">
        <v>11</v>
      </c>
    </row>
    <row r="12387" spans="1:10" ht="13.2">
      <c r="A12387" s="7">
        <v>12386</v>
      </c>
      <c r="B12387" s="7">
        <v>1</v>
      </c>
      <c r="C12387" s="7" t="s">
        <v>10</v>
      </c>
      <c r="D12387" s="7">
        <v>18029</v>
      </c>
      <c r="E12387" s="7" t="s">
        <v>11</v>
      </c>
      <c r="F12387" s="8" t="str">
        <f ca="1">IFERROR(__xludf.DUMMYFUNCTION("IF
(
C12388=""фізична особа""
,
VLOOKUP(D12388,IMPORTRANGE(""https://docs.google.com/spreadsheets/d/14Bd19lYaqBhU8_DElYkX7l4wRkHqqCUFNJY4AfY3kHU/edit?usp=sharing  #gid=0"",""фіз особи new!relations_name""),6,FALSE)
,
(IF
(
C12388=""юридична особа""
,
VLOO"&amp;"KUP(D12388,IMPORTRANGE(""https://docs.google.com/spreadsheets/d/14Bd19lYaqBhU8_DElYkX7l4wRkHqqCUFNJY4AfY3kHU/edit?usp=sharing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7" s="7" t="s">
        <v>10</v>
      </c>
      <c r="H12387" s="7">
        <v>18034</v>
      </c>
      <c r="I12387" s="8" t="str">
        <f ca="1">IFERROR(__xludf.DUMMYFUNCTION("IF
(
G12388=""фізична особа""
,
VLOOKUP(H12388,IMPORTRANGE(""https://docs.google.com/spreadsheets/d/14Bd19lYaqBhU8_DElYkX7l4wRkHqqCUFNJY4AfY3kHU/edit?usp=sharing  #gid=0"",""фіз особи new!relations_name""),6,FALSE)
,
(IF
(
G12388=""юридична особа""
,
VLOO"&amp;"KUP(H12388,IMPORTRANGE(""https://docs.google.com/spreadsheets/d/14Bd19lYaqBhU8_DElYkX7l4wRkHqqCUFNJY4AfY3kHU/edit?usp=sharing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87" s="7" t="s">
        <v>11</v>
      </c>
    </row>
    <row r="12388" spans="1:10" ht="13.2">
      <c r="A12388" s="7">
        <v>12387</v>
      </c>
      <c r="B12388" s="7">
        <v>1</v>
      </c>
      <c r="C12388" s="7" t="s">
        <v>10</v>
      </c>
      <c r="D12388" s="7">
        <v>18029</v>
      </c>
      <c r="E12388" s="7" t="s">
        <v>11</v>
      </c>
      <c r="F12388" s="8" t="str">
        <f ca="1">IFERROR(__xludf.DUMMYFUNCTION("IF
(
C12389=""фізична особа""
,
VLOOKUP(D12389,IMPORTRANGE(""https://docs.google.com/spreadsheets/d/14Bd19lYaqBhU8_DElYkX7l4wRkHqqCUFNJY4AfY3kHU/edit?usp=sharing  #gid=0"",""фіз особи new!relations_name""),6,FALSE)
,
(IF
(
C12389=""юридична особа""
,
VLOO"&amp;"KUP(D12389,IMPORTRANGE(""https://docs.google.com/spreadsheets/d/14Bd19lYaqBhU8_DElYkX7l4wRkHqqCUFNJY4AfY3kHU/edit?usp=sharing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8" s="7" t="s">
        <v>10</v>
      </c>
      <c r="H12388" s="7">
        <v>18035</v>
      </c>
      <c r="I12388" s="8" t="str">
        <f ca="1">IFERROR(__xludf.DUMMYFUNCTION("IF
(
G12389=""фізична особа""
,
VLOOKUP(H12389,IMPORTRANGE(""https://docs.google.com/spreadsheets/d/14Bd19lYaqBhU8_DElYkX7l4wRkHqqCUFNJY4AfY3kHU/edit?usp=sharing  #gid=0"",""фіз особи new!relations_name""),6,FALSE)
,
(IF
(
G12389=""юридична особа""
,
VLOO"&amp;"KUP(H12389,IMPORTRANGE(""https://docs.google.com/spreadsheets/d/14Bd19lYaqBhU8_DElYkX7l4wRkHqqCUFNJY4AfY3kHU/edit?usp=sharing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88" s="7" t="s">
        <v>11</v>
      </c>
    </row>
    <row r="12389" spans="1:10" ht="13.2">
      <c r="A12389" s="7">
        <v>12388</v>
      </c>
      <c r="B12389" s="7">
        <v>1</v>
      </c>
      <c r="C12389" s="7" t="s">
        <v>10</v>
      </c>
      <c r="D12389" s="7">
        <v>18029</v>
      </c>
      <c r="E12389" s="7" t="s">
        <v>11</v>
      </c>
      <c r="F12389" s="8" t="str">
        <f ca="1">IFERROR(__xludf.DUMMYFUNCTION("IF
(
C12390=""фізична особа""
,
VLOOKUP(D12390,IMPORTRANGE(""https://docs.google.com/spreadsheets/d/14Bd19lYaqBhU8_DElYkX7l4wRkHqqCUFNJY4AfY3kHU/edit?usp=sharing  #gid=0"",""фіз особи new!relations_name""),6,FALSE)
,
(IF
(
C12390=""юридична особа""
,
VLOO"&amp;"KUP(D12390,IMPORTRANGE(""https://docs.google.com/spreadsheets/d/14Bd19lYaqBhU8_DElYkX7l4wRkHqqCUFNJY4AfY3kHU/edit?usp=sharing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G12389" s="7" t="s">
        <v>10</v>
      </c>
      <c r="H12389" s="7">
        <v>18036</v>
      </c>
      <c r="I12389" s="8" t="str">
        <f ca="1">IFERROR(__xludf.DUMMYFUNCTION("IF
(
G12390=""фізична особа""
,
VLOOKUP(H12390,IMPORTRANGE(""https://docs.google.com/spreadsheets/d/14Bd19lYaqBhU8_DElYkX7l4wRkHqqCUFNJY4AfY3kHU/edit?usp=sharing  #gid=0"",""фіз особи new!relations_name""),6,FALSE)
,
(IF
(
G12390=""юридична особа""
,
VLOO"&amp;"KUP(H12390,IMPORTRANGE(""https://docs.google.com/spreadsheets/d/14Bd19lYaqBhU8_DElYkX7l4wRkHqqCUFNJY4AfY3kHU/edit?usp=sharing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389" s="7" t="s">
        <v>11</v>
      </c>
    </row>
    <row r="12390" spans="1:10" ht="13.2">
      <c r="A12390" s="7">
        <v>12389</v>
      </c>
      <c r="B12390" s="7">
        <v>1</v>
      </c>
      <c r="C12390" s="7" t="s">
        <v>10</v>
      </c>
      <c r="D12390" s="7">
        <v>18030</v>
      </c>
      <c r="E12390" s="7" t="s">
        <v>11</v>
      </c>
      <c r="F12390" s="8" t="str">
        <f ca="1">IFERROR(__xludf.DUMMYFUNCTION("IF
(
C12391=""фізична особа""
,
VLOOKUP(D12391,IMPORTRANGE(""https://docs.google.com/spreadsheets/d/14Bd19lYaqBhU8_DElYkX7l4wRkHqqCUFNJY4AfY3kHU/edit?usp=sharing  #gid=0"",""фіз особи new!relations_name""),6,FALSE)
,
(IF
(
C12391=""юридична особа""
,
VLOO"&amp;"KUP(D12391,IMPORTRANGE(""https://docs.google.com/spreadsheets/d/14Bd19lYaqBhU8_DElYkX7l4wRkHqqCUFNJY4AfY3kHU/edit?usp=sharing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0" s="7" t="s">
        <v>10</v>
      </c>
      <c r="H12390" s="7">
        <v>18025</v>
      </c>
      <c r="I12390" s="8" t="str">
        <f ca="1">IFERROR(__xludf.DUMMYFUNCTION("IF
(
G12391=""фізична особа""
,
VLOOKUP(H12391,IMPORTRANGE(""https://docs.google.com/spreadsheets/d/14Bd19lYaqBhU8_DElYkX7l4wRkHqqCUFNJY4AfY3kHU/edit?usp=sharing  #gid=0"",""фіз особи new!relations_name""),6,FALSE)
,
(IF
(
G12391=""юридична особа""
,
VLOO"&amp;"KUP(H12391,IMPORTRANGE(""https://docs.google.com/spreadsheets/d/14Bd19lYaqBhU8_DElYkX7l4wRkHqqCUFNJY4AfY3kHU/edit?usp=sharing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390" s="7" t="s">
        <v>11</v>
      </c>
    </row>
    <row r="12391" spans="1:10" ht="13.2">
      <c r="A12391" s="7">
        <v>12390</v>
      </c>
      <c r="B12391" s="7">
        <v>1</v>
      </c>
      <c r="C12391" s="7" t="s">
        <v>10</v>
      </c>
      <c r="D12391" s="7">
        <v>18030</v>
      </c>
      <c r="E12391" s="7" t="s">
        <v>11</v>
      </c>
      <c r="F12391" s="8" t="str">
        <f ca="1">IFERROR(__xludf.DUMMYFUNCTION("IF
(
C12392=""фізична особа""
,
VLOOKUP(D12392,IMPORTRANGE(""https://docs.google.com/spreadsheets/d/14Bd19lYaqBhU8_DElYkX7l4wRkHqqCUFNJY4AfY3kHU/edit?usp=sharing  #gid=0"",""фіз особи new!relations_name""),6,FALSE)
,
(IF
(
C12392=""юридична особа""
,
VLOO"&amp;"KUP(D12392,IMPORTRANGE(""https://docs.google.com/spreadsheets/d/14Bd19lYaqBhU8_DElYkX7l4wRkHqqCUFNJY4AfY3kHU/edit?usp=sharing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1" s="7" t="s">
        <v>10</v>
      </c>
      <c r="H12391" s="7">
        <v>18026</v>
      </c>
      <c r="I12391" s="8" t="str">
        <f ca="1">IFERROR(__xludf.DUMMYFUNCTION("IF
(
G12392=""фізична особа""
,
VLOOKUP(H12392,IMPORTRANGE(""https://docs.google.com/spreadsheets/d/14Bd19lYaqBhU8_DElYkX7l4wRkHqqCUFNJY4AfY3kHU/edit?usp=sharing  #gid=0"",""фіз особи new!relations_name""),6,FALSE)
,
(IF
(
G12392=""юридична особа""
,
VLOO"&amp;"KUP(H12392,IMPORTRANGE(""https://docs.google.com/spreadsheets/d/14Bd19lYaqBhU8_DElYkX7l4wRkHqqCUFNJY4AfY3kHU/edit?usp=sharing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391" s="7" t="s">
        <v>11</v>
      </c>
    </row>
    <row r="12392" spans="1:10" ht="13.2">
      <c r="A12392" s="7">
        <v>12391</v>
      </c>
      <c r="B12392" s="7">
        <v>1</v>
      </c>
      <c r="C12392" s="7" t="s">
        <v>10</v>
      </c>
      <c r="D12392" s="7">
        <v>18030</v>
      </c>
      <c r="E12392" s="7" t="s">
        <v>11</v>
      </c>
      <c r="F12392" s="8" t="str">
        <f ca="1">IFERROR(__xludf.DUMMYFUNCTION("IF
(
C12393=""фізична особа""
,
VLOOKUP(D12393,IMPORTRANGE(""https://docs.google.com/spreadsheets/d/14Bd19lYaqBhU8_DElYkX7l4wRkHqqCUFNJY4AfY3kHU/edit?usp=sharing  #gid=0"",""фіз особи new!relations_name""),6,FALSE)
,
(IF
(
C12393=""юридична особа""
,
VLOO"&amp;"KUP(D12393,IMPORTRANGE(""https://docs.google.com/spreadsheets/d/14Bd19lYaqBhU8_DElYkX7l4wRkHqqCUFNJY4AfY3kHU/edit?usp=sharing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2" s="7" t="s">
        <v>10</v>
      </c>
      <c r="H12392" s="7">
        <v>18027</v>
      </c>
      <c r="I12392" s="8" t="str">
        <f ca="1">IFERROR(__xludf.DUMMYFUNCTION("IF
(
G12393=""фізична особа""
,
VLOOKUP(H12393,IMPORTRANGE(""https://docs.google.com/spreadsheets/d/14Bd19lYaqBhU8_DElYkX7l4wRkHqqCUFNJY4AfY3kHU/edit?usp=sharing  #gid=0"",""фіз особи new!relations_name""),6,FALSE)
,
(IF
(
G12393=""юридична особа""
,
VLOO"&amp;"KUP(H12393,IMPORTRANGE(""https://docs.google.com/spreadsheets/d/14Bd19lYaqBhU8_DElYkX7l4wRkHqqCUFNJY4AfY3kHU/edit?usp=sharing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392" s="7" t="s">
        <v>11</v>
      </c>
    </row>
    <row r="12393" spans="1:10" ht="13.2">
      <c r="A12393" s="7">
        <v>12392</v>
      </c>
      <c r="B12393" s="7">
        <v>1</v>
      </c>
      <c r="C12393" s="7" t="s">
        <v>10</v>
      </c>
      <c r="D12393" s="7">
        <v>18030</v>
      </c>
      <c r="E12393" s="7" t="s">
        <v>11</v>
      </c>
      <c r="F12393" s="8" t="str">
        <f ca="1">IFERROR(__xludf.DUMMYFUNCTION("IF
(
C12394=""фізична особа""
,
VLOOKUP(D12394,IMPORTRANGE(""https://docs.google.com/spreadsheets/d/14Bd19lYaqBhU8_DElYkX7l4wRkHqqCUFNJY4AfY3kHU/edit?usp=sharing  #gid=0"",""фіз особи new!relations_name""),6,FALSE)
,
(IF
(
C12394=""юридична особа""
,
VLOO"&amp;"KUP(D12394,IMPORTRANGE(""https://docs.google.com/spreadsheets/d/14Bd19lYaqBhU8_DElYkX7l4wRkHqqCUFNJY4AfY3kHU/edit?usp=sharing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3" s="7" t="s">
        <v>10</v>
      </c>
      <c r="H12393" s="7">
        <v>18028</v>
      </c>
      <c r="I12393" s="8" t="str">
        <f ca="1">IFERROR(__xludf.DUMMYFUNCTION("IF
(
G12394=""фізична особа""
,
VLOOKUP(H12394,IMPORTRANGE(""https://docs.google.com/spreadsheets/d/14Bd19lYaqBhU8_DElYkX7l4wRkHqqCUFNJY4AfY3kHU/edit?usp=sharing  #gid=0"",""фіз особи new!relations_name""),6,FALSE)
,
(IF
(
G12394=""юридична особа""
,
VLOO"&amp;"KUP(H12394,IMPORTRANGE(""https://docs.google.com/spreadsheets/d/14Bd19lYaqBhU8_DElYkX7l4wRkHqqCUFNJY4AfY3kHU/edit?usp=sharing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393" s="7" t="s">
        <v>11</v>
      </c>
    </row>
    <row r="12394" spans="1:10" ht="13.2">
      <c r="A12394" s="7">
        <v>12393</v>
      </c>
      <c r="B12394" s="7">
        <v>1</v>
      </c>
      <c r="C12394" s="7" t="s">
        <v>10</v>
      </c>
      <c r="D12394" s="7">
        <v>18030</v>
      </c>
      <c r="E12394" s="7" t="s">
        <v>11</v>
      </c>
      <c r="F12394" s="8" t="str">
        <f ca="1">IFERROR(__xludf.DUMMYFUNCTION("IF
(
C12395=""фізична особа""
,
VLOOKUP(D12395,IMPORTRANGE(""https://docs.google.com/spreadsheets/d/14Bd19lYaqBhU8_DElYkX7l4wRkHqqCUFNJY4AfY3kHU/edit?usp=sharing  #gid=0"",""фіз особи new!relations_name""),6,FALSE)
,
(IF
(
C12395=""юридична особа""
,
VLOO"&amp;"KUP(D12395,IMPORTRANGE(""https://docs.google.com/spreadsheets/d/14Bd19lYaqBhU8_DElYkX7l4wRkHqqCUFNJY4AfY3kHU/edit?usp=sharing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4" s="7" t="s">
        <v>10</v>
      </c>
      <c r="H12394" s="7">
        <v>18029</v>
      </c>
      <c r="I12394" s="8" t="str">
        <f ca="1">IFERROR(__xludf.DUMMYFUNCTION("IF
(
G12395=""фізична особа""
,
VLOOKUP(H12395,IMPORTRANGE(""https://docs.google.com/spreadsheets/d/14Bd19lYaqBhU8_DElYkX7l4wRkHqqCUFNJY4AfY3kHU/edit?usp=sharing  #gid=0"",""фіз особи new!relations_name""),6,FALSE)
,
(IF
(
G12395=""юридична особа""
,
VLOO"&amp;"KUP(H12395,IMPORTRANGE(""https://docs.google.com/spreadsheets/d/14Bd19lYaqBhU8_DElYkX7l4wRkHqqCUFNJY4AfY3kHU/edit?usp=sharing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394" s="7" t="s">
        <v>11</v>
      </c>
    </row>
    <row r="12395" spans="1:10" ht="13.2">
      <c r="A12395" s="7">
        <v>12394</v>
      </c>
      <c r="B12395" s="7">
        <v>1</v>
      </c>
      <c r="C12395" s="7" t="s">
        <v>10</v>
      </c>
      <c r="D12395" s="7">
        <v>18030</v>
      </c>
      <c r="E12395" s="7" t="s">
        <v>11</v>
      </c>
      <c r="F12395" s="8" t="str">
        <f ca="1">IFERROR(__xludf.DUMMYFUNCTION("IF
(
C12396=""фізична особа""
,
VLOOKUP(D12396,IMPORTRANGE(""https://docs.google.com/spreadsheets/d/14Bd19lYaqBhU8_DElYkX7l4wRkHqqCUFNJY4AfY3kHU/edit?usp=sharing  #gid=0"",""фіз особи new!relations_name""),6,FALSE)
,
(IF
(
C12396=""юридична особа""
,
VLOO"&amp;"KUP(D12396,IMPORTRANGE(""https://docs.google.com/spreadsheets/d/14Bd19lYaqBhU8_DElYkX7l4wRkHqqCUFNJY4AfY3kHU/edit?usp=sharing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5" s="7" t="s">
        <v>10</v>
      </c>
      <c r="H12395" s="7">
        <v>18031</v>
      </c>
      <c r="I12395" s="8" t="str">
        <f ca="1">IFERROR(__xludf.DUMMYFUNCTION("IF
(
G12396=""фізична особа""
,
VLOOKUP(H12396,IMPORTRANGE(""https://docs.google.com/spreadsheets/d/14Bd19lYaqBhU8_DElYkX7l4wRkHqqCUFNJY4AfY3kHU/edit?usp=sharing  #gid=0"",""фіз особи new!relations_name""),6,FALSE)
,
(IF
(
G12396=""юридична особа""
,
VLOO"&amp;"KUP(H12396,IMPORTRANGE(""https://docs.google.com/spreadsheets/d/14Bd19lYaqBhU8_DElYkX7l4wRkHqqCUFNJY4AfY3kHU/edit?usp=sharing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395" s="7" t="s">
        <v>11</v>
      </c>
    </row>
    <row r="12396" spans="1:10" ht="13.2">
      <c r="A12396" s="7">
        <v>12395</v>
      </c>
      <c r="B12396" s="7">
        <v>1</v>
      </c>
      <c r="C12396" s="7" t="s">
        <v>10</v>
      </c>
      <c r="D12396" s="7">
        <v>18030</v>
      </c>
      <c r="E12396" s="7" t="s">
        <v>11</v>
      </c>
      <c r="F12396" s="8" t="str">
        <f ca="1">IFERROR(__xludf.DUMMYFUNCTION("IF
(
C12397=""фізична особа""
,
VLOOKUP(D12397,IMPORTRANGE(""https://docs.google.com/spreadsheets/d/14Bd19lYaqBhU8_DElYkX7l4wRkHqqCUFNJY4AfY3kHU/edit?usp=sharing  #gid=0"",""фіз особи new!relations_name""),6,FALSE)
,
(IF
(
C12397=""юридична особа""
,
VLOO"&amp;"KUP(D12397,IMPORTRANGE(""https://docs.google.com/spreadsheets/d/14Bd19lYaqBhU8_DElYkX7l4wRkHqqCUFNJY4AfY3kHU/edit?usp=sharing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6" s="7" t="s">
        <v>10</v>
      </c>
      <c r="H12396" s="7">
        <v>18032</v>
      </c>
      <c r="I12396" s="8" t="str">
        <f ca="1">IFERROR(__xludf.DUMMYFUNCTION("IF
(
G12397=""фізична особа""
,
VLOOKUP(H12397,IMPORTRANGE(""https://docs.google.com/spreadsheets/d/14Bd19lYaqBhU8_DElYkX7l4wRkHqqCUFNJY4AfY3kHU/edit?usp=sharing  #gid=0"",""фіз особи new!relations_name""),6,FALSE)
,
(IF
(
G12397=""юридична особа""
,
VLOO"&amp;"KUP(H12397,IMPORTRANGE(""https://docs.google.com/spreadsheets/d/14Bd19lYaqBhU8_DElYkX7l4wRkHqqCUFNJY4AfY3kHU/edit?usp=sharing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396" s="7" t="s">
        <v>11</v>
      </c>
    </row>
    <row r="12397" spans="1:10" ht="13.2">
      <c r="A12397" s="7">
        <v>12396</v>
      </c>
      <c r="B12397" s="7">
        <v>1</v>
      </c>
      <c r="C12397" s="7" t="s">
        <v>10</v>
      </c>
      <c r="D12397" s="7">
        <v>18030</v>
      </c>
      <c r="E12397" s="7" t="s">
        <v>11</v>
      </c>
      <c r="F12397" s="8" t="str">
        <f ca="1">IFERROR(__xludf.DUMMYFUNCTION("IF
(
C12398=""фізична особа""
,
VLOOKUP(D12398,IMPORTRANGE(""https://docs.google.com/spreadsheets/d/14Bd19lYaqBhU8_DElYkX7l4wRkHqqCUFNJY4AfY3kHU/edit?usp=sharing  #gid=0"",""фіз особи new!relations_name""),6,FALSE)
,
(IF
(
C12398=""юридична особа""
,
VLOO"&amp;"KUP(D12398,IMPORTRANGE(""https://docs.google.com/spreadsheets/d/14Bd19lYaqBhU8_DElYkX7l4wRkHqqCUFNJY4AfY3kHU/edit?usp=sharing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7" s="7" t="s">
        <v>10</v>
      </c>
      <c r="H12397" s="7">
        <v>18033</v>
      </c>
      <c r="I12397" s="8" t="str">
        <f ca="1">IFERROR(__xludf.DUMMYFUNCTION("IF
(
G12398=""фізична особа""
,
VLOOKUP(H12398,IMPORTRANGE(""https://docs.google.com/spreadsheets/d/14Bd19lYaqBhU8_DElYkX7l4wRkHqqCUFNJY4AfY3kHU/edit?usp=sharing  #gid=0"",""фіз особи new!relations_name""),6,FALSE)
,
(IF
(
G12398=""юридична особа""
,
VLOO"&amp;"KUP(H12398,IMPORTRANGE(""https://docs.google.com/spreadsheets/d/14Bd19lYaqBhU8_DElYkX7l4wRkHqqCUFNJY4AfY3kHU/edit?usp=sharing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397" s="7" t="s">
        <v>11</v>
      </c>
    </row>
    <row r="12398" spans="1:10" ht="13.2">
      <c r="A12398" s="7">
        <v>12397</v>
      </c>
      <c r="B12398" s="7">
        <v>1</v>
      </c>
      <c r="C12398" s="7" t="s">
        <v>10</v>
      </c>
      <c r="D12398" s="7">
        <v>18030</v>
      </c>
      <c r="E12398" s="7" t="s">
        <v>11</v>
      </c>
      <c r="F12398" s="8" t="str">
        <f ca="1">IFERROR(__xludf.DUMMYFUNCTION("IF
(
C12399=""фізична особа""
,
VLOOKUP(D12399,IMPORTRANGE(""https://docs.google.com/spreadsheets/d/14Bd19lYaqBhU8_DElYkX7l4wRkHqqCUFNJY4AfY3kHU/edit?usp=sharing  #gid=0"",""фіз особи new!relations_name""),6,FALSE)
,
(IF
(
C12399=""юридична особа""
,
VLOO"&amp;"KUP(D12399,IMPORTRANGE(""https://docs.google.com/spreadsheets/d/14Bd19lYaqBhU8_DElYkX7l4wRkHqqCUFNJY4AfY3kHU/edit?usp=sharing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8" s="7" t="s">
        <v>10</v>
      </c>
      <c r="H12398" s="7">
        <v>18034</v>
      </c>
      <c r="I12398" s="8" t="str">
        <f ca="1">IFERROR(__xludf.DUMMYFUNCTION("IF
(
G12399=""фізична особа""
,
VLOOKUP(H12399,IMPORTRANGE(""https://docs.google.com/spreadsheets/d/14Bd19lYaqBhU8_DElYkX7l4wRkHqqCUFNJY4AfY3kHU/edit?usp=sharing  #gid=0"",""фіз особи new!relations_name""),6,FALSE)
,
(IF
(
G12399=""юридична особа""
,
VLOO"&amp;"KUP(H12399,IMPORTRANGE(""https://docs.google.com/spreadsheets/d/14Bd19lYaqBhU8_DElYkX7l4wRkHqqCUFNJY4AfY3kHU/edit?usp=sharing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398" s="7" t="s">
        <v>11</v>
      </c>
    </row>
    <row r="12399" spans="1:10" ht="13.2">
      <c r="A12399" s="7">
        <v>12398</v>
      </c>
      <c r="B12399" s="7">
        <v>1</v>
      </c>
      <c r="C12399" s="7" t="s">
        <v>10</v>
      </c>
      <c r="D12399" s="7">
        <v>18030</v>
      </c>
      <c r="E12399" s="7" t="s">
        <v>11</v>
      </c>
      <c r="F12399" s="8" t="str">
        <f ca="1">IFERROR(__xludf.DUMMYFUNCTION("IF
(
C12400=""фізична особа""
,
VLOOKUP(D12400,IMPORTRANGE(""https://docs.google.com/spreadsheets/d/14Bd19lYaqBhU8_DElYkX7l4wRkHqqCUFNJY4AfY3kHU/edit?usp=sharing  #gid=0"",""фіз особи new!relations_name""),6,FALSE)
,
(IF
(
C12400=""юридична особа""
,
VLOO"&amp;"KUP(D12400,IMPORTRANGE(""https://docs.google.com/spreadsheets/d/14Bd19lYaqBhU8_DElYkX7l4wRkHqqCUFNJY4AfY3kHU/edit?usp=sharing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399" s="7" t="s">
        <v>10</v>
      </c>
      <c r="H12399" s="7">
        <v>18035</v>
      </c>
      <c r="I12399" s="8" t="str">
        <f ca="1">IFERROR(__xludf.DUMMYFUNCTION("IF
(
G12400=""фізична особа""
,
VLOOKUP(H12400,IMPORTRANGE(""https://docs.google.com/spreadsheets/d/14Bd19lYaqBhU8_DElYkX7l4wRkHqqCUFNJY4AfY3kHU/edit?usp=sharing  #gid=0"",""фіз особи new!relations_name""),6,FALSE)
,
(IF
(
G12400=""юридична особа""
,
VLOO"&amp;"KUP(H12400,IMPORTRANGE(""https://docs.google.com/spreadsheets/d/14Bd19lYaqBhU8_DElYkX7l4wRkHqqCUFNJY4AfY3kHU/edit?usp=sharing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399" s="7" t="s">
        <v>11</v>
      </c>
    </row>
    <row r="12400" spans="1:10" ht="13.2">
      <c r="A12400" s="7">
        <v>12399</v>
      </c>
      <c r="B12400" s="7">
        <v>1</v>
      </c>
      <c r="C12400" s="7" t="s">
        <v>10</v>
      </c>
      <c r="D12400" s="7">
        <v>18030</v>
      </c>
      <c r="E12400" s="7" t="s">
        <v>11</v>
      </c>
      <c r="F12400" s="8" t="str">
        <f ca="1">IFERROR(__xludf.DUMMYFUNCTION("IF
(
C12401=""фізична особа""
,
VLOOKUP(D12401,IMPORTRANGE(""https://docs.google.com/spreadsheets/d/14Bd19lYaqBhU8_DElYkX7l4wRkHqqCUFNJY4AfY3kHU/edit?usp=sharing  #gid=0"",""фіз особи new!relations_name""),6,FALSE)
,
(IF
(
C12401=""юридична особа""
,
VLOO"&amp;"KUP(D12401,IMPORTRANGE(""https://docs.google.com/spreadsheets/d/14Bd19lYaqBhU8_DElYkX7l4wRkHqqCUFNJY4AfY3kHU/edit?usp=sharing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G12400" s="7" t="s">
        <v>10</v>
      </c>
      <c r="H12400" s="7">
        <v>18036</v>
      </c>
      <c r="I12400" s="8" t="str">
        <f ca="1">IFERROR(__xludf.DUMMYFUNCTION("IF
(
G12401=""фізична особа""
,
VLOOKUP(H12401,IMPORTRANGE(""https://docs.google.com/spreadsheets/d/14Bd19lYaqBhU8_DElYkX7l4wRkHqqCUFNJY4AfY3kHU/edit?usp=sharing  #gid=0"",""фіз особи new!relations_name""),6,FALSE)
,
(IF
(
G12401=""юридична особа""
,
VLOO"&amp;"KUP(H12401,IMPORTRANGE(""https://docs.google.com/spreadsheets/d/14Bd19lYaqBhU8_DElYkX7l4wRkHqqCUFNJY4AfY3kHU/edit?usp=sharing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00" s="7" t="s">
        <v>11</v>
      </c>
    </row>
    <row r="12401" spans="1:10" ht="13.2">
      <c r="A12401" s="7">
        <v>12400</v>
      </c>
      <c r="B12401" s="7">
        <v>1</v>
      </c>
      <c r="C12401" s="7" t="s">
        <v>10</v>
      </c>
      <c r="D12401" s="7">
        <v>18031</v>
      </c>
      <c r="E12401" s="7" t="s">
        <v>11</v>
      </c>
      <c r="F12401" s="8" t="str">
        <f ca="1">IFERROR(__xludf.DUMMYFUNCTION("IF
(
C12402=""фізична особа""
,
VLOOKUP(D12402,IMPORTRANGE(""https://docs.google.com/spreadsheets/d/14Bd19lYaqBhU8_DElYkX7l4wRkHqqCUFNJY4AfY3kHU/edit?usp=sharing  #gid=0"",""фіз особи new!relations_name""),6,FALSE)
,
(IF
(
C12402=""юридична особа""
,
VLOO"&amp;"KUP(D12402,IMPORTRANGE(""https://docs.google.com/spreadsheets/d/14Bd19lYaqBhU8_DElYkX7l4wRkHqqCUFNJY4AfY3kHU/edit?usp=sharing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1" s="7" t="s">
        <v>10</v>
      </c>
      <c r="H12401" s="7">
        <v>18025</v>
      </c>
      <c r="I12401" s="8" t="str">
        <f ca="1">IFERROR(__xludf.DUMMYFUNCTION("IF
(
G12402=""фізична особа""
,
VLOOKUP(H12402,IMPORTRANGE(""https://docs.google.com/spreadsheets/d/14Bd19lYaqBhU8_DElYkX7l4wRkHqqCUFNJY4AfY3kHU/edit?usp=sharing  #gid=0"",""фіз особи new!relations_name""),6,FALSE)
,
(IF
(
G12402=""юридична особа""
,
VLOO"&amp;"KUP(H12402,IMPORTRANGE(""https://docs.google.com/spreadsheets/d/14Bd19lYaqBhU8_DElYkX7l4wRkHqqCUFNJY4AfY3kHU/edit?usp=sharing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01" s="7" t="s">
        <v>11</v>
      </c>
    </row>
    <row r="12402" spans="1:10" ht="13.2">
      <c r="A12402" s="7">
        <v>12401</v>
      </c>
      <c r="B12402" s="7">
        <v>1</v>
      </c>
      <c r="C12402" s="7" t="s">
        <v>10</v>
      </c>
      <c r="D12402" s="7">
        <v>18031</v>
      </c>
      <c r="E12402" s="7" t="s">
        <v>11</v>
      </c>
      <c r="F12402" s="8" t="str">
        <f ca="1">IFERROR(__xludf.DUMMYFUNCTION("IF
(
C12403=""фізична особа""
,
VLOOKUP(D12403,IMPORTRANGE(""https://docs.google.com/spreadsheets/d/14Bd19lYaqBhU8_DElYkX7l4wRkHqqCUFNJY4AfY3kHU/edit?usp=sharing  #gid=0"",""фіз особи new!relations_name""),6,FALSE)
,
(IF
(
C12403=""юридична особа""
,
VLOO"&amp;"KUP(D12403,IMPORTRANGE(""https://docs.google.com/spreadsheets/d/14Bd19lYaqBhU8_DElYkX7l4wRkHqqCUFNJY4AfY3kHU/edit?usp=sharing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2" s="7" t="s">
        <v>10</v>
      </c>
      <c r="H12402" s="7">
        <v>18026</v>
      </c>
      <c r="I12402" s="8" t="str">
        <f ca="1">IFERROR(__xludf.DUMMYFUNCTION("IF
(
G12403=""фізична особа""
,
VLOOKUP(H12403,IMPORTRANGE(""https://docs.google.com/spreadsheets/d/14Bd19lYaqBhU8_DElYkX7l4wRkHqqCUFNJY4AfY3kHU/edit?usp=sharing  #gid=0"",""фіз особи new!relations_name""),6,FALSE)
,
(IF
(
G12403=""юридична особа""
,
VLOO"&amp;"KUP(H12403,IMPORTRANGE(""https://docs.google.com/spreadsheets/d/14Bd19lYaqBhU8_DElYkX7l4wRkHqqCUFNJY4AfY3kHU/edit?usp=sharing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02" s="7" t="s">
        <v>11</v>
      </c>
    </row>
    <row r="12403" spans="1:10" ht="13.2">
      <c r="A12403" s="7">
        <v>12402</v>
      </c>
      <c r="B12403" s="7">
        <v>1</v>
      </c>
      <c r="C12403" s="7" t="s">
        <v>10</v>
      </c>
      <c r="D12403" s="7">
        <v>18031</v>
      </c>
      <c r="E12403" s="7" t="s">
        <v>11</v>
      </c>
      <c r="F12403" s="8" t="str">
        <f ca="1">IFERROR(__xludf.DUMMYFUNCTION("IF
(
C12404=""фізична особа""
,
VLOOKUP(D12404,IMPORTRANGE(""https://docs.google.com/spreadsheets/d/14Bd19lYaqBhU8_DElYkX7l4wRkHqqCUFNJY4AfY3kHU/edit?usp=sharing  #gid=0"",""фіз особи new!relations_name""),6,FALSE)
,
(IF
(
C12404=""юридична особа""
,
VLOO"&amp;"KUP(D12404,IMPORTRANGE(""https://docs.google.com/spreadsheets/d/14Bd19lYaqBhU8_DElYkX7l4wRkHqqCUFNJY4AfY3kHU/edit?usp=sharing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3" s="7" t="s">
        <v>10</v>
      </c>
      <c r="H12403" s="7">
        <v>18027</v>
      </c>
      <c r="I12403" s="8" t="str">
        <f ca="1">IFERROR(__xludf.DUMMYFUNCTION("IF
(
G12404=""фізична особа""
,
VLOOKUP(H12404,IMPORTRANGE(""https://docs.google.com/spreadsheets/d/14Bd19lYaqBhU8_DElYkX7l4wRkHqqCUFNJY4AfY3kHU/edit?usp=sharing  #gid=0"",""фіз особи new!relations_name""),6,FALSE)
,
(IF
(
G12404=""юридична особа""
,
VLOO"&amp;"KUP(H12404,IMPORTRANGE(""https://docs.google.com/spreadsheets/d/14Bd19lYaqBhU8_DElYkX7l4wRkHqqCUFNJY4AfY3kHU/edit?usp=sharing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03" s="7" t="s">
        <v>11</v>
      </c>
    </row>
    <row r="12404" spans="1:10" ht="13.2">
      <c r="A12404" s="7">
        <v>12403</v>
      </c>
      <c r="B12404" s="7">
        <v>1</v>
      </c>
      <c r="C12404" s="7" t="s">
        <v>10</v>
      </c>
      <c r="D12404" s="7">
        <v>18031</v>
      </c>
      <c r="E12404" s="7" t="s">
        <v>11</v>
      </c>
      <c r="F12404" s="8" t="str">
        <f ca="1">IFERROR(__xludf.DUMMYFUNCTION("IF
(
C12405=""фізична особа""
,
VLOOKUP(D12405,IMPORTRANGE(""https://docs.google.com/spreadsheets/d/14Bd19lYaqBhU8_DElYkX7l4wRkHqqCUFNJY4AfY3kHU/edit?usp=sharing  #gid=0"",""фіз особи new!relations_name""),6,FALSE)
,
(IF
(
C12405=""юридична особа""
,
VLOO"&amp;"KUP(D12405,IMPORTRANGE(""https://docs.google.com/spreadsheets/d/14Bd19lYaqBhU8_DElYkX7l4wRkHqqCUFNJY4AfY3kHU/edit?usp=sharing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4" s="7" t="s">
        <v>10</v>
      </c>
      <c r="H12404" s="7">
        <v>18028</v>
      </c>
      <c r="I12404" s="8" t="str">
        <f ca="1">IFERROR(__xludf.DUMMYFUNCTION("IF
(
G12405=""фізична особа""
,
VLOOKUP(H12405,IMPORTRANGE(""https://docs.google.com/spreadsheets/d/14Bd19lYaqBhU8_DElYkX7l4wRkHqqCUFNJY4AfY3kHU/edit?usp=sharing  #gid=0"",""фіз особи new!relations_name""),6,FALSE)
,
(IF
(
G12405=""юридична особа""
,
VLOO"&amp;"KUP(H12405,IMPORTRANGE(""https://docs.google.com/spreadsheets/d/14Bd19lYaqBhU8_DElYkX7l4wRkHqqCUFNJY4AfY3kHU/edit?usp=sharing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04" s="7" t="s">
        <v>11</v>
      </c>
    </row>
    <row r="12405" spans="1:10" ht="13.2">
      <c r="A12405" s="7">
        <v>12404</v>
      </c>
      <c r="B12405" s="7">
        <v>1</v>
      </c>
      <c r="C12405" s="7" t="s">
        <v>10</v>
      </c>
      <c r="D12405" s="7">
        <v>18031</v>
      </c>
      <c r="E12405" s="7" t="s">
        <v>11</v>
      </c>
      <c r="F12405" s="8" t="str">
        <f ca="1">IFERROR(__xludf.DUMMYFUNCTION("IF
(
C12406=""фізична особа""
,
VLOOKUP(D12406,IMPORTRANGE(""https://docs.google.com/spreadsheets/d/14Bd19lYaqBhU8_DElYkX7l4wRkHqqCUFNJY4AfY3kHU/edit?usp=sharing  #gid=0"",""фіз особи new!relations_name""),6,FALSE)
,
(IF
(
C12406=""юридична особа""
,
VLOO"&amp;"KUP(D12406,IMPORTRANGE(""https://docs.google.com/spreadsheets/d/14Bd19lYaqBhU8_DElYkX7l4wRkHqqCUFNJY4AfY3kHU/edit?usp=sharing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5" s="7" t="s">
        <v>10</v>
      </c>
      <c r="H12405" s="7">
        <v>18029</v>
      </c>
      <c r="I12405" s="8" t="str">
        <f ca="1">IFERROR(__xludf.DUMMYFUNCTION("IF
(
G12406=""фізична особа""
,
VLOOKUP(H12406,IMPORTRANGE(""https://docs.google.com/spreadsheets/d/14Bd19lYaqBhU8_DElYkX7l4wRkHqqCUFNJY4AfY3kHU/edit?usp=sharing  #gid=0"",""фіз особи new!relations_name""),6,FALSE)
,
(IF
(
G12406=""юридична особа""
,
VLOO"&amp;"KUP(H12406,IMPORTRANGE(""https://docs.google.com/spreadsheets/d/14Bd19lYaqBhU8_DElYkX7l4wRkHqqCUFNJY4AfY3kHU/edit?usp=sharing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05" s="7" t="s">
        <v>11</v>
      </c>
    </row>
    <row r="12406" spans="1:10" ht="13.2">
      <c r="A12406" s="7">
        <v>12405</v>
      </c>
      <c r="B12406" s="7">
        <v>1</v>
      </c>
      <c r="C12406" s="7" t="s">
        <v>10</v>
      </c>
      <c r="D12406" s="7">
        <v>18031</v>
      </c>
      <c r="E12406" s="7" t="s">
        <v>11</v>
      </c>
      <c r="F12406" s="8" t="str">
        <f ca="1">IFERROR(__xludf.DUMMYFUNCTION("IF
(
C12407=""фізична особа""
,
VLOOKUP(D12407,IMPORTRANGE(""https://docs.google.com/spreadsheets/d/14Bd19lYaqBhU8_DElYkX7l4wRkHqqCUFNJY4AfY3kHU/edit?usp=sharing  #gid=0"",""фіз особи new!relations_name""),6,FALSE)
,
(IF
(
C12407=""юридична особа""
,
VLOO"&amp;"KUP(D12407,IMPORTRANGE(""https://docs.google.com/spreadsheets/d/14Bd19lYaqBhU8_DElYkX7l4wRkHqqCUFNJY4AfY3kHU/edit?usp=sharing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6" s="7" t="s">
        <v>10</v>
      </c>
      <c r="H12406" s="7">
        <v>18030</v>
      </c>
      <c r="I12406" s="8" t="str">
        <f ca="1">IFERROR(__xludf.DUMMYFUNCTION("IF
(
G12407=""фізична особа""
,
VLOOKUP(H12407,IMPORTRANGE(""https://docs.google.com/spreadsheets/d/14Bd19lYaqBhU8_DElYkX7l4wRkHqqCUFNJY4AfY3kHU/edit?usp=sharing  #gid=0"",""фіз особи new!relations_name""),6,FALSE)
,
(IF
(
G12407=""юридична особа""
,
VLOO"&amp;"KUP(H12407,IMPORTRANGE(""https://docs.google.com/spreadsheets/d/14Bd19lYaqBhU8_DElYkX7l4wRkHqqCUFNJY4AfY3kHU/edit?usp=sharing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06" s="7" t="s">
        <v>11</v>
      </c>
    </row>
    <row r="12407" spans="1:10" ht="13.2">
      <c r="A12407" s="7">
        <v>12406</v>
      </c>
      <c r="B12407" s="7">
        <v>1</v>
      </c>
      <c r="C12407" s="7" t="s">
        <v>10</v>
      </c>
      <c r="D12407" s="7">
        <v>18031</v>
      </c>
      <c r="E12407" s="7" t="s">
        <v>11</v>
      </c>
      <c r="F12407" s="8" t="str">
        <f ca="1">IFERROR(__xludf.DUMMYFUNCTION("IF
(
C12408=""фізична особа""
,
VLOOKUP(D12408,IMPORTRANGE(""https://docs.google.com/spreadsheets/d/14Bd19lYaqBhU8_DElYkX7l4wRkHqqCUFNJY4AfY3kHU/edit?usp=sharing  #gid=0"",""фіз особи new!relations_name""),6,FALSE)
,
(IF
(
C12408=""юридична особа""
,
VLOO"&amp;"KUP(D12408,IMPORTRANGE(""https://docs.google.com/spreadsheets/d/14Bd19lYaqBhU8_DElYkX7l4wRkHqqCUFNJY4AfY3kHU/edit?usp=sharing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7" s="7" t="s">
        <v>10</v>
      </c>
      <c r="H12407" s="7">
        <v>18032</v>
      </c>
      <c r="I12407" s="8" t="str">
        <f ca="1">IFERROR(__xludf.DUMMYFUNCTION("IF
(
G12408=""фізична особа""
,
VLOOKUP(H12408,IMPORTRANGE(""https://docs.google.com/spreadsheets/d/14Bd19lYaqBhU8_DElYkX7l4wRkHqqCUFNJY4AfY3kHU/edit?usp=sharing  #gid=0"",""фіз особи new!relations_name""),6,FALSE)
,
(IF
(
G12408=""юридична особа""
,
VLOO"&amp;"KUP(H12408,IMPORTRANGE(""https://docs.google.com/spreadsheets/d/14Bd19lYaqBhU8_DElYkX7l4wRkHqqCUFNJY4AfY3kHU/edit?usp=sharing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407" s="7" t="s">
        <v>11</v>
      </c>
    </row>
    <row r="12408" spans="1:10" ht="13.2">
      <c r="A12408" s="7">
        <v>12407</v>
      </c>
      <c r="B12408" s="7">
        <v>1</v>
      </c>
      <c r="C12408" s="7" t="s">
        <v>10</v>
      </c>
      <c r="D12408" s="7">
        <v>18031</v>
      </c>
      <c r="E12408" s="7" t="s">
        <v>11</v>
      </c>
      <c r="F12408" s="8" t="str">
        <f ca="1">IFERROR(__xludf.DUMMYFUNCTION("IF
(
C12409=""фізична особа""
,
VLOOKUP(D12409,IMPORTRANGE(""https://docs.google.com/spreadsheets/d/14Bd19lYaqBhU8_DElYkX7l4wRkHqqCUFNJY4AfY3kHU/edit?usp=sharing  #gid=0"",""фіз особи new!relations_name""),6,FALSE)
,
(IF
(
C12409=""юридична особа""
,
VLOO"&amp;"KUP(D12409,IMPORTRANGE(""https://docs.google.com/spreadsheets/d/14Bd19lYaqBhU8_DElYkX7l4wRkHqqCUFNJY4AfY3kHU/edit?usp=sharing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8" s="7" t="s">
        <v>10</v>
      </c>
      <c r="H12408" s="7">
        <v>18033</v>
      </c>
      <c r="I12408" s="8" t="str">
        <f ca="1">IFERROR(__xludf.DUMMYFUNCTION("IF
(
G12409=""фізична особа""
,
VLOOKUP(H12409,IMPORTRANGE(""https://docs.google.com/spreadsheets/d/14Bd19lYaqBhU8_DElYkX7l4wRkHqqCUFNJY4AfY3kHU/edit?usp=sharing  #gid=0"",""фіз особи new!relations_name""),6,FALSE)
,
(IF
(
G12409=""юридична особа""
,
VLOO"&amp;"KUP(H12409,IMPORTRANGE(""https://docs.google.com/spreadsheets/d/14Bd19lYaqBhU8_DElYkX7l4wRkHqqCUFNJY4AfY3kHU/edit?usp=sharing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408" s="7" t="s">
        <v>11</v>
      </c>
    </row>
    <row r="12409" spans="1:10" ht="13.2">
      <c r="A12409" s="7">
        <v>12408</v>
      </c>
      <c r="B12409" s="7">
        <v>1</v>
      </c>
      <c r="C12409" s="7" t="s">
        <v>10</v>
      </c>
      <c r="D12409" s="7">
        <v>18031</v>
      </c>
      <c r="E12409" s="7" t="s">
        <v>11</v>
      </c>
      <c r="F12409" s="8" t="str">
        <f ca="1">IFERROR(__xludf.DUMMYFUNCTION("IF
(
C12410=""фізична особа""
,
VLOOKUP(D12410,IMPORTRANGE(""https://docs.google.com/spreadsheets/d/14Bd19lYaqBhU8_DElYkX7l4wRkHqqCUFNJY4AfY3kHU/edit?usp=sharing  #gid=0"",""фіз особи new!relations_name""),6,FALSE)
,
(IF
(
C12410=""юридична особа""
,
VLOO"&amp;"KUP(D12410,IMPORTRANGE(""https://docs.google.com/spreadsheets/d/14Bd19lYaqBhU8_DElYkX7l4wRkHqqCUFNJY4AfY3kHU/edit?usp=sharing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09" s="7" t="s">
        <v>10</v>
      </c>
      <c r="H12409" s="7">
        <v>18034</v>
      </c>
      <c r="I12409" s="8" t="str">
        <f ca="1">IFERROR(__xludf.DUMMYFUNCTION("IF
(
G12410=""фізична особа""
,
VLOOKUP(H12410,IMPORTRANGE(""https://docs.google.com/spreadsheets/d/14Bd19lYaqBhU8_DElYkX7l4wRkHqqCUFNJY4AfY3kHU/edit?usp=sharing  #gid=0"",""фіз особи new!relations_name""),6,FALSE)
,
(IF
(
G12410=""юридична особа""
,
VLOO"&amp;"KUP(H12410,IMPORTRANGE(""https://docs.google.com/spreadsheets/d/14Bd19lYaqBhU8_DElYkX7l4wRkHqqCUFNJY4AfY3kHU/edit?usp=sharing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409" s="7" t="s">
        <v>11</v>
      </c>
    </row>
    <row r="12410" spans="1:10" ht="13.2">
      <c r="A12410" s="7">
        <v>12409</v>
      </c>
      <c r="B12410" s="7">
        <v>1</v>
      </c>
      <c r="C12410" s="7" t="s">
        <v>10</v>
      </c>
      <c r="D12410" s="7">
        <v>18031</v>
      </c>
      <c r="E12410" s="7" t="s">
        <v>11</v>
      </c>
      <c r="F12410" s="8" t="str">
        <f ca="1">IFERROR(__xludf.DUMMYFUNCTION("IF
(
C12411=""фізична особа""
,
VLOOKUP(D12411,IMPORTRANGE(""https://docs.google.com/spreadsheets/d/14Bd19lYaqBhU8_DElYkX7l4wRkHqqCUFNJY4AfY3kHU/edit?usp=sharing  #gid=0"",""фіз особи new!relations_name""),6,FALSE)
,
(IF
(
C12411=""юридична особа""
,
VLOO"&amp;"KUP(D12411,IMPORTRANGE(""https://docs.google.com/spreadsheets/d/14Bd19lYaqBhU8_DElYkX7l4wRkHqqCUFNJY4AfY3kHU/edit?usp=sharing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10" s="7" t="s">
        <v>10</v>
      </c>
      <c r="H12410" s="7">
        <v>18035</v>
      </c>
      <c r="I12410" s="8" t="str">
        <f ca="1">IFERROR(__xludf.DUMMYFUNCTION("IF
(
G12411=""фізична особа""
,
VLOOKUP(H12411,IMPORTRANGE(""https://docs.google.com/spreadsheets/d/14Bd19lYaqBhU8_DElYkX7l4wRkHqqCUFNJY4AfY3kHU/edit?usp=sharing  #gid=0"",""фіз особи new!relations_name""),6,FALSE)
,
(IF
(
G12411=""юридична особа""
,
VLOO"&amp;"KUP(H12411,IMPORTRANGE(""https://docs.google.com/spreadsheets/d/14Bd19lYaqBhU8_DElYkX7l4wRkHqqCUFNJY4AfY3kHU/edit?usp=sharing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410" s="7" t="s">
        <v>11</v>
      </c>
    </row>
    <row r="12411" spans="1:10" ht="13.2">
      <c r="A12411" s="7">
        <v>12410</v>
      </c>
      <c r="B12411" s="7">
        <v>1</v>
      </c>
      <c r="C12411" s="7" t="s">
        <v>10</v>
      </c>
      <c r="D12411" s="7">
        <v>18031</v>
      </c>
      <c r="E12411" s="7" t="s">
        <v>11</v>
      </c>
      <c r="F12411" s="8" t="str">
        <f ca="1">IFERROR(__xludf.DUMMYFUNCTION("IF
(
C12412=""фізична особа""
,
VLOOKUP(D12412,IMPORTRANGE(""https://docs.google.com/spreadsheets/d/14Bd19lYaqBhU8_DElYkX7l4wRkHqqCUFNJY4AfY3kHU/edit?usp=sharing  #gid=0"",""фіз особи new!relations_name""),6,FALSE)
,
(IF
(
C12412=""юридична особа""
,
VLOO"&amp;"KUP(D12412,IMPORTRANGE(""https://docs.google.com/spreadsheets/d/14Bd19lYaqBhU8_DElYkX7l4wRkHqqCUFNJY4AfY3kHU/edit?usp=sharing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G12411" s="7" t="s">
        <v>10</v>
      </c>
      <c r="H12411" s="7">
        <v>18036</v>
      </c>
      <c r="I12411" s="8" t="str">
        <f ca="1">IFERROR(__xludf.DUMMYFUNCTION("IF
(
G12412=""фізична особа""
,
VLOOKUP(H12412,IMPORTRANGE(""https://docs.google.com/spreadsheets/d/14Bd19lYaqBhU8_DElYkX7l4wRkHqqCUFNJY4AfY3kHU/edit?usp=sharing  #gid=0"",""фіз особи new!relations_name""),6,FALSE)
,
(IF
(
G12412=""юридична особа""
,
VLOO"&amp;"KUP(H12412,IMPORTRANGE(""https://docs.google.com/spreadsheets/d/14Bd19lYaqBhU8_DElYkX7l4wRkHqqCUFNJY4AfY3kHU/edit?usp=sharing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11" s="7" t="s">
        <v>11</v>
      </c>
    </row>
    <row r="12412" spans="1:10" ht="13.2">
      <c r="A12412" s="7">
        <v>12411</v>
      </c>
      <c r="B12412" s="7">
        <v>1</v>
      </c>
      <c r="C12412" s="7" t="s">
        <v>10</v>
      </c>
      <c r="D12412" s="7">
        <v>18032</v>
      </c>
      <c r="E12412" s="7" t="s">
        <v>11</v>
      </c>
      <c r="F12412" s="8" t="str">
        <f ca="1">IFERROR(__xludf.DUMMYFUNCTION("IF
(
C12413=""фізична особа""
,
VLOOKUP(D12413,IMPORTRANGE(""https://docs.google.com/spreadsheets/d/14Bd19lYaqBhU8_DElYkX7l4wRkHqqCUFNJY4AfY3kHU/edit?usp=sharing  #gid=0"",""фіз особи new!relations_name""),6,FALSE)
,
(IF
(
C12413=""юридична особа""
,
VLOO"&amp;"KUP(D12413,IMPORTRANGE(""https://docs.google.com/spreadsheets/d/14Bd19lYaqBhU8_DElYkX7l4wRkHqqCUFNJY4AfY3kHU/edit?usp=sharing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2" s="7" t="s">
        <v>10</v>
      </c>
      <c r="H12412" s="7">
        <v>18025</v>
      </c>
      <c r="I12412" s="8" t="str">
        <f ca="1">IFERROR(__xludf.DUMMYFUNCTION("IF
(
G12413=""фізична особа""
,
VLOOKUP(H12413,IMPORTRANGE(""https://docs.google.com/spreadsheets/d/14Bd19lYaqBhU8_DElYkX7l4wRkHqqCUFNJY4AfY3kHU/edit?usp=sharing  #gid=0"",""фіз особи new!relations_name""),6,FALSE)
,
(IF
(
G12413=""юридична особа""
,
VLOO"&amp;"KUP(H12413,IMPORTRANGE(""https://docs.google.com/spreadsheets/d/14Bd19lYaqBhU8_DElYkX7l4wRkHqqCUFNJY4AfY3kHU/edit?usp=sharing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12" s="7" t="s">
        <v>11</v>
      </c>
    </row>
    <row r="12413" spans="1:10" ht="13.2">
      <c r="A12413" s="7">
        <v>12412</v>
      </c>
      <c r="B12413" s="7">
        <v>1</v>
      </c>
      <c r="C12413" s="7" t="s">
        <v>10</v>
      </c>
      <c r="D12413" s="7">
        <v>18032</v>
      </c>
      <c r="E12413" s="7" t="s">
        <v>11</v>
      </c>
      <c r="F12413" s="8" t="str">
        <f ca="1">IFERROR(__xludf.DUMMYFUNCTION("IF
(
C12414=""фізична особа""
,
VLOOKUP(D12414,IMPORTRANGE(""https://docs.google.com/spreadsheets/d/14Bd19lYaqBhU8_DElYkX7l4wRkHqqCUFNJY4AfY3kHU/edit?usp=sharing  #gid=0"",""фіз особи new!relations_name""),6,FALSE)
,
(IF
(
C12414=""юридична особа""
,
VLOO"&amp;"KUP(D12414,IMPORTRANGE(""https://docs.google.com/spreadsheets/d/14Bd19lYaqBhU8_DElYkX7l4wRkHqqCUFNJY4AfY3kHU/edit?usp=sharing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3" s="7" t="s">
        <v>10</v>
      </c>
      <c r="H12413" s="7">
        <v>18026</v>
      </c>
      <c r="I12413" s="8" t="str">
        <f ca="1">IFERROR(__xludf.DUMMYFUNCTION("IF
(
G12414=""фізична особа""
,
VLOOKUP(H12414,IMPORTRANGE(""https://docs.google.com/spreadsheets/d/14Bd19lYaqBhU8_DElYkX7l4wRkHqqCUFNJY4AfY3kHU/edit?usp=sharing  #gid=0"",""фіз особи new!relations_name""),6,FALSE)
,
(IF
(
G12414=""юридична особа""
,
VLOO"&amp;"KUP(H12414,IMPORTRANGE(""https://docs.google.com/spreadsheets/d/14Bd19lYaqBhU8_DElYkX7l4wRkHqqCUFNJY4AfY3kHU/edit?usp=sharing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13" s="7" t="s">
        <v>11</v>
      </c>
    </row>
    <row r="12414" spans="1:10" ht="13.2">
      <c r="A12414" s="7">
        <v>12413</v>
      </c>
      <c r="B12414" s="7">
        <v>1</v>
      </c>
      <c r="C12414" s="7" t="s">
        <v>10</v>
      </c>
      <c r="D12414" s="7">
        <v>18032</v>
      </c>
      <c r="E12414" s="7" t="s">
        <v>11</v>
      </c>
      <c r="F12414" s="8" t="str">
        <f ca="1">IFERROR(__xludf.DUMMYFUNCTION("IF
(
C12415=""фізична особа""
,
VLOOKUP(D12415,IMPORTRANGE(""https://docs.google.com/spreadsheets/d/14Bd19lYaqBhU8_DElYkX7l4wRkHqqCUFNJY4AfY3kHU/edit?usp=sharing  #gid=0"",""фіз особи new!relations_name""),6,FALSE)
,
(IF
(
C12415=""юридична особа""
,
VLOO"&amp;"KUP(D12415,IMPORTRANGE(""https://docs.google.com/spreadsheets/d/14Bd19lYaqBhU8_DElYkX7l4wRkHqqCUFNJY4AfY3kHU/edit?usp=sharing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4" s="7" t="s">
        <v>10</v>
      </c>
      <c r="H12414" s="7">
        <v>18027</v>
      </c>
      <c r="I12414" s="8" t="str">
        <f ca="1">IFERROR(__xludf.DUMMYFUNCTION("IF
(
G12415=""фізична особа""
,
VLOOKUP(H12415,IMPORTRANGE(""https://docs.google.com/spreadsheets/d/14Bd19lYaqBhU8_DElYkX7l4wRkHqqCUFNJY4AfY3kHU/edit?usp=sharing  #gid=0"",""фіз особи new!relations_name""),6,FALSE)
,
(IF
(
G12415=""юридична особа""
,
VLOO"&amp;"KUP(H12415,IMPORTRANGE(""https://docs.google.com/spreadsheets/d/14Bd19lYaqBhU8_DElYkX7l4wRkHqqCUFNJY4AfY3kHU/edit?usp=sharing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14" s="7" t="s">
        <v>11</v>
      </c>
    </row>
    <row r="12415" spans="1:10" ht="13.2">
      <c r="A12415" s="7">
        <v>12414</v>
      </c>
      <c r="B12415" s="7">
        <v>1</v>
      </c>
      <c r="C12415" s="7" t="s">
        <v>10</v>
      </c>
      <c r="D12415" s="7">
        <v>18032</v>
      </c>
      <c r="E12415" s="7" t="s">
        <v>11</v>
      </c>
      <c r="F12415" s="8" t="str">
        <f ca="1">IFERROR(__xludf.DUMMYFUNCTION("IF
(
C12416=""фізична особа""
,
VLOOKUP(D12416,IMPORTRANGE(""https://docs.google.com/spreadsheets/d/14Bd19lYaqBhU8_DElYkX7l4wRkHqqCUFNJY4AfY3kHU/edit?usp=sharing  #gid=0"",""фіз особи new!relations_name""),6,FALSE)
,
(IF
(
C12416=""юридична особа""
,
VLOO"&amp;"KUP(D12416,IMPORTRANGE(""https://docs.google.com/spreadsheets/d/14Bd19lYaqBhU8_DElYkX7l4wRkHqqCUFNJY4AfY3kHU/edit?usp=sharing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5" s="7" t="s">
        <v>10</v>
      </c>
      <c r="H12415" s="7">
        <v>18028</v>
      </c>
      <c r="I12415" s="8" t="str">
        <f ca="1">IFERROR(__xludf.DUMMYFUNCTION("IF
(
G12416=""фізична особа""
,
VLOOKUP(H12416,IMPORTRANGE(""https://docs.google.com/spreadsheets/d/14Bd19lYaqBhU8_DElYkX7l4wRkHqqCUFNJY4AfY3kHU/edit?usp=sharing  #gid=0"",""фіз особи new!relations_name""),6,FALSE)
,
(IF
(
G12416=""юридична особа""
,
VLOO"&amp;"KUP(H12416,IMPORTRANGE(""https://docs.google.com/spreadsheets/d/14Bd19lYaqBhU8_DElYkX7l4wRkHqqCUFNJY4AfY3kHU/edit?usp=sharing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15" s="7" t="s">
        <v>11</v>
      </c>
    </row>
    <row r="12416" spans="1:10" ht="13.2">
      <c r="A12416" s="7">
        <v>12415</v>
      </c>
      <c r="B12416" s="7">
        <v>1</v>
      </c>
      <c r="C12416" s="7" t="s">
        <v>10</v>
      </c>
      <c r="D12416" s="7">
        <v>18032</v>
      </c>
      <c r="E12416" s="7" t="s">
        <v>11</v>
      </c>
      <c r="F12416" s="8" t="str">
        <f ca="1">IFERROR(__xludf.DUMMYFUNCTION("IF
(
C12417=""фізична особа""
,
VLOOKUP(D12417,IMPORTRANGE(""https://docs.google.com/spreadsheets/d/14Bd19lYaqBhU8_DElYkX7l4wRkHqqCUFNJY4AfY3kHU/edit?usp=sharing  #gid=0"",""фіз особи new!relations_name""),6,FALSE)
,
(IF
(
C12417=""юридична особа""
,
VLOO"&amp;"KUP(D12417,IMPORTRANGE(""https://docs.google.com/spreadsheets/d/14Bd19lYaqBhU8_DElYkX7l4wRkHqqCUFNJY4AfY3kHU/edit?usp=sharing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6" s="7" t="s">
        <v>10</v>
      </c>
      <c r="H12416" s="7">
        <v>18029</v>
      </c>
      <c r="I12416" s="8" t="str">
        <f ca="1">IFERROR(__xludf.DUMMYFUNCTION("IF
(
G12417=""фізична особа""
,
VLOOKUP(H12417,IMPORTRANGE(""https://docs.google.com/spreadsheets/d/14Bd19lYaqBhU8_DElYkX7l4wRkHqqCUFNJY4AfY3kHU/edit?usp=sharing  #gid=0"",""фіз особи new!relations_name""),6,FALSE)
,
(IF
(
G12417=""юридична особа""
,
VLOO"&amp;"KUP(H12417,IMPORTRANGE(""https://docs.google.com/spreadsheets/d/14Bd19lYaqBhU8_DElYkX7l4wRkHqqCUFNJY4AfY3kHU/edit?usp=sharing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16" s="7" t="s">
        <v>11</v>
      </c>
    </row>
    <row r="12417" spans="1:10" ht="13.2">
      <c r="A12417" s="7">
        <v>12416</v>
      </c>
      <c r="B12417" s="7">
        <v>1</v>
      </c>
      <c r="C12417" s="7" t="s">
        <v>10</v>
      </c>
      <c r="D12417" s="7">
        <v>18032</v>
      </c>
      <c r="E12417" s="7" t="s">
        <v>11</v>
      </c>
      <c r="F12417" s="8" t="str">
        <f ca="1">IFERROR(__xludf.DUMMYFUNCTION("IF
(
C12418=""фізична особа""
,
VLOOKUP(D12418,IMPORTRANGE(""https://docs.google.com/spreadsheets/d/14Bd19lYaqBhU8_DElYkX7l4wRkHqqCUFNJY4AfY3kHU/edit?usp=sharing  #gid=0"",""фіз особи new!relations_name""),6,FALSE)
,
(IF
(
C12418=""юридична особа""
,
VLOO"&amp;"KUP(D12418,IMPORTRANGE(""https://docs.google.com/spreadsheets/d/14Bd19lYaqBhU8_DElYkX7l4wRkHqqCUFNJY4AfY3kHU/edit?usp=sharing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7" s="7" t="s">
        <v>10</v>
      </c>
      <c r="H12417" s="7">
        <v>18030</v>
      </c>
      <c r="I12417" s="8" t="str">
        <f ca="1">IFERROR(__xludf.DUMMYFUNCTION("IF
(
G12418=""фізична особа""
,
VLOOKUP(H12418,IMPORTRANGE(""https://docs.google.com/spreadsheets/d/14Bd19lYaqBhU8_DElYkX7l4wRkHqqCUFNJY4AfY3kHU/edit?usp=sharing  #gid=0"",""фіз особи new!relations_name""),6,FALSE)
,
(IF
(
G12418=""юридична особа""
,
VLOO"&amp;"KUP(H12418,IMPORTRANGE(""https://docs.google.com/spreadsheets/d/14Bd19lYaqBhU8_DElYkX7l4wRkHqqCUFNJY4AfY3kHU/edit?usp=sharing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17" s="7" t="s">
        <v>11</v>
      </c>
    </row>
    <row r="12418" spans="1:10" ht="13.2">
      <c r="A12418" s="7">
        <v>12417</v>
      </c>
      <c r="B12418" s="7">
        <v>1</v>
      </c>
      <c r="C12418" s="7" t="s">
        <v>10</v>
      </c>
      <c r="D12418" s="7">
        <v>18032</v>
      </c>
      <c r="E12418" s="7" t="s">
        <v>11</v>
      </c>
      <c r="F12418" s="8" t="str">
        <f ca="1">IFERROR(__xludf.DUMMYFUNCTION("IF
(
C12419=""фізична особа""
,
VLOOKUP(D12419,IMPORTRANGE(""https://docs.google.com/spreadsheets/d/14Bd19lYaqBhU8_DElYkX7l4wRkHqqCUFNJY4AfY3kHU/edit?usp=sharing  #gid=0"",""фіз особи new!relations_name""),6,FALSE)
,
(IF
(
C12419=""юридична особа""
,
VLOO"&amp;"KUP(D12419,IMPORTRANGE(""https://docs.google.com/spreadsheets/d/14Bd19lYaqBhU8_DElYkX7l4wRkHqqCUFNJY4AfY3kHU/edit?usp=sharing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8" s="7" t="s">
        <v>10</v>
      </c>
      <c r="H12418" s="7">
        <v>18031</v>
      </c>
      <c r="I12418" s="8" t="str">
        <f ca="1">IFERROR(__xludf.DUMMYFUNCTION("IF
(
G12419=""фізична особа""
,
VLOOKUP(H12419,IMPORTRANGE(""https://docs.google.com/spreadsheets/d/14Bd19lYaqBhU8_DElYkX7l4wRkHqqCUFNJY4AfY3kHU/edit?usp=sharing  #gid=0"",""фіз особи new!relations_name""),6,FALSE)
,
(IF
(
G12419=""юридична особа""
,
VLOO"&amp;"KUP(H12419,IMPORTRANGE(""https://docs.google.com/spreadsheets/d/14Bd19lYaqBhU8_DElYkX7l4wRkHqqCUFNJY4AfY3kHU/edit?usp=sharing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418" s="7" t="s">
        <v>11</v>
      </c>
    </row>
    <row r="12419" spans="1:10" ht="13.2">
      <c r="A12419" s="7">
        <v>12418</v>
      </c>
      <c r="B12419" s="7">
        <v>1</v>
      </c>
      <c r="C12419" s="7" t="s">
        <v>10</v>
      </c>
      <c r="D12419" s="7">
        <v>18032</v>
      </c>
      <c r="E12419" s="7" t="s">
        <v>11</v>
      </c>
      <c r="F12419" s="8" t="str">
        <f ca="1">IFERROR(__xludf.DUMMYFUNCTION("IF
(
C12420=""фізична особа""
,
VLOOKUP(D12420,IMPORTRANGE(""https://docs.google.com/spreadsheets/d/14Bd19lYaqBhU8_DElYkX7l4wRkHqqCUFNJY4AfY3kHU/edit?usp=sharing  #gid=0"",""фіз особи new!relations_name""),6,FALSE)
,
(IF
(
C12420=""юридична особа""
,
VLOO"&amp;"KUP(D12420,IMPORTRANGE(""https://docs.google.com/spreadsheets/d/14Bd19lYaqBhU8_DElYkX7l4wRkHqqCUFNJY4AfY3kHU/edit?usp=sharing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19" s="7" t="s">
        <v>10</v>
      </c>
      <c r="H12419" s="7">
        <v>18033</v>
      </c>
      <c r="I12419" s="8" t="str">
        <f ca="1">IFERROR(__xludf.DUMMYFUNCTION("IF
(
G12420=""фізична особа""
,
VLOOKUP(H12420,IMPORTRANGE(""https://docs.google.com/spreadsheets/d/14Bd19lYaqBhU8_DElYkX7l4wRkHqqCUFNJY4AfY3kHU/edit?usp=sharing  #gid=0"",""фіз особи new!relations_name""),6,FALSE)
,
(IF
(
G12420=""юридична особа""
,
VLOO"&amp;"KUP(H12420,IMPORTRANGE(""https://docs.google.com/spreadsheets/d/14Bd19lYaqBhU8_DElYkX7l4wRkHqqCUFNJY4AfY3kHU/edit?usp=sharing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419" s="7" t="s">
        <v>11</v>
      </c>
    </row>
    <row r="12420" spans="1:10" ht="13.2">
      <c r="A12420" s="7">
        <v>12419</v>
      </c>
      <c r="B12420" s="7">
        <v>1</v>
      </c>
      <c r="C12420" s="7" t="s">
        <v>10</v>
      </c>
      <c r="D12420" s="7">
        <v>18032</v>
      </c>
      <c r="E12420" s="7" t="s">
        <v>11</v>
      </c>
      <c r="F12420" s="8" t="str">
        <f ca="1">IFERROR(__xludf.DUMMYFUNCTION("IF
(
C12421=""фізична особа""
,
VLOOKUP(D12421,IMPORTRANGE(""https://docs.google.com/spreadsheets/d/14Bd19lYaqBhU8_DElYkX7l4wRkHqqCUFNJY4AfY3kHU/edit?usp=sharing  #gid=0"",""фіз особи new!relations_name""),6,FALSE)
,
(IF
(
C12421=""юридична особа""
,
VLOO"&amp;"KUP(D12421,IMPORTRANGE(""https://docs.google.com/spreadsheets/d/14Bd19lYaqBhU8_DElYkX7l4wRkHqqCUFNJY4AfY3kHU/edit?usp=sharing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20" s="7" t="s">
        <v>10</v>
      </c>
      <c r="H12420" s="7">
        <v>18034</v>
      </c>
      <c r="I12420" s="8" t="str">
        <f ca="1">IFERROR(__xludf.DUMMYFUNCTION("IF
(
G12421=""фізична особа""
,
VLOOKUP(H12421,IMPORTRANGE(""https://docs.google.com/spreadsheets/d/14Bd19lYaqBhU8_DElYkX7l4wRkHqqCUFNJY4AfY3kHU/edit?usp=sharing  #gid=0"",""фіз особи new!relations_name""),6,FALSE)
,
(IF
(
G12421=""юридична особа""
,
VLOO"&amp;"KUP(H12421,IMPORTRANGE(""https://docs.google.com/spreadsheets/d/14Bd19lYaqBhU8_DElYkX7l4wRkHqqCUFNJY4AfY3kHU/edit?usp=sharing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420" s="7" t="s">
        <v>11</v>
      </c>
    </row>
    <row r="12421" spans="1:10" ht="13.2">
      <c r="A12421" s="7">
        <v>12420</v>
      </c>
      <c r="B12421" s="7">
        <v>1</v>
      </c>
      <c r="C12421" s="7" t="s">
        <v>10</v>
      </c>
      <c r="D12421" s="7">
        <v>18032</v>
      </c>
      <c r="E12421" s="7" t="s">
        <v>11</v>
      </c>
      <c r="F12421" s="8" t="str">
        <f ca="1">IFERROR(__xludf.DUMMYFUNCTION("IF
(
C12422=""фізична особа""
,
VLOOKUP(D12422,IMPORTRANGE(""https://docs.google.com/spreadsheets/d/14Bd19lYaqBhU8_DElYkX7l4wRkHqqCUFNJY4AfY3kHU/edit?usp=sharing  #gid=0"",""фіз особи new!relations_name""),6,FALSE)
,
(IF
(
C12422=""юридична особа""
,
VLOO"&amp;"KUP(D12422,IMPORTRANGE(""https://docs.google.com/spreadsheets/d/14Bd19lYaqBhU8_DElYkX7l4wRkHqqCUFNJY4AfY3kHU/edit?usp=sharing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21" s="7" t="s">
        <v>10</v>
      </c>
      <c r="H12421" s="7">
        <v>18035</v>
      </c>
      <c r="I12421" s="8" t="str">
        <f ca="1">IFERROR(__xludf.DUMMYFUNCTION("IF
(
G12422=""фізична особа""
,
VLOOKUP(H12422,IMPORTRANGE(""https://docs.google.com/spreadsheets/d/14Bd19lYaqBhU8_DElYkX7l4wRkHqqCUFNJY4AfY3kHU/edit?usp=sharing  #gid=0"",""фіз особи new!relations_name""),6,FALSE)
,
(IF
(
G12422=""юридична особа""
,
VLOO"&amp;"KUP(H12422,IMPORTRANGE(""https://docs.google.com/spreadsheets/d/14Bd19lYaqBhU8_DElYkX7l4wRkHqqCUFNJY4AfY3kHU/edit?usp=sharing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421" s="7" t="s">
        <v>11</v>
      </c>
    </row>
    <row r="12422" spans="1:10" ht="13.2">
      <c r="A12422" s="7">
        <v>12421</v>
      </c>
      <c r="B12422" s="7">
        <v>1</v>
      </c>
      <c r="C12422" s="7" t="s">
        <v>10</v>
      </c>
      <c r="D12422" s="7">
        <v>18032</v>
      </c>
      <c r="E12422" s="7" t="s">
        <v>11</v>
      </c>
      <c r="F12422" s="8" t="str">
        <f ca="1">IFERROR(__xludf.DUMMYFUNCTION("IF
(
C12423=""фізична особа""
,
VLOOKUP(D12423,IMPORTRANGE(""https://docs.google.com/spreadsheets/d/14Bd19lYaqBhU8_DElYkX7l4wRkHqqCUFNJY4AfY3kHU/edit?usp=sharing  #gid=0"",""фіз особи new!relations_name""),6,FALSE)
,
(IF
(
C12423=""юридична особа""
,
VLOO"&amp;"KUP(D12423,IMPORTRANGE(""https://docs.google.com/spreadsheets/d/14Bd19lYaqBhU8_DElYkX7l4wRkHqqCUFNJY4AfY3kHU/edit?usp=sharing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G12422" s="7" t="s">
        <v>10</v>
      </c>
      <c r="H12422" s="7">
        <v>18036</v>
      </c>
      <c r="I12422" s="8" t="str">
        <f ca="1">IFERROR(__xludf.DUMMYFUNCTION("IF
(
G12423=""фізична особа""
,
VLOOKUP(H12423,IMPORTRANGE(""https://docs.google.com/spreadsheets/d/14Bd19lYaqBhU8_DElYkX7l4wRkHqqCUFNJY4AfY3kHU/edit?usp=sharing  #gid=0"",""фіз особи new!relations_name""),6,FALSE)
,
(IF
(
G12423=""юридична особа""
,
VLOO"&amp;"KUP(H12423,IMPORTRANGE(""https://docs.google.com/spreadsheets/d/14Bd19lYaqBhU8_DElYkX7l4wRkHqqCUFNJY4AfY3kHU/edit?usp=sharing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22" s="7" t="s">
        <v>11</v>
      </c>
    </row>
    <row r="12423" spans="1:10" ht="13.2">
      <c r="A12423" s="7">
        <v>12422</v>
      </c>
      <c r="B12423" s="7">
        <v>1</v>
      </c>
      <c r="C12423" s="7" t="s">
        <v>10</v>
      </c>
      <c r="D12423" s="7">
        <v>18033</v>
      </c>
      <c r="E12423" s="7" t="s">
        <v>11</v>
      </c>
      <c r="F12423" s="8" t="str">
        <f ca="1">IFERROR(__xludf.DUMMYFUNCTION("IF
(
C12424=""фізична особа""
,
VLOOKUP(D12424,IMPORTRANGE(""https://docs.google.com/spreadsheets/d/14Bd19lYaqBhU8_DElYkX7l4wRkHqqCUFNJY4AfY3kHU/edit?usp=sharing  #gid=0"",""фіз особи new!relations_name""),6,FALSE)
,
(IF
(
C12424=""юридична особа""
,
VLOO"&amp;"KUP(D12424,IMPORTRANGE(""https://docs.google.com/spreadsheets/d/14Bd19lYaqBhU8_DElYkX7l4wRkHqqCUFNJY4AfY3kHU/edit?usp=sharing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3" s="7" t="s">
        <v>10</v>
      </c>
      <c r="H12423" s="7">
        <v>18025</v>
      </c>
      <c r="I12423" s="8" t="str">
        <f ca="1">IFERROR(__xludf.DUMMYFUNCTION("IF
(
G12424=""фізична особа""
,
VLOOKUP(H12424,IMPORTRANGE(""https://docs.google.com/spreadsheets/d/14Bd19lYaqBhU8_DElYkX7l4wRkHqqCUFNJY4AfY3kHU/edit?usp=sharing  #gid=0"",""фіз особи new!relations_name""),6,FALSE)
,
(IF
(
G12424=""юридична особа""
,
VLOO"&amp;"KUP(H12424,IMPORTRANGE(""https://docs.google.com/spreadsheets/d/14Bd19lYaqBhU8_DElYkX7l4wRkHqqCUFNJY4AfY3kHU/edit?usp=sharing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23" s="7" t="s">
        <v>11</v>
      </c>
    </row>
    <row r="12424" spans="1:10" ht="13.2">
      <c r="A12424" s="7">
        <v>12423</v>
      </c>
      <c r="B12424" s="7">
        <v>1</v>
      </c>
      <c r="C12424" s="7" t="s">
        <v>10</v>
      </c>
      <c r="D12424" s="7">
        <v>18033</v>
      </c>
      <c r="E12424" s="7" t="s">
        <v>11</v>
      </c>
      <c r="F12424" s="8" t="str">
        <f ca="1">IFERROR(__xludf.DUMMYFUNCTION("IF
(
C12425=""фізична особа""
,
VLOOKUP(D12425,IMPORTRANGE(""https://docs.google.com/spreadsheets/d/14Bd19lYaqBhU8_DElYkX7l4wRkHqqCUFNJY4AfY3kHU/edit?usp=sharing  #gid=0"",""фіз особи new!relations_name""),6,FALSE)
,
(IF
(
C12425=""юридична особа""
,
VLOO"&amp;"KUP(D12425,IMPORTRANGE(""https://docs.google.com/spreadsheets/d/14Bd19lYaqBhU8_DElYkX7l4wRkHqqCUFNJY4AfY3kHU/edit?usp=sharing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4" s="7" t="s">
        <v>10</v>
      </c>
      <c r="H12424" s="7">
        <v>18026</v>
      </c>
      <c r="I12424" s="8" t="str">
        <f ca="1">IFERROR(__xludf.DUMMYFUNCTION("IF
(
G12425=""фізична особа""
,
VLOOKUP(H12425,IMPORTRANGE(""https://docs.google.com/spreadsheets/d/14Bd19lYaqBhU8_DElYkX7l4wRkHqqCUFNJY4AfY3kHU/edit?usp=sharing  #gid=0"",""фіз особи new!relations_name""),6,FALSE)
,
(IF
(
G12425=""юридична особа""
,
VLOO"&amp;"KUP(H12425,IMPORTRANGE(""https://docs.google.com/spreadsheets/d/14Bd19lYaqBhU8_DElYkX7l4wRkHqqCUFNJY4AfY3kHU/edit?usp=sharing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24" s="7" t="s">
        <v>11</v>
      </c>
    </row>
    <row r="12425" spans="1:10" ht="13.2">
      <c r="A12425" s="7">
        <v>12424</v>
      </c>
      <c r="B12425" s="7">
        <v>1</v>
      </c>
      <c r="C12425" s="7" t="s">
        <v>10</v>
      </c>
      <c r="D12425" s="7">
        <v>18033</v>
      </c>
      <c r="E12425" s="7" t="s">
        <v>11</v>
      </c>
      <c r="F12425" s="8" t="str">
        <f ca="1">IFERROR(__xludf.DUMMYFUNCTION("IF
(
C12426=""фізична особа""
,
VLOOKUP(D12426,IMPORTRANGE(""https://docs.google.com/spreadsheets/d/14Bd19lYaqBhU8_DElYkX7l4wRkHqqCUFNJY4AfY3kHU/edit?usp=sharing  #gid=0"",""фіз особи new!relations_name""),6,FALSE)
,
(IF
(
C12426=""юридична особа""
,
VLOO"&amp;"KUP(D12426,IMPORTRANGE(""https://docs.google.com/spreadsheets/d/14Bd19lYaqBhU8_DElYkX7l4wRkHqqCUFNJY4AfY3kHU/edit?usp=sharing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5" s="7" t="s">
        <v>10</v>
      </c>
      <c r="H12425" s="7">
        <v>18027</v>
      </c>
      <c r="I12425" s="8" t="str">
        <f ca="1">IFERROR(__xludf.DUMMYFUNCTION("IF
(
G12426=""фізична особа""
,
VLOOKUP(H12426,IMPORTRANGE(""https://docs.google.com/spreadsheets/d/14Bd19lYaqBhU8_DElYkX7l4wRkHqqCUFNJY4AfY3kHU/edit?usp=sharing  #gid=0"",""фіз особи new!relations_name""),6,FALSE)
,
(IF
(
G12426=""юридична особа""
,
VLOO"&amp;"KUP(H12426,IMPORTRANGE(""https://docs.google.com/spreadsheets/d/14Bd19lYaqBhU8_DElYkX7l4wRkHqqCUFNJY4AfY3kHU/edit?usp=sharing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25" s="7" t="s">
        <v>11</v>
      </c>
    </row>
    <row r="12426" spans="1:10" ht="13.2">
      <c r="A12426" s="7">
        <v>12425</v>
      </c>
      <c r="B12426" s="7">
        <v>1</v>
      </c>
      <c r="C12426" s="7" t="s">
        <v>10</v>
      </c>
      <c r="D12426" s="7">
        <v>18033</v>
      </c>
      <c r="E12426" s="7" t="s">
        <v>11</v>
      </c>
      <c r="F12426" s="8" t="str">
        <f ca="1">IFERROR(__xludf.DUMMYFUNCTION("IF
(
C12427=""фізична особа""
,
VLOOKUP(D12427,IMPORTRANGE(""https://docs.google.com/spreadsheets/d/14Bd19lYaqBhU8_DElYkX7l4wRkHqqCUFNJY4AfY3kHU/edit?usp=sharing  #gid=0"",""фіз особи new!relations_name""),6,FALSE)
,
(IF
(
C12427=""юридична особа""
,
VLOO"&amp;"KUP(D12427,IMPORTRANGE(""https://docs.google.com/spreadsheets/d/14Bd19lYaqBhU8_DElYkX7l4wRkHqqCUFNJY4AfY3kHU/edit?usp=sharing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6" s="7" t="s">
        <v>10</v>
      </c>
      <c r="H12426" s="7">
        <v>18028</v>
      </c>
      <c r="I12426" s="8" t="str">
        <f ca="1">IFERROR(__xludf.DUMMYFUNCTION("IF
(
G12427=""фізична особа""
,
VLOOKUP(H12427,IMPORTRANGE(""https://docs.google.com/spreadsheets/d/14Bd19lYaqBhU8_DElYkX7l4wRkHqqCUFNJY4AfY3kHU/edit?usp=sharing  #gid=0"",""фіз особи new!relations_name""),6,FALSE)
,
(IF
(
G12427=""юридична особа""
,
VLOO"&amp;"KUP(H12427,IMPORTRANGE(""https://docs.google.com/spreadsheets/d/14Bd19lYaqBhU8_DElYkX7l4wRkHqqCUFNJY4AfY3kHU/edit?usp=sharing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26" s="7" t="s">
        <v>11</v>
      </c>
    </row>
    <row r="12427" spans="1:10" ht="13.2">
      <c r="A12427" s="7">
        <v>12426</v>
      </c>
      <c r="B12427" s="7">
        <v>1</v>
      </c>
      <c r="C12427" s="7" t="s">
        <v>10</v>
      </c>
      <c r="D12427" s="7">
        <v>18033</v>
      </c>
      <c r="E12427" s="7" t="s">
        <v>11</v>
      </c>
      <c r="F12427" s="8" t="str">
        <f ca="1">IFERROR(__xludf.DUMMYFUNCTION("IF
(
C12428=""фізична особа""
,
VLOOKUP(D12428,IMPORTRANGE(""https://docs.google.com/spreadsheets/d/14Bd19lYaqBhU8_DElYkX7l4wRkHqqCUFNJY4AfY3kHU/edit?usp=sharing  #gid=0"",""фіз особи new!relations_name""),6,FALSE)
,
(IF
(
C12428=""юридична особа""
,
VLOO"&amp;"KUP(D12428,IMPORTRANGE(""https://docs.google.com/spreadsheets/d/14Bd19lYaqBhU8_DElYkX7l4wRkHqqCUFNJY4AfY3kHU/edit?usp=sharing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7" s="7" t="s">
        <v>10</v>
      </c>
      <c r="H12427" s="7">
        <v>18029</v>
      </c>
      <c r="I12427" s="8" t="str">
        <f ca="1">IFERROR(__xludf.DUMMYFUNCTION("IF
(
G12428=""фізична особа""
,
VLOOKUP(H12428,IMPORTRANGE(""https://docs.google.com/spreadsheets/d/14Bd19lYaqBhU8_DElYkX7l4wRkHqqCUFNJY4AfY3kHU/edit?usp=sharing  #gid=0"",""фіз особи new!relations_name""),6,FALSE)
,
(IF
(
G12428=""юридична особа""
,
VLOO"&amp;"KUP(H12428,IMPORTRANGE(""https://docs.google.com/spreadsheets/d/14Bd19lYaqBhU8_DElYkX7l4wRkHqqCUFNJY4AfY3kHU/edit?usp=sharing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27" s="7" t="s">
        <v>11</v>
      </c>
    </row>
    <row r="12428" spans="1:10" ht="13.2">
      <c r="A12428" s="7">
        <v>12427</v>
      </c>
      <c r="B12428" s="7">
        <v>1</v>
      </c>
      <c r="C12428" s="7" t="s">
        <v>10</v>
      </c>
      <c r="D12428" s="7">
        <v>18033</v>
      </c>
      <c r="E12428" s="7" t="s">
        <v>11</v>
      </c>
      <c r="F12428" s="8" t="str">
        <f ca="1">IFERROR(__xludf.DUMMYFUNCTION("IF
(
C12429=""фізична особа""
,
VLOOKUP(D12429,IMPORTRANGE(""https://docs.google.com/spreadsheets/d/14Bd19lYaqBhU8_DElYkX7l4wRkHqqCUFNJY4AfY3kHU/edit?usp=sharing  #gid=0"",""фіз особи new!relations_name""),6,FALSE)
,
(IF
(
C12429=""юридична особа""
,
VLOO"&amp;"KUP(D12429,IMPORTRANGE(""https://docs.google.com/spreadsheets/d/14Bd19lYaqBhU8_DElYkX7l4wRkHqqCUFNJY4AfY3kHU/edit?usp=sharing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8" s="7" t="s">
        <v>10</v>
      </c>
      <c r="H12428" s="7">
        <v>18030</v>
      </c>
      <c r="I12428" s="8" t="str">
        <f ca="1">IFERROR(__xludf.DUMMYFUNCTION("IF
(
G12429=""фізична особа""
,
VLOOKUP(H12429,IMPORTRANGE(""https://docs.google.com/spreadsheets/d/14Bd19lYaqBhU8_DElYkX7l4wRkHqqCUFNJY4AfY3kHU/edit?usp=sharing  #gid=0"",""фіз особи new!relations_name""),6,FALSE)
,
(IF
(
G12429=""юридична особа""
,
VLOO"&amp;"KUP(H12429,IMPORTRANGE(""https://docs.google.com/spreadsheets/d/14Bd19lYaqBhU8_DElYkX7l4wRkHqqCUFNJY4AfY3kHU/edit?usp=sharing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28" s="7" t="s">
        <v>11</v>
      </c>
    </row>
    <row r="12429" spans="1:10" ht="13.2">
      <c r="A12429" s="7">
        <v>12428</v>
      </c>
      <c r="B12429" s="7">
        <v>1</v>
      </c>
      <c r="C12429" s="7" t="s">
        <v>10</v>
      </c>
      <c r="D12429" s="7">
        <v>18033</v>
      </c>
      <c r="E12429" s="7" t="s">
        <v>11</v>
      </c>
      <c r="F12429" s="8" t="str">
        <f ca="1">IFERROR(__xludf.DUMMYFUNCTION("IF
(
C12430=""фізична особа""
,
VLOOKUP(D12430,IMPORTRANGE(""https://docs.google.com/spreadsheets/d/14Bd19lYaqBhU8_DElYkX7l4wRkHqqCUFNJY4AfY3kHU/edit?usp=sharing  #gid=0"",""фіз особи new!relations_name""),6,FALSE)
,
(IF
(
C12430=""юридична особа""
,
VLOO"&amp;"KUP(D12430,IMPORTRANGE(""https://docs.google.com/spreadsheets/d/14Bd19lYaqBhU8_DElYkX7l4wRkHqqCUFNJY4AfY3kHU/edit?usp=sharing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29" s="7" t="s">
        <v>10</v>
      </c>
      <c r="H12429" s="7">
        <v>18031</v>
      </c>
      <c r="I12429" s="8" t="str">
        <f ca="1">IFERROR(__xludf.DUMMYFUNCTION("IF
(
G12430=""фізична особа""
,
VLOOKUP(H12430,IMPORTRANGE(""https://docs.google.com/spreadsheets/d/14Bd19lYaqBhU8_DElYkX7l4wRkHqqCUFNJY4AfY3kHU/edit?usp=sharing  #gid=0"",""фіз особи new!relations_name""),6,FALSE)
,
(IF
(
G12430=""юридична особа""
,
VLOO"&amp;"KUP(H12430,IMPORTRANGE(""https://docs.google.com/spreadsheets/d/14Bd19lYaqBhU8_DElYkX7l4wRkHqqCUFNJY4AfY3kHU/edit?usp=sharing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429" s="7" t="s">
        <v>11</v>
      </c>
    </row>
    <row r="12430" spans="1:10" ht="13.2">
      <c r="A12430" s="7">
        <v>12429</v>
      </c>
      <c r="B12430" s="7">
        <v>1</v>
      </c>
      <c r="C12430" s="7" t="s">
        <v>10</v>
      </c>
      <c r="D12430" s="7">
        <v>18033</v>
      </c>
      <c r="E12430" s="7" t="s">
        <v>11</v>
      </c>
      <c r="F12430" s="8" t="str">
        <f ca="1">IFERROR(__xludf.DUMMYFUNCTION("IF
(
C12431=""фізична особа""
,
VLOOKUP(D12431,IMPORTRANGE(""https://docs.google.com/spreadsheets/d/14Bd19lYaqBhU8_DElYkX7l4wRkHqqCUFNJY4AfY3kHU/edit?usp=sharing  #gid=0"",""фіз особи new!relations_name""),6,FALSE)
,
(IF
(
C12431=""юридична особа""
,
VLOO"&amp;"KUP(D12431,IMPORTRANGE(""https://docs.google.com/spreadsheets/d/14Bd19lYaqBhU8_DElYkX7l4wRkHqqCUFNJY4AfY3kHU/edit?usp=sharing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30" s="7" t="s">
        <v>10</v>
      </c>
      <c r="H12430" s="7">
        <v>18032</v>
      </c>
      <c r="I12430" s="8" t="str">
        <f ca="1">IFERROR(__xludf.DUMMYFUNCTION("IF
(
G12431=""фізична особа""
,
VLOOKUP(H12431,IMPORTRANGE(""https://docs.google.com/spreadsheets/d/14Bd19lYaqBhU8_DElYkX7l4wRkHqqCUFNJY4AfY3kHU/edit?usp=sharing  #gid=0"",""фіз особи new!relations_name""),6,FALSE)
,
(IF
(
G12431=""юридична особа""
,
VLOO"&amp;"KUP(H12431,IMPORTRANGE(""https://docs.google.com/spreadsheets/d/14Bd19lYaqBhU8_DElYkX7l4wRkHqqCUFNJY4AfY3kHU/edit?usp=sharing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430" s="7" t="s">
        <v>11</v>
      </c>
    </row>
    <row r="12431" spans="1:10" ht="13.2">
      <c r="A12431" s="7">
        <v>12430</v>
      </c>
      <c r="B12431" s="7">
        <v>1</v>
      </c>
      <c r="C12431" s="7" t="s">
        <v>10</v>
      </c>
      <c r="D12431" s="7">
        <v>18033</v>
      </c>
      <c r="E12431" s="7" t="s">
        <v>11</v>
      </c>
      <c r="F12431" s="8" t="str">
        <f ca="1">IFERROR(__xludf.DUMMYFUNCTION("IF
(
C12432=""фізична особа""
,
VLOOKUP(D12432,IMPORTRANGE(""https://docs.google.com/spreadsheets/d/14Bd19lYaqBhU8_DElYkX7l4wRkHqqCUFNJY4AfY3kHU/edit?usp=sharing  #gid=0"",""фіз особи new!relations_name""),6,FALSE)
,
(IF
(
C12432=""юридична особа""
,
VLOO"&amp;"KUP(D12432,IMPORTRANGE(""https://docs.google.com/spreadsheets/d/14Bd19lYaqBhU8_DElYkX7l4wRkHqqCUFNJY4AfY3kHU/edit?usp=sharing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31" s="7" t="s">
        <v>10</v>
      </c>
      <c r="H12431" s="7">
        <v>18034</v>
      </c>
      <c r="I12431" s="8" t="str">
        <f ca="1">IFERROR(__xludf.DUMMYFUNCTION("IF
(
G12432=""фізична особа""
,
VLOOKUP(H12432,IMPORTRANGE(""https://docs.google.com/spreadsheets/d/14Bd19lYaqBhU8_DElYkX7l4wRkHqqCUFNJY4AfY3kHU/edit?usp=sharing  #gid=0"",""фіз особи new!relations_name""),6,FALSE)
,
(IF
(
G12432=""юридична особа""
,
VLOO"&amp;"KUP(H12432,IMPORTRANGE(""https://docs.google.com/spreadsheets/d/14Bd19lYaqBhU8_DElYkX7l4wRkHqqCUFNJY4AfY3kHU/edit?usp=sharing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431" s="7" t="s">
        <v>11</v>
      </c>
    </row>
    <row r="12432" spans="1:10" ht="13.2">
      <c r="A12432" s="7">
        <v>12431</v>
      </c>
      <c r="B12432" s="7">
        <v>1</v>
      </c>
      <c r="C12432" s="7" t="s">
        <v>10</v>
      </c>
      <c r="D12432" s="7">
        <v>18033</v>
      </c>
      <c r="E12432" s="7" t="s">
        <v>11</v>
      </c>
      <c r="F12432" s="8" t="str">
        <f ca="1">IFERROR(__xludf.DUMMYFUNCTION("IF
(
C12433=""фізична особа""
,
VLOOKUP(D12433,IMPORTRANGE(""https://docs.google.com/spreadsheets/d/14Bd19lYaqBhU8_DElYkX7l4wRkHqqCUFNJY4AfY3kHU/edit?usp=sharing  #gid=0"",""фіз особи new!relations_name""),6,FALSE)
,
(IF
(
C12433=""юридична особа""
,
VLOO"&amp;"KUP(D12433,IMPORTRANGE(""https://docs.google.com/spreadsheets/d/14Bd19lYaqBhU8_DElYkX7l4wRkHqqCUFNJY4AfY3kHU/edit?usp=sharing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32" s="7" t="s">
        <v>10</v>
      </c>
      <c r="H12432" s="7">
        <v>18035</v>
      </c>
      <c r="I12432" s="8" t="str">
        <f ca="1">IFERROR(__xludf.DUMMYFUNCTION("IF
(
G12433=""фізична особа""
,
VLOOKUP(H12433,IMPORTRANGE(""https://docs.google.com/spreadsheets/d/14Bd19lYaqBhU8_DElYkX7l4wRkHqqCUFNJY4AfY3kHU/edit?usp=sharing  #gid=0"",""фіз особи new!relations_name""),6,FALSE)
,
(IF
(
G12433=""юридична особа""
,
VLOO"&amp;"KUP(H12433,IMPORTRANGE(""https://docs.google.com/spreadsheets/d/14Bd19lYaqBhU8_DElYkX7l4wRkHqqCUFNJY4AfY3kHU/edit?usp=sharing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432" s="7" t="s">
        <v>11</v>
      </c>
    </row>
    <row r="12433" spans="1:10" ht="13.2">
      <c r="A12433" s="7">
        <v>12432</v>
      </c>
      <c r="B12433" s="7">
        <v>1</v>
      </c>
      <c r="C12433" s="7" t="s">
        <v>10</v>
      </c>
      <c r="D12433" s="7">
        <v>18033</v>
      </c>
      <c r="E12433" s="7" t="s">
        <v>11</v>
      </c>
      <c r="F12433" s="8" t="str">
        <f ca="1">IFERROR(__xludf.DUMMYFUNCTION("IF
(
C12434=""фізична особа""
,
VLOOKUP(D12434,IMPORTRANGE(""https://docs.google.com/spreadsheets/d/14Bd19lYaqBhU8_DElYkX7l4wRkHqqCUFNJY4AfY3kHU/edit?usp=sharing  #gid=0"",""фіз особи new!relations_name""),6,FALSE)
,
(IF
(
C12434=""юридична особа""
,
VLOO"&amp;"KUP(D12434,IMPORTRANGE(""https://docs.google.com/spreadsheets/d/14Bd19lYaqBhU8_DElYkX7l4wRkHqqCUFNJY4AfY3kHU/edit?usp=sharing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G12433" s="7" t="s">
        <v>10</v>
      </c>
      <c r="H12433" s="7">
        <v>18036</v>
      </c>
      <c r="I12433" s="8" t="str">
        <f ca="1">IFERROR(__xludf.DUMMYFUNCTION("IF
(
G12434=""фізична особа""
,
VLOOKUP(H12434,IMPORTRANGE(""https://docs.google.com/spreadsheets/d/14Bd19lYaqBhU8_DElYkX7l4wRkHqqCUFNJY4AfY3kHU/edit?usp=sharing  #gid=0"",""фіз особи new!relations_name""),6,FALSE)
,
(IF
(
G12434=""юридична особа""
,
VLOO"&amp;"KUP(H12434,IMPORTRANGE(""https://docs.google.com/spreadsheets/d/14Bd19lYaqBhU8_DElYkX7l4wRkHqqCUFNJY4AfY3kHU/edit?usp=sharing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33" s="7" t="s">
        <v>11</v>
      </c>
    </row>
    <row r="12434" spans="1:10" ht="13.2">
      <c r="A12434" s="7">
        <v>12433</v>
      </c>
      <c r="B12434" s="7">
        <v>1</v>
      </c>
      <c r="C12434" s="7" t="s">
        <v>10</v>
      </c>
      <c r="D12434" s="7">
        <v>18034</v>
      </c>
      <c r="E12434" s="7" t="s">
        <v>11</v>
      </c>
      <c r="F12434" s="8" t="str">
        <f ca="1">IFERROR(__xludf.DUMMYFUNCTION("IF
(
C12435=""фізична особа""
,
VLOOKUP(D12435,IMPORTRANGE(""https://docs.google.com/spreadsheets/d/14Bd19lYaqBhU8_DElYkX7l4wRkHqqCUFNJY4AfY3kHU/edit?usp=sharing  #gid=0"",""фіз особи new!relations_name""),6,FALSE)
,
(IF
(
C12435=""юридична особа""
,
VLOO"&amp;"KUP(D12435,IMPORTRANGE(""https://docs.google.com/spreadsheets/d/14Bd19lYaqBhU8_DElYkX7l4wRkHqqCUFNJY4AfY3kHU/edit?usp=sharing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4" s="7" t="s">
        <v>10</v>
      </c>
      <c r="H12434" s="7">
        <v>18025</v>
      </c>
      <c r="I12434" s="8" t="str">
        <f ca="1">IFERROR(__xludf.DUMMYFUNCTION("IF
(
G12435=""фізична особа""
,
VLOOKUP(H12435,IMPORTRANGE(""https://docs.google.com/spreadsheets/d/14Bd19lYaqBhU8_DElYkX7l4wRkHqqCUFNJY4AfY3kHU/edit?usp=sharing  #gid=0"",""фіз особи new!relations_name""),6,FALSE)
,
(IF
(
G12435=""юридична особа""
,
VLOO"&amp;"KUP(H12435,IMPORTRANGE(""https://docs.google.com/spreadsheets/d/14Bd19lYaqBhU8_DElYkX7l4wRkHqqCUFNJY4AfY3kHU/edit?usp=sharing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34" s="7" t="s">
        <v>11</v>
      </c>
    </row>
    <row r="12435" spans="1:10" ht="13.2">
      <c r="A12435" s="7">
        <v>12434</v>
      </c>
      <c r="B12435" s="7">
        <v>1</v>
      </c>
      <c r="C12435" s="7" t="s">
        <v>10</v>
      </c>
      <c r="D12435" s="7">
        <v>18034</v>
      </c>
      <c r="E12435" s="7" t="s">
        <v>11</v>
      </c>
      <c r="F12435" s="8" t="str">
        <f ca="1">IFERROR(__xludf.DUMMYFUNCTION("IF
(
C12436=""фізична особа""
,
VLOOKUP(D12436,IMPORTRANGE(""https://docs.google.com/spreadsheets/d/14Bd19lYaqBhU8_DElYkX7l4wRkHqqCUFNJY4AfY3kHU/edit?usp=sharing  #gid=0"",""фіз особи new!relations_name""),6,FALSE)
,
(IF
(
C12436=""юридична особа""
,
VLOO"&amp;"KUP(D12436,IMPORTRANGE(""https://docs.google.com/spreadsheets/d/14Bd19lYaqBhU8_DElYkX7l4wRkHqqCUFNJY4AfY3kHU/edit?usp=sharing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5" s="7" t="s">
        <v>10</v>
      </c>
      <c r="H12435" s="7">
        <v>18026</v>
      </c>
      <c r="I12435" s="8" t="str">
        <f ca="1">IFERROR(__xludf.DUMMYFUNCTION("IF
(
G12436=""фізична особа""
,
VLOOKUP(H12436,IMPORTRANGE(""https://docs.google.com/spreadsheets/d/14Bd19lYaqBhU8_DElYkX7l4wRkHqqCUFNJY4AfY3kHU/edit?usp=sharing  #gid=0"",""фіз особи new!relations_name""),6,FALSE)
,
(IF
(
G12436=""юридична особа""
,
VLOO"&amp;"KUP(H12436,IMPORTRANGE(""https://docs.google.com/spreadsheets/d/14Bd19lYaqBhU8_DElYkX7l4wRkHqqCUFNJY4AfY3kHU/edit?usp=sharing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35" s="7" t="s">
        <v>11</v>
      </c>
    </row>
    <row r="12436" spans="1:10" ht="13.2">
      <c r="A12436" s="7">
        <v>12435</v>
      </c>
      <c r="B12436" s="7">
        <v>1</v>
      </c>
      <c r="C12436" s="7" t="s">
        <v>10</v>
      </c>
      <c r="D12436" s="7">
        <v>18034</v>
      </c>
      <c r="E12436" s="7" t="s">
        <v>11</v>
      </c>
      <c r="F12436" s="8" t="str">
        <f ca="1">IFERROR(__xludf.DUMMYFUNCTION("IF
(
C12437=""фізична особа""
,
VLOOKUP(D12437,IMPORTRANGE(""https://docs.google.com/spreadsheets/d/14Bd19lYaqBhU8_DElYkX7l4wRkHqqCUFNJY4AfY3kHU/edit?usp=sharing  #gid=0"",""фіз особи new!relations_name""),6,FALSE)
,
(IF
(
C12437=""юридична особа""
,
VLOO"&amp;"KUP(D12437,IMPORTRANGE(""https://docs.google.com/spreadsheets/d/14Bd19lYaqBhU8_DElYkX7l4wRkHqqCUFNJY4AfY3kHU/edit?usp=sharing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6" s="7" t="s">
        <v>10</v>
      </c>
      <c r="H12436" s="7">
        <v>18027</v>
      </c>
      <c r="I12436" s="8" t="str">
        <f ca="1">IFERROR(__xludf.DUMMYFUNCTION("IF
(
G12437=""фізична особа""
,
VLOOKUP(H12437,IMPORTRANGE(""https://docs.google.com/spreadsheets/d/14Bd19lYaqBhU8_DElYkX7l4wRkHqqCUFNJY4AfY3kHU/edit?usp=sharing  #gid=0"",""фіз особи new!relations_name""),6,FALSE)
,
(IF
(
G12437=""юридична особа""
,
VLOO"&amp;"KUP(H12437,IMPORTRANGE(""https://docs.google.com/spreadsheets/d/14Bd19lYaqBhU8_DElYkX7l4wRkHqqCUFNJY4AfY3kHU/edit?usp=sharing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36" s="7" t="s">
        <v>11</v>
      </c>
    </row>
    <row r="12437" spans="1:10" ht="13.2">
      <c r="A12437" s="7">
        <v>12436</v>
      </c>
      <c r="B12437" s="7">
        <v>1</v>
      </c>
      <c r="C12437" s="7" t="s">
        <v>10</v>
      </c>
      <c r="D12437" s="7">
        <v>18034</v>
      </c>
      <c r="E12437" s="7" t="s">
        <v>11</v>
      </c>
      <c r="F12437" s="8" t="str">
        <f ca="1">IFERROR(__xludf.DUMMYFUNCTION("IF
(
C12438=""фізична особа""
,
VLOOKUP(D12438,IMPORTRANGE(""https://docs.google.com/spreadsheets/d/14Bd19lYaqBhU8_DElYkX7l4wRkHqqCUFNJY4AfY3kHU/edit?usp=sharing  #gid=0"",""фіз особи new!relations_name""),6,FALSE)
,
(IF
(
C12438=""юридична особа""
,
VLOO"&amp;"KUP(D12438,IMPORTRANGE(""https://docs.google.com/spreadsheets/d/14Bd19lYaqBhU8_DElYkX7l4wRkHqqCUFNJY4AfY3kHU/edit?usp=sharing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7" s="7" t="s">
        <v>10</v>
      </c>
      <c r="H12437" s="7">
        <v>18028</v>
      </c>
      <c r="I12437" s="8" t="str">
        <f ca="1">IFERROR(__xludf.DUMMYFUNCTION("IF
(
G12438=""фізична особа""
,
VLOOKUP(H12438,IMPORTRANGE(""https://docs.google.com/spreadsheets/d/14Bd19lYaqBhU8_DElYkX7l4wRkHqqCUFNJY4AfY3kHU/edit?usp=sharing  #gid=0"",""фіз особи new!relations_name""),6,FALSE)
,
(IF
(
G12438=""юридична особа""
,
VLOO"&amp;"KUP(H12438,IMPORTRANGE(""https://docs.google.com/spreadsheets/d/14Bd19lYaqBhU8_DElYkX7l4wRkHqqCUFNJY4AfY3kHU/edit?usp=sharing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37" s="7" t="s">
        <v>11</v>
      </c>
    </row>
    <row r="12438" spans="1:10" ht="13.2">
      <c r="A12438" s="7">
        <v>12437</v>
      </c>
      <c r="B12438" s="7">
        <v>1</v>
      </c>
      <c r="C12438" s="7" t="s">
        <v>10</v>
      </c>
      <c r="D12438" s="7">
        <v>18034</v>
      </c>
      <c r="E12438" s="7" t="s">
        <v>11</v>
      </c>
      <c r="F12438" s="8" t="str">
        <f ca="1">IFERROR(__xludf.DUMMYFUNCTION("IF
(
C12439=""фізична особа""
,
VLOOKUP(D12439,IMPORTRANGE(""https://docs.google.com/spreadsheets/d/14Bd19lYaqBhU8_DElYkX7l4wRkHqqCUFNJY4AfY3kHU/edit?usp=sharing  #gid=0"",""фіз особи new!relations_name""),6,FALSE)
,
(IF
(
C12439=""юридична особа""
,
VLOO"&amp;"KUP(D12439,IMPORTRANGE(""https://docs.google.com/spreadsheets/d/14Bd19lYaqBhU8_DElYkX7l4wRkHqqCUFNJY4AfY3kHU/edit?usp=sharing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8" s="7" t="s">
        <v>10</v>
      </c>
      <c r="H12438" s="7">
        <v>18029</v>
      </c>
      <c r="I12438" s="8" t="str">
        <f ca="1">IFERROR(__xludf.DUMMYFUNCTION("IF
(
G12439=""фізична особа""
,
VLOOKUP(H12439,IMPORTRANGE(""https://docs.google.com/spreadsheets/d/14Bd19lYaqBhU8_DElYkX7l4wRkHqqCUFNJY4AfY3kHU/edit?usp=sharing  #gid=0"",""фіз особи new!relations_name""),6,FALSE)
,
(IF
(
G12439=""юридична особа""
,
VLOO"&amp;"KUP(H12439,IMPORTRANGE(""https://docs.google.com/spreadsheets/d/14Bd19lYaqBhU8_DElYkX7l4wRkHqqCUFNJY4AfY3kHU/edit?usp=sharing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38" s="7" t="s">
        <v>11</v>
      </c>
    </row>
    <row r="12439" spans="1:10" ht="13.2">
      <c r="A12439" s="7">
        <v>12438</v>
      </c>
      <c r="B12439" s="7">
        <v>1</v>
      </c>
      <c r="C12439" s="7" t="s">
        <v>10</v>
      </c>
      <c r="D12439" s="7">
        <v>18034</v>
      </c>
      <c r="E12439" s="7" t="s">
        <v>11</v>
      </c>
      <c r="F12439" s="8" t="str">
        <f ca="1">IFERROR(__xludf.DUMMYFUNCTION("IF
(
C12440=""фізична особа""
,
VLOOKUP(D12440,IMPORTRANGE(""https://docs.google.com/spreadsheets/d/14Bd19lYaqBhU8_DElYkX7l4wRkHqqCUFNJY4AfY3kHU/edit?usp=sharing  #gid=0"",""фіз особи new!relations_name""),6,FALSE)
,
(IF
(
C12440=""юридична особа""
,
VLOO"&amp;"KUP(D12440,IMPORTRANGE(""https://docs.google.com/spreadsheets/d/14Bd19lYaqBhU8_DElYkX7l4wRkHqqCUFNJY4AfY3kHU/edit?usp=sharing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39" s="7" t="s">
        <v>10</v>
      </c>
      <c r="H12439" s="7">
        <v>18030</v>
      </c>
      <c r="I12439" s="8" t="str">
        <f ca="1">IFERROR(__xludf.DUMMYFUNCTION("IF
(
G12440=""фізична особа""
,
VLOOKUP(H12440,IMPORTRANGE(""https://docs.google.com/spreadsheets/d/14Bd19lYaqBhU8_DElYkX7l4wRkHqqCUFNJY4AfY3kHU/edit?usp=sharing  #gid=0"",""фіз особи new!relations_name""),6,FALSE)
,
(IF
(
G12440=""юридична особа""
,
VLOO"&amp;"KUP(H12440,IMPORTRANGE(""https://docs.google.com/spreadsheets/d/14Bd19lYaqBhU8_DElYkX7l4wRkHqqCUFNJY4AfY3kHU/edit?usp=sharing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39" s="7" t="s">
        <v>11</v>
      </c>
    </row>
    <row r="12440" spans="1:10" ht="13.2">
      <c r="A12440" s="7">
        <v>12439</v>
      </c>
      <c r="B12440" s="7">
        <v>1</v>
      </c>
      <c r="C12440" s="7" t="s">
        <v>10</v>
      </c>
      <c r="D12440" s="7">
        <v>18034</v>
      </c>
      <c r="E12440" s="7" t="s">
        <v>11</v>
      </c>
      <c r="F12440" s="8" t="str">
        <f ca="1">IFERROR(__xludf.DUMMYFUNCTION("IF
(
C12441=""фізична особа""
,
VLOOKUP(D12441,IMPORTRANGE(""https://docs.google.com/spreadsheets/d/14Bd19lYaqBhU8_DElYkX7l4wRkHqqCUFNJY4AfY3kHU/edit?usp=sharing  #gid=0"",""фіз особи new!relations_name""),6,FALSE)
,
(IF
(
C12441=""юридична особа""
,
VLOO"&amp;"KUP(D12441,IMPORTRANGE(""https://docs.google.com/spreadsheets/d/14Bd19lYaqBhU8_DElYkX7l4wRkHqqCUFNJY4AfY3kHU/edit?usp=sharing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40" s="7" t="s">
        <v>10</v>
      </c>
      <c r="H12440" s="7">
        <v>18031</v>
      </c>
      <c r="I12440" s="8" t="str">
        <f ca="1">IFERROR(__xludf.DUMMYFUNCTION("IF
(
G12441=""фізична особа""
,
VLOOKUP(H12441,IMPORTRANGE(""https://docs.google.com/spreadsheets/d/14Bd19lYaqBhU8_DElYkX7l4wRkHqqCUFNJY4AfY3kHU/edit?usp=sharing  #gid=0"",""фіз особи new!relations_name""),6,FALSE)
,
(IF
(
G12441=""юридична особа""
,
VLOO"&amp;"KUP(H12441,IMPORTRANGE(""https://docs.google.com/spreadsheets/d/14Bd19lYaqBhU8_DElYkX7l4wRkHqqCUFNJY4AfY3kHU/edit?usp=sharing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440" s="7" t="s">
        <v>11</v>
      </c>
    </row>
    <row r="12441" spans="1:10" ht="13.2">
      <c r="A12441" s="7">
        <v>12440</v>
      </c>
      <c r="B12441" s="7">
        <v>1</v>
      </c>
      <c r="C12441" s="7" t="s">
        <v>10</v>
      </c>
      <c r="D12441" s="7">
        <v>18034</v>
      </c>
      <c r="E12441" s="7" t="s">
        <v>11</v>
      </c>
      <c r="F12441" s="8" t="str">
        <f ca="1">IFERROR(__xludf.DUMMYFUNCTION("IF
(
C12442=""фізична особа""
,
VLOOKUP(D12442,IMPORTRANGE(""https://docs.google.com/spreadsheets/d/14Bd19lYaqBhU8_DElYkX7l4wRkHqqCUFNJY4AfY3kHU/edit?usp=sharing  #gid=0"",""фіз особи new!relations_name""),6,FALSE)
,
(IF
(
C12442=""юридична особа""
,
VLOO"&amp;"KUP(D12442,IMPORTRANGE(""https://docs.google.com/spreadsheets/d/14Bd19lYaqBhU8_DElYkX7l4wRkHqqCUFNJY4AfY3kHU/edit?usp=sharing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41" s="7" t="s">
        <v>10</v>
      </c>
      <c r="H12441" s="7">
        <v>18032</v>
      </c>
      <c r="I12441" s="8" t="str">
        <f ca="1">IFERROR(__xludf.DUMMYFUNCTION("IF
(
G12442=""фізична особа""
,
VLOOKUP(H12442,IMPORTRANGE(""https://docs.google.com/spreadsheets/d/14Bd19lYaqBhU8_DElYkX7l4wRkHqqCUFNJY4AfY3kHU/edit?usp=sharing  #gid=0"",""фіз особи new!relations_name""),6,FALSE)
,
(IF
(
G12442=""юридична особа""
,
VLOO"&amp;"KUP(H12442,IMPORTRANGE(""https://docs.google.com/spreadsheets/d/14Bd19lYaqBhU8_DElYkX7l4wRkHqqCUFNJY4AfY3kHU/edit?usp=sharing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441" s="7" t="s">
        <v>11</v>
      </c>
    </row>
    <row r="12442" spans="1:10" ht="13.2">
      <c r="A12442" s="7">
        <v>12441</v>
      </c>
      <c r="B12442" s="7">
        <v>1</v>
      </c>
      <c r="C12442" s="7" t="s">
        <v>10</v>
      </c>
      <c r="D12442" s="7">
        <v>18034</v>
      </c>
      <c r="E12442" s="7" t="s">
        <v>11</v>
      </c>
      <c r="F12442" s="8" t="str">
        <f ca="1">IFERROR(__xludf.DUMMYFUNCTION("IF
(
C12443=""фізична особа""
,
VLOOKUP(D12443,IMPORTRANGE(""https://docs.google.com/spreadsheets/d/14Bd19lYaqBhU8_DElYkX7l4wRkHqqCUFNJY4AfY3kHU/edit?usp=sharing  #gid=0"",""фіз особи new!relations_name""),6,FALSE)
,
(IF
(
C12443=""юридична особа""
,
VLOO"&amp;"KUP(D12443,IMPORTRANGE(""https://docs.google.com/spreadsheets/d/14Bd19lYaqBhU8_DElYkX7l4wRkHqqCUFNJY4AfY3kHU/edit?usp=sharing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42" s="7" t="s">
        <v>10</v>
      </c>
      <c r="H12442" s="7">
        <v>18033</v>
      </c>
      <c r="I12442" s="8" t="str">
        <f ca="1">IFERROR(__xludf.DUMMYFUNCTION("IF
(
G12443=""фізична особа""
,
VLOOKUP(H12443,IMPORTRANGE(""https://docs.google.com/spreadsheets/d/14Bd19lYaqBhU8_DElYkX7l4wRkHqqCUFNJY4AfY3kHU/edit?usp=sharing  #gid=0"",""фіз особи new!relations_name""),6,FALSE)
,
(IF
(
G12443=""юридична особа""
,
VLOO"&amp;"KUP(H12443,IMPORTRANGE(""https://docs.google.com/spreadsheets/d/14Bd19lYaqBhU8_DElYkX7l4wRkHqqCUFNJY4AfY3kHU/edit?usp=sharing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442" s="7" t="s">
        <v>11</v>
      </c>
    </row>
    <row r="12443" spans="1:10" ht="13.2">
      <c r="A12443" s="7">
        <v>12442</v>
      </c>
      <c r="B12443" s="7">
        <v>1</v>
      </c>
      <c r="C12443" s="7" t="s">
        <v>10</v>
      </c>
      <c r="D12443" s="7">
        <v>18034</v>
      </c>
      <c r="E12443" s="7" t="s">
        <v>11</v>
      </c>
      <c r="F12443" s="8" t="str">
        <f ca="1">IFERROR(__xludf.DUMMYFUNCTION("IF
(
C12444=""фізична особа""
,
VLOOKUP(D12444,IMPORTRANGE(""https://docs.google.com/spreadsheets/d/14Bd19lYaqBhU8_DElYkX7l4wRkHqqCUFNJY4AfY3kHU/edit?usp=sharing  #gid=0"",""фіз особи new!relations_name""),6,FALSE)
,
(IF
(
C12444=""юридична особа""
,
VLOO"&amp;"KUP(D12444,IMPORTRANGE(""https://docs.google.com/spreadsheets/d/14Bd19lYaqBhU8_DElYkX7l4wRkHqqCUFNJY4AfY3kHU/edit?usp=sharing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43" s="7" t="s">
        <v>10</v>
      </c>
      <c r="H12443" s="7">
        <v>18035</v>
      </c>
      <c r="I12443" s="8" t="str">
        <f ca="1">IFERROR(__xludf.DUMMYFUNCTION("IF
(
G12444=""фізична особа""
,
VLOOKUP(H12444,IMPORTRANGE(""https://docs.google.com/spreadsheets/d/14Bd19lYaqBhU8_DElYkX7l4wRkHqqCUFNJY4AfY3kHU/edit?usp=sharing  #gid=0"",""фіз особи new!relations_name""),6,FALSE)
,
(IF
(
G12444=""юридична особа""
,
VLOO"&amp;"KUP(H12444,IMPORTRANGE(""https://docs.google.com/spreadsheets/d/14Bd19lYaqBhU8_DElYkX7l4wRkHqqCUFNJY4AfY3kHU/edit?usp=sharing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443" s="7" t="s">
        <v>11</v>
      </c>
    </row>
    <row r="12444" spans="1:10" ht="13.2">
      <c r="A12444" s="7">
        <v>12443</v>
      </c>
      <c r="B12444" s="7">
        <v>1</v>
      </c>
      <c r="C12444" s="7" t="s">
        <v>10</v>
      </c>
      <c r="D12444" s="7">
        <v>18034</v>
      </c>
      <c r="E12444" s="7" t="s">
        <v>11</v>
      </c>
      <c r="F12444" s="8" t="str">
        <f ca="1">IFERROR(__xludf.DUMMYFUNCTION("IF
(
C12445=""фізична особа""
,
VLOOKUP(D12445,IMPORTRANGE(""https://docs.google.com/spreadsheets/d/14Bd19lYaqBhU8_DElYkX7l4wRkHqqCUFNJY4AfY3kHU/edit?usp=sharing  #gid=0"",""фіз особи new!relations_name""),6,FALSE)
,
(IF
(
C12445=""юридична особа""
,
VLOO"&amp;"KUP(D12445,IMPORTRANGE(""https://docs.google.com/spreadsheets/d/14Bd19lYaqBhU8_DElYkX7l4wRkHqqCUFNJY4AfY3kHU/edit?usp=sharing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G12444" s="7" t="s">
        <v>10</v>
      </c>
      <c r="H12444" s="7">
        <v>18036</v>
      </c>
      <c r="I12444" s="8" t="str">
        <f ca="1">IFERROR(__xludf.DUMMYFUNCTION("IF
(
G12445=""фізична особа""
,
VLOOKUP(H12445,IMPORTRANGE(""https://docs.google.com/spreadsheets/d/14Bd19lYaqBhU8_DElYkX7l4wRkHqqCUFNJY4AfY3kHU/edit?usp=sharing  #gid=0"",""фіз особи new!relations_name""),6,FALSE)
,
(IF
(
G12445=""юридична особа""
,
VLOO"&amp;"KUP(H12445,IMPORTRANGE(""https://docs.google.com/spreadsheets/d/14Bd19lYaqBhU8_DElYkX7l4wRkHqqCUFNJY4AfY3kHU/edit?usp=sharing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44" s="7" t="s">
        <v>11</v>
      </c>
    </row>
    <row r="12445" spans="1:10" ht="13.2">
      <c r="A12445" s="7">
        <v>12444</v>
      </c>
      <c r="B12445" s="7">
        <v>1</v>
      </c>
      <c r="C12445" s="7" t="s">
        <v>10</v>
      </c>
      <c r="D12445" s="7">
        <v>18035</v>
      </c>
      <c r="E12445" s="7" t="s">
        <v>11</v>
      </c>
      <c r="F12445" s="8" t="str">
        <f ca="1">IFERROR(__xludf.DUMMYFUNCTION("IF
(
C12446=""фізична особа""
,
VLOOKUP(D12446,IMPORTRANGE(""https://docs.google.com/spreadsheets/d/14Bd19lYaqBhU8_DElYkX7l4wRkHqqCUFNJY4AfY3kHU/edit?usp=sharing  #gid=0"",""фіз особи new!relations_name""),6,FALSE)
,
(IF
(
C12446=""юридична особа""
,
VLOO"&amp;"KUP(D12446,IMPORTRANGE(""https://docs.google.com/spreadsheets/d/14Bd19lYaqBhU8_DElYkX7l4wRkHqqCUFNJY4AfY3kHU/edit?usp=sharing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45" s="7" t="s">
        <v>10</v>
      </c>
      <c r="H12445" s="7">
        <v>18025</v>
      </c>
      <c r="I12445" s="8" t="str">
        <f ca="1">IFERROR(__xludf.DUMMYFUNCTION("IF
(
G12446=""фізична особа""
,
VLOOKUP(H12446,IMPORTRANGE(""https://docs.google.com/spreadsheets/d/14Bd19lYaqBhU8_DElYkX7l4wRkHqqCUFNJY4AfY3kHU/edit?usp=sharing  #gid=0"",""фіз особи new!relations_name""),6,FALSE)
,
(IF
(
G12446=""юридична особа""
,
VLOO"&amp;"KUP(H12446,IMPORTRANGE(""https://docs.google.com/spreadsheets/d/14Bd19lYaqBhU8_DElYkX7l4wRkHqqCUFNJY4AfY3kHU/edit?usp=sharing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45" s="7" t="s">
        <v>11</v>
      </c>
    </row>
    <row r="12446" spans="1:10" ht="13.2">
      <c r="A12446" s="7">
        <v>12445</v>
      </c>
      <c r="B12446" s="7">
        <v>1</v>
      </c>
      <c r="C12446" s="7" t="s">
        <v>10</v>
      </c>
      <c r="D12446" s="7">
        <v>18035</v>
      </c>
      <c r="E12446" s="7" t="s">
        <v>11</v>
      </c>
      <c r="F12446" s="8" t="str">
        <f ca="1">IFERROR(__xludf.DUMMYFUNCTION("IF
(
C12447=""фізична особа""
,
VLOOKUP(D12447,IMPORTRANGE(""https://docs.google.com/spreadsheets/d/14Bd19lYaqBhU8_DElYkX7l4wRkHqqCUFNJY4AfY3kHU/edit?usp=sharing  #gid=0"",""фіз особи new!relations_name""),6,FALSE)
,
(IF
(
C12447=""юридична особа""
,
VLOO"&amp;"KUP(D12447,IMPORTRANGE(""https://docs.google.com/spreadsheets/d/14Bd19lYaqBhU8_DElYkX7l4wRkHqqCUFNJY4AfY3kHU/edit?usp=sharing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46" s="7" t="s">
        <v>10</v>
      </c>
      <c r="H12446" s="7">
        <v>18026</v>
      </c>
      <c r="I12446" s="8" t="str">
        <f ca="1">IFERROR(__xludf.DUMMYFUNCTION("IF
(
G12447=""фізична особа""
,
VLOOKUP(H12447,IMPORTRANGE(""https://docs.google.com/spreadsheets/d/14Bd19lYaqBhU8_DElYkX7l4wRkHqqCUFNJY4AfY3kHU/edit?usp=sharing  #gid=0"",""фіз особи new!relations_name""),6,FALSE)
,
(IF
(
G12447=""юридична особа""
,
VLOO"&amp;"KUP(H12447,IMPORTRANGE(""https://docs.google.com/spreadsheets/d/14Bd19lYaqBhU8_DElYkX7l4wRkHqqCUFNJY4AfY3kHU/edit?usp=sharing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46" s="7" t="s">
        <v>11</v>
      </c>
    </row>
    <row r="12447" spans="1:10" ht="13.2">
      <c r="A12447" s="7">
        <v>12446</v>
      </c>
      <c r="B12447" s="7">
        <v>1</v>
      </c>
      <c r="C12447" s="7" t="s">
        <v>10</v>
      </c>
      <c r="D12447" s="7">
        <v>18035</v>
      </c>
      <c r="E12447" s="7" t="s">
        <v>11</v>
      </c>
      <c r="F12447" s="8" t="str">
        <f ca="1">IFERROR(__xludf.DUMMYFUNCTION("IF
(
C12448=""фізична особа""
,
VLOOKUP(D12448,IMPORTRANGE(""https://docs.google.com/spreadsheets/d/14Bd19lYaqBhU8_DElYkX7l4wRkHqqCUFNJY4AfY3kHU/edit?usp=sharing  #gid=0"",""фіз особи new!relations_name""),6,FALSE)
,
(IF
(
C12448=""юридична особа""
,
VLOO"&amp;"KUP(D12448,IMPORTRANGE(""https://docs.google.com/spreadsheets/d/14Bd19lYaqBhU8_DElYkX7l4wRkHqqCUFNJY4AfY3kHU/edit?usp=sharing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47" s="7" t="s">
        <v>10</v>
      </c>
      <c r="H12447" s="7">
        <v>18027</v>
      </c>
      <c r="I12447" s="8" t="str">
        <f ca="1">IFERROR(__xludf.DUMMYFUNCTION("IF
(
G12448=""фізична особа""
,
VLOOKUP(H12448,IMPORTRANGE(""https://docs.google.com/spreadsheets/d/14Bd19lYaqBhU8_DElYkX7l4wRkHqqCUFNJY4AfY3kHU/edit?usp=sharing  #gid=0"",""фіз особи new!relations_name""),6,FALSE)
,
(IF
(
G12448=""юридична особа""
,
VLOO"&amp;"KUP(H12448,IMPORTRANGE(""https://docs.google.com/spreadsheets/d/14Bd19lYaqBhU8_DElYkX7l4wRkHqqCUFNJY4AfY3kHU/edit?usp=sharing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47" s="7" t="s">
        <v>11</v>
      </c>
    </row>
    <row r="12448" spans="1:10" ht="13.2">
      <c r="A12448" s="7">
        <v>12447</v>
      </c>
      <c r="B12448" s="7">
        <v>1</v>
      </c>
      <c r="C12448" s="7" t="s">
        <v>10</v>
      </c>
      <c r="D12448" s="7">
        <v>18035</v>
      </c>
      <c r="E12448" s="7" t="s">
        <v>11</v>
      </c>
      <c r="F12448" s="8" t="str">
        <f ca="1">IFERROR(__xludf.DUMMYFUNCTION("IF
(
C12449=""фізична особа""
,
VLOOKUP(D12449,IMPORTRANGE(""https://docs.google.com/spreadsheets/d/14Bd19lYaqBhU8_DElYkX7l4wRkHqqCUFNJY4AfY3kHU/edit?usp=sharing  #gid=0"",""фіз особи new!relations_name""),6,FALSE)
,
(IF
(
C12449=""юридична особа""
,
VLOO"&amp;"KUP(D12449,IMPORTRANGE(""https://docs.google.com/spreadsheets/d/14Bd19lYaqBhU8_DElYkX7l4wRkHqqCUFNJY4AfY3kHU/edit?usp=sharing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48" s="7" t="s">
        <v>10</v>
      </c>
      <c r="H12448" s="7">
        <v>18028</v>
      </c>
      <c r="I12448" s="8" t="str">
        <f ca="1">IFERROR(__xludf.DUMMYFUNCTION("IF
(
G12449=""фізична особа""
,
VLOOKUP(H12449,IMPORTRANGE(""https://docs.google.com/spreadsheets/d/14Bd19lYaqBhU8_DElYkX7l4wRkHqqCUFNJY4AfY3kHU/edit?usp=sharing  #gid=0"",""фіз особи new!relations_name""),6,FALSE)
,
(IF
(
G12449=""юридична особа""
,
VLOO"&amp;"KUP(H12449,IMPORTRANGE(""https://docs.google.com/spreadsheets/d/14Bd19lYaqBhU8_DElYkX7l4wRkHqqCUFNJY4AfY3kHU/edit?usp=sharing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48" s="7" t="s">
        <v>11</v>
      </c>
    </row>
    <row r="12449" spans="1:10" ht="13.2">
      <c r="A12449" s="7">
        <v>12448</v>
      </c>
      <c r="B12449" s="7">
        <v>1</v>
      </c>
      <c r="C12449" s="7" t="s">
        <v>10</v>
      </c>
      <c r="D12449" s="7">
        <v>18035</v>
      </c>
      <c r="E12449" s="7" t="s">
        <v>11</v>
      </c>
      <c r="F12449" s="8" t="str">
        <f ca="1">IFERROR(__xludf.DUMMYFUNCTION("IF
(
C12450=""фізична особа""
,
VLOOKUP(D12450,IMPORTRANGE(""https://docs.google.com/spreadsheets/d/14Bd19lYaqBhU8_DElYkX7l4wRkHqqCUFNJY4AfY3kHU/edit?usp=sharing  #gid=0"",""фіз особи new!relations_name""),6,FALSE)
,
(IF
(
C12450=""юридична особа""
,
VLOO"&amp;"KUP(D12450,IMPORTRANGE(""https://docs.google.com/spreadsheets/d/14Bd19lYaqBhU8_DElYkX7l4wRkHqqCUFNJY4AfY3kHU/edit?usp=sharing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49" s="7" t="s">
        <v>10</v>
      </c>
      <c r="H12449" s="7">
        <v>18029</v>
      </c>
      <c r="I12449" s="8" t="str">
        <f ca="1">IFERROR(__xludf.DUMMYFUNCTION("IF
(
G12450=""фізична особа""
,
VLOOKUP(H12450,IMPORTRANGE(""https://docs.google.com/spreadsheets/d/14Bd19lYaqBhU8_DElYkX7l4wRkHqqCUFNJY4AfY3kHU/edit?usp=sharing  #gid=0"",""фіз особи new!relations_name""),6,FALSE)
,
(IF
(
G12450=""юридична особа""
,
VLOO"&amp;"KUP(H12450,IMPORTRANGE(""https://docs.google.com/spreadsheets/d/14Bd19lYaqBhU8_DElYkX7l4wRkHqqCUFNJY4AfY3kHU/edit?usp=sharing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49" s="7" t="s">
        <v>11</v>
      </c>
    </row>
    <row r="12450" spans="1:10" ht="13.2">
      <c r="A12450" s="7">
        <v>12449</v>
      </c>
      <c r="B12450" s="7">
        <v>1</v>
      </c>
      <c r="C12450" s="7" t="s">
        <v>10</v>
      </c>
      <c r="D12450" s="7">
        <v>18035</v>
      </c>
      <c r="E12450" s="7" t="s">
        <v>11</v>
      </c>
      <c r="F12450" s="8" t="str">
        <f ca="1">IFERROR(__xludf.DUMMYFUNCTION("IF
(
C12451=""фізична особа""
,
VLOOKUP(D12451,IMPORTRANGE(""https://docs.google.com/spreadsheets/d/14Bd19lYaqBhU8_DElYkX7l4wRkHqqCUFNJY4AfY3kHU/edit?usp=sharing  #gid=0"",""фіз особи new!relations_name""),6,FALSE)
,
(IF
(
C12451=""юридична особа""
,
VLOO"&amp;"KUP(D12451,IMPORTRANGE(""https://docs.google.com/spreadsheets/d/14Bd19lYaqBhU8_DElYkX7l4wRkHqqCUFNJY4AfY3kHU/edit?usp=sharing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0" s="7" t="s">
        <v>10</v>
      </c>
      <c r="H12450" s="7">
        <v>18030</v>
      </c>
      <c r="I12450" s="8" t="str">
        <f ca="1">IFERROR(__xludf.DUMMYFUNCTION("IF
(
G12451=""фізична особа""
,
VLOOKUP(H12451,IMPORTRANGE(""https://docs.google.com/spreadsheets/d/14Bd19lYaqBhU8_DElYkX7l4wRkHqqCUFNJY4AfY3kHU/edit?usp=sharing  #gid=0"",""фіз особи new!relations_name""),6,FALSE)
,
(IF
(
G12451=""юридична особа""
,
VLOO"&amp;"KUP(H12451,IMPORTRANGE(""https://docs.google.com/spreadsheets/d/14Bd19lYaqBhU8_DElYkX7l4wRkHqqCUFNJY4AfY3kHU/edit?usp=sharing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50" s="7" t="s">
        <v>11</v>
      </c>
    </row>
    <row r="12451" spans="1:10" ht="13.2">
      <c r="A12451" s="7">
        <v>12450</v>
      </c>
      <c r="B12451" s="7">
        <v>1</v>
      </c>
      <c r="C12451" s="7" t="s">
        <v>10</v>
      </c>
      <c r="D12451" s="7">
        <v>18035</v>
      </c>
      <c r="E12451" s="7" t="s">
        <v>11</v>
      </c>
      <c r="F12451" s="8" t="str">
        <f ca="1">IFERROR(__xludf.DUMMYFUNCTION("IF
(
C12452=""фізична особа""
,
VLOOKUP(D12452,IMPORTRANGE(""https://docs.google.com/spreadsheets/d/14Bd19lYaqBhU8_DElYkX7l4wRkHqqCUFNJY4AfY3kHU/edit?usp=sharing  #gid=0"",""фіз особи new!relations_name""),6,FALSE)
,
(IF
(
C12452=""юридична особа""
,
VLOO"&amp;"KUP(D12452,IMPORTRANGE(""https://docs.google.com/spreadsheets/d/14Bd19lYaqBhU8_DElYkX7l4wRkHqqCUFNJY4AfY3kHU/edit?usp=sharing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1" s="7" t="s">
        <v>10</v>
      </c>
      <c r="H12451" s="7">
        <v>18031</v>
      </c>
      <c r="I12451" s="8" t="str">
        <f ca="1">IFERROR(__xludf.DUMMYFUNCTION("IF
(
G12452=""фізична особа""
,
VLOOKUP(H12452,IMPORTRANGE(""https://docs.google.com/spreadsheets/d/14Bd19lYaqBhU8_DElYkX7l4wRkHqqCUFNJY4AfY3kHU/edit?usp=sharing  #gid=0"",""фіз особи new!relations_name""),6,FALSE)
,
(IF
(
G12452=""юридична особа""
,
VLOO"&amp;"KUP(H12452,IMPORTRANGE(""https://docs.google.com/spreadsheets/d/14Bd19lYaqBhU8_DElYkX7l4wRkHqqCUFNJY4AfY3kHU/edit?usp=sharing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451" s="7" t="s">
        <v>11</v>
      </c>
    </row>
    <row r="12452" spans="1:10" ht="13.2">
      <c r="A12452" s="7">
        <v>12451</v>
      </c>
      <c r="B12452" s="7">
        <v>1</v>
      </c>
      <c r="C12452" s="7" t="s">
        <v>10</v>
      </c>
      <c r="D12452" s="7">
        <v>18035</v>
      </c>
      <c r="E12452" s="7" t="s">
        <v>11</v>
      </c>
      <c r="F12452" s="8" t="str">
        <f ca="1">IFERROR(__xludf.DUMMYFUNCTION("IF
(
C12453=""фізична особа""
,
VLOOKUP(D12453,IMPORTRANGE(""https://docs.google.com/spreadsheets/d/14Bd19lYaqBhU8_DElYkX7l4wRkHqqCUFNJY4AfY3kHU/edit?usp=sharing  #gid=0"",""фіз особи new!relations_name""),6,FALSE)
,
(IF
(
C12453=""юридична особа""
,
VLOO"&amp;"KUP(D12453,IMPORTRANGE(""https://docs.google.com/spreadsheets/d/14Bd19lYaqBhU8_DElYkX7l4wRkHqqCUFNJY4AfY3kHU/edit?usp=sharing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2" s="7" t="s">
        <v>10</v>
      </c>
      <c r="H12452" s="7">
        <v>18032</v>
      </c>
      <c r="I12452" s="8" t="str">
        <f ca="1">IFERROR(__xludf.DUMMYFUNCTION("IF
(
G12453=""фізична особа""
,
VLOOKUP(H12453,IMPORTRANGE(""https://docs.google.com/spreadsheets/d/14Bd19lYaqBhU8_DElYkX7l4wRkHqqCUFNJY4AfY3kHU/edit?usp=sharing  #gid=0"",""фіз особи new!relations_name""),6,FALSE)
,
(IF
(
G12453=""юридична особа""
,
VLOO"&amp;"KUP(H12453,IMPORTRANGE(""https://docs.google.com/spreadsheets/d/14Bd19lYaqBhU8_DElYkX7l4wRkHqqCUFNJY4AfY3kHU/edit?usp=sharing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452" s="7" t="s">
        <v>11</v>
      </c>
    </row>
    <row r="12453" spans="1:10" ht="13.2">
      <c r="A12453" s="7">
        <v>12452</v>
      </c>
      <c r="B12453" s="7">
        <v>1</v>
      </c>
      <c r="C12453" s="7" t="s">
        <v>10</v>
      </c>
      <c r="D12453" s="7">
        <v>18035</v>
      </c>
      <c r="E12453" s="7" t="s">
        <v>11</v>
      </c>
      <c r="F12453" s="8" t="str">
        <f ca="1">IFERROR(__xludf.DUMMYFUNCTION("IF
(
C12454=""фізична особа""
,
VLOOKUP(D12454,IMPORTRANGE(""https://docs.google.com/spreadsheets/d/14Bd19lYaqBhU8_DElYkX7l4wRkHqqCUFNJY4AfY3kHU/edit?usp=sharing  #gid=0"",""фіз особи new!relations_name""),6,FALSE)
,
(IF
(
C12454=""юридична особа""
,
VLOO"&amp;"KUP(D12454,IMPORTRANGE(""https://docs.google.com/spreadsheets/d/14Bd19lYaqBhU8_DElYkX7l4wRkHqqCUFNJY4AfY3kHU/edit?usp=sharing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3" s="7" t="s">
        <v>10</v>
      </c>
      <c r="H12453" s="7">
        <v>18033</v>
      </c>
      <c r="I12453" s="8" t="str">
        <f ca="1">IFERROR(__xludf.DUMMYFUNCTION("IF
(
G12454=""фізична особа""
,
VLOOKUP(H12454,IMPORTRANGE(""https://docs.google.com/spreadsheets/d/14Bd19lYaqBhU8_DElYkX7l4wRkHqqCUFNJY4AfY3kHU/edit?usp=sharing  #gid=0"",""фіз особи new!relations_name""),6,FALSE)
,
(IF
(
G12454=""юридична особа""
,
VLOO"&amp;"KUP(H12454,IMPORTRANGE(""https://docs.google.com/spreadsheets/d/14Bd19lYaqBhU8_DElYkX7l4wRkHqqCUFNJY4AfY3kHU/edit?usp=sharing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453" s="7" t="s">
        <v>11</v>
      </c>
    </row>
    <row r="12454" spans="1:10" ht="13.2">
      <c r="A12454" s="7">
        <v>12453</v>
      </c>
      <c r="B12454" s="7">
        <v>1</v>
      </c>
      <c r="C12454" s="7" t="s">
        <v>10</v>
      </c>
      <c r="D12454" s="7">
        <v>18035</v>
      </c>
      <c r="E12454" s="7" t="s">
        <v>11</v>
      </c>
      <c r="F12454" s="8" t="str">
        <f ca="1">IFERROR(__xludf.DUMMYFUNCTION("IF
(
C12455=""фізична особа""
,
VLOOKUP(D12455,IMPORTRANGE(""https://docs.google.com/spreadsheets/d/14Bd19lYaqBhU8_DElYkX7l4wRkHqqCUFNJY4AfY3kHU/edit?usp=sharing  #gid=0"",""фіз особи new!relations_name""),6,FALSE)
,
(IF
(
C12455=""юридична особа""
,
VLOO"&amp;"KUP(D12455,IMPORTRANGE(""https://docs.google.com/spreadsheets/d/14Bd19lYaqBhU8_DElYkX7l4wRkHqqCUFNJY4AfY3kHU/edit?usp=sharing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4" s="7" t="s">
        <v>10</v>
      </c>
      <c r="H12454" s="7">
        <v>18034</v>
      </c>
      <c r="I12454" s="8" t="str">
        <f ca="1">IFERROR(__xludf.DUMMYFUNCTION("IF
(
G12455=""фізична особа""
,
VLOOKUP(H12455,IMPORTRANGE(""https://docs.google.com/spreadsheets/d/14Bd19lYaqBhU8_DElYkX7l4wRkHqqCUFNJY4AfY3kHU/edit?usp=sharing  #gid=0"",""фіз особи new!relations_name""),6,FALSE)
,
(IF
(
G12455=""юридична особа""
,
VLOO"&amp;"KUP(H12455,IMPORTRANGE(""https://docs.google.com/spreadsheets/d/14Bd19lYaqBhU8_DElYkX7l4wRkHqqCUFNJY4AfY3kHU/edit?usp=sharing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454" s="7" t="s">
        <v>11</v>
      </c>
    </row>
    <row r="12455" spans="1:10" ht="13.2">
      <c r="A12455" s="7">
        <v>12454</v>
      </c>
      <c r="B12455" s="7">
        <v>1</v>
      </c>
      <c r="C12455" s="7" t="s">
        <v>10</v>
      </c>
      <c r="D12455" s="7">
        <v>18035</v>
      </c>
      <c r="E12455" s="7" t="s">
        <v>11</v>
      </c>
      <c r="F12455" s="8" t="str">
        <f ca="1">IFERROR(__xludf.DUMMYFUNCTION("IF
(
C12456=""фізична особа""
,
VLOOKUP(D12456,IMPORTRANGE(""https://docs.google.com/spreadsheets/d/14Bd19lYaqBhU8_DElYkX7l4wRkHqqCUFNJY4AfY3kHU/edit?usp=sharing  #gid=0"",""фіз особи new!relations_name""),6,FALSE)
,
(IF
(
C12456=""юридична особа""
,
VLOO"&amp;"KUP(D12456,IMPORTRANGE(""https://docs.google.com/spreadsheets/d/14Bd19lYaqBhU8_DElYkX7l4wRkHqqCUFNJY4AfY3kHU/edit?usp=sharing  #gid=0"",""фіз особи new!relations_name_uo""),7,FALSE)
,
)
))"),"ШУМАХЕР Лео")</f>
        <v>ШУМАХЕР Лео</v>
      </c>
      <c r="G12455" s="7" t="s">
        <v>10</v>
      </c>
      <c r="H12455" s="7">
        <v>18036</v>
      </c>
      <c r="I12455" s="8" t="str">
        <f ca="1">IFERROR(__xludf.DUMMYFUNCTION("IF
(
G12456=""фізична особа""
,
VLOOKUP(H12456,IMPORTRANGE(""https://docs.google.com/spreadsheets/d/14Bd19lYaqBhU8_DElYkX7l4wRkHqqCUFNJY4AfY3kHU/edit?usp=sharing  #gid=0"",""фіз особи new!relations_name""),6,FALSE)
,
(IF
(
G12456=""юридична особа""
,
VLOO"&amp;"KUP(H12456,IMPORTRANGE(""https://docs.google.com/spreadsheets/d/14Bd19lYaqBhU8_DElYkX7l4wRkHqqCUFNJY4AfY3kHU/edit?usp=sharing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J12455" s="7" t="s">
        <v>11</v>
      </c>
    </row>
    <row r="12456" spans="1:10" ht="13.2">
      <c r="A12456" s="7">
        <v>12455</v>
      </c>
      <c r="B12456" s="7">
        <v>1</v>
      </c>
      <c r="C12456" s="7" t="s">
        <v>10</v>
      </c>
      <c r="D12456" s="7">
        <v>18036</v>
      </c>
      <c r="E12456" s="7" t="s">
        <v>11</v>
      </c>
      <c r="F12456" s="8" t="str">
        <f ca="1">IFERROR(__xludf.DUMMYFUNCTION("IF
(
C12457=""фізична особа""
,
VLOOKUP(D12457,IMPORTRANGE(""https://docs.google.com/spreadsheets/d/14Bd19lYaqBhU8_DElYkX7l4wRkHqqCUFNJY4AfY3kHU/edit?usp=sharing  #gid=0"",""фіз особи new!relations_name""),6,FALSE)
,
(IF
(
C12457=""юридична особа""
,
VLOO"&amp;"KUP(D12457,IMPORTRANGE(""https://docs.google.com/spreadsheets/d/14Bd19lYaqBhU8_DElYkX7l4wRkHqqCUFNJY4AfY3kHU/edit?usp=sharing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56" s="7" t="s">
        <v>10</v>
      </c>
      <c r="H12456" s="7">
        <v>18025</v>
      </c>
      <c r="I12456" s="8" t="str">
        <f ca="1">IFERROR(__xludf.DUMMYFUNCTION("IF
(
G12457=""фізична особа""
,
VLOOKUP(H12457,IMPORTRANGE(""https://docs.google.com/spreadsheets/d/14Bd19lYaqBhU8_DElYkX7l4wRkHqqCUFNJY4AfY3kHU/edit?usp=sharing  #gid=0"",""фіз особи new!relations_name""),6,FALSE)
,
(IF
(
G12457=""юридична особа""
,
VLOO"&amp;"KUP(H12457,IMPORTRANGE(""https://docs.google.com/spreadsheets/d/14Bd19lYaqBhU8_DElYkX7l4wRkHqqCUFNJY4AfY3kHU/edit?usp=sharing  #gid=0"",""фіз особи new!relations_name_uo""),7,FALSE)
,
)
))"),"КОЗЛОВ Юрій Олексійович")</f>
        <v>КОЗЛОВ Юрій Олексійович</v>
      </c>
      <c r="J12456" s="7" t="s">
        <v>11</v>
      </c>
    </row>
    <row r="12457" spans="1:10" ht="13.2">
      <c r="A12457" s="7">
        <v>12456</v>
      </c>
      <c r="B12457" s="7">
        <v>1</v>
      </c>
      <c r="C12457" s="7" t="s">
        <v>10</v>
      </c>
      <c r="D12457" s="7">
        <v>18036</v>
      </c>
      <c r="E12457" s="7" t="s">
        <v>11</v>
      </c>
      <c r="F12457" s="8" t="str">
        <f ca="1">IFERROR(__xludf.DUMMYFUNCTION("IF
(
C12458=""фізична особа""
,
VLOOKUP(D12458,IMPORTRANGE(""https://docs.google.com/spreadsheets/d/14Bd19lYaqBhU8_DElYkX7l4wRkHqqCUFNJY4AfY3kHU/edit?usp=sharing  #gid=0"",""фіз особи new!relations_name""),6,FALSE)
,
(IF
(
C12458=""юридична особа""
,
VLOO"&amp;"KUP(D12458,IMPORTRANGE(""https://docs.google.com/spreadsheets/d/14Bd19lYaqBhU8_DElYkX7l4wRkHqqCUFNJY4AfY3kHU/edit?usp=sharing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57" s="7" t="s">
        <v>10</v>
      </c>
      <c r="H12457" s="7">
        <v>18026</v>
      </c>
      <c r="I12457" s="8" t="str">
        <f ca="1">IFERROR(__xludf.DUMMYFUNCTION("IF
(
G12458=""фізична особа""
,
VLOOKUP(H12458,IMPORTRANGE(""https://docs.google.com/spreadsheets/d/14Bd19lYaqBhU8_DElYkX7l4wRkHqqCUFNJY4AfY3kHU/edit?usp=sharing  #gid=0"",""фіз особи new!relations_name""),6,FALSE)
,
(IF
(
G12458=""юридична особа""
,
VLOO"&amp;"KUP(H12458,IMPORTRANGE(""https://docs.google.com/spreadsheets/d/14Bd19lYaqBhU8_DElYkX7l4wRkHqqCUFNJY4AfY3kHU/edit?usp=sharing  #gid=0"",""фіз особи new!relations_name_uo""),7,FALSE)
,
)
))"),"КОЧЕЛАЄВ Володимир Андрійович")</f>
        <v>КОЧЕЛАЄВ Володимир Андрійович</v>
      </c>
      <c r="J12457" s="7" t="s">
        <v>11</v>
      </c>
    </row>
    <row r="12458" spans="1:10" ht="13.2">
      <c r="A12458" s="7">
        <v>12457</v>
      </c>
      <c r="B12458" s="7">
        <v>1</v>
      </c>
      <c r="C12458" s="7" t="s">
        <v>10</v>
      </c>
      <c r="D12458" s="7">
        <v>18036</v>
      </c>
      <c r="E12458" s="7" t="s">
        <v>11</v>
      </c>
      <c r="F12458" s="8" t="str">
        <f ca="1">IFERROR(__xludf.DUMMYFUNCTION("IF
(
C12459=""фізична особа""
,
VLOOKUP(D12459,IMPORTRANGE(""https://docs.google.com/spreadsheets/d/14Bd19lYaqBhU8_DElYkX7l4wRkHqqCUFNJY4AfY3kHU/edit?usp=sharing  #gid=0"",""фіз особи new!relations_name""),6,FALSE)
,
(IF
(
C12459=""юридична особа""
,
VLOO"&amp;"KUP(D12459,IMPORTRANGE(""https://docs.google.com/spreadsheets/d/14Bd19lYaqBhU8_DElYkX7l4wRkHqqCUFNJY4AfY3kHU/edit?usp=sharing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58" s="7" t="s">
        <v>10</v>
      </c>
      <c r="H12458" s="7">
        <v>18027</v>
      </c>
      <c r="I12458" s="8" t="str">
        <f ca="1">IFERROR(__xludf.DUMMYFUNCTION("IF
(
G12459=""фізична особа""
,
VLOOKUP(H12459,IMPORTRANGE(""https://docs.google.com/spreadsheets/d/14Bd19lYaqBhU8_DElYkX7l4wRkHqqCUFNJY4AfY3kHU/edit?usp=sharing  #gid=0"",""фіз особи new!relations_name""),6,FALSE)
,
(IF
(
G12459=""юридична особа""
,
VLOO"&amp;"KUP(H12459,IMPORTRANGE(""https://docs.google.com/spreadsheets/d/14Bd19lYaqBhU8_DElYkX7l4wRkHqqCUFNJY4AfY3kHU/edit?usp=sharing  #gid=0"",""фіз особи new!relations_name_uo""),7,FALSE)
,
)
))"),"ЄСІН Андрій Миколайович")</f>
        <v>ЄСІН Андрій Миколайович</v>
      </c>
      <c r="J12458" s="7" t="s">
        <v>11</v>
      </c>
    </row>
    <row r="12459" spans="1:10" ht="13.2">
      <c r="A12459" s="7">
        <v>12458</v>
      </c>
      <c r="B12459" s="7">
        <v>1</v>
      </c>
      <c r="C12459" s="7" t="s">
        <v>10</v>
      </c>
      <c r="D12459" s="7">
        <v>18036</v>
      </c>
      <c r="E12459" s="7" t="s">
        <v>11</v>
      </c>
      <c r="F12459" s="8" t="str">
        <f ca="1">IFERROR(__xludf.DUMMYFUNCTION("IF
(
C12460=""фізична особа""
,
VLOOKUP(D12460,IMPORTRANGE(""https://docs.google.com/spreadsheets/d/14Bd19lYaqBhU8_DElYkX7l4wRkHqqCUFNJY4AfY3kHU/edit?usp=sharing  #gid=0"",""фіз особи new!relations_name""),6,FALSE)
,
(IF
(
C12460=""юридична особа""
,
VLOO"&amp;"KUP(D12460,IMPORTRANGE(""https://docs.google.com/spreadsheets/d/14Bd19lYaqBhU8_DElYkX7l4wRkHqqCUFNJY4AfY3kHU/edit?usp=sharing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59" s="7" t="s">
        <v>10</v>
      </c>
      <c r="H12459" s="7">
        <v>18028</v>
      </c>
      <c r="I12459" s="8" t="str">
        <f ca="1">IFERROR(__xludf.DUMMYFUNCTION("IF
(
G12460=""фізична особа""
,
VLOOKUP(H12460,IMPORTRANGE(""https://docs.google.com/spreadsheets/d/14Bd19lYaqBhU8_DElYkX7l4wRkHqqCUFNJY4AfY3kHU/edit?usp=sharing  #gid=0"",""фіз особи new!relations_name""),6,FALSE)
,
(IF
(
G12460=""юридична особа""
,
VLOO"&amp;"KUP(H12460,IMPORTRANGE(""https://docs.google.com/spreadsheets/d/14Bd19lYaqBhU8_DElYkX7l4wRkHqqCUFNJY4AfY3kHU/edit?usp=sharing  #gid=0"",""фіз особи new!relations_name_uo""),7,FALSE)
,
)
))"),"ГНІДАШ Сергій Олексійович")</f>
        <v>ГНІДАШ Сергій Олексійович</v>
      </c>
      <c r="J12459" s="7" t="s">
        <v>11</v>
      </c>
    </row>
    <row r="12460" spans="1:10" ht="13.2">
      <c r="A12460" s="7">
        <v>12459</v>
      </c>
      <c r="B12460" s="7">
        <v>1</v>
      </c>
      <c r="C12460" s="7" t="s">
        <v>10</v>
      </c>
      <c r="D12460" s="7">
        <v>18036</v>
      </c>
      <c r="E12460" s="7" t="s">
        <v>11</v>
      </c>
      <c r="F12460" s="8" t="str">
        <f ca="1">IFERROR(__xludf.DUMMYFUNCTION("IF
(
C12461=""фізична особа""
,
VLOOKUP(D12461,IMPORTRANGE(""https://docs.google.com/spreadsheets/d/14Bd19lYaqBhU8_DElYkX7l4wRkHqqCUFNJY4AfY3kHU/edit?usp=sharing  #gid=0"",""фіз особи new!relations_name""),6,FALSE)
,
(IF
(
C12461=""юридична особа""
,
VLOO"&amp;"KUP(D12461,IMPORTRANGE(""https://docs.google.com/spreadsheets/d/14Bd19lYaqBhU8_DElYkX7l4wRkHqqCUFNJY4AfY3kHU/edit?usp=sharing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0" s="7" t="s">
        <v>10</v>
      </c>
      <c r="H12460" s="7">
        <v>18029</v>
      </c>
      <c r="I12460" s="8" t="str">
        <f ca="1">IFERROR(__xludf.DUMMYFUNCTION("IF
(
G12461=""фізична особа""
,
VLOOKUP(H12461,IMPORTRANGE(""https://docs.google.com/spreadsheets/d/14Bd19lYaqBhU8_DElYkX7l4wRkHqqCUFNJY4AfY3kHU/edit?usp=sharing  #gid=0"",""фіз особи new!relations_name""),6,FALSE)
,
(IF
(
G12461=""юридична особа""
,
VLOO"&amp;"KUP(H12461,IMPORTRANGE(""https://docs.google.com/spreadsheets/d/14Bd19lYaqBhU8_DElYkX7l4wRkHqqCUFNJY4AfY3kHU/edit?usp=sharing  #gid=0"",""фіз особи new!relations_name_uo""),7,FALSE)
,
)
))"),"ГУДІНА Олена Юріївна")</f>
        <v>ГУДІНА Олена Юріївна</v>
      </c>
      <c r="J12460" s="7" t="s">
        <v>11</v>
      </c>
    </row>
    <row r="12461" spans="1:10" ht="13.2">
      <c r="A12461" s="7">
        <v>12460</v>
      </c>
      <c r="B12461" s="7">
        <v>1</v>
      </c>
      <c r="C12461" s="7" t="s">
        <v>10</v>
      </c>
      <c r="D12461" s="7">
        <v>18036</v>
      </c>
      <c r="E12461" s="7" t="s">
        <v>11</v>
      </c>
      <c r="F12461" s="8" t="str">
        <f ca="1">IFERROR(__xludf.DUMMYFUNCTION("IF
(
C12462=""фізична особа""
,
VLOOKUP(D12462,IMPORTRANGE(""https://docs.google.com/spreadsheets/d/14Bd19lYaqBhU8_DElYkX7l4wRkHqqCUFNJY4AfY3kHU/edit?usp=sharing  #gid=0"",""фіз особи new!relations_name""),6,FALSE)
,
(IF
(
C12462=""юридична особа""
,
VLOO"&amp;"KUP(D12462,IMPORTRANGE(""https://docs.google.com/spreadsheets/d/14Bd19lYaqBhU8_DElYkX7l4wRkHqqCUFNJY4AfY3kHU/edit?usp=sharing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1" s="7" t="s">
        <v>10</v>
      </c>
      <c r="H12461" s="7">
        <v>18030</v>
      </c>
      <c r="I12461" s="8" t="str">
        <f ca="1">IFERROR(__xludf.DUMMYFUNCTION("IF
(
G12462=""фізична особа""
,
VLOOKUP(H12462,IMPORTRANGE(""https://docs.google.com/spreadsheets/d/14Bd19lYaqBhU8_DElYkX7l4wRkHqqCUFNJY4AfY3kHU/edit?usp=sharing  #gid=0"",""фіз особи new!relations_name""),6,FALSE)
,
(IF
(
G12462=""юридична особа""
,
VLOO"&amp;"KUP(H12462,IMPORTRANGE(""https://docs.google.com/spreadsheets/d/14Bd19lYaqBhU8_DElYkX7l4wRkHqqCUFNJY4AfY3kHU/edit?usp=sharing  #gid=0"",""фіз особи new!relations_name_uo""),7,FALSE)
,
)
))"),"ДЖОН Кріст Петров")</f>
        <v>ДЖОН Кріст Петров</v>
      </c>
      <c r="J12461" s="7" t="s">
        <v>11</v>
      </c>
    </row>
    <row r="12462" spans="1:10" ht="13.2">
      <c r="A12462" s="7">
        <v>12461</v>
      </c>
      <c r="B12462" s="7">
        <v>1</v>
      </c>
      <c r="C12462" s="7" t="s">
        <v>10</v>
      </c>
      <c r="D12462" s="7">
        <v>18036</v>
      </c>
      <c r="E12462" s="7" t="s">
        <v>11</v>
      </c>
      <c r="F12462" s="8" t="str">
        <f ca="1">IFERROR(__xludf.DUMMYFUNCTION("IF
(
C12463=""фізична особа""
,
VLOOKUP(D12463,IMPORTRANGE(""https://docs.google.com/spreadsheets/d/14Bd19lYaqBhU8_DElYkX7l4wRkHqqCUFNJY4AfY3kHU/edit?usp=sharing  #gid=0"",""фіз особи new!relations_name""),6,FALSE)
,
(IF
(
C12463=""юридична особа""
,
VLOO"&amp;"KUP(D12463,IMPORTRANGE(""https://docs.google.com/spreadsheets/d/14Bd19lYaqBhU8_DElYkX7l4wRkHqqCUFNJY4AfY3kHU/edit?usp=sharing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2" s="7" t="s">
        <v>10</v>
      </c>
      <c r="H12462" s="7">
        <v>18031</v>
      </c>
      <c r="I12462" s="8" t="str">
        <f ca="1">IFERROR(__xludf.DUMMYFUNCTION("IF
(
G12463=""фізична особа""
,
VLOOKUP(H12463,IMPORTRANGE(""https://docs.google.com/spreadsheets/d/14Bd19lYaqBhU8_DElYkX7l4wRkHqqCUFNJY4AfY3kHU/edit?usp=sharing  #gid=0"",""фіз особи new!relations_name""),6,FALSE)
,
(IF
(
G12463=""юридична особа""
,
VLOO"&amp;"KUP(H12463,IMPORTRANGE(""https://docs.google.com/spreadsheets/d/14Bd19lYaqBhU8_DElYkX7l4wRkHqqCUFNJY4AfY3kHU/edit?usp=sharing  #gid=0"",""фіз особи new!relations_name_uo""),7,FALSE)
,
)
))"),"ПІЧУГІН Ігор Анатолійович")</f>
        <v>ПІЧУГІН Ігор Анатолійович</v>
      </c>
      <c r="J12462" s="7" t="s">
        <v>11</v>
      </c>
    </row>
    <row r="12463" spans="1:10" ht="13.2">
      <c r="A12463" s="7">
        <v>12462</v>
      </c>
      <c r="B12463" s="7">
        <v>1</v>
      </c>
      <c r="C12463" s="7" t="s">
        <v>10</v>
      </c>
      <c r="D12463" s="7">
        <v>18036</v>
      </c>
      <c r="E12463" s="7" t="s">
        <v>11</v>
      </c>
      <c r="F12463" s="8" t="str">
        <f ca="1">IFERROR(__xludf.DUMMYFUNCTION("IF
(
C12464=""фізична особа""
,
VLOOKUP(D12464,IMPORTRANGE(""https://docs.google.com/spreadsheets/d/14Bd19lYaqBhU8_DElYkX7l4wRkHqqCUFNJY4AfY3kHU/edit?usp=sharing  #gid=0"",""фіз особи new!relations_name""),6,FALSE)
,
(IF
(
C12464=""юридична особа""
,
VLOO"&amp;"KUP(D12464,IMPORTRANGE(""https://docs.google.com/spreadsheets/d/14Bd19lYaqBhU8_DElYkX7l4wRkHqqCUFNJY4AfY3kHU/edit?usp=sharing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3" s="7" t="s">
        <v>10</v>
      </c>
      <c r="H12463" s="7">
        <v>18032</v>
      </c>
      <c r="I12463" s="8" t="str">
        <f ca="1">IFERROR(__xludf.DUMMYFUNCTION("IF
(
G12464=""фізична особа""
,
VLOOKUP(H12464,IMPORTRANGE(""https://docs.google.com/spreadsheets/d/14Bd19lYaqBhU8_DElYkX7l4wRkHqqCUFNJY4AfY3kHU/edit?usp=sharing  #gid=0"",""фіз особи new!relations_name""),6,FALSE)
,
(IF
(
G12464=""юридична особа""
,
VLOO"&amp;"KUP(H12464,IMPORTRANGE(""https://docs.google.com/spreadsheets/d/14Bd19lYaqBhU8_DElYkX7l4wRkHqqCUFNJY4AfY3kHU/edit?usp=sharing  #gid=0"",""фіз особи new!relations_name_uo""),7,FALSE)
,
)
))"),"ПІНАЄВ Юрій Григорович")</f>
        <v>ПІНАЄВ Юрій Григорович</v>
      </c>
      <c r="J12463" s="7" t="s">
        <v>11</v>
      </c>
    </row>
    <row r="12464" spans="1:10" ht="13.2">
      <c r="A12464" s="7">
        <v>12463</v>
      </c>
      <c r="B12464" s="7">
        <v>1</v>
      </c>
      <c r="C12464" s="7" t="s">
        <v>10</v>
      </c>
      <c r="D12464" s="7">
        <v>18036</v>
      </c>
      <c r="E12464" s="7" t="s">
        <v>11</v>
      </c>
      <c r="F12464" s="8" t="str">
        <f ca="1">IFERROR(__xludf.DUMMYFUNCTION("IF
(
C12465=""фізична особа""
,
VLOOKUP(D12465,IMPORTRANGE(""https://docs.google.com/spreadsheets/d/14Bd19lYaqBhU8_DElYkX7l4wRkHqqCUFNJY4AfY3kHU/edit?usp=sharing  #gid=0"",""фіз особи new!relations_name""),6,FALSE)
,
(IF
(
C12465=""юридична особа""
,
VLOO"&amp;"KUP(D12465,IMPORTRANGE(""https://docs.google.com/spreadsheets/d/14Bd19lYaqBhU8_DElYkX7l4wRkHqqCUFNJY4AfY3kHU/edit?usp=sharing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4" s="7" t="s">
        <v>10</v>
      </c>
      <c r="H12464" s="7">
        <v>18033</v>
      </c>
      <c r="I12464" s="8" t="str">
        <f ca="1">IFERROR(__xludf.DUMMYFUNCTION("IF
(
G12465=""фізична особа""
,
VLOOKUP(H12465,IMPORTRANGE(""https://docs.google.com/spreadsheets/d/14Bd19lYaqBhU8_DElYkX7l4wRkHqqCUFNJY4AfY3kHU/edit?usp=sharing  #gid=0"",""фіз особи new!relations_name""),6,FALSE)
,
(IF
(
G12465=""юридична особа""
,
VLOO"&amp;"KUP(H12465,IMPORTRANGE(""https://docs.google.com/spreadsheets/d/14Bd19lYaqBhU8_DElYkX7l4wRkHqqCUFNJY4AfY3kHU/edit?usp=sharing  #gid=0"",""фіз особи new!relations_name_uo""),7,FALSE)
,
)
))"),"РЕМЕННИК Яків Львович")</f>
        <v>РЕМЕННИК Яків Львович</v>
      </c>
      <c r="J12464" s="7" t="s">
        <v>11</v>
      </c>
    </row>
    <row r="12465" spans="1:10" ht="13.2">
      <c r="A12465" s="7">
        <v>12464</v>
      </c>
      <c r="B12465" s="7">
        <v>1</v>
      </c>
      <c r="C12465" s="7" t="s">
        <v>10</v>
      </c>
      <c r="D12465" s="7">
        <v>18036</v>
      </c>
      <c r="E12465" s="7" t="s">
        <v>11</v>
      </c>
      <c r="F12465" s="8" t="str">
        <f ca="1">IFERROR(__xludf.DUMMYFUNCTION("IF
(
C12466=""фізична особа""
,
VLOOKUP(D12466,IMPORTRANGE(""https://docs.google.com/spreadsheets/d/14Bd19lYaqBhU8_DElYkX7l4wRkHqqCUFNJY4AfY3kHU/edit?usp=sharing  #gid=0"",""фіз особи new!relations_name""),6,FALSE)
,
(IF
(
C12466=""юридична особа""
,
VLOO"&amp;"KUP(D12466,IMPORTRANGE(""https://docs.google.com/spreadsheets/d/14Bd19lYaqBhU8_DElYkX7l4wRkHqqCUFNJY4AfY3kHU/edit?usp=sharing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5" s="7" t="s">
        <v>10</v>
      </c>
      <c r="H12465" s="7">
        <v>18034</v>
      </c>
      <c r="I12465" s="8" t="str">
        <f ca="1">IFERROR(__xludf.DUMMYFUNCTION("IF
(
G12466=""фізична особа""
,
VLOOKUP(H12466,IMPORTRANGE(""https://docs.google.com/spreadsheets/d/14Bd19lYaqBhU8_DElYkX7l4wRkHqqCUFNJY4AfY3kHU/edit?usp=sharing  #gid=0"",""фіз особи new!relations_name""),6,FALSE)
,
(IF
(
G12466=""юридична особа""
,
VLOO"&amp;"KUP(H12466,IMPORTRANGE(""https://docs.google.com/spreadsheets/d/14Bd19lYaqBhU8_DElYkX7l4wRkHqqCUFNJY4AfY3kHU/edit?usp=sharing  #gid=0"",""фіз особи new!relations_name_uo""),7,FALSE)
,
)
))"),"ШІТТО Томас Сідней")</f>
        <v>ШІТТО Томас Сідней</v>
      </c>
      <c r="J12465" s="7" t="s">
        <v>11</v>
      </c>
    </row>
    <row r="12466" spans="1:10" ht="13.2">
      <c r="A12466" s="7">
        <v>12465</v>
      </c>
      <c r="B12466" s="7">
        <v>1</v>
      </c>
      <c r="C12466" s="7" t="s">
        <v>10</v>
      </c>
      <c r="D12466" s="7">
        <v>18036</v>
      </c>
      <c r="E12466" s="7" t="s">
        <v>11</v>
      </c>
      <c r="F12466" s="8" t="str">
        <f ca="1">IFERROR(__xludf.DUMMYFUNCTION("IF
(
C12467=""фізична особа""
,
VLOOKUP(D12467,IMPORTRANGE(""https://docs.google.com/spreadsheets/d/14Bd19lYaqBhU8_DElYkX7l4wRkHqqCUFNJY4AfY3kHU/edit?usp=sharing  #gid=0"",""фіз особи new!relations_name""),6,FALSE)
,
(IF
(
C12467=""юридична особа""
,
VLOO"&amp;"KUP(D12467,IMPORTRANGE(""https://docs.google.com/spreadsheets/d/14Bd19lYaqBhU8_DElYkX7l4wRkHqqCUFNJY4AfY3kHU/edit?usp=sharing  #gid=0"",""фіз особи new!relations_name_uo""),7,FALSE)
,
)
))"),"УЛЬЯНОВ Борис Григорович")</f>
        <v>УЛЬЯНОВ Борис Григорович</v>
      </c>
      <c r="G12466" s="7" t="s">
        <v>10</v>
      </c>
      <c r="H12466" s="7">
        <v>18035</v>
      </c>
      <c r="I12466" s="8" t="str">
        <f ca="1">IFERROR(__xludf.DUMMYFUNCTION("IF
(
G12467=""фізична особа""
,
VLOOKUP(H12467,IMPORTRANGE(""https://docs.google.com/spreadsheets/d/14Bd19lYaqBhU8_DElYkX7l4wRkHqqCUFNJY4AfY3kHU/edit?usp=sharing  #gid=0"",""фіз особи new!relations_name""),6,FALSE)
,
(IF
(
G12467=""юридична особа""
,
VLOO"&amp;"KUP(H12467,IMPORTRANGE(""https://docs.google.com/spreadsheets/d/14Bd19lYaqBhU8_DElYkX7l4wRkHqqCUFNJY4AfY3kHU/edit?usp=sharing  #gid=0"",""фіз особи new!relations_name_uo""),7,FALSE)
,
)
))"),"ШУМАХЕР Лео")</f>
        <v>ШУМАХЕР Лео</v>
      </c>
      <c r="J12466" s="7" t="s">
        <v>11</v>
      </c>
    </row>
    <row r="12467" spans="1:10" ht="13.2">
      <c r="A12467" s="7">
        <v>12466</v>
      </c>
      <c r="B12467" s="7">
        <v>1</v>
      </c>
      <c r="C12467" s="7" t="s">
        <v>10</v>
      </c>
      <c r="D12467" s="7">
        <v>18037</v>
      </c>
      <c r="E12467" s="7" t="s">
        <v>11</v>
      </c>
      <c r="F12467" s="8" t="str">
        <f ca="1">IFERROR(__xludf.DUMMYFUNCTION("IF
(
C12468=""фізична особа""
,
VLOOKUP(D12468,IMPORTRANGE(""https://docs.google.com/spreadsheets/d/14Bd19lYaqBhU8_DElYkX7l4wRkHqqCUFNJY4AfY3kHU/edit?usp=sharing  #gid=0"",""фіз особи new!relations_name""),6,FALSE)
,
(IF
(
C12468=""юридична особа""
,
VLOO"&amp;"KUP(D12468,IMPORTRANGE(""https://docs.google.com/spreadsheets/d/14Bd19lYaqBhU8_DElYkX7l4wRkHqqCUFNJY4AfY3kHU/edit?usp=sharing  #gid=0"",""фіз особи new!relations_name_uo""),7,FALSE)
,
)
))"),"ВЕГНЕР Володимир Райнольдович")</f>
        <v>ВЕГНЕР Володимир Райнольдович</v>
      </c>
      <c r="G12467" s="7" t="s">
        <v>10</v>
      </c>
      <c r="H12467" s="7">
        <v>17141</v>
      </c>
      <c r="I12467" s="8" t="str">
        <f ca="1">IFERROR(__xludf.DUMMYFUNCTION("IF
(
G12468=""фізична особа""
,
VLOOKUP(H12468,IMPORTRANGE(""https://docs.google.com/spreadsheets/d/14Bd19lYaqBhU8_DElYkX7l4wRkHqqCUFNJY4AfY3kHU/edit?usp=sharing  #gid=0"",""фіз особи new!relations_name""),6,FALSE)
,
(IF
(
G12468=""юридична особа""
,
VLOO"&amp;"KUP(H12468,IMPORTRANGE(""https://docs.google.com/spreadsheets/d/14Bd19lYaqBhU8_DElYkX7l4wRkHqqCUFNJY4AfY3kHU/edit?usp=sharing  #gid=0"",""фіз особи new!relations_name_uo""),7,FALSE)
,
)
))"),"НІКОЛАЄВ Дмитро Миколайович")</f>
        <v>НІКОЛАЄВ Дмитро Миколайович</v>
      </c>
      <c r="J12467" s="7" t="s">
        <v>11</v>
      </c>
    </row>
    <row r="12468" spans="1:10" ht="13.2">
      <c r="A12468" s="7">
        <v>12467</v>
      </c>
      <c r="B12468" s="7">
        <v>1</v>
      </c>
      <c r="C12468" s="7" t="s">
        <v>10</v>
      </c>
      <c r="D12468" s="7">
        <v>18038</v>
      </c>
      <c r="E12468" s="7" t="s">
        <v>11</v>
      </c>
      <c r="F12468" s="8" t="str">
        <f ca="1">IFERROR(__xludf.DUMMYFUNCTION("IF
(
C12469=""фізична особа""
,
VLOOKUP(D12469,IMPORTRANGE(""https://docs.google.com/spreadsheets/d/14Bd19lYaqBhU8_DElYkX7l4wRkHqqCUFNJY4AfY3kHU/edit?usp=sharing  #gid=0"",""фіз особи new!relations_name""),6,FALSE)
,
(IF
(
C12469=""юридична особа""
,
VLOO"&amp;"KUP(D12469,IMPORTRANGE(""https://docs.google.com/spreadsheets/d/14Bd19lYaqBhU8_DElYkX7l4wRkHqqCUFNJY4AfY3kHU/edit?usp=sharing  #gid=0"",""фіз особи new!relations_name_uo""),7,FALSE)
,
)
))"),"ДМИТРІЄВ Руслан Петрович")</f>
        <v>ДМИТРІЄВ Руслан Петрович</v>
      </c>
      <c r="G12468" s="7" t="s">
        <v>10</v>
      </c>
      <c r="H12468" s="7">
        <v>18039</v>
      </c>
      <c r="I12468" s="8" t="str">
        <f ca="1">IFERROR(__xludf.DUMMYFUNCTION("IF
(
G12469=""фізична особа""
,
VLOOKUP(H12469,IMPORTRANGE(""https://docs.google.com/spreadsheets/d/14Bd19lYaqBhU8_DElYkX7l4wRkHqqCUFNJY4AfY3kHU/edit?usp=sharing  #gid=0"",""фіз особи new!relations_name""),6,FALSE)
,
(IF
(
G12469=""юридична особа""
,
VLOO"&amp;"KUP(H12469,IMPORTRANGE(""https://docs.google.com/spreadsheets/d/14Bd19lYaqBhU8_DElYkX7l4wRkHqqCUFNJY4AfY3kHU/edit?usp=sharing  #gid=0"",""фіз особи new!relations_name_uo""),7,FALSE)
,
)
))"),"ЗАНГЄЄВ Ілля Борисович")</f>
        <v>ЗАНГЄЄВ Ілля Борисович</v>
      </c>
      <c r="J12468" s="7" t="s">
        <v>11</v>
      </c>
    </row>
    <row r="12469" spans="1:10" ht="13.2">
      <c r="A12469" s="7">
        <v>12468</v>
      </c>
      <c r="B12469" s="7">
        <v>1</v>
      </c>
      <c r="C12469" s="7" t="s">
        <v>10</v>
      </c>
      <c r="D12469" s="7">
        <v>18039</v>
      </c>
      <c r="E12469" s="7" t="s">
        <v>11</v>
      </c>
      <c r="F12469" s="8" t="str">
        <f ca="1">IFERROR(__xludf.DUMMYFUNCTION("IF
(
C12470=""фізична особа""
,
VLOOKUP(D12470,IMPORTRANGE(""https://docs.google.com/spreadsheets/d/14Bd19lYaqBhU8_DElYkX7l4wRkHqqCUFNJY4AfY3kHU/edit?usp=sharing  #gid=0"",""фіз особи new!relations_name""),6,FALSE)
,
(IF
(
C12470=""юридична особа""
,
VLOO"&amp;"KUP(D12470,IMPORTRANGE(""https://docs.google.com/spreadsheets/d/14Bd19lYaqBhU8_DElYkX7l4wRkHqqCUFNJY4AfY3kHU/edit?usp=sharing  #gid=0"",""фіз особи new!relations_name_uo""),7,FALSE)
,
)
))"),"ЗАНГЄЄВ Ілля Борисович")</f>
        <v>ЗАНГЄЄВ Ілля Борисович</v>
      </c>
      <c r="G12469" s="7" t="s">
        <v>10</v>
      </c>
      <c r="H12469" s="7">
        <v>18038</v>
      </c>
      <c r="I12469" s="8" t="str">
        <f ca="1">IFERROR(__xludf.DUMMYFUNCTION("IF
(
G12470=""фізична особа""
,
VLOOKUP(H12470,IMPORTRANGE(""https://docs.google.com/spreadsheets/d/14Bd19lYaqBhU8_DElYkX7l4wRkHqqCUFNJY4AfY3kHU/edit?usp=sharing  #gid=0"",""фіз особи new!relations_name""),6,FALSE)
,
(IF
(
G12470=""юридична особа""
,
VLOO"&amp;"KUP(H12470,IMPORTRANGE(""https://docs.google.com/spreadsheets/d/14Bd19lYaqBhU8_DElYkX7l4wRkHqqCUFNJY4AfY3kHU/edit?usp=sharing  #gid=0"",""фіз особи new!relations_name_uo""),7,FALSE)
,
)
))"),"ДМИТРІЄВ Руслан Петрович")</f>
        <v>ДМИТРІЄВ Руслан Петрович</v>
      </c>
      <c r="J12469" s="7" t="s">
        <v>11</v>
      </c>
    </row>
    <row r="12470" spans="1:10" ht="13.2">
      <c r="A12470" s="7">
        <v>12469</v>
      </c>
      <c r="B12470" s="7">
        <v>1</v>
      </c>
      <c r="C12470" s="7" t="s">
        <v>10</v>
      </c>
      <c r="D12470" s="7">
        <v>18040</v>
      </c>
      <c r="E12470" s="7" t="s">
        <v>11</v>
      </c>
      <c r="F12470" s="8" t="str">
        <f ca="1">IFERROR(__xludf.DUMMYFUNCTION("IF
(
C12471=""фізична особа""
,
VLOOKUP(D12471,IMPORTRANGE(""https://docs.google.com/spreadsheets/d/14Bd19lYaqBhU8_DElYkX7l4wRkHqqCUFNJY4AfY3kHU/edit?usp=sharing  #gid=0"",""фіз особи new!relations_name""),6,FALSE)
,
(IF
(
C12471=""юридична особа""
,
VLOO"&amp;"KUP(D12471,IMPORTRANGE(""https://docs.google.com/spreadsheets/d/14Bd19lYaqBhU8_DElYkX7l4wRkHqqCUFNJY4AfY3kHU/edit?usp=sharing  #gid=0"",""фіз особи new!relations_name_uo""),7,FALSE)
,
)
))"),"СТОЛЯРОВ Максим Іванович")</f>
        <v>СТОЛЯРОВ Максим Іванович</v>
      </c>
      <c r="G12470" s="7" t="s">
        <v>10</v>
      </c>
      <c r="H12470" s="7">
        <v>965</v>
      </c>
      <c r="I12470" s="8" t="str">
        <f ca="1">IFERROR(__xludf.DUMMYFUNCTION("IF
(
G12471=""фізична особа""
,
VLOOKUP(H12471,IMPORTRANGE(""https://docs.google.com/spreadsheets/d/14Bd19lYaqBhU8_DElYkX7l4wRkHqqCUFNJY4AfY3kHU/edit?usp=sharing  #gid=0"",""фіз особи new!relations_name""),6,FALSE)
,
(IF
(
G12471=""юридична особа""
,
VLOO"&amp;"KUP(H12471,IMPORTRANGE(""https://docs.google.com/spreadsheets/d/14Bd19lYaqBhU8_DElYkX7l4wRkHqqCUFNJY4AfY3kHU/edit?usp=sharing  #gid=0"",""фіз особи new!relations_name_uo""),7,FALSE)
,
)
))"),"МОРДАШОВ Олексій Олександрович")</f>
        <v>МОРДАШОВ Олексій Олександрович</v>
      </c>
      <c r="J12470" s="7" t="s">
        <v>11</v>
      </c>
    </row>
    <row r="12471" spans="1:10" ht="13.2">
      <c r="A12471" s="7">
        <v>12470</v>
      </c>
      <c r="B12471" s="7">
        <v>1</v>
      </c>
      <c r="C12471" s="7" t="s">
        <v>10</v>
      </c>
      <c r="D12471" s="7">
        <v>18042</v>
      </c>
      <c r="E12471" s="7" t="s">
        <v>11</v>
      </c>
      <c r="F12471" s="8" t="str">
        <f ca="1">IFERROR(__xludf.DUMMYFUNCTION("IF
(
C12472=""фізична особа""
,
VLOOKUP(D12472,IMPORTRANGE(""https://docs.google.com/spreadsheets/d/14Bd19lYaqBhU8_DElYkX7l4wRkHqqCUFNJY4AfY3kHU/edit?usp=sharing  #gid=0"",""фіз особи new!relations_name""),6,FALSE)
,
(IF
(
C12472=""юридична особа""
,
VLOO"&amp;"KUP(D12472,IMPORTRANGE(""https://docs.google.com/spreadsheets/d/14Bd19lYaqBhU8_DElYkX7l4wRkHqqCUFNJY4AfY3kHU/edit?usp=sharing  #gid=0"",""фіз особи new!relations_name_uo""),7,FALSE)
,
)
))"),"БАСКОВ Дмитро Борисович")</f>
        <v>БАСКОВ Дмитро Борисович</v>
      </c>
      <c r="G12471" s="7" t="s">
        <v>10</v>
      </c>
      <c r="H12471" s="7">
        <v>18043</v>
      </c>
      <c r="I12471" s="8" t="str">
        <f ca="1">IFERROR(__xludf.DUMMYFUNCTION("IF
(
G12472=""фізична особа""
,
VLOOKUP(H12472,IMPORTRANGE(""https://docs.google.com/spreadsheets/d/14Bd19lYaqBhU8_DElYkX7l4wRkHqqCUFNJY4AfY3kHU/edit?usp=sharing  #gid=0"",""фіз особи new!relations_name""),6,FALSE)
,
(IF
(
G12472=""юридична особа""
,
VLOO"&amp;"KUP(H12472,IMPORTRANGE(""https://docs.google.com/spreadsheets/d/14Bd19lYaqBhU8_DElYkX7l4wRkHqqCUFNJY4AfY3kHU/edit?usp=sharing  #gid=0"",""фіз особи new!relations_name_uo""),7,FALSE)
,
)
))"),"БАСКОВ В'ячеслав Дмитрович")</f>
        <v>БАСКОВ В'ячеслав Дмитрович</v>
      </c>
      <c r="J12471" s="7" t="s">
        <v>11</v>
      </c>
    </row>
    <row r="12472" spans="1:10" ht="13.2">
      <c r="A12472" s="7">
        <v>12471</v>
      </c>
      <c r="B12472" s="7">
        <v>1</v>
      </c>
      <c r="C12472" s="7" t="s">
        <v>10</v>
      </c>
      <c r="D12472" s="7">
        <v>18043</v>
      </c>
      <c r="E12472" s="7" t="s">
        <v>11</v>
      </c>
      <c r="F12472" s="8" t="str">
        <f ca="1">IFERROR(__xludf.DUMMYFUNCTION("IF
(
C12473=""фізична особа""
,
VLOOKUP(D12473,IMPORTRANGE(""https://docs.google.com/spreadsheets/d/14Bd19lYaqBhU8_DElYkX7l4wRkHqqCUFNJY4AfY3kHU/edit?usp=sharing  #gid=0"",""фіз особи new!relations_name""),6,FALSE)
,
(IF
(
C12473=""юридична особа""
,
VLOO"&amp;"KUP(D12473,IMPORTRANGE(""https://docs.google.com/spreadsheets/d/14Bd19lYaqBhU8_DElYkX7l4wRkHqqCUFNJY4AfY3kHU/edit?usp=sharing  #gid=0"",""фіз особи new!relations_name_uo""),7,FALSE)
,
)
))"),"БАСКОВ В'ячеслав Дмитрович")</f>
        <v>БАСКОВ В'ячеслав Дмитрович</v>
      </c>
      <c r="G12472" s="7" t="s">
        <v>10</v>
      </c>
      <c r="H12472" s="7">
        <v>18042</v>
      </c>
      <c r="I12472" s="8" t="str">
        <f ca="1">IFERROR(__xludf.DUMMYFUNCTION("IF
(
G12473=""фізична особа""
,
VLOOKUP(H12473,IMPORTRANGE(""https://docs.google.com/spreadsheets/d/14Bd19lYaqBhU8_DElYkX7l4wRkHqqCUFNJY4AfY3kHU/edit?usp=sharing  #gid=0"",""фіз особи new!relations_name""),6,FALSE)
,
(IF
(
G12473=""юридична особа""
,
VLOO"&amp;"KUP(H12473,IMPORTRANGE(""https://docs.google.com/spreadsheets/d/14Bd19lYaqBhU8_DElYkX7l4wRkHqqCUFNJY4AfY3kHU/edit?usp=sharing  #gid=0"",""фіз особи new!relations_name_uo""),7,FALSE)
,
)
))"),"БАСКОВ Дмитро Борисович")</f>
        <v>БАСКОВ Дмитро Борисович</v>
      </c>
      <c r="J12472" s="7" t="s">
        <v>11</v>
      </c>
    </row>
    <row r="12473" spans="1:10" ht="13.2">
      <c r="A12473" s="7">
        <v>12472</v>
      </c>
      <c r="B12473" s="7">
        <v>1</v>
      </c>
      <c r="C12473" s="7" t="s">
        <v>10</v>
      </c>
      <c r="D12473" s="7">
        <v>18045</v>
      </c>
      <c r="E12473" s="7" t="s">
        <v>11</v>
      </c>
      <c r="F12473" s="8" t="str">
        <f ca="1">IFERROR(__xludf.DUMMYFUNCTION("IF
(
C12474=""фізична особа""
,
VLOOKUP(D12474,IMPORTRANGE(""https://docs.google.com/spreadsheets/d/14Bd19lYaqBhU8_DElYkX7l4wRkHqqCUFNJY4AfY3kHU/edit?usp=sharing  #gid=0"",""фіз особи new!relations_name""),6,FALSE)
,
(IF
(
C12474=""юридична особа""
,
VLOO"&amp;"KUP(D12474,IMPORTRANGE(""https://docs.google.com/spreadsheets/d/14Bd19lYaqBhU8_DElYkX7l4wRkHqqCUFNJY4AfY3kHU/edit?usp=sharing  #gid=0"",""фіз особи new!relations_name_uo""),7,FALSE)
,
)
))"),"АТЮНЬКІН Геннадій Матвійович")</f>
        <v>АТЮНЬКІН Геннадій Матвійович</v>
      </c>
      <c r="G12473" s="7" t="s">
        <v>10</v>
      </c>
      <c r="H12473" s="7">
        <v>18046</v>
      </c>
      <c r="I12473" s="8" t="str">
        <f ca="1">IFERROR(__xludf.DUMMYFUNCTION("IF
(
G12474=""фізична особа""
,
VLOOKUP(H12474,IMPORTRANGE(""https://docs.google.com/spreadsheets/d/14Bd19lYaqBhU8_DElYkX7l4wRkHqqCUFNJY4AfY3kHU/edit?usp=sharing  #gid=0"",""фіз особи new!relations_name""),6,FALSE)
,
(IF
(
G12474=""юридична особа""
,
VLOO"&amp;"KUP(H12474,IMPORTRANGE(""https://docs.google.com/spreadsheets/d/14Bd19lYaqBhU8_DElYkX7l4wRkHqqCUFNJY4AfY3kHU/edit?usp=sharing  #gid=0"",""фіз особи new!relations_name_uo""),7,FALSE)
,
)
))"),"АНТРОПОВ Олександр Іванович")</f>
        <v>АНТРОПОВ Олександр Іванович</v>
      </c>
      <c r="J12473" s="7" t="s">
        <v>11</v>
      </c>
    </row>
    <row r="12474" spans="1:10" ht="13.2">
      <c r="A12474" s="7">
        <v>12473</v>
      </c>
      <c r="B12474" s="7">
        <v>1</v>
      </c>
      <c r="C12474" s="7" t="s">
        <v>10</v>
      </c>
      <c r="D12474" s="7">
        <v>18046</v>
      </c>
      <c r="E12474" s="7" t="s">
        <v>11</v>
      </c>
      <c r="F12474" s="8" t="str">
        <f ca="1">IFERROR(__xludf.DUMMYFUNCTION("IF
(
C12475=""фізична особа""
,
VLOOKUP(D12475,IMPORTRANGE(""https://docs.google.com/spreadsheets/d/14Bd19lYaqBhU8_DElYkX7l4wRkHqqCUFNJY4AfY3kHU/edit?usp=sharing  #gid=0"",""фіз особи new!relations_name""),6,FALSE)
,
(IF
(
C12475=""юридична особа""
,
VLOO"&amp;"KUP(D12475,IMPORTRANGE(""https://docs.google.com/spreadsheets/d/14Bd19lYaqBhU8_DElYkX7l4wRkHqqCUFNJY4AfY3kHU/edit?usp=sharing  #gid=0"",""фіз особи new!relations_name_uo""),7,FALSE)
,
)
))"),"АНТРОПОВ Олександр Іванович")</f>
        <v>АНТРОПОВ Олександр Іванович</v>
      </c>
      <c r="G12474" s="7" t="s">
        <v>10</v>
      </c>
      <c r="H12474" s="7">
        <v>18045</v>
      </c>
      <c r="I12474" s="8" t="str">
        <f ca="1">IFERROR(__xludf.DUMMYFUNCTION("IF
(
G12475=""фізична особа""
,
VLOOKUP(H12475,IMPORTRANGE(""https://docs.google.com/spreadsheets/d/14Bd19lYaqBhU8_DElYkX7l4wRkHqqCUFNJY4AfY3kHU/edit?usp=sharing  #gid=0"",""фіз особи new!relations_name""),6,FALSE)
,
(IF
(
G12475=""юридична особа""
,
VLOO"&amp;"KUP(H12475,IMPORTRANGE(""https://docs.google.com/spreadsheets/d/14Bd19lYaqBhU8_DElYkX7l4wRkHqqCUFNJY4AfY3kHU/edit?usp=sharing  #gid=0"",""фіз особи new!relations_name_uo""),7,FALSE)
,
)
))"),"АТЮНЬКІН Геннадій Матвійович")</f>
        <v>АТЮНЬКІН Геннадій Матвійович</v>
      </c>
      <c r="J12474" s="7" t="s">
        <v>11</v>
      </c>
    </row>
    <row r="12475" spans="1:10" ht="13.2">
      <c r="A12475" s="7">
        <v>12474</v>
      </c>
      <c r="B12475" s="7">
        <v>1</v>
      </c>
      <c r="C12475" s="7" t="s">
        <v>10</v>
      </c>
      <c r="D12475" s="7">
        <v>18047</v>
      </c>
      <c r="E12475" s="7" t="s">
        <v>11</v>
      </c>
      <c r="F12475" s="8" t="str">
        <f ca="1">IFERROR(__xludf.DUMMYFUNCTION("IF
(
C12476=""фізична особа""
,
VLOOKUP(D12476,IMPORTRANGE(""https://docs.google.com/spreadsheets/d/14Bd19lYaqBhU8_DElYkX7l4wRkHqqCUFNJY4AfY3kHU/edit?usp=sharing  #gid=0"",""фіз особи new!relations_name""),6,FALSE)
,
(IF
(
C12476=""юридична особа""
,
VLOO"&amp;"KUP(D12476,IMPORTRANGE(""https://docs.google.com/spreadsheets/d/14Bd19lYaqBhU8_DElYkX7l4wRkHqqCUFNJY4AfY3kHU/edit?usp=sharing  #gid=0"",""фіз особи new!relations_name_uo""),7,FALSE)
,
)
))"),"ТУРК Хамед Кадирбечевич")</f>
        <v>ТУРК Хамед Кадирбечевич</v>
      </c>
      <c r="G12475" s="7" t="s">
        <v>10</v>
      </c>
      <c r="H12475" s="7">
        <v>18048</v>
      </c>
      <c r="I12475" s="8" t="str">
        <f ca="1">IFERROR(__xludf.DUMMYFUNCTION("IF
(
G12476=""фізична особа""
,
VLOOKUP(H12476,IMPORTRANGE(""https://docs.google.com/spreadsheets/d/14Bd19lYaqBhU8_DElYkX7l4wRkHqqCUFNJY4AfY3kHU/edit?usp=sharing  #gid=0"",""фіз особи new!relations_name""),6,FALSE)
,
(IF
(
G12476=""юридична особа""
,
VLOO"&amp;"KUP(H12476,IMPORTRANGE(""https://docs.google.com/spreadsheets/d/14Bd19lYaqBhU8_DElYkX7l4wRkHqqCUFNJY4AfY3kHU/edit?usp=sharing  #gid=0"",""фіз особи new!relations_name_uo""),7,FALSE)
,
)
))"),"КЛИМЕНКО Ольга Петрівна")</f>
        <v>КЛИМЕНКО Ольга Петрівна</v>
      </c>
      <c r="J12475" s="7" t="s">
        <v>11</v>
      </c>
    </row>
    <row r="12476" spans="1:10" ht="13.2">
      <c r="A12476" s="7">
        <v>12475</v>
      </c>
      <c r="B12476" s="7">
        <v>1</v>
      </c>
      <c r="C12476" s="7" t="s">
        <v>10</v>
      </c>
      <c r="D12476" s="7">
        <v>18048</v>
      </c>
      <c r="E12476" s="7" t="s">
        <v>11</v>
      </c>
      <c r="F12476" s="8" t="str">
        <f ca="1">IFERROR(__xludf.DUMMYFUNCTION("IF
(
C12477=""фізична особа""
,
VLOOKUP(D12477,IMPORTRANGE(""https://docs.google.com/spreadsheets/d/14Bd19lYaqBhU8_DElYkX7l4wRkHqqCUFNJY4AfY3kHU/edit?usp=sharing  #gid=0"",""фіз особи new!relations_name""),6,FALSE)
,
(IF
(
C12477=""юридична особа""
,
VLOO"&amp;"KUP(D12477,IMPORTRANGE(""https://docs.google.com/spreadsheets/d/14Bd19lYaqBhU8_DElYkX7l4wRkHqqCUFNJY4AfY3kHU/edit?usp=sharing  #gid=0"",""фіз особи new!relations_name_uo""),7,FALSE)
,
)
))"),"КЛИМЕНКО Ольга Петрівна")</f>
        <v>КЛИМЕНКО Ольга Петрівна</v>
      </c>
      <c r="G12476" s="7" t="s">
        <v>10</v>
      </c>
      <c r="H12476" s="7">
        <v>18047</v>
      </c>
      <c r="I12476" s="8" t="str">
        <f ca="1">IFERROR(__xludf.DUMMYFUNCTION("IF
(
G12477=""фізична особа""
,
VLOOKUP(H12477,IMPORTRANGE(""https://docs.google.com/spreadsheets/d/14Bd19lYaqBhU8_DElYkX7l4wRkHqqCUFNJY4AfY3kHU/edit?usp=sharing  #gid=0"",""фіз особи new!relations_name""),6,FALSE)
,
(IF
(
G12477=""юридична особа""
,
VLOO"&amp;"KUP(H12477,IMPORTRANGE(""https://docs.google.com/spreadsheets/d/14Bd19lYaqBhU8_DElYkX7l4wRkHqqCUFNJY4AfY3kHU/edit?usp=sharing  #gid=0"",""фіз особи new!relations_name_uo""),7,FALSE)
,
)
))"),"ТУРК Хамед Кадирбечевич")</f>
        <v>ТУРК Хамед Кадирбечевич</v>
      </c>
      <c r="J12476" s="7" t="s">
        <v>11</v>
      </c>
    </row>
    <row r="12477" spans="1:10" ht="13.2">
      <c r="A12477" s="7">
        <v>12476</v>
      </c>
      <c r="B12477" s="7">
        <v>1</v>
      </c>
      <c r="C12477" s="7" t="s">
        <v>10</v>
      </c>
      <c r="D12477" s="7">
        <v>18053</v>
      </c>
      <c r="E12477" s="7" t="s">
        <v>17</v>
      </c>
      <c r="F12477" s="8" t="str">
        <f ca="1">IFERROR(__xludf.DUMMYFUNCTION("IF
(
C12478=""фізична особа""
,
VLOOKUP(D12478,IMPORTRANGE(""https://docs.google.com/spreadsheets/d/14Bd19lYaqBhU8_DElYkX7l4wRkHqqCUFNJY4AfY3kHU/edit?usp=sharing  #gid=0"",""фіз особи new!relations_name""),6,FALSE)
,
(IF
(
C12478=""юридична особа""
,
VLOO"&amp;"KUP(D12478,IMPORTRANGE(""https://docs.google.com/spreadsheets/d/14Bd19lYaqBhU8_DElYkX7l4wRkHqqCUFNJY4AfY3kHU/edit?usp=sharing  #gid=0"",""фіз особи new!relations_name_uo""),7,FALSE)
,
)
))"),"ЧЕПА Данило Олексійович")</f>
        <v>ЧЕПА Данило Олексійович</v>
      </c>
      <c r="G12477" s="7" t="s">
        <v>10</v>
      </c>
      <c r="H12477" s="7">
        <v>10</v>
      </c>
      <c r="I12477" s="8" t="str">
        <f ca="1">IFERROR(__xludf.DUMMYFUNCTION("IF
(
G12478=""фізична особа""
,
VLOOKUP(H12478,IMPORTRANGE(""https://docs.google.com/spreadsheets/d/14Bd19lYaqBhU8_DElYkX7l4wRkHqqCUFNJY4AfY3kHU/edit?usp=sharing  #gid=0"",""фіз особи new!relations_name""),6,FALSE)
,
(IF
(
G12478=""юридична особа""
,
VLOO"&amp;"KUP(H12478,IMPORTRANGE(""https://docs.google.com/spreadsheets/d/14Bd19lYaqBhU8_DElYkX7l4wRkHqqCUFNJY4AfY3kHU/edit?usp=sharing  #gid=0"",""фіз особи new!relations_name_uo""),7,FALSE)
,
)
))"),"ЧЕПА Олексій Васильович")</f>
        <v>ЧЕПА Олексій Васильович</v>
      </c>
      <c r="J12477" s="7" t="s">
        <v>12</v>
      </c>
    </row>
    <row r="12478" spans="1:10" ht="13.2">
      <c r="A12478" s="7">
        <v>12477</v>
      </c>
      <c r="B12478" s="7">
        <v>1</v>
      </c>
      <c r="C12478" s="7" t="s">
        <v>10</v>
      </c>
      <c r="D12478" s="7">
        <v>18053</v>
      </c>
      <c r="E12478" s="7" t="s">
        <v>17</v>
      </c>
      <c r="F12478" s="8" t="str">
        <f ca="1">IFERROR(__xludf.DUMMYFUNCTION("IF
(
C12479=""фізична особа""
,
VLOOKUP(D12479,IMPORTRANGE(""https://docs.google.com/spreadsheets/d/14Bd19lYaqBhU8_DElYkX7l4wRkHqqCUFNJY4AfY3kHU/edit?usp=sharing  #gid=0"",""фіз особи new!relations_name""),6,FALSE)
,
(IF
(
C12479=""юридична особа""
,
VLOO"&amp;"KUP(D12479,IMPORTRANGE(""https://docs.google.com/spreadsheets/d/14Bd19lYaqBhU8_DElYkX7l4wRkHqqCUFNJY4AfY3kHU/edit?usp=sharing  #gid=0"",""фіз особи new!relations_name_uo""),7,FALSE)
,
)
))"),"ЧЕПА Данило Олексійович")</f>
        <v>ЧЕПА Данило Олексійович</v>
      </c>
      <c r="G12478" s="7" t="s">
        <v>10</v>
      </c>
      <c r="H12478" s="7">
        <v>4070</v>
      </c>
      <c r="I12478" s="8" t="str">
        <f ca="1">IFERROR(__xludf.DUMMYFUNCTION("IF
(
G12479=""фізична особа""
,
VLOOKUP(H12479,IMPORTRANGE(""https://docs.google.com/spreadsheets/d/14Bd19lYaqBhU8_DElYkX7l4wRkHqqCUFNJY4AfY3kHU/edit?usp=sharing  #gid=0"",""фіз особи new!relations_name""),6,FALSE)
,
(IF
(
G12479=""юридична особа""
,
VLOO"&amp;"KUP(H12479,IMPORTRANGE(""https://docs.google.com/spreadsheets/d/14Bd19lYaqBhU8_DElYkX7l4wRkHqqCUFNJY4AfY3kHU/edit?usp=sharing  #gid=0"",""фіз особи new!relations_name_uo""),7,FALSE)
,
)
))"),"ЧЕПА Ірина Валентинівна")</f>
        <v>ЧЕПА Ірина Валентинівна</v>
      </c>
      <c r="J12478" s="7" t="s">
        <v>21</v>
      </c>
    </row>
    <row r="12479" spans="1:10" ht="13.2">
      <c r="A12479" s="7">
        <v>12478</v>
      </c>
      <c r="B12479" s="7">
        <v>1</v>
      </c>
      <c r="C12479" s="7" t="s">
        <v>10</v>
      </c>
      <c r="D12479" s="7">
        <v>18053</v>
      </c>
      <c r="E12479" s="7" t="s">
        <v>18</v>
      </c>
      <c r="F12479" s="8" t="str">
        <f ca="1">IFERROR(__xludf.DUMMYFUNCTION("IF
(
C12480=""фізична особа""
,
VLOOKUP(D12480,IMPORTRANGE(""https://docs.google.com/spreadsheets/d/14Bd19lYaqBhU8_DElYkX7l4wRkHqqCUFNJY4AfY3kHU/edit?usp=sharing  #gid=0"",""фіз особи new!relations_name""),6,FALSE)
,
(IF
(
C12480=""юридична особа""
,
VLOO"&amp;"KUP(D12480,IMPORTRANGE(""https://docs.google.com/spreadsheets/d/14Bd19lYaqBhU8_DElYkX7l4wRkHqqCUFNJY4AfY3kHU/edit?usp=sharing  #gid=0"",""фіз особи new!relations_name_uo""),7,FALSE)
,
)
))"),"ЧЕПА Данило Олексійович")</f>
        <v>ЧЕПА Данило Олексійович</v>
      </c>
      <c r="G12479" s="7" t="s">
        <v>10</v>
      </c>
      <c r="H12479" s="7">
        <v>4071</v>
      </c>
      <c r="I12479" s="8" t="str">
        <f ca="1">IFERROR(__xludf.DUMMYFUNCTION("IF
(
G12480=""фізична особа""
,
VLOOKUP(H12480,IMPORTRANGE(""https://docs.google.com/spreadsheets/d/14Bd19lYaqBhU8_DElYkX7l4wRkHqqCUFNJY4AfY3kHU/edit?usp=sharing  #gid=0"",""фіз особи new!relations_name""),6,FALSE)
,
(IF
(
G12480=""юридична особа""
,
VLOO"&amp;"KUP(H12480,IMPORTRANGE(""https://docs.google.com/spreadsheets/d/14Bd19lYaqBhU8_DElYkX7l4wRkHqqCUFNJY4AfY3kHU/edit?usp=sharing  #gid=0"",""фіз особи new!relations_name_uo""),7,FALSE)
,
)
))"),"ЧЕПА Анастасія Олексіївна")</f>
        <v>ЧЕПА Анастасія Олексіївна</v>
      </c>
      <c r="J12479" s="7" t="s">
        <v>31</v>
      </c>
    </row>
    <row r="12480" spans="1:10" ht="13.2">
      <c r="A12480" s="7">
        <v>12479</v>
      </c>
      <c r="B12480" s="7">
        <v>1</v>
      </c>
      <c r="C12480" s="7" t="s">
        <v>10</v>
      </c>
      <c r="D12480" s="7">
        <v>18072</v>
      </c>
      <c r="E12480" s="7" t="s">
        <v>11</v>
      </c>
      <c r="F12480" s="8" t="str">
        <f ca="1">IFERROR(__xludf.DUMMYFUNCTION("IF
(
C12481=""фізична особа""
,
VLOOKUP(D12481,IMPORTRANGE(""https://docs.google.com/spreadsheets/d/14Bd19lYaqBhU8_DElYkX7l4wRkHqqCUFNJY4AfY3kHU/edit?usp=sharing  #gid=0"",""фіз особи new!relations_name""),6,FALSE)
,
(IF
(
C12481=""юридична особа""
,
VLOO"&amp;"KUP(D12481,IMPORTRANGE(""https://docs.google.com/spreadsheets/d/14Bd19lYaqBhU8_DElYkX7l4wRkHqqCUFNJY4AfY3kHU/edit?usp=sharing  #gid=0"",""фіз особи new!relations_name_uo""),7,FALSE)
,
)
))"),"БАКЛАНОВ Ігор Геннадійович")</f>
        <v>БАКЛАНОВ Ігор Геннадійович</v>
      </c>
      <c r="G12480" s="7" t="s">
        <v>10</v>
      </c>
      <c r="H12480" s="7">
        <v>1867</v>
      </c>
      <c r="I12480" s="8" t="str">
        <f ca="1">IFERROR(__xludf.DUMMYFUNCTION("IF
(
G12481=""фізична особа""
,
VLOOKUP(H12481,IMPORTRANGE(""https://docs.google.com/spreadsheets/d/14Bd19lYaqBhU8_DElYkX7l4wRkHqqCUFNJY4AfY3kHU/edit?usp=sharing  #gid=0"",""фіз особи new!relations_name""),6,FALSE)
,
(IF
(
G12481=""юридична особа""
,
VLOO"&amp;"KUP(H12481,IMPORTRANGE(""https://docs.google.com/spreadsheets/d/14Bd19lYaqBhU8_DElYkX7l4wRkHqqCUFNJY4AfY3kHU/edit?usp=sharing  #gid=0"",""фіз особи new!relations_name_uo""),7,FALSE)
,
)
))"),"ЗАХАРОВ Андрій Георгійович")</f>
        <v>ЗАХАРОВ Андрій Георгійович</v>
      </c>
      <c r="J12480" s="7" t="s">
        <v>11</v>
      </c>
    </row>
    <row r="12481" spans="1:10" ht="13.2">
      <c r="A12481" s="7">
        <v>12480</v>
      </c>
      <c r="B12481" s="7">
        <v>1</v>
      </c>
      <c r="C12481" s="7" t="s">
        <v>10</v>
      </c>
      <c r="D12481" s="7">
        <v>18072</v>
      </c>
      <c r="E12481" s="7" t="s">
        <v>11</v>
      </c>
      <c r="F12481" s="8" t="str">
        <f ca="1">IFERROR(__xludf.DUMMYFUNCTION("IF
(
C12482=""фізична особа""
,
VLOOKUP(D12482,IMPORTRANGE(""https://docs.google.com/spreadsheets/d/14Bd19lYaqBhU8_DElYkX7l4wRkHqqCUFNJY4AfY3kHU/edit?usp=sharing  #gid=0"",""фіз особи new!relations_name""),6,FALSE)
,
(IF
(
C12482=""юридична особа""
,
VLOO"&amp;"KUP(D12482,IMPORTRANGE(""https://docs.google.com/spreadsheets/d/14Bd19lYaqBhU8_DElYkX7l4wRkHqqCUFNJY4AfY3kHU/edit?usp=sharing  #gid=0"",""фіз особи new!relations_name_uo""),7,FALSE)
,
)
))"),"БАКЛАНОВ Ігор Геннадійович")</f>
        <v>БАКЛАНОВ Ігор Геннадійович</v>
      </c>
      <c r="G12481" s="7" t="s">
        <v>10</v>
      </c>
      <c r="H12481" s="7">
        <v>0</v>
      </c>
      <c r="I12481" s="8" t="str">
        <f ca="1">IFERROR(__xludf.DUMMYFUNCTION("IF
(
G12482=""фізична особа""
,
VLOOKUP(H12482,IMPORTRANGE(""https://docs.google.com/spreadsheets/d/14Bd19lYaqBhU8_DElYkX7l4wRkHqqCUFNJY4AfY3kHU/edit?usp=sharing  #gid=0"",""фіз особи new!relations_name""),6,FALSE)
,
(IF
(
G12482=""юридична особа""
,
VLOO"&amp;"KUP(H12482,IMPORTRANGE(""https://docs.google.com/spreadsheets/d/14Bd19lYaqBhU8_DElYkX7l4wRkHqqCUFNJY4AfY3kHU/edit?usp=sharing  #gid=0"",""фіз особи new!relations_name_uo""),7,FALSE)
,
)
))"),"#N/A")</f>
        <v>#N/A</v>
      </c>
      <c r="J12481" s="7" t="s">
        <v>11</v>
      </c>
    </row>
    <row r="12482" spans="1:10" ht="13.2">
      <c r="A12482" s="7">
        <v>12481</v>
      </c>
      <c r="B12482" s="7">
        <v>1</v>
      </c>
      <c r="C12482" s="7" t="s">
        <v>10</v>
      </c>
      <c r="D12482" s="7">
        <v>18072</v>
      </c>
      <c r="E12482" s="7" t="s">
        <v>11</v>
      </c>
      <c r="F12482" s="8" t="str">
        <f ca="1">IFERROR(__xludf.DUMMYFUNCTION("IF
(
C12483=""фізична особа""
,
VLOOKUP(D12483,IMPORTRANGE(""https://docs.google.com/spreadsheets/d/14Bd19lYaqBhU8_DElYkX7l4wRkHqqCUFNJY4AfY3kHU/edit?usp=sharing  #gid=0"",""фіз особи new!relations_name""),6,FALSE)
,
(IF
(
C12483=""юридична особа""
,
VLOO"&amp;"KUP(D12483,IMPORTRANGE(""https://docs.google.com/spreadsheets/d/14Bd19lYaqBhU8_DElYkX7l4wRkHqqCUFNJY4AfY3kHU/edit?usp=sharing  #gid=0"",""фіз особи new!relations_name_uo""),7,FALSE)
,
)
))"),"БАКЛАНОВ Ігор Геннадійович")</f>
        <v>БАКЛАНОВ Ігор Геннадійович</v>
      </c>
      <c r="G12482" s="7" t="s">
        <v>10</v>
      </c>
      <c r="H12482" s="7">
        <v>0</v>
      </c>
      <c r="I12482" s="8" t="str">
        <f ca="1">IFERROR(__xludf.DUMMYFUNCTION("IF
(
G12483=""фізична особа""
,
VLOOKUP(H12483,IMPORTRANGE(""https://docs.google.com/spreadsheets/d/14Bd19lYaqBhU8_DElYkX7l4wRkHqqCUFNJY4AfY3kHU/edit?usp=sharing  #gid=0"",""фіз особи new!relations_name""),6,FALSE)
,
(IF
(
G12483=""юридична особа""
,
VLOO"&amp;"KUP(H12483,IMPORTRANGE(""https://docs.google.com/spreadsheets/d/14Bd19lYaqBhU8_DElYkX7l4wRkHqqCUFNJY4AfY3kHU/edit?usp=sharing  #gid=0"",""фіз особи new!relations_name_uo""),7,FALSE)
,
)
))"),"#N/A")</f>
        <v>#N/A</v>
      </c>
      <c r="J12482" s="7" t="s">
        <v>11</v>
      </c>
    </row>
    <row r="12483" spans="1:10" ht="13.2">
      <c r="A12483" s="7">
        <v>12482</v>
      </c>
      <c r="B12483" s="7">
        <v>1</v>
      </c>
      <c r="C12483" s="7" t="s">
        <v>10</v>
      </c>
      <c r="D12483" s="7">
        <v>18072</v>
      </c>
      <c r="E12483" s="7" t="s">
        <v>11</v>
      </c>
      <c r="F12483" s="8" t="str">
        <f ca="1">IFERROR(__xludf.DUMMYFUNCTION("IF
(
C12484=""фізична особа""
,
VLOOKUP(D12484,IMPORTRANGE(""https://docs.google.com/spreadsheets/d/14Bd19lYaqBhU8_DElYkX7l4wRkHqqCUFNJY4AfY3kHU/edit?usp=sharing  #gid=0"",""фіз особи new!relations_name""),6,FALSE)
,
(IF
(
C12484=""юридична особа""
,
VLOO"&amp;"KUP(D12484,IMPORTRANGE(""https://docs.google.com/spreadsheets/d/14Bd19lYaqBhU8_DElYkX7l4wRkHqqCUFNJY4AfY3kHU/edit?usp=sharing  #gid=0"",""фіз особи new!relations_name_uo""),7,FALSE)
,
)
))"),"БАКЛАНОВ Ігор Геннадійович")</f>
        <v>БАКЛАНОВ Ігор Геннадійович</v>
      </c>
      <c r="G12483" s="7" t="s">
        <v>10</v>
      </c>
      <c r="H12483" s="7">
        <v>0</v>
      </c>
      <c r="I12483" s="8" t="str">
        <f ca="1">IFERROR(__xludf.DUMMYFUNCTION("IF
(
G12484=""фізична особа""
,
VLOOKUP(H12484,IMPORTRANGE(""https://docs.google.com/spreadsheets/d/14Bd19lYaqBhU8_DElYkX7l4wRkHqqCUFNJY4AfY3kHU/edit?usp=sharing  #gid=0"",""фіз особи new!relations_name""),6,FALSE)
,
(IF
(
G12484=""юридична особа""
,
VLOO"&amp;"KUP(H12484,IMPORTRANGE(""https://docs.google.com/spreadsheets/d/14Bd19lYaqBhU8_DElYkX7l4wRkHqqCUFNJY4AfY3kHU/edit?usp=sharing  #gid=0"",""фіз особи new!relations_name_uo""),7,FALSE)
,
)
))"),"#N/A")</f>
        <v>#N/A</v>
      </c>
      <c r="J12483" s="7" t="s">
        <v>11</v>
      </c>
    </row>
    <row r="12484" spans="1:10" ht="13.2">
      <c r="A12484" s="7">
        <v>12483</v>
      </c>
      <c r="B12484" s="7">
        <v>1</v>
      </c>
      <c r="C12484" s="7" t="s">
        <v>10</v>
      </c>
      <c r="D12484" s="7">
        <v>18074</v>
      </c>
      <c r="E12484" s="7" t="s">
        <v>28</v>
      </c>
      <c r="F12484" s="8" t="str">
        <f ca="1">IFERROR(__xludf.DUMMYFUNCTION("IF
(
C12485=""фізична особа""
,
VLOOKUP(D12485,IMPORTRANGE(""https://docs.google.com/spreadsheets/d/14Bd19lYaqBhU8_DElYkX7l4wRkHqqCUFNJY4AfY3kHU/edit?usp=sharing  #gid=0"",""фіз особи new!relations_name""),6,FALSE)
,
(IF
(
C12485=""юридична особа""
,
VLOO"&amp;"KUP(D12485,IMPORTRANGE(""https://docs.google.com/spreadsheets/d/14Bd19lYaqBhU8_DElYkX7l4wRkHqqCUFNJY4AfY3kHU/edit?usp=sharing  #gid=0"",""фіз особи new!relations_name_uo""),7,FALSE)
,
)
))"),"ЧАГАЙ Костянтин Олександрович")</f>
        <v>ЧАГАЙ Костянтин Олександрович</v>
      </c>
      <c r="G12484" s="7" t="s">
        <v>10</v>
      </c>
      <c r="H12484" s="7">
        <v>297</v>
      </c>
      <c r="I12484" s="8" t="str">
        <f ca="1">IFERROR(__xludf.DUMMYFUNCTION("IF
(
G12485=""фізична особа""
,
VLOOKUP(H12485,IMPORTRANGE(""https://docs.google.com/spreadsheets/d/14Bd19lYaqBhU8_DElYkX7l4wRkHqqCUFNJY4AfY3kHU/edit?usp=sharing  #gid=0"",""фіз особи new!relations_name""),6,FALSE)
,
(IF
(
G12485=""юридична особа""
,
VLOO"&amp;"KUP(H12485,IMPORTRANGE(""https://docs.google.com/spreadsheets/d/14Bd19lYaqBhU8_DElYkX7l4wRkHqqCUFNJY4AfY3kHU/edit?usp=sharing  #gid=0"",""фіз особи new!relations_name_uo""),7,FALSE)
,
)
))"),"ШУВАЛОВ Ігор Іванович")</f>
        <v>ШУВАЛОВ Ігор Іванович</v>
      </c>
      <c r="J12484" s="7" t="s">
        <v>29</v>
      </c>
    </row>
    <row r="12485" spans="1:10" ht="13.2">
      <c r="A12485" s="7">
        <v>12484</v>
      </c>
      <c r="B12485" s="7">
        <v>1</v>
      </c>
      <c r="C12485" s="7" t="s">
        <v>10</v>
      </c>
      <c r="D12485" s="7">
        <v>18079</v>
      </c>
      <c r="E12485" s="7" t="s">
        <v>11</v>
      </c>
      <c r="F12485" s="8" t="str">
        <f ca="1">IFERROR(__xludf.DUMMYFUNCTION("IF
(
C12486=""фізична особа""
,
VLOOKUP(D12486,IMPORTRANGE(""https://docs.google.com/spreadsheets/d/14Bd19lYaqBhU8_DElYkX7l4wRkHqqCUFNJY4AfY3kHU/edit?usp=sharing  #gid=0"",""фіз особи new!relations_name""),6,FALSE)
,
(IF
(
C12486=""юридична особа""
,
VLOO"&amp;"KUP(D12486,IMPORTRANGE(""https://docs.google.com/spreadsheets/d/14Bd19lYaqBhU8_DElYkX7l4wRkHqqCUFNJY4AfY3kHU/edit?usp=sharing  #gid=0"",""фіз особи new!relations_name_uo""),7,FALSE)
,
)
))"),"ГІНЕР Євгеній Леннорович")</f>
        <v>ГІНЕР Євгеній Леннорович</v>
      </c>
      <c r="G12485" s="7" t="s">
        <v>10</v>
      </c>
      <c r="H12485" s="7">
        <v>579</v>
      </c>
      <c r="I12485" s="8" t="str">
        <f ca="1">IFERROR(__xludf.DUMMYFUNCTION("IF
(
G12486=""фізична особа""
,
VLOOKUP(H12486,IMPORTRANGE(""https://docs.google.com/spreadsheets/d/14Bd19lYaqBhU8_DElYkX7l4wRkHqqCUFNJY4AfY3kHU/edit?usp=sharing  #gid=0"",""фіз особи new!relations_name""),6,FALSE)
,
(IF
(
G12486=""юридична особа""
,
VLOO"&amp;"KUP(H12486,IMPORTRANGE(""https://docs.google.com/spreadsheets/d/14Bd19lYaqBhU8_DElYkX7l4wRkHqqCUFNJY4AfY3kHU/edit?usp=sharing  #gid=0"",""фіз особи new!relations_name_uo""),7,FALSE)
,
)
))"),"БАБАКОВ Олександр Михайлович")</f>
        <v>БАБАКОВ Олександр Михайлович</v>
      </c>
      <c r="J12485" s="7" t="s">
        <v>11</v>
      </c>
    </row>
    <row r="12486" spans="1:10" ht="13.2">
      <c r="A12486" s="7">
        <v>12485</v>
      </c>
      <c r="B12486" s="7">
        <v>1</v>
      </c>
      <c r="C12486" s="7" t="s">
        <v>10</v>
      </c>
      <c r="D12486" s="7">
        <v>18079</v>
      </c>
      <c r="E12486" s="7" t="s">
        <v>11</v>
      </c>
      <c r="F12486" s="8" t="str">
        <f ca="1">IFERROR(__xludf.DUMMYFUNCTION("IF
(
C12487=""фізична особа""
,
VLOOKUP(D12487,IMPORTRANGE(""https://docs.google.com/spreadsheets/d/14Bd19lYaqBhU8_DElYkX7l4wRkHqqCUFNJY4AfY3kHU/edit?usp=sharing  #gid=0"",""фіз особи new!relations_name""),6,FALSE)
,
(IF
(
C12487=""юридична особа""
,
VLOO"&amp;"KUP(D12487,IMPORTRANGE(""https://docs.google.com/spreadsheets/d/14Bd19lYaqBhU8_DElYkX7l4wRkHqqCUFNJY4AfY3kHU/edit?usp=sharing  #gid=0"",""фіз особи new!relations_name_uo""),7,FALSE)
,
)
))"),"ГІНЕР Євгеній Леннорович")</f>
        <v>ГІНЕР Євгеній Леннорович</v>
      </c>
      <c r="G12486" s="7" t="s">
        <v>10</v>
      </c>
      <c r="H12486" s="7">
        <v>23424</v>
      </c>
      <c r="I12486" s="8" t="str">
        <f ca="1">IFERROR(__xludf.DUMMYFUNCTION("IF
(
G12487=""фізична особа""
,
VLOOKUP(H12487,IMPORTRANGE(""https://docs.google.com/spreadsheets/d/14Bd19lYaqBhU8_DElYkX7l4wRkHqqCUFNJY4AfY3kHU/edit?usp=sharing  #gid=0"",""фіз особи new!relations_name""),6,FALSE)
,
(IF
(
G12487=""юридична особа""
,
VLOO"&amp;"KUP(H12487,IMPORTRANGE(""https://docs.google.com/spreadsheets/d/14Bd19lYaqBhU8_DElYkX7l4wRkHqqCUFNJY4AfY3kHU/edit?usp=sharing  #gid=0"",""фіз особи new!relations_name_uo""),7,FALSE)
,
)
))"),"ВОЄВОДІН Михайло Вікторович")</f>
        <v>ВОЄВОДІН Михайло Вікторович</v>
      </c>
      <c r="J12486" s="7" t="s">
        <v>11</v>
      </c>
    </row>
    <row r="12487" spans="1:10" ht="13.2">
      <c r="A12487" s="7">
        <v>12486</v>
      </c>
      <c r="B12487" s="7">
        <v>1</v>
      </c>
      <c r="C12487" s="7" t="s">
        <v>10</v>
      </c>
      <c r="D12487" s="7">
        <v>18095</v>
      </c>
      <c r="E12487" s="7" t="s">
        <v>11</v>
      </c>
      <c r="F12487" s="8" t="str">
        <f ca="1">IFERROR(__xludf.DUMMYFUNCTION("IF
(
C12488=""фізична особа""
,
VLOOKUP(D12488,IMPORTRANGE(""https://docs.google.com/spreadsheets/d/14Bd19lYaqBhU8_DElYkX7l4wRkHqqCUFNJY4AfY3kHU/edit?usp=sharing  #gid=0"",""фіз особи new!relations_name""),6,FALSE)
,
(IF
(
C12488=""юридична особа""
,
VLOO"&amp;"KUP(D12488,IMPORTRANGE(""https://docs.google.com/spreadsheets/d/14Bd19lYaqBhU8_DElYkX7l4wRkHqqCUFNJY4AfY3kHU/edit?usp=sharing  #gid=0"",""фіз особи new!relations_name_uo""),7,FALSE)
,
)
))"),"ДАШКЄЄВА Олена Юріївна")</f>
        <v>ДАШКЄЄВА Олена Юріївна</v>
      </c>
      <c r="G12487" s="7" t="s">
        <v>10</v>
      </c>
      <c r="H12487" s="7">
        <v>0</v>
      </c>
      <c r="I12487" s="8" t="str">
        <f ca="1">IFERROR(__xludf.DUMMYFUNCTION("IF
(
G12488=""фізична особа""
,
VLOOKUP(H12488,IMPORTRANGE(""https://docs.google.com/spreadsheets/d/14Bd19lYaqBhU8_DElYkX7l4wRkHqqCUFNJY4AfY3kHU/edit?usp=sharing  #gid=0"",""фіз особи new!relations_name""),6,FALSE)
,
(IF
(
G12488=""юридична особа""
,
VLOO"&amp;"KUP(H12488,IMPORTRANGE(""https://docs.google.com/spreadsheets/d/14Bd19lYaqBhU8_DElYkX7l4wRkHqqCUFNJY4AfY3kHU/edit?usp=sharing  #gid=0"",""фіз особи new!relations_name_uo""),7,FALSE)
,
)
))"),"#N/A")</f>
        <v>#N/A</v>
      </c>
      <c r="J12487" s="7" t="s">
        <v>11</v>
      </c>
    </row>
    <row r="12488" spans="1:10" ht="13.2">
      <c r="A12488" s="7">
        <v>12487</v>
      </c>
      <c r="B12488" s="7">
        <v>1</v>
      </c>
      <c r="C12488" s="7" t="s">
        <v>10</v>
      </c>
      <c r="D12488" s="7">
        <v>18095</v>
      </c>
      <c r="E12488" s="7" t="s">
        <v>11</v>
      </c>
      <c r="F12488" s="8" t="str">
        <f ca="1">IFERROR(__xludf.DUMMYFUNCTION("IF
(
C12489=""фізична особа""
,
VLOOKUP(D12489,IMPORTRANGE(""https://docs.google.com/spreadsheets/d/14Bd19lYaqBhU8_DElYkX7l4wRkHqqCUFNJY4AfY3kHU/edit?usp=sharing  #gid=0"",""фіз особи new!relations_name""),6,FALSE)
,
(IF
(
C12489=""юридична особа""
,
VLOO"&amp;"KUP(D12489,IMPORTRANGE(""https://docs.google.com/spreadsheets/d/14Bd19lYaqBhU8_DElYkX7l4wRkHqqCUFNJY4AfY3kHU/edit?usp=sharing  #gid=0"",""фіз особи new!relations_name_uo""),7,FALSE)
,
)
))"),"ДАШКЄЄВА Олена Юріївна")</f>
        <v>ДАШКЄЄВА Олена Юріївна</v>
      </c>
      <c r="G12488" s="7" t="s">
        <v>10</v>
      </c>
      <c r="H12488" s="7">
        <v>58</v>
      </c>
      <c r="I12488" s="8" t="str">
        <f ca="1">IFERROR(__xludf.DUMMYFUNCTION("IF
(
G12489=""фізична особа""
,
VLOOKUP(H12489,IMPORTRANGE(""https://docs.google.com/spreadsheets/d/14Bd19lYaqBhU8_DElYkX7l4wRkHqqCUFNJY4AfY3kHU/edit?usp=sharing  #gid=0"",""фіз особи new!relations_name""),6,FALSE)
,
(IF
(
G12489=""юридична особа""
,
VLOO"&amp;"KUP(H12489,IMPORTRANGE(""https://docs.google.com/spreadsheets/d/14Bd19lYaqBhU8_DElYkX7l4wRkHqqCUFNJY4AfY3kHU/edit?usp=sharing  #gid=0"",""фіз особи new!relations_name_uo""),7,FALSE)
,
)
))"),"ПУЧКОВ Андрій Сергійович")</f>
        <v>ПУЧКОВ Андрій Сергійович</v>
      </c>
      <c r="J12488" s="7" t="s">
        <v>11</v>
      </c>
    </row>
    <row r="12489" spans="1:10" ht="13.2">
      <c r="A12489" s="7">
        <v>12488</v>
      </c>
      <c r="B12489" s="7">
        <v>1</v>
      </c>
      <c r="C12489" s="7" t="s">
        <v>10</v>
      </c>
      <c r="D12489" s="7">
        <v>18096</v>
      </c>
      <c r="E12489" s="7" t="s">
        <v>11</v>
      </c>
      <c r="F12489" s="8" t="str">
        <f ca="1">IFERROR(__xludf.DUMMYFUNCTION("IF
(
C12490=""фізична особа""
,
VLOOKUP(D12490,IMPORTRANGE(""https://docs.google.com/spreadsheets/d/14Bd19lYaqBhU8_DElYkX7l4wRkHqqCUFNJY4AfY3kHU/edit?usp=sharing  #gid=0"",""фіз особи new!relations_name""),6,FALSE)
,
(IF
(
C12490=""юридична особа""
,
VLOO"&amp;"KUP(D12490,IMPORTRANGE(""https://docs.google.com/spreadsheets/d/14Bd19lYaqBhU8_DElYkX7l4wRkHqqCUFNJY4AfY3kHU/edit?usp=sharing  #gid=0"",""фіз особи new!relations_name_uo""),7,FALSE)
,
)
))"),"НАЧОЄВА Тетяна Олександрівна")</f>
        <v>НАЧОЄВА Тетяна Олександрівна</v>
      </c>
      <c r="G12489" s="7" t="s">
        <v>10</v>
      </c>
      <c r="H12489" s="7">
        <v>58</v>
      </c>
      <c r="I12489" s="8" t="str">
        <f ca="1">IFERROR(__xludf.DUMMYFUNCTION("IF
(
G12490=""фізична особа""
,
VLOOKUP(H12490,IMPORTRANGE(""https://docs.google.com/spreadsheets/d/14Bd19lYaqBhU8_DElYkX7l4wRkHqqCUFNJY4AfY3kHU/edit?usp=sharing  #gid=0"",""фіз особи new!relations_name""),6,FALSE)
,
(IF
(
G12490=""юридична особа""
,
VLOO"&amp;"KUP(H12490,IMPORTRANGE(""https://docs.google.com/spreadsheets/d/14Bd19lYaqBhU8_DElYkX7l4wRkHqqCUFNJY4AfY3kHU/edit?usp=sharing  #gid=0"",""фіз особи new!relations_name_uo""),7,FALSE)
,
)
))"),"ПУЧКОВ Андрій Сергійович")</f>
        <v>ПУЧКОВ Андрій Сергійович</v>
      </c>
      <c r="J12489" s="7" t="s">
        <v>11</v>
      </c>
    </row>
    <row r="12490" spans="1:10" ht="13.2">
      <c r="A12490" s="7">
        <v>12489</v>
      </c>
      <c r="B12490" s="7">
        <v>1</v>
      </c>
      <c r="C12490" s="7" t="s">
        <v>10</v>
      </c>
      <c r="D12490" s="7">
        <v>18158</v>
      </c>
      <c r="E12490" s="7" t="s">
        <v>23</v>
      </c>
      <c r="F12490" s="8" t="str">
        <f ca="1">IFERROR(__xludf.DUMMYFUNCTION("IF
(
C12491=""фізична особа""
,
VLOOKUP(D12491,IMPORTRANGE(""https://docs.google.com/spreadsheets/d/14Bd19lYaqBhU8_DElYkX7l4wRkHqqCUFNJY4AfY3kHU/edit?usp=sharing  #gid=0"",""фіз особи new!relations_name""),6,FALSE)
,
(IF
(
C12491=""юридична особа""
,
VLOO"&amp;"KUP(D12491,IMPORTRANGE(""https://docs.google.com/spreadsheets/d/14Bd19lYaqBhU8_DElYkX7l4wRkHqqCUFNJY4AfY3kHU/edit?usp=sharing  #gid=0"",""фіз особи new!relations_name_uo""),7,FALSE)
,
)
))"),"МЕЛЬНИКОВ Артем Юрійович")</f>
        <v>МЕЛЬНИКОВ Артем Юрійович</v>
      </c>
      <c r="G12490" s="7" t="s">
        <v>10</v>
      </c>
      <c r="H12490" s="7">
        <v>0</v>
      </c>
      <c r="I12490" s="8" t="str">
        <f ca="1">IFERROR(__xludf.DUMMYFUNCTION("IF
(
G12491=""фізична особа""
,
VLOOKUP(H12491,IMPORTRANGE(""https://docs.google.com/spreadsheets/d/14Bd19lYaqBhU8_DElYkX7l4wRkHqqCUFNJY4AfY3kHU/edit?usp=sharing  #gid=0"",""фіз особи new!relations_name""),6,FALSE)
,
(IF
(
G12491=""юридична особа""
,
VLOO"&amp;"KUP(H12491,IMPORTRANGE(""https://docs.google.com/spreadsheets/d/14Bd19lYaqBhU8_DElYkX7l4wRkHqqCUFNJY4AfY3kHU/edit?usp=sharing  #gid=0"",""фіз особи new!relations_name_uo""),7,FALSE)
,
)
))"),"#N/A")</f>
        <v>#N/A</v>
      </c>
      <c r="J12490" s="7" t="s">
        <v>23</v>
      </c>
    </row>
    <row r="12491" spans="1:10" ht="13.2">
      <c r="A12491" s="7">
        <v>12490</v>
      </c>
      <c r="B12491" s="7">
        <v>1</v>
      </c>
      <c r="C12491" s="7" t="s">
        <v>10</v>
      </c>
      <c r="D12491" s="7">
        <v>18158</v>
      </c>
      <c r="E12491" s="7" t="s">
        <v>23</v>
      </c>
      <c r="F12491" s="8" t="str">
        <f ca="1">IFERROR(__xludf.DUMMYFUNCTION("IF
(
C12492=""фізична особа""
,
VLOOKUP(D12492,IMPORTRANGE(""https://docs.google.com/spreadsheets/d/14Bd19lYaqBhU8_DElYkX7l4wRkHqqCUFNJY4AfY3kHU/edit?usp=sharing  #gid=0"",""фіз особи new!relations_name""),6,FALSE)
,
(IF
(
C12492=""юридична особа""
,
VLOO"&amp;"KUP(D12492,IMPORTRANGE(""https://docs.google.com/spreadsheets/d/14Bd19lYaqBhU8_DElYkX7l4wRkHqqCUFNJY4AfY3kHU/edit?usp=sharing  #gid=0"",""фіз особи new!relations_name_uo""),7,FALSE)
,
)
))"),"МЕЛЬНИКОВ Артем Юрійович")</f>
        <v>МЕЛЬНИКОВ Артем Юрійович</v>
      </c>
      <c r="G12491" s="7" t="s">
        <v>10</v>
      </c>
      <c r="H12491" s="7">
        <v>0</v>
      </c>
      <c r="I12491" s="8" t="str">
        <f ca="1">IFERROR(__xludf.DUMMYFUNCTION("IF
(
G12492=""фізична особа""
,
VLOOKUP(H12492,IMPORTRANGE(""https://docs.google.com/spreadsheets/d/14Bd19lYaqBhU8_DElYkX7l4wRkHqqCUFNJY4AfY3kHU/edit?usp=sharing  #gid=0"",""фіз особи new!relations_name""),6,FALSE)
,
(IF
(
G12492=""юридична особа""
,
VLOO"&amp;"KUP(H12492,IMPORTRANGE(""https://docs.google.com/spreadsheets/d/14Bd19lYaqBhU8_DElYkX7l4wRkHqqCUFNJY4AfY3kHU/edit?usp=sharing  #gid=0"",""фіз особи new!relations_name_uo""),7,FALSE)
,
)
))"),"#N/A")</f>
        <v>#N/A</v>
      </c>
      <c r="J12491" s="7" t="s">
        <v>23</v>
      </c>
    </row>
    <row r="12492" spans="1:10" ht="13.2">
      <c r="A12492" s="7">
        <v>12491</v>
      </c>
      <c r="B12492" s="7">
        <v>1</v>
      </c>
      <c r="C12492" s="7" t="s">
        <v>10</v>
      </c>
      <c r="D12492" s="7">
        <v>18169</v>
      </c>
      <c r="E12492" s="7" t="s">
        <v>11</v>
      </c>
      <c r="F12492" s="8" t="str">
        <f ca="1">IFERROR(__xludf.DUMMYFUNCTION("IF
(
C12493=""фізична особа""
,
VLOOKUP(D12493,IMPORTRANGE(""https://docs.google.com/spreadsheets/d/14Bd19lYaqBhU8_DElYkX7l4wRkHqqCUFNJY4AfY3kHU/edit?usp=sharing  #gid=0"",""фіз особи new!relations_name""),6,FALSE)
,
(IF
(
C12493=""юридична особа""
,
VLOO"&amp;"KUP(D12493,IMPORTRANGE(""https://docs.google.com/spreadsheets/d/14Bd19lYaqBhU8_DElYkX7l4wRkHqqCUFNJY4AfY3kHU/edit?usp=sharing  #gid=0"",""фіз особи new!relations_name_uo""),7,FALSE)
,
)
))"),"ХАСАНОВ Михайло Бахадірович")</f>
        <v>ХАСАНОВ Михайло Бахадірович</v>
      </c>
      <c r="G12492" s="7" t="s">
        <v>10</v>
      </c>
      <c r="H12492" s="7">
        <v>18170</v>
      </c>
      <c r="I12492" s="8" t="str">
        <f ca="1">IFERROR(__xludf.DUMMYFUNCTION("IF
(
G12493=""фізична особа""
,
VLOOKUP(H12493,IMPORTRANGE(""https://docs.google.com/spreadsheets/d/14Bd19lYaqBhU8_DElYkX7l4wRkHqqCUFNJY4AfY3kHU/edit?usp=sharing  #gid=0"",""фіз особи new!relations_name""),6,FALSE)
,
(IF
(
G12493=""юридична особа""
,
VLOO"&amp;"KUP(H12493,IMPORTRANGE(""https://docs.google.com/spreadsheets/d/14Bd19lYaqBhU8_DElYkX7l4wRkHqqCUFNJY4AfY3kHU/edit?usp=sharing  #gid=0"",""фіз особи new!relations_name_uo""),7,FALSE)
,
)
))"),"ШТИРБА Андрій Васильович")</f>
        <v>ШТИРБА Андрій Васильович</v>
      </c>
      <c r="J12492" s="7" t="s">
        <v>11</v>
      </c>
    </row>
    <row r="12493" spans="1:10" ht="13.2">
      <c r="A12493" s="7">
        <v>12492</v>
      </c>
      <c r="B12493" s="7">
        <v>1</v>
      </c>
      <c r="C12493" s="7" t="s">
        <v>10</v>
      </c>
      <c r="D12493" s="7">
        <v>18170</v>
      </c>
      <c r="E12493" s="7" t="s">
        <v>11</v>
      </c>
      <c r="F12493" s="8" t="str">
        <f ca="1">IFERROR(__xludf.DUMMYFUNCTION("IF
(
C12494=""фізична особа""
,
VLOOKUP(D12494,IMPORTRANGE(""https://docs.google.com/spreadsheets/d/14Bd19lYaqBhU8_DElYkX7l4wRkHqqCUFNJY4AfY3kHU/edit?usp=sharing  #gid=0"",""фіз особи new!relations_name""),6,FALSE)
,
(IF
(
C12494=""юридична особа""
,
VLOO"&amp;"KUP(D12494,IMPORTRANGE(""https://docs.google.com/spreadsheets/d/14Bd19lYaqBhU8_DElYkX7l4wRkHqqCUFNJY4AfY3kHU/edit?usp=sharing  #gid=0"",""фіз особи new!relations_name_uo""),7,FALSE)
,
)
))"),"ШТИРБА Андрій Васильович")</f>
        <v>ШТИРБА Андрій Васильович</v>
      </c>
      <c r="G12493" s="7" t="s">
        <v>10</v>
      </c>
      <c r="H12493" s="7">
        <v>18169</v>
      </c>
      <c r="I12493" s="8" t="str">
        <f ca="1">IFERROR(__xludf.DUMMYFUNCTION("IF
(
G12494=""фізична особа""
,
VLOOKUP(H12494,IMPORTRANGE(""https://docs.google.com/spreadsheets/d/14Bd19lYaqBhU8_DElYkX7l4wRkHqqCUFNJY4AfY3kHU/edit?usp=sharing  #gid=0"",""фіз особи new!relations_name""),6,FALSE)
,
(IF
(
G12494=""юридична особа""
,
VLOO"&amp;"KUP(H12494,IMPORTRANGE(""https://docs.google.com/spreadsheets/d/14Bd19lYaqBhU8_DElYkX7l4wRkHqqCUFNJY4AfY3kHU/edit?usp=sharing  #gid=0"",""фіз особи new!relations_name_uo""),7,FALSE)
,
)
))"),"ХАСАНОВ Михайло Бахадірович")</f>
        <v>ХАСАНОВ Михайло Бахадірович</v>
      </c>
      <c r="J12493" s="7" t="s">
        <v>11</v>
      </c>
    </row>
    <row r="12494" spans="1:10" ht="13.2">
      <c r="A12494" s="7">
        <v>12493</v>
      </c>
      <c r="B12494" s="7">
        <v>1</v>
      </c>
      <c r="C12494" s="7" t="s">
        <v>10</v>
      </c>
      <c r="D12494" s="7">
        <v>18172</v>
      </c>
      <c r="E12494" s="7" t="s">
        <v>11</v>
      </c>
      <c r="F12494" s="8" t="str">
        <f ca="1">IFERROR(__xludf.DUMMYFUNCTION("IF
(
C12495=""фізична особа""
,
VLOOKUP(D12495,IMPORTRANGE(""https://docs.google.com/spreadsheets/d/14Bd19lYaqBhU8_DElYkX7l4wRkHqqCUFNJY4AfY3kHU/edit?usp=sharing  #gid=0"",""фіз особи new!relations_name""),6,FALSE)
,
(IF
(
C12495=""юридична особа""
,
VLOO"&amp;"KUP(D12495,IMPORTRANGE(""https://docs.google.com/spreadsheets/d/14Bd19lYaqBhU8_DElYkX7l4wRkHqqCUFNJY4AfY3kHU/edit?usp=sharing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4" s="7" t="s">
        <v>10</v>
      </c>
      <c r="H12494" s="7">
        <v>23642</v>
      </c>
      <c r="I12494" s="8" t="str">
        <f ca="1">IFERROR(__xludf.DUMMYFUNCTION("IF
(
G12495=""фізична особа""
,
VLOOKUP(H12495,IMPORTRANGE(""https://docs.google.com/spreadsheets/d/14Bd19lYaqBhU8_DElYkX7l4wRkHqqCUFNJY4AfY3kHU/edit?usp=sharing  #gid=0"",""фіз особи new!relations_name""),6,FALSE)
,
(IF
(
G12495=""юридична особа""
,
VLOO"&amp;"KUP(H12495,IMPORTRANGE(""https://docs.google.com/spreadsheets/d/14Bd19lYaqBhU8_DElYkX7l4wRkHqqCUFNJY4AfY3kHU/edit?usp=sharing  #gid=0"",""фіз особи new!relations_name_uo""),7,FALSE)
,
)
))"),"КОМАРОВ Андрій Андрійович")</f>
        <v>КОМАРОВ Андрій Андрійович</v>
      </c>
      <c r="J12494" s="7" t="s">
        <v>11</v>
      </c>
    </row>
    <row r="12495" spans="1:10" ht="13.2">
      <c r="A12495" s="7">
        <v>12494</v>
      </c>
      <c r="B12495" s="7">
        <v>1</v>
      </c>
      <c r="C12495" s="7" t="s">
        <v>10</v>
      </c>
      <c r="D12495" s="7">
        <v>18172</v>
      </c>
      <c r="E12495" s="7" t="s">
        <v>11</v>
      </c>
      <c r="F12495" s="8" t="str">
        <f ca="1">IFERROR(__xludf.DUMMYFUNCTION("IF
(
C12496=""фізична особа""
,
VLOOKUP(D12496,IMPORTRANGE(""https://docs.google.com/spreadsheets/d/14Bd19lYaqBhU8_DElYkX7l4wRkHqqCUFNJY4AfY3kHU/edit?usp=sharing  #gid=0"",""фіз особи new!relations_name""),6,FALSE)
,
(IF
(
C12496=""юридична особа""
,
VLOO"&amp;"KUP(D12496,IMPORTRANGE(""https://docs.google.com/spreadsheets/d/14Bd19lYaqBhU8_DElYkX7l4wRkHqqCUFNJY4AfY3kHU/edit?usp=sharing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5" s="7" t="s">
        <v>10</v>
      </c>
      <c r="H12495" s="7">
        <v>23643</v>
      </c>
      <c r="I12495" s="8" t="str">
        <f ca="1">IFERROR(__xludf.DUMMYFUNCTION("IF
(
G12496=""фізична особа""
,
VLOOKUP(H12496,IMPORTRANGE(""https://docs.google.com/spreadsheets/d/14Bd19lYaqBhU8_DElYkX7l4wRkHqqCUFNJY4AfY3kHU/edit?usp=sharing  #gid=0"",""фіз особи new!relations_name""),6,FALSE)
,
(IF
(
G12496=""юридична особа""
,
VLOO"&amp;"KUP(H12496,IMPORTRANGE(""https://docs.google.com/spreadsheets/d/14Bd19lYaqBhU8_DElYkX7l4wRkHqqCUFNJY4AfY3kHU/edit?usp=sharing  #gid=0"",""фіз особи new!relations_name_uo""),7,FALSE)
,
)
))"),"КРИЦЬКИЙ Антон Михайлович")</f>
        <v>КРИЦЬКИЙ Антон Михайлович</v>
      </c>
      <c r="J12495" s="7" t="s">
        <v>11</v>
      </c>
    </row>
    <row r="12496" spans="1:10" ht="13.2">
      <c r="A12496" s="7">
        <v>12495</v>
      </c>
      <c r="B12496" s="7">
        <v>1</v>
      </c>
      <c r="C12496" s="7" t="s">
        <v>10</v>
      </c>
      <c r="D12496" s="7">
        <v>18172</v>
      </c>
      <c r="E12496" s="7" t="s">
        <v>11</v>
      </c>
      <c r="F12496" s="8" t="str">
        <f ca="1">IFERROR(__xludf.DUMMYFUNCTION("IF
(
C12497=""фізична особа""
,
VLOOKUP(D12497,IMPORTRANGE(""https://docs.google.com/spreadsheets/d/14Bd19lYaqBhU8_DElYkX7l4wRkHqqCUFNJY4AfY3kHU/edit?usp=sharing  #gid=0"",""фіз особи new!relations_name""),6,FALSE)
,
(IF
(
C12497=""юридична особа""
,
VLOO"&amp;"KUP(D12497,IMPORTRANGE(""https://docs.google.com/spreadsheets/d/14Bd19lYaqBhU8_DElYkX7l4wRkHqqCUFNJY4AfY3kHU/edit?usp=sharing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6" s="7" t="s">
        <v>10</v>
      </c>
      <c r="H12496" s="7">
        <v>18173</v>
      </c>
      <c r="I12496" s="8" t="str">
        <f ca="1">IFERROR(__xludf.DUMMYFUNCTION("IF
(
G12497=""фізична особа""
,
VLOOKUP(H12497,IMPORTRANGE(""https://docs.google.com/spreadsheets/d/14Bd19lYaqBhU8_DElYkX7l4wRkHqqCUFNJY4AfY3kHU/edit?usp=sharing  #gid=0"",""фіз особи new!relations_name""),6,FALSE)
,
(IF
(
G12497=""юридична особа""
,
VLOO"&amp;"KUP(H12497,IMPORTRANGE(""https://docs.google.com/spreadsheets/d/14Bd19lYaqBhU8_DElYkX7l4wRkHqqCUFNJY4AfY3kHU/edit?usp=sharing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496" s="7" t="s">
        <v>11</v>
      </c>
    </row>
    <row r="12497" spans="1:10" ht="13.2">
      <c r="A12497" s="7">
        <v>12496</v>
      </c>
      <c r="B12497" s="7">
        <v>1</v>
      </c>
      <c r="C12497" s="7" t="s">
        <v>10</v>
      </c>
      <c r="D12497" s="7">
        <v>18172</v>
      </c>
      <c r="E12497" s="7" t="s">
        <v>11</v>
      </c>
      <c r="F12497" s="8" t="str">
        <f ca="1">IFERROR(__xludf.DUMMYFUNCTION("IF
(
C12498=""фізична особа""
,
VLOOKUP(D12498,IMPORTRANGE(""https://docs.google.com/spreadsheets/d/14Bd19lYaqBhU8_DElYkX7l4wRkHqqCUFNJY4AfY3kHU/edit?usp=sharing  #gid=0"",""фіз особи new!relations_name""),6,FALSE)
,
(IF
(
C12498=""юридична особа""
,
VLOO"&amp;"KUP(D12498,IMPORTRANGE(""https://docs.google.com/spreadsheets/d/14Bd19lYaqBhU8_DElYkX7l4wRkHqqCUFNJY4AfY3kHU/edit?usp=sharing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7" s="7" t="s">
        <v>10</v>
      </c>
      <c r="H12497" s="7">
        <v>18174</v>
      </c>
      <c r="I12497" s="8" t="str">
        <f ca="1">IFERROR(__xludf.DUMMYFUNCTION("IF
(
G12498=""фізична особа""
,
VLOOKUP(H12498,IMPORTRANGE(""https://docs.google.com/spreadsheets/d/14Bd19lYaqBhU8_DElYkX7l4wRkHqqCUFNJY4AfY3kHU/edit?usp=sharing  #gid=0"",""фіз особи new!relations_name""),6,FALSE)
,
(IF
(
G12498=""юридична особа""
,
VLOO"&amp;"KUP(H12498,IMPORTRANGE(""https://docs.google.com/spreadsheets/d/14Bd19lYaqBhU8_DElYkX7l4wRkHqqCUFNJY4AfY3kHU/edit?usp=sharing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497" s="7" t="s">
        <v>11</v>
      </c>
    </row>
    <row r="12498" spans="1:10" ht="13.2">
      <c r="A12498" s="7">
        <v>12497</v>
      </c>
      <c r="B12498" s="7">
        <v>1</v>
      </c>
      <c r="C12498" s="7" t="s">
        <v>10</v>
      </c>
      <c r="D12498" s="7">
        <v>18172</v>
      </c>
      <c r="E12498" s="7" t="s">
        <v>11</v>
      </c>
      <c r="F12498" s="8" t="str">
        <f ca="1">IFERROR(__xludf.DUMMYFUNCTION("IF
(
C12499=""фізична особа""
,
VLOOKUP(D12499,IMPORTRANGE(""https://docs.google.com/spreadsheets/d/14Bd19lYaqBhU8_DElYkX7l4wRkHqqCUFNJY4AfY3kHU/edit?usp=sharing  #gid=0"",""фіз особи new!relations_name""),6,FALSE)
,
(IF
(
C12499=""юридична особа""
,
VLOO"&amp;"KUP(D12499,IMPORTRANGE(""https://docs.google.com/spreadsheets/d/14Bd19lYaqBhU8_DElYkX7l4wRkHqqCUFNJY4AfY3kHU/edit?usp=sharing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8" s="7" t="s">
        <v>10</v>
      </c>
      <c r="H12498" s="7">
        <v>18175</v>
      </c>
      <c r="I12498" s="8" t="str">
        <f ca="1">IFERROR(__xludf.DUMMYFUNCTION("IF
(
G12499=""фізична особа""
,
VLOOKUP(H12499,IMPORTRANGE(""https://docs.google.com/spreadsheets/d/14Bd19lYaqBhU8_DElYkX7l4wRkHqqCUFNJY4AfY3kHU/edit?usp=sharing  #gid=0"",""фіз особи new!relations_name""),6,FALSE)
,
(IF
(
G12499=""юридична особа""
,
VLOO"&amp;"KUP(H12499,IMPORTRANGE(""https://docs.google.com/spreadsheets/d/14Bd19lYaqBhU8_DElYkX7l4wRkHqqCUFNJY4AfY3kHU/edit?usp=sharing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498" s="7" t="s">
        <v>11</v>
      </c>
    </row>
    <row r="12499" spans="1:10" ht="13.2">
      <c r="A12499" s="7">
        <v>12498</v>
      </c>
      <c r="B12499" s="7">
        <v>1</v>
      </c>
      <c r="C12499" s="7" t="s">
        <v>10</v>
      </c>
      <c r="D12499" s="7">
        <v>18172</v>
      </c>
      <c r="E12499" s="7" t="s">
        <v>11</v>
      </c>
      <c r="F12499" s="8" t="str">
        <f ca="1">IFERROR(__xludf.DUMMYFUNCTION("IF
(
C12500=""фізична особа""
,
VLOOKUP(D12500,IMPORTRANGE(""https://docs.google.com/spreadsheets/d/14Bd19lYaqBhU8_DElYkX7l4wRkHqqCUFNJY4AfY3kHU/edit?usp=sharing  #gid=0"",""фіз особи new!relations_name""),6,FALSE)
,
(IF
(
C12500=""юридична особа""
,
VLOO"&amp;"KUP(D12500,IMPORTRANGE(""https://docs.google.com/spreadsheets/d/14Bd19lYaqBhU8_DElYkX7l4wRkHqqCUFNJY4AfY3kHU/edit?usp=sharing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499" s="7" t="s">
        <v>10</v>
      </c>
      <c r="H12499" s="7">
        <v>18176</v>
      </c>
      <c r="I12499" s="8" t="str">
        <f ca="1">IFERROR(__xludf.DUMMYFUNCTION("IF
(
G12500=""фізична особа""
,
VLOOKUP(H12500,IMPORTRANGE(""https://docs.google.com/spreadsheets/d/14Bd19lYaqBhU8_DElYkX7l4wRkHqqCUFNJY4AfY3kHU/edit?usp=sharing  #gid=0"",""фіз особи new!relations_name""),6,FALSE)
,
(IF
(
G12500=""юридична особа""
,
VLOO"&amp;"KUP(H12500,IMPORTRANGE(""https://docs.google.com/spreadsheets/d/14Bd19lYaqBhU8_DElYkX7l4wRkHqqCUFNJY4AfY3kHU/edit?usp=sharing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499" s="7" t="s">
        <v>11</v>
      </c>
    </row>
    <row r="12500" spans="1:10" ht="13.2">
      <c r="A12500" s="7">
        <v>12499</v>
      </c>
      <c r="B12500" s="7">
        <v>1</v>
      </c>
      <c r="C12500" s="7" t="s">
        <v>10</v>
      </c>
      <c r="D12500" s="7">
        <v>18172</v>
      </c>
      <c r="E12500" s="7" t="s">
        <v>11</v>
      </c>
      <c r="F12500" s="8" t="str">
        <f ca="1">IFERROR(__xludf.DUMMYFUNCTION("IF
(
C12501=""фізична особа""
,
VLOOKUP(D12501,IMPORTRANGE(""https://docs.google.com/spreadsheets/d/14Bd19lYaqBhU8_DElYkX7l4wRkHqqCUFNJY4AfY3kHU/edit?usp=sharing  #gid=0"",""фіз особи new!relations_name""),6,FALSE)
,
(IF
(
C12501=""юридична особа""
,
VLOO"&amp;"KUP(D12501,IMPORTRANGE(""https://docs.google.com/spreadsheets/d/14Bd19lYaqBhU8_DElYkX7l4wRkHqqCUFNJY4AfY3kHU/edit?usp=sharing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500" s="7" t="s">
        <v>10</v>
      </c>
      <c r="H12500" s="7">
        <v>18177</v>
      </c>
      <c r="I12500" s="8" t="str">
        <f ca="1">IFERROR(__xludf.DUMMYFUNCTION("IF
(
G12501=""фізична особа""
,
VLOOKUP(H12501,IMPORTRANGE(""https://docs.google.com/spreadsheets/d/14Bd19lYaqBhU8_DElYkX7l4wRkHqqCUFNJY4AfY3kHU/edit?usp=sharing  #gid=0"",""фіз особи new!relations_name""),6,FALSE)
,
(IF
(
G12501=""юридична особа""
,
VLOO"&amp;"KUP(H12501,IMPORTRANGE(""https://docs.google.com/spreadsheets/d/14Bd19lYaqBhU8_DElYkX7l4wRkHqqCUFNJY4AfY3kHU/edit?usp=sharing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00" s="7" t="s">
        <v>11</v>
      </c>
    </row>
    <row r="12501" spans="1:10" ht="13.2">
      <c r="A12501" s="7">
        <v>12500</v>
      </c>
      <c r="B12501" s="7">
        <v>1</v>
      </c>
      <c r="C12501" s="7" t="s">
        <v>10</v>
      </c>
      <c r="D12501" s="7">
        <v>18172</v>
      </c>
      <c r="E12501" s="7" t="s">
        <v>11</v>
      </c>
      <c r="F12501" s="8" t="str">
        <f ca="1">IFERROR(__xludf.DUMMYFUNCTION("IF
(
C12502=""фізична особа""
,
VLOOKUP(D12502,IMPORTRANGE(""https://docs.google.com/spreadsheets/d/14Bd19lYaqBhU8_DElYkX7l4wRkHqqCUFNJY4AfY3kHU/edit?usp=sharing  #gid=0"",""фіз особи new!relations_name""),6,FALSE)
,
(IF
(
C12502=""юридична особа""
,
VLOO"&amp;"KUP(D12502,IMPORTRANGE(""https://docs.google.com/spreadsheets/d/14Bd19lYaqBhU8_DElYkX7l4wRkHqqCUFNJY4AfY3kHU/edit?usp=sharing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501" s="7" t="s">
        <v>10</v>
      </c>
      <c r="H12501" s="7">
        <v>18178</v>
      </c>
      <c r="I12501" s="8" t="str">
        <f ca="1">IFERROR(__xludf.DUMMYFUNCTION("IF
(
G12502=""фізична особа""
,
VLOOKUP(H12502,IMPORTRANGE(""https://docs.google.com/spreadsheets/d/14Bd19lYaqBhU8_DElYkX7l4wRkHqqCUFNJY4AfY3kHU/edit?usp=sharing  #gid=0"",""фіз особи new!relations_name""),6,FALSE)
,
(IF
(
G12502=""юридична особа""
,
VLOO"&amp;"KUP(H12502,IMPORTRANGE(""https://docs.google.com/spreadsheets/d/14Bd19lYaqBhU8_DElYkX7l4wRkHqqCUFNJY4AfY3kHU/edit?usp=sharing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01" s="7" t="s">
        <v>11</v>
      </c>
    </row>
    <row r="12502" spans="1:10" ht="13.2">
      <c r="A12502" s="7">
        <v>12501</v>
      </c>
      <c r="B12502" s="7">
        <v>1</v>
      </c>
      <c r="C12502" s="7" t="s">
        <v>10</v>
      </c>
      <c r="D12502" s="7">
        <v>18172</v>
      </c>
      <c r="E12502" s="7" t="s">
        <v>11</v>
      </c>
      <c r="F12502" s="8" t="str">
        <f ca="1">IFERROR(__xludf.DUMMYFUNCTION("IF
(
C12503=""фізична особа""
,
VLOOKUP(D12503,IMPORTRANGE(""https://docs.google.com/spreadsheets/d/14Bd19lYaqBhU8_DElYkX7l4wRkHqqCUFNJY4AfY3kHU/edit?usp=sharing  #gid=0"",""фіз особи new!relations_name""),6,FALSE)
,
(IF
(
C12503=""юридична особа""
,
VLOO"&amp;"KUP(D12503,IMPORTRANGE(""https://docs.google.com/spreadsheets/d/14Bd19lYaqBhU8_DElYkX7l4wRkHqqCUFNJY4AfY3kHU/edit?usp=sharing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502" s="7" t="s">
        <v>10</v>
      </c>
      <c r="H12502" s="7">
        <v>23644</v>
      </c>
      <c r="I12502" s="8" t="str">
        <f ca="1">IFERROR(__xludf.DUMMYFUNCTION("IF
(
G12503=""фізична особа""
,
VLOOKUP(H12503,IMPORTRANGE(""https://docs.google.com/spreadsheets/d/14Bd19lYaqBhU8_DElYkX7l4wRkHqqCUFNJY4AfY3kHU/edit?usp=sharing  #gid=0"",""фіз особи new!relations_name""),6,FALSE)
,
(IF
(
G12503=""юридична особа""
,
VLOO"&amp;"KUP(H12503,IMPORTRANGE(""https://docs.google.com/spreadsheets/d/14Bd19lYaqBhU8_DElYkX7l4wRkHqqCUFNJY4AfY3kHU/edit?usp=sharing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02" s="7" t="s">
        <v>11</v>
      </c>
    </row>
    <row r="12503" spans="1:10" ht="13.2">
      <c r="A12503" s="7">
        <v>12502</v>
      </c>
      <c r="B12503" s="7">
        <v>1</v>
      </c>
      <c r="C12503" s="7" t="s">
        <v>10</v>
      </c>
      <c r="D12503" s="7">
        <v>18172</v>
      </c>
      <c r="E12503" s="7" t="s">
        <v>11</v>
      </c>
      <c r="F12503" s="8" t="str">
        <f ca="1">IFERROR(__xludf.DUMMYFUNCTION("IF
(
C12504=""фізична особа""
,
VLOOKUP(D12504,IMPORTRANGE(""https://docs.google.com/spreadsheets/d/14Bd19lYaqBhU8_DElYkX7l4wRkHqqCUFNJY4AfY3kHU/edit?usp=sharing  #gid=0"",""фіз особи new!relations_name""),6,FALSE)
,
(IF
(
C12504=""юридична особа""
,
VLOO"&amp;"KUP(D12504,IMPORTRANGE(""https://docs.google.com/spreadsheets/d/14Bd19lYaqBhU8_DElYkX7l4wRkHqqCUFNJY4AfY3kHU/edit?usp=sharing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G12503" s="7" t="s">
        <v>10</v>
      </c>
      <c r="H12503" s="7">
        <v>23645</v>
      </c>
      <c r="I12503" s="8" t="str">
        <f ca="1">IFERROR(__xludf.DUMMYFUNCTION("IF
(
G12504=""фізична особа""
,
VLOOKUP(H12504,IMPORTRANGE(""https://docs.google.com/spreadsheets/d/14Bd19lYaqBhU8_DElYkX7l4wRkHqqCUFNJY4AfY3kHU/edit?usp=sharing  #gid=0"",""фіз особи new!relations_name""),6,FALSE)
,
(IF
(
G12504=""юридична особа""
,
VLOO"&amp;"KUP(H12504,IMPORTRANGE(""https://docs.google.com/spreadsheets/d/14Bd19lYaqBhU8_DElYkX7l4wRkHqqCUFNJY4AfY3kHU/edit?usp=sharing  #gid=0"",""фіз особи new!relations_name_uo""),7,FALSE)
,
)
))"),"СОЛОМАТІНА Наталія Петрівна")</f>
        <v>СОЛОМАТІНА Наталія Петрівна</v>
      </c>
      <c r="J12503" s="7" t="s">
        <v>11</v>
      </c>
    </row>
    <row r="12504" spans="1:10" ht="13.2">
      <c r="A12504" s="7">
        <v>12503</v>
      </c>
      <c r="B12504" s="7">
        <v>1</v>
      </c>
      <c r="C12504" s="7" t="s">
        <v>10</v>
      </c>
      <c r="D12504" s="7">
        <v>18173</v>
      </c>
      <c r="E12504" s="7" t="s">
        <v>11</v>
      </c>
      <c r="F12504" s="8" t="str">
        <f ca="1">IFERROR(__xludf.DUMMYFUNCTION("IF
(
C12505=""фізична особа""
,
VLOOKUP(D12505,IMPORTRANGE(""https://docs.google.com/spreadsheets/d/14Bd19lYaqBhU8_DElYkX7l4wRkHqqCUFNJY4AfY3kHU/edit?usp=sharing  #gid=0"",""фіз особи new!relations_name""),6,FALSE)
,
(IF
(
C12505=""юридична особа""
,
VLOO"&amp;"KUP(D12505,IMPORTRANGE(""https://docs.google.com/spreadsheets/d/14Bd19lYaqBhU8_DElYkX7l4wRkHqqCUFNJY4AfY3kHU/edit?usp=sharing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4" s="7" t="s">
        <v>10</v>
      </c>
      <c r="H12504" s="7">
        <v>23642</v>
      </c>
      <c r="I12504" s="8" t="str">
        <f ca="1">IFERROR(__xludf.DUMMYFUNCTION("IF
(
G12505=""фізична особа""
,
VLOOKUP(H12505,IMPORTRANGE(""https://docs.google.com/spreadsheets/d/14Bd19lYaqBhU8_DElYkX7l4wRkHqqCUFNJY4AfY3kHU/edit?usp=sharing  #gid=0"",""фіз особи new!relations_name""),6,FALSE)
,
(IF
(
G12505=""юридична особа""
,
VLOO"&amp;"KUP(H12505,IMPORTRANGE(""https://docs.google.com/spreadsheets/d/14Bd19lYaqBhU8_DElYkX7l4wRkHqqCUFNJY4AfY3kHU/edit?usp=sharing  #gid=0"",""фіз особи new!relations_name_uo""),7,FALSE)
,
)
))"),"КОМАРОВ Андрій Андрійович")</f>
        <v>КОМАРОВ Андрій Андрійович</v>
      </c>
      <c r="J12504" s="7" t="s">
        <v>11</v>
      </c>
    </row>
    <row r="12505" spans="1:10" ht="13.2">
      <c r="A12505" s="7">
        <v>12504</v>
      </c>
      <c r="B12505" s="7">
        <v>1</v>
      </c>
      <c r="C12505" s="7" t="s">
        <v>10</v>
      </c>
      <c r="D12505" s="7">
        <v>18173</v>
      </c>
      <c r="E12505" s="7" t="s">
        <v>11</v>
      </c>
      <c r="F12505" s="8" t="str">
        <f ca="1">IFERROR(__xludf.DUMMYFUNCTION("IF
(
C12506=""фізична особа""
,
VLOOKUP(D12506,IMPORTRANGE(""https://docs.google.com/spreadsheets/d/14Bd19lYaqBhU8_DElYkX7l4wRkHqqCUFNJY4AfY3kHU/edit?usp=sharing  #gid=0"",""фіз особи new!relations_name""),6,FALSE)
,
(IF
(
C12506=""юридична особа""
,
VLOO"&amp;"KUP(D12506,IMPORTRANGE(""https://docs.google.com/spreadsheets/d/14Bd19lYaqBhU8_DElYkX7l4wRkHqqCUFNJY4AfY3kHU/edit?usp=sharing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5" s="7" t="s">
        <v>10</v>
      </c>
      <c r="H12505" s="7">
        <v>23643</v>
      </c>
      <c r="I12505" s="8" t="str">
        <f ca="1">IFERROR(__xludf.DUMMYFUNCTION("IF
(
G12506=""фізична особа""
,
VLOOKUP(H12506,IMPORTRANGE(""https://docs.google.com/spreadsheets/d/14Bd19lYaqBhU8_DElYkX7l4wRkHqqCUFNJY4AfY3kHU/edit?usp=sharing  #gid=0"",""фіз особи new!relations_name""),6,FALSE)
,
(IF
(
G12506=""юридична особа""
,
VLOO"&amp;"KUP(H12506,IMPORTRANGE(""https://docs.google.com/spreadsheets/d/14Bd19lYaqBhU8_DElYkX7l4wRkHqqCUFNJY4AfY3kHU/edit?usp=sharing  #gid=0"",""фіз особи new!relations_name_uo""),7,FALSE)
,
)
))"),"КРИЦЬКИЙ Антон Михайлович")</f>
        <v>КРИЦЬКИЙ Антон Михайлович</v>
      </c>
      <c r="J12505" s="7" t="s">
        <v>11</v>
      </c>
    </row>
    <row r="12506" spans="1:10" ht="13.2">
      <c r="A12506" s="7">
        <v>12505</v>
      </c>
      <c r="B12506" s="7">
        <v>1</v>
      </c>
      <c r="C12506" s="7" t="s">
        <v>10</v>
      </c>
      <c r="D12506" s="7">
        <v>18173</v>
      </c>
      <c r="E12506" s="7" t="s">
        <v>11</v>
      </c>
      <c r="F12506" s="8" t="str">
        <f ca="1">IFERROR(__xludf.DUMMYFUNCTION("IF
(
C12507=""фізична особа""
,
VLOOKUP(D12507,IMPORTRANGE(""https://docs.google.com/spreadsheets/d/14Bd19lYaqBhU8_DElYkX7l4wRkHqqCUFNJY4AfY3kHU/edit?usp=sharing  #gid=0"",""фіз особи new!relations_name""),6,FALSE)
,
(IF
(
C12507=""юридична особа""
,
VLOO"&amp;"KUP(D12507,IMPORTRANGE(""https://docs.google.com/spreadsheets/d/14Bd19lYaqBhU8_DElYkX7l4wRkHqqCUFNJY4AfY3kHU/edit?usp=sharing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6" s="7" t="s">
        <v>10</v>
      </c>
      <c r="H12506" s="7">
        <v>18172</v>
      </c>
      <c r="I12506" s="8" t="str">
        <f ca="1">IFERROR(__xludf.DUMMYFUNCTION("IF
(
G12507=""фізична особа""
,
VLOOKUP(H12507,IMPORTRANGE(""https://docs.google.com/spreadsheets/d/14Bd19lYaqBhU8_DElYkX7l4wRkHqqCUFNJY4AfY3kHU/edit?usp=sharing  #gid=0"",""фіз особи new!relations_name""),6,FALSE)
,
(IF
(
G12507=""юридична особа""
,
VLOO"&amp;"KUP(H12507,IMPORTRANGE(""https://docs.google.com/spreadsheets/d/14Bd19lYaqBhU8_DElYkX7l4wRkHqqCUFNJY4AfY3kHU/edit?usp=sharing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06" s="7" t="s">
        <v>11</v>
      </c>
    </row>
    <row r="12507" spans="1:10" ht="13.2">
      <c r="A12507" s="7">
        <v>12506</v>
      </c>
      <c r="B12507" s="7">
        <v>1</v>
      </c>
      <c r="C12507" s="7" t="s">
        <v>10</v>
      </c>
      <c r="D12507" s="7">
        <v>18173</v>
      </c>
      <c r="E12507" s="7" t="s">
        <v>11</v>
      </c>
      <c r="F12507" s="8" t="str">
        <f ca="1">IFERROR(__xludf.DUMMYFUNCTION("IF
(
C12508=""фізична особа""
,
VLOOKUP(D12508,IMPORTRANGE(""https://docs.google.com/spreadsheets/d/14Bd19lYaqBhU8_DElYkX7l4wRkHqqCUFNJY4AfY3kHU/edit?usp=sharing  #gid=0"",""фіз особи new!relations_name""),6,FALSE)
,
(IF
(
C12508=""юридична особа""
,
VLOO"&amp;"KUP(D12508,IMPORTRANGE(""https://docs.google.com/spreadsheets/d/14Bd19lYaqBhU8_DElYkX7l4wRkHqqCUFNJY4AfY3kHU/edit?usp=sharing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7" s="7" t="s">
        <v>10</v>
      </c>
      <c r="H12507" s="7">
        <v>18174</v>
      </c>
      <c r="I12507" s="8" t="str">
        <f ca="1">IFERROR(__xludf.DUMMYFUNCTION("IF
(
G12508=""фізична особа""
,
VLOOKUP(H12508,IMPORTRANGE(""https://docs.google.com/spreadsheets/d/14Bd19lYaqBhU8_DElYkX7l4wRkHqqCUFNJY4AfY3kHU/edit?usp=sharing  #gid=0"",""фіз особи new!relations_name""),6,FALSE)
,
(IF
(
G12508=""юридична особа""
,
VLOO"&amp;"KUP(H12508,IMPORTRANGE(""https://docs.google.com/spreadsheets/d/14Bd19lYaqBhU8_DElYkX7l4wRkHqqCUFNJY4AfY3kHU/edit?usp=sharing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507" s="7" t="s">
        <v>11</v>
      </c>
    </row>
    <row r="12508" spans="1:10" ht="13.2">
      <c r="A12508" s="7">
        <v>12507</v>
      </c>
      <c r="B12508" s="7">
        <v>1</v>
      </c>
      <c r="C12508" s="7" t="s">
        <v>10</v>
      </c>
      <c r="D12508" s="7">
        <v>18173</v>
      </c>
      <c r="E12508" s="7" t="s">
        <v>11</v>
      </c>
      <c r="F12508" s="8" t="str">
        <f ca="1">IFERROR(__xludf.DUMMYFUNCTION("IF
(
C12509=""фізична особа""
,
VLOOKUP(D12509,IMPORTRANGE(""https://docs.google.com/spreadsheets/d/14Bd19lYaqBhU8_DElYkX7l4wRkHqqCUFNJY4AfY3kHU/edit?usp=sharing  #gid=0"",""фіз особи new!relations_name""),6,FALSE)
,
(IF
(
C12509=""юридична особа""
,
VLOO"&amp;"KUP(D12509,IMPORTRANGE(""https://docs.google.com/spreadsheets/d/14Bd19lYaqBhU8_DElYkX7l4wRkHqqCUFNJY4AfY3kHU/edit?usp=sharing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8" s="7" t="s">
        <v>10</v>
      </c>
      <c r="H12508" s="7">
        <v>18175</v>
      </c>
      <c r="I12508" s="8" t="str">
        <f ca="1">IFERROR(__xludf.DUMMYFUNCTION("IF
(
G12509=""фізична особа""
,
VLOOKUP(H12509,IMPORTRANGE(""https://docs.google.com/spreadsheets/d/14Bd19lYaqBhU8_DElYkX7l4wRkHqqCUFNJY4AfY3kHU/edit?usp=sharing  #gid=0"",""фіз особи new!relations_name""),6,FALSE)
,
(IF
(
G12509=""юридична особа""
,
VLOO"&amp;"KUP(H12509,IMPORTRANGE(""https://docs.google.com/spreadsheets/d/14Bd19lYaqBhU8_DElYkX7l4wRkHqqCUFNJY4AfY3kHU/edit?usp=sharing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508" s="7" t="s">
        <v>11</v>
      </c>
    </row>
    <row r="12509" spans="1:10" ht="13.2">
      <c r="A12509" s="7">
        <v>12508</v>
      </c>
      <c r="B12509" s="7">
        <v>1</v>
      </c>
      <c r="C12509" s="7" t="s">
        <v>10</v>
      </c>
      <c r="D12509" s="7">
        <v>18173</v>
      </c>
      <c r="E12509" s="7" t="s">
        <v>11</v>
      </c>
      <c r="F12509" s="8" t="str">
        <f ca="1">IFERROR(__xludf.DUMMYFUNCTION("IF
(
C12510=""фізична особа""
,
VLOOKUP(D12510,IMPORTRANGE(""https://docs.google.com/spreadsheets/d/14Bd19lYaqBhU8_DElYkX7l4wRkHqqCUFNJY4AfY3kHU/edit?usp=sharing  #gid=0"",""фіз особи new!relations_name""),6,FALSE)
,
(IF
(
C12510=""юридична особа""
,
VLOO"&amp;"KUP(D12510,IMPORTRANGE(""https://docs.google.com/spreadsheets/d/14Bd19lYaqBhU8_DElYkX7l4wRkHqqCUFNJY4AfY3kHU/edit?usp=sharing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09" s="7" t="s">
        <v>10</v>
      </c>
      <c r="H12509" s="7">
        <v>18176</v>
      </c>
      <c r="I12509" s="8" t="str">
        <f ca="1">IFERROR(__xludf.DUMMYFUNCTION("IF
(
G12510=""фізична особа""
,
VLOOKUP(H12510,IMPORTRANGE(""https://docs.google.com/spreadsheets/d/14Bd19lYaqBhU8_DElYkX7l4wRkHqqCUFNJY4AfY3kHU/edit?usp=sharing  #gid=0"",""фіз особи new!relations_name""),6,FALSE)
,
(IF
(
G12510=""юридична особа""
,
VLOO"&amp;"KUP(H12510,IMPORTRANGE(""https://docs.google.com/spreadsheets/d/14Bd19lYaqBhU8_DElYkX7l4wRkHqqCUFNJY4AfY3kHU/edit?usp=sharing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509" s="7" t="s">
        <v>11</v>
      </c>
    </row>
    <row r="12510" spans="1:10" ht="13.2">
      <c r="A12510" s="7">
        <v>12509</v>
      </c>
      <c r="B12510" s="7">
        <v>1</v>
      </c>
      <c r="C12510" s="7" t="s">
        <v>10</v>
      </c>
      <c r="D12510" s="7">
        <v>18173</v>
      </c>
      <c r="E12510" s="7" t="s">
        <v>11</v>
      </c>
      <c r="F12510" s="8" t="str">
        <f ca="1">IFERROR(__xludf.DUMMYFUNCTION("IF
(
C12511=""фізична особа""
,
VLOOKUP(D12511,IMPORTRANGE(""https://docs.google.com/spreadsheets/d/14Bd19lYaqBhU8_DElYkX7l4wRkHqqCUFNJY4AfY3kHU/edit?usp=sharing  #gid=0"",""фіз особи new!relations_name""),6,FALSE)
,
(IF
(
C12511=""юридична особа""
,
VLOO"&amp;"KUP(D12511,IMPORTRANGE(""https://docs.google.com/spreadsheets/d/14Bd19lYaqBhU8_DElYkX7l4wRkHqqCUFNJY4AfY3kHU/edit?usp=sharing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10" s="7" t="s">
        <v>10</v>
      </c>
      <c r="H12510" s="7">
        <v>18177</v>
      </c>
      <c r="I12510" s="8" t="str">
        <f ca="1">IFERROR(__xludf.DUMMYFUNCTION("IF
(
G12511=""фізична особа""
,
VLOOKUP(H12511,IMPORTRANGE(""https://docs.google.com/spreadsheets/d/14Bd19lYaqBhU8_DElYkX7l4wRkHqqCUFNJY4AfY3kHU/edit?usp=sharing  #gid=0"",""фіз особи new!relations_name""),6,FALSE)
,
(IF
(
G12511=""юридична особа""
,
VLOO"&amp;"KUP(H12511,IMPORTRANGE(""https://docs.google.com/spreadsheets/d/14Bd19lYaqBhU8_DElYkX7l4wRkHqqCUFNJY4AfY3kHU/edit?usp=sharing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10" s="7" t="s">
        <v>11</v>
      </c>
    </row>
    <row r="12511" spans="1:10" ht="13.2">
      <c r="A12511" s="7">
        <v>12510</v>
      </c>
      <c r="B12511" s="7">
        <v>1</v>
      </c>
      <c r="C12511" s="7" t="s">
        <v>10</v>
      </c>
      <c r="D12511" s="7">
        <v>18173</v>
      </c>
      <c r="E12511" s="7" t="s">
        <v>11</v>
      </c>
      <c r="F12511" s="8" t="str">
        <f ca="1">IFERROR(__xludf.DUMMYFUNCTION("IF
(
C12512=""фізична особа""
,
VLOOKUP(D12512,IMPORTRANGE(""https://docs.google.com/spreadsheets/d/14Bd19lYaqBhU8_DElYkX7l4wRkHqqCUFNJY4AfY3kHU/edit?usp=sharing  #gid=0"",""фіз особи new!relations_name""),6,FALSE)
,
(IF
(
C12512=""юридична особа""
,
VLOO"&amp;"KUP(D12512,IMPORTRANGE(""https://docs.google.com/spreadsheets/d/14Bd19lYaqBhU8_DElYkX7l4wRkHqqCUFNJY4AfY3kHU/edit?usp=sharing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11" s="7" t="s">
        <v>10</v>
      </c>
      <c r="H12511" s="7">
        <v>18178</v>
      </c>
      <c r="I12511" s="8" t="str">
        <f ca="1">IFERROR(__xludf.DUMMYFUNCTION("IF
(
G12512=""фізична особа""
,
VLOOKUP(H12512,IMPORTRANGE(""https://docs.google.com/spreadsheets/d/14Bd19lYaqBhU8_DElYkX7l4wRkHqqCUFNJY4AfY3kHU/edit?usp=sharing  #gid=0"",""фіз особи new!relations_name""),6,FALSE)
,
(IF
(
G12512=""юридична особа""
,
VLOO"&amp;"KUP(H12512,IMPORTRANGE(""https://docs.google.com/spreadsheets/d/14Bd19lYaqBhU8_DElYkX7l4wRkHqqCUFNJY4AfY3kHU/edit?usp=sharing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11" s="7" t="s">
        <v>11</v>
      </c>
    </row>
    <row r="12512" spans="1:10" ht="13.2">
      <c r="A12512" s="7">
        <v>12511</v>
      </c>
      <c r="B12512" s="7">
        <v>1</v>
      </c>
      <c r="C12512" s="7" t="s">
        <v>10</v>
      </c>
      <c r="D12512" s="7">
        <v>18173</v>
      </c>
      <c r="E12512" s="7" t="s">
        <v>11</v>
      </c>
      <c r="F12512" s="8" t="str">
        <f ca="1">IFERROR(__xludf.DUMMYFUNCTION("IF
(
C12513=""фізична особа""
,
VLOOKUP(D12513,IMPORTRANGE(""https://docs.google.com/spreadsheets/d/14Bd19lYaqBhU8_DElYkX7l4wRkHqqCUFNJY4AfY3kHU/edit?usp=sharing  #gid=0"",""фіз особи new!relations_name""),6,FALSE)
,
(IF
(
C12513=""юридична особа""
,
VLOO"&amp;"KUP(D12513,IMPORTRANGE(""https://docs.google.com/spreadsheets/d/14Bd19lYaqBhU8_DElYkX7l4wRkHqqCUFNJY4AfY3kHU/edit?usp=sharing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12" s="7" t="s">
        <v>10</v>
      </c>
      <c r="H12512" s="7">
        <v>23644</v>
      </c>
      <c r="I12512" s="8" t="str">
        <f ca="1">IFERROR(__xludf.DUMMYFUNCTION("IF
(
G12513=""фізична особа""
,
VLOOKUP(H12513,IMPORTRANGE(""https://docs.google.com/spreadsheets/d/14Bd19lYaqBhU8_DElYkX7l4wRkHqqCUFNJY4AfY3kHU/edit?usp=sharing  #gid=0"",""фіз особи new!relations_name""),6,FALSE)
,
(IF
(
G12513=""юридична особа""
,
VLOO"&amp;"KUP(H12513,IMPORTRANGE(""https://docs.google.com/spreadsheets/d/14Bd19lYaqBhU8_DElYkX7l4wRkHqqCUFNJY4AfY3kHU/edit?usp=sharing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12" s="7" t="s">
        <v>11</v>
      </c>
    </row>
    <row r="12513" spans="1:10" ht="13.2">
      <c r="A12513" s="7">
        <v>12512</v>
      </c>
      <c r="B12513" s="7">
        <v>1</v>
      </c>
      <c r="C12513" s="7" t="s">
        <v>10</v>
      </c>
      <c r="D12513" s="7">
        <v>18173</v>
      </c>
      <c r="E12513" s="7" t="s">
        <v>11</v>
      </c>
      <c r="F12513" s="8" t="str">
        <f ca="1">IFERROR(__xludf.DUMMYFUNCTION("IF
(
C12514=""фізична особа""
,
VLOOKUP(D12514,IMPORTRANGE(""https://docs.google.com/spreadsheets/d/14Bd19lYaqBhU8_DElYkX7l4wRkHqqCUFNJY4AfY3kHU/edit?usp=sharing  #gid=0"",""фіз особи new!relations_name""),6,FALSE)
,
(IF
(
C12514=""юридична особа""
,
VLOO"&amp;"KUP(D12514,IMPORTRANGE(""https://docs.google.com/spreadsheets/d/14Bd19lYaqBhU8_DElYkX7l4wRkHqqCUFNJY4AfY3kHU/edit?usp=sharing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13" s="7" t="s">
        <v>10</v>
      </c>
      <c r="H12513" s="7">
        <v>23645</v>
      </c>
      <c r="I12513" s="8" t="str">
        <f ca="1">IFERROR(__xludf.DUMMYFUNCTION("IF
(
G12514=""фізична особа""
,
VLOOKUP(H12514,IMPORTRANGE(""https://docs.google.com/spreadsheets/d/14Bd19lYaqBhU8_DElYkX7l4wRkHqqCUFNJY4AfY3kHU/edit?usp=sharing  #gid=0"",""фіз особи new!relations_name""),6,FALSE)
,
(IF
(
G12514=""юридична особа""
,
VLOO"&amp;"KUP(H12514,IMPORTRANGE(""https://docs.google.com/spreadsheets/d/14Bd19lYaqBhU8_DElYkX7l4wRkHqqCUFNJY4AfY3kHU/edit?usp=sharing  #gid=0"",""фіз особи new!relations_name_uo""),7,FALSE)
,
)
))"),"СОЛОМАТІНА Наталія Петрівна")</f>
        <v>СОЛОМАТІНА Наталія Петрівна</v>
      </c>
      <c r="J12513" s="7" t="s">
        <v>11</v>
      </c>
    </row>
    <row r="12514" spans="1:10" ht="13.2">
      <c r="A12514" s="7">
        <v>12513</v>
      </c>
      <c r="B12514" s="7">
        <v>1</v>
      </c>
      <c r="C12514" s="7" t="s">
        <v>10</v>
      </c>
      <c r="D12514" s="7">
        <v>18173</v>
      </c>
      <c r="E12514" s="7" t="s">
        <v>11</v>
      </c>
      <c r="F12514" s="8" t="str">
        <f ca="1">IFERROR(__xludf.DUMMYFUNCTION("IF
(
C12515=""фізична особа""
,
VLOOKUP(D12515,IMPORTRANGE(""https://docs.google.com/spreadsheets/d/14Bd19lYaqBhU8_DElYkX7l4wRkHqqCUFNJY4AfY3kHU/edit?usp=sharing  #gid=0"",""фіз особи new!relations_name""),6,FALSE)
,
(IF
(
C12515=""юридична особа""
,
VLOO"&amp;"KUP(D12515,IMPORTRANGE(""https://docs.google.com/spreadsheets/d/14Bd19lYaqBhU8_DElYkX7l4wRkHqqCUFNJY4AfY3kHU/edit?usp=sharing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G12514" s="7" t="s">
        <v>10</v>
      </c>
      <c r="H12514" s="7">
        <v>23646</v>
      </c>
      <c r="I12514" s="8" t="str">
        <f ca="1">IFERROR(__xludf.DUMMYFUNCTION("IF
(
G12515=""фізична особа""
,
VLOOKUP(H12515,IMPORTRANGE(""https://docs.google.com/spreadsheets/d/14Bd19lYaqBhU8_DElYkX7l4wRkHqqCUFNJY4AfY3kHU/edit?usp=sharing  #gid=0"",""фіз особи new!relations_name""),6,FALSE)
,
(IF
(
G12515=""юридична особа""
,
VLOO"&amp;"KUP(H12515,IMPORTRANGE(""https://docs.google.com/spreadsheets/d/14Bd19lYaqBhU8_DElYkX7l4wRkHqqCUFNJY4AfY3kHU/edit?usp=sharing  #gid=0"",""фіз особи new!relations_name_uo""),7,FALSE)
,
)
))"),"КАЙКИ Микола Дмитрович")</f>
        <v>КАЙКИ Микола Дмитрович</v>
      </c>
      <c r="J12514" s="7" t="s">
        <v>11</v>
      </c>
    </row>
    <row r="12515" spans="1:10" ht="13.2">
      <c r="A12515" s="7">
        <v>12514</v>
      </c>
      <c r="B12515" s="7">
        <v>1</v>
      </c>
      <c r="C12515" s="7" t="s">
        <v>10</v>
      </c>
      <c r="D12515" s="7">
        <v>18174</v>
      </c>
      <c r="E12515" s="7" t="s">
        <v>11</v>
      </c>
      <c r="F12515" s="8" t="str">
        <f ca="1">IFERROR(__xludf.DUMMYFUNCTION("IF
(
C12516=""фізична особа""
,
VLOOKUP(D12516,IMPORTRANGE(""https://docs.google.com/spreadsheets/d/14Bd19lYaqBhU8_DElYkX7l4wRkHqqCUFNJY4AfY3kHU/edit?usp=sharing  #gid=0"",""фіз особи new!relations_name""),6,FALSE)
,
(IF
(
C12516=""юридична особа""
,
VLOO"&amp;"KUP(D12516,IMPORTRANGE(""https://docs.google.com/spreadsheets/d/14Bd19lYaqBhU8_DElYkX7l4wRkHqqCUFNJY4AfY3kHU/edit?usp=sharing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15" s="7" t="s">
        <v>10</v>
      </c>
      <c r="H12515" s="7">
        <v>18172</v>
      </c>
      <c r="I12515" s="8" t="str">
        <f ca="1">IFERROR(__xludf.DUMMYFUNCTION("IF
(
G12516=""фізична особа""
,
VLOOKUP(H12516,IMPORTRANGE(""https://docs.google.com/spreadsheets/d/14Bd19lYaqBhU8_DElYkX7l4wRkHqqCUFNJY4AfY3kHU/edit?usp=sharing  #gid=0"",""фіз особи new!relations_name""),6,FALSE)
,
(IF
(
G12516=""юридична особа""
,
VLOO"&amp;"KUP(H12516,IMPORTRANGE(""https://docs.google.com/spreadsheets/d/14Bd19lYaqBhU8_DElYkX7l4wRkHqqCUFNJY4AfY3kHU/edit?usp=sharing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15" s="7" t="s">
        <v>11</v>
      </c>
    </row>
    <row r="12516" spans="1:10" ht="13.2">
      <c r="A12516" s="7">
        <v>12515</v>
      </c>
      <c r="B12516" s="7">
        <v>1</v>
      </c>
      <c r="C12516" s="7" t="s">
        <v>10</v>
      </c>
      <c r="D12516" s="7">
        <v>18174</v>
      </c>
      <c r="E12516" s="7" t="s">
        <v>11</v>
      </c>
      <c r="F12516" s="8" t="str">
        <f ca="1">IFERROR(__xludf.DUMMYFUNCTION("IF
(
C12517=""фізична особа""
,
VLOOKUP(D12517,IMPORTRANGE(""https://docs.google.com/spreadsheets/d/14Bd19lYaqBhU8_DElYkX7l4wRkHqqCUFNJY4AfY3kHU/edit?usp=sharing  #gid=0"",""фіз особи new!relations_name""),6,FALSE)
,
(IF
(
C12517=""юридична особа""
,
VLOO"&amp;"KUP(D12517,IMPORTRANGE(""https://docs.google.com/spreadsheets/d/14Bd19lYaqBhU8_DElYkX7l4wRkHqqCUFNJY4AfY3kHU/edit?usp=sharing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16" s="7" t="s">
        <v>10</v>
      </c>
      <c r="H12516" s="7">
        <v>18173</v>
      </c>
      <c r="I12516" s="8" t="str">
        <f ca="1">IFERROR(__xludf.DUMMYFUNCTION("IF
(
G12517=""фізична особа""
,
VLOOKUP(H12517,IMPORTRANGE(""https://docs.google.com/spreadsheets/d/14Bd19lYaqBhU8_DElYkX7l4wRkHqqCUFNJY4AfY3kHU/edit?usp=sharing  #gid=0"",""фіз особи new!relations_name""),6,FALSE)
,
(IF
(
G12517=""юридична особа""
,
VLOO"&amp;"KUP(H12517,IMPORTRANGE(""https://docs.google.com/spreadsheets/d/14Bd19lYaqBhU8_DElYkX7l4wRkHqqCUFNJY4AfY3kHU/edit?usp=sharing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516" s="7" t="s">
        <v>11</v>
      </c>
    </row>
    <row r="12517" spans="1:10" ht="13.2">
      <c r="A12517" s="7">
        <v>12516</v>
      </c>
      <c r="B12517" s="7">
        <v>1</v>
      </c>
      <c r="C12517" s="7" t="s">
        <v>10</v>
      </c>
      <c r="D12517" s="7">
        <v>18174</v>
      </c>
      <c r="E12517" s="7" t="s">
        <v>11</v>
      </c>
      <c r="F12517" s="8" t="str">
        <f ca="1">IFERROR(__xludf.DUMMYFUNCTION("IF
(
C12518=""фізична особа""
,
VLOOKUP(D12518,IMPORTRANGE(""https://docs.google.com/spreadsheets/d/14Bd19lYaqBhU8_DElYkX7l4wRkHqqCUFNJY4AfY3kHU/edit?usp=sharing  #gid=0"",""фіз особи new!relations_name""),6,FALSE)
,
(IF
(
C12518=""юридична особа""
,
VLOO"&amp;"KUP(D12518,IMPORTRANGE(""https://docs.google.com/spreadsheets/d/14Bd19lYaqBhU8_DElYkX7l4wRkHqqCUFNJY4AfY3kHU/edit?usp=sharing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17" s="7" t="s">
        <v>10</v>
      </c>
      <c r="H12517" s="7">
        <v>18175</v>
      </c>
      <c r="I12517" s="8" t="str">
        <f ca="1">IFERROR(__xludf.DUMMYFUNCTION("IF
(
G12518=""фізична особа""
,
VLOOKUP(H12518,IMPORTRANGE(""https://docs.google.com/spreadsheets/d/14Bd19lYaqBhU8_DElYkX7l4wRkHqqCUFNJY4AfY3kHU/edit?usp=sharing  #gid=0"",""фіз особи new!relations_name""),6,FALSE)
,
(IF
(
G12518=""юридична особа""
,
VLOO"&amp;"KUP(H12518,IMPORTRANGE(""https://docs.google.com/spreadsheets/d/14Bd19lYaqBhU8_DElYkX7l4wRkHqqCUFNJY4AfY3kHU/edit?usp=sharing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517" s="7" t="s">
        <v>11</v>
      </c>
    </row>
    <row r="12518" spans="1:10" ht="13.2">
      <c r="A12518" s="7">
        <v>12517</v>
      </c>
      <c r="B12518" s="7">
        <v>1</v>
      </c>
      <c r="C12518" s="7" t="s">
        <v>10</v>
      </c>
      <c r="D12518" s="7">
        <v>18174</v>
      </c>
      <c r="E12518" s="7" t="s">
        <v>11</v>
      </c>
      <c r="F12518" s="8" t="str">
        <f ca="1">IFERROR(__xludf.DUMMYFUNCTION("IF
(
C12519=""фізична особа""
,
VLOOKUP(D12519,IMPORTRANGE(""https://docs.google.com/spreadsheets/d/14Bd19lYaqBhU8_DElYkX7l4wRkHqqCUFNJY4AfY3kHU/edit?usp=sharing  #gid=0"",""фіз особи new!relations_name""),6,FALSE)
,
(IF
(
C12519=""юридична особа""
,
VLOO"&amp;"KUP(D12519,IMPORTRANGE(""https://docs.google.com/spreadsheets/d/14Bd19lYaqBhU8_DElYkX7l4wRkHqqCUFNJY4AfY3kHU/edit?usp=sharing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18" s="7" t="s">
        <v>10</v>
      </c>
      <c r="H12518" s="7">
        <v>18176</v>
      </c>
      <c r="I12518" s="8" t="str">
        <f ca="1">IFERROR(__xludf.DUMMYFUNCTION("IF
(
G12519=""фізична особа""
,
VLOOKUP(H12519,IMPORTRANGE(""https://docs.google.com/spreadsheets/d/14Bd19lYaqBhU8_DElYkX7l4wRkHqqCUFNJY4AfY3kHU/edit?usp=sharing  #gid=0"",""фіз особи new!relations_name""),6,FALSE)
,
(IF
(
G12519=""юридична особа""
,
VLOO"&amp;"KUP(H12519,IMPORTRANGE(""https://docs.google.com/spreadsheets/d/14Bd19lYaqBhU8_DElYkX7l4wRkHqqCUFNJY4AfY3kHU/edit?usp=sharing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518" s="7" t="s">
        <v>11</v>
      </c>
    </row>
    <row r="12519" spans="1:10" ht="13.2">
      <c r="A12519" s="7">
        <v>12518</v>
      </c>
      <c r="B12519" s="7">
        <v>1</v>
      </c>
      <c r="C12519" s="7" t="s">
        <v>10</v>
      </c>
      <c r="D12519" s="7">
        <v>18174</v>
      </c>
      <c r="E12519" s="7" t="s">
        <v>11</v>
      </c>
      <c r="F12519" s="8" t="str">
        <f ca="1">IFERROR(__xludf.DUMMYFUNCTION("IF
(
C12520=""фізична особа""
,
VLOOKUP(D12520,IMPORTRANGE(""https://docs.google.com/spreadsheets/d/14Bd19lYaqBhU8_DElYkX7l4wRkHqqCUFNJY4AfY3kHU/edit?usp=sharing  #gid=0"",""фіз особи new!relations_name""),6,FALSE)
,
(IF
(
C12520=""юридична особа""
,
VLOO"&amp;"KUP(D12520,IMPORTRANGE(""https://docs.google.com/spreadsheets/d/14Bd19lYaqBhU8_DElYkX7l4wRkHqqCUFNJY4AfY3kHU/edit?usp=sharing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19" s="7" t="s">
        <v>10</v>
      </c>
      <c r="H12519" s="7">
        <v>18177</v>
      </c>
      <c r="I12519" s="8" t="str">
        <f ca="1">IFERROR(__xludf.DUMMYFUNCTION("IF
(
G12520=""фізична особа""
,
VLOOKUP(H12520,IMPORTRANGE(""https://docs.google.com/spreadsheets/d/14Bd19lYaqBhU8_DElYkX7l4wRkHqqCUFNJY4AfY3kHU/edit?usp=sharing  #gid=0"",""фіз особи new!relations_name""),6,FALSE)
,
(IF
(
G12520=""юридична особа""
,
VLOO"&amp;"KUP(H12520,IMPORTRANGE(""https://docs.google.com/spreadsheets/d/14Bd19lYaqBhU8_DElYkX7l4wRkHqqCUFNJY4AfY3kHU/edit?usp=sharing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19" s="7" t="s">
        <v>11</v>
      </c>
    </row>
    <row r="12520" spans="1:10" ht="13.2">
      <c r="A12520" s="7">
        <v>12519</v>
      </c>
      <c r="B12520" s="7">
        <v>1</v>
      </c>
      <c r="C12520" s="7" t="s">
        <v>10</v>
      </c>
      <c r="D12520" s="7">
        <v>18174</v>
      </c>
      <c r="E12520" s="7" t="s">
        <v>11</v>
      </c>
      <c r="F12520" s="8" t="str">
        <f ca="1">IFERROR(__xludf.DUMMYFUNCTION("IF
(
C12521=""фізична особа""
,
VLOOKUP(D12521,IMPORTRANGE(""https://docs.google.com/spreadsheets/d/14Bd19lYaqBhU8_DElYkX7l4wRkHqqCUFNJY4AfY3kHU/edit?usp=sharing  #gid=0"",""фіз особи new!relations_name""),6,FALSE)
,
(IF
(
C12521=""юридична особа""
,
VLOO"&amp;"KUP(D12521,IMPORTRANGE(""https://docs.google.com/spreadsheets/d/14Bd19lYaqBhU8_DElYkX7l4wRkHqqCUFNJY4AfY3kHU/edit?usp=sharing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20" s="7" t="s">
        <v>10</v>
      </c>
      <c r="H12520" s="7">
        <v>18178</v>
      </c>
      <c r="I12520" s="8" t="str">
        <f ca="1">IFERROR(__xludf.DUMMYFUNCTION("IF
(
G12521=""фізична особа""
,
VLOOKUP(H12521,IMPORTRANGE(""https://docs.google.com/spreadsheets/d/14Bd19lYaqBhU8_DElYkX7l4wRkHqqCUFNJY4AfY3kHU/edit?usp=sharing  #gid=0"",""фіз особи new!relations_name""),6,FALSE)
,
(IF
(
G12521=""юридична особа""
,
VLOO"&amp;"KUP(H12521,IMPORTRANGE(""https://docs.google.com/spreadsheets/d/14Bd19lYaqBhU8_DElYkX7l4wRkHqqCUFNJY4AfY3kHU/edit?usp=sharing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20" s="7" t="s">
        <v>11</v>
      </c>
    </row>
    <row r="12521" spans="1:10" ht="13.2">
      <c r="A12521" s="7">
        <v>12520</v>
      </c>
      <c r="B12521" s="7">
        <v>1</v>
      </c>
      <c r="C12521" s="7" t="s">
        <v>10</v>
      </c>
      <c r="D12521" s="7">
        <v>18174</v>
      </c>
      <c r="E12521" s="7" t="s">
        <v>11</v>
      </c>
      <c r="F12521" s="8" t="str">
        <f ca="1">IFERROR(__xludf.DUMMYFUNCTION("IF
(
C12522=""фізична особа""
,
VLOOKUP(D12522,IMPORTRANGE(""https://docs.google.com/spreadsheets/d/14Bd19lYaqBhU8_DElYkX7l4wRkHqqCUFNJY4AfY3kHU/edit?usp=sharing  #gid=0"",""фіз особи new!relations_name""),6,FALSE)
,
(IF
(
C12522=""юридична особа""
,
VLOO"&amp;"KUP(D12522,IMPORTRANGE(""https://docs.google.com/spreadsheets/d/14Bd19lYaqBhU8_DElYkX7l4wRkHqqCUFNJY4AfY3kHU/edit?usp=sharing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21" s="7" t="s">
        <v>10</v>
      </c>
      <c r="H12521" s="7">
        <v>23644</v>
      </c>
      <c r="I12521" s="8" t="str">
        <f ca="1">IFERROR(__xludf.DUMMYFUNCTION("IF
(
G12522=""фізична особа""
,
VLOOKUP(H12522,IMPORTRANGE(""https://docs.google.com/spreadsheets/d/14Bd19lYaqBhU8_DElYkX7l4wRkHqqCUFNJY4AfY3kHU/edit?usp=sharing  #gid=0"",""фіз особи new!relations_name""),6,FALSE)
,
(IF
(
G12522=""юридична особа""
,
VLOO"&amp;"KUP(H12522,IMPORTRANGE(""https://docs.google.com/spreadsheets/d/14Bd19lYaqBhU8_DElYkX7l4wRkHqqCUFNJY4AfY3kHU/edit?usp=sharing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21" s="7" t="s">
        <v>11</v>
      </c>
    </row>
    <row r="12522" spans="1:10" ht="13.2">
      <c r="A12522" s="7">
        <v>12521</v>
      </c>
      <c r="B12522" s="7">
        <v>1</v>
      </c>
      <c r="C12522" s="7" t="s">
        <v>10</v>
      </c>
      <c r="D12522" s="7">
        <v>18174</v>
      </c>
      <c r="E12522" s="7" t="s">
        <v>11</v>
      </c>
      <c r="F12522" s="8" t="str">
        <f ca="1">IFERROR(__xludf.DUMMYFUNCTION("IF
(
C12523=""фізична особа""
,
VLOOKUP(D12523,IMPORTRANGE(""https://docs.google.com/spreadsheets/d/14Bd19lYaqBhU8_DElYkX7l4wRkHqqCUFNJY4AfY3kHU/edit?usp=sharing  #gid=0"",""фіз особи new!relations_name""),6,FALSE)
,
(IF
(
C12523=""юридична особа""
,
VLOO"&amp;"KUP(D12523,IMPORTRANGE(""https://docs.google.com/spreadsheets/d/14Bd19lYaqBhU8_DElYkX7l4wRkHqqCUFNJY4AfY3kHU/edit?usp=sharing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G12522" s="7" t="s">
        <v>10</v>
      </c>
      <c r="H12522" s="7">
        <v>23646</v>
      </c>
      <c r="I12522" s="8" t="str">
        <f ca="1">IFERROR(__xludf.DUMMYFUNCTION("IF
(
G12523=""фізична особа""
,
VLOOKUP(H12523,IMPORTRANGE(""https://docs.google.com/spreadsheets/d/14Bd19lYaqBhU8_DElYkX7l4wRkHqqCUFNJY4AfY3kHU/edit?usp=sharing  #gid=0"",""фіз особи new!relations_name""),6,FALSE)
,
(IF
(
G12523=""юридична особа""
,
VLOO"&amp;"KUP(H12523,IMPORTRANGE(""https://docs.google.com/spreadsheets/d/14Bd19lYaqBhU8_DElYkX7l4wRkHqqCUFNJY4AfY3kHU/edit?usp=sharing  #gid=0"",""фіз особи new!relations_name_uo""),7,FALSE)
,
)
))"),"КАЙКИ Микола Дмитрович")</f>
        <v>КАЙКИ Микола Дмитрович</v>
      </c>
      <c r="J12522" s="7" t="s">
        <v>11</v>
      </c>
    </row>
    <row r="12523" spans="1:10" ht="13.2">
      <c r="A12523" s="7">
        <v>12522</v>
      </c>
      <c r="B12523" s="7">
        <v>1</v>
      </c>
      <c r="C12523" s="7" t="s">
        <v>10</v>
      </c>
      <c r="D12523" s="7">
        <v>18175</v>
      </c>
      <c r="E12523" s="7" t="s">
        <v>11</v>
      </c>
      <c r="F12523" s="8" t="str">
        <f ca="1">IFERROR(__xludf.DUMMYFUNCTION("IF
(
C12524=""фізична особа""
,
VLOOKUP(D12524,IMPORTRANGE(""https://docs.google.com/spreadsheets/d/14Bd19lYaqBhU8_DElYkX7l4wRkHqqCUFNJY4AfY3kHU/edit?usp=sharing  #gid=0"",""фіз особи new!relations_name""),6,FALSE)
,
(IF
(
C12524=""юридична особа""
,
VLOO"&amp;"KUP(D12524,IMPORTRANGE(""https://docs.google.com/spreadsheets/d/14Bd19lYaqBhU8_DElYkX7l4wRkHqqCUFNJY4AfY3kHU/edit?usp=sharing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3" s="7" t="s">
        <v>10</v>
      </c>
      <c r="H12523" s="7">
        <v>18172</v>
      </c>
      <c r="I12523" s="8" t="str">
        <f ca="1">IFERROR(__xludf.DUMMYFUNCTION("IF
(
G12524=""фізична особа""
,
VLOOKUP(H12524,IMPORTRANGE(""https://docs.google.com/spreadsheets/d/14Bd19lYaqBhU8_DElYkX7l4wRkHqqCUFNJY4AfY3kHU/edit?usp=sharing  #gid=0"",""фіз особи new!relations_name""),6,FALSE)
,
(IF
(
G12524=""юридична особа""
,
VLOO"&amp;"KUP(H12524,IMPORTRANGE(""https://docs.google.com/spreadsheets/d/14Bd19lYaqBhU8_DElYkX7l4wRkHqqCUFNJY4AfY3kHU/edit?usp=sharing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23" s="7" t="s">
        <v>11</v>
      </c>
    </row>
    <row r="12524" spans="1:10" ht="13.2">
      <c r="A12524" s="7">
        <v>12523</v>
      </c>
      <c r="B12524" s="7">
        <v>1</v>
      </c>
      <c r="C12524" s="7" t="s">
        <v>10</v>
      </c>
      <c r="D12524" s="7">
        <v>18175</v>
      </c>
      <c r="E12524" s="7" t="s">
        <v>11</v>
      </c>
      <c r="F12524" s="8" t="str">
        <f ca="1">IFERROR(__xludf.DUMMYFUNCTION("IF
(
C12525=""фізична особа""
,
VLOOKUP(D12525,IMPORTRANGE(""https://docs.google.com/spreadsheets/d/14Bd19lYaqBhU8_DElYkX7l4wRkHqqCUFNJY4AfY3kHU/edit?usp=sharing  #gid=0"",""фіз особи new!relations_name""),6,FALSE)
,
(IF
(
C12525=""юридична особа""
,
VLOO"&amp;"KUP(D12525,IMPORTRANGE(""https://docs.google.com/spreadsheets/d/14Bd19lYaqBhU8_DElYkX7l4wRkHqqCUFNJY4AfY3kHU/edit?usp=sharing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4" s="7" t="s">
        <v>10</v>
      </c>
      <c r="H12524" s="7">
        <v>18173</v>
      </c>
      <c r="I12524" s="8" t="str">
        <f ca="1">IFERROR(__xludf.DUMMYFUNCTION("IF
(
G12525=""фізична особа""
,
VLOOKUP(H12525,IMPORTRANGE(""https://docs.google.com/spreadsheets/d/14Bd19lYaqBhU8_DElYkX7l4wRkHqqCUFNJY4AfY3kHU/edit?usp=sharing  #gid=0"",""фіз особи new!relations_name""),6,FALSE)
,
(IF
(
G12525=""юридична особа""
,
VLOO"&amp;"KUP(H12525,IMPORTRANGE(""https://docs.google.com/spreadsheets/d/14Bd19lYaqBhU8_DElYkX7l4wRkHqqCUFNJY4AfY3kHU/edit?usp=sharing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524" s="7" t="s">
        <v>11</v>
      </c>
    </row>
    <row r="12525" spans="1:10" ht="13.2">
      <c r="A12525" s="7">
        <v>12524</v>
      </c>
      <c r="B12525" s="7">
        <v>1</v>
      </c>
      <c r="C12525" s="7" t="s">
        <v>10</v>
      </c>
      <c r="D12525" s="7">
        <v>18175</v>
      </c>
      <c r="E12525" s="7" t="s">
        <v>11</v>
      </c>
      <c r="F12525" s="8" t="str">
        <f ca="1">IFERROR(__xludf.DUMMYFUNCTION("IF
(
C12526=""фізична особа""
,
VLOOKUP(D12526,IMPORTRANGE(""https://docs.google.com/spreadsheets/d/14Bd19lYaqBhU8_DElYkX7l4wRkHqqCUFNJY4AfY3kHU/edit?usp=sharing  #gid=0"",""фіз особи new!relations_name""),6,FALSE)
,
(IF
(
C12526=""юридична особа""
,
VLOO"&amp;"KUP(D12526,IMPORTRANGE(""https://docs.google.com/spreadsheets/d/14Bd19lYaqBhU8_DElYkX7l4wRkHqqCUFNJY4AfY3kHU/edit?usp=sharing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5" s="7" t="s">
        <v>10</v>
      </c>
      <c r="H12525" s="7">
        <v>18174</v>
      </c>
      <c r="I12525" s="8" t="str">
        <f ca="1">IFERROR(__xludf.DUMMYFUNCTION("IF
(
G12526=""фізична особа""
,
VLOOKUP(H12526,IMPORTRANGE(""https://docs.google.com/spreadsheets/d/14Bd19lYaqBhU8_DElYkX7l4wRkHqqCUFNJY4AfY3kHU/edit?usp=sharing  #gid=0"",""фіз особи new!relations_name""),6,FALSE)
,
(IF
(
G12526=""юридична особа""
,
VLOO"&amp;"KUP(H12526,IMPORTRANGE(""https://docs.google.com/spreadsheets/d/14Bd19lYaqBhU8_DElYkX7l4wRkHqqCUFNJY4AfY3kHU/edit?usp=sharing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525" s="7" t="s">
        <v>11</v>
      </c>
    </row>
    <row r="12526" spans="1:10" ht="13.2">
      <c r="A12526" s="7">
        <v>12525</v>
      </c>
      <c r="B12526" s="7">
        <v>1</v>
      </c>
      <c r="C12526" s="7" t="s">
        <v>10</v>
      </c>
      <c r="D12526" s="7">
        <v>18175</v>
      </c>
      <c r="E12526" s="7" t="s">
        <v>11</v>
      </c>
      <c r="F12526" s="8" t="str">
        <f ca="1">IFERROR(__xludf.DUMMYFUNCTION("IF
(
C12527=""фізична особа""
,
VLOOKUP(D12527,IMPORTRANGE(""https://docs.google.com/spreadsheets/d/14Bd19lYaqBhU8_DElYkX7l4wRkHqqCUFNJY4AfY3kHU/edit?usp=sharing  #gid=0"",""фіз особи new!relations_name""),6,FALSE)
,
(IF
(
C12527=""юридична особа""
,
VLOO"&amp;"KUP(D12527,IMPORTRANGE(""https://docs.google.com/spreadsheets/d/14Bd19lYaqBhU8_DElYkX7l4wRkHqqCUFNJY4AfY3kHU/edit?usp=sharing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6" s="7" t="s">
        <v>10</v>
      </c>
      <c r="H12526" s="7">
        <v>18176</v>
      </c>
      <c r="I12526" s="8" t="str">
        <f ca="1">IFERROR(__xludf.DUMMYFUNCTION("IF
(
G12527=""фізична особа""
,
VLOOKUP(H12527,IMPORTRANGE(""https://docs.google.com/spreadsheets/d/14Bd19lYaqBhU8_DElYkX7l4wRkHqqCUFNJY4AfY3kHU/edit?usp=sharing  #gid=0"",""фіз особи new!relations_name""),6,FALSE)
,
(IF
(
G12527=""юридична особа""
,
VLOO"&amp;"KUP(H12527,IMPORTRANGE(""https://docs.google.com/spreadsheets/d/14Bd19lYaqBhU8_DElYkX7l4wRkHqqCUFNJY4AfY3kHU/edit?usp=sharing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526" s="7" t="s">
        <v>11</v>
      </c>
    </row>
    <row r="12527" spans="1:10" ht="13.2">
      <c r="A12527" s="7">
        <v>12526</v>
      </c>
      <c r="B12527" s="7">
        <v>1</v>
      </c>
      <c r="C12527" s="7" t="s">
        <v>10</v>
      </c>
      <c r="D12527" s="7">
        <v>18175</v>
      </c>
      <c r="E12527" s="7" t="s">
        <v>11</v>
      </c>
      <c r="F12527" s="8" t="str">
        <f ca="1">IFERROR(__xludf.DUMMYFUNCTION("IF
(
C12528=""фізична особа""
,
VLOOKUP(D12528,IMPORTRANGE(""https://docs.google.com/spreadsheets/d/14Bd19lYaqBhU8_DElYkX7l4wRkHqqCUFNJY4AfY3kHU/edit?usp=sharing  #gid=0"",""фіз особи new!relations_name""),6,FALSE)
,
(IF
(
C12528=""юридична особа""
,
VLOO"&amp;"KUP(D12528,IMPORTRANGE(""https://docs.google.com/spreadsheets/d/14Bd19lYaqBhU8_DElYkX7l4wRkHqqCUFNJY4AfY3kHU/edit?usp=sharing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7" s="7" t="s">
        <v>10</v>
      </c>
      <c r="H12527" s="7">
        <v>18177</v>
      </c>
      <c r="I12527" s="8" t="str">
        <f ca="1">IFERROR(__xludf.DUMMYFUNCTION("IF
(
G12528=""фізична особа""
,
VLOOKUP(H12528,IMPORTRANGE(""https://docs.google.com/spreadsheets/d/14Bd19lYaqBhU8_DElYkX7l4wRkHqqCUFNJY4AfY3kHU/edit?usp=sharing  #gid=0"",""фіз особи new!relations_name""),6,FALSE)
,
(IF
(
G12528=""юридична особа""
,
VLOO"&amp;"KUP(H12528,IMPORTRANGE(""https://docs.google.com/spreadsheets/d/14Bd19lYaqBhU8_DElYkX7l4wRkHqqCUFNJY4AfY3kHU/edit?usp=sharing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27" s="7" t="s">
        <v>11</v>
      </c>
    </row>
    <row r="12528" spans="1:10" ht="13.2">
      <c r="A12528" s="7">
        <v>12527</v>
      </c>
      <c r="B12528" s="7">
        <v>1</v>
      </c>
      <c r="C12528" s="7" t="s">
        <v>10</v>
      </c>
      <c r="D12528" s="7">
        <v>18175</v>
      </c>
      <c r="E12528" s="7" t="s">
        <v>11</v>
      </c>
      <c r="F12528" s="8" t="str">
        <f ca="1">IFERROR(__xludf.DUMMYFUNCTION("IF
(
C12529=""фізична особа""
,
VLOOKUP(D12529,IMPORTRANGE(""https://docs.google.com/spreadsheets/d/14Bd19lYaqBhU8_DElYkX7l4wRkHqqCUFNJY4AfY3kHU/edit?usp=sharing  #gid=0"",""фіз особи new!relations_name""),6,FALSE)
,
(IF
(
C12529=""юридична особа""
,
VLOO"&amp;"KUP(D12529,IMPORTRANGE(""https://docs.google.com/spreadsheets/d/14Bd19lYaqBhU8_DElYkX7l4wRkHqqCUFNJY4AfY3kHU/edit?usp=sharing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8" s="7" t="s">
        <v>10</v>
      </c>
      <c r="H12528" s="7">
        <v>18178</v>
      </c>
      <c r="I12528" s="8" t="str">
        <f ca="1">IFERROR(__xludf.DUMMYFUNCTION("IF
(
G12529=""фізична особа""
,
VLOOKUP(H12529,IMPORTRANGE(""https://docs.google.com/spreadsheets/d/14Bd19lYaqBhU8_DElYkX7l4wRkHqqCUFNJY4AfY3kHU/edit?usp=sharing  #gid=0"",""фіз особи new!relations_name""),6,FALSE)
,
(IF
(
G12529=""юридична особа""
,
VLOO"&amp;"KUP(H12529,IMPORTRANGE(""https://docs.google.com/spreadsheets/d/14Bd19lYaqBhU8_DElYkX7l4wRkHqqCUFNJY4AfY3kHU/edit?usp=sharing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28" s="7" t="s">
        <v>11</v>
      </c>
    </row>
    <row r="12529" spans="1:10" ht="13.2">
      <c r="A12529" s="7">
        <v>12528</v>
      </c>
      <c r="B12529" s="7">
        <v>1</v>
      </c>
      <c r="C12529" s="7" t="s">
        <v>10</v>
      </c>
      <c r="D12529" s="7">
        <v>18175</v>
      </c>
      <c r="E12529" s="7" t="s">
        <v>11</v>
      </c>
      <c r="F12529" s="8" t="str">
        <f ca="1">IFERROR(__xludf.DUMMYFUNCTION("IF
(
C12530=""фізична особа""
,
VLOOKUP(D12530,IMPORTRANGE(""https://docs.google.com/spreadsheets/d/14Bd19lYaqBhU8_DElYkX7l4wRkHqqCUFNJY4AfY3kHU/edit?usp=sharing  #gid=0"",""фіз особи new!relations_name""),6,FALSE)
,
(IF
(
C12530=""юридична особа""
,
VLOO"&amp;"KUP(D12530,IMPORTRANGE(""https://docs.google.com/spreadsheets/d/14Bd19lYaqBhU8_DElYkX7l4wRkHqqCUFNJY4AfY3kHU/edit?usp=sharing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29" s="7" t="s">
        <v>10</v>
      </c>
      <c r="H12529" s="7">
        <v>23644</v>
      </c>
      <c r="I12529" s="8" t="str">
        <f ca="1">IFERROR(__xludf.DUMMYFUNCTION("IF
(
G12530=""фізична особа""
,
VLOOKUP(H12530,IMPORTRANGE(""https://docs.google.com/spreadsheets/d/14Bd19lYaqBhU8_DElYkX7l4wRkHqqCUFNJY4AfY3kHU/edit?usp=sharing  #gid=0"",""фіз особи new!relations_name""),6,FALSE)
,
(IF
(
G12530=""юридична особа""
,
VLOO"&amp;"KUP(H12530,IMPORTRANGE(""https://docs.google.com/spreadsheets/d/14Bd19lYaqBhU8_DElYkX7l4wRkHqqCUFNJY4AfY3kHU/edit?usp=sharing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29" s="7" t="s">
        <v>11</v>
      </c>
    </row>
    <row r="12530" spans="1:10" ht="13.2">
      <c r="A12530" s="7">
        <v>12529</v>
      </c>
      <c r="B12530" s="7">
        <v>1</v>
      </c>
      <c r="C12530" s="7" t="s">
        <v>10</v>
      </c>
      <c r="D12530" s="7">
        <v>18175</v>
      </c>
      <c r="E12530" s="7" t="s">
        <v>11</v>
      </c>
      <c r="F12530" s="8" t="str">
        <f ca="1">IFERROR(__xludf.DUMMYFUNCTION("IF
(
C12531=""фізична особа""
,
VLOOKUP(D12531,IMPORTRANGE(""https://docs.google.com/spreadsheets/d/14Bd19lYaqBhU8_DElYkX7l4wRkHqqCUFNJY4AfY3kHU/edit?usp=sharing  #gid=0"",""фіз особи new!relations_name""),6,FALSE)
,
(IF
(
C12531=""юридична особа""
,
VLOO"&amp;"KUP(D12531,IMPORTRANGE(""https://docs.google.com/spreadsheets/d/14Bd19lYaqBhU8_DElYkX7l4wRkHqqCUFNJY4AfY3kHU/edit?usp=sharing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G12530" s="7" t="s">
        <v>10</v>
      </c>
      <c r="H12530" s="7">
        <v>23645</v>
      </c>
      <c r="I12530" s="8" t="str">
        <f ca="1">IFERROR(__xludf.DUMMYFUNCTION("IF
(
G12531=""фізична особа""
,
VLOOKUP(H12531,IMPORTRANGE(""https://docs.google.com/spreadsheets/d/14Bd19lYaqBhU8_DElYkX7l4wRkHqqCUFNJY4AfY3kHU/edit?usp=sharing  #gid=0"",""фіз особи new!relations_name""),6,FALSE)
,
(IF
(
G12531=""юридична особа""
,
VLOO"&amp;"KUP(H12531,IMPORTRANGE(""https://docs.google.com/spreadsheets/d/14Bd19lYaqBhU8_DElYkX7l4wRkHqqCUFNJY4AfY3kHU/edit?usp=sharing  #gid=0"",""фіз особи new!relations_name_uo""),7,FALSE)
,
)
))"),"СОЛОМАТІНА Наталія Петрівна")</f>
        <v>СОЛОМАТІНА Наталія Петрівна</v>
      </c>
      <c r="J12530" s="7" t="s">
        <v>11</v>
      </c>
    </row>
    <row r="12531" spans="1:10" ht="13.2">
      <c r="A12531" s="7">
        <v>12530</v>
      </c>
      <c r="B12531" s="7">
        <v>1</v>
      </c>
      <c r="C12531" s="7" t="s">
        <v>10</v>
      </c>
      <c r="D12531" s="7">
        <v>18176</v>
      </c>
      <c r="E12531" s="7" t="s">
        <v>11</v>
      </c>
      <c r="F12531" s="8" t="str">
        <f ca="1">IFERROR(__xludf.DUMMYFUNCTION("IF
(
C12532=""фізична особа""
,
VLOOKUP(D12532,IMPORTRANGE(""https://docs.google.com/spreadsheets/d/14Bd19lYaqBhU8_DElYkX7l4wRkHqqCUFNJY4AfY3kHU/edit?usp=sharing  #gid=0"",""фіз особи new!relations_name""),6,FALSE)
,
(IF
(
C12532=""юридична особа""
,
VLOO"&amp;"KUP(D12532,IMPORTRANGE(""https://docs.google.com/spreadsheets/d/14Bd19lYaqBhU8_DElYkX7l4wRkHqqCUFNJY4AfY3kHU/edit?usp=sharing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1" s="7" t="s">
        <v>10</v>
      </c>
      <c r="H12531" s="7">
        <v>23642</v>
      </c>
      <c r="I12531" s="8" t="str">
        <f ca="1">IFERROR(__xludf.DUMMYFUNCTION("IF
(
G12532=""фізична особа""
,
VLOOKUP(H12532,IMPORTRANGE(""https://docs.google.com/spreadsheets/d/14Bd19lYaqBhU8_DElYkX7l4wRkHqqCUFNJY4AfY3kHU/edit?usp=sharing  #gid=0"",""фіз особи new!relations_name""),6,FALSE)
,
(IF
(
G12532=""юридична особа""
,
VLOO"&amp;"KUP(H12532,IMPORTRANGE(""https://docs.google.com/spreadsheets/d/14Bd19lYaqBhU8_DElYkX7l4wRkHqqCUFNJY4AfY3kHU/edit?usp=sharing  #gid=0"",""фіз особи new!relations_name_uo""),7,FALSE)
,
)
))"),"КОМАРОВ Андрій Андрійович")</f>
        <v>КОМАРОВ Андрій Андрійович</v>
      </c>
      <c r="J12531" s="7" t="s">
        <v>11</v>
      </c>
    </row>
    <row r="12532" spans="1:10" ht="13.2">
      <c r="A12532" s="7">
        <v>12531</v>
      </c>
      <c r="B12532" s="7">
        <v>1</v>
      </c>
      <c r="C12532" s="7" t="s">
        <v>10</v>
      </c>
      <c r="D12532" s="7">
        <v>18176</v>
      </c>
      <c r="E12532" s="7" t="s">
        <v>11</v>
      </c>
      <c r="F12532" s="8" t="str">
        <f ca="1">IFERROR(__xludf.DUMMYFUNCTION("IF
(
C12533=""фізична особа""
,
VLOOKUP(D12533,IMPORTRANGE(""https://docs.google.com/spreadsheets/d/14Bd19lYaqBhU8_DElYkX7l4wRkHqqCUFNJY4AfY3kHU/edit?usp=sharing  #gid=0"",""фіз особи new!relations_name""),6,FALSE)
,
(IF
(
C12533=""юридична особа""
,
VLOO"&amp;"KUP(D12533,IMPORTRANGE(""https://docs.google.com/spreadsheets/d/14Bd19lYaqBhU8_DElYkX7l4wRkHqqCUFNJY4AfY3kHU/edit?usp=sharing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2" s="7" t="s">
        <v>10</v>
      </c>
      <c r="H12532" s="7">
        <v>23643</v>
      </c>
      <c r="I12532" s="8" t="str">
        <f ca="1">IFERROR(__xludf.DUMMYFUNCTION("IF
(
G12533=""фізична особа""
,
VLOOKUP(H12533,IMPORTRANGE(""https://docs.google.com/spreadsheets/d/14Bd19lYaqBhU8_DElYkX7l4wRkHqqCUFNJY4AfY3kHU/edit?usp=sharing  #gid=0"",""фіз особи new!relations_name""),6,FALSE)
,
(IF
(
G12533=""юридична особа""
,
VLOO"&amp;"KUP(H12533,IMPORTRANGE(""https://docs.google.com/spreadsheets/d/14Bd19lYaqBhU8_DElYkX7l4wRkHqqCUFNJY4AfY3kHU/edit?usp=sharing  #gid=0"",""фіз особи new!relations_name_uo""),7,FALSE)
,
)
))"),"КРИЦЬКИЙ Антон Михайлович")</f>
        <v>КРИЦЬКИЙ Антон Михайлович</v>
      </c>
      <c r="J12532" s="7" t="s">
        <v>11</v>
      </c>
    </row>
    <row r="12533" spans="1:10" ht="13.2">
      <c r="A12533" s="7">
        <v>12532</v>
      </c>
      <c r="B12533" s="7">
        <v>1</v>
      </c>
      <c r="C12533" s="7" t="s">
        <v>10</v>
      </c>
      <c r="D12533" s="7">
        <v>18176</v>
      </c>
      <c r="E12533" s="7" t="s">
        <v>11</v>
      </c>
      <c r="F12533" s="8" t="str">
        <f ca="1">IFERROR(__xludf.DUMMYFUNCTION("IF
(
C12534=""фізична особа""
,
VLOOKUP(D12534,IMPORTRANGE(""https://docs.google.com/spreadsheets/d/14Bd19lYaqBhU8_DElYkX7l4wRkHqqCUFNJY4AfY3kHU/edit?usp=sharing  #gid=0"",""фіз особи new!relations_name""),6,FALSE)
,
(IF
(
C12534=""юридична особа""
,
VLOO"&amp;"KUP(D12534,IMPORTRANGE(""https://docs.google.com/spreadsheets/d/14Bd19lYaqBhU8_DElYkX7l4wRkHqqCUFNJY4AfY3kHU/edit?usp=sharing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3" s="7" t="s">
        <v>10</v>
      </c>
      <c r="H12533" s="7">
        <v>18172</v>
      </c>
      <c r="I12533" s="8" t="str">
        <f ca="1">IFERROR(__xludf.DUMMYFUNCTION("IF
(
G12534=""фізична особа""
,
VLOOKUP(H12534,IMPORTRANGE(""https://docs.google.com/spreadsheets/d/14Bd19lYaqBhU8_DElYkX7l4wRkHqqCUFNJY4AfY3kHU/edit?usp=sharing  #gid=0"",""фіз особи new!relations_name""),6,FALSE)
,
(IF
(
G12534=""юридична особа""
,
VLOO"&amp;"KUP(H12534,IMPORTRANGE(""https://docs.google.com/spreadsheets/d/14Bd19lYaqBhU8_DElYkX7l4wRkHqqCUFNJY4AfY3kHU/edit?usp=sharing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33" s="7" t="s">
        <v>11</v>
      </c>
    </row>
    <row r="12534" spans="1:10" ht="13.2">
      <c r="A12534" s="7">
        <v>12533</v>
      </c>
      <c r="B12534" s="7">
        <v>1</v>
      </c>
      <c r="C12534" s="7" t="s">
        <v>10</v>
      </c>
      <c r="D12534" s="7">
        <v>18176</v>
      </c>
      <c r="E12534" s="7" t="s">
        <v>11</v>
      </c>
      <c r="F12534" s="8" t="str">
        <f ca="1">IFERROR(__xludf.DUMMYFUNCTION("IF
(
C12535=""фізична особа""
,
VLOOKUP(D12535,IMPORTRANGE(""https://docs.google.com/spreadsheets/d/14Bd19lYaqBhU8_DElYkX7l4wRkHqqCUFNJY4AfY3kHU/edit?usp=sharing  #gid=0"",""фіз особи new!relations_name""),6,FALSE)
,
(IF
(
C12535=""юридична особа""
,
VLOO"&amp;"KUP(D12535,IMPORTRANGE(""https://docs.google.com/spreadsheets/d/14Bd19lYaqBhU8_DElYkX7l4wRkHqqCUFNJY4AfY3kHU/edit?usp=sharing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4" s="7" t="s">
        <v>10</v>
      </c>
      <c r="H12534" s="7">
        <v>18174</v>
      </c>
      <c r="I12534" s="8" t="str">
        <f ca="1">IFERROR(__xludf.DUMMYFUNCTION("IF
(
G12535=""фізична особа""
,
VLOOKUP(H12535,IMPORTRANGE(""https://docs.google.com/spreadsheets/d/14Bd19lYaqBhU8_DElYkX7l4wRkHqqCUFNJY4AfY3kHU/edit?usp=sharing  #gid=0"",""фіз особи new!relations_name""),6,FALSE)
,
(IF
(
G12535=""юридична особа""
,
VLOO"&amp;"KUP(H12535,IMPORTRANGE(""https://docs.google.com/spreadsheets/d/14Bd19lYaqBhU8_DElYkX7l4wRkHqqCUFNJY4AfY3kHU/edit?usp=sharing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534" s="7" t="s">
        <v>11</v>
      </c>
    </row>
    <row r="12535" spans="1:10" ht="13.2">
      <c r="A12535" s="7">
        <v>12534</v>
      </c>
      <c r="B12535" s="7">
        <v>1</v>
      </c>
      <c r="C12535" s="7" t="s">
        <v>10</v>
      </c>
      <c r="D12535" s="7">
        <v>18176</v>
      </c>
      <c r="E12535" s="7" t="s">
        <v>11</v>
      </c>
      <c r="F12535" s="8" t="str">
        <f ca="1">IFERROR(__xludf.DUMMYFUNCTION("IF
(
C12536=""фізична особа""
,
VLOOKUP(D12536,IMPORTRANGE(""https://docs.google.com/spreadsheets/d/14Bd19lYaqBhU8_DElYkX7l4wRkHqqCUFNJY4AfY3kHU/edit?usp=sharing  #gid=0"",""фіз особи new!relations_name""),6,FALSE)
,
(IF
(
C12536=""юридична особа""
,
VLOO"&amp;"KUP(D12536,IMPORTRANGE(""https://docs.google.com/spreadsheets/d/14Bd19lYaqBhU8_DElYkX7l4wRkHqqCUFNJY4AfY3kHU/edit?usp=sharing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5" s="7" t="s">
        <v>10</v>
      </c>
      <c r="H12535" s="7">
        <v>18175</v>
      </c>
      <c r="I12535" s="8" t="str">
        <f ca="1">IFERROR(__xludf.DUMMYFUNCTION("IF
(
G12536=""фізична особа""
,
VLOOKUP(H12536,IMPORTRANGE(""https://docs.google.com/spreadsheets/d/14Bd19lYaqBhU8_DElYkX7l4wRkHqqCUFNJY4AfY3kHU/edit?usp=sharing  #gid=0"",""фіз особи new!relations_name""),6,FALSE)
,
(IF
(
G12536=""юридична особа""
,
VLOO"&amp;"KUP(H12536,IMPORTRANGE(""https://docs.google.com/spreadsheets/d/14Bd19lYaqBhU8_DElYkX7l4wRkHqqCUFNJY4AfY3kHU/edit?usp=sharing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535" s="7" t="s">
        <v>11</v>
      </c>
    </row>
    <row r="12536" spans="1:10" ht="13.2">
      <c r="A12536" s="7">
        <v>12535</v>
      </c>
      <c r="B12536" s="7">
        <v>1</v>
      </c>
      <c r="C12536" s="7" t="s">
        <v>10</v>
      </c>
      <c r="D12536" s="7">
        <v>18176</v>
      </c>
      <c r="E12536" s="7" t="s">
        <v>11</v>
      </c>
      <c r="F12536" s="8" t="str">
        <f ca="1">IFERROR(__xludf.DUMMYFUNCTION("IF
(
C12537=""фізична особа""
,
VLOOKUP(D12537,IMPORTRANGE(""https://docs.google.com/spreadsheets/d/14Bd19lYaqBhU8_DElYkX7l4wRkHqqCUFNJY4AfY3kHU/edit?usp=sharing  #gid=0"",""фіз особи new!relations_name""),6,FALSE)
,
(IF
(
C12537=""юридична особа""
,
VLOO"&amp;"KUP(D12537,IMPORTRANGE(""https://docs.google.com/spreadsheets/d/14Bd19lYaqBhU8_DElYkX7l4wRkHqqCUFNJY4AfY3kHU/edit?usp=sharing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6" s="7" t="s">
        <v>10</v>
      </c>
      <c r="H12536" s="7">
        <v>18173</v>
      </c>
      <c r="I12536" s="8" t="str">
        <f ca="1">IFERROR(__xludf.DUMMYFUNCTION("IF
(
G12537=""фізична особа""
,
VLOOKUP(H12537,IMPORTRANGE(""https://docs.google.com/spreadsheets/d/14Bd19lYaqBhU8_DElYkX7l4wRkHqqCUFNJY4AfY3kHU/edit?usp=sharing  #gid=0"",""фіз особи new!relations_name""),6,FALSE)
,
(IF
(
G12537=""юридична особа""
,
VLOO"&amp;"KUP(H12537,IMPORTRANGE(""https://docs.google.com/spreadsheets/d/14Bd19lYaqBhU8_DElYkX7l4wRkHqqCUFNJY4AfY3kHU/edit?usp=sharing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536" s="7" t="s">
        <v>11</v>
      </c>
    </row>
    <row r="12537" spans="1:10" ht="13.2">
      <c r="A12537" s="7">
        <v>12536</v>
      </c>
      <c r="B12537" s="7">
        <v>1</v>
      </c>
      <c r="C12537" s="7" t="s">
        <v>10</v>
      </c>
      <c r="D12537" s="7">
        <v>18176</v>
      </c>
      <c r="E12537" s="7" t="s">
        <v>11</v>
      </c>
      <c r="F12537" s="8" t="str">
        <f ca="1">IFERROR(__xludf.DUMMYFUNCTION("IF
(
C12538=""фізична особа""
,
VLOOKUP(D12538,IMPORTRANGE(""https://docs.google.com/spreadsheets/d/14Bd19lYaqBhU8_DElYkX7l4wRkHqqCUFNJY4AfY3kHU/edit?usp=sharing  #gid=0"",""фіз особи new!relations_name""),6,FALSE)
,
(IF
(
C12538=""юридична особа""
,
VLOO"&amp;"KUP(D12538,IMPORTRANGE(""https://docs.google.com/spreadsheets/d/14Bd19lYaqBhU8_DElYkX7l4wRkHqqCUFNJY4AfY3kHU/edit?usp=sharing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7" s="7" t="s">
        <v>10</v>
      </c>
      <c r="H12537" s="7">
        <v>18177</v>
      </c>
      <c r="I12537" s="8" t="str">
        <f ca="1">IFERROR(__xludf.DUMMYFUNCTION("IF
(
G12538=""фізична особа""
,
VLOOKUP(H12538,IMPORTRANGE(""https://docs.google.com/spreadsheets/d/14Bd19lYaqBhU8_DElYkX7l4wRkHqqCUFNJY4AfY3kHU/edit?usp=sharing  #gid=0"",""фіз особи new!relations_name""),6,FALSE)
,
(IF
(
G12538=""юридична особа""
,
VLOO"&amp;"KUP(H12538,IMPORTRANGE(""https://docs.google.com/spreadsheets/d/14Bd19lYaqBhU8_DElYkX7l4wRkHqqCUFNJY4AfY3kHU/edit?usp=sharing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37" s="7" t="s">
        <v>11</v>
      </c>
    </row>
    <row r="12538" spans="1:10" ht="13.2">
      <c r="A12538" s="7">
        <v>12537</v>
      </c>
      <c r="B12538" s="7">
        <v>1</v>
      </c>
      <c r="C12538" s="7" t="s">
        <v>10</v>
      </c>
      <c r="D12538" s="7">
        <v>18176</v>
      </c>
      <c r="E12538" s="7" t="s">
        <v>11</v>
      </c>
      <c r="F12538" s="8" t="str">
        <f ca="1">IFERROR(__xludf.DUMMYFUNCTION("IF
(
C12539=""фізична особа""
,
VLOOKUP(D12539,IMPORTRANGE(""https://docs.google.com/spreadsheets/d/14Bd19lYaqBhU8_DElYkX7l4wRkHqqCUFNJY4AfY3kHU/edit?usp=sharing  #gid=0"",""фіз особи new!relations_name""),6,FALSE)
,
(IF
(
C12539=""юридична особа""
,
VLOO"&amp;"KUP(D12539,IMPORTRANGE(""https://docs.google.com/spreadsheets/d/14Bd19lYaqBhU8_DElYkX7l4wRkHqqCUFNJY4AfY3kHU/edit?usp=sharing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G12538" s="7" t="s">
        <v>10</v>
      </c>
      <c r="H12538" s="7">
        <v>18178</v>
      </c>
      <c r="I12538" s="8" t="str">
        <f ca="1">IFERROR(__xludf.DUMMYFUNCTION("IF
(
G12539=""фізична особа""
,
VLOOKUP(H12539,IMPORTRANGE(""https://docs.google.com/spreadsheets/d/14Bd19lYaqBhU8_DElYkX7l4wRkHqqCUFNJY4AfY3kHU/edit?usp=sharing  #gid=0"",""фіз особи new!relations_name""),6,FALSE)
,
(IF
(
G12539=""юридична особа""
,
VLOO"&amp;"KUP(H12539,IMPORTRANGE(""https://docs.google.com/spreadsheets/d/14Bd19lYaqBhU8_DElYkX7l4wRkHqqCUFNJY4AfY3kHU/edit?usp=sharing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38" s="7" t="s">
        <v>11</v>
      </c>
    </row>
    <row r="12539" spans="1:10" ht="13.2">
      <c r="A12539" s="7">
        <v>12538</v>
      </c>
      <c r="B12539" s="7">
        <v>1</v>
      </c>
      <c r="C12539" s="7" t="s">
        <v>10</v>
      </c>
      <c r="D12539" s="7">
        <v>18177</v>
      </c>
      <c r="E12539" s="7" t="s">
        <v>11</v>
      </c>
      <c r="F12539" s="8" t="str">
        <f ca="1">IFERROR(__xludf.DUMMYFUNCTION("IF
(
C12540=""фізична особа""
,
VLOOKUP(D12540,IMPORTRANGE(""https://docs.google.com/spreadsheets/d/14Bd19lYaqBhU8_DElYkX7l4wRkHqqCUFNJY4AfY3kHU/edit?usp=sharing  #gid=0"",""фіз особи new!relations_name""),6,FALSE)
,
(IF
(
C12540=""юридична особа""
,
VLOO"&amp;"KUP(D12540,IMPORTRANGE(""https://docs.google.com/spreadsheets/d/14Bd19lYaqBhU8_DElYkX7l4wRkHqqCUFNJY4AfY3kHU/edit?usp=sharing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39" s="7" t="s">
        <v>10</v>
      </c>
      <c r="H12539" s="7">
        <v>18172</v>
      </c>
      <c r="I12539" s="8" t="str">
        <f ca="1">IFERROR(__xludf.DUMMYFUNCTION("IF
(
G12540=""фізична особа""
,
VLOOKUP(H12540,IMPORTRANGE(""https://docs.google.com/spreadsheets/d/14Bd19lYaqBhU8_DElYkX7l4wRkHqqCUFNJY4AfY3kHU/edit?usp=sharing  #gid=0"",""фіз особи new!relations_name""),6,FALSE)
,
(IF
(
G12540=""юридична особа""
,
VLOO"&amp;"KUP(H12540,IMPORTRANGE(""https://docs.google.com/spreadsheets/d/14Bd19lYaqBhU8_DElYkX7l4wRkHqqCUFNJY4AfY3kHU/edit?usp=sharing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39" s="7" t="s">
        <v>11</v>
      </c>
    </row>
    <row r="12540" spans="1:10" ht="13.2">
      <c r="A12540" s="7">
        <v>12539</v>
      </c>
      <c r="B12540" s="7">
        <v>1</v>
      </c>
      <c r="C12540" s="7" t="s">
        <v>10</v>
      </c>
      <c r="D12540" s="7">
        <v>18177</v>
      </c>
      <c r="E12540" s="7" t="s">
        <v>11</v>
      </c>
      <c r="F12540" s="8" t="str">
        <f ca="1">IFERROR(__xludf.DUMMYFUNCTION("IF
(
C12541=""фізична особа""
,
VLOOKUP(D12541,IMPORTRANGE(""https://docs.google.com/spreadsheets/d/14Bd19lYaqBhU8_DElYkX7l4wRkHqqCUFNJY4AfY3kHU/edit?usp=sharing  #gid=0"",""фіз особи new!relations_name""),6,FALSE)
,
(IF
(
C12541=""юридична особа""
,
VLOO"&amp;"KUP(D12541,IMPORTRANGE(""https://docs.google.com/spreadsheets/d/14Bd19lYaqBhU8_DElYkX7l4wRkHqqCUFNJY4AfY3kHU/edit?usp=sharing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0" s="7" t="s">
        <v>10</v>
      </c>
      <c r="H12540" s="7">
        <v>18173</v>
      </c>
      <c r="I12540" s="8" t="str">
        <f ca="1">IFERROR(__xludf.DUMMYFUNCTION("IF
(
G12541=""фізична особа""
,
VLOOKUP(H12541,IMPORTRANGE(""https://docs.google.com/spreadsheets/d/14Bd19lYaqBhU8_DElYkX7l4wRkHqqCUFNJY4AfY3kHU/edit?usp=sharing  #gid=0"",""фіз особи new!relations_name""),6,FALSE)
,
(IF
(
G12541=""юридична особа""
,
VLOO"&amp;"KUP(H12541,IMPORTRANGE(""https://docs.google.com/spreadsheets/d/14Bd19lYaqBhU8_DElYkX7l4wRkHqqCUFNJY4AfY3kHU/edit?usp=sharing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540" s="7" t="s">
        <v>11</v>
      </c>
    </row>
    <row r="12541" spans="1:10" ht="13.2">
      <c r="A12541" s="7">
        <v>12540</v>
      </c>
      <c r="B12541" s="7">
        <v>1</v>
      </c>
      <c r="C12541" s="7" t="s">
        <v>10</v>
      </c>
      <c r="D12541" s="7">
        <v>18177</v>
      </c>
      <c r="E12541" s="7" t="s">
        <v>11</v>
      </c>
      <c r="F12541" s="8" t="str">
        <f ca="1">IFERROR(__xludf.DUMMYFUNCTION("IF
(
C12542=""фізична особа""
,
VLOOKUP(D12542,IMPORTRANGE(""https://docs.google.com/spreadsheets/d/14Bd19lYaqBhU8_DElYkX7l4wRkHqqCUFNJY4AfY3kHU/edit?usp=sharing  #gid=0"",""фіз особи new!relations_name""),6,FALSE)
,
(IF
(
C12542=""юридична особа""
,
VLOO"&amp;"KUP(D12542,IMPORTRANGE(""https://docs.google.com/spreadsheets/d/14Bd19lYaqBhU8_DElYkX7l4wRkHqqCUFNJY4AfY3kHU/edit?usp=sharing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1" s="7" t="s">
        <v>10</v>
      </c>
      <c r="H12541" s="7">
        <v>18175</v>
      </c>
      <c r="I12541" s="8" t="str">
        <f ca="1">IFERROR(__xludf.DUMMYFUNCTION("IF
(
G12542=""фізична особа""
,
VLOOKUP(H12542,IMPORTRANGE(""https://docs.google.com/spreadsheets/d/14Bd19lYaqBhU8_DElYkX7l4wRkHqqCUFNJY4AfY3kHU/edit?usp=sharing  #gid=0"",""фіз особи new!relations_name""),6,FALSE)
,
(IF
(
G12542=""юридична особа""
,
VLOO"&amp;"KUP(H12542,IMPORTRANGE(""https://docs.google.com/spreadsheets/d/14Bd19lYaqBhU8_DElYkX7l4wRkHqqCUFNJY4AfY3kHU/edit?usp=sharing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541" s="7" t="s">
        <v>11</v>
      </c>
    </row>
    <row r="12542" spans="1:10" ht="13.2">
      <c r="A12542" s="7">
        <v>12541</v>
      </c>
      <c r="B12542" s="7">
        <v>1</v>
      </c>
      <c r="C12542" s="7" t="s">
        <v>10</v>
      </c>
      <c r="D12542" s="7">
        <v>18177</v>
      </c>
      <c r="E12542" s="7" t="s">
        <v>11</v>
      </c>
      <c r="F12542" s="8" t="str">
        <f ca="1">IFERROR(__xludf.DUMMYFUNCTION("IF
(
C12543=""фізична особа""
,
VLOOKUP(D12543,IMPORTRANGE(""https://docs.google.com/spreadsheets/d/14Bd19lYaqBhU8_DElYkX7l4wRkHqqCUFNJY4AfY3kHU/edit?usp=sharing  #gid=0"",""фіз особи new!relations_name""),6,FALSE)
,
(IF
(
C12543=""юридична особа""
,
VLOO"&amp;"KUP(D12543,IMPORTRANGE(""https://docs.google.com/spreadsheets/d/14Bd19lYaqBhU8_DElYkX7l4wRkHqqCUFNJY4AfY3kHU/edit?usp=sharing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2" s="7" t="s">
        <v>10</v>
      </c>
      <c r="H12542" s="7">
        <v>18176</v>
      </c>
      <c r="I12542" s="8" t="str">
        <f ca="1">IFERROR(__xludf.DUMMYFUNCTION("IF
(
G12543=""фізична особа""
,
VLOOKUP(H12543,IMPORTRANGE(""https://docs.google.com/spreadsheets/d/14Bd19lYaqBhU8_DElYkX7l4wRkHqqCUFNJY4AfY3kHU/edit?usp=sharing  #gid=0"",""фіз особи new!relations_name""),6,FALSE)
,
(IF
(
G12543=""юридична особа""
,
VLOO"&amp;"KUP(H12543,IMPORTRANGE(""https://docs.google.com/spreadsheets/d/14Bd19lYaqBhU8_DElYkX7l4wRkHqqCUFNJY4AfY3kHU/edit?usp=sharing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542" s="7" t="s">
        <v>11</v>
      </c>
    </row>
    <row r="12543" spans="1:10" ht="13.2">
      <c r="A12543" s="7">
        <v>12542</v>
      </c>
      <c r="B12543" s="7">
        <v>1</v>
      </c>
      <c r="C12543" s="7" t="s">
        <v>10</v>
      </c>
      <c r="D12543" s="7">
        <v>18177</v>
      </c>
      <c r="E12543" s="7" t="s">
        <v>11</v>
      </c>
      <c r="F12543" s="8" t="str">
        <f ca="1">IFERROR(__xludf.DUMMYFUNCTION("IF
(
C12544=""фізична особа""
,
VLOOKUP(D12544,IMPORTRANGE(""https://docs.google.com/spreadsheets/d/14Bd19lYaqBhU8_DElYkX7l4wRkHqqCUFNJY4AfY3kHU/edit?usp=sharing  #gid=0"",""фіз особи new!relations_name""),6,FALSE)
,
(IF
(
C12544=""юридична особа""
,
VLOO"&amp;"KUP(D12544,IMPORTRANGE(""https://docs.google.com/spreadsheets/d/14Bd19lYaqBhU8_DElYkX7l4wRkHqqCUFNJY4AfY3kHU/edit?usp=sharing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3" s="7" t="s">
        <v>10</v>
      </c>
      <c r="H12543" s="7">
        <v>18174</v>
      </c>
      <c r="I12543" s="8" t="str">
        <f ca="1">IFERROR(__xludf.DUMMYFUNCTION("IF
(
G12544=""фізична особа""
,
VLOOKUP(H12544,IMPORTRANGE(""https://docs.google.com/spreadsheets/d/14Bd19lYaqBhU8_DElYkX7l4wRkHqqCUFNJY4AfY3kHU/edit?usp=sharing  #gid=0"",""фіз особи new!relations_name""),6,FALSE)
,
(IF
(
G12544=""юридична особа""
,
VLOO"&amp;"KUP(H12544,IMPORTRANGE(""https://docs.google.com/spreadsheets/d/14Bd19lYaqBhU8_DElYkX7l4wRkHqqCUFNJY4AfY3kHU/edit?usp=sharing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543" s="7" t="s">
        <v>11</v>
      </c>
    </row>
    <row r="12544" spans="1:10" ht="13.2">
      <c r="A12544" s="7">
        <v>12543</v>
      </c>
      <c r="B12544" s="7">
        <v>1</v>
      </c>
      <c r="C12544" s="7" t="s">
        <v>10</v>
      </c>
      <c r="D12544" s="7">
        <v>18177</v>
      </c>
      <c r="E12544" s="7" t="s">
        <v>11</v>
      </c>
      <c r="F12544" s="8" t="str">
        <f ca="1">IFERROR(__xludf.DUMMYFUNCTION("IF
(
C12545=""фізична особа""
,
VLOOKUP(D12545,IMPORTRANGE(""https://docs.google.com/spreadsheets/d/14Bd19lYaqBhU8_DElYkX7l4wRkHqqCUFNJY4AfY3kHU/edit?usp=sharing  #gid=0"",""фіз особи new!relations_name""),6,FALSE)
,
(IF
(
C12545=""юридична особа""
,
VLOO"&amp;"KUP(D12545,IMPORTRANGE(""https://docs.google.com/spreadsheets/d/14Bd19lYaqBhU8_DElYkX7l4wRkHqqCUFNJY4AfY3kHU/edit?usp=sharing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4" s="7" t="s">
        <v>10</v>
      </c>
      <c r="H12544" s="7">
        <v>18178</v>
      </c>
      <c r="I12544" s="8" t="str">
        <f ca="1">IFERROR(__xludf.DUMMYFUNCTION("IF
(
G12545=""фізична особа""
,
VLOOKUP(H12545,IMPORTRANGE(""https://docs.google.com/spreadsheets/d/14Bd19lYaqBhU8_DElYkX7l4wRkHqqCUFNJY4AfY3kHU/edit?usp=sharing  #gid=0"",""фіз особи new!relations_name""),6,FALSE)
,
(IF
(
G12545=""юридична особа""
,
VLOO"&amp;"KUP(H12545,IMPORTRANGE(""https://docs.google.com/spreadsheets/d/14Bd19lYaqBhU8_DElYkX7l4wRkHqqCUFNJY4AfY3kHU/edit?usp=sharing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J12544" s="7" t="s">
        <v>11</v>
      </c>
    </row>
    <row r="12545" spans="1:10" ht="13.2">
      <c r="A12545" s="7">
        <v>12544</v>
      </c>
      <c r="B12545" s="7">
        <v>1</v>
      </c>
      <c r="C12545" s="7" t="s">
        <v>10</v>
      </c>
      <c r="D12545" s="7">
        <v>18177</v>
      </c>
      <c r="E12545" s="7" t="s">
        <v>11</v>
      </c>
      <c r="F12545" s="8" t="str">
        <f ca="1">IFERROR(__xludf.DUMMYFUNCTION("IF
(
C12546=""фізична особа""
,
VLOOKUP(D12546,IMPORTRANGE(""https://docs.google.com/spreadsheets/d/14Bd19lYaqBhU8_DElYkX7l4wRkHqqCUFNJY4AfY3kHU/edit?usp=sharing  #gid=0"",""фіз особи new!relations_name""),6,FALSE)
,
(IF
(
C12546=""юридична особа""
,
VLOO"&amp;"KUP(D12546,IMPORTRANGE(""https://docs.google.com/spreadsheets/d/14Bd19lYaqBhU8_DElYkX7l4wRkHqqCUFNJY4AfY3kHU/edit?usp=sharing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5" s="7" t="s">
        <v>10</v>
      </c>
      <c r="H12545" s="7">
        <v>23644</v>
      </c>
      <c r="I12545" s="8" t="str">
        <f ca="1">IFERROR(__xludf.DUMMYFUNCTION("IF
(
G12546=""фізична особа""
,
VLOOKUP(H12546,IMPORTRANGE(""https://docs.google.com/spreadsheets/d/14Bd19lYaqBhU8_DElYkX7l4wRkHqqCUFNJY4AfY3kHU/edit?usp=sharing  #gid=0"",""фіз особи new!relations_name""),6,FALSE)
,
(IF
(
G12546=""юридична особа""
,
VLOO"&amp;"KUP(H12546,IMPORTRANGE(""https://docs.google.com/spreadsheets/d/14Bd19lYaqBhU8_DElYkX7l4wRkHqqCUFNJY4AfY3kHU/edit?usp=sharing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45" s="7" t="s">
        <v>11</v>
      </c>
    </row>
    <row r="12546" spans="1:10" ht="13.2">
      <c r="A12546" s="7">
        <v>12545</v>
      </c>
      <c r="B12546" s="7">
        <v>1</v>
      </c>
      <c r="C12546" s="7" t="s">
        <v>10</v>
      </c>
      <c r="D12546" s="7">
        <v>18177</v>
      </c>
      <c r="E12546" s="7" t="s">
        <v>11</v>
      </c>
      <c r="F12546" s="8" t="str">
        <f ca="1">IFERROR(__xludf.DUMMYFUNCTION("IF
(
C12547=""фізична особа""
,
VLOOKUP(D12547,IMPORTRANGE(""https://docs.google.com/spreadsheets/d/14Bd19lYaqBhU8_DElYkX7l4wRkHqqCUFNJY4AfY3kHU/edit?usp=sharing  #gid=0"",""фіз особи new!relations_name""),6,FALSE)
,
(IF
(
C12547=""юридична особа""
,
VLOO"&amp;"KUP(D12547,IMPORTRANGE(""https://docs.google.com/spreadsheets/d/14Bd19lYaqBhU8_DElYkX7l4wRkHqqCUFNJY4AfY3kHU/edit?usp=sharing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G12546" s="7" t="s">
        <v>10</v>
      </c>
      <c r="H12546" s="7">
        <v>23646</v>
      </c>
      <c r="I12546" s="8" t="str">
        <f ca="1">IFERROR(__xludf.DUMMYFUNCTION("IF
(
G12547=""фізична особа""
,
VLOOKUP(H12547,IMPORTRANGE(""https://docs.google.com/spreadsheets/d/14Bd19lYaqBhU8_DElYkX7l4wRkHqqCUFNJY4AfY3kHU/edit?usp=sharing  #gid=0"",""фіз особи new!relations_name""),6,FALSE)
,
(IF
(
G12547=""юридична особа""
,
VLOO"&amp;"KUP(H12547,IMPORTRANGE(""https://docs.google.com/spreadsheets/d/14Bd19lYaqBhU8_DElYkX7l4wRkHqqCUFNJY4AfY3kHU/edit?usp=sharing  #gid=0"",""фіз особи new!relations_name_uo""),7,FALSE)
,
)
))"),"КАЙКИ Микола Дмитрович")</f>
        <v>КАЙКИ Микола Дмитрович</v>
      </c>
      <c r="J12546" s="7" t="s">
        <v>11</v>
      </c>
    </row>
    <row r="12547" spans="1:10" ht="13.2">
      <c r="A12547" s="7">
        <v>12546</v>
      </c>
      <c r="B12547" s="7">
        <v>1</v>
      </c>
      <c r="C12547" s="7" t="s">
        <v>10</v>
      </c>
      <c r="D12547" s="7">
        <v>18178</v>
      </c>
      <c r="E12547" s="7" t="s">
        <v>11</v>
      </c>
      <c r="F12547" s="8" t="str">
        <f ca="1">IFERROR(__xludf.DUMMYFUNCTION("IF
(
C12548=""фізична особа""
,
VLOOKUP(D12548,IMPORTRANGE(""https://docs.google.com/spreadsheets/d/14Bd19lYaqBhU8_DElYkX7l4wRkHqqCUFNJY4AfY3kHU/edit?usp=sharing  #gid=0"",""фіз особи new!relations_name""),6,FALSE)
,
(IF
(
C12548=""юридична особа""
,
VLOO"&amp;"KUP(D12548,IMPORTRANGE(""https://docs.google.com/spreadsheets/d/14Bd19lYaqBhU8_DElYkX7l4wRkHqqCUFNJY4AfY3kHU/edit?usp=sharing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47" s="7" t="s">
        <v>10</v>
      </c>
      <c r="H12547" s="7">
        <v>18172</v>
      </c>
      <c r="I12547" s="8" t="str">
        <f ca="1">IFERROR(__xludf.DUMMYFUNCTION("IF
(
G12548=""фізична особа""
,
VLOOKUP(H12548,IMPORTRANGE(""https://docs.google.com/spreadsheets/d/14Bd19lYaqBhU8_DElYkX7l4wRkHqqCUFNJY4AfY3kHU/edit?usp=sharing  #gid=0"",""фіз особи new!relations_name""),6,FALSE)
,
(IF
(
G12548=""юридична особа""
,
VLOO"&amp;"KUP(H12548,IMPORTRANGE(""https://docs.google.com/spreadsheets/d/14Bd19lYaqBhU8_DElYkX7l4wRkHqqCUFNJY4AfY3kHU/edit?usp=sharing  #gid=0"",""фіз особи new!relations_name_uo""),7,FALSE)
,
)
))"),"БАЛАШОВ Борис Валентинович")</f>
        <v>БАЛАШОВ Борис Валентинович</v>
      </c>
      <c r="J12547" s="7" t="s">
        <v>11</v>
      </c>
    </row>
    <row r="12548" spans="1:10" ht="13.2">
      <c r="A12548" s="7">
        <v>12547</v>
      </c>
      <c r="B12548" s="7">
        <v>1</v>
      </c>
      <c r="C12548" s="7" t="s">
        <v>10</v>
      </c>
      <c r="D12548" s="7">
        <v>18178</v>
      </c>
      <c r="E12548" s="7" t="s">
        <v>11</v>
      </c>
      <c r="F12548" s="8" t="str">
        <f ca="1">IFERROR(__xludf.DUMMYFUNCTION("IF
(
C12549=""фізична особа""
,
VLOOKUP(D12549,IMPORTRANGE(""https://docs.google.com/spreadsheets/d/14Bd19lYaqBhU8_DElYkX7l4wRkHqqCUFNJY4AfY3kHU/edit?usp=sharing  #gid=0"",""фіз особи new!relations_name""),6,FALSE)
,
(IF
(
C12549=""юридична особа""
,
VLOO"&amp;"KUP(D12549,IMPORTRANGE(""https://docs.google.com/spreadsheets/d/14Bd19lYaqBhU8_DElYkX7l4wRkHqqCUFNJY4AfY3kHU/edit?usp=sharing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48" s="7" t="s">
        <v>10</v>
      </c>
      <c r="H12548" s="7">
        <v>18173</v>
      </c>
      <c r="I12548" s="8" t="str">
        <f ca="1">IFERROR(__xludf.DUMMYFUNCTION("IF
(
G12549=""фізична особа""
,
VLOOKUP(H12549,IMPORTRANGE(""https://docs.google.com/spreadsheets/d/14Bd19lYaqBhU8_DElYkX7l4wRkHqqCUFNJY4AfY3kHU/edit?usp=sharing  #gid=0"",""фіз особи new!relations_name""),6,FALSE)
,
(IF
(
G12549=""юридична особа""
,
VLOO"&amp;"KUP(H12549,IMPORTRANGE(""https://docs.google.com/spreadsheets/d/14Bd19lYaqBhU8_DElYkX7l4wRkHqqCUFNJY4AfY3kHU/edit?usp=sharing  #gid=0"",""фіз особи new!relations_name_uo""),7,FALSE)
,
)
))"),"ХАНОВ Едуард Борисович")</f>
        <v>ХАНОВ Едуард Борисович</v>
      </c>
      <c r="J12548" s="7" t="s">
        <v>11</v>
      </c>
    </row>
    <row r="12549" spans="1:10" ht="13.2">
      <c r="A12549" s="7">
        <v>12548</v>
      </c>
      <c r="B12549" s="7">
        <v>1</v>
      </c>
      <c r="C12549" s="7" t="s">
        <v>10</v>
      </c>
      <c r="D12549" s="7">
        <v>18178</v>
      </c>
      <c r="E12549" s="7" t="s">
        <v>11</v>
      </c>
      <c r="F12549" s="8" t="str">
        <f ca="1">IFERROR(__xludf.DUMMYFUNCTION("IF
(
C12550=""фізична особа""
,
VLOOKUP(D12550,IMPORTRANGE(""https://docs.google.com/spreadsheets/d/14Bd19lYaqBhU8_DElYkX7l4wRkHqqCUFNJY4AfY3kHU/edit?usp=sharing  #gid=0"",""фіз особи new!relations_name""),6,FALSE)
,
(IF
(
C12550=""юридична особа""
,
VLOO"&amp;"KUP(D12550,IMPORTRANGE(""https://docs.google.com/spreadsheets/d/14Bd19lYaqBhU8_DElYkX7l4wRkHqqCUFNJY4AfY3kHU/edit?usp=sharing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49" s="7" t="s">
        <v>10</v>
      </c>
      <c r="H12549" s="7">
        <v>18175</v>
      </c>
      <c r="I12549" s="8" t="str">
        <f ca="1">IFERROR(__xludf.DUMMYFUNCTION("IF
(
G12550=""фізична особа""
,
VLOOKUP(H12550,IMPORTRANGE(""https://docs.google.com/spreadsheets/d/14Bd19lYaqBhU8_DElYkX7l4wRkHqqCUFNJY4AfY3kHU/edit?usp=sharing  #gid=0"",""фіз особи new!relations_name""),6,FALSE)
,
(IF
(
G12550=""юридична особа""
,
VLOO"&amp;"KUP(H12550,IMPORTRANGE(""https://docs.google.com/spreadsheets/d/14Bd19lYaqBhU8_DElYkX7l4wRkHqqCUFNJY4AfY3kHU/edit?usp=sharing  #gid=0"",""фіз особи new!relations_name_uo""),7,FALSE)
,
)
))"),"ТЕРЕНТЬЄВ Олексій Васильович")</f>
        <v>ТЕРЕНТЬЄВ Олексій Васильович</v>
      </c>
      <c r="J12549" s="7" t="s">
        <v>11</v>
      </c>
    </row>
    <row r="12550" spans="1:10" ht="13.2">
      <c r="A12550" s="7">
        <v>12549</v>
      </c>
      <c r="B12550" s="7">
        <v>1</v>
      </c>
      <c r="C12550" s="7" t="s">
        <v>10</v>
      </c>
      <c r="D12550" s="7">
        <v>18178</v>
      </c>
      <c r="E12550" s="7" t="s">
        <v>11</v>
      </c>
      <c r="F12550" s="8" t="str">
        <f ca="1">IFERROR(__xludf.DUMMYFUNCTION("IF
(
C12551=""фізична особа""
,
VLOOKUP(D12551,IMPORTRANGE(""https://docs.google.com/spreadsheets/d/14Bd19lYaqBhU8_DElYkX7l4wRkHqqCUFNJY4AfY3kHU/edit?usp=sharing  #gid=0"",""фіз особи new!relations_name""),6,FALSE)
,
(IF
(
C12551=""юридична особа""
,
VLOO"&amp;"KUP(D12551,IMPORTRANGE(""https://docs.google.com/spreadsheets/d/14Bd19lYaqBhU8_DElYkX7l4wRkHqqCUFNJY4AfY3kHU/edit?usp=sharing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50" s="7" t="s">
        <v>10</v>
      </c>
      <c r="H12550" s="7">
        <v>18176</v>
      </c>
      <c r="I12550" s="8" t="str">
        <f ca="1">IFERROR(__xludf.DUMMYFUNCTION("IF
(
G12551=""фізична особа""
,
VLOOKUP(H12551,IMPORTRANGE(""https://docs.google.com/spreadsheets/d/14Bd19lYaqBhU8_DElYkX7l4wRkHqqCUFNJY4AfY3kHU/edit?usp=sharing  #gid=0"",""фіз особи new!relations_name""),6,FALSE)
,
(IF
(
G12551=""юридична особа""
,
VLOO"&amp;"KUP(H12551,IMPORTRANGE(""https://docs.google.com/spreadsheets/d/14Bd19lYaqBhU8_DElYkX7l4wRkHqqCUFNJY4AfY3kHU/edit?usp=sharing  #gid=0"",""фіз особи new!relations_name_uo""),7,FALSE)
,
)
))"),"ЦАРИК Олег Володимирович")</f>
        <v>ЦАРИК Олег Володимирович</v>
      </c>
      <c r="J12550" s="7" t="s">
        <v>11</v>
      </c>
    </row>
    <row r="12551" spans="1:10" ht="13.2">
      <c r="A12551" s="7">
        <v>12550</v>
      </c>
      <c r="B12551" s="7">
        <v>1</v>
      </c>
      <c r="C12551" s="7" t="s">
        <v>10</v>
      </c>
      <c r="D12551" s="7">
        <v>18178</v>
      </c>
      <c r="E12551" s="7" t="s">
        <v>11</v>
      </c>
      <c r="F12551" s="8" t="str">
        <f ca="1">IFERROR(__xludf.DUMMYFUNCTION("IF
(
C12552=""фізична особа""
,
VLOOKUP(D12552,IMPORTRANGE(""https://docs.google.com/spreadsheets/d/14Bd19lYaqBhU8_DElYkX7l4wRkHqqCUFNJY4AfY3kHU/edit?usp=sharing  #gid=0"",""фіз особи new!relations_name""),6,FALSE)
,
(IF
(
C12552=""юридична особа""
,
VLOO"&amp;"KUP(D12552,IMPORTRANGE(""https://docs.google.com/spreadsheets/d/14Bd19lYaqBhU8_DElYkX7l4wRkHqqCUFNJY4AfY3kHU/edit?usp=sharing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51" s="7" t="s">
        <v>10</v>
      </c>
      <c r="H12551" s="7">
        <v>18174</v>
      </c>
      <c r="I12551" s="8" t="str">
        <f ca="1">IFERROR(__xludf.DUMMYFUNCTION("IF
(
G12552=""фізична особа""
,
VLOOKUP(H12552,IMPORTRANGE(""https://docs.google.com/spreadsheets/d/14Bd19lYaqBhU8_DElYkX7l4wRkHqqCUFNJY4AfY3kHU/edit?usp=sharing  #gid=0"",""фіз особи new!relations_name""),6,FALSE)
,
(IF
(
G12552=""юридична особа""
,
VLOO"&amp;"KUP(H12552,IMPORTRANGE(""https://docs.google.com/spreadsheets/d/14Bd19lYaqBhU8_DElYkX7l4wRkHqqCUFNJY4AfY3kHU/edit?usp=sharing  #gid=0"",""фіз особи new!relations_name_uo""),7,FALSE)
,
)
))"),"ІВАНОВ Роман В'ячеславович")</f>
        <v>ІВАНОВ Роман В'ячеславович</v>
      </c>
      <c r="J12551" s="7" t="s">
        <v>11</v>
      </c>
    </row>
    <row r="12552" spans="1:10" ht="13.2">
      <c r="A12552" s="7">
        <v>12551</v>
      </c>
      <c r="B12552" s="7">
        <v>1</v>
      </c>
      <c r="C12552" s="7" t="s">
        <v>10</v>
      </c>
      <c r="D12552" s="7">
        <v>18178</v>
      </c>
      <c r="E12552" s="7" t="s">
        <v>11</v>
      </c>
      <c r="F12552" s="8" t="str">
        <f ca="1">IFERROR(__xludf.DUMMYFUNCTION("IF
(
C12553=""фізична особа""
,
VLOOKUP(D12553,IMPORTRANGE(""https://docs.google.com/spreadsheets/d/14Bd19lYaqBhU8_DElYkX7l4wRkHqqCUFNJY4AfY3kHU/edit?usp=sharing  #gid=0"",""фіз особи new!relations_name""),6,FALSE)
,
(IF
(
C12553=""юридична особа""
,
VLOO"&amp;"KUP(D12553,IMPORTRANGE(""https://docs.google.com/spreadsheets/d/14Bd19lYaqBhU8_DElYkX7l4wRkHqqCUFNJY4AfY3kHU/edit?usp=sharing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52" s="7" t="s">
        <v>10</v>
      </c>
      <c r="H12552" s="7">
        <v>18177</v>
      </c>
      <c r="I12552" s="8" t="str">
        <f ca="1">IFERROR(__xludf.DUMMYFUNCTION("IF
(
G12553=""фізична особа""
,
VLOOKUP(H12553,IMPORTRANGE(""https://docs.google.com/spreadsheets/d/14Bd19lYaqBhU8_DElYkX7l4wRkHqqCUFNJY4AfY3kHU/edit?usp=sharing  #gid=0"",""фіз особи new!relations_name""),6,FALSE)
,
(IF
(
G12553=""юридична особа""
,
VLOO"&amp;"KUP(H12553,IMPORTRANGE(""https://docs.google.com/spreadsheets/d/14Bd19lYaqBhU8_DElYkX7l4wRkHqqCUFNJY4AfY3kHU/edit?usp=sharing  #gid=0"",""фіз особи new!relations_name_uo""),7,FALSE)
,
)
))"),"ШИШКОВ В'ячеслав Олександрович")</f>
        <v>ШИШКОВ В'ячеслав Олександрович</v>
      </c>
      <c r="J12552" s="7" t="s">
        <v>11</v>
      </c>
    </row>
    <row r="12553" spans="1:10" ht="13.2">
      <c r="A12553" s="7">
        <v>12552</v>
      </c>
      <c r="B12553" s="7">
        <v>1</v>
      </c>
      <c r="C12553" s="7" t="s">
        <v>10</v>
      </c>
      <c r="D12553" s="7">
        <v>18178</v>
      </c>
      <c r="E12553" s="7" t="s">
        <v>11</v>
      </c>
      <c r="F12553" s="8" t="str">
        <f ca="1">IFERROR(__xludf.DUMMYFUNCTION("IF
(
C12554=""фізична особа""
,
VLOOKUP(D12554,IMPORTRANGE(""https://docs.google.com/spreadsheets/d/14Bd19lYaqBhU8_DElYkX7l4wRkHqqCUFNJY4AfY3kHU/edit?usp=sharing  #gid=0"",""фіз особи new!relations_name""),6,FALSE)
,
(IF
(
C12554=""юридична особа""
,
VLOO"&amp;"KUP(D12554,IMPORTRANGE(""https://docs.google.com/spreadsheets/d/14Bd19lYaqBhU8_DElYkX7l4wRkHqqCUFNJY4AfY3kHU/edit?usp=sharing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53" s="7" t="s">
        <v>10</v>
      </c>
      <c r="H12553" s="7">
        <v>23644</v>
      </c>
      <c r="I12553" s="8" t="str">
        <f ca="1">IFERROR(__xludf.DUMMYFUNCTION("IF
(
G12554=""фізична особа""
,
VLOOKUP(H12554,IMPORTRANGE(""https://docs.google.com/spreadsheets/d/14Bd19lYaqBhU8_DElYkX7l4wRkHqqCUFNJY4AfY3kHU/edit?usp=sharing  #gid=0"",""фіз особи new!relations_name""),6,FALSE)
,
(IF
(
G12554=""юридична особа""
,
VLOO"&amp;"KUP(H12554,IMPORTRANGE(""https://docs.google.com/spreadsheets/d/14Bd19lYaqBhU8_DElYkX7l4wRkHqqCUFNJY4AfY3kHU/edit?usp=sharing  #gid=0"",""фіз особи new!relations_name_uo""),7,FALSE)
,
)
))"),"ЦАРИК Наталія Борисівна")</f>
        <v>ЦАРИК Наталія Борисівна</v>
      </c>
      <c r="J12553" s="7" t="s">
        <v>11</v>
      </c>
    </row>
    <row r="12554" spans="1:10" ht="13.2">
      <c r="A12554" s="7">
        <v>12553</v>
      </c>
      <c r="B12554" s="7">
        <v>1</v>
      </c>
      <c r="C12554" s="7" t="s">
        <v>10</v>
      </c>
      <c r="D12554" s="7">
        <v>18178</v>
      </c>
      <c r="E12554" s="7" t="s">
        <v>11</v>
      </c>
      <c r="F12554" s="8" t="str">
        <f ca="1">IFERROR(__xludf.DUMMYFUNCTION("IF
(
C12555=""фізична особа""
,
VLOOKUP(D12555,IMPORTRANGE(""https://docs.google.com/spreadsheets/d/14Bd19lYaqBhU8_DElYkX7l4wRkHqqCUFNJY4AfY3kHU/edit?usp=sharing  #gid=0"",""фіз особи new!relations_name""),6,FALSE)
,
(IF
(
C12555=""юридична особа""
,
VLOO"&amp;"KUP(D12555,IMPORTRANGE(""https://docs.google.com/spreadsheets/d/14Bd19lYaqBhU8_DElYkX7l4wRkHqqCUFNJY4AfY3kHU/edit?usp=sharing  #gid=0"",""фіз особи new!relations_name_uo""),7,FALSE)
,
)
))"),"СОЛОМАТІН Олександр Олександрович")</f>
        <v>СОЛОМАТІН Олександр Олександрович</v>
      </c>
      <c r="G12554" s="7" t="s">
        <v>10</v>
      </c>
      <c r="H12554" s="7">
        <v>23646</v>
      </c>
      <c r="I12554" s="8" t="str">
        <f ca="1">IFERROR(__xludf.DUMMYFUNCTION("IF
(
G12555=""фізична особа""
,
VLOOKUP(H12555,IMPORTRANGE(""https://docs.google.com/spreadsheets/d/14Bd19lYaqBhU8_DElYkX7l4wRkHqqCUFNJY4AfY3kHU/edit?usp=sharing  #gid=0"",""фіз особи new!relations_name""),6,FALSE)
,
(IF
(
G12555=""юридична особа""
,
VLOO"&amp;"KUP(H12555,IMPORTRANGE(""https://docs.google.com/spreadsheets/d/14Bd19lYaqBhU8_DElYkX7l4wRkHqqCUFNJY4AfY3kHU/edit?usp=sharing  #gid=0"",""фіз особи new!relations_name_uo""),7,FALSE)
,
)
))"),"КАЙКИ Микола Дмитрович")</f>
        <v>КАЙКИ Микола Дмитрович</v>
      </c>
      <c r="J12554" s="7" t="s">
        <v>11</v>
      </c>
    </row>
    <row r="12555" spans="1:10" ht="13.2">
      <c r="A12555" s="7">
        <v>12554</v>
      </c>
      <c r="B12555" s="7">
        <v>1</v>
      </c>
      <c r="C12555" s="7" t="s">
        <v>10</v>
      </c>
      <c r="D12555" s="7">
        <v>18179</v>
      </c>
      <c r="E12555" s="7" t="s">
        <v>23</v>
      </c>
      <c r="F12555" s="8" t="str">
        <f ca="1">IFERROR(__xludf.DUMMYFUNCTION("IF
(
C12556=""фізична особа""
,
VLOOKUP(D12556,IMPORTRANGE(""https://docs.google.com/spreadsheets/d/14Bd19lYaqBhU8_DElYkX7l4wRkHqqCUFNJY4AfY3kHU/edit?usp=sharing  #gid=0"",""фіз особи new!relations_name""),6,FALSE)
,
(IF
(
C12556=""юридична особа""
,
VLOO"&amp;"KUP(D12556,IMPORTRANGE(""https://docs.google.com/spreadsheets/d/14Bd19lYaqBhU8_DElYkX7l4wRkHqqCUFNJY4AfY3kHU/edit?usp=sharing  #gid=0"",""фіз особи new!relations_name_uo""),7,FALSE)
,
)
))"),"РУДОВ Сергій Юрійович")</f>
        <v>РУДОВ Сергій Юрійович</v>
      </c>
      <c r="G12555" s="7" t="s">
        <v>10</v>
      </c>
      <c r="H12555" s="7">
        <v>376</v>
      </c>
      <c r="I12555" s="8" t="str">
        <f ca="1">IFERROR(__xludf.DUMMYFUNCTION("IF
(
G12556=""фізична особа""
,
VLOOKUP(H12556,IMPORTRANGE(""https://docs.google.com/spreadsheets/d/14Bd19lYaqBhU8_DElYkX7l4wRkHqqCUFNJY4AfY3kHU/edit?usp=sharing  #gid=0"",""фіз особи new!relations_name""),6,FALSE)
,
(IF
(
G12556=""юридична особа""
,
VLOO"&amp;"KUP(H12556,IMPORTRANGE(""https://docs.google.com/spreadsheets/d/14Bd19lYaqBhU8_DElYkX7l4wRkHqqCUFNJY4AfY3kHU/edit?usp=sharing  #gid=0"",""фіз особи new!relations_name_uo""),7,FALSE)
,
)
))"),"МАЛОФЄЄВ Костянтин Валерійович")</f>
        <v>МАЛОФЄЄВ Костянтин Валерійович</v>
      </c>
      <c r="J12555" s="7" t="s">
        <v>23</v>
      </c>
    </row>
    <row r="12556" spans="1:10" ht="13.2">
      <c r="A12556" s="7">
        <v>12555</v>
      </c>
      <c r="B12556" s="7">
        <v>1</v>
      </c>
      <c r="C12556" s="7" t="s">
        <v>10</v>
      </c>
      <c r="D12556" s="7">
        <v>18196</v>
      </c>
      <c r="E12556" s="7" t="s">
        <v>11</v>
      </c>
      <c r="F12556" s="8" t="str">
        <f ca="1">IFERROR(__xludf.DUMMYFUNCTION("IF
(
C12557=""фізична особа""
,
VLOOKUP(D12557,IMPORTRANGE(""https://docs.google.com/spreadsheets/d/14Bd19lYaqBhU8_DElYkX7l4wRkHqqCUFNJY4AfY3kHU/edit?usp=sharing  #gid=0"",""фіз особи new!relations_name""),6,FALSE)
,
(IF
(
C12557=""юридична особа""
,
VLOO"&amp;"KUP(D12557,IMPORTRANGE(""https://docs.google.com/spreadsheets/d/14Bd19lYaqBhU8_DElYkX7l4wRkHqqCUFNJY4AfY3kHU/edit?usp=sharing  #gid=0"",""фіз особи new!relations_name_uo""),7,FALSE)
,
)
))"),"ОССОВСЬКИЙ Антон Володимирович")</f>
        <v>ОССОВСЬКИЙ Антон Володимирович</v>
      </c>
      <c r="G12556" s="7" t="s">
        <v>10</v>
      </c>
      <c r="H12556" s="7">
        <v>18197</v>
      </c>
      <c r="I12556" s="8" t="str">
        <f ca="1">IFERROR(__xludf.DUMMYFUNCTION("IF
(
G12557=""фізична особа""
,
VLOOKUP(H12557,IMPORTRANGE(""https://docs.google.com/spreadsheets/d/14Bd19lYaqBhU8_DElYkX7l4wRkHqqCUFNJY4AfY3kHU/edit?usp=sharing  #gid=0"",""фіз особи new!relations_name""),6,FALSE)
,
(IF
(
G12557=""юридична особа""
,
VLOO"&amp;"KUP(H12557,IMPORTRANGE(""https://docs.google.com/spreadsheets/d/14Bd19lYaqBhU8_DElYkX7l4wRkHqqCUFNJY4AfY3kHU/edit?usp=sharing  #gid=0"",""фіз особи new!relations_name_uo""),7,FALSE)
,
)
))"),"МАНЖА Павло Володимирович")</f>
        <v>МАНЖА Павло Володимирович</v>
      </c>
      <c r="J12556" s="7" t="s">
        <v>11</v>
      </c>
    </row>
    <row r="12557" spans="1:10" ht="13.2">
      <c r="A12557" s="7">
        <v>12556</v>
      </c>
      <c r="B12557" s="7">
        <v>1</v>
      </c>
      <c r="C12557" s="7" t="s">
        <v>10</v>
      </c>
      <c r="D12557" s="7">
        <v>18197</v>
      </c>
      <c r="E12557" s="7" t="s">
        <v>11</v>
      </c>
      <c r="F12557" s="8" t="str">
        <f ca="1">IFERROR(__xludf.DUMMYFUNCTION("IF
(
C12558=""фізична особа""
,
VLOOKUP(D12558,IMPORTRANGE(""https://docs.google.com/spreadsheets/d/14Bd19lYaqBhU8_DElYkX7l4wRkHqqCUFNJY4AfY3kHU/edit?usp=sharing  #gid=0"",""фіз особи new!relations_name""),6,FALSE)
,
(IF
(
C12558=""юридична особа""
,
VLOO"&amp;"KUP(D12558,IMPORTRANGE(""https://docs.google.com/spreadsheets/d/14Bd19lYaqBhU8_DElYkX7l4wRkHqqCUFNJY4AfY3kHU/edit?usp=sharing  #gid=0"",""фіз особи new!relations_name_uo""),7,FALSE)
,
)
))"),"МАНЖА Павло Володимирович")</f>
        <v>МАНЖА Павло Володимирович</v>
      </c>
      <c r="G12557" s="7" t="s">
        <v>10</v>
      </c>
      <c r="H12557" s="7">
        <v>18196</v>
      </c>
      <c r="I12557" s="8" t="str">
        <f ca="1">IFERROR(__xludf.DUMMYFUNCTION("IF
(
G12558=""фізична особа""
,
VLOOKUP(H12558,IMPORTRANGE(""https://docs.google.com/spreadsheets/d/14Bd19lYaqBhU8_DElYkX7l4wRkHqqCUFNJY4AfY3kHU/edit?usp=sharing  #gid=0"",""фіз особи new!relations_name""),6,FALSE)
,
(IF
(
G12558=""юридична особа""
,
VLOO"&amp;"KUP(H12558,IMPORTRANGE(""https://docs.google.com/spreadsheets/d/14Bd19lYaqBhU8_DElYkX7l4wRkHqqCUFNJY4AfY3kHU/edit?usp=sharing  #gid=0"",""фіз особи new!relations_name_uo""),7,FALSE)
,
)
))"),"ОССОВСЬКИЙ Антон Володимирович")</f>
        <v>ОССОВСЬКИЙ Антон Володимирович</v>
      </c>
      <c r="J12557" s="7" t="s">
        <v>11</v>
      </c>
    </row>
    <row r="12558" spans="1:10" ht="13.2">
      <c r="A12558" s="7">
        <v>12557</v>
      </c>
      <c r="B12558" s="7">
        <v>1</v>
      </c>
      <c r="C12558" s="7" t="s">
        <v>10</v>
      </c>
      <c r="D12558" s="7">
        <v>18201</v>
      </c>
      <c r="E12558" s="7" t="s">
        <v>11</v>
      </c>
      <c r="F12558" s="8" t="str">
        <f ca="1">IFERROR(__xludf.DUMMYFUNCTION("IF
(
C12559=""фізична особа""
,
VLOOKUP(D12559,IMPORTRANGE(""https://docs.google.com/spreadsheets/d/14Bd19lYaqBhU8_DElYkX7l4wRkHqqCUFNJY4AfY3kHU/edit?usp=sharing  #gid=0"",""фіз особи new!relations_name""),6,FALSE)
,
(IF
(
C12559=""юридична особа""
,
VLOO"&amp;"KUP(D12559,IMPORTRANGE(""https://docs.google.com/spreadsheets/d/14Bd19lYaqBhU8_DElYkX7l4wRkHqqCUFNJY4AfY3kHU/edit?usp=sharing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G12558" s="7" t="s">
        <v>10</v>
      </c>
      <c r="H12558" s="7">
        <v>18202</v>
      </c>
      <c r="I12558" s="8" t="str">
        <f ca="1">IFERROR(__xludf.DUMMYFUNCTION("IF
(
G12559=""фізична особа""
,
VLOOKUP(H12559,IMPORTRANGE(""https://docs.google.com/spreadsheets/d/14Bd19lYaqBhU8_DElYkX7l4wRkHqqCUFNJY4AfY3kHU/edit?usp=sharing  #gid=0"",""фіз особи new!relations_name""),6,FALSE)
,
(IF
(
G12559=""юридична особа""
,
VLOO"&amp;"KUP(H12559,IMPORTRANGE(""https://docs.google.com/spreadsheets/d/14Bd19lYaqBhU8_DElYkX7l4wRkHqqCUFNJY4AfY3kHU/edit?usp=sharing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J12558" s="7" t="s">
        <v>11</v>
      </c>
    </row>
    <row r="12559" spans="1:10" ht="13.2">
      <c r="A12559" s="7">
        <v>12558</v>
      </c>
      <c r="B12559" s="7">
        <v>1</v>
      </c>
      <c r="C12559" s="7" t="s">
        <v>10</v>
      </c>
      <c r="D12559" s="7">
        <v>18201</v>
      </c>
      <c r="E12559" s="7" t="s">
        <v>11</v>
      </c>
      <c r="F12559" s="8" t="str">
        <f ca="1">IFERROR(__xludf.DUMMYFUNCTION("IF
(
C12560=""фізична особа""
,
VLOOKUP(D12560,IMPORTRANGE(""https://docs.google.com/spreadsheets/d/14Bd19lYaqBhU8_DElYkX7l4wRkHqqCUFNJY4AfY3kHU/edit?usp=sharing  #gid=0"",""фіз особи new!relations_name""),6,FALSE)
,
(IF
(
C12560=""юридична особа""
,
VLOO"&amp;"KUP(D12560,IMPORTRANGE(""https://docs.google.com/spreadsheets/d/14Bd19lYaqBhU8_DElYkX7l4wRkHqqCUFNJY4AfY3kHU/edit?usp=sharing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G12559" s="7" t="s">
        <v>10</v>
      </c>
      <c r="H12559" s="7">
        <v>18203</v>
      </c>
      <c r="I12559" s="8" t="str">
        <f ca="1">IFERROR(__xludf.DUMMYFUNCTION("IF
(
G12560=""фізична особа""
,
VLOOKUP(H12560,IMPORTRANGE(""https://docs.google.com/spreadsheets/d/14Bd19lYaqBhU8_DElYkX7l4wRkHqqCUFNJY4AfY3kHU/edit?usp=sharing  #gid=0"",""фіз особи new!relations_name""),6,FALSE)
,
(IF
(
G12560=""юридична особа""
,
VLOO"&amp;"KUP(H12560,IMPORTRANGE(""https://docs.google.com/spreadsheets/d/14Bd19lYaqBhU8_DElYkX7l4wRkHqqCUFNJY4AfY3kHU/edit?usp=sharing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J12559" s="7" t="s">
        <v>11</v>
      </c>
    </row>
    <row r="12560" spans="1:10" ht="13.2">
      <c r="A12560" s="7">
        <v>12559</v>
      </c>
      <c r="B12560" s="7">
        <v>1</v>
      </c>
      <c r="C12560" s="7" t="s">
        <v>10</v>
      </c>
      <c r="D12560" s="7">
        <v>18201</v>
      </c>
      <c r="E12560" s="7" t="s">
        <v>11</v>
      </c>
      <c r="F12560" s="8" t="str">
        <f ca="1">IFERROR(__xludf.DUMMYFUNCTION("IF
(
C12561=""фізична особа""
,
VLOOKUP(D12561,IMPORTRANGE(""https://docs.google.com/spreadsheets/d/14Bd19lYaqBhU8_DElYkX7l4wRkHqqCUFNJY4AfY3kHU/edit?usp=sharing  #gid=0"",""фіз особи new!relations_name""),6,FALSE)
,
(IF
(
C12561=""юридична особа""
,
VLOO"&amp;"KUP(D12561,IMPORTRANGE(""https://docs.google.com/spreadsheets/d/14Bd19lYaqBhU8_DElYkX7l4wRkHqqCUFNJY4AfY3kHU/edit?usp=sharing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G12560" s="7" t="s">
        <v>10</v>
      </c>
      <c r="H12560" s="7">
        <v>18204</v>
      </c>
      <c r="I12560" s="8" t="str">
        <f ca="1">IFERROR(__xludf.DUMMYFUNCTION("IF
(
G12561=""фізична особа""
,
VLOOKUP(H12561,IMPORTRANGE(""https://docs.google.com/spreadsheets/d/14Bd19lYaqBhU8_DElYkX7l4wRkHqqCUFNJY4AfY3kHU/edit?usp=sharing  #gid=0"",""фіз особи new!relations_name""),6,FALSE)
,
(IF
(
G12561=""юридична особа""
,
VLOO"&amp;"KUP(H12561,IMPORTRANGE(""https://docs.google.com/spreadsheets/d/14Bd19lYaqBhU8_DElYkX7l4wRkHqqCUFNJY4AfY3kHU/edit?usp=sharing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J12560" s="7" t="s">
        <v>11</v>
      </c>
    </row>
    <row r="12561" spans="1:10" ht="13.2">
      <c r="A12561" s="7">
        <v>12560</v>
      </c>
      <c r="B12561" s="7">
        <v>1</v>
      </c>
      <c r="C12561" s="7" t="s">
        <v>10</v>
      </c>
      <c r="D12561" s="7">
        <v>18201</v>
      </c>
      <c r="E12561" s="7" t="s">
        <v>11</v>
      </c>
      <c r="F12561" s="8" t="str">
        <f ca="1">IFERROR(__xludf.DUMMYFUNCTION("IF
(
C12562=""фізична особа""
,
VLOOKUP(D12562,IMPORTRANGE(""https://docs.google.com/spreadsheets/d/14Bd19lYaqBhU8_DElYkX7l4wRkHqqCUFNJY4AfY3kHU/edit?usp=sharing  #gid=0"",""фіз особи new!relations_name""),6,FALSE)
,
(IF
(
C12562=""юридична особа""
,
VLOO"&amp;"KUP(D12562,IMPORTRANGE(""https://docs.google.com/spreadsheets/d/14Bd19lYaqBhU8_DElYkX7l4wRkHqqCUFNJY4AfY3kHU/edit?usp=sharing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G12561" s="7" t="s">
        <v>10</v>
      </c>
      <c r="H12561" s="7">
        <v>18205</v>
      </c>
      <c r="I12561" s="8" t="str">
        <f ca="1">IFERROR(__xludf.DUMMYFUNCTION("IF
(
G12562=""фізична особа""
,
VLOOKUP(H12562,IMPORTRANGE(""https://docs.google.com/spreadsheets/d/14Bd19lYaqBhU8_DElYkX7l4wRkHqqCUFNJY4AfY3kHU/edit?usp=sharing  #gid=0"",""фіз особи new!relations_name""),6,FALSE)
,
(IF
(
G12562=""юридична особа""
,
VLOO"&amp;"KUP(H12562,IMPORTRANGE(""https://docs.google.com/spreadsheets/d/14Bd19lYaqBhU8_DElYkX7l4wRkHqqCUFNJY4AfY3kHU/edit?usp=sharing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J12561" s="7" t="s">
        <v>11</v>
      </c>
    </row>
    <row r="12562" spans="1:10" ht="13.2">
      <c r="A12562" s="7">
        <v>12561</v>
      </c>
      <c r="B12562" s="7">
        <v>1</v>
      </c>
      <c r="C12562" s="7" t="s">
        <v>10</v>
      </c>
      <c r="D12562" s="7">
        <v>18202</v>
      </c>
      <c r="E12562" s="7" t="s">
        <v>11</v>
      </c>
      <c r="F12562" s="8" t="str">
        <f ca="1">IFERROR(__xludf.DUMMYFUNCTION("IF
(
C12563=""фізична особа""
,
VLOOKUP(D12563,IMPORTRANGE(""https://docs.google.com/spreadsheets/d/14Bd19lYaqBhU8_DElYkX7l4wRkHqqCUFNJY4AfY3kHU/edit?usp=sharing  #gid=0"",""фіз особи new!relations_name""),6,FALSE)
,
(IF
(
C12563=""юридична особа""
,
VLOO"&amp;"KUP(D12563,IMPORTRANGE(""https://docs.google.com/spreadsheets/d/14Bd19lYaqBhU8_DElYkX7l4wRkHqqCUFNJY4AfY3kHU/edit?usp=sharing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G12562" s="7" t="s">
        <v>10</v>
      </c>
      <c r="H12562" s="7">
        <v>18201</v>
      </c>
      <c r="I12562" s="8" t="str">
        <f ca="1">IFERROR(__xludf.DUMMYFUNCTION("IF
(
G12563=""фізична особа""
,
VLOOKUP(H12563,IMPORTRANGE(""https://docs.google.com/spreadsheets/d/14Bd19lYaqBhU8_DElYkX7l4wRkHqqCUFNJY4AfY3kHU/edit?usp=sharing  #gid=0"",""фіз особи new!relations_name""),6,FALSE)
,
(IF
(
G12563=""юридична особа""
,
VLOO"&amp;"KUP(H12563,IMPORTRANGE(""https://docs.google.com/spreadsheets/d/14Bd19lYaqBhU8_DElYkX7l4wRkHqqCUFNJY4AfY3kHU/edit?usp=sharing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J12562" s="7" t="s">
        <v>11</v>
      </c>
    </row>
    <row r="12563" spans="1:10" ht="13.2">
      <c r="A12563" s="7">
        <v>12562</v>
      </c>
      <c r="B12563" s="7">
        <v>1</v>
      </c>
      <c r="C12563" s="7" t="s">
        <v>10</v>
      </c>
      <c r="D12563" s="7">
        <v>18202</v>
      </c>
      <c r="E12563" s="7" t="s">
        <v>11</v>
      </c>
      <c r="F12563" s="8" t="str">
        <f ca="1">IFERROR(__xludf.DUMMYFUNCTION("IF
(
C12564=""фізична особа""
,
VLOOKUP(D12564,IMPORTRANGE(""https://docs.google.com/spreadsheets/d/14Bd19lYaqBhU8_DElYkX7l4wRkHqqCUFNJY4AfY3kHU/edit?usp=sharing  #gid=0"",""фіз особи new!relations_name""),6,FALSE)
,
(IF
(
C12564=""юридична особа""
,
VLOO"&amp;"KUP(D12564,IMPORTRANGE(""https://docs.google.com/spreadsheets/d/14Bd19lYaqBhU8_DElYkX7l4wRkHqqCUFNJY4AfY3kHU/edit?usp=sharing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G12563" s="7" t="s">
        <v>10</v>
      </c>
      <c r="H12563" s="7">
        <v>18203</v>
      </c>
      <c r="I12563" s="8" t="str">
        <f ca="1">IFERROR(__xludf.DUMMYFUNCTION("IF
(
G12564=""фізична особа""
,
VLOOKUP(H12564,IMPORTRANGE(""https://docs.google.com/spreadsheets/d/14Bd19lYaqBhU8_DElYkX7l4wRkHqqCUFNJY4AfY3kHU/edit?usp=sharing  #gid=0"",""фіз особи new!relations_name""),6,FALSE)
,
(IF
(
G12564=""юридична особа""
,
VLOO"&amp;"KUP(H12564,IMPORTRANGE(""https://docs.google.com/spreadsheets/d/14Bd19lYaqBhU8_DElYkX7l4wRkHqqCUFNJY4AfY3kHU/edit?usp=sharing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J12563" s="7" t="s">
        <v>11</v>
      </c>
    </row>
    <row r="12564" spans="1:10" ht="13.2">
      <c r="A12564" s="7">
        <v>12563</v>
      </c>
      <c r="B12564" s="7">
        <v>1</v>
      </c>
      <c r="C12564" s="7" t="s">
        <v>10</v>
      </c>
      <c r="D12564" s="7">
        <v>18202</v>
      </c>
      <c r="E12564" s="7" t="s">
        <v>11</v>
      </c>
      <c r="F12564" s="8" t="str">
        <f ca="1">IFERROR(__xludf.DUMMYFUNCTION("IF
(
C12565=""фізична особа""
,
VLOOKUP(D12565,IMPORTRANGE(""https://docs.google.com/spreadsheets/d/14Bd19lYaqBhU8_DElYkX7l4wRkHqqCUFNJY4AfY3kHU/edit?usp=sharing  #gid=0"",""фіз особи new!relations_name""),6,FALSE)
,
(IF
(
C12565=""юридична особа""
,
VLOO"&amp;"KUP(D12565,IMPORTRANGE(""https://docs.google.com/spreadsheets/d/14Bd19lYaqBhU8_DElYkX7l4wRkHqqCUFNJY4AfY3kHU/edit?usp=sharing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G12564" s="7" t="s">
        <v>10</v>
      </c>
      <c r="H12564" s="7">
        <v>18204</v>
      </c>
      <c r="I12564" s="8" t="str">
        <f ca="1">IFERROR(__xludf.DUMMYFUNCTION("IF
(
G12565=""фізична особа""
,
VLOOKUP(H12565,IMPORTRANGE(""https://docs.google.com/spreadsheets/d/14Bd19lYaqBhU8_DElYkX7l4wRkHqqCUFNJY4AfY3kHU/edit?usp=sharing  #gid=0"",""фіз особи new!relations_name""),6,FALSE)
,
(IF
(
G12565=""юридична особа""
,
VLOO"&amp;"KUP(H12565,IMPORTRANGE(""https://docs.google.com/spreadsheets/d/14Bd19lYaqBhU8_DElYkX7l4wRkHqqCUFNJY4AfY3kHU/edit?usp=sharing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J12564" s="7" t="s">
        <v>11</v>
      </c>
    </row>
    <row r="12565" spans="1:10" ht="13.2">
      <c r="A12565" s="7">
        <v>12564</v>
      </c>
      <c r="B12565" s="7">
        <v>1</v>
      </c>
      <c r="C12565" s="7" t="s">
        <v>10</v>
      </c>
      <c r="D12565" s="7">
        <v>18202</v>
      </c>
      <c r="E12565" s="7" t="s">
        <v>11</v>
      </c>
      <c r="F12565" s="8" t="str">
        <f ca="1">IFERROR(__xludf.DUMMYFUNCTION("IF
(
C12566=""фізична особа""
,
VLOOKUP(D12566,IMPORTRANGE(""https://docs.google.com/spreadsheets/d/14Bd19lYaqBhU8_DElYkX7l4wRkHqqCUFNJY4AfY3kHU/edit?usp=sharing  #gid=0"",""фіз особи new!relations_name""),6,FALSE)
,
(IF
(
C12566=""юридична особа""
,
VLOO"&amp;"KUP(D12566,IMPORTRANGE(""https://docs.google.com/spreadsheets/d/14Bd19lYaqBhU8_DElYkX7l4wRkHqqCUFNJY4AfY3kHU/edit?usp=sharing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G12565" s="7" t="s">
        <v>10</v>
      </c>
      <c r="H12565" s="7">
        <v>18205</v>
      </c>
      <c r="I12565" s="8" t="str">
        <f ca="1">IFERROR(__xludf.DUMMYFUNCTION("IF
(
G12566=""фізична особа""
,
VLOOKUP(H12566,IMPORTRANGE(""https://docs.google.com/spreadsheets/d/14Bd19lYaqBhU8_DElYkX7l4wRkHqqCUFNJY4AfY3kHU/edit?usp=sharing  #gid=0"",""фіз особи new!relations_name""),6,FALSE)
,
(IF
(
G12566=""юридична особа""
,
VLOO"&amp;"KUP(H12566,IMPORTRANGE(""https://docs.google.com/spreadsheets/d/14Bd19lYaqBhU8_DElYkX7l4wRkHqqCUFNJY4AfY3kHU/edit?usp=sharing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J12565" s="7" t="s">
        <v>11</v>
      </c>
    </row>
    <row r="12566" spans="1:10" ht="13.2">
      <c r="A12566" s="7">
        <v>12565</v>
      </c>
      <c r="B12566" s="7">
        <v>1</v>
      </c>
      <c r="C12566" s="7" t="s">
        <v>10</v>
      </c>
      <c r="D12566" s="7">
        <v>18203</v>
      </c>
      <c r="E12566" s="7" t="s">
        <v>11</v>
      </c>
      <c r="F12566" s="8" t="str">
        <f ca="1">IFERROR(__xludf.DUMMYFUNCTION("IF
(
C12567=""фізична особа""
,
VLOOKUP(D12567,IMPORTRANGE(""https://docs.google.com/spreadsheets/d/14Bd19lYaqBhU8_DElYkX7l4wRkHqqCUFNJY4AfY3kHU/edit?usp=sharing  #gid=0"",""фіз особи new!relations_name""),6,FALSE)
,
(IF
(
C12567=""юридична особа""
,
VLOO"&amp;"KUP(D12567,IMPORTRANGE(""https://docs.google.com/spreadsheets/d/14Bd19lYaqBhU8_DElYkX7l4wRkHqqCUFNJY4AfY3kHU/edit?usp=sharing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G12566" s="7" t="s">
        <v>10</v>
      </c>
      <c r="H12566" s="7">
        <v>18201</v>
      </c>
      <c r="I12566" s="8" t="str">
        <f ca="1">IFERROR(__xludf.DUMMYFUNCTION("IF
(
G12567=""фізична особа""
,
VLOOKUP(H12567,IMPORTRANGE(""https://docs.google.com/spreadsheets/d/14Bd19lYaqBhU8_DElYkX7l4wRkHqqCUFNJY4AfY3kHU/edit?usp=sharing  #gid=0"",""фіз особи new!relations_name""),6,FALSE)
,
(IF
(
G12567=""юридична особа""
,
VLOO"&amp;"KUP(H12567,IMPORTRANGE(""https://docs.google.com/spreadsheets/d/14Bd19lYaqBhU8_DElYkX7l4wRkHqqCUFNJY4AfY3kHU/edit?usp=sharing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J12566" s="7" t="s">
        <v>11</v>
      </c>
    </row>
    <row r="12567" spans="1:10" ht="13.2">
      <c r="A12567" s="7">
        <v>12566</v>
      </c>
      <c r="B12567" s="7">
        <v>1</v>
      </c>
      <c r="C12567" s="7" t="s">
        <v>10</v>
      </c>
      <c r="D12567" s="7">
        <v>18203</v>
      </c>
      <c r="E12567" s="7" t="s">
        <v>11</v>
      </c>
      <c r="F12567" s="8" t="str">
        <f ca="1">IFERROR(__xludf.DUMMYFUNCTION("IF
(
C12568=""фізична особа""
,
VLOOKUP(D12568,IMPORTRANGE(""https://docs.google.com/spreadsheets/d/14Bd19lYaqBhU8_DElYkX7l4wRkHqqCUFNJY4AfY3kHU/edit?usp=sharing  #gid=0"",""фіз особи new!relations_name""),6,FALSE)
,
(IF
(
C12568=""юридична особа""
,
VLOO"&amp;"KUP(D12568,IMPORTRANGE(""https://docs.google.com/spreadsheets/d/14Bd19lYaqBhU8_DElYkX7l4wRkHqqCUFNJY4AfY3kHU/edit?usp=sharing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G12567" s="7" t="s">
        <v>10</v>
      </c>
      <c r="H12567" s="7">
        <v>18202</v>
      </c>
      <c r="I12567" s="8" t="str">
        <f ca="1">IFERROR(__xludf.DUMMYFUNCTION("IF
(
G12568=""фізична особа""
,
VLOOKUP(H12568,IMPORTRANGE(""https://docs.google.com/spreadsheets/d/14Bd19lYaqBhU8_DElYkX7l4wRkHqqCUFNJY4AfY3kHU/edit?usp=sharing  #gid=0"",""фіз особи new!relations_name""),6,FALSE)
,
(IF
(
G12568=""юридична особа""
,
VLOO"&amp;"KUP(H12568,IMPORTRANGE(""https://docs.google.com/spreadsheets/d/14Bd19lYaqBhU8_DElYkX7l4wRkHqqCUFNJY4AfY3kHU/edit?usp=sharing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J12567" s="7" t="s">
        <v>11</v>
      </c>
    </row>
    <row r="12568" spans="1:10" ht="13.2">
      <c r="A12568" s="7">
        <v>12567</v>
      </c>
      <c r="B12568" s="7">
        <v>1</v>
      </c>
      <c r="C12568" s="7" t="s">
        <v>10</v>
      </c>
      <c r="D12568" s="7">
        <v>18203</v>
      </c>
      <c r="E12568" s="7" t="s">
        <v>11</v>
      </c>
      <c r="F12568" s="8" t="str">
        <f ca="1">IFERROR(__xludf.DUMMYFUNCTION("IF
(
C12569=""фізична особа""
,
VLOOKUP(D12569,IMPORTRANGE(""https://docs.google.com/spreadsheets/d/14Bd19lYaqBhU8_DElYkX7l4wRkHqqCUFNJY4AfY3kHU/edit?usp=sharing  #gid=0"",""фіз особи new!relations_name""),6,FALSE)
,
(IF
(
C12569=""юридична особа""
,
VLOO"&amp;"KUP(D12569,IMPORTRANGE(""https://docs.google.com/spreadsheets/d/14Bd19lYaqBhU8_DElYkX7l4wRkHqqCUFNJY4AfY3kHU/edit?usp=sharing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G12568" s="7" t="s">
        <v>10</v>
      </c>
      <c r="H12568" s="7">
        <v>18204</v>
      </c>
      <c r="I12568" s="8" t="str">
        <f ca="1">IFERROR(__xludf.DUMMYFUNCTION("IF
(
G12569=""фізична особа""
,
VLOOKUP(H12569,IMPORTRANGE(""https://docs.google.com/spreadsheets/d/14Bd19lYaqBhU8_DElYkX7l4wRkHqqCUFNJY4AfY3kHU/edit?usp=sharing  #gid=0"",""фіз особи new!relations_name""),6,FALSE)
,
(IF
(
G12569=""юридична особа""
,
VLOO"&amp;"KUP(H12569,IMPORTRANGE(""https://docs.google.com/spreadsheets/d/14Bd19lYaqBhU8_DElYkX7l4wRkHqqCUFNJY4AfY3kHU/edit?usp=sharing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J12568" s="7" t="s">
        <v>11</v>
      </c>
    </row>
    <row r="12569" spans="1:10" ht="13.2">
      <c r="A12569" s="7">
        <v>12568</v>
      </c>
      <c r="B12569" s="7">
        <v>1</v>
      </c>
      <c r="C12569" s="7" t="s">
        <v>10</v>
      </c>
      <c r="D12569" s="7">
        <v>18203</v>
      </c>
      <c r="E12569" s="7" t="s">
        <v>11</v>
      </c>
      <c r="F12569" s="8" t="str">
        <f ca="1">IFERROR(__xludf.DUMMYFUNCTION("IF
(
C12570=""фізична особа""
,
VLOOKUP(D12570,IMPORTRANGE(""https://docs.google.com/spreadsheets/d/14Bd19lYaqBhU8_DElYkX7l4wRkHqqCUFNJY4AfY3kHU/edit?usp=sharing  #gid=0"",""фіз особи new!relations_name""),6,FALSE)
,
(IF
(
C12570=""юридична особа""
,
VLOO"&amp;"KUP(D12570,IMPORTRANGE(""https://docs.google.com/spreadsheets/d/14Bd19lYaqBhU8_DElYkX7l4wRkHqqCUFNJY4AfY3kHU/edit?usp=sharing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G12569" s="7" t="s">
        <v>10</v>
      </c>
      <c r="H12569" s="7">
        <v>18205</v>
      </c>
      <c r="I12569" s="8" t="str">
        <f ca="1">IFERROR(__xludf.DUMMYFUNCTION("IF
(
G12570=""фізична особа""
,
VLOOKUP(H12570,IMPORTRANGE(""https://docs.google.com/spreadsheets/d/14Bd19lYaqBhU8_DElYkX7l4wRkHqqCUFNJY4AfY3kHU/edit?usp=sharing  #gid=0"",""фіз особи new!relations_name""),6,FALSE)
,
(IF
(
G12570=""юридична особа""
,
VLOO"&amp;"KUP(H12570,IMPORTRANGE(""https://docs.google.com/spreadsheets/d/14Bd19lYaqBhU8_DElYkX7l4wRkHqqCUFNJY4AfY3kHU/edit?usp=sharing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J12569" s="7" t="s">
        <v>11</v>
      </c>
    </row>
    <row r="12570" spans="1:10" ht="13.2">
      <c r="A12570" s="7">
        <v>12569</v>
      </c>
      <c r="B12570" s="7">
        <v>1</v>
      </c>
      <c r="C12570" s="7" t="s">
        <v>10</v>
      </c>
      <c r="D12570" s="7">
        <v>18204</v>
      </c>
      <c r="E12570" s="7" t="s">
        <v>11</v>
      </c>
      <c r="F12570" s="8" t="str">
        <f ca="1">IFERROR(__xludf.DUMMYFUNCTION("IF
(
C12571=""фізична особа""
,
VLOOKUP(D12571,IMPORTRANGE(""https://docs.google.com/spreadsheets/d/14Bd19lYaqBhU8_DElYkX7l4wRkHqqCUFNJY4AfY3kHU/edit?usp=sharing  #gid=0"",""фіз особи new!relations_name""),6,FALSE)
,
(IF
(
C12571=""юридична особа""
,
VLOO"&amp;"KUP(D12571,IMPORTRANGE(""https://docs.google.com/spreadsheets/d/14Bd19lYaqBhU8_DElYkX7l4wRkHqqCUFNJY4AfY3kHU/edit?usp=sharing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G12570" s="7" t="s">
        <v>10</v>
      </c>
      <c r="H12570" s="7">
        <v>18201</v>
      </c>
      <c r="I12570" s="8" t="str">
        <f ca="1">IFERROR(__xludf.DUMMYFUNCTION("IF
(
G12571=""фізична особа""
,
VLOOKUP(H12571,IMPORTRANGE(""https://docs.google.com/spreadsheets/d/14Bd19lYaqBhU8_DElYkX7l4wRkHqqCUFNJY4AfY3kHU/edit?usp=sharing  #gid=0"",""фіз особи new!relations_name""),6,FALSE)
,
(IF
(
G12571=""юридична особа""
,
VLOO"&amp;"KUP(H12571,IMPORTRANGE(""https://docs.google.com/spreadsheets/d/14Bd19lYaqBhU8_DElYkX7l4wRkHqqCUFNJY4AfY3kHU/edit?usp=sharing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J12570" s="7" t="s">
        <v>11</v>
      </c>
    </row>
    <row r="12571" spans="1:10" ht="13.2">
      <c r="A12571" s="7">
        <v>12570</v>
      </c>
      <c r="B12571" s="7">
        <v>1</v>
      </c>
      <c r="C12571" s="7" t="s">
        <v>10</v>
      </c>
      <c r="D12571" s="7">
        <v>18204</v>
      </c>
      <c r="E12571" s="7" t="s">
        <v>11</v>
      </c>
      <c r="F12571" s="8" t="str">
        <f ca="1">IFERROR(__xludf.DUMMYFUNCTION("IF
(
C12572=""фізична особа""
,
VLOOKUP(D12572,IMPORTRANGE(""https://docs.google.com/spreadsheets/d/14Bd19lYaqBhU8_DElYkX7l4wRkHqqCUFNJY4AfY3kHU/edit?usp=sharing  #gid=0"",""фіз особи new!relations_name""),6,FALSE)
,
(IF
(
C12572=""юридична особа""
,
VLOO"&amp;"KUP(D12572,IMPORTRANGE(""https://docs.google.com/spreadsheets/d/14Bd19lYaqBhU8_DElYkX7l4wRkHqqCUFNJY4AfY3kHU/edit?usp=sharing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G12571" s="7" t="s">
        <v>10</v>
      </c>
      <c r="H12571" s="7">
        <v>18202</v>
      </c>
      <c r="I12571" s="8" t="str">
        <f ca="1">IFERROR(__xludf.DUMMYFUNCTION("IF
(
G12572=""фізична особа""
,
VLOOKUP(H12572,IMPORTRANGE(""https://docs.google.com/spreadsheets/d/14Bd19lYaqBhU8_DElYkX7l4wRkHqqCUFNJY4AfY3kHU/edit?usp=sharing  #gid=0"",""фіз особи new!relations_name""),6,FALSE)
,
(IF
(
G12572=""юридична особа""
,
VLOO"&amp;"KUP(H12572,IMPORTRANGE(""https://docs.google.com/spreadsheets/d/14Bd19lYaqBhU8_DElYkX7l4wRkHqqCUFNJY4AfY3kHU/edit?usp=sharing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J12571" s="7" t="s">
        <v>11</v>
      </c>
    </row>
    <row r="12572" spans="1:10" ht="13.2">
      <c r="A12572" s="7">
        <v>12571</v>
      </c>
      <c r="B12572" s="7">
        <v>1</v>
      </c>
      <c r="C12572" s="7" t="s">
        <v>10</v>
      </c>
      <c r="D12572" s="7">
        <v>18204</v>
      </c>
      <c r="E12572" s="7" t="s">
        <v>11</v>
      </c>
      <c r="F12572" s="8" t="str">
        <f ca="1">IFERROR(__xludf.DUMMYFUNCTION("IF
(
C12573=""фізична особа""
,
VLOOKUP(D12573,IMPORTRANGE(""https://docs.google.com/spreadsheets/d/14Bd19lYaqBhU8_DElYkX7l4wRkHqqCUFNJY4AfY3kHU/edit?usp=sharing  #gid=0"",""фіз особи new!relations_name""),6,FALSE)
,
(IF
(
C12573=""юридична особа""
,
VLOO"&amp;"KUP(D12573,IMPORTRANGE(""https://docs.google.com/spreadsheets/d/14Bd19lYaqBhU8_DElYkX7l4wRkHqqCUFNJY4AfY3kHU/edit?usp=sharing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G12572" s="7" t="s">
        <v>10</v>
      </c>
      <c r="H12572" s="7">
        <v>18203</v>
      </c>
      <c r="I12572" s="8" t="str">
        <f ca="1">IFERROR(__xludf.DUMMYFUNCTION("IF
(
G12573=""фізична особа""
,
VLOOKUP(H12573,IMPORTRANGE(""https://docs.google.com/spreadsheets/d/14Bd19lYaqBhU8_DElYkX7l4wRkHqqCUFNJY4AfY3kHU/edit?usp=sharing  #gid=0"",""фіз особи new!relations_name""),6,FALSE)
,
(IF
(
G12573=""юридична особа""
,
VLOO"&amp;"KUP(H12573,IMPORTRANGE(""https://docs.google.com/spreadsheets/d/14Bd19lYaqBhU8_DElYkX7l4wRkHqqCUFNJY4AfY3kHU/edit?usp=sharing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J12572" s="7" t="s">
        <v>11</v>
      </c>
    </row>
    <row r="12573" spans="1:10" ht="13.2">
      <c r="A12573" s="7">
        <v>12572</v>
      </c>
      <c r="B12573" s="7">
        <v>1</v>
      </c>
      <c r="C12573" s="7" t="s">
        <v>10</v>
      </c>
      <c r="D12573" s="7">
        <v>18204</v>
      </c>
      <c r="E12573" s="7" t="s">
        <v>11</v>
      </c>
      <c r="F12573" s="8" t="str">
        <f ca="1">IFERROR(__xludf.DUMMYFUNCTION("IF
(
C12574=""фізична особа""
,
VLOOKUP(D12574,IMPORTRANGE(""https://docs.google.com/spreadsheets/d/14Bd19lYaqBhU8_DElYkX7l4wRkHqqCUFNJY4AfY3kHU/edit?usp=sharing  #gid=0"",""фіз особи new!relations_name""),6,FALSE)
,
(IF
(
C12574=""юридична особа""
,
VLOO"&amp;"KUP(D12574,IMPORTRANGE(""https://docs.google.com/spreadsheets/d/14Bd19lYaqBhU8_DElYkX7l4wRkHqqCUFNJY4AfY3kHU/edit?usp=sharing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G12573" s="7" t="s">
        <v>10</v>
      </c>
      <c r="H12573" s="7">
        <v>18205</v>
      </c>
      <c r="I12573" s="8" t="str">
        <f ca="1">IFERROR(__xludf.DUMMYFUNCTION("IF
(
G12574=""фізична особа""
,
VLOOKUP(H12574,IMPORTRANGE(""https://docs.google.com/spreadsheets/d/14Bd19lYaqBhU8_DElYkX7l4wRkHqqCUFNJY4AfY3kHU/edit?usp=sharing  #gid=0"",""фіз особи new!relations_name""),6,FALSE)
,
(IF
(
G12574=""юридична особа""
,
VLOO"&amp;"KUP(H12574,IMPORTRANGE(""https://docs.google.com/spreadsheets/d/14Bd19lYaqBhU8_DElYkX7l4wRkHqqCUFNJY4AfY3kHU/edit?usp=sharing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J12573" s="7" t="s">
        <v>11</v>
      </c>
    </row>
    <row r="12574" spans="1:10" ht="13.2">
      <c r="A12574" s="7">
        <v>12573</v>
      </c>
      <c r="B12574" s="7">
        <v>1</v>
      </c>
      <c r="C12574" s="7" t="s">
        <v>10</v>
      </c>
      <c r="D12574" s="7">
        <v>18205</v>
      </c>
      <c r="E12574" s="7" t="s">
        <v>11</v>
      </c>
      <c r="F12574" s="8" t="str">
        <f ca="1">IFERROR(__xludf.DUMMYFUNCTION("IF
(
C12575=""фізична особа""
,
VLOOKUP(D12575,IMPORTRANGE(""https://docs.google.com/spreadsheets/d/14Bd19lYaqBhU8_DElYkX7l4wRkHqqCUFNJY4AfY3kHU/edit?usp=sharing  #gid=0"",""фіз особи new!relations_name""),6,FALSE)
,
(IF
(
C12575=""юридична особа""
,
VLOO"&amp;"KUP(D12575,IMPORTRANGE(""https://docs.google.com/spreadsheets/d/14Bd19lYaqBhU8_DElYkX7l4wRkHqqCUFNJY4AfY3kHU/edit?usp=sharing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G12574" s="7" t="s">
        <v>10</v>
      </c>
      <c r="H12574" s="7">
        <v>18201</v>
      </c>
      <c r="I12574" s="8" t="str">
        <f ca="1">IFERROR(__xludf.DUMMYFUNCTION("IF
(
G12575=""фізична особа""
,
VLOOKUP(H12575,IMPORTRANGE(""https://docs.google.com/spreadsheets/d/14Bd19lYaqBhU8_DElYkX7l4wRkHqqCUFNJY4AfY3kHU/edit?usp=sharing  #gid=0"",""фіз особи new!relations_name""),6,FALSE)
,
(IF
(
G12575=""юридична особа""
,
VLOO"&amp;"KUP(H12575,IMPORTRANGE(""https://docs.google.com/spreadsheets/d/14Bd19lYaqBhU8_DElYkX7l4wRkHqqCUFNJY4AfY3kHU/edit?usp=sharing  #gid=0"",""фіз особи new!relations_name_uo""),7,FALSE)
,
)
))"),"БАБАК Леонід Іванович")</f>
        <v>БАБАК Леонід Іванович</v>
      </c>
      <c r="J12574" s="7" t="s">
        <v>11</v>
      </c>
    </row>
    <row r="12575" spans="1:10" ht="13.2">
      <c r="A12575" s="7">
        <v>12574</v>
      </c>
      <c r="B12575" s="7">
        <v>1</v>
      </c>
      <c r="C12575" s="7" t="s">
        <v>10</v>
      </c>
      <c r="D12575" s="7">
        <v>18205</v>
      </c>
      <c r="E12575" s="7" t="s">
        <v>11</v>
      </c>
      <c r="F12575" s="8" t="str">
        <f ca="1">IFERROR(__xludf.DUMMYFUNCTION("IF
(
C12576=""фізична особа""
,
VLOOKUP(D12576,IMPORTRANGE(""https://docs.google.com/spreadsheets/d/14Bd19lYaqBhU8_DElYkX7l4wRkHqqCUFNJY4AfY3kHU/edit?usp=sharing  #gid=0"",""фіз особи new!relations_name""),6,FALSE)
,
(IF
(
C12576=""юридична особа""
,
VLOO"&amp;"KUP(D12576,IMPORTRANGE(""https://docs.google.com/spreadsheets/d/14Bd19lYaqBhU8_DElYkX7l4wRkHqqCUFNJY4AfY3kHU/edit?usp=sharing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G12575" s="7" t="s">
        <v>10</v>
      </c>
      <c r="H12575" s="7">
        <v>18202</v>
      </c>
      <c r="I12575" s="8" t="str">
        <f ca="1">IFERROR(__xludf.DUMMYFUNCTION("IF
(
G12576=""фізична особа""
,
VLOOKUP(H12576,IMPORTRANGE(""https://docs.google.com/spreadsheets/d/14Bd19lYaqBhU8_DElYkX7l4wRkHqqCUFNJY4AfY3kHU/edit?usp=sharing  #gid=0"",""фіз особи new!relations_name""),6,FALSE)
,
(IF
(
G12576=""юридична особа""
,
VLOO"&amp;"KUP(H12576,IMPORTRANGE(""https://docs.google.com/spreadsheets/d/14Bd19lYaqBhU8_DElYkX7l4wRkHqqCUFNJY4AfY3kHU/edit?usp=sharing  #gid=0"",""фіз особи new!relations_name_uo""),7,FALSE)
,
)
))"),"ШЕЄРМАН Федір Іванович")</f>
        <v>ШЕЄРМАН Федір Іванович</v>
      </c>
      <c r="J12575" s="7" t="s">
        <v>11</v>
      </c>
    </row>
    <row r="12576" spans="1:10" ht="13.2">
      <c r="A12576" s="7">
        <v>12575</v>
      </c>
      <c r="B12576" s="7">
        <v>1</v>
      </c>
      <c r="C12576" s="7" t="s">
        <v>10</v>
      </c>
      <c r="D12576" s="7">
        <v>18205</v>
      </c>
      <c r="E12576" s="7" t="s">
        <v>11</v>
      </c>
      <c r="F12576" s="8" t="str">
        <f ca="1">IFERROR(__xludf.DUMMYFUNCTION("IF
(
C12577=""фізична особа""
,
VLOOKUP(D12577,IMPORTRANGE(""https://docs.google.com/spreadsheets/d/14Bd19lYaqBhU8_DElYkX7l4wRkHqqCUFNJY4AfY3kHU/edit?usp=sharing  #gid=0"",""фіз особи new!relations_name""),6,FALSE)
,
(IF
(
C12577=""юридична особа""
,
VLOO"&amp;"KUP(D12577,IMPORTRANGE(""https://docs.google.com/spreadsheets/d/14Bd19lYaqBhU8_DElYkX7l4wRkHqqCUFNJY4AfY3kHU/edit?usp=sharing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G12576" s="7" t="s">
        <v>10</v>
      </c>
      <c r="H12576" s="7">
        <v>18203</v>
      </c>
      <c r="I12576" s="8" t="str">
        <f ca="1">IFERROR(__xludf.DUMMYFUNCTION("IF
(
G12577=""фізична особа""
,
VLOOKUP(H12577,IMPORTRANGE(""https://docs.google.com/spreadsheets/d/14Bd19lYaqBhU8_DElYkX7l4wRkHqqCUFNJY4AfY3kHU/edit?usp=sharing  #gid=0"",""фіз особи new!relations_name""),6,FALSE)
,
(IF
(
G12577=""юридична особа""
,
VLOO"&amp;"KUP(H12577,IMPORTRANGE(""https://docs.google.com/spreadsheets/d/14Bd19lYaqBhU8_DElYkX7l4wRkHqqCUFNJY4AfY3kHU/edit?usp=sharing  #gid=0"",""фіз особи new!relations_name_uo""),7,FALSE)
,
)
))"),"ДОБУШ Ігор Мирославович")</f>
        <v>ДОБУШ Ігор Мирославович</v>
      </c>
      <c r="J12576" s="7" t="s">
        <v>11</v>
      </c>
    </row>
    <row r="12577" spans="1:10" ht="13.2">
      <c r="A12577" s="7">
        <v>12576</v>
      </c>
      <c r="B12577" s="7">
        <v>1</v>
      </c>
      <c r="C12577" s="7" t="s">
        <v>10</v>
      </c>
      <c r="D12577" s="7">
        <v>18205</v>
      </c>
      <c r="E12577" s="7" t="s">
        <v>11</v>
      </c>
      <c r="F12577" s="8" t="str">
        <f ca="1">IFERROR(__xludf.DUMMYFUNCTION("IF
(
C12578=""фізична особа""
,
VLOOKUP(D12578,IMPORTRANGE(""https://docs.google.com/spreadsheets/d/14Bd19lYaqBhU8_DElYkX7l4wRkHqqCUFNJY4AfY3kHU/edit?usp=sharing  #gid=0"",""фіз особи new!relations_name""),6,FALSE)
,
(IF
(
C12578=""юридична особа""
,
VLOO"&amp;"KUP(D12578,IMPORTRANGE(""https://docs.google.com/spreadsheets/d/14Bd19lYaqBhU8_DElYkX7l4wRkHqqCUFNJY4AfY3kHU/edit?usp=sharing  #gid=0"",""фіз особи new!relations_name_uo""),7,FALSE)
,
)
))"),"ЧЕРКАШИН Михайло Володимирович")</f>
        <v>ЧЕРКАШИН Михайло Володимирович</v>
      </c>
      <c r="G12577" s="7" t="s">
        <v>10</v>
      </c>
      <c r="H12577" s="7">
        <v>18204</v>
      </c>
      <c r="I12577" s="8" t="str">
        <f ca="1">IFERROR(__xludf.DUMMYFUNCTION("IF
(
G12578=""фізична особа""
,
VLOOKUP(H12578,IMPORTRANGE(""https://docs.google.com/spreadsheets/d/14Bd19lYaqBhU8_DElYkX7l4wRkHqqCUFNJY4AfY3kHU/edit?usp=sharing  #gid=0"",""фіз особи new!relations_name""),6,FALSE)
,
(IF
(
G12578=""юридична особа""
,
VLOO"&amp;"KUP(H12578,IMPORTRANGE(""https://docs.google.com/spreadsheets/d/14Bd19lYaqBhU8_DElYkX7l4wRkHqqCUFNJY4AfY3kHU/edit?usp=sharing  #gid=0"",""фіз особи new!relations_name_uo""),7,FALSE)
,
)
))"),"КОКОЛОВ Андрій Олександрович")</f>
        <v>КОКОЛОВ Андрій Олександрович</v>
      </c>
      <c r="J12577" s="7" t="s">
        <v>11</v>
      </c>
    </row>
    <row r="12578" spans="1:10" ht="13.2">
      <c r="A12578" s="7">
        <v>12577</v>
      </c>
      <c r="B12578" s="7">
        <v>1</v>
      </c>
      <c r="C12578" s="7" t="s">
        <v>10</v>
      </c>
      <c r="D12578" s="7">
        <v>18210</v>
      </c>
      <c r="E12578" s="7" t="s">
        <v>28</v>
      </c>
      <c r="F12578" s="8" t="str">
        <f ca="1">IFERROR(__xludf.DUMMYFUNCTION("IF
(
C12579=""фізична особа""
,
VLOOKUP(D12579,IMPORTRANGE(""https://docs.google.com/spreadsheets/d/14Bd19lYaqBhU8_DElYkX7l4wRkHqqCUFNJY4AfY3kHU/edit?usp=sharing  #gid=0"",""фіз особи new!relations_name""),6,FALSE)
,
(IF
(
C12579=""юридична особа""
,
VLOO"&amp;"KUP(D12579,IMPORTRANGE(""https://docs.google.com/spreadsheets/d/14Bd19lYaqBhU8_DElYkX7l4wRkHqqCUFNJY4AfY3kHU/edit?usp=sharing  #gid=0"",""фіз особи new!relations_name_uo""),7,FALSE)
,
)
))"),"ГОЛУБЄВ Володимир Олексійович")</f>
        <v>ГОЛУБЄВ Володимир Олексійович</v>
      </c>
      <c r="G12578" s="7" t="s">
        <v>10</v>
      </c>
      <c r="H12578" s="7">
        <v>18193</v>
      </c>
      <c r="I12578" s="8" t="str">
        <f ca="1">IFERROR(__xludf.DUMMYFUNCTION("IF
(
G12579=""фізична особа""
,
VLOOKUP(H12579,IMPORTRANGE(""https://docs.google.com/spreadsheets/d/14Bd19lYaqBhU8_DElYkX7l4wRkHqqCUFNJY4AfY3kHU/edit?usp=sharing  #gid=0"",""фіз особи new!relations_name""),6,FALSE)
,
(IF
(
G12579=""юридична особа""
,
VLOO"&amp;"KUP(H12579,IMPORTRANGE(""https://docs.google.com/spreadsheets/d/14Bd19lYaqBhU8_DElYkX7l4wRkHqqCUFNJY4AfY3kHU/edit?usp=sharing  #gid=0"",""фіз особи new!relations_name_uo""),7,FALSE)
,
)
))"),"КУЗНЄЦОВ Евген Вікторович")</f>
        <v>КУЗНЄЦОВ Евген Вікторович</v>
      </c>
      <c r="J12578" s="7" t="s">
        <v>29</v>
      </c>
    </row>
    <row r="12579" spans="1:10" ht="13.2">
      <c r="A12579" s="7">
        <v>12578</v>
      </c>
      <c r="B12579" s="7">
        <v>1</v>
      </c>
      <c r="C12579" s="7" t="s">
        <v>10</v>
      </c>
      <c r="D12579" s="7">
        <v>18211</v>
      </c>
      <c r="E12579" s="7" t="s">
        <v>28</v>
      </c>
      <c r="F12579" s="8" t="str">
        <f ca="1">IFERROR(__xludf.DUMMYFUNCTION("IF
(
C12580=""фізична особа""
,
VLOOKUP(D12580,IMPORTRANGE(""https://docs.google.com/spreadsheets/d/14Bd19lYaqBhU8_DElYkX7l4wRkHqqCUFNJY4AfY3kHU/edit?usp=sharing  #gid=0"",""фіз особи new!relations_name""),6,FALSE)
,
(IF
(
C12580=""юридична особа""
,
VLOO"&amp;"KUP(D12580,IMPORTRANGE(""https://docs.google.com/spreadsheets/d/14Bd19lYaqBhU8_DElYkX7l4wRkHqqCUFNJY4AfY3kHU/edit?usp=sharing  #gid=0"",""фіз особи new!relations_name_uo""),7,FALSE)
,
)
))"),"БОРИСОВ Лев Валерійович")</f>
        <v>БОРИСОВ Лев Валерійович</v>
      </c>
      <c r="G12579" s="7" t="s">
        <v>10</v>
      </c>
      <c r="H12579" s="7">
        <v>18193</v>
      </c>
      <c r="I12579" s="8" t="str">
        <f ca="1">IFERROR(__xludf.DUMMYFUNCTION("IF
(
G12580=""фізична особа""
,
VLOOKUP(H12580,IMPORTRANGE(""https://docs.google.com/spreadsheets/d/14Bd19lYaqBhU8_DElYkX7l4wRkHqqCUFNJY4AfY3kHU/edit?usp=sharing  #gid=0"",""фіз особи new!relations_name""),6,FALSE)
,
(IF
(
G12580=""юридична особа""
,
VLOO"&amp;"KUP(H12580,IMPORTRANGE(""https://docs.google.com/spreadsheets/d/14Bd19lYaqBhU8_DElYkX7l4wRkHqqCUFNJY4AfY3kHU/edit?usp=sharing  #gid=0"",""фіз особи new!relations_name_uo""),7,FALSE)
,
)
))"),"КУЗНЄЦОВ Евген Вікторович")</f>
        <v>КУЗНЄЦОВ Евген Вікторович</v>
      </c>
      <c r="J12579" s="7" t="s">
        <v>29</v>
      </c>
    </row>
    <row r="12580" spans="1:10" ht="13.2">
      <c r="A12580" s="7">
        <v>12579</v>
      </c>
      <c r="B12580" s="7">
        <v>1</v>
      </c>
      <c r="C12580" s="7" t="s">
        <v>10</v>
      </c>
      <c r="D12580" s="7">
        <v>18212</v>
      </c>
      <c r="E12580" s="7" t="s">
        <v>28</v>
      </c>
      <c r="F12580" s="8" t="str">
        <f ca="1">IFERROR(__xludf.DUMMYFUNCTION("IF
(
C12581=""фізична особа""
,
VLOOKUP(D12581,IMPORTRANGE(""https://docs.google.com/spreadsheets/d/14Bd19lYaqBhU8_DElYkX7l4wRkHqqCUFNJY4AfY3kHU/edit?usp=sharing  #gid=0"",""фіз особи new!relations_name""),6,FALSE)
,
(IF
(
C12581=""юридична особа""
,
VLOO"&amp;"KUP(D12581,IMPORTRANGE(""https://docs.google.com/spreadsheets/d/14Bd19lYaqBhU8_DElYkX7l4wRkHqqCUFNJY4AfY3kHU/edit?usp=sharing  #gid=0"",""фіз особи new!relations_name_uo""),7,FALSE)
,
)
))"),"НОЗДРАЧОВ Олександр Васильович")</f>
        <v>НОЗДРАЧОВ Олександр Васильович</v>
      </c>
      <c r="G12580" s="7" t="s">
        <v>10</v>
      </c>
      <c r="H12580" s="7">
        <v>18193</v>
      </c>
      <c r="I12580" s="8" t="str">
        <f ca="1">IFERROR(__xludf.DUMMYFUNCTION("IF
(
G12581=""фізична особа""
,
VLOOKUP(H12581,IMPORTRANGE(""https://docs.google.com/spreadsheets/d/14Bd19lYaqBhU8_DElYkX7l4wRkHqqCUFNJY4AfY3kHU/edit?usp=sharing  #gid=0"",""фіз особи new!relations_name""),6,FALSE)
,
(IF
(
G12581=""юридична особа""
,
VLOO"&amp;"KUP(H12581,IMPORTRANGE(""https://docs.google.com/spreadsheets/d/14Bd19lYaqBhU8_DElYkX7l4wRkHqqCUFNJY4AfY3kHU/edit?usp=sharing  #gid=0"",""фіз особи new!relations_name_uo""),7,FALSE)
,
)
))"),"КУЗНЄЦОВ Евген Вікторович")</f>
        <v>КУЗНЄЦОВ Евген Вікторович</v>
      </c>
      <c r="J12580" s="7" t="s">
        <v>29</v>
      </c>
    </row>
    <row r="12581" spans="1:10" ht="13.2">
      <c r="A12581" s="7">
        <v>12580</v>
      </c>
      <c r="B12581" s="7">
        <v>1</v>
      </c>
      <c r="C12581" s="7" t="s">
        <v>10</v>
      </c>
      <c r="D12581" s="7">
        <v>18213</v>
      </c>
      <c r="E12581" s="7" t="s">
        <v>28</v>
      </c>
      <c r="F12581" s="8" t="str">
        <f ca="1">IFERROR(__xludf.DUMMYFUNCTION("IF
(
C12582=""фізична особа""
,
VLOOKUP(D12582,IMPORTRANGE(""https://docs.google.com/spreadsheets/d/14Bd19lYaqBhU8_DElYkX7l4wRkHqqCUFNJY4AfY3kHU/edit?usp=sharing  #gid=0"",""фіз особи new!relations_name""),6,FALSE)
,
(IF
(
C12582=""юридична особа""
,
VLOO"&amp;"KUP(D12582,IMPORTRANGE(""https://docs.google.com/spreadsheets/d/14Bd19lYaqBhU8_DElYkX7l4wRkHqqCUFNJY4AfY3kHU/edit?usp=sharing  #gid=0"",""фіз особи new!relations_name_uo""),7,FALSE)
,
)
))"),"ОЖГИХІВ Іван Володимирович")</f>
        <v>ОЖГИХІВ Іван Володимирович</v>
      </c>
      <c r="G12581" s="7" t="s">
        <v>10</v>
      </c>
      <c r="H12581" s="7">
        <v>18193</v>
      </c>
      <c r="I12581" s="8" t="str">
        <f ca="1">IFERROR(__xludf.DUMMYFUNCTION("IF
(
G12582=""фізична особа""
,
VLOOKUP(H12582,IMPORTRANGE(""https://docs.google.com/spreadsheets/d/14Bd19lYaqBhU8_DElYkX7l4wRkHqqCUFNJY4AfY3kHU/edit?usp=sharing  #gid=0"",""фіз особи new!relations_name""),6,FALSE)
,
(IF
(
G12582=""юридична особа""
,
VLOO"&amp;"KUP(H12582,IMPORTRANGE(""https://docs.google.com/spreadsheets/d/14Bd19lYaqBhU8_DElYkX7l4wRkHqqCUFNJY4AfY3kHU/edit?usp=sharing  #gid=0"",""фіз особи new!relations_name_uo""),7,FALSE)
,
)
))"),"КУЗНЄЦОВ Евген Вікторович")</f>
        <v>КУЗНЄЦОВ Евген Вікторович</v>
      </c>
      <c r="J12581" s="7" t="s">
        <v>29</v>
      </c>
    </row>
    <row r="12582" spans="1:10" ht="13.2">
      <c r="A12582" s="7">
        <v>12581</v>
      </c>
      <c r="B12582" s="7">
        <v>1</v>
      </c>
      <c r="C12582" s="7" t="s">
        <v>10</v>
      </c>
      <c r="D12582" s="7">
        <v>18214</v>
      </c>
      <c r="E12582" s="7" t="s">
        <v>29</v>
      </c>
      <c r="F12582" s="8" t="str">
        <f ca="1">IFERROR(__xludf.DUMMYFUNCTION("IF
(
C12583=""фізична особа""
,
VLOOKUP(D12583,IMPORTRANGE(""https://docs.google.com/spreadsheets/d/14Bd19lYaqBhU8_DElYkX7l4wRkHqqCUFNJY4AfY3kHU/edit?usp=sharing  #gid=0"",""фіз особи new!relations_name""),6,FALSE)
,
(IF
(
C12583=""юридична особа""
,
VLOO"&amp;"KUP(D12583,IMPORTRANGE(""https://docs.google.com/spreadsheets/d/14Bd19lYaqBhU8_DElYkX7l4wRkHqqCUFNJY4AfY3kHU/edit?usp=sharing  #gid=0"",""фіз особи new!relations_name_uo""),7,FALSE)
,
)
))"),"ТОМАС Джонстон")</f>
        <v>ТОМАС Джонстон</v>
      </c>
      <c r="G12582" s="7" t="s">
        <v>10</v>
      </c>
      <c r="H12582" s="7">
        <v>5893</v>
      </c>
      <c r="I12582" s="8" t="str">
        <f ca="1">IFERROR(__xludf.DUMMYFUNCTION("IF
(
G12583=""фізична особа""
,
VLOOKUP(H12583,IMPORTRANGE(""https://docs.google.com/spreadsheets/d/14Bd19lYaqBhU8_DElYkX7l4wRkHqqCUFNJY4AfY3kHU/edit?usp=sharing  #gid=0"",""фіз особи new!relations_name""),6,FALSE)
,
(IF
(
G12583=""юридична особа""
,
VLOO"&amp;"KUP(H12583,IMPORTRANGE(""https://docs.google.com/spreadsheets/d/14Bd19lYaqBhU8_DElYkX7l4wRkHqqCUFNJY4AfY3kHU/edit?usp=sharing  #gid=0"",""фіз особи new!relations_name_uo""),7,FALSE)
,
)
))"),"ШИЛОВ Олег Олександрович")</f>
        <v>ШИЛОВ Олег Олександрович</v>
      </c>
      <c r="J12582" s="7" t="s">
        <v>28</v>
      </c>
    </row>
    <row r="12583" spans="1:10" ht="13.2">
      <c r="A12583" s="7">
        <v>12582</v>
      </c>
      <c r="B12583" s="7">
        <v>1</v>
      </c>
      <c r="C12583" s="7" t="s">
        <v>10</v>
      </c>
      <c r="D12583" s="7">
        <v>18215</v>
      </c>
      <c r="E12583" s="7" t="s">
        <v>28</v>
      </c>
      <c r="F12583" s="8" t="str">
        <f ca="1">IFERROR(__xludf.DUMMYFUNCTION("IF
(
C12584=""фізична особа""
,
VLOOKUP(D12584,IMPORTRANGE(""https://docs.google.com/spreadsheets/d/14Bd19lYaqBhU8_DElYkX7l4wRkHqqCUFNJY4AfY3kHU/edit?usp=sharing  #gid=0"",""фіз особи new!relations_name""),6,FALSE)
,
(IF
(
C12584=""юридична особа""
,
VLOO"&amp;"KUP(D12584,IMPORTRANGE(""https://docs.google.com/spreadsheets/d/14Bd19lYaqBhU8_DElYkX7l4wRkHqqCUFNJY4AfY3kHU/edit?usp=sharing  #gid=0"",""фіз особи new!relations_name_uo""),7,FALSE)
,
)
))"),"КАРПОВ Ярослав Юрійович")</f>
        <v>КАРПОВ Ярослав Юрійович</v>
      </c>
      <c r="G12583" s="7" t="s">
        <v>10</v>
      </c>
      <c r="H12583" s="7">
        <v>2149</v>
      </c>
      <c r="I12583" s="8" t="str">
        <f ca="1">IFERROR(__xludf.DUMMYFUNCTION("IF
(
G12584=""фізична особа""
,
VLOOKUP(H12584,IMPORTRANGE(""https://docs.google.com/spreadsheets/d/14Bd19lYaqBhU8_DElYkX7l4wRkHqqCUFNJY4AfY3kHU/edit?usp=sharing  #gid=0"",""фіз особи new!relations_name""),6,FALSE)
,
(IF
(
G12584=""юридична особа""
,
VLOO"&amp;"KUP(H12584,IMPORTRANGE(""https://docs.google.com/spreadsheets/d/14Bd19lYaqBhU8_DElYkX7l4wRkHqqCUFNJY4AfY3kHU/edit?usp=sharing  #gid=0"",""фіз особи new!relations_name_uo""),7,FALSE)
,
)
))"),"ПІТІКОВ Сергій Вікторович")</f>
        <v>ПІТІКОВ Сергій Вікторович</v>
      </c>
      <c r="J12583" s="7" t="s">
        <v>29</v>
      </c>
    </row>
    <row r="12584" spans="1:10" ht="13.2">
      <c r="A12584" s="7">
        <v>12583</v>
      </c>
      <c r="B12584" s="7">
        <v>1</v>
      </c>
      <c r="C12584" s="7" t="s">
        <v>10</v>
      </c>
      <c r="D12584" s="7">
        <v>18216</v>
      </c>
      <c r="E12584" s="7" t="s">
        <v>28</v>
      </c>
      <c r="F12584" s="8" t="str">
        <f ca="1">IFERROR(__xludf.DUMMYFUNCTION("IF
(
C12585=""фізична особа""
,
VLOOKUP(D12585,IMPORTRANGE(""https://docs.google.com/spreadsheets/d/14Bd19lYaqBhU8_DElYkX7l4wRkHqqCUFNJY4AfY3kHU/edit?usp=sharing  #gid=0"",""фіз особи new!relations_name""),6,FALSE)
,
(IF
(
C12585=""юридична особа""
,
VLOO"&amp;"KUP(D12585,IMPORTRANGE(""https://docs.google.com/spreadsheets/d/14Bd19lYaqBhU8_DElYkX7l4wRkHqqCUFNJY4AfY3kHU/edit?usp=sharing  #gid=0"",""фіз особи new!relations_name_uo""),7,FALSE)
,
)
))"),"РОЖКОВ Олександр Вікторович")</f>
        <v>РОЖКОВ Олександр Вікторович</v>
      </c>
      <c r="G12584" s="7" t="s">
        <v>10</v>
      </c>
      <c r="H12584" s="7">
        <v>2149</v>
      </c>
      <c r="I12584" s="8" t="str">
        <f ca="1">IFERROR(__xludf.DUMMYFUNCTION("IF
(
G12585=""фізична особа""
,
VLOOKUP(H12585,IMPORTRANGE(""https://docs.google.com/spreadsheets/d/14Bd19lYaqBhU8_DElYkX7l4wRkHqqCUFNJY4AfY3kHU/edit?usp=sharing  #gid=0"",""фіз особи new!relations_name""),6,FALSE)
,
(IF
(
G12585=""юридична особа""
,
VLOO"&amp;"KUP(H12585,IMPORTRANGE(""https://docs.google.com/spreadsheets/d/14Bd19lYaqBhU8_DElYkX7l4wRkHqqCUFNJY4AfY3kHU/edit?usp=sharing  #gid=0"",""фіз особи new!relations_name_uo""),7,FALSE)
,
)
))"),"ПІТІКОВ Сергій Вікторович")</f>
        <v>ПІТІКОВ Сергій Вікторович</v>
      </c>
      <c r="J12584" s="7" t="s">
        <v>29</v>
      </c>
    </row>
    <row r="12585" spans="1:10" ht="13.2">
      <c r="A12585" s="7">
        <v>12584</v>
      </c>
      <c r="B12585" s="7">
        <v>1</v>
      </c>
      <c r="C12585" s="7" t="s">
        <v>10</v>
      </c>
      <c r="D12585" s="7">
        <v>18218</v>
      </c>
      <c r="E12585" s="7" t="s">
        <v>28</v>
      </c>
      <c r="F12585" s="8" t="str">
        <f ca="1">IFERROR(__xludf.DUMMYFUNCTION("IF
(
C12586=""фізична особа""
,
VLOOKUP(D12586,IMPORTRANGE(""https://docs.google.com/spreadsheets/d/14Bd19lYaqBhU8_DElYkX7l4wRkHqqCUFNJY4AfY3kHU/edit?usp=sharing  #gid=0"",""фіз особи new!relations_name""),6,FALSE)
,
(IF
(
C12586=""юридична особа""
,
VLOO"&amp;"KUP(D12586,IMPORTRANGE(""https://docs.google.com/spreadsheets/d/14Bd19lYaqBhU8_DElYkX7l4wRkHqqCUFNJY4AfY3kHU/edit?usp=sharing  #gid=0"",""фіз особи new!relations_name_uo""),7,FALSE)
,
)
))"),"БАКРАДЗЕ Михайло Михайлович")</f>
        <v>БАКРАДЗЕ Михайло Михайлович</v>
      </c>
      <c r="G12585" s="7" t="s">
        <v>10</v>
      </c>
      <c r="H12585" s="7">
        <v>18217</v>
      </c>
      <c r="I12585" s="8" t="str">
        <f ca="1">IFERROR(__xludf.DUMMYFUNCTION("IF
(
G12586=""фізична особа""
,
VLOOKUP(H12586,IMPORTRANGE(""https://docs.google.com/spreadsheets/d/14Bd19lYaqBhU8_DElYkX7l4wRkHqqCUFNJY4AfY3kHU/edit?usp=sharing  #gid=0"",""фіз особи new!relations_name""),6,FALSE)
,
(IF
(
G12586=""юридична особа""
,
VLOO"&amp;"KUP(H12586,IMPORTRANGE(""https://docs.google.com/spreadsheets/d/14Bd19lYaqBhU8_DElYkX7l4wRkHqqCUFNJY4AfY3kHU/edit?usp=sharing  #gid=0"",""фіз особи new!relations_name_uo""),7,FALSE)
,
)
))"),"АНТІПОВ Владислав Валерійович")</f>
        <v>АНТІПОВ Владислав Валерійович</v>
      </c>
      <c r="J12585" s="7" t="s">
        <v>29</v>
      </c>
    </row>
    <row r="12586" spans="1:10" ht="13.2">
      <c r="A12586" s="7">
        <v>12585</v>
      </c>
      <c r="B12586" s="7">
        <v>1</v>
      </c>
      <c r="C12586" s="7" t="s">
        <v>10</v>
      </c>
      <c r="D12586" s="7">
        <v>18219</v>
      </c>
      <c r="E12586" s="7" t="s">
        <v>28</v>
      </c>
      <c r="F12586" s="8" t="str">
        <f ca="1">IFERROR(__xludf.DUMMYFUNCTION("IF
(
C12587=""фізична особа""
,
VLOOKUP(D12587,IMPORTRANGE(""https://docs.google.com/spreadsheets/d/14Bd19lYaqBhU8_DElYkX7l4wRkHqqCUFNJY4AfY3kHU/edit?usp=sharing  #gid=0"",""фіз особи new!relations_name""),6,FALSE)
,
(IF
(
C12587=""юридична особа""
,
VLOO"&amp;"KUP(D12587,IMPORTRANGE(""https://docs.google.com/spreadsheets/d/14Bd19lYaqBhU8_DElYkX7l4wRkHqqCUFNJY4AfY3kHU/edit?usp=sharing  #gid=0"",""фіз особи new!relations_name_uo""),7,FALSE)
,
)
))"),"ПАВЛЮК Богдан Філіппович")</f>
        <v>ПАВЛЮК Богдан Філіппович</v>
      </c>
      <c r="G12586" s="7" t="s">
        <v>10</v>
      </c>
      <c r="H12586" s="7">
        <v>18217</v>
      </c>
      <c r="I12586" s="8" t="str">
        <f ca="1">IFERROR(__xludf.DUMMYFUNCTION("IF
(
G12587=""фізична особа""
,
VLOOKUP(H12587,IMPORTRANGE(""https://docs.google.com/spreadsheets/d/14Bd19lYaqBhU8_DElYkX7l4wRkHqqCUFNJY4AfY3kHU/edit?usp=sharing  #gid=0"",""фіз особи new!relations_name""),6,FALSE)
,
(IF
(
G12587=""юридична особа""
,
VLOO"&amp;"KUP(H12587,IMPORTRANGE(""https://docs.google.com/spreadsheets/d/14Bd19lYaqBhU8_DElYkX7l4wRkHqqCUFNJY4AfY3kHU/edit?usp=sharing  #gid=0"",""фіз особи new!relations_name_uo""),7,FALSE)
,
)
))"),"АНТІПОВ Владислав Валерійович")</f>
        <v>АНТІПОВ Владислав Валерійович</v>
      </c>
      <c r="J12586" s="7" t="s">
        <v>29</v>
      </c>
    </row>
    <row r="12587" spans="1:10" ht="13.2">
      <c r="A12587" s="7">
        <v>12586</v>
      </c>
      <c r="B12587" s="7">
        <v>1</v>
      </c>
      <c r="C12587" s="7" t="s">
        <v>10</v>
      </c>
      <c r="D12587" s="7">
        <v>18220</v>
      </c>
      <c r="E12587" s="7" t="s">
        <v>28</v>
      </c>
      <c r="F12587" s="8" t="str">
        <f ca="1">IFERROR(__xludf.DUMMYFUNCTION("IF
(
C12588=""фізична особа""
,
VLOOKUP(D12588,IMPORTRANGE(""https://docs.google.com/spreadsheets/d/14Bd19lYaqBhU8_DElYkX7l4wRkHqqCUFNJY4AfY3kHU/edit?usp=sharing  #gid=0"",""фіз особи new!relations_name""),6,FALSE)
,
(IF
(
C12588=""юридична особа""
,
VLOO"&amp;"KUP(D12588,IMPORTRANGE(""https://docs.google.com/spreadsheets/d/14Bd19lYaqBhU8_DElYkX7l4wRkHqqCUFNJY4AfY3kHU/edit?usp=sharing  #gid=0"",""фіз особи new!relations_name_uo""),7,FALSE)
,
)
))"),"ЧИЖОВ Олександр Ігорович")</f>
        <v>ЧИЖОВ Олександр Ігорович</v>
      </c>
      <c r="G12587" s="7" t="s">
        <v>10</v>
      </c>
      <c r="H12587" s="7">
        <v>18217</v>
      </c>
      <c r="I12587" s="8" t="str">
        <f ca="1">IFERROR(__xludf.DUMMYFUNCTION("IF
(
G12588=""фізична особа""
,
VLOOKUP(H12588,IMPORTRANGE(""https://docs.google.com/spreadsheets/d/14Bd19lYaqBhU8_DElYkX7l4wRkHqqCUFNJY4AfY3kHU/edit?usp=sharing  #gid=0"",""фіз особи new!relations_name""),6,FALSE)
,
(IF
(
G12588=""юридична особа""
,
VLOO"&amp;"KUP(H12588,IMPORTRANGE(""https://docs.google.com/spreadsheets/d/14Bd19lYaqBhU8_DElYkX7l4wRkHqqCUFNJY4AfY3kHU/edit?usp=sharing  #gid=0"",""фіз особи new!relations_name_uo""),7,FALSE)
,
)
))"),"АНТІПОВ Владислав Валерійович")</f>
        <v>АНТІПОВ Владислав Валерійович</v>
      </c>
      <c r="J12587" s="7" t="s">
        <v>29</v>
      </c>
    </row>
    <row r="12588" spans="1:10" ht="13.2">
      <c r="A12588" s="7">
        <v>12587</v>
      </c>
      <c r="B12588" s="7">
        <v>1</v>
      </c>
      <c r="C12588" s="7" t="s">
        <v>10</v>
      </c>
      <c r="D12588" s="7">
        <v>18221</v>
      </c>
      <c r="E12588" s="7" t="s">
        <v>28</v>
      </c>
      <c r="F12588" s="8" t="str">
        <f ca="1">IFERROR(__xludf.DUMMYFUNCTION("IF
(
C12589=""фізична особа""
,
VLOOKUP(D12589,IMPORTRANGE(""https://docs.google.com/spreadsheets/d/14Bd19lYaqBhU8_DElYkX7l4wRkHqqCUFNJY4AfY3kHU/edit?usp=sharing  #gid=0"",""фіз особи new!relations_name""),6,FALSE)
,
(IF
(
C12589=""юридична особа""
,
VLOO"&amp;"KUP(D12589,IMPORTRANGE(""https://docs.google.com/spreadsheets/d/14Bd19lYaqBhU8_DElYkX7l4wRkHqqCUFNJY4AfY3kHU/edit?usp=sharing  #gid=0"",""фіз особи new!relations_name_uo""),7,FALSE)
,
)
))"),"БОЛЮХ Володимир Миколайович")</f>
        <v>БОЛЮХ Володимир Миколайович</v>
      </c>
      <c r="G12588" s="7" t="s">
        <v>10</v>
      </c>
      <c r="H12588" s="7">
        <v>2145</v>
      </c>
      <c r="I12588" s="8" t="str">
        <f ca="1">IFERROR(__xludf.DUMMYFUNCTION("IF
(
G12589=""фізична особа""
,
VLOOKUP(H12589,IMPORTRANGE(""https://docs.google.com/spreadsheets/d/14Bd19lYaqBhU8_DElYkX7l4wRkHqqCUFNJY4AfY3kHU/edit?usp=sharing  #gid=0"",""фіз особи new!relations_name""),6,FALSE)
,
(IF
(
G12589=""юридична особа""
,
VLOO"&amp;"KUP(H12589,IMPORTRANGE(""https://docs.google.com/spreadsheets/d/14Bd19lYaqBhU8_DElYkX7l4wRkHqqCUFNJY4AfY3kHU/edit?usp=sharing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88" s="7" t="s">
        <v>29</v>
      </c>
    </row>
    <row r="12589" spans="1:10" ht="13.2">
      <c r="A12589" s="7">
        <v>12588</v>
      </c>
      <c r="B12589" s="7">
        <v>1</v>
      </c>
      <c r="C12589" s="7" t="s">
        <v>10</v>
      </c>
      <c r="D12589" s="7">
        <v>18222</v>
      </c>
      <c r="E12589" s="7" t="s">
        <v>28</v>
      </c>
      <c r="F12589" s="8" t="str">
        <f ca="1">IFERROR(__xludf.DUMMYFUNCTION("IF
(
C12590=""фізична особа""
,
VLOOKUP(D12590,IMPORTRANGE(""https://docs.google.com/spreadsheets/d/14Bd19lYaqBhU8_DElYkX7l4wRkHqqCUFNJY4AfY3kHU/edit?usp=sharing  #gid=0"",""фіз особи new!relations_name""),6,FALSE)
,
(IF
(
C12590=""юридична особа""
,
VLOO"&amp;"KUP(D12590,IMPORTRANGE(""https://docs.google.com/spreadsheets/d/14Bd19lYaqBhU8_DElYkX7l4wRkHqqCUFNJY4AfY3kHU/edit?usp=sharing  #gid=0"",""фіз особи new!relations_name_uo""),7,FALSE)
,
)
))"),"ЧИРКІН Дмитро Миколайович")</f>
        <v>ЧИРКІН Дмитро Миколайович</v>
      </c>
      <c r="G12589" s="7" t="s">
        <v>10</v>
      </c>
      <c r="H12589" s="7">
        <v>2145</v>
      </c>
      <c r="I12589" s="8" t="str">
        <f ca="1">IFERROR(__xludf.DUMMYFUNCTION("IF
(
G12590=""фізична особа""
,
VLOOKUP(H12590,IMPORTRANGE(""https://docs.google.com/spreadsheets/d/14Bd19lYaqBhU8_DElYkX7l4wRkHqqCUFNJY4AfY3kHU/edit?usp=sharing  #gid=0"",""фіз особи new!relations_name""),6,FALSE)
,
(IF
(
G12590=""юридична особа""
,
VLOO"&amp;"KUP(H12590,IMPORTRANGE(""https://docs.google.com/spreadsheets/d/14Bd19lYaqBhU8_DElYkX7l4wRkHqqCUFNJY4AfY3kHU/edit?usp=sharing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89" s="7" t="s">
        <v>29</v>
      </c>
    </row>
    <row r="12590" spans="1:10" ht="13.2">
      <c r="A12590" s="7">
        <v>12589</v>
      </c>
      <c r="B12590" s="7">
        <v>1</v>
      </c>
      <c r="C12590" s="7" t="s">
        <v>10</v>
      </c>
      <c r="D12590" s="7">
        <v>18223</v>
      </c>
      <c r="E12590" s="7" t="s">
        <v>28</v>
      </c>
      <c r="F12590" s="8" t="str">
        <f ca="1">IFERROR(__xludf.DUMMYFUNCTION("IF
(
C12591=""фізична особа""
,
VLOOKUP(D12591,IMPORTRANGE(""https://docs.google.com/spreadsheets/d/14Bd19lYaqBhU8_DElYkX7l4wRkHqqCUFNJY4AfY3kHU/edit?usp=sharing  #gid=0"",""фіз особи new!relations_name""),6,FALSE)
,
(IF
(
C12591=""юридична особа""
,
VLOO"&amp;"KUP(D12591,IMPORTRANGE(""https://docs.google.com/spreadsheets/d/14Bd19lYaqBhU8_DElYkX7l4wRkHqqCUFNJY4AfY3kHU/edit?usp=sharing  #gid=0"",""фіз особи new!relations_name_uo""),7,FALSE)
,
)
))"),"КАМЕНСЬКИХ Іван Михайлович")</f>
        <v>КАМЕНСЬКИХ Іван Михайлович</v>
      </c>
      <c r="G12590" s="7" t="s">
        <v>10</v>
      </c>
      <c r="H12590" s="7">
        <v>2145</v>
      </c>
      <c r="I12590" s="8" t="str">
        <f ca="1">IFERROR(__xludf.DUMMYFUNCTION("IF
(
G12591=""фізична особа""
,
VLOOKUP(H12591,IMPORTRANGE(""https://docs.google.com/spreadsheets/d/14Bd19lYaqBhU8_DElYkX7l4wRkHqqCUFNJY4AfY3kHU/edit?usp=sharing  #gid=0"",""фіз особи new!relations_name""),6,FALSE)
,
(IF
(
G12591=""юридична особа""
,
VLOO"&amp;"KUP(H12591,IMPORTRANGE(""https://docs.google.com/spreadsheets/d/14Bd19lYaqBhU8_DElYkX7l4wRkHqqCUFNJY4AfY3kHU/edit?usp=sharing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0" s="7" t="s">
        <v>29</v>
      </c>
    </row>
    <row r="12591" spans="1:10" ht="13.2">
      <c r="A12591" s="7">
        <v>12590</v>
      </c>
      <c r="B12591" s="7">
        <v>1</v>
      </c>
      <c r="C12591" s="7" t="s">
        <v>10</v>
      </c>
      <c r="D12591" s="7">
        <v>18224</v>
      </c>
      <c r="E12591" s="7" t="s">
        <v>28</v>
      </c>
      <c r="F12591" s="8" t="str">
        <f ca="1">IFERROR(__xludf.DUMMYFUNCTION("IF
(
C12592=""фізична особа""
,
VLOOKUP(D12592,IMPORTRANGE(""https://docs.google.com/spreadsheets/d/14Bd19lYaqBhU8_DElYkX7l4wRkHqqCUFNJY4AfY3kHU/edit?usp=sharing  #gid=0"",""фіз особи new!relations_name""),6,FALSE)
,
(IF
(
C12592=""юридична особа""
,
VLOO"&amp;"KUP(D12592,IMPORTRANGE(""https://docs.google.com/spreadsheets/d/14Bd19lYaqBhU8_DElYkX7l4wRkHqqCUFNJY4AfY3kHU/edit?usp=sharing  #gid=0"",""фіз особи new!relations_name_uo""),7,FALSE)
,
)
))"),"КРАВЧЕНКО Денис Борисович")</f>
        <v>КРАВЧЕНКО Денис Борисович</v>
      </c>
      <c r="G12591" s="7" t="s">
        <v>10</v>
      </c>
      <c r="H12591" s="7">
        <v>2145</v>
      </c>
      <c r="I12591" s="8" t="str">
        <f ca="1">IFERROR(__xludf.DUMMYFUNCTION("IF
(
G12592=""фізична особа""
,
VLOOKUP(H12592,IMPORTRANGE(""https://docs.google.com/spreadsheets/d/14Bd19lYaqBhU8_DElYkX7l4wRkHqqCUFNJY4AfY3kHU/edit?usp=sharing  #gid=0"",""фіз особи new!relations_name""),6,FALSE)
,
(IF
(
G12592=""юридична особа""
,
VLOO"&amp;"KUP(H12592,IMPORTRANGE(""https://docs.google.com/spreadsheets/d/14Bd19lYaqBhU8_DElYkX7l4wRkHqqCUFNJY4AfY3kHU/edit?usp=sharing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1" s="7" t="s">
        <v>29</v>
      </c>
    </row>
    <row r="12592" spans="1:10" ht="13.2">
      <c r="A12592" s="7">
        <v>12591</v>
      </c>
      <c r="B12592" s="7">
        <v>1</v>
      </c>
      <c r="C12592" s="7" t="s">
        <v>10</v>
      </c>
      <c r="D12592" s="7">
        <v>18225</v>
      </c>
      <c r="E12592" s="7" t="s">
        <v>28</v>
      </c>
      <c r="F12592" s="8" t="str">
        <f ca="1">IFERROR(__xludf.DUMMYFUNCTION("IF
(
C12593=""фізична особа""
,
VLOOKUP(D12593,IMPORTRANGE(""https://docs.google.com/spreadsheets/d/14Bd19lYaqBhU8_DElYkX7l4wRkHqqCUFNJY4AfY3kHU/edit?usp=sharing  #gid=0"",""фіз особи new!relations_name""),6,FALSE)
,
(IF
(
C12593=""юридична особа""
,
VLOO"&amp;"KUP(D12593,IMPORTRANGE(""https://docs.google.com/spreadsheets/d/14Bd19lYaqBhU8_DElYkX7l4wRkHqqCUFNJY4AfY3kHU/edit?usp=sharing  #gid=0"",""фіз особи new!relations_name_uo""),7,FALSE)
,
)
))"),"ПЕТРОВ Максим Валерійович")</f>
        <v>ПЕТРОВ Максим Валерійович</v>
      </c>
      <c r="G12592" s="7" t="s">
        <v>10</v>
      </c>
      <c r="H12592" s="7">
        <v>2145</v>
      </c>
      <c r="I12592" s="8" t="str">
        <f ca="1">IFERROR(__xludf.DUMMYFUNCTION("IF
(
G12593=""фізична особа""
,
VLOOKUP(H12593,IMPORTRANGE(""https://docs.google.com/spreadsheets/d/14Bd19lYaqBhU8_DElYkX7l4wRkHqqCUFNJY4AfY3kHU/edit?usp=sharing  #gid=0"",""фіз особи new!relations_name""),6,FALSE)
,
(IF
(
G12593=""юридична особа""
,
VLOO"&amp;"KUP(H12593,IMPORTRANGE(""https://docs.google.com/spreadsheets/d/14Bd19lYaqBhU8_DElYkX7l4wRkHqqCUFNJY4AfY3kHU/edit?usp=sharing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2" s="7" t="s">
        <v>29</v>
      </c>
    </row>
    <row r="12593" spans="1:10" ht="13.2">
      <c r="A12593" s="7">
        <v>12592</v>
      </c>
      <c r="B12593" s="7">
        <v>1</v>
      </c>
      <c r="C12593" s="7" t="s">
        <v>10</v>
      </c>
      <c r="D12593" s="7">
        <v>18226</v>
      </c>
      <c r="E12593" s="7" t="s">
        <v>28</v>
      </c>
      <c r="F12593" s="8" t="str">
        <f ca="1">IFERROR(__xludf.DUMMYFUNCTION("IF
(
C12594=""фізична особа""
,
VLOOKUP(D12594,IMPORTRANGE(""https://docs.google.com/spreadsheets/d/14Bd19lYaqBhU8_DElYkX7l4wRkHqqCUFNJY4AfY3kHU/edit?usp=sharing  #gid=0"",""фіз особи new!relations_name""),6,FALSE)
,
(IF
(
C12594=""юридична особа""
,
VLOO"&amp;"KUP(D12594,IMPORTRANGE(""https://docs.google.com/spreadsheets/d/14Bd19lYaqBhU8_DElYkX7l4wRkHqqCUFNJY4AfY3kHU/edit?usp=sharing  #gid=0"",""фіз особи new!relations_name_uo""),7,FALSE)
,
)
))"),"ПИЛИПЕНКО Сергій Олександрович")</f>
        <v>ПИЛИПЕНКО Сергій Олександрович</v>
      </c>
      <c r="G12593" s="7" t="s">
        <v>10</v>
      </c>
      <c r="H12593" s="7">
        <v>2145</v>
      </c>
      <c r="I12593" s="8" t="str">
        <f ca="1">IFERROR(__xludf.DUMMYFUNCTION("IF
(
G12594=""фізична особа""
,
VLOOKUP(H12594,IMPORTRANGE(""https://docs.google.com/spreadsheets/d/14Bd19lYaqBhU8_DElYkX7l4wRkHqqCUFNJY4AfY3kHU/edit?usp=sharing  #gid=0"",""фіз особи new!relations_name""),6,FALSE)
,
(IF
(
G12594=""юридична особа""
,
VLOO"&amp;"KUP(H12594,IMPORTRANGE(""https://docs.google.com/spreadsheets/d/14Bd19lYaqBhU8_DElYkX7l4wRkHqqCUFNJY4AfY3kHU/edit?usp=sharing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3" s="7" t="s">
        <v>29</v>
      </c>
    </row>
    <row r="12594" spans="1:10" ht="13.2">
      <c r="A12594" s="7">
        <v>12593</v>
      </c>
      <c r="B12594" s="7">
        <v>1</v>
      </c>
      <c r="C12594" s="7" t="s">
        <v>10</v>
      </c>
      <c r="D12594" s="7">
        <v>18227</v>
      </c>
      <c r="E12594" s="7" t="s">
        <v>28</v>
      </c>
      <c r="F12594" s="8" t="str">
        <f ca="1">IFERROR(__xludf.DUMMYFUNCTION("IF
(
C12595=""фізична особа""
,
VLOOKUP(D12595,IMPORTRANGE(""https://docs.google.com/spreadsheets/d/14Bd19lYaqBhU8_DElYkX7l4wRkHqqCUFNJY4AfY3kHU/edit?usp=sharing  #gid=0"",""фіз особи new!relations_name""),6,FALSE)
,
(IF
(
C12595=""юридична особа""
,
VLOO"&amp;"KUP(D12595,IMPORTRANGE(""https://docs.google.com/spreadsheets/d/14Bd19lYaqBhU8_DElYkX7l4wRkHqqCUFNJY4AfY3kHU/edit?usp=sharing  #gid=0"",""фіз особи new!relations_name_uo""),7,FALSE)
,
)
))"),"ВЕРНИГОРА Андрій Петрович")</f>
        <v>ВЕРНИГОРА Андрій Петрович</v>
      </c>
      <c r="G12594" s="7" t="s">
        <v>10</v>
      </c>
      <c r="H12594" s="7">
        <v>2145</v>
      </c>
      <c r="I12594" s="8" t="str">
        <f ca="1">IFERROR(__xludf.DUMMYFUNCTION("IF
(
G12595=""фізична особа""
,
VLOOKUP(H12595,IMPORTRANGE(""https://docs.google.com/spreadsheets/d/14Bd19lYaqBhU8_DElYkX7l4wRkHqqCUFNJY4AfY3kHU/edit?usp=sharing  #gid=0"",""фіз особи new!relations_name""),6,FALSE)
,
(IF
(
G12595=""юридична особа""
,
VLOO"&amp;"KUP(H12595,IMPORTRANGE(""https://docs.google.com/spreadsheets/d/14Bd19lYaqBhU8_DElYkX7l4wRkHqqCUFNJY4AfY3kHU/edit?usp=sharing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4" s="7" t="s">
        <v>29</v>
      </c>
    </row>
    <row r="12595" spans="1:10" ht="13.2">
      <c r="A12595" s="7">
        <v>12594</v>
      </c>
      <c r="B12595" s="7">
        <v>1</v>
      </c>
      <c r="C12595" s="7" t="s">
        <v>10</v>
      </c>
      <c r="D12595" s="7">
        <v>18228</v>
      </c>
      <c r="E12595" s="7" t="s">
        <v>28</v>
      </c>
      <c r="F12595" s="8" t="str">
        <f ca="1">IFERROR(__xludf.DUMMYFUNCTION("IF
(
C12596=""фізична особа""
,
VLOOKUP(D12596,IMPORTRANGE(""https://docs.google.com/spreadsheets/d/14Bd19lYaqBhU8_DElYkX7l4wRkHqqCUFNJY4AfY3kHU/edit?usp=sharing  #gid=0"",""фіз особи new!relations_name""),6,FALSE)
,
(IF
(
C12596=""юридична особа""
,
VLOO"&amp;"KUP(D12596,IMPORTRANGE(""https://docs.google.com/spreadsheets/d/14Bd19lYaqBhU8_DElYkX7l4wRkHqqCUFNJY4AfY3kHU/edit?usp=sharing  #gid=0"",""фіз особи new!relations_name_uo""),7,FALSE)
,
)
))"),"ВЛАСОВ Юрій Веніамінович")</f>
        <v>ВЛАСОВ Юрій Веніамінович</v>
      </c>
      <c r="G12595" s="7" t="s">
        <v>10</v>
      </c>
      <c r="H12595" s="7">
        <v>2145</v>
      </c>
      <c r="I12595" s="8" t="str">
        <f ca="1">IFERROR(__xludf.DUMMYFUNCTION("IF
(
G12596=""фізична особа""
,
VLOOKUP(H12596,IMPORTRANGE(""https://docs.google.com/spreadsheets/d/14Bd19lYaqBhU8_DElYkX7l4wRkHqqCUFNJY4AfY3kHU/edit?usp=sharing  #gid=0"",""фіз особи new!relations_name""),6,FALSE)
,
(IF
(
G12596=""юридична особа""
,
VLOO"&amp;"KUP(H12596,IMPORTRANGE(""https://docs.google.com/spreadsheets/d/14Bd19lYaqBhU8_DElYkX7l4wRkHqqCUFNJY4AfY3kHU/edit?usp=sharing  #gid=0"",""фіз особи new!relations_name_uo""),7,FALSE)
,
)
))"),"ДЕГТЯР Володимир Григорович")</f>
        <v>ДЕГТЯР Володимир Григорович</v>
      </c>
      <c r="J12595" s="7" t="s">
        <v>29</v>
      </c>
    </row>
    <row r="12596" spans="1:10" ht="13.2">
      <c r="A12596" s="7">
        <v>12595</v>
      </c>
      <c r="B12596" s="7">
        <v>1</v>
      </c>
      <c r="C12596" s="7" t="s">
        <v>10</v>
      </c>
      <c r="D12596" s="7">
        <v>18229</v>
      </c>
      <c r="E12596" s="7" t="s">
        <v>28</v>
      </c>
      <c r="F12596" s="8" t="str">
        <f ca="1">IFERROR(__xludf.DUMMYFUNCTION("IF
(
C12597=""фізична особа""
,
VLOOKUP(D12597,IMPORTRANGE(""https://docs.google.com/spreadsheets/d/14Bd19lYaqBhU8_DElYkX7l4wRkHqqCUFNJY4AfY3kHU/edit?usp=sharing  #gid=0"",""фіз особи new!relations_name""),6,FALSE)
,
(IF
(
C12597=""юридична особа""
,
VLOO"&amp;"KUP(D12597,IMPORTRANGE(""https://docs.google.com/spreadsheets/d/14Bd19lYaqBhU8_DElYkX7l4wRkHqqCUFNJY4AfY3kHU/edit?usp=sharing  #gid=0"",""фіз особи new!relations_name_uo""),7,FALSE)
,
)
))"),"ШУРИГІН Віктор Олександрович")</f>
        <v>ШУРИГІН Віктор Олександрович</v>
      </c>
      <c r="G12596" s="7" t="s">
        <v>10</v>
      </c>
      <c r="H12596" s="7">
        <v>15769</v>
      </c>
      <c r="I12596" s="8" t="str">
        <f ca="1">IFERROR(__xludf.DUMMYFUNCTION("IF
(
G12597=""фізична особа""
,
VLOOKUP(H12597,IMPORTRANGE(""https://docs.google.com/spreadsheets/d/14Bd19lYaqBhU8_DElYkX7l4wRkHqqCUFNJY4AfY3kHU/edit?usp=sharing  #gid=0"",""фіз особи new!relations_name""),6,FALSE)
,
(IF
(
G12597=""юридична особа""
,
VLOO"&amp;"KUP(H12597,IMPORTRANGE(""https://docs.google.com/spreadsheets/d/14Bd19lYaqBhU8_DElYkX7l4wRkHqqCUFNJY4AfY3kHU/edit?usp=sharing  #gid=0"",""фіз особи new!relations_name_uo""),7,FALSE)
,
)
))"),"ПОНОМАРЬОВ Сергій Олексійович")</f>
        <v>ПОНОМАРЬОВ Сергій Олексійович</v>
      </c>
      <c r="J12596" s="7" t="s">
        <v>29</v>
      </c>
    </row>
    <row r="12597" spans="1:10" ht="13.2">
      <c r="A12597" s="7">
        <v>12596</v>
      </c>
      <c r="B12597" s="7">
        <v>1</v>
      </c>
      <c r="C12597" s="7" t="s">
        <v>10</v>
      </c>
      <c r="D12597" s="7">
        <v>18230</v>
      </c>
      <c r="E12597" s="7" t="s">
        <v>29</v>
      </c>
      <c r="F12597" s="8" t="str">
        <f ca="1">IFERROR(__xludf.DUMMYFUNCTION("IF
(
C12598=""фізична особа""
,
VLOOKUP(D12598,IMPORTRANGE(""https://docs.google.com/spreadsheets/d/14Bd19lYaqBhU8_DElYkX7l4wRkHqqCUFNJY4AfY3kHU/edit?usp=sharing  #gid=0"",""фіз особи new!relations_name""),6,FALSE)
,
(IF
(
C12598=""юридична особа""
,
VLOO"&amp;"KUP(D12598,IMPORTRANGE(""https://docs.google.com/spreadsheets/d/14Bd19lYaqBhU8_DElYkX7l4wRkHqqCUFNJY4AfY3kHU/edit?usp=sharing  #gid=0"",""фіз особи new!relations_name_uo""),7,FALSE)
,
)
))"),"МАКАРОВ Дмитро Олександрович")</f>
        <v>МАКАРОВ Дмитро Олександрович</v>
      </c>
      <c r="G12597" s="7" t="s">
        <v>10</v>
      </c>
      <c r="H12597" s="7">
        <v>3543</v>
      </c>
      <c r="I12597" s="8" t="str">
        <f ca="1">IFERROR(__xludf.DUMMYFUNCTION("IF
(
G12598=""фізична особа""
,
VLOOKUP(H12598,IMPORTRANGE(""https://docs.google.com/spreadsheets/d/14Bd19lYaqBhU8_DElYkX7l4wRkHqqCUFNJY4AfY3kHU/edit?usp=sharing  #gid=0"",""фіз особи new!relations_name""),6,FALSE)
,
(IF
(
G12598=""юридична особа""
,
VLOO"&amp;"KUP(H12598,IMPORTRANGE(""https://docs.google.com/spreadsheets/d/14Bd19lYaqBhU8_DElYkX7l4wRkHqqCUFNJY4AfY3kHU/edit?usp=sharing  #gid=0"",""фіз особи new!relations_name_uo""),7,FALSE)
,
)
))"),"ШАФРАНСЬКИЙ Володимир Васильович")</f>
        <v>ШАФРАНСЬКИЙ Володимир Васильович</v>
      </c>
      <c r="J12597" s="7" t="s">
        <v>28</v>
      </c>
    </row>
    <row r="12598" spans="1:10" ht="13.2">
      <c r="A12598" s="7">
        <v>12597</v>
      </c>
      <c r="B12598" s="7">
        <v>1</v>
      </c>
      <c r="C12598" s="7" t="s">
        <v>10</v>
      </c>
      <c r="D12598" s="7">
        <v>18231</v>
      </c>
      <c r="E12598" s="7" t="s">
        <v>28</v>
      </c>
      <c r="F12598" s="8" t="str">
        <f ca="1">IFERROR(__xludf.DUMMYFUNCTION("IF
(
C12599=""фізична особа""
,
VLOOKUP(D12599,IMPORTRANGE(""https://docs.google.com/spreadsheets/d/14Bd19lYaqBhU8_DElYkX7l4wRkHqqCUFNJY4AfY3kHU/edit?usp=sharing  #gid=0"",""фіз особи new!relations_name""),6,FALSE)
,
(IF
(
C12599=""юридична особа""
,
VLOO"&amp;"KUP(D12599,IMPORTRANGE(""https://docs.google.com/spreadsheets/d/14Bd19lYaqBhU8_DElYkX7l4wRkHqqCUFNJY4AfY3kHU/edit?usp=sharing  #gid=0"",""фіз особи new!relations_name_uo""),7,FALSE)
,
)
))"),"ІВАНОВ Роман Германович")</f>
        <v>ІВАНОВ Роман Германович</v>
      </c>
      <c r="G12598" s="7" t="s">
        <v>10</v>
      </c>
      <c r="H12598" s="7">
        <v>3724</v>
      </c>
      <c r="I12598" s="8" t="str">
        <f ca="1">IFERROR(__xludf.DUMMYFUNCTION("IF
(
G12599=""фізична особа""
,
VLOOKUP(H12599,IMPORTRANGE(""https://docs.google.com/spreadsheets/d/14Bd19lYaqBhU8_DElYkX7l4wRkHqqCUFNJY4AfY3kHU/edit?usp=sharing  #gid=0"",""фіз особи new!relations_name""),6,FALSE)
,
(IF
(
G12599=""юридична особа""
,
VLOO"&amp;"KUP(H12599,IMPORTRANGE(""https://docs.google.com/spreadsheets/d/14Bd19lYaqBhU8_DElYkX7l4wRkHqqCUFNJY4AfY3kHU/edit?usp=sharing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2598" s="7" t="s">
        <v>29</v>
      </c>
    </row>
    <row r="12599" spans="1:10" ht="13.2">
      <c r="A12599" s="7">
        <v>12598</v>
      </c>
      <c r="B12599" s="7">
        <v>1</v>
      </c>
      <c r="C12599" s="7" t="s">
        <v>10</v>
      </c>
      <c r="D12599" s="7">
        <v>18232</v>
      </c>
      <c r="E12599" s="7" t="s">
        <v>28</v>
      </c>
      <c r="F12599" s="8" t="str">
        <f ca="1">IFERROR(__xludf.DUMMYFUNCTION("IF
(
C12600=""фізична особа""
,
VLOOKUP(D12600,IMPORTRANGE(""https://docs.google.com/spreadsheets/d/14Bd19lYaqBhU8_DElYkX7l4wRkHqqCUFNJY4AfY3kHU/edit?usp=sharing  #gid=0"",""фіз особи new!relations_name""),6,FALSE)
,
(IF
(
C12600=""юридична особа""
,
VLOO"&amp;"KUP(D12600,IMPORTRANGE(""https://docs.google.com/spreadsheets/d/14Bd19lYaqBhU8_DElYkX7l4wRkHqqCUFNJY4AfY3kHU/edit?usp=sharing  #gid=0"",""фіз особи new!relations_name_uo""),7,FALSE)
,
)
))"),"КОНОВА Світлана Миколаївна")</f>
        <v>КОНОВА Світлана Миколаївна</v>
      </c>
      <c r="G12599" s="7" t="s">
        <v>10</v>
      </c>
      <c r="H12599" s="7">
        <v>3724</v>
      </c>
      <c r="I12599" s="8" t="str">
        <f ca="1">IFERROR(__xludf.DUMMYFUNCTION("IF
(
G12600=""фізична особа""
,
VLOOKUP(H12600,IMPORTRANGE(""https://docs.google.com/spreadsheets/d/14Bd19lYaqBhU8_DElYkX7l4wRkHqqCUFNJY4AfY3kHU/edit?usp=sharing  #gid=0"",""фіз особи new!relations_name""),6,FALSE)
,
(IF
(
G12600=""юридична особа""
,
VLOO"&amp;"KUP(H12600,IMPORTRANGE(""https://docs.google.com/spreadsheets/d/14Bd19lYaqBhU8_DElYkX7l4wRkHqqCUFNJY4AfY3kHU/edit?usp=sharing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2599" s="7" t="s">
        <v>29</v>
      </c>
    </row>
    <row r="12600" spans="1:10" ht="13.2">
      <c r="A12600" s="7">
        <v>12599</v>
      </c>
      <c r="B12600" s="7">
        <v>1</v>
      </c>
      <c r="C12600" s="7" t="s">
        <v>10</v>
      </c>
      <c r="D12600" s="7">
        <v>18233</v>
      </c>
      <c r="E12600" s="7" t="s">
        <v>28</v>
      </c>
      <c r="F12600" s="8" t="str">
        <f ca="1">IFERROR(__xludf.DUMMYFUNCTION("IF
(
C12601=""фізична особа""
,
VLOOKUP(D12601,IMPORTRANGE(""https://docs.google.com/spreadsheets/d/14Bd19lYaqBhU8_DElYkX7l4wRkHqqCUFNJY4AfY3kHU/edit?usp=sharing  #gid=0"",""фіз особи new!relations_name""),6,FALSE)
,
(IF
(
C12601=""юридична особа""
,
VLOO"&amp;"KUP(D12601,IMPORTRANGE(""https://docs.google.com/spreadsheets/d/14Bd19lYaqBhU8_DElYkX7l4wRkHqqCUFNJY4AfY3kHU/edit?usp=sharing  #gid=0"",""фіз особи new!relations_name_uo""),7,FALSE)
,
)
))"),"МИХАЙЛЮК Сергій Іванович")</f>
        <v>МИХАЙЛЮК Сергій Іванович</v>
      </c>
      <c r="G12600" s="7" t="s">
        <v>10</v>
      </c>
      <c r="H12600" s="7">
        <v>3724</v>
      </c>
      <c r="I12600" s="8" t="str">
        <f ca="1">IFERROR(__xludf.DUMMYFUNCTION("IF
(
G12601=""фізична особа""
,
VLOOKUP(H12601,IMPORTRANGE(""https://docs.google.com/spreadsheets/d/14Bd19lYaqBhU8_DElYkX7l4wRkHqqCUFNJY4AfY3kHU/edit?usp=sharing  #gid=0"",""фіз особи new!relations_name""),6,FALSE)
,
(IF
(
G12601=""юридична особа""
,
VLOO"&amp;"KUP(H12601,IMPORTRANGE(""https://docs.google.com/spreadsheets/d/14Bd19lYaqBhU8_DElYkX7l4wRkHqqCUFNJY4AfY3kHU/edit?usp=sharing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2600" s="7" t="s">
        <v>29</v>
      </c>
    </row>
    <row r="12601" spans="1:10" ht="13.2">
      <c r="A12601" s="7">
        <v>12600</v>
      </c>
      <c r="B12601" s="7">
        <v>1</v>
      </c>
      <c r="C12601" s="7" t="s">
        <v>10</v>
      </c>
      <c r="D12601" s="7">
        <v>18234</v>
      </c>
      <c r="E12601" s="7" t="s">
        <v>28</v>
      </c>
      <c r="F12601" s="8" t="str">
        <f ca="1">IFERROR(__xludf.DUMMYFUNCTION("IF
(
C12602=""фізична особа""
,
VLOOKUP(D12602,IMPORTRANGE(""https://docs.google.com/spreadsheets/d/14Bd19lYaqBhU8_DElYkX7l4wRkHqqCUFNJY4AfY3kHU/edit?usp=sharing  #gid=0"",""фіз особи new!relations_name""),6,FALSE)
,
(IF
(
C12602=""юридична особа""
,
VLOO"&amp;"KUP(D12602,IMPORTRANGE(""https://docs.google.com/spreadsheets/d/14Bd19lYaqBhU8_DElYkX7l4wRkHqqCUFNJY4AfY3kHU/edit?usp=sharing  #gid=0"",""фіз особи new!relations_name_uo""),7,FALSE)
,
)
))"),"СКОРИНА Жанна Миколаївна")</f>
        <v>СКОРИНА Жанна Миколаївна</v>
      </c>
      <c r="G12601" s="7" t="s">
        <v>10</v>
      </c>
      <c r="H12601" s="7">
        <v>3724</v>
      </c>
      <c r="I12601" s="8" t="str">
        <f ca="1">IFERROR(__xludf.DUMMYFUNCTION("IF
(
G12602=""фізична особа""
,
VLOOKUP(H12602,IMPORTRANGE(""https://docs.google.com/spreadsheets/d/14Bd19lYaqBhU8_DElYkX7l4wRkHqqCUFNJY4AfY3kHU/edit?usp=sharing  #gid=0"",""фіз особи new!relations_name""),6,FALSE)
,
(IF
(
G12602=""юридична особа""
,
VLOO"&amp;"KUP(H12602,IMPORTRANGE(""https://docs.google.com/spreadsheets/d/14Bd19lYaqBhU8_DElYkX7l4wRkHqqCUFNJY4AfY3kHU/edit?usp=sharing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2601" s="7" t="s">
        <v>29</v>
      </c>
    </row>
    <row r="12602" spans="1:10" ht="13.2">
      <c r="A12602" s="7">
        <v>12601</v>
      </c>
      <c r="B12602" s="7">
        <v>1</v>
      </c>
      <c r="C12602" s="7" t="s">
        <v>10</v>
      </c>
      <c r="D12602" s="7">
        <v>18235</v>
      </c>
      <c r="E12602" s="7" t="s">
        <v>28</v>
      </c>
      <c r="F12602" s="8" t="str">
        <f ca="1">IFERROR(__xludf.DUMMYFUNCTION("IF
(
C12603=""фізична особа""
,
VLOOKUP(D12603,IMPORTRANGE(""https://docs.google.com/spreadsheets/d/14Bd19lYaqBhU8_DElYkX7l4wRkHqqCUFNJY4AfY3kHU/edit?usp=sharing  #gid=0"",""фіз особи new!relations_name""),6,FALSE)
,
(IF
(
C12603=""юридична особа""
,
VLOO"&amp;"KUP(D12603,IMPORTRANGE(""https://docs.google.com/spreadsheets/d/14Bd19lYaqBhU8_DElYkX7l4wRkHqqCUFNJY4AfY3kHU/edit?usp=sharing  #gid=0"",""фіз особи new!relations_name_uo""),7,FALSE)
,
)
))"),"ШИБІТОВ Андрій Борисович")</f>
        <v>ШИБІТОВ Андрій Борисович</v>
      </c>
      <c r="G12602" s="7" t="s">
        <v>10</v>
      </c>
      <c r="H12602" s="7">
        <v>3724</v>
      </c>
      <c r="I12602" s="8" t="str">
        <f ca="1">IFERROR(__xludf.DUMMYFUNCTION("IF
(
G12603=""фізична особа""
,
VLOOKUP(H12603,IMPORTRANGE(""https://docs.google.com/spreadsheets/d/14Bd19lYaqBhU8_DElYkX7l4wRkHqqCUFNJY4AfY3kHU/edit?usp=sharing  #gid=0"",""фіз особи new!relations_name""),6,FALSE)
,
(IF
(
G12603=""юридична особа""
,
VLOO"&amp;"KUP(H12603,IMPORTRANGE(""https://docs.google.com/spreadsheets/d/14Bd19lYaqBhU8_DElYkX7l4wRkHqqCUFNJY4AfY3kHU/edit?usp=sharing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2602" s="7" t="s">
        <v>29</v>
      </c>
    </row>
    <row r="12603" spans="1:10" ht="13.2">
      <c r="A12603" s="7">
        <v>12602</v>
      </c>
      <c r="B12603" s="7">
        <v>1</v>
      </c>
      <c r="C12603" s="7" t="s">
        <v>10</v>
      </c>
      <c r="D12603" s="7">
        <v>18236</v>
      </c>
      <c r="E12603" s="7" t="s">
        <v>28</v>
      </c>
      <c r="F12603" s="8" t="str">
        <f ca="1">IFERROR(__xludf.DUMMYFUNCTION("IF
(
C12604=""фізична особа""
,
VLOOKUP(D12604,IMPORTRANGE(""https://docs.google.com/spreadsheets/d/14Bd19lYaqBhU8_DElYkX7l4wRkHqqCUFNJY4AfY3kHU/edit?usp=sharing  #gid=0"",""фіз особи new!relations_name""),6,FALSE)
,
(IF
(
C12604=""юридична особа""
,
VLOO"&amp;"KUP(D12604,IMPORTRANGE(""https://docs.google.com/spreadsheets/d/14Bd19lYaqBhU8_DElYkX7l4wRkHqqCUFNJY4AfY3kHU/edit?usp=sharing  #gid=0"",""фіз особи new!relations_name_uo""),7,FALSE)
,
)
))"),"ЧАКАНОВА Наталья Вікторівна")</f>
        <v>ЧАКАНОВА Наталья Вікторівна</v>
      </c>
      <c r="G12603" s="7" t="s">
        <v>10</v>
      </c>
      <c r="H12603" s="7">
        <v>5352</v>
      </c>
      <c r="I12603" s="8" t="str">
        <f ca="1">IFERROR(__xludf.DUMMYFUNCTION("IF
(
G12604=""фізична особа""
,
VLOOKUP(H12604,IMPORTRANGE(""https://docs.google.com/spreadsheets/d/14Bd19lYaqBhU8_DElYkX7l4wRkHqqCUFNJY4AfY3kHU/edit?usp=sharing  #gid=0"",""фіз особи new!relations_name""),6,FALSE)
,
(IF
(
G12604=""юридична особа""
,
VLOO"&amp;"KUP(H12604,IMPORTRANGE(""https://docs.google.com/spreadsheets/d/14Bd19lYaqBhU8_DElYkX7l4wRkHqqCUFNJY4AfY3kHU/edit?usp=sharing  #gid=0"",""фіз особи new!relations_name_uo""),7,FALSE)
,
)
))"),"РУСАКОВ Володимир Володимирович")</f>
        <v>РУСАКОВ Володимир Володимирович</v>
      </c>
      <c r="J12603" s="7" t="s">
        <v>29</v>
      </c>
    </row>
    <row r="12604" spans="1:10" ht="13.2">
      <c r="A12604" s="7">
        <v>12603</v>
      </c>
      <c r="B12604" s="7">
        <v>1</v>
      </c>
      <c r="C12604" s="7" t="s">
        <v>10</v>
      </c>
      <c r="D12604" s="7">
        <v>18237</v>
      </c>
      <c r="E12604" s="7" t="s">
        <v>28</v>
      </c>
      <c r="F12604" s="8" t="str">
        <f ca="1">IFERROR(__xludf.DUMMYFUNCTION("IF
(
C12605=""фізична особа""
,
VLOOKUP(D12605,IMPORTRANGE(""https://docs.google.com/spreadsheets/d/14Bd19lYaqBhU8_DElYkX7l4wRkHqqCUFNJY4AfY3kHU/edit?usp=sharing  #gid=0"",""фіз особи new!relations_name""),6,FALSE)
,
(IF
(
C12605=""юридична особа""
,
VLOO"&amp;"KUP(D12605,IMPORTRANGE(""https://docs.google.com/spreadsheets/d/14Bd19lYaqBhU8_DElYkX7l4wRkHqqCUFNJY4AfY3kHU/edit?usp=sharing  #gid=0"",""фіз особи new!relations_name_uo""),7,FALSE)
,
)
))"),"БИЧКОВ Михайло Сергійович")</f>
        <v>БИЧКОВ Михайло Сергійович</v>
      </c>
      <c r="G12604" s="7" t="s">
        <v>10</v>
      </c>
      <c r="H12604" s="7">
        <v>5352</v>
      </c>
      <c r="I12604" s="8" t="str">
        <f ca="1">IFERROR(__xludf.DUMMYFUNCTION("IF
(
G12605=""фізична особа""
,
VLOOKUP(H12605,IMPORTRANGE(""https://docs.google.com/spreadsheets/d/14Bd19lYaqBhU8_DElYkX7l4wRkHqqCUFNJY4AfY3kHU/edit?usp=sharing  #gid=0"",""фіз особи new!relations_name""),6,FALSE)
,
(IF
(
G12605=""юридична особа""
,
VLOO"&amp;"KUP(H12605,IMPORTRANGE(""https://docs.google.com/spreadsheets/d/14Bd19lYaqBhU8_DElYkX7l4wRkHqqCUFNJY4AfY3kHU/edit?usp=sharing  #gid=0"",""фіз особи new!relations_name_uo""),7,FALSE)
,
)
))"),"РУСАКОВ Володимир Володимирович")</f>
        <v>РУСАКОВ Володимир Володимирович</v>
      </c>
      <c r="J12604" s="7" t="s">
        <v>29</v>
      </c>
    </row>
    <row r="12605" spans="1:10" ht="13.2">
      <c r="A12605" s="7">
        <v>12604</v>
      </c>
      <c r="B12605" s="7">
        <v>1</v>
      </c>
      <c r="C12605" s="7" t="s">
        <v>10</v>
      </c>
      <c r="D12605" s="7">
        <v>18238</v>
      </c>
      <c r="E12605" s="7" t="s">
        <v>28</v>
      </c>
      <c r="F12605" s="8" t="str">
        <f ca="1">IFERROR(__xludf.DUMMYFUNCTION("IF
(
C12606=""фізична особа""
,
VLOOKUP(D12606,IMPORTRANGE(""https://docs.google.com/spreadsheets/d/14Bd19lYaqBhU8_DElYkX7l4wRkHqqCUFNJY4AfY3kHU/edit?usp=sharing  #gid=0"",""фіз особи new!relations_name""),6,FALSE)
,
(IF
(
C12606=""юридична особа""
,
VLOO"&amp;"KUP(D12606,IMPORTRANGE(""https://docs.google.com/spreadsheets/d/14Bd19lYaqBhU8_DElYkX7l4wRkHqqCUFNJY4AfY3kHU/edit?usp=sharing  #gid=0"",""фіз особи new!relations_name_uo""),7,FALSE)
,
)
))"),"КОЛОМЕЄЦЬ Ганна Валеріївна")</f>
        <v>КОЛОМЕЄЦЬ Ганна Валеріївна</v>
      </c>
      <c r="G12605" s="7" t="s">
        <v>10</v>
      </c>
      <c r="H12605" s="7">
        <v>5352</v>
      </c>
      <c r="I12605" s="8" t="str">
        <f ca="1">IFERROR(__xludf.DUMMYFUNCTION("IF
(
G12606=""фізична особа""
,
VLOOKUP(H12606,IMPORTRANGE(""https://docs.google.com/spreadsheets/d/14Bd19lYaqBhU8_DElYkX7l4wRkHqqCUFNJY4AfY3kHU/edit?usp=sharing  #gid=0"",""фіз особи new!relations_name""),6,FALSE)
,
(IF
(
G12606=""юридична особа""
,
VLOO"&amp;"KUP(H12606,IMPORTRANGE(""https://docs.google.com/spreadsheets/d/14Bd19lYaqBhU8_DElYkX7l4wRkHqqCUFNJY4AfY3kHU/edit?usp=sharing  #gid=0"",""фіз особи new!relations_name_uo""),7,FALSE)
,
)
))"),"РУСАКОВ Володимир Володимирович")</f>
        <v>РУСАКОВ Володимир Володимирович</v>
      </c>
      <c r="J12605" s="7" t="s">
        <v>29</v>
      </c>
    </row>
    <row r="12606" spans="1:10" ht="13.2">
      <c r="A12606" s="7">
        <v>12605</v>
      </c>
      <c r="B12606" s="7">
        <v>1</v>
      </c>
      <c r="C12606" s="7" t="s">
        <v>10</v>
      </c>
      <c r="D12606" s="7">
        <v>18239</v>
      </c>
      <c r="E12606" s="7" t="s">
        <v>28</v>
      </c>
      <c r="F12606" s="8" t="str">
        <f ca="1">IFERROR(__xludf.DUMMYFUNCTION("IF
(
C12607=""фізична особа""
,
VLOOKUP(D12607,IMPORTRANGE(""https://docs.google.com/spreadsheets/d/14Bd19lYaqBhU8_DElYkX7l4wRkHqqCUFNJY4AfY3kHU/edit?usp=sharing  #gid=0"",""фіз особи new!relations_name""),6,FALSE)
,
(IF
(
C12607=""юридична особа""
,
VLOO"&amp;"KUP(D12607,IMPORTRANGE(""https://docs.google.com/spreadsheets/d/14Bd19lYaqBhU8_DElYkX7l4wRkHqqCUFNJY4AfY3kHU/edit?usp=sharing  #gid=0"",""фіз особи new!relations_name_uo""),7,FALSE)
,
)
))"),"РУДНИЦЬКИЙ Артем Вікторович")</f>
        <v>РУДНИЦЬКИЙ Артем Вікторович</v>
      </c>
      <c r="G12606" s="7" t="s">
        <v>10</v>
      </c>
      <c r="H12606" s="7">
        <v>5352</v>
      </c>
      <c r="I12606" s="8" t="str">
        <f ca="1">IFERROR(__xludf.DUMMYFUNCTION("IF
(
G12607=""фізична особа""
,
VLOOKUP(H12607,IMPORTRANGE(""https://docs.google.com/spreadsheets/d/14Bd19lYaqBhU8_DElYkX7l4wRkHqqCUFNJY4AfY3kHU/edit?usp=sharing  #gid=0"",""фіз особи new!relations_name""),6,FALSE)
,
(IF
(
G12607=""юридична особа""
,
VLOO"&amp;"KUP(H12607,IMPORTRANGE(""https://docs.google.com/spreadsheets/d/14Bd19lYaqBhU8_DElYkX7l4wRkHqqCUFNJY4AfY3kHU/edit?usp=sharing  #gid=0"",""фіз особи new!relations_name_uo""),7,FALSE)
,
)
))"),"РУСАКОВ Володимир Володимирович")</f>
        <v>РУСАКОВ Володимир Володимирович</v>
      </c>
      <c r="J12606" s="7" t="s">
        <v>29</v>
      </c>
    </row>
    <row r="12607" spans="1:10" ht="13.2">
      <c r="A12607" s="7">
        <v>12606</v>
      </c>
      <c r="B12607" s="7">
        <v>1</v>
      </c>
      <c r="C12607" s="7" t="s">
        <v>10</v>
      </c>
      <c r="D12607" s="7">
        <v>18243</v>
      </c>
      <c r="E12607" s="7" t="s">
        <v>28</v>
      </c>
      <c r="F12607" s="8" t="str">
        <f ca="1">IFERROR(__xludf.DUMMYFUNCTION("IF
(
C12608=""фізична особа""
,
VLOOKUP(D12608,IMPORTRANGE(""https://docs.google.com/spreadsheets/d/14Bd19lYaqBhU8_DElYkX7l4wRkHqqCUFNJY4AfY3kHU/edit?usp=sharing  #gid=0"",""фіз особи new!relations_name""),6,FALSE)
,
(IF
(
C12608=""юридична особа""
,
VLOO"&amp;"KUP(D12608,IMPORTRANGE(""https://docs.google.com/spreadsheets/d/14Bd19lYaqBhU8_DElYkX7l4wRkHqqCUFNJY4AfY3kHU/edit?usp=sharing  #gid=0"",""фіз особи new!relations_name_uo""),7,FALSE)
,
)
))"),"АЧАСОВ Олег Борисович")</f>
        <v>АЧАСОВ Олег Борисович</v>
      </c>
      <c r="G12607" s="7" t="s">
        <v>10</v>
      </c>
      <c r="H12607" s="7">
        <v>670</v>
      </c>
      <c r="I12607" s="8" t="str">
        <f ca="1">IFERROR(__xludf.DUMMYFUNCTION("IF
(
G12608=""фізична особа""
,
VLOOKUP(H12608,IMPORTRANGE(""https://docs.google.com/spreadsheets/d/14Bd19lYaqBhU8_DElYkX7l4wRkHqqCUFNJY4AfY3kHU/edit?usp=sharing  #gid=0"",""фіз особи new!relations_name""),6,FALSE)
,
(IF
(
G12608=""юридична особа""
,
VLOO"&amp;"KUP(H12608,IMPORTRANGE(""https://docs.google.com/spreadsheets/d/14Bd19lYaqBhU8_DElYkX7l4wRkHqqCUFNJY4AfY3kHU/edit?usp=sharing  #gid=0"",""фіз особи new!relations_name_uo""),7,FALSE)
,
)
))"),"ШОЙГУ Сергій Кужугетович")</f>
        <v>ШОЙГУ Сергій Кужугетович</v>
      </c>
      <c r="J12607" s="7" t="s">
        <v>29</v>
      </c>
    </row>
    <row r="12608" spans="1:10" ht="13.2">
      <c r="A12608" s="7">
        <v>12607</v>
      </c>
      <c r="B12608" s="7">
        <v>1</v>
      </c>
      <c r="C12608" s="7" t="s">
        <v>10</v>
      </c>
      <c r="D12608" s="7">
        <v>18266</v>
      </c>
      <c r="E12608" s="7" t="s">
        <v>23</v>
      </c>
      <c r="F12608" s="8" t="str">
        <f ca="1">IFERROR(__xludf.DUMMYFUNCTION("IF
(
C12609=""фізична особа""
,
VLOOKUP(D12609,IMPORTRANGE(""https://docs.google.com/spreadsheets/d/14Bd19lYaqBhU8_DElYkX7l4wRkHqqCUFNJY4AfY3kHU/edit?usp=sharing  #gid=0"",""фіз особи new!relations_name""),6,FALSE)
,
(IF
(
C12609=""юридична особа""
,
VLOO"&amp;"KUP(D12609,IMPORTRANGE(""https://docs.google.com/spreadsheets/d/14Bd19lYaqBhU8_DElYkX7l4wRkHqqCUFNJY4AfY3kHU/edit?usp=sharing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08" s="7" t="s">
        <v>10</v>
      </c>
      <c r="H12608" s="7">
        <v>18267</v>
      </c>
      <c r="I12608" s="8" t="str">
        <f ca="1">IFERROR(__xludf.DUMMYFUNCTION("IF
(
G12609=""фізична особа""
,
VLOOKUP(H12609,IMPORTRANGE(""https://docs.google.com/spreadsheets/d/14Bd19lYaqBhU8_DElYkX7l4wRkHqqCUFNJY4AfY3kHU/edit?usp=sharing  #gid=0"",""фіз особи new!relations_name""),6,FALSE)
,
(IF
(
G12609=""юридична особа""
,
VLOO"&amp;"KUP(H12609,IMPORTRANGE(""https://docs.google.com/spreadsheets/d/14Bd19lYaqBhU8_DElYkX7l4wRkHqqCUFNJY4AfY3kHU/edit?usp=sharing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08" s="7" t="s">
        <v>23</v>
      </c>
    </row>
    <row r="12609" spans="1:10" ht="13.2">
      <c r="A12609" s="7">
        <v>12608</v>
      </c>
      <c r="B12609" s="7">
        <v>1</v>
      </c>
      <c r="C12609" s="7" t="s">
        <v>10</v>
      </c>
      <c r="D12609" s="7">
        <v>18266</v>
      </c>
      <c r="E12609" s="7" t="s">
        <v>23</v>
      </c>
      <c r="F12609" s="8" t="str">
        <f ca="1">IFERROR(__xludf.DUMMYFUNCTION("IF
(
C12610=""фізична особа""
,
VLOOKUP(D12610,IMPORTRANGE(""https://docs.google.com/spreadsheets/d/14Bd19lYaqBhU8_DElYkX7l4wRkHqqCUFNJY4AfY3kHU/edit?usp=sharing  #gid=0"",""фіз особи new!relations_name""),6,FALSE)
,
(IF
(
C12610=""юридична особа""
,
VLOO"&amp;"KUP(D12610,IMPORTRANGE(""https://docs.google.com/spreadsheets/d/14Bd19lYaqBhU8_DElYkX7l4wRkHqqCUFNJY4AfY3kHU/edit?usp=sharing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09" s="7" t="s">
        <v>10</v>
      </c>
      <c r="H12609" s="7">
        <v>18268</v>
      </c>
      <c r="I12609" s="8" t="str">
        <f ca="1">IFERROR(__xludf.DUMMYFUNCTION("IF
(
G12610=""фізична особа""
,
VLOOKUP(H12610,IMPORTRANGE(""https://docs.google.com/spreadsheets/d/14Bd19lYaqBhU8_DElYkX7l4wRkHqqCUFNJY4AfY3kHU/edit?usp=sharing  #gid=0"",""фіз особи new!relations_name""),6,FALSE)
,
(IF
(
G12610=""юридична особа""
,
VLOO"&amp;"KUP(H12610,IMPORTRANGE(""https://docs.google.com/spreadsheets/d/14Bd19lYaqBhU8_DElYkX7l4wRkHqqCUFNJY4AfY3kHU/edit?usp=sharing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09" s="7" t="s">
        <v>23</v>
      </c>
    </row>
    <row r="12610" spans="1:10" ht="13.2">
      <c r="A12610" s="7">
        <v>12609</v>
      </c>
      <c r="B12610" s="7">
        <v>1</v>
      </c>
      <c r="C12610" s="7" t="s">
        <v>10</v>
      </c>
      <c r="D12610" s="7">
        <v>18266</v>
      </c>
      <c r="E12610" s="7" t="s">
        <v>23</v>
      </c>
      <c r="F12610" s="8" t="str">
        <f ca="1">IFERROR(__xludf.DUMMYFUNCTION("IF
(
C12611=""фізична особа""
,
VLOOKUP(D12611,IMPORTRANGE(""https://docs.google.com/spreadsheets/d/14Bd19lYaqBhU8_DElYkX7l4wRkHqqCUFNJY4AfY3kHU/edit?usp=sharing  #gid=0"",""фіз особи new!relations_name""),6,FALSE)
,
(IF
(
C12611=""юридична особа""
,
VLOO"&amp;"KUP(D12611,IMPORTRANGE(""https://docs.google.com/spreadsheets/d/14Bd19lYaqBhU8_DElYkX7l4wRkHqqCUFNJY4AfY3kHU/edit?usp=sharing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10" s="7" t="s">
        <v>10</v>
      </c>
      <c r="H12610" s="7">
        <v>18269</v>
      </c>
      <c r="I12610" s="8" t="str">
        <f ca="1">IFERROR(__xludf.DUMMYFUNCTION("IF
(
G12611=""фізична особа""
,
VLOOKUP(H12611,IMPORTRANGE(""https://docs.google.com/spreadsheets/d/14Bd19lYaqBhU8_DElYkX7l4wRkHqqCUFNJY4AfY3kHU/edit?usp=sharing  #gid=0"",""фіз особи new!relations_name""),6,FALSE)
,
(IF
(
G12611=""юридична особа""
,
VLOO"&amp;"KUP(H12611,IMPORTRANGE(""https://docs.google.com/spreadsheets/d/14Bd19lYaqBhU8_DElYkX7l4wRkHqqCUFNJY4AfY3kHU/edit?usp=sharing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10" s="7" t="s">
        <v>23</v>
      </c>
    </row>
    <row r="12611" spans="1:10" ht="13.2">
      <c r="A12611" s="7">
        <v>12610</v>
      </c>
      <c r="B12611" s="7">
        <v>1</v>
      </c>
      <c r="C12611" s="7" t="s">
        <v>10</v>
      </c>
      <c r="D12611" s="7">
        <v>18266</v>
      </c>
      <c r="E12611" s="7" t="s">
        <v>23</v>
      </c>
      <c r="F12611" s="8" t="str">
        <f ca="1">IFERROR(__xludf.DUMMYFUNCTION("IF
(
C12612=""фізична особа""
,
VLOOKUP(D12612,IMPORTRANGE(""https://docs.google.com/spreadsheets/d/14Bd19lYaqBhU8_DElYkX7l4wRkHqqCUFNJY4AfY3kHU/edit?usp=sharing  #gid=0"",""фіз особи new!relations_name""),6,FALSE)
,
(IF
(
C12612=""юридична особа""
,
VLOO"&amp;"KUP(D12612,IMPORTRANGE(""https://docs.google.com/spreadsheets/d/14Bd19lYaqBhU8_DElYkX7l4wRkHqqCUFNJY4AfY3kHU/edit?usp=sharing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11" s="7" t="s">
        <v>10</v>
      </c>
      <c r="H12611" s="7">
        <v>18270</v>
      </c>
      <c r="I12611" s="8" t="str">
        <f ca="1">IFERROR(__xludf.DUMMYFUNCTION("IF
(
G12612=""фізична особа""
,
VLOOKUP(H12612,IMPORTRANGE(""https://docs.google.com/spreadsheets/d/14Bd19lYaqBhU8_DElYkX7l4wRkHqqCUFNJY4AfY3kHU/edit?usp=sharing  #gid=0"",""фіз особи new!relations_name""),6,FALSE)
,
(IF
(
G12612=""юридична особа""
,
VLOO"&amp;"KUP(H12612,IMPORTRANGE(""https://docs.google.com/spreadsheets/d/14Bd19lYaqBhU8_DElYkX7l4wRkHqqCUFNJY4AfY3kHU/edit?usp=sharing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11" s="7" t="s">
        <v>23</v>
      </c>
    </row>
    <row r="12612" spans="1:10" ht="13.2">
      <c r="A12612" s="7">
        <v>12611</v>
      </c>
      <c r="B12612" s="7">
        <v>1</v>
      </c>
      <c r="C12612" s="7" t="s">
        <v>10</v>
      </c>
      <c r="D12612" s="7">
        <v>18266</v>
      </c>
      <c r="E12612" s="7" t="s">
        <v>23</v>
      </c>
      <c r="F12612" s="8" t="str">
        <f ca="1">IFERROR(__xludf.DUMMYFUNCTION("IF
(
C12613=""фізична особа""
,
VLOOKUP(D12613,IMPORTRANGE(""https://docs.google.com/spreadsheets/d/14Bd19lYaqBhU8_DElYkX7l4wRkHqqCUFNJY4AfY3kHU/edit?usp=sharing  #gid=0"",""фіз особи new!relations_name""),6,FALSE)
,
(IF
(
C12613=""юридична особа""
,
VLOO"&amp;"KUP(D12613,IMPORTRANGE(""https://docs.google.com/spreadsheets/d/14Bd19lYaqBhU8_DElYkX7l4wRkHqqCUFNJY4AfY3kHU/edit?usp=sharing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12" s="7" t="s">
        <v>10</v>
      </c>
      <c r="H12612" s="7">
        <v>18271</v>
      </c>
      <c r="I12612" s="8" t="str">
        <f ca="1">IFERROR(__xludf.DUMMYFUNCTION("IF
(
G12613=""фізична особа""
,
VLOOKUP(H12613,IMPORTRANGE(""https://docs.google.com/spreadsheets/d/14Bd19lYaqBhU8_DElYkX7l4wRkHqqCUFNJY4AfY3kHU/edit?usp=sharing  #gid=0"",""фіз особи new!relations_name""),6,FALSE)
,
(IF
(
G12613=""юридична особа""
,
VLOO"&amp;"KUP(H12613,IMPORTRANGE(""https://docs.google.com/spreadsheets/d/14Bd19lYaqBhU8_DElYkX7l4wRkHqqCUFNJY4AfY3kHU/edit?usp=sharing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12" s="7" t="s">
        <v>23</v>
      </c>
    </row>
    <row r="12613" spans="1:10" ht="13.2">
      <c r="A12613" s="7">
        <v>12612</v>
      </c>
      <c r="B12613" s="7">
        <v>1</v>
      </c>
      <c r="C12613" s="7" t="s">
        <v>10</v>
      </c>
      <c r="D12613" s="7">
        <v>18266</v>
      </c>
      <c r="E12613" s="7" t="s">
        <v>23</v>
      </c>
      <c r="F12613" s="8" t="str">
        <f ca="1">IFERROR(__xludf.DUMMYFUNCTION("IF
(
C12614=""фізична особа""
,
VLOOKUP(D12614,IMPORTRANGE(""https://docs.google.com/spreadsheets/d/14Bd19lYaqBhU8_DElYkX7l4wRkHqqCUFNJY4AfY3kHU/edit?usp=sharing  #gid=0"",""фіз особи new!relations_name""),6,FALSE)
,
(IF
(
C12614=""юридична особа""
,
VLOO"&amp;"KUP(D12614,IMPORTRANGE(""https://docs.google.com/spreadsheets/d/14Bd19lYaqBhU8_DElYkX7l4wRkHqqCUFNJY4AfY3kHU/edit?usp=sharing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G12613" s="7" t="s">
        <v>10</v>
      </c>
      <c r="H12613" s="7">
        <v>18272</v>
      </c>
      <c r="I12613" s="8" t="str">
        <f ca="1">IFERROR(__xludf.DUMMYFUNCTION("IF
(
G12614=""фізична особа""
,
VLOOKUP(H12614,IMPORTRANGE(""https://docs.google.com/spreadsheets/d/14Bd19lYaqBhU8_DElYkX7l4wRkHqqCUFNJY4AfY3kHU/edit?usp=sharing  #gid=0"",""фіз особи new!relations_name""),6,FALSE)
,
(IF
(
G12614=""юридична особа""
,
VLOO"&amp;"KUP(H12614,IMPORTRANGE(""https://docs.google.com/spreadsheets/d/14Bd19lYaqBhU8_DElYkX7l4wRkHqqCUFNJY4AfY3kHU/edit?usp=sharing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13" s="7" t="s">
        <v>23</v>
      </c>
    </row>
    <row r="12614" spans="1:10" ht="13.2">
      <c r="A12614" s="7">
        <v>12613</v>
      </c>
      <c r="B12614" s="7">
        <v>1</v>
      </c>
      <c r="C12614" s="7" t="s">
        <v>10</v>
      </c>
      <c r="D12614" s="7">
        <v>18267</v>
      </c>
      <c r="E12614" s="7" t="s">
        <v>23</v>
      </c>
      <c r="F12614" s="8" t="str">
        <f ca="1">IFERROR(__xludf.DUMMYFUNCTION("IF
(
C12615=""фізична особа""
,
VLOOKUP(D12615,IMPORTRANGE(""https://docs.google.com/spreadsheets/d/14Bd19lYaqBhU8_DElYkX7l4wRkHqqCUFNJY4AfY3kHU/edit?usp=sharing  #gid=0"",""фіз особи new!relations_name""),6,FALSE)
,
(IF
(
C12615=""юридична особа""
,
VLOO"&amp;"KUP(D12615,IMPORTRANGE(""https://docs.google.com/spreadsheets/d/14Bd19lYaqBhU8_DElYkX7l4wRkHqqCUFNJY4AfY3kHU/edit?usp=sharing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4" s="7" t="s">
        <v>10</v>
      </c>
      <c r="H12614" s="7">
        <v>18266</v>
      </c>
      <c r="I12614" s="8" t="str">
        <f ca="1">IFERROR(__xludf.DUMMYFUNCTION("IF
(
G12615=""фізична особа""
,
VLOOKUP(H12615,IMPORTRANGE(""https://docs.google.com/spreadsheets/d/14Bd19lYaqBhU8_DElYkX7l4wRkHqqCUFNJY4AfY3kHU/edit?usp=sharing  #gid=0"",""фіз особи new!relations_name""),6,FALSE)
,
(IF
(
G12615=""юридична особа""
,
VLOO"&amp;"KUP(H12615,IMPORTRANGE(""https://docs.google.com/spreadsheets/d/14Bd19lYaqBhU8_DElYkX7l4wRkHqqCUFNJY4AfY3kHU/edit?usp=sharing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14" s="7" t="s">
        <v>23</v>
      </c>
    </row>
    <row r="12615" spans="1:10" ht="13.2">
      <c r="A12615" s="7">
        <v>12614</v>
      </c>
      <c r="B12615" s="7">
        <v>1</v>
      </c>
      <c r="C12615" s="7" t="s">
        <v>10</v>
      </c>
      <c r="D12615" s="7">
        <v>18267</v>
      </c>
      <c r="E12615" s="7" t="s">
        <v>23</v>
      </c>
      <c r="F12615" s="8" t="str">
        <f ca="1">IFERROR(__xludf.DUMMYFUNCTION("IF
(
C12616=""фізична особа""
,
VLOOKUP(D12616,IMPORTRANGE(""https://docs.google.com/spreadsheets/d/14Bd19lYaqBhU8_DElYkX7l4wRkHqqCUFNJY4AfY3kHU/edit?usp=sharing  #gid=0"",""фіз особи new!relations_name""),6,FALSE)
,
(IF
(
C12616=""юридична особа""
,
VLOO"&amp;"KUP(D12616,IMPORTRANGE(""https://docs.google.com/spreadsheets/d/14Bd19lYaqBhU8_DElYkX7l4wRkHqqCUFNJY4AfY3kHU/edit?usp=sharing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5" s="7" t="s">
        <v>10</v>
      </c>
      <c r="H12615" s="7">
        <v>18268</v>
      </c>
      <c r="I12615" s="8" t="str">
        <f ca="1">IFERROR(__xludf.DUMMYFUNCTION("IF
(
G12616=""фізична особа""
,
VLOOKUP(H12616,IMPORTRANGE(""https://docs.google.com/spreadsheets/d/14Bd19lYaqBhU8_DElYkX7l4wRkHqqCUFNJY4AfY3kHU/edit?usp=sharing  #gid=0"",""фіз особи new!relations_name""),6,FALSE)
,
(IF
(
G12616=""юридична особа""
,
VLOO"&amp;"KUP(H12616,IMPORTRANGE(""https://docs.google.com/spreadsheets/d/14Bd19lYaqBhU8_DElYkX7l4wRkHqqCUFNJY4AfY3kHU/edit?usp=sharing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15" s="7" t="s">
        <v>23</v>
      </c>
    </row>
    <row r="12616" spans="1:10" ht="13.2">
      <c r="A12616" s="7">
        <v>12615</v>
      </c>
      <c r="B12616" s="7">
        <v>1</v>
      </c>
      <c r="C12616" s="7" t="s">
        <v>10</v>
      </c>
      <c r="D12616" s="7">
        <v>18267</v>
      </c>
      <c r="E12616" s="7" t="s">
        <v>23</v>
      </c>
      <c r="F12616" s="8" t="str">
        <f ca="1">IFERROR(__xludf.DUMMYFUNCTION("IF
(
C12617=""фізична особа""
,
VLOOKUP(D12617,IMPORTRANGE(""https://docs.google.com/spreadsheets/d/14Bd19lYaqBhU8_DElYkX7l4wRkHqqCUFNJY4AfY3kHU/edit?usp=sharing  #gid=0"",""фіз особи new!relations_name""),6,FALSE)
,
(IF
(
C12617=""юридична особа""
,
VLOO"&amp;"KUP(D12617,IMPORTRANGE(""https://docs.google.com/spreadsheets/d/14Bd19lYaqBhU8_DElYkX7l4wRkHqqCUFNJY4AfY3kHU/edit?usp=sharing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6" s="7" t="s">
        <v>10</v>
      </c>
      <c r="H12616" s="7">
        <v>18269</v>
      </c>
      <c r="I12616" s="8" t="str">
        <f ca="1">IFERROR(__xludf.DUMMYFUNCTION("IF
(
G12617=""фізична особа""
,
VLOOKUP(H12617,IMPORTRANGE(""https://docs.google.com/spreadsheets/d/14Bd19lYaqBhU8_DElYkX7l4wRkHqqCUFNJY4AfY3kHU/edit?usp=sharing  #gid=0"",""фіз особи new!relations_name""),6,FALSE)
,
(IF
(
G12617=""юридична особа""
,
VLOO"&amp;"KUP(H12617,IMPORTRANGE(""https://docs.google.com/spreadsheets/d/14Bd19lYaqBhU8_DElYkX7l4wRkHqqCUFNJY4AfY3kHU/edit?usp=sharing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16" s="7" t="s">
        <v>23</v>
      </c>
    </row>
    <row r="12617" spans="1:10" ht="13.2">
      <c r="A12617" s="7">
        <v>12616</v>
      </c>
      <c r="B12617" s="7">
        <v>1</v>
      </c>
      <c r="C12617" s="7" t="s">
        <v>10</v>
      </c>
      <c r="D12617" s="7">
        <v>18267</v>
      </c>
      <c r="E12617" s="7" t="s">
        <v>23</v>
      </c>
      <c r="F12617" s="8" t="str">
        <f ca="1">IFERROR(__xludf.DUMMYFUNCTION("IF
(
C12618=""фізична особа""
,
VLOOKUP(D12618,IMPORTRANGE(""https://docs.google.com/spreadsheets/d/14Bd19lYaqBhU8_DElYkX7l4wRkHqqCUFNJY4AfY3kHU/edit?usp=sharing  #gid=0"",""фіз особи new!relations_name""),6,FALSE)
,
(IF
(
C12618=""юридична особа""
,
VLOO"&amp;"KUP(D12618,IMPORTRANGE(""https://docs.google.com/spreadsheets/d/14Bd19lYaqBhU8_DElYkX7l4wRkHqqCUFNJY4AfY3kHU/edit?usp=sharing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7" s="7" t="s">
        <v>10</v>
      </c>
      <c r="H12617" s="7">
        <v>18270</v>
      </c>
      <c r="I12617" s="8" t="str">
        <f ca="1">IFERROR(__xludf.DUMMYFUNCTION("IF
(
G12618=""фізична особа""
,
VLOOKUP(H12618,IMPORTRANGE(""https://docs.google.com/spreadsheets/d/14Bd19lYaqBhU8_DElYkX7l4wRkHqqCUFNJY4AfY3kHU/edit?usp=sharing  #gid=0"",""фіз особи new!relations_name""),6,FALSE)
,
(IF
(
G12618=""юридична особа""
,
VLOO"&amp;"KUP(H12618,IMPORTRANGE(""https://docs.google.com/spreadsheets/d/14Bd19lYaqBhU8_DElYkX7l4wRkHqqCUFNJY4AfY3kHU/edit?usp=sharing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17" s="7" t="s">
        <v>23</v>
      </c>
    </row>
    <row r="12618" spans="1:10" ht="13.2">
      <c r="A12618" s="7">
        <v>12617</v>
      </c>
      <c r="B12618" s="7">
        <v>1</v>
      </c>
      <c r="C12618" s="7" t="s">
        <v>10</v>
      </c>
      <c r="D12618" s="7">
        <v>18267</v>
      </c>
      <c r="E12618" s="7" t="s">
        <v>23</v>
      </c>
      <c r="F12618" s="8" t="str">
        <f ca="1">IFERROR(__xludf.DUMMYFUNCTION("IF
(
C12619=""фізична особа""
,
VLOOKUP(D12619,IMPORTRANGE(""https://docs.google.com/spreadsheets/d/14Bd19lYaqBhU8_DElYkX7l4wRkHqqCUFNJY4AfY3kHU/edit?usp=sharing  #gid=0"",""фіз особи new!relations_name""),6,FALSE)
,
(IF
(
C12619=""юридична особа""
,
VLOO"&amp;"KUP(D12619,IMPORTRANGE(""https://docs.google.com/spreadsheets/d/14Bd19lYaqBhU8_DElYkX7l4wRkHqqCUFNJY4AfY3kHU/edit?usp=sharing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8" s="7" t="s">
        <v>10</v>
      </c>
      <c r="H12618" s="7">
        <v>18271</v>
      </c>
      <c r="I12618" s="8" t="str">
        <f ca="1">IFERROR(__xludf.DUMMYFUNCTION("IF
(
G12619=""фізична особа""
,
VLOOKUP(H12619,IMPORTRANGE(""https://docs.google.com/spreadsheets/d/14Bd19lYaqBhU8_DElYkX7l4wRkHqqCUFNJY4AfY3kHU/edit?usp=sharing  #gid=0"",""фіз особи new!relations_name""),6,FALSE)
,
(IF
(
G12619=""юридична особа""
,
VLOO"&amp;"KUP(H12619,IMPORTRANGE(""https://docs.google.com/spreadsheets/d/14Bd19lYaqBhU8_DElYkX7l4wRkHqqCUFNJY4AfY3kHU/edit?usp=sharing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18" s="7" t="s">
        <v>23</v>
      </c>
    </row>
    <row r="12619" spans="1:10" ht="13.2">
      <c r="A12619" s="7">
        <v>12618</v>
      </c>
      <c r="B12619" s="7">
        <v>1</v>
      </c>
      <c r="C12619" s="7" t="s">
        <v>10</v>
      </c>
      <c r="D12619" s="7">
        <v>18267</v>
      </c>
      <c r="E12619" s="7" t="s">
        <v>23</v>
      </c>
      <c r="F12619" s="8" t="str">
        <f ca="1">IFERROR(__xludf.DUMMYFUNCTION("IF
(
C12620=""фізична особа""
,
VLOOKUP(D12620,IMPORTRANGE(""https://docs.google.com/spreadsheets/d/14Bd19lYaqBhU8_DElYkX7l4wRkHqqCUFNJY4AfY3kHU/edit?usp=sharing  #gid=0"",""фіз особи new!relations_name""),6,FALSE)
,
(IF
(
C12620=""юридична особа""
,
VLOO"&amp;"KUP(D12620,IMPORTRANGE(""https://docs.google.com/spreadsheets/d/14Bd19lYaqBhU8_DElYkX7l4wRkHqqCUFNJY4AfY3kHU/edit?usp=sharing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G12619" s="7" t="s">
        <v>10</v>
      </c>
      <c r="H12619" s="7">
        <v>18272</v>
      </c>
      <c r="I12619" s="8" t="str">
        <f ca="1">IFERROR(__xludf.DUMMYFUNCTION("IF
(
G12620=""фізична особа""
,
VLOOKUP(H12620,IMPORTRANGE(""https://docs.google.com/spreadsheets/d/14Bd19lYaqBhU8_DElYkX7l4wRkHqqCUFNJY4AfY3kHU/edit?usp=sharing  #gid=0"",""фіз особи new!relations_name""),6,FALSE)
,
(IF
(
G12620=""юридична особа""
,
VLOO"&amp;"KUP(H12620,IMPORTRANGE(""https://docs.google.com/spreadsheets/d/14Bd19lYaqBhU8_DElYkX7l4wRkHqqCUFNJY4AfY3kHU/edit?usp=sharing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19" s="7" t="s">
        <v>23</v>
      </c>
    </row>
    <row r="12620" spans="1:10" ht="13.2">
      <c r="A12620" s="7">
        <v>12619</v>
      </c>
      <c r="B12620" s="7">
        <v>1</v>
      </c>
      <c r="C12620" s="7" t="s">
        <v>10</v>
      </c>
      <c r="D12620" s="7">
        <v>18268</v>
      </c>
      <c r="E12620" s="7" t="s">
        <v>23</v>
      </c>
      <c r="F12620" s="8" t="str">
        <f ca="1">IFERROR(__xludf.DUMMYFUNCTION("IF
(
C12621=""фізична особа""
,
VLOOKUP(D12621,IMPORTRANGE(""https://docs.google.com/spreadsheets/d/14Bd19lYaqBhU8_DElYkX7l4wRkHqqCUFNJY4AfY3kHU/edit?usp=sharing  #gid=0"",""фіз особи new!relations_name""),6,FALSE)
,
(IF
(
C12621=""юридична особа""
,
VLOO"&amp;"KUP(D12621,IMPORTRANGE(""https://docs.google.com/spreadsheets/d/14Bd19lYaqBhU8_DElYkX7l4wRkHqqCUFNJY4AfY3kHU/edit?usp=sharing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0" s="7" t="s">
        <v>10</v>
      </c>
      <c r="H12620" s="7">
        <v>18266</v>
      </c>
      <c r="I12620" s="8" t="str">
        <f ca="1">IFERROR(__xludf.DUMMYFUNCTION("IF
(
G12621=""фізична особа""
,
VLOOKUP(H12621,IMPORTRANGE(""https://docs.google.com/spreadsheets/d/14Bd19lYaqBhU8_DElYkX7l4wRkHqqCUFNJY4AfY3kHU/edit?usp=sharing  #gid=0"",""фіз особи new!relations_name""),6,FALSE)
,
(IF
(
G12621=""юридична особа""
,
VLOO"&amp;"KUP(H12621,IMPORTRANGE(""https://docs.google.com/spreadsheets/d/14Bd19lYaqBhU8_DElYkX7l4wRkHqqCUFNJY4AfY3kHU/edit?usp=sharing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20" s="7" t="s">
        <v>23</v>
      </c>
    </row>
    <row r="12621" spans="1:10" ht="13.2">
      <c r="A12621" s="7">
        <v>12620</v>
      </c>
      <c r="B12621" s="7">
        <v>1</v>
      </c>
      <c r="C12621" s="7" t="s">
        <v>10</v>
      </c>
      <c r="D12621" s="7">
        <v>18268</v>
      </c>
      <c r="E12621" s="7" t="s">
        <v>23</v>
      </c>
      <c r="F12621" s="8" t="str">
        <f ca="1">IFERROR(__xludf.DUMMYFUNCTION("IF
(
C12622=""фізична особа""
,
VLOOKUP(D12622,IMPORTRANGE(""https://docs.google.com/spreadsheets/d/14Bd19lYaqBhU8_DElYkX7l4wRkHqqCUFNJY4AfY3kHU/edit?usp=sharing  #gid=0"",""фіз особи new!relations_name""),6,FALSE)
,
(IF
(
C12622=""юридична особа""
,
VLOO"&amp;"KUP(D12622,IMPORTRANGE(""https://docs.google.com/spreadsheets/d/14Bd19lYaqBhU8_DElYkX7l4wRkHqqCUFNJY4AfY3kHU/edit?usp=sharing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1" s="7" t="s">
        <v>10</v>
      </c>
      <c r="H12621" s="7">
        <v>18267</v>
      </c>
      <c r="I12621" s="8" t="str">
        <f ca="1">IFERROR(__xludf.DUMMYFUNCTION("IF
(
G12622=""фізична особа""
,
VLOOKUP(H12622,IMPORTRANGE(""https://docs.google.com/spreadsheets/d/14Bd19lYaqBhU8_DElYkX7l4wRkHqqCUFNJY4AfY3kHU/edit?usp=sharing  #gid=0"",""фіз особи new!relations_name""),6,FALSE)
,
(IF
(
G12622=""юридична особа""
,
VLOO"&amp;"KUP(H12622,IMPORTRANGE(""https://docs.google.com/spreadsheets/d/14Bd19lYaqBhU8_DElYkX7l4wRkHqqCUFNJY4AfY3kHU/edit?usp=sharing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21" s="7" t="s">
        <v>23</v>
      </c>
    </row>
    <row r="12622" spans="1:10" ht="13.2">
      <c r="A12622" s="7">
        <v>12621</v>
      </c>
      <c r="B12622" s="7">
        <v>1</v>
      </c>
      <c r="C12622" s="7" t="s">
        <v>10</v>
      </c>
      <c r="D12622" s="7">
        <v>18268</v>
      </c>
      <c r="E12622" s="7" t="s">
        <v>23</v>
      </c>
      <c r="F12622" s="8" t="str">
        <f ca="1">IFERROR(__xludf.DUMMYFUNCTION("IF
(
C12623=""фізична особа""
,
VLOOKUP(D12623,IMPORTRANGE(""https://docs.google.com/spreadsheets/d/14Bd19lYaqBhU8_DElYkX7l4wRkHqqCUFNJY4AfY3kHU/edit?usp=sharing  #gid=0"",""фіз особи new!relations_name""),6,FALSE)
,
(IF
(
C12623=""юридична особа""
,
VLOO"&amp;"KUP(D12623,IMPORTRANGE(""https://docs.google.com/spreadsheets/d/14Bd19lYaqBhU8_DElYkX7l4wRkHqqCUFNJY4AfY3kHU/edit?usp=sharing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2" s="7" t="s">
        <v>10</v>
      </c>
      <c r="H12622" s="7">
        <v>18269</v>
      </c>
      <c r="I12622" s="8" t="str">
        <f ca="1">IFERROR(__xludf.DUMMYFUNCTION("IF
(
G12623=""фізична особа""
,
VLOOKUP(H12623,IMPORTRANGE(""https://docs.google.com/spreadsheets/d/14Bd19lYaqBhU8_DElYkX7l4wRkHqqCUFNJY4AfY3kHU/edit?usp=sharing  #gid=0"",""фіз особи new!relations_name""),6,FALSE)
,
(IF
(
G12623=""юридична особа""
,
VLOO"&amp;"KUP(H12623,IMPORTRANGE(""https://docs.google.com/spreadsheets/d/14Bd19lYaqBhU8_DElYkX7l4wRkHqqCUFNJY4AfY3kHU/edit?usp=sharing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22" s="7" t="s">
        <v>23</v>
      </c>
    </row>
    <row r="12623" spans="1:10" ht="13.2">
      <c r="A12623" s="7">
        <v>12622</v>
      </c>
      <c r="B12623" s="7">
        <v>1</v>
      </c>
      <c r="C12623" s="7" t="s">
        <v>10</v>
      </c>
      <c r="D12623" s="7">
        <v>18268</v>
      </c>
      <c r="E12623" s="7" t="s">
        <v>23</v>
      </c>
      <c r="F12623" s="8" t="str">
        <f ca="1">IFERROR(__xludf.DUMMYFUNCTION("IF
(
C12624=""фізична особа""
,
VLOOKUP(D12624,IMPORTRANGE(""https://docs.google.com/spreadsheets/d/14Bd19lYaqBhU8_DElYkX7l4wRkHqqCUFNJY4AfY3kHU/edit?usp=sharing  #gid=0"",""фіз особи new!relations_name""),6,FALSE)
,
(IF
(
C12624=""юридична особа""
,
VLOO"&amp;"KUP(D12624,IMPORTRANGE(""https://docs.google.com/spreadsheets/d/14Bd19lYaqBhU8_DElYkX7l4wRkHqqCUFNJY4AfY3kHU/edit?usp=sharing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3" s="7" t="s">
        <v>10</v>
      </c>
      <c r="H12623" s="7">
        <v>18270</v>
      </c>
      <c r="I12623" s="8" t="str">
        <f ca="1">IFERROR(__xludf.DUMMYFUNCTION("IF
(
G12624=""фізична особа""
,
VLOOKUP(H12624,IMPORTRANGE(""https://docs.google.com/spreadsheets/d/14Bd19lYaqBhU8_DElYkX7l4wRkHqqCUFNJY4AfY3kHU/edit?usp=sharing  #gid=0"",""фіз особи new!relations_name""),6,FALSE)
,
(IF
(
G12624=""юридична особа""
,
VLOO"&amp;"KUP(H12624,IMPORTRANGE(""https://docs.google.com/spreadsheets/d/14Bd19lYaqBhU8_DElYkX7l4wRkHqqCUFNJY4AfY3kHU/edit?usp=sharing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23" s="7" t="s">
        <v>23</v>
      </c>
    </row>
    <row r="12624" spans="1:10" ht="13.2">
      <c r="A12624" s="7">
        <v>12623</v>
      </c>
      <c r="B12624" s="7">
        <v>1</v>
      </c>
      <c r="C12624" s="7" t="s">
        <v>10</v>
      </c>
      <c r="D12624" s="7">
        <v>18268</v>
      </c>
      <c r="E12624" s="7" t="s">
        <v>23</v>
      </c>
      <c r="F12624" s="8" t="str">
        <f ca="1">IFERROR(__xludf.DUMMYFUNCTION("IF
(
C12625=""фізична особа""
,
VLOOKUP(D12625,IMPORTRANGE(""https://docs.google.com/spreadsheets/d/14Bd19lYaqBhU8_DElYkX7l4wRkHqqCUFNJY4AfY3kHU/edit?usp=sharing  #gid=0"",""фіз особи new!relations_name""),6,FALSE)
,
(IF
(
C12625=""юридична особа""
,
VLOO"&amp;"KUP(D12625,IMPORTRANGE(""https://docs.google.com/spreadsheets/d/14Bd19lYaqBhU8_DElYkX7l4wRkHqqCUFNJY4AfY3kHU/edit?usp=sharing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4" s="7" t="s">
        <v>10</v>
      </c>
      <c r="H12624" s="7">
        <v>18271</v>
      </c>
      <c r="I12624" s="8" t="str">
        <f ca="1">IFERROR(__xludf.DUMMYFUNCTION("IF
(
G12625=""фізична особа""
,
VLOOKUP(H12625,IMPORTRANGE(""https://docs.google.com/spreadsheets/d/14Bd19lYaqBhU8_DElYkX7l4wRkHqqCUFNJY4AfY3kHU/edit?usp=sharing  #gid=0"",""фіз особи new!relations_name""),6,FALSE)
,
(IF
(
G12625=""юридична особа""
,
VLOO"&amp;"KUP(H12625,IMPORTRANGE(""https://docs.google.com/spreadsheets/d/14Bd19lYaqBhU8_DElYkX7l4wRkHqqCUFNJY4AfY3kHU/edit?usp=sharing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24" s="7" t="s">
        <v>23</v>
      </c>
    </row>
    <row r="12625" spans="1:10" ht="13.2">
      <c r="A12625" s="7">
        <v>12624</v>
      </c>
      <c r="B12625" s="7">
        <v>1</v>
      </c>
      <c r="C12625" s="7" t="s">
        <v>10</v>
      </c>
      <c r="D12625" s="7">
        <v>18268</v>
      </c>
      <c r="E12625" s="7" t="s">
        <v>23</v>
      </c>
      <c r="F12625" s="8" t="str">
        <f ca="1">IFERROR(__xludf.DUMMYFUNCTION("IF
(
C12626=""фізична особа""
,
VLOOKUP(D12626,IMPORTRANGE(""https://docs.google.com/spreadsheets/d/14Bd19lYaqBhU8_DElYkX7l4wRkHqqCUFNJY4AfY3kHU/edit?usp=sharing  #gid=0"",""фіз особи new!relations_name""),6,FALSE)
,
(IF
(
C12626=""юридична особа""
,
VLOO"&amp;"KUP(D12626,IMPORTRANGE(""https://docs.google.com/spreadsheets/d/14Bd19lYaqBhU8_DElYkX7l4wRkHqqCUFNJY4AfY3kHU/edit?usp=sharing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G12625" s="7" t="s">
        <v>10</v>
      </c>
      <c r="H12625" s="7">
        <v>18272</v>
      </c>
      <c r="I12625" s="8" t="str">
        <f ca="1">IFERROR(__xludf.DUMMYFUNCTION("IF
(
G12626=""фізична особа""
,
VLOOKUP(H12626,IMPORTRANGE(""https://docs.google.com/spreadsheets/d/14Bd19lYaqBhU8_DElYkX7l4wRkHqqCUFNJY4AfY3kHU/edit?usp=sharing  #gid=0"",""фіз особи new!relations_name""),6,FALSE)
,
(IF
(
G12626=""юридична особа""
,
VLOO"&amp;"KUP(H12626,IMPORTRANGE(""https://docs.google.com/spreadsheets/d/14Bd19lYaqBhU8_DElYkX7l4wRkHqqCUFNJY4AfY3kHU/edit?usp=sharing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25" s="7" t="s">
        <v>23</v>
      </c>
    </row>
    <row r="12626" spans="1:10" ht="13.2">
      <c r="A12626" s="7">
        <v>12625</v>
      </c>
      <c r="B12626" s="7">
        <v>1</v>
      </c>
      <c r="C12626" s="7" t="s">
        <v>10</v>
      </c>
      <c r="D12626" s="7">
        <v>18269</v>
      </c>
      <c r="E12626" s="7" t="s">
        <v>23</v>
      </c>
      <c r="F12626" s="8" t="str">
        <f ca="1">IFERROR(__xludf.DUMMYFUNCTION("IF
(
C12627=""фізична особа""
,
VLOOKUP(D12627,IMPORTRANGE(""https://docs.google.com/spreadsheets/d/14Bd19lYaqBhU8_DElYkX7l4wRkHqqCUFNJY4AfY3kHU/edit?usp=sharing  #gid=0"",""фіз особи new!relations_name""),6,FALSE)
,
(IF
(
C12627=""юридична особа""
,
VLOO"&amp;"KUP(D12627,IMPORTRANGE(""https://docs.google.com/spreadsheets/d/14Bd19lYaqBhU8_DElYkX7l4wRkHqqCUFNJY4AfY3kHU/edit?usp=sharing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26" s="7" t="s">
        <v>10</v>
      </c>
      <c r="H12626" s="7">
        <v>18266</v>
      </c>
      <c r="I12626" s="8" t="str">
        <f ca="1">IFERROR(__xludf.DUMMYFUNCTION("IF
(
G12627=""фізична особа""
,
VLOOKUP(H12627,IMPORTRANGE(""https://docs.google.com/spreadsheets/d/14Bd19lYaqBhU8_DElYkX7l4wRkHqqCUFNJY4AfY3kHU/edit?usp=sharing  #gid=0"",""фіз особи new!relations_name""),6,FALSE)
,
(IF
(
G12627=""юридична особа""
,
VLOO"&amp;"KUP(H12627,IMPORTRANGE(""https://docs.google.com/spreadsheets/d/14Bd19lYaqBhU8_DElYkX7l4wRkHqqCUFNJY4AfY3kHU/edit?usp=sharing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26" s="7" t="s">
        <v>23</v>
      </c>
    </row>
    <row r="12627" spans="1:10" ht="13.2">
      <c r="A12627" s="7">
        <v>12626</v>
      </c>
      <c r="B12627" s="7">
        <v>1</v>
      </c>
      <c r="C12627" s="7" t="s">
        <v>10</v>
      </c>
      <c r="D12627" s="7">
        <v>18269</v>
      </c>
      <c r="E12627" s="7" t="s">
        <v>23</v>
      </c>
      <c r="F12627" s="8" t="str">
        <f ca="1">IFERROR(__xludf.DUMMYFUNCTION("IF
(
C12628=""фізична особа""
,
VLOOKUP(D12628,IMPORTRANGE(""https://docs.google.com/spreadsheets/d/14Bd19lYaqBhU8_DElYkX7l4wRkHqqCUFNJY4AfY3kHU/edit?usp=sharing  #gid=0"",""фіз особи new!relations_name""),6,FALSE)
,
(IF
(
C12628=""юридична особа""
,
VLOO"&amp;"KUP(D12628,IMPORTRANGE(""https://docs.google.com/spreadsheets/d/14Bd19lYaqBhU8_DElYkX7l4wRkHqqCUFNJY4AfY3kHU/edit?usp=sharing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27" s="7" t="s">
        <v>10</v>
      </c>
      <c r="H12627" s="7">
        <v>18267</v>
      </c>
      <c r="I12627" s="8" t="str">
        <f ca="1">IFERROR(__xludf.DUMMYFUNCTION("IF
(
G12628=""фізична особа""
,
VLOOKUP(H12628,IMPORTRANGE(""https://docs.google.com/spreadsheets/d/14Bd19lYaqBhU8_DElYkX7l4wRkHqqCUFNJY4AfY3kHU/edit?usp=sharing  #gid=0"",""фіз особи new!relations_name""),6,FALSE)
,
(IF
(
G12628=""юридична особа""
,
VLOO"&amp;"KUP(H12628,IMPORTRANGE(""https://docs.google.com/spreadsheets/d/14Bd19lYaqBhU8_DElYkX7l4wRkHqqCUFNJY4AfY3kHU/edit?usp=sharing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27" s="7" t="s">
        <v>23</v>
      </c>
    </row>
    <row r="12628" spans="1:10" ht="13.2">
      <c r="A12628" s="7">
        <v>12627</v>
      </c>
      <c r="B12628" s="7">
        <v>1</v>
      </c>
      <c r="C12628" s="7" t="s">
        <v>10</v>
      </c>
      <c r="D12628" s="7">
        <v>18269</v>
      </c>
      <c r="E12628" s="7" t="s">
        <v>23</v>
      </c>
      <c r="F12628" s="8" t="str">
        <f ca="1">IFERROR(__xludf.DUMMYFUNCTION("IF
(
C12629=""фізична особа""
,
VLOOKUP(D12629,IMPORTRANGE(""https://docs.google.com/spreadsheets/d/14Bd19lYaqBhU8_DElYkX7l4wRkHqqCUFNJY4AfY3kHU/edit?usp=sharing  #gid=0"",""фіз особи new!relations_name""),6,FALSE)
,
(IF
(
C12629=""юридична особа""
,
VLOO"&amp;"KUP(D12629,IMPORTRANGE(""https://docs.google.com/spreadsheets/d/14Bd19lYaqBhU8_DElYkX7l4wRkHqqCUFNJY4AfY3kHU/edit?usp=sharing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28" s="7" t="s">
        <v>10</v>
      </c>
      <c r="H12628" s="7">
        <v>18268</v>
      </c>
      <c r="I12628" s="8" t="str">
        <f ca="1">IFERROR(__xludf.DUMMYFUNCTION("IF
(
G12629=""фізична особа""
,
VLOOKUP(H12629,IMPORTRANGE(""https://docs.google.com/spreadsheets/d/14Bd19lYaqBhU8_DElYkX7l4wRkHqqCUFNJY4AfY3kHU/edit?usp=sharing  #gid=0"",""фіз особи new!relations_name""),6,FALSE)
,
(IF
(
G12629=""юридична особа""
,
VLOO"&amp;"KUP(H12629,IMPORTRANGE(""https://docs.google.com/spreadsheets/d/14Bd19lYaqBhU8_DElYkX7l4wRkHqqCUFNJY4AfY3kHU/edit?usp=sharing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28" s="7" t="s">
        <v>23</v>
      </c>
    </row>
    <row r="12629" spans="1:10" ht="13.2">
      <c r="A12629" s="7">
        <v>12628</v>
      </c>
      <c r="B12629" s="7">
        <v>1</v>
      </c>
      <c r="C12629" s="7" t="s">
        <v>10</v>
      </c>
      <c r="D12629" s="7">
        <v>18269</v>
      </c>
      <c r="E12629" s="7" t="s">
        <v>23</v>
      </c>
      <c r="F12629" s="8" t="str">
        <f ca="1">IFERROR(__xludf.DUMMYFUNCTION("IF
(
C12630=""фізична особа""
,
VLOOKUP(D12630,IMPORTRANGE(""https://docs.google.com/spreadsheets/d/14Bd19lYaqBhU8_DElYkX7l4wRkHqqCUFNJY4AfY3kHU/edit?usp=sharing  #gid=0"",""фіз особи new!relations_name""),6,FALSE)
,
(IF
(
C12630=""юридична особа""
,
VLOO"&amp;"KUP(D12630,IMPORTRANGE(""https://docs.google.com/spreadsheets/d/14Bd19lYaqBhU8_DElYkX7l4wRkHqqCUFNJY4AfY3kHU/edit?usp=sharing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29" s="7" t="s">
        <v>10</v>
      </c>
      <c r="H12629" s="7">
        <v>18270</v>
      </c>
      <c r="I12629" s="8" t="str">
        <f ca="1">IFERROR(__xludf.DUMMYFUNCTION("IF
(
G12630=""фізична особа""
,
VLOOKUP(H12630,IMPORTRANGE(""https://docs.google.com/spreadsheets/d/14Bd19lYaqBhU8_DElYkX7l4wRkHqqCUFNJY4AfY3kHU/edit?usp=sharing  #gid=0"",""фіз особи new!relations_name""),6,FALSE)
,
(IF
(
G12630=""юридична особа""
,
VLOO"&amp;"KUP(H12630,IMPORTRANGE(""https://docs.google.com/spreadsheets/d/14Bd19lYaqBhU8_DElYkX7l4wRkHqqCUFNJY4AfY3kHU/edit?usp=sharing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29" s="7" t="s">
        <v>23</v>
      </c>
    </row>
    <row r="12630" spans="1:10" ht="13.2">
      <c r="A12630" s="7">
        <v>12629</v>
      </c>
      <c r="B12630" s="7">
        <v>1</v>
      </c>
      <c r="C12630" s="7" t="s">
        <v>10</v>
      </c>
      <c r="D12630" s="7">
        <v>18269</v>
      </c>
      <c r="E12630" s="7" t="s">
        <v>23</v>
      </c>
      <c r="F12630" s="8" t="str">
        <f ca="1">IFERROR(__xludf.DUMMYFUNCTION("IF
(
C12631=""фізична особа""
,
VLOOKUP(D12631,IMPORTRANGE(""https://docs.google.com/spreadsheets/d/14Bd19lYaqBhU8_DElYkX7l4wRkHqqCUFNJY4AfY3kHU/edit?usp=sharing  #gid=0"",""фіз особи new!relations_name""),6,FALSE)
,
(IF
(
C12631=""юридична особа""
,
VLOO"&amp;"KUP(D12631,IMPORTRANGE(""https://docs.google.com/spreadsheets/d/14Bd19lYaqBhU8_DElYkX7l4wRkHqqCUFNJY4AfY3kHU/edit?usp=sharing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30" s="7" t="s">
        <v>10</v>
      </c>
      <c r="H12630" s="7">
        <v>18271</v>
      </c>
      <c r="I12630" s="8" t="str">
        <f ca="1">IFERROR(__xludf.DUMMYFUNCTION("IF
(
G12631=""фізична особа""
,
VLOOKUP(H12631,IMPORTRANGE(""https://docs.google.com/spreadsheets/d/14Bd19lYaqBhU8_DElYkX7l4wRkHqqCUFNJY4AfY3kHU/edit?usp=sharing  #gid=0"",""фіз особи new!relations_name""),6,FALSE)
,
(IF
(
G12631=""юридична особа""
,
VLOO"&amp;"KUP(H12631,IMPORTRANGE(""https://docs.google.com/spreadsheets/d/14Bd19lYaqBhU8_DElYkX7l4wRkHqqCUFNJY4AfY3kHU/edit?usp=sharing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30" s="7" t="s">
        <v>23</v>
      </c>
    </row>
    <row r="12631" spans="1:10" ht="13.2">
      <c r="A12631" s="7">
        <v>12630</v>
      </c>
      <c r="B12631" s="7">
        <v>1</v>
      </c>
      <c r="C12631" s="7" t="s">
        <v>10</v>
      </c>
      <c r="D12631" s="7">
        <v>18269</v>
      </c>
      <c r="E12631" s="7" t="s">
        <v>23</v>
      </c>
      <c r="F12631" s="8" t="str">
        <f ca="1">IFERROR(__xludf.DUMMYFUNCTION("IF
(
C12632=""фізична особа""
,
VLOOKUP(D12632,IMPORTRANGE(""https://docs.google.com/spreadsheets/d/14Bd19lYaqBhU8_DElYkX7l4wRkHqqCUFNJY4AfY3kHU/edit?usp=sharing  #gid=0"",""фіз особи new!relations_name""),6,FALSE)
,
(IF
(
C12632=""юридична особа""
,
VLOO"&amp;"KUP(D12632,IMPORTRANGE(""https://docs.google.com/spreadsheets/d/14Bd19lYaqBhU8_DElYkX7l4wRkHqqCUFNJY4AfY3kHU/edit?usp=sharing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G12631" s="7" t="s">
        <v>10</v>
      </c>
      <c r="H12631" s="7">
        <v>18272</v>
      </c>
      <c r="I12631" s="8" t="str">
        <f ca="1">IFERROR(__xludf.DUMMYFUNCTION("IF
(
G12632=""фізична особа""
,
VLOOKUP(H12632,IMPORTRANGE(""https://docs.google.com/spreadsheets/d/14Bd19lYaqBhU8_DElYkX7l4wRkHqqCUFNJY4AfY3kHU/edit?usp=sharing  #gid=0"",""фіз особи new!relations_name""),6,FALSE)
,
(IF
(
G12632=""юридична особа""
,
VLOO"&amp;"KUP(H12632,IMPORTRANGE(""https://docs.google.com/spreadsheets/d/14Bd19lYaqBhU8_DElYkX7l4wRkHqqCUFNJY4AfY3kHU/edit?usp=sharing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31" s="7" t="s">
        <v>23</v>
      </c>
    </row>
    <row r="12632" spans="1:10" ht="13.2">
      <c r="A12632" s="7">
        <v>12631</v>
      </c>
      <c r="B12632" s="7">
        <v>1</v>
      </c>
      <c r="C12632" s="7" t="s">
        <v>10</v>
      </c>
      <c r="D12632" s="7">
        <v>18270</v>
      </c>
      <c r="E12632" s="7" t="s">
        <v>23</v>
      </c>
      <c r="F12632" s="8" t="str">
        <f ca="1">IFERROR(__xludf.DUMMYFUNCTION("IF
(
C12633=""фізична особа""
,
VLOOKUP(D12633,IMPORTRANGE(""https://docs.google.com/spreadsheets/d/14Bd19lYaqBhU8_DElYkX7l4wRkHqqCUFNJY4AfY3kHU/edit?usp=sharing  #gid=0"",""фіз особи new!relations_name""),6,FALSE)
,
(IF
(
C12633=""юридична особа""
,
VLOO"&amp;"KUP(D12633,IMPORTRANGE(""https://docs.google.com/spreadsheets/d/14Bd19lYaqBhU8_DElYkX7l4wRkHqqCUFNJY4AfY3kHU/edit?usp=sharing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2" s="7" t="s">
        <v>10</v>
      </c>
      <c r="H12632" s="7">
        <v>18266</v>
      </c>
      <c r="I12632" s="8" t="str">
        <f ca="1">IFERROR(__xludf.DUMMYFUNCTION("IF
(
G12633=""фізична особа""
,
VLOOKUP(H12633,IMPORTRANGE(""https://docs.google.com/spreadsheets/d/14Bd19lYaqBhU8_DElYkX7l4wRkHqqCUFNJY4AfY3kHU/edit?usp=sharing  #gid=0"",""фіз особи new!relations_name""),6,FALSE)
,
(IF
(
G12633=""юридична особа""
,
VLOO"&amp;"KUP(H12633,IMPORTRANGE(""https://docs.google.com/spreadsheets/d/14Bd19lYaqBhU8_DElYkX7l4wRkHqqCUFNJY4AfY3kHU/edit?usp=sharing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32" s="7" t="s">
        <v>23</v>
      </c>
    </row>
    <row r="12633" spans="1:10" ht="13.2">
      <c r="A12633" s="7">
        <v>12632</v>
      </c>
      <c r="B12633" s="7">
        <v>1</v>
      </c>
      <c r="C12633" s="7" t="s">
        <v>10</v>
      </c>
      <c r="D12633" s="7">
        <v>18270</v>
      </c>
      <c r="E12633" s="7" t="s">
        <v>23</v>
      </c>
      <c r="F12633" s="8" t="str">
        <f ca="1">IFERROR(__xludf.DUMMYFUNCTION("IF
(
C12634=""фізична особа""
,
VLOOKUP(D12634,IMPORTRANGE(""https://docs.google.com/spreadsheets/d/14Bd19lYaqBhU8_DElYkX7l4wRkHqqCUFNJY4AfY3kHU/edit?usp=sharing  #gid=0"",""фіз особи new!relations_name""),6,FALSE)
,
(IF
(
C12634=""юридична особа""
,
VLOO"&amp;"KUP(D12634,IMPORTRANGE(""https://docs.google.com/spreadsheets/d/14Bd19lYaqBhU8_DElYkX7l4wRkHqqCUFNJY4AfY3kHU/edit?usp=sharing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3" s="7" t="s">
        <v>10</v>
      </c>
      <c r="H12633" s="7">
        <v>18267</v>
      </c>
      <c r="I12633" s="8" t="str">
        <f ca="1">IFERROR(__xludf.DUMMYFUNCTION("IF
(
G12634=""фізична особа""
,
VLOOKUP(H12634,IMPORTRANGE(""https://docs.google.com/spreadsheets/d/14Bd19lYaqBhU8_DElYkX7l4wRkHqqCUFNJY4AfY3kHU/edit?usp=sharing  #gid=0"",""фіз особи new!relations_name""),6,FALSE)
,
(IF
(
G12634=""юридична особа""
,
VLOO"&amp;"KUP(H12634,IMPORTRANGE(""https://docs.google.com/spreadsheets/d/14Bd19lYaqBhU8_DElYkX7l4wRkHqqCUFNJY4AfY3kHU/edit?usp=sharing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33" s="7" t="s">
        <v>23</v>
      </c>
    </row>
    <row r="12634" spans="1:10" ht="13.2">
      <c r="A12634" s="7">
        <v>12633</v>
      </c>
      <c r="B12634" s="7">
        <v>1</v>
      </c>
      <c r="C12634" s="7" t="s">
        <v>10</v>
      </c>
      <c r="D12634" s="7">
        <v>18270</v>
      </c>
      <c r="E12634" s="7" t="s">
        <v>23</v>
      </c>
      <c r="F12634" s="8" t="str">
        <f ca="1">IFERROR(__xludf.DUMMYFUNCTION("IF
(
C12635=""фізична особа""
,
VLOOKUP(D12635,IMPORTRANGE(""https://docs.google.com/spreadsheets/d/14Bd19lYaqBhU8_DElYkX7l4wRkHqqCUFNJY4AfY3kHU/edit?usp=sharing  #gid=0"",""фіз особи new!relations_name""),6,FALSE)
,
(IF
(
C12635=""юридична особа""
,
VLOO"&amp;"KUP(D12635,IMPORTRANGE(""https://docs.google.com/spreadsheets/d/14Bd19lYaqBhU8_DElYkX7l4wRkHqqCUFNJY4AfY3kHU/edit?usp=sharing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4" s="7" t="s">
        <v>10</v>
      </c>
      <c r="H12634" s="7">
        <v>18268</v>
      </c>
      <c r="I12634" s="8" t="str">
        <f ca="1">IFERROR(__xludf.DUMMYFUNCTION("IF
(
G12635=""фізична особа""
,
VLOOKUP(H12635,IMPORTRANGE(""https://docs.google.com/spreadsheets/d/14Bd19lYaqBhU8_DElYkX7l4wRkHqqCUFNJY4AfY3kHU/edit?usp=sharing  #gid=0"",""фіз особи new!relations_name""),6,FALSE)
,
(IF
(
G12635=""юридична особа""
,
VLOO"&amp;"KUP(H12635,IMPORTRANGE(""https://docs.google.com/spreadsheets/d/14Bd19lYaqBhU8_DElYkX7l4wRkHqqCUFNJY4AfY3kHU/edit?usp=sharing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34" s="7" t="s">
        <v>23</v>
      </c>
    </row>
    <row r="12635" spans="1:10" ht="13.2">
      <c r="A12635" s="7">
        <v>12634</v>
      </c>
      <c r="B12635" s="7">
        <v>1</v>
      </c>
      <c r="C12635" s="7" t="s">
        <v>10</v>
      </c>
      <c r="D12635" s="7">
        <v>18270</v>
      </c>
      <c r="E12635" s="7" t="s">
        <v>23</v>
      </c>
      <c r="F12635" s="8" t="str">
        <f ca="1">IFERROR(__xludf.DUMMYFUNCTION("IF
(
C12636=""фізична особа""
,
VLOOKUP(D12636,IMPORTRANGE(""https://docs.google.com/spreadsheets/d/14Bd19lYaqBhU8_DElYkX7l4wRkHqqCUFNJY4AfY3kHU/edit?usp=sharing  #gid=0"",""фіз особи new!relations_name""),6,FALSE)
,
(IF
(
C12636=""юридична особа""
,
VLOO"&amp;"KUP(D12636,IMPORTRANGE(""https://docs.google.com/spreadsheets/d/14Bd19lYaqBhU8_DElYkX7l4wRkHqqCUFNJY4AfY3kHU/edit?usp=sharing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5" s="7" t="s">
        <v>10</v>
      </c>
      <c r="H12635" s="7">
        <v>18269</v>
      </c>
      <c r="I12635" s="8" t="str">
        <f ca="1">IFERROR(__xludf.DUMMYFUNCTION("IF
(
G12636=""фізична особа""
,
VLOOKUP(H12636,IMPORTRANGE(""https://docs.google.com/spreadsheets/d/14Bd19lYaqBhU8_DElYkX7l4wRkHqqCUFNJY4AfY3kHU/edit?usp=sharing  #gid=0"",""фіз особи new!relations_name""),6,FALSE)
,
(IF
(
G12636=""юридична особа""
,
VLOO"&amp;"KUP(H12636,IMPORTRANGE(""https://docs.google.com/spreadsheets/d/14Bd19lYaqBhU8_DElYkX7l4wRkHqqCUFNJY4AfY3kHU/edit?usp=sharing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35" s="7" t="s">
        <v>23</v>
      </c>
    </row>
    <row r="12636" spans="1:10" ht="13.2">
      <c r="A12636" s="7">
        <v>12635</v>
      </c>
      <c r="B12636" s="7">
        <v>1</v>
      </c>
      <c r="C12636" s="7" t="s">
        <v>10</v>
      </c>
      <c r="D12636" s="7">
        <v>18270</v>
      </c>
      <c r="E12636" s="7" t="s">
        <v>23</v>
      </c>
      <c r="F12636" s="8" t="str">
        <f ca="1">IFERROR(__xludf.DUMMYFUNCTION("IF
(
C12637=""фізична особа""
,
VLOOKUP(D12637,IMPORTRANGE(""https://docs.google.com/spreadsheets/d/14Bd19lYaqBhU8_DElYkX7l4wRkHqqCUFNJY4AfY3kHU/edit?usp=sharing  #gid=0"",""фіз особи new!relations_name""),6,FALSE)
,
(IF
(
C12637=""юридична особа""
,
VLOO"&amp;"KUP(D12637,IMPORTRANGE(""https://docs.google.com/spreadsheets/d/14Bd19lYaqBhU8_DElYkX7l4wRkHqqCUFNJY4AfY3kHU/edit?usp=sharing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6" s="7" t="s">
        <v>10</v>
      </c>
      <c r="H12636" s="7">
        <v>18271</v>
      </c>
      <c r="I12636" s="8" t="str">
        <f ca="1">IFERROR(__xludf.DUMMYFUNCTION("IF
(
G12637=""фізична особа""
,
VLOOKUP(H12637,IMPORTRANGE(""https://docs.google.com/spreadsheets/d/14Bd19lYaqBhU8_DElYkX7l4wRkHqqCUFNJY4AfY3kHU/edit?usp=sharing  #gid=0"",""фіз особи new!relations_name""),6,FALSE)
,
(IF
(
G12637=""юридична особа""
,
VLOO"&amp;"KUP(H12637,IMPORTRANGE(""https://docs.google.com/spreadsheets/d/14Bd19lYaqBhU8_DElYkX7l4wRkHqqCUFNJY4AfY3kHU/edit?usp=sharing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36" s="7" t="s">
        <v>23</v>
      </c>
    </row>
    <row r="12637" spans="1:10" ht="13.2">
      <c r="A12637" s="7">
        <v>12636</v>
      </c>
      <c r="B12637" s="7">
        <v>1</v>
      </c>
      <c r="C12637" s="7" t="s">
        <v>10</v>
      </c>
      <c r="D12637" s="7">
        <v>18270</v>
      </c>
      <c r="E12637" s="7" t="s">
        <v>23</v>
      </c>
      <c r="F12637" s="8" t="str">
        <f ca="1">IFERROR(__xludf.DUMMYFUNCTION("IF
(
C12638=""фізична особа""
,
VLOOKUP(D12638,IMPORTRANGE(""https://docs.google.com/spreadsheets/d/14Bd19lYaqBhU8_DElYkX7l4wRkHqqCUFNJY4AfY3kHU/edit?usp=sharing  #gid=0"",""фіз особи new!relations_name""),6,FALSE)
,
(IF
(
C12638=""юридична особа""
,
VLOO"&amp;"KUP(D12638,IMPORTRANGE(""https://docs.google.com/spreadsheets/d/14Bd19lYaqBhU8_DElYkX7l4wRkHqqCUFNJY4AfY3kHU/edit?usp=sharing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G12637" s="7" t="s">
        <v>10</v>
      </c>
      <c r="H12637" s="7">
        <v>18272</v>
      </c>
      <c r="I12637" s="8" t="str">
        <f ca="1">IFERROR(__xludf.DUMMYFUNCTION("IF
(
G12638=""фізична особа""
,
VLOOKUP(H12638,IMPORTRANGE(""https://docs.google.com/spreadsheets/d/14Bd19lYaqBhU8_DElYkX7l4wRkHqqCUFNJY4AfY3kHU/edit?usp=sharing  #gid=0"",""фіз особи new!relations_name""),6,FALSE)
,
(IF
(
G12638=""юридична особа""
,
VLOO"&amp;"KUP(H12638,IMPORTRANGE(""https://docs.google.com/spreadsheets/d/14Bd19lYaqBhU8_DElYkX7l4wRkHqqCUFNJY4AfY3kHU/edit?usp=sharing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37" s="7" t="s">
        <v>23</v>
      </c>
    </row>
    <row r="12638" spans="1:10" ht="13.2">
      <c r="A12638" s="7">
        <v>12637</v>
      </c>
      <c r="B12638" s="7">
        <v>1</v>
      </c>
      <c r="C12638" s="7" t="s">
        <v>10</v>
      </c>
      <c r="D12638" s="7">
        <v>18271</v>
      </c>
      <c r="E12638" s="7" t="s">
        <v>23</v>
      </c>
      <c r="F12638" s="8" t="str">
        <f ca="1">IFERROR(__xludf.DUMMYFUNCTION("IF
(
C12639=""фізична особа""
,
VLOOKUP(D12639,IMPORTRANGE(""https://docs.google.com/spreadsheets/d/14Bd19lYaqBhU8_DElYkX7l4wRkHqqCUFNJY4AfY3kHU/edit?usp=sharing  #gid=0"",""фіз особи new!relations_name""),6,FALSE)
,
(IF
(
C12639=""юридична особа""
,
VLOO"&amp;"KUP(D12639,IMPORTRANGE(""https://docs.google.com/spreadsheets/d/14Bd19lYaqBhU8_DElYkX7l4wRkHqqCUFNJY4AfY3kHU/edit?usp=sharing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38" s="7" t="s">
        <v>10</v>
      </c>
      <c r="H12638" s="7">
        <v>18266</v>
      </c>
      <c r="I12638" s="8" t="str">
        <f ca="1">IFERROR(__xludf.DUMMYFUNCTION("IF
(
G12639=""фізична особа""
,
VLOOKUP(H12639,IMPORTRANGE(""https://docs.google.com/spreadsheets/d/14Bd19lYaqBhU8_DElYkX7l4wRkHqqCUFNJY4AfY3kHU/edit?usp=sharing  #gid=0"",""фіз особи new!relations_name""),6,FALSE)
,
(IF
(
G12639=""юридична особа""
,
VLOO"&amp;"KUP(H12639,IMPORTRANGE(""https://docs.google.com/spreadsheets/d/14Bd19lYaqBhU8_DElYkX7l4wRkHqqCUFNJY4AfY3kHU/edit?usp=sharing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38" s="7" t="s">
        <v>23</v>
      </c>
    </row>
    <row r="12639" spans="1:10" ht="13.2">
      <c r="A12639" s="7">
        <v>12638</v>
      </c>
      <c r="B12639" s="7">
        <v>1</v>
      </c>
      <c r="C12639" s="7" t="s">
        <v>10</v>
      </c>
      <c r="D12639" s="7">
        <v>18271</v>
      </c>
      <c r="E12639" s="7" t="s">
        <v>23</v>
      </c>
      <c r="F12639" s="8" t="str">
        <f ca="1">IFERROR(__xludf.DUMMYFUNCTION("IF
(
C12640=""фізична особа""
,
VLOOKUP(D12640,IMPORTRANGE(""https://docs.google.com/spreadsheets/d/14Bd19lYaqBhU8_DElYkX7l4wRkHqqCUFNJY4AfY3kHU/edit?usp=sharing  #gid=0"",""фіз особи new!relations_name""),6,FALSE)
,
(IF
(
C12640=""юридична особа""
,
VLOO"&amp;"KUP(D12640,IMPORTRANGE(""https://docs.google.com/spreadsheets/d/14Bd19lYaqBhU8_DElYkX7l4wRkHqqCUFNJY4AfY3kHU/edit?usp=sharing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39" s="7" t="s">
        <v>10</v>
      </c>
      <c r="H12639" s="7">
        <v>18267</v>
      </c>
      <c r="I12639" s="8" t="str">
        <f ca="1">IFERROR(__xludf.DUMMYFUNCTION("IF
(
G12640=""фізична особа""
,
VLOOKUP(H12640,IMPORTRANGE(""https://docs.google.com/spreadsheets/d/14Bd19lYaqBhU8_DElYkX7l4wRkHqqCUFNJY4AfY3kHU/edit?usp=sharing  #gid=0"",""фіз особи new!relations_name""),6,FALSE)
,
(IF
(
G12640=""юридична особа""
,
VLOO"&amp;"KUP(H12640,IMPORTRANGE(""https://docs.google.com/spreadsheets/d/14Bd19lYaqBhU8_DElYkX7l4wRkHqqCUFNJY4AfY3kHU/edit?usp=sharing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39" s="7" t="s">
        <v>23</v>
      </c>
    </row>
    <row r="12640" spans="1:10" ht="13.2">
      <c r="A12640" s="7">
        <v>12639</v>
      </c>
      <c r="B12640" s="7">
        <v>1</v>
      </c>
      <c r="C12640" s="7" t="s">
        <v>10</v>
      </c>
      <c r="D12640" s="7">
        <v>18271</v>
      </c>
      <c r="E12640" s="7" t="s">
        <v>23</v>
      </c>
      <c r="F12640" s="8" t="str">
        <f ca="1">IFERROR(__xludf.DUMMYFUNCTION("IF
(
C12641=""фізична особа""
,
VLOOKUP(D12641,IMPORTRANGE(""https://docs.google.com/spreadsheets/d/14Bd19lYaqBhU8_DElYkX7l4wRkHqqCUFNJY4AfY3kHU/edit?usp=sharing  #gid=0"",""фіз особи new!relations_name""),6,FALSE)
,
(IF
(
C12641=""юридична особа""
,
VLOO"&amp;"KUP(D12641,IMPORTRANGE(""https://docs.google.com/spreadsheets/d/14Bd19lYaqBhU8_DElYkX7l4wRkHqqCUFNJY4AfY3kHU/edit?usp=sharing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40" s="7" t="s">
        <v>10</v>
      </c>
      <c r="H12640" s="7">
        <v>18268</v>
      </c>
      <c r="I12640" s="8" t="str">
        <f ca="1">IFERROR(__xludf.DUMMYFUNCTION("IF
(
G12641=""фізична особа""
,
VLOOKUP(H12641,IMPORTRANGE(""https://docs.google.com/spreadsheets/d/14Bd19lYaqBhU8_DElYkX7l4wRkHqqCUFNJY4AfY3kHU/edit?usp=sharing  #gid=0"",""фіз особи new!relations_name""),6,FALSE)
,
(IF
(
G12641=""юридична особа""
,
VLOO"&amp;"KUP(H12641,IMPORTRANGE(""https://docs.google.com/spreadsheets/d/14Bd19lYaqBhU8_DElYkX7l4wRkHqqCUFNJY4AfY3kHU/edit?usp=sharing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40" s="7" t="s">
        <v>23</v>
      </c>
    </row>
    <row r="12641" spans="1:10" ht="13.2">
      <c r="A12641" s="7">
        <v>12640</v>
      </c>
      <c r="B12641" s="7">
        <v>1</v>
      </c>
      <c r="C12641" s="7" t="s">
        <v>10</v>
      </c>
      <c r="D12641" s="7">
        <v>18271</v>
      </c>
      <c r="E12641" s="7" t="s">
        <v>23</v>
      </c>
      <c r="F12641" s="8" t="str">
        <f ca="1">IFERROR(__xludf.DUMMYFUNCTION("IF
(
C12642=""фізична особа""
,
VLOOKUP(D12642,IMPORTRANGE(""https://docs.google.com/spreadsheets/d/14Bd19lYaqBhU8_DElYkX7l4wRkHqqCUFNJY4AfY3kHU/edit?usp=sharing  #gid=0"",""фіз особи new!relations_name""),6,FALSE)
,
(IF
(
C12642=""юридична особа""
,
VLOO"&amp;"KUP(D12642,IMPORTRANGE(""https://docs.google.com/spreadsheets/d/14Bd19lYaqBhU8_DElYkX7l4wRkHqqCUFNJY4AfY3kHU/edit?usp=sharing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41" s="7" t="s">
        <v>10</v>
      </c>
      <c r="H12641" s="7">
        <v>18269</v>
      </c>
      <c r="I12641" s="8" t="str">
        <f ca="1">IFERROR(__xludf.DUMMYFUNCTION("IF
(
G12642=""фізична особа""
,
VLOOKUP(H12642,IMPORTRANGE(""https://docs.google.com/spreadsheets/d/14Bd19lYaqBhU8_DElYkX7l4wRkHqqCUFNJY4AfY3kHU/edit?usp=sharing  #gid=0"",""фіз особи new!relations_name""),6,FALSE)
,
(IF
(
G12642=""юридична особа""
,
VLOO"&amp;"KUP(H12642,IMPORTRANGE(""https://docs.google.com/spreadsheets/d/14Bd19lYaqBhU8_DElYkX7l4wRkHqqCUFNJY4AfY3kHU/edit?usp=sharing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41" s="7" t="s">
        <v>23</v>
      </c>
    </row>
    <row r="12642" spans="1:10" ht="13.2">
      <c r="A12642" s="7">
        <v>12641</v>
      </c>
      <c r="B12642" s="7">
        <v>1</v>
      </c>
      <c r="C12642" s="7" t="s">
        <v>10</v>
      </c>
      <c r="D12642" s="7">
        <v>18271</v>
      </c>
      <c r="E12642" s="7" t="s">
        <v>23</v>
      </c>
      <c r="F12642" s="8" t="str">
        <f ca="1">IFERROR(__xludf.DUMMYFUNCTION("IF
(
C12643=""фізична особа""
,
VLOOKUP(D12643,IMPORTRANGE(""https://docs.google.com/spreadsheets/d/14Bd19lYaqBhU8_DElYkX7l4wRkHqqCUFNJY4AfY3kHU/edit?usp=sharing  #gid=0"",""фіз особи new!relations_name""),6,FALSE)
,
(IF
(
C12643=""юридична особа""
,
VLOO"&amp;"KUP(D12643,IMPORTRANGE(""https://docs.google.com/spreadsheets/d/14Bd19lYaqBhU8_DElYkX7l4wRkHqqCUFNJY4AfY3kHU/edit?usp=sharing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42" s="7" t="s">
        <v>10</v>
      </c>
      <c r="H12642" s="7">
        <v>18270</v>
      </c>
      <c r="I12642" s="8" t="str">
        <f ca="1">IFERROR(__xludf.DUMMYFUNCTION("IF
(
G12643=""фізична особа""
,
VLOOKUP(H12643,IMPORTRANGE(""https://docs.google.com/spreadsheets/d/14Bd19lYaqBhU8_DElYkX7l4wRkHqqCUFNJY4AfY3kHU/edit?usp=sharing  #gid=0"",""фіз особи new!relations_name""),6,FALSE)
,
(IF
(
G12643=""юридична особа""
,
VLOO"&amp;"KUP(H12643,IMPORTRANGE(""https://docs.google.com/spreadsheets/d/14Bd19lYaqBhU8_DElYkX7l4wRkHqqCUFNJY4AfY3kHU/edit?usp=sharing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42" s="7" t="s">
        <v>23</v>
      </c>
    </row>
    <row r="12643" spans="1:10" ht="13.2">
      <c r="A12643" s="7">
        <v>12642</v>
      </c>
      <c r="B12643" s="7">
        <v>1</v>
      </c>
      <c r="C12643" s="7" t="s">
        <v>10</v>
      </c>
      <c r="D12643" s="7">
        <v>18271</v>
      </c>
      <c r="E12643" s="7" t="s">
        <v>23</v>
      </c>
      <c r="F12643" s="8" t="str">
        <f ca="1">IFERROR(__xludf.DUMMYFUNCTION("IF
(
C12644=""фізична особа""
,
VLOOKUP(D12644,IMPORTRANGE(""https://docs.google.com/spreadsheets/d/14Bd19lYaqBhU8_DElYkX7l4wRkHqqCUFNJY4AfY3kHU/edit?usp=sharing  #gid=0"",""фіз особи new!relations_name""),6,FALSE)
,
(IF
(
C12644=""юридична особа""
,
VLOO"&amp;"KUP(D12644,IMPORTRANGE(""https://docs.google.com/spreadsheets/d/14Bd19lYaqBhU8_DElYkX7l4wRkHqqCUFNJY4AfY3kHU/edit?usp=sharing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G12643" s="7" t="s">
        <v>10</v>
      </c>
      <c r="H12643" s="7">
        <v>18272</v>
      </c>
      <c r="I12643" s="8" t="str">
        <f ca="1">IFERROR(__xludf.DUMMYFUNCTION("IF
(
G12644=""фізична особа""
,
VLOOKUP(H12644,IMPORTRANGE(""https://docs.google.com/spreadsheets/d/14Bd19lYaqBhU8_DElYkX7l4wRkHqqCUFNJY4AfY3kHU/edit?usp=sharing  #gid=0"",""фіз особи new!relations_name""),6,FALSE)
,
(IF
(
G12644=""юридична особа""
,
VLOO"&amp;"KUP(H12644,IMPORTRANGE(""https://docs.google.com/spreadsheets/d/14Bd19lYaqBhU8_DElYkX7l4wRkHqqCUFNJY4AfY3kHU/edit?usp=sharing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J12643" s="7" t="s">
        <v>23</v>
      </c>
    </row>
    <row r="12644" spans="1:10" ht="13.2">
      <c r="A12644" s="7">
        <v>12643</v>
      </c>
      <c r="B12644" s="7">
        <v>1</v>
      </c>
      <c r="C12644" s="7" t="s">
        <v>10</v>
      </c>
      <c r="D12644" s="7">
        <v>18272</v>
      </c>
      <c r="E12644" s="7" t="s">
        <v>23</v>
      </c>
      <c r="F12644" s="8" t="str">
        <f ca="1">IFERROR(__xludf.DUMMYFUNCTION("IF
(
C12645=""фізична особа""
,
VLOOKUP(D12645,IMPORTRANGE(""https://docs.google.com/spreadsheets/d/14Bd19lYaqBhU8_DElYkX7l4wRkHqqCUFNJY4AfY3kHU/edit?usp=sharing  #gid=0"",""фіз особи new!relations_name""),6,FALSE)
,
(IF
(
C12645=""юридична особа""
,
VLOO"&amp;"KUP(D12645,IMPORTRANGE(""https://docs.google.com/spreadsheets/d/14Bd19lYaqBhU8_DElYkX7l4wRkHqqCUFNJY4AfY3kHU/edit?usp=sharing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4" s="7" t="s">
        <v>10</v>
      </c>
      <c r="H12644" s="7">
        <v>18266</v>
      </c>
      <c r="I12644" s="8" t="str">
        <f ca="1">IFERROR(__xludf.DUMMYFUNCTION("IF
(
G12645=""фізична особа""
,
VLOOKUP(H12645,IMPORTRANGE(""https://docs.google.com/spreadsheets/d/14Bd19lYaqBhU8_DElYkX7l4wRkHqqCUFNJY4AfY3kHU/edit?usp=sharing  #gid=0"",""фіз особи new!relations_name""),6,FALSE)
,
(IF
(
G12645=""юридична особа""
,
VLOO"&amp;"KUP(H12645,IMPORTRANGE(""https://docs.google.com/spreadsheets/d/14Bd19lYaqBhU8_DElYkX7l4wRkHqqCUFNJY4AfY3kHU/edit?usp=sharing  #gid=0"",""фіз особи new!relations_name_uo""),7,FALSE)
,
)
))"),"ТЕРЕХІНА Олена Сергіївна")</f>
        <v>ТЕРЕХІНА Олена Сергіївна</v>
      </c>
      <c r="J12644" s="7" t="s">
        <v>23</v>
      </c>
    </row>
    <row r="12645" spans="1:10" ht="13.2">
      <c r="A12645" s="7">
        <v>12644</v>
      </c>
      <c r="B12645" s="7">
        <v>1</v>
      </c>
      <c r="C12645" s="7" t="s">
        <v>10</v>
      </c>
      <c r="D12645" s="7">
        <v>18272</v>
      </c>
      <c r="E12645" s="7" t="s">
        <v>23</v>
      </c>
      <c r="F12645" s="8" t="str">
        <f ca="1">IFERROR(__xludf.DUMMYFUNCTION("IF
(
C12646=""фізична особа""
,
VLOOKUP(D12646,IMPORTRANGE(""https://docs.google.com/spreadsheets/d/14Bd19lYaqBhU8_DElYkX7l4wRkHqqCUFNJY4AfY3kHU/edit?usp=sharing  #gid=0"",""фіз особи new!relations_name""),6,FALSE)
,
(IF
(
C12646=""юридична особа""
,
VLOO"&amp;"KUP(D12646,IMPORTRANGE(""https://docs.google.com/spreadsheets/d/14Bd19lYaqBhU8_DElYkX7l4wRkHqqCUFNJY4AfY3kHU/edit?usp=sharing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5" s="7" t="s">
        <v>10</v>
      </c>
      <c r="H12645" s="7">
        <v>18267</v>
      </c>
      <c r="I12645" s="8" t="str">
        <f ca="1">IFERROR(__xludf.DUMMYFUNCTION("IF
(
G12646=""фізична особа""
,
VLOOKUP(H12646,IMPORTRANGE(""https://docs.google.com/spreadsheets/d/14Bd19lYaqBhU8_DElYkX7l4wRkHqqCUFNJY4AfY3kHU/edit?usp=sharing  #gid=0"",""фіз особи new!relations_name""),6,FALSE)
,
(IF
(
G12646=""юридична особа""
,
VLOO"&amp;"KUP(H12646,IMPORTRANGE(""https://docs.google.com/spreadsheets/d/14Bd19lYaqBhU8_DElYkX7l4wRkHqqCUFNJY4AfY3kHU/edit?usp=sharing  #gid=0"",""фіз особи new!relations_name_uo""),7,FALSE)
,
)
))"),"АБРАМОВ Максим Михайлович")</f>
        <v>АБРАМОВ Максим Михайлович</v>
      </c>
      <c r="J12645" s="7" t="s">
        <v>23</v>
      </c>
    </row>
    <row r="12646" spans="1:10" ht="13.2">
      <c r="A12646" s="7">
        <v>12645</v>
      </c>
      <c r="B12646" s="7">
        <v>1</v>
      </c>
      <c r="C12646" s="7" t="s">
        <v>10</v>
      </c>
      <c r="D12646" s="7">
        <v>18272</v>
      </c>
      <c r="E12646" s="7" t="s">
        <v>23</v>
      </c>
      <c r="F12646" s="8" t="str">
        <f ca="1">IFERROR(__xludf.DUMMYFUNCTION("IF
(
C12647=""фізична особа""
,
VLOOKUP(D12647,IMPORTRANGE(""https://docs.google.com/spreadsheets/d/14Bd19lYaqBhU8_DElYkX7l4wRkHqqCUFNJY4AfY3kHU/edit?usp=sharing  #gid=0"",""фіз особи new!relations_name""),6,FALSE)
,
(IF
(
C12647=""юридична особа""
,
VLOO"&amp;"KUP(D12647,IMPORTRANGE(""https://docs.google.com/spreadsheets/d/14Bd19lYaqBhU8_DElYkX7l4wRkHqqCUFNJY4AfY3kHU/edit?usp=sharing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6" s="7" t="s">
        <v>10</v>
      </c>
      <c r="H12646" s="7">
        <v>18268</v>
      </c>
      <c r="I12646" s="8" t="str">
        <f ca="1">IFERROR(__xludf.DUMMYFUNCTION("IF
(
G12647=""фізична особа""
,
VLOOKUP(H12647,IMPORTRANGE(""https://docs.google.com/spreadsheets/d/14Bd19lYaqBhU8_DElYkX7l4wRkHqqCUFNJY4AfY3kHU/edit?usp=sharing  #gid=0"",""фіз особи new!relations_name""),6,FALSE)
,
(IF
(
G12647=""юридична особа""
,
VLOO"&amp;"KUP(H12647,IMPORTRANGE(""https://docs.google.com/spreadsheets/d/14Bd19lYaqBhU8_DElYkX7l4wRkHqqCUFNJY4AfY3kHU/edit?usp=sharing  #gid=0"",""фіз особи new!relations_name_uo""),7,FALSE)
,
)
))"),"БІЗІНА Наталія Олександрівна")</f>
        <v>БІЗІНА Наталія Олександрівна</v>
      </c>
      <c r="J12646" s="7" t="s">
        <v>23</v>
      </c>
    </row>
    <row r="12647" spans="1:10" ht="13.2">
      <c r="A12647" s="7">
        <v>12646</v>
      </c>
      <c r="B12647" s="7">
        <v>1</v>
      </c>
      <c r="C12647" s="7" t="s">
        <v>10</v>
      </c>
      <c r="D12647" s="7">
        <v>18272</v>
      </c>
      <c r="E12647" s="7" t="s">
        <v>23</v>
      </c>
      <c r="F12647" s="8" t="str">
        <f ca="1">IFERROR(__xludf.DUMMYFUNCTION("IF
(
C12648=""фізична особа""
,
VLOOKUP(D12648,IMPORTRANGE(""https://docs.google.com/spreadsheets/d/14Bd19lYaqBhU8_DElYkX7l4wRkHqqCUFNJY4AfY3kHU/edit?usp=sharing  #gid=0"",""фіз особи new!relations_name""),6,FALSE)
,
(IF
(
C12648=""юридична особа""
,
VLOO"&amp;"KUP(D12648,IMPORTRANGE(""https://docs.google.com/spreadsheets/d/14Bd19lYaqBhU8_DElYkX7l4wRkHqqCUFNJY4AfY3kHU/edit?usp=sharing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7" s="7" t="s">
        <v>10</v>
      </c>
      <c r="H12647" s="7">
        <v>18269</v>
      </c>
      <c r="I12647" s="8" t="str">
        <f ca="1">IFERROR(__xludf.DUMMYFUNCTION("IF
(
G12648=""фізична особа""
,
VLOOKUP(H12648,IMPORTRANGE(""https://docs.google.com/spreadsheets/d/14Bd19lYaqBhU8_DElYkX7l4wRkHqqCUFNJY4AfY3kHU/edit?usp=sharing  #gid=0"",""фіз особи new!relations_name""),6,FALSE)
,
(IF
(
G12648=""юридична особа""
,
VLOO"&amp;"KUP(H12648,IMPORTRANGE(""https://docs.google.com/spreadsheets/d/14Bd19lYaqBhU8_DElYkX7l4wRkHqqCUFNJY4AfY3kHU/edit?usp=sharing  #gid=0"",""фіз особи new!relations_name_uo""),7,FALSE)
,
)
))"),"ВАСИЛЬЄВ Олексій Віталійович")</f>
        <v>ВАСИЛЬЄВ Олексій Віталійович</v>
      </c>
      <c r="J12647" s="7" t="s">
        <v>23</v>
      </c>
    </row>
    <row r="12648" spans="1:10" ht="13.2">
      <c r="A12648" s="7">
        <v>12647</v>
      </c>
      <c r="B12648" s="7">
        <v>1</v>
      </c>
      <c r="C12648" s="7" t="s">
        <v>10</v>
      </c>
      <c r="D12648" s="7">
        <v>18272</v>
      </c>
      <c r="E12648" s="7" t="s">
        <v>23</v>
      </c>
      <c r="F12648" s="8" t="str">
        <f ca="1">IFERROR(__xludf.DUMMYFUNCTION("IF
(
C12649=""фізична особа""
,
VLOOKUP(D12649,IMPORTRANGE(""https://docs.google.com/spreadsheets/d/14Bd19lYaqBhU8_DElYkX7l4wRkHqqCUFNJY4AfY3kHU/edit?usp=sharing  #gid=0"",""фіз особи new!relations_name""),6,FALSE)
,
(IF
(
C12649=""юридична особа""
,
VLOO"&amp;"KUP(D12649,IMPORTRANGE(""https://docs.google.com/spreadsheets/d/14Bd19lYaqBhU8_DElYkX7l4wRkHqqCUFNJY4AfY3kHU/edit?usp=sharing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8" s="7" t="s">
        <v>10</v>
      </c>
      <c r="H12648" s="7">
        <v>18270</v>
      </c>
      <c r="I12648" s="8" t="str">
        <f ca="1">IFERROR(__xludf.DUMMYFUNCTION("IF
(
G12649=""фізична особа""
,
VLOOKUP(H12649,IMPORTRANGE(""https://docs.google.com/spreadsheets/d/14Bd19lYaqBhU8_DElYkX7l4wRkHqqCUFNJY4AfY3kHU/edit?usp=sharing  #gid=0"",""фіз особи new!relations_name""),6,FALSE)
,
(IF
(
G12649=""юридична особа""
,
VLOO"&amp;"KUP(H12649,IMPORTRANGE(""https://docs.google.com/spreadsheets/d/14Bd19lYaqBhU8_DElYkX7l4wRkHqqCUFNJY4AfY3kHU/edit?usp=sharing  #gid=0"",""фіз особи new!relations_name_uo""),7,FALSE)
,
)
))"),"ЗАГОРСЬКИЙ Андрій Олегович")</f>
        <v>ЗАГОРСЬКИЙ Андрій Олегович</v>
      </c>
      <c r="J12648" s="7" t="s">
        <v>23</v>
      </c>
    </row>
    <row r="12649" spans="1:10" ht="13.2">
      <c r="A12649" s="7">
        <v>12648</v>
      </c>
      <c r="B12649" s="7">
        <v>1</v>
      </c>
      <c r="C12649" s="7" t="s">
        <v>10</v>
      </c>
      <c r="D12649" s="7">
        <v>18272</v>
      </c>
      <c r="E12649" s="7" t="s">
        <v>23</v>
      </c>
      <c r="F12649" s="8" t="str">
        <f ca="1">IFERROR(__xludf.DUMMYFUNCTION("IF
(
C12650=""фізична особа""
,
VLOOKUP(D12650,IMPORTRANGE(""https://docs.google.com/spreadsheets/d/14Bd19lYaqBhU8_DElYkX7l4wRkHqqCUFNJY4AfY3kHU/edit?usp=sharing  #gid=0"",""фіз особи new!relations_name""),6,FALSE)
,
(IF
(
C12650=""юридична особа""
,
VLOO"&amp;"KUP(D12650,IMPORTRANGE(""https://docs.google.com/spreadsheets/d/14Bd19lYaqBhU8_DElYkX7l4wRkHqqCUFNJY4AfY3kHU/edit?usp=sharing  #gid=0"",""фіз особи new!relations_name_uo""),7,FALSE)
,
)
))"),"ФІЛАТОВ Іван Олександрович")</f>
        <v>ФІЛАТОВ Іван Олександрович</v>
      </c>
      <c r="G12649" s="7" t="s">
        <v>10</v>
      </c>
      <c r="H12649" s="7">
        <v>18271</v>
      </c>
      <c r="I12649" s="8" t="str">
        <f ca="1">IFERROR(__xludf.DUMMYFUNCTION("IF
(
G12650=""фізична особа""
,
VLOOKUP(H12650,IMPORTRANGE(""https://docs.google.com/spreadsheets/d/14Bd19lYaqBhU8_DElYkX7l4wRkHqqCUFNJY4AfY3kHU/edit?usp=sharing  #gid=0"",""фіз особи new!relations_name""),6,FALSE)
,
(IF
(
G12650=""юридична особа""
,
VLOO"&amp;"KUP(H12650,IMPORTRANGE(""https://docs.google.com/spreadsheets/d/14Bd19lYaqBhU8_DElYkX7l4wRkHqqCUFNJY4AfY3kHU/edit?usp=sharing  #gid=0"",""фіз особи new!relations_name_uo""),7,FALSE)
,
)
))"),"КОСЕНКОВА Ірина Олександрівна")</f>
        <v>КОСЕНКОВА Ірина Олександрівна</v>
      </c>
      <c r="J12649" s="7" t="s">
        <v>23</v>
      </c>
    </row>
    <row r="12650" spans="1:10" ht="13.2">
      <c r="A12650" s="7">
        <v>12649</v>
      </c>
      <c r="B12650" s="7">
        <v>1</v>
      </c>
      <c r="C12650" s="7" t="s">
        <v>10</v>
      </c>
      <c r="D12650" s="7">
        <v>18273</v>
      </c>
      <c r="E12650" s="7" t="s">
        <v>23</v>
      </c>
      <c r="F12650" s="8" t="str">
        <f ca="1">IFERROR(__xludf.DUMMYFUNCTION("IF
(
C12651=""фізична особа""
,
VLOOKUP(D12651,IMPORTRANGE(""https://docs.google.com/spreadsheets/d/14Bd19lYaqBhU8_DElYkX7l4wRkHqqCUFNJY4AfY3kHU/edit?usp=sharing  #gid=0"",""фіз особи new!relations_name""),6,FALSE)
,
(IF
(
C12651=""юридична особа""
,
VLOO"&amp;"KUP(D12651,IMPORTRANGE(""https://docs.google.com/spreadsheets/d/14Bd19lYaqBhU8_DElYkX7l4wRkHqqCUFNJY4AfY3kHU/edit?usp=sharing  #gid=0"",""фіз особи new!relations_name_uo""),7,FALSE)
,
)
))"),"ЛЮ Веньюн")</f>
        <v>ЛЮ Веньюн</v>
      </c>
      <c r="G12650" s="7" t="s">
        <v>10</v>
      </c>
      <c r="H12650" s="7">
        <v>18274</v>
      </c>
      <c r="I12650" s="8" t="str">
        <f ca="1">IFERROR(__xludf.DUMMYFUNCTION("IF
(
G12651=""фізична особа""
,
VLOOKUP(H12651,IMPORTRANGE(""https://docs.google.com/spreadsheets/d/14Bd19lYaqBhU8_DElYkX7l4wRkHqqCUFNJY4AfY3kHU/edit?usp=sharing  #gid=0"",""фіз особи new!relations_name""),6,FALSE)
,
(IF
(
G12651=""юридична особа""
,
VLOO"&amp;"KUP(H12651,IMPORTRANGE(""https://docs.google.com/spreadsheets/d/14Bd19lYaqBhU8_DElYkX7l4wRkHqqCUFNJY4AfY3kHU/edit?usp=sharing  #gid=0"",""фіз особи new!relations_name_uo""),7,FALSE)
,
)
))"),"ВАН Сінь")</f>
        <v>ВАН Сінь</v>
      </c>
      <c r="J12650" s="7" t="s">
        <v>23</v>
      </c>
    </row>
    <row r="12651" spans="1:10" ht="13.2">
      <c r="A12651" s="7">
        <v>12650</v>
      </c>
      <c r="B12651" s="7">
        <v>1</v>
      </c>
      <c r="C12651" s="7" t="s">
        <v>10</v>
      </c>
      <c r="D12651" s="7">
        <v>18273</v>
      </c>
      <c r="E12651" s="7" t="s">
        <v>23</v>
      </c>
      <c r="F12651" s="8" t="str">
        <f ca="1">IFERROR(__xludf.DUMMYFUNCTION("IF
(
C12652=""фізична особа""
,
VLOOKUP(D12652,IMPORTRANGE(""https://docs.google.com/spreadsheets/d/14Bd19lYaqBhU8_DElYkX7l4wRkHqqCUFNJY4AfY3kHU/edit?usp=sharing  #gid=0"",""фіз особи new!relations_name""),6,FALSE)
,
(IF
(
C12652=""юридична особа""
,
VLOO"&amp;"KUP(D12652,IMPORTRANGE(""https://docs.google.com/spreadsheets/d/14Bd19lYaqBhU8_DElYkX7l4wRkHqqCUFNJY4AfY3kHU/edit?usp=sharing  #gid=0"",""фіз особи new!relations_name_uo""),7,FALSE)
,
)
))"),"ЛЮ Веньюн")</f>
        <v>ЛЮ Веньюн</v>
      </c>
      <c r="G12651" s="7" t="s">
        <v>10</v>
      </c>
      <c r="H12651" s="7">
        <v>18275</v>
      </c>
      <c r="I12651" s="8" t="str">
        <f ca="1">IFERROR(__xludf.DUMMYFUNCTION("IF
(
G12652=""фізична особа""
,
VLOOKUP(H12652,IMPORTRANGE(""https://docs.google.com/spreadsheets/d/14Bd19lYaqBhU8_DElYkX7l4wRkHqqCUFNJY4AfY3kHU/edit?usp=sharing  #gid=0"",""фіз особи new!relations_name""),6,FALSE)
,
(IF
(
G12652=""юридична особа""
,
VLOO"&amp;"KUP(H12652,IMPORTRANGE(""https://docs.google.com/spreadsheets/d/14Bd19lYaqBhU8_DElYkX7l4wRkHqqCUFNJY4AfY3kHU/edit?usp=sharing  #gid=0"",""фіз особи new!relations_name_uo""),7,FALSE)
,
)
))"),"ГАО Жун")</f>
        <v>ГАО Жун</v>
      </c>
      <c r="J12651" s="7" t="s">
        <v>23</v>
      </c>
    </row>
    <row r="12652" spans="1:10" ht="13.2">
      <c r="A12652" s="7">
        <v>12651</v>
      </c>
      <c r="B12652" s="7">
        <v>1</v>
      </c>
      <c r="C12652" s="7" t="s">
        <v>10</v>
      </c>
      <c r="D12652" s="7">
        <v>18274</v>
      </c>
      <c r="E12652" s="7" t="s">
        <v>23</v>
      </c>
      <c r="F12652" s="8" t="str">
        <f ca="1">IFERROR(__xludf.DUMMYFUNCTION("IF
(
C12653=""фізична особа""
,
VLOOKUP(D12653,IMPORTRANGE(""https://docs.google.com/spreadsheets/d/14Bd19lYaqBhU8_DElYkX7l4wRkHqqCUFNJY4AfY3kHU/edit?usp=sharing  #gid=0"",""фіз особи new!relations_name""),6,FALSE)
,
(IF
(
C12653=""юридична особа""
,
VLOO"&amp;"KUP(D12653,IMPORTRANGE(""https://docs.google.com/spreadsheets/d/14Bd19lYaqBhU8_DElYkX7l4wRkHqqCUFNJY4AfY3kHU/edit?usp=sharing  #gid=0"",""фіз особи new!relations_name_uo""),7,FALSE)
,
)
))"),"ВАН Сінь")</f>
        <v>ВАН Сінь</v>
      </c>
      <c r="G12652" s="7" t="s">
        <v>10</v>
      </c>
      <c r="H12652" s="7">
        <v>18273</v>
      </c>
      <c r="I12652" s="8" t="str">
        <f ca="1">IFERROR(__xludf.DUMMYFUNCTION("IF
(
G12653=""фізична особа""
,
VLOOKUP(H12653,IMPORTRANGE(""https://docs.google.com/spreadsheets/d/14Bd19lYaqBhU8_DElYkX7l4wRkHqqCUFNJY4AfY3kHU/edit?usp=sharing  #gid=0"",""фіз особи new!relations_name""),6,FALSE)
,
(IF
(
G12653=""юридична особа""
,
VLOO"&amp;"KUP(H12653,IMPORTRANGE(""https://docs.google.com/spreadsheets/d/14Bd19lYaqBhU8_DElYkX7l4wRkHqqCUFNJY4AfY3kHU/edit?usp=sharing  #gid=0"",""фіз особи new!relations_name_uo""),7,FALSE)
,
)
))"),"ЛЮ Веньюн")</f>
        <v>ЛЮ Веньюн</v>
      </c>
      <c r="J12652" s="7" t="s">
        <v>23</v>
      </c>
    </row>
    <row r="12653" spans="1:10" ht="13.2">
      <c r="A12653" s="7">
        <v>12652</v>
      </c>
      <c r="B12653" s="7">
        <v>1</v>
      </c>
      <c r="C12653" s="7" t="s">
        <v>10</v>
      </c>
      <c r="D12653" s="7">
        <v>18274</v>
      </c>
      <c r="E12653" s="7" t="s">
        <v>23</v>
      </c>
      <c r="F12653" s="8" t="str">
        <f ca="1">IFERROR(__xludf.DUMMYFUNCTION("IF
(
C12654=""фізична особа""
,
VLOOKUP(D12654,IMPORTRANGE(""https://docs.google.com/spreadsheets/d/14Bd19lYaqBhU8_DElYkX7l4wRkHqqCUFNJY4AfY3kHU/edit?usp=sharing  #gid=0"",""фіз особи new!relations_name""),6,FALSE)
,
(IF
(
C12654=""юридична особа""
,
VLOO"&amp;"KUP(D12654,IMPORTRANGE(""https://docs.google.com/spreadsheets/d/14Bd19lYaqBhU8_DElYkX7l4wRkHqqCUFNJY4AfY3kHU/edit?usp=sharing  #gid=0"",""фіз особи new!relations_name_uo""),7,FALSE)
,
)
))"),"ВАН Сінь")</f>
        <v>ВАН Сінь</v>
      </c>
      <c r="G12653" s="7" t="s">
        <v>10</v>
      </c>
      <c r="H12653" s="7">
        <v>18275</v>
      </c>
      <c r="I12653" s="8" t="str">
        <f ca="1">IFERROR(__xludf.DUMMYFUNCTION("IF
(
G12654=""фізична особа""
,
VLOOKUP(H12654,IMPORTRANGE(""https://docs.google.com/spreadsheets/d/14Bd19lYaqBhU8_DElYkX7l4wRkHqqCUFNJY4AfY3kHU/edit?usp=sharing  #gid=0"",""фіз особи new!relations_name""),6,FALSE)
,
(IF
(
G12654=""юридична особа""
,
VLOO"&amp;"KUP(H12654,IMPORTRANGE(""https://docs.google.com/spreadsheets/d/14Bd19lYaqBhU8_DElYkX7l4wRkHqqCUFNJY4AfY3kHU/edit?usp=sharing  #gid=0"",""фіз особи new!relations_name_uo""),7,FALSE)
,
)
))"),"ГАО Жун")</f>
        <v>ГАО Жун</v>
      </c>
      <c r="J12653" s="7" t="s">
        <v>23</v>
      </c>
    </row>
    <row r="12654" spans="1:10" ht="13.2">
      <c r="A12654" s="7">
        <v>12653</v>
      </c>
      <c r="B12654" s="7">
        <v>1</v>
      </c>
      <c r="C12654" s="7" t="s">
        <v>10</v>
      </c>
      <c r="D12654" s="7">
        <v>18275</v>
      </c>
      <c r="E12654" s="7" t="s">
        <v>23</v>
      </c>
      <c r="F12654" s="8" t="str">
        <f ca="1">IFERROR(__xludf.DUMMYFUNCTION("IF
(
C12655=""фізична особа""
,
VLOOKUP(D12655,IMPORTRANGE(""https://docs.google.com/spreadsheets/d/14Bd19lYaqBhU8_DElYkX7l4wRkHqqCUFNJY4AfY3kHU/edit?usp=sharing  #gid=0"",""фіз особи new!relations_name""),6,FALSE)
,
(IF
(
C12655=""юридична особа""
,
VLOO"&amp;"KUP(D12655,IMPORTRANGE(""https://docs.google.com/spreadsheets/d/14Bd19lYaqBhU8_DElYkX7l4wRkHqqCUFNJY4AfY3kHU/edit?usp=sharing  #gid=0"",""фіз особи new!relations_name_uo""),7,FALSE)
,
)
))"),"ГАО Жун")</f>
        <v>ГАО Жун</v>
      </c>
      <c r="G12654" s="7" t="s">
        <v>10</v>
      </c>
      <c r="H12654" s="7">
        <v>18273</v>
      </c>
      <c r="I12654" s="8" t="str">
        <f ca="1">IFERROR(__xludf.DUMMYFUNCTION("IF
(
G12655=""фізична особа""
,
VLOOKUP(H12655,IMPORTRANGE(""https://docs.google.com/spreadsheets/d/14Bd19lYaqBhU8_DElYkX7l4wRkHqqCUFNJY4AfY3kHU/edit?usp=sharing  #gid=0"",""фіз особи new!relations_name""),6,FALSE)
,
(IF
(
G12655=""юридична особа""
,
VLOO"&amp;"KUP(H12655,IMPORTRANGE(""https://docs.google.com/spreadsheets/d/14Bd19lYaqBhU8_DElYkX7l4wRkHqqCUFNJY4AfY3kHU/edit?usp=sharing  #gid=0"",""фіз особи new!relations_name_uo""),7,FALSE)
,
)
))"),"ЛЮ Веньюн")</f>
        <v>ЛЮ Веньюн</v>
      </c>
      <c r="J12654" s="7" t="s">
        <v>23</v>
      </c>
    </row>
    <row r="12655" spans="1:10" ht="13.2">
      <c r="A12655" s="7">
        <v>12654</v>
      </c>
      <c r="B12655" s="7">
        <v>1</v>
      </c>
      <c r="C12655" s="7" t="s">
        <v>10</v>
      </c>
      <c r="D12655" s="7">
        <v>18275</v>
      </c>
      <c r="E12655" s="7" t="s">
        <v>23</v>
      </c>
      <c r="F12655" s="8" t="str">
        <f ca="1">IFERROR(__xludf.DUMMYFUNCTION("IF
(
C12656=""фізична особа""
,
VLOOKUP(D12656,IMPORTRANGE(""https://docs.google.com/spreadsheets/d/14Bd19lYaqBhU8_DElYkX7l4wRkHqqCUFNJY4AfY3kHU/edit?usp=sharing  #gid=0"",""фіз особи new!relations_name""),6,FALSE)
,
(IF
(
C12656=""юридична особа""
,
VLOO"&amp;"KUP(D12656,IMPORTRANGE(""https://docs.google.com/spreadsheets/d/14Bd19lYaqBhU8_DElYkX7l4wRkHqqCUFNJY4AfY3kHU/edit?usp=sharing  #gid=0"",""фіз особи new!relations_name_uo""),7,FALSE)
,
)
))"),"ГАО Жун")</f>
        <v>ГАО Жун</v>
      </c>
      <c r="G12655" s="7" t="s">
        <v>10</v>
      </c>
      <c r="H12655" s="7">
        <v>18274</v>
      </c>
      <c r="I12655" s="8" t="str">
        <f ca="1">IFERROR(__xludf.DUMMYFUNCTION("IF
(
G12656=""фізична особа""
,
VLOOKUP(H12656,IMPORTRANGE(""https://docs.google.com/spreadsheets/d/14Bd19lYaqBhU8_DElYkX7l4wRkHqqCUFNJY4AfY3kHU/edit?usp=sharing  #gid=0"",""фіз особи new!relations_name""),6,FALSE)
,
(IF
(
G12656=""юридична особа""
,
VLOO"&amp;"KUP(H12656,IMPORTRANGE(""https://docs.google.com/spreadsheets/d/14Bd19lYaqBhU8_DElYkX7l4wRkHqqCUFNJY4AfY3kHU/edit?usp=sharing  #gid=0"",""фіз особи new!relations_name_uo""),7,FALSE)
,
)
))"),"ВАН Сінь")</f>
        <v>ВАН Сінь</v>
      </c>
      <c r="J12655" s="7" t="s">
        <v>23</v>
      </c>
    </row>
    <row r="12656" spans="1:10" ht="13.2">
      <c r="A12656" s="7">
        <v>12655</v>
      </c>
      <c r="B12656" s="7">
        <v>1</v>
      </c>
      <c r="C12656" s="7" t="s">
        <v>10</v>
      </c>
      <c r="D12656" s="7">
        <v>18276</v>
      </c>
      <c r="E12656" s="7" t="s">
        <v>23</v>
      </c>
      <c r="F12656" s="8" t="str">
        <f ca="1">IFERROR(__xludf.DUMMYFUNCTION("IF
(
C12657=""фізична особа""
,
VLOOKUP(D12657,IMPORTRANGE(""https://docs.google.com/spreadsheets/d/14Bd19lYaqBhU8_DElYkX7l4wRkHqqCUFNJY4AfY3kHU/edit?usp=sharing  #gid=0"",""фіз особи new!relations_name""),6,FALSE)
,
(IF
(
C12657=""юридична особа""
,
VLOO"&amp;"KUP(D12657,IMPORTRANGE(""https://docs.google.com/spreadsheets/d/14Bd19lYaqBhU8_DElYkX7l4wRkHqqCUFNJY4AfY3kHU/edit?usp=sharing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G12656" s="7" t="s">
        <v>10</v>
      </c>
      <c r="H12656" s="7">
        <v>18277</v>
      </c>
      <c r="I12656" s="8" t="str">
        <f ca="1">IFERROR(__xludf.DUMMYFUNCTION("IF
(
G12657=""фізична особа""
,
VLOOKUP(H12657,IMPORTRANGE(""https://docs.google.com/spreadsheets/d/14Bd19lYaqBhU8_DElYkX7l4wRkHqqCUFNJY4AfY3kHU/edit?usp=sharing  #gid=0"",""фіз особи new!relations_name""),6,FALSE)
,
(IF
(
G12657=""юридична особа""
,
VLOO"&amp;"KUP(H12657,IMPORTRANGE(""https://docs.google.com/spreadsheets/d/14Bd19lYaqBhU8_DElYkX7l4wRkHqqCUFNJY4AfY3kHU/edit?usp=sharing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J12656" s="7" t="s">
        <v>23</v>
      </c>
    </row>
    <row r="12657" spans="1:10" ht="13.2">
      <c r="A12657" s="7">
        <v>12656</v>
      </c>
      <c r="B12657" s="7">
        <v>1</v>
      </c>
      <c r="C12657" s="7" t="s">
        <v>10</v>
      </c>
      <c r="D12657" s="7">
        <v>18276</v>
      </c>
      <c r="E12657" s="7" t="s">
        <v>23</v>
      </c>
      <c r="F12657" s="8" t="str">
        <f ca="1">IFERROR(__xludf.DUMMYFUNCTION("IF
(
C12658=""фізична особа""
,
VLOOKUP(D12658,IMPORTRANGE(""https://docs.google.com/spreadsheets/d/14Bd19lYaqBhU8_DElYkX7l4wRkHqqCUFNJY4AfY3kHU/edit?usp=sharing  #gid=0"",""фіз особи new!relations_name""),6,FALSE)
,
(IF
(
C12658=""юридична особа""
,
VLOO"&amp;"KUP(D12658,IMPORTRANGE(""https://docs.google.com/spreadsheets/d/14Bd19lYaqBhU8_DElYkX7l4wRkHqqCUFNJY4AfY3kHU/edit?usp=sharing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G12657" s="7" t="s">
        <v>10</v>
      </c>
      <c r="H12657" s="7">
        <v>18278</v>
      </c>
      <c r="I12657" s="8" t="str">
        <f ca="1">IFERROR(__xludf.DUMMYFUNCTION("IF
(
G12658=""фізична особа""
,
VLOOKUP(H12658,IMPORTRANGE(""https://docs.google.com/spreadsheets/d/14Bd19lYaqBhU8_DElYkX7l4wRkHqqCUFNJY4AfY3kHU/edit?usp=sharing  #gid=0"",""фіз особи new!relations_name""),6,FALSE)
,
(IF
(
G12658=""юридична особа""
,
VLOO"&amp;"KUP(H12658,IMPORTRANGE(""https://docs.google.com/spreadsheets/d/14Bd19lYaqBhU8_DElYkX7l4wRkHqqCUFNJY4AfY3kHU/edit?usp=sharing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J12657" s="7" t="s">
        <v>23</v>
      </c>
    </row>
    <row r="12658" spans="1:10" ht="13.2">
      <c r="A12658" s="7">
        <v>12657</v>
      </c>
      <c r="B12658" s="7">
        <v>1</v>
      </c>
      <c r="C12658" s="7" t="s">
        <v>10</v>
      </c>
      <c r="D12658" s="7">
        <v>18276</v>
      </c>
      <c r="E12658" s="7" t="s">
        <v>23</v>
      </c>
      <c r="F12658" s="8" t="str">
        <f ca="1">IFERROR(__xludf.DUMMYFUNCTION("IF
(
C12659=""фізична особа""
,
VLOOKUP(D12659,IMPORTRANGE(""https://docs.google.com/spreadsheets/d/14Bd19lYaqBhU8_DElYkX7l4wRkHqqCUFNJY4AfY3kHU/edit?usp=sharing  #gid=0"",""фіз особи new!relations_name""),6,FALSE)
,
(IF
(
C12659=""юридична особа""
,
VLOO"&amp;"KUP(D12659,IMPORTRANGE(""https://docs.google.com/spreadsheets/d/14Bd19lYaqBhU8_DElYkX7l4wRkHqqCUFNJY4AfY3kHU/edit?usp=sharing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G12658" s="7" t="s">
        <v>10</v>
      </c>
      <c r="H12658" s="7">
        <v>18279</v>
      </c>
      <c r="I12658" s="8" t="str">
        <f ca="1">IFERROR(__xludf.DUMMYFUNCTION("IF
(
G12659=""фізична особа""
,
VLOOKUP(H12659,IMPORTRANGE(""https://docs.google.com/spreadsheets/d/14Bd19lYaqBhU8_DElYkX7l4wRkHqqCUFNJY4AfY3kHU/edit?usp=sharing  #gid=0"",""фіз особи new!relations_name""),6,FALSE)
,
(IF
(
G12659=""юридична особа""
,
VLOO"&amp;"KUP(H12659,IMPORTRANGE(""https://docs.google.com/spreadsheets/d/14Bd19lYaqBhU8_DElYkX7l4wRkHqqCUFNJY4AfY3kHU/edit?usp=sharing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J12658" s="7" t="s">
        <v>23</v>
      </c>
    </row>
    <row r="12659" spans="1:10" ht="13.2">
      <c r="A12659" s="7">
        <v>12658</v>
      </c>
      <c r="B12659" s="7">
        <v>1</v>
      </c>
      <c r="C12659" s="7" t="s">
        <v>10</v>
      </c>
      <c r="D12659" s="7">
        <v>18276</v>
      </c>
      <c r="E12659" s="7" t="s">
        <v>23</v>
      </c>
      <c r="F12659" s="8" t="str">
        <f ca="1">IFERROR(__xludf.DUMMYFUNCTION("IF
(
C12660=""фізична особа""
,
VLOOKUP(D12660,IMPORTRANGE(""https://docs.google.com/spreadsheets/d/14Bd19lYaqBhU8_DElYkX7l4wRkHqqCUFNJY4AfY3kHU/edit?usp=sharing  #gid=0"",""фіз особи new!relations_name""),6,FALSE)
,
(IF
(
C12660=""юридична особа""
,
VLOO"&amp;"KUP(D12660,IMPORTRANGE(""https://docs.google.com/spreadsheets/d/14Bd19lYaqBhU8_DElYkX7l4wRkHqqCUFNJY4AfY3kHU/edit?usp=sharing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G12659" s="7" t="s">
        <v>10</v>
      </c>
      <c r="H12659" s="7">
        <v>18280</v>
      </c>
      <c r="I12659" s="8" t="str">
        <f ca="1">IFERROR(__xludf.DUMMYFUNCTION("IF
(
G12660=""фізична особа""
,
VLOOKUP(H12660,IMPORTRANGE(""https://docs.google.com/spreadsheets/d/14Bd19lYaqBhU8_DElYkX7l4wRkHqqCUFNJY4AfY3kHU/edit?usp=sharing  #gid=0"",""фіз особи new!relations_name""),6,FALSE)
,
(IF
(
G12660=""юридична особа""
,
VLOO"&amp;"KUP(H12660,IMPORTRANGE(""https://docs.google.com/spreadsheets/d/14Bd19lYaqBhU8_DElYkX7l4wRkHqqCUFNJY4AfY3kHU/edit?usp=sharing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J12659" s="7" t="s">
        <v>23</v>
      </c>
    </row>
    <row r="12660" spans="1:10" ht="13.2">
      <c r="A12660" s="7">
        <v>12659</v>
      </c>
      <c r="B12660" s="7">
        <v>1</v>
      </c>
      <c r="C12660" s="7" t="s">
        <v>10</v>
      </c>
      <c r="D12660" s="7">
        <v>18277</v>
      </c>
      <c r="E12660" s="7" t="s">
        <v>23</v>
      </c>
      <c r="F12660" s="8" t="str">
        <f ca="1">IFERROR(__xludf.DUMMYFUNCTION("IF
(
C12661=""фізична особа""
,
VLOOKUP(D12661,IMPORTRANGE(""https://docs.google.com/spreadsheets/d/14Bd19lYaqBhU8_DElYkX7l4wRkHqqCUFNJY4AfY3kHU/edit?usp=sharing  #gid=0"",""фіз особи new!relations_name""),6,FALSE)
,
(IF
(
C12661=""юридична особа""
,
VLOO"&amp;"KUP(D12661,IMPORTRANGE(""https://docs.google.com/spreadsheets/d/14Bd19lYaqBhU8_DElYkX7l4wRkHqqCUFNJY4AfY3kHU/edit?usp=sharing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G12660" s="7" t="s">
        <v>10</v>
      </c>
      <c r="H12660" s="7">
        <v>18276</v>
      </c>
      <c r="I12660" s="8" t="str">
        <f ca="1">IFERROR(__xludf.DUMMYFUNCTION("IF
(
G12661=""фізична особа""
,
VLOOKUP(H12661,IMPORTRANGE(""https://docs.google.com/spreadsheets/d/14Bd19lYaqBhU8_DElYkX7l4wRkHqqCUFNJY4AfY3kHU/edit?usp=sharing  #gid=0"",""фіз особи new!relations_name""),6,FALSE)
,
(IF
(
G12661=""юридична особа""
,
VLOO"&amp;"KUP(H12661,IMPORTRANGE(""https://docs.google.com/spreadsheets/d/14Bd19lYaqBhU8_DElYkX7l4wRkHqqCUFNJY4AfY3kHU/edit?usp=sharing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J12660" s="7" t="s">
        <v>23</v>
      </c>
    </row>
    <row r="12661" spans="1:10" ht="13.2">
      <c r="A12661" s="7">
        <v>12660</v>
      </c>
      <c r="B12661" s="7">
        <v>1</v>
      </c>
      <c r="C12661" s="7" t="s">
        <v>10</v>
      </c>
      <c r="D12661" s="7">
        <v>18277</v>
      </c>
      <c r="E12661" s="7" t="s">
        <v>23</v>
      </c>
      <c r="F12661" s="8" t="str">
        <f ca="1">IFERROR(__xludf.DUMMYFUNCTION("IF
(
C12662=""фізична особа""
,
VLOOKUP(D12662,IMPORTRANGE(""https://docs.google.com/spreadsheets/d/14Bd19lYaqBhU8_DElYkX7l4wRkHqqCUFNJY4AfY3kHU/edit?usp=sharing  #gid=0"",""фіз особи new!relations_name""),6,FALSE)
,
(IF
(
C12662=""юридична особа""
,
VLOO"&amp;"KUP(D12662,IMPORTRANGE(""https://docs.google.com/spreadsheets/d/14Bd19lYaqBhU8_DElYkX7l4wRkHqqCUFNJY4AfY3kHU/edit?usp=sharing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G12661" s="7" t="s">
        <v>10</v>
      </c>
      <c r="H12661" s="7">
        <v>18278</v>
      </c>
      <c r="I12661" s="8" t="str">
        <f ca="1">IFERROR(__xludf.DUMMYFUNCTION("IF
(
G12662=""фізична особа""
,
VLOOKUP(H12662,IMPORTRANGE(""https://docs.google.com/spreadsheets/d/14Bd19lYaqBhU8_DElYkX7l4wRkHqqCUFNJY4AfY3kHU/edit?usp=sharing  #gid=0"",""фіз особи new!relations_name""),6,FALSE)
,
(IF
(
G12662=""юридична особа""
,
VLOO"&amp;"KUP(H12662,IMPORTRANGE(""https://docs.google.com/spreadsheets/d/14Bd19lYaqBhU8_DElYkX7l4wRkHqqCUFNJY4AfY3kHU/edit?usp=sharing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J12661" s="7" t="s">
        <v>23</v>
      </c>
    </row>
    <row r="12662" spans="1:10" ht="13.2">
      <c r="A12662" s="7">
        <v>12661</v>
      </c>
      <c r="B12662" s="7">
        <v>1</v>
      </c>
      <c r="C12662" s="7" t="s">
        <v>10</v>
      </c>
      <c r="D12662" s="7">
        <v>18277</v>
      </c>
      <c r="E12662" s="7" t="s">
        <v>23</v>
      </c>
      <c r="F12662" s="8" t="str">
        <f ca="1">IFERROR(__xludf.DUMMYFUNCTION("IF
(
C12663=""фізична особа""
,
VLOOKUP(D12663,IMPORTRANGE(""https://docs.google.com/spreadsheets/d/14Bd19lYaqBhU8_DElYkX7l4wRkHqqCUFNJY4AfY3kHU/edit?usp=sharing  #gid=0"",""фіз особи new!relations_name""),6,FALSE)
,
(IF
(
C12663=""юридична особа""
,
VLOO"&amp;"KUP(D12663,IMPORTRANGE(""https://docs.google.com/spreadsheets/d/14Bd19lYaqBhU8_DElYkX7l4wRkHqqCUFNJY4AfY3kHU/edit?usp=sharing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G12662" s="7" t="s">
        <v>10</v>
      </c>
      <c r="H12662" s="7">
        <v>18279</v>
      </c>
      <c r="I12662" s="8" t="str">
        <f ca="1">IFERROR(__xludf.DUMMYFUNCTION("IF
(
G12663=""фізична особа""
,
VLOOKUP(H12663,IMPORTRANGE(""https://docs.google.com/spreadsheets/d/14Bd19lYaqBhU8_DElYkX7l4wRkHqqCUFNJY4AfY3kHU/edit?usp=sharing  #gid=0"",""фіз особи new!relations_name""),6,FALSE)
,
(IF
(
G12663=""юридична особа""
,
VLOO"&amp;"KUP(H12663,IMPORTRANGE(""https://docs.google.com/spreadsheets/d/14Bd19lYaqBhU8_DElYkX7l4wRkHqqCUFNJY4AfY3kHU/edit?usp=sharing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J12662" s="7" t="s">
        <v>23</v>
      </c>
    </row>
    <row r="12663" spans="1:10" ht="13.2">
      <c r="A12663" s="7">
        <v>12662</v>
      </c>
      <c r="B12663" s="7">
        <v>1</v>
      </c>
      <c r="C12663" s="7" t="s">
        <v>10</v>
      </c>
      <c r="D12663" s="7">
        <v>18277</v>
      </c>
      <c r="E12663" s="7" t="s">
        <v>23</v>
      </c>
      <c r="F12663" s="8" t="str">
        <f ca="1">IFERROR(__xludf.DUMMYFUNCTION("IF
(
C12664=""фізична особа""
,
VLOOKUP(D12664,IMPORTRANGE(""https://docs.google.com/spreadsheets/d/14Bd19lYaqBhU8_DElYkX7l4wRkHqqCUFNJY4AfY3kHU/edit?usp=sharing  #gid=0"",""фіз особи new!relations_name""),6,FALSE)
,
(IF
(
C12664=""юридична особа""
,
VLOO"&amp;"KUP(D12664,IMPORTRANGE(""https://docs.google.com/spreadsheets/d/14Bd19lYaqBhU8_DElYkX7l4wRkHqqCUFNJY4AfY3kHU/edit?usp=sharing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G12663" s="7" t="s">
        <v>10</v>
      </c>
      <c r="H12663" s="7">
        <v>18280</v>
      </c>
      <c r="I12663" s="8" t="str">
        <f ca="1">IFERROR(__xludf.DUMMYFUNCTION("IF
(
G12664=""фізична особа""
,
VLOOKUP(H12664,IMPORTRANGE(""https://docs.google.com/spreadsheets/d/14Bd19lYaqBhU8_DElYkX7l4wRkHqqCUFNJY4AfY3kHU/edit?usp=sharing  #gid=0"",""фіз особи new!relations_name""),6,FALSE)
,
(IF
(
G12664=""юридична особа""
,
VLOO"&amp;"KUP(H12664,IMPORTRANGE(""https://docs.google.com/spreadsheets/d/14Bd19lYaqBhU8_DElYkX7l4wRkHqqCUFNJY4AfY3kHU/edit?usp=sharing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J12663" s="7" t="s">
        <v>23</v>
      </c>
    </row>
    <row r="12664" spans="1:10" ht="13.2">
      <c r="A12664" s="7">
        <v>12663</v>
      </c>
      <c r="B12664" s="7">
        <v>1</v>
      </c>
      <c r="C12664" s="7" t="s">
        <v>10</v>
      </c>
      <c r="D12664" s="7">
        <v>18278</v>
      </c>
      <c r="E12664" s="7" t="s">
        <v>23</v>
      </c>
      <c r="F12664" s="8" t="str">
        <f ca="1">IFERROR(__xludf.DUMMYFUNCTION("IF
(
C12665=""фізична особа""
,
VLOOKUP(D12665,IMPORTRANGE(""https://docs.google.com/spreadsheets/d/14Bd19lYaqBhU8_DElYkX7l4wRkHqqCUFNJY4AfY3kHU/edit?usp=sharing  #gid=0"",""фіз особи new!relations_name""),6,FALSE)
,
(IF
(
C12665=""юридична особа""
,
VLOO"&amp;"KUP(D12665,IMPORTRANGE(""https://docs.google.com/spreadsheets/d/14Bd19lYaqBhU8_DElYkX7l4wRkHqqCUFNJY4AfY3kHU/edit?usp=sharing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G12664" s="7" t="s">
        <v>10</v>
      </c>
      <c r="H12664" s="7">
        <v>18276</v>
      </c>
      <c r="I12664" s="8" t="str">
        <f ca="1">IFERROR(__xludf.DUMMYFUNCTION("IF
(
G12665=""фізична особа""
,
VLOOKUP(H12665,IMPORTRANGE(""https://docs.google.com/spreadsheets/d/14Bd19lYaqBhU8_DElYkX7l4wRkHqqCUFNJY4AfY3kHU/edit?usp=sharing  #gid=0"",""фіз особи new!relations_name""),6,FALSE)
,
(IF
(
G12665=""юридична особа""
,
VLOO"&amp;"KUP(H12665,IMPORTRANGE(""https://docs.google.com/spreadsheets/d/14Bd19lYaqBhU8_DElYkX7l4wRkHqqCUFNJY4AfY3kHU/edit?usp=sharing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J12664" s="7" t="s">
        <v>23</v>
      </c>
    </row>
    <row r="12665" spans="1:10" ht="13.2">
      <c r="A12665" s="7">
        <v>12664</v>
      </c>
      <c r="B12665" s="7">
        <v>1</v>
      </c>
      <c r="C12665" s="7" t="s">
        <v>10</v>
      </c>
      <c r="D12665" s="7">
        <v>18278</v>
      </c>
      <c r="E12665" s="7" t="s">
        <v>23</v>
      </c>
      <c r="F12665" s="8" t="str">
        <f ca="1">IFERROR(__xludf.DUMMYFUNCTION("IF
(
C12666=""фізична особа""
,
VLOOKUP(D12666,IMPORTRANGE(""https://docs.google.com/spreadsheets/d/14Bd19lYaqBhU8_DElYkX7l4wRkHqqCUFNJY4AfY3kHU/edit?usp=sharing  #gid=0"",""фіз особи new!relations_name""),6,FALSE)
,
(IF
(
C12666=""юридична особа""
,
VLOO"&amp;"KUP(D12666,IMPORTRANGE(""https://docs.google.com/spreadsheets/d/14Bd19lYaqBhU8_DElYkX7l4wRkHqqCUFNJY4AfY3kHU/edit?usp=sharing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G12665" s="7" t="s">
        <v>10</v>
      </c>
      <c r="H12665" s="7">
        <v>18277</v>
      </c>
      <c r="I12665" s="8" t="str">
        <f ca="1">IFERROR(__xludf.DUMMYFUNCTION("IF
(
G12666=""фізична особа""
,
VLOOKUP(H12666,IMPORTRANGE(""https://docs.google.com/spreadsheets/d/14Bd19lYaqBhU8_DElYkX7l4wRkHqqCUFNJY4AfY3kHU/edit?usp=sharing  #gid=0"",""фіз особи new!relations_name""),6,FALSE)
,
(IF
(
G12666=""юридична особа""
,
VLOO"&amp;"KUP(H12666,IMPORTRANGE(""https://docs.google.com/spreadsheets/d/14Bd19lYaqBhU8_DElYkX7l4wRkHqqCUFNJY4AfY3kHU/edit?usp=sharing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J12665" s="7" t="s">
        <v>23</v>
      </c>
    </row>
    <row r="12666" spans="1:10" ht="13.2">
      <c r="A12666" s="7">
        <v>12665</v>
      </c>
      <c r="B12666" s="7">
        <v>1</v>
      </c>
      <c r="C12666" s="7" t="s">
        <v>10</v>
      </c>
      <c r="D12666" s="7">
        <v>18278</v>
      </c>
      <c r="E12666" s="7" t="s">
        <v>23</v>
      </c>
      <c r="F12666" s="8" t="str">
        <f ca="1">IFERROR(__xludf.DUMMYFUNCTION("IF
(
C12667=""фізична особа""
,
VLOOKUP(D12667,IMPORTRANGE(""https://docs.google.com/spreadsheets/d/14Bd19lYaqBhU8_DElYkX7l4wRkHqqCUFNJY4AfY3kHU/edit?usp=sharing  #gid=0"",""фіз особи new!relations_name""),6,FALSE)
,
(IF
(
C12667=""юридична особа""
,
VLOO"&amp;"KUP(D12667,IMPORTRANGE(""https://docs.google.com/spreadsheets/d/14Bd19lYaqBhU8_DElYkX7l4wRkHqqCUFNJY4AfY3kHU/edit?usp=sharing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G12666" s="7" t="s">
        <v>10</v>
      </c>
      <c r="H12666" s="7">
        <v>18279</v>
      </c>
      <c r="I12666" s="8" t="str">
        <f ca="1">IFERROR(__xludf.DUMMYFUNCTION("IF
(
G12667=""фізична особа""
,
VLOOKUP(H12667,IMPORTRANGE(""https://docs.google.com/spreadsheets/d/14Bd19lYaqBhU8_DElYkX7l4wRkHqqCUFNJY4AfY3kHU/edit?usp=sharing  #gid=0"",""фіз особи new!relations_name""),6,FALSE)
,
(IF
(
G12667=""юридична особа""
,
VLOO"&amp;"KUP(H12667,IMPORTRANGE(""https://docs.google.com/spreadsheets/d/14Bd19lYaqBhU8_DElYkX7l4wRkHqqCUFNJY4AfY3kHU/edit?usp=sharing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J12666" s="7" t="s">
        <v>23</v>
      </c>
    </row>
    <row r="12667" spans="1:10" ht="13.2">
      <c r="A12667" s="7">
        <v>12666</v>
      </c>
      <c r="B12667" s="7">
        <v>1</v>
      </c>
      <c r="C12667" s="7" t="s">
        <v>10</v>
      </c>
      <c r="D12667" s="7">
        <v>18278</v>
      </c>
      <c r="E12667" s="7" t="s">
        <v>23</v>
      </c>
      <c r="F12667" s="8" t="str">
        <f ca="1">IFERROR(__xludf.DUMMYFUNCTION("IF
(
C12668=""фізична особа""
,
VLOOKUP(D12668,IMPORTRANGE(""https://docs.google.com/spreadsheets/d/14Bd19lYaqBhU8_DElYkX7l4wRkHqqCUFNJY4AfY3kHU/edit?usp=sharing  #gid=0"",""фіз особи new!relations_name""),6,FALSE)
,
(IF
(
C12668=""юридична особа""
,
VLOO"&amp;"KUP(D12668,IMPORTRANGE(""https://docs.google.com/spreadsheets/d/14Bd19lYaqBhU8_DElYkX7l4wRkHqqCUFNJY4AfY3kHU/edit?usp=sharing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G12667" s="7" t="s">
        <v>10</v>
      </c>
      <c r="H12667" s="7">
        <v>18280</v>
      </c>
      <c r="I12667" s="8" t="str">
        <f ca="1">IFERROR(__xludf.DUMMYFUNCTION("IF
(
G12668=""фізична особа""
,
VLOOKUP(H12668,IMPORTRANGE(""https://docs.google.com/spreadsheets/d/14Bd19lYaqBhU8_DElYkX7l4wRkHqqCUFNJY4AfY3kHU/edit?usp=sharing  #gid=0"",""фіз особи new!relations_name""),6,FALSE)
,
(IF
(
G12668=""юридична особа""
,
VLOO"&amp;"KUP(H12668,IMPORTRANGE(""https://docs.google.com/spreadsheets/d/14Bd19lYaqBhU8_DElYkX7l4wRkHqqCUFNJY4AfY3kHU/edit?usp=sharing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J12667" s="7" t="s">
        <v>23</v>
      </c>
    </row>
    <row r="12668" spans="1:10" ht="13.2">
      <c r="A12668" s="7">
        <v>12667</v>
      </c>
      <c r="B12668" s="7">
        <v>1</v>
      </c>
      <c r="C12668" s="7" t="s">
        <v>10</v>
      </c>
      <c r="D12668" s="7">
        <v>18279</v>
      </c>
      <c r="E12668" s="7" t="s">
        <v>23</v>
      </c>
      <c r="F12668" s="8" t="str">
        <f ca="1">IFERROR(__xludf.DUMMYFUNCTION("IF
(
C12669=""фізична особа""
,
VLOOKUP(D12669,IMPORTRANGE(""https://docs.google.com/spreadsheets/d/14Bd19lYaqBhU8_DElYkX7l4wRkHqqCUFNJY4AfY3kHU/edit?usp=sharing  #gid=0"",""фіз особи new!relations_name""),6,FALSE)
,
(IF
(
C12669=""юридична особа""
,
VLOO"&amp;"KUP(D12669,IMPORTRANGE(""https://docs.google.com/spreadsheets/d/14Bd19lYaqBhU8_DElYkX7l4wRkHqqCUFNJY4AfY3kHU/edit?usp=sharing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G12668" s="7" t="s">
        <v>10</v>
      </c>
      <c r="H12668" s="7">
        <v>18276</v>
      </c>
      <c r="I12668" s="8" t="str">
        <f ca="1">IFERROR(__xludf.DUMMYFUNCTION("IF
(
G12669=""фізична особа""
,
VLOOKUP(H12669,IMPORTRANGE(""https://docs.google.com/spreadsheets/d/14Bd19lYaqBhU8_DElYkX7l4wRkHqqCUFNJY4AfY3kHU/edit?usp=sharing  #gid=0"",""фіз особи new!relations_name""),6,FALSE)
,
(IF
(
G12669=""юридична особа""
,
VLOO"&amp;"KUP(H12669,IMPORTRANGE(""https://docs.google.com/spreadsheets/d/14Bd19lYaqBhU8_DElYkX7l4wRkHqqCUFNJY4AfY3kHU/edit?usp=sharing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J12668" s="7" t="s">
        <v>23</v>
      </c>
    </row>
    <row r="12669" spans="1:10" ht="13.2">
      <c r="A12669" s="7">
        <v>12668</v>
      </c>
      <c r="B12669" s="7">
        <v>1</v>
      </c>
      <c r="C12669" s="7" t="s">
        <v>10</v>
      </c>
      <c r="D12669" s="7">
        <v>18279</v>
      </c>
      <c r="E12669" s="7" t="s">
        <v>23</v>
      </c>
      <c r="F12669" s="8" t="str">
        <f ca="1">IFERROR(__xludf.DUMMYFUNCTION("IF
(
C12670=""фізична особа""
,
VLOOKUP(D12670,IMPORTRANGE(""https://docs.google.com/spreadsheets/d/14Bd19lYaqBhU8_DElYkX7l4wRkHqqCUFNJY4AfY3kHU/edit?usp=sharing  #gid=0"",""фіз особи new!relations_name""),6,FALSE)
,
(IF
(
C12670=""юридична особа""
,
VLOO"&amp;"KUP(D12670,IMPORTRANGE(""https://docs.google.com/spreadsheets/d/14Bd19lYaqBhU8_DElYkX7l4wRkHqqCUFNJY4AfY3kHU/edit?usp=sharing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G12669" s="7" t="s">
        <v>10</v>
      </c>
      <c r="H12669" s="7">
        <v>18277</v>
      </c>
      <c r="I12669" s="8" t="str">
        <f ca="1">IFERROR(__xludf.DUMMYFUNCTION("IF
(
G12670=""фізична особа""
,
VLOOKUP(H12670,IMPORTRANGE(""https://docs.google.com/spreadsheets/d/14Bd19lYaqBhU8_DElYkX7l4wRkHqqCUFNJY4AfY3kHU/edit?usp=sharing  #gid=0"",""фіз особи new!relations_name""),6,FALSE)
,
(IF
(
G12670=""юридична особа""
,
VLOO"&amp;"KUP(H12670,IMPORTRANGE(""https://docs.google.com/spreadsheets/d/14Bd19lYaqBhU8_DElYkX7l4wRkHqqCUFNJY4AfY3kHU/edit?usp=sharing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J12669" s="7" t="s">
        <v>23</v>
      </c>
    </row>
    <row r="12670" spans="1:10" ht="13.2">
      <c r="A12670" s="7">
        <v>12669</v>
      </c>
      <c r="B12670" s="7">
        <v>1</v>
      </c>
      <c r="C12670" s="7" t="s">
        <v>10</v>
      </c>
      <c r="D12670" s="7">
        <v>18279</v>
      </c>
      <c r="E12670" s="7" t="s">
        <v>23</v>
      </c>
      <c r="F12670" s="8" t="str">
        <f ca="1">IFERROR(__xludf.DUMMYFUNCTION("IF
(
C12671=""фізична особа""
,
VLOOKUP(D12671,IMPORTRANGE(""https://docs.google.com/spreadsheets/d/14Bd19lYaqBhU8_DElYkX7l4wRkHqqCUFNJY4AfY3kHU/edit?usp=sharing  #gid=0"",""фіз особи new!relations_name""),6,FALSE)
,
(IF
(
C12671=""юридична особа""
,
VLOO"&amp;"KUP(D12671,IMPORTRANGE(""https://docs.google.com/spreadsheets/d/14Bd19lYaqBhU8_DElYkX7l4wRkHqqCUFNJY4AfY3kHU/edit?usp=sharing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G12670" s="7" t="s">
        <v>10</v>
      </c>
      <c r="H12670" s="7">
        <v>18278</v>
      </c>
      <c r="I12670" s="8" t="str">
        <f ca="1">IFERROR(__xludf.DUMMYFUNCTION("IF
(
G12671=""фізична особа""
,
VLOOKUP(H12671,IMPORTRANGE(""https://docs.google.com/spreadsheets/d/14Bd19lYaqBhU8_DElYkX7l4wRkHqqCUFNJY4AfY3kHU/edit?usp=sharing  #gid=0"",""фіз особи new!relations_name""),6,FALSE)
,
(IF
(
G12671=""юридична особа""
,
VLOO"&amp;"KUP(H12671,IMPORTRANGE(""https://docs.google.com/spreadsheets/d/14Bd19lYaqBhU8_DElYkX7l4wRkHqqCUFNJY4AfY3kHU/edit?usp=sharing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J12670" s="7" t="s">
        <v>23</v>
      </c>
    </row>
    <row r="12671" spans="1:10" ht="13.2">
      <c r="A12671" s="7">
        <v>12670</v>
      </c>
      <c r="B12671" s="7">
        <v>1</v>
      </c>
      <c r="C12671" s="7" t="s">
        <v>10</v>
      </c>
      <c r="D12671" s="7">
        <v>18279</v>
      </c>
      <c r="E12671" s="7" t="s">
        <v>23</v>
      </c>
      <c r="F12671" s="8" t="str">
        <f ca="1">IFERROR(__xludf.DUMMYFUNCTION("IF
(
C12672=""фізична особа""
,
VLOOKUP(D12672,IMPORTRANGE(""https://docs.google.com/spreadsheets/d/14Bd19lYaqBhU8_DElYkX7l4wRkHqqCUFNJY4AfY3kHU/edit?usp=sharing  #gid=0"",""фіз особи new!relations_name""),6,FALSE)
,
(IF
(
C12672=""юридична особа""
,
VLOO"&amp;"KUP(D12672,IMPORTRANGE(""https://docs.google.com/spreadsheets/d/14Bd19lYaqBhU8_DElYkX7l4wRkHqqCUFNJY4AfY3kHU/edit?usp=sharing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G12671" s="7" t="s">
        <v>10</v>
      </c>
      <c r="H12671" s="7">
        <v>18280</v>
      </c>
      <c r="I12671" s="8" t="str">
        <f ca="1">IFERROR(__xludf.DUMMYFUNCTION("IF
(
G12672=""фізична особа""
,
VLOOKUP(H12672,IMPORTRANGE(""https://docs.google.com/spreadsheets/d/14Bd19lYaqBhU8_DElYkX7l4wRkHqqCUFNJY4AfY3kHU/edit?usp=sharing  #gid=0"",""фіз особи new!relations_name""),6,FALSE)
,
(IF
(
G12672=""юридична особа""
,
VLOO"&amp;"KUP(H12672,IMPORTRANGE(""https://docs.google.com/spreadsheets/d/14Bd19lYaqBhU8_DElYkX7l4wRkHqqCUFNJY4AfY3kHU/edit?usp=sharing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J12671" s="7" t="s">
        <v>23</v>
      </c>
    </row>
    <row r="12672" spans="1:10" ht="13.2">
      <c r="A12672" s="7">
        <v>12671</v>
      </c>
      <c r="B12672" s="7">
        <v>1</v>
      </c>
      <c r="C12672" s="7" t="s">
        <v>10</v>
      </c>
      <c r="D12672" s="7">
        <v>18280</v>
      </c>
      <c r="E12672" s="7" t="s">
        <v>23</v>
      </c>
      <c r="F12672" s="8" t="str">
        <f ca="1">IFERROR(__xludf.DUMMYFUNCTION("IF
(
C12673=""фізична особа""
,
VLOOKUP(D12673,IMPORTRANGE(""https://docs.google.com/spreadsheets/d/14Bd19lYaqBhU8_DElYkX7l4wRkHqqCUFNJY4AfY3kHU/edit?usp=sharing  #gid=0"",""фіз особи new!relations_name""),6,FALSE)
,
(IF
(
C12673=""юридична особа""
,
VLOO"&amp;"KUP(D12673,IMPORTRANGE(""https://docs.google.com/spreadsheets/d/14Bd19lYaqBhU8_DElYkX7l4wRkHqqCUFNJY4AfY3kHU/edit?usp=sharing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G12672" s="7" t="s">
        <v>10</v>
      </c>
      <c r="H12672" s="7">
        <v>18276</v>
      </c>
      <c r="I12672" s="8" t="str">
        <f ca="1">IFERROR(__xludf.DUMMYFUNCTION("IF
(
G12673=""фізична особа""
,
VLOOKUP(H12673,IMPORTRANGE(""https://docs.google.com/spreadsheets/d/14Bd19lYaqBhU8_DElYkX7l4wRkHqqCUFNJY4AfY3kHU/edit?usp=sharing  #gid=0"",""фіз особи new!relations_name""),6,FALSE)
,
(IF
(
G12673=""юридична особа""
,
VLOO"&amp;"KUP(H12673,IMPORTRANGE(""https://docs.google.com/spreadsheets/d/14Bd19lYaqBhU8_DElYkX7l4wRkHqqCUFNJY4AfY3kHU/edit?usp=sharing  #gid=0"",""фіз особи new!relations_name_uo""),7,FALSE)
,
)
))"),"КОННОВА Ірина Петрівна")</f>
        <v>КОННОВА Ірина Петрівна</v>
      </c>
      <c r="J12672" s="7" t="s">
        <v>23</v>
      </c>
    </row>
    <row r="12673" spans="1:10" ht="13.2">
      <c r="A12673" s="7">
        <v>12672</v>
      </c>
      <c r="B12673" s="7">
        <v>1</v>
      </c>
      <c r="C12673" s="7" t="s">
        <v>10</v>
      </c>
      <c r="D12673" s="7">
        <v>18280</v>
      </c>
      <c r="E12673" s="7" t="s">
        <v>23</v>
      </c>
      <c r="F12673" s="8" t="str">
        <f ca="1">IFERROR(__xludf.DUMMYFUNCTION("IF
(
C12674=""фізична особа""
,
VLOOKUP(D12674,IMPORTRANGE(""https://docs.google.com/spreadsheets/d/14Bd19lYaqBhU8_DElYkX7l4wRkHqqCUFNJY4AfY3kHU/edit?usp=sharing  #gid=0"",""фіз особи new!relations_name""),6,FALSE)
,
(IF
(
C12674=""юридична особа""
,
VLOO"&amp;"KUP(D12674,IMPORTRANGE(""https://docs.google.com/spreadsheets/d/14Bd19lYaqBhU8_DElYkX7l4wRkHqqCUFNJY4AfY3kHU/edit?usp=sharing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G12673" s="7" t="s">
        <v>10</v>
      </c>
      <c r="H12673" s="7">
        <v>18277</v>
      </c>
      <c r="I12673" s="8" t="str">
        <f ca="1">IFERROR(__xludf.DUMMYFUNCTION("IF
(
G12674=""фізична особа""
,
VLOOKUP(H12674,IMPORTRANGE(""https://docs.google.com/spreadsheets/d/14Bd19lYaqBhU8_DElYkX7l4wRkHqqCUFNJY4AfY3kHU/edit?usp=sharing  #gid=0"",""фіз особи new!relations_name""),6,FALSE)
,
(IF
(
G12674=""юридична особа""
,
VLOO"&amp;"KUP(H12674,IMPORTRANGE(""https://docs.google.com/spreadsheets/d/14Bd19lYaqBhU8_DElYkX7l4wRkHqqCUFNJY4AfY3kHU/edit?usp=sharing  #gid=0"",""фіз особи new!relations_name_uo""),7,FALSE)
,
)
))"),"ІВАНОВА Ганна Володимирівна")</f>
        <v>ІВАНОВА Ганна Володимирівна</v>
      </c>
      <c r="J12673" s="7" t="s">
        <v>23</v>
      </c>
    </row>
    <row r="12674" spans="1:10" ht="13.2">
      <c r="A12674" s="7">
        <v>12673</v>
      </c>
      <c r="B12674" s="7">
        <v>1</v>
      </c>
      <c r="C12674" s="7" t="s">
        <v>10</v>
      </c>
      <c r="D12674" s="7">
        <v>18280</v>
      </c>
      <c r="E12674" s="7" t="s">
        <v>23</v>
      </c>
      <c r="F12674" s="8" t="str">
        <f ca="1">IFERROR(__xludf.DUMMYFUNCTION("IF
(
C12675=""фізична особа""
,
VLOOKUP(D12675,IMPORTRANGE(""https://docs.google.com/spreadsheets/d/14Bd19lYaqBhU8_DElYkX7l4wRkHqqCUFNJY4AfY3kHU/edit?usp=sharing  #gid=0"",""фіз особи new!relations_name""),6,FALSE)
,
(IF
(
C12675=""юридична особа""
,
VLOO"&amp;"KUP(D12675,IMPORTRANGE(""https://docs.google.com/spreadsheets/d/14Bd19lYaqBhU8_DElYkX7l4wRkHqqCUFNJY4AfY3kHU/edit?usp=sharing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G12674" s="7" t="s">
        <v>10</v>
      </c>
      <c r="H12674" s="7">
        <v>18278</v>
      </c>
      <c r="I12674" s="8" t="str">
        <f ca="1">IFERROR(__xludf.DUMMYFUNCTION("IF
(
G12675=""фізична особа""
,
VLOOKUP(H12675,IMPORTRANGE(""https://docs.google.com/spreadsheets/d/14Bd19lYaqBhU8_DElYkX7l4wRkHqqCUFNJY4AfY3kHU/edit?usp=sharing  #gid=0"",""фіз особи new!relations_name""),6,FALSE)
,
(IF
(
G12675=""юридична особа""
,
VLOO"&amp;"KUP(H12675,IMPORTRANGE(""https://docs.google.com/spreadsheets/d/14Bd19lYaqBhU8_DElYkX7l4wRkHqqCUFNJY4AfY3kHU/edit?usp=sharing  #gid=0"",""фіз особи new!relations_name_uo""),7,FALSE)
,
)
))"),"СОКОЛОВА Юлія Володимирівна")</f>
        <v>СОКОЛОВА Юлія Володимирівна</v>
      </c>
      <c r="J12674" s="7" t="s">
        <v>23</v>
      </c>
    </row>
    <row r="12675" spans="1:10" ht="13.2">
      <c r="A12675" s="7">
        <v>12674</v>
      </c>
      <c r="B12675" s="7">
        <v>1</v>
      </c>
      <c r="C12675" s="7" t="s">
        <v>10</v>
      </c>
      <c r="D12675" s="7">
        <v>18280</v>
      </c>
      <c r="E12675" s="7" t="s">
        <v>23</v>
      </c>
      <c r="F12675" s="8" t="str">
        <f ca="1">IFERROR(__xludf.DUMMYFUNCTION("IF
(
C12676=""фізична особа""
,
VLOOKUP(D12676,IMPORTRANGE(""https://docs.google.com/spreadsheets/d/14Bd19lYaqBhU8_DElYkX7l4wRkHqqCUFNJY4AfY3kHU/edit?usp=sharing  #gid=0"",""фіз особи new!relations_name""),6,FALSE)
,
(IF
(
C12676=""юридична особа""
,
VLOO"&amp;"KUP(D12676,IMPORTRANGE(""https://docs.google.com/spreadsheets/d/14Bd19lYaqBhU8_DElYkX7l4wRkHqqCUFNJY4AfY3kHU/edit?usp=sharing  #gid=0"",""фіз особи new!relations_name_uo""),7,FALSE)
,
)
))"),"ХАЙРУЛЛІН Ілшат Назіпович")</f>
        <v>ХАЙРУЛЛІН Ілшат Назіпович</v>
      </c>
      <c r="G12675" s="7" t="s">
        <v>10</v>
      </c>
      <c r="H12675" s="7">
        <v>18279</v>
      </c>
      <c r="I12675" s="8" t="str">
        <f ca="1">IFERROR(__xludf.DUMMYFUNCTION("IF
(
G12676=""фізична особа""
,
VLOOKUP(H12676,IMPORTRANGE(""https://docs.google.com/spreadsheets/d/14Bd19lYaqBhU8_DElYkX7l4wRkHqqCUFNJY4AfY3kHU/edit?usp=sharing  #gid=0"",""фіз особи new!relations_name""),6,FALSE)
,
(IF
(
G12676=""юридична особа""
,
VLOO"&amp;"KUP(H12676,IMPORTRANGE(""https://docs.google.com/spreadsheets/d/14Bd19lYaqBhU8_DElYkX7l4wRkHqqCUFNJY4AfY3kHU/edit?usp=sharing  #gid=0"",""фіз особи new!relations_name_uo""),7,FALSE)
,
)
))"),"ХАЙРУЛЛІН Булат Ілшатович")</f>
        <v>ХАЙРУЛЛІН Булат Ілшатович</v>
      </c>
      <c r="J12675" s="7" t="s">
        <v>23</v>
      </c>
    </row>
    <row r="12676" spans="1:10" ht="13.2">
      <c r="A12676" s="7">
        <v>12675</v>
      </c>
      <c r="B12676" s="7">
        <v>1</v>
      </c>
      <c r="C12676" s="7" t="s">
        <v>10</v>
      </c>
      <c r="D12676" s="7">
        <v>18281</v>
      </c>
      <c r="E12676" s="7" t="s">
        <v>23</v>
      </c>
      <c r="F12676" s="8" t="str">
        <f ca="1">IFERROR(__xludf.DUMMYFUNCTION("IF
(
C12677=""фізична особа""
,
VLOOKUP(D12677,IMPORTRANGE(""https://docs.google.com/spreadsheets/d/14Bd19lYaqBhU8_DElYkX7l4wRkHqqCUFNJY4AfY3kHU/edit?usp=sharing  #gid=0"",""фіз особи new!relations_name""),6,FALSE)
,
(IF
(
C12677=""юридична особа""
,
VLOO"&amp;"KUP(D12677,IMPORTRANGE(""https://docs.google.com/spreadsheets/d/14Bd19lYaqBhU8_DElYkX7l4wRkHqqCUFNJY4AfY3kHU/edit?usp=sharing  #gid=0"",""фіз особи new!relations_name_uo""),7,FALSE)
,
)
))"),"ХАКІ Реджеп")</f>
        <v>ХАКІ Реджеп</v>
      </c>
      <c r="G12676" s="7" t="s">
        <v>10</v>
      </c>
      <c r="H12676" s="7">
        <v>18282</v>
      </c>
      <c r="I12676" s="8" t="str">
        <f ca="1">IFERROR(__xludf.DUMMYFUNCTION("IF
(
G12677=""фізична особа""
,
VLOOKUP(H12677,IMPORTRANGE(""https://docs.google.com/spreadsheets/d/14Bd19lYaqBhU8_DElYkX7l4wRkHqqCUFNJY4AfY3kHU/edit?usp=sharing  #gid=0"",""фіз особи new!relations_name""),6,FALSE)
,
(IF
(
G12677=""юридична особа""
,
VLOO"&amp;"KUP(H12677,IMPORTRANGE(""https://docs.google.com/spreadsheets/d/14Bd19lYaqBhU8_DElYkX7l4wRkHqqCUFNJY4AfY3kHU/edit?usp=sharing  #gid=0"",""фіз особи new!relations_name_uo""),7,FALSE)
,
)
))"),"ГЮРСОЙ Озан")</f>
        <v>ГЮРСОЙ Озан</v>
      </c>
      <c r="J12676" s="7" t="s">
        <v>23</v>
      </c>
    </row>
    <row r="12677" spans="1:10" ht="13.2">
      <c r="A12677" s="7">
        <v>12676</v>
      </c>
      <c r="B12677" s="7">
        <v>1</v>
      </c>
      <c r="C12677" s="7" t="s">
        <v>10</v>
      </c>
      <c r="D12677" s="7">
        <v>18281</v>
      </c>
      <c r="E12677" s="7" t="s">
        <v>23</v>
      </c>
      <c r="F12677" s="8" t="str">
        <f ca="1">IFERROR(__xludf.DUMMYFUNCTION("IF
(
C12678=""фізична особа""
,
VLOOKUP(D12678,IMPORTRANGE(""https://docs.google.com/spreadsheets/d/14Bd19lYaqBhU8_DElYkX7l4wRkHqqCUFNJY4AfY3kHU/edit?usp=sharing  #gid=0"",""фіз особи new!relations_name""),6,FALSE)
,
(IF
(
C12678=""юридична особа""
,
VLOO"&amp;"KUP(D12678,IMPORTRANGE(""https://docs.google.com/spreadsheets/d/14Bd19lYaqBhU8_DElYkX7l4wRkHqqCUFNJY4AfY3kHU/edit?usp=sharing  #gid=0"",""фіз особи new!relations_name_uo""),7,FALSE)
,
)
))"),"ХАКІ Реджеп")</f>
        <v>ХАКІ Реджеп</v>
      </c>
      <c r="G12677" s="7" t="s">
        <v>10</v>
      </c>
      <c r="H12677" s="7">
        <v>18283</v>
      </c>
      <c r="I12677" s="8" t="str">
        <f ca="1">IFERROR(__xludf.DUMMYFUNCTION("IF
(
G12678=""фізична особа""
,
VLOOKUP(H12678,IMPORTRANGE(""https://docs.google.com/spreadsheets/d/14Bd19lYaqBhU8_DElYkX7l4wRkHqqCUFNJY4AfY3kHU/edit?usp=sharing  #gid=0"",""фіз особи new!relations_name""),6,FALSE)
,
(IF
(
G12678=""юридична особа""
,
VLOO"&amp;"KUP(H12678,IMPORTRANGE(""https://docs.google.com/spreadsheets/d/14Bd19lYaqBhU8_DElYkX7l4wRkHqqCUFNJY4AfY3kHU/edit?usp=sharing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J12677" s="7" t="s">
        <v>23</v>
      </c>
    </row>
    <row r="12678" spans="1:10" ht="13.2">
      <c r="A12678" s="7">
        <v>12677</v>
      </c>
      <c r="B12678" s="7">
        <v>1</v>
      </c>
      <c r="C12678" s="7" t="s">
        <v>10</v>
      </c>
      <c r="D12678" s="7">
        <v>18281</v>
      </c>
      <c r="E12678" s="7" t="s">
        <v>23</v>
      </c>
      <c r="F12678" s="8" t="str">
        <f ca="1">IFERROR(__xludf.DUMMYFUNCTION("IF
(
C12679=""фізична особа""
,
VLOOKUP(D12679,IMPORTRANGE(""https://docs.google.com/spreadsheets/d/14Bd19lYaqBhU8_DElYkX7l4wRkHqqCUFNJY4AfY3kHU/edit?usp=sharing  #gid=0"",""фіз особи new!relations_name""),6,FALSE)
,
(IF
(
C12679=""юридична особа""
,
VLOO"&amp;"KUP(D12679,IMPORTRANGE(""https://docs.google.com/spreadsheets/d/14Bd19lYaqBhU8_DElYkX7l4wRkHqqCUFNJY4AfY3kHU/edit?usp=sharing  #gid=0"",""фіз особи new!relations_name_uo""),7,FALSE)
,
)
))"),"ХАКІ Реджеп")</f>
        <v>ХАКІ Реджеп</v>
      </c>
      <c r="G12678" s="7" t="s">
        <v>10</v>
      </c>
      <c r="H12678" s="7">
        <v>18284</v>
      </c>
      <c r="I12678" s="8" t="str">
        <f ca="1">IFERROR(__xludf.DUMMYFUNCTION("IF
(
G12679=""фізична особа""
,
VLOOKUP(H12679,IMPORTRANGE(""https://docs.google.com/spreadsheets/d/14Bd19lYaqBhU8_DElYkX7l4wRkHqqCUFNJY4AfY3kHU/edit?usp=sharing  #gid=0"",""фіз особи new!relations_name""),6,FALSE)
,
(IF
(
G12679=""юридична особа""
,
VLOO"&amp;"KUP(H12679,IMPORTRANGE(""https://docs.google.com/spreadsheets/d/14Bd19lYaqBhU8_DElYkX7l4wRkHqqCUFNJY4AfY3kHU/edit?usp=sharing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J12678" s="7" t="s">
        <v>23</v>
      </c>
    </row>
    <row r="12679" spans="1:10" ht="13.2">
      <c r="A12679" s="7">
        <v>12678</v>
      </c>
      <c r="B12679" s="7">
        <v>1</v>
      </c>
      <c r="C12679" s="7" t="s">
        <v>10</v>
      </c>
      <c r="D12679" s="7">
        <v>18281</v>
      </c>
      <c r="E12679" s="7" t="s">
        <v>23</v>
      </c>
      <c r="F12679" s="8" t="str">
        <f ca="1">IFERROR(__xludf.DUMMYFUNCTION("IF
(
C12680=""фізична особа""
,
VLOOKUP(D12680,IMPORTRANGE(""https://docs.google.com/spreadsheets/d/14Bd19lYaqBhU8_DElYkX7l4wRkHqqCUFNJY4AfY3kHU/edit?usp=sharing  #gid=0"",""фіз особи new!relations_name""),6,FALSE)
,
(IF
(
C12680=""юридична особа""
,
VLOO"&amp;"KUP(D12680,IMPORTRANGE(""https://docs.google.com/spreadsheets/d/14Bd19lYaqBhU8_DElYkX7l4wRkHqqCUFNJY4AfY3kHU/edit?usp=sharing  #gid=0"",""фіз особи new!relations_name_uo""),7,FALSE)
,
)
))"),"ХАКІ Реджеп")</f>
        <v>ХАКІ Реджеп</v>
      </c>
      <c r="G12679" s="7" t="s">
        <v>10</v>
      </c>
      <c r="H12679" s="7">
        <v>18285</v>
      </c>
      <c r="I12679" s="8" t="str">
        <f ca="1">IFERROR(__xludf.DUMMYFUNCTION("IF
(
G12680=""фізична особа""
,
VLOOKUP(H12680,IMPORTRANGE(""https://docs.google.com/spreadsheets/d/14Bd19lYaqBhU8_DElYkX7l4wRkHqqCUFNJY4AfY3kHU/edit?usp=sharing  #gid=0"",""фіз особи new!relations_name""),6,FALSE)
,
(IF
(
G12680=""юридична особа""
,
VLOO"&amp;"KUP(H12680,IMPORTRANGE(""https://docs.google.com/spreadsheets/d/14Bd19lYaqBhU8_DElYkX7l4wRkHqqCUFNJY4AfY3kHU/edit?usp=sharing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J12679" s="7" t="s">
        <v>23</v>
      </c>
    </row>
    <row r="12680" spans="1:10" ht="13.2">
      <c r="A12680" s="7">
        <v>12679</v>
      </c>
      <c r="B12680" s="7">
        <v>1</v>
      </c>
      <c r="C12680" s="7" t="s">
        <v>10</v>
      </c>
      <c r="D12680" s="7">
        <v>18281</v>
      </c>
      <c r="E12680" s="7" t="s">
        <v>23</v>
      </c>
      <c r="F12680" s="8" t="str">
        <f ca="1">IFERROR(__xludf.DUMMYFUNCTION("IF
(
C12681=""фізична особа""
,
VLOOKUP(D12681,IMPORTRANGE(""https://docs.google.com/spreadsheets/d/14Bd19lYaqBhU8_DElYkX7l4wRkHqqCUFNJY4AfY3kHU/edit?usp=sharing  #gid=0"",""фіз особи new!relations_name""),6,FALSE)
,
(IF
(
C12681=""юридична особа""
,
VLOO"&amp;"KUP(D12681,IMPORTRANGE(""https://docs.google.com/spreadsheets/d/14Bd19lYaqBhU8_DElYkX7l4wRkHqqCUFNJY4AfY3kHU/edit?usp=sharing  #gid=0"",""фіз особи new!relations_name_uo""),7,FALSE)
,
)
))"),"ХАКІ Реджеп")</f>
        <v>ХАКІ Реджеп</v>
      </c>
      <c r="G12680" s="7" t="s">
        <v>10</v>
      </c>
      <c r="H12680" s="7">
        <v>23647</v>
      </c>
      <c r="I12680" s="8" t="str">
        <f ca="1">IFERROR(__xludf.DUMMYFUNCTION("IF
(
G12681=""фізична особа""
,
VLOOKUP(H12681,IMPORTRANGE(""https://docs.google.com/spreadsheets/d/14Bd19lYaqBhU8_DElYkX7l4wRkHqqCUFNJY4AfY3kHU/edit?usp=sharing  #gid=0"",""фіз особи new!relations_name""),6,FALSE)
,
(IF
(
G12681=""юридична особа""
,
VLOO"&amp;"KUP(H12681,IMPORTRANGE(""https://docs.google.com/spreadsheets/d/14Bd19lYaqBhU8_DElYkX7l4wRkHqqCUFNJY4AfY3kHU/edit?usp=sharing  #gid=0"",""фіз особи new!relations_name_uo""),7,FALSE)
,
)
))"),"ЧИСТЯКОВ Максим")</f>
        <v>ЧИСТЯКОВ Максим</v>
      </c>
      <c r="J12680" s="7" t="s">
        <v>23</v>
      </c>
    </row>
    <row r="12681" spans="1:10" ht="13.2">
      <c r="A12681" s="7">
        <v>12680</v>
      </c>
      <c r="B12681" s="7">
        <v>1</v>
      </c>
      <c r="C12681" s="7" t="s">
        <v>10</v>
      </c>
      <c r="D12681" s="7">
        <v>18282</v>
      </c>
      <c r="E12681" s="7" t="s">
        <v>23</v>
      </c>
      <c r="F12681" s="8" t="str">
        <f ca="1">IFERROR(__xludf.DUMMYFUNCTION("IF
(
C12682=""фізична особа""
,
VLOOKUP(D12682,IMPORTRANGE(""https://docs.google.com/spreadsheets/d/14Bd19lYaqBhU8_DElYkX7l4wRkHqqCUFNJY4AfY3kHU/edit?usp=sharing  #gid=0"",""фіз особи new!relations_name""),6,FALSE)
,
(IF
(
C12682=""юридична особа""
,
VLOO"&amp;"KUP(D12682,IMPORTRANGE(""https://docs.google.com/spreadsheets/d/14Bd19lYaqBhU8_DElYkX7l4wRkHqqCUFNJY4AfY3kHU/edit?usp=sharing  #gid=0"",""фіз особи new!relations_name_uo""),7,FALSE)
,
)
))"),"ГЮРСОЙ Озан")</f>
        <v>ГЮРСОЙ Озан</v>
      </c>
      <c r="G12681" s="7" t="s">
        <v>10</v>
      </c>
      <c r="H12681" s="7">
        <v>18281</v>
      </c>
      <c r="I12681" s="8" t="str">
        <f ca="1">IFERROR(__xludf.DUMMYFUNCTION("IF
(
G12682=""фізична особа""
,
VLOOKUP(H12682,IMPORTRANGE(""https://docs.google.com/spreadsheets/d/14Bd19lYaqBhU8_DElYkX7l4wRkHqqCUFNJY4AfY3kHU/edit?usp=sharing  #gid=0"",""фіз особи new!relations_name""),6,FALSE)
,
(IF
(
G12682=""юридична особа""
,
VLOO"&amp;"KUP(H12682,IMPORTRANGE(""https://docs.google.com/spreadsheets/d/14Bd19lYaqBhU8_DElYkX7l4wRkHqqCUFNJY4AfY3kHU/edit?usp=sharing  #gid=0"",""фіз особи new!relations_name_uo""),7,FALSE)
,
)
))"),"ХАКІ Реджеп")</f>
        <v>ХАКІ Реджеп</v>
      </c>
      <c r="J12681" s="7" t="s">
        <v>23</v>
      </c>
    </row>
    <row r="12682" spans="1:10" ht="13.2">
      <c r="A12682" s="7">
        <v>12681</v>
      </c>
      <c r="B12682" s="7">
        <v>1</v>
      </c>
      <c r="C12682" s="7" t="s">
        <v>10</v>
      </c>
      <c r="D12682" s="7">
        <v>18282</v>
      </c>
      <c r="E12682" s="7" t="s">
        <v>23</v>
      </c>
      <c r="F12682" s="8" t="str">
        <f ca="1">IFERROR(__xludf.DUMMYFUNCTION("IF
(
C12683=""фізична особа""
,
VLOOKUP(D12683,IMPORTRANGE(""https://docs.google.com/spreadsheets/d/14Bd19lYaqBhU8_DElYkX7l4wRkHqqCUFNJY4AfY3kHU/edit?usp=sharing  #gid=0"",""фіз особи new!relations_name""),6,FALSE)
,
(IF
(
C12683=""юридична особа""
,
VLOO"&amp;"KUP(D12683,IMPORTRANGE(""https://docs.google.com/spreadsheets/d/14Bd19lYaqBhU8_DElYkX7l4wRkHqqCUFNJY4AfY3kHU/edit?usp=sharing  #gid=0"",""фіз особи new!relations_name_uo""),7,FALSE)
,
)
))"),"ГЮРСОЙ Озан")</f>
        <v>ГЮРСОЙ Озан</v>
      </c>
      <c r="G12682" s="7" t="s">
        <v>10</v>
      </c>
      <c r="H12682" s="7">
        <v>18283</v>
      </c>
      <c r="I12682" s="8" t="str">
        <f ca="1">IFERROR(__xludf.DUMMYFUNCTION("IF
(
G12683=""фізична особа""
,
VLOOKUP(H12683,IMPORTRANGE(""https://docs.google.com/spreadsheets/d/14Bd19lYaqBhU8_DElYkX7l4wRkHqqCUFNJY4AfY3kHU/edit?usp=sharing  #gid=0"",""фіз особи new!relations_name""),6,FALSE)
,
(IF
(
G12683=""юридична особа""
,
VLOO"&amp;"KUP(H12683,IMPORTRANGE(""https://docs.google.com/spreadsheets/d/14Bd19lYaqBhU8_DElYkX7l4wRkHqqCUFNJY4AfY3kHU/edit?usp=sharing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J12682" s="7" t="s">
        <v>23</v>
      </c>
    </row>
    <row r="12683" spans="1:10" ht="13.2">
      <c r="A12683" s="7">
        <v>12682</v>
      </c>
      <c r="B12683" s="7">
        <v>1</v>
      </c>
      <c r="C12683" s="7" t="s">
        <v>10</v>
      </c>
      <c r="D12683" s="7">
        <v>18282</v>
      </c>
      <c r="E12683" s="7" t="s">
        <v>23</v>
      </c>
      <c r="F12683" s="8" t="str">
        <f ca="1">IFERROR(__xludf.DUMMYFUNCTION("IF
(
C12684=""фізична особа""
,
VLOOKUP(D12684,IMPORTRANGE(""https://docs.google.com/spreadsheets/d/14Bd19lYaqBhU8_DElYkX7l4wRkHqqCUFNJY4AfY3kHU/edit?usp=sharing  #gid=0"",""фіз особи new!relations_name""),6,FALSE)
,
(IF
(
C12684=""юридична особа""
,
VLOO"&amp;"KUP(D12684,IMPORTRANGE(""https://docs.google.com/spreadsheets/d/14Bd19lYaqBhU8_DElYkX7l4wRkHqqCUFNJY4AfY3kHU/edit?usp=sharing  #gid=0"",""фіз особи new!relations_name_uo""),7,FALSE)
,
)
))"),"ГЮРСОЙ Озан")</f>
        <v>ГЮРСОЙ Озан</v>
      </c>
      <c r="G12683" s="7" t="s">
        <v>10</v>
      </c>
      <c r="H12683" s="7">
        <v>18284</v>
      </c>
      <c r="I12683" s="8" t="str">
        <f ca="1">IFERROR(__xludf.DUMMYFUNCTION("IF
(
G12684=""фізична особа""
,
VLOOKUP(H12684,IMPORTRANGE(""https://docs.google.com/spreadsheets/d/14Bd19lYaqBhU8_DElYkX7l4wRkHqqCUFNJY4AfY3kHU/edit?usp=sharing  #gid=0"",""фіз особи new!relations_name""),6,FALSE)
,
(IF
(
G12684=""юридична особа""
,
VLOO"&amp;"KUP(H12684,IMPORTRANGE(""https://docs.google.com/spreadsheets/d/14Bd19lYaqBhU8_DElYkX7l4wRkHqqCUFNJY4AfY3kHU/edit?usp=sharing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J12683" s="7" t="s">
        <v>23</v>
      </c>
    </row>
    <row r="12684" spans="1:10" ht="13.2">
      <c r="A12684" s="7">
        <v>12683</v>
      </c>
      <c r="B12684" s="7">
        <v>1</v>
      </c>
      <c r="C12684" s="7" t="s">
        <v>10</v>
      </c>
      <c r="D12684" s="7">
        <v>18282</v>
      </c>
      <c r="E12684" s="7" t="s">
        <v>23</v>
      </c>
      <c r="F12684" s="8" t="str">
        <f ca="1">IFERROR(__xludf.DUMMYFUNCTION("IF
(
C12685=""фізична особа""
,
VLOOKUP(D12685,IMPORTRANGE(""https://docs.google.com/spreadsheets/d/14Bd19lYaqBhU8_DElYkX7l4wRkHqqCUFNJY4AfY3kHU/edit?usp=sharing  #gid=0"",""фіз особи new!relations_name""),6,FALSE)
,
(IF
(
C12685=""юридична особа""
,
VLOO"&amp;"KUP(D12685,IMPORTRANGE(""https://docs.google.com/spreadsheets/d/14Bd19lYaqBhU8_DElYkX7l4wRkHqqCUFNJY4AfY3kHU/edit?usp=sharing  #gid=0"",""фіз особи new!relations_name_uo""),7,FALSE)
,
)
))"),"ГЮРСОЙ Озан")</f>
        <v>ГЮРСОЙ Озан</v>
      </c>
      <c r="G12684" s="7" t="s">
        <v>10</v>
      </c>
      <c r="H12684" s="7">
        <v>18285</v>
      </c>
      <c r="I12684" s="8" t="str">
        <f ca="1">IFERROR(__xludf.DUMMYFUNCTION("IF
(
G12685=""фізична особа""
,
VLOOKUP(H12685,IMPORTRANGE(""https://docs.google.com/spreadsheets/d/14Bd19lYaqBhU8_DElYkX7l4wRkHqqCUFNJY4AfY3kHU/edit?usp=sharing  #gid=0"",""фіз особи new!relations_name""),6,FALSE)
,
(IF
(
G12685=""юридична особа""
,
VLOO"&amp;"KUP(H12685,IMPORTRANGE(""https://docs.google.com/spreadsheets/d/14Bd19lYaqBhU8_DElYkX7l4wRkHqqCUFNJY4AfY3kHU/edit?usp=sharing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J12684" s="7" t="s">
        <v>23</v>
      </c>
    </row>
    <row r="12685" spans="1:10" ht="13.2">
      <c r="A12685" s="7">
        <v>12684</v>
      </c>
      <c r="B12685" s="7">
        <v>1</v>
      </c>
      <c r="C12685" s="7" t="s">
        <v>10</v>
      </c>
      <c r="D12685" s="7">
        <v>18282</v>
      </c>
      <c r="E12685" s="7" t="s">
        <v>23</v>
      </c>
      <c r="F12685" s="8" t="str">
        <f ca="1">IFERROR(__xludf.DUMMYFUNCTION("IF
(
C12686=""фізична особа""
,
VLOOKUP(D12686,IMPORTRANGE(""https://docs.google.com/spreadsheets/d/14Bd19lYaqBhU8_DElYkX7l4wRkHqqCUFNJY4AfY3kHU/edit?usp=sharing  #gid=0"",""фіз особи new!relations_name""),6,FALSE)
,
(IF
(
C12686=""юридична особа""
,
VLOO"&amp;"KUP(D12686,IMPORTRANGE(""https://docs.google.com/spreadsheets/d/14Bd19lYaqBhU8_DElYkX7l4wRkHqqCUFNJY4AfY3kHU/edit?usp=sharing  #gid=0"",""фіз особи new!relations_name_uo""),7,FALSE)
,
)
))"),"ГЮРСОЙ Озан")</f>
        <v>ГЮРСОЙ Озан</v>
      </c>
      <c r="G12685" s="7" t="s">
        <v>10</v>
      </c>
      <c r="H12685" s="7">
        <v>23647</v>
      </c>
      <c r="I12685" s="8" t="str">
        <f ca="1">IFERROR(__xludf.DUMMYFUNCTION("IF
(
G12686=""фізична особа""
,
VLOOKUP(H12686,IMPORTRANGE(""https://docs.google.com/spreadsheets/d/14Bd19lYaqBhU8_DElYkX7l4wRkHqqCUFNJY4AfY3kHU/edit?usp=sharing  #gid=0"",""фіз особи new!relations_name""),6,FALSE)
,
(IF
(
G12686=""юридична особа""
,
VLOO"&amp;"KUP(H12686,IMPORTRANGE(""https://docs.google.com/spreadsheets/d/14Bd19lYaqBhU8_DElYkX7l4wRkHqqCUFNJY4AfY3kHU/edit?usp=sharing  #gid=0"",""фіз особи new!relations_name_uo""),7,FALSE)
,
)
))"),"ЧИСТЯКОВ Максим")</f>
        <v>ЧИСТЯКОВ Максим</v>
      </c>
      <c r="J12685" s="7" t="s">
        <v>23</v>
      </c>
    </row>
    <row r="12686" spans="1:10" ht="13.2">
      <c r="A12686" s="7">
        <v>12685</v>
      </c>
      <c r="B12686" s="7">
        <v>1</v>
      </c>
      <c r="C12686" s="7" t="s">
        <v>10</v>
      </c>
      <c r="D12686" s="7">
        <v>18283</v>
      </c>
      <c r="E12686" s="7" t="s">
        <v>23</v>
      </c>
      <c r="F12686" s="8" t="str">
        <f ca="1">IFERROR(__xludf.DUMMYFUNCTION("IF
(
C12687=""фізична особа""
,
VLOOKUP(D12687,IMPORTRANGE(""https://docs.google.com/spreadsheets/d/14Bd19lYaqBhU8_DElYkX7l4wRkHqqCUFNJY4AfY3kHU/edit?usp=sharing  #gid=0"",""фіз особи new!relations_name""),6,FALSE)
,
(IF
(
C12687=""юридична особа""
,
VLOO"&amp;"KUP(D12687,IMPORTRANGE(""https://docs.google.com/spreadsheets/d/14Bd19lYaqBhU8_DElYkX7l4wRkHqqCUFNJY4AfY3kHU/edit?usp=sharing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G12686" s="7" t="s">
        <v>10</v>
      </c>
      <c r="H12686" s="7">
        <v>18281</v>
      </c>
      <c r="I12686" s="8" t="str">
        <f ca="1">IFERROR(__xludf.DUMMYFUNCTION("IF
(
G12687=""фізична особа""
,
VLOOKUP(H12687,IMPORTRANGE(""https://docs.google.com/spreadsheets/d/14Bd19lYaqBhU8_DElYkX7l4wRkHqqCUFNJY4AfY3kHU/edit?usp=sharing  #gid=0"",""фіз особи new!relations_name""),6,FALSE)
,
(IF
(
G12687=""юридична особа""
,
VLOO"&amp;"KUP(H12687,IMPORTRANGE(""https://docs.google.com/spreadsheets/d/14Bd19lYaqBhU8_DElYkX7l4wRkHqqCUFNJY4AfY3kHU/edit?usp=sharing  #gid=0"",""фіз особи new!relations_name_uo""),7,FALSE)
,
)
))"),"ХАКІ Реджеп")</f>
        <v>ХАКІ Реджеп</v>
      </c>
      <c r="J12686" s="7" t="s">
        <v>23</v>
      </c>
    </row>
    <row r="12687" spans="1:10" ht="13.2">
      <c r="A12687" s="7">
        <v>12686</v>
      </c>
      <c r="B12687" s="7">
        <v>1</v>
      </c>
      <c r="C12687" s="7" t="s">
        <v>10</v>
      </c>
      <c r="D12687" s="7">
        <v>18283</v>
      </c>
      <c r="E12687" s="7" t="s">
        <v>23</v>
      </c>
      <c r="F12687" s="8" t="str">
        <f ca="1">IFERROR(__xludf.DUMMYFUNCTION("IF
(
C12688=""фізична особа""
,
VLOOKUP(D12688,IMPORTRANGE(""https://docs.google.com/spreadsheets/d/14Bd19lYaqBhU8_DElYkX7l4wRkHqqCUFNJY4AfY3kHU/edit?usp=sharing  #gid=0"",""фіз особи new!relations_name""),6,FALSE)
,
(IF
(
C12688=""юридична особа""
,
VLOO"&amp;"KUP(D12688,IMPORTRANGE(""https://docs.google.com/spreadsheets/d/14Bd19lYaqBhU8_DElYkX7l4wRkHqqCUFNJY4AfY3kHU/edit?usp=sharing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G12687" s="7" t="s">
        <v>10</v>
      </c>
      <c r="H12687" s="7">
        <v>18282</v>
      </c>
      <c r="I12687" s="8" t="str">
        <f ca="1">IFERROR(__xludf.DUMMYFUNCTION("IF
(
G12688=""фізична особа""
,
VLOOKUP(H12688,IMPORTRANGE(""https://docs.google.com/spreadsheets/d/14Bd19lYaqBhU8_DElYkX7l4wRkHqqCUFNJY4AfY3kHU/edit?usp=sharing  #gid=0"",""фіз особи new!relations_name""),6,FALSE)
,
(IF
(
G12688=""юридична особа""
,
VLOO"&amp;"KUP(H12688,IMPORTRANGE(""https://docs.google.com/spreadsheets/d/14Bd19lYaqBhU8_DElYkX7l4wRkHqqCUFNJY4AfY3kHU/edit?usp=sharing  #gid=0"",""фіз особи new!relations_name_uo""),7,FALSE)
,
)
))"),"ГЮРСОЙ Озан")</f>
        <v>ГЮРСОЙ Озан</v>
      </c>
      <c r="J12687" s="7" t="s">
        <v>23</v>
      </c>
    </row>
    <row r="12688" spans="1:10" ht="13.2">
      <c r="A12688" s="7">
        <v>12687</v>
      </c>
      <c r="B12688" s="7">
        <v>1</v>
      </c>
      <c r="C12688" s="7" t="s">
        <v>10</v>
      </c>
      <c r="D12688" s="7">
        <v>18283</v>
      </c>
      <c r="E12688" s="7" t="s">
        <v>23</v>
      </c>
      <c r="F12688" s="8" t="str">
        <f ca="1">IFERROR(__xludf.DUMMYFUNCTION("IF
(
C12689=""фізична особа""
,
VLOOKUP(D12689,IMPORTRANGE(""https://docs.google.com/spreadsheets/d/14Bd19lYaqBhU8_DElYkX7l4wRkHqqCUFNJY4AfY3kHU/edit?usp=sharing  #gid=0"",""фіз особи new!relations_name""),6,FALSE)
,
(IF
(
C12689=""юридична особа""
,
VLOO"&amp;"KUP(D12689,IMPORTRANGE(""https://docs.google.com/spreadsheets/d/14Bd19lYaqBhU8_DElYkX7l4wRkHqqCUFNJY4AfY3kHU/edit?usp=sharing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G12688" s="7" t="s">
        <v>10</v>
      </c>
      <c r="H12688" s="7">
        <v>18284</v>
      </c>
      <c r="I12688" s="8" t="str">
        <f ca="1">IFERROR(__xludf.DUMMYFUNCTION("IF
(
G12689=""фізична особа""
,
VLOOKUP(H12689,IMPORTRANGE(""https://docs.google.com/spreadsheets/d/14Bd19lYaqBhU8_DElYkX7l4wRkHqqCUFNJY4AfY3kHU/edit?usp=sharing  #gid=0"",""фіз особи new!relations_name""),6,FALSE)
,
(IF
(
G12689=""юридична особа""
,
VLOO"&amp;"KUP(H12689,IMPORTRANGE(""https://docs.google.com/spreadsheets/d/14Bd19lYaqBhU8_DElYkX7l4wRkHqqCUFNJY4AfY3kHU/edit?usp=sharing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J12688" s="7" t="s">
        <v>23</v>
      </c>
    </row>
    <row r="12689" spans="1:10" ht="13.2">
      <c r="A12689" s="7">
        <v>12688</v>
      </c>
      <c r="B12689" s="7">
        <v>1</v>
      </c>
      <c r="C12689" s="7" t="s">
        <v>10</v>
      </c>
      <c r="D12689" s="7">
        <v>18283</v>
      </c>
      <c r="E12689" s="7" t="s">
        <v>23</v>
      </c>
      <c r="F12689" s="8" t="str">
        <f ca="1">IFERROR(__xludf.DUMMYFUNCTION("IF
(
C12690=""фізична особа""
,
VLOOKUP(D12690,IMPORTRANGE(""https://docs.google.com/spreadsheets/d/14Bd19lYaqBhU8_DElYkX7l4wRkHqqCUFNJY4AfY3kHU/edit?usp=sharing  #gid=0"",""фіз особи new!relations_name""),6,FALSE)
,
(IF
(
C12690=""юридична особа""
,
VLOO"&amp;"KUP(D12690,IMPORTRANGE(""https://docs.google.com/spreadsheets/d/14Bd19lYaqBhU8_DElYkX7l4wRkHqqCUFNJY4AfY3kHU/edit?usp=sharing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G12689" s="7" t="s">
        <v>10</v>
      </c>
      <c r="H12689" s="7">
        <v>18285</v>
      </c>
      <c r="I12689" s="8" t="str">
        <f ca="1">IFERROR(__xludf.DUMMYFUNCTION("IF
(
G12690=""фізична особа""
,
VLOOKUP(H12690,IMPORTRANGE(""https://docs.google.com/spreadsheets/d/14Bd19lYaqBhU8_DElYkX7l4wRkHqqCUFNJY4AfY3kHU/edit?usp=sharing  #gid=0"",""фіз особи new!relations_name""),6,FALSE)
,
(IF
(
G12690=""юридична особа""
,
VLOO"&amp;"KUP(H12690,IMPORTRANGE(""https://docs.google.com/spreadsheets/d/14Bd19lYaqBhU8_DElYkX7l4wRkHqqCUFNJY4AfY3kHU/edit?usp=sharing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J12689" s="7" t="s">
        <v>23</v>
      </c>
    </row>
    <row r="12690" spans="1:10" ht="13.2">
      <c r="A12690" s="7">
        <v>12689</v>
      </c>
      <c r="B12690" s="7">
        <v>1</v>
      </c>
      <c r="C12690" s="7" t="s">
        <v>10</v>
      </c>
      <c r="D12690" s="7">
        <v>18283</v>
      </c>
      <c r="E12690" s="7" t="s">
        <v>23</v>
      </c>
      <c r="F12690" s="8" t="str">
        <f ca="1">IFERROR(__xludf.DUMMYFUNCTION("IF
(
C12691=""фізична особа""
,
VLOOKUP(D12691,IMPORTRANGE(""https://docs.google.com/spreadsheets/d/14Bd19lYaqBhU8_DElYkX7l4wRkHqqCUFNJY4AfY3kHU/edit?usp=sharing  #gid=0"",""фіз особи new!relations_name""),6,FALSE)
,
(IF
(
C12691=""юридична особа""
,
VLOO"&amp;"KUP(D12691,IMPORTRANGE(""https://docs.google.com/spreadsheets/d/14Bd19lYaqBhU8_DElYkX7l4wRkHqqCUFNJY4AfY3kHU/edit?usp=sharing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G12690" s="7" t="s">
        <v>10</v>
      </c>
      <c r="H12690" s="7">
        <v>23647</v>
      </c>
      <c r="I12690" s="8" t="str">
        <f ca="1">IFERROR(__xludf.DUMMYFUNCTION("IF
(
G12691=""фізична особа""
,
VLOOKUP(H12691,IMPORTRANGE(""https://docs.google.com/spreadsheets/d/14Bd19lYaqBhU8_DElYkX7l4wRkHqqCUFNJY4AfY3kHU/edit?usp=sharing  #gid=0"",""фіз особи new!relations_name""),6,FALSE)
,
(IF
(
G12691=""юридична особа""
,
VLOO"&amp;"KUP(H12691,IMPORTRANGE(""https://docs.google.com/spreadsheets/d/14Bd19lYaqBhU8_DElYkX7l4wRkHqqCUFNJY4AfY3kHU/edit?usp=sharing  #gid=0"",""фіз особи new!relations_name_uo""),7,FALSE)
,
)
))"),"ЧИСТЯКОВ Максим")</f>
        <v>ЧИСТЯКОВ Максим</v>
      </c>
      <c r="J12690" s="7" t="s">
        <v>23</v>
      </c>
    </row>
    <row r="12691" spans="1:10" ht="13.2">
      <c r="A12691" s="7">
        <v>12690</v>
      </c>
      <c r="B12691" s="7">
        <v>1</v>
      </c>
      <c r="C12691" s="7" t="s">
        <v>10</v>
      </c>
      <c r="D12691" s="7">
        <v>18284</v>
      </c>
      <c r="E12691" s="7" t="s">
        <v>23</v>
      </c>
      <c r="F12691" s="8" t="str">
        <f ca="1">IFERROR(__xludf.DUMMYFUNCTION("IF
(
C12692=""фізична особа""
,
VLOOKUP(D12692,IMPORTRANGE(""https://docs.google.com/spreadsheets/d/14Bd19lYaqBhU8_DElYkX7l4wRkHqqCUFNJY4AfY3kHU/edit?usp=sharing  #gid=0"",""фіз особи new!relations_name""),6,FALSE)
,
(IF
(
C12692=""юридична особа""
,
VLOO"&amp;"KUP(D12692,IMPORTRANGE(""https://docs.google.com/spreadsheets/d/14Bd19lYaqBhU8_DElYkX7l4wRkHqqCUFNJY4AfY3kHU/edit?usp=sharing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G12691" s="7" t="s">
        <v>10</v>
      </c>
      <c r="H12691" s="7">
        <v>18281</v>
      </c>
      <c r="I12691" s="8" t="str">
        <f ca="1">IFERROR(__xludf.DUMMYFUNCTION("IF
(
G12692=""фізична особа""
,
VLOOKUP(H12692,IMPORTRANGE(""https://docs.google.com/spreadsheets/d/14Bd19lYaqBhU8_DElYkX7l4wRkHqqCUFNJY4AfY3kHU/edit?usp=sharing  #gid=0"",""фіз особи new!relations_name""),6,FALSE)
,
(IF
(
G12692=""юридична особа""
,
VLOO"&amp;"KUP(H12692,IMPORTRANGE(""https://docs.google.com/spreadsheets/d/14Bd19lYaqBhU8_DElYkX7l4wRkHqqCUFNJY4AfY3kHU/edit?usp=sharing  #gid=0"",""фіз особи new!relations_name_uo""),7,FALSE)
,
)
))"),"ХАКІ Реджеп")</f>
        <v>ХАКІ Реджеп</v>
      </c>
      <c r="J12691" s="7" t="s">
        <v>23</v>
      </c>
    </row>
    <row r="12692" spans="1:10" ht="13.2">
      <c r="A12692" s="7">
        <v>12691</v>
      </c>
      <c r="B12692" s="7">
        <v>1</v>
      </c>
      <c r="C12692" s="7" t="s">
        <v>10</v>
      </c>
      <c r="D12692" s="7">
        <v>18284</v>
      </c>
      <c r="E12692" s="7" t="s">
        <v>23</v>
      </c>
      <c r="F12692" s="8" t="str">
        <f ca="1">IFERROR(__xludf.DUMMYFUNCTION("IF
(
C12693=""фізична особа""
,
VLOOKUP(D12693,IMPORTRANGE(""https://docs.google.com/spreadsheets/d/14Bd19lYaqBhU8_DElYkX7l4wRkHqqCUFNJY4AfY3kHU/edit?usp=sharing  #gid=0"",""фіз особи new!relations_name""),6,FALSE)
,
(IF
(
C12693=""юридична особа""
,
VLOO"&amp;"KUP(D12693,IMPORTRANGE(""https://docs.google.com/spreadsheets/d/14Bd19lYaqBhU8_DElYkX7l4wRkHqqCUFNJY4AfY3kHU/edit?usp=sharing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G12692" s="7" t="s">
        <v>10</v>
      </c>
      <c r="H12692" s="7">
        <v>18282</v>
      </c>
      <c r="I12692" s="8" t="str">
        <f ca="1">IFERROR(__xludf.DUMMYFUNCTION("IF
(
G12693=""фізична особа""
,
VLOOKUP(H12693,IMPORTRANGE(""https://docs.google.com/spreadsheets/d/14Bd19lYaqBhU8_DElYkX7l4wRkHqqCUFNJY4AfY3kHU/edit?usp=sharing  #gid=0"",""фіз особи new!relations_name""),6,FALSE)
,
(IF
(
G12693=""юридична особа""
,
VLOO"&amp;"KUP(H12693,IMPORTRANGE(""https://docs.google.com/spreadsheets/d/14Bd19lYaqBhU8_DElYkX7l4wRkHqqCUFNJY4AfY3kHU/edit?usp=sharing  #gid=0"",""фіз особи new!relations_name_uo""),7,FALSE)
,
)
))"),"ГЮРСОЙ Озан")</f>
        <v>ГЮРСОЙ Озан</v>
      </c>
      <c r="J12692" s="7" t="s">
        <v>23</v>
      </c>
    </row>
    <row r="12693" spans="1:10" ht="13.2">
      <c r="A12693" s="7">
        <v>12692</v>
      </c>
      <c r="B12693" s="7">
        <v>1</v>
      </c>
      <c r="C12693" s="7" t="s">
        <v>10</v>
      </c>
      <c r="D12693" s="7">
        <v>18284</v>
      </c>
      <c r="E12693" s="7" t="s">
        <v>23</v>
      </c>
      <c r="F12693" s="8" t="str">
        <f ca="1">IFERROR(__xludf.DUMMYFUNCTION("IF
(
C12694=""фізична особа""
,
VLOOKUP(D12694,IMPORTRANGE(""https://docs.google.com/spreadsheets/d/14Bd19lYaqBhU8_DElYkX7l4wRkHqqCUFNJY4AfY3kHU/edit?usp=sharing  #gid=0"",""фіз особи new!relations_name""),6,FALSE)
,
(IF
(
C12694=""юридична особа""
,
VLOO"&amp;"KUP(D12694,IMPORTRANGE(""https://docs.google.com/spreadsheets/d/14Bd19lYaqBhU8_DElYkX7l4wRkHqqCUFNJY4AfY3kHU/edit?usp=sharing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G12693" s="7" t="s">
        <v>10</v>
      </c>
      <c r="H12693" s="7">
        <v>18283</v>
      </c>
      <c r="I12693" s="8" t="str">
        <f ca="1">IFERROR(__xludf.DUMMYFUNCTION("IF
(
G12694=""фізична особа""
,
VLOOKUP(H12694,IMPORTRANGE(""https://docs.google.com/spreadsheets/d/14Bd19lYaqBhU8_DElYkX7l4wRkHqqCUFNJY4AfY3kHU/edit?usp=sharing  #gid=0"",""фіз особи new!relations_name""),6,FALSE)
,
(IF
(
G12694=""юридична особа""
,
VLOO"&amp;"KUP(H12694,IMPORTRANGE(""https://docs.google.com/spreadsheets/d/14Bd19lYaqBhU8_DElYkX7l4wRkHqqCUFNJY4AfY3kHU/edit?usp=sharing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J12693" s="7" t="s">
        <v>23</v>
      </c>
    </row>
    <row r="12694" spans="1:10" ht="13.2">
      <c r="A12694" s="7">
        <v>12693</v>
      </c>
      <c r="B12694" s="7">
        <v>1</v>
      </c>
      <c r="C12694" s="7" t="s">
        <v>10</v>
      </c>
      <c r="D12694" s="7">
        <v>18284</v>
      </c>
      <c r="E12694" s="7" t="s">
        <v>23</v>
      </c>
      <c r="F12694" s="8" t="str">
        <f ca="1">IFERROR(__xludf.DUMMYFUNCTION("IF
(
C12695=""фізична особа""
,
VLOOKUP(D12695,IMPORTRANGE(""https://docs.google.com/spreadsheets/d/14Bd19lYaqBhU8_DElYkX7l4wRkHqqCUFNJY4AfY3kHU/edit?usp=sharing  #gid=0"",""фіз особи new!relations_name""),6,FALSE)
,
(IF
(
C12695=""юридична особа""
,
VLOO"&amp;"KUP(D12695,IMPORTRANGE(""https://docs.google.com/spreadsheets/d/14Bd19lYaqBhU8_DElYkX7l4wRkHqqCUFNJY4AfY3kHU/edit?usp=sharing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G12694" s="7" t="s">
        <v>10</v>
      </c>
      <c r="H12694" s="7">
        <v>18285</v>
      </c>
      <c r="I12694" s="8" t="str">
        <f ca="1">IFERROR(__xludf.DUMMYFUNCTION("IF
(
G12695=""фізична особа""
,
VLOOKUP(H12695,IMPORTRANGE(""https://docs.google.com/spreadsheets/d/14Bd19lYaqBhU8_DElYkX7l4wRkHqqCUFNJY4AfY3kHU/edit?usp=sharing  #gid=0"",""фіз особи new!relations_name""),6,FALSE)
,
(IF
(
G12695=""юридична особа""
,
VLOO"&amp;"KUP(H12695,IMPORTRANGE(""https://docs.google.com/spreadsheets/d/14Bd19lYaqBhU8_DElYkX7l4wRkHqqCUFNJY4AfY3kHU/edit?usp=sharing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J12694" s="7" t="s">
        <v>23</v>
      </c>
    </row>
    <row r="12695" spans="1:10" ht="13.2">
      <c r="A12695" s="7">
        <v>12694</v>
      </c>
      <c r="B12695" s="7">
        <v>1</v>
      </c>
      <c r="C12695" s="7" t="s">
        <v>10</v>
      </c>
      <c r="D12695" s="7">
        <v>18284</v>
      </c>
      <c r="E12695" s="7" t="s">
        <v>23</v>
      </c>
      <c r="F12695" s="8" t="str">
        <f ca="1">IFERROR(__xludf.DUMMYFUNCTION("IF
(
C12696=""фізична особа""
,
VLOOKUP(D12696,IMPORTRANGE(""https://docs.google.com/spreadsheets/d/14Bd19lYaqBhU8_DElYkX7l4wRkHqqCUFNJY4AfY3kHU/edit?usp=sharing  #gid=0"",""фіз особи new!relations_name""),6,FALSE)
,
(IF
(
C12696=""юридична особа""
,
VLOO"&amp;"KUP(D12696,IMPORTRANGE(""https://docs.google.com/spreadsheets/d/14Bd19lYaqBhU8_DElYkX7l4wRkHqqCUFNJY4AfY3kHU/edit?usp=sharing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G12695" s="7" t="s">
        <v>10</v>
      </c>
      <c r="H12695" s="7">
        <v>23647</v>
      </c>
      <c r="I12695" s="8" t="str">
        <f ca="1">IFERROR(__xludf.DUMMYFUNCTION("IF
(
G12696=""фізична особа""
,
VLOOKUP(H12696,IMPORTRANGE(""https://docs.google.com/spreadsheets/d/14Bd19lYaqBhU8_DElYkX7l4wRkHqqCUFNJY4AfY3kHU/edit?usp=sharing  #gid=0"",""фіз особи new!relations_name""),6,FALSE)
,
(IF
(
G12696=""юридична особа""
,
VLOO"&amp;"KUP(H12696,IMPORTRANGE(""https://docs.google.com/spreadsheets/d/14Bd19lYaqBhU8_DElYkX7l4wRkHqqCUFNJY4AfY3kHU/edit?usp=sharing  #gid=0"",""фіз особи new!relations_name_uo""),7,FALSE)
,
)
))"),"ЧИСТЯКОВ Максим")</f>
        <v>ЧИСТЯКОВ Максим</v>
      </c>
      <c r="J12695" s="7" t="s">
        <v>23</v>
      </c>
    </row>
    <row r="12696" spans="1:10" ht="13.2">
      <c r="A12696" s="7">
        <v>12695</v>
      </c>
      <c r="B12696" s="7">
        <v>1</v>
      </c>
      <c r="C12696" s="7" t="s">
        <v>10</v>
      </c>
      <c r="D12696" s="7">
        <v>18285</v>
      </c>
      <c r="E12696" s="7" t="s">
        <v>23</v>
      </c>
      <c r="F12696" s="8" t="str">
        <f ca="1">IFERROR(__xludf.DUMMYFUNCTION("IF
(
C12697=""фізична особа""
,
VLOOKUP(D12697,IMPORTRANGE(""https://docs.google.com/spreadsheets/d/14Bd19lYaqBhU8_DElYkX7l4wRkHqqCUFNJY4AfY3kHU/edit?usp=sharing  #gid=0"",""фіз особи new!relations_name""),6,FALSE)
,
(IF
(
C12697=""юридична особа""
,
VLOO"&amp;"KUP(D12697,IMPORTRANGE(""https://docs.google.com/spreadsheets/d/14Bd19lYaqBhU8_DElYkX7l4wRkHqqCUFNJY4AfY3kHU/edit?usp=sharing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G12696" s="7" t="s">
        <v>10</v>
      </c>
      <c r="H12696" s="7">
        <v>18281</v>
      </c>
      <c r="I12696" s="8" t="str">
        <f ca="1">IFERROR(__xludf.DUMMYFUNCTION("IF
(
G12697=""фізична особа""
,
VLOOKUP(H12697,IMPORTRANGE(""https://docs.google.com/spreadsheets/d/14Bd19lYaqBhU8_DElYkX7l4wRkHqqCUFNJY4AfY3kHU/edit?usp=sharing  #gid=0"",""фіз особи new!relations_name""),6,FALSE)
,
(IF
(
G12697=""юридична особа""
,
VLOO"&amp;"KUP(H12697,IMPORTRANGE(""https://docs.google.com/spreadsheets/d/14Bd19lYaqBhU8_DElYkX7l4wRkHqqCUFNJY4AfY3kHU/edit?usp=sharing  #gid=0"",""фіз особи new!relations_name_uo""),7,FALSE)
,
)
))"),"ХАКІ Реджеп")</f>
        <v>ХАКІ Реджеп</v>
      </c>
      <c r="J12696" s="7" t="s">
        <v>23</v>
      </c>
    </row>
    <row r="12697" spans="1:10" ht="13.2">
      <c r="A12697" s="7">
        <v>12696</v>
      </c>
      <c r="B12697" s="7">
        <v>1</v>
      </c>
      <c r="C12697" s="7" t="s">
        <v>10</v>
      </c>
      <c r="D12697" s="7">
        <v>18285</v>
      </c>
      <c r="E12697" s="7" t="s">
        <v>23</v>
      </c>
      <c r="F12697" s="8" t="str">
        <f ca="1">IFERROR(__xludf.DUMMYFUNCTION("IF
(
C12698=""фізична особа""
,
VLOOKUP(D12698,IMPORTRANGE(""https://docs.google.com/spreadsheets/d/14Bd19lYaqBhU8_DElYkX7l4wRkHqqCUFNJY4AfY3kHU/edit?usp=sharing  #gid=0"",""фіз особи new!relations_name""),6,FALSE)
,
(IF
(
C12698=""юридична особа""
,
VLOO"&amp;"KUP(D12698,IMPORTRANGE(""https://docs.google.com/spreadsheets/d/14Bd19lYaqBhU8_DElYkX7l4wRkHqqCUFNJY4AfY3kHU/edit?usp=sharing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G12697" s="7" t="s">
        <v>10</v>
      </c>
      <c r="H12697" s="7">
        <v>18282</v>
      </c>
      <c r="I12697" s="8" t="str">
        <f ca="1">IFERROR(__xludf.DUMMYFUNCTION("IF
(
G12698=""фізична особа""
,
VLOOKUP(H12698,IMPORTRANGE(""https://docs.google.com/spreadsheets/d/14Bd19lYaqBhU8_DElYkX7l4wRkHqqCUFNJY4AfY3kHU/edit?usp=sharing  #gid=0"",""фіз особи new!relations_name""),6,FALSE)
,
(IF
(
G12698=""юридична особа""
,
VLOO"&amp;"KUP(H12698,IMPORTRANGE(""https://docs.google.com/spreadsheets/d/14Bd19lYaqBhU8_DElYkX7l4wRkHqqCUFNJY4AfY3kHU/edit?usp=sharing  #gid=0"",""фіз особи new!relations_name_uo""),7,FALSE)
,
)
))"),"ГЮРСОЙ Озан")</f>
        <v>ГЮРСОЙ Озан</v>
      </c>
      <c r="J12697" s="7" t="s">
        <v>23</v>
      </c>
    </row>
    <row r="12698" spans="1:10" ht="13.2">
      <c r="A12698" s="7">
        <v>12697</v>
      </c>
      <c r="B12698" s="7">
        <v>1</v>
      </c>
      <c r="C12698" s="7" t="s">
        <v>10</v>
      </c>
      <c r="D12698" s="7">
        <v>18285</v>
      </c>
      <c r="E12698" s="7" t="s">
        <v>23</v>
      </c>
      <c r="F12698" s="8" t="str">
        <f ca="1">IFERROR(__xludf.DUMMYFUNCTION("IF
(
C12699=""фізична особа""
,
VLOOKUP(D12699,IMPORTRANGE(""https://docs.google.com/spreadsheets/d/14Bd19lYaqBhU8_DElYkX7l4wRkHqqCUFNJY4AfY3kHU/edit?usp=sharing  #gid=0"",""фіз особи new!relations_name""),6,FALSE)
,
(IF
(
C12699=""юридична особа""
,
VLOO"&amp;"KUP(D12699,IMPORTRANGE(""https://docs.google.com/spreadsheets/d/14Bd19lYaqBhU8_DElYkX7l4wRkHqqCUFNJY4AfY3kHU/edit?usp=sharing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G12698" s="7" t="s">
        <v>10</v>
      </c>
      <c r="H12698" s="7">
        <v>18283</v>
      </c>
      <c r="I12698" s="8" t="str">
        <f ca="1">IFERROR(__xludf.DUMMYFUNCTION("IF
(
G12699=""фізична особа""
,
VLOOKUP(H12699,IMPORTRANGE(""https://docs.google.com/spreadsheets/d/14Bd19lYaqBhU8_DElYkX7l4wRkHqqCUFNJY4AfY3kHU/edit?usp=sharing  #gid=0"",""фіз особи new!relations_name""),6,FALSE)
,
(IF
(
G12699=""юридична особа""
,
VLOO"&amp;"KUP(H12699,IMPORTRANGE(""https://docs.google.com/spreadsheets/d/14Bd19lYaqBhU8_DElYkX7l4wRkHqqCUFNJY4AfY3kHU/edit?usp=sharing  #gid=0"",""фіз особи new!relations_name_uo""),7,FALSE)
,
)
))"),"ДОМНІНА Ольга Сергіївна")</f>
        <v>ДОМНІНА Ольга Сергіївна</v>
      </c>
      <c r="J12698" s="7" t="s">
        <v>23</v>
      </c>
    </row>
    <row r="12699" spans="1:10" ht="13.2">
      <c r="A12699" s="7">
        <v>12698</v>
      </c>
      <c r="B12699" s="7">
        <v>1</v>
      </c>
      <c r="C12699" s="7" t="s">
        <v>10</v>
      </c>
      <c r="D12699" s="7">
        <v>18285</v>
      </c>
      <c r="E12699" s="7" t="s">
        <v>23</v>
      </c>
      <c r="F12699" s="8" t="str">
        <f ca="1">IFERROR(__xludf.DUMMYFUNCTION("IF
(
C12700=""фізична особа""
,
VLOOKUP(D12700,IMPORTRANGE(""https://docs.google.com/spreadsheets/d/14Bd19lYaqBhU8_DElYkX7l4wRkHqqCUFNJY4AfY3kHU/edit?usp=sharing  #gid=0"",""фіз особи new!relations_name""),6,FALSE)
,
(IF
(
C12700=""юридична особа""
,
VLOO"&amp;"KUP(D12700,IMPORTRANGE(""https://docs.google.com/spreadsheets/d/14Bd19lYaqBhU8_DElYkX7l4wRkHqqCUFNJY4AfY3kHU/edit?usp=sharing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G12699" s="7" t="s">
        <v>10</v>
      </c>
      <c r="H12699" s="7">
        <v>18284</v>
      </c>
      <c r="I12699" s="8" t="str">
        <f ca="1">IFERROR(__xludf.DUMMYFUNCTION("IF
(
G12700=""фізична особа""
,
VLOOKUP(H12700,IMPORTRANGE(""https://docs.google.com/spreadsheets/d/14Bd19lYaqBhU8_DElYkX7l4wRkHqqCUFNJY4AfY3kHU/edit?usp=sharing  #gid=0"",""фіз особи new!relations_name""),6,FALSE)
,
(IF
(
G12700=""юридична особа""
,
VLOO"&amp;"KUP(H12700,IMPORTRANGE(""https://docs.google.com/spreadsheets/d/14Bd19lYaqBhU8_DElYkX7l4wRkHqqCUFNJY4AfY3kHU/edit?usp=sharing  #gid=0"",""фіз особи new!relations_name_uo""),7,FALSE)
,
)
))"),"МЕХМЕТ Туран Унал")</f>
        <v>МЕХМЕТ Туран Унал</v>
      </c>
      <c r="J12699" s="7" t="s">
        <v>23</v>
      </c>
    </row>
    <row r="12700" spans="1:10" ht="13.2">
      <c r="A12700" s="7">
        <v>12699</v>
      </c>
      <c r="B12700" s="7">
        <v>1</v>
      </c>
      <c r="C12700" s="7" t="s">
        <v>10</v>
      </c>
      <c r="D12700" s="7">
        <v>18285</v>
      </c>
      <c r="E12700" s="7" t="s">
        <v>23</v>
      </c>
      <c r="F12700" s="8" t="str">
        <f ca="1">IFERROR(__xludf.DUMMYFUNCTION("IF
(
C12701=""фізична особа""
,
VLOOKUP(D12701,IMPORTRANGE(""https://docs.google.com/spreadsheets/d/14Bd19lYaqBhU8_DElYkX7l4wRkHqqCUFNJY4AfY3kHU/edit?usp=sharing  #gid=0"",""фіз особи new!relations_name""),6,FALSE)
,
(IF
(
C12701=""юридична особа""
,
VLOO"&amp;"KUP(D12701,IMPORTRANGE(""https://docs.google.com/spreadsheets/d/14Bd19lYaqBhU8_DElYkX7l4wRkHqqCUFNJY4AfY3kHU/edit?usp=sharing  #gid=0"",""фіз особи new!relations_name_uo""),7,FALSE)
,
)
))"),"ОЗГЮР Темель")</f>
        <v>ОЗГЮР Темель</v>
      </c>
      <c r="G12700" s="7" t="s">
        <v>10</v>
      </c>
      <c r="H12700" s="7">
        <v>23647</v>
      </c>
      <c r="I12700" s="8" t="str">
        <f ca="1">IFERROR(__xludf.DUMMYFUNCTION("IF
(
G12701=""фізична особа""
,
VLOOKUP(H12701,IMPORTRANGE(""https://docs.google.com/spreadsheets/d/14Bd19lYaqBhU8_DElYkX7l4wRkHqqCUFNJY4AfY3kHU/edit?usp=sharing  #gid=0"",""фіз особи new!relations_name""),6,FALSE)
,
(IF
(
G12701=""юридична особа""
,
VLOO"&amp;"KUP(H12701,IMPORTRANGE(""https://docs.google.com/spreadsheets/d/14Bd19lYaqBhU8_DElYkX7l4wRkHqqCUFNJY4AfY3kHU/edit?usp=sharing  #gid=0"",""фіз особи new!relations_name_uo""),7,FALSE)
,
)
))"),"ЧИСТЯКОВ Максим")</f>
        <v>ЧИСТЯКОВ Максим</v>
      </c>
      <c r="J12700" s="7" t="s">
        <v>23</v>
      </c>
    </row>
    <row r="12701" spans="1:10" ht="13.2">
      <c r="A12701" s="7">
        <v>12700</v>
      </c>
      <c r="B12701" s="7">
        <v>1</v>
      </c>
      <c r="C12701" s="7" t="s">
        <v>10</v>
      </c>
      <c r="D12701" s="7">
        <v>18286</v>
      </c>
      <c r="E12701" s="7" t="s">
        <v>23</v>
      </c>
      <c r="F12701" s="8" t="str">
        <f ca="1">IFERROR(__xludf.DUMMYFUNCTION("IF
(
C12702=""фізична особа""
,
VLOOKUP(D12702,IMPORTRANGE(""https://docs.google.com/spreadsheets/d/14Bd19lYaqBhU8_DElYkX7l4wRkHqqCUFNJY4AfY3kHU/edit?usp=sharing  #gid=0"",""фіз особи new!relations_name""),6,FALSE)
,
(IF
(
C12702=""юридична особа""
,
VLOO"&amp;"KUP(D12702,IMPORTRANGE(""https://docs.google.com/spreadsheets/d/14Bd19lYaqBhU8_DElYkX7l4wRkHqqCUFNJY4AfY3kHU/edit?usp=sharing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G12701" s="7" t="s">
        <v>10</v>
      </c>
      <c r="H12701" s="7">
        <v>18287</v>
      </c>
      <c r="I12701" s="8" t="str">
        <f ca="1">IFERROR(__xludf.DUMMYFUNCTION("IF
(
G12702=""фізична особа""
,
VLOOKUP(H12702,IMPORTRANGE(""https://docs.google.com/spreadsheets/d/14Bd19lYaqBhU8_DElYkX7l4wRkHqqCUFNJY4AfY3kHU/edit?usp=sharing  #gid=0"",""фіз особи new!relations_name""),6,FALSE)
,
(IF
(
G12702=""юридична особа""
,
VLOO"&amp;"KUP(H12702,IMPORTRANGE(""https://docs.google.com/spreadsheets/d/14Bd19lYaqBhU8_DElYkX7l4wRkHqqCUFNJY4AfY3kHU/edit?usp=sharing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J12701" s="7" t="s">
        <v>23</v>
      </c>
    </row>
    <row r="12702" spans="1:10" ht="13.2">
      <c r="A12702" s="7">
        <v>12701</v>
      </c>
      <c r="B12702" s="7">
        <v>1</v>
      </c>
      <c r="C12702" s="7" t="s">
        <v>10</v>
      </c>
      <c r="D12702" s="7">
        <v>18286</v>
      </c>
      <c r="E12702" s="7" t="s">
        <v>23</v>
      </c>
      <c r="F12702" s="8" t="str">
        <f ca="1">IFERROR(__xludf.DUMMYFUNCTION("IF
(
C12703=""фізична особа""
,
VLOOKUP(D12703,IMPORTRANGE(""https://docs.google.com/spreadsheets/d/14Bd19lYaqBhU8_DElYkX7l4wRkHqqCUFNJY4AfY3kHU/edit?usp=sharing  #gid=0"",""фіз особи new!relations_name""),6,FALSE)
,
(IF
(
C12703=""юридична особа""
,
VLOO"&amp;"KUP(D12703,IMPORTRANGE(""https://docs.google.com/spreadsheets/d/14Bd19lYaqBhU8_DElYkX7l4wRkHqqCUFNJY4AfY3kHU/edit?usp=sharing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G12702" s="7" t="s">
        <v>10</v>
      </c>
      <c r="H12702" s="7">
        <v>18288</v>
      </c>
      <c r="I12702" s="8" t="str">
        <f ca="1">IFERROR(__xludf.DUMMYFUNCTION("IF
(
G12703=""фізична особа""
,
VLOOKUP(H12703,IMPORTRANGE(""https://docs.google.com/spreadsheets/d/14Bd19lYaqBhU8_DElYkX7l4wRkHqqCUFNJY4AfY3kHU/edit?usp=sharing  #gid=0"",""фіз особи new!relations_name""),6,FALSE)
,
(IF
(
G12703=""юридична особа""
,
VLOO"&amp;"KUP(H12703,IMPORTRANGE(""https://docs.google.com/spreadsheets/d/14Bd19lYaqBhU8_DElYkX7l4wRkHqqCUFNJY4AfY3kHU/edit?usp=sharing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J12702" s="7" t="s">
        <v>23</v>
      </c>
    </row>
    <row r="12703" spans="1:10" ht="13.2">
      <c r="A12703" s="7">
        <v>12702</v>
      </c>
      <c r="B12703" s="7">
        <v>1</v>
      </c>
      <c r="C12703" s="7" t="s">
        <v>10</v>
      </c>
      <c r="D12703" s="7">
        <v>18286</v>
      </c>
      <c r="E12703" s="7" t="s">
        <v>23</v>
      </c>
      <c r="F12703" s="8" t="str">
        <f ca="1">IFERROR(__xludf.DUMMYFUNCTION("IF
(
C12704=""фізична особа""
,
VLOOKUP(D12704,IMPORTRANGE(""https://docs.google.com/spreadsheets/d/14Bd19lYaqBhU8_DElYkX7l4wRkHqqCUFNJY4AfY3kHU/edit?usp=sharing  #gid=0"",""фіз особи new!relations_name""),6,FALSE)
,
(IF
(
C12704=""юридична особа""
,
VLOO"&amp;"KUP(D12704,IMPORTRANGE(""https://docs.google.com/spreadsheets/d/14Bd19lYaqBhU8_DElYkX7l4wRkHqqCUFNJY4AfY3kHU/edit?usp=sharing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G12703" s="7" t="s">
        <v>10</v>
      </c>
      <c r="H12703" s="7">
        <v>18289</v>
      </c>
      <c r="I12703" s="8" t="str">
        <f ca="1">IFERROR(__xludf.DUMMYFUNCTION("IF
(
G12704=""фізична особа""
,
VLOOKUP(H12704,IMPORTRANGE(""https://docs.google.com/spreadsheets/d/14Bd19lYaqBhU8_DElYkX7l4wRkHqqCUFNJY4AfY3kHU/edit?usp=sharing  #gid=0"",""фіз особи new!relations_name""),6,FALSE)
,
(IF
(
G12704=""юридична особа""
,
VLOO"&amp;"KUP(H12704,IMPORTRANGE(""https://docs.google.com/spreadsheets/d/14Bd19lYaqBhU8_DElYkX7l4wRkHqqCUFNJY4AfY3kHU/edit?usp=sharing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J12703" s="7" t="s">
        <v>23</v>
      </c>
    </row>
    <row r="12704" spans="1:10" ht="13.2">
      <c r="A12704" s="7">
        <v>12703</v>
      </c>
      <c r="B12704" s="7">
        <v>1</v>
      </c>
      <c r="C12704" s="7" t="s">
        <v>10</v>
      </c>
      <c r="D12704" s="7">
        <v>18287</v>
      </c>
      <c r="E12704" s="7" t="s">
        <v>23</v>
      </c>
      <c r="F12704" s="8" t="str">
        <f ca="1">IFERROR(__xludf.DUMMYFUNCTION("IF
(
C12705=""фізична особа""
,
VLOOKUP(D12705,IMPORTRANGE(""https://docs.google.com/spreadsheets/d/14Bd19lYaqBhU8_DElYkX7l4wRkHqqCUFNJY4AfY3kHU/edit?usp=sharing  #gid=0"",""фіз особи new!relations_name""),6,FALSE)
,
(IF
(
C12705=""юридична особа""
,
VLOO"&amp;"KUP(D12705,IMPORTRANGE(""https://docs.google.com/spreadsheets/d/14Bd19lYaqBhU8_DElYkX7l4wRkHqqCUFNJY4AfY3kHU/edit?usp=sharing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G12704" s="7" t="s">
        <v>10</v>
      </c>
      <c r="H12704" s="7">
        <v>18286</v>
      </c>
      <c r="I12704" s="8" t="str">
        <f ca="1">IFERROR(__xludf.DUMMYFUNCTION("IF
(
G12705=""фізична особа""
,
VLOOKUP(H12705,IMPORTRANGE(""https://docs.google.com/spreadsheets/d/14Bd19lYaqBhU8_DElYkX7l4wRkHqqCUFNJY4AfY3kHU/edit?usp=sharing  #gid=0"",""фіз особи new!relations_name""),6,FALSE)
,
(IF
(
G12705=""юридична особа""
,
VLOO"&amp;"KUP(H12705,IMPORTRANGE(""https://docs.google.com/spreadsheets/d/14Bd19lYaqBhU8_DElYkX7l4wRkHqqCUFNJY4AfY3kHU/edit?usp=sharing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J12704" s="7" t="s">
        <v>23</v>
      </c>
    </row>
    <row r="12705" spans="1:10" ht="13.2">
      <c r="A12705" s="7">
        <v>12704</v>
      </c>
      <c r="B12705" s="7">
        <v>1</v>
      </c>
      <c r="C12705" s="7" t="s">
        <v>10</v>
      </c>
      <c r="D12705" s="7">
        <v>18287</v>
      </c>
      <c r="E12705" s="7" t="s">
        <v>23</v>
      </c>
      <c r="F12705" s="8" t="str">
        <f ca="1">IFERROR(__xludf.DUMMYFUNCTION("IF
(
C12706=""фізична особа""
,
VLOOKUP(D12706,IMPORTRANGE(""https://docs.google.com/spreadsheets/d/14Bd19lYaqBhU8_DElYkX7l4wRkHqqCUFNJY4AfY3kHU/edit?usp=sharing  #gid=0"",""фіз особи new!relations_name""),6,FALSE)
,
(IF
(
C12706=""юридична особа""
,
VLOO"&amp;"KUP(D12706,IMPORTRANGE(""https://docs.google.com/spreadsheets/d/14Bd19lYaqBhU8_DElYkX7l4wRkHqqCUFNJY4AfY3kHU/edit?usp=sharing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G12705" s="7" t="s">
        <v>10</v>
      </c>
      <c r="H12705" s="7">
        <v>18288</v>
      </c>
      <c r="I12705" s="8" t="str">
        <f ca="1">IFERROR(__xludf.DUMMYFUNCTION("IF
(
G12706=""фізична особа""
,
VLOOKUP(H12706,IMPORTRANGE(""https://docs.google.com/spreadsheets/d/14Bd19lYaqBhU8_DElYkX7l4wRkHqqCUFNJY4AfY3kHU/edit?usp=sharing  #gid=0"",""фіз особи new!relations_name""),6,FALSE)
,
(IF
(
G12706=""юридична особа""
,
VLOO"&amp;"KUP(H12706,IMPORTRANGE(""https://docs.google.com/spreadsheets/d/14Bd19lYaqBhU8_DElYkX7l4wRkHqqCUFNJY4AfY3kHU/edit?usp=sharing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J12705" s="7" t="s">
        <v>23</v>
      </c>
    </row>
    <row r="12706" spans="1:10" ht="13.2">
      <c r="A12706" s="7">
        <v>12705</v>
      </c>
      <c r="B12706" s="7">
        <v>1</v>
      </c>
      <c r="C12706" s="7" t="s">
        <v>10</v>
      </c>
      <c r="D12706" s="7">
        <v>18287</v>
      </c>
      <c r="E12706" s="7" t="s">
        <v>23</v>
      </c>
      <c r="F12706" s="8" t="str">
        <f ca="1">IFERROR(__xludf.DUMMYFUNCTION("IF
(
C12707=""фізична особа""
,
VLOOKUP(D12707,IMPORTRANGE(""https://docs.google.com/spreadsheets/d/14Bd19lYaqBhU8_DElYkX7l4wRkHqqCUFNJY4AfY3kHU/edit?usp=sharing  #gid=0"",""фіз особи new!relations_name""),6,FALSE)
,
(IF
(
C12707=""юридична особа""
,
VLOO"&amp;"KUP(D12707,IMPORTRANGE(""https://docs.google.com/spreadsheets/d/14Bd19lYaqBhU8_DElYkX7l4wRkHqqCUFNJY4AfY3kHU/edit?usp=sharing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G12706" s="7" t="s">
        <v>10</v>
      </c>
      <c r="H12706" s="7">
        <v>18289</v>
      </c>
      <c r="I12706" s="8" t="str">
        <f ca="1">IFERROR(__xludf.DUMMYFUNCTION("IF
(
G12707=""фізична особа""
,
VLOOKUP(H12707,IMPORTRANGE(""https://docs.google.com/spreadsheets/d/14Bd19lYaqBhU8_DElYkX7l4wRkHqqCUFNJY4AfY3kHU/edit?usp=sharing  #gid=0"",""фіз особи new!relations_name""),6,FALSE)
,
(IF
(
G12707=""юридична особа""
,
VLOO"&amp;"KUP(H12707,IMPORTRANGE(""https://docs.google.com/spreadsheets/d/14Bd19lYaqBhU8_DElYkX7l4wRkHqqCUFNJY4AfY3kHU/edit?usp=sharing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J12706" s="7" t="s">
        <v>23</v>
      </c>
    </row>
    <row r="12707" spans="1:10" ht="13.2">
      <c r="A12707" s="7">
        <v>12706</v>
      </c>
      <c r="B12707" s="7">
        <v>1</v>
      </c>
      <c r="C12707" s="7" t="s">
        <v>10</v>
      </c>
      <c r="D12707" s="7">
        <v>18288</v>
      </c>
      <c r="E12707" s="7" t="s">
        <v>23</v>
      </c>
      <c r="F12707" s="8" t="str">
        <f ca="1">IFERROR(__xludf.DUMMYFUNCTION("IF
(
C12708=""фізична особа""
,
VLOOKUP(D12708,IMPORTRANGE(""https://docs.google.com/spreadsheets/d/14Bd19lYaqBhU8_DElYkX7l4wRkHqqCUFNJY4AfY3kHU/edit?usp=sharing  #gid=0"",""фіз особи new!relations_name""),6,FALSE)
,
(IF
(
C12708=""юридична особа""
,
VLOO"&amp;"KUP(D12708,IMPORTRANGE(""https://docs.google.com/spreadsheets/d/14Bd19lYaqBhU8_DElYkX7l4wRkHqqCUFNJY4AfY3kHU/edit?usp=sharing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G12707" s="7" t="s">
        <v>10</v>
      </c>
      <c r="H12707" s="7">
        <v>18286</v>
      </c>
      <c r="I12707" s="8" t="str">
        <f ca="1">IFERROR(__xludf.DUMMYFUNCTION("IF
(
G12708=""фізична особа""
,
VLOOKUP(H12708,IMPORTRANGE(""https://docs.google.com/spreadsheets/d/14Bd19lYaqBhU8_DElYkX7l4wRkHqqCUFNJY4AfY3kHU/edit?usp=sharing  #gid=0"",""фіз особи new!relations_name""),6,FALSE)
,
(IF
(
G12708=""юридична особа""
,
VLOO"&amp;"KUP(H12708,IMPORTRANGE(""https://docs.google.com/spreadsheets/d/14Bd19lYaqBhU8_DElYkX7l4wRkHqqCUFNJY4AfY3kHU/edit?usp=sharing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J12707" s="7" t="s">
        <v>23</v>
      </c>
    </row>
    <row r="12708" spans="1:10" ht="13.2">
      <c r="A12708" s="7">
        <v>12707</v>
      </c>
      <c r="B12708" s="7">
        <v>1</v>
      </c>
      <c r="C12708" s="7" t="s">
        <v>10</v>
      </c>
      <c r="D12708" s="7">
        <v>18288</v>
      </c>
      <c r="E12708" s="7" t="s">
        <v>23</v>
      </c>
      <c r="F12708" s="8" t="str">
        <f ca="1">IFERROR(__xludf.DUMMYFUNCTION("IF
(
C12709=""фізична особа""
,
VLOOKUP(D12709,IMPORTRANGE(""https://docs.google.com/spreadsheets/d/14Bd19lYaqBhU8_DElYkX7l4wRkHqqCUFNJY4AfY3kHU/edit?usp=sharing  #gid=0"",""фіз особи new!relations_name""),6,FALSE)
,
(IF
(
C12709=""юридична особа""
,
VLOO"&amp;"KUP(D12709,IMPORTRANGE(""https://docs.google.com/spreadsheets/d/14Bd19lYaqBhU8_DElYkX7l4wRkHqqCUFNJY4AfY3kHU/edit?usp=sharing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G12708" s="7" t="s">
        <v>10</v>
      </c>
      <c r="H12708" s="7">
        <v>18287</v>
      </c>
      <c r="I12708" s="8" t="str">
        <f ca="1">IFERROR(__xludf.DUMMYFUNCTION("IF
(
G12709=""фізична особа""
,
VLOOKUP(H12709,IMPORTRANGE(""https://docs.google.com/spreadsheets/d/14Bd19lYaqBhU8_DElYkX7l4wRkHqqCUFNJY4AfY3kHU/edit?usp=sharing  #gid=0"",""фіз особи new!relations_name""),6,FALSE)
,
(IF
(
G12709=""юридична особа""
,
VLOO"&amp;"KUP(H12709,IMPORTRANGE(""https://docs.google.com/spreadsheets/d/14Bd19lYaqBhU8_DElYkX7l4wRkHqqCUFNJY4AfY3kHU/edit?usp=sharing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J12708" s="7" t="s">
        <v>23</v>
      </c>
    </row>
    <row r="12709" spans="1:10" ht="13.2">
      <c r="A12709" s="7">
        <v>12708</v>
      </c>
      <c r="B12709" s="7">
        <v>1</v>
      </c>
      <c r="C12709" s="7" t="s">
        <v>10</v>
      </c>
      <c r="D12709" s="7">
        <v>18288</v>
      </c>
      <c r="E12709" s="7" t="s">
        <v>23</v>
      </c>
      <c r="F12709" s="8" t="str">
        <f ca="1">IFERROR(__xludf.DUMMYFUNCTION("IF
(
C12710=""фізична особа""
,
VLOOKUP(D12710,IMPORTRANGE(""https://docs.google.com/spreadsheets/d/14Bd19lYaqBhU8_DElYkX7l4wRkHqqCUFNJY4AfY3kHU/edit?usp=sharing  #gid=0"",""фіз особи new!relations_name""),6,FALSE)
,
(IF
(
C12710=""юридична особа""
,
VLOO"&amp;"KUP(D12710,IMPORTRANGE(""https://docs.google.com/spreadsheets/d/14Bd19lYaqBhU8_DElYkX7l4wRkHqqCUFNJY4AfY3kHU/edit?usp=sharing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G12709" s="7" t="s">
        <v>10</v>
      </c>
      <c r="H12709" s="7">
        <v>18289</v>
      </c>
      <c r="I12709" s="8" t="str">
        <f ca="1">IFERROR(__xludf.DUMMYFUNCTION("IF
(
G12710=""фізична особа""
,
VLOOKUP(H12710,IMPORTRANGE(""https://docs.google.com/spreadsheets/d/14Bd19lYaqBhU8_DElYkX7l4wRkHqqCUFNJY4AfY3kHU/edit?usp=sharing  #gid=0"",""фіз особи new!relations_name""),6,FALSE)
,
(IF
(
G12710=""юридична особа""
,
VLOO"&amp;"KUP(H12710,IMPORTRANGE(""https://docs.google.com/spreadsheets/d/14Bd19lYaqBhU8_DElYkX7l4wRkHqqCUFNJY4AfY3kHU/edit?usp=sharing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J12709" s="7" t="s">
        <v>23</v>
      </c>
    </row>
    <row r="12710" spans="1:10" ht="13.2">
      <c r="A12710" s="7">
        <v>12709</v>
      </c>
      <c r="B12710" s="7">
        <v>1</v>
      </c>
      <c r="C12710" s="7" t="s">
        <v>10</v>
      </c>
      <c r="D12710" s="7">
        <v>18289</v>
      </c>
      <c r="E12710" s="7" t="s">
        <v>23</v>
      </c>
      <c r="F12710" s="8" t="str">
        <f ca="1">IFERROR(__xludf.DUMMYFUNCTION("IF
(
C12711=""фізична особа""
,
VLOOKUP(D12711,IMPORTRANGE(""https://docs.google.com/spreadsheets/d/14Bd19lYaqBhU8_DElYkX7l4wRkHqqCUFNJY4AfY3kHU/edit?usp=sharing  #gid=0"",""фіз особи new!relations_name""),6,FALSE)
,
(IF
(
C12711=""юридична особа""
,
VLOO"&amp;"KUP(D12711,IMPORTRANGE(""https://docs.google.com/spreadsheets/d/14Bd19lYaqBhU8_DElYkX7l4wRkHqqCUFNJY4AfY3kHU/edit?usp=sharing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G12710" s="7" t="s">
        <v>10</v>
      </c>
      <c r="H12710" s="7">
        <v>18286</v>
      </c>
      <c r="I12710" s="8" t="str">
        <f ca="1">IFERROR(__xludf.DUMMYFUNCTION("IF
(
G12711=""фізична особа""
,
VLOOKUP(H12711,IMPORTRANGE(""https://docs.google.com/spreadsheets/d/14Bd19lYaqBhU8_DElYkX7l4wRkHqqCUFNJY4AfY3kHU/edit?usp=sharing  #gid=0"",""фіз особи new!relations_name""),6,FALSE)
,
(IF
(
G12711=""юридична особа""
,
VLOO"&amp;"KUP(H12711,IMPORTRANGE(""https://docs.google.com/spreadsheets/d/14Bd19lYaqBhU8_DElYkX7l4wRkHqqCUFNJY4AfY3kHU/edit?usp=sharing  #gid=0"",""фіз особи new!relations_name_uo""),7,FALSE)
,
)
))"),"КОРНЄВ Василь Олександрович")</f>
        <v>КОРНЄВ Василь Олександрович</v>
      </c>
      <c r="J12710" s="7" t="s">
        <v>23</v>
      </c>
    </row>
    <row r="12711" spans="1:10" ht="13.2">
      <c r="A12711" s="7">
        <v>12710</v>
      </c>
      <c r="B12711" s="7">
        <v>1</v>
      </c>
      <c r="C12711" s="7" t="s">
        <v>10</v>
      </c>
      <c r="D12711" s="7">
        <v>18289</v>
      </c>
      <c r="E12711" s="7" t="s">
        <v>23</v>
      </c>
      <c r="F12711" s="8" t="str">
        <f ca="1">IFERROR(__xludf.DUMMYFUNCTION("IF
(
C12712=""фізична особа""
,
VLOOKUP(D12712,IMPORTRANGE(""https://docs.google.com/spreadsheets/d/14Bd19lYaqBhU8_DElYkX7l4wRkHqqCUFNJY4AfY3kHU/edit?usp=sharing  #gid=0"",""фіз особи new!relations_name""),6,FALSE)
,
(IF
(
C12712=""юридична особа""
,
VLOO"&amp;"KUP(D12712,IMPORTRANGE(""https://docs.google.com/spreadsheets/d/14Bd19lYaqBhU8_DElYkX7l4wRkHqqCUFNJY4AfY3kHU/edit?usp=sharing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G12711" s="7" t="s">
        <v>10</v>
      </c>
      <c r="H12711" s="7">
        <v>18287</v>
      </c>
      <c r="I12711" s="8" t="str">
        <f ca="1">IFERROR(__xludf.DUMMYFUNCTION("IF
(
G12712=""фізична особа""
,
VLOOKUP(H12712,IMPORTRANGE(""https://docs.google.com/spreadsheets/d/14Bd19lYaqBhU8_DElYkX7l4wRkHqqCUFNJY4AfY3kHU/edit?usp=sharing  #gid=0"",""фіз особи new!relations_name""),6,FALSE)
,
(IF
(
G12712=""юридична особа""
,
VLOO"&amp;"KUP(H12712,IMPORTRANGE(""https://docs.google.com/spreadsheets/d/14Bd19lYaqBhU8_DElYkX7l4wRkHqqCUFNJY4AfY3kHU/edit?usp=sharing  #gid=0"",""фіз особи new!relations_name_uo""),7,FALSE)
,
)
))"),"БИКОВ Артем Ельбрусович")</f>
        <v>БИКОВ Артем Ельбрусович</v>
      </c>
      <c r="J12711" s="7" t="s">
        <v>23</v>
      </c>
    </row>
    <row r="12712" spans="1:10" ht="13.2">
      <c r="A12712" s="7">
        <v>12711</v>
      </c>
      <c r="B12712" s="7">
        <v>1</v>
      </c>
      <c r="C12712" s="7" t="s">
        <v>10</v>
      </c>
      <c r="D12712" s="7">
        <v>18289</v>
      </c>
      <c r="E12712" s="7" t="s">
        <v>23</v>
      </c>
      <c r="F12712" s="8" t="str">
        <f ca="1">IFERROR(__xludf.DUMMYFUNCTION("IF
(
C12713=""фізична особа""
,
VLOOKUP(D12713,IMPORTRANGE(""https://docs.google.com/spreadsheets/d/14Bd19lYaqBhU8_DElYkX7l4wRkHqqCUFNJY4AfY3kHU/edit?usp=sharing  #gid=0"",""фіз особи new!relations_name""),6,FALSE)
,
(IF
(
C12713=""юридична особа""
,
VLOO"&amp;"KUP(D12713,IMPORTRANGE(""https://docs.google.com/spreadsheets/d/14Bd19lYaqBhU8_DElYkX7l4wRkHqqCUFNJY4AfY3kHU/edit?usp=sharing  #gid=0"",""фіз особи new!relations_name_uo""),7,FALSE)
,
)
))"),"ІВАНОВА Світлана Степанівна")</f>
        <v>ІВАНОВА Світлана Степанівна</v>
      </c>
      <c r="G12712" s="7" t="s">
        <v>10</v>
      </c>
      <c r="H12712" s="7">
        <v>18288</v>
      </c>
      <c r="I12712" s="8" t="str">
        <f ca="1">IFERROR(__xludf.DUMMYFUNCTION("IF
(
G12713=""фізична особа""
,
VLOOKUP(H12713,IMPORTRANGE(""https://docs.google.com/spreadsheets/d/14Bd19lYaqBhU8_DElYkX7l4wRkHqqCUFNJY4AfY3kHU/edit?usp=sharing  #gid=0"",""фіз особи new!relations_name""),6,FALSE)
,
(IF
(
G12713=""юридична особа""
,
VLOO"&amp;"KUP(H12713,IMPORTRANGE(""https://docs.google.com/spreadsheets/d/14Bd19lYaqBhU8_DElYkX7l4wRkHqqCUFNJY4AfY3kHU/edit?usp=sharing  #gid=0"",""фіз особи new!relations_name_uo""),7,FALSE)
,
)
))"),"ДОВДІЄНКО Ірина Вікторівна")</f>
        <v>ДОВДІЄНКО Ірина Вікторівна</v>
      </c>
      <c r="J12712" s="7" t="s">
        <v>23</v>
      </c>
    </row>
    <row r="12713" spans="1:10" ht="13.2">
      <c r="A12713" s="7">
        <v>12712</v>
      </c>
      <c r="B12713" s="7">
        <v>1</v>
      </c>
      <c r="C12713" s="7" t="s">
        <v>10</v>
      </c>
      <c r="D12713" s="7">
        <v>18290</v>
      </c>
      <c r="E12713" s="7" t="s">
        <v>23</v>
      </c>
      <c r="F12713" s="8" t="str">
        <f ca="1">IFERROR(__xludf.DUMMYFUNCTION("IF
(
C12714=""фізична особа""
,
VLOOKUP(D12714,IMPORTRANGE(""https://docs.google.com/spreadsheets/d/14Bd19lYaqBhU8_DElYkX7l4wRkHqqCUFNJY4AfY3kHU/edit?usp=sharing  #gid=0"",""фіз особи new!relations_name""),6,FALSE)
,
(IF
(
C12714=""юридична особа""
,
VLOO"&amp;"KUP(D12714,IMPORTRANGE(""https://docs.google.com/spreadsheets/d/14Bd19lYaqBhU8_DElYkX7l4wRkHqqCUFNJY4AfY3kHU/edit?usp=sharing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3" s="7" t="s">
        <v>10</v>
      </c>
      <c r="H12713" s="7">
        <v>18291</v>
      </c>
      <c r="I12713" s="8" t="str">
        <f ca="1">IFERROR(__xludf.DUMMYFUNCTION("IF
(
G12714=""фізична особа""
,
VLOOKUP(H12714,IMPORTRANGE(""https://docs.google.com/spreadsheets/d/14Bd19lYaqBhU8_DElYkX7l4wRkHqqCUFNJY4AfY3kHU/edit?usp=sharing  #gid=0"",""фіз особи new!relations_name""),6,FALSE)
,
(IF
(
G12714=""юридична особа""
,
VLOO"&amp;"KUP(H12714,IMPORTRANGE(""https://docs.google.com/spreadsheets/d/14Bd19lYaqBhU8_DElYkX7l4wRkHqqCUFNJY4AfY3kHU/edit?usp=sharing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J12713" s="7" t="s">
        <v>23</v>
      </c>
    </row>
    <row r="12714" spans="1:10" ht="13.2">
      <c r="A12714" s="7">
        <v>12713</v>
      </c>
      <c r="B12714" s="7">
        <v>1</v>
      </c>
      <c r="C12714" s="7" t="s">
        <v>10</v>
      </c>
      <c r="D12714" s="7">
        <v>18290</v>
      </c>
      <c r="E12714" s="7" t="s">
        <v>23</v>
      </c>
      <c r="F12714" s="8" t="str">
        <f ca="1">IFERROR(__xludf.DUMMYFUNCTION("IF
(
C12715=""фізична особа""
,
VLOOKUP(D12715,IMPORTRANGE(""https://docs.google.com/spreadsheets/d/14Bd19lYaqBhU8_DElYkX7l4wRkHqqCUFNJY4AfY3kHU/edit?usp=sharing  #gid=0"",""фіз особи new!relations_name""),6,FALSE)
,
(IF
(
C12715=""юридична особа""
,
VLOO"&amp;"KUP(D12715,IMPORTRANGE(""https://docs.google.com/spreadsheets/d/14Bd19lYaqBhU8_DElYkX7l4wRkHqqCUFNJY4AfY3kHU/edit?usp=sharing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4" s="7" t="s">
        <v>10</v>
      </c>
      <c r="H12714" s="7">
        <v>18292</v>
      </c>
      <c r="I12714" s="8" t="str">
        <f ca="1">IFERROR(__xludf.DUMMYFUNCTION("IF
(
G12715=""фізична особа""
,
VLOOKUP(H12715,IMPORTRANGE(""https://docs.google.com/spreadsheets/d/14Bd19lYaqBhU8_DElYkX7l4wRkHqqCUFNJY4AfY3kHU/edit?usp=sharing  #gid=0"",""фіз особи new!relations_name""),6,FALSE)
,
(IF
(
G12715=""юридична особа""
,
VLOO"&amp;"KUP(H12715,IMPORTRANGE(""https://docs.google.com/spreadsheets/d/14Bd19lYaqBhU8_DElYkX7l4wRkHqqCUFNJY4AfY3kHU/edit?usp=sharing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J12714" s="7" t="s">
        <v>23</v>
      </c>
    </row>
    <row r="12715" spans="1:10" ht="13.2">
      <c r="A12715" s="7">
        <v>12714</v>
      </c>
      <c r="B12715" s="7">
        <v>1</v>
      </c>
      <c r="C12715" s="7" t="s">
        <v>10</v>
      </c>
      <c r="D12715" s="7">
        <v>18290</v>
      </c>
      <c r="E12715" s="7" t="s">
        <v>23</v>
      </c>
      <c r="F12715" s="8" t="str">
        <f ca="1">IFERROR(__xludf.DUMMYFUNCTION("IF
(
C12716=""фізична особа""
,
VLOOKUP(D12716,IMPORTRANGE(""https://docs.google.com/spreadsheets/d/14Bd19lYaqBhU8_DElYkX7l4wRkHqqCUFNJY4AfY3kHU/edit?usp=sharing  #gid=0"",""фіз особи new!relations_name""),6,FALSE)
,
(IF
(
C12716=""юридична особа""
,
VLOO"&amp;"KUP(D12716,IMPORTRANGE(""https://docs.google.com/spreadsheets/d/14Bd19lYaqBhU8_DElYkX7l4wRkHqqCUFNJY4AfY3kHU/edit?usp=sharing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5" s="7" t="s">
        <v>10</v>
      </c>
      <c r="H12715" s="7">
        <v>18293</v>
      </c>
      <c r="I12715" s="8" t="str">
        <f ca="1">IFERROR(__xludf.DUMMYFUNCTION("IF
(
G12716=""фізична особа""
,
VLOOKUP(H12716,IMPORTRANGE(""https://docs.google.com/spreadsheets/d/14Bd19lYaqBhU8_DElYkX7l4wRkHqqCUFNJY4AfY3kHU/edit?usp=sharing  #gid=0"",""фіз особи new!relations_name""),6,FALSE)
,
(IF
(
G12716=""юридична особа""
,
VLOO"&amp;"KUP(H12716,IMPORTRANGE(""https://docs.google.com/spreadsheets/d/14Bd19lYaqBhU8_DElYkX7l4wRkHqqCUFNJY4AfY3kHU/edit?usp=sharing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J12715" s="7" t="s">
        <v>23</v>
      </c>
    </row>
    <row r="12716" spans="1:10" ht="13.2">
      <c r="A12716" s="7">
        <v>12715</v>
      </c>
      <c r="B12716" s="7">
        <v>1</v>
      </c>
      <c r="C12716" s="7" t="s">
        <v>10</v>
      </c>
      <c r="D12716" s="7">
        <v>18290</v>
      </c>
      <c r="E12716" s="7" t="s">
        <v>23</v>
      </c>
      <c r="F12716" s="8" t="str">
        <f ca="1">IFERROR(__xludf.DUMMYFUNCTION("IF
(
C12717=""фізична особа""
,
VLOOKUP(D12717,IMPORTRANGE(""https://docs.google.com/spreadsheets/d/14Bd19lYaqBhU8_DElYkX7l4wRkHqqCUFNJY4AfY3kHU/edit?usp=sharing  #gid=0"",""фіз особи new!relations_name""),6,FALSE)
,
(IF
(
C12717=""юридична особа""
,
VLOO"&amp;"KUP(D12717,IMPORTRANGE(""https://docs.google.com/spreadsheets/d/14Bd19lYaqBhU8_DElYkX7l4wRkHqqCUFNJY4AfY3kHU/edit?usp=sharing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6" s="7" t="s">
        <v>10</v>
      </c>
      <c r="H12716" s="7">
        <v>18294</v>
      </c>
      <c r="I12716" s="8" t="str">
        <f ca="1">IFERROR(__xludf.DUMMYFUNCTION("IF
(
G12717=""фізична особа""
,
VLOOKUP(H12717,IMPORTRANGE(""https://docs.google.com/spreadsheets/d/14Bd19lYaqBhU8_DElYkX7l4wRkHqqCUFNJY4AfY3kHU/edit?usp=sharing  #gid=0"",""фіз особи new!relations_name""),6,FALSE)
,
(IF
(
G12717=""юридична особа""
,
VLOO"&amp;"KUP(H12717,IMPORTRANGE(""https://docs.google.com/spreadsheets/d/14Bd19lYaqBhU8_DElYkX7l4wRkHqqCUFNJY4AfY3kHU/edit?usp=sharing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J12716" s="7" t="s">
        <v>23</v>
      </c>
    </row>
    <row r="12717" spans="1:10" ht="13.2">
      <c r="A12717" s="7">
        <v>12716</v>
      </c>
      <c r="B12717" s="7">
        <v>1</v>
      </c>
      <c r="C12717" s="7" t="s">
        <v>10</v>
      </c>
      <c r="D12717" s="7">
        <v>18290</v>
      </c>
      <c r="E12717" s="7" t="s">
        <v>23</v>
      </c>
      <c r="F12717" s="8" t="str">
        <f ca="1">IFERROR(__xludf.DUMMYFUNCTION("IF
(
C12718=""фізична особа""
,
VLOOKUP(D12718,IMPORTRANGE(""https://docs.google.com/spreadsheets/d/14Bd19lYaqBhU8_DElYkX7l4wRkHqqCUFNJY4AfY3kHU/edit?usp=sharing  #gid=0"",""фіз особи new!relations_name""),6,FALSE)
,
(IF
(
C12718=""юридична особа""
,
VLOO"&amp;"KUP(D12718,IMPORTRANGE(""https://docs.google.com/spreadsheets/d/14Bd19lYaqBhU8_DElYkX7l4wRkHqqCUFNJY4AfY3kHU/edit?usp=sharing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7" s="7" t="s">
        <v>10</v>
      </c>
      <c r="H12717" s="7">
        <v>18295</v>
      </c>
      <c r="I12717" s="8" t="str">
        <f ca="1">IFERROR(__xludf.DUMMYFUNCTION("IF
(
G12718=""фізична особа""
,
VLOOKUP(H12718,IMPORTRANGE(""https://docs.google.com/spreadsheets/d/14Bd19lYaqBhU8_DElYkX7l4wRkHqqCUFNJY4AfY3kHU/edit?usp=sharing  #gid=0"",""фіз особи new!relations_name""),6,FALSE)
,
(IF
(
G12718=""юридична особа""
,
VLOO"&amp;"KUP(H12718,IMPORTRANGE(""https://docs.google.com/spreadsheets/d/14Bd19lYaqBhU8_DElYkX7l4wRkHqqCUFNJY4AfY3kHU/edit?usp=sharing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J12717" s="7" t="s">
        <v>23</v>
      </c>
    </row>
    <row r="12718" spans="1:10" ht="13.2">
      <c r="A12718" s="7">
        <v>12717</v>
      </c>
      <c r="B12718" s="7">
        <v>1</v>
      </c>
      <c r="C12718" s="7" t="s">
        <v>10</v>
      </c>
      <c r="D12718" s="7">
        <v>18290</v>
      </c>
      <c r="E12718" s="7" t="s">
        <v>23</v>
      </c>
      <c r="F12718" s="8" t="str">
        <f ca="1">IFERROR(__xludf.DUMMYFUNCTION("IF
(
C12719=""фізична особа""
,
VLOOKUP(D12719,IMPORTRANGE(""https://docs.google.com/spreadsheets/d/14Bd19lYaqBhU8_DElYkX7l4wRkHqqCUFNJY4AfY3kHU/edit?usp=sharing  #gid=0"",""фіз особи new!relations_name""),6,FALSE)
,
(IF
(
C12719=""юридична особа""
,
VLOO"&amp;"KUP(D12719,IMPORTRANGE(""https://docs.google.com/spreadsheets/d/14Bd19lYaqBhU8_DElYkX7l4wRkHqqCUFNJY4AfY3kHU/edit?usp=sharing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G12718" s="7" t="s">
        <v>10</v>
      </c>
      <c r="H12718" s="7">
        <v>1974</v>
      </c>
      <c r="I12718" s="8" t="str">
        <f ca="1">IFERROR(__xludf.DUMMYFUNCTION("IF
(
G12719=""фізична особа""
,
VLOOKUP(H12719,IMPORTRANGE(""https://docs.google.com/spreadsheets/d/14Bd19lYaqBhU8_DElYkX7l4wRkHqqCUFNJY4AfY3kHU/edit?usp=sharing  #gid=0"",""фіз особи new!relations_name""),6,FALSE)
,
(IF
(
G12719=""юридична особа""
,
VLOO"&amp;"KUP(H12719,IMPORTRANGE(""https://docs.google.com/spreadsheets/d/14Bd19lYaqBhU8_DElYkX7l4wRkHqqCUFNJY4AfY3kHU/edit?usp=sharing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18" s="7" t="s">
        <v>23</v>
      </c>
    </row>
    <row r="12719" spans="1:10" ht="13.2">
      <c r="A12719" s="7">
        <v>12718</v>
      </c>
      <c r="B12719" s="7">
        <v>1</v>
      </c>
      <c r="C12719" s="7" t="s">
        <v>10</v>
      </c>
      <c r="D12719" s="7">
        <v>18291</v>
      </c>
      <c r="E12719" s="7" t="s">
        <v>23</v>
      </c>
      <c r="F12719" s="8" t="str">
        <f ca="1">IFERROR(__xludf.DUMMYFUNCTION("IF
(
C12720=""фізична особа""
,
VLOOKUP(D12720,IMPORTRANGE(""https://docs.google.com/spreadsheets/d/14Bd19lYaqBhU8_DElYkX7l4wRkHqqCUFNJY4AfY3kHU/edit?usp=sharing  #gid=0"",""фіз особи new!relations_name""),6,FALSE)
,
(IF
(
C12720=""юридична особа""
,
VLOO"&amp;"KUP(D12720,IMPORTRANGE(""https://docs.google.com/spreadsheets/d/14Bd19lYaqBhU8_DElYkX7l4wRkHqqCUFNJY4AfY3kHU/edit?usp=sharing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19" s="7" t="s">
        <v>10</v>
      </c>
      <c r="H12719" s="7">
        <v>18290</v>
      </c>
      <c r="I12719" s="8" t="str">
        <f ca="1">IFERROR(__xludf.DUMMYFUNCTION("IF
(
G12720=""фізична особа""
,
VLOOKUP(H12720,IMPORTRANGE(""https://docs.google.com/spreadsheets/d/14Bd19lYaqBhU8_DElYkX7l4wRkHqqCUFNJY4AfY3kHU/edit?usp=sharing  #gid=0"",""фіз особи new!relations_name""),6,FALSE)
,
(IF
(
G12720=""юридична особа""
,
VLOO"&amp;"KUP(H12720,IMPORTRANGE(""https://docs.google.com/spreadsheets/d/14Bd19lYaqBhU8_DElYkX7l4wRkHqqCUFNJY4AfY3kHU/edit?usp=sharing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J12719" s="7" t="s">
        <v>23</v>
      </c>
    </row>
    <row r="12720" spans="1:10" ht="13.2">
      <c r="A12720" s="7">
        <v>12719</v>
      </c>
      <c r="B12720" s="7">
        <v>1</v>
      </c>
      <c r="C12720" s="7" t="s">
        <v>10</v>
      </c>
      <c r="D12720" s="7">
        <v>18291</v>
      </c>
      <c r="E12720" s="7" t="s">
        <v>23</v>
      </c>
      <c r="F12720" s="8" t="str">
        <f ca="1">IFERROR(__xludf.DUMMYFUNCTION("IF
(
C12721=""фізична особа""
,
VLOOKUP(D12721,IMPORTRANGE(""https://docs.google.com/spreadsheets/d/14Bd19lYaqBhU8_DElYkX7l4wRkHqqCUFNJY4AfY3kHU/edit?usp=sharing  #gid=0"",""фіз особи new!relations_name""),6,FALSE)
,
(IF
(
C12721=""юридична особа""
,
VLOO"&amp;"KUP(D12721,IMPORTRANGE(""https://docs.google.com/spreadsheets/d/14Bd19lYaqBhU8_DElYkX7l4wRkHqqCUFNJY4AfY3kHU/edit?usp=sharing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20" s="7" t="s">
        <v>10</v>
      </c>
      <c r="H12720" s="7">
        <v>18292</v>
      </c>
      <c r="I12720" s="8" t="str">
        <f ca="1">IFERROR(__xludf.DUMMYFUNCTION("IF
(
G12721=""фізична особа""
,
VLOOKUP(H12721,IMPORTRANGE(""https://docs.google.com/spreadsheets/d/14Bd19lYaqBhU8_DElYkX7l4wRkHqqCUFNJY4AfY3kHU/edit?usp=sharing  #gid=0"",""фіз особи new!relations_name""),6,FALSE)
,
(IF
(
G12721=""юридична особа""
,
VLOO"&amp;"KUP(H12721,IMPORTRANGE(""https://docs.google.com/spreadsheets/d/14Bd19lYaqBhU8_DElYkX7l4wRkHqqCUFNJY4AfY3kHU/edit?usp=sharing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J12720" s="7" t="s">
        <v>23</v>
      </c>
    </row>
    <row r="12721" spans="1:10" ht="13.2">
      <c r="A12721" s="7">
        <v>12720</v>
      </c>
      <c r="B12721" s="7">
        <v>1</v>
      </c>
      <c r="C12721" s="7" t="s">
        <v>10</v>
      </c>
      <c r="D12721" s="7">
        <v>18291</v>
      </c>
      <c r="E12721" s="7" t="s">
        <v>23</v>
      </c>
      <c r="F12721" s="8" t="str">
        <f ca="1">IFERROR(__xludf.DUMMYFUNCTION("IF
(
C12722=""фізична особа""
,
VLOOKUP(D12722,IMPORTRANGE(""https://docs.google.com/spreadsheets/d/14Bd19lYaqBhU8_DElYkX7l4wRkHqqCUFNJY4AfY3kHU/edit?usp=sharing  #gid=0"",""фіз особи new!relations_name""),6,FALSE)
,
(IF
(
C12722=""юридична особа""
,
VLOO"&amp;"KUP(D12722,IMPORTRANGE(""https://docs.google.com/spreadsheets/d/14Bd19lYaqBhU8_DElYkX7l4wRkHqqCUFNJY4AfY3kHU/edit?usp=sharing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21" s="7" t="s">
        <v>10</v>
      </c>
      <c r="H12721" s="7">
        <v>18293</v>
      </c>
      <c r="I12721" s="8" t="str">
        <f ca="1">IFERROR(__xludf.DUMMYFUNCTION("IF
(
G12722=""фізична особа""
,
VLOOKUP(H12722,IMPORTRANGE(""https://docs.google.com/spreadsheets/d/14Bd19lYaqBhU8_DElYkX7l4wRkHqqCUFNJY4AfY3kHU/edit?usp=sharing  #gid=0"",""фіз особи new!relations_name""),6,FALSE)
,
(IF
(
G12722=""юридична особа""
,
VLOO"&amp;"KUP(H12722,IMPORTRANGE(""https://docs.google.com/spreadsheets/d/14Bd19lYaqBhU8_DElYkX7l4wRkHqqCUFNJY4AfY3kHU/edit?usp=sharing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J12721" s="7" t="s">
        <v>23</v>
      </c>
    </row>
    <row r="12722" spans="1:10" ht="13.2">
      <c r="A12722" s="7">
        <v>12721</v>
      </c>
      <c r="B12722" s="7">
        <v>1</v>
      </c>
      <c r="C12722" s="7" t="s">
        <v>10</v>
      </c>
      <c r="D12722" s="7">
        <v>18291</v>
      </c>
      <c r="E12722" s="7" t="s">
        <v>23</v>
      </c>
      <c r="F12722" s="8" t="str">
        <f ca="1">IFERROR(__xludf.DUMMYFUNCTION("IF
(
C12723=""фізична особа""
,
VLOOKUP(D12723,IMPORTRANGE(""https://docs.google.com/spreadsheets/d/14Bd19lYaqBhU8_DElYkX7l4wRkHqqCUFNJY4AfY3kHU/edit?usp=sharing  #gid=0"",""фіз особи new!relations_name""),6,FALSE)
,
(IF
(
C12723=""юридична особа""
,
VLOO"&amp;"KUP(D12723,IMPORTRANGE(""https://docs.google.com/spreadsheets/d/14Bd19lYaqBhU8_DElYkX7l4wRkHqqCUFNJY4AfY3kHU/edit?usp=sharing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22" s="7" t="s">
        <v>10</v>
      </c>
      <c r="H12722" s="7">
        <v>18294</v>
      </c>
      <c r="I12722" s="8" t="str">
        <f ca="1">IFERROR(__xludf.DUMMYFUNCTION("IF
(
G12723=""фізична особа""
,
VLOOKUP(H12723,IMPORTRANGE(""https://docs.google.com/spreadsheets/d/14Bd19lYaqBhU8_DElYkX7l4wRkHqqCUFNJY4AfY3kHU/edit?usp=sharing  #gid=0"",""фіз особи new!relations_name""),6,FALSE)
,
(IF
(
G12723=""юридична особа""
,
VLOO"&amp;"KUP(H12723,IMPORTRANGE(""https://docs.google.com/spreadsheets/d/14Bd19lYaqBhU8_DElYkX7l4wRkHqqCUFNJY4AfY3kHU/edit?usp=sharing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J12722" s="7" t="s">
        <v>23</v>
      </c>
    </row>
    <row r="12723" spans="1:10" ht="13.2">
      <c r="A12723" s="7">
        <v>12722</v>
      </c>
      <c r="B12723" s="7">
        <v>1</v>
      </c>
      <c r="C12723" s="7" t="s">
        <v>10</v>
      </c>
      <c r="D12723" s="7">
        <v>18291</v>
      </c>
      <c r="E12723" s="7" t="s">
        <v>23</v>
      </c>
      <c r="F12723" s="8" t="str">
        <f ca="1">IFERROR(__xludf.DUMMYFUNCTION("IF
(
C12724=""фізична особа""
,
VLOOKUP(D12724,IMPORTRANGE(""https://docs.google.com/spreadsheets/d/14Bd19lYaqBhU8_DElYkX7l4wRkHqqCUFNJY4AfY3kHU/edit?usp=sharing  #gid=0"",""фіз особи new!relations_name""),6,FALSE)
,
(IF
(
C12724=""юридична особа""
,
VLOO"&amp;"KUP(D12724,IMPORTRANGE(""https://docs.google.com/spreadsheets/d/14Bd19lYaqBhU8_DElYkX7l4wRkHqqCUFNJY4AfY3kHU/edit?usp=sharing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23" s="7" t="s">
        <v>10</v>
      </c>
      <c r="H12723" s="7">
        <v>18295</v>
      </c>
      <c r="I12723" s="8" t="str">
        <f ca="1">IFERROR(__xludf.DUMMYFUNCTION("IF
(
G12724=""фізична особа""
,
VLOOKUP(H12724,IMPORTRANGE(""https://docs.google.com/spreadsheets/d/14Bd19lYaqBhU8_DElYkX7l4wRkHqqCUFNJY4AfY3kHU/edit?usp=sharing  #gid=0"",""фіз особи new!relations_name""),6,FALSE)
,
(IF
(
G12724=""юридична особа""
,
VLOO"&amp;"KUP(H12724,IMPORTRANGE(""https://docs.google.com/spreadsheets/d/14Bd19lYaqBhU8_DElYkX7l4wRkHqqCUFNJY4AfY3kHU/edit?usp=sharing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J12723" s="7" t="s">
        <v>23</v>
      </c>
    </row>
    <row r="12724" spans="1:10" ht="13.2">
      <c r="A12724" s="7">
        <v>12723</v>
      </c>
      <c r="B12724" s="7">
        <v>1</v>
      </c>
      <c r="C12724" s="7" t="s">
        <v>10</v>
      </c>
      <c r="D12724" s="7">
        <v>18291</v>
      </c>
      <c r="E12724" s="7" t="s">
        <v>23</v>
      </c>
      <c r="F12724" s="8" t="str">
        <f ca="1">IFERROR(__xludf.DUMMYFUNCTION("IF
(
C12725=""фізична особа""
,
VLOOKUP(D12725,IMPORTRANGE(""https://docs.google.com/spreadsheets/d/14Bd19lYaqBhU8_DElYkX7l4wRkHqqCUFNJY4AfY3kHU/edit?usp=sharing  #gid=0"",""фіз особи new!relations_name""),6,FALSE)
,
(IF
(
C12725=""юридична особа""
,
VLOO"&amp;"KUP(D12725,IMPORTRANGE(""https://docs.google.com/spreadsheets/d/14Bd19lYaqBhU8_DElYkX7l4wRkHqqCUFNJY4AfY3kHU/edit?usp=sharing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G12724" s="7" t="s">
        <v>10</v>
      </c>
      <c r="H12724" s="7">
        <v>1974</v>
      </c>
      <c r="I12724" s="8" t="str">
        <f ca="1">IFERROR(__xludf.DUMMYFUNCTION("IF
(
G12725=""фізична особа""
,
VLOOKUP(H12725,IMPORTRANGE(""https://docs.google.com/spreadsheets/d/14Bd19lYaqBhU8_DElYkX7l4wRkHqqCUFNJY4AfY3kHU/edit?usp=sharing  #gid=0"",""фіз особи new!relations_name""),6,FALSE)
,
(IF
(
G12725=""юридична особа""
,
VLOO"&amp;"KUP(H12725,IMPORTRANGE(""https://docs.google.com/spreadsheets/d/14Bd19lYaqBhU8_DElYkX7l4wRkHqqCUFNJY4AfY3kHU/edit?usp=sharing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24" s="7" t="s">
        <v>23</v>
      </c>
    </row>
    <row r="12725" spans="1:10" ht="13.2">
      <c r="A12725" s="7">
        <v>12724</v>
      </c>
      <c r="B12725" s="7">
        <v>1</v>
      </c>
      <c r="C12725" s="7" t="s">
        <v>10</v>
      </c>
      <c r="D12725" s="7">
        <v>18292</v>
      </c>
      <c r="E12725" s="7" t="s">
        <v>23</v>
      </c>
      <c r="F12725" s="8" t="str">
        <f ca="1">IFERROR(__xludf.DUMMYFUNCTION("IF
(
C12726=""фізична особа""
,
VLOOKUP(D12726,IMPORTRANGE(""https://docs.google.com/spreadsheets/d/14Bd19lYaqBhU8_DElYkX7l4wRkHqqCUFNJY4AfY3kHU/edit?usp=sharing  #gid=0"",""фіз особи new!relations_name""),6,FALSE)
,
(IF
(
C12726=""юридична особа""
,
VLOO"&amp;"KUP(D12726,IMPORTRANGE(""https://docs.google.com/spreadsheets/d/14Bd19lYaqBhU8_DElYkX7l4wRkHqqCUFNJY4AfY3kHU/edit?usp=sharing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25" s="7" t="s">
        <v>10</v>
      </c>
      <c r="H12725" s="7">
        <v>18290</v>
      </c>
      <c r="I12725" s="8" t="str">
        <f ca="1">IFERROR(__xludf.DUMMYFUNCTION("IF
(
G12726=""фізична особа""
,
VLOOKUP(H12726,IMPORTRANGE(""https://docs.google.com/spreadsheets/d/14Bd19lYaqBhU8_DElYkX7l4wRkHqqCUFNJY4AfY3kHU/edit?usp=sharing  #gid=0"",""фіз особи new!relations_name""),6,FALSE)
,
(IF
(
G12726=""юридична особа""
,
VLOO"&amp;"KUP(H12726,IMPORTRANGE(""https://docs.google.com/spreadsheets/d/14Bd19lYaqBhU8_DElYkX7l4wRkHqqCUFNJY4AfY3kHU/edit?usp=sharing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J12725" s="7" t="s">
        <v>23</v>
      </c>
    </row>
    <row r="12726" spans="1:10" ht="13.2">
      <c r="A12726" s="7">
        <v>12725</v>
      </c>
      <c r="B12726" s="7">
        <v>1</v>
      </c>
      <c r="C12726" s="7" t="s">
        <v>10</v>
      </c>
      <c r="D12726" s="7">
        <v>18292</v>
      </c>
      <c r="E12726" s="7" t="s">
        <v>23</v>
      </c>
      <c r="F12726" s="8" t="str">
        <f ca="1">IFERROR(__xludf.DUMMYFUNCTION("IF
(
C12727=""фізична особа""
,
VLOOKUP(D12727,IMPORTRANGE(""https://docs.google.com/spreadsheets/d/14Bd19lYaqBhU8_DElYkX7l4wRkHqqCUFNJY4AfY3kHU/edit?usp=sharing  #gid=0"",""фіз особи new!relations_name""),6,FALSE)
,
(IF
(
C12727=""юридична особа""
,
VLOO"&amp;"KUP(D12727,IMPORTRANGE(""https://docs.google.com/spreadsheets/d/14Bd19lYaqBhU8_DElYkX7l4wRkHqqCUFNJY4AfY3kHU/edit?usp=sharing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26" s="7" t="s">
        <v>10</v>
      </c>
      <c r="H12726" s="7">
        <v>18291</v>
      </c>
      <c r="I12726" s="8" t="str">
        <f ca="1">IFERROR(__xludf.DUMMYFUNCTION("IF
(
G12727=""фізична особа""
,
VLOOKUP(H12727,IMPORTRANGE(""https://docs.google.com/spreadsheets/d/14Bd19lYaqBhU8_DElYkX7l4wRkHqqCUFNJY4AfY3kHU/edit?usp=sharing  #gid=0"",""фіз особи new!relations_name""),6,FALSE)
,
(IF
(
G12727=""юридична особа""
,
VLOO"&amp;"KUP(H12727,IMPORTRANGE(""https://docs.google.com/spreadsheets/d/14Bd19lYaqBhU8_DElYkX7l4wRkHqqCUFNJY4AfY3kHU/edit?usp=sharing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J12726" s="7" t="s">
        <v>23</v>
      </c>
    </row>
    <row r="12727" spans="1:10" ht="13.2">
      <c r="A12727" s="7">
        <v>12726</v>
      </c>
      <c r="B12727" s="7">
        <v>1</v>
      </c>
      <c r="C12727" s="7" t="s">
        <v>10</v>
      </c>
      <c r="D12727" s="7">
        <v>18292</v>
      </c>
      <c r="E12727" s="7" t="s">
        <v>23</v>
      </c>
      <c r="F12727" s="8" t="str">
        <f ca="1">IFERROR(__xludf.DUMMYFUNCTION("IF
(
C12728=""фізична особа""
,
VLOOKUP(D12728,IMPORTRANGE(""https://docs.google.com/spreadsheets/d/14Bd19lYaqBhU8_DElYkX7l4wRkHqqCUFNJY4AfY3kHU/edit?usp=sharing  #gid=0"",""фіз особи new!relations_name""),6,FALSE)
,
(IF
(
C12728=""юридична особа""
,
VLOO"&amp;"KUP(D12728,IMPORTRANGE(""https://docs.google.com/spreadsheets/d/14Bd19lYaqBhU8_DElYkX7l4wRkHqqCUFNJY4AfY3kHU/edit?usp=sharing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27" s="7" t="s">
        <v>10</v>
      </c>
      <c r="H12727" s="7">
        <v>18293</v>
      </c>
      <c r="I12727" s="8" t="str">
        <f ca="1">IFERROR(__xludf.DUMMYFUNCTION("IF
(
G12728=""фізична особа""
,
VLOOKUP(H12728,IMPORTRANGE(""https://docs.google.com/spreadsheets/d/14Bd19lYaqBhU8_DElYkX7l4wRkHqqCUFNJY4AfY3kHU/edit?usp=sharing  #gid=0"",""фіз особи new!relations_name""),6,FALSE)
,
(IF
(
G12728=""юридична особа""
,
VLOO"&amp;"KUP(H12728,IMPORTRANGE(""https://docs.google.com/spreadsheets/d/14Bd19lYaqBhU8_DElYkX7l4wRkHqqCUFNJY4AfY3kHU/edit?usp=sharing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J12727" s="7" t="s">
        <v>23</v>
      </c>
    </row>
    <row r="12728" spans="1:10" ht="13.2">
      <c r="A12728" s="7">
        <v>12727</v>
      </c>
      <c r="B12728" s="7">
        <v>1</v>
      </c>
      <c r="C12728" s="7" t="s">
        <v>10</v>
      </c>
      <c r="D12728" s="7">
        <v>18292</v>
      </c>
      <c r="E12728" s="7" t="s">
        <v>23</v>
      </c>
      <c r="F12728" s="8" t="str">
        <f ca="1">IFERROR(__xludf.DUMMYFUNCTION("IF
(
C12729=""фізична особа""
,
VLOOKUP(D12729,IMPORTRANGE(""https://docs.google.com/spreadsheets/d/14Bd19lYaqBhU8_DElYkX7l4wRkHqqCUFNJY4AfY3kHU/edit?usp=sharing  #gid=0"",""фіз особи new!relations_name""),6,FALSE)
,
(IF
(
C12729=""юридична особа""
,
VLOO"&amp;"KUP(D12729,IMPORTRANGE(""https://docs.google.com/spreadsheets/d/14Bd19lYaqBhU8_DElYkX7l4wRkHqqCUFNJY4AfY3kHU/edit?usp=sharing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28" s="7" t="s">
        <v>10</v>
      </c>
      <c r="H12728" s="7">
        <v>18294</v>
      </c>
      <c r="I12728" s="8" t="str">
        <f ca="1">IFERROR(__xludf.DUMMYFUNCTION("IF
(
G12729=""фізична особа""
,
VLOOKUP(H12729,IMPORTRANGE(""https://docs.google.com/spreadsheets/d/14Bd19lYaqBhU8_DElYkX7l4wRkHqqCUFNJY4AfY3kHU/edit?usp=sharing  #gid=0"",""фіз особи new!relations_name""),6,FALSE)
,
(IF
(
G12729=""юридична особа""
,
VLOO"&amp;"KUP(H12729,IMPORTRANGE(""https://docs.google.com/spreadsheets/d/14Bd19lYaqBhU8_DElYkX7l4wRkHqqCUFNJY4AfY3kHU/edit?usp=sharing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J12728" s="7" t="s">
        <v>23</v>
      </c>
    </row>
    <row r="12729" spans="1:10" ht="13.2">
      <c r="A12729" s="7">
        <v>12728</v>
      </c>
      <c r="B12729" s="7">
        <v>1</v>
      </c>
      <c r="C12729" s="7" t="s">
        <v>10</v>
      </c>
      <c r="D12729" s="7">
        <v>18292</v>
      </c>
      <c r="E12729" s="7" t="s">
        <v>23</v>
      </c>
      <c r="F12729" s="8" t="str">
        <f ca="1">IFERROR(__xludf.DUMMYFUNCTION("IF
(
C12730=""фізична особа""
,
VLOOKUP(D12730,IMPORTRANGE(""https://docs.google.com/spreadsheets/d/14Bd19lYaqBhU8_DElYkX7l4wRkHqqCUFNJY4AfY3kHU/edit?usp=sharing  #gid=0"",""фіз особи new!relations_name""),6,FALSE)
,
(IF
(
C12730=""юридична особа""
,
VLOO"&amp;"KUP(D12730,IMPORTRANGE(""https://docs.google.com/spreadsheets/d/14Bd19lYaqBhU8_DElYkX7l4wRkHqqCUFNJY4AfY3kHU/edit?usp=sharing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29" s="7" t="s">
        <v>10</v>
      </c>
      <c r="H12729" s="7">
        <v>18295</v>
      </c>
      <c r="I12729" s="8" t="str">
        <f ca="1">IFERROR(__xludf.DUMMYFUNCTION("IF
(
G12730=""фізична особа""
,
VLOOKUP(H12730,IMPORTRANGE(""https://docs.google.com/spreadsheets/d/14Bd19lYaqBhU8_DElYkX7l4wRkHqqCUFNJY4AfY3kHU/edit?usp=sharing  #gid=0"",""фіз особи new!relations_name""),6,FALSE)
,
(IF
(
G12730=""юридична особа""
,
VLOO"&amp;"KUP(H12730,IMPORTRANGE(""https://docs.google.com/spreadsheets/d/14Bd19lYaqBhU8_DElYkX7l4wRkHqqCUFNJY4AfY3kHU/edit?usp=sharing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J12729" s="7" t="s">
        <v>23</v>
      </c>
    </row>
    <row r="12730" spans="1:10" ht="13.2">
      <c r="A12730" s="7">
        <v>12729</v>
      </c>
      <c r="B12730" s="7">
        <v>1</v>
      </c>
      <c r="C12730" s="7" t="s">
        <v>10</v>
      </c>
      <c r="D12730" s="7">
        <v>18292</v>
      </c>
      <c r="E12730" s="7" t="s">
        <v>23</v>
      </c>
      <c r="F12730" s="8" t="str">
        <f ca="1">IFERROR(__xludf.DUMMYFUNCTION("IF
(
C12731=""фізична особа""
,
VLOOKUP(D12731,IMPORTRANGE(""https://docs.google.com/spreadsheets/d/14Bd19lYaqBhU8_DElYkX7l4wRkHqqCUFNJY4AfY3kHU/edit?usp=sharing  #gid=0"",""фіз особи new!relations_name""),6,FALSE)
,
(IF
(
C12731=""юридична особа""
,
VLOO"&amp;"KUP(D12731,IMPORTRANGE(""https://docs.google.com/spreadsheets/d/14Bd19lYaqBhU8_DElYkX7l4wRkHqqCUFNJY4AfY3kHU/edit?usp=sharing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G12730" s="7" t="s">
        <v>10</v>
      </c>
      <c r="H12730" s="7">
        <v>1974</v>
      </c>
      <c r="I12730" s="8" t="str">
        <f ca="1">IFERROR(__xludf.DUMMYFUNCTION("IF
(
G12731=""фізична особа""
,
VLOOKUP(H12731,IMPORTRANGE(""https://docs.google.com/spreadsheets/d/14Bd19lYaqBhU8_DElYkX7l4wRkHqqCUFNJY4AfY3kHU/edit?usp=sharing  #gid=0"",""фіз особи new!relations_name""),6,FALSE)
,
(IF
(
G12731=""юридична особа""
,
VLOO"&amp;"KUP(H12731,IMPORTRANGE(""https://docs.google.com/spreadsheets/d/14Bd19lYaqBhU8_DElYkX7l4wRkHqqCUFNJY4AfY3kHU/edit?usp=sharing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30" s="7" t="s">
        <v>23</v>
      </c>
    </row>
    <row r="12731" spans="1:10" ht="13.2">
      <c r="A12731" s="7">
        <v>12730</v>
      </c>
      <c r="B12731" s="7">
        <v>1</v>
      </c>
      <c r="C12731" s="7" t="s">
        <v>10</v>
      </c>
      <c r="D12731" s="7">
        <v>18293</v>
      </c>
      <c r="E12731" s="7" t="s">
        <v>23</v>
      </c>
      <c r="F12731" s="8" t="str">
        <f ca="1">IFERROR(__xludf.DUMMYFUNCTION("IF
(
C12732=""фізична особа""
,
VLOOKUP(D12732,IMPORTRANGE(""https://docs.google.com/spreadsheets/d/14Bd19lYaqBhU8_DElYkX7l4wRkHqqCUFNJY4AfY3kHU/edit?usp=sharing  #gid=0"",""фіз особи new!relations_name""),6,FALSE)
,
(IF
(
C12732=""юридична особа""
,
VLOO"&amp;"KUP(D12732,IMPORTRANGE(""https://docs.google.com/spreadsheets/d/14Bd19lYaqBhU8_DElYkX7l4wRkHqqCUFNJY4AfY3kHU/edit?usp=sharing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1" s="7" t="s">
        <v>10</v>
      </c>
      <c r="H12731" s="7">
        <v>18290</v>
      </c>
      <c r="I12731" s="8" t="str">
        <f ca="1">IFERROR(__xludf.DUMMYFUNCTION("IF
(
G12732=""фізична особа""
,
VLOOKUP(H12732,IMPORTRANGE(""https://docs.google.com/spreadsheets/d/14Bd19lYaqBhU8_DElYkX7l4wRkHqqCUFNJY4AfY3kHU/edit?usp=sharing  #gid=0"",""фіз особи new!relations_name""),6,FALSE)
,
(IF
(
G12732=""юридична особа""
,
VLOO"&amp;"KUP(H12732,IMPORTRANGE(""https://docs.google.com/spreadsheets/d/14Bd19lYaqBhU8_DElYkX7l4wRkHqqCUFNJY4AfY3kHU/edit?usp=sharing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J12731" s="7" t="s">
        <v>23</v>
      </c>
    </row>
    <row r="12732" spans="1:10" ht="13.2">
      <c r="A12732" s="7">
        <v>12731</v>
      </c>
      <c r="B12732" s="7">
        <v>1</v>
      </c>
      <c r="C12732" s="7" t="s">
        <v>10</v>
      </c>
      <c r="D12732" s="7">
        <v>18293</v>
      </c>
      <c r="E12732" s="7" t="s">
        <v>23</v>
      </c>
      <c r="F12732" s="8" t="str">
        <f ca="1">IFERROR(__xludf.DUMMYFUNCTION("IF
(
C12733=""фізична особа""
,
VLOOKUP(D12733,IMPORTRANGE(""https://docs.google.com/spreadsheets/d/14Bd19lYaqBhU8_DElYkX7l4wRkHqqCUFNJY4AfY3kHU/edit?usp=sharing  #gid=0"",""фіз особи new!relations_name""),6,FALSE)
,
(IF
(
C12733=""юридична особа""
,
VLOO"&amp;"KUP(D12733,IMPORTRANGE(""https://docs.google.com/spreadsheets/d/14Bd19lYaqBhU8_DElYkX7l4wRkHqqCUFNJY4AfY3kHU/edit?usp=sharing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2" s="7" t="s">
        <v>10</v>
      </c>
      <c r="H12732" s="7">
        <v>18291</v>
      </c>
      <c r="I12732" s="8" t="str">
        <f ca="1">IFERROR(__xludf.DUMMYFUNCTION("IF
(
G12733=""фізична особа""
,
VLOOKUP(H12733,IMPORTRANGE(""https://docs.google.com/spreadsheets/d/14Bd19lYaqBhU8_DElYkX7l4wRkHqqCUFNJY4AfY3kHU/edit?usp=sharing  #gid=0"",""фіз особи new!relations_name""),6,FALSE)
,
(IF
(
G12733=""юридична особа""
,
VLOO"&amp;"KUP(H12733,IMPORTRANGE(""https://docs.google.com/spreadsheets/d/14Bd19lYaqBhU8_DElYkX7l4wRkHqqCUFNJY4AfY3kHU/edit?usp=sharing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J12732" s="7" t="s">
        <v>23</v>
      </c>
    </row>
    <row r="12733" spans="1:10" ht="13.2">
      <c r="A12733" s="7">
        <v>12732</v>
      </c>
      <c r="B12733" s="7">
        <v>1</v>
      </c>
      <c r="C12733" s="7" t="s">
        <v>10</v>
      </c>
      <c r="D12733" s="7">
        <v>18293</v>
      </c>
      <c r="E12733" s="7" t="s">
        <v>23</v>
      </c>
      <c r="F12733" s="8" t="str">
        <f ca="1">IFERROR(__xludf.DUMMYFUNCTION("IF
(
C12734=""фізична особа""
,
VLOOKUP(D12734,IMPORTRANGE(""https://docs.google.com/spreadsheets/d/14Bd19lYaqBhU8_DElYkX7l4wRkHqqCUFNJY4AfY3kHU/edit?usp=sharing  #gid=0"",""фіз особи new!relations_name""),6,FALSE)
,
(IF
(
C12734=""юридична особа""
,
VLOO"&amp;"KUP(D12734,IMPORTRANGE(""https://docs.google.com/spreadsheets/d/14Bd19lYaqBhU8_DElYkX7l4wRkHqqCUFNJY4AfY3kHU/edit?usp=sharing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3" s="7" t="s">
        <v>10</v>
      </c>
      <c r="H12733" s="7">
        <v>18292</v>
      </c>
      <c r="I12733" s="8" t="str">
        <f ca="1">IFERROR(__xludf.DUMMYFUNCTION("IF
(
G12734=""фізична особа""
,
VLOOKUP(H12734,IMPORTRANGE(""https://docs.google.com/spreadsheets/d/14Bd19lYaqBhU8_DElYkX7l4wRkHqqCUFNJY4AfY3kHU/edit?usp=sharing  #gid=0"",""фіз особи new!relations_name""),6,FALSE)
,
(IF
(
G12734=""юридична особа""
,
VLOO"&amp;"KUP(H12734,IMPORTRANGE(""https://docs.google.com/spreadsheets/d/14Bd19lYaqBhU8_DElYkX7l4wRkHqqCUFNJY4AfY3kHU/edit?usp=sharing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J12733" s="7" t="s">
        <v>23</v>
      </c>
    </row>
    <row r="12734" spans="1:10" ht="13.2">
      <c r="A12734" s="7">
        <v>12733</v>
      </c>
      <c r="B12734" s="7">
        <v>1</v>
      </c>
      <c r="C12734" s="7" t="s">
        <v>10</v>
      </c>
      <c r="D12734" s="7">
        <v>18293</v>
      </c>
      <c r="E12734" s="7" t="s">
        <v>23</v>
      </c>
      <c r="F12734" s="8" t="str">
        <f ca="1">IFERROR(__xludf.DUMMYFUNCTION("IF
(
C12735=""фізична особа""
,
VLOOKUP(D12735,IMPORTRANGE(""https://docs.google.com/spreadsheets/d/14Bd19lYaqBhU8_DElYkX7l4wRkHqqCUFNJY4AfY3kHU/edit?usp=sharing  #gid=0"",""фіз особи new!relations_name""),6,FALSE)
,
(IF
(
C12735=""юридична особа""
,
VLOO"&amp;"KUP(D12735,IMPORTRANGE(""https://docs.google.com/spreadsheets/d/14Bd19lYaqBhU8_DElYkX7l4wRkHqqCUFNJY4AfY3kHU/edit?usp=sharing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4" s="7" t="s">
        <v>10</v>
      </c>
      <c r="H12734" s="7">
        <v>18294</v>
      </c>
      <c r="I12734" s="8" t="str">
        <f ca="1">IFERROR(__xludf.DUMMYFUNCTION("IF
(
G12735=""фізична особа""
,
VLOOKUP(H12735,IMPORTRANGE(""https://docs.google.com/spreadsheets/d/14Bd19lYaqBhU8_DElYkX7l4wRkHqqCUFNJY4AfY3kHU/edit?usp=sharing  #gid=0"",""фіз особи new!relations_name""),6,FALSE)
,
(IF
(
G12735=""юридична особа""
,
VLOO"&amp;"KUP(H12735,IMPORTRANGE(""https://docs.google.com/spreadsheets/d/14Bd19lYaqBhU8_DElYkX7l4wRkHqqCUFNJY4AfY3kHU/edit?usp=sharing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J12734" s="7" t="s">
        <v>23</v>
      </c>
    </row>
    <row r="12735" spans="1:10" ht="13.2">
      <c r="A12735" s="7">
        <v>12734</v>
      </c>
      <c r="B12735" s="7">
        <v>1</v>
      </c>
      <c r="C12735" s="7" t="s">
        <v>10</v>
      </c>
      <c r="D12735" s="7">
        <v>18293</v>
      </c>
      <c r="E12735" s="7" t="s">
        <v>23</v>
      </c>
      <c r="F12735" s="8" t="str">
        <f ca="1">IFERROR(__xludf.DUMMYFUNCTION("IF
(
C12736=""фізична особа""
,
VLOOKUP(D12736,IMPORTRANGE(""https://docs.google.com/spreadsheets/d/14Bd19lYaqBhU8_DElYkX7l4wRkHqqCUFNJY4AfY3kHU/edit?usp=sharing  #gid=0"",""фіз особи new!relations_name""),6,FALSE)
,
(IF
(
C12736=""юридична особа""
,
VLOO"&amp;"KUP(D12736,IMPORTRANGE(""https://docs.google.com/spreadsheets/d/14Bd19lYaqBhU8_DElYkX7l4wRkHqqCUFNJY4AfY3kHU/edit?usp=sharing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5" s="7" t="s">
        <v>10</v>
      </c>
      <c r="H12735" s="7">
        <v>18295</v>
      </c>
      <c r="I12735" s="8" t="str">
        <f ca="1">IFERROR(__xludf.DUMMYFUNCTION("IF
(
G12736=""фізична особа""
,
VLOOKUP(H12736,IMPORTRANGE(""https://docs.google.com/spreadsheets/d/14Bd19lYaqBhU8_DElYkX7l4wRkHqqCUFNJY4AfY3kHU/edit?usp=sharing  #gid=0"",""фіз особи new!relations_name""),6,FALSE)
,
(IF
(
G12736=""юридична особа""
,
VLOO"&amp;"KUP(H12736,IMPORTRANGE(""https://docs.google.com/spreadsheets/d/14Bd19lYaqBhU8_DElYkX7l4wRkHqqCUFNJY4AfY3kHU/edit?usp=sharing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J12735" s="7" t="s">
        <v>23</v>
      </c>
    </row>
    <row r="12736" spans="1:10" ht="13.2">
      <c r="A12736" s="7">
        <v>12735</v>
      </c>
      <c r="B12736" s="7">
        <v>1</v>
      </c>
      <c r="C12736" s="7" t="s">
        <v>10</v>
      </c>
      <c r="D12736" s="7">
        <v>18293</v>
      </c>
      <c r="E12736" s="7" t="s">
        <v>23</v>
      </c>
      <c r="F12736" s="8" t="str">
        <f ca="1">IFERROR(__xludf.DUMMYFUNCTION("IF
(
C12737=""фізична особа""
,
VLOOKUP(D12737,IMPORTRANGE(""https://docs.google.com/spreadsheets/d/14Bd19lYaqBhU8_DElYkX7l4wRkHqqCUFNJY4AfY3kHU/edit?usp=sharing  #gid=0"",""фіз особи new!relations_name""),6,FALSE)
,
(IF
(
C12737=""юридична особа""
,
VLOO"&amp;"KUP(D12737,IMPORTRANGE(""https://docs.google.com/spreadsheets/d/14Bd19lYaqBhU8_DElYkX7l4wRkHqqCUFNJY4AfY3kHU/edit?usp=sharing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G12736" s="7" t="s">
        <v>10</v>
      </c>
      <c r="H12736" s="7">
        <v>1974</v>
      </c>
      <c r="I12736" s="8" t="str">
        <f ca="1">IFERROR(__xludf.DUMMYFUNCTION("IF
(
G12737=""фізична особа""
,
VLOOKUP(H12737,IMPORTRANGE(""https://docs.google.com/spreadsheets/d/14Bd19lYaqBhU8_DElYkX7l4wRkHqqCUFNJY4AfY3kHU/edit?usp=sharing  #gid=0"",""фіз особи new!relations_name""),6,FALSE)
,
(IF
(
G12737=""юридична особа""
,
VLOO"&amp;"KUP(H12737,IMPORTRANGE(""https://docs.google.com/spreadsheets/d/14Bd19lYaqBhU8_DElYkX7l4wRkHqqCUFNJY4AfY3kHU/edit?usp=sharing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36" s="7" t="s">
        <v>23</v>
      </c>
    </row>
    <row r="12737" spans="1:10" ht="13.2">
      <c r="A12737" s="7">
        <v>12736</v>
      </c>
      <c r="B12737" s="7">
        <v>1</v>
      </c>
      <c r="C12737" s="7" t="s">
        <v>10</v>
      </c>
      <c r="D12737" s="7">
        <v>18294</v>
      </c>
      <c r="E12737" s="7" t="s">
        <v>23</v>
      </c>
      <c r="F12737" s="8" t="str">
        <f ca="1">IFERROR(__xludf.DUMMYFUNCTION("IF
(
C12738=""фізична особа""
,
VLOOKUP(D12738,IMPORTRANGE(""https://docs.google.com/spreadsheets/d/14Bd19lYaqBhU8_DElYkX7l4wRkHqqCUFNJY4AfY3kHU/edit?usp=sharing  #gid=0"",""фіз особи new!relations_name""),6,FALSE)
,
(IF
(
C12738=""юридична особа""
,
VLOO"&amp;"KUP(D12738,IMPORTRANGE(""https://docs.google.com/spreadsheets/d/14Bd19lYaqBhU8_DElYkX7l4wRkHqqCUFNJY4AfY3kHU/edit?usp=sharing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37" s="7" t="s">
        <v>10</v>
      </c>
      <c r="H12737" s="7">
        <v>18290</v>
      </c>
      <c r="I12737" s="8" t="str">
        <f ca="1">IFERROR(__xludf.DUMMYFUNCTION("IF
(
G12738=""фізична особа""
,
VLOOKUP(H12738,IMPORTRANGE(""https://docs.google.com/spreadsheets/d/14Bd19lYaqBhU8_DElYkX7l4wRkHqqCUFNJY4AfY3kHU/edit?usp=sharing  #gid=0"",""фіз особи new!relations_name""),6,FALSE)
,
(IF
(
G12738=""юридична особа""
,
VLOO"&amp;"KUP(H12738,IMPORTRANGE(""https://docs.google.com/spreadsheets/d/14Bd19lYaqBhU8_DElYkX7l4wRkHqqCUFNJY4AfY3kHU/edit?usp=sharing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J12737" s="7" t="s">
        <v>23</v>
      </c>
    </row>
    <row r="12738" spans="1:10" ht="13.2">
      <c r="A12738" s="7">
        <v>12737</v>
      </c>
      <c r="B12738" s="7">
        <v>1</v>
      </c>
      <c r="C12738" s="7" t="s">
        <v>10</v>
      </c>
      <c r="D12738" s="7">
        <v>18294</v>
      </c>
      <c r="E12738" s="7" t="s">
        <v>23</v>
      </c>
      <c r="F12738" s="8" t="str">
        <f ca="1">IFERROR(__xludf.DUMMYFUNCTION("IF
(
C12739=""фізична особа""
,
VLOOKUP(D12739,IMPORTRANGE(""https://docs.google.com/spreadsheets/d/14Bd19lYaqBhU8_DElYkX7l4wRkHqqCUFNJY4AfY3kHU/edit?usp=sharing  #gid=0"",""фіз особи new!relations_name""),6,FALSE)
,
(IF
(
C12739=""юридична особа""
,
VLOO"&amp;"KUP(D12739,IMPORTRANGE(""https://docs.google.com/spreadsheets/d/14Bd19lYaqBhU8_DElYkX7l4wRkHqqCUFNJY4AfY3kHU/edit?usp=sharing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38" s="7" t="s">
        <v>10</v>
      </c>
      <c r="H12738" s="7">
        <v>18291</v>
      </c>
      <c r="I12738" s="8" t="str">
        <f ca="1">IFERROR(__xludf.DUMMYFUNCTION("IF
(
G12739=""фізична особа""
,
VLOOKUP(H12739,IMPORTRANGE(""https://docs.google.com/spreadsheets/d/14Bd19lYaqBhU8_DElYkX7l4wRkHqqCUFNJY4AfY3kHU/edit?usp=sharing  #gid=0"",""фіз особи new!relations_name""),6,FALSE)
,
(IF
(
G12739=""юридична особа""
,
VLOO"&amp;"KUP(H12739,IMPORTRANGE(""https://docs.google.com/spreadsheets/d/14Bd19lYaqBhU8_DElYkX7l4wRkHqqCUFNJY4AfY3kHU/edit?usp=sharing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J12738" s="7" t="s">
        <v>23</v>
      </c>
    </row>
    <row r="12739" spans="1:10" ht="13.2">
      <c r="A12739" s="7">
        <v>12738</v>
      </c>
      <c r="B12739" s="7">
        <v>1</v>
      </c>
      <c r="C12739" s="7" t="s">
        <v>10</v>
      </c>
      <c r="D12739" s="7">
        <v>18294</v>
      </c>
      <c r="E12739" s="7" t="s">
        <v>23</v>
      </c>
      <c r="F12739" s="8" t="str">
        <f ca="1">IFERROR(__xludf.DUMMYFUNCTION("IF
(
C12740=""фізична особа""
,
VLOOKUP(D12740,IMPORTRANGE(""https://docs.google.com/spreadsheets/d/14Bd19lYaqBhU8_DElYkX7l4wRkHqqCUFNJY4AfY3kHU/edit?usp=sharing  #gid=0"",""фіз особи new!relations_name""),6,FALSE)
,
(IF
(
C12740=""юридична особа""
,
VLOO"&amp;"KUP(D12740,IMPORTRANGE(""https://docs.google.com/spreadsheets/d/14Bd19lYaqBhU8_DElYkX7l4wRkHqqCUFNJY4AfY3kHU/edit?usp=sharing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39" s="7" t="s">
        <v>10</v>
      </c>
      <c r="H12739" s="7">
        <v>18292</v>
      </c>
      <c r="I12739" s="8" t="str">
        <f ca="1">IFERROR(__xludf.DUMMYFUNCTION("IF
(
G12740=""фізична особа""
,
VLOOKUP(H12740,IMPORTRANGE(""https://docs.google.com/spreadsheets/d/14Bd19lYaqBhU8_DElYkX7l4wRkHqqCUFNJY4AfY3kHU/edit?usp=sharing  #gid=0"",""фіз особи new!relations_name""),6,FALSE)
,
(IF
(
G12740=""юридична особа""
,
VLOO"&amp;"KUP(H12740,IMPORTRANGE(""https://docs.google.com/spreadsheets/d/14Bd19lYaqBhU8_DElYkX7l4wRkHqqCUFNJY4AfY3kHU/edit?usp=sharing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J12739" s="7" t="s">
        <v>23</v>
      </c>
    </row>
    <row r="12740" spans="1:10" ht="13.2">
      <c r="A12740" s="7">
        <v>12739</v>
      </c>
      <c r="B12740" s="7">
        <v>1</v>
      </c>
      <c r="C12740" s="7" t="s">
        <v>10</v>
      </c>
      <c r="D12740" s="7">
        <v>18294</v>
      </c>
      <c r="E12740" s="7" t="s">
        <v>23</v>
      </c>
      <c r="F12740" s="8" t="str">
        <f ca="1">IFERROR(__xludf.DUMMYFUNCTION("IF
(
C12741=""фізична особа""
,
VLOOKUP(D12741,IMPORTRANGE(""https://docs.google.com/spreadsheets/d/14Bd19lYaqBhU8_DElYkX7l4wRkHqqCUFNJY4AfY3kHU/edit?usp=sharing  #gid=0"",""фіз особи new!relations_name""),6,FALSE)
,
(IF
(
C12741=""юридична особа""
,
VLOO"&amp;"KUP(D12741,IMPORTRANGE(""https://docs.google.com/spreadsheets/d/14Bd19lYaqBhU8_DElYkX7l4wRkHqqCUFNJY4AfY3kHU/edit?usp=sharing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40" s="7" t="s">
        <v>10</v>
      </c>
      <c r="H12740" s="7">
        <v>18293</v>
      </c>
      <c r="I12740" s="8" t="str">
        <f ca="1">IFERROR(__xludf.DUMMYFUNCTION("IF
(
G12741=""фізична особа""
,
VLOOKUP(H12741,IMPORTRANGE(""https://docs.google.com/spreadsheets/d/14Bd19lYaqBhU8_DElYkX7l4wRkHqqCUFNJY4AfY3kHU/edit?usp=sharing  #gid=0"",""фіз особи new!relations_name""),6,FALSE)
,
(IF
(
G12741=""юридична особа""
,
VLOO"&amp;"KUP(H12741,IMPORTRANGE(""https://docs.google.com/spreadsheets/d/14Bd19lYaqBhU8_DElYkX7l4wRkHqqCUFNJY4AfY3kHU/edit?usp=sharing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J12740" s="7" t="s">
        <v>23</v>
      </c>
    </row>
    <row r="12741" spans="1:10" ht="13.2">
      <c r="A12741" s="7">
        <v>12740</v>
      </c>
      <c r="B12741" s="7">
        <v>1</v>
      </c>
      <c r="C12741" s="7" t="s">
        <v>10</v>
      </c>
      <c r="D12741" s="7">
        <v>18294</v>
      </c>
      <c r="E12741" s="7" t="s">
        <v>23</v>
      </c>
      <c r="F12741" s="8" t="str">
        <f ca="1">IFERROR(__xludf.DUMMYFUNCTION("IF
(
C12742=""фізична особа""
,
VLOOKUP(D12742,IMPORTRANGE(""https://docs.google.com/spreadsheets/d/14Bd19lYaqBhU8_DElYkX7l4wRkHqqCUFNJY4AfY3kHU/edit?usp=sharing  #gid=0"",""фіз особи new!relations_name""),6,FALSE)
,
(IF
(
C12742=""юридична особа""
,
VLOO"&amp;"KUP(D12742,IMPORTRANGE(""https://docs.google.com/spreadsheets/d/14Bd19lYaqBhU8_DElYkX7l4wRkHqqCUFNJY4AfY3kHU/edit?usp=sharing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41" s="7" t="s">
        <v>10</v>
      </c>
      <c r="H12741" s="7">
        <v>18295</v>
      </c>
      <c r="I12741" s="8" t="str">
        <f ca="1">IFERROR(__xludf.DUMMYFUNCTION("IF
(
G12742=""фізична особа""
,
VLOOKUP(H12742,IMPORTRANGE(""https://docs.google.com/spreadsheets/d/14Bd19lYaqBhU8_DElYkX7l4wRkHqqCUFNJY4AfY3kHU/edit?usp=sharing  #gid=0"",""фіз особи new!relations_name""),6,FALSE)
,
(IF
(
G12742=""юридична особа""
,
VLOO"&amp;"KUP(H12742,IMPORTRANGE(""https://docs.google.com/spreadsheets/d/14Bd19lYaqBhU8_DElYkX7l4wRkHqqCUFNJY4AfY3kHU/edit?usp=sharing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J12741" s="7" t="s">
        <v>23</v>
      </c>
    </row>
    <row r="12742" spans="1:10" ht="13.2">
      <c r="A12742" s="7">
        <v>12741</v>
      </c>
      <c r="B12742" s="7">
        <v>1</v>
      </c>
      <c r="C12742" s="7" t="s">
        <v>10</v>
      </c>
      <c r="D12742" s="7">
        <v>18294</v>
      </c>
      <c r="E12742" s="7" t="s">
        <v>23</v>
      </c>
      <c r="F12742" s="8" t="str">
        <f ca="1">IFERROR(__xludf.DUMMYFUNCTION("IF
(
C12743=""фізична особа""
,
VLOOKUP(D12743,IMPORTRANGE(""https://docs.google.com/spreadsheets/d/14Bd19lYaqBhU8_DElYkX7l4wRkHqqCUFNJY4AfY3kHU/edit?usp=sharing  #gid=0"",""фіз особи new!relations_name""),6,FALSE)
,
(IF
(
C12743=""юридична особа""
,
VLOO"&amp;"KUP(D12743,IMPORTRANGE(""https://docs.google.com/spreadsheets/d/14Bd19lYaqBhU8_DElYkX7l4wRkHqqCUFNJY4AfY3kHU/edit?usp=sharing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G12742" s="7" t="s">
        <v>10</v>
      </c>
      <c r="H12742" s="7">
        <v>1974</v>
      </c>
      <c r="I12742" s="8" t="str">
        <f ca="1">IFERROR(__xludf.DUMMYFUNCTION("IF
(
G12743=""фізична особа""
,
VLOOKUP(H12743,IMPORTRANGE(""https://docs.google.com/spreadsheets/d/14Bd19lYaqBhU8_DElYkX7l4wRkHqqCUFNJY4AfY3kHU/edit?usp=sharing  #gid=0"",""фіз особи new!relations_name""),6,FALSE)
,
(IF
(
G12743=""юридична особа""
,
VLOO"&amp;"KUP(H12743,IMPORTRANGE(""https://docs.google.com/spreadsheets/d/14Bd19lYaqBhU8_DElYkX7l4wRkHqqCUFNJY4AfY3kHU/edit?usp=sharing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42" s="7" t="s">
        <v>23</v>
      </c>
    </row>
    <row r="12743" spans="1:10" ht="13.2">
      <c r="A12743" s="7">
        <v>12742</v>
      </c>
      <c r="B12743" s="7">
        <v>1</v>
      </c>
      <c r="C12743" s="7" t="s">
        <v>10</v>
      </c>
      <c r="D12743" s="7">
        <v>18295</v>
      </c>
      <c r="E12743" s="7" t="s">
        <v>23</v>
      </c>
      <c r="F12743" s="8" t="str">
        <f ca="1">IFERROR(__xludf.DUMMYFUNCTION("IF
(
C12744=""фізична особа""
,
VLOOKUP(D12744,IMPORTRANGE(""https://docs.google.com/spreadsheets/d/14Bd19lYaqBhU8_DElYkX7l4wRkHqqCUFNJY4AfY3kHU/edit?usp=sharing  #gid=0"",""фіз особи new!relations_name""),6,FALSE)
,
(IF
(
C12744=""юридична особа""
,
VLOO"&amp;"KUP(D12744,IMPORTRANGE(""https://docs.google.com/spreadsheets/d/14Bd19lYaqBhU8_DElYkX7l4wRkHqqCUFNJY4AfY3kHU/edit?usp=sharing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3" s="7" t="s">
        <v>10</v>
      </c>
      <c r="H12743" s="7">
        <v>18290</v>
      </c>
      <c r="I12743" s="8" t="str">
        <f ca="1">IFERROR(__xludf.DUMMYFUNCTION("IF
(
G12744=""фізична особа""
,
VLOOKUP(H12744,IMPORTRANGE(""https://docs.google.com/spreadsheets/d/14Bd19lYaqBhU8_DElYkX7l4wRkHqqCUFNJY4AfY3kHU/edit?usp=sharing  #gid=0"",""фіз особи new!relations_name""),6,FALSE)
,
(IF
(
G12744=""юридична особа""
,
VLOO"&amp;"KUP(H12744,IMPORTRANGE(""https://docs.google.com/spreadsheets/d/14Bd19lYaqBhU8_DElYkX7l4wRkHqqCUFNJY4AfY3kHU/edit?usp=sharing  #gid=0"",""фіз особи new!relations_name_uo""),7,FALSE)
,
)
))"),"РЯБОВА Інна Борисівна")</f>
        <v>РЯБОВА Інна Борисівна</v>
      </c>
      <c r="J12743" s="7" t="s">
        <v>23</v>
      </c>
    </row>
    <row r="12744" spans="1:10" ht="13.2">
      <c r="A12744" s="7">
        <v>12743</v>
      </c>
      <c r="B12744" s="7">
        <v>1</v>
      </c>
      <c r="C12744" s="7" t="s">
        <v>10</v>
      </c>
      <c r="D12744" s="7">
        <v>18295</v>
      </c>
      <c r="E12744" s="7" t="s">
        <v>23</v>
      </c>
      <c r="F12744" s="8" t="str">
        <f ca="1">IFERROR(__xludf.DUMMYFUNCTION("IF
(
C12745=""фізична особа""
,
VLOOKUP(D12745,IMPORTRANGE(""https://docs.google.com/spreadsheets/d/14Bd19lYaqBhU8_DElYkX7l4wRkHqqCUFNJY4AfY3kHU/edit?usp=sharing  #gid=0"",""фіз особи new!relations_name""),6,FALSE)
,
(IF
(
C12745=""юридична особа""
,
VLOO"&amp;"KUP(D12745,IMPORTRANGE(""https://docs.google.com/spreadsheets/d/14Bd19lYaqBhU8_DElYkX7l4wRkHqqCUFNJY4AfY3kHU/edit?usp=sharing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4" s="7" t="s">
        <v>10</v>
      </c>
      <c r="H12744" s="7">
        <v>18291</v>
      </c>
      <c r="I12744" s="8" t="str">
        <f ca="1">IFERROR(__xludf.DUMMYFUNCTION("IF
(
G12745=""фізична особа""
,
VLOOKUP(H12745,IMPORTRANGE(""https://docs.google.com/spreadsheets/d/14Bd19lYaqBhU8_DElYkX7l4wRkHqqCUFNJY4AfY3kHU/edit?usp=sharing  #gid=0"",""фіз особи new!relations_name""),6,FALSE)
,
(IF
(
G12745=""юридична особа""
,
VLOO"&amp;"KUP(H12745,IMPORTRANGE(""https://docs.google.com/spreadsheets/d/14Bd19lYaqBhU8_DElYkX7l4wRkHqqCUFNJY4AfY3kHU/edit?usp=sharing  #gid=0"",""фіз особи new!relations_name_uo""),7,FALSE)
,
)
))"),"СТОЛЧНЄВА Ганна Юріївна")</f>
        <v>СТОЛЧНЄВА Ганна Юріївна</v>
      </c>
      <c r="J12744" s="7" t="s">
        <v>23</v>
      </c>
    </row>
    <row r="12745" spans="1:10" ht="13.2">
      <c r="A12745" s="7">
        <v>12744</v>
      </c>
      <c r="B12745" s="7">
        <v>1</v>
      </c>
      <c r="C12745" s="7" t="s">
        <v>10</v>
      </c>
      <c r="D12745" s="7">
        <v>18295</v>
      </c>
      <c r="E12745" s="7" t="s">
        <v>23</v>
      </c>
      <c r="F12745" s="8" t="str">
        <f ca="1">IFERROR(__xludf.DUMMYFUNCTION("IF
(
C12746=""фізична особа""
,
VLOOKUP(D12746,IMPORTRANGE(""https://docs.google.com/spreadsheets/d/14Bd19lYaqBhU8_DElYkX7l4wRkHqqCUFNJY4AfY3kHU/edit?usp=sharing  #gid=0"",""фіз особи new!relations_name""),6,FALSE)
,
(IF
(
C12746=""юридична особа""
,
VLOO"&amp;"KUP(D12746,IMPORTRANGE(""https://docs.google.com/spreadsheets/d/14Bd19lYaqBhU8_DElYkX7l4wRkHqqCUFNJY4AfY3kHU/edit?usp=sharing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5" s="7" t="s">
        <v>10</v>
      </c>
      <c r="H12745" s="7">
        <v>18292</v>
      </c>
      <c r="I12745" s="8" t="str">
        <f ca="1">IFERROR(__xludf.DUMMYFUNCTION("IF
(
G12746=""фізична особа""
,
VLOOKUP(H12746,IMPORTRANGE(""https://docs.google.com/spreadsheets/d/14Bd19lYaqBhU8_DElYkX7l4wRkHqqCUFNJY4AfY3kHU/edit?usp=sharing  #gid=0"",""фіз особи new!relations_name""),6,FALSE)
,
(IF
(
G12746=""юридична особа""
,
VLOO"&amp;"KUP(H12746,IMPORTRANGE(""https://docs.google.com/spreadsheets/d/14Bd19lYaqBhU8_DElYkX7l4wRkHqqCUFNJY4AfY3kHU/edit?usp=sharing  #gid=0"",""фіз особи new!relations_name_uo""),7,FALSE)
,
)
))"),"БЕРЕЗОВ Михайло Юрійович")</f>
        <v>БЕРЕЗОВ Михайло Юрійович</v>
      </c>
      <c r="J12745" s="7" t="s">
        <v>23</v>
      </c>
    </row>
    <row r="12746" spans="1:10" ht="13.2">
      <c r="A12746" s="7">
        <v>12745</v>
      </c>
      <c r="B12746" s="7">
        <v>1</v>
      </c>
      <c r="C12746" s="7" t="s">
        <v>10</v>
      </c>
      <c r="D12746" s="7">
        <v>18295</v>
      </c>
      <c r="E12746" s="7" t="s">
        <v>23</v>
      </c>
      <c r="F12746" s="8" t="str">
        <f ca="1">IFERROR(__xludf.DUMMYFUNCTION("IF
(
C12747=""фізична особа""
,
VLOOKUP(D12747,IMPORTRANGE(""https://docs.google.com/spreadsheets/d/14Bd19lYaqBhU8_DElYkX7l4wRkHqqCUFNJY4AfY3kHU/edit?usp=sharing  #gid=0"",""фіз особи new!relations_name""),6,FALSE)
,
(IF
(
C12747=""юридична особа""
,
VLOO"&amp;"KUP(D12747,IMPORTRANGE(""https://docs.google.com/spreadsheets/d/14Bd19lYaqBhU8_DElYkX7l4wRkHqqCUFNJY4AfY3kHU/edit?usp=sharing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6" s="7" t="s">
        <v>10</v>
      </c>
      <c r="H12746" s="7">
        <v>18293</v>
      </c>
      <c r="I12746" s="8" t="str">
        <f ca="1">IFERROR(__xludf.DUMMYFUNCTION("IF
(
G12747=""фізична особа""
,
VLOOKUP(H12747,IMPORTRANGE(""https://docs.google.com/spreadsheets/d/14Bd19lYaqBhU8_DElYkX7l4wRkHqqCUFNJY4AfY3kHU/edit?usp=sharing  #gid=0"",""фіз особи new!relations_name""),6,FALSE)
,
(IF
(
G12747=""юридична особа""
,
VLOO"&amp;"KUP(H12747,IMPORTRANGE(""https://docs.google.com/spreadsheets/d/14Bd19lYaqBhU8_DElYkX7l4wRkHqqCUFNJY4AfY3kHU/edit?usp=sharing  #gid=0"",""фіз особи new!relations_name_uo""),7,FALSE)
,
)
))"),"КУЗОВЛЄВ Валерій Михайлович")</f>
        <v>КУЗОВЛЄВ Валерій Михайлович</v>
      </c>
      <c r="J12746" s="7" t="s">
        <v>23</v>
      </c>
    </row>
    <row r="12747" spans="1:10" ht="13.2">
      <c r="A12747" s="7">
        <v>12746</v>
      </c>
      <c r="B12747" s="7">
        <v>1</v>
      </c>
      <c r="C12747" s="7" t="s">
        <v>10</v>
      </c>
      <c r="D12747" s="7">
        <v>18295</v>
      </c>
      <c r="E12747" s="7" t="s">
        <v>23</v>
      </c>
      <c r="F12747" s="8" t="str">
        <f ca="1">IFERROR(__xludf.DUMMYFUNCTION("IF
(
C12748=""фізична особа""
,
VLOOKUP(D12748,IMPORTRANGE(""https://docs.google.com/spreadsheets/d/14Bd19lYaqBhU8_DElYkX7l4wRkHqqCUFNJY4AfY3kHU/edit?usp=sharing  #gid=0"",""фіз особи new!relations_name""),6,FALSE)
,
(IF
(
C12748=""юридична особа""
,
VLOO"&amp;"KUP(D12748,IMPORTRANGE(""https://docs.google.com/spreadsheets/d/14Bd19lYaqBhU8_DElYkX7l4wRkHqqCUFNJY4AfY3kHU/edit?usp=sharing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7" s="7" t="s">
        <v>10</v>
      </c>
      <c r="H12747" s="7">
        <v>18294</v>
      </c>
      <c r="I12747" s="8" t="str">
        <f ca="1">IFERROR(__xludf.DUMMYFUNCTION("IF
(
G12748=""фізична особа""
,
VLOOKUP(H12748,IMPORTRANGE(""https://docs.google.com/spreadsheets/d/14Bd19lYaqBhU8_DElYkX7l4wRkHqqCUFNJY4AfY3kHU/edit?usp=sharing  #gid=0"",""фіз особи new!relations_name""),6,FALSE)
,
(IF
(
G12748=""юридична особа""
,
VLOO"&amp;"KUP(H12748,IMPORTRANGE(""https://docs.google.com/spreadsheets/d/14Bd19lYaqBhU8_DElYkX7l4wRkHqqCUFNJY4AfY3kHU/edit?usp=sharing  #gid=0"",""фіз особи new!relations_name_uo""),7,FALSE)
,
)
))"),"БУГАКОВА Марина Станіславівна")</f>
        <v>БУГАКОВА Марина Станіславівна</v>
      </c>
      <c r="J12747" s="7" t="s">
        <v>23</v>
      </c>
    </row>
    <row r="12748" spans="1:10" ht="13.2">
      <c r="A12748" s="7">
        <v>12747</v>
      </c>
      <c r="B12748" s="7">
        <v>1</v>
      </c>
      <c r="C12748" s="7" t="s">
        <v>10</v>
      </c>
      <c r="D12748" s="7">
        <v>18295</v>
      </c>
      <c r="E12748" s="7" t="s">
        <v>23</v>
      </c>
      <c r="F12748" s="8" t="str">
        <f ca="1">IFERROR(__xludf.DUMMYFUNCTION("IF
(
C12749=""фізична особа""
,
VLOOKUP(D12749,IMPORTRANGE(""https://docs.google.com/spreadsheets/d/14Bd19lYaqBhU8_DElYkX7l4wRkHqqCUFNJY4AfY3kHU/edit?usp=sharing  #gid=0"",""фіз особи new!relations_name""),6,FALSE)
,
(IF
(
C12749=""юридична особа""
,
VLOO"&amp;"KUP(D12749,IMPORTRANGE(""https://docs.google.com/spreadsheets/d/14Bd19lYaqBhU8_DElYkX7l4wRkHqqCUFNJY4AfY3kHU/edit?usp=sharing  #gid=0"",""фіз особи new!relations_name_uo""),7,FALSE)
,
)
))"),"ЛЕБЕДЬ Андрій Олексійович")</f>
        <v>ЛЕБЕДЬ Андрій Олексійович</v>
      </c>
      <c r="G12748" s="7" t="s">
        <v>10</v>
      </c>
      <c r="H12748" s="7">
        <v>1974</v>
      </c>
      <c r="I12748" s="8" t="str">
        <f ca="1">IFERROR(__xludf.DUMMYFUNCTION("IF
(
G12749=""фізична особа""
,
VLOOKUP(H12749,IMPORTRANGE(""https://docs.google.com/spreadsheets/d/14Bd19lYaqBhU8_DElYkX7l4wRkHqqCUFNJY4AfY3kHU/edit?usp=sharing  #gid=0"",""фіз особи new!relations_name""),6,FALSE)
,
(IF
(
G12749=""юридична особа""
,
VLOO"&amp;"KUP(H12749,IMPORTRANGE(""https://docs.google.com/spreadsheets/d/14Bd19lYaqBhU8_DElYkX7l4wRkHqqCUFNJY4AfY3kHU/edit?usp=sharing  #gid=0"",""фіз особи new!relations_name_uo""),7,FALSE)
,
)
))"),"БОЙКО Олег Вікторович")</f>
        <v>БОЙКО Олег Вікторович</v>
      </c>
      <c r="J12748" s="7" t="s">
        <v>23</v>
      </c>
    </row>
    <row r="12749" spans="1:10" ht="13.2">
      <c r="A12749" s="7">
        <v>12748</v>
      </c>
      <c r="B12749" s="7">
        <v>1</v>
      </c>
      <c r="C12749" s="7" t="s">
        <v>10</v>
      </c>
      <c r="D12749" s="7">
        <v>18296</v>
      </c>
      <c r="E12749" s="7" t="s">
        <v>23</v>
      </c>
      <c r="F12749" s="8" t="str">
        <f ca="1">IFERROR(__xludf.DUMMYFUNCTION("IF
(
C12750=""фізична особа""
,
VLOOKUP(D12750,IMPORTRANGE(""https://docs.google.com/spreadsheets/d/14Bd19lYaqBhU8_DElYkX7l4wRkHqqCUFNJY4AfY3kHU/edit?usp=sharing  #gid=0"",""фіз особи new!relations_name""),6,FALSE)
,
(IF
(
C12750=""юридична особа""
,
VLOO"&amp;"KUP(D12750,IMPORTRANGE(""https://docs.google.com/spreadsheets/d/14Bd19lYaqBhU8_DElYkX7l4wRkHqqCUFNJY4AfY3kHU/edit?usp=sharing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G12749" s="7" t="s">
        <v>10</v>
      </c>
      <c r="H12749" s="7">
        <v>18297</v>
      </c>
      <c r="I12749" s="8" t="str">
        <f ca="1">IFERROR(__xludf.DUMMYFUNCTION("IF
(
G12750=""фізична особа""
,
VLOOKUP(H12750,IMPORTRANGE(""https://docs.google.com/spreadsheets/d/14Bd19lYaqBhU8_DElYkX7l4wRkHqqCUFNJY4AfY3kHU/edit?usp=sharing  #gid=0"",""фіз особи new!relations_name""),6,FALSE)
,
(IF
(
G12750=""юридична особа""
,
VLOO"&amp;"KUP(H12750,IMPORTRANGE(""https://docs.google.com/spreadsheets/d/14Bd19lYaqBhU8_DElYkX7l4wRkHqqCUFNJY4AfY3kHU/edit?usp=sharing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J12749" s="7" t="s">
        <v>23</v>
      </c>
    </row>
    <row r="12750" spans="1:10" ht="13.2">
      <c r="A12750" s="7">
        <v>12749</v>
      </c>
      <c r="B12750" s="7">
        <v>1</v>
      </c>
      <c r="C12750" s="7" t="s">
        <v>10</v>
      </c>
      <c r="D12750" s="7">
        <v>18296</v>
      </c>
      <c r="E12750" s="7" t="s">
        <v>23</v>
      </c>
      <c r="F12750" s="8" t="str">
        <f ca="1">IFERROR(__xludf.DUMMYFUNCTION("IF
(
C12751=""фізична особа""
,
VLOOKUP(D12751,IMPORTRANGE(""https://docs.google.com/spreadsheets/d/14Bd19lYaqBhU8_DElYkX7l4wRkHqqCUFNJY4AfY3kHU/edit?usp=sharing  #gid=0"",""фіз особи new!relations_name""),6,FALSE)
,
(IF
(
C12751=""юридична особа""
,
VLOO"&amp;"KUP(D12751,IMPORTRANGE(""https://docs.google.com/spreadsheets/d/14Bd19lYaqBhU8_DElYkX7l4wRkHqqCUFNJY4AfY3kHU/edit?usp=sharing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G12750" s="7" t="s">
        <v>10</v>
      </c>
      <c r="H12750" s="7">
        <v>18298</v>
      </c>
      <c r="I12750" s="8" t="str">
        <f ca="1">IFERROR(__xludf.DUMMYFUNCTION("IF
(
G12751=""фізична особа""
,
VLOOKUP(H12751,IMPORTRANGE(""https://docs.google.com/spreadsheets/d/14Bd19lYaqBhU8_DElYkX7l4wRkHqqCUFNJY4AfY3kHU/edit?usp=sharing  #gid=0"",""фіз особи new!relations_name""),6,FALSE)
,
(IF
(
G12751=""юридична особа""
,
VLOO"&amp;"KUP(H12751,IMPORTRANGE(""https://docs.google.com/spreadsheets/d/14Bd19lYaqBhU8_DElYkX7l4wRkHqqCUFNJY4AfY3kHU/edit?usp=sharing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J12750" s="7" t="s">
        <v>23</v>
      </c>
    </row>
    <row r="12751" spans="1:10" ht="13.2">
      <c r="A12751" s="7">
        <v>12750</v>
      </c>
      <c r="B12751" s="7">
        <v>1</v>
      </c>
      <c r="C12751" s="7" t="s">
        <v>10</v>
      </c>
      <c r="D12751" s="7">
        <v>18296</v>
      </c>
      <c r="E12751" s="7" t="s">
        <v>23</v>
      </c>
      <c r="F12751" s="8" t="str">
        <f ca="1">IFERROR(__xludf.DUMMYFUNCTION("IF
(
C12752=""фізична особа""
,
VLOOKUP(D12752,IMPORTRANGE(""https://docs.google.com/spreadsheets/d/14Bd19lYaqBhU8_DElYkX7l4wRkHqqCUFNJY4AfY3kHU/edit?usp=sharing  #gid=0"",""фіз особи new!relations_name""),6,FALSE)
,
(IF
(
C12752=""юридична особа""
,
VLOO"&amp;"KUP(D12752,IMPORTRANGE(""https://docs.google.com/spreadsheets/d/14Bd19lYaqBhU8_DElYkX7l4wRkHqqCUFNJY4AfY3kHU/edit?usp=sharing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G12751" s="7" t="s">
        <v>10</v>
      </c>
      <c r="H12751" s="7">
        <v>18299</v>
      </c>
      <c r="I12751" s="8" t="str">
        <f ca="1">IFERROR(__xludf.DUMMYFUNCTION("IF
(
G12752=""фізична особа""
,
VLOOKUP(H12752,IMPORTRANGE(""https://docs.google.com/spreadsheets/d/14Bd19lYaqBhU8_DElYkX7l4wRkHqqCUFNJY4AfY3kHU/edit?usp=sharing  #gid=0"",""фіз особи new!relations_name""),6,FALSE)
,
(IF
(
G12752=""юридична особа""
,
VLOO"&amp;"KUP(H12752,IMPORTRANGE(""https://docs.google.com/spreadsheets/d/14Bd19lYaqBhU8_DElYkX7l4wRkHqqCUFNJY4AfY3kHU/edit?usp=sharing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J12751" s="7" t="s">
        <v>23</v>
      </c>
    </row>
    <row r="12752" spans="1:10" ht="13.2">
      <c r="A12752" s="7">
        <v>12751</v>
      </c>
      <c r="B12752" s="7">
        <v>1</v>
      </c>
      <c r="C12752" s="7" t="s">
        <v>10</v>
      </c>
      <c r="D12752" s="7">
        <v>18296</v>
      </c>
      <c r="E12752" s="7" t="s">
        <v>23</v>
      </c>
      <c r="F12752" s="8" t="str">
        <f ca="1">IFERROR(__xludf.DUMMYFUNCTION("IF
(
C12753=""фізична особа""
,
VLOOKUP(D12753,IMPORTRANGE(""https://docs.google.com/spreadsheets/d/14Bd19lYaqBhU8_DElYkX7l4wRkHqqCUFNJY4AfY3kHU/edit?usp=sharing  #gid=0"",""фіз особи new!relations_name""),6,FALSE)
,
(IF
(
C12753=""юридична особа""
,
VLOO"&amp;"KUP(D12753,IMPORTRANGE(""https://docs.google.com/spreadsheets/d/14Bd19lYaqBhU8_DElYkX7l4wRkHqqCUFNJY4AfY3kHU/edit?usp=sharing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G12752" s="7" t="s">
        <v>10</v>
      </c>
      <c r="H12752" s="7">
        <v>18300</v>
      </c>
      <c r="I12752" s="8" t="str">
        <f ca="1">IFERROR(__xludf.DUMMYFUNCTION("IF
(
G12753=""фізична особа""
,
VLOOKUP(H12753,IMPORTRANGE(""https://docs.google.com/spreadsheets/d/14Bd19lYaqBhU8_DElYkX7l4wRkHqqCUFNJY4AfY3kHU/edit?usp=sharing  #gid=0"",""фіз особи new!relations_name""),6,FALSE)
,
(IF
(
G12753=""юридична особа""
,
VLOO"&amp;"KUP(H12753,IMPORTRANGE(""https://docs.google.com/spreadsheets/d/14Bd19lYaqBhU8_DElYkX7l4wRkHqqCUFNJY4AfY3kHU/edit?usp=sharing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J12752" s="7" t="s">
        <v>23</v>
      </c>
    </row>
    <row r="12753" spans="1:10" ht="13.2">
      <c r="A12753" s="7">
        <v>12752</v>
      </c>
      <c r="B12753" s="7">
        <v>1</v>
      </c>
      <c r="C12753" s="7" t="s">
        <v>10</v>
      </c>
      <c r="D12753" s="7">
        <v>18296</v>
      </c>
      <c r="E12753" s="7" t="s">
        <v>23</v>
      </c>
      <c r="F12753" s="8" t="str">
        <f ca="1">IFERROR(__xludf.DUMMYFUNCTION("IF
(
C12754=""фізична особа""
,
VLOOKUP(D12754,IMPORTRANGE(""https://docs.google.com/spreadsheets/d/14Bd19lYaqBhU8_DElYkX7l4wRkHqqCUFNJY4AfY3kHU/edit?usp=sharing  #gid=0"",""фіз особи new!relations_name""),6,FALSE)
,
(IF
(
C12754=""юридична особа""
,
VLOO"&amp;"KUP(D12754,IMPORTRANGE(""https://docs.google.com/spreadsheets/d/14Bd19lYaqBhU8_DElYkX7l4wRkHqqCUFNJY4AfY3kHU/edit?usp=sharing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G12753" s="7" t="s">
        <v>10</v>
      </c>
      <c r="H12753" s="7">
        <v>18301</v>
      </c>
      <c r="I12753" s="8" t="str">
        <f ca="1">IFERROR(__xludf.DUMMYFUNCTION("IF
(
G12754=""фізична особа""
,
VLOOKUP(H12754,IMPORTRANGE(""https://docs.google.com/spreadsheets/d/14Bd19lYaqBhU8_DElYkX7l4wRkHqqCUFNJY4AfY3kHU/edit?usp=sharing  #gid=0"",""фіз особи new!relations_name""),6,FALSE)
,
(IF
(
G12754=""юридична особа""
,
VLOO"&amp;"KUP(H12754,IMPORTRANGE(""https://docs.google.com/spreadsheets/d/14Bd19lYaqBhU8_DElYkX7l4wRkHqqCUFNJY4AfY3kHU/edit?usp=sharing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J12753" s="7" t="s">
        <v>23</v>
      </c>
    </row>
    <row r="12754" spans="1:10" ht="13.2">
      <c r="A12754" s="7">
        <v>12753</v>
      </c>
      <c r="B12754" s="7">
        <v>1</v>
      </c>
      <c r="C12754" s="7" t="s">
        <v>10</v>
      </c>
      <c r="D12754" s="7">
        <v>18297</v>
      </c>
      <c r="E12754" s="7" t="s">
        <v>23</v>
      </c>
      <c r="F12754" s="8" t="str">
        <f ca="1">IFERROR(__xludf.DUMMYFUNCTION("IF
(
C12755=""фізична особа""
,
VLOOKUP(D12755,IMPORTRANGE(""https://docs.google.com/spreadsheets/d/14Bd19lYaqBhU8_DElYkX7l4wRkHqqCUFNJY4AfY3kHU/edit?usp=sharing  #gid=0"",""фіз особи new!relations_name""),6,FALSE)
,
(IF
(
C12755=""юридична особа""
,
VLOO"&amp;"KUP(D12755,IMPORTRANGE(""https://docs.google.com/spreadsheets/d/14Bd19lYaqBhU8_DElYkX7l4wRkHqqCUFNJY4AfY3kHU/edit?usp=sharing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G12754" s="7" t="s">
        <v>10</v>
      </c>
      <c r="H12754" s="7">
        <v>18296</v>
      </c>
      <c r="I12754" s="8" t="str">
        <f ca="1">IFERROR(__xludf.DUMMYFUNCTION("IF
(
G12755=""фізична особа""
,
VLOOKUP(H12755,IMPORTRANGE(""https://docs.google.com/spreadsheets/d/14Bd19lYaqBhU8_DElYkX7l4wRkHqqCUFNJY4AfY3kHU/edit?usp=sharing  #gid=0"",""фіз особи new!relations_name""),6,FALSE)
,
(IF
(
G12755=""юридична особа""
,
VLOO"&amp;"KUP(H12755,IMPORTRANGE(""https://docs.google.com/spreadsheets/d/14Bd19lYaqBhU8_DElYkX7l4wRkHqqCUFNJY4AfY3kHU/edit?usp=sharing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J12754" s="7" t="s">
        <v>23</v>
      </c>
    </row>
    <row r="12755" spans="1:10" ht="13.2">
      <c r="A12755" s="7">
        <v>12754</v>
      </c>
      <c r="B12755" s="7">
        <v>1</v>
      </c>
      <c r="C12755" s="7" t="s">
        <v>10</v>
      </c>
      <c r="D12755" s="7">
        <v>18297</v>
      </c>
      <c r="E12755" s="7" t="s">
        <v>23</v>
      </c>
      <c r="F12755" s="8" t="str">
        <f ca="1">IFERROR(__xludf.DUMMYFUNCTION("IF
(
C12756=""фізична особа""
,
VLOOKUP(D12756,IMPORTRANGE(""https://docs.google.com/spreadsheets/d/14Bd19lYaqBhU8_DElYkX7l4wRkHqqCUFNJY4AfY3kHU/edit?usp=sharing  #gid=0"",""фіз особи new!relations_name""),6,FALSE)
,
(IF
(
C12756=""юридична особа""
,
VLOO"&amp;"KUP(D12756,IMPORTRANGE(""https://docs.google.com/spreadsheets/d/14Bd19lYaqBhU8_DElYkX7l4wRkHqqCUFNJY4AfY3kHU/edit?usp=sharing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G12755" s="7" t="s">
        <v>10</v>
      </c>
      <c r="H12755" s="7">
        <v>18298</v>
      </c>
      <c r="I12755" s="8" t="str">
        <f ca="1">IFERROR(__xludf.DUMMYFUNCTION("IF
(
G12756=""фізична особа""
,
VLOOKUP(H12756,IMPORTRANGE(""https://docs.google.com/spreadsheets/d/14Bd19lYaqBhU8_DElYkX7l4wRkHqqCUFNJY4AfY3kHU/edit?usp=sharing  #gid=0"",""фіз особи new!relations_name""),6,FALSE)
,
(IF
(
G12756=""юридична особа""
,
VLOO"&amp;"KUP(H12756,IMPORTRANGE(""https://docs.google.com/spreadsheets/d/14Bd19lYaqBhU8_DElYkX7l4wRkHqqCUFNJY4AfY3kHU/edit?usp=sharing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J12755" s="7" t="s">
        <v>23</v>
      </c>
    </row>
    <row r="12756" spans="1:10" ht="13.2">
      <c r="A12756" s="7">
        <v>12755</v>
      </c>
      <c r="B12756" s="7">
        <v>1</v>
      </c>
      <c r="C12756" s="7" t="s">
        <v>10</v>
      </c>
      <c r="D12756" s="7">
        <v>18297</v>
      </c>
      <c r="E12756" s="7" t="s">
        <v>23</v>
      </c>
      <c r="F12756" s="8" t="str">
        <f ca="1">IFERROR(__xludf.DUMMYFUNCTION("IF
(
C12757=""фізична особа""
,
VLOOKUP(D12757,IMPORTRANGE(""https://docs.google.com/spreadsheets/d/14Bd19lYaqBhU8_DElYkX7l4wRkHqqCUFNJY4AfY3kHU/edit?usp=sharing  #gid=0"",""фіз особи new!relations_name""),6,FALSE)
,
(IF
(
C12757=""юридична особа""
,
VLOO"&amp;"KUP(D12757,IMPORTRANGE(""https://docs.google.com/spreadsheets/d/14Bd19lYaqBhU8_DElYkX7l4wRkHqqCUFNJY4AfY3kHU/edit?usp=sharing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G12756" s="7" t="s">
        <v>10</v>
      </c>
      <c r="H12756" s="7">
        <v>18299</v>
      </c>
      <c r="I12756" s="8" t="str">
        <f ca="1">IFERROR(__xludf.DUMMYFUNCTION("IF
(
G12757=""фізична особа""
,
VLOOKUP(H12757,IMPORTRANGE(""https://docs.google.com/spreadsheets/d/14Bd19lYaqBhU8_DElYkX7l4wRkHqqCUFNJY4AfY3kHU/edit?usp=sharing  #gid=0"",""фіз особи new!relations_name""),6,FALSE)
,
(IF
(
G12757=""юридична особа""
,
VLOO"&amp;"KUP(H12757,IMPORTRANGE(""https://docs.google.com/spreadsheets/d/14Bd19lYaqBhU8_DElYkX7l4wRkHqqCUFNJY4AfY3kHU/edit?usp=sharing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J12756" s="7" t="s">
        <v>23</v>
      </c>
    </row>
    <row r="12757" spans="1:10" ht="13.2">
      <c r="A12757" s="7">
        <v>12756</v>
      </c>
      <c r="B12757" s="7">
        <v>1</v>
      </c>
      <c r="C12757" s="7" t="s">
        <v>10</v>
      </c>
      <c r="D12757" s="7">
        <v>18297</v>
      </c>
      <c r="E12757" s="7" t="s">
        <v>23</v>
      </c>
      <c r="F12757" s="8" t="str">
        <f ca="1">IFERROR(__xludf.DUMMYFUNCTION("IF
(
C12758=""фізична особа""
,
VLOOKUP(D12758,IMPORTRANGE(""https://docs.google.com/spreadsheets/d/14Bd19lYaqBhU8_DElYkX7l4wRkHqqCUFNJY4AfY3kHU/edit?usp=sharing  #gid=0"",""фіз особи new!relations_name""),6,FALSE)
,
(IF
(
C12758=""юридична особа""
,
VLOO"&amp;"KUP(D12758,IMPORTRANGE(""https://docs.google.com/spreadsheets/d/14Bd19lYaqBhU8_DElYkX7l4wRkHqqCUFNJY4AfY3kHU/edit?usp=sharing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G12757" s="7" t="s">
        <v>10</v>
      </c>
      <c r="H12757" s="7">
        <v>18300</v>
      </c>
      <c r="I12757" s="8" t="str">
        <f ca="1">IFERROR(__xludf.DUMMYFUNCTION("IF
(
G12758=""фізична особа""
,
VLOOKUP(H12758,IMPORTRANGE(""https://docs.google.com/spreadsheets/d/14Bd19lYaqBhU8_DElYkX7l4wRkHqqCUFNJY4AfY3kHU/edit?usp=sharing  #gid=0"",""фіз особи new!relations_name""),6,FALSE)
,
(IF
(
G12758=""юридична особа""
,
VLOO"&amp;"KUP(H12758,IMPORTRANGE(""https://docs.google.com/spreadsheets/d/14Bd19lYaqBhU8_DElYkX7l4wRkHqqCUFNJY4AfY3kHU/edit?usp=sharing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J12757" s="7" t="s">
        <v>23</v>
      </c>
    </row>
    <row r="12758" spans="1:10" ht="13.2">
      <c r="A12758" s="7">
        <v>12757</v>
      </c>
      <c r="B12758" s="7">
        <v>1</v>
      </c>
      <c r="C12758" s="7" t="s">
        <v>10</v>
      </c>
      <c r="D12758" s="7">
        <v>18297</v>
      </c>
      <c r="E12758" s="7" t="s">
        <v>23</v>
      </c>
      <c r="F12758" s="8" t="str">
        <f ca="1">IFERROR(__xludf.DUMMYFUNCTION("IF
(
C12759=""фізична особа""
,
VLOOKUP(D12759,IMPORTRANGE(""https://docs.google.com/spreadsheets/d/14Bd19lYaqBhU8_DElYkX7l4wRkHqqCUFNJY4AfY3kHU/edit?usp=sharing  #gid=0"",""фіз особи new!relations_name""),6,FALSE)
,
(IF
(
C12759=""юридична особа""
,
VLOO"&amp;"KUP(D12759,IMPORTRANGE(""https://docs.google.com/spreadsheets/d/14Bd19lYaqBhU8_DElYkX7l4wRkHqqCUFNJY4AfY3kHU/edit?usp=sharing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G12758" s="7" t="s">
        <v>10</v>
      </c>
      <c r="H12758" s="7">
        <v>18301</v>
      </c>
      <c r="I12758" s="8" t="str">
        <f ca="1">IFERROR(__xludf.DUMMYFUNCTION("IF
(
G12759=""фізична особа""
,
VLOOKUP(H12759,IMPORTRANGE(""https://docs.google.com/spreadsheets/d/14Bd19lYaqBhU8_DElYkX7l4wRkHqqCUFNJY4AfY3kHU/edit?usp=sharing  #gid=0"",""фіз особи new!relations_name""),6,FALSE)
,
(IF
(
G12759=""юридична особа""
,
VLOO"&amp;"KUP(H12759,IMPORTRANGE(""https://docs.google.com/spreadsheets/d/14Bd19lYaqBhU8_DElYkX7l4wRkHqqCUFNJY4AfY3kHU/edit?usp=sharing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J12758" s="7" t="s">
        <v>23</v>
      </c>
    </row>
    <row r="12759" spans="1:10" ht="13.2">
      <c r="A12759" s="7">
        <v>12758</v>
      </c>
      <c r="B12759" s="7">
        <v>1</v>
      </c>
      <c r="C12759" s="7" t="s">
        <v>10</v>
      </c>
      <c r="D12759" s="7">
        <v>18298</v>
      </c>
      <c r="E12759" s="7" t="s">
        <v>23</v>
      </c>
      <c r="F12759" s="8" t="str">
        <f ca="1">IFERROR(__xludf.DUMMYFUNCTION("IF
(
C12760=""фізична особа""
,
VLOOKUP(D12760,IMPORTRANGE(""https://docs.google.com/spreadsheets/d/14Bd19lYaqBhU8_DElYkX7l4wRkHqqCUFNJY4AfY3kHU/edit?usp=sharing  #gid=0"",""фіз особи new!relations_name""),6,FALSE)
,
(IF
(
C12760=""юридична особа""
,
VLOO"&amp;"KUP(D12760,IMPORTRANGE(""https://docs.google.com/spreadsheets/d/14Bd19lYaqBhU8_DElYkX7l4wRkHqqCUFNJY4AfY3kHU/edit?usp=sharing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G12759" s="7" t="s">
        <v>10</v>
      </c>
      <c r="H12759" s="7">
        <v>18296</v>
      </c>
      <c r="I12759" s="8" t="str">
        <f ca="1">IFERROR(__xludf.DUMMYFUNCTION("IF
(
G12760=""фізична особа""
,
VLOOKUP(H12760,IMPORTRANGE(""https://docs.google.com/spreadsheets/d/14Bd19lYaqBhU8_DElYkX7l4wRkHqqCUFNJY4AfY3kHU/edit?usp=sharing  #gid=0"",""фіз особи new!relations_name""),6,FALSE)
,
(IF
(
G12760=""юридична особа""
,
VLOO"&amp;"KUP(H12760,IMPORTRANGE(""https://docs.google.com/spreadsheets/d/14Bd19lYaqBhU8_DElYkX7l4wRkHqqCUFNJY4AfY3kHU/edit?usp=sharing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J12759" s="7" t="s">
        <v>23</v>
      </c>
    </row>
    <row r="12760" spans="1:10" ht="13.2">
      <c r="A12760" s="7">
        <v>12759</v>
      </c>
      <c r="B12760" s="7">
        <v>1</v>
      </c>
      <c r="C12760" s="7" t="s">
        <v>10</v>
      </c>
      <c r="D12760" s="7">
        <v>18298</v>
      </c>
      <c r="E12760" s="7" t="s">
        <v>23</v>
      </c>
      <c r="F12760" s="8" t="str">
        <f ca="1">IFERROR(__xludf.DUMMYFUNCTION("IF
(
C12761=""фізична особа""
,
VLOOKUP(D12761,IMPORTRANGE(""https://docs.google.com/spreadsheets/d/14Bd19lYaqBhU8_DElYkX7l4wRkHqqCUFNJY4AfY3kHU/edit?usp=sharing  #gid=0"",""фіз особи new!relations_name""),6,FALSE)
,
(IF
(
C12761=""юридична особа""
,
VLOO"&amp;"KUP(D12761,IMPORTRANGE(""https://docs.google.com/spreadsheets/d/14Bd19lYaqBhU8_DElYkX7l4wRkHqqCUFNJY4AfY3kHU/edit?usp=sharing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G12760" s="7" t="s">
        <v>10</v>
      </c>
      <c r="H12760" s="7">
        <v>18297</v>
      </c>
      <c r="I12760" s="8" t="str">
        <f ca="1">IFERROR(__xludf.DUMMYFUNCTION("IF
(
G12761=""фізична особа""
,
VLOOKUP(H12761,IMPORTRANGE(""https://docs.google.com/spreadsheets/d/14Bd19lYaqBhU8_DElYkX7l4wRkHqqCUFNJY4AfY3kHU/edit?usp=sharing  #gid=0"",""фіз особи new!relations_name""),6,FALSE)
,
(IF
(
G12761=""юридична особа""
,
VLOO"&amp;"KUP(H12761,IMPORTRANGE(""https://docs.google.com/spreadsheets/d/14Bd19lYaqBhU8_DElYkX7l4wRkHqqCUFNJY4AfY3kHU/edit?usp=sharing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J12760" s="7" t="s">
        <v>23</v>
      </c>
    </row>
    <row r="12761" spans="1:10" ht="13.2">
      <c r="A12761" s="7">
        <v>12760</v>
      </c>
      <c r="B12761" s="7">
        <v>1</v>
      </c>
      <c r="C12761" s="7" t="s">
        <v>10</v>
      </c>
      <c r="D12761" s="7">
        <v>18298</v>
      </c>
      <c r="E12761" s="7" t="s">
        <v>23</v>
      </c>
      <c r="F12761" s="8" t="str">
        <f ca="1">IFERROR(__xludf.DUMMYFUNCTION("IF
(
C12762=""фізична особа""
,
VLOOKUP(D12762,IMPORTRANGE(""https://docs.google.com/spreadsheets/d/14Bd19lYaqBhU8_DElYkX7l4wRkHqqCUFNJY4AfY3kHU/edit?usp=sharing  #gid=0"",""фіз особи new!relations_name""),6,FALSE)
,
(IF
(
C12762=""юридична особа""
,
VLOO"&amp;"KUP(D12762,IMPORTRANGE(""https://docs.google.com/spreadsheets/d/14Bd19lYaqBhU8_DElYkX7l4wRkHqqCUFNJY4AfY3kHU/edit?usp=sharing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G12761" s="7" t="s">
        <v>10</v>
      </c>
      <c r="H12761" s="7">
        <v>18299</v>
      </c>
      <c r="I12761" s="8" t="str">
        <f ca="1">IFERROR(__xludf.DUMMYFUNCTION("IF
(
G12762=""фізична особа""
,
VLOOKUP(H12762,IMPORTRANGE(""https://docs.google.com/spreadsheets/d/14Bd19lYaqBhU8_DElYkX7l4wRkHqqCUFNJY4AfY3kHU/edit?usp=sharing  #gid=0"",""фіз особи new!relations_name""),6,FALSE)
,
(IF
(
G12762=""юридична особа""
,
VLOO"&amp;"KUP(H12762,IMPORTRANGE(""https://docs.google.com/spreadsheets/d/14Bd19lYaqBhU8_DElYkX7l4wRkHqqCUFNJY4AfY3kHU/edit?usp=sharing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J12761" s="7" t="s">
        <v>23</v>
      </c>
    </row>
    <row r="12762" spans="1:10" ht="13.2">
      <c r="A12762" s="7">
        <v>12761</v>
      </c>
      <c r="B12762" s="7">
        <v>1</v>
      </c>
      <c r="C12762" s="7" t="s">
        <v>10</v>
      </c>
      <c r="D12762" s="7">
        <v>18298</v>
      </c>
      <c r="E12762" s="7" t="s">
        <v>23</v>
      </c>
      <c r="F12762" s="8" t="str">
        <f ca="1">IFERROR(__xludf.DUMMYFUNCTION("IF
(
C12763=""фізична особа""
,
VLOOKUP(D12763,IMPORTRANGE(""https://docs.google.com/spreadsheets/d/14Bd19lYaqBhU8_DElYkX7l4wRkHqqCUFNJY4AfY3kHU/edit?usp=sharing  #gid=0"",""фіз особи new!relations_name""),6,FALSE)
,
(IF
(
C12763=""юридична особа""
,
VLOO"&amp;"KUP(D12763,IMPORTRANGE(""https://docs.google.com/spreadsheets/d/14Bd19lYaqBhU8_DElYkX7l4wRkHqqCUFNJY4AfY3kHU/edit?usp=sharing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G12762" s="7" t="s">
        <v>10</v>
      </c>
      <c r="H12762" s="7">
        <v>18300</v>
      </c>
      <c r="I12762" s="8" t="str">
        <f ca="1">IFERROR(__xludf.DUMMYFUNCTION("IF
(
G12763=""фізична особа""
,
VLOOKUP(H12763,IMPORTRANGE(""https://docs.google.com/spreadsheets/d/14Bd19lYaqBhU8_DElYkX7l4wRkHqqCUFNJY4AfY3kHU/edit?usp=sharing  #gid=0"",""фіз особи new!relations_name""),6,FALSE)
,
(IF
(
G12763=""юридична особа""
,
VLOO"&amp;"KUP(H12763,IMPORTRANGE(""https://docs.google.com/spreadsheets/d/14Bd19lYaqBhU8_DElYkX7l4wRkHqqCUFNJY4AfY3kHU/edit?usp=sharing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J12762" s="7" t="s">
        <v>23</v>
      </c>
    </row>
    <row r="12763" spans="1:10" ht="13.2">
      <c r="A12763" s="7">
        <v>12762</v>
      </c>
      <c r="B12763" s="7">
        <v>1</v>
      </c>
      <c r="C12763" s="7" t="s">
        <v>10</v>
      </c>
      <c r="D12763" s="7">
        <v>18298</v>
      </c>
      <c r="E12763" s="7" t="s">
        <v>23</v>
      </c>
      <c r="F12763" s="8" t="str">
        <f ca="1">IFERROR(__xludf.DUMMYFUNCTION("IF
(
C12764=""фізична особа""
,
VLOOKUP(D12764,IMPORTRANGE(""https://docs.google.com/spreadsheets/d/14Bd19lYaqBhU8_DElYkX7l4wRkHqqCUFNJY4AfY3kHU/edit?usp=sharing  #gid=0"",""фіз особи new!relations_name""),6,FALSE)
,
(IF
(
C12764=""юридична особа""
,
VLOO"&amp;"KUP(D12764,IMPORTRANGE(""https://docs.google.com/spreadsheets/d/14Bd19lYaqBhU8_DElYkX7l4wRkHqqCUFNJY4AfY3kHU/edit?usp=sharing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G12763" s="7" t="s">
        <v>10</v>
      </c>
      <c r="H12763" s="7">
        <v>18301</v>
      </c>
      <c r="I12763" s="8" t="str">
        <f ca="1">IFERROR(__xludf.DUMMYFUNCTION("IF
(
G12764=""фізична особа""
,
VLOOKUP(H12764,IMPORTRANGE(""https://docs.google.com/spreadsheets/d/14Bd19lYaqBhU8_DElYkX7l4wRkHqqCUFNJY4AfY3kHU/edit?usp=sharing  #gid=0"",""фіз особи new!relations_name""),6,FALSE)
,
(IF
(
G12764=""юридична особа""
,
VLOO"&amp;"KUP(H12764,IMPORTRANGE(""https://docs.google.com/spreadsheets/d/14Bd19lYaqBhU8_DElYkX7l4wRkHqqCUFNJY4AfY3kHU/edit?usp=sharing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J12763" s="7" t="s">
        <v>23</v>
      </c>
    </row>
    <row r="12764" spans="1:10" ht="13.2">
      <c r="A12764" s="7">
        <v>12763</v>
      </c>
      <c r="B12764" s="7">
        <v>1</v>
      </c>
      <c r="C12764" s="7" t="s">
        <v>10</v>
      </c>
      <c r="D12764" s="7">
        <v>18299</v>
      </c>
      <c r="E12764" s="7" t="s">
        <v>23</v>
      </c>
      <c r="F12764" s="8" t="str">
        <f ca="1">IFERROR(__xludf.DUMMYFUNCTION("IF
(
C12765=""фізична особа""
,
VLOOKUP(D12765,IMPORTRANGE(""https://docs.google.com/spreadsheets/d/14Bd19lYaqBhU8_DElYkX7l4wRkHqqCUFNJY4AfY3kHU/edit?usp=sharing  #gid=0"",""фіз особи new!relations_name""),6,FALSE)
,
(IF
(
C12765=""юридична особа""
,
VLOO"&amp;"KUP(D12765,IMPORTRANGE(""https://docs.google.com/spreadsheets/d/14Bd19lYaqBhU8_DElYkX7l4wRkHqqCUFNJY4AfY3kHU/edit?usp=sharing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G12764" s="7" t="s">
        <v>10</v>
      </c>
      <c r="H12764" s="7">
        <v>18296</v>
      </c>
      <c r="I12764" s="8" t="str">
        <f ca="1">IFERROR(__xludf.DUMMYFUNCTION("IF
(
G12765=""фізична особа""
,
VLOOKUP(H12765,IMPORTRANGE(""https://docs.google.com/spreadsheets/d/14Bd19lYaqBhU8_DElYkX7l4wRkHqqCUFNJY4AfY3kHU/edit?usp=sharing  #gid=0"",""фіз особи new!relations_name""),6,FALSE)
,
(IF
(
G12765=""юридична особа""
,
VLOO"&amp;"KUP(H12765,IMPORTRANGE(""https://docs.google.com/spreadsheets/d/14Bd19lYaqBhU8_DElYkX7l4wRkHqqCUFNJY4AfY3kHU/edit?usp=sharing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J12764" s="7" t="s">
        <v>23</v>
      </c>
    </row>
    <row r="12765" spans="1:10" ht="13.2">
      <c r="A12765" s="7">
        <v>12764</v>
      </c>
      <c r="B12765" s="7">
        <v>1</v>
      </c>
      <c r="C12765" s="7" t="s">
        <v>10</v>
      </c>
      <c r="D12765" s="7">
        <v>18299</v>
      </c>
      <c r="E12765" s="7" t="s">
        <v>23</v>
      </c>
      <c r="F12765" s="8" t="str">
        <f ca="1">IFERROR(__xludf.DUMMYFUNCTION("IF
(
C12766=""фізична особа""
,
VLOOKUP(D12766,IMPORTRANGE(""https://docs.google.com/spreadsheets/d/14Bd19lYaqBhU8_DElYkX7l4wRkHqqCUFNJY4AfY3kHU/edit?usp=sharing  #gid=0"",""фіз особи new!relations_name""),6,FALSE)
,
(IF
(
C12766=""юридична особа""
,
VLOO"&amp;"KUP(D12766,IMPORTRANGE(""https://docs.google.com/spreadsheets/d/14Bd19lYaqBhU8_DElYkX7l4wRkHqqCUFNJY4AfY3kHU/edit?usp=sharing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G12765" s="7" t="s">
        <v>10</v>
      </c>
      <c r="H12765" s="7">
        <v>18297</v>
      </c>
      <c r="I12765" s="8" t="str">
        <f ca="1">IFERROR(__xludf.DUMMYFUNCTION("IF
(
G12766=""фізична особа""
,
VLOOKUP(H12766,IMPORTRANGE(""https://docs.google.com/spreadsheets/d/14Bd19lYaqBhU8_DElYkX7l4wRkHqqCUFNJY4AfY3kHU/edit?usp=sharing  #gid=0"",""фіз особи new!relations_name""),6,FALSE)
,
(IF
(
G12766=""юридична особа""
,
VLOO"&amp;"KUP(H12766,IMPORTRANGE(""https://docs.google.com/spreadsheets/d/14Bd19lYaqBhU8_DElYkX7l4wRkHqqCUFNJY4AfY3kHU/edit?usp=sharing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J12765" s="7" t="s">
        <v>23</v>
      </c>
    </row>
    <row r="12766" spans="1:10" ht="13.2">
      <c r="A12766" s="7">
        <v>12765</v>
      </c>
      <c r="B12766" s="7">
        <v>1</v>
      </c>
      <c r="C12766" s="7" t="s">
        <v>10</v>
      </c>
      <c r="D12766" s="7">
        <v>18299</v>
      </c>
      <c r="E12766" s="7" t="s">
        <v>23</v>
      </c>
      <c r="F12766" s="8" t="str">
        <f ca="1">IFERROR(__xludf.DUMMYFUNCTION("IF
(
C12767=""фізична особа""
,
VLOOKUP(D12767,IMPORTRANGE(""https://docs.google.com/spreadsheets/d/14Bd19lYaqBhU8_DElYkX7l4wRkHqqCUFNJY4AfY3kHU/edit?usp=sharing  #gid=0"",""фіз особи new!relations_name""),6,FALSE)
,
(IF
(
C12767=""юридична особа""
,
VLOO"&amp;"KUP(D12767,IMPORTRANGE(""https://docs.google.com/spreadsheets/d/14Bd19lYaqBhU8_DElYkX7l4wRkHqqCUFNJY4AfY3kHU/edit?usp=sharing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G12766" s="7" t="s">
        <v>10</v>
      </c>
      <c r="H12766" s="7">
        <v>18298</v>
      </c>
      <c r="I12766" s="8" t="str">
        <f ca="1">IFERROR(__xludf.DUMMYFUNCTION("IF
(
G12767=""фізична особа""
,
VLOOKUP(H12767,IMPORTRANGE(""https://docs.google.com/spreadsheets/d/14Bd19lYaqBhU8_DElYkX7l4wRkHqqCUFNJY4AfY3kHU/edit?usp=sharing  #gid=0"",""фіз особи new!relations_name""),6,FALSE)
,
(IF
(
G12767=""юридична особа""
,
VLOO"&amp;"KUP(H12767,IMPORTRANGE(""https://docs.google.com/spreadsheets/d/14Bd19lYaqBhU8_DElYkX7l4wRkHqqCUFNJY4AfY3kHU/edit?usp=sharing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J12766" s="7" t="s">
        <v>23</v>
      </c>
    </row>
    <row r="12767" spans="1:10" ht="13.2">
      <c r="A12767" s="7">
        <v>12766</v>
      </c>
      <c r="B12767" s="7">
        <v>1</v>
      </c>
      <c r="C12767" s="7" t="s">
        <v>10</v>
      </c>
      <c r="D12767" s="7">
        <v>18299</v>
      </c>
      <c r="E12767" s="7" t="s">
        <v>23</v>
      </c>
      <c r="F12767" s="8" t="str">
        <f ca="1">IFERROR(__xludf.DUMMYFUNCTION("IF
(
C12768=""фізична особа""
,
VLOOKUP(D12768,IMPORTRANGE(""https://docs.google.com/spreadsheets/d/14Bd19lYaqBhU8_DElYkX7l4wRkHqqCUFNJY4AfY3kHU/edit?usp=sharing  #gid=0"",""фіз особи new!relations_name""),6,FALSE)
,
(IF
(
C12768=""юридична особа""
,
VLOO"&amp;"KUP(D12768,IMPORTRANGE(""https://docs.google.com/spreadsheets/d/14Bd19lYaqBhU8_DElYkX7l4wRkHqqCUFNJY4AfY3kHU/edit?usp=sharing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G12767" s="7" t="s">
        <v>10</v>
      </c>
      <c r="H12767" s="7">
        <v>18300</v>
      </c>
      <c r="I12767" s="8" t="str">
        <f ca="1">IFERROR(__xludf.DUMMYFUNCTION("IF
(
G12768=""фізична особа""
,
VLOOKUP(H12768,IMPORTRANGE(""https://docs.google.com/spreadsheets/d/14Bd19lYaqBhU8_DElYkX7l4wRkHqqCUFNJY4AfY3kHU/edit?usp=sharing  #gid=0"",""фіз особи new!relations_name""),6,FALSE)
,
(IF
(
G12768=""юридична особа""
,
VLOO"&amp;"KUP(H12768,IMPORTRANGE(""https://docs.google.com/spreadsheets/d/14Bd19lYaqBhU8_DElYkX7l4wRkHqqCUFNJY4AfY3kHU/edit?usp=sharing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J12767" s="7" t="s">
        <v>23</v>
      </c>
    </row>
    <row r="12768" spans="1:10" ht="13.2">
      <c r="A12768" s="7">
        <v>12767</v>
      </c>
      <c r="B12768" s="7">
        <v>1</v>
      </c>
      <c r="C12768" s="7" t="s">
        <v>10</v>
      </c>
      <c r="D12768" s="7">
        <v>18299</v>
      </c>
      <c r="E12768" s="7" t="s">
        <v>23</v>
      </c>
      <c r="F12768" s="8" t="str">
        <f ca="1">IFERROR(__xludf.DUMMYFUNCTION("IF
(
C12769=""фізична особа""
,
VLOOKUP(D12769,IMPORTRANGE(""https://docs.google.com/spreadsheets/d/14Bd19lYaqBhU8_DElYkX7l4wRkHqqCUFNJY4AfY3kHU/edit?usp=sharing  #gid=0"",""фіз особи new!relations_name""),6,FALSE)
,
(IF
(
C12769=""юридична особа""
,
VLOO"&amp;"KUP(D12769,IMPORTRANGE(""https://docs.google.com/spreadsheets/d/14Bd19lYaqBhU8_DElYkX7l4wRkHqqCUFNJY4AfY3kHU/edit?usp=sharing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G12768" s="7" t="s">
        <v>10</v>
      </c>
      <c r="H12768" s="7">
        <v>18301</v>
      </c>
      <c r="I12768" s="8" t="str">
        <f ca="1">IFERROR(__xludf.DUMMYFUNCTION("IF
(
G12769=""фізична особа""
,
VLOOKUP(H12769,IMPORTRANGE(""https://docs.google.com/spreadsheets/d/14Bd19lYaqBhU8_DElYkX7l4wRkHqqCUFNJY4AfY3kHU/edit?usp=sharing  #gid=0"",""фіз особи new!relations_name""),6,FALSE)
,
(IF
(
G12769=""юридична особа""
,
VLOO"&amp;"KUP(H12769,IMPORTRANGE(""https://docs.google.com/spreadsheets/d/14Bd19lYaqBhU8_DElYkX7l4wRkHqqCUFNJY4AfY3kHU/edit?usp=sharing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J12768" s="7" t="s">
        <v>23</v>
      </c>
    </row>
    <row r="12769" spans="1:10" ht="13.2">
      <c r="A12769" s="7">
        <v>12768</v>
      </c>
      <c r="B12769" s="7">
        <v>1</v>
      </c>
      <c r="C12769" s="7" t="s">
        <v>10</v>
      </c>
      <c r="D12769" s="7">
        <v>18300</v>
      </c>
      <c r="E12769" s="7" t="s">
        <v>23</v>
      </c>
      <c r="F12769" s="8" t="str">
        <f ca="1">IFERROR(__xludf.DUMMYFUNCTION("IF
(
C12770=""фізична особа""
,
VLOOKUP(D12770,IMPORTRANGE(""https://docs.google.com/spreadsheets/d/14Bd19lYaqBhU8_DElYkX7l4wRkHqqCUFNJY4AfY3kHU/edit?usp=sharing  #gid=0"",""фіз особи new!relations_name""),6,FALSE)
,
(IF
(
C12770=""юридична особа""
,
VLOO"&amp;"KUP(D12770,IMPORTRANGE(""https://docs.google.com/spreadsheets/d/14Bd19lYaqBhU8_DElYkX7l4wRkHqqCUFNJY4AfY3kHU/edit?usp=sharing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G12769" s="7" t="s">
        <v>10</v>
      </c>
      <c r="H12769" s="7">
        <v>18296</v>
      </c>
      <c r="I12769" s="8" t="str">
        <f ca="1">IFERROR(__xludf.DUMMYFUNCTION("IF
(
G12770=""фізична особа""
,
VLOOKUP(H12770,IMPORTRANGE(""https://docs.google.com/spreadsheets/d/14Bd19lYaqBhU8_DElYkX7l4wRkHqqCUFNJY4AfY3kHU/edit?usp=sharing  #gid=0"",""фіз особи new!relations_name""),6,FALSE)
,
(IF
(
G12770=""юридична особа""
,
VLOO"&amp;"KUP(H12770,IMPORTRANGE(""https://docs.google.com/spreadsheets/d/14Bd19lYaqBhU8_DElYkX7l4wRkHqqCUFNJY4AfY3kHU/edit?usp=sharing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J12769" s="7" t="s">
        <v>23</v>
      </c>
    </row>
    <row r="12770" spans="1:10" ht="13.2">
      <c r="A12770" s="7">
        <v>12769</v>
      </c>
      <c r="B12770" s="7">
        <v>1</v>
      </c>
      <c r="C12770" s="7" t="s">
        <v>10</v>
      </c>
      <c r="D12770" s="7">
        <v>18300</v>
      </c>
      <c r="E12770" s="7" t="s">
        <v>23</v>
      </c>
      <c r="F12770" s="8" t="str">
        <f ca="1">IFERROR(__xludf.DUMMYFUNCTION("IF
(
C12771=""фізична особа""
,
VLOOKUP(D12771,IMPORTRANGE(""https://docs.google.com/spreadsheets/d/14Bd19lYaqBhU8_DElYkX7l4wRkHqqCUFNJY4AfY3kHU/edit?usp=sharing  #gid=0"",""фіз особи new!relations_name""),6,FALSE)
,
(IF
(
C12771=""юридична особа""
,
VLOO"&amp;"KUP(D12771,IMPORTRANGE(""https://docs.google.com/spreadsheets/d/14Bd19lYaqBhU8_DElYkX7l4wRkHqqCUFNJY4AfY3kHU/edit?usp=sharing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G12770" s="7" t="s">
        <v>10</v>
      </c>
      <c r="H12770" s="7">
        <v>18297</v>
      </c>
      <c r="I12770" s="8" t="str">
        <f ca="1">IFERROR(__xludf.DUMMYFUNCTION("IF
(
G12771=""фізична особа""
,
VLOOKUP(H12771,IMPORTRANGE(""https://docs.google.com/spreadsheets/d/14Bd19lYaqBhU8_DElYkX7l4wRkHqqCUFNJY4AfY3kHU/edit?usp=sharing  #gid=0"",""фіз особи new!relations_name""),6,FALSE)
,
(IF
(
G12771=""юридична особа""
,
VLOO"&amp;"KUP(H12771,IMPORTRANGE(""https://docs.google.com/spreadsheets/d/14Bd19lYaqBhU8_DElYkX7l4wRkHqqCUFNJY4AfY3kHU/edit?usp=sharing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J12770" s="7" t="s">
        <v>23</v>
      </c>
    </row>
    <row r="12771" spans="1:10" ht="13.2">
      <c r="A12771" s="7">
        <v>12770</v>
      </c>
      <c r="B12771" s="7">
        <v>1</v>
      </c>
      <c r="C12771" s="7" t="s">
        <v>10</v>
      </c>
      <c r="D12771" s="7">
        <v>18300</v>
      </c>
      <c r="E12771" s="7" t="s">
        <v>23</v>
      </c>
      <c r="F12771" s="8" t="str">
        <f ca="1">IFERROR(__xludf.DUMMYFUNCTION("IF
(
C12772=""фізична особа""
,
VLOOKUP(D12772,IMPORTRANGE(""https://docs.google.com/spreadsheets/d/14Bd19lYaqBhU8_DElYkX7l4wRkHqqCUFNJY4AfY3kHU/edit?usp=sharing  #gid=0"",""фіз особи new!relations_name""),6,FALSE)
,
(IF
(
C12772=""юридична особа""
,
VLOO"&amp;"KUP(D12772,IMPORTRANGE(""https://docs.google.com/spreadsheets/d/14Bd19lYaqBhU8_DElYkX7l4wRkHqqCUFNJY4AfY3kHU/edit?usp=sharing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G12771" s="7" t="s">
        <v>10</v>
      </c>
      <c r="H12771" s="7">
        <v>18298</v>
      </c>
      <c r="I12771" s="8" t="str">
        <f ca="1">IFERROR(__xludf.DUMMYFUNCTION("IF
(
G12772=""фізична особа""
,
VLOOKUP(H12772,IMPORTRANGE(""https://docs.google.com/spreadsheets/d/14Bd19lYaqBhU8_DElYkX7l4wRkHqqCUFNJY4AfY3kHU/edit?usp=sharing  #gid=0"",""фіз особи new!relations_name""),6,FALSE)
,
(IF
(
G12772=""юридична особа""
,
VLOO"&amp;"KUP(H12772,IMPORTRANGE(""https://docs.google.com/spreadsheets/d/14Bd19lYaqBhU8_DElYkX7l4wRkHqqCUFNJY4AfY3kHU/edit?usp=sharing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J12771" s="7" t="s">
        <v>23</v>
      </c>
    </row>
    <row r="12772" spans="1:10" ht="13.2">
      <c r="A12772" s="7">
        <v>12771</v>
      </c>
      <c r="B12772" s="7">
        <v>1</v>
      </c>
      <c r="C12772" s="7" t="s">
        <v>10</v>
      </c>
      <c r="D12772" s="7">
        <v>18300</v>
      </c>
      <c r="E12772" s="7" t="s">
        <v>23</v>
      </c>
      <c r="F12772" s="8" t="str">
        <f ca="1">IFERROR(__xludf.DUMMYFUNCTION("IF
(
C12773=""фізична особа""
,
VLOOKUP(D12773,IMPORTRANGE(""https://docs.google.com/spreadsheets/d/14Bd19lYaqBhU8_DElYkX7l4wRkHqqCUFNJY4AfY3kHU/edit?usp=sharing  #gid=0"",""фіз особи new!relations_name""),6,FALSE)
,
(IF
(
C12773=""юридична особа""
,
VLOO"&amp;"KUP(D12773,IMPORTRANGE(""https://docs.google.com/spreadsheets/d/14Bd19lYaqBhU8_DElYkX7l4wRkHqqCUFNJY4AfY3kHU/edit?usp=sharing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G12772" s="7" t="s">
        <v>10</v>
      </c>
      <c r="H12772" s="7">
        <v>18299</v>
      </c>
      <c r="I12772" s="8" t="str">
        <f ca="1">IFERROR(__xludf.DUMMYFUNCTION("IF
(
G12773=""фізична особа""
,
VLOOKUP(H12773,IMPORTRANGE(""https://docs.google.com/spreadsheets/d/14Bd19lYaqBhU8_DElYkX7l4wRkHqqCUFNJY4AfY3kHU/edit?usp=sharing  #gid=0"",""фіз особи new!relations_name""),6,FALSE)
,
(IF
(
G12773=""юридична особа""
,
VLOO"&amp;"KUP(H12773,IMPORTRANGE(""https://docs.google.com/spreadsheets/d/14Bd19lYaqBhU8_DElYkX7l4wRkHqqCUFNJY4AfY3kHU/edit?usp=sharing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J12772" s="7" t="s">
        <v>23</v>
      </c>
    </row>
    <row r="12773" spans="1:10" ht="13.2">
      <c r="A12773" s="7">
        <v>12772</v>
      </c>
      <c r="B12773" s="7">
        <v>1</v>
      </c>
      <c r="C12773" s="7" t="s">
        <v>10</v>
      </c>
      <c r="D12773" s="7">
        <v>18300</v>
      </c>
      <c r="E12773" s="7" t="s">
        <v>23</v>
      </c>
      <c r="F12773" s="8" t="str">
        <f ca="1">IFERROR(__xludf.DUMMYFUNCTION("IF
(
C12774=""фізична особа""
,
VLOOKUP(D12774,IMPORTRANGE(""https://docs.google.com/spreadsheets/d/14Bd19lYaqBhU8_DElYkX7l4wRkHqqCUFNJY4AfY3kHU/edit?usp=sharing  #gid=0"",""фіз особи new!relations_name""),6,FALSE)
,
(IF
(
C12774=""юридична особа""
,
VLOO"&amp;"KUP(D12774,IMPORTRANGE(""https://docs.google.com/spreadsheets/d/14Bd19lYaqBhU8_DElYkX7l4wRkHqqCUFNJY4AfY3kHU/edit?usp=sharing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G12773" s="7" t="s">
        <v>10</v>
      </c>
      <c r="H12773" s="7">
        <v>18301</v>
      </c>
      <c r="I12773" s="8" t="str">
        <f ca="1">IFERROR(__xludf.DUMMYFUNCTION("IF
(
G12774=""фізична особа""
,
VLOOKUP(H12774,IMPORTRANGE(""https://docs.google.com/spreadsheets/d/14Bd19lYaqBhU8_DElYkX7l4wRkHqqCUFNJY4AfY3kHU/edit?usp=sharing  #gid=0"",""фіз особи new!relations_name""),6,FALSE)
,
(IF
(
G12774=""юридична особа""
,
VLOO"&amp;"KUP(H12774,IMPORTRANGE(""https://docs.google.com/spreadsheets/d/14Bd19lYaqBhU8_DElYkX7l4wRkHqqCUFNJY4AfY3kHU/edit?usp=sharing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J12773" s="7" t="s">
        <v>23</v>
      </c>
    </row>
    <row r="12774" spans="1:10" ht="13.2">
      <c r="A12774" s="7">
        <v>12773</v>
      </c>
      <c r="B12774" s="7">
        <v>1</v>
      </c>
      <c r="C12774" s="7" t="s">
        <v>10</v>
      </c>
      <c r="D12774" s="7">
        <v>18301</v>
      </c>
      <c r="E12774" s="7" t="s">
        <v>23</v>
      </c>
      <c r="F12774" s="8" t="str">
        <f ca="1">IFERROR(__xludf.DUMMYFUNCTION("IF
(
C12775=""фізична особа""
,
VLOOKUP(D12775,IMPORTRANGE(""https://docs.google.com/spreadsheets/d/14Bd19lYaqBhU8_DElYkX7l4wRkHqqCUFNJY4AfY3kHU/edit?usp=sharing  #gid=0"",""фіз особи new!relations_name""),6,FALSE)
,
(IF
(
C12775=""юридична особа""
,
VLOO"&amp;"KUP(D12775,IMPORTRANGE(""https://docs.google.com/spreadsheets/d/14Bd19lYaqBhU8_DElYkX7l4wRkHqqCUFNJY4AfY3kHU/edit?usp=sharing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G12774" s="7" t="s">
        <v>10</v>
      </c>
      <c r="H12774" s="7">
        <v>18296</v>
      </c>
      <c r="I12774" s="8" t="str">
        <f ca="1">IFERROR(__xludf.DUMMYFUNCTION("IF
(
G12775=""фізична особа""
,
VLOOKUP(H12775,IMPORTRANGE(""https://docs.google.com/spreadsheets/d/14Bd19lYaqBhU8_DElYkX7l4wRkHqqCUFNJY4AfY3kHU/edit?usp=sharing  #gid=0"",""фіз особи new!relations_name""),6,FALSE)
,
(IF
(
G12775=""юридична особа""
,
VLOO"&amp;"KUP(H12775,IMPORTRANGE(""https://docs.google.com/spreadsheets/d/14Bd19lYaqBhU8_DElYkX7l4wRkHqqCUFNJY4AfY3kHU/edit?usp=sharing  #gid=0"",""фіз особи new!relations_name_uo""),7,FALSE)
,
)
))"),"ТРОХОВ Максим Євгенійович")</f>
        <v>ТРОХОВ Максим Євгенійович</v>
      </c>
      <c r="J12774" s="7" t="s">
        <v>23</v>
      </c>
    </row>
    <row r="12775" spans="1:10" ht="13.2">
      <c r="A12775" s="7">
        <v>12774</v>
      </c>
      <c r="B12775" s="7">
        <v>1</v>
      </c>
      <c r="C12775" s="7" t="s">
        <v>10</v>
      </c>
      <c r="D12775" s="7">
        <v>18301</v>
      </c>
      <c r="E12775" s="7" t="s">
        <v>23</v>
      </c>
      <c r="F12775" s="8" t="str">
        <f ca="1">IFERROR(__xludf.DUMMYFUNCTION("IF
(
C12776=""фізична особа""
,
VLOOKUP(D12776,IMPORTRANGE(""https://docs.google.com/spreadsheets/d/14Bd19lYaqBhU8_DElYkX7l4wRkHqqCUFNJY4AfY3kHU/edit?usp=sharing  #gid=0"",""фіз особи new!relations_name""),6,FALSE)
,
(IF
(
C12776=""юридична особа""
,
VLOO"&amp;"KUP(D12776,IMPORTRANGE(""https://docs.google.com/spreadsheets/d/14Bd19lYaqBhU8_DElYkX7l4wRkHqqCUFNJY4AfY3kHU/edit?usp=sharing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G12775" s="7" t="s">
        <v>10</v>
      </c>
      <c r="H12775" s="7">
        <v>18297</v>
      </c>
      <c r="I12775" s="8" t="str">
        <f ca="1">IFERROR(__xludf.DUMMYFUNCTION("IF
(
G12776=""фізична особа""
,
VLOOKUP(H12776,IMPORTRANGE(""https://docs.google.com/spreadsheets/d/14Bd19lYaqBhU8_DElYkX7l4wRkHqqCUFNJY4AfY3kHU/edit?usp=sharing  #gid=0"",""фіз особи new!relations_name""),6,FALSE)
,
(IF
(
G12776=""юридична особа""
,
VLOO"&amp;"KUP(H12776,IMPORTRANGE(""https://docs.google.com/spreadsheets/d/14Bd19lYaqBhU8_DElYkX7l4wRkHqqCUFNJY4AfY3kHU/edit?usp=sharing  #gid=0"",""фіз особи new!relations_name_uo""),7,FALSE)
,
)
))"),"НІЗОВЦЕВ Ігор Ігорович")</f>
        <v>НІЗОВЦЕВ Ігор Ігорович</v>
      </c>
      <c r="J12775" s="7" t="s">
        <v>23</v>
      </c>
    </row>
    <row r="12776" spans="1:10" ht="13.2">
      <c r="A12776" s="7">
        <v>12775</v>
      </c>
      <c r="B12776" s="7">
        <v>1</v>
      </c>
      <c r="C12776" s="7" t="s">
        <v>10</v>
      </c>
      <c r="D12776" s="7">
        <v>18301</v>
      </c>
      <c r="E12776" s="7" t="s">
        <v>23</v>
      </c>
      <c r="F12776" s="8" t="str">
        <f ca="1">IFERROR(__xludf.DUMMYFUNCTION("IF
(
C12777=""фізична особа""
,
VLOOKUP(D12777,IMPORTRANGE(""https://docs.google.com/spreadsheets/d/14Bd19lYaqBhU8_DElYkX7l4wRkHqqCUFNJY4AfY3kHU/edit?usp=sharing  #gid=0"",""фіз особи new!relations_name""),6,FALSE)
,
(IF
(
C12777=""юридична особа""
,
VLOO"&amp;"KUP(D12777,IMPORTRANGE(""https://docs.google.com/spreadsheets/d/14Bd19lYaqBhU8_DElYkX7l4wRkHqqCUFNJY4AfY3kHU/edit?usp=sharing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G12776" s="7" t="s">
        <v>10</v>
      </c>
      <c r="H12776" s="7">
        <v>18298</v>
      </c>
      <c r="I12776" s="8" t="str">
        <f ca="1">IFERROR(__xludf.DUMMYFUNCTION("IF
(
G12777=""фізична особа""
,
VLOOKUP(H12777,IMPORTRANGE(""https://docs.google.com/spreadsheets/d/14Bd19lYaqBhU8_DElYkX7l4wRkHqqCUFNJY4AfY3kHU/edit?usp=sharing  #gid=0"",""фіз особи new!relations_name""),6,FALSE)
,
(IF
(
G12777=""юридична особа""
,
VLOO"&amp;"KUP(H12777,IMPORTRANGE(""https://docs.google.com/spreadsheets/d/14Bd19lYaqBhU8_DElYkX7l4wRkHqqCUFNJY4AfY3kHU/edit?usp=sharing  #gid=0"",""фіз особи new!relations_name_uo""),7,FALSE)
,
)
))"),"БАТАЄВ Михайло Вікторович")</f>
        <v>БАТАЄВ Михайло Вікторович</v>
      </c>
      <c r="J12776" s="7" t="s">
        <v>23</v>
      </c>
    </row>
    <row r="12777" spans="1:10" ht="13.2">
      <c r="A12777" s="7">
        <v>12776</v>
      </c>
      <c r="B12777" s="7">
        <v>1</v>
      </c>
      <c r="C12777" s="7" t="s">
        <v>10</v>
      </c>
      <c r="D12777" s="7">
        <v>18301</v>
      </c>
      <c r="E12777" s="7" t="s">
        <v>23</v>
      </c>
      <c r="F12777" s="8" t="str">
        <f ca="1">IFERROR(__xludf.DUMMYFUNCTION("IF
(
C12778=""фізична особа""
,
VLOOKUP(D12778,IMPORTRANGE(""https://docs.google.com/spreadsheets/d/14Bd19lYaqBhU8_DElYkX7l4wRkHqqCUFNJY4AfY3kHU/edit?usp=sharing  #gid=0"",""фіз особи new!relations_name""),6,FALSE)
,
(IF
(
C12778=""юридична особа""
,
VLOO"&amp;"KUP(D12778,IMPORTRANGE(""https://docs.google.com/spreadsheets/d/14Bd19lYaqBhU8_DElYkX7l4wRkHqqCUFNJY4AfY3kHU/edit?usp=sharing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G12777" s="7" t="s">
        <v>10</v>
      </c>
      <c r="H12777" s="7">
        <v>18299</v>
      </c>
      <c r="I12777" s="8" t="str">
        <f ca="1">IFERROR(__xludf.DUMMYFUNCTION("IF
(
G12778=""фізична особа""
,
VLOOKUP(H12778,IMPORTRANGE(""https://docs.google.com/spreadsheets/d/14Bd19lYaqBhU8_DElYkX7l4wRkHqqCUFNJY4AfY3kHU/edit?usp=sharing  #gid=0"",""фіз особи new!relations_name""),6,FALSE)
,
(IF
(
G12778=""юридична особа""
,
VLOO"&amp;"KUP(H12778,IMPORTRANGE(""https://docs.google.com/spreadsheets/d/14Bd19lYaqBhU8_DElYkX7l4wRkHqqCUFNJY4AfY3kHU/edit?usp=sharing  #gid=0"",""фіз особи new!relations_name_uo""),7,FALSE)
,
)
))"),"КОЛЕСНИКОВА Ірина Олексіївна")</f>
        <v>КОЛЕСНИКОВА Ірина Олексіївна</v>
      </c>
      <c r="J12777" s="7" t="s">
        <v>23</v>
      </c>
    </row>
    <row r="12778" spans="1:10" ht="13.2">
      <c r="A12778" s="7">
        <v>12777</v>
      </c>
      <c r="B12778" s="7">
        <v>1</v>
      </c>
      <c r="C12778" s="7" t="s">
        <v>10</v>
      </c>
      <c r="D12778" s="7">
        <v>18301</v>
      </c>
      <c r="E12778" s="7" t="s">
        <v>23</v>
      </c>
      <c r="F12778" s="8" t="str">
        <f ca="1">IFERROR(__xludf.DUMMYFUNCTION("IF
(
C12779=""фізична особа""
,
VLOOKUP(D12779,IMPORTRANGE(""https://docs.google.com/spreadsheets/d/14Bd19lYaqBhU8_DElYkX7l4wRkHqqCUFNJY4AfY3kHU/edit?usp=sharing  #gid=0"",""фіз особи new!relations_name""),6,FALSE)
,
(IF
(
C12779=""юридична особа""
,
VLOO"&amp;"KUP(D12779,IMPORTRANGE(""https://docs.google.com/spreadsheets/d/14Bd19lYaqBhU8_DElYkX7l4wRkHqqCUFNJY4AfY3kHU/edit?usp=sharing  #gid=0"",""фіз особи new!relations_name_uo""),7,FALSE)
,
)
))"),"МАКІЙ Тетяна Михайлівна")</f>
        <v>МАКІЙ Тетяна Михайлівна</v>
      </c>
      <c r="G12778" s="7" t="s">
        <v>10</v>
      </c>
      <c r="H12778" s="7">
        <v>18300</v>
      </c>
      <c r="I12778" s="8" t="str">
        <f ca="1">IFERROR(__xludf.DUMMYFUNCTION("IF
(
G12779=""фізична особа""
,
VLOOKUP(H12779,IMPORTRANGE(""https://docs.google.com/spreadsheets/d/14Bd19lYaqBhU8_DElYkX7l4wRkHqqCUFNJY4AfY3kHU/edit?usp=sharing  #gid=0"",""фіз особи new!relations_name""),6,FALSE)
,
(IF
(
G12779=""юридична особа""
,
VLOO"&amp;"KUP(H12779,IMPORTRANGE(""https://docs.google.com/spreadsheets/d/14Bd19lYaqBhU8_DElYkX7l4wRkHqqCUFNJY4AfY3kHU/edit?usp=sharing  #gid=0"",""фіз особи new!relations_name_uo""),7,FALSE)
,
)
))"),"УЛЬЯНОВА Наталія Віталіївна")</f>
        <v>УЛЬЯНОВА Наталія Віталіївна</v>
      </c>
      <c r="J12778" s="7" t="s">
        <v>23</v>
      </c>
    </row>
    <row r="12779" spans="1:10" ht="13.2">
      <c r="A12779" s="7">
        <v>12778</v>
      </c>
      <c r="B12779" s="7">
        <v>1</v>
      </c>
      <c r="C12779" s="7" t="s">
        <v>10</v>
      </c>
      <c r="D12779" s="7">
        <v>18302</v>
      </c>
      <c r="E12779" s="7" t="s">
        <v>23</v>
      </c>
      <c r="F12779" s="8" t="str">
        <f ca="1">IFERROR(__xludf.DUMMYFUNCTION("IF
(
C12780=""фізична особа""
,
VLOOKUP(D12780,IMPORTRANGE(""https://docs.google.com/spreadsheets/d/14Bd19lYaqBhU8_DElYkX7l4wRkHqqCUFNJY4AfY3kHU/edit?usp=sharing  #gid=0"",""фіз особи new!relations_name""),6,FALSE)
,
(IF
(
C12780=""юридична особа""
,
VLOO"&amp;"KUP(D12780,IMPORTRANGE(""https://docs.google.com/spreadsheets/d/14Bd19lYaqBhU8_DElYkX7l4wRkHqqCUFNJY4AfY3kHU/edit?usp=sharing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79" s="7" t="s">
        <v>10</v>
      </c>
      <c r="H12779" s="7">
        <v>18303</v>
      </c>
      <c r="I12779" s="8" t="str">
        <f ca="1">IFERROR(__xludf.DUMMYFUNCTION("IF
(
G12780=""фізична особа""
,
VLOOKUP(H12780,IMPORTRANGE(""https://docs.google.com/spreadsheets/d/14Bd19lYaqBhU8_DElYkX7l4wRkHqqCUFNJY4AfY3kHU/edit?usp=sharing  #gid=0"",""фіз особи new!relations_name""),6,FALSE)
,
(IF
(
G12780=""юридична особа""
,
VLOO"&amp;"KUP(H12780,IMPORTRANGE(""https://docs.google.com/spreadsheets/d/14Bd19lYaqBhU8_DElYkX7l4wRkHqqCUFNJY4AfY3kHU/edit?usp=sharing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779" s="7" t="s">
        <v>23</v>
      </c>
    </row>
    <row r="12780" spans="1:10" ht="13.2">
      <c r="A12780" s="7">
        <v>12779</v>
      </c>
      <c r="B12780" s="7">
        <v>1</v>
      </c>
      <c r="C12780" s="7" t="s">
        <v>10</v>
      </c>
      <c r="D12780" s="7">
        <v>18302</v>
      </c>
      <c r="E12780" s="7" t="s">
        <v>23</v>
      </c>
      <c r="F12780" s="8" t="str">
        <f ca="1">IFERROR(__xludf.DUMMYFUNCTION("IF
(
C12781=""фізична особа""
,
VLOOKUP(D12781,IMPORTRANGE(""https://docs.google.com/spreadsheets/d/14Bd19lYaqBhU8_DElYkX7l4wRkHqqCUFNJY4AfY3kHU/edit?usp=sharing  #gid=0"",""фіз особи new!relations_name""),6,FALSE)
,
(IF
(
C12781=""юридична особа""
,
VLOO"&amp;"KUP(D12781,IMPORTRANGE(""https://docs.google.com/spreadsheets/d/14Bd19lYaqBhU8_DElYkX7l4wRkHqqCUFNJY4AfY3kHU/edit?usp=sharing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0" s="7" t="s">
        <v>10</v>
      </c>
      <c r="H12780" s="7">
        <v>18304</v>
      </c>
      <c r="I12780" s="8" t="str">
        <f ca="1">IFERROR(__xludf.DUMMYFUNCTION("IF
(
G12781=""фізична особа""
,
VLOOKUP(H12781,IMPORTRANGE(""https://docs.google.com/spreadsheets/d/14Bd19lYaqBhU8_DElYkX7l4wRkHqqCUFNJY4AfY3kHU/edit?usp=sharing  #gid=0"",""фіз особи new!relations_name""),6,FALSE)
,
(IF
(
G12781=""юридична особа""
,
VLOO"&amp;"KUP(H12781,IMPORTRANGE(""https://docs.google.com/spreadsheets/d/14Bd19lYaqBhU8_DElYkX7l4wRkHqqCUFNJY4AfY3kHU/edit?usp=sharing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780" s="7" t="s">
        <v>23</v>
      </c>
    </row>
    <row r="12781" spans="1:10" ht="13.2">
      <c r="A12781" s="7">
        <v>12780</v>
      </c>
      <c r="B12781" s="7">
        <v>1</v>
      </c>
      <c r="C12781" s="7" t="s">
        <v>10</v>
      </c>
      <c r="D12781" s="7">
        <v>18302</v>
      </c>
      <c r="E12781" s="7" t="s">
        <v>23</v>
      </c>
      <c r="F12781" s="8" t="str">
        <f ca="1">IFERROR(__xludf.DUMMYFUNCTION("IF
(
C12782=""фізична особа""
,
VLOOKUP(D12782,IMPORTRANGE(""https://docs.google.com/spreadsheets/d/14Bd19lYaqBhU8_DElYkX7l4wRkHqqCUFNJY4AfY3kHU/edit?usp=sharing  #gid=0"",""фіз особи new!relations_name""),6,FALSE)
,
(IF
(
C12782=""юридична особа""
,
VLOO"&amp;"KUP(D12782,IMPORTRANGE(""https://docs.google.com/spreadsheets/d/14Bd19lYaqBhU8_DElYkX7l4wRkHqqCUFNJY4AfY3kHU/edit?usp=sharing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1" s="7" t="s">
        <v>10</v>
      </c>
      <c r="H12781" s="7">
        <v>18305</v>
      </c>
      <c r="I12781" s="8" t="str">
        <f ca="1">IFERROR(__xludf.DUMMYFUNCTION("IF
(
G12782=""фізична особа""
,
VLOOKUP(H12782,IMPORTRANGE(""https://docs.google.com/spreadsheets/d/14Bd19lYaqBhU8_DElYkX7l4wRkHqqCUFNJY4AfY3kHU/edit?usp=sharing  #gid=0"",""фіз особи new!relations_name""),6,FALSE)
,
(IF
(
G12782=""юридична особа""
,
VLOO"&amp;"KUP(H12782,IMPORTRANGE(""https://docs.google.com/spreadsheets/d/14Bd19lYaqBhU8_DElYkX7l4wRkHqqCUFNJY4AfY3kHU/edit?usp=sharing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781" s="7" t="s">
        <v>23</v>
      </c>
    </row>
    <row r="12782" spans="1:10" ht="13.2">
      <c r="A12782" s="7">
        <v>12781</v>
      </c>
      <c r="B12782" s="7">
        <v>1</v>
      </c>
      <c r="C12782" s="7" t="s">
        <v>10</v>
      </c>
      <c r="D12782" s="7">
        <v>18302</v>
      </c>
      <c r="E12782" s="7" t="s">
        <v>23</v>
      </c>
      <c r="F12782" s="8" t="str">
        <f ca="1">IFERROR(__xludf.DUMMYFUNCTION("IF
(
C12783=""фізична особа""
,
VLOOKUP(D12783,IMPORTRANGE(""https://docs.google.com/spreadsheets/d/14Bd19lYaqBhU8_DElYkX7l4wRkHqqCUFNJY4AfY3kHU/edit?usp=sharing  #gid=0"",""фіз особи new!relations_name""),6,FALSE)
,
(IF
(
C12783=""юридична особа""
,
VLOO"&amp;"KUP(D12783,IMPORTRANGE(""https://docs.google.com/spreadsheets/d/14Bd19lYaqBhU8_DElYkX7l4wRkHqqCUFNJY4AfY3kHU/edit?usp=sharing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2" s="7" t="s">
        <v>10</v>
      </c>
      <c r="H12782" s="7">
        <v>18306</v>
      </c>
      <c r="I12782" s="8" t="str">
        <f ca="1">IFERROR(__xludf.DUMMYFUNCTION("IF
(
G12783=""фізична особа""
,
VLOOKUP(H12783,IMPORTRANGE(""https://docs.google.com/spreadsheets/d/14Bd19lYaqBhU8_DElYkX7l4wRkHqqCUFNJY4AfY3kHU/edit?usp=sharing  #gid=0"",""фіз особи new!relations_name""),6,FALSE)
,
(IF
(
G12783=""юридична особа""
,
VLOO"&amp;"KUP(H12783,IMPORTRANGE(""https://docs.google.com/spreadsheets/d/14Bd19lYaqBhU8_DElYkX7l4wRkHqqCUFNJY4AfY3kHU/edit?usp=sharing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782" s="7" t="s">
        <v>23</v>
      </c>
    </row>
    <row r="12783" spans="1:10" ht="13.2">
      <c r="A12783" s="7">
        <v>12782</v>
      </c>
      <c r="B12783" s="7">
        <v>1</v>
      </c>
      <c r="C12783" s="7" t="s">
        <v>10</v>
      </c>
      <c r="D12783" s="7">
        <v>18302</v>
      </c>
      <c r="E12783" s="7" t="s">
        <v>23</v>
      </c>
      <c r="F12783" s="8" t="str">
        <f ca="1">IFERROR(__xludf.DUMMYFUNCTION("IF
(
C12784=""фізична особа""
,
VLOOKUP(D12784,IMPORTRANGE(""https://docs.google.com/spreadsheets/d/14Bd19lYaqBhU8_DElYkX7l4wRkHqqCUFNJY4AfY3kHU/edit?usp=sharing  #gid=0"",""фіз особи new!relations_name""),6,FALSE)
,
(IF
(
C12784=""юридична особа""
,
VLOO"&amp;"KUP(D12784,IMPORTRANGE(""https://docs.google.com/spreadsheets/d/14Bd19lYaqBhU8_DElYkX7l4wRkHqqCUFNJY4AfY3kHU/edit?usp=sharing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3" s="7" t="s">
        <v>10</v>
      </c>
      <c r="H12783" s="7">
        <v>18307</v>
      </c>
      <c r="I12783" s="8" t="str">
        <f ca="1">IFERROR(__xludf.DUMMYFUNCTION("IF
(
G12784=""фізична особа""
,
VLOOKUP(H12784,IMPORTRANGE(""https://docs.google.com/spreadsheets/d/14Bd19lYaqBhU8_DElYkX7l4wRkHqqCUFNJY4AfY3kHU/edit?usp=sharing  #gid=0"",""фіз особи new!relations_name""),6,FALSE)
,
(IF
(
G12784=""юридична особа""
,
VLOO"&amp;"KUP(H12784,IMPORTRANGE(""https://docs.google.com/spreadsheets/d/14Bd19lYaqBhU8_DElYkX7l4wRkHqqCUFNJY4AfY3kHU/edit?usp=sharing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783" s="7" t="s">
        <v>23</v>
      </c>
    </row>
    <row r="12784" spans="1:10" ht="13.2">
      <c r="A12784" s="7">
        <v>12783</v>
      </c>
      <c r="B12784" s="7">
        <v>1</v>
      </c>
      <c r="C12784" s="7" t="s">
        <v>10</v>
      </c>
      <c r="D12784" s="7">
        <v>18302</v>
      </c>
      <c r="E12784" s="7" t="s">
        <v>23</v>
      </c>
      <c r="F12784" s="8" t="str">
        <f ca="1">IFERROR(__xludf.DUMMYFUNCTION("IF
(
C12785=""фізична особа""
,
VLOOKUP(D12785,IMPORTRANGE(""https://docs.google.com/spreadsheets/d/14Bd19lYaqBhU8_DElYkX7l4wRkHqqCUFNJY4AfY3kHU/edit?usp=sharing  #gid=0"",""фіз особи new!relations_name""),6,FALSE)
,
(IF
(
C12785=""юридична особа""
,
VLOO"&amp;"KUP(D12785,IMPORTRANGE(""https://docs.google.com/spreadsheets/d/14Bd19lYaqBhU8_DElYkX7l4wRkHqqCUFNJY4AfY3kHU/edit?usp=sharing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4" s="7" t="s">
        <v>10</v>
      </c>
      <c r="H12784" s="7">
        <v>18308</v>
      </c>
      <c r="I12784" s="8" t="str">
        <f ca="1">IFERROR(__xludf.DUMMYFUNCTION("IF
(
G12785=""фізична особа""
,
VLOOKUP(H12785,IMPORTRANGE(""https://docs.google.com/spreadsheets/d/14Bd19lYaqBhU8_DElYkX7l4wRkHqqCUFNJY4AfY3kHU/edit?usp=sharing  #gid=0"",""фіз особи new!relations_name""),6,FALSE)
,
(IF
(
G12785=""юридична особа""
,
VLOO"&amp;"KUP(H12785,IMPORTRANGE(""https://docs.google.com/spreadsheets/d/14Bd19lYaqBhU8_DElYkX7l4wRkHqqCUFNJY4AfY3kHU/edit?usp=sharing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784" s="7" t="s">
        <v>23</v>
      </c>
    </row>
    <row r="12785" spans="1:10" ht="13.2">
      <c r="A12785" s="7">
        <v>12784</v>
      </c>
      <c r="B12785" s="7">
        <v>1</v>
      </c>
      <c r="C12785" s="7" t="s">
        <v>10</v>
      </c>
      <c r="D12785" s="7">
        <v>18302</v>
      </c>
      <c r="E12785" s="7" t="s">
        <v>23</v>
      </c>
      <c r="F12785" s="8" t="str">
        <f ca="1">IFERROR(__xludf.DUMMYFUNCTION("IF
(
C12786=""фізична особа""
,
VLOOKUP(D12786,IMPORTRANGE(""https://docs.google.com/spreadsheets/d/14Bd19lYaqBhU8_DElYkX7l4wRkHqqCUFNJY4AfY3kHU/edit?usp=sharing  #gid=0"",""фіз особи new!relations_name""),6,FALSE)
,
(IF
(
C12786=""юридична особа""
,
VLOO"&amp;"KUP(D12786,IMPORTRANGE(""https://docs.google.com/spreadsheets/d/14Bd19lYaqBhU8_DElYkX7l4wRkHqqCUFNJY4AfY3kHU/edit?usp=sharing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5" s="7" t="s">
        <v>10</v>
      </c>
      <c r="H12785" s="7">
        <v>18309</v>
      </c>
      <c r="I12785" s="8" t="str">
        <f ca="1">IFERROR(__xludf.DUMMYFUNCTION("IF
(
G12786=""фізична особа""
,
VLOOKUP(H12786,IMPORTRANGE(""https://docs.google.com/spreadsheets/d/14Bd19lYaqBhU8_DElYkX7l4wRkHqqCUFNJY4AfY3kHU/edit?usp=sharing  #gid=0"",""фіз особи new!relations_name""),6,FALSE)
,
(IF
(
G12786=""юридична особа""
,
VLOO"&amp;"KUP(H12786,IMPORTRANGE(""https://docs.google.com/spreadsheets/d/14Bd19lYaqBhU8_DElYkX7l4wRkHqqCUFNJY4AfY3kHU/edit?usp=sharing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785" s="7" t="s">
        <v>23</v>
      </c>
    </row>
    <row r="12786" spans="1:10" ht="13.2">
      <c r="A12786" s="7">
        <v>12785</v>
      </c>
      <c r="B12786" s="7">
        <v>1</v>
      </c>
      <c r="C12786" s="7" t="s">
        <v>10</v>
      </c>
      <c r="D12786" s="7">
        <v>18302</v>
      </c>
      <c r="E12786" s="7" t="s">
        <v>23</v>
      </c>
      <c r="F12786" s="8" t="str">
        <f ca="1">IFERROR(__xludf.DUMMYFUNCTION("IF
(
C12787=""фізична особа""
,
VLOOKUP(D12787,IMPORTRANGE(""https://docs.google.com/spreadsheets/d/14Bd19lYaqBhU8_DElYkX7l4wRkHqqCUFNJY4AfY3kHU/edit?usp=sharing  #gid=0"",""фіз особи new!relations_name""),6,FALSE)
,
(IF
(
C12787=""юридична особа""
,
VLOO"&amp;"KUP(D12787,IMPORTRANGE(""https://docs.google.com/spreadsheets/d/14Bd19lYaqBhU8_DElYkX7l4wRkHqqCUFNJY4AfY3kHU/edit?usp=sharing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G12786" s="7" t="s">
        <v>10</v>
      </c>
      <c r="H12786" s="7">
        <v>18310</v>
      </c>
      <c r="I12786" s="8" t="str">
        <f ca="1">IFERROR(__xludf.DUMMYFUNCTION("IF
(
G12787=""фізична особа""
,
VLOOKUP(H12787,IMPORTRANGE(""https://docs.google.com/spreadsheets/d/14Bd19lYaqBhU8_DElYkX7l4wRkHqqCUFNJY4AfY3kHU/edit?usp=sharing  #gid=0"",""фіз особи new!relations_name""),6,FALSE)
,
(IF
(
G12787=""юридична особа""
,
VLOO"&amp;"KUP(H12787,IMPORTRANGE(""https://docs.google.com/spreadsheets/d/14Bd19lYaqBhU8_DElYkX7l4wRkHqqCUFNJY4AfY3kHU/edit?usp=sharing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786" s="7" t="s">
        <v>23</v>
      </c>
    </row>
    <row r="12787" spans="1:10" ht="13.2">
      <c r="A12787" s="7">
        <v>12786</v>
      </c>
      <c r="B12787" s="7">
        <v>1</v>
      </c>
      <c r="C12787" s="7" t="s">
        <v>10</v>
      </c>
      <c r="D12787" s="7">
        <v>18303</v>
      </c>
      <c r="E12787" s="7" t="s">
        <v>23</v>
      </c>
      <c r="F12787" s="8" t="str">
        <f ca="1">IFERROR(__xludf.DUMMYFUNCTION("IF
(
C12788=""фізична особа""
,
VLOOKUP(D12788,IMPORTRANGE(""https://docs.google.com/spreadsheets/d/14Bd19lYaqBhU8_DElYkX7l4wRkHqqCUFNJY4AfY3kHU/edit?usp=sharing  #gid=0"",""фіз особи new!relations_name""),6,FALSE)
,
(IF
(
C12788=""юридична особа""
,
VLOO"&amp;"KUP(D12788,IMPORTRANGE(""https://docs.google.com/spreadsheets/d/14Bd19lYaqBhU8_DElYkX7l4wRkHqqCUFNJY4AfY3kHU/edit?usp=sharing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87" s="7" t="s">
        <v>10</v>
      </c>
      <c r="H12787" s="7">
        <v>18302</v>
      </c>
      <c r="I12787" s="8" t="str">
        <f ca="1">IFERROR(__xludf.DUMMYFUNCTION("IF
(
G12788=""фізична особа""
,
VLOOKUP(H12788,IMPORTRANGE(""https://docs.google.com/spreadsheets/d/14Bd19lYaqBhU8_DElYkX7l4wRkHqqCUFNJY4AfY3kHU/edit?usp=sharing  #gid=0"",""фіз особи new!relations_name""),6,FALSE)
,
(IF
(
G12788=""юридична особа""
,
VLOO"&amp;"KUP(H12788,IMPORTRANGE(""https://docs.google.com/spreadsheets/d/14Bd19lYaqBhU8_DElYkX7l4wRkHqqCUFNJY4AfY3kHU/edit?usp=sharing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787" s="7" t="s">
        <v>23</v>
      </c>
    </row>
    <row r="12788" spans="1:10" ht="13.2">
      <c r="A12788" s="7">
        <v>12787</v>
      </c>
      <c r="B12788" s="7">
        <v>1</v>
      </c>
      <c r="C12788" s="7" t="s">
        <v>10</v>
      </c>
      <c r="D12788" s="7">
        <v>18303</v>
      </c>
      <c r="E12788" s="7" t="s">
        <v>23</v>
      </c>
      <c r="F12788" s="8" t="str">
        <f ca="1">IFERROR(__xludf.DUMMYFUNCTION("IF
(
C12789=""фізична особа""
,
VLOOKUP(D12789,IMPORTRANGE(""https://docs.google.com/spreadsheets/d/14Bd19lYaqBhU8_DElYkX7l4wRkHqqCUFNJY4AfY3kHU/edit?usp=sharing  #gid=0"",""фіз особи new!relations_name""),6,FALSE)
,
(IF
(
C12789=""юридична особа""
,
VLOO"&amp;"KUP(D12789,IMPORTRANGE(""https://docs.google.com/spreadsheets/d/14Bd19lYaqBhU8_DElYkX7l4wRkHqqCUFNJY4AfY3kHU/edit?usp=sharing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88" s="7" t="s">
        <v>10</v>
      </c>
      <c r="H12788" s="7">
        <v>18304</v>
      </c>
      <c r="I12788" s="8" t="str">
        <f ca="1">IFERROR(__xludf.DUMMYFUNCTION("IF
(
G12789=""фізична особа""
,
VLOOKUP(H12789,IMPORTRANGE(""https://docs.google.com/spreadsheets/d/14Bd19lYaqBhU8_DElYkX7l4wRkHqqCUFNJY4AfY3kHU/edit?usp=sharing  #gid=0"",""фіз особи new!relations_name""),6,FALSE)
,
(IF
(
G12789=""юридична особа""
,
VLOO"&amp;"KUP(H12789,IMPORTRANGE(""https://docs.google.com/spreadsheets/d/14Bd19lYaqBhU8_DElYkX7l4wRkHqqCUFNJY4AfY3kHU/edit?usp=sharing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788" s="7" t="s">
        <v>23</v>
      </c>
    </row>
    <row r="12789" spans="1:10" ht="13.2">
      <c r="A12789" s="7">
        <v>12788</v>
      </c>
      <c r="B12789" s="7">
        <v>1</v>
      </c>
      <c r="C12789" s="7" t="s">
        <v>10</v>
      </c>
      <c r="D12789" s="7">
        <v>18303</v>
      </c>
      <c r="E12789" s="7" t="s">
        <v>23</v>
      </c>
      <c r="F12789" s="8" t="str">
        <f ca="1">IFERROR(__xludf.DUMMYFUNCTION("IF
(
C12790=""фізична особа""
,
VLOOKUP(D12790,IMPORTRANGE(""https://docs.google.com/spreadsheets/d/14Bd19lYaqBhU8_DElYkX7l4wRkHqqCUFNJY4AfY3kHU/edit?usp=sharing  #gid=0"",""фіз особи new!relations_name""),6,FALSE)
,
(IF
(
C12790=""юридична особа""
,
VLOO"&amp;"KUP(D12790,IMPORTRANGE(""https://docs.google.com/spreadsheets/d/14Bd19lYaqBhU8_DElYkX7l4wRkHqqCUFNJY4AfY3kHU/edit?usp=sharing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89" s="7" t="s">
        <v>10</v>
      </c>
      <c r="H12789" s="7">
        <v>18305</v>
      </c>
      <c r="I12789" s="8" t="str">
        <f ca="1">IFERROR(__xludf.DUMMYFUNCTION("IF
(
G12790=""фізична особа""
,
VLOOKUP(H12790,IMPORTRANGE(""https://docs.google.com/spreadsheets/d/14Bd19lYaqBhU8_DElYkX7l4wRkHqqCUFNJY4AfY3kHU/edit?usp=sharing  #gid=0"",""фіз особи new!relations_name""),6,FALSE)
,
(IF
(
G12790=""юридична особа""
,
VLOO"&amp;"KUP(H12790,IMPORTRANGE(""https://docs.google.com/spreadsheets/d/14Bd19lYaqBhU8_DElYkX7l4wRkHqqCUFNJY4AfY3kHU/edit?usp=sharing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789" s="7" t="s">
        <v>23</v>
      </c>
    </row>
    <row r="12790" spans="1:10" ht="13.2">
      <c r="A12790" s="7">
        <v>12789</v>
      </c>
      <c r="B12790" s="7">
        <v>1</v>
      </c>
      <c r="C12790" s="7" t="s">
        <v>10</v>
      </c>
      <c r="D12790" s="7">
        <v>18303</v>
      </c>
      <c r="E12790" s="7" t="s">
        <v>23</v>
      </c>
      <c r="F12790" s="8" t="str">
        <f ca="1">IFERROR(__xludf.DUMMYFUNCTION("IF
(
C12791=""фізична особа""
,
VLOOKUP(D12791,IMPORTRANGE(""https://docs.google.com/spreadsheets/d/14Bd19lYaqBhU8_DElYkX7l4wRkHqqCUFNJY4AfY3kHU/edit?usp=sharing  #gid=0"",""фіз особи new!relations_name""),6,FALSE)
,
(IF
(
C12791=""юридична особа""
,
VLOO"&amp;"KUP(D12791,IMPORTRANGE(""https://docs.google.com/spreadsheets/d/14Bd19lYaqBhU8_DElYkX7l4wRkHqqCUFNJY4AfY3kHU/edit?usp=sharing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90" s="7" t="s">
        <v>10</v>
      </c>
      <c r="H12790" s="7">
        <v>18306</v>
      </c>
      <c r="I12790" s="8" t="str">
        <f ca="1">IFERROR(__xludf.DUMMYFUNCTION("IF
(
G12791=""фізична особа""
,
VLOOKUP(H12791,IMPORTRANGE(""https://docs.google.com/spreadsheets/d/14Bd19lYaqBhU8_DElYkX7l4wRkHqqCUFNJY4AfY3kHU/edit?usp=sharing  #gid=0"",""фіз особи new!relations_name""),6,FALSE)
,
(IF
(
G12791=""юридична особа""
,
VLOO"&amp;"KUP(H12791,IMPORTRANGE(""https://docs.google.com/spreadsheets/d/14Bd19lYaqBhU8_DElYkX7l4wRkHqqCUFNJY4AfY3kHU/edit?usp=sharing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790" s="7" t="s">
        <v>23</v>
      </c>
    </row>
    <row r="12791" spans="1:10" ht="13.2">
      <c r="A12791" s="7">
        <v>12790</v>
      </c>
      <c r="B12791" s="7">
        <v>1</v>
      </c>
      <c r="C12791" s="7" t="s">
        <v>10</v>
      </c>
      <c r="D12791" s="7">
        <v>18303</v>
      </c>
      <c r="E12791" s="7" t="s">
        <v>23</v>
      </c>
      <c r="F12791" s="8" t="str">
        <f ca="1">IFERROR(__xludf.DUMMYFUNCTION("IF
(
C12792=""фізична особа""
,
VLOOKUP(D12792,IMPORTRANGE(""https://docs.google.com/spreadsheets/d/14Bd19lYaqBhU8_DElYkX7l4wRkHqqCUFNJY4AfY3kHU/edit?usp=sharing  #gid=0"",""фіз особи new!relations_name""),6,FALSE)
,
(IF
(
C12792=""юридична особа""
,
VLOO"&amp;"KUP(D12792,IMPORTRANGE(""https://docs.google.com/spreadsheets/d/14Bd19lYaqBhU8_DElYkX7l4wRkHqqCUFNJY4AfY3kHU/edit?usp=sharing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91" s="7" t="s">
        <v>10</v>
      </c>
      <c r="H12791" s="7">
        <v>18307</v>
      </c>
      <c r="I12791" s="8" t="str">
        <f ca="1">IFERROR(__xludf.DUMMYFUNCTION("IF
(
G12792=""фізична особа""
,
VLOOKUP(H12792,IMPORTRANGE(""https://docs.google.com/spreadsheets/d/14Bd19lYaqBhU8_DElYkX7l4wRkHqqCUFNJY4AfY3kHU/edit?usp=sharing  #gid=0"",""фіз особи new!relations_name""),6,FALSE)
,
(IF
(
G12792=""юридична особа""
,
VLOO"&amp;"KUP(H12792,IMPORTRANGE(""https://docs.google.com/spreadsheets/d/14Bd19lYaqBhU8_DElYkX7l4wRkHqqCUFNJY4AfY3kHU/edit?usp=sharing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791" s="7" t="s">
        <v>23</v>
      </c>
    </row>
    <row r="12792" spans="1:10" ht="13.2">
      <c r="A12792" s="7">
        <v>12791</v>
      </c>
      <c r="B12792" s="7">
        <v>1</v>
      </c>
      <c r="C12792" s="7" t="s">
        <v>10</v>
      </c>
      <c r="D12792" s="7">
        <v>18303</v>
      </c>
      <c r="E12792" s="7" t="s">
        <v>23</v>
      </c>
      <c r="F12792" s="8" t="str">
        <f ca="1">IFERROR(__xludf.DUMMYFUNCTION("IF
(
C12793=""фізична особа""
,
VLOOKUP(D12793,IMPORTRANGE(""https://docs.google.com/spreadsheets/d/14Bd19lYaqBhU8_DElYkX7l4wRkHqqCUFNJY4AfY3kHU/edit?usp=sharing  #gid=0"",""фіз особи new!relations_name""),6,FALSE)
,
(IF
(
C12793=""юридична особа""
,
VLOO"&amp;"KUP(D12793,IMPORTRANGE(""https://docs.google.com/spreadsheets/d/14Bd19lYaqBhU8_DElYkX7l4wRkHqqCUFNJY4AfY3kHU/edit?usp=sharing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92" s="7" t="s">
        <v>10</v>
      </c>
      <c r="H12792" s="7">
        <v>18308</v>
      </c>
      <c r="I12792" s="8" t="str">
        <f ca="1">IFERROR(__xludf.DUMMYFUNCTION("IF
(
G12793=""фізична особа""
,
VLOOKUP(H12793,IMPORTRANGE(""https://docs.google.com/spreadsheets/d/14Bd19lYaqBhU8_DElYkX7l4wRkHqqCUFNJY4AfY3kHU/edit?usp=sharing  #gid=0"",""фіз особи new!relations_name""),6,FALSE)
,
(IF
(
G12793=""юридична особа""
,
VLOO"&amp;"KUP(H12793,IMPORTRANGE(""https://docs.google.com/spreadsheets/d/14Bd19lYaqBhU8_DElYkX7l4wRkHqqCUFNJY4AfY3kHU/edit?usp=sharing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792" s="7" t="s">
        <v>23</v>
      </c>
    </row>
    <row r="12793" spans="1:10" ht="13.2">
      <c r="A12793" s="7">
        <v>12792</v>
      </c>
      <c r="B12793" s="7">
        <v>1</v>
      </c>
      <c r="C12793" s="7" t="s">
        <v>10</v>
      </c>
      <c r="D12793" s="7">
        <v>18303</v>
      </c>
      <c r="E12793" s="7" t="s">
        <v>23</v>
      </c>
      <c r="F12793" s="8" t="str">
        <f ca="1">IFERROR(__xludf.DUMMYFUNCTION("IF
(
C12794=""фізична особа""
,
VLOOKUP(D12794,IMPORTRANGE(""https://docs.google.com/spreadsheets/d/14Bd19lYaqBhU8_DElYkX7l4wRkHqqCUFNJY4AfY3kHU/edit?usp=sharing  #gid=0"",""фіз особи new!relations_name""),6,FALSE)
,
(IF
(
C12794=""юридична особа""
,
VLOO"&amp;"KUP(D12794,IMPORTRANGE(""https://docs.google.com/spreadsheets/d/14Bd19lYaqBhU8_DElYkX7l4wRkHqqCUFNJY4AfY3kHU/edit?usp=sharing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93" s="7" t="s">
        <v>10</v>
      </c>
      <c r="H12793" s="7">
        <v>18309</v>
      </c>
      <c r="I12793" s="8" t="str">
        <f ca="1">IFERROR(__xludf.DUMMYFUNCTION("IF
(
G12794=""фізична особа""
,
VLOOKUP(H12794,IMPORTRANGE(""https://docs.google.com/spreadsheets/d/14Bd19lYaqBhU8_DElYkX7l4wRkHqqCUFNJY4AfY3kHU/edit?usp=sharing  #gid=0"",""фіз особи new!relations_name""),6,FALSE)
,
(IF
(
G12794=""юридична особа""
,
VLOO"&amp;"KUP(H12794,IMPORTRANGE(""https://docs.google.com/spreadsheets/d/14Bd19lYaqBhU8_DElYkX7l4wRkHqqCUFNJY4AfY3kHU/edit?usp=sharing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793" s="7" t="s">
        <v>23</v>
      </c>
    </row>
    <row r="12794" spans="1:10" ht="13.2">
      <c r="A12794" s="7">
        <v>12793</v>
      </c>
      <c r="B12794" s="7">
        <v>1</v>
      </c>
      <c r="C12794" s="7" t="s">
        <v>10</v>
      </c>
      <c r="D12794" s="7">
        <v>18303</v>
      </c>
      <c r="E12794" s="7" t="s">
        <v>23</v>
      </c>
      <c r="F12794" s="8" t="str">
        <f ca="1">IFERROR(__xludf.DUMMYFUNCTION("IF
(
C12795=""фізична особа""
,
VLOOKUP(D12795,IMPORTRANGE(""https://docs.google.com/spreadsheets/d/14Bd19lYaqBhU8_DElYkX7l4wRkHqqCUFNJY4AfY3kHU/edit?usp=sharing  #gid=0"",""фіз особи new!relations_name""),6,FALSE)
,
(IF
(
C12795=""юридична особа""
,
VLOO"&amp;"KUP(D12795,IMPORTRANGE(""https://docs.google.com/spreadsheets/d/14Bd19lYaqBhU8_DElYkX7l4wRkHqqCUFNJY4AfY3kHU/edit?usp=sharing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G12794" s="7" t="s">
        <v>10</v>
      </c>
      <c r="H12794" s="7">
        <v>18310</v>
      </c>
      <c r="I12794" s="8" t="str">
        <f ca="1">IFERROR(__xludf.DUMMYFUNCTION("IF
(
G12795=""фізична особа""
,
VLOOKUP(H12795,IMPORTRANGE(""https://docs.google.com/spreadsheets/d/14Bd19lYaqBhU8_DElYkX7l4wRkHqqCUFNJY4AfY3kHU/edit?usp=sharing  #gid=0"",""фіз особи new!relations_name""),6,FALSE)
,
(IF
(
G12795=""юридична особа""
,
VLOO"&amp;"KUP(H12795,IMPORTRANGE(""https://docs.google.com/spreadsheets/d/14Bd19lYaqBhU8_DElYkX7l4wRkHqqCUFNJY4AfY3kHU/edit?usp=sharing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794" s="7" t="s">
        <v>23</v>
      </c>
    </row>
    <row r="12795" spans="1:10" ht="13.2">
      <c r="A12795" s="7">
        <v>12794</v>
      </c>
      <c r="B12795" s="7">
        <v>1</v>
      </c>
      <c r="C12795" s="7" t="s">
        <v>10</v>
      </c>
      <c r="D12795" s="7">
        <v>18304</v>
      </c>
      <c r="E12795" s="7" t="s">
        <v>23</v>
      </c>
      <c r="F12795" s="8" t="str">
        <f ca="1">IFERROR(__xludf.DUMMYFUNCTION("IF
(
C12796=""фізична особа""
,
VLOOKUP(D12796,IMPORTRANGE(""https://docs.google.com/spreadsheets/d/14Bd19lYaqBhU8_DElYkX7l4wRkHqqCUFNJY4AfY3kHU/edit?usp=sharing  #gid=0"",""фіз особи new!relations_name""),6,FALSE)
,
(IF
(
C12796=""юридична особа""
,
VLOO"&amp;"KUP(D12796,IMPORTRANGE(""https://docs.google.com/spreadsheets/d/14Bd19lYaqBhU8_DElYkX7l4wRkHqqCUFNJY4AfY3kHU/edit?usp=sharing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795" s="7" t="s">
        <v>10</v>
      </c>
      <c r="H12795" s="7">
        <v>18302</v>
      </c>
      <c r="I12795" s="8" t="str">
        <f ca="1">IFERROR(__xludf.DUMMYFUNCTION("IF
(
G12796=""фізична особа""
,
VLOOKUP(H12796,IMPORTRANGE(""https://docs.google.com/spreadsheets/d/14Bd19lYaqBhU8_DElYkX7l4wRkHqqCUFNJY4AfY3kHU/edit?usp=sharing  #gid=0"",""фіз особи new!relations_name""),6,FALSE)
,
(IF
(
G12796=""юридична особа""
,
VLOO"&amp;"KUP(H12796,IMPORTRANGE(""https://docs.google.com/spreadsheets/d/14Bd19lYaqBhU8_DElYkX7l4wRkHqqCUFNJY4AfY3kHU/edit?usp=sharing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795" s="7" t="s">
        <v>23</v>
      </c>
    </row>
    <row r="12796" spans="1:10" ht="13.2">
      <c r="A12796" s="7">
        <v>12795</v>
      </c>
      <c r="B12796" s="7">
        <v>1</v>
      </c>
      <c r="C12796" s="7" t="s">
        <v>10</v>
      </c>
      <c r="D12796" s="7">
        <v>18304</v>
      </c>
      <c r="E12796" s="7" t="s">
        <v>23</v>
      </c>
      <c r="F12796" s="8" t="str">
        <f ca="1">IFERROR(__xludf.DUMMYFUNCTION("IF
(
C12797=""фізична особа""
,
VLOOKUP(D12797,IMPORTRANGE(""https://docs.google.com/spreadsheets/d/14Bd19lYaqBhU8_DElYkX7l4wRkHqqCUFNJY4AfY3kHU/edit?usp=sharing  #gid=0"",""фіз особи new!relations_name""),6,FALSE)
,
(IF
(
C12797=""юридична особа""
,
VLOO"&amp;"KUP(D12797,IMPORTRANGE(""https://docs.google.com/spreadsheets/d/14Bd19lYaqBhU8_DElYkX7l4wRkHqqCUFNJY4AfY3kHU/edit?usp=sharing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796" s="7" t="s">
        <v>10</v>
      </c>
      <c r="H12796" s="7">
        <v>18303</v>
      </c>
      <c r="I12796" s="8" t="str">
        <f ca="1">IFERROR(__xludf.DUMMYFUNCTION("IF
(
G12797=""фізична особа""
,
VLOOKUP(H12797,IMPORTRANGE(""https://docs.google.com/spreadsheets/d/14Bd19lYaqBhU8_DElYkX7l4wRkHqqCUFNJY4AfY3kHU/edit?usp=sharing  #gid=0"",""фіз особи new!relations_name""),6,FALSE)
,
(IF
(
G12797=""юридична особа""
,
VLOO"&amp;"KUP(H12797,IMPORTRANGE(""https://docs.google.com/spreadsheets/d/14Bd19lYaqBhU8_DElYkX7l4wRkHqqCUFNJY4AfY3kHU/edit?usp=sharing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796" s="7" t="s">
        <v>23</v>
      </c>
    </row>
    <row r="12797" spans="1:10" ht="13.2">
      <c r="A12797" s="7">
        <v>12796</v>
      </c>
      <c r="B12797" s="7">
        <v>1</v>
      </c>
      <c r="C12797" s="7" t="s">
        <v>10</v>
      </c>
      <c r="D12797" s="7">
        <v>18304</v>
      </c>
      <c r="E12797" s="7" t="s">
        <v>23</v>
      </c>
      <c r="F12797" s="8" t="str">
        <f ca="1">IFERROR(__xludf.DUMMYFUNCTION("IF
(
C12798=""фізична особа""
,
VLOOKUP(D12798,IMPORTRANGE(""https://docs.google.com/spreadsheets/d/14Bd19lYaqBhU8_DElYkX7l4wRkHqqCUFNJY4AfY3kHU/edit?usp=sharing  #gid=0"",""фіз особи new!relations_name""),6,FALSE)
,
(IF
(
C12798=""юридична особа""
,
VLOO"&amp;"KUP(D12798,IMPORTRANGE(""https://docs.google.com/spreadsheets/d/14Bd19lYaqBhU8_DElYkX7l4wRkHqqCUFNJY4AfY3kHU/edit?usp=sharing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797" s="7" t="s">
        <v>10</v>
      </c>
      <c r="H12797" s="7">
        <v>18305</v>
      </c>
      <c r="I12797" s="8" t="str">
        <f ca="1">IFERROR(__xludf.DUMMYFUNCTION("IF
(
G12798=""фізична особа""
,
VLOOKUP(H12798,IMPORTRANGE(""https://docs.google.com/spreadsheets/d/14Bd19lYaqBhU8_DElYkX7l4wRkHqqCUFNJY4AfY3kHU/edit?usp=sharing  #gid=0"",""фіз особи new!relations_name""),6,FALSE)
,
(IF
(
G12798=""юридична особа""
,
VLOO"&amp;"KUP(H12798,IMPORTRANGE(""https://docs.google.com/spreadsheets/d/14Bd19lYaqBhU8_DElYkX7l4wRkHqqCUFNJY4AfY3kHU/edit?usp=sharing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797" s="7" t="s">
        <v>23</v>
      </c>
    </row>
    <row r="12798" spans="1:10" ht="13.2">
      <c r="A12798" s="7">
        <v>12797</v>
      </c>
      <c r="B12798" s="7">
        <v>1</v>
      </c>
      <c r="C12798" s="7" t="s">
        <v>10</v>
      </c>
      <c r="D12798" s="7">
        <v>18304</v>
      </c>
      <c r="E12798" s="7" t="s">
        <v>23</v>
      </c>
      <c r="F12798" s="8" t="str">
        <f ca="1">IFERROR(__xludf.DUMMYFUNCTION("IF
(
C12799=""фізична особа""
,
VLOOKUP(D12799,IMPORTRANGE(""https://docs.google.com/spreadsheets/d/14Bd19lYaqBhU8_DElYkX7l4wRkHqqCUFNJY4AfY3kHU/edit?usp=sharing  #gid=0"",""фіз особи new!relations_name""),6,FALSE)
,
(IF
(
C12799=""юридична особа""
,
VLOO"&amp;"KUP(D12799,IMPORTRANGE(""https://docs.google.com/spreadsheets/d/14Bd19lYaqBhU8_DElYkX7l4wRkHqqCUFNJY4AfY3kHU/edit?usp=sharing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798" s="7" t="s">
        <v>10</v>
      </c>
      <c r="H12798" s="7">
        <v>18306</v>
      </c>
      <c r="I12798" s="8" t="str">
        <f ca="1">IFERROR(__xludf.DUMMYFUNCTION("IF
(
G12799=""фізична особа""
,
VLOOKUP(H12799,IMPORTRANGE(""https://docs.google.com/spreadsheets/d/14Bd19lYaqBhU8_DElYkX7l4wRkHqqCUFNJY4AfY3kHU/edit?usp=sharing  #gid=0"",""фіз особи new!relations_name""),6,FALSE)
,
(IF
(
G12799=""юридична особа""
,
VLOO"&amp;"KUP(H12799,IMPORTRANGE(""https://docs.google.com/spreadsheets/d/14Bd19lYaqBhU8_DElYkX7l4wRkHqqCUFNJY4AfY3kHU/edit?usp=sharing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798" s="7" t="s">
        <v>23</v>
      </c>
    </row>
    <row r="12799" spans="1:10" ht="13.2">
      <c r="A12799" s="7">
        <v>12798</v>
      </c>
      <c r="B12799" s="7">
        <v>1</v>
      </c>
      <c r="C12799" s="7" t="s">
        <v>10</v>
      </c>
      <c r="D12799" s="7">
        <v>18304</v>
      </c>
      <c r="E12799" s="7" t="s">
        <v>23</v>
      </c>
      <c r="F12799" s="8" t="str">
        <f ca="1">IFERROR(__xludf.DUMMYFUNCTION("IF
(
C12800=""фізична особа""
,
VLOOKUP(D12800,IMPORTRANGE(""https://docs.google.com/spreadsheets/d/14Bd19lYaqBhU8_DElYkX7l4wRkHqqCUFNJY4AfY3kHU/edit?usp=sharing  #gid=0"",""фіз особи new!relations_name""),6,FALSE)
,
(IF
(
C12800=""юридична особа""
,
VLOO"&amp;"KUP(D12800,IMPORTRANGE(""https://docs.google.com/spreadsheets/d/14Bd19lYaqBhU8_DElYkX7l4wRkHqqCUFNJY4AfY3kHU/edit?usp=sharing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799" s="7" t="s">
        <v>10</v>
      </c>
      <c r="H12799" s="7">
        <v>18307</v>
      </c>
      <c r="I12799" s="8" t="str">
        <f ca="1">IFERROR(__xludf.DUMMYFUNCTION("IF
(
G12800=""фізична особа""
,
VLOOKUP(H12800,IMPORTRANGE(""https://docs.google.com/spreadsheets/d/14Bd19lYaqBhU8_DElYkX7l4wRkHqqCUFNJY4AfY3kHU/edit?usp=sharing  #gid=0"",""фіз особи new!relations_name""),6,FALSE)
,
(IF
(
G12800=""юридична особа""
,
VLOO"&amp;"KUP(H12800,IMPORTRANGE(""https://docs.google.com/spreadsheets/d/14Bd19lYaqBhU8_DElYkX7l4wRkHqqCUFNJY4AfY3kHU/edit?usp=sharing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799" s="7" t="s">
        <v>23</v>
      </c>
    </row>
    <row r="12800" spans="1:10" ht="13.2">
      <c r="A12800" s="7">
        <v>12799</v>
      </c>
      <c r="B12800" s="7">
        <v>1</v>
      </c>
      <c r="C12800" s="7" t="s">
        <v>10</v>
      </c>
      <c r="D12800" s="7">
        <v>18304</v>
      </c>
      <c r="E12800" s="7" t="s">
        <v>23</v>
      </c>
      <c r="F12800" s="8" t="str">
        <f ca="1">IFERROR(__xludf.DUMMYFUNCTION("IF
(
C12801=""фізична особа""
,
VLOOKUP(D12801,IMPORTRANGE(""https://docs.google.com/spreadsheets/d/14Bd19lYaqBhU8_DElYkX7l4wRkHqqCUFNJY4AfY3kHU/edit?usp=sharing  #gid=0"",""фіз особи new!relations_name""),6,FALSE)
,
(IF
(
C12801=""юридична особа""
,
VLOO"&amp;"KUP(D12801,IMPORTRANGE(""https://docs.google.com/spreadsheets/d/14Bd19lYaqBhU8_DElYkX7l4wRkHqqCUFNJY4AfY3kHU/edit?usp=sharing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800" s="7" t="s">
        <v>10</v>
      </c>
      <c r="H12800" s="7">
        <v>18308</v>
      </c>
      <c r="I12800" s="8" t="str">
        <f ca="1">IFERROR(__xludf.DUMMYFUNCTION("IF
(
G12801=""фізична особа""
,
VLOOKUP(H12801,IMPORTRANGE(""https://docs.google.com/spreadsheets/d/14Bd19lYaqBhU8_DElYkX7l4wRkHqqCUFNJY4AfY3kHU/edit?usp=sharing  #gid=0"",""фіз особи new!relations_name""),6,FALSE)
,
(IF
(
G12801=""юридична особа""
,
VLOO"&amp;"KUP(H12801,IMPORTRANGE(""https://docs.google.com/spreadsheets/d/14Bd19lYaqBhU8_DElYkX7l4wRkHqqCUFNJY4AfY3kHU/edit?usp=sharing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00" s="7" t="s">
        <v>23</v>
      </c>
    </row>
    <row r="12801" spans="1:10" ht="13.2">
      <c r="A12801" s="7">
        <v>12800</v>
      </c>
      <c r="B12801" s="7">
        <v>1</v>
      </c>
      <c r="C12801" s="7" t="s">
        <v>10</v>
      </c>
      <c r="D12801" s="7">
        <v>18304</v>
      </c>
      <c r="E12801" s="7" t="s">
        <v>23</v>
      </c>
      <c r="F12801" s="8" t="str">
        <f ca="1">IFERROR(__xludf.DUMMYFUNCTION("IF
(
C12802=""фізична особа""
,
VLOOKUP(D12802,IMPORTRANGE(""https://docs.google.com/spreadsheets/d/14Bd19lYaqBhU8_DElYkX7l4wRkHqqCUFNJY4AfY3kHU/edit?usp=sharing  #gid=0"",""фіз особи new!relations_name""),6,FALSE)
,
(IF
(
C12802=""юридична особа""
,
VLOO"&amp;"KUP(D12802,IMPORTRANGE(""https://docs.google.com/spreadsheets/d/14Bd19lYaqBhU8_DElYkX7l4wRkHqqCUFNJY4AfY3kHU/edit?usp=sharing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801" s="7" t="s">
        <v>10</v>
      </c>
      <c r="H12801" s="7">
        <v>18309</v>
      </c>
      <c r="I12801" s="8" t="str">
        <f ca="1">IFERROR(__xludf.DUMMYFUNCTION("IF
(
G12802=""фізична особа""
,
VLOOKUP(H12802,IMPORTRANGE(""https://docs.google.com/spreadsheets/d/14Bd19lYaqBhU8_DElYkX7l4wRkHqqCUFNJY4AfY3kHU/edit?usp=sharing  #gid=0"",""фіз особи new!relations_name""),6,FALSE)
,
(IF
(
G12802=""юридична особа""
,
VLOO"&amp;"KUP(H12802,IMPORTRANGE(""https://docs.google.com/spreadsheets/d/14Bd19lYaqBhU8_DElYkX7l4wRkHqqCUFNJY4AfY3kHU/edit?usp=sharing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01" s="7" t="s">
        <v>23</v>
      </c>
    </row>
    <row r="12802" spans="1:10" ht="13.2">
      <c r="A12802" s="7">
        <v>12801</v>
      </c>
      <c r="B12802" s="7">
        <v>1</v>
      </c>
      <c r="C12802" s="7" t="s">
        <v>10</v>
      </c>
      <c r="D12802" s="7">
        <v>18304</v>
      </c>
      <c r="E12802" s="7" t="s">
        <v>23</v>
      </c>
      <c r="F12802" s="8" t="str">
        <f ca="1">IFERROR(__xludf.DUMMYFUNCTION("IF
(
C12803=""фізична особа""
,
VLOOKUP(D12803,IMPORTRANGE(""https://docs.google.com/spreadsheets/d/14Bd19lYaqBhU8_DElYkX7l4wRkHqqCUFNJY4AfY3kHU/edit?usp=sharing  #gid=0"",""фіз особи new!relations_name""),6,FALSE)
,
(IF
(
C12803=""юридична особа""
,
VLOO"&amp;"KUP(D12803,IMPORTRANGE(""https://docs.google.com/spreadsheets/d/14Bd19lYaqBhU8_DElYkX7l4wRkHqqCUFNJY4AfY3kHU/edit?usp=sharing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G12802" s="7" t="s">
        <v>10</v>
      </c>
      <c r="H12802" s="7">
        <v>18310</v>
      </c>
      <c r="I12802" s="8" t="str">
        <f ca="1">IFERROR(__xludf.DUMMYFUNCTION("IF
(
G12803=""фізична особа""
,
VLOOKUP(H12803,IMPORTRANGE(""https://docs.google.com/spreadsheets/d/14Bd19lYaqBhU8_DElYkX7l4wRkHqqCUFNJY4AfY3kHU/edit?usp=sharing  #gid=0"",""фіз особи new!relations_name""),6,FALSE)
,
(IF
(
G12803=""юридична особа""
,
VLOO"&amp;"KUP(H12803,IMPORTRANGE(""https://docs.google.com/spreadsheets/d/14Bd19lYaqBhU8_DElYkX7l4wRkHqqCUFNJY4AfY3kHU/edit?usp=sharing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02" s="7" t="s">
        <v>23</v>
      </c>
    </row>
    <row r="12803" spans="1:10" ht="13.2">
      <c r="A12803" s="7">
        <v>12802</v>
      </c>
      <c r="B12803" s="7">
        <v>1</v>
      </c>
      <c r="C12803" s="7" t="s">
        <v>10</v>
      </c>
      <c r="D12803" s="7">
        <v>18305</v>
      </c>
      <c r="E12803" s="7" t="s">
        <v>23</v>
      </c>
      <c r="F12803" s="8" t="str">
        <f ca="1">IFERROR(__xludf.DUMMYFUNCTION("IF
(
C12804=""фізична особа""
,
VLOOKUP(D12804,IMPORTRANGE(""https://docs.google.com/spreadsheets/d/14Bd19lYaqBhU8_DElYkX7l4wRkHqqCUFNJY4AfY3kHU/edit?usp=sharing  #gid=0"",""фіз особи new!relations_name""),6,FALSE)
,
(IF
(
C12804=""юридична особа""
,
VLOO"&amp;"KUP(D12804,IMPORTRANGE(""https://docs.google.com/spreadsheets/d/14Bd19lYaqBhU8_DElYkX7l4wRkHqqCUFNJY4AfY3kHU/edit?usp=sharing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3" s="7" t="s">
        <v>10</v>
      </c>
      <c r="H12803" s="7">
        <v>18302</v>
      </c>
      <c r="I12803" s="8" t="str">
        <f ca="1">IFERROR(__xludf.DUMMYFUNCTION("IF
(
G12804=""фізична особа""
,
VLOOKUP(H12804,IMPORTRANGE(""https://docs.google.com/spreadsheets/d/14Bd19lYaqBhU8_DElYkX7l4wRkHqqCUFNJY4AfY3kHU/edit?usp=sharing  #gid=0"",""фіз особи new!relations_name""),6,FALSE)
,
(IF
(
G12804=""юридична особа""
,
VLOO"&amp;"KUP(H12804,IMPORTRANGE(""https://docs.google.com/spreadsheets/d/14Bd19lYaqBhU8_DElYkX7l4wRkHqqCUFNJY4AfY3kHU/edit?usp=sharing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03" s="7" t="s">
        <v>23</v>
      </c>
    </row>
    <row r="12804" spans="1:10" ht="13.2">
      <c r="A12804" s="7">
        <v>12803</v>
      </c>
      <c r="B12804" s="7">
        <v>1</v>
      </c>
      <c r="C12804" s="7" t="s">
        <v>10</v>
      </c>
      <c r="D12804" s="7">
        <v>18305</v>
      </c>
      <c r="E12804" s="7" t="s">
        <v>23</v>
      </c>
      <c r="F12804" s="8" t="str">
        <f ca="1">IFERROR(__xludf.DUMMYFUNCTION("IF
(
C12805=""фізична особа""
,
VLOOKUP(D12805,IMPORTRANGE(""https://docs.google.com/spreadsheets/d/14Bd19lYaqBhU8_DElYkX7l4wRkHqqCUFNJY4AfY3kHU/edit?usp=sharing  #gid=0"",""фіз особи new!relations_name""),6,FALSE)
,
(IF
(
C12805=""юридична особа""
,
VLOO"&amp;"KUP(D12805,IMPORTRANGE(""https://docs.google.com/spreadsheets/d/14Bd19lYaqBhU8_DElYkX7l4wRkHqqCUFNJY4AfY3kHU/edit?usp=sharing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4" s="7" t="s">
        <v>10</v>
      </c>
      <c r="H12804" s="7">
        <v>18303</v>
      </c>
      <c r="I12804" s="8" t="str">
        <f ca="1">IFERROR(__xludf.DUMMYFUNCTION("IF
(
G12805=""фізична особа""
,
VLOOKUP(H12805,IMPORTRANGE(""https://docs.google.com/spreadsheets/d/14Bd19lYaqBhU8_DElYkX7l4wRkHqqCUFNJY4AfY3kHU/edit?usp=sharing  #gid=0"",""фіз особи new!relations_name""),6,FALSE)
,
(IF
(
G12805=""юридична особа""
,
VLOO"&amp;"KUP(H12805,IMPORTRANGE(""https://docs.google.com/spreadsheets/d/14Bd19lYaqBhU8_DElYkX7l4wRkHqqCUFNJY4AfY3kHU/edit?usp=sharing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04" s="7" t="s">
        <v>23</v>
      </c>
    </row>
    <row r="12805" spans="1:10" ht="13.2">
      <c r="A12805" s="7">
        <v>12804</v>
      </c>
      <c r="B12805" s="7">
        <v>1</v>
      </c>
      <c r="C12805" s="7" t="s">
        <v>10</v>
      </c>
      <c r="D12805" s="7">
        <v>18305</v>
      </c>
      <c r="E12805" s="7" t="s">
        <v>23</v>
      </c>
      <c r="F12805" s="8" t="str">
        <f ca="1">IFERROR(__xludf.DUMMYFUNCTION("IF
(
C12806=""фізична особа""
,
VLOOKUP(D12806,IMPORTRANGE(""https://docs.google.com/spreadsheets/d/14Bd19lYaqBhU8_DElYkX7l4wRkHqqCUFNJY4AfY3kHU/edit?usp=sharing  #gid=0"",""фіз особи new!relations_name""),6,FALSE)
,
(IF
(
C12806=""юридична особа""
,
VLOO"&amp;"KUP(D12806,IMPORTRANGE(""https://docs.google.com/spreadsheets/d/14Bd19lYaqBhU8_DElYkX7l4wRkHqqCUFNJY4AfY3kHU/edit?usp=sharing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5" s="7" t="s">
        <v>10</v>
      </c>
      <c r="H12805" s="7">
        <v>18304</v>
      </c>
      <c r="I12805" s="8" t="str">
        <f ca="1">IFERROR(__xludf.DUMMYFUNCTION("IF
(
G12806=""фізична особа""
,
VLOOKUP(H12806,IMPORTRANGE(""https://docs.google.com/spreadsheets/d/14Bd19lYaqBhU8_DElYkX7l4wRkHqqCUFNJY4AfY3kHU/edit?usp=sharing  #gid=0"",""фіз особи new!relations_name""),6,FALSE)
,
(IF
(
G12806=""юридична особа""
,
VLOO"&amp;"KUP(H12806,IMPORTRANGE(""https://docs.google.com/spreadsheets/d/14Bd19lYaqBhU8_DElYkX7l4wRkHqqCUFNJY4AfY3kHU/edit?usp=sharing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05" s="7" t="s">
        <v>23</v>
      </c>
    </row>
    <row r="12806" spans="1:10" ht="13.2">
      <c r="A12806" s="7">
        <v>12805</v>
      </c>
      <c r="B12806" s="7">
        <v>1</v>
      </c>
      <c r="C12806" s="7" t="s">
        <v>10</v>
      </c>
      <c r="D12806" s="7">
        <v>18305</v>
      </c>
      <c r="E12806" s="7" t="s">
        <v>23</v>
      </c>
      <c r="F12806" s="8" t="str">
        <f ca="1">IFERROR(__xludf.DUMMYFUNCTION("IF
(
C12807=""фізична особа""
,
VLOOKUP(D12807,IMPORTRANGE(""https://docs.google.com/spreadsheets/d/14Bd19lYaqBhU8_DElYkX7l4wRkHqqCUFNJY4AfY3kHU/edit?usp=sharing  #gid=0"",""фіз особи new!relations_name""),6,FALSE)
,
(IF
(
C12807=""юридична особа""
,
VLOO"&amp;"KUP(D12807,IMPORTRANGE(""https://docs.google.com/spreadsheets/d/14Bd19lYaqBhU8_DElYkX7l4wRkHqqCUFNJY4AfY3kHU/edit?usp=sharing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6" s="7" t="s">
        <v>10</v>
      </c>
      <c r="H12806" s="7">
        <v>18306</v>
      </c>
      <c r="I12806" s="8" t="str">
        <f ca="1">IFERROR(__xludf.DUMMYFUNCTION("IF
(
G12807=""фізична особа""
,
VLOOKUP(H12807,IMPORTRANGE(""https://docs.google.com/spreadsheets/d/14Bd19lYaqBhU8_DElYkX7l4wRkHqqCUFNJY4AfY3kHU/edit?usp=sharing  #gid=0"",""фіз особи new!relations_name""),6,FALSE)
,
(IF
(
G12807=""юридична особа""
,
VLOO"&amp;"KUP(H12807,IMPORTRANGE(""https://docs.google.com/spreadsheets/d/14Bd19lYaqBhU8_DElYkX7l4wRkHqqCUFNJY4AfY3kHU/edit?usp=sharing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806" s="7" t="s">
        <v>23</v>
      </c>
    </row>
    <row r="12807" spans="1:10" ht="13.2">
      <c r="A12807" s="7">
        <v>12806</v>
      </c>
      <c r="B12807" s="7">
        <v>1</v>
      </c>
      <c r="C12807" s="7" t="s">
        <v>10</v>
      </c>
      <c r="D12807" s="7">
        <v>18305</v>
      </c>
      <c r="E12807" s="7" t="s">
        <v>23</v>
      </c>
      <c r="F12807" s="8" t="str">
        <f ca="1">IFERROR(__xludf.DUMMYFUNCTION("IF
(
C12808=""фізична особа""
,
VLOOKUP(D12808,IMPORTRANGE(""https://docs.google.com/spreadsheets/d/14Bd19lYaqBhU8_DElYkX7l4wRkHqqCUFNJY4AfY3kHU/edit?usp=sharing  #gid=0"",""фіз особи new!relations_name""),6,FALSE)
,
(IF
(
C12808=""юридична особа""
,
VLOO"&amp;"KUP(D12808,IMPORTRANGE(""https://docs.google.com/spreadsheets/d/14Bd19lYaqBhU8_DElYkX7l4wRkHqqCUFNJY4AfY3kHU/edit?usp=sharing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7" s="7" t="s">
        <v>10</v>
      </c>
      <c r="H12807" s="7">
        <v>18307</v>
      </c>
      <c r="I12807" s="8" t="str">
        <f ca="1">IFERROR(__xludf.DUMMYFUNCTION("IF
(
G12808=""фізична особа""
,
VLOOKUP(H12808,IMPORTRANGE(""https://docs.google.com/spreadsheets/d/14Bd19lYaqBhU8_DElYkX7l4wRkHqqCUFNJY4AfY3kHU/edit?usp=sharing  #gid=0"",""фіз особи new!relations_name""),6,FALSE)
,
(IF
(
G12808=""юридична особа""
,
VLOO"&amp;"KUP(H12808,IMPORTRANGE(""https://docs.google.com/spreadsheets/d/14Bd19lYaqBhU8_DElYkX7l4wRkHqqCUFNJY4AfY3kHU/edit?usp=sharing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807" s="7" t="s">
        <v>23</v>
      </c>
    </row>
    <row r="12808" spans="1:10" ht="13.2">
      <c r="A12808" s="7">
        <v>12807</v>
      </c>
      <c r="B12808" s="7">
        <v>1</v>
      </c>
      <c r="C12808" s="7" t="s">
        <v>10</v>
      </c>
      <c r="D12808" s="7">
        <v>18305</v>
      </c>
      <c r="E12808" s="7" t="s">
        <v>23</v>
      </c>
      <c r="F12808" s="8" t="str">
        <f ca="1">IFERROR(__xludf.DUMMYFUNCTION("IF
(
C12809=""фізична особа""
,
VLOOKUP(D12809,IMPORTRANGE(""https://docs.google.com/spreadsheets/d/14Bd19lYaqBhU8_DElYkX7l4wRkHqqCUFNJY4AfY3kHU/edit?usp=sharing  #gid=0"",""фіз особи new!relations_name""),6,FALSE)
,
(IF
(
C12809=""юридична особа""
,
VLOO"&amp;"KUP(D12809,IMPORTRANGE(""https://docs.google.com/spreadsheets/d/14Bd19lYaqBhU8_DElYkX7l4wRkHqqCUFNJY4AfY3kHU/edit?usp=sharing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8" s="7" t="s">
        <v>10</v>
      </c>
      <c r="H12808" s="7">
        <v>18308</v>
      </c>
      <c r="I12808" s="8" t="str">
        <f ca="1">IFERROR(__xludf.DUMMYFUNCTION("IF
(
G12809=""фізична особа""
,
VLOOKUP(H12809,IMPORTRANGE(""https://docs.google.com/spreadsheets/d/14Bd19lYaqBhU8_DElYkX7l4wRkHqqCUFNJY4AfY3kHU/edit?usp=sharing  #gid=0"",""фіз особи new!relations_name""),6,FALSE)
,
(IF
(
G12809=""юридична особа""
,
VLOO"&amp;"KUP(H12809,IMPORTRANGE(""https://docs.google.com/spreadsheets/d/14Bd19lYaqBhU8_DElYkX7l4wRkHqqCUFNJY4AfY3kHU/edit?usp=sharing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08" s="7" t="s">
        <v>23</v>
      </c>
    </row>
    <row r="12809" spans="1:10" ht="13.2">
      <c r="A12809" s="7">
        <v>12808</v>
      </c>
      <c r="B12809" s="7">
        <v>1</v>
      </c>
      <c r="C12809" s="7" t="s">
        <v>10</v>
      </c>
      <c r="D12809" s="7">
        <v>18305</v>
      </c>
      <c r="E12809" s="7" t="s">
        <v>23</v>
      </c>
      <c r="F12809" s="8" t="str">
        <f ca="1">IFERROR(__xludf.DUMMYFUNCTION("IF
(
C12810=""фізична особа""
,
VLOOKUP(D12810,IMPORTRANGE(""https://docs.google.com/spreadsheets/d/14Bd19lYaqBhU8_DElYkX7l4wRkHqqCUFNJY4AfY3kHU/edit?usp=sharing  #gid=0"",""фіз особи new!relations_name""),6,FALSE)
,
(IF
(
C12810=""юридична особа""
,
VLOO"&amp;"KUP(D12810,IMPORTRANGE(""https://docs.google.com/spreadsheets/d/14Bd19lYaqBhU8_DElYkX7l4wRkHqqCUFNJY4AfY3kHU/edit?usp=sharing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09" s="7" t="s">
        <v>10</v>
      </c>
      <c r="H12809" s="7">
        <v>18309</v>
      </c>
      <c r="I12809" s="8" t="str">
        <f ca="1">IFERROR(__xludf.DUMMYFUNCTION("IF
(
G12810=""фізична особа""
,
VLOOKUP(H12810,IMPORTRANGE(""https://docs.google.com/spreadsheets/d/14Bd19lYaqBhU8_DElYkX7l4wRkHqqCUFNJY4AfY3kHU/edit?usp=sharing  #gid=0"",""фіз особи new!relations_name""),6,FALSE)
,
(IF
(
G12810=""юридична особа""
,
VLOO"&amp;"KUP(H12810,IMPORTRANGE(""https://docs.google.com/spreadsheets/d/14Bd19lYaqBhU8_DElYkX7l4wRkHqqCUFNJY4AfY3kHU/edit?usp=sharing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09" s="7" t="s">
        <v>23</v>
      </c>
    </row>
    <row r="12810" spans="1:10" ht="13.2">
      <c r="A12810" s="7">
        <v>12809</v>
      </c>
      <c r="B12810" s="7">
        <v>1</v>
      </c>
      <c r="C12810" s="7" t="s">
        <v>10</v>
      </c>
      <c r="D12810" s="7">
        <v>18305</v>
      </c>
      <c r="E12810" s="7" t="s">
        <v>23</v>
      </c>
      <c r="F12810" s="8" t="str">
        <f ca="1">IFERROR(__xludf.DUMMYFUNCTION("IF
(
C12811=""фізична особа""
,
VLOOKUP(D12811,IMPORTRANGE(""https://docs.google.com/spreadsheets/d/14Bd19lYaqBhU8_DElYkX7l4wRkHqqCUFNJY4AfY3kHU/edit?usp=sharing  #gid=0"",""фіз особи new!relations_name""),6,FALSE)
,
(IF
(
C12811=""юридична особа""
,
VLOO"&amp;"KUP(D12811,IMPORTRANGE(""https://docs.google.com/spreadsheets/d/14Bd19lYaqBhU8_DElYkX7l4wRkHqqCUFNJY4AfY3kHU/edit?usp=sharing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G12810" s="7" t="s">
        <v>10</v>
      </c>
      <c r="H12810" s="7">
        <v>18310</v>
      </c>
      <c r="I12810" s="8" t="str">
        <f ca="1">IFERROR(__xludf.DUMMYFUNCTION("IF
(
G12811=""фізична особа""
,
VLOOKUP(H12811,IMPORTRANGE(""https://docs.google.com/spreadsheets/d/14Bd19lYaqBhU8_DElYkX7l4wRkHqqCUFNJY4AfY3kHU/edit?usp=sharing  #gid=0"",""фіз особи new!relations_name""),6,FALSE)
,
(IF
(
G12811=""юридична особа""
,
VLOO"&amp;"KUP(H12811,IMPORTRANGE(""https://docs.google.com/spreadsheets/d/14Bd19lYaqBhU8_DElYkX7l4wRkHqqCUFNJY4AfY3kHU/edit?usp=sharing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10" s="7" t="s">
        <v>23</v>
      </c>
    </row>
    <row r="12811" spans="1:10" ht="13.2">
      <c r="A12811" s="7">
        <v>12810</v>
      </c>
      <c r="B12811" s="7">
        <v>1</v>
      </c>
      <c r="C12811" s="7" t="s">
        <v>10</v>
      </c>
      <c r="D12811" s="7">
        <v>18306</v>
      </c>
      <c r="E12811" s="7" t="s">
        <v>23</v>
      </c>
      <c r="F12811" s="8" t="str">
        <f ca="1">IFERROR(__xludf.DUMMYFUNCTION("IF
(
C12812=""фізична особа""
,
VLOOKUP(D12812,IMPORTRANGE(""https://docs.google.com/spreadsheets/d/14Bd19lYaqBhU8_DElYkX7l4wRkHqqCUFNJY4AfY3kHU/edit?usp=sharing  #gid=0"",""фіз особи new!relations_name""),6,FALSE)
,
(IF
(
C12812=""юридична особа""
,
VLOO"&amp;"KUP(D12812,IMPORTRANGE(""https://docs.google.com/spreadsheets/d/14Bd19lYaqBhU8_DElYkX7l4wRkHqqCUFNJY4AfY3kHU/edit?usp=sharing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1" s="7" t="s">
        <v>10</v>
      </c>
      <c r="H12811" s="7">
        <v>18302</v>
      </c>
      <c r="I12811" s="8" t="str">
        <f ca="1">IFERROR(__xludf.DUMMYFUNCTION("IF
(
G12812=""фізична особа""
,
VLOOKUP(H12812,IMPORTRANGE(""https://docs.google.com/spreadsheets/d/14Bd19lYaqBhU8_DElYkX7l4wRkHqqCUFNJY4AfY3kHU/edit?usp=sharing  #gid=0"",""фіз особи new!relations_name""),6,FALSE)
,
(IF
(
G12812=""юридична особа""
,
VLOO"&amp;"KUP(H12812,IMPORTRANGE(""https://docs.google.com/spreadsheets/d/14Bd19lYaqBhU8_DElYkX7l4wRkHqqCUFNJY4AfY3kHU/edit?usp=sharing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11" s="7" t="s">
        <v>23</v>
      </c>
    </row>
    <row r="12812" spans="1:10" ht="13.2">
      <c r="A12812" s="7">
        <v>12811</v>
      </c>
      <c r="B12812" s="7">
        <v>1</v>
      </c>
      <c r="C12812" s="7" t="s">
        <v>10</v>
      </c>
      <c r="D12812" s="7">
        <v>18306</v>
      </c>
      <c r="E12812" s="7" t="s">
        <v>23</v>
      </c>
      <c r="F12812" s="8" t="str">
        <f ca="1">IFERROR(__xludf.DUMMYFUNCTION("IF
(
C12813=""фізична особа""
,
VLOOKUP(D12813,IMPORTRANGE(""https://docs.google.com/spreadsheets/d/14Bd19lYaqBhU8_DElYkX7l4wRkHqqCUFNJY4AfY3kHU/edit?usp=sharing  #gid=0"",""фіз особи new!relations_name""),6,FALSE)
,
(IF
(
C12813=""юридична особа""
,
VLOO"&amp;"KUP(D12813,IMPORTRANGE(""https://docs.google.com/spreadsheets/d/14Bd19lYaqBhU8_DElYkX7l4wRkHqqCUFNJY4AfY3kHU/edit?usp=sharing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2" s="7" t="s">
        <v>10</v>
      </c>
      <c r="H12812" s="7">
        <v>18303</v>
      </c>
      <c r="I12812" s="8" t="str">
        <f ca="1">IFERROR(__xludf.DUMMYFUNCTION("IF
(
G12813=""фізична особа""
,
VLOOKUP(H12813,IMPORTRANGE(""https://docs.google.com/spreadsheets/d/14Bd19lYaqBhU8_DElYkX7l4wRkHqqCUFNJY4AfY3kHU/edit?usp=sharing  #gid=0"",""фіз особи new!relations_name""),6,FALSE)
,
(IF
(
G12813=""юридична особа""
,
VLOO"&amp;"KUP(H12813,IMPORTRANGE(""https://docs.google.com/spreadsheets/d/14Bd19lYaqBhU8_DElYkX7l4wRkHqqCUFNJY4AfY3kHU/edit?usp=sharing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12" s="7" t="s">
        <v>23</v>
      </c>
    </row>
    <row r="12813" spans="1:10" ht="13.2">
      <c r="A12813" s="7">
        <v>12812</v>
      </c>
      <c r="B12813" s="7">
        <v>1</v>
      </c>
      <c r="C12813" s="7" t="s">
        <v>10</v>
      </c>
      <c r="D12813" s="7">
        <v>18306</v>
      </c>
      <c r="E12813" s="7" t="s">
        <v>23</v>
      </c>
      <c r="F12813" s="8" t="str">
        <f ca="1">IFERROR(__xludf.DUMMYFUNCTION("IF
(
C12814=""фізична особа""
,
VLOOKUP(D12814,IMPORTRANGE(""https://docs.google.com/spreadsheets/d/14Bd19lYaqBhU8_DElYkX7l4wRkHqqCUFNJY4AfY3kHU/edit?usp=sharing  #gid=0"",""фіз особи new!relations_name""),6,FALSE)
,
(IF
(
C12814=""юридична особа""
,
VLOO"&amp;"KUP(D12814,IMPORTRANGE(""https://docs.google.com/spreadsheets/d/14Bd19lYaqBhU8_DElYkX7l4wRkHqqCUFNJY4AfY3kHU/edit?usp=sharing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3" s="7" t="s">
        <v>10</v>
      </c>
      <c r="H12813" s="7">
        <v>18304</v>
      </c>
      <c r="I12813" s="8" t="str">
        <f ca="1">IFERROR(__xludf.DUMMYFUNCTION("IF
(
G12814=""фізична особа""
,
VLOOKUP(H12814,IMPORTRANGE(""https://docs.google.com/spreadsheets/d/14Bd19lYaqBhU8_DElYkX7l4wRkHqqCUFNJY4AfY3kHU/edit?usp=sharing  #gid=0"",""фіз особи new!relations_name""),6,FALSE)
,
(IF
(
G12814=""юридична особа""
,
VLOO"&amp;"KUP(H12814,IMPORTRANGE(""https://docs.google.com/spreadsheets/d/14Bd19lYaqBhU8_DElYkX7l4wRkHqqCUFNJY4AfY3kHU/edit?usp=sharing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13" s="7" t="s">
        <v>23</v>
      </c>
    </row>
    <row r="12814" spans="1:10" ht="13.2">
      <c r="A12814" s="7">
        <v>12813</v>
      </c>
      <c r="B12814" s="7">
        <v>1</v>
      </c>
      <c r="C12814" s="7" t="s">
        <v>10</v>
      </c>
      <c r="D12814" s="7">
        <v>18306</v>
      </c>
      <c r="E12814" s="7" t="s">
        <v>23</v>
      </c>
      <c r="F12814" s="8" t="str">
        <f ca="1">IFERROR(__xludf.DUMMYFUNCTION("IF
(
C12815=""фізична особа""
,
VLOOKUP(D12815,IMPORTRANGE(""https://docs.google.com/spreadsheets/d/14Bd19lYaqBhU8_DElYkX7l4wRkHqqCUFNJY4AfY3kHU/edit?usp=sharing  #gid=0"",""фіз особи new!relations_name""),6,FALSE)
,
(IF
(
C12815=""юридична особа""
,
VLOO"&amp;"KUP(D12815,IMPORTRANGE(""https://docs.google.com/spreadsheets/d/14Bd19lYaqBhU8_DElYkX7l4wRkHqqCUFNJY4AfY3kHU/edit?usp=sharing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4" s="7" t="s">
        <v>10</v>
      </c>
      <c r="H12814" s="7">
        <v>18305</v>
      </c>
      <c r="I12814" s="8" t="str">
        <f ca="1">IFERROR(__xludf.DUMMYFUNCTION("IF
(
G12815=""фізична особа""
,
VLOOKUP(H12815,IMPORTRANGE(""https://docs.google.com/spreadsheets/d/14Bd19lYaqBhU8_DElYkX7l4wRkHqqCUFNJY4AfY3kHU/edit?usp=sharing  #gid=0"",""фіз особи new!relations_name""),6,FALSE)
,
(IF
(
G12815=""юридична особа""
,
VLOO"&amp;"KUP(H12815,IMPORTRANGE(""https://docs.google.com/spreadsheets/d/14Bd19lYaqBhU8_DElYkX7l4wRkHqqCUFNJY4AfY3kHU/edit?usp=sharing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814" s="7" t="s">
        <v>23</v>
      </c>
    </row>
    <row r="12815" spans="1:10" ht="13.2">
      <c r="A12815" s="7">
        <v>12814</v>
      </c>
      <c r="B12815" s="7">
        <v>1</v>
      </c>
      <c r="C12815" s="7" t="s">
        <v>10</v>
      </c>
      <c r="D12815" s="7">
        <v>18306</v>
      </c>
      <c r="E12815" s="7" t="s">
        <v>23</v>
      </c>
      <c r="F12815" s="8" t="str">
        <f ca="1">IFERROR(__xludf.DUMMYFUNCTION("IF
(
C12816=""фізична особа""
,
VLOOKUP(D12816,IMPORTRANGE(""https://docs.google.com/spreadsheets/d/14Bd19lYaqBhU8_DElYkX7l4wRkHqqCUFNJY4AfY3kHU/edit?usp=sharing  #gid=0"",""фіз особи new!relations_name""),6,FALSE)
,
(IF
(
C12816=""юридична особа""
,
VLOO"&amp;"KUP(D12816,IMPORTRANGE(""https://docs.google.com/spreadsheets/d/14Bd19lYaqBhU8_DElYkX7l4wRkHqqCUFNJY4AfY3kHU/edit?usp=sharing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5" s="7" t="s">
        <v>10</v>
      </c>
      <c r="H12815" s="7">
        <v>18307</v>
      </c>
      <c r="I12815" s="8" t="str">
        <f ca="1">IFERROR(__xludf.DUMMYFUNCTION("IF
(
G12816=""фізична особа""
,
VLOOKUP(H12816,IMPORTRANGE(""https://docs.google.com/spreadsheets/d/14Bd19lYaqBhU8_DElYkX7l4wRkHqqCUFNJY4AfY3kHU/edit?usp=sharing  #gid=0"",""фіз особи new!relations_name""),6,FALSE)
,
(IF
(
G12816=""юридична особа""
,
VLOO"&amp;"KUP(H12816,IMPORTRANGE(""https://docs.google.com/spreadsheets/d/14Bd19lYaqBhU8_DElYkX7l4wRkHqqCUFNJY4AfY3kHU/edit?usp=sharing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815" s="7" t="s">
        <v>23</v>
      </c>
    </row>
    <row r="12816" spans="1:10" ht="13.2">
      <c r="A12816" s="7">
        <v>12815</v>
      </c>
      <c r="B12816" s="7">
        <v>1</v>
      </c>
      <c r="C12816" s="7" t="s">
        <v>10</v>
      </c>
      <c r="D12816" s="7">
        <v>18306</v>
      </c>
      <c r="E12816" s="7" t="s">
        <v>23</v>
      </c>
      <c r="F12816" s="8" t="str">
        <f ca="1">IFERROR(__xludf.DUMMYFUNCTION("IF
(
C12817=""фізична особа""
,
VLOOKUP(D12817,IMPORTRANGE(""https://docs.google.com/spreadsheets/d/14Bd19lYaqBhU8_DElYkX7l4wRkHqqCUFNJY4AfY3kHU/edit?usp=sharing  #gid=0"",""фіз особи new!relations_name""),6,FALSE)
,
(IF
(
C12817=""юридична особа""
,
VLOO"&amp;"KUP(D12817,IMPORTRANGE(""https://docs.google.com/spreadsheets/d/14Bd19lYaqBhU8_DElYkX7l4wRkHqqCUFNJY4AfY3kHU/edit?usp=sharing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6" s="7" t="s">
        <v>10</v>
      </c>
      <c r="H12816" s="7">
        <v>18308</v>
      </c>
      <c r="I12816" s="8" t="str">
        <f ca="1">IFERROR(__xludf.DUMMYFUNCTION("IF
(
G12817=""фізична особа""
,
VLOOKUP(H12817,IMPORTRANGE(""https://docs.google.com/spreadsheets/d/14Bd19lYaqBhU8_DElYkX7l4wRkHqqCUFNJY4AfY3kHU/edit?usp=sharing  #gid=0"",""фіз особи new!relations_name""),6,FALSE)
,
(IF
(
G12817=""юридична особа""
,
VLOO"&amp;"KUP(H12817,IMPORTRANGE(""https://docs.google.com/spreadsheets/d/14Bd19lYaqBhU8_DElYkX7l4wRkHqqCUFNJY4AfY3kHU/edit?usp=sharing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16" s="7" t="s">
        <v>23</v>
      </c>
    </row>
    <row r="12817" spans="1:10" ht="13.2">
      <c r="A12817" s="7">
        <v>12816</v>
      </c>
      <c r="B12817" s="7">
        <v>1</v>
      </c>
      <c r="C12817" s="7" t="s">
        <v>10</v>
      </c>
      <c r="D12817" s="7">
        <v>18306</v>
      </c>
      <c r="E12817" s="7" t="s">
        <v>23</v>
      </c>
      <c r="F12817" s="8" t="str">
        <f ca="1">IFERROR(__xludf.DUMMYFUNCTION("IF
(
C12818=""фізична особа""
,
VLOOKUP(D12818,IMPORTRANGE(""https://docs.google.com/spreadsheets/d/14Bd19lYaqBhU8_DElYkX7l4wRkHqqCUFNJY4AfY3kHU/edit?usp=sharing  #gid=0"",""фіз особи new!relations_name""),6,FALSE)
,
(IF
(
C12818=""юридична особа""
,
VLOO"&amp;"KUP(D12818,IMPORTRANGE(""https://docs.google.com/spreadsheets/d/14Bd19lYaqBhU8_DElYkX7l4wRkHqqCUFNJY4AfY3kHU/edit?usp=sharing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7" s="7" t="s">
        <v>10</v>
      </c>
      <c r="H12817" s="7">
        <v>18309</v>
      </c>
      <c r="I12817" s="8" t="str">
        <f ca="1">IFERROR(__xludf.DUMMYFUNCTION("IF
(
G12818=""фізична особа""
,
VLOOKUP(H12818,IMPORTRANGE(""https://docs.google.com/spreadsheets/d/14Bd19lYaqBhU8_DElYkX7l4wRkHqqCUFNJY4AfY3kHU/edit?usp=sharing  #gid=0"",""фіз особи new!relations_name""),6,FALSE)
,
(IF
(
G12818=""юридична особа""
,
VLOO"&amp;"KUP(H12818,IMPORTRANGE(""https://docs.google.com/spreadsheets/d/14Bd19lYaqBhU8_DElYkX7l4wRkHqqCUFNJY4AfY3kHU/edit?usp=sharing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17" s="7" t="s">
        <v>23</v>
      </c>
    </row>
    <row r="12818" spans="1:10" ht="13.2">
      <c r="A12818" s="7">
        <v>12817</v>
      </c>
      <c r="B12818" s="7">
        <v>1</v>
      </c>
      <c r="C12818" s="7" t="s">
        <v>10</v>
      </c>
      <c r="D12818" s="7">
        <v>18306</v>
      </c>
      <c r="E12818" s="7" t="s">
        <v>23</v>
      </c>
      <c r="F12818" s="8" t="str">
        <f ca="1">IFERROR(__xludf.DUMMYFUNCTION("IF
(
C12819=""фізична особа""
,
VLOOKUP(D12819,IMPORTRANGE(""https://docs.google.com/spreadsheets/d/14Bd19lYaqBhU8_DElYkX7l4wRkHqqCUFNJY4AfY3kHU/edit?usp=sharing  #gid=0"",""фіз особи new!relations_name""),6,FALSE)
,
(IF
(
C12819=""юридична особа""
,
VLOO"&amp;"KUP(D12819,IMPORTRANGE(""https://docs.google.com/spreadsheets/d/14Bd19lYaqBhU8_DElYkX7l4wRkHqqCUFNJY4AfY3kHU/edit?usp=sharing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G12818" s="7" t="s">
        <v>10</v>
      </c>
      <c r="H12818" s="7">
        <v>18310</v>
      </c>
      <c r="I12818" s="8" t="str">
        <f ca="1">IFERROR(__xludf.DUMMYFUNCTION("IF
(
G12819=""фізична особа""
,
VLOOKUP(H12819,IMPORTRANGE(""https://docs.google.com/spreadsheets/d/14Bd19lYaqBhU8_DElYkX7l4wRkHqqCUFNJY4AfY3kHU/edit?usp=sharing  #gid=0"",""фіз особи new!relations_name""),6,FALSE)
,
(IF
(
G12819=""юридична особа""
,
VLOO"&amp;"KUP(H12819,IMPORTRANGE(""https://docs.google.com/spreadsheets/d/14Bd19lYaqBhU8_DElYkX7l4wRkHqqCUFNJY4AfY3kHU/edit?usp=sharing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18" s="7" t="s">
        <v>23</v>
      </c>
    </row>
    <row r="12819" spans="1:10" ht="13.2">
      <c r="A12819" s="7">
        <v>12818</v>
      </c>
      <c r="B12819" s="7">
        <v>1</v>
      </c>
      <c r="C12819" s="7" t="s">
        <v>10</v>
      </c>
      <c r="D12819" s="7">
        <v>18307</v>
      </c>
      <c r="E12819" s="7" t="s">
        <v>23</v>
      </c>
      <c r="F12819" s="8" t="str">
        <f ca="1">IFERROR(__xludf.DUMMYFUNCTION("IF
(
C12820=""фізична особа""
,
VLOOKUP(D12820,IMPORTRANGE(""https://docs.google.com/spreadsheets/d/14Bd19lYaqBhU8_DElYkX7l4wRkHqqCUFNJY4AfY3kHU/edit?usp=sharing  #gid=0"",""фіз особи new!relations_name""),6,FALSE)
,
(IF
(
C12820=""юридична особа""
,
VLOO"&amp;"KUP(D12820,IMPORTRANGE(""https://docs.google.com/spreadsheets/d/14Bd19lYaqBhU8_DElYkX7l4wRkHqqCUFNJY4AfY3kHU/edit?usp=sharing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19" s="7" t="s">
        <v>10</v>
      </c>
      <c r="H12819" s="7">
        <v>18302</v>
      </c>
      <c r="I12819" s="8" t="str">
        <f ca="1">IFERROR(__xludf.DUMMYFUNCTION("IF
(
G12820=""фізична особа""
,
VLOOKUP(H12820,IMPORTRANGE(""https://docs.google.com/spreadsheets/d/14Bd19lYaqBhU8_DElYkX7l4wRkHqqCUFNJY4AfY3kHU/edit?usp=sharing  #gid=0"",""фіз особи new!relations_name""),6,FALSE)
,
(IF
(
G12820=""юридична особа""
,
VLOO"&amp;"KUP(H12820,IMPORTRANGE(""https://docs.google.com/spreadsheets/d/14Bd19lYaqBhU8_DElYkX7l4wRkHqqCUFNJY4AfY3kHU/edit?usp=sharing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19" s="7" t="s">
        <v>23</v>
      </c>
    </row>
    <row r="12820" spans="1:10" ht="13.2">
      <c r="A12820" s="7">
        <v>12819</v>
      </c>
      <c r="B12820" s="7">
        <v>1</v>
      </c>
      <c r="C12820" s="7" t="s">
        <v>10</v>
      </c>
      <c r="D12820" s="7">
        <v>18307</v>
      </c>
      <c r="E12820" s="7" t="s">
        <v>23</v>
      </c>
      <c r="F12820" s="8" t="str">
        <f ca="1">IFERROR(__xludf.DUMMYFUNCTION("IF
(
C12821=""фізична особа""
,
VLOOKUP(D12821,IMPORTRANGE(""https://docs.google.com/spreadsheets/d/14Bd19lYaqBhU8_DElYkX7l4wRkHqqCUFNJY4AfY3kHU/edit?usp=sharing  #gid=0"",""фіз особи new!relations_name""),6,FALSE)
,
(IF
(
C12821=""юридична особа""
,
VLOO"&amp;"KUP(D12821,IMPORTRANGE(""https://docs.google.com/spreadsheets/d/14Bd19lYaqBhU8_DElYkX7l4wRkHqqCUFNJY4AfY3kHU/edit?usp=sharing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0" s="7" t="s">
        <v>10</v>
      </c>
      <c r="H12820" s="7">
        <v>18303</v>
      </c>
      <c r="I12820" s="8" t="str">
        <f ca="1">IFERROR(__xludf.DUMMYFUNCTION("IF
(
G12821=""фізична особа""
,
VLOOKUP(H12821,IMPORTRANGE(""https://docs.google.com/spreadsheets/d/14Bd19lYaqBhU8_DElYkX7l4wRkHqqCUFNJY4AfY3kHU/edit?usp=sharing  #gid=0"",""фіз особи new!relations_name""),6,FALSE)
,
(IF
(
G12821=""юридична особа""
,
VLOO"&amp;"KUP(H12821,IMPORTRANGE(""https://docs.google.com/spreadsheets/d/14Bd19lYaqBhU8_DElYkX7l4wRkHqqCUFNJY4AfY3kHU/edit?usp=sharing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20" s="7" t="s">
        <v>23</v>
      </c>
    </row>
    <row r="12821" spans="1:10" ht="13.2">
      <c r="A12821" s="7">
        <v>12820</v>
      </c>
      <c r="B12821" s="7">
        <v>1</v>
      </c>
      <c r="C12821" s="7" t="s">
        <v>10</v>
      </c>
      <c r="D12821" s="7">
        <v>18307</v>
      </c>
      <c r="E12821" s="7" t="s">
        <v>23</v>
      </c>
      <c r="F12821" s="8" t="str">
        <f ca="1">IFERROR(__xludf.DUMMYFUNCTION("IF
(
C12822=""фізична особа""
,
VLOOKUP(D12822,IMPORTRANGE(""https://docs.google.com/spreadsheets/d/14Bd19lYaqBhU8_DElYkX7l4wRkHqqCUFNJY4AfY3kHU/edit?usp=sharing  #gid=0"",""фіз особи new!relations_name""),6,FALSE)
,
(IF
(
C12822=""юридична особа""
,
VLOO"&amp;"KUP(D12822,IMPORTRANGE(""https://docs.google.com/spreadsheets/d/14Bd19lYaqBhU8_DElYkX7l4wRkHqqCUFNJY4AfY3kHU/edit?usp=sharing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1" s="7" t="s">
        <v>10</v>
      </c>
      <c r="H12821" s="7">
        <v>18304</v>
      </c>
      <c r="I12821" s="8" t="str">
        <f ca="1">IFERROR(__xludf.DUMMYFUNCTION("IF
(
G12822=""фізична особа""
,
VLOOKUP(H12822,IMPORTRANGE(""https://docs.google.com/spreadsheets/d/14Bd19lYaqBhU8_DElYkX7l4wRkHqqCUFNJY4AfY3kHU/edit?usp=sharing  #gid=0"",""фіз особи new!relations_name""),6,FALSE)
,
(IF
(
G12822=""юридична особа""
,
VLOO"&amp;"KUP(H12822,IMPORTRANGE(""https://docs.google.com/spreadsheets/d/14Bd19lYaqBhU8_DElYkX7l4wRkHqqCUFNJY4AfY3kHU/edit?usp=sharing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21" s="7" t="s">
        <v>23</v>
      </c>
    </row>
    <row r="12822" spans="1:10" ht="13.2">
      <c r="A12822" s="7">
        <v>12821</v>
      </c>
      <c r="B12822" s="7">
        <v>1</v>
      </c>
      <c r="C12822" s="7" t="s">
        <v>10</v>
      </c>
      <c r="D12822" s="7">
        <v>18307</v>
      </c>
      <c r="E12822" s="7" t="s">
        <v>23</v>
      </c>
      <c r="F12822" s="8" t="str">
        <f ca="1">IFERROR(__xludf.DUMMYFUNCTION("IF
(
C12823=""фізична особа""
,
VLOOKUP(D12823,IMPORTRANGE(""https://docs.google.com/spreadsheets/d/14Bd19lYaqBhU8_DElYkX7l4wRkHqqCUFNJY4AfY3kHU/edit?usp=sharing  #gid=0"",""фіз особи new!relations_name""),6,FALSE)
,
(IF
(
C12823=""юридична особа""
,
VLOO"&amp;"KUP(D12823,IMPORTRANGE(""https://docs.google.com/spreadsheets/d/14Bd19lYaqBhU8_DElYkX7l4wRkHqqCUFNJY4AfY3kHU/edit?usp=sharing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2" s="7" t="s">
        <v>10</v>
      </c>
      <c r="H12822" s="7">
        <v>18305</v>
      </c>
      <c r="I12822" s="8" t="str">
        <f ca="1">IFERROR(__xludf.DUMMYFUNCTION("IF
(
G12823=""фізична особа""
,
VLOOKUP(H12823,IMPORTRANGE(""https://docs.google.com/spreadsheets/d/14Bd19lYaqBhU8_DElYkX7l4wRkHqqCUFNJY4AfY3kHU/edit?usp=sharing  #gid=0"",""фіз особи new!relations_name""),6,FALSE)
,
(IF
(
G12823=""юридична особа""
,
VLOO"&amp;"KUP(H12823,IMPORTRANGE(""https://docs.google.com/spreadsheets/d/14Bd19lYaqBhU8_DElYkX7l4wRkHqqCUFNJY4AfY3kHU/edit?usp=sharing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822" s="7" t="s">
        <v>23</v>
      </c>
    </row>
    <row r="12823" spans="1:10" ht="13.2">
      <c r="A12823" s="7">
        <v>12822</v>
      </c>
      <c r="B12823" s="7">
        <v>1</v>
      </c>
      <c r="C12823" s="7" t="s">
        <v>10</v>
      </c>
      <c r="D12823" s="7">
        <v>18307</v>
      </c>
      <c r="E12823" s="7" t="s">
        <v>23</v>
      </c>
      <c r="F12823" s="8" t="str">
        <f ca="1">IFERROR(__xludf.DUMMYFUNCTION("IF
(
C12824=""фізична особа""
,
VLOOKUP(D12824,IMPORTRANGE(""https://docs.google.com/spreadsheets/d/14Bd19lYaqBhU8_DElYkX7l4wRkHqqCUFNJY4AfY3kHU/edit?usp=sharing  #gid=0"",""фіз особи new!relations_name""),6,FALSE)
,
(IF
(
C12824=""юридична особа""
,
VLOO"&amp;"KUP(D12824,IMPORTRANGE(""https://docs.google.com/spreadsheets/d/14Bd19lYaqBhU8_DElYkX7l4wRkHqqCUFNJY4AfY3kHU/edit?usp=sharing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3" s="7" t="s">
        <v>10</v>
      </c>
      <c r="H12823" s="7">
        <v>18306</v>
      </c>
      <c r="I12823" s="8" t="str">
        <f ca="1">IFERROR(__xludf.DUMMYFUNCTION("IF
(
G12824=""фізична особа""
,
VLOOKUP(H12824,IMPORTRANGE(""https://docs.google.com/spreadsheets/d/14Bd19lYaqBhU8_DElYkX7l4wRkHqqCUFNJY4AfY3kHU/edit?usp=sharing  #gid=0"",""фіз особи new!relations_name""),6,FALSE)
,
(IF
(
G12824=""юридична особа""
,
VLOO"&amp;"KUP(H12824,IMPORTRANGE(""https://docs.google.com/spreadsheets/d/14Bd19lYaqBhU8_DElYkX7l4wRkHqqCUFNJY4AfY3kHU/edit?usp=sharing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823" s="7" t="s">
        <v>23</v>
      </c>
    </row>
    <row r="12824" spans="1:10" ht="13.2">
      <c r="A12824" s="7">
        <v>12823</v>
      </c>
      <c r="B12824" s="7">
        <v>1</v>
      </c>
      <c r="C12824" s="7" t="s">
        <v>10</v>
      </c>
      <c r="D12824" s="7">
        <v>18307</v>
      </c>
      <c r="E12824" s="7" t="s">
        <v>23</v>
      </c>
      <c r="F12824" s="8" t="str">
        <f ca="1">IFERROR(__xludf.DUMMYFUNCTION("IF
(
C12825=""фізична особа""
,
VLOOKUP(D12825,IMPORTRANGE(""https://docs.google.com/spreadsheets/d/14Bd19lYaqBhU8_DElYkX7l4wRkHqqCUFNJY4AfY3kHU/edit?usp=sharing  #gid=0"",""фіз особи new!relations_name""),6,FALSE)
,
(IF
(
C12825=""юридична особа""
,
VLOO"&amp;"KUP(D12825,IMPORTRANGE(""https://docs.google.com/spreadsheets/d/14Bd19lYaqBhU8_DElYkX7l4wRkHqqCUFNJY4AfY3kHU/edit?usp=sharing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4" s="7" t="s">
        <v>10</v>
      </c>
      <c r="H12824" s="7">
        <v>18308</v>
      </c>
      <c r="I12824" s="8" t="str">
        <f ca="1">IFERROR(__xludf.DUMMYFUNCTION("IF
(
G12825=""фізична особа""
,
VLOOKUP(H12825,IMPORTRANGE(""https://docs.google.com/spreadsheets/d/14Bd19lYaqBhU8_DElYkX7l4wRkHqqCUFNJY4AfY3kHU/edit?usp=sharing  #gid=0"",""фіз особи new!relations_name""),6,FALSE)
,
(IF
(
G12825=""юридична особа""
,
VLOO"&amp;"KUP(H12825,IMPORTRANGE(""https://docs.google.com/spreadsheets/d/14Bd19lYaqBhU8_DElYkX7l4wRkHqqCUFNJY4AfY3kHU/edit?usp=sharing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24" s="7" t="s">
        <v>23</v>
      </c>
    </row>
    <row r="12825" spans="1:10" ht="13.2">
      <c r="A12825" s="7">
        <v>12824</v>
      </c>
      <c r="B12825" s="7">
        <v>1</v>
      </c>
      <c r="C12825" s="7" t="s">
        <v>10</v>
      </c>
      <c r="D12825" s="7">
        <v>18307</v>
      </c>
      <c r="E12825" s="7" t="s">
        <v>23</v>
      </c>
      <c r="F12825" s="8" t="str">
        <f ca="1">IFERROR(__xludf.DUMMYFUNCTION("IF
(
C12826=""фізична особа""
,
VLOOKUP(D12826,IMPORTRANGE(""https://docs.google.com/spreadsheets/d/14Bd19lYaqBhU8_DElYkX7l4wRkHqqCUFNJY4AfY3kHU/edit?usp=sharing  #gid=0"",""фіз особи new!relations_name""),6,FALSE)
,
(IF
(
C12826=""юридична особа""
,
VLOO"&amp;"KUP(D12826,IMPORTRANGE(""https://docs.google.com/spreadsheets/d/14Bd19lYaqBhU8_DElYkX7l4wRkHqqCUFNJY4AfY3kHU/edit?usp=sharing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5" s="7" t="s">
        <v>10</v>
      </c>
      <c r="H12825" s="7">
        <v>18309</v>
      </c>
      <c r="I12825" s="8" t="str">
        <f ca="1">IFERROR(__xludf.DUMMYFUNCTION("IF
(
G12826=""фізична особа""
,
VLOOKUP(H12826,IMPORTRANGE(""https://docs.google.com/spreadsheets/d/14Bd19lYaqBhU8_DElYkX7l4wRkHqqCUFNJY4AfY3kHU/edit?usp=sharing  #gid=0"",""фіз особи new!relations_name""),6,FALSE)
,
(IF
(
G12826=""юридична особа""
,
VLOO"&amp;"KUP(H12826,IMPORTRANGE(""https://docs.google.com/spreadsheets/d/14Bd19lYaqBhU8_DElYkX7l4wRkHqqCUFNJY4AfY3kHU/edit?usp=sharing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25" s="7" t="s">
        <v>23</v>
      </c>
    </row>
    <row r="12826" spans="1:10" ht="13.2">
      <c r="A12826" s="7">
        <v>12825</v>
      </c>
      <c r="B12826" s="7">
        <v>1</v>
      </c>
      <c r="C12826" s="7" t="s">
        <v>10</v>
      </c>
      <c r="D12826" s="7">
        <v>18307</v>
      </c>
      <c r="E12826" s="7" t="s">
        <v>23</v>
      </c>
      <c r="F12826" s="8" t="str">
        <f ca="1">IFERROR(__xludf.DUMMYFUNCTION("IF
(
C12827=""фізична особа""
,
VLOOKUP(D12827,IMPORTRANGE(""https://docs.google.com/spreadsheets/d/14Bd19lYaqBhU8_DElYkX7l4wRkHqqCUFNJY4AfY3kHU/edit?usp=sharing  #gid=0"",""фіз особи new!relations_name""),6,FALSE)
,
(IF
(
C12827=""юридична особа""
,
VLOO"&amp;"KUP(D12827,IMPORTRANGE(""https://docs.google.com/spreadsheets/d/14Bd19lYaqBhU8_DElYkX7l4wRkHqqCUFNJY4AfY3kHU/edit?usp=sharing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G12826" s="7" t="s">
        <v>10</v>
      </c>
      <c r="H12826" s="7">
        <v>18310</v>
      </c>
      <c r="I12826" s="8" t="str">
        <f ca="1">IFERROR(__xludf.DUMMYFUNCTION("IF
(
G12827=""фізична особа""
,
VLOOKUP(H12827,IMPORTRANGE(""https://docs.google.com/spreadsheets/d/14Bd19lYaqBhU8_DElYkX7l4wRkHqqCUFNJY4AfY3kHU/edit?usp=sharing  #gid=0"",""фіз особи new!relations_name""),6,FALSE)
,
(IF
(
G12827=""юридична особа""
,
VLOO"&amp;"KUP(H12827,IMPORTRANGE(""https://docs.google.com/spreadsheets/d/14Bd19lYaqBhU8_DElYkX7l4wRkHqqCUFNJY4AfY3kHU/edit?usp=sharing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26" s="7" t="s">
        <v>23</v>
      </c>
    </row>
    <row r="12827" spans="1:10" ht="13.2">
      <c r="A12827" s="7">
        <v>12826</v>
      </c>
      <c r="B12827" s="7">
        <v>1</v>
      </c>
      <c r="C12827" s="7" t="s">
        <v>10</v>
      </c>
      <c r="D12827" s="7">
        <v>18308</v>
      </c>
      <c r="E12827" s="7" t="s">
        <v>23</v>
      </c>
      <c r="F12827" s="8" t="str">
        <f ca="1">IFERROR(__xludf.DUMMYFUNCTION("IF
(
C12828=""фізична особа""
,
VLOOKUP(D12828,IMPORTRANGE(""https://docs.google.com/spreadsheets/d/14Bd19lYaqBhU8_DElYkX7l4wRkHqqCUFNJY4AfY3kHU/edit?usp=sharing  #gid=0"",""фіз особи new!relations_name""),6,FALSE)
,
(IF
(
C12828=""юридична особа""
,
VLOO"&amp;"KUP(D12828,IMPORTRANGE(""https://docs.google.com/spreadsheets/d/14Bd19lYaqBhU8_DElYkX7l4wRkHqqCUFNJY4AfY3kHU/edit?usp=sharing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27" s="7" t="s">
        <v>10</v>
      </c>
      <c r="H12827" s="7">
        <v>18302</v>
      </c>
      <c r="I12827" s="8" t="str">
        <f ca="1">IFERROR(__xludf.DUMMYFUNCTION("IF
(
G12828=""фізична особа""
,
VLOOKUP(H12828,IMPORTRANGE(""https://docs.google.com/spreadsheets/d/14Bd19lYaqBhU8_DElYkX7l4wRkHqqCUFNJY4AfY3kHU/edit?usp=sharing  #gid=0"",""фіз особи new!relations_name""),6,FALSE)
,
(IF
(
G12828=""юридична особа""
,
VLOO"&amp;"KUP(H12828,IMPORTRANGE(""https://docs.google.com/spreadsheets/d/14Bd19lYaqBhU8_DElYkX7l4wRkHqqCUFNJY4AfY3kHU/edit?usp=sharing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27" s="7" t="s">
        <v>23</v>
      </c>
    </row>
    <row r="12828" spans="1:10" ht="13.2">
      <c r="A12828" s="7">
        <v>12827</v>
      </c>
      <c r="B12828" s="7">
        <v>1</v>
      </c>
      <c r="C12828" s="7" t="s">
        <v>10</v>
      </c>
      <c r="D12828" s="7">
        <v>18308</v>
      </c>
      <c r="E12828" s="7" t="s">
        <v>23</v>
      </c>
      <c r="F12828" s="8" t="str">
        <f ca="1">IFERROR(__xludf.DUMMYFUNCTION("IF
(
C12829=""фізична особа""
,
VLOOKUP(D12829,IMPORTRANGE(""https://docs.google.com/spreadsheets/d/14Bd19lYaqBhU8_DElYkX7l4wRkHqqCUFNJY4AfY3kHU/edit?usp=sharing  #gid=0"",""фіз особи new!relations_name""),6,FALSE)
,
(IF
(
C12829=""юридична особа""
,
VLOO"&amp;"KUP(D12829,IMPORTRANGE(""https://docs.google.com/spreadsheets/d/14Bd19lYaqBhU8_DElYkX7l4wRkHqqCUFNJY4AfY3kHU/edit?usp=sharing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28" s="7" t="s">
        <v>10</v>
      </c>
      <c r="H12828" s="7">
        <v>18303</v>
      </c>
      <c r="I12828" s="8" t="str">
        <f ca="1">IFERROR(__xludf.DUMMYFUNCTION("IF
(
G12829=""фізична особа""
,
VLOOKUP(H12829,IMPORTRANGE(""https://docs.google.com/spreadsheets/d/14Bd19lYaqBhU8_DElYkX7l4wRkHqqCUFNJY4AfY3kHU/edit?usp=sharing  #gid=0"",""фіз особи new!relations_name""),6,FALSE)
,
(IF
(
G12829=""юридична особа""
,
VLOO"&amp;"KUP(H12829,IMPORTRANGE(""https://docs.google.com/spreadsheets/d/14Bd19lYaqBhU8_DElYkX7l4wRkHqqCUFNJY4AfY3kHU/edit?usp=sharing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28" s="7" t="s">
        <v>23</v>
      </c>
    </row>
    <row r="12829" spans="1:10" ht="13.2">
      <c r="A12829" s="7">
        <v>12828</v>
      </c>
      <c r="B12829" s="7">
        <v>1</v>
      </c>
      <c r="C12829" s="7" t="s">
        <v>10</v>
      </c>
      <c r="D12829" s="7">
        <v>18308</v>
      </c>
      <c r="E12829" s="7" t="s">
        <v>23</v>
      </c>
      <c r="F12829" s="8" t="str">
        <f ca="1">IFERROR(__xludf.DUMMYFUNCTION("IF
(
C12830=""фізична особа""
,
VLOOKUP(D12830,IMPORTRANGE(""https://docs.google.com/spreadsheets/d/14Bd19lYaqBhU8_DElYkX7l4wRkHqqCUFNJY4AfY3kHU/edit?usp=sharing  #gid=0"",""фіз особи new!relations_name""),6,FALSE)
,
(IF
(
C12830=""юридична особа""
,
VLOO"&amp;"KUP(D12830,IMPORTRANGE(""https://docs.google.com/spreadsheets/d/14Bd19lYaqBhU8_DElYkX7l4wRkHqqCUFNJY4AfY3kHU/edit?usp=sharing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29" s="7" t="s">
        <v>10</v>
      </c>
      <c r="H12829" s="7">
        <v>18304</v>
      </c>
      <c r="I12829" s="8" t="str">
        <f ca="1">IFERROR(__xludf.DUMMYFUNCTION("IF
(
G12830=""фізична особа""
,
VLOOKUP(H12830,IMPORTRANGE(""https://docs.google.com/spreadsheets/d/14Bd19lYaqBhU8_DElYkX7l4wRkHqqCUFNJY4AfY3kHU/edit?usp=sharing  #gid=0"",""фіз особи new!relations_name""),6,FALSE)
,
(IF
(
G12830=""юридична особа""
,
VLOO"&amp;"KUP(H12830,IMPORTRANGE(""https://docs.google.com/spreadsheets/d/14Bd19lYaqBhU8_DElYkX7l4wRkHqqCUFNJY4AfY3kHU/edit?usp=sharing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29" s="7" t="s">
        <v>23</v>
      </c>
    </row>
    <row r="12830" spans="1:10" ht="13.2">
      <c r="A12830" s="7">
        <v>12829</v>
      </c>
      <c r="B12830" s="7">
        <v>1</v>
      </c>
      <c r="C12830" s="7" t="s">
        <v>10</v>
      </c>
      <c r="D12830" s="7">
        <v>18308</v>
      </c>
      <c r="E12830" s="7" t="s">
        <v>23</v>
      </c>
      <c r="F12830" s="8" t="str">
        <f ca="1">IFERROR(__xludf.DUMMYFUNCTION("IF
(
C12831=""фізична особа""
,
VLOOKUP(D12831,IMPORTRANGE(""https://docs.google.com/spreadsheets/d/14Bd19lYaqBhU8_DElYkX7l4wRkHqqCUFNJY4AfY3kHU/edit?usp=sharing  #gid=0"",""фіз особи new!relations_name""),6,FALSE)
,
(IF
(
C12831=""юридична особа""
,
VLOO"&amp;"KUP(D12831,IMPORTRANGE(""https://docs.google.com/spreadsheets/d/14Bd19lYaqBhU8_DElYkX7l4wRkHqqCUFNJY4AfY3kHU/edit?usp=sharing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30" s="7" t="s">
        <v>10</v>
      </c>
      <c r="H12830" s="7">
        <v>18305</v>
      </c>
      <c r="I12830" s="8" t="str">
        <f ca="1">IFERROR(__xludf.DUMMYFUNCTION("IF
(
G12831=""фізична особа""
,
VLOOKUP(H12831,IMPORTRANGE(""https://docs.google.com/spreadsheets/d/14Bd19lYaqBhU8_DElYkX7l4wRkHqqCUFNJY4AfY3kHU/edit?usp=sharing  #gid=0"",""фіз особи new!relations_name""),6,FALSE)
,
(IF
(
G12831=""юридична особа""
,
VLOO"&amp;"KUP(H12831,IMPORTRANGE(""https://docs.google.com/spreadsheets/d/14Bd19lYaqBhU8_DElYkX7l4wRkHqqCUFNJY4AfY3kHU/edit?usp=sharing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830" s="7" t="s">
        <v>23</v>
      </c>
    </row>
    <row r="12831" spans="1:10" ht="13.2">
      <c r="A12831" s="7">
        <v>12830</v>
      </c>
      <c r="B12831" s="7">
        <v>1</v>
      </c>
      <c r="C12831" s="7" t="s">
        <v>10</v>
      </c>
      <c r="D12831" s="7">
        <v>18308</v>
      </c>
      <c r="E12831" s="7" t="s">
        <v>23</v>
      </c>
      <c r="F12831" s="8" t="str">
        <f ca="1">IFERROR(__xludf.DUMMYFUNCTION("IF
(
C12832=""фізична особа""
,
VLOOKUP(D12832,IMPORTRANGE(""https://docs.google.com/spreadsheets/d/14Bd19lYaqBhU8_DElYkX7l4wRkHqqCUFNJY4AfY3kHU/edit?usp=sharing  #gid=0"",""фіз особи new!relations_name""),6,FALSE)
,
(IF
(
C12832=""юридична особа""
,
VLOO"&amp;"KUP(D12832,IMPORTRANGE(""https://docs.google.com/spreadsheets/d/14Bd19lYaqBhU8_DElYkX7l4wRkHqqCUFNJY4AfY3kHU/edit?usp=sharing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31" s="7" t="s">
        <v>10</v>
      </c>
      <c r="H12831" s="7">
        <v>18306</v>
      </c>
      <c r="I12831" s="8" t="str">
        <f ca="1">IFERROR(__xludf.DUMMYFUNCTION("IF
(
G12832=""фізична особа""
,
VLOOKUP(H12832,IMPORTRANGE(""https://docs.google.com/spreadsheets/d/14Bd19lYaqBhU8_DElYkX7l4wRkHqqCUFNJY4AfY3kHU/edit?usp=sharing  #gid=0"",""фіз особи new!relations_name""),6,FALSE)
,
(IF
(
G12832=""юридична особа""
,
VLOO"&amp;"KUP(H12832,IMPORTRANGE(""https://docs.google.com/spreadsheets/d/14Bd19lYaqBhU8_DElYkX7l4wRkHqqCUFNJY4AfY3kHU/edit?usp=sharing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831" s="7" t="s">
        <v>23</v>
      </c>
    </row>
    <row r="12832" spans="1:10" ht="13.2">
      <c r="A12832" s="7">
        <v>12831</v>
      </c>
      <c r="B12832" s="7">
        <v>1</v>
      </c>
      <c r="C12832" s="7" t="s">
        <v>10</v>
      </c>
      <c r="D12832" s="7">
        <v>18308</v>
      </c>
      <c r="E12832" s="7" t="s">
        <v>23</v>
      </c>
      <c r="F12832" s="8" t="str">
        <f ca="1">IFERROR(__xludf.DUMMYFUNCTION("IF
(
C12833=""фізична особа""
,
VLOOKUP(D12833,IMPORTRANGE(""https://docs.google.com/spreadsheets/d/14Bd19lYaqBhU8_DElYkX7l4wRkHqqCUFNJY4AfY3kHU/edit?usp=sharing  #gid=0"",""фіз особи new!relations_name""),6,FALSE)
,
(IF
(
C12833=""юридична особа""
,
VLOO"&amp;"KUP(D12833,IMPORTRANGE(""https://docs.google.com/spreadsheets/d/14Bd19lYaqBhU8_DElYkX7l4wRkHqqCUFNJY4AfY3kHU/edit?usp=sharing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32" s="7" t="s">
        <v>10</v>
      </c>
      <c r="H12832" s="7">
        <v>18307</v>
      </c>
      <c r="I12832" s="8" t="str">
        <f ca="1">IFERROR(__xludf.DUMMYFUNCTION("IF
(
G12833=""фізична особа""
,
VLOOKUP(H12833,IMPORTRANGE(""https://docs.google.com/spreadsheets/d/14Bd19lYaqBhU8_DElYkX7l4wRkHqqCUFNJY4AfY3kHU/edit?usp=sharing  #gid=0"",""фіз особи new!relations_name""),6,FALSE)
,
(IF
(
G12833=""юридична особа""
,
VLOO"&amp;"KUP(H12833,IMPORTRANGE(""https://docs.google.com/spreadsheets/d/14Bd19lYaqBhU8_DElYkX7l4wRkHqqCUFNJY4AfY3kHU/edit?usp=sharing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832" s="7" t="s">
        <v>23</v>
      </c>
    </row>
    <row r="12833" spans="1:10" ht="13.2">
      <c r="A12833" s="7">
        <v>12832</v>
      </c>
      <c r="B12833" s="7">
        <v>1</v>
      </c>
      <c r="C12833" s="7" t="s">
        <v>10</v>
      </c>
      <c r="D12833" s="7">
        <v>18308</v>
      </c>
      <c r="E12833" s="7" t="s">
        <v>23</v>
      </c>
      <c r="F12833" s="8" t="str">
        <f ca="1">IFERROR(__xludf.DUMMYFUNCTION("IF
(
C12834=""фізична особа""
,
VLOOKUP(D12834,IMPORTRANGE(""https://docs.google.com/spreadsheets/d/14Bd19lYaqBhU8_DElYkX7l4wRkHqqCUFNJY4AfY3kHU/edit?usp=sharing  #gid=0"",""фіз особи new!relations_name""),6,FALSE)
,
(IF
(
C12834=""юридична особа""
,
VLOO"&amp;"KUP(D12834,IMPORTRANGE(""https://docs.google.com/spreadsheets/d/14Bd19lYaqBhU8_DElYkX7l4wRkHqqCUFNJY4AfY3kHU/edit?usp=sharing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33" s="7" t="s">
        <v>10</v>
      </c>
      <c r="H12833" s="7">
        <v>18309</v>
      </c>
      <c r="I12833" s="8" t="str">
        <f ca="1">IFERROR(__xludf.DUMMYFUNCTION("IF
(
G12834=""фізична особа""
,
VLOOKUP(H12834,IMPORTRANGE(""https://docs.google.com/spreadsheets/d/14Bd19lYaqBhU8_DElYkX7l4wRkHqqCUFNJY4AfY3kHU/edit?usp=sharing  #gid=0"",""фіз особи new!relations_name""),6,FALSE)
,
(IF
(
G12834=""юридична особа""
,
VLOO"&amp;"KUP(H12834,IMPORTRANGE(""https://docs.google.com/spreadsheets/d/14Bd19lYaqBhU8_DElYkX7l4wRkHqqCUFNJY4AfY3kHU/edit?usp=sharing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33" s="7" t="s">
        <v>23</v>
      </c>
    </row>
    <row r="12834" spans="1:10" ht="13.2">
      <c r="A12834" s="7">
        <v>12833</v>
      </c>
      <c r="B12834" s="7">
        <v>1</v>
      </c>
      <c r="C12834" s="7" t="s">
        <v>10</v>
      </c>
      <c r="D12834" s="7">
        <v>18308</v>
      </c>
      <c r="E12834" s="7" t="s">
        <v>23</v>
      </c>
      <c r="F12834" s="8" t="str">
        <f ca="1">IFERROR(__xludf.DUMMYFUNCTION("IF
(
C12835=""фізична особа""
,
VLOOKUP(D12835,IMPORTRANGE(""https://docs.google.com/spreadsheets/d/14Bd19lYaqBhU8_DElYkX7l4wRkHqqCUFNJY4AfY3kHU/edit?usp=sharing  #gid=0"",""фіз особи new!relations_name""),6,FALSE)
,
(IF
(
C12835=""юридична особа""
,
VLOO"&amp;"KUP(D12835,IMPORTRANGE(""https://docs.google.com/spreadsheets/d/14Bd19lYaqBhU8_DElYkX7l4wRkHqqCUFNJY4AfY3kHU/edit?usp=sharing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G12834" s="7" t="s">
        <v>10</v>
      </c>
      <c r="H12834" s="7">
        <v>18310</v>
      </c>
      <c r="I12834" s="8" t="str">
        <f ca="1">IFERROR(__xludf.DUMMYFUNCTION("IF
(
G12835=""фізична особа""
,
VLOOKUP(H12835,IMPORTRANGE(""https://docs.google.com/spreadsheets/d/14Bd19lYaqBhU8_DElYkX7l4wRkHqqCUFNJY4AfY3kHU/edit?usp=sharing  #gid=0"",""фіз особи new!relations_name""),6,FALSE)
,
(IF
(
G12835=""юридична особа""
,
VLOO"&amp;"KUP(H12835,IMPORTRANGE(""https://docs.google.com/spreadsheets/d/14Bd19lYaqBhU8_DElYkX7l4wRkHqqCUFNJY4AfY3kHU/edit?usp=sharing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34" s="7" t="s">
        <v>23</v>
      </c>
    </row>
    <row r="12835" spans="1:10" ht="13.2">
      <c r="A12835" s="7">
        <v>12834</v>
      </c>
      <c r="B12835" s="7">
        <v>1</v>
      </c>
      <c r="C12835" s="7" t="s">
        <v>10</v>
      </c>
      <c r="D12835" s="7">
        <v>18309</v>
      </c>
      <c r="E12835" s="7" t="s">
        <v>23</v>
      </c>
      <c r="F12835" s="8" t="str">
        <f ca="1">IFERROR(__xludf.DUMMYFUNCTION("IF
(
C12836=""фізична особа""
,
VLOOKUP(D12836,IMPORTRANGE(""https://docs.google.com/spreadsheets/d/14Bd19lYaqBhU8_DElYkX7l4wRkHqqCUFNJY4AfY3kHU/edit?usp=sharing  #gid=0"",""фіз особи new!relations_name""),6,FALSE)
,
(IF
(
C12836=""юридична особа""
,
VLOO"&amp;"KUP(D12836,IMPORTRANGE(""https://docs.google.com/spreadsheets/d/14Bd19lYaqBhU8_DElYkX7l4wRkHqqCUFNJY4AfY3kHU/edit?usp=sharing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35" s="7" t="s">
        <v>10</v>
      </c>
      <c r="H12835" s="7">
        <v>18302</v>
      </c>
      <c r="I12835" s="8" t="str">
        <f ca="1">IFERROR(__xludf.DUMMYFUNCTION("IF
(
G12836=""фізична особа""
,
VLOOKUP(H12836,IMPORTRANGE(""https://docs.google.com/spreadsheets/d/14Bd19lYaqBhU8_DElYkX7l4wRkHqqCUFNJY4AfY3kHU/edit?usp=sharing  #gid=0"",""фіз особи new!relations_name""),6,FALSE)
,
(IF
(
G12836=""юридична особа""
,
VLOO"&amp;"KUP(H12836,IMPORTRANGE(""https://docs.google.com/spreadsheets/d/14Bd19lYaqBhU8_DElYkX7l4wRkHqqCUFNJY4AfY3kHU/edit?usp=sharing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35" s="7" t="s">
        <v>23</v>
      </c>
    </row>
    <row r="12836" spans="1:10" ht="13.2">
      <c r="A12836" s="7">
        <v>12835</v>
      </c>
      <c r="B12836" s="7">
        <v>1</v>
      </c>
      <c r="C12836" s="7" t="s">
        <v>10</v>
      </c>
      <c r="D12836" s="7">
        <v>18309</v>
      </c>
      <c r="E12836" s="7" t="s">
        <v>23</v>
      </c>
      <c r="F12836" s="8" t="str">
        <f ca="1">IFERROR(__xludf.DUMMYFUNCTION("IF
(
C12837=""фізична особа""
,
VLOOKUP(D12837,IMPORTRANGE(""https://docs.google.com/spreadsheets/d/14Bd19lYaqBhU8_DElYkX7l4wRkHqqCUFNJY4AfY3kHU/edit?usp=sharing  #gid=0"",""фіз особи new!relations_name""),6,FALSE)
,
(IF
(
C12837=""юридична особа""
,
VLOO"&amp;"KUP(D12837,IMPORTRANGE(""https://docs.google.com/spreadsheets/d/14Bd19lYaqBhU8_DElYkX7l4wRkHqqCUFNJY4AfY3kHU/edit?usp=sharing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36" s="7" t="s">
        <v>10</v>
      </c>
      <c r="H12836" s="7">
        <v>18303</v>
      </c>
      <c r="I12836" s="8" t="str">
        <f ca="1">IFERROR(__xludf.DUMMYFUNCTION("IF
(
G12837=""фізична особа""
,
VLOOKUP(H12837,IMPORTRANGE(""https://docs.google.com/spreadsheets/d/14Bd19lYaqBhU8_DElYkX7l4wRkHqqCUFNJY4AfY3kHU/edit?usp=sharing  #gid=0"",""фіз особи new!relations_name""),6,FALSE)
,
(IF
(
G12837=""юридична особа""
,
VLOO"&amp;"KUP(H12837,IMPORTRANGE(""https://docs.google.com/spreadsheets/d/14Bd19lYaqBhU8_DElYkX7l4wRkHqqCUFNJY4AfY3kHU/edit?usp=sharing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36" s="7" t="s">
        <v>23</v>
      </c>
    </row>
    <row r="12837" spans="1:10" ht="13.2">
      <c r="A12837" s="7">
        <v>12836</v>
      </c>
      <c r="B12837" s="7">
        <v>1</v>
      </c>
      <c r="C12837" s="7" t="s">
        <v>10</v>
      </c>
      <c r="D12837" s="7">
        <v>18309</v>
      </c>
      <c r="E12837" s="7" t="s">
        <v>23</v>
      </c>
      <c r="F12837" s="8" t="str">
        <f ca="1">IFERROR(__xludf.DUMMYFUNCTION("IF
(
C12838=""фізична особа""
,
VLOOKUP(D12838,IMPORTRANGE(""https://docs.google.com/spreadsheets/d/14Bd19lYaqBhU8_DElYkX7l4wRkHqqCUFNJY4AfY3kHU/edit?usp=sharing  #gid=0"",""фіз особи new!relations_name""),6,FALSE)
,
(IF
(
C12838=""юридична особа""
,
VLOO"&amp;"KUP(D12838,IMPORTRANGE(""https://docs.google.com/spreadsheets/d/14Bd19lYaqBhU8_DElYkX7l4wRkHqqCUFNJY4AfY3kHU/edit?usp=sharing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37" s="7" t="s">
        <v>10</v>
      </c>
      <c r="H12837" s="7">
        <v>18304</v>
      </c>
      <c r="I12837" s="8" t="str">
        <f ca="1">IFERROR(__xludf.DUMMYFUNCTION("IF
(
G12838=""фізична особа""
,
VLOOKUP(H12838,IMPORTRANGE(""https://docs.google.com/spreadsheets/d/14Bd19lYaqBhU8_DElYkX7l4wRkHqqCUFNJY4AfY3kHU/edit?usp=sharing  #gid=0"",""фіз особи new!relations_name""),6,FALSE)
,
(IF
(
G12838=""юридична особа""
,
VLOO"&amp;"KUP(H12838,IMPORTRANGE(""https://docs.google.com/spreadsheets/d/14Bd19lYaqBhU8_DElYkX7l4wRkHqqCUFNJY4AfY3kHU/edit?usp=sharing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37" s="7" t="s">
        <v>23</v>
      </c>
    </row>
    <row r="12838" spans="1:10" ht="13.2">
      <c r="A12838" s="7">
        <v>12837</v>
      </c>
      <c r="B12838" s="7">
        <v>1</v>
      </c>
      <c r="C12838" s="7" t="s">
        <v>10</v>
      </c>
      <c r="D12838" s="7">
        <v>18309</v>
      </c>
      <c r="E12838" s="7" t="s">
        <v>23</v>
      </c>
      <c r="F12838" s="8" t="str">
        <f ca="1">IFERROR(__xludf.DUMMYFUNCTION("IF
(
C12839=""фізична особа""
,
VLOOKUP(D12839,IMPORTRANGE(""https://docs.google.com/spreadsheets/d/14Bd19lYaqBhU8_DElYkX7l4wRkHqqCUFNJY4AfY3kHU/edit?usp=sharing  #gid=0"",""фіз особи new!relations_name""),6,FALSE)
,
(IF
(
C12839=""юридична особа""
,
VLOO"&amp;"KUP(D12839,IMPORTRANGE(""https://docs.google.com/spreadsheets/d/14Bd19lYaqBhU8_DElYkX7l4wRkHqqCUFNJY4AfY3kHU/edit?usp=sharing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38" s="7" t="s">
        <v>10</v>
      </c>
      <c r="H12838" s="7">
        <v>18305</v>
      </c>
      <c r="I12838" s="8" t="str">
        <f ca="1">IFERROR(__xludf.DUMMYFUNCTION("IF
(
G12839=""фізична особа""
,
VLOOKUP(H12839,IMPORTRANGE(""https://docs.google.com/spreadsheets/d/14Bd19lYaqBhU8_DElYkX7l4wRkHqqCUFNJY4AfY3kHU/edit?usp=sharing  #gid=0"",""фіз особи new!relations_name""),6,FALSE)
,
(IF
(
G12839=""юридична особа""
,
VLOO"&amp;"KUP(H12839,IMPORTRANGE(""https://docs.google.com/spreadsheets/d/14Bd19lYaqBhU8_DElYkX7l4wRkHqqCUFNJY4AfY3kHU/edit?usp=sharing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838" s="7" t="s">
        <v>23</v>
      </c>
    </row>
    <row r="12839" spans="1:10" ht="13.2">
      <c r="A12839" s="7">
        <v>12838</v>
      </c>
      <c r="B12839" s="7">
        <v>1</v>
      </c>
      <c r="C12839" s="7" t="s">
        <v>10</v>
      </c>
      <c r="D12839" s="7">
        <v>18309</v>
      </c>
      <c r="E12839" s="7" t="s">
        <v>23</v>
      </c>
      <c r="F12839" s="8" t="str">
        <f ca="1">IFERROR(__xludf.DUMMYFUNCTION("IF
(
C12840=""фізична особа""
,
VLOOKUP(D12840,IMPORTRANGE(""https://docs.google.com/spreadsheets/d/14Bd19lYaqBhU8_DElYkX7l4wRkHqqCUFNJY4AfY3kHU/edit?usp=sharing  #gid=0"",""фіз особи new!relations_name""),6,FALSE)
,
(IF
(
C12840=""юридична особа""
,
VLOO"&amp;"KUP(D12840,IMPORTRANGE(""https://docs.google.com/spreadsheets/d/14Bd19lYaqBhU8_DElYkX7l4wRkHqqCUFNJY4AfY3kHU/edit?usp=sharing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39" s="7" t="s">
        <v>10</v>
      </c>
      <c r="H12839" s="7">
        <v>18306</v>
      </c>
      <c r="I12839" s="8" t="str">
        <f ca="1">IFERROR(__xludf.DUMMYFUNCTION("IF
(
G12840=""фізична особа""
,
VLOOKUP(H12840,IMPORTRANGE(""https://docs.google.com/spreadsheets/d/14Bd19lYaqBhU8_DElYkX7l4wRkHqqCUFNJY4AfY3kHU/edit?usp=sharing  #gid=0"",""фіз особи new!relations_name""),6,FALSE)
,
(IF
(
G12840=""юридична особа""
,
VLOO"&amp;"KUP(H12840,IMPORTRANGE(""https://docs.google.com/spreadsheets/d/14Bd19lYaqBhU8_DElYkX7l4wRkHqqCUFNJY4AfY3kHU/edit?usp=sharing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839" s="7" t="s">
        <v>23</v>
      </c>
    </row>
    <row r="12840" spans="1:10" ht="13.2">
      <c r="A12840" s="7">
        <v>12839</v>
      </c>
      <c r="B12840" s="7">
        <v>1</v>
      </c>
      <c r="C12840" s="7" t="s">
        <v>10</v>
      </c>
      <c r="D12840" s="7">
        <v>18309</v>
      </c>
      <c r="E12840" s="7" t="s">
        <v>23</v>
      </c>
      <c r="F12840" s="8" t="str">
        <f ca="1">IFERROR(__xludf.DUMMYFUNCTION("IF
(
C12841=""фізична особа""
,
VLOOKUP(D12841,IMPORTRANGE(""https://docs.google.com/spreadsheets/d/14Bd19lYaqBhU8_DElYkX7l4wRkHqqCUFNJY4AfY3kHU/edit?usp=sharing  #gid=0"",""фіз особи new!relations_name""),6,FALSE)
,
(IF
(
C12841=""юридична особа""
,
VLOO"&amp;"KUP(D12841,IMPORTRANGE(""https://docs.google.com/spreadsheets/d/14Bd19lYaqBhU8_DElYkX7l4wRkHqqCUFNJY4AfY3kHU/edit?usp=sharing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40" s="7" t="s">
        <v>10</v>
      </c>
      <c r="H12840" s="7">
        <v>18307</v>
      </c>
      <c r="I12840" s="8" t="str">
        <f ca="1">IFERROR(__xludf.DUMMYFUNCTION("IF
(
G12841=""фізична особа""
,
VLOOKUP(H12841,IMPORTRANGE(""https://docs.google.com/spreadsheets/d/14Bd19lYaqBhU8_DElYkX7l4wRkHqqCUFNJY4AfY3kHU/edit?usp=sharing  #gid=0"",""фіз особи new!relations_name""),6,FALSE)
,
(IF
(
G12841=""юридична особа""
,
VLOO"&amp;"KUP(H12841,IMPORTRANGE(""https://docs.google.com/spreadsheets/d/14Bd19lYaqBhU8_DElYkX7l4wRkHqqCUFNJY4AfY3kHU/edit?usp=sharing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840" s="7" t="s">
        <v>23</v>
      </c>
    </row>
    <row r="12841" spans="1:10" ht="13.2">
      <c r="A12841" s="7">
        <v>12840</v>
      </c>
      <c r="B12841" s="7">
        <v>1</v>
      </c>
      <c r="C12841" s="7" t="s">
        <v>10</v>
      </c>
      <c r="D12841" s="7">
        <v>18309</v>
      </c>
      <c r="E12841" s="7" t="s">
        <v>23</v>
      </c>
      <c r="F12841" s="8" t="str">
        <f ca="1">IFERROR(__xludf.DUMMYFUNCTION("IF
(
C12842=""фізична особа""
,
VLOOKUP(D12842,IMPORTRANGE(""https://docs.google.com/spreadsheets/d/14Bd19lYaqBhU8_DElYkX7l4wRkHqqCUFNJY4AfY3kHU/edit?usp=sharing  #gid=0"",""фіз особи new!relations_name""),6,FALSE)
,
(IF
(
C12842=""юридична особа""
,
VLOO"&amp;"KUP(D12842,IMPORTRANGE(""https://docs.google.com/spreadsheets/d/14Bd19lYaqBhU8_DElYkX7l4wRkHqqCUFNJY4AfY3kHU/edit?usp=sharing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41" s="7" t="s">
        <v>10</v>
      </c>
      <c r="H12841" s="7">
        <v>18308</v>
      </c>
      <c r="I12841" s="8" t="str">
        <f ca="1">IFERROR(__xludf.DUMMYFUNCTION("IF
(
G12842=""фізична особа""
,
VLOOKUP(H12842,IMPORTRANGE(""https://docs.google.com/spreadsheets/d/14Bd19lYaqBhU8_DElYkX7l4wRkHqqCUFNJY4AfY3kHU/edit?usp=sharing  #gid=0"",""фіз особи new!relations_name""),6,FALSE)
,
(IF
(
G12842=""юридична особа""
,
VLOO"&amp;"KUP(H12842,IMPORTRANGE(""https://docs.google.com/spreadsheets/d/14Bd19lYaqBhU8_DElYkX7l4wRkHqqCUFNJY4AfY3kHU/edit?usp=sharing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41" s="7" t="s">
        <v>23</v>
      </c>
    </row>
    <row r="12842" spans="1:10" ht="13.2">
      <c r="A12842" s="7">
        <v>12841</v>
      </c>
      <c r="B12842" s="7">
        <v>1</v>
      </c>
      <c r="C12842" s="7" t="s">
        <v>10</v>
      </c>
      <c r="D12842" s="7">
        <v>18309</v>
      </c>
      <c r="E12842" s="7" t="s">
        <v>23</v>
      </c>
      <c r="F12842" s="8" t="str">
        <f ca="1">IFERROR(__xludf.DUMMYFUNCTION("IF
(
C12843=""фізична особа""
,
VLOOKUP(D12843,IMPORTRANGE(""https://docs.google.com/spreadsheets/d/14Bd19lYaqBhU8_DElYkX7l4wRkHqqCUFNJY4AfY3kHU/edit?usp=sharing  #gid=0"",""фіз особи new!relations_name""),6,FALSE)
,
(IF
(
C12843=""юридична особа""
,
VLOO"&amp;"KUP(D12843,IMPORTRANGE(""https://docs.google.com/spreadsheets/d/14Bd19lYaqBhU8_DElYkX7l4wRkHqqCUFNJY4AfY3kHU/edit?usp=sharing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G12842" s="7" t="s">
        <v>10</v>
      </c>
      <c r="H12842" s="7">
        <v>18310</v>
      </c>
      <c r="I12842" s="8" t="str">
        <f ca="1">IFERROR(__xludf.DUMMYFUNCTION("IF
(
G12843=""фізична особа""
,
VLOOKUP(H12843,IMPORTRANGE(""https://docs.google.com/spreadsheets/d/14Bd19lYaqBhU8_DElYkX7l4wRkHqqCUFNJY4AfY3kHU/edit?usp=sharing  #gid=0"",""фіз особи new!relations_name""),6,FALSE)
,
(IF
(
G12843=""юридична особа""
,
VLOO"&amp;"KUP(H12843,IMPORTRANGE(""https://docs.google.com/spreadsheets/d/14Bd19lYaqBhU8_DElYkX7l4wRkHqqCUFNJY4AfY3kHU/edit?usp=sharing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J12842" s="7" t="s">
        <v>23</v>
      </c>
    </row>
    <row r="12843" spans="1:10" ht="13.2">
      <c r="A12843" s="7">
        <v>12842</v>
      </c>
      <c r="B12843" s="7">
        <v>1</v>
      </c>
      <c r="C12843" s="7" t="s">
        <v>10</v>
      </c>
      <c r="D12843" s="7">
        <v>18310</v>
      </c>
      <c r="E12843" s="7" t="s">
        <v>23</v>
      </c>
      <c r="F12843" s="8" t="str">
        <f ca="1">IFERROR(__xludf.DUMMYFUNCTION("IF
(
C12844=""фізична особа""
,
VLOOKUP(D12844,IMPORTRANGE(""https://docs.google.com/spreadsheets/d/14Bd19lYaqBhU8_DElYkX7l4wRkHqqCUFNJY4AfY3kHU/edit?usp=sharing  #gid=0"",""фіз особи new!relations_name""),6,FALSE)
,
(IF
(
C12844=""юридична особа""
,
VLOO"&amp;"KUP(D12844,IMPORTRANGE(""https://docs.google.com/spreadsheets/d/14Bd19lYaqBhU8_DElYkX7l4wRkHqqCUFNJY4AfY3kHU/edit?usp=sharing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3" s="7" t="s">
        <v>10</v>
      </c>
      <c r="H12843" s="7">
        <v>18302</v>
      </c>
      <c r="I12843" s="8" t="str">
        <f ca="1">IFERROR(__xludf.DUMMYFUNCTION("IF
(
G12844=""фізична особа""
,
VLOOKUP(H12844,IMPORTRANGE(""https://docs.google.com/spreadsheets/d/14Bd19lYaqBhU8_DElYkX7l4wRkHqqCUFNJY4AfY3kHU/edit?usp=sharing  #gid=0"",""фіз особи new!relations_name""),6,FALSE)
,
(IF
(
G12844=""юридична особа""
,
VLOO"&amp;"KUP(H12844,IMPORTRANGE(""https://docs.google.com/spreadsheets/d/14Bd19lYaqBhU8_DElYkX7l4wRkHqqCUFNJY4AfY3kHU/edit?usp=sharing  #gid=0"",""фіз особи new!relations_name_uo""),7,FALSE)
,
)
))"),"БОБІЛЄВА Надія Павладіївна")</f>
        <v>БОБІЛЄВА Надія Павладіївна</v>
      </c>
      <c r="J12843" s="7" t="s">
        <v>23</v>
      </c>
    </row>
    <row r="12844" spans="1:10" ht="13.2">
      <c r="A12844" s="7">
        <v>12843</v>
      </c>
      <c r="B12844" s="7">
        <v>1</v>
      </c>
      <c r="C12844" s="7" t="s">
        <v>10</v>
      </c>
      <c r="D12844" s="7">
        <v>18310</v>
      </c>
      <c r="E12844" s="7" t="s">
        <v>23</v>
      </c>
      <c r="F12844" s="8" t="str">
        <f ca="1">IFERROR(__xludf.DUMMYFUNCTION("IF
(
C12845=""фізична особа""
,
VLOOKUP(D12845,IMPORTRANGE(""https://docs.google.com/spreadsheets/d/14Bd19lYaqBhU8_DElYkX7l4wRkHqqCUFNJY4AfY3kHU/edit?usp=sharing  #gid=0"",""фіз особи new!relations_name""),6,FALSE)
,
(IF
(
C12845=""юридична особа""
,
VLOO"&amp;"KUP(D12845,IMPORTRANGE(""https://docs.google.com/spreadsheets/d/14Bd19lYaqBhU8_DElYkX7l4wRkHqqCUFNJY4AfY3kHU/edit?usp=sharing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4" s="7" t="s">
        <v>10</v>
      </c>
      <c r="H12844" s="7">
        <v>18303</v>
      </c>
      <c r="I12844" s="8" t="str">
        <f ca="1">IFERROR(__xludf.DUMMYFUNCTION("IF
(
G12845=""фізична особа""
,
VLOOKUP(H12845,IMPORTRANGE(""https://docs.google.com/spreadsheets/d/14Bd19lYaqBhU8_DElYkX7l4wRkHqqCUFNJY4AfY3kHU/edit?usp=sharing  #gid=0"",""фіз особи new!relations_name""),6,FALSE)
,
(IF
(
G12845=""юридична особа""
,
VLOO"&amp;"KUP(H12845,IMPORTRANGE(""https://docs.google.com/spreadsheets/d/14Bd19lYaqBhU8_DElYkX7l4wRkHqqCUFNJY4AfY3kHU/edit?usp=sharing  #gid=0"",""фіз особи new!relations_name_uo""),7,FALSE)
,
)
))"),"ДАВИМОКА Сергій Вячеславович")</f>
        <v>ДАВИМОКА Сергій Вячеславович</v>
      </c>
      <c r="J12844" s="7" t="s">
        <v>23</v>
      </c>
    </row>
    <row r="12845" spans="1:10" ht="13.2">
      <c r="A12845" s="7">
        <v>12844</v>
      </c>
      <c r="B12845" s="7">
        <v>1</v>
      </c>
      <c r="C12845" s="7" t="s">
        <v>10</v>
      </c>
      <c r="D12845" s="7">
        <v>18310</v>
      </c>
      <c r="E12845" s="7" t="s">
        <v>23</v>
      </c>
      <c r="F12845" s="8" t="str">
        <f ca="1">IFERROR(__xludf.DUMMYFUNCTION("IF
(
C12846=""фізична особа""
,
VLOOKUP(D12846,IMPORTRANGE(""https://docs.google.com/spreadsheets/d/14Bd19lYaqBhU8_DElYkX7l4wRkHqqCUFNJY4AfY3kHU/edit?usp=sharing  #gid=0"",""фіз особи new!relations_name""),6,FALSE)
,
(IF
(
C12846=""юридична особа""
,
VLOO"&amp;"KUP(D12846,IMPORTRANGE(""https://docs.google.com/spreadsheets/d/14Bd19lYaqBhU8_DElYkX7l4wRkHqqCUFNJY4AfY3kHU/edit?usp=sharing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5" s="7" t="s">
        <v>10</v>
      </c>
      <c r="H12845" s="7">
        <v>18304</v>
      </c>
      <c r="I12845" s="8" t="str">
        <f ca="1">IFERROR(__xludf.DUMMYFUNCTION("IF
(
G12846=""фізична особа""
,
VLOOKUP(H12846,IMPORTRANGE(""https://docs.google.com/spreadsheets/d/14Bd19lYaqBhU8_DElYkX7l4wRkHqqCUFNJY4AfY3kHU/edit?usp=sharing  #gid=0"",""фіз особи new!relations_name""),6,FALSE)
,
(IF
(
G12846=""юридична особа""
,
VLOO"&amp;"KUP(H12846,IMPORTRANGE(""https://docs.google.com/spreadsheets/d/14Bd19lYaqBhU8_DElYkX7l4wRkHqqCUFNJY4AfY3kHU/edit?usp=sharing  #gid=0"",""фіз особи new!relations_name_uo""),7,FALSE)
,
)
))"),"КАРЧЕВ Олег Геннадійович")</f>
        <v>КАРЧЕВ Олег Геннадійович</v>
      </c>
      <c r="J12845" s="7" t="s">
        <v>23</v>
      </c>
    </row>
    <row r="12846" spans="1:10" ht="13.2">
      <c r="A12846" s="7">
        <v>12845</v>
      </c>
      <c r="B12846" s="7">
        <v>1</v>
      </c>
      <c r="C12846" s="7" t="s">
        <v>10</v>
      </c>
      <c r="D12846" s="7">
        <v>18310</v>
      </c>
      <c r="E12846" s="7" t="s">
        <v>23</v>
      </c>
      <c r="F12846" s="8" t="str">
        <f ca="1">IFERROR(__xludf.DUMMYFUNCTION("IF
(
C12847=""фізична особа""
,
VLOOKUP(D12847,IMPORTRANGE(""https://docs.google.com/spreadsheets/d/14Bd19lYaqBhU8_DElYkX7l4wRkHqqCUFNJY4AfY3kHU/edit?usp=sharing  #gid=0"",""фіз особи new!relations_name""),6,FALSE)
,
(IF
(
C12847=""юридична особа""
,
VLOO"&amp;"KUP(D12847,IMPORTRANGE(""https://docs.google.com/spreadsheets/d/14Bd19lYaqBhU8_DElYkX7l4wRkHqqCUFNJY4AfY3kHU/edit?usp=sharing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6" s="7" t="s">
        <v>10</v>
      </c>
      <c r="H12846" s="7">
        <v>18305</v>
      </c>
      <c r="I12846" s="8" t="str">
        <f ca="1">IFERROR(__xludf.DUMMYFUNCTION("IF
(
G12847=""фізична особа""
,
VLOOKUP(H12847,IMPORTRANGE(""https://docs.google.com/spreadsheets/d/14Bd19lYaqBhU8_DElYkX7l4wRkHqqCUFNJY4AfY3kHU/edit?usp=sharing  #gid=0"",""фіз особи new!relations_name""),6,FALSE)
,
(IF
(
G12847=""юридична особа""
,
VLOO"&amp;"KUP(H12847,IMPORTRANGE(""https://docs.google.com/spreadsheets/d/14Bd19lYaqBhU8_DElYkX7l4wRkHqqCUFNJY4AfY3kHU/edit?usp=sharing  #gid=0"",""фіз особи new!relations_name_uo""),7,FALSE)
,
)
))"),"КАЗАКОВ Андрій Володимирович")</f>
        <v>КАЗАКОВ Андрій Володимирович</v>
      </c>
      <c r="J12846" s="7" t="s">
        <v>23</v>
      </c>
    </row>
    <row r="12847" spans="1:10" ht="13.2">
      <c r="A12847" s="7">
        <v>12846</v>
      </c>
      <c r="B12847" s="7">
        <v>1</v>
      </c>
      <c r="C12847" s="7" t="s">
        <v>10</v>
      </c>
      <c r="D12847" s="7">
        <v>18310</v>
      </c>
      <c r="E12847" s="7" t="s">
        <v>23</v>
      </c>
      <c r="F12847" s="8" t="str">
        <f ca="1">IFERROR(__xludf.DUMMYFUNCTION("IF
(
C12848=""фізична особа""
,
VLOOKUP(D12848,IMPORTRANGE(""https://docs.google.com/spreadsheets/d/14Bd19lYaqBhU8_DElYkX7l4wRkHqqCUFNJY4AfY3kHU/edit?usp=sharing  #gid=0"",""фіз особи new!relations_name""),6,FALSE)
,
(IF
(
C12848=""юридична особа""
,
VLOO"&amp;"KUP(D12848,IMPORTRANGE(""https://docs.google.com/spreadsheets/d/14Bd19lYaqBhU8_DElYkX7l4wRkHqqCUFNJY4AfY3kHU/edit?usp=sharing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7" s="7" t="s">
        <v>10</v>
      </c>
      <c r="H12847" s="7">
        <v>18306</v>
      </c>
      <c r="I12847" s="8" t="str">
        <f ca="1">IFERROR(__xludf.DUMMYFUNCTION("IF
(
G12848=""фізична особа""
,
VLOOKUP(H12848,IMPORTRANGE(""https://docs.google.com/spreadsheets/d/14Bd19lYaqBhU8_DElYkX7l4wRkHqqCUFNJY4AfY3kHU/edit?usp=sharing  #gid=0"",""фіз особи new!relations_name""),6,FALSE)
,
(IF
(
G12848=""юридична особа""
,
VLOO"&amp;"KUP(H12848,IMPORTRANGE(""https://docs.google.com/spreadsheets/d/14Bd19lYaqBhU8_DElYkX7l4wRkHqqCUFNJY4AfY3kHU/edit?usp=sharing  #gid=0"",""фіз особи new!relations_name_uo""),7,FALSE)
,
)
))"),"ПОРОЖНЯК Олександр Михайлович")</f>
        <v>ПОРОЖНЯК Олександр Михайлович</v>
      </c>
      <c r="J12847" s="7" t="s">
        <v>23</v>
      </c>
    </row>
    <row r="12848" spans="1:10" ht="13.2">
      <c r="A12848" s="7">
        <v>12847</v>
      </c>
      <c r="B12848" s="7">
        <v>1</v>
      </c>
      <c r="C12848" s="7" t="s">
        <v>10</v>
      </c>
      <c r="D12848" s="7">
        <v>18310</v>
      </c>
      <c r="E12848" s="7" t="s">
        <v>23</v>
      </c>
      <c r="F12848" s="8" t="str">
        <f ca="1">IFERROR(__xludf.DUMMYFUNCTION("IF
(
C12849=""фізична особа""
,
VLOOKUP(D12849,IMPORTRANGE(""https://docs.google.com/spreadsheets/d/14Bd19lYaqBhU8_DElYkX7l4wRkHqqCUFNJY4AfY3kHU/edit?usp=sharing  #gid=0"",""фіз особи new!relations_name""),6,FALSE)
,
(IF
(
C12849=""юридична особа""
,
VLOO"&amp;"KUP(D12849,IMPORTRANGE(""https://docs.google.com/spreadsheets/d/14Bd19lYaqBhU8_DElYkX7l4wRkHqqCUFNJY4AfY3kHU/edit?usp=sharing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8" s="7" t="s">
        <v>10</v>
      </c>
      <c r="H12848" s="7">
        <v>18307</v>
      </c>
      <c r="I12848" s="8" t="str">
        <f ca="1">IFERROR(__xludf.DUMMYFUNCTION("IF
(
G12849=""фізична особа""
,
VLOOKUP(H12849,IMPORTRANGE(""https://docs.google.com/spreadsheets/d/14Bd19lYaqBhU8_DElYkX7l4wRkHqqCUFNJY4AfY3kHU/edit?usp=sharing  #gid=0"",""фіз особи new!relations_name""),6,FALSE)
,
(IF
(
G12849=""юридична особа""
,
VLOO"&amp;"KUP(H12849,IMPORTRANGE(""https://docs.google.com/spreadsheets/d/14Bd19lYaqBhU8_DElYkX7l4wRkHqqCUFNJY4AfY3kHU/edit?usp=sharing  #gid=0"",""фіз особи new!relations_name_uo""),7,FALSE)
,
)
))"),"СЛАВІН Борис Володимирович")</f>
        <v>СЛАВІН Борис Володимирович</v>
      </c>
      <c r="J12848" s="7" t="s">
        <v>23</v>
      </c>
    </row>
    <row r="12849" spans="1:10" ht="13.2">
      <c r="A12849" s="7">
        <v>12848</v>
      </c>
      <c r="B12849" s="7">
        <v>1</v>
      </c>
      <c r="C12849" s="7" t="s">
        <v>10</v>
      </c>
      <c r="D12849" s="7">
        <v>18310</v>
      </c>
      <c r="E12849" s="7" t="s">
        <v>23</v>
      </c>
      <c r="F12849" s="8" t="str">
        <f ca="1">IFERROR(__xludf.DUMMYFUNCTION("IF
(
C12850=""фізична особа""
,
VLOOKUP(D12850,IMPORTRANGE(""https://docs.google.com/spreadsheets/d/14Bd19lYaqBhU8_DElYkX7l4wRkHqqCUFNJY4AfY3kHU/edit?usp=sharing  #gid=0"",""фіз особи new!relations_name""),6,FALSE)
,
(IF
(
C12850=""юридична особа""
,
VLOO"&amp;"KUP(D12850,IMPORTRANGE(""https://docs.google.com/spreadsheets/d/14Bd19lYaqBhU8_DElYkX7l4wRkHqqCUFNJY4AfY3kHU/edit?usp=sharing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49" s="7" t="s">
        <v>10</v>
      </c>
      <c r="H12849" s="7">
        <v>18308</v>
      </c>
      <c r="I12849" s="8" t="str">
        <f ca="1">IFERROR(__xludf.DUMMYFUNCTION("IF
(
G12850=""фізична особа""
,
VLOOKUP(H12850,IMPORTRANGE(""https://docs.google.com/spreadsheets/d/14Bd19lYaqBhU8_DElYkX7l4wRkHqqCUFNJY4AfY3kHU/edit?usp=sharing  #gid=0"",""фіз особи new!relations_name""),6,FALSE)
,
(IF
(
G12850=""юридична особа""
,
VLOO"&amp;"KUP(H12850,IMPORTRANGE(""https://docs.google.com/spreadsheets/d/14Bd19lYaqBhU8_DElYkX7l4wRkHqqCUFNJY4AfY3kHU/edit?usp=sharing  #gid=0"",""фіз особи new!relations_name_uo""),7,FALSE)
,
)
))"),"ВАСИЛЬЧЕНКО Світлана Леонідівна")</f>
        <v>ВАСИЛЬЧЕНКО Світлана Леонідівна</v>
      </c>
      <c r="J12849" s="7" t="s">
        <v>23</v>
      </c>
    </row>
    <row r="12850" spans="1:10" ht="13.2">
      <c r="A12850" s="7">
        <v>12849</v>
      </c>
      <c r="B12850" s="7">
        <v>1</v>
      </c>
      <c r="C12850" s="7" t="s">
        <v>10</v>
      </c>
      <c r="D12850" s="7">
        <v>18310</v>
      </c>
      <c r="E12850" s="7" t="s">
        <v>23</v>
      </c>
      <c r="F12850" s="8" t="str">
        <f ca="1">IFERROR(__xludf.DUMMYFUNCTION("IF
(
C12851=""фізична особа""
,
VLOOKUP(D12851,IMPORTRANGE(""https://docs.google.com/spreadsheets/d/14Bd19lYaqBhU8_DElYkX7l4wRkHqqCUFNJY4AfY3kHU/edit?usp=sharing  #gid=0"",""фіз особи new!relations_name""),6,FALSE)
,
(IF
(
C12851=""юридична особа""
,
VLOO"&amp;"KUP(D12851,IMPORTRANGE(""https://docs.google.com/spreadsheets/d/14Bd19lYaqBhU8_DElYkX7l4wRkHqqCUFNJY4AfY3kHU/edit?usp=sharing  #gid=0"",""фіз особи new!relations_name_uo""),7,FALSE)
,
)
))"),"МІНІНА Лариса Юріївна")</f>
        <v>МІНІНА Лариса Юріївна</v>
      </c>
      <c r="G12850" s="7" t="s">
        <v>10</v>
      </c>
      <c r="H12850" s="7">
        <v>18309</v>
      </c>
      <c r="I12850" s="8" t="str">
        <f ca="1">IFERROR(__xludf.DUMMYFUNCTION("IF
(
G12851=""фізична особа""
,
VLOOKUP(H12851,IMPORTRANGE(""https://docs.google.com/spreadsheets/d/14Bd19lYaqBhU8_DElYkX7l4wRkHqqCUFNJY4AfY3kHU/edit?usp=sharing  #gid=0"",""фіз особи new!relations_name""),6,FALSE)
,
(IF
(
G12851=""юридична особа""
,
VLOO"&amp;"KUP(H12851,IMPORTRANGE(""https://docs.google.com/spreadsheets/d/14Bd19lYaqBhU8_DElYkX7l4wRkHqqCUFNJY4AfY3kHU/edit?usp=sharing  #gid=0"",""фіз особи new!relations_name_uo""),7,FALSE)
,
)
))"),"ВАРАВІН Олександр Анатолійович")</f>
        <v>ВАРАВІН Олександр Анатолійович</v>
      </c>
      <c r="J12850" s="7" t="s">
        <v>23</v>
      </c>
    </row>
    <row r="12851" spans="1:10" ht="13.2">
      <c r="A12851" s="7">
        <v>12850</v>
      </c>
      <c r="B12851" s="7">
        <v>1</v>
      </c>
      <c r="C12851" s="7" t="s">
        <v>10</v>
      </c>
      <c r="D12851" s="7">
        <v>18311</v>
      </c>
      <c r="E12851" s="7" t="s">
        <v>23</v>
      </c>
      <c r="F12851" s="8" t="str">
        <f ca="1">IFERROR(__xludf.DUMMYFUNCTION("IF
(
C12852=""фізична особа""
,
VLOOKUP(D12852,IMPORTRANGE(""https://docs.google.com/spreadsheets/d/14Bd19lYaqBhU8_DElYkX7l4wRkHqqCUFNJY4AfY3kHU/edit?usp=sharing  #gid=0"",""фіз особи new!relations_name""),6,FALSE)
,
(IF
(
C12852=""юридична особа""
,
VLOO"&amp;"KUP(D12852,IMPORTRANGE(""https://docs.google.com/spreadsheets/d/14Bd19lYaqBhU8_DElYkX7l4wRkHqqCUFNJY4AfY3kHU/edit?usp=sharing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1" s="7" t="s">
        <v>10</v>
      </c>
      <c r="H12851" s="7">
        <v>18312</v>
      </c>
      <c r="I12851" s="8" t="str">
        <f ca="1">IFERROR(__xludf.DUMMYFUNCTION("IF
(
G12852=""фізична особа""
,
VLOOKUP(H12852,IMPORTRANGE(""https://docs.google.com/spreadsheets/d/14Bd19lYaqBhU8_DElYkX7l4wRkHqqCUFNJY4AfY3kHU/edit?usp=sharing  #gid=0"",""фіз особи new!relations_name""),6,FALSE)
,
(IF
(
G12852=""юридична особа""
,
VLOO"&amp;"KUP(H12852,IMPORTRANGE(""https://docs.google.com/spreadsheets/d/14Bd19lYaqBhU8_DElYkX7l4wRkHqqCUFNJY4AfY3kHU/edit?usp=sharing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51" s="7" t="s">
        <v>23</v>
      </c>
    </row>
    <row r="12852" spans="1:10" ht="13.2">
      <c r="A12852" s="7">
        <v>12851</v>
      </c>
      <c r="B12852" s="7">
        <v>1</v>
      </c>
      <c r="C12852" s="7" t="s">
        <v>10</v>
      </c>
      <c r="D12852" s="7">
        <v>18311</v>
      </c>
      <c r="E12852" s="7" t="s">
        <v>23</v>
      </c>
      <c r="F12852" s="8" t="str">
        <f ca="1">IFERROR(__xludf.DUMMYFUNCTION("IF
(
C12853=""фізична особа""
,
VLOOKUP(D12853,IMPORTRANGE(""https://docs.google.com/spreadsheets/d/14Bd19lYaqBhU8_DElYkX7l4wRkHqqCUFNJY4AfY3kHU/edit?usp=sharing  #gid=0"",""фіз особи new!relations_name""),6,FALSE)
,
(IF
(
C12853=""юридична особа""
,
VLOO"&amp;"KUP(D12853,IMPORTRANGE(""https://docs.google.com/spreadsheets/d/14Bd19lYaqBhU8_DElYkX7l4wRkHqqCUFNJY4AfY3kHU/edit?usp=sharing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2" s="7" t="s">
        <v>10</v>
      </c>
      <c r="H12852" s="7">
        <v>18313</v>
      </c>
      <c r="I12852" s="8" t="str">
        <f ca="1">IFERROR(__xludf.DUMMYFUNCTION("IF
(
G12853=""фізична особа""
,
VLOOKUP(H12853,IMPORTRANGE(""https://docs.google.com/spreadsheets/d/14Bd19lYaqBhU8_DElYkX7l4wRkHqqCUFNJY4AfY3kHU/edit?usp=sharing  #gid=0"",""фіз особи new!relations_name""),6,FALSE)
,
(IF
(
G12853=""юридична особа""
,
VLOO"&amp;"KUP(H12853,IMPORTRANGE(""https://docs.google.com/spreadsheets/d/14Bd19lYaqBhU8_DElYkX7l4wRkHqqCUFNJY4AfY3kHU/edit?usp=sharing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52" s="7" t="s">
        <v>23</v>
      </c>
    </row>
    <row r="12853" spans="1:10" ht="13.2">
      <c r="A12853" s="7">
        <v>12852</v>
      </c>
      <c r="B12853" s="7">
        <v>1</v>
      </c>
      <c r="C12853" s="7" t="s">
        <v>10</v>
      </c>
      <c r="D12853" s="7">
        <v>18311</v>
      </c>
      <c r="E12853" s="7" t="s">
        <v>23</v>
      </c>
      <c r="F12853" s="8" t="str">
        <f ca="1">IFERROR(__xludf.DUMMYFUNCTION("IF
(
C12854=""фізична особа""
,
VLOOKUP(D12854,IMPORTRANGE(""https://docs.google.com/spreadsheets/d/14Bd19lYaqBhU8_DElYkX7l4wRkHqqCUFNJY4AfY3kHU/edit?usp=sharing  #gid=0"",""фіз особи new!relations_name""),6,FALSE)
,
(IF
(
C12854=""юридична особа""
,
VLOO"&amp;"KUP(D12854,IMPORTRANGE(""https://docs.google.com/spreadsheets/d/14Bd19lYaqBhU8_DElYkX7l4wRkHqqCUFNJY4AfY3kHU/edit?usp=sharing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3" s="7" t="s">
        <v>10</v>
      </c>
      <c r="H12853" s="7">
        <v>18314</v>
      </c>
      <c r="I12853" s="8" t="str">
        <f ca="1">IFERROR(__xludf.DUMMYFUNCTION("IF
(
G12854=""фізична особа""
,
VLOOKUP(H12854,IMPORTRANGE(""https://docs.google.com/spreadsheets/d/14Bd19lYaqBhU8_DElYkX7l4wRkHqqCUFNJY4AfY3kHU/edit?usp=sharing  #gid=0"",""фіз особи new!relations_name""),6,FALSE)
,
(IF
(
G12854=""юридична особа""
,
VLOO"&amp;"KUP(H12854,IMPORTRANGE(""https://docs.google.com/spreadsheets/d/14Bd19lYaqBhU8_DElYkX7l4wRkHqqCUFNJY4AfY3kHU/edit?usp=sharing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53" s="7" t="s">
        <v>23</v>
      </c>
    </row>
    <row r="12854" spans="1:10" ht="13.2">
      <c r="A12854" s="7">
        <v>12853</v>
      </c>
      <c r="B12854" s="7">
        <v>1</v>
      </c>
      <c r="C12854" s="7" t="s">
        <v>10</v>
      </c>
      <c r="D12854" s="7">
        <v>18311</v>
      </c>
      <c r="E12854" s="7" t="s">
        <v>23</v>
      </c>
      <c r="F12854" s="8" t="str">
        <f ca="1">IFERROR(__xludf.DUMMYFUNCTION("IF
(
C12855=""фізична особа""
,
VLOOKUP(D12855,IMPORTRANGE(""https://docs.google.com/spreadsheets/d/14Bd19lYaqBhU8_DElYkX7l4wRkHqqCUFNJY4AfY3kHU/edit?usp=sharing  #gid=0"",""фіз особи new!relations_name""),6,FALSE)
,
(IF
(
C12855=""юридична особа""
,
VLOO"&amp;"KUP(D12855,IMPORTRANGE(""https://docs.google.com/spreadsheets/d/14Bd19lYaqBhU8_DElYkX7l4wRkHqqCUFNJY4AfY3kHU/edit?usp=sharing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4" s="7" t="s">
        <v>10</v>
      </c>
      <c r="H12854" s="7">
        <v>18315</v>
      </c>
      <c r="I12854" s="8" t="str">
        <f ca="1">IFERROR(__xludf.DUMMYFUNCTION("IF
(
G12855=""фізична особа""
,
VLOOKUP(H12855,IMPORTRANGE(""https://docs.google.com/spreadsheets/d/14Bd19lYaqBhU8_DElYkX7l4wRkHqqCUFNJY4AfY3kHU/edit?usp=sharing  #gid=0"",""фіз особи new!relations_name""),6,FALSE)
,
(IF
(
G12855=""юридична особа""
,
VLOO"&amp;"KUP(H12855,IMPORTRANGE(""https://docs.google.com/spreadsheets/d/14Bd19lYaqBhU8_DElYkX7l4wRkHqqCUFNJY4AfY3kHU/edit?usp=sharing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54" s="7" t="s">
        <v>23</v>
      </c>
    </row>
    <row r="12855" spans="1:10" ht="13.2">
      <c r="A12855" s="7">
        <v>12854</v>
      </c>
      <c r="B12855" s="7">
        <v>1</v>
      </c>
      <c r="C12855" s="7" t="s">
        <v>10</v>
      </c>
      <c r="D12855" s="7">
        <v>18311</v>
      </c>
      <c r="E12855" s="7" t="s">
        <v>23</v>
      </c>
      <c r="F12855" s="8" t="str">
        <f ca="1">IFERROR(__xludf.DUMMYFUNCTION("IF
(
C12856=""фізична особа""
,
VLOOKUP(D12856,IMPORTRANGE(""https://docs.google.com/spreadsheets/d/14Bd19lYaqBhU8_DElYkX7l4wRkHqqCUFNJY4AfY3kHU/edit?usp=sharing  #gid=0"",""фіз особи new!relations_name""),6,FALSE)
,
(IF
(
C12856=""юридична особа""
,
VLOO"&amp;"KUP(D12856,IMPORTRANGE(""https://docs.google.com/spreadsheets/d/14Bd19lYaqBhU8_DElYkX7l4wRkHqqCUFNJY4AfY3kHU/edit?usp=sharing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5" s="7" t="s">
        <v>10</v>
      </c>
      <c r="H12855" s="7">
        <v>18316</v>
      </c>
      <c r="I12855" s="8" t="str">
        <f ca="1">IFERROR(__xludf.DUMMYFUNCTION("IF
(
G12856=""фізична особа""
,
VLOOKUP(H12856,IMPORTRANGE(""https://docs.google.com/spreadsheets/d/14Bd19lYaqBhU8_DElYkX7l4wRkHqqCUFNJY4AfY3kHU/edit?usp=sharing  #gid=0"",""фіз особи new!relations_name""),6,FALSE)
,
(IF
(
G12856=""юридична особа""
,
VLOO"&amp;"KUP(H12856,IMPORTRANGE(""https://docs.google.com/spreadsheets/d/14Bd19lYaqBhU8_DElYkX7l4wRkHqqCUFNJY4AfY3kHU/edit?usp=sharing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55" s="7" t="s">
        <v>23</v>
      </c>
    </row>
    <row r="12856" spans="1:10" ht="13.2">
      <c r="A12856" s="7">
        <v>12855</v>
      </c>
      <c r="B12856" s="7">
        <v>1</v>
      </c>
      <c r="C12856" s="7" t="s">
        <v>10</v>
      </c>
      <c r="D12856" s="7">
        <v>18311</v>
      </c>
      <c r="E12856" s="7" t="s">
        <v>23</v>
      </c>
      <c r="F12856" s="8" t="str">
        <f ca="1">IFERROR(__xludf.DUMMYFUNCTION("IF
(
C12857=""фізична особа""
,
VLOOKUP(D12857,IMPORTRANGE(""https://docs.google.com/spreadsheets/d/14Bd19lYaqBhU8_DElYkX7l4wRkHqqCUFNJY4AfY3kHU/edit?usp=sharing  #gid=0"",""фіз особи new!relations_name""),6,FALSE)
,
(IF
(
C12857=""юридична особа""
,
VLOO"&amp;"KUP(D12857,IMPORTRANGE(""https://docs.google.com/spreadsheets/d/14Bd19lYaqBhU8_DElYkX7l4wRkHqqCUFNJY4AfY3kHU/edit?usp=sharing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6" s="7" t="s">
        <v>10</v>
      </c>
      <c r="H12856" s="7">
        <v>18317</v>
      </c>
      <c r="I12856" s="8" t="str">
        <f ca="1">IFERROR(__xludf.DUMMYFUNCTION("IF
(
G12857=""фізична особа""
,
VLOOKUP(H12857,IMPORTRANGE(""https://docs.google.com/spreadsheets/d/14Bd19lYaqBhU8_DElYkX7l4wRkHqqCUFNJY4AfY3kHU/edit?usp=sharing  #gid=0"",""фіз особи new!relations_name""),6,FALSE)
,
(IF
(
G12857=""юридична особа""
,
VLOO"&amp;"KUP(H12857,IMPORTRANGE(""https://docs.google.com/spreadsheets/d/14Bd19lYaqBhU8_DElYkX7l4wRkHqqCUFNJY4AfY3kHU/edit?usp=sharing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56" s="7" t="s">
        <v>23</v>
      </c>
    </row>
    <row r="12857" spans="1:10" ht="13.2">
      <c r="A12857" s="7">
        <v>12856</v>
      </c>
      <c r="B12857" s="7">
        <v>1</v>
      </c>
      <c r="C12857" s="7" t="s">
        <v>10</v>
      </c>
      <c r="D12857" s="7">
        <v>18311</v>
      </c>
      <c r="E12857" s="7" t="s">
        <v>23</v>
      </c>
      <c r="F12857" s="8" t="str">
        <f ca="1">IFERROR(__xludf.DUMMYFUNCTION("IF
(
C12858=""фізична особа""
,
VLOOKUP(D12858,IMPORTRANGE(""https://docs.google.com/spreadsheets/d/14Bd19lYaqBhU8_DElYkX7l4wRkHqqCUFNJY4AfY3kHU/edit?usp=sharing  #gid=0"",""фіз особи new!relations_name""),6,FALSE)
,
(IF
(
C12858=""юридична особа""
,
VLOO"&amp;"KUP(D12858,IMPORTRANGE(""https://docs.google.com/spreadsheets/d/14Bd19lYaqBhU8_DElYkX7l4wRkHqqCUFNJY4AfY3kHU/edit?usp=sharing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G12857" s="7" t="s">
        <v>10</v>
      </c>
      <c r="H12857" s="7">
        <v>18318</v>
      </c>
      <c r="I12857" s="8" t="str">
        <f ca="1">IFERROR(__xludf.DUMMYFUNCTION("IF
(
G12858=""фізична особа""
,
VLOOKUP(H12858,IMPORTRANGE(""https://docs.google.com/spreadsheets/d/14Bd19lYaqBhU8_DElYkX7l4wRkHqqCUFNJY4AfY3kHU/edit?usp=sharing  #gid=0"",""фіз особи new!relations_name""),6,FALSE)
,
(IF
(
G12858=""юридична особа""
,
VLOO"&amp;"KUP(H12858,IMPORTRANGE(""https://docs.google.com/spreadsheets/d/14Bd19lYaqBhU8_DElYkX7l4wRkHqqCUFNJY4AfY3kHU/edit?usp=sharing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57" s="7" t="s">
        <v>23</v>
      </c>
    </row>
    <row r="12858" spans="1:10" ht="13.2">
      <c r="A12858" s="7">
        <v>12857</v>
      </c>
      <c r="B12858" s="7">
        <v>1</v>
      </c>
      <c r="C12858" s="7" t="s">
        <v>10</v>
      </c>
      <c r="D12858" s="7">
        <v>18312</v>
      </c>
      <c r="E12858" s="7" t="s">
        <v>23</v>
      </c>
      <c r="F12858" s="8" t="str">
        <f ca="1">IFERROR(__xludf.DUMMYFUNCTION("IF
(
C12859=""фізична особа""
,
VLOOKUP(D12859,IMPORTRANGE(""https://docs.google.com/spreadsheets/d/14Bd19lYaqBhU8_DElYkX7l4wRkHqqCUFNJY4AfY3kHU/edit?usp=sharing  #gid=0"",""фіз особи new!relations_name""),6,FALSE)
,
(IF
(
C12859=""юридична особа""
,
VLOO"&amp;"KUP(D12859,IMPORTRANGE(""https://docs.google.com/spreadsheets/d/14Bd19lYaqBhU8_DElYkX7l4wRkHqqCUFNJY4AfY3kHU/edit?usp=sharing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58" s="7" t="s">
        <v>10</v>
      </c>
      <c r="H12858" s="7">
        <v>18311</v>
      </c>
      <c r="I12858" s="8" t="str">
        <f ca="1">IFERROR(__xludf.DUMMYFUNCTION("IF
(
G12859=""фізична особа""
,
VLOOKUP(H12859,IMPORTRANGE(""https://docs.google.com/spreadsheets/d/14Bd19lYaqBhU8_DElYkX7l4wRkHqqCUFNJY4AfY3kHU/edit?usp=sharing  #gid=0"",""фіз особи new!relations_name""),6,FALSE)
,
(IF
(
G12859=""юридична особа""
,
VLOO"&amp;"KUP(H12859,IMPORTRANGE(""https://docs.google.com/spreadsheets/d/14Bd19lYaqBhU8_DElYkX7l4wRkHqqCUFNJY4AfY3kHU/edit?usp=sharing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58" s="7" t="s">
        <v>23</v>
      </c>
    </row>
    <row r="12859" spans="1:10" ht="13.2">
      <c r="A12859" s="7">
        <v>12858</v>
      </c>
      <c r="B12859" s="7">
        <v>1</v>
      </c>
      <c r="C12859" s="7" t="s">
        <v>10</v>
      </c>
      <c r="D12859" s="7">
        <v>18312</v>
      </c>
      <c r="E12859" s="7" t="s">
        <v>23</v>
      </c>
      <c r="F12859" s="8" t="str">
        <f ca="1">IFERROR(__xludf.DUMMYFUNCTION("IF
(
C12860=""фізична особа""
,
VLOOKUP(D12860,IMPORTRANGE(""https://docs.google.com/spreadsheets/d/14Bd19lYaqBhU8_DElYkX7l4wRkHqqCUFNJY4AfY3kHU/edit?usp=sharing  #gid=0"",""фіз особи new!relations_name""),6,FALSE)
,
(IF
(
C12860=""юридична особа""
,
VLOO"&amp;"KUP(D12860,IMPORTRANGE(""https://docs.google.com/spreadsheets/d/14Bd19lYaqBhU8_DElYkX7l4wRkHqqCUFNJY4AfY3kHU/edit?usp=sharing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59" s="7" t="s">
        <v>10</v>
      </c>
      <c r="H12859" s="7">
        <v>18313</v>
      </c>
      <c r="I12859" s="8" t="str">
        <f ca="1">IFERROR(__xludf.DUMMYFUNCTION("IF
(
G12860=""фізична особа""
,
VLOOKUP(H12860,IMPORTRANGE(""https://docs.google.com/spreadsheets/d/14Bd19lYaqBhU8_DElYkX7l4wRkHqqCUFNJY4AfY3kHU/edit?usp=sharing  #gid=0"",""фіз особи new!relations_name""),6,FALSE)
,
(IF
(
G12860=""юридична особа""
,
VLOO"&amp;"KUP(H12860,IMPORTRANGE(""https://docs.google.com/spreadsheets/d/14Bd19lYaqBhU8_DElYkX7l4wRkHqqCUFNJY4AfY3kHU/edit?usp=sharing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59" s="7" t="s">
        <v>23</v>
      </c>
    </row>
    <row r="12860" spans="1:10" ht="13.2">
      <c r="A12860" s="7">
        <v>12859</v>
      </c>
      <c r="B12860" s="7">
        <v>1</v>
      </c>
      <c r="C12860" s="7" t="s">
        <v>10</v>
      </c>
      <c r="D12860" s="7">
        <v>18312</v>
      </c>
      <c r="E12860" s="7" t="s">
        <v>23</v>
      </c>
      <c r="F12860" s="8" t="str">
        <f ca="1">IFERROR(__xludf.DUMMYFUNCTION("IF
(
C12861=""фізична особа""
,
VLOOKUP(D12861,IMPORTRANGE(""https://docs.google.com/spreadsheets/d/14Bd19lYaqBhU8_DElYkX7l4wRkHqqCUFNJY4AfY3kHU/edit?usp=sharing  #gid=0"",""фіз особи new!relations_name""),6,FALSE)
,
(IF
(
C12861=""юридична особа""
,
VLOO"&amp;"KUP(D12861,IMPORTRANGE(""https://docs.google.com/spreadsheets/d/14Bd19lYaqBhU8_DElYkX7l4wRkHqqCUFNJY4AfY3kHU/edit?usp=sharing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60" s="7" t="s">
        <v>10</v>
      </c>
      <c r="H12860" s="7">
        <v>18314</v>
      </c>
      <c r="I12860" s="8" t="str">
        <f ca="1">IFERROR(__xludf.DUMMYFUNCTION("IF
(
G12861=""фізична особа""
,
VLOOKUP(H12861,IMPORTRANGE(""https://docs.google.com/spreadsheets/d/14Bd19lYaqBhU8_DElYkX7l4wRkHqqCUFNJY4AfY3kHU/edit?usp=sharing  #gid=0"",""фіз особи new!relations_name""),6,FALSE)
,
(IF
(
G12861=""юридична особа""
,
VLOO"&amp;"KUP(H12861,IMPORTRANGE(""https://docs.google.com/spreadsheets/d/14Bd19lYaqBhU8_DElYkX7l4wRkHqqCUFNJY4AfY3kHU/edit?usp=sharing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60" s="7" t="s">
        <v>23</v>
      </c>
    </row>
    <row r="12861" spans="1:10" ht="13.2">
      <c r="A12861" s="7">
        <v>12860</v>
      </c>
      <c r="B12861" s="7">
        <v>1</v>
      </c>
      <c r="C12861" s="7" t="s">
        <v>10</v>
      </c>
      <c r="D12861" s="7">
        <v>18312</v>
      </c>
      <c r="E12861" s="7" t="s">
        <v>23</v>
      </c>
      <c r="F12861" s="8" t="str">
        <f ca="1">IFERROR(__xludf.DUMMYFUNCTION("IF
(
C12862=""фізична особа""
,
VLOOKUP(D12862,IMPORTRANGE(""https://docs.google.com/spreadsheets/d/14Bd19lYaqBhU8_DElYkX7l4wRkHqqCUFNJY4AfY3kHU/edit?usp=sharing  #gid=0"",""фіз особи new!relations_name""),6,FALSE)
,
(IF
(
C12862=""юридична особа""
,
VLOO"&amp;"KUP(D12862,IMPORTRANGE(""https://docs.google.com/spreadsheets/d/14Bd19lYaqBhU8_DElYkX7l4wRkHqqCUFNJY4AfY3kHU/edit?usp=sharing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61" s="7" t="s">
        <v>10</v>
      </c>
      <c r="H12861" s="7">
        <v>18315</v>
      </c>
      <c r="I12861" s="8" t="str">
        <f ca="1">IFERROR(__xludf.DUMMYFUNCTION("IF
(
G12862=""фізична особа""
,
VLOOKUP(H12862,IMPORTRANGE(""https://docs.google.com/spreadsheets/d/14Bd19lYaqBhU8_DElYkX7l4wRkHqqCUFNJY4AfY3kHU/edit?usp=sharing  #gid=0"",""фіз особи new!relations_name""),6,FALSE)
,
(IF
(
G12862=""юридична особа""
,
VLOO"&amp;"KUP(H12862,IMPORTRANGE(""https://docs.google.com/spreadsheets/d/14Bd19lYaqBhU8_DElYkX7l4wRkHqqCUFNJY4AfY3kHU/edit?usp=sharing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61" s="7" t="s">
        <v>23</v>
      </c>
    </row>
    <row r="12862" spans="1:10" ht="13.2">
      <c r="A12862" s="7">
        <v>12861</v>
      </c>
      <c r="B12862" s="7">
        <v>1</v>
      </c>
      <c r="C12862" s="7" t="s">
        <v>10</v>
      </c>
      <c r="D12862" s="7">
        <v>18312</v>
      </c>
      <c r="E12862" s="7" t="s">
        <v>23</v>
      </c>
      <c r="F12862" s="8" t="str">
        <f ca="1">IFERROR(__xludf.DUMMYFUNCTION("IF
(
C12863=""фізична особа""
,
VLOOKUP(D12863,IMPORTRANGE(""https://docs.google.com/spreadsheets/d/14Bd19lYaqBhU8_DElYkX7l4wRkHqqCUFNJY4AfY3kHU/edit?usp=sharing  #gid=0"",""фіз особи new!relations_name""),6,FALSE)
,
(IF
(
C12863=""юридична особа""
,
VLOO"&amp;"KUP(D12863,IMPORTRANGE(""https://docs.google.com/spreadsheets/d/14Bd19lYaqBhU8_DElYkX7l4wRkHqqCUFNJY4AfY3kHU/edit?usp=sharing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62" s="7" t="s">
        <v>10</v>
      </c>
      <c r="H12862" s="7">
        <v>18316</v>
      </c>
      <c r="I12862" s="8" t="str">
        <f ca="1">IFERROR(__xludf.DUMMYFUNCTION("IF
(
G12863=""фізична особа""
,
VLOOKUP(H12863,IMPORTRANGE(""https://docs.google.com/spreadsheets/d/14Bd19lYaqBhU8_DElYkX7l4wRkHqqCUFNJY4AfY3kHU/edit?usp=sharing  #gid=0"",""фіз особи new!relations_name""),6,FALSE)
,
(IF
(
G12863=""юридична особа""
,
VLOO"&amp;"KUP(H12863,IMPORTRANGE(""https://docs.google.com/spreadsheets/d/14Bd19lYaqBhU8_DElYkX7l4wRkHqqCUFNJY4AfY3kHU/edit?usp=sharing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62" s="7" t="s">
        <v>23</v>
      </c>
    </row>
    <row r="12863" spans="1:10" ht="13.2">
      <c r="A12863" s="7">
        <v>12862</v>
      </c>
      <c r="B12863" s="7">
        <v>1</v>
      </c>
      <c r="C12863" s="7" t="s">
        <v>10</v>
      </c>
      <c r="D12863" s="7">
        <v>18312</v>
      </c>
      <c r="E12863" s="7" t="s">
        <v>23</v>
      </c>
      <c r="F12863" s="8" t="str">
        <f ca="1">IFERROR(__xludf.DUMMYFUNCTION("IF
(
C12864=""фізична особа""
,
VLOOKUP(D12864,IMPORTRANGE(""https://docs.google.com/spreadsheets/d/14Bd19lYaqBhU8_DElYkX7l4wRkHqqCUFNJY4AfY3kHU/edit?usp=sharing  #gid=0"",""фіз особи new!relations_name""),6,FALSE)
,
(IF
(
C12864=""юридична особа""
,
VLOO"&amp;"KUP(D12864,IMPORTRANGE(""https://docs.google.com/spreadsheets/d/14Bd19lYaqBhU8_DElYkX7l4wRkHqqCUFNJY4AfY3kHU/edit?usp=sharing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63" s="7" t="s">
        <v>10</v>
      </c>
      <c r="H12863" s="7">
        <v>18317</v>
      </c>
      <c r="I12863" s="8" t="str">
        <f ca="1">IFERROR(__xludf.DUMMYFUNCTION("IF
(
G12864=""фізична особа""
,
VLOOKUP(H12864,IMPORTRANGE(""https://docs.google.com/spreadsheets/d/14Bd19lYaqBhU8_DElYkX7l4wRkHqqCUFNJY4AfY3kHU/edit?usp=sharing  #gid=0"",""фіз особи new!relations_name""),6,FALSE)
,
(IF
(
G12864=""юридична особа""
,
VLOO"&amp;"KUP(H12864,IMPORTRANGE(""https://docs.google.com/spreadsheets/d/14Bd19lYaqBhU8_DElYkX7l4wRkHqqCUFNJY4AfY3kHU/edit?usp=sharing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63" s="7" t="s">
        <v>23</v>
      </c>
    </row>
    <row r="12864" spans="1:10" ht="13.2">
      <c r="A12864" s="7">
        <v>12863</v>
      </c>
      <c r="B12864" s="7">
        <v>1</v>
      </c>
      <c r="C12864" s="7" t="s">
        <v>10</v>
      </c>
      <c r="D12864" s="7">
        <v>18312</v>
      </c>
      <c r="E12864" s="7" t="s">
        <v>23</v>
      </c>
      <c r="F12864" s="8" t="str">
        <f ca="1">IFERROR(__xludf.DUMMYFUNCTION("IF
(
C12865=""фізична особа""
,
VLOOKUP(D12865,IMPORTRANGE(""https://docs.google.com/spreadsheets/d/14Bd19lYaqBhU8_DElYkX7l4wRkHqqCUFNJY4AfY3kHU/edit?usp=sharing  #gid=0"",""фіз особи new!relations_name""),6,FALSE)
,
(IF
(
C12865=""юридична особа""
,
VLOO"&amp;"KUP(D12865,IMPORTRANGE(""https://docs.google.com/spreadsheets/d/14Bd19lYaqBhU8_DElYkX7l4wRkHqqCUFNJY4AfY3kHU/edit?usp=sharing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G12864" s="7" t="s">
        <v>10</v>
      </c>
      <c r="H12864" s="7">
        <v>18318</v>
      </c>
      <c r="I12864" s="8" t="str">
        <f ca="1">IFERROR(__xludf.DUMMYFUNCTION("IF
(
G12865=""фізична особа""
,
VLOOKUP(H12865,IMPORTRANGE(""https://docs.google.com/spreadsheets/d/14Bd19lYaqBhU8_DElYkX7l4wRkHqqCUFNJY4AfY3kHU/edit?usp=sharing  #gid=0"",""фіз особи new!relations_name""),6,FALSE)
,
(IF
(
G12865=""юридична особа""
,
VLOO"&amp;"KUP(H12865,IMPORTRANGE(""https://docs.google.com/spreadsheets/d/14Bd19lYaqBhU8_DElYkX7l4wRkHqqCUFNJY4AfY3kHU/edit?usp=sharing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64" s="7" t="s">
        <v>23</v>
      </c>
    </row>
    <row r="12865" spans="1:10" ht="13.2">
      <c r="A12865" s="7">
        <v>12864</v>
      </c>
      <c r="B12865" s="7">
        <v>1</v>
      </c>
      <c r="C12865" s="7" t="s">
        <v>10</v>
      </c>
      <c r="D12865" s="7">
        <v>18313</v>
      </c>
      <c r="E12865" s="7" t="s">
        <v>23</v>
      </c>
      <c r="F12865" s="8" t="str">
        <f ca="1">IFERROR(__xludf.DUMMYFUNCTION("IF
(
C12866=""фізична особа""
,
VLOOKUP(D12866,IMPORTRANGE(""https://docs.google.com/spreadsheets/d/14Bd19lYaqBhU8_DElYkX7l4wRkHqqCUFNJY4AfY3kHU/edit?usp=sharing  #gid=0"",""фіз особи new!relations_name""),6,FALSE)
,
(IF
(
C12866=""юридична особа""
,
VLOO"&amp;"KUP(D12866,IMPORTRANGE(""https://docs.google.com/spreadsheets/d/14Bd19lYaqBhU8_DElYkX7l4wRkHqqCUFNJY4AfY3kHU/edit?usp=sharing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65" s="7" t="s">
        <v>10</v>
      </c>
      <c r="H12865" s="7">
        <v>18311</v>
      </c>
      <c r="I12865" s="8" t="str">
        <f ca="1">IFERROR(__xludf.DUMMYFUNCTION("IF
(
G12866=""фізична особа""
,
VLOOKUP(H12866,IMPORTRANGE(""https://docs.google.com/spreadsheets/d/14Bd19lYaqBhU8_DElYkX7l4wRkHqqCUFNJY4AfY3kHU/edit?usp=sharing  #gid=0"",""фіз особи new!relations_name""),6,FALSE)
,
(IF
(
G12866=""юридична особа""
,
VLOO"&amp;"KUP(H12866,IMPORTRANGE(""https://docs.google.com/spreadsheets/d/14Bd19lYaqBhU8_DElYkX7l4wRkHqqCUFNJY4AfY3kHU/edit?usp=sharing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65" s="7" t="s">
        <v>23</v>
      </c>
    </row>
    <row r="12866" spans="1:10" ht="13.2">
      <c r="A12866" s="7">
        <v>12865</v>
      </c>
      <c r="B12866" s="7">
        <v>1</v>
      </c>
      <c r="C12866" s="7" t="s">
        <v>10</v>
      </c>
      <c r="D12866" s="7">
        <v>18313</v>
      </c>
      <c r="E12866" s="7" t="s">
        <v>23</v>
      </c>
      <c r="F12866" s="8" t="str">
        <f ca="1">IFERROR(__xludf.DUMMYFUNCTION("IF
(
C12867=""фізична особа""
,
VLOOKUP(D12867,IMPORTRANGE(""https://docs.google.com/spreadsheets/d/14Bd19lYaqBhU8_DElYkX7l4wRkHqqCUFNJY4AfY3kHU/edit?usp=sharing  #gid=0"",""фіз особи new!relations_name""),6,FALSE)
,
(IF
(
C12867=""юридична особа""
,
VLOO"&amp;"KUP(D12867,IMPORTRANGE(""https://docs.google.com/spreadsheets/d/14Bd19lYaqBhU8_DElYkX7l4wRkHqqCUFNJY4AfY3kHU/edit?usp=sharing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66" s="7" t="s">
        <v>10</v>
      </c>
      <c r="H12866" s="7">
        <v>18312</v>
      </c>
      <c r="I12866" s="8" t="str">
        <f ca="1">IFERROR(__xludf.DUMMYFUNCTION("IF
(
G12867=""фізична особа""
,
VLOOKUP(H12867,IMPORTRANGE(""https://docs.google.com/spreadsheets/d/14Bd19lYaqBhU8_DElYkX7l4wRkHqqCUFNJY4AfY3kHU/edit?usp=sharing  #gid=0"",""фіз особи new!relations_name""),6,FALSE)
,
(IF
(
G12867=""юридична особа""
,
VLOO"&amp;"KUP(H12867,IMPORTRANGE(""https://docs.google.com/spreadsheets/d/14Bd19lYaqBhU8_DElYkX7l4wRkHqqCUFNJY4AfY3kHU/edit?usp=sharing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66" s="7" t="s">
        <v>23</v>
      </c>
    </row>
    <row r="12867" spans="1:10" ht="13.2">
      <c r="A12867" s="7">
        <v>12866</v>
      </c>
      <c r="B12867" s="7">
        <v>1</v>
      </c>
      <c r="C12867" s="7" t="s">
        <v>10</v>
      </c>
      <c r="D12867" s="7">
        <v>18313</v>
      </c>
      <c r="E12867" s="7" t="s">
        <v>23</v>
      </c>
      <c r="F12867" s="8" t="str">
        <f ca="1">IFERROR(__xludf.DUMMYFUNCTION("IF
(
C12868=""фізична особа""
,
VLOOKUP(D12868,IMPORTRANGE(""https://docs.google.com/spreadsheets/d/14Bd19lYaqBhU8_DElYkX7l4wRkHqqCUFNJY4AfY3kHU/edit?usp=sharing  #gid=0"",""фіз особи new!relations_name""),6,FALSE)
,
(IF
(
C12868=""юридична особа""
,
VLOO"&amp;"KUP(D12868,IMPORTRANGE(""https://docs.google.com/spreadsheets/d/14Bd19lYaqBhU8_DElYkX7l4wRkHqqCUFNJY4AfY3kHU/edit?usp=sharing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67" s="7" t="s">
        <v>10</v>
      </c>
      <c r="H12867" s="7">
        <v>18314</v>
      </c>
      <c r="I12867" s="8" t="str">
        <f ca="1">IFERROR(__xludf.DUMMYFUNCTION("IF
(
G12868=""фізична особа""
,
VLOOKUP(H12868,IMPORTRANGE(""https://docs.google.com/spreadsheets/d/14Bd19lYaqBhU8_DElYkX7l4wRkHqqCUFNJY4AfY3kHU/edit?usp=sharing  #gid=0"",""фіз особи new!relations_name""),6,FALSE)
,
(IF
(
G12868=""юридична особа""
,
VLOO"&amp;"KUP(H12868,IMPORTRANGE(""https://docs.google.com/spreadsheets/d/14Bd19lYaqBhU8_DElYkX7l4wRkHqqCUFNJY4AfY3kHU/edit?usp=sharing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67" s="7" t="s">
        <v>23</v>
      </c>
    </row>
    <row r="12868" spans="1:10" ht="13.2">
      <c r="A12868" s="7">
        <v>12867</v>
      </c>
      <c r="B12868" s="7">
        <v>1</v>
      </c>
      <c r="C12868" s="7" t="s">
        <v>10</v>
      </c>
      <c r="D12868" s="7">
        <v>18313</v>
      </c>
      <c r="E12868" s="7" t="s">
        <v>23</v>
      </c>
      <c r="F12868" s="8" t="str">
        <f ca="1">IFERROR(__xludf.DUMMYFUNCTION("IF
(
C12869=""фізична особа""
,
VLOOKUP(D12869,IMPORTRANGE(""https://docs.google.com/spreadsheets/d/14Bd19lYaqBhU8_DElYkX7l4wRkHqqCUFNJY4AfY3kHU/edit?usp=sharing  #gid=0"",""фіз особи new!relations_name""),6,FALSE)
,
(IF
(
C12869=""юридична особа""
,
VLOO"&amp;"KUP(D12869,IMPORTRANGE(""https://docs.google.com/spreadsheets/d/14Bd19lYaqBhU8_DElYkX7l4wRkHqqCUFNJY4AfY3kHU/edit?usp=sharing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68" s="7" t="s">
        <v>10</v>
      </c>
      <c r="H12868" s="7">
        <v>18315</v>
      </c>
      <c r="I12868" s="8" t="str">
        <f ca="1">IFERROR(__xludf.DUMMYFUNCTION("IF
(
G12869=""фізична особа""
,
VLOOKUP(H12869,IMPORTRANGE(""https://docs.google.com/spreadsheets/d/14Bd19lYaqBhU8_DElYkX7l4wRkHqqCUFNJY4AfY3kHU/edit?usp=sharing  #gid=0"",""фіз особи new!relations_name""),6,FALSE)
,
(IF
(
G12869=""юридична особа""
,
VLOO"&amp;"KUP(H12869,IMPORTRANGE(""https://docs.google.com/spreadsheets/d/14Bd19lYaqBhU8_DElYkX7l4wRkHqqCUFNJY4AfY3kHU/edit?usp=sharing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68" s="7" t="s">
        <v>23</v>
      </c>
    </row>
    <row r="12869" spans="1:10" ht="13.2">
      <c r="A12869" s="7">
        <v>12868</v>
      </c>
      <c r="B12869" s="7">
        <v>1</v>
      </c>
      <c r="C12869" s="7" t="s">
        <v>10</v>
      </c>
      <c r="D12869" s="7">
        <v>18313</v>
      </c>
      <c r="E12869" s="7" t="s">
        <v>23</v>
      </c>
      <c r="F12869" s="8" t="str">
        <f ca="1">IFERROR(__xludf.DUMMYFUNCTION("IF
(
C12870=""фізична особа""
,
VLOOKUP(D12870,IMPORTRANGE(""https://docs.google.com/spreadsheets/d/14Bd19lYaqBhU8_DElYkX7l4wRkHqqCUFNJY4AfY3kHU/edit?usp=sharing  #gid=0"",""фіз особи new!relations_name""),6,FALSE)
,
(IF
(
C12870=""юридична особа""
,
VLOO"&amp;"KUP(D12870,IMPORTRANGE(""https://docs.google.com/spreadsheets/d/14Bd19lYaqBhU8_DElYkX7l4wRkHqqCUFNJY4AfY3kHU/edit?usp=sharing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69" s="7" t="s">
        <v>10</v>
      </c>
      <c r="H12869" s="7">
        <v>18316</v>
      </c>
      <c r="I12869" s="8" t="str">
        <f ca="1">IFERROR(__xludf.DUMMYFUNCTION("IF
(
G12870=""фізична особа""
,
VLOOKUP(H12870,IMPORTRANGE(""https://docs.google.com/spreadsheets/d/14Bd19lYaqBhU8_DElYkX7l4wRkHqqCUFNJY4AfY3kHU/edit?usp=sharing  #gid=0"",""фіз особи new!relations_name""),6,FALSE)
,
(IF
(
G12870=""юридична особа""
,
VLOO"&amp;"KUP(H12870,IMPORTRANGE(""https://docs.google.com/spreadsheets/d/14Bd19lYaqBhU8_DElYkX7l4wRkHqqCUFNJY4AfY3kHU/edit?usp=sharing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69" s="7" t="s">
        <v>23</v>
      </c>
    </row>
    <row r="12870" spans="1:10" ht="13.2">
      <c r="A12870" s="7">
        <v>12869</v>
      </c>
      <c r="B12870" s="7">
        <v>1</v>
      </c>
      <c r="C12870" s="7" t="s">
        <v>10</v>
      </c>
      <c r="D12870" s="7">
        <v>18313</v>
      </c>
      <c r="E12870" s="7" t="s">
        <v>23</v>
      </c>
      <c r="F12870" s="8" t="str">
        <f ca="1">IFERROR(__xludf.DUMMYFUNCTION("IF
(
C12871=""фізична особа""
,
VLOOKUP(D12871,IMPORTRANGE(""https://docs.google.com/spreadsheets/d/14Bd19lYaqBhU8_DElYkX7l4wRkHqqCUFNJY4AfY3kHU/edit?usp=sharing  #gid=0"",""фіз особи new!relations_name""),6,FALSE)
,
(IF
(
C12871=""юридична особа""
,
VLOO"&amp;"KUP(D12871,IMPORTRANGE(""https://docs.google.com/spreadsheets/d/14Bd19lYaqBhU8_DElYkX7l4wRkHqqCUFNJY4AfY3kHU/edit?usp=sharing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70" s="7" t="s">
        <v>10</v>
      </c>
      <c r="H12870" s="7">
        <v>18317</v>
      </c>
      <c r="I12870" s="8" t="str">
        <f ca="1">IFERROR(__xludf.DUMMYFUNCTION("IF
(
G12871=""фізична особа""
,
VLOOKUP(H12871,IMPORTRANGE(""https://docs.google.com/spreadsheets/d/14Bd19lYaqBhU8_DElYkX7l4wRkHqqCUFNJY4AfY3kHU/edit?usp=sharing  #gid=0"",""фіз особи new!relations_name""),6,FALSE)
,
(IF
(
G12871=""юридична особа""
,
VLOO"&amp;"KUP(H12871,IMPORTRANGE(""https://docs.google.com/spreadsheets/d/14Bd19lYaqBhU8_DElYkX7l4wRkHqqCUFNJY4AfY3kHU/edit?usp=sharing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70" s="7" t="s">
        <v>23</v>
      </c>
    </row>
    <row r="12871" spans="1:10" ht="13.2">
      <c r="A12871" s="7">
        <v>12870</v>
      </c>
      <c r="B12871" s="7">
        <v>1</v>
      </c>
      <c r="C12871" s="7" t="s">
        <v>10</v>
      </c>
      <c r="D12871" s="7">
        <v>18313</v>
      </c>
      <c r="E12871" s="7" t="s">
        <v>23</v>
      </c>
      <c r="F12871" s="8" t="str">
        <f ca="1">IFERROR(__xludf.DUMMYFUNCTION("IF
(
C12872=""фізична особа""
,
VLOOKUP(D12872,IMPORTRANGE(""https://docs.google.com/spreadsheets/d/14Bd19lYaqBhU8_DElYkX7l4wRkHqqCUFNJY4AfY3kHU/edit?usp=sharing  #gid=0"",""фіз особи new!relations_name""),6,FALSE)
,
(IF
(
C12872=""юридична особа""
,
VLOO"&amp;"KUP(D12872,IMPORTRANGE(""https://docs.google.com/spreadsheets/d/14Bd19lYaqBhU8_DElYkX7l4wRkHqqCUFNJY4AfY3kHU/edit?usp=sharing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G12871" s="7" t="s">
        <v>10</v>
      </c>
      <c r="H12871" s="7">
        <v>18318</v>
      </c>
      <c r="I12871" s="8" t="str">
        <f ca="1">IFERROR(__xludf.DUMMYFUNCTION("IF
(
G12872=""фізична особа""
,
VLOOKUP(H12872,IMPORTRANGE(""https://docs.google.com/spreadsheets/d/14Bd19lYaqBhU8_DElYkX7l4wRkHqqCUFNJY4AfY3kHU/edit?usp=sharing  #gid=0"",""фіз особи new!relations_name""),6,FALSE)
,
(IF
(
G12872=""юридична особа""
,
VLOO"&amp;"KUP(H12872,IMPORTRANGE(""https://docs.google.com/spreadsheets/d/14Bd19lYaqBhU8_DElYkX7l4wRkHqqCUFNJY4AfY3kHU/edit?usp=sharing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71" s="7" t="s">
        <v>23</v>
      </c>
    </row>
    <row r="12872" spans="1:10" ht="13.2">
      <c r="A12872" s="7">
        <v>12871</v>
      </c>
      <c r="B12872" s="7">
        <v>1</v>
      </c>
      <c r="C12872" s="7" t="s">
        <v>10</v>
      </c>
      <c r="D12872" s="7">
        <v>18314</v>
      </c>
      <c r="E12872" s="7" t="s">
        <v>23</v>
      </c>
      <c r="F12872" s="8" t="str">
        <f ca="1">IFERROR(__xludf.DUMMYFUNCTION("IF
(
C12873=""фізична особа""
,
VLOOKUP(D12873,IMPORTRANGE(""https://docs.google.com/spreadsheets/d/14Bd19lYaqBhU8_DElYkX7l4wRkHqqCUFNJY4AfY3kHU/edit?usp=sharing  #gid=0"",""фіз особи new!relations_name""),6,FALSE)
,
(IF
(
C12873=""юридична особа""
,
VLOO"&amp;"KUP(D12873,IMPORTRANGE(""https://docs.google.com/spreadsheets/d/14Bd19lYaqBhU8_DElYkX7l4wRkHqqCUFNJY4AfY3kHU/edit?usp=sharing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2" s="7" t="s">
        <v>10</v>
      </c>
      <c r="H12872" s="7">
        <v>18311</v>
      </c>
      <c r="I12872" s="8" t="str">
        <f ca="1">IFERROR(__xludf.DUMMYFUNCTION("IF
(
G12873=""фізична особа""
,
VLOOKUP(H12873,IMPORTRANGE(""https://docs.google.com/spreadsheets/d/14Bd19lYaqBhU8_DElYkX7l4wRkHqqCUFNJY4AfY3kHU/edit?usp=sharing  #gid=0"",""фіз особи new!relations_name""),6,FALSE)
,
(IF
(
G12873=""юридична особа""
,
VLOO"&amp;"KUP(H12873,IMPORTRANGE(""https://docs.google.com/spreadsheets/d/14Bd19lYaqBhU8_DElYkX7l4wRkHqqCUFNJY4AfY3kHU/edit?usp=sharing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72" s="7" t="s">
        <v>23</v>
      </c>
    </row>
    <row r="12873" spans="1:10" ht="13.2">
      <c r="A12873" s="7">
        <v>12872</v>
      </c>
      <c r="B12873" s="7">
        <v>1</v>
      </c>
      <c r="C12873" s="7" t="s">
        <v>10</v>
      </c>
      <c r="D12873" s="7">
        <v>18314</v>
      </c>
      <c r="E12873" s="7" t="s">
        <v>23</v>
      </c>
      <c r="F12873" s="8" t="str">
        <f ca="1">IFERROR(__xludf.DUMMYFUNCTION("IF
(
C12874=""фізична особа""
,
VLOOKUP(D12874,IMPORTRANGE(""https://docs.google.com/spreadsheets/d/14Bd19lYaqBhU8_DElYkX7l4wRkHqqCUFNJY4AfY3kHU/edit?usp=sharing  #gid=0"",""фіз особи new!relations_name""),6,FALSE)
,
(IF
(
C12874=""юридична особа""
,
VLOO"&amp;"KUP(D12874,IMPORTRANGE(""https://docs.google.com/spreadsheets/d/14Bd19lYaqBhU8_DElYkX7l4wRkHqqCUFNJY4AfY3kHU/edit?usp=sharing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3" s="7" t="s">
        <v>10</v>
      </c>
      <c r="H12873" s="7">
        <v>18312</v>
      </c>
      <c r="I12873" s="8" t="str">
        <f ca="1">IFERROR(__xludf.DUMMYFUNCTION("IF
(
G12874=""фізична особа""
,
VLOOKUP(H12874,IMPORTRANGE(""https://docs.google.com/spreadsheets/d/14Bd19lYaqBhU8_DElYkX7l4wRkHqqCUFNJY4AfY3kHU/edit?usp=sharing  #gid=0"",""фіз особи new!relations_name""),6,FALSE)
,
(IF
(
G12874=""юридична особа""
,
VLOO"&amp;"KUP(H12874,IMPORTRANGE(""https://docs.google.com/spreadsheets/d/14Bd19lYaqBhU8_DElYkX7l4wRkHqqCUFNJY4AfY3kHU/edit?usp=sharing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73" s="7" t="s">
        <v>23</v>
      </c>
    </row>
    <row r="12874" spans="1:10" ht="13.2">
      <c r="A12874" s="7">
        <v>12873</v>
      </c>
      <c r="B12874" s="7">
        <v>1</v>
      </c>
      <c r="C12874" s="7" t="s">
        <v>10</v>
      </c>
      <c r="D12874" s="7">
        <v>18314</v>
      </c>
      <c r="E12874" s="7" t="s">
        <v>23</v>
      </c>
      <c r="F12874" s="8" t="str">
        <f ca="1">IFERROR(__xludf.DUMMYFUNCTION("IF
(
C12875=""фізична особа""
,
VLOOKUP(D12875,IMPORTRANGE(""https://docs.google.com/spreadsheets/d/14Bd19lYaqBhU8_DElYkX7l4wRkHqqCUFNJY4AfY3kHU/edit?usp=sharing  #gid=0"",""фіз особи new!relations_name""),6,FALSE)
,
(IF
(
C12875=""юридична особа""
,
VLOO"&amp;"KUP(D12875,IMPORTRANGE(""https://docs.google.com/spreadsheets/d/14Bd19lYaqBhU8_DElYkX7l4wRkHqqCUFNJY4AfY3kHU/edit?usp=sharing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4" s="7" t="s">
        <v>10</v>
      </c>
      <c r="H12874" s="7">
        <v>18313</v>
      </c>
      <c r="I12874" s="8" t="str">
        <f ca="1">IFERROR(__xludf.DUMMYFUNCTION("IF
(
G12875=""фізична особа""
,
VLOOKUP(H12875,IMPORTRANGE(""https://docs.google.com/spreadsheets/d/14Bd19lYaqBhU8_DElYkX7l4wRkHqqCUFNJY4AfY3kHU/edit?usp=sharing  #gid=0"",""фіз особи new!relations_name""),6,FALSE)
,
(IF
(
G12875=""юридична особа""
,
VLOO"&amp;"KUP(H12875,IMPORTRANGE(""https://docs.google.com/spreadsheets/d/14Bd19lYaqBhU8_DElYkX7l4wRkHqqCUFNJY4AfY3kHU/edit?usp=sharing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74" s="7" t="s">
        <v>23</v>
      </c>
    </row>
    <row r="12875" spans="1:10" ht="13.2">
      <c r="A12875" s="7">
        <v>12874</v>
      </c>
      <c r="B12875" s="7">
        <v>1</v>
      </c>
      <c r="C12875" s="7" t="s">
        <v>10</v>
      </c>
      <c r="D12875" s="7">
        <v>18314</v>
      </c>
      <c r="E12875" s="7" t="s">
        <v>23</v>
      </c>
      <c r="F12875" s="8" t="str">
        <f ca="1">IFERROR(__xludf.DUMMYFUNCTION("IF
(
C12876=""фізична особа""
,
VLOOKUP(D12876,IMPORTRANGE(""https://docs.google.com/spreadsheets/d/14Bd19lYaqBhU8_DElYkX7l4wRkHqqCUFNJY4AfY3kHU/edit?usp=sharing  #gid=0"",""фіз особи new!relations_name""),6,FALSE)
,
(IF
(
C12876=""юридична особа""
,
VLOO"&amp;"KUP(D12876,IMPORTRANGE(""https://docs.google.com/spreadsheets/d/14Bd19lYaqBhU8_DElYkX7l4wRkHqqCUFNJY4AfY3kHU/edit?usp=sharing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5" s="7" t="s">
        <v>10</v>
      </c>
      <c r="H12875" s="7">
        <v>18315</v>
      </c>
      <c r="I12875" s="8" t="str">
        <f ca="1">IFERROR(__xludf.DUMMYFUNCTION("IF
(
G12876=""фізична особа""
,
VLOOKUP(H12876,IMPORTRANGE(""https://docs.google.com/spreadsheets/d/14Bd19lYaqBhU8_DElYkX7l4wRkHqqCUFNJY4AfY3kHU/edit?usp=sharing  #gid=0"",""фіз особи new!relations_name""),6,FALSE)
,
(IF
(
G12876=""юридична особа""
,
VLOO"&amp;"KUP(H12876,IMPORTRANGE(""https://docs.google.com/spreadsheets/d/14Bd19lYaqBhU8_DElYkX7l4wRkHqqCUFNJY4AfY3kHU/edit?usp=sharing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75" s="7" t="s">
        <v>23</v>
      </c>
    </row>
    <row r="12876" spans="1:10" ht="13.2">
      <c r="A12876" s="7">
        <v>12875</v>
      </c>
      <c r="B12876" s="7">
        <v>1</v>
      </c>
      <c r="C12876" s="7" t="s">
        <v>10</v>
      </c>
      <c r="D12876" s="7">
        <v>18314</v>
      </c>
      <c r="E12876" s="7" t="s">
        <v>23</v>
      </c>
      <c r="F12876" s="8" t="str">
        <f ca="1">IFERROR(__xludf.DUMMYFUNCTION("IF
(
C12877=""фізична особа""
,
VLOOKUP(D12877,IMPORTRANGE(""https://docs.google.com/spreadsheets/d/14Bd19lYaqBhU8_DElYkX7l4wRkHqqCUFNJY4AfY3kHU/edit?usp=sharing  #gid=0"",""фіз особи new!relations_name""),6,FALSE)
,
(IF
(
C12877=""юридична особа""
,
VLOO"&amp;"KUP(D12877,IMPORTRANGE(""https://docs.google.com/spreadsheets/d/14Bd19lYaqBhU8_DElYkX7l4wRkHqqCUFNJY4AfY3kHU/edit?usp=sharing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6" s="7" t="s">
        <v>10</v>
      </c>
      <c r="H12876" s="7">
        <v>18316</v>
      </c>
      <c r="I12876" s="8" t="str">
        <f ca="1">IFERROR(__xludf.DUMMYFUNCTION("IF
(
G12877=""фізична особа""
,
VLOOKUP(H12877,IMPORTRANGE(""https://docs.google.com/spreadsheets/d/14Bd19lYaqBhU8_DElYkX7l4wRkHqqCUFNJY4AfY3kHU/edit?usp=sharing  #gid=0"",""фіз особи new!relations_name""),6,FALSE)
,
(IF
(
G12877=""юридична особа""
,
VLOO"&amp;"KUP(H12877,IMPORTRANGE(""https://docs.google.com/spreadsheets/d/14Bd19lYaqBhU8_DElYkX7l4wRkHqqCUFNJY4AfY3kHU/edit?usp=sharing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76" s="7" t="s">
        <v>23</v>
      </c>
    </row>
    <row r="12877" spans="1:10" ht="13.2">
      <c r="A12877" s="7">
        <v>12876</v>
      </c>
      <c r="B12877" s="7">
        <v>1</v>
      </c>
      <c r="C12877" s="7" t="s">
        <v>10</v>
      </c>
      <c r="D12877" s="7">
        <v>18314</v>
      </c>
      <c r="E12877" s="7" t="s">
        <v>23</v>
      </c>
      <c r="F12877" s="8" t="str">
        <f ca="1">IFERROR(__xludf.DUMMYFUNCTION("IF
(
C12878=""фізична особа""
,
VLOOKUP(D12878,IMPORTRANGE(""https://docs.google.com/spreadsheets/d/14Bd19lYaqBhU8_DElYkX7l4wRkHqqCUFNJY4AfY3kHU/edit?usp=sharing  #gid=0"",""фіз особи new!relations_name""),6,FALSE)
,
(IF
(
C12878=""юридична особа""
,
VLOO"&amp;"KUP(D12878,IMPORTRANGE(""https://docs.google.com/spreadsheets/d/14Bd19lYaqBhU8_DElYkX7l4wRkHqqCUFNJY4AfY3kHU/edit?usp=sharing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7" s="7" t="s">
        <v>10</v>
      </c>
      <c r="H12877" s="7">
        <v>18317</v>
      </c>
      <c r="I12877" s="8" t="str">
        <f ca="1">IFERROR(__xludf.DUMMYFUNCTION("IF
(
G12878=""фізична особа""
,
VLOOKUP(H12878,IMPORTRANGE(""https://docs.google.com/spreadsheets/d/14Bd19lYaqBhU8_DElYkX7l4wRkHqqCUFNJY4AfY3kHU/edit?usp=sharing  #gid=0"",""фіз особи new!relations_name""),6,FALSE)
,
(IF
(
G12878=""юридична особа""
,
VLOO"&amp;"KUP(H12878,IMPORTRANGE(""https://docs.google.com/spreadsheets/d/14Bd19lYaqBhU8_DElYkX7l4wRkHqqCUFNJY4AfY3kHU/edit?usp=sharing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77" s="7" t="s">
        <v>23</v>
      </c>
    </row>
    <row r="12878" spans="1:10" ht="13.2">
      <c r="A12878" s="7">
        <v>12877</v>
      </c>
      <c r="B12878" s="7">
        <v>1</v>
      </c>
      <c r="C12878" s="7" t="s">
        <v>10</v>
      </c>
      <c r="D12878" s="7">
        <v>18314</v>
      </c>
      <c r="E12878" s="7" t="s">
        <v>23</v>
      </c>
      <c r="F12878" s="8" t="str">
        <f ca="1">IFERROR(__xludf.DUMMYFUNCTION("IF
(
C12879=""фізична особа""
,
VLOOKUP(D12879,IMPORTRANGE(""https://docs.google.com/spreadsheets/d/14Bd19lYaqBhU8_DElYkX7l4wRkHqqCUFNJY4AfY3kHU/edit?usp=sharing  #gid=0"",""фіз особи new!relations_name""),6,FALSE)
,
(IF
(
C12879=""юридична особа""
,
VLOO"&amp;"KUP(D12879,IMPORTRANGE(""https://docs.google.com/spreadsheets/d/14Bd19lYaqBhU8_DElYkX7l4wRkHqqCUFNJY4AfY3kHU/edit?usp=sharing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G12878" s="7" t="s">
        <v>10</v>
      </c>
      <c r="H12878" s="7">
        <v>18318</v>
      </c>
      <c r="I12878" s="8" t="str">
        <f ca="1">IFERROR(__xludf.DUMMYFUNCTION("IF
(
G12879=""фізична особа""
,
VLOOKUP(H12879,IMPORTRANGE(""https://docs.google.com/spreadsheets/d/14Bd19lYaqBhU8_DElYkX7l4wRkHqqCUFNJY4AfY3kHU/edit?usp=sharing  #gid=0"",""фіз особи new!relations_name""),6,FALSE)
,
(IF
(
G12879=""юридична особа""
,
VLOO"&amp;"KUP(H12879,IMPORTRANGE(""https://docs.google.com/spreadsheets/d/14Bd19lYaqBhU8_DElYkX7l4wRkHqqCUFNJY4AfY3kHU/edit?usp=sharing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78" s="7" t="s">
        <v>23</v>
      </c>
    </row>
    <row r="12879" spans="1:10" ht="13.2">
      <c r="A12879" s="7">
        <v>12878</v>
      </c>
      <c r="B12879" s="7">
        <v>1</v>
      </c>
      <c r="C12879" s="7" t="s">
        <v>10</v>
      </c>
      <c r="D12879" s="7">
        <v>18315</v>
      </c>
      <c r="E12879" s="7" t="s">
        <v>23</v>
      </c>
      <c r="F12879" s="8" t="str">
        <f ca="1">IFERROR(__xludf.DUMMYFUNCTION("IF
(
C12880=""фізична особа""
,
VLOOKUP(D12880,IMPORTRANGE(""https://docs.google.com/spreadsheets/d/14Bd19lYaqBhU8_DElYkX7l4wRkHqqCUFNJY4AfY3kHU/edit?usp=sharing  #gid=0"",""фіз особи new!relations_name""),6,FALSE)
,
(IF
(
C12880=""юридична особа""
,
VLOO"&amp;"KUP(D12880,IMPORTRANGE(""https://docs.google.com/spreadsheets/d/14Bd19lYaqBhU8_DElYkX7l4wRkHqqCUFNJY4AfY3kHU/edit?usp=sharing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79" s="7" t="s">
        <v>10</v>
      </c>
      <c r="H12879" s="7">
        <v>18311</v>
      </c>
      <c r="I12879" s="8" t="str">
        <f ca="1">IFERROR(__xludf.DUMMYFUNCTION("IF
(
G12880=""фізична особа""
,
VLOOKUP(H12880,IMPORTRANGE(""https://docs.google.com/spreadsheets/d/14Bd19lYaqBhU8_DElYkX7l4wRkHqqCUFNJY4AfY3kHU/edit?usp=sharing  #gid=0"",""фіз особи new!relations_name""),6,FALSE)
,
(IF
(
G12880=""юридична особа""
,
VLOO"&amp;"KUP(H12880,IMPORTRANGE(""https://docs.google.com/spreadsheets/d/14Bd19lYaqBhU8_DElYkX7l4wRkHqqCUFNJY4AfY3kHU/edit?usp=sharing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79" s="7" t="s">
        <v>23</v>
      </c>
    </row>
    <row r="12880" spans="1:10" ht="13.2">
      <c r="A12880" s="7">
        <v>12879</v>
      </c>
      <c r="B12880" s="7">
        <v>1</v>
      </c>
      <c r="C12880" s="7" t="s">
        <v>10</v>
      </c>
      <c r="D12880" s="7">
        <v>18315</v>
      </c>
      <c r="E12880" s="7" t="s">
        <v>23</v>
      </c>
      <c r="F12880" s="8" t="str">
        <f ca="1">IFERROR(__xludf.DUMMYFUNCTION("IF
(
C12881=""фізична особа""
,
VLOOKUP(D12881,IMPORTRANGE(""https://docs.google.com/spreadsheets/d/14Bd19lYaqBhU8_DElYkX7l4wRkHqqCUFNJY4AfY3kHU/edit?usp=sharing  #gid=0"",""фіз особи new!relations_name""),6,FALSE)
,
(IF
(
C12881=""юридична особа""
,
VLOO"&amp;"KUP(D12881,IMPORTRANGE(""https://docs.google.com/spreadsheets/d/14Bd19lYaqBhU8_DElYkX7l4wRkHqqCUFNJY4AfY3kHU/edit?usp=sharing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0" s="7" t="s">
        <v>10</v>
      </c>
      <c r="H12880" s="7">
        <v>18312</v>
      </c>
      <c r="I12880" s="8" t="str">
        <f ca="1">IFERROR(__xludf.DUMMYFUNCTION("IF
(
G12881=""фізична особа""
,
VLOOKUP(H12881,IMPORTRANGE(""https://docs.google.com/spreadsheets/d/14Bd19lYaqBhU8_DElYkX7l4wRkHqqCUFNJY4AfY3kHU/edit?usp=sharing  #gid=0"",""фіз особи new!relations_name""),6,FALSE)
,
(IF
(
G12881=""юридична особа""
,
VLOO"&amp;"KUP(H12881,IMPORTRANGE(""https://docs.google.com/spreadsheets/d/14Bd19lYaqBhU8_DElYkX7l4wRkHqqCUFNJY4AfY3kHU/edit?usp=sharing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80" s="7" t="s">
        <v>23</v>
      </c>
    </row>
    <row r="12881" spans="1:10" ht="13.2">
      <c r="A12881" s="7">
        <v>12880</v>
      </c>
      <c r="B12881" s="7">
        <v>1</v>
      </c>
      <c r="C12881" s="7" t="s">
        <v>10</v>
      </c>
      <c r="D12881" s="7">
        <v>18315</v>
      </c>
      <c r="E12881" s="7" t="s">
        <v>23</v>
      </c>
      <c r="F12881" s="8" t="str">
        <f ca="1">IFERROR(__xludf.DUMMYFUNCTION("IF
(
C12882=""фізична особа""
,
VLOOKUP(D12882,IMPORTRANGE(""https://docs.google.com/spreadsheets/d/14Bd19lYaqBhU8_DElYkX7l4wRkHqqCUFNJY4AfY3kHU/edit?usp=sharing  #gid=0"",""фіз особи new!relations_name""),6,FALSE)
,
(IF
(
C12882=""юридична особа""
,
VLOO"&amp;"KUP(D12882,IMPORTRANGE(""https://docs.google.com/spreadsheets/d/14Bd19lYaqBhU8_DElYkX7l4wRkHqqCUFNJY4AfY3kHU/edit?usp=sharing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1" s="7" t="s">
        <v>10</v>
      </c>
      <c r="H12881" s="7">
        <v>18313</v>
      </c>
      <c r="I12881" s="8" t="str">
        <f ca="1">IFERROR(__xludf.DUMMYFUNCTION("IF
(
G12882=""фізична особа""
,
VLOOKUP(H12882,IMPORTRANGE(""https://docs.google.com/spreadsheets/d/14Bd19lYaqBhU8_DElYkX7l4wRkHqqCUFNJY4AfY3kHU/edit?usp=sharing  #gid=0"",""фіз особи new!relations_name""),6,FALSE)
,
(IF
(
G12882=""юридична особа""
,
VLOO"&amp;"KUP(H12882,IMPORTRANGE(""https://docs.google.com/spreadsheets/d/14Bd19lYaqBhU8_DElYkX7l4wRkHqqCUFNJY4AfY3kHU/edit?usp=sharing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81" s="7" t="s">
        <v>23</v>
      </c>
    </row>
    <row r="12882" spans="1:10" ht="13.2">
      <c r="A12882" s="7">
        <v>12881</v>
      </c>
      <c r="B12882" s="7">
        <v>1</v>
      </c>
      <c r="C12882" s="7" t="s">
        <v>10</v>
      </c>
      <c r="D12882" s="7">
        <v>18315</v>
      </c>
      <c r="E12882" s="7" t="s">
        <v>23</v>
      </c>
      <c r="F12882" s="8" t="str">
        <f ca="1">IFERROR(__xludf.DUMMYFUNCTION("IF
(
C12883=""фізична особа""
,
VLOOKUP(D12883,IMPORTRANGE(""https://docs.google.com/spreadsheets/d/14Bd19lYaqBhU8_DElYkX7l4wRkHqqCUFNJY4AfY3kHU/edit?usp=sharing  #gid=0"",""фіз особи new!relations_name""),6,FALSE)
,
(IF
(
C12883=""юридична особа""
,
VLOO"&amp;"KUP(D12883,IMPORTRANGE(""https://docs.google.com/spreadsheets/d/14Bd19lYaqBhU8_DElYkX7l4wRkHqqCUFNJY4AfY3kHU/edit?usp=sharing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2" s="7" t="s">
        <v>10</v>
      </c>
      <c r="H12882" s="7">
        <v>18314</v>
      </c>
      <c r="I12882" s="8" t="str">
        <f ca="1">IFERROR(__xludf.DUMMYFUNCTION("IF
(
G12883=""фізична особа""
,
VLOOKUP(H12883,IMPORTRANGE(""https://docs.google.com/spreadsheets/d/14Bd19lYaqBhU8_DElYkX7l4wRkHqqCUFNJY4AfY3kHU/edit?usp=sharing  #gid=0"",""фіз особи new!relations_name""),6,FALSE)
,
(IF
(
G12883=""юридична особа""
,
VLOO"&amp;"KUP(H12883,IMPORTRANGE(""https://docs.google.com/spreadsheets/d/14Bd19lYaqBhU8_DElYkX7l4wRkHqqCUFNJY4AfY3kHU/edit?usp=sharing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82" s="7" t="s">
        <v>23</v>
      </c>
    </row>
    <row r="12883" spans="1:10" ht="13.2">
      <c r="A12883" s="7">
        <v>12882</v>
      </c>
      <c r="B12883" s="7">
        <v>1</v>
      </c>
      <c r="C12883" s="7" t="s">
        <v>10</v>
      </c>
      <c r="D12883" s="7">
        <v>18315</v>
      </c>
      <c r="E12883" s="7" t="s">
        <v>23</v>
      </c>
      <c r="F12883" s="8" t="str">
        <f ca="1">IFERROR(__xludf.DUMMYFUNCTION("IF
(
C12884=""фізична особа""
,
VLOOKUP(D12884,IMPORTRANGE(""https://docs.google.com/spreadsheets/d/14Bd19lYaqBhU8_DElYkX7l4wRkHqqCUFNJY4AfY3kHU/edit?usp=sharing  #gid=0"",""фіз особи new!relations_name""),6,FALSE)
,
(IF
(
C12884=""юридична особа""
,
VLOO"&amp;"KUP(D12884,IMPORTRANGE(""https://docs.google.com/spreadsheets/d/14Bd19lYaqBhU8_DElYkX7l4wRkHqqCUFNJY4AfY3kHU/edit?usp=sharing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3" s="7" t="s">
        <v>10</v>
      </c>
      <c r="H12883" s="7">
        <v>18316</v>
      </c>
      <c r="I12883" s="8" t="str">
        <f ca="1">IFERROR(__xludf.DUMMYFUNCTION("IF
(
G12884=""фізична особа""
,
VLOOKUP(H12884,IMPORTRANGE(""https://docs.google.com/spreadsheets/d/14Bd19lYaqBhU8_DElYkX7l4wRkHqqCUFNJY4AfY3kHU/edit?usp=sharing  #gid=0"",""фіз особи new!relations_name""),6,FALSE)
,
(IF
(
G12884=""юридична особа""
,
VLOO"&amp;"KUP(H12884,IMPORTRANGE(""https://docs.google.com/spreadsheets/d/14Bd19lYaqBhU8_DElYkX7l4wRkHqqCUFNJY4AfY3kHU/edit?usp=sharing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83" s="7" t="s">
        <v>23</v>
      </c>
    </row>
    <row r="12884" spans="1:10" ht="13.2">
      <c r="A12884" s="7">
        <v>12883</v>
      </c>
      <c r="B12884" s="7">
        <v>1</v>
      </c>
      <c r="C12884" s="7" t="s">
        <v>10</v>
      </c>
      <c r="D12884" s="7">
        <v>18315</v>
      </c>
      <c r="E12884" s="7" t="s">
        <v>23</v>
      </c>
      <c r="F12884" s="8" t="str">
        <f ca="1">IFERROR(__xludf.DUMMYFUNCTION("IF
(
C12885=""фізична особа""
,
VLOOKUP(D12885,IMPORTRANGE(""https://docs.google.com/spreadsheets/d/14Bd19lYaqBhU8_DElYkX7l4wRkHqqCUFNJY4AfY3kHU/edit?usp=sharing  #gid=0"",""фіз особи new!relations_name""),6,FALSE)
,
(IF
(
C12885=""юридична особа""
,
VLOO"&amp;"KUP(D12885,IMPORTRANGE(""https://docs.google.com/spreadsheets/d/14Bd19lYaqBhU8_DElYkX7l4wRkHqqCUFNJY4AfY3kHU/edit?usp=sharing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4" s="7" t="s">
        <v>10</v>
      </c>
      <c r="H12884" s="7">
        <v>18317</v>
      </c>
      <c r="I12884" s="8" t="str">
        <f ca="1">IFERROR(__xludf.DUMMYFUNCTION("IF
(
G12885=""фізична особа""
,
VLOOKUP(H12885,IMPORTRANGE(""https://docs.google.com/spreadsheets/d/14Bd19lYaqBhU8_DElYkX7l4wRkHqqCUFNJY4AfY3kHU/edit?usp=sharing  #gid=0"",""фіз особи new!relations_name""),6,FALSE)
,
(IF
(
G12885=""юридична особа""
,
VLOO"&amp;"KUP(H12885,IMPORTRANGE(""https://docs.google.com/spreadsheets/d/14Bd19lYaqBhU8_DElYkX7l4wRkHqqCUFNJY4AfY3kHU/edit?usp=sharing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84" s="7" t="s">
        <v>23</v>
      </c>
    </row>
    <row r="12885" spans="1:10" ht="13.2">
      <c r="A12885" s="7">
        <v>12884</v>
      </c>
      <c r="B12885" s="7">
        <v>1</v>
      </c>
      <c r="C12885" s="7" t="s">
        <v>10</v>
      </c>
      <c r="D12885" s="7">
        <v>18315</v>
      </c>
      <c r="E12885" s="7" t="s">
        <v>23</v>
      </c>
      <c r="F12885" s="8" t="str">
        <f ca="1">IFERROR(__xludf.DUMMYFUNCTION("IF
(
C12886=""фізична особа""
,
VLOOKUP(D12886,IMPORTRANGE(""https://docs.google.com/spreadsheets/d/14Bd19lYaqBhU8_DElYkX7l4wRkHqqCUFNJY4AfY3kHU/edit?usp=sharing  #gid=0"",""фіз особи new!relations_name""),6,FALSE)
,
(IF
(
C12886=""юридична особа""
,
VLOO"&amp;"KUP(D12886,IMPORTRANGE(""https://docs.google.com/spreadsheets/d/14Bd19lYaqBhU8_DElYkX7l4wRkHqqCUFNJY4AfY3kHU/edit?usp=sharing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G12885" s="7" t="s">
        <v>10</v>
      </c>
      <c r="H12885" s="7">
        <v>18318</v>
      </c>
      <c r="I12885" s="8" t="str">
        <f ca="1">IFERROR(__xludf.DUMMYFUNCTION("IF
(
G12886=""фізична особа""
,
VLOOKUP(H12886,IMPORTRANGE(""https://docs.google.com/spreadsheets/d/14Bd19lYaqBhU8_DElYkX7l4wRkHqqCUFNJY4AfY3kHU/edit?usp=sharing  #gid=0"",""фіз особи new!relations_name""),6,FALSE)
,
(IF
(
G12886=""юридична особа""
,
VLOO"&amp;"KUP(H12886,IMPORTRANGE(""https://docs.google.com/spreadsheets/d/14Bd19lYaqBhU8_DElYkX7l4wRkHqqCUFNJY4AfY3kHU/edit?usp=sharing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85" s="7" t="s">
        <v>23</v>
      </c>
    </row>
    <row r="12886" spans="1:10" ht="13.2">
      <c r="A12886" s="7">
        <v>12885</v>
      </c>
      <c r="B12886" s="7">
        <v>1</v>
      </c>
      <c r="C12886" s="7" t="s">
        <v>10</v>
      </c>
      <c r="D12886" s="7">
        <v>18316</v>
      </c>
      <c r="E12886" s="7" t="s">
        <v>23</v>
      </c>
      <c r="F12886" s="8" t="str">
        <f ca="1">IFERROR(__xludf.DUMMYFUNCTION("IF
(
C12887=""фізична особа""
,
VLOOKUP(D12887,IMPORTRANGE(""https://docs.google.com/spreadsheets/d/14Bd19lYaqBhU8_DElYkX7l4wRkHqqCUFNJY4AfY3kHU/edit?usp=sharing  #gid=0"",""фіз особи new!relations_name""),6,FALSE)
,
(IF
(
C12887=""юридична особа""
,
VLOO"&amp;"KUP(D12887,IMPORTRANGE(""https://docs.google.com/spreadsheets/d/14Bd19lYaqBhU8_DElYkX7l4wRkHqqCUFNJY4AfY3kHU/edit?usp=sharing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86" s="7" t="s">
        <v>10</v>
      </c>
      <c r="H12886" s="7">
        <v>18311</v>
      </c>
      <c r="I12886" s="8" t="str">
        <f ca="1">IFERROR(__xludf.DUMMYFUNCTION("IF
(
G12887=""фізична особа""
,
VLOOKUP(H12887,IMPORTRANGE(""https://docs.google.com/spreadsheets/d/14Bd19lYaqBhU8_DElYkX7l4wRkHqqCUFNJY4AfY3kHU/edit?usp=sharing  #gid=0"",""фіз особи new!relations_name""),6,FALSE)
,
(IF
(
G12887=""юридична особа""
,
VLOO"&amp;"KUP(H12887,IMPORTRANGE(""https://docs.google.com/spreadsheets/d/14Bd19lYaqBhU8_DElYkX7l4wRkHqqCUFNJY4AfY3kHU/edit?usp=sharing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86" s="7" t="s">
        <v>23</v>
      </c>
    </row>
    <row r="12887" spans="1:10" ht="13.2">
      <c r="A12887" s="7">
        <v>12886</v>
      </c>
      <c r="B12887" s="7">
        <v>1</v>
      </c>
      <c r="C12887" s="7" t="s">
        <v>10</v>
      </c>
      <c r="D12887" s="7">
        <v>18316</v>
      </c>
      <c r="E12887" s="7" t="s">
        <v>23</v>
      </c>
      <c r="F12887" s="8" t="str">
        <f ca="1">IFERROR(__xludf.DUMMYFUNCTION("IF
(
C12888=""фізична особа""
,
VLOOKUP(D12888,IMPORTRANGE(""https://docs.google.com/spreadsheets/d/14Bd19lYaqBhU8_DElYkX7l4wRkHqqCUFNJY4AfY3kHU/edit?usp=sharing  #gid=0"",""фіз особи new!relations_name""),6,FALSE)
,
(IF
(
C12888=""юридична особа""
,
VLOO"&amp;"KUP(D12888,IMPORTRANGE(""https://docs.google.com/spreadsheets/d/14Bd19lYaqBhU8_DElYkX7l4wRkHqqCUFNJY4AfY3kHU/edit?usp=sharing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87" s="7" t="s">
        <v>10</v>
      </c>
      <c r="H12887" s="7">
        <v>18312</v>
      </c>
      <c r="I12887" s="8" t="str">
        <f ca="1">IFERROR(__xludf.DUMMYFUNCTION("IF
(
G12888=""фізична особа""
,
VLOOKUP(H12888,IMPORTRANGE(""https://docs.google.com/spreadsheets/d/14Bd19lYaqBhU8_DElYkX7l4wRkHqqCUFNJY4AfY3kHU/edit?usp=sharing  #gid=0"",""фіз особи new!relations_name""),6,FALSE)
,
(IF
(
G12888=""юридична особа""
,
VLOO"&amp;"KUP(H12888,IMPORTRANGE(""https://docs.google.com/spreadsheets/d/14Bd19lYaqBhU8_DElYkX7l4wRkHqqCUFNJY4AfY3kHU/edit?usp=sharing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87" s="7" t="s">
        <v>23</v>
      </c>
    </row>
    <row r="12888" spans="1:10" ht="13.2">
      <c r="A12888" s="7">
        <v>12887</v>
      </c>
      <c r="B12888" s="7">
        <v>1</v>
      </c>
      <c r="C12888" s="7" t="s">
        <v>10</v>
      </c>
      <c r="D12888" s="7">
        <v>18316</v>
      </c>
      <c r="E12888" s="7" t="s">
        <v>23</v>
      </c>
      <c r="F12888" s="8" t="str">
        <f ca="1">IFERROR(__xludf.DUMMYFUNCTION("IF
(
C12889=""фізична особа""
,
VLOOKUP(D12889,IMPORTRANGE(""https://docs.google.com/spreadsheets/d/14Bd19lYaqBhU8_DElYkX7l4wRkHqqCUFNJY4AfY3kHU/edit?usp=sharing  #gid=0"",""фіз особи new!relations_name""),6,FALSE)
,
(IF
(
C12889=""юридична особа""
,
VLOO"&amp;"KUP(D12889,IMPORTRANGE(""https://docs.google.com/spreadsheets/d/14Bd19lYaqBhU8_DElYkX7l4wRkHqqCUFNJY4AfY3kHU/edit?usp=sharing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88" s="7" t="s">
        <v>10</v>
      </c>
      <c r="H12888" s="7">
        <v>18313</v>
      </c>
      <c r="I12888" s="8" t="str">
        <f ca="1">IFERROR(__xludf.DUMMYFUNCTION("IF
(
G12889=""фізична особа""
,
VLOOKUP(H12889,IMPORTRANGE(""https://docs.google.com/spreadsheets/d/14Bd19lYaqBhU8_DElYkX7l4wRkHqqCUFNJY4AfY3kHU/edit?usp=sharing  #gid=0"",""фіз особи new!relations_name""),6,FALSE)
,
(IF
(
G12889=""юридична особа""
,
VLOO"&amp;"KUP(H12889,IMPORTRANGE(""https://docs.google.com/spreadsheets/d/14Bd19lYaqBhU8_DElYkX7l4wRkHqqCUFNJY4AfY3kHU/edit?usp=sharing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88" s="7" t="s">
        <v>23</v>
      </c>
    </row>
    <row r="12889" spans="1:10" ht="13.2">
      <c r="A12889" s="7">
        <v>12888</v>
      </c>
      <c r="B12889" s="7">
        <v>1</v>
      </c>
      <c r="C12889" s="7" t="s">
        <v>10</v>
      </c>
      <c r="D12889" s="7">
        <v>18316</v>
      </c>
      <c r="E12889" s="7" t="s">
        <v>23</v>
      </c>
      <c r="F12889" s="8" t="str">
        <f ca="1">IFERROR(__xludf.DUMMYFUNCTION("IF
(
C12890=""фізична особа""
,
VLOOKUP(D12890,IMPORTRANGE(""https://docs.google.com/spreadsheets/d/14Bd19lYaqBhU8_DElYkX7l4wRkHqqCUFNJY4AfY3kHU/edit?usp=sharing  #gid=0"",""фіз особи new!relations_name""),6,FALSE)
,
(IF
(
C12890=""юридична особа""
,
VLOO"&amp;"KUP(D12890,IMPORTRANGE(""https://docs.google.com/spreadsheets/d/14Bd19lYaqBhU8_DElYkX7l4wRkHqqCUFNJY4AfY3kHU/edit?usp=sharing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89" s="7" t="s">
        <v>10</v>
      </c>
      <c r="H12889" s="7">
        <v>18314</v>
      </c>
      <c r="I12889" s="8" t="str">
        <f ca="1">IFERROR(__xludf.DUMMYFUNCTION("IF
(
G12890=""фізична особа""
,
VLOOKUP(H12890,IMPORTRANGE(""https://docs.google.com/spreadsheets/d/14Bd19lYaqBhU8_DElYkX7l4wRkHqqCUFNJY4AfY3kHU/edit?usp=sharing  #gid=0"",""фіз особи new!relations_name""),6,FALSE)
,
(IF
(
G12890=""юридична особа""
,
VLOO"&amp;"KUP(H12890,IMPORTRANGE(""https://docs.google.com/spreadsheets/d/14Bd19lYaqBhU8_DElYkX7l4wRkHqqCUFNJY4AfY3kHU/edit?usp=sharing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89" s="7" t="s">
        <v>23</v>
      </c>
    </row>
    <row r="12890" spans="1:10" ht="13.2">
      <c r="A12890" s="7">
        <v>12889</v>
      </c>
      <c r="B12890" s="7">
        <v>1</v>
      </c>
      <c r="C12890" s="7" t="s">
        <v>10</v>
      </c>
      <c r="D12890" s="7">
        <v>18316</v>
      </c>
      <c r="E12890" s="7" t="s">
        <v>23</v>
      </c>
      <c r="F12890" s="8" t="str">
        <f ca="1">IFERROR(__xludf.DUMMYFUNCTION("IF
(
C12891=""фізична особа""
,
VLOOKUP(D12891,IMPORTRANGE(""https://docs.google.com/spreadsheets/d/14Bd19lYaqBhU8_DElYkX7l4wRkHqqCUFNJY4AfY3kHU/edit?usp=sharing  #gid=0"",""фіз особи new!relations_name""),6,FALSE)
,
(IF
(
C12891=""юридична особа""
,
VLOO"&amp;"KUP(D12891,IMPORTRANGE(""https://docs.google.com/spreadsheets/d/14Bd19lYaqBhU8_DElYkX7l4wRkHqqCUFNJY4AfY3kHU/edit?usp=sharing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90" s="7" t="s">
        <v>10</v>
      </c>
      <c r="H12890" s="7">
        <v>18315</v>
      </c>
      <c r="I12890" s="8" t="str">
        <f ca="1">IFERROR(__xludf.DUMMYFUNCTION("IF
(
G12891=""фізична особа""
,
VLOOKUP(H12891,IMPORTRANGE(""https://docs.google.com/spreadsheets/d/14Bd19lYaqBhU8_DElYkX7l4wRkHqqCUFNJY4AfY3kHU/edit?usp=sharing  #gid=0"",""фіз особи new!relations_name""),6,FALSE)
,
(IF
(
G12891=""юридична особа""
,
VLOO"&amp;"KUP(H12891,IMPORTRANGE(""https://docs.google.com/spreadsheets/d/14Bd19lYaqBhU8_DElYkX7l4wRkHqqCUFNJY4AfY3kHU/edit?usp=sharing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90" s="7" t="s">
        <v>23</v>
      </c>
    </row>
    <row r="12891" spans="1:10" ht="13.2">
      <c r="A12891" s="7">
        <v>12890</v>
      </c>
      <c r="B12891" s="7">
        <v>1</v>
      </c>
      <c r="C12891" s="7" t="s">
        <v>10</v>
      </c>
      <c r="D12891" s="7">
        <v>18316</v>
      </c>
      <c r="E12891" s="7" t="s">
        <v>23</v>
      </c>
      <c r="F12891" s="8" t="str">
        <f ca="1">IFERROR(__xludf.DUMMYFUNCTION("IF
(
C12892=""фізична особа""
,
VLOOKUP(D12892,IMPORTRANGE(""https://docs.google.com/spreadsheets/d/14Bd19lYaqBhU8_DElYkX7l4wRkHqqCUFNJY4AfY3kHU/edit?usp=sharing  #gid=0"",""фіз особи new!relations_name""),6,FALSE)
,
(IF
(
C12892=""юридична особа""
,
VLOO"&amp;"KUP(D12892,IMPORTRANGE(""https://docs.google.com/spreadsheets/d/14Bd19lYaqBhU8_DElYkX7l4wRkHqqCUFNJY4AfY3kHU/edit?usp=sharing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91" s="7" t="s">
        <v>10</v>
      </c>
      <c r="H12891" s="7">
        <v>18317</v>
      </c>
      <c r="I12891" s="8" t="str">
        <f ca="1">IFERROR(__xludf.DUMMYFUNCTION("IF
(
G12892=""фізична особа""
,
VLOOKUP(H12892,IMPORTRANGE(""https://docs.google.com/spreadsheets/d/14Bd19lYaqBhU8_DElYkX7l4wRkHqqCUFNJY4AfY3kHU/edit?usp=sharing  #gid=0"",""фіз особи new!relations_name""),6,FALSE)
,
(IF
(
G12892=""юридична особа""
,
VLOO"&amp;"KUP(H12892,IMPORTRANGE(""https://docs.google.com/spreadsheets/d/14Bd19lYaqBhU8_DElYkX7l4wRkHqqCUFNJY4AfY3kHU/edit?usp=sharing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891" s="7" t="s">
        <v>23</v>
      </c>
    </row>
    <row r="12892" spans="1:10" ht="13.2">
      <c r="A12892" s="7">
        <v>12891</v>
      </c>
      <c r="B12892" s="7">
        <v>1</v>
      </c>
      <c r="C12892" s="7" t="s">
        <v>10</v>
      </c>
      <c r="D12892" s="7">
        <v>18316</v>
      </c>
      <c r="E12892" s="7" t="s">
        <v>23</v>
      </c>
      <c r="F12892" s="8" t="str">
        <f ca="1">IFERROR(__xludf.DUMMYFUNCTION("IF
(
C12893=""фізична особа""
,
VLOOKUP(D12893,IMPORTRANGE(""https://docs.google.com/spreadsheets/d/14Bd19lYaqBhU8_DElYkX7l4wRkHqqCUFNJY4AfY3kHU/edit?usp=sharing  #gid=0"",""фіз особи new!relations_name""),6,FALSE)
,
(IF
(
C12893=""юридична особа""
,
VLOO"&amp;"KUP(D12893,IMPORTRANGE(""https://docs.google.com/spreadsheets/d/14Bd19lYaqBhU8_DElYkX7l4wRkHqqCUFNJY4AfY3kHU/edit?usp=sharing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G12892" s="7" t="s">
        <v>10</v>
      </c>
      <c r="H12892" s="7">
        <v>18318</v>
      </c>
      <c r="I12892" s="8" t="str">
        <f ca="1">IFERROR(__xludf.DUMMYFUNCTION("IF
(
G12893=""фізична особа""
,
VLOOKUP(H12893,IMPORTRANGE(""https://docs.google.com/spreadsheets/d/14Bd19lYaqBhU8_DElYkX7l4wRkHqqCUFNJY4AfY3kHU/edit?usp=sharing  #gid=0"",""фіз особи new!relations_name""),6,FALSE)
,
(IF
(
G12893=""юридична особа""
,
VLOO"&amp;"KUP(H12893,IMPORTRANGE(""https://docs.google.com/spreadsheets/d/14Bd19lYaqBhU8_DElYkX7l4wRkHqqCUFNJY4AfY3kHU/edit?usp=sharing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92" s="7" t="s">
        <v>23</v>
      </c>
    </row>
    <row r="12893" spans="1:10" ht="13.2">
      <c r="A12893" s="7">
        <v>12892</v>
      </c>
      <c r="B12893" s="7">
        <v>1</v>
      </c>
      <c r="C12893" s="7" t="s">
        <v>10</v>
      </c>
      <c r="D12893" s="7">
        <v>18317</v>
      </c>
      <c r="E12893" s="7" t="s">
        <v>23</v>
      </c>
      <c r="F12893" s="8" t="str">
        <f ca="1">IFERROR(__xludf.DUMMYFUNCTION("IF
(
C12894=""фізична особа""
,
VLOOKUP(D12894,IMPORTRANGE(""https://docs.google.com/spreadsheets/d/14Bd19lYaqBhU8_DElYkX7l4wRkHqqCUFNJY4AfY3kHU/edit?usp=sharing  #gid=0"",""фіз особи new!relations_name""),6,FALSE)
,
(IF
(
C12894=""юридична особа""
,
VLOO"&amp;"KUP(D12894,IMPORTRANGE(""https://docs.google.com/spreadsheets/d/14Bd19lYaqBhU8_DElYkX7l4wRkHqqCUFNJY4AfY3kHU/edit?usp=sharing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3" s="7" t="s">
        <v>10</v>
      </c>
      <c r="H12893" s="7">
        <v>18311</v>
      </c>
      <c r="I12893" s="8" t="str">
        <f ca="1">IFERROR(__xludf.DUMMYFUNCTION("IF
(
G12894=""фізична особа""
,
VLOOKUP(H12894,IMPORTRANGE(""https://docs.google.com/spreadsheets/d/14Bd19lYaqBhU8_DElYkX7l4wRkHqqCUFNJY4AfY3kHU/edit?usp=sharing  #gid=0"",""фіз особи new!relations_name""),6,FALSE)
,
(IF
(
G12894=""юридична особа""
,
VLOO"&amp;"KUP(H12894,IMPORTRANGE(""https://docs.google.com/spreadsheets/d/14Bd19lYaqBhU8_DElYkX7l4wRkHqqCUFNJY4AfY3kHU/edit?usp=sharing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893" s="7" t="s">
        <v>23</v>
      </c>
    </row>
    <row r="12894" spans="1:10" ht="13.2">
      <c r="A12894" s="7">
        <v>12893</v>
      </c>
      <c r="B12894" s="7">
        <v>1</v>
      </c>
      <c r="C12894" s="7" t="s">
        <v>10</v>
      </c>
      <c r="D12894" s="7">
        <v>18317</v>
      </c>
      <c r="E12894" s="7" t="s">
        <v>23</v>
      </c>
      <c r="F12894" s="8" t="str">
        <f ca="1">IFERROR(__xludf.DUMMYFUNCTION("IF
(
C12895=""фізична особа""
,
VLOOKUP(D12895,IMPORTRANGE(""https://docs.google.com/spreadsheets/d/14Bd19lYaqBhU8_DElYkX7l4wRkHqqCUFNJY4AfY3kHU/edit?usp=sharing  #gid=0"",""фіз особи new!relations_name""),6,FALSE)
,
(IF
(
C12895=""юридична особа""
,
VLOO"&amp;"KUP(D12895,IMPORTRANGE(""https://docs.google.com/spreadsheets/d/14Bd19lYaqBhU8_DElYkX7l4wRkHqqCUFNJY4AfY3kHU/edit?usp=sharing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4" s="7" t="s">
        <v>10</v>
      </c>
      <c r="H12894" s="7">
        <v>18312</v>
      </c>
      <c r="I12894" s="8" t="str">
        <f ca="1">IFERROR(__xludf.DUMMYFUNCTION("IF
(
G12895=""фізична особа""
,
VLOOKUP(H12895,IMPORTRANGE(""https://docs.google.com/spreadsheets/d/14Bd19lYaqBhU8_DElYkX7l4wRkHqqCUFNJY4AfY3kHU/edit?usp=sharing  #gid=0"",""фіз особи new!relations_name""),6,FALSE)
,
(IF
(
G12895=""юридична особа""
,
VLOO"&amp;"KUP(H12895,IMPORTRANGE(""https://docs.google.com/spreadsheets/d/14Bd19lYaqBhU8_DElYkX7l4wRkHqqCUFNJY4AfY3kHU/edit?usp=sharing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894" s="7" t="s">
        <v>23</v>
      </c>
    </row>
    <row r="12895" spans="1:10" ht="13.2">
      <c r="A12895" s="7">
        <v>12894</v>
      </c>
      <c r="B12895" s="7">
        <v>1</v>
      </c>
      <c r="C12895" s="7" t="s">
        <v>10</v>
      </c>
      <c r="D12895" s="7">
        <v>18317</v>
      </c>
      <c r="E12895" s="7" t="s">
        <v>23</v>
      </c>
      <c r="F12895" s="8" t="str">
        <f ca="1">IFERROR(__xludf.DUMMYFUNCTION("IF
(
C12896=""фізична особа""
,
VLOOKUP(D12896,IMPORTRANGE(""https://docs.google.com/spreadsheets/d/14Bd19lYaqBhU8_DElYkX7l4wRkHqqCUFNJY4AfY3kHU/edit?usp=sharing  #gid=0"",""фіз особи new!relations_name""),6,FALSE)
,
(IF
(
C12896=""юридична особа""
,
VLOO"&amp;"KUP(D12896,IMPORTRANGE(""https://docs.google.com/spreadsheets/d/14Bd19lYaqBhU8_DElYkX7l4wRkHqqCUFNJY4AfY3kHU/edit?usp=sharing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5" s="7" t="s">
        <v>10</v>
      </c>
      <c r="H12895" s="7">
        <v>18313</v>
      </c>
      <c r="I12895" s="8" t="str">
        <f ca="1">IFERROR(__xludf.DUMMYFUNCTION("IF
(
G12896=""фізична особа""
,
VLOOKUP(H12896,IMPORTRANGE(""https://docs.google.com/spreadsheets/d/14Bd19lYaqBhU8_DElYkX7l4wRkHqqCUFNJY4AfY3kHU/edit?usp=sharing  #gid=0"",""фіз особи new!relations_name""),6,FALSE)
,
(IF
(
G12896=""юридична особа""
,
VLOO"&amp;"KUP(H12896,IMPORTRANGE(""https://docs.google.com/spreadsheets/d/14Bd19lYaqBhU8_DElYkX7l4wRkHqqCUFNJY4AfY3kHU/edit?usp=sharing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895" s="7" t="s">
        <v>23</v>
      </c>
    </row>
    <row r="12896" spans="1:10" ht="13.2">
      <c r="A12896" s="7">
        <v>12895</v>
      </c>
      <c r="B12896" s="7">
        <v>1</v>
      </c>
      <c r="C12896" s="7" t="s">
        <v>10</v>
      </c>
      <c r="D12896" s="7">
        <v>18317</v>
      </c>
      <c r="E12896" s="7" t="s">
        <v>23</v>
      </c>
      <c r="F12896" s="8" t="str">
        <f ca="1">IFERROR(__xludf.DUMMYFUNCTION("IF
(
C12897=""фізична особа""
,
VLOOKUP(D12897,IMPORTRANGE(""https://docs.google.com/spreadsheets/d/14Bd19lYaqBhU8_DElYkX7l4wRkHqqCUFNJY4AfY3kHU/edit?usp=sharing  #gid=0"",""фіз особи new!relations_name""),6,FALSE)
,
(IF
(
C12897=""юридична особа""
,
VLOO"&amp;"KUP(D12897,IMPORTRANGE(""https://docs.google.com/spreadsheets/d/14Bd19lYaqBhU8_DElYkX7l4wRkHqqCUFNJY4AfY3kHU/edit?usp=sharing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6" s="7" t="s">
        <v>10</v>
      </c>
      <c r="H12896" s="7">
        <v>18314</v>
      </c>
      <c r="I12896" s="8" t="str">
        <f ca="1">IFERROR(__xludf.DUMMYFUNCTION("IF
(
G12897=""фізична особа""
,
VLOOKUP(H12897,IMPORTRANGE(""https://docs.google.com/spreadsheets/d/14Bd19lYaqBhU8_DElYkX7l4wRkHqqCUFNJY4AfY3kHU/edit?usp=sharing  #gid=0"",""фіз особи new!relations_name""),6,FALSE)
,
(IF
(
G12897=""юридична особа""
,
VLOO"&amp;"KUP(H12897,IMPORTRANGE(""https://docs.google.com/spreadsheets/d/14Bd19lYaqBhU8_DElYkX7l4wRkHqqCUFNJY4AfY3kHU/edit?usp=sharing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896" s="7" t="s">
        <v>23</v>
      </c>
    </row>
    <row r="12897" spans="1:10" ht="13.2">
      <c r="A12897" s="7">
        <v>12896</v>
      </c>
      <c r="B12897" s="7">
        <v>1</v>
      </c>
      <c r="C12897" s="7" t="s">
        <v>10</v>
      </c>
      <c r="D12897" s="7">
        <v>18317</v>
      </c>
      <c r="E12897" s="7" t="s">
        <v>23</v>
      </c>
      <c r="F12897" s="8" t="str">
        <f ca="1">IFERROR(__xludf.DUMMYFUNCTION("IF
(
C12898=""фізична особа""
,
VLOOKUP(D12898,IMPORTRANGE(""https://docs.google.com/spreadsheets/d/14Bd19lYaqBhU8_DElYkX7l4wRkHqqCUFNJY4AfY3kHU/edit?usp=sharing  #gid=0"",""фіз особи new!relations_name""),6,FALSE)
,
(IF
(
C12898=""юридична особа""
,
VLOO"&amp;"KUP(D12898,IMPORTRANGE(""https://docs.google.com/spreadsheets/d/14Bd19lYaqBhU8_DElYkX7l4wRkHqqCUFNJY4AfY3kHU/edit?usp=sharing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7" s="7" t="s">
        <v>10</v>
      </c>
      <c r="H12897" s="7">
        <v>18315</v>
      </c>
      <c r="I12897" s="8" t="str">
        <f ca="1">IFERROR(__xludf.DUMMYFUNCTION("IF
(
G12898=""фізична особа""
,
VLOOKUP(H12898,IMPORTRANGE(""https://docs.google.com/spreadsheets/d/14Bd19lYaqBhU8_DElYkX7l4wRkHqqCUFNJY4AfY3kHU/edit?usp=sharing  #gid=0"",""фіз особи new!relations_name""),6,FALSE)
,
(IF
(
G12898=""юридична особа""
,
VLOO"&amp;"KUP(H12898,IMPORTRANGE(""https://docs.google.com/spreadsheets/d/14Bd19lYaqBhU8_DElYkX7l4wRkHqqCUFNJY4AfY3kHU/edit?usp=sharing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897" s="7" t="s">
        <v>23</v>
      </c>
    </row>
    <row r="12898" spans="1:10" ht="13.2">
      <c r="A12898" s="7">
        <v>12897</v>
      </c>
      <c r="B12898" s="7">
        <v>1</v>
      </c>
      <c r="C12898" s="7" t="s">
        <v>10</v>
      </c>
      <c r="D12898" s="7">
        <v>18317</v>
      </c>
      <c r="E12898" s="7" t="s">
        <v>23</v>
      </c>
      <c r="F12898" s="8" t="str">
        <f ca="1">IFERROR(__xludf.DUMMYFUNCTION("IF
(
C12899=""фізична особа""
,
VLOOKUP(D12899,IMPORTRANGE(""https://docs.google.com/spreadsheets/d/14Bd19lYaqBhU8_DElYkX7l4wRkHqqCUFNJY4AfY3kHU/edit?usp=sharing  #gid=0"",""фіз особи new!relations_name""),6,FALSE)
,
(IF
(
C12899=""юридична особа""
,
VLOO"&amp;"KUP(D12899,IMPORTRANGE(""https://docs.google.com/spreadsheets/d/14Bd19lYaqBhU8_DElYkX7l4wRkHqqCUFNJY4AfY3kHU/edit?usp=sharing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8" s="7" t="s">
        <v>10</v>
      </c>
      <c r="H12898" s="7">
        <v>18316</v>
      </c>
      <c r="I12898" s="8" t="str">
        <f ca="1">IFERROR(__xludf.DUMMYFUNCTION("IF
(
G12899=""фізична особа""
,
VLOOKUP(H12899,IMPORTRANGE(""https://docs.google.com/spreadsheets/d/14Bd19lYaqBhU8_DElYkX7l4wRkHqqCUFNJY4AfY3kHU/edit?usp=sharing  #gid=0"",""фіз особи new!relations_name""),6,FALSE)
,
(IF
(
G12899=""юридична особа""
,
VLOO"&amp;"KUP(H12899,IMPORTRANGE(""https://docs.google.com/spreadsheets/d/14Bd19lYaqBhU8_DElYkX7l4wRkHqqCUFNJY4AfY3kHU/edit?usp=sharing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898" s="7" t="s">
        <v>23</v>
      </c>
    </row>
    <row r="12899" spans="1:10" ht="13.2">
      <c r="A12899" s="7">
        <v>12898</v>
      </c>
      <c r="B12899" s="7">
        <v>1</v>
      </c>
      <c r="C12899" s="7" t="s">
        <v>10</v>
      </c>
      <c r="D12899" s="7">
        <v>18317</v>
      </c>
      <c r="E12899" s="7" t="s">
        <v>23</v>
      </c>
      <c r="F12899" s="8" t="str">
        <f ca="1">IFERROR(__xludf.DUMMYFUNCTION("IF
(
C12900=""фізична особа""
,
VLOOKUP(D12900,IMPORTRANGE(""https://docs.google.com/spreadsheets/d/14Bd19lYaqBhU8_DElYkX7l4wRkHqqCUFNJY4AfY3kHU/edit?usp=sharing  #gid=0"",""фіз особи new!relations_name""),6,FALSE)
,
(IF
(
C12900=""юридична особа""
,
VLOO"&amp;"KUP(D12900,IMPORTRANGE(""https://docs.google.com/spreadsheets/d/14Bd19lYaqBhU8_DElYkX7l4wRkHqqCUFNJY4AfY3kHU/edit?usp=sharing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G12899" s="7" t="s">
        <v>10</v>
      </c>
      <c r="H12899" s="7">
        <v>18318</v>
      </c>
      <c r="I12899" s="8" t="str">
        <f ca="1">IFERROR(__xludf.DUMMYFUNCTION("IF
(
G12900=""фізична особа""
,
VLOOKUP(H12900,IMPORTRANGE(""https://docs.google.com/spreadsheets/d/14Bd19lYaqBhU8_DElYkX7l4wRkHqqCUFNJY4AfY3kHU/edit?usp=sharing  #gid=0"",""фіз особи new!relations_name""),6,FALSE)
,
(IF
(
G12900=""юридична особа""
,
VLOO"&amp;"KUP(H12900,IMPORTRANGE(""https://docs.google.com/spreadsheets/d/14Bd19lYaqBhU8_DElYkX7l4wRkHqqCUFNJY4AfY3kHU/edit?usp=sharing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J12899" s="7" t="s">
        <v>23</v>
      </c>
    </row>
    <row r="12900" spans="1:10" ht="13.2">
      <c r="A12900" s="7">
        <v>12899</v>
      </c>
      <c r="B12900" s="7">
        <v>1</v>
      </c>
      <c r="C12900" s="7" t="s">
        <v>10</v>
      </c>
      <c r="D12900" s="7">
        <v>18318</v>
      </c>
      <c r="E12900" s="7" t="s">
        <v>23</v>
      </c>
      <c r="F12900" s="8" t="str">
        <f ca="1">IFERROR(__xludf.DUMMYFUNCTION("IF
(
C12901=""фізична особа""
,
VLOOKUP(D12901,IMPORTRANGE(""https://docs.google.com/spreadsheets/d/14Bd19lYaqBhU8_DElYkX7l4wRkHqqCUFNJY4AfY3kHU/edit?usp=sharing  #gid=0"",""фіз особи new!relations_name""),6,FALSE)
,
(IF
(
C12901=""юридична особа""
,
VLOO"&amp;"KUP(D12901,IMPORTRANGE(""https://docs.google.com/spreadsheets/d/14Bd19lYaqBhU8_DElYkX7l4wRkHqqCUFNJY4AfY3kHU/edit?usp=sharing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0" s="7" t="s">
        <v>10</v>
      </c>
      <c r="H12900" s="7">
        <v>18311</v>
      </c>
      <c r="I12900" s="8" t="str">
        <f ca="1">IFERROR(__xludf.DUMMYFUNCTION("IF
(
G12901=""фізична особа""
,
VLOOKUP(H12901,IMPORTRANGE(""https://docs.google.com/spreadsheets/d/14Bd19lYaqBhU8_DElYkX7l4wRkHqqCUFNJY4AfY3kHU/edit?usp=sharing  #gid=0"",""фіз особи new!relations_name""),6,FALSE)
,
(IF
(
G12901=""юридична особа""
,
VLOO"&amp;"KUP(H12901,IMPORTRANGE(""https://docs.google.com/spreadsheets/d/14Bd19lYaqBhU8_DElYkX7l4wRkHqqCUFNJY4AfY3kHU/edit?usp=sharing  #gid=0"",""фіз особи new!relations_name_uo""),7,FALSE)
,
)
))"),"БЕЗСМЕРТНИХ Тетяна Вікторівна")</f>
        <v>БЕЗСМЕРТНИХ Тетяна Вікторівна</v>
      </c>
      <c r="J12900" s="7" t="s">
        <v>23</v>
      </c>
    </row>
    <row r="12901" spans="1:10" ht="13.2">
      <c r="A12901" s="7">
        <v>12900</v>
      </c>
      <c r="B12901" s="7">
        <v>1</v>
      </c>
      <c r="C12901" s="7" t="s">
        <v>10</v>
      </c>
      <c r="D12901" s="7">
        <v>18318</v>
      </c>
      <c r="E12901" s="7" t="s">
        <v>23</v>
      </c>
      <c r="F12901" s="8" t="str">
        <f ca="1">IFERROR(__xludf.DUMMYFUNCTION("IF
(
C12902=""фізична особа""
,
VLOOKUP(D12902,IMPORTRANGE(""https://docs.google.com/spreadsheets/d/14Bd19lYaqBhU8_DElYkX7l4wRkHqqCUFNJY4AfY3kHU/edit?usp=sharing  #gid=0"",""фіз особи new!relations_name""),6,FALSE)
,
(IF
(
C12902=""юридична особа""
,
VLOO"&amp;"KUP(D12902,IMPORTRANGE(""https://docs.google.com/spreadsheets/d/14Bd19lYaqBhU8_DElYkX7l4wRkHqqCUFNJY4AfY3kHU/edit?usp=sharing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1" s="7" t="s">
        <v>10</v>
      </c>
      <c r="H12901" s="7">
        <v>18312</v>
      </c>
      <c r="I12901" s="8" t="str">
        <f ca="1">IFERROR(__xludf.DUMMYFUNCTION("IF
(
G12902=""фізична особа""
,
VLOOKUP(H12902,IMPORTRANGE(""https://docs.google.com/spreadsheets/d/14Bd19lYaqBhU8_DElYkX7l4wRkHqqCUFNJY4AfY3kHU/edit?usp=sharing  #gid=0"",""фіз особи new!relations_name""),6,FALSE)
,
(IF
(
G12902=""юридична особа""
,
VLOO"&amp;"KUP(H12902,IMPORTRANGE(""https://docs.google.com/spreadsheets/d/14Bd19lYaqBhU8_DElYkX7l4wRkHqqCUFNJY4AfY3kHU/edit?usp=sharing  #gid=0"",""фіз особи new!relations_name_uo""),7,FALSE)
,
)
))"),"ПРОКУДІН Володимир Олександрович")</f>
        <v>ПРОКУДІН Володимир Олександрович</v>
      </c>
      <c r="J12901" s="7" t="s">
        <v>23</v>
      </c>
    </row>
    <row r="12902" spans="1:10" ht="13.2">
      <c r="A12902" s="7">
        <v>12901</v>
      </c>
      <c r="B12902" s="7">
        <v>1</v>
      </c>
      <c r="C12902" s="7" t="s">
        <v>10</v>
      </c>
      <c r="D12902" s="7">
        <v>18318</v>
      </c>
      <c r="E12902" s="7" t="s">
        <v>23</v>
      </c>
      <c r="F12902" s="8" t="str">
        <f ca="1">IFERROR(__xludf.DUMMYFUNCTION("IF
(
C12903=""фізична особа""
,
VLOOKUP(D12903,IMPORTRANGE(""https://docs.google.com/spreadsheets/d/14Bd19lYaqBhU8_DElYkX7l4wRkHqqCUFNJY4AfY3kHU/edit?usp=sharing  #gid=0"",""фіз особи new!relations_name""),6,FALSE)
,
(IF
(
C12903=""юридична особа""
,
VLOO"&amp;"KUP(D12903,IMPORTRANGE(""https://docs.google.com/spreadsheets/d/14Bd19lYaqBhU8_DElYkX7l4wRkHqqCUFNJY4AfY3kHU/edit?usp=sharing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2" s="7" t="s">
        <v>10</v>
      </c>
      <c r="H12902" s="7">
        <v>18313</v>
      </c>
      <c r="I12902" s="8" t="str">
        <f ca="1">IFERROR(__xludf.DUMMYFUNCTION("IF
(
G12903=""фізична особа""
,
VLOOKUP(H12903,IMPORTRANGE(""https://docs.google.com/spreadsheets/d/14Bd19lYaqBhU8_DElYkX7l4wRkHqqCUFNJY4AfY3kHU/edit?usp=sharing  #gid=0"",""фіз особи new!relations_name""),6,FALSE)
,
(IF
(
G12903=""юридична особа""
,
VLOO"&amp;"KUP(H12903,IMPORTRANGE(""https://docs.google.com/spreadsheets/d/14Bd19lYaqBhU8_DElYkX7l4wRkHqqCUFNJY4AfY3kHU/edit?usp=sharing  #gid=0"",""фіз особи new!relations_name_uo""),7,FALSE)
,
)
))"),"ЧУБАРОВ Максим Сергійович")</f>
        <v>ЧУБАРОВ Максим Сергійович</v>
      </c>
      <c r="J12902" s="7" t="s">
        <v>23</v>
      </c>
    </row>
    <row r="12903" spans="1:10" ht="13.2">
      <c r="A12903" s="7">
        <v>12902</v>
      </c>
      <c r="B12903" s="7">
        <v>1</v>
      </c>
      <c r="C12903" s="7" t="s">
        <v>10</v>
      </c>
      <c r="D12903" s="7">
        <v>18318</v>
      </c>
      <c r="E12903" s="7" t="s">
        <v>23</v>
      </c>
      <c r="F12903" s="8" t="str">
        <f ca="1">IFERROR(__xludf.DUMMYFUNCTION("IF
(
C12904=""фізична особа""
,
VLOOKUP(D12904,IMPORTRANGE(""https://docs.google.com/spreadsheets/d/14Bd19lYaqBhU8_DElYkX7l4wRkHqqCUFNJY4AfY3kHU/edit?usp=sharing  #gid=0"",""фіз особи new!relations_name""),6,FALSE)
,
(IF
(
C12904=""юридична особа""
,
VLOO"&amp;"KUP(D12904,IMPORTRANGE(""https://docs.google.com/spreadsheets/d/14Bd19lYaqBhU8_DElYkX7l4wRkHqqCUFNJY4AfY3kHU/edit?usp=sharing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3" s="7" t="s">
        <v>10</v>
      </c>
      <c r="H12903" s="7">
        <v>18314</v>
      </c>
      <c r="I12903" s="8" t="str">
        <f ca="1">IFERROR(__xludf.DUMMYFUNCTION("IF
(
G12904=""фізична особа""
,
VLOOKUP(H12904,IMPORTRANGE(""https://docs.google.com/spreadsheets/d/14Bd19lYaqBhU8_DElYkX7l4wRkHqqCUFNJY4AfY3kHU/edit?usp=sharing  #gid=0"",""фіз особи new!relations_name""),6,FALSE)
,
(IF
(
G12904=""юридична особа""
,
VLOO"&amp;"KUP(H12904,IMPORTRANGE(""https://docs.google.com/spreadsheets/d/14Bd19lYaqBhU8_DElYkX7l4wRkHqqCUFNJY4AfY3kHU/edit?usp=sharing  #gid=0"",""фіз особи new!relations_name_uo""),7,FALSE)
,
)
))"),"МОРОЗОВА Ольга Миколаївна")</f>
        <v>МОРОЗОВА Ольга Миколаївна</v>
      </c>
      <c r="J12903" s="7" t="s">
        <v>23</v>
      </c>
    </row>
    <row r="12904" spans="1:10" ht="13.2">
      <c r="A12904" s="7">
        <v>12903</v>
      </c>
      <c r="B12904" s="7">
        <v>1</v>
      </c>
      <c r="C12904" s="7" t="s">
        <v>10</v>
      </c>
      <c r="D12904" s="7">
        <v>18318</v>
      </c>
      <c r="E12904" s="7" t="s">
        <v>23</v>
      </c>
      <c r="F12904" s="8" t="str">
        <f ca="1">IFERROR(__xludf.DUMMYFUNCTION("IF
(
C12905=""фізична особа""
,
VLOOKUP(D12905,IMPORTRANGE(""https://docs.google.com/spreadsheets/d/14Bd19lYaqBhU8_DElYkX7l4wRkHqqCUFNJY4AfY3kHU/edit?usp=sharing  #gid=0"",""фіз особи new!relations_name""),6,FALSE)
,
(IF
(
C12905=""юридична особа""
,
VLOO"&amp;"KUP(D12905,IMPORTRANGE(""https://docs.google.com/spreadsheets/d/14Bd19lYaqBhU8_DElYkX7l4wRkHqqCUFNJY4AfY3kHU/edit?usp=sharing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4" s="7" t="s">
        <v>10</v>
      </c>
      <c r="H12904" s="7">
        <v>18315</v>
      </c>
      <c r="I12904" s="8" t="str">
        <f ca="1">IFERROR(__xludf.DUMMYFUNCTION("IF
(
G12905=""фізична особа""
,
VLOOKUP(H12905,IMPORTRANGE(""https://docs.google.com/spreadsheets/d/14Bd19lYaqBhU8_DElYkX7l4wRkHqqCUFNJY4AfY3kHU/edit?usp=sharing  #gid=0"",""фіз особи new!relations_name""),6,FALSE)
,
(IF
(
G12905=""юридична особа""
,
VLOO"&amp;"KUP(H12905,IMPORTRANGE(""https://docs.google.com/spreadsheets/d/14Bd19lYaqBhU8_DElYkX7l4wRkHqqCUFNJY4AfY3kHU/edit?usp=sharing  #gid=0"",""фіз особи new!relations_name_uo""),7,FALSE)
,
)
))"),"БЕНДЕР Світлана Олександрівна")</f>
        <v>БЕНДЕР Світлана Олександрівна</v>
      </c>
      <c r="J12904" s="7" t="s">
        <v>23</v>
      </c>
    </row>
    <row r="12905" spans="1:10" ht="13.2">
      <c r="A12905" s="7">
        <v>12904</v>
      </c>
      <c r="B12905" s="7">
        <v>1</v>
      </c>
      <c r="C12905" s="7" t="s">
        <v>10</v>
      </c>
      <c r="D12905" s="7">
        <v>18318</v>
      </c>
      <c r="E12905" s="7" t="s">
        <v>23</v>
      </c>
      <c r="F12905" s="8" t="str">
        <f ca="1">IFERROR(__xludf.DUMMYFUNCTION("IF
(
C12906=""фізична особа""
,
VLOOKUP(D12906,IMPORTRANGE(""https://docs.google.com/spreadsheets/d/14Bd19lYaqBhU8_DElYkX7l4wRkHqqCUFNJY4AfY3kHU/edit?usp=sharing  #gid=0"",""фіз особи new!relations_name""),6,FALSE)
,
(IF
(
C12906=""юридична особа""
,
VLOO"&amp;"KUP(D12906,IMPORTRANGE(""https://docs.google.com/spreadsheets/d/14Bd19lYaqBhU8_DElYkX7l4wRkHqqCUFNJY4AfY3kHU/edit?usp=sharing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5" s="7" t="s">
        <v>10</v>
      </c>
      <c r="H12905" s="7">
        <v>18316</v>
      </c>
      <c r="I12905" s="8" t="str">
        <f ca="1">IFERROR(__xludf.DUMMYFUNCTION("IF
(
G12906=""фізична особа""
,
VLOOKUP(H12906,IMPORTRANGE(""https://docs.google.com/spreadsheets/d/14Bd19lYaqBhU8_DElYkX7l4wRkHqqCUFNJY4AfY3kHU/edit?usp=sharing  #gid=0"",""фіз особи new!relations_name""),6,FALSE)
,
(IF
(
G12906=""юридична особа""
,
VLOO"&amp;"KUP(H12906,IMPORTRANGE(""https://docs.google.com/spreadsheets/d/14Bd19lYaqBhU8_DElYkX7l4wRkHqqCUFNJY4AfY3kHU/edit?usp=sharing  #gid=0"",""фіз особи new!relations_name_uo""),7,FALSE)
,
)
))"),"КОПИЛОВ Владислав Вячеславович")</f>
        <v>КОПИЛОВ Владислав Вячеславович</v>
      </c>
      <c r="J12905" s="7" t="s">
        <v>23</v>
      </c>
    </row>
    <row r="12906" spans="1:10" ht="13.2">
      <c r="A12906" s="7">
        <v>12905</v>
      </c>
      <c r="B12906" s="7">
        <v>1</v>
      </c>
      <c r="C12906" s="7" t="s">
        <v>10</v>
      </c>
      <c r="D12906" s="7">
        <v>18318</v>
      </c>
      <c r="E12906" s="7" t="s">
        <v>23</v>
      </c>
      <c r="F12906" s="8" t="str">
        <f ca="1">IFERROR(__xludf.DUMMYFUNCTION("IF
(
C12907=""фізична особа""
,
VLOOKUP(D12907,IMPORTRANGE(""https://docs.google.com/spreadsheets/d/14Bd19lYaqBhU8_DElYkX7l4wRkHqqCUFNJY4AfY3kHU/edit?usp=sharing  #gid=0"",""фіз особи new!relations_name""),6,FALSE)
,
(IF
(
C12907=""юридична особа""
,
VLOO"&amp;"KUP(D12907,IMPORTRANGE(""https://docs.google.com/spreadsheets/d/14Bd19lYaqBhU8_DElYkX7l4wRkHqqCUFNJY4AfY3kHU/edit?usp=sharing  #gid=0"",""фіз особи new!relations_name_uo""),7,FALSE)
,
)
))"),"МОСМАН Ірина Герольдівна")</f>
        <v>МОСМАН Ірина Герольдівна</v>
      </c>
      <c r="G12906" s="7" t="s">
        <v>10</v>
      </c>
      <c r="H12906" s="7">
        <v>18317</v>
      </c>
      <c r="I12906" s="8" t="str">
        <f ca="1">IFERROR(__xludf.DUMMYFUNCTION("IF
(
G12907=""фізична особа""
,
VLOOKUP(H12907,IMPORTRANGE(""https://docs.google.com/spreadsheets/d/14Bd19lYaqBhU8_DElYkX7l4wRkHqqCUFNJY4AfY3kHU/edit?usp=sharing  #gid=0"",""фіз особи new!relations_name""),6,FALSE)
,
(IF
(
G12907=""юридична особа""
,
VLOO"&amp;"KUP(H12907,IMPORTRANGE(""https://docs.google.com/spreadsheets/d/14Bd19lYaqBhU8_DElYkX7l4wRkHqqCUFNJY4AfY3kHU/edit?usp=sharing  #gid=0"",""фіз особи new!relations_name_uo""),7,FALSE)
,
)
))"),"ГУСАРОВА Наталія Валеріївна")</f>
        <v>ГУСАРОВА Наталія Валеріївна</v>
      </c>
      <c r="J12906" s="7" t="s">
        <v>23</v>
      </c>
    </row>
    <row r="12907" spans="1:10" ht="13.2">
      <c r="A12907" s="7">
        <v>12906</v>
      </c>
      <c r="B12907" s="7">
        <v>1</v>
      </c>
      <c r="C12907" s="7" t="s">
        <v>10</v>
      </c>
      <c r="D12907" s="7">
        <v>18319</v>
      </c>
      <c r="E12907" s="7" t="s">
        <v>23</v>
      </c>
      <c r="F12907" s="8" t="str">
        <f ca="1">IFERROR(__xludf.DUMMYFUNCTION("IF
(
C12908=""фізична особа""
,
VLOOKUP(D12908,IMPORTRANGE(""https://docs.google.com/spreadsheets/d/14Bd19lYaqBhU8_DElYkX7l4wRkHqqCUFNJY4AfY3kHU/edit?usp=sharing  #gid=0"",""фіз особи new!relations_name""),6,FALSE)
,
(IF
(
C12908=""юридична особа""
,
VLOO"&amp;"KUP(D12908,IMPORTRANGE(""https://docs.google.com/spreadsheets/d/14Bd19lYaqBhU8_DElYkX7l4wRkHqqCUFNJY4AfY3kHU/edit?usp=sharing  #gid=0"",""фіз особи new!relations_name_uo""),7,FALSE)
,
)
))"),"БАГАЄВ Олег Віталійович")</f>
        <v>БАГАЄВ Олег Віталійович</v>
      </c>
      <c r="G12907" s="7" t="s">
        <v>10</v>
      </c>
      <c r="H12907" s="7">
        <v>18320</v>
      </c>
      <c r="I12907" s="8" t="str">
        <f ca="1">IFERROR(__xludf.DUMMYFUNCTION("IF
(
G12908=""фізична особа""
,
VLOOKUP(H12908,IMPORTRANGE(""https://docs.google.com/spreadsheets/d/14Bd19lYaqBhU8_DElYkX7l4wRkHqqCUFNJY4AfY3kHU/edit?usp=sharing  #gid=0"",""фіз особи new!relations_name""),6,FALSE)
,
(IF
(
G12908=""юридична особа""
,
VLOO"&amp;"KUP(H12908,IMPORTRANGE(""https://docs.google.com/spreadsheets/d/14Bd19lYaqBhU8_DElYkX7l4wRkHqqCUFNJY4AfY3kHU/edit?usp=sharing  #gid=0"",""фіз особи new!relations_name_uo""),7,FALSE)
,
)
))"),"ЛЕВІН Юрій Сергійович")</f>
        <v>ЛЕВІН Юрій Сергійович</v>
      </c>
      <c r="J12907" s="7" t="s">
        <v>23</v>
      </c>
    </row>
    <row r="12908" spans="1:10" ht="13.2">
      <c r="A12908" s="7">
        <v>12907</v>
      </c>
      <c r="B12908" s="7">
        <v>1</v>
      </c>
      <c r="C12908" s="7" t="s">
        <v>10</v>
      </c>
      <c r="D12908" s="7">
        <v>18319</v>
      </c>
      <c r="E12908" s="7" t="s">
        <v>23</v>
      </c>
      <c r="F12908" s="8" t="str">
        <f ca="1">IFERROR(__xludf.DUMMYFUNCTION("IF
(
C12909=""фізична особа""
,
VLOOKUP(D12909,IMPORTRANGE(""https://docs.google.com/spreadsheets/d/14Bd19lYaqBhU8_DElYkX7l4wRkHqqCUFNJY4AfY3kHU/edit?usp=sharing  #gid=0"",""фіз особи new!relations_name""),6,FALSE)
,
(IF
(
C12909=""юридична особа""
,
VLOO"&amp;"KUP(D12909,IMPORTRANGE(""https://docs.google.com/spreadsheets/d/14Bd19lYaqBhU8_DElYkX7l4wRkHqqCUFNJY4AfY3kHU/edit?usp=sharing  #gid=0"",""фіз особи new!relations_name_uo""),7,FALSE)
,
)
))"),"БАГАЄВ Олег Віталійович")</f>
        <v>БАГАЄВ Олег Віталійович</v>
      </c>
      <c r="G12908" s="7" t="s">
        <v>10</v>
      </c>
      <c r="H12908" s="7">
        <v>18321</v>
      </c>
      <c r="I12908" s="8" t="str">
        <f ca="1">IFERROR(__xludf.DUMMYFUNCTION("IF
(
G12909=""фізична особа""
,
VLOOKUP(H12909,IMPORTRANGE(""https://docs.google.com/spreadsheets/d/14Bd19lYaqBhU8_DElYkX7l4wRkHqqCUFNJY4AfY3kHU/edit?usp=sharing  #gid=0"",""фіз особи new!relations_name""),6,FALSE)
,
(IF
(
G12909=""юридична особа""
,
VLOO"&amp;"KUP(H12909,IMPORTRANGE(""https://docs.google.com/spreadsheets/d/14Bd19lYaqBhU8_DElYkX7l4wRkHqqCUFNJY4AfY3kHU/edit?usp=sharing  #gid=0"",""фіз особи new!relations_name_uo""),7,FALSE)
,
)
))"),"РАДАЄВА Тетяна Миколаївна")</f>
        <v>РАДАЄВА Тетяна Миколаївна</v>
      </c>
      <c r="J12908" s="7" t="s">
        <v>23</v>
      </c>
    </row>
    <row r="12909" spans="1:10" ht="13.2">
      <c r="A12909" s="7">
        <v>12908</v>
      </c>
      <c r="B12909" s="7">
        <v>1</v>
      </c>
      <c r="C12909" s="7" t="s">
        <v>10</v>
      </c>
      <c r="D12909" s="7">
        <v>18319</v>
      </c>
      <c r="E12909" s="7" t="s">
        <v>23</v>
      </c>
      <c r="F12909" s="8" t="str">
        <f ca="1">IFERROR(__xludf.DUMMYFUNCTION("IF
(
C12910=""фізична особа""
,
VLOOKUP(D12910,IMPORTRANGE(""https://docs.google.com/spreadsheets/d/14Bd19lYaqBhU8_DElYkX7l4wRkHqqCUFNJY4AfY3kHU/edit?usp=sharing  #gid=0"",""фіз особи new!relations_name""),6,FALSE)
,
(IF
(
C12910=""юридична особа""
,
VLOO"&amp;"KUP(D12910,IMPORTRANGE(""https://docs.google.com/spreadsheets/d/14Bd19lYaqBhU8_DElYkX7l4wRkHqqCUFNJY4AfY3kHU/edit?usp=sharing  #gid=0"",""фіз особи new!relations_name_uo""),7,FALSE)
,
)
))"),"БАГАЄВ Олег Віталійович")</f>
        <v>БАГАЄВ Олег Віталійович</v>
      </c>
      <c r="G12909" s="7" t="s">
        <v>10</v>
      </c>
      <c r="H12909" s="7">
        <v>848</v>
      </c>
      <c r="I12909" s="8" t="str">
        <f ca="1">IFERROR(__xludf.DUMMYFUNCTION("IF
(
G12910=""фізична особа""
,
VLOOKUP(H12910,IMPORTRANGE(""https://docs.google.com/spreadsheets/d/14Bd19lYaqBhU8_DElYkX7l4wRkHqqCUFNJY4AfY3kHU/edit?usp=sharing  #gid=0"",""фіз особи new!relations_name""),6,FALSE)
,
(IF
(
G12910=""юридична особа""
,
VLOO"&amp;"KUP(H12910,IMPORTRANGE(""https://docs.google.com/spreadsheets/d/14Bd19lYaqBhU8_DElYkX7l4wRkHqqCUFNJY4AfY3kHU/edit?usp=sharing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J12909" s="7" t="s">
        <v>23</v>
      </c>
    </row>
    <row r="12910" spans="1:10" ht="13.2">
      <c r="A12910" s="7">
        <v>12909</v>
      </c>
      <c r="B12910" s="7">
        <v>1</v>
      </c>
      <c r="C12910" s="7" t="s">
        <v>10</v>
      </c>
      <c r="D12910" s="7">
        <v>18320</v>
      </c>
      <c r="E12910" s="7" t="s">
        <v>23</v>
      </c>
      <c r="F12910" s="8" t="str">
        <f ca="1">IFERROR(__xludf.DUMMYFUNCTION("IF
(
C12911=""фізична особа""
,
VLOOKUP(D12911,IMPORTRANGE(""https://docs.google.com/spreadsheets/d/14Bd19lYaqBhU8_DElYkX7l4wRkHqqCUFNJY4AfY3kHU/edit?usp=sharing  #gid=0"",""фіз особи new!relations_name""),6,FALSE)
,
(IF
(
C12911=""юридична особа""
,
VLOO"&amp;"KUP(D12911,IMPORTRANGE(""https://docs.google.com/spreadsheets/d/14Bd19lYaqBhU8_DElYkX7l4wRkHqqCUFNJY4AfY3kHU/edit?usp=sharing  #gid=0"",""фіз особи new!relations_name_uo""),7,FALSE)
,
)
))"),"ЛЕВІН Юрій Сергійович")</f>
        <v>ЛЕВІН Юрій Сергійович</v>
      </c>
      <c r="G12910" s="7" t="s">
        <v>10</v>
      </c>
      <c r="H12910" s="7">
        <v>18319</v>
      </c>
      <c r="I12910" s="8" t="str">
        <f ca="1">IFERROR(__xludf.DUMMYFUNCTION("IF
(
G12911=""фізична особа""
,
VLOOKUP(H12911,IMPORTRANGE(""https://docs.google.com/spreadsheets/d/14Bd19lYaqBhU8_DElYkX7l4wRkHqqCUFNJY4AfY3kHU/edit?usp=sharing  #gid=0"",""фіз особи new!relations_name""),6,FALSE)
,
(IF
(
G12911=""юридична особа""
,
VLOO"&amp;"KUP(H12911,IMPORTRANGE(""https://docs.google.com/spreadsheets/d/14Bd19lYaqBhU8_DElYkX7l4wRkHqqCUFNJY4AfY3kHU/edit?usp=sharing  #gid=0"",""фіз особи new!relations_name_uo""),7,FALSE)
,
)
))"),"БАГАЄВ Олег Віталійович")</f>
        <v>БАГАЄВ Олег Віталійович</v>
      </c>
      <c r="J12910" s="7" t="s">
        <v>23</v>
      </c>
    </row>
    <row r="12911" spans="1:10" ht="13.2">
      <c r="A12911" s="7">
        <v>12910</v>
      </c>
      <c r="B12911" s="7">
        <v>1</v>
      </c>
      <c r="C12911" s="7" t="s">
        <v>10</v>
      </c>
      <c r="D12911" s="7">
        <v>18320</v>
      </c>
      <c r="E12911" s="7" t="s">
        <v>23</v>
      </c>
      <c r="F12911" s="8" t="str">
        <f ca="1">IFERROR(__xludf.DUMMYFUNCTION("IF
(
C12912=""фізична особа""
,
VLOOKUP(D12912,IMPORTRANGE(""https://docs.google.com/spreadsheets/d/14Bd19lYaqBhU8_DElYkX7l4wRkHqqCUFNJY4AfY3kHU/edit?usp=sharing  #gid=0"",""фіз особи new!relations_name""),6,FALSE)
,
(IF
(
C12912=""юридична особа""
,
VLOO"&amp;"KUP(D12912,IMPORTRANGE(""https://docs.google.com/spreadsheets/d/14Bd19lYaqBhU8_DElYkX7l4wRkHqqCUFNJY4AfY3kHU/edit?usp=sharing  #gid=0"",""фіз особи new!relations_name_uo""),7,FALSE)
,
)
))"),"ЛЕВІН Юрій Сергійович")</f>
        <v>ЛЕВІН Юрій Сергійович</v>
      </c>
      <c r="G12911" s="7" t="s">
        <v>10</v>
      </c>
      <c r="H12911" s="7">
        <v>18321</v>
      </c>
      <c r="I12911" s="8" t="str">
        <f ca="1">IFERROR(__xludf.DUMMYFUNCTION("IF
(
G12912=""фізична особа""
,
VLOOKUP(H12912,IMPORTRANGE(""https://docs.google.com/spreadsheets/d/14Bd19lYaqBhU8_DElYkX7l4wRkHqqCUFNJY4AfY3kHU/edit?usp=sharing  #gid=0"",""фіз особи new!relations_name""),6,FALSE)
,
(IF
(
G12912=""юридична особа""
,
VLOO"&amp;"KUP(H12912,IMPORTRANGE(""https://docs.google.com/spreadsheets/d/14Bd19lYaqBhU8_DElYkX7l4wRkHqqCUFNJY4AfY3kHU/edit?usp=sharing  #gid=0"",""фіз особи new!relations_name_uo""),7,FALSE)
,
)
))"),"РАДАЄВА Тетяна Миколаївна")</f>
        <v>РАДАЄВА Тетяна Миколаївна</v>
      </c>
      <c r="J12911" s="7" t="s">
        <v>23</v>
      </c>
    </row>
    <row r="12912" spans="1:10" ht="13.2">
      <c r="A12912" s="7">
        <v>12911</v>
      </c>
      <c r="B12912" s="7">
        <v>1</v>
      </c>
      <c r="C12912" s="7" t="s">
        <v>10</v>
      </c>
      <c r="D12912" s="7">
        <v>18320</v>
      </c>
      <c r="E12912" s="7" t="s">
        <v>23</v>
      </c>
      <c r="F12912" s="8" t="str">
        <f ca="1">IFERROR(__xludf.DUMMYFUNCTION("IF
(
C12913=""фізична особа""
,
VLOOKUP(D12913,IMPORTRANGE(""https://docs.google.com/spreadsheets/d/14Bd19lYaqBhU8_DElYkX7l4wRkHqqCUFNJY4AfY3kHU/edit?usp=sharing  #gid=0"",""фіз особи new!relations_name""),6,FALSE)
,
(IF
(
C12913=""юридична особа""
,
VLOO"&amp;"KUP(D12913,IMPORTRANGE(""https://docs.google.com/spreadsheets/d/14Bd19lYaqBhU8_DElYkX7l4wRkHqqCUFNJY4AfY3kHU/edit?usp=sharing  #gid=0"",""фіз особи new!relations_name_uo""),7,FALSE)
,
)
))"),"ЛЕВІН Юрій Сергійович")</f>
        <v>ЛЕВІН Юрій Сергійович</v>
      </c>
      <c r="G12912" s="7" t="s">
        <v>10</v>
      </c>
      <c r="H12912" s="7">
        <v>848</v>
      </c>
      <c r="I12912" s="8" t="str">
        <f ca="1">IFERROR(__xludf.DUMMYFUNCTION("IF
(
G12913=""фізична особа""
,
VLOOKUP(H12913,IMPORTRANGE(""https://docs.google.com/spreadsheets/d/14Bd19lYaqBhU8_DElYkX7l4wRkHqqCUFNJY4AfY3kHU/edit?usp=sharing  #gid=0"",""фіз особи new!relations_name""),6,FALSE)
,
(IF
(
G12913=""юридична особа""
,
VLOO"&amp;"KUP(H12913,IMPORTRANGE(""https://docs.google.com/spreadsheets/d/14Bd19lYaqBhU8_DElYkX7l4wRkHqqCUFNJY4AfY3kHU/edit?usp=sharing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J12912" s="7" t="s">
        <v>23</v>
      </c>
    </row>
    <row r="12913" spans="1:10" ht="13.2">
      <c r="A12913" s="7">
        <v>12912</v>
      </c>
      <c r="B12913" s="7">
        <v>1</v>
      </c>
      <c r="C12913" s="7" t="s">
        <v>10</v>
      </c>
      <c r="D12913" s="7">
        <v>18321</v>
      </c>
      <c r="E12913" s="7" t="s">
        <v>23</v>
      </c>
      <c r="F12913" s="8" t="str">
        <f ca="1">IFERROR(__xludf.DUMMYFUNCTION("IF
(
C12914=""фізична особа""
,
VLOOKUP(D12914,IMPORTRANGE(""https://docs.google.com/spreadsheets/d/14Bd19lYaqBhU8_DElYkX7l4wRkHqqCUFNJY4AfY3kHU/edit?usp=sharing  #gid=0"",""фіз особи new!relations_name""),6,FALSE)
,
(IF
(
C12914=""юридична особа""
,
VLOO"&amp;"KUP(D12914,IMPORTRANGE(""https://docs.google.com/spreadsheets/d/14Bd19lYaqBhU8_DElYkX7l4wRkHqqCUFNJY4AfY3kHU/edit?usp=sharing  #gid=0"",""фіз особи new!relations_name_uo""),7,FALSE)
,
)
))"),"РАДАЄВА Тетяна Миколаївна")</f>
        <v>РАДАЄВА Тетяна Миколаївна</v>
      </c>
      <c r="G12913" s="7" t="s">
        <v>10</v>
      </c>
      <c r="H12913" s="7">
        <v>18319</v>
      </c>
      <c r="I12913" s="8" t="str">
        <f ca="1">IFERROR(__xludf.DUMMYFUNCTION("IF
(
G12914=""фізична особа""
,
VLOOKUP(H12914,IMPORTRANGE(""https://docs.google.com/spreadsheets/d/14Bd19lYaqBhU8_DElYkX7l4wRkHqqCUFNJY4AfY3kHU/edit?usp=sharing  #gid=0"",""фіз особи new!relations_name""),6,FALSE)
,
(IF
(
G12914=""юридична особа""
,
VLOO"&amp;"KUP(H12914,IMPORTRANGE(""https://docs.google.com/spreadsheets/d/14Bd19lYaqBhU8_DElYkX7l4wRkHqqCUFNJY4AfY3kHU/edit?usp=sharing  #gid=0"",""фіз особи new!relations_name_uo""),7,FALSE)
,
)
))"),"БАГАЄВ Олег Віталійович")</f>
        <v>БАГАЄВ Олег Віталійович</v>
      </c>
      <c r="J12913" s="7" t="s">
        <v>23</v>
      </c>
    </row>
    <row r="12914" spans="1:10" ht="13.2">
      <c r="A12914" s="7">
        <v>12913</v>
      </c>
      <c r="B12914" s="7">
        <v>1</v>
      </c>
      <c r="C12914" s="7" t="s">
        <v>10</v>
      </c>
      <c r="D12914" s="7">
        <v>18321</v>
      </c>
      <c r="E12914" s="7" t="s">
        <v>23</v>
      </c>
      <c r="F12914" s="8" t="str">
        <f ca="1">IFERROR(__xludf.DUMMYFUNCTION("IF
(
C12915=""фізична особа""
,
VLOOKUP(D12915,IMPORTRANGE(""https://docs.google.com/spreadsheets/d/14Bd19lYaqBhU8_DElYkX7l4wRkHqqCUFNJY4AfY3kHU/edit?usp=sharing  #gid=0"",""фіз особи new!relations_name""),6,FALSE)
,
(IF
(
C12915=""юридична особа""
,
VLOO"&amp;"KUP(D12915,IMPORTRANGE(""https://docs.google.com/spreadsheets/d/14Bd19lYaqBhU8_DElYkX7l4wRkHqqCUFNJY4AfY3kHU/edit?usp=sharing  #gid=0"",""фіз особи new!relations_name_uo""),7,FALSE)
,
)
))"),"РАДАЄВА Тетяна Миколаївна")</f>
        <v>РАДАЄВА Тетяна Миколаївна</v>
      </c>
      <c r="G12914" s="7" t="s">
        <v>10</v>
      </c>
      <c r="H12914" s="7">
        <v>18320</v>
      </c>
      <c r="I12914" s="8" t="str">
        <f ca="1">IFERROR(__xludf.DUMMYFUNCTION("IF
(
G12915=""фізична особа""
,
VLOOKUP(H12915,IMPORTRANGE(""https://docs.google.com/spreadsheets/d/14Bd19lYaqBhU8_DElYkX7l4wRkHqqCUFNJY4AfY3kHU/edit?usp=sharing  #gid=0"",""фіз особи new!relations_name""),6,FALSE)
,
(IF
(
G12915=""юридична особа""
,
VLOO"&amp;"KUP(H12915,IMPORTRANGE(""https://docs.google.com/spreadsheets/d/14Bd19lYaqBhU8_DElYkX7l4wRkHqqCUFNJY4AfY3kHU/edit?usp=sharing  #gid=0"",""фіз особи new!relations_name_uo""),7,FALSE)
,
)
))"),"ЛЕВІН Юрій Сергійович")</f>
        <v>ЛЕВІН Юрій Сергійович</v>
      </c>
      <c r="J12914" s="7" t="s">
        <v>23</v>
      </c>
    </row>
    <row r="12915" spans="1:10" ht="13.2">
      <c r="A12915" s="7">
        <v>12914</v>
      </c>
      <c r="B12915" s="7">
        <v>1</v>
      </c>
      <c r="C12915" s="7" t="s">
        <v>10</v>
      </c>
      <c r="D12915" s="7">
        <v>18321</v>
      </c>
      <c r="E12915" s="7" t="s">
        <v>23</v>
      </c>
      <c r="F12915" s="8" t="str">
        <f ca="1">IFERROR(__xludf.DUMMYFUNCTION("IF
(
C12916=""фізична особа""
,
VLOOKUP(D12916,IMPORTRANGE(""https://docs.google.com/spreadsheets/d/14Bd19lYaqBhU8_DElYkX7l4wRkHqqCUFNJY4AfY3kHU/edit?usp=sharing  #gid=0"",""фіз особи new!relations_name""),6,FALSE)
,
(IF
(
C12916=""юридична особа""
,
VLOO"&amp;"KUP(D12916,IMPORTRANGE(""https://docs.google.com/spreadsheets/d/14Bd19lYaqBhU8_DElYkX7l4wRkHqqCUFNJY4AfY3kHU/edit?usp=sharing  #gid=0"",""фіз особи new!relations_name_uo""),7,FALSE)
,
)
))"),"РАДАЄВА Тетяна Миколаївна")</f>
        <v>РАДАЄВА Тетяна Миколаївна</v>
      </c>
      <c r="G12915" s="7" t="s">
        <v>10</v>
      </c>
      <c r="H12915" s="7">
        <v>848</v>
      </c>
      <c r="I12915" s="8" t="str">
        <f ca="1">IFERROR(__xludf.DUMMYFUNCTION("IF
(
G12916=""фізична особа""
,
VLOOKUP(H12916,IMPORTRANGE(""https://docs.google.com/spreadsheets/d/14Bd19lYaqBhU8_DElYkX7l4wRkHqqCUFNJY4AfY3kHU/edit?usp=sharing  #gid=0"",""фіз особи new!relations_name""),6,FALSE)
,
(IF
(
G12916=""юридична особа""
,
VLOO"&amp;"KUP(H12916,IMPORTRANGE(""https://docs.google.com/spreadsheets/d/14Bd19lYaqBhU8_DElYkX7l4wRkHqqCUFNJY4AfY3kHU/edit?usp=sharing  #gid=0"",""фіз особи new!relations_name_uo""),7,FALSE)
,
)
))"),"КОШЕЛЄВ Володимир Олексійович")</f>
        <v>КОШЕЛЄВ Володимир Олексійович</v>
      </c>
      <c r="J12915" s="7" t="s">
        <v>23</v>
      </c>
    </row>
    <row r="12916" spans="1:10" ht="13.2">
      <c r="A12916" s="7">
        <v>12915</v>
      </c>
      <c r="B12916" s="7">
        <v>1</v>
      </c>
      <c r="C12916" s="7" t="s">
        <v>10</v>
      </c>
      <c r="D12916" s="7">
        <v>18322</v>
      </c>
      <c r="E12916" s="7" t="s">
        <v>23</v>
      </c>
      <c r="F12916" s="8" t="str">
        <f ca="1">IFERROR(__xludf.DUMMYFUNCTION("IF
(
C12917=""фізична особа""
,
VLOOKUP(D12917,IMPORTRANGE(""https://docs.google.com/spreadsheets/d/14Bd19lYaqBhU8_DElYkX7l4wRkHqqCUFNJY4AfY3kHU/edit?usp=sharing  #gid=0"",""фіз особи new!relations_name""),6,FALSE)
,
(IF
(
C12917=""юридична особа""
,
VLOO"&amp;"KUP(D12917,IMPORTRANGE(""https://docs.google.com/spreadsheets/d/14Bd19lYaqBhU8_DElYkX7l4wRkHqqCUFNJY4AfY3kHU/edit?usp=sharing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16" s="7" t="s">
        <v>10</v>
      </c>
      <c r="H12916" s="7">
        <v>18323</v>
      </c>
      <c r="I12916" s="8" t="str">
        <f ca="1">IFERROR(__xludf.DUMMYFUNCTION("IF
(
G12917=""фізична особа""
,
VLOOKUP(H12917,IMPORTRANGE(""https://docs.google.com/spreadsheets/d/14Bd19lYaqBhU8_DElYkX7l4wRkHqqCUFNJY4AfY3kHU/edit?usp=sharing  #gid=0"",""фіз особи new!relations_name""),6,FALSE)
,
(IF
(
G12917=""юридична особа""
,
VLOO"&amp;"KUP(H12917,IMPORTRANGE(""https://docs.google.com/spreadsheets/d/14Bd19lYaqBhU8_DElYkX7l4wRkHqqCUFNJY4AfY3kHU/edit?usp=sharing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16" s="7" t="s">
        <v>23</v>
      </c>
    </row>
    <row r="12917" spans="1:10" ht="13.2">
      <c r="A12917" s="7">
        <v>12916</v>
      </c>
      <c r="B12917" s="7">
        <v>1</v>
      </c>
      <c r="C12917" s="7" t="s">
        <v>10</v>
      </c>
      <c r="D12917" s="7">
        <v>18322</v>
      </c>
      <c r="E12917" s="7" t="s">
        <v>23</v>
      </c>
      <c r="F12917" s="8" t="str">
        <f ca="1">IFERROR(__xludf.DUMMYFUNCTION("IF
(
C12918=""фізична особа""
,
VLOOKUP(D12918,IMPORTRANGE(""https://docs.google.com/spreadsheets/d/14Bd19lYaqBhU8_DElYkX7l4wRkHqqCUFNJY4AfY3kHU/edit?usp=sharing  #gid=0"",""фіз особи new!relations_name""),6,FALSE)
,
(IF
(
C12918=""юридична особа""
,
VLOO"&amp;"KUP(D12918,IMPORTRANGE(""https://docs.google.com/spreadsheets/d/14Bd19lYaqBhU8_DElYkX7l4wRkHqqCUFNJY4AfY3kHU/edit?usp=sharing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17" s="7" t="s">
        <v>10</v>
      </c>
      <c r="H12917" s="7">
        <v>18324</v>
      </c>
      <c r="I12917" s="8" t="str">
        <f ca="1">IFERROR(__xludf.DUMMYFUNCTION("IF
(
G12918=""фізична особа""
,
VLOOKUP(H12918,IMPORTRANGE(""https://docs.google.com/spreadsheets/d/14Bd19lYaqBhU8_DElYkX7l4wRkHqqCUFNJY4AfY3kHU/edit?usp=sharing  #gid=0"",""фіз особи new!relations_name""),6,FALSE)
,
(IF
(
G12918=""юридична особа""
,
VLOO"&amp;"KUP(H12918,IMPORTRANGE(""https://docs.google.com/spreadsheets/d/14Bd19lYaqBhU8_DElYkX7l4wRkHqqCUFNJY4AfY3kHU/edit?usp=sharing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17" s="7" t="s">
        <v>23</v>
      </c>
    </row>
    <row r="12918" spans="1:10" ht="13.2">
      <c r="A12918" s="7">
        <v>12917</v>
      </c>
      <c r="B12918" s="7">
        <v>1</v>
      </c>
      <c r="C12918" s="7" t="s">
        <v>10</v>
      </c>
      <c r="D12918" s="7">
        <v>18322</v>
      </c>
      <c r="E12918" s="7" t="s">
        <v>23</v>
      </c>
      <c r="F12918" s="8" t="str">
        <f ca="1">IFERROR(__xludf.DUMMYFUNCTION("IF
(
C12919=""фізична особа""
,
VLOOKUP(D12919,IMPORTRANGE(""https://docs.google.com/spreadsheets/d/14Bd19lYaqBhU8_DElYkX7l4wRkHqqCUFNJY4AfY3kHU/edit?usp=sharing  #gid=0"",""фіз особи new!relations_name""),6,FALSE)
,
(IF
(
C12919=""юридична особа""
,
VLOO"&amp;"KUP(D12919,IMPORTRANGE(""https://docs.google.com/spreadsheets/d/14Bd19lYaqBhU8_DElYkX7l4wRkHqqCUFNJY4AfY3kHU/edit?usp=sharing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18" s="7" t="s">
        <v>10</v>
      </c>
      <c r="H12918" s="7">
        <v>18325</v>
      </c>
      <c r="I12918" s="8" t="str">
        <f ca="1">IFERROR(__xludf.DUMMYFUNCTION("IF
(
G12919=""фізична особа""
,
VLOOKUP(H12919,IMPORTRANGE(""https://docs.google.com/spreadsheets/d/14Bd19lYaqBhU8_DElYkX7l4wRkHqqCUFNJY4AfY3kHU/edit?usp=sharing  #gid=0"",""фіз особи new!relations_name""),6,FALSE)
,
(IF
(
G12919=""юридична особа""
,
VLOO"&amp;"KUP(H12919,IMPORTRANGE(""https://docs.google.com/spreadsheets/d/14Bd19lYaqBhU8_DElYkX7l4wRkHqqCUFNJY4AfY3kHU/edit?usp=sharing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18" s="7" t="s">
        <v>23</v>
      </c>
    </row>
    <row r="12919" spans="1:10" ht="13.2">
      <c r="A12919" s="7">
        <v>12918</v>
      </c>
      <c r="B12919" s="7">
        <v>1</v>
      </c>
      <c r="C12919" s="7" t="s">
        <v>10</v>
      </c>
      <c r="D12919" s="7">
        <v>18322</v>
      </c>
      <c r="E12919" s="7" t="s">
        <v>23</v>
      </c>
      <c r="F12919" s="8" t="str">
        <f ca="1">IFERROR(__xludf.DUMMYFUNCTION("IF
(
C12920=""фізична особа""
,
VLOOKUP(D12920,IMPORTRANGE(""https://docs.google.com/spreadsheets/d/14Bd19lYaqBhU8_DElYkX7l4wRkHqqCUFNJY4AfY3kHU/edit?usp=sharing  #gid=0"",""фіз особи new!relations_name""),6,FALSE)
,
(IF
(
C12920=""юридична особа""
,
VLOO"&amp;"KUP(D12920,IMPORTRANGE(""https://docs.google.com/spreadsheets/d/14Bd19lYaqBhU8_DElYkX7l4wRkHqqCUFNJY4AfY3kHU/edit?usp=sharing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19" s="7" t="s">
        <v>10</v>
      </c>
      <c r="H12919" s="7">
        <v>18326</v>
      </c>
      <c r="I12919" s="8" t="str">
        <f ca="1">IFERROR(__xludf.DUMMYFUNCTION("IF
(
G12920=""фізична особа""
,
VLOOKUP(H12920,IMPORTRANGE(""https://docs.google.com/spreadsheets/d/14Bd19lYaqBhU8_DElYkX7l4wRkHqqCUFNJY4AfY3kHU/edit?usp=sharing  #gid=0"",""фіз особи new!relations_name""),6,FALSE)
,
(IF
(
G12920=""юридична особа""
,
VLOO"&amp;"KUP(H12920,IMPORTRANGE(""https://docs.google.com/spreadsheets/d/14Bd19lYaqBhU8_DElYkX7l4wRkHqqCUFNJY4AfY3kHU/edit?usp=sharing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19" s="7" t="s">
        <v>23</v>
      </c>
    </row>
    <row r="12920" spans="1:10" ht="13.2">
      <c r="A12920" s="7">
        <v>12919</v>
      </c>
      <c r="B12920" s="7">
        <v>1</v>
      </c>
      <c r="C12920" s="7" t="s">
        <v>10</v>
      </c>
      <c r="D12920" s="7">
        <v>18322</v>
      </c>
      <c r="E12920" s="7" t="s">
        <v>23</v>
      </c>
      <c r="F12920" s="8" t="str">
        <f ca="1">IFERROR(__xludf.DUMMYFUNCTION("IF
(
C12921=""фізична особа""
,
VLOOKUP(D12921,IMPORTRANGE(""https://docs.google.com/spreadsheets/d/14Bd19lYaqBhU8_DElYkX7l4wRkHqqCUFNJY4AfY3kHU/edit?usp=sharing  #gid=0"",""фіз особи new!relations_name""),6,FALSE)
,
(IF
(
C12921=""юридична особа""
,
VLOO"&amp;"KUP(D12921,IMPORTRANGE(""https://docs.google.com/spreadsheets/d/14Bd19lYaqBhU8_DElYkX7l4wRkHqqCUFNJY4AfY3kHU/edit?usp=sharing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20" s="7" t="s">
        <v>10</v>
      </c>
      <c r="H12920" s="7">
        <v>18327</v>
      </c>
      <c r="I12920" s="8" t="str">
        <f ca="1">IFERROR(__xludf.DUMMYFUNCTION("IF
(
G12921=""фізична особа""
,
VLOOKUP(H12921,IMPORTRANGE(""https://docs.google.com/spreadsheets/d/14Bd19lYaqBhU8_DElYkX7l4wRkHqqCUFNJY4AfY3kHU/edit?usp=sharing  #gid=0"",""фіз особи new!relations_name""),6,FALSE)
,
(IF
(
G12921=""юридична особа""
,
VLOO"&amp;"KUP(H12921,IMPORTRANGE(""https://docs.google.com/spreadsheets/d/14Bd19lYaqBhU8_DElYkX7l4wRkHqqCUFNJY4AfY3kHU/edit?usp=sharing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20" s="7" t="s">
        <v>23</v>
      </c>
    </row>
    <row r="12921" spans="1:10" ht="13.2">
      <c r="A12921" s="7">
        <v>12920</v>
      </c>
      <c r="B12921" s="7">
        <v>1</v>
      </c>
      <c r="C12921" s="7" t="s">
        <v>10</v>
      </c>
      <c r="D12921" s="7">
        <v>18322</v>
      </c>
      <c r="E12921" s="7" t="s">
        <v>23</v>
      </c>
      <c r="F12921" s="8" t="str">
        <f ca="1">IFERROR(__xludf.DUMMYFUNCTION("IF
(
C12922=""фізична особа""
,
VLOOKUP(D12922,IMPORTRANGE(""https://docs.google.com/spreadsheets/d/14Bd19lYaqBhU8_DElYkX7l4wRkHqqCUFNJY4AfY3kHU/edit?usp=sharing  #gid=0"",""фіз особи new!relations_name""),6,FALSE)
,
(IF
(
C12922=""юридична особа""
,
VLOO"&amp;"KUP(D12922,IMPORTRANGE(""https://docs.google.com/spreadsheets/d/14Bd19lYaqBhU8_DElYkX7l4wRkHqqCUFNJY4AfY3kHU/edit?usp=sharing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21" s="7" t="s">
        <v>10</v>
      </c>
      <c r="H12921" s="7">
        <v>18328</v>
      </c>
      <c r="I12921" s="8" t="str">
        <f ca="1">IFERROR(__xludf.DUMMYFUNCTION("IF
(
G12922=""фізична особа""
,
VLOOKUP(H12922,IMPORTRANGE(""https://docs.google.com/spreadsheets/d/14Bd19lYaqBhU8_DElYkX7l4wRkHqqCUFNJY4AfY3kHU/edit?usp=sharing  #gid=0"",""фіз особи new!relations_name""),6,FALSE)
,
(IF
(
G12922=""юридична особа""
,
VLOO"&amp;"KUP(H12922,IMPORTRANGE(""https://docs.google.com/spreadsheets/d/14Bd19lYaqBhU8_DElYkX7l4wRkHqqCUFNJY4AfY3kHU/edit?usp=sharing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21" s="7" t="s">
        <v>23</v>
      </c>
    </row>
    <row r="12922" spans="1:10" ht="13.2">
      <c r="A12922" s="7">
        <v>12921</v>
      </c>
      <c r="B12922" s="7">
        <v>1</v>
      </c>
      <c r="C12922" s="7" t="s">
        <v>10</v>
      </c>
      <c r="D12922" s="7">
        <v>18322</v>
      </c>
      <c r="E12922" s="7" t="s">
        <v>23</v>
      </c>
      <c r="F12922" s="8" t="str">
        <f ca="1">IFERROR(__xludf.DUMMYFUNCTION("IF
(
C12923=""фізична особа""
,
VLOOKUP(D12923,IMPORTRANGE(""https://docs.google.com/spreadsheets/d/14Bd19lYaqBhU8_DElYkX7l4wRkHqqCUFNJY4AfY3kHU/edit?usp=sharing  #gid=0"",""фіз особи new!relations_name""),6,FALSE)
,
(IF
(
C12923=""юридична особа""
,
VLOO"&amp;"KUP(D12923,IMPORTRANGE(""https://docs.google.com/spreadsheets/d/14Bd19lYaqBhU8_DElYkX7l4wRkHqqCUFNJY4AfY3kHU/edit?usp=sharing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22" s="7" t="s">
        <v>10</v>
      </c>
      <c r="H12922" s="7">
        <v>18329</v>
      </c>
      <c r="I12922" s="8" t="str">
        <f ca="1">IFERROR(__xludf.DUMMYFUNCTION("IF
(
G12923=""фізична особа""
,
VLOOKUP(H12923,IMPORTRANGE(""https://docs.google.com/spreadsheets/d/14Bd19lYaqBhU8_DElYkX7l4wRkHqqCUFNJY4AfY3kHU/edit?usp=sharing  #gid=0"",""фіз особи new!relations_name""),6,FALSE)
,
(IF
(
G12923=""юридична особа""
,
VLOO"&amp;"KUP(H12923,IMPORTRANGE(""https://docs.google.com/spreadsheets/d/14Bd19lYaqBhU8_DElYkX7l4wRkHqqCUFNJY4AfY3kHU/edit?usp=sharing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22" s="7" t="s">
        <v>23</v>
      </c>
    </row>
    <row r="12923" spans="1:10" ht="13.2">
      <c r="A12923" s="7">
        <v>12922</v>
      </c>
      <c r="B12923" s="7">
        <v>1</v>
      </c>
      <c r="C12923" s="7" t="s">
        <v>10</v>
      </c>
      <c r="D12923" s="7">
        <v>18322</v>
      </c>
      <c r="E12923" s="7" t="s">
        <v>23</v>
      </c>
      <c r="F12923" s="8" t="str">
        <f ca="1">IFERROR(__xludf.DUMMYFUNCTION("IF
(
C12924=""фізична особа""
,
VLOOKUP(D12924,IMPORTRANGE(""https://docs.google.com/spreadsheets/d/14Bd19lYaqBhU8_DElYkX7l4wRkHqqCUFNJY4AfY3kHU/edit?usp=sharing  #gid=0"",""фіз особи new!relations_name""),6,FALSE)
,
(IF
(
C12924=""юридична особа""
,
VLOO"&amp;"KUP(D12924,IMPORTRANGE(""https://docs.google.com/spreadsheets/d/14Bd19lYaqBhU8_DElYkX7l4wRkHqqCUFNJY4AfY3kHU/edit?usp=sharing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G12923" s="7" t="s">
        <v>10</v>
      </c>
      <c r="H12923" s="7">
        <v>18330</v>
      </c>
      <c r="I12923" s="8" t="str">
        <f ca="1">IFERROR(__xludf.DUMMYFUNCTION("IF
(
G12924=""фізична особа""
,
VLOOKUP(H12924,IMPORTRANGE(""https://docs.google.com/spreadsheets/d/14Bd19lYaqBhU8_DElYkX7l4wRkHqqCUFNJY4AfY3kHU/edit?usp=sharing  #gid=0"",""фіз особи new!relations_name""),6,FALSE)
,
(IF
(
G12924=""юридична особа""
,
VLOO"&amp;"KUP(H12924,IMPORTRANGE(""https://docs.google.com/spreadsheets/d/14Bd19lYaqBhU8_DElYkX7l4wRkHqqCUFNJY4AfY3kHU/edit?usp=sharing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23" s="7" t="s">
        <v>23</v>
      </c>
    </row>
    <row r="12924" spans="1:10" ht="13.2">
      <c r="A12924" s="7">
        <v>12923</v>
      </c>
      <c r="B12924" s="7">
        <v>1</v>
      </c>
      <c r="C12924" s="7" t="s">
        <v>10</v>
      </c>
      <c r="D12924" s="7">
        <v>18323</v>
      </c>
      <c r="E12924" s="7" t="s">
        <v>23</v>
      </c>
      <c r="F12924" s="8" t="str">
        <f ca="1">IFERROR(__xludf.DUMMYFUNCTION("IF
(
C12925=""фізична особа""
,
VLOOKUP(D12925,IMPORTRANGE(""https://docs.google.com/spreadsheets/d/14Bd19lYaqBhU8_DElYkX7l4wRkHqqCUFNJY4AfY3kHU/edit?usp=sharing  #gid=0"",""фіз особи new!relations_name""),6,FALSE)
,
(IF
(
C12925=""юридична особа""
,
VLOO"&amp;"KUP(D12925,IMPORTRANGE(""https://docs.google.com/spreadsheets/d/14Bd19lYaqBhU8_DElYkX7l4wRkHqqCUFNJY4AfY3kHU/edit?usp=sharing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4" s="7" t="s">
        <v>10</v>
      </c>
      <c r="H12924" s="7">
        <v>18322</v>
      </c>
      <c r="I12924" s="8" t="str">
        <f ca="1">IFERROR(__xludf.DUMMYFUNCTION("IF
(
G12925=""фізична особа""
,
VLOOKUP(H12925,IMPORTRANGE(""https://docs.google.com/spreadsheets/d/14Bd19lYaqBhU8_DElYkX7l4wRkHqqCUFNJY4AfY3kHU/edit?usp=sharing  #gid=0"",""фіз особи new!relations_name""),6,FALSE)
,
(IF
(
G12925=""юридична особа""
,
VLOO"&amp;"KUP(H12925,IMPORTRANGE(""https://docs.google.com/spreadsheets/d/14Bd19lYaqBhU8_DElYkX7l4wRkHqqCUFNJY4AfY3kHU/edit?usp=sharing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24" s="7" t="s">
        <v>23</v>
      </c>
    </row>
    <row r="12925" spans="1:10" ht="13.2">
      <c r="A12925" s="7">
        <v>12924</v>
      </c>
      <c r="B12925" s="7">
        <v>1</v>
      </c>
      <c r="C12925" s="7" t="s">
        <v>10</v>
      </c>
      <c r="D12925" s="7">
        <v>18323</v>
      </c>
      <c r="E12925" s="7" t="s">
        <v>23</v>
      </c>
      <c r="F12925" s="8" t="str">
        <f ca="1">IFERROR(__xludf.DUMMYFUNCTION("IF
(
C12926=""фізична особа""
,
VLOOKUP(D12926,IMPORTRANGE(""https://docs.google.com/spreadsheets/d/14Bd19lYaqBhU8_DElYkX7l4wRkHqqCUFNJY4AfY3kHU/edit?usp=sharing  #gid=0"",""фіз особи new!relations_name""),6,FALSE)
,
(IF
(
C12926=""юридична особа""
,
VLOO"&amp;"KUP(D12926,IMPORTRANGE(""https://docs.google.com/spreadsheets/d/14Bd19lYaqBhU8_DElYkX7l4wRkHqqCUFNJY4AfY3kHU/edit?usp=sharing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5" s="7" t="s">
        <v>10</v>
      </c>
      <c r="H12925" s="7">
        <v>18324</v>
      </c>
      <c r="I12925" s="8" t="str">
        <f ca="1">IFERROR(__xludf.DUMMYFUNCTION("IF
(
G12926=""фізична особа""
,
VLOOKUP(H12926,IMPORTRANGE(""https://docs.google.com/spreadsheets/d/14Bd19lYaqBhU8_DElYkX7l4wRkHqqCUFNJY4AfY3kHU/edit?usp=sharing  #gid=0"",""фіз особи new!relations_name""),6,FALSE)
,
(IF
(
G12926=""юридична особа""
,
VLOO"&amp;"KUP(H12926,IMPORTRANGE(""https://docs.google.com/spreadsheets/d/14Bd19lYaqBhU8_DElYkX7l4wRkHqqCUFNJY4AfY3kHU/edit?usp=sharing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25" s="7" t="s">
        <v>23</v>
      </c>
    </row>
    <row r="12926" spans="1:10" ht="13.2">
      <c r="A12926" s="7">
        <v>12925</v>
      </c>
      <c r="B12926" s="7">
        <v>1</v>
      </c>
      <c r="C12926" s="7" t="s">
        <v>10</v>
      </c>
      <c r="D12926" s="7">
        <v>18323</v>
      </c>
      <c r="E12926" s="7" t="s">
        <v>23</v>
      </c>
      <c r="F12926" s="8" t="str">
        <f ca="1">IFERROR(__xludf.DUMMYFUNCTION("IF
(
C12927=""фізична особа""
,
VLOOKUP(D12927,IMPORTRANGE(""https://docs.google.com/spreadsheets/d/14Bd19lYaqBhU8_DElYkX7l4wRkHqqCUFNJY4AfY3kHU/edit?usp=sharing  #gid=0"",""фіз особи new!relations_name""),6,FALSE)
,
(IF
(
C12927=""юридична особа""
,
VLOO"&amp;"KUP(D12927,IMPORTRANGE(""https://docs.google.com/spreadsheets/d/14Bd19lYaqBhU8_DElYkX7l4wRkHqqCUFNJY4AfY3kHU/edit?usp=sharing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6" s="7" t="s">
        <v>10</v>
      </c>
      <c r="H12926" s="7">
        <v>18325</v>
      </c>
      <c r="I12926" s="8" t="str">
        <f ca="1">IFERROR(__xludf.DUMMYFUNCTION("IF
(
G12927=""фізична особа""
,
VLOOKUP(H12927,IMPORTRANGE(""https://docs.google.com/spreadsheets/d/14Bd19lYaqBhU8_DElYkX7l4wRkHqqCUFNJY4AfY3kHU/edit?usp=sharing  #gid=0"",""фіз особи new!relations_name""),6,FALSE)
,
(IF
(
G12927=""юридична особа""
,
VLOO"&amp;"KUP(H12927,IMPORTRANGE(""https://docs.google.com/spreadsheets/d/14Bd19lYaqBhU8_DElYkX7l4wRkHqqCUFNJY4AfY3kHU/edit?usp=sharing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26" s="7" t="s">
        <v>23</v>
      </c>
    </row>
    <row r="12927" spans="1:10" ht="13.2">
      <c r="A12927" s="7">
        <v>12926</v>
      </c>
      <c r="B12927" s="7">
        <v>1</v>
      </c>
      <c r="C12927" s="7" t="s">
        <v>10</v>
      </c>
      <c r="D12927" s="7">
        <v>18323</v>
      </c>
      <c r="E12927" s="7" t="s">
        <v>23</v>
      </c>
      <c r="F12927" s="8" t="str">
        <f ca="1">IFERROR(__xludf.DUMMYFUNCTION("IF
(
C12928=""фізична особа""
,
VLOOKUP(D12928,IMPORTRANGE(""https://docs.google.com/spreadsheets/d/14Bd19lYaqBhU8_DElYkX7l4wRkHqqCUFNJY4AfY3kHU/edit?usp=sharing  #gid=0"",""фіз особи new!relations_name""),6,FALSE)
,
(IF
(
C12928=""юридична особа""
,
VLOO"&amp;"KUP(D12928,IMPORTRANGE(""https://docs.google.com/spreadsheets/d/14Bd19lYaqBhU8_DElYkX7l4wRkHqqCUFNJY4AfY3kHU/edit?usp=sharing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7" s="7" t="s">
        <v>10</v>
      </c>
      <c r="H12927" s="7">
        <v>18326</v>
      </c>
      <c r="I12927" s="8" t="str">
        <f ca="1">IFERROR(__xludf.DUMMYFUNCTION("IF
(
G12928=""фізична особа""
,
VLOOKUP(H12928,IMPORTRANGE(""https://docs.google.com/spreadsheets/d/14Bd19lYaqBhU8_DElYkX7l4wRkHqqCUFNJY4AfY3kHU/edit?usp=sharing  #gid=0"",""фіз особи new!relations_name""),6,FALSE)
,
(IF
(
G12928=""юридична особа""
,
VLOO"&amp;"KUP(H12928,IMPORTRANGE(""https://docs.google.com/spreadsheets/d/14Bd19lYaqBhU8_DElYkX7l4wRkHqqCUFNJY4AfY3kHU/edit?usp=sharing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27" s="7" t="s">
        <v>23</v>
      </c>
    </row>
    <row r="12928" spans="1:10" ht="13.2">
      <c r="A12928" s="7">
        <v>12927</v>
      </c>
      <c r="B12928" s="7">
        <v>1</v>
      </c>
      <c r="C12928" s="7" t="s">
        <v>10</v>
      </c>
      <c r="D12928" s="7">
        <v>18323</v>
      </c>
      <c r="E12928" s="7" t="s">
        <v>23</v>
      </c>
      <c r="F12928" s="8" t="str">
        <f ca="1">IFERROR(__xludf.DUMMYFUNCTION("IF
(
C12929=""фізична особа""
,
VLOOKUP(D12929,IMPORTRANGE(""https://docs.google.com/spreadsheets/d/14Bd19lYaqBhU8_DElYkX7l4wRkHqqCUFNJY4AfY3kHU/edit?usp=sharing  #gid=0"",""фіз особи new!relations_name""),6,FALSE)
,
(IF
(
C12929=""юридична особа""
,
VLOO"&amp;"KUP(D12929,IMPORTRANGE(""https://docs.google.com/spreadsheets/d/14Bd19lYaqBhU8_DElYkX7l4wRkHqqCUFNJY4AfY3kHU/edit?usp=sharing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8" s="7" t="s">
        <v>10</v>
      </c>
      <c r="H12928" s="7">
        <v>18327</v>
      </c>
      <c r="I12928" s="8" t="str">
        <f ca="1">IFERROR(__xludf.DUMMYFUNCTION("IF
(
G12929=""фізична особа""
,
VLOOKUP(H12929,IMPORTRANGE(""https://docs.google.com/spreadsheets/d/14Bd19lYaqBhU8_DElYkX7l4wRkHqqCUFNJY4AfY3kHU/edit?usp=sharing  #gid=0"",""фіз особи new!relations_name""),6,FALSE)
,
(IF
(
G12929=""юридична особа""
,
VLOO"&amp;"KUP(H12929,IMPORTRANGE(""https://docs.google.com/spreadsheets/d/14Bd19lYaqBhU8_DElYkX7l4wRkHqqCUFNJY4AfY3kHU/edit?usp=sharing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28" s="7" t="s">
        <v>23</v>
      </c>
    </row>
    <row r="12929" spans="1:10" ht="13.2">
      <c r="A12929" s="7">
        <v>12928</v>
      </c>
      <c r="B12929" s="7">
        <v>1</v>
      </c>
      <c r="C12929" s="7" t="s">
        <v>10</v>
      </c>
      <c r="D12929" s="7">
        <v>18323</v>
      </c>
      <c r="E12929" s="7" t="s">
        <v>23</v>
      </c>
      <c r="F12929" s="8" t="str">
        <f ca="1">IFERROR(__xludf.DUMMYFUNCTION("IF
(
C12930=""фізична особа""
,
VLOOKUP(D12930,IMPORTRANGE(""https://docs.google.com/spreadsheets/d/14Bd19lYaqBhU8_DElYkX7l4wRkHqqCUFNJY4AfY3kHU/edit?usp=sharing  #gid=0"",""фіз особи new!relations_name""),6,FALSE)
,
(IF
(
C12930=""юридична особа""
,
VLOO"&amp;"KUP(D12930,IMPORTRANGE(""https://docs.google.com/spreadsheets/d/14Bd19lYaqBhU8_DElYkX7l4wRkHqqCUFNJY4AfY3kHU/edit?usp=sharing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29" s="7" t="s">
        <v>10</v>
      </c>
      <c r="H12929" s="7">
        <v>18328</v>
      </c>
      <c r="I12929" s="8" t="str">
        <f ca="1">IFERROR(__xludf.DUMMYFUNCTION("IF
(
G12930=""фізична особа""
,
VLOOKUP(H12930,IMPORTRANGE(""https://docs.google.com/spreadsheets/d/14Bd19lYaqBhU8_DElYkX7l4wRkHqqCUFNJY4AfY3kHU/edit?usp=sharing  #gid=0"",""фіз особи new!relations_name""),6,FALSE)
,
(IF
(
G12930=""юридична особа""
,
VLOO"&amp;"KUP(H12930,IMPORTRANGE(""https://docs.google.com/spreadsheets/d/14Bd19lYaqBhU8_DElYkX7l4wRkHqqCUFNJY4AfY3kHU/edit?usp=sharing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29" s="7" t="s">
        <v>23</v>
      </c>
    </row>
    <row r="12930" spans="1:10" ht="13.2">
      <c r="A12930" s="7">
        <v>12929</v>
      </c>
      <c r="B12930" s="7">
        <v>1</v>
      </c>
      <c r="C12930" s="7" t="s">
        <v>10</v>
      </c>
      <c r="D12930" s="7">
        <v>18323</v>
      </c>
      <c r="E12930" s="7" t="s">
        <v>23</v>
      </c>
      <c r="F12930" s="8" t="str">
        <f ca="1">IFERROR(__xludf.DUMMYFUNCTION("IF
(
C12931=""фізична особа""
,
VLOOKUP(D12931,IMPORTRANGE(""https://docs.google.com/spreadsheets/d/14Bd19lYaqBhU8_DElYkX7l4wRkHqqCUFNJY4AfY3kHU/edit?usp=sharing  #gid=0"",""фіз особи new!relations_name""),6,FALSE)
,
(IF
(
C12931=""юридична особа""
,
VLOO"&amp;"KUP(D12931,IMPORTRANGE(""https://docs.google.com/spreadsheets/d/14Bd19lYaqBhU8_DElYkX7l4wRkHqqCUFNJY4AfY3kHU/edit?usp=sharing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30" s="7" t="s">
        <v>10</v>
      </c>
      <c r="H12930" s="7">
        <v>18329</v>
      </c>
      <c r="I12930" s="8" t="str">
        <f ca="1">IFERROR(__xludf.DUMMYFUNCTION("IF
(
G12931=""фізична особа""
,
VLOOKUP(H12931,IMPORTRANGE(""https://docs.google.com/spreadsheets/d/14Bd19lYaqBhU8_DElYkX7l4wRkHqqCUFNJY4AfY3kHU/edit?usp=sharing  #gid=0"",""фіз особи new!relations_name""),6,FALSE)
,
(IF
(
G12931=""юридична особа""
,
VLOO"&amp;"KUP(H12931,IMPORTRANGE(""https://docs.google.com/spreadsheets/d/14Bd19lYaqBhU8_DElYkX7l4wRkHqqCUFNJY4AfY3kHU/edit?usp=sharing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30" s="7" t="s">
        <v>23</v>
      </c>
    </row>
    <row r="12931" spans="1:10" ht="13.2">
      <c r="A12931" s="7">
        <v>12930</v>
      </c>
      <c r="B12931" s="7">
        <v>1</v>
      </c>
      <c r="C12931" s="7" t="s">
        <v>10</v>
      </c>
      <c r="D12931" s="7">
        <v>18323</v>
      </c>
      <c r="E12931" s="7" t="s">
        <v>23</v>
      </c>
      <c r="F12931" s="8" t="str">
        <f ca="1">IFERROR(__xludf.DUMMYFUNCTION("IF
(
C12932=""фізична особа""
,
VLOOKUP(D12932,IMPORTRANGE(""https://docs.google.com/spreadsheets/d/14Bd19lYaqBhU8_DElYkX7l4wRkHqqCUFNJY4AfY3kHU/edit?usp=sharing  #gid=0"",""фіз особи new!relations_name""),6,FALSE)
,
(IF
(
C12932=""юридична особа""
,
VLOO"&amp;"KUP(D12932,IMPORTRANGE(""https://docs.google.com/spreadsheets/d/14Bd19lYaqBhU8_DElYkX7l4wRkHqqCUFNJY4AfY3kHU/edit?usp=sharing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G12931" s="7" t="s">
        <v>10</v>
      </c>
      <c r="H12931" s="7">
        <v>18330</v>
      </c>
      <c r="I12931" s="8" t="str">
        <f ca="1">IFERROR(__xludf.DUMMYFUNCTION("IF
(
G12932=""фізична особа""
,
VLOOKUP(H12932,IMPORTRANGE(""https://docs.google.com/spreadsheets/d/14Bd19lYaqBhU8_DElYkX7l4wRkHqqCUFNJY4AfY3kHU/edit?usp=sharing  #gid=0"",""фіз особи new!relations_name""),6,FALSE)
,
(IF
(
G12932=""юридична особа""
,
VLOO"&amp;"KUP(H12932,IMPORTRANGE(""https://docs.google.com/spreadsheets/d/14Bd19lYaqBhU8_DElYkX7l4wRkHqqCUFNJY4AfY3kHU/edit?usp=sharing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31" s="7" t="s">
        <v>23</v>
      </c>
    </row>
    <row r="12932" spans="1:10" ht="13.2">
      <c r="A12932" s="7">
        <v>12931</v>
      </c>
      <c r="B12932" s="7">
        <v>1</v>
      </c>
      <c r="C12932" s="7" t="s">
        <v>10</v>
      </c>
      <c r="D12932" s="7">
        <v>18324</v>
      </c>
      <c r="E12932" s="7" t="s">
        <v>23</v>
      </c>
      <c r="F12932" s="8" t="str">
        <f ca="1">IFERROR(__xludf.DUMMYFUNCTION("IF
(
C12933=""фізична особа""
,
VLOOKUP(D12933,IMPORTRANGE(""https://docs.google.com/spreadsheets/d/14Bd19lYaqBhU8_DElYkX7l4wRkHqqCUFNJY4AfY3kHU/edit?usp=sharing  #gid=0"",""фіз особи new!relations_name""),6,FALSE)
,
(IF
(
C12933=""юридична особа""
,
VLOO"&amp;"KUP(D12933,IMPORTRANGE(""https://docs.google.com/spreadsheets/d/14Bd19lYaqBhU8_DElYkX7l4wRkHqqCUFNJY4AfY3kHU/edit?usp=sharing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2" s="7" t="s">
        <v>10</v>
      </c>
      <c r="H12932" s="7">
        <v>18322</v>
      </c>
      <c r="I12932" s="8" t="str">
        <f ca="1">IFERROR(__xludf.DUMMYFUNCTION("IF
(
G12933=""фізична особа""
,
VLOOKUP(H12933,IMPORTRANGE(""https://docs.google.com/spreadsheets/d/14Bd19lYaqBhU8_DElYkX7l4wRkHqqCUFNJY4AfY3kHU/edit?usp=sharing  #gid=0"",""фіз особи new!relations_name""),6,FALSE)
,
(IF
(
G12933=""юридична особа""
,
VLOO"&amp;"KUP(H12933,IMPORTRANGE(""https://docs.google.com/spreadsheets/d/14Bd19lYaqBhU8_DElYkX7l4wRkHqqCUFNJY4AfY3kHU/edit?usp=sharing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32" s="7" t="s">
        <v>23</v>
      </c>
    </row>
    <row r="12933" spans="1:10" ht="13.2">
      <c r="A12933" s="7">
        <v>12932</v>
      </c>
      <c r="B12933" s="7">
        <v>1</v>
      </c>
      <c r="C12933" s="7" t="s">
        <v>10</v>
      </c>
      <c r="D12933" s="7">
        <v>18324</v>
      </c>
      <c r="E12933" s="7" t="s">
        <v>23</v>
      </c>
      <c r="F12933" s="8" t="str">
        <f ca="1">IFERROR(__xludf.DUMMYFUNCTION("IF
(
C12934=""фізична особа""
,
VLOOKUP(D12934,IMPORTRANGE(""https://docs.google.com/spreadsheets/d/14Bd19lYaqBhU8_DElYkX7l4wRkHqqCUFNJY4AfY3kHU/edit?usp=sharing  #gid=0"",""фіз особи new!relations_name""),6,FALSE)
,
(IF
(
C12934=""юридична особа""
,
VLOO"&amp;"KUP(D12934,IMPORTRANGE(""https://docs.google.com/spreadsheets/d/14Bd19lYaqBhU8_DElYkX7l4wRkHqqCUFNJY4AfY3kHU/edit?usp=sharing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3" s="7" t="s">
        <v>10</v>
      </c>
      <c r="H12933" s="7">
        <v>18323</v>
      </c>
      <c r="I12933" s="8" t="str">
        <f ca="1">IFERROR(__xludf.DUMMYFUNCTION("IF
(
G12934=""фізична особа""
,
VLOOKUP(H12934,IMPORTRANGE(""https://docs.google.com/spreadsheets/d/14Bd19lYaqBhU8_DElYkX7l4wRkHqqCUFNJY4AfY3kHU/edit?usp=sharing  #gid=0"",""фіз особи new!relations_name""),6,FALSE)
,
(IF
(
G12934=""юридична особа""
,
VLOO"&amp;"KUP(H12934,IMPORTRANGE(""https://docs.google.com/spreadsheets/d/14Bd19lYaqBhU8_DElYkX7l4wRkHqqCUFNJY4AfY3kHU/edit?usp=sharing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33" s="7" t="s">
        <v>23</v>
      </c>
    </row>
    <row r="12934" spans="1:10" ht="13.2">
      <c r="A12934" s="7">
        <v>12933</v>
      </c>
      <c r="B12934" s="7">
        <v>1</v>
      </c>
      <c r="C12934" s="7" t="s">
        <v>10</v>
      </c>
      <c r="D12934" s="7">
        <v>18324</v>
      </c>
      <c r="E12934" s="7" t="s">
        <v>23</v>
      </c>
      <c r="F12934" s="8" t="str">
        <f ca="1">IFERROR(__xludf.DUMMYFUNCTION("IF
(
C12935=""фізична особа""
,
VLOOKUP(D12935,IMPORTRANGE(""https://docs.google.com/spreadsheets/d/14Bd19lYaqBhU8_DElYkX7l4wRkHqqCUFNJY4AfY3kHU/edit?usp=sharing  #gid=0"",""фіз особи new!relations_name""),6,FALSE)
,
(IF
(
C12935=""юридична особа""
,
VLOO"&amp;"KUP(D12935,IMPORTRANGE(""https://docs.google.com/spreadsheets/d/14Bd19lYaqBhU8_DElYkX7l4wRkHqqCUFNJY4AfY3kHU/edit?usp=sharing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4" s="7" t="s">
        <v>10</v>
      </c>
      <c r="H12934" s="7">
        <v>18325</v>
      </c>
      <c r="I12934" s="8" t="str">
        <f ca="1">IFERROR(__xludf.DUMMYFUNCTION("IF
(
G12935=""фізична особа""
,
VLOOKUP(H12935,IMPORTRANGE(""https://docs.google.com/spreadsheets/d/14Bd19lYaqBhU8_DElYkX7l4wRkHqqCUFNJY4AfY3kHU/edit?usp=sharing  #gid=0"",""фіз особи new!relations_name""),6,FALSE)
,
(IF
(
G12935=""юридична особа""
,
VLOO"&amp;"KUP(H12935,IMPORTRANGE(""https://docs.google.com/spreadsheets/d/14Bd19lYaqBhU8_DElYkX7l4wRkHqqCUFNJY4AfY3kHU/edit?usp=sharing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34" s="7" t="s">
        <v>23</v>
      </c>
    </row>
    <row r="12935" spans="1:10" ht="13.2">
      <c r="A12935" s="7">
        <v>12934</v>
      </c>
      <c r="B12935" s="7">
        <v>1</v>
      </c>
      <c r="C12935" s="7" t="s">
        <v>10</v>
      </c>
      <c r="D12935" s="7">
        <v>18324</v>
      </c>
      <c r="E12935" s="7" t="s">
        <v>23</v>
      </c>
      <c r="F12935" s="8" t="str">
        <f ca="1">IFERROR(__xludf.DUMMYFUNCTION("IF
(
C12936=""фізична особа""
,
VLOOKUP(D12936,IMPORTRANGE(""https://docs.google.com/spreadsheets/d/14Bd19lYaqBhU8_DElYkX7l4wRkHqqCUFNJY4AfY3kHU/edit?usp=sharing  #gid=0"",""фіз особи new!relations_name""),6,FALSE)
,
(IF
(
C12936=""юридична особа""
,
VLOO"&amp;"KUP(D12936,IMPORTRANGE(""https://docs.google.com/spreadsheets/d/14Bd19lYaqBhU8_DElYkX7l4wRkHqqCUFNJY4AfY3kHU/edit?usp=sharing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5" s="7" t="s">
        <v>10</v>
      </c>
      <c r="H12935" s="7">
        <v>18326</v>
      </c>
      <c r="I12935" s="8" t="str">
        <f ca="1">IFERROR(__xludf.DUMMYFUNCTION("IF
(
G12936=""фізична особа""
,
VLOOKUP(H12936,IMPORTRANGE(""https://docs.google.com/spreadsheets/d/14Bd19lYaqBhU8_DElYkX7l4wRkHqqCUFNJY4AfY3kHU/edit?usp=sharing  #gid=0"",""фіз особи new!relations_name""),6,FALSE)
,
(IF
(
G12936=""юридична особа""
,
VLOO"&amp;"KUP(H12936,IMPORTRANGE(""https://docs.google.com/spreadsheets/d/14Bd19lYaqBhU8_DElYkX7l4wRkHqqCUFNJY4AfY3kHU/edit?usp=sharing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35" s="7" t="s">
        <v>23</v>
      </c>
    </row>
    <row r="12936" spans="1:10" ht="13.2">
      <c r="A12936" s="7">
        <v>12935</v>
      </c>
      <c r="B12936" s="7">
        <v>1</v>
      </c>
      <c r="C12936" s="7" t="s">
        <v>10</v>
      </c>
      <c r="D12936" s="7">
        <v>18324</v>
      </c>
      <c r="E12936" s="7" t="s">
        <v>23</v>
      </c>
      <c r="F12936" s="8" t="str">
        <f ca="1">IFERROR(__xludf.DUMMYFUNCTION("IF
(
C12937=""фізична особа""
,
VLOOKUP(D12937,IMPORTRANGE(""https://docs.google.com/spreadsheets/d/14Bd19lYaqBhU8_DElYkX7l4wRkHqqCUFNJY4AfY3kHU/edit?usp=sharing  #gid=0"",""фіз особи new!relations_name""),6,FALSE)
,
(IF
(
C12937=""юридична особа""
,
VLOO"&amp;"KUP(D12937,IMPORTRANGE(""https://docs.google.com/spreadsheets/d/14Bd19lYaqBhU8_DElYkX7l4wRkHqqCUFNJY4AfY3kHU/edit?usp=sharing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6" s="7" t="s">
        <v>10</v>
      </c>
      <c r="H12936" s="7">
        <v>18327</v>
      </c>
      <c r="I12936" s="8" t="str">
        <f ca="1">IFERROR(__xludf.DUMMYFUNCTION("IF
(
G12937=""фізична особа""
,
VLOOKUP(H12937,IMPORTRANGE(""https://docs.google.com/spreadsheets/d/14Bd19lYaqBhU8_DElYkX7l4wRkHqqCUFNJY4AfY3kHU/edit?usp=sharing  #gid=0"",""фіз особи new!relations_name""),6,FALSE)
,
(IF
(
G12937=""юридична особа""
,
VLOO"&amp;"KUP(H12937,IMPORTRANGE(""https://docs.google.com/spreadsheets/d/14Bd19lYaqBhU8_DElYkX7l4wRkHqqCUFNJY4AfY3kHU/edit?usp=sharing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36" s="7" t="s">
        <v>23</v>
      </c>
    </row>
    <row r="12937" spans="1:10" ht="13.2">
      <c r="A12937" s="7">
        <v>12936</v>
      </c>
      <c r="B12937" s="7">
        <v>1</v>
      </c>
      <c r="C12937" s="7" t="s">
        <v>10</v>
      </c>
      <c r="D12937" s="7">
        <v>18324</v>
      </c>
      <c r="E12937" s="7" t="s">
        <v>23</v>
      </c>
      <c r="F12937" s="8" t="str">
        <f ca="1">IFERROR(__xludf.DUMMYFUNCTION("IF
(
C12938=""фізична особа""
,
VLOOKUP(D12938,IMPORTRANGE(""https://docs.google.com/spreadsheets/d/14Bd19lYaqBhU8_DElYkX7l4wRkHqqCUFNJY4AfY3kHU/edit?usp=sharing  #gid=0"",""фіз особи new!relations_name""),6,FALSE)
,
(IF
(
C12938=""юридична особа""
,
VLOO"&amp;"KUP(D12938,IMPORTRANGE(""https://docs.google.com/spreadsheets/d/14Bd19lYaqBhU8_DElYkX7l4wRkHqqCUFNJY4AfY3kHU/edit?usp=sharing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7" s="7" t="s">
        <v>10</v>
      </c>
      <c r="H12937" s="7">
        <v>18328</v>
      </c>
      <c r="I12937" s="8" t="str">
        <f ca="1">IFERROR(__xludf.DUMMYFUNCTION("IF
(
G12938=""фізична особа""
,
VLOOKUP(H12938,IMPORTRANGE(""https://docs.google.com/spreadsheets/d/14Bd19lYaqBhU8_DElYkX7l4wRkHqqCUFNJY4AfY3kHU/edit?usp=sharing  #gid=0"",""фіз особи new!relations_name""),6,FALSE)
,
(IF
(
G12938=""юридична особа""
,
VLOO"&amp;"KUP(H12938,IMPORTRANGE(""https://docs.google.com/spreadsheets/d/14Bd19lYaqBhU8_DElYkX7l4wRkHqqCUFNJY4AfY3kHU/edit?usp=sharing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37" s="7" t="s">
        <v>23</v>
      </c>
    </row>
    <row r="12938" spans="1:10" ht="13.2">
      <c r="A12938" s="7">
        <v>12937</v>
      </c>
      <c r="B12938" s="7">
        <v>1</v>
      </c>
      <c r="C12938" s="7" t="s">
        <v>10</v>
      </c>
      <c r="D12938" s="7">
        <v>18324</v>
      </c>
      <c r="E12938" s="7" t="s">
        <v>23</v>
      </c>
      <c r="F12938" s="8" t="str">
        <f ca="1">IFERROR(__xludf.DUMMYFUNCTION("IF
(
C12939=""фізична особа""
,
VLOOKUP(D12939,IMPORTRANGE(""https://docs.google.com/spreadsheets/d/14Bd19lYaqBhU8_DElYkX7l4wRkHqqCUFNJY4AfY3kHU/edit?usp=sharing  #gid=0"",""фіз особи new!relations_name""),6,FALSE)
,
(IF
(
C12939=""юридична особа""
,
VLOO"&amp;"KUP(D12939,IMPORTRANGE(""https://docs.google.com/spreadsheets/d/14Bd19lYaqBhU8_DElYkX7l4wRkHqqCUFNJY4AfY3kHU/edit?usp=sharing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8" s="7" t="s">
        <v>10</v>
      </c>
      <c r="H12938" s="7">
        <v>18329</v>
      </c>
      <c r="I12938" s="8" t="str">
        <f ca="1">IFERROR(__xludf.DUMMYFUNCTION("IF
(
G12939=""фізична особа""
,
VLOOKUP(H12939,IMPORTRANGE(""https://docs.google.com/spreadsheets/d/14Bd19lYaqBhU8_DElYkX7l4wRkHqqCUFNJY4AfY3kHU/edit?usp=sharing  #gid=0"",""фіз особи new!relations_name""),6,FALSE)
,
(IF
(
G12939=""юридична особа""
,
VLOO"&amp;"KUP(H12939,IMPORTRANGE(""https://docs.google.com/spreadsheets/d/14Bd19lYaqBhU8_DElYkX7l4wRkHqqCUFNJY4AfY3kHU/edit?usp=sharing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38" s="7" t="s">
        <v>23</v>
      </c>
    </row>
    <row r="12939" spans="1:10" ht="13.2">
      <c r="A12939" s="7">
        <v>12938</v>
      </c>
      <c r="B12939" s="7">
        <v>1</v>
      </c>
      <c r="C12939" s="7" t="s">
        <v>10</v>
      </c>
      <c r="D12939" s="7">
        <v>18324</v>
      </c>
      <c r="E12939" s="7" t="s">
        <v>23</v>
      </c>
      <c r="F12939" s="8" t="str">
        <f ca="1">IFERROR(__xludf.DUMMYFUNCTION("IF
(
C12940=""фізична особа""
,
VLOOKUP(D12940,IMPORTRANGE(""https://docs.google.com/spreadsheets/d/14Bd19lYaqBhU8_DElYkX7l4wRkHqqCUFNJY4AfY3kHU/edit?usp=sharing  #gid=0"",""фіз особи new!relations_name""),6,FALSE)
,
(IF
(
C12940=""юридична особа""
,
VLOO"&amp;"KUP(D12940,IMPORTRANGE(""https://docs.google.com/spreadsheets/d/14Bd19lYaqBhU8_DElYkX7l4wRkHqqCUFNJY4AfY3kHU/edit?usp=sharing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G12939" s="7" t="s">
        <v>10</v>
      </c>
      <c r="H12939" s="7">
        <v>18330</v>
      </c>
      <c r="I12939" s="8" t="str">
        <f ca="1">IFERROR(__xludf.DUMMYFUNCTION("IF
(
G12940=""фізична особа""
,
VLOOKUP(H12940,IMPORTRANGE(""https://docs.google.com/spreadsheets/d/14Bd19lYaqBhU8_DElYkX7l4wRkHqqCUFNJY4AfY3kHU/edit?usp=sharing  #gid=0"",""фіз особи new!relations_name""),6,FALSE)
,
(IF
(
G12940=""юридична особа""
,
VLOO"&amp;"KUP(H12940,IMPORTRANGE(""https://docs.google.com/spreadsheets/d/14Bd19lYaqBhU8_DElYkX7l4wRkHqqCUFNJY4AfY3kHU/edit?usp=sharing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39" s="7" t="s">
        <v>23</v>
      </c>
    </row>
    <row r="12940" spans="1:10" ht="13.2">
      <c r="A12940" s="7">
        <v>12939</v>
      </c>
      <c r="B12940" s="7">
        <v>1</v>
      </c>
      <c r="C12940" s="7" t="s">
        <v>10</v>
      </c>
      <c r="D12940" s="7">
        <v>18325</v>
      </c>
      <c r="E12940" s="7" t="s">
        <v>23</v>
      </c>
      <c r="F12940" s="8" t="str">
        <f ca="1">IFERROR(__xludf.DUMMYFUNCTION("IF
(
C12941=""фізична особа""
,
VLOOKUP(D12941,IMPORTRANGE(""https://docs.google.com/spreadsheets/d/14Bd19lYaqBhU8_DElYkX7l4wRkHqqCUFNJY4AfY3kHU/edit?usp=sharing  #gid=0"",""фіз особи new!relations_name""),6,FALSE)
,
(IF
(
C12941=""юридична особа""
,
VLOO"&amp;"KUP(D12941,IMPORTRANGE(""https://docs.google.com/spreadsheets/d/14Bd19lYaqBhU8_DElYkX7l4wRkHqqCUFNJY4AfY3kHU/edit?usp=sharing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0" s="7" t="s">
        <v>10</v>
      </c>
      <c r="H12940" s="7">
        <v>18322</v>
      </c>
      <c r="I12940" s="8" t="str">
        <f ca="1">IFERROR(__xludf.DUMMYFUNCTION("IF
(
G12941=""фізична особа""
,
VLOOKUP(H12941,IMPORTRANGE(""https://docs.google.com/spreadsheets/d/14Bd19lYaqBhU8_DElYkX7l4wRkHqqCUFNJY4AfY3kHU/edit?usp=sharing  #gid=0"",""фіз особи new!relations_name""),6,FALSE)
,
(IF
(
G12941=""юридична особа""
,
VLOO"&amp;"KUP(H12941,IMPORTRANGE(""https://docs.google.com/spreadsheets/d/14Bd19lYaqBhU8_DElYkX7l4wRkHqqCUFNJY4AfY3kHU/edit?usp=sharing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40" s="7" t="s">
        <v>23</v>
      </c>
    </row>
    <row r="12941" spans="1:10" ht="13.2">
      <c r="A12941" s="7">
        <v>12940</v>
      </c>
      <c r="B12941" s="7">
        <v>1</v>
      </c>
      <c r="C12941" s="7" t="s">
        <v>10</v>
      </c>
      <c r="D12941" s="7">
        <v>18325</v>
      </c>
      <c r="E12941" s="7" t="s">
        <v>23</v>
      </c>
      <c r="F12941" s="8" t="str">
        <f ca="1">IFERROR(__xludf.DUMMYFUNCTION("IF
(
C12942=""фізична особа""
,
VLOOKUP(D12942,IMPORTRANGE(""https://docs.google.com/spreadsheets/d/14Bd19lYaqBhU8_DElYkX7l4wRkHqqCUFNJY4AfY3kHU/edit?usp=sharing  #gid=0"",""фіз особи new!relations_name""),6,FALSE)
,
(IF
(
C12942=""юридична особа""
,
VLOO"&amp;"KUP(D12942,IMPORTRANGE(""https://docs.google.com/spreadsheets/d/14Bd19lYaqBhU8_DElYkX7l4wRkHqqCUFNJY4AfY3kHU/edit?usp=sharing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1" s="7" t="s">
        <v>10</v>
      </c>
      <c r="H12941" s="7">
        <v>18323</v>
      </c>
      <c r="I12941" s="8" t="str">
        <f ca="1">IFERROR(__xludf.DUMMYFUNCTION("IF
(
G12942=""фізична особа""
,
VLOOKUP(H12942,IMPORTRANGE(""https://docs.google.com/spreadsheets/d/14Bd19lYaqBhU8_DElYkX7l4wRkHqqCUFNJY4AfY3kHU/edit?usp=sharing  #gid=0"",""фіз особи new!relations_name""),6,FALSE)
,
(IF
(
G12942=""юридична особа""
,
VLOO"&amp;"KUP(H12942,IMPORTRANGE(""https://docs.google.com/spreadsheets/d/14Bd19lYaqBhU8_DElYkX7l4wRkHqqCUFNJY4AfY3kHU/edit?usp=sharing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41" s="7" t="s">
        <v>23</v>
      </c>
    </row>
    <row r="12942" spans="1:10" ht="13.2">
      <c r="A12942" s="7">
        <v>12941</v>
      </c>
      <c r="B12942" s="7">
        <v>1</v>
      </c>
      <c r="C12942" s="7" t="s">
        <v>10</v>
      </c>
      <c r="D12942" s="7">
        <v>18325</v>
      </c>
      <c r="E12942" s="7" t="s">
        <v>23</v>
      </c>
      <c r="F12942" s="8" t="str">
        <f ca="1">IFERROR(__xludf.DUMMYFUNCTION("IF
(
C12943=""фізична особа""
,
VLOOKUP(D12943,IMPORTRANGE(""https://docs.google.com/spreadsheets/d/14Bd19lYaqBhU8_DElYkX7l4wRkHqqCUFNJY4AfY3kHU/edit?usp=sharing  #gid=0"",""фіз особи new!relations_name""),6,FALSE)
,
(IF
(
C12943=""юридична особа""
,
VLOO"&amp;"KUP(D12943,IMPORTRANGE(""https://docs.google.com/spreadsheets/d/14Bd19lYaqBhU8_DElYkX7l4wRkHqqCUFNJY4AfY3kHU/edit?usp=sharing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2" s="7" t="s">
        <v>10</v>
      </c>
      <c r="H12942" s="7">
        <v>18324</v>
      </c>
      <c r="I12942" s="8" t="str">
        <f ca="1">IFERROR(__xludf.DUMMYFUNCTION("IF
(
G12943=""фізична особа""
,
VLOOKUP(H12943,IMPORTRANGE(""https://docs.google.com/spreadsheets/d/14Bd19lYaqBhU8_DElYkX7l4wRkHqqCUFNJY4AfY3kHU/edit?usp=sharing  #gid=0"",""фіз особи new!relations_name""),6,FALSE)
,
(IF
(
G12943=""юридична особа""
,
VLOO"&amp;"KUP(H12943,IMPORTRANGE(""https://docs.google.com/spreadsheets/d/14Bd19lYaqBhU8_DElYkX7l4wRkHqqCUFNJY4AfY3kHU/edit?usp=sharing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42" s="7" t="s">
        <v>23</v>
      </c>
    </row>
    <row r="12943" spans="1:10" ht="13.2">
      <c r="A12943" s="7">
        <v>12942</v>
      </c>
      <c r="B12943" s="7">
        <v>1</v>
      </c>
      <c r="C12943" s="7" t="s">
        <v>10</v>
      </c>
      <c r="D12943" s="7">
        <v>18325</v>
      </c>
      <c r="E12943" s="7" t="s">
        <v>23</v>
      </c>
      <c r="F12943" s="8" t="str">
        <f ca="1">IFERROR(__xludf.DUMMYFUNCTION("IF
(
C12944=""фізична особа""
,
VLOOKUP(D12944,IMPORTRANGE(""https://docs.google.com/spreadsheets/d/14Bd19lYaqBhU8_DElYkX7l4wRkHqqCUFNJY4AfY3kHU/edit?usp=sharing  #gid=0"",""фіз особи new!relations_name""),6,FALSE)
,
(IF
(
C12944=""юридична особа""
,
VLOO"&amp;"KUP(D12944,IMPORTRANGE(""https://docs.google.com/spreadsheets/d/14Bd19lYaqBhU8_DElYkX7l4wRkHqqCUFNJY4AfY3kHU/edit?usp=sharing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3" s="7" t="s">
        <v>10</v>
      </c>
      <c r="H12943" s="7">
        <v>18326</v>
      </c>
      <c r="I12943" s="8" t="str">
        <f ca="1">IFERROR(__xludf.DUMMYFUNCTION("IF
(
G12944=""фізична особа""
,
VLOOKUP(H12944,IMPORTRANGE(""https://docs.google.com/spreadsheets/d/14Bd19lYaqBhU8_DElYkX7l4wRkHqqCUFNJY4AfY3kHU/edit?usp=sharing  #gid=0"",""фіз особи new!relations_name""),6,FALSE)
,
(IF
(
G12944=""юридична особа""
,
VLOO"&amp;"KUP(H12944,IMPORTRANGE(""https://docs.google.com/spreadsheets/d/14Bd19lYaqBhU8_DElYkX7l4wRkHqqCUFNJY4AfY3kHU/edit?usp=sharing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43" s="7" t="s">
        <v>23</v>
      </c>
    </row>
    <row r="12944" spans="1:10" ht="13.2">
      <c r="A12944" s="7">
        <v>12943</v>
      </c>
      <c r="B12944" s="7">
        <v>1</v>
      </c>
      <c r="C12944" s="7" t="s">
        <v>10</v>
      </c>
      <c r="D12944" s="7">
        <v>18325</v>
      </c>
      <c r="E12944" s="7" t="s">
        <v>23</v>
      </c>
      <c r="F12944" s="8" t="str">
        <f ca="1">IFERROR(__xludf.DUMMYFUNCTION("IF
(
C12945=""фізична особа""
,
VLOOKUP(D12945,IMPORTRANGE(""https://docs.google.com/spreadsheets/d/14Bd19lYaqBhU8_DElYkX7l4wRkHqqCUFNJY4AfY3kHU/edit?usp=sharing  #gid=0"",""фіз особи new!relations_name""),6,FALSE)
,
(IF
(
C12945=""юридична особа""
,
VLOO"&amp;"KUP(D12945,IMPORTRANGE(""https://docs.google.com/spreadsheets/d/14Bd19lYaqBhU8_DElYkX7l4wRkHqqCUFNJY4AfY3kHU/edit?usp=sharing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4" s="7" t="s">
        <v>10</v>
      </c>
      <c r="H12944" s="7">
        <v>18327</v>
      </c>
      <c r="I12944" s="8" t="str">
        <f ca="1">IFERROR(__xludf.DUMMYFUNCTION("IF
(
G12945=""фізична особа""
,
VLOOKUP(H12945,IMPORTRANGE(""https://docs.google.com/spreadsheets/d/14Bd19lYaqBhU8_DElYkX7l4wRkHqqCUFNJY4AfY3kHU/edit?usp=sharing  #gid=0"",""фіз особи new!relations_name""),6,FALSE)
,
(IF
(
G12945=""юридична особа""
,
VLOO"&amp;"KUP(H12945,IMPORTRANGE(""https://docs.google.com/spreadsheets/d/14Bd19lYaqBhU8_DElYkX7l4wRkHqqCUFNJY4AfY3kHU/edit?usp=sharing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44" s="7" t="s">
        <v>23</v>
      </c>
    </row>
    <row r="12945" spans="1:10" ht="13.2">
      <c r="A12945" s="7">
        <v>12944</v>
      </c>
      <c r="B12945" s="7">
        <v>1</v>
      </c>
      <c r="C12945" s="7" t="s">
        <v>10</v>
      </c>
      <c r="D12945" s="7">
        <v>18325</v>
      </c>
      <c r="E12945" s="7" t="s">
        <v>23</v>
      </c>
      <c r="F12945" s="8" t="str">
        <f ca="1">IFERROR(__xludf.DUMMYFUNCTION("IF
(
C12946=""фізична особа""
,
VLOOKUP(D12946,IMPORTRANGE(""https://docs.google.com/spreadsheets/d/14Bd19lYaqBhU8_DElYkX7l4wRkHqqCUFNJY4AfY3kHU/edit?usp=sharing  #gid=0"",""фіз особи new!relations_name""),6,FALSE)
,
(IF
(
C12946=""юридична особа""
,
VLOO"&amp;"KUP(D12946,IMPORTRANGE(""https://docs.google.com/spreadsheets/d/14Bd19lYaqBhU8_DElYkX7l4wRkHqqCUFNJY4AfY3kHU/edit?usp=sharing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5" s="7" t="s">
        <v>10</v>
      </c>
      <c r="H12945" s="7">
        <v>18328</v>
      </c>
      <c r="I12945" s="8" t="str">
        <f ca="1">IFERROR(__xludf.DUMMYFUNCTION("IF
(
G12946=""фізична особа""
,
VLOOKUP(H12946,IMPORTRANGE(""https://docs.google.com/spreadsheets/d/14Bd19lYaqBhU8_DElYkX7l4wRkHqqCUFNJY4AfY3kHU/edit?usp=sharing  #gid=0"",""фіз особи new!relations_name""),6,FALSE)
,
(IF
(
G12946=""юридична особа""
,
VLOO"&amp;"KUP(H12946,IMPORTRANGE(""https://docs.google.com/spreadsheets/d/14Bd19lYaqBhU8_DElYkX7l4wRkHqqCUFNJY4AfY3kHU/edit?usp=sharing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45" s="7" t="s">
        <v>23</v>
      </c>
    </row>
    <row r="12946" spans="1:10" ht="13.2">
      <c r="A12946" s="7">
        <v>12945</v>
      </c>
      <c r="B12946" s="7">
        <v>1</v>
      </c>
      <c r="C12946" s="7" t="s">
        <v>10</v>
      </c>
      <c r="D12946" s="7">
        <v>18325</v>
      </c>
      <c r="E12946" s="7" t="s">
        <v>23</v>
      </c>
      <c r="F12946" s="8" t="str">
        <f ca="1">IFERROR(__xludf.DUMMYFUNCTION("IF
(
C12947=""фізична особа""
,
VLOOKUP(D12947,IMPORTRANGE(""https://docs.google.com/spreadsheets/d/14Bd19lYaqBhU8_DElYkX7l4wRkHqqCUFNJY4AfY3kHU/edit?usp=sharing  #gid=0"",""фіз особи new!relations_name""),6,FALSE)
,
(IF
(
C12947=""юридична особа""
,
VLOO"&amp;"KUP(D12947,IMPORTRANGE(""https://docs.google.com/spreadsheets/d/14Bd19lYaqBhU8_DElYkX7l4wRkHqqCUFNJY4AfY3kHU/edit?usp=sharing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6" s="7" t="s">
        <v>10</v>
      </c>
      <c r="H12946" s="7">
        <v>18329</v>
      </c>
      <c r="I12946" s="8" t="str">
        <f ca="1">IFERROR(__xludf.DUMMYFUNCTION("IF
(
G12947=""фізична особа""
,
VLOOKUP(H12947,IMPORTRANGE(""https://docs.google.com/spreadsheets/d/14Bd19lYaqBhU8_DElYkX7l4wRkHqqCUFNJY4AfY3kHU/edit?usp=sharing  #gid=0"",""фіз особи new!relations_name""),6,FALSE)
,
(IF
(
G12947=""юридична особа""
,
VLOO"&amp;"KUP(H12947,IMPORTRANGE(""https://docs.google.com/spreadsheets/d/14Bd19lYaqBhU8_DElYkX7l4wRkHqqCUFNJY4AfY3kHU/edit?usp=sharing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46" s="7" t="s">
        <v>23</v>
      </c>
    </row>
    <row r="12947" spans="1:10" ht="13.2">
      <c r="A12947" s="7">
        <v>12946</v>
      </c>
      <c r="B12947" s="7">
        <v>1</v>
      </c>
      <c r="C12947" s="7" t="s">
        <v>10</v>
      </c>
      <c r="D12947" s="7">
        <v>18325</v>
      </c>
      <c r="E12947" s="7" t="s">
        <v>23</v>
      </c>
      <c r="F12947" s="8" t="str">
        <f ca="1">IFERROR(__xludf.DUMMYFUNCTION("IF
(
C12948=""фізична особа""
,
VLOOKUP(D12948,IMPORTRANGE(""https://docs.google.com/spreadsheets/d/14Bd19lYaqBhU8_DElYkX7l4wRkHqqCUFNJY4AfY3kHU/edit?usp=sharing  #gid=0"",""фіз особи new!relations_name""),6,FALSE)
,
(IF
(
C12948=""юридична особа""
,
VLOO"&amp;"KUP(D12948,IMPORTRANGE(""https://docs.google.com/spreadsheets/d/14Bd19lYaqBhU8_DElYkX7l4wRkHqqCUFNJY4AfY3kHU/edit?usp=sharing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G12947" s="7" t="s">
        <v>10</v>
      </c>
      <c r="H12947" s="7">
        <v>18330</v>
      </c>
      <c r="I12947" s="8" t="str">
        <f ca="1">IFERROR(__xludf.DUMMYFUNCTION("IF
(
G12948=""фізична особа""
,
VLOOKUP(H12948,IMPORTRANGE(""https://docs.google.com/spreadsheets/d/14Bd19lYaqBhU8_DElYkX7l4wRkHqqCUFNJY4AfY3kHU/edit?usp=sharing  #gid=0"",""фіз особи new!relations_name""),6,FALSE)
,
(IF
(
G12948=""юридична особа""
,
VLOO"&amp;"KUP(H12948,IMPORTRANGE(""https://docs.google.com/spreadsheets/d/14Bd19lYaqBhU8_DElYkX7l4wRkHqqCUFNJY4AfY3kHU/edit?usp=sharing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47" s="7" t="s">
        <v>23</v>
      </c>
    </row>
    <row r="12948" spans="1:10" ht="13.2">
      <c r="A12948" s="7">
        <v>12947</v>
      </c>
      <c r="B12948" s="7">
        <v>1</v>
      </c>
      <c r="C12948" s="7" t="s">
        <v>10</v>
      </c>
      <c r="D12948" s="7">
        <v>18326</v>
      </c>
      <c r="E12948" s="7" t="s">
        <v>23</v>
      </c>
      <c r="F12948" s="8" t="str">
        <f ca="1">IFERROR(__xludf.DUMMYFUNCTION("IF
(
C12949=""фізична особа""
,
VLOOKUP(D12949,IMPORTRANGE(""https://docs.google.com/spreadsheets/d/14Bd19lYaqBhU8_DElYkX7l4wRkHqqCUFNJY4AfY3kHU/edit?usp=sharing  #gid=0"",""фіз особи new!relations_name""),6,FALSE)
,
(IF
(
C12949=""юридична особа""
,
VLOO"&amp;"KUP(D12949,IMPORTRANGE(""https://docs.google.com/spreadsheets/d/14Bd19lYaqBhU8_DElYkX7l4wRkHqqCUFNJY4AfY3kHU/edit?usp=sharing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48" s="7" t="s">
        <v>10</v>
      </c>
      <c r="H12948" s="7">
        <v>18322</v>
      </c>
      <c r="I12948" s="8" t="str">
        <f ca="1">IFERROR(__xludf.DUMMYFUNCTION("IF
(
G12949=""фізична особа""
,
VLOOKUP(H12949,IMPORTRANGE(""https://docs.google.com/spreadsheets/d/14Bd19lYaqBhU8_DElYkX7l4wRkHqqCUFNJY4AfY3kHU/edit?usp=sharing  #gid=0"",""фіз особи new!relations_name""),6,FALSE)
,
(IF
(
G12949=""юридична особа""
,
VLOO"&amp;"KUP(H12949,IMPORTRANGE(""https://docs.google.com/spreadsheets/d/14Bd19lYaqBhU8_DElYkX7l4wRkHqqCUFNJY4AfY3kHU/edit?usp=sharing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48" s="7" t="s">
        <v>23</v>
      </c>
    </row>
    <row r="12949" spans="1:10" ht="13.2">
      <c r="A12949" s="7">
        <v>12948</v>
      </c>
      <c r="B12949" s="7">
        <v>1</v>
      </c>
      <c r="C12949" s="7" t="s">
        <v>10</v>
      </c>
      <c r="D12949" s="7">
        <v>18326</v>
      </c>
      <c r="E12949" s="7" t="s">
        <v>23</v>
      </c>
      <c r="F12949" s="8" t="str">
        <f ca="1">IFERROR(__xludf.DUMMYFUNCTION("IF
(
C12950=""фізична особа""
,
VLOOKUP(D12950,IMPORTRANGE(""https://docs.google.com/spreadsheets/d/14Bd19lYaqBhU8_DElYkX7l4wRkHqqCUFNJY4AfY3kHU/edit?usp=sharing  #gid=0"",""фіз особи new!relations_name""),6,FALSE)
,
(IF
(
C12950=""юридична особа""
,
VLOO"&amp;"KUP(D12950,IMPORTRANGE(""https://docs.google.com/spreadsheets/d/14Bd19lYaqBhU8_DElYkX7l4wRkHqqCUFNJY4AfY3kHU/edit?usp=sharing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49" s="7" t="s">
        <v>10</v>
      </c>
      <c r="H12949" s="7">
        <v>18323</v>
      </c>
      <c r="I12949" s="8" t="str">
        <f ca="1">IFERROR(__xludf.DUMMYFUNCTION("IF
(
G12950=""фізична особа""
,
VLOOKUP(H12950,IMPORTRANGE(""https://docs.google.com/spreadsheets/d/14Bd19lYaqBhU8_DElYkX7l4wRkHqqCUFNJY4AfY3kHU/edit?usp=sharing  #gid=0"",""фіз особи new!relations_name""),6,FALSE)
,
(IF
(
G12950=""юридична особа""
,
VLOO"&amp;"KUP(H12950,IMPORTRANGE(""https://docs.google.com/spreadsheets/d/14Bd19lYaqBhU8_DElYkX7l4wRkHqqCUFNJY4AfY3kHU/edit?usp=sharing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49" s="7" t="s">
        <v>23</v>
      </c>
    </row>
    <row r="12950" spans="1:10" ht="13.2">
      <c r="A12950" s="7">
        <v>12949</v>
      </c>
      <c r="B12950" s="7">
        <v>1</v>
      </c>
      <c r="C12950" s="7" t="s">
        <v>10</v>
      </c>
      <c r="D12950" s="7">
        <v>18326</v>
      </c>
      <c r="E12950" s="7" t="s">
        <v>23</v>
      </c>
      <c r="F12950" s="8" t="str">
        <f ca="1">IFERROR(__xludf.DUMMYFUNCTION("IF
(
C12951=""фізична особа""
,
VLOOKUP(D12951,IMPORTRANGE(""https://docs.google.com/spreadsheets/d/14Bd19lYaqBhU8_DElYkX7l4wRkHqqCUFNJY4AfY3kHU/edit?usp=sharing  #gid=0"",""фіз особи new!relations_name""),6,FALSE)
,
(IF
(
C12951=""юридична особа""
,
VLOO"&amp;"KUP(D12951,IMPORTRANGE(""https://docs.google.com/spreadsheets/d/14Bd19lYaqBhU8_DElYkX7l4wRkHqqCUFNJY4AfY3kHU/edit?usp=sharing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0" s="7" t="s">
        <v>10</v>
      </c>
      <c r="H12950" s="7">
        <v>18324</v>
      </c>
      <c r="I12950" s="8" t="str">
        <f ca="1">IFERROR(__xludf.DUMMYFUNCTION("IF
(
G12951=""фізична особа""
,
VLOOKUP(H12951,IMPORTRANGE(""https://docs.google.com/spreadsheets/d/14Bd19lYaqBhU8_DElYkX7l4wRkHqqCUFNJY4AfY3kHU/edit?usp=sharing  #gid=0"",""фіз особи new!relations_name""),6,FALSE)
,
(IF
(
G12951=""юридична особа""
,
VLOO"&amp;"KUP(H12951,IMPORTRANGE(""https://docs.google.com/spreadsheets/d/14Bd19lYaqBhU8_DElYkX7l4wRkHqqCUFNJY4AfY3kHU/edit?usp=sharing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50" s="7" t="s">
        <v>23</v>
      </c>
    </row>
    <row r="12951" spans="1:10" ht="13.2">
      <c r="A12951" s="7">
        <v>12950</v>
      </c>
      <c r="B12951" s="7">
        <v>1</v>
      </c>
      <c r="C12951" s="7" t="s">
        <v>10</v>
      </c>
      <c r="D12951" s="7">
        <v>18326</v>
      </c>
      <c r="E12951" s="7" t="s">
        <v>23</v>
      </c>
      <c r="F12951" s="8" t="str">
        <f ca="1">IFERROR(__xludf.DUMMYFUNCTION("IF
(
C12952=""фізична особа""
,
VLOOKUP(D12952,IMPORTRANGE(""https://docs.google.com/spreadsheets/d/14Bd19lYaqBhU8_DElYkX7l4wRkHqqCUFNJY4AfY3kHU/edit?usp=sharing  #gid=0"",""фіз особи new!relations_name""),6,FALSE)
,
(IF
(
C12952=""юридична особа""
,
VLOO"&amp;"KUP(D12952,IMPORTRANGE(""https://docs.google.com/spreadsheets/d/14Bd19lYaqBhU8_DElYkX7l4wRkHqqCUFNJY4AfY3kHU/edit?usp=sharing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1" s="7" t="s">
        <v>10</v>
      </c>
      <c r="H12951" s="7">
        <v>18325</v>
      </c>
      <c r="I12951" s="8" t="str">
        <f ca="1">IFERROR(__xludf.DUMMYFUNCTION("IF
(
G12952=""фізична особа""
,
VLOOKUP(H12952,IMPORTRANGE(""https://docs.google.com/spreadsheets/d/14Bd19lYaqBhU8_DElYkX7l4wRkHqqCUFNJY4AfY3kHU/edit?usp=sharing  #gid=0"",""фіз особи new!relations_name""),6,FALSE)
,
(IF
(
G12952=""юридична особа""
,
VLOO"&amp;"KUP(H12952,IMPORTRANGE(""https://docs.google.com/spreadsheets/d/14Bd19lYaqBhU8_DElYkX7l4wRkHqqCUFNJY4AfY3kHU/edit?usp=sharing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51" s="7" t="s">
        <v>23</v>
      </c>
    </row>
    <row r="12952" spans="1:10" ht="13.2">
      <c r="A12952" s="7">
        <v>12951</v>
      </c>
      <c r="B12952" s="7">
        <v>1</v>
      </c>
      <c r="C12952" s="7" t="s">
        <v>10</v>
      </c>
      <c r="D12952" s="7">
        <v>18326</v>
      </c>
      <c r="E12952" s="7" t="s">
        <v>23</v>
      </c>
      <c r="F12952" s="8" t="str">
        <f ca="1">IFERROR(__xludf.DUMMYFUNCTION("IF
(
C12953=""фізична особа""
,
VLOOKUP(D12953,IMPORTRANGE(""https://docs.google.com/spreadsheets/d/14Bd19lYaqBhU8_DElYkX7l4wRkHqqCUFNJY4AfY3kHU/edit?usp=sharing  #gid=0"",""фіз особи new!relations_name""),6,FALSE)
,
(IF
(
C12953=""юридична особа""
,
VLOO"&amp;"KUP(D12953,IMPORTRANGE(""https://docs.google.com/spreadsheets/d/14Bd19lYaqBhU8_DElYkX7l4wRkHqqCUFNJY4AfY3kHU/edit?usp=sharing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2" s="7" t="s">
        <v>10</v>
      </c>
      <c r="H12952" s="7">
        <v>18327</v>
      </c>
      <c r="I12952" s="8" t="str">
        <f ca="1">IFERROR(__xludf.DUMMYFUNCTION("IF
(
G12953=""фізична особа""
,
VLOOKUP(H12953,IMPORTRANGE(""https://docs.google.com/spreadsheets/d/14Bd19lYaqBhU8_DElYkX7l4wRkHqqCUFNJY4AfY3kHU/edit?usp=sharing  #gid=0"",""фіз особи new!relations_name""),6,FALSE)
,
(IF
(
G12953=""юридична особа""
,
VLOO"&amp;"KUP(H12953,IMPORTRANGE(""https://docs.google.com/spreadsheets/d/14Bd19lYaqBhU8_DElYkX7l4wRkHqqCUFNJY4AfY3kHU/edit?usp=sharing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52" s="7" t="s">
        <v>23</v>
      </c>
    </row>
    <row r="12953" spans="1:10" ht="13.2">
      <c r="A12953" s="7">
        <v>12952</v>
      </c>
      <c r="B12953" s="7">
        <v>1</v>
      </c>
      <c r="C12953" s="7" t="s">
        <v>10</v>
      </c>
      <c r="D12953" s="7">
        <v>18326</v>
      </c>
      <c r="E12953" s="7" t="s">
        <v>23</v>
      </c>
      <c r="F12953" s="8" t="str">
        <f ca="1">IFERROR(__xludf.DUMMYFUNCTION("IF
(
C12954=""фізична особа""
,
VLOOKUP(D12954,IMPORTRANGE(""https://docs.google.com/spreadsheets/d/14Bd19lYaqBhU8_DElYkX7l4wRkHqqCUFNJY4AfY3kHU/edit?usp=sharing  #gid=0"",""фіз особи new!relations_name""),6,FALSE)
,
(IF
(
C12954=""юридична особа""
,
VLOO"&amp;"KUP(D12954,IMPORTRANGE(""https://docs.google.com/spreadsheets/d/14Bd19lYaqBhU8_DElYkX7l4wRkHqqCUFNJY4AfY3kHU/edit?usp=sharing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3" s="7" t="s">
        <v>10</v>
      </c>
      <c r="H12953" s="7">
        <v>18328</v>
      </c>
      <c r="I12953" s="8" t="str">
        <f ca="1">IFERROR(__xludf.DUMMYFUNCTION("IF
(
G12954=""фізична особа""
,
VLOOKUP(H12954,IMPORTRANGE(""https://docs.google.com/spreadsheets/d/14Bd19lYaqBhU8_DElYkX7l4wRkHqqCUFNJY4AfY3kHU/edit?usp=sharing  #gid=0"",""фіз особи new!relations_name""),6,FALSE)
,
(IF
(
G12954=""юридична особа""
,
VLOO"&amp;"KUP(H12954,IMPORTRANGE(""https://docs.google.com/spreadsheets/d/14Bd19lYaqBhU8_DElYkX7l4wRkHqqCUFNJY4AfY3kHU/edit?usp=sharing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53" s="7" t="s">
        <v>23</v>
      </c>
    </row>
    <row r="12954" spans="1:10" ht="13.2">
      <c r="A12954" s="7">
        <v>12953</v>
      </c>
      <c r="B12954" s="7">
        <v>1</v>
      </c>
      <c r="C12954" s="7" t="s">
        <v>10</v>
      </c>
      <c r="D12954" s="7">
        <v>18326</v>
      </c>
      <c r="E12954" s="7" t="s">
        <v>23</v>
      </c>
      <c r="F12954" s="8" t="str">
        <f ca="1">IFERROR(__xludf.DUMMYFUNCTION("IF
(
C12955=""фізична особа""
,
VLOOKUP(D12955,IMPORTRANGE(""https://docs.google.com/spreadsheets/d/14Bd19lYaqBhU8_DElYkX7l4wRkHqqCUFNJY4AfY3kHU/edit?usp=sharing  #gid=0"",""фіз особи new!relations_name""),6,FALSE)
,
(IF
(
C12955=""юридична особа""
,
VLOO"&amp;"KUP(D12955,IMPORTRANGE(""https://docs.google.com/spreadsheets/d/14Bd19lYaqBhU8_DElYkX7l4wRkHqqCUFNJY4AfY3kHU/edit?usp=sharing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4" s="7" t="s">
        <v>10</v>
      </c>
      <c r="H12954" s="7">
        <v>18329</v>
      </c>
      <c r="I12954" s="8" t="str">
        <f ca="1">IFERROR(__xludf.DUMMYFUNCTION("IF
(
G12955=""фізична особа""
,
VLOOKUP(H12955,IMPORTRANGE(""https://docs.google.com/spreadsheets/d/14Bd19lYaqBhU8_DElYkX7l4wRkHqqCUFNJY4AfY3kHU/edit?usp=sharing  #gid=0"",""фіз особи new!relations_name""),6,FALSE)
,
(IF
(
G12955=""юридична особа""
,
VLOO"&amp;"KUP(H12955,IMPORTRANGE(""https://docs.google.com/spreadsheets/d/14Bd19lYaqBhU8_DElYkX7l4wRkHqqCUFNJY4AfY3kHU/edit?usp=sharing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54" s="7" t="s">
        <v>23</v>
      </c>
    </row>
    <row r="12955" spans="1:10" ht="13.2">
      <c r="A12955" s="7">
        <v>12954</v>
      </c>
      <c r="B12955" s="7">
        <v>1</v>
      </c>
      <c r="C12955" s="7" t="s">
        <v>10</v>
      </c>
      <c r="D12955" s="7">
        <v>18326</v>
      </c>
      <c r="E12955" s="7" t="s">
        <v>23</v>
      </c>
      <c r="F12955" s="8" t="str">
        <f ca="1">IFERROR(__xludf.DUMMYFUNCTION("IF
(
C12956=""фізична особа""
,
VLOOKUP(D12956,IMPORTRANGE(""https://docs.google.com/spreadsheets/d/14Bd19lYaqBhU8_DElYkX7l4wRkHqqCUFNJY4AfY3kHU/edit?usp=sharing  #gid=0"",""фіз особи new!relations_name""),6,FALSE)
,
(IF
(
C12956=""юридична особа""
,
VLOO"&amp;"KUP(D12956,IMPORTRANGE(""https://docs.google.com/spreadsheets/d/14Bd19lYaqBhU8_DElYkX7l4wRkHqqCUFNJY4AfY3kHU/edit?usp=sharing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G12955" s="7" t="s">
        <v>10</v>
      </c>
      <c r="H12955" s="7">
        <v>18330</v>
      </c>
      <c r="I12955" s="8" t="str">
        <f ca="1">IFERROR(__xludf.DUMMYFUNCTION("IF
(
G12956=""фізична особа""
,
VLOOKUP(H12956,IMPORTRANGE(""https://docs.google.com/spreadsheets/d/14Bd19lYaqBhU8_DElYkX7l4wRkHqqCUFNJY4AfY3kHU/edit?usp=sharing  #gid=0"",""фіз особи new!relations_name""),6,FALSE)
,
(IF
(
G12956=""юридична особа""
,
VLOO"&amp;"KUP(H12956,IMPORTRANGE(""https://docs.google.com/spreadsheets/d/14Bd19lYaqBhU8_DElYkX7l4wRkHqqCUFNJY4AfY3kHU/edit?usp=sharing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55" s="7" t="s">
        <v>23</v>
      </c>
    </row>
    <row r="12956" spans="1:10" ht="13.2">
      <c r="A12956" s="7">
        <v>12955</v>
      </c>
      <c r="B12956" s="7">
        <v>1</v>
      </c>
      <c r="C12956" s="7" t="s">
        <v>10</v>
      </c>
      <c r="D12956" s="7">
        <v>18327</v>
      </c>
      <c r="E12956" s="7" t="s">
        <v>23</v>
      </c>
      <c r="F12956" s="8" t="str">
        <f ca="1">IFERROR(__xludf.DUMMYFUNCTION("IF
(
C12957=""фізична особа""
,
VLOOKUP(D12957,IMPORTRANGE(""https://docs.google.com/spreadsheets/d/14Bd19lYaqBhU8_DElYkX7l4wRkHqqCUFNJY4AfY3kHU/edit?usp=sharing  #gid=0"",""фіз особи new!relations_name""),6,FALSE)
,
(IF
(
C12957=""юридична особа""
,
VLOO"&amp;"KUP(D12957,IMPORTRANGE(""https://docs.google.com/spreadsheets/d/14Bd19lYaqBhU8_DElYkX7l4wRkHqqCUFNJY4AfY3kHU/edit?usp=sharing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56" s="7" t="s">
        <v>10</v>
      </c>
      <c r="H12956" s="7">
        <v>18322</v>
      </c>
      <c r="I12956" s="8" t="str">
        <f ca="1">IFERROR(__xludf.DUMMYFUNCTION("IF
(
G12957=""фізична особа""
,
VLOOKUP(H12957,IMPORTRANGE(""https://docs.google.com/spreadsheets/d/14Bd19lYaqBhU8_DElYkX7l4wRkHqqCUFNJY4AfY3kHU/edit?usp=sharing  #gid=0"",""фіз особи new!relations_name""),6,FALSE)
,
(IF
(
G12957=""юридична особа""
,
VLOO"&amp;"KUP(H12957,IMPORTRANGE(""https://docs.google.com/spreadsheets/d/14Bd19lYaqBhU8_DElYkX7l4wRkHqqCUFNJY4AfY3kHU/edit?usp=sharing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56" s="7" t="s">
        <v>23</v>
      </c>
    </row>
    <row r="12957" spans="1:10" ht="13.2">
      <c r="A12957" s="7">
        <v>12956</v>
      </c>
      <c r="B12957" s="7">
        <v>1</v>
      </c>
      <c r="C12957" s="7" t="s">
        <v>10</v>
      </c>
      <c r="D12957" s="7">
        <v>18327</v>
      </c>
      <c r="E12957" s="7" t="s">
        <v>23</v>
      </c>
      <c r="F12957" s="8" t="str">
        <f ca="1">IFERROR(__xludf.DUMMYFUNCTION("IF
(
C12958=""фізична особа""
,
VLOOKUP(D12958,IMPORTRANGE(""https://docs.google.com/spreadsheets/d/14Bd19lYaqBhU8_DElYkX7l4wRkHqqCUFNJY4AfY3kHU/edit?usp=sharing  #gid=0"",""фіз особи new!relations_name""),6,FALSE)
,
(IF
(
C12958=""юридична особа""
,
VLOO"&amp;"KUP(D12958,IMPORTRANGE(""https://docs.google.com/spreadsheets/d/14Bd19lYaqBhU8_DElYkX7l4wRkHqqCUFNJY4AfY3kHU/edit?usp=sharing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57" s="7" t="s">
        <v>10</v>
      </c>
      <c r="H12957" s="7">
        <v>18323</v>
      </c>
      <c r="I12957" s="8" t="str">
        <f ca="1">IFERROR(__xludf.DUMMYFUNCTION("IF
(
G12958=""фізична особа""
,
VLOOKUP(H12958,IMPORTRANGE(""https://docs.google.com/spreadsheets/d/14Bd19lYaqBhU8_DElYkX7l4wRkHqqCUFNJY4AfY3kHU/edit?usp=sharing  #gid=0"",""фіз особи new!relations_name""),6,FALSE)
,
(IF
(
G12958=""юридична особа""
,
VLOO"&amp;"KUP(H12958,IMPORTRANGE(""https://docs.google.com/spreadsheets/d/14Bd19lYaqBhU8_DElYkX7l4wRkHqqCUFNJY4AfY3kHU/edit?usp=sharing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57" s="7" t="s">
        <v>23</v>
      </c>
    </row>
    <row r="12958" spans="1:10" ht="13.2">
      <c r="A12958" s="7">
        <v>12957</v>
      </c>
      <c r="B12958" s="7">
        <v>1</v>
      </c>
      <c r="C12958" s="7" t="s">
        <v>10</v>
      </c>
      <c r="D12958" s="7">
        <v>18327</v>
      </c>
      <c r="E12958" s="7" t="s">
        <v>23</v>
      </c>
      <c r="F12958" s="8" t="str">
        <f ca="1">IFERROR(__xludf.DUMMYFUNCTION("IF
(
C12959=""фізична особа""
,
VLOOKUP(D12959,IMPORTRANGE(""https://docs.google.com/spreadsheets/d/14Bd19lYaqBhU8_DElYkX7l4wRkHqqCUFNJY4AfY3kHU/edit?usp=sharing  #gid=0"",""фіз особи new!relations_name""),6,FALSE)
,
(IF
(
C12959=""юридична особа""
,
VLOO"&amp;"KUP(D12959,IMPORTRANGE(""https://docs.google.com/spreadsheets/d/14Bd19lYaqBhU8_DElYkX7l4wRkHqqCUFNJY4AfY3kHU/edit?usp=sharing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58" s="7" t="s">
        <v>10</v>
      </c>
      <c r="H12958" s="7">
        <v>18324</v>
      </c>
      <c r="I12958" s="8" t="str">
        <f ca="1">IFERROR(__xludf.DUMMYFUNCTION("IF
(
G12959=""фізична особа""
,
VLOOKUP(H12959,IMPORTRANGE(""https://docs.google.com/spreadsheets/d/14Bd19lYaqBhU8_DElYkX7l4wRkHqqCUFNJY4AfY3kHU/edit?usp=sharing  #gid=0"",""фіз особи new!relations_name""),6,FALSE)
,
(IF
(
G12959=""юридична особа""
,
VLOO"&amp;"KUP(H12959,IMPORTRANGE(""https://docs.google.com/spreadsheets/d/14Bd19lYaqBhU8_DElYkX7l4wRkHqqCUFNJY4AfY3kHU/edit?usp=sharing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58" s="7" t="s">
        <v>23</v>
      </c>
    </row>
    <row r="12959" spans="1:10" ht="13.2">
      <c r="A12959" s="7">
        <v>12958</v>
      </c>
      <c r="B12959" s="7">
        <v>1</v>
      </c>
      <c r="C12959" s="7" t="s">
        <v>10</v>
      </c>
      <c r="D12959" s="7">
        <v>18327</v>
      </c>
      <c r="E12959" s="7" t="s">
        <v>23</v>
      </c>
      <c r="F12959" s="8" t="str">
        <f ca="1">IFERROR(__xludf.DUMMYFUNCTION("IF
(
C12960=""фізична особа""
,
VLOOKUP(D12960,IMPORTRANGE(""https://docs.google.com/spreadsheets/d/14Bd19lYaqBhU8_DElYkX7l4wRkHqqCUFNJY4AfY3kHU/edit?usp=sharing  #gid=0"",""фіз особи new!relations_name""),6,FALSE)
,
(IF
(
C12960=""юридична особа""
,
VLOO"&amp;"KUP(D12960,IMPORTRANGE(""https://docs.google.com/spreadsheets/d/14Bd19lYaqBhU8_DElYkX7l4wRkHqqCUFNJY4AfY3kHU/edit?usp=sharing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59" s="7" t="s">
        <v>10</v>
      </c>
      <c r="H12959" s="7">
        <v>18325</v>
      </c>
      <c r="I12959" s="8" t="str">
        <f ca="1">IFERROR(__xludf.DUMMYFUNCTION("IF
(
G12960=""фізична особа""
,
VLOOKUP(H12960,IMPORTRANGE(""https://docs.google.com/spreadsheets/d/14Bd19lYaqBhU8_DElYkX7l4wRkHqqCUFNJY4AfY3kHU/edit?usp=sharing  #gid=0"",""фіз особи new!relations_name""),6,FALSE)
,
(IF
(
G12960=""юридична особа""
,
VLOO"&amp;"KUP(H12960,IMPORTRANGE(""https://docs.google.com/spreadsheets/d/14Bd19lYaqBhU8_DElYkX7l4wRkHqqCUFNJY4AfY3kHU/edit?usp=sharing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59" s="7" t="s">
        <v>23</v>
      </c>
    </row>
    <row r="12960" spans="1:10" ht="13.2">
      <c r="A12960" s="7">
        <v>12959</v>
      </c>
      <c r="B12960" s="7">
        <v>1</v>
      </c>
      <c r="C12960" s="7" t="s">
        <v>10</v>
      </c>
      <c r="D12960" s="7">
        <v>18327</v>
      </c>
      <c r="E12960" s="7" t="s">
        <v>23</v>
      </c>
      <c r="F12960" s="8" t="str">
        <f ca="1">IFERROR(__xludf.DUMMYFUNCTION("IF
(
C12961=""фізична особа""
,
VLOOKUP(D12961,IMPORTRANGE(""https://docs.google.com/spreadsheets/d/14Bd19lYaqBhU8_DElYkX7l4wRkHqqCUFNJY4AfY3kHU/edit?usp=sharing  #gid=0"",""фіз особи new!relations_name""),6,FALSE)
,
(IF
(
C12961=""юридична особа""
,
VLOO"&amp;"KUP(D12961,IMPORTRANGE(""https://docs.google.com/spreadsheets/d/14Bd19lYaqBhU8_DElYkX7l4wRkHqqCUFNJY4AfY3kHU/edit?usp=sharing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60" s="7" t="s">
        <v>10</v>
      </c>
      <c r="H12960" s="7">
        <v>18326</v>
      </c>
      <c r="I12960" s="8" t="str">
        <f ca="1">IFERROR(__xludf.DUMMYFUNCTION("IF
(
G12961=""фізична особа""
,
VLOOKUP(H12961,IMPORTRANGE(""https://docs.google.com/spreadsheets/d/14Bd19lYaqBhU8_DElYkX7l4wRkHqqCUFNJY4AfY3kHU/edit?usp=sharing  #gid=0"",""фіз особи new!relations_name""),6,FALSE)
,
(IF
(
G12961=""юридична особа""
,
VLOO"&amp;"KUP(H12961,IMPORTRANGE(""https://docs.google.com/spreadsheets/d/14Bd19lYaqBhU8_DElYkX7l4wRkHqqCUFNJY4AfY3kHU/edit?usp=sharing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60" s="7" t="s">
        <v>23</v>
      </c>
    </row>
    <row r="12961" spans="1:10" ht="13.2">
      <c r="A12961" s="7">
        <v>12960</v>
      </c>
      <c r="B12961" s="7">
        <v>1</v>
      </c>
      <c r="C12961" s="7" t="s">
        <v>10</v>
      </c>
      <c r="D12961" s="7">
        <v>18327</v>
      </c>
      <c r="E12961" s="7" t="s">
        <v>23</v>
      </c>
      <c r="F12961" s="8" t="str">
        <f ca="1">IFERROR(__xludf.DUMMYFUNCTION("IF
(
C12962=""фізична особа""
,
VLOOKUP(D12962,IMPORTRANGE(""https://docs.google.com/spreadsheets/d/14Bd19lYaqBhU8_DElYkX7l4wRkHqqCUFNJY4AfY3kHU/edit?usp=sharing  #gid=0"",""фіз особи new!relations_name""),6,FALSE)
,
(IF
(
C12962=""юридична особа""
,
VLOO"&amp;"KUP(D12962,IMPORTRANGE(""https://docs.google.com/spreadsheets/d/14Bd19lYaqBhU8_DElYkX7l4wRkHqqCUFNJY4AfY3kHU/edit?usp=sharing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61" s="7" t="s">
        <v>10</v>
      </c>
      <c r="H12961" s="7">
        <v>18328</v>
      </c>
      <c r="I12961" s="8" t="str">
        <f ca="1">IFERROR(__xludf.DUMMYFUNCTION("IF
(
G12962=""фізична особа""
,
VLOOKUP(H12962,IMPORTRANGE(""https://docs.google.com/spreadsheets/d/14Bd19lYaqBhU8_DElYkX7l4wRkHqqCUFNJY4AfY3kHU/edit?usp=sharing  #gid=0"",""фіз особи new!relations_name""),6,FALSE)
,
(IF
(
G12962=""юридична особа""
,
VLOO"&amp;"KUP(H12962,IMPORTRANGE(""https://docs.google.com/spreadsheets/d/14Bd19lYaqBhU8_DElYkX7l4wRkHqqCUFNJY4AfY3kHU/edit?usp=sharing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61" s="7" t="s">
        <v>23</v>
      </c>
    </row>
    <row r="12962" spans="1:10" ht="13.2">
      <c r="A12962" s="7">
        <v>12961</v>
      </c>
      <c r="B12962" s="7">
        <v>1</v>
      </c>
      <c r="C12962" s="7" t="s">
        <v>10</v>
      </c>
      <c r="D12962" s="7">
        <v>18327</v>
      </c>
      <c r="E12962" s="7" t="s">
        <v>23</v>
      </c>
      <c r="F12962" s="8" t="str">
        <f ca="1">IFERROR(__xludf.DUMMYFUNCTION("IF
(
C12963=""фізична особа""
,
VLOOKUP(D12963,IMPORTRANGE(""https://docs.google.com/spreadsheets/d/14Bd19lYaqBhU8_DElYkX7l4wRkHqqCUFNJY4AfY3kHU/edit?usp=sharing  #gid=0"",""фіз особи new!relations_name""),6,FALSE)
,
(IF
(
C12963=""юридична особа""
,
VLOO"&amp;"KUP(D12963,IMPORTRANGE(""https://docs.google.com/spreadsheets/d/14Bd19lYaqBhU8_DElYkX7l4wRkHqqCUFNJY4AfY3kHU/edit?usp=sharing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62" s="7" t="s">
        <v>10</v>
      </c>
      <c r="H12962" s="7">
        <v>18329</v>
      </c>
      <c r="I12962" s="8" t="str">
        <f ca="1">IFERROR(__xludf.DUMMYFUNCTION("IF
(
G12963=""фізична особа""
,
VLOOKUP(H12963,IMPORTRANGE(""https://docs.google.com/spreadsheets/d/14Bd19lYaqBhU8_DElYkX7l4wRkHqqCUFNJY4AfY3kHU/edit?usp=sharing  #gid=0"",""фіз особи new!relations_name""),6,FALSE)
,
(IF
(
G12963=""юридична особа""
,
VLOO"&amp;"KUP(H12963,IMPORTRANGE(""https://docs.google.com/spreadsheets/d/14Bd19lYaqBhU8_DElYkX7l4wRkHqqCUFNJY4AfY3kHU/edit?usp=sharing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62" s="7" t="s">
        <v>23</v>
      </c>
    </row>
    <row r="12963" spans="1:10" ht="13.2">
      <c r="A12963" s="7">
        <v>12962</v>
      </c>
      <c r="B12963" s="7">
        <v>1</v>
      </c>
      <c r="C12963" s="7" t="s">
        <v>10</v>
      </c>
      <c r="D12963" s="7">
        <v>18327</v>
      </c>
      <c r="E12963" s="7" t="s">
        <v>23</v>
      </c>
      <c r="F12963" s="8" t="str">
        <f ca="1">IFERROR(__xludf.DUMMYFUNCTION("IF
(
C12964=""фізична особа""
,
VLOOKUP(D12964,IMPORTRANGE(""https://docs.google.com/spreadsheets/d/14Bd19lYaqBhU8_DElYkX7l4wRkHqqCUFNJY4AfY3kHU/edit?usp=sharing  #gid=0"",""фіз особи new!relations_name""),6,FALSE)
,
(IF
(
C12964=""юридична особа""
,
VLOO"&amp;"KUP(D12964,IMPORTRANGE(""https://docs.google.com/spreadsheets/d/14Bd19lYaqBhU8_DElYkX7l4wRkHqqCUFNJY4AfY3kHU/edit?usp=sharing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G12963" s="7" t="s">
        <v>10</v>
      </c>
      <c r="H12963" s="7">
        <v>18330</v>
      </c>
      <c r="I12963" s="8" t="str">
        <f ca="1">IFERROR(__xludf.DUMMYFUNCTION("IF
(
G12964=""фізична особа""
,
VLOOKUP(H12964,IMPORTRANGE(""https://docs.google.com/spreadsheets/d/14Bd19lYaqBhU8_DElYkX7l4wRkHqqCUFNJY4AfY3kHU/edit?usp=sharing  #gid=0"",""фіз особи new!relations_name""),6,FALSE)
,
(IF
(
G12964=""юридична особа""
,
VLOO"&amp;"KUP(H12964,IMPORTRANGE(""https://docs.google.com/spreadsheets/d/14Bd19lYaqBhU8_DElYkX7l4wRkHqqCUFNJY4AfY3kHU/edit?usp=sharing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63" s="7" t="s">
        <v>23</v>
      </c>
    </row>
    <row r="12964" spans="1:10" ht="13.2">
      <c r="A12964" s="7">
        <v>12963</v>
      </c>
      <c r="B12964" s="7">
        <v>1</v>
      </c>
      <c r="C12964" s="7" t="s">
        <v>10</v>
      </c>
      <c r="D12964" s="7">
        <v>18328</v>
      </c>
      <c r="E12964" s="7" t="s">
        <v>23</v>
      </c>
      <c r="F12964" s="8" t="str">
        <f ca="1">IFERROR(__xludf.DUMMYFUNCTION("IF
(
C12965=""фізична особа""
,
VLOOKUP(D12965,IMPORTRANGE(""https://docs.google.com/spreadsheets/d/14Bd19lYaqBhU8_DElYkX7l4wRkHqqCUFNJY4AfY3kHU/edit?usp=sharing  #gid=0"",""фіз особи new!relations_name""),6,FALSE)
,
(IF
(
C12965=""юридична особа""
,
VLOO"&amp;"KUP(D12965,IMPORTRANGE(""https://docs.google.com/spreadsheets/d/14Bd19lYaqBhU8_DElYkX7l4wRkHqqCUFNJY4AfY3kHU/edit?usp=sharing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4" s="7" t="s">
        <v>10</v>
      </c>
      <c r="H12964" s="7">
        <v>18322</v>
      </c>
      <c r="I12964" s="8" t="str">
        <f ca="1">IFERROR(__xludf.DUMMYFUNCTION("IF
(
G12965=""фізична особа""
,
VLOOKUP(H12965,IMPORTRANGE(""https://docs.google.com/spreadsheets/d/14Bd19lYaqBhU8_DElYkX7l4wRkHqqCUFNJY4AfY3kHU/edit?usp=sharing  #gid=0"",""фіз особи new!relations_name""),6,FALSE)
,
(IF
(
G12965=""юридична особа""
,
VLOO"&amp;"KUP(H12965,IMPORTRANGE(""https://docs.google.com/spreadsheets/d/14Bd19lYaqBhU8_DElYkX7l4wRkHqqCUFNJY4AfY3kHU/edit?usp=sharing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64" s="7" t="s">
        <v>23</v>
      </c>
    </row>
    <row r="12965" spans="1:10" ht="13.2">
      <c r="A12965" s="7">
        <v>12964</v>
      </c>
      <c r="B12965" s="7">
        <v>1</v>
      </c>
      <c r="C12965" s="7" t="s">
        <v>10</v>
      </c>
      <c r="D12965" s="7">
        <v>18328</v>
      </c>
      <c r="E12965" s="7" t="s">
        <v>23</v>
      </c>
      <c r="F12965" s="8" t="str">
        <f ca="1">IFERROR(__xludf.DUMMYFUNCTION("IF
(
C12966=""фізична особа""
,
VLOOKUP(D12966,IMPORTRANGE(""https://docs.google.com/spreadsheets/d/14Bd19lYaqBhU8_DElYkX7l4wRkHqqCUFNJY4AfY3kHU/edit?usp=sharing  #gid=0"",""фіз особи new!relations_name""),6,FALSE)
,
(IF
(
C12966=""юридична особа""
,
VLOO"&amp;"KUP(D12966,IMPORTRANGE(""https://docs.google.com/spreadsheets/d/14Bd19lYaqBhU8_DElYkX7l4wRkHqqCUFNJY4AfY3kHU/edit?usp=sharing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5" s="7" t="s">
        <v>10</v>
      </c>
      <c r="H12965" s="7">
        <v>18323</v>
      </c>
      <c r="I12965" s="8" t="str">
        <f ca="1">IFERROR(__xludf.DUMMYFUNCTION("IF
(
G12966=""фізична особа""
,
VLOOKUP(H12966,IMPORTRANGE(""https://docs.google.com/spreadsheets/d/14Bd19lYaqBhU8_DElYkX7l4wRkHqqCUFNJY4AfY3kHU/edit?usp=sharing  #gid=0"",""фіз особи new!relations_name""),6,FALSE)
,
(IF
(
G12966=""юридична особа""
,
VLOO"&amp;"KUP(H12966,IMPORTRANGE(""https://docs.google.com/spreadsheets/d/14Bd19lYaqBhU8_DElYkX7l4wRkHqqCUFNJY4AfY3kHU/edit?usp=sharing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65" s="7" t="s">
        <v>23</v>
      </c>
    </row>
    <row r="12966" spans="1:10" ht="13.2">
      <c r="A12966" s="7">
        <v>12965</v>
      </c>
      <c r="B12966" s="7">
        <v>1</v>
      </c>
      <c r="C12966" s="7" t="s">
        <v>10</v>
      </c>
      <c r="D12966" s="7">
        <v>18328</v>
      </c>
      <c r="E12966" s="7" t="s">
        <v>23</v>
      </c>
      <c r="F12966" s="8" t="str">
        <f ca="1">IFERROR(__xludf.DUMMYFUNCTION("IF
(
C12967=""фізична особа""
,
VLOOKUP(D12967,IMPORTRANGE(""https://docs.google.com/spreadsheets/d/14Bd19lYaqBhU8_DElYkX7l4wRkHqqCUFNJY4AfY3kHU/edit?usp=sharing  #gid=0"",""фіз особи new!relations_name""),6,FALSE)
,
(IF
(
C12967=""юридична особа""
,
VLOO"&amp;"KUP(D12967,IMPORTRANGE(""https://docs.google.com/spreadsheets/d/14Bd19lYaqBhU8_DElYkX7l4wRkHqqCUFNJY4AfY3kHU/edit?usp=sharing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6" s="7" t="s">
        <v>10</v>
      </c>
      <c r="H12966" s="7">
        <v>18324</v>
      </c>
      <c r="I12966" s="8" t="str">
        <f ca="1">IFERROR(__xludf.DUMMYFUNCTION("IF
(
G12967=""фізична особа""
,
VLOOKUP(H12967,IMPORTRANGE(""https://docs.google.com/spreadsheets/d/14Bd19lYaqBhU8_DElYkX7l4wRkHqqCUFNJY4AfY3kHU/edit?usp=sharing  #gid=0"",""фіз особи new!relations_name""),6,FALSE)
,
(IF
(
G12967=""юридична особа""
,
VLOO"&amp;"KUP(H12967,IMPORTRANGE(""https://docs.google.com/spreadsheets/d/14Bd19lYaqBhU8_DElYkX7l4wRkHqqCUFNJY4AfY3kHU/edit?usp=sharing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66" s="7" t="s">
        <v>23</v>
      </c>
    </row>
    <row r="12967" spans="1:10" ht="13.2">
      <c r="A12967" s="7">
        <v>12966</v>
      </c>
      <c r="B12967" s="7">
        <v>1</v>
      </c>
      <c r="C12967" s="7" t="s">
        <v>10</v>
      </c>
      <c r="D12967" s="7">
        <v>18328</v>
      </c>
      <c r="E12967" s="7" t="s">
        <v>23</v>
      </c>
      <c r="F12967" s="8" t="str">
        <f ca="1">IFERROR(__xludf.DUMMYFUNCTION("IF
(
C12968=""фізична особа""
,
VLOOKUP(D12968,IMPORTRANGE(""https://docs.google.com/spreadsheets/d/14Bd19lYaqBhU8_DElYkX7l4wRkHqqCUFNJY4AfY3kHU/edit?usp=sharing  #gid=0"",""фіз особи new!relations_name""),6,FALSE)
,
(IF
(
C12968=""юридична особа""
,
VLOO"&amp;"KUP(D12968,IMPORTRANGE(""https://docs.google.com/spreadsheets/d/14Bd19lYaqBhU8_DElYkX7l4wRkHqqCUFNJY4AfY3kHU/edit?usp=sharing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7" s="7" t="s">
        <v>10</v>
      </c>
      <c r="H12967" s="7">
        <v>18325</v>
      </c>
      <c r="I12967" s="8" t="str">
        <f ca="1">IFERROR(__xludf.DUMMYFUNCTION("IF
(
G12968=""фізична особа""
,
VLOOKUP(H12968,IMPORTRANGE(""https://docs.google.com/spreadsheets/d/14Bd19lYaqBhU8_DElYkX7l4wRkHqqCUFNJY4AfY3kHU/edit?usp=sharing  #gid=0"",""фіз особи new!relations_name""),6,FALSE)
,
(IF
(
G12968=""юридична особа""
,
VLOO"&amp;"KUP(H12968,IMPORTRANGE(""https://docs.google.com/spreadsheets/d/14Bd19lYaqBhU8_DElYkX7l4wRkHqqCUFNJY4AfY3kHU/edit?usp=sharing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67" s="7" t="s">
        <v>23</v>
      </c>
    </row>
    <row r="12968" spans="1:10" ht="13.2">
      <c r="A12968" s="7">
        <v>12967</v>
      </c>
      <c r="B12968" s="7">
        <v>1</v>
      </c>
      <c r="C12968" s="7" t="s">
        <v>10</v>
      </c>
      <c r="D12968" s="7">
        <v>18328</v>
      </c>
      <c r="E12968" s="7" t="s">
        <v>23</v>
      </c>
      <c r="F12968" s="8" t="str">
        <f ca="1">IFERROR(__xludf.DUMMYFUNCTION("IF
(
C12969=""фізична особа""
,
VLOOKUP(D12969,IMPORTRANGE(""https://docs.google.com/spreadsheets/d/14Bd19lYaqBhU8_DElYkX7l4wRkHqqCUFNJY4AfY3kHU/edit?usp=sharing  #gid=0"",""фіз особи new!relations_name""),6,FALSE)
,
(IF
(
C12969=""юридична особа""
,
VLOO"&amp;"KUP(D12969,IMPORTRANGE(""https://docs.google.com/spreadsheets/d/14Bd19lYaqBhU8_DElYkX7l4wRkHqqCUFNJY4AfY3kHU/edit?usp=sharing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8" s="7" t="s">
        <v>10</v>
      </c>
      <c r="H12968" s="7">
        <v>18326</v>
      </c>
      <c r="I12968" s="8" t="str">
        <f ca="1">IFERROR(__xludf.DUMMYFUNCTION("IF
(
G12969=""фізична особа""
,
VLOOKUP(H12969,IMPORTRANGE(""https://docs.google.com/spreadsheets/d/14Bd19lYaqBhU8_DElYkX7l4wRkHqqCUFNJY4AfY3kHU/edit?usp=sharing  #gid=0"",""фіз особи new!relations_name""),6,FALSE)
,
(IF
(
G12969=""юридична особа""
,
VLOO"&amp;"KUP(H12969,IMPORTRANGE(""https://docs.google.com/spreadsheets/d/14Bd19lYaqBhU8_DElYkX7l4wRkHqqCUFNJY4AfY3kHU/edit?usp=sharing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68" s="7" t="s">
        <v>23</v>
      </c>
    </row>
    <row r="12969" spans="1:10" ht="13.2">
      <c r="A12969" s="7">
        <v>12968</v>
      </c>
      <c r="B12969" s="7">
        <v>1</v>
      </c>
      <c r="C12969" s="7" t="s">
        <v>10</v>
      </c>
      <c r="D12969" s="7">
        <v>18328</v>
      </c>
      <c r="E12969" s="7" t="s">
        <v>23</v>
      </c>
      <c r="F12969" s="8" t="str">
        <f ca="1">IFERROR(__xludf.DUMMYFUNCTION("IF
(
C12970=""фізична особа""
,
VLOOKUP(D12970,IMPORTRANGE(""https://docs.google.com/spreadsheets/d/14Bd19lYaqBhU8_DElYkX7l4wRkHqqCUFNJY4AfY3kHU/edit?usp=sharing  #gid=0"",""фіз особи new!relations_name""),6,FALSE)
,
(IF
(
C12970=""юридична особа""
,
VLOO"&amp;"KUP(D12970,IMPORTRANGE(""https://docs.google.com/spreadsheets/d/14Bd19lYaqBhU8_DElYkX7l4wRkHqqCUFNJY4AfY3kHU/edit?usp=sharing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69" s="7" t="s">
        <v>10</v>
      </c>
      <c r="H12969" s="7">
        <v>18327</v>
      </c>
      <c r="I12969" s="8" t="str">
        <f ca="1">IFERROR(__xludf.DUMMYFUNCTION("IF
(
G12970=""фізична особа""
,
VLOOKUP(H12970,IMPORTRANGE(""https://docs.google.com/spreadsheets/d/14Bd19lYaqBhU8_DElYkX7l4wRkHqqCUFNJY4AfY3kHU/edit?usp=sharing  #gid=0"",""фіз особи new!relations_name""),6,FALSE)
,
(IF
(
G12970=""юридична особа""
,
VLOO"&amp;"KUP(H12970,IMPORTRANGE(""https://docs.google.com/spreadsheets/d/14Bd19lYaqBhU8_DElYkX7l4wRkHqqCUFNJY4AfY3kHU/edit?usp=sharing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69" s="7" t="s">
        <v>23</v>
      </c>
    </row>
    <row r="12970" spans="1:10" ht="13.2">
      <c r="A12970" s="7">
        <v>12969</v>
      </c>
      <c r="B12970" s="7">
        <v>1</v>
      </c>
      <c r="C12970" s="7" t="s">
        <v>10</v>
      </c>
      <c r="D12970" s="7">
        <v>18328</v>
      </c>
      <c r="E12970" s="7" t="s">
        <v>23</v>
      </c>
      <c r="F12970" s="8" t="str">
        <f ca="1">IFERROR(__xludf.DUMMYFUNCTION("IF
(
C12971=""фізична особа""
,
VLOOKUP(D12971,IMPORTRANGE(""https://docs.google.com/spreadsheets/d/14Bd19lYaqBhU8_DElYkX7l4wRkHqqCUFNJY4AfY3kHU/edit?usp=sharing  #gid=0"",""фіз особи new!relations_name""),6,FALSE)
,
(IF
(
C12971=""юридична особа""
,
VLOO"&amp;"KUP(D12971,IMPORTRANGE(""https://docs.google.com/spreadsheets/d/14Bd19lYaqBhU8_DElYkX7l4wRkHqqCUFNJY4AfY3kHU/edit?usp=sharing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70" s="7" t="s">
        <v>10</v>
      </c>
      <c r="H12970" s="7">
        <v>18329</v>
      </c>
      <c r="I12970" s="8" t="str">
        <f ca="1">IFERROR(__xludf.DUMMYFUNCTION("IF
(
G12971=""фізична особа""
,
VLOOKUP(H12971,IMPORTRANGE(""https://docs.google.com/spreadsheets/d/14Bd19lYaqBhU8_DElYkX7l4wRkHqqCUFNJY4AfY3kHU/edit?usp=sharing  #gid=0"",""фіз особи new!relations_name""),6,FALSE)
,
(IF
(
G12971=""юридична особа""
,
VLOO"&amp;"KUP(H12971,IMPORTRANGE(""https://docs.google.com/spreadsheets/d/14Bd19lYaqBhU8_DElYkX7l4wRkHqqCUFNJY4AfY3kHU/edit?usp=sharing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70" s="7" t="s">
        <v>23</v>
      </c>
    </row>
    <row r="12971" spans="1:10" ht="13.2">
      <c r="A12971" s="7">
        <v>12970</v>
      </c>
      <c r="B12971" s="7">
        <v>1</v>
      </c>
      <c r="C12971" s="7" t="s">
        <v>10</v>
      </c>
      <c r="D12971" s="7">
        <v>18328</v>
      </c>
      <c r="E12971" s="7" t="s">
        <v>23</v>
      </c>
      <c r="F12971" s="8" t="str">
        <f ca="1">IFERROR(__xludf.DUMMYFUNCTION("IF
(
C12972=""фізична особа""
,
VLOOKUP(D12972,IMPORTRANGE(""https://docs.google.com/spreadsheets/d/14Bd19lYaqBhU8_DElYkX7l4wRkHqqCUFNJY4AfY3kHU/edit?usp=sharing  #gid=0"",""фіз особи new!relations_name""),6,FALSE)
,
(IF
(
C12972=""юридична особа""
,
VLOO"&amp;"KUP(D12972,IMPORTRANGE(""https://docs.google.com/spreadsheets/d/14Bd19lYaqBhU8_DElYkX7l4wRkHqqCUFNJY4AfY3kHU/edit?usp=sharing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G12971" s="7" t="s">
        <v>10</v>
      </c>
      <c r="H12971" s="7">
        <v>18330</v>
      </c>
      <c r="I12971" s="8" t="str">
        <f ca="1">IFERROR(__xludf.DUMMYFUNCTION("IF
(
G12972=""фізична особа""
,
VLOOKUP(H12972,IMPORTRANGE(""https://docs.google.com/spreadsheets/d/14Bd19lYaqBhU8_DElYkX7l4wRkHqqCUFNJY4AfY3kHU/edit?usp=sharing  #gid=0"",""фіз особи new!relations_name""),6,FALSE)
,
(IF
(
G12972=""юридична особа""
,
VLOO"&amp;"KUP(H12972,IMPORTRANGE(""https://docs.google.com/spreadsheets/d/14Bd19lYaqBhU8_DElYkX7l4wRkHqqCUFNJY4AfY3kHU/edit?usp=sharing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71" s="7" t="s">
        <v>23</v>
      </c>
    </row>
    <row r="12972" spans="1:10" ht="13.2">
      <c r="A12972" s="7">
        <v>12971</v>
      </c>
      <c r="B12972" s="7">
        <v>1</v>
      </c>
      <c r="C12972" s="7" t="s">
        <v>10</v>
      </c>
      <c r="D12972" s="7">
        <v>18329</v>
      </c>
      <c r="E12972" s="7" t="s">
        <v>23</v>
      </c>
      <c r="F12972" s="8" t="str">
        <f ca="1">IFERROR(__xludf.DUMMYFUNCTION("IF
(
C12973=""фізична особа""
,
VLOOKUP(D12973,IMPORTRANGE(""https://docs.google.com/spreadsheets/d/14Bd19lYaqBhU8_DElYkX7l4wRkHqqCUFNJY4AfY3kHU/edit?usp=sharing  #gid=0"",""фіз особи new!relations_name""),6,FALSE)
,
(IF
(
C12973=""юридична особа""
,
VLOO"&amp;"KUP(D12973,IMPORTRANGE(""https://docs.google.com/spreadsheets/d/14Bd19lYaqBhU8_DElYkX7l4wRkHqqCUFNJY4AfY3kHU/edit?usp=sharing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2" s="7" t="s">
        <v>10</v>
      </c>
      <c r="H12972" s="7">
        <v>18322</v>
      </c>
      <c r="I12972" s="8" t="str">
        <f ca="1">IFERROR(__xludf.DUMMYFUNCTION("IF
(
G12973=""фізична особа""
,
VLOOKUP(H12973,IMPORTRANGE(""https://docs.google.com/spreadsheets/d/14Bd19lYaqBhU8_DElYkX7l4wRkHqqCUFNJY4AfY3kHU/edit?usp=sharing  #gid=0"",""фіз особи new!relations_name""),6,FALSE)
,
(IF
(
G12973=""юридична особа""
,
VLOO"&amp;"KUP(H12973,IMPORTRANGE(""https://docs.google.com/spreadsheets/d/14Bd19lYaqBhU8_DElYkX7l4wRkHqqCUFNJY4AfY3kHU/edit?usp=sharing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72" s="7" t="s">
        <v>23</v>
      </c>
    </row>
    <row r="12973" spans="1:10" ht="13.2">
      <c r="A12973" s="7">
        <v>12972</v>
      </c>
      <c r="B12973" s="7">
        <v>1</v>
      </c>
      <c r="C12973" s="7" t="s">
        <v>10</v>
      </c>
      <c r="D12973" s="7">
        <v>18329</v>
      </c>
      <c r="E12973" s="7" t="s">
        <v>23</v>
      </c>
      <c r="F12973" s="8" t="str">
        <f ca="1">IFERROR(__xludf.DUMMYFUNCTION("IF
(
C12974=""фізична особа""
,
VLOOKUP(D12974,IMPORTRANGE(""https://docs.google.com/spreadsheets/d/14Bd19lYaqBhU8_DElYkX7l4wRkHqqCUFNJY4AfY3kHU/edit?usp=sharing  #gid=0"",""фіз особи new!relations_name""),6,FALSE)
,
(IF
(
C12974=""юридична особа""
,
VLOO"&amp;"KUP(D12974,IMPORTRANGE(""https://docs.google.com/spreadsheets/d/14Bd19lYaqBhU8_DElYkX7l4wRkHqqCUFNJY4AfY3kHU/edit?usp=sharing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3" s="7" t="s">
        <v>10</v>
      </c>
      <c r="H12973" s="7">
        <v>18323</v>
      </c>
      <c r="I12973" s="8" t="str">
        <f ca="1">IFERROR(__xludf.DUMMYFUNCTION("IF
(
G12974=""фізична особа""
,
VLOOKUP(H12974,IMPORTRANGE(""https://docs.google.com/spreadsheets/d/14Bd19lYaqBhU8_DElYkX7l4wRkHqqCUFNJY4AfY3kHU/edit?usp=sharing  #gid=0"",""фіз особи new!relations_name""),6,FALSE)
,
(IF
(
G12974=""юридична особа""
,
VLOO"&amp;"KUP(H12974,IMPORTRANGE(""https://docs.google.com/spreadsheets/d/14Bd19lYaqBhU8_DElYkX7l4wRkHqqCUFNJY4AfY3kHU/edit?usp=sharing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73" s="7" t="s">
        <v>23</v>
      </c>
    </row>
    <row r="12974" spans="1:10" ht="13.2">
      <c r="A12974" s="7">
        <v>12973</v>
      </c>
      <c r="B12974" s="7">
        <v>1</v>
      </c>
      <c r="C12974" s="7" t="s">
        <v>10</v>
      </c>
      <c r="D12974" s="7">
        <v>18329</v>
      </c>
      <c r="E12974" s="7" t="s">
        <v>23</v>
      </c>
      <c r="F12974" s="8" t="str">
        <f ca="1">IFERROR(__xludf.DUMMYFUNCTION("IF
(
C12975=""фізична особа""
,
VLOOKUP(D12975,IMPORTRANGE(""https://docs.google.com/spreadsheets/d/14Bd19lYaqBhU8_DElYkX7l4wRkHqqCUFNJY4AfY3kHU/edit?usp=sharing  #gid=0"",""фіз особи new!relations_name""),6,FALSE)
,
(IF
(
C12975=""юридична особа""
,
VLOO"&amp;"KUP(D12975,IMPORTRANGE(""https://docs.google.com/spreadsheets/d/14Bd19lYaqBhU8_DElYkX7l4wRkHqqCUFNJY4AfY3kHU/edit?usp=sharing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4" s="7" t="s">
        <v>10</v>
      </c>
      <c r="H12974" s="7">
        <v>18324</v>
      </c>
      <c r="I12974" s="8" t="str">
        <f ca="1">IFERROR(__xludf.DUMMYFUNCTION("IF
(
G12975=""фізична особа""
,
VLOOKUP(H12975,IMPORTRANGE(""https://docs.google.com/spreadsheets/d/14Bd19lYaqBhU8_DElYkX7l4wRkHqqCUFNJY4AfY3kHU/edit?usp=sharing  #gid=0"",""фіз особи new!relations_name""),6,FALSE)
,
(IF
(
G12975=""юридична особа""
,
VLOO"&amp;"KUP(H12975,IMPORTRANGE(""https://docs.google.com/spreadsheets/d/14Bd19lYaqBhU8_DElYkX7l4wRkHqqCUFNJY4AfY3kHU/edit?usp=sharing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74" s="7" t="s">
        <v>23</v>
      </c>
    </row>
    <row r="12975" spans="1:10" ht="13.2">
      <c r="A12975" s="7">
        <v>12974</v>
      </c>
      <c r="B12975" s="7">
        <v>1</v>
      </c>
      <c r="C12975" s="7" t="s">
        <v>10</v>
      </c>
      <c r="D12975" s="7">
        <v>18329</v>
      </c>
      <c r="E12975" s="7" t="s">
        <v>23</v>
      </c>
      <c r="F12975" s="8" t="str">
        <f ca="1">IFERROR(__xludf.DUMMYFUNCTION("IF
(
C12976=""фізична особа""
,
VLOOKUP(D12976,IMPORTRANGE(""https://docs.google.com/spreadsheets/d/14Bd19lYaqBhU8_DElYkX7l4wRkHqqCUFNJY4AfY3kHU/edit?usp=sharing  #gid=0"",""фіз особи new!relations_name""),6,FALSE)
,
(IF
(
C12976=""юридична особа""
,
VLOO"&amp;"KUP(D12976,IMPORTRANGE(""https://docs.google.com/spreadsheets/d/14Bd19lYaqBhU8_DElYkX7l4wRkHqqCUFNJY4AfY3kHU/edit?usp=sharing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5" s="7" t="s">
        <v>10</v>
      </c>
      <c r="H12975" s="7">
        <v>18325</v>
      </c>
      <c r="I12975" s="8" t="str">
        <f ca="1">IFERROR(__xludf.DUMMYFUNCTION("IF
(
G12976=""фізична особа""
,
VLOOKUP(H12976,IMPORTRANGE(""https://docs.google.com/spreadsheets/d/14Bd19lYaqBhU8_DElYkX7l4wRkHqqCUFNJY4AfY3kHU/edit?usp=sharing  #gid=0"",""фіз особи new!relations_name""),6,FALSE)
,
(IF
(
G12976=""юридична особа""
,
VLOO"&amp;"KUP(H12976,IMPORTRANGE(""https://docs.google.com/spreadsheets/d/14Bd19lYaqBhU8_DElYkX7l4wRkHqqCUFNJY4AfY3kHU/edit?usp=sharing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75" s="7" t="s">
        <v>23</v>
      </c>
    </row>
    <row r="12976" spans="1:10" ht="13.2">
      <c r="A12976" s="7">
        <v>12975</v>
      </c>
      <c r="B12976" s="7">
        <v>1</v>
      </c>
      <c r="C12976" s="7" t="s">
        <v>10</v>
      </c>
      <c r="D12976" s="7">
        <v>18329</v>
      </c>
      <c r="E12976" s="7" t="s">
        <v>23</v>
      </c>
      <c r="F12976" s="8" t="str">
        <f ca="1">IFERROR(__xludf.DUMMYFUNCTION("IF
(
C12977=""фізична особа""
,
VLOOKUP(D12977,IMPORTRANGE(""https://docs.google.com/spreadsheets/d/14Bd19lYaqBhU8_DElYkX7l4wRkHqqCUFNJY4AfY3kHU/edit?usp=sharing  #gid=0"",""фіз особи new!relations_name""),6,FALSE)
,
(IF
(
C12977=""юридична особа""
,
VLOO"&amp;"KUP(D12977,IMPORTRANGE(""https://docs.google.com/spreadsheets/d/14Bd19lYaqBhU8_DElYkX7l4wRkHqqCUFNJY4AfY3kHU/edit?usp=sharing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6" s="7" t="s">
        <v>10</v>
      </c>
      <c r="H12976" s="7">
        <v>18326</v>
      </c>
      <c r="I12976" s="8" t="str">
        <f ca="1">IFERROR(__xludf.DUMMYFUNCTION("IF
(
G12977=""фізична особа""
,
VLOOKUP(H12977,IMPORTRANGE(""https://docs.google.com/spreadsheets/d/14Bd19lYaqBhU8_DElYkX7l4wRkHqqCUFNJY4AfY3kHU/edit?usp=sharing  #gid=0"",""фіз особи new!relations_name""),6,FALSE)
,
(IF
(
G12977=""юридична особа""
,
VLOO"&amp;"KUP(H12977,IMPORTRANGE(""https://docs.google.com/spreadsheets/d/14Bd19lYaqBhU8_DElYkX7l4wRkHqqCUFNJY4AfY3kHU/edit?usp=sharing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76" s="7" t="s">
        <v>23</v>
      </c>
    </row>
    <row r="12977" spans="1:10" ht="13.2">
      <c r="A12977" s="7">
        <v>12976</v>
      </c>
      <c r="B12977" s="7">
        <v>1</v>
      </c>
      <c r="C12977" s="7" t="s">
        <v>10</v>
      </c>
      <c r="D12977" s="7">
        <v>18329</v>
      </c>
      <c r="E12977" s="7" t="s">
        <v>23</v>
      </c>
      <c r="F12977" s="8" t="str">
        <f ca="1">IFERROR(__xludf.DUMMYFUNCTION("IF
(
C12978=""фізична особа""
,
VLOOKUP(D12978,IMPORTRANGE(""https://docs.google.com/spreadsheets/d/14Bd19lYaqBhU8_DElYkX7l4wRkHqqCUFNJY4AfY3kHU/edit?usp=sharing  #gid=0"",""фіз особи new!relations_name""),6,FALSE)
,
(IF
(
C12978=""юридична особа""
,
VLOO"&amp;"KUP(D12978,IMPORTRANGE(""https://docs.google.com/spreadsheets/d/14Bd19lYaqBhU8_DElYkX7l4wRkHqqCUFNJY4AfY3kHU/edit?usp=sharing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7" s="7" t="s">
        <v>10</v>
      </c>
      <c r="H12977" s="7">
        <v>18327</v>
      </c>
      <c r="I12977" s="8" t="str">
        <f ca="1">IFERROR(__xludf.DUMMYFUNCTION("IF
(
G12978=""фізична особа""
,
VLOOKUP(H12978,IMPORTRANGE(""https://docs.google.com/spreadsheets/d/14Bd19lYaqBhU8_DElYkX7l4wRkHqqCUFNJY4AfY3kHU/edit?usp=sharing  #gid=0"",""фіз особи new!relations_name""),6,FALSE)
,
(IF
(
G12978=""юридична особа""
,
VLOO"&amp;"KUP(H12978,IMPORTRANGE(""https://docs.google.com/spreadsheets/d/14Bd19lYaqBhU8_DElYkX7l4wRkHqqCUFNJY4AfY3kHU/edit?usp=sharing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77" s="7" t="s">
        <v>23</v>
      </c>
    </row>
    <row r="12978" spans="1:10" ht="13.2">
      <c r="A12978" s="7">
        <v>12977</v>
      </c>
      <c r="B12978" s="7">
        <v>1</v>
      </c>
      <c r="C12978" s="7" t="s">
        <v>10</v>
      </c>
      <c r="D12978" s="7">
        <v>18329</v>
      </c>
      <c r="E12978" s="7" t="s">
        <v>23</v>
      </c>
      <c r="F12978" s="8" t="str">
        <f ca="1">IFERROR(__xludf.DUMMYFUNCTION("IF
(
C12979=""фізична особа""
,
VLOOKUP(D12979,IMPORTRANGE(""https://docs.google.com/spreadsheets/d/14Bd19lYaqBhU8_DElYkX7l4wRkHqqCUFNJY4AfY3kHU/edit?usp=sharing  #gid=0"",""фіз особи new!relations_name""),6,FALSE)
,
(IF
(
C12979=""юридична особа""
,
VLOO"&amp;"KUP(D12979,IMPORTRANGE(""https://docs.google.com/spreadsheets/d/14Bd19lYaqBhU8_DElYkX7l4wRkHqqCUFNJY4AfY3kHU/edit?usp=sharing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8" s="7" t="s">
        <v>10</v>
      </c>
      <c r="H12978" s="7">
        <v>18328</v>
      </c>
      <c r="I12978" s="8" t="str">
        <f ca="1">IFERROR(__xludf.DUMMYFUNCTION("IF
(
G12979=""фізична особа""
,
VLOOKUP(H12979,IMPORTRANGE(""https://docs.google.com/spreadsheets/d/14Bd19lYaqBhU8_DElYkX7l4wRkHqqCUFNJY4AfY3kHU/edit?usp=sharing  #gid=0"",""фіз особи new!relations_name""),6,FALSE)
,
(IF
(
G12979=""юридична особа""
,
VLOO"&amp;"KUP(H12979,IMPORTRANGE(""https://docs.google.com/spreadsheets/d/14Bd19lYaqBhU8_DElYkX7l4wRkHqqCUFNJY4AfY3kHU/edit?usp=sharing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78" s="7" t="s">
        <v>23</v>
      </c>
    </row>
    <row r="12979" spans="1:10" ht="13.2">
      <c r="A12979" s="7">
        <v>12978</v>
      </c>
      <c r="B12979" s="7">
        <v>1</v>
      </c>
      <c r="C12979" s="7" t="s">
        <v>10</v>
      </c>
      <c r="D12979" s="7">
        <v>18329</v>
      </c>
      <c r="E12979" s="7" t="s">
        <v>23</v>
      </c>
      <c r="F12979" s="8" t="str">
        <f ca="1">IFERROR(__xludf.DUMMYFUNCTION("IF
(
C12980=""фізична особа""
,
VLOOKUP(D12980,IMPORTRANGE(""https://docs.google.com/spreadsheets/d/14Bd19lYaqBhU8_DElYkX7l4wRkHqqCUFNJY4AfY3kHU/edit?usp=sharing  #gid=0"",""фіз особи new!relations_name""),6,FALSE)
,
(IF
(
C12980=""юридична особа""
,
VLOO"&amp;"KUP(D12980,IMPORTRANGE(""https://docs.google.com/spreadsheets/d/14Bd19lYaqBhU8_DElYkX7l4wRkHqqCUFNJY4AfY3kHU/edit?usp=sharing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G12979" s="7" t="s">
        <v>10</v>
      </c>
      <c r="H12979" s="7">
        <v>18330</v>
      </c>
      <c r="I12979" s="8" t="str">
        <f ca="1">IFERROR(__xludf.DUMMYFUNCTION("IF
(
G12980=""фізична особа""
,
VLOOKUP(H12980,IMPORTRANGE(""https://docs.google.com/spreadsheets/d/14Bd19lYaqBhU8_DElYkX7l4wRkHqqCUFNJY4AfY3kHU/edit?usp=sharing  #gid=0"",""фіз особи new!relations_name""),6,FALSE)
,
(IF
(
G12980=""юридична особа""
,
VLOO"&amp;"KUP(H12980,IMPORTRANGE(""https://docs.google.com/spreadsheets/d/14Bd19lYaqBhU8_DElYkX7l4wRkHqqCUFNJY4AfY3kHU/edit?usp=sharing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J12979" s="7" t="s">
        <v>23</v>
      </c>
    </row>
    <row r="12980" spans="1:10" ht="13.2">
      <c r="A12980" s="7">
        <v>12979</v>
      </c>
      <c r="B12980" s="7">
        <v>1</v>
      </c>
      <c r="C12980" s="7" t="s">
        <v>10</v>
      </c>
      <c r="D12980" s="7">
        <v>18330</v>
      </c>
      <c r="E12980" s="7" t="s">
        <v>23</v>
      </c>
      <c r="F12980" s="8" t="str">
        <f ca="1">IFERROR(__xludf.DUMMYFUNCTION("IF
(
C12981=""фізична особа""
,
VLOOKUP(D12981,IMPORTRANGE(""https://docs.google.com/spreadsheets/d/14Bd19lYaqBhU8_DElYkX7l4wRkHqqCUFNJY4AfY3kHU/edit?usp=sharing  #gid=0"",""фіз особи new!relations_name""),6,FALSE)
,
(IF
(
C12981=""юридична особа""
,
VLOO"&amp;"KUP(D12981,IMPORTRANGE(""https://docs.google.com/spreadsheets/d/14Bd19lYaqBhU8_DElYkX7l4wRkHqqCUFNJY4AfY3kHU/edit?usp=sharing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0" s="7" t="s">
        <v>10</v>
      </c>
      <c r="H12980" s="7">
        <v>18322</v>
      </c>
      <c r="I12980" s="8" t="str">
        <f ca="1">IFERROR(__xludf.DUMMYFUNCTION("IF
(
G12981=""фізична особа""
,
VLOOKUP(H12981,IMPORTRANGE(""https://docs.google.com/spreadsheets/d/14Bd19lYaqBhU8_DElYkX7l4wRkHqqCUFNJY4AfY3kHU/edit?usp=sharing  #gid=0"",""фіз особи new!relations_name""),6,FALSE)
,
(IF
(
G12981=""юридична особа""
,
VLOO"&amp;"KUP(H12981,IMPORTRANGE(""https://docs.google.com/spreadsheets/d/14Bd19lYaqBhU8_DElYkX7l4wRkHqqCUFNJY4AfY3kHU/edit?usp=sharing  #gid=0"",""фіз особи new!relations_name_uo""),7,FALSE)
,
)
))"),"ЛОТВІНОВ Євгеній Михайлович")</f>
        <v>ЛОТВІНОВ Євгеній Михайлович</v>
      </c>
      <c r="J12980" s="7" t="s">
        <v>23</v>
      </c>
    </row>
    <row r="12981" spans="1:10" ht="13.2">
      <c r="A12981" s="7">
        <v>12980</v>
      </c>
      <c r="B12981" s="7">
        <v>1</v>
      </c>
      <c r="C12981" s="7" t="s">
        <v>10</v>
      </c>
      <c r="D12981" s="7">
        <v>18330</v>
      </c>
      <c r="E12981" s="7" t="s">
        <v>23</v>
      </c>
      <c r="F12981" s="8" t="str">
        <f ca="1">IFERROR(__xludf.DUMMYFUNCTION("IF
(
C12982=""фізична особа""
,
VLOOKUP(D12982,IMPORTRANGE(""https://docs.google.com/spreadsheets/d/14Bd19lYaqBhU8_DElYkX7l4wRkHqqCUFNJY4AfY3kHU/edit?usp=sharing  #gid=0"",""фіз особи new!relations_name""),6,FALSE)
,
(IF
(
C12982=""юридична особа""
,
VLOO"&amp;"KUP(D12982,IMPORTRANGE(""https://docs.google.com/spreadsheets/d/14Bd19lYaqBhU8_DElYkX7l4wRkHqqCUFNJY4AfY3kHU/edit?usp=sharing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1" s="7" t="s">
        <v>10</v>
      </c>
      <c r="H12981" s="7">
        <v>18323</v>
      </c>
      <c r="I12981" s="8" t="str">
        <f ca="1">IFERROR(__xludf.DUMMYFUNCTION("IF
(
G12982=""фізична особа""
,
VLOOKUP(H12982,IMPORTRANGE(""https://docs.google.com/spreadsheets/d/14Bd19lYaqBhU8_DElYkX7l4wRkHqqCUFNJY4AfY3kHU/edit?usp=sharing  #gid=0"",""фіз особи new!relations_name""),6,FALSE)
,
(IF
(
G12982=""юридична особа""
,
VLOO"&amp;"KUP(H12982,IMPORTRANGE(""https://docs.google.com/spreadsheets/d/14Bd19lYaqBhU8_DElYkX7l4wRkHqqCUFNJY4AfY3kHU/edit?usp=sharing  #gid=0"",""фіз особи new!relations_name_uo""),7,FALSE)
,
)
))"),"ГРИГОР'ЄВ Сергій Васильович")</f>
        <v>ГРИГОР'ЄВ Сергій Васильович</v>
      </c>
      <c r="J12981" s="7" t="s">
        <v>23</v>
      </c>
    </row>
    <row r="12982" spans="1:10" ht="13.2">
      <c r="A12982" s="7">
        <v>12981</v>
      </c>
      <c r="B12982" s="7">
        <v>1</v>
      </c>
      <c r="C12982" s="7" t="s">
        <v>10</v>
      </c>
      <c r="D12982" s="7">
        <v>18330</v>
      </c>
      <c r="E12982" s="7" t="s">
        <v>23</v>
      </c>
      <c r="F12982" s="8" t="str">
        <f ca="1">IFERROR(__xludf.DUMMYFUNCTION("IF
(
C12983=""фізична особа""
,
VLOOKUP(D12983,IMPORTRANGE(""https://docs.google.com/spreadsheets/d/14Bd19lYaqBhU8_DElYkX7l4wRkHqqCUFNJY4AfY3kHU/edit?usp=sharing  #gid=0"",""фіз особи new!relations_name""),6,FALSE)
,
(IF
(
C12983=""юридична особа""
,
VLOO"&amp;"KUP(D12983,IMPORTRANGE(""https://docs.google.com/spreadsheets/d/14Bd19lYaqBhU8_DElYkX7l4wRkHqqCUFNJY4AfY3kHU/edit?usp=sharing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2" s="7" t="s">
        <v>10</v>
      </c>
      <c r="H12982" s="7">
        <v>18324</v>
      </c>
      <c r="I12982" s="8" t="str">
        <f ca="1">IFERROR(__xludf.DUMMYFUNCTION("IF
(
G12983=""фізична особа""
,
VLOOKUP(H12983,IMPORTRANGE(""https://docs.google.com/spreadsheets/d/14Bd19lYaqBhU8_DElYkX7l4wRkHqqCUFNJY4AfY3kHU/edit?usp=sharing  #gid=0"",""фіз особи new!relations_name""),6,FALSE)
,
(IF
(
G12983=""юридична особа""
,
VLOO"&amp;"KUP(H12983,IMPORTRANGE(""https://docs.google.com/spreadsheets/d/14Bd19lYaqBhU8_DElYkX7l4wRkHqqCUFNJY4AfY3kHU/edit?usp=sharing  #gid=0"",""фіз особи new!relations_name_uo""),7,FALSE)
,
)
))"),"ІСТЮФЄЄВ Дмитро Дмитрович")</f>
        <v>ІСТЮФЄЄВ Дмитро Дмитрович</v>
      </c>
      <c r="J12982" s="7" t="s">
        <v>23</v>
      </c>
    </row>
    <row r="12983" spans="1:10" ht="13.2">
      <c r="A12983" s="7">
        <v>12982</v>
      </c>
      <c r="B12983" s="7">
        <v>1</v>
      </c>
      <c r="C12983" s="7" t="s">
        <v>10</v>
      </c>
      <c r="D12983" s="7">
        <v>18330</v>
      </c>
      <c r="E12983" s="7" t="s">
        <v>23</v>
      </c>
      <c r="F12983" s="8" t="str">
        <f ca="1">IFERROR(__xludf.DUMMYFUNCTION("IF
(
C12984=""фізична особа""
,
VLOOKUP(D12984,IMPORTRANGE(""https://docs.google.com/spreadsheets/d/14Bd19lYaqBhU8_DElYkX7l4wRkHqqCUFNJY4AfY3kHU/edit?usp=sharing  #gid=0"",""фіз особи new!relations_name""),6,FALSE)
,
(IF
(
C12984=""юридична особа""
,
VLOO"&amp;"KUP(D12984,IMPORTRANGE(""https://docs.google.com/spreadsheets/d/14Bd19lYaqBhU8_DElYkX7l4wRkHqqCUFNJY4AfY3kHU/edit?usp=sharing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3" s="7" t="s">
        <v>10</v>
      </c>
      <c r="H12983" s="7">
        <v>18325</v>
      </c>
      <c r="I12983" s="8" t="str">
        <f ca="1">IFERROR(__xludf.DUMMYFUNCTION("IF
(
G12984=""фізична особа""
,
VLOOKUP(H12984,IMPORTRANGE(""https://docs.google.com/spreadsheets/d/14Bd19lYaqBhU8_DElYkX7l4wRkHqqCUFNJY4AfY3kHU/edit?usp=sharing  #gid=0"",""фіз особи new!relations_name""),6,FALSE)
,
(IF
(
G12984=""юридична особа""
,
VLOO"&amp;"KUP(H12984,IMPORTRANGE(""https://docs.google.com/spreadsheets/d/14Bd19lYaqBhU8_DElYkX7l4wRkHqqCUFNJY4AfY3kHU/edit?usp=sharing  #gid=0"",""фіз особи new!relations_name_uo""),7,FALSE)
,
)
))"),"КОКАРЕВ Ілля Юрійович")</f>
        <v>КОКАРЕВ Ілля Юрійович</v>
      </c>
      <c r="J12983" s="7" t="s">
        <v>23</v>
      </c>
    </row>
    <row r="12984" spans="1:10" ht="13.2">
      <c r="A12984" s="7">
        <v>12983</v>
      </c>
      <c r="B12984" s="7">
        <v>1</v>
      </c>
      <c r="C12984" s="7" t="s">
        <v>10</v>
      </c>
      <c r="D12984" s="7">
        <v>18330</v>
      </c>
      <c r="E12984" s="7" t="s">
        <v>23</v>
      </c>
      <c r="F12984" s="8" t="str">
        <f ca="1">IFERROR(__xludf.DUMMYFUNCTION("IF
(
C12985=""фізична особа""
,
VLOOKUP(D12985,IMPORTRANGE(""https://docs.google.com/spreadsheets/d/14Bd19lYaqBhU8_DElYkX7l4wRkHqqCUFNJY4AfY3kHU/edit?usp=sharing  #gid=0"",""фіз особи new!relations_name""),6,FALSE)
,
(IF
(
C12985=""юридична особа""
,
VLOO"&amp;"KUP(D12985,IMPORTRANGE(""https://docs.google.com/spreadsheets/d/14Bd19lYaqBhU8_DElYkX7l4wRkHqqCUFNJY4AfY3kHU/edit?usp=sharing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4" s="7" t="s">
        <v>10</v>
      </c>
      <c r="H12984" s="7">
        <v>18326</v>
      </c>
      <c r="I12984" s="8" t="str">
        <f ca="1">IFERROR(__xludf.DUMMYFUNCTION("IF
(
G12985=""фізична особа""
,
VLOOKUP(H12985,IMPORTRANGE(""https://docs.google.com/spreadsheets/d/14Bd19lYaqBhU8_DElYkX7l4wRkHqqCUFNJY4AfY3kHU/edit?usp=sharing  #gid=0"",""фіз особи new!relations_name""),6,FALSE)
,
(IF
(
G12985=""юридична особа""
,
VLOO"&amp;"KUP(H12985,IMPORTRANGE(""https://docs.google.com/spreadsheets/d/14Bd19lYaqBhU8_DElYkX7l4wRkHqqCUFNJY4AfY3kHU/edit?usp=sharing  #gid=0"",""фіз особи new!relations_name_uo""),7,FALSE)
,
)
))"),"ПУСТОВАЛОВ Олександр Вадимович")</f>
        <v>ПУСТОВАЛОВ Олександр Вадимович</v>
      </c>
      <c r="J12984" s="7" t="s">
        <v>23</v>
      </c>
    </row>
    <row r="12985" spans="1:10" ht="13.2">
      <c r="A12985" s="7">
        <v>12984</v>
      </c>
      <c r="B12985" s="7">
        <v>1</v>
      </c>
      <c r="C12985" s="7" t="s">
        <v>10</v>
      </c>
      <c r="D12985" s="7">
        <v>18330</v>
      </c>
      <c r="E12985" s="7" t="s">
        <v>23</v>
      </c>
      <c r="F12985" s="8" t="str">
        <f ca="1">IFERROR(__xludf.DUMMYFUNCTION("IF
(
C12986=""фізична особа""
,
VLOOKUP(D12986,IMPORTRANGE(""https://docs.google.com/spreadsheets/d/14Bd19lYaqBhU8_DElYkX7l4wRkHqqCUFNJY4AfY3kHU/edit?usp=sharing  #gid=0"",""фіз особи new!relations_name""),6,FALSE)
,
(IF
(
C12986=""юридична особа""
,
VLOO"&amp;"KUP(D12986,IMPORTRANGE(""https://docs.google.com/spreadsheets/d/14Bd19lYaqBhU8_DElYkX7l4wRkHqqCUFNJY4AfY3kHU/edit?usp=sharing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5" s="7" t="s">
        <v>10</v>
      </c>
      <c r="H12985" s="7">
        <v>18327</v>
      </c>
      <c r="I12985" s="8" t="str">
        <f ca="1">IFERROR(__xludf.DUMMYFUNCTION("IF
(
G12986=""фізична особа""
,
VLOOKUP(H12986,IMPORTRANGE(""https://docs.google.com/spreadsheets/d/14Bd19lYaqBhU8_DElYkX7l4wRkHqqCUFNJY4AfY3kHU/edit?usp=sharing  #gid=0"",""фіз особи new!relations_name""),6,FALSE)
,
(IF
(
G12986=""юридична особа""
,
VLOO"&amp;"KUP(H12986,IMPORTRANGE(""https://docs.google.com/spreadsheets/d/14Bd19lYaqBhU8_DElYkX7l4wRkHqqCUFNJY4AfY3kHU/edit?usp=sharing  #gid=0"",""фіз особи new!relations_name_uo""),7,FALSE)
,
)
))"),"ЧЕРНЯГА Інна Василівна")</f>
        <v>ЧЕРНЯГА Інна Василівна</v>
      </c>
      <c r="J12985" s="7" t="s">
        <v>23</v>
      </c>
    </row>
    <row r="12986" spans="1:10" ht="13.2">
      <c r="A12986" s="7">
        <v>12985</v>
      </c>
      <c r="B12986" s="7">
        <v>1</v>
      </c>
      <c r="C12986" s="7" t="s">
        <v>10</v>
      </c>
      <c r="D12986" s="7">
        <v>18330</v>
      </c>
      <c r="E12986" s="7" t="s">
        <v>23</v>
      </c>
      <c r="F12986" s="8" t="str">
        <f ca="1">IFERROR(__xludf.DUMMYFUNCTION("IF
(
C12987=""фізична особа""
,
VLOOKUP(D12987,IMPORTRANGE(""https://docs.google.com/spreadsheets/d/14Bd19lYaqBhU8_DElYkX7l4wRkHqqCUFNJY4AfY3kHU/edit?usp=sharing  #gid=0"",""фіз особи new!relations_name""),6,FALSE)
,
(IF
(
C12987=""юридична особа""
,
VLOO"&amp;"KUP(D12987,IMPORTRANGE(""https://docs.google.com/spreadsheets/d/14Bd19lYaqBhU8_DElYkX7l4wRkHqqCUFNJY4AfY3kHU/edit?usp=sharing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6" s="7" t="s">
        <v>10</v>
      </c>
      <c r="H12986" s="7">
        <v>18328</v>
      </c>
      <c r="I12986" s="8" t="str">
        <f ca="1">IFERROR(__xludf.DUMMYFUNCTION("IF
(
G12987=""фізична особа""
,
VLOOKUP(H12987,IMPORTRANGE(""https://docs.google.com/spreadsheets/d/14Bd19lYaqBhU8_DElYkX7l4wRkHqqCUFNJY4AfY3kHU/edit?usp=sharing  #gid=0"",""фіз особи new!relations_name""),6,FALSE)
,
(IF
(
G12987=""юридична особа""
,
VLOO"&amp;"KUP(H12987,IMPORTRANGE(""https://docs.google.com/spreadsheets/d/14Bd19lYaqBhU8_DElYkX7l4wRkHqqCUFNJY4AfY3kHU/edit?usp=sharing  #gid=0"",""фіз особи new!relations_name_uo""),7,FALSE)
,
)
))"),"ЛЕЙТІС Ігор Михайлович")</f>
        <v>ЛЕЙТІС Ігор Михайлович</v>
      </c>
      <c r="J12986" s="7" t="s">
        <v>23</v>
      </c>
    </row>
    <row r="12987" spans="1:10" ht="13.2">
      <c r="A12987" s="7">
        <v>12986</v>
      </c>
      <c r="B12987" s="7">
        <v>1</v>
      </c>
      <c r="C12987" s="7" t="s">
        <v>10</v>
      </c>
      <c r="D12987" s="7">
        <v>18330</v>
      </c>
      <c r="E12987" s="7" t="s">
        <v>23</v>
      </c>
      <c r="F12987" s="8" t="str">
        <f ca="1">IFERROR(__xludf.DUMMYFUNCTION("IF
(
C12988=""фізична особа""
,
VLOOKUP(D12988,IMPORTRANGE(""https://docs.google.com/spreadsheets/d/14Bd19lYaqBhU8_DElYkX7l4wRkHqqCUFNJY4AfY3kHU/edit?usp=sharing  #gid=0"",""фіз особи new!relations_name""),6,FALSE)
,
(IF
(
C12988=""юридична особа""
,
VLOO"&amp;"KUP(D12988,IMPORTRANGE(""https://docs.google.com/spreadsheets/d/14Bd19lYaqBhU8_DElYkX7l4wRkHqqCUFNJY4AfY3kHU/edit?usp=sharing  #gid=0"",""фіз особи new!relations_name_uo""),7,FALSE)
,
)
))"),"КОНОНОВ Віктор Едуардович")</f>
        <v>КОНОНОВ Віктор Едуардович</v>
      </c>
      <c r="G12987" s="7" t="s">
        <v>10</v>
      </c>
      <c r="H12987" s="7">
        <v>18329</v>
      </c>
      <c r="I12987" s="8" t="str">
        <f ca="1">IFERROR(__xludf.DUMMYFUNCTION("IF
(
G12988=""фізична особа""
,
VLOOKUP(H12988,IMPORTRANGE(""https://docs.google.com/spreadsheets/d/14Bd19lYaqBhU8_DElYkX7l4wRkHqqCUFNJY4AfY3kHU/edit?usp=sharing  #gid=0"",""фіз особи new!relations_name""),6,FALSE)
,
(IF
(
G12988=""юридична особа""
,
VLOO"&amp;"KUP(H12988,IMPORTRANGE(""https://docs.google.com/spreadsheets/d/14Bd19lYaqBhU8_DElYkX7l4wRkHqqCUFNJY4AfY3kHU/edit?usp=sharing  #gid=0"",""фіз особи new!relations_name_uo""),7,FALSE)
,
)
))"),"ЄГАНОВ Сергій Борисович")</f>
        <v>ЄГАНОВ Сергій Борисович</v>
      </c>
      <c r="J12987" s="7" t="s">
        <v>23</v>
      </c>
    </row>
    <row r="12988" spans="1:10" ht="13.2">
      <c r="A12988" s="7">
        <v>12987</v>
      </c>
      <c r="B12988" s="7">
        <v>1</v>
      </c>
      <c r="C12988" s="7" t="s">
        <v>10</v>
      </c>
      <c r="D12988" s="7">
        <v>18331</v>
      </c>
      <c r="E12988" s="7" t="s">
        <v>23</v>
      </c>
      <c r="F12988" s="8" t="str">
        <f ca="1">IFERROR(__xludf.DUMMYFUNCTION("IF
(
C12989=""фізична особа""
,
VLOOKUP(D12989,IMPORTRANGE(""https://docs.google.com/spreadsheets/d/14Bd19lYaqBhU8_DElYkX7l4wRkHqqCUFNJY4AfY3kHU/edit?usp=sharing  #gid=0"",""фіз особи new!relations_name""),6,FALSE)
,
(IF
(
C12989=""юридична особа""
,
VLOO"&amp;"KUP(D12989,IMPORTRANGE(""https://docs.google.com/spreadsheets/d/14Bd19lYaqBhU8_DElYkX7l4wRkHqqCUFNJY4AfY3kHU/edit?usp=sharing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88" s="7" t="s">
        <v>10</v>
      </c>
      <c r="H12988" s="7">
        <v>18332</v>
      </c>
      <c r="I12988" s="8" t="str">
        <f ca="1">IFERROR(__xludf.DUMMYFUNCTION("IF
(
G12989=""фізична особа""
,
VLOOKUP(H12989,IMPORTRANGE(""https://docs.google.com/spreadsheets/d/14Bd19lYaqBhU8_DElYkX7l4wRkHqqCUFNJY4AfY3kHU/edit?usp=sharing  #gid=0"",""фіз особи new!relations_name""),6,FALSE)
,
(IF
(
G12989=""юридична особа""
,
VLOO"&amp;"KUP(H12989,IMPORTRANGE(""https://docs.google.com/spreadsheets/d/14Bd19lYaqBhU8_DElYkX7l4wRkHqqCUFNJY4AfY3kHU/edit?usp=sharing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2988" s="7" t="s">
        <v>23</v>
      </c>
    </row>
    <row r="12989" spans="1:10" ht="13.2">
      <c r="A12989" s="7">
        <v>12988</v>
      </c>
      <c r="B12989" s="7">
        <v>1</v>
      </c>
      <c r="C12989" s="7" t="s">
        <v>10</v>
      </c>
      <c r="D12989" s="7">
        <v>18331</v>
      </c>
      <c r="E12989" s="7" t="s">
        <v>23</v>
      </c>
      <c r="F12989" s="8" t="str">
        <f ca="1">IFERROR(__xludf.DUMMYFUNCTION("IF
(
C12990=""фізична особа""
,
VLOOKUP(D12990,IMPORTRANGE(""https://docs.google.com/spreadsheets/d/14Bd19lYaqBhU8_DElYkX7l4wRkHqqCUFNJY4AfY3kHU/edit?usp=sharing  #gid=0"",""фіз особи new!relations_name""),6,FALSE)
,
(IF
(
C12990=""юридична особа""
,
VLOO"&amp;"KUP(D12990,IMPORTRANGE(""https://docs.google.com/spreadsheets/d/14Bd19lYaqBhU8_DElYkX7l4wRkHqqCUFNJY4AfY3kHU/edit?usp=sharing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89" s="7" t="s">
        <v>10</v>
      </c>
      <c r="H12989" s="7">
        <v>18333</v>
      </c>
      <c r="I12989" s="8" t="str">
        <f ca="1">IFERROR(__xludf.DUMMYFUNCTION("IF
(
G12990=""фізична особа""
,
VLOOKUP(H12990,IMPORTRANGE(""https://docs.google.com/spreadsheets/d/14Bd19lYaqBhU8_DElYkX7l4wRkHqqCUFNJY4AfY3kHU/edit?usp=sharing  #gid=0"",""фіз особи new!relations_name""),6,FALSE)
,
(IF
(
G12990=""юридична особа""
,
VLOO"&amp;"KUP(H12990,IMPORTRANGE(""https://docs.google.com/spreadsheets/d/14Bd19lYaqBhU8_DElYkX7l4wRkHqqCUFNJY4AfY3kHU/edit?usp=sharing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2989" s="7" t="s">
        <v>23</v>
      </c>
    </row>
    <row r="12990" spans="1:10" ht="13.2">
      <c r="A12990" s="7">
        <v>12989</v>
      </c>
      <c r="B12990" s="7">
        <v>1</v>
      </c>
      <c r="C12990" s="7" t="s">
        <v>10</v>
      </c>
      <c r="D12990" s="7">
        <v>18331</v>
      </c>
      <c r="E12990" s="7" t="s">
        <v>23</v>
      </c>
      <c r="F12990" s="8" t="str">
        <f ca="1">IFERROR(__xludf.DUMMYFUNCTION("IF
(
C12991=""фізична особа""
,
VLOOKUP(D12991,IMPORTRANGE(""https://docs.google.com/spreadsheets/d/14Bd19lYaqBhU8_DElYkX7l4wRkHqqCUFNJY4AfY3kHU/edit?usp=sharing  #gid=0"",""фіз особи new!relations_name""),6,FALSE)
,
(IF
(
C12991=""юридична особа""
,
VLOO"&amp;"KUP(D12991,IMPORTRANGE(""https://docs.google.com/spreadsheets/d/14Bd19lYaqBhU8_DElYkX7l4wRkHqqCUFNJY4AfY3kHU/edit?usp=sharing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90" s="7" t="s">
        <v>10</v>
      </c>
      <c r="H12990" s="7">
        <v>18334</v>
      </c>
      <c r="I12990" s="8" t="str">
        <f ca="1">IFERROR(__xludf.DUMMYFUNCTION("IF
(
G12991=""фізична особа""
,
VLOOKUP(H12991,IMPORTRANGE(""https://docs.google.com/spreadsheets/d/14Bd19lYaqBhU8_DElYkX7l4wRkHqqCUFNJY4AfY3kHU/edit?usp=sharing  #gid=0"",""фіз особи new!relations_name""),6,FALSE)
,
(IF
(
G12991=""юридична особа""
,
VLOO"&amp;"KUP(H12991,IMPORTRANGE(""https://docs.google.com/spreadsheets/d/14Bd19lYaqBhU8_DElYkX7l4wRkHqqCUFNJY4AfY3kHU/edit?usp=sharing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2990" s="7" t="s">
        <v>23</v>
      </c>
    </row>
    <row r="12991" spans="1:10" ht="13.2">
      <c r="A12991" s="7">
        <v>12990</v>
      </c>
      <c r="B12991" s="7">
        <v>1</v>
      </c>
      <c r="C12991" s="7" t="s">
        <v>10</v>
      </c>
      <c r="D12991" s="7">
        <v>18331</v>
      </c>
      <c r="E12991" s="7" t="s">
        <v>23</v>
      </c>
      <c r="F12991" s="8" t="str">
        <f ca="1">IFERROR(__xludf.DUMMYFUNCTION("IF
(
C12992=""фізична особа""
,
VLOOKUP(D12992,IMPORTRANGE(""https://docs.google.com/spreadsheets/d/14Bd19lYaqBhU8_DElYkX7l4wRkHqqCUFNJY4AfY3kHU/edit?usp=sharing  #gid=0"",""фіз особи new!relations_name""),6,FALSE)
,
(IF
(
C12992=""юридична особа""
,
VLOO"&amp;"KUP(D12992,IMPORTRANGE(""https://docs.google.com/spreadsheets/d/14Bd19lYaqBhU8_DElYkX7l4wRkHqqCUFNJY4AfY3kHU/edit?usp=sharing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91" s="7" t="s">
        <v>10</v>
      </c>
      <c r="H12991" s="7">
        <v>18335</v>
      </c>
      <c r="I12991" s="8" t="str">
        <f ca="1">IFERROR(__xludf.DUMMYFUNCTION("IF
(
G12992=""фізична особа""
,
VLOOKUP(H12992,IMPORTRANGE(""https://docs.google.com/spreadsheets/d/14Bd19lYaqBhU8_DElYkX7l4wRkHqqCUFNJY4AfY3kHU/edit?usp=sharing  #gid=0"",""фіз особи new!relations_name""),6,FALSE)
,
(IF
(
G12992=""юридична особа""
,
VLOO"&amp;"KUP(H12992,IMPORTRANGE(""https://docs.google.com/spreadsheets/d/14Bd19lYaqBhU8_DElYkX7l4wRkHqqCUFNJY4AfY3kHU/edit?usp=sharing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2991" s="7" t="s">
        <v>23</v>
      </c>
    </row>
    <row r="12992" spans="1:10" ht="13.2">
      <c r="A12992" s="7">
        <v>12991</v>
      </c>
      <c r="B12992" s="7">
        <v>1</v>
      </c>
      <c r="C12992" s="7" t="s">
        <v>10</v>
      </c>
      <c r="D12992" s="7">
        <v>18331</v>
      </c>
      <c r="E12992" s="7" t="s">
        <v>23</v>
      </c>
      <c r="F12992" s="8" t="str">
        <f ca="1">IFERROR(__xludf.DUMMYFUNCTION("IF
(
C12993=""фізична особа""
,
VLOOKUP(D12993,IMPORTRANGE(""https://docs.google.com/spreadsheets/d/14Bd19lYaqBhU8_DElYkX7l4wRkHqqCUFNJY4AfY3kHU/edit?usp=sharing  #gid=0"",""фіз особи new!relations_name""),6,FALSE)
,
(IF
(
C12993=""юридична особа""
,
VLOO"&amp;"KUP(D12993,IMPORTRANGE(""https://docs.google.com/spreadsheets/d/14Bd19lYaqBhU8_DElYkX7l4wRkHqqCUFNJY4AfY3kHU/edit?usp=sharing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92" s="7" t="s">
        <v>10</v>
      </c>
      <c r="H12992" s="7">
        <v>18336</v>
      </c>
      <c r="I12992" s="8" t="str">
        <f ca="1">IFERROR(__xludf.DUMMYFUNCTION("IF
(
G12993=""фізична особа""
,
VLOOKUP(H12993,IMPORTRANGE(""https://docs.google.com/spreadsheets/d/14Bd19lYaqBhU8_DElYkX7l4wRkHqqCUFNJY4AfY3kHU/edit?usp=sharing  #gid=0"",""фіз особи new!relations_name""),6,FALSE)
,
(IF
(
G12993=""юридична особа""
,
VLOO"&amp;"KUP(H12993,IMPORTRANGE(""https://docs.google.com/spreadsheets/d/14Bd19lYaqBhU8_DElYkX7l4wRkHqqCUFNJY4AfY3kHU/edit?usp=sharing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2992" s="7" t="s">
        <v>23</v>
      </c>
    </row>
    <row r="12993" spans="1:10" ht="13.2">
      <c r="A12993" s="7">
        <v>12992</v>
      </c>
      <c r="B12993" s="7">
        <v>1</v>
      </c>
      <c r="C12993" s="7" t="s">
        <v>10</v>
      </c>
      <c r="D12993" s="7">
        <v>18331</v>
      </c>
      <c r="E12993" s="7" t="s">
        <v>23</v>
      </c>
      <c r="F12993" s="8" t="str">
        <f ca="1">IFERROR(__xludf.DUMMYFUNCTION("IF
(
C12994=""фізична особа""
,
VLOOKUP(D12994,IMPORTRANGE(""https://docs.google.com/spreadsheets/d/14Bd19lYaqBhU8_DElYkX7l4wRkHqqCUFNJY4AfY3kHU/edit?usp=sharing  #gid=0"",""фіз особи new!relations_name""),6,FALSE)
,
(IF
(
C12994=""юридична особа""
,
VLOO"&amp;"KUP(D12994,IMPORTRANGE(""https://docs.google.com/spreadsheets/d/14Bd19lYaqBhU8_DElYkX7l4wRkHqqCUFNJY4AfY3kHU/edit?usp=sharing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93" s="7" t="s">
        <v>10</v>
      </c>
      <c r="H12993" s="7">
        <v>18337</v>
      </c>
      <c r="I12993" s="8" t="str">
        <f ca="1">IFERROR(__xludf.DUMMYFUNCTION("IF
(
G12994=""фізична особа""
,
VLOOKUP(H12994,IMPORTRANGE(""https://docs.google.com/spreadsheets/d/14Bd19lYaqBhU8_DElYkX7l4wRkHqqCUFNJY4AfY3kHU/edit?usp=sharing  #gid=0"",""фіз особи new!relations_name""),6,FALSE)
,
(IF
(
G12994=""юридична особа""
,
VLOO"&amp;"KUP(H12994,IMPORTRANGE(""https://docs.google.com/spreadsheets/d/14Bd19lYaqBhU8_DElYkX7l4wRkHqqCUFNJY4AfY3kHU/edit?usp=sharing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2993" s="7" t="s">
        <v>23</v>
      </c>
    </row>
    <row r="12994" spans="1:10" ht="13.2">
      <c r="A12994" s="7">
        <v>12993</v>
      </c>
      <c r="B12994" s="7">
        <v>1</v>
      </c>
      <c r="C12994" s="7" t="s">
        <v>10</v>
      </c>
      <c r="D12994" s="7">
        <v>18331</v>
      </c>
      <c r="E12994" s="7" t="s">
        <v>23</v>
      </c>
      <c r="F12994" s="8" t="str">
        <f ca="1">IFERROR(__xludf.DUMMYFUNCTION("IF
(
C12995=""фізична особа""
,
VLOOKUP(D12995,IMPORTRANGE(""https://docs.google.com/spreadsheets/d/14Bd19lYaqBhU8_DElYkX7l4wRkHqqCUFNJY4AfY3kHU/edit?usp=sharing  #gid=0"",""фіз особи new!relations_name""),6,FALSE)
,
(IF
(
C12995=""юридична особа""
,
VLOO"&amp;"KUP(D12995,IMPORTRANGE(""https://docs.google.com/spreadsheets/d/14Bd19lYaqBhU8_DElYkX7l4wRkHqqCUFNJY4AfY3kHU/edit?usp=sharing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G12994" s="7" t="s">
        <v>10</v>
      </c>
      <c r="H12994" s="7">
        <v>18338</v>
      </c>
      <c r="I12994" s="8" t="str">
        <f ca="1">IFERROR(__xludf.DUMMYFUNCTION("IF
(
G12995=""фізична особа""
,
VLOOKUP(H12995,IMPORTRANGE(""https://docs.google.com/spreadsheets/d/14Bd19lYaqBhU8_DElYkX7l4wRkHqqCUFNJY4AfY3kHU/edit?usp=sharing  #gid=0"",""фіз особи new!relations_name""),6,FALSE)
,
(IF
(
G12995=""юридична особа""
,
VLOO"&amp;"KUP(H12995,IMPORTRANGE(""https://docs.google.com/spreadsheets/d/14Bd19lYaqBhU8_DElYkX7l4wRkHqqCUFNJY4AfY3kHU/edit?usp=sharing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2994" s="7" t="s">
        <v>23</v>
      </c>
    </row>
    <row r="12995" spans="1:10" ht="13.2">
      <c r="A12995" s="7">
        <v>12994</v>
      </c>
      <c r="B12995" s="7">
        <v>1</v>
      </c>
      <c r="C12995" s="7" t="s">
        <v>10</v>
      </c>
      <c r="D12995" s="7">
        <v>18332</v>
      </c>
      <c r="E12995" s="7" t="s">
        <v>23</v>
      </c>
      <c r="F12995" s="8" t="str">
        <f ca="1">IFERROR(__xludf.DUMMYFUNCTION("IF
(
C12996=""фізична особа""
,
VLOOKUP(D12996,IMPORTRANGE(""https://docs.google.com/spreadsheets/d/14Bd19lYaqBhU8_DElYkX7l4wRkHqqCUFNJY4AfY3kHU/edit?usp=sharing  #gid=0"",""фіз особи new!relations_name""),6,FALSE)
,
(IF
(
C12996=""юридична особа""
,
VLOO"&amp;"KUP(D12996,IMPORTRANGE(""https://docs.google.com/spreadsheets/d/14Bd19lYaqBhU8_DElYkX7l4wRkHqqCUFNJY4AfY3kHU/edit?usp=sharing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2995" s="7" t="s">
        <v>10</v>
      </c>
      <c r="H12995" s="7">
        <v>18331</v>
      </c>
      <c r="I12995" s="8" t="str">
        <f ca="1">IFERROR(__xludf.DUMMYFUNCTION("IF
(
G12996=""фізична особа""
,
VLOOKUP(H12996,IMPORTRANGE(""https://docs.google.com/spreadsheets/d/14Bd19lYaqBhU8_DElYkX7l4wRkHqqCUFNJY4AfY3kHU/edit?usp=sharing  #gid=0"",""фіз особи new!relations_name""),6,FALSE)
,
(IF
(
G12996=""юридична особа""
,
VLOO"&amp;"KUP(H12996,IMPORTRANGE(""https://docs.google.com/spreadsheets/d/14Bd19lYaqBhU8_DElYkX7l4wRkHqqCUFNJY4AfY3kHU/edit?usp=sharing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2995" s="7" t="s">
        <v>23</v>
      </c>
    </row>
    <row r="12996" spans="1:10" ht="13.2">
      <c r="A12996" s="7">
        <v>12995</v>
      </c>
      <c r="B12996" s="7">
        <v>1</v>
      </c>
      <c r="C12996" s="7" t="s">
        <v>10</v>
      </c>
      <c r="D12996" s="7">
        <v>18332</v>
      </c>
      <c r="E12996" s="7" t="s">
        <v>23</v>
      </c>
      <c r="F12996" s="8" t="str">
        <f ca="1">IFERROR(__xludf.DUMMYFUNCTION("IF
(
C12997=""фізична особа""
,
VLOOKUP(D12997,IMPORTRANGE(""https://docs.google.com/spreadsheets/d/14Bd19lYaqBhU8_DElYkX7l4wRkHqqCUFNJY4AfY3kHU/edit?usp=sharing  #gid=0"",""фіз особи new!relations_name""),6,FALSE)
,
(IF
(
C12997=""юридична особа""
,
VLOO"&amp;"KUP(D12997,IMPORTRANGE(""https://docs.google.com/spreadsheets/d/14Bd19lYaqBhU8_DElYkX7l4wRkHqqCUFNJY4AfY3kHU/edit?usp=sharing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2996" s="7" t="s">
        <v>10</v>
      </c>
      <c r="H12996" s="7">
        <v>18333</v>
      </c>
      <c r="I12996" s="8" t="str">
        <f ca="1">IFERROR(__xludf.DUMMYFUNCTION("IF
(
G12997=""фізична особа""
,
VLOOKUP(H12997,IMPORTRANGE(""https://docs.google.com/spreadsheets/d/14Bd19lYaqBhU8_DElYkX7l4wRkHqqCUFNJY4AfY3kHU/edit?usp=sharing  #gid=0"",""фіз особи new!relations_name""),6,FALSE)
,
(IF
(
G12997=""юридична особа""
,
VLOO"&amp;"KUP(H12997,IMPORTRANGE(""https://docs.google.com/spreadsheets/d/14Bd19lYaqBhU8_DElYkX7l4wRkHqqCUFNJY4AfY3kHU/edit?usp=sharing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2996" s="7" t="s">
        <v>23</v>
      </c>
    </row>
    <row r="12997" spans="1:10" ht="13.2">
      <c r="A12997" s="7">
        <v>12996</v>
      </c>
      <c r="B12997" s="7">
        <v>1</v>
      </c>
      <c r="C12997" s="7" t="s">
        <v>10</v>
      </c>
      <c r="D12997" s="7">
        <v>18332</v>
      </c>
      <c r="E12997" s="7" t="s">
        <v>23</v>
      </c>
      <c r="F12997" s="8" t="str">
        <f ca="1">IFERROR(__xludf.DUMMYFUNCTION("IF
(
C12998=""фізична особа""
,
VLOOKUP(D12998,IMPORTRANGE(""https://docs.google.com/spreadsheets/d/14Bd19lYaqBhU8_DElYkX7l4wRkHqqCUFNJY4AfY3kHU/edit?usp=sharing  #gid=0"",""фіз особи new!relations_name""),6,FALSE)
,
(IF
(
C12998=""юридична особа""
,
VLOO"&amp;"KUP(D12998,IMPORTRANGE(""https://docs.google.com/spreadsheets/d/14Bd19lYaqBhU8_DElYkX7l4wRkHqqCUFNJY4AfY3kHU/edit?usp=sharing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2997" s="7" t="s">
        <v>10</v>
      </c>
      <c r="H12997" s="7">
        <v>18334</v>
      </c>
      <c r="I12997" s="8" t="str">
        <f ca="1">IFERROR(__xludf.DUMMYFUNCTION("IF
(
G12998=""фізична особа""
,
VLOOKUP(H12998,IMPORTRANGE(""https://docs.google.com/spreadsheets/d/14Bd19lYaqBhU8_DElYkX7l4wRkHqqCUFNJY4AfY3kHU/edit?usp=sharing  #gid=0"",""фіз особи new!relations_name""),6,FALSE)
,
(IF
(
G12998=""юридична особа""
,
VLOO"&amp;"KUP(H12998,IMPORTRANGE(""https://docs.google.com/spreadsheets/d/14Bd19lYaqBhU8_DElYkX7l4wRkHqqCUFNJY4AfY3kHU/edit?usp=sharing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2997" s="7" t="s">
        <v>23</v>
      </c>
    </row>
    <row r="12998" spans="1:10" ht="13.2">
      <c r="A12998" s="7">
        <v>12997</v>
      </c>
      <c r="B12998" s="7">
        <v>1</v>
      </c>
      <c r="C12998" s="7" t="s">
        <v>10</v>
      </c>
      <c r="D12998" s="7">
        <v>18332</v>
      </c>
      <c r="E12998" s="7" t="s">
        <v>23</v>
      </c>
      <c r="F12998" s="8" t="str">
        <f ca="1">IFERROR(__xludf.DUMMYFUNCTION("IF
(
C12999=""фізична особа""
,
VLOOKUP(D12999,IMPORTRANGE(""https://docs.google.com/spreadsheets/d/14Bd19lYaqBhU8_DElYkX7l4wRkHqqCUFNJY4AfY3kHU/edit?usp=sharing  #gid=0"",""фіз особи new!relations_name""),6,FALSE)
,
(IF
(
C12999=""юридична особа""
,
VLOO"&amp;"KUP(D12999,IMPORTRANGE(""https://docs.google.com/spreadsheets/d/14Bd19lYaqBhU8_DElYkX7l4wRkHqqCUFNJY4AfY3kHU/edit?usp=sharing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2998" s="7" t="s">
        <v>10</v>
      </c>
      <c r="H12998" s="7">
        <v>18335</v>
      </c>
      <c r="I12998" s="8" t="str">
        <f ca="1">IFERROR(__xludf.DUMMYFUNCTION("IF
(
G12999=""фізична особа""
,
VLOOKUP(H12999,IMPORTRANGE(""https://docs.google.com/spreadsheets/d/14Bd19lYaqBhU8_DElYkX7l4wRkHqqCUFNJY4AfY3kHU/edit?usp=sharing  #gid=0"",""фіз особи new!relations_name""),6,FALSE)
,
(IF
(
G12999=""юридична особа""
,
VLOO"&amp;"KUP(H12999,IMPORTRANGE(""https://docs.google.com/spreadsheets/d/14Bd19lYaqBhU8_DElYkX7l4wRkHqqCUFNJY4AfY3kHU/edit?usp=sharing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2998" s="7" t="s">
        <v>23</v>
      </c>
    </row>
    <row r="12999" spans="1:10" ht="13.2">
      <c r="A12999" s="7">
        <v>12998</v>
      </c>
      <c r="B12999" s="7">
        <v>1</v>
      </c>
      <c r="C12999" s="7" t="s">
        <v>10</v>
      </c>
      <c r="D12999" s="7">
        <v>18332</v>
      </c>
      <c r="E12999" s="7" t="s">
        <v>23</v>
      </c>
      <c r="F12999" s="8" t="str">
        <f ca="1">IFERROR(__xludf.DUMMYFUNCTION("IF
(
C13000=""фізична особа""
,
VLOOKUP(D13000,IMPORTRANGE(""https://docs.google.com/spreadsheets/d/14Bd19lYaqBhU8_DElYkX7l4wRkHqqCUFNJY4AfY3kHU/edit?usp=sharing  #gid=0"",""фіз особи new!relations_name""),6,FALSE)
,
(IF
(
C13000=""юридична особа""
,
VLOO"&amp;"KUP(D13000,IMPORTRANGE(""https://docs.google.com/spreadsheets/d/14Bd19lYaqBhU8_DElYkX7l4wRkHqqCUFNJY4AfY3kHU/edit?usp=sharing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2999" s="7" t="s">
        <v>10</v>
      </c>
      <c r="H12999" s="7">
        <v>18336</v>
      </c>
      <c r="I12999" s="8" t="str">
        <f ca="1">IFERROR(__xludf.DUMMYFUNCTION("IF
(
G13000=""фізична особа""
,
VLOOKUP(H13000,IMPORTRANGE(""https://docs.google.com/spreadsheets/d/14Bd19lYaqBhU8_DElYkX7l4wRkHqqCUFNJY4AfY3kHU/edit?usp=sharing  #gid=0"",""фіз особи new!relations_name""),6,FALSE)
,
(IF
(
G13000=""юридична особа""
,
VLOO"&amp;"KUP(H13000,IMPORTRANGE(""https://docs.google.com/spreadsheets/d/14Bd19lYaqBhU8_DElYkX7l4wRkHqqCUFNJY4AfY3kHU/edit?usp=sharing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2999" s="7" t="s">
        <v>23</v>
      </c>
    </row>
    <row r="13000" spans="1:10" ht="13.2">
      <c r="A13000" s="7">
        <v>12999</v>
      </c>
      <c r="B13000" s="7">
        <v>1</v>
      </c>
      <c r="C13000" s="7" t="s">
        <v>10</v>
      </c>
      <c r="D13000" s="7">
        <v>18332</v>
      </c>
      <c r="E13000" s="7" t="s">
        <v>23</v>
      </c>
      <c r="F13000" s="8" t="str">
        <f ca="1">IFERROR(__xludf.DUMMYFUNCTION("IF
(
C13001=""фізична особа""
,
VLOOKUP(D13001,IMPORTRANGE(""https://docs.google.com/spreadsheets/d/14Bd19lYaqBhU8_DElYkX7l4wRkHqqCUFNJY4AfY3kHU/edit?usp=sharing  #gid=0"",""фіз особи new!relations_name""),6,FALSE)
,
(IF
(
C13001=""юридична особа""
,
VLOO"&amp;"KUP(D13001,IMPORTRANGE(""https://docs.google.com/spreadsheets/d/14Bd19lYaqBhU8_DElYkX7l4wRkHqqCUFNJY4AfY3kHU/edit?usp=sharing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3000" s="7" t="s">
        <v>10</v>
      </c>
      <c r="H13000" s="7">
        <v>18337</v>
      </c>
      <c r="I13000" s="8" t="str">
        <f ca="1">IFERROR(__xludf.DUMMYFUNCTION("IF
(
G13001=""фізична особа""
,
VLOOKUP(H13001,IMPORTRANGE(""https://docs.google.com/spreadsheets/d/14Bd19lYaqBhU8_DElYkX7l4wRkHqqCUFNJY4AfY3kHU/edit?usp=sharing  #gid=0"",""фіз особи new!relations_name""),6,FALSE)
,
(IF
(
G13001=""юридична особа""
,
VLOO"&amp;"KUP(H13001,IMPORTRANGE(""https://docs.google.com/spreadsheets/d/14Bd19lYaqBhU8_DElYkX7l4wRkHqqCUFNJY4AfY3kHU/edit?usp=sharing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00" s="7" t="s">
        <v>23</v>
      </c>
    </row>
    <row r="13001" spans="1:10" ht="13.2">
      <c r="A13001" s="7">
        <v>13000</v>
      </c>
      <c r="B13001" s="7">
        <v>1</v>
      </c>
      <c r="C13001" s="7" t="s">
        <v>10</v>
      </c>
      <c r="D13001" s="7">
        <v>18332</v>
      </c>
      <c r="E13001" s="7" t="s">
        <v>23</v>
      </c>
      <c r="F13001" s="8" t="str">
        <f ca="1">IFERROR(__xludf.DUMMYFUNCTION("IF
(
C13002=""фізична особа""
,
VLOOKUP(D13002,IMPORTRANGE(""https://docs.google.com/spreadsheets/d/14Bd19lYaqBhU8_DElYkX7l4wRkHqqCUFNJY4AfY3kHU/edit?usp=sharing  #gid=0"",""фіз особи new!relations_name""),6,FALSE)
,
(IF
(
C13002=""юридична особа""
,
VLOO"&amp;"KUP(D13002,IMPORTRANGE(""https://docs.google.com/spreadsheets/d/14Bd19lYaqBhU8_DElYkX7l4wRkHqqCUFNJY4AfY3kHU/edit?usp=sharing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G13001" s="7" t="s">
        <v>10</v>
      </c>
      <c r="H13001" s="7">
        <v>18338</v>
      </c>
      <c r="I13001" s="8" t="str">
        <f ca="1">IFERROR(__xludf.DUMMYFUNCTION("IF
(
G13002=""фізична особа""
,
VLOOKUP(H13002,IMPORTRANGE(""https://docs.google.com/spreadsheets/d/14Bd19lYaqBhU8_DElYkX7l4wRkHqqCUFNJY4AfY3kHU/edit?usp=sharing  #gid=0"",""фіз особи new!relations_name""),6,FALSE)
,
(IF
(
G13002=""юридична особа""
,
VLOO"&amp;"KUP(H13002,IMPORTRANGE(""https://docs.google.com/spreadsheets/d/14Bd19lYaqBhU8_DElYkX7l4wRkHqqCUFNJY4AfY3kHU/edit?usp=sharing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01" s="7" t="s">
        <v>23</v>
      </c>
    </row>
    <row r="13002" spans="1:10" ht="13.2">
      <c r="A13002" s="7">
        <v>13001</v>
      </c>
      <c r="B13002" s="7">
        <v>1</v>
      </c>
      <c r="C13002" s="7" t="s">
        <v>10</v>
      </c>
      <c r="D13002" s="7">
        <v>18333</v>
      </c>
      <c r="E13002" s="7" t="s">
        <v>23</v>
      </c>
      <c r="F13002" s="8" t="str">
        <f ca="1">IFERROR(__xludf.DUMMYFUNCTION("IF
(
C13003=""фізична особа""
,
VLOOKUP(D13003,IMPORTRANGE(""https://docs.google.com/spreadsheets/d/14Bd19lYaqBhU8_DElYkX7l4wRkHqqCUFNJY4AfY3kHU/edit?usp=sharing  #gid=0"",""фіз особи new!relations_name""),6,FALSE)
,
(IF
(
C13003=""юридична особа""
,
VLOO"&amp;"KUP(D13003,IMPORTRANGE(""https://docs.google.com/spreadsheets/d/14Bd19lYaqBhU8_DElYkX7l4wRkHqqCUFNJY4AfY3kHU/edit?usp=sharing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2" s="7" t="s">
        <v>10</v>
      </c>
      <c r="H13002" s="7">
        <v>18331</v>
      </c>
      <c r="I13002" s="8" t="str">
        <f ca="1">IFERROR(__xludf.DUMMYFUNCTION("IF
(
G13003=""фізична особа""
,
VLOOKUP(H13003,IMPORTRANGE(""https://docs.google.com/spreadsheets/d/14Bd19lYaqBhU8_DElYkX7l4wRkHqqCUFNJY4AfY3kHU/edit?usp=sharing  #gid=0"",""фіз особи new!relations_name""),6,FALSE)
,
(IF
(
G13003=""юридична особа""
,
VLOO"&amp;"KUP(H13003,IMPORTRANGE(""https://docs.google.com/spreadsheets/d/14Bd19lYaqBhU8_DElYkX7l4wRkHqqCUFNJY4AfY3kHU/edit?usp=sharing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02" s="7" t="s">
        <v>23</v>
      </c>
    </row>
    <row r="13003" spans="1:10" ht="13.2">
      <c r="A13003" s="7">
        <v>13002</v>
      </c>
      <c r="B13003" s="7">
        <v>1</v>
      </c>
      <c r="C13003" s="7" t="s">
        <v>10</v>
      </c>
      <c r="D13003" s="7">
        <v>18333</v>
      </c>
      <c r="E13003" s="7" t="s">
        <v>23</v>
      </c>
      <c r="F13003" s="8" t="str">
        <f ca="1">IFERROR(__xludf.DUMMYFUNCTION("IF
(
C13004=""фізична особа""
,
VLOOKUP(D13004,IMPORTRANGE(""https://docs.google.com/spreadsheets/d/14Bd19lYaqBhU8_DElYkX7l4wRkHqqCUFNJY4AfY3kHU/edit?usp=sharing  #gid=0"",""фіз особи new!relations_name""),6,FALSE)
,
(IF
(
C13004=""юридична особа""
,
VLOO"&amp;"KUP(D13004,IMPORTRANGE(""https://docs.google.com/spreadsheets/d/14Bd19lYaqBhU8_DElYkX7l4wRkHqqCUFNJY4AfY3kHU/edit?usp=sharing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3" s="7" t="s">
        <v>10</v>
      </c>
      <c r="H13003" s="7">
        <v>18332</v>
      </c>
      <c r="I13003" s="8" t="str">
        <f ca="1">IFERROR(__xludf.DUMMYFUNCTION("IF
(
G13004=""фізична особа""
,
VLOOKUP(H13004,IMPORTRANGE(""https://docs.google.com/spreadsheets/d/14Bd19lYaqBhU8_DElYkX7l4wRkHqqCUFNJY4AfY3kHU/edit?usp=sharing  #gid=0"",""фіз особи new!relations_name""),6,FALSE)
,
(IF
(
G13004=""юридична особа""
,
VLOO"&amp;"KUP(H13004,IMPORTRANGE(""https://docs.google.com/spreadsheets/d/14Bd19lYaqBhU8_DElYkX7l4wRkHqqCUFNJY4AfY3kHU/edit?usp=sharing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03" s="7" t="s">
        <v>23</v>
      </c>
    </row>
    <row r="13004" spans="1:10" ht="13.2">
      <c r="A13004" s="7">
        <v>13003</v>
      </c>
      <c r="B13004" s="7">
        <v>1</v>
      </c>
      <c r="C13004" s="7" t="s">
        <v>10</v>
      </c>
      <c r="D13004" s="7">
        <v>18333</v>
      </c>
      <c r="E13004" s="7" t="s">
        <v>23</v>
      </c>
      <c r="F13004" s="8" t="str">
        <f ca="1">IFERROR(__xludf.DUMMYFUNCTION("IF
(
C13005=""фізична особа""
,
VLOOKUP(D13005,IMPORTRANGE(""https://docs.google.com/spreadsheets/d/14Bd19lYaqBhU8_DElYkX7l4wRkHqqCUFNJY4AfY3kHU/edit?usp=sharing  #gid=0"",""фіз особи new!relations_name""),6,FALSE)
,
(IF
(
C13005=""юридична особа""
,
VLOO"&amp;"KUP(D13005,IMPORTRANGE(""https://docs.google.com/spreadsheets/d/14Bd19lYaqBhU8_DElYkX7l4wRkHqqCUFNJY4AfY3kHU/edit?usp=sharing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4" s="7" t="s">
        <v>10</v>
      </c>
      <c r="H13004" s="7">
        <v>18334</v>
      </c>
      <c r="I13004" s="8" t="str">
        <f ca="1">IFERROR(__xludf.DUMMYFUNCTION("IF
(
G13005=""фізична особа""
,
VLOOKUP(H13005,IMPORTRANGE(""https://docs.google.com/spreadsheets/d/14Bd19lYaqBhU8_DElYkX7l4wRkHqqCUFNJY4AfY3kHU/edit?usp=sharing  #gid=0"",""фіз особи new!relations_name""),6,FALSE)
,
(IF
(
G13005=""юридична особа""
,
VLOO"&amp;"KUP(H13005,IMPORTRANGE(""https://docs.google.com/spreadsheets/d/14Bd19lYaqBhU8_DElYkX7l4wRkHqqCUFNJY4AfY3kHU/edit?usp=sharing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3004" s="7" t="s">
        <v>23</v>
      </c>
    </row>
    <row r="13005" spans="1:10" ht="13.2">
      <c r="A13005" s="7">
        <v>13004</v>
      </c>
      <c r="B13005" s="7">
        <v>1</v>
      </c>
      <c r="C13005" s="7" t="s">
        <v>10</v>
      </c>
      <c r="D13005" s="7">
        <v>18333</v>
      </c>
      <c r="E13005" s="7" t="s">
        <v>23</v>
      </c>
      <c r="F13005" s="8" t="str">
        <f ca="1">IFERROR(__xludf.DUMMYFUNCTION("IF
(
C13006=""фізична особа""
,
VLOOKUP(D13006,IMPORTRANGE(""https://docs.google.com/spreadsheets/d/14Bd19lYaqBhU8_DElYkX7l4wRkHqqCUFNJY4AfY3kHU/edit?usp=sharing  #gid=0"",""фіз особи new!relations_name""),6,FALSE)
,
(IF
(
C13006=""юридична особа""
,
VLOO"&amp;"KUP(D13006,IMPORTRANGE(""https://docs.google.com/spreadsheets/d/14Bd19lYaqBhU8_DElYkX7l4wRkHqqCUFNJY4AfY3kHU/edit?usp=sharing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5" s="7" t="s">
        <v>10</v>
      </c>
      <c r="H13005" s="7">
        <v>18335</v>
      </c>
      <c r="I13005" s="8" t="str">
        <f ca="1">IFERROR(__xludf.DUMMYFUNCTION("IF
(
G13006=""фізична особа""
,
VLOOKUP(H13006,IMPORTRANGE(""https://docs.google.com/spreadsheets/d/14Bd19lYaqBhU8_DElYkX7l4wRkHqqCUFNJY4AfY3kHU/edit?usp=sharing  #gid=0"",""фіз особи new!relations_name""),6,FALSE)
,
(IF
(
G13006=""юридична особа""
,
VLOO"&amp;"KUP(H13006,IMPORTRANGE(""https://docs.google.com/spreadsheets/d/14Bd19lYaqBhU8_DElYkX7l4wRkHqqCUFNJY4AfY3kHU/edit?usp=sharing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3005" s="7" t="s">
        <v>23</v>
      </c>
    </row>
    <row r="13006" spans="1:10" ht="13.2">
      <c r="A13006" s="7">
        <v>13005</v>
      </c>
      <c r="B13006" s="7">
        <v>1</v>
      </c>
      <c r="C13006" s="7" t="s">
        <v>10</v>
      </c>
      <c r="D13006" s="7">
        <v>18333</v>
      </c>
      <c r="E13006" s="7" t="s">
        <v>23</v>
      </c>
      <c r="F13006" s="8" t="str">
        <f ca="1">IFERROR(__xludf.DUMMYFUNCTION("IF
(
C13007=""фізична особа""
,
VLOOKUP(D13007,IMPORTRANGE(""https://docs.google.com/spreadsheets/d/14Bd19lYaqBhU8_DElYkX7l4wRkHqqCUFNJY4AfY3kHU/edit?usp=sharing  #gid=0"",""фіз особи new!relations_name""),6,FALSE)
,
(IF
(
C13007=""юридична особа""
,
VLOO"&amp;"KUP(D13007,IMPORTRANGE(""https://docs.google.com/spreadsheets/d/14Bd19lYaqBhU8_DElYkX7l4wRkHqqCUFNJY4AfY3kHU/edit?usp=sharing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6" s="7" t="s">
        <v>10</v>
      </c>
      <c r="H13006" s="7">
        <v>18336</v>
      </c>
      <c r="I13006" s="8" t="str">
        <f ca="1">IFERROR(__xludf.DUMMYFUNCTION("IF
(
G13007=""фізична особа""
,
VLOOKUP(H13007,IMPORTRANGE(""https://docs.google.com/spreadsheets/d/14Bd19lYaqBhU8_DElYkX7l4wRkHqqCUFNJY4AfY3kHU/edit?usp=sharing  #gid=0"",""фіз особи new!relations_name""),6,FALSE)
,
(IF
(
G13007=""юридична особа""
,
VLOO"&amp;"KUP(H13007,IMPORTRANGE(""https://docs.google.com/spreadsheets/d/14Bd19lYaqBhU8_DElYkX7l4wRkHqqCUFNJY4AfY3kHU/edit?usp=sharing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3006" s="7" t="s">
        <v>23</v>
      </c>
    </row>
    <row r="13007" spans="1:10" ht="13.2">
      <c r="A13007" s="7">
        <v>13006</v>
      </c>
      <c r="B13007" s="7">
        <v>1</v>
      </c>
      <c r="C13007" s="7" t="s">
        <v>10</v>
      </c>
      <c r="D13007" s="7">
        <v>18333</v>
      </c>
      <c r="E13007" s="7" t="s">
        <v>23</v>
      </c>
      <c r="F13007" s="8" t="str">
        <f ca="1">IFERROR(__xludf.DUMMYFUNCTION("IF
(
C13008=""фізична особа""
,
VLOOKUP(D13008,IMPORTRANGE(""https://docs.google.com/spreadsheets/d/14Bd19lYaqBhU8_DElYkX7l4wRkHqqCUFNJY4AfY3kHU/edit?usp=sharing  #gid=0"",""фіз особи new!relations_name""),6,FALSE)
,
(IF
(
C13008=""юридична особа""
,
VLOO"&amp;"KUP(D13008,IMPORTRANGE(""https://docs.google.com/spreadsheets/d/14Bd19lYaqBhU8_DElYkX7l4wRkHqqCUFNJY4AfY3kHU/edit?usp=sharing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7" s="7" t="s">
        <v>10</v>
      </c>
      <c r="H13007" s="7">
        <v>18337</v>
      </c>
      <c r="I13007" s="8" t="str">
        <f ca="1">IFERROR(__xludf.DUMMYFUNCTION("IF
(
G13008=""фізична особа""
,
VLOOKUP(H13008,IMPORTRANGE(""https://docs.google.com/spreadsheets/d/14Bd19lYaqBhU8_DElYkX7l4wRkHqqCUFNJY4AfY3kHU/edit?usp=sharing  #gid=0"",""фіз особи new!relations_name""),6,FALSE)
,
(IF
(
G13008=""юридична особа""
,
VLOO"&amp;"KUP(H13008,IMPORTRANGE(""https://docs.google.com/spreadsheets/d/14Bd19lYaqBhU8_DElYkX7l4wRkHqqCUFNJY4AfY3kHU/edit?usp=sharing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07" s="7" t="s">
        <v>23</v>
      </c>
    </row>
    <row r="13008" spans="1:10" ht="13.2">
      <c r="A13008" s="7">
        <v>13007</v>
      </c>
      <c r="B13008" s="7">
        <v>1</v>
      </c>
      <c r="C13008" s="7" t="s">
        <v>10</v>
      </c>
      <c r="D13008" s="7">
        <v>18333</v>
      </c>
      <c r="E13008" s="7" t="s">
        <v>23</v>
      </c>
      <c r="F13008" s="8" t="str">
        <f ca="1">IFERROR(__xludf.DUMMYFUNCTION("IF
(
C13009=""фізична особа""
,
VLOOKUP(D13009,IMPORTRANGE(""https://docs.google.com/spreadsheets/d/14Bd19lYaqBhU8_DElYkX7l4wRkHqqCUFNJY4AfY3kHU/edit?usp=sharing  #gid=0"",""фіз особи new!relations_name""),6,FALSE)
,
(IF
(
C13009=""юридична особа""
,
VLOO"&amp;"KUP(D13009,IMPORTRANGE(""https://docs.google.com/spreadsheets/d/14Bd19lYaqBhU8_DElYkX7l4wRkHqqCUFNJY4AfY3kHU/edit?usp=sharing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G13008" s="7" t="s">
        <v>10</v>
      </c>
      <c r="H13008" s="7">
        <v>18338</v>
      </c>
      <c r="I13008" s="8" t="str">
        <f ca="1">IFERROR(__xludf.DUMMYFUNCTION("IF
(
G13009=""фізична особа""
,
VLOOKUP(H13009,IMPORTRANGE(""https://docs.google.com/spreadsheets/d/14Bd19lYaqBhU8_DElYkX7l4wRkHqqCUFNJY4AfY3kHU/edit?usp=sharing  #gid=0"",""фіз особи new!relations_name""),6,FALSE)
,
(IF
(
G13009=""юридична особа""
,
VLOO"&amp;"KUP(H13009,IMPORTRANGE(""https://docs.google.com/spreadsheets/d/14Bd19lYaqBhU8_DElYkX7l4wRkHqqCUFNJY4AfY3kHU/edit?usp=sharing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08" s="7" t="s">
        <v>23</v>
      </c>
    </row>
    <row r="13009" spans="1:10" ht="13.2">
      <c r="A13009" s="7">
        <v>13008</v>
      </c>
      <c r="B13009" s="7">
        <v>1</v>
      </c>
      <c r="C13009" s="7" t="s">
        <v>10</v>
      </c>
      <c r="D13009" s="7">
        <v>18334</v>
      </c>
      <c r="E13009" s="7" t="s">
        <v>23</v>
      </c>
      <c r="F13009" s="8" t="str">
        <f ca="1">IFERROR(__xludf.DUMMYFUNCTION("IF
(
C13010=""фізична особа""
,
VLOOKUP(D13010,IMPORTRANGE(""https://docs.google.com/spreadsheets/d/14Bd19lYaqBhU8_DElYkX7l4wRkHqqCUFNJY4AfY3kHU/edit?usp=sharing  #gid=0"",""фіз особи new!relations_name""),6,FALSE)
,
(IF
(
C13010=""юридична особа""
,
VLOO"&amp;"KUP(D13010,IMPORTRANGE(""https://docs.google.com/spreadsheets/d/14Bd19lYaqBhU8_DElYkX7l4wRkHqqCUFNJY4AfY3kHU/edit?usp=sharing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09" s="7" t="s">
        <v>10</v>
      </c>
      <c r="H13009" s="7">
        <v>18331</v>
      </c>
      <c r="I13009" s="8" t="str">
        <f ca="1">IFERROR(__xludf.DUMMYFUNCTION("IF
(
G13010=""фізична особа""
,
VLOOKUP(H13010,IMPORTRANGE(""https://docs.google.com/spreadsheets/d/14Bd19lYaqBhU8_DElYkX7l4wRkHqqCUFNJY4AfY3kHU/edit?usp=sharing  #gid=0"",""фіз особи new!relations_name""),6,FALSE)
,
(IF
(
G13010=""юридична особа""
,
VLOO"&amp;"KUP(H13010,IMPORTRANGE(""https://docs.google.com/spreadsheets/d/14Bd19lYaqBhU8_DElYkX7l4wRkHqqCUFNJY4AfY3kHU/edit?usp=sharing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09" s="7" t="s">
        <v>23</v>
      </c>
    </row>
    <row r="13010" spans="1:10" ht="13.2">
      <c r="A13010" s="7">
        <v>13009</v>
      </c>
      <c r="B13010" s="7">
        <v>1</v>
      </c>
      <c r="C13010" s="7" t="s">
        <v>10</v>
      </c>
      <c r="D13010" s="7">
        <v>18334</v>
      </c>
      <c r="E13010" s="7" t="s">
        <v>23</v>
      </c>
      <c r="F13010" s="8" t="str">
        <f ca="1">IFERROR(__xludf.DUMMYFUNCTION("IF
(
C13011=""фізична особа""
,
VLOOKUP(D13011,IMPORTRANGE(""https://docs.google.com/spreadsheets/d/14Bd19lYaqBhU8_DElYkX7l4wRkHqqCUFNJY4AfY3kHU/edit?usp=sharing  #gid=0"",""фіз особи new!relations_name""),6,FALSE)
,
(IF
(
C13011=""юридична особа""
,
VLOO"&amp;"KUP(D13011,IMPORTRANGE(""https://docs.google.com/spreadsheets/d/14Bd19lYaqBhU8_DElYkX7l4wRkHqqCUFNJY4AfY3kHU/edit?usp=sharing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0" s="7" t="s">
        <v>10</v>
      </c>
      <c r="H13010" s="7">
        <v>18332</v>
      </c>
      <c r="I13010" s="8" t="str">
        <f ca="1">IFERROR(__xludf.DUMMYFUNCTION("IF
(
G13011=""фізична особа""
,
VLOOKUP(H13011,IMPORTRANGE(""https://docs.google.com/spreadsheets/d/14Bd19lYaqBhU8_DElYkX7l4wRkHqqCUFNJY4AfY3kHU/edit?usp=sharing  #gid=0"",""фіз особи new!relations_name""),6,FALSE)
,
(IF
(
G13011=""юридична особа""
,
VLOO"&amp;"KUP(H13011,IMPORTRANGE(""https://docs.google.com/spreadsheets/d/14Bd19lYaqBhU8_DElYkX7l4wRkHqqCUFNJY4AfY3kHU/edit?usp=sharing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10" s="7" t="s">
        <v>23</v>
      </c>
    </row>
    <row r="13011" spans="1:10" ht="13.2">
      <c r="A13011" s="7">
        <v>13010</v>
      </c>
      <c r="B13011" s="7">
        <v>1</v>
      </c>
      <c r="C13011" s="7" t="s">
        <v>10</v>
      </c>
      <c r="D13011" s="7">
        <v>18334</v>
      </c>
      <c r="E13011" s="7" t="s">
        <v>23</v>
      </c>
      <c r="F13011" s="8" t="str">
        <f ca="1">IFERROR(__xludf.DUMMYFUNCTION("IF
(
C13012=""фізична особа""
,
VLOOKUP(D13012,IMPORTRANGE(""https://docs.google.com/spreadsheets/d/14Bd19lYaqBhU8_DElYkX7l4wRkHqqCUFNJY4AfY3kHU/edit?usp=sharing  #gid=0"",""фіз особи new!relations_name""),6,FALSE)
,
(IF
(
C13012=""юридична особа""
,
VLOO"&amp;"KUP(D13012,IMPORTRANGE(""https://docs.google.com/spreadsheets/d/14Bd19lYaqBhU8_DElYkX7l4wRkHqqCUFNJY4AfY3kHU/edit?usp=sharing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1" s="7" t="s">
        <v>10</v>
      </c>
      <c r="H13011" s="7">
        <v>18333</v>
      </c>
      <c r="I13011" s="8" t="str">
        <f ca="1">IFERROR(__xludf.DUMMYFUNCTION("IF
(
G13012=""фізична особа""
,
VLOOKUP(H13012,IMPORTRANGE(""https://docs.google.com/spreadsheets/d/14Bd19lYaqBhU8_DElYkX7l4wRkHqqCUFNJY4AfY3kHU/edit?usp=sharing  #gid=0"",""фіз особи new!relations_name""),6,FALSE)
,
(IF
(
G13012=""юридична особа""
,
VLOO"&amp;"KUP(H13012,IMPORTRANGE(""https://docs.google.com/spreadsheets/d/14Bd19lYaqBhU8_DElYkX7l4wRkHqqCUFNJY4AfY3kHU/edit?usp=sharing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3011" s="7" t="s">
        <v>23</v>
      </c>
    </row>
    <row r="13012" spans="1:10" ht="13.2">
      <c r="A13012" s="7">
        <v>13011</v>
      </c>
      <c r="B13012" s="7">
        <v>1</v>
      </c>
      <c r="C13012" s="7" t="s">
        <v>10</v>
      </c>
      <c r="D13012" s="7">
        <v>18334</v>
      </c>
      <c r="E13012" s="7" t="s">
        <v>23</v>
      </c>
      <c r="F13012" s="8" t="str">
        <f ca="1">IFERROR(__xludf.DUMMYFUNCTION("IF
(
C13013=""фізична особа""
,
VLOOKUP(D13013,IMPORTRANGE(""https://docs.google.com/spreadsheets/d/14Bd19lYaqBhU8_DElYkX7l4wRkHqqCUFNJY4AfY3kHU/edit?usp=sharing  #gid=0"",""фіз особи new!relations_name""),6,FALSE)
,
(IF
(
C13013=""юридична особа""
,
VLOO"&amp;"KUP(D13013,IMPORTRANGE(""https://docs.google.com/spreadsheets/d/14Bd19lYaqBhU8_DElYkX7l4wRkHqqCUFNJY4AfY3kHU/edit?usp=sharing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2" s="7" t="s">
        <v>10</v>
      </c>
      <c r="H13012" s="7">
        <v>18335</v>
      </c>
      <c r="I13012" s="8" t="str">
        <f ca="1">IFERROR(__xludf.DUMMYFUNCTION("IF
(
G13013=""фізична особа""
,
VLOOKUP(H13013,IMPORTRANGE(""https://docs.google.com/spreadsheets/d/14Bd19lYaqBhU8_DElYkX7l4wRkHqqCUFNJY4AfY3kHU/edit?usp=sharing  #gid=0"",""фіз особи new!relations_name""),6,FALSE)
,
(IF
(
G13013=""юридична особа""
,
VLOO"&amp;"KUP(H13013,IMPORTRANGE(""https://docs.google.com/spreadsheets/d/14Bd19lYaqBhU8_DElYkX7l4wRkHqqCUFNJY4AfY3kHU/edit?usp=sharing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3012" s="7" t="s">
        <v>23</v>
      </c>
    </row>
    <row r="13013" spans="1:10" ht="13.2">
      <c r="A13013" s="7">
        <v>13012</v>
      </c>
      <c r="B13013" s="7">
        <v>1</v>
      </c>
      <c r="C13013" s="7" t="s">
        <v>10</v>
      </c>
      <c r="D13013" s="7">
        <v>18334</v>
      </c>
      <c r="E13013" s="7" t="s">
        <v>23</v>
      </c>
      <c r="F13013" s="8" t="str">
        <f ca="1">IFERROR(__xludf.DUMMYFUNCTION("IF
(
C13014=""фізична особа""
,
VLOOKUP(D13014,IMPORTRANGE(""https://docs.google.com/spreadsheets/d/14Bd19lYaqBhU8_DElYkX7l4wRkHqqCUFNJY4AfY3kHU/edit?usp=sharing  #gid=0"",""фіз особи new!relations_name""),6,FALSE)
,
(IF
(
C13014=""юридична особа""
,
VLOO"&amp;"KUP(D13014,IMPORTRANGE(""https://docs.google.com/spreadsheets/d/14Bd19lYaqBhU8_DElYkX7l4wRkHqqCUFNJY4AfY3kHU/edit?usp=sharing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3" s="7" t="s">
        <v>10</v>
      </c>
      <c r="H13013" s="7">
        <v>18336</v>
      </c>
      <c r="I13013" s="8" t="str">
        <f ca="1">IFERROR(__xludf.DUMMYFUNCTION("IF
(
G13014=""фізична особа""
,
VLOOKUP(H13014,IMPORTRANGE(""https://docs.google.com/spreadsheets/d/14Bd19lYaqBhU8_DElYkX7l4wRkHqqCUFNJY4AfY3kHU/edit?usp=sharing  #gid=0"",""фіз особи new!relations_name""),6,FALSE)
,
(IF
(
G13014=""юридична особа""
,
VLOO"&amp;"KUP(H13014,IMPORTRANGE(""https://docs.google.com/spreadsheets/d/14Bd19lYaqBhU8_DElYkX7l4wRkHqqCUFNJY4AfY3kHU/edit?usp=sharing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3013" s="7" t="s">
        <v>23</v>
      </c>
    </row>
    <row r="13014" spans="1:10" ht="13.2">
      <c r="A13014" s="7">
        <v>13013</v>
      </c>
      <c r="B13014" s="7">
        <v>1</v>
      </c>
      <c r="C13014" s="7" t="s">
        <v>10</v>
      </c>
      <c r="D13014" s="7">
        <v>18334</v>
      </c>
      <c r="E13014" s="7" t="s">
        <v>23</v>
      </c>
      <c r="F13014" s="8" t="str">
        <f ca="1">IFERROR(__xludf.DUMMYFUNCTION("IF
(
C13015=""фізична особа""
,
VLOOKUP(D13015,IMPORTRANGE(""https://docs.google.com/spreadsheets/d/14Bd19lYaqBhU8_DElYkX7l4wRkHqqCUFNJY4AfY3kHU/edit?usp=sharing  #gid=0"",""фіз особи new!relations_name""),6,FALSE)
,
(IF
(
C13015=""юридична особа""
,
VLOO"&amp;"KUP(D13015,IMPORTRANGE(""https://docs.google.com/spreadsheets/d/14Bd19lYaqBhU8_DElYkX7l4wRkHqqCUFNJY4AfY3kHU/edit?usp=sharing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4" s="7" t="s">
        <v>10</v>
      </c>
      <c r="H13014" s="7">
        <v>18337</v>
      </c>
      <c r="I13014" s="8" t="str">
        <f ca="1">IFERROR(__xludf.DUMMYFUNCTION("IF
(
G13015=""фізична особа""
,
VLOOKUP(H13015,IMPORTRANGE(""https://docs.google.com/spreadsheets/d/14Bd19lYaqBhU8_DElYkX7l4wRkHqqCUFNJY4AfY3kHU/edit?usp=sharing  #gid=0"",""фіз особи new!relations_name""),6,FALSE)
,
(IF
(
G13015=""юридична особа""
,
VLOO"&amp;"KUP(H13015,IMPORTRANGE(""https://docs.google.com/spreadsheets/d/14Bd19lYaqBhU8_DElYkX7l4wRkHqqCUFNJY4AfY3kHU/edit?usp=sharing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14" s="7" t="s">
        <v>23</v>
      </c>
    </row>
    <row r="13015" spans="1:10" ht="13.2">
      <c r="A13015" s="7">
        <v>13014</v>
      </c>
      <c r="B13015" s="7">
        <v>1</v>
      </c>
      <c r="C13015" s="7" t="s">
        <v>10</v>
      </c>
      <c r="D13015" s="7">
        <v>18334</v>
      </c>
      <c r="E13015" s="7" t="s">
        <v>23</v>
      </c>
      <c r="F13015" s="8" t="str">
        <f ca="1">IFERROR(__xludf.DUMMYFUNCTION("IF
(
C13016=""фізична особа""
,
VLOOKUP(D13016,IMPORTRANGE(""https://docs.google.com/spreadsheets/d/14Bd19lYaqBhU8_DElYkX7l4wRkHqqCUFNJY4AfY3kHU/edit?usp=sharing  #gid=0"",""фіз особи new!relations_name""),6,FALSE)
,
(IF
(
C13016=""юридична особа""
,
VLOO"&amp;"KUP(D13016,IMPORTRANGE(""https://docs.google.com/spreadsheets/d/14Bd19lYaqBhU8_DElYkX7l4wRkHqqCUFNJY4AfY3kHU/edit?usp=sharing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G13015" s="7" t="s">
        <v>10</v>
      </c>
      <c r="H13015" s="7">
        <v>18338</v>
      </c>
      <c r="I13015" s="8" t="str">
        <f ca="1">IFERROR(__xludf.DUMMYFUNCTION("IF
(
G13016=""фізична особа""
,
VLOOKUP(H13016,IMPORTRANGE(""https://docs.google.com/spreadsheets/d/14Bd19lYaqBhU8_DElYkX7l4wRkHqqCUFNJY4AfY3kHU/edit?usp=sharing  #gid=0"",""фіз особи new!relations_name""),6,FALSE)
,
(IF
(
G13016=""юридична особа""
,
VLOO"&amp;"KUP(H13016,IMPORTRANGE(""https://docs.google.com/spreadsheets/d/14Bd19lYaqBhU8_DElYkX7l4wRkHqqCUFNJY4AfY3kHU/edit?usp=sharing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15" s="7" t="s">
        <v>23</v>
      </c>
    </row>
    <row r="13016" spans="1:10" ht="13.2">
      <c r="A13016" s="7">
        <v>13015</v>
      </c>
      <c r="B13016" s="7">
        <v>1</v>
      </c>
      <c r="C13016" s="7" t="s">
        <v>10</v>
      </c>
      <c r="D13016" s="7">
        <v>18335</v>
      </c>
      <c r="E13016" s="7" t="s">
        <v>23</v>
      </c>
      <c r="F13016" s="8" t="str">
        <f ca="1">IFERROR(__xludf.DUMMYFUNCTION("IF
(
C13017=""фізична особа""
,
VLOOKUP(D13017,IMPORTRANGE(""https://docs.google.com/spreadsheets/d/14Bd19lYaqBhU8_DElYkX7l4wRkHqqCUFNJY4AfY3kHU/edit?usp=sharing  #gid=0"",""фіз особи new!relations_name""),6,FALSE)
,
(IF
(
C13017=""юридична особа""
,
VLOO"&amp;"KUP(D13017,IMPORTRANGE(""https://docs.google.com/spreadsheets/d/14Bd19lYaqBhU8_DElYkX7l4wRkHqqCUFNJY4AfY3kHU/edit?usp=sharing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16" s="7" t="s">
        <v>10</v>
      </c>
      <c r="H13016" s="7">
        <v>18331</v>
      </c>
      <c r="I13016" s="8" t="str">
        <f ca="1">IFERROR(__xludf.DUMMYFUNCTION("IF
(
G13017=""фізична особа""
,
VLOOKUP(H13017,IMPORTRANGE(""https://docs.google.com/spreadsheets/d/14Bd19lYaqBhU8_DElYkX7l4wRkHqqCUFNJY4AfY3kHU/edit?usp=sharing  #gid=0"",""фіз особи new!relations_name""),6,FALSE)
,
(IF
(
G13017=""юридична особа""
,
VLOO"&amp;"KUP(H13017,IMPORTRANGE(""https://docs.google.com/spreadsheets/d/14Bd19lYaqBhU8_DElYkX7l4wRkHqqCUFNJY4AfY3kHU/edit?usp=sharing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16" s="7" t="s">
        <v>23</v>
      </c>
    </row>
    <row r="13017" spans="1:10" ht="13.2">
      <c r="A13017" s="7">
        <v>13016</v>
      </c>
      <c r="B13017" s="7">
        <v>1</v>
      </c>
      <c r="C13017" s="7" t="s">
        <v>10</v>
      </c>
      <c r="D13017" s="7">
        <v>18335</v>
      </c>
      <c r="E13017" s="7" t="s">
        <v>23</v>
      </c>
      <c r="F13017" s="8" t="str">
        <f ca="1">IFERROR(__xludf.DUMMYFUNCTION("IF
(
C13018=""фізична особа""
,
VLOOKUP(D13018,IMPORTRANGE(""https://docs.google.com/spreadsheets/d/14Bd19lYaqBhU8_DElYkX7l4wRkHqqCUFNJY4AfY3kHU/edit?usp=sharing  #gid=0"",""фіз особи new!relations_name""),6,FALSE)
,
(IF
(
C13018=""юридична особа""
,
VLOO"&amp;"KUP(D13018,IMPORTRANGE(""https://docs.google.com/spreadsheets/d/14Bd19lYaqBhU8_DElYkX7l4wRkHqqCUFNJY4AfY3kHU/edit?usp=sharing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17" s="7" t="s">
        <v>10</v>
      </c>
      <c r="H13017" s="7">
        <v>18332</v>
      </c>
      <c r="I13017" s="8" t="str">
        <f ca="1">IFERROR(__xludf.DUMMYFUNCTION("IF
(
G13018=""фізична особа""
,
VLOOKUP(H13018,IMPORTRANGE(""https://docs.google.com/spreadsheets/d/14Bd19lYaqBhU8_DElYkX7l4wRkHqqCUFNJY4AfY3kHU/edit?usp=sharing  #gid=0"",""фіз особи new!relations_name""),6,FALSE)
,
(IF
(
G13018=""юридична особа""
,
VLOO"&amp;"KUP(H13018,IMPORTRANGE(""https://docs.google.com/spreadsheets/d/14Bd19lYaqBhU8_DElYkX7l4wRkHqqCUFNJY4AfY3kHU/edit?usp=sharing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17" s="7" t="s">
        <v>23</v>
      </c>
    </row>
    <row r="13018" spans="1:10" ht="13.2">
      <c r="A13018" s="7">
        <v>13017</v>
      </c>
      <c r="B13018" s="7">
        <v>1</v>
      </c>
      <c r="C13018" s="7" t="s">
        <v>10</v>
      </c>
      <c r="D13018" s="7">
        <v>18335</v>
      </c>
      <c r="E13018" s="7" t="s">
        <v>23</v>
      </c>
      <c r="F13018" s="8" t="str">
        <f ca="1">IFERROR(__xludf.DUMMYFUNCTION("IF
(
C13019=""фізична особа""
,
VLOOKUP(D13019,IMPORTRANGE(""https://docs.google.com/spreadsheets/d/14Bd19lYaqBhU8_DElYkX7l4wRkHqqCUFNJY4AfY3kHU/edit?usp=sharing  #gid=0"",""фіз особи new!relations_name""),6,FALSE)
,
(IF
(
C13019=""юридична особа""
,
VLOO"&amp;"KUP(D13019,IMPORTRANGE(""https://docs.google.com/spreadsheets/d/14Bd19lYaqBhU8_DElYkX7l4wRkHqqCUFNJY4AfY3kHU/edit?usp=sharing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18" s="7" t="s">
        <v>10</v>
      </c>
      <c r="H13018" s="7">
        <v>18333</v>
      </c>
      <c r="I13018" s="8" t="str">
        <f ca="1">IFERROR(__xludf.DUMMYFUNCTION("IF
(
G13019=""фізична особа""
,
VLOOKUP(H13019,IMPORTRANGE(""https://docs.google.com/spreadsheets/d/14Bd19lYaqBhU8_DElYkX7l4wRkHqqCUFNJY4AfY3kHU/edit?usp=sharing  #gid=0"",""фіз особи new!relations_name""),6,FALSE)
,
(IF
(
G13019=""юридична особа""
,
VLOO"&amp;"KUP(H13019,IMPORTRANGE(""https://docs.google.com/spreadsheets/d/14Bd19lYaqBhU8_DElYkX7l4wRkHqqCUFNJY4AfY3kHU/edit?usp=sharing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3018" s="7" t="s">
        <v>23</v>
      </c>
    </row>
    <row r="13019" spans="1:10" ht="13.2">
      <c r="A13019" s="7">
        <v>13018</v>
      </c>
      <c r="B13019" s="7">
        <v>1</v>
      </c>
      <c r="C13019" s="7" t="s">
        <v>10</v>
      </c>
      <c r="D13019" s="7">
        <v>18335</v>
      </c>
      <c r="E13019" s="7" t="s">
        <v>23</v>
      </c>
      <c r="F13019" s="8" t="str">
        <f ca="1">IFERROR(__xludf.DUMMYFUNCTION("IF
(
C13020=""фізична особа""
,
VLOOKUP(D13020,IMPORTRANGE(""https://docs.google.com/spreadsheets/d/14Bd19lYaqBhU8_DElYkX7l4wRkHqqCUFNJY4AfY3kHU/edit?usp=sharing  #gid=0"",""фіз особи new!relations_name""),6,FALSE)
,
(IF
(
C13020=""юридична особа""
,
VLOO"&amp;"KUP(D13020,IMPORTRANGE(""https://docs.google.com/spreadsheets/d/14Bd19lYaqBhU8_DElYkX7l4wRkHqqCUFNJY4AfY3kHU/edit?usp=sharing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19" s="7" t="s">
        <v>10</v>
      </c>
      <c r="H13019" s="7">
        <v>18334</v>
      </c>
      <c r="I13019" s="8" t="str">
        <f ca="1">IFERROR(__xludf.DUMMYFUNCTION("IF
(
G13020=""фізична особа""
,
VLOOKUP(H13020,IMPORTRANGE(""https://docs.google.com/spreadsheets/d/14Bd19lYaqBhU8_DElYkX7l4wRkHqqCUFNJY4AfY3kHU/edit?usp=sharing  #gid=0"",""фіз особи new!relations_name""),6,FALSE)
,
(IF
(
G13020=""юридична особа""
,
VLOO"&amp;"KUP(H13020,IMPORTRANGE(""https://docs.google.com/spreadsheets/d/14Bd19lYaqBhU8_DElYkX7l4wRkHqqCUFNJY4AfY3kHU/edit?usp=sharing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3019" s="7" t="s">
        <v>23</v>
      </c>
    </row>
    <row r="13020" spans="1:10" ht="13.2">
      <c r="A13020" s="7">
        <v>13019</v>
      </c>
      <c r="B13020" s="7">
        <v>1</v>
      </c>
      <c r="C13020" s="7" t="s">
        <v>10</v>
      </c>
      <c r="D13020" s="7">
        <v>18335</v>
      </c>
      <c r="E13020" s="7" t="s">
        <v>23</v>
      </c>
      <c r="F13020" s="8" t="str">
        <f ca="1">IFERROR(__xludf.DUMMYFUNCTION("IF
(
C13021=""фізична особа""
,
VLOOKUP(D13021,IMPORTRANGE(""https://docs.google.com/spreadsheets/d/14Bd19lYaqBhU8_DElYkX7l4wRkHqqCUFNJY4AfY3kHU/edit?usp=sharing  #gid=0"",""фіз особи new!relations_name""),6,FALSE)
,
(IF
(
C13021=""юридична особа""
,
VLOO"&amp;"KUP(D13021,IMPORTRANGE(""https://docs.google.com/spreadsheets/d/14Bd19lYaqBhU8_DElYkX7l4wRkHqqCUFNJY4AfY3kHU/edit?usp=sharing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20" s="7" t="s">
        <v>10</v>
      </c>
      <c r="H13020" s="7">
        <v>18336</v>
      </c>
      <c r="I13020" s="8" t="str">
        <f ca="1">IFERROR(__xludf.DUMMYFUNCTION("IF
(
G13021=""фізична особа""
,
VLOOKUP(H13021,IMPORTRANGE(""https://docs.google.com/spreadsheets/d/14Bd19lYaqBhU8_DElYkX7l4wRkHqqCUFNJY4AfY3kHU/edit?usp=sharing  #gid=0"",""фіз особи new!relations_name""),6,FALSE)
,
(IF
(
G13021=""юридична особа""
,
VLOO"&amp;"KUP(H13021,IMPORTRANGE(""https://docs.google.com/spreadsheets/d/14Bd19lYaqBhU8_DElYkX7l4wRkHqqCUFNJY4AfY3kHU/edit?usp=sharing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3020" s="7" t="s">
        <v>23</v>
      </c>
    </row>
    <row r="13021" spans="1:10" ht="13.2">
      <c r="A13021" s="7">
        <v>13020</v>
      </c>
      <c r="B13021" s="7">
        <v>1</v>
      </c>
      <c r="C13021" s="7" t="s">
        <v>10</v>
      </c>
      <c r="D13021" s="7">
        <v>18335</v>
      </c>
      <c r="E13021" s="7" t="s">
        <v>23</v>
      </c>
      <c r="F13021" s="8" t="str">
        <f ca="1">IFERROR(__xludf.DUMMYFUNCTION("IF
(
C13022=""фізична особа""
,
VLOOKUP(D13022,IMPORTRANGE(""https://docs.google.com/spreadsheets/d/14Bd19lYaqBhU8_DElYkX7l4wRkHqqCUFNJY4AfY3kHU/edit?usp=sharing  #gid=0"",""фіз особи new!relations_name""),6,FALSE)
,
(IF
(
C13022=""юридична особа""
,
VLOO"&amp;"KUP(D13022,IMPORTRANGE(""https://docs.google.com/spreadsheets/d/14Bd19lYaqBhU8_DElYkX7l4wRkHqqCUFNJY4AfY3kHU/edit?usp=sharing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21" s="7" t="s">
        <v>10</v>
      </c>
      <c r="H13021" s="7">
        <v>18337</v>
      </c>
      <c r="I13021" s="8" t="str">
        <f ca="1">IFERROR(__xludf.DUMMYFUNCTION("IF
(
G13022=""фізична особа""
,
VLOOKUP(H13022,IMPORTRANGE(""https://docs.google.com/spreadsheets/d/14Bd19lYaqBhU8_DElYkX7l4wRkHqqCUFNJY4AfY3kHU/edit?usp=sharing  #gid=0"",""фіз особи new!relations_name""),6,FALSE)
,
(IF
(
G13022=""юридична особа""
,
VLOO"&amp;"KUP(H13022,IMPORTRANGE(""https://docs.google.com/spreadsheets/d/14Bd19lYaqBhU8_DElYkX7l4wRkHqqCUFNJY4AfY3kHU/edit?usp=sharing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21" s="7" t="s">
        <v>23</v>
      </c>
    </row>
    <row r="13022" spans="1:10" ht="13.2">
      <c r="A13022" s="7">
        <v>13021</v>
      </c>
      <c r="B13022" s="7">
        <v>1</v>
      </c>
      <c r="C13022" s="7" t="s">
        <v>10</v>
      </c>
      <c r="D13022" s="7">
        <v>18335</v>
      </c>
      <c r="E13022" s="7" t="s">
        <v>23</v>
      </c>
      <c r="F13022" s="8" t="str">
        <f ca="1">IFERROR(__xludf.DUMMYFUNCTION("IF
(
C13023=""фізична особа""
,
VLOOKUP(D13023,IMPORTRANGE(""https://docs.google.com/spreadsheets/d/14Bd19lYaqBhU8_DElYkX7l4wRkHqqCUFNJY4AfY3kHU/edit?usp=sharing  #gid=0"",""фіз особи new!relations_name""),6,FALSE)
,
(IF
(
C13023=""юридична особа""
,
VLOO"&amp;"KUP(D13023,IMPORTRANGE(""https://docs.google.com/spreadsheets/d/14Bd19lYaqBhU8_DElYkX7l4wRkHqqCUFNJY4AfY3kHU/edit?usp=sharing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G13022" s="7" t="s">
        <v>10</v>
      </c>
      <c r="H13022" s="7">
        <v>18338</v>
      </c>
      <c r="I13022" s="8" t="str">
        <f ca="1">IFERROR(__xludf.DUMMYFUNCTION("IF
(
G13023=""фізична особа""
,
VLOOKUP(H13023,IMPORTRANGE(""https://docs.google.com/spreadsheets/d/14Bd19lYaqBhU8_DElYkX7l4wRkHqqCUFNJY4AfY3kHU/edit?usp=sharing  #gid=0"",""фіз особи new!relations_name""),6,FALSE)
,
(IF
(
G13023=""юридична особа""
,
VLOO"&amp;"KUP(H13023,IMPORTRANGE(""https://docs.google.com/spreadsheets/d/14Bd19lYaqBhU8_DElYkX7l4wRkHqqCUFNJY4AfY3kHU/edit?usp=sharing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22" s="7" t="s">
        <v>23</v>
      </c>
    </row>
    <row r="13023" spans="1:10" ht="13.2">
      <c r="A13023" s="7">
        <v>13022</v>
      </c>
      <c r="B13023" s="7">
        <v>1</v>
      </c>
      <c r="C13023" s="7" t="s">
        <v>10</v>
      </c>
      <c r="D13023" s="7">
        <v>18336</v>
      </c>
      <c r="E13023" s="7" t="s">
        <v>23</v>
      </c>
      <c r="F13023" s="8" t="str">
        <f ca="1">IFERROR(__xludf.DUMMYFUNCTION("IF
(
C13024=""фізична особа""
,
VLOOKUP(D13024,IMPORTRANGE(""https://docs.google.com/spreadsheets/d/14Bd19lYaqBhU8_DElYkX7l4wRkHqqCUFNJY4AfY3kHU/edit?usp=sharing  #gid=0"",""фіз особи new!relations_name""),6,FALSE)
,
(IF
(
C13024=""юридична особа""
,
VLOO"&amp;"KUP(D13024,IMPORTRANGE(""https://docs.google.com/spreadsheets/d/14Bd19lYaqBhU8_DElYkX7l4wRkHqqCUFNJY4AfY3kHU/edit?usp=sharing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3" s="7" t="s">
        <v>10</v>
      </c>
      <c r="H13023" s="7">
        <v>18331</v>
      </c>
      <c r="I13023" s="8" t="str">
        <f ca="1">IFERROR(__xludf.DUMMYFUNCTION("IF
(
G13024=""фізична особа""
,
VLOOKUP(H13024,IMPORTRANGE(""https://docs.google.com/spreadsheets/d/14Bd19lYaqBhU8_DElYkX7l4wRkHqqCUFNJY4AfY3kHU/edit?usp=sharing  #gid=0"",""фіз особи new!relations_name""),6,FALSE)
,
(IF
(
G13024=""юридична особа""
,
VLOO"&amp;"KUP(H13024,IMPORTRANGE(""https://docs.google.com/spreadsheets/d/14Bd19lYaqBhU8_DElYkX7l4wRkHqqCUFNJY4AfY3kHU/edit?usp=sharing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23" s="7" t="s">
        <v>23</v>
      </c>
    </row>
    <row r="13024" spans="1:10" ht="13.2">
      <c r="A13024" s="7">
        <v>13023</v>
      </c>
      <c r="B13024" s="7">
        <v>1</v>
      </c>
      <c r="C13024" s="7" t="s">
        <v>10</v>
      </c>
      <c r="D13024" s="7">
        <v>18336</v>
      </c>
      <c r="E13024" s="7" t="s">
        <v>23</v>
      </c>
      <c r="F13024" s="8" t="str">
        <f ca="1">IFERROR(__xludf.DUMMYFUNCTION("IF
(
C13025=""фізична особа""
,
VLOOKUP(D13025,IMPORTRANGE(""https://docs.google.com/spreadsheets/d/14Bd19lYaqBhU8_DElYkX7l4wRkHqqCUFNJY4AfY3kHU/edit?usp=sharing  #gid=0"",""фіз особи new!relations_name""),6,FALSE)
,
(IF
(
C13025=""юридична особа""
,
VLOO"&amp;"KUP(D13025,IMPORTRANGE(""https://docs.google.com/spreadsheets/d/14Bd19lYaqBhU8_DElYkX7l4wRkHqqCUFNJY4AfY3kHU/edit?usp=sharing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4" s="7" t="s">
        <v>10</v>
      </c>
      <c r="H13024" s="7">
        <v>18332</v>
      </c>
      <c r="I13024" s="8" t="str">
        <f ca="1">IFERROR(__xludf.DUMMYFUNCTION("IF
(
G13025=""фізична особа""
,
VLOOKUP(H13025,IMPORTRANGE(""https://docs.google.com/spreadsheets/d/14Bd19lYaqBhU8_DElYkX7l4wRkHqqCUFNJY4AfY3kHU/edit?usp=sharing  #gid=0"",""фіз особи new!relations_name""),6,FALSE)
,
(IF
(
G13025=""юридична особа""
,
VLOO"&amp;"KUP(H13025,IMPORTRANGE(""https://docs.google.com/spreadsheets/d/14Bd19lYaqBhU8_DElYkX7l4wRkHqqCUFNJY4AfY3kHU/edit?usp=sharing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24" s="7" t="s">
        <v>23</v>
      </c>
    </row>
    <row r="13025" spans="1:10" ht="13.2">
      <c r="A13025" s="7">
        <v>13024</v>
      </c>
      <c r="B13025" s="7">
        <v>1</v>
      </c>
      <c r="C13025" s="7" t="s">
        <v>10</v>
      </c>
      <c r="D13025" s="7">
        <v>18336</v>
      </c>
      <c r="E13025" s="7" t="s">
        <v>23</v>
      </c>
      <c r="F13025" s="8" t="str">
        <f ca="1">IFERROR(__xludf.DUMMYFUNCTION("IF
(
C13026=""фізична особа""
,
VLOOKUP(D13026,IMPORTRANGE(""https://docs.google.com/spreadsheets/d/14Bd19lYaqBhU8_DElYkX7l4wRkHqqCUFNJY4AfY3kHU/edit?usp=sharing  #gid=0"",""фіз особи new!relations_name""),6,FALSE)
,
(IF
(
C13026=""юридична особа""
,
VLOO"&amp;"KUP(D13026,IMPORTRANGE(""https://docs.google.com/spreadsheets/d/14Bd19lYaqBhU8_DElYkX7l4wRkHqqCUFNJY4AfY3kHU/edit?usp=sharing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5" s="7" t="s">
        <v>10</v>
      </c>
      <c r="H13025" s="7">
        <v>18333</v>
      </c>
      <c r="I13025" s="8" t="str">
        <f ca="1">IFERROR(__xludf.DUMMYFUNCTION("IF
(
G13026=""фізична особа""
,
VLOOKUP(H13026,IMPORTRANGE(""https://docs.google.com/spreadsheets/d/14Bd19lYaqBhU8_DElYkX7l4wRkHqqCUFNJY4AfY3kHU/edit?usp=sharing  #gid=0"",""фіз особи new!relations_name""),6,FALSE)
,
(IF
(
G13026=""юридична особа""
,
VLOO"&amp;"KUP(H13026,IMPORTRANGE(""https://docs.google.com/spreadsheets/d/14Bd19lYaqBhU8_DElYkX7l4wRkHqqCUFNJY4AfY3kHU/edit?usp=sharing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3025" s="7" t="s">
        <v>23</v>
      </c>
    </row>
    <row r="13026" spans="1:10" ht="13.2">
      <c r="A13026" s="7">
        <v>13025</v>
      </c>
      <c r="B13026" s="7">
        <v>1</v>
      </c>
      <c r="C13026" s="7" t="s">
        <v>10</v>
      </c>
      <c r="D13026" s="7">
        <v>18336</v>
      </c>
      <c r="E13026" s="7" t="s">
        <v>23</v>
      </c>
      <c r="F13026" s="8" t="str">
        <f ca="1">IFERROR(__xludf.DUMMYFUNCTION("IF
(
C13027=""фізична особа""
,
VLOOKUP(D13027,IMPORTRANGE(""https://docs.google.com/spreadsheets/d/14Bd19lYaqBhU8_DElYkX7l4wRkHqqCUFNJY4AfY3kHU/edit?usp=sharing  #gid=0"",""фіз особи new!relations_name""),6,FALSE)
,
(IF
(
C13027=""юридична особа""
,
VLOO"&amp;"KUP(D13027,IMPORTRANGE(""https://docs.google.com/spreadsheets/d/14Bd19lYaqBhU8_DElYkX7l4wRkHqqCUFNJY4AfY3kHU/edit?usp=sharing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6" s="7" t="s">
        <v>10</v>
      </c>
      <c r="H13026" s="7">
        <v>18334</v>
      </c>
      <c r="I13026" s="8" t="str">
        <f ca="1">IFERROR(__xludf.DUMMYFUNCTION("IF
(
G13027=""фізична особа""
,
VLOOKUP(H13027,IMPORTRANGE(""https://docs.google.com/spreadsheets/d/14Bd19lYaqBhU8_DElYkX7l4wRkHqqCUFNJY4AfY3kHU/edit?usp=sharing  #gid=0"",""фіз особи new!relations_name""),6,FALSE)
,
(IF
(
G13027=""юридична особа""
,
VLOO"&amp;"KUP(H13027,IMPORTRANGE(""https://docs.google.com/spreadsheets/d/14Bd19lYaqBhU8_DElYkX7l4wRkHqqCUFNJY4AfY3kHU/edit?usp=sharing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3026" s="7" t="s">
        <v>23</v>
      </c>
    </row>
    <row r="13027" spans="1:10" ht="13.2">
      <c r="A13027" s="7">
        <v>13026</v>
      </c>
      <c r="B13027" s="7">
        <v>1</v>
      </c>
      <c r="C13027" s="7" t="s">
        <v>10</v>
      </c>
      <c r="D13027" s="7">
        <v>18336</v>
      </c>
      <c r="E13027" s="7" t="s">
        <v>23</v>
      </c>
      <c r="F13027" s="8" t="str">
        <f ca="1">IFERROR(__xludf.DUMMYFUNCTION("IF
(
C13028=""фізична особа""
,
VLOOKUP(D13028,IMPORTRANGE(""https://docs.google.com/spreadsheets/d/14Bd19lYaqBhU8_DElYkX7l4wRkHqqCUFNJY4AfY3kHU/edit?usp=sharing  #gid=0"",""фіз особи new!relations_name""),6,FALSE)
,
(IF
(
C13028=""юридична особа""
,
VLOO"&amp;"KUP(D13028,IMPORTRANGE(""https://docs.google.com/spreadsheets/d/14Bd19lYaqBhU8_DElYkX7l4wRkHqqCUFNJY4AfY3kHU/edit?usp=sharing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7" s="7" t="s">
        <v>10</v>
      </c>
      <c r="H13027" s="7">
        <v>18335</v>
      </c>
      <c r="I13027" s="8" t="str">
        <f ca="1">IFERROR(__xludf.DUMMYFUNCTION("IF
(
G13028=""фізична особа""
,
VLOOKUP(H13028,IMPORTRANGE(""https://docs.google.com/spreadsheets/d/14Bd19lYaqBhU8_DElYkX7l4wRkHqqCUFNJY4AfY3kHU/edit?usp=sharing  #gid=0"",""фіз особи new!relations_name""),6,FALSE)
,
(IF
(
G13028=""юридична особа""
,
VLOO"&amp;"KUP(H13028,IMPORTRANGE(""https://docs.google.com/spreadsheets/d/14Bd19lYaqBhU8_DElYkX7l4wRkHqqCUFNJY4AfY3kHU/edit?usp=sharing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3027" s="7" t="s">
        <v>23</v>
      </c>
    </row>
    <row r="13028" spans="1:10" ht="13.2">
      <c r="A13028" s="7">
        <v>13027</v>
      </c>
      <c r="B13028" s="7">
        <v>1</v>
      </c>
      <c r="C13028" s="7" t="s">
        <v>10</v>
      </c>
      <c r="D13028" s="7">
        <v>18336</v>
      </c>
      <c r="E13028" s="7" t="s">
        <v>23</v>
      </c>
      <c r="F13028" s="8" t="str">
        <f ca="1">IFERROR(__xludf.DUMMYFUNCTION("IF
(
C13029=""фізична особа""
,
VLOOKUP(D13029,IMPORTRANGE(""https://docs.google.com/spreadsheets/d/14Bd19lYaqBhU8_DElYkX7l4wRkHqqCUFNJY4AfY3kHU/edit?usp=sharing  #gid=0"",""фіз особи new!relations_name""),6,FALSE)
,
(IF
(
C13029=""юридична особа""
,
VLOO"&amp;"KUP(D13029,IMPORTRANGE(""https://docs.google.com/spreadsheets/d/14Bd19lYaqBhU8_DElYkX7l4wRkHqqCUFNJY4AfY3kHU/edit?usp=sharing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8" s="7" t="s">
        <v>10</v>
      </c>
      <c r="H13028" s="7">
        <v>18337</v>
      </c>
      <c r="I13028" s="8" t="str">
        <f ca="1">IFERROR(__xludf.DUMMYFUNCTION("IF
(
G13029=""фізична особа""
,
VLOOKUP(H13029,IMPORTRANGE(""https://docs.google.com/spreadsheets/d/14Bd19lYaqBhU8_DElYkX7l4wRkHqqCUFNJY4AfY3kHU/edit?usp=sharing  #gid=0"",""фіз особи new!relations_name""),6,FALSE)
,
(IF
(
G13029=""юридична особа""
,
VLOO"&amp;"KUP(H13029,IMPORTRANGE(""https://docs.google.com/spreadsheets/d/14Bd19lYaqBhU8_DElYkX7l4wRkHqqCUFNJY4AfY3kHU/edit?usp=sharing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28" s="7" t="s">
        <v>23</v>
      </c>
    </row>
    <row r="13029" spans="1:10" ht="13.2">
      <c r="A13029" s="7">
        <v>13028</v>
      </c>
      <c r="B13029" s="7">
        <v>1</v>
      </c>
      <c r="C13029" s="7" t="s">
        <v>10</v>
      </c>
      <c r="D13029" s="7">
        <v>18336</v>
      </c>
      <c r="E13029" s="7" t="s">
        <v>23</v>
      </c>
      <c r="F13029" s="8" t="str">
        <f ca="1">IFERROR(__xludf.DUMMYFUNCTION("IF
(
C13030=""фізична особа""
,
VLOOKUP(D13030,IMPORTRANGE(""https://docs.google.com/spreadsheets/d/14Bd19lYaqBhU8_DElYkX7l4wRkHqqCUFNJY4AfY3kHU/edit?usp=sharing  #gid=0"",""фіз особи new!relations_name""),6,FALSE)
,
(IF
(
C13030=""юридична особа""
,
VLOO"&amp;"KUP(D13030,IMPORTRANGE(""https://docs.google.com/spreadsheets/d/14Bd19lYaqBhU8_DElYkX7l4wRkHqqCUFNJY4AfY3kHU/edit?usp=sharing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G13029" s="7" t="s">
        <v>10</v>
      </c>
      <c r="H13029" s="7">
        <v>18338</v>
      </c>
      <c r="I13029" s="8" t="str">
        <f ca="1">IFERROR(__xludf.DUMMYFUNCTION("IF
(
G13030=""фізична особа""
,
VLOOKUP(H13030,IMPORTRANGE(""https://docs.google.com/spreadsheets/d/14Bd19lYaqBhU8_DElYkX7l4wRkHqqCUFNJY4AfY3kHU/edit?usp=sharing  #gid=0"",""фіз особи new!relations_name""),6,FALSE)
,
(IF
(
G13030=""юридична особа""
,
VLOO"&amp;"KUP(H13030,IMPORTRANGE(""https://docs.google.com/spreadsheets/d/14Bd19lYaqBhU8_DElYkX7l4wRkHqqCUFNJY4AfY3kHU/edit?usp=sharing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29" s="7" t="s">
        <v>23</v>
      </c>
    </row>
    <row r="13030" spans="1:10" ht="13.2">
      <c r="A13030" s="7">
        <v>13029</v>
      </c>
      <c r="B13030" s="7">
        <v>1</v>
      </c>
      <c r="C13030" s="7" t="s">
        <v>10</v>
      </c>
      <c r="D13030" s="7">
        <v>18337</v>
      </c>
      <c r="E13030" s="7" t="s">
        <v>23</v>
      </c>
      <c r="F13030" s="8" t="str">
        <f ca="1">IFERROR(__xludf.DUMMYFUNCTION("IF
(
C13031=""фізична особа""
,
VLOOKUP(D13031,IMPORTRANGE(""https://docs.google.com/spreadsheets/d/14Bd19lYaqBhU8_DElYkX7l4wRkHqqCUFNJY4AfY3kHU/edit?usp=sharing  #gid=0"",""фіз особи new!relations_name""),6,FALSE)
,
(IF
(
C13031=""юридична особа""
,
VLOO"&amp;"KUP(D13031,IMPORTRANGE(""https://docs.google.com/spreadsheets/d/14Bd19lYaqBhU8_DElYkX7l4wRkHqqCUFNJY4AfY3kHU/edit?usp=sharing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0" s="7" t="s">
        <v>10</v>
      </c>
      <c r="H13030" s="7">
        <v>18331</v>
      </c>
      <c r="I13030" s="8" t="str">
        <f ca="1">IFERROR(__xludf.DUMMYFUNCTION("IF
(
G13031=""фізична особа""
,
VLOOKUP(H13031,IMPORTRANGE(""https://docs.google.com/spreadsheets/d/14Bd19lYaqBhU8_DElYkX7l4wRkHqqCUFNJY4AfY3kHU/edit?usp=sharing  #gid=0"",""фіз особи new!relations_name""),6,FALSE)
,
(IF
(
G13031=""юридична особа""
,
VLOO"&amp;"KUP(H13031,IMPORTRANGE(""https://docs.google.com/spreadsheets/d/14Bd19lYaqBhU8_DElYkX7l4wRkHqqCUFNJY4AfY3kHU/edit?usp=sharing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30" s="7" t="s">
        <v>23</v>
      </c>
    </row>
    <row r="13031" spans="1:10" ht="13.2">
      <c r="A13031" s="7">
        <v>13030</v>
      </c>
      <c r="B13031" s="7">
        <v>1</v>
      </c>
      <c r="C13031" s="7" t="s">
        <v>10</v>
      </c>
      <c r="D13031" s="7">
        <v>18337</v>
      </c>
      <c r="E13031" s="7" t="s">
        <v>23</v>
      </c>
      <c r="F13031" s="8" t="str">
        <f ca="1">IFERROR(__xludf.DUMMYFUNCTION("IF
(
C13032=""фізична особа""
,
VLOOKUP(D13032,IMPORTRANGE(""https://docs.google.com/spreadsheets/d/14Bd19lYaqBhU8_DElYkX7l4wRkHqqCUFNJY4AfY3kHU/edit?usp=sharing  #gid=0"",""фіз особи new!relations_name""),6,FALSE)
,
(IF
(
C13032=""юридична особа""
,
VLOO"&amp;"KUP(D13032,IMPORTRANGE(""https://docs.google.com/spreadsheets/d/14Bd19lYaqBhU8_DElYkX7l4wRkHqqCUFNJY4AfY3kHU/edit?usp=sharing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1" s="7" t="s">
        <v>10</v>
      </c>
      <c r="H13031" s="7">
        <v>18332</v>
      </c>
      <c r="I13031" s="8" t="str">
        <f ca="1">IFERROR(__xludf.DUMMYFUNCTION("IF
(
G13032=""фізична особа""
,
VLOOKUP(H13032,IMPORTRANGE(""https://docs.google.com/spreadsheets/d/14Bd19lYaqBhU8_DElYkX7l4wRkHqqCUFNJY4AfY3kHU/edit?usp=sharing  #gid=0"",""фіз особи new!relations_name""),6,FALSE)
,
(IF
(
G13032=""юридична особа""
,
VLOO"&amp;"KUP(H13032,IMPORTRANGE(""https://docs.google.com/spreadsheets/d/14Bd19lYaqBhU8_DElYkX7l4wRkHqqCUFNJY4AfY3kHU/edit?usp=sharing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31" s="7" t="s">
        <v>23</v>
      </c>
    </row>
    <row r="13032" spans="1:10" ht="13.2">
      <c r="A13032" s="7">
        <v>13031</v>
      </c>
      <c r="B13032" s="7">
        <v>1</v>
      </c>
      <c r="C13032" s="7" t="s">
        <v>10</v>
      </c>
      <c r="D13032" s="7">
        <v>18337</v>
      </c>
      <c r="E13032" s="7" t="s">
        <v>23</v>
      </c>
      <c r="F13032" s="8" t="str">
        <f ca="1">IFERROR(__xludf.DUMMYFUNCTION("IF
(
C13033=""фізична особа""
,
VLOOKUP(D13033,IMPORTRANGE(""https://docs.google.com/spreadsheets/d/14Bd19lYaqBhU8_DElYkX7l4wRkHqqCUFNJY4AfY3kHU/edit?usp=sharing  #gid=0"",""фіз особи new!relations_name""),6,FALSE)
,
(IF
(
C13033=""юридична особа""
,
VLOO"&amp;"KUP(D13033,IMPORTRANGE(""https://docs.google.com/spreadsheets/d/14Bd19lYaqBhU8_DElYkX7l4wRkHqqCUFNJY4AfY3kHU/edit?usp=sharing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2" s="7" t="s">
        <v>10</v>
      </c>
      <c r="H13032" s="7">
        <v>18333</v>
      </c>
      <c r="I13032" s="8" t="str">
        <f ca="1">IFERROR(__xludf.DUMMYFUNCTION("IF
(
G13033=""фізична особа""
,
VLOOKUP(H13033,IMPORTRANGE(""https://docs.google.com/spreadsheets/d/14Bd19lYaqBhU8_DElYkX7l4wRkHqqCUFNJY4AfY3kHU/edit?usp=sharing  #gid=0"",""фіз особи new!relations_name""),6,FALSE)
,
(IF
(
G13033=""юридична особа""
,
VLOO"&amp;"KUP(H13033,IMPORTRANGE(""https://docs.google.com/spreadsheets/d/14Bd19lYaqBhU8_DElYkX7l4wRkHqqCUFNJY4AfY3kHU/edit?usp=sharing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3032" s="7" t="s">
        <v>23</v>
      </c>
    </row>
    <row r="13033" spans="1:10" ht="13.2">
      <c r="A13033" s="7">
        <v>13032</v>
      </c>
      <c r="B13033" s="7">
        <v>1</v>
      </c>
      <c r="C13033" s="7" t="s">
        <v>10</v>
      </c>
      <c r="D13033" s="7">
        <v>18337</v>
      </c>
      <c r="E13033" s="7" t="s">
        <v>23</v>
      </c>
      <c r="F13033" s="8" t="str">
        <f ca="1">IFERROR(__xludf.DUMMYFUNCTION("IF
(
C13034=""фізична особа""
,
VLOOKUP(D13034,IMPORTRANGE(""https://docs.google.com/spreadsheets/d/14Bd19lYaqBhU8_DElYkX7l4wRkHqqCUFNJY4AfY3kHU/edit?usp=sharing  #gid=0"",""фіз особи new!relations_name""),6,FALSE)
,
(IF
(
C13034=""юридична особа""
,
VLOO"&amp;"KUP(D13034,IMPORTRANGE(""https://docs.google.com/spreadsheets/d/14Bd19lYaqBhU8_DElYkX7l4wRkHqqCUFNJY4AfY3kHU/edit?usp=sharing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3" s="7" t="s">
        <v>10</v>
      </c>
      <c r="H13033" s="7">
        <v>18334</v>
      </c>
      <c r="I13033" s="8" t="str">
        <f ca="1">IFERROR(__xludf.DUMMYFUNCTION("IF
(
G13034=""фізична особа""
,
VLOOKUP(H13034,IMPORTRANGE(""https://docs.google.com/spreadsheets/d/14Bd19lYaqBhU8_DElYkX7l4wRkHqqCUFNJY4AfY3kHU/edit?usp=sharing  #gid=0"",""фіз особи new!relations_name""),6,FALSE)
,
(IF
(
G13034=""юридична особа""
,
VLOO"&amp;"KUP(H13034,IMPORTRANGE(""https://docs.google.com/spreadsheets/d/14Bd19lYaqBhU8_DElYkX7l4wRkHqqCUFNJY4AfY3kHU/edit?usp=sharing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3033" s="7" t="s">
        <v>23</v>
      </c>
    </row>
    <row r="13034" spans="1:10" ht="13.2">
      <c r="A13034" s="7">
        <v>13033</v>
      </c>
      <c r="B13034" s="7">
        <v>1</v>
      </c>
      <c r="C13034" s="7" t="s">
        <v>10</v>
      </c>
      <c r="D13034" s="7">
        <v>18337</v>
      </c>
      <c r="E13034" s="7" t="s">
        <v>23</v>
      </c>
      <c r="F13034" s="8" t="str">
        <f ca="1">IFERROR(__xludf.DUMMYFUNCTION("IF
(
C13035=""фізична особа""
,
VLOOKUP(D13035,IMPORTRANGE(""https://docs.google.com/spreadsheets/d/14Bd19lYaqBhU8_DElYkX7l4wRkHqqCUFNJY4AfY3kHU/edit?usp=sharing  #gid=0"",""фіз особи new!relations_name""),6,FALSE)
,
(IF
(
C13035=""юридична особа""
,
VLOO"&amp;"KUP(D13035,IMPORTRANGE(""https://docs.google.com/spreadsheets/d/14Bd19lYaqBhU8_DElYkX7l4wRkHqqCUFNJY4AfY3kHU/edit?usp=sharing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4" s="7" t="s">
        <v>10</v>
      </c>
      <c r="H13034" s="7">
        <v>18335</v>
      </c>
      <c r="I13034" s="8" t="str">
        <f ca="1">IFERROR(__xludf.DUMMYFUNCTION("IF
(
G13035=""фізична особа""
,
VLOOKUP(H13035,IMPORTRANGE(""https://docs.google.com/spreadsheets/d/14Bd19lYaqBhU8_DElYkX7l4wRkHqqCUFNJY4AfY3kHU/edit?usp=sharing  #gid=0"",""фіз особи new!relations_name""),6,FALSE)
,
(IF
(
G13035=""юридична особа""
,
VLOO"&amp;"KUP(H13035,IMPORTRANGE(""https://docs.google.com/spreadsheets/d/14Bd19lYaqBhU8_DElYkX7l4wRkHqqCUFNJY4AfY3kHU/edit?usp=sharing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3034" s="7" t="s">
        <v>23</v>
      </c>
    </row>
    <row r="13035" spans="1:10" ht="13.2">
      <c r="A13035" s="7">
        <v>13034</v>
      </c>
      <c r="B13035" s="7">
        <v>1</v>
      </c>
      <c r="C13035" s="7" t="s">
        <v>10</v>
      </c>
      <c r="D13035" s="7">
        <v>18337</v>
      </c>
      <c r="E13035" s="7" t="s">
        <v>23</v>
      </c>
      <c r="F13035" s="8" t="str">
        <f ca="1">IFERROR(__xludf.DUMMYFUNCTION("IF
(
C13036=""фізична особа""
,
VLOOKUP(D13036,IMPORTRANGE(""https://docs.google.com/spreadsheets/d/14Bd19lYaqBhU8_DElYkX7l4wRkHqqCUFNJY4AfY3kHU/edit?usp=sharing  #gid=0"",""фіз особи new!relations_name""),6,FALSE)
,
(IF
(
C13036=""юридична особа""
,
VLOO"&amp;"KUP(D13036,IMPORTRANGE(""https://docs.google.com/spreadsheets/d/14Bd19lYaqBhU8_DElYkX7l4wRkHqqCUFNJY4AfY3kHU/edit?usp=sharing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5" s="7" t="s">
        <v>10</v>
      </c>
      <c r="H13035" s="7">
        <v>18336</v>
      </c>
      <c r="I13035" s="8" t="str">
        <f ca="1">IFERROR(__xludf.DUMMYFUNCTION("IF
(
G13036=""фізична особа""
,
VLOOKUP(H13036,IMPORTRANGE(""https://docs.google.com/spreadsheets/d/14Bd19lYaqBhU8_DElYkX7l4wRkHqqCUFNJY4AfY3kHU/edit?usp=sharing  #gid=0"",""фіз особи new!relations_name""),6,FALSE)
,
(IF
(
G13036=""юридична особа""
,
VLOO"&amp;"KUP(H13036,IMPORTRANGE(""https://docs.google.com/spreadsheets/d/14Bd19lYaqBhU8_DElYkX7l4wRkHqqCUFNJY4AfY3kHU/edit?usp=sharing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3035" s="7" t="s">
        <v>23</v>
      </c>
    </row>
    <row r="13036" spans="1:10" ht="13.2">
      <c r="A13036" s="7">
        <v>13035</v>
      </c>
      <c r="B13036" s="7">
        <v>1</v>
      </c>
      <c r="C13036" s="7" t="s">
        <v>10</v>
      </c>
      <c r="D13036" s="7">
        <v>18337</v>
      </c>
      <c r="E13036" s="7" t="s">
        <v>23</v>
      </c>
      <c r="F13036" s="8" t="str">
        <f ca="1">IFERROR(__xludf.DUMMYFUNCTION("IF
(
C13037=""фізична особа""
,
VLOOKUP(D13037,IMPORTRANGE(""https://docs.google.com/spreadsheets/d/14Bd19lYaqBhU8_DElYkX7l4wRkHqqCUFNJY4AfY3kHU/edit?usp=sharing  #gid=0"",""фіз особи new!relations_name""),6,FALSE)
,
(IF
(
C13037=""юридична особа""
,
VLOO"&amp;"KUP(D13037,IMPORTRANGE(""https://docs.google.com/spreadsheets/d/14Bd19lYaqBhU8_DElYkX7l4wRkHqqCUFNJY4AfY3kHU/edit?usp=sharing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G13036" s="7" t="s">
        <v>10</v>
      </c>
      <c r="H13036" s="7">
        <v>18338</v>
      </c>
      <c r="I13036" s="8" t="str">
        <f ca="1">IFERROR(__xludf.DUMMYFUNCTION("IF
(
G13037=""фізична особа""
,
VLOOKUP(H13037,IMPORTRANGE(""https://docs.google.com/spreadsheets/d/14Bd19lYaqBhU8_DElYkX7l4wRkHqqCUFNJY4AfY3kHU/edit?usp=sharing  #gid=0"",""фіз особи new!relations_name""),6,FALSE)
,
(IF
(
G13037=""юридична особа""
,
VLOO"&amp;"KUP(H13037,IMPORTRANGE(""https://docs.google.com/spreadsheets/d/14Bd19lYaqBhU8_DElYkX7l4wRkHqqCUFNJY4AfY3kHU/edit?usp=sharing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J13036" s="7" t="s">
        <v>23</v>
      </c>
    </row>
    <row r="13037" spans="1:10" ht="13.2">
      <c r="A13037" s="7">
        <v>13036</v>
      </c>
      <c r="B13037" s="7">
        <v>1</v>
      </c>
      <c r="C13037" s="7" t="s">
        <v>10</v>
      </c>
      <c r="D13037" s="7">
        <v>18338</v>
      </c>
      <c r="E13037" s="7" t="s">
        <v>23</v>
      </c>
      <c r="F13037" s="8" t="str">
        <f ca="1">IFERROR(__xludf.DUMMYFUNCTION("IF
(
C13038=""фізична особа""
,
VLOOKUP(D13038,IMPORTRANGE(""https://docs.google.com/spreadsheets/d/14Bd19lYaqBhU8_DElYkX7l4wRkHqqCUFNJY4AfY3kHU/edit?usp=sharing  #gid=0"",""фіз особи new!relations_name""),6,FALSE)
,
(IF
(
C13038=""юридична особа""
,
VLOO"&amp;"KUP(D13038,IMPORTRANGE(""https://docs.google.com/spreadsheets/d/14Bd19lYaqBhU8_DElYkX7l4wRkHqqCUFNJY4AfY3kHU/edit?usp=sharing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37" s="7" t="s">
        <v>10</v>
      </c>
      <c r="H13037" s="7">
        <v>18331</v>
      </c>
      <c r="I13037" s="8" t="str">
        <f ca="1">IFERROR(__xludf.DUMMYFUNCTION("IF
(
G13038=""фізична особа""
,
VLOOKUP(H13038,IMPORTRANGE(""https://docs.google.com/spreadsheets/d/14Bd19lYaqBhU8_DElYkX7l4wRkHqqCUFNJY4AfY3kHU/edit?usp=sharing  #gid=0"",""фіз особи new!relations_name""),6,FALSE)
,
(IF
(
G13038=""юридична особа""
,
VLOO"&amp;"KUP(H13038,IMPORTRANGE(""https://docs.google.com/spreadsheets/d/14Bd19lYaqBhU8_DElYkX7l4wRkHqqCUFNJY4AfY3kHU/edit?usp=sharing  #gid=0"",""фіз особи new!relations_name_uo""),7,FALSE)
,
)
))"),"ІОНОВА Ірина Борисівна")</f>
        <v>ІОНОВА Ірина Борисівна</v>
      </c>
      <c r="J13037" s="7" t="s">
        <v>23</v>
      </c>
    </row>
    <row r="13038" spans="1:10" ht="13.2">
      <c r="A13038" s="7">
        <v>13037</v>
      </c>
      <c r="B13038" s="7">
        <v>1</v>
      </c>
      <c r="C13038" s="7" t="s">
        <v>10</v>
      </c>
      <c r="D13038" s="7">
        <v>18338</v>
      </c>
      <c r="E13038" s="7" t="s">
        <v>23</v>
      </c>
      <c r="F13038" s="8" t="str">
        <f ca="1">IFERROR(__xludf.DUMMYFUNCTION("IF
(
C13039=""фізична особа""
,
VLOOKUP(D13039,IMPORTRANGE(""https://docs.google.com/spreadsheets/d/14Bd19lYaqBhU8_DElYkX7l4wRkHqqCUFNJY4AfY3kHU/edit?usp=sharing  #gid=0"",""фіз особи new!relations_name""),6,FALSE)
,
(IF
(
C13039=""юридична особа""
,
VLOO"&amp;"KUP(D13039,IMPORTRANGE(""https://docs.google.com/spreadsheets/d/14Bd19lYaqBhU8_DElYkX7l4wRkHqqCUFNJY4AfY3kHU/edit?usp=sharing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38" s="7" t="s">
        <v>10</v>
      </c>
      <c r="H13038" s="7">
        <v>18332</v>
      </c>
      <c r="I13038" s="8" t="str">
        <f ca="1">IFERROR(__xludf.DUMMYFUNCTION("IF
(
G13039=""фізична особа""
,
VLOOKUP(H13039,IMPORTRANGE(""https://docs.google.com/spreadsheets/d/14Bd19lYaqBhU8_DElYkX7l4wRkHqqCUFNJY4AfY3kHU/edit?usp=sharing  #gid=0"",""фіз особи new!relations_name""),6,FALSE)
,
(IF
(
G13039=""юридична особа""
,
VLOO"&amp;"KUP(H13039,IMPORTRANGE(""https://docs.google.com/spreadsheets/d/14Bd19lYaqBhU8_DElYkX7l4wRkHqqCUFNJY4AfY3kHU/edit?usp=sharing  #gid=0"",""фіз особи new!relations_name_uo""),7,FALSE)
,
)
))"),"ГОРЮНОВ Роман Юрійович")</f>
        <v>ГОРЮНОВ Роман Юрійович</v>
      </c>
      <c r="J13038" s="7" t="s">
        <v>23</v>
      </c>
    </row>
    <row r="13039" spans="1:10" ht="13.2">
      <c r="A13039" s="7">
        <v>13038</v>
      </c>
      <c r="B13039" s="7">
        <v>1</v>
      </c>
      <c r="C13039" s="7" t="s">
        <v>10</v>
      </c>
      <c r="D13039" s="7">
        <v>18338</v>
      </c>
      <c r="E13039" s="7" t="s">
        <v>23</v>
      </c>
      <c r="F13039" s="8" t="str">
        <f ca="1">IFERROR(__xludf.DUMMYFUNCTION("IF
(
C13040=""фізична особа""
,
VLOOKUP(D13040,IMPORTRANGE(""https://docs.google.com/spreadsheets/d/14Bd19lYaqBhU8_DElYkX7l4wRkHqqCUFNJY4AfY3kHU/edit?usp=sharing  #gid=0"",""фіз особи new!relations_name""),6,FALSE)
,
(IF
(
C13040=""юридична особа""
,
VLOO"&amp;"KUP(D13040,IMPORTRANGE(""https://docs.google.com/spreadsheets/d/14Bd19lYaqBhU8_DElYkX7l4wRkHqqCUFNJY4AfY3kHU/edit?usp=sharing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39" s="7" t="s">
        <v>10</v>
      </c>
      <c r="H13039" s="7">
        <v>18333</v>
      </c>
      <c r="I13039" s="8" t="str">
        <f ca="1">IFERROR(__xludf.DUMMYFUNCTION("IF
(
G13040=""фізична особа""
,
VLOOKUP(H13040,IMPORTRANGE(""https://docs.google.com/spreadsheets/d/14Bd19lYaqBhU8_DElYkX7l4wRkHqqCUFNJY4AfY3kHU/edit?usp=sharing  #gid=0"",""фіз особи new!relations_name""),6,FALSE)
,
(IF
(
G13040=""юридична особа""
,
VLOO"&amp;"KUP(H13040,IMPORTRANGE(""https://docs.google.com/spreadsheets/d/14Bd19lYaqBhU8_DElYkX7l4wRkHqqCUFNJY4AfY3kHU/edit?usp=sharing  #gid=0"",""фіз особи new!relations_name_uo""),7,FALSE)
,
)
))"),"БУРДОНОВА Марина Павлівна")</f>
        <v>БУРДОНОВА Марина Павлівна</v>
      </c>
      <c r="J13039" s="7" t="s">
        <v>23</v>
      </c>
    </row>
    <row r="13040" spans="1:10" ht="13.2">
      <c r="A13040" s="7">
        <v>13039</v>
      </c>
      <c r="B13040" s="7">
        <v>1</v>
      </c>
      <c r="C13040" s="7" t="s">
        <v>10</v>
      </c>
      <c r="D13040" s="7">
        <v>18338</v>
      </c>
      <c r="E13040" s="7" t="s">
        <v>23</v>
      </c>
      <c r="F13040" s="8" t="str">
        <f ca="1">IFERROR(__xludf.DUMMYFUNCTION("IF
(
C13041=""фізична особа""
,
VLOOKUP(D13041,IMPORTRANGE(""https://docs.google.com/spreadsheets/d/14Bd19lYaqBhU8_DElYkX7l4wRkHqqCUFNJY4AfY3kHU/edit?usp=sharing  #gid=0"",""фіз особи new!relations_name""),6,FALSE)
,
(IF
(
C13041=""юридична особа""
,
VLOO"&amp;"KUP(D13041,IMPORTRANGE(""https://docs.google.com/spreadsheets/d/14Bd19lYaqBhU8_DElYkX7l4wRkHqqCUFNJY4AfY3kHU/edit?usp=sharing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40" s="7" t="s">
        <v>10</v>
      </c>
      <c r="H13040" s="7">
        <v>18334</v>
      </c>
      <c r="I13040" s="8" t="str">
        <f ca="1">IFERROR(__xludf.DUMMYFUNCTION("IF
(
G13041=""фізична особа""
,
VLOOKUP(H13041,IMPORTRANGE(""https://docs.google.com/spreadsheets/d/14Bd19lYaqBhU8_DElYkX7l4wRkHqqCUFNJY4AfY3kHU/edit?usp=sharing  #gid=0"",""фіз особи new!relations_name""),6,FALSE)
,
(IF
(
G13041=""юридична особа""
,
VLOO"&amp;"KUP(H13041,IMPORTRANGE(""https://docs.google.com/spreadsheets/d/14Bd19lYaqBhU8_DElYkX7l4wRkHqqCUFNJY4AfY3kHU/edit?usp=sharing  #gid=0"",""фіз особи new!relations_name_uo""),7,FALSE)
,
)
))"),"ЛАРІОНОВ Ігор Васильович")</f>
        <v>ЛАРІОНОВ Ігор Васильович</v>
      </c>
      <c r="J13040" s="7" t="s">
        <v>23</v>
      </c>
    </row>
    <row r="13041" spans="1:10" ht="13.2">
      <c r="A13041" s="7">
        <v>13040</v>
      </c>
      <c r="B13041" s="7">
        <v>1</v>
      </c>
      <c r="C13041" s="7" t="s">
        <v>10</v>
      </c>
      <c r="D13041" s="7">
        <v>18338</v>
      </c>
      <c r="E13041" s="7" t="s">
        <v>23</v>
      </c>
      <c r="F13041" s="8" t="str">
        <f ca="1">IFERROR(__xludf.DUMMYFUNCTION("IF
(
C13042=""фізична особа""
,
VLOOKUP(D13042,IMPORTRANGE(""https://docs.google.com/spreadsheets/d/14Bd19lYaqBhU8_DElYkX7l4wRkHqqCUFNJY4AfY3kHU/edit?usp=sharing  #gid=0"",""фіз особи new!relations_name""),6,FALSE)
,
(IF
(
C13042=""юридична особа""
,
VLOO"&amp;"KUP(D13042,IMPORTRANGE(""https://docs.google.com/spreadsheets/d/14Bd19lYaqBhU8_DElYkX7l4wRkHqqCUFNJY4AfY3kHU/edit?usp=sharing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41" s="7" t="s">
        <v>10</v>
      </c>
      <c r="H13041" s="7">
        <v>18335</v>
      </c>
      <c r="I13041" s="8" t="str">
        <f ca="1">IFERROR(__xludf.DUMMYFUNCTION("IF
(
G13042=""фізична особа""
,
VLOOKUP(H13042,IMPORTRANGE(""https://docs.google.com/spreadsheets/d/14Bd19lYaqBhU8_DElYkX7l4wRkHqqCUFNJY4AfY3kHU/edit?usp=sharing  #gid=0"",""фіз особи new!relations_name""),6,FALSE)
,
(IF
(
G13042=""юридична особа""
,
VLOO"&amp;"KUP(H13042,IMPORTRANGE(""https://docs.google.com/spreadsheets/d/14Bd19lYaqBhU8_DElYkX7l4wRkHqqCUFNJY4AfY3kHU/edit?usp=sharing  #gid=0"",""фіз особи new!relations_name_uo""),7,FALSE)
,
)
))"),"СТАРОВОЙТОВА Ольга Володимирівна")</f>
        <v>СТАРОВОЙТОВА Ольга Володимирівна</v>
      </c>
      <c r="J13041" s="7" t="s">
        <v>23</v>
      </c>
    </row>
    <row r="13042" spans="1:10" ht="13.2">
      <c r="A13042" s="7">
        <v>13041</v>
      </c>
      <c r="B13042" s="7">
        <v>1</v>
      </c>
      <c r="C13042" s="7" t="s">
        <v>10</v>
      </c>
      <c r="D13042" s="7">
        <v>18338</v>
      </c>
      <c r="E13042" s="7" t="s">
        <v>23</v>
      </c>
      <c r="F13042" s="8" t="str">
        <f ca="1">IFERROR(__xludf.DUMMYFUNCTION("IF
(
C13043=""фізична особа""
,
VLOOKUP(D13043,IMPORTRANGE(""https://docs.google.com/spreadsheets/d/14Bd19lYaqBhU8_DElYkX7l4wRkHqqCUFNJY4AfY3kHU/edit?usp=sharing  #gid=0"",""фіз особи new!relations_name""),6,FALSE)
,
(IF
(
C13043=""юридична особа""
,
VLOO"&amp;"KUP(D13043,IMPORTRANGE(""https://docs.google.com/spreadsheets/d/14Bd19lYaqBhU8_DElYkX7l4wRkHqqCUFNJY4AfY3kHU/edit?usp=sharing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42" s="7" t="s">
        <v>10</v>
      </c>
      <c r="H13042" s="7">
        <v>18336</v>
      </c>
      <c r="I13042" s="8" t="str">
        <f ca="1">IFERROR(__xludf.DUMMYFUNCTION("IF
(
G13043=""фізична особа""
,
VLOOKUP(H13043,IMPORTRANGE(""https://docs.google.com/spreadsheets/d/14Bd19lYaqBhU8_DElYkX7l4wRkHqqCUFNJY4AfY3kHU/edit?usp=sharing  #gid=0"",""фіз особи new!relations_name""),6,FALSE)
,
(IF
(
G13043=""юридична особа""
,
VLOO"&amp;"KUP(H13043,IMPORTRANGE(""https://docs.google.com/spreadsheets/d/14Bd19lYaqBhU8_DElYkX7l4wRkHqqCUFNJY4AfY3kHU/edit?usp=sharing  #gid=0"",""фіз особи new!relations_name_uo""),7,FALSE)
,
)
))"),"СОКОЛОВ Кирило Юрійович")</f>
        <v>СОКОЛОВ Кирило Юрійович</v>
      </c>
      <c r="J13042" s="7" t="s">
        <v>23</v>
      </c>
    </row>
    <row r="13043" spans="1:10" ht="13.2">
      <c r="A13043" s="7">
        <v>13042</v>
      </c>
      <c r="B13043" s="7">
        <v>1</v>
      </c>
      <c r="C13043" s="7" t="s">
        <v>10</v>
      </c>
      <c r="D13043" s="7">
        <v>18338</v>
      </c>
      <c r="E13043" s="7" t="s">
        <v>23</v>
      </c>
      <c r="F13043" s="8" t="str">
        <f ca="1">IFERROR(__xludf.DUMMYFUNCTION("IF
(
C13044=""фізична особа""
,
VLOOKUP(D13044,IMPORTRANGE(""https://docs.google.com/spreadsheets/d/14Bd19lYaqBhU8_DElYkX7l4wRkHqqCUFNJY4AfY3kHU/edit?usp=sharing  #gid=0"",""фіз особи new!relations_name""),6,FALSE)
,
(IF
(
C13044=""юридична особа""
,
VLOO"&amp;"KUP(D13044,IMPORTRANGE(""https://docs.google.com/spreadsheets/d/14Bd19lYaqBhU8_DElYkX7l4wRkHqqCUFNJY4AfY3kHU/edit?usp=sharing  #gid=0"",""фіз особи new!relations_name_uo""),7,FALSE)
,
)
))"),"МАЛЬЦЕВА Галина Вячеславівна")</f>
        <v>МАЛЬЦЕВА Галина Вячеславівна</v>
      </c>
      <c r="G13043" s="7" t="s">
        <v>10</v>
      </c>
      <c r="H13043" s="7">
        <v>18337</v>
      </c>
      <c r="I13043" s="8" t="str">
        <f ca="1">IFERROR(__xludf.DUMMYFUNCTION("IF
(
G13044=""фізична особа""
,
VLOOKUP(H13044,IMPORTRANGE(""https://docs.google.com/spreadsheets/d/14Bd19lYaqBhU8_DElYkX7l4wRkHqqCUFNJY4AfY3kHU/edit?usp=sharing  #gid=0"",""фіз особи new!relations_name""),6,FALSE)
,
(IF
(
G13044=""юридична особа""
,
VLOO"&amp;"KUP(H13044,IMPORTRANGE(""https://docs.google.com/spreadsheets/d/14Bd19lYaqBhU8_DElYkX7l4wRkHqqCUFNJY4AfY3kHU/edit?usp=sharing  #gid=0"",""фіз особи new!relations_name_uo""),7,FALSE)
,
)
))"),"ЯНКІНА Наіля Растамівна")</f>
        <v>ЯНКІНА Наіля Растамівна</v>
      </c>
      <c r="J13043" s="7" t="s">
        <v>23</v>
      </c>
    </row>
    <row r="13044" spans="1:10" ht="13.2">
      <c r="A13044" s="7">
        <v>13043</v>
      </c>
      <c r="B13044" s="7">
        <v>1</v>
      </c>
      <c r="C13044" s="7" t="s">
        <v>10</v>
      </c>
      <c r="D13044" s="7">
        <v>18353</v>
      </c>
      <c r="E13044" s="7" t="s">
        <v>11</v>
      </c>
      <c r="F13044" s="8" t="str">
        <f ca="1">IFERROR(__xludf.DUMMYFUNCTION("IF
(
C13045=""фізична особа""
,
VLOOKUP(D13045,IMPORTRANGE(""https://docs.google.com/spreadsheets/d/14Bd19lYaqBhU8_DElYkX7l4wRkHqqCUFNJY4AfY3kHU/edit?usp=sharing  #gid=0"",""фіз особи new!relations_name""),6,FALSE)
,
(IF
(
C13045=""юридична особа""
,
VLOO"&amp;"KUP(D13045,IMPORTRANGE(""https://docs.google.com/spreadsheets/d/14Bd19lYaqBhU8_DElYkX7l4wRkHqqCUFNJY4AfY3kHU/edit?usp=sharing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G13044" s="7" t="s">
        <v>10</v>
      </c>
      <c r="H13044" s="7">
        <v>18355</v>
      </c>
      <c r="I13044" s="8" t="str">
        <f ca="1">IFERROR(__xludf.DUMMYFUNCTION("IF
(
G13045=""фізична особа""
,
VLOOKUP(H13045,IMPORTRANGE(""https://docs.google.com/spreadsheets/d/14Bd19lYaqBhU8_DElYkX7l4wRkHqqCUFNJY4AfY3kHU/edit?usp=sharing  #gid=0"",""фіз особи new!relations_name""),6,FALSE)
,
(IF
(
G13045=""юридична особа""
,
VLOO"&amp;"KUP(H13045,IMPORTRANGE(""https://docs.google.com/spreadsheets/d/14Bd19lYaqBhU8_DElYkX7l4wRkHqqCUFNJY4AfY3kHU/edit?usp=sharing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J13044" s="7" t="s">
        <v>11</v>
      </c>
    </row>
    <row r="13045" spans="1:10" ht="13.2">
      <c r="A13045" s="7">
        <v>13044</v>
      </c>
      <c r="B13045" s="7">
        <v>1</v>
      </c>
      <c r="C13045" s="7" t="s">
        <v>10</v>
      </c>
      <c r="D13045" s="7">
        <v>18353</v>
      </c>
      <c r="E13045" s="7" t="s">
        <v>11</v>
      </c>
      <c r="F13045" s="8" t="str">
        <f ca="1">IFERROR(__xludf.DUMMYFUNCTION("IF
(
C13046=""фізична особа""
,
VLOOKUP(D13046,IMPORTRANGE(""https://docs.google.com/spreadsheets/d/14Bd19lYaqBhU8_DElYkX7l4wRkHqqCUFNJY4AfY3kHU/edit?usp=sharing  #gid=0"",""фіз особи new!relations_name""),6,FALSE)
,
(IF
(
C13046=""юридична особа""
,
VLOO"&amp;"KUP(D13046,IMPORTRANGE(""https://docs.google.com/spreadsheets/d/14Bd19lYaqBhU8_DElYkX7l4wRkHqqCUFNJY4AfY3kHU/edit?usp=sharing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G13045" s="7" t="s">
        <v>10</v>
      </c>
      <c r="H13045" s="7">
        <v>18357</v>
      </c>
      <c r="I13045" s="8" t="str">
        <f ca="1">IFERROR(__xludf.DUMMYFUNCTION("IF
(
G13046=""фізична особа""
,
VLOOKUP(H13046,IMPORTRANGE(""https://docs.google.com/spreadsheets/d/14Bd19lYaqBhU8_DElYkX7l4wRkHqqCUFNJY4AfY3kHU/edit?usp=sharing  #gid=0"",""фіз особи new!relations_name""),6,FALSE)
,
(IF
(
G13046=""юридична особа""
,
VLOO"&amp;"KUP(H13046,IMPORTRANGE(""https://docs.google.com/spreadsheets/d/14Bd19lYaqBhU8_DElYkX7l4wRkHqqCUFNJY4AfY3kHU/edit?usp=sharing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J13045" s="7" t="s">
        <v>11</v>
      </c>
    </row>
    <row r="13046" spans="1:10" ht="13.2">
      <c r="A13046" s="7">
        <v>13045</v>
      </c>
      <c r="B13046" s="7">
        <v>1</v>
      </c>
      <c r="C13046" s="7" t="s">
        <v>10</v>
      </c>
      <c r="D13046" s="7">
        <v>18353</v>
      </c>
      <c r="E13046" s="7" t="s">
        <v>11</v>
      </c>
      <c r="F13046" s="8" t="str">
        <f ca="1">IFERROR(__xludf.DUMMYFUNCTION("IF
(
C13047=""фізична особа""
,
VLOOKUP(D13047,IMPORTRANGE(""https://docs.google.com/spreadsheets/d/14Bd19lYaqBhU8_DElYkX7l4wRkHqqCUFNJY4AfY3kHU/edit?usp=sharing  #gid=0"",""фіз особи new!relations_name""),6,FALSE)
,
(IF
(
C13047=""юридична особа""
,
VLOO"&amp;"KUP(D13047,IMPORTRANGE(""https://docs.google.com/spreadsheets/d/14Bd19lYaqBhU8_DElYkX7l4wRkHqqCUFNJY4AfY3kHU/edit?usp=sharing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G13046" s="7" t="s">
        <v>10</v>
      </c>
      <c r="H13046" s="7">
        <v>18358</v>
      </c>
      <c r="I13046" s="8" t="str">
        <f ca="1">IFERROR(__xludf.DUMMYFUNCTION("IF
(
G13047=""фізична особа""
,
VLOOKUP(H13047,IMPORTRANGE(""https://docs.google.com/spreadsheets/d/14Bd19lYaqBhU8_DElYkX7l4wRkHqqCUFNJY4AfY3kHU/edit?usp=sharing  #gid=0"",""фіз особи new!relations_name""),6,FALSE)
,
(IF
(
G13047=""юридична особа""
,
VLOO"&amp;"KUP(H13047,IMPORTRANGE(""https://docs.google.com/spreadsheets/d/14Bd19lYaqBhU8_DElYkX7l4wRkHqqCUFNJY4AfY3kHU/edit?usp=sharing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J13046" s="7" t="s">
        <v>11</v>
      </c>
    </row>
    <row r="13047" spans="1:10" ht="13.2">
      <c r="A13047" s="7">
        <v>13046</v>
      </c>
      <c r="B13047" s="7">
        <v>1</v>
      </c>
      <c r="C13047" s="7" t="s">
        <v>10</v>
      </c>
      <c r="D13047" s="7">
        <v>18355</v>
      </c>
      <c r="E13047" s="7" t="s">
        <v>11</v>
      </c>
      <c r="F13047" s="8" t="str">
        <f ca="1">IFERROR(__xludf.DUMMYFUNCTION("IF
(
C13048=""фізична особа""
,
VLOOKUP(D13048,IMPORTRANGE(""https://docs.google.com/spreadsheets/d/14Bd19lYaqBhU8_DElYkX7l4wRkHqqCUFNJY4AfY3kHU/edit?usp=sharing  #gid=0"",""фіз особи new!relations_name""),6,FALSE)
,
(IF
(
C13048=""юридична особа""
,
VLOO"&amp;"KUP(D13048,IMPORTRANGE(""https://docs.google.com/spreadsheets/d/14Bd19lYaqBhU8_DElYkX7l4wRkHqqCUFNJY4AfY3kHU/edit?usp=sharing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G13047" s="7" t="s">
        <v>10</v>
      </c>
      <c r="H13047" s="7">
        <v>18353</v>
      </c>
      <c r="I13047" s="8" t="str">
        <f ca="1">IFERROR(__xludf.DUMMYFUNCTION("IF
(
G13048=""фізична особа""
,
VLOOKUP(H13048,IMPORTRANGE(""https://docs.google.com/spreadsheets/d/14Bd19lYaqBhU8_DElYkX7l4wRkHqqCUFNJY4AfY3kHU/edit?usp=sharing  #gid=0"",""фіз особи new!relations_name""),6,FALSE)
,
(IF
(
G13048=""юридична особа""
,
VLOO"&amp;"KUP(H13048,IMPORTRANGE(""https://docs.google.com/spreadsheets/d/14Bd19lYaqBhU8_DElYkX7l4wRkHqqCUFNJY4AfY3kHU/edit?usp=sharing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J13047" s="7" t="s">
        <v>11</v>
      </c>
    </row>
    <row r="13048" spans="1:10" ht="13.2">
      <c r="A13048" s="7">
        <v>13047</v>
      </c>
      <c r="B13048" s="7">
        <v>1</v>
      </c>
      <c r="C13048" s="7" t="s">
        <v>10</v>
      </c>
      <c r="D13048" s="7">
        <v>18355</v>
      </c>
      <c r="E13048" s="7" t="s">
        <v>11</v>
      </c>
      <c r="F13048" s="8" t="str">
        <f ca="1">IFERROR(__xludf.DUMMYFUNCTION("IF
(
C13049=""фізична особа""
,
VLOOKUP(D13049,IMPORTRANGE(""https://docs.google.com/spreadsheets/d/14Bd19lYaqBhU8_DElYkX7l4wRkHqqCUFNJY4AfY3kHU/edit?usp=sharing  #gid=0"",""фіз особи new!relations_name""),6,FALSE)
,
(IF
(
C13049=""юридична особа""
,
VLOO"&amp;"KUP(D13049,IMPORTRANGE(""https://docs.google.com/spreadsheets/d/14Bd19lYaqBhU8_DElYkX7l4wRkHqqCUFNJY4AfY3kHU/edit?usp=sharing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G13048" s="7" t="s">
        <v>10</v>
      </c>
      <c r="H13048" s="7">
        <v>18357</v>
      </c>
      <c r="I13048" s="8" t="str">
        <f ca="1">IFERROR(__xludf.DUMMYFUNCTION("IF
(
G13049=""фізична особа""
,
VLOOKUP(H13049,IMPORTRANGE(""https://docs.google.com/spreadsheets/d/14Bd19lYaqBhU8_DElYkX7l4wRkHqqCUFNJY4AfY3kHU/edit?usp=sharing  #gid=0"",""фіз особи new!relations_name""),6,FALSE)
,
(IF
(
G13049=""юридична особа""
,
VLOO"&amp;"KUP(H13049,IMPORTRANGE(""https://docs.google.com/spreadsheets/d/14Bd19lYaqBhU8_DElYkX7l4wRkHqqCUFNJY4AfY3kHU/edit?usp=sharing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J13048" s="7" t="s">
        <v>11</v>
      </c>
    </row>
    <row r="13049" spans="1:10" ht="13.2">
      <c r="A13049" s="7">
        <v>13048</v>
      </c>
      <c r="B13049" s="7">
        <v>1</v>
      </c>
      <c r="C13049" s="7" t="s">
        <v>10</v>
      </c>
      <c r="D13049" s="7">
        <v>18355</v>
      </c>
      <c r="E13049" s="7" t="s">
        <v>11</v>
      </c>
      <c r="F13049" s="8" t="str">
        <f ca="1">IFERROR(__xludf.DUMMYFUNCTION("IF
(
C13050=""фізична особа""
,
VLOOKUP(D13050,IMPORTRANGE(""https://docs.google.com/spreadsheets/d/14Bd19lYaqBhU8_DElYkX7l4wRkHqqCUFNJY4AfY3kHU/edit?usp=sharing  #gid=0"",""фіз особи new!relations_name""),6,FALSE)
,
(IF
(
C13050=""юридична особа""
,
VLOO"&amp;"KUP(D13050,IMPORTRANGE(""https://docs.google.com/spreadsheets/d/14Bd19lYaqBhU8_DElYkX7l4wRkHqqCUFNJY4AfY3kHU/edit?usp=sharing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G13049" s="7" t="s">
        <v>10</v>
      </c>
      <c r="H13049" s="7">
        <v>18358</v>
      </c>
      <c r="I13049" s="8" t="str">
        <f ca="1">IFERROR(__xludf.DUMMYFUNCTION("IF
(
G13050=""фізична особа""
,
VLOOKUP(H13050,IMPORTRANGE(""https://docs.google.com/spreadsheets/d/14Bd19lYaqBhU8_DElYkX7l4wRkHqqCUFNJY4AfY3kHU/edit?usp=sharing  #gid=0"",""фіз особи new!relations_name""),6,FALSE)
,
(IF
(
G13050=""юридична особа""
,
VLOO"&amp;"KUP(H13050,IMPORTRANGE(""https://docs.google.com/spreadsheets/d/14Bd19lYaqBhU8_DElYkX7l4wRkHqqCUFNJY4AfY3kHU/edit?usp=sharing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J13049" s="7" t="s">
        <v>11</v>
      </c>
    </row>
    <row r="13050" spans="1:10" ht="13.2">
      <c r="A13050" s="7">
        <v>13049</v>
      </c>
      <c r="B13050" s="7">
        <v>1</v>
      </c>
      <c r="C13050" s="7" t="s">
        <v>10</v>
      </c>
      <c r="D13050" s="7">
        <v>18357</v>
      </c>
      <c r="E13050" s="7" t="s">
        <v>11</v>
      </c>
      <c r="F13050" s="8" t="str">
        <f ca="1">IFERROR(__xludf.DUMMYFUNCTION("IF
(
C13051=""фізична особа""
,
VLOOKUP(D13051,IMPORTRANGE(""https://docs.google.com/spreadsheets/d/14Bd19lYaqBhU8_DElYkX7l4wRkHqqCUFNJY4AfY3kHU/edit?usp=sharing  #gid=0"",""фіз особи new!relations_name""),6,FALSE)
,
(IF
(
C13051=""юридична особа""
,
VLOO"&amp;"KUP(D13051,IMPORTRANGE(""https://docs.google.com/spreadsheets/d/14Bd19lYaqBhU8_DElYkX7l4wRkHqqCUFNJY4AfY3kHU/edit?usp=sharing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G13050" s="7" t="s">
        <v>10</v>
      </c>
      <c r="H13050" s="7">
        <v>18353</v>
      </c>
      <c r="I13050" s="8" t="str">
        <f ca="1">IFERROR(__xludf.DUMMYFUNCTION("IF
(
G13051=""фізична особа""
,
VLOOKUP(H13051,IMPORTRANGE(""https://docs.google.com/spreadsheets/d/14Bd19lYaqBhU8_DElYkX7l4wRkHqqCUFNJY4AfY3kHU/edit?usp=sharing  #gid=0"",""фіз особи new!relations_name""),6,FALSE)
,
(IF
(
G13051=""юридична особа""
,
VLOO"&amp;"KUP(H13051,IMPORTRANGE(""https://docs.google.com/spreadsheets/d/14Bd19lYaqBhU8_DElYkX7l4wRkHqqCUFNJY4AfY3kHU/edit?usp=sharing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J13050" s="7" t="s">
        <v>11</v>
      </c>
    </row>
    <row r="13051" spans="1:10" ht="13.2">
      <c r="A13051" s="7">
        <v>13050</v>
      </c>
      <c r="B13051" s="7">
        <v>1</v>
      </c>
      <c r="C13051" s="7" t="s">
        <v>10</v>
      </c>
      <c r="D13051" s="7">
        <v>18357</v>
      </c>
      <c r="E13051" s="7" t="s">
        <v>11</v>
      </c>
      <c r="F13051" s="8" t="str">
        <f ca="1">IFERROR(__xludf.DUMMYFUNCTION("IF
(
C13052=""фізична особа""
,
VLOOKUP(D13052,IMPORTRANGE(""https://docs.google.com/spreadsheets/d/14Bd19lYaqBhU8_DElYkX7l4wRkHqqCUFNJY4AfY3kHU/edit?usp=sharing  #gid=0"",""фіз особи new!relations_name""),6,FALSE)
,
(IF
(
C13052=""юридична особа""
,
VLOO"&amp;"KUP(D13052,IMPORTRANGE(""https://docs.google.com/spreadsheets/d/14Bd19lYaqBhU8_DElYkX7l4wRkHqqCUFNJY4AfY3kHU/edit?usp=sharing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G13051" s="7" t="s">
        <v>10</v>
      </c>
      <c r="H13051" s="7">
        <v>18355</v>
      </c>
      <c r="I13051" s="8" t="str">
        <f ca="1">IFERROR(__xludf.DUMMYFUNCTION("IF
(
G13052=""фізична особа""
,
VLOOKUP(H13052,IMPORTRANGE(""https://docs.google.com/spreadsheets/d/14Bd19lYaqBhU8_DElYkX7l4wRkHqqCUFNJY4AfY3kHU/edit?usp=sharing  #gid=0"",""фіз особи new!relations_name""),6,FALSE)
,
(IF
(
G13052=""юридична особа""
,
VLOO"&amp;"KUP(H13052,IMPORTRANGE(""https://docs.google.com/spreadsheets/d/14Bd19lYaqBhU8_DElYkX7l4wRkHqqCUFNJY4AfY3kHU/edit?usp=sharing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J13051" s="7" t="s">
        <v>11</v>
      </c>
    </row>
    <row r="13052" spans="1:10" ht="13.2">
      <c r="A13052" s="7">
        <v>13051</v>
      </c>
      <c r="B13052" s="7">
        <v>1</v>
      </c>
      <c r="C13052" s="7" t="s">
        <v>10</v>
      </c>
      <c r="D13052" s="7">
        <v>18357</v>
      </c>
      <c r="E13052" s="7" t="s">
        <v>11</v>
      </c>
      <c r="F13052" s="8" t="str">
        <f ca="1">IFERROR(__xludf.DUMMYFUNCTION("IF
(
C13053=""фізична особа""
,
VLOOKUP(D13053,IMPORTRANGE(""https://docs.google.com/spreadsheets/d/14Bd19lYaqBhU8_DElYkX7l4wRkHqqCUFNJY4AfY3kHU/edit?usp=sharing  #gid=0"",""фіз особи new!relations_name""),6,FALSE)
,
(IF
(
C13053=""юридична особа""
,
VLOO"&amp;"KUP(D13053,IMPORTRANGE(""https://docs.google.com/spreadsheets/d/14Bd19lYaqBhU8_DElYkX7l4wRkHqqCUFNJY4AfY3kHU/edit?usp=sharing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G13052" s="7" t="s">
        <v>10</v>
      </c>
      <c r="H13052" s="7">
        <v>18358</v>
      </c>
      <c r="I13052" s="8" t="str">
        <f ca="1">IFERROR(__xludf.DUMMYFUNCTION("IF
(
G13053=""фізична особа""
,
VLOOKUP(H13053,IMPORTRANGE(""https://docs.google.com/spreadsheets/d/14Bd19lYaqBhU8_DElYkX7l4wRkHqqCUFNJY4AfY3kHU/edit?usp=sharing  #gid=0"",""фіз особи new!relations_name""),6,FALSE)
,
(IF
(
G13053=""юридична особа""
,
VLOO"&amp;"KUP(H13053,IMPORTRANGE(""https://docs.google.com/spreadsheets/d/14Bd19lYaqBhU8_DElYkX7l4wRkHqqCUFNJY4AfY3kHU/edit?usp=sharing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J13052" s="7" t="s">
        <v>11</v>
      </c>
    </row>
    <row r="13053" spans="1:10" ht="13.2">
      <c r="A13053" s="7">
        <v>13052</v>
      </c>
      <c r="B13053" s="7">
        <v>1</v>
      </c>
      <c r="C13053" s="7" t="s">
        <v>10</v>
      </c>
      <c r="D13053" s="7">
        <v>18358</v>
      </c>
      <c r="E13053" s="7" t="s">
        <v>11</v>
      </c>
      <c r="F13053" s="8" t="str">
        <f ca="1">IFERROR(__xludf.DUMMYFUNCTION("IF
(
C13054=""фізична особа""
,
VLOOKUP(D13054,IMPORTRANGE(""https://docs.google.com/spreadsheets/d/14Bd19lYaqBhU8_DElYkX7l4wRkHqqCUFNJY4AfY3kHU/edit?usp=sharing  #gid=0"",""фіз особи new!relations_name""),6,FALSE)
,
(IF
(
C13054=""юридична особа""
,
VLOO"&amp;"KUP(D13054,IMPORTRANGE(""https://docs.google.com/spreadsheets/d/14Bd19lYaqBhU8_DElYkX7l4wRkHqqCUFNJY4AfY3kHU/edit?usp=sharing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G13053" s="7" t="s">
        <v>10</v>
      </c>
      <c r="H13053" s="7">
        <v>18353</v>
      </c>
      <c r="I13053" s="8" t="str">
        <f ca="1">IFERROR(__xludf.DUMMYFUNCTION("IF
(
G13054=""фізична особа""
,
VLOOKUP(H13054,IMPORTRANGE(""https://docs.google.com/spreadsheets/d/14Bd19lYaqBhU8_DElYkX7l4wRkHqqCUFNJY4AfY3kHU/edit?usp=sharing  #gid=0"",""фіз особи new!relations_name""),6,FALSE)
,
(IF
(
G13054=""юридична особа""
,
VLOO"&amp;"KUP(H13054,IMPORTRANGE(""https://docs.google.com/spreadsheets/d/14Bd19lYaqBhU8_DElYkX7l4wRkHqqCUFNJY4AfY3kHU/edit?usp=sharing  #gid=0"",""фіз особи new!relations_name_uo""),7,FALSE)
,
)
))"),"ЧИЖОВ Михайло Олегович")</f>
        <v>ЧИЖОВ Михайло Олегович</v>
      </c>
      <c r="J13053" s="7" t="s">
        <v>11</v>
      </c>
    </row>
    <row r="13054" spans="1:10" ht="13.2">
      <c r="A13054" s="7">
        <v>13053</v>
      </c>
      <c r="B13054" s="7">
        <v>1</v>
      </c>
      <c r="C13054" s="7" t="s">
        <v>10</v>
      </c>
      <c r="D13054" s="7">
        <v>18358</v>
      </c>
      <c r="E13054" s="7" t="s">
        <v>11</v>
      </c>
      <c r="F13054" s="8" t="str">
        <f ca="1">IFERROR(__xludf.DUMMYFUNCTION("IF
(
C13055=""фізична особа""
,
VLOOKUP(D13055,IMPORTRANGE(""https://docs.google.com/spreadsheets/d/14Bd19lYaqBhU8_DElYkX7l4wRkHqqCUFNJY4AfY3kHU/edit?usp=sharing  #gid=0"",""фіз особи new!relations_name""),6,FALSE)
,
(IF
(
C13055=""юридична особа""
,
VLOO"&amp;"KUP(D13055,IMPORTRANGE(""https://docs.google.com/spreadsheets/d/14Bd19lYaqBhU8_DElYkX7l4wRkHqqCUFNJY4AfY3kHU/edit?usp=sharing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G13054" s="7" t="s">
        <v>10</v>
      </c>
      <c r="H13054" s="7">
        <v>18355</v>
      </c>
      <c r="I13054" s="8" t="str">
        <f ca="1">IFERROR(__xludf.DUMMYFUNCTION("IF
(
G13055=""фізична особа""
,
VLOOKUP(H13055,IMPORTRANGE(""https://docs.google.com/spreadsheets/d/14Bd19lYaqBhU8_DElYkX7l4wRkHqqCUFNJY4AfY3kHU/edit?usp=sharing  #gid=0"",""фіз особи new!relations_name""),6,FALSE)
,
(IF
(
G13055=""юридична особа""
,
VLOO"&amp;"KUP(H13055,IMPORTRANGE(""https://docs.google.com/spreadsheets/d/14Bd19lYaqBhU8_DElYkX7l4wRkHqqCUFNJY4AfY3kHU/edit?usp=sharing  #gid=0"",""фіз особи new!relations_name_uo""),7,FALSE)
,
)
))"),"КОЛОМИЦ Андрій Сергійович")</f>
        <v>КОЛОМИЦ Андрій Сергійович</v>
      </c>
      <c r="J13054" s="7" t="s">
        <v>11</v>
      </c>
    </row>
    <row r="13055" spans="1:10" ht="13.2">
      <c r="A13055" s="7">
        <v>13054</v>
      </c>
      <c r="B13055" s="7">
        <v>1</v>
      </c>
      <c r="C13055" s="7" t="s">
        <v>10</v>
      </c>
      <c r="D13055" s="7">
        <v>18358</v>
      </c>
      <c r="E13055" s="7" t="s">
        <v>11</v>
      </c>
      <c r="F13055" s="8" t="str">
        <f ca="1">IFERROR(__xludf.DUMMYFUNCTION("IF
(
C13056=""фізична особа""
,
VLOOKUP(D13056,IMPORTRANGE(""https://docs.google.com/spreadsheets/d/14Bd19lYaqBhU8_DElYkX7l4wRkHqqCUFNJY4AfY3kHU/edit?usp=sharing  #gid=0"",""фіз особи new!relations_name""),6,FALSE)
,
(IF
(
C13056=""юридична особа""
,
VLOO"&amp;"KUP(D13056,IMPORTRANGE(""https://docs.google.com/spreadsheets/d/14Bd19lYaqBhU8_DElYkX7l4wRkHqqCUFNJY4AfY3kHU/edit?usp=sharing  #gid=0"",""фіз особи new!relations_name_uo""),7,FALSE)
,
)
))"),"ХОВРУН Денис Володимирович")</f>
        <v>ХОВРУН Денис Володимирович</v>
      </c>
      <c r="G13055" s="7" t="s">
        <v>10</v>
      </c>
      <c r="H13055" s="7">
        <v>18357</v>
      </c>
      <c r="I13055" s="8" t="str">
        <f ca="1">IFERROR(__xludf.DUMMYFUNCTION("IF
(
G13056=""фізична особа""
,
VLOOKUP(H13056,IMPORTRANGE(""https://docs.google.com/spreadsheets/d/14Bd19lYaqBhU8_DElYkX7l4wRkHqqCUFNJY4AfY3kHU/edit?usp=sharing  #gid=0"",""фіз особи new!relations_name""),6,FALSE)
,
(IF
(
G13056=""юридична особа""
,
VLOO"&amp;"KUP(H13056,IMPORTRANGE(""https://docs.google.com/spreadsheets/d/14Bd19lYaqBhU8_DElYkX7l4wRkHqqCUFNJY4AfY3kHU/edit?usp=sharing  #gid=0"",""фіз особи new!relations_name_uo""),7,FALSE)
,
)
))"),"ТРОФИМОВА Яна Олександрівна")</f>
        <v>ТРОФИМОВА Яна Олександрівна</v>
      </c>
      <c r="J13055" s="7" t="s">
        <v>11</v>
      </c>
    </row>
    <row r="13056" spans="1:10" ht="13.2">
      <c r="A13056" s="7">
        <v>13055</v>
      </c>
      <c r="B13056" s="7">
        <v>1</v>
      </c>
      <c r="C13056" s="7" t="s">
        <v>10</v>
      </c>
      <c r="D13056" s="7">
        <v>18359</v>
      </c>
      <c r="E13056" s="7" t="s">
        <v>11</v>
      </c>
      <c r="F13056" s="8" t="str">
        <f ca="1">IFERROR(__xludf.DUMMYFUNCTION("IF
(
C13057=""фізична особа""
,
VLOOKUP(D13057,IMPORTRANGE(""https://docs.google.com/spreadsheets/d/14Bd19lYaqBhU8_DElYkX7l4wRkHqqCUFNJY4AfY3kHU/edit?usp=sharing  #gid=0"",""фіз особи new!relations_name""),6,FALSE)
,
(IF
(
C13057=""юридична особа""
,
VLOO"&amp;"KUP(D13057,IMPORTRANGE(""https://docs.google.com/spreadsheets/d/14Bd19lYaqBhU8_DElYkX7l4wRkHqqCUFNJY4AfY3kHU/edit?usp=sharing  #gid=0"",""фіз особи new!relations_name_uo""),7,FALSE)
,
)
))"),"ЗАХАРОВ Віктор Олександрович")</f>
        <v>ЗАХАРОВ Віктор Олександрович</v>
      </c>
      <c r="G13056" s="7" t="s">
        <v>10</v>
      </c>
      <c r="H13056" s="7">
        <v>23648</v>
      </c>
      <c r="I13056" s="8" t="str">
        <f ca="1">IFERROR(__xludf.DUMMYFUNCTION("IF
(
G13057=""фізична особа""
,
VLOOKUP(H13057,IMPORTRANGE(""https://docs.google.com/spreadsheets/d/14Bd19lYaqBhU8_DElYkX7l4wRkHqqCUFNJY4AfY3kHU/edit?usp=sharing  #gid=0"",""фіз особи new!relations_name""),6,FALSE)
,
(IF
(
G13057=""юридична особа""
,
VLOO"&amp;"KUP(H13057,IMPORTRANGE(""https://docs.google.com/spreadsheets/d/14Bd19lYaqBhU8_DElYkX7l4wRkHqqCUFNJY4AfY3kHU/edit?usp=sharing  #gid=0"",""фіз особи new!relations_name_uo""),7,FALSE)
,
)
))"),"КАФЄЄВ Євгеній Уралович")</f>
        <v>КАФЄЄВ Євгеній Уралович</v>
      </c>
      <c r="J13056" s="7" t="s">
        <v>11</v>
      </c>
    </row>
    <row r="13057" spans="1:10" ht="13.2">
      <c r="A13057" s="7">
        <v>13056</v>
      </c>
      <c r="B13057" s="7">
        <v>1</v>
      </c>
      <c r="C13057" s="7" t="s">
        <v>10</v>
      </c>
      <c r="D13057" s="7">
        <v>18360</v>
      </c>
      <c r="E13057" s="7" t="s">
        <v>11</v>
      </c>
      <c r="F13057" s="8" t="str">
        <f ca="1">IFERROR(__xludf.DUMMYFUNCTION("IF
(
C13058=""фізична особа""
,
VLOOKUP(D13058,IMPORTRANGE(""https://docs.google.com/spreadsheets/d/14Bd19lYaqBhU8_DElYkX7l4wRkHqqCUFNJY4AfY3kHU/edit?usp=sharing  #gid=0"",""фіз особи new!relations_name""),6,FALSE)
,
(IF
(
C13058=""юридична особа""
,
VLOO"&amp;"KUP(D13058,IMPORTRANGE(""https://docs.google.com/spreadsheets/d/14Bd19lYaqBhU8_DElYkX7l4wRkHqqCUFNJY4AfY3kHU/edit?usp=sharing  #gid=0"",""фіз особи new!relations_name_uo""),7,FALSE)
,
)
))"),"ПЛЕХАНОВ Євгеній Олександрович")</f>
        <v>ПЛЕХАНОВ Євгеній Олександрович</v>
      </c>
      <c r="G13057" s="7" t="s">
        <v>10</v>
      </c>
      <c r="H13057" s="7">
        <v>23648</v>
      </c>
      <c r="I13057" s="8" t="str">
        <f ca="1">IFERROR(__xludf.DUMMYFUNCTION("IF
(
G13058=""фізична особа""
,
VLOOKUP(H13058,IMPORTRANGE(""https://docs.google.com/spreadsheets/d/14Bd19lYaqBhU8_DElYkX7l4wRkHqqCUFNJY4AfY3kHU/edit?usp=sharing  #gid=0"",""фіз особи new!relations_name""),6,FALSE)
,
(IF
(
G13058=""юридична особа""
,
VLOO"&amp;"KUP(H13058,IMPORTRANGE(""https://docs.google.com/spreadsheets/d/14Bd19lYaqBhU8_DElYkX7l4wRkHqqCUFNJY4AfY3kHU/edit?usp=sharing  #gid=0"",""фіз особи new!relations_name_uo""),7,FALSE)
,
)
))"),"КАФЄЄВ Євгеній Уралович")</f>
        <v>КАФЄЄВ Євгеній Уралович</v>
      </c>
      <c r="J13057" s="7" t="s">
        <v>11</v>
      </c>
    </row>
    <row r="13058" spans="1:10" ht="13.2">
      <c r="A13058" s="7">
        <v>13057</v>
      </c>
      <c r="B13058" s="7">
        <v>1</v>
      </c>
      <c r="C13058" s="7" t="s">
        <v>10</v>
      </c>
      <c r="D13058" s="7">
        <v>18361</v>
      </c>
      <c r="E13058" s="7" t="s">
        <v>11</v>
      </c>
      <c r="F13058" s="8" t="str">
        <f ca="1">IFERROR(__xludf.DUMMYFUNCTION("IF
(
C13059=""фізична особа""
,
VLOOKUP(D13059,IMPORTRANGE(""https://docs.google.com/spreadsheets/d/14Bd19lYaqBhU8_DElYkX7l4wRkHqqCUFNJY4AfY3kHU/edit?usp=sharing  #gid=0"",""фіз особи new!relations_name""),6,FALSE)
,
(IF
(
C13059=""юридична особа""
,
VLOO"&amp;"KUP(D13059,IMPORTRANGE(""https://docs.google.com/spreadsheets/d/14Bd19lYaqBhU8_DElYkX7l4wRkHqqCUFNJY4AfY3kHU/edit?usp=sharing  #gid=0"",""фіз особи new!relations_name_uo""),7,FALSE)
,
)
))"),"КАФЄЄВА Марина Олександрівна")</f>
        <v>КАФЄЄВА Марина Олександрівна</v>
      </c>
      <c r="G13058" s="7" t="s">
        <v>10</v>
      </c>
      <c r="H13058" s="7">
        <v>23648</v>
      </c>
      <c r="I13058" s="8" t="str">
        <f ca="1">IFERROR(__xludf.DUMMYFUNCTION("IF
(
G13059=""фізична особа""
,
VLOOKUP(H13059,IMPORTRANGE(""https://docs.google.com/spreadsheets/d/14Bd19lYaqBhU8_DElYkX7l4wRkHqqCUFNJY4AfY3kHU/edit?usp=sharing  #gid=0"",""фіз особи new!relations_name""),6,FALSE)
,
(IF
(
G13059=""юридична особа""
,
VLOO"&amp;"KUP(H13059,IMPORTRANGE(""https://docs.google.com/spreadsheets/d/14Bd19lYaqBhU8_DElYkX7l4wRkHqqCUFNJY4AfY3kHU/edit?usp=sharing  #gid=0"",""фіз особи new!relations_name_uo""),7,FALSE)
,
)
))"),"КАФЄЄВ Євгеній Уралович")</f>
        <v>КАФЄЄВ Євгеній Уралович</v>
      </c>
      <c r="J13058" s="7" t="s">
        <v>11</v>
      </c>
    </row>
    <row r="13059" spans="1:10" ht="13.2">
      <c r="A13059" s="7">
        <v>13058</v>
      </c>
      <c r="B13059" s="7">
        <v>1</v>
      </c>
      <c r="C13059" s="7" t="s">
        <v>10</v>
      </c>
      <c r="D13059" s="7">
        <v>18362</v>
      </c>
      <c r="E13059" s="7" t="s">
        <v>23</v>
      </c>
      <c r="F13059" s="8" t="str">
        <f ca="1">IFERROR(__xludf.DUMMYFUNCTION("IF
(
C13060=""фізична особа""
,
VLOOKUP(D13060,IMPORTRANGE(""https://docs.google.com/spreadsheets/d/14Bd19lYaqBhU8_DElYkX7l4wRkHqqCUFNJY4AfY3kHU/edit?usp=sharing  #gid=0"",""фіз особи new!relations_name""),6,FALSE)
,
(IF
(
C13060=""юридична особа""
,
VLOO"&amp;"KUP(D13060,IMPORTRANGE(""https://docs.google.com/spreadsheets/d/14Bd19lYaqBhU8_DElYkX7l4wRkHqqCUFNJY4AfY3kHU/edit?usp=sharing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59" s="7" t="s">
        <v>10</v>
      </c>
      <c r="H13059" s="7">
        <v>0</v>
      </c>
      <c r="I13059" s="8" t="str">
        <f ca="1">IFERROR(__xludf.DUMMYFUNCTION("IF
(
G13060=""фізична особа""
,
VLOOKUP(H13060,IMPORTRANGE(""https://docs.google.com/spreadsheets/d/14Bd19lYaqBhU8_DElYkX7l4wRkHqqCUFNJY4AfY3kHU/edit?usp=sharing  #gid=0"",""фіз особи new!relations_name""),6,FALSE)
,
(IF
(
G13060=""юридична особа""
,
VLOO"&amp;"KUP(H13060,IMPORTRANGE(""https://docs.google.com/spreadsheets/d/14Bd19lYaqBhU8_DElYkX7l4wRkHqqCUFNJY4AfY3kHU/edit?usp=sharing  #gid=0"",""фіз особи new!relations_name_uo""),7,FALSE)
,
)
))"),"#N/A")</f>
        <v>#N/A</v>
      </c>
      <c r="J13059" s="7" t="s">
        <v>23</v>
      </c>
    </row>
    <row r="13060" spans="1:10" ht="13.2">
      <c r="A13060" s="7">
        <v>13059</v>
      </c>
      <c r="B13060" s="7">
        <v>1</v>
      </c>
      <c r="C13060" s="7" t="s">
        <v>10</v>
      </c>
      <c r="D13060" s="7">
        <v>18362</v>
      </c>
      <c r="E13060" s="7" t="s">
        <v>12</v>
      </c>
      <c r="F13060" s="8" t="str">
        <f ca="1">IFERROR(__xludf.DUMMYFUNCTION("IF
(
C13061=""фізична особа""
,
VLOOKUP(D13061,IMPORTRANGE(""https://docs.google.com/spreadsheets/d/14Bd19lYaqBhU8_DElYkX7l4wRkHqqCUFNJY4AfY3kHU/edit?usp=sharing  #gid=0"",""фіз особи new!relations_name""),6,FALSE)
,
(IF
(
C13061=""юридична особа""
,
VLOO"&amp;"KUP(D13061,IMPORTRANGE(""https://docs.google.com/spreadsheets/d/14Bd19lYaqBhU8_DElYkX7l4wRkHqqCUFNJY4AfY3kHU/edit?usp=sharing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0" s="7" t="s">
        <v>10</v>
      </c>
      <c r="H13060" s="7">
        <v>18363</v>
      </c>
      <c r="I13060" s="8" t="str">
        <f ca="1">IFERROR(__xludf.DUMMYFUNCTION("IF
(
G13061=""фізична особа""
,
VLOOKUP(H13061,IMPORTRANGE(""https://docs.google.com/spreadsheets/d/14Bd19lYaqBhU8_DElYkX7l4wRkHqqCUFNJY4AfY3kHU/edit?usp=sharing  #gid=0"",""фіз особи new!relations_name""),6,FALSE)
,
(IF
(
G13061=""юридична особа""
,
VLOO"&amp;"KUP(H13061,IMPORTRANGE(""https://docs.google.com/spreadsheets/d/14Bd19lYaqBhU8_DElYkX7l4wRkHqqCUFNJY4AfY3kHU/edit?usp=sharing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060" s="7" t="s">
        <v>17</v>
      </c>
    </row>
    <row r="13061" spans="1:10" ht="13.2">
      <c r="A13061" s="7">
        <v>13060</v>
      </c>
      <c r="B13061" s="7">
        <v>1</v>
      </c>
      <c r="C13061" s="7" t="s">
        <v>10</v>
      </c>
      <c r="D13061" s="7">
        <v>18362</v>
      </c>
      <c r="E13061" s="7" t="s">
        <v>23</v>
      </c>
      <c r="F13061" s="8" t="str">
        <f ca="1">IFERROR(__xludf.DUMMYFUNCTION("IF
(
C13062=""фізична особа""
,
VLOOKUP(D13062,IMPORTRANGE(""https://docs.google.com/spreadsheets/d/14Bd19lYaqBhU8_DElYkX7l4wRkHqqCUFNJY4AfY3kHU/edit?usp=sharing  #gid=0"",""фіз особи new!relations_name""),6,FALSE)
,
(IF
(
C13062=""юридична особа""
,
VLOO"&amp;"KUP(D13062,IMPORTRANGE(""https://docs.google.com/spreadsheets/d/14Bd19lYaqBhU8_DElYkX7l4wRkHqqCUFNJY4AfY3kHU/edit?usp=sharing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1" s="7" t="s">
        <v>10</v>
      </c>
      <c r="H13061" s="7">
        <v>18364</v>
      </c>
      <c r="I13061" s="8" t="str">
        <f ca="1">IFERROR(__xludf.DUMMYFUNCTION("IF
(
G13062=""фізична особа""
,
VLOOKUP(H13062,IMPORTRANGE(""https://docs.google.com/spreadsheets/d/14Bd19lYaqBhU8_DElYkX7l4wRkHqqCUFNJY4AfY3kHU/edit?usp=sharing  #gid=0"",""фіз особи new!relations_name""),6,FALSE)
,
(IF
(
G13062=""юридична особа""
,
VLOO"&amp;"KUP(H13062,IMPORTRANGE(""https://docs.google.com/spreadsheets/d/14Bd19lYaqBhU8_DElYkX7l4wRkHqqCUFNJY4AfY3kHU/edit?usp=sharing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061" s="7" t="s">
        <v>23</v>
      </c>
    </row>
    <row r="13062" spans="1:10" ht="13.2">
      <c r="A13062" s="7">
        <v>13061</v>
      </c>
      <c r="B13062" s="7">
        <v>1</v>
      </c>
      <c r="C13062" s="7" t="s">
        <v>10</v>
      </c>
      <c r="D13062" s="7">
        <v>18362</v>
      </c>
      <c r="E13062" s="7" t="s">
        <v>23</v>
      </c>
      <c r="F13062" s="8" t="str">
        <f ca="1">IFERROR(__xludf.DUMMYFUNCTION("IF
(
C13063=""фізична особа""
,
VLOOKUP(D13063,IMPORTRANGE(""https://docs.google.com/spreadsheets/d/14Bd19lYaqBhU8_DElYkX7l4wRkHqqCUFNJY4AfY3kHU/edit?usp=sharing  #gid=0"",""фіз особи new!relations_name""),6,FALSE)
,
(IF
(
C13063=""юридична особа""
,
VLOO"&amp;"KUP(D13063,IMPORTRANGE(""https://docs.google.com/spreadsheets/d/14Bd19lYaqBhU8_DElYkX7l4wRkHqqCUFNJY4AfY3kHU/edit?usp=sharing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2" s="7" t="s">
        <v>10</v>
      </c>
      <c r="H13062" s="7">
        <v>18365</v>
      </c>
      <c r="I13062" s="8" t="str">
        <f ca="1">IFERROR(__xludf.DUMMYFUNCTION("IF
(
G13063=""фізична особа""
,
VLOOKUP(H13063,IMPORTRANGE(""https://docs.google.com/spreadsheets/d/14Bd19lYaqBhU8_DElYkX7l4wRkHqqCUFNJY4AfY3kHU/edit?usp=sharing  #gid=0"",""фіз особи new!relations_name""),6,FALSE)
,
(IF
(
G13063=""юридична особа""
,
VLOO"&amp;"KUP(H13063,IMPORTRANGE(""https://docs.google.com/spreadsheets/d/14Bd19lYaqBhU8_DElYkX7l4wRkHqqCUFNJY4AfY3kHU/edit?usp=sharing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062" s="7" t="s">
        <v>23</v>
      </c>
    </row>
    <row r="13063" spans="1:10" ht="13.2">
      <c r="A13063" s="7">
        <v>13062</v>
      </c>
      <c r="B13063" s="7">
        <v>1</v>
      </c>
      <c r="C13063" s="7" t="s">
        <v>10</v>
      </c>
      <c r="D13063" s="7">
        <v>18362</v>
      </c>
      <c r="E13063" s="7" t="s">
        <v>23</v>
      </c>
      <c r="F13063" s="8" t="str">
        <f ca="1">IFERROR(__xludf.DUMMYFUNCTION("IF
(
C13064=""фізична особа""
,
VLOOKUP(D13064,IMPORTRANGE(""https://docs.google.com/spreadsheets/d/14Bd19lYaqBhU8_DElYkX7l4wRkHqqCUFNJY4AfY3kHU/edit?usp=sharing  #gid=0"",""фіз особи new!relations_name""),6,FALSE)
,
(IF
(
C13064=""юридична особа""
,
VLOO"&amp;"KUP(D13064,IMPORTRANGE(""https://docs.google.com/spreadsheets/d/14Bd19lYaqBhU8_DElYkX7l4wRkHqqCUFNJY4AfY3kHU/edit?usp=sharing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3" s="7" t="s">
        <v>10</v>
      </c>
      <c r="H13063" s="7">
        <v>18366</v>
      </c>
      <c r="I13063" s="8" t="str">
        <f ca="1">IFERROR(__xludf.DUMMYFUNCTION("IF
(
G13064=""фізична особа""
,
VLOOKUP(H13064,IMPORTRANGE(""https://docs.google.com/spreadsheets/d/14Bd19lYaqBhU8_DElYkX7l4wRkHqqCUFNJY4AfY3kHU/edit?usp=sharing  #gid=0"",""фіз особи new!relations_name""),6,FALSE)
,
(IF
(
G13064=""юридична особа""
,
VLOO"&amp;"KUP(H13064,IMPORTRANGE(""https://docs.google.com/spreadsheets/d/14Bd19lYaqBhU8_DElYkX7l4wRkHqqCUFNJY4AfY3kHU/edit?usp=sharing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063" s="7" t="s">
        <v>23</v>
      </c>
    </row>
    <row r="13064" spans="1:10" ht="13.2">
      <c r="A13064" s="7">
        <v>13063</v>
      </c>
      <c r="B13064" s="7">
        <v>1</v>
      </c>
      <c r="C13064" s="7" t="s">
        <v>10</v>
      </c>
      <c r="D13064" s="7">
        <v>18362</v>
      </c>
      <c r="E13064" s="7" t="s">
        <v>23</v>
      </c>
      <c r="F13064" s="8" t="str">
        <f ca="1">IFERROR(__xludf.DUMMYFUNCTION("IF
(
C13065=""фізична особа""
,
VLOOKUP(D13065,IMPORTRANGE(""https://docs.google.com/spreadsheets/d/14Bd19lYaqBhU8_DElYkX7l4wRkHqqCUFNJY4AfY3kHU/edit?usp=sharing  #gid=0"",""фіз особи new!relations_name""),6,FALSE)
,
(IF
(
C13065=""юридична особа""
,
VLOO"&amp;"KUP(D13065,IMPORTRANGE(""https://docs.google.com/spreadsheets/d/14Bd19lYaqBhU8_DElYkX7l4wRkHqqCUFNJY4AfY3kHU/edit?usp=sharing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4" s="7" t="s">
        <v>10</v>
      </c>
      <c r="H13064" s="7">
        <v>18367</v>
      </c>
      <c r="I13064" s="8" t="str">
        <f ca="1">IFERROR(__xludf.DUMMYFUNCTION("IF
(
G13065=""фізична особа""
,
VLOOKUP(H13065,IMPORTRANGE(""https://docs.google.com/spreadsheets/d/14Bd19lYaqBhU8_DElYkX7l4wRkHqqCUFNJY4AfY3kHU/edit?usp=sharing  #gid=0"",""фіз особи new!relations_name""),6,FALSE)
,
(IF
(
G13065=""юридична особа""
,
VLOO"&amp;"KUP(H13065,IMPORTRANGE(""https://docs.google.com/spreadsheets/d/14Bd19lYaqBhU8_DElYkX7l4wRkHqqCUFNJY4AfY3kHU/edit?usp=sharing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064" s="7" t="s">
        <v>23</v>
      </c>
    </row>
    <row r="13065" spans="1:10" ht="13.2">
      <c r="A13065" s="7">
        <v>13064</v>
      </c>
      <c r="B13065" s="7">
        <v>1</v>
      </c>
      <c r="C13065" s="7" t="s">
        <v>10</v>
      </c>
      <c r="D13065" s="7">
        <v>18362</v>
      </c>
      <c r="E13065" s="7" t="s">
        <v>23</v>
      </c>
      <c r="F13065" s="8" t="str">
        <f ca="1">IFERROR(__xludf.DUMMYFUNCTION("IF
(
C13066=""фізична особа""
,
VLOOKUP(D13066,IMPORTRANGE(""https://docs.google.com/spreadsheets/d/14Bd19lYaqBhU8_DElYkX7l4wRkHqqCUFNJY4AfY3kHU/edit?usp=sharing  #gid=0"",""фіз особи new!relations_name""),6,FALSE)
,
(IF
(
C13066=""юридична особа""
,
VLOO"&amp;"KUP(D13066,IMPORTRANGE(""https://docs.google.com/spreadsheets/d/14Bd19lYaqBhU8_DElYkX7l4wRkHqqCUFNJY4AfY3kHU/edit?usp=sharing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5" s="7" t="s">
        <v>10</v>
      </c>
      <c r="H13065" s="7">
        <v>18368</v>
      </c>
      <c r="I13065" s="8" t="str">
        <f ca="1">IFERROR(__xludf.DUMMYFUNCTION("IF
(
G13066=""фізична особа""
,
VLOOKUP(H13066,IMPORTRANGE(""https://docs.google.com/spreadsheets/d/14Bd19lYaqBhU8_DElYkX7l4wRkHqqCUFNJY4AfY3kHU/edit?usp=sharing  #gid=0"",""фіз особи new!relations_name""),6,FALSE)
,
(IF
(
G13066=""юридична особа""
,
VLOO"&amp;"KUP(H13066,IMPORTRANGE(""https://docs.google.com/spreadsheets/d/14Bd19lYaqBhU8_DElYkX7l4wRkHqqCUFNJY4AfY3kHU/edit?usp=sharing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065" s="7" t="s">
        <v>23</v>
      </c>
    </row>
    <row r="13066" spans="1:10" ht="13.2">
      <c r="A13066" s="7">
        <v>13065</v>
      </c>
      <c r="B13066" s="7">
        <v>1</v>
      </c>
      <c r="C13066" s="7" t="s">
        <v>10</v>
      </c>
      <c r="D13066" s="7">
        <v>18362</v>
      </c>
      <c r="E13066" s="7" t="s">
        <v>23</v>
      </c>
      <c r="F13066" s="8" t="str">
        <f ca="1">IFERROR(__xludf.DUMMYFUNCTION("IF
(
C13067=""фізична особа""
,
VLOOKUP(D13067,IMPORTRANGE(""https://docs.google.com/spreadsheets/d/14Bd19lYaqBhU8_DElYkX7l4wRkHqqCUFNJY4AfY3kHU/edit?usp=sharing  #gid=0"",""фіз особи new!relations_name""),6,FALSE)
,
(IF
(
C13067=""юридична особа""
,
VLOO"&amp;"KUP(D13067,IMPORTRANGE(""https://docs.google.com/spreadsheets/d/14Bd19lYaqBhU8_DElYkX7l4wRkHqqCUFNJY4AfY3kHU/edit?usp=sharing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G13066" s="7" t="s">
        <v>10</v>
      </c>
      <c r="H13066" s="7">
        <v>18369</v>
      </c>
      <c r="I13066" s="8" t="str">
        <f ca="1">IFERROR(__xludf.DUMMYFUNCTION("IF
(
G13067=""фізична особа""
,
VLOOKUP(H13067,IMPORTRANGE(""https://docs.google.com/spreadsheets/d/14Bd19lYaqBhU8_DElYkX7l4wRkHqqCUFNJY4AfY3kHU/edit?usp=sharing  #gid=0"",""фіз особи new!relations_name""),6,FALSE)
,
(IF
(
G13067=""юридична особа""
,
VLOO"&amp;"KUP(H13067,IMPORTRANGE(""https://docs.google.com/spreadsheets/d/14Bd19lYaqBhU8_DElYkX7l4wRkHqqCUFNJY4AfY3kHU/edit?usp=sharing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066" s="7" t="s">
        <v>23</v>
      </c>
    </row>
    <row r="13067" spans="1:10" ht="13.2">
      <c r="A13067" s="7">
        <v>13066</v>
      </c>
      <c r="B13067" s="7">
        <v>1</v>
      </c>
      <c r="C13067" s="7" t="s">
        <v>10</v>
      </c>
      <c r="D13067" s="7">
        <v>18363</v>
      </c>
      <c r="E13067" s="7" t="s">
        <v>17</v>
      </c>
      <c r="F13067" s="8" t="str">
        <f ca="1">IFERROR(__xludf.DUMMYFUNCTION("IF
(
C13068=""фізична особа""
,
VLOOKUP(D13068,IMPORTRANGE(""https://docs.google.com/spreadsheets/d/14Bd19lYaqBhU8_DElYkX7l4wRkHqqCUFNJY4AfY3kHU/edit?usp=sharing  #gid=0"",""фіз особи new!relations_name""),6,FALSE)
,
(IF
(
C13068=""юридична особа""
,
VLOO"&amp;"KUP(D13068,IMPORTRANGE(""https://docs.google.com/spreadsheets/d/14Bd19lYaqBhU8_DElYkX7l4wRkHqqCUFNJY4AfY3kHU/edit?usp=sharing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67" s="7" t="s">
        <v>10</v>
      </c>
      <c r="H13067" s="7">
        <v>18362</v>
      </c>
      <c r="I13067" s="8" t="str">
        <f ca="1">IFERROR(__xludf.DUMMYFUNCTION("IF
(
G13068=""фізична особа""
,
VLOOKUP(H13068,IMPORTRANGE(""https://docs.google.com/spreadsheets/d/14Bd19lYaqBhU8_DElYkX7l4wRkHqqCUFNJY4AfY3kHU/edit?usp=sharing  #gid=0"",""фіз особи new!relations_name""),6,FALSE)
,
(IF
(
G13068=""юридична особа""
,
VLOO"&amp;"KUP(H13068,IMPORTRANGE(""https://docs.google.com/spreadsheets/d/14Bd19lYaqBhU8_DElYkX7l4wRkHqqCUFNJY4AfY3kHU/edit?usp=sharing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067" s="7" t="s">
        <v>12</v>
      </c>
    </row>
    <row r="13068" spans="1:10" ht="13.2">
      <c r="A13068" s="7">
        <v>13067</v>
      </c>
      <c r="B13068" s="7">
        <v>1</v>
      </c>
      <c r="C13068" s="7" t="s">
        <v>10</v>
      </c>
      <c r="D13068" s="7">
        <v>18363</v>
      </c>
      <c r="E13068" s="7" t="s">
        <v>23</v>
      </c>
      <c r="F13068" s="8" t="str">
        <f ca="1">IFERROR(__xludf.DUMMYFUNCTION("IF
(
C13069=""фізична особа""
,
VLOOKUP(D13069,IMPORTRANGE(""https://docs.google.com/spreadsheets/d/14Bd19lYaqBhU8_DElYkX7l4wRkHqqCUFNJY4AfY3kHU/edit?usp=sharing  #gid=0"",""фіз особи new!relations_name""),6,FALSE)
,
(IF
(
C13069=""юридична особа""
,
VLOO"&amp;"KUP(D13069,IMPORTRANGE(""https://docs.google.com/spreadsheets/d/14Bd19lYaqBhU8_DElYkX7l4wRkHqqCUFNJY4AfY3kHU/edit?usp=sharing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68" s="7" t="s">
        <v>10</v>
      </c>
      <c r="H13068" s="7">
        <v>0</v>
      </c>
      <c r="I13068" s="8" t="str">
        <f ca="1">IFERROR(__xludf.DUMMYFUNCTION("IF
(
G13069=""фізична особа""
,
VLOOKUP(H13069,IMPORTRANGE(""https://docs.google.com/spreadsheets/d/14Bd19lYaqBhU8_DElYkX7l4wRkHqqCUFNJY4AfY3kHU/edit?usp=sharing  #gid=0"",""фіз особи new!relations_name""),6,FALSE)
,
(IF
(
G13069=""юридична особа""
,
VLOO"&amp;"KUP(H13069,IMPORTRANGE(""https://docs.google.com/spreadsheets/d/14Bd19lYaqBhU8_DElYkX7l4wRkHqqCUFNJY4AfY3kHU/edit?usp=sharing  #gid=0"",""фіз особи new!relations_name_uo""),7,FALSE)
,
)
))"),"#N/A")</f>
        <v>#N/A</v>
      </c>
      <c r="J13068" s="7" t="s">
        <v>23</v>
      </c>
    </row>
    <row r="13069" spans="1:10" ht="13.2">
      <c r="A13069" s="7">
        <v>13068</v>
      </c>
      <c r="B13069" s="7">
        <v>1</v>
      </c>
      <c r="C13069" s="7" t="s">
        <v>10</v>
      </c>
      <c r="D13069" s="7">
        <v>18363</v>
      </c>
      <c r="E13069" s="7" t="s">
        <v>23</v>
      </c>
      <c r="F13069" s="8" t="str">
        <f ca="1">IFERROR(__xludf.DUMMYFUNCTION("IF
(
C13070=""фізична особа""
,
VLOOKUP(D13070,IMPORTRANGE(""https://docs.google.com/spreadsheets/d/14Bd19lYaqBhU8_DElYkX7l4wRkHqqCUFNJY4AfY3kHU/edit?usp=sharing  #gid=0"",""фіз особи new!relations_name""),6,FALSE)
,
(IF
(
C13070=""юридична особа""
,
VLOO"&amp;"KUP(D13070,IMPORTRANGE(""https://docs.google.com/spreadsheets/d/14Bd19lYaqBhU8_DElYkX7l4wRkHqqCUFNJY4AfY3kHU/edit?usp=sharing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69" s="7" t="s">
        <v>10</v>
      </c>
      <c r="H13069" s="7">
        <v>0</v>
      </c>
      <c r="I13069" s="8" t="str">
        <f ca="1">IFERROR(__xludf.DUMMYFUNCTION("IF
(
G13070=""фізична особа""
,
VLOOKUP(H13070,IMPORTRANGE(""https://docs.google.com/spreadsheets/d/14Bd19lYaqBhU8_DElYkX7l4wRkHqqCUFNJY4AfY3kHU/edit?usp=sharing  #gid=0"",""фіз особи new!relations_name""),6,FALSE)
,
(IF
(
G13070=""юридична особа""
,
VLOO"&amp;"KUP(H13070,IMPORTRANGE(""https://docs.google.com/spreadsheets/d/14Bd19lYaqBhU8_DElYkX7l4wRkHqqCUFNJY4AfY3kHU/edit?usp=sharing  #gid=0"",""фіз особи new!relations_name_uo""),7,FALSE)
,
)
))"),"#N/A")</f>
        <v>#N/A</v>
      </c>
      <c r="J13069" s="7" t="s">
        <v>23</v>
      </c>
    </row>
    <row r="13070" spans="1:10" ht="13.2">
      <c r="A13070" s="7">
        <v>13069</v>
      </c>
      <c r="B13070" s="7">
        <v>1</v>
      </c>
      <c r="C13070" s="7" t="s">
        <v>10</v>
      </c>
      <c r="D13070" s="7">
        <v>18363</v>
      </c>
      <c r="E13070" s="7" t="s">
        <v>23</v>
      </c>
      <c r="F13070" s="8" t="str">
        <f ca="1">IFERROR(__xludf.DUMMYFUNCTION("IF
(
C13071=""фізична особа""
,
VLOOKUP(D13071,IMPORTRANGE(""https://docs.google.com/spreadsheets/d/14Bd19lYaqBhU8_DElYkX7l4wRkHqqCUFNJY4AfY3kHU/edit?usp=sharing  #gid=0"",""фіз особи new!relations_name""),6,FALSE)
,
(IF
(
C13071=""юридична особа""
,
VLOO"&amp;"KUP(D13071,IMPORTRANGE(""https://docs.google.com/spreadsheets/d/14Bd19lYaqBhU8_DElYkX7l4wRkHqqCUFNJY4AfY3kHU/edit?usp=sharing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0" s="7" t="s">
        <v>10</v>
      </c>
      <c r="H13070" s="7">
        <v>0</v>
      </c>
      <c r="I13070" s="8" t="str">
        <f ca="1">IFERROR(__xludf.DUMMYFUNCTION("IF
(
G13071=""фізична особа""
,
VLOOKUP(H13071,IMPORTRANGE(""https://docs.google.com/spreadsheets/d/14Bd19lYaqBhU8_DElYkX7l4wRkHqqCUFNJY4AfY3kHU/edit?usp=sharing  #gid=0"",""фіз особи new!relations_name""),6,FALSE)
,
(IF
(
G13071=""юридична особа""
,
VLOO"&amp;"KUP(H13071,IMPORTRANGE(""https://docs.google.com/spreadsheets/d/14Bd19lYaqBhU8_DElYkX7l4wRkHqqCUFNJY4AfY3kHU/edit?usp=sharing  #gid=0"",""фіз особи new!relations_name_uo""),7,FALSE)
,
)
))"),"#N/A")</f>
        <v>#N/A</v>
      </c>
      <c r="J13070" s="7" t="s">
        <v>23</v>
      </c>
    </row>
    <row r="13071" spans="1:10" ht="13.2">
      <c r="A13071" s="7">
        <v>13070</v>
      </c>
      <c r="B13071" s="7">
        <v>1</v>
      </c>
      <c r="C13071" s="7" t="s">
        <v>10</v>
      </c>
      <c r="D13071" s="7">
        <v>18363</v>
      </c>
      <c r="E13071" s="7" t="s">
        <v>23</v>
      </c>
      <c r="F13071" s="8" t="str">
        <f ca="1">IFERROR(__xludf.DUMMYFUNCTION("IF
(
C13072=""фізична особа""
,
VLOOKUP(D13072,IMPORTRANGE(""https://docs.google.com/spreadsheets/d/14Bd19lYaqBhU8_DElYkX7l4wRkHqqCUFNJY4AfY3kHU/edit?usp=sharing  #gid=0"",""фіз особи new!relations_name""),6,FALSE)
,
(IF
(
C13072=""юридична особа""
,
VLOO"&amp;"KUP(D13072,IMPORTRANGE(""https://docs.google.com/spreadsheets/d/14Bd19lYaqBhU8_DElYkX7l4wRkHqqCUFNJY4AfY3kHU/edit?usp=sharing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1" s="7" t="s">
        <v>10</v>
      </c>
      <c r="H13071" s="7">
        <v>18364</v>
      </c>
      <c r="I13071" s="8" t="str">
        <f ca="1">IFERROR(__xludf.DUMMYFUNCTION("IF
(
G13072=""фізична особа""
,
VLOOKUP(H13072,IMPORTRANGE(""https://docs.google.com/spreadsheets/d/14Bd19lYaqBhU8_DElYkX7l4wRkHqqCUFNJY4AfY3kHU/edit?usp=sharing  #gid=0"",""фіз особи new!relations_name""),6,FALSE)
,
(IF
(
G13072=""юридична особа""
,
VLOO"&amp;"KUP(H13072,IMPORTRANGE(""https://docs.google.com/spreadsheets/d/14Bd19lYaqBhU8_DElYkX7l4wRkHqqCUFNJY4AfY3kHU/edit?usp=sharing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071" s="7" t="s">
        <v>23</v>
      </c>
    </row>
    <row r="13072" spans="1:10" ht="13.2">
      <c r="A13072" s="7">
        <v>13071</v>
      </c>
      <c r="B13072" s="7">
        <v>1</v>
      </c>
      <c r="C13072" s="7" t="s">
        <v>10</v>
      </c>
      <c r="D13072" s="7">
        <v>18363</v>
      </c>
      <c r="E13072" s="7" t="s">
        <v>23</v>
      </c>
      <c r="F13072" s="8" t="str">
        <f ca="1">IFERROR(__xludf.DUMMYFUNCTION("IF
(
C13073=""фізична особа""
,
VLOOKUP(D13073,IMPORTRANGE(""https://docs.google.com/spreadsheets/d/14Bd19lYaqBhU8_DElYkX7l4wRkHqqCUFNJY4AfY3kHU/edit?usp=sharing  #gid=0"",""фіз особи new!relations_name""),6,FALSE)
,
(IF
(
C13073=""юридична особа""
,
VLOO"&amp;"KUP(D13073,IMPORTRANGE(""https://docs.google.com/spreadsheets/d/14Bd19lYaqBhU8_DElYkX7l4wRkHqqCUFNJY4AfY3kHU/edit?usp=sharing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2" s="7" t="s">
        <v>10</v>
      </c>
      <c r="H13072" s="7">
        <v>18365</v>
      </c>
      <c r="I13072" s="8" t="str">
        <f ca="1">IFERROR(__xludf.DUMMYFUNCTION("IF
(
G13073=""фізична особа""
,
VLOOKUP(H13073,IMPORTRANGE(""https://docs.google.com/spreadsheets/d/14Bd19lYaqBhU8_DElYkX7l4wRkHqqCUFNJY4AfY3kHU/edit?usp=sharing  #gid=0"",""фіз особи new!relations_name""),6,FALSE)
,
(IF
(
G13073=""юридична особа""
,
VLOO"&amp;"KUP(H13073,IMPORTRANGE(""https://docs.google.com/spreadsheets/d/14Bd19lYaqBhU8_DElYkX7l4wRkHqqCUFNJY4AfY3kHU/edit?usp=sharing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072" s="7" t="s">
        <v>23</v>
      </c>
    </row>
    <row r="13073" spans="1:10" ht="13.2">
      <c r="A13073" s="7">
        <v>13072</v>
      </c>
      <c r="B13073" s="7">
        <v>1</v>
      </c>
      <c r="C13073" s="7" t="s">
        <v>10</v>
      </c>
      <c r="D13073" s="7">
        <v>18363</v>
      </c>
      <c r="E13073" s="7" t="s">
        <v>23</v>
      </c>
      <c r="F13073" s="8" t="str">
        <f ca="1">IFERROR(__xludf.DUMMYFUNCTION("IF
(
C13074=""фізична особа""
,
VLOOKUP(D13074,IMPORTRANGE(""https://docs.google.com/spreadsheets/d/14Bd19lYaqBhU8_DElYkX7l4wRkHqqCUFNJY4AfY3kHU/edit?usp=sharing  #gid=0"",""фіз особи new!relations_name""),6,FALSE)
,
(IF
(
C13074=""юридична особа""
,
VLOO"&amp;"KUP(D13074,IMPORTRANGE(""https://docs.google.com/spreadsheets/d/14Bd19lYaqBhU8_DElYkX7l4wRkHqqCUFNJY4AfY3kHU/edit?usp=sharing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3" s="7" t="s">
        <v>10</v>
      </c>
      <c r="H13073" s="7">
        <v>18366</v>
      </c>
      <c r="I13073" s="8" t="str">
        <f ca="1">IFERROR(__xludf.DUMMYFUNCTION("IF
(
G13074=""фізична особа""
,
VLOOKUP(H13074,IMPORTRANGE(""https://docs.google.com/spreadsheets/d/14Bd19lYaqBhU8_DElYkX7l4wRkHqqCUFNJY4AfY3kHU/edit?usp=sharing  #gid=0"",""фіз особи new!relations_name""),6,FALSE)
,
(IF
(
G13074=""юридична особа""
,
VLOO"&amp;"KUP(H13074,IMPORTRANGE(""https://docs.google.com/spreadsheets/d/14Bd19lYaqBhU8_DElYkX7l4wRkHqqCUFNJY4AfY3kHU/edit?usp=sharing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073" s="7" t="s">
        <v>23</v>
      </c>
    </row>
    <row r="13074" spans="1:10" ht="13.2">
      <c r="A13074" s="7">
        <v>13073</v>
      </c>
      <c r="B13074" s="7">
        <v>1</v>
      </c>
      <c r="C13074" s="7" t="s">
        <v>10</v>
      </c>
      <c r="D13074" s="7">
        <v>18363</v>
      </c>
      <c r="E13074" s="7" t="s">
        <v>23</v>
      </c>
      <c r="F13074" s="8" t="str">
        <f ca="1">IFERROR(__xludf.DUMMYFUNCTION("IF
(
C13075=""фізична особа""
,
VLOOKUP(D13075,IMPORTRANGE(""https://docs.google.com/spreadsheets/d/14Bd19lYaqBhU8_DElYkX7l4wRkHqqCUFNJY4AfY3kHU/edit?usp=sharing  #gid=0"",""фіз особи new!relations_name""),6,FALSE)
,
(IF
(
C13075=""юридична особа""
,
VLOO"&amp;"KUP(D13075,IMPORTRANGE(""https://docs.google.com/spreadsheets/d/14Bd19lYaqBhU8_DElYkX7l4wRkHqqCUFNJY4AfY3kHU/edit?usp=sharing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4" s="7" t="s">
        <v>10</v>
      </c>
      <c r="H13074" s="7">
        <v>18367</v>
      </c>
      <c r="I13074" s="8" t="str">
        <f ca="1">IFERROR(__xludf.DUMMYFUNCTION("IF
(
G13075=""фізична особа""
,
VLOOKUP(H13075,IMPORTRANGE(""https://docs.google.com/spreadsheets/d/14Bd19lYaqBhU8_DElYkX7l4wRkHqqCUFNJY4AfY3kHU/edit?usp=sharing  #gid=0"",""фіз особи new!relations_name""),6,FALSE)
,
(IF
(
G13075=""юридична особа""
,
VLOO"&amp;"KUP(H13075,IMPORTRANGE(""https://docs.google.com/spreadsheets/d/14Bd19lYaqBhU8_DElYkX7l4wRkHqqCUFNJY4AfY3kHU/edit?usp=sharing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074" s="7" t="s">
        <v>23</v>
      </c>
    </row>
    <row r="13075" spans="1:10" ht="13.2">
      <c r="A13075" s="7">
        <v>13074</v>
      </c>
      <c r="B13075" s="7">
        <v>1</v>
      </c>
      <c r="C13075" s="7" t="s">
        <v>10</v>
      </c>
      <c r="D13075" s="7">
        <v>18363</v>
      </c>
      <c r="E13075" s="7" t="s">
        <v>23</v>
      </c>
      <c r="F13075" s="8" t="str">
        <f ca="1">IFERROR(__xludf.DUMMYFUNCTION("IF
(
C13076=""фізична особа""
,
VLOOKUP(D13076,IMPORTRANGE(""https://docs.google.com/spreadsheets/d/14Bd19lYaqBhU8_DElYkX7l4wRkHqqCUFNJY4AfY3kHU/edit?usp=sharing  #gid=0"",""фіз особи new!relations_name""),6,FALSE)
,
(IF
(
C13076=""юридична особа""
,
VLOO"&amp;"KUP(D13076,IMPORTRANGE(""https://docs.google.com/spreadsheets/d/14Bd19lYaqBhU8_DElYkX7l4wRkHqqCUFNJY4AfY3kHU/edit?usp=sharing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5" s="7" t="s">
        <v>10</v>
      </c>
      <c r="H13075" s="7">
        <v>18368</v>
      </c>
      <c r="I13075" s="8" t="str">
        <f ca="1">IFERROR(__xludf.DUMMYFUNCTION("IF
(
G13076=""фізична особа""
,
VLOOKUP(H13076,IMPORTRANGE(""https://docs.google.com/spreadsheets/d/14Bd19lYaqBhU8_DElYkX7l4wRkHqqCUFNJY4AfY3kHU/edit?usp=sharing  #gid=0"",""фіз особи new!relations_name""),6,FALSE)
,
(IF
(
G13076=""юридична особа""
,
VLOO"&amp;"KUP(H13076,IMPORTRANGE(""https://docs.google.com/spreadsheets/d/14Bd19lYaqBhU8_DElYkX7l4wRkHqqCUFNJY4AfY3kHU/edit?usp=sharing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075" s="7" t="s">
        <v>23</v>
      </c>
    </row>
    <row r="13076" spans="1:10" ht="13.2">
      <c r="A13076" s="7">
        <v>13075</v>
      </c>
      <c r="B13076" s="7">
        <v>1</v>
      </c>
      <c r="C13076" s="7" t="s">
        <v>10</v>
      </c>
      <c r="D13076" s="7">
        <v>18363</v>
      </c>
      <c r="E13076" s="7" t="s">
        <v>23</v>
      </c>
      <c r="F13076" s="8" t="str">
        <f ca="1">IFERROR(__xludf.DUMMYFUNCTION("IF
(
C13077=""фізична особа""
,
VLOOKUP(D13077,IMPORTRANGE(""https://docs.google.com/spreadsheets/d/14Bd19lYaqBhU8_DElYkX7l4wRkHqqCUFNJY4AfY3kHU/edit?usp=sharing  #gid=0"",""фіз особи new!relations_name""),6,FALSE)
,
(IF
(
C13077=""юридична особа""
,
VLOO"&amp;"KUP(D13077,IMPORTRANGE(""https://docs.google.com/spreadsheets/d/14Bd19lYaqBhU8_DElYkX7l4wRkHqqCUFNJY4AfY3kHU/edit?usp=sharing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G13076" s="7" t="s">
        <v>10</v>
      </c>
      <c r="H13076" s="7">
        <v>18369</v>
      </c>
      <c r="I13076" s="8" t="str">
        <f ca="1">IFERROR(__xludf.DUMMYFUNCTION("IF
(
G13077=""фізична особа""
,
VLOOKUP(H13077,IMPORTRANGE(""https://docs.google.com/spreadsheets/d/14Bd19lYaqBhU8_DElYkX7l4wRkHqqCUFNJY4AfY3kHU/edit?usp=sharing  #gid=0"",""фіз особи new!relations_name""),6,FALSE)
,
(IF
(
G13077=""юридична особа""
,
VLOO"&amp;"KUP(H13077,IMPORTRANGE(""https://docs.google.com/spreadsheets/d/14Bd19lYaqBhU8_DElYkX7l4wRkHqqCUFNJY4AfY3kHU/edit?usp=sharing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076" s="7" t="s">
        <v>23</v>
      </c>
    </row>
    <row r="13077" spans="1:10" ht="13.2">
      <c r="A13077" s="7">
        <v>13076</v>
      </c>
      <c r="B13077" s="7">
        <v>1</v>
      </c>
      <c r="C13077" s="7" t="s">
        <v>10</v>
      </c>
      <c r="D13077" s="7">
        <v>18364</v>
      </c>
      <c r="E13077" s="7" t="s">
        <v>23</v>
      </c>
      <c r="F13077" s="8" t="str">
        <f ca="1">IFERROR(__xludf.DUMMYFUNCTION("IF
(
C13078=""фізична особа""
,
VLOOKUP(D13078,IMPORTRANGE(""https://docs.google.com/spreadsheets/d/14Bd19lYaqBhU8_DElYkX7l4wRkHqqCUFNJY4AfY3kHU/edit?usp=sharing  #gid=0"",""фіз особи new!relations_name""),6,FALSE)
,
(IF
(
C13078=""юридична особа""
,
VLOO"&amp;"KUP(D13078,IMPORTRANGE(""https://docs.google.com/spreadsheets/d/14Bd19lYaqBhU8_DElYkX7l4wRkHqqCUFNJY4AfY3kHU/edit?usp=sharing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77" s="7" t="s">
        <v>10</v>
      </c>
      <c r="H13077" s="7">
        <v>18362</v>
      </c>
      <c r="I13077" s="8" t="str">
        <f ca="1">IFERROR(__xludf.DUMMYFUNCTION("IF
(
G13078=""фізична особа""
,
VLOOKUP(H13078,IMPORTRANGE(""https://docs.google.com/spreadsheets/d/14Bd19lYaqBhU8_DElYkX7l4wRkHqqCUFNJY4AfY3kHU/edit?usp=sharing  #gid=0"",""фіз особи new!relations_name""),6,FALSE)
,
(IF
(
G13078=""юридична особа""
,
VLOO"&amp;"KUP(H13078,IMPORTRANGE(""https://docs.google.com/spreadsheets/d/14Bd19lYaqBhU8_DElYkX7l4wRkHqqCUFNJY4AfY3kHU/edit?usp=sharing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077" s="7" t="s">
        <v>23</v>
      </c>
    </row>
    <row r="13078" spans="1:10" ht="13.2">
      <c r="A13078" s="7">
        <v>13077</v>
      </c>
      <c r="B13078" s="7">
        <v>1</v>
      </c>
      <c r="C13078" s="7" t="s">
        <v>10</v>
      </c>
      <c r="D13078" s="7">
        <v>18364</v>
      </c>
      <c r="E13078" s="7" t="s">
        <v>23</v>
      </c>
      <c r="F13078" s="8" t="str">
        <f ca="1">IFERROR(__xludf.DUMMYFUNCTION("IF
(
C13079=""фізична особа""
,
VLOOKUP(D13079,IMPORTRANGE(""https://docs.google.com/spreadsheets/d/14Bd19lYaqBhU8_DElYkX7l4wRkHqqCUFNJY4AfY3kHU/edit?usp=sharing  #gid=0"",""фіз особи new!relations_name""),6,FALSE)
,
(IF
(
C13079=""юридична особа""
,
VLOO"&amp;"KUP(D13079,IMPORTRANGE(""https://docs.google.com/spreadsheets/d/14Bd19lYaqBhU8_DElYkX7l4wRkHqqCUFNJY4AfY3kHU/edit?usp=sharing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78" s="7" t="s">
        <v>10</v>
      </c>
      <c r="H13078" s="7">
        <v>18363</v>
      </c>
      <c r="I13078" s="8" t="str">
        <f ca="1">IFERROR(__xludf.DUMMYFUNCTION("IF
(
G13079=""фізична особа""
,
VLOOKUP(H13079,IMPORTRANGE(""https://docs.google.com/spreadsheets/d/14Bd19lYaqBhU8_DElYkX7l4wRkHqqCUFNJY4AfY3kHU/edit?usp=sharing  #gid=0"",""фіз особи new!relations_name""),6,FALSE)
,
(IF
(
G13079=""юридична особа""
,
VLOO"&amp;"KUP(H13079,IMPORTRANGE(""https://docs.google.com/spreadsheets/d/14Bd19lYaqBhU8_DElYkX7l4wRkHqqCUFNJY4AfY3kHU/edit?usp=sharing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078" s="7" t="s">
        <v>23</v>
      </c>
    </row>
    <row r="13079" spans="1:10" ht="13.2">
      <c r="A13079" s="7">
        <v>13078</v>
      </c>
      <c r="B13079" s="7">
        <v>1</v>
      </c>
      <c r="C13079" s="7" t="s">
        <v>10</v>
      </c>
      <c r="D13079" s="7">
        <v>18364</v>
      </c>
      <c r="E13079" s="7" t="s">
        <v>23</v>
      </c>
      <c r="F13079" s="8" t="str">
        <f ca="1">IFERROR(__xludf.DUMMYFUNCTION("IF
(
C13080=""фізична особа""
,
VLOOKUP(D13080,IMPORTRANGE(""https://docs.google.com/spreadsheets/d/14Bd19lYaqBhU8_DElYkX7l4wRkHqqCUFNJY4AfY3kHU/edit?usp=sharing  #gid=0"",""фіз особи new!relations_name""),6,FALSE)
,
(IF
(
C13080=""юридична особа""
,
VLOO"&amp;"KUP(D13080,IMPORTRANGE(""https://docs.google.com/spreadsheets/d/14Bd19lYaqBhU8_DElYkX7l4wRkHqqCUFNJY4AfY3kHU/edit?usp=sharing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79" s="7" t="s">
        <v>10</v>
      </c>
      <c r="H13079" s="7">
        <v>18365</v>
      </c>
      <c r="I13079" s="8" t="str">
        <f ca="1">IFERROR(__xludf.DUMMYFUNCTION("IF
(
G13080=""фізична особа""
,
VLOOKUP(H13080,IMPORTRANGE(""https://docs.google.com/spreadsheets/d/14Bd19lYaqBhU8_DElYkX7l4wRkHqqCUFNJY4AfY3kHU/edit?usp=sharing  #gid=0"",""фіз особи new!relations_name""),6,FALSE)
,
(IF
(
G13080=""юридична особа""
,
VLOO"&amp;"KUP(H13080,IMPORTRANGE(""https://docs.google.com/spreadsheets/d/14Bd19lYaqBhU8_DElYkX7l4wRkHqqCUFNJY4AfY3kHU/edit?usp=sharing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079" s="7" t="s">
        <v>23</v>
      </c>
    </row>
    <row r="13080" spans="1:10" ht="13.2">
      <c r="A13080" s="7">
        <v>13079</v>
      </c>
      <c r="B13080" s="7">
        <v>1</v>
      </c>
      <c r="C13080" s="7" t="s">
        <v>10</v>
      </c>
      <c r="D13080" s="7">
        <v>18364</v>
      </c>
      <c r="E13080" s="7" t="s">
        <v>23</v>
      </c>
      <c r="F13080" s="8" t="str">
        <f ca="1">IFERROR(__xludf.DUMMYFUNCTION("IF
(
C13081=""фізична особа""
,
VLOOKUP(D13081,IMPORTRANGE(""https://docs.google.com/spreadsheets/d/14Bd19lYaqBhU8_DElYkX7l4wRkHqqCUFNJY4AfY3kHU/edit?usp=sharing  #gid=0"",""фіз особи new!relations_name""),6,FALSE)
,
(IF
(
C13081=""юридична особа""
,
VLOO"&amp;"KUP(D13081,IMPORTRANGE(""https://docs.google.com/spreadsheets/d/14Bd19lYaqBhU8_DElYkX7l4wRkHqqCUFNJY4AfY3kHU/edit?usp=sharing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80" s="7" t="s">
        <v>10</v>
      </c>
      <c r="H13080" s="7">
        <v>18366</v>
      </c>
      <c r="I13080" s="8" t="str">
        <f ca="1">IFERROR(__xludf.DUMMYFUNCTION("IF
(
G13081=""фізична особа""
,
VLOOKUP(H13081,IMPORTRANGE(""https://docs.google.com/spreadsheets/d/14Bd19lYaqBhU8_DElYkX7l4wRkHqqCUFNJY4AfY3kHU/edit?usp=sharing  #gid=0"",""фіз особи new!relations_name""),6,FALSE)
,
(IF
(
G13081=""юридична особа""
,
VLOO"&amp;"KUP(H13081,IMPORTRANGE(""https://docs.google.com/spreadsheets/d/14Bd19lYaqBhU8_DElYkX7l4wRkHqqCUFNJY4AfY3kHU/edit?usp=sharing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080" s="7" t="s">
        <v>23</v>
      </c>
    </row>
    <row r="13081" spans="1:10" ht="13.2">
      <c r="A13081" s="7">
        <v>13080</v>
      </c>
      <c r="B13081" s="7">
        <v>1</v>
      </c>
      <c r="C13081" s="7" t="s">
        <v>10</v>
      </c>
      <c r="D13081" s="7">
        <v>18364</v>
      </c>
      <c r="E13081" s="7" t="s">
        <v>23</v>
      </c>
      <c r="F13081" s="8" t="str">
        <f ca="1">IFERROR(__xludf.DUMMYFUNCTION("IF
(
C13082=""фізична особа""
,
VLOOKUP(D13082,IMPORTRANGE(""https://docs.google.com/spreadsheets/d/14Bd19lYaqBhU8_DElYkX7l4wRkHqqCUFNJY4AfY3kHU/edit?usp=sharing  #gid=0"",""фіз особи new!relations_name""),6,FALSE)
,
(IF
(
C13082=""юридична особа""
,
VLOO"&amp;"KUP(D13082,IMPORTRANGE(""https://docs.google.com/spreadsheets/d/14Bd19lYaqBhU8_DElYkX7l4wRkHqqCUFNJY4AfY3kHU/edit?usp=sharing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81" s="7" t="s">
        <v>10</v>
      </c>
      <c r="H13081" s="7">
        <v>18367</v>
      </c>
      <c r="I13081" s="8" t="str">
        <f ca="1">IFERROR(__xludf.DUMMYFUNCTION("IF
(
G13082=""фізична особа""
,
VLOOKUP(H13082,IMPORTRANGE(""https://docs.google.com/spreadsheets/d/14Bd19lYaqBhU8_DElYkX7l4wRkHqqCUFNJY4AfY3kHU/edit?usp=sharing  #gid=0"",""фіз особи new!relations_name""),6,FALSE)
,
(IF
(
G13082=""юридична особа""
,
VLOO"&amp;"KUP(H13082,IMPORTRANGE(""https://docs.google.com/spreadsheets/d/14Bd19lYaqBhU8_DElYkX7l4wRkHqqCUFNJY4AfY3kHU/edit?usp=sharing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081" s="7" t="s">
        <v>23</v>
      </c>
    </row>
    <row r="13082" spans="1:10" ht="13.2">
      <c r="A13082" s="7">
        <v>13081</v>
      </c>
      <c r="B13082" s="7">
        <v>1</v>
      </c>
      <c r="C13082" s="7" t="s">
        <v>10</v>
      </c>
      <c r="D13082" s="7">
        <v>18364</v>
      </c>
      <c r="E13082" s="7" t="s">
        <v>23</v>
      </c>
      <c r="F13082" s="8" t="str">
        <f ca="1">IFERROR(__xludf.DUMMYFUNCTION("IF
(
C13083=""фізична особа""
,
VLOOKUP(D13083,IMPORTRANGE(""https://docs.google.com/spreadsheets/d/14Bd19lYaqBhU8_DElYkX7l4wRkHqqCUFNJY4AfY3kHU/edit?usp=sharing  #gid=0"",""фіз особи new!relations_name""),6,FALSE)
,
(IF
(
C13083=""юридична особа""
,
VLOO"&amp;"KUP(D13083,IMPORTRANGE(""https://docs.google.com/spreadsheets/d/14Bd19lYaqBhU8_DElYkX7l4wRkHqqCUFNJY4AfY3kHU/edit?usp=sharing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82" s="7" t="s">
        <v>10</v>
      </c>
      <c r="H13082" s="7">
        <v>18368</v>
      </c>
      <c r="I13082" s="8" t="str">
        <f ca="1">IFERROR(__xludf.DUMMYFUNCTION("IF
(
G13083=""фізична особа""
,
VLOOKUP(H13083,IMPORTRANGE(""https://docs.google.com/spreadsheets/d/14Bd19lYaqBhU8_DElYkX7l4wRkHqqCUFNJY4AfY3kHU/edit?usp=sharing  #gid=0"",""фіз особи new!relations_name""),6,FALSE)
,
(IF
(
G13083=""юридична особа""
,
VLOO"&amp;"KUP(H13083,IMPORTRANGE(""https://docs.google.com/spreadsheets/d/14Bd19lYaqBhU8_DElYkX7l4wRkHqqCUFNJY4AfY3kHU/edit?usp=sharing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082" s="7" t="s">
        <v>23</v>
      </c>
    </row>
    <row r="13083" spans="1:10" ht="13.2">
      <c r="A13083" s="7">
        <v>13082</v>
      </c>
      <c r="B13083" s="7">
        <v>1</v>
      </c>
      <c r="C13083" s="7" t="s">
        <v>10</v>
      </c>
      <c r="D13083" s="7">
        <v>18364</v>
      </c>
      <c r="E13083" s="7" t="s">
        <v>23</v>
      </c>
      <c r="F13083" s="8" t="str">
        <f ca="1">IFERROR(__xludf.DUMMYFUNCTION("IF
(
C13084=""фізична особа""
,
VLOOKUP(D13084,IMPORTRANGE(""https://docs.google.com/spreadsheets/d/14Bd19lYaqBhU8_DElYkX7l4wRkHqqCUFNJY4AfY3kHU/edit?usp=sharing  #gid=0"",""фіз особи new!relations_name""),6,FALSE)
,
(IF
(
C13084=""юридична особа""
,
VLOO"&amp;"KUP(D13084,IMPORTRANGE(""https://docs.google.com/spreadsheets/d/14Bd19lYaqBhU8_DElYkX7l4wRkHqqCUFNJY4AfY3kHU/edit?usp=sharing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G13083" s="7" t="s">
        <v>10</v>
      </c>
      <c r="H13083" s="7">
        <v>18369</v>
      </c>
      <c r="I13083" s="8" t="str">
        <f ca="1">IFERROR(__xludf.DUMMYFUNCTION("IF
(
G13084=""фізична особа""
,
VLOOKUP(H13084,IMPORTRANGE(""https://docs.google.com/spreadsheets/d/14Bd19lYaqBhU8_DElYkX7l4wRkHqqCUFNJY4AfY3kHU/edit?usp=sharing  #gid=0"",""фіз особи new!relations_name""),6,FALSE)
,
(IF
(
G13084=""юридична особа""
,
VLOO"&amp;"KUP(H13084,IMPORTRANGE(""https://docs.google.com/spreadsheets/d/14Bd19lYaqBhU8_DElYkX7l4wRkHqqCUFNJY4AfY3kHU/edit?usp=sharing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083" s="7" t="s">
        <v>23</v>
      </c>
    </row>
    <row r="13084" spans="1:10" ht="13.2">
      <c r="A13084" s="7">
        <v>13083</v>
      </c>
      <c r="B13084" s="7">
        <v>1</v>
      </c>
      <c r="C13084" s="7" t="s">
        <v>10</v>
      </c>
      <c r="D13084" s="7">
        <v>18365</v>
      </c>
      <c r="E13084" s="7" t="s">
        <v>23</v>
      </c>
      <c r="F13084" s="8" t="str">
        <f ca="1">IFERROR(__xludf.DUMMYFUNCTION("IF
(
C13085=""фізична особа""
,
VLOOKUP(D13085,IMPORTRANGE(""https://docs.google.com/spreadsheets/d/14Bd19lYaqBhU8_DElYkX7l4wRkHqqCUFNJY4AfY3kHU/edit?usp=sharing  #gid=0"",""фіз особи new!relations_name""),6,FALSE)
,
(IF
(
C13085=""юридична особа""
,
VLOO"&amp;"KUP(D13085,IMPORTRANGE(""https://docs.google.com/spreadsheets/d/14Bd19lYaqBhU8_DElYkX7l4wRkHqqCUFNJY4AfY3kHU/edit?usp=sharing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4" s="7" t="s">
        <v>10</v>
      </c>
      <c r="H13084" s="7">
        <v>18362</v>
      </c>
      <c r="I13084" s="8" t="str">
        <f ca="1">IFERROR(__xludf.DUMMYFUNCTION("IF
(
G13085=""фізична особа""
,
VLOOKUP(H13085,IMPORTRANGE(""https://docs.google.com/spreadsheets/d/14Bd19lYaqBhU8_DElYkX7l4wRkHqqCUFNJY4AfY3kHU/edit?usp=sharing  #gid=0"",""фіз особи new!relations_name""),6,FALSE)
,
(IF
(
G13085=""юридична особа""
,
VLOO"&amp;"KUP(H13085,IMPORTRANGE(""https://docs.google.com/spreadsheets/d/14Bd19lYaqBhU8_DElYkX7l4wRkHqqCUFNJY4AfY3kHU/edit?usp=sharing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084" s="7" t="s">
        <v>23</v>
      </c>
    </row>
    <row r="13085" spans="1:10" ht="13.2">
      <c r="A13085" s="7">
        <v>13084</v>
      </c>
      <c r="B13085" s="7">
        <v>1</v>
      </c>
      <c r="C13085" s="7" t="s">
        <v>10</v>
      </c>
      <c r="D13085" s="7">
        <v>18365</v>
      </c>
      <c r="E13085" s="7" t="s">
        <v>23</v>
      </c>
      <c r="F13085" s="8" t="str">
        <f ca="1">IFERROR(__xludf.DUMMYFUNCTION("IF
(
C13086=""фізична особа""
,
VLOOKUP(D13086,IMPORTRANGE(""https://docs.google.com/spreadsheets/d/14Bd19lYaqBhU8_DElYkX7l4wRkHqqCUFNJY4AfY3kHU/edit?usp=sharing  #gid=0"",""фіз особи new!relations_name""),6,FALSE)
,
(IF
(
C13086=""юридична особа""
,
VLOO"&amp;"KUP(D13086,IMPORTRANGE(""https://docs.google.com/spreadsheets/d/14Bd19lYaqBhU8_DElYkX7l4wRkHqqCUFNJY4AfY3kHU/edit?usp=sharing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5" s="7" t="s">
        <v>10</v>
      </c>
      <c r="H13085" s="7">
        <v>18363</v>
      </c>
      <c r="I13085" s="8" t="str">
        <f ca="1">IFERROR(__xludf.DUMMYFUNCTION("IF
(
G13086=""фізична особа""
,
VLOOKUP(H13086,IMPORTRANGE(""https://docs.google.com/spreadsheets/d/14Bd19lYaqBhU8_DElYkX7l4wRkHqqCUFNJY4AfY3kHU/edit?usp=sharing  #gid=0"",""фіз особи new!relations_name""),6,FALSE)
,
(IF
(
G13086=""юридична особа""
,
VLOO"&amp;"KUP(H13086,IMPORTRANGE(""https://docs.google.com/spreadsheets/d/14Bd19lYaqBhU8_DElYkX7l4wRkHqqCUFNJY4AfY3kHU/edit?usp=sharing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085" s="7" t="s">
        <v>23</v>
      </c>
    </row>
    <row r="13086" spans="1:10" ht="13.2">
      <c r="A13086" s="7">
        <v>13085</v>
      </c>
      <c r="B13086" s="7">
        <v>1</v>
      </c>
      <c r="C13086" s="7" t="s">
        <v>10</v>
      </c>
      <c r="D13086" s="7">
        <v>18365</v>
      </c>
      <c r="E13086" s="7" t="s">
        <v>23</v>
      </c>
      <c r="F13086" s="8" t="str">
        <f ca="1">IFERROR(__xludf.DUMMYFUNCTION("IF
(
C13087=""фізична особа""
,
VLOOKUP(D13087,IMPORTRANGE(""https://docs.google.com/spreadsheets/d/14Bd19lYaqBhU8_DElYkX7l4wRkHqqCUFNJY4AfY3kHU/edit?usp=sharing  #gid=0"",""фіз особи new!relations_name""),6,FALSE)
,
(IF
(
C13087=""юридична особа""
,
VLOO"&amp;"KUP(D13087,IMPORTRANGE(""https://docs.google.com/spreadsheets/d/14Bd19lYaqBhU8_DElYkX7l4wRkHqqCUFNJY4AfY3kHU/edit?usp=sharing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6" s="7" t="s">
        <v>10</v>
      </c>
      <c r="H13086" s="7">
        <v>18364</v>
      </c>
      <c r="I13086" s="8" t="str">
        <f ca="1">IFERROR(__xludf.DUMMYFUNCTION("IF
(
G13087=""фізична особа""
,
VLOOKUP(H13087,IMPORTRANGE(""https://docs.google.com/spreadsheets/d/14Bd19lYaqBhU8_DElYkX7l4wRkHqqCUFNJY4AfY3kHU/edit?usp=sharing  #gid=0"",""фіз особи new!relations_name""),6,FALSE)
,
(IF
(
G13087=""юридична особа""
,
VLOO"&amp;"KUP(H13087,IMPORTRANGE(""https://docs.google.com/spreadsheets/d/14Bd19lYaqBhU8_DElYkX7l4wRkHqqCUFNJY4AfY3kHU/edit?usp=sharing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086" s="7" t="s">
        <v>23</v>
      </c>
    </row>
    <row r="13087" spans="1:10" ht="13.2">
      <c r="A13087" s="7">
        <v>13086</v>
      </c>
      <c r="B13087" s="7">
        <v>1</v>
      </c>
      <c r="C13087" s="7" t="s">
        <v>10</v>
      </c>
      <c r="D13087" s="7">
        <v>18365</v>
      </c>
      <c r="E13087" s="7" t="s">
        <v>23</v>
      </c>
      <c r="F13087" s="8" t="str">
        <f ca="1">IFERROR(__xludf.DUMMYFUNCTION("IF
(
C13088=""фізична особа""
,
VLOOKUP(D13088,IMPORTRANGE(""https://docs.google.com/spreadsheets/d/14Bd19lYaqBhU8_DElYkX7l4wRkHqqCUFNJY4AfY3kHU/edit?usp=sharing  #gid=0"",""фіз особи new!relations_name""),6,FALSE)
,
(IF
(
C13088=""юридична особа""
,
VLOO"&amp;"KUP(D13088,IMPORTRANGE(""https://docs.google.com/spreadsheets/d/14Bd19lYaqBhU8_DElYkX7l4wRkHqqCUFNJY4AfY3kHU/edit?usp=sharing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7" s="7" t="s">
        <v>10</v>
      </c>
      <c r="H13087" s="7">
        <v>18366</v>
      </c>
      <c r="I13087" s="8" t="str">
        <f ca="1">IFERROR(__xludf.DUMMYFUNCTION("IF
(
G13088=""фізична особа""
,
VLOOKUP(H13088,IMPORTRANGE(""https://docs.google.com/spreadsheets/d/14Bd19lYaqBhU8_DElYkX7l4wRkHqqCUFNJY4AfY3kHU/edit?usp=sharing  #gid=0"",""фіз особи new!relations_name""),6,FALSE)
,
(IF
(
G13088=""юридична особа""
,
VLOO"&amp;"KUP(H13088,IMPORTRANGE(""https://docs.google.com/spreadsheets/d/14Bd19lYaqBhU8_DElYkX7l4wRkHqqCUFNJY4AfY3kHU/edit?usp=sharing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087" s="7" t="s">
        <v>23</v>
      </c>
    </row>
    <row r="13088" spans="1:10" ht="13.2">
      <c r="A13088" s="7">
        <v>13087</v>
      </c>
      <c r="B13088" s="7">
        <v>1</v>
      </c>
      <c r="C13088" s="7" t="s">
        <v>10</v>
      </c>
      <c r="D13088" s="7">
        <v>18365</v>
      </c>
      <c r="E13088" s="7" t="s">
        <v>23</v>
      </c>
      <c r="F13088" s="8" t="str">
        <f ca="1">IFERROR(__xludf.DUMMYFUNCTION("IF
(
C13089=""фізична особа""
,
VLOOKUP(D13089,IMPORTRANGE(""https://docs.google.com/spreadsheets/d/14Bd19lYaqBhU8_DElYkX7l4wRkHqqCUFNJY4AfY3kHU/edit?usp=sharing  #gid=0"",""фіз особи new!relations_name""),6,FALSE)
,
(IF
(
C13089=""юридична особа""
,
VLOO"&amp;"KUP(D13089,IMPORTRANGE(""https://docs.google.com/spreadsheets/d/14Bd19lYaqBhU8_DElYkX7l4wRkHqqCUFNJY4AfY3kHU/edit?usp=sharing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8" s="7" t="s">
        <v>10</v>
      </c>
      <c r="H13088" s="7">
        <v>18367</v>
      </c>
      <c r="I13088" s="8" t="str">
        <f ca="1">IFERROR(__xludf.DUMMYFUNCTION("IF
(
G13089=""фізична особа""
,
VLOOKUP(H13089,IMPORTRANGE(""https://docs.google.com/spreadsheets/d/14Bd19lYaqBhU8_DElYkX7l4wRkHqqCUFNJY4AfY3kHU/edit?usp=sharing  #gid=0"",""фіз особи new!relations_name""),6,FALSE)
,
(IF
(
G13089=""юридична особа""
,
VLOO"&amp;"KUP(H13089,IMPORTRANGE(""https://docs.google.com/spreadsheets/d/14Bd19lYaqBhU8_DElYkX7l4wRkHqqCUFNJY4AfY3kHU/edit?usp=sharing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088" s="7" t="s">
        <v>23</v>
      </c>
    </row>
    <row r="13089" spans="1:10" ht="13.2">
      <c r="A13089" s="7">
        <v>13088</v>
      </c>
      <c r="B13089" s="7">
        <v>1</v>
      </c>
      <c r="C13089" s="7" t="s">
        <v>10</v>
      </c>
      <c r="D13089" s="7">
        <v>18365</v>
      </c>
      <c r="E13089" s="7" t="s">
        <v>23</v>
      </c>
      <c r="F13089" s="8" t="str">
        <f ca="1">IFERROR(__xludf.DUMMYFUNCTION("IF
(
C13090=""фізична особа""
,
VLOOKUP(D13090,IMPORTRANGE(""https://docs.google.com/spreadsheets/d/14Bd19lYaqBhU8_DElYkX7l4wRkHqqCUFNJY4AfY3kHU/edit?usp=sharing  #gid=0"",""фіз особи new!relations_name""),6,FALSE)
,
(IF
(
C13090=""юридична особа""
,
VLOO"&amp;"KUP(D13090,IMPORTRANGE(""https://docs.google.com/spreadsheets/d/14Bd19lYaqBhU8_DElYkX7l4wRkHqqCUFNJY4AfY3kHU/edit?usp=sharing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89" s="7" t="s">
        <v>10</v>
      </c>
      <c r="H13089" s="7">
        <v>18368</v>
      </c>
      <c r="I13089" s="8" t="str">
        <f ca="1">IFERROR(__xludf.DUMMYFUNCTION("IF
(
G13090=""фізична особа""
,
VLOOKUP(H13090,IMPORTRANGE(""https://docs.google.com/spreadsheets/d/14Bd19lYaqBhU8_DElYkX7l4wRkHqqCUFNJY4AfY3kHU/edit?usp=sharing  #gid=0"",""фіз особи new!relations_name""),6,FALSE)
,
(IF
(
G13090=""юридична особа""
,
VLOO"&amp;"KUP(H13090,IMPORTRANGE(""https://docs.google.com/spreadsheets/d/14Bd19lYaqBhU8_DElYkX7l4wRkHqqCUFNJY4AfY3kHU/edit?usp=sharing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089" s="7" t="s">
        <v>23</v>
      </c>
    </row>
    <row r="13090" spans="1:10" ht="13.2">
      <c r="A13090" s="7">
        <v>13089</v>
      </c>
      <c r="B13090" s="7">
        <v>1</v>
      </c>
      <c r="C13090" s="7" t="s">
        <v>10</v>
      </c>
      <c r="D13090" s="7">
        <v>18365</v>
      </c>
      <c r="E13090" s="7" t="s">
        <v>23</v>
      </c>
      <c r="F13090" s="8" t="str">
        <f ca="1">IFERROR(__xludf.DUMMYFUNCTION("IF
(
C13091=""фізична особа""
,
VLOOKUP(D13091,IMPORTRANGE(""https://docs.google.com/spreadsheets/d/14Bd19lYaqBhU8_DElYkX7l4wRkHqqCUFNJY4AfY3kHU/edit?usp=sharing  #gid=0"",""фіз особи new!relations_name""),6,FALSE)
,
(IF
(
C13091=""юридична особа""
,
VLOO"&amp;"KUP(D13091,IMPORTRANGE(""https://docs.google.com/spreadsheets/d/14Bd19lYaqBhU8_DElYkX7l4wRkHqqCUFNJY4AfY3kHU/edit?usp=sharing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G13090" s="7" t="s">
        <v>10</v>
      </c>
      <c r="H13090" s="7">
        <v>18369</v>
      </c>
      <c r="I13090" s="8" t="str">
        <f ca="1">IFERROR(__xludf.DUMMYFUNCTION("IF
(
G13091=""фізична особа""
,
VLOOKUP(H13091,IMPORTRANGE(""https://docs.google.com/spreadsheets/d/14Bd19lYaqBhU8_DElYkX7l4wRkHqqCUFNJY4AfY3kHU/edit?usp=sharing  #gid=0"",""фіз особи new!relations_name""),6,FALSE)
,
(IF
(
G13091=""юридична особа""
,
VLOO"&amp;"KUP(H13091,IMPORTRANGE(""https://docs.google.com/spreadsheets/d/14Bd19lYaqBhU8_DElYkX7l4wRkHqqCUFNJY4AfY3kHU/edit?usp=sharing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090" s="7" t="s">
        <v>23</v>
      </c>
    </row>
    <row r="13091" spans="1:10" ht="13.2">
      <c r="A13091" s="7">
        <v>13090</v>
      </c>
      <c r="B13091" s="7">
        <v>1</v>
      </c>
      <c r="C13091" s="7" t="s">
        <v>10</v>
      </c>
      <c r="D13091" s="7">
        <v>18366</v>
      </c>
      <c r="E13091" s="7" t="s">
        <v>23</v>
      </c>
      <c r="F13091" s="8" t="str">
        <f ca="1">IFERROR(__xludf.DUMMYFUNCTION("IF
(
C13092=""фізична особа""
,
VLOOKUP(D13092,IMPORTRANGE(""https://docs.google.com/spreadsheets/d/14Bd19lYaqBhU8_DElYkX7l4wRkHqqCUFNJY4AfY3kHU/edit?usp=sharing  #gid=0"",""фіз особи new!relations_name""),6,FALSE)
,
(IF
(
C13092=""юридична особа""
,
VLOO"&amp;"KUP(D13092,IMPORTRANGE(""https://docs.google.com/spreadsheets/d/14Bd19lYaqBhU8_DElYkX7l4wRkHqqCUFNJY4AfY3kHU/edit?usp=sharing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1" s="7" t="s">
        <v>10</v>
      </c>
      <c r="H13091" s="7">
        <v>18362</v>
      </c>
      <c r="I13091" s="8" t="str">
        <f ca="1">IFERROR(__xludf.DUMMYFUNCTION("IF
(
G13092=""фізична особа""
,
VLOOKUP(H13092,IMPORTRANGE(""https://docs.google.com/spreadsheets/d/14Bd19lYaqBhU8_DElYkX7l4wRkHqqCUFNJY4AfY3kHU/edit?usp=sharing  #gid=0"",""фіз особи new!relations_name""),6,FALSE)
,
(IF
(
G13092=""юридична особа""
,
VLOO"&amp;"KUP(H13092,IMPORTRANGE(""https://docs.google.com/spreadsheets/d/14Bd19lYaqBhU8_DElYkX7l4wRkHqqCUFNJY4AfY3kHU/edit?usp=sharing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091" s="7" t="s">
        <v>23</v>
      </c>
    </row>
    <row r="13092" spans="1:10" ht="13.2">
      <c r="A13092" s="7">
        <v>13091</v>
      </c>
      <c r="B13092" s="7">
        <v>1</v>
      </c>
      <c r="C13092" s="7" t="s">
        <v>10</v>
      </c>
      <c r="D13092" s="7">
        <v>18366</v>
      </c>
      <c r="E13092" s="7" t="s">
        <v>23</v>
      </c>
      <c r="F13092" s="8" t="str">
        <f ca="1">IFERROR(__xludf.DUMMYFUNCTION("IF
(
C13093=""фізична особа""
,
VLOOKUP(D13093,IMPORTRANGE(""https://docs.google.com/spreadsheets/d/14Bd19lYaqBhU8_DElYkX7l4wRkHqqCUFNJY4AfY3kHU/edit?usp=sharing  #gid=0"",""фіз особи new!relations_name""),6,FALSE)
,
(IF
(
C13093=""юридична особа""
,
VLOO"&amp;"KUP(D13093,IMPORTRANGE(""https://docs.google.com/spreadsheets/d/14Bd19lYaqBhU8_DElYkX7l4wRkHqqCUFNJY4AfY3kHU/edit?usp=sharing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2" s="7" t="s">
        <v>10</v>
      </c>
      <c r="H13092" s="7">
        <v>18363</v>
      </c>
      <c r="I13092" s="8" t="str">
        <f ca="1">IFERROR(__xludf.DUMMYFUNCTION("IF
(
G13093=""фізична особа""
,
VLOOKUP(H13093,IMPORTRANGE(""https://docs.google.com/spreadsheets/d/14Bd19lYaqBhU8_DElYkX7l4wRkHqqCUFNJY4AfY3kHU/edit?usp=sharing  #gid=0"",""фіз особи new!relations_name""),6,FALSE)
,
(IF
(
G13093=""юридична особа""
,
VLOO"&amp;"KUP(H13093,IMPORTRANGE(""https://docs.google.com/spreadsheets/d/14Bd19lYaqBhU8_DElYkX7l4wRkHqqCUFNJY4AfY3kHU/edit?usp=sharing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092" s="7" t="s">
        <v>23</v>
      </c>
    </row>
    <row r="13093" spans="1:10" ht="13.2">
      <c r="A13093" s="7">
        <v>13092</v>
      </c>
      <c r="B13093" s="7">
        <v>1</v>
      </c>
      <c r="C13093" s="7" t="s">
        <v>10</v>
      </c>
      <c r="D13093" s="7">
        <v>18366</v>
      </c>
      <c r="E13093" s="7" t="s">
        <v>23</v>
      </c>
      <c r="F13093" s="8" t="str">
        <f ca="1">IFERROR(__xludf.DUMMYFUNCTION("IF
(
C13094=""фізична особа""
,
VLOOKUP(D13094,IMPORTRANGE(""https://docs.google.com/spreadsheets/d/14Bd19lYaqBhU8_DElYkX7l4wRkHqqCUFNJY4AfY3kHU/edit?usp=sharing  #gid=0"",""фіз особи new!relations_name""),6,FALSE)
,
(IF
(
C13094=""юридична особа""
,
VLOO"&amp;"KUP(D13094,IMPORTRANGE(""https://docs.google.com/spreadsheets/d/14Bd19lYaqBhU8_DElYkX7l4wRkHqqCUFNJY4AfY3kHU/edit?usp=sharing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3" s="7" t="s">
        <v>10</v>
      </c>
      <c r="H13093" s="7">
        <v>18364</v>
      </c>
      <c r="I13093" s="8" t="str">
        <f ca="1">IFERROR(__xludf.DUMMYFUNCTION("IF
(
G13094=""фізична особа""
,
VLOOKUP(H13094,IMPORTRANGE(""https://docs.google.com/spreadsheets/d/14Bd19lYaqBhU8_DElYkX7l4wRkHqqCUFNJY4AfY3kHU/edit?usp=sharing  #gid=0"",""фіз особи new!relations_name""),6,FALSE)
,
(IF
(
G13094=""юридична особа""
,
VLOO"&amp;"KUP(H13094,IMPORTRANGE(""https://docs.google.com/spreadsheets/d/14Bd19lYaqBhU8_DElYkX7l4wRkHqqCUFNJY4AfY3kHU/edit?usp=sharing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093" s="7" t="s">
        <v>23</v>
      </c>
    </row>
    <row r="13094" spans="1:10" ht="13.2">
      <c r="A13094" s="7">
        <v>13093</v>
      </c>
      <c r="B13094" s="7">
        <v>1</v>
      </c>
      <c r="C13094" s="7" t="s">
        <v>10</v>
      </c>
      <c r="D13094" s="7">
        <v>18366</v>
      </c>
      <c r="E13094" s="7" t="s">
        <v>23</v>
      </c>
      <c r="F13094" s="8" t="str">
        <f ca="1">IFERROR(__xludf.DUMMYFUNCTION("IF
(
C13095=""фізична особа""
,
VLOOKUP(D13095,IMPORTRANGE(""https://docs.google.com/spreadsheets/d/14Bd19lYaqBhU8_DElYkX7l4wRkHqqCUFNJY4AfY3kHU/edit?usp=sharing  #gid=0"",""фіз особи new!relations_name""),6,FALSE)
,
(IF
(
C13095=""юридична особа""
,
VLOO"&amp;"KUP(D13095,IMPORTRANGE(""https://docs.google.com/spreadsheets/d/14Bd19lYaqBhU8_DElYkX7l4wRkHqqCUFNJY4AfY3kHU/edit?usp=sharing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4" s="7" t="s">
        <v>10</v>
      </c>
      <c r="H13094" s="7">
        <v>18365</v>
      </c>
      <c r="I13094" s="8" t="str">
        <f ca="1">IFERROR(__xludf.DUMMYFUNCTION("IF
(
G13095=""фізична особа""
,
VLOOKUP(H13095,IMPORTRANGE(""https://docs.google.com/spreadsheets/d/14Bd19lYaqBhU8_DElYkX7l4wRkHqqCUFNJY4AfY3kHU/edit?usp=sharing  #gid=0"",""фіз особи new!relations_name""),6,FALSE)
,
(IF
(
G13095=""юридична особа""
,
VLOO"&amp;"KUP(H13095,IMPORTRANGE(""https://docs.google.com/spreadsheets/d/14Bd19lYaqBhU8_DElYkX7l4wRkHqqCUFNJY4AfY3kHU/edit?usp=sharing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094" s="7" t="s">
        <v>23</v>
      </c>
    </row>
    <row r="13095" spans="1:10" ht="13.2">
      <c r="A13095" s="7">
        <v>13094</v>
      </c>
      <c r="B13095" s="7">
        <v>1</v>
      </c>
      <c r="C13095" s="7" t="s">
        <v>10</v>
      </c>
      <c r="D13095" s="7">
        <v>18366</v>
      </c>
      <c r="E13095" s="7" t="s">
        <v>23</v>
      </c>
      <c r="F13095" s="8" t="str">
        <f ca="1">IFERROR(__xludf.DUMMYFUNCTION("IF
(
C13096=""фізична особа""
,
VLOOKUP(D13096,IMPORTRANGE(""https://docs.google.com/spreadsheets/d/14Bd19lYaqBhU8_DElYkX7l4wRkHqqCUFNJY4AfY3kHU/edit?usp=sharing  #gid=0"",""фіз особи new!relations_name""),6,FALSE)
,
(IF
(
C13096=""юридична особа""
,
VLOO"&amp;"KUP(D13096,IMPORTRANGE(""https://docs.google.com/spreadsheets/d/14Bd19lYaqBhU8_DElYkX7l4wRkHqqCUFNJY4AfY3kHU/edit?usp=sharing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5" s="7" t="s">
        <v>10</v>
      </c>
      <c r="H13095" s="7">
        <v>18367</v>
      </c>
      <c r="I13095" s="8" t="str">
        <f ca="1">IFERROR(__xludf.DUMMYFUNCTION("IF
(
G13096=""фізична особа""
,
VLOOKUP(H13096,IMPORTRANGE(""https://docs.google.com/spreadsheets/d/14Bd19lYaqBhU8_DElYkX7l4wRkHqqCUFNJY4AfY3kHU/edit?usp=sharing  #gid=0"",""фіз особи new!relations_name""),6,FALSE)
,
(IF
(
G13096=""юридична особа""
,
VLOO"&amp;"KUP(H13096,IMPORTRANGE(""https://docs.google.com/spreadsheets/d/14Bd19lYaqBhU8_DElYkX7l4wRkHqqCUFNJY4AfY3kHU/edit?usp=sharing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095" s="7" t="s">
        <v>23</v>
      </c>
    </row>
    <row r="13096" spans="1:10" ht="13.2">
      <c r="A13096" s="7">
        <v>13095</v>
      </c>
      <c r="B13096" s="7">
        <v>1</v>
      </c>
      <c r="C13096" s="7" t="s">
        <v>10</v>
      </c>
      <c r="D13096" s="7">
        <v>18366</v>
      </c>
      <c r="E13096" s="7" t="s">
        <v>23</v>
      </c>
      <c r="F13096" s="8" t="str">
        <f ca="1">IFERROR(__xludf.DUMMYFUNCTION("IF
(
C13097=""фізична особа""
,
VLOOKUP(D13097,IMPORTRANGE(""https://docs.google.com/spreadsheets/d/14Bd19lYaqBhU8_DElYkX7l4wRkHqqCUFNJY4AfY3kHU/edit?usp=sharing  #gid=0"",""фіз особи new!relations_name""),6,FALSE)
,
(IF
(
C13097=""юридична особа""
,
VLOO"&amp;"KUP(D13097,IMPORTRANGE(""https://docs.google.com/spreadsheets/d/14Bd19lYaqBhU8_DElYkX7l4wRkHqqCUFNJY4AfY3kHU/edit?usp=sharing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6" s="7" t="s">
        <v>10</v>
      </c>
      <c r="H13096" s="7">
        <v>18368</v>
      </c>
      <c r="I13096" s="8" t="str">
        <f ca="1">IFERROR(__xludf.DUMMYFUNCTION("IF
(
G13097=""фізична особа""
,
VLOOKUP(H13097,IMPORTRANGE(""https://docs.google.com/spreadsheets/d/14Bd19lYaqBhU8_DElYkX7l4wRkHqqCUFNJY4AfY3kHU/edit?usp=sharing  #gid=0"",""фіз особи new!relations_name""),6,FALSE)
,
(IF
(
G13097=""юридична особа""
,
VLOO"&amp;"KUP(H13097,IMPORTRANGE(""https://docs.google.com/spreadsheets/d/14Bd19lYaqBhU8_DElYkX7l4wRkHqqCUFNJY4AfY3kHU/edit?usp=sharing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096" s="7" t="s">
        <v>23</v>
      </c>
    </row>
    <row r="13097" spans="1:10" ht="13.2">
      <c r="A13097" s="7">
        <v>13096</v>
      </c>
      <c r="B13097" s="7">
        <v>1</v>
      </c>
      <c r="C13097" s="7" t="s">
        <v>10</v>
      </c>
      <c r="D13097" s="7">
        <v>18366</v>
      </c>
      <c r="E13097" s="7" t="s">
        <v>23</v>
      </c>
      <c r="F13097" s="8" t="str">
        <f ca="1">IFERROR(__xludf.DUMMYFUNCTION("IF
(
C13098=""фізична особа""
,
VLOOKUP(D13098,IMPORTRANGE(""https://docs.google.com/spreadsheets/d/14Bd19lYaqBhU8_DElYkX7l4wRkHqqCUFNJY4AfY3kHU/edit?usp=sharing  #gid=0"",""фіз особи new!relations_name""),6,FALSE)
,
(IF
(
C13098=""юридична особа""
,
VLOO"&amp;"KUP(D13098,IMPORTRANGE(""https://docs.google.com/spreadsheets/d/14Bd19lYaqBhU8_DElYkX7l4wRkHqqCUFNJY4AfY3kHU/edit?usp=sharing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G13097" s="7" t="s">
        <v>10</v>
      </c>
      <c r="H13097" s="7">
        <v>18369</v>
      </c>
      <c r="I13097" s="8" t="str">
        <f ca="1">IFERROR(__xludf.DUMMYFUNCTION("IF
(
G13098=""фізична особа""
,
VLOOKUP(H13098,IMPORTRANGE(""https://docs.google.com/spreadsheets/d/14Bd19lYaqBhU8_DElYkX7l4wRkHqqCUFNJY4AfY3kHU/edit?usp=sharing  #gid=0"",""фіз особи new!relations_name""),6,FALSE)
,
(IF
(
G13098=""юридична особа""
,
VLOO"&amp;"KUP(H13098,IMPORTRANGE(""https://docs.google.com/spreadsheets/d/14Bd19lYaqBhU8_DElYkX7l4wRkHqqCUFNJY4AfY3kHU/edit?usp=sharing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097" s="7" t="s">
        <v>23</v>
      </c>
    </row>
    <row r="13098" spans="1:10" ht="13.2">
      <c r="A13098" s="7">
        <v>13097</v>
      </c>
      <c r="B13098" s="7">
        <v>1</v>
      </c>
      <c r="C13098" s="7" t="s">
        <v>10</v>
      </c>
      <c r="D13098" s="7">
        <v>18367</v>
      </c>
      <c r="E13098" s="7" t="s">
        <v>23</v>
      </c>
      <c r="F13098" s="8" t="str">
        <f ca="1">IFERROR(__xludf.DUMMYFUNCTION("IF
(
C13099=""фізична особа""
,
VLOOKUP(D13099,IMPORTRANGE(""https://docs.google.com/spreadsheets/d/14Bd19lYaqBhU8_DElYkX7l4wRkHqqCUFNJY4AfY3kHU/edit?usp=sharing  #gid=0"",""фіз особи new!relations_name""),6,FALSE)
,
(IF
(
C13099=""юридична особа""
,
VLOO"&amp;"KUP(D13099,IMPORTRANGE(""https://docs.google.com/spreadsheets/d/14Bd19lYaqBhU8_DElYkX7l4wRkHqqCUFNJY4AfY3kHU/edit?usp=sharing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098" s="7" t="s">
        <v>10</v>
      </c>
      <c r="H13098" s="7">
        <v>18362</v>
      </c>
      <c r="I13098" s="8" t="str">
        <f ca="1">IFERROR(__xludf.DUMMYFUNCTION("IF
(
G13099=""фізична особа""
,
VLOOKUP(H13099,IMPORTRANGE(""https://docs.google.com/spreadsheets/d/14Bd19lYaqBhU8_DElYkX7l4wRkHqqCUFNJY4AfY3kHU/edit?usp=sharing  #gid=0"",""фіз особи new!relations_name""),6,FALSE)
,
(IF
(
G13099=""юридична особа""
,
VLOO"&amp;"KUP(H13099,IMPORTRANGE(""https://docs.google.com/spreadsheets/d/14Bd19lYaqBhU8_DElYkX7l4wRkHqqCUFNJY4AfY3kHU/edit?usp=sharing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098" s="7" t="s">
        <v>23</v>
      </c>
    </row>
    <row r="13099" spans="1:10" ht="13.2">
      <c r="A13099" s="7">
        <v>13098</v>
      </c>
      <c r="B13099" s="7">
        <v>1</v>
      </c>
      <c r="C13099" s="7" t="s">
        <v>10</v>
      </c>
      <c r="D13099" s="7">
        <v>18367</v>
      </c>
      <c r="E13099" s="7" t="s">
        <v>23</v>
      </c>
      <c r="F13099" s="8" t="str">
        <f ca="1">IFERROR(__xludf.DUMMYFUNCTION("IF
(
C13100=""фізична особа""
,
VLOOKUP(D13100,IMPORTRANGE(""https://docs.google.com/spreadsheets/d/14Bd19lYaqBhU8_DElYkX7l4wRkHqqCUFNJY4AfY3kHU/edit?usp=sharing  #gid=0"",""фіз особи new!relations_name""),6,FALSE)
,
(IF
(
C13100=""юридична особа""
,
VLOO"&amp;"KUP(D13100,IMPORTRANGE(""https://docs.google.com/spreadsheets/d/14Bd19lYaqBhU8_DElYkX7l4wRkHqqCUFNJY4AfY3kHU/edit?usp=sharing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099" s="7" t="s">
        <v>10</v>
      </c>
      <c r="H13099" s="7">
        <v>18363</v>
      </c>
      <c r="I13099" s="8" t="str">
        <f ca="1">IFERROR(__xludf.DUMMYFUNCTION("IF
(
G13100=""фізична особа""
,
VLOOKUP(H13100,IMPORTRANGE(""https://docs.google.com/spreadsheets/d/14Bd19lYaqBhU8_DElYkX7l4wRkHqqCUFNJY4AfY3kHU/edit?usp=sharing  #gid=0"",""фіз особи new!relations_name""),6,FALSE)
,
(IF
(
G13100=""юридична особа""
,
VLOO"&amp;"KUP(H13100,IMPORTRANGE(""https://docs.google.com/spreadsheets/d/14Bd19lYaqBhU8_DElYkX7l4wRkHqqCUFNJY4AfY3kHU/edit?usp=sharing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099" s="7" t="s">
        <v>23</v>
      </c>
    </row>
    <row r="13100" spans="1:10" ht="13.2">
      <c r="A13100" s="7">
        <v>13099</v>
      </c>
      <c r="B13100" s="7">
        <v>1</v>
      </c>
      <c r="C13100" s="7" t="s">
        <v>10</v>
      </c>
      <c r="D13100" s="7">
        <v>18367</v>
      </c>
      <c r="E13100" s="7" t="s">
        <v>23</v>
      </c>
      <c r="F13100" s="8" t="str">
        <f ca="1">IFERROR(__xludf.DUMMYFUNCTION("IF
(
C13101=""фізична особа""
,
VLOOKUP(D13101,IMPORTRANGE(""https://docs.google.com/spreadsheets/d/14Bd19lYaqBhU8_DElYkX7l4wRkHqqCUFNJY4AfY3kHU/edit?usp=sharing  #gid=0"",""фіз особи new!relations_name""),6,FALSE)
,
(IF
(
C13101=""юридична особа""
,
VLOO"&amp;"KUP(D13101,IMPORTRANGE(""https://docs.google.com/spreadsheets/d/14Bd19lYaqBhU8_DElYkX7l4wRkHqqCUFNJY4AfY3kHU/edit?usp=sharing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100" s="7" t="s">
        <v>10</v>
      </c>
      <c r="H13100" s="7">
        <v>18364</v>
      </c>
      <c r="I13100" s="8" t="str">
        <f ca="1">IFERROR(__xludf.DUMMYFUNCTION("IF
(
G13101=""фізична особа""
,
VLOOKUP(H13101,IMPORTRANGE(""https://docs.google.com/spreadsheets/d/14Bd19lYaqBhU8_DElYkX7l4wRkHqqCUFNJY4AfY3kHU/edit?usp=sharing  #gid=0"",""фіз особи new!relations_name""),6,FALSE)
,
(IF
(
G13101=""юридична особа""
,
VLOO"&amp;"KUP(H13101,IMPORTRANGE(""https://docs.google.com/spreadsheets/d/14Bd19lYaqBhU8_DElYkX7l4wRkHqqCUFNJY4AfY3kHU/edit?usp=sharing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100" s="7" t="s">
        <v>23</v>
      </c>
    </row>
    <row r="13101" spans="1:10" ht="13.2">
      <c r="A13101" s="7">
        <v>13100</v>
      </c>
      <c r="B13101" s="7">
        <v>1</v>
      </c>
      <c r="C13101" s="7" t="s">
        <v>10</v>
      </c>
      <c r="D13101" s="7">
        <v>18367</v>
      </c>
      <c r="E13101" s="7" t="s">
        <v>23</v>
      </c>
      <c r="F13101" s="8" t="str">
        <f ca="1">IFERROR(__xludf.DUMMYFUNCTION("IF
(
C13102=""фізична особа""
,
VLOOKUP(D13102,IMPORTRANGE(""https://docs.google.com/spreadsheets/d/14Bd19lYaqBhU8_DElYkX7l4wRkHqqCUFNJY4AfY3kHU/edit?usp=sharing  #gid=0"",""фіз особи new!relations_name""),6,FALSE)
,
(IF
(
C13102=""юридична особа""
,
VLOO"&amp;"KUP(D13102,IMPORTRANGE(""https://docs.google.com/spreadsheets/d/14Bd19lYaqBhU8_DElYkX7l4wRkHqqCUFNJY4AfY3kHU/edit?usp=sharing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101" s="7" t="s">
        <v>10</v>
      </c>
      <c r="H13101" s="7">
        <v>18365</v>
      </c>
      <c r="I13101" s="8" t="str">
        <f ca="1">IFERROR(__xludf.DUMMYFUNCTION("IF
(
G13102=""фізична особа""
,
VLOOKUP(H13102,IMPORTRANGE(""https://docs.google.com/spreadsheets/d/14Bd19lYaqBhU8_DElYkX7l4wRkHqqCUFNJY4AfY3kHU/edit?usp=sharing  #gid=0"",""фіз особи new!relations_name""),6,FALSE)
,
(IF
(
G13102=""юридична особа""
,
VLOO"&amp;"KUP(H13102,IMPORTRANGE(""https://docs.google.com/spreadsheets/d/14Bd19lYaqBhU8_DElYkX7l4wRkHqqCUFNJY4AfY3kHU/edit?usp=sharing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101" s="7" t="s">
        <v>23</v>
      </c>
    </row>
    <row r="13102" spans="1:10" ht="13.2">
      <c r="A13102" s="7">
        <v>13101</v>
      </c>
      <c r="B13102" s="7">
        <v>1</v>
      </c>
      <c r="C13102" s="7" t="s">
        <v>10</v>
      </c>
      <c r="D13102" s="7">
        <v>18367</v>
      </c>
      <c r="E13102" s="7" t="s">
        <v>23</v>
      </c>
      <c r="F13102" s="8" t="str">
        <f ca="1">IFERROR(__xludf.DUMMYFUNCTION("IF
(
C13103=""фізична особа""
,
VLOOKUP(D13103,IMPORTRANGE(""https://docs.google.com/spreadsheets/d/14Bd19lYaqBhU8_DElYkX7l4wRkHqqCUFNJY4AfY3kHU/edit?usp=sharing  #gid=0"",""фіз особи new!relations_name""),6,FALSE)
,
(IF
(
C13103=""юридична особа""
,
VLOO"&amp;"KUP(D13103,IMPORTRANGE(""https://docs.google.com/spreadsheets/d/14Bd19lYaqBhU8_DElYkX7l4wRkHqqCUFNJY4AfY3kHU/edit?usp=sharing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102" s="7" t="s">
        <v>10</v>
      </c>
      <c r="H13102" s="7">
        <v>18366</v>
      </c>
      <c r="I13102" s="8" t="str">
        <f ca="1">IFERROR(__xludf.DUMMYFUNCTION("IF
(
G13103=""фізична особа""
,
VLOOKUP(H13103,IMPORTRANGE(""https://docs.google.com/spreadsheets/d/14Bd19lYaqBhU8_DElYkX7l4wRkHqqCUFNJY4AfY3kHU/edit?usp=sharing  #gid=0"",""фіз особи new!relations_name""),6,FALSE)
,
(IF
(
G13103=""юридична особа""
,
VLOO"&amp;"KUP(H13103,IMPORTRANGE(""https://docs.google.com/spreadsheets/d/14Bd19lYaqBhU8_DElYkX7l4wRkHqqCUFNJY4AfY3kHU/edit?usp=sharing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102" s="7" t="s">
        <v>23</v>
      </c>
    </row>
    <row r="13103" spans="1:10" ht="13.2">
      <c r="A13103" s="7">
        <v>13102</v>
      </c>
      <c r="B13103" s="7">
        <v>1</v>
      </c>
      <c r="C13103" s="7" t="s">
        <v>10</v>
      </c>
      <c r="D13103" s="7">
        <v>18367</v>
      </c>
      <c r="E13103" s="7" t="s">
        <v>23</v>
      </c>
      <c r="F13103" s="8" t="str">
        <f ca="1">IFERROR(__xludf.DUMMYFUNCTION("IF
(
C13104=""фізична особа""
,
VLOOKUP(D13104,IMPORTRANGE(""https://docs.google.com/spreadsheets/d/14Bd19lYaqBhU8_DElYkX7l4wRkHqqCUFNJY4AfY3kHU/edit?usp=sharing  #gid=0"",""фіз особи new!relations_name""),6,FALSE)
,
(IF
(
C13104=""юридична особа""
,
VLOO"&amp;"KUP(D13104,IMPORTRANGE(""https://docs.google.com/spreadsheets/d/14Bd19lYaqBhU8_DElYkX7l4wRkHqqCUFNJY4AfY3kHU/edit?usp=sharing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103" s="7" t="s">
        <v>10</v>
      </c>
      <c r="H13103" s="7">
        <v>18368</v>
      </c>
      <c r="I13103" s="8" t="str">
        <f ca="1">IFERROR(__xludf.DUMMYFUNCTION("IF
(
G13104=""фізична особа""
,
VLOOKUP(H13104,IMPORTRANGE(""https://docs.google.com/spreadsheets/d/14Bd19lYaqBhU8_DElYkX7l4wRkHqqCUFNJY4AfY3kHU/edit?usp=sharing  #gid=0"",""фіз особи new!relations_name""),6,FALSE)
,
(IF
(
G13104=""юридична особа""
,
VLOO"&amp;"KUP(H13104,IMPORTRANGE(""https://docs.google.com/spreadsheets/d/14Bd19lYaqBhU8_DElYkX7l4wRkHqqCUFNJY4AfY3kHU/edit?usp=sharing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103" s="7" t="s">
        <v>23</v>
      </c>
    </row>
    <row r="13104" spans="1:10" ht="13.2">
      <c r="A13104" s="7">
        <v>13103</v>
      </c>
      <c r="B13104" s="7">
        <v>1</v>
      </c>
      <c r="C13104" s="7" t="s">
        <v>10</v>
      </c>
      <c r="D13104" s="7">
        <v>18367</v>
      </c>
      <c r="E13104" s="7" t="s">
        <v>23</v>
      </c>
      <c r="F13104" s="8" t="str">
        <f ca="1">IFERROR(__xludf.DUMMYFUNCTION("IF
(
C13105=""фізична особа""
,
VLOOKUP(D13105,IMPORTRANGE(""https://docs.google.com/spreadsheets/d/14Bd19lYaqBhU8_DElYkX7l4wRkHqqCUFNJY4AfY3kHU/edit?usp=sharing  #gid=0"",""фіз особи new!relations_name""),6,FALSE)
,
(IF
(
C13105=""юридична особа""
,
VLOO"&amp;"KUP(D13105,IMPORTRANGE(""https://docs.google.com/spreadsheets/d/14Bd19lYaqBhU8_DElYkX7l4wRkHqqCUFNJY4AfY3kHU/edit?usp=sharing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G13104" s="7" t="s">
        <v>10</v>
      </c>
      <c r="H13104" s="7">
        <v>18369</v>
      </c>
      <c r="I13104" s="8" t="str">
        <f ca="1">IFERROR(__xludf.DUMMYFUNCTION("IF
(
G13105=""фізична особа""
,
VLOOKUP(H13105,IMPORTRANGE(""https://docs.google.com/spreadsheets/d/14Bd19lYaqBhU8_DElYkX7l4wRkHqqCUFNJY4AfY3kHU/edit?usp=sharing  #gid=0"",""фіз особи new!relations_name""),6,FALSE)
,
(IF
(
G13105=""юридична особа""
,
VLOO"&amp;"KUP(H13105,IMPORTRANGE(""https://docs.google.com/spreadsheets/d/14Bd19lYaqBhU8_DElYkX7l4wRkHqqCUFNJY4AfY3kHU/edit?usp=sharing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104" s="7" t="s">
        <v>23</v>
      </c>
    </row>
    <row r="13105" spans="1:10" ht="13.2">
      <c r="A13105" s="7">
        <v>13104</v>
      </c>
      <c r="B13105" s="7">
        <v>1</v>
      </c>
      <c r="C13105" s="7" t="s">
        <v>10</v>
      </c>
      <c r="D13105" s="7">
        <v>18368</v>
      </c>
      <c r="E13105" s="7" t="s">
        <v>23</v>
      </c>
      <c r="F13105" s="8" t="str">
        <f ca="1">IFERROR(__xludf.DUMMYFUNCTION("IF
(
C13106=""фізична особа""
,
VLOOKUP(D13106,IMPORTRANGE(""https://docs.google.com/spreadsheets/d/14Bd19lYaqBhU8_DElYkX7l4wRkHqqCUFNJY4AfY3kHU/edit?usp=sharing  #gid=0"",""фіз особи new!relations_name""),6,FALSE)
,
(IF
(
C13106=""юридична особа""
,
VLOO"&amp;"KUP(D13106,IMPORTRANGE(""https://docs.google.com/spreadsheets/d/14Bd19lYaqBhU8_DElYkX7l4wRkHqqCUFNJY4AfY3kHU/edit?usp=sharing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05" s="7" t="s">
        <v>10</v>
      </c>
      <c r="H13105" s="7">
        <v>18362</v>
      </c>
      <c r="I13105" s="8" t="str">
        <f ca="1">IFERROR(__xludf.DUMMYFUNCTION("IF
(
G13106=""фізична особа""
,
VLOOKUP(H13106,IMPORTRANGE(""https://docs.google.com/spreadsheets/d/14Bd19lYaqBhU8_DElYkX7l4wRkHqqCUFNJY4AfY3kHU/edit?usp=sharing  #gid=0"",""фіз особи new!relations_name""),6,FALSE)
,
(IF
(
G13106=""юридична особа""
,
VLOO"&amp;"KUP(H13106,IMPORTRANGE(""https://docs.google.com/spreadsheets/d/14Bd19lYaqBhU8_DElYkX7l4wRkHqqCUFNJY4AfY3kHU/edit?usp=sharing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05" s="7" t="s">
        <v>23</v>
      </c>
    </row>
    <row r="13106" spans="1:10" ht="13.2">
      <c r="A13106" s="7">
        <v>13105</v>
      </c>
      <c r="B13106" s="7">
        <v>1</v>
      </c>
      <c r="C13106" s="7" t="s">
        <v>10</v>
      </c>
      <c r="D13106" s="7">
        <v>18368</v>
      </c>
      <c r="E13106" s="7" t="s">
        <v>23</v>
      </c>
      <c r="F13106" s="8" t="str">
        <f ca="1">IFERROR(__xludf.DUMMYFUNCTION("IF
(
C13107=""фізична особа""
,
VLOOKUP(D13107,IMPORTRANGE(""https://docs.google.com/spreadsheets/d/14Bd19lYaqBhU8_DElYkX7l4wRkHqqCUFNJY4AfY3kHU/edit?usp=sharing  #gid=0"",""фіз особи new!relations_name""),6,FALSE)
,
(IF
(
C13107=""юридична особа""
,
VLOO"&amp;"KUP(D13107,IMPORTRANGE(""https://docs.google.com/spreadsheets/d/14Bd19lYaqBhU8_DElYkX7l4wRkHqqCUFNJY4AfY3kHU/edit?usp=sharing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06" s="7" t="s">
        <v>10</v>
      </c>
      <c r="H13106" s="7">
        <v>18363</v>
      </c>
      <c r="I13106" s="8" t="str">
        <f ca="1">IFERROR(__xludf.DUMMYFUNCTION("IF
(
G13107=""фізична особа""
,
VLOOKUP(H13107,IMPORTRANGE(""https://docs.google.com/spreadsheets/d/14Bd19lYaqBhU8_DElYkX7l4wRkHqqCUFNJY4AfY3kHU/edit?usp=sharing  #gid=0"",""фіз особи new!relations_name""),6,FALSE)
,
(IF
(
G13107=""юридична особа""
,
VLOO"&amp;"KUP(H13107,IMPORTRANGE(""https://docs.google.com/spreadsheets/d/14Bd19lYaqBhU8_DElYkX7l4wRkHqqCUFNJY4AfY3kHU/edit?usp=sharing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106" s="7" t="s">
        <v>23</v>
      </c>
    </row>
    <row r="13107" spans="1:10" ht="13.2">
      <c r="A13107" s="7">
        <v>13106</v>
      </c>
      <c r="B13107" s="7">
        <v>1</v>
      </c>
      <c r="C13107" s="7" t="s">
        <v>10</v>
      </c>
      <c r="D13107" s="7">
        <v>18368</v>
      </c>
      <c r="E13107" s="7" t="s">
        <v>23</v>
      </c>
      <c r="F13107" s="8" t="str">
        <f ca="1">IFERROR(__xludf.DUMMYFUNCTION("IF
(
C13108=""фізична особа""
,
VLOOKUP(D13108,IMPORTRANGE(""https://docs.google.com/spreadsheets/d/14Bd19lYaqBhU8_DElYkX7l4wRkHqqCUFNJY4AfY3kHU/edit?usp=sharing  #gid=0"",""фіз особи new!relations_name""),6,FALSE)
,
(IF
(
C13108=""юридична особа""
,
VLOO"&amp;"KUP(D13108,IMPORTRANGE(""https://docs.google.com/spreadsheets/d/14Bd19lYaqBhU8_DElYkX7l4wRkHqqCUFNJY4AfY3kHU/edit?usp=sharing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07" s="7" t="s">
        <v>10</v>
      </c>
      <c r="H13107" s="7">
        <v>18364</v>
      </c>
      <c r="I13107" s="8" t="str">
        <f ca="1">IFERROR(__xludf.DUMMYFUNCTION("IF
(
G13108=""фізична особа""
,
VLOOKUP(H13108,IMPORTRANGE(""https://docs.google.com/spreadsheets/d/14Bd19lYaqBhU8_DElYkX7l4wRkHqqCUFNJY4AfY3kHU/edit?usp=sharing  #gid=0"",""фіз особи new!relations_name""),6,FALSE)
,
(IF
(
G13108=""юридична особа""
,
VLOO"&amp;"KUP(H13108,IMPORTRANGE(""https://docs.google.com/spreadsheets/d/14Bd19lYaqBhU8_DElYkX7l4wRkHqqCUFNJY4AfY3kHU/edit?usp=sharing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107" s="7" t="s">
        <v>23</v>
      </c>
    </row>
    <row r="13108" spans="1:10" ht="13.2">
      <c r="A13108" s="7">
        <v>13107</v>
      </c>
      <c r="B13108" s="7">
        <v>1</v>
      </c>
      <c r="C13108" s="7" t="s">
        <v>10</v>
      </c>
      <c r="D13108" s="7">
        <v>18368</v>
      </c>
      <c r="E13108" s="7" t="s">
        <v>23</v>
      </c>
      <c r="F13108" s="8" t="str">
        <f ca="1">IFERROR(__xludf.DUMMYFUNCTION("IF
(
C13109=""фізична особа""
,
VLOOKUP(D13109,IMPORTRANGE(""https://docs.google.com/spreadsheets/d/14Bd19lYaqBhU8_DElYkX7l4wRkHqqCUFNJY4AfY3kHU/edit?usp=sharing  #gid=0"",""фіз особи new!relations_name""),6,FALSE)
,
(IF
(
C13109=""юридична особа""
,
VLOO"&amp;"KUP(D13109,IMPORTRANGE(""https://docs.google.com/spreadsheets/d/14Bd19lYaqBhU8_DElYkX7l4wRkHqqCUFNJY4AfY3kHU/edit?usp=sharing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08" s="7" t="s">
        <v>10</v>
      </c>
      <c r="H13108" s="7">
        <v>18365</v>
      </c>
      <c r="I13108" s="8" t="str">
        <f ca="1">IFERROR(__xludf.DUMMYFUNCTION("IF
(
G13109=""фізична особа""
,
VLOOKUP(H13109,IMPORTRANGE(""https://docs.google.com/spreadsheets/d/14Bd19lYaqBhU8_DElYkX7l4wRkHqqCUFNJY4AfY3kHU/edit?usp=sharing  #gid=0"",""фіз особи new!relations_name""),6,FALSE)
,
(IF
(
G13109=""юридична особа""
,
VLOO"&amp;"KUP(H13109,IMPORTRANGE(""https://docs.google.com/spreadsheets/d/14Bd19lYaqBhU8_DElYkX7l4wRkHqqCUFNJY4AfY3kHU/edit?usp=sharing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108" s="7" t="s">
        <v>23</v>
      </c>
    </row>
    <row r="13109" spans="1:10" ht="13.2">
      <c r="A13109" s="7">
        <v>13108</v>
      </c>
      <c r="B13109" s="7">
        <v>1</v>
      </c>
      <c r="C13109" s="7" t="s">
        <v>10</v>
      </c>
      <c r="D13109" s="7">
        <v>18368</v>
      </c>
      <c r="E13109" s="7" t="s">
        <v>23</v>
      </c>
      <c r="F13109" s="8" t="str">
        <f ca="1">IFERROR(__xludf.DUMMYFUNCTION("IF
(
C13110=""фізична особа""
,
VLOOKUP(D13110,IMPORTRANGE(""https://docs.google.com/spreadsheets/d/14Bd19lYaqBhU8_DElYkX7l4wRkHqqCUFNJY4AfY3kHU/edit?usp=sharing  #gid=0"",""фіз особи new!relations_name""),6,FALSE)
,
(IF
(
C13110=""юридична особа""
,
VLOO"&amp;"KUP(D13110,IMPORTRANGE(""https://docs.google.com/spreadsheets/d/14Bd19lYaqBhU8_DElYkX7l4wRkHqqCUFNJY4AfY3kHU/edit?usp=sharing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09" s="7" t="s">
        <v>10</v>
      </c>
      <c r="H13109" s="7">
        <v>18366</v>
      </c>
      <c r="I13109" s="8" t="str">
        <f ca="1">IFERROR(__xludf.DUMMYFUNCTION("IF
(
G13110=""фізична особа""
,
VLOOKUP(H13110,IMPORTRANGE(""https://docs.google.com/spreadsheets/d/14Bd19lYaqBhU8_DElYkX7l4wRkHqqCUFNJY4AfY3kHU/edit?usp=sharing  #gid=0"",""фіз особи new!relations_name""),6,FALSE)
,
(IF
(
G13110=""юридична особа""
,
VLOO"&amp;"KUP(H13110,IMPORTRANGE(""https://docs.google.com/spreadsheets/d/14Bd19lYaqBhU8_DElYkX7l4wRkHqqCUFNJY4AfY3kHU/edit?usp=sharing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109" s="7" t="s">
        <v>23</v>
      </c>
    </row>
    <row r="13110" spans="1:10" ht="13.2">
      <c r="A13110" s="7">
        <v>13109</v>
      </c>
      <c r="B13110" s="7">
        <v>1</v>
      </c>
      <c r="C13110" s="7" t="s">
        <v>10</v>
      </c>
      <c r="D13110" s="7">
        <v>18368</v>
      </c>
      <c r="E13110" s="7" t="s">
        <v>23</v>
      </c>
      <c r="F13110" s="8" t="str">
        <f ca="1">IFERROR(__xludf.DUMMYFUNCTION("IF
(
C13111=""фізична особа""
,
VLOOKUP(D13111,IMPORTRANGE(""https://docs.google.com/spreadsheets/d/14Bd19lYaqBhU8_DElYkX7l4wRkHqqCUFNJY4AfY3kHU/edit?usp=sharing  #gid=0"",""фіз особи new!relations_name""),6,FALSE)
,
(IF
(
C13111=""юридична особа""
,
VLOO"&amp;"KUP(D13111,IMPORTRANGE(""https://docs.google.com/spreadsheets/d/14Bd19lYaqBhU8_DElYkX7l4wRkHqqCUFNJY4AfY3kHU/edit?usp=sharing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10" s="7" t="s">
        <v>10</v>
      </c>
      <c r="H13110" s="7">
        <v>18367</v>
      </c>
      <c r="I13110" s="8" t="str">
        <f ca="1">IFERROR(__xludf.DUMMYFUNCTION("IF
(
G13111=""фізична особа""
,
VLOOKUP(H13111,IMPORTRANGE(""https://docs.google.com/spreadsheets/d/14Bd19lYaqBhU8_DElYkX7l4wRkHqqCUFNJY4AfY3kHU/edit?usp=sharing  #gid=0"",""фіз особи new!relations_name""),6,FALSE)
,
(IF
(
G13111=""юридична особа""
,
VLOO"&amp;"KUP(H13111,IMPORTRANGE(""https://docs.google.com/spreadsheets/d/14Bd19lYaqBhU8_DElYkX7l4wRkHqqCUFNJY4AfY3kHU/edit?usp=sharing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110" s="7" t="s">
        <v>23</v>
      </c>
    </row>
    <row r="13111" spans="1:10" ht="13.2">
      <c r="A13111" s="7">
        <v>13110</v>
      </c>
      <c r="B13111" s="7">
        <v>1</v>
      </c>
      <c r="C13111" s="7" t="s">
        <v>10</v>
      </c>
      <c r="D13111" s="7">
        <v>18368</v>
      </c>
      <c r="E13111" s="7" t="s">
        <v>23</v>
      </c>
      <c r="F13111" s="8" t="str">
        <f ca="1">IFERROR(__xludf.DUMMYFUNCTION("IF
(
C13112=""фізична особа""
,
VLOOKUP(D13112,IMPORTRANGE(""https://docs.google.com/spreadsheets/d/14Bd19lYaqBhU8_DElYkX7l4wRkHqqCUFNJY4AfY3kHU/edit?usp=sharing  #gid=0"",""фіз особи new!relations_name""),6,FALSE)
,
(IF
(
C13112=""юридична особа""
,
VLOO"&amp;"KUP(D13112,IMPORTRANGE(""https://docs.google.com/spreadsheets/d/14Bd19lYaqBhU8_DElYkX7l4wRkHqqCUFNJY4AfY3kHU/edit?usp=sharing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G13111" s="7" t="s">
        <v>10</v>
      </c>
      <c r="H13111" s="7">
        <v>18369</v>
      </c>
      <c r="I13111" s="8" t="str">
        <f ca="1">IFERROR(__xludf.DUMMYFUNCTION("IF
(
G13112=""фізична особа""
,
VLOOKUP(H13112,IMPORTRANGE(""https://docs.google.com/spreadsheets/d/14Bd19lYaqBhU8_DElYkX7l4wRkHqqCUFNJY4AfY3kHU/edit?usp=sharing  #gid=0"",""фіз особи new!relations_name""),6,FALSE)
,
(IF
(
G13112=""юридична особа""
,
VLOO"&amp;"KUP(H13112,IMPORTRANGE(""https://docs.google.com/spreadsheets/d/14Bd19lYaqBhU8_DElYkX7l4wRkHqqCUFNJY4AfY3kHU/edit?usp=sharing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J13111" s="7" t="s">
        <v>23</v>
      </c>
    </row>
    <row r="13112" spans="1:10" ht="13.2">
      <c r="A13112" s="7">
        <v>13111</v>
      </c>
      <c r="B13112" s="7">
        <v>1</v>
      </c>
      <c r="C13112" s="7" t="s">
        <v>10</v>
      </c>
      <c r="D13112" s="7">
        <v>18369</v>
      </c>
      <c r="E13112" s="7" t="s">
        <v>23</v>
      </c>
      <c r="F13112" s="8" t="str">
        <f ca="1">IFERROR(__xludf.DUMMYFUNCTION("IF
(
C13113=""фізична особа""
,
VLOOKUP(D13113,IMPORTRANGE(""https://docs.google.com/spreadsheets/d/14Bd19lYaqBhU8_DElYkX7l4wRkHqqCUFNJY4AfY3kHU/edit?usp=sharing  #gid=0"",""фіз особи new!relations_name""),6,FALSE)
,
(IF
(
C13113=""юридична особа""
,
VLOO"&amp;"KUP(D13113,IMPORTRANGE(""https://docs.google.com/spreadsheets/d/14Bd19lYaqBhU8_DElYkX7l4wRkHqqCUFNJY4AfY3kHU/edit?usp=sharing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2" s="7" t="s">
        <v>10</v>
      </c>
      <c r="H13112" s="7">
        <v>18362</v>
      </c>
      <c r="I13112" s="8" t="str">
        <f ca="1">IFERROR(__xludf.DUMMYFUNCTION("IF
(
G13113=""фізична особа""
,
VLOOKUP(H13113,IMPORTRANGE(""https://docs.google.com/spreadsheets/d/14Bd19lYaqBhU8_DElYkX7l4wRkHqqCUFNJY4AfY3kHU/edit?usp=sharing  #gid=0"",""фіз особи new!relations_name""),6,FALSE)
,
(IF
(
G13113=""юридична особа""
,
VLOO"&amp;"KUP(H13113,IMPORTRANGE(""https://docs.google.com/spreadsheets/d/14Bd19lYaqBhU8_DElYkX7l4wRkHqqCUFNJY4AfY3kHU/edit?usp=sharing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12" s="7" t="s">
        <v>23</v>
      </c>
    </row>
    <row r="13113" spans="1:10" ht="13.2">
      <c r="A13113" s="7">
        <v>13112</v>
      </c>
      <c r="B13113" s="7">
        <v>1</v>
      </c>
      <c r="C13113" s="7" t="s">
        <v>10</v>
      </c>
      <c r="D13113" s="7">
        <v>18369</v>
      </c>
      <c r="E13113" s="7" t="s">
        <v>23</v>
      </c>
      <c r="F13113" s="8" t="str">
        <f ca="1">IFERROR(__xludf.DUMMYFUNCTION("IF
(
C13114=""фізична особа""
,
VLOOKUP(D13114,IMPORTRANGE(""https://docs.google.com/spreadsheets/d/14Bd19lYaqBhU8_DElYkX7l4wRkHqqCUFNJY4AfY3kHU/edit?usp=sharing  #gid=0"",""фіз особи new!relations_name""),6,FALSE)
,
(IF
(
C13114=""юридична особа""
,
VLOO"&amp;"KUP(D13114,IMPORTRANGE(""https://docs.google.com/spreadsheets/d/14Bd19lYaqBhU8_DElYkX7l4wRkHqqCUFNJY4AfY3kHU/edit?usp=sharing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3" s="7" t="s">
        <v>10</v>
      </c>
      <c r="H13113" s="7">
        <v>18363</v>
      </c>
      <c r="I13113" s="8" t="str">
        <f ca="1">IFERROR(__xludf.DUMMYFUNCTION("IF
(
G13114=""фізична особа""
,
VLOOKUP(H13114,IMPORTRANGE(""https://docs.google.com/spreadsheets/d/14Bd19lYaqBhU8_DElYkX7l4wRkHqqCUFNJY4AfY3kHU/edit?usp=sharing  #gid=0"",""фіз особи new!relations_name""),6,FALSE)
,
(IF
(
G13114=""юридична особа""
,
VLOO"&amp;"KUP(H13114,IMPORTRANGE(""https://docs.google.com/spreadsheets/d/14Bd19lYaqBhU8_DElYkX7l4wRkHqqCUFNJY4AfY3kHU/edit?usp=sharing  #gid=0"",""фіз особи new!relations_name_uo""),7,FALSE)
,
)
))"),"ОБЛОГІН Олексій Сергійович")</f>
        <v>ОБЛОГІН Олексій Сергійович</v>
      </c>
      <c r="J13113" s="7" t="s">
        <v>23</v>
      </c>
    </row>
    <row r="13114" spans="1:10" ht="13.2">
      <c r="A13114" s="7">
        <v>13113</v>
      </c>
      <c r="B13114" s="7">
        <v>1</v>
      </c>
      <c r="C13114" s="7" t="s">
        <v>10</v>
      </c>
      <c r="D13114" s="7">
        <v>18369</v>
      </c>
      <c r="E13114" s="7" t="s">
        <v>23</v>
      </c>
      <c r="F13114" s="8" t="str">
        <f ca="1">IFERROR(__xludf.DUMMYFUNCTION("IF
(
C13115=""фізична особа""
,
VLOOKUP(D13115,IMPORTRANGE(""https://docs.google.com/spreadsheets/d/14Bd19lYaqBhU8_DElYkX7l4wRkHqqCUFNJY4AfY3kHU/edit?usp=sharing  #gid=0"",""фіз особи new!relations_name""),6,FALSE)
,
(IF
(
C13115=""юридична особа""
,
VLOO"&amp;"KUP(D13115,IMPORTRANGE(""https://docs.google.com/spreadsheets/d/14Bd19lYaqBhU8_DElYkX7l4wRkHqqCUFNJY4AfY3kHU/edit?usp=sharing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4" s="7" t="s">
        <v>10</v>
      </c>
      <c r="H13114" s="7">
        <v>18364</v>
      </c>
      <c r="I13114" s="8" t="str">
        <f ca="1">IFERROR(__xludf.DUMMYFUNCTION("IF
(
G13115=""фізична особа""
,
VLOOKUP(H13115,IMPORTRANGE(""https://docs.google.com/spreadsheets/d/14Bd19lYaqBhU8_DElYkX7l4wRkHqqCUFNJY4AfY3kHU/edit?usp=sharing  #gid=0"",""фіз особи new!relations_name""),6,FALSE)
,
(IF
(
G13115=""юридична особа""
,
VLOO"&amp;"KUP(H13115,IMPORTRANGE(""https://docs.google.com/spreadsheets/d/14Bd19lYaqBhU8_DElYkX7l4wRkHqqCUFNJY4AfY3kHU/edit?usp=sharing  #gid=0"",""фіз особи new!relations_name_uo""),7,FALSE)
,
)
))"),"ВАСИЛЬКОВ Олександр Вікторович")</f>
        <v>ВАСИЛЬКОВ Олександр Вікторович</v>
      </c>
      <c r="J13114" s="7" t="s">
        <v>23</v>
      </c>
    </row>
    <row r="13115" spans="1:10" ht="13.2">
      <c r="A13115" s="7">
        <v>13114</v>
      </c>
      <c r="B13115" s="7">
        <v>1</v>
      </c>
      <c r="C13115" s="7" t="s">
        <v>10</v>
      </c>
      <c r="D13115" s="7">
        <v>18369</v>
      </c>
      <c r="E13115" s="7" t="s">
        <v>23</v>
      </c>
      <c r="F13115" s="8" t="str">
        <f ca="1">IFERROR(__xludf.DUMMYFUNCTION("IF
(
C13116=""фізична особа""
,
VLOOKUP(D13116,IMPORTRANGE(""https://docs.google.com/spreadsheets/d/14Bd19lYaqBhU8_DElYkX7l4wRkHqqCUFNJY4AfY3kHU/edit?usp=sharing  #gid=0"",""фіз особи new!relations_name""),6,FALSE)
,
(IF
(
C13116=""юридична особа""
,
VLOO"&amp;"KUP(D13116,IMPORTRANGE(""https://docs.google.com/spreadsheets/d/14Bd19lYaqBhU8_DElYkX7l4wRkHqqCUFNJY4AfY3kHU/edit?usp=sharing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5" s="7" t="s">
        <v>10</v>
      </c>
      <c r="H13115" s="7">
        <v>18365</v>
      </c>
      <c r="I13115" s="8" t="str">
        <f ca="1">IFERROR(__xludf.DUMMYFUNCTION("IF
(
G13116=""фізична особа""
,
VLOOKUP(H13116,IMPORTRANGE(""https://docs.google.com/spreadsheets/d/14Bd19lYaqBhU8_DElYkX7l4wRkHqqCUFNJY4AfY3kHU/edit?usp=sharing  #gid=0"",""фіз особи new!relations_name""),6,FALSE)
,
(IF
(
G13116=""юридична особа""
,
VLOO"&amp;"KUP(H13116,IMPORTRANGE(""https://docs.google.com/spreadsheets/d/14Bd19lYaqBhU8_DElYkX7l4wRkHqqCUFNJY4AfY3kHU/edit?usp=sharing  #gid=0"",""фіз особи new!relations_name_uo""),7,FALSE)
,
)
))"),"ТАМАЗОВ Зубер Гідович")</f>
        <v>ТАМАЗОВ Зубер Гідович</v>
      </c>
      <c r="J13115" s="7" t="s">
        <v>23</v>
      </c>
    </row>
    <row r="13116" spans="1:10" ht="13.2">
      <c r="A13116" s="7">
        <v>13115</v>
      </c>
      <c r="B13116" s="7">
        <v>1</v>
      </c>
      <c r="C13116" s="7" t="s">
        <v>10</v>
      </c>
      <c r="D13116" s="7">
        <v>18369</v>
      </c>
      <c r="E13116" s="7" t="s">
        <v>23</v>
      </c>
      <c r="F13116" s="8" t="str">
        <f ca="1">IFERROR(__xludf.DUMMYFUNCTION("IF
(
C13117=""фізична особа""
,
VLOOKUP(D13117,IMPORTRANGE(""https://docs.google.com/spreadsheets/d/14Bd19lYaqBhU8_DElYkX7l4wRkHqqCUFNJY4AfY3kHU/edit?usp=sharing  #gid=0"",""фіз особи new!relations_name""),6,FALSE)
,
(IF
(
C13117=""юридична особа""
,
VLOO"&amp;"KUP(D13117,IMPORTRANGE(""https://docs.google.com/spreadsheets/d/14Bd19lYaqBhU8_DElYkX7l4wRkHqqCUFNJY4AfY3kHU/edit?usp=sharing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6" s="7" t="s">
        <v>10</v>
      </c>
      <c r="H13116" s="7">
        <v>18366</v>
      </c>
      <c r="I13116" s="8" t="str">
        <f ca="1">IFERROR(__xludf.DUMMYFUNCTION("IF
(
G13117=""фізична особа""
,
VLOOKUP(H13117,IMPORTRANGE(""https://docs.google.com/spreadsheets/d/14Bd19lYaqBhU8_DElYkX7l4wRkHqqCUFNJY4AfY3kHU/edit?usp=sharing  #gid=0"",""фіз особи new!relations_name""),6,FALSE)
,
(IF
(
G13117=""юридична особа""
,
VLOO"&amp;"KUP(H13117,IMPORTRANGE(""https://docs.google.com/spreadsheets/d/14Bd19lYaqBhU8_DElYkX7l4wRkHqqCUFNJY4AfY3kHU/edit?usp=sharing  #gid=0"",""фіз особи new!relations_name_uo""),7,FALSE)
,
)
))"),"ЦЕНОВА Ольга Євгеніївна")</f>
        <v>ЦЕНОВА Ольга Євгеніївна</v>
      </c>
      <c r="J13116" s="7" t="s">
        <v>23</v>
      </c>
    </row>
    <row r="13117" spans="1:10" ht="13.2">
      <c r="A13117" s="7">
        <v>13116</v>
      </c>
      <c r="B13117" s="7">
        <v>1</v>
      </c>
      <c r="C13117" s="7" t="s">
        <v>10</v>
      </c>
      <c r="D13117" s="7">
        <v>18369</v>
      </c>
      <c r="E13117" s="7" t="s">
        <v>23</v>
      </c>
      <c r="F13117" s="8" t="str">
        <f ca="1">IFERROR(__xludf.DUMMYFUNCTION("IF
(
C13118=""фізична особа""
,
VLOOKUP(D13118,IMPORTRANGE(""https://docs.google.com/spreadsheets/d/14Bd19lYaqBhU8_DElYkX7l4wRkHqqCUFNJY4AfY3kHU/edit?usp=sharing  #gid=0"",""фіз особи new!relations_name""),6,FALSE)
,
(IF
(
C13118=""юридична особа""
,
VLOO"&amp;"KUP(D13118,IMPORTRANGE(""https://docs.google.com/spreadsheets/d/14Bd19lYaqBhU8_DElYkX7l4wRkHqqCUFNJY4AfY3kHU/edit?usp=sharing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7" s="7" t="s">
        <v>10</v>
      </c>
      <c r="H13117" s="7">
        <v>18367</v>
      </c>
      <c r="I13117" s="8" t="str">
        <f ca="1">IFERROR(__xludf.DUMMYFUNCTION("IF
(
G13118=""фізична особа""
,
VLOOKUP(H13118,IMPORTRANGE(""https://docs.google.com/spreadsheets/d/14Bd19lYaqBhU8_DElYkX7l4wRkHqqCUFNJY4AfY3kHU/edit?usp=sharing  #gid=0"",""фіз особи new!relations_name""),6,FALSE)
,
(IF
(
G13118=""юридична особа""
,
VLOO"&amp;"KUP(H13118,IMPORTRANGE(""https://docs.google.com/spreadsheets/d/14Bd19lYaqBhU8_DElYkX7l4wRkHqqCUFNJY4AfY3kHU/edit?usp=sharing  #gid=0"",""фіз особи new!relations_name_uo""),7,FALSE)
,
)
))"),"ДЕМІН Руслан Юрійович")</f>
        <v>ДЕМІН Руслан Юрійович</v>
      </c>
      <c r="J13117" s="7" t="s">
        <v>23</v>
      </c>
    </row>
    <row r="13118" spans="1:10" ht="13.2">
      <c r="A13118" s="7">
        <v>13117</v>
      </c>
      <c r="B13118" s="7">
        <v>1</v>
      </c>
      <c r="C13118" s="7" t="s">
        <v>10</v>
      </c>
      <c r="D13118" s="7">
        <v>18369</v>
      </c>
      <c r="E13118" s="7" t="s">
        <v>23</v>
      </c>
      <c r="F13118" s="8" t="str">
        <f ca="1">IFERROR(__xludf.DUMMYFUNCTION("IF
(
C13119=""фізична особа""
,
VLOOKUP(D13119,IMPORTRANGE(""https://docs.google.com/spreadsheets/d/14Bd19lYaqBhU8_DElYkX7l4wRkHqqCUFNJY4AfY3kHU/edit?usp=sharing  #gid=0"",""фіз особи new!relations_name""),6,FALSE)
,
(IF
(
C13119=""юридична особа""
,
VLOO"&amp;"KUP(D13119,IMPORTRANGE(""https://docs.google.com/spreadsheets/d/14Bd19lYaqBhU8_DElYkX7l4wRkHqqCUFNJY4AfY3kHU/edit?usp=sharing  #gid=0"",""фіз особи new!relations_name_uo""),7,FALSE)
,
)
))"),"АТАБАЄВ Едуард Асланбієвич")</f>
        <v>АТАБАЄВ Едуард Асланбієвич</v>
      </c>
      <c r="G13118" s="7" t="s">
        <v>10</v>
      </c>
      <c r="H13118" s="7">
        <v>18368</v>
      </c>
      <c r="I13118" s="8" t="str">
        <f ca="1">IFERROR(__xludf.DUMMYFUNCTION("IF
(
G13119=""фізична особа""
,
VLOOKUP(H13119,IMPORTRANGE(""https://docs.google.com/spreadsheets/d/14Bd19lYaqBhU8_DElYkX7l4wRkHqqCUFNJY4AfY3kHU/edit?usp=sharing  #gid=0"",""фіз особи new!relations_name""),6,FALSE)
,
(IF
(
G13119=""юридична особа""
,
VLOO"&amp;"KUP(H13119,IMPORTRANGE(""https://docs.google.com/spreadsheets/d/14Bd19lYaqBhU8_DElYkX7l4wRkHqqCUFNJY4AfY3kHU/edit?usp=sharing  #gid=0"",""фіз особи new!relations_name_uo""),7,FALSE)
,
)
))"),"БЖАНІЯ Максим Асланович")</f>
        <v>БЖАНІЯ Максим Асланович</v>
      </c>
      <c r="J13118" s="7" t="s">
        <v>23</v>
      </c>
    </row>
    <row r="13119" spans="1:10" ht="13.2">
      <c r="A13119" s="7">
        <v>13118</v>
      </c>
      <c r="B13119" s="7">
        <v>1</v>
      </c>
      <c r="C13119" s="7" t="s">
        <v>10</v>
      </c>
      <c r="D13119" s="7">
        <v>18370</v>
      </c>
      <c r="E13119" s="7" t="s">
        <v>23</v>
      </c>
      <c r="F13119" s="8" t="str">
        <f ca="1">IFERROR(__xludf.DUMMYFUNCTION("IF
(
C13120=""фізична особа""
,
VLOOKUP(D13120,IMPORTRANGE(""https://docs.google.com/spreadsheets/d/14Bd19lYaqBhU8_DElYkX7l4wRkHqqCUFNJY4AfY3kHU/edit?usp=sharing  #gid=0"",""фіз особи new!relations_name""),6,FALSE)
,
(IF
(
C13120=""юридична особа""
,
VLOO"&amp;"KUP(D13120,IMPORTRANGE(""https://docs.google.com/spreadsheets/d/14Bd19lYaqBhU8_DElYkX7l4wRkHqqCUFNJY4AfY3kHU/edit?usp=sharing  #gid=0"",""фіз особи new!relations_name_uo""),7,FALSE)
,
)
))"),"ЛАЗАРЄВ Юрій Миколайович")</f>
        <v>ЛАЗАРЄВ Юрій Миколайович</v>
      </c>
      <c r="G13119" s="7" t="s">
        <v>10</v>
      </c>
      <c r="H13119" s="7">
        <v>18362</v>
      </c>
      <c r="I13119" s="8" t="str">
        <f ca="1">IFERROR(__xludf.DUMMYFUNCTION("IF
(
G13120=""фізична особа""
,
VLOOKUP(H13120,IMPORTRANGE(""https://docs.google.com/spreadsheets/d/14Bd19lYaqBhU8_DElYkX7l4wRkHqqCUFNJY4AfY3kHU/edit?usp=sharing  #gid=0"",""фіз особи new!relations_name""),6,FALSE)
,
(IF
(
G13120=""юридична особа""
,
VLOO"&amp;"KUP(H13120,IMPORTRANGE(""https://docs.google.com/spreadsheets/d/14Bd19lYaqBhU8_DElYkX7l4wRkHqqCUFNJY4AfY3kHU/edit?usp=sharing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19" s="7" t="s">
        <v>23</v>
      </c>
    </row>
    <row r="13120" spans="1:10" ht="13.2">
      <c r="A13120" s="7">
        <v>13119</v>
      </c>
      <c r="B13120" s="7">
        <v>1</v>
      </c>
      <c r="C13120" s="7" t="s">
        <v>10</v>
      </c>
      <c r="D13120" s="7">
        <v>18371</v>
      </c>
      <c r="E13120" s="7" t="s">
        <v>23</v>
      </c>
      <c r="F13120" s="8" t="str">
        <f ca="1">IFERROR(__xludf.DUMMYFUNCTION("IF
(
C13121=""фізична особа""
,
VLOOKUP(D13121,IMPORTRANGE(""https://docs.google.com/spreadsheets/d/14Bd19lYaqBhU8_DElYkX7l4wRkHqqCUFNJY4AfY3kHU/edit?usp=sharing  #gid=0"",""фіз особи new!relations_name""),6,FALSE)
,
(IF
(
C13121=""юридична особа""
,
VLOO"&amp;"KUP(D13121,IMPORTRANGE(""https://docs.google.com/spreadsheets/d/14Bd19lYaqBhU8_DElYkX7l4wRkHqqCUFNJY4AfY3kHU/edit?usp=sharing  #gid=0"",""фіз особи new!relations_name_uo""),7,FALSE)
,
)
))"),"ГРУЗІН Геннадій Георгійович")</f>
        <v>ГРУЗІН Геннадій Георгійович</v>
      </c>
      <c r="G13120" s="7" t="s">
        <v>10</v>
      </c>
      <c r="H13120" s="7">
        <v>18362</v>
      </c>
      <c r="I13120" s="8" t="str">
        <f ca="1">IFERROR(__xludf.DUMMYFUNCTION("IF
(
G13121=""фізична особа""
,
VLOOKUP(H13121,IMPORTRANGE(""https://docs.google.com/spreadsheets/d/14Bd19lYaqBhU8_DElYkX7l4wRkHqqCUFNJY4AfY3kHU/edit?usp=sharing  #gid=0"",""фіз особи new!relations_name""),6,FALSE)
,
(IF
(
G13121=""юридична особа""
,
VLOO"&amp;"KUP(H13121,IMPORTRANGE(""https://docs.google.com/spreadsheets/d/14Bd19lYaqBhU8_DElYkX7l4wRkHqqCUFNJY4AfY3kHU/edit?usp=sharing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20" s="7" t="s">
        <v>23</v>
      </c>
    </row>
    <row r="13121" spans="1:10" ht="13.2">
      <c r="A13121" s="7">
        <v>13120</v>
      </c>
      <c r="B13121" s="7">
        <v>1</v>
      </c>
      <c r="C13121" s="7" t="s">
        <v>10</v>
      </c>
      <c r="D13121" s="7">
        <v>18372</v>
      </c>
      <c r="E13121" s="7" t="s">
        <v>23</v>
      </c>
      <c r="F13121" s="8" t="str">
        <f ca="1">IFERROR(__xludf.DUMMYFUNCTION("IF
(
C13122=""фізична особа""
,
VLOOKUP(D13122,IMPORTRANGE(""https://docs.google.com/spreadsheets/d/14Bd19lYaqBhU8_DElYkX7l4wRkHqqCUFNJY4AfY3kHU/edit?usp=sharing  #gid=0"",""фіз особи new!relations_name""),6,FALSE)
,
(IF
(
C13122=""юридична особа""
,
VLOO"&amp;"KUP(D13122,IMPORTRANGE(""https://docs.google.com/spreadsheets/d/14Bd19lYaqBhU8_DElYkX7l4wRkHqqCUFNJY4AfY3kHU/edit?usp=sharing  #gid=0"",""фіз особи new!relations_name_uo""),7,FALSE)
,
)
))"),"КІРІЄНКО Микола Іванович")</f>
        <v>КІРІЄНКО Микола Іванович</v>
      </c>
      <c r="G13121" s="7" t="s">
        <v>10</v>
      </c>
      <c r="H13121" s="7">
        <v>18362</v>
      </c>
      <c r="I13121" s="8" t="str">
        <f ca="1">IFERROR(__xludf.DUMMYFUNCTION("IF
(
G13122=""фізична особа""
,
VLOOKUP(H13122,IMPORTRANGE(""https://docs.google.com/spreadsheets/d/14Bd19lYaqBhU8_DElYkX7l4wRkHqqCUFNJY4AfY3kHU/edit?usp=sharing  #gid=0"",""фіз особи new!relations_name""),6,FALSE)
,
(IF
(
G13122=""юридична особа""
,
VLOO"&amp;"KUP(H13122,IMPORTRANGE(""https://docs.google.com/spreadsheets/d/14Bd19lYaqBhU8_DElYkX7l4wRkHqqCUFNJY4AfY3kHU/edit?usp=sharing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21" s="7" t="s">
        <v>23</v>
      </c>
    </row>
    <row r="13122" spans="1:10" ht="13.2">
      <c r="A13122" s="7">
        <v>13121</v>
      </c>
      <c r="B13122" s="7">
        <v>1</v>
      </c>
      <c r="C13122" s="7" t="s">
        <v>10</v>
      </c>
      <c r="D13122" s="7">
        <v>18373</v>
      </c>
      <c r="E13122" s="7" t="s">
        <v>23</v>
      </c>
      <c r="F13122" s="8" t="str">
        <f ca="1">IFERROR(__xludf.DUMMYFUNCTION("IF
(
C13123=""фізична особа""
,
VLOOKUP(D13123,IMPORTRANGE(""https://docs.google.com/spreadsheets/d/14Bd19lYaqBhU8_DElYkX7l4wRkHqqCUFNJY4AfY3kHU/edit?usp=sharing  #gid=0"",""фіз особи new!relations_name""),6,FALSE)
,
(IF
(
C13123=""юридична особа""
,
VLOO"&amp;"KUP(D13123,IMPORTRANGE(""https://docs.google.com/spreadsheets/d/14Bd19lYaqBhU8_DElYkX7l4wRkHqqCUFNJY4AfY3kHU/edit?usp=sharing  #gid=0"",""фіз особи new!relations_name_uo""),7,FALSE)
,
)
))"),"САМАРСЬКА Олена Олександрівна")</f>
        <v>САМАРСЬКА Олена Олександрівна</v>
      </c>
      <c r="G13122" s="7" t="s">
        <v>10</v>
      </c>
      <c r="H13122" s="7">
        <v>18362</v>
      </c>
      <c r="I13122" s="8" t="str">
        <f ca="1">IFERROR(__xludf.DUMMYFUNCTION("IF
(
G13123=""фізична особа""
,
VLOOKUP(H13123,IMPORTRANGE(""https://docs.google.com/spreadsheets/d/14Bd19lYaqBhU8_DElYkX7l4wRkHqqCUFNJY4AfY3kHU/edit?usp=sharing  #gid=0"",""фіз особи new!relations_name""),6,FALSE)
,
(IF
(
G13123=""юридична особа""
,
VLOO"&amp;"KUP(H13123,IMPORTRANGE(""https://docs.google.com/spreadsheets/d/14Bd19lYaqBhU8_DElYkX7l4wRkHqqCUFNJY4AfY3kHU/edit?usp=sharing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122" s="7" t="s">
        <v>23</v>
      </c>
    </row>
    <row r="13123" spans="1:10" ht="13.2">
      <c r="A13123" s="7">
        <v>13122</v>
      </c>
      <c r="B13123" s="7">
        <v>1</v>
      </c>
      <c r="C13123" s="7" t="s">
        <v>10</v>
      </c>
      <c r="D13123" s="7">
        <v>18374</v>
      </c>
      <c r="E13123" s="7" t="s">
        <v>23</v>
      </c>
      <c r="F13123" s="8" t="str">
        <f ca="1">IFERROR(__xludf.DUMMYFUNCTION("IF
(
C13124=""фізична особа""
,
VLOOKUP(D13124,IMPORTRANGE(""https://docs.google.com/spreadsheets/d/14Bd19lYaqBhU8_DElYkX7l4wRkHqqCUFNJY4AfY3kHU/edit?usp=sharing  #gid=0"",""фіз особи new!relations_name""),6,FALSE)
,
(IF
(
C13124=""юридична особа""
,
VLOO"&amp;"KUP(D13124,IMPORTRANGE(""https://docs.google.com/spreadsheets/d/14Bd19lYaqBhU8_DElYkX7l4wRkHqqCUFNJY4AfY3kHU/edit?usp=sharing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G13123" s="7" t="s">
        <v>10</v>
      </c>
      <c r="H13123" s="7">
        <v>18375</v>
      </c>
      <c r="I13123" s="8" t="str">
        <f ca="1">IFERROR(__xludf.DUMMYFUNCTION("IF
(
G13124=""фізична особа""
,
VLOOKUP(H13124,IMPORTRANGE(""https://docs.google.com/spreadsheets/d/14Bd19lYaqBhU8_DElYkX7l4wRkHqqCUFNJY4AfY3kHU/edit?usp=sharing  #gid=0"",""фіз особи new!relations_name""),6,FALSE)
,
(IF
(
G13124=""юридична особа""
,
VLOO"&amp;"KUP(H13124,IMPORTRANGE(""https://docs.google.com/spreadsheets/d/14Bd19lYaqBhU8_DElYkX7l4wRkHqqCUFNJY4AfY3kHU/edit?usp=sharing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23" s="7" t="s">
        <v>23</v>
      </c>
    </row>
    <row r="13124" spans="1:10" ht="13.2">
      <c r="A13124" s="7">
        <v>13123</v>
      </c>
      <c r="B13124" s="7">
        <v>1</v>
      </c>
      <c r="C13124" s="7" t="s">
        <v>10</v>
      </c>
      <c r="D13124" s="7">
        <v>18374</v>
      </c>
      <c r="E13124" s="7" t="s">
        <v>23</v>
      </c>
      <c r="F13124" s="8" t="str">
        <f ca="1">IFERROR(__xludf.DUMMYFUNCTION("IF
(
C13125=""фізична особа""
,
VLOOKUP(D13125,IMPORTRANGE(""https://docs.google.com/spreadsheets/d/14Bd19lYaqBhU8_DElYkX7l4wRkHqqCUFNJY4AfY3kHU/edit?usp=sharing  #gid=0"",""фіз особи new!relations_name""),6,FALSE)
,
(IF
(
C13125=""юридична особа""
,
VLOO"&amp;"KUP(D13125,IMPORTRANGE(""https://docs.google.com/spreadsheets/d/14Bd19lYaqBhU8_DElYkX7l4wRkHqqCUFNJY4AfY3kHU/edit?usp=sharing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G13124" s="7" t="s">
        <v>10</v>
      </c>
      <c r="H13124" s="7">
        <v>18376</v>
      </c>
      <c r="I13124" s="8" t="str">
        <f ca="1">IFERROR(__xludf.DUMMYFUNCTION("IF
(
G13125=""фізична особа""
,
VLOOKUP(H13125,IMPORTRANGE(""https://docs.google.com/spreadsheets/d/14Bd19lYaqBhU8_DElYkX7l4wRkHqqCUFNJY4AfY3kHU/edit?usp=sharing  #gid=0"",""фіз особи new!relations_name""),6,FALSE)
,
(IF
(
G13125=""юридична особа""
,
VLOO"&amp;"KUP(H13125,IMPORTRANGE(""https://docs.google.com/spreadsheets/d/14Bd19lYaqBhU8_DElYkX7l4wRkHqqCUFNJY4AfY3kHU/edit?usp=sharing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24" s="7" t="s">
        <v>23</v>
      </c>
    </row>
    <row r="13125" spans="1:10" ht="13.2">
      <c r="A13125" s="7">
        <v>13124</v>
      </c>
      <c r="B13125" s="7">
        <v>1</v>
      </c>
      <c r="C13125" s="7" t="s">
        <v>10</v>
      </c>
      <c r="D13125" s="7">
        <v>18374</v>
      </c>
      <c r="E13125" s="7" t="s">
        <v>23</v>
      </c>
      <c r="F13125" s="8" t="str">
        <f ca="1">IFERROR(__xludf.DUMMYFUNCTION("IF
(
C13126=""фізична особа""
,
VLOOKUP(D13126,IMPORTRANGE(""https://docs.google.com/spreadsheets/d/14Bd19lYaqBhU8_DElYkX7l4wRkHqqCUFNJY4AfY3kHU/edit?usp=sharing  #gid=0"",""фіз особи new!relations_name""),6,FALSE)
,
(IF
(
C13126=""юридична особа""
,
VLOO"&amp;"KUP(D13126,IMPORTRANGE(""https://docs.google.com/spreadsheets/d/14Bd19lYaqBhU8_DElYkX7l4wRkHqqCUFNJY4AfY3kHU/edit?usp=sharing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G13125" s="7" t="s">
        <v>10</v>
      </c>
      <c r="H13125" s="7">
        <v>18377</v>
      </c>
      <c r="I13125" s="8" t="str">
        <f ca="1">IFERROR(__xludf.DUMMYFUNCTION("IF
(
G13126=""фізична особа""
,
VLOOKUP(H13126,IMPORTRANGE(""https://docs.google.com/spreadsheets/d/14Bd19lYaqBhU8_DElYkX7l4wRkHqqCUFNJY4AfY3kHU/edit?usp=sharing  #gid=0"",""фіз особи new!relations_name""),6,FALSE)
,
(IF
(
G13126=""юридична особа""
,
VLOO"&amp;"KUP(H13126,IMPORTRANGE(""https://docs.google.com/spreadsheets/d/14Bd19lYaqBhU8_DElYkX7l4wRkHqqCUFNJY4AfY3kHU/edit?usp=sharing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25" s="7" t="s">
        <v>23</v>
      </c>
    </row>
    <row r="13126" spans="1:10" ht="13.2">
      <c r="A13126" s="7">
        <v>13125</v>
      </c>
      <c r="B13126" s="7">
        <v>1</v>
      </c>
      <c r="C13126" s="7" t="s">
        <v>10</v>
      </c>
      <c r="D13126" s="7">
        <v>18374</v>
      </c>
      <c r="E13126" s="7" t="s">
        <v>23</v>
      </c>
      <c r="F13126" s="8" t="str">
        <f ca="1">IFERROR(__xludf.DUMMYFUNCTION("IF
(
C13127=""фізична особа""
,
VLOOKUP(D13127,IMPORTRANGE(""https://docs.google.com/spreadsheets/d/14Bd19lYaqBhU8_DElYkX7l4wRkHqqCUFNJY4AfY3kHU/edit?usp=sharing  #gid=0"",""фіз особи new!relations_name""),6,FALSE)
,
(IF
(
C13127=""юридична особа""
,
VLOO"&amp;"KUP(D13127,IMPORTRANGE(""https://docs.google.com/spreadsheets/d/14Bd19lYaqBhU8_DElYkX7l4wRkHqqCUFNJY4AfY3kHU/edit?usp=sharing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G13126" s="7" t="s">
        <v>10</v>
      </c>
      <c r="H13126" s="7">
        <v>18378</v>
      </c>
      <c r="I13126" s="8" t="str">
        <f ca="1">IFERROR(__xludf.DUMMYFUNCTION("IF
(
G13127=""фізична особа""
,
VLOOKUP(H13127,IMPORTRANGE(""https://docs.google.com/spreadsheets/d/14Bd19lYaqBhU8_DElYkX7l4wRkHqqCUFNJY4AfY3kHU/edit?usp=sharing  #gid=0"",""фіз особи new!relations_name""),6,FALSE)
,
(IF
(
G13127=""юридична особа""
,
VLOO"&amp;"KUP(H13127,IMPORTRANGE(""https://docs.google.com/spreadsheets/d/14Bd19lYaqBhU8_DElYkX7l4wRkHqqCUFNJY4AfY3kHU/edit?usp=sharing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26" s="7" t="s">
        <v>23</v>
      </c>
    </row>
    <row r="13127" spans="1:10" ht="13.2">
      <c r="A13127" s="7">
        <v>13126</v>
      </c>
      <c r="B13127" s="7">
        <v>1</v>
      </c>
      <c r="C13127" s="7" t="s">
        <v>10</v>
      </c>
      <c r="D13127" s="7">
        <v>18374</v>
      </c>
      <c r="E13127" s="7" t="s">
        <v>23</v>
      </c>
      <c r="F13127" s="8" t="str">
        <f ca="1">IFERROR(__xludf.DUMMYFUNCTION("IF
(
C13128=""фізична особа""
,
VLOOKUP(D13128,IMPORTRANGE(""https://docs.google.com/spreadsheets/d/14Bd19lYaqBhU8_DElYkX7l4wRkHqqCUFNJY4AfY3kHU/edit?usp=sharing  #gid=0"",""фіз особи new!relations_name""),6,FALSE)
,
(IF
(
C13128=""юридична особа""
,
VLOO"&amp;"KUP(D13128,IMPORTRANGE(""https://docs.google.com/spreadsheets/d/14Bd19lYaqBhU8_DElYkX7l4wRkHqqCUFNJY4AfY3kHU/edit?usp=sharing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G13127" s="7" t="s">
        <v>10</v>
      </c>
      <c r="H13127" s="7">
        <v>18379</v>
      </c>
      <c r="I13127" s="8" t="str">
        <f ca="1">IFERROR(__xludf.DUMMYFUNCTION("IF
(
G13128=""фізична особа""
,
VLOOKUP(H13128,IMPORTRANGE(""https://docs.google.com/spreadsheets/d/14Bd19lYaqBhU8_DElYkX7l4wRkHqqCUFNJY4AfY3kHU/edit?usp=sharing  #gid=0"",""фіз особи new!relations_name""),6,FALSE)
,
(IF
(
G13128=""юридична особа""
,
VLOO"&amp;"KUP(H13128,IMPORTRANGE(""https://docs.google.com/spreadsheets/d/14Bd19lYaqBhU8_DElYkX7l4wRkHqqCUFNJY4AfY3kHU/edit?usp=sharing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27" s="7" t="s">
        <v>23</v>
      </c>
    </row>
    <row r="13128" spans="1:10" ht="13.2">
      <c r="A13128" s="7">
        <v>13127</v>
      </c>
      <c r="B13128" s="7">
        <v>1</v>
      </c>
      <c r="C13128" s="7" t="s">
        <v>10</v>
      </c>
      <c r="D13128" s="7">
        <v>18375</v>
      </c>
      <c r="E13128" s="7" t="s">
        <v>23</v>
      </c>
      <c r="F13128" s="8" t="str">
        <f ca="1">IFERROR(__xludf.DUMMYFUNCTION("IF
(
C13129=""фізична особа""
,
VLOOKUP(D13129,IMPORTRANGE(""https://docs.google.com/spreadsheets/d/14Bd19lYaqBhU8_DElYkX7l4wRkHqqCUFNJY4AfY3kHU/edit?usp=sharing  #gid=0"",""фіз особи new!relations_name""),6,FALSE)
,
(IF
(
C13129=""юридична особа""
,
VLOO"&amp;"KUP(D13129,IMPORTRANGE(""https://docs.google.com/spreadsheets/d/14Bd19lYaqBhU8_DElYkX7l4wRkHqqCUFNJY4AfY3kHU/edit?usp=sharing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28" s="7" t="s">
        <v>10</v>
      </c>
      <c r="H13128" s="7">
        <v>18374</v>
      </c>
      <c r="I13128" s="8" t="str">
        <f ca="1">IFERROR(__xludf.DUMMYFUNCTION("IF
(
G13129=""фізична особа""
,
VLOOKUP(H13129,IMPORTRANGE(""https://docs.google.com/spreadsheets/d/14Bd19lYaqBhU8_DElYkX7l4wRkHqqCUFNJY4AfY3kHU/edit?usp=sharing  #gid=0"",""фіз особи new!relations_name""),6,FALSE)
,
(IF
(
G13129=""юридична особа""
,
VLOO"&amp;"KUP(H13129,IMPORTRANGE(""https://docs.google.com/spreadsheets/d/14Bd19lYaqBhU8_DElYkX7l4wRkHqqCUFNJY4AfY3kHU/edit?usp=sharing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28" s="7" t="s">
        <v>23</v>
      </c>
    </row>
    <row r="13129" spans="1:10" ht="13.2">
      <c r="A13129" s="7">
        <v>13128</v>
      </c>
      <c r="B13129" s="7">
        <v>1</v>
      </c>
      <c r="C13129" s="7" t="s">
        <v>10</v>
      </c>
      <c r="D13129" s="7">
        <v>18375</v>
      </c>
      <c r="E13129" s="7" t="s">
        <v>23</v>
      </c>
      <c r="F13129" s="8" t="str">
        <f ca="1">IFERROR(__xludf.DUMMYFUNCTION("IF
(
C13130=""фізична особа""
,
VLOOKUP(D13130,IMPORTRANGE(""https://docs.google.com/spreadsheets/d/14Bd19lYaqBhU8_DElYkX7l4wRkHqqCUFNJY4AfY3kHU/edit?usp=sharing  #gid=0"",""фіз особи new!relations_name""),6,FALSE)
,
(IF
(
C13130=""юридична особа""
,
VLOO"&amp;"KUP(D13130,IMPORTRANGE(""https://docs.google.com/spreadsheets/d/14Bd19lYaqBhU8_DElYkX7l4wRkHqqCUFNJY4AfY3kHU/edit?usp=sharing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29" s="7" t="s">
        <v>10</v>
      </c>
      <c r="H13129" s="7">
        <v>18376</v>
      </c>
      <c r="I13129" s="8" t="str">
        <f ca="1">IFERROR(__xludf.DUMMYFUNCTION("IF
(
G13130=""фізична особа""
,
VLOOKUP(H13130,IMPORTRANGE(""https://docs.google.com/spreadsheets/d/14Bd19lYaqBhU8_DElYkX7l4wRkHqqCUFNJY4AfY3kHU/edit?usp=sharing  #gid=0"",""фіз особи new!relations_name""),6,FALSE)
,
(IF
(
G13130=""юридична особа""
,
VLOO"&amp;"KUP(H13130,IMPORTRANGE(""https://docs.google.com/spreadsheets/d/14Bd19lYaqBhU8_DElYkX7l4wRkHqqCUFNJY4AfY3kHU/edit?usp=sharing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29" s="7" t="s">
        <v>23</v>
      </c>
    </row>
    <row r="13130" spans="1:10" ht="13.2">
      <c r="A13130" s="7">
        <v>13129</v>
      </c>
      <c r="B13130" s="7">
        <v>1</v>
      </c>
      <c r="C13130" s="7" t="s">
        <v>10</v>
      </c>
      <c r="D13130" s="7">
        <v>18375</v>
      </c>
      <c r="E13130" s="7" t="s">
        <v>23</v>
      </c>
      <c r="F13130" s="8" t="str">
        <f ca="1">IFERROR(__xludf.DUMMYFUNCTION("IF
(
C13131=""фізична особа""
,
VLOOKUP(D13131,IMPORTRANGE(""https://docs.google.com/spreadsheets/d/14Bd19lYaqBhU8_DElYkX7l4wRkHqqCUFNJY4AfY3kHU/edit?usp=sharing  #gid=0"",""фіз особи new!relations_name""),6,FALSE)
,
(IF
(
C13131=""юридична особа""
,
VLOO"&amp;"KUP(D13131,IMPORTRANGE(""https://docs.google.com/spreadsheets/d/14Bd19lYaqBhU8_DElYkX7l4wRkHqqCUFNJY4AfY3kHU/edit?usp=sharing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0" s="7" t="s">
        <v>10</v>
      </c>
      <c r="H13130" s="7">
        <v>18377</v>
      </c>
      <c r="I13130" s="8" t="str">
        <f ca="1">IFERROR(__xludf.DUMMYFUNCTION("IF
(
G13131=""фізична особа""
,
VLOOKUP(H13131,IMPORTRANGE(""https://docs.google.com/spreadsheets/d/14Bd19lYaqBhU8_DElYkX7l4wRkHqqCUFNJY4AfY3kHU/edit?usp=sharing  #gid=0"",""фіз особи new!relations_name""),6,FALSE)
,
(IF
(
G13131=""юридична особа""
,
VLOO"&amp;"KUP(H13131,IMPORTRANGE(""https://docs.google.com/spreadsheets/d/14Bd19lYaqBhU8_DElYkX7l4wRkHqqCUFNJY4AfY3kHU/edit?usp=sharing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30" s="7" t="s">
        <v>23</v>
      </c>
    </row>
    <row r="13131" spans="1:10" ht="13.2">
      <c r="A13131" s="7">
        <v>13130</v>
      </c>
      <c r="B13131" s="7">
        <v>1</v>
      </c>
      <c r="C13131" s="7" t="s">
        <v>10</v>
      </c>
      <c r="D13131" s="7">
        <v>18375</v>
      </c>
      <c r="E13131" s="7" t="s">
        <v>23</v>
      </c>
      <c r="F13131" s="8" t="str">
        <f ca="1">IFERROR(__xludf.DUMMYFUNCTION("IF
(
C13132=""фізична особа""
,
VLOOKUP(D13132,IMPORTRANGE(""https://docs.google.com/spreadsheets/d/14Bd19lYaqBhU8_DElYkX7l4wRkHqqCUFNJY4AfY3kHU/edit?usp=sharing  #gid=0"",""фіз особи new!relations_name""),6,FALSE)
,
(IF
(
C13132=""юридична особа""
,
VLOO"&amp;"KUP(D13132,IMPORTRANGE(""https://docs.google.com/spreadsheets/d/14Bd19lYaqBhU8_DElYkX7l4wRkHqqCUFNJY4AfY3kHU/edit?usp=sharing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1" s="7" t="s">
        <v>10</v>
      </c>
      <c r="H13131" s="7">
        <v>18378</v>
      </c>
      <c r="I13131" s="8" t="str">
        <f ca="1">IFERROR(__xludf.DUMMYFUNCTION("IF
(
G13132=""фізична особа""
,
VLOOKUP(H13132,IMPORTRANGE(""https://docs.google.com/spreadsheets/d/14Bd19lYaqBhU8_DElYkX7l4wRkHqqCUFNJY4AfY3kHU/edit?usp=sharing  #gid=0"",""фіз особи new!relations_name""),6,FALSE)
,
(IF
(
G13132=""юридична особа""
,
VLOO"&amp;"KUP(H13132,IMPORTRANGE(""https://docs.google.com/spreadsheets/d/14Bd19lYaqBhU8_DElYkX7l4wRkHqqCUFNJY4AfY3kHU/edit?usp=sharing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31" s="7" t="s">
        <v>23</v>
      </c>
    </row>
    <row r="13132" spans="1:10" ht="13.2">
      <c r="A13132" s="7">
        <v>13131</v>
      </c>
      <c r="B13132" s="7">
        <v>1</v>
      </c>
      <c r="C13132" s="7" t="s">
        <v>10</v>
      </c>
      <c r="D13132" s="7">
        <v>18375</v>
      </c>
      <c r="E13132" s="7" t="s">
        <v>23</v>
      </c>
      <c r="F13132" s="8" t="str">
        <f ca="1">IFERROR(__xludf.DUMMYFUNCTION("IF
(
C13133=""фізична особа""
,
VLOOKUP(D13133,IMPORTRANGE(""https://docs.google.com/spreadsheets/d/14Bd19lYaqBhU8_DElYkX7l4wRkHqqCUFNJY4AfY3kHU/edit?usp=sharing  #gid=0"",""фіз особи new!relations_name""),6,FALSE)
,
(IF
(
C13133=""юридична особа""
,
VLOO"&amp;"KUP(D13133,IMPORTRANGE(""https://docs.google.com/spreadsheets/d/14Bd19lYaqBhU8_DElYkX7l4wRkHqqCUFNJY4AfY3kHU/edit?usp=sharing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2" s="7" t="s">
        <v>10</v>
      </c>
      <c r="H13132" s="7">
        <v>18379</v>
      </c>
      <c r="I13132" s="8" t="str">
        <f ca="1">IFERROR(__xludf.DUMMYFUNCTION("IF
(
G13133=""фізична особа""
,
VLOOKUP(H13133,IMPORTRANGE(""https://docs.google.com/spreadsheets/d/14Bd19lYaqBhU8_DElYkX7l4wRkHqqCUFNJY4AfY3kHU/edit?usp=sharing  #gid=0"",""фіз особи new!relations_name""),6,FALSE)
,
(IF
(
G13133=""юридична особа""
,
VLOO"&amp;"KUP(H13133,IMPORTRANGE(""https://docs.google.com/spreadsheets/d/14Bd19lYaqBhU8_DElYkX7l4wRkHqqCUFNJY4AfY3kHU/edit?usp=sharing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32" s="7" t="s">
        <v>23</v>
      </c>
    </row>
    <row r="13133" spans="1:10" ht="13.2">
      <c r="A13133" s="7">
        <v>13132</v>
      </c>
      <c r="B13133" s="7">
        <v>1</v>
      </c>
      <c r="C13133" s="7" t="s">
        <v>10</v>
      </c>
      <c r="D13133" s="7">
        <v>18375</v>
      </c>
      <c r="E13133" s="7" t="s">
        <v>23</v>
      </c>
      <c r="F13133" s="8" t="str">
        <f ca="1">IFERROR(__xludf.DUMMYFUNCTION("IF
(
C13134=""фізична особа""
,
VLOOKUP(D13134,IMPORTRANGE(""https://docs.google.com/spreadsheets/d/14Bd19lYaqBhU8_DElYkX7l4wRkHqqCUFNJY4AfY3kHU/edit?usp=sharing  #gid=0"",""фіз особи new!relations_name""),6,FALSE)
,
(IF
(
C13134=""юридична особа""
,
VLOO"&amp;"KUP(D13134,IMPORTRANGE(""https://docs.google.com/spreadsheets/d/14Bd19lYaqBhU8_DElYkX7l4wRkHqqCUFNJY4AfY3kHU/edit?usp=sharing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3" s="7" t="s">
        <v>10</v>
      </c>
      <c r="H13133" s="7">
        <v>23649</v>
      </c>
      <c r="I13133" s="8" t="str">
        <f ca="1">IFERROR(__xludf.DUMMYFUNCTION("IF
(
G13134=""фізична особа""
,
VLOOKUP(H13134,IMPORTRANGE(""https://docs.google.com/spreadsheets/d/14Bd19lYaqBhU8_DElYkX7l4wRkHqqCUFNJY4AfY3kHU/edit?usp=sharing  #gid=0"",""фіз особи new!relations_name""),6,FALSE)
,
(IF
(
G13134=""юридична особа""
,
VLOO"&amp;"KUP(H13134,IMPORTRANGE(""https://docs.google.com/spreadsheets/d/14Bd19lYaqBhU8_DElYkX7l4wRkHqqCUFNJY4AfY3kHU/edit?usp=sharing  #gid=0"",""фіз особи new!relations_name_uo""),7,FALSE)
,
)
))"),"САРИЧЕВ Сергій Валерійович")</f>
        <v>САРИЧЕВ Сергій Валерійович</v>
      </c>
      <c r="J13133" s="7" t="s">
        <v>23</v>
      </c>
    </row>
    <row r="13134" spans="1:10" ht="13.2">
      <c r="A13134" s="7">
        <v>13133</v>
      </c>
      <c r="B13134" s="7">
        <v>1</v>
      </c>
      <c r="C13134" s="7" t="s">
        <v>10</v>
      </c>
      <c r="D13134" s="7">
        <v>18375</v>
      </c>
      <c r="E13134" s="7" t="s">
        <v>23</v>
      </c>
      <c r="F13134" s="8" t="str">
        <f ca="1">IFERROR(__xludf.DUMMYFUNCTION("IF
(
C13135=""фізична особа""
,
VLOOKUP(D13135,IMPORTRANGE(""https://docs.google.com/spreadsheets/d/14Bd19lYaqBhU8_DElYkX7l4wRkHqqCUFNJY4AfY3kHU/edit?usp=sharing  #gid=0"",""фіз особи new!relations_name""),6,FALSE)
,
(IF
(
C13135=""юридична особа""
,
VLOO"&amp;"KUP(D13135,IMPORTRANGE(""https://docs.google.com/spreadsheets/d/14Bd19lYaqBhU8_DElYkX7l4wRkHqqCUFNJY4AfY3kHU/edit?usp=sharing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4" s="7" t="s">
        <v>10</v>
      </c>
      <c r="H13134" s="7">
        <v>23650</v>
      </c>
      <c r="I13134" s="8" t="str">
        <f ca="1">IFERROR(__xludf.DUMMYFUNCTION("IF
(
G13135=""фізична особа""
,
VLOOKUP(H13135,IMPORTRANGE(""https://docs.google.com/spreadsheets/d/14Bd19lYaqBhU8_DElYkX7l4wRkHqqCUFNJY4AfY3kHU/edit?usp=sharing  #gid=0"",""фіз особи new!relations_name""),6,FALSE)
,
(IF
(
G13135=""юридична особа""
,
VLOO"&amp;"KUP(H13135,IMPORTRANGE(""https://docs.google.com/spreadsheets/d/14Bd19lYaqBhU8_DElYkX7l4wRkHqqCUFNJY4AfY3kHU/edit?usp=sharing  #gid=0"",""фіз особи new!relations_name_uo""),7,FALSE)
,
)
))"),"КАНАРЕЙКІН Дмитро Петрович")</f>
        <v>КАНАРЕЙКІН Дмитро Петрович</v>
      </c>
      <c r="J13134" s="7" t="s">
        <v>23</v>
      </c>
    </row>
    <row r="13135" spans="1:10" ht="13.2">
      <c r="A13135" s="7">
        <v>13134</v>
      </c>
      <c r="B13135" s="7">
        <v>1</v>
      </c>
      <c r="C13135" s="7" t="s">
        <v>10</v>
      </c>
      <c r="D13135" s="7">
        <v>18375</v>
      </c>
      <c r="E13135" s="7" t="s">
        <v>23</v>
      </c>
      <c r="F13135" s="8" t="str">
        <f ca="1">IFERROR(__xludf.DUMMYFUNCTION("IF
(
C13136=""фізична особа""
,
VLOOKUP(D13136,IMPORTRANGE(""https://docs.google.com/spreadsheets/d/14Bd19lYaqBhU8_DElYkX7l4wRkHqqCUFNJY4AfY3kHU/edit?usp=sharing  #gid=0"",""фіз особи new!relations_name""),6,FALSE)
,
(IF
(
C13136=""юридична особа""
,
VLOO"&amp;"KUP(D13136,IMPORTRANGE(""https://docs.google.com/spreadsheets/d/14Bd19lYaqBhU8_DElYkX7l4wRkHqqCUFNJY4AfY3kHU/edit?usp=sharing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5" s="7" t="s">
        <v>10</v>
      </c>
      <c r="H13135" s="7">
        <v>0</v>
      </c>
      <c r="I13135" s="8" t="str">
        <f ca="1">IFERROR(__xludf.DUMMYFUNCTION("IF
(
G13136=""фізична особа""
,
VLOOKUP(H13136,IMPORTRANGE(""https://docs.google.com/spreadsheets/d/14Bd19lYaqBhU8_DElYkX7l4wRkHqqCUFNJY4AfY3kHU/edit?usp=sharing  #gid=0"",""фіз особи new!relations_name""),6,FALSE)
,
(IF
(
G13136=""юридична особа""
,
VLOO"&amp;"KUP(H13136,IMPORTRANGE(""https://docs.google.com/spreadsheets/d/14Bd19lYaqBhU8_DElYkX7l4wRkHqqCUFNJY4AfY3kHU/edit?usp=sharing  #gid=0"",""фіз особи new!relations_name_uo""),7,FALSE)
,
)
))"),"#N/A")</f>
        <v>#N/A</v>
      </c>
      <c r="J13135" s="7" t="s">
        <v>23</v>
      </c>
    </row>
    <row r="13136" spans="1:10" ht="13.2">
      <c r="A13136" s="7">
        <v>13135</v>
      </c>
      <c r="B13136" s="7">
        <v>1</v>
      </c>
      <c r="C13136" s="7" t="s">
        <v>10</v>
      </c>
      <c r="D13136" s="7">
        <v>18375</v>
      </c>
      <c r="E13136" s="7" t="s">
        <v>23</v>
      </c>
      <c r="F13136" s="8" t="str">
        <f ca="1">IFERROR(__xludf.DUMMYFUNCTION("IF
(
C13137=""фізична особа""
,
VLOOKUP(D13137,IMPORTRANGE(""https://docs.google.com/spreadsheets/d/14Bd19lYaqBhU8_DElYkX7l4wRkHqqCUFNJY4AfY3kHU/edit?usp=sharing  #gid=0"",""фіз особи new!relations_name""),6,FALSE)
,
(IF
(
C13137=""юридична особа""
,
VLOO"&amp;"KUP(D13137,IMPORTRANGE(""https://docs.google.com/spreadsheets/d/14Bd19lYaqBhU8_DElYkX7l4wRkHqqCUFNJY4AfY3kHU/edit?usp=sharing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6" s="7" t="s">
        <v>10</v>
      </c>
      <c r="H13136" s="7">
        <v>23651</v>
      </c>
      <c r="I13136" s="8" t="str">
        <f ca="1">IFERROR(__xludf.DUMMYFUNCTION("IF
(
G13137=""фізична особа""
,
VLOOKUP(H13137,IMPORTRANGE(""https://docs.google.com/spreadsheets/d/14Bd19lYaqBhU8_DElYkX7l4wRkHqqCUFNJY4AfY3kHU/edit?usp=sharing  #gid=0"",""фіз особи new!relations_name""),6,FALSE)
,
(IF
(
G13137=""юридична особа""
,
VLOO"&amp;"KUP(H13137,IMPORTRANGE(""https://docs.google.com/spreadsheets/d/14Bd19lYaqBhU8_DElYkX7l4wRkHqqCUFNJY4AfY3kHU/edit?usp=sharing  #gid=0"",""фіз особи new!relations_name_uo""),7,FALSE)
,
)
))"),"ТУТУКІН Дмитро Миколайович")</f>
        <v>ТУТУКІН Дмитро Миколайович</v>
      </c>
      <c r="J13136" s="7" t="s">
        <v>23</v>
      </c>
    </row>
    <row r="13137" spans="1:10" ht="13.2">
      <c r="A13137" s="7">
        <v>13136</v>
      </c>
      <c r="B13137" s="7">
        <v>1</v>
      </c>
      <c r="C13137" s="7" t="s">
        <v>10</v>
      </c>
      <c r="D13137" s="7">
        <v>18375</v>
      </c>
      <c r="E13137" s="7" t="s">
        <v>23</v>
      </c>
      <c r="F13137" s="8" t="str">
        <f ca="1">IFERROR(__xludf.DUMMYFUNCTION("IF
(
C13138=""фізична особа""
,
VLOOKUP(D13138,IMPORTRANGE(""https://docs.google.com/spreadsheets/d/14Bd19lYaqBhU8_DElYkX7l4wRkHqqCUFNJY4AfY3kHU/edit?usp=sharing  #gid=0"",""фіз особи new!relations_name""),6,FALSE)
,
(IF
(
C13138=""юридична особа""
,
VLOO"&amp;"KUP(D13138,IMPORTRANGE(""https://docs.google.com/spreadsheets/d/14Bd19lYaqBhU8_DElYkX7l4wRkHqqCUFNJY4AfY3kHU/edit?usp=sharing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7" s="7" t="s">
        <v>10</v>
      </c>
      <c r="H13137" s="7">
        <v>0</v>
      </c>
      <c r="I13137" s="8" t="str">
        <f ca="1">IFERROR(__xludf.DUMMYFUNCTION("IF
(
G13138=""фізична особа""
,
VLOOKUP(H13138,IMPORTRANGE(""https://docs.google.com/spreadsheets/d/14Bd19lYaqBhU8_DElYkX7l4wRkHqqCUFNJY4AfY3kHU/edit?usp=sharing  #gid=0"",""фіз особи new!relations_name""),6,FALSE)
,
(IF
(
G13138=""юридична особа""
,
VLOO"&amp;"KUP(H13138,IMPORTRANGE(""https://docs.google.com/spreadsheets/d/14Bd19lYaqBhU8_DElYkX7l4wRkHqqCUFNJY4AfY3kHU/edit?usp=sharing  #gid=0"",""фіз особи new!relations_name_uo""),7,FALSE)
,
)
))"),"#N/A")</f>
        <v>#N/A</v>
      </c>
      <c r="J13137" s="7" t="s">
        <v>23</v>
      </c>
    </row>
    <row r="13138" spans="1:10" ht="13.2">
      <c r="A13138" s="7">
        <v>13137</v>
      </c>
      <c r="B13138" s="7">
        <v>1</v>
      </c>
      <c r="C13138" s="7" t="s">
        <v>10</v>
      </c>
      <c r="D13138" s="7">
        <v>18375</v>
      </c>
      <c r="E13138" s="7" t="s">
        <v>23</v>
      </c>
      <c r="F13138" s="8" t="str">
        <f ca="1">IFERROR(__xludf.DUMMYFUNCTION("IF
(
C13139=""фізична особа""
,
VLOOKUP(D13139,IMPORTRANGE(""https://docs.google.com/spreadsheets/d/14Bd19lYaqBhU8_DElYkX7l4wRkHqqCUFNJY4AfY3kHU/edit?usp=sharing  #gid=0"",""фіз особи new!relations_name""),6,FALSE)
,
(IF
(
C13139=""юридична особа""
,
VLOO"&amp;"KUP(D13139,IMPORTRANGE(""https://docs.google.com/spreadsheets/d/14Bd19lYaqBhU8_DElYkX7l4wRkHqqCUFNJY4AfY3kHU/edit?usp=sharing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8" s="7" t="s">
        <v>10</v>
      </c>
      <c r="H13138" s="7">
        <v>0</v>
      </c>
      <c r="I13138" s="8" t="str">
        <f ca="1">IFERROR(__xludf.DUMMYFUNCTION("IF
(
G13139=""фізична особа""
,
VLOOKUP(H13139,IMPORTRANGE(""https://docs.google.com/spreadsheets/d/14Bd19lYaqBhU8_DElYkX7l4wRkHqqCUFNJY4AfY3kHU/edit?usp=sharing  #gid=0"",""фіз особи new!relations_name""),6,FALSE)
,
(IF
(
G13139=""юридична особа""
,
VLOO"&amp;"KUP(H13139,IMPORTRANGE(""https://docs.google.com/spreadsheets/d/14Bd19lYaqBhU8_DElYkX7l4wRkHqqCUFNJY4AfY3kHU/edit?usp=sharing  #gid=0"",""фіз особи new!relations_name_uo""),7,FALSE)
,
)
))"),"#N/A")</f>
        <v>#N/A</v>
      </c>
      <c r="J13138" s="7" t="s">
        <v>23</v>
      </c>
    </row>
    <row r="13139" spans="1:10" ht="13.2">
      <c r="A13139" s="7">
        <v>13138</v>
      </c>
      <c r="B13139" s="7">
        <v>1</v>
      </c>
      <c r="C13139" s="7" t="s">
        <v>10</v>
      </c>
      <c r="D13139" s="7">
        <v>18375</v>
      </c>
      <c r="E13139" s="7" t="s">
        <v>23</v>
      </c>
      <c r="F13139" s="8" t="str">
        <f ca="1">IFERROR(__xludf.DUMMYFUNCTION("IF
(
C13140=""фізична особа""
,
VLOOKUP(D13140,IMPORTRANGE(""https://docs.google.com/spreadsheets/d/14Bd19lYaqBhU8_DElYkX7l4wRkHqqCUFNJY4AfY3kHU/edit?usp=sharing  #gid=0"",""фіз особи new!relations_name""),6,FALSE)
,
(IF
(
C13140=""юридична особа""
,
VLOO"&amp;"KUP(D13140,IMPORTRANGE(""https://docs.google.com/spreadsheets/d/14Bd19lYaqBhU8_DElYkX7l4wRkHqqCUFNJY4AfY3kHU/edit?usp=sharing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39" s="7" t="s">
        <v>10</v>
      </c>
      <c r="H13139" s="7">
        <v>0</v>
      </c>
      <c r="I13139" s="8" t="str">
        <f ca="1">IFERROR(__xludf.DUMMYFUNCTION("IF
(
G13140=""фізична особа""
,
VLOOKUP(H13140,IMPORTRANGE(""https://docs.google.com/spreadsheets/d/14Bd19lYaqBhU8_DElYkX7l4wRkHqqCUFNJY4AfY3kHU/edit?usp=sharing  #gid=0"",""фіз особи new!relations_name""),6,FALSE)
,
(IF
(
G13140=""юридична особа""
,
VLOO"&amp;"KUP(H13140,IMPORTRANGE(""https://docs.google.com/spreadsheets/d/14Bd19lYaqBhU8_DElYkX7l4wRkHqqCUFNJY4AfY3kHU/edit?usp=sharing  #gid=0"",""фіз особи new!relations_name_uo""),7,FALSE)
,
)
))"),"#N/A")</f>
        <v>#N/A</v>
      </c>
      <c r="J13139" s="7" t="s">
        <v>23</v>
      </c>
    </row>
    <row r="13140" spans="1:10" ht="13.2">
      <c r="A13140" s="7">
        <v>13139</v>
      </c>
      <c r="B13140" s="7">
        <v>1</v>
      </c>
      <c r="C13140" s="7" t="s">
        <v>10</v>
      </c>
      <c r="D13140" s="7">
        <v>18375</v>
      </c>
      <c r="E13140" s="7" t="s">
        <v>23</v>
      </c>
      <c r="F13140" s="8" t="str">
        <f ca="1">IFERROR(__xludf.DUMMYFUNCTION("IF
(
C13141=""фізична особа""
,
VLOOKUP(D13141,IMPORTRANGE(""https://docs.google.com/spreadsheets/d/14Bd19lYaqBhU8_DElYkX7l4wRkHqqCUFNJY4AfY3kHU/edit?usp=sharing  #gid=0"",""фіз особи new!relations_name""),6,FALSE)
,
(IF
(
C13141=""юридична особа""
,
VLOO"&amp;"KUP(D13141,IMPORTRANGE(""https://docs.google.com/spreadsheets/d/14Bd19lYaqBhU8_DElYkX7l4wRkHqqCUFNJY4AfY3kHU/edit?usp=sharing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0" s="7" t="s">
        <v>10</v>
      </c>
      <c r="H13140" s="7">
        <v>0</v>
      </c>
      <c r="I13140" s="8" t="str">
        <f ca="1">IFERROR(__xludf.DUMMYFUNCTION("IF
(
G13141=""фізична особа""
,
VLOOKUP(H13141,IMPORTRANGE(""https://docs.google.com/spreadsheets/d/14Bd19lYaqBhU8_DElYkX7l4wRkHqqCUFNJY4AfY3kHU/edit?usp=sharing  #gid=0"",""фіз особи new!relations_name""),6,FALSE)
,
(IF
(
G13141=""юридична особа""
,
VLOO"&amp;"KUP(H13141,IMPORTRANGE(""https://docs.google.com/spreadsheets/d/14Bd19lYaqBhU8_DElYkX7l4wRkHqqCUFNJY4AfY3kHU/edit?usp=sharing  #gid=0"",""фіз особи new!relations_name_uo""),7,FALSE)
,
)
))"),"#N/A")</f>
        <v>#N/A</v>
      </c>
      <c r="J13140" s="7" t="s">
        <v>23</v>
      </c>
    </row>
    <row r="13141" spans="1:10" ht="13.2">
      <c r="A13141" s="7">
        <v>13140</v>
      </c>
      <c r="B13141" s="7">
        <v>1</v>
      </c>
      <c r="C13141" s="7" t="s">
        <v>10</v>
      </c>
      <c r="D13141" s="7">
        <v>18375</v>
      </c>
      <c r="E13141" s="7" t="s">
        <v>23</v>
      </c>
      <c r="F13141" s="8" t="str">
        <f ca="1">IFERROR(__xludf.DUMMYFUNCTION("IF
(
C13142=""фізична особа""
,
VLOOKUP(D13142,IMPORTRANGE(""https://docs.google.com/spreadsheets/d/14Bd19lYaqBhU8_DElYkX7l4wRkHqqCUFNJY4AfY3kHU/edit?usp=sharing  #gid=0"",""фіз особи new!relations_name""),6,FALSE)
,
(IF
(
C13142=""юридична особа""
,
VLOO"&amp;"KUP(D13142,IMPORTRANGE(""https://docs.google.com/spreadsheets/d/14Bd19lYaqBhU8_DElYkX7l4wRkHqqCUFNJY4AfY3kHU/edit?usp=sharing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1" s="7" t="s">
        <v>10</v>
      </c>
      <c r="H13141" s="7">
        <v>0</v>
      </c>
      <c r="I13141" s="8" t="str">
        <f ca="1">IFERROR(__xludf.DUMMYFUNCTION("IF
(
G13142=""фізична особа""
,
VLOOKUP(H13142,IMPORTRANGE(""https://docs.google.com/spreadsheets/d/14Bd19lYaqBhU8_DElYkX7l4wRkHqqCUFNJY4AfY3kHU/edit?usp=sharing  #gid=0"",""фіз особи new!relations_name""),6,FALSE)
,
(IF
(
G13142=""юридична особа""
,
VLOO"&amp;"KUP(H13142,IMPORTRANGE(""https://docs.google.com/spreadsheets/d/14Bd19lYaqBhU8_DElYkX7l4wRkHqqCUFNJY4AfY3kHU/edit?usp=sharing  #gid=0"",""фіз особи new!relations_name_uo""),7,FALSE)
,
)
))"),"#N/A")</f>
        <v>#N/A</v>
      </c>
      <c r="J13141" s="7" t="s">
        <v>23</v>
      </c>
    </row>
    <row r="13142" spans="1:10" ht="13.2">
      <c r="A13142" s="7">
        <v>13141</v>
      </c>
      <c r="B13142" s="7">
        <v>1</v>
      </c>
      <c r="C13142" s="7" t="s">
        <v>10</v>
      </c>
      <c r="D13142" s="7">
        <v>18375</v>
      </c>
      <c r="E13142" s="7" t="s">
        <v>23</v>
      </c>
      <c r="F13142" s="8" t="str">
        <f ca="1">IFERROR(__xludf.DUMMYFUNCTION("IF
(
C13143=""фізична особа""
,
VLOOKUP(D13143,IMPORTRANGE(""https://docs.google.com/spreadsheets/d/14Bd19lYaqBhU8_DElYkX7l4wRkHqqCUFNJY4AfY3kHU/edit?usp=sharing  #gid=0"",""фіз особи new!relations_name""),6,FALSE)
,
(IF
(
C13143=""юридична особа""
,
VLOO"&amp;"KUP(D13143,IMPORTRANGE(""https://docs.google.com/spreadsheets/d/14Bd19lYaqBhU8_DElYkX7l4wRkHqqCUFNJY4AfY3kHU/edit?usp=sharing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2" s="7" t="s">
        <v>10</v>
      </c>
      <c r="H13142" s="7">
        <v>0</v>
      </c>
      <c r="I13142" s="8" t="str">
        <f ca="1">IFERROR(__xludf.DUMMYFUNCTION("IF
(
G13143=""фізична особа""
,
VLOOKUP(H13143,IMPORTRANGE(""https://docs.google.com/spreadsheets/d/14Bd19lYaqBhU8_DElYkX7l4wRkHqqCUFNJY4AfY3kHU/edit?usp=sharing  #gid=0"",""фіз особи new!relations_name""),6,FALSE)
,
(IF
(
G13143=""юридична особа""
,
VLOO"&amp;"KUP(H13143,IMPORTRANGE(""https://docs.google.com/spreadsheets/d/14Bd19lYaqBhU8_DElYkX7l4wRkHqqCUFNJY4AfY3kHU/edit?usp=sharing  #gid=0"",""фіз особи new!relations_name_uo""),7,FALSE)
,
)
))"),"#N/A")</f>
        <v>#N/A</v>
      </c>
      <c r="J13142" s="7" t="s">
        <v>23</v>
      </c>
    </row>
    <row r="13143" spans="1:10" ht="13.2">
      <c r="A13143" s="7">
        <v>13142</v>
      </c>
      <c r="B13143" s="7">
        <v>1</v>
      </c>
      <c r="C13143" s="7" t="s">
        <v>10</v>
      </c>
      <c r="D13143" s="7">
        <v>18375</v>
      </c>
      <c r="E13143" s="7" t="s">
        <v>23</v>
      </c>
      <c r="F13143" s="8" t="str">
        <f ca="1">IFERROR(__xludf.DUMMYFUNCTION("IF
(
C13144=""фізична особа""
,
VLOOKUP(D13144,IMPORTRANGE(""https://docs.google.com/spreadsheets/d/14Bd19lYaqBhU8_DElYkX7l4wRkHqqCUFNJY4AfY3kHU/edit?usp=sharing  #gid=0"",""фіз особи new!relations_name""),6,FALSE)
,
(IF
(
C13144=""юридична особа""
,
VLOO"&amp;"KUP(D13144,IMPORTRANGE(""https://docs.google.com/spreadsheets/d/14Bd19lYaqBhU8_DElYkX7l4wRkHqqCUFNJY4AfY3kHU/edit?usp=sharing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3" s="7" t="s">
        <v>10</v>
      </c>
      <c r="H13143" s="7">
        <v>0</v>
      </c>
      <c r="I13143" s="8" t="str">
        <f ca="1">IFERROR(__xludf.DUMMYFUNCTION("IF
(
G13144=""фізична особа""
,
VLOOKUP(H13144,IMPORTRANGE(""https://docs.google.com/spreadsheets/d/14Bd19lYaqBhU8_DElYkX7l4wRkHqqCUFNJY4AfY3kHU/edit?usp=sharing  #gid=0"",""фіз особи new!relations_name""),6,FALSE)
,
(IF
(
G13144=""юридична особа""
,
VLOO"&amp;"KUP(H13144,IMPORTRANGE(""https://docs.google.com/spreadsheets/d/14Bd19lYaqBhU8_DElYkX7l4wRkHqqCUFNJY4AfY3kHU/edit?usp=sharing  #gid=0"",""фіз особи new!relations_name_uo""),7,FALSE)
,
)
))"),"#N/A")</f>
        <v>#N/A</v>
      </c>
      <c r="J13143" s="7" t="s">
        <v>23</v>
      </c>
    </row>
    <row r="13144" spans="1:10" ht="13.2">
      <c r="A13144" s="7">
        <v>13143</v>
      </c>
      <c r="B13144" s="7">
        <v>1</v>
      </c>
      <c r="C13144" s="7" t="s">
        <v>10</v>
      </c>
      <c r="D13144" s="7">
        <v>18375</v>
      </c>
      <c r="E13144" s="7" t="s">
        <v>23</v>
      </c>
      <c r="F13144" s="8" t="str">
        <f ca="1">IFERROR(__xludf.DUMMYFUNCTION("IF
(
C13145=""фізична особа""
,
VLOOKUP(D13145,IMPORTRANGE(""https://docs.google.com/spreadsheets/d/14Bd19lYaqBhU8_DElYkX7l4wRkHqqCUFNJY4AfY3kHU/edit?usp=sharing  #gid=0"",""фіз особи new!relations_name""),6,FALSE)
,
(IF
(
C13145=""юридична особа""
,
VLOO"&amp;"KUP(D13145,IMPORTRANGE(""https://docs.google.com/spreadsheets/d/14Bd19lYaqBhU8_DElYkX7l4wRkHqqCUFNJY4AfY3kHU/edit?usp=sharing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4" s="7" t="s">
        <v>10</v>
      </c>
      <c r="H13144" s="7">
        <v>0</v>
      </c>
      <c r="I13144" s="8" t="str">
        <f ca="1">IFERROR(__xludf.DUMMYFUNCTION("IF
(
G13145=""фізична особа""
,
VLOOKUP(H13145,IMPORTRANGE(""https://docs.google.com/spreadsheets/d/14Bd19lYaqBhU8_DElYkX7l4wRkHqqCUFNJY4AfY3kHU/edit?usp=sharing  #gid=0"",""фіз особи new!relations_name""),6,FALSE)
,
(IF
(
G13145=""юридична особа""
,
VLOO"&amp;"KUP(H13145,IMPORTRANGE(""https://docs.google.com/spreadsheets/d/14Bd19lYaqBhU8_DElYkX7l4wRkHqqCUFNJY4AfY3kHU/edit?usp=sharing  #gid=0"",""фіз особи new!relations_name_uo""),7,FALSE)
,
)
))"),"#N/A")</f>
        <v>#N/A</v>
      </c>
      <c r="J13144" s="7" t="s">
        <v>23</v>
      </c>
    </row>
    <row r="13145" spans="1:10" ht="13.2">
      <c r="A13145" s="7">
        <v>13144</v>
      </c>
      <c r="B13145" s="7">
        <v>1</v>
      </c>
      <c r="C13145" s="7" t="s">
        <v>10</v>
      </c>
      <c r="D13145" s="7">
        <v>18375</v>
      </c>
      <c r="E13145" s="7" t="s">
        <v>23</v>
      </c>
      <c r="F13145" s="8" t="str">
        <f ca="1">IFERROR(__xludf.DUMMYFUNCTION("IF
(
C13146=""фізична особа""
,
VLOOKUP(D13146,IMPORTRANGE(""https://docs.google.com/spreadsheets/d/14Bd19lYaqBhU8_DElYkX7l4wRkHqqCUFNJY4AfY3kHU/edit?usp=sharing  #gid=0"",""фіз особи new!relations_name""),6,FALSE)
,
(IF
(
C13146=""юридична особа""
,
VLOO"&amp;"KUP(D13146,IMPORTRANGE(""https://docs.google.com/spreadsheets/d/14Bd19lYaqBhU8_DElYkX7l4wRkHqqCUFNJY4AfY3kHU/edit?usp=sharing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G13145" s="7" t="s">
        <v>10</v>
      </c>
      <c r="H13145" s="7">
        <v>0</v>
      </c>
      <c r="I13145" s="8" t="str">
        <f ca="1">IFERROR(__xludf.DUMMYFUNCTION("IF
(
G13146=""фізична особа""
,
VLOOKUP(H13146,IMPORTRANGE(""https://docs.google.com/spreadsheets/d/14Bd19lYaqBhU8_DElYkX7l4wRkHqqCUFNJY4AfY3kHU/edit?usp=sharing  #gid=0"",""фіз особи new!relations_name""),6,FALSE)
,
(IF
(
G13146=""юридична особа""
,
VLOO"&amp;"KUP(H13146,IMPORTRANGE(""https://docs.google.com/spreadsheets/d/14Bd19lYaqBhU8_DElYkX7l4wRkHqqCUFNJY4AfY3kHU/edit?usp=sharing  #gid=0"",""фіз особи new!relations_name_uo""),7,FALSE)
,
)
))"),"#N/A")</f>
        <v>#N/A</v>
      </c>
      <c r="J13145" s="7" t="s">
        <v>23</v>
      </c>
    </row>
    <row r="13146" spans="1:10" ht="13.2">
      <c r="A13146" s="7">
        <v>13145</v>
      </c>
      <c r="B13146" s="7">
        <v>1</v>
      </c>
      <c r="C13146" s="7" t="s">
        <v>10</v>
      </c>
      <c r="D13146" s="7">
        <v>18376</v>
      </c>
      <c r="E13146" s="7" t="s">
        <v>23</v>
      </c>
      <c r="F13146" s="8" t="str">
        <f ca="1">IFERROR(__xludf.DUMMYFUNCTION("IF
(
C13147=""фізична особа""
,
VLOOKUP(D13147,IMPORTRANGE(""https://docs.google.com/spreadsheets/d/14Bd19lYaqBhU8_DElYkX7l4wRkHqqCUFNJY4AfY3kHU/edit?usp=sharing  #gid=0"",""фіз особи new!relations_name""),6,FALSE)
,
(IF
(
C13147=""юридична особа""
,
VLOO"&amp;"KUP(D13147,IMPORTRANGE(""https://docs.google.com/spreadsheets/d/14Bd19lYaqBhU8_DElYkX7l4wRkHqqCUFNJY4AfY3kHU/edit?usp=sharing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46" s="7" t="s">
        <v>10</v>
      </c>
      <c r="H13146" s="7">
        <v>18374</v>
      </c>
      <c r="I13146" s="8" t="str">
        <f ca="1">IFERROR(__xludf.DUMMYFUNCTION("IF
(
G13147=""фізична особа""
,
VLOOKUP(H13147,IMPORTRANGE(""https://docs.google.com/spreadsheets/d/14Bd19lYaqBhU8_DElYkX7l4wRkHqqCUFNJY4AfY3kHU/edit?usp=sharing  #gid=0"",""фіз особи new!relations_name""),6,FALSE)
,
(IF
(
G13147=""юридична особа""
,
VLOO"&amp;"KUP(H13147,IMPORTRANGE(""https://docs.google.com/spreadsheets/d/14Bd19lYaqBhU8_DElYkX7l4wRkHqqCUFNJY4AfY3kHU/edit?usp=sharing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46" s="7" t="s">
        <v>23</v>
      </c>
    </row>
    <row r="13147" spans="1:10" ht="13.2">
      <c r="A13147" s="7">
        <v>13146</v>
      </c>
      <c r="B13147" s="7">
        <v>1</v>
      </c>
      <c r="C13147" s="7" t="s">
        <v>10</v>
      </c>
      <c r="D13147" s="7">
        <v>18376</v>
      </c>
      <c r="E13147" s="7" t="s">
        <v>23</v>
      </c>
      <c r="F13147" s="8" t="str">
        <f ca="1">IFERROR(__xludf.DUMMYFUNCTION("IF
(
C13148=""фізична особа""
,
VLOOKUP(D13148,IMPORTRANGE(""https://docs.google.com/spreadsheets/d/14Bd19lYaqBhU8_DElYkX7l4wRkHqqCUFNJY4AfY3kHU/edit?usp=sharing  #gid=0"",""фіз особи new!relations_name""),6,FALSE)
,
(IF
(
C13148=""юридична особа""
,
VLOO"&amp;"KUP(D13148,IMPORTRANGE(""https://docs.google.com/spreadsheets/d/14Bd19lYaqBhU8_DElYkX7l4wRkHqqCUFNJY4AfY3kHU/edit?usp=sharing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47" s="7" t="s">
        <v>10</v>
      </c>
      <c r="H13147" s="7">
        <v>18375</v>
      </c>
      <c r="I13147" s="8" t="str">
        <f ca="1">IFERROR(__xludf.DUMMYFUNCTION("IF
(
G13148=""фізична особа""
,
VLOOKUP(H13148,IMPORTRANGE(""https://docs.google.com/spreadsheets/d/14Bd19lYaqBhU8_DElYkX7l4wRkHqqCUFNJY4AfY3kHU/edit?usp=sharing  #gid=0"",""фіз особи new!relations_name""),6,FALSE)
,
(IF
(
G13148=""юридична особа""
,
VLOO"&amp;"KUP(H13148,IMPORTRANGE(""https://docs.google.com/spreadsheets/d/14Bd19lYaqBhU8_DElYkX7l4wRkHqqCUFNJY4AfY3kHU/edit?usp=sharing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47" s="7" t="s">
        <v>23</v>
      </c>
    </row>
    <row r="13148" spans="1:10" ht="13.2">
      <c r="A13148" s="7">
        <v>13147</v>
      </c>
      <c r="B13148" s="7">
        <v>1</v>
      </c>
      <c r="C13148" s="7" t="s">
        <v>10</v>
      </c>
      <c r="D13148" s="7">
        <v>18376</v>
      </c>
      <c r="E13148" s="7" t="s">
        <v>23</v>
      </c>
      <c r="F13148" s="8" t="str">
        <f ca="1">IFERROR(__xludf.DUMMYFUNCTION("IF
(
C13149=""фізична особа""
,
VLOOKUP(D13149,IMPORTRANGE(""https://docs.google.com/spreadsheets/d/14Bd19lYaqBhU8_DElYkX7l4wRkHqqCUFNJY4AfY3kHU/edit?usp=sharing  #gid=0"",""фіз особи new!relations_name""),6,FALSE)
,
(IF
(
C13149=""юридична особа""
,
VLOO"&amp;"KUP(D13149,IMPORTRANGE(""https://docs.google.com/spreadsheets/d/14Bd19lYaqBhU8_DElYkX7l4wRkHqqCUFNJY4AfY3kHU/edit?usp=sharing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48" s="7" t="s">
        <v>10</v>
      </c>
      <c r="H13148" s="7">
        <v>18377</v>
      </c>
      <c r="I13148" s="8" t="str">
        <f ca="1">IFERROR(__xludf.DUMMYFUNCTION("IF
(
G13149=""фізична особа""
,
VLOOKUP(H13149,IMPORTRANGE(""https://docs.google.com/spreadsheets/d/14Bd19lYaqBhU8_DElYkX7l4wRkHqqCUFNJY4AfY3kHU/edit?usp=sharing  #gid=0"",""фіз особи new!relations_name""),6,FALSE)
,
(IF
(
G13149=""юридична особа""
,
VLOO"&amp;"KUP(H13149,IMPORTRANGE(""https://docs.google.com/spreadsheets/d/14Bd19lYaqBhU8_DElYkX7l4wRkHqqCUFNJY4AfY3kHU/edit?usp=sharing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48" s="7" t="s">
        <v>23</v>
      </c>
    </row>
    <row r="13149" spans="1:10" ht="13.2">
      <c r="A13149" s="7">
        <v>13148</v>
      </c>
      <c r="B13149" s="7">
        <v>1</v>
      </c>
      <c r="C13149" s="7" t="s">
        <v>10</v>
      </c>
      <c r="D13149" s="7">
        <v>18376</v>
      </c>
      <c r="E13149" s="7" t="s">
        <v>23</v>
      </c>
      <c r="F13149" s="8" t="str">
        <f ca="1">IFERROR(__xludf.DUMMYFUNCTION("IF
(
C13150=""фізична особа""
,
VLOOKUP(D13150,IMPORTRANGE(""https://docs.google.com/spreadsheets/d/14Bd19lYaqBhU8_DElYkX7l4wRkHqqCUFNJY4AfY3kHU/edit?usp=sharing  #gid=0"",""фіз особи new!relations_name""),6,FALSE)
,
(IF
(
C13150=""юридична особа""
,
VLOO"&amp;"KUP(D13150,IMPORTRANGE(""https://docs.google.com/spreadsheets/d/14Bd19lYaqBhU8_DElYkX7l4wRkHqqCUFNJY4AfY3kHU/edit?usp=sharing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49" s="7" t="s">
        <v>10</v>
      </c>
      <c r="H13149" s="7">
        <v>18378</v>
      </c>
      <c r="I13149" s="8" t="str">
        <f ca="1">IFERROR(__xludf.DUMMYFUNCTION("IF
(
G13150=""фізична особа""
,
VLOOKUP(H13150,IMPORTRANGE(""https://docs.google.com/spreadsheets/d/14Bd19lYaqBhU8_DElYkX7l4wRkHqqCUFNJY4AfY3kHU/edit?usp=sharing  #gid=0"",""фіз особи new!relations_name""),6,FALSE)
,
(IF
(
G13150=""юридична особа""
,
VLOO"&amp;"KUP(H13150,IMPORTRANGE(""https://docs.google.com/spreadsheets/d/14Bd19lYaqBhU8_DElYkX7l4wRkHqqCUFNJY4AfY3kHU/edit?usp=sharing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49" s="7" t="s">
        <v>23</v>
      </c>
    </row>
    <row r="13150" spans="1:10" ht="13.2">
      <c r="A13150" s="7">
        <v>13149</v>
      </c>
      <c r="B13150" s="7">
        <v>1</v>
      </c>
      <c r="C13150" s="7" t="s">
        <v>10</v>
      </c>
      <c r="D13150" s="7">
        <v>18376</v>
      </c>
      <c r="E13150" s="7" t="s">
        <v>23</v>
      </c>
      <c r="F13150" s="8" t="str">
        <f ca="1">IFERROR(__xludf.DUMMYFUNCTION("IF
(
C13151=""фізична особа""
,
VLOOKUP(D13151,IMPORTRANGE(""https://docs.google.com/spreadsheets/d/14Bd19lYaqBhU8_DElYkX7l4wRkHqqCUFNJY4AfY3kHU/edit?usp=sharing  #gid=0"",""фіз особи new!relations_name""),6,FALSE)
,
(IF
(
C13151=""юридична особа""
,
VLOO"&amp;"KUP(D13151,IMPORTRANGE(""https://docs.google.com/spreadsheets/d/14Bd19lYaqBhU8_DElYkX7l4wRkHqqCUFNJY4AfY3kHU/edit?usp=sharing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0" s="7" t="s">
        <v>10</v>
      </c>
      <c r="H13150" s="7">
        <v>18379</v>
      </c>
      <c r="I13150" s="8" t="str">
        <f ca="1">IFERROR(__xludf.DUMMYFUNCTION("IF
(
G13151=""фізична особа""
,
VLOOKUP(H13151,IMPORTRANGE(""https://docs.google.com/spreadsheets/d/14Bd19lYaqBhU8_DElYkX7l4wRkHqqCUFNJY4AfY3kHU/edit?usp=sharing  #gid=0"",""фіз особи new!relations_name""),6,FALSE)
,
(IF
(
G13151=""юридична особа""
,
VLOO"&amp;"KUP(H13151,IMPORTRANGE(""https://docs.google.com/spreadsheets/d/14Bd19lYaqBhU8_DElYkX7l4wRkHqqCUFNJY4AfY3kHU/edit?usp=sharing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50" s="7" t="s">
        <v>23</v>
      </c>
    </row>
    <row r="13151" spans="1:10" ht="13.2">
      <c r="A13151" s="7">
        <v>13150</v>
      </c>
      <c r="B13151" s="7">
        <v>1</v>
      </c>
      <c r="C13151" s="7" t="s">
        <v>10</v>
      </c>
      <c r="D13151" s="7">
        <v>18376</v>
      </c>
      <c r="E13151" s="7" t="s">
        <v>23</v>
      </c>
      <c r="F13151" s="8" t="str">
        <f ca="1">IFERROR(__xludf.DUMMYFUNCTION("IF
(
C13152=""фізична особа""
,
VLOOKUP(D13152,IMPORTRANGE(""https://docs.google.com/spreadsheets/d/14Bd19lYaqBhU8_DElYkX7l4wRkHqqCUFNJY4AfY3kHU/edit?usp=sharing  #gid=0"",""фіз особи new!relations_name""),6,FALSE)
,
(IF
(
C13152=""юридична особа""
,
VLOO"&amp;"KUP(D13152,IMPORTRANGE(""https://docs.google.com/spreadsheets/d/14Bd19lYaqBhU8_DElYkX7l4wRkHqqCUFNJY4AfY3kHU/edit?usp=sharing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1" s="7" t="s">
        <v>10</v>
      </c>
      <c r="H13151" s="7">
        <v>23649</v>
      </c>
      <c r="I13151" s="8" t="str">
        <f ca="1">IFERROR(__xludf.DUMMYFUNCTION("IF
(
G13152=""фізична особа""
,
VLOOKUP(H13152,IMPORTRANGE(""https://docs.google.com/spreadsheets/d/14Bd19lYaqBhU8_DElYkX7l4wRkHqqCUFNJY4AfY3kHU/edit?usp=sharing  #gid=0"",""фіз особи new!relations_name""),6,FALSE)
,
(IF
(
G13152=""юридична особа""
,
VLOO"&amp;"KUP(H13152,IMPORTRANGE(""https://docs.google.com/spreadsheets/d/14Bd19lYaqBhU8_DElYkX7l4wRkHqqCUFNJY4AfY3kHU/edit?usp=sharing  #gid=0"",""фіз особи new!relations_name_uo""),7,FALSE)
,
)
))"),"САРИЧЕВ Сергій Валерійович")</f>
        <v>САРИЧЕВ Сергій Валерійович</v>
      </c>
      <c r="J13151" s="7" t="s">
        <v>23</v>
      </c>
    </row>
    <row r="13152" spans="1:10" ht="13.2">
      <c r="A13152" s="7">
        <v>13151</v>
      </c>
      <c r="B13152" s="7">
        <v>1</v>
      </c>
      <c r="C13152" s="7" t="s">
        <v>10</v>
      </c>
      <c r="D13152" s="7">
        <v>18376</v>
      </c>
      <c r="E13152" s="7" t="s">
        <v>23</v>
      </c>
      <c r="F13152" s="8" t="str">
        <f ca="1">IFERROR(__xludf.DUMMYFUNCTION("IF
(
C13153=""фізична особа""
,
VLOOKUP(D13153,IMPORTRANGE(""https://docs.google.com/spreadsheets/d/14Bd19lYaqBhU8_DElYkX7l4wRkHqqCUFNJY4AfY3kHU/edit?usp=sharing  #gid=0"",""фіз особи new!relations_name""),6,FALSE)
,
(IF
(
C13153=""юридична особа""
,
VLOO"&amp;"KUP(D13153,IMPORTRANGE(""https://docs.google.com/spreadsheets/d/14Bd19lYaqBhU8_DElYkX7l4wRkHqqCUFNJY4AfY3kHU/edit?usp=sharing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2" s="7" t="s">
        <v>10</v>
      </c>
      <c r="H13152" s="7">
        <v>0</v>
      </c>
      <c r="I13152" s="8" t="str">
        <f ca="1">IFERROR(__xludf.DUMMYFUNCTION("IF
(
G13153=""фізична особа""
,
VLOOKUP(H13153,IMPORTRANGE(""https://docs.google.com/spreadsheets/d/14Bd19lYaqBhU8_DElYkX7l4wRkHqqCUFNJY4AfY3kHU/edit?usp=sharing  #gid=0"",""фіз особи new!relations_name""),6,FALSE)
,
(IF
(
G13153=""юридична особа""
,
VLOO"&amp;"KUP(H13153,IMPORTRANGE(""https://docs.google.com/spreadsheets/d/14Bd19lYaqBhU8_DElYkX7l4wRkHqqCUFNJY4AfY3kHU/edit?usp=sharing  #gid=0"",""фіз особи new!relations_name_uo""),7,FALSE)
,
)
))"),"#N/A")</f>
        <v>#N/A</v>
      </c>
      <c r="J13152" s="7" t="s">
        <v>23</v>
      </c>
    </row>
    <row r="13153" spans="1:10" ht="13.2">
      <c r="A13153" s="7">
        <v>13152</v>
      </c>
      <c r="B13153" s="7">
        <v>1</v>
      </c>
      <c r="C13153" s="7" t="s">
        <v>10</v>
      </c>
      <c r="D13153" s="7">
        <v>18376</v>
      </c>
      <c r="E13153" s="7" t="s">
        <v>23</v>
      </c>
      <c r="F13153" s="8" t="str">
        <f ca="1">IFERROR(__xludf.DUMMYFUNCTION("IF
(
C13154=""фізична особа""
,
VLOOKUP(D13154,IMPORTRANGE(""https://docs.google.com/spreadsheets/d/14Bd19lYaqBhU8_DElYkX7l4wRkHqqCUFNJY4AfY3kHU/edit?usp=sharing  #gid=0"",""фіз особи new!relations_name""),6,FALSE)
,
(IF
(
C13154=""юридична особа""
,
VLOO"&amp;"KUP(D13154,IMPORTRANGE(""https://docs.google.com/spreadsheets/d/14Bd19lYaqBhU8_DElYkX7l4wRkHqqCUFNJY4AfY3kHU/edit?usp=sharing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3" s="7" t="s">
        <v>10</v>
      </c>
      <c r="H13153" s="7">
        <v>0</v>
      </c>
      <c r="I13153" s="8" t="str">
        <f ca="1">IFERROR(__xludf.DUMMYFUNCTION("IF
(
G13154=""фізична особа""
,
VLOOKUP(H13154,IMPORTRANGE(""https://docs.google.com/spreadsheets/d/14Bd19lYaqBhU8_DElYkX7l4wRkHqqCUFNJY4AfY3kHU/edit?usp=sharing  #gid=0"",""фіз особи new!relations_name""),6,FALSE)
,
(IF
(
G13154=""юридична особа""
,
VLOO"&amp;"KUP(H13154,IMPORTRANGE(""https://docs.google.com/spreadsheets/d/14Bd19lYaqBhU8_DElYkX7l4wRkHqqCUFNJY4AfY3kHU/edit?usp=sharing  #gid=0"",""фіз особи new!relations_name_uo""),7,FALSE)
,
)
))"),"#N/A")</f>
        <v>#N/A</v>
      </c>
      <c r="J13153" s="7" t="s">
        <v>23</v>
      </c>
    </row>
    <row r="13154" spans="1:10" ht="13.2">
      <c r="A13154" s="7">
        <v>13153</v>
      </c>
      <c r="B13154" s="7">
        <v>1</v>
      </c>
      <c r="C13154" s="7" t="s">
        <v>10</v>
      </c>
      <c r="D13154" s="7">
        <v>18376</v>
      </c>
      <c r="E13154" s="7" t="s">
        <v>23</v>
      </c>
      <c r="F13154" s="8" t="str">
        <f ca="1">IFERROR(__xludf.DUMMYFUNCTION("IF
(
C13155=""фізична особа""
,
VLOOKUP(D13155,IMPORTRANGE(""https://docs.google.com/spreadsheets/d/14Bd19lYaqBhU8_DElYkX7l4wRkHqqCUFNJY4AfY3kHU/edit?usp=sharing  #gid=0"",""фіз особи new!relations_name""),6,FALSE)
,
(IF
(
C13155=""юридична особа""
,
VLOO"&amp;"KUP(D13155,IMPORTRANGE(""https://docs.google.com/spreadsheets/d/14Bd19lYaqBhU8_DElYkX7l4wRkHqqCUFNJY4AfY3kHU/edit?usp=sharing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4" s="7" t="s">
        <v>10</v>
      </c>
      <c r="H13154" s="7">
        <v>0</v>
      </c>
      <c r="I13154" s="8" t="str">
        <f ca="1">IFERROR(__xludf.DUMMYFUNCTION("IF
(
G13155=""фізична особа""
,
VLOOKUP(H13155,IMPORTRANGE(""https://docs.google.com/spreadsheets/d/14Bd19lYaqBhU8_DElYkX7l4wRkHqqCUFNJY4AfY3kHU/edit?usp=sharing  #gid=0"",""фіз особи new!relations_name""),6,FALSE)
,
(IF
(
G13155=""юридична особа""
,
VLOO"&amp;"KUP(H13155,IMPORTRANGE(""https://docs.google.com/spreadsheets/d/14Bd19lYaqBhU8_DElYkX7l4wRkHqqCUFNJY4AfY3kHU/edit?usp=sharing  #gid=0"",""фіз особи new!relations_name_uo""),7,FALSE)
,
)
))"),"#N/A")</f>
        <v>#N/A</v>
      </c>
      <c r="J13154" s="7" t="s">
        <v>23</v>
      </c>
    </row>
    <row r="13155" spans="1:10" ht="13.2">
      <c r="A13155" s="7">
        <v>13154</v>
      </c>
      <c r="B13155" s="7">
        <v>1</v>
      </c>
      <c r="C13155" s="7" t="s">
        <v>10</v>
      </c>
      <c r="D13155" s="7">
        <v>18376</v>
      </c>
      <c r="E13155" s="7" t="s">
        <v>23</v>
      </c>
      <c r="F13155" s="8" t="str">
        <f ca="1">IFERROR(__xludf.DUMMYFUNCTION("IF
(
C13156=""фізична особа""
,
VLOOKUP(D13156,IMPORTRANGE(""https://docs.google.com/spreadsheets/d/14Bd19lYaqBhU8_DElYkX7l4wRkHqqCUFNJY4AfY3kHU/edit?usp=sharing  #gid=0"",""фіз особи new!relations_name""),6,FALSE)
,
(IF
(
C13156=""юридична особа""
,
VLOO"&amp;"KUP(D13156,IMPORTRANGE(""https://docs.google.com/spreadsheets/d/14Bd19lYaqBhU8_DElYkX7l4wRkHqqCUFNJY4AfY3kHU/edit?usp=sharing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5" s="7" t="s">
        <v>10</v>
      </c>
      <c r="H13155" s="7">
        <v>0</v>
      </c>
      <c r="I13155" s="8" t="str">
        <f ca="1">IFERROR(__xludf.DUMMYFUNCTION("IF
(
G13156=""фізична особа""
,
VLOOKUP(H13156,IMPORTRANGE(""https://docs.google.com/spreadsheets/d/14Bd19lYaqBhU8_DElYkX7l4wRkHqqCUFNJY4AfY3kHU/edit?usp=sharing  #gid=0"",""фіз особи new!relations_name""),6,FALSE)
,
(IF
(
G13156=""юридична особа""
,
VLOO"&amp;"KUP(H13156,IMPORTRANGE(""https://docs.google.com/spreadsheets/d/14Bd19lYaqBhU8_DElYkX7l4wRkHqqCUFNJY4AfY3kHU/edit?usp=sharing  #gid=0"",""фіз особи new!relations_name_uo""),7,FALSE)
,
)
))"),"#N/A")</f>
        <v>#N/A</v>
      </c>
      <c r="J13155" s="7" t="s">
        <v>23</v>
      </c>
    </row>
    <row r="13156" spans="1:10" ht="13.2">
      <c r="A13156" s="7">
        <v>13155</v>
      </c>
      <c r="B13156" s="7">
        <v>1</v>
      </c>
      <c r="C13156" s="7" t="s">
        <v>10</v>
      </c>
      <c r="D13156" s="7">
        <v>18376</v>
      </c>
      <c r="E13156" s="7" t="s">
        <v>23</v>
      </c>
      <c r="F13156" s="8" t="str">
        <f ca="1">IFERROR(__xludf.DUMMYFUNCTION("IF
(
C13157=""фізична особа""
,
VLOOKUP(D13157,IMPORTRANGE(""https://docs.google.com/spreadsheets/d/14Bd19lYaqBhU8_DElYkX7l4wRkHqqCUFNJY4AfY3kHU/edit?usp=sharing  #gid=0"",""фіз особи new!relations_name""),6,FALSE)
,
(IF
(
C13157=""юридична особа""
,
VLOO"&amp;"KUP(D13157,IMPORTRANGE(""https://docs.google.com/spreadsheets/d/14Bd19lYaqBhU8_DElYkX7l4wRkHqqCUFNJY4AfY3kHU/edit?usp=sharing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6" s="7" t="s">
        <v>10</v>
      </c>
      <c r="H13156" s="7">
        <v>23650</v>
      </c>
      <c r="I13156" s="8" t="str">
        <f ca="1">IFERROR(__xludf.DUMMYFUNCTION("IF
(
G13157=""фізична особа""
,
VLOOKUP(H13157,IMPORTRANGE(""https://docs.google.com/spreadsheets/d/14Bd19lYaqBhU8_DElYkX7l4wRkHqqCUFNJY4AfY3kHU/edit?usp=sharing  #gid=0"",""фіз особи new!relations_name""),6,FALSE)
,
(IF
(
G13157=""юридична особа""
,
VLOO"&amp;"KUP(H13157,IMPORTRANGE(""https://docs.google.com/spreadsheets/d/14Bd19lYaqBhU8_DElYkX7l4wRkHqqCUFNJY4AfY3kHU/edit?usp=sharing  #gid=0"",""фіз особи new!relations_name_uo""),7,FALSE)
,
)
))"),"КАНАРЕЙКІН Дмитро Петрович")</f>
        <v>КАНАРЕЙКІН Дмитро Петрович</v>
      </c>
      <c r="J13156" s="7" t="s">
        <v>23</v>
      </c>
    </row>
    <row r="13157" spans="1:10" ht="13.2">
      <c r="A13157" s="7">
        <v>13156</v>
      </c>
      <c r="B13157" s="7">
        <v>1</v>
      </c>
      <c r="C13157" s="7" t="s">
        <v>10</v>
      </c>
      <c r="D13157" s="7">
        <v>18376</v>
      </c>
      <c r="E13157" s="7" t="s">
        <v>23</v>
      </c>
      <c r="F13157" s="8" t="str">
        <f ca="1">IFERROR(__xludf.DUMMYFUNCTION("IF
(
C13158=""фізична особа""
,
VLOOKUP(D13158,IMPORTRANGE(""https://docs.google.com/spreadsheets/d/14Bd19lYaqBhU8_DElYkX7l4wRkHqqCUFNJY4AfY3kHU/edit?usp=sharing  #gid=0"",""фіз особи new!relations_name""),6,FALSE)
,
(IF
(
C13158=""юридична особа""
,
VLOO"&amp;"KUP(D13158,IMPORTRANGE(""https://docs.google.com/spreadsheets/d/14Bd19lYaqBhU8_DElYkX7l4wRkHqqCUFNJY4AfY3kHU/edit?usp=sharing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7" s="7" t="s">
        <v>10</v>
      </c>
      <c r="H13157" s="7">
        <v>23651</v>
      </c>
      <c r="I13157" s="8" t="str">
        <f ca="1">IFERROR(__xludf.DUMMYFUNCTION("IF
(
G13158=""фізична особа""
,
VLOOKUP(H13158,IMPORTRANGE(""https://docs.google.com/spreadsheets/d/14Bd19lYaqBhU8_DElYkX7l4wRkHqqCUFNJY4AfY3kHU/edit?usp=sharing  #gid=0"",""фіз особи new!relations_name""),6,FALSE)
,
(IF
(
G13158=""юридична особа""
,
VLOO"&amp;"KUP(H13158,IMPORTRANGE(""https://docs.google.com/spreadsheets/d/14Bd19lYaqBhU8_DElYkX7l4wRkHqqCUFNJY4AfY3kHU/edit?usp=sharing  #gid=0"",""фіз особи new!relations_name_uo""),7,FALSE)
,
)
))"),"ТУТУКІН Дмитро Миколайович")</f>
        <v>ТУТУКІН Дмитро Миколайович</v>
      </c>
      <c r="J13157" s="7" t="s">
        <v>23</v>
      </c>
    </row>
    <row r="13158" spans="1:10" ht="13.2">
      <c r="A13158" s="7">
        <v>13157</v>
      </c>
      <c r="B13158" s="7">
        <v>1</v>
      </c>
      <c r="C13158" s="7" t="s">
        <v>10</v>
      </c>
      <c r="D13158" s="7">
        <v>18376</v>
      </c>
      <c r="E13158" s="7" t="s">
        <v>23</v>
      </c>
      <c r="F13158" s="8" t="str">
        <f ca="1">IFERROR(__xludf.DUMMYFUNCTION("IF
(
C13159=""фізична особа""
,
VLOOKUP(D13159,IMPORTRANGE(""https://docs.google.com/spreadsheets/d/14Bd19lYaqBhU8_DElYkX7l4wRkHqqCUFNJY4AfY3kHU/edit?usp=sharing  #gid=0"",""фіз особи new!relations_name""),6,FALSE)
,
(IF
(
C13159=""юридична особа""
,
VLOO"&amp;"KUP(D13159,IMPORTRANGE(""https://docs.google.com/spreadsheets/d/14Bd19lYaqBhU8_DElYkX7l4wRkHqqCUFNJY4AfY3kHU/edit?usp=sharing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8" s="7" t="s">
        <v>10</v>
      </c>
      <c r="H13158" s="7">
        <v>0</v>
      </c>
      <c r="I13158" s="8" t="str">
        <f ca="1">IFERROR(__xludf.DUMMYFUNCTION("IF
(
G13159=""фізична особа""
,
VLOOKUP(H13159,IMPORTRANGE(""https://docs.google.com/spreadsheets/d/14Bd19lYaqBhU8_DElYkX7l4wRkHqqCUFNJY4AfY3kHU/edit?usp=sharing  #gid=0"",""фіз особи new!relations_name""),6,FALSE)
,
(IF
(
G13159=""юридична особа""
,
VLOO"&amp;"KUP(H13159,IMPORTRANGE(""https://docs.google.com/spreadsheets/d/14Bd19lYaqBhU8_DElYkX7l4wRkHqqCUFNJY4AfY3kHU/edit?usp=sharing  #gid=0"",""фіз особи new!relations_name_uo""),7,FALSE)
,
)
))"),"#N/A")</f>
        <v>#N/A</v>
      </c>
      <c r="J13158" s="7" t="s">
        <v>23</v>
      </c>
    </row>
    <row r="13159" spans="1:10" ht="13.2">
      <c r="A13159" s="7">
        <v>13158</v>
      </c>
      <c r="B13159" s="7">
        <v>1</v>
      </c>
      <c r="C13159" s="7" t="s">
        <v>10</v>
      </c>
      <c r="D13159" s="7">
        <v>18376</v>
      </c>
      <c r="E13159" s="7" t="s">
        <v>23</v>
      </c>
      <c r="F13159" s="8" t="str">
        <f ca="1">IFERROR(__xludf.DUMMYFUNCTION("IF
(
C13160=""фізична особа""
,
VLOOKUP(D13160,IMPORTRANGE(""https://docs.google.com/spreadsheets/d/14Bd19lYaqBhU8_DElYkX7l4wRkHqqCUFNJY4AfY3kHU/edit?usp=sharing  #gid=0"",""фіз особи new!relations_name""),6,FALSE)
,
(IF
(
C13160=""юридична особа""
,
VLOO"&amp;"KUP(D13160,IMPORTRANGE(""https://docs.google.com/spreadsheets/d/14Bd19lYaqBhU8_DElYkX7l4wRkHqqCUFNJY4AfY3kHU/edit?usp=sharing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G13159" s="7" t="s">
        <v>10</v>
      </c>
      <c r="H13159" s="7">
        <v>0</v>
      </c>
      <c r="I13159" s="8" t="str">
        <f ca="1">IFERROR(__xludf.DUMMYFUNCTION("IF
(
G13160=""фізична особа""
,
VLOOKUP(H13160,IMPORTRANGE(""https://docs.google.com/spreadsheets/d/14Bd19lYaqBhU8_DElYkX7l4wRkHqqCUFNJY4AfY3kHU/edit?usp=sharing  #gid=0"",""фіз особи new!relations_name""),6,FALSE)
,
(IF
(
G13160=""юридична особа""
,
VLOO"&amp;"KUP(H13160,IMPORTRANGE(""https://docs.google.com/spreadsheets/d/14Bd19lYaqBhU8_DElYkX7l4wRkHqqCUFNJY4AfY3kHU/edit?usp=sharing  #gid=0"",""фіз особи new!relations_name_uo""),7,FALSE)
,
)
))"),"#N/A")</f>
        <v>#N/A</v>
      </c>
      <c r="J13159" s="7" t="s">
        <v>23</v>
      </c>
    </row>
    <row r="13160" spans="1:10" ht="13.2">
      <c r="A13160" s="7">
        <v>13159</v>
      </c>
      <c r="B13160" s="7">
        <v>1</v>
      </c>
      <c r="C13160" s="7" t="s">
        <v>10</v>
      </c>
      <c r="D13160" s="7">
        <v>18377</v>
      </c>
      <c r="E13160" s="7" t="s">
        <v>23</v>
      </c>
      <c r="F13160" s="8" t="str">
        <f ca="1">IFERROR(__xludf.DUMMYFUNCTION("IF
(
C13161=""фізична особа""
,
VLOOKUP(D13161,IMPORTRANGE(""https://docs.google.com/spreadsheets/d/14Bd19lYaqBhU8_DElYkX7l4wRkHqqCUFNJY4AfY3kHU/edit?usp=sharing  #gid=0"",""фіз особи new!relations_name""),6,FALSE)
,
(IF
(
C13161=""юридична особа""
,
VLOO"&amp;"KUP(D13161,IMPORTRANGE(""https://docs.google.com/spreadsheets/d/14Bd19lYaqBhU8_DElYkX7l4wRkHqqCUFNJY4AfY3kHU/edit?usp=sharing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0" s="7" t="s">
        <v>10</v>
      </c>
      <c r="H13160" s="7">
        <v>18374</v>
      </c>
      <c r="I13160" s="8" t="str">
        <f ca="1">IFERROR(__xludf.DUMMYFUNCTION("IF
(
G13161=""фізична особа""
,
VLOOKUP(H13161,IMPORTRANGE(""https://docs.google.com/spreadsheets/d/14Bd19lYaqBhU8_DElYkX7l4wRkHqqCUFNJY4AfY3kHU/edit?usp=sharing  #gid=0"",""фіз особи new!relations_name""),6,FALSE)
,
(IF
(
G13161=""юридична особа""
,
VLOO"&amp;"KUP(H13161,IMPORTRANGE(""https://docs.google.com/spreadsheets/d/14Bd19lYaqBhU8_DElYkX7l4wRkHqqCUFNJY4AfY3kHU/edit?usp=sharing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60" s="7" t="s">
        <v>23</v>
      </c>
    </row>
    <row r="13161" spans="1:10" ht="13.2">
      <c r="A13161" s="7">
        <v>13160</v>
      </c>
      <c r="B13161" s="7">
        <v>1</v>
      </c>
      <c r="C13161" s="7" t="s">
        <v>10</v>
      </c>
      <c r="D13161" s="7">
        <v>18377</v>
      </c>
      <c r="E13161" s="7" t="s">
        <v>23</v>
      </c>
      <c r="F13161" s="8" t="str">
        <f ca="1">IFERROR(__xludf.DUMMYFUNCTION("IF
(
C13162=""фізична особа""
,
VLOOKUP(D13162,IMPORTRANGE(""https://docs.google.com/spreadsheets/d/14Bd19lYaqBhU8_DElYkX7l4wRkHqqCUFNJY4AfY3kHU/edit?usp=sharing  #gid=0"",""фіз особи new!relations_name""),6,FALSE)
,
(IF
(
C13162=""юридична особа""
,
VLOO"&amp;"KUP(D13162,IMPORTRANGE(""https://docs.google.com/spreadsheets/d/14Bd19lYaqBhU8_DElYkX7l4wRkHqqCUFNJY4AfY3kHU/edit?usp=sharing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1" s="7" t="s">
        <v>10</v>
      </c>
      <c r="H13161" s="7">
        <v>18375</v>
      </c>
      <c r="I13161" s="8" t="str">
        <f ca="1">IFERROR(__xludf.DUMMYFUNCTION("IF
(
G13162=""фізична особа""
,
VLOOKUP(H13162,IMPORTRANGE(""https://docs.google.com/spreadsheets/d/14Bd19lYaqBhU8_DElYkX7l4wRkHqqCUFNJY4AfY3kHU/edit?usp=sharing  #gid=0"",""фіз особи new!relations_name""),6,FALSE)
,
(IF
(
G13162=""юридична особа""
,
VLOO"&amp;"KUP(H13162,IMPORTRANGE(""https://docs.google.com/spreadsheets/d/14Bd19lYaqBhU8_DElYkX7l4wRkHqqCUFNJY4AfY3kHU/edit?usp=sharing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61" s="7" t="s">
        <v>23</v>
      </c>
    </row>
    <row r="13162" spans="1:10" ht="13.2">
      <c r="A13162" s="7">
        <v>13161</v>
      </c>
      <c r="B13162" s="7">
        <v>1</v>
      </c>
      <c r="C13162" s="7" t="s">
        <v>10</v>
      </c>
      <c r="D13162" s="7">
        <v>18377</v>
      </c>
      <c r="E13162" s="7" t="s">
        <v>23</v>
      </c>
      <c r="F13162" s="8" t="str">
        <f ca="1">IFERROR(__xludf.DUMMYFUNCTION("IF
(
C13163=""фізична особа""
,
VLOOKUP(D13163,IMPORTRANGE(""https://docs.google.com/spreadsheets/d/14Bd19lYaqBhU8_DElYkX7l4wRkHqqCUFNJY4AfY3kHU/edit?usp=sharing  #gid=0"",""фіз особи new!relations_name""),6,FALSE)
,
(IF
(
C13163=""юридична особа""
,
VLOO"&amp;"KUP(D13163,IMPORTRANGE(""https://docs.google.com/spreadsheets/d/14Bd19lYaqBhU8_DElYkX7l4wRkHqqCUFNJY4AfY3kHU/edit?usp=sharing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2" s="7" t="s">
        <v>10</v>
      </c>
      <c r="H13162" s="7">
        <v>18376</v>
      </c>
      <c r="I13162" s="8" t="str">
        <f ca="1">IFERROR(__xludf.DUMMYFUNCTION("IF
(
G13163=""фізична особа""
,
VLOOKUP(H13163,IMPORTRANGE(""https://docs.google.com/spreadsheets/d/14Bd19lYaqBhU8_DElYkX7l4wRkHqqCUFNJY4AfY3kHU/edit?usp=sharing  #gid=0"",""фіз особи new!relations_name""),6,FALSE)
,
(IF
(
G13163=""юридична особа""
,
VLOO"&amp;"KUP(H13163,IMPORTRANGE(""https://docs.google.com/spreadsheets/d/14Bd19lYaqBhU8_DElYkX7l4wRkHqqCUFNJY4AfY3kHU/edit?usp=sharing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62" s="7" t="s">
        <v>23</v>
      </c>
    </row>
    <row r="13163" spans="1:10" ht="13.2">
      <c r="A13163" s="7">
        <v>13162</v>
      </c>
      <c r="B13163" s="7">
        <v>1</v>
      </c>
      <c r="C13163" s="7" t="s">
        <v>10</v>
      </c>
      <c r="D13163" s="7">
        <v>18377</v>
      </c>
      <c r="E13163" s="7" t="s">
        <v>23</v>
      </c>
      <c r="F13163" s="8" t="str">
        <f ca="1">IFERROR(__xludf.DUMMYFUNCTION("IF
(
C13164=""фізична особа""
,
VLOOKUP(D13164,IMPORTRANGE(""https://docs.google.com/spreadsheets/d/14Bd19lYaqBhU8_DElYkX7l4wRkHqqCUFNJY4AfY3kHU/edit?usp=sharing  #gid=0"",""фіз особи new!relations_name""),6,FALSE)
,
(IF
(
C13164=""юридична особа""
,
VLOO"&amp;"KUP(D13164,IMPORTRANGE(""https://docs.google.com/spreadsheets/d/14Bd19lYaqBhU8_DElYkX7l4wRkHqqCUFNJY4AfY3kHU/edit?usp=sharing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3" s="7" t="s">
        <v>10</v>
      </c>
      <c r="H13163" s="7">
        <v>18378</v>
      </c>
      <c r="I13163" s="8" t="str">
        <f ca="1">IFERROR(__xludf.DUMMYFUNCTION("IF
(
G13164=""фізична особа""
,
VLOOKUP(H13164,IMPORTRANGE(""https://docs.google.com/spreadsheets/d/14Bd19lYaqBhU8_DElYkX7l4wRkHqqCUFNJY4AfY3kHU/edit?usp=sharing  #gid=0"",""фіз особи new!relations_name""),6,FALSE)
,
(IF
(
G13164=""юридична особа""
,
VLOO"&amp;"KUP(H13164,IMPORTRANGE(""https://docs.google.com/spreadsheets/d/14Bd19lYaqBhU8_DElYkX7l4wRkHqqCUFNJY4AfY3kHU/edit?usp=sharing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63" s="7" t="s">
        <v>23</v>
      </c>
    </row>
    <row r="13164" spans="1:10" ht="13.2">
      <c r="A13164" s="7">
        <v>13163</v>
      </c>
      <c r="B13164" s="7">
        <v>1</v>
      </c>
      <c r="C13164" s="7" t="s">
        <v>10</v>
      </c>
      <c r="D13164" s="7">
        <v>18377</v>
      </c>
      <c r="E13164" s="7" t="s">
        <v>23</v>
      </c>
      <c r="F13164" s="8" t="str">
        <f ca="1">IFERROR(__xludf.DUMMYFUNCTION("IF
(
C13165=""фізична особа""
,
VLOOKUP(D13165,IMPORTRANGE(""https://docs.google.com/spreadsheets/d/14Bd19lYaqBhU8_DElYkX7l4wRkHqqCUFNJY4AfY3kHU/edit?usp=sharing  #gid=0"",""фіз особи new!relations_name""),6,FALSE)
,
(IF
(
C13165=""юридична особа""
,
VLOO"&amp;"KUP(D13165,IMPORTRANGE(""https://docs.google.com/spreadsheets/d/14Bd19lYaqBhU8_DElYkX7l4wRkHqqCUFNJY4AfY3kHU/edit?usp=sharing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4" s="7" t="s">
        <v>10</v>
      </c>
      <c r="H13164" s="7">
        <v>18379</v>
      </c>
      <c r="I13164" s="8" t="str">
        <f ca="1">IFERROR(__xludf.DUMMYFUNCTION("IF
(
G13165=""фізична особа""
,
VLOOKUP(H13165,IMPORTRANGE(""https://docs.google.com/spreadsheets/d/14Bd19lYaqBhU8_DElYkX7l4wRkHqqCUFNJY4AfY3kHU/edit?usp=sharing  #gid=0"",""фіз особи new!relations_name""),6,FALSE)
,
(IF
(
G13165=""юридична особа""
,
VLOO"&amp;"KUP(H13165,IMPORTRANGE(""https://docs.google.com/spreadsheets/d/14Bd19lYaqBhU8_DElYkX7l4wRkHqqCUFNJY4AfY3kHU/edit?usp=sharing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64" s="7" t="s">
        <v>23</v>
      </c>
    </row>
    <row r="13165" spans="1:10" ht="13.2">
      <c r="A13165" s="7">
        <v>13164</v>
      </c>
      <c r="B13165" s="7">
        <v>1</v>
      </c>
      <c r="C13165" s="7" t="s">
        <v>10</v>
      </c>
      <c r="D13165" s="7">
        <v>18377</v>
      </c>
      <c r="E13165" s="7" t="s">
        <v>23</v>
      </c>
      <c r="F13165" s="8" t="str">
        <f ca="1">IFERROR(__xludf.DUMMYFUNCTION("IF
(
C13166=""фізична особа""
,
VLOOKUP(D13166,IMPORTRANGE(""https://docs.google.com/spreadsheets/d/14Bd19lYaqBhU8_DElYkX7l4wRkHqqCUFNJY4AfY3kHU/edit?usp=sharing  #gid=0"",""фіз особи new!relations_name""),6,FALSE)
,
(IF
(
C13166=""юридична особа""
,
VLOO"&amp;"KUP(D13166,IMPORTRANGE(""https://docs.google.com/spreadsheets/d/14Bd19lYaqBhU8_DElYkX7l4wRkHqqCUFNJY4AfY3kHU/edit?usp=sharing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5" s="7" t="s">
        <v>10</v>
      </c>
      <c r="H13165" s="7">
        <v>0</v>
      </c>
      <c r="I13165" s="8" t="str">
        <f ca="1">IFERROR(__xludf.DUMMYFUNCTION("IF
(
G13166=""фізична особа""
,
VLOOKUP(H13166,IMPORTRANGE(""https://docs.google.com/spreadsheets/d/14Bd19lYaqBhU8_DElYkX7l4wRkHqqCUFNJY4AfY3kHU/edit?usp=sharing  #gid=0"",""фіз особи new!relations_name""),6,FALSE)
,
(IF
(
G13166=""юридична особа""
,
VLOO"&amp;"KUP(H13166,IMPORTRANGE(""https://docs.google.com/spreadsheets/d/14Bd19lYaqBhU8_DElYkX7l4wRkHqqCUFNJY4AfY3kHU/edit?usp=sharing  #gid=0"",""фіз особи new!relations_name_uo""),7,FALSE)
,
)
))"),"#N/A")</f>
        <v>#N/A</v>
      </c>
      <c r="J13165" s="7" t="s">
        <v>23</v>
      </c>
    </row>
    <row r="13166" spans="1:10" ht="13.2">
      <c r="A13166" s="7">
        <v>13165</v>
      </c>
      <c r="B13166" s="7">
        <v>1</v>
      </c>
      <c r="C13166" s="7" t="s">
        <v>10</v>
      </c>
      <c r="D13166" s="7">
        <v>18377</v>
      </c>
      <c r="E13166" s="7" t="s">
        <v>23</v>
      </c>
      <c r="F13166" s="8" t="str">
        <f ca="1">IFERROR(__xludf.DUMMYFUNCTION("IF
(
C13167=""фізична особа""
,
VLOOKUP(D13167,IMPORTRANGE(""https://docs.google.com/spreadsheets/d/14Bd19lYaqBhU8_DElYkX7l4wRkHqqCUFNJY4AfY3kHU/edit?usp=sharing  #gid=0"",""фіз особи new!relations_name""),6,FALSE)
,
(IF
(
C13167=""юридична особа""
,
VLOO"&amp;"KUP(D13167,IMPORTRANGE(""https://docs.google.com/spreadsheets/d/14Bd19lYaqBhU8_DElYkX7l4wRkHqqCUFNJY4AfY3kHU/edit?usp=sharing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6" s="7" t="s">
        <v>10</v>
      </c>
      <c r="H13166" s="7">
        <v>0</v>
      </c>
      <c r="I13166" s="8" t="str">
        <f ca="1">IFERROR(__xludf.DUMMYFUNCTION("IF
(
G13167=""фізична особа""
,
VLOOKUP(H13167,IMPORTRANGE(""https://docs.google.com/spreadsheets/d/14Bd19lYaqBhU8_DElYkX7l4wRkHqqCUFNJY4AfY3kHU/edit?usp=sharing  #gid=0"",""фіз особи new!relations_name""),6,FALSE)
,
(IF
(
G13167=""юридична особа""
,
VLOO"&amp;"KUP(H13167,IMPORTRANGE(""https://docs.google.com/spreadsheets/d/14Bd19lYaqBhU8_DElYkX7l4wRkHqqCUFNJY4AfY3kHU/edit?usp=sharing  #gid=0"",""фіз особи new!relations_name_uo""),7,FALSE)
,
)
))"),"#N/A")</f>
        <v>#N/A</v>
      </c>
      <c r="J13166" s="7" t="s">
        <v>23</v>
      </c>
    </row>
    <row r="13167" spans="1:10" ht="13.2">
      <c r="A13167" s="7">
        <v>13166</v>
      </c>
      <c r="B13167" s="7">
        <v>1</v>
      </c>
      <c r="C13167" s="7" t="s">
        <v>10</v>
      </c>
      <c r="D13167" s="7">
        <v>18377</v>
      </c>
      <c r="E13167" s="7" t="s">
        <v>23</v>
      </c>
      <c r="F13167" s="8" t="str">
        <f ca="1">IFERROR(__xludf.DUMMYFUNCTION("IF
(
C13168=""фізична особа""
,
VLOOKUP(D13168,IMPORTRANGE(""https://docs.google.com/spreadsheets/d/14Bd19lYaqBhU8_DElYkX7l4wRkHqqCUFNJY4AfY3kHU/edit?usp=sharing  #gid=0"",""фіз особи new!relations_name""),6,FALSE)
,
(IF
(
C13168=""юридична особа""
,
VLOO"&amp;"KUP(D13168,IMPORTRANGE(""https://docs.google.com/spreadsheets/d/14Bd19lYaqBhU8_DElYkX7l4wRkHqqCUFNJY4AfY3kHU/edit?usp=sharing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7" s="7" t="s">
        <v>10</v>
      </c>
      <c r="H13167" s="7">
        <v>0</v>
      </c>
      <c r="I13167" s="8" t="str">
        <f ca="1">IFERROR(__xludf.DUMMYFUNCTION("IF
(
G13168=""фізична особа""
,
VLOOKUP(H13168,IMPORTRANGE(""https://docs.google.com/spreadsheets/d/14Bd19lYaqBhU8_DElYkX7l4wRkHqqCUFNJY4AfY3kHU/edit?usp=sharing  #gid=0"",""фіз особи new!relations_name""),6,FALSE)
,
(IF
(
G13168=""юридична особа""
,
VLOO"&amp;"KUP(H13168,IMPORTRANGE(""https://docs.google.com/spreadsheets/d/14Bd19lYaqBhU8_DElYkX7l4wRkHqqCUFNJY4AfY3kHU/edit?usp=sharing  #gid=0"",""фіз особи new!relations_name_uo""),7,FALSE)
,
)
))"),"#N/A")</f>
        <v>#N/A</v>
      </c>
      <c r="J13167" s="7" t="s">
        <v>23</v>
      </c>
    </row>
    <row r="13168" spans="1:10" ht="13.2">
      <c r="A13168" s="7">
        <v>13167</v>
      </c>
      <c r="B13168" s="7">
        <v>1</v>
      </c>
      <c r="C13168" s="7" t="s">
        <v>10</v>
      </c>
      <c r="D13168" s="7">
        <v>18377</v>
      </c>
      <c r="E13168" s="7" t="s">
        <v>23</v>
      </c>
      <c r="F13168" s="8" t="str">
        <f ca="1">IFERROR(__xludf.DUMMYFUNCTION("IF
(
C13169=""фізична особа""
,
VLOOKUP(D13169,IMPORTRANGE(""https://docs.google.com/spreadsheets/d/14Bd19lYaqBhU8_DElYkX7l4wRkHqqCUFNJY4AfY3kHU/edit?usp=sharing  #gid=0"",""фіз особи new!relations_name""),6,FALSE)
,
(IF
(
C13169=""юридична особа""
,
VLOO"&amp;"KUP(D13169,IMPORTRANGE(""https://docs.google.com/spreadsheets/d/14Bd19lYaqBhU8_DElYkX7l4wRkHqqCUFNJY4AfY3kHU/edit?usp=sharing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G13168" s="7" t="s">
        <v>10</v>
      </c>
      <c r="H13168" s="7">
        <v>0</v>
      </c>
      <c r="I13168" s="8" t="str">
        <f ca="1">IFERROR(__xludf.DUMMYFUNCTION("IF
(
G13169=""фізична особа""
,
VLOOKUP(H13169,IMPORTRANGE(""https://docs.google.com/spreadsheets/d/14Bd19lYaqBhU8_DElYkX7l4wRkHqqCUFNJY4AfY3kHU/edit?usp=sharing  #gid=0"",""фіз особи new!relations_name""),6,FALSE)
,
(IF
(
G13169=""юридична особа""
,
VLOO"&amp;"KUP(H13169,IMPORTRANGE(""https://docs.google.com/spreadsheets/d/14Bd19lYaqBhU8_DElYkX7l4wRkHqqCUFNJY4AfY3kHU/edit?usp=sharing  #gid=0"",""фіз особи new!relations_name_uo""),7,FALSE)
,
)
))"),"#N/A")</f>
        <v>#N/A</v>
      </c>
      <c r="J13168" s="7" t="s">
        <v>23</v>
      </c>
    </row>
    <row r="13169" spans="1:10" ht="13.2">
      <c r="A13169" s="7">
        <v>13168</v>
      </c>
      <c r="B13169" s="7">
        <v>1</v>
      </c>
      <c r="C13169" s="7" t="s">
        <v>10</v>
      </c>
      <c r="D13169" s="7">
        <v>18378</v>
      </c>
      <c r="E13169" s="7" t="s">
        <v>23</v>
      </c>
      <c r="F13169" s="8" t="str">
        <f ca="1">IFERROR(__xludf.DUMMYFUNCTION("IF
(
C13170=""фізична особа""
,
VLOOKUP(D13170,IMPORTRANGE(""https://docs.google.com/spreadsheets/d/14Bd19lYaqBhU8_DElYkX7l4wRkHqqCUFNJY4AfY3kHU/edit?usp=sharing  #gid=0"",""фіз особи new!relations_name""),6,FALSE)
,
(IF
(
C13170=""юридична особа""
,
VLOO"&amp;"KUP(D13170,IMPORTRANGE(""https://docs.google.com/spreadsheets/d/14Bd19lYaqBhU8_DElYkX7l4wRkHqqCUFNJY4AfY3kHU/edit?usp=sharing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G13169" s="7" t="s">
        <v>10</v>
      </c>
      <c r="H13169" s="7">
        <v>18374</v>
      </c>
      <c r="I13169" s="8" t="str">
        <f ca="1">IFERROR(__xludf.DUMMYFUNCTION("IF
(
G13170=""фізична особа""
,
VLOOKUP(H13170,IMPORTRANGE(""https://docs.google.com/spreadsheets/d/14Bd19lYaqBhU8_DElYkX7l4wRkHqqCUFNJY4AfY3kHU/edit?usp=sharing  #gid=0"",""фіз особи new!relations_name""),6,FALSE)
,
(IF
(
G13170=""юридична особа""
,
VLOO"&amp;"KUP(H13170,IMPORTRANGE(""https://docs.google.com/spreadsheets/d/14Bd19lYaqBhU8_DElYkX7l4wRkHqqCUFNJY4AfY3kHU/edit?usp=sharing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69" s="7" t="s">
        <v>23</v>
      </c>
    </row>
    <row r="13170" spans="1:10" ht="13.2">
      <c r="A13170" s="7">
        <v>13169</v>
      </c>
      <c r="B13170" s="7">
        <v>1</v>
      </c>
      <c r="C13170" s="7" t="s">
        <v>10</v>
      </c>
      <c r="D13170" s="7">
        <v>18378</v>
      </c>
      <c r="E13170" s="7" t="s">
        <v>23</v>
      </c>
      <c r="F13170" s="8" t="str">
        <f ca="1">IFERROR(__xludf.DUMMYFUNCTION("IF
(
C13171=""фізична особа""
,
VLOOKUP(D13171,IMPORTRANGE(""https://docs.google.com/spreadsheets/d/14Bd19lYaqBhU8_DElYkX7l4wRkHqqCUFNJY4AfY3kHU/edit?usp=sharing  #gid=0"",""фіз особи new!relations_name""),6,FALSE)
,
(IF
(
C13171=""юридична особа""
,
VLOO"&amp;"KUP(D13171,IMPORTRANGE(""https://docs.google.com/spreadsheets/d/14Bd19lYaqBhU8_DElYkX7l4wRkHqqCUFNJY4AfY3kHU/edit?usp=sharing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G13170" s="7" t="s">
        <v>10</v>
      </c>
      <c r="H13170" s="7">
        <v>18375</v>
      </c>
      <c r="I13170" s="8" t="str">
        <f ca="1">IFERROR(__xludf.DUMMYFUNCTION("IF
(
G13171=""фізична особа""
,
VLOOKUP(H13171,IMPORTRANGE(""https://docs.google.com/spreadsheets/d/14Bd19lYaqBhU8_DElYkX7l4wRkHqqCUFNJY4AfY3kHU/edit?usp=sharing  #gid=0"",""фіз особи new!relations_name""),6,FALSE)
,
(IF
(
G13171=""юридична особа""
,
VLOO"&amp;"KUP(H13171,IMPORTRANGE(""https://docs.google.com/spreadsheets/d/14Bd19lYaqBhU8_DElYkX7l4wRkHqqCUFNJY4AfY3kHU/edit?usp=sharing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70" s="7" t="s">
        <v>23</v>
      </c>
    </row>
    <row r="13171" spans="1:10" ht="13.2">
      <c r="A13171" s="7">
        <v>13170</v>
      </c>
      <c r="B13171" s="7">
        <v>1</v>
      </c>
      <c r="C13171" s="7" t="s">
        <v>10</v>
      </c>
      <c r="D13171" s="7">
        <v>18378</v>
      </c>
      <c r="E13171" s="7" t="s">
        <v>23</v>
      </c>
      <c r="F13171" s="8" t="str">
        <f ca="1">IFERROR(__xludf.DUMMYFUNCTION("IF
(
C13172=""фізична особа""
,
VLOOKUP(D13172,IMPORTRANGE(""https://docs.google.com/spreadsheets/d/14Bd19lYaqBhU8_DElYkX7l4wRkHqqCUFNJY4AfY3kHU/edit?usp=sharing  #gid=0"",""фіз особи new!relations_name""),6,FALSE)
,
(IF
(
C13172=""юридична особа""
,
VLOO"&amp;"KUP(D13172,IMPORTRANGE(""https://docs.google.com/spreadsheets/d/14Bd19lYaqBhU8_DElYkX7l4wRkHqqCUFNJY4AfY3kHU/edit?usp=sharing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G13171" s="7" t="s">
        <v>10</v>
      </c>
      <c r="H13171" s="7">
        <v>18376</v>
      </c>
      <c r="I13171" s="8" t="str">
        <f ca="1">IFERROR(__xludf.DUMMYFUNCTION("IF
(
G13172=""фізична особа""
,
VLOOKUP(H13172,IMPORTRANGE(""https://docs.google.com/spreadsheets/d/14Bd19lYaqBhU8_DElYkX7l4wRkHqqCUFNJY4AfY3kHU/edit?usp=sharing  #gid=0"",""фіз особи new!relations_name""),6,FALSE)
,
(IF
(
G13172=""юридична особа""
,
VLOO"&amp;"KUP(H13172,IMPORTRANGE(""https://docs.google.com/spreadsheets/d/14Bd19lYaqBhU8_DElYkX7l4wRkHqqCUFNJY4AfY3kHU/edit?usp=sharing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71" s="7" t="s">
        <v>23</v>
      </c>
    </row>
    <row r="13172" spans="1:10" ht="13.2">
      <c r="A13172" s="7">
        <v>13171</v>
      </c>
      <c r="B13172" s="7">
        <v>1</v>
      </c>
      <c r="C13172" s="7" t="s">
        <v>10</v>
      </c>
      <c r="D13172" s="7">
        <v>18378</v>
      </c>
      <c r="E13172" s="7" t="s">
        <v>23</v>
      </c>
      <c r="F13172" s="8" t="str">
        <f ca="1">IFERROR(__xludf.DUMMYFUNCTION("IF
(
C13173=""фізична особа""
,
VLOOKUP(D13173,IMPORTRANGE(""https://docs.google.com/spreadsheets/d/14Bd19lYaqBhU8_DElYkX7l4wRkHqqCUFNJY4AfY3kHU/edit?usp=sharing  #gid=0"",""фіз особи new!relations_name""),6,FALSE)
,
(IF
(
C13173=""юридична особа""
,
VLOO"&amp;"KUP(D13173,IMPORTRANGE(""https://docs.google.com/spreadsheets/d/14Bd19lYaqBhU8_DElYkX7l4wRkHqqCUFNJY4AfY3kHU/edit?usp=sharing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G13172" s="7" t="s">
        <v>10</v>
      </c>
      <c r="H13172" s="7">
        <v>18377</v>
      </c>
      <c r="I13172" s="8" t="str">
        <f ca="1">IFERROR(__xludf.DUMMYFUNCTION("IF
(
G13173=""фізична особа""
,
VLOOKUP(H13173,IMPORTRANGE(""https://docs.google.com/spreadsheets/d/14Bd19lYaqBhU8_DElYkX7l4wRkHqqCUFNJY4AfY3kHU/edit?usp=sharing  #gid=0"",""фіз особи new!relations_name""),6,FALSE)
,
(IF
(
G13173=""юридична особа""
,
VLOO"&amp;"KUP(H13173,IMPORTRANGE(""https://docs.google.com/spreadsheets/d/14Bd19lYaqBhU8_DElYkX7l4wRkHqqCUFNJY4AfY3kHU/edit?usp=sharing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72" s="7" t="s">
        <v>23</v>
      </c>
    </row>
    <row r="13173" spans="1:10" ht="13.2">
      <c r="A13173" s="7">
        <v>13172</v>
      </c>
      <c r="B13173" s="7">
        <v>1</v>
      </c>
      <c r="C13173" s="7" t="s">
        <v>10</v>
      </c>
      <c r="D13173" s="7">
        <v>18378</v>
      </c>
      <c r="E13173" s="7" t="s">
        <v>23</v>
      </c>
      <c r="F13173" s="8" t="str">
        <f ca="1">IFERROR(__xludf.DUMMYFUNCTION("IF
(
C13174=""фізична особа""
,
VLOOKUP(D13174,IMPORTRANGE(""https://docs.google.com/spreadsheets/d/14Bd19lYaqBhU8_DElYkX7l4wRkHqqCUFNJY4AfY3kHU/edit?usp=sharing  #gid=0"",""фіз особи new!relations_name""),6,FALSE)
,
(IF
(
C13174=""юридична особа""
,
VLOO"&amp;"KUP(D13174,IMPORTRANGE(""https://docs.google.com/spreadsheets/d/14Bd19lYaqBhU8_DElYkX7l4wRkHqqCUFNJY4AfY3kHU/edit?usp=sharing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G13173" s="7" t="s">
        <v>10</v>
      </c>
      <c r="H13173" s="7">
        <v>18379</v>
      </c>
      <c r="I13173" s="8" t="str">
        <f ca="1">IFERROR(__xludf.DUMMYFUNCTION("IF
(
G13174=""фізична особа""
,
VLOOKUP(H13174,IMPORTRANGE(""https://docs.google.com/spreadsheets/d/14Bd19lYaqBhU8_DElYkX7l4wRkHqqCUFNJY4AfY3kHU/edit?usp=sharing  #gid=0"",""фіз особи new!relations_name""),6,FALSE)
,
(IF
(
G13174=""юридична особа""
,
VLOO"&amp;"KUP(H13174,IMPORTRANGE(""https://docs.google.com/spreadsheets/d/14Bd19lYaqBhU8_DElYkX7l4wRkHqqCUFNJY4AfY3kHU/edit?usp=sharing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73" s="7" t="s">
        <v>23</v>
      </c>
    </row>
    <row r="13174" spans="1:10" ht="13.2">
      <c r="A13174" s="7">
        <v>13173</v>
      </c>
      <c r="B13174" s="7">
        <v>1</v>
      </c>
      <c r="C13174" s="7" t="s">
        <v>10</v>
      </c>
      <c r="D13174" s="7">
        <v>18379</v>
      </c>
      <c r="E13174" s="7" t="s">
        <v>23</v>
      </c>
      <c r="F13174" s="8" t="str">
        <f ca="1">IFERROR(__xludf.DUMMYFUNCTION("IF
(
C13175=""фізична особа""
,
VLOOKUP(D13175,IMPORTRANGE(""https://docs.google.com/spreadsheets/d/14Bd19lYaqBhU8_DElYkX7l4wRkHqqCUFNJY4AfY3kHU/edit?usp=sharing  #gid=0"",""фіз особи new!relations_name""),6,FALSE)
,
(IF
(
C13175=""юридична особа""
,
VLOO"&amp;"KUP(D13175,IMPORTRANGE(""https://docs.google.com/spreadsheets/d/14Bd19lYaqBhU8_DElYkX7l4wRkHqqCUFNJY4AfY3kHU/edit?usp=sharing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G13174" s="7" t="s">
        <v>10</v>
      </c>
      <c r="H13174" s="7">
        <v>18374</v>
      </c>
      <c r="I13174" s="8" t="str">
        <f ca="1">IFERROR(__xludf.DUMMYFUNCTION("IF
(
G13175=""фізична особа""
,
VLOOKUP(H13175,IMPORTRANGE(""https://docs.google.com/spreadsheets/d/14Bd19lYaqBhU8_DElYkX7l4wRkHqqCUFNJY4AfY3kHU/edit?usp=sharing  #gid=0"",""фіз особи new!relations_name""),6,FALSE)
,
(IF
(
G13175=""юридична особа""
,
VLOO"&amp;"KUP(H13175,IMPORTRANGE(""https://docs.google.com/spreadsheets/d/14Bd19lYaqBhU8_DElYkX7l4wRkHqqCUFNJY4AfY3kHU/edit?usp=sharing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74" s="7" t="s">
        <v>23</v>
      </c>
    </row>
    <row r="13175" spans="1:10" ht="13.2">
      <c r="A13175" s="7">
        <v>13174</v>
      </c>
      <c r="B13175" s="7">
        <v>1</v>
      </c>
      <c r="C13175" s="7" t="s">
        <v>10</v>
      </c>
      <c r="D13175" s="7">
        <v>18379</v>
      </c>
      <c r="E13175" s="7" t="s">
        <v>23</v>
      </c>
      <c r="F13175" s="8" t="str">
        <f ca="1">IFERROR(__xludf.DUMMYFUNCTION("IF
(
C13176=""фізична особа""
,
VLOOKUP(D13176,IMPORTRANGE(""https://docs.google.com/spreadsheets/d/14Bd19lYaqBhU8_DElYkX7l4wRkHqqCUFNJY4AfY3kHU/edit?usp=sharing  #gid=0"",""фіз особи new!relations_name""),6,FALSE)
,
(IF
(
C13176=""юридична особа""
,
VLOO"&amp;"KUP(D13176,IMPORTRANGE(""https://docs.google.com/spreadsheets/d/14Bd19lYaqBhU8_DElYkX7l4wRkHqqCUFNJY4AfY3kHU/edit?usp=sharing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G13175" s="7" t="s">
        <v>10</v>
      </c>
      <c r="H13175" s="7">
        <v>18375</v>
      </c>
      <c r="I13175" s="8" t="str">
        <f ca="1">IFERROR(__xludf.DUMMYFUNCTION("IF
(
G13176=""фізична особа""
,
VLOOKUP(H13176,IMPORTRANGE(""https://docs.google.com/spreadsheets/d/14Bd19lYaqBhU8_DElYkX7l4wRkHqqCUFNJY4AfY3kHU/edit?usp=sharing  #gid=0"",""фіз особи new!relations_name""),6,FALSE)
,
(IF
(
G13176=""юридична особа""
,
VLOO"&amp;"KUP(H13176,IMPORTRANGE(""https://docs.google.com/spreadsheets/d/14Bd19lYaqBhU8_DElYkX7l4wRkHqqCUFNJY4AfY3kHU/edit?usp=sharing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75" s="7" t="s">
        <v>23</v>
      </c>
    </row>
    <row r="13176" spans="1:10" ht="13.2">
      <c r="A13176" s="7">
        <v>13175</v>
      </c>
      <c r="B13176" s="7">
        <v>1</v>
      </c>
      <c r="C13176" s="7" t="s">
        <v>10</v>
      </c>
      <c r="D13176" s="7">
        <v>18379</v>
      </c>
      <c r="E13176" s="7" t="s">
        <v>23</v>
      </c>
      <c r="F13176" s="8" t="str">
        <f ca="1">IFERROR(__xludf.DUMMYFUNCTION("IF
(
C13177=""фізична особа""
,
VLOOKUP(D13177,IMPORTRANGE(""https://docs.google.com/spreadsheets/d/14Bd19lYaqBhU8_DElYkX7l4wRkHqqCUFNJY4AfY3kHU/edit?usp=sharing  #gid=0"",""фіз особи new!relations_name""),6,FALSE)
,
(IF
(
C13177=""юридична особа""
,
VLOO"&amp;"KUP(D13177,IMPORTRANGE(""https://docs.google.com/spreadsheets/d/14Bd19lYaqBhU8_DElYkX7l4wRkHqqCUFNJY4AfY3kHU/edit?usp=sharing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G13176" s="7" t="s">
        <v>10</v>
      </c>
      <c r="H13176" s="7">
        <v>18376</v>
      </c>
      <c r="I13176" s="8" t="str">
        <f ca="1">IFERROR(__xludf.DUMMYFUNCTION("IF
(
G13177=""фізична особа""
,
VLOOKUP(H13177,IMPORTRANGE(""https://docs.google.com/spreadsheets/d/14Bd19lYaqBhU8_DElYkX7l4wRkHqqCUFNJY4AfY3kHU/edit?usp=sharing  #gid=0"",""фіз особи new!relations_name""),6,FALSE)
,
(IF
(
G13177=""юридична особа""
,
VLOO"&amp;"KUP(H13177,IMPORTRANGE(""https://docs.google.com/spreadsheets/d/14Bd19lYaqBhU8_DElYkX7l4wRkHqqCUFNJY4AfY3kHU/edit?usp=sharing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76" s="7" t="s">
        <v>23</v>
      </c>
    </row>
    <row r="13177" spans="1:10" ht="13.2">
      <c r="A13177" s="7">
        <v>13176</v>
      </c>
      <c r="B13177" s="7">
        <v>1</v>
      </c>
      <c r="C13177" s="7" t="s">
        <v>10</v>
      </c>
      <c r="D13177" s="7">
        <v>18379</v>
      </c>
      <c r="E13177" s="7" t="s">
        <v>23</v>
      </c>
      <c r="F13177" s="8" t="str">
        <f ca="1">IFERROR(__xludf.DUMMYFUNCTION("IF
(
C13178=""фізична особа""
,
VLOOKUP(D13178,IMPORTRANGE(""https://docs.google.com/spreadsheets/d/14Bd19lYaqBhU8_DElYkX7l4wRkHqqCUFNJY4AfY3kHU/edit?usp=sharing  #gid=0"",""фіз особи new!relations_name""),6,FALSE)
,
(IF
(
C13178=""юридична особа""
,
VLOO"&amp;"KUP(D13178,IMPORTRANGE(""https://docs.google.com/spreadsheets/d/14Bd19lYaqBhU8_DElYkX7l4wRkHqqCUFNJY4AfY3kHU/edit?usp=sharing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G13177" s="7" t="s">
        <v>10</v>
      </c>
      <c r="H13177" s="7">
        <v>18377</v>
      </c>
      <c r="I13177" s="8" t="str">
        <f ca="1">IFERROR(__xludf.DUMMYFUNCTION("IF
(
G13178=""фізична особа""
,
VLOOKUP(H13178,IMPORTRANGE(""https://docs.google.com/spreadsheets/d/14Bd19lYaqBhU8_DElYkX7l4wRkHqqCUFNJY4AfY3kHU/edit?usp=sharing  #gid=0"",""фіз особи new!relations_name""),6,FALSE)
,
(IF
(
G13178=""юридична особа""
,
VLOO"&amp;"KUP(H13178,IMPORTRANGE(""https://docs.google.com/spreadsheets/d/14Bd19lYaqBhU8_DElYkX7l4wRkHqqCUFNJY4AfY3kHU/edit?usp=sharing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77" s="7" t="s">
        <v>23</v>
      </c>
    </row>
    <row r="13178" spans="1:10" ht="13.2">
      <c r="A13178" s="7">
        <v>13177</v>
      </c>
      <c r="B13178" s="7">
        <v>1</v>
      </c>
      <c r="C13178" s="7" t="s">
        <v>10</v>
      </c>
      <c r="D13178" s="7">
        <v>18379</v>
      </c>
      <c r="E13178" s="7" t="s">
        <v>23</v>
      </c>
      <c r="F13178" s="8" t="str">
        <f ca="1">IFERROR(__xludf.DUMMYFUNCTION("IF
(
C13179=""фізична особа""
,
VLOOKUP(D13179,IMPORTRANGE(""https://docs.google.com/spreadsheets/d/14Bd19lYaqBhU8_DElYkX7l4wRkHqqCUFNJY4AfY3kHU/edit?usp=sharing  #gid=0"",""фіз особи new!relations_name""),6,FALSE)
,
(IF
(
C13179=""юридична особа""
,
VLOO"&amp;"KUP(D13179,IMPORTRANGE(""https://docs.google.com/spreadsheets/d/14Bd19lYaqBhU8_DElYkX7l4wRkHqqCUFNJY4AfY3kHU/edit?usp=sharing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G13178" s="7" t="s">
        <v>10</v>
      </c>
      <c r="H13178" s="7">
        <v>18378</v>
      </c>
      <c r="I13178" s="8" t="str">
        <f ca="1">IFERROR(__xludf.DUMMYFUNCTION("IF
(
G13179=""фізична особа""
,
VLOOKUP(H13179,IMPORTRANGE(""https://docs.google.com/spreadsheets/d/14Bd19lYaqBhU8_DElYkX7l4wRkHqqCUFNJY4AfY3kHU/edit?usp=sharing  #gid=0"",""фіз особи new!relations_name""),6,FALSE)
,
(IF
(
G13179=""юридична особа""
,
VLOO"&amp;"KUP(H13179,IMPORTRANGE(""https://docs.google.com/spreadsheets/d/14Bd19lYaqBhU8_DElYkX7l4wRkHqqCUFNJY4AfY3kHU/edit?usp=sharing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78" s="7" t="s">
        <v>23</v>
      </c>
    </row>
    <row r="13179" spans="1:10" ht="13.2">
      <c r="A13179" s="7">
        <v>13178</v>
      </c>
      <c r="B13179" s="7">
        <v>1</v>
      </c>
      <c r="C13179" s="7" t="s">
        <v>10</v>
      </c>
      <c r="D13179" s="7">
        <v>18380</v>
      </c>
      <c r="E13179" s="7" t="s">
        <v>23</v>
      </c>
      <c r="F13179" s="8" t="str">
        <f ca="1">IFERROR(__xludf.DUMMYFUNCTION("IF
(
C13180=""фізична особа""
,
VLOOKUP(D13180,IMPORTRANGE(""https://docs.google.com/spreadsheets/d/14Bd19lYaqBhU8_DElYkX7l4wRkHqqCUFNJY4AfY3kHU/edit?usp=sharing  #gid=0"",""фіз особи new!relations_name""),6,FALSE)
,
(IF
(
C13180=""юридична особа""
,
VLOO"&amp;"KUP(D13180,IMPORTRANGE(""https://docs.google.com/spreadsheets/d/14Bd19lYaqBhU8_DElYkX7l4wRkHqqCUFNJY4AfY3kHU/edit?usp=sharing  #gid=0"",""фіз особи new!relations_name_uo""),7,FALSE)
,
)
))"),"ВЛАСОВА Ірина Альбертівна")</f>
        <v>ВЛАСОВА Ірина Альбертівна</v>
      </c>
      <c r="G13179" s="7" t="s">
        <v>10</v>
      </c>
      <c r="H13179" s="7">
        <v>18379</v>
      </c>
      <c r="I13179" s="8" t="str">
        <f ca="1">IFERROR(__xludf.DUMMYFUNCTION("IF
(
G13180=""фізична особа""
,
VLOOKUP(H13180,IMPORTRANGE(""https://docs.google.com/spreadsheets/d/14Bd19lYaqBhU8_DElYkX7l4wRkHqqCUFNJY4AfY3kHU/edit?usp=sharing  #gid=0"",""фіз особи new!relations_name""),6,FALSE)
,
(IF
(
G13180=""юридична особа""
,
VLOO"&amp;"KUP(H13180,IMPORTRANGE(""https://docs.google.com/spreadsheets/d/14Bd19lYaqBhU8_DElYkX7l4wRkHqqCUFNJY4AfY3kHU/edit?usp=sharing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79" s="7" t="s">
        <v>23</v>
      </c>
    </row>
    <row r="13180" spans="1:10" ht="13.2">
      <c r="A13180" s="7">
        <v>13179</v>
      </c>
      <c r="B13180" s="7">
        <v>1</v>
      </c>
      <c r="C13180" s="7" t="s">
        <v>10</v>
      </c>
      <c r="D13180" s="7">
        <v>18381</v>
      </c>
      <c r="E13180" s="7" t="s">
        <v>23</v>
      </c>
      <c r="F13180" s="8" t="str">
        <f ca="1">IFERROR(__xludf.DUMMYFUNCTION("IF
(
C13181=""фізична особа""
,
VLOOKUP(D13181,IMPORTRANGE(""https://docs.google.com/spreadsheets/d/14Bd19lYaqBhU8_DElYkX7l4wRkHqqCUFNJY4AfY3kHU/edit?usp=sharing  #gid=0"",""фіз особи new!relations_name""),6,FALSE)
,
(IF
(
C13181=""юридична особа""
,
VLOO"&amp;"KUP(D13181,IMPORTRANGE(""https://docs.google.com/spreadsheets/d/14Bd19lYaqBhU8_DElYkX7l4wRkHqqCUFNJY4AfY3kHU/edit?usp=sharing  #gid=0"",""фіз особи new!relations_name_uo""),7,FALSE)
,
)
))"),"АЛЯБУШЕВ Денис Миколайович")</f>
        <v>АЛЯБУШЕВ Денис Миколайович</v>
      </c>
      <c r="G13180" s="7" t="s">
        <v>10</v>
      </c>
      <c r="H13180" s="7">
        <v>18379</v>
      </c>
      <c r="I13180" s="8" t="str">
        <f ca="1">IFERROR(__xludf.DUMMYFUNCTION("IF
(
G13181=""фізична особа""
,
VLOOKUP(H13181,IMPORTRANGE(""https://docs.google.com/spreadsheets/d/14Bd19lYaqBhU8_DElYkX7l4wRkHqqCUFNJY4AfY3kHU/edit?usp=sharing  #gid=0"",""фіз особи new!relations_name""),6,FALSE)
,
(IF
(
G13181=""юридична особа""
,
VLOO"&amp;"KUP(H13181,IMPORTRANGE(""https://docs.google.com/spreadsheets/d/14Bd19lYaqBhU8_DElYkX7l4wRkHqqCUFNJY4AfY3kHU/edit?usp=sharing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80" s="7" t="s">
        <v>23</v>
      </c>
    </row>
    <row r="13181" spans="1:10" ht="13.2">
      <c r="A13181" s="7">
        <v>13180</v>
      </c>
      <c r="B13181" s="7">
        <v>1</v>
      </c>
      <c r="C13181" s="7" t="s">
        <v>10</v>
      </c>
      <c r="D13181" s="7">
        <v>18382</v>
      </c>
      <c r="E13181" s="7" t="s">
        <v>23</v>
      </c>
      <c r="F13181" s="8" t="str">
        <f ca="1">IFERROR(__xludf.DUMMYFUNCTION("IF
(
C13182=""фізична особа""
,
VLOOKUP(D13182,IMPORTRANGE(""https://docs.google.com/spreadsheets/d/14Bd19lYaqBhU8_DElYkX7l4wRkHqqCUFNJY4AfY3kHU/edit?usp=sharing  #gid=0"",""фіз особи new!relations_name""),6,FALSE)
,
(IF
(
C13182=""юридична особа""
,
VLOO"&amp;"KUP(D13182,IMPORTRANGE(""https://docs.google.com/spreadsheets/d/14Bd19lYaqBhU8_DElYkX7l4wRkHqqCUFNJY4AfY3kHU/edit?usp=sharing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1" s="7" t="s">
        <v>10</v>
      </c>
      <c r="H13181" s="7">
        <v>18374</v>
      </c>
      <c r="I13181" s="8" t="str">
        <f ca="1">IFERROR(__xludf.DUMMYFUNCTION("IF
(
G13182=""фізична особа""
,
VLOOKUP(H13182,IMPORTRANGE(""https://docs.google.com/spreadsheets/d/14Bd19lYaqBhU8_DElYkX7l4wRkHqqCUFNJY4AfY3kHU/edit?usp=sharing  #gid=0"",""фіз особи new!relations_name""),6,FALSE)
,
(IF
(
G13182=""юридична особа""
,
VLOO"&amp;"KUP(H13182,IMPORTRANGE(""https://docs.google.com/spreadsheets/d/14Bd19lYaqBhU8_DElYkX7l4wRkHqqCUFNJY4AfY3kHU/edit?usp=sharing  #gid=0"",""фіз особи new!relations_name_uo""),7,FALSE)
,
)
))"),"НІКІТІН Олександр Михайлович")</f>
        <v>НІКІТІН Олександр Михайлович</v>
      </c>
      <c r="J13181" s="7" t="s">
        <v>23</v>
      </c>
    </row>
    <row r="13182" spans="1:10" ht="13.2">
      <c r="A13182" s="7">
        <v>13181</v>
      </c>
      <c r="B13182" s="7">
        <v>1</v>
      </c>
      <c r="C13182" s="7" t="s">
        <v>10</v>
      </c>
      <c r="D13182" s="7">
        <v>18382</v>
      </c>
      <c r="E13182" s="7" t="s">
        <v>23</v>
      </c>
      <c r="F13182" s="8" t="str">
        <f ca="1">IFERROR(__xludf.DUMMYFUNCTION("IF
(
C13183=""фізична особа""
,
VLOOKUP(D13183,IMPORTRANGE(""https://docs.google.com/spreadsheets/d/14Bd19lYaqBhU8_DElYkX7l4wRkHqqCUFNJY4AfY3kHU/edit?usp=sharing  #gid=0"",""фіз особи new!relations_name""),6,FALSE)
,
(IF
(
C13183=""юридична особа""
,
VLOO"&amp;"KUP(D13183,IMPORTRANGE(""https://docs.google.com/spreadsheets/d/14Bd19lYaqBhU8_DElYkX7l4wRkHqqCUFNJY4AfY3kHU/edit?usp=sharing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2" s="7" t="s">
        <v>10</v>
      </c>
      <c r="H13182" s="7">
        <v>18375</v>
      </c>
      <c r="I13182" s="8" t="str">
        <f ca="1">IFERROR(__xludf.DUMMYFUNCTION("IF
(
G13183=""фізична особа""
,
VLOOKUP(H13183,IMPORTRANGE(""https://docs.google.com/spreadsheets/d/14Bd19lYaqBhU8_DElYkX7l4wRkHqqCUFNJY4AfY3kHU/edit?usp=sharing  #gid=0"",""фіз особи new!relations_name""),6,FALSE)
,
(IF
(
G13183=""юридична особа""
,
VLOO"&amp;"KUP(H13183,IMPORTRANGE(""https://docs.google.com/spreadsheets/d/14Bd19lYaqBhU8_DElYkX7l4wRkHqqCUFNJY4AfY3kHU/edit?usp=sharing  #gid=0"",""фіз особи new!relations_name_uo""),7,FALSE)
,
)
))"),"АБРОСИМОВ Павло Олександрович")</f>
        <v>АБРОСИМОВ Павло Олександрович</v>
      </c>
      <c r="J13182" s="7" t="s">
        <v>23</v>
      </c>
    </row>
    <row r="13183" spans="1:10" ht="13.2">
      <c r="A13183" s="7">
        <v>13182</v>
      </c>
      <c r="B13183" s="7">
        <v>1</v>
      </c>
      <c r="C13183" s="7" t="s">
        <v>10</v>
      </c>
      <c r="D13183" s="7">
        <v>18382</v>
      </c>
      <c r="E13183" s="7" t="s">
        <v>23</v>
      </c>
      <c r="F13183" s="8" t="str">
        <f ca="1">IFERROR(__xludf.DUMMYFUNCTION("IF
(
C13184=""фізична особа""
,
VLOOKUP(D13184,IMPORTRANGE(""https://docs.google.com/spreadsheets/d/14Bd19lYaqBhU8_DElYkX7l4wRkHqqCUFNJY4AfY3kHU/edit?usp=sharing  #gid=0"",""фіз особи new!relations_name""),6,FALSE)
,
(IF
(
C13184=""юридична особа""
,
VLOO"&amp;"KUP(D13184,IMPORTRANGE(""https://docs.google.com/spreadsheets/d/14Bd19lYaqBhU8_DElYkX7l4wRkHqqCUFNJY4AfY3kHU/edit?usp=sharing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3" s="7" t="s">
        <v>10</v>
      </c>
      <c r="H13183" s="7">
        <v>18376</v>
      </c>
      <c r="I13183" s="8" t="str">
        <f ca="1">IFERROR(__xludf.DUMMYFUNCTION("IF
(
G13184=""фізична особа""
,
VLOOKUP(H13184,IMPORTRANGE(""https://docs.google.com/spreadsheets/d/14Bd19lYaqBhU8_DElYkX7l4wRkHqqCUFNJY4AfY3kHU/edit?usp=sharing  #gid=0"",""фіз особи new!relations_name""),6,FALSE)
,
(IF
(
G13184=""юридична особа""
,
VLOO"&amp;"KUP(H13184,IMPORTRANGE(""https://docs.google.com/spreadsheets/d/14Bd19lYaqBhU8_DElYkX7l4wRkHqqCUFNJY4AfY3kHU/edit?usp=sharing  #gid=0"",""фіз особи new!relations_name_uo""),7,FALSE)
,
)
))"),"ПОНОМАРЬОВ Олексій Львович")</f>
        <v>ПОНОМАРЬОВ Олексій Львович</v>
      </c>
      <c r="J13183" s="7" t="s">
        <v>23</v>
      </c>
    </row>
    <row r="13184" spans="1:10" ht="13.2">
      <c r="A13184" s="7">
        <v>13183</v>
      </c>
      <c r="B13184" s="7">
        <v>1</v>
      </c>
      <c r="C13184" s="7" t="s">
        <v>10</v>
      </c>
      <c r="D13184" s="7">
        <v>18382</v>
      </c>
      <c r="E13184" s="7" t="s">
        <v>23</v>
      </c>
      <c r="F13184" s="8" t="str">
        <f ca="1">IFERROR(__xludf.DUMMYFUNCTION("IF
(
C13185=""фізична особа""
,
VLOOKUP(D13185,IMPORTRANGE(""https://docs.google.com/spreadsheets/d/14Bd19lYaqBhU8_DElYkX7l4wRkHqqCUFNJY4AfY3kHU/edit?usp=sharing  #gid=0"",""фіз особи new!relations_name""),6,FALSE)
,
(IF
(
C13185=""юридична особа""
,
VLOO"&amp;"KUP(D13185,IMPORTRANGE(""https://docs.google.com/spreadsheets/d/14Bd19lYaqBhU8_DElYkX7l4wRkHqqCUFNJY4AfY3kHU/edit?usp=sharing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4" s="7" t="s">
        <v>10</v>
      </c>
      <c r="H13184" s="7">
        <v>18377</v>
      </c>
      <c r="I13184" s="8" t="str">
        <f ca="1">IFERROR(__xludf.DUMMYFUNCTION("IF
(
G13185=""фізична особа""
,
VLOOKUP(H13185,IMPORTRANGE(""https://docs.google.com/spreadsheets/d/14Bd19lYaqBhU8_DElYkX7l4wRkHqqCUFNJY4AfY3kHU/edit?usp=sharing  #gid=0"",""фіз особи new!relations_name""),6,FALSE)
,
(IF
(
G13185=""юридична особа""
,
VLOO"&amp;"KUP(H13185,IMPORTRANGE(""https://docs.google.com/spreadsheets/d/14Bd19lYaqBhU8_DElYkX7l4wRkHqqCUFNJY4AfY3kHU/edit?usp=sharing  #gid=0"",""фіз особи new!relations_name_uo""),7,FALSE)
,
)
))"),"БОБРОВИЧ Ярослав Вікторович")</f>
        <v>БОБРОВИЧ Ярослав Вікторович</v>
      </c>
      <c r="J13184" s="7" t="s">
        <v>23</v>
      </c>
    </row>
    <row r="13185" spans="1:10" ht="13.2">
      <c r="A13185" s="7">
        <v>13184</v>
      </c>
      <c r="B13185" s="7">
        <v>1</v>
      </c>
      <c r="C13185" s="7" t="s">
        <v>10</v>
      </c>
      <c r="D13185" s="7">
        <v>18382</v>
      </c>
      <c r="E13185" s="7" t="s">
        <v>23</v>
      </c>
      <c r="F13185" s="8" t="str">
        <f ca="1">IFERROR(__xludf.DUMMYFUNCTION("IF
(
C13186=""фізична особа""
,
VLOOKUP(D13186,IMPORTRANGE(""https://docs.google.com/spreadsheets/d/14Bd19lYaqBhU8_DElYkX7l4wRkHqqCUFNJY4AfY3kHU/edit?usp=sharing  #gid=0"",""фіз особи new!relations_name""),6,FALSE)
,
(IF
(
C13186=""юридична особа""
,
VLOO"&amp;"KUP(D13186,IMPORTRANGE(""https://docs.google.com/spreadsheets/d/14Bd19lYaqBhU8_DElYkX7l4wRkHqqCUFNJY4AfY3kHU/edit?usp=sharing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5" s="7" t="s">
        <v>10</v>
      </c>
      <c r="H13185" s="7">
        <v>18378</v>
      </c>
      <c r="I13185" s="8" t="str">
        <f ca="1">IFERROR(__xludf.DUMMYFUNCTION("IF
(
G13186=""фізична особа""
,
VLOOKUP(H13186,IMPORTRANGE(""https://docs.google.com/spreadsheets/d/14Bd19lYaqBhU8_DElYkX7l4wRkHqqCUFNJY4AfY3kHU/edit?usp=sharing  #gid=0"",""фіз особи new!relations_name""),6,FALSE)
,
(IF
(
G13186=""юридична особа""
,
VLOO"&amp;"KUP(H13186,IMPORTRANGE(""https://docs.google.com/spreadsheets/d/14Bd19lYaqBhU8_DElYkX7l4wRkHqqCUFNJY4AfY3kHU/edit?usp=sharing  #gid=0"",""фіз особи new!relations_name_uo""),7,FALSE)
,
)
))"),"МАЧКОВСЬКА Дар'я Леонідівна")</f>
        <v>МАЧКОВСЬКА Дар'я Леонідівна</v>
      </c>
      <c r="J13185" s="7" t="s">
        <v>23</v>
      </c>
    </row>
    <row r="13186" spans="1:10" ht="13.2">
      <c r="A13186" s="7">
        <v>13185</v>
      </c>
      <c r="B13186" s="7">
        <v>1</v>
      </c>
      <c r="C13186" s="7" t="s">
        <v>10</v>
      </c>
      <c r="D13186" s="7">
        <v>18382</v>
      </c>
      <c r="E13186" s="7" t="s">
        <v>23</v>
      </c>
      <c r="F13186" s="8" t="str">
        <f ca="1">IFERROR(__xludf.DUMMYFUNCTION("IF
(
C13187=""фізична особа""
,
VLOOKUP(D13187,IMPORTRANGE(""https://docs.google.com/spreadsheets/d/14Bd19lYaqBhU8_DElYkX7l4wRkHqqCUFNJY4AfY3kHU/edit?usp=sharing  #gid=0"",""фіз особи new!relations_name""),6,FALSE)
,
(IF
(
C13187=""юридична особа""
,
VLOO"&amp;"KUP(D13187,IMPORTRANGE(""https://docs.google.com/spreadsheets/d/14Bd19lYaqBhU8_DElYkX7l4wRkHqqCUFNJY4AfY3kHU/edit?usp=sharing  #gid=0"",""фіз особи new!relations_name_uo""),7,FALSE)
,
)
))"),"КУЗНЕЦОВ Євгеній Олексійович")</f>
        <v>КУЗНЕЦОВ Євгеній Олексійович</v>
      </c>
      <c r="G13186" s="7" t="s">
        <v>10</v>
      </c>
      <c r="H13186" s="7">
        <v>18379</v>
      </c>
      <c r="I13186" s="8" t="str">
        <f ca="1">IFERROR(__xludf.DUMMYFUNCTION("IF
(
G13187=""фізична особа""
,
VLOOKUP(H13187,IMPORTRANGE(""https://docs.google.com/spreadsheets/d/14Bd19lYaqBhU8_DElYkX7l4wRkHqqCUFNJY4AfY3kHU/edit?usp=sharing  #gid=0"",""фіз особи new!relations_name""),6,FALSE)
,
(IF
(
G13187=""юридична особа""
,
VLOO"&amp;"KUP(H13187,IMPORTRANGE(""https://docs.google.com/spreadsheets/d/14Bd19lYaqBhU8_DElYkX7l4wRkHqqCUFNJY4AfY3kHU/edit?usp=sharing  #gid=0"",""фіз особи new!relations_name_uo""),7,FALSE)
,
)
))"),"ЗАБОРСЬКИХ Аркадій Юрійович")</f>
        <v>ЗАБОРСЬКИХ Аркадій Юрійович</v>
      </c>
      <c r="J13186" s="7" t="s">
        <v>23</v>
      </c>
    </row>
    <row r="13187" spans="1:10" ht="13.2">
      <c r="A13187" s="7">
        <v>13186</v>
      </c>
      <c r="B13187" s="7">
        <v>1</v>
      </c>
      <c r="C13187" s="7" t="s">
        <v>10</v>
      </c>
      <c r="D13187" s="7">
        <v>18383</v>
      </c>
      <c r="E13187" s="7" t="s">
        <v>23</v>
      </c>
      <c r="F13187" s="8" t="str">
        <f ca="1">IFERROR(__xludf.DUMMYFUNCTION("IF
(
C13188=""фізична особа""
,
VLOOKUP(D13188,IMPORTRANGE(""https://docs.google.com/spreadsheets/d/14Bd19lYaqBhU8_DElYkX7l4wRkHqqCUFNJY4AfY3kHU/edit?usp=sharing  #gid=0"",""фіз особи new!relations_name""),6,FALSE)
,
(IF
(
C13188=""юридична особа""
,
VLOO"&amp;"KUP(D13188,IMPORTRANGE(""https://docs.google.com/spreadsheets/d/14Bd19lYaqBhU8_DElYkX7l4wRkHqqCUFNJY4AfY3kHU/edit?usp=sharing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G13187" s="7" t="s">
        <v>10</v>
      </c>
      <c r="H13187" s="7">
        <v>18384</v>
      </c>
      <c r="I13187" s="8" t="str">
        <f ca="1">IFERROR(__xludf.DUMMYFUNCTION("IF
(
G13188=""фізична особа""
,
VLOOKUP(H13188,IMPORTRANGE(""https://docs.google.com/spreadsheets/d/14Bd19lYaqBhU8_DElYkX7l4wRkHqqCUFNJY4AfY3kHU/edit?usp=sharing  #gid=0"",""фіз особи new!relations_name""),6,FALSE)
,
(IF
(
G13188=""юридична особа""
,
VLOO"&amp;"KUP(H13188,IMPORTRANGE(""https://docs.google.com/spreadsheets/d/14Bd19lYaqBhU8_DElYkX7l4wRkHqqCUFNJY4AfY3kHU/edit?usp=sharing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187" s="7" t="s">
        <v>23</v>
      </c>
    </row>
    <row r="13188" spans="1:10" ht="13.2">
      <c r="A13188" s="7">
        <v>13187</v>
      </c>
      <c r="B13188" s="7">
        <v>1</v>
      </c>
      <c r="C13188" s="7" t="s">
        <v>10</v>
      </c>
      <c r="D13188" s="7">
        <v>18383</v>
      </c>
      <c r="E13188" s="7" t="s">
        <v>23</v>
      </c>
      <c r="F13188" s="8" t="str">
        <f ca="1">IFERROR(__xludf.DUMMYFUNCTION("IF
(
C13189=""фізична особа""
,
VLOOKUP(D13189,IMPORTRANGE(""https://docs.google.com/spreadsheets/d/14Bd19lYaqBhU8_DElYkX7l4wRkHqqCUFNJY4AfY3kHU/edit?usp=sharing  #gid=0"",""фіз особи new!relations_name""),6,FALSE)
,
(IF
(
C13189=""юридична особа""
,
VLOO"&amp;"KUP(D13189,IMPORTRANGE(""https://docs.google.com/spreadsheets/d/14Bd19lYaqBhU8_DElYkX7l4wRkHqqCUFNJY4AfY3kHU/edit?usp=sharing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G13188" s="7" t="s">
        <v>10</v>
      </c>
      <c r="H13188" s="7">
        <v>18385</v>
      </c>
      <c r="I13188" s="8" t="str">
        <f ca="1">IFERROR(__xludf.DUMMYFUNCTION("IF
(
G13189=""фізична особа""
,
VLOOKUP(H13189,IMPORTRANGE(""https://docs.google.com/spreadsheets/d/14Bd19lYaqBhU8_DElYkX7l4wRkHqqCUFNJY4AfY3kHU/edit?usp=sharing  #gid=0"",""фіз особи new!relations_name""),6,FALSE)
,
(IF
(
G13189=""юридична особа""
,
VLOO"&amp;"KUP(H13189,IMPORTRANGE(""https://docs.google.com/spreadsheets/d/14Bd19lYaqBhU8_DElYkX7l4wRkHqqCUFNJY4AfY3kHU/edit?usp=sharing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188" s="7" t="s">
        <v>23</v>
      </c>
    </row>
    <row r="13189" spans="1:10" ht="13.2">
      <c r="A13189" s="7">
        <v>13188</v>
      </c>
      <c r="B13189" s="7">
        <v>1</v>
      </c>
      <c r="C13189" s="7" t="s">
        <v>10</v>
      </c>
      <c r="D13189" s="7">
        <v>18384</v>
      </c>
      <c r="E13189" s="7" t="s">
        <v>23</v>
      </c>
      <c r="F13189" s="8" t="str">
        <f ca="1">IFERROR(__xludf.DUMMYFUNCTION("IF
(
C13190=""фізична особа""
,
VLOOKUP(D13190,IMPORTRANGE(""https://docs.google.com/spreadsheets/d/14Bd19lYaqBhU8_DElYkX7l4wRkHqqCUFNJY4AfY3kHU/edit?usp=sharing  #gid=0"",""фіз особи new!relations_name""),6,FALSE)
,
(IF
(
C13190=""юридична особа""
,
VLOO"&amp;"KUP(D13190,IMPORTRANGE(""https://docs.google.com/spreadsheets/d/14Bd19lYaqBhU8_DElYkX7l4wRkHqqCUFNJY4AfY3kHU/edit?usp=sharing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89" s="7" t="s">
        <v>10</v>
      </c>
      <c r="H13189" s="7">
        <v>18383</v>
      </c>
      <c r="I13189" s="8" t="str">
        <f ca="1">IFERROR(__xludf.DUMMYFUNCTION("IF
(
G13190=""фізична особа""
,
VLOOKUP(H13190,IMPORTRANGE(""https://docs.google.com/spreadsheets/d/14Bd19lYaqBhU8_DElYkX7l4wRkHqqCUFNJY4AfY3kHU/edit?usp=sharing  #gid=0"",""фіз особи new!relations_name""),6,FALSE)
,
(IF
(
G13190=""юридична особа""
,
VLOO"&amp;"KUP(H13190,IMPORTRANGE(""https://docs.google.com/spreadsheets/d/14Bd19lYaqBhU8_DElYkX7l4wRkHqqCUFNJY4AfY3kHU/edit?usp=sharing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189" s="7" t="s">
        <v>23</v>
      </c>
    </row>
    <row r="13190" spans="1:10" ht="13.2">
      <c r="A13190" s="7">
        <v>13189</v>
      </c>
      <c r="B13190" s="7">
        <v>1</v>
      </c>
      <c r="C13190" s="7" t="s">
        <v>10</v>
      </c>
      <c r="D13190" s="7">
        <v>18384</v>
      </c>
      <c r="E13190" s="7" t="s">
        <v>23</v>
      </c>
      <c r="F13190" s="8" t="str">
        <f ca="1">IFERROR(__xludf.DUMMYFUNCTION("IF
(
C13191=""фізична особа""
,
VLOOKUP(D13191,IMPORTRANGE(""https://docs.google.com/spreadsheets/d/14Bd19lYaqBhU8_DElYkX7l4wRkHqqCUFNJY4AfY3kHU/edit?usp=sharing  #gid=0"",""фіз особи new!relations_name""),6,FALSE)
,
(IF
(
C13191=""юридична особа""
,
VLOO"&amp;"KUP(D13191,IMPORTRANGE(""https://docs.google.com/spreadsheets/d/14Bd19lYaqBhU8_DElYkX7l4wRkHqqCUFNJY4AfY3kHU/edit?usp=sharing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0" s="7" t="s">
        <v>10</v>
      </c>
      <c r="H13190" s="7">
        <v>18385</v>
      </c>
      <c r="I13190" s="8" t="str">
        <f ca="1">IFERROR(__xludf.DUMMYFUNCTION("IF
(
G13191=""фізична особа""
,
VLOOKUP(H13191,IMPORTRANGE(""https://docs.google.com/spreadsheets/d/14Bd19lYaqBhU8_DElYkX7l4wRkHqqCUFNJY4AfY3kHU/edit?usp=sharing  #gid=0"",""фіз особи new!relations_name""),6,FALSE)
,
(IF
(
G13191=""юридична особа""
,
VLOO"&amp;"KUP(H13191,IMPORTRANGE(""https://docs.google.com/spreadsheets/d/14Bd19lYaqBhU8_DElYkX7l4wRkHqqCUFNJY4AfY3kHU/edit?usp=sharing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190" s="7" t="s">
        <v>23</v>
      </c>
    </row>
    <row r="13191" spans="1:10" ht="13.2">
      <c r="A13191" s="7">
        <v>13190</v>
      </c>
      <c r="B13191" s="7">
        <v>1</v>
      </c>
      <c r="C13191" s="7" t="s">
        <v>10</v>
      </c>
      <c r="D13191" s="7">
        <v>18384</v>
      </c>
      <c r="E13191" s="7" t="s">
        <v>23</v>
      </c>
      <c r="F13191" s="8" t="str">
        <f ca="1">IFERROR(__xludf.DUMMYFUNCTION("IF
(
C13192=""фізична особа""
,
VLOOKUP(D13192,IMPORTRANGE(""https://docs.google.com/spreadsheets/d/14Bd19lYaqBhU8_DElYkX7l4wRkHqqCUFNJY4AfY3kHU/edit?usp=sharing  #gid=0"",""фіз особи new!relations_name""),6,FALSE)
,
(IF
(
C13192=""юридична особа""
,
VLOO"&amp;"KUP(D13192,IMPORTRANGE(""https://docs.google.com/spreadsheets/d/14Bd19lYaqBhU8_DElYkX7l4wRkHqqCUFNJY4AfY3kHU/edit?usp=sharing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1" s="7" t="s">
        <v>10</v>
      </c>
      <c r="H13191" s="7">
        <v>23652</v>
      </c>
      <c r="I13191" s="8" t="str">
        <f ca="1">IFERROR(__xludf.DUMMYFUNCTION("IF
(
G13192=""фізична особа""
,
VLOOKUP(H13192,IMPORTRANGE(""https://docs.google.com/spreadsheets/d/14Bd19lYaqBhU8_DElYkX7l4wRkHqqCUFNJY4AfY3kHU/edit?usp=sharing  #gid=0"",""фіз особи new!relations_name""),6,FALSE)
,
(IF
(
G13192=""юридична особа""
,
VLOO"&amp;"KUP(H13192,IMPORTRANGE(""https://docs.google.com/spreadsheets/d/14Bd19lYaqBhU8_DElYkX7l4wRkHqqCUFNJY4AfY3kHU/edit?usp=sharing  #gid=0"",""фіз особи new!relations_name_uo""),7,FALSE)
,
)
))"),"АГАНОВА Наталія Андріївна")</f>
        <v>АГАНОВА Наталія Андріївна</v>
      </c>
      <c r="J13191" s="7" t="s">
        <v>23</v>
      </c>
    </row>
    <row r="13192" spans="1:10" ht="13.2">
      <c r="A13192" s="7">
        <v>13191</v>
      </c>
      <c r="B13192" s="7">
        <v>1</v>
      </c>
      <c r="C13192" s="7" t="s">
        <v>10</v>
      </c>
      <c r="D13192" s="7">
        <v>18384</v>
      </c>
      <c r="E13192" s="7" t="s">
        <v>23</v>
      </c>
      <c r="F13192" s="8" t="str">
        <f ca="1">IFERROR(__xludf.DUMMYFUNCTION("IF
(
C13193=""фізична особа""
,
VLOOKUP(D13193,IMPORTRANGE(""https://docs.google.com/spreadsheets/d/14Bd19lYaqBhU8_DElYkX7l4wRkHqqCUFNJY4AfY3kHU/edit?usp=sharing  #gid=0"",""фіз особи new!relations_name""),6,FALSE)
,
(IF
(
C13193=""юридична особа""
,
VLOO"&amp;"KUP(D13193,IMPORTRANGE(""https://docs.google.com/spreadsheets/d/14Bd19lYaqBhU8_DElYkX7l4wRkHqqCUFNJY4AfY3kHU/edit?usp=sharing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2" s="7" t="s">
        <v>10</v>
      </c>
      <c r="H13192" s="7">
        <v>23653</v>
      </c>
      <c r="I13192" s="8" t="str">
        <f ca="1">IFERROR(__xludf.DUMMYFUNCTION("IF
(
G13193=""фізична особа""
,
VLOOKUP(H13193,IMPORTRANGE(""https://docs.google.com/spreadsheets/d/14Bd19lYaqBhU8_DElYkX7l4wRkHqqCUFNJY4AfY3kHU/edit?usp=sharing  #gid=0"",""фіз особи new!relations_name""),6,FALSE)
,
(IF
(
G13193=""юридична особа""
,
VLOO"&amp;"KUP(H13193,IMPORTRANGE(""https://docs.google.com/spreadsheets/d/14Bd19lYaqBhU8_DElYkX7l4wRkHqqCUFNJY4AfY3kHU/edit?usp=sharing  #gid=0"",""фіз особи new!relations_name_uo""),7,FALSE)
,
)
))"),"НАПАСКІНА Наталія Володимирівна")</f>
        <v>НАПАСКІНА Наталія Володимирівна</v>
      </c>
      <c r="J13192" s="7" t="s">
        <v>23</v>
      </c>
    </row>
    <row r="13193" spans="1:10" ht="13.2">
      <c r="A13193" s="7">
        <v>13192</v>
      </c>
      <c r="B13193" s="7">
        <v>1</v>
      </c>
      <c r="C13193" s="7" t="s">
        <v>10</v>
      </c>
      <c r="D13193" s="7">
        <v>18384</v>
      </c>
      <c r="E13193" s="7" t="s">
        <v>23</v>
      </c>
      <c r="F13193" s="8" t="str">
        <f ca="1">IFERROR(__xludf.DUMMYFUNCTION("IF
(
C13194=""фізична особа""
,
VLOOKUP(D13194,IMPORTRANGE(""https://docs.google.com/spreadsheets/d/14Bd19lYaqBhU8_DElYkX7l4wRkHqqCUFNJY4AfY3kHU/edit?usp=sharing  #gid=0"",""фіз особи new!relations_name""),6,FALSE)
,
(IF
(
C13194=""юридична особа""
,
VLOO"&amp;"KUP(D13194,IMPORTRANGE(""https://docs.google.com/spreadsheets/d/14Bd19lYaqBhU8_DElYkX7l4wRkHqqCUFNJY4AfY3kHU/edit?usp=sharing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3" s="7" t="s">
        <v>10</v>
      </c>
      <c r="H13193" s="7">
        <v>23654</v>
      </c>
      <c r="I13193" s="8" t="str">
        <f ca="1">IFERROR(__xludf.DUMMYFUNCTION("IF
(
G13194=""фізична особа""
,
VLOOKUP(H13194,IMPORTRANGE(""https://docs.google.com/spreadsheets/d/14Bd19lYaqBhU8_DElYkX7l4wRkHqqCUFNJY4AfY3kHU/edit?usp=sharing  #gid=0"",""фіз особи new!relations_name""),6,FALSE)
,
(IF
(
G13194=""юридична особа""
,
VLOO"&amp;"KUP(H13194,IMPORTRANGE(""https://docs.google.com/spreadsheets/d/14Bd19lYaqBhU8_DElYkX7l4wRkHqqCUFNJY4AfY3kHU/edit?usp=sharing  #gid=0"",""фіз особи new!relations_name_uo""),7,FALSE)
,
)
))"),"ШАРНОВ Микола Миколайович")</f>
        <v>ШАРНОВ Микола Миколайович</v>
      </c>
      <c r="J13193" s="7" t="s">
        <v>23</v>
      </c>
    </row>
    <row r="13194" spans="1:10" ht="13.2">
      <c r="A13194" s="7">
        <v>13193</v>
      </c>
      <c r="B13194" s="7">
        <v>1</v>
      </c>
      <c r="C13194" s="7" t="s">
        <v>10</v>
      </c>
      <c r="D13194" s="7">
        <v>18384</v>
      </c>
      <c r="E13194" s="7" t="s">
        <v>23</v>
      </c>
      <c r="F13194" s="8" t="str">
        <f ca="1">IFERROR(__xludf.DUMMYFUNCTION("IF
(
C13195=""фізична особа""
,
VLOOKUP(D13195,IMPORTRANGE(""https://docs.google.com/spreadsheets/d/14Bd19lYaqBhU8_DElYkX7l4wRkHqqCUFNJY4AfY3kHU/edit?usp=sharing  #gid=0"",""фіз особи new!relations_name""),6,FALSE)
,
(IF
(
C13195=""юридична особа""
,
VLOO"&amp;"KUP(D13195,IMPORTRANGE(""https://docs.google.com/spreadsheets/d/14Bd19lYaqBhU8_DElYkX7l4wRkHqqCUFNJY4AfY3kHU/edit?usp=sharing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4" s="7" t="s">
        <v>10</v>
      </c>
      <c r="H13194" s="7">
        <v>23655</v>
      </c>
      <c r="I13194" s="8" t="str">
        <f ca="1">IFERROR(__xludf.DUMMYFUNCTION("IF
(
G13195=""фізична особа""
,
VLOOKUP(H13195,IMPORTRANGE(""https://docs.google.com/spreadsheets/d/14Bd19lYaqBhU8_DElYkX7l4wRkHqqCUFNJY4AfY3kHU/edit?usp=sharing  #gid=0"",""фіз особи new!relations_name""),6,FALSE)
,
(IF
(
G13195=""юридична особа""
,
VLOO"&amp;"KUP(H13195,IMPORTRANGE(""https://docs.google.com/spreadsheets/d/14Bd19lYaqBhU8_DElYkX7l4wRkHqqCUFNJY4AfY3kHU/edit?usp=sharing  #gid=0"",""фіз особи new!relations_name_uo""),7,FALSE)
,
)
))"),"ШВЕЦЬ Олексій Олександрович")</f>
        <v>ШВЕЦЬ Олексій Олександрович</v>
      </c>
      <c r="J13194" s="7" t="s">
        <v>23</v>
      </c>
    </row>
    <row r="13195" spans="1:10" ht="13.2">
      <c r="A13195" s="7">
        <v>13194</v>
      </c>
      <c r="B13195" s="7">
        <v>1</v>
      </c>
      <c r="C13195" s="7" t="s">
        <v>10</v>
      </c>
      <c r="D13195" s="7">
        <v>18384</v>
      </c>
      <c r="E13195" s="7" t="s">
        <v>23</v>
      </c>
      <c r="F13195" s="8" t="str">
        <f ca="1">IFERROR(__xludf.DUMMYFUNCTION("IF
(
C13196=""фізична особа""
,
VLOOKUP(D13196,IMPORTRANGE(""https://docs.google.com/spreadsheets/d/14Bd19lYaqBhU8_DElYkX7l4wRkHqqCUFNJY4AfY3kHU/edit?usp=sharing  #gid=0"",""фіз особи new!relations_name""),6,FALSE)
,
(IF
(
C13196=""юридична особа""
,
VLOO"&amp;"KUP(D13196,IMPORTRANGE(""https://docs.google.com/spreadsheets/d/14Bd19lYaqBhU8_DElYkX7l4wRkHqqCUFNJY4AfY3kHU/edit?usp=sharing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5" s="7" t="s">
        <v>10</v>
      </c>
      <c r="H13195" s="7">
        <v>23656</v>
      </c>
      <c r="I13195" s="8" t="str">
        <f ca="1">IFERROR(__xludf.DUMMYFUNCTION("IF
(
G13196=""фізична особа""
,
VLOOKUP(H13196,IMPORTRANGE(""https://docs.google.com/spreadsheets/d/14Bd19lYaqBhU8_DElYkX7l4wRkHqqCUFNJY4AfY3kHU/edit?usp=sharing  #gid=0"",""фіз особи new!relations_name""),6,FALSE)
,
(IF
(
G13196=""юридична особа""
,
VLOO"&amp;"KUP(H13196,IMPORTRANGE(""https://docs.google.com/spreadsheets/d/14Bd19lYaqBhU8_DElYkX7l4wRkHqqCUFNJY4AfY3kHU/edit?usp=sharing  #gid=0"",""фіз особи new!relations_name_uo""),7,FALSE)
,
)
))"),"ОВЧИННІКОВА Ірина Миколаївна")</f>
        <v>ОВЧИННІКОВА Ірина Миколаївна</v>
      </c>
      <c r="J13195" s="7" t="s">
        <v>23</v>
      </c>
    </row>
    <row r="13196" spans="1:10" ht="13.2">
      <c r="A13196" s="7">
        <v>13195</v>
      </c>
      <c r="B13196" s="7">
        <v>1</v>
      </c>
      <c r="C13196" s="7" t="s">
        <v>10</v>
      </c>
      <c r="D13196" s="7">
        <v>18384</v>
      </c>
      <c r="E13196" s="7" t="s">
        <v>23</v>
      </c>
      <c r="F13196" s="8" t="str">
        <f ca="1">IFERROR(__xludf.DUMMYFUNCTION("IF
(
C13197=""фізична особа""
,
VLOOKUP(D13197,IMPORTRANGE(""https://docs.google.com/spreadsheets/d/14Bd19lYaqBhU8_DElYkX7l4wRkHqqCUFNJY4AfY3kHU/edit?usp=sharing  #gid=0"",""фіз особи new!relations_name""),6,FALSE)
,
(IF
(
C13197=""юридична особа""
,
VLOO"&amp;"KUP(D13197,IMPORTRANGE(""https://docs.google.com/spreadsheets/d/14Bd19lYaqBhU8_DElYkX7l4wRkHqqCUFNJY4AfY3kHU/edit?usp=sharing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6" s="7" t="s">
        <v>10</v>
      </c>
      <c r="H13196" s="7">
        <v>18388</v>
      </c>
      <c r="I13196" s="8" t="str">
        <f ca="1">IFERROR(__xludf.DUMMYFUNCTION("IF
(
G13197=""фізична особа""
,
VLOOKUP(H13197,IMPORTRANGE(""https://docs.google.com/spreadsheets/d/14Bd19lYaqBhU8_DElYkX7l4wRkHqqCUFNJY4AfY3kHU/edit?usp=sharing  #gid=0"",""фіз особи new!relations_name""),6,FALSE)
,
(IF
(
G13197=""юридична особа""
,
VLOO"&amp;"KUP(H13197,IMPORTRANGE(""https://docs.google.com/spreadsheets/d/14Bd19lYaqBhU8_DElYkX7l4wRkHqqCUFNJY4AfY3kHU/edit?usp=sharing  #gid=0"",""фіз особи new!relations_name_uo""),7,FALSE)
,
)
))"),"СТАСЮК Олександр Петрович")</f>
        <v>СТАСЮК Олександр Петрович</v>
      </c>
      <c r="J13196" s="7" t="s">
        <v>23</v>
      </c>
    </row>
    <row r="13197" spans="1:10" ht="13.2">
      <c r="A13197" s="7">
        <v>13196</v>
      </c>
      <c r="B13197" s="7">
        <v>1</v>
      </c>
      <c r="C13197" s="7" t="s">
        <v>10</v>
      </c>
      <c r="D13197" s="7">
        <v>18384</v>
      </c>
      <c r="E13197" s="7" t="s">
        <v>23</v>
      </c>
      <c r="F13197" s="8" t="str">
        <f ca="1">IFERROR(__xludf.DUMMYFUNCTION("IF
(
C13198=""фізична особа""
,
VLOOKUP(D13198,IMPORTRANGE(""https://docs.google.com/spreadsheets/d/14Bd19lYaqBhU8_DElYkX7l4wRkHqqCUFNJY4AfY3kHU/edit?usp=sharing  #gid=0"",""фіз особи new!relations_name""),6,FALSE)
,
(IF
(
C13198=""юридична особа""
,
VLOO"&amp;"KUP(D13198,IMPORTRANGE(""https://docs.google.com/spreadsheets/d/14Bd19lYaqBhU8_DElYkX7l4wRkHqqCUFNJY4AfY3kHU/edit?usp=sharing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7" s="7" t="s">
        <v>10</v>
      </c>
      <c r="H13197" s="7">
        <v>0</v>
      </c>
      <c r="I13197" s="8" t="str">
        <f ca="1">IFERROR(__xludf.DUMMYFUNCTION("IF
(
G13198=""фізична особа""
,
VLOOKUP(H13198,IMPORTRANGE(""https://docs.google.com/spreadsheets/d/14Bd19lYaqBhU8_DElYkX7l4wRkHqqCUFNJY4AfY3kHU/edit?usp=sharing  #gid=0"",""фіз особи new!relations_name""),6,FALSE)
,
(IF
(
G13198=""юридична особа""
,
VLOO"&amp;"KUP(H13198,IMPORTRANGE(""https://docs.google.com/spreadsheets/d/14Bd19lYaqBhU8_DElYkX7l4wRkHqqCUFNJY4AfY3kHU/edit?usp=sharing  #gid=0"",""фіз особи new!relations_name_uo""),7,FALSE)
,
)
))"),"#N/A")</f>
        <v>#N/A</v>
      </c>
      <c r="J13197" s="7" t="s">
        <v>23</v>
      </c>
    </row>
    <row r="13198" spans="1:10" ht="13.2">
      <c r="A13198" s="7">
        <v>13197</v>
      </c>
      <c r="B13198" s="7">
        <v>1</v>
      </c>
      <c r="C13198" s="7" t="s">
        <v>10</v>
      </c>
      <c r="D13198" s="7">
        <v>18384</v>
      </c>
      <c r="E13198" s="7" t="s">
        <v>23</v>
      </c>
      <c r="F13198" s="8" t="str">
        <f ca="1">IFERROR(__xludf.DUMMYFUNCTION("IF
(
C13199=""фізична особа""
,
VLOOKUP(D13199,IMPORTRANGE(""https://docs.google.com/spreadsheets/d/14Bd19lYaqBhU8_DElYkX7l4wRkHqqCUFNJY4AfY3kHU/edit?usp=sharing  #gid=0"",""фіз особи new!relations_name""),6,FALSE)
,
(IF
(
C13199=""юридична особа""
,
VLOO"&amp;"KUP(D13199,IMPORTRANGE(""https://docs.google.com/spreadsheets/d/14Bd19lYaqBhU8_DElYkX7l4wRkHqqCUFNJY4AfY3kHU/edit?usp=sharing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G13198" s="7" t="s">
        <v>10</v>
      </c>
      <c r="H13198" s="7">
        <v>23657</v>
      </c>
      <c r="I13198" s="8" t="str">
        <f ca="1">IFERROR(__xludf.DUMMYFUNCTION("IF
(
G13199=""фізична особа""
,
VLOOKUP(H13199,IMPORTRANGE(""https://docs.google.com/spreadsheets/d/14Bd19lYaqBhU8_DElYkX7l4wRkHqqCUFNJY4AfY3kHU/edit?usp=sharing  #gid=0"",""фіз особи new!relations_name""),6,FALSE)
,
(IF
(
G13199=""юридична особа""
,
VLOO"&amp;"KUP(H13199,IMPORTRANGE(""https://docs.google.com/spreadsheets/d/14Bd19lYaqBhU8_DElYkX7l4wRkHqqCUFNJY4AfY3kHU/edit?usp=sharing  #gid=0"",""фіз особи new!relations_name_uo""),7,FALSE)
,
)
))"),"МЕРКУЛОВ Олександр Олександрович")</f>
        <v>МЕРКУЛОВ Олександр Олександрович</v>
      </c>
      <c r="J13198" s="7" t="s">
        <v>23</v>
      </c>
    </row>
    <row r="13199" spans="1:10" ht="13.2">
      <c r="A13199" s="7">
        <v>13198</v>
      </c>
      <c r="B13199" s="7">
        <v>1</v>
      </c>
      <c r="C13199" s="7" t="s">
        <v>10</v>
      </c>
      <c r="D13199" s="7">
        <v>18385</v>
      </c>
      <c r="E13199" s="7" t="s">
        <v>23</v>
      </c>
      <c r="F13199" s="8" t="str">
        <f ca="1">IFERROR(__xludf.DUMMYFUNCTION("IF
(
C13200=""фізична особа""
,
VLOOKUP(D13200,IMPORTRANGE(""https://docs.google.com/spreadsheets/d/14Bd19lYaqBhU8_DElYkX7l4wRkHqqCUFNJY4AfY3kHU/edit?usp=sharing  #gid=0"",""фіз особи new!relations_name""),6,FALSE)
,
(IF
(
C13200=""юридична особа""
,
VLOO"&amp;"KUP(D13200,IMPORTRANGE(""https://docs.google.com/spreadsheets/d/14Bd19lYaqBhU8_DElYkX7l4wRkHqqCUFNJY4AfY3kHU/edit?usp=sharing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199" s="7" t="s">
        <v>10</v>
      </c>
      <c r="H13199" s="7">
        <v>18383</v>
      </c>
      <c r="I13199" s="8" t="str">
        <f ca="1">IFERROR(__xludf.DUMMYFUNCTION("IF
(
G13200=""фізична особа""
,
VLOOKUP(H13200,IMPORTRANGE(""https://docs.google.com/spreadsheets/d/14Bd19lYaqBhU8_DElYkX7l4wRkHqqCUFNJY4AfY3kHU/edit?usp=sharing  #gid=0"",""фіз особи new!relations_name""),6,FALSE)
,
(IF
(
G13200=""юридична особа""
,
VLOO"&amp;"KUP(H13200,IMPORTRANGE(""https://docs.google.com/spreadsheets/d/14Bd19lYaqBhU8_DElYkX7l4wRkHqqCUFNJY4AfY3kHU/edit?usp=sharing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199" s="7" t="s">
        <v>23</v>
      </c>
    </row>
    <row r="13200" spans="1:10" ht="13.2">
      <c r="A13200" s="7">
        <v>13199</v>
      </c>
      <c r="B13200" s="7">
        <v>1</v>
      </c>
      <c r="C13200" s="7" t="s">
        <v>10</v>
      </c>
      <c r="D13200" s="7">
        <v>18385</v>
      </c>
      <c r="E13200" s="7" t="s">
        <v>23</v>
      </c>
      <c r="F13200" s="8" t="str">
        <f ca="1">IFERROR(__xludf.DUMMYFUNCTION("IF
(
C13201=""фізична особа""
,
VLOOKUP(D13201,IMPORTRANGE(""https://docs.google.com/spreadsheets/d/14Bd19lYaqBhU8_DElYkX7l4wRkHqqCUFNJY4AfY3kHU/edit?usp=sharing  #gid=0"",""фіз особи new!relations_name""),6,FALSE)
,
(IF
(
C13201=""юридична особа""
,
VLOO"&amp;"KUP(D13201,IMPORTRANGE(""https://docs.google.com/spreadsheets/d/14Bd19lYaqBhU8_DElYkX7l4wRkHqqCUFNJY4AfY3kHU/edit?usp=sharing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0" s="7" t="s">
        <v>10</v>
      </c>
      <c r="H13200" s="7">
        <v>18384</v>
      </c>
      <c r="I13200" s="8" t="str">
        <f ca="1">IFERROR(__xludf.DUMMYFUNCTION("IF
(
G13201=""фізична особа""
,
VLOOKUP(H13201,IMPORTRANGE(""https://docs.google.com/spreadsheets/d/14Bd19lYaqBhU8_DElYkX7l4wRkHqqCUFNJY4AfY3kHU/edit?usp=sharing  #gid=0"",""фіз особи new!relations_name""),6,FALSE)
,
(IF
(
G13201=""юридична особа""
,
VLOO"&amp;"KUP(H13201,IMPORTRANGE(""https://docs.google.com/spreadsheets/d/14Bd19lYaqBhU8_DElYkX7l4wRkHqqCUFNJY4AfY3kHU/edit?usp=sharing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00" s="7" t="s">
        <v>23</v>
      </c>
    </row>
    <row r="13201" spans="1:10" ht="13.2">
      <c r="A13201" s="7">
        <v>13200</v>
      </c>
      <c r="B13201" s="7">
        <v>1</v>
      </c>
      <c r="C13201" s="7" t="s">
        <v>10</v>
      </c>
      <c r="D13201" s="7">
        <v>18385</v>
      </c>
      <c r="E13201" s="7" t="s">
        <v>23</v>
      </c>
      <c r="F13201" s="8" t="str">
        <f ca="1">IFERROR(__xludf.DUMMYFUNCTION("IF
(
C13202=""фізична особа""
,
VLOOKUP(D13202,IMPORTRANGE(""https://docs.google.com/spreadsheets/d/14Bd19lYaqBhU8_DElYkX7l4wRkHqqCUFNJY4AfY3kHU/edit?usp=sharing  #gid=0"",""фіз особи new!relations_name""),6,FALSE)
,
(IF
(
C13202=""юридична особа""
,
VLOO"&amp;"KUP(D13202,IMPORTRANGE(""https://docs.google.com/spreadsheets/d/14Bd19lYaqBhU8_DElYkX7l4wRkHqqCUFNJY4AfY3kHU/edit?usp=sharing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1" s="7" t="s">
        <v>10</v>
      </c>
      <c r="H13201" s="7">
        <v>23657</v>
      </c>
      <c r="I13201" s="8" t="str">
        <f ca="1">IFERROR(__xludf.DUMMYFUNCTION("IF
(
G13202=""фізична особа""
,
VLOOKUP(H13202,IMPORTRANGE(""https://docs.google.com/spreadsheets/d/14Bd19lYaqBhU8_DElYkX7l4wRkHqqCUFNJY4AfY3kHU/edit?usp=sharing  #gid=0"",""фіз особи new!relations_name""),6,FALSE)
,
(IF
(
G13202=""юридична особа""
,
VLOO"&amp;"KUP(H13202,IMPORTRANGE(""https://docs.google.com/spreadsheets/d/14Bd19lYaqBhU8_DElYkX7l4wRkHqqCUFNJY4AfY3kHU/edit?usp=sharing  #gid=0"",""фіз особи new!relations_name_uo""),7,FALSE)
,
)
))"),"МЕРКУЛОВ Олександр Олександрович")</f>
        <v>МЕРКУЛОВ Олександр Олександрович</v>
      </c>
      <c r="J13201" s="7" t="s">
        <v>23</v>
      </c>
    </row>
    <row r="13202" spans="1:10" ht="13.2">
      <c r="A13202" s="7">
        <v>13201</v>
      </c>
      <c r="B13202" s="7">
        <v>1</v>
      </c>
      <c r="C13202" s="7" t="s">
        <v>10</v>
      </c>
      <c r="D13202" s="7">
        <v>18385</v>
      </c>
      <c r="E13202" s="7" t="s">
        <v>23</v>
      </c>
      <c r="F13202" s="8" t="str">
        <f ca="1">IFERROR(__xludf.DUMMYFUNCTION("IF
(
C13203=""фізична особа""
,
VLOOKUP(D13203,IMPORTRANGE(""https://docs.google.com/spreadsheets/d/14Bd19lYaqBhU8_DElYkX7l4wRkHqqCUFNJY4AfY3kHU/edit?usp=sharing  #gid=0"",""фіз особи new!relations_name""),6,FALSE)
,
(IF
(
C13203=""юридична особа""
,
VLOO"&amp;"KUP(D13203,IMPORTRANGE(""https://docs.google.com/spreadsheets/d/14Bd19lYaqBhU8_DElYkX7l4wRkHqqCUFNJY4AfY3kHU/edit?usp=sharing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2" s="7" t="s">
        <v>10</v>
      </c>
      <c r="H13202" s="7">
        <v>0</v>
      </c>
      <c r="I13202" s="8" t="str">
        <f ca="1">IFERROR(__xludf.DUMMYFUNCTION("IF
(
G13203=""фізична особа""
,
VLOOKUP(H13203,IMPORTRANGE(""https://docs.google.com/spreadsheets/d/14Bd19lYaqBhU8_DElYkX7l4wRkHqqCUFNJY4AfY3kHU/edit?usp=sharing  #gid=0"",""фіз особи new!relations_name""),6,FALSE)
,
(IF
(
G13203=""юридична особа""
,
VLOO"&amp;"KUP(H13203,IMPORTRANGE(""https://docs.google.com/spreadsheets/d/14Bd19lYaqBhU8_DElYkX7l4wRkHqqCUFNJY4AfY3kHU/edit?usp=sharing  #gid=0"",""фіз особи new!relations_name_uo""),7,FALSE)
,
)
))"),"#N/A")</f>
        <v>#N/A</v>
      </c>
      <c r="J13202" s="7" t="s">
        <v>23</v>
      </c>
    </row>
    <row r="13203" spans="1:10" ht="13.2">
      <c r="A13203" s="7">
        <v>13202</v>
      </c>
      <c r="B13203" s="7">
        <v>1</v>
      </c>
      <c r="C13203" s="7" t="s">
        <v>10</v>
      </c>
      <c r="D13203" s="7">
        <v>18385</v>
      </c>
      <c r="E13203" s="7" t="s">
        <v>23</v>
      </c>
      <c r="F13203" s="8" t="str">
        <f ca="1">IFERROR(__xludf.DUMMYFUNCTION("IF
(
C13204=""фізична особа""
,
VLOOKUP(D13204,IMPORTRANGE(""https://docs.google.com/spreadsheets/d/14Bd19lYaqBhU8_DElYkX7l4wRkHqqCUFNJY4AfY3kHU/edit?usp=sharing  #gid=0"",""фіз особи new!relations_name""),6,FALSE)
,
(IF
(
C13204=""юридична особа""
,
VLOO"&amp;"KUP(D13204,IMPORTRANGE(""https://docs.google.com/spreadsheets/d/14Bd19lYaqBhU8_DElYkX7l4wRkHqqCUFNJY4AfY3kHU/edit?usp=sharing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3" s="7" t="s">
        <v>10</v>
      </c>
      <c r="H13203" s="7">
        <v>0</v>
      </c>
      <c r="I13203" s="8" t="str">
        <f ca="1">IFERROR(__xludf.DUMMYFUNCTION("IF
(
G13204=""фізична особа""
,
VLOOKUP(H13204,IMPORTRANGE(""https://docs.google.com/spreadsheets/d/14Bd19lYaqBhU8_DElYkX7l4wRkHqqCUFNJY4AfY3kHU/edit?usp=sharing  #gid=0"",""фіз особи new!relations_name""),6,FALSE)
,
(IF
(
G13204=""юридична особа""
,
VLOO"&amp;"KUP(H13204,IMPORTRANGE(""https://docs.google.com/spreadsheets/d/14Bd19lYaqBhU8_DElYkX7l4wRkHqqCUFNJY4AfY3kHU/edit?usp=sharing  #gid=0"",""фіз особи new!relations_name_uo""),7,FALSE)
,
)
))"),"#N/A")</f>
        <v>#N/A</v>
      </c>
      <c r="J13203" s="7" t="s">
        <v>23</v>
      </c>
    </row>
    <row r="13204" spans="1:10" ht="13.2">
      <c r="A13204" s="7">
        <v>13203</v>
      </c>
      <c r="B13204" s="7">
        <v>1</v>
      </c>
      <c r="C13204" s="7" t="s">
        <v>10</v>
      </c>
      <c r="D13204" s="7">
        <v>18385</v>
      </c>
      <c r="E13204" s="7" t="s">
        <v>23</v>
      </c>
      <c r="F13204" s="8" t="str">
        <f ca="1">IFERROR(__xludf.DUMMYFUNCTION("IF
(
C13205=""фізична особа""
,
VLOOKUP(D13205,IMPORTRANGE(""https://docs.google.com/spreadsheets/d/14Bd19lYaqBhU8_DElYkX7l4wRkHqqCUFNJY4AfY3kHU/edit?usp=sharing  #gid=0"",""фіз особи new!relations_name""),6,FALSE)
,
(IF
(
C13205=""юридична особа""
,
VLOO"&amp;"KUP(D13205,IMPORTRANGE(""https://docs.google.com/spreadsheets/d/14Bd19lYaqBhU8_DElYkX7l4wRkHqqCUFNJY4AfY3kHU/edit?usp=sharing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4" s="7" t="s">
        <v>10</v>
      </c>
      <c r="H13204" s="7">
        <v>23654</v>
      </c>
      <c r="I13204" s="8" t="str">
        <f ca="1">IFERROR(__xludf.DUMMYFUNCTION("IF
(
G13205=""фізична особа""
,
VLOOKUP(H13205,IMPORTRANGE(""https://docs.google.com/spreadsheets/d/14Bd19lYaqBhU8_DElYkX7l4wRkHqqCUFNJY4AfY3kHU/edit?usp=sharing  #gid=0"",""фіз особи new!relations_name""),6,FALSE)
,
(IF
(
G13205=""юридична особа""
,
VLOO"&amp;"KUP(H13205,IMPORTRANGE(""https://docs.google.com/spreadsheets/d/14Bd19lYaqBhU8_DElYkX7l4wRkHqqCUFNJY4AfY3kHU/edit?usp=sharing  #gid=0"",""фіз особи new!relations_name_uo""),7,FALSE)
,
)
))"),"ШАРНОВ Микола Миколайович")</f>
        <v>ШАРНОВ Микола Миколайович</v>
      </c>
      <c r="J13204" s="7" t="s">
        <v>23</v>
      </c>
    </row>
    <row r="13205" spans="1:10" ht="13.2">
      <c r="A13205" s="7">
        <v>13204</v>
      </c>
      <c r="B13205" s="7">
        <v>1</v>
      </c>
      <c r="C13205" s="7" t="s">
        <v>10</v>
      </c>
      <c r="D13205" s="7">
        <v>18385</v>
      </c>
      <c r="E13205" s="7" t="s">
        <v>23</v>
      </c>
      <c r="F13205" s="8" t="str">
        <f ca="1">IFERROR(__xludf.DUMMYFUNCTION("IF
(
C13206=""фізична особа""
,
VLOOKUP(D13206,IMPORTRANGE(""https://docs.google.com/spreadsheets/d/14Bd19lYaqBhU8_DElYkX7l4wRkHqqCUFNJY4AfY3kHU/edit?usp=sharing  #gid=0"",""фіз особи new!relations_name""),6,FALSE)
,
(IF
(
C13206=""юридична особа""
,
VLOO"&amp;"KUP(D13206,IMPORTRANGE(""https://docs.google.com/spreadsheets/d/14Bd19lYaqBhU8_DElYkX7l4wRkHqqCUFNJY4AfY3kHU/edit?usp=sharing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5" s="7" t="s">
        <v>10</v>
      </c>
      <c r="H13205" s="7">
        <v>23655</v>
      </c>
      <c r="I13205" s="8" t="str">
        <f ca="1">IFERROR(__xludf.DUMMYFUNCTION("IF
(
G13206=""фізична особа""
,
VLOOKUP(H13206,IMPORTRANGE(""https://docs.google.com/spreadsheets/d/14Bd19lYaqBhU8_DElYkX7l4wRkHqqCUFNJY4AfY3kHU/edit?usp=sharing  #gid=0"",""фіз особи new!relations_name""),6,FALSE)
,
(IF
(
G13206=""юридична особа""
,
VLOO"&amp;"KUP(H13206,IMPORTRANGE(""https://docs.google.com/spreadsheets/d/14Bd19lYaqBhU8_DElYkX7l4wRkHqqCUFNJY4AfY3kHU/edit?usp=sharing  #gid=0"",""фіз особи new!relations_name_uo""),7,FALSE)
,
)
))"),"ШВЕЦЬ Олексій Олександрович")</f>
        <v>ШВЕЦЬ Олексій Олександрович</v>
      </c>
      <c r="J13205" s="7" t="s">
        <v>23</v>
      </c>
    </row>
    <row r="13206" spans="1:10" ht="13.2">
      <c r="A13206" s="7">
        <v>13205</v>
      </c>
      <c r="B13206" s="7">
        <v>1</v>
      </c>
      <c r="C13206" s="7" t="s">
        <v>10</v>
      </c>
      <c r="D13206" s="7">
        <v>18385</v>
      </c>
      <c r="E13206" s="7" t="s">
        <v>23</v>
      </c>
      <c r="F13206" s="8" t="str">
        <f ca="1">IFERROR(__xludf.DUMMYFUNCTION("IF
(
C13207=""фізична особа""
,
VLOOKUP(D13207,IMPORTRANGE(""https://docs.google.com/spreadsheets/d/14Bd19lYaqBhU8_DElYkX7l4wRkHqqCUFNJY4AfY3kHU/edit?usp=sharing  #gid=0"",""фіз особи new!relations_name""),6,FALSE)
,
(IF
(
C13207=""юридична особа""
,
VLOO"&amp;"KUP(D13207,IMPORTRANGE(""https://docs.google.com/spreadsheets/d/14Bd19lYaqBhU8_DElYkX7l4wRkHqqCUFNJY4AfY3kHU/edit?usp=sharing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6" s="7" t="s">
        <v>10</v>
      </c>
      <c r="H13206" s="7">
        <v>23653</v>
      </c>
      <c r="I13206" s="8" t="str">
        <f ca="1">IFERROR(__xludf.DUMMYFUNCTION("IF
(
G13207=""фізична особа""
,
VLOOKUP(H13207,IMPORTRANGE(""https://docs.google.com/spreadsheets/d/14Bd19lYaqBhU8_DElYkX7l4wRkHqqCUFNJY4AfY3kHU/edit?usp=sharing  #gid=0"",""фіз особи new!relations_name""),6,FALSE)
,
(IF
(
G13207=""юридична особа""
,
VLOO"&amp;"KUP(H13207,IMPORTRANGE(""https://docs.google.com/spreadsheets/d/14Bd19lYaqBhU8_DElYkX7l4wRkHqqCUFNJY4AfY3kHU/edit?usp=sharing  #gid=0"",""фіз особи new!relations_name_uo""),7,FALSE)
,
)
))"),"НАПАСКІНА Наталія Володимирівна")</f>
        <v>НАПАСКІНА Наталія Володимирівна</v>
      </c>
      <c r="J13206" s="7" t="s">
        <v>23</v>
      </c>
    </row>
    <row r="13207" spans="1:10" ht="13.2">
      <c r="A13207" s="7">
        <v>13206</v>
      </c>
      <c r="B13207" s="7">
        <v>1</v>
      </c>
      <c r="C13207" s="7" t="s">
        <v>10</v>
      </c>
      <c r="D13207" s="7">
        <v>18385</v>
      </c>
      <c r="E13207" s="7" t="s">
        <v>23</v>
      </c>
      <c r="F13207" s="8" t="str">
        <f ca="1">IFERROR(__xludf.DUMMYFUNCTION("IF
(
C13208=""фізична особа""
,
VLOOKUP(D13208,IMPORTRANGE(""https://docs.google.com/spreadsheets/d/14Bd19lYaqBhU8_DElYkX7l4wRkHqqCUFNJY4AfY3kHU/edit?usp=sharing  #gid=0"",""фіз особи new!relations_name""),6,FALSE)
,
(IF
(
C13208=""юридична особа""
,
VLOO"&amp;"KUP(D13208,IMPORTRANGE(""https://docs.google.com/spreadsheets/d/14Bd19lYaqBhU8_DElYkX7l4wRkHqqCUFNJY4AfY3kHU/edit?usp=sharing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7" s="7" t="s">
        <v>10</v>
      </c>
      <c r="H13207" s="7">
        <v>0</v>
      </c>
      <c r="I13207" s="8" t="str">
        <f ca="1">IFERROR(__xludf.DUMMYFUNCTION("IF
(
G13208=""фізична особа""
,
VLOOKUP(H13208,IMPORTRANGE(""https://docs.google.com/spreadsheets/d/14Bd19lYaqBhU8_DElYkX7l4wRkHqqCUFNJY4AfY3kHU/edit?usp=sharing  #gid=0"",""фіз особи new!relations_name""),6,FALSE)
,
(IF
(
G13208=""юридична особа""
,
VLOO"&amp;"KUP(H13208,IMPORTRANGE(""https://docs.google.com/spreadsheets/d/14Bd19lYaqBhU8_DElYkX7l4wRkHqqCUFNJY4AfY3kHU/edit?usp=sharing  #gid=0"",""фіз особи new!relations_name_uo""),7,FALSE)
,
)
))"),"#N/A")</f>
        <v>#N/A</v>
      </c>
      <c r="J13207" s="7" t="s">
        <v>23</v>
      </c>
    </row>
    <row r="13208" spans="1:10" ht="13.2">
      <c r="A13208" s="7">
        <v>13207</v>
      </c>
      <c r="B13208" s="7">
        <v>1</v>
      </c>
      <c r="C13208" s="7" t="s">
        <v>10</v>
      </c>
      <c r="D13208" s="7">
        <v>18385</v>
      </c>
      <c r="E13208" s="7" t="s">
        <v>23</v>
      </c>
      <c r="F13208" s="8" t="str">
        <f ca="1">IFERROR(__xludf.DUMMYFUNCTION("IF
(
C13209=""фізична особа""
,
VLOOKUP(D13209,IMPORTRANGE(""https://docs.google.com/spreadsheets/d/14Bd19lYaqBhU8_DElYkX7l4wRkHqqCUFNJY4AfY3kHU/edit?usp=sharing  #gid=0"",""фіз особи new!relations_name""),6,FALSE)
,
(IF
(
C13209=""юридична особа""
,
VLOO"&amp;"KUP(D13209,IMPORTRANGE(""https://docs.google.com/spreadsheets/d/14Bd19lYaqBhU8_DElYkX7l4wRkHqqCUFNJY4AfY3kHU/edit?usp=sharing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8" s="7" t="s">
        <v>10</v>
      </c>
      <c r="H13208" s="7">
        <v>23652</v>
      </c>
      <c r="I13208" s="8" t="str">
        <f ca="1">IFERROR(__xludf.DUMMYFUNCTION("IF
(
G13209=""фізична особа""
,
VLOOKUP(H13209,IMPORTRANGE(""https://docs.google.com/spreadsheets/d/14Bd19lYaqBhU8_DElYkX7l4wRkHqqCUFNJY4AfY3kHU/edit?usp=sharing  #gid=0"",""фіз особи new!relations_name""),6,FALSE)
,
(IF
(
G13209=""юридична особа""
,
VLOO"&amp;"KUP(H13209,IMPORTRANGE(""https://docs.google.com/spreadsheets/d/14Bd19lYaqBhU8_DElYkX7l4wRkHqqCUFNJY4AfY3kHU/edit?usp=sharing  #gid=0"",""фіз особи new!relations_name_uo""),7,FALSE)
,
)
))"),"АГАНОВА Наталія Андріївна")</f>
        <v>АГАНОВА Наталія Андріївна</v>
      </c>
      <c r="J13208" s="7" t="s">
        <v>23</v>
      </c>
    </row>
    <row r="13209" spans="1:10" ht="13.2">
      <c r="A13209" s="7">
        <v>13208</v>
      </c>
      <c r="B13209" s="7">
        <v>1</v>
      </c>
      <c r="C13209" s="7" t="s">
        <v>10</v>
      </c>
      <c r="D13209" s="7">
        <v>18385</v>
      </c>
      <c r="E13209" s="7" t="s">
        <v>23</v>
      </c>
      <c r="F13209" s="8" t="str">
        <f ca="1">IFERROR(__xludf.DUMMYFUNCTION("IF
(
C13210=""фізична особа""
,
VLOOKUP(D13210,IMPORTRANGE(""https://docs.google.com/spreadsheets/d/14Bd19lYaqBhU8_DElYkX7l4wRkHqqCUFNJY4AfY3kHU/edit?usp=sharing  #gid=0"",""фіз особи new!relations_name""),6,FALSE)
,
(IF
(
C13210=""юридична особа""
,
VLOO"&amp;"KUP(D13210,IMPORTRANGE(""https://docs.google.com/spreadsheets/d/14Bd19lYaqBhU8_DElYkX7l4wRkHqqCUFNJY4AfY3kHU/edit?usp=sharing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09" s="7" t="s">
        <v>10</v>
      </c>
      <c r="H13209" s="7">
        <v>0</v>
      </c>
      <c r="I13209" s="8" t="str">
        <f ca="1">IFERROR(__xludf.DUMMYFUNCTION("IF
(
G13210=""фізична особа""
,
VLOOKUP(H13210,IMPORTRANGE(""https://docs.google.com/spreadsheets/d/14Bd19lYaqBhU8_DElYkX7l4wRkHqqCUFNJY4AfY3kHU/edit?usp=sharing  #gid=0"",""фіз особи new!relations_name""),6,FALSE)
,
(IF
(
G13210=""юридична особа""
,
VLOO"&amp;"KUP(H13210,IMPORTRANGE(""https://docs.google.com/spreadsheets/d/14Bd19lYaqBhU8_DElYkX7l4wRkHqqCUFNJY4AfY3kHU/edit?usp=sharing  #gid=0"",""фіз особи new!relations_name_uo""),7,FALSE)
,
)
))"),"#N/A")</f>
        <v>#N/A</v>
      </c>
      <c r="J13209" s="7" t="s">
        <v>23</v>
      </c>
    </row>
    <row r="13210" spans="1:10" ht="13.2">
      <c r="A13210" s="7">
        <v>13209</v>
      </c>
      <c r="B13210" s="7">
        <v>1</v>
      </c>
      <c r="C13210" s="7" t="s">
        <v>10</v>
      </c>
      <c r="D13210" s="7">
        <v>18385</v>
      </c>
      <c r="E13210" s="7" t="s">
        <v>23</v>
      </c>
      <c r="F13210" s="8" t="str">
        <f ca="1">IFERROR(__xludf.DUMMYFUNCTION("IF
(
C13211=""фізична особа""
,
VLOOKUP(D13211,IMPORTRANGE(""https://docs.google.com/spreadsheets/d/14Bd19lYaqBhU8_DElYkX7l4wRkHqqCUFNJY4AfY3kHU/edit?usp=sharing  #gid=0"",""фіз особи new!relations_name""),6,FALSE)
,
(IF
(
C13211=""юридична особа""
,
VLOO"&amp;"KUP(D13211,IMPORTRANGE(""https://docs.google.com/spreadsheets/d/14Bd19lYaqBhU8_DElYkX7l4wRkHqqCUFNJY4AfY3kHU/edit?usp=sharing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10" s="7" t="s">
        <v>10</v>
      </c>
      <c r="H13210" s="7">
        <v>0</v>
      </c>
      <c r="I13210" s="8" t="str">
        <f ca="1">IFERROR(__xludf.DUMMYFUNCTION("IF
(
G13211=""фізична особа""
,
VLOOKUP(H13211,IMPORTRANGE(""https://docs.google.com/spreadsheets/d/14Bd19lYaqBhU8_DElYkX7l4wRkHqqCUFNJY4AfY3kHU/edit?usp=sharing  #gid=0"",""фіз особи new!relations_name""),6,FALSE)
,
(IF
(
G13211=""юридична особа""
,
VLOO"&amp;"KUP(H13211,IMPORTRANGE(""https://docs.google.com/spreadsheets/d/14Bd19lYaqBhU8_DElYkX7l4wRkHqqCUFNJY4AfY3kHU/edit?usp=sharing  #gid=0"",""фіз особи new!relations_name_uo""),7,FALSE)
,
)
))"),"#N/A")</f>
        <v>#N/A</v>
      </c>
      <c r="J13210" s="7" t="s">
        <v>23</v>
      </c>
    </row>
    <row r="13211" spans="1:10" ht="13.2">
      <c r="A13211" s="7">
        <v>13210</v>
      </c>
      <c r="B13211" s="7">
        <v>1</v>
      </c>
      <c r="C13211" s="7" t="s">
        <v>10</v>
      </c>
      <c r="D13211" s="7">
        <v>18385</v>
      </c>
      <c r="E13211" s="7" t="s">
        <v>23</v>
      </c>
      <c r="F13211" s="8" t="str">
        <f ca="1">IFERROR(__xludf.DUMMYFUNCTION("IF
(
C13212=""фізична особа""
,
VLOOKUP(D13212,IMPORTRANGE(""https://docs.google.com/spreadsheets/d/14Bd19lYaqBhU8_DElYkX7l4wRkHqqCUFNJY4AfY3kHU/edit?usp=sharing  #gid=0"",""фіз особи new!relations_name""),6,FALSE)
,
(IF
(
C13212=""юридична особа""
,
VLOO"&amp;"KUP(D13212,IMPORTRANGE(""https://docs.google.com/spreadsheets/d/14Bd19lYaqBhU8_DElYkX7l4wRkHqqCUFNJY4AfY3kHU/edit?usp=sharing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11" s="7" t="s">
        <v>10</v>
      </c>
      <c r="H13211" s="7">
        <v>18388</v>
      </c>
      <c r="I13211" s="8" t="str">
        <f ca="1">IFERROR(__xludf.DUMMYFUNCTION("IF
(
G13212=""фізична особа""
,
VLOOKUP(H13212,IMPORTRANGE(""https://docs.google.com/spreadsheets/d/14Bd19lYaqBhU8_DElYkX7l4wRkHqqCUFNJY4AfY3kHU/edit?usp=sharing  #gid=0"",""фіз особи new!relations_name""),6,FALSE)
,
(IF
(
G13212=""юридична особа""
,
VLOO"&amp;"KUP(H13212,IMPORTRANGE(""https://docs.google.com/spreadsheets/d/14Bd19lYaqBhU8_DElYkX7l4wRkHqqCUFNJY4AfY3kHU/edit?usp=sharing  #gid=0"",""фіз особи new!relations_name_uo""),7,FALSE)
,
)
))"),"СТАСЮК Олександр Петрович")</f>
        <v>СТАСЮК Олександр Петрович</v>
      </c>
      <c r="J13211" s="7" t="s">
        <v>23</v>
      </c>
    </row>
    <row r="13212" spans="1:10" ht="13.2">
      <c r="A13212" s="7">
        <v>13211</v>
      </c>
      <c r="B13212" s="7">
        <v>1</v>
      </c>
      <c r="C13212" s="7" t="s">
        <v>10</v>
      </c>
      <c r="D13212" s="7">
        <v>18385</v>
      </c>
      <c r="E13212" s="7" t="s">
        <v>23</v>
      </c>
      <c r="F13212" s="8" t="str">
        <f ca="1">IFERROR(__xludf.DUMMYFUNCTION("IF
(
C13213=""фізична особа""
,
VLOOKUP(D13213,IMPORTRANGE(""https://docs.google.com/spreadsheets/d/14Bd19lYaqBhU8_DElYkX7l4wRkHqqCUFNJY4AfY3kHU/edit?usp=sharing  #gid=0"",""фіз особи new!relations_name""),6,FALSE)
,
(IF
(
C13213=""юридична особа""
,
VLOO"&amp;"KUP(D13213,IMPORTRANGE(""https://docs.google.com/spreadsheets/d/14Bd19lYaqBhU8_DElYkX7l4wRkHqqCUFNJY4AfY3kHU/edit?usp=sharing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12" s="7" t="s">
        <v>10</v>
      </c>
      <c r="H13212" s="7">
        <v>23656</v>
      </c>
      <c r="I13212" s="8" t="str">
        <f ca="1">IFERROR(__xludf.DUMMYFUNCTION("IF
(
G13213=""фізична особа""
,
VLOOKUP(H13213,IMPORTRANGE(""https://docs.google.com/spreadsheets/d/14Bd19lYaqBhU8_DElYkX7l4wRkHqqCUFNJY4AfY3kHU/edit?usp=sharing  #gid=0"",""фіз особи new!relations_name""),6,FALSE)
,
(IF
(
G13213=""юридична особа""
,
VLOO"&amp;"KUP(H13213,IMPORTRANGE(""https://docs.google.com/spreadsheets/d/14Bd19lYaqBhU8_DElYkX7l4wRkHqqCUFNJY4AfY3kHU/edit?usp=sharing  #gid=0"",""фіз особи new!relations_name_uo""),7,FALSE)
,
)
))"),"ОВЧИННІКОВА Ірина Миколаївна")</f>
        <v>ОВЧИННІКОВА Ірина Миколаївна</v>
      </c>
      <c r="J13212" s="7" t="s">
        <v>23</v>
      </c>
    </row>
    <row r="13213" spans="1:10" ht="13.2">
      <c r="A13213" s="7">
        <v>13212</v>
      </c>
      <c r="B13213" s="7">
        <v>1</v>
      </c>
      <c r="C13213" s="7" t="s">
        <v>10</v>
      </c>
      <c r="D13213" s="7">
        <v>18385</v>
      </c>
      <c r="E13213" s="7" t="s">
        <v>23</v>
      </c>
      <c r="F13213" s="8" t="str">
        <f ca="1">IFERROR(__xludf.DUMMYFUNCTION("IF
(
C13214=""фізична особа""
,
VLOOKUP(D13214,IMPORTRANGE(""https://docs.google.com/spreadsheets/d/14Bd19lYaqBhU8_DElYkX7l4wRkHqqCUFNJY4AfY3kHU/edit?usp=sharing  #gid=0"",""фіз особи new!relations_name""),6,FALSE)
,
(IF
(
C13214=""юридична особа""
,
VLOO"&amp;"KUP(D13214,IMPORTRANGE(""https://docs.google.com/spreadsheets/d/14Bd19lYaqBhU8_DElYkX7l4wRkHqqCUFNJY4AfY3kHU/edit?usp=sharing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13" s="7" t="s">
        <v>10</v>
      </c>
      <c r="H13213" s="7">
        <v>0</v>
      </c>
      <c r="I13213" s="8" t="str">
        <f ca="1">IFERROR(__xludf.DUMMYFUNCTION("IF
(
G13214=""фізична особа""
,
VLOOKUP(H13214,IMPORTRANGE(""https://docs.google.com/spreadsheets/d/14Bd19lYaqBhU8_DElYkX7l4wRkHqqCUFNJY4AfY3kHU/edit?usp=sharing  #gid=0"",""фіз особи new!relations_name""),6,FALSE)
,
(IF
(
G13214=""юридична особа""
,
VLOO"&amp;"KUP(H13214,IMPORTRANGE(""https://docs.google.com/spreadsheets/d/14Bd19lYaqBhU8_DElYkX7l4wRkHqqCUFNJY4AfY3kHU/edit?usp=sharing  #gid=0"",""фіз особи new!relations_name_uo""),7,FALSE)
,
)
))"),"#N/A")</f>
        <v>#N/A</v>
      </c>
      <c r="J13213" s="7" t="s">
        <v>23</v>
      </c>
    </row>
    <row r="13214" spans="1:10" ht="13.2">
      <c r="A13214" s="7">
        <v>13213</v>
      </c>
      <c r="B13214" s="7">
        <v>1</v>
      </c>
      <c r="C13214" s="7" t="s">
        <v>10</v>
      </c>
      <c r="D13214" s="7">
        <v>18385</v>
      </c>
      <c r="E13214" s="7" t="s">
        <v>23</v>
      </c>
      <c r="F13214" s="8" t="str">
        <f ca="1">IFERROR(__xludf.DUMMYFUNCTION("IF
(
C13215=""фізична особа""
,
VLOOKUP(D13215,IMPORTRANGE(""https://docs.google.com/spreadsheets/d/14Bd19lYaqBhU8_DElYkX7l4wRkHqqCUFNJY4AfY3kHU/edit?usp=sharing  #gid=0"",""фіз особи new!relations_name""),6,FALSE)
,
(IF
(
C13215=""юридична особа""
,
VLOO"&amp;"KUP(D13215,IMPORTRANGE(""https://docs.google.com/spreadsheets/d/14Bd19lYaqBhU8_DElYkX7l4wRkHqqCUFNJY4AfY3kHU/edit?usp=sharing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G13214" s="7" t="s">
        <v>10</v>
      </c>
      <c r="H13214" s="7">
        <v>18387</v>
      </c>
      <c r="I13214" s="8" t="str">
        <f ca="1">IFERROR(__xludf.DUMMYFUNCTION("IF
(
G13215=""фізична особа""
,
VLOOKUP(H13215,IMPORTRANGE(""https://docs.google.com/spreadsheets/d/14Bd19lYaqBhU8_DElYkX7l4wRkHqqCUFNJY4AfY3kHU/edit?usp=sharing  #gid=0"",""фіз особи new!relations_name""),6,FALSE)
,
(IF
(
G13215=""юридична особа""
,
VLOO"&amp;"KUP(H13215,IMPORTRANGE(""https://docs.google.com/spreadsheets/d/14Bd19lYaqBhU8_DElYkX7l4wRkHqqCUFNJY4AfY3kHU/edit?usp=sharing  #gid=0"",""фіз особи new!relations_name_uo""),7,FALSE)
,
)
))"),"КОЛОМЛІН Валерій Федорович")</f>
        <v>КОЛОМЛІН Валерій Федорович</v>
      </c>
      <c r="J13214" s="7" t="s">
        <v>23</v>
      </c>
    </row>
    <row r="13215" spans="1:10" ht="13.2">
      <c r="A13215" s="7">
        <v>13214</v>
      </c>
      <c r="B13215" s="7">
        <v>1</v>
      </c>
      <c r="C13215" s="7" t="s">
        <v>10</v>
      </c>
      <c r="D13215" s="7">
        <v>18386</v>
      </c>
      <c r="E13215" s="7" t="s">
        <v>23</v>
      </c>
      <c r="F13215" s="8" t="str">
        <f ca="1">IFERROR(__xludf.DUMMYFUNCTION("IF
(
C13216=""фізична особа""
,
VLOOKUP(D13216,IMPORTRANGE(""https://docs.google.com/spreadsheets/d/14Bd19lYaqBhU8_DElYkX7l4wRkHqqCUFNJY4AfY3kHU/edit?usp=sharing  #gid=0"",""фіз особи new!relations_name""),6,FALSE)
,
(IF
(
C13216=""юридична особа""
,
VLOO"&amp;"KUP(D13216,IMPORTRANGE(""https://docs.google.com/spreadsheets/d/14Bd19lYaqBhU8_DElYkX7l4wRkHqqCUFNJY4AfY3kHU/edit?usp=sharing  #gid=0"",""фіз особи new!relations_name_uo""),7,FALSE)
,
)
))"),"РАЗІН Олександр Федорович")</f>
        <v>РАЗІН Олександр Федорович</v>
      </c>
      <c r="G13215" s="7" t="s">
        <v>10</v>
      </c>
      <c r="H13215" s="7">
        <v>18383</v>
      </c>
      <c r="I13215" s="8" t="str">
        <f ca="1">IFERROR(__xludf.DUMMYFUNCTION("IF
(
G13216=""фізична особа""
,
VLOOKUP(H13216,IMPORTRANGE(""https://docs.google.com/spreadsheets/d/14Bd19lYaqBhU8_DElYkX7l4wRkHqqCUFNJY4AfY3kHU/edit?usp=sharing  #gid=0"",""фіз особи new!relations_name""),6,FALSE)
,
(IF
(
G13216=""юридична особа""
,
VLOO"&amp;"KUP(H13216,IMPORTRANGE(""https://docs.google.com/spreadsheets/d/14Bd19lYaqBhU8_DElYkX7l4wRkHqqCUFNJY4AfY3kHU/edit?usp=sharing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215" s="7" t="s">
        <v>23</v>
      </c>
    </row>
    <row r="13216" spans="1:10" ht="13.2">
      <c r="A13216" s="7">
        <v>13215</v>
      </c>
      <c r="B13216" s="7">
        <v>1</v>
      </c>
      <c r="C13216" s="7" t="s">
        <v>10</v>
      </c>
      <c r="D13216" s="7">
        <v>18386</v>
      </c>
      <c r="E13216" s="7" t="s">
        <v>23</v>
      </c>
      <c r="F13216" s="8" t="str">
        <f ca="1">IFERROR(__xludf.DUMMYFUNCTION("IF
(
C13217=""фізична особа""
,
VLOOKUP(D13217,IMPORTRANGE(""https://docs.google.com/spreadsheets/d/14Bd19lYaqBhU8_DElYkX7l4wRkHqqCUFNJY4AfY3kHU/edit?usp=sharing  #gid=0"",""фіз особи new!relations_name""),6,FALSE)
,
(IF
(
C13217=""юридична особа""
,
VLOO"&amp;"KUP(D13217,IMPORTRANGE(""https://docs.google.com/spreadsheets/d/14Bd19lYaqBhU8_DElYkX7l4wRkHqqCUFNJY4AfY3kHU/edit?usp=sharing  #gid=0"",""фіз особи new!relations_name_uo""),7,FALSE)
,
)
))"),"РАЗІН Олександр Федорович")</f>
        <v>РАЗІН Олександр Федорович</v>
      </c>
      <c r="G13216" s="7" t="s">
        <v>10</v>
      </c>
      <c r="H13216" s="7">
        <v>18384</v>
      </c>
      <c r="I13216" s="8" t="str">
        <f ca="1">IFERROR(__xludf.DUMMYFUNCTION("IF
(
G13217=""фізична особа""
,
VLOOKUP(H13217,IMPORTRANGE(""https://docs.google.com/spreadsheets/d/14Bd19lYaqBhU8_DElYkX7l4wRkHqqCUFNJY4AfY3kHU/edit?usp=sharing  #gid=0"",""фіз особи new!relations_name""),6,FALSE)
,
(IF
(
G13217=""юридична особа""
,
VLOO"&amp;"KUP(H13217,IMPORTRANGE(""https://docs.google.com/spreadsheets/d/14Bd19lYaqBhU8_DElYkX7l4wRkHqqCUFNJY4AfY3kHU/edit?usp=sharing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16" s="7" t="s">
        <v>23</v>
      </c>
    </row>
    <row r="13217" spans="1:10" ht="13.2">
      <c r="A13217" s="7">
        <v>13216</v>
      </c>
      <c r="B13217" s="7">
        <v>1</v>
      </c>
      <c r="C13217" s="7" t="s">
        <v>10</v>
      </c>
      <c r="D13217" s="7">
        <v>18386</v>
      </c>
      <c r="E13217" s="7" t="s">
        <v>23</v>
      </c>
      <c r="F13217" s="8" t="str">
        <f ca="1">IFERROR(__xludf.DUMMYFUNCTION("IF
(
C13218=""фізична особа""
,
VLOOKUP(D13218,IMPORTRANGE(""https://docs.google.com/spreadsheets/d/14Bd19lYaqBhU8_DElYkX7l4wRkHqqCUFNJY4AfY3kHU/edit?usp=sharing  #gid=0"",""фіз особи new!relations_name""),6,FALSE)
,
(IF
(
C13218=""юридична особа""
,
VLOO"&amp;"KUP(D13218,IMPORTRANGE(""https://docs.google.com/spreadsheets/d/14Bd19lYaqBhU8_DElYkX7l4wRkHqqCUFNJY4AfY3kHU/edit?usp=sharing  #gid=0"",""фіз особи new!relations_name_uo""),7,FALSE)
,
)
))"),"РАЗІН Олександр Федорович")</f>
        <v>РАЗІН Олександр Федорович</v>
      </c>
      <c r="G13217" s="7" t="s">
        <v>10</v>
      </c>
      <c r="H13217" s="7">
        <v>18385</v>
      </c>
      <c r="I13217" s="8" t="str">
        <f ca="1">IFERROR(__xludf.DUMMYFUNCTION("IF
(
G13218=""фізична особа""
,
VLOOKUP(H13218,IMPORTRANGE(""https://docs.google.com/spreadsheets/d/14Bd19lYaqBhU8_DElYkX7l4wRkHqqCUFNJY4AfY3kHU/edit?usp=sharing  #gid=0"",""фіз особи new!relations_name""),6,FALSE)
,
(IF
(
G13218=""юридична особа""
,
VLOO"&amp;"KUP(H13218,IMPORTRANGE(""https://docs.google.com/spreadsheets/d/14Bd19lYaqBhU8_DElYkX7l4wRkHqqCUFNJY4AfY3kHU/edit?usp=sharing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217" s="7" t="s">
        <v>23</v>
      </c>
    </row>
    <row r="13218" spans="1:10" ht="13.2">
      <c r="A13218" s="7">
        <v>13217</v>
      </c>
      <c r="B13218" s="7">
        <v>1</v>
      </c>
      <c r="C13218" s="7" t="s">
        <v>10</v>
      </c>
      <c r="D13218" s="7">
        <v>18387</v>
      </c>
      <c r="E13218" s="7" t="s">
        <v>23</v>
      </c>
      <c r="F13218" s="8" t="str">
        <f ca="1">IFERROR(__xludf.DUMMYFUNCTION("IF
(
C13219=""фізична особа""
,
VLOOKUP(D13219,IMPORTRANGE(""https://docs.google.com/spreadsheets/d/14Bd19lYaqBhU8_DElYkX7l4wRkHqqCUFNJY4AfY3kHU/edit?usp=sharing  #gid=0"",""фіз особи new!relations_name""),6,FALSE)
,
(IF
(
C13219=""юридична особа""
,
VLOO"&amp;"KUP(D13219,IMPORTRANGE(""https://docs.google.com/spreadsheets/d/14Bd19lYaqBhU8_DElYkX7l4wRkHqqCUFNJY4AfY3kHU/edit?usp=sharing  #gid=0"",""фіз особи new!relations_name_uo""),7,FALSE)
,
)
))"),"КОЛОМЛІН Валерій Федорович")</f>
        <v>КОЛОМЛІН Валерій Федорович</v>
      </c>
      <c r="G13218" s="7" t="s">
        <v>10</v>
      </c>
      <c r="H13218" s="7">
        <v>18383</v>
      </c>
      <c r="I13218" s="8" t="str">
        <f ca="1">IFERROR(__xludf.DUMMYFUNCTION("IF
(
G13219=""фізична особа""
,
VLOOKUP(H13219,IMPORTRANGE(""https://docs.google.com/spreadsheets/d/14Bd19lYaqBhU8_DElYkX7l4wRkHqqCUFNJY4AfY3kHU/edit?usp=sharing  #gid=0"",""фіз особи new!relations_name""),6,FALSE)
,
(IF
(
G13219=""юридична особа""
,
VLOO"&amp;"KUP(H13219,IMPORTRANGE(""https://docs.google.com/spreadsheets/d/14Bd19lYaqBhU8_DElYkX7l4wRkHqqCUFNJY4AfY3kHU/edit?usp=sharing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218" s="7" t="s">
        <v>23</v>
      </c>
    </row>
    <row r="13219" spans="1:10" ht="13.2">
      <c r="A13219" s="7">
        <v>13218</v>
      </c>
      <c r="B13219" s="7">
        <v>1</v>
      </c>
      <c r="C13219" s="7" t="s">
        <v>10</v>
      </c>
      <c r="D13219" s="7">
        <v>18387</v>
      </c>
      <c r="E13219" s="7" t="s">
        <v>23</v>
      </c>
      <c r="F13219" s="8" t="str">
        <f ca="1">IFERROR(__xludf.DUMMYFUNCTION("IF
(
C13220=""фізична особа""
,
VLOOKUP(D13220,IMPORTRANGE(""https://docs.google.com/spreadsheets/d/14Bd19lYaqBhU8_DElYkX7l4wRkHqqCUFNJY4AfY3kHU/edit?usp=sharing  #gid=0"",""фіз особи new!relations_name""),6,FALSE)
,
(IF
(
C13220=""юридична особа""
,
VLOO"&amp;"KUP(D13220,IMPORTRANGE(""https://docs.google.com/spreadsheets/d/14Bd19lYaqBhU8_DElYkX7l4wRkHqqCUFNJY4AfY3kHU/edit?usp=sharing  #gid=0"",""фіз особи new!relations_name_uo""),7,FALSE)
,
)
))"),"КОЛОМЛІН Валерій Федорович")</f>
        <v>КОЛОМЛІН Валерій Федорович</v>
      </c>
      <c r="G13219" s="7" t="s">
        <v>10</v>
      </c>
      <c r="H13219" s="7">
        <v>18384</v>
      </c>
      <c r="I13219" s="8" t="str">
        <f ca="1">IFERROR(__xludf.DUMMYFUNCTION("IF
(
G13220=""фізична особа""
,
VLOOKUP(H13220,IMPORTRANGE(""https://docs.google.com/spreadsheets/d/14Bd19lYaqBhU8_DElYkX7l4wRkHqqCUFNJY4AfY3kHU/edit?usp=sharing  #gid=0"",""фіз особи new!relations_name""),6,FALSE)
,
(IF
(
G13220=""юридична особа""
,
VLOO"&amp;"KUP(H13220,IMPORTRANGE(""https://docs.google.com/spreadsheets/d/14Bd19lYaqBhU8_DElYkX7l4wRkHqqCUFNJY4AfY3kHU/edit?usp=sharing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19" s="7" t="s">
        <v>23</v>
      </c>
    </row>
    <row r="13220" spans="1:10" ht="13.2">
      <c r="A13220" s="7">
        <v>13219</v>
      </c>
      <c r="B13220" s="7">
        <v>1</v>
      </c>
      <c r="C13220" s="7" t="s">
        <v>10</v>
      </c>
      <c r="D13220" s="7">
        <v>18387</v>
      </c>
      <c r="E13220" s="7" t="s">
        <v>23</v>
      </c>
      <c r="F13220" s="8" t="str">
        <f ca="1">IFERROR(__xludf.DUMMYFUNCTION("IF
(
C13221=""фізична особа""
,
VLOOKUP(D13221,IMPORTRANGE(""https://docs.google.com/spreadsheets/d/14Bd19lYaqBhU8_DElYkX7l4wRkHqqCUFNJY4AfY3kHU/edit?usp=sharing  #gid=0"",""фіз особи new!relations_name""),6,FALSE)
,
(IF
(
C13221=""юридична особа""
,
VLOO"&amp;"KUP(D13221,IMPORTRANGE(""https://docs.google.com/spreadsheets/d/14Bd19lYaqBhU8_DElYkX7l4wRkHqqCUFNJY4AfY3kHU/edit?usp=sharing  #gid=0"",""фіз особи new!relations_name_uo""),7,FALSE)
,
)
))"),"КОЛОМЛІН Валерій Федорович")</f>
        <v>КОЛОМЛІН Валерій Федорович</v>
      </c>
      <c r="G13220" s="7" t="s">
        <v>10</v>
      </c>
      <c r="H13220" s="7">
        <v>18385</v>
      </c>
      <c r="I13220" s="8" t="str">
        <f ca="1">IFERROR(__xludf.DUMMYFUNCTION("IF
(
G13221=""фізична особа""
,
VLOOKUP(H13221,IMPORTRANGE(""https://docs.google.com/spreadsheets/d/14Bd19lYaqBhU8_DElYkX7l4wRkHqqCUFNJY4AfY3kHU/edit?usp=sharing  #gid=0"",""фіз особи new!relations_name""),6,FALSE)
,
(IF
(
G13221=""юридична особа""
,
VLOO"&amp;"KUP(H13221,IMPORTRANGE(""https://docs.google.com/spreadsheets/d/14Bd19lYaqBhU8_DElYkX7l4wRkHqqCUFNJY4AfY3kHU/edit?usp=sharing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220" s="7" t="s">
        <v>23</v>
      </c>
    </row>
    <row r="13221" spans="1:10" ht="13.2">
      <c r="A13221" s="7">
        <v>13220</v>
      </c>
      <c r="B13221" s="7">
        <v>1</v>
      </c>
      <c r="C13221" s="7" t="s">
        <v>10</v>
      </c>
      <c r="D13221" s="7">
        <v>18388</v>
      </c>
      <c r="E13221" s="7" t="s">
        <v>23</v>
      </c>
      <c r="F13221" s="8" t="str">
        <f ca="1">IFERROR(__xludf.DUMMYFUNCTION("IF
(
C13222=""фізична особа""
,
VLOOKUP(D13222,IMPORTRANGE(""https://docs.google.com/spreadsheets/d/14Bd19lYaqBhU8_DElYkX7l4wRkHqqCUFNJY4AfY3kHU/edit?usp=sharing  #gid=0"",""фіз особи new!relations_name""),6,FALSE)
,
(IF
(
C13222=""юридична особа""
,
VLOO"&amp;"KUP(D13222,IMPORTRANGE(""https://docs.google.com/spreadsheets/d/14Bd19lYaqBhU8_DElYkX7l4wRkHqqCUFNJY4AfY3kHU/edit?usp=sharing  #gid=0"",""фіз особи new!relations_name_uo""),7,FALSE)
,
)
))"),"СТАСЮК Олександр Петрович")</f>
        <v>СТАСЮК Олександр Петрович</v>
      </c>
      <c r="G13221" s="7" t="s">
        <v>10</v>
      </c>
      <c r="H13221" s="7">
        <v>18383</v>
      </c>
      <c r="I13221" s="8" t="str">
        <f ca="1">IFERROR(__xludf.DUMMYFUNCTION("IF
(
G13222=""фізична особа""
,
VLOOKUP(H13222,IMPORTRANGE(""https://docs.google.com/spreadsheets/d/14Bd19lYaqBhU8_DElYkX7l4wRkHqqCUFNJY4AfY3kHU/edit?usp=sharing  #gid=0"",""фіз особи new!relations_name""),6,FALSE)
,
(IF
(
G13222=""юридична особа""
,
VLOO"&amp;"KUP(H13222,IMPORTRANGE(""https://docs.google.com/spreadsheets/d/14Bd19lYaqBhU8_DElYkX7l4wRkHqqCUFNJY4AfY3kHU/edit?usp=sharing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221" s="7" t="s">
        <v>23</v>
      </c>
    </row>
    <row r="13222" spans="1:10" ht="13.2">
      <c r="A13222" s="7">
        <v>13221</v>
      </c>
      <c r="B13222" s="7">
        <v>1</v>
      </c>
      <c r="C13222" s="7" t="s">
        <v>10</v>
      </c>
      <c r="D13222" s="7">
        <v>18388</v>
      </c>
      <c r="E13222" s="7" t="s">
        <v>23</v>
      </c>
      <c r="F13222" s="8" t="str">
        <f ca="1">IFERROR(__xludf.DUMMYFUNCTION("IF
(
C13223=""фізична особа""
,
VLOOKUP(D13223,IMPORTRANGE(""https://docs.google.com/spreadsheets/d/14Bd19lYaqBhU8_DElYkX7l4wRkHqqCUFNJY4AfY3kHU/edit?usp=sharing  #gid=0"",""фіз особи new!relations_name""),6,FALSE)
,
(IF
(
C13223=""юридична особа""
,
VLOO"&amp;"KUP(D13223,IMPORTRANGE(""https://docs.google.com/spreadsheets/d/14Bd19lYaqBhU8_DElYkX7l4wRkHqqCUFNJY4AfY3kHU/edit?usp=sharing  #gid=0"",""фіз особи new!relations_name_uo""),7,FALSE)
,
)
))"),"СТАСЮК Олександр Петрович")</f>
        <v>СТАСЮК Олександр Петрович</v>
      </c>
      <c r="G13222" s="7" t="s">
        <v>10</v>
      </c>
      <c r="H13222" s="7">
        <v>18384</v>
      </c>
      <c r="I13222" s="8" t="str">
        <f ca="1">IFERROR(__xludf.DUMMYFUNCTION("IF
(
G13223=""фізична особа""
,
VLOOKUP(H13223,IMPORTRANGE(""https://docs.google.com/spreadsheets/d/14Bd19lYaqBhU8_DElYkX7l4wRkHqqCUFNJY4AfY3kHU/edit?usp=sharing  #gid=0"",""фіз особи new!relations_name""),6,FALSE)
,
(IF
(
G13223=""юридична особа""
,
VLOO"&amp;"KUP(H13223,IMPORTRANGE(""https://docs.google.com/spreadsheets/d/14Bd19lYaqBhU8_DElYkX7l4wRkHqqCUFNJY4AfY3kHU/edit?usp=sharing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22" s="7" t="s">
        <v>23</v>
      </c>
    </row>
    <row r="13223" spans="1:10" ht="13.2">
      <c r="A13223" s="7">
        <v>13222</v>
      </c>
      <c r="B13223" s="7">
        <v>1</v>
      </c>
      <c r="C13223" s="7" t="s">
        <v>10</v>
      </c>
      <c r="D13223" s="7">
        <v>18388</v>
      </c>
      <c r="E13223" s="7" t="s">
        <v>23</v>
      </c>
      <c r="F13223" s="8" t="str">
        <f ca="1">IFERROR(__xludf.DUMMYFUNCTION("IF
(
C13224=""фізична особа""
,
VLOOKUP(D13224,IMPORTRANGE(""https://docs.google.com/spreadsheets/d/14Bd19lYaqBhU8_DElYkX7l4wRkHqqCUFNJY4AfY3kHU/edit?usp=sharing  #gid=0"",""фіз особи new!relations_name""),6,FALSE)
,
(IF
(
C13224=""юридична особа""
,
VLOO"&amp;"KUP(D13224,IMPORTRANGE(""https://docs.google.com/spreadsheets/d/14Bd19lYaqBhU8_DElYkX7l4wRkHqqCUFNJY4AfY3kHU/edit?usp=sharing  #gid=0"",""фіз особи new!relations_name_uo""),7,FALSE)
,
)
))"),"СТАСЮК Олександр Петрович")</f>
        <v>СТАСЮК Олександр Петрович</v>
      </c>
      <c r="G13223" s="7" t="s">
        <v>10</v>
      </c>
      <c r="H13223" s="7">
        <v>18385</v>
      </c>
      <c r="I13223" s="8" t="str">
        <f ca="1">IFERROR(__xludf.DUMMYFUNCTION("IF
(
G13224=""фізична особа""
,
VLOOKUP(H13224,IMPORTRANGE(""https://docs.google.com/spreadsheets/d/14Bd19lYaqBhU8_DElYkX7l4wRkHqqCUFNJY4AfY3kHU/edit?usp=sharing  #gid=0"",""фіз особи new!relations_name""),6,FALSE)
,
(IF
(
G13224=""юридична особа""
,
VLOO"&amp;"KUP(H13224,IMPORTRANGE(""https://docs.google.com/spreadsheets/d/14Bd19lYaqBhU8_DElYkX7l4wRkHqqCUFNJY4AfY3kHU/edit?usp=sharing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223" s="7" t="s">
        <v>23</v>
      </c>
    </row>
    <row r="13224" spans="1:10" ht="13.2">
      <c r="A13224" s="7">
        <v>13223</v>
      </c>
      <c r="B13224" s="7">
        <v>1</v>
      </c>
      <c r="C13224" s="7" t="s">
        <v>10</v>
      </c>
      <c r="D13224" s="7">
        <v>18389</v>
      </c>
      <c r="E13224" s="7" t="s">
        <v>23</v>
      </c>
      <c r="F13224" s="8" t="str">
        <f ca="1">IFERROR(__xludf.DUMMYFUNCTION("IF
(
C13225=""фізична особа""
,
VLOOKUP(D13225,IMPORTRANGE(""https://docs.google.com/spreadsheets/d/14Bd19lYaqBhU8_DElYkX7l4wRkHqqCUFNJY4AfY3kHU/edit?usp=sharing  #gid=0"",""фіз особи new!relations_name""),6,FALSE)
,
(IF
(
C13225=""юридична особа""
,
VLOO"&amp;"KUP(D13225,IMPORTRANGE(""https://docs.google.com/spreadsheets/d/14Bd19lYaqBhU8_DElYkX7l4wRkHqqCUFNJY4AfY3kHU/edit?usp=sharing  #gid=0"",""фіз особи new!relations_name_uo""),7,FALSE)
,
)
))"),"АЛЯБ'ЄВА Марина Миколаївна")</f>
        <v>АЛЯБ'ЄВА Марина Миколаївна</v>
      </c>
      <c r="G13224" s="7" t="s">
        <v>10</v>
      </c>
      <c r="H13224" s="7">
        <v>18383</v>
      </c>
      <c r="I13224" s="8" t="str">
        <f ca="1">IFERROR(__xludf.DUMMYFUNCTION("IF
(
G13225=""фізична особа""
,
VLOOKUP(H13225,IMPORTRANGE(""https://docs.google.com/spreadsheets/d/14Bd19lYaqBhU8_DElYkX7l4wRkHqqCUFNJY4AfY3kHU/edit?usp=sharing  #gid=0"",""фіз особи new!relations_name""),6,FALSE)
,
(IF
(
G13225=""юридична особа""
,
VLOO"&amp;"KUP(H13225,IMPORTRANGE(""https://docs.google.com/spreadsheets/d/14Bd19lYaqBhU8_DElYkX7l4wRkHqqCUFNJY4AfY3kHU/edit?usp=sharing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224" s="7" t="s">
        <v>23</v>
      </c>
    </row>
    <row r="13225" spans="1:10" ht="13.2">
      <c r="A13225" s="7">
        <v>13224</v>
      </c>
      <c r="B13225" s="7">
        <v>1</v>
      </c>
      <c r="C13225" s="7" t="s">
        <v>10</v>
      </c>
      <c r="D13225" s="7">
        <v>18389</v>
      </c>
      <c r="E13225" s="7" t="s">
        <v>23</v>
      </c>
      <c r="F13225" s="8" t="str">
        <f ca="1">IFERROR(__xludf.DUMMYFUNCTION("IF
(
C13226=""фізична особа""
,
VLOOKUP(D13226,IMPORTRANGE(""https://docs.google.com/spreadsheets/d/14Bd19lYaqBhU8_DElYkX7l4wRkHqqCUFNJY4AfY3kHU/edit?usp=sharing  #gid=0"",""фіз особи new!relations_name""),6,FALSE)
,
(IF
(
C13226=""юридична особа""
,
VLOO"&amp;"KUP(D13226,IMPORTRANGE(""https://docs.google.com/spreadsheets/d/14Bd19lYaqBhU8_DElYkX7l4wRkHqqCUFNJY4AfY3kHU/edit?usp=sharing  #gid=0"",""фіз особи new!relations_name_uo""),7,FALSE)
,
)
))"),"АЛЯБ'ЄВА Марина Миколаївна")</f>
        <v>АЛЯБ'ЄВА Марина Миколаївна</v>
      </c>
      <c r="G13225" s="7" t="s">
        <v>10</v>
      </c>
      <c r="H13225" s="7">
        <v>18384</v>
      </c>
      <c r="I13225" s="8" t="str">
        <f ca="1">IFERROR(__xludf.DUMMYFUNCTION("IF
(
G13226=""фізична особа""
,
VLOOKUP(H13226,IMPORTRANGE(""https://docs.google.com/spreadsheets/d/14Bd19lYaqBhU8_DElYkX7l4wRkHqqCUFNJY4AfY3kHU/edit?usp=sharing  #gid=0"",""фіз особи new!relations_name""),6,FALSE)
,
(IF
(
G13226=""юридична особа""
,
VLOO"&amp;"KUP(H13226,IMPORTRANGE(""https://docs.google.com/spreadsheets/d/14Bd19lYaqBhU8_DElYkX7l4wRkHqqCUFNJY4AfY3kHU/edit?usp=sharing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25" s="7" t="s">
        <v>23</v>
      </c>
    </row>
    <row r="13226" spans="1:10" ht="13.2">
      <c r="A13226" s="7">
        <v>13225</v>
      </c>
      <c r="B13226" s="7">
        <v>1</v>
      </c>
      <c r="C13226" s="7" t="s">
        <v>10</v>
      </c>
      <c r="D13226" s="7">
        <v>18389</v>
      </c>
      <c r="E13226" s="7" t="s">
        <v>23</v>
      </c>
      <c r="F13226" s="8" t="str">
        <f ca="1">IFERROR(__xludf.DUMMYFUNCTION("IF
(
C13227=""фізична особа""
,
VLOOKUP(D13227,IMPORTRANGE(""https://docs.google.com/spreadsheets/d/14Bd19lYaqBhU8_DElYkX7l4wRkHqqCUFNJY4AfY3kHU/edit?usp=sharing  #gid=0"",""фіз особи new!relations_name""),6,FALSE)
,
(IF
(
C13227=""юридична особа""
,
VLOO"&amp;"KUP(D13227,IMPORTRANGE(""https://docs.google.com/spreadsheets/d/14Bd19lYaqBhU8_DElYkX7l4wRkHqqCUFNJY4AfY3kHU/edit?usp=sharing  #gid=0"",""фіз особи new!relations_name_uo""),7,FALSE)
,
)
))"),"АЛЯБ'ЄВА Марина Миколаївна")</f>
        <v>АЛЯБ'ЄВА Марина Миколаївна</v>
      </c>
      <c r="G13226" s="7" t="s">
        <v>10</v>
      </c>
      <c r="H13226" s="7">
        <v>18385</v>
      </c>
      <c r="I13226" s="8" t="str">
        <f ca="1">IFERROR(__xludf.DUMMYFUNCTION("IF
(
G13227=""фізична особа""
,
VLOOKUP(H13227,IMPORTRANGE(""https://docs.google.com/spreadsheets/d/14Bd19lYaqBhU8_DElYkX7l4wRkHqqCUFNJY4AfY3kHU/edit?usp=sharing  #gid=0"",""фіз особи new!relations_name""),6,FALSE)
,
(IF
(
G13227=""юридична особа""
,
VLOO"&amp;"KUP(H13227,IMPORTRANGE(""https://docs.google.com/spreadsheets/d/14Bd19lYaqBhU8_DElYkX7l4wRkHqqCUFNJY4AfY3kHU/edit?usp=sharing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226" s="7" t="s">
        <v>23</v>
      </c>
    </row>
    <row r="13227" spans="1:10" ht="13.2">
      <c r="A13227" s="7">
        <v>13226</v>
      </c>
      <c r="B13227" s="7">
        <v>1</v>
      </c>
      <c r="C13227" s="7" t="s">
        <v>10</v>
      </c>
      <c r="D13227" s="7">
        <v>18390</v>
      </c>
      <c r="E13227" s="7" t="s">
        <v>23</v>
      </c>
      <c r="F13227" s="8" t="str">
        <f ca="1">IFERROR(__xludf.DUMMYFUNCTION("IF
(
C13228=""фізична особа""
,
VLOOKUP(D13228,IMPORTRANGE(""https://docs.google.com/spreadsheets/d/14Bd19lYaqBhU8_DElYkX7l4wRkHqqCUFNJY4AfY3kHU/edit?usp=sharing  #gid=0"",""фіз особи new!relations_name""),6,FALSE)
,
(IF
(
C13228=""юридична особа""
,
VLOO"&amp;"KUP(D13228,IMPORTRANGE(""https://docs.google.com/spreadsheets/d/14Bd19lYaqBhU8_DElYkX7l4wRkHqqCUFNJY4AfY3kHU/edit?usp=sharing  #gid=0"",""фіз особи new!relations_name_uo""),7,FALSE)
,
)
))"),"ПЛИКІН Олександр Володимирович")</f>
        <v>ПЛИКІН Олександр Володимирович</v>
      </c>
      <c r="G13227" s="7" t="s">
        <v>10</v>
      </c>
      <c r="H13227" s="7">
        <v>18383</v>
      </c>
      <c r="I13227" s="8" t="str">
        <f ca="1">IFERROR(__xludf.DUMMYFUNCTION("IF
(
G13228=""фізична особа""
,
VLOOKUP(H13228,IMPORTRANGE(""https://docs.google.com/spreadsheets/d/14Bd19lYaqBhU8_DElYkX7l4wRkHqqCUFNJY4AfY3kHU/edit?usp=sharing  #gid=0"",""фіз особи new!relations_name""),6,FALSE)
,
(IF
(
G13228=""юридична особа""
,
VLOO"&amp;"KUP(H13228,IMPORTRANGE(""https://docs.google.com/spreadsheets/d/14Bd19lYaqBhU8_DElYkX7l4wRkHqqCUFNJY4AfY3kHU/edit?usp=sharing  #gid=0"",""фіз особи new!relations_name_uo""),7,FALSE)
,
)
))"),"КУМАНОВ Роман Олександрович")</f>
        <v>КУМАНОВ Роман Олександрович</v>
      </c>
      <c r="J13227" s="7" t="s">
        <v>23</v>
      </c>
    </row>
    <row r="13228" spans="1:10" ht="13.2">
      <c r="A13228" s="7">
        <v>13227</v>
      </c>
      <c r="B13228" s="7">
        <v>1</v>
      </c>
      <c r="C13228" s="7" t="s">
        <v>10</v>
      </c>
      <c r="D13228" s="7">
        <v>18390</v>
      </c>
      <c r="E13228" s="7" t="s">
        <v>23</v>
      </c>
      <c r="F13228" s="8" t="str">
        <f ca="1">IFERROR(__xludf.DUMMYFUNCTION("IF
(
C13229=""фізична особа""
,
VLOOKUP(D13229,IMPORTRANGE(""https://docs.google.com/spreadsheets/d/14Bd19lYaqBhU8_DElYkX7l4wRkHqqCUFNJY4AfY3kHU/edit?usp=sharing  #gid=0"",""фіз особи new!relations_name""),6,FALSE)
,
(IF
(
C13229=""юридична особа""
,
VLOO"&amp;"KUP(D13229,IMPORTRANGE(""https://docs.google.com/spreadsheets/d/14Bd19lYaqBhU8_DElYkX7l4wRkHqqCUFNJY4AfY3kHU/edit?usp=sharing  #gid=0"",""фіз особи new!relations_name_uo""),7,FALSE)
,
)
))"),"ПЛИКІН Олександр Володимирович")</f>
        <v>ПЛИКІН Олександр Володимирович</v>
      </c>
      <c r="G13228" s="7" t="s">
        <v>10</v>
      </c>
      <c r="H13228" s="7">
        <v>18384</v>
      </c>
      <c r="I13228" s="8" t="str">
        <f ca="1">IFERROR(__xludf.DUMMYFUNCTION("IF
(
G13229=""фізична особа""
,
VLOOKUP(H13229,IMPORTRANGE(""https://docs.google.com/spreadsheets/d/14Bd19lYaqBhU8_DElYkX7l4wRkHqqCUFNJY4AfY3kHU/edit?usp=sharing  #gid=0"",""фіз особи new!relations_name""),6,FALSE)
,
(IF
(
G13229=""юридична особа""
,
VLOO"&amp;"KUP(H13229,IMPORTRANGE(""https://docs.google.com/spreadsheets/d/14Bd19lYaqBhU8_DElYkX7l4wRkHqqCUFNJY4AfY3kHU/edit?usp=sharing  #gid=0"",""фіз особи new!relations_name_uo""),7,FALSE)
,
)
))"),"КАРЛОВ Олексій Володимирович")</f>
        <v>КАРЛОВ Олексій Володимирович</v>
      </c>
      <c r="J13228" s="7" t="s">
        <v>23</v>
      </c>
    </row>
    <row r="13229" spans="1:10" ht="13.2">
      <c r="A13229" s="7">
        <v>13228</v>
      </c>
      <c r="B13229" s="7">
        <v>1</v>
      </c>
      <c r="C13229" s="7" t="s">
        <v>10</v>
      </c>
      <c r="D13229" s="7">
        <v>18390</v>
      </c>
      <c r="E13229" s="7" t="s">
        <v>23</v>
      </c>
      <c r="F13229" s="8" t="str">
        <f ca="1">IFERROR(__xludf.DUMMYFUNCTION("IF
(
C13230=""фізична особа""
,
VLOOKUP(D13230,IMPORTRANGE(""https://docs.google.com/spreadsheets/d/14Bd19lYaqBhU8_DElYkX7l4wRkHqqCUFNJY4AfY3kHU/edit?usp=sharing  #gid=0"",""фіз особи new!relations_name""),6,FALSE)
,
(IF
(
C13230=""юридична особа""
,
VLOO"&amp;"KUP(D13230,IMPORTRANGE(""https://docs.google.com/spreadsheets/d/14Bd19lYaqBhU8_DElYkX7l4wRkHqqCUFNJY4AfY3kHU/edit?usp=sharing  #gid=0"",""фіз особи new!relations_name_uo""),7,FALSE)
,
)
))"),"ПЛИКІН Олександр Володимирович")</f>
        <v>ПЛИКІН Олександр Володимирович</v>
      </c>
      <c r="G13229" s="7" t="s">
        <v>10</v>
      </c>
      <c r="H13229" s="7">
        <v>18385</v>
      </c>
      <c r="I13229" s="8" t="str">
        <f ca="1">IFERROR(__xludf.DUMMYFUNCTION("IF
(
G13230=""фізична особа""
,
VLOOKUP(H13230,IMPORTRANGE(""https://docs.google.com/spreadsheets/d/14Bd19lYaqBhU8_DElYkX7l4wRkHqqCUFNJY4AfY3kHU/edit?usp=sharing  #gid=0"",""фіз особи new!relations_name""),6,FALSE)
,
(IF
(
G13230=""юридична особа""
,
VLOO"&amp;"KUP(H13230,IMPORTRANGE(""https://docs.google.com/spreadsheets/d/14Bd19lYaqBhU8_DElYkX7l4wRkHqqCUFNJY4AfY3kHU/edit?usp=sharing  #gid=0"",""фіз особи new!relations_name_uo""),7,FALSE)
,
)
))"),"ЛАЧКОВ Віталій Олександрович")</f>
        <v>ЛАЧКОВ Віталій Олександрович</v>
      </c>
      <c r="J13229" s="7" t="s">
        <v>23</v>
      </c>
    </row>
    <row r="13230" spans="1:10" ht="13.2">
      <c r="A13230" s="7">
        <v>13229</v>
      </c>
      <c r="B13230" s="7">
        <v>1</v>
      </c>
      <c r="C13230" s="7" t="s">
        <v>10</v>
      </c>
      <c r="D13230" s="7">
        <v>18393</v>
      </c>
      <c r="E13230" s="7" t="s">
        <v>12</v>
      </c>
      <c r="F13230" s="8" t="str">
        <f ca="1">IFERROR(__xludf.DUMMYFUNCTION("IF
(
C13231=""фізична особа""
,
VLOOKUP(D13231,IMPORTRANGE(""https://docs.google.com/spreadsheets/d/14Bd19lYaqBhU8_DElYkX7l4wRkHqqCUFNJY4AfY3kHU/edit?usp=sharing  #gid=0"",""фіз особи new!relations_name""),6,FALSE)
,
(IF
(
C13231=""юридична особа""
,
VLOO"&amp;"KUP(D13231,IMPORTRANGE(""https://docs.google.com/spreadsheets/d/14Bd19lYaqBhU8_DElYkX7l4wRkHqqCUFNJY4AfY3kHU/edit?usp=sharing  #gid=0"",""фіз особи new!relations_name_uo""),7,FALSE)
,
)
))"),"КАРАКАЄВ Борис Миколайович")</f>
        <v>КАРАКАЄВ Борис Миколайович</v>
      </c>
      <c r="G13230" s="7" t="s">
        <v>10</v>
      </c>
      <c r="H13230" s="7">
        <v>18395</v>
      </c>
      <c r="I13230" s="8" t="str">
        <f ca="1">IFERROR(__xludf.DUMMYFUNCTION("IF
(
G13231=""фізична особа""
,
VLOOKUP(H13231,IMPORTRANGE(""https://docs.google.com/spreadsheets/d/14Bd19lYaqBhU8_DElYkX7l4wRkHqqCUFNJY4AfY3kHU/edit?usp=sharing  #gid=0"",""фіз особи new!relations_name""),6,FALSE)
,
(IF
(
G13231=""юридична особа""
,
VLOO"&amp;"KUP(H13231,IMPORTRANGE(""https://docs.google.com/spreadsheets/d/14Bd19lYaqBhU8_DElYkX7l4wRkHqqCUFNJY4AfY3kHU/edit?usp=sharing  #gid=0"",""фіз особи new!relations_name_uo""),7,FALSE)
,
)
))"),"СОКОЛОВ Дмитро Іванович")</f>
        <v>СОКОЛОВ Дмитро Іванович</v>
      </c>
      <c r="J13230" s="7" t="s">
        <v>17</v>
      </c>
    </row>
    <row r="13231" spans="1:10" ht="13.2">
      <c r="A13231" s="7">
        <v>13230</v>
      </c>
      <c r="B13231" s="7">
        <v>1</v>
      </c>
      <c r="C13231" s="7" t="s">
        <v>10</v>
      </c>
      <c r="D13231" s="7">
        <v>18393</v>
      </c>
      <c r="E13231" s="7" t="s">
        <v>12</v>
      </c>
      <c r="F13231" s="8" t="str">
        <f ca="1">IFERROR(__xludf.DUMMYFUNCTION("IF
(
C13232=""фізична особа""
,
VLOOKUP(D13232,IMPORTRANGE(""https://docs.google.com/spreadsheets/d/14Bd19lYaqBhU8_DElYkX7l4wRkHqqCUFNJY4AfY3kHU/edit?usp=sharing  #gid=0"",""фіз особи new!relations_name""),6,FALSE)
,
(IF
(
C13232=""юридична особа""
,
VLOO"&amp;"KUP(D13232,IMPORTRANGE(""https://docs.google.com/spreadsheets/d/14Bd19lYaqBhU8_DElYkX7l4wRkHqqCUFNJY4AfY3kHU/edit?usp=sharing  #gid=0"",""фіз особи new!relations_name_uo""),7,FALSE)
,
)
))"),"КАРАКАЄВ Борис Миколайович")</f>
        <v>КАРАКАЄВ Борис Миколайович</v>
      </c>
      <c r="G13231" s="7" t="s">
        <v>10</v>
      </c>
      <c r="H13231" s="7">
        <v>18394</v>
      </c>
      <c r="I13231" s="8" t="str">
        <f ca="1">IFERROR(__xludf.DUMMYFUNCTION("IF
(
G13232=""фізична особа""
,
VLOOKUP(H13232,IMPORTRANGE(""https://docs.google.com/spreadsheets/d/14Bd19lYaqBhU8_DElYkX7l4wRkHqqCUFNJY4AfY3kHU/edit?usp=sharing  #gid=0"",""фіз особи new!relations_name""),6,FALSE)
,
(IF
(
G13232=""юридична особа""
,
VLOO"&amp;"KUP(H13232,IMPORTRANGE(""https://docs.google.com/spreadsheets/d/14Bd19lYaqBhU8_DElYkX7l4wRkHqqCUFNJY4AfY3kHU/edit?usp=sharing  #gid=0"",""фіз особи new!relations_name_uo""),7,FALSE)
,
)
))"),"ШУЛЬЦ Тетяна Борисівна")</f>
        <v>ШУЛЬЦ Тетяна Борисівна</v>
      </c>
      <c r="J13231" s="7" t="s">
        <v>13</v>
      </c>
    </row>
    <row r="13232" spans="1:10" ht="13.2">
      <c r="A13232" s="7">
        <v>13231</v>
      </c>
      <c r="B13232" s="7">
        <v>1</v>
      </c>
      <c r="C13232" s="7" t="s">
        <v>10</v>
      </c>
      <c r="D13232" s="7">
        <v>18394</v>
      </c>
      <c r="E13232" s="7" t="s">
        <v>31</v>
      </c>
      <c r="F13232" s="8" t="str">
        <f ca="1">IFERROR(__xludf.DUMMYFUNCTION("IF
(
C13233=""фізична особа""
,
VLOOKUP(D13233,IMPORTRANGE(""https://docs.google.com/spreadsheets/d/14Bd19lYaqBhU8_DElYkX7l4wRkHqqCUFNJY4AfY3kHU/edit?usp=sharing  #gid=0"",""фіз особи new!relations_name""),6,FALSE)
,
(IF
(
C13233=""юридична особа""
,
VLOO"&amp;"KUP(D13233,IMPORTRANGE(""https://docs.google.com/spreadsheets/d/14Bd19lYaqBhU8_DElYkX7l4wRkHqqCUFNJY4AfY3kHU/edit?usp=sharing  #gid=0"",""фіз особи new!relations_name_uo""),7,FALSE)
,
)
))"),"ШУЛЬЦ Тетяна Борисівна")</f>
        <v>ШУЛЬЦ Тетяна Борисівна</v>
      </c>
      <c r="G13232" s="7" t="s">
        <v>10</v>
      </c>
      <c r="H13232" s="7">
        <v>18395</v>
      </c>
      <c r="I13232" s="8" t="str">
        <f ca="1">IFERROR(__xludf.DUMMYFUNCTION("IF
(
G13233=""фізична особа""
,
VLOOKUP(H13233,IMPORTRANGE(""https://docs.google.com/spreadsheets/d/14Bd19lYaqBhU8_DElYkX7l4wRkHqqCUFNJY4AfY3kHU/edit?usp=sharing  #gid=0"",""фіз особи new!relations_name""),6,FALSE)
,
(IF
(
G13233=""юридична особа""
,
VLOO"&amp;"KUP(H13233,IMPORTRANGE(""https://docs.google.com/spreadsheets/d/14Bd19lYaqBhU8_DElYkX7l4wRkHqqCUFNJY4AfY3kHU/edit?usp=sharing  #gid=0"",""фіз особи new!relations_name_uo""),7,FALSE)
,
)
))"),"СОКОЛОВ Дмитро Іванович")</f>
        <v>СОКОЛОВ Дмитро Іванович</v>
      </c>
      <c r="J13232" s="7" t="s">
        <v>18</v>
      </c>
    </row>
    <row r="13233" spans="1:10" ht="13.2">
      <c r="A13233" s="7">
        <v>13232</v>
      </c>
      <c r="B13233" s="7">
        <v>1</v>
      </c>
      <c r="C13233" s="7" t="s">
        <v>10</v>
      </c>
      <c r="D13233" s="7">
        <v>18394</v>
      </c>
      <c r="E13233" s="7" t="s">
        <v>13</v>
      </c>
      <c r="F13233" s="8" t="str">
        <f ca="1">IFERROR(__xludf.DUMMYFUNCTION("IF
(
C13234=""фізична особа""
,
VLOOKUP(D13234,IMPORTRANGE(""https://docs.google.com/spreadsheets/d/14Bd19lYaqBhU8_DElYkX7l4wRkHqqCUFNJY4AfY3kHU/edit?usp=sharing  #gid=0"",""фіз особи new!relations_name""),6,FALSE)
,
(IF
(
C13234=""юридична особа""
,
VLOO"&amp;"KUP(D13234,IMPORTRANGE(""https://docs.google.com/spreadsheets/d/14Bd19lYaqBhU8_DElYkX7l4wRkHqqCUFNJY4AfY3kHU/edit?usp=sharing  #gid=0"",""фіз особи new!relations_name_uo""),7,FALSE)
,
)
))"),"ШУЛЬЦ Тетяна Борисівна")</f>
        <v>ШУЛЬЦ Тетяна Борисівна</v>
      </c>
      <c r="G13233" s="7" t="s">
        <v>10</v>
      </c>
      <c r="H13233" s="7">
        <v>18393</v>
      </c>
      <c r="I13233" s="8" t="str">
        <f ca="1">IFERROR(__xludf.DUMMYFUNCTION("IF
(
G13234=""фізична особа""
,
VLOOKUP(H13234,IMPORTRANGE(""https://docs.google.com/spreadsheets/d/14Bd19lYaqBhU8_DElYkX7l4wRkHqqCUFNJY4AfY3kHU/edit?usp=sharing  #gid=0"",""фіз особи new!relations_name""),6,FALSE)
,
(IF
(
G13234=""юридична особа""
,
VLOO"&amp;"KUP(H13234,IMPORTRANGE(""https://docs.google.com/spreadsheets/d/14Bd19lYaqBhU8_DElYkX7l4wRkHqqCUFNJY4AfY3kHU/edit?usp=sharing  #gid=0"",""фіз особи new!relations_name_uo""),7,FALSE)
,
)
))"),"КАРАКАЄВ Борис Миколайович")</f>
        <v>КАРАКАЄВ Борис Миколайович</v>
      </c>
      <c r="J13233" s="7" t="s">
        <v>12</v>
      </c>
    </row>
    <row r="13234" spans="1:10" ht="13.2">
      <c r="A13234" s="7">
        <v>13233</v>
      </c>
      <c r="B13234" s="7">
        <v>1</v>
      </c>
      <c r="C13234" s="7" t="s">
        <v>10</v>
      </c>
      <c r="D13234" s="7">
        <v>18395</v>
      </c>
      <c r="E13234" s="7" t="s">
        <v>18</v>
      </c>
      <c r="F13234" s="8" t="str">
        <f ca="1">IFERROR(__xludf.DUMMYFUNCTION("IF
(
C13235=""фізична особа""
,
VLOOKUP(D13235,IMPORTRANGE(""https://docs.google.com/spreadsheets/d/14Bd19lYaqBhU8_DElYkX7l4wRkHqqCUFNJY4AfY3kHU/edit?usp=sharing  #gid=0"",""фіз особи new!relations_name""),6,FALSE)
,
(IF
(
C13235=""юридична особа""
,
VLOO"&amp;"KUP(D13235,IMPORTRANGE(""https://docs.google.com/spreadsheets/d/14Bd19lYaqBhU8_DElYkX7l4wRkHqqCUFNJY4AfY3kHU/edit?usp=sharing  #gid=0"",""фіз особи new!relations_name_uo""),7,FALSE)
,
)
))"),"СОКОЛОВ Дмитро Іванович")</f>
        <v>СОКОЛОВ Дмитро Іванович</v>
      </c>
      <c r="G13234" s="7" t="s">
        <v>10</v>
      </c>
      <c r="H13234" s="7">
        <v>18394</v>
      </c>
      <c r="I13234" s="8" t="str">
        <f ca="1">IFERROR(__xludf.DUMMYFUNCTION("IF
(
G13235=""фізична особа""
,
VLOOKUP(H13235,IMPORTRANGE(""https://docs.google.com/spreadsheets/d/14Bd19lYaqBhU8_DElYkX7l4wRkHqqCUFNJY4AfY3kHU/edit?usp=sharing  #gid=0"",""фіз особи new!relations_name""),6,FALSE)
,
(IF
(
G13235=""юридична особа""
,
VLOO"&amp;"KUP(H13235,IMPORTRANGE(""https://docs.google.com/spreadsheets/d/14Bd19lYaqBhU8_DElYkX7l4wRkHqqCUFNJY4AfY3kHU/edit?usp=sharing  #gid=0"",""фіз особи new!relations_name_uo""),7,FALSE)
,
)
))"),"ШУЛЬЦ Тетяна Борисівна")</f>
        <v>ШУЛЬЦ Тетяна Борисівна</v>
      </c>
      <c r="J13234" s="7" t="s">
        <v>31</v>
      </c>
    </row>
    <row r="13235" spans="1:10" ht="13.2">
      <c r="A13235" s="7">
        <v>13234</v>
      </c>
      <c r="B13235" s="7">
        <v>1</v>
      </c>
      <c r="C13235" s="7" t="s">
        <v>10</v>
      </c>
      <c r="D13235" s="7">
        <v>18395</v>
      </c>
      <c r="E13235" s="7" t="s">
        <v>17</v>
      </c>
      <c r="F13235" s="8" t="str">
        <f ca="1">IFERROR(__xludf.DUMMYFUNCTION("IF
(
C13236=""фізична особа""
,
VLOOKUP(D13236,IMPORTRANGE(""https://docs.google.com/spreadsheets/d/14Bd19lYaqBhU8_DElYkX7l4wRkHqqCUFNJY4AfY3kHU/edit?usp=sharing  #gid=0"",""фіз особи new!relations_name""),6,FALSE)
,
(IF
(
C13236=""юридична особа""
,
VLOO"&amp;"KUP(D13236,IMPORTRANGE(""https://docs.google.com/spreadsheets/d/14Bd19lYaqBhU8_DElYkX7l4wRkHqqCUFNJY4AfY3kHU/edit?usp=sharing  #gid=0"",""фіз особи new!relations_name_uo""),7,FALSE)
,
)
))"),"СОКОЛОВ Дмитро Іванович")</f>
        <v>СОКОЛОВ Дмитро Іванович</v>
      </c>
      <c r="G13235" s="7" t="s">
        <v>10</v>
      </c>
      <c r="H13235" s="7">
        <v>18393</v>
      </c>
      <c r="I13235" s="8" t="str">
        <f ca="1">IFERROR(__xludf.DUMMYFUNCTION("IF
(
G13236=""фізична особа""
,
VLOOKUP(H13236,IMPORTRANGE(""https://docs.google.com/spreadsheets/d/14Bd19lYaqBhU8_DElYkX7l4wRkHqqCUFNJY4AfY3kHU/edit?usp=sharing  #gid=0"",""фіз особи new!relations_name""),6,FALSE)
,
(IF
(
G13236=""юридична особа""
,
VLOO"&amp;"KUP(H13236,IMPORTRANGE(""https://docs.google.com/spreadsheets/d/14Bd19lYaqBhU8_DElYkX7l4wRkHqqCUFNJY4AfY3kHU/edit?usp=sharing  #gid=0"",""фіз особи new!relations_name_uo""),7,FALSE)
,
)
))"),"КАРАКАЄВ Борис Миколайович")</f>
        <v>КАРАКАЄВ Борис Миколайович</v>
      </c>
      <c r="J13235" s="7" t="s">
        <v>12</v>
      </c>
    </row>
    <row r="13236" spans="1:10" ht="13.2">
      <c r="A13236" s="7">
        <v>13235</v>
      </c>
      <c r="B13236" s="7">
        <v>1</v>
      </c>
      <c r="C13236" s="7" t="s">
        <v>10</v>
      </c>
      <c r="D13236" s="7">
        <v>18416</v>
      </c>
      <c r="E13236" s="7" t="s">
        <v>14</v>
      </c>
      <c r="F13236" s="8" t="str">
        <f ca="1">IFERROR(__xludf.DUMMYFUNCTION("IF
(
C13237=""фізична особа""
,
VLOOKUP(D13237,IMPORTRANGE(""https://docs.google.com/spreadsheets/d/14Bd19lYaqBhU8_DElYkX7l4wRkHqqCUFNJY4AfY3kHU/edit?usp=sharing  #gid=0"",""фіз особи new!relations_name""),6,FALSE)
,
(IF
(
C13237=""юридична особа""
,
VLOO"&amp;"KUP(D13237,IMPORTRANGE(""https://docs.google.com/spreadsheets/d/14Bd19lYaqBhU8_DElYkX7l4wRkHqqCUFNJY4AfY3kHU/edit?usp=sharing  #gid=0"",""фіз особи new!relations_name_uo""),7,FALSE)
,
)
))"),"ЛУШНІКОВ Олексій Олегович")</f>
        <v>ЛУШНІКОВ Олексій Олегович</v>
      </c>
      <c r="G13236" s="7" t="s">
        <v>10</v>
      </c>
      <c r="H13236" s="7">
        <v>18426</v>
      </c>
      <c r="I13236" s="8" t="str">
        <f ca="1">IFERROR(__xludf.DUMMYFUNCTION("IF
(
G13237=""фізична особа""
,
VLOOKUP(H13237,IMPORTRANGE(""https://docs.google.com/spreadsheets/d/14Bd19lYaqBhU8_DElYkX7l4wRkHqqCUFNJY4AfY3kHU/edit?usp=sharing  #gid=0"",""фіз особи new!relations_name""),6,FALSE)
,
(IF
(
G13237=""юридична особа""
,
VLOO"&amp;"KUP(H13237,IMPORTRANGE(""https://docs.google.com/spreadsheets/d/14Bd19lYaqBhU8_DElYkX7l4wRkHqqCUFNJY4AfY3kHU/edit?usp=sharing  #gid=0"",""фіз особи new!relations_name_uo""),7,FALSE)
,
)
))"),"ЛУШНІКОВА Анастасія Олександрівна")</f>
        <v>ЛУШНІКОВА Анастасія Олександрівна</v>
      </c>
      <c r="J13236" s="7" t="s">
        <v>15</v>
      </c>
    </row>
    <row r="13237" spans="1:10" ht="13.2">
      <c r="A13237" s="7">
        <v>13236</v>
      </c>
      <c r="B13237" s="7">
        <v>1</v>
      </c>
      <c r="C13237" s="7" t="s">
        <v>10</v>
      </c>
      <c r="D13237" s="7">
        <v>18419</v>
      </c>
      <c r="E13237" s="7" t="s">
        <v>14</v>
      </c>
      <c r="F13237" s="8" t="str">
        <f ca="1">IFERROR(__xludf.DUMMYFUNCTION("IF
(
C13238=""фізична особа""
,
VLOOKUP(D13238,IMPORTRANGE(""https://docs.google.com/spreadsheets/d/14Bd19lYaqBhU8_DElYkX7l4wRkHqqCUFNJY4AfY3kHU/edit?usp=sharing  #gid=0"",""фіз особи new!relations_name""),6,FALSE)
,
(IF
(
C13238=""юридична особа""
,
VLOO"&amp;"KUP(D13238,IMPORTRANGE(""https://docs.google.com/spreadsheets/d/14Bd19lYaqBhU8_DElYkX7l4wRkHqqCUFNJY4AfY3kHU/edit?usp=sharing  #gid=0"",""фіз особи new!relations_name_uo""),7,FALSE)
,
)
))"),"МАХАЛОВ Олександр Геннадійович")</f>
        <v>МАХАЛОВ Олександр Геннадійович</v>
      </c>
      <c r="G13237" s="7" t="s">
        <v>10</v>
      </c>
      <c r="H13237" s="7">
        <v>18425</v>
      </c>
      <c r="I13237" s="8" t="str">
        <f ca="1">IFERROR(__xludf.DUMMYFUNCTION("IF
(
G13238=""фізична особа""
,
VLOOKUP(H13238,IMPORTRANGE(""https://docs.google.com/spreadsheets/d/14Bd19lYaqBhU8_DElYkX7l4wRkHqqCUFNJY4AfY3kHU/edit?usp=sharing  #gid=0"",""фіз особи new!relations_name""),6,FALSE)
,
(IF
(
G13238=""юридична особа""
,
VLOO"&amp;"KUP(H13238,IMPORTRANGE(""https://docs.google.com/spreadsheets/d/14Bd19lYaqBhU8_DElYkX7l4wRkHqqCUFNJY4AfY3kHU/edit?usp=sharing  #gid=0"",""фіз особи new!relations_name_uo""),7,FALSE)
,
)
))"),"МАХАЛОВА Ольга Володимирівна")</f>
        <v>МАХАЛОВА Ольга Володимирівна</v>
      </c>
      <c r="J13237" s="7" t="s">
        <v>15</v>
      </c>
    </row>
    <row r="13238" spans="1:10" ht="13.2">
      <c r="A13238" s="7">
        <v>13237</v>
      </c>
      <c r="B13238" s="7">
        <v>1</v>
      </c>
      <c r="C13238" s="7" t="s">
        <v>10</v>
      </c>
      <c r="D13238" s="7">
        <v>18425</v>
      </c>
      <c r="E13238" s="7" t="s">
        <v>15</v>
      </c>
      <c r="F13238" s="8" t="str">
        <f ca="1">IFERROR(__xludf.DUMMYFUNCTION("IF
(
C13239=""фізична особа""
,
VLOOKUP(D13239,IMPORTRANGE(""https://docs.google.com/spreadsheets/d/14Bd19lYaqBhU8_DElYkX7l4wRkHqqCUFNJY4AfY3kHU/edit?usp=sharing  #gid=0"",""фіз особи new!relations_name""),6,FALSE)
,
(IF
(
C13239=""юридична особа""
,
VLOO"&amp;"KUP(D13239,IMPORTRANGE(""https://docs.google.com/spreadsheets/d/14Bd19lYaqBhU8_DElYkX7l4wRkHqqCUFNJY4AfY3kHU/edit?usp=sharing  #gid=0"",""фіз особи new!relations_name_uo""),7,FALSE)
,
)
))"),"МАХАЛОВА Ольга Володимирівна")</f>
        <v>МАХАЛОВА Ольга Володимирівна</v>
      </c>
      <c r="G13238" s="7" t="s">
        <v>10</v>
      </c>
      <c r="H13238" s="7">
        <v>18419</v>
      </c>
      <c r="I13238" s="8" t="str">
        <f ca="1">IFERROR(__xludf.DUMMYFUNCTION("IF
(
G13239=""фізична особа""
,
VLOOKUP(H13239,IMPORTRANGE(""https://docs.google.com/spreadsheets/d/14Bd19lYaqBhU8_DElYkX7l4wRkHqqCUFNJY4AfY3kHU/edit?usp=sharing  #gid=0"",""фіз особи new!relations_name""),6,FALSE)
,
(IF
(
G13239=""юридична особа""
,
VLOO"&amp;"KUP(H13239,IMPORTRANGE(""https://docs.google.com/spreadsheets/d/14Bd19lYaqBhU8_DElYkX7l4wRkHqqCUFNJY4AfY3kHU/edit?usp=sharing  #gid=0"",""фіз особи new!relations_name_uo""),7,FALSE)
,
)
))"),"МАХАЛОВ Олександр Геннадійович")</f>
        <v>МАХАЛОВ Олександр Геннадійович</v>
      </c>
      <c r="J13238" s="7" t="s">
        <v>14</v>
      </c>
    </row>
    <row r="13239" spans="1:10" ht="13.2">
      <c r="A13239" s="7">
        <v>13238</v>
      </c>
      <c r="B13239" s="7">
        <v>1</v>
      </c>
      <c r="C13239" s="7" t="s">
        <v>10</v>
      </c>
      <c r="D13239" s="7">
        <v>18426</v>
      </c>
      <c r="E13239" s="7" t="s">
        <v>15</v>
      </c>
      <c r="F13239" s="8" t="str">
        <f ca="1">IFERROR(__xludf.DUMMYFUNCTION("IF
(
C13240=""фізична особа""
,
VLOOKUP(D13240,IMPORTRANGE(""https://docs.google.com/spreadsheets/d/14Bd19lYaqBhU8_DElYkX7l4wRkHqqCUFNJY4AfY3kHU/edit?usp=sharing  #gid=0"",""фіз особи new!relations_name""),6,FALSE)
,
(IF
(
C13240=""юридична особа""
,
VLOO"&amp;"KUP(D13240,IMPORTRANGE(""https://docs.google.com/spreadsheets/d/14Bd19lYaqBhU8_DElYkX7l4wRkHqqCUFNJY4AfY3kHU/edit?usp=sharing  #gid=0"",""фіз особи new!relations_name_uo""),7,FALSE)
,
)
))"),"ЛУШНІКОВА Анастасія Олександрівна")</f>
        <v>ЛУШНІКОВА Анастасія Олександрівна</v>
      </c>
      <c r="G13239" s="7" t="s">
        <v>10</v>
      </c>
      <c r="H13239" s="7">
        <v>18416</v>
      </c>
      <c r="I13239" s="8" t="str">
        <f ca="1">IFERROR(__xludf.DUMMYFUNCTION("IF
(
G13240=""фізична особа""
,
VLOOKUP(H13240,IMPORTRANGE(""https://docs.google.com/spreadsheets/d/14Bd19lYaqBhU8_DElYkX7l4wRkHqqCUFNJY4AfY3kHU/edit?usp=sharing  #gid=0"",""фіз особи new!relations_name""),6,FALSE)
,
(IF
(
G13240=""юридична особа""
,
VLOO"&amp;"KUP(H13240,IMPORTRANGE(""https://docs.google.com/spreadsheets/d/14Bd19lYaqBhU8_DElYkX7l4wRkHqqCUFNJY4AfY3kHU/edit?usp=sharing  #gid=0"",""фіз особи new!relations_name_uo""),7,FALSE)
,
)
))"),"ЛУШНІКОВ Олексій Олегович")</f>
        <v>ЛУШНІКОВ Олексій Олегович</v>
      </c>
      <c r="J13239" s="7" t="s">
        <v>14</v>
      </c>
    </row>
    <row r="13240" spans="1:10" ht="13.2">
      <c r="A13240" s="7">
        <v>13239</v>
      </c>
      <c r="B13240" s="7">
        <v>1</v>
      </c>
      <c r="C13240" s="7" t="s">
        <v>10</v>
      </c>
      <c r="D13240" s="7">
        <v>18438</v>
      </c>
      <c r="E13240" s="7" t="s">
        <v>23</v>
      </c>
      <c r="F13240" s="8" t="str">
        <f ca="1">IFERROR(__xludf.DUMMYFUNCTION("IF
(
C13241=""фізична особа""
,
VLOOKUP(D13241,IMPORTRANGE(""https://docs.google.com/spreadsheets/d/14Bd19lYaqBhU8_DElYkX7l4wRkHqqCUFNJY4AfY3kHU/edit?usp=sharing  #gid=0"",""фіз особи new!relations_name""),6,FALSE)
,
(IF
(
C13241=""юридична особа""
,
VLOO"&amp;"KUP(D13241,IMPORTRANGE(""https://docs.google.com/spreadsheets/d/14Bd19lYaqBhU8_DElYkX7l4wRkHqqCUFNJY4AfY3kHU/edit?usp=sharing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G13240" s="7" t="s">
        <v>10</v>
      </c>
      <c r="H13240" s="7">
        <v>0</v>
      </c>
      <c r="I13240" s="8" t="str">
        <f ca="1">IFERROR(__xludf.DUMMYFUNCTION("IF
(
G13241=""фізична особа""
,
VLOOKUP(H13241,IMPORTRANGE(""https://docs.google.com/spreadsheets/d/14Bd19lYaqBhU8_DElYkX7l4wRkHqqCUFNJY4AfY3kHU/edit?usp=sharing  #gid=0"",""фіз особи new!relations_name""),6,FALSE)
,
(IF
(
G13241=""юридична особа""
,
VLOO"&amp;"KUP(H13241,IMPORTRANGE(""https://docs.google.com/spreadsheets/d/14Bd19lYaqBhU8_DElYkX7l4wRkHqqCUFNJY4AfY3kHU/edit?usp=sharing  #gid=0"",""фіз особи new!relations_name_uo""),7,FALSE)
,
)
))"),"#N/A")</f>
        <v>#N/A</v>
      </c>
      <c r="J13240" s="7" t="s">
        <v>23</v>
      </c>
    </row>
    <row r="13241" spans="1:10" ht="13.2">
      <c r="A13241" s="7">
        <v>13240</v>
      </c>
      <c r="B13241" s="7">
        <v>1</v>
      </c>
      <c r="C13241" s="7" t="s">
        <v>10</v>
      </c>
      <c r="D13241" s="7">
        <v>18438</v>
      </c>
      <c r="E13241" s="7" t="s">
        <v>23</v>
      </c>
      <c r="F13241" s="8" t="str">
        <f ca="1">IFERROR(__xludf.DUMMYFUNCTION("IF
(
C13242=""фізична особа""
,
VLOOKUP(D13242,IMPORTRANGE(""https://docs.google.com/spreadsheets/d/14Bd19lYaqBhU8_DElYkX7l4wRkHqqCUFNJY4AfY3kHU/edit?usp=sharing  #gid=0"",""фіз особи new!relations_name""),6,FALSE)
,
(IF
(
C13242=""юридична особа""
,
VLOO"&amp;"KUP(D13242,IMPORTRANGE(""https://docs.google.com/spreadsheets/d/14Bd19lYaqBhU8_DElYkX7l4wRkHqqCUFNJY4AfY3kHU/edit?usp=sharing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G13241" s="7" t="s">
        <v>10</v>
      </c>
      <c r="H13241" s="7">
        <v>1443</v>
      </c>
      <c r="I13241" s="8" t="str">
        <f ca="1">IFERROR(__xludf.DUMMYFUNCTION("IF
(
G13242=""фізична особа""
,
VLOOKUP(H13242,IMPORTRANGE(""https://docs.google.com/spreadsheets/d/14Bd19lYaqBhU8_DElYkX7l4wRkHqqCUFNJY4AfY3kHU/edit?usp=sharing  #gid=0"",""фіз особи new!relations_name""),6,FALSE)
,
(IF
(
G13242=""юридична особа""
,
VLOO"&amp;"KUP(H13242,IMPORTRANGE(""https://docs.google.com/spreadsheets/d/14Bd19lYaqBhU8_DElYkX7l4wRkHqqCUFNJY4AfY3kHU/edit?usp=sharing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13241" s="7" t="s">
        <v>23</v>
      </c>
    </row>
    <row r="13242" spans="1:10" ht="13.2">
      <c r="A13242" s="7">
        <v>13241</v>
      </c>
      <c r="B13242" s="7">
        <v>1</v>
      </c>
      <c r="C13242" s="7" t="s">
        <v>10</v>
      </c>
      <c r="D13242" s="7">
        <v>18438</v>
      </c>
      <c r="E13242" s="7" t="s">
        <v>23</v>
      </c>
      <c r="F13242" s="8" t="str">
        <f ca="1">IFERROR(__xludf.DUMMYFUNCTION("IF
(
C13243=""фізична особа""
,
VLOOKUP(D13243,IMPORTRANGE(""https://docs.google.com/spreadsheets/d/14Bd19lYaqBhU8_DElYkX7l4wRkHqqCUFNJY4AfY3kHU/edit?usp=sharing  #gid=0"",""фіз особи new!relations_name""),6,FALSE)
,
(IF
(
C13243=""юридична особа""
,
VLOO"&amp;"KUP(D13243,IMPORTRANGE(""https://docs.google.com/spreadsheets/d/14Bd19lYaqBhU8_DElYkX7l4wRkHqqCUFNJY4AfY3kHU/edit?usp=sharing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G13242" s="7" t="s">
        <v>10</v>
      </c>
      <c r="H13242" s="7">
        <v>18439</v>
      </c>
      <c r="I13242" s="8" t="str">
        <f ca="1">IFERROR(__xludf.DUMMYFUNCTION("IF
(
G13243=""фізична особа""
,
VLOOKUP(H13243,IMPORTRANGE(""https://docs.google.com/spreadsheets/d/14Bd19lYaqBhU8_DElYkX7l4wRkHqqCUFNJY4AfY3kHU/edit?usp=sharing  #gid=0"",""фіз особи new!relations_name""),6,FALSE)
,
(IF
(
G13243=""юридична особа""
,
VLOO"&amp;"KUP(H13243,IMPORTRANGE(""https://docs.google.com/spreadsheets/d/14Bd19lYaqBhU8_DElYkX7l4wRkHqqCUFNJY4AfY3kHU/edit?usp=sharing  #gid=0"",""фіз особи new!relations_name_uo""),7,FALSE)
,
)
))"),"БАКІН Володимир Олегович")</f>
        <v>БАКІН Володимир Олегович</v>
      </c>
      <c r="J13242" s="7" t="s">
        <v>23</v>
      </c>
    </row>
    <row r="13243" spans="1:10" ht="13.2">
      <c r="A13243" s="7">
        <v>13242</v>
      </c>
      <c r="B13243" s="7">
        <v>1</v>
      </c>
      <c r="C13243" s="7" t="s">
        <v>10</v>
      </c>
      <c r="D13243" s="7">
        <v>18439</v>
      </c>
      <c r="E13243" s="7" t="s">
        <v>23</v>
      </c>
      <c r="F13243" s="8" t="str">
        <f ca="1">IFERROR(__xludf.DUMMYFUNCTION("IF
(
C13244=""фізична особа""
,
VLOOKUP(D13244,IMPORTRANGE(""https://docs.google.com/spreadsheets/d/14Bd19lYaqBhU8_DElYkX7l4wRkHqqCUFNJY4AfY3kHU/edit?usp=sharing  #gid=0"",""фіз особи new!relations_name""),6,FALSE)
,
(IF
(
C13244=""юридична особа""
,
VLOO"&amp;"KUP(D13244,IMPORTRANGE(""https://docs.google.com/spreadsheets/d/14Bd19lYaqBhU8_DElYkX7l4wRkHqqCUFNJY4AfY3kHU/edit?usp=sharing  #gid=0"",""фіз особи new!relations_name_uo""),7,FALSE)
,
)
))"),"БАКІН Володимир Олегович")</f>
        <v>БАКІН Володимир Олегович</v>
      </c>
      <c r="G13243" s="7" t="s">
        <v>10</v>
      </c>
      <c r="H13243" s="7">
        <v>1443</v>
      </c>
      <c r="I13243" s="8" t="str">
        <f ca="1">IFERROR(__xludf.DUMMYFUNCTION("IF
(
G13244=""фізична особа""
,
VLOOKUP(H13244,IMPORTRANGE(""https://docs.google.com/spreadsheets/d/14Bd19lYaqBhU8_DElYkX7l4wRkHqqCUFNJY4AfY3kHU/edit?usp=sharing  #gid=0"",""фіз особи new!relations_name""),6,FALSE)
,
(IF
(
G13244=""юридична особа""
,
VLOO"&amp;"KUP(H13244,IMPORTRANGE(""https://docs.google.com/spreadsheets/d/14Bd19lYaqBhU8_DElYkX7l4wRkHqqCUFNJY4AfY3kHU/edit?usp=sharing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13243" s="7" t="s">
        <v>23</v>
      </c>
    </row>
    <row r="13244" spans="1:10" ht="13.2">
      <c r="A13244" s="7">
        <v>13243</v>
      </c>
      <c r="B13244" s="7">
        <v>1</v>
      </c>
      <c r="C13244" s="7" t="s">
        <v>10</v>
      </c>
      <c r="D13244" s="7">
        <v>18439</v>
      </c>
      <c r="E13244" s="7" t="s">
        <v>23</v>
      </c>
      <c r="F13244" s="8" t="str">
        <f ca="1">IFERROR(__xludf.DUMMYFUNCTION("IF
(
C13245=""фізична особа""
,
VLOOKUP(D13245,IMPORTRANGE(""https://docs.google.com/spreadsheets/d/14Bd19lYaqBhU8_DElYkX7l4wRkHqqCUFNJY4AfY3kHU/edit?usp=sharing  #gid=0"",""фіз особи new!relations_name""),6,FALSE)
,
(IF
(
C13245=""юридична особа""
,
VLOO"&amp;"KUP(D13245,IMPORTRANGE(""https://docs.google.com/spreadsheets/d/14Bd19lYaqBhU8_DElYkX7l4wRkHqqCUFNJY4AfY3kHU/edit?usp=sharing  #gid=0"",""фіз особи new!relations_name_uo""),7,FALSE)
,
)
))"),"БАКІН Володимир Олегович")</f>
        <v>БАКІН Володимир Олегович</v>
      </c>
      <c r="G13244" s="7" t="s">
        <v>10</v>
      </c>
      <c r="H13244" s="7">
        <v>18438</v>
      </c>
      <c r="I13244" s="8" t="str">
        <f ca="1">IFERROR(__xludf.DUMMYFUNCTION("IF
(
G13245=""фізична особа""
,
VLOOKUP(H13245,IMPORTRANGE(""https://docs.google.com/spreadsheets/d/14Bd19lYaqBhU8_DElYkX7l4wRkHqqCUFNJY4AfY3kHU/edit?usp=sharing  #gid=0"",""фіз особи new!relations_name""),6,FALSE)
,
(IF
(
G13245=""юридична особа""
,
VLOO"&amp;"KUP(H13245,IMPORTRANGE(""https://docs.google.com/spreadsheets/d/14Bd19lYaqBhU8_DElYkX7l4wRkHqqCUFNJY4AfY3kHU/edit?usp=sharing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J13244" s="7" t="s">
        <v>23</v>
      </c>
    </row>
    <row r="13245" spans="1:10" ht="13.2">
      <c r="A13245" s="7">
        <v>13244</v>
      </c>
      <c r="B13245" s="7">
        <v>1</v>
      </c>
      <c r="C13245" s="7" t="s">
        <v>10</v>
      </c>
      <c r="D13245" s="7">
        <v>18440</v>
      </c>
      <c r="E13245" s="7" t="s">
        <v>23</v>
      </c>
      <c r="F13245" s="8" t="str">
        <f ca="1">IFERROR(__xludf.DUMMYFUNCTION("IF
(
C13246=""фізична особа""
,
VLOOKUP(D13246,IMPORTRANGE(""https://docs.google.com/spreadsheets/d/14Bd19lYaqBhU8_DElYkX7l4wRkHqqCUFNJY4AfY3kHU/edit?usp=sharing  #gid=0"",""фіз особи new!relations_name""),6,FALSE)
,
(IF
(
C13246=""юридична особа""
,
VLOO"&amp;"KUP(D13246,IMPORTRANGE(""https://docs.google.com/spreadsheets/d/14Bd19lYaqBhU8_DElYkX7l4wRkHqqCUFNJY4AfY3kHU/edit?usp=sharing  #gid=0"",""фіз особи new!relations_name_uo""),7,FALSE)
,
)
))"),"БАГАНОВ Денис Володимирович")</f>
        <v>БАГАНОВ Денис Володимирович</v>
      </c>
      <c r="G13245" s="7" t="s">
        <v>10</v>
      </c>
      <c r="H13245" s="7">
        <v>1443</v>
      </c>
      <c r="I13245" s="8" t="str">
        <f ca="1">IFERROR(__xludf.DUMMYFUNCTION("IF
(
G13246=""фізична особа""
,
VLOOKUP(H13246,IMPORTRANGE(""https://docs.google.com/spreadsheets/d/14Bd19lYaqBhU8_DElYkX7l4wRkHqqCUFNJY4AfY3kHU/edit?usp=sharing  #gid=0"",""фіз особи new!relations_name""),6,FALSE)
,
(IF
(
G13246=""юридична особа""
,
VLOO"&amp;"KUP(H13246,IMPORTRANGE(""https://docs.google.com/spreadsheets/d/14Bd19lYaqBhU8_DElYkX7l4wRkHqqCUFNJY4AfY3kHU/edit?usp=sharing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13245" s="7" t="s">
        <v>23</v>
      </c>
    </row>
    <row r="13246" spans="1:10" ht="13.2">
      <c r="A13246" s="7">
        <v>13245</v>
      </c>
      <c r="B13246" s="7">
        <v>1</v>
      </c>
      <c r="C13246" s="7" t="s">
        <v>10</v>
      </c>
      <c r="D13246" s="7">
        <v>18440</v>
      </c>
      <c r="E13246" s="7" t="s">
        <v>23</v>
      </c>
      <c r="F13246" s="8" t="str">
        <f ca="1">IFERROR(__xludf.DUMMYFUNCTION("IF
(
C13247=""фізична особа""
,
VLOOKUP(D13247,IMPORTRANGE(""https://docs.google.com/spreadsheets/d/14Bd19lYaqBhU8_DElYkX7l4wRkHqqCUFNJY4AfY3kHU/edit?usp=sharing  #gid=0"",""фіз особи new!relations_name""),6,FALSE)
,
(IF
(
C13247=""юридична особа""
,
VLOO"&amp;"KUP(D13247,IMPORTRANGE(""https://docs.google.com/spreadsheets/d/14Bd19lYaqBhU8_DElYkX7l4wRkHqqCUFNJY4AfY3kHU/edit?usp=sharing  #gid=0"",""фіз особи new!relations_name_uo""),7,FALSE)
,
)
))"),"БАГАНОВ Денис Володимирович")</f>
        <v>БАГАНОВ Денис Володимирович</v>
      </c>
      <c r="G13246" s="7" t="s">
        <v>10</v>
      </c>
      <c r="H13246" s="7">
        <v>18438</v>
      </c>
      <c r="I13246" s="8" t="str">
        <f ca="1">IFERROR(__xludf.DUMMYFUNCTION("IF
(
G13247=""фізична особа""
,
VLOOKUP(H13247,IMPORTRANGE(""https://docs.google.com/spreadsheets/d/14Bd19lYaqBhU8_DElYkX7l4wRkHqqCUFNJY4AfY3kHU/edit?usp=sharing  #gid=0"",""фіз особи new!relations_name""),6,FALSE)
,
(IF
(
G13247=""юридична особа""
,
VLOO"&amp;"KUP(H13247,IMPORTRANGE(""https://docs.google.com/spreadsheets/d/14Bd19lYaqBhU8_DElYkX7l4wRkHqqCUFNJY4AfY3kHU/edit?usp=sharing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J13246" s="7" t="s">
        <v>23</v>
      </c>
    </row>
    <row r="13247" spans="1:10" ht="13.2">
      <c r="A13247" s="7">
        <v>13246</v>
      </c>
      <c r="B13247" s="7">
        <v>1</v>
      </c>
      <c r="C13247" s="7" t="s">
        <v>10</v>
      </c>
      <c r="D13247" s="7">
        <v>18440</v>
      </c>
      <c r="E13247" s="7" t="s">
        <v>23</v>
      </c>
      <c r="F13247" s="8" t="str">
        <f ca="1">IFERROR(__xludf.DUMMYFUNCTION("IF
(
C13248=""фізична особа""
,
VLOOKUP(D13248,IMPORTRANGE(""https://docs.google.com/spreadsheets/d/14Bd19lYaqBhU8_DElYkX7l4wRkHqqCUFNJY4AfY3kHU/edit?usp=sharing  #gid=0"",""фіз особи new!relations_name""),6,FALSE)
,
(IF
(
C13248=""юридична особа""
,
VLOO"&amp;"KUP(D13248,IMPORTRANGE(""https://docs.google.com/spreadsheets/d/14Bd19lYaqBhU8_DElYkX7l4wRkHqqCUFNJY4AfY3kHU/edit?usp=sharing  #gid=0"",""фіз особи new!relations_name_uo""),7,FALSE)
,
)
))"),"БАГАНОВ Денис Володимирович")</f>
        <v>БАГАНОВ Денис Володимирович</v>
      </c>
      <c r="G13247" s="7" t="s">
        <v>10</v>
      </c>
      <c r="H13247" s="7">
        <v>18439</v>
      </c>
      <c r="I13247" s="8" t="str">
        <f ca="1">IFERROR(__xludf.DUMMYFUNCTION("IF
(
G13248=""фізична особа""
,
VLOOKUP(H13248,IMPORTRANGE(""https://docs.google.com/spreadsheets/d/14Bd19lYaqBhU8_DElYkX7l4wRkHqqCUFNJY4AfY3kHU/edit?usp=sharing  #gid=0"",""фіз особи new!relations_name""),6,FALSE)
,
(IF
(
G13248=""юридична особа""
,
VLOO"&amp;"KUP(H13248,IMPORTRANGE(""https://docs.google.com/spreadsheets/d/14Bd19lYaqBhU8_DElYkX7l4wRkHqqCUFNJY4AfY3kHU/edit?usp=sharing  #gid=0"",""фіз особи new!relations_name_uo""),7,FALSE)
,
)
))"),"БАКІН Володимир Олегович")</f>
        <v>БАКІН Володимир Олегович</v>
      </c>
      <c r="J13247" s="7" t="s">
        <v>23</v>
      </c>
    </row>
    <row r="13248" spans="1:10" ht="13.2">
      <c r="A13248" s="7">
        <v>13247</v>
      </c>
      <c r="B13248" s="7">
        <v>1</v>
      </c>
      <c r="C13248" s="7" t="s">
        <v>10</v>
      </c>
      <c r="D13248" s="7">
        <v>18441</v>
      </c>
      <c r="E13248" s="7" t="s">
        <v>23</v>
      </c>
      <c r="F13248" s="8" t="str">
        <f ca="1">IFERROR(__xludf.DUMMYFUNCTION("IF
(
C13249=""фізична особа""
,
VLOOKUP(D13249,IMPORTRANGE(""https://docs.google.com/spreadsheets/d/14Bd19lYaqBhU8_DElYkX7l4wRkHqqCUFNJY4AfY3kHU/edit?usp=sharing  #gid=0"",""фіз особи new!relations_name""),6,FALSE)
,
(IF
(
C13249=""юридична особа""
,
VLOO"&amp;"KUP(D13249,IMPORTRANGE(""https://docs.google.com/spreadsheets/d/14Bd19lYaqBhU8_DElYkX7l4wRkHqqCUFNJY4AfY3kHU/edit?usp=sharing  #gid=0"",""фіз особи new!relations_name_uo""),7,FALSE)
,
)
))"),"БОБРЕЦОВ Сергій")</f>
        <v>БОБРЕЦОВ Сергій</v>
      </c>
      <c r="G13248" s="7" t="s">
        <v>10</v>
      </c>
      <c r="H13248" s="7">
        <v>1443</v>
      </c>
      <c r="I13248" s="8" t="str">
        <f ca="1">IFERROR(__xludf.DUMMYFUNCTION("IF
(
G13249=""фізична особа""
,
VLOOKUP(H13249,IMPORTRANGE(""https://docs.google.com/spreadsheets/d/14Bd19lYaqBhU8_DElYkX7l4wRkHqqCUFNJY4AfY3kHU/edit?usp=sharing  #gid=0"",""фіз особи new!relations_name""),6,FALSE)
,
(IF
(
G13249=""юридична особа""
,
VLOO"&amp;"KUP(H13249,IMPORTRANGE(""https://docs.google.com/spreadsheets/d/14Bd19lYaqBhU8_DElYkX7l4wRkHqqCUFNJY4AfY3kHU/edit?usp=sharing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13248" s="7" t="s">
        <v>23</v>
      </c>
    </row>
    <row r="13249" spans="1:10" ht="13.2">
      <c r="A13249" s="7">
        <v>13248</v>
      </c>
      <c r="B13249" s="7">
        <v>1</v>
      </c>
      <c r="C13249" s="7" t="s">
        <v>10</v>
      </c>
      <c r="D13249" s="7">
        <v>18441</v>
      </c>
      <c r="E13249" s="7" t="s">
        <v>23</v>
      </c>
      <c r="F13249" s="8" t="str">
        <f ca="1">IFERROR(__xludf.DUMMYFUNCTION("IF
(
C13250=""фізична особа""
,
VLOOKUP(D13250,IMPORTRANGE(""https://docs.google.com/spreadsheets/d/14Bd19lYaqBhU8_DElYkX7l4wRkHqqCUFNJY4AfY3kHU/edit?usp=sharing  #gid=0"",""фіз особи new!relations_name""),6,FALSE)
,
(IF
(
C13250=""юридична особа""
,
VLOO"&amp;"KUP(D13250,IMPORTRANGE(""https://docs.google.com/spreadsheets/d/14Bd19lYaqBhU8_DElYkX7l4wRkHqqCUFNJY4AfY3kHU/edit?usp=sharing  #gid=0"",""фіз особи new!relations_name_uo""),7,FALSE)
,
)
))"),"БОБРЕЦОВ Сергій")</f>
        <v>БОБРЕЦОВ Сергій</v>
      </c>
      <c r="G13249" s="7" t="s">
        <v>10</v>
      </c>
      <c r="H13249" s="7">
        <v>18438</v>
      </c>
      <c r="I13249" s="8" t="str">
        <f ca="1">IFERROR(__xludf.DUMMYFUNCTION("IF
(
G13250=""фізична особа""
,
VLOOKUP(H13250,IMPORTRANGE(""https://docs.google.com/spreadsheets/d/14Bd19lYaqBhU8_DElYkX7l4wRkHqqCUFNJY4AfY3kHU/edit?usp=sharing  #gid=0"",""фіз особи new!relations_name""),6,FALSE)
,
(IF
(
G13250=""юридична особа""
,
VLOO"&amp;"KUP(H13250,IMPORTRANGE(""https://docs.google.com/spreadsheets/d/14Bd19lYaqBhU8_DElYkX7l4wRkHqqCUFNJY4AfY3kHU/edit?usp=sharing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J13249" s="7" t="s">
        <v>23</v>
      </c>
    </row>
    <row r="13250" spans="1:10" ht="13.2">
      <c r="A13250" s="7">
        <v>13249</v>
      </c>
      <c r="B13250" s="7">
        <v>1</v>
      </c>
      <c r="C13250" s="7" t="s">
        <v>10</v>
      </c>
      <c r="D13250" s="7">
        <v>18441</v>
      </c>
      <c r="E13250" s="7" t="s">
        <v>23</v>
      </c>
      <c r="F13250" s="8" t="str">
        <f ca="1">IFERROR(__xludf.DUMMYFUNCTION("IF
(
C13251=""фізична особа""
,
VLOOKUP(D13251,IMPORTRANGE(""https://docs.google.com/spreadsheets/d/14Bd19lYaqBhU8_DElYkX7l4wRkHqqCUFNJY4AfY3kHU/edit?usp=sharing  #gid=0"",""фіз особи new!relations_name""),6,FALSE)
,
(IF
(
C13251=""юридична особа""
,
VLOO"&amp;"KUP(D13251,IMPORTRANGE(""https://docs.google.com/spreadsheets/d/14Bd19lYaqBhU8_DElYkX7l4wRkHqqCUFNJY4AfY3kHU/edit?usp=sharing  #gid=0"",""фіз особи new!relations_name_uo""),7,FALSE)
,
)
))"),"БОБРЕЦОВ Сергій")</f>
        <v>БОБРЕЦОВ Сергій</v>
      </c>
      <c r="G13250" s="7" t="s">
        <v>10</v>
      </c>
      <c r="H13250" s="7">
        <v>18439</v>
      </c>
      <c r="I13250" s="8" t="str">
        <f ca="1">IFERROR(__xludf.DUMMYFUNCTION("IF
(
G13251=""фізична особа""
,
VLOOKUP(H13251,IMPORTRANGE(""https://docs.google.com/spreadsheets/d/14Bd19lYaqBhU8_DElYkX7l4wRkHqqCUFNJY4AfY3kHU/edit?usp=sharing  #gid=0"",""фіз особи new!relations_name""),6,FALSE)
,
(IF
(
G13251=""юридична особа""
,
VLOO"&amp;"KUP(H13251,IMPORTRANGE(""https://docs.google.com/spreadsheets/d/14Bd19lYaqBhU8_DElYkX7l4wRkHqqCUFNJY4AfY3kHU/edit?usp=sharing  #gid=0"",""фіз особи new!relations_name_uo""),7,FALSE)
,
)
))"),"БАКІН Володимир Олегович")</f>
        <v>БАКІН Володимир Олегович</v>
      </c>
      <c r="J13250" s="7" t="s">
        <v>23</v>
      </c>
    </row>
    <row r="13251" spans="1:10" ht="13.2">
      <c r="A13251" s="7">
        <v>13250</v>
      </c>
      <c r="B13251" s="7">
        <v>1</v>
      </c>
      <c r="C13251" s="7" t="s">
        <v>10</v>
      </c>
      <c r="D13251" s="7">
        <v>18442</v>
      </c>
      <c r="E13251" s="7" t="s">
        <v>23</v>
      </c>
      <c r="F13251" s="8" t="str">
        <f ca="1">IFERROR(__xludf.DUMMYFUNCTION("IF
(
C13252=""фізична особа""
,
VLOOKUP(D13252,IMPORTRANGE(""https://docs.google.com/spreadsheets/d/14Bd19lYaqBhU8_DElYkX7l4wRkHqqCUFNJY4AfY3kHU/edit?usp=sharing  #gid=0"",""фіз особи new!relations_name""),6,FALSE)
,
(IF
(
C13252=""юридична особа""
,
VLOO"&amp;"KUP(D13252,IMPORTRANGE(""https://docs.google.com/spreadsheets/d/14Bd19lYaqBhU8_DElYkX7l4wRkHqqCUFNJY4AfY3kHU/edit?usp=sharing  #gid=0"",""фіз особи new!relations_name_uo""),7,FALSE)
,
)
))"),"КУЧМАСОВА Ірина")</f>
        <v>КУЧМАСОВА Ірина</v>
      </c>
      <c r="G13251" s="7" t="s">
        <v>10</v>
      </c>
      <c r="H13251" s="7">
        <v>1443</v>
      </c>
      <c r="I13251" s="8" t="str">
        <f ca="1">IFERROR(__xludf.DUMMYFUNCTION("IF
(
G13252=""фізична особа""
,
VLOOKUP(H13252,IMPORTRANGE(""https://docs.google.com/spreadsheets/d/14Bd19lYaqBhU8_DElYkX7l4wRkHqqCUFNJY4AfY3kHU/edit?usp=sharing  #gid=0"",""фіз особи new!relations_name""),6,FALSE)
,
(IF
(
G13252=""юридична особа""
,
VLOO"&amp;"KUP(H13252,IMPORTRANGE(""https://docs.google.com/spreadsheets/d/14Bd19lYaqBhU8_DElYkX7l4wRkHqqCUFNJY4AfY3kHU/edit?usp=sharing  #gid=0"",""фіз особи new!relations_name_uo""),7,FALSE)
,
)
))"),"БАКАЛЬЧУК Тетяна Володимирівна")</f>
        <v>БАКАЛЬЧУК Тетяна Володимирівна</v>
      </c>
      <c r="J13251" s="7" t="s">
        <v>23</v>
      </c>
    </row>
    <row r="13252" spans="1:10" ht="13.2">
      <c r="A13252" s="7">
        <v>13251</v>
      </c>
      <c r="B13252" s="7">
        <v>1</v>
      </c>
      <c r="C13252" s="7" t="s">
        <v>10</v>
      </c>
      <c r="D13252" s="7">
        <v>18442</v>
      </c>
      <c r="E13252" s="7" t="s">
        <v>23</v>
      </c>
      <c r="F13252" s="8" t="str">
        <f ca="1">IFERROR(__xludf.DUMMYFUNCTION("IF
(
C13253=""фізична особа""
,
VLOOKUP(D13253,IMPORTRANGE(""https://docs.google.com/spreadsheets/d/14Bd19lYaqBhU8_DElYkX7l4wRkHqqCUFNJY4AfY3kHU/edit?usp=sharing  #gid=0"",""фіз особи new!relations_name""),6,FALSE)
,
(IF
(
C13253=""юридична особа""
,
VLOO"&amp;"KUP(D13253,IMPORTRANGE(""https://docs.google.com/spreadsheets/d/14Bd19lYaqBhU8_DElYkX7l4wRkHqqCUFNJY4AfY3kHU/edit?usp=sharing  #gid=0"",""фіз особи new!relations_name_uo""),7,FALSE)
,
)
))"),"КУЧМАСОВА Ірина")</f>
        <v>КУЧМАСОВА Ірина</v>
      </c>
      <c r="G13252" s="7" t="s">
        <v>10</v>
      </c>
      <c r="H13252" s="7">
        <v>18438</v>
      </c>
      <c r="I13252" s="8" t="str">
        <f ca="1">IFERROR(__xludf.DUMMYFUNCTION("IF
(
G13253=""фізична особа""
,
VLOOKUP(H13253,IMPORTRANGE(""https://docs.google.com/spreadsheets/d/14Bd19lYaqBhU8_DElYkX7l4wRkHqqCUFNJY4AfY3kHU/edit?usp=sharing  #gid=0"",""фіз особи new!relations_name""),6,FALSE)
,
(IF
(
G13253=""юридична особа""
,
VLOO"&amp;"KUP(H13253,IMPORTRANGE(""https://docs.google.com/spreadsheets/d/14Bd19lYaqBhU8_DElYkX7l4wRkHqqCUFNJY4AfY3kHU/edit?usp=sharing  #gid=0"",""фіз особи new!relations_name_uo""),7,FALSE)
,
)
))"),"МЕЛЬНИК Марина Юріївна")</f>
        <v>МЕЛЬНИК Марина Юріївна</v>
      </c>
      <c r="J13252" s="7" t="s">
        <v>23</v>
      </c>
    </row>
    <row r="13253" spans="1:10" ht="13.2">
      <c r="A13253" s="7">
        <v>13252</v>
      </c>
      <c r="B13253" s="7">
        <v>1</v>
      </c>
      <c r="C13253" s="7" t="s">
        <v>10</v>
      </c>
      <c r="D13253" s="7">
        <v>18444</v>
      </c>
      <c r="E13253" s="7" t="s">
        <v>23</v>
      </c>
      <c r="F13253" s="8" t="str">
        <f ca="1">IFERROR(__xludf.DUMMYFUNCTION("IF
(
C13254=""фізична особа""
,
VLOOKUP(D13254,IMPORTRANGE(""https://docs.google.com/spreadsheets/d/14Bd19lYaqBhU8_DElYkX7l4wRkHqqCUFNJY4AfY3kHU/edit?usp=sharing  #gid=0"",""фіз особи new!relations_name""),6,FALSE)
,
(IF
(
C13254=""юридична особа""
,
VLOO"&amp;"KUP(D13254,IMPORTRANGE(""https://docs.google.com/spreadsheets/d/14Bd19lYaqBhU8_DElYkX7l4wRkHqqCUFNJY4AfY3kHU/edit?usp=sharing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G13253" s="7" t="s">
        <v>10</v>
      </c>
      <c r="H13253" s="7">
        <v>18443</v>
      </c>
      <c r="I13253" s="8" t="str">
        <f ca="1">IFERROR(__xludf.DUMMYFUNCTION("IF
(
G13254=""фізична особа""
,
VLOOKUP(H13254,IMPORTRANGE(""https://docs.google.com/spreadsheets/d/14Bd19lYaqBhU8_DElYkX7l4wRkHqqCUFNJY4AfY3kHU/edit?usp=sharing  #gid=0"",""фіз особи new!relations_name""),6,FALSE)
,
(IF
(
G13254=""юридична особа""
,
VLOO"&amp;"KUP(H13254,IMPORTRANGE(""https://docs.google.com/spreadsheets/d/14Bd19lYaqBhU8_DElYkX7l4wRkHqqCUFNJY4AfY3kHU/edit?usp=sharing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53" s="7" t="s">
        <v>23</v>
      </c>
    </row>
    <row r="13254" spans="1:10" ht="13.2">
      <c r="A13254" s="7">
        <v>13253</v>
      </c>
      <c r="B13254" s="7">
        <v>1</v>
      </c>
      <c r="C13254" s="7" t="s">
        <v>10</v>
      </c>
      <c r="D13254" s="7">
        <v>18444</v>
      </c>
      <c r="E13254" s="7" t="s">
        <v>23</v>
      </c>
      <c r="F13254" s="8" t="str">
        <f ca="1">IFERROR(__xludf.DUMMYFUNCTION("IF
(
C13255=""фізична особа""
,
VLOOKUP(D13255,IMPORTRANGE(""https://docs.google.com/spreadsheets/d/14Bd19lYaqBhU8_DElYkX7l4wRkHqqCUFNJY4AfY3kHU/edit?usp=sharing  #gid=0"",""фіз особи new!relations_name""),6,FALSE)
,
(IF
(
C13255=""юридична особа""
,
VLOO"&amp;"KUP(D13255,IMPORTRANGE(""https://docs.google.com/spreadsheets/d/14Bd19lYaqBhU8_DElYkX7l4wRkHqqCUFNJY4AfY3kHU/edit?usp=sharing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G13254" s="7" t="s">
        <v>10</v>
      </c>
      <c r="H13254" s="7">
        <v>0</v>
      </c>
      <c r="I13254" s="8" t="str">
        <f ca="1">IFERROR(__xludf.DUMMYFUNCTION("IF
(
G13255=""фізична особа""
,
VLOOKUP(H13255,IMPORTRANGE(""https://docs.google.com/spreadsheets/d/14Bd19lYaqBhU8_DElYkX7l4wRkHqqCUFNJY4AfY3kHU/edit?usp=sharing  #gid=0"",""фіз особи new!relations_name""),6,FALSE)
,
(IF
(
G13255=""юридична особа""
,
VLOO"&amp;"KUP(H13255,IMPORTRANGE(""https://docs.google.com/spreadsheets/d/14Bd19lYaqBhU8_DElYkX7l4wRkHqqCUFNJY4AfY3kHU/edit?usp=sharing  #gid=0"",""фіз особи new!relations_name_uo""),7,FALSE)
,
)
))"),"#N/A")</f>
        <v>#N/A</v>
      </c>
      <c r="J13254" s="7" t="s">
        <v>23</v>
      </c>
    </row>
    <row r="13255" spans="1:10" ht="13.2">
      <c r="A13255" s="7">
        <v>13254</v>
      </c>
      <c r="B13255" s="7">
        <v>1</v>
      </c>
      <c r="C13255" s="7" t="s">
        <v>10</v>
      </c>
      <c r="D13255" s="7">
        <v>18444</v>
      </c>
      <c r="E13255" s="7" t="s">
        <v>14</v>
      </c>
      <c r="F13255" s="8" t="str">
        <f ca="1">IFERROR(__xludf.DUMMYFUNCTION("IF
(
C13256=""фізична особа""
,
VLOOKUP(D13256,IMPORTRANGE(""https://docs.google.com/spreadsheets/d/14Bd19lYaqBhU8_DElYkX7l4wRkHqqCUFNJY4AfY3kHU/edit?usp=sharing  #gid=0"",""фіз особи new!relations_name""),6,FALSE)
,
(IF
(
C13256=""юридична особа""
,
VLOO"&amp;"KUP(D13256,IMPORTRANGE(""https://docs.google.com/spreadsheets/d/14Bd19lYaqBhU8_DElYkX7l4wRkHqqCUFNJY4AfY3kHU/edit?usp=sharing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G13255" s="7" t="s">
        <v>10</v>
      </c>
      <c r="H13255" s="7">
        <v>18572</v>
      </c>
      <c r="I13255" s="8" t="str">
        <f ca="1">IFERROR(__xludf.DUMMYFUNCTION("IF
(
G13256=""фізична особа""
,
VLOOKUP(H13256,IMPORTRANGE(""https://docs.google.com/spreadsheets/d/14Bd19lYaqBhU8_DElYkX7l4wRkHqqCUFNJY4AfY3kHU/edit?usp=sharing  #gid=0"",""фіз особи new!relations_name""),6,FALSE)
,
(IF
(
G13256=""юридична особа""
,
VLOO"&amp;"KUP(H13256,IMPORTRANGE(""https://docs.google.com/spreadsheets/d/14Bd19lYaqBhU8_DElYkX7l4wRkHqqCUFNJY4AfY3kHU/edit?usp=sharing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J13255" s="7" t="s">
        <v>15</v>
      </c>
    </row>
    <row r="13256" spans="1:10" ht="13.2">
      <c r="A13256" s="7">
        <v>13255</v>
      </c>
      <c r="B13256" s="7">
        <v>1</v>
      </c>
      <c r="C13256" s="7" t="s">
        <v>10</v>
      </c>
      <c r="D13256" s="7">
        <v>18445</v>
      </c>
      <c r="E13256" s="7" t="s">
        <v>23</v>
      </c>
      <c r="F13256" s="8" t="str">
        <f ca="1">IFERROR(__xludf.DUMMYFUNCTION("IF
(
C13257=""фізична особа""
,
VLOOKUP(D13257,IMPORTRANGE(""https://docs.google.com/spreadsheets/d/14Bd19lYaqBhU8_DElYkX7l4wRkHqqCUFNJY4AfY3kHU/edit?usp=sharing  #gid=0"",""фіз особи new!relations_name""),6,FALSE)
,
(IF
(
C13257=""юридична особа""
,
VLOO"&amp;"KUP(D13257,IMPORTRANGE(""https://docs.google.com/spreadsheets/d/14Bd19lYaqBhU8_DElYkX7l4wRkHqqCUFNJY4AfY3kHU/edit?usp=sharing  #gid=0"",""фіз особи new!relations_name_uo""),7,FALSE)
,
)
))"),"КУДРЯШОВ Олексій Володимирович")</f>
        <v>КУДРЯШОВ Олексій Володимирович</v>
      </c>
      <c r="G13256" s="7" t="s">
        <v>10</v>
      </c>
      <c r="H13256" s="7">
        <v>18443</v>
      </c>
      <c r="I13256" s="8" t="str">
        <f ca="1">IFERROR(__xludf.DUMMYFUNCTION("IF
(
G13257=""фізична особа""
,
VLOOKUP(H13257,IMPORTRANGE(""https://docs.google.com/spreadsheets/d/14Bd19lYaqBhU8_DElYkX7l4wRkHqqCUFNJY4AfY3kHU/edit?usp=sharing  #gid=0"",""фіз особи new!relations_name""),6,FALSE)
,
(IF
(
G13257=""юридична особа""
,
VLOO"&amp;"KUP(H13257,IMPORTRANGE(""https://docs.google.com/spreadsheets/d/14Bd19lYaqBhU8_DElYkX7l4wRkHqqCUFNJY4AfY3kHU/edit?usp=sharing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56" s="7" t="s">
        <v>23</v>
      </c>
    </row>
    <row r="13257" spans="1:10" ht="13.2">
      <c r="A13257" s="7">
        <v>13256</v>
      </c>
      <c r="B13257" s="7">
        <v>1</v>
      </c>
      <c r="C13257" s="7" t="s">
        <v>10</v>
      </c>
      <c r="D13257" s="7">
        <v>18445</v>
      </c>
      <c r="E13257" s="7" t="s">
        <v>23</v>
      </c>
      <c r="F13257" s="8" t="str">
        <f ca="1">IFERROR(__xludf.DUMMYFUNCTION("IF
(
C13258=""фізична особа""
,
VLOOKUP(D13258,IMPORTRANGE(""https://docs.google.com/spreadsheets/d/14Bd19lYaqBhU8_DElYkX7l4wRkHqqCUFNJY4AfY3kHU/edit?usp=sharing  #gid=0"",""фіз особи new!relations_name""),6,FALSE)
,
(IF
(
C13258=""юридична особа""
,
VLOO"&amp;"KUP(D13258,IMPORTRANGE(""https://docs.google.com/spreadsheets/d/14Bd19lYaqBhU8_DElYkX7l4wRkHqqCUFNJY4AfY3kHU/edit?usp=sharing  #gid=0"",""фіз особи new!relations_name_uo""),7,FALSE)
,
)
))"),"КУДРЯШОВ Олексій Володимирович")</f>
        <v>КУДРЯШОВ Олексій Володимирович</v>
      </c>
      <c r="G13257" s="7" t="s">
        <v>10</v>
      </c>
      <c r="H13257" s="7">
        <v>18444</v>
      </c>
      <c r="I13257" s="8" t="str">
        <f ca="1">IFERROR(__xludf.DUMMYFUNCTION("IF
(
G13258=""фізична особа""
,
VLOOKUP(H13258,IMPORTRANGE(""https://docs.google.com/spreadsheets/d/14Bd19lYaqBhU8_DElYkX7l4wRkHqqCUFNJY4AfY3kHU/edit?usp=sharing  #gid=0"",""фіз особи new!relations_name""),6,FALSE)
,
(IF
(
G13258=""юридична особа""
,
VLOO"&amp;"KUP(H13258,IMPORTRANGE(""https://docs.google.com/spreadsheets/d/14Bd19lYaqBhU8_DElYkX7l4wRkHqqCUFNJY4AfY3kHU/edit?usp=sharing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57" s="7" t="s">
        <v>23</v>
      </c>
    </row>
    <row r="13258" spans="1:10" ht="13.2">
      <c r="A13258" s="7">
        <v>13257</v>
      </c>
      <c r="B13258" s="7">
        <v>1</v>
      </c>
      <c r="C13258" s="7" t="s">
        <v>10</v>
      </c>
      <c r="D13258" s="7">
        <v>18446</v>
      </c>
      <c r="E13258" s="7" t="s">
        <v>23</v>
      </c>
      <c r="F13258" s="8" t="str">
        <f ca="1">IFERROR(__xludf.DUMMYFUNCTION("IF
(
C13259=""фізична особа""
,
VLOOKUP(D13259,IMPORTRANGE(""https://docs.google.com/spreadsheets/d/14Bd19lYaqBhU8_DElYkX7l4wRkHqqCUFNJY4AfY3kHU/edit?usp=sharing  #gid=0"",""фіз особи new!relations_name""),6,FALSE)
,
(IF
(
C13259=""юридична особа""
,
VLOO"&amp;"KUP(D13259,IMPORTRANGE(""https://docs.google.com/spreadsheets/d/14Bd19lYaqBhU8_DElYkX7l4wRkHqqCUFNJY4AfY3kHU/edit?usp=sharing  #gid=0"",""фіз особи new!relations_name_uo""),7,FALSE)
,
)
))"),"ГРИШАНОВА Наталія Павлівна")</f>
        <v>ГРИШАНОВА Наталія Павлівна</v>
      </c>
      <c r="G13258" s="7" t="s">
        <v>10</v>
      </c>
      <c r="H13258" s="7">
        <v>18443</v>
      </c>
      <c r="I13258" s="8" t="str">
        <f ca="1">IFERROR(__xludf.DUMMYFUNCTION("IF
(
G13259=""фізична особа""
,
VLOOKUP(H13259,IMPORTRANGE(""https://docs.google.com/spreadsheets/d/14Bd19lYaqBhU8_DElYkX7l4wRkHqqCUFNJY4AfY3kHU/edit?usp=sharing  #gid=0"",""фіз особи new!relations_name""),6,FALSE)
,
(IF
(
G13259=""юридична особа""
,
VLOO"&amp;"KUP(H13259,IMPORTRANGE(""https://docs.google.com/spreadsheets/d/14Bd19lYaqBhU8_DElYkX7l4wRkHqqCUFNJY4AfY3kHU/edit?usp=sharing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58" s="7" t="s">
        <v>23</v>
      </c>
    </row>
    <row r="13259" spans="1:10" ht="13.2">
      <c r="A13259" s="7">
        <v>13258</v>
      </c>
      <c r="B13259" s="7">
        <v>1</v>
      </c>
      <c r="C13259" s="7" t="s">
        <v>10</v>
      </c>
      <c r="D13259" s="7">
        <v>18446</v>
      </c>
      <c r="E13259" s="7" t="s">
        <v>23</v>
      </c>
      <c r="F13259" s="8" t="str">
        <f ca="1">IFERROR(__xludf.DUMMYFUNCTION("IF
(
C13260=""фізична особа""
,
VLOOKUP(D13260,IMPORTRANGE(""https://docs.google.com/spreadsheets/d/14Bd19lYaqBhU8_DElYkX7l4wRkHqqCUFNJY4AfY3kHU/edit?usp=sharing  #gid=0"",""фіз особи new!relations_name""),6,FALSE)
,
(IF
(
C13260=""юридична особа""
,
VLOO"&amp;"KUP(D13260,IMPORTRANGE(""https://docs.google.com/spreadsheets/d/14Bd19lYaqBhU8_DElYkX7l4wRkHqqCUFNJY4AfY3kHU/edit?usp=sharing  #gid=0"",""фіз особи new!relations_name_uo""),7,FALSE)
,
)
))"),"ГРИШАНОВА Наталія Павлівна")</f>
        <v>ГРИШАНОВА Наталія Павлівна</v>
      </c>
      <c r="G13259" s="7" t="s">
        <v>10</v>
      </c>
      <c r="H13259" s="7">
        <v>18444</v>
      </c>
      <c r="I13259" s="8" t="str">
        <f ca="1">IFERROR(__xludf.DUMMYFUNCTION("IF
(
G13260=""фізична особа""
,
VLOOKUP(H13260,IMPORTRANGE(""https://docs.google.com/spreadsheets/d/14Bd19lYaqBhU8_DElYkX7l4wRkHqqCUFNJY4AfY3kHU/edit?usp=sharing  #gid=0"",""фіз особи new!relations_name""),6,FALSE)
,
(IF
(
G13260=""юридична особа""
,
VLOO"&amp;"KUP(H13260,IMPORTRANGE(""https://docs.google.com/spreadsheets/d/14Bd19lYaqBhU8_DElYkX7l4wRkHqqCUFNJY4AfY3kHU/edit?usp=sharing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59" s="7" t="s">
        <v>23</v>
      </c>
    </row>
    <row r="13260" spans="1:10" ht="13.2">
      <c r="A13260" s="7">
        <v>13259</v>
      </c>
      <c r="B13260" s="7">
        <v>1</v>
      </c>
      <c r="C13260" s="7" t="s">
        <v>10</v>
      </c>
      <c r="D13260" s="7">
        <v>18447</v>
      </c>
      <c r="E13260" s="7" t="s">
        <v>23</v>
      </c>
      <c r="F13260" s="8" t="str">
        <f ca="1">IFERROR(__xludf.DUMMYFUNCTION("IF
(
C13261=""фізична особа""
,
VLOOKUP(D13261,IMPORTRANGE(""https://docs.google.com/spreadsheets/d/14Bd19lYaqBhU8_DElYkX7l4wRkHqqCUFNJY4AfY3kHU/edit?usp=sharing  #gid=0"",""фіз особи new!relations_name""),6,FALSE)
,
(IF
(
C13261=""юридична особа""
,
VLOO"&amp;"KUP(D13261,IMPORTRANGE(""https://docs.google.com/spreadsheets/d/14Bd19lYaqBhU8_DElYkX7l4wRkHqqCUFNJY4AfY3kHU/edit?usp=sharing  #gid=0"",""фіз особи new!relations_name_uo""),7,FALSE)
,
)
))"),"ШИЛЯЄВА Світлана Миколаївна")</f>
        <v>ШИЛЯЄВА Світлана Миколаївна</v>
      </c>
      <c r="G13260" s="7" t="s">
        <v>10</v>
      </c>
      <c r="H13260" s="7">
        <v>18443</v>
      </c>
      <c r="I13260" s="8" t="str">
        <f ca="1">IFERROR(__xludf.DUMMYFUNCTION("IF
(
G13261=""фізична особа""
,
VLOOKUP(H13261,IMPORTRANGE(""https://docs.google.com/spreadsheets/d/14Bd19lYaqBhU8_DElYkX7l4wRkHqqCUFNJY4AfY3kHU/edit?usp=sharing  #gid=0"",""фіз особи new!relations_name""),6,FALSE)
,
(IF
(
G13261=""юридична особа""
,
VLOO"&amp;"KUP(H13261,IMPORTRANGE(""https://docs.google.com/spreadsheets/d/14Bd19lYaqBhU8_DElYkX7l4wRkHqqCUFNJY4AfY3kHU/edit?usp=sharing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60" s="7" t="s">
        <v>23</v>
      </c>
    </row>
    <row r="13261" spans="1:10" ht="13.2">
      <c r="A13261" s="7">
        <v>13260</v>
      </c>
      <c r="B13261" s="7">
        <v>1</v>
      </c>
      <c r="C13261" s="7" t="s">
        <v>10</v>
      </c>
      <c r="D13261" s="7">
        <v>18447</v>
      </c>
      <c r="E13261" s="7" t="s">
        <v>23</v>
      </c>
      <c r="F13261" s="8" t="str">
        <f ca="1">IFERROR(__xludf.DUMMYFUNCTION("IF
(
C13262=""фізична особа""
,
VLOOKUP(D13262,IMPORTRANGE(""https://docs.google.com/spreadsheets/d/14Bd19lYaqBhU8_DElYkX7l4wRkHqqCUFNJY4AfY3kHU/edit?usp=sharing  #gid=0"",""фіз особи new!relations_name""),6,FALSE)
,
(IF
(
C13262=""юридична особа""
,
VLOO"&amp;"KUP(D13262,IMPORTRANGE(""https://docs.google.com/spreadsheets/d/14Bd19lYaqBhU8_DElYkX7l4wRkHqqCUFNJY4AfY3kHU/edit?usp=sharing  #gid=0"",""фіз особи new!relations_name_uo""),7,FALSE)
,
)
))"),"ШИЛЯЄВА Світлана Миколаївна")</f>
        <v>ШИЛЯЄВА Світлана Миколаївна</v>
      </c>
      <c r="G13261" s="7" t="s">
        <v>10</v>
      </c>
      <c r="H13261" s="7">
        <v>18444</v>
      </c>
      <c r="I13261" s="8" t="str">
        <f ca="1">IFERROR(__xludf.DUMMYFUNCTION("IF
(
G13262=""фізична особа""
,
VLOOKUP(H13262,IMPORTRANGE(""https://docs.google.com/spreadsheets/d/14Bd19lYaqBhU8_DElYkX7l4wRkHqqCUFNJY4AfY3kHU/edit?usp=sharing  #gid=0"",""фіз особи new!relations_name""),6,FALSE)
,
(IF
(
G13262=""юридична особа""
,
VLOO"&amp;"KUP(H13262,IMPORTRANGE(""https://docs.google.com/spreadsheets/d/14Bd19lYaqBhU8_DElYkX7l4wRkHqqCUFNJY4AfY3kHU/edit?usp=sharing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61" s="7" t="s">
        <v>23</v>
      </c>
    </row>
    <row r="13262" spans="1:10" ht="13.2">
      <c r="A13262" s="7">
        <v>13261</v>
      </c>
      <c r="B13262" s="7">
        <v>1</v>
      </c>
      <c r="C13262" s="7" t="s">
        <v>10</v>
      </c>
      <c r="D13262" s="7">
        <v>18448</v>
      </c>
      <c r="E13262" s="7" t="s">
        <v>23</v>
      </c>
      <c r="F13262" s="8" t="str">
        <f ca="1">IFERROR(__xludf.DUMMYFUNCTION("IF
(
C13263=""фізична особа""
,
VLOOKUP(D13263,IMPORTRANGE(""https://docs.google.com/spreadsheets/d/14Bd19lYaqBhU8_DElYkX7l4wRkHqqCUFNJY4AfY3kHU/edit?usp=sharing  #gid=0"",""фіз особи new!relations_name""),6,FALSE)
,
(IF
(
C13263=""юридична особа""
,
VLOO"&amp;"KUP(D13263,IMPORTRANGE(""https://docs.google.com/spreadsheets/d/14Bd19lYaqBhU8_DElYkX7l4wRkHqqCUFNJY4AfY3kHU/edit?usp=sharing  #gid=0"",""фіз особи new!relations_name_uo""),7,FALSE)
,
)
))"),"ЛЮТИНСЬКА Оксана Володимирівна")</f>
        <v>ЛЮТИНСЬКА Оксана Володимирівна</v>
      </c>
      <c r="G13262" s="7" t="s">
        <v>10</v>
      </c>
      <c r="H13262" s="7">
        <v>18443</v>
      </c>
      <c r="I13262" s="8" t="str">
        <f ca="1">IFERROR(__xludf.DUMMYFUNCTION("IF
(
G13263=""фізична особа""
,
VLOOKUP(H13263,IMPORTRANGE(""https://docs.google.com/spreadsheets/d/14Bd19lYaqBhU8_DElYkX7l4wRkHqqCUFNJY4AfY3kHU/edit?usp=sharing  #gid=0"",""фіз особи new!relations_name""),6,FALSE)
,
(IF
(
G13263=""юридична особа""
,
VLOO"&amp;"KUP(H13263,IMPORTRANGE(""https://docs.google.com/spreadsheets/d/14Bd19lYaqBhU8_DElYkX7l4wRkHqqCUFNJY4AfY3kHU/edit?usp=sharing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62" s="7" t="s">
        <v>23</v>
      </c>
    </row>
    <row r="13263" spans="1:10" ht="13.2">
      <c r="A13263" s="7">
        <v>13262</v>
      </c>
      <c r="B13263" s="7">
        <v>1</v>
      </c>
      <c r="C13263" s="7" t="s">
        <v>10</v>
      </c>
      <c r="D13263" s="7">
        <v>18448</v>
      </c>
      <c r="E13263" s="7" t="s">
        <v>23</v>
      </c>
      <c r="F13263" s="8" t="str">
        <f ca="1">IFERROR(__xludf.DUMMYFUNCTION("IF
(
C13264=""фізична особа""
,
VLOOKUP(D13264,IMPORTRANGE(""https://docs.google.com/spreadsheets/d/14Bd19lYaqBhU8_DElYkX7l4wRkHqqCUFNJY4AfY3kHU/edit?usp=sharing  #gid=0"",""фіз особи new!relations_name""),6,FALSE)
,
(IF
(
C13264=""юридична особа""
,
VLOO"&amp;"KUP(D13264,IMPORTRANGE(""https://docs.google.com/spreadsheets/d/14Bd19lYaqBhU8_DElYkX7l4wRkHqqCUFNJY4AfY3kHU/edit?usp=sharing  #gid=0"",""фіз особи new!relations_name_uo""),7,FALSE)
,
)
))"),"ЛЮТИНСЬКА Оксана Володимирівна")</f>
        <v>ЛЮТИНСЬКА Оксана Володимирівна</v>
      </c>
      <c r="G13263" s="7" t="s">
        <v>10</v>
      </c>
      <c r="H13263" s="7">
        <v>18444</v>
      </c>
      <c r="I13263" s="8" t="str">
        <f ca="1">IFERROR(__xludf.DUMMYFUNCTION("IF
(
G13264=""фізична особа""
,
VLOOKUP(H13264,IMPORTRANGE(""https://docs.google.com/spreadsheets/d/14Bd19lYaqBhU8_DElYkX7l4wRkHqqCUFNJY4AfY3kHU/edit?usp=sharing  #gid=0"",""фіз особи new!relations_name""),6,FALSE)
,
(IF
(
G13264=""юридична особа""
,
VLOO"&amp;"KUP(H13264,IMPORTRANGE(""https://docs.google.com/spreadsheets/d/14Bd19lYaqBhU8_DElYkX7l4wRkHqqCUFNJY4AfY3kHU/edit?usp=sharing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63" s="7" t="s">
        <v>23</v>
      </c>
    </row>
    <row r="13264" spans="1:10" ht="13.2">
      <c r="A13264" s="7">
        <v>13263</v>
      </c>
      <c r="B13264" s="7">
        <v>1</v>
      </c>
      <c r="C13264" s="7" t="s">
        <v>10</v>
      </c>
      <c r="D13264" s="7">
        <v>18449</v>
      </c>
      <c r="E13264" s="7" t="s">
        <v>23</v>
      </c>
      <c r="F13264" s="8" t="str">
        <f ca="1">IFERROR(__xludf.DUMMYFUNCTION("IF
(
C13265=""фізична особа""
,
VLOOKUP(D13265,IMPORTRANGE(""https://docs.google.com/spreadsheets/d/14Bd19lYaqBhU8_DElYkX7l4wRkHqqCUFNJY4AfY3kHU/edit?usp=sharing  #gid=0"",""фіз особи new!relations_name""),6,FALSE)
,
(IF
(
C13265=""юридична особа""
,
VLOO"&amp;"KUP(D13265,IMPORTRANGE(""https://docs.google.com/spreadsheets/d/14Bd19lYaqBhU8_DElYkX7l4wRkHqqCUFNJY4AfY3kHU/edit?usp=sharing  #gid=0"",""фіз особи new!relations_name_uo""),7,FALSE)
,
)
))"),"МАРКІН Борис Васильович")</f>
        <v>МАРКІН Борис Васильович</v>
      </c>
      <c r="G13264" s="7" t="s">
        <v>10</v>
      </c>
      <c r="H13264" s="7">
        <v>18443</v>
      </c>
      <c r="I13264" s="8" t="str">
        <f ca="1">IFERROR(__xludf.DUMMYFUNCTION("IF
(
G13265=""фізична особа""
,
VLOOKUP(H13265,IMPORTRANGE(""https://docs.google.com/spreadsheets/d/14Bd19lYaqBhU8_DElYkX7l4wRkHqqCUFNJY4AfY3kHU/edit?usp=sharing  #gid=0"",""фіз особи new!relations_name""),6,FALSE)
,
(IF
(
G13265=""юридична особа""
,
VLOO"&amp;"KUP(H13265,IMPORTRANGE(""https://docs.google.com/spreadsheets/d/14Bd19lYaqBhU8_DElYkX7l4wRkHqqCUFNJY4AfY3kHU/edit?usp=sharing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64" s="7" t="s">
        <v>23</v>
      </c>
    </row>
    <row r="13265" spans="1:10" ht="13.2">
      <c r="A13265" s="7">
        <v>13264</v>
      </c>
      <c r="B13265" s="7">
        <v>1</v>
      </c>
      <c r="C13265" s="7" t="s">
        <v>10</v>
      </c>
      <c r="D13265" s="7">
        <v>18449</v>
      </c>
      <c r="E13265" s="7" t="s">
        <v>23</v>
      </c>
      <c r="F13265" s="8" t="str">
        <f ca="1">IFERROR(__xludf.DUMMYFUNCTION("IF
(
C13266=""фізична особа""
,
VLOOKUP(D13266,IMPORTRANGE(""https://docs.google.com/spreadsheets/d/14Bd19lYaqBhU8_DElYkX7l4wRkHqqCUFNJY4AfY3kHU/edit?usp=sharing  #gid=0"",""фіз особи new!relations_name""),6,FALSE)
,
(IF
(
C13266=""юридична особа""
,
VLOO"&amp;"KUP(D13266,IMPORTRANGE(""https://docs.google.com/spreadsheets/d/14Bd19lYaqBhU8_DElYkX7l4wRkHqqCUFNJY4AfY3kHU/edit?usp=sharing  #gid=0"",""фіз особи new!relations_name_uo""),7,FALSE)
,
)
))"),"МАРКІН Борис Васильович")</f>
        <v>МАРКІН Борис Васильович</v>
      </c>
      <c r="G13265" s="7" t="s">
        <v>10</v>
      </c>
      <c r="H13265" s="7">
        <v>18444</v>
      </c>
      <c r="I13265" s="8" t="str">
        <f ca="1">IFERROR(__xludf.DUMMYFUNCTION("IF
(
G13266=""фізична особа""
,
VLOOKUP(H13266,IMPORTRANGE(""https://docs.google.com/spreadsheets/d/14Bd19lYaqBhU8_DElYkX7l4wRkHqqCUFNJY4AfY3kHU/edit?usp=sharing  #gid=0"",""фіз особи new!relations_name""),6,FALSE)
,
(IF
(
G13266=""юридична особа""
,
VLOO"&amp;"KUP(H13266,IMPORTRANGE(""https://docs.google.com/spreadsheets/d/14Bd19lYaqBhU8_DElYkX7l4wRkHqqCUFNJY4AfY3kHU/edit?usp=sharing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65" s="7" t="s">
        <v>23</v>
      </c>
    </row>
    <row r="13266" spans="1:10" ht="13.2">
      <c r="A13266" s="7">
        <v>13265</v>
      </c>
      <c r="B13266" s="7">
        <v>1</v>
      </c>
      <c r="C13266" s="7" t="s">
        <v>10</v>
      </c>
      <c r="D13266" s="7">
        <v>18450</v>
      </c>
      <c r="E13266" s="7" t="s">
        <v>23</v>
      </c>
      <c r="F13266" s="8" t="str">
        <f ca="1">IFERROR(__xludf.DUMMYFUNCTION("IF
(
C13267=""фізична особа""
,
VLOOKUP(D13267,IMPORTRANGE(""https://docs.google.com/spreadsheets/d/14Bd19lYaqBhU8_DElYkX7l4wRkHqqCUFNJY4AfY3kHU/edit?usp=sharing  #gid=0"",""фіз особи new!relations_name""),6,FALSE)
,
(IF
(
C13267=""юридична особа""
,
VLOO"&amp;"KUP(D13267,IMPORTRANGE(""https://docs.google.com/spreadsheets/d/14Bd19lYaqBhU8_DElYkX7l4wRkHqqCUFNJY4AfY3kHU/edit?usp=sharing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G13266" s="7" t="s">
        <v>10</v>
      </c>
      <c r="H13266" s="7">
        <v>18443</v>
      </c>
      <c r="I13266" s="8" t="str">
        <f ca="1">IFERROR(__xludf.DUMMYFUNCTION("IF
(
G13267=""фізична особа""
,
VLOOKUP(H13267,IMPORTRANGE(""https://docs.google.com/spreadsheets/d/14Bd19lYaqBhU8_DElYkX7l4wRkHqqCUFNJY4AfY3kHU/edit?usp=sharing  #gid=0"",""фіз особи new!relations_name""),6,FALSE)
,
(IF
(
G13267=""юридична особа""
,
VLOO"&amp;"KUP(H13267,IMPORTRANGE(""https://docs.google.com/spreadsheets/d/14Bd19lYaqBhU8_DElYkX7l4wRkHqqCUFNJY4AfY3kHU/edit?usp=sharing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66" s="7" t="s">
        <v>23</v>
      </c>
    </row>
    <row r="13267" spans="1:10" ht="13.2">
      <c r="A13267" s="7">
        <v>13266</v>
      </c>
      <c r="B13267" s="7">
        <v>1</v>
      </c>
      <c r="C13267" s="7" t="s">
        <v>10</v>
      </c>
      <c r="D13267" s="7">
        <v>18450</v>
      </c>
      <c r="E13267" s="7" t="s">
        <v>23</v>
      </c>
      <c r="F13267" s="8" t="str">
        <f ca="1">IFERROR(__xludf.DUMMYFUNCTION("IF
(
C13268=""фізична особа""
,
VLOOKUP(D13268,IMPORTRANGE(""https://docs.google.com/spreadsheets/d/14Bd19lYaqBhU8_DElYkX7l4wRkHqqCUFNJY4AfY3kHU/edit?usp=sharing  #gid=0"",""фіз особи new!relations_name""),6,FALSE)
,
(IF
(
C13268=""юридична особа""
,
VLOO"&amp;"KUP(D13268,IMPORTRANGE(""https://docs.google.com/spreadsheets/d/14Bd19lYaqBhU8_DElYkX7l4wRkHqqCUFNJY4AfY3kHU/edit?usp=sharing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G13267" s="7" t="s">
        <v>10</v>
      </c>
      <c r="H13267" s="7">
        <v>18444</v>
      </c>
      <c r="I13267" s="8" t="str">
        <f ca="1">IFERROR(__xludf.DUMMYFUNCTION("IF
(
G13268=""фізична особа""
,
VLOOKUP(H13268,IMPORTRANGE(""https://docs.google.com/spreadsheets/d/14Bd19lYaqBhU8_DElYkX7l4wRkHqqCUFNJY4AfY3kHU/edit?usp=sharing  #gid=0"",""фіз особи new!relations_name""),6,FALSE)
,
(IF
(
G13268=""юридична особа""
,
VLOO"&amp;"KUP(H13268,IMPORTRANGE(""https://docs.google.com/spreadsheets/d/14Bd19lYaqBhU8_DElYkX7l4wRkHqqCUFNJY4AfY3kHU/edit?usp=sharing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67" s="7" t="s">
        <v>23</v>
      </c>
    </row>
    <row r="13268" spans="1:10" ht="13.2">
      <c r="A13268" s="7">
        <v>13267</v>
      </c>
      <c r="B13268" s="7">
        <v>1</v>
      </c>
      <c r="C13268" s="7" t="s">
        <v>10</v>
      </c>
      <c r="D13268" s="7">
        <v>18450</v>
      </c>
      <c r="E13268" s="7" t="s">
        <v>23</v>
      </c>
      <c r="F13268" s="8" t="str">
        <f ca="1">IFERROR(__xludf.DUMMYFUNCTION("IF
(
C13269=""фізична особа""
,
VLOOKUP(D13269,IMPORTRANGE(""https://docs.google.com/spreadsheets/d/14Bd19lYaqBhU8_DElYkX7l4wRkHqqCUFNJY4AfY3kHU/edit?usp=sharing  #gid=0"",""фіз особи new!relations_name""),6,FALSE)
,
(IF
(
C13269=""юридична особа""
,
VLOO"&amp;"KUP(D13269,IMPORTRANGE(""https://docs.google.com/spreadsheets/d/14Bd19lYaqBhU8_DElYkX7l4wRkHqqCUFNJY4AfY3kHU/edit?usp=sharing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G13268" s="7" t="s">
        <v>10</v>
      </c>
      <c r="H13268" s="7">
        <v>18574</v>
      </c>
      <c r="I13268" s="8" t="str">
        <f ca="1">IFERROR(__xludf.DUMMYFUNCTION("IF
(
G13269=""фізична особа""
,
VLOOKUP(H13269,IMPORTRANGE(""https://docs.google.com/spreadsheets/d/14Bd19lYaqBhU8_DElYkX7l4wRkHqqCUFNJY4AfY3kHU/edit?usp=sharing  #gid=0"",""фіз особи new!relations_name""),6,FALSE)
,
(IF
(
G13269=""юридична особа""
,
VLOO"&amp;"KUP(H13269,IMPORTRANGE(""https://docs.google.com/spreadsheets/d/14Bd19lYaqBhU8_DElYkX7l4wRkHqqCUFNJY4AfY3kHU/edit?usp=sharing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J13268" s="7" t="s">
        <v>23</v>
      </c>
    </row>
    <row r="13269" spans="1:10" ht="13.2">
      <c r="A13269" s="7">
        <v>13268</v>
      </c>
      <c r="B13269" s="7">
        <v>1</v>
      </c>
      <c r="C13269" s="7" t="s">
        <v>10</v>
      </c>
      <c r="D13269" s="7">
        <v>18450</v>
      </c>
      <c r="E13269" s="7" t="s">
        <v>23</v>
      </c>
      <c r="F13269" s="8" t="str">
        <f ca="1">IFERROR(__xludf.DUMMYFUNCTION("IF
(
C13270=""фізична особа""
,
VLOOKUP(D13270,IMPORTRANGE(""https://docs.google.com/spreadsheets/d/14Bd19lYaqBhU8_DElYkX7l4wRkHqqCUFNJY4AfY3kHU/edit?usp=sharing  #gid=0"",""фіз особи new!relations_name""),6,FALSE)
,
(IF
(
C13270=""юридична особа""
,
VLOO"&amp;"KUP(D13270,IMPORTRANGE(""https://docs.google.com/spreadsheets/d/14Bd19lYaqBhU8_DElYkX7l4wRkHqqCUFNJY4AfY3kHU/edit?usp=sharing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G13269" s="7" t="s">
        <v>10</v>
      </c>
      <c r="H13269" s="7">
        <v>18573</v>
      </c>
      <c r="I13269" s="8" t="str">
        <f ca="1">IFERROR(__xludf.DUMMYFUNCTION("IF
(
G13270=""фізична особа""
,
VLOOKUP(H13270,IMPORTRANGE(""https://docs.google.com/spreadsheets/d/14Bd19lYaqBhU8_DElYkX7l4wRkHqqCUFNJY4AfY3kHU/edit?usp=sharing  #gid=0"",""фіз особи new!relations_name""),6,FALSE)
,
(IF
(
G13270=""юридична особа""
,
VLOO"&amp;"KUP(H13270,IMPORTRANGE(""https://docs.google.com/spreadsheets/d/14Bd19lYaqBhU8_DElYkX7l4wRkHqqCUFNJY4AfY3kHU/edit?usp=sharing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J13269" s="7" t="s">
        <v>23</v>
      </c>
    </row>
    <row r="13270" spans="1:10" ht="13.2">
      <c r="A13270" s="7">
        <v>13269</v>
      </c>
      <c r="B13270" s="7">
        <v>1</v>
      </c>
      <c r="C13270" s="7" t="s">
        <v>10</v>
      </c>
      <c r="D13270" s="7">
        <v>18450</v>
      </c>
      <c r="E13270" s="7" t="s">
        <v>23</v>
      </c>
      <c r="F13270" s="8" t="str">
        <f ca="1">IFERROR(__xludf.DUMMYFUNCTION("IF
(
C13271=""фізична особа""
,
VLOOKUP(D13271,IMPORTRANGE(""https://docs.google.com/spreadsheets/d/14Bd19lYaqBhU8_DElYkX7l4wRkHqqCUFNJY4AfY3kHU/edit?usp=sharing  #gid=0"",""фіз особи new!relations_name""),6,FALSE)
,
(IF
(
C13271=""юридична особа""
,
VLOO"&amp;"KUP(D13271,IMPORTRANGE(""https://docs.google.com/spreadsheets/d/14Bd19lYaqBhU8_DElYkX7l4wRkHqqCUFNJY4AfY3kHU/edit?usp=sharing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G13270" s="7" t="s">
        <v>10</v>
      </c>
      <c r="H13270" s="7">
        <v>18571</v>
      </c>
      <c r="I13270" s="8" t="str">
        <f ca="1">IFERROR(__xludf.DUMMYFUNCTION("IF
(
G13271=""фізична особа""
,
VLOOKUP(H13271,IMPORTRANGE(""https://docs.google.com/spreadsheets/d/14Bd19lYaqBhU8_DElYkX7l4wRkHqqCUFNJY4AfY3kHU/edit?usp=sharing  #gid=0"",""фіз особи new!relations_name""),6,FALSE)
,
(IF
(
G13271=""юридична особа""
,
VLOO"&amp;"KUP(H13271,IMPORTRANGE(""https://docs.google.com/spreadsheets/d/14Bd19lYaqBhU8_DElYkX7l4wRkHqqCUFNJY4AfY3kHU/edit?usp=sharing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J13270" s="7" t="s">
        <v>23</v>
      </c>
    </row>
    <row r="13271" spans="1:10" ht="13.2">
      <c r="A13271" s="7">
        <v>13270</v>
      </c>
      <c r="B13271" s="7">
        <v>1</v>
      </c>
      <c r="C13271" s="7" t="s">
        <v>10</v>
      </c>
      <c r="D13271" s="7">
        <v>18451</v>
      </c>
      <c r="E13271" s="7" t="s">
        <v>23</v>
      </c>
      <c r="F13271" s="8" t="str">
        <f ca="1">IFERROR(__xludf.DUMMYFUNCTION("IF
(
C13272=""фізична особа""
,
VLOOKUP(D13272,IMPORTRANGE(""https://docs.google.com/spreadsheets/d/14Bd19lYaqBhU8_DElYkX7l4wRkHqqCUFNJY4AfY3kHU/edit?usp=sharing  #gid=0"",""фіз особи new!relations_name""),6,FALSE)
,
(IF
(
C13272=""юридична особа""
,
VLOO"&amp;"KUP(D13272,IMPORTRANGE(""https://docs.google.com/spreadsheets/d/14Bd19lYaqBhU8_DElYkX7l4wRkHqqCUFNJY4AfY3kHU/edit?usp=sharing  #gid=0"",""фіз особи new!relations_name_uo""),7,FALSE)
,
)
))"),"СИРОТА Олена Валеріївна")</f>
        <v>СИРОТА Олена Валеріївна</v>
      </c>
      <c r="G13271" s="7" t="s">
        <v>10</v>
      </c>
      <c r="H13271" s="7">
        <v>18443</v>
      </c>
      <c r="I13271" s="8" t="str">
        <f ca="1">IFERROR(__xludf.DUMMYFUNCTION("IF
(
G13272=""фізична особа""
,
VLOOKUP(H13272,IMPORTRANGE(""https://docs.google.com/spreadsheets/d/14Bd19lYaqBhU8_DElYkX7l4wRkHqqCUFNJY4AfY3kHU/edit?usp=sharing  #gid=0"",""фіз особи new!relations_name""),6,FALSE)
,
(IF
(
G13272=""юридична особа""
,
VLOO"&amp;"KUP(H13272,IMPORTRANGE(""https://docs.google.com/spreadsheets/d/14Bd19lYaqBhU8_DElYkX7l4wRkHqqCUFNJY4AfY3kHU/edit?usp=sharing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271" s="7" t="s">
        <v>23</v>
      </c>
    </row>
    <row r="13272" spans="1:10" ht="13.2">
      <c r="A13272" s="7">
        <v>13271</v>
      </c>
      <c r="B13272" s="7">
        <v>1</v>
      </c>
      <c r="C13272" s="7" t="s">
        <v>10</v>
      </c>
      <c r="D13272" s="7">
        <v>18451</v>
      </c>
      <c r="E13272" s="7" t="s">
        <v>23</v>
      </c>
      <c r="F13272" s="8" t="str">
        <f ca="1">IFERROR(__xludf.DUMMYFUNCTION("IF
(
C13273=""фізична особа""
,
VLOOKUP(D13273,IMPORTRANGE(""https://docs.google.com/spreadsheets/d/14Bd19lYaqBhU8_DElYkX7l4wRkHqqCUFNJY4AfY3kHU/edit?usp=sharing  #gid=0"",""фіз особи new!relations_name""),6,FALSE)
,
(IF
(
C13273=""юридична особа""
,
VLOO"&amp;"KUP(D13273,IMPORTRANGE(""https://docs.google.com/spreadsheets/d/14Bd19lYaqBhU8_DElYkX7l4wRkHqqCUFNJY4AfY3kHU/edit?usp=sharing  #gid=0"",""фіз особи new!relations_name_uo""),7,FALSE)
,
)
))"),"СИРОТА Олена Валеріївна")</f>
        <v>СИРОТА Олена Валеріївна</v>
      </c>
      <c r="G13272" s="7" t="s">
        <v>10</v>
      </c>
      <c r="H13272" s="7">
        <v>18444</v>
      </c>
      <c r="I13272" s="8" t="str">
        <f ca="1">IFERROR(__xludf.DUMMYFUNCTION("IF
(
G13273=""фізична особа""
,
VLOOKUP(H13273,IMPORTRANGE(""https://docs.google.com/spreadsheets/d/14Bd19lYaqBhU8_DElYkX7l4wRkHqqCUFNJY4AfY3kHU/edit?usp=sharing  #gid=0"",""фіз особи new!relations_name""),6,FALSE)
,
(IF
(
G13273=""юридична особа""
,
VLOO"&amp;"KUP(H13273,IMPORTRANGE(""https://docs.google.com/spreadsheets/d/14Bd19lYaqBhU8_DElYkX7l4wRkHqqCUFNJY4AfY3kHU/edit?usp=sharing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272" s="7" t="s">
        <v>23</v>
      </c>
    </row>
    <row r="13273" spans="1:10" ht="13.2">
      <c r="A13273" s="7">
        <v>13272</v>
      </c>
      <c r="B13273" s="7">
        <v>1</v>
      </c>
      <c r="C13273" s="7" t="s">
        <v>10</v>
      </c>
      <c r="D13273" s="7">
        <v>18453</v>
      </c>
      <c r="E13273" s="7" t="s">
        <v>11</v>
      </c>
      <c r="F13273" s="8" t="str">
        <f ca="1">IFERROR(__xludf.DUMMYFUNCTION("IF
(
C13274=""фізична особа""
,
VLOOKUP(D13274,IMPORTRANGE(""https://docs.google.com/spreadsheets/d/14Bd19lYaqBhU8_DElYkX7l4wRkHqqCUFNJY4AfY3kHU/edit?usp=sharing  #gid=0"",""фіз особи new!relations_name""),6,FALSE)
,
(IF
(
C13274=""юридична особа""
,
VLOO"&amp;"KUP(D13274,IMPORTRANGE(""https://docs.google.com/spreadsheets/d/14Bd19lYaqBhU8_DElYkX7l4wRkHqqCUFNJY4AfY3kHU/edit?usp=sharing  #gid=0"",""фіз особи new!relations_name_uo""),7,FALSE)
,
)
))"),"КОЧЕТКОВ Віталій Васильович")</f>
        <v>КОЧЕТКОВ Віталій Васильович</v>
      </c>
      <c r="G13273" s="7" t="s">
        <v>10</v>
      </c>
      <c r="H13273" s="7">
        <v>2560</v>
      </c>
      <c r="I13273" s="8" t="str">
        <f ca="1">IFERROR(__xludf.DUMMYFUNCTION("IF
(
G13274=""фізична особа""
,
VLOOKUP(H13274,IMPORTRANGE(""https://docs.google.com/spreadsheets/d/14Bd19lYaqBhU8_DElYkX7l4wRkHqqCUFNJY4AfY3kHU/edit?usp=sharing  #gid=0"",""фіз особи new!relations_name""),6,FALSE)
,
(IF
(
G13274=""юридична особа""
,
VLOO"&amp;"KUP(H13274,IMPORTRANGE(""https://docs.google.com/spreadsheets/d/14Bd19lYaqBhU8_DElYkX7l4wRkHqqCUFNJY4AfY3kHU/edit?usp=sharing  #gid=0"",""фіз особи new!relations_name_uo""),7,FALSE)
,
)
))"),"КУЙВАШЕВ Євген Володимирович")</f>
        <v>КУЙВАШЕВ Євген Володимирович</v>
      </c>
      <c r="J13273" s="7" t="s">
        <v>11</v>
      </c>
    </row>
    <row r="13274" spans="1:10" ht="13.2">
      <c r="A13274" s="7">
        <v>13273</v>
      </c>
      <c r="B13274" s="7">
        <v>1</v>
      </c>
      <c r="C13274" s="7" t="s">
        <v>10</v>
      </c>
      <c r="D13274" s="7">
        <v>18453</v>
      </c>
      <c r="E13274" s="7" t="s">
        <v>11</v>
      </c>
      <c r="F13274" s="8" t="str">
        <f ca="1">IFERROR(__xludf.DUMMYFUNCTION("IF
(
C13275=""фізична особа""
,
VLOOKUP(D13275,IMPORTRANGE(""https://docs.google.com/spreadsheets/d/14Bd19lYaqBhU8_DElYkX7l4wRkHqqCUFNJY4AfY3kHU/edit?usp=sharing  #gid=0"",""фіз особи new!relations_name""),6,FALSE)
,
(IF
(
C13275=""юридична особа""
,
VLOO"&amp;"KUP(D13275,IMPORTRANGE(""https://docs.google.com/spreadsheets/d/14Bd19lYaqBhU8_DElYkX7l4wRkHqqCUFNJY4AfY3kHU/edit?usp=sharing  #gid=0"",""фіз особи new!relations_name_uo""),7,FALSE)
,
)
))"),"КОЧЕТКОВ Віталій Васильович")</f>
        <v>КОЧЕТКОВ Віталій Васильович</v>
      </c>
      <c r="G13274" s="7" t="s">
        <v>10</v>
      </c>
      <c r="H13274" s="7">
        <v>18454</v>
      </c>
      <c r="I13274" s="8" t="str">
        <f ca="1">IFERROR(__xludf.DUMMYFUNCTION("IF
(
G13275=""фізична особа""
,
VLOOKUP(H13275,IMPORTRANGE(""https://docs.google.com/spreadsheets/d/14Bd19lYaqBhU8_DElYkX7l4wRkHqqCUFNJY4AfY3kHU/edit?usp=sharing  #gid=0"",""фіз особи new!relations_name""),6,FALSE)
,
(IF
(
G13275=""юридична особа""
,
VLOO"&amp;"KUP(H13275,IMPORTRANGE(""https://docs.google.com/spreadsheets/d/14Bd19lYaqBhU8_DElYkX7l4wRkHqqCUFNJY4AfY3kHU/edit?usp=sharing  #gid=0"",""фіз особи new!relations_name_uo""),7,FALSE)
,
)
))"),"ГОЛІКОВА Наталія Борисівна")</f>
        <v>ГОЛІКОВА Наталія Борисівна</v>
      </c>
      <c r="J13274" s="7" t="s">
        <v>11</v>
      </c>
    </row>
    <row r="13275" spans="1:10" ht="13.2">
      <c r="A13275" s="7">
        <v>13274</v>
      </c>
      <c r="B13275" s="7">
        <v>1</v>
      </c>
      <c r="C13275" s="7" t="s">
        <v>10</v>
      </c>
      <c r="D13275" s="7">
        <v>18454</v>
      </c>
      <c r="E13275" s="7" t="s">
        <v>11</v>
      </c>
      <c r="F13275" s="8" t="str">
        <f ca="1">IFERROR(__xludf.DUMMYFUNCTION("IF
(
C13276=""фізична особа""
,
VLOOKUP(D13276,IMPORTRANGE(""https://docs.google.com/spreadsheets/d/14Bd19lYaqBhU8_DElYkX7l4wRkHqqCUFNJY4AfY3kHU/edit?usp=sharing  #gid=0"",""фіз особи new!relations_name""),6,FALSE)
,
(IF
(
C13276=""юридична особа""
,
VLOO"&amp;"KUP(D13276,IMPORTRANGE(""https://docs.google.com/spreadsheets/d/14Bd19lYaqBhU8_DElYkX7l4wRkHqqCUFNJY4AfY3kHU/edit?usp=sharing  #gid=0"",""фіз особи new!relations_name_uo""),7,FALSE)
,
)
))"),"ГОЛІКОВА Наталія Борисівна")</f>
        <v>ГОЛІКОВА Наталія Борисівна</v>
      </c>
      <c r="G13275" s="7" t="s">
        <v>10</v>
      </c>
      <c r="H13275" s="7">
        <v>18453</v>
      </c>
      <c r="I13275" s="8" t="str">
        <f ca="1">IFERROR(__xludf.DUMMYFUNCTION("IF
(
G13276=""фізична особа""
,
VLOOKUP(H13276,IMPORTRANGE(""https://docs.google.com/spreadsheets/d/14Bd19lYaqBhU8_DElYkX7l4wRkHqqCUFNJY4AfY3kHU/edit?usp=sharing  #gid=0"",""фіз особи new!relations_name""),6,FALSE)
,
(IF
(
G13276=""юридична особа""
,
VLOO"&amp;"KUP(H13276,IMPORTRANGE(""https://docs.google.com/spreadsheets/d/14Bd19lYaqBhU8_DElYkX7l4wRkHqqCUFNJY4AfY3kHU/edit?usp=sharing  #gid=0"",""фіз особи new!relations_name_uo""),7,FALSE)
,
)
))"),"КОЧЕТКОВ Віталій Васильович")</f>
        <v>КОЧЕТКОВ Віталій Васильович</v>
      </c>
      <c r="J13275" s="7" t="s">
        <v>11</v>
      </c>
    </row>
    <row r="13276" spans="1:10" ht="13.2">
      <c r="A13276" s="7">
        <v>13275</v>
      </c>
      <c r="B13276" s="7">
        <v>1</v>
      </c>
      <c r="C13276" s="7" t="s">
        <v>10</v>
      </c>
      <c r="D13276" s="7">
        <v>18458</v>
      </c>
      <c r="E13276" s="7" t="s">
        <v>17</v>
      </c>
      <c r="F13276" s="8" t="str">
        <f ca="1">IFERROR(__xludf.DUMMYFUNCTION("IF
(
C13277=""фізична особа""
,
VLOOKUP(D13277,IMPORTRANGE(""https://docs.google.com/spreadsheets/d/14Bd19lYaqBhU8_DElYkX7l4wRkHqqCUFNJY4AfY3kHU/edit?usp=sharing  #gid=0"",""фіз особи new!relations_name""),6,FALSE)
,
(IF
(
C13277=""юридична особа""
,
VLOO"&amp;"KUP(D13277,IMPORTRANGE(""https://docs.google.com/spreadsheets/d/14Bd19lYaqBhU8_DElYkX7l4wRkHqqCUFNJY4AfY3kHU/edit?usp=sharing  #gid=0"",""фіз особи new!relations_name_uo""),7,FALSE)
,
)
))"),"ІВАНОВ Євгеній Віталійович")</f>
        <v>ІВАНОВ Євгеній Віталійович</v>
      </c>
      <c r="G13276" s="7" t="s">
        <v>10</v>
      </c>
      <c r="H13276" s="7">
        <v>18459</v>
      </c>
      <c r="I13276" s="8" t="str">
        <f ca="1">IFERROR(__xludf.DUMMYFUNCTION("IF
(
G13277=""фізична особа""
,
VLOOKUP(H13277,IMPORTRANGE(""https://docs.google.com/spreadsheets/d/14Bd19lYaqBhU8_DElYkX7l4wRkHqqCUFNJY4AfY3kHU/edit?usp=sharing  #gid=0"",""фіз особи new!relations_name""),6,FALSE)
,
(IF
(
G13277=""юридична особа""
,
VLOO"&amp;"KUP(H13277,IMPORTRANGE(""https://docs.google.com/spreadsheets/d/14Bd19lYaqBhU8_DElYkX7l4wRkHqqCUFNJY4AfY3kHU/edit?usp=sharing  #gid=0"",""фіз особи new!relations_name_uo""),7,FALSE)
,
)
))"),"ІВАНОВ Віталій Костянтинович")</f>
        <v>ІВАНОВ Віталій Костянтинович</v>
      </c>
      <c r="J13276" s="7" t="s">
        <v>12</v>
      </c>
    </row>
    <row r="13277" spans="1:10" ht="13.2">
      <c r="A13277" s="7">
        <v>13276</v>
      </c>
      <c r="B13277" s="7">
        <v>1</v>
      </c>
      <c r="C13277" s="7" t="s">
        <v>10</v>
      </c>
      <c r="D13277" s="7">
        <v>18459</v>
      </c>
      <c r="E13277" s="7" t="s">
        <v>12</v>
      </c>
      <c r="F13277" s="8" t="str">
        <f ca="1">IFERROR(__xludf.DUMMYFUNCTION("IF
(
C13278=""фізична особа""
,
VLOOKUP(D13278,IMPORTRANGE(""https://docs.google.com/spreadsheets/d/14Bd19lYaqBhU8_DElYkX7l4wRkHqqCUFNJY4AfY3kHU/edit?usp=sharing  #gid=0"",""фіз особи new!relations_name""),6,FALSE)
,
(IF
(
C13278=""юридична особа""
,
VLOO"&amp;"KUP(D13278,IMPORTRANGE(""https://docs.google.com/spreadsheets/d/14Bd19lYaqBhU8_DElYkX7l4wRkHqqCUFNJY4AfY3kHU/edit?usp=sharing  #gid=0"",""фіз особи new!relations_name_uo""),7,FALSE)
,
)
))"),"ІВАНОВ Віталій Костянтинович")</f>
        <v>ІВАНОВ Віталій Костянтинович</v>
      </c>
      <c r="G13277" s="7" t="s">
        <v>10</v>
      </c>
      <c r="H13277" s="7">
        <v>18458</v>
      </c>
      <c r="I13277" s="8" t="str">
        <f ca="1">IFERROR(__xludf.DUMMYFUNCTION("IF
(
G13278=""фізична особа""
,
VLOOKUP(H13278,IMPORTRANGE(""https://docs.google.com/spreadsheets/d/14Bd19lYaqBhU8_DElYkX7l4wRkHqqCUFNJY4AfY3kHU/edit?usp=sharing  #gid=0"",""фіз особи new!relations_name""),6,FALSE)
,
(IF
(
G13278=""юридична особа""
,
VLOO"&amp;"KUP(H13278,IMPORTRANGE(""https://docs.google.com/spreadsheets/d/14Bd19lYaqBhU8_DElYkX7l4wRkHqqCUFNJY4AfY3kHU/edit?usp=sharing  #gid=0"",""фіз особи new!relations_name_uo""),7,FALSE)
,
)
))"),"ІВАНОВ Євгеній Віталійович")</f>
        <v>ІВАНОВ Євгеній Віталійович</v>
      </c>
      <c r="J13277" s="7" t="s">
        <v>17</v>
      </c>
    </row>
    <row r="13278" spans="1:10" ht="13.2">
      <c r="A13278" s="7">
        <v>13277</v>
      </c>
      <c r="B13278" s="7">
        <v>1</v>
      </c>
      <c r="C13278" s="7" t="s">
        <v>10</v>
      </c>
      <c r="D13278" s="7">
        <v>18488</v>
      </c>
      <c r="E13278" s="7" t="s">
        <v>17</v>
      </c>
      <c r="F13278" s="8" t="str">
        <f ca="1">IFERROR(__xludf.DUMMYFUNCTION("IF
(
C13279=""фізична особа""
,
VLOOKUP(D13279,IMPORTRANGE(""https://docs.google.com/spreadsheets/d/14Bd19lYaqBhU8_DElYkX7l4wRkHqqCUFNJY4AfY3kHU/edit?usp=sharing  #gid=0"",""фіз особи new!relations_name""),6,FALSE)
,
(IF
(
C13279=""юридична особа""
,
VLOO"&amp;"KUP(D13279,IMPORTRANGE(""https://docs.google.com/spreadsheets/d/14Bd19lYaqBhU8_DElYkX7l4wRkHqqCUFNJY4AfY3kHU/edit?usp=sharing  #gid=0"",""фіз особи new!relations_name_uo""),7,FALSE)
,
)
))"),"КРАПІВІН Олексій Андрійович")</f>
        <v>КРАПІВІН Олексій Андрійович</v>
      </c>
      <c r="G13278" s="7" t="s">
        <v>10</v>
      </c>
      <c r="H13278" s="7">
        <v>0</v>
      </c>
      <c r="I13278" s="8" t="str">
        <f ca="1">IFERROR(__xludf.DUMMYFUNCTION("IF
(
G13279=""фізична особа""
,
VLOOKUP(H13279,IMPORTRANGE(""https://docs.google.com/spreadsheets/d/14Bd19lYaqBhU8_DElYkX7l4wRkHqqCUFNJY4AfY3kHU/edit?usp=sharing  #gid=0"",""фіз особи new!relations_name""),6,FALSE)
,
(IF
(
G13279=""юридична особа""
,
VLOO"&amp;"KUP(H13279,IMPORTRANGE(""https://docs.google.com/spreadsheets/d/14Bd19lYaqBhU8_DElYkX7l4wRkHqqCUFNJY4AfY3kHU/edit?usp=sharing  #gid=0"",""фіз особи new!relations_name_uo""),7,FALSE)
,
)
))"),"#N/A")</f>
        <v>#N/A</v>
      </c>
      <c r="J13278" s="7" t="s">
        <v>21</v>
      </c>
    </row>
    <row r="13279" spans="1:10" ht="13.2">
      <c r="A13279" s="7">
        <v>13278</v>
      </c>
      <c r="B13279" s="7">
        <v>1</v>
      </c>
      <c r="C13279" s="7" t="s">
        <v>10</v>
      </c>
      <c r="D13279" s="7">
        <v>18505</v>
      </c>
      <c r="E13279" s="7" t="s">
        <v>14</v>
      </c>
      <c r="F13279" s="8" t="str">
        <f ca="1">IFERROR(__xludf.DUMMYFUNCTION("IF
(
C13280=""фізична особа""
,
VLOOKUP(D13280,IMPORTRANGE(""https://docs.google.com/spreadsheets/d/14Bd19lYaqBhU8_DElYkX7l4wRkHqqCUFNJY4AfY3kHU/edit?usp=sharing  #gid=0"",""фіз особи new!relations_name""),6,FALSE)
,
(IF
(
C13280=""юридична особа""
,
VLOO"&amp;"KUP(D13280,IMPORTRANGE(""https://docs.google.com/spreadsheets/d/14Bd19lYaqBhU8_DElYkX7l4wRkHqqCUFNJY4AfY3kHU/edit?usp=sharing  #gid=0"",""фіз особи new!relations_name_uo""),7,FALSE)
,
)
))"),"ДОКУЧАЄВ Сергій Володимирович")</f>
        <v>ДОКУЧАЄВ Сергій Володимирович</v>
      </c>
      <c r="G13279" s="7" t="s">
        <v>10</v>
      </c>
      <c r="H13279" s="7">
        <v>23658</v>
      </c>
      <c r="I13279" s="8" t="str">
        <f ca="1">IFERROR(__xludf.DUMMYFUNCTION("IF
(
G13280=""фізична особа""
,
VLOOKUP(H13280,IMPORTRANGE(""https://docs.google.com/spreadsheets/d/14Bd19lYaqBhU8_DElYkX7l4wRkHqqCUFNJY4AfY3kHU/edit?usp=sharing  #gid=0"",""фіз особи new!relations_name""),6,FALSE)
,
(IF
(
G13280=""юридична особа""
,
VLOO"&amp;"KUP(H13280,IMPORTRANGE(""https://docs.google.com/spreadsheets/d/14Bd19lYaqBhU8_DElYkX7l4wRkHqqCUFNJY4AfY3kHU/edit?usp=sharing  #gid=0"",""фіз особи new!relations_name_uo""),7,FALSE)
,
)
))"),"ДОКУЧАЄВА Галина Олександрівна")</f>
        <v>ДОКУЧАЄВА Галина Олександрівна</v>
      </c>
      <c r="J13279" s="7" t="s">
        <v>15</v>
      </c>
    </row>
    <row r="13280" spans="1:10" ht="13.2">
      <c r="A13280" s="7">
        <v>13279</v>
      </c>
      <c r="B13280" s="7">
        <v>1</v>
      </c>
      <c r="C13280" s="7" t="s">
        <v>10</v>
      </c>
      <c r="D13280" s="7">
        <v>18505</v>
      </c>
      <c r="E13280" s="7" t="s">
        <v>12</v>
      </c>
      <c r="F13280" s="8" t="str">
        <f ca="1">IFERROR(__xludf.DUMMYFUNCTION("IF
(
C13281=""фізична особа""
,
VLOOKUP(D13281,IMPORTRANGE(""https://docs.google.com/spreadsheets/d/14Bd19lYaqBhU8_DElYkX7l4wRkHqqCUFNJY4AfY3kHU/edit?usp=sharing  #gid=0"",""фіз особи new!relations_name""),6,FALSE)
,
(IF
(
C13281=""юридична особа""
,
VLOO"&amp;"KUP(D13281,IMPORTRANGE(""https://docs.google.com/spreadsheets/d/14Bd19lYaqBhU8_DElYkX7l4wRkHqqCUFNJY4AfY3kHU/edit?usp=sharing  #gid=0"",""фіз особи new!relations_name_uo""),7,FALSE)
,
)
))"),"ДОКУЧАЄВ Сергій Володимирович")</f>
        <v>ДОКУЧАЄВ Сергій Володимирович</v>
      </c>
      <c r="G13280" s="7" t="s">
        <v>10</v>
      </c>
      <c r="H13280" s="7">
        <v>18594</v>
      </c>
      <c r="I13280" s="8" t="str">
        <f ca="1">IFERROR(__xludf.DUMMYFUNCTION("IF
(
G13281=""фізична особа""
,
VLOOKUP(H13281,IMPORTRANGE(""https://docs.google.com/spreadsheets/d/14Bd19lYaqBhU8_DElYkX7l4wRkHqqCUFNJY4AfY3kHU/edit?usp=sharing  #gid=0"",""фіз особи new!relations_name""),6,FALSE)
,
(IF
(
G13281=""юридична особа""
,
VLOO"&amp;"KUP(H13281,IMPORTRANGE(""https://docs.google.com/spreadsheets/d/14Bd19lYaqBhU8_DElYkX7l4wRkHqqCUFNJY4AfY3kHU/edit?usp=sharing  #gid=0"",""фіз особи new!relations_name_uo""),7,FALSE)
,
)
))"),"РИСЬ Ірина Сергіївна")</f>
        <v>РИСЬ Ірина Сергіївна</v>
      </c>
      <c r="J13280" s="7" t="s">
        <v>13</v>
      </c>
    </row>
    <row r="13281" spans="1:10" ht="13.2">
      <c r="A13281" s="7">
        <v>13280</v>
      </c>
      <c r="B13281" s="7">
        <v>1</v>
      </c>
      <c r="C13281" s="7" t="s">
        <v>10</v>
      </c>
      <c r="D13281" s="7">
        <v>18507</v>
      </c>
      <c r="E13281" s="7" t="s">
        <v>23</v>
      </c>
      <c r="F13281" s="8" t="str">
        <f ca="1">IFERROR(__xludf.DUMMYFUNCTION("IF
(
C13282=""фізична особа""
,
VLOOKUP(D13282,IMPORTRANGE(""https://docs.google.com/spreadsheets/d/14Bd19lYaqBhU8_DElYkX7l4wRkHqqCUFNJY4AfY3kHU/edit?usp=sharing  #gid=0"",""фіз особи new!relations_name""),6,FALSE)
,
(IF
(
C13282=""юридична особа""
,
VLOO"&amp;"KUP(D13282,IMPORTRANGE(""https://docs.google.com/spreadsheets/d/14Bd19lYaqBhU8_DElYkX7l4wRkHqqCUFNJY4AfY3kHU/edit?usp=sharing  #gid=0"",""фіз особи new!relations_name_uo""),7,FALSE)
,
)
))"),"ЦИ Чжун")</f>
        <v>ЦИ Чжун</v>
      </c>
      <c r="G13281" s="7" t="s">
        <v>10</v>
      </c>
      <c r="H13281" s="7">
        <v>18391</v>
      </c>
      <c r="I13281" s="8" t="str">
        <f ca="1">IFERROR(__xludf.DUMMYFUNCTION("IF
(
G13282=""фізична особа""
,
VLOOKUP(H13282,IMPORTRANGE(""https://docs.google.com/spreadsheets/d/14Bd19lYaqBhU8_DElYkX7l4wRkHqqCUFNJY4AfY3kHU/edit?usp=sharing  #gid=0"",""фіз особи new!relations_name""),6,FALSE)
,
(IF
(
G13282=""юридична особа""
,
VLOO"&amp;"KUP(H13282,IMPORTRANGE(""https://docs.google.com/spreadsheets/d/14Bd19lYaqBhU8_DElYkX7l4wRkHqqCUFNJY4AfY3kHU/edit?usp=sharing  #gid=0"",""фіз особи new!relations_name_uo""),7,FALSE)
,
)
))"),"ЧЖОУ Сін")</f>
        <v>ЧЖОУ Сін</v>
      </c>
      <c r="J13281" s="7" t="s">
        <v>23</v>
      </c>
    </row>
    <row r="13282" spans="1:10" ht="13.2">
      <c r="A13282" s="7">
        <v>13281</v>
      </c>
      <c r="B13282" s="7">
        <v>1</v>
      </c>
      <c r="C13282" s="7" t="s">
        <v>10</v>
      </c>
      <c r="D13282" s="7">
        <v>18508</v>
      </c>
      <c r="E13282" s="7" t="s">
        <v>23</v>
      </c>
      <c r="F13282" s="8" t="str">
        <f ca="1">IFERROR(__xludf.DUMMYFUNCTION("IF
(
C13283=""фізична особа""
,
VLOOKUP(D13283,IMPORTRANGE(""https://docs.google.com/spreadsheets/d/14Bd19lYaqBhU8_DElYkX7l4wRkHqqCUFNJY4AfY3kHU/edit?usp=sharing  #gid=0"",""фіз особи new!relations_name""),6,FALSE)
,
(IF
(
C13283=""юридична особа""
,
VLOO"&amp;"KUP(D13283,IMPORTRANGE(""https://docs.google.com/spreadsheets/d/14Bd19lYaqBhU8_DElYkX7l4wRkHqqCUFNJY4AfY3kHU/edit?usp=sharing  #gid=0"",""фіз особи new!relations_name_uo""),7,FALSE)
,
)
))"),"ПЛОТНІКОВ Олег Борисович")</f>
        <v>ПЛОТНІКОВ Олег Борисович</v>
      </c>
      <c r="G13282" s="7" t="s">
        <v>10</v>
      </c>
      <c r="H13282" s="7">
        <v>18391</v>
      </c>
      <c r="I13282" s="8" t="str">
        <f ca="1">IFERROR(__xludf.DUMMYFUNCTION("IF
(
G13283=""фізична особа""
,
VLOOKUP(H13283,IMPORTRANGE(""https://docs.google.com/spreadsheets/d/14Bd19lYaqBhU8_DElYkX7l4wRkHqqCUFNJY4AfY3kHU/edit?usp=sharing  #gid=0"",""фіз особи new!relations_name""),6,FALSE)
,
(IF
(
G13283=""юридична особа""
,
VLOO"&amp;"KUP(H13283,IMPORTRANGE(""https://docs.google.com/spreadsheets/d/14Bd19lYaqBhU8_DElYkX7l4wRkHqqCUFNJY4AfY3kHU/edit?usp=sharing  #gid=0"",""фіз особи new!relations_name_uo""),7,FALSE)
,
)
))"),"ЧЖОУ Сін")</f>
        <v>ЧЖОУ Сін</v>
      </c>
      <c r="J13282" s="7" t="s">
        <v>23</v>
      </c>
    </row>
    <row r="13283" spans="1:10" ht="13.2">
      <c r="A13283" s="7">
        <v>13282</v>
      </c>
      <c r="B13283" s="7">
        <v>1</v>
      </c>
      <c r="C13283" s="7" t="s">
        <v>10</v>
      </c>
      <c r="D13283" s="7">
        <v>18509</v>
      </c>
      <c r="E13283" s="7" t="s">
        <v>23</v>
      </c>
      <c r="F13283" s="8" t="str">
        <f ca="1">IFERROR(__xludf.DUMMYFUNCTION("IF
(
C13284=""фізична особа""
,
VLOOKUP(D13284,IMPORTRANGE(""https://docs.google.com/spreadsheets/d/14Bd19lYaqBhU8_DElYkX7l4wRkHqqCUFNJY4AfY3kHU/edit?usp=sharing  #gid=0"",""фіз особи new!relations_name""),6,FALSE)
,
(IF
(
C13284=""юридична особа""
,
VLOO"&amp;"KUP(D13284,IMPORTRANGE(""https://docs.google.com/spreadsheets/d/14Bd19lYaqBhU8_DElYkX7l4wRkHqqCUFNJY4AfY3kHU/edit?usp=sharing  #gid=0"",""фіз особи new!relations_name_uo""),7,FALSE)
,
)
))"),"ФІЛІППОВА Алла Юріївна")</f>
        <v>ФІЛІППОВА Алла Юріївна</v>
      </c>
      <c r="G13283" s="7" t="s">
        <v>10</v>
      </c>
      <c r="H13283" s="7">
        <v>18391</v>
      </c>
      <c r="I13283" s="8" t="str">
        <f ca="1">IFERROR(__xludf.DUMMYFUNCTION("IF
(
G13284=""фізична особа""
,
VLOOKUP(H13284,IMPORTRANGE(""https://docs.google.com/spreadsheets/d/14Bd19lYaqBhU8_DElYkX7l4wRkHqqCUFNJY4AfY3kHU/edit?usp=sharing  #gid=0"",""фіз особи new!relations_name""),6,FALSE)
,
(IF
(
G13284=""юридична особа""
,
VLOO"&amp;"KUP(H13284,IMPORTRANGE(""https://docs.google.com/spreadsheets/d/14Bd19lYaqBhU8_DElYkX7l4wRkHqqCUFNJY4AfY3kHU/edit?usp=sharing  #gid=0"",""фіз особи new!relations_name_uo""),7,FALSE)
,
)
))"),"ЧЖОУ Сін")</f>
        <v>ЧЖОУ Сін</v>
      </c>
      <c r="J13283" s="7" t="s">
        <v>23</v>
      </c>
    </row>
    <row r="13284" spans="1:10" ht="13.2">
      <c r="A13284" s="7">
        <v>13283</v>
      </c>
      <c r="B13284" s="7">
        <v>1</v>
      </c>
      <c r="C13284" s="7" t="s">
        <v>10</v>
      </c>
      <c r="D13284" s="7">
        <v>18510</v>
      </c>
      <c r="E13284" s="7" t="s">
        <v>23</v>
      </c>
      <c r="F13284" s="8" t="str">
        <f ca="1">IFERROR(__xludf.DUMMYFUNCTION("IF
(
C13285=""фізична особа""
,
VLOOKUP(D13285,IMPORTRANGE(""https://docs.google.com/spreadsheets/d/14Bd19lYaqBhU8_DElYkX7l4wRkHqqCUFNJY4AfY3kHU/edit?usp=sharing  #gid=0"",""фіз особи new!relations_name""),6,FALSE)
,
(IF
(
C13285=""юридична особа""
,
VLOO"&amp;"KUP(D13285,IMPORTRANGE(""https://docs.google.com/spreadsheets/d/14Bd19lYaqBhU8_DElYkX7l4wRkHqqCUFNJY4AfY3kHU/edit?usp=sharing  #gid=0"",""фіз особи new!relations_name_uo""),7,FALSE)
,
)
))"),"ЯО Мінде")</f>
        <v>ЯО Мінде</v>
      </c>
      <c r="G13284" s="7" t="s">
        <v>10</v>
      </c>
      <c r="H13284" s="7">
        <v>18391</v>
      </c>
      <c r="I13284" s="8" t="str">
        <f ca="1">IFERROR(__xludf.DUMMYFUNCTION("IF
(
G13285=""фізична особа""
,
VLOOKUP(H13285,IMPORTRANGE(""https://docs.google.com/spreadsheets/d/14Bd19lYaqBhU8_DElYkX7l4wRkHqqCUFNJY4AfY3kHU/edit?usp=sharing  #gid=0"",""фіз особи new!relations_name""),6,FALSE)
,
(IF
(
G13285=""юридична особа""
,
VLOO"&amp;"KUP(H13285,IMPORTRANGE(""https://docs.google.com/spreadsheets/d/14Bd19lYaqBhU8_DElYkX7l4wRkHqqCUFNJY4AfY3kHU/edit?usp=sharing  #gid=0"",""фіз особи new!relations_name_uo""),7,FALSE)
,
)
))"),"ЧЖОУ Сін")</f>
        <v>ЧЖОУ Сін</v>
      </c>
      <c r="J13284" s="7" t="s">
        <v>23</v>
      </c>
    </row>
    <row r="13285" spans="1:10" ht="13.2">
      <c r="A13285" s="7">
        <v>13284</v>
      </c>
      <c r="B13285" s="7">
        <v>1</v>
      </c>
      <c r="C13285" s="7" t="s">
        <v>10</v>
      </c>
      <c r="D13285" s="7">
        <v>18511</v>
      </c>
      <c r="E13285" s="7" t="s">
        <v>23</v>
      </c>
      <c r="F13285" s="8" t="str">
        <f ca="1">IFERROR(__xludf.DUMMYFUNCTION("IF
(
C13286=""фізична особа""
,
VLOOKUP(D13286,IMPORTRANGE(""https://docs.google.com/spreadsheets/d/14Bd19lYaqBhU8_DElYkX7l4wRkHqqCUFNJY4AfY3kHU/edit?usp=sharing  #gid=0"",""фіз особи new!relations_name""),6,FALSE)
,
(IF
(
C13286=""юридична особа""
,
VLOO"&amp;"KUP(D13286,IMPORTRANGE(""https://docs.google.com/spreadsheets/d/14Bd19lYaqBhU8_DElYkX7l4wRkHqqCUFNJY4AfY3kHU/edit?usp=sharing  #gid=0"",""фіз особи new!relations_name_uo""),7,FALSE)
,
)
))"),"ПЕН Цзую")</f>
        <v>ПЕН Цзую</v>
      </c>
      <c r="G13285" s="7" t="s">
        <v>10</v>
      </c>
      <c r="H13285" s="7">
        <v>18391</v>
      </c>
      <c r="I13285" s="8" t="str">
        <f ca="1">IFERROR(__xludf.DUMMYFUNCTION("IF
(
G13286=""фізична особа""
,
VLOOKUP(H13286,IMPORTRANGE(""https://docs.google.com/spreadsheets/d/14Bd19lYaqBhU8_DElYkX7l4wRkHqqCUFNJY4AfY3kHU/edit?usp=sharing  #gid=0"",""фіз особи new!relations_name""),6,FALSE)
,
(IF
(
G13286=""юридична особа""
,
VLOO"&amp;"KUP(H13286,IMPORTRANGE(""https://docs.google.com/spreadsheets/d/14Bd19lYaqBhU8_DElYkX7l4wRkHqqCUFNJY4AfY3kHU/edit?usp=sharing  #gid=0"",""фіз особи new!relations_name_uo""),7,FALSE)
,
)
))"),"ЧЖОУ Сін")</f>
        <v>ЧЖОУ Сін</v>
      </c>
      <c r="J13285" s="7" t="s">
        <v>23</v>
      </c>
    </row>
    <row r="13286" spans="1:10" ht="13.2">
      <c r="A13286" s="7">
        <v>13285</v>
      </c>
      <c r="B13286" s="7">
        <v>1</v>
      </c>
      <c r="C13286" s="7" t="s">
        <v>10</v>
      </c>
      <c r="D13286" s="7">
        <v>18512</v>
      </c>
      <c r="E13286" s="7" t="s">
        <v>23</v>
      </c>
      <c r="F13286" s="8" t="str">
        <f ca="1">IFERROR(__xludf.DUMMYFUNCTION("IF
(
C13287=""фізична особа""
,
VLOOKUP(D13287,IMPORTRANGE(""https://docs.google.com/spreadsheets/d/14Bd19lYaqBhU8_DElYkX7l4wRkHqqCUFNJY4AfY3kHU/edit?usp=sharing  #gid=0"",""фіз особи new!relations_name""),6,FALSE)
,
(IF
(
C13287=""юридична особа""
,
VLOO"&amp;"KUP(D13287,IMPORTRANGE(""https://docs.google.com/spreadsheets/d/14Bd19lYaqBhU8_DElYkX7l4wRkHqqCUFNJY4AfY3kHU/edit?usp=sharing  #gid=0"",""фіз особи new!relations_name_uo""),7,FALSE)
,
)
))"),"ХОУ Гуйфен")</f>
        <v>ХОУ Гуйфен</v>
      </c>
      <c r="G13286" s="7" t="s">
        <v>10</v>
      </c>
      <c r="H13286" s="7">
        <v>18391</v>
      </c>
      <c r="I13286" s="8" t="str">
        <f ca="1">IFERROR(__xludf.DUMMYFUNCTION("IF
(
G13287=""фізична особа""
,
VLOOKUP(H13287,IMPORTRANGE(""https://docs.google.com/spreadsheets/d/14Bd19lYaqBhU8_DElYkX7l4wRkHqqCUFNJY4AfY3kHU/edit?usp=sharing  #gid=0"",""фіз особи new!relations_name""),6,FALSE)
,
(IF
(
G13287=""юридична особа""
,
VLOO"&amp;"KUP(H13287,IMPORTRANGE(""https://docs.google.com/spreadsheets/d/14Bd19lYaqBhU8_DElYkX7l4wRkHqqCUFNJY4AfY3kHU/edit?usp=sharing  #gid=0"",""фіз особи new!relations_name_uo""),7,FALSE)
,
)
))"),"ЧЖОУ Сін")</f>
        <v>ЧЖОУ Сін</v>
      </c>
      <c r="J13286" s="7" t="s">
        <v>23</v>
      </c>
    </row>
    <row r="13287" spans="1:10" ht="13.2">
      <c r="A13287" s="7">
        <v>13286</v>
      </c>
      <c r="B13287" s="7">
        <v>1</v>
      </c>
      <c r="C13287" s="7" t="s">
        <v>10</v>
      </c>
      <c r="D13287" s="7">
        <v>18513</v>
      </c>
      <c r="E13287" s="7" t="s">
        <v>23</v>
      </c>
      <c r="F13287" s="8" t="str">
        <f ca="1">IFERROR(__xludf.DUMMYFUNCTION("IF
(
C13288=""фізична особа""
,
VLOOKUP(D13288,IMPORTRANGE(""https://docs.google.com/spreadsheets/d/14Bd19lYaqBhU8_DElYkX7l4wRkHqqCUFNJY4AfY3kHU/edit?usp=sharing  #gid=0"",""фіз особи new!relations_name""),6,FALSE)
,
(IF
(
C13288=""юридична особа""
,
VLOO"&amp;"KUP(D13288,IMPORTRANGE(""https://docs.google.com/spreadsheets/d/14Bd19lYaqBhU8_DElYkX7l4wRkHqqCUFNJY4AfY3kHU/edit?usp=sharing  #gid=0"",""фіз особи new!relations_name_uo""),7,FALSE)
,
)
))"),"ФУ Ін")</f>
        <v>ФУ Ін</v>
      </c>
      <c r="G13287" s="7" t="s">
        <v>10</v>
      </c>
      <c r="H13287" s="7">
        <v>18391</v>
      </c>
      <c r="I13287" s="8" t="str">
        <f ca="1">IFERROR(__xludf.DUMMYFUNCTION("IF
(
G13288=""фізична особа""
,
VLOOKUP(H13288,IMPORTRANGE(""https://docs.google.com/spreadsheets/d/14Bd19lYaqBhU8_DElYkX7l4wRkHqqCUFNJY4AfY3kHU/edit?usp=sharing  #gid=0"",""фіз особи new!relations_name""),6,FALSE)
,
(IF
(
G13288=""юридична особа""
,
VLOO"&amp;"KUP(H13288,IMPORTRANGE(""https://docs.google.com/spreadsheets/d/14Bd19lYaqBhU8_DElYkX7l4wRkHqqCUFNJY4AfY3kHU/edit?usp=sharing  #gid=0"",""фіз особи new!relations_name_uo""),7,FALSE)
,
)
))"),"ЧЖОУ Сін")</f>
        <v>ЧЖОУ Сін</v>
      </c>
      <c r="J13287" s="7" t="s">
        <v>23</v>
      </c>
    </row>
    <row r="13288" spans="1:10" ht="13.2">
      <c r="A13288" s="7">
        <v>13287</v>
      </c>
      <c r="B13288" s="7">
        <v>1</v>
      </c>
      <c r="C13288" s="7" t="s">
        <v>10</v>
      </c>
      <c r="D13288" s="7">
        <v>18514</v>
      </c>
      <c r="E13288" s="7" t="s">
        <v>23</v>
      </c>
      <c r="F13288" s="8" t="str">
        <f ca="1">IFERROR(__xludf.DUMMYFUNCTION("IF
(
C13289=""фізична особа""
,
VLOOKUP(D13289,IMPORTRANGE(""https://docs.google.com/spreadsheets/d/14Bd19lYaqBhU8_DElYkX7l4wRkHqqCUFNJY4AfY3kHU/edit?usp=sharing  #gid=0"",""фіз особи new!relations_name""),6,FALSE)
,
(IF
(
C13289=""юридична особа""
,
VLOO"&amp;"KUP(D13289,IMPORTRANGE(""https://docs.google.com/spreadsheets/d/14Bd19lYaqBhU8_DElYkX7l4wRkHqqCUFNJY4AfY3kHU/edit?usp=sharing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88" s="7" t="s">
        <v>10</v>
      </c>
      <c r="H13288" s="7">
        <v>18518</v>
      </c>
      <c r="I13288" s="8" t="str">
        <f ca="1">IFERROR(__xludf.DUMMYFUNCTION("IF
(
G13289=""фізична особа""
,
VLOOKUP(H13289,IMPORTRANGE(""https://docs.google.com/spreadsheets/d/14Bd19lYaqBhU8_DElYkX7l4wRkHqqCUFNJY4AfY3kHU/edit?usp=sharing  #gid=0"",""фіз особи new!relations_name""),6,FALSE)
,
(IF
(
G13289=""юридична особа""
,
VLOO"&amp;"KUP(H13289,IMPORTRANGE(""https://docs.google.com/spreadsheets/d/14Bd19lYaqBhU8_DElYkX7l4wRkHqqCUFNJY4AfY3kHU/edit?usp=sharing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288" s="7" t="s">
        <v>23</v>
      </c>
    </row>
    <row r="13289" spans="1:10" ht="13.2">
      <c r="A13289" s="7">
        <v>13288</v>
      </c>
      <c r="B13289" s="7">
        <v>1</v>
      </c>
      <c r="C13289" s="7" t="s">
        <v>10</v>
      </c>
      <c r="D13289" s="7">
        <v>18514</v>
      </c>
      <c r="E13289" s="7" t="s">
        <v>23</v>
      </c>
      <c r="F13289" s="8" t="str">
        <f ca="1">IFERROR(__xludf.DUMMYFUNCTION("IF
(
C13290=""фізична особа""
,
VLOOKUP(D13290,IMPORTRANGE(""https://docs.google.com/spreadsheets/d/14Bd19lYaqBhU8_DElYkX7l4wRkHqqCUFNJY4AfY3kHU/edit?usp=sharing  #gid=0"",""фіз особи new!relations_name""),6,FALSE)
,
(IF
(
C13290=""юридична особа""
,
VLOO"&amp;"KUP(D13290,IMPORTRANGE(""https://docs.google.com/spreadsheets/d/14Bd19lYaqBhU8_DElYkX7l4wRkHqqCUFNJY4AfY3kHU/edit?usp=sharing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89" s="7" t="s">
        <v>10</v>
      </c>
      <c r="H13289" s="7">
        <v>0</v>
      </c>
      <c r="I13289" s="8" t="str">
        <f ca="1">IFERROR(__xludf.DUMMYFUNCTION("IF
(
G13290=""фізична особа""
,
VLOOKUP(H13290,IMPORTRANGE(""https://docs.google.com/spreadsheets/d/14Bd19lYaqBhU8_DElYkX7l4wRkHqqCUFNJY4AfY3kHU/edit?usp=sharing  #gid=0"",""фіз особи new!relations_name""),6,FALSE)
,
(IF
(
G13290=""юридична особа""
,
VLOO"&amp;"KUP(H13290,IMPORTRANGE(""https://docs.google.com/spreadsheets/d/14Bd19lYaqBhU8_DElYkX7l4wRkHqqCUFNJY4AfY3kHU/edit?usp=sharing  #gid=0"",""фіз особи new!relations_name_uo""),7,FALSE)
,
)
))"),"#N/A")</f>
        <v>#N/A</v>
      </c>
      <c r="J13289" s="7" t="s">
        <v>23</v>
      </c>
    </row>
    <row r="13290" spans="1:10" ht="13.2">
      <c r="A13290" s="7">
        <v>13289</v>
      </c>
      <c r="B13290" s="7">
        <v>1</v>
      </c>
      <c r="C13290" s="7" t="s">
        <v>10</v>
      </c>
      <c r="D13290" s="7">
        <v>18514</v>
      </c>
      <c r="E13290" s="7" t="s">
        <v>23</v>
      </c>
      <c r="F13290" s="8" t="str">
        <f ca="1">IFERROR(__xludf.DUMMYFUNCTION("IF
(
C13291=""фізична особа""
,
VLOOKUP(D13291,IMPORTRANGE(""https://docs.google.com/spreadsheets/d/14Bd19lYaqBhU8_DElYkX7l4wRkHqqCUFNJY4AfY3kHU/edit?usp=sharing  #gid=0"",""фіз особи new!relations_name""),6,FALSE)
,
(IF
(
C13291=""юридична особа""
,
VLOO"&amp;"KUP(D13291,IMPORTRANGE(""https://docs.google.com/spreadsheets/d/14Bd19lYaqBhU8_DElYkX7l4wRkHqqCUFNJY4AfY3kHU/edit?usp=sharing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0" s="7" t="s">
        <v>10</v>
      </c>
      <c r="H13290" s="7">
        <v>18519</v>
      </c>
      <c r="I13290" s="8" t="str">
        <f ca="1">IFERROR(__xludf.DUMMYFUNCTION("IF
(
G13291=""фізична особа""
,
VLOOKUP(H13291,IMPORTRANGE(""https://docs.google.com/spreadsheets/d/14Bd19lYaqBhU8_DElYkX7l4wRkHqqCUFNJY4AfY3kHU/edit?usp=sharing  #gid=0"",""фіз особи new!relations_name""),6,FALSE)
,
(IF
(
G13291=""юридична особа""
,
VLOO"&amp;"KUP(H13291,IMPORTRANGE(""https://docs.google.com/spreadsheets/d/14Bd19lYaqBhU8_DElYkX7l4wRkHqqCUFNJY4AfY3kHU/edit?usp=sharing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290" s="7" t="s">
        <v>23</v>
      </c>
    </row>
    <row r="13291" spans="1:10" ht="13.2">
      <c r="A13291" s="7">
        <v>13290</v>
      </c>
      <c r="B13291" s="7">
        <v>1</v>
      </c>
      <c r="C13291" s="7" t="s">
        <v>10</v>
      </c>
      <c r="D13291" s="7">
        <v>18514</v>
      </c>
      <c r="E13291" s="7" t="s">
        <v>23</v>
      </c>
      <c r="F13291" s="8" t="str">
        <f ca="1">IFERROR(__xludf.DUMMYFUNCTION("IF
(
C13292=""фізична особа""
,
VLOOKUP(D13292,IMPORTRANGE(""https://docs.google.com/spreadsheets/d/14Bd19lYaqBhU8_DElYkX7l4wRkHqqCUFNJY4AfY3kHU/edit?usp=sharing  #gid=0"",""фіз особи new!relations_name""),6,FALSE)
,
(IF
(
C13292=""юридична особа""
,
VLOO"&amp;"KUP(D13292,IMPORTRANGE(""https://docs.google.com/spreadsheets/d/14Bd19lYaqBhU8_DElYkX7l4wRkHqqCUFNJY4AfY3kHU/edit?usp=sharing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1" s="7" t="s">
        <v>10</v>
      </c>
      <c r="H13291" s="7">
        <v>18517</v>
      </c>
      <c r="I13291" s="8" t="str">
        <f ca="1">IFERROR(__xludf.DUMMYFUNCTION("IF
(
G13292=""фізична особа""
,
VLOOKUP(H13292,IMPORTRANGE(""https://docs.google.com/spreadsheets/d/14Bd19lYaqBhU8_DElYkX7l4wRkHqqCUFNJY4AfY3kHU/edit?usp=sharing  #gid=0"",""фіз особи new!relations_name""),6,FALSE)
,
(IF
(
G13292=""юридична особа""
,
VLOO"&amp;"KUP(H13292,IMPORTRANGE(""https://docs.google.com/spreadsheets/d/14Bd19lYaqBhU8_DElYkX7l4wRkHqqCUFNJY4AfY3kHU/edit?usp=sharing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291" s="7" t="s">
        <v>23</v>
      </c>
    </row>
    <row r="13292" spans="1:10" ht="13.2">
      <c r="A13292" s="7">
        <v>13291</v>
      </c>
      <c r="B13292" s="7">
        <v>1</v>
      </c>
      <c r="C13292" s="7" t="s">
        <v>10</v>
      </c>
      <c r="D13292" s="7">
        <v>18514</v>
      </c>
      <c r="E13292" s="7" t="s">
        <v>23</v>
      </c>
      <c r="F13292" s="8" t="str">
        <f ca="1">IFERROR(__xludf.DUMMYFUNCTION("IF
(
C13293=""фізична особа""
,
VLOOKUP(D13293,IMPORTRANGE(""https://docs.google.com/spreadsheets/d/14Bd19lYaqBhU8_DElYkX7l4wRkHqqCUFNJY4AfY3kHU/edit?usp=sharing  #gid=0"",""фіз особи new!relations_name""),6,FALSE)
,
(IF
(
C13293=""юридична особа""
,
VLOO"&amp;"KUP(D13293,IMPORTRANGE(""https://docs.google.com/spreadsheets/d/14Bd19lYaqBhU8_DElYkX7l4wRkHqqCUFNJY4AfY3kHU/edit?usp=sharing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2" s="7" t="s">
        <v>10</v>
      </c>
      <c r="H13292" s="7">
        <v>18515</v>
      </c>
      <c r="I13292" s="8" t="str">
        <f ca="1">IFERROR(__xludf.DUMMYFUNCTION("IF
(
G13293=""фізична особа""
,
VLOOKUP(H13293,IMPORTRANGE(""https://docs.google.com/spreadsheets/d/14Bd19lYaqBhU8_DElYkX7l4wRkHqqCUFNJY4AfY3kHU/edit?usp=sharing  #gid=0"",""фіз особи new!relations_name""),6,FALSE)
,
(IF
(
G13293=""юридична особа""
,
VLOO"&amp;"KUP(H13293,IMPORTRANGE(""https://docs.google.com/spreadsheets/d/14Bd19lYaqBhU8_DElYkX7l4wRkHqqCUFNJY4AfY3kHU/edit?usp=sharing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292" s="7" t="s">
        <v>23</v>
      </c>
    </row>
    <row r="13293" spans="1:10" ht="13.2">
      <c r="A13293" s="7">
        <v>13292</v>
      </c>
      <c r="B13293" s="7">
        <v>1</v>
      </c>
      <c r="C13293" s="7" t="s">
        <v>10</v>
      </c>
      <c r="D13293" s="7">
        <v>18514</v>
      </c>
      <c r="E13293" s="7" t="s">
        <v>23</v>
      </c>
      <c r="F13293" s="8" t="str">
        <f ca="1">IFERROR(__xludf.DUMMYFUNCTION("IF
(
C13294=""фізична особа""
,
VLOOKUP(D13294,IMPORTRANGE(""https://docs.google.com/spreadsheets/d/14Bd19lYaqBhU8_DElYkX7l4wRkHqqCUFNJY4AfY3kHU/edit?usp=sharing  #gid=0"",""фіз особи new!relations_name""),6,FALSE)
,
(IF
(
C13294=""юридична особа""
,
VLOO"&amp;"KUP(D13294,IMPORTRANGE(""https://docs.google.com/spreadsheets/d/14Bd19lYaqBhU8_DElYkX7l4wRkHqqCUFNJY4AfY3kHU/edit?usp=sharing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3" s="7" t="s">
        <v>10</v>
      </c>
      <c r="H13293" s="7">
        <v>18516</v>
      </c>
      <c r="I13293" s="8" t="str">
        <f ca="1">IFERROR(__xludf.DUMMYFUNCTION("IF
(
G13294=""фізична особа""
,
VLOOKUP(H13294,IMPORTRANGE(""https://docs.google.com/spreadsheets/d/14Bd19lYaqBhU8_DElYkX7l4wRkHqqCUFNJY4AfY3kHU/edit?usp=sharing  #gid=0"",""фіз особи new!relations_name""),6,FALSE)
,
(IF
(
G13294=""юридична особа""
,
VLOO"&amp;"KUP(H13294,IMPORTRANGE(""https://docs.google.com/spreadsheets/d/14Bd19lYaqBhU8_DElYkX7l4wRkHqqCUFNJY4AfY3kHU/edit?usp=sharing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293" s="7" t="s">
        <v>23</v>
      </c>
    </row>
    <row r="13294" spans="1:10" ht="13.2">
      <c r="A13294" s="7">
        <v>13293</v>
      </c>
      <c r="B13294" s="7">
        <v>1</v>
      </c>
      <c r="C13294" s="7" t="s">
        <v>10</v>
      </c>
      <c r="D13294" s="7">
        <v>18514</v>
      </c>
      <c r="E13294" s="7" t="s">
        <v>23</v>
      </c>
      <c r="F13294" s="8" t="str">
        <f ca="1">IFERROR(__xludf.DUMMYFUNCTION("IF
(
C13295=""фізична особа""
,
VLOOKUP(D13295,IMPORTRANGE(""https://docs.google.com/spreadsheets/d/14Bd19lYaqBhU8_DElYkX7l4wRkHqqCUFNJY4AfY3kHU/edit?usp=sharing  #gid=0"",""фіз особи new!relations_name""),6,FALSE)
,
(IF
(
C13295=""юридична особа""
,
VLOO"&amp;"KUP(D13295,IMPORTRANGE(""https://docs.google.com/spreadsheets/d/14Bd19lYaqBhU8_DElYkX7l4wRkHqqCUFNJY4AfY3kHU/edit?usp=sharing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4" s="7" t="s">
        <v>10</v>
      </c>
      <c r="H13294" s="7">
        <v>0</v>
      </c>
      <c r="I13294" s="8" t="str">
        <f ca="1">IFERROR(__xludf.DUMMYFUNCTION("IF
(
G13295=""фізична особа""
,
VLOOKUP(H13295,IMPORTRANGE(""https://docs.google.com/spreadsheets/d/14Bd19lYaqBhU8_DElYkX7l4wRkHqqCUFNJY4AfY3kHU/edit?usp=sharing  #gid=0"",""фіз особи new!relations_name""),6,FALSE)
,
(IF
(
G13295=""юридична особа""
,
VLOO"&amp;"KUP(H13295,IMPORTRANGE(""https://docs.google.com/spreadsheets/d/14Bd19lYaqBhU8_DElYkX7l4wRkHqqCUFNJY4AfY3kHU/edit?usp=sharing  #gid=0"",""фіз особи new!relations_name_uo""),7,FALSE)
,
)
))"),"#N/A")</f>
        <v>#N/A</v>
      </c>
      <c r="J13294" s="7" t="s">
        <v>23</v>
      </c>
    </row>
    <row r="13295" spans="1:10" ht="13.2">
      <c r="A13295" s="7">
        <v>13294</v>
      </c>
      <c r="B13295" s="7">
        <v>1</v>
      </c>
      <c r="C13295" s="7" t="s">
        <v>10</v>
      </c>
      <c r="D13295" s="7">
        <v>18514</v>
      </c>
      <c r="E13295" s="7" t="s">
        <v>23</v>
      </c>
      <c r="F13295" s="8" t="str">
        <f ca="1">IFERROR(__xludf.DUMMYFUNCTION("IF
(
C13296=""фізична особа""
,
VLOOKUP(D13296,IMPORTRANGE(""https://docs.google.com/spreadsheets/d/14Bd19lYaqBhU8_DElYkX7l4wRkHqqCUFNJY4AfY3kHU/edit?usp=sharing  #gid=0"",""фіз особи new!relations_name""),6,FALSE)
,
(IF
(
C13296=""юридична особа""
,
VLOO"&amp;"KUP(D13296,IMPORTRANGE(""https://docs.google.com/spreadsheets/d/14Bd19lYaqBhU8_DElYkX7l4wRkHqqCUFNJY4AfY3kHU/edit?usp=sharing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G13295" s="7" t="s">
        <v>10</v>
      </c>
      <c r="H13295" s="7">
        <v>3028</v>
      </c>
      <c r="I13295" s="8" t="str">
        <f ca="1">IFERROR(__xludf.DUMMYFUNCTION("IF
(
G13296=""фізична особа""
,
VLOOKUP(H13296,IMPORTRANGE(""https://docs.google.com/spreadsheets/d/14Bd19lYaqBhU8_DElYkX7l4wRkHqqCUFNJY4AfY3kHU/edit?usp=sharing  #gid=0"",""фіз особи new!relations_name""),6,FALSE)
,
(IF
(
G13296=""юридична особа""
,
VLOO"&amp;"KUP(H13296,IMPORTRANGE(""https://docs.google.com/spreadsheets/d/14Bd19lYaqBhU8_DElYkX7l4wRkHqqCUFNJY4AfY3kHU/edit?usp=sharing  #gid=0"",""фіз особи new!relations_name_uo""),7,FALSE)
,
)
))"),"ІВАНОВ Петро Валерійович")</f>
        <v>ІВАНОВ Петро Валерійович</v>
      </c>
      <c r="J13295" s="7" t="s">
        <v>23</v>
      </c>
    </row>
    <row r="13296" spans="1:10" ht="13.2">
      <c r="A13296" s="7">
        <v>13295</v>
      </c>
      <c r="B13296" s="7">
        <v>1</v>
      </c>
      <c r="C13296" s="7" t="s">
        <v>10</v>
      </c>
      <c r="D13296" s="7">
        <v>18515</v>
      </c>
      <c r="E13296" s="7" t="s">
        <v>12</v>
      </c>
      <c r="F13296" s="8" t="str">
        <f ca="1">IFERROR(__xludf.DUMMYFUNCTION("IF
(
C13297=""фізична особа""
,
VLOOKUP(D13297,IMPORTRANGE(""https://docs.google.com/spreadsheets/d/14Bd19lYaqBhU8_DElYkX7l4wRkHqqCUFNJY4AfY3kHU/edit?usp=sharing  #gid=0"",""фіз особи new!relations_name""),6,FALSE)
,
(IF
(
C13297=""юридична особа""
,
VLOO"&amp;"KUP(D13297,IMPORTRANGE(""https://docs.google.com/spreadsheets/d/14Bd19lYaqBhU8_DElYkX7l4wRkHqqCUFNJY4AfY3kHU/edit?usp=sharing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296" s="7" t="s">
        <v>10</v>
      </c>
      <c r="H13296" s="7">
        <v>23659</v>
      </c>
      <c r="I13296" s="8" t="str">
        <f ca="1">IFERROR(__xludf.DUMMYFUNCTION("IF
(
G13297=""фізична особа""
,
VLOOKUP(H13297,IMPORTRANGE(""https://docs.google.com/spreadsheets/d/14Bd19lYaqBhU8_DElYkX7l4wRkHqqCUFNJY4AfY3kHU/edit?usp=sharing  #gid=0"",""фіз особи new!relations_name""),6,FALSE)
,
(IF
(
G13297=""юридична особа""
,
VLOO"&amp;"KUP(H13297,IMPORTRANGE(""https://docs.google.com/spreadsheets/d/14Bd19lYaqBhU8_DElYkX7l4wRkHqqCUFNJY4AfY3kHU/edit?usp=sharing  #gid=0"",""фіз особи new!relations_name_uo""),7,FALSE)
,
)
))"),"СКОРОВ Михайло Аркадійович")</f>
        <v>СКОРОВ Михайло Аркадійович</v>
      </c>
      <c r="J13296" s="7" t="s">
        <v>17</v>
      </c>
    </row>
    <row r="13297" spans="1:10" ht="13.2">
      <c r="A13297" s="7">
        <v>13296</v>
      </c>
      <c r="B13297" s="7">
        <v>1</v>
      </c>
      <c r="C13297" s="7" t="s">
        <v>10</v>
      </c>
      <c r="D13297" s="7">
        <v>18515</v>
      </c>
      <c r="E13297" s="7" t="s">
        <v>23</v>
      </c>
      <c r="F13297" s="8" t="str">
        <f ca="1">IFERROR(__xludf.DUMMYFUNCTION("IF
(
C13298=""фізична особа""
,
VLOOKUP(D13298,IMPORTRANGE(""https://docs.google.com/spreadsheets/d/14Bd19lYaqBhU8_DElYkX7l4wRkHqqCUFNJY4AfY3kHU/edit?usp=sharing  #gid=0"",""фіз особи new!relations_name""),6,FALSE)
,
(IF
(
C13298=""юридична особа""
,
VLOO"&amp;"KUP(D13298,IMPORTRANGE(""https://docs.google.com/spreadsheets/d/14Bd19lYaqBhU8_DElYkX7l4wRkHqqCUFNJY4AfY3kHU/edit?usp=sharing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297" s="7" t="s">
        <v>10</v>
      </c>
      <c r="H13297" s="7">
        <v>23660</v>
      </c>
      <c r="I13297" s="8" t="str">
        <f ca="1">IFERROR(__xludf.DUMMYFUNCTION("IF
(
G13298=""фізична особа""
,
VLOOKUP(H13298,IMPORTRANGE(""https://docs.google.com/spreadsheets/d/14Bd19lYaqBhU8_DElYkX7l4wRkHqqCUFNJY4AfY3kHU/edit?usp=sharing  #gid=0"",""фіз особи new!relations_name""),6,FALSE)
,
(IF
(
G13298=""юридична особа""
,
VLOO"&amp;"KUP(H13298,IMPORTRANGE(""https://docs.google.com/spreadsheets/d/14Bd19lYaqBhU8_DElYkX7l4wRkHqqCUFNJY4AfY3kHU/edit?usp=sharing  #gid=0"",""фіз особи new!relations_name_uo""),7,FALSE)
,
)
))"),"МАГОМЕДБЕКОВ Магомед Алавудінович")</f>
        <v>МАГОМЕДБЕКОВ Магомед Алавудінович</v>
      </c>
      <c r="J13297" s="7" t="s">
        <v>23</v>
      </c>
    </row>
    <row r="13298" spans="1:10" ht="13.2">
      <c r="A13298" s="7">
        <v>13297</v>
      </c>
      <c r="B13298" s="7">
        <v>1</v>
      </c>
      <c r="C13298" s="7" t="s">
        <v>10</v>
      </c>
      <c r="D13298" s="7">
        <v>18515</v>
      </c>
      <c r="E13298" s="7" t="s">
        <v>23</v>
      </c>
      <c r="F13298" s="8" t="str">
        <f ca="1">IFERROR(__xludf.DUMMYFUNCTION("IF
(
C13299=""фізична особа""
,
VLOOKUP(D13299,IMPORTRANGE(""https://docs.google.com/spreadsheets/d/14Bd19lYaqBhU8_DElYkX7l4wRkHqqCUFNJY4AfY3kHU/edit?usp=sharing  #gid=0"",""фіз особи new!relations_name""),6,FALSE)
,
(IF
(
C13299=""юридична особа""
,
VLOO"&amp;"KUP(D13299,IMPORTRANGE(""https://docs.google.com/spreadsheets/d/14Bd19lYaqBhU8_DElYkX7l4wRkHqqCUFNJY4AfY3kHU/edit?usp=sharing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298" s="7" t="s">
        <v>10</v>
      </c>
      <c r="H13298" s="7">
        <v>18517</v>
      </c>
      <c r="I13298" s="8" t="str">
        <f ca="1">IFERROR(__xludf.DUMMYFUNCTION("IF
(
G13299=""фізична особа""
,
VLOOKUP(H13299,IMPORTRANGE(""https://docs.google.com/spreadsheets/d/14Bd19lYaqBhU8_DElYkX7l4wRkHqqCUFNJY4AfY3kHU/edit?usp=sharing  #gid=0"",""фіз особи new!relations_name""),6,FALSE)
,
(IF
(
G13299=""юридична особа""
,
VLOO"&amp;"KUP(H13299,IMPORTRANGE(""https://docs.google.com/spreadsheets/d/14Bd19lYaqBhU8_DElYkX7l4wRkHqqCUFNJY4AfY3kHU/edit?usp=sharing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298" s="7" t="s">
        <v>23</v>
      </c>
    </row>
    <row r="13299" spans="1:10" ht="13.2">
      <c r="A13299" s="7">
        <v>13298</v>
      </c>
      <c r="B13299" s="7">
        <v>1</v>
      </c>
      <c r="C13299" s="7" t="s">
        <v>10</v>
      </c>
      <c r="D13299" s="7">
        <v>18515</v>
      </c>
      <c r="E13299" s="7" t="s">
        <v>23</v>
      </c>
      <c r="F13299" s="8" t="str">
        <f ca="1">IFERROR(__xludf.DUMMYFUNCTION("IF
(
C13300=""фізична особа""
,
VLOOKUP(D13300,IMPORTRANGE(""https://docs.google.com/spreadsheets/d/14Bd19lYaqBhU8_DElYkX7l4wRkHqqCUFNJY4AfY3kHU/edit?usp=sharing  #gid=0"",""фіз особи new!relations_name""),6,FALSE)
,
(IF
(
C13300=""юридична особа""
,
VLOO"&amp;"KUP(D13300,IMPORTRANGE(""https://docs.google.com/spreadsheets/d/14Bd19lYaqBhU8_DElYkX7l4wRkHqqCUFNJY4AfY3kHU/edit?usp=sharing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299" s="7" t="s">
        <v>10</v>
      </c>
      <c r="H13299" s="7">
        <v>23661</v>
      </c>
      <c r="I13299" s="8" t="str">
        <f ca="1">IFERROR(__xludf.DUMMYFUNCTION("IF
(
G13300=""фізична особа""
,
VLOOKUP(H13300,IMPORTRANGE(""https://docs.google.com/spreadsheets/d/14Bd19lYaqBhU8_DElYkX7l4wRkHqqCUFNJY4AfY3kHU/edit?usp=sharing  #gid=0"",""фіз особи new!relations_name""),6,FALSE)
,
(IF
(
G13300=""юридична особа""
,
VLOO"&amp;"KUP(H13300,IMPORTRANGE(""https://docs.google.com/spreadsheets/d/14Bd19lYaqBhU8_DElYkX7l4wRkHqqCUFNJY4AfY3kHU/edit?usp=sharing  #gid=0"",""фіз особи new!relations_name_uo""),7,FALSE)
,
)
))"),"ЛЕОНОВА Катерина Юріївна")</f>
        <v>ЛЕОНОВА Катерина Юріївна</v>
      </c>
      <c r="J13299" s="7" t="s">
        <v>23</v>
      </c>
    </row>
    <row r="13300" spans="1:10" ht="13.2">
      <c r="A13300" s="7">
        <v>13299</v>
      </c>
      <c r="B13300" s="7">
        <v>1</v>
      </c>
      <c r="C13300" s="7" t="s">
        <v>10</v>
      </c>
      <c r="D13300" s="7">
        <v>18515</v>
      </c>
      <c r="E13300" s="7" t="s">
        <v>23</v>
      </c>
      <c r="F13300" s="8" t="str">
        <f ca="1">IFERROR(__xludf.DUMMYFUNCTION("IF
(
C13301=""фізична особа""
,
VLOOKUP(D13301,IMPORTRANGE(""https://docs.google.com/spreadsheets/d/14Bd19lYaqBhU8_DElYkX7l4wRkHqqCUFNJY4AfY3kHU/edit?usp=sharing  #gid=0"",""фіз особи new!relations_name""),6,FALSE)
,
(IF
(
C13301=""юридична особа""
,
VLOO"&amp;"KUP(D13301,IMPORTRANGE(""https://docs.google.com/spreadsheets/d/14Bd19lYaqBhU8_DElYkX7l4wRkHqqCUFNJY4AfY3kHU/edit?usp=sharing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0" s="7" t="s">
        <v>10</v>
      </c>
      <c r="H13300" s="7">
        <v>18518</v>
      </c>
      <c r="I13300" s="8" t="str">
        <f ca="1">IFERROR(__xludf.DUMMYFUNCTION("IF
(
G13301=""фізична особа""
,
VLOOKUP(H13301,IMPORTRANGE(""https://docs.google.com/spreadsheets/d/14Bd19lYaqBhU8_DElYkX7l4wRkHqqCUFNJY4AfY3kHU/edit?usp=sharing  #gid=0"",""фіз особи new!relations_name""),6,FALSE)
,
(IF
(
G13301=""юридична особа""
,
VLOO"&amp;"KUP(H13301,IMPORTRANGE(""https://docs.google.com/spreadsheets/d/14Bd19lYaqBhU8_DElYkX7l4wRkHqqCUFNJY4AfY3kHU/edit?usp=sharing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00" s="7" t="s">
        <v>23</v>
      </c>
    </row>
    <row r="13301" spans="1:10" ht="13.2">
      <c r="A13301" s="7">
        <v>13300</v>
      </c>
      <c r="B13301" s="7">
        <v>1</v>
      </c>
      <c r="C13301" s="7" t="s">
        <v>10</v>
      </c>
      <c r="D13301" s="7">
        <v>18515</v>
      </c>
      <c r="E13301" s="7" t="s">
        <v>23</v>
      </c>
      <c r="F13301" s="8" t="str">
        <f ca="1">IFERROR(__xludf.DUMMYFUNCTION("IF
(
C13302=""фізична особа""
,
VLOOKUP(D13302,IMPORTRANGE(""https://docs.google.com/spreadsheets/d/14Bd19lYaqBhU8_DElYkX7l4wRkHqqCUFNJY4AfY3kHU/edit?usp=sharing  #gid=0"",""фіз особи new!relations_name""),6,FALSE)
,
(IF
(
C13302=""юридична особа""
,
VLOO"&amp;"KUP(D13302,IMPORTRANGE(""https://docs.google.com/spreadsheets/d/14Bd19lYaqBhU8_DElYkX7l4wRkHqqCUFNJY4AfY3kHU/edit?usp=sharing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1" s="7" t="s">
        <v>10</v>
      </c>
      <c r="H13301" s="7">
        <v>23662</v>
      </c>
      <c r="I13301" s="8" t="str">
        <f ca="1">IFERROR(__xludf.DUMMYFUNCTION("IF
(
G13302=""фізична особа""
,
VLOOKUP(H13302,IMPORTRANGE(""https://docs.google.com/spreadsheets/d/14Bd19lYaqBhU8_DElYkX7l4wRkHqqCUFNJY4AfY3kHU/edit?usp=sharing  #gid=0"",""фіз особи new!relations_name""),6,FALSE)
,
(IF
(
G13302=""юридична особа""
,
VLOO"&amp;"KUP(H13302,IMPORTRANGE(""https://docs.google.com/spreadsheets/d/14Bd19lYaqBhU8_DElYkX7l4wRkHqqCUFNJY4AfY3kHU/edit?usp=sharing  #gid=0"",""фіз особи new!relations_name_uo""),7,FALSE)
,
)
))"),"ВИНОГРАДОВ Ігор Олександрович")</f>
        <v>ВИНОГРАДОВ Ігор Олександрович</v>
      </c>
      <c r="J13301" s="7" t="s">
        <v>23</v>
      </c>
    </row>
    <row r="13302" spans="1:10" ht="13.2">
      <c r="A13302" s="7">
        <v>13301</v>
      </c>
      <c r="B13302" s="7">
        <v>1</v>
      </c>
      <c r="C13302" s="7" t="s">
        <v>10</v>
      </c>
      <c r="D13302" s="7">
        <v>18515</v>
      </c>
      <c r="E13302" s="7" t="s">
        <v>23</v>
      </c>
      <c r="F13302" s="8" t="str">
        <f ca="1">IFERROR(__xludf.DUMMYFUNCTION("IF
(
C13303=""фізична особа""
,
VLOOKUP(D13303,IMPORTRANGE(""https://docs.google.com/spreadsheets/d/14Bd19lYaqBhU8_DElYkX7l4wRkHqqCUFNJY4AfY3kHU/edit?usp=sharing  #gid=0"",""фіз особи new!relations_name""),6,FALSE)
,
(IF
(
C13303=""юридична особа""
,
VLOO"&amp;"KUP(D13303,IMPORTRANGE(""https://docs.google.com/spreadsheets/d/14Bd19lYaqBhU8_DElYkX7l4wRkHqqCUFNJY4AfY3kHU/edit?usp=sharing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2" s="7" t="s">
        <v>10</v>
      </c>
      <c r="H13302" s="7">
        <v>23663</v>
      </c>
      <c r="I13302" s="8" t="str">
        <f ca="1">IFERROR(__xludf.DUMMYFUNCTION("IF
(
G13303=""фізична особа""
,
VLOOKUP(H13303,IMPORTRANGE(""https://docs.google.com/spreadsheets/d/14Bd19lYaqBhU8_DElYkX7l4wRkHqqCUFNJY4AfY3kHU/edit?usp=sharing  #gid=0"",""фіз особи new!relations_name""),6,FALSE)
,
(IF
(
G13303=""юридична особа""
,
VLOO"&amp;"KUP(H13303,IMPORTRANGE(""https://docs.google.com/spreadsheets/d/14Bd19lYaqBhU8_DElYkX7l4wRkHqqCUFNJY4AfY3kHU/edit?usp=sharing  #gid=0"",""фіз особи new!relations_name_uo""),7,FALSE)
,
)
))"),"ЄМЕЛЬЯНОВА Юлія Олександрівна")</f>
        <v>ЄМЕЛЬЯНОВА Юлія Олександрівна</v>
      </c>
      <c r="J13302" s="7" t="s">
        <v>23</v>
      </c>
    </row>
    <row r="13303" spans="1:10" ht="13.2">
      <c r="A13303" s="7">
        <v>13302</v>
      </c>
      <c r="B13303" s="7">
        <v>1</v>
      </c>
      <c r="C13303" s="7" t="s">
        <v>10</v>
      </c>
      <c r="D13303" s="7">
        <v>18515</v>
      </c>
      <c r="E13303" s="7" t="s">
        <v>23</v>
      </c>
      <c r="F13303" s="8" t="str">
        <f ca="1">IFERROR(__xludf.DUMMYFUNCTION("IF
(
C13304=""фізична особа""
,
VLOOKUP(D13304,IMPORTRANGE(""https://docs.google.com/spreadsheets/d/14Bd19lYaqBhU8_DElYkX7l4wRkHqqCUFNJY4AfY3kHU/edit?usp=sharing  #gid=0"",""фіз особи new!relations_name""),6,FALSE)
,
(IF
(
C13304=""юридична особа""
,
VLOO"&amp;"KUP(D13304,IMPORTRANGE(""https://docs.google.com/spreadsheets/d/14Bd19lYaqBhU8_DElYkX7l4wRkHqqCUFNJY4AfY3kHU/edit?usp=sharing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3" s="7" t="s">
        <v>10</v>
      </c>
      <c r="H13303" s="7">
        <v>23664</v>
      </c>
      <c r="I13303" s="8" t="str">
        <f ca="1">IFERROR(__xludf.DUMMYFUNCTION("IF
(
G13304=""фізична особа""
,
VLOOKUP(H13304,IMPORTRANGE(""https://docs.google.com/spreadsheets/d/14Bd19lYaqBhU8_DElYkX7l4wRkHqqCUFNJY4AfY3kHU/edit?usp=sharing  #gid=0"",""фіз особи new!relations_name""),6,FALSE)
,
(IF
(
G13304=""юридична особа""
,
VLOO"&amp;"KUP(H13304,IMPORTRANGE(""https://docs.google.com/spreadsheets/d/14Bd19lYaqBhU8_DElYkX7l4wRkHqqCUFNJY4AfY3kHU/edit?usp=sharing  #gid=0"",""фіз особи new!relations_name_uo""),7,FALSE)
,
)
))"),"КАЛЬНІЦЬКИЙ Ігор Олександрович")</f>
        <v>КАЛЬНІЦЬКИЙ Ігор Олександрович</v>
      </c>
      <c r="J13303" s="7" t="s">
        <v>23</v>
      </c>
    </row>
    <row r="13304" spans="1:10" ht="13.2">
      <c r="A13304" s="7">
        <v>13303</v>
      </c>
      <c r="B13304" s="7">
        <v>1</v>
      </c>
      <c r="C13304" s="7" t="s">
        <v>10</v>
      </c>
      <c r="D13304" s="7">
        <v>18515</v>
      </c>
      <c r="E13304" s="7" t="s">
        <v>23</v>
      </c>
      <c r="F13304" s="8" t="str">
        <f ca="1">IFERROR(__xludf.DUMMYFUNCTION("IF
(
C13305=""фізична особа""
,
VLOOKUP(D13305,IMPORTRANGE(""https://docs.google.com/spreadsheets/d/14Bd19lYaqBhU8_DElYkX7l4wRkHqqCUFNJY4AfY3kHU/edit?usp=sharing  #gid=0"",""фіз особи new!relations_name""),6,FALSE)
,
(IF
(
C13305=""юридична особа""
,
VLOO"&amp;"KUP(D13305,IMPORTRANGE(""https://docs.google.com/spreadsheets/d/14Bd19lYaqBhU8_DElYkX7l4wRkHqqCUFNJY4AfY3kHU/edit?usp=sharing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4" s="7" t="s">
        <v>10</v>
      </c>
      <c r="H13304" s="7">
        <v>23665</v>
      </c>
      <c r="I13304" s="8" t="str">
        <f ca="1">IFERROR(__xludf.DUMMYFUNCTION("IF
(
G13305=""фізична особа""
,
VLOOKUP(H13305,IMPORTRANGE(""https://docs.google.com/spreadsheets/d/14Bd19lYaqBhU8_DElYkX7l4wRkHqqCUFNJY4AfY3kHU/edit?usp=sharing  #gid=0"",""фіз особи new!relations_name""),6,FALSE)
,
(IF
(
G13305=""юридична особа""
,
VLOO"&amp;"KUP(H13305,IMPORTRANGE(""https://docs.google.com/spreadsheets/d/14Bd19lYaqBhU8_DElYkX7l4wRkHqqCUFNJY4AfY3kHU/edit?usp=sharing  #gid=0"",""фіз особи new!relations_name_uo""),7,FALSE)
,
)
))"),"СТЕПАНОВ Володимир Вікторович")</f>
        <v>СТЕПАНОВ Володимир Вікторович</v>
      </c>
      <c r="J13304" s="7" t="s">
        <v>23</v>
      </c>
    </row>
    <row r="13305" spans="1:10" ht="13.2">
      <c r="A13305" s="7">
        <v>13304</v>
      </c>
      <c r="B13305" s="7">
        <v>1</v>
      </c>
      <c r="C13305" s="7" t="s">
        <v>10</v>
      </c>
      <c r="D13305" s="7">
        <v>18515</v>
      </c>
      <c r="E13305" s="7" t="s">
        <v>23</v>
      </c>
      <c r="F13305" s="8" t="str">
        <f ca="1">IFERROR(__xludf.DUMMYFUNCTION("IF
(
C13306=""фізична особа""
,
VLOOKUP(D13306,IMPORTRANGE(""https://docs.google.com/spreadsheets/d/14Bd19lYaqBhU8_DElYkX7l4wRkHqqCUFNJY4AfY3kHU/edit?usp=sharing  #gid=0"",""фіз особи new!relations_name""),6,FALSE)
,
(IF
(
C13306=""юридична особа""
,
VLOO"&amp;"KUP(D13306,IMPORTRANGE(""https://docs.google.com/spreadsheets/d/14Bd19lYaqBhU8_DElYkX7l4wRkHqqCUFNJY4AfY3kHU/edit?usp=sharing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5" s="7" t="s">
        <v>10</v>
      </c>
      <c r="H13305" s="7">
        <v>23666</v>
      </c>
      <c r="I13305" s="8" t="str">
        <f ca="1">IFERROR(__xludf.DUMMYFUNCTION("IF
(
G13306=""фізична особа""
,
VLOOKUP(H13306,IMPORTRANGE(""https://docs.google.com/spreadsheets/d/14Bd19lYaqBhU8_DElYkX7l4wRkHqqCUFNJY4AfY3kHU/edit?usp=sharing  #gid=0"",""фіз особи new!relations_name""),6,FALSE)
,
(IF
(
G13306=""юридична особа""
,
VLOO"&amp;"KUP(H13306,IMPORTRANGE(""https://docs.google.com/spreadsheets/d/14Bd19lYaqBhU8_DElYkX7l4wRkHqqCUFNJY4AfY3kHU/edit?usp=sharing  #gid=0"",""фіз особи new!relations_name_uo""),7,FALSE)
,
)
))"),"ІБРІШИМ Дмитро Іванович")</f>
        <v>ІБРІШИМ Дмитро Іванович</v>
      </c>
      <c r="J13305" s="7" t="s">
        <v>23</v>
      </c>
    </row>
    <row r="13306" spans="1:10" ht="13.2">
      <c r="A13306" s="7">
        <v>13305</v>
      </c>
      <c r="B13306" s="7">
        <v>1</v>
      </c>
      <c r="C13306" s="7" t="s">
        <v>10</v>
      </c>
      <c r="D13306" s="7">
        <v>18515</v>
      </c>
      <c r="E13306" s="7" t="s">
        <v>23</v>
      </c>
      <c r="F13306" s="8" t="str">
        <f ca="1">IFERROR(__xludf.DUMMYFUNCTION("IF
(
C13307=""фізична особа""
,
VLOOKUP(D13307,IMPORTRANGE(""https://docs.google.com/spreadsheets/d/14Bd19lYaqBhU8_DElYkX7l4wRkHqqCUFNJY4AfY3kHU/edit?usp=sharing  #gid=0"",""фіз особи new!relations_name""),6,FALSE)
,
(IF
(
C13307=""юридична особа""
,
VLOO"&amp;"KUP(D13307,IMPORTRANGE(""https://docs.google.com/spreadsheets/d/14Bd19lYaqBhU8_DElYkX7l4wRkHqqCUFNJY4AfY3kHU/edit?usp=sharing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6" s="7" t="s">
        <v>10</v>
      </c>
      <c r="H13306" s="7">
        <v>23667</v>
      </c>
      <c r="I13306" s="8" t="str">
        <f ca="1">IFERROR(__xludf.DUMMYFUNCTION("IF
(
G13307=""фізична особа""
,
VLOOKUP(H13307,IMPORTRANGE(""https://docs.google.com/spreadsheets/d/14Bd19lYaqBhU8_DElYkX7l4wRkHqqCUFNJY4AfY3kHU/edit?usp=sharing  #gid=0"",""фіз особи new!relations_name""),6,FALSE)
,
(IF
(
G13307=""юридична особа""
,
VLOO"&amp;"KUP(H13307,IMPORTRANGE(""https://docs.google.com/spreadsheets/d/14Bd19lYaqBhU8_DElYkX7l4wRkHqqCUFNJY4AfY3kHU/edit?usp=sharing  #gid=0"",""фіз особи new!relations_name_uo""),7,FALSE)
,
)
))"),"ТЕМІРКАНОВА Аміна Артурівна")</f>
        <v>ТЕМІРКАНОВА Аміна Артурівна</v>
      </c>
      <c r="J13306" s="7" t="s">
        <v>23</v>
      </c>
    </row>
    <row r="13307" spans="1:10" ht="13.2">
      <c r="A13307" s="7">
        <v>13306</v>
      </c>
      <c r="B13307" s="7">
        <v>1</v>
      </c>
      <c r="C13307" s="7" t="s">
        <v>10</v>
      </c>
      <c r="D13307" s="7">
        <v>18515</v>
      </c>
      <c r="E13307" s="7" t="s">
        <v>23</v>
      </c>
      <c r="F13307" s="8" t="str">
        <f ca="1">IFERROR(__xludf.DUMMYFUNCTION("IF
(
C13308=""фізична особа""
,
VLOOKUP(D13308,IMPORTRANGE(""https://docs.google.com/spreadsheets/d/14Bd19lYaqBhU8_DElYkX7l4wRkHqqCUFNJY4AfY3kHU/edit?usp=sharing  #gid=0"",""фіз особи new!relations_name""),6,FALSE)
,
(IF
(
C13308=""юридична особа""
,
VLOO"&amp;"KUP(D13308,IMPORTRANGE(""https://docs.google.com/spreadsheets/d/14Bd19lYaqBhU8_DElYkX7l4wRkHqqCUFNJY4AfY3kHU/edit?usp=sharing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7" s="7" t="s">
        <v>10</v>
      </c>
      <c r="H13307" s="7">
        <v>23668</v>
      </c>
      <c r="I13307" s="8" t="str">
        <f ca="1">IFERROR(__xludf.DUMMYFUNCTION("IF
(
G13308=""фізична особа""
,
VLOOKUP(H13308,IMPORTRANGE(""https://docs.google.com/spreadsheets/d/14Bd19lYaqBhU8_DElYkX7l4wRkHqqCUFNJY4AfY3kHU/edit?usp=sharing  #gid=0"",""фіз особи new!relations_name""),6,FALSE)
,
(IF
(
G13308=""юридична особа""
,
VLOO"&amp;"KUP(H13308,IMPORTRANGE(""https://docs.google.com/spreadsheets/d/14Bd19lYaqBhU8_DElYkX7l4wRkHqqCUFNJY4AfY3kHU/edit?usp=sharing  #gid=0"",""фіз особи new!relations_name_uo""),7,FALSE)
,
)
))"),"МЕДВЕДЄВ Геннадій Семенович")</f>
        <v>МЕДВЕДЄВ Геннадій Семенович</v>
      </c>
      <c r="J13307" s="7" t="s">
        <v>23</v>
      </c>
    </row>
    <row r="13308" spans="1:10" ht="13.2">
      <c r="A13308" s="7">
        <v>13307</v>
      </c>
      <c r="B13308" s="7">
        <v>1</v>
      </c>
      <c r="C13308" s="7" t="s">
        <v>10</v>
      </c>
      <c r="D13308" s="7">
        <v>18515</v>
      </c>
      <c r="E13308" s="7" t="s">
        <v>23</v>
      </c>
      <c r="F13308" s="8" t="str">
        <f ca="1">IFERROR(__xludf.DUMMYFUNCTION("IF
(
C13309=""фізична особа""
,
VLOOKUP(D13309,IMPORTRANGE(""https://docs.google.com/spreadsheets/d/14Bd19lYaqBhU8_DElYkX7l4wRkHqqCUFNJY4AfY3kHU/edit?usp=sharing  #gid=0"",""фіз особи new!relations_name""),6,FALSE)
,
(IF
(
C13309=""юридична особа""
,
VLOO"&amp;"KUP(D13309,IMPORTRANGE(""https://docs.google.com/spreadsheets/d/14Bd19lYaqBhU8_DElYkX7l4wRkHqqCUFNJY4AfY3kHU/edit?usp=sharing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8" s="7" t="s">
        <v>10</v>
      </c>
      <c r="H13308" s="7">
        <v>23669</v>
      </c>
      <c r="I13308" s="8" t="str">
        <f ca="1">IFERROR(__xludf.DUMMYFUNCTION("IF
(
G13309=""фізична особа""
,
VLOOKUP(H13309,IMPORTRANGE(""https://docs.google.com/spreadsheets/d/14Bd19lYaqBhU8_DElYkX7l4wRkHqqCUFNJY4AfY3kHU/edit?usp=sharing  #gid=0"",""фіз особи new!relations_name""),6,FALSE)
,
(IF
(
G13309=""юридична особа""
,
VLOO"&amp;"KUP(H13309,IMPORTRANGE(""https://docs.google.com/spreadsheets/d/14Bd19lYaqBhU8_DElYkX7l4wRkHqqCUFNJY4AfY3kHU/edit?usp=sharing  #gid=0"",""фіз особи new!relations_name_uo""),7,FALSE)
,
)
))"),"БОГУСЛАВСЬКИЙ Максим Євгенійович")</f>
        <v>БОГУСЛАВСЬКИЙ Максим Євгенійович</v>
      </c>
      <c r="J13308" s="7" t="s">
        <v>23</v>
      </c>
    </row>
    <row r="13309" spans="1:10" ht="13.2">
      <c r="A13309" s="7">
        <v>13308</v>
      </c>
      <c r="B13309" s="7">
        <v>1</v>
      </c>
      <c r="C13309" s="7" t="s">
        <v>10</v>
      </c>
      <c r="D13309" s="7">
        <v>18515</v>
      </c>
      <c r="E13309" s="7" t="s">
        <v>23</v>
      </c>
      <c r="F13309" s="8" t="str">
        <f ca="1">IFERROR(__xludf.DUMMYFUNCTION("IF
(
C13310=""фізична особа""
,
VLOOKUP(D13310,IMPORTRANGE(""https://docs.google.com/spreadsheets/d/14Bd19lYaqBhU8_DElYkX7l4wRkHqqCUFNJY4AfY3kHU/edit?usp=sharing  #gid=0"",""фіз особи new!relations_name""),6,FALSE)
,
(IF
(
C13310=""юридична особа""
,
VLOO"&amp;"KUP(D13310,IMPORTRANGE(""https://docs.google.com/spreadsheets/d/14Bd19lYaqBhU8_DElYkX7l4wRkHqqCUFNJY4AfY3kHU/edit?usp=sharing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09" s="7" t="s">
        <v>10</v>
      </c>
      <c r="H13309" s="7">
        <v>18519</v>
      </c>
      <c r="I13309" s="8" t="str">
        <f ca="1">IFERROR(__xludf.DUMMYFUNCTION("IF
(
G13310=""фізична особа""
,
VLOOKUP(H13310,IMPORTRANGE(""https://docs.google.com/spreadsheets/d/14Bd19lYaqBhU8_DElYkX7l4wRkHqqCUFNJY4AfY3kHU/edit?usp=sharing  #gid=0"",""фіз особи new!relations_name""),6,FALSE)
,
(IF
(
G13310=""юридична особа""
,
VLOO"&amp;"KUP(H13310,IMPORTRANGE(""https://docs.google.com/spreadsheets/d/14Bd19lYaqBhU8_DElYkX7l4wRkHqqCUFNJY4AfY3kHU/edit?usp=sharing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09" s="7" t="s">
        <v>23</v>
      </c>
    </row>
    <row r="13310" spans="1:10" ht="13.2">
      <c r="A13310" s="7">
        <v>13309</v>
      </c>
      <c r="B13310" s="7">
        <v>1</v>
      </c>
      <c r="C13310" s="7" t="s">
        <v>10</v>
      </c>
      <c r="D13310" s="7">
        <v>18515</v>
      </c>
      <c r="E13310" s="7" t="s">
        <v>23</v>
      </c>
      <c r="F13310" s="8" t="str">
        <f ca="1">IFERROR(__xludf.DUMMYFUNCTION("IF
(
C13311=""фізична особа""
,
VLOOKUP(D13311,IMPORTRANGE(""https://docs.google.com/spreadsheets/d/14Bd19lYaqBhU8_DElYkX7l4wRkHqqCUFNJY4AfY3kHU/edit?usp=sharing  #gid=0"",""фіз особи new!relations_name""),6,FALSE)
,
(IF
(
C13311=""юридична особа""
,
VLOO"&amp;"KUP(D13311,IMPORTRANGE(""https://docs.google.com/spreadsheets/d/14Bd19lYaqBhU8_DElYkX7l4wRkHqqCUFNJY4AfY3kHU/edit?usp=sharing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10" s="7" t="s">
        <v>10</v>
      </c>
      <c r="H13310" s="7">
        <v>23670</v>
      </c>
      <c r="I13310" s="8" t="str">
        <f ca="1">IFERROR(__xludf.DUMMYFUNCTION("IF
(
G13311=""фізична особа""
,
VLOOKUP(H13311,IMPORTRANGE(""https://docs.google.com/spreadsheets/d/14Bd19lYaqBhU8_DElYkX7l4wRkHqqCUFNJY4AfY3kHU/edit?usp=sharing  #gid=0"",""фіз особи new!relations_name""),6,FALSE)
,
(IF
(
G13311=""юридична особа""
,
VLOO"&amp;"KUP(H13311,IMPORTRANGE(""https://docs.google.com/spreadsheets/d/14Bd19lYaqBhU8_DElYkX7l4wRkHqqCUFNJY4AfY3kHU/edit?usp=sharing  #gid=0"",""фіз особи new!relations_name_uo""),7,FALSE)
,
)
))"),"ПОКРОВСЬКИЙ Олег Володимирович")</f>
        <v>ПОКРОВСЬКИЙ Олег Володимирович</v>
      </c>
      <c r="J13310" s="7" t="s">
        <v>23</v>
      </c>
    </row>
    <row r="13311" spans="1:10" ht="13.2">
      <c r="A13311" s="7">
        <v>13310</v>
      </c>
      <c r="B13311" s="7">
        <v>1</v>
      </c>
      <c r="C13311" s="7" t="s">
        <v>10</v>
      </c>
      <c r="D13311" s="7">
        <v>18515</v>
      </c>
      <c r="E13311" s="7" t="s">
        <v>23</v>
      </c>
      <c r="F13311" s="8" t="str">
        <f ca="1">IFERROR(__xludf.DUMMYFUNCTION("IF
(
C13312=""фізична особа""
,
VLOOKUP(D13312,IMPORTRANGE(""https://docs.google.com/spreadsheets/d/14Bd19lYaqBhU8_DElYkX7l4wRkHqqCUFNJY4AfY3kHU/edit?usp=sharing  #gid=0"",""фіз особи new!relations_name""),6,FALSE)
,
(IF
(
C13312=""юридична особа""
,
VLOO"&amp;"KUP(D13312,IMPORTRANGE(""https://docs.google.com/spreadsheets/d/14Bd19lYaqBhU8_DElYkX7l4wRkHqqCUFNJY4AfY3kHU/edit?usp=sharing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11" s="7" t="s">
        <v>10</v>
      </c>
      <c r="H13311" s="7">
        <v>18514</v>
      </c>
      <c r="I13311" s="8" t="str">
        <f ca="1">IFERROR(__xludf.DUMMYFUNCTION("IF
(
G13312=""фізична особа""
,
VLOOKUP(H13312,IMPORTRANGE(""https://docs.google.com/spreadsheets/d/14Bd19lYaqBhU8_DElYkX7l4wRkHqqCUFNJY4AfY3kHU/edit?usp=sharing  #gid=0"",""фіз особи new!relations_name""),6,FALSE)
,
(IF
(
G13312=""юридична особа""
,
VLOO"&amp;"KUP(H13312,IMPORTRANGE(""https://docs.google.com/spreadsheets/d/14Bd19lYaqBhU8_DElYkX7l4wRkHqqCUFNJY4AfY3kHU/edit?usp=sharing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11" s="7" t="s">
        <v>23</v>
      </c>
    </row>
    <row r="13312" spans="1:10" ht="13.2">
      <c r="A13312" s="7">
        <v>13311</v>
      </c>
      <c r="B13312" s="7">
        <v>1</v>
      </c>
      <c r="C13312" s="7" t="s">
        <v>10</v>
      </c>
      <c r="D13312" s="7">
        <v>18515</v>
      </c>
      <c r="E13312" s="7" t="s">
        <v>23</v>
      </c>
      <c r="F13312" s="8" t="str">
        <f ca="1">IFERROR(__xludf.DUMMYFUNCTION("IF
(
C13313=""фізична особа""
,
VLOOKUP(D13313,IMPORTRANGE(""https://docs.google.com/spreadsheets/d/14Bd19lYaqBhU8_DElYkX7l4wRkHqqCUFNJY4AfY3kHU/edit?usp=sharing  #gid=0"",""фіз особи new!relations_name""),6,FALSE)
,
(IF
(
C13313=""юридична особа""
,
VLOO"&amp;"KUP(D13313,IMPORTRANGE(""https://docs.google.com/spreadsheets/d/14Bd19lYaqBhU8_DElYkX7l4wRkHqqCUFNJY4AfY3kHU/edit?usp=sharing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12" s="7" t="s">
        <v>10</v>
      </c>
      <c r="H13312" s="7">
        <v>18516</v>
      </c>
      <c r="I13312" s="8" t="str">
        <f ca="1">IFERROR(__xludf.DUMMYFUNCTION("IF
(
G13313=""фізична особа""
,
VLOOKUP(H13313,IMPORTRANGE(""https://docs.google.com/spreadsheets/d/14Bd19lYaqBhU8_DElYkX7l4wRkHqqCUFNJY4AfY3kHU/edit?usp=sharing  #gid=0"",""фіз особи new!relations_name""),6,FALSE)
,
(IF
(
G13313=""юридична особа""
,
VLOO"&amp;"KUP(H13313,IMPORTRANGE(""https://docs.google.com/spreadsheets/d/14Bd19lYaqBhU8_DElYkX7l4wRkHqqCUFNJY4AfY3kHU/edit?usp=sharing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12" s="7" t="s">
        <v>23</v>
      </c>
    </row>
    <row r="13313" spans="1:10" ht="13.2">
      <c r="A13313" s="7">
        <v>13312</v>
      </c>
      <c r="B13313" s="7">
        <v>1</v>
      </c>
      <c r="C13313" s="7" t="s">
        <v>10</v>
      </c>
      <c r="D13313" s="7">
        <v>18515</v>
      </c>
      <c r="E13313" s="7" t="s">
        <v>23</v>
      </c>
      <c r="F13313" s="8" t="str">
        <f ca="1">IFERROR(__xludf.DUMMYFUNCTION("IF
(
C13314=""фізична особа""
,
VLOOKUP(D13314,IMPORTRANGE(""https://docs.google.com/spreadsheets/d/14Bd19lYaqBhU8_DElYkX7l4wRkHqqCUFNJY4AfY3kHU/edit?usp=sharing  #gid=0"",""фіз особи new!relations_name""),6,FALSE)
,
(IF
(
C13314=""юридична особа""
,
VLOO"&amp;"KUP(D13314,IMPORTRANGE(""https://docs.google.com/spreadsheets/d/14Bd19lYaqBhU8_DElYkX7l4wRkHqqCUFNJY4AfY3kHU/edit?usp=sharing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13" s="7" t="s">
        <v>10</v>
      </c>
      <c r="H13313" s="7">
        <v>23671</v>
      </c>
      <c r="I13313" s="8" t="str">
        <f ca="1">IFERROR(__xludf.DUMMYFUNCTION("IF
(
G13314=""фізична особа""
,
VLOOKUP(H13314,IMPORTRANGE(""https://docs.google.com/spreadsheets/d/14Bd19lYaqBhU8_DElYkX7l4wRkHqqCUFNJY4AfY3kHU/edit?usp=sharing  #gid=0"",""фіз особи new!relations_name""),6,FALSE)
,
(IF
(
G13314=""юридична особа""
,
VLOO"&amp;"KUP(H13314,IMPORTRANGE(""https://docs.google.com/spreadsheets/d/14Bd19lYaqBhU8_DElYkX7l4wRkHqqCUFNJY4AfY3kHU/edit?usp=sharing  #gid=0"",""фіз особи new!relations_name_uo""),7,FALSE)
,
)
))"),"КОЖУНОВ Євгеній Петрович")</f>
        <v>КОЖУНОВ Євгеній Петрович</v>
      </c>
      <c r="J13313" s="7" t="s">
        <v>23</v>
      </c>
    </row>
    <row r="13314" spans="1:10" ht="13.2">
      <c r="A13314" s="7">
        <v>13313</v>
      </c>
      <c r="B13314" s="7">
        <v>1</v>
      </c>
      <c r="C13314" s="7" t="s">
        <v>10</v>
      </c>
      <c r="D13314" s="7">
        <v>18515</v>
      </c>
      <c r="E13314" s="7" t="s">
        <v>23</v>
      </c>
      <c r="F13314" s="8" t="str">
        <f ca="1">IFERROR(__xludf.DUMMYFUNCTION("IF
(
C13315=""фізична особа""
,
VLOOKUP(D13315,IMPORTRANGE(""https://docs.google.com/spreadsheets/d/14Bd19lYaqBhU8_DElYkX7l4wRkHqqCUFNJY4AfY3kHU/edit?usp=sharing  #gid=0"",""фіз особи new!relations_name""),6,FALSE)
,
(IF
(
C13315=""юридична особа""
,
VLOO"&amp;"KUP(D13315,IMPORTRANGE(""https://docs.google.com/spreadsheets/d/14Bd19lYaqBhU8_DElYkX7l4wRkHqqCUFNJY4AfY3kHU/edit?usp=sharing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G13314" s="7" t="s">
        <v>10</v>
      </c>
      <c r="H13314" s="7">
        <v>23672</v>
      </c>
      <c r="I13314" s="8" t="str">
        <f ca="1">IFERROR(__xludf.DUMMYFUNCTION("IF
(
G13315=""фізична особа""
,
VLOOKUP(H13315,IMPORTRANGE(""https://docs.google.com/spreadsheets/d/14Bd19lYaqBhU8_DElYkX7l4wRkHqqCUFNJY4AfY3kHU/edit?usp=sharing  #gid=0"",""фіз особи new!relations_name""),6,FALSE)
,
(IF
(
G13315=""юридична особа""
,
VLOO"&amp;"KUP(H13315,IMPORTRANGE(""https://docs.google.com/spreadsheets/d/14Bd19lYaqBhU8_DElYkX7l4wRkHqqCUFNJY4AfY3kHU/edit?usp=sharing  #gid=0"",""фіз особи new!relations_name_uo""),7,FALSE)
,
)
))"),"БОЧЕНКОВА Ганна Аркадіївна")</f>
        <v>БОЧЕНКОВА Ганна Аркадіївна</v>
      </c>
      <c r="J13314" s="7" t="s">
        <v>23</v>
      </c>
    </row>
    <row r="13315" spans="1:10" ht="13.2">
      <c r="A13315" s="7">
        <v>13314</v>
      </c>
      <c r="B13315" s="7">
        <v>1</v>
      </c>
      <c r="C13315" s="7" t="s">
        <v>10</v>
      </c>
      <c r="D13315" s="7">
        <v>18516</v>
      </c>
      <c r="E13315" s="7" t="s">
        <v>23</v>
      </c>
      <c r="F13315" s="8" t="str">
        <f ca="1">IFERROR(__xludf.DUMMYFUNCTION("IF
(
C13316=""фізична особа""
,
VLOOKUP(D13316,IMPORTRANGE(""https://docs.google.com/spreadsheets/d/14Bd19lYaqBhU8_DElYkX7l4wRkHqqCUFNJY4AfY3kHU/edit?usp=sharing  #gid=0"",""фіз особи new!relations_name""),6,FALSE)
,
(IF
(
C13316=""юридична особа""
,
VLOO"&amp;"KUP(D13316,IMPORTRANGE(""https://docs.google.com/spreadsheets/d/14Bd19lYaqBhU8_DElYkX7l4wRkHqqCUFNJY4AfY3kHU/edit?usp=sharing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15" s="7" t="s">
        <v>10</v>
      </c>
      <c r="H13315" s="7">
        <v>23659</v>
      </c>
      <c r="I13315" s="8" t="str">
        <f ca="1">IFERROR(__xludf.DUMMYFUNCTION("IF
(
G13316=""фізична особа""
,
VLOOKUP(H13316,IMPORTRANGE(""https://docs.google.com/spreadsheets/d/14Bd19lYaqBhU8_DElYkX7l4wRkHqqCUFNJY4AfY3kHU/edit?usp=sharing  #gid=0"",""фіз особи new!relations_name""),6,FALSE)
,
(IF
(
G13316=""юридична особа""
,
VLOO"&amp;"KUP(H13316,IMPORTRANGE(""https://docs.google.com/spreadsheets/d/14Bd19lYaqBhU8_DElYkX7l4wRkHqqCUFNJY4AfY3kHU/edit?usp=sharing  #gid=0"",""фіз особи new!relations_name_uo""),7,FALSE)
,
)
))"),"СКОРОВ Михайло Аркадійович")</f>
        <v>СКОРОВ Михайло Аркадійович</v>
      </c>
      <c r="J13315" s="7" t="s">
        <v>23</v>
      </c>
    </row>
    <row r="13316" spans="1:10" ht="13.2">
      <c r="A13316" s="7">
        <v>13315</v>
      </c>
      <c r="B13316" s="7">
        <v>1</v>
      </c>
      <c r="C13316" s="7" t="s">
        <v>10</v>
      </c>
      <c r="D13316" s="7">
        <v>18516</v>
      </c>
      <c r="E13316" s="7" t="s">
        <v>23</v>
      </c>
      <c r="F13316" s="8" t="str">
        <f ca="1">IFERROR(__xludf.DUMMYFUNCTION("IF
(
C13317=""фізична особа""
,
VLOOKUP(D13317,IMPORTRANGE(""https://docs.google.com/spreadsheets/d/14Bd19lYaqBhU8_DElYkX7l4wRkHqqCUFNJY4AfY3kHU/edit?usp=sharing  #gid=0"",""фіз особи new!relations_name""),6,FALSE)
,
(IF
(
C13317=""юридична особа""
,
VLOO"&amp;"KUP(D13317,IMPORTRANGE(""https://docs.google.com/spreadsheets/d/14Bd19lYaqBhU8_DElYkX7l4wRkHqqCUFNJY4AfY3kHU/edit?usp=sharing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16" s="7" t="s">
        <v>10</v>
      </c>
      <c r="H13316" s="7">
        <v>23660</v>
      </c>
      <c r="I13316" s="8" t="str">
        <f ca="1">IFERROR(__xludf.DUMMYFUNCTION("IF
(
G13317=""фізична особа""
,
VLOOKUP(H13317,IMPORTRANGE(""https://docs.google.com/spreadsheets/d/14Bd19lYaqBhU8_DElYkX7l4wRkHqqCUFNJY4AfY3kHU/edit?usp=sharing  #gid=0"",""фіз особи new!relations_name""),6,FALSE)
,
(IF
(
G13317=""юридична особа""
,
VLOO"&amp;"KUP(H13317,IMPORTRANGE(""https://docs.google.com/spreadsheets/d/14Bd19lYaqBhU8_DElYkX7l4wRkHqqCUFNJY4AfY3kHU/edit?usp=sharing  #gid=0"",""фіз особи new!relations_name_uo""),7,FALSE)
,
)
))"),"МАГОМЕДБЕКОВ Магомед Алавудінович")</f>
        <v>МАГОМЕДБЕКОВ Магомед Алавудінович</v>
      </c>
      <c r="J13316" s="7" t="s">
        <v>23</v>
      </c>
    </row>
    <row r="13317" spans="1:10" ht="13.2">
      <c r="A13317" s="7">
        <v>13316</v>
      </c>
      <c r="B13317" s="7">
        <v>1</v>
      </c>
      <c r="C13317" s="7" t="s">
        <v>10</v>
      </c>
      <c r="D13317" s="7">
        <v>18516</v>
      </c>
      <c r="E13317" s="7" t="s">
        <v>23</v>
      </c>
      <c r="F13317" s="8" t="str">
        <f ca="1">IFERROR(__xludf.DUMMYFUNCTION("IF
(
C13318=""фізична особа""
,
VLOOKUP(D13318,IMPORTRANGE(""https://docs.google.com/spreadsheets/d/14Bd19lYaqBhU8_DElYkX7l4wRkHqqCUFNJY4AfY3kHU/edit?usp=sharing  #gid=0"",""фіз особи new!relations_name""),6,FALSE)
,
(IF
(
C13318=""юридична особа""
,
VLOO"&amp;"KUP(D13318,IMPORTRANGE(""https://docs.google.com/spreadsheets/d/14Bd19lYaqBhU8_DElYkX7l4wRkHqqCUFNJY4AfY3kHU/edit?usp=sharing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17" s="7" t="s">
        <v>10</v>
      </c>
      <c r="H13317" s="7">
        <v>18517</v>
      </c>
      <c r="I13317" s="8" t="str">
        <f ca="1">IFERROR(__xludf.DUMMYFUNCTION("IF
(
G13318=""фізична особа""
,
VLOOKUP(H13318,IMPORTRANGE(""https://docs.google.com/spreadsheets/d/14Bd19lYaqBhU8_DElYkX7l4wRkHqqCUFNJY4AfY3kHU/edit?usp=sharing  #gid=0"",""фіз особи new!relations_name""),6,FALSE)
,
(IF
(
G13318=""юридична особа""
,
VLOO"&amp;"KUP(H13318,IMPORTRANGE(""https://docs.google.com/spreadsheets/d/14Bd19lYaqBhU8_DElYkX7l4wRkHqqCUFNJY4AfY3kHU/edit?usp=sharing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317" s="7" t="s">
        <v>23</v>
      </c>
    </row>
    <row r="13318" spans="1:10" ht="13.2">
      <c r="A13318" s="7">
        <v>13317</v>
      </c>
      <c r="B13318" s="7">
        <v>1</v>
      </c>
      <c r="C13318" s="7" t="s">
        <v>10</v>
      </c>
      <c r="D13318" s="7">
        <v>18516</v>
      </c>
      <c r="E13318" s="7" t="s">
        <v>23</v>
      </c>
      <c r="F13318" s="8" t="str">
        <f ca="1">IFERROR(__xludf.DUMMYFUNCTION("IF
(
C13319=""фізична особа""
,
VLOOKUP(D13319,IMPORTRANGE(""https://docs.google.com/spreadsheets/d/14Bd19lYaqBhU8_DElYkX7l4wRkHqqCUFNJY4AfY3kHU/edit?usp=sharing  #gid=0"",""фіз особи new!relations_name""),6,FALSE)
,
(IF
(
C13319=""юридична особа""
,
VLOO"&amp;"KUP(D13319,IMPORTRANGE(""https://docs.google.com/spreadsheets/d/14Bd19lYaqBhU8_DElYkX7l4wRkHqqCUFNJY4AfY3kHU/edit?usp=sharing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18" s="7" t="s">
        <v>10</v>
      </c>
      <c r="H13318" s="7">
        <v>23661</v>
      </c>
      <c r="I13318" s="8" t="str">
        <f ca="1">IFERROR(__xludf.DUMMYFUNCTION("IF
(
G13319=""фізична особа""
,
VLOOKUP(H13319,IMPORTRANGE(""https://docs.google.com/spreadsheets/d/14Bd19lYaqBhU8_DElYkX7l4wRkHqqCUFNJY4AfY3kHU/edit?usp=sharing  #gid=0"",""фіз особи new!relations_name""),6,FALSE)
,
(IF
(
G13319=""юридична особа""
,
VLOO"&amp;"KUP(H13319,IMPORTRANGE(""https://docs.google.com/spreadsheets/d/14Bd19lYaqBhU8_DElYkX7l4wRkHqqCUFNJY4AfY3kHU/edit?usp=sharing  #gid=0"",""фіз особи new!relations_name_uo""),7,FALSE)
,
)
))"),"ЛЕОНОВА Катерина Юріївна")</f>
        <v>ЛЕОНОВА Катерина Юріївна</v>
      </c>
      <c r="J13318" s="7" t="s">
        <v>23</v>
      </c>
    </row>
    <row r="13319" spans="1:10" ht="13.2">
      <c r="A13319" s="7">
        <v>13318</v>
      </c>
      <c r="B13319" s="7">
        <v>1</v>
      </c>
      <c r="C13319" s="7" t="s">
        <v>10</v>
      </c>
      <c r="D13319" s="7">
        <v>18516</v>
      </c>
      <c r="E13319" s="7" t="s">
        <v>23</v>
      </c>
      <c r="F13319" s="8" t="str">
        <f ca="1">IFERROR(__xludf.DUMMYFUNCTION("IF
(
C13320=""фізична особа""
,
VLOOKUP(D13320,IMPORTRANGE(""https://docs.google.com/spreadsheets/d/14Bd19lYaqBhU8_DElYkX7l4wRkHqqCUFNJY4AfY3kHU/edit?usp=sharing  #gid=0"",""фіз особи new!relations_name""),6,FALSE)
,
(IF
(
C13320=""юридична особа""
,
VLOO"&amp;"KUP(D13320,IMPORTRANGE(""https://docs.google.com/spreadsheets/d/14Bd19lYaqBhU8_DElYkX7l4wRkHqqCUFNJY4AfY3kHU/edit?usp=sharing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19" s="7" t="s">
        <v>10</v>
      </c>
      <c r="H13319" s="7">
        <v>18518</v>
      </c>
      <c r="I13319" s="8" t="str">
        <f ca="1">IFERROR(__xludf.DUMMYFUNCTION("IF
(
G13320=""фізична особа""
,
VLOOKUP(H13320,IMPORTRANGE(""https://docs.google.com/spreadsheets/d/14Bd19lYaqBhU8_DElYkX7l4wRkHqqCUFNJY4AfY3kHU/edit?usp=sharing  #gid=0"",""фіз особи new!relations_name""),6,FALSE)
,
(IF
(
G13320=""юридична особа""
,
VLOO"&amp;"KUP(H13320,IMPORTRANGE(""https://docs.google.com/spreadsheets/d/14Bd19lYaqBhU8_DElYkX7l4wRkHqqCUFNJY4AfY3kHU/edit?usp=sharing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19" s="7" t="s">
        <v>23</v>
      </c>
    </row>
    <row r="13320" spans="1:10" ht="13.2">
      <c r="A13320" s="7">
        <v>13319</v>
      </c>
      <c r="B13320" s="7">
        <v>1</v>
      </c>
      <c r="C13320" s="7" t="s">
        <v>10</v>
      </c>
      <c r="D13320" s="7">
        <v>18516</v>
      </c>
      <c r="E13320" s="7" t="s">
        <v>23</v>
      </c>
      <c r="F13320" s="8" t="str">
        <f ca="1">IFERROR(__xludf.DUMMYFUNCTION("IF
(
C13321=""фізична особа""
,
VLOOKUP(D13321,IMPORTRANGE(""https://docs.google.com/spreadsheets/d/14Bd19lYaqBhU8_DElYkX7l4wRkHqqCUFNJY4AfY3kHU/edit?usp=sharing  #gid=0"",""фіз особи new!relations_name""),6,FALSE)
,
(IF
(
C13321=""юридична особа""
,
VLOO"&amp;"KUP(D13321,IMPORTRANGE(""https://docs.google.com/spreadsheets/d/14Bd19lYaqBhU8_DElYkX7l4wRkHqqCUFNJY4AfY3kHU/edit?usp=sharing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0" s="7" t="s">
        <v>10</v>
      </c>
      <c r="H13320" s="7">
        <v>23662</v>
      </c>
      <c r="I13320" s="8" t="str">
        <f ca="1">IFERROR(__xludf.DUMMYFUNCTION("IF
(
G13321=""фізична особа""
,
VLOOKUP(H13321,IMPORTRANGE(""https://docs.google.com/spreadsheets/d/14Bd19lYaqBhU8_DElYkX7l4wRkHqqCUFNJY4AfY3kHU/edit?usp=sharing  #gid=0"",""фіз особи new!relations_name""),6,FALSE)
,
(IF
(
G13321=""юридична особа""
,
VLOO"&amp;"KUP(H13321,IMPORTRANGE(""https://docs.google.com/spreadsheets/d/14Bd19lYaqBhU8_DElYkX7l4wRkHqqCUFNJY4AfY3kHU/edit?usp=sharing  #gid=0"",""фіз особи new!relations_name_uo""),7,FALSE)
,
)
))"),"ВИНОГРАДОВ Ігор Олександрович")</f>
        <v>ВИНОГРАДОВ Ігор Олександрович</v>
      </c>
      <c r="J13320" s="7" t="s">
        <v>23</v>
      </c>
    </row>
    <row r="13321" spans="1:10" ht="13.2">
      <c r="A13321" s="7">
        <v>13320</v>
      </c>
      <c r="B13321" s="7">
        <v>1</v>
      </c>
      <c r="C13321" s="7" t="s">
        <v>10</v>
      </c>
      <c r="D13321" s="7">
        <v>18516</v>
      </c>
      <c r="E13321" s="7" t="s">
        <v>23</v>
      </c>
      <c r="F13321" s="8" t="str">
        <f ca="1">IFERROR(__xludf.DUMMYFUNCTION("IF
(
C13322=""фізична особа""
,
VLOOKUP(D13322,IMPORTRANGE(""https://docs.google.com/spreadsheets/d/14Bd19lYaqBhU8_DElYkX7l4wRkHqqCUFNJY4AfY3kHU/edit?usp=sharing  #gid=0"",""фіз особи new!relations_name""),6,FALSE)
,
(IF
(
C13322=""юридична особа""
,
VLOO"&amp;"KUP(D13322,IMPORTRANGE(""https://docs.google.com/spreadsheets/d/14Bd19lYaqBhU8_DElYkX7l4wRkHqqCUFNJY4AfY3kHU/edit?usp=sharing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1" s="7" t="s">
        <v>10</v>
      </c>
      <c r="H13321" s="7">
        <v>23663</v>
      </c>
      <c r="I13321" s="8" t="str">
        <f ca="1">IFERROR(__xludf.DUMMYFUNCTION("IF
(
G13322=""фізична особа""
,
VLOOKUP(H13322,IMPORTRANGE(""https://docs.google.com/spreadsheets/d/14Bd19lYaqBhU8_DElYkX7l4wRkHqqCUFNJY4AfY3kHU/edit?usp=sharing  #gid=0"",""фіз особи new!relations_name""),6,FALSE)
,
(IF
(
G13322=""юридична особа""
,
VLOO"&amp;"KUP(H13322,IMPORTRANGE(""https://docs.google.com/spreadsheets/d/14Bd19lYaqBhU8_DElYkX7l4wRkHqqCUFNJY4AfY3kHU/edit?usp=sharing  #gid=0"",""фіз особи new!relations_name_uo""),7,FALSE)
,
)
))"),"ЄМЕЛЬЯНОВА Юлія Олександрівна")</f>
        <v>ЄМЕЛЬЯНОВА Юлія Олександрівна</v>
      </c>
      <c r="J13321" s="7" t="s">
        <v>23</v>
      </c>
    </row>
    <row r="13322" spans="1:10" ht="13.2">
      <c r="A13322" s="7">
        <v>13321</v>
      </c>
      <c r="B13322" s="7">
        <v>1</v>
      </c>
      <c r="C13322" s="7" t="s">
        <v>10</v>
      </c>
      <c r="D13322" s="7">
        <v>18516</v>
      </c>
      <c r="E13322" s="7" t="s">
        <v>23</v>
      </c>
      <c r="F13322" s="8" t="str">
        <f ca="1">IFERROR(__xludf.DUMMYFUNCTION("IF
(
C13323=""фізична особа""
,
VLOOKUP(D13323,IMPORTRANGE(""https://docs.google.com/spreadsheets/d/14Bd19lYaqBhU8_DElYkX7l4wRkHqqCUFNJY4AfY3kHU/edit?usp=sharing  #gid=0"",""фіз особи new!relations_name""),6,FALSE)
,
(IF
(
C13323=""юридична особа""
,
VLOO"&amp;"KUP(D13323,IMPORTRANGE(""https://docs.google.com/spreadsheets/d/14Bd19lYaqBhU8_DElYkX7l4wRkHqqCUFNJY4AfY3kHU/edit?usp=sharing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2" s="7" t="s">
        <v>10</v>
      </c>
      <c r="H13322" s="7">
        <v>23664</v>
      </c>
      <c r="I13322" s="8" t="str">
        <f ca="1">IFERROR(__xludf.DUMMYFUNCTION("IF
(
G13323=""фізична особа""
,
VLOOKUP(H13323,IMPORTRANGE(""https://docs.google.com/spreadsheets/d/14Bd19lYaqBhU8_DElYkX7l4wRkHqqCUFNJY4AfY3kHU/edit?usp=sharing  #gid=0"",""фіз особи new!relations_name""),6,FALSE)
,
(IF
(
G13323=""юридична особа""
,
VLOO"&amp;"KUP(H13323,IMPORTRANGE(""https://docs.google.com/spreadsheets/d/14Bd19lYaqBhU8_DElYkX7l4wRkHqqCUFNJY4AfY3kHU/edit?usp=sharing  #gid=0"",""фіз особи new!relations_name_uo""),7,FALSE)
,
)
))"),"КАЛЬНІЦЬКИЙ Ігор Олександрович")</f>
        <v>КАЛЬНІЦЬКИЙ Ігор Олександрович</v>
      </c>
      <c r="J13322" s="7" t="s">
        <v>23</v>
      </c>
    </row>
    <row r="13323" spans="1:10" ht="13.2">
      <c r="A13323" s="7">
        <v>13322</v>
      </c>
      <c r="B13323" s="7">
        <v>1</v>
      </c>
      <c r="C13323" s="7" t="s">
        <v>10</v>
      </c>
      <c r="D13323" s="7">
        <v>18516</v>
      </c>
      <c r="E13323" s="7" t="s">
        <v>23</v>
      </c>
      <c r="F13323" s="8" t="str">
        <f ca="1">IFERROR(__xludf.DUMMYFUNCTION("IF
(
C13324=""фізична особа""
,
VLOOKUP(D13324,IMPORTRANGE(""https://docs.google.com/spreadsheets/d/14Bd19lYaqBhU8_DElYkX7l4wRkHqqCUFNJY4AfY3kHU/edit?usp=sharing  #gid=0"",""фіз особи new!relations_name""),6,FALSE)
,
(IF
(
C13324=""юридична особа""
,
VLOO"&amp;"KUP(D13324,IMPORTRANGE(""https://docs.google.com/spreadsheets/d/14Bd19lYaqBhU8_DElYkX7l4wRkHqqCUFNJY4AfY3kHU/edit?usp=sharing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3" s="7" t="s">
        <v>10</v>
      </c>
      <c r="H13323" s="7">
        <v>23665</v>
      </c>
      <c r="I13323" s="8" t="str">
        <f ca="1">IFERROR(__xludf.DUMMYFUNCTION("IF
(
G13324=""фізична особа""
,
VLOOKUP(H13324,IMPORTRANGE(""https://docs.google.com/spreadsheets/d/14Bd19lYaqBhU8_DElYkX7l4wRkHqqCUFNJY4AfY3kHU/edit?usp=sharing  #gid=0"",""фіз особи new!relations_name""),6,FALSE)
,
(IF
(
G13324=""юридична особа""
,
VLOO"&amp;"KUP(H13324,IMPORTRANGE(""https://docs.google.com/spreadsheets/d/14Bd19lYaqBhU8_DElYkX7l4wRkHqqCUFNJY4AfY3kHU/edit?usp=sharing  #gid=0"",""фіз особи new!relations_name_uo""),7,FALSE)
,
)
))"),"СТЕПАНОВ Володимир Вікторович")</f>
        <v>СТЕПАНОВ Володимир Вікторович</v>
      </c>
      <c r="J13323" s="7" t="s">
        <v>23</v>
      </c>
    </row>
    <row r="13324" spans="1:10" ht="13.2">
      <c r="A13324" s="7">
        <v>13323</v>
      </c>
      <c r="B13324" s="7">
        <v>1</v>
      </c>
      <c r="C13324" s="7" t="s">
        <v>10</v>
      </c>
      <c r="D13324" s="7">
        <v>18516</v>
      </c>
      <c r="E13324" s="7" t="s">
        <v>23</v>
      </c>
      <c r="F13324" s="8" t="str">
        <f ca="1">IFERROR(__xludf.DUMMYFUNCTION("IF
(
C13325=""фізична особа""
,
VLOOKUP(D13325,IMPORTRANGE(""https://docs.google.com/spreadsheets/d/14Bd19lYaqBhU8_DElYkX7l4wRkHqqCUFNJY4AfY3kHU/edit?usp=sharing  #gid=0"",""фіз особи new!relations_name""),6,FALSE)
,
(IF
(
C13325=""юридична особа""
,
VLOO"&amp;"KUP(D13325,IMPORTRANGE(""https://docs.google.com/spreadsheets/d/14Bd19lYaqBhU8_DElYkX7l4wRkHqqCUFNJY4AfY3kHU/edit?usp=sharing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4" s="7" t="s">
        <v>10</v>
      </c>
      <c r="H13324" s="7">
        <v>23666</v>
      </c>
      <c r="I13324" s="8" t="str">
        <f ca="1">IFERROR(__xludf.DUMMYFUNCTION("IF
(
G13325=""фізична особа""
,
VLOOKUP(H13325,IMPORTRANGE(""https://docs.google.com/spreadsheets/d/14Bd19lYaqBhU8_DElYkX7l4wRkHqqCUFNJY4AfY3kHU/edit?usp=sharing  #gid=0"",""фіз особи new!relations_name""),6,FALSE)
,
(IF
(
G13325=""юридична особа""
,
VLOO"&amp;"KUP(H13325,IMPORTRANGE(""https://docs.google.com/spreadsheets/d/14Bd19lYaqBhU8_DElYkX7l4wRkHqqCUFNJY4AfY3kHU/edit?usp=sharing  #gid=0"",""фіз особи new!relations_name_uo""),7,FALSE)
,
)
))"),"ІБРІШИМ Дмитро Іванович")</f>
        <v>ІБРІШИМ Дмитро Іванович</v>
      </c>
      <c r="J13324" s="7" t="s">
        <v>23</v>
      </c>
    </row>
    <row r="13325" spans="1:10" ht="13.2">
      <c r="A13325" s="7">
        <v>13324</v>
      </c>
      <c r="B13325" s="7">
        <v>1</v>
      </c>
      <c r="C13325" s="7" t="s">
        <v>10</v>
      </c>
      <c r="D13325" s="7">
        <v>18516</v>
      </c>
      <c r="E13325" s="7" t="s">
        <v>23</v>
      </c>
      <c r="F13325" s="8" t="str">
        <f ca="1">IFERROR(__xludf.DUMMYFUNCTION("IF
(
C13326=""фізична особа""
,
VLOOKUP(D13326,IMPORTRANGE(""https://docs.google.com/spreadsheets/d/14Bd19lYaqBhU8_DElYkX7l4wRkHqqCUFNJY4AfY3kHU/edit?usp=sharing  #gid=0"",""фіз особи new!relations_name""),6,FALSE)
,
(IF
(
C13326=""юридична особа""
,
VLOO"&amp;"KUP(D13326,IMPORTRANGE(""https://docs.google.com/spreadsheets/d/14Bd19lYaqBhU8_DElYkX7l4wRkHqqCUFNJY4AfY3kHU/edit?usp=sharing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5" s="7" t="s">
        <v>10</v>
      </c>
      <c r="H13325" s="7">
        <v>23667</v>
      </c>
      <c r="I13325" s="8" t="str">
        <f ca="1">IFERROR(__xludf.DUMMYFUNCTION("IF
(
G13326=""фізична особа""
,
VLOOKUP(H13326,IMPORTRANGE(""https://docs.google.com/spreadsheets/d/14Bd19lYaqBhU8_DElYkX7l4wRkHqqCUFNJY4AfY3kHU/edit?usp=sharing  #gid=0"",""фіз особи new!relations_name""),6,FALSE)
,
(IF
(
G13326=""юридична особа""
,
VLOO"&amp;"KUP(H13326,IMPORTRANGE(""https://docs.google.com/spreadsheets/d/14Bd19lYaqBhU8_DElYkX7l4wRkHqqCUFNJY4AfY3kHU/edit?usp=sharing  #gid=0"",""фіз особи new!relations_name_uo""),7,FALSE)
,
)
))"),"ТЕМІРКАНОВА Аміна Артурівна")</f>
        <v>ТЕМІРКАНОВА Аміна Артурівна</v>
      </c>
      <c r="J13325" s="7" t="s">
        <v>23</v>
      </c>
    </row>
    <row r="13326" spans="1:10" ht="13.2">
      <c r="A13326" s="7">
        <v>13325</v>
      </c>
      <c r="B13326" s="7">
        <v>1</v>
      </c>
      <c r="C13326" s="7" t="s">
        <v>10</v>
      </c>
      <c r="D13326" s="7">
        <v>18516</v>
      </c>
      <c r="E13326" s="7" t="s">
        <v>23</v>
      </c>
      <c r="F13326" s="8" t="str">
        <f ca="1">IFERROR(__xludf.DUMMYFUNCTION("IF
(
C13327=""фізична особа""
,
VLOOKUP(D13327,IMPORTRANGE(""https://docs.google.com/spreadsheets/d/14Bd19lYaqBhU8_DElYkX7l4wRkHqqCUFNJY4AfY3kHU/edit?usp=sharing  #gid=0"",""фіз особи new!relations_name""),6,FALSE)
,
(IF
(
C13327=""юридична особа""
,
VLOO"&amp;"KUP(D13327,IMPORTRANGE(""https://docs.google.com/spreadsheets/d/14Bd19lYaqBhU8_DElYkX7l4wRkHqqCUFNJY4AfY3kHU/edit?usp=sharing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6" s="7" t="s">
        <v>10</v>
      </c>
      <c r="H13326" s="7">
        <v>23668</v>
      </c>
      <c r="I13326" s="8" t="str">
        <f ca="1">IFERROR(__xludf.DUMMYFUNCTION("IF
(
G13327=""фізична особа""
,
VLOOKUP(H13327,IMPORTRANGE(""https://docs.google.com/spreadsheets/d/14Bd19lYaqBhU8_DElYkX7l4wRkHqqCUFNJY4AfY3kHU/edit?usp=sharing  #gid=0"",""фіз особи new!relations_name""),6,FALSE)
,
(IF
(
G13327=""юридична особа""
,
VLOO"&amp;"KUP(H13327,IMPORTRANGE(""https://docs.google.com/spreadsheets/d/14Bd19lYaqBhU8_DElYkX7l4wRkHqqCUFNJY4AfY3kHU/edit?usp=sharing  #gid=0"",""фіз особи new!relations_name_uo""),7,FALSE)
,
)
))"),"МЕДВЕДЄВ Геннадій Семенович")</f>
        <v>МЕДВЕДЄВ Геннадій Семенович</v>
      </c>
      <c r="J13326" s="7" t="s">
        <v>23</v>
      </c>
    </row>
    <row r="13327" spans="1:10" ht="13.2">
      <c r="A13327" s="7">
        <v>13326</v>
      </c>
      <c r="B13327" s="7">
        <v>1</v>
      </c>
      <c r="C13327" s="7" t="s">
        <v>10</v>
      </c>
      <c r="D13327" s="7">
        <v>18516</v>
      </c>
      <c r="E13327" s="7" t="s">
        <v>23</v>
      </c>
      <c r="F13327" s="8" t="str">
        <f ca="1">IFERROR(__xludf.DUMMYFUNCTION("IF
(
C13328=""фізична особа""
,
VLOOKUP(D13328,IMPORTRANGE(""https://docs.google.com/spreadsheets/d/14Bd19lYaqBhU8_DElYkX7l4wRkHqqCUFNJY4AfY3kHU/edit?usp=sharing  #gid=0"",""фіз особи new!relations_name""),6,FALSE)
,
(IF
(
C13328=""юридична особа""
,
VLOO"&amp;"KUP(D13328,IMPORTRANGE(""https://docs.google.com/spreadsheets/d/14Bd19lYaqBhU8_DElYkX7l4wRkHqqCUFNJY4AfY3kHU/edit?usp=sharing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7" s="7" t="s">
        <v>10</v>
      </c>
      <c r="H13327" s="7">
        <v>23669</v>
      </c>
      <c r="I13327" s="8" t="str">
        <f ca="1">IFERROR(__xludf.DUMMYFUNCTION("IF
(
G13328=""фізична особа""
,
VLOOKUP(H13328,IMPORTRANGE(""https://docs.google.com/spreadsheets/d/14Bd19lYaqBhU8_DElYkX7l4wRkHqqCUFNJY4AfY3kHU/edit?usp=sharing  #gid=0"",""фіз особи new!relations_name""),6,FALSE)
,
(IF
(
G13328=""юридична особа""
,
VLOO"&amp;"KUP(H13328,IMPORTRANGE(""https://docs.google.com/spreadsheets/d/14Bd19lYaqBhU8_DElYkX7l4wRkHqqCUFNJY4AfY3kHU/edit?usp=sharing  #gid=0"",""фіз особи new!relations_name_uo""),7,FALSE)
,
)
))"),"БОГУСЛАВСЬКИЙ Максим Євгенійович")</f>
        <v>БОГУСЛАВСЬКИЙ Максим Євгенійович</v>
      </c>
      <c r="J13327" s="7" t="s">
        <v>23</v>
      </c>
    </row>
    <row r="13328" spans="1:10" ht="13.2">
      <c r="A13328" s="7">
        <v>13327</v>
      </c>
      <c r="B13328" s="7">
        <v>1</v>
      </c>
      <c r="C13328" s="7" t="s">
        <v>10</v>
      </c>
      <c r="D13328" s="7">
        <v>18516</v>
      </c>
      <c r="E13328" s="7" t="s">
        <v>23</v>
      </c>
      <c r="F13328" s="8" t="str">
        <f ca="1">IFERROR(__xludf.DUMMYFUNCTION("IF
(
C13329=""фізична особа""
,
VLOOKUP(D13329,IMPORTRANGE(""https://docs.google.com/spreadsheets/d/14Bd19lYaqBhU8_DElYkX7l4wRkHqqCUFNJY4AfY3kHU/edit?usp=sharing  #gid=0"",""фіз особи new!relations_name""),6,FALSE)
,
(IF
(
C13329=""юридична особа""
,
VLOO"&amp;"KUP(D13329,IMPORTRANGE(""https://docs.google.com/spreadsheets/d/14Bd19lYaqBhU8_DElYkX7l4wRkHqqCUFNJY4AfY3kHU/edit?usp=sharing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8" s="7" t="s">
        <v>10</v>
      </c>
      <c r="H13328" s="7">
        <v>18519</v>
      </c>
      <c r="I13328" s="8" t="str">
        <f ca="1">IFERROR(__xludf.DUMMYFUNCTION("IF
(
G13329=""фізична особа""
,
VLOOKUP(H13329,IMPORTRANGE(""https://docs.google.com/spreadsheets/d/14Bd19lYaqBhU8_DElYkX7l4wRkHqqCUFNJY4AfY3kHU/edit?usp=sharing  #gid=0"",""фіз особи new!relations_name""),6,FALSE)
,
(IF
(
G13329=""юридична особа""
,
VLOO"&amp;"KUP(H13329,IMPORTRANGE(""https://docs.google.com/spreadsheets/d/14Bd19lYaqBhU8_DElYkX7l4wRkHqqCUFNJY4AfY3kHU/edit?usp=sharing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28" s="7" t="s">
        <v>23</v>
      </c>
    </row>
    <row r="13329" spans="1:10" ht="13.2">
      <c r="A13329" s="7">
        <v>13328</v>
      </c>
      <c r="B13329" s="7">
        <v>1</v>
      </c>
      <c r="C13329" s="7" t="s">
        <v>10</v>
      </c>
      <c r="D13329" s="7">
        <v>18516</v>
      </c>
      <c r="E13329" s="7" t="s">
        <v>23</v>
      </c>
      <c r="F13329" s="8" t="str">
        <f ca="1">IFERROR(__xludf.DUMMYFUNCTION("IF
(
C13330=""фізична особа""
,
VLOOKUP(D13330,IMPORTRANGE(""https://docs.google.com/spreadsheets/d/14Bd19lYaqBhU8_DElYkX7l4wRkHqqCUFNJY4AfY3kHU/edit?usp=sharing  #gid=0"",""фіз особи new!relations_name""),6,FALSE)
,
(IF
(
C13330=""юридична особа""
,
VLOO"&amp;"KUP(D13330,IMPORTRANGE(""https://docs.google.com/spreadsheets/d/14Bd19lYaqBhU8_DElYkX7l4wRkHqqCUFNJY4AfY3kHU/edit?usp=sharing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29" s="7" t="s">
        <v>10</v>
      </c>
      <c r="H13329" s="7">
        <v>23670</v>
      </c>
      <c r="I13329" s="8" t="str">
        <f ca="1">IFERROR(__xludf.DUMMYFUNCTION("IF
(
G13330=""фізична особа""
,
VLOOKUP(H13330,IMPORTRANGE(""https://docs.google.com/spreadsheets/d/14Bd19lYaqBhU8_DElYkX7l4wRkHqqCUFNJY4AfY3kHU/edit?usp=sharing  #gid=0"",""фіз особи new!relations_name""),6,FALSE)
,
(IF
(
G13330=""юридична особа""
,
VLOO"&amp;"KUP(H13330,IMPORTRANGE(""https://docs.google.com/spreadsheets/d/14Bd19lYaqBhU8_DElYkX7l4wRkHqqCUFNJY4AfY3kHU/edit?usp=sharing  #gid=0"",""фіз особи new!relations_name_uo""),7,FALSE)
,
)
))"),"ПОКРОВСЬКИЙ Олег Володимирович")</f>
        <v>ПОКРОВСЬКИЙ Олег Володимирович</v>
      </c>
      <c r="J13329" s="7" t="s">
        <v>23</v>
      </c>
    </row>
    <row r="13330" spans="1:10" ht="13.2">
      <c r="A13330" s="7">
        <v>13329</v>
      </c>
      <c r="B13330" s="7">
        <v>1</v>
      </c>
      <c r="C13330" s="7" t="s">
        <v>10</v>
      </c>
      <c r="D13330" s="7">
        <v>18516</v>
      </c>
      <c r="E13330" s="7" t="s">
        <v>23</v>
      </c>
      <c r="F13330" s="8" t="str">
        <f ca="1">IFERROR(__xludf.DUMMYFUNCTION("IF
(
C13331=""фізична особа""
,
VLOOKUP(D13331,IMPORTRANGE(""https://docs.google.com/spreadsheets/d/14Bd19lYaqBhU8_DElYkX7l4wRkHqqCUFNJY4AfY3kHU/edit?usp=sharing  #gid=0"",""фіз особи new!relations_name""),6,FALSE)
,
(IF
(
C13331=""юридична особа""
,
VLOO"&amp;"KUP(D13331,IMPORTRANGE(""https://docs.google.com/spreadsheets/d/14Bd19lYaqBhU8_DElYkX7l4wRkHqqCUFNJY4AfY3kHU/edit?usp=sharing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30" s="7" t="s">
        <v>10</v>
      </c>
      <c r="H13330" s="7">
        <v>18514</v>
      </c>
      <c r="I13330" s="8" t="str">
        <f ca="1">IFERROR(__xludf.DUMMYFUNCTION("IF
(
G13331=""фізична особа""
,
VLOOKUP(H13331,IMPORTRANGE(""https://docs.google.com/spreadsheets/d/14Bd19lYaqBhU8_DElYkX7l4wRkHqqCUFNJY4AfY3kHU/edit?usp=sharing  #gid=0"",""фіз особи new!relations_name""),6,FALSE)
,
(IF
(
G13331=""юридична особа""
,
VLOO"&amp;"KUP(H13331,IMPORTRANGE(""https://docs.google.com/spreadsheets/d/14Bd19lYaqBhU8_DElYkX7l4wRkHqqCUFNJY4AfY3kHU/edit?usp=sharing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30" s="7" t="s">
        <v>23</v>
      </c>
    </row>
    <row r="13331" spans="1:10" ht="13.2">
      <c r="A13331" s="7">
        <v>13330</v>
      </c>
      <c r="B13331" s="7">
        <v>1</v>
      </c>
      <c r="C13331" s="7" t="s">
        <v>10</v>
      </c>
      <c r="D13331" s="7">
        <v>18516</v>
      </c>
      <c r="E13331" s="7" t="s">
        <v>23</v>
      </c>
      <c r="F13331" s="8" t="str">
        <f ca="1">IFERROR(__xludf.DUMMYFUNCTION("IF
(
C13332=""фізична особа""
,
VLOOKUP(D13332,IMPORTRANGE(""https://docs.google.com/spreadsheets/d/14Bd19lYaqBhU8_DElYkX7l4wRkHqqCUFNJY4AfY3kHU/edit?usp=sharing  #gid=0"",""фіз особи new!relations_name""),6,FALSE)
,
(IF
(
C13332=""юридична особа""
,
VLOO"&amp;"KUP(D13332,IMPORTRANGE(""https://docs.google.com/spreadsheets/d/14Bd19lYaqBhU8_DElYkX7l4wRkHqqCUFNJY4AfY3kHU/edit?usp=sharing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31" s="7" t="s">
        <v>10</v>
      </c>
      <c r="H13331" s="7">
        <v>18515</v>
      </c>
      <c r="I13331" s="8" t="str">
        <f ca="1">IFERROR(__xludf.DUMMYFUNCTION("IF
(
G13332=""фізична особа""
,
VLOOKUP(H13332,IMPORTRANGE(""https://docs.google.com/spreadsheets/d/14Bd19lYaqBhU8_DElYkX7l4wRkHqqCUFNJY4AfY3kHU/edit?usp=sharing  #gid=0"",""фіз особи new!relations_name""),6,FALSE)
,
(IF
(
G13332=""юридична особа""
,
VLOO"&amp;"KUP(H13332,IMPORTRANGE(""https://docs.google.com/spreadsheets/d/14Bd19lYaqBhU8_DElYkX7l4wRkHqqCUFNJY4AfY3kHU/edit?usp=sharing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31" s="7" t="s">
        <v>23</v>
      </c>
    </row>
    <row r="13332" spans="1:10" ht="13.2">
      <c r="A13332" s="7">
        <v>13331</v>
      </c>
      <c r="B13332" s="7">
        <v>1</v>
      </c>
      <c r="C13332" s="7" t="s">
        <v>10</v>
      </c>
      <c r="D13332" s="7">
        <v>18516</v>
      </c>
      <c r="E13332" s="7" t="s">
        <v>23</v>
      </c>
      <c r="F13332" s="8" t="str">
        <f ca="1">IFERROR(__xludf.DUMMYFUNCTION("IF
(
C13333=""фізична особа""
,
VLOOKUP(D13333,IMPORTRANGE(""https://docs.google.com/spreadsheets/d/14Bd19lYaqBhU8_DElYkX7l4wRkHqqCUFNJY4AfY3kHU/edit?usp=sharing  #gid=0"",""фіз особи new!relations_name""),6,FALSE)
,
(IF
(
C13333=""юридична особа""
,
VLOO"&amp;"KUP(D13333,IMPORTRANGE(""https://docs.google.com/spreadsheets/d/14Bd19lYaqBhU8_DElYkX7l4wRkHqqCUFNJY4AfY3kHU/edit?usp=sharing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32" s="7" t="s">
        <v>10</v>
      </c>
      <c r="H13332" s="7">
        <v>23671</v>
      </c>
      <c r="I13332" s="8" t="str">
        <f ca="1">IFERROR(__xludf.DUMMYFUNCTION("IF
(
G13333=""фізична особа""
,
VLOOKUP(H13333,IMPORTRANGE(""https://docs.google.com/spreadsheets/d/14Bd19lYaqBhU8_DElYkX7l4wRkHqqCUFNJY4AfY3kHU/edit?usp=sharing  #gid=0"",""фіз особи new!relations_name""),6,FALSE)
,
(IF
(
G13333=""юридична особа""
,
VLOO"&amp;"KUP(H13333,IMPORTRANGE(""https://docs.google.com/spreadsheets/d/14Bd19lYaqBhU8_DElYkX7l4wRkHqqCUFNJY4AfY3kHU/edit?usp=sharing  #gid=0"",""фіз особи new!relations_name_uo""),7,FALSE)
,
)
))"),"КОЖУНОВ Євгеній Петрович")</f>
        <v>КОЖУНОВ Євгеній Петрович</v>
      </c>
      <c r="J13332" s="7" t="s">
        <v>23</v>
      </c>
    </row>
    <row r="13333" spans="1:10" ht="13.2">
      <c r="A13333" s="7">
        <v>13332</v>
      </c>
      <c r="B13333" s="7">
        <v>1</v>
      </c>
      <c r="C13333" s="7" t="s">
        <v>10</v>
      </c>
      <c r="D13333" s="7">
        <v>18516</v>
      </c>
      <c r="E13333" s="7" t="s">
        <v>23</v>
      </c>
      <c r="F13333" s="8" t="str">
        <f ca="1">IFERROR(__xludf.DUMMYFUNCTION("IF
(
C13334=""фізична особа""
,
VLOOKUP(D13334,IMPORTRANGE(""https://docs.google.com/spreadsheets/d/14Bd19lYaqBhU8_DElYkX7l4wRkHqqCUFNJY4AfY3kHU/edit?usp=sharing  #gid=0"",""фіз особи new!relations_name""),6,FALSE)
,
(IF
(
C13334=""юридична особа""
,
VLOO"&amp;"KUP(D13334,IMPORTRANGE(""https://docs.google.com/spreadsheets/d/14Bd19lYaqBhU8_DElYkX7l4wRkHqqCUFNJY4AfY3kHU/edit?usp=sharing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G13333" s="7" t="s">
        <v>10</v>
      </c>
      <c r="H13333" s="7">
        <v>23672</v>
      </c>
      <c r="I13333" s="8" t="str">
        <f ca="1">IFERROR(__xludf.DUMMYFUNCTION("IF
(
G13334=""фізична особа""
,
VLOOKUP(H13334,IMPORTRANGE(""https://docs.google.com/spreadsheets/d/14Bd19lYaqBhU8_DElYkX7l4wRkHqqCUFNJY4AfY3kHU/edit?usp=sharing  #gid=0"",""фіз особи new!relations_name""),6,FALSE)
,
(IF
(
G13334=""юридична особа""
,
VLOO"&amp;"KUP(H13334,IMPORTRANGE(""https://docs.google.com/spreadsheets/d/14Bd19lYaqBhU8_DElYkX7l4wRkHqqCUFNJY4AfY3kHU/edit?usp=sharing  #gid=0"",""фіз особи new!relations_name_uo""),7,FALSE)
,
)
))"),"БОЧЕНКОВА Ганна Аркадіївна")</f>
        <v>БОЧЕНКОВА Ганна Аркадіївна</v>
      </c>
      <c r="J13333" s="7" t="s">
        <v>23</v>
      </c>
    </row>
    <row r="13334" spans="1:10" ht="13.2">
      <c r="A13334" s="7">
        <v>13333</v>
      </c>
      <c r="B13334" s="7">
        <v>1</v>
      </c>
      <c r="C13334" s="7" t="s">
        <v>10</v>
      </c>
      <c r="D13334" s="7">
        <v>18517</v>
      </c>
      <c r="E13334" s="7" t="s">
        <v>23</v>
      </c>
      <c r="F13334" s="8" t="str">
        <f ca="1">IFERROR(__xludf.DUMMYFUNCTION("IF
(
C13335=""фізична особа""
,
VLOOKUP(D13335,IMPORTRANGE(""https://docs.google.com/spreadsheets/d/14Bd19lYaqBhU8_DElYkX7l4wRkHqqCUFNJY4AfY3kHU/edit?usp=sharing  #gid=0"",""фіз особи new!relations_name""),6,FALSE)
,
(IF
(
C13335=""юридична особа""
,
VLOO"&amp;"KUP(D13335,IMPORTRANGE(""https://docs.google.com/spreadsheets/d/14Bd19lYaqBhU8_DElYkX7l4wRkHqqCUFNJY4AfY3kHU/edit?usp=sharing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4" s="7" t="s">
        <v>10</v>
      </c>
      <c r="H13334" s="7">
        <v>18514</v>
      </c>
      <c r="I13334" s="8" t="str">
        <f ca="1">IFERROR(__xludf.DUMMYFUNCTION("IF
(
G13335=""фізична особа""
,
VLOOKUP(H13335,IMPORTRANGE(""https://docs.google.com/spreadsheets/d/14Bd19lYaqBhU8_DElYkX7l4wRkHqqCUFNJY4AfY3kHU/edit?usp=sharing  #gid=0"",""фіз особи new!relations_name""),6,FALSE)
,
(IF
(
G13335=""юридична особа""
,
VLOO"&amp;"KUP(H13335,IMPORTRANGE(""https://docs.google.com/spreadsheets/d/14Bd19lYaqBhU8_DElYkX7l4wRkHqqCUFNJY4AfY3kHU/edit?usp=sharing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34" s="7" t="s">
        <v>23</v>
      </c>
    </row>
    <row r="13335" spans="1:10" ht="13.2">
      <c r="A13335" s="7">
        <v>13334</v>
      </c>
      <c r="B13335" s="7">
        <v>1</v>
      </c>
      <c r="C13335" s="7" t="s">
        <v>10</v>
      </c>
      <c r="D13335" s="7">
        <v>18517</v>
      </c>
      <c r="E13335" s="7" t="s">
        <v>23</v>
      </c>
      <c r="F13335" s="8" t="str">
        <f ca="1">IFERROR(__xludf.DUMMYFUNCTION("IF
(
C13336=""фізична особа""
,
VLOOKUP(D13336,IMPORTRANGE(""https://docs.google.com/spreadsheets/d/14Bd19lYaqBhU8_DElYkX7l4wRkHqqCUFNJY4AfY3kHU/edit?usp=sharing  #gid=0"",""фіз особи new!relations_name""),6,FALSE)
,
(IF
(
C13336=""юридична особа""
,
VLOO"&amp;"KUP(D13336,IMPORTRANGE(""https://docs.google.com/spreadsheets/d/14Bd19lYaqBhU8_DElYkX7l4wRkHqqCUFNJY4AfY3kHU/edit?usp=sharing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5" s="7" t="s">
        <v>10</v>
      </c>
      <c r="H13335" s="7">
        <v>18515</v>
      </c>
      <c r="I13335" s="8" t="str">
        <f ca="1">IFERROR(__xludf.DUMMYFUNCTION("IF
(
G13336=""фізична особа""
,
VLOOKUP(H13336,IMPORTRANGE(""https://docs.google.com/spreadsheets/d/14Bd19lYaqBhU8_DElYkX7l4wRkHqqCUFNJY4AfY3kHU/edit?usp=sharing  #gid=0"",""фіз особи new!relations_name""),6,FALSE)
,
(IF
(
G13336=""юридична особа""
,
VLOO"&amp;"KUP(H13336,IMPORTRANGE(""https://docs.google.com/spreadsheets/d/14Bd19lYaqBhU8_DElYkX7l4wRkHqqCUFNJY4AfY3kHU/edit?usp=sharing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35" s="7" t="s">
        <v>23</v>
      </c>
    </row>
    <row r="13336" spans="1:10" ht="13.2">
      <c r="A13336" s="7">
        <v>13335</v>
      </c>
      <c r="B13336" s="7">
        <v>1</v>
      </c>
      <c r="C13336" s="7" t="s">
        <v>10</v>
      </c>
      <c r="D13336" s="7">
        <v>18517</v>
      </c>
      <c r="E13336" s="7" t="s">
        <v>23</v>
      </c>
      <c r="F13336" s="8" t="str">
        <f ca="1">IFERROR(__xludf.DUMMYFUNCTION("IF
(
C13337=""фізична особа""
,
VLOOKUP(D13337,IMPORTRANGE(""https://docs.google.com/spreadsheets/d/14Bd19lYaqBhU8_DElYkX7l4wRkHqqCUFNJY4AfY3kHU/edit?usp=sharing  #gid=0"",""фіз особи new!relations_name""),6,FALSE)
,
(IF
(
C13337=""юридична особа""
,
VLOO"&amp;"KUP(D13337,IMPORTRANGE(""https://docs.google.com/spreadsheets/d/14Bd19lYaqBhU8_DElYkX7l4wRkHqqCUFNJY4AfY3kHU/edit?usp=sharing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6" s="7" t="s">
        <v>10</v>
      </c>
      <c r="H13336" s="7">
        <v>18516</v>
      </c>
      <c r="I13336" s="8" t="str">
        <f ca="1">IFERROR(__xludf.DUMMYFUNCTION("IF
(
G13337=""фізична особа""
,
VLOOKUP(H13337,IMPORTRANGE(""https://docs.google.com/spreadsheets/d/14Bd19lYaqBhU8_DElYkX7l4wRkHqqCUFNJY4AfY3kHU/edit?usp=sharing  #gid=0"",""фіз особи new!relations_name""),6,FALSE)
,
(IF
(
G13337=""юридична особа""
,
VLOO"&amp;"KUP(H13337,IMPORTRANGE(""https://docs.google.com/spreadsheets/d/14Bd19lYaqBhU8_DElYkX7l4wRkHqqCUFNJY4AfY3kHU/edit?usp=sharing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36" s="7" t="s">
        <v>23</v>
      </c>
    </row>
    <row r="13337" spans="1:10" ht="13.2">
      <c r="A13337" s="7">
        <v>13336</v>
      </c>
      <c r="B13337" s="7">
        <v>1</v>
      </c>
      <c r="C13337" s="7" t="s">
        <v>10</v>
      </c>
      <c r="D13337" s="7">
        <v>18517</v>
      </c>
      <c r="E13337" s="7" t="s">
        <v>23</v>
      </c>
      <c r="F13337" s="8" t="str">
        <f ca="1">IFERROR(__xludf.DUMMYFUNCTION("IF
(
C13338=""фізична особа""
,
VLOOKUP(D13338,IMPORTRANGE(""https://docs.google.com/spreadsheets/d/14Bd19lYaqBhU8_DElYkX7l4wRkHqqCUFNJY4AfY3kHU/edit?usp=sharing  #gid=0"",""фіз особи new!relations_name""),6,FALSE)
,
(IF
(
C13338=""юридична особа""
,
VLOO"&amp;"KUP(D13338,IMPORTRANGE(""https://docs.google.com/spreadsheets/d/14Bd19lYaqBhU8_DElYkX7l4wRkHqqCUFNJY4AfY3kHU/edit?usp=sharing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7" s="7" t="s">
        <v>10</v>
      </c>
      <c r="H13337" s="7">
        <v>18518</v>
      </c>
      <c r="I13337" s="8" t="str">
        <f ca="1">IFERROR(__xludf.DUMMYFUNCTION("IF
(
G13338=""фізична особа""
,
VLOOKUP(H13338,IMPORTRANGE(""https://docs.google.com/spreadsheets/d/14Bd19lYaqBhU8_DElYkX7l4wRkHqqCUFNJY4AfY3kHU/edit?usp=sharing  #gid=0"",""фіз особи new!relations_name""),6,FALSE)
,
(IF
(
G13338=""юридична особа""
,
VLOO"&amp;"KUP(H13338,IMPORTRANGE(""https://docs.google.com/spreadsheets/d/14Bd19lYaqBhU8_DElYkX7l4wRkHqqCUFNJY4AfY3kHU/edit?usp=sharing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37" s="7" t="s">
        <v>23</v>
      </c>
    </row>
    <row r="13338" spans="1:10" ht="13.2">
      <c r="A13338" s="7">
        <v>13337</v>
      </c>
      <c r="B13338" s="7">
        <v>1</v>
      </c>
      <c r="C13338" s="7" t="s">
        <v>10</v>
      </c>
      <c r="D13338" s="7">
        <v>18517</v>
      </c>
      <c r="E13338" s="7" t="s">
        <v>23</v>
      </c>
      <c r="F13338" s="8" t="str">
        <f ca="1">IFERROR(__xludf.DUMMYFUNCTION("IF
(
C13339=""фізична особа""
,
VLOOKUP(D13339,IMPORTRANGE(""https://docs.google.com/spreadsheets/d/14Bd19lYaqBhU8_DElYkX7l4wRkHqqCUFNJY4AfY3kHU/edit?usp=sharing  #gid=0"",""фіз особи new!relations_name""),6,FALSE)
,
(IF
(
C13339=""юридична особа""
,
VLOO"&amp;"KUP(D13339,IMPORTRANGE(""https://docs.google.com/spreadsheets/d/14Bd19lYaqBhU8_DElYkX7l4wRkHqqCUFNJY4AfY3kHU/edit?usp=sharing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8" s="7" t="s">
        <v>10</v>
      </c>
      <c r="H13338" s="7">
        <v>18519</v>
      </c>
      <c r="I13338" s="8" t="str">
        <f ca="1">IFERROR(__xludf.DUMMYFUNCTION("IF
(
G13339=""фізична особа""
,
VLOOKUP(H13339,IMPORTRANGE(""https://docs.google.com/spreadsheets/d/14Bd19lYaqBhU8_DElYkX7l4wRkHqqCUFNJY4AfY3kHU/edit?usp=sharing  #gid=0"",""фіз особи new!relations_name""),6,FALSE)
,
(IF
(
G13339=""юридична особа""
,
VLOO"&amp;"KUP(H13339,IMPORTRANGE(""https://docs.google.com/spreadsheets/d/14Bd19lYaqBhU8_DElYkX7l4wRkHqqCUFNJY4AfY3kHU/edit?usp=sharing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38" s="7" t="s">
        <v>23</v>
      </c>
    </row>
    <row r="13339" spans="1:10" ht="13.2">
      <c r="A13339" s="7">
        <v>13338</v>
      </c>
      <c r="B13339" s="7">
        <v>1</v>
      </c>
      <c r="C13339" s="7" t="s">
        <v>10</v>
      </c>
      <c r="D13339" s="7">
        <v>18517</v>
      </c>
      <c r="E13339" s="7" t="s">
        <v>23</v>
      </c>
      <c r="F13339" s="8" t="str">
        <f ca="1">IFERROR(__xludf.DUMMYFUNCTION("IF
(
C13340=""фізична особа""
,
VLOOKUP(D13340,IMPORTRANGE(""https://docs.google.com/spreadsheets/d/14Bd19lYaqBhU8_DElYkX7l4wRkHqqCUFNJY4AfY3kHU/edit?usp=sharing  #gid=0"",""фіз особи new!relations_name""),6,FALSE)
,
(IF
(
C13340=""юридична особа""
,
VLOO"&amp;"KUP(D13340,IMPORTRANGE(""https://docs.google.com/spreadsheets/d/14Bd19lYaqBhU8_DElYkX7l4wRkHqqCUFNJY4AfY3kHU/edit?usp=sharing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39" s="7" t="s">
        <v>10</v>
      </c>
      <c r="H13339" s="7">
        <v>0</v>
      </c>
      <c r="I13339" s="8" t="str">
        <f ca="1">IFERROR(__xludf.DUMMYFUNCTION("IF
(
G13340=""фізична особа""
,
VLOOKUP(H13340,IMPORTRANGE(""https://docs.google.com/spreadsheets/d/14Bd19lYaqBhU8_DElYkX7l4wRkHqqCUFNJY4AfY3kHU/edit?usp=sharing  #gid=0"",""фіз особи new!relations_name""),6,FALSE)
,
(IF
(
G13340=""юридична особа""
,
VLOO"&amp;"KUP(H13340,IMPORTRANGE(""https://docs.google.com/spreadsheets/d/14Bd19lYaqBhU8_DElYkX7l4wRkHqqCUFNJY4AfY3kHU/edit?usp=sharing  #gid=0"",""фіз особи new!relations_name_uo""),7,FALSE)
,
)
))"),"#N/A")</f>
        <v>#N/A</v>
      </c>
      <c r="J13339" s="7" t="s">
        <v>23</v>
      </c>
    </row>
    <row r="13340" spans="1:10" ht="13.2">
      <c r="A13340" s="7">
        <v>13339</v>
      </c>
      <c r="B13340" s="7">
        <v>1</v>
      </c>
      <c r="C13340" s="7" t="s">
        <v>10</v>
      </c>
      <c r="D13340" s="7">
        <v>18517</v>
      </c>
      <c r="E13340" s="7" t="s">
        <v>23</v>
      </c>
      <c r="F13340" s="8" t="str">
        <f ca="1">IFERROR(__xludf.DUMMYFUNCTION("IF
(
C13341=""фізична особа""
,
VLOOKUP(D13341,IMPORTRANGE(""https://docs.google.com/spreadsheets/d/14Bd19lYaqBhU8_DElYkX7l4wRkHqqCUFNJY4AfY3kHU/edit?usp=sharing  #gid=0"",""фіз особи new!relations_name""),6,FALSE)
,
(IF
(
C13341=""юридична особа""
,
VLOO"&amp;"KUP(D13341,IMPORTRANGE(""https://docs.google.com/spreadsheets/d/14Bd19lYaqBhU8_DElYkX7l4wRkHqqCUFNJY4AfY3kHU/edit?usp=sharing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0" s="7" t="s">
        <v>10</v>
      </c>
      <c r="H13340" s="7">
        <v>0</v>
      </c>
      <c r="I13340" s="8" t="str">
        <f ca="1">IFERROR(__xludf.DUMMYFUNCTION("IF
(
G13341=""фізична особа""
,
VLOOKUP(H13341,IMPORTRANGE(""https://docs.google.com/spreadsheets/d/14Bd19lYaqBhU8_DElYkX7l4wRkHqqCUFNJY4AfY3kHU/edit?usp=sharing  #gid=0"",""фіз особи new!relations_name""),6,FALSE)
,
(IF
(
G13341=""юридична особа""
,
VLOO"&amp;"KUP(H13341,IMPORTRANGE(""https://docs.google.com/spreadsheets/d/14Bd19lYaqBhU8_DElYkX7l4wRkHqqCUFNJY4AfY3kHU/edit?usp=sharing  #gid=0"",""фіз особи new!relations_name_uo""),7,FALSE)
,
)
))"),"#N/A")</f>
        <v>#N/A</v>
      </c>
      <c r="J13340" s="7" t="s">
        <v>23</v>
      </c>
    </row>
    <row r="13341" spans="1:10" ht="13.2">
      <c r="A13341" s="7">
        <v>13340</v>
      </c>
      <c r="B13341" s="7">
        <v>1</v>
      </c>
      <c r="C13341" s="7" t="s">
        <v>10</v>
      </c>
      <c r="D13341" s="7">
        <v>18517</v>
      </c>
      <c r="E13341" s="7" t="s">
        <v>23</v>
      </c>
      <c r="F13341" s="8" t="str">
        <f ca="1">IFERROR(__xludf.DUMMYFUNCTION("IF
(
C13342=""фізична особа""
,
VLOOKUP(D13342,IMPORTRANGE(""https://docs.google.com/spreadsheets/d/14Bd19lYaqBhU8_DElYkX7l4wRkHqqCUFNJY4AfY3kHU/edit?usp=sharing  #gid=0"",""фіз особи new!relations_name""),6,FALSE)
,
(IF
(
C13342=""юридична особа""
,
VLOO"&amp;"KUP(D13342,IMPORTRANGE(""https://docs.google.com/spreadsheets/d/14Bd19lYaqBhU8_DElYkX7l4wRkHqqCUFNJY4AfY3kHU/edit?usp=sharing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1" s="7" t="s">
        <v>10</v>
      </c>
      <c r="H13341" s="7">
        <v>0</v>
      </c>
      <c r="I13341" s="8" t="str">
        <f ca="1">IFERROR(__xludf.DUMMYFUNCTION("IF
(
G13342=""фізична особа""
,
VLOOKUP(H13342,IMPORTRANGE(""https://docs.google.com/spreadsheets/d/14Bd19lYaqBhU8_DElYkX7l4wRkHqqCUFNJY4AfY3kHU/edit?usp=sharing  #gid=0"",""фіз особи new!relations_name""),6,FALSE)
,
(IF
(
G13342=""юридична особа""
,
VLOO"&amp;"KUP(H13342,IMPORTRANGE(""https://docs.google.com/spreadsheets/d/14Bd19lYaqBhU8_DElYkX7l4wRkHqqCUFNJY4AfY3kHU/edit?usp=sharing  #gid=0"",""фіз особи new!relations_name_uo""),7,FALSE)
,
)
))"),"#N/A")</f>
        <v>#N/A</v>
      </c>
      <c r="J13341" s="7" t="s">
        <v>23</v>
      </c>
    </row>
    <row r="13342" spans="1:10" ht="13.2">
      <c r="A13342" s="7">
        <v>13341</v>
      </c>
      <c r="B13342" s="7">
        <v>1</v>
      </c>
      <c r="C13342" s="7" t="s">
        <v>10</v>
      </c>
      <c r="D13342" s="7">
        <v>18517</v>
      </c>
      <c r="E13342" s="7" t="s">
        <v>23</v>
      </c>
      <c r="F13342" s="8" t="str">
        <f ca="1">IFERROR(__xludf.DUMMYFUNCTION("IF
(
C13343=""фізична особа""
,
VLOOKUP(D13343,IMPORTRANGE(""https://docs.google.com/spreadsheets/d/14Bd19lYaqBhU8_DElYkX7l4wRkHqqCUFNJY4AfY3kHU/edit?usp=sharing  #gid=0"",""фіз особи new!relations_name""),6,FALSE)
,
(IF
(
C13343=""юридична особа""
,
VLOO"&amp;"KUP(D13343,IMPORTRANGE(""https://docs.google.com/spreadsheets/d/14Bd19lYaqBhU8_DElYkX7l4wRkHqqCUFNJY4AfY3kHU/edit?usp=sharing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2" s="7" t="s">
        <v>10</v>
      </c>
      <c r="H13342" s="7">
        <v>0</v>
      </c>
      <c r="I13342" s="8" t="str">
        <f ca="1">IFERROR(__xludf.DUMMYFUNCTION("IF
(
G13343=""фізична особа""
,
VLOOKUP(H13343,IMPORTRANGE(""https://docs.google.com/spreadsheets/d/14Bd19lYaqBhU8_DElYkX7l4wRkHqqCUFNJY4AfY3kHU/edit?usp=sharing  #gid=0"",""фіз особи new!relations_name""),6,FALSE)
,
(IF
(
G13343=""юридична особа""
,
VLOO"&amp;"KUP(H13343,IMPORTRANGE(""https://docs.google.com/spreadsheets/d/14Bd19lYaqBhU8_DElYkX7l4wRkHqqCUFNJY4AfY3kHU/edit?usp=sharing  #gid=0"",""фіз особи new!relations_name_uo""),7,FALSE)
,
)
))"),"#N/A")</f>
        <v>#N/A</v>
      </c>
      <c r="J13342" s="7" t="s">
        <v>23</v>
      </c>
    </row>
    <row r="13343" spans="1:10" ht="13.2">
      <c r="A13343" s="7">
        <v>13342</v>
      </c>
      <c r="B13343" s="7">
        <v>1</v>
      </c>
      <c r="C13343" s="7" t="s">
        <v>10</v>
      </c>
      <c r="D13343" s="7">
        <v>18517</v>
      </c>
      <c r="E13343" s="7" t="s">
        <v>23</v>
      </c>
      <c r="F13343" s="8" t="str">
        <f ca="1">IFERROR(__xludf.DUMMYFUNCTION("IF
(
C13344=""фізична особа""
,
VLOOKUP(D13344,IMPORTRANGE(""https://docs.google.com/spreadsheets/d/14Bd19lYaqBhU8_DElYkX7l4wRkHqqCUFNJY4AfY3kHU/edit?usp=sharing  #gid=0"",""фіз особи new!relations_name""),6,FALSE)
,
(IF
(
C13344=""юридична особа""
,
VLOO"&amp;"KUP(D13344,IMPORTRANGE(""https://docs.google.com/spreadsheets/d/14Bd19lYaqBhU8_DElYkX7l4wRkHqqCUFNJY4AfY3kHU/edit?usp=sharing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3" s="7" t="s">
        <v>10</v>
      </c>
      <c r="H13343" s="7">
        <v>0</v>
      </c>
      <c r="I13343" s="8" t="str">
        <f ca="1">IFERROR(__xludf.DUMMYFUNCTION("IF
(
G13344=""фізична особа""
,
VLOOKUP(H13344,IMPORTRANGE(""https://docs.google.com/spreadsheets/d/14Bd19lYaqBhU8_DElYkX7l4wRkHqqCUFNJY4AfY3kHU/edit?usp=sharing  #gid=0"",""фіз особи new!relations_name""),6,FALSE)
,
(IF
(
G13344=""юридична особа""
,
VLOO"&amp;"KUP(H13344,IMPORTRANGE(""https://docs.google.com/spreadsheets/d/14Bd19lYaqBhU8_DElYkX7l4wRkHqqCUFNJY4AfY3kHU/edit?usp=sharing  #gid=0"",""фіз особи new!relations_name_uo""),7,FALSE)
,
)
))"),"#N/A")</f>
        <v>#N/A</v>
      </c>
      <c r="J13343" s="7" t="s">
        <v>23</v>
      </c>
    </row>
    <row r="13344" spans="1:10" ht="13.2">
      <c r="A13344" s="7">
        <v>13343</v>
      </c>
      <c r="B13344" s="7">
        <v>1</v>
      </c>
      <c r="C13344" s="7" t="s">
        <v>10</v>
      </c>
      <c r="D13344" s="7">
        <v>18517</v>
      </c>
      <c r="E13344" s="7" t="s">
        <v>23</v>
      </c>
      <c r="F13344" s="8" t="str">
        <f ca="1">IFERROR(__xludf.DUMMYFUNCTION("IF
(
C13345=""фізична особа""
,
VLOOKUP(D13345,IMPORTRANGE(""https://docs.google.com/spreadsheets/d/14Bd19lYaqBhU8_DElYkX7l4wRkHqqCUFNJY4AfY3kHU/edit?usp=sharing  #gid=0"",""фіз особи new!relations_name""),6,FALSE)
,
(IF
(
C13345=""юридична особа""
,
VLOO"&amp;"KUP(D13345,IMPORTRANGE(""https://docs.google.com/spreadsheets/d/14Bd19lYaqBhU8_DElYkX7l4wRkHqqCUFNJY4AfY3kHU/edit?usp=sharing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4" s="7" t="s">
        <v>10</v>
      </c>
      <c r="H13344" s="7">
        <v>0</v>
      </c>
      <c r="I13344" s="8" t="str">
        <f ca="1">IFERROR(__xludf.DUMMYFUNCTION("IF
(
G13345=""фізична особа""
,
VLOOKUP(H13345,IMPORTRANGE(""https://docs.google.com/spreadsheets/d/14Bd19lYaqBhU8_DElYkX7l4wRkHqqCUFNJY4AfY3kHU/edit?usp=sharing  #gid=0"",""фіз особи new!relations_name""),6,FALSE)
,
(IF
(
G13345=""юридична особа""
,
VLOO"&amp;"KUP(H13345,IMPORTRANGE(""https://docs.google.com/spreadsheets/d/14Bd19lYaqBhU8_DElYkX7l4wRkHqqCUFNJY4AfY3kHU/edit?usp=sharing  #gid=0"",""фіз особи new!relations_name_uo""),7,FALSE)
,
)
))"),"#N/A")</f>
        <v>#N/A</v>
      </c>
      <c r="J13344" s="7" t="s">
        <v>23</v>
      </c>
    </row>
    <row r="13345" spans="1:10" ht="13.2">
      <c r="A13345" s="7">
        <v>13344</v>
      </c>
      <c r="B13345" s="7">
        <v>1</v>
      </c>
      <c r="C13345" s="7" t="s">
        <v>10</v>
      </c>
      <c r="D13345" s="7">
        <v>18517</v>
      </c>
      <c r="E13345" s="7" t="s">
        <v>23</v>
      </c>
      <c r="F13345" s="8" t="str">
        <f ca="1">IFERROR(__xludf.DUMMYFUNCTION("IF
(
C13346=""фізична особа""
,
VLOOKUP(D13346,IMPORTRANGE(""https://docs.google.com/spreadsheets/d/14Bd19lYaqBhU8_DElYkX7l4wRkHqqCUFNJY4AfY3kHU/edit?usp=sharing  #gid=0"",""фіз особи new!relations_name""),6,FALSE)
,
(IF
(
C13346=""юридична особа""
,
VLOO"&amp;"KUP(D13346,IMPORTRANGE(""https://docs.google.com/spreadsheets/d/14Bd19lYaqBhU8_DElYkX7l4wRkHqqCUFNJY4AfY3kHU/edit?usp=sharing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5" s="7" t="s">
        <v>10</v>
      </c>
      <c r="H13345" s="7">
        <v>0</v>
      </c>
      <c r="I13345" s="8" t="str">
        <f ca="1">IFERROR(__xludf.DUMMYFUNCTION("IF
(
G13346=""фізична особа""
,
VLOOKUP(H13346,IMPORTRANGE(""https://docs.google.com/spreadsheets/d/14Bd19lYaqBhU8_DElYkX7l4wRkHqqCUFNJY4AfY3kHU/edit?usp=sharing  #gid=0"",""фіз особи new!relations_name""),6,FALSE)
,
(IF
(
G13346=""юридична особа""
,
VLOO"&amp;"KUP(H13346,IMPORTRANGE(""https://docs.google.com/spreadsheets/d/14Bd19lYaqBhU8_DElYkX7l4wRkHqqCUFNJY4AfY3kHU/edit?usp=sharing  #gid=0"",""фіз особи new!relations_name_uo""),7,FALSE)
,
)
))"),"#N/A")</f>
        <v>#N/A</v>
      </c>
      <c r="J13345" s="7" t="s">
        <v>23</v>
      </c>
    </row>
    <row r="13346" spans="1:10" ht="13.2">
      <c r="A13346" s="7">
        <v>13345</v>
      </c>
      <c r="B13346" s="7">
        <v>1</v>
      </c>
      <c r="C13346" s="7" t="s">
        <v>10</v>
      </c>
      <c r="D13346" s="7">
        <v>18517</v>
      </c>
      <c r="E13346" s="7" t="s">
        <v>23</v>
      </c>
      <c r="F13346" s="8" t="str">
        <f ca="1">IFERROR(__xludf.DUMMYFUNCTION("IF
(
C13347=""фізична особа""
,
VLOOKUP(D13347,IMPORTRANGE(""https://docs.google.com/spreadsheets/d/14Bd19lYaqBhU8_DElYkX7l4wRkHqqCUFNJY4AfY3kHU/edit?usp=sharing  #gid=0"",""фіз особи new!relations_name""),6,FALSE)
,
(IF
(
C13347=""юридична особа""
,
VLOO"&amp;"KUP(D13347,IMPORTRANGE(""https://docs.google.com/spreadsheets/d/14Bd19lYaqBhU8_DElYkX7l4wRkHqqCUFNJY4AfY3kHU/edit?usp=sharing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6" s="7" t="s">
        <v>10</v>
      </c>
      <c r="H13346" s="7">
        <v>0</v>
      </c>
      <c r="I13346" s="8" t="str">
        <f ca="1">IFERROR(__xludf.DUMMYFUNCTION("IF
(
G13347=""фізична особа""
,
VLOOKUP(H13347,IMPORTRANGE(""https://docs.google.com/spreadsheets/d/14Bd19lYaqBhU8_DElYkX7l4wRkHqqCUFNJY4AfY3kHU/edit?usp=sharing  #gid=0"",""фіз особи new!relations_name""),6,FALSE)
,
(IF
(
G13347=""юридична особа""
,
VLOO"&amp;"KUP(H13347,IMPORTRANGE(""https://docs.google.com/spreadsheets/d/14Bd19lYaqBhU8_DElYkX7l4wRkHqqCUFNJY4AfY3kHU/edit?usp=sharing  #gid=0"",""фіз особи new!relations_name_uo""),7,FALSE)
,
)
))"),"#N/A")</f>
        <v>#N/A</v>
      </c>
      <c r="J13346" s="7" t="s">
        <v>23</v>
      </c>
    </row>
    <row r="13347" spans="1:10" ht="13.2">
      <c r="A13347" s="7">
        <v>13346</v>
      </c>
      <c r="B13347" s="7">
        <v>1</v>
      </c>
      <c r="C13347" s="7" t="s">
        <v>10</v>
      </c>
      <c r="D13347" s="7">
        <v>18517</v>
      </c>
      <c r="E13347" s="7" t="s">
        <v>23</v>
      </c>
      <c r="F13347" s="8" t="str">
        <f ca="1">IFERROR(__xludf.DUMMYFUNCTION("IF
(
C13348=""фізична особа""
,
VLOOKUP(D13348,IMPORTRANGE(""https://docs.google.com/spreadsheets/d/14Bd19lYaqBhU8_DElYkX7l4wRkHqqCUFNJY4AfY3kHU/edit?usp=sharing  #gid=0"",""фіз особи new!relations_name""),6,FALSE)
,
(IF
(
C13348=""юридична особа""
,
VLOO"&amp;"KUP(D13348,IMPORTRANGE(""https://docs.google.com/spreadsheets/d/14Bd19lYaqBhU8_DElYkX7l4wRkHqqCUFNJY4AfY3kHU/edit?usp=sharing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7" s="7" t="s">
        <v>10</v>
      </c>
      <c r="H13347" s="7">
        <v>23666</v>
      </c>
      <c r="I13347" s="8" t="str">
        <f ca="1">IFERROR(__xludf.DUMMYFUNCTION("IF
(
G13348=""фізична особа""
,
VLOOKUP(H13348,IMPORTRANGE(""https://docs.google.com/spreadsheets/d/14Bd19lYaqBhU8_DElYkX7l4wRkHqqCUFNJY4AfY3kHU/edit?usp=sharing  #gid=0"",""фіз особи new!relations_name""),6,FALSE)
,
(IF
(
G13348=""юридична особа""
,
VLOO"&amp;"KUP(H13348,IMPORTRANGE(""https://docs.google.com/spreadsheets/d/14Bd19lYaqBhU8_DElYkX7l4wRkHqqCUFNJY4AfY3kHU/edit?usp=sharing  #gid=0"",""фіз особи new!relations_name_uo""),7,FALSE)
,
)
))"),"ІБРІШИМ Дмитро Іванович")</f>
        <v>ІБРІШИМ Дмитро Іванович</v>
      </c>
      <c r="J13347" s="7" t="s">
        <v>23</v>
      </c>
    </row>
    <row r="13348" spans="1:10" ht="13.2">
      <c r="A13348" s="7">
        <v>13347</v>
      </c>
      <c r="B13348" s="7">
        <v>1</v>
      </c>
      <c r="C13348" s="7" t="s">
        <v>10</v>
      </c>
      <c r="D13348" s="7">
        <v>18517</v>
      </c>
      <c r="E13348" s="7" t="s">
        <v>23</v>
      </c>
      <c r="F13348" s="8" t="str">
        <f ca="1">IFERROR(__xludf.DUMMYFUNCTION("IF
(
C13349=""фізична особа""
,
VLOOKUP(D13349,IMPORTRANGE(""https://docs.google.com/spreadsheets/d/14Bd19lYaqBhU8_DElYkX7l4wRkHqqCUFNJY4AfY3kHU/edit?usp=sharing  #gid=0"",""фіз особи new!relations_name""),6,FALSE)
,
(IF
(
C13349=""юридична особа""
,
VLOO"&amp;"KUP(D13349,IMPORTRANGE(""https://docs.google.com/spreadsheets/d/14Bd19lYaqBhU8_DElYkX7l4wRkHqqCUFNJY4AfY3kHU/edit?usp=sharing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8" s="7" t="s">
        <v>10</v>
      </c>
      <c r="H13348" s="7">
        <v>23659</v>
      </c>
      <c r="I13348" s="8" t="str">
        <f ca="1">IFERROR(__xludf.DUMMYFUNCTION("IF
(
G13349=""фізична особа""
,
VLOOKUP(H13349,IMPORTRANGE(""https://docs.google.com/spreadsheets/d/14Bd19lYaqBhU8_DElYkX7l4wRkHqqCUFNJY4AfY3kHU/edit?usp=sharing  #gid=0"",""фіз особи new!relations_name""),6,FALSE)
,
(IF
(
G13349=""юридична особа""
,
VLOO"&amp;"KUP(H13349,IMPORTRANGE(""https://docs.google.com/spreadsheets/d/14Bd19lYaqBhU8_DElYkX7l4wRkHqqCUFNJY4AfY3kHU/edit?usp=sharing  #gid=0"",""фіз особи new!relations_name_uo""),7,FALSE)
,
)
))"),"СКОРОВ Михайло Аркадійович")</f>
        <v>СКОРОВ Михайло Аркадійович</v>
      </c>
      <c r="J13348" s="7" t="s">
        <v>23</v>
      </c>
    </row>
    <row r="13349" spans="1:10" ht="13.2">
      <c r="A13349" s="7">
        <v>13348</v>
      </c>
      <c r="B13349" s="7">
        <v>1</v>
      </c>
      <c r="C13349" s="7" t="s">
        <v>10</v>
      </c>
      <c r="D13349" s="7">
        <v>18517</v>
      </c>
      <c r="E13349" s="7" t="s">
        <v>23</v>
      </c>
      <c r="F13349" s="8" t="str">
        <f ca="1">IFERROR(__xludf.DUMMYFUNCTION("IF
(
C13350=""фізична особа""
,
VLOOKUP(D13350,IMPORTRANGE(""https://docs.google.com/spreadsheets/d/14Bd19lYaqBhU8_DElYkX7l4wRkHqqCUFNJY4AfY3kHU/edit?usp=sharing  #gid=0"",""фіз особи new!relations_name""),6,FALSE)
,
(IF
(
C13350=""юридична особа""
,
VLOO"&amp;"KUP(D13350,IMPORTRANGE(""https://docs.google.com/spreadsheets/d/14Bd19lYaqBhU8_DElYkX7l4wRkHqqCUFNJY4AfY3kHU/edit?usp=sharing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49" s="7" t="s">
        <v>10</v>
      </c>
      <c r="H13349" s="7">
        <v>23665</v>
      </c>
      <c r="I13349" s="8" t="str">
        <f ca="1">IFERROR(__xludf.DUMMYFUNCTION("IF
(
G13350=""фізична особа""
,
VLOOKUP(H13350,IMPORTRANGE(""https://docs.google.com/spreadsheets/d/14Bd19lYaqBhU8_DElYkX7l4wRkHqqCUFNJY4AfY3kHU/edit?usp=sharing  #gid=0"",""фіз особи new!relations_name""),6,FALSE)
,
(IF
(
G13350=""юридична особа""
,
VLOO"&amp;"KUP(H13350,IMPORTRANGE(""https://docs.google.com/spreadsheets/d/14Bd19lYaqBhU8_DElYkX7l4wRkHqqCUFNJY4AfY3kHU/edit?usp=sharing  #gid=0"",""фіз особи new!relations_name_uo""),7,FALSE)
,
)
))"),"СТЕПАНОВ Володимир Вікторович")</f>
        <v>СТЕПАНОВ Володимир Вікторович</v>
      </c>
      <c r="J13349" s="7" t="s">
        <v>23</v>
      </c>
    </row>
    <row r="13350" spans="1:10" ht="13.2">
      <c r="A13350" s="7">
        <v>13349</v>
      </c>
      <c r="B13350" s="7">
        <v>1</v>
      </c>
      <c r="C13350" s="7" t="s">
        <v>10</v>
      </c>
      <c r="D13350" s="7">
        <v>18517</v>
      </c>
      <c r="E13350" s="7" t="s">
        <v>23</v>
      </c>
      <c r="F13350" s="8" t="str">
        <f ca="1">IFERROR(__xludf.DUMMYFUNCTION("IF
(
C13351=""фізична особа""
,
VLOOKUP(D13351,IMPORTRANGE(""https://docs.google.com/spreadsheets/d/14Bd19lYaqBhU8_DElYkX7l4wRkHqqCUFNJY4AfY3kHU/edit?usp=sharing  #gid=0"",""фіз особи new!relations_name""),6,FALSE)
,
(IF
(
C13351=""юридична особа""
,
VLOO"&amp;"KUP(D13351,IMPORTRANGE(""https://docs.google.com/spreadsheets/d/14Bd19lYaqBhU8_DElYkX7l4wRkHqqCUFNJY4AfY3kHU/edit?usp=sharing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50" s="7" t="s">
        <v>10</v>
      </c>
      <c r="H13350" s="7">
        <v>0</v>
      </c>
      <c r="I13350" s="8" t="str">
        <f ca="1">IFERROR(__xludf.DUMMYFUNCTION("IF
(
G13351=""фізична особа""
,
VLOOKUP(H13351,IMPORTRANGE(""https://docs.google.com/spreadsheets/d/14Bd19lYaqBhU8_DElYkX7l4wRkHqqCUFNJY4AfY3kHU/edit?usp=sharing  #gid=0"",""фіз особи new!relations_name""),6,FALSE)
,
(IF
(
G13351=""юридична особа""
,
VLOO"&amp;"KUP(H13351,IMPORTRANGE(""https://docs.google.com/spreadsheets/d/14Bd19lYaqBhU8_DElYkX7l4wRkHqqCUFNJY4AfY3kHU/edit?usp=sharing  #gid=0"",""фіз особи new!relations_name_uo""),7,FALSE)
,
)
))"),"#N/A")</f>
        <v>#N/A</v>
      </c>
      <c r="J13350" s="7" t="s">
        <v>23</v>
      </c>
    </row>
    <row r="13351" spans="1:10" ht="13.2">
      <c r="A13351" s="7">
        <v>13350</v>
      </c>
      <c r="B13351" s="7">
        <v>1</v>
      </c>
      <c r="C13351" s="7" t="s">
        <v>10</v>
      </c>
      <c r="D13351" s="7">
        <v>18517</v>
      </c>
      <c r="E13351" s="7" t="s">
        <v>23</v>
      </c>
      <c r="F13351" s="8" t="str">
        <f ca="1">IFERROR(__xludf.DUMMYFUNCTION("IF
(
C13352=""фізична особа""
,
VLOOKUP(D13352,IMPORTRANGE(""https://docs.google.com/spreadsheets/d/14Bd19lYaqBhU8_DElYkX7l4wRkHqqCUFNJY4AfY3kHU/edit?usp=sharing  #gid=0"",""фіз особи new!relations_name""),6,FALSE)
,
(IF
(
C13352=""юридична особа""
,
VLOO"&amp;"KUP(D13352,IMPORTRANGE(""https://docs.google.com/spreadsheets/d/14Bd19lYaqBhU8_DElYkX7l4wRkHqqCUFNJY4AfY3kHU/edit?usp=sharing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51" s="7" t="s">
        <v>10</v>
      </c>
      <c r="H13351" s="7">
        <v>23661</v>
      </c>
      <c r="I13351" s="8" t="str">
        <f ca="1">IFERROR(__xludf.DUMMYFUNCTION("IF
(
G13352=""фізична особа""
,
VLOOKUP(H13352,IMPORTRANGE(""https://docs.google.com/spreadsheets/d/14Bd19lYaqBhU8_DElYkX7l4wRkHqqCUFNJY4AfY3kHU/edit?usp=sharing  #gid=0"",""фіз особи new!relations_name""),6,FALSE)
,
(IF
(
G13352=""юридична особа""
,
VLOO"&amp;"KUP(H13352,IMPORTRANGE(""https://docs.google.com/spreadsheets/d/14Bd19lYaqBhU8_DElYkX7l4wRkHqqCUFNJY4AfY3kHU/edit?usp=sharing  #gid=0"",""фіз особи new!relations_name_uo""),7,FALSE)
,
)
))"),"ЛЕОНОВА Катерина Юріївна")</f>
        <v>ЛЕОНОВА Катерина Юріївна</v>
      </c>
      <c r="J13351" s="7" t="s">
        <v>23</v>
      </c>
    </row>
    <row r="13352" spans="1:10" ht="13.2">
      <c r="A13352" s="7">
        <v>13351</v>
      </c>
      <c r="B13352" s="7">
        <v>1</v>
      </c>
      <c r="C13352" s="7" t="s">
        <v>10</v>
      </c>
      <c r="D13352" s="7">
        <v>18517</v>
      </c>
      <c r="E13352" s="7" t="s">
        <v>23</v>
      </c>
      <c r="F13352" s="8" t="str">
        <f ca="1">IFERROR(__xludf.DUMMYFUNCTION("IF
(
C13353=""фізична особа""
,
VLOOKUP(D13353,IMPORTRANGE(""https://docs.google.com/spreadsheets/d/14Bd19lYaqBhU8_DElYkX7l4wRkHqqCUFNJY4AfY3kHU/edit?usp=sharing  #gid=0"",""фіз особи new!relations_name""),6,FALSE)
,
(IF
(
C13353=""юридична особа""
,
VLOO"&amp;"KUP(D13353,IMPORTRANGE(""https://docs.google.com/spreadsheets/d/14Bd19lYaqBhU8_DElYkX7l4wRkHqqCUFNJY4AfY3kHU/edit?usp=sharing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G13352" s="7" t="s">
        <v>10</v>
      </c>
      <c r="H13352" s="7">
        <v>0</v>
      </c>
      <c r="I13352" s="8" t="str">
        <f ca="1">IFERROR(__xludf.DUMMYFUNCTION("IF
(
G13353=""фізична особа""
,
VLOOKUP(H13353,IMPORTRANGE(""https://docs.google.com/spreadsheets/d/14Bd19lYaqBhU8_DElYkX7l4wRkHqqCUFNJY4AfY3kHU/edit?usp=sharing  #gid=0"",""фіз особи new!relations_name""),6,FALSE)
,
(IF
(
G13353=""юридична особа""
,
VLOO"&amp;"KUP(H13353,IMPORTRANGE(""https://docs.google.com/spreadsheets/d/14Bd19lYaqBhU8_DElYkX7l4wRkHqqCUFNJY4AfY3kHU/edit?usp=sharing  #gid=0"",""фіз особи new!relations_name_uo""),7,FALSE)
,
)
))"),"#N/A")</f>
        <v>#N/A</v>
      </c>
      <c r="J13352" s="7" t="s">
        <v>23</v>
      </c>
    </row>
    <row r="13353" spans="1:10" ht="13.2">
      <c r="A13353" s="7">
        <v>13352</v>
      </c>
      <c r="B13353" s="7">
        <v>1</v>
      </c>
      <c r="C13353" s="7" t="s">
        <v>10</v>
      </c>
      <c r="D13353" s="7">
        <v>18518</v>
      </c>
      <c r="E13353" s="7" t="s">
        <v>23</v>
      </c>
      <c r="F13353" s="8" t="str">
        <f ca="1">IFERROR(__xludf.DUMMYFUNCTION("IF
(
C13354=""фізична особа""
,
VLOOKUP(D13354,IMPORTRANGE(""https://docs.google.com/spreadsheets/d/14Bd19lYaqBhU8_DElYkX7l4wRkHqqCUFNJY4AfY3kHU/edit?usp=sharing  #gid=0"",""фіз особи new!relations_name""),6,FALSE)
,
(IF
(
C13354=""юридична особа""
,
VLOO"&amp;"KUP(D13354,IMPORTRANGE(""https://docs.google.com/spreadsheets/d/14Bd19lYaqBhU8_DElYkX7l4wRkHqqCUFNJY4AfY3kHU/edit?usp=sharing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3" s="7" t="s">
        <v>10</v>
      </c>
      <c r="H13353" s="7">
        <v>18514</v>
      </c>
      <c r="I13353" s="8" t="str">
        <f ca="1">IFERROR(__xludf.DUMMYFUNCTION("IF
(
G13354=""фізична особа""
,
VLOOKUP(H13354,IMPORTRANGE(""https://docs.google.com/spreadsheets/d/14Bd19lYaqBhU8_DElYkX7l4wRkHqqCUFNJY4AfY3kHU/edit?usp=sharing  #gid=0"",""фіз особи new!relations_name""),6,FALSE)
,
(IF
(
G13354=""юридична особа""
,
VLOO"&amp;"KUP(H13354,IMPORTRANGE(""https://docs.google.com/spreadsheets/d/14Bd19lYaqBhU8_DElYkX7l4wRkHqqCUFNJY4AfY3kHU/edit?usp=sharing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53" s="7" t="s">
        <v>23</v>
      </c>
    </row>
    <row r="13354" spans="1:10" ht="13.2">
      <c r="A13354" s="7">
        <v>13353</v>
      </c>
      <c r="B13354" s="7">
        <v>1</v>
      </c>
      <c r="C13354" s="7" t="s">
        <v>10</v>
      </c>
      <c r="D13354" s="7">
        <v>18518</v>
      </c>
      <c r="E13354" s="7" t="s">
        <v>23</v>
      </c>
      <c r="F13354" s="8" t="str">
        <f ca="1">IFERROR(__xludf.DUMMYFUNCTION("IF
(
C13355=""фізична особа""
,
VLOOKUP(D13355,IMPORTRANGE(""https://docs.google.com/spreadsheets/d/14Bd19lYaqBhU8_DElYkX7l4wRkHqqCUFNJY4AfY3kHU/edit?usp=sharing  #gid=0"",""фіз особи new!relations_name""),6,FALSE)
,
(IF
(
C13355=""юридична особа""
,
VLOO"&amp;"KUP(D13355,IMPORTRANGE(""https://docs.google.com/spreadsheets/d/14Bd19lYaqBhU8_DElYkX7l4wRkHqqCUFNJY4AfY3kHU/edit?usp=sharing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4" s="7" t="s">
        <v>10</v>
      </c>
      <c r="H13354" s="7">
        <v>18515</v>
      </c>
      <c r="I13354" s="8" t="str">
        <f ca="1">IFERROR(__xludf.DUMMYFUNCTION("IF
(
G13355=""фізична особа""
,
VLOOKUP(H13355,IMPORTRANGE(""https://docs.google.com/spreadsheets/d/14Bd19lYaqBhU8_DElYkX7l4wRkHqqCUFNJY4AfY3kHU/edit?usp=sharing  #gid=0"",""фіз особи new!relations_name""),6,FALSE)
,
(IF
(
G13355=""юридична особа""
,
VLOO"&amp;"KUP(H13355,IMPORTRANGE(""https://docs.google.com/spreadsheets/d/14Bd19lYaqBhU8_DElYkX7l4wRkHqqCUFNJY4AfY3kHU/edit?usp=sharing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54" s="7" t="s">
        <v>23</v>
      </c>
    </row>
    <row r="13355" spans="1:10" ht="13.2">
      <c r="A13355" s="7">
        <v>13354</v>
      </c>
      <c r="B13355" s="7">
        <v>1</v>
      </c>
      <c r="C13355" s="7" t="s">
        <v>10</v>
      </c>
      <c r="D13355" s="7">
        <v>18518</v>
      </c>
      <c r="E13355" s="7" t="s">
        <v>23</v>
      </c>
      <c r="F13355" s="8" t="str">
        <f ca="1">IFERROR(__xludf.DUMMYFUNCTION("IF
(
C13356=""фізична особа""
,
VLOOKUP(D13356,IMPORTRANGE(""https://docs.google.com/spreadsheets/d/14Bd19lYaqBhU8_DElYkX7l4wRkHqqCUFNJY4AfY3kHU/edit?usp=sharing  #gid=0"",""фіз особи new!relations_name""),6,FALSE)
,
(IF
(
C13356=""юридична особа""
,
VLOO"&amp;"KUP(D13356,IMPORTRANGE(""https://docs.google.com/spreadsheets/d/14Bd19lYaqBhU8_DElYkX7l4wRkHqqCUFNJY4AfY3kHU/edit?usp=sharing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5" s="7" t="s">
        <v>10</v>
      </c>
      <c r="H13355" s="7">
        <v>18516</v>
      </c>
      <c r="I13355" s="8" t="str">
        <f ca="1">IFERROR(__xludf.DUMMYFUNCTION("IF
(
G13356=""фізична особа""
,
VLOOKUP(H13356,IMPORTRANGE(""https://docs.google.com/spreadsheets/d/14Bd19lYaqBhU8_DElYkX7l4wRkHqqCUFNJY4AfY3kHU/edit?usp=sharing  #gid=0"",""фіз особи new!relations_name""),6,FALSE)
,
(IF
(
G13356=""юридична особа""
,
VLOO"&amp;"KUP(H13356,IMPORTRANGE(""https://docs.google.com/spreadsheets/d/14Bd19lYaqBhU8_DElYkX7l4wRkHqqCUFNJY4AfY3kHU/edit?usp=sharing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55" s="7" t="s">
        <v>23</v>
      </c>
    </row>
    <row r="13356" spans="1:10" ht="13.2">
      <c r="A13356" s="7">
        <v>13355</v>
      </c>
      <c r="B13356" s="7">
        <v>1</v>
      </c>
      <c r="C13356" s="7" t="s">
        <v>10</v>
      </c>
      <c r="D13356" s="7">
        <v>18518</v>
      </c>
      <c r="E13356" s="7" t="s">
        <v>23</v>
      </c>
      <c r="F13356" s="8" t="str">
        <f ca="1">IFERROR(__xludf.DUMMYFUNCTION("IF
(
C13357=""фізична особа""
,
VLOOKUP(D13357,IMPORTRANGE(""https://docs.google.com/spreadsheets/d/14Bd19lYaqBhU8_DElYkX7l4wRkHqqCUFNJY4AfY3kHU/edit?usp=sharing  #gid=0"",""фіз особи new!relations_name""),6,FALSE)
,
(IF
(
C13357=""юридична особа""
,
VLOO"&amp;"KUP(D13357,IMPORTRANGE(""https://docs.google.com/spreadsheets/d/14Bd19lYaqBhU8_DElYkX7l4wRkHqqCUFNJY4AfY3kHU/edit?usp=sharing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6" s="7" t="s">
        <v>10</v>
      </c>
      <c r="H13356" s="7">
        <v>18517</v>
      </c>
      <c r="I13356" s="8" t="str">
        <f ca="1">IFERROR(__xludf.DUMMYFUNCTION("IF
(
G13357=""фізична особа""
,
VLOOKUP(H13357,IMPORTRANGE(""https://docs.google.com/spreadsheets/d/14Bd19lYaqBhU8_DElYkX7l4wRkHqqCUFNJY4AfY3kHU/edit?usp=sharing  #gid=0"",""фіз особи new!relations_name""),6,FALSE)
,
(IF
(
G13357=""юридична особа""
,
VLOO"&amp;"KUP(H13357,IMPORTRANGE(""https://docs.google.com/spreadsheets/d/14Bd19lYaqBhU8_DElYkX7l4wRkHqqCUFNJY4AfY3kHU/edit?usp=sharing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356" s="7" t="s">
        <v>23</v>
      </c>
    </row>
    <row r="13357" spans="1:10" ht="13.2">
      <c r="A13357" s="7">
        <v>13356</v>
      </c>
      <c r="B13357" s="7">
        <v>1</v>
      </c>
      <c r="C13357" s="7" t="s">
        <v>10</v>
      </c>
      <c r="D13357" s="7">
        <v>18518</v>
      </c>
      <c r="E13357" s="7" t="s">
        <v>23</v>
      </c>
      <c r="F13357" s="8" t="str">
        <f ca="1">IFERROR(__xludf.DUMMYFUNCTION("IF
(
C13358=""фізична особа""
,
VLOOKUP(D13358,IMPORTRANGE(""https://docs.google.com/spreadsheets/d/14Bd19lYaqBhU8_DElYkX7l4wRkHqqCUFNJY4AfY3kHU/edit?usp=sharing  #gid=0"",""фіз особи new!relations_name""),6,FALSE)
,
(IF
(
C13358=""юридична особа""
,
VLOO"&amp;"KUP(D13358,IMPORTRANGE(""https://docs.google.com/spreadsheets/d/14Bd19lYaqBhU8_DElYkX7l4wRkHqqCUFNJY4AfY3kHU/edit?usp=sharing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7" s="7" t="s">
        <v>10</v>
      </c>
      <c r="H13357" s="7">
        <v>18519</v>
      </c>
      <c r="I13357" s="8" t="str">
        <f ca="1">IFERROR(__xludf.DUMMYFUNCTION("IF
(
G13358=""фізична особа""
,
VLOOKUP(H13358,IMPORTRANGE(""https://docs.google.com/spreadsheets/d/14Bd19lYaqBhU8_DElYkX7l4wRkHqqCUFNJY4AfY3kHU/edit?usp=sharing  #gid=0"",""фіз особи new!relations_name""),6,FALSE)
,
(IF
(
G13358=""юридична особа""
,
VLOO"&amp;"KUP(H13358,IMPORTRANGE(""https://docs.google.com/spreadsheets/d/14Bd19lYaqBhU8_DElYkX7l4wRkHqqCUFNJY4AfY3kHU/edit?usp=sharing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57" s="7" t="s">
        <v>23</v>
      </c>
    </row>
    <row r="13358" spans="1:10" ht="13.2">
      <c r="A13358" s="7">
        <v>13357</v>
      </c>
      <c r="B13358" s="7">
        <v>1</v>
      </c>
      <c r="C13358" s="7" t="s">
        <v>10</v>
      </c>
      <c r="D13358" s="7">
        <v>18518</v>
      </c>
      <c r="E13358" s="7" t="s">
        <v>23</v>
      </c>
      <c r="F13358" s="8" t="str">
        <f ca="1">IFERROR(__xludf.DUMMYFUNCTION("IF
(
C13359=""фізична особа""
,
VLOOKUP(D13359,IMPORTRANGE(""https://docs.google.com/spreadsheets/d/14Bd19lYaqBhU8_DElYkX7l4wRkHqqCUFNJY4AfY3kHU/edit?usp=sharing  #gid=0"",""фіз особи new!relations_name""),6,FALSE)
,
(IF
(
C13359=""юридична особа""
,
VLOO"&amp;"KUP(D13359,IMPORTRANGE(""https://docs.google.com/spreadsheets/d/14Bd19lYaqBhU8_DElYkX7l4wRkHqqCUFNJY4AfY3kHU/edit?usp=sharing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G13358" s="7" t="s">
        <v>10</v>
      </c>
      <c r="H13358" s="7">
        <v>0</v>
      </c>
      <c r="I13358" s="8" t="str">
        <f ca="1">IFERROR(__xludf.DUMMYFUNCTION("IF
(
G13359=""фізична особа""
,
VLOOKUP(H13359,IMPORTRANGE(""https://docs.google.com/spreadsheets/d/14Bd19lYaqBhU8_DElYkX7l4wRkHqqCUFNJY4AfY3kHU/edit?usp=sharing  #gid=0"",""фіз особи new!relations_name""),6,FALSE)
,
(IF
(
G13359=""юридична особа""
,
VLOO"&amp;"KUP(H13359,IMPORTRANGE(""https://docs.google.com/spreadsheets/d/14Bd19lYaqBhU8_DElYkX7l4wRkHqqCUFNJY4AfY3kHU/edit?usp=sharing  #gid=0"",""фіз особи new!relations_name_uo""),7,FALSE)
,
)
))"),"#N/A")</f>
        <v>#N/A</v>
      </c>
      <c r="J13358" s="7" t="s">
        <v>23</v>
      </c>
    </row>
    <row r="13359" spans="1:10" ht="13.2">
      <c r="A13359" s="7">
        <v>13358</v>
      </c>
      <c r="B13359" s="7">
        <v>1</v>
      </c>
      <c r="C13359" s="7" t="s">
        <v>10</v>
      </c>
      <c r="D13359" s="7">
        <v>18519</v>
      </c>
      <c r="E13359" s="7" t="s">
        <v>23</v>
      </c>
      <c r="F13359" s="8" t="str">
        <f ca="1">IFERROR(__xludf.DUMMYFUNCTION("IF
(
C13360=""фізична особа""
,
VLOOKUP(D13360,IMPORTRANGE(""https://docs.google.com/spreadsheets/d/14Bd19lYaqBhU8_DElYkX7l4wRkHqqCUFNJY4AfY3kHU/edit?usp=sharing  #gid=0"",""фіз особи new!relations_name""),6,FALSE)
,
(IF
(
C13360=""юридична особа""
,
VLOO"&amp;"KUP(D13360,IMPORTRANGE(""https://docs.google.com/spreadsheets/d/14Bd19lYaqBhU8_DElYkX7l4wRkHqqCUFNJY4AfY3kHU/edit?usp=sharing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59" s="7" t="s">
        <v>10</v>
      </c>
      <c r="H13359" s="7">
        <v>0</v>
      </c>
      <c r="I13359" s="8" t="str">
        <f ca="1">IFERROR(__xludf.DUMMYFUNCTION("IF
(
G13360=""фізична особа""
,
VLOOKUP(H13360,IMPORTRANGE(""https://docs.google.com/spreadsheets/d/14Bd19lYaqBhU8_DElYkX7l4wRkHqqCUFNJY4AfY3kHU/edit?usp=sharing  #gid=0"",""фіз особи new!relations_name""),6,FALSE)
,
(IF
(
G13360=""юридична особа""
,
VLOO"&amp;"KUP(H13360,IMPORTRANGE(""https://docs.google.com/spreadsheets/d/14Bd19lYaqBhU8_DElYkX7l4wRkHqqCUFNJY4AfY3kHU/edit?usp=sharing  #gid=0"",""фіз особи new!relations_name_uo""),7,FALSE)
,
)
))"),"#N/A")</f>
        <v>#N/A</v>
      </c>
      <c r="J13359" s="7" t="s">
        <v>23</v>
      </c>
    </row>
    <row r="13360" spans="1:10" ht="13.2">
      <c r="A13360" s="7">
        <v>13359</v>
      </c>
      <c r="B13360" s="7">
        <v>1</v>
      </c>
      <c r="C13360" s="7" t="s">
        <v>10</v>
      </c>
      <c r="D13360" s="7">
        <v>18519</v>
      </c>
      <c r="E13360" s="7" t="s">
        <v>23</v>
      </c>
      <c r="F13360" s="8" t="str">
        <f ca="1">IFERROR(__xludf.DUMMYFUNCTION("IF
(
C13361=""фізична особа""
,
VLOOKUP(D13361,IMPORTRANGE(""https://docs.google.com/spreadsheets/d/14Bd19lYaqBhU8_DElYkX7l4wRkHqqCUFNJY4AfY3kHU/edit?usp=sharing  #gid=0"",""фіз особи new!relations_name""),6,FALSE)
,
(IF
(
C13361=""юридична особа""
,
VLOO"&amp;"KUP(D13361,IMPORTRANGE(""https://docs.google.com/spreadsheets/d/14Bd19lYaqBhU8_DElYkX7l4wRkHqqCUFNJY4AfY3kHU/edit?usp=sharing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0" s="7" t="s">
        <v>10</v>
      </c>
      <c r="H13360" s="7">
        <v>0</v>
      </c>
      <c r="I13360" s="8" t="str">
        <f ca="1">IFERROR(__xludf.DUMMYFUNCTION("IF
(
G13361=""фізична особа""
,
VLOOKUP(H13361,IMPORTRANGE(""https://docs.google.com/spreadsheets/d/14Bd19lYaqBhU8_DElYkX7l4wRkHqqCUFNJY4AfY3kHU/edit?usp=sharing  #gid=0"",""фіз особи new!relations_name""),6,FALSE)
,
(IF
(
G13361=""юридична особа""
,
VLOO"&amp;"KUP(H13361,IMPORTRANGE(""https://docs.google.com/spreadsheets/d/14Bd19lYaqBhU8_DElYkX7l4wRkHqqCUFNJY4AfY3kHU/edit?usp=sharing  #gid=0"",""фіз особи new!relations_name_uo""),7,FALSE)
,
)
))"),"#N/A")</f>
        <v>#N/A</v>
      </c>
      <c r="J13360" s="7" t="s">
        <v>23</v>
      </c>
    </row>
    <row r="13361" spans="1:10" ht="13.2">
      <c r="A13361" s="7">
        <v>13360</v>
      </c>
      <c r="B13361" s="7">
        <v>1</v>
      </c>
      <c r="C13361" s="7" t="s">
        <v>10</v>
      </c>
      <c r="D13361" s="7">
        <v>18519</v>
      </c>
      <c r="E13361" s="7" t="s">
        <v>23</v>
      </c>
      <c r="F13361" s="8" t="str">
        <f ca="1">IFERROR(__xludf.DUMMYFUNCTION("IF
(
C13362=""фізична особа""
,
VLOOKUP(D13362,IMPORTRANGE(""https://docs.google.com/spreadsheets/d/14Bd19lYaqBhU8_DElYkX7l4wRkHqqCUFNJY4AfY3kHU/edit?usp=sharing  #gid=0"",""фіз особи new!relations_name""),6,FALSE)
,
(IF
(
C13362=""юридична особа""
,
VLOO"&amp;"KUP(D13362,IMPORTRANGE(""https://docs.google.com/spreadsheets/d/14Bd19lYaqBhU8_DElYkX7l4wRkHqqCUFNJY4AfY3kHU/edit?usp=sharing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1" s="7" t="s">
        <v>10</v>
      </c>
      <c r="H13361" s="7">
        <v>18514</v>
      </c>
      <c r="I13361" s="8" t="str">
        <f ca="1">IFERROR(__xludf.DUMMYFUNCTION("IF
(
G13362=""фізична особа""
,
VLOOKUP(H13362,IMPORTRANGE(""https://docs.google.com/spreadsheets/d/14Bd19lYaqBhU8_DElYkX7l4wRkHqqCUFNJY4AfY3kHU/edit?usp=sharing  #gid=0"",""фіз особи new!relations_name""),6,FALSE)
,
(IF
(
G13362=""юридична особа""
,
VLOO"&amp;"KUP(H13362,IMPORTRANGE(""https://docs.google.com/spreadsheets/d/14Bd19lYaqBhU8_DElYkX7l4wRkHqqCUFNJY4AfY3kHU/edit?usp=sharing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61" s="7" t="s">
        <v>23</v>
      </c>
    </row>
    <row r="13362" spans="1:10" ht="13.2">
      <c r="A13362" s="7">
        <v>13361</v>
      </c>
      <c r="B13362" s="7">
        <v>1</v>
      </c>
      <c r="C13362" s="7" t="s">
        <v>10</v>
      </c>
      <c r="D13362" s="7">
        <v>18519</v>
      </c>
      <c r="E13362" s="7" t="s">
        <v>23</v>
      </c>
      <c r="F13362" s="8" t="str">
        <f ca="1">IFERROR(__xludf.DUMMYFUNCTION("IF
(
C13363=""фізична особа""
,
VLOOKUP(D13363,IMPORTRANGE(""https://docs.google.com/spreadsheets/d/14Bd19lYaqBhU8_DElYkX7l4wRkHqqCUFNJY4AfY3kHU/edit?usp=sharing  #gid=0"",""фіз особи new!relations_name""),6,FALSE)
,
(IF
(
C13363=""юридична особа""
,
VLOO"&amp;"KUP(D13363,IMPORTRANGE(""https://docs.google.com/spreadsheets/d/14Bd19lYaqBhU8_DElYkX7l4wRkHqqCUFNJY4AfY3kHU/edit?usp=sharing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2" s="7" t="s">
        <v>10</v>
      </c>
      <c r="H13362" s="7">
        <v>18515</v>
      </c>
      <c r="I13362" s="8" t="str">
        <f ca="1">IFERROR(__xludf.DUMMYFUNCTION("IF
(
G13363=""фізична особа""
,
VLOOKUP(H13363,IMPORTRANGE(""https://docs.google.com/spreadsheets/d/14Bd19lYaqBhU8_DElYkX7l4wRkHqqCUFNJY4AfY3kHU/edit?usp=sharing  #gid=0"",""фіз особи new!relations_name""),6,FALSE)
,
(IF
(
G13363=""юридична особа""
,
VLOO"&amp;"KUP(H13363,IMPORTRANGE(""https://docs.google.com/spreadsheets/d/14Bd19lYaqBhU8_DElYkX7l4wRkHqqCUFNJY4AfY3kHU/edit?usp=sharing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62" s="7" t="s">
        <v>23</v>
      </c>
    </row>
    <row r="13363" spans="1:10" ht="13.2">
      <c r="A13363" s="7">
        <v>13362</v>
      </c>
      <c r="B13363" s="7">
        <v>1</v>
      </c>
      <c r="C13363" s="7" t="s">
        <v>10</v>
      </c>
      <c r="D13363" s="7">
        <v>18519</v>
      </c>
      <c r="E13363" s="7" t="s">
        <v>23</v>
      </c>
      <c r="F13363" s="8" t="str">
        <f ca="1">IFERROR(__xludf.DUMMYFUNCTION("IF
(
C13364=""фізична особа""
,
VLOOKUP(D13364,IMPORTRANGE(""https://docs.google.com/spreadsheets/d/14Bd19lYaqBhU8_DElYkX7l4wRkHqqCUFNJY4AfY3kHU/edit?usp=sharing  #gid=0"",""фіз особи new!relations_name""),6,FALSE)
,
(IF
(
C13364=""юридична особа""
,
VLOO"&amp;"KUP(D13364,IMPORTRANGE(""https://docs.google.com/spreadsheets/d/14Bd19lYaqBhU8_DElYkX7l4wRkHqqCUFNJY4AfY3kHU/edit?usp=sharing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3" s="7" t="s">
        <v>10</v>
      </c>
      <c r="H13363" s="7">
        <v>18516</v>
      </c>
      <c r="I13363" s="8" t="str">
        <f ca="1">IFERROR(__xludf.DUMMYFUNCTION("IF
(
G13364=""фізична особа""
,
VLOOKUP(H13364,IMPORTRANGE(""https://docs.google.com/spreadsheets/d/14Bd19lYaqBhU8_DElYkX7l4wRkHqqCUFNJY4AfY3kHU/edit?usp=sharing  #gid=0"",""фіз особи new!relations_name""),6,FALSE)
,
(IF
(
G13364=""юридична особа""
,
VLOO"&amp;"KUP(H13364,IMPORTRANGE(""https://docs.google.com/spreadsheets/d/14Bd19lYaqBhU8_DElYkX7l4wRkHqqCUFNJY4AfY3kHU/edit?usp=sharing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63" s="7" t="s">
        <v>23</v>
      </c>
    </row>
    <row r="13364" spans="1:10" ht="13.2">
      <c r="A13364" s="7">
        <v>13363</v>
      </c>
      <c r="B13364" s="7">
        <v>1</v>
      </c>
      <c r="C13364" s="7" t="s">
        <v>10</v>
      </c>
      <c r="D13364" s="7">
        <v>18519</v>
      </c>
      <c r="E13364" s="7" t="s">
        <v>23</v>
      </c>
      <c r="F13364" s="8" t="str">
        <f ca="1">IFERROR(__xludf.DUMMYFUNCTION("IF
(
C13365=""фізична особа""
,
VLOOKUP(D13365,IMPORTRANGE(""https://docs.google.com/spreadsheets/d/14Bd19lYaqBhU8_DElYkX7l4wRkHqqCUFNJY4AfY3kHU/edit?usp=sharing  #gid=0"",""фіз особи new!relations_name""),6,FALSE)
,
(IF
(
C13365=""юридична особа""
,
VLOO"&amp;"KUP(D13365,IMPORTRANGE(""https://docs.google.com/spreadsheets/d/14Bd19lYaqBhU8_DElYkX7l4wRkHqqCUFNJY4AfY3kHU/edit?usp=sharing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4" s="7" t="s">
        <v>10</v>
      </c>
      <c r="H13364" s="7">
        <v>18517</v>
      </c>
      <c r="I13364" s="8" t="str">
        <f ca="1">IFERROR(__xludf.DUMMYFUNCTION("IF
(
G13365=""фізична особа""
,
VLOOKUP(H13365,IMPORTRANGE(""https://docs.google.com/spreadsheets/d/14Bd19lYaqBhU8_DElYkX7l4wRkHqqCUFNJY4AfY3kHU/edit?usp=sharing  #gid=0"",""фіз особи new!relations_name""),6,FALSE)
,
(IF
(
G13365=""юридична особа""
,
VLOO"&amp;"KUP(H13365,IMPORTRANGE(""https://docs.google.com/spreadsheets/d/14Bd19lYaqBhU8_DElYkX7l4wRkHqqCUFNJY4AfY3kHU/edit?usp=sharing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364" s="7" t="s">
        <v>23</v>
      </c>
    </row>
    <row r="13365" spans="1:10" ht="13.2">
      <c r="A13365" s="7">
        <v>13364</v>
      </c>
      <c r="B13365" s="7">
        <v>1</v>
      </c>
      <c r="C13365" s="7" t="s">
        <v>10</v>
      </c>
      <c r="D13365" s="7">
        <v>18519</v>
      </c>
      <c r="E13365" s="7" t="s">
        <v>23</v>
      </c>
      <c r="F13365" s="8" t="str">
        <f ca="1">IFERROR(__xludf.DUMMYFUNCTION("IF
(
C13366=""фізична особа""
,
VLOOKUP(D13366,IMPORTRANGE(""https://docs.google.com/spreadsheets/d/14Bd19lYaqBhU8_DElYkX7l4wRkHqqCUFNJY4AfY3kHU/edit?usp=sharing  #gid=0"",""фіз особи new!relations_name""),6,FALSE)
,
(IF
(
C13366=""юридична особа""
,
VLOO"&amp;"KUP(D13366,IMPORTRANGE(""https://docs.google.com/spreadsheets/d/14Bd19lYaqBhU8_DElYkX7l4wRkHqqCUFNJY4AfY3kHU/edit?usp=sharing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G13365" s="7" t="s">
        <v>10</v>
      </c>
      <c r="H13365" s="7">
        <v>18518</v>
      </c>
      <c r="I13365" s="8" t="str">
        <f ca="1">IFERROR(__xludf.DUMMYFUNCTION("IF
(
G13366=""фізична особа""
,
VLOOKUP(H13366,IMPORTRANGE(""https://docs.google.com/spreadsheets/d/14Bd19lYaqBhU8_DElYkX7l4wRkHqqCUFNJY4AfY3kHU/edit?usp=sharing  #gid=0"",""фіз особи new!relations_name""),6,FALSE)
,
(IF
(
G13366=""юридична особа""
,
VLOO"&amp;"KUP(H13366,IMPORTRANGE(""https://docs.google.com/spreadsheets/d/14Bd19lYaqBhU8_DElYkX7l4wRkHqqCUFNJY4AfY3kHU/edit?usp=sharing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65" s="7" t="s">
        <v>23</v>
      </c>
    </row>
    <row r="13366" spans="1:10" ht="13.2">
      <c r="A13366" s="7">
        <v>13365</v>
      </c>
      <c r="B13366" s="7">
        <v>1</v>
      </c>
      <c r="C13366" s="7" t="s">
        <v>10</v>
      </c>
      <c r="D13366" s="7">
        <v>18520</v>
      </c>
      <c r="E13366" s="7" t="s">
        <v>23</v>
      </c>
      <c r="F13366" s="8" t="str">
        <f ca="1">IFERROR(__xludf.DUMMYFUNCTION("IF
(
C13367=""фізична особа""
,
VLOOKUP(D13367,IMPORTRANGE(""https://docs.google.com/spreadsheets/d/14Bd19lYaqBhU8_DElYkX7l4wRkHqqCUFNJY4AfY3kHU/edit?usp=sharing  #gid=0"",""фіз особи new!relations_name""),6,FALSE)
,
(IF
(
C13367=""юридична особа""
,
VLOO"&amp;"KUP(D13367,IMPORTRANGE(""https://docs.google.com/spreadsheets/d/14Bd19lYaqBhU8_DElYkX7l4wRkHqqCUFNJY4AfY3kHU/edit?usp=sharing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66" s="7" t="s">
        <v>10</v>
      </c>
      <c r="H13366" s="7">
        <v>18514</v>
      </c>
      <c r="I13366" s="8" t="str">
        <f ca="1">IFERROR(__xludf.DUMMYFUNCTION("IF
(
G13367=""фізична особа""
,
VLOOKUP(H13367,IMPORTRANGE(""https://docs.google.com/spreadsheets/d/14Bd19lYaqBhU8_DElYkX7l4wRkHqqCUFNJY4AfY3kHU/edit?usp=sharing  #gid=0"",""фіз особи new!relations_name""),6,FALSE)
,
(IF
(
G13367=""юридична особа""
,
VLOO"&amp;"KUP(H13367,IMPORTRANGE(""https://docs.google.com/spreadsheets/d/14Bd19lYaqBhU8_DElYkX7l4wRkHqqCUFNJY4AfY3kHU/edit?usp=sharing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66" s="7" t="s">
        <v>23</v>
      </c>
    </row>
    <row r="13367" spans="1:10" ht="13.2">
      <c r="A13367" s="7">
        <v>13366</v>
      </c>
      <c r="B13367" s="7">
        <v>1</v>
      </c>
      <c r="C13367" s="7" t="s">
        <v>10</v>
      </c>
      <c r="D13367" s="7">
        <v>18520</v>
      </c>
      <c r="E13367" s="7" t="s">
        <v>23</v>
      </c>
      <c r="F13367" s="8" t="str">
        <f ca="1">IFERROR(__xludf.DUMMYFUNCTION("IF
(
C13368=""фізична особа""
,
VLOOKUP(D13368,IMPORTRANGE(""https://docs.google.com/spreadsheets/d/14Bd19lYaqBhU8_DElYkX7l4wRkHqqCUFNJY4AfY3kHU/edit?usp=sharing  #gid=0"",""фіз особи new!relations_name""),6,FALSE)
,
(IF
(
C13368=""юридична особа""
,
VLOO"&amp;"KUP(D13368,IMPORTRANGE(""https://docs.google.com/spreadsheets/d/14Bd19lYaqBhU8_DElYkX7l4wRkHqqCUFNJY4AfY3kHU/edit?usp=sharing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67" s="7" t="s">
        <v>10</v>
      </c>
      <c r="H13367" s="7">
        <v>18515</v>
      </c>
      <c r="I13367" s="8" t="str">
        <f ca="1">IFERROR(__xludf.DUMMYFUNCTION("IF
(
G13368=""фізична особа""
,
VLOOKUP(H13368,IMPORTRANGE(""https://docs.google.com/spreadsheets/d/14Bd19lYaqBhU8_DElYkX7l4wRkHqqCUFNJY4AfY3kHU/edit?usp=sharing  #gid=0"",""фіз особи new!relations_name""),6,FALSE)
,
(IF
(
G13368=""юридична особа""
,
VLOO"&amp;"KUP(H13368,IMPORTRANGE(""https://docs.google.com/spreadsheets/d/14Bd19lYaqBhU8_DElYkX7l4wRkHqqCUFNJY4AfY3kHU/edit?usp=sharing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67" s="7" t="s">
        <v>23</v>
      </c>
    </row>
    <row r="13368" spans="1:10" ht="13.2">
      <c r="A13368" s="7">
        <v>13367</v>
      </c>
      <c r="B13368" s="7">
        <v>1</v>
      </c>
      <c r="C13368" s="7" t="s">
        <v>10</v>
      </c>
      <c r="D13368" s="7">
        <v>18520</v>
      </c>
      <c r="E13368" s="7" t="s">
        <v>23</v>
      </c>
      <c r="F13368" s="8" t="str">
        <f ca="1">IFERROR(__xludf.DUMMYFUNCTION("IF
(
C13369=""фізична особа""
,
VLOOKUP(D13369,IMPORTRANGE(""https://docs.google.com/spreadsheets/d/14Bd19lYaqBhU8_DElYkX7l4wRkHqqCUFNJY4AfY3kHU/edit?usp=sharing  #gid=0"",""фіз особи new!relations_name""),6,FALSE)
,
(IF
(
C13369=""юридична особа""
,
VLOO"&amp;"KUP(D13369,IMPORTRANGE(""https://docs.google.com/spreadsheets/d/14Bd19lYaqBhU8_DElYkX7l4wRkHqqCUFNJY4AfY3kHU/edit?usp=sharing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68" s="7" t="s">
        <v>10</v>
      </c>
      <c r="H13368" s="7">
        <v>18516</v>
      </c>
      <c r="I13368" s="8" t="str">
        <f ca="1">IFERROR(__xludf.DUMMYFUNCTION("IF
(
G13369=""фізична особа""
,
VLOOKUP(H13369,IMPORTRANGE(""https://docs.google.com/spreadsheets/d/14Bd19lYaqBhU8_DElYkX7l4wRkHqqCUFNJY4AfY3kHU/edit?usp=sharing  #gid=0"",""фіз особи new!relations_name""),6,FALSE)
,
(IF
(
G13369=""юридична особа""
,
VLOO"&amp;"KUP(H13369,IMPORTRANGE(""https://docs.google.com/spreadsheets/d/14Bd19lYaqBhU8_DElYkX7l4wRkHqqCUFNJY4AfY3kHU/edit?usp=sharing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68" s="7" t="s">
        <v>23</v>
      </c>
    </row>
    <row r="13369" spans="1:10" ht="13.2">
      <c r="A13369" s="7">
        <v>13368</v>
      </c>
      <c r="B13369" s="7">
        <v>1</v>
      </c>
      <c r="C13369" s="7" t="s">
        <v>10</v>
      </c>
      <c r="D13369" s="7">
        <v>18520</v>
      </c>
      <c r="E13369" s="7" t="s">
        <v>23</v>
      </c>
      <c r="F13369" s="8" t="str">
        <f ca="1">IFERROR(__xludf.DUMMYFUNCTION("IF
(
C13370=""фізична особа""
,
VLOOKUP(D13370,IMPORTRANGE(""https://docs.google.com/spreadsheets/d/14Bd19lYaqBhU8_DElYkX7l4wRkHqqCUFNJY4AfY3kHU/edit?usp=sharing  #gid=0"",""фіз особи new!relations_name""),6,FALSE)
,
(IF
(
C13370=""юридична особа""
,
VLOO"&amp;"KUP(D13370,IMPORTRANGE(""https://docs.google.com/spreadsheets/d/14Bd19lYaqBhU8_DElYkX7l4wRkHqqCUFNJY4AfY3kHU/edit?usp=sharing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69" s="7" t="s">
        <v>10</v>
      </c>
      <c r="H13369" s="7">
        <v>18517</v>
      </c>
      <c r="I13369" s="8" t="str">
        <f ca="1">IFERROR(__xludf.DUMMYFUNCTION("IF
(
G13370=""фізична особа""
,
VLOOKUP(H13370,IMPORTRANGE(""https://docs.google.com/spreadsheets/d/14Bd19lYaqBhU8_DElYkX7l4wRkHqqCUFNJY4AfY3kHU/edit?usp=sharing  #gid=0"",""фіз особи new!relations_name""),6,FALSE)
,
(IF
(
G13370=""юридична особа""
,
VLOO"&amp;"KUP(H13370,IMPORTRANGE(""https://docs.google.com/spreadsheets/d/14Bd19lYaqBhU8_DElYkX7l4wRkHqqCUFNJY4AfY3kHU/edit?usp=sharing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369" s="7" t="s">
        <v>23</v>
      </c>
    </row>
    <row r="13370" spans="1:10" ht="13.2">
      <c r="A13370" s="7">
        <v>13369</v>
      </c>
      <c r="B13370" s="7">
        <v>1</v>
      </c>
      <c r="C13370" s="7" t="s">
        <v>10</v>
      </c>
      <c r="D13370" s="7">
        <v>18520</v>
      </c>
      <c r="E13370" s="7" t="s">
        <v>23</v>
      </c>
      <c r="F13370" s="8" t="str">
        <f ca="1">IFERROR(__xludf.DUMMYFUNCTION("IF
(
C13371=""фізична особа""
,
VLOOKUP(D13371,IMPORTRANGE(""https://docs.google.com/spreadsheets/d/14Bd19lYaqBhU8_DElYkX7l4wRkHqqCUFNJY4AfY3kHU/edit?usp=sharing  #gid=0"",""фіз особи new!relations_name""),6,FALSE)
,
(IF
(
C13371=""юридична особа""
,
VLOO"&amp;"KUP(D13371,IMPORTRANGE(""https://docs.google.com/spreadsheets/d/14Bd19lYaqBhU8_DElYkX7l4wRkHqqCUFNJY4AfY3kHU/edit?usp=sharing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70" s="7" t="s">
        <v>10</v>
      </c>
      <c r="H13370" s="7">
        <v>18518</v>
      </c>
      <c r="I13370" s="8" t="str">
        <f ca="1">IFERROR(__xludf.DUMMYFUNCTION("IF
(
G13371=""фізична особа""
,
VLOOKUP(H13371,IMPORTRANGE(""https://docs.google.com/spreadsheets/d/14Bd19lYaqBhU8_DElYkX7l4wRkHqqCUFNJY4AfY3kHU/edit?usp=sharing  #gid=0"",""фіз особи new!relations_name""),6,FALSE)
,
(IF
(
G13371=""юридична особа""
,
VLOO"&amp;"KUP(H13371,IMPORTRANGE(""https://docs.google.com/spreadsheets/d/14Bd19lYaqBhU8_DElYkX7l4wRkHqqCUFNJY4AfY3kHU/edit?usp=sharing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70" s="7" t="s">
        <v>23</v>
      </c>
    </row>
    <row r="13371" spans="1:10" ht="13.2">
      <c r="A13371" s="7">
        <v>13370</v>
      </c>
      <c r="B13371" s="7">
        <v>1</v>
      </c>
      <c r="C13371" s="7" t="s">
        <v>10</v>
      </c>
      <c r="D13371" s="7">
        <v>18520</v>
      </c>
      <c r="E13371" s="7" t="s">
        <v>23</v>
      </c>
      <c r="F13371" s="8" t="str">
        <f ca="1">IFERROR(__xludf.DUMMYFUNCTION("IF
(
C13372=""фізична особа""
,
VLOOKUP(D13372,IMPORTRANGE(""https://docs.google.com/spreadsheets/d/14Bd19lYaqBhU8_DElYkX7l4wRkHqqCUFNJY4AfY3kHU/edit?usp=sharing  #gid=0"",""фіз особи new!relations_name""),6,FALSE)
,
(IF
(
C13372=""юридична особа""
,
VLOO"&amp;"KUP(D13372,IMPORTRANGE(""https://docs.google.com/spreadsheets/d/14Bd19lYaqBhU8_DElYkX7l4wRkHqqCUFNJY4AfY3kHU/edit?usp=sharing  #gid=0"",""фіз особи new!relations_name_uo""),7,FALSE)
,
)
))"),"РОМАНОВ Олександр Миколайович")</f>
        <v>РОМАНОВ Олександр Миколайович</v>
      </c>
      <c r="G13371" s="7" t="s">
        <v>10</v>
      </c>
      <c r="H13371" s="7">
        <v>18519</v>
      </c>
      <c r="I13371" s="8" t="str">
        <f ca="1">IFERROR(__xludf.DUMMYFUNCTION("IF
(
G13372=""фізична особа""
,
VLOOKUP(H13372,IMPORTRANGE(""https://docs.google.com/spreadsheets/d/14Bd19lYaqBhU8_DElYkX7l4wRkHqqCUFNJY4AfY3kHU/edit?usp=sharing  #gid=0"",""фіз особи new!relations_name""),6,FALSE)
,
(IF
(
G13372=""юридична особа""
,
VLOO"&amp;"KUP(H13372,IMPORTRANGE(""https://docs.google.com/spreadsheets/d/14Bd19lYaqBhU8_DElYkX7l4wRkHqqCUFNJY4AfY3kHU/edit?usp=sharing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71" s="7" t="s">
        <v>23</v>
      </c>
    </row>
    <row r="13372" spans="1:10" ht="13.2">
      <c r="A13372" s="7">
        <v>13371</v>
      </c>
      <c r="B13372" s="7">
        <v>1</v>
      </c>
      <c r="C13372" s="7" t="s">
        <v>10</v>
      </c>
      <c r="D13372" s="7">
        <v>18521</v>
      </c>
      <c r="E13372" s="7" t="s">
        <v>23</v>
      </c>
      <c r="F13372" s="8" t="str">
        <f ca="1">IFERROR(__xludf.DUMMYFUNCTION("IF
(
C13373=""фізична особа""
,
VLOOKUP(D13373,IMPORTRANGE(""https://docs.google.com/spreadsheets/d/14Bd19lYaqBhU8_DElYkX7l4wRkHqqCUFNJY4AfY3kHU/edit?usp=sharing  #gid=0"",""фіз особи new!relations_name""),6,FALSE)
,
(IF
(
C13373=""юридична особа""
,
VLOO"&amp;"KUP(D13373,IMPORTRANGE(""https://docs.google.com/spreadsheets/d/14Bd19lYaqBhU8_DElYkX7l4wRkHqqCUFNJY4AfY3kHU/edit?usp=sharing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2" s="7" t="s">
        <v>10</v>
      </c>
      <c r="H13372" s="7">
        <v>18514</v>
      </c>
      <c r="I13372" s="8" t="str">
        <f ca="1">IFERROR(__xludf.DUMMYFUNCTION("IF
(
G13373=""фізична особа""
,
VLOOKUP(H13373,IMPORTRANGE(""https://docs.google.com/spreadsheets/d/14Bd19lYaqBhU8_DElYkX7l4wRkHqqCUFNJY4AfY3kHU/edit?usp=sharing  #gid=0"",""фіз особи new!relations_name""),6,FALSE)
,
(IF
(
G13373=""юридична особа""
,
VLOO"&amp;"KUP(H13373,IMPORTRANGE(""https://docs.google.com/spreadsheets/d/14Bd19lYaqBhU8_DElYkX7l4wRkHqqCUFNJY4AfY3kHU/edit?usp=sharing  #gid=0"",""фіз особи new!relations_name_uo""),7,FALSE)
,
)
))"),"ЮРЧЕНКО Євгеній Валерійович")</f>
        <v>ЮРЧЕНКО Євгеній Валерійович</v>
      </c>
      <c r="J13372" s="7" t="s">
        <v>23</v>
      </c>
    </row>
    <row r="13373" spans="1:10" ht="13.2">
      <c r="A13373" s="7">
        <v>13372</v>
      </c>
      <c r="B13373" s="7">
        <v>1</v>
      </c>
      <c r="C13373" s="7" t="s">
        <v>10</v>
      </c>
      <c r="D13373" s="7">
        <v>18521</v>
      </c>
      <c r="E13373" s="7" t="s">
        <v>23</v>
      </c>
      <c r="F13373" s="8" t="str">
        <f ca="1">IFERROR(__xludf.DUMMYFUNCTION("IF
(
C13374=""фізична особа""
,
VLOOKUP(D13374,IMPORTRANGE(""https://docs.google.com/spreadsheets/d/14Bd19lYaqBhU8_DElYkX7l4wRkHqqCUFNJY4AfY3kHU/edit?usp=sharing  #gid=0"",""фіз особи new!relations_name""),6,FALSE)
,
(IF
(
C13374=""юридична особа""
,
VLOO"&amp;"KUP(D13374,IMPORTRANGE(""https://docs.google.com/spreadsheets/d/14Bd19lYaqBhU8_DElYkX7l4wRkHqqCUFNJY4AfY3kHU/edit?usp=sharing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3" s="7" t="s">
        <v>10</v>
      </c>
      <c r="H13373" s="7">
        <v>18515</v>
      </c>
      <c r="I13373" s="8" t="str">
        <f ca="1">IFERROR(__xludf.DUMMYFUNCTION("IF
(
G13374=""фізична особа""
,
VLOOKUP(H13374,IMPORTRANGE(""https://docs.google.com/spreadsheets/d/14Bd19lYaqBhU8_DElYkX7l4wRkHqqCUFNJY4AfY3kHU/edit?usp=sharing  #gid=0"",""фіз особи new!relations_name""),6,FALSE)
,
(IF
(
G13374=""юридична особа""
,
VLOO"&amp;"KUP(H13374,IMPORTRANGE(""https://docs.google.com/spreadsheets/d/14Bd19lYaqBhU8_DElYkX7l4wRkHqqCUFNJY4AfY3kHU/edit?usp=sharing  #gid=0"",""фіз особи new!relations_name_uo""),7,FALSE)
,
)
))"),"СКОРОВ Аркадій Анатолійович")</f>
        <v>СКОРОВ Аркадій Анатолійович</v>
      </c>
      <c r="J13373" s="7" t="s">
        <v>23</v>
      </c>
    </row>
    <row r="13374" spans="1:10" ht="13.2">
      <c r="A13374" s="7">
        <v>13373</v>
      </c>
      <c r="B13374" s="7">
        <v>1</v>
      </c>
      <c r="C13374" s="7" t="s">
        <v>10</v>
      </c>
      <c r="D13374" s="7">
        <v>18521</v>
      </c>
      <c r="E13374" s="7" t="s">
        <v>23</v>
      </c>
      <c r="F13374" s="8" t="str">
        <f ca="1">IFERROR(__xludf.DUMMYFUNCTION("IF
(
C13375=""фізична особа""
,
VLOOKUP(D13375,IMPORTRANGE(""https://docs.google.com/spreadsheets/d/14Bd19lYaqBhU8_DElYkX7l4wRkHqqCUFNJY4AfY3kHU/edit?usp=sharing  #gid=0"",""фіз особи new!relations_name""),6,FALSE)
,
(IF
(
C13375=""юридична особа""
,
VLOO"&amp;"KUP(D13375,IMPORTRANGE(""https://docs.google.com/spreadsheets/d/14Bd19lYaqBhU8_DElYkX7l4wRkHqqCUFNJY4AfY3kHU/edit?usp=sharing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4" s="7" t="s">
        <v>10</v>
      </c>
      <c r="H13374" s="7">
        <v>18516</v>
      </c>
      <c r="I13374" s="8" t="str">
        <f ca="1">IFERROR(__xludf.DUMMYFUNCTION("IF
(
G13375=""фізична особа""
,
VLOOKUP(H13375,IMPORTRANGE(""https://docs.google.com/spreadsheets/d/14Bd19lYaqBhU8_DElYkX7l4wRkHqqCUFNJY4AfY3kHU/edit?usp=sharing  #gid=0"",""фіз особи new!relations_name""),6,FALSE)
,
(IF
(
G13375=""юридична особа""
,
VLOO"&amp;"KUP(H13375,IMPORTRANGE(""https://docs.google.com/spreadsheets/d/14Bd19lYaqBhU8_DElYkX7l4wRkHqqCUFNJY4AfY3kHU/edit?usp=sharing  #gid=0"",""фіз особи new!relations_name_uo""),7,FALSE)
,
)
))"),"ХАЛІПАЄВА Мар'ям Гаджи-Магомедівна")</f>
        <v>ХАЛІПАЄВА Мар'ям Гаджи-Магомедівна</v>
      </c>
      <c r="J13374" s="7" t="s">
        <v>23</v>
      </c>
    </row>
    <row r="13375" spans="1:10" ht="13.2">
      <c r="A13375" s="7">
        <v>13374</v>
      </c>
      <c r="B13375" s="7">
        <v>1</v>
      </c>
      <c r="C13375" s="7" t="s">
        <v>10</v>
      </c>
      <c r="D13375" s="7">
        <v>18521</v>
      </c>
      <c r="E13375" s="7" t="s">
        <v>23</v>
      </c>
      <c r="F13375" s="8" t="str">
        <f ca="1">IFERROR(__xludf.DUMMYFUNCTION("IF
(
C13376=""фізична особа""
,
VLOOKUP(D13376,IMPORTRANGE(""https://docs.google.com/spreadsheets/d/14Bd19lYaqBhU8_DElYkX7l4wRkHqqCUFNJY4AfY3kHU/edit?usp=sharing  #gid=0"",""фіз особи new!relations_name""),6,FALSE)
,
(IF
(
C13376=""юридична особа""
,
VLOO"&amp;"KUP(D13376,IMPORTRANGE(""https://docs.google.com/spreadsheets/d/14Bd19lYaqBhU8_DElYkX7l4wRkHqqCUFNJY4AfY3kHU/edit?usp=sharing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5" s="7" t="s">
        <v>10</v>
      </c>
      <c r="H13375" s="7">
        <v>18517</v>
      </c>
      <c r="I13375" s="8" t="str">
        <f ca="1">IFERROR(__xludf.DUMMYFUNCTION("IF
(
G13376=""фізична особа""
,
VLOOKUP(H13376,IMPORTRANGE(""https://docs.google.com/spreadsheets/d/14Bd19lYaqBhU8_DElYkX7l4wRkHqqCUFNJY4AfY3kHU/edit?usp=sharing  #gid=0"",""фіз особи new!relations_name""),6,FALSE)
,
(IF
(
G13376=""юридична особа""
,
VLOO"&amp;"KUP(H13376,IMPORTRANGE(""https://docs.google.com/spreadsheets/d/14Bd19lYaqBhU8_DElYkX7l4wRkHqqCUFNJY4AfY3kHU/edit?usp=sharing  #gid=0"",""фіз особи new!relations_name_uo""),7,FALSE)
,
)
))"),"ЛЯЛЬКОВ Євгеній Аркадійович")</f>
        <v>ЛЯЛЬКОВ Євгеній Аркадійович</v>
      </c>
      <c r="J13375" s="7" t="s">
        <v>23</v>
      </c>
    </row>
    <row r="13376" spans="1:10" ht="13.2">
      <c r="A13376" s="7">
        <v>13375</v>
      </c>
      <c r="B13376" s="7">
        <v>1</v>
      </c>
      <c r="C13376" s="7" t="s">
        <v>10</v>
      </c>
      <c r="D13376" s="7">
        <v>18521</v>
      </c>
      <c r="E13376" s="7" t="s">
        <v>23</v>
      </c>
      <c r="F13376" s="8" t="str">
        <f ca="1">IFERROR(__xludf.DUMMYFUNCTION("IF
(
C13377=""фізична особа""
,
VLOOKUP(D13377,IMPORTRANGE(""https://docs.google.com/spreadsheets/d/14Bd19lYaqBhU8_DElYkX7l4wRkHqqCUFNJY4AfY3kHU/edit?usp=sharing  #gid=0"",""фіз особи new!relations_name""),6,FALSE)
,
(IF
(
C13377=""юридична особа""
,
VLOO"&amp;"KUP(D13377,IMPORTRANGE(""https://docs.google.com/spreadsheets/d/14Bd19lYaqBhU8_DElYkX7l4wRkHqqCUFNJY4AfY3kHU/edit?usp=sharing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6" s="7" t="s">
        <v>10</v>
      </c>
      <c r="H13376" s="7">
        <v>18518</v>
      </c>
      <c r="I13376" s="8" t="str">
        <f ca="1">IFERROR(__xludf.DUMMYFUNCTION("IF
(
G13377=""фізична особа""
,
VLOOKUP(H13377,IMPORTRANGE(""https://docs.google.com/spreadsheets/d/14Bd19lYaqBhU8_DElYkX7l4wRkHqqCUFNJY4AfY3kHU/edit?usp=sharing  #gid=0"",""фіз особи new!relations_name""),6,FALSE)
,
(IF
(
G13377=""юридична особа""
,
VLOO"&amp;"KUP(H13377,IMPORTRANGE(""https://docs.google.com/spreadsheets/d/14Bd19lYaqBhU8_DElYkX7l4wRkHqqCUFNJY4AfY3kHU/edit?usp=sharing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76" s="7" t="s">
        <v>23</v>
      </c>
    </row>
    <row r="13377" spans="1:10" ht="13.2">
      <c r="A13377" s="7">
        <v>13376</v>
      </c>
      <c r="B13377" s="7">
        <v>1</v>
      </c>
      <c r="C13377" s="7" t="s">
        <v>10</v>
      </c>
      <c r="D13377" s="7">
        <v>18521</v>
      </c>
      <c r="E13377" s="7" t="s">
        <v>23</v>
      </c>
      <c r="F13377" s="8" t="str">
        <f ca="1">IFERROR(__xludf.DUMMYFUNCTION("IF
(
C13378=""фізична особа""
,
VLOOKUP(D13378,IMPORTRANGE(""https://docs.google.com/spreadsheets/d/14Bd19lYaqBhU8_DElYkX7l4wRkHqqCUFNJY4AfY3kHU/edit?usp=sharing  #gid=0"",""фіз особи new!relations_name""),6,FALSE)
,
(IF
(
C13378=""юридична особа""
,
VLOO"&amp;"KUP(D13378,IMPORTRANGE(""https://docs.google.com/spreadsheets/d/14Bd19lYaqBhU8_DElYkX7l4wRkHqqCUFNJY4AfY3kHU/edit?usp=sharing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7" s="7" t="s">
        <v>10</v>
      </c>
      <c r="H13377" s="7">
        <v>18519</v>
      </c>
      <c r="I13377" s="8" t="str">
        <f ca="1">IFERROR(__xludf.DUMMYFUNCTION("IF
(
G13378=""фізична особа""
,
VLOOKUP(H13378,IMPORTRANGE(""https://docs.google.com/spreadsheets/d/14Bd19lYaqBhU8_DElYkX7l4wRkHqqCUFNJY4AfY3kHU/edit?usp=sharing  #gid=0"",""фіз особи new!relations_name""),6,FALSE)
,
(IF
(
G13378=""юридична особа""
,
VLOO"&amp;"KUP(H13378,IMPORTRANGE(""https://docs.google.com/spreadsheets/d/14Bd19lYaqBhU8_DElYkX7l4wRkHqqCUFNJY4AfY3kHU/edit?usp=sharing  #gid=0"",""фіз особи new!relations_name_uo""),7,FALSE)
,
)
))"),"БАРЗАЄВА Вікторія Олексіївна")</f>
        <v>БАРЗАЄВА Вікторія Олексіївна</v>
      </c>
      <c r="J13377" s="7" t="s">
        <v>23</v>
      </c>
    </row>
    <row r="13378" spans="1:10" ht="13.2">
      <c r="A13378" s="7">
        <v>13377</v>
      </c>
      <c r="B13378" s="7">
        <v>1</v>
      </c>
      <c r="C13378" s="7" t="s">
        <v>10</v>
      </c>
      <c r="D13378" s="7">
        <v>18521</v>
      </c>
      <c r="E13378" s="7" t="s">
        <v>23</v>
      </c>
      <c r="F13378" s="8" t="str">
        <f ca="1">IFERROR(__xludf.DUMMYFUNCTION("IF
(
C13379=""фізична особа""
,
VLOOKUP(D13379,IMPORTRANGE(""https://docs.google.com/spreadsheets/d/14Bd19lYaqBhU8_DElYkX7l4wRkHqqCUFNJY4AfY3kHU/edit?usp=sharing  #gid=0"",""фіз особи new!relations_name""),6,FALSE)
,
(IF
(
C13379=""юридична особа""
,
VLOO"&amp;"KUP(D13379,IMPORTRANGE(""https://docs.google.com/spreadsheets/d/14Bd19lYaqBhU8_DElYkX7l4wRkHqqCUFNJY4AfY3kHU/edit?usp=sharing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8" s="7" t="s">
        <v>10</v>
      </c>
      <c r="H13378" s="7">
        <v>0</v>
      </c>
      <c r="I13378" s="8" t="str">
        <f ca="1">IFERROR(__xludf.DUMMYFUNCTION("IF
(
G13379=""фізична особа""
,
VLOOKUP(H13379,IMPORTRANGE(""https://docs.google.com/spreadsheets/d/14Bd19lYaqBhU8_DElYkX7l4wRkHqqCUFNJY4AfY3kHU/edit?usp=sharing  #gid=0"",""фіз особи new!relations_name""),6,FALSE)
,
(IF
(
G13379=""юридична особа""
,
VLOO"&amp;"KUP(H13379,IMPORTRANGE(""https://docs.google.com/spreadsheets/d/14Bd19lYaqBhU8_DElYkX7l4wRkHqqCUFNJY4AfY3kHU/edit?usp=sharing  #gid=0"",""фіз особи new!relations_name_uo""),7,FALSE)
,
)
))"),"#N/A")</f>
        <v>#N/A</v>
      </c>
      <c r="J13378" s="7" t="s">
        <v>23</v>
      </c>
    </row>
    <row r="13379" spans="1:10" ht="13.2">
      <c r="A13379" s="7">
        <v>13378</v>
      </c>
      <c r="B13379" s="7">
        <v>1</v>
      </c>
      <c r="C13379" s="7" t="s">
        <v>10</v>
      </c>
      <c r="D13379" s="7">
        <v>18521</v>
      </c>
      <c r="E13379" s="7" t="s">
        <v>23</v>
      </c>
      <c r="F13379" s="8" t="str">
        <f ca="1">IFERROR(__xludf.DUMMYFUNCTION("IF
(
C13380=""фізична особа""
,
VLOOKUP(D13380,IMPORTRANGE(""https://docs.google.com/spreadsheets/d/14Bd19lYaqBhU8_DElYkX7l4wRkHqqCUFNJY4AfY3kHU/edit?usp=sharing  #gid=0"",""фіз особи new!relations_name""),6,FALSE)
,
(IF
(
C13380=""юридична особа""
,
VLOO"&amp;"KUP(D13380,IMPORTRANGE(""https://docs.google.com/spreadsheets/d/14Bd19lYaqBhU8_DElYkX7l4wRkHqqCUFNJY4AfY3kHU/edit?usp=sharing  #gid=0"",""фіз особи new!relations_name_uo""),7,FALSE)
,
)
))"),"СЕМЕНОВА Яніна Валеріївна")</f>
        <v>СЕМЕНОВА Яніна Валеріївна</v>
      </c>
      <c r="G13379" s="7" t="s">
        <v>10</v>
      </c>
      <c r="H13379" s="7">
        <v>0</v>
      </c>
      <c r="I13379" s="8" t="str">
        <f ca="1">IFERROR(__xludf.DUMMYFUNCTION("IF
(
G13380=""фізична особа""
,
VLOOKUP(H13380,IMPORTRANGE(""https://docs.google.com/spreadsheets/d/14Bd19lYaqBhU8_DElYkX7l4wRkHqqCUFNJY4AfY3kHU/edit?usp=sharing  #gid=0"",""фіз особи new!relations_name""),6,FALSE)
,
(IF
(
G13380=""юридична особа""
,
VLOO"&amp;"KUP(H13380,IMPORTRANGE(""https://docs.google.com/spreadsheets/d/14Bd19lYaqBhU8_DElYkX7l4wRkHqqCUFNJY4AfY3kHU/edit?usp=sharing  #gid=0"",""фіз особи new!relations_name_uo""),7,FALSE)
,
)
))"),"#N/A")</f>
        <v>#N/A</v>
      </c>
      <c r="J13379" s="7" t="s">
        <v>23</v>
      </c>
    </row>
    <row r="13380" spans="1:10" ht="13.2">
      <c r="A13380" s="7">
        <v>13379</v>
      </c>
      <c r="B13380" s="7">
        <v>1</v>
      </c>
      <c r="C13380" s="7" t="s">
        <v>10</v>
      </c>
      <c r="D13380" s="7">
        <v>18522</v>
      </c>
      <c r="E13380" s="7" t="s">
        <v>23</v>
      </c>
      <c r="F13380" s="8" t="str">
        <f ca="1">IFERROR(__xludf.DUMMYFUNCTION("IF
(
C13381=""фізична особа""
,
VLOOKUP(D13381,IMPORTRANGE(""https://docs.google.com/spreadsheets/d/14Bd19lYaqBhU8_DElYkX7l4wRkHqqCUFNJY4AfY3kHU/edit?usp=sharing  #gid=0"",""фіз особи new!relations_name""),6,FALSE)
,
(IF
(
C13381=""юридична особа""
,
VLOO"&amp;"KUP(D13381,IMPORTRANGE(""https://docs.google.com/spreadsheets/d/14Bd19lYaqBhU8_DElYkX7l4wRkHqqCUFNJY4AfY3kHU/edit?usp=sharing  #gid=0"",""фіз особи new!relations_name_uo""),7,FALSE)
,
)
))"),"СВІСТЕЛЬНИКОВА Вікторія Юріївна")</f>
        <v>СВІСТЕЛЬНИКОВА Вікторія Юріївна</v>
      </c>
      <c r="G13380" s="7" t="s">
        <v>10</v>
      </c>
      <c r="H13380" s="7">
        <v>18518</v>
      </c>
      <c r="I13380" s="8" t="str">
        <f ca="1">IFERROR(__xludf.DUMMYFUNCTION("IF
(
G13381=""фізична особа""
,
VLOOKUP(H13381,IMPORTRANGE(""https://docs.google.com/spreadsheets/d/14Bd19lYaqBhU8_DElYkX7l4wRkHqqCUFNJY4AfY3kHU/edit?usp=sharing  #gid=0"",""фіз особи new!relations_name""),6,FALSE)
,
(IF
(
G13381=""юридична особа""
,
VLOO"&amp;"KUP(H13381,IMPORTRANGE(""https://docs.google.com/spreadsheets/d/14Bd19lYaqBhU8_DElYkX7l4wRkHqqCUFNJY4AfY3kHU/edit?usp=sharing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80" s="7" t="s">
        <v>23</v>
      </c>
    </row>
    <row r="13381" spans="1:10" ht="13.2">
      <c r="A13381" s="7">
        <v>13380</v>
      </c>
      <c r="B13381" s="7">
        <v>1</v>
      </c>
      <c r="C13381" s="7" t="s">
        <v>10</v>
      </c>
      <c r="D13381" s="7">
        <v>18523</v>
      </c>
      <c r="E13381" s="7" t="s">
        <v>23</v>
      </c>
      <c r="F13381" s="8" t="str">
        <f ca="1">IFERROR(__xludf.DUMMYFUNCTION("IF
(
C13382=""фізична особа""
,
VLOOKUP(D13382,IMPORTRANGE(""https://docs.google.com/spreadsheets/d/14Bd19lYaqBhU8_DElYkX7l4wRkHqqCUFNJY4AfY3kHU/edit?usp=sharing  #gid=0"",""фіз особи new!relations_name""),6,FALSE)
,
(IF
(
C13382=""юридична особа""
,
VLOO"&amp;"KUP(D13382,IMPORTRANGE(""https://docs.google.com/spreadsheets/d/14Bd19lYaqBhU8_DElYkX7l4wRkHqqCUFNJY4AfY3kHU/edit?usp=sharing  #gid=0"",""фіз особи new!relations_name_uo""),7,FALSE)
,
)
))"),"КРАСЮКОВА Яна Сергіївна")</f>
        <v>КРАСЮКОВА Яна Сергіївна</v>
      </c>
      <c r="G13381" s="7" t="s">
        <v>10</v>
      </c>
      <c r="H13381" s="7">
        <v>18518</v>
      </c>
      <c r="I13381" s="8" t="str">
        <f ca="1">IFERROR(__xludf.DUMMYFUNCTION("IF
(
G13382=""фізична особа""
,
VLOOKUP(H13382,IMPORTRANGE(""https://docs.google.com/spreadsheets/d/14Bd19lYaqBhU8_DElYkX7l4wRkHqqCUFNJY4AfY3kHU/edit?usp=sharing  #gid=0"",""фіз особи new!relations_name""),6,FALSE)
,
(IF
(
G13382=""юридична особа""
,
VLOO"&amp;"KUP(H13382,IMPORTRANGE(""https://docs.google.com/spreadsheets/d/14Bd19lYaqBhU8_DElYkX7l4wRkHqqCUFNJY4AfY3kHU/edit?usp=sharing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81" s="7" t="s">
        <v>23</v>
      </c>
    </row>
    <row r="13382" spans="1:10" ht="13.2">
      <c r="A13382" s="7">
        <v>13381</v>
      </c>
      <c r="B13382" s="7">
        <v>1</v>
      </c>
      <c r="C13382" s="7" t="s">
        <v>10</v>
      </c>
      <c r="D13382" s="7">
        <v>18524</v>
      </c>
      <c r="E13382" s="7" t="s">
        <v>23</v>
      </c>
      <c r="F13382" s="8" t="str">
        <f ca="1">IFERROR(__xludf.DUMMYFUNCTION("IF
(
C13383=""фізична особа""
,
VLOOKUP(D13383,IMPORTRANGE(""https://docs.google.com/spreadsheets/d/14Bd19lYaqBhU8_DElYkX7l4wRkHqqCUFNJY4AfY3kHU/edit?usp=sharing  #gid=0"",""фіз особи new!relations_name""),6,FALSE)
,
(IF
(
C13383=""юридична особа""
,
VLOO"&amp;"KUP(D13383,IMPORTRANGE(""https://docs.google.com/spreadsheets/d/14Bd19lYaqBhU8_DElYkX7l4wRkHqqCUFNJY4AfY3kHU/edit?usp=sharing  #gid=0"",""фіз особи new!relations_name_uo""),7,FALSE)
,
)
))"),"ЗІНЧЕНКО Олена Анатоліївна")</f>
        <v>ЗІНЧЕНКО Олена Анатоліївна</v>
      </c>
      <c r="G13382" s="7" t="s">
        <v>10</v>
      </c>
      <c r="H13382" s="7">
        <v>18518</v>
      </c>
      <c r="I13382" s="8" t="str">
        <f ca="1">IFERROR(__xludf.DUMMYFUNCTION("IF
(
G13383=""фізична особа""
,
VLOOKUP(H13383,IMPORTRANGE(""https://docs.google.com/spreadsheets/d/14Bd19lYaqBhU8_DElYkX7l4wRkHqqCUFNJY4AfY3kHU/edit?usp=sharing  #gid=0"",""фіз особи new!relations_name""),6,FALSE)
,
(IF
(
G13383=""юридична особа""
,
VLOO"&amp;"KUP(H13383,IMPORTRANGE(""https://docs.google.com/spreadsheets/d/14Bd19lYaqBhU8_DElYkX7l4wRkHqqCUFNJY4AfY3kHU/edit?usp=sharing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82" s="7" t="s">
        <v>23</v>
      </c>
    </row>
    <row r="13383" spans="1:10" ht="13.2">
      <c r="A13383" s="7">
        <v>13382</v>
      </c>
      <c r="B13383" s="7">
        <v>1</v>
      </c>
      <c r="C13383" s="7" t="s">
        <v>10</v>
      </c>
      <c r="D13383" s="7">
        <v>18525</v>
      </c>
      <c r="E13383" s="7" t="s">
        <v>23</v>
      </c>
      <c r="F13383" s="8" t="str">
        <f ca="1">IFERROR(__xludf.DUMMYFUNCTION("IF
(
C13384=""фізична особа""
,
VLOOKUP(D13384,IMPORTRANGE(""https://docs.google.com/spreadsheets/d/14Bd19lYaqBhU8_DElYkX7l4wRkHqqCUFNJY4AfY3kHU/edit?usp=sharing  #gid=0"",""фіз особи new!relations_name""),6,FALSE)
,
(IF
(
C13384=""юридична особа""
,
VLOO"&amp;"KUP(D13384,IMPORTRANGE(""https://docs.google.com/spreadsheets/d/14Bd19lYaqBhU8_DElYkX7l4wRkHqqCUFNJY4AfY3kHU/edit?usp=sharing  #gid=0"",""фіз особи new!relations_name_uo""),7,FALSE)
,
)
))"),"ХОХЛОВА Аліна Євгеніївна")</f>
        <v>ХОХЛОВА Аліна Євгеніївна</v>
      </c>
      <c r="G13383" s="7" t="s">
        <v>10</v>
      </c>
      <c r="H13383" s="7">
        <v>18518</v>
      </c>
      <c r="I13383" s="8" t="str">
        <f ca="1">IFERROR(__xludf.DUMMYFUNCTION("IF
(
G13384=""фізична особа""
,
VLOOKUP(H13384,IMPORTRANGE(""https://docs.google.com/spreadsheets/d/14Bd19lYaqBhU8_DElYkX7l4wRkHqqCUFNJY4AfY3kHU/edit?usp=sharing  #gid=0"",""фіз особи new!relations_name""),6,FALSE)
,
(IF
(
G13384=""юридична особа""
,
VLOO"&amp;"KUP(H13384,IMPORTRANGE(""https://docs.google.com/spreadsheets/d/14Bd19lYaqBhU8_DElYkX7l4wRkHqqCUFNJY4AfY3kHU/edit?usp=sharing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83" s="7" t="s">
        <v>23</v>
      </c>
    </row>
    <row r="13384" spans="1:10" ht="13.2">
      <c r="A13384" s="7">
        <v>13383</v>
      </c>
      <c r="B13384" s="7">
        <v>1</v>
      </c>
      <c r="C13384" s="7" t="s">
        <v>10</v>
      </c>
      <c r="D13384" s="7">
        <v>18526</v>
      </c>
      <c r="E13384" s="7" t="s">
        <v>23</v>
      </c>
      <c r="F13384" s="8" t="str">
        <f ca="1">IFERROR(__xludf.DUMMYFUNCTION("IF
(
C13385=""фізична особа""
,
VLOOKUP(D13385,IMPORTRANGE(""https://docs.google.com/spreadsheets/d/14Bd19lYaqBhU8_DElYkX7l4wRkHqqCUFNJY4AfY3kHU/edit?usp=sharing  #gid=0"",""фіз особи new!relations_name""),6,FALSE)
,
(IF
(
C13385=""юридична особа""
,
VLOO"&amp;"KUP(D13385,IMPORTRANGE(""https://docs.google.com/spreadsheets/d/14Bd19lYaqBhU8_DElYkX7l4wRkHqqCUFNJY4AfY3kHU/edit?usp=sharing  #gid=0"",""фіз особи new!relations_name_uo""),7,FALSE)
,
)
))"),"ЛІСІЦИНА Олена Сергіївна")</f>
        <v>ЛІСІЦИНА Олена Сергіївна</v>
      </c>
      <c r="G13384" s="7" t="s">
        <v>10</v>
      </c>
      <c r="H13384" s="7">
        <v>18518</v>
      </c>
      <c r="I13384" s="8" t="str">
        <f ca="1">IFERROR(__xludf.DUMMYFUNCTION("IF
(
G13385=""фізична особа""
,
VLOOKUP(H13385,IMPORTRANGE(""https://docs.google.com/spreadsheets/d/14Bd19lYaqBhU8_DElYkX7l4wRkHqqCUFNJY4AfY3kHU/edit?usp=sharing  #gid=0"",""фіз особи new!relations_name""),6,FALSE)
,
(IF
(
G13385=""юридична особа""
,
VLOO"&amp;"KUP(H13385,IMPORTRANGE(""https://docs.google.com/spreadsheets/d/14Bd19lYaqBhU8_DElYkX7l4wRkHqqCUFNJY4AfY3kHU/edit?usp=sharing  #gid=0"",""фіз особи new!relations_name_uo""),7,FALSE)
,
)
))"),"ПРОХВАТІЛОВ Андрій Борисович")</f>
        <v>ПРОХВАТІЛОВ Андрій Борисович</v>
      </c>
      <c r="J13384" s="7" t="s">
        <v>23</v>
      </c>
    </row>
    <row r="13385" spans="1:10" ht="13.2">
      <c r="A13385" s="7">
        <v>13384</v>
      </c>
      <c r="B13385" s="7">
        <v>1</v>
      </c>
      <c r="C13385" s="7" t="s">
        <v>10</v>
      </c>
      <c r="D13385" s="7">
        <v>18527</v>
      </c>
      <c r="E13385" s="7" t="s">
        <v>23</v>
      </c>
      <c r="F13385" s="8" t="str">
        <f ca="1">IFERROR(__xludf.DUMMYFUNCTION("IF
(
C13386=""фізична особа""
,
VLOOKUP(D13386,IMPORTRANGE(""https://docs.google.com/spreadsheets/d/14Bd19lYaqBhU8_DElYkX7l4wRkHqqCUFNJY4AfY3kHU/edit?usp=sharing  #gid=0"",""фіз особи new!relations_name""),6,FALSE)
,
(IF
(
C13386=""юридична особа""
,
VLOO"&amp;"KUP(D13386,IMPORTRANGE(""https://docs.google.com/spreadsheets/d/14Bd19lYaqBhU8_DElYkX7l4wRkHqqCUFNJY4AfY3kHU/edit?usp=sharing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G13385" s="7" t="s">
        <v>10</v>
      </c>
      <c r="H13385" s="7">
        <v>18531</v>
      </c>
      <c r="I13385" s="8" t="str">
        <f ca="1">IFERROR(__xludf.DUMMYFUNCTION("IF
(
G13386=""фізична особа""
,
VLOOKUP(H13386,IMPORTRANGE(""https://docs.google.com/spreadsheets/d/14Bd19lYaqBhU8_DElYkX7l4wRkHqqCUFNJY4AfY3kHU/edit?usp=sharing  #gid=0"",""фіз особи new!relations_name""),6,FALSE)
,
(IF
(
G13386=""юридична особа""
,
VLOO"&amp;"KUP(H13386,IMPORTRANGE(""https://docs.google.com/spreadsheets/d/14Bd19lYaqBhU8_DElYkX7l4wRkHqqCUFNJY4AfY3kHU/edit?usp=sharing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J13385" s="7" t="s">
        <v>23</v>
      </c>
    </row>
    <row r="13386" spans="1:10" ht="13.2">
      <c r="A13386" s="7">
        <v>13385</v>
      </c>
      <c r="B13386" s="7">
        <v>1</v>
      </c>
      <c r="C13386" s="7" t="s">
        <v>10</v>
      </c>
      <c r="D13386" s="7">
        <v>18527</v>
      </c>
      <c r="E13386" s="7" t="s">
        <v>23</v>
      </c>
      <c r="F13386" s="8" t="str">
        <f ca="1">IFERROR(__xludf.DUMMYFUNCTION("IF
(
C13387=""фізична особа""
,
VLOOKUP(D13387,IMPORTRANGE(""https://docs.google.com/spreadsheets/d/14Bd19lYaqBhU8_DElYkX7l4wRkHqqCUFNJY4AfY3kHU/edit?usp=sharing  #gid=0"",""фіз особи new!relations_name""),6,FALSE)
,
(IF
(
C13387=""юридична особа""
,
VLOO"&amp;"KUP(D13387,IMPORTRANGE(""https://docs.google.com/spreadsheets/d/14Bd19lYaqBhU8_DElYkX7l4wRkHqqCUFNJY4AfY3kHU/edit?usp=sharing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G13386" s="7" t="s">
        <v>10</v>
      </c>
      <c r="H13386" s="7">
        <v>18529</v>
      </c>
      <c r="I13386" s="8" t="str">
        <f ca="1">IFERROR(__xludf.DUMMYFUNCTION("IF
(
G13387=""фізична особа""
,
VLOOKUP(H13387,IMPORTRANGE(""https://docs.google.com/spreadsheets/d/14Bd19lYaqBhU8_DElYkX7l4wRkHqqCUFNJY4AfY3kHU/edit?usp=sharing  #gid=0"",""фіз особи new!relations_name""),6,FALSE)
,
(IF
(
G13387=""юридична особа""
,
VLOO"&amp;"KUP(H13387,IMPORTRANGE(""https://docs.google.com/spreadsheets/d/14Bd19lYaqBhU8_DElYkX7l4wRkHqqCUFNJY4AfY3kHU/edit?usp=sharing  #gid=0"",""фіз особи new!relations_name_uo""),7,FALSE)
,
)
))"),"ПОЧЕКУЄВ Володимир Олександрович
")</f>
        <v xml:space="preserve">ПОЧЕКУЄВ Володимир Олександрович
</v>
      </c>
      <c r="J13386" s="7" t="s">
        <v>23</v>
      </c>
    </row>
    <row r="13387" spans="1:10" ht="13.2">
      <c r="A13387" s="7">
        <v>13386</v>
      </c>
      <c r="B13387" s="7">
        <v>1</v>
      </c>
      <c r="C13387" s="7" t="s">
        <v>10</v>
      </c>
      <c r="D13387" s="7">
        <v>18527</v>
      </c>
      <c r="E13387" s="7" t="s">
        <v>23</v>
      </c>
      <c r="F13387" s="8" t="str">
        <f ca="1">IFERROR(__xludf.DUMMYFUNCTION("IF
(
C13388=""фізична особа""
,
VLOOKUP(D13388,IMPORTRANGE(""https://docs.google.com/spreadsheets/d/14Bd19lYaqBhU8_DElYkX7l4wRkHqqCUFNJY4AfY3kHU/edit?usp=sharing  #gid=0"",""фіз особи new!relations_name""),6,FALSE)
,
(IF
(
C13388=""юридична особа""
,
VLOO"&amp;"KUP(D13388,IMPORTRANGE(""https://docs.google.com/spreadsheets/d/14Bd19lYaqBhU8_DElYkX7l4wRkHqqCUFNJY4AfY3kHU/edit?usp=sharing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G13387" s="7" t="s">
        <v>10</v>
      </c>
      <c r="H13387" s="7">
        <v>18528</v>
      </c>
      <c r="I13387" s="8" t="str">
        <f ca="1">IFERROR(__xludf.DUMMYFUNCTION("IF
(
G13388=""фізична особа""
,
VLOOKUP(H13388,IMPORTRANGE(""https://docs.google.com/spreadsheets/d/14Bd19lYaqBhU8_DElYkX7l4wRkHqqCUFNJY4AfY3kHU/edit?usp=sharing  #gid=0"",""фіз особи new!relations_name""),6,FALSE)
,
(IF
(
G13388=""юридична особа""
,
VLOO"&amp;"KUP(H13388,IMPORTRANGE(""https://docs.google.com/spreadsheets/d/14Bd19lYaqBhU8_DElYkX7l4wRkHqqCUFNJY4AfY3kHU/edit?usp=sharing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387" s="7" t="s">
        <v>23</v>
      </c>
    </row>
    <row r="13388" spans="1:10" ht="13.2">
      <c r="A13388" s="7">
        <v>13387</v>
      </c>
      <c r="B13388" s="7">
        <v>1</v>
      </c>
      <c r="C13388" s="7" t="s">
        <v>10</v>
      </c>
      <c r="D13388" s="7">
        <v>18527</v>
      </c>
      <c r="E13388" s="7" t="s">
        <v>65</v>
      </c>
      <c r="F13388" s="8" t="str">
        <f ca="1">IFERROR(__xludf.DUMMYFUNCTION("IF
(
C13389=""фізична особа""
,
VLOOKUP(D13389,IMPORTRANGE(""https://docs.google.com/spreadsheets/d/14Bd19lYaqBhU8_DElYkX7l4wRkHqqCUFNJY4AfY3kHU/edit?usp=sharing  #gid=0"",""фіз особи new!relations_name""),6,FALSE)
,
(IF
(
C13389=""юридична особа""
,
VLOO"&amp;"KUP(D13389,IMPORTRANGE(""https://docs.google.com/spreadsheets/d/14Bd19lYaqBhU8_DElYkX7l4wRkHqqCUFNJY4AfY3kHU/edit?usp=sharing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G13388" s="7" t="s">
        <v>10</v>
      </c>
      <c r="H13388" s="7">
        <v>0</v>
      </c>
      <c r="I13388" s="8" t="str">
        <f ca="1">IFERROR(__xludf.DUMMYFUNCTION("IF
(
G13389=""фізична особа""
,
VLOOKUP(H13389,IMPORTRANGE(""https://docs.google.com/spreadsheets/d/14Bd19lYaqBhU8_DElYkX7l4wRkHqqCUFNJY4AfY3kHU/edit?usp=sharing  #gid=0"",""фіз особи new!relations_name""),6,FALSE)
,
(IF
(
G13389=""юридична особа""
,
VLOO"&amp;"KUP(H13389,IMPORTRANGE(""https://docs.google.com/spreadsheets/d/14Bd19lYaqBhU8_DElYkX7l4wRkHqqCUFNJY4AfY3kHU/edit?usp=sharing  #gid=0"",""фіз особи new!relations_name_uo""),7,FALSE)
,
)
))"),"#N/A")</f>
        <v>#N/A</v>
      </c>
      <c r="J13388" s="7" t="s">
        <v>65</v>
      </c>
    </row>
    <row r="13389" spans="1:10" ht="13.2">
      <c r="A13389" s="7">
        <v>13388</v>
      </c>
      <c r="B13389" s="7">
        <v>1</v>
      </c>
      <c r="C13389" s="7" t="s">
        <v>10</v>
      </c>
      <c r="D13389" s="7">
        <v>18527</v>
      </c>
      <c r="E13389" s="7" t="s">
        <v>65</v>
      </c>
      <c r="F13389" s="8" t="str">
        <f ca="1">IFERROR(__xludf.DUMMYFUNCTION("IF
(
C13390=""фізична особа""
,
VLOOKUP(D13390,IMPORTRANGE(""https://docs.google.com/spreadsheets/d/14Bd19lYaqBhU8_DElYkX7l4wRkHqqCUFNJY4AfY3kHU/edit?usp=sharing  #gid=0"",""фіз особи new!relations_name""),6,FALSE)
,
(IF
(
C13390=""юридична особа""
,
VLOO"&amp;"KUP(D13390,IMPORTRANGE(""https://docs.google.com/spreadsheets/d/14Bd19lYaqBhU8_DElYkX7l4wRkHqqCUFNJY4AfY3kHU/edit?usp=sharing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G13389" s="7" t="s">
        <v>10</v>
      </c>
      <c r="H13389" s="7">
        <v>0</v>
      </c>
      <c r="I13389" s="8" t="str">
        <f ca="1">IFERROR(__xludf.DUMMYFUNCTION("IF
(
G13390=""фізична особа""
,
VLOOKUP(H13390,IMPORTRANGE(""https://docs.google.com/spreadsheets/d/14Bd19lYaqBhU8_DElYkX7l4wRkHqqCUFNJY4AfY3kHU/edit?usp=sharing  #gid=0"",""фіз особи new!relations_name""),6,FALSE)
,
(IF
(
G13390=""юридична особа""
,
VLOO"&amp;"KUP(H13390,IMPORTRANGE(""https://docs.google.com/spreadsheets/d/14Bd19lYaqBhU8_DElYkX7l4wRkHqqCUFNJY4AfY3kHU/edit?usp=sharing  #gid=0"",""фіз особи new!relations_name_uo""),7,FALSE)
,
)
))"),"#N/A")</f>
        <v>#N/A</v>
      </c>
      <c r="J13389" s="7" t="s">
        <v>65</v>
      </c>
    </row>
    <row r="13390" spans="1:10" ht="13.2">
      <c r="A13390" s="7">
        <v>13389</v>
      </c>
      <c r="B13390" s="7">
        <v>1</v>
      </c>
      <c r="C13390" s="7" t="s">
        <v>10</v>
      </c>
      <c r="D13390" s="7">
        <v>18528</v>
      </c>
      <c r="E13390" s="7" t="s">
        <v>23</v>
      </c>
      <c r="F13390" s="8" t="str">
        <f ca="1">IFERROR(__xludf.DUMMYFUNCTION("IF
(
C13391=""фізична особа""
,
VLOOKUP(D13391,IMPORTRANGE(""https://docs.google.com/spreadsheets/d/14Bd19lYaqBhU8_DElYkX7l4wRkHqqCUFNJY4AfY3kHU/edit?usp=sharing  #gid=0"",""фіз особи new!relations_name""),6,FALSE)
,
(IF
(
C13391=""юридична особа""
,
VLOO"&amp;"KUP(D13391,IMPORTRANGE(""https://docs.google.com/spreadsheets/d/14Bd19lYaqBhU8_DElYkX7l4wRkHqqCUFNJY4AfY3kHU/edit?usp=sharing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0" s="7" t="s">
        <v>10</v>
      </c>
      <c r="H13390" s="7">
        <v>0</v>
      </c>
      <c r="I13390" s="8" t="str">
        <f ca="1">IFERROR(__xludf.DUMMYFUNCTION("IF
(
G13391=""фізична особа""
,
VLOOKUP(H13391,IMPORTRANGE(""https://docs.google.com/spreadsheets/d/14Bd19lYaqBhU8_DElYkX7l4wRkHqqCUFNJY4AfY3kHU/edit?usp=sharing  #gid=0"",""фіз особи new!relations_name""),6,FALSE)
,
(IF
(
G13391=""юридична особа""
,
VLOO"&amp;"KUP(H13391,IMPORTRANGE(""https://docs.google.com/spreadsheets/d/14Bd19lYaqBhU8_DElYkX7l4wRkHqqCUFNJY4AfY3kHU/edit?usp=sharing  #gid=0"",""фіз особи new!relations_name_uo""),7,FALSE)
,
)
))"),"#N/A")</f>
        <v>#N/A</v>
      </c>
      <c r="J13390" s="7" t="s">
        <v>23</v>
      </c>
    </row>
    <row r="13391" spans="1:10" ht="13.2">
      <c r="A13391" s="7">
        <v>13390</v>
      </c>
      <c r="B13391" s="7">
        <v>1</v>
      </c>
      <c r="C13391" s="7" t="s">
        <v>10</v>
      </c>
      <c r="D13391" s="7">
        <v>18528</v>
      </c>
      <c r="E13391" s="7" t="s">
        <v>23</v>
      </c>
      <c r="F13391" s="8" t="str">
        <f ca="1">IFERROR(__xludf.DUMMYFUNCTION("IF
(
C13392=""фізична особа""
,
VLOOKUP(D13392,IMPORTRANGE(""https://docs.google.com/spreadsheets/d/14Bd19lYaqBhU8_DElYkX7l4wRkHqqCUFNJY4AfY3kHU/edit?usp=sharing  #gid=0"",""фіз особи new!relations_name""),6,FALSE)
,
(IF
(
C13392=""юридична особа""
,
VLOO"&amp;"KUP(D13392,IMPORTRANGE(""https://docs.google.com/spreadsheets/d/14Bd19lYaqBhU8_DElYkX7l4wRkHqqCUFNJY4AfY3kHU/edit?usp=sharing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1" s="7" t="s">
        <v>10</v>
      </c>
      <c r="H13391" s="7">
        <v>0</v>
      </c>
      <c r="I13391" s="8" t="str">
        <f ca="1">IFERROR(__xludf.DUMMYFUNCTION("IF
(
G13392=""фізична особа""
,
VLOOKUP(H13392,IMPORTRANGE(""https://docs.google.com/spreadsheets/d/14Bd19lYaqBhU8_DElYkX7l4wRkHqqCUFNJY4AfY3kHU/edit?usp=sharing  #gid=0"",""фіз особи new!relations_name""),6,FALSE)
,
(IF
(
G13392=""юридична особа""
,
VLOO"&amp;"KUP(H13392,IMPORTRANGE(""https://docs.google.com/spreadsheets/d/14Bd19lYaqBhU8_DElYkX7l4wRkHqqCUFNJY4AfY3kHU/edit?usp=sharing  #gid=0"",""фіз особи new!relations_name_uo""),7,FALSE)
,
)
))"),"#N/A")</f>
        <v>#N/A</v>
      </c>
      <c r="J13391" s="7" t="s">
        <v>23</v>
      </c>
    </row>
    <row r="13392" spans="1:10" ht="13.2">
      <c r="A13392" s="7">
        <v>13391</v>
      </c>
      <c r="B13392" s="7">
        <v>1</v>
      </c>
      <c r="C13392" s="7" t="s">
        <v>10</v>
      </c>
      <c r="D13392" s="7">
        <v>18528</v>
      </c>
      <c r="E13392" s="7" t="s">
        <v>23</v>
      </c>
      <c r="F13392" s="8" t="str">
        <f ca="1">IFERROR(__xludf.DUMMYFUNCTION("IF
(
C13393=""фізична особа""
,
VLOOKUP(D13393,IMPORTRANGE(""https://docs.google.com/spreadsheets/d/14Bd19lYaqBhU8_DElYkX7l4wRkHqqCUFNJY4AfY3kHU/edit?usp=sharing  #gid=0"",""фіз особи new!relations_name""),6,FALSE)
,
(IF
(
C13393=""юридична особа""
,
VLOO"&amp;"KUP(D13393,IMPORTRANGE(""https://docs.google.com/spreadsheets/d/14Bd19lYaqBhU8_DElYkX7l4wRkHqqCUFNJY4AfY3kHU/edit?usp=sharing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2" s="7" t="s">
        <v>10</v>
      </c>
      <c r="H13392" s="7">
        <v>0</v>
      </c>
      <c r="I13392" s="8" t="str">
        <f ca="1">IFERROR(__xludf.DUMMYFUNCTION("IF
(
G13393=""фізична особа""
,
VLOOKUP(H13393,IMPORTRANGE(""https://docs.google.com/spreadsheets/d/14Bd19lYaqBhU8_DElYkX7l4wRkHqqCUFNJY4AfY3kHU/edit?usp=sharing  #gid=0"",""фіз особи new!relations_name""),6,FALSE)
,
(IF
(
G13393=""юридична особа""
,
VLOO"&amp;"KUP(H13393,IMPORTRANGE(""https://docs.google.com/spreadsheets/d/14Bd19lYaqBhU8_DElYkX7l4wRkHqqCUFNJY4AfY3kHU/edit?usp=sharing  #gid=0"",""фіз особи new!relations_name_uo""),7,FALSE)
,
)
))"),"#N/A")</f>
        <v>#N/A</v>
      </c>
      <c r="J13392" s="7" t="s">
        <v>23</v>
      </c>
    </row>
    <row r="13393" spans="1:10" ht="13.2">
      <c r="A13393" s="7">
        <v>13392</v>
      </c>
      <c r="B13393" s="7">
        <v>1</v>
      </c>
      <c r="C13393" s="7" t="s">
        <v>10</v>
      </c>
      <c r="D13393" s="7">
        <v>18528</v>
      </c>
      <c r="E13393" s="7" t="s">
        <v>23</v>
      </c>
      <c r="F13393" s="8" t="str">
        <f ca="1">IFERROR(__xludf.DUMMYFUNCTION("IF
(
C13394=""фізична особа""
,
VLOOKUP(D13394,IMPORTRANGE(""https://docs.google.com/spreadsheets/d/14Bd19lYaqBhU8_DElYkX7l4wRkHqqCUFNJY4AfY3kHU/edit?usp=sharing  #gid=0"",""фіз особи new!relations_name""),6,FALSE)
,
(IF
(
C13394=""юридична особа""
,
VLOO"&amp;"KUP(D13394,IMPORTRANGE(""https://docs.google.com/spreadsheets/d/14Bd19lYaqBhU8_DElYkX7l4wRkHqqCUFNJY4AfY3kHU/edit?usp=sharing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3" s="7" t="s">
        <v>10</v>
      </c>
      <c r="H13393" s="7">
        <v>18529</v>
      </c>
      <c r="I13393" s="8" t="str">
        <f ca="1">IFERROR(__xludf.DUMMYFUNCTION("IF
(
G13394=""фізична особа""
,
VLOOKUP(H13394,IMPORTRANGE(""https://docs.google.com/spreadsheets/d/14Bd19lYaqBhU8_DElYkX7l4wRkHqqCUFNJY4AfY3kHU/edit?usp=sharing  #gid=0"",""фіз особи new!relations_name""),6,FALSE)
,
(IF
(
G13394=""юридична особа""
,
VLOO"&amp;"KUP(H13394,IMPORTRANGE(""https://docs.google.com/spreadsheets/d/14Bd19lYaqBhU8_DElYkX7l4wRkHqqCUFNJY4AfY3kHU/edit?usp=sharing  #gid=0"",""фіз особи new!relations_name_uo""),7,FALSE)
,
)
))"),"ПОЧЕКУЄВ Володимир Олександрович
")</f>
        <v xml:space="preserve">ПОЧЕКУЄВ Володимир Олександрович
</v>
      </c>
      <c r="J13393" s="7" t="s">
        <v>23</v>
      </c>
    </row>
    <row r="13394" spans="1:10" ht="13.2">
      <c r="A13394" s="7">
        <v>13393</v>
      </c>
      <c r="B13394" s="7">
        <v>1</v>
      </c>
      <c r="C13394" s="7" t="s">
        <v>10</v>
      </c>
      <c r="D13394" s="7">
        <v>18528</v>
      </c>
      <c r="E13394" s="7" t="s">
        <v>23</v>
      </c>
      <c r="F13394" s="8" t="str">
        <f ca="1">IFERROR(__xludf.DUMMYFUNCTION("IF
(
C13395=""фізична особа""
,
VLOOKUP(D13395,IMPORTRANGE(""https://docs.google.com/spreadsheets/d/14Bd19lYaqBhU8_DElYkX7l4wRkHqqCUFNJY4AfY3kHU/edit?usp=sharing  #gid=0"",""фіз особи new!relations_name""),6,FALSE)
,
(IF
(
C13395=""юридична особа""
,
VLOO"&amp;"KUP(D13395,IMPORTRANGE(""https://docs.google.com/spreadsheets/d/14Bd19lYaqBhU8_DElYkX7l4wRkHqqCUFNJY4AfY3kHU/edit?usp=sharing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4" s="7" t="s">
        <v>10</v>
      </c>
      <c r="H13394" s="7">
        <v>0</v>
      </c>
      <c r="I13394" s="8" t="str">
        <f ca="1">IFERROR(__xludf.DUMMYFUNCTION("IF
(
G13395=""фізична особа""
,
VLOOKUP(H13395,IMPORTRANGE(""https://docs.google.com/spreadsheets/d/14Bd19lYaqBhU8_DElYkX7l4wRkHqqCUFNJY4AfY3kHU/edit?usp=sharing  #gid=0"",""фіз особи new!relations_name""),6,FALSE)
,
(IF
(
G13395=""юридична особа""
,
VLOO"&amp;"KUP(H13395,IMPORTRANGE(""https://docs.google.com/spreadsheets/d/14Bd19lYaqBhU8_DElYkX7l4wRkHqqCUFNJY4AfY3kHU/edit?usp=sharing  #gid=0"",""фіз особи new!relations_name_uo""),7,FALSE)
,
)
))"),"#N/A")</f>
        <v>#N/A</v>
      </c>
      <c r="J13394" s="7" t="s">
        <v>23</v>
      </c>
    </row>
    <row r="13395" spans="1:10" ht="13.2">
      <c r="A13395" s="7">
        <v>13394</v>
      </c>
      <c r="B13395" s="7">
        <v>1</v>
      </c>
      <c r="C13395" s="7" t="s">
        <v>10</v>
      </c>
      <c r="D13395" s="7">
        <v>18528</v>
      </c>
      <c r="E13395" s="7" t="s">
        <v>23</v>
      </c>
      <c r="F13395" s="8" t="str">
        <f ca="1">IFERROR(__xludf.DUMMYFUNCTION("IF
(
C13396=""фізична особа""
,
VLOOKUP(D13396,IMPORTRANGE(""https://docs.google.com/spreadsheets/d/14Bd19lYaqBhU8_DElYkX7l4wRkHqqCUFNJY4AfY3kHU/edit?usp=sharing  #gid=0"",""фіз особи new!relations_name""),6,FALSE)
,
(IF
(
C13396=""юридична особа""
,
VLOO"&amp;"KUP(D13396,IMPORTRANGE(""https://docs.google.com/spreadsheets/d/14Bd19lYaqBhU8_DElYkX7l4wRkHqqCUFNJY4AfY3kHU/edit?usp=sharing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5" s="7" t="s">
        <v>10</v>
      </c>
      <c r="H13395" s="7">
        <v>18527</v>
      </c>
      <c r="I13395" s="8" t="str">
        <f ca="1">IFERROR(__xludf.DUMMYFUNCTION("IF
(
G13396=""фізична особа""
,
VLOOKUP(H13396,IMPORTRANGE(""https://docs.google.com/spreadsheets/d/14Bd19lYaqBhU8_DElYkX7l4wRkHqqCUFNJY4AfY3kHU/edit?usp=sharing  #gid=0"",""фіз особи new!relations_name""),6,FALSE)
,
(IF
(
G13396=""юридична особа""
,
VLOO"&amp;"KUP(H13396,IMPORTRANGE(""https://docs.google.com/spreadsheets/d/14Bd19lYaqBhU8_DElYkX7l4wRkHqqCUFNJY4AfY3kHU/edit?usp=sharing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395" s="7" t="s">
        <v>23</v>
      </c>
    </row>
    <row r="13396" spans="1:10" ht="13.2">
      <c r="A13396" s="7">
        <v>13395</v>
      </c>
      <c r="B13396" s="7">
        <v>1</v>
      </c>
      <c r="C13396" s="7" t="s">
        <v>10</v>
      </c>
      <c r="D13396" s="7">
        <v>18528</v>
      </c>
      <c r="E13396" s="7" t="s">
        <v>14</v>
      </c>
      <c r="F13396" s="8" t="str">
        <f ca="1">IFERROR(__xludf.DUMMYFUNCTION("IF
(
C13397=""фізична особа""
,
VLOOKUP(D13397,IMPORTRANGE(""https://docs.google.com/spreadsheets/d/14Bd19lYaqBhU8_DElYkX7l4wRkHqqCUFNJY4AfY3kHU/edit?usp=sharing  #gid=0"",""фіз особи new!relations_name""),6,FALSE)
,
(IF
(
C13397=""юридична особа""
,
VLOO"&amp;"KUP(D13397,IMPORTRANGE(""https://docs.google.com/spreadsheets/d/14Bd19lYaqBhU8_DElYkX7l4wRkHqqCUFNJY4AfY3kHU/edit?usp=sharing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6" s="7" t="s">
        <v>10</v>
      </c>
      <c r="H13396" s="7">
        <v>0</v>
      </c>
      <c r="I13396" s="8" t="str">
        <f ca="1">IFERROR(__xludf.DUMMYFUNCTION("IF
(
G13397=""фізична особа""
,
VLOOKUP(H13397,IMPORTRANGE(""https://docs.google.com/spreadsheets/d/14Bd19lYaqBhU8_DElYkX7l4wRkHqqCUFNJY4AfY3kHU/edit?usp=sharing  #gid=0"",""фіз особи new!relations_name""),6,FALSE)
,
(IF
(
G13397=""юридична особа""
,
VLOO"&amp;"KUP(H13397,IMPORTRANGE(""https://docs.google.com/spreadsheets/d/14Bd19lYaqBhU8_DElYkX7l4wRkHqqCUFNJY4AfY3kHU/edit?usp=sharing  #gid=0"",""фіз особи new!relations_name_uo""),7,FALSE)
,
)
))"),"#N/A")</f>
        <v>#N/A</v>
      </c>
      <c r="J13396" s="7" t="s">
        <v>15</v>
      </c>
    </row>
    <row r="13397" spans="1:10" ht="13.2">
      <c r="A13397" s="7">
        <v>13396</v>
      </c>
      <c r="B13397" s="7">
        <v>1</v>
      </c>
      <c r="C13397" s="7" t="s">
        <v>10</v>
      </c>
      <c r="D13397" s="7">
        <v>18528</v>
      </c>
      <c r="E13397" s="7" t="s">
        <v>17</v>
      </c>
      <c r="F13397" s="8" t="str">
        <f ca="1">IFERROR(__xludf.DUMMYFUNCTION("IF
(
C13398=""фізична особа""
,
VLOOKUP(D13398,IMPORTRANGE(""https://docs.google.com/spreadsheets/d/14Bd19lYaqBhU8_DElYkX7l4wRkHqqCUFNJY4AfY3kHU/edit?usp=sharing  #gid=0"",""фіз особи new!relations_name""),6,FALSE)
,
(IF
(
C13398=""юридична особа""
,
VLOO"&amp;"KUP(D13398,IMPORTRANGE(""https://docs.google.com/spreadsheets/d/14Bd19lYaqBhU8_DElYkX7l4wRkHqqCUFNJY4AfY3kHU/edit?usp=sharing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7" s="7" t="s">
        <v>10</v>
      </c>
      <c r="H13397" s="7">
        <v>0</v>
      </c>
      <c r="I13397" s="8" t="str">
        <f ca="1">IFERROR(__xludf.DUMMYFUNCTION("IF
(
G13398=""фізична особа""
,
VLOOKUP(H13398,IMPORTRANGE(""https://docs.google.com/spreadsheets/d/14Bd19lYaqBhU8_DElYkX7l4wRkHqqCUFNJY4AfY3kHU/edit?usp=sharing  #gid=0"",""фіз особи new!relations_name""),6,FALSE)
,
(IF
(
G13398=""юридична особа""
,
VLOO"&amp;"KUP(H13398,IMPORTRANGE(""https://docs.google.com/spreadsheets/d/14Bd19lYaqBhU8_DElYkX7l4wRkHqqCUFNJY4AfY3kHU/edit?usp=sharing  #gid=0"",""фіз особи new!relations_name_uo""),7,FALSE)
,
)
))"),"#N/A")</f>
        <v>#N/A</v>
      </c>
      <c r="J13397" s="7" t="s">
        <v>21</v>
      </c>
    </row>
    <row r="13398" spans="1:10" ht="13.2">
      <c r="A13398" s="7">
        <v>13397</v>
      </c>
      <c r="B13398" s="7">
        <v>1</v>
      </c>
      <c r="C13398" s="7" t="s">
        <v>10</v>
      </c>
      <c r="D13398" s="7">
        <v>18528</v>
      </c>
      <c r="E13398" s="7" t="s">
        <v>26</v>
      </c>
      <c r="F13398" s="8" t="str">
        <f ca="1">IFERROR(__xludf.DUMMYFUNCTION("IF
(
C13399=""фізична особа""
,
VLOOKUP(D13399,IMPORTRANGE(""https://docs.google.com/spreadsheets/d/14Bd19lYaqBhU8_DElYkX7l4wRkHqqCUFNJY4AfY3kHU/edit?usp=sharing  #gid=0"",""фіз особи new!relations_name""),6,FALSE)
,
(IF
(
C13399=""юридична особа""
,
VLOO"&amp;"KUP(D13399,IMPORTRANGE(""https://docs.google.com/spreadsheets/d/14Bd19lYaqBhU8_DElYkX7l4wRkHqqCUFNJY4AfY3kHU/edit?usp=sharing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8" s="7" t="s">
        <v>10</v>
      </c>
      <c r="H13398" s="7">
        <v>0</v>
      </c>
      <c r="I13398" s="8" t="str">
        <f ca="1">IFERROR(__xludf.DUMMYFUNCTION("IF
(
G13399=""фізична особа""
,
VLOOKUP(H13399,IMPORTRANGE(""https://docs.google.com/spreadsheets/d/14Bd19lYaqBhU8_DElYkX7l4wRkHqqCUFNJY4AfY3kHU/edit?usp=sharing  #gid=0"",""фіз особи new!relations_name""),6,FALSE)
,
(IF
(
G13399=""юридична особа""
,
VLOO"&amp;"KUP(H13399,IMPORTRANGE(""https://docs.google.com/spreadsheets/d/14Bd19lYaqBhU8_DElYkX7l4wRkHqqCUFNJY4AfY3kHU/edit?usp=sharing  #gid=0"",""фіз особи new!relations_name_uo""),7,FALSE)
,
)
))"),"#N/A")</f>
        <v>#N/A</v>
      </c>
      <c r="J13398" s="7" t="s">
        <v>27</v>
      </c>
    </row>
    <row r="13399" spans="1:10" ht="13.2">
      <c r="A13399" s="7">
        <v>13398</v>
      </c>
      <c r="B13399" s="7">
        <v>1</v>
      </c>
      <c r="C13399" s="7" t="s">
        <v>10</v>
      </c>
      <c r="D13399" s="7">
        <v>18528</v>
      </c>
      <c r="E13399" s="7" t="s">
        <v>26</v>
      </c>
      <c r="F13399" s="8" t="str">
        <f ca="1">IFERROR(__xludf.DUMMYFUNCTION("IF
(
C13400=""фізична особа""
,
VLOOKUP(D13400,IMPORTRANGE(""https://docs.google.com/spreadsheets/d/14Bd19lYaqBhU8_DElYkX7l4wRkHqqCUFNJY4AfY3kHU/edit?usp=sharing  #gid=0"",""фіз особи new!relations_name""),6,FALSE)
,
(IF
(
C13400=""юридична особа""
,
VLOO"&amp;"KUP(D13400,IMPORTRANGE(""https://docs.google.com/spreadsheets/d/14Bd19lYaqBhU8_DElYkX7l4wRkHqqCUFNJY4AfY3kHU/edit?usp=sharing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399" s="7" t="s">
        <v>10</v>
      </c>
      <c r="H13399" s="7">
        <v>0</v>
      </c>
      <c r="I13399" s="8" t="str">
        <f ca="1">IFERROR(__xludf.DUMMYFUNCTION("IF
(
G13400=""фізична особа""
,
VLOOKUP(H13400,IMPORTRANGE(""https://docs.google.com/spreadsheets/d/14Bd19lYaqBhU8_DElYkX7l4wRkHqqCUFNJY4AfY3kHU/edit?usp=sharing  #gid=0"",""фіз особи new!relations_name""),6,FALSE)
,
(IF
(
G13400=""юридична особа""
,
VLOO"&amp;"KUP(H13400,IMPORTRANGE(""https://docs.google.com/spreadsheets/d/14Bd19lYaqBhU8_DElYkX7l4wRkHqqCUFNJY4AfY3kHU/edit?usp=sharing  #gid=0"",""фіз особи new!relations_name_uo""),7,FALSE)
,
)
))"),"#N/A")</f>
        <v>#N/A</v>
      </c>
      <c r="J13399" s="7" t="s">
        <v>24</v>
      </c>
    </row>
    <row r="13400" spans="1:10" ht="13.2">
      <c r="A13400" s="7">
        <v>13399</v>
      </c>
      <c r="B13400" s="7">
        <v>1</v>
      </c>
      <c r="C13400" s="7" t="s">
        <v>10</v>
      </c>
      <c r="D13400" s="7">
        <v>18528</v>
      </c>
      <c r="E13400" s="7" t="s">
        <v>12</v>
      </c>
      <c r="F13400" s="8" t="str">
        <f ca="1">IFERROR(__xludf.DUMMYFUNCTION("IF
(
C13401=""фізична особа""
,
VLOOKUP(D13401,IMPORTRANGE(""https://docs.google.com/spreadsheets/d/14Bd19lYaqBhU8_DElYkX7l4wRkHqqCUFNJY4AfY3kHU/edit?usp=sharing  #gid=0"",""фіз особи new!relations_name""),6,FALSE)
,
(IF
(
C13401=""юридична особа""
,
VLOO"&amp;"KUP(D13401,IMPORTRANGE(""https://docs.google.com/spreadsheets/d/14Bd19lYaqBhU8_DElYkX7l4wRkHqqCUFNJY4AfY3kHU/edit?usp=sharing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400" s="7" t="s">
        <v>10</v>
      </c>
      <c r="H13400" s="7">
        <v>0</v>
      </c>
      <c r="I13400" s="8" t="str">
        <f ca="1">IFERROR(__xludf.DUMMYFUNCTION("IF
(
G13401=""фізична особа""
,
VLOOKUP(H13401,IMPORTRANGE(""https://docs.google.com/spreadsheets/d/14Bd19lYaqBhU8_DElYkX7l4wRkHqqCUFNJY4AfY3kHU/edit?usp=sharing  #gid=0"",""фіз особи new!relations_name""),6,FALSE)
,
(IF
(
G13401=""юридична особа""
,
VLOO"&amp;"KUP(H13401,IMPORTRANGE(""https://docs.google.com/spreadsheets/d/14Bd19lYaqBhU8_DElYkX7l4wRkHqqCUFNJY4AfY3kHU/edit?usp=sharing  #gid=0"",""фіз особи new!relations_name_uo""),7,FALSE)
,
)
))"),"#N/A")</f>
        <v>#N/A</v>
      </c>
      <c r="J13400" s="7" t="s">
        <v>13</v>
      </c>
    </row>
    <row r="13401" spans="1:10" ht="13.2">
      <c r="A13401" s="7">
        <v>13400</v>
      </c>
      <c r="B13401" s="7">
        <v>1</v>
      </c>
      <c r="C13401" s="7" t="s">
        <v>10</v>
      </c>
      <c r="D13401" s="7">
        <v>18528</v>
      </c>
      <c r="E13401" s="7" t="s">
        <v>12</v>
      </c>
      <c r="F13401" s="8" t="str">
        <f ca="1">IFERROR(__xludf.DUMMYFUNCTION("IF
(
C13402=""фізична особа""
,
VLOOKUP(D13402,IMPORTRANGE(""https://docs.google.com/spreadsheets/d/14Bd19lYaqBhU8_DElYkX7l4wRkHqqCUFNJY4AfY3kHU/edit?usp=sharing  #gid=0"",""фіз особи new!relations_name""),6,FALSE)
,
(IF
(
C13402=""юридична особа""
,
VLOO"&amp;"KUP(D13402,IMPORTRANGE(""https://docs.google.com/spreadsheets/d/14Bd19lYaqBhU8_DElYkX7l4wRkHqqCUFNJY4AfY3kHU/edit?usp=sharing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401" s="7" t="s">
        <v>10</v>
      </c>
      <c r="H13401" s="7">
        <v>0</v>
      </c>
      <c r="I13401" s="8" t="str">
        <f ca="1">IFERROR(__xludf.DUMMYFUNCTION("IF
(
G13402=""фізична особа""
,
VLOOKUP(H13402,IMPORTRANGE(""https://docs.google.com/spreadsheets/d/14Bd19lYaqBhU8_DElYkX7l4wRkHqqCUFNJY4AfY3kHU/edit?usp=sharing  #gid=0"",""фіз особи new!relations_name""),6,FALSE)
,
(IF
(
G13402=""юридична особа""
,
VLOO"&amp;"KUP(H13402,IMPORTRANGE(""https://docs.google.com/spreadsheets/d/14Bd19lYaqBhU8_DElYkX7l4wRkHqqCUFNJY4AfY3kHU/edit?usp=sharing  #gid=0"",""фіз особи new!relations_name_uo""),7,FALSE)
,
)
))"),"#N/A")</f>
        <v>#N/A</v>
      </c>
      <c r="J13401" s="7" t="s">
        <v>13</v>
      </c>
    </row>
    <row r="13402" spans="1:10" ht="13.2">
      <c r="A13402" s="7">
        <v>13401</v>
      </c>
      <c r="B13402" s="7">
        <v>1</v>
      </c>
      <c r="C13402" s="7" t="s">
        <v>10</v>
      </c>
      <c r="D13402" s="7">
        <v>18528</v>
      </c>
      <c r="E13402" s="7" t="s">
        <v>12</v>
      </c>
      <c r="F13402" s="8" t="str">
        <f ca="1">IFERROR(__xludf.DUMMYFUNCTION("IF
(
C13403=""фізична особа""
,
VLOOKUP(D13403,IMPORTRANGE(""https://docs.google.com/spreadsheets/d/14Bd19lYaqBhU8_DElYkX7l4wRkHqqCUFNJY4AfY3kHU/edit?usp=sharing  #gid=0"",""фіз особи new!relations_name""),6,FALSE)
,
(IF
(
C13403=""юридична особа""
,
VLOO"&amp;"KUP(D13403,IMPORTRANGE(""https://docs.google.com/spreadsheets/d/14Bd19lYaqBhU8_DElYkX7l4wRkHqqCUFNJY4AfY3kHU/edit?usp=sharing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402" s="7" t="s">
        <v>10</v>
      </c>
      <c r="H13402" s="7">
        <v>0</v>
      </c>
      <c r="I13402" s="8" t="str">
        <f ca="1">IFERROR(__xludf.DUMMYFUNCTION("IF
(
G13403=""фізична особа""
,
VLOOKUP(H13403,IMPORTRANGE(""https://docs.google.com/spreadsheets/d/14Bd19lYaqBhU8_DElYkX7l4wRkHqqCUFNJY4AfY3kHU/edit?usp=sharing  #gid=0"",""фіз особи new!relations_name""),6,FALSE)
,
(IF
(
G13403=""юридична особа""
,
VLOO"&amp;"KUP(H13403,IMPORTRANGE(""https://docs.google.com/spreadsheets/d/14Bd19lYaqBhU8_DElYkX7l4wRkHqqCUFNJY4AfY3kHU/edit?usp=sharing  #gid=0"",""фіз особи new!relations_name_uo""),7,FALSE)
,
)
))"),"#N/A")</f>
        <v>#N/A</v>
      </c>
      <c r="J13402" s="7" t="s">
        <v>17</v>
      </c>
    </row>
    <row r="13403" spans="1:10" ht="13.2">
      <c r="A13403" s="7">
        <v>13402</v>
      </c>
      <c r="B13403" s="7">
        <v>1</v>
      </c>
      <c r="C13403" s="7" t="s">
        <v>10</v>
      </c>
      <c r="D13403" s="7">
        <v>18528</v>
      </c>
      <c r="E13403" s="7" t="s">
        <v>12</v>
      </c>
      <c r="F13403" s="8" t="str">
        <f ca="1">IFERROR(__xludf.DUMMYFUNCTION("IF
(
C13404=""фізична особа""
,
VLOOKUP(D13404,IMPORTRANGE(""https://docs.google.com/spreadsheets/d/14Bd19lYaqBhU8_DElYkX7l4wRkHqqCUFNJY4AfY3kHU/edit?usp=sharing  #gid=0"",""фіз особи new!relations_name""),6,FALSE)
,
(IF
(
C13404=""юридична особа""
,
VLOO"&amp;"KUP(D13404,IMPORTRANGE(""https://docs.google.com/spreadsheets/d/14Bd19lYaqBhU8_DElYkX7l4wRkHqqCUFNJY4AfY3kHU/edit?usp=sharing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G13403" s="7" t="s">
        <v>10</v>
      </c>
      <c r="H13403" s="7">
        <v>0</v>
      </c>
      <c r="I13403" s="8" t="str">
        <f ca="1">IFERROR(__xludf.DUMMYFUNCTION("IF
(
G13404=""фізична особа""
,
VLOOKUP(H13404,IMPORTRANGE(""https://docs.google.com/spreadsheets/d/14Bd19lYaqBhU8_DElYkX7l4wRkHqqCUFNJY4AfY3kHU/edit?usp=sharing  #gid=0"",""фіз особи new!relations_name""),6,FALSE)
,
(IF
(
G13404=""юридична особа""
,
VLOO"&amp;"KUP(H13404,IMPORTRANGE(""https://docs.google.com/spreadsheets/d/14Bd19lYaqBhU8_DElYkX7l4wRkHqqCUFNJY4AfY3kHU/edit?usp=sharing  #gid=0"",""фіз особи new!relations_name_uo""),7,FALSE)
,
)
))"),"#N/A")</f>
        <v>#N/A</v>
      </c>
      <c r="J13403" s="7" t="s">
        <v>17</v>
      </c>
    </row>
    <row r="13404" spans="1:10" ht="13.2">
      <c r="A13404" s="7">
        <v>13403</v>
      </c>
      <c r="B13404" s="7">
        <v>1</v>
      </c>
      <c r="C13404" s="7" t="s">
        <v>10</v>
      </c>
      <c r="D13404" s="7">
        <v>18529</v>
      </c>
      <c r="E13404" s="7" t="s">
        <v>23</v>
      </c>
      <c r="F13404" s="8" t="str">
        <f ca="1">IFERROR(__xludf.DUMMYFUNCTION("IF
(
C13405=""фізична особа""
,
VLOOKUP(D13405,IMPORTRANGE(""https://docs.google.com/spreadsheets/d/14Bd19lYaqBhU8_DElYkX7l4wRkHqqCUFNJY4AfY3kHU/edit?usp=sharing  #gid=0"",""фіз особи new!relations_name""),6,FALSE)
,
(IF
(
C13405=""юридична особа""
,
VLOO"&amp;"KUP(D13405,IMPORTRANGE(""https://docs.google.com/spreadsheets/d/14Bd19lYaqBhU8_DElYkX7l4wRkHqqCUFNJY4AfY3kHU/edit?usp=sharing  #gid=0"",""фіз особи new!relations_name_uo""),7,FALSE)
,
)
))"),"ПОЧЕКУЄВ Володимир Олександрович
")</f>
        <v xml:space="preserve">ПОЧЕКУЄВ Володимир Олександрович
</v>
      </c>
      <c r="G13404" s="7" t="s">
        <v>10</v>
      </c>
      <c r="H13404" s="7">
        <v>18528</v>
      </c>
      <c r="I13404" s="8" t="str">
        <f ca="1">IFERROR(__xludf.DUMMYFUNCTION("IF
(
G13405=""фізична особа""
,
VLOOKUP(H13405,IMPORTRANGE(""https://docs.google.com/spreadsheets/d/14Bd19lYaqBhU8_DElYkX7l4wRkHqqCUFNJY4AfY3kHU/edit?usp=sharing  #gid=0"",""фіз особи new!relations_name""),6,FALSE)
,
(IF
(
G13405=""юридична особа""
,
VLOO"&amp;"KUP(H13405,IMPORTRANGE(""https://docs.google.com/spreadsheets/d/14Bd19lYaqBhU8_DElYkX7l4wRkHqqCUFNJY4AfY3kHU/edit?usp=sharing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404" s="7" t="s">
        <v>23</v>
      </c>
    </row>
    <row r="13405" spans="1:10" ht="13.2">
      <c r="A13405" s="7">
        <v>13404</v>
      </c>
      <c r="B13405" s="7">
        <v>1</v>
      </c>
      <c r="C13405" s="7" t="s">
        <v>10</v>
      </c>
      <c r="D13405" s="7">
        <v>18529</v>
      </c>
      <c r="E13405" s="7" t="s">
        <v>23</v>
      </c>
      <c r="F13405" s="8" t="str">
        <f ca="1">IFERROR(__xludf.DUMMYFUNCTION("IF
(
C13406=""фізична особа""
,
VLOOKUP(D13406,IMPORTRANGE(""https://docs.google.com/spreadsheets/d/14Bd19lYaqBhU8_DElYkX7l4wRkHqqCUFNJY4AfY3kHU/edit?usp=sharing  #gid=0"",""фіз особи new!relations_name""),6,FALSE)
,
(IF
(
C13406=""юридична особа""
,
VLOO"&amp;"KUP(D13406,IMPORTRANGE(""https://docs.google.com/spreadsheets/d/14Bd19lYaqBhU8_DElYkX7l4wRkHqqCUFNJY4AfY3kHU/edit?usp=sharing  #gid=0"",""фіз особи new!relations_name_uo""),7,FALSE)
,
)
))"),"ПОЧЕКУЄВ Володимир Олександрович
")</f>
        <v xml:space="preserve">ПОЧЕКУЄВ Володимир Олександрович
</v>
      </c>
      <c r="G13405" s="7" t="s">
        <v>10</v>
      </c>
      <c r="H13405" s="7">
        <v>18527</v>
      </c>
      <c r="I13405" s="8" t="str">
        <f ca="1">IFERROR(__xludf.DUMMYFUNCTION("IF
(
G13406=""фізична особа""
,
VLOOKUP(H13406,IMPORTRANGE(""https://docs.google.com/spreadsheets/d/14Bd19lYaqBhU8_DElYkX7l4wRkHqqCUFNJY4AfY3kHU/edit?usp=sharing  #gid=0"",""фіз особи new!relations_name""),6,FALSE)
,
(IF
(
G13406=""юридична особа""
,
VLOO"&amp;"KUP(H13406,IMPORTRANGE(""https://docs.google.com/spreadsheets/d/14Bd19lYaqBhU8_DElYkX7l4wRkHqqCUFNJY4AfY3kHU/edit?usp=sharing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05" s="7" t="s">
        <v>23</v>
      </c>
    </row>
    <row r="13406" spans="1:10" ht="13.2">
      <c r="A13406" s="7">
        <v>13405</v>
      </c>
      <c r="B13406" s="7">
        <v>1</v>
      </c>
      <c r="C13406" s="7" t="s">
        <v>10</v>
      </c>
      <c r="D13406" s="7">
        <v>18530</v>
      </c>
      <c r="E13406" s="7" t="s">
        <v>23</v>
      </c>
      <c r="F13406" s="8" t="str">
        <f ca="1">IFERROR(__xludf.DUMMYFUNCTION("IF
(
C13407=""фізична особа""
,
VLOOKUP(D13407,IMPORTRANGE(""https://docs.google.com/spreadsheets/d/14Bd19lYaqBhU8_DElYkX7l4wRkHqqCUFNJY4AfY3kHU/edit?usp=sharing  #gid=0"",""фіз особи new!relations_name""),6,FALSE)
,
(IF
(
C13407=""юридична особа""
,
VLOO"&amp;"KUP(D13407,IMPORTRANGE(""https://docs.google.com/spreadsheets/d/14Bd19lYaqBhU8_DElYkX7l4wRkHqqCUFNJY4AfY3kHU/edit?usp=sharing  #gid=0"",""фіз особи new!relations_name_uo""),7,FALSE)
,
)
))"),"ДЕРЮГІНА Тетяна Владиславівна")</f>
        <v>ДЕРЮГІНА Тетяна Владиславівна</v>
      </c>
      <c r="G13406" s="7" t="s">
        <v>10</v>
      </c>
      <c r="H13406" s="7">
        <v>18527</v>
      </c>
      <c r="I13406" s="8" t="str">
        <f ca="1">IFERROR(__xludf.DUMMYFUNCTION("IF
(
G13407=""фізична особа""
,
VLOOKUP(H13407,IMPORTRANGE(""https://docs.google.com/spreadsheets/d/14Bd19lYaqBhU8_DElYkX7l4wRkHqqCUFNJY4AfY3kHU/edit?usp=sharing  #gid=0"",""фіз особи new!relations_name""),6,FALSE)
,
(IF
(
G13407=""юридична особа""
,
VLOO"&amp;"KUP(H13407,IMPORTRANGE(""https://docs.google.com/spreadsheets/d/14Bd19lYaqBhU8_DElYkX7l4wRkHqqCUFNJY4AfY3kHU/edit?usp=sharing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06" s="7" t="s">
        <v>23</v>
      </c>
    </row>
    <row r="13407" spans="1:10" ht="13.2">
      <c r="A13407" s="7">
        <v>13406</v>
      </c>
      <c r="B13407" s="7">
        <v>1</v>
      </c>
      <c r="C13407" s="7" t="s">
        <v>10</v>
      </c>
      <c r="D13407" s="7">
        <v>18531</v>
      </c>
      <c r="E13407" s="7" t="s">
        <v>23</v>
      </c>
      <c r="F13407" s="8" t="str">
        <f ca="1">IFERROR(__xludf.DUMMYFUNCTION("IF
(
C13408=""фізична особа""
,
VLOOKUP(D13408,IMPORTRANGE(""https://docs.google.com/spreadsheets/d/14Bd19lYaqBhU8_DElYkX7l4wRkHqqCUFNJY4AfY3kHU/edit?usp=sharing  #gid=0"",""фіз особи new!relations_name""),6,FALSE)
,
(IF
(
C13408=""юридична особа""
,
VLOO"&amp;"KUP(D13408,IMPORTRANGE(""https://docs.google.com/spreadsheets/d/14Bd19lYaqBhU8_DElYkX7l4wRkHqqCUFNJY4AfY3kHU/edit?usp=sharing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07" s="7" t="s">
        <v>10</v>
      </c>
      <c r="H13407" s="7">
        <v>18528</v>
      </c>
      <c r="I13407" s="8" t="str">
        <f ca="1">IFERROR(__xludf.DUMMYFUNCTION("IF
(
G13408=""фізична особа""
,
VLOOKUP(H13408,IMPORTRANGE(""https://docs.google.com/spreadsheets/d/14Bd19lYaqBhU8_DElYkX7l4wRkHqqCUFNJY4AfY3kHU/edit?usp=sharing  #gid=0"",""фіз особи new!relations_name""),6,FALSE)
,
(IF
(
G13408=""юридична особа""
,
VLOO"&amp;"KUP(H13408,IMPORTRANGE(""https://docs.google.com/spreadsheets/d/14Bd19lYaqBhU8_DElYkX7l4wRkHqqCUFNJY4AfY3kHU/edit?usp=sharing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407" s="7" t="s">
        <v>23</v>
      </c>
    </row>
    <row r="13408" spans="1:10" ht="13.2">
      <c r="A13408" s="7">
        <v>13407</v>
      </c>
      <c r="B13408" s="7">
        <v>1</v>
      </c>
      <c r="C13408" s="7" t="s">
        <v>10</v>
      </c>
      <c r="D13408" s="7">
        <v>18531</v>
      </c>
      <c r="E13408" s="7" t="s">
        <v>23</v>
      </c>
      <c r="F13408" s="8" t="str">
        <f ca="1">IFERROR(__xludf.DUMMYFUNCTION("IF
(
C13409=""фізична особа""
,
VLOOKUP(D13409,IMPORTRANGE(""https://docs.google.com/spreadsheets/d/14Bd19lYaqBhU8_DElYkX7l4wRkHqqCUFNJY4AfY3kHU/edit?usp=sharing  #gid=0"",""фіз особи new!relations_name""),6,FALSE)
,
(IF
(
C13409=""юридична особа""
,
VLOO"&amp;"KUP(D13409,IMPORTRANGE(""https://docs.google.com/spreadsheets/d/14Bd19lYaqBhU8_DElYkX7l4wRkHqqCUFNJY4AfY3kHU/edit?usp=sharing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08" s="7" t="s">
        <v>10</v>
      </c>
      <c r="H13408" s="7">
        <v>18527</v>
      </c>
      <c r="I13408" s="8" t="str">
        <f ca="1">IFERROR(__xludf.DUMMYFUNCTION("IF
(
G13409=""фізична особа""
,
VLOOKUP(H13409,IMPORTRANGE(""https://docs.google.com/spreadsheets/d/14Bd19lYaqBhU8_DElYkX7l4wRkHqqCUFNJY4AfY3kHU/edit?usp=sharing  #gid=0"",""фіз особи new!relations_name""),6,FALSE)
,
(IF
(
G13409=""юридична особа""
,
VLOO"&amp;"KUP(H13409,IMPORTRANGE(""https://docs.google.com/spreadsheets/d/14Bd19lYaqBhU8_DElYkX7l4wRkHqqCUFNJY4AfY3kHU/edit?usp=sharing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08" s="7" t="s">
        <v>23</v>
      </c>
    </row>
    <row r="13409" spans="1:10" ht="13.2">
      <c r="A13409" s="7">
        <v>13408</v>
      </c>
      <c r="B13409" s="7">
        <v>1</v>
      </c>
      <c r="C13409" s="7" t="s">
        <v>10</v>
      </c>
      <c r="D13409" s="7">
        <v>18531</v>
      </c>
      <c r="E13409" s="7" t="s">
        <v>65</v>
      </c>
      <c r="F13409" s="8" t="str">
        <f ca="1">IFERROR(__xludf.DUMMYFUNCTION("IF
(
C13410=""фізична особа""
,
VLOOKUP(D13410,IMPORTRANGE(""https://docs.google.com/spreadsheets/d/14Bd19lYaqBhU8_DElYkX7l4wRkHqqCUFNJY4AfY3kHU/edit?usp=sharing  #gid=0"",""фіз особи new!relations_name""),6,FALSE)
,
(IF
(
C13410=""юридична особа""
,
VLOO"&amp;"KUP(D13410,IMPORTRANGE(""https://docs.google.com/spreadsheets/d/14Bd19lYaqBhU8_DElYkX7l4wRkHqqCUFNJY4AfY3kHU/edit?usp=sharing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09" s="7" t="s">
        <v>10</v>
      </c>
      <c r="H13409" s="7">
        <v>0</v>
      </c>
      <c r="I13409" s="8" t="str">
        <f ca="1">IFERROR(__xludf.DUMMYFUNCTION("IF
(
G13410=""фізична особа""
,
VLOOKUP(H13410,IMPORTRANGE(""https://docs.google.com/spreadsheets/d/14Bd19lYaqBhU8_DElYkX7l4wRkHqqCUFNJY4AfY3kHU/edit?usp=sharing  #gid=0"",""фіз особи new!relations_name""),6,FALSE)
,
(IF
(
G13410=""юридична особа""
,
VLOO"&amp;"KUP(H13410,IMPORTRANGE(""https://docs.google.com/spreadsheets/d/14Bd19lYaqBhU8_DElYkX7l4wRkHqqCUFNJY4AfY3kHU/edit?usp=sharing  #gid=0"",""фіз особи new!relations_name_uo""),7,FALSE)
,
)
))"),"#N/A")</f>
        <v>#N/A</v>
      </c>
      <c r="J13409" s="7" t="s">
        <v>65</v>
      </c>
    </row>
    <row r="13410" spans="1:10" ht="13.2">
      <c r="A13410" s="7">
        <v>13409</v>
      </c>
      <c r="B13410" s="7">
        <v>1</v>
      </c>
      <c r="C13410" s="7" t="s">
        <v>10</v>
      </c>
      <c r="D13410" s="7">
        <v>18531</v>
      </c>
      <c r="E13410" s="7" t="s">
        <v>65</v>
      </c>
      <c r="F13410" s="8" t="str">
        <f ca="1">IFERROR(__xludf.DUMMYFUNCTION("IF
(
C13411=""фізична особа""
,
VLOOKUP(D13411,IMPORTRANGE(""https://docs.google.com/spreadsheets/d/14Bd19lYaqBhU8_DElYkX7l4wRkHqqCUFNJY4AfY3kHU/edit?usp=sharing  #gid=0"",""фіз особи new!relations_name""),6,FALSE)
,
(IF
(
C13411=""юридична особа""
,
VLOO"&amp;"KUP(D13411,IMPORTRANGE(""https://docs.google.com/spreadsheets/d/14Bd19lYaqBhU8_DElYkX7l4wRkHqqCUFNJY4AfY3kHU/edit?usp=sharing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10" s="7" t="s">
        <v>10</v>
      </c>
      <c r="H13410" s="7">
        <v>0</v>
      </c>
      <c r="I13410" s="8" t="str">
        <f ca="1">IFERROR(__xludf.DUMMYFUNCTION("IF
(
G13411=""фізична особа""
,
VLOOKUP(H13411,IMPORTRANGE(""https://docs.google.com/spreadsheets/d/14Bd19lYaqBhU8_DElYkX7l4wRkHqqCUFNJY4AfY3kHU/edit?usp=sharing  #gid=0"",""фіз особи new!relations_name""),6,FALSE)
,
(IF
(
G13411=""юридична особа""
,
VLOO"&amp;"KUP(H13411,IMPORTRANGE(""https://docs.google.com/spreadsheets/d/14Bd19lYaqBhU8_DElYkX7l4wRkHqqCUFNJY4AfY3kHU/edit?usp=sharing  #gid=0"",""фіз особи new!relations_name_uo""),7,FALSE)
,
)
))"),"#N/A")</f>
        <v>#N/A</v>
      </c>
      <c r="J13410" s="7" t="s">
        <v>65</v>
      </c>
    </row>
    <row r="13411" spans="1:10" ht="13.2">
      <c r="A13411" s="7">
        <v>13410</v>
      </c>
      <c r="B13411" s="7">
        <v>1</v>
      </c>
      <c r="C13411" s="7" t="s">
        <v>10</v>
      </c>
      <c r="D13411" s="7">
        <v>18531</v>
      </c>
      <c r="E13411" s="7" t="s">
        <v>65</v>
      </c>
      <c r="F13411" s="8" t="str">
        <f ca="1">IFERROR(__xludf.DUMMYFUNCTION("IF
(
C13412=""фізична особа""
,
VLOOKUP(D13412,IMPORTRANGE(""https://docs.google.com/spreadsheets/d/14Bd19lYaqBhU8_DElYkX7l4wRkHqqCUFNJY4AfY3kHU/edit?usp=sharing  #gid=0"",""фіз особи new!relations_name""),6,FALSE)
,
(IF
(
C13412=""юридична особа""
,
VLOO"&amp;"KUP(D13412,IMPORTRANGE(""https://docs.google.com/spreadsheets/d/14Bd19lYaqBhU8_DElYkX7l4wRkHqqCUFNJY4AfY3kHU/edit?usp=sharing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11" s="7" t="s">
        <v>10</v>
      </c>
      <c r="H13411" s="7">
        <v>0</v>
      </c>
      <c r="I13411" s="8" t="str">
        <f ca="1">IFERROR(__xludf.DUMMYFUNCTION("IF
(
G13412=""фізична особа""
,
VLOOKUP(H13412,IMPORTRANGE(""https://docs.google.com/spreadsheets/d/14Bd19lYaqBhU8_DElYkX7l4wRkHqqCUFNJY4AfY3kHU/edit?usp=sharing  #gid=0"",""фіз особи new!relations_name""),6,FALSE)
,
(IF
(
G13412=""юридична особа""
,
VLOO"&amp;"KUP(H13412,IMPORTRANGE(""https://docs.google.com/spreadsheets/d/14Bd19lYaqBhU8_DElYkX7l4wRkHqqCUFNJY4AfY3kHU/edit?usp=sharing  #gid=0"",""фіз особи new!relations_name_uo""),7,FALSE)
,
)
))"),"#N/A")</f>
        <v>#N/A</v>
      </c>
      <c r="J13411" s="7" t="s">
        <v>65</v>
      </c>
    </row>
    <row r="13412" spans="1:10" ht="13.2">
      <c r="A13412" s="7">
        <v>13411</v>
      </c>
      <c r="B13412" s="7">
        <v>1</v>
      </c>
      <c r="C13412" s="7" t="s">
        <v>10</v>
      </c>
      <c r="D13412" s="7">
        <v>18531</v>
      </c>
      <c r="E13412" s="7" t="s">
        <v>65</v>
      </c>
      <c r="F13412" s="8" t="str">
        <f ca="1">IFERROR(__xludf.DUMMYFUNCTION("IF
(
C13413=""фізична особа""
,
VLOOKUP(D13413,IMPORTRANGE(""https://docs.google.com/spreadsheets/d/14Bd19lYaqBhU8_DElYkX7l4wRkHqqCUFNJY4AfY3kHU/edit?usp=sharing  #gid=0"",""фіз особи new!relations_name""),6,FALSE)
,
(IF
(
C13413=""юридична особа""
,
VLOO"&amp;"KUP(D13413,IMPORTRANGE(""https://docs.google.com/spreadsheets/d/14Bd19lYaqBhU8_DElYkX7l4wRkHqqCUFNJY4AfY3kHU/edit?usp=sharing  #gid=0"",""фіз особи new!relations_name_uo""),7,FALSE)
,
)
))"),"АСТАХОВА / АДАМОВА Євгенія Володимирівна")</f>
        <v>АСТАХОВА / АДАМОВА Євгенія Володимирівна</v>
      </c>
      <c r="G13412" s="7" t="s">
        <v>10</v>
      </c>
      <c r="H13412" s="7">
        <v>0</v>
      </c>
      <c r="I13412" s="8" t="str">
        <f ca="1">IFERROR(__xludf.DUMMYFUNCTION("IF
(
G13413=""фізична особа""
,
VLOOKUP(H13413,IMPORTRANGE(""https://docs.google.com/spreadsheets/d/14Bd19lYaqBhU8_DElYkX7l4wRkHqqCUFNJY4AfY3kHU/edit?usp=sharing  #gid=0"",""фіз особи new!relations_name""),6,FALSE)
,
(IF
(
G13413=""юридична особа""
,
VLOO"&amp;"KUP(H13413,IMPORTRANGE(""https://docs.google.com/spreadsheets/d/14Bd19lYaqBhU8_DElYkX7l4wRkHqqCUFNJY4AfY3kHU/edit?usp=sharing  #gid=0"",""фіз особи new!relations_name_uo""),7,FALSE)
,
)
))"),"#N/A")</f>
        <v>#N/A</v>
      </c>
      <c r="J13412" s="7" t="s">
        <v>65</v>
      </c>
    </row>
    <row r="13413" spans="1:10" ht="13.2">
      <c r="A13413" s="7">
        <v>13412</v>
      </c>
      <c r="B13413" s="7">
        <v>1</v>
      </c>
      <c r="C13413" s="7" t="s">
        <v>10</v>
      </c>
      <c r="D13413" s="7">
        <v>18532</v>
      </c>
      <c r="E13413" s="7" t="s">
        <v>23</v>
      </c>
      <c r="F13413" s="8" t="str">
        <f ca="1">IFERROR(__xludf.DUMMYFUNCTION("IF
(
C13414=""фізична особа""
,
VLOOKUP(D13414,IMPORTRANGE(""https://docs.google.com/spreadsheets/d/14Bd19lYaqBhU8_DElYkX7l4wRkHqqCUFNJY4AfY3kHU/edit?usp=sharing  #gid=0"",""фіз особи new!relations_name""),6,FALSE)
,
(IF
(
C13414=""юридична особа""
,
VLOO"&amp;"KUP(D13414,IMPORTRANGE(""https://docs.google.com/spreadsheets/d/14Bd19lYaqBhU8_DElYkX7l4wRkHqqCUFNJY4AfY3kHU/edit?usp=sharing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3" s="7" t="s">
        <v>10</v>
      </c>
      <c r="H13413" s="7">
        <v>18528</v>
      </c>
      <c r="I13413" s="8" t="str">
        <f ca="1">IFERROR(__xludf.DUMMYFUNCTION("IF
(
G13414=""фізична особа""
,
VLOOKUP(H13414,IMPORTRANGE(""https://docs.google.com/spreadsheets/d/14Bd19lYaqBhU8_DElYkX7l4wRkHqqCUFNJY4AfY3kHU/edit?usp=sharing  #gid=0"",""фіз особи new!relations_name""),6,FALSE)
,
(IF
(
G13414=""юридична особа""
,
VLOO"&amp;"KUP(H13414,IMPORTRANGE(""https://docs.google.com/spreadsheets/d/14Bd19lYaqBhU8_DElYkX7l4wRkHqqCUFNJY4AfY3kHU/edit?usp=sharing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413" s="7" t="s">
        <v>23</v>
      </c>
    </row>
    <row r="13414" spans="1:10" ht="13.2">
      <c r="A13414" s="7">
        <v>13413</v>
      </c>
      <c r="B13414" s="7">
        <v>1</v>
      </c>
      <c r="C13414" s="7" t="s">
        <v>10</v>
      </c>
      <c r="D13414" s="7">
        <v>18532</v>
      </c>
      <c r="E13414" s="7" t="s">
        <v>23</v>
      </c>
      <c r="F13414" s="8" t="str">
        <f ca="1">IFERROR(__xludf.DUMMYFUNCTION("IF
(
C13415=""фізична особа""
,
VLOOKUP(D13415,IMPORTRANGE(""https://docs.google.com/spreadsheets/d/14Bd19lYaqBhU8_DElYkX7l4wRkHqqCUFNJY4AfY3kHU/edit?usp=sharing  #gid=0"",""фіз особи new!relations_name""),6,FALSE)
,
(IF
(
C13415=""юридична особа""
,
VLOO"&amp;"KUP(D13415,IMPORTRANGE(""https://docs.google.com/spreadsheets/d/14Bd19lYaqBhU8_DElYkX7l4wRkHqqCUFNJY4AfY3kHU/edit?usp=sharing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4" s="7" t="s">
        <v>10</v>
      </c>
      <c r="H13414" s="7">
        <v>18527</v>
      </c>
      <c r="I13414" s="8" t="str">
        <f ca="1">IFERROR(__xludf.DUMMYFUNCTION("IF
(
G13415=""фізична особа""
,
VLOOKUP(H13415,IMPORTRANGE(""https://docs.google.com/spreadsheets/d/14Bd19lYaqBhU8_DElYkX7l4wRkHqqCUFNJY4AfY3kHU/edit?usp=sharing  #gid=0"",""фіз особи new!relations_name""),6,FALSE)
,
(IF
(
G13415=""юридична особа""
,
VLOO"&amp;"KUP(H13415,IMPORTRANGE(""https://docs.google.com/spreadsheets/d/14Bd19lYaqBhU8_DElYkX7l4wRkHqqCUFNJY4AfY3kHU/edit?usp=sharing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14" s="7" t="s">
        <v>23</v>
      </c>
    </row>
    <row r="13415" spans="1:10" ht="13.2">
      <c r="A13415" s="7">
        <v>13414</v>
      </c>
      <c r="B13415" s="7">
        <v>1</v>
      </c>
      <c r="C13415" s="7" t="s">
        <v>10</v>
      </c>
      <c r="D13415" s="7">
        <v>18532</v>
      </c>
      <c r="E13415" s="7" t="s">
        <v>65</v>
      </c>
      <c r="F13415" s="8" t="str">
        <f ca="1">IFERROR(__xludf.DUMMYFUNCTION("IF
(
C13416=""фізична особа""
,
VLOOKUP(D13416,IMPORTRANGE(""https://docs.google.com/spreadsheets/d/14Bd19lYaqBhU8_DElYkX7l4wRkHqqCUFNJY4AfY3kHU/edit?usp=sharing  #gid=0"",""фіз особи new!relations_name""),6,FALSE)
,
(IF
(
C13416=""юридична особа""
,
VLOO"&amp;"KUP(D13416,IMPORTRANGE(""https://docs.google.com/spreadsheets/d/14Bd19lYaqBhU8_DElYkX7l4wRkHqqCUFNJY4AfY3kHU/edit?usp=sharing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5" s="7" t="s">
        <v>10</v>
      </c>
      <c r="H13415" s="7">
        <v>0</v>
      </c>
      <c r="I13415" s="8" t="str">
        <f ca="1">IFERROR(__xludf.DUMMYFUNCTION("IF
(
G13416=""фізична особа""
,
VLOOKUP(H13416,IMPORTRANGE(""https://docs.google.com/spreadsheets/d/14Bd19lYaqBhU8_DElYkX7l4wRkHqqCUFNJY4AfY3kHU/edit?usp=sharing  #gid=0"",""фіз особи new!relations_name""),6,FALSE)
,
(IF
(
G13416=""юридична особа""
,
VLOO"&amp;"KUP(H13416,IMPORTRANGE(""https://docs.google.com/spreadsheets/d/14Bd19lYaqBhU8_DElYkX7l4wRkHqqCUFNJY4AfY3kHU/edit?usp=sharing  #gid=0"",""фіз особи new!relations_name_uo""),7,FALSE)
,
)
))"),"#N/A")</f>
        <v>#N/A</v>
      </c>
      <c r="J13415" s="7" t="s">
        <v>65</v>
      </c>
    </row>
    <row r="13416" spans="1:10" ht="13.2">
      <c r="A13416" s="7">
        <v>13415</v>
      </c>
      <c r="B13416" s="7">
        <v>1</v>
      </c>
      <c r="C13416" s="7" t="s">
        <v>10</v>
      </c>
      <c r="D13416" s="7">
        <v>18532</v>
      </c>
      <c r="E13416" s="7" t="s">
        <v>65</v>
      </c>
      <c r="F13416" s="8" t="str">
        <f ca="1">IFERROR(__xludf.DUMMYFUNCTION("IF
(
C13417=""фізична особа""
,
VLOOKUP(D13417,IMPORTRANGE(""https://docs.google.com/spreadsheets/d/14Bd19lYaqBhU8_DElYkX7l4wRkHqqCUFNJY4AfY3kHU/edit?usp=sharing  #gid=0"",""фіз особи new!relations_name""),6,FALSE)
,
(IF
(
C13417=""юридична особа""
,
VLOO"&amp;"KUP(D13417,IMPORTRANGE(""https://docs.google.com/spreadsheets/d/14Bd19lYaqBhU8_DElYkX7l4wRkHqqCUFNJY4AfY3kHU/edit?usp=sharing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6" s="7" t="s">
        <v>10</v>
      </c>
      <c r="H13416" s="7">
        <v>0</v>
      </c>
      <c r="I13416" s="8" t="str">
        <f ca="1">IFERROR(__xludf.DUMMYFUNCTION("IF
(
G13417=""фізична особа""
,
VLOOKUP(H13417,IMPORTRANGE(""https://docs.google.com/spreadsheets/d/14Bd19lYaqBhU8_DElYkX7l4wRkHqqCUFNJY4AfY3kHU/edit?usp=sharing  #gid=0"",""фіз особи new!relations_name""),6,FALSE)
,
(IF
(
G13417=""юридична особа""
,
VLOO"&amp;"KUP(H13417,IMPORTRANGE(""https://docs.google.com/spreadsheets/d/14Bd19lYaqBhU8_DElYkX7l4wRkHqqCUFNJY4AfY3kHU/edit?usp=sharing  #gid=0"",""фіз особи new!relations_name_uo""),7,FALSE)
,
)
))"),"#N/A")</f>
        <v>#N/A</v>
      </c>
      <c r="J13416" s="7" t="s">
        <v>65</v>
      </c>
    </row>
    <row r="13417" spans="1:10" ht="13.2">
      <c r="A13417" s="7">
        <v>13416</v>
      </c>
      <c r="B13417" s="7">
        <v>1</v>
      </c>
      <c r="C13417" s="7" t="s">
        <v>10</v>
      </c>
      <c r="D13417" s="7">
        <v>18532</v>
      </c>
      <c r="E13417" s="7" t="s">
        <v>65</v>
      </c>
      <c r="F13417" s="8" t="str">
        <f ca="1">IFERROR(__xludf.DUMMYFUNCTION("IF
(
C13418=""фізична особа""
,
VLOOKUP(D13418,IMPORTRANGE(""https://docs.google.com/spreadsheets/d/14Bd19lYaqBhU8_DElYkX7l4wRkHqqCUFNJY4AfY3kHU/edit?usp=sharing  #gid=0"",""фіз особи new!relations_name""),6,FALSE)
,
(IF
(
C13418=""юридична особа""
,
VLOO"&amp;"KUP(D13418,IMPORTRANGE(""https://docs.google.com/spreadsheets/d/14Bd19lYaqBhU8_DElYkX7l4wRkHqqCUFNJY4AfY3kHU/edit?usp=sharing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7" s="7" t="s">
        <v>10</v>
      </c>
      <c r="H13417" s="7">
        <v>0</v>
      </c>
      <c r="I13417" s="8" t="str">
        <f ca="1">IFERROR(__xludf.DUMMYFUNCTION("IF
(
G13418=""фізична особа""
,
VLOOKUP(H13418,IMPORTRANGE(""https://docs.google.com/spreadsheets/d/14Bd19lYaqBhU8_DElYkX7l4wRkHqqCUFNJY4AfY3kHU/edit?usp=sharing  #gid=0"",""фіз особи new!relations_name""),6,FALSE)
,
(IF
(
G13418=""юридична особа""
,
VLOO"&amp;"KUP(H13418,IMPORTRANGE(""https://docs.google.com/spreadsheets/d/14Bd19lYaqBhU8_DElYkX7l4wRkHqqCUFNJY4AfY3kHU/edit?usp=sharing  #gid=0"",""фіз особи new!relations_name_uo""),7,FALSE)
,
)
))"),"#N/A")</f>
        <v>#N/A</v>
      </c>
      <c r="J13417" s="7" t="s">
        <v>65</v>
      </c>
    </row>
    <row r="13418" spans="1:10" ht="13.2">
      <c r="A13418" s="7">
        <v>13417</v>
      </c>
      <c r="B13418" s="7">
        <v>1</v>
      </c>
      <c r="C13418" s="7" t="s">
        <v>10</v>
      </c>
      <c r="D13418" s="7">
        <v>18532</v>
      </c>
      <c r="E13418" s="7" t="s">
        <v>65</v>
      </c>
      <c r="F13418" s="8" t="str">
        <f ca="1">IFERROR(__xludf.DUMMYFUNCTION("IF
(
C13419=""фізична особа""
,
VLOOKUP(D13419,IMPORTRANGE(""https://docs.google.com/spreadsheets/d/14Bd19lYaqBhU8_DElYkX7l4wRkHqqCUFNJY4AfY3kHU/edit?usp=sharing  #gid=0"",""фіз особи new!relations_name""),6,FALSE)
,
(IF
(
C13419=""юридична особа""
,
VLOO"&amp;"KUP(D13419,IMPORTRANGE(""https://docs.google.com/spreadsheets/d/14Bd19lYaqBhU8_DElYkX7l4wRkHqqCUFNJY4AfY3kHU/edit?usp=sharing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8" s="7" t="s">
        <v>10</v>
      </c>
      <c r="H13418" s="7">
        <v>0</v>
      </c>
      <c r="I13418" s="8" t="str">
        <f ca="1">IFERROR(__xludf.DUMMYFUNCTION("IF
(
G13419=""фізична особа""
,
VLOOKUP(H13419,IMPORTRANGE(""https://docs.google.com/spreadsheets/d/14Bd19lYaqBhU8_DElYkX7l4wRkHqqCUFNJY4AfY3kHU/edit?usp=sharing  #gid=0"",""фіз особи new!relations_name""),6,FALSE)
,
(IF
(
G13419=""юридична особа""
,
VLOO"&amp;"KUP(H13419,IMPORTRANGE(""https://docs.google.com/spreadsheets/d/14Bd19lYaqBhU8_DElYkX7l4wRkHqqCUFNJY4AfY3kHU/edit?usp=sharing  #gid=0"",""фіз особи new!relations_name_uo""),7,FALSE)
,
)
))"),"#N/A")</f>
        <v>#N/A</v>
      </c>
      <c r="J13418" s="7" t="s">
        <v>65</v>
      </c>
    </row>
    <row r="13419" spans="1:10" ht="13.2">
      <c r="A13419" s="7">
        <v>13418</v>
      </c>
      <c r="B13419" s="7">
        <v>1</v>
      </c>
      <c r="C13419" s="7" t="s">
        <v>10</v>
      </c>
      <c r="D13419" s="7">
        <v>18532</v>
      </c>
      <c r="E13419" s="7" t="s">
        <v>65</v>
      </c>
      <c r="F13419" s="8" t="str">
        <f ca="1">IFERROR(__xludf.DUMMYFUNCTION("IF
(
C13420=""фізична особа""
,
VLOOKUP(D13420,IMPORTRANGE(""https://docs.google.com/spreadsheets/d/14Bd19lYaqBhU8_DElYkX7l4wRkHqqCUFNJY4AfY3kHU/edit?usp=sharing  #gid=0"",""фіз особи new!relations_name""),6,FALSE)
,
(IF
(
C13420=""юридична особа""
,
VLOO"&amp;"KUP(D13420,IMPORTRANGE(""https://docs.google.com/spreadsheets/d/14Bd19lYaqBhU8_DElYkX7l4wRkHqqCUFNJY4AfY3kHU/edit?usp=sharing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19" s="7" t="s">
        <v>10</v>
      </c>
      <c r="H13419" s="7">
        <v>0</v>
      </c>
      <c r="I13419" s="8" t="str">
        <f ca="1">IFERROR(__xludf.DUMMYFUNCTION("IF
(
G13420=""фізична особа""
,
VLOOKUP(H13420,IMPORTRANGE(""https://docs.google.com/spreadsheets/d/14Bd19lYaqBhU8_DElYkX7l4wRkHqqCUFNJY4AfY3kHU/edit?usp=sharing  #gid=0"",""фіз особи new!relations_name""),6,FALSE)
,
(IF
(
G13420=""юридична особа""
,
VLOO"&amp;"KUP(H13420,IMPORTRANGE(""https://docs.google.com/spreadsheets/d/14Bd19lYaqBhU8_DElYkX7l4wRkHqqCUFNJY4AfY3kHU/edit?usp=sharing  #gid=0"",""фіз особи new!relations_name_uo""),7,FALSE)
,
)
))"),"#N/A")</f>
        <v>#N/A</v>
      </c>
      <c r="J13419" s="7" t="s">
        <v>65</v>
      </c>
    </row>
    <row r="13420" spans="1:10" ht="13.2">
      <c r="A13420" s="7">
        <v>13419</v>
      </c>
      <c r="B13420" s="7">
        <v>1</v>
      </c>
      <c r="C13420" s="7" t="s">
        <v>10</v>
      </c>
      <c r="D13420" s="7">
        <v>18532</v>
      </c>
      <c r="E13420" s="7" t="s">
        <v>65</v>
      </c>
      <c r="F13420" s="8" t="str">
        <f ca="1">IFERROR(__xludf.DUMMYFUNCTION("IF
(
C13421=""фізична особа""
,
VLOOKUP(D13421,IMPORTRANGE(""https://docs.google.com/spreadsheets/d/14Bd19lYaqBhU8_DElYkX7l4wRkHqqCUFNJY4AfY3kHU/edit?usp=sharing  #gid=0"",""фіз особи new!relations_name""),6,FALSE)
,
(IF
(
C13421=""юридична особа""
,
VLOO"&amp;"KUP(D13421,IMPORTRANGE(""https://docs.google.com/spreadsheets/d/14Bd19lYaqBhU8_DElYkX7l4wRkHqqCUFNJY4AfY3kHU/edit?usp=sharing  #gid=0"",""фіз особи new!relations_name_uo""),7,FALSE)
,
)
))"),"ТАШТІТОВ Аскар Болатович")</f>
        <v>ТАШТІТОВ Аскар Болатович</v>
      </c>
      <c r="G13420" s="7" t="s">
        <v>10</v>
      </c>
      <c r="H13420" s="7">
        <v>0</v>
      </c>
      <c r="I13420" s="8" t="str">
        <f ca="1">IFERROR(__xludf.DUMMYFUNCTION("IF
(
G13421=""фізична особа""
,
VLOOKUP(H13421,IMPORTRANGE(""https://docs.google.com/spreadsheets/d/14Bd19lYaqBhU8_DElYkX7l4wRkHqqCUFNJY4AfY3kHU/edit?usp=sharing  #gid=0"",""фіз особи new!relations_name""),6,FALSE)
,
(IF
(
G13421=""юридична особа""
,
VLOO"&amp;"KUP(H13421,IMPORTRANGE(""https://docs.google.com/spreadsheets/d/14Bd19lYaqBhU8_DElYkX7l4wRkHqqCUFNJY4AfY3kHU/edit?usp=sharing  #gid=0"",""фіз особи new!relations_name_uo""),7,FALSE)
,
)
))"),"#N/A")</f>
        <v>#N/A</v>
      </c>
      <c r="J13420" s="7" t="s">
        <v>65</v>
      </c>
    </row>
    <row r="13421" spans="1:10" ht="13.2">
      <c r="A13421" s="7">
        <v>13420</v>
      </c>
      <c r="B13421" s="7">
        <v>1</v>
      </c>
      <c r="C13421" s="7" t="s">
        <v>10</v>
      </c>
      <c r="D13421" s="7">
        <v>18533</v>
      </c>
      <c r="E13421" s="7" t="s">
        <v>23</v>
      </c>
      <c r="F13421" s="8" t="str">
        <f ca="1">IFERROR(__xludf.DUMMYFUNCTION("IF
(
C13422=""фізична особа""
,
VLOOKUP(D13422,IMPORTRANGE(""https://docs.google.com/spreadsheets/d/14Bd19lYaqBhU8_DElYkX7l4wRkHqqCUFNJY4AfY3kHU/edit?usp=sharing  #gid=0"",""фіз особи new!relations_name""),6,FALSE)
,
(IF
(
C13422=""юридична особа""
,
VLOO"&amp;"KUP(D13422,IMPORTRANGE(""https://docs.google.com/spreadsheets/d/14Bd19lYaqBhU8_DElYkX7l4wRkHqqCUFNJY4AfY3kHU/edit?usp=sharing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1" s="7" t="s">
        <v>10</v>
      </c>
      <c r="H13421" s="7">
        <v>18528</v>
      </c>
      <c r="I13421" s="8" t="str">
        <f ca="1">IFERROR(__xludf.DUMMYFUNCTION("IF
(
G13422=""фізична особа""
,
VLOOKUP(H13422,IMPORTRANGE(""https://docs.google.com/spreadsheets/d/14Bd19lYaqBhU8_DElYkX7l4wRkHqqCUFNJY4AfY3kHU/edit?usp=sharing  #gid=0"",""фіз особи new!relations_name""),6,FALSE)
,
(IF
(
G13422=""юридична особа""
,
VLOO"&amp;"KUP(H13422,IMPORTRANGE(""https://docs.google.com/spreadsheets/d/14Bd19lYaqBhU8_DElYkX7l4wRkHqqCUFNJY4AfY3kHU/edit?usp=sharing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421" s="7" t="s">
        <v>23</v>
      </c>
    </row>
    <row r="13422" spans="1:10" ht="13.2">
      <c r="A13422" s="7">
        <v>13421</v>
      </c>
      <c r="B13422" s="7">
        <v>1</v>
      </c>
      <c r="C13422" s="7" t="s">
        <v>10</v>
      </c>
      <c r="D13422" s="7">
        <v>18533</v>
      </c>
      <c r="E13422" s="7" t="s">
        <v>23</v>
      </c>
      <c r="F13422" s="8" t="str">
        <f ca="1">IFERROR(__xludf.DUMMYFUNCTION("IF
(
C13423=""фізична особа""
,
VLOOKUP(D13423,IMPORTRANGE(""https://docs.google.com/spreadsheets/d/14Bd19lYaqBhU8_DElYkX7l4wRkHqqCUFNJY4AfY3kHU/edit?usp=sharing  #gid=0"",""фіз особи new!relations_name""),6,FALSE)
,
(IF
(
C13423=""юридична особа""
,
VLOO"&amp;"KUP(D13423,IMPORTRANGE(""https://docs.google.com/spreadsheets/d/14Bd19lYaqBhU8_DElYkX7l4wRkHqqCUFNJY4AfY3kHU/edit?usp=sharing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2" s="7" t="s">
        <v>10</v>
      </c>
      <c r="H13422" s="7">
        <v>18527</v>
      </c>
      <c r="I13422" s="8" t="str">
        <f ca="1">IFERROR(__xludf.DUMMYFUNCTION("IF
(
G13423=""фізична особа""
,
VLOOKUP(H13423,IMPORTRANGE(""https://docs.google.com/spreadsheets/d/14Bd19lYaqBhU8_DElYkX7l4wRkHqqCUFNJY4AfY3kHU/edit?usp=sharing  #gid=0"",""фіз особи new!relations_name""),6,FALSE)
,
(IF
(
G13423=""юридична особа""
,
VLOO"&amp;"KUP(H13423,IMPORTRANGE(""https://docs.google.com/spreadsheets/d/14Bd19lYaqBhU8_DElYkX7l4wRkHqqCUFNJY4AfY3kHU/edit?usp=sharing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22" s="7" t="s">
        <v>23</v>
      </c>
    </row>
    <row r="13423" spans="1:10" ht="13.2">
      <c r="A13423" s="7">
        <v>13422</v>
      </c>
      <c r="B13423" s="7">
        <v>1</v>
      </c>
      <c r="C13423" s="7" t="s">
        <v>10</v>
      </c>
      <c r="D13423" s="7">
        <v>18533</v>
      </c>
      <c r="E13423" s="7" t="s">
        <v>65</v>
      </c>
      <c r="F13423" s="8" t="str">
        <f ca="1">IFERROR(__xludf.DUMMYFUNCTION("IF
(
C13424=""фізична особа""
,
VLOOKUP(D13424,IMPORTRANGE(""https://docs.google.com/spreadsheets/d/14Bd19lYaqBhU8_DElYkX7l4wRkHqqCUFNJY4AfY3kHU/edit?usp=sharing  #gid=0"",""фіз особи new!relations_name""),6,FALSE)
,
(IF
(
C13424=""юридична особа""
,
VLOO"&amp;"KUP(D13424,IMPORTRANGE(""https://docs.google.com/spreadsheets/d/14Bd19lYaqBhU8_DElYkX7l4wRkHqqCUFNJY4AfY3kHU/edit?usp=sharing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3" s="7" t="s">
        <v>10</v>
      </c>
      <c r="H13423" s="7">
        <v>0</v>
      </c>
      <c r="I13423" s="8" t="str">
        <f ca="1">IFERROR(__xludf.DUMMYFUNCTION("IF
(
G13424=""фізична особа""
,
VLOOKUP(H13424,IMPORTRANGE(""https://docs.google.com/spreadsheets/d/14Bd19lYaqBhU8_DElYkX7l4wRkHqqCUFNJY4AfY3kHU/edit?usp=sharing  #gid=0"",""фіз особи new!relations_name""),6,FALSE)
,
(IF
(
G13424=""юридична особа""
,
VLOO"&amp;"KUP(H13424,IMPORTRANGE(""https://docs.google.com/spreadsheets/d/14Bd19lYaqBhU8_DElYkX7l4wRkHqqCUFNJY4AfY3kHU/edit?usp=sharing  #gid=0"",""фіз особи new!relations_name_uo""),7,FALSE)
,
)
))"),"#N/A")</f>
        <v>#N/A</v>
      </c>
      <c r="J13423" s="7" t="s">
        <v>65</v>
      </c>
    </row>
    <row r="13424" spans="1:10" ht="13.2">
      <c r="A13424" s="7">
        <v>13423</v>
      </c>
      <c r="B13424" s="7">
        <v>1</v>
      </c>
      <c r="C13424" s="7" t="s">
        <v>10</v>
      </c>
      <c r="D13424" s="7">
        <v>18533</v>
      </c>
      <c r="E13424" s="7" t="s">
        <v>65</v>
      </c>
      <c r="F13424" s="8" t="str">
        <f ca="1">IFERROR(__xludf.DUMMYFUNCTION("IF
(
C13425=""фізична особа""
,
VLOOKUP(D13425,IMPORTRANGE(""https://docs.google.com/spreadsheets/d/14Bd19lYaqBhU8_DElYkX7l4wRkHqqCUFNJY4AfY3kHU/edit?usp=sharing  #gid=0"",""фіз особи new!relations_name""),6,FALSE)
,
(IF
(
C13425=""юридична особа""
,
VLOO"&amp;"KUP(D13425,IMPORTRANGE(""https://docs.google.com/spreadsheets/d/14Bd19lYaqBhU8_DElYkX7l4wRkHqqCUFNJY4AfY3kHU/edit?usp=sharing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4" s="7" t="s">
        <v>10</v>
      </c>
      <c r="H13424" s="7">
        <v>0</v>
      </c>
      <c r="I13424" s="8" t="str">
        <f ca="1">IFERROR(__xludf.DUMMYFUNCTION("IF
(
G13425=""фізична особа""
,
VLOOKUP(H13425,IMPORTRANGE(""https://docs.google.com/spreadsheets/d/14Bd19lYaqBhU8_DElYkX7l4wRkHqqCUFNJY4AfY3kHU/edit?usp=sharing  #gid=0"",""фіз особи new!relations_name""),6,FALSE)
,
(IF
(
G13425=""юридична особа""
,
VLOO"&amp;"KUP(H13425,IMPORTRANGE(""https://docs.google.com/spreadsheets/d/14Bd19lYaqBhU8_DElYkX7l4wRkHqqCUFNJY4AfY3kHU/edit?usp=sharing  #gid=0"",""фіз особи new!relations_name_uo""),7,FALSE)
,
)
))"),"#N/A")</f>
        <v>#N/A</v>
      </c>
      <c r="J13424" s="7" t="s">
        <v>65</v>
      </c>
    </row>
    <row r="13425" spans="1:10" ht="13.2">
      <c r="A13425" s="7">
        <v>13424</v>
      </c>
      <c r="B13425" s="7">
        <v>1</v>
      </c>
      <c r="C13425" s="7" t="s">
        <v>10</v>
      </c>
      <c r="D13425" s="7">
        <v>18533</v>
      </c>
      <c r="E13425" s="7" t="s">
        <v>65</v>
      </c>
      <c r="F13425" s="8" t="str">
        <f ca="1">IFERROR(__xludf.DUMMYFUNCTION("IF
(
C13426=""фізична особа""
,
VLOOKUP(D13426,IMPORTRANGE(""https://docs.google.com/spreadsheets/d/14Bd19lYaqBhU8_DElYkX7l4wRkHqqCUFNJY4AfY3kHU/edit?usp=sharing  #gid=0"",""фіз особи new!relations_name""),6,FALSE)
,
(IF
(
C13426=""юридична особа""
,
VLOO"&amp;"KUP(D13426,IMPORTRANGE(""https://docs.google.com/spreadsheets/d/14Bd19lYaqBhU8_DElYkX7l4wRkHqqCUFNJY4AfY3kHU/edit?usp=sharing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5" s="7" t="s">
        <v>10</v>
      </c>
      <c r="H13425" s="7">
        <v>0</v>
      </c>
      <c r="I13425" s="8" t="str">
        <f ca="1">IFERROR(__xludf.DUMMYFUNCTION("IF
(
G13426=""фізична особа""
,
VLOOKUP(H13426,IMPORTRANGE(""https://docs.google.com/spreadsheets/d/14Bd19lYaqBhU8_DElYkX7l4wRkHqqCUFNJY4AfY3kHU/edit?usp=sharing  #gid=0"",""фіз особи new!relations_name""),6,FALSE)
,
(IF
(
G13426=""юридична особа""
,
VLOO"&amp;"KUP(H13426,IMPORTRANGE(""https://docs.google.com/spreadsheets/d/14Bd19lYaqBhU8_DElYkX7l4wRkHqqCUFNJY4AfY3kHU/edit?usp=sharing  #gid=0"",""фіз особи new!relations_name_uo""),7,FALSE)
,
)
))"),"#N/A")</f>
        <v>#N/A</v>
      </c>
      <c r="J13425" s="7" t="s">
        <v>65</v>
      </c>
    </row>
    <row r="13426" spans="1:10" ht="13.2">
      <c r="A13426" s="7">
        <v>13425</v>
      </c>
      <c r="B13426" s="7">
        <v>1</v>
      </c>
      <c r="C13426" s="7" t="s">
        <v>10</v>
      </c>
      <c r="D13426" s="7">
        <v>18533</v>
      </c>
      <c r="E13426" s="7" t="s">
        <v>65</v>
      </c>
      <c r="F13426" s="8" t="str">
        <f ca="1">IFERROR(__xludf.DUMMYFUNCTION("IF
(
C13427=""фізична особа""
,
VLOOKUP(D13427,IMPORTRANGE(""https://docs.google.com/spreadsheets/d/14Bd19lYaqBhU8_DElYkX7l4wRkHqqCUFNJY4AfY3kHU/edit?usp=sharing  #gid=0"",""фіз особи new!relations_name""),6,FALSE)
,
(IF
(
C13427=""юридична особа""
,
VLOO"&amp;"KUP(D13427,IMPORTRANGE(""https://docs.google.com/spreadsheets/d/14Bd19lYaqBhU8_DElYkX7l4wRkHqqCUFNJY4AfY3kHU/edit?usp=sharing  #gid=0"",""фіз особи new!relations_name_uo""),7,FALSE)
,
)
))"),"ПОВАЛІШИН Максим Сергійович")</f>
        <v>ПОВАЛІШИН Максим Сергійович</v>
      </c>
      <c r="G13426" s="7" t="s">
        <v>10</v>
      </c>
      <c r="H13426" s="7">
        <v>0</v>
      </c>
      <c r="I13426" s="8" t="str">
        <f ca="1">IFERROR(__xludf.DUMMYFUNCTION("IF
(
G13427=""фізична особа""
,
VLOOKUP(H13427,IMPORTRANGE(""https://docs.google.com/spreadsheets/d/14Bd19lYaqBhU8_DElYkX7l4wRkHqqCUFNJY4AfY3kHU/edit?usp=sharing  #gid=0"",""фіз особи new!relations_name""),6,FALSE)
,
(IF
(
G13427=""юридична особа""
,
VLOO"&amp;"KUP(H13427,IMPORTRANGE(""https://docs.google.com/spreadsheets/d/14Bd19lYaqBhU8_DElYkX7l4wRkHqqCUFNJY4AfY3kHU/edit?usp=sharing  #gid=0"",""фіз особи new!relations_name_uo""),7,FALSE)
,
)
))"),"#N/A")</f>
        <v>#N/A</v>
      </c>
      <c r="J13426" s="7" t="s">
        <v>65</v>
      </c>
    </row>
    <row r="13427" spans="1:10" ht="13.2">
      <c r="A13427" s="7">
        <v>13426</v>
      </c>
      <c r="B13427" s="7">
        <v>1</v>
      </c>
      <c r="C13427" s="7" t="s">
        <v>10</v>
      </c>
      <c r="D13427" s="7">
        <v>18534</v>
      </c>
      <c r="E13427" s="7" t="s">
        <v>23</v>
      </c>
      <c r="F13427" s="8" t="str">
        <f ca="1">IFERROR(__xludf.DUMMYFUNCTION("IF
(
C13428=""фізична особа""
,
VLOOKUP(D13428,IMPORTRANGE(""https://docs.google.com/spreadsheets/d/14Bd19lYaqBhU8_DElYkX7l4wRkHqqCUFNJY4AfY3kHU/edit?usp=sharing  #gid=0"",""фіз особи new!relations_name""),6,FALSE)
,
(IF
(
C13428=""юридична особа""
,
VLOO"&amp;"KUP(D13428,IMPORTRANGE(""https://docs.google.com/spreadsheets/d/14Bd19lYaqBhU8_DElYkX7l4wRkHqqCUFNJY4AfY3kHU/edit?usp=sharing  #gid=0"",""фіз особи new!relations_name_uo""),7,FALSE)
,
)
))"),"ШАНДРІНА Ольга Леонідівна")</f>
        <v>ШАНДРІНА Ольга Леонідівна</v>
      </c>
      <c r="G13427" s="7" t="s">
        <v>10</v>
      </c>
      <c r="H13427" s="7">
        <v>18528</v>
      </c>
      <c r="I13427" s="8" t="str">
        <f ca="1">IFERROR(__xludf.DUMMYFUNCTION("IF
(
G13428=""фізична особа""
,
VLOOKUP(H13428,IMPORTRANGE(""https://docs.google.com/spreadsheets/d/14Bd19lYaqBhU8_DElYkX7l4wRkHqqCUFNJY4AfY3kHU/edit?usp=sharing  #gid=0"",""фіз особи new!relations_name""),6,FALSE)
,
(IF
(
G13428=""юридична особа""
,
VLOO"&amp;"KUP(H13428,IMPORTRANGE(""https://docs.google.com/spreadsheets/d/14Bd19lYaqBhU8_DElYkX7l4wRkHqqCUFNJY4AfY3kHU/edit?usp=sharing  #gid=0"",""фіз особи new!relations_name_uo""),7,FALSE)
,
)
))"),"ТУРЛОВ Тимур Русланович")</f>
        <v>ТУРЛОВ Тимур Русланович</v>
      </c>
      <c r="J13427" s="7" t="s">
        <v>23</v>
      </c>
    </row>
    <row r="13428" spans="1:10" ht="13.2">
      <c r="A13428" s="7">
        <v>13427</v>
      </c>
      <c r="B13428" s="7">
        <v>1</v>
      </c>
      <c r="C13428" s="7" t="s">
        <v>10</v>
      </c>
      <c r="D13428" s="7">
        <v>18534</v>
      </c>
      <c r="E13428" s="7" t="s">
        <v>23</v>
      </c>
      <c r="F13428" s="8" t="str">
        <f ca="1">IFERROR(__xludf.DUMMYFUNCTION("IF
(
C13429=""фізична особа""
,
VLOOKUP(D13429,IMPORTRANGE(""https://docs.google.com/spreadsheets/d/14Bd19lYaqBhU8_DElYkX7l4wRkHqqCUFNJY4AfY3kHU/edit?usp=sharing  #gid=0"",""фіз особи new!relations_name""),6,FALSE)
,
(IF
(
C13429=""юридична особа""
,
VLOO"&amp;"KUP(D13429,IMPORTRANGE(""https://docs.google.com/spreadsheets/d/14Bd19lYaqBhU8_DElYkX7l4wRkHqqCUFNJY4AfY3kHU/edit?usp=sharing  #gid=0"",""фіз особи new!relations_name_uo""),7,FALSE)
,
)
))"),"ШАНДРІНА Ольга Леонідівна")</f>
        <v>ШАНДРІНА Ольга Леонідівна</v>
      </c>
      <c r="G13428" s="7" t="s">
        <v>10</v>
      </c>
      <c r="H13428" s="7">
        <v>18527</v>
      </c>
      <c r="I13428" s="8" t="str">
        <f ca="1">IFERROR(__xludf.DUMMYFUNCTION("IF
(
G13429=""фізична особа""
,
VLOOKUP(H13429,IMPORTRANGE(""https://docs.google.com/spreadsheets/d/14Bd19lYaqBhU8_DElYkX7l4wRkHqqCUFNJY4AfY3kHU/edit?usp=sharing  #gid=0"",""фіз особи new!relations_name""),6,FALSE)
,
(IF
(
G13429=""юридична особа""
,
VLOO"&amp;"KUP(H13429,IMPORTRANGE(""https://docs.google.com/spreadsheets/d/14Bd19lYaqBhU8_DElYkX7l4wRkHqqCUFNJY4AfY3kHU/edit?usp=sharing  #gid=0"",""фіз особи new!relations_name_uo""),7,FALSE)
,
)
))"),"САЛИЧ Геннадій Геннадійович")</f>
        <v>САЛИЧ Геннадій Геннадійович</v>
      </c>
      <c r="J13428" s="7" t="s">
        <v>23</v>
      </c>
    </row>
    <row r="13429" spans="1:10" ht="13.2">
      <c r="A13429" s="7">
        <v>13428</v>
      </c>
      <c r="B13429" s="7">
        <v>1</v>
      </c>
      <c r="C13429" s="7" t="s">
        <v>10</v>
      </c>
      <c r="D13429" s="7">
        <v>18534</v>
      </c>
      <c r="E13429" s="7" t="s">
        <v>65</v>
      </c>
      <c r="F13429" s="8" t="str">
        <f ca="1">IFERROR(__xludf.DUMMYFUNCTION("IF
(
C13430=""фізична особа""
,
VLOOKUP(D13430,IMPORTRANGE(""https://docs.google.com/spreadsheets/d/14Bd19lYaqBhU8_DElYkX7l4wRkHqqCUFNJY4AfY3kHU/edit?usp=sharing  #gid=0"",""фіз особи new!relations_name""),6,FALSE)
,
(IF
(
C13430=""юридична особа""
,
VLOO"&amp;"KUP(D13430,IMPORTRANGE(""https://docs.google.com/spreadsheets/d/14Bd19lYaqBhU8_DElYkX7l4wRkHqqCUFNJY4AfY3kHU/edit?usp=sharing  #gid=0"",""фіз особи new!relations_name_uo""),7,FALSE)
,
)
))"),"ШАНДРІНА Ольга Леонідівна")</f>
        <v>ШАНДРІНА Ольга Леонідівна</v>
      </c>
      <c r="G13429" s="7" t="s">
        <v>10</v>
      </c>
      <c r="H13429" s="7">
        <v>0</v>
      </c>
      <c r="I13429" s="8" t="str">
        <f ca="1">IFERROR(__xludf.DUMMYFUNCTION("IF
(
G13430=""фізична особа""
,
VLOOKUP(H13430,IMPORTRANGE(""https://docs.google.com/spreadsheets/d/14Bd19lYaqBhU8_DElYkX7l4wRkHqqCUFNJY4AfY3kHU/edit?usp=sharing  #gid=0"",""фіз особи new!relations_name""),6,FALSE)
,
(IF
(
G13430=""юридична особа""
,
VLOO"&amp;"KUP(H13430,IMPORTRANGE(""https://docs.google.com/spreadsheets/d/14Bd19lYaqBhU8_DElYkX7l4wRkHqqCUFNJY4AfY3kHU/edit?usp=sharing  #gid=0"",""фіз особи new!relations_name_uo""),7,FALSE)
,
)
))"),"#N/A")</f>
        <v>#N/A</v>
      </c>
      <c r="J13429" s="7" t="s">
        <v>65</v>
      </c>
    </row>
    <row r="13430" spans="1:10" ht="13.2">
      <c r="A13430" s="7">
        <v>13429</v>
      </c>
      <c r="B13430" s="7">
        <v>1</v>
      </c>
      <c r="C13430" s="7" t="s">
        <v>10</v>
      </c>
      <c r="D13430" s="7">
        <v>18534</v>
      </c>
      <c r="E13430" s="7" t="s">
        <v>65</v>
      </c>
      <c r="F13430" s="8" t="str">
        <f ca="1">IFERROR(__xludf.DUMMYFUNCTION("IF
(
C13431=""фізична особа""
,
VLOOKUP(D13431,IMPORTRANGE(""https://docs.google.com/spreadsheets/d/14Bd19lYaqBhU8_DElYkX7l4wRkHqqCUFNJY4AfY3kHU/edit?usp=sharing  #gid=0"",""фіз особи new!relations_name""),6,FALSE)
,
(IF
(
C13431=""юридична особа""
,
VLOO"&amp;"KUP(D13431,IMPORTRANGE(""https://docs.google.com/spreadsheets/d/14Bd19lYaqBhU8_DElYkX7l4wRkHqqCUFNJY4AfY3kHU/edit?usp=sharing  #gid=0"",""фіз особи new!relations_name_uo""),7,FALSE)
,
)
))"),"ШАНДРІНА Ольга Леонідівна")</f>
        <v>ШАНДРІНА Ольга Леонідівна</v>
      </c>
      <c r="G13430" s="7" t="s">
        <v>10</v>
      </c>
      <c r="H13430" s="7">
        <v>0</v>
      </c>
      <c r="I13430" s="8" t="str">
        <f ca="1">IFERROR(__xludf.DUMMYFUNCTION("IF
(
G13431=""фізична особа""
,
VLOOKUP(H13431,IMPORTRANGE(""https://docs.google.com/spreadsheets/d/14Bd19lYaqBhU8_DElYkX7l4wRkHqqCUFNJY4AfY3kHU/edit?usp=sharing  #gid=0"",""фіз особи new!relations_name""),6,FALSE)
,
(IF
(
G13431=""юридична особа""
,
VLOO"&amp;"KUP(H13431,IMPORTRANGE(""https://docs.google.com/spreadsheets/d/14Bd19lYaqBhU8_DElYkX7l4wRkHqqCUFNJY4AfY3kHU/edit?usp=sharing  #gid=0"",""фіз особи new!relations_name_uo""),7,FALSE)
,
)
))"),"#N/A")</f>
        <v>#N/A</v>
      </c>
      <c r="J13430" s="7" t="s">
        <v>65</v>
      </c>
    </row>
    <row r="13431" spans="1:10" ht="13.2">
      <c r="A13431" s="7">
        <v>13430</v>
      </c>
      <c r="B13431" s="7">
        <v>1</v>
      </c>
      <c r="C13431" s="7" t="s">
        <v>10</v>
      </c>
      <c r="D13431" s="7">
        <v>18535</v>
      </c>
      <c r="E13431" s="7" t="s">
        <v>23</v>
      </c>
      <c r="F13431" s="8" t="str">
        <f ca="1">IFERROR(__xludf.DUMMYFUNCTION("IF
(
C13432=""фізична особа""
,
VLOOKUP(D13432,IMPORTRANGE(""https://docs.google.com/spreadsheets/d/14Bd19lYaqBhU8_DElYkX7l4wRkHqqCUFNJY4AfY3kHU/edit?usp=sharing  #gid=0"",""фіз особи new!relations_name""),6,FALSE)
,
(IF
(
C13432=""юридична особа""
,
VLOO"&amp;"KUP(D13432,IMPORTRANGE(""https://docs.google.com/spreadsheets/d/14Bd19lYaqBhU8_DElYkX7l4wRkHqqCUFNJY4AfY3kHU/edit?usp=sharing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G13431" s="7" t="s">
        <v>10</v>
      </c>
      <c r="H13431" s="7">
        <v>18705</v>
      </c>
      <c r="I13431" s="8" t="str">
        <f ca="1">IFERROR(__xludf.DUMMYFUNCTION("IF
(
G13432=""фізична особа""
,
VLOOKUP(H13432,IMPORTRANGE(""https://docs.google.com/spreadsheets/d/14Bd19lYaqBhU8_DElYkX7l4wRkHqqCUFNJY4AfY3kHU/edit?usp=sharing  #gid=0"",""фіз особи new!relations_name""),6,FALSE)
,
(IF
(
G13432=""юридична особа""
,
VLOO"&amp;"KUP(H13432,IMPORTRANGE(""https://docs.google.com/spreadsheets/d/14Bd19lYaqBhU8_DElYkX7l4wRkHqqCUFNJY4AfY3kHU/edit?usp=sharing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431" s="7" t="s">
        <v>23</v>
      </c>
    </row>
    <row r="13432" spans="1:10" ht="13.2">
      <c r="A13432" s="7">
        <v>13431</v>
      </c>
      <c r="B13432" s="7">
        <v>1</v>
      </c>
      <c r="C13432" s="7" t="s">
        <v>10</v>
      </c>
      <c r="D13432" s="7">
        <v>18536</v>
      </c>
      <c r="E13432" s="7" t="s">
        <v>23</v>
      </c>
      <c r="F13432" s="8" t="str">
        <f ca="1">IFERROR(__xludf.DUMMYFUNCTION("IF
(
C13433=""фізична особа""
,
VLOOKUP(D13433,IMPORTRANGE(""https://docs.google.com/spreadsheets/d/14Bd19lYaqBhU8_DElYkX7l4wRkHqqCUFNJY4AfY3kHU/edit?usp=sharing  #gid=0"",""фіз особи new!relations_name""),6,FALSE)
,
(IF
(
C13433=""юридична особа""
,
VLOO"&amp;"KUP(D13433,IMPORTRANGE(""https://docs.google.com/spreadsheets/d/14Bd19lYaqBhU8_DElYkX7l4wRkHqqCUFNJY4AfY3kHU/edit?usp=sharing  #gid=0"",""фіз особи new!relations_name_uo""),7,FALSE)
,
)
))"),"ЛЕВЕНТ Більге")</f>
        <v>ЛЕВЕНТ Більге</v>
      </c>
      <c r="G13432" s="7" t="s">
        <v>10</v>
      </c>
      <c r="H13432" s="7">
        <v>18705</v>
      </c>
      <c r="I13432" s="8" t="str">
        <f ca="1">IFERROR(__xludf.DUMMYFUNCTION("IF
(
G13433=""фізична особа""
,
VLOOKUP(H13433,IMPORTRANGE(""https://docs.google.com/spreadsheets/d/14Bd19lYaqBhU8_DElYkX7l4wRkHqqCUFNJY4AfY3kHU/edit?usp=sharing  #gid=0"",""фіз особи new!relations_name""),6,FALSE)
,
(IF
(
G13433=""юридична особа""
,
VLOO"&amp;"KUP(H13433,IMPORTRANGE(""https://docs.google.com/spreadsheets/d/14Bd19lYaqBhU8_DElYkX7l4wRkHqqCUFNJY4AfY3kHU/edit?usp=sharing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432" s="7" t="s">
        <v>23</v>
      </c>
    </row>
    <row r="13433" spans="1:10" ht="13.2">
      <c r="A13433" s="7">
        <v>13432</v>
      </c>
      <c r="B13433" s="7">
        <v>1</v>
      </c>
      <c r="C13433" s="7" t="s">
        <v>10</v>
      </c>
      <c r="D13433" s="7">
        <v>18536</v>
      </c>
      <c r="E13433" s="7" t="s">
        <v>23</v>
      </c>
      <c r="F13433" s="8" t="str">
        <f ca="1">IFERROR(__xludf.DUMMYFUNCTION("IF
(
C13434=""фізична особа""
,
VLOOKUP(D13434,IMPORTRANGE(""https://docs.google.com/spreadsheets/d/14Bd19lYaqBhU8_DElYkX7l4wRkHqqCUFNJY4AfY3kHU/edit?usp=sharing  #gid=0"",""фіз особи new!relations_name""),6,FALSE)
,
(IF
(
C13434=""юридична особа""
,
VLOO"&amp;"KUP(D13434,IMPORTRANGE(""https://docs.google.com/spreadsheets/d/14Bd19lYaqBhU8_DElYkX7l4wRkHqqCUFNJY4AfY3kHU/edit?usp=sharing  #gid=0"",""фіз особи new!relations_name_uo""),7,FALSE)
,
)
))"),"ЛЕВЕНТ Більге")</f>
        <v>ЛЕВЕНТ Більге</v>
      </c>
      <c r="G13433" s="7" t="s">
        <v>10</v>
      </c>
      <c r="H13433" s="7">
        <v>18535</v>
      </c>
      <c r="I13433" s="8" t="str">
        <f ca="1">IFERROR(__xludf.DUMMYFUNCTION("IF
(
G13434=""фізична особа""
,
VLOOKUP(H13434,IMPORTRANGE(""https://docs.google.com/spreadsheets/d/14Bd19lYaqBhU8_DElYkX7l4wRkHqqCUFNJY4AfY3kHU/edit?usp=sharing  #gid=0"",""фіз особи new!relations_name""),6,FALSE)
,
(IF
(
G13434=""юридична особа""
,
VLOO"&amp;"KUP(H13434,IMPORTRANGE(""https://docs.google.com/spreadsheets/d/14Bd19lYaqBhU8_DElYkX7l4wRkHqqCUFNJY4AfY3kHU/edit?usp=sharing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433" s="7" t="s">
        <v>23</v>
      </c>
    </row>
    <row r="13434" spans="1:10" ht="13.2">
      <c r="A13434" s="7">
        <v>13433</v>
      </c>
      <c r="B13434" s="7">
        <v>1</v>
      </c>
      <c r="C13434" s="7" t="s">
        <v>10</v>
      </c>
      <c r="D13434" s="7">
        <v>18541</v>
      </c>
      <c r="E13434" s="7" t="s">
        <v>12</v>
      </c>
      <c r="F13434" s="8" t="str">
        <f ca="1">IFERROR(__xludf.DUMMYFUNCTION("IF
(
C13435=""фізична особа""
,
VLOOKUP(D13435,IMPORTRANGE(""https://docs.google.com/spreadsheets/d/14Bd19lYaqBhU8_DElYkX7l4wRkHqqCUFNJY4AfY3kHU/edit?usp=sharing  #gid=0"",""фіз особи new!relations_name""),6,FALSE)
,
(IF
(
C13435=""юридична особа""
,
VLOO"&amp;"KUP(D13435,IMPORTRANGE(""https://docs.google.com/spreadsheets/d/14Bd19lYaqBhU8_DElYkX7l4wRkHqqCUFNJY4AfY3kHU/edit?usp=sharing  #gid=0"",""фіз особи new!relations_name_uo""),7,FALSE)
,
)
))"),"ДРОБИШ Віктор Якович")</f>
        <v>ДРОБИШ Віктор Якович</v>
      </c>
      <c r="G13434" s="7" t="s">
        <v>10</v>
      </c>
      <c r="H13434" s="7">
        <v>0</v>
      </c>
      <c r="I13434" s="8" t="str">
        <f ca="1">IFERROR(__xludf.DUMMYFUNCTION("IF
(
G13435=""фізична особа""
,
VLOOKUP(H13435,IMPORTRANGE(""https://docs.google.com/spreadsheets/d/14Bd19lYaqBhU8_DElYkX7l4wRkHqqCUFNJY4AfY3kHU/edit?usp=sharing  #gid=0"",""фіз особи new!relations_name""),6,FALSE)
,
(IF
(
G13435=""юридична особа""
,
VLOO"&amp;"KUP(H13435,IMPORTRANGE(""https://docs.google.com/spreadsheets/d/14Bd19lYaqBhU8_DElYkX7l4wRkHqqCUFNJY4AfY3kHU/edit?usp=sharing  #gid=0"",""фіз особи new!relations_name_uo""),7,FALSE)
,
)
))"),"#N/A")</f>
        <v>#N/A</v>
      </c>
      <c r="J13434" s="7" t="s">
        <v>17</v>
      </c>
    </row>
    <row r="13435" spans="1:10" ht="13.2">
      <c r="A13435" s="7">
        <v>13434</v>
      </c>
      <c r="B13435" s="7">
        <v>1</v>
      </c>
      <c r="C13435" s="7" t="s">
        <v>10</v>
      </c>
      <c r="D13435" s="7">
        <v>18541</v>
      </c>
      <c r="E13435" s="7" t="s">
        <v>12</v>
      </c>
      <c r="F13435" s="8" t="str">
        <f ca="1">IFERROR(__xludf.DUMMYFUNCTION("IF
(
C13436=""фізична особа""
,
VLOOKUP(D13436,IMPORTRANGE(""https://docs.google.com/spreadsheets/d/14Bd19lYaqBhU8_DElYkX7l4wRkHqqCUFNJY4AfY3kHU/edit?usp=sharing  #gid=0"",""фіз особи new!relations_name""),6,FALSE)
,
(IF
(
C13436=""юридична особа""
,
VLOO"&amp;"KUP(D13436,IMPORTRANGE(""https://docs.google.com/spreadsheets/d/14Bd19lYaqBhU8_DElYkX7l4wRkHqqCUFNJY4AfY3kHU/edit?usp=sharing  #gid=0"",""фіз особи new!relations_name_uo""),7,FALSE)
,
)
))"),"ДРОБИШ Віктор Якович")</f>
        <v>ДРОБИШ Віктор Якович</v>
      </c>
      <c r="G13435" s="7" t="s">
        <v>10</v>
      </c>
      <c r="H13435" s="7">
        <v>0</v>
      </c>
      <c r="I13435" s="8" t="str">
        <f ca="1">IFERROR(__xludf.DUMMYFUNCTION("IF
(
G13436=""фізична особа""
,
VLOOKUP(H13436,IMPORTRANGE(""https://docs.google.com/spreadsheets/d/14Bd19lYaqBhU8_DElYkX7l4wRkHqqCUFNJY4AfY3kHU/edit?usp=sharing  #gid=0"",""фіз особи new!relations_name""),6,FALSE)
,
(IF
(
G13436=""юридична особа""
,
VLOO"&amp;"KUP(H13436,IMPORTRANGE(""https://docs.google.com/spreadsheets/d/14Bd19lYaqBhU8_DElYkX7l4wRkHqqCUFNJY4AfY3kHU/edit?usp=sharing  #gid=0"",""фіз особи new!relations_name_uo""),7,FALSE)
,
)
))"),"#N/A")</f>
        <v>#N/A</v>
      </c>
      <c r="J13435" s="7" t="s">
        <v>17</v>
      </c>
    </row>
    <row r="13436" spans="1:10" ht="13.2">
      <c r="A13436" s="7">
        <v>13435</v>
      </c>
      <c r="B13436" s="7">
        <v>1</v>
      </c>
      <c r="C13436" s="7" t="s">
        <v>10</v>
      </c>
      <c r="D13436" s="7">
        <v>18541</v>
      </c>
      <c r="E13436" s="7" t="s">
        <v>12</v>
      </c>
      <c r="F13436" s="8" t="str">
        <f ca="1">IFERROR(__xludf.DUMMYFUNCTION("IF
(
C13437=""фізична особа""
,
VLOOKUP(D13437,IMPORTRANGE(""https://docs.google.com/spreadsheets/d/14Bd19lYaqBhU8_DElYkX7l4wRkHqqCUFNJY4AfY3kHU/edit?usp=sharing  #gid=0"",""фіз особи new!relations_name""),6,FALSE)
,
(IF
(
C13437=""юридична особа""
,
VLOO"&amp;"KUP(D13437,IMPORTRANGE(""https://docs.google.com/spreadsheets/d/14Bd19lYaqBhU8_DElYkX7l4wRkHqqCUFNJY4AfY3kHU/edit?usp=sharing  #gid=0"",""фіз особи new!relations_name_uo""),7,FALSE)
,
)
))"),"ДРОБИШ Віктор Якович")</f>
        <v>ДРОБИШ Віктор Якович</v>
      </c>
      <c r="G13436" s="7" t="s">
        <v>10</v>
      </c>
      <c r="H13436" s="7">
        <v>0</v>
      </c>
      <c r="I13436" s="8" t="str">
        <f ca="1">IFERROR(__xludf.DUMMYFUNCTION("IF
(
G13437=""фізична особа""
,
VLOOKUP(H13437,IMPORTRANGE(""https://docs.google.com/spreadsheets/d/14Bd19lYaqBhU8_DElYkX7l4wRkHqqCUFNJY4AfY3kHU/edit?usp=sharing  #gid=0"",""фіз особи new!relations_name""),6,FALSE)
,
(IF
(
G13437=""юридична особа""
,
VLOO"&amp;"KUP(H13437,IMPORTRANGE(""https://docs.google.com/spreadsheets/d/14Bd19lYaqBhU8_DElYkX7l4wRkHqqCUFNJY4AfY3kHU/edit?usp=sharing  #gid=0"",""фіз особи new!relations_name_uo""),7,FALSE)
,
)
))"),"#N/A")</f>
        <v>#N/A</v>
      </c>
      <c r="J13436" s="7" t="s">
        <v>17</v>
      </c>
    </row>
    <row r="13437" spans="1:10" ht="13.2">
      <c r="A13437" s="7">
        <v>13436</v>
      </c>
      <c r="B13437" s="7">
        <v>1</v>
      </c>
      <c r="C13437" s="7" t="s">
        <v>10</v>
      </c>
      <c r="D13437" s="7">
        <v>18541</v>
      </c>
      <c r="E13437" s="7" t="s">
        <v>12</v>
      </c>
      <c r="F13437" s="8" t="str">
        <f ca="1">IFERROR(__xludf.DUMMYFUNCTION("IF
(
C13438=""фізична особа""
,
VLOOKUP(D13438,IMPORTRANGE(""https://docs.google.com/spreadsheets/d/14Bd19lYaqBhU8_DElYkX7l4wRkHqqCUFNJY4AfY3kHU/edit?usp=sharing  #gid=0"",""фіз особи new!relations_name""),6,FALSE)
,
(IF
(
C13438=""юридична особа""
,
VLOO"&amp;"KUP(D13438,IMPORTRANGE(""https://docs.google.com/spreadsheets/d/14Bd19lYaqBhU8_DElYkX7l4wRkHqqCUFNJY4AfY3kHU/edit?usp=sharing  #gid=0"",""фіз особи new!relations_name_uo""),7,FALSE)
,
)
))"),"ДРОБИШ Віктор Якович")</f>
        <v>ДРОБИШ Віктор Якович</v>
      </c>
      <c r="G13437" s="7" t="s">
        <v>10</v>
      </c>
      <c r="H13437" s="7">
        <v>0</v>
      </c>
      <c r="I13437" s="8" t="str">
        <f ca="1">IFERROR(__xludf.DUMMYFUNCTION("IF
(
G13438=""фізична особа""
,
VLOOKUP(H13438,IMPORTRANGE(""https://docs.google.com/spreadsheets/d/14Bd19lYaqBhU8_DElYkX7l4wRkHqqCUFNJY4AfY3kHU/edit?usp=sharing  #gid=0"",""фіз особи new!relations_name""),6,FALSE)
,
(IF
(
G13438=""юридична особа""
,
VLOO"&amp;"KUP(H13438,IMPORTRANGE(""https://docs.google.com/spreadsheets/d/14Bd19lYaqBhU8_DElYkX7l4wRkHqqCUFNJY4AfY3kHU/edit?usp=sharing  #gid=0"",""фіз особи new!relations_name_uo""),7,FALSE)
,
)
))"),"#N/A")</f>
        <v>#N/A</v>
      </c>
      <c r="J13437" s="7" t="s">
        <v>13</v>
      </c>
    </row>
    <row r="13438" spans="1:10" ht="13.2">
      <c r="A13438" s="7">
        <v>13437</v>
      </c>
      <c r="B13438" s="7">
        <v>1</v>
      </c>
      <c r="C13438" s="7" t="s">
        <v>10</v>
      </c>
      <c r="D13438" s="7">
        <v>18541</v>
      </c>
      <c r="E13438" s="7" t="s">
        <v>14</v>
      </c>
      <c r="F13438" s="8" t="str">
        <f ca="1">IFERROR(__xludf.DUMMYFUNCTION("IF
(
C13439=""фізична особа""
,
VLOOKUP(D13439,IMPORTRANGE(""https://docs.google.com/spreadsheets/d/14Bd19lYaqBhU8_DElYkX7l4wRkHqqCUFNJY4AfY3kHU/edit?usp=sharing  #gid=0"",""фіз особи new!relations_name""),6,FALSE)
,
(IF
(
C13439=""юридична особа""
,
VLOO"&amp;"KUP(D13439,IMPORTRANGE(""https://docs.google.com/spreadsheets/d/14Bd19lYaqBhU8_DElYkX7l4wRkHqqCUFNJY4AfY3kHU/edit?usp=sharing  #gid=0"",""фіз особи new!relations_name_uo""),7,FALSE)
,
)
))"),"ДРОБИШ Віктор Якович")</f>
        <v>ДРОБИШ Віктор Якович</v>
      </c>
      <c r="G13438" s="7" t="s">
        <v>10</v>
      </c>
      <c r="H13438" s="7">
        <v>0</v>
      </c>
      <c r="I13438" s="8" t="str">
        <f ca="1">IFERROR(__xludf.DUMMYFUNCTION("IF
(
G13439=""фізична особа""
,
VLOOKUP(H13439,IMPORTRANGE(""https://docs.google.com/spreadsheets/d/14Bd19lYaqBhU8_DElYkX7l4wRkHqqCUFNJY4AfY3kHU/edit?usp=sharing  #gid=0"",""фіз особи new!relations_name""),6,FALSE)
,
(IF
(
G13439=""юридична особа""
,
VLOO"&amp;"KUP(H13439,IMPORTRANGE(""https://docs.google.com/spreadsheets/d/14Bd19lYaqBhU8_DElYkX7l4wRkHqqCUFNJY4AfY3kHU/edit?usp=sharing  #gid=0"",""фіз особи new!relations_name_uo""),7,FALSE)
,
)
))"),"#N/A")</f>
        <v>#N/A</v>
      </c>
      <c r="J13438" s="7" t="s">
        <v>15</v>
      </c>
    </row>
    <row r="13439" spans="1:10" ht="13.2">
      <c r="A13439" s="7">
        <v>13438</v>
      </c>
      <c r="B13439" s="7">
        <v>1</v>
      </c>
      <c r="C13439" s="7" t="s">
        <v>10</v>
      </c>
      <c r="D13439" s="7">
        <v>18561</v>
      </c>
      <c r="E13439" s="7" t="s">
        <v>11</v>
      </c>
      <c r="F13439" s="8" t="str">
        <f ca="1">IFERROR(__xludf.DUMMYFUNCTION("IF
(
C13440=""фізична особа""
,
VLOOKUP(D13440,IMPORTRANGE(""https://docs.google.com/spreadsheets/d/14Bd19lYaqBhU8_DElYkX7l4wRkHqqCUFNJY4AfY3kHU/edit?usp=sharing  #gid=0"",""фіз особи new!relations_name""),6,FALSE)
,
(IF
(
C13440=""юридична особа""
,
VLOO"&amp;"KUP(D13440,IMPORTRANGE(""https://docs.google.com/spreadsheets/d/14Bd19lYaqBhU8_DElYkX7l4wRkHqqCUFNJY4AfY3kHU/edit?usp=sharing  #gid=0"",""фіз особи new!relations_name_uo""),7,FALSE)
,
)
))"),"КОМІСАРОВ Сергій Сергійович")</f>
        <v>КОМІСАРОВ Сергій Сергійович</v>
      </c>
      <c r="G13439" s="7" t="s">
        <v>10</v>
      </c>
      <c r="H13439" s="7">
        <v>8752</v>
      </c>
      <c r="I13439" s="8" t="str">
        <f ca="1">IFERROR(__xludf.DUMMYFUNCTION("IF
(
G13440=""фізична особа""
,
VLOOKUP(H13440,IMPORTRANGE(""https://docs.google.com/spreadsheets/d/14Bd19lYaqBhU8_DElYkX7l4wRkHqqCUFNJY4AfY3kHU/edit?usp=sharing  #gid=0"",""фіз особи new!relations_name""),6,FALSE)
,
(IF
(
G13440=""юридична особа""
,
VLOO"&amp;"KUP(H13440,IMPORTRANGE(""https://docs.google.com/spreadsheets/d/14Bd19lYaqBhU8_DElYkX7l4wRkHqqCUFNJY4AfY3kHU/edit?usp=sharing  #gid=0"",""фіз особи new!relations_name_uo""),7,FALSE)
,
)
))"),"БОГАЧОВ Олексій Ігорович")</f>
        <v>БОГАЧОВ Олексій Ігорович</v>
      </c>
      <c r="J13439" s="7" t="s">
        <v>11</v>
      </c>
    </row>
    <row r="13440" spans="1:10" ht="13.2">
      <c r="A13440" s="7">
        <v>13439</v>
      </c>
      <c r="B13440" s="7">
        <v>1</v>
      </c>
      <c r="C13440" s="7" t="s">
        <v>10</v>
      </c>
      <c r="D13440" s="7">
        <v>18565</v>
      </c>
      <c r="E13440" s="7" t="s">
        <v>11</v>
      </c>
      <c r="F13440" s="8" t="str">
        <f ca="1">IFERROR(__xludf.DUMMYFUNCTION("IF
(
C13441=""фізична особа""
,
VLOOKUP(D13441,IMPORTRANGE(""https://docs.google.com/spreadsheets/d/14Bd19lYaqBhU8_DElYkX7l4wRkHqqCUFNJY4AfY3kHU/edit?usp=sharing  #gid=0"",""фіз особи new!relations_name""),6,FALSE)
,
(IF
(
C13441=""юридична особа""
,
VLOO"&amp;"KUP(D13441,IMPORTRANGE(""https://docs.google.com/spreadsheets/d/14Bd19lYaqBhU8_DElYkX7l4wRkHqqCUFNJY4AfY3kHU/edit?usp=sharing  #gid=0"",""фіз особи new!relations_name_uo""),7,FALSE)
,
)
))"),"ШАММАЗОВ Рафаель Шамалієвич")</f>
        <v>ШАММАЗОВ Рафаель Шамалієвич</v>
      </c>
      <c r="G13440" s="7" t="s">
        <v>10</v>
      </c>
      <c r="H13440" s="7">
        <v>23673</v>
      </c>
      <c r="I13440" s="8" t="str">
        <f ca="1">IFERROR(__xludf.DUMMYFUNCTION("IF
(
G13441=""фізична особа""
,
VLOOKUP(H13441,IMPORTRANGE(""https://docs.google.com/spreadsheets/d/14Bd19lYaqBhU8_DElYkX7l4wRkHqqCUFNJY4AfY3kHU/edit?usp=sharing  #gid=0"",""фіз особи new!relations_name""),6,FALSE)
,
(IF
(
G13441=""юридична особа""
,
VLOO"&amp;"KUP(H13441,IMPORTRANGE(""https://docs.google.com/spreadsheets/d/14Bd19lYaqBhU8_DElYkX7l4wRkHqqCUFNJY4AfY3kHU/edit?usp=sharing  #gid=0"",""фіз особи new!relations_name_uo""),7,FALSE)
,
)
))"),"КОМАРОВ Фоат Фагімович")</f>
        <v>КОМАРОВ Фоат Фагімович</v>
      </c>
      <c r="J13440" s="7" t="s">
        <v>11</v>
      </c>
    </row>
    <row r="13441" spans="1:10" ht="13.2">
      <c r="A13441" s="7">
        <v>13440</v>
      </c>
      <c r="B13441" s="7">
        <v>1</v>
      </c>
      <c r="C13441" s="7" t="s">
        <v>10</v>
      </c>
      <c r="D13441" s="7">
        <v>18566</v>
      </c>
      <c r="E13441" s="7" t="s">
        <v>11</v>
      </c>
      <c r="F13441" s="8" t="str">
        <f ca="1">IFERROR(__xludf.DUMMYFUNCTION("IF
(
C13442=""фізична особа""
,
VLOOKUP(D13442,IMPORTRANGE(""https://docs.google.com/spreadsheets/d/14Bd19lYaqBhU8_DElYkX7l4wRkHqqCUFNJY4AfY3kHU/edit?usp=sharing  #gid=0"",""фіз особи new!relations_name""),6,FALSE)
,
(IF
(
C13442=""юридична особа""
,
VLOO"&amp;"KUP(D13442,IMPORTRANGE(""https://docs.google.com/spreadsheets/d/14Bd19lYaqBhU8_DElYkX7l4wRkHqqCUFNJY4AfY3kHU/edit?usp=sharing  #gid=0"",""фіз особи new!relations_name_uo""),7,FALSE)
,
)
))"),"ФАХРУТДІНОВ Азат Ахматкарімович")</f>
        <v>ФАХРУТДІНОВ Азат Ахматкарімович</v>
      </c>
      <c r="G13441" s="7" t="s">
        <v>10</v>
      </c>
      <c r="H13441" s="7">
        <v>23673</v>
      </c>
      <c r="I13441" s="8" t="str">
        <f ca="1">IFERROR(__xludf.DUMMYFUNCTION("IF
(
G13442=""фізична особа""
,
VLOOKUP(H13442,IMPORTRANGE(""https://docs.google.com/spreadsheets/d/14Bd19lYaqBhU8_DElYkX7l4wRkHqqCUFNJY4AfY3kHU/edit?usp=sharing  #gid=0"",""фіз особи new!relations_name""),6,FALSE)
,
(IF
(
G13442=""юридична особа""
,
VLOO"&amp;"KUP(H13442,IMPORTRANGE(""https://docs.google.com/spreadsheets/d/14Bd19lYaqBhU8_DElYkX7l4wRkHqqCUFNJY4AfY3kHU/edit?usp=sharing  #gid=0"",""фіз особи new!relations_name_uo""),7,FALSE)
,
)
))"),"КОМАРОВ Фоат Фагімович")</f>
        <v>КОМАРОВ Фоат Фагімович</v>
      </c>
      <c r="J13441" s="7" t="s">
        <v>11</v>
      </c>
    </row>
    <row r="13442" spans="1:10" ht="13.2">
      <c r="A13442" s="7">
        <v>13441</v>
      </c>
      <c r="B13442" s="7">
        <v>1</v>
      </c>
      <c r="C13442" s="7" t="s">
        <v>10</v>
      </c>
      <c r="D13442" s="7">
        <v>18571</v>
      </c>
      <c r="E13442" s="7" t="s">
        <v>23</v>
      </c>
      <c r="F13442" s="8" t="str">
        <f ca="1">IFERROR(__xludf.DUMMYFUNCTION("IF
(
C13443=""фізична особа""
,
VLOOKUP(D13443,IMPORTRANGE(""https://docs.google.com/spreadsheets/d/14Bd19lYaqBhU8_DElYkX7l4wRkHqqCUFNJY4AfY3kHU/edit?usp=sharing  #gid=0"",""фіз особи new!relations_name""),6,FALSE)
,
(IF
(
C13443=""юридична особа""
,
VLOO"&amp;"KUP(D13443,IMPORTRANGE(""https://docs.google.com/spreadsheets/d/14Bd19lYaqBhU8_DElYkX7l4wRkHqqCUFNJY4AfY3kHU/edit?usp=sharing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2" s="7" t="s">
        <v>10</v>
      </c>
      <c r="H13442" s="7">
        <v>18444</v>
      </c>
      <c r="I13442" s="8" t="str">
        <f ca="1">IFERROR(__xludf.DUMMYFUNCTION("IF
(
G13443=""фізична особа""
,
VLOOKUP(H13443,IMPORTRANGE(""https://docs.google.com/spreadsheets/d/14Bd19lYaqBhU8_DElYkX7l4wRkHqqCUFNJY4AfY3kHU/edit?usp=sharing  #gid=0"",""фіз особи new!relations_name""),6,FALSE)
,
(IF
(
G13443=""юридична особа""
,
VLOO"&amp;"KUP(H13443,IMPORTRANGE(""https://docs.google.com/spreadsheets/d/14Bd19lYaqBhU8_DElYkX7l4wRkHqqCUFNJY4AfY3kHU/edit?usp=sharing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442" s="7" t="s">
        <v>23</v>
      </c>
    </row>
    <row r="13443" spans="1:10" ht="13.2">
      <c r="A13443" s="7">
        <v>13442</v>
      </c>
      <c r="B13443" s="7">
        <v>1</v>
      </c>
      <c r="C13443" s="7" t="s">
        <v>10</v>
      </c>
      <c r="D13443" s="7">
        <v>18571</v>
      </c>
      <c r="E13443" s="7" t="s">
        <v>23</v>
      </c>
      <c r="F13443" s="8" t="str">
        <f ca="1">IFERROR(__xludf.DUMMYFUNCTION("IF
(
C13444=""фізична особа""
,
VLOOKUP(D13444,IMPORTRANGE(""https://docs.google.com/spreadsheets/d/14Bd19lYaqBhU8_DElYkX7l4wRkHqqCUFNJY4AfY3kHU/edit?usp=sharing  #gid=0"",""фіз особи new!relations_name""),6,FALSE)
,
(IF
(
C13444=""юридична особа""
,
VLOO"&amp;"KUP(D13444,IMPORTRANGE(""https://docs.google.com/spreadsheets/d/14Bd19lYaqBhU8_DElYkX7l4wRkHqqCUFNJY4AfY3kHU/edit?usp=sharing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3" s="7" t="s">
        <v>10</v>
      </c>
      <c r="H13443" s="7">
        <v>18443</v>
      </c>
      <c r="I13443" s="8" t="str">
        <f ca="1">IFERROR(__xludf.DUMMYFUNCTION("IF
(
G13444=""фізична особа""
,
VLOOKUP(H13444,IMPORTRANGE(""https://docs.google.com/spreadsheets/d/14Bd19lYaqBhU8_DElYkX7l4wRkHqqCUFNJY4AfY3kHU/edit?usp=sharing  #gid=0"",""фіз особи new!relations_name""),6,FALSE)
,
(IF
(
G13444=""юридична особа""
,
VLOO"&amp;"KUP(H13444,IMPORTRANGE(""https://docs.google.com/spreadsheets/d/14Bd19lYaqBhU8_DElYkX7l4wRkHqqCUFNJY4AfY3kHU/edit?usp=sharing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443" s="7" t="s">
        <v>23</v>
      </c>
    </row>
    <row r="13444" spans="1:10" ht="13.2">
      <c r="A13444" s="7">
        <v>13443</v>
      </c>
      <c r="B13444" s="7">
        <v>1</v>
      </c>
      <c r="C13444" s="7" t="s">
        <v>10</v>
      </c>
      <c r="D13444" s="7">
        <v>18571</v>
      </c>
      <c r="E13444" s="7" t="s">
        <v>23</v>
      </c>
      <c r="F13444" s="8" t="str">
        <f ca="1">IFERROR(__xludf.DUMMYFUNCTION("IF
(
C13445=""фізична особа""
,
VLOOKUP(D13445,IMPORTRANGE(""https://docs.google.com/spreadsheets/d/14Bd19lYaqBhU8_DElYkX7l4wRkHqqCUFNJY4AfY3kHU/edit?usp=sharing  #gid=0"",""фіз особи new!relations_name""),6,FALSE)
,
(IF
(
C13445=""юридична особа""
,
VLOO"&amp;"KUP(D13445,IMPORTRANGE(""https://docs.google.com/spreadsheets/d/14Bd19lYaqBhU8_DElYkX7l4wRkHqqCUFNJY4AfY3kHU/edit?usp=sharing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4" s="7" t="s">
        <v>10</v>
      </c>
      <c r="H13444" s="7">
        <v>18572</v>
      </c>
      <c r="I13444" s="8" t="str">
        <f ca="1">IFERROR(__xludf.DUMMYFUNCTION("IF
(
G13445=""фізична особа""
,
VLOOKUP(H13445,IMPORTRANGE(""https://docs.google.com/spreadsheets/d/14Bd19lYaqBhU8_DElYkX7l4wRkHqqCUFNJY4AfY3kHU/edit?usp=sharing  #gid=0"",""фіз особи new!relations_name""),6,FALSE)
,
(IF
(
G13445=""юридична особа""
,
VLOO"&amp;"KUP(H13445,IMPORTRANGE(""https://docs.google.com/spreadsheets/d/14Bd19lYaqBhU8_DElYkX7l4wRkHqqCUFNJY4AfY3kHU/edit?usp=sharing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J13444" s="7" t="s">
        <v>23</v>
      </c>
    </row>
    <row r="13445" spans="1:10" ht="13.2">
      <c r="A13445" s="7">
        <v>13444</v>
      </c>
      <c r="B13445" s="7">
        <v>1</v>
      </c>
      <c r="C13445" s="7" t="s">
        <v>10</v>
      </c>
      <c r="D13445" s="7">
        <v>18571</v>
      </c>
      <c r="E13445" s="7" t="s">
        <v>23</v>
      </c>
      <c r="F13445" s="8" t="str">
        <f ca="1">IFERROR(__xludf.DUMMYFUNCTION("IF
(
C13446=""фізична особа""
,
VLOOKUP(D13446,IMPORTRANGE(""https://docs.google.com/spreadsheets/d/14Bd19lYaqBhU8_DElYkX7l4wRkHqqCUFNJY4AfY3kHU/edit?usp=sharing  #gid=0"",""фіз особи new!relations_name""),6,FALSE)
,
(IF
(
C13446=""юридична особа""
,
VLOO"&amp;"KUP(D13446,IMPORTRANGE(""https://docs.google.com/spreadsheets/d/14Bd19lYaqBhU8_DElYkX7l4wRkHqqCUFNJY4AfY3kHU/edit?usp=sharing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5" s="7" t="s">
        <v>10</v>
      </c>
      <c r="H13445" s="7">
        <v>18574</v>
      </c>
      <c r="I13445" s="8" t="str">
        <f ca="1">IFERROR(__xludf.DUMMYFUNCTION("IF
(
G13446=""фізична особа""
,
VLOOKUP(H13446,IMPORTRANGE(""https://docs.google.com/spreadsheets/d/14Bd19lYaqBhU8_DElYkX7l4wRkHqqCUFNJY4AfY3kHU/edit?usp=sharing  #gid=0"",""фіз особи new!relations_name""),6,FALSE)
,
(IF
(
G13446=""юридична особа""
,
VLOO"&amp;"KUP(H13446,IMPORTRANGE(""https://docs.google.com/spreadsheets/d/14Bd19lYaqBhU8_DElYkX7l4wRkHqqCUFNJY4AfY3kHU/edit?usp=sharing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J13445" s="7" t="s">
        <v>23</v>
      </c>
    </row>
    <row r="13446" spans="1:10" ht="13.2">
      <c r="A13446" s="7">
        <v>13445</v>
      </c>
      <c r="B13446" s="7">
        <v>1</v>
      </c>
      <c r="C13446" s="7" t="s">
        <v>10</v>
      </c>
      <c r="D13446" s="7">
        <v>18571</v>
      </c>
      <c r="E13446" s="7" t="s">
        <v>23</v>
      </c>
      <c r="F13446" s="8" t="str">
        <f ca="1">IFERROR(__xludf.DUMMYFUNCTION("IF
(
C13447=""фізична особа""
,
VLOOKUP(D13447,IMPORTRANGE(""https://docs.google.com/spreadsheets/d/14Bd19lYaqBhU8_DElYkX7l4wRkHqqCUFNJY4AfY3kHU/edit?usp=sharing  #gid=0"",""фіз особи new!relations_name""),6,FALSE)
,
(IF
(
C13447=""юридична особа""
,
VLOO"&amp;"KUP(D13447,IMPORTRANGE(""https://docs.google.com/spreadsheets/d/14Bd19lYaqBhU8_DElYkX7l4wRkHqqCUFNJY4AfY3kHU/edit?usp=sharing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6" s="7" t="s">
        <v>10</v>
      </c>
      <c r="H13446" s="7">
        <v>18573</v>
      </c>
      <c r="I13446" s="8" t="str">
        <f ca="1">IFERROR(__xludf.DUMMYFUNCTION("IF
(
G13447=""фізична особа""
,
VLOOKUP(H13447,IMPORTRANGE(""https://docs.google.com/spreadsheets/d/14Bd19lYaqBhU8_DElYkX7l4wRkHqqCUFNJY4AfY3kHU/edit?usp=sharing  #gid=0"",""фіз особи new!relations_name""),6,FALSE)
,
(IF
(
G13447=""юридична особа""
,
VLOO"&amp;"KUP(H13447,IMPORTRANGE(""https://docs.google.com/spreadsheets/d/14Bd19lYaqBhU8_DElYkX7l4wRkHqqCUFNJY4AfY3kHU/edit?usp=sharing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J13446" s="7" t="s">
        <v>23</v>
      </c>
    </row>
    <row r="13447" spans="1:10" ht="13.2">
      <c r="A13447" s="7">
        <v>13446</v>
      </c>
      <c r="B13447" s="7">
        <v>1</v>
      </c>
      <c r="C13447" s="7" t="s">
        <v>10</v>
      </c>
      <c r="D13447" s="7">
        <v>18571</v>
      </c>
      <c r="E13447" s="7" t="s">
        <v>23</v>
      </c>
      <c r="F13447" s="8" t="str">
        <f ca="1">IFERROR(__xludf.DUMMYFUNCTION("IF
(
C13448=""фізична особа""
,
VLOOKUP(D13448,IMPORTRANGE(""https://docs.google.com/spreadsheets/d/14Bd19lYaqBhU8_DElYkX7l4wRkHqqCUFNJY4AfY3kHU/edit?usp=sharing  #gid=0"",""фіз особи new!relations_name""),6,FALSE)
,
(IF
(
C13448=""юридична особа""
,
VLOO"&amp;"KUP(D13448,IMPORTRANGE(""https://docs.google.com/spreadsheets/d/14Bd19lYaqBhU8_DElYkX7l4wRkHqqCUFNJY4AfY3kHU/edit?usp=sharing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G13447" s="7" t="s">
        <v>10</v>
      </c>
      <c r="H13447" s="7">
        <v>18450</v>
      </c>
      <c r="I13447" s="8" t="str">
        <f ca="1">IFERROR(__xludf.DUMMYFUNCTION("IF
(
G13448=""фізична особа""
,
VLOOKUP(H13448,IMPORTRANGE(""https://docs.google.com/spreadsheets/d/14Bd19lYaqBhU8_DElYkX7l4wRkHqqCUFNJY4AfY3kHU/edit?usp=sharing  #gid=0"",""фіз особи new!relations_name""),6,FALSE)
,
(IF
(
G13448=""юридична особа""
,
VLOO"&amp;"KUP(H13448,IMPORTRANGE(""https://docs.google.com/spreadsheets/d/14Bd19lYaqBhU8_DElYkX7l4wRkHqqCUFNJY4AfY3kHU/edit?usp=sharing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J13447" s="7" t="s">
        <v>23</v>
      </c>
    </row>
    <row r="13448" spans="1:10" ht="13.2">
      <c r="A13448" s="7">
        <v>13447</v>
      </c>
      <c r="B13448" s="7">
        <v>1</v>
      </c>
      <c r="C13448" s="7" t="s">
        <v>10</v>
      </c>
      <c r="D13448" s="7">
        <v>18572</v>
      </c>
      <c r="E13448" s="7" t="s">
        <v>15</v>
      </c>
      <c r="F13448" s="8" t="str">
        <f ca="1">IFERROR(__xludf.DUMMYFUNCTION("IF
(
C13449=""фізична особа""
,
VLOOKUP(D13449,IMPORTRANGE(""https://docs.google.com/spreadsheets/d/14Bd19lYaqBhU8_DElYkX7l4wRkHqqCUFNJY4AfY3kHU/edit?usp=sharing  #gid=0"",""фіз особи new!relations_name""),6,FALSE)
,
(IF
(
C13449=""юридична особа""
,
VLOO"&amp;"KUP(D13449,IMPORTRANGE(""https://docs.google.com/spreadsheets/d/14Bd19lYaqBhU8_DElYkX7l4wRkHqqCUFNJY4AfY3kHU/edit?usp=sharing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48" s="7" t="s">
        <v>10</v>
      </c>
      <c r="H13448" s="7">
        <v>18444</v>
      </c>
      <c r="I13448" s="8" t="str">
        <f ca="1">IFERROR(__xludf.DUMMYFUNCTION("IF
(
G13449=""фізична особа""
,
VLOOKUP(H13449,IMPORTRANGE(""https://docs.google.com/spreadsheets/d/14Bd19lYaqBhU8_DElYkX7l4wRkHqqCUFNJY4AfY3kHU/edit?usp=sharing  #gid=0"",""фіз особи new!relations_name""),6,FALSE)
,
(IF
(
G13449=""юридична особа""
,
VLOO"&amp;"KUP(H13449,IMPORTRANGE(""https://docs.google.com/spreadsheets/d/14Bd19lYaqBhU8_DElYkX7l4wRkHqqCUFNJY4AfY3kHU/edit?usp=sharing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448" s="7" t="s">
        <v>14</v>
      </c>
    </row>
    <row r="13449" spans="1:10" ht="13.2">
      <c r="A13449" s="7">
        <v>13448</v>
      </c>
      <c r="B13449" s="7">
        <v>1</v>
      </c>
      <c r="C13449" s="7" t="s">
        <v>10</v>
      </c>
      <c r="D13449" s="7">
        <v>18572</v>
      </c>
      <c r="E13449" s="7" t="s">
        <v>23</v>
      </c>
      <c r="F13449" s="8" t="str">
        <f ca="1">IFERROR(__xludf.DUMMYFUNCTION("IF
(
C13450=""фізична особа""
,
VLOOKUP(D13450,IMPORTRANGE(""https://docs.google.com/spreadsheets/d/14Bd19lYaqBhU8_DElYkX7l4wRkHqqCUFNJY4AfY3kHU/edit?usp=sharing  #gid=0"",""фіз особи new!relations_name""),6,FALSE)
,
(IF
(
C13450=""юридична особа""
,
VLOO"&amp;"KUP(D13450,IMPORTRANGE(""https://docs.google.com/spreadsheets/d/14Bd19lYaqBhU8_DElYkX7l4wRkHqqCUFNJY4AfY3kHU/edit?usp=sharing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49" s="7" t="s">
        <v>10</v>
      </c>
      <c r="H13449" s="7">
        <v>18443</v>
      </c>
      <c r="I13449" s="8" t="str">
        <f ca="1">IFERROR(__xludf.DUMMYFUNCTION("IF
(
G13450=""фізична особа""
,
VLOOKUP(H13450,IMPORTRANGE(""https://docs.google.com/spreadsheets/d/14Bd19lYaqBhU8_DElYkX7l4wRkHqqCUFNJY4AfY3kHU/edit?usp=sharing  #gid=0"",""фіз особи new!relations_name""),6,FALSE)
,
(IF
(
G13450=""юридична особа""
,
VLOO"&amp;"KUP(H13450,IMPORTRANGE(""https://docs.google.com/spreadsheets/d/14Bd19lYaqBhU8_DElYkX7l4wRkHqqCUFNJY4AfY3kHU/edit?usp=sharing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449" s="7" t="s">
        <v>23</v>
      </c>
    </row>
    <row r="13450" spans="1:10" ht="13.2">
      <c r="A13450" s="7">
        <v>13449</v>
      </c>
      <c r="B13450" s="7">
        <v>1</v>
      </c>
      <c r="C13450" s="7" t="s">
        <v>10</v>
      </c>
      <c r="D13450" s="7">
        <v>18572</v>
      </c>
      <c r="E13450" s="7" t="s">
        <v>23</v>
      </c>
      <c r="F13450" s="8" t="str">
        <f ca="1">IFERROR(__xludf.DUMMYFUNCTION("IF
(
C13451=""фізична особа""
,
VLOOKUP(D13451,IMPORTRANGE(""https://docs.google.com/spreadsheets/d/14Bd19lYaqBhU8_DElYkX7l4wRkHqqCUFNJY4AfY3kHU/edit?usp=sharing  #gid=0"",""фіз особи new!relations_name""),6,FALSE)
,
(IF
(
C13451=""юридична особа""
,
VLOO"&amp;"KUP(D13451,IMPORTRANGE(""https://docs.google.com/spreadsheets/d/14Bd19lYaqBhU8_DElYkX7l4wRkHqqCUFNJY4AfY3kHU/edit?usp=sharing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0" s="7" t="s">
        <v>10</v>
      </c>
      <c r="H13450" s="7">
        <v>18571</v>
      </c>
      <c r="I13450" s="8" t="str">
        <f ca="1">IFERROR(__xludf.DUMMYFUNCTION("IF
(
G13451=""фізична особа""
,
VLOOKUP(H13451,IMPORTRANGE(""https://docs.google.com/spreadsheets/d/14Bd19lYaqBhU8_DElYkX7l4wRkHqqCUFNJY4AfY3kHU/edit?usp=sharing  #gid=0"",""фіз особи new!relations_name""),6,FALSE)
,
(IF
(
G13451=""юридична особа""
,
VLOO"&amp;"KUP(H13451,IMPORTRANGE(""https://docs.google.com/spreadsheets/d/14Bd19lYaqBhU8_DElYkX7l4wRkHqqCUFNJY4AfY3kHU/edit?usp=sharing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J13450" s="7" t="s">
        <v>23</v>
      </c>
    </row>
    <row r="13451" spans="1:10" ht="13.2">
      <c r="A13451" s="7">
        <v>13450</v>
      </c>
      <c r="B13451" s="7">
        <v>1</v>
      </c>
      <c r="C13451" s="7" t="s">
        <v>10</v>
      </c>
      <c r="D13451" s="7">
        <v>18572</v>
      </c>
      <c r="E13451" s="7" t="s">
        <v>23</v>
      </c>
      <c r="F13451" s="8" t="str">
        <f ca="1">IFERROR(__xludf.DUMMYFUNCTION("IF
(
C13452=""фізична особа""
,
VLOOKUP(D13452,IMPORTRANGE(""https://docs.google.com/spreadsheets/d/14Bd19lYaqBhU8_DElYkX7l4wRkHqqCUFNJY4AfY3kHU/edit?usp=sharing  #gid=0"",""фіз особи new!relations_name""),6,FALSE)
,
(IF
(
C13452=""юридична особа""
,
VLOO"&amp;"KUP(D13452,IMPORTRANGE(""https://docs.google.com/spreadsheets/d/14Bd19lYaqBhU8_DElYkX7l4wRkHqqCUFNJY4AfY3kHU/edit?usp=sharing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1" s="7" t="s">
        <v>10</v>
      </c>
      <c r="H13451" s="7">
        <v>18574</v>
      </c>
      <c r="I13451" s="8" t="str">
        <f ca="1">IFERROR(__xludf.DUMMYFUNCTION("IF
(
G13452=""фізична особа""
,
VLOOKUP(H13452,IMPORTRANGE(""https://docs.google.com/spreadsheets/d/14Bd19lYaqBhU8_DElYkX7l4wRkHqqCUFNJY4AfY3kHU/edit?usp=sharing  #gid=0"",""фіз особи new!relations_name""),6,FALSE)
,
(IF
(
G13452=""юридична особа""
,
VLOO"&amp;"KUP(H13452,IMPORTRANGE(""https://docs.google.com/spreadsheets/d/14Bd19lYaqBhU8_DElYkX7l4wRkHqqCUFNJY4AfY3kHU/edit?usp=sharing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J13451" s="7" t="s">
        <v>23</v>
      </c>
    </row>
    <row r="13452" spans="1:10" ht="13.2">
      <c r="A13452" s="7">
        <v>13451</v>
      </c>
      <c r="B13452" s="7">
        <v>1</v>
      </c>
      <c r="C13452" s="7" t="s">
        <v>10</v>
      </c>
      <c r="D13452" s="7">
        <v>18572</v>
      </c>
      <c r="E13452" s="7" t="s">
        <v>23</v>
      </c>
      <c r="F13452" s="8" t="str">
        <f ca="1">IFERROR(__xludf.DUMMYFUNCTION("IF
(
C13453=""фізична особа""
,
VLOOKUP(D13453,IMPORTRANGE(""https://docs.google.com/spreadsheets/d/14Bd19lYaqBhU8_DElYkX7l4wRkHqqCUFNJY4AfY3kHU/edit?usp=sharing  #gid=0"",""фіз особи new!relations_name""),6,FALSE)
,
(IF
(
C13453=""юридична особа""
,
VLOO"&amp;"KUP(D13453,IMPORTRANGE(""https://docs.google.com/spreadsheets/d/14Bd19lYaqBhU8_DElYkX7l4wRkHqqCUFNJY4AfY3kHU/edit?usp=sharing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2" s="7" t="s">
        <v>10</v>
      </c>
      <c r="H13452" s="7">
        <v>18573</v>
      </c>
      <c r="I13452" s="8" t="str">
        <f ca="1">IFERROR(__xludf.DUMMYFUNCTION("IF
(
G13453=""фізична особа""
,
VLOOKUP(H13453,IMPORTRANGE(""https://docs.google.com/spreadsheets/d/14Bd19lYaqBhU8_DElYkX7l4wRkHqqCUFNJY4AfY3kHU/edit?usp=sharing  #gid=0"",""фіз особи new!relations_name""),6,FALSE)
,
(IF
(
G13453=""юридична особа""
,
VLOO"&amp;"KUP(H13453,IMPORTRANGE(""https://docs.google.com/spreadsheets/d/14Bd19lYaqBhU8_DElYkX7l4wRkHqqCUFNJY4AfY3kHU/edit?usp=sharing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J13452" s="7" t="s">
        <v>23</v>
      </c>
    </row>
    <row r="13453" spans="1:10" ht="13.2">
      <c r="A13453" s="7">
        <v>13452</v>
      </c>
      <c r="B13453" s="7">
        <v>1</v>
      </c>
      <c r="C13453" s="7" t="s">
        <v>10</v>
      </c>
      <c r="D13453" s="7">
        <v>18572</v>
      </c>
      <c r="E13453" s="7" t="s">
        <v>23</v>
      </c>
      <c r="F13453" s="8" t="str">
        <f ca="1">IFERROR(__xludf.DUMMYFUNCTION("IF
(
C13454=""фізична особа""
,
VLOOKUP(D13454,IMPORTRANGE(""https://docs.google.com/spreadsheets/d/14Bd19lYaqBhU8_DElYkX7l4wRkHqqCUFNJY4AfY3kHU/edit?usp=sharing  #gid=0"",""фіз особи new!relations_name""),6,FALSE)
,
(IF
(
C13454=""юридична особа""
,
VLOO"&amp;"KUP(D13454,IMPORTRANGE(""https://docs.google.com/spreadsheets/d/14Bd19lYaqBhU8_DElYkX7l4wRkHqqCUFNJY4AfY3kHU/edit?usp=sharing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3" s="7" t="s">
        <v>10</v>
      </c>
      <c r="H13453" s="7">
        <v>18450</v>
      </c>
      <c r="I13453" s="8" t="str">
        <f ca="1">IFERROR(__xludf.DUMMYFUNCTION("IF
(
G13454=""фізична особа""
,
VLOOKUP(H13454,IMPORTRANGE(""https://docs.google.com/spreadsheets/d/14Bd19lYaqBhU8_DElYkX7l4wRkHqqCUFNJY4AfY3kHU/edit?usp=sharing  #gid=0"",""фіз особи new!relations_name""),6,FALSE)
,
(IF
(
G13454=""юридична особа""
,
VLOO"&amp;"KUP(H13454,IMPORTRANGE(""https://docs.google.com/spreadsheets/d/14Bd19lYaqBhU8_DElYkX7l4wRkHqqCUFNJY4AfY3kHU/edit?usp=sharing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J13453" s="7" t="s">
        <v>23</v>
      </c>
    </row>
    <row r="13454" spans="1:10" ht="13.2">
      <c r="A13454" s="7">
        <v>13453</v>
      </c>
      <c r="B13454" s="7">
        <v>1</v>
      </c>
      <c r="C13454" s="7" t="s">
        <v>10</v>
      </c>
      <c r="D13454" s="7">
        <v>18572</v>
      </c>
      <c r="E13454" s="7" t="s">
        <v>23</v>
      </c>
      <c r="F13454" s="8" t="str">
        <f ca="1">IFERROR(__xludf.DUMMYFUNCTION("IF
(
C13455=""фізична особа""
,
VLOOKUP(D13455,IMPORTRANGE(""https://docs.google.com/spreadsheets/d/14Bd19lYaqBhU8_DElYkX7l4wRkHqqCUFNJY4AfY3kHU/edit?usp=sharing  #gid=0"",""фіз особи new!relations_name""),6,FALSE)
,
(IF
(
C13455=""юридична особа""
,
VLOO"&amp;"KUP(D13455,IMPORTRANGE(""https://docs.google.com/spreadsheets/d/14Bd19lYaqBhU8_DElYkX7l4wRkHqqCUFNJY4AfY3kHU/edit?usp=sharing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4" s="7" t="s">
        <v>10</v>
      </c>
      <c r="H13454" s="7">
        <v>0</v>
      </c>
      <c r="I13454" s="8" t="str">
        <f ca="1">IFERROR(__xludf.DUMMYFUNCTION("IF
(
G13455=""фізична особа""
,
VLOOKUP(H13455,IMPORTRANGE(""https://docs.google.com/spreadsheets/d/14Bd19lYaqBhU8_DElYkX7l4wRkHqqCUFNJY4AfY3kHU/edit?usp=sharing  #gid=0"",""фіз особи new!relations_name""),6,FALSE)
,
(IF
(
G13455=""юридична особа""
,
VLOO"&amp;"KUP(H13455,IMPORTRANGE(""https://docs.google.com/spreadsheets/d/14Bd19lYaqBhU8_DElYkX7l4wRkHqqCUFNJY4AfY3kHU/edit?usp=sharing  #gid=0"",""фіз особи new!relations_name_uo""),7,FALSE)
,
)
))"),"#N/A")</f>
        <v>#N/A</v>
      </c>
      <c r="J13454" s="7" t="s">
        <v>23</v>
      </c>
    </row>
    <row r="13455" spans="1:10" ht="13.2">
      <c r="A13455" s="7">
        <v>13454</v>
      </c>
      <c r="B13455" s="7">
        <v>1</v>
      </c>
      <c r="C13455" s="7" t="s">
        <v>10</v>
      </c>
      <c r="D13455" s="7">
        <v>18572</v>
      </c>
      <c r="E13455" s="7" t="s">
        <v>23</v>
      </c>
      <c r="F13455" s="8" t="str">
        <f ca="1">IFERROR(__xludf.DUMMYFUNCTION("IF
(
C13456=""фізична особа""
,
VLOOKUP(D13456,IMPORTRANGE(""https://docs.google.com/spreadsheets/d/14Bd19lYaqBhU8_DElYkX7l4wRkHqqCUFNJY4AfY3kHU/edit?usp=sharing  #gid=0"",""фіз особи new!relations_name""),6,FALSE)
,
(IF
(
C13456=""юридична особа""
,
VLOO"&amp;"KUP(D13456,IMPORTRANGE(""https://docs.google.com/spreadsheets/d/14Bd19lYaqBhU8_DElYkX7l4wRkHqqCUFNJY4AfY3kHU/edit?usp=sharing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5" s="7" t="s">
        <v>10</v>
      </c>
      <c r="H13455" s="7">
        <v>0</v>
      </c>
      <c r="I13455" s="8" t="str">
        <f ca="1">IFERROR(__xludf.DUMMYFUNCTION("IF
(
G13456=""фізична особа""
,
VLOOKUP(H13456,IMPORTRANGE(""https://docs.google.com/spreadsheets/d/14Bd19lYaqBhU8_DElYkX7l4wRkHqqCUFNJY4AfY3kHU/edit?usp=sharing  #gid=0"",""фіз особи new!relations_name""),6,FALSE)
,
(IF
(
G13456=""юридична особа""
,
VLOO"&amp;"KUP(H13456,IMPORTRANGE(""https://docs.google.com/spreadsheets/d/14Bd19lYaqBhU8_DElYkX7l4wRkHqqCUFNJY4AfY3kHU/edit?usp=sharing  #gid=0"",""фіз особи new!relations_name_uo""),7,FALSE)
,
)
))"),"#N/A")</f>
        <v>#N/A</v>
      </c>
      <c r="J13455" s="7" t="s">
        <v>23</v>
      </c>
    </row>
    <row r="13456" spans="1:10" ht="13.2">
      <c r="A13456" s="7">
        <v>13455</v>
      </c>
      <c r="B13456" s="7">
        <v>1</v>
      </c>
      <c r="C13456" s="7" t="s">
        <v>10</v>
      </c>
      <c r="D13456" s="7">
        <v>18572</v>
      </c>
      <c r="E13456" s="7" t="s">
        <v>23</v>
      </c>
      <c r="F13456" s="8" t="str">
        <f ca="1">IFERROR(__xludf.DUMMYFUNCTION("IF
(
C13457=""фізична особа""
,
VLOOKUP(D13457,IMPORTRANGE(""https://docs.google.com/spreadsheets/d/14Bd19lYaqBhU8_DElYkX7l4wRkHqqCUFNJY4AfY3kHU/edit?usp=sharing  #gid=0"",""фіз особи new!relations_name""),6,FALSE)
,
(IF
(
C13457=""юридична особа""
,
VLOO"&amp;"KUP(D13457,IMPORTRANGE(""https://docs.google.com/spreadsheets/d/14Bd19lYaqBhU8_DElYkX7l4wRkHqqCUFNJY4AfY3kHU/edit?usp=sharing  #gid=0"",""фіз особи new!relations_name_uo""),7,FALSE)
,
)
))"),"БІДАШ Наталія Юріївна")</f>
        <v>БІДАШ Наталія Юріївна</v>
      </c>
      <c r="G13456" s="7" t="s">
        <v>10</v>
      </c>
      <c r="H13456" s="7">
        <v>0</v>
      </c>
      <c r="I13456" s="8" t="str">
        <f ca="1">IFERROR(__xludf.DUMMYFUNCTION("IF
(
G13457=""фізична особа""
,
VLOOKUP(H13457,IMPORTRANGE(""https://docs.google.com/spreadsheets/d/14Bd19lYaqBhU8_DElYkX7l4wRkHqqCUFNJY4AfY3kHU/edit?usp=sharing  #gid=0"",""фіз особи new!relations_name""),6,FALSE)
,
(IF
(
G13457=""юридична особа""
,
VLOO"&amp;"KUP(H13457,IMPORTRANGE(""https://docs.google.com/spreadsheets/d/14Bd19lYaqBhU8_DElYkX7l4wRkHqqCUFNJY4AfY3kHU/edit?usp=sharing  #gid=0"",""фіз особи new!relations_name_uo""),7,FALSE)
,
)
))"),"#N/A")</f>
        <v>#N/A</v>
      </c>
      <c r="J13456" s="7" t="s">
        <v>23</v>
      </c>
    </row>
    <row r="13457" spans="1:10" ht="13.2">
      <c r="A13457" s="7">
        <v>13456</v>
      </c>
      <c r="B13457" s="7">
        <v>1</v>
      </c>
      <c r="C13457" s="7" t="s">
        <v>10</v>
      </c>
      <c r="D13457" s="7">
        <v>18573</v>
      </c>
      <c r="E13457" s="7" t="s">
        <v>23</v>
      </c>
      <c r="F13457" s="8" t="str">
        <f ca="1">IFERROR(__xludf.DUMMYFUNCTION("IF
(
C13458=""фізична особа""
,
VLOOKUP(D13458,IMPORTRANGE(""https://docs.google.com/spreadsheets/d/14Bd19lYaqBhU8_DElYkX7l4wRkHqqCUFNJY4AfY3kHU/edit?usp=sharing  #gid=0"",""фіз особи new!relations_name""),6,FALSE)
,
(IF
(
C13458=""юридична особа""
,
VLOO"&amp;"KUP(D13458,IMPORTRANGE(""https://docs.google.com/spreadsheets/d/14Bd19lYaqBhU8_DElYkX7l4wRkHqqCUFNJY4AfY3kHU/edit?usp=sharing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G13457" s="7" t="s">
        <v>10</v>
      </c>
      <c r="H13457" s="7">
        <v>18444</v>
      </c>
      <c r="I13457" s="8" t="str">
        <f ca="1">IFERROR(__xludf.DUMMYFUNCTION("IF
(
G13458=""фізична особа""
,
VLOOKUP(H13458,IMPORTRANGE(""https://docs.google.com/spreadsheets/d/14Bd19lYaqBhU8_DElYkX7l4wRkHqqCUFNJY4AfY3kHU/edit?usp=sharing  #gid=0"",""фіз особи new!relations_name""),6,FALSE)
,
(IF
(
G13458=""юридична особа""
,
VLOO"&amp;"KUP(H13458,IMPORTRANGE(""https://docs.google.com/spreadsheets/d/14Bd19lYaqBhU8_DElYkX7l4wRkHqqCUFNJY4AfY3kHU/edit?usp=sharing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457" s="7" t="s">
        <v>23</v>
      </c>
    </row>
    <row r="13458" spans="1:10" ht="13.2">
      <c r="A13458" s="7">
        <v>13457</v>
      </c>
      <c r="B13458" s="7">
        <v>1</v>
      </c>
      <c r="C13458" s="7" t="s">
        <v>10</v>
      </c>
      <c r="D13458" s="7">
        <v>18573</v>
      </c>
      <c r="E13458" s="7" t="s">
        <v>23</v>
      </c>
      <c r="F13458" s="8" t="str">
        <f ca="1">IFERROR(__xludf.DUMMYFUNCTION("IF
(
C13459=""фізична особа""
,
VLOOKUP(D13459,IMPORTRANGE(""https://docs.google.com/spreadsheets/d/14Bd19lYaqBhU8_DElYkX7l4wRkHqqCUFNJY4AfY3kHU/edit?usp=sharing  #gid=0"",""фіз особи new!relations_name""),6,FALSE)
,
(IF
(
C13459=""юридична особа""
,
VLOO"&amp;"KUP(D13459,IMPORTRANGE(""https://docs.google.com/spreadsheets/d/14Bd19lYaqBhU8_DElYkX7l4wRkHqqCUFNJY4AfY3kHU/edit?usp=sharing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G13458" s="7" t="s">
        <v>10</v>
      </c>
      <c r="H13458" s="7">
        <v>18443</v>
      </c>
      <c r="I13458" s="8" t="str">
        <f ca="1">IFERROR(__xludf.DUMMYFUNCTION("IF
(
G13459=""фізична особа""
,
VLOOKUP(H13459,IMPORTRANGE(""https://docs.google.com/spreadsheets/d/14Bd19lYaqBhU8_DElYkX7l4wRkHqqCUFNJY4AfY3kHU/edit?usp=sharing  #gid=0"",""фіз особи new!relations_name""),6,FALSE)
,
(IF
(
G13459=""юридична особа""
,
VLOO"&amp;"KUP(H13459,IMPORTRANGE(""https://docs.google.com/spreadsheets/d/14Bd19lYaqBhU8_DElYkX7l4wRkHqqCUFNJY4AfY3kHU/edit?usp=sharing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458" s="7" t="s">
        <v>23</v>
      </c>
    </row>
    <row r="13459" spans="1:10" ht="13.2">
      <c r="A13459" s="7">
        <v>13458</v>
      </c>
      <c r="B13459" s="7">
        <v>1</v>
      </c>
      <c r="C13459" s="7" t="s">
        <v>10</v>
      </c>
      <c r="D13459" s="7">
        <v>18573</v>
      </c>
      <c r="E13459" s="7" t="s">
        <v>23</v>
      </c>
      <c r="F13459" s="8" t="str">
        <f ca="1">IFERROR(__xludf.DUMMYFUNCTION("IF
(
C13460=""фізична особа""
,
VLOOKUP(D13460,IMPORTRANGE(""https://docs.google.com/spreadsheets/d/14Bd19lYaqBhU8_DElYkX7l4wRkHqqCUFNJY4AfY3kHU/edit?usp=sharing  #gid=0"",""фіз особи new!relations_name""),6,FALSE)
,
(IF
(
C13460=""юридична особа""
,
VLOO"&amp;"KUP(D13460,IMPORTRANGE(""https://docs.google.com/spreadsheets/d/14Bd19lYaqBhU8_DElYkX7l4wRkHqqCUFNJY4AfY3kHU/edit?usp=sharing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G13459" s="7" t="s">
        <v>10</v>
      </c>
      <c r="H13459" s="7">
        <v>18571</v>
      </c>
      <c r="I13459" s="8" t="str">
        <f ca="1">IFERROR(__xludf.DUMMYFUNCTION("IF
(
G13460=""фізична особа""
,
VLOOKUP(H13460,IMPORTRANGE(""https://docs.google.com/spreadsheets/d/14Bd19lYaqBhU8_DElYkX7l4wRkHqqCUFNJY4AfY3kHU/edit?usp=sharing  #gid=0"",""фіз особи new!relations_name""),6,FALSE)
,
(IF
(
G13460=""юридична особа""
,
VLOO"&amp;"KUP(H13460,IMPORTRANGE(""https://docs.google.com/spreadsheets/d/14Bd19lYaqBhU8_DElYkX7l4wRkHqqCUFNJY4AfY3kHU/edit?usp=sharing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J13459" s="7" t="s">
        <v>23</v>
      </c>
    </row>
    <row r="13460" spans="1:10" ht="13.2">
      <c r="A13460" s="7">
        <v>13459</v>
      </c>
      <c r="B13460" s="7">
        <v>1</v>
      </c>
      <c r="C13460" s="7" t="s">
        <v>10</v>
      </c>
      <c r="D13460" s="7">
        <v>18573</v>
      </c>
      <c r="E13460" s="7" t="s">
        <v>23</v>
      </c>
      <c r="F13460" s="8" t="str">
        <f ca="1">IFERROR(__xludf.DUMMYFUNCTION("IF
(
C13461=""фізична особа""
,
VLOOKUP(D13461,IMPORTRANGE(""https://docs.google.com/spreadsheets/d/14Bd19lYaqBhU8_DElYkX7l4wRkHqqCUFNJY4AfY3kHU/edit?usp=sharing  #gid=0"",""фіз особи new!relations_name""),6,FALSE)
,
(IF
(
C13461=""юридична особа""
,
VLOO"&amp;"KUP(D13461,IMPORTRANGE(""https://docs.google.com/spreadsheets/d/14Bd19lYaqBhU8_DElYkX7l4wRkHqqCUFNJY4AfY3kHU/edit?usp=sharing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G13460" s="7" t="s">
        <v>10</v>
      </c>
      <c r="H13460" s="7">
        <v>18450</v>
      </c>
      <c r="I13460" s="8" t="str">
        <f ca="1">IFERROR(__xludf.DUMMYFUNCTION("IF
(
G13461=""фізична особа""
,
VLOOKUP(H13461,IMPORTRANGE(""https://docs.google.com/spreadsheets/d/14Bd19lYaqBhU8_DElYkX7l4wRkHqqCUFNJY4AfY3kHU/edit?usp=sharing  #gid=0"",""фіз особи new!relations_name""),6,FALSE)
,
(IF
(
G13461=""юридична особа""
,
VLOO"&amp;"KUP(H13461,IMPORTRANGE(""https://docs.google.com/spreadsheets/d/14Bd19lYaqBhU8_DElYkX7l4wRkHqqCUFNJY4AfY3kHU/edit?usp=sharing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J13460" s="7" t="s">
        <v>23</v>
      </c>
    </row>
    <row r="13461" spans="1:10" ht="13.2">
      <c r="A13461" s="7">
        <v>13460</v>
      </c>
      <c r="B13461" s="7">
        <v>1</v>
      </c>
      <c r="C13461" s="7" t="s">
        <v>10</v>
      </c>
      <c r="D13461" s="7">
        <v>18573</v>
      </c>
      <c r="E13461" s="7" t="s">
        <v>23</v>
      </c>
      <c r="F13461" s="8" t="str">
        <f ca="1">IFERROR(__xludf.DUMMYFUNCTION("IF
(
C13462=""фізична особа""
,
VLOOKUP(D13462,IMPORTRANGE(""https://docs.google.com/spreadsheets/d/14Bd19lYaqBhU8_DElYkX7l4wRkHqqCUFNJY4AfY3kHU/edit?usp=sharing  #gid=0"",""фіз особи new!relations_name""),6,FALSE)
,
(IF
(
C13462=""юридична особа""
,
VLOO"&amp;"KUP(D13462,IMPORTRANGE(""https://docs.google.com/spreadsheets/d/14Bd19lYaqBhU8_DElYkX7l4wRkHqqCUFNJY4AfY3kHU/edit?usp=sharing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G13461" s="7" t="s">
        <v>10</v>
      </c>
      <c r="H13461" s="7">
        <v>18574</v>
      </c>
      <c r="I13461" s="8" t="str">
        <f ca="1">IFERROR(__xludf.DUMMYFUNCTION("IF
(
G13462=""фізична особа""
,
VLOOKUP(H13462,IMPORTRANGE(""https://docs.google.com/spreadsheets/d/14Bd19lYaqBhU8_DElYkX7l4wRkHqqCUFNJY4AfY3kHU/edit?usp=sharing  #gid=0"",""фіз особи new!relations_name""),6,FALSE)
,
(IF
(
G13462=""юридична особа""
,
VLOO"&amp;"KUP(H13462,IMPORTRANGE(""https://docs.google.com/spreadsheets/d/14Bd19lYaqBhU8_DElYkX7l4wRkHqqCUFNJY4AfY3kHU/edit?usp=sharing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J13461" s="7" t="s">
        <v>23</v>
      </c>
    </row>
    <row r="13462" spans="1:10" ht="13.2">
      <c r="A13462" s="7">
        <v>13461</v>
      </c>
      <c r="B13462" s="7">
        <v>1</v>
      </c>
      <c r="C13462" s="7" t="s">
        <v>10</v>
      </c>
      <c r="D13462" s="7">
        <v>18574</v>
      </c>
      <c r="E13462" s="7" t="s">
        <v>23</v>
      </c>
      <c r="F13462" s="8" t="str">
        <f ca="1">IFERROR(__xludf.DUMMYFUNCTION("IF
(
C13463=""фізична особа""
,
VLOOKUP(D13463,IMPORTRANGE(""https://docs.google.com/spreadsheets/d/14Bd19lYaqBhU8_DElYkX7l4wRkHqqCUFNJY4AfY3kHU/edit?usp=sharing  #gid=0"",""фіз особи new!relations_name""),6,FALSE)
,
(IF
(
C13463=""юридична особа""
,
VLOO"&amp;"KUP(D13463,IMPORTRANGE(""https://docs.google.com/spreadsheets/d/14Bd19lYaqBhU8_DElYkX7l4wRkHqqCUFNJY4AfY3kHU/edit?usp=sharing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G13462" s="7" t="s">
        <v>10</v>
      </c>
      <c r="H13462" s="7">
        <v>18444</v>
      </c>
      <c r="I13462" s="8" t="str">
        <f ca="1">IFERROR(__xludf.DUMMYFUNCTION("IF
(
G13463=""фізична особа""
,
VLOOKUP(H13463,IMPORTRANGE(""https://docs.google.com/spreadsheets/d/14Bd19lYaqBhU8_DElYkX7l4wRkHqqCUFNJY4AfY3kHU/edit?usp=sharing  #gid=0"",""фіз особи new!relations_name""),6,FALSE)
,
(IF
(
G13463=""юридична особа""
,
VLOO"&amp;"KUP(H13463,IMPORTRANGE(""https://docs.google.com/spreadsheets/d/14Bd19lYaqBhU8_DElYkX7l4wRkHqqCUFNJY4AfY3kHU/edit?usp=sharing  #gid=0"",""фіз особи new!relations_name_uo""),7,FALSE)
,
)
))"),"БІДАШ Сергій Андрійович")</f>
        <v>БІДАШ Сергій Андрійович</v>
      </c>
      <c r="J13462" s="7" t="s">
        <v>23</v>
      </c>
    </row>
    <row r="13463" spans="1:10" ht="13.2">
      <c r="A13463" s="7">
        <v>13462</v>
      </c>
      <c r="B13463" s="7">
        <v>1</v>
      </c>
      <c r="C13463" s="7" t="s">
        <v>10</v>
      </c>
      <c r="D13463" s="7">
        <v>18574</v>
      </c>
      <c r="E13463" s="7" t="s">
        <v>23</v>
      </c>
      <c r="F13463" s="8" t="str">
        <f ca="1">IFERROR(__xludf.DUMMYFUNCTION("IF
(
C13464=""фізична особа""
,
VLOOKUP(D13464,IMPORTRANGE(""https://docs.google.com/spreadsheets/d/14Bd19lYaqBhU8_DElYkX7l4wRkHqqCUFNJY4AfY3kHU/edit?usp=sharing  #gid=0"",""фіз особи new!relations_name""),6,FALSE)
,
(IF
(
C13464=""юридична особа""
,
VLOO"&amp;"KUP(D13464,IMPORTRANGE(""https://docs.google.com/spreadsheets/d/14Bd19lYaqBhU8_DElYkX7l4wRkHqqCUFNJY4AfY3kHU/edit?usp=sharing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G13463" s="7" t="s">
        <v>10</v>
      </c>
      <c r="H13463" s="7">
        <v>18443</v>
      </c>
      <c r="I13463" s="8" t="str">
        <f ca="1">IFERROR(__xludf.DUMMYFUNCTION("IF
(
G13464=""фізична особа""
,
VLOOKUP(H13464,IMPORTRANGE(""https://docs.google.com/spreadsheets/d/14Bd19lYaqBhU8_DElYkX7l4wRkHqqCUFNJY4AfY3kHU/edit?usp=sharing  #gid=0"",""фіз особи new!relations_name""),6,FALSE)
,
(IF
(
G13464=""юридична особа""
,
VLOO"&amp;"KUP(H13464,IMPORTRANGE(""https://docs.google.com/spreadsheets/d/14Bd19lYaqBhU8_DElYkX7l4wRkHqqCUFNJY4AfY3kHU/edit?usp=sharing  #gid=0"",""фіз особи new!relations_name_uo""),7,FALSE)
,
)
))"),"САЯПІНА Марина Володимирівна")</f>
        <v>САЯПІНА Марина Володимирівна</v>
      </c>
      <c r="J13463" s="7" t="s">
        <v>23</v>
      </c>
    </row>
    <row r="13464" spans="1:10" ht="13.2">
      <c r="A13464" s="7">
        <v>13463</v>
      </c>
      <c r="B13464" s="7">
        <v>1</v>
      </c>
      <c r="C13464" s="7" t="s">
        <v>10</v>
      </c>
      <c r="D13464" s="7">
        <v>18574</v>
      </c>
      <c r="E13464" s="7" t="s">
        <v>23</v>
      </c>
      <c r="F13464" s="8" t="str">
        <f ca="1">IFERROR(__xludf.DUMMYFUNCTION("IF
(
C13465=""фізична особа""
,
VLOOKUP(D13465,IMPORTRANGE(""https://docs.google.com/spreadsheets/d/14Bd19lYaqBhU8_DElYkX7l4wRkHqqCUFNJY4AfY3kHU/edit?usp=sharing  #gid=0"",""фіз особи new!relations_name""),6,FALSE)
,
(IF
(
C13465=""юридична особа""
,
VLOO"&amp;"KUP(D13465,IMPORTRANGE(""https://docs.google.com/spreadsheets/d/14Bd19lYaqBhU8_DElYkX7l4wRkHqqCUFNJY4AfY3kHU/edit?usp=sharing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G13464" s="7" t="s">
        <v>10</v>
      </c>
      <c r="H13464" s="7">
        <v>18571</v>
      </c>
      <c r="I13464" s="8" t="str">
        <f ca="1">IFERROR(__xludf.DUMMYFUNCTION("IF
(
G13465=""фізична особа""
,
VLOOKUP(H13465,IMPORTRANGE(""https://docs.google.com/spreadsheets/d/14Bd19lYaqBhU8_DElYkX7l4wRkHqqCUFNJY4AfY3kHU/edit?usp=sharing  #gid=0"",""фіз особи new!relations_name""),6,FALSE)
,
(IF
(
G13465=""юридична особа""
,
VLOO"&amp;"KUP(H13465,IMPORTRANGE(""https://docs.google.com/spreadsheets/d/14Bd19lYaqBhU8_DElYkX7l4wRkHqqCUFNJY4AfY3kHU/edit?usp=sharing  #gid=0"",""фіз особи new!relations_name_uo""),7,FALSE)
,
)
))"),"АНІЩЕНКО Віктор Васильович")</f>
        <v>АНІЩЕНКО Віктор Васильович</v>
      </c>
      <c r="J13464" s="7" t="s">
        <v>23</v>
      </c>
    </row>
    <row r="13465" spans="1:10" ht="13.2">
      <c r="A13465" s="7">
        <v>13464</v>
      </c>
      <c r="B13465" s="7">
        <v>1</v>
      </c>
      <c r="C13465" s="7" t="s">
        <v>10</v>
      </c>
      <c r="D13465" s="7">
        <v>18574</v>
      </c>
      <c r="E13465" s="7" t="s">
        <v>23</v>
      </c>
      <c r="F13465" s="8" t="str">
        <f ca="1">IFERROR(__xludf.DUMMYFUNCTION("IF
(
C13466=""фізична особа""
,
VLOOKUP(D13466,IMPORTRANGE(""https://docs.google.com/spreadsheets/d/14Bd19lYaqBhU8_DElYkX7l4wRkHqqCUFNJY4AfY3kHU/edit?usp=sharing  #gid=0"",""фіз особи new!relations_name""),6,FALSE)
,
(IF
(
C13466=""юридична особа""
,
VLOO"&amp;"KUP(D13466,IMPORTRANGE(""https://docs.google.com/spreadsheets/d/14Bd19lYaqBhU8_DElYkX7l4wRkHqqCUFNJY4AfY3kHU/edit?usp=sharing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G13465" s="7" t="s">
        <v>10</v>
      </c>
      <c r="H13465" s="7">
        <v>18450</v>
      </c>
      <c r="I13465" s="8" t="str">
        <f ca="1">IFERROR(__xludf.DUMMYFUNCTION("IF
(
G13466=""фізична особа""
,
VLOOKUP(H13466,IMPORTRANGE(""https://docs.google.com/spreadsheets/d/14Bd19lYaqBhU8_DElYkX7l4wRkHqqCUFNJY4AfY3kHU/edit?usp=sharing  #gid=0"",""фіз особи new!relations_name""),6,FALSE)
,
(IF
(
G13466=""юридична особа""
,
VLOO"&amp;"KUP(H13466,IMPORTRANGE(""https://docs.google.com/spreadsheets/d/14Bd19lYaqBhU8_DElYkX7l4wRkHqqCUFNJY4AfY3kHU/edit?usp=sharing  #gid=0"",""фіз особи new!relations_name_uo""),7,FALSE)
,
)
))"),"НІКУЛІН Володимир Костянтинович")</f>
        <v>НІКУЛІН Володимир Костянтинович</v>
      </c>
      <c r="J13465" s="7" t="s">
        <v>23</v>
      </c>
    </row>
    <row r="13466" spans="1:10" ht="13.2">
      <c r="A13466" s="7">
        <v>13465</v>
      </c>
      <c r="B13466" s="7">
        <v>1</v>
      </c>
      <c r="C13466" s="7" t="s">
        <v>10</v>
      </c>
      <c r="D13466" s="7">
        <v>18574</v>
      </c>
      <c r="E13466" s="7" t="s">
        <v>23</v>
      </c>
      <c r="F13466" s="8" t="str">
        <f ca="1">IFERROR(__xludf.DUMMYFUNCTION("IF
(
C13467=""фізична особа""
,
VLOOKUP(D13467,IMPORTRANGE(""https://docs.google.com/spreadsheets/d/14Bd19lYaqBhU8_DElYkX7l4wRkHqqCUFNJY4AfY3kHU/edit?usp=sharing  #gid=0"",""фіз особи new!relations_name""),6,FALSE)
,
(IF
(
C13467=""юридична особа""
,
VLOO"&amp;"KUP(D13467,IMPORTRANGE(""https://docs.google.com/spreadsheets/d/14Bd19lYaqBhU8_DElYkX7l4wRkHqqCUFNJY4AfY3kHU/edit?usp=sharing  #gid=0"",""фіз особи new!relations_name_uo""),7,FALSE)
,
)
))"),"МАЛКОВА Ірина Вячеславівна")</f>
        <v>МАЛКОВА Ірина Вячеславівна</v>
      </c>
      <c r="G13466" s="7" t="s">
        <v>10</v>
      </c>
      <c r="H13466" s="7">
        <v>18573</v>
      </c>
      <c r="I13466" s="8" t="str">
        <f ca="1">IFERROR(__xludf.DUMMYFUNCTION("IF
(
G13467=""фізична особа""
,
VLOOKUP(H13467,IMPORTRANGE(""https://docs.google.com/spreadsheets/d/14Bd19lYaqBhU8_DElYkX7l4wRkHqqCUFNJY4AfY3kHU/edit?usp=sharing  #gid=0"",""фіз особи new!relations_name""),6,FALSE)
,
(IF
(
G13467=""юридична особа""
,
VLOO"&amp;"KUP(H13467,IMPORTRANGE(""https://docs.google.com/spreadsheets/d/14Bd19lYaqBhU8_DElYkX7l4wRkHqqCUFNJY4AfY3kHU/edit?usp=sharing  #gid=0"",""фіз особи new!relations_name_uo""),7,FALSE)
,
)
))"),"АВІЛОВА Тамара Анатоліївна")</f>
        <v>АВІЛОВА Тамара Анатоліївна</v>
      </c>
      <c r="J13466" s="7" t="s">
        <v>23</v>
      </c>
    </row>
    <row r="13467" spans="1:10" ht="13.2">
      <c r="A13467" s="7">
        <v>13466</v>
      </c>
      <c r="B13467" s="7">
        <v>1</v>
      </c>
      <c r="C13467" s="7" t="s">
        <v>10</v>
      </c>
      <c r="D13467" s="7">
        <v>18576</v>
      </c>
      <c r="E13467" s="7" t="s">
        <v>23</v>
      </c>
      <c r="F13467" s="8" t="str">
        <f ca="1">IFERROR(__xludf.DUMMYFUNCTION("IF
(
C13468=""фізична особа""
,
VLOOKUP(D13468,IMPORTRANGE(""https://docs.google.com/spreadsheets/d/14Bd19lYaqBhU8_DElYkX7l4wRkHqqCUFNJY4AfY3kHU/edit?usp=sharing  #gid=0"",""фіз особи new!relations_name""),6,FALSE)
,
(IF
(
C13468=""юридична особа""
,
VLOO"&amp;"KUP(D13468,IMPORTRANGE(""https://docs.google.com/spreadsheets/d/14Bd19lYaqBhU8_DElYkX7l4wRkHqqCUFNJY4AfY3kHU/edit?usp=sharing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67" s="7" t="s">
        <v>10</v>
      </c>
      <c r="H13467" s="7">
        <v>18577</v>
      </c>
      <c r="I13467" s="8" t="str">
        <f ca="1">IFERROR(__xludf.DUMMYFUNCTION("IF
(
G13468=""фізична особа""
,
VLOOKUP(H13468,IMPORTRANGE(""https://docs.google.com/spreadsheets/d/14Bd19lYaqBhU8_DElYkX7l4wRkHqqCUFNJY4AfY3kHU/edit?usp=sharing  #gid=0"",""фіз особи new!relations_name""),6,FALSE)
,
(IF
(
G13468=""юридична особа""
,
VLOO"&amp;"KUP(H13468,IMPORTRANGE(""https://docs.google.com/spreadsheets/d/14Bd19lYaqBhU8_DElYkX7l4wRkHqqCUFNJY4AfY3kHU/edit?usp=sharing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467" s="7" t="s">
        <v>23</v>
      </c>
    </row>
    <row r="13468" spans="1:10" ht="13.2">
      <c r="A13468" s="7">
        <v>13467</v>
      </c>
      <c r="B13468" s="7">
        <v>1</v>
      </c>
      <c r="C13468" s="7" t="s">
        <v>10</v>
      </c>
      <c r="D13468" s="7">
        <v>18576</v>
      </c>
      <c r="E13468" s="7" t="s">
        <v>23</v>
      </c>
      <c r="F13468" s="8" t="str">
        <f ca="1">IFERROR(__xludf.DUMMYFUNCTION("IF
(
C13469=""фізична особа""
,
VLOOKUP(D13469,IMPORTRANGE(""https://docs.google.com/spreadsheets/d/14Bd19lYaqBhU8_DElYkX7l4wRkHqqCUFNJY4AfY3kHU/edit?usp=sharing  #gid=0"",""фіз особи new!relations_name""),6,FALSE)
,
(IF
(
C13469=""юридична особа""
,
VLOO"&amp;"KUP(D13469,IMPORTRANGE(""https://docs.google.com/spreadsheets/d/14Bd19lYaqBhU8_DElYkX7l4wRkHqqCUFNJY4AfY3kHU/edit?usp=sharing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68" s="7" t="s">
        <v>10</v>
      </c>
      <c r="H13468" s="7">
        <v>18578</v>
      </c>
      <c r="I13468" s="8" t="str">
        <f ca="1">IFERROR(__xludf.DUMMYFUNCTION("IF
(
G13469=""фізична особа""
,
VLOOKUP(H13469,IMPORTRANGE(""https://docs.google.com/spreadsheets/d/14Bd19lYaqBhU8_DElYkX7l4wRkHqqCUFNJY4AfY3kHU/edit?usp=sharing  #gid=0"",""фіз особи new!relations_name""),6,FALSE)
,
(IF
(
G13469=""юридична особа""
,
VLOO"&amp;"KUP(H13469,IMPORTRANGE(""https://docs.google.com/spreadsheets/d/14Bd19lYaqBhU8_DElYkX7l4wRkHqqCUFNJY4AfY3kHU/edit?usp=sharing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468" s="7" t="s">
        <v>23</v>
      </c>
    </row>
    <row r="13469" spans="1:10" ht="13.2">
      <c r="A13469" s="7">
        <v>13468</v>
      </c>
      <c r="B13469" s="7">
        <v>1</v>
      </c>
      <c r="C13469" s="7" t="s">
        <v>10</v>
      </c>
      <c r="D13469" s="7">
        <v>18576</v>
      </c>
      <c r="E13469" s="7" t="s">
        <v>23</v>
      </c>
      <c r="F13469" s="8" t="str">
        <f ca="1">IFERROR(__xludf.DUMMYFUNCTION("IF
(
C13470=""фізична особа""
,
VLOOKUP(D13470,IMPORTRANGE(""https://docs.google.com/spreadsheets/d/14Bd19lYaqBhU8_DElYkX7l4wRkHqqCUFNJY4AfY3kHU/edit?usp=sharing  #gid=0"",""фіз особи new!relations_name""),6,FALSE)
,
(IF
(
C13470=""юридична особа""
,
VLOO"&amp;"KUP(D13470,IMPORTRANGE(""https://docs.google.com/spreadsheets/d/14Bd19lYaqBhU8_DElYkX7l4wRkHqqCUFNJY4AfY3kHU/edit?usp=sharing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69" s="7" t="s">
        <v>10</v>
      </c>
      <c r="H13469" s="7">
        <v>18579</v>
      </c>
      <c r="I13469" s="8" t="str">
        <f ca="1">IFERROR(__xludf.DUMMYFUNCTION("IF
(
G13470=""фізична особа""
,
VLOOKUP(H13470,IMPORTRANGE(""https://docs.google.com/spreadsheets/d/14Bd19lYaqBhU8_DElYkX7l4wRkHqqCUFNJY4AfY3kHU/edit?usp=sharing  #gid=0"",""фіз особи new!relations_name""),6,FALSE)
,
(IF
(
G13470=""юридична особа""
,
VLOO"&amp;"KUP(H13470,IMPORTRANGE(""https://docs.google.com/spreadsheets/d/14Bd19lYaqBhU8_DElYkX7l4wRkHqqCUFNJY4AfY3kHU/edit?usp=sharing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469" s="7" t="s">
        <v>23</v>
      </c>
    </row>
    <row r="13470" spans="1:10" ht="13.2">
      <c r="A13470" s="7">
        <v>13469</v>
      </c>
      <c r="B13470" s="7">
        <v>1</v>
      </c>
      <c r="C13470" s="7" t="s">
        <v>10</v>
      </c>
      <c r="D13470" s="7">
        <v>18576</v>
      </c>
      <c r="E13470" s="7" t="s">
        <v>23</v>
      </c>
      <c r="F13470" s="8" t="str">
        <f ca="1">IFERROR(__xludf.DUMMYFUNCTION("IF
(
C13471=""фізична особа""
,
VLOOKUP(D13471,IMPORTRANGE(""https://docs.google.com/spreadsheets/d/14Bd19lYaqBhU8_DElYkX7l4wRkHqqCUFNJY4AfY3kHU/edit?usp=sharing  #gid=0"",""фіз особи new!relations_name""),6,FALSE)
,
(IF
(
C13471=""юридична особа""
,
VLOO"&amp;"KUP(D13471,IMPORTRANGE(""https://docs.google.com/spreadsheets/d/14Bd19lYaqBhU8_DElYkX7l4wRkHqqCUFNJY4AfY3kHU/edit?usp=sharing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0" s="7" t="s">
        <v>10</v>
      </c>
      <c r="H13470" s="7">
        <v>18580</v>
      </c>
      <c r="I13470" s="8" t="str">
        <f ca="1">IFERROR(__xludf.DUMMYFUNCTION("IF
(
G13471=""фізична особа""
,
VLOOKUP(H13471,IMPORTRANGE(""https://docs.google.com/spreadsheets/d/14Bd19lYaqBhU8_DElYkX7l4wRkHqqCUFNJY4AfY3kHU/edit?usp=sharing  #gid=0"",""фіз особи new!relations_name""),6,FALSE)
,
(IF
(
G13471=""юридична особа""
,
VLOO"&amp;"KUP(H13471,IMPORTRANGE(""https://docs.google.com/spreadsheets/d/14Bd19lYaqBhU8_DElYkX7l4wRkHqqCUFNJY4AfY3kHU/edit?usp=sharing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470" s="7" t="s">
        <v>23</v>
      </c>
    </row>
    <row r="13471" spans="1:10" ht="13.2">
      <c r="A13471" s="7">
        <v>13470</v>
      </c>
      <c r="B13471" s="7">
        <v>1</v>
      </c>
      <c r="C13471" s="7" t="s">
        <v>10</v>
      </c>
      <c r="D13471" s="7">
        <v>18576</v>
      </c>
      <c r="E13471" s="7" t="s">
        <v>23</v>
      </c>
      <c r="F13471" s="8" t="str">
        <f ca="1">IFERROR(__xludf.DUMMYFUNCTION("IF
(
C13472=""фізична особа""
,
VLOOKUP(D13472,IMPORTRANGE(""https://docs.google.com/spreadsheets/d/14Bd19lYaqBhU8_DElYkX7l4wRkHqqCUFNJY4AfY3kHU/edit?usp=sharing  #gid=0"",""фіз особи new!relations_name""),6,FALSE)
,
(IF
(
C13472=""юридична особа""
,
VLOO"&amp;"KUP(D13472,IMPORTRANGE(""https://docs.google.com/spreadsheets/d/14Bd19lYaqBhU8_DElYkX7l4wRkHqqCUFNJY4AfY3kHU/edit?usp=sharing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1" s="7" t="s">
        <v>10</v>
      </c>
      <c r="H13471" s="7">
        <v>18581</v>
      </c>
      <c r="I13471" s="8" t="str">
        <f ca="1">IFERROR(__xludf.DUMMYFUNCTION("IF
(
G13472=""фізична особа""
,
VLOOKUP(H13472,IMPORTRANGE(""https://docs.google.com/spreadsheets/d/14Bd19lYaqBhU8_DElYkX7l4wRkHqqCUFNJY4AfY3kHU/edit?usp=sharing  #gid=0"",""фіз особи new!relations_name""),6,FALSE)
,
(IF
(
G13472=""юридична особа""
,
VLOO"&amp;"KUP(H13472,IMPORTRANGE(""https://docs.google.com/spreadsheets/d/14Bd19lYaqBhU8_DElYkX7l4wRkHqqCUFNJY4AfY3kHU/edit?usp=sharing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471" s="7" t="s">
        <v>23</v>
      </c>
    </row>
    <row r="13472" spans="1:10" ht="13.2">
      <c r="A13472" s="7">
        <v>13471</v>
      </c>
      <c r="B13472" s="7">
        <v>1</v>
      </c>
      <c r="C13472" s="7" t="s">
        <v>10</v>
      </c>
      <c r="D13472" s="7">
        <v>18576</v>
      </c>
      <c r="E13472" s="7" t="s">
        <v>23</v>
      </c>
      <c r="F13472" s="8" t="str">
        <f ca="1">IFERROR(__xludf.DUMMYFUNCTION("IF
(
C13473=""фізична особа""
,
VLOOKUP(D13473,IMPORTRANGE(""https://docs.google.com/spreadsheets/d/14Bd19lYaqBhU8_DElYkX7l4wRkHqqCUFNJY4AfY3kHU/edit?usp=sharing  #gid=0"",""фіз особи new!relations_name""),6,FALSE)
,
(IF
(
C13473=""юридична особа""
,
VLOO"&amp;"KUP(D13473,IMPORTRANGE(""https://docs.google.com/spreadsheets/d/14Bd19lYaqBhU8_DElYkX7l4wRkHqqCUFNJY4AfY3kHU/edit?usp=sharing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2" s="7" t="s">
        <v>10</v>
      </c>
      <c r="H13472" s="7">
        <v>18582</v>
      </c>
      <c r="I13472" s="8" t="str">
        <f ca="1">IFERROR(__xludf.DUMMYFUNCTION("IF
(
G13473=""фізична особа""
,
VLOOKUP(H13473,IMPORTRANGE(""https://docs.google.com/spreadsheets/d/14Bd19lYaqBhU8_DElYkX7l4wRkHqqCUFNJY4AfY3kHU/edit?usp=sharing  #gid=0"",""фіз особи new!relations_name""),6,FALSE)
,
(IF
(
G13473=""юридична особа""
,
VLOO"&amp;"KUP(H13473,IMPORTRANGE(""https://docs.google.com/spreadsheets/d/14Bd19lYaqBhU8_DElYkX7l4wRkHqqCUFNJY4AfY3kHU/edit?usp=sharing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472" s="7" t="s">
        <v>23</v>
      </c>
    </row>
    <row r="13473" spans="1:10" ht="13.2">
      <c r="A13473" s="7">
        <v>13472</v>
      </c>
      <c r="B13473" s="7">
        <v>1</v>
      </c>
      <c r="C13473" s="7" t="s">
        <v>10</v>
      </c>
      <c r="D13473" s="7">
        <v>18576</v>
      </c>
      <c r="E13473" s="7" t="s">
        <v>23</v>
      </c>
      <c r="F13473" s="8" t="str">
        <f ca="1">IFERROR(__xludf.DUMMYFUNCTION("IF
(
C13474=""фізична особа""
,
VLOOKUP(D13474,IMPORTRANGE(""https://docs.google.com/spreadsheets/d/14Bd19lYaqBhU8_DElYkX7l4wRkHqqCUFNJY4AfY3kHU/edit?usp=sharing  #gid=0"",""фіз особи new!relations_name""),6,FALSE)
,
(IF
(
C13474=""юридична особа""
,
VLOO"&amp;"KUP(D13474,IMPORTRANGE(""https://docs.google.com/spreadsheets/d/14Bd19lYaqBhU8_DElYkX7l4wRkHqqCUFNJY4AfY3kHU/edit?usp=sharing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3" s="7" t="s">
        <v>10</v>
      </c>
      <c r="H13473" s="7">
        <v>18583</v>
      </c>
      <c r="I13473" s="8" t="str">
        <f ca="1">IFERROR(__xludf.DUMMYFUNCTION("IF
(
G13474=""фізична особа""
,
VLOOKUP(H13474,IMPORTRANGE(""https://docs.google.com/spreadsheets/d/14Bd19lYaqBhU8_DElYkX7l4wRkHqqCUFNJY4AfY3kHU/edit?usp=sharing  #gid=0"",""фіз особи new!relations_name""),6,FALSE)
,
(IF
(
G13474=""юридична особа""
,
VLOO"&amp;"KUP(H13474,IMPORTRANGE(""https://docs.google.com/spreadsheets/d/14Bd19lYaqBhU8_DElYkX7l4wRkHqqCUFNJY4AfY3kHU/edit?usp=sharing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473" s="7" t="s">
        <v>23</v>
      </c>
    </row>
    <row r="13474" spans="1:10" ht="13.2">
      <c r="A13474" s="7">
        <v>13473</v>
      </c>
      <c r="B13474" s="7">
        <v>1</v>
      </c>
      <c r="C13474" s="7" t="s">
        <v>10</v>
      </c>
      <c r="D13474" s="7">
        <v>18576</v>
      </c>
      <c r="E13474" s="7" t="s">
        <v>23</v>
      </c>
      <c r="F13474" s="8" t="str">
        <f ca="1">IFERROR(__xludf.DUMMYFUNCTION("IF
(
C13475=""фізична особа""
,
VLOOKUP(D13475,IMPORTRANGE(""https://docs.google.com/spreadsheets/d/14Bd19lYaqBhU8_DElYkX7l4wRkHqqCUFNJY4AfY3kHU/edit?usp=sharing  #gid=0"",""фіз особи new!relations_name""),6,FALSE)
,
(IF
(
C13475=""юридична особа""
,
VLOO"&amp;"KUP(D13475,IMPORTRANGE(""https://docs.google.com/spreadsheets/d/14Bd19lYaqBhU8_DElYkX7l4wRkHqqCUFNJY4AfY3kHU/edit?usp=sharing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4" s="7" t="s">
        <v>10</v>
      </c>
      <c r="H13474" s="7">
        <v>18584</v>
      </c>
      <c r="I13474" s="8" t="str">
        <f ca="1">IFERROR(__xludf.DUMMYFUNCTION("IF
(
G13475=""фізична особа""
,
VLOOKUP(H13475,IMPORTRANGE(""https://docs.google.com/spreadsheets/d/14Bd19lYaqBhU8_DElYkX7l4wRkHqqCUFNJY4AfY3kHU/edit?usp=sharing  #gid=0"",""фіз особи new!relations_name""),6,FALSE)
,
(IF
(
G13475=""юридична особа""
,
VLOO"&amp;"KUP(H13475,IMPORTRANGE(""https://docs.google.com/spreadsheets/d/14Bd19lYaqBhU8_DElYkX7l4wRkHqqCUFNJY4AfY3kHU/edit?usp=sharing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474" s="7" t="s">
        <v>23</v>
      </c>
    </row>
    <row r="13475" spans="1:10" ht="13.2">
      <c r="A13475" s="7">
        <v>13474</v>
      </c>
      <c r="B13475" s="7">
        <v>1</v>
      </c>
      <c r="C13475" s="7" t="s">
        <v>10</v>
      </c>
      <c r="D13475" s="7">
        <v>18576</v>
      </c>
      <c r="E13475" s="7" t="s">
        <v>23</v>
      </c>
      <c r="F13475" s="8" t="str">
        <f ca="1">IFERROR(__xludf.DUMMYFUNCTION("IF
(
C13476=""фізична особа""
,
VLOOKUP(D13476,IMPORTRANGE(""https://docs.google.com/spreadsheets/d/14Bd19lYaqBhU8_DElYkX7l4wRkHqqCUFNJY4AfY3kHU/edit?usp=sharing  #gid=0"",""фіз особи new!relations_name""),6,FALSE)
,
(IF
(
C13476=""юридична особа""
,
VLOO"&amp;"KUP(D13476,IMPORTRANGE(""https://docs.google.com/spreadsheets/d/14Bd19lYaqBhU8_DElYkX7l4wRkHqqCUFNJY4AfY3kHU/edit?usp=sharing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5" s="7" t="s">
        <v>10</v>
      </c>
      <c r="H13475" s="7">
        <v>18585</v>
      </c>
      <c r="I13475" s="8" t="str">
        <f ca="1">IFERROR(__xludf.DUMMYFUNCTION("IF
(
G13476=""фізична особа""
,
VLOOKUP(H13476,IMPORTRANGE(""https://docs.google.com/spreadsheets/d/14Bd19lYaqBhU8_DElYkX7l4wRkHqqCUFNJY4AfY3kHU/edit?usp=sharing  #gid=0"",""фіз особи new!relations_name""),6,FALSE)
,
(IF
(
G13476=""юридична особа""
,
VLOO"&amp;"KUP(H13476,IMPORTRANGE(""https://docs.google.com/spreadsheets/d/14Bd19lYaqBhU8_DElYkX7l4wRkHqqCUFNJY4AfY3kHU/edit?usp=sharing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475" s="7" t="s">
        <v>23</v>
      </c>
    </row>
    <row r="13476" spans="1:10" ht="13.2">
      <c r="A13476" s="7">
        <v>13475</v>
      </c>
      <c r="B13476" s="7">
        <v>1</v>
      </c>
      <c r="C13476" s="7" t="s">
        <v>10</v>
      </c>
      <c r="D13476" s="7">
        <v>18576</v>
      </c>
      <c r="E13476" s="7" t="s">
        <v>23</v>
      </c>
      <c r="F13476" s="8" t="str">
        <f ca="1">IFERROR(__xludf.DUMMYFUNCTION("IF
(
C13477=""фізична особа""
,
VLOOKUP(D13477,IMPORTRANGE(""https://docs.google.com/spreadsheets/d/14Bd19lYaqBhU8_DElYkX7l4wRkHqqCUFNJY4AfY3kHU/edit?usp=sharing  #gid=0"",""фіз особи new!relations_name""),6,FALSE)
,
(IF
(
C13477=""юридична особа""
,
VLOO"&amp;"KUP(D13477,IMPORTRANGE(""https://docs.google.com/spreadsheets/d/14Bd19lYaqBhU8_DElYkX7l4wRkHqqCUFNJY4AfY3kHU/edit?usp=sharing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6" s="7" t="s">
        <v>10</v>
      </c>
      <c r="H13476" s="7">
        <v>18847</v>
      </c>
      <c r="I13476" s="8" t="str">
        <f ca="1">IFERROR(__xludf.DUMMYFUNCTION("IF
(
G13477=""фізична особа""
,
VLOOKUP(H13477,IMPORTRANGE(""https://docs.google.com/spreadsheets/d/14Bd19lYaqBhU8_DElYkX7l4wRkHqqCUFNJY4AfY3kHU/edit?usp=sharing  #gid=0"",""фіз особи new!relations_name""),6,FALSE)
,
(IF
(
G13477=""юридична особа""
,
VLOO"&amp;"KUP(H13477,IMPORTRANGE(""https://docs.google.com/spreadsheets/d/14Bd19lYaqBhU8_DElYkX7l4wRkHqqCUFNJY4AfY3kHU/edit?usp=sharing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476" s="7" t="s">
        <v>23</v>
      </c>
    </row>
    <row r="13477" spans="1:10" ht="13.2">
      <c r="A13477" s="7">
        <v>13476</v>
      </c>
      <c r="B13477" s="7">
        <v>1</v>
      </c>
      <c r="C13477" s="7" t="s">
        <v>10</v>
      </c>
      <c r="D13477" s="7">
        <v>18576</v>
      </c>
      <c r="E13477" s="7" t="s">
        <v>23</v>
      </c>
      <c r="F13477" s="8" t="str">
        <f ca="1">IFERROR(__xludf.DUMMYFUNCTION("IF
(
C13478=""фізична особа""
,
VLOOKUP(D13478,IMPORTRANGE(""https://docs.google.com/spreadsheets/d/14Bd19lYaqBhU8_DElYkX7l4wRkHqqCUFNJY4AfY3kHU/edit?usp=sharing  #gid=0"",""фіз особи new!relations_name""),6,FALSE)
,
(IF
(
C13478=""юридична особа""
,
VLOO"&amp;"KUP(D13478,IMPORTRANGE(""https://docs.google.com/spreadsheets/d/14Bd19lYaqBhU8_DElYkX7l4wRkHqqCUFNJY4AfY3kHU/edit?usp=sharing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7" s="7" t="s">
        <v>10</v>
      </c>
      <c r="H13477" s="7">
        <v>18848</v>
      </c>
      <c r="I13477" s="8" t="str">
        <f ca="1">IFERROR(__xludf.DUMMYFUNCTION("IF
(
G13478=""фізична особа""
,
VLOOKUP(H13478,IMPORTRANGE(""https://docs.google.com/spreadsheets/d/14Bd19lYaqBhU8_DElYkX7l4wRkHqqCUFNJY4AfY3kHU/edit?usp=sharing  #gid=0"",""фіз особи new!relations_name""),6,FALSE)
,
(IF
(
G13478=""юридична особа""
,
VLOO"&amp;"KUP(H13478,IMPORTRANGE(""https://docs.google.com/spreadsheets/d/14Bd19lYaqBhU8_DElYkX7l4wRkHqqCUFNJY4AfY3kHU/edit?usp=sharing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477" s="7" t="s">
        <v>23</v>
      </c>
    </row>
    <row r="13478" spans="1:10" ht="13.2">
      <c r="A13478" s="7">
        <v>13477</v>
      </c>
      <c r="B13478" s="7">
        <v>1</v>
      </c>
      <c r="C13478" s="7" t="s">
        <v>10</v>
      </c>
      <c r="D13478" s="7">
        <v>18576</v>
      </c>
      <c r="E13478" s="7" t="s">
        <v>23</v>
      </c>
      <c r="F13478" s="8" t="str">
        <f ca="1">IFERROR(__xludf.DUMMYFUNCTION("IF
(
C13479=""фізична особа""
,
VLOOKUP(D13479,IMPORTRANGE(""https://docs.google.com/spreadsheets/d/14Bd19lYaqBhU8_DElYkX7l4wRkHqqCUFNJY4AfY3kHU/edit?usp=sharing  #gid=0"",""фіз особи new!relations_name""),6,FALSE)
,
(IF
(
C13479=""юридична особа""
,
VLOO"&amp;"KUP(D13479,IMPORTRANGE(""https://docs.google.com/spreadsheets/d/14Bd19lYaqBhU8_DElYkX7l4wRkHqqCUFNJY4AfY3kHU/edit?usp=sharing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8" s="7" t="s">
        <v>10</v>
      </c>
      <c r="H13478" s="7">
        <v>18849</v>
      </c>
      <c r="I13478" s="8" t="str">
        <f ca="1">IFERROR(__xludf.DUMMYFUNCTION("IF
(
G13479=""фізична особа""
,
VLOOKUP(H13479,IMPORTRANGE(""https://docs.google.com/spreadsheets/d/14Bd19lYaqBhU8_DElYkX7l4wRkHqqCUFNJY4AfY3kHU/edit?usp=sharing  #gid=0"",""фіз особи new!relations_name""),6,FALSE)
,
(IF
(
G13479=""юридична особа""
,
VLOO"&amp;"KUP(H13479,IMPORTRANGE(""https://docs.google.com/spreadsheets/d/14Bd19lYaqBhU8_DElYkX7l4wRkHqqCUFNJY4AfY3kHU/edit?usp=sharing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478" s="7" t="s">
        <v>23</v>
      </c>
    </row>
    <row r="13479" spans="1:10" ht="13.2">
      <c r="A13479" s="7">
        <v>13478</v>
      </c>
      <c r="B13479" s="7">
        <v>1</v>
      </c>
      <c r="C13479" s="7" t="s">
        <v>10</v>
      </c>
      <c r="D13479" s="7">
        <v>18576</v>
      </c>
      <c r="E13479" s="7" t="s">
        <v>23</v>
      </c>
      <c r="F13479" s="8" t="str">
        <f ca="1">IFERROR(__xludf.DUMMYFUNCTION("IF
(
C13480=""фізична особа""
,
VLOOKUP(D13480,IMPORTRANGE(""https://docs.google.com/spreadsheets/d/14Bd19lYaqBhU8_DElYkX7l4wRkHqqCUFNJY4AfY3kHU/edit?usp=sharing  #gid=0"",""фіз особи new!relations_name""),6,FALSE)
,
(IF
(
C13480=""юридична особа""
,
VLOO"&amp;"KUP(D13480,IMPORTRANGE(""https://docs.google.com/spreadsheets/d/14Bd19lYaqBhU8_DElYkX7l4wRkHqqCUFNJY4AfY3kHU/edit?usp=sharing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79" s="7" t="s">
        <v>10</v>
      </c>
      <c r="H13479" s="7">
        <v>18850</v>
      </c>
      <c r="I13479" s="8" t="str">
        <f ca="1">IFERROR(__xludf.DUMMYFUNCTION("IF
(
G13480=""фізична особа""
,
VLOOKUP(H13480,IMPORTRANGE(""https://docs.google.com/spreadsheets/d/14Bd19lYaqBhU8_DElYkX7l4wRkHqqCUFNJY4AfY3kHU/edit?usp=sharing  #gid=0"",""фіз особи new!relations_name""),6,FALSE)
,
(IF
(
G13480=""юридична особа""
,
VLOO"&amp;"KUP(H13480,IMPORTRANGE(""https://docs.google.com/spreadsheets/d/14Bd19lYaqBhU8_DElYkX7l4wRkHqqCUFNJY4AfY3kHU/edit?usp=sharing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479" s="7" t="s">
        <v>23</v>
      </c>
    </row>
    <row r="13480" spans="1:10" ht="13.2">
      <c r="A13480" s="7">
        <v>13479</v>
      </c>
      <c r="B13480" s="7">
        <v>1</v>
      </c>
      <c r="C13480" s="7" t="s">
        <v>10</v>
      </c>
      <c r="D13480" s="7">
        <v>18576</v>
      </c>
      <c r="E13480" s="7" t="s">
        <v>23</v>
      </c>
      <c r="F13480" s="8" t="str">
        <f ca="1">IFERROR(__xludf.DUMMYFUNCTION("IF
(
C13481=""фізична особа""
,
VLOOKUP(D13481,IMPORTRANGE(""https://docs.google.com/spreadsheets/d/14Bd19lYaqBhU8_DElYkX7l4wRkHqqCUFNJY4AfY3kHU/edit?usp=sharing  #gid=0"",""фіз особи new!relations_name""),6,FALSE)
,
(IF
(
C13481=""юридична особа""
,
VLOO"&amp;"KUP(D13481,IMPORTRANGE(""https://docs.google.com/spreadsheets/d/14Bd19lYaqBhU8_DElYkX7l4wRkHqqCUFNJY4AfY3kHU/edit?usp=sharing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0" s="7" t="s">
        <v>10</v>
      </c>
      <c r="H13480" s="7">
        <v>18851</v>
      </c>
      <c r="I13480" s="8" t="str">
        <f ca="1">IFERROR(__xludf.DUMMYFUNCTION("IF
(
G13481=""фізична особа""
,
VLOOKUP(H13481,IMPORTRANGE(""https://docs.google.com/spreadsheets/d/14Bd19lYaqBhU8_DElYkX7l4wRkHqqCUFNJY4AfY3kHU/edit?usp=sharing  #gid=0"",""фіз особи new!relations_name""),6,FALSE)
,
(IF
(
G13481=""юридична особа""
,
VLOO"&amp;"KUP(H13481,IMPORTRANGE(""https://docs.google.com/spreadsheets/d/14Bd19lYaqBhU8_DElYkX7l4wRkHqqCUFNJY4AfY3kHU/edit?usp=sharing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480" s="7" t="s">
        <v>23</v>
      </c>
    </row>
    <row r="13481" spans="1:10" ht="13.2">
      <c r="A13481" s="7">
        <v>13480</v>
      </c>
      <c r="B13481" s="7">
        <v>1</v>
      </c>
      <c r="C13481" s="7" t="s">
        <v>10</v>
      </c>
      <c r="D13481" s="7">
        <v>18576</v>
      </c>
      <c r="E13481" s="7" t="s">
        <v>23</v>
      </c>
      <c r="F13481" s="8" t="str">
        <f ca="1">IFERROR(__xludf.DUMMYFUNCTION("IF
(
C13482=""фізична особа""
,
VLOOKUP(D13482,IMPORTRANGE(""https://docs.google.com/spreadsheets/d/14Bd19lYaqBhU8_DElYkX7l4wRkHqqCUFNJY4AfY3kHU/edit?usp=sharing  #gid=0"",""фіз особи new!relations_name""),6,FALSE)
,
(IF
(
C13482=""юридична особа""
,
VLOO"&amp;"KUP(D13482,IMPORTRANGE(""https://docs.google.com/spreadsheets/d/14Bd19lYaqBhU8_DElYkX7l4wRkHqqCUFNJY4AfY3kHU/edit?usp=sharing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1" s="7" t="s">
        <v>10</v>
      </c>
      <c r="H13481" s="7">
        <v>18852</v>
      </c>
      <c r="I13481" s="8" t="str">
        <f ca="1">IFERROR(__xludf.DUMMYFUNCTION("IF
(
G13482=""фізична особа""
,
VLOOKUP(H13482,IMPORTRANGE(""https://docs.google.com/spreadsheets/d/14Bd19lYaqBhU8_DElYkX7l4wRkHqqCUFNJY4AfY3kHU/edit?usp=sharing  #gid=0"",""фіз особи new!relations_name""),6,FALSE)
,
(IF
(
G13482=""юридична особа""
,
VLOO"&amp;"KUP(H13482,IMPORTRANGE(""https://docs.google.com/spreadsheets/d/14Bd19lYaqBhU8_DElYkX7l4wRkHqqCUFNJY4AfY3kHU/edit?usp=sharing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481" s="7" t="s">
        <v>23</v>
      </c>
    </row>
    <row r="13482" spans="1:10" ht="13.2">
      <c r="A13482" s="7">
        <v>13481</v>
      </c>
      <c r="B13482" s="7">
        <v>1</v>
      </c>
      <c r="C13482" s="7" t="s">
        <v>10</v>
      </c>
      <c r="D13482" s="7">
        <v>18576</v>
      </c>
      <c r="E13482" s="7" t="s">
        <v>23</v>
      </c>
      <c r="F13482" s="8" t="str">
        <f ca="1">IFERROR(__xludf.DUMMYFUNCTION("IF
(
C13483=""фізична особа""
,
VLOOKUP(D13483,IMPORTRANGE(""https://docs.google.com/spreadsheets/d/14Bd19lYaqBhU8_DElYkX7l4wRkHqqCUFNJY4AfY3kHU/edit?usp=sharing  #gid=0"",""фіз особи new!relations_name""),6,FALSE)
,
(IF
(
C13483=""юридична особа""
,
VLOO"&amp;"KUP(D13483,IMPORTRANGE(""https://docs.google.com/spreadsheets/d/14Bd19lYaqBhU8_DElYkX7l4wRkHqqCUFNJY4AfY3kHU/edit?usp=sharing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2" s="7" t="s">
        <v>10</v>
      </c>
      <c r="H13482" s="7">
        <v>18853</v>
      </c>
      <c r="I13482" s="8" t="str">
        <f ca="1">IFERROR(__xludf.DUMMYFUNCTION("IF
(
G13483=""фізична особа""
,
VLOOKUP(H13483,IMPORTRANGE(""https://docs.google.com/spreadsheets/d/14Bd19lYaqBhU8_DElYkX7l4wRkHqqCUFNJY4AfY3kHU/edit?usp=sharing  #gid=0"",""фіз особи new!relations_name""),6,FALSE)
,
(IF
(
G13483=""юридична особа""
,
VLOO"&amp;"KUP(H13483,IMPORTRANGE(""https://docs.google.com/spreadsheets/d/14Bd19lYaqBhU8_DElYkX7l4wRkHqqCUFNJY4AfY3kHU/edit?usp=sharing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482" s="7" t="s">
        <v>23</v>
      </c>
    </row>
    <row r="13483" spans="1:10" ht="13.2">
      <c r="A13483" s="7">
        <v>13482</v>
      </c>
      <c r="B13483" s="7">
        <v>1</v>
      </c>
      <c r="C13483" s="7" t="s">
        <v>10</v>
      </c>
      <c r="D13483" s="7">
        <v>18576</v>
      </c>
      <c r="E13483" s="7" t="s">
        <v>23</v>
      </c>
      <c r="F13483" s="8" t="str">
        <f ca="1">IFERROR(__xludf.DUMMYFUNCTION("IF
(
C13484=""фізична особа""
,
VLOOKUP(D13484,IMPORTRANGE(""https://docs.google.com/spreadsheets/d/14Bd19lYaqBhU8_DElYkX7l4wRkHqqCUFNJY4AfY3kHU/edit?usp=sharing  #gid=0"",""фіз особи new!relations_name""),6,FALSE)
,
(IF
(
C13484=""юридична особа""
,
VLOO"&amp;"KUP(D13484,IMPORTRANGE(""https://docs.google.com/spreadsheets/d/14Bd19lYaqBhU8_DElYkX7l4wRkHqqCUFNJY4AfY3kHU/edit?usp=sharing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3" s="7" t="s">
        <v>10</v>
      </c>
      <c r="H13483" s="7">
        <v>18854</v>
      </c>
      <c r="I13483" s="8" t="str">
        <f ca="1">IFERROR(__xludf.DUMMYFUNCTION("IF
(
G13484=""фізична особа""
,
VLOOKUP(H13484,IMPORTRANGE(""https://docs.google.com/spreadsheets/d/14Bd19lYaqBhU8_DElYkX7l4wRkHqqCUFNJY4AfY3kHU/edit?usp=sharing  #gid=0"",""фіз особи new!relations_name""),6,FALSE)
,
(IF
(
G13484=""юридична особа""
,
VLOO"&amp;"KUP(H13484,IMPORTRANGE(""https://docs.google.com/spreadsheets/d/14Bd19lYaqBhU8_DElYkX7l4wRkHqqCUFNJY4AfY3kHU/edit?usp=sharing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483" s="7" t="s">
        <v>23</v>
      </c>
    </row>
    <row r="13484" spans="1:10" ht="13.2">
      <c r="A13484" s="7">
        <v>13483</v>
      </c>
      <c r="B13484" s="7">
        <v>1</v>
      </c>
      <c r="C13484" s="7" t="s">
        <v>10</v>
      </c>
      <c r="D13484" s="7">
        <v>18576</v>
      </c>
      <c r="E13484" s="7" t="s">
        <v>23</v>
      </c>
      <c r="F13484" s="8" t="str">
        <f ca="1">IFERROR(__xludf.DUMMYFUNCTION("IF
(
C13485=""фізична особа""
,
VLOOKUP(D13485,IMPORTRANGE(""https://docs.google.com/spreadsheets/d/14Bd19lYaqBhU8_DElYkX7l4wRkHqqCUFNJY4AfY3kHU/edit?usp=sharing  #gid=0"",""фіз особи new!relations_name""),6,FALSE)
,
(IF
(
C13485=""юридична особа""
,
VLOO"&amp;"KUP(D13485,IMPORTRANGE(""https://docs.google.com/spreadsheets/d/14Bd19lYaqBhU8_DElYkX7l4wRkHqqCUFNJY4AfY3kHU/edit?usp=sharing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4" s="7" t="s">
        <v>10</v>
      </c>
      <c r="H13484" s="7">
        <v>18855</v>
      </c>
      <c r="I13484" s="8" t="str">
        <f ca="1">IFERROR(__xludf.DUMMYFUNCTION("IF
(
G13485=""фізична особа""
,
VLOOKUP(H13485,IMPORTRANGE(""https://docs.google.com/spreadsheets/d/14Bd19lYaqBhU8_DElYkX7l4wRkHqqCUFNJY4AfY3kHU/edit?usp=sharing  #gid=0"",""фіз особи new!relations_name""),6,FALSE)
,
(IF
(
G13485=""юридична особа""
,
VLOO"&amp;"KUP(H13485,IMPORTRANGE(""https://docs.google.com/spreadsheets/d/14Bd19lYaqBhU8_DElYkX7l4wRkHqqCUFNJY4AfY3kHU/edit?usp=sharing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484" s="7" t="s">
        <v>23</v>
      </c>
    </row>
    <row r="13485" spans="1:10" ht="13.2">
      <c r="A13485" s="7">
        <v>13484</v>
      </c>
      <c r="B13485" s="7">
        <v>1</v>
      </c>
      <c r="C13485" s="7" t="s">
        <v>10</v>
      </c>
      <c r="D13485" s="7">
        <v>18576</v>
      </c>
      <c r="E13485" s="7" t="s">
        <v>23</v>
      </c>
      <c r="F13485" s="8" t="str">
        <f ca="1">IFERROR(__xludf.DUMMYFUNCTION("IF
(
C13486=""фізична особа""
,
VLOOKUP(D13486,IMPORTRANGE(""https://docs.google.com/spreadsheets/d/14Bd19lYaqBhU8_DElYkX7l4wRkHqqCUFNJY4AfY3kHU/edit?usp=sharing  #gid=0"",""фіз особи new!relations_name""),6,FALSE)
,
(IF
(
C13486=""юридична особа""
,
VLOO"&amp;"KUP(D13486,IMPORTRANGE(""https://docs.google.com/spreadsheets/d/14Bd19lYaqBhU8_DElYkX7l4wRkHqqCUFNJY4AfY3kHU/edit?usp=sharing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G13485" s="7" t="s">
        <v>10</v>
      </c>
      <c r="H13485" s="7">
        <v>18856</v>
      </c>
      <c r="I13485" s="8" t="str">
        <f ca="1">IFERROR(__xludf.DUMMYFUNCTION("IF
(
G13486=""фізична особа""
,
VLOOKUP(H13486,IMPORTRANGE(""https://docs.google.com/spreadsheets/d/14Bd19lYaqBhU8_DElYkX7l4wRkHqqCUFNJY4AfY3kHU/edit?usp=sharing  #gid=0"",""фіз особи new!relations_name""),6,FALSE)
,
(IF
(
G13486=""юридична особа""
,
VLOO"&amp;"KUP(H13486,IMPORTRANGE(""https://docs.google.com/spreadsheets/d/14Bd19lYaqBhU8_DElYkX7l4wRkHqqCUFNJY4AfY3kHU/edit?usp=sharing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485" s="7" t="s">
        <v>23</v>
      </c>
    </row>
    <row r="13486" spans="1:10" ht="13.2">
      <c r="A13486" s="7">
        <v>13485</v>
      </c>
      <c r="B13486" s="7">
        <v>1</v>
      </c>
      <c r="C13486" s="7" t="s">
        <v>10</v>
      </c>
      <c r="D13486" s="7">
        <v>18577</v>
      </c>
      <c r="E13486" s="7" t="s">
        <v>23</v>
      </c>
      <c r="F13486" s="8" t="str">
        <f ca="1">IFERROR(__xludf.DUMMYFUNCTION("IF
(
C13487=""фізична особа""
,
VLOOKUP(D13487,IMPORTRANGE(""https://docs.google.com/spreadsheets/d/14Bd19lYaqBhU8_DElYkX7l4wRkHqqCUFNJY4AfY3kHU/edit?usp=sharing  #gid=0"",""фіз особи new!relations_name""),6,FALSE)
,
(IF
(
C13487=""юридична особа""
,
VLOO"&amp;"KUP(D13487,IMPORTRANGE(""https://docs.google.com/spreadsheets/d/14Bd19lYaqBhU8_DElYkX7l4wRkHqqCUFNJY4AfY3kHU/edit?usp=sharing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86" s="7" t="s">
        <v>10</v>
      </c>
      <c r="H13486" s="7">
        <v>18576</v>
      </c>
      <c r="I13486" s="8" t="str">
        <f ca="1">IFERROR(__xludf.DUMMYFUNCTION("IF
(
G13487=""фізична особа""
,
VLOOKUP(H13487,IMPORTRANGE(""https://docs.google.com/spreadsheets/d/14Bd19lYaqBhU8_DElYkX7l4wRkHqqCUFNJY4AfY3kHU/edit?usp=sharing  #gid=0"",""фіз особи new!relations_name""),6,FALSE)
,
(IF
(
G13487=""юридична особа""
,
VLOO"&amp;"KUP(H13487,IMPORTRANGE(""https://docs.google.com/spreadsheets/d/14Bd19lYaqBhU8_DElYkX7l4wRkHqqCUFNJY4AfY3kHU/edit?usp=sharing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486" s="7" t="s">
        <v>23</v>
      </c>
    </row>
    <row r="13487" spans="1:10" ht="13.2">
      <c r="A13487" s="7">
        <v>13486</v>
      </c>
      <c r="B13487" s="7">
        <v>1</v>
      </c>
      <c r="C13487" s="7" t="s">
        <v>10</v>
      </c>
      <c r="D13487" s="7">
        <v>18577</v>
      </c>
      <c r="E13487" s="7" t="s">
        <v>23</v>
      </c>
      <c r="F13487" s="8" t="str">
        <f ca="1">IFERROR(__xludf.DUMMYFUNCTION("IF
(
C13488=""фізична особа""
,
VLOOKUP(D13488,IMPORTRANGE(""https://docs.google.com/spreadsheets/d/14Bd19lYaqBhU8_DElYkX7l4wRkHqqCUFNJY4AfY3kHU/edit?usp=sharing  #gid=0"",""фіз особи new!relations_name""),6,FALSE)
,
(IF
(
C13488=""юридична особа""
,
VLOO"&amp;"KUP(D13488,IMPORTRANGE(""https://docs.google.com/spreadsheets/d/14Bd19lYaqBhU8_DElYkX7l4wRkHqqCUFNJY4AfY3kHU/edit?usp=sharing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87" s="7" t="s">
        <v>10</v>
      </c>
      <c r="H13487" s="7">
        <v>18578</v>
      </c>
      <c r="I13487" s="8" t="str">
        <f ca="1">IFERROR(__xludf.DUMMYFUNCTION("IF
(
G13488=""фізична особа""
,
VLOOKUP(H13488,IMPORTRANGE(""https://docs.google.com/spreadsheets/d/14Bd19lYaqBhU8_DElYkX7l4wRkHqqCUFNJY4AfY3kHU/edit?usp=sharing  #gid=0"",""фіз особи new!relations_name""),6,FALSE)
,
(IF
(
G13488=""юридична особа""
,
VLOO"&amp;"KUP(H13488,IMPORTRANGE(""https://docs.google.com/spreadsheets/d/14Bd19lYaqBhU8_DElYkX7l4wRkHqqCUFNJY4AfY3kHU/edit?usp=sharing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487" s="7" t="s">
        <v>23</v>
      </c>
    </row>
    <row r="13488" spans="1:10" ht="13.2">
      <c r="A13488" s="7">
        <v>13487</v>
      </c>
      <c r="B13488" s="7">
        <v>1</v>
      </c>
      <c r="C13488" s="7" t="s">
        <v>10</v>
      </c>
      <c r="D13488" s="7">
        <v>18577</v>
      </c>
      <c r="E13488" s="7" t="s">
        <v>23</v>
      </c>
      <c r="F13488" s="8" t="str">
        <f ca="1">IFERROR(__xludf.DUMMYFUNCTION("IF
(
C13489=""фізична особа""
,
VLOOKUP(D13489,IMPORTRANGE(""https://docs.google.com/spreadsheets/d/14Bd19lYaqBhU8_DElYkX7l4wRkHqqCUFNJY4AfY3kHU/edit?usp=sharing  #gid=0"",""фіз особи new!relations_name""),6,FALSE)
,
(IF
(
C13489=""юридична особа""
,
VLOO"&amp;"KUP(D13489,IMPORTRANGE(""https://docs.google.com/spreadsheets/d/14Bd19lYaqBhU8_DElYkX7l4wRkHqqCUFNJY4AfY3kHU/edit?usp=sharing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88" s="7" t="s">
        <v>10</v>
      </c>
      <c r="H13488" s="7">
        <v>18579</v>
      </c>
      <c r="I13488" s="8" t="str">
        <f ca="1">IFERROR(__xludf.DUMMYFUNCTION("IF
(
G13489=""фізична особа""
,
VLOOKUP(H13489,IMPORTRANGE(""https://docs.google.com/spreadsheets/d/14Bd19lYaqBhU8_DElYkX7l4wRkHqqCUFNJY4AfY3kHU/edit?usp=sharing  #gid=0"",""фіз особи new!relations_name""),6,FALSE)
,
(IF
(
G13489=""юридична особа""
,
VLOO"&amp;"KUP(H13489,IMPORTRANGE(""https://docs.google.com/spreadsheets/d/14Bd19lYaqBhU8_DElYkX7l4wRkHqqCUFNJY4AfY3kHU/edit?usp=sharing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488" s="7" t="s">
        <v>23</v>
      </c>
    </row>
    <row r="13489" spans="1:10" ht="13.2">
      <c r="A13489" s="7">
        <v>13488</v>
      </c>
      <c r="B13489" s="7">
        <v>1</v>
      </c>
      <c r="C13489" s="7" t="s">
        <v>10</v>
      </c>
      <c r="D13489" s="7">
        <v>18577</v>
      </c>
      <c r="E13489" s="7" t="s">
        <v>23</v>
      </c>
      <c r="F13489" s="8" t="str">
        <f ca="1">IFERROR(__xludf.DUMMYFUNCTION("IF
(
C13490=""фізична особа""
,
VLOOKUP(D13490,IMPORTRANGE(""https://docs.google.com/spreadsheets/d/14Bd19lYaqBhU8_DElYkX7l4wRkHqqCUFNJY4AfY3kHU/edit?usp=sharing  #gid=0"",""фіз особи new!relations_name""),6,FALSE)
,
(IF
(
C13490=""юридична особа""
,
VLOO"&amp;"KUP(D13490,IMPORTRANGE(""https://docs.google.com/spreadsheets/d/14Bd19lYaqBhU8_DElYkX7l4wRkHqqCUFNJY4AfY3kHU/edit?usp=sharing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89" s="7" t="s">
        <v>10</v>
      </c>
      <c r="H13489" s="7">
        <v>18580</v>
      </c>
      <c r="I13489" s="8" t="str">
        <f ca="1">IFERROR(__xludf.DUMMYFUNCTION("IF
(
G13490=""фізична особа""
,
VLOOKUP(H13490,IMPORTRANGE(""https://docs.google.com/spreadsheets/d/14Bd19lYaqBhU8_DElYkX7l4wRkHqqCUFNJY4AfY3kHU/edit?usp=sharing  #gid=0"",""фіз особи new!relations_name""),6,FALSE)
,
(IF
(
G13490=""юридична особа""
,
VLOO"&amp;"KUP(H13490,IMPORTRANGE(""https://docs.google.com/spreadsheets/d/14Bd19lYaqBhU8_DElYkX7l4wRkHqqCUFNJY4AfY3kHU/edit?usp=sharing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489" s="7" t="s">
        <v>23</v>
      </c>
    </row>
    <row r="13490" spans="1:10" ht="13.2">
      <c r="A13490" s="7">
        <v>13489</v>
      </c>
      <c r="B13490" s="7">
        <v>1</v>
      </c>
      <c r="C13490" s="7" t="s">
        <v>10</v>
      </c>
      <c r="D13490" s="7">
        <v>18577</v>
      </c>
      <c r="E13490" s="7" t="s">
        <v>23</v>
      </c>
      <c r="F13490" s="8" t="str">
        <f ca="1">IFERROR(__xludf.DUMMYFUNCTION("IF
(
C13491=""фізична особа""
,
VLOOKUP(D13491,IMPORTRANGE(""https://docs.google.com/spreadsheets/d/14Bd19lYaqBhU8_DElYkX7l4wRkHqqCUFNJY4AfY3kHU/edit?usp=sharing  #gid=0"",""фіз особи new!relations_name""),6,FALSE)
,
(IF
(
C13491=""юридична особа""
,
VLOO"&amp;"KUP(D13491,IMPORTRANGE(""https://docs.google.com/spreadsheets/d/14Bd19lYaqBhU8_DElYkX7l4wRkHqqCUFNJY4AfY3kHU/edit?usp=sharing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0" s="7" t="s">
        <v>10</v>
      </c>
      <c r="H13490" s="7">
        <v>18581</v>
      </c>
      <c r="I13490" s="8" t="str">
        <f ca="1">IFERROR(__xludf.DUMMYFUNCTION("IF
(
G13491=""фізична особа""
,
VLOOKUP(H13491,IMPORTRANGE(""https://docs.google.com/spreadsheets/d/14Bd19lYaqBhU8_DElYkX7l4wRkHqqCUFNJY4AfY3kHU/edit?usp=sharing  #gid=0"",""фіз особи new!relations_name""),6,FALSE)
,
(IF
(
G13491=""юридична особа""
,
VLOO"&amp;"KUP(H13491,IMPORTRANGE(""https://docs.google.com/spreadsheets/d/14Bd19lYaqBhU8_DElYkX7l4wRkHqqCUFNJY4AfY3kHU/edit?usp=sharing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490" s="7" t="s">
        <v>23</v>
      </c>
    </row>
    <row r="13491" spans="1:10" ht="13.2">
      <c r="A13491" s="7">
        <v>13490</v>
      </c>
      <c r="B13491" s="7">
        <v>1</v>
      </c>
      <c r="C13491" s="7" t="s">
        <v>10</v>
      </c>
      <c r="D13491" s="7">
        <v>18577</v>
      </c>
      <c r="E13491" s="7" t="s">
        <v>23</v>
      </c>
      <c r="F13491" s="8" t="str">
        <f ca="1">IFERROR(__xludf.DUMMYFUNCTION("IF
(
C13492=""фізична особа""
,
VLOOKUP(D13492,IMPORTRANGE(""https://docs.google.com/spreadsheets/d/14Bd19lYaqBhU8_DElYkX7l4wRkHqqCUFNJY4AfY3kHU/edit?usp=sharing  #gid=0"",""фіз особи new!relations_name""),6,FALSE)
,
(IF
(
C13492=""юридична особа""
,
VLOO"&amp;"KUP(D13492,IMPORTRANGE(""https://docs.google.com/spreadsheets/d/14Bd19lYaqBhU8_DElYkX7l4wRkHqqCUFNJY4AfY3kHU/edit?usp=sharing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1" s="7" t="s">
        <v>10</v>
      </c>
      <c r="H13491" s="7">
        <v>18582</v>
      </c>
      <c r="I13491" s="8" t="str">
        <f ca="1">IFERROR(__xludf.DUMMYFUNCTION("IF
(
G13492=""фізична особа""
,
VLOOKUP(H13492,IMPORTRANGE(""https://docs.google.com/spreadsheets/d/14Bd19lYaqBhU8_DElYkX7l4wRkHqqCUFNJY4AfY3kHU/edit?usp=sharing  #gid=0"",""фіз особи new!relations_name""),6,FALSE)
,
(IF
(
G13492=""юридична особа""
,
VLOO"&amp;"KUP(H13492,IMPORTRANGE(""https://docs.google.com/spreadsheets/d/14Bd19lYaqBhU8_DElYkX7l4wRkHqqCUFNJY4AfY3kHU/edit?usp=sharing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491" s="7" t="s">
        <v>23</v>
      </c>
    </row>
    <row r="13492" spans="1:10" ht="13.2">
      <c r="A13492" s="7">
        <v>13491</v>
      </c>
      <c r="B13492" s="7">
        <v>1</v>
      </c>
      <c r="C13492" s="7" t="s">
        <v>10</v>
      </c>
      <c r="D13492" s="7">
        <v>18577</v>
      </c>
      <c r="E13492" s="7" t="s">
        <v>23</v>
      </c>
      <c r="F13492" s="8" t="str">
        <f ca="1">IFERROR(__xludf.DUMMYFUNCTION("IF
(
C13493=""фізична особа""
,
VLOOKUP(D13493,IMPORTRANGE(""https://docs.google.com/spreadsheets/d/14Bd19lYaqBhU8_DElYkX7l4wRkHqqCUFNJY4AfY3kHU/edit?usp=sharing  #gid=0"",""фіз особи new!relations_name""),6,FALSE)
,
(IF
(
C13493=""юридична особа""
,
VLOO"&amp;"KUP(D13493,IMPORTRANGE(""https://docs.google.com/spreadsheets/d/14Bd19lYaqBhU8_DElYkX7l4wRkHqqCUFNJY4AfY3kHU/edit?usp=sharing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2" s="7" t="s">
        <v>10</v>
      </c>
      <c r="H13492" s="7">
        <v>18583</v>
      </c>
      <c r="I13492" s="8" t="str">
        <f ca="1">IFERROR(__xludf.DUMMYFUNCTION("IF
(
G13493=""фізична особа""
,
VLOOKUP(H13493,IMPORTRANGE(""https://docs.google.com/spreadsheets/d/14Bd19lYaqBhU8_DElYkX7l4wRkHqqCUFNJY4AfY3kHU/edit?usp=sharing  #gid=0"",""фіз особи new!relations_name""),6,FALSE)
,
(IF
(
G13493=""юридична особа""
,
VLOO"&amp;"KUP(H13493,IMPORTRANGE(""https://docs.google.com/spreadsheets/d/14Bd19lYaqBhU8_DElYkX7l4wRkHqqCUFNJY4AfY3kHU/edit?usp=sharing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492" s="7" t="s">
        <v>23</v>
      </c>
    </row>
    <row r="13493" spans="1:10" ht="13.2">
      <c r="A13493" s="7">
        <v>13492</v>
      </c>
      <c r="B13493" s="7">
        <v>1</v>
      </c>
      <c r="C13493" s="7" t="s">
        <v>10</v>
      </c>
      <c r="D13493" s="7">
        <v>18577</v>
      </c>
      <c r="E13493" s="7" t="s">
        <v>23</v>
      </c>
      <c r="F13493" s="8" t="str">
        <f ca="1">IFERROR(__xludf.DUMMYFUNCTION("IF
(
C13494=""фізична особа""
,
VLOOKUP(D13494,IMPORTRANGE(""https://docs.google.com/spreadsheets/d/14Bd19lYaqBhU8_DElYkX7l4wRkHqqCUFNJY4AfY3kHU/edit?usp=sharing  #gid=0"",""фіз особи new!relations_name""),6,FALSE)
,
(IF
(
C13494=""юридична особа""
,
VLOO"&amp;"KUP(D13494,IMPORTRANGE(""https://docs.google.com/spreadsheets/d/14Bd19lYaqBhU8_DElYkX7l4wRkHqqCUFNJY4AfY3kHU/edit?usp=sharing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3" s="7" t="s">
        <v>10</v>
      </c>
      <c r="H13493" s="7">
        <v>18584</v>
      </c>
      <c r="I13493" s="8" t="str">
        <f ca="1">IFERROR(__xludf.DUMMYFUNCTION("IF
(
G13494=""фізична особа""
,
VLOOKUP(H13494,IMPORTRANGE(""https://docs.google.com/spreadsheets/d/14Bd19lYaqBhU8_DElYkX7l4wRkHqqCUFNJY4AfY3kHU/edit?usp=sharing  #gid=0"",""фіз особи new!relations_name""),6,FALSE)
,
(IF
(
G13494=""юридична особа""
,
VLOO"&amp;"KUP(H13494,IMPORTRANGE(""https://docs.google.com/spreadsheets/d/14Bd19lYaqBhU8_DElYkX7l4wRkHqqCUFNJY4AfY3kHU/edit?usp=sharing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493" s="7" t="s">
        <v>23</v>
      </c>
    </row>
    <row r="13494" spans="1:10" ht="13.2">
      <c r="A13494" s="7">
        <v>13493</v>
      </c>
      <c r="B13494" s="7">
        <v>1</v>
      </c>
      <c r="C13494" s="7" t="s">
        <v>10</v>
      </c>
      <c r="D13494" s="7">
        <v>18577</v>
      </c>
      <c r="E13494" s="7" t="s">
        <v>23</v>
      </c>
      <c r="F13494" s="8" t="str">
        <f ca="1">IFERROR(__xludf.DUMMYFUNCTION("IF
(
C13495=""фізична особа""
,
VLOOKUP(D13495,IMPORTRANGE(""https://docs.google.com/spreadsheets/d/14Bd19lYaqBhU8_DElYkX7l4wRkHqqCUFNJY4AfY3kHU/edit?usp=sharing  #gid=0"",""фіз особи new!relations_name""),6,FALSE)
,
(IF
(
C13495=""юридична особа""
,
VLOO"&amp;"KUP(D13495,IMPORTRANGE(""https://docs.google.com/spreadsheets/d/14Bd19lYaqBhU8_DElYkX7l4wRkHqqCUFNJY4AfY3kHU/edit?usp=sharing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4" s="7" t="s">
        <v>10</v>
      </c>
      <c r="H13494" s="7">
        <v>18585</v>
      </c>
      <c r="I13494" s="8" t="str">
        <f ca="1">IFERROR(__xludf.DUMMYFUNCTION("IF
(
G13495=""фізична особа""
,
VLOOKUP(H13495,IMPORTRANGE(""https://docs.google.com/spreadsheets/d/14Bd19lYaqBhU8_DElYkX7l4wRkHqqCUFNJY4AfY3kHU/edit?usp=sharing  #gid=0"",""фіз особи new!relations_name""),6,FALSE)
,
(IF
(
G13495=""юридична особа""
,
VLOO"&amp;"KUP(H13495,IMPORTRANGE(""https://docs.google.com/spreadsheets/d/14Bd19lYaqBhU8_DElYkX7l4wRkHqqCUFNJY4AfY3kHU/edit?usp=sharing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494" s="7" t="s">
        <v>23</v>
      </c>
    </row>
    <row r="13495" spans="1:10" ht="13.2">
      <c r="A13495" s="7">
        <v>13494</v>
      </c>
      <c r="B13495" s="7">
        <v>1</v>
      </c>
      <c r="C13495" s="7" t="s">
        <v>10</v>
      </c>
      <c r="D13495" s="7">
        <v>18577</v>
      </c>
      <c r="E13495" s="7" t="s">
        <v>23</v>
      </c>
      <c r="F13495" s="8" t="str">
        <f ca="1">IFERROR(__xludf.DUMMYFUNCTION("IF
(
C13496=""фізична особа""
,
VLOOKUP(D13496,IMPORTRANGE(""https://docs.google.com/spreadsheets/d/14Bd19lYaqBhU8_DElYkX7l4wRkHqqCUFNJY4AfY3kHU/edit?usp=sharing  #gid=0"",""фіз особи new!relations_name""),6,FALSE)
,
(IF
(
C13496=""юридична особа""
,
VLOO"&amp;"KUP(D13496,IMPORTRANGE(""https://docs.google.com/spreadsheets/d/14Bd19lYaqBhU8_DElYkX7l4wRkHqqCUFNJY4AfY3kHU/edit?usp=sharing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5" s="7" t="s">
        <v>10</v>
      </c>
      <c r="H13495" s="7">
        <v>18847</v>
      </c>
      <c r="I13495" s="8" t="str">
        <f ca="1">IFERROR(__xludf.DUMMYFUNCTION("IF
(
G13496=""фізична особа""
,
VLOOKUP(H13496,IMPORTRANGE(""https://docs.google.com/spreadsheets/d/14Bd19lYaqBhU8_DElYkX7l4wRkHqqCUFNJY4AfY3kHU/edit?usp=sharing  #gid=0"",""фіз особи new!relations_name""),6,FALSE)
,
(IF
(
G13496=""юридична особа""
,
VLOO"&amp;"KUP(H13496,IMPORTRANGE(""https://docs.google.com/spreadsheets/d/14Bd19lYaqBhU8_DElYkX7l4wRkHqqCUFNJY4AfY3kHU/edit?usp=sharing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495" s="7" t="s">
        <v>23</v>
      </c>
    </row>
    <row r="13496" spans="1:10" ht="13.2">
      <c r="A13496" s="7">
        <v>13495</v>
      </c>
      <c r="B13496" s="7">
        <v>1</v>
      </c>
      <c r="C13496" s="7" t="s">
        <v>10</v>
      </c>
      <c r="D13496" s="7">
        <v>18577</v>
      </c>
      <c r="E13496" s="7" t="s">
        <v>23</v>
      </c>
      <c r="F13496" s="8" t="str">
        <f ca="1">IFERROR(__xludf.DUMMYFUNCTION("IF
(
C13497=""фізична особа""
,
VLOOKUP(D13497,IMPORTRANGE(""https://docs.google.com/spreadsheets/d/14Bd19lYaqBhU8_DElYkX7l4wRkHqqCUFNJY4AfY3kHU/edit?usp=sharing  #gid=0"",""фіз особи new!relations_name""),6,FALSE)
,
(IF
(
C13497=""юридична особа""
,
VLOO"&amp;"KUP(D13497,IMPORTRANGE(""https://docs.google.com/spreadsheets/d/14Bd19lYaqBhU8_DElYkX7l4wRkHqqCUFNJY4AfY3kHU/edit?usp=sharing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6" s="7" t="s">
        <v>10</v>
      </c>
      <c r="H13496" s="7">
        <v>18848</v>
      </c>
      <c r="I13496" s="8" t="str">
        <f ca="1">IFERROR(__xludf.DUMMYFUNCTION("IF
(
G13497=""фізична особа""
,
VLOOKUP(H13497,IMPORTRANGE(""https://docs.google.com/spreadsheets/d/14Bd19lYaqBhU8_DElYkX7l4wRkHqqCUFNJY4AfY3kHU/edit?usp=sharing  #gid=0"",""фіз особи new!relations_name""),6,FALSE)
,
(IF
(
G13497=""юридична особа""
,
VLOO"&amp;"KUP(H13497,IMPORTRANGE(""https://docs.google.com/spreadsheets/d/14Bd19lYaqBhU8_DElYkX7l4wRkHqqCUFNJY4AfY3kHU/edit?usp=sharing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496" s="7" t="s">
        <v>23</v>
      </c>
    </row>
    <row r="13497" spans="1:10" ht="13.2">
      <c r="A13497" s="7">
        <v>13496</v>
      </c>
      <c r="B13497" s="7">
        <v>1</v>
      </c>
      <c r="C13497" s="7" t="s">
        <v>10</v>
      </c>
      <c r="D13497" s="7">
        <v>18577</v>
      </c>
      <c r="E13497" s="7" t="s">
        <v>23</v>
      </c>
      <c r="F13497" s="8" t="str">
        <f ca="1">IFERROR(__xludf.DUMMYFUNCTION("IF
(
C13498=""фізична особа""
,
VLOOKUP(D13498,IMPORTRANGE(""https://docs.google.com/spreadsheets/d/14Bd19lYaqBhU8_DElYkX7l4wRkHqqCUFNJY4AfY3kHU/edit?usp=sharing  #gid=0"",""фіз особи new!relations_name""),6,FALSE)
,
(IF
(
C13498=""юридична особа""
,
VLOO"&amp;"KUP(D13498,IMPORTRANGE(""https://docs.google.com/spreadsheets/d/14Bd19lYaqBhU8_DElYkX7l4wRkHqqCUFNJY4AfY3kHU/edit?usp=sharing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7" s="7" t="s">
        <v>10</v>
      </c>
      <c r="H13497" s="7">
        <v>18849</v>
      </c>
      <c r="I13497" s="8" t="str">
        <f ca="1">IFERROR(__xludf.DUMMYFUNCTION("IF
(
G13498=""фізична особа""
,
VLOOKUP(H13498,IMPORTRANGE(""https://docs.google.com/spreadsheets/d/14Bd19lYaqBhU8_DElYkX7l4wRkHqqCUFNJY4AfY3kHU/edit?usp=sharing  #gid=0"",""фіз особи new!relations_name""),6,FALSE)
,
(IF
(
G13498=""юридична особа""
,
VLOO"&amp;"KUP(H13498,IMPORTRANGE(""https://docs.google.com/spreadsheets/d/14Bd19lYaqBhU8_DElYkX7l4wRkHqqCUFNJY4AfY3kHU/edit?usp=sharing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497" s="7" t="s">
        <v>23</v>
      </c>
    </row>
    <row r="13498" spans="1:10" ht="13.2">
      <c r="A13498" s="7">
        <v>13497</v>
      </c>
      <c r="B13498" s="7">
        <v>1</v>
      </c>
      <c r="C13498" s="7" t="s">
        <v>10</v>
      </c>
      <c r="D13498" s="7">
        <v>18577</v>
      </c>
      <c r="E13498" s="7" t="s">
        <v>23</v>
      </c>
      <c r="F13498" s="8" t="str">
        <f ca="1">IFERROR(__xludf.DUMMYFUNCTION("IF
(
C13499=""фізична особа""
,
VLOOKUP(D13499,IMPORTRANGE(""https://docs.google.com/spreadsheets/d/14Bd19lYaqBhU8_DElYkX7l4wRkHqqCUFNJY4AfY3kHU/edit?usp=sharing  #gid=0"",""фіз особи new!relations_name""),6,FALSE)
,
(IF
(
C13499=""юридична особа""
,
VLOO"&amp;"KUP(D13499,IMPORTRANGE(""https://docs.google.com/spreadsheets/d/14Bd19lYaqBhU8_DElYkX7l4wRkHqqCUFNJY4AfY3kHU/edit?usp=sharing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8" s="7" t="s">
        <v>10</v>
      </c>
      <c r="H13498" s="7">
        <v>18850</v>
      </c>
      <c r="I13498" s="8" t="str">
        <f ca="1">IFERROR(__xludf.DUMMYFUNCTION("IF
(
G13499=""фізична особа""
,
VLOOKUP(H13499,IMPORTRANGE(""https://docs.google.com/spreadsheets/d/14Bd19lYaqBhU8_DElYkX7l4wRkHqqCUFNJY4AfY3kHU/edit?usp=sharing  #gid=0"",""фіз особи new!relations_name""),6,FALSE)
,
(IF
(
G13499=""юридична особа""
,
VLOO"&amp;"KUP(H13499,IMPORTRANGE(""https://docs.google.com/spreadsheets/d/14Bd19lYaqBhU8_DElYkX7l4wRkHqqCUFNJY4AfY3kHU/edit?usp=sharing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498" s="7" t="s">
        <v>23</v>
      </c>
    </row>
    <row r="13499" spans="1:10" ht="13.2">
      <c r="A13499" s="7">
        <v>13498</v>
      </c>
      <c r="B13499" s="7">
        <v>1</v>
      </c>
      <c r="C13499" s="7" t="s">
        <v>10</v>
      </c>
      <c r="D13499" s="7">
        <v>18577</v>
      </c>
      <c r="E13499" s="7" t="s">
        <v>23</v>
      </c>
      <c r="F13499" s="8" t="str">
        <f ca="1">IFERROR(__xludf.DUMMYFUNCTION("IF
(
C13500=""фізична особа""
,
VLOOKUP(D13500,IMPORTRANGE(""https://docs.google.com/spreadsheets/d/14Bd19lYaqBhU8_DElYkX7l4wRkHqqCUFNJY4AfY3kHU/edit?usp=sharing  #gid=0"",""фіз особи new!relations_name""),6,FALSE)
,
(IF
(
C13500=""юридична особа""
,
VLOO"&amp;"KUP(D13500,IMPORTRANGE(""https://docs.google.com/spreadsheets/d/14Bd19lYaqBhU8_DElYkX7l4wRkHqqCUFNJY4AfY3kHU/edit?usp=sharing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499" s="7" t="s">
        <v>10</v>
      </c>
      <c r="H13499" s="7">
        <v>18851</v>
      </c>
      <c r="I13499" s="8" t="str">
        <f ca="1">IFERROR(__xludf.DUMMYFUNCTION("IF
(
G13500=""фізична особа""
,
VLOOKUP(H13500,IMPORTRANGE(""https://docs.google.com/spreadsheets/d/14Bd19lYaqBhU8_DElYkX7l4wRkHqqCUFNJY4AfY3kHU/edit?usp=sharing  #gid=0"",""фіз особи new!relations_name""),6,FALSE)
,
(IF
(
G13500=""юридична особа""
,
VLOO"&amp;"KUP(H13500,IMPORTRANGE(""https://docs.google.com/spreadsheets/d/14Bd19lYaqBhU8_DElYkX7l4wRkHqqCUFNJY4AfY3kHU/edit?usp=sharing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499" s="7" t="s">
        <v>23</v>
      </c>
    </row>
    <row r="13500" spans="1:10" ht="13.2">
      <c r="A13500" s="7">
        <v>13499</v>
      </c>
      <c r="B13500" s="7">
        <v>1</v>
      </c>
      <c r="C13500" s="7" t="s">
        <v>10</v>
      </c>
      <c r="D13500" s="7">
        <v>18577</v>
      </c>
      <c r="E13500" s="7" t="s">
        <v>23</v>
      </c>
      <c r="F13500" s="8" t="str">
        <f ca="1">IFERROR(__xludf.DUMMYFUNCTION("IF
(
C13501=""фізична особа""
,
VLOOKUP(D13501,IMPORTRANGE(""https://docs.google.com/spreadsheets/d/14Bd19lYaqBhU8_DElYkX7l4wRkHqqCUFNJY4AfY3kHU/edit?usp=sharing  #gid=0"",""фіз особи new!relations_name""),6,FALSE)
,
(IF
(
C13501=""юридична особа""
,
VLOO"&amp;"KUP(D13501,IMPORTRANGE(""https://docs.google.com/spreadsheets/d/14Bd19lYaqBhU8_DElYkX7l4wRkHqqCUFNJY4AfY3kHU/edit?usp=sharing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500" s="7" t="s">
        <v>10</v>
      </c>
      <c r="H13500" s="7">
        <v>18852</v>
      </c>
      <c r="I13500" s="8" t="str">
        <f ca="1">IFERROR(__xludf.DUMMYFUNCTION("IF
(
G13501=""фізична особа""
,
VLOOKUP(H13501,IMPORTRANGE(""https://docs.google.com/spreadsheets/d/14Bd19lYaqBhU8_DElYkX7l4wRkHqqCUFNJY4AfY3kHU/edit?usp=sharing  #gid=0"",""фіз особи new!relations_name""),6,FALSE)
,
(IF
(
G13501=""юридична особа""
,
VLOO"&amp;"KUP(H13501,IMPORTRANGE(""https://docs.google.com/spreadsheets/d/14Bd19lYaqBhU8_DElYkX7l4wRkHqqCUFNJY4AfY3kHU/edit?usp=sharing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00" s="7" t="s">
        <v>23</v>
      </c>
    </row>
    <row r="13501" spans="1:10" ht="13.2">
      <c r="A13501" s="7">
        <v>13500</v>
      </c>
      <c r="B13501" s="7">
        <v>1</v>
      </c>
      <c r="C13501" s="7" t="s">
        <v>10</v>
      </c>
      <c r="D13501" s="7">
        <v>18577</v>
      </c>
      <c r="E13501" s="7" t="s">
        <v>23</v>
      </c>
      <c r="F13501" s="8" t="str">
        <f ca="1">IFERROR(__xludf.DUMMYFUNCTION("IF
(
C13502=""фізична особа""
,
VLOOKUP(D13502,IMPORTRANGE(""https://docs.google.com/spreadsheets/d/14Bd19lYaqBhU8_DElYkX7l4wRkHqqCUFNJY4AfY3kHU/edit?usp=sharing  #gid=0"",""фіз особи new!relations_name""),6,FALSE)
,
(IF
(
C13502=""юридична особа""
,
VLOO"&amp;"KUP(D13502,IMPORTRANGE(""https://docs.google.com/spreadsheets/d/14Bd19lYaqBhU8_DElYkX7l4wRkHqqCUFNJY4AfY3kHU/edit?usp=sharing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501" s="7" t="s">
        <v>10</v>
      </c>
      <c r="H13501" s="7">
        <v>18853</v>
      </c>
      <c r="I13501" s="8" t="str">
        <f ca="1">IFERROR(__xludf.DUMMYFUNCTION("IF
(
G13502=""фізична особа""
,
VLOOKUP(H13502,IMPORTRANGE(""https://docs.google.com/spreadsheets/d/14Bd19lYaqBhU8_DElYkX7l4wRkHqqCUFNJY4AfY3kHU/edit?usp=sharing  #gid=0"",""фіз особи new!relations_name""),6,FALSE)
,
(IF
(
G13502=""юридична особа""
,
VLOO"&amp;"KUP(H13502,IMPORTRANGE(""https://docs.google.com/spreadsheets/d/14Bd19lYaqBhU8_DElYkX7l4wRkHqqCUFNJY4AfY3kHU/edit?usp=sharing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01" s="7" t="s">
        <v>23</v>
      </c>
    </row>
    <row r="13502" spans="1:10" ht="13.2">
      <c r="A13502" s="7">
        <v>13501</v>
      </c>
      <c r="B13502" s="7">
        <v>1</v>
      </c>
      <c r="C13502" s="7" t="s">
        <v>10</v>
      </c>
      <c r="D13502" s="7">
        <v>18577</v>
      </c>
      <c r="E13502" s="7" t="s">
        <v>23</v>
      </c>
      <c r="F13502" s="8" t="str">
        <f ca="1">IFERROR(__xludf.DUMMYFUNCTION("IF
(
C13503=""фізична особа""
,
VLOOKUP(D13503,IMPORTRANGE(""https://docs.google.com/spreadsheets/d/14Bd19lYaqBhU8_DElYkX7l4wRkHqqCUFNJY4AfY3kHU/edit?usp=sharing  #gid=0"",""фіз особи new!relations_name""),6,FALSE)
,
(IF
(
C13503=""юридична особа""
,
VLOO"&amp;"KUP(D13503,IMPORTRANGE(""https://docs.google.com/spreadsheets/d/14Bd19lYaqBhU8_DElYkX7l4wRkHqqCUFNJY4AfY3kHU/edit?usp=sharing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502" s="7" t="s">
        <v>10</v>
      </c>
      <c r="H13502" s="7">
        <v>18854</v>
      </c>
      <c r="I13502" s="8" t="str">
        <f ca="1">IFERROR(__xludf.DUMMYFUNCTION("IF
(
G13503=""фізична особа""
,
VLOOKUP(H13503,IMPORTRANGE(""https://docs.google.com/spreadsheets/d/14Bd19lYaqBhU8_DElYkX7l4wRkHqqCUFNJY4AfY3kHU/edit?usp=sharing  #gid=0"",""фіз особи new!relations_name""),6,FALSE)
,
(IF
(
G13503=""юридична особа""
,
VLOO"&amp;"KUP(H13503,IMPORTRANGE(""https://docs.google.com/spreadsheets/d/14Bd19lYaqBhU8_DElYkX7l4wRkHqqCUFNJY4AfY3kHU/edit?usp=sharing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02" s="7" t="s">
        <v>23</v>
      </c>
    </row>
    <row r="13503" spans="1:10" ht="13.2">
      <c r="A13503" s="7">
        <v>13502</v>
      </c>
      <c r="B13503" s="7">
        <v>1</v>
      </c>
      <c r="C13503" s="7" t="s">
        <v>10</v>
      </c>
      <c r="D13503" s="7">
        <v>18577</v>
      </c>
      <c r="E13503" s="7" t="s">
        <v>23</v>
      </c>
      <c r="F13503" s="8" t="str">
        <f ca="1">IFERROR(__xludf.DUMMYFUNCTION("IF
(
C13504=""фізична особа""
,
VLOOKUP(D13504,IMPORTRANGE(""https://docs.google.com/spreadsheets/d/14Bd19lYaqBhU8_DElYkX7l4wRkHqqCUFNJY4AfY3kHU/edit?usp=sharing  #gid=0"",""фіз особи new!relations_name""),6,FALSE)
,
(IF
(
C13504=""юридична особа""
,
VLOO"&amp;"KUP(D13504,IMPORTRANGE(""https://docs.google.com/spreadsheets/d/14Bd19lYaqBhU8_DElYkX7l4wRkHqqCUFNJY4AfY3kHU/edit?usp=sharing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503" s="7" t="s">
        <v>10</v>
      </c>
      <c r="H13503" s="7">
        <v>18855</v>
      </c>
      <c r="I13503" s="8" t="str">
        <f ca="1">IFERROR(__xludf.DUMMYFUNCTION("IF
(
G13504=""фізична особа""
,
VLOOKUP(H13504,IMPORTRANGE(""https://docs.google.com/spreadsheets/d/14Bd19lYaqBhU8_DElYkX7l4wRkHqqCUFNJY4AfY3kHU/edit?usp=sharing  #gid=0"",""фіз особи new!relations_name""),6,FALSE)
,
(IF
(
G13504=""юридична особа""
,
VLOO"&amp;"KUP(H13504,IMPORTRANGE(""https://docs.google.com/spreadsheets/d/14Bd19lYaqBhU8_DElYkX7l4wRkHqqCUFNJY4AfY3kHU/edit?usp=sharing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03" s="7" t="s">
        <v>23</v>
      </c>
    </row>
    <row r="13504" spans="1:10" ht="13.2">
      <c r="A13504" s="7">
        <v>13503</v>
      </c>
      <c r="B13504" s="7">
        <v>1</v>
      </c>
      <c r="C13504" s="7" t="s">
        <v>10</v>
      </c>
      <c r="D13504" s="7">
        <v>18577</v>
      </c>
      <c r="E13504" s="7" t="s">
        <v>23</v>
      </c>
      <c r="F13504" s="8" t="str">
        <f ca="1">IFERROR(__xludf.DUMMYFUNCTION("IF
(
C13505=""фізична особа""
,
VLOOKUP(D13505,IMPORTRANGE(""https://docs.google.com/spreadsheets/d/14Bd19lYaqBhU8_DElYkX7l4wRkHqqCUFNJY4AfY3kHU/edit?usp=sharing  #gid=0"",""фіз особи new!relations_name""),6,FALSE)
,
(IF
(
C13505=""юридична особа""
,
VLOO"&amp;"KUP(D13505,IMPORTRANGE(""https://docs.google.com/spreadsheets/d/14Bd19lYaqBhU8_DElYkX7l4wRkHqqCUFNJY4AfY3kHU/edit?usp=sharing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G13504" s="7" t="s">
        <v>10</v>
      </c>
      <c r="H13504" s="7">
        <v>18856</v>
      </c>
      <c r="I13504" s="8" t="str">
        <f ca="1">IFERROR(__xludf.DUMMYFUNCTION("IF
(
G13505=""фізична особа""
,
VLOOKUP(H13505,IMPORTRANGE(""https://docs.google.com/spreadsheets/d/14Bd19lYaqBhU8_DElYkX7l4wRkHqqCUFNJY4AfY3kHU/edit?usp=sharing  #gid=0"",""фіз особи new!relations_name""),6,FALSE)
,
(IF
(
G13505=""юридична особа""
,
VLOO"&amp;"KUP(H13505,IMPORTRANGE(""https://docs.google.com/spreadsheets/d/14Bd19lYaqBhU8_DElYkX7l4wRkHqqCUFNJY4AfY3kHU/edit?usp=sharing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04" s="7" t="s">
        <v>23</v>
      </c>
    </row>
    <row r="13505" spans="1:10" ht="13.2">
      <c r="A13505" s="7">
        <v>13504</v>
      </c>
      <c r="B13505" s="7">
        <v>1</v>
      </c>
      <c r="C13505" s="7" t="s">
        <v>10</v>
      </c>
      <c r="D13505" s="7">
        <v>18578</v>
      </c>
      <c r="E13505" s="7" t="s">
        <v>23</v>
      </c>
      <c r="F13505" s="8" t="str">
        <f ca="1">IFERROR(__xludf.DUMMYFUNCTION("IF
(
C13506=""фізична особа""
,
VLOOKUP(D13506,IMPORTRANGE(""https://docs.google.com/spreadsheets/d/14Bd19lYaqBhU8_DElYkX7l4wRkHqqCUFNJY4AfY3kHU/edit?usp=sharing  #gid=0"",""фіз особи new!relations_name""),6,FALSE)
,
(IF
(
C13506=""юридична особа""
,
VLOO"&amp;"KUP(D13506,IMPORTRANGE(""https://docs.google.com/spreadsheets/d/14Bd19lYaqBhU8_DElYkX7l4wRkHqqCUFNJY4AfY3kHU/edit?usp=sharing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05" s="7" t="s">
        <v>10</v>
      </c>
      <c r="H13505" s="7">
        <v>18576</v>
      </c>
      <c r="I13505" s="8" t="str">
        <f ca="1">IFERROR(__xludf.DUMMYFUNCTION("IF
(
G13506=""фізична особа""
,
VLOOKUP(H13506,IMPORTRANGE(""https://docs.google.com/spreadsheets/d/14Bd19lYaqBhU8_DElYkX7l4wRkHqqCUFNJY4AfY3kHU/edit?usp=sharing  #gid=0"",""фіз особи new!relations_name""),6,FALSE)
,
(IF
(
G13506=""юридична особа""
,
VLOO"&amp;"KUP(H13506,IMPORTRANGE(""https://docs.google.com/spreadsheets/d/14Bd19lYaqBhU8_DElYkX7l4wRkHqqCUFNJY4AfY3kHU/edit?usp=sharing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505" s="7" t="s">
        <v>23</v>
      </c>
    </row>
    <row r="13506" spans="1:10" ht="13.2">
      <c r="A13506" s="7">
        <v>13505</v>
      </c>
      <c r="B13506" s="7">
        <v>1</v>
      </c>
      <c r="C13506" s="7" t="s">
        <v>10</v>
      </c>
      <c r="D13506" s="7">
        <v>18578</v>
      </c>
      <c r="E13506" s="7" t="s">
        <v>23</v>
      </c>
      <c r="F13506" s="8" t="str">
        <f ca="1">IFERROR(__xludf.DUMMYFUNCTION("IF
(
C13507=""фізична особа""
,
VLOOKUP(D13507,IMPORTRANGE(""https://docs.google.com/spreadsheets/d/14Bd19lYaqBhU8_DElYkX7l4wRkHqqCUFNJY4AfY3kHU/edit?usp=sharing  #gid=0"",""фіз особи new!relations_name""),6,FALSE)
,
(IF
(
C13507=""юридична особа""
,
VLOO"&amp;"KUP(D13507,IMPORTRANGE(""https://docs.google.com/spreadsheets/d/14Bd19lYaqBhU8_DElYkX7l4wRkHqqCUFNJY4AfY3kHU/edit?usp=sharing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06" s="7" t="s">
        <v>10</v>
      </c>
      <c r="H13506" s="7">
        <v>18577</v>
      </c>
      <c r="I13506" s="8" t="str">
        <f ca="1">IFERROR(__xludf.DUMMYFUNCTION("IF
(
G13507=""фізична особа""
,
VLOOKUP(H13507,IMPORTRANGE(""https://docs.google.com/spreadsheets/d/14Bd19lYaqBhU8_DElYkX7l4wRkHqqCUFNJY4AfY3kHU/edit?usp=sharing  #gid=0"",""фіз особи new!relations_name""),6,FALSE)
,
(IF
(
G13507=""юридична особа""
,
VLOO"&amp;"KUP(H13507,IMPORTRANGE(""https://docs.google.com/spreadsheets/d/14Bd19lYaqBhU8_DElYkX7l4wRkHqqCUFNJY4AfY3kHU/edit?usp=sharing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506" s="7" t="s">
        <v>23</v>
      </c>
    </row>
    <row r="13507" spans="1:10" ht="13.2">
      <c r="A13507" s="7">
        <v>13506</v>
      </c>
      <c r="B13507" s="7">
        <v>1</v>
      </c>
      <c r="C13507" s="7" t="s">
        <v>10</v>
      </c>
      <c r="D13507" s="7">
        <v>18578</v>
      </c>
      <c r="E13507" s="7" t="s">
        <v>23</v>
      </c>
      <c r="F13507" s="8" t="str">
        <f ca="1">IFERROR(__xludf.DUMMYFUNCTION("IF
(
C13508=""фізична особа""
,
VLOOKUP(D13508,IMPORTRANGE(""https://docs.google.com/spreadsheets/d/14Bd19lYaqBhU8_DElYkX7l4wRkHqqCUFNJY4AfY3kHU/edit?usp=sharing  #gid=0"",""фіз особи new!relations_name""),6,FALSE)
,
(IF
(
C13508=""юридична особа""
,
VLOO"&amp;"KUP(D13508,IMPORTRANGE(""https://docs.google.com/spreadsheets/d/14Bd19lYaqBhU8_DElYkX7l4wRkHqqCUFNJY4AfY3kHU/edit?usp=sharing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07" s="7" t="s">
        <v>10</v>
      </c>
      <c r="H13507" s="7">
        <v>18579</v>
      </c>
      <c r="I13507" s="8" t="str">
        <f ca="1">IFERROR(__xludf.DUMMYFUNCTION("IF
(
G13508=""фізична особа""
,
VLOOKUP(H13508,IMPORTRANGE(""https://docs.google.com/spreadsheets/d/14Bd19lYaqBhU8_DElYkX7l4wRkHqqCUFNJY4AfY3kHU/edit?usp=sharing  #gid=0"",""фіз особи new!relations_name""),6,FALSE)
,
(IF
(
G13508=""юридична особа""
,
VLOO"&amp;"KUP(H13508,IMPORTRANGE(""https://docs.google.com/spreadsheets/d/14Bd19lYaqBhU8_DElYkX7l4wRkHqqCUFNJY4AfY3kHU/edit?usp=sharing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507" s="7" t="s">
        <v>23</v>
      </c>
    </row>
    <row r="13508" spans="1:10" ht="13.2">
      <c r="A13508" s="7">
        <v>13507</v>
      </c>
      <c r="B13508" s="7">
        <v>1</v>
      </c>
      <c r="C13508" s="7" t="s">
        <v>10</v>
      </c>
      <c r="D13508" s="7">
        <v>18578</v>
      </c>
      <c r="E13508" s="7" t="s">
        <v>23</v>
      </c>
      <c r="F13508" s="8" t="str">
        <f ca="1">IFERROR(__xludf.DUMMYFUNCTION("IF
(
C13509=""фізична особа""
,
VLOOKUP(D13509,IMPORTRANGE(""https://docs.google.com/spreadsheets/d/14Bd19lYaqBhU8_DElYkX7l4wRkHqqCUFNJY4AfY3kHU/edit?usp=sharing  #gid=0"",""фіз особи new!relations_name""),6,FALSE)
,
(IF
(
C13509=""юридична особа""
,
VLOO"&amp;"KUP(D13509,IMPORTRANGE(""https://docs.google.com/spreadsheets/d/14Bd19lYaqBhU8_DElYkX7l4wRkHqqCUFNJY4AfY3kHU/edit?usp=sharing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08" s="7" t="s">
        <v>10</v>
      </c>
      <c r="H13508" s="7">
        <v>18580</v>
      </c>
      <c r="I13508" s="8" t="str">
        <f ca="1">IFERROR(__xludf.DUMMYFUNCTION("IF
(
G13509=""фізична особа""
,
VLOOKUP(H13509,IMPORTRANGE(""https://docs.google.com/spreadsheets/d/14Bd19lYaqBhU8_DElYkX7l4wRkHqqCUFNJY4AfY3kHU/edit?usp=sharing  #gid=0"",""фіз особи new!relations_name""),6,FALSE)
,
(IF
(
G13509=""юридична особа""
,
VLOO"&amp;"KUP(H13509,IMPORTRANGE(""https://docs.google.com/spreadsheets/d/14Bd19lYaqBhU8_DElYkX7l4wRkHqqCUFNJY4AfY3kHU/edit?usp=sharing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508" s="7" t="s">
        <v>23</v>
      </c>
    </row>
    <row r="13509" spans="1:10" ht="13.2">
      <c r="A13509" s="7">
        <v>13508</v>
      </c>
      <c r="B13509" s="7">
        <v>1</v>
      </c>
      <c r="C13509" s="7" t="s">
        <v>10</v>
      </c>
      <c r="D13509" s="7">
        <v>18578</v>
      </c>
      <c r="E13509" s="7" t="s">
        <v>23</v>
      </c>
      <c r="F13509" s="8" t="str">
        <f ca="1">IFERROR(__xludf.DUMMYFUNCTION("IF
(
C13510=""фізична особа""
,
VLOOKUP(D13510,IMPORTRANGE(""https://docs.google.com/spreadsheets/d/14Bd19lYaqBhU8_DElYkX7l4wRkHqqCUFNJY4AfY3kHU/edit?usp=sharing  #gid=0"",""фіз особи new!relations_name""),6,FALSE)
,
(IF
(
C13510=""юридична особа""
,
VLOO"&amp;"KUP(D13510,IMPORTRANGE(""https://docs.google.com/spreadsheets/d/14Bd19lYaqBhU8_DElYkX7l4wRkHqqCUFNJY4AfY3kHU/edit?usp=sharing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09" s="7" t="s">
        <v>10</v>
      </c>
      <c r="H13509" s="7">
        <v>18581</v>
      </c>
      <c r="I13509" s="8" t="str">
        <f ca="1">IFERROR(__xludf.DUMMYFUNCTION("IF
(
G13510=""фізична особа""
,
VLOOKUP(H13510,IMPORTRANGE(""https://docs.google.com/spreadsheets/d/14Bd19lYaqBhU8_DElYkX7l4wRkHqqCUFNJY4AfY3kHU/edit?usp=sharing  #gid=0"",""фіз особи new!relations_name""),6,FALSE)
,
(IF
(
G13510=""юридична особа""
,
VLOO"&amp;"KUP(H13510,IMPORTRANGE(""https://docs.google.com/spreadsheets/d/14Bd19lYaqBhU8_DElYkX7l4wRkHqqCUFNJY4AfY3kHU/edit?usp=sharing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509" s="7" t="s">
        <v>23</v>
      </c>
    </row>
    <row r="13510" spans="1:10" ht="13.2">
      <c r="A13510" s="7">
        <v>13509</v>
      </c>
      <c r="B13510" s="7">
        <v>1</v>
      </c>
      <c r="C13510" s="7" t="s">
        <v>10</v>
      </c>
      <c r="D13510" s="7">
        <v>18578</v>
      </c>
      <c r="E13510" s="7" t="s">
        <v>23</v>
      </c>
      <c r="F13510" s="8" t="str">
        <f ca="1">IFERROR(__xludf.DUMMYFUNCTION("IF
(
C13511=""фізична особа""
,
VLOOKUP(D13511,IMPORTRANGE(""https://docs.google.com/spreadsheets/d/14Bd19lYaqBhU8_DElYkX7l4wRkHqqCUFNJY4AfY3kHU/edit?usp=sharing  #gid=0"",""фіз особи new!relations_name""),6,FALSE)
,
(IF
(
C13511=""юридична особа""
,
VLOO"&amp;"KUP(D13511,IMPORTRANGE(""https://docs.google.com/spreadsheets/d/14Bd19lYaqBhU8_DElYkX7l4wRkHqqCUFNJY4AfY3kHU/edit?usp=sharing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0" s="7" t="s">
        <v>10</v>
      </c>
      <c r="H13510" s="7">
        <v>18582</v>
      </c>
      <c r="I13510" s="8" t="str">
        <f ca="1">IFERROR(__xludf.DUMMYFUNCTION("IF
(
G13511=""фізична особа""
,
VLOOKUP(H13511,IMPORTRANGE(""https://docs.google.com/spreadsheets/d/14Bd19lYaqBhU8_DElYkX7l4wRkHqqCUFNJY4AfY3kHU/edit?usp=sharing  #gid=0"",""фіз особи new!relations_name""),6,FALSE)
,
(IF
(
G13511=""юридична особа""
,
VLOO"&amp;"KUP(H13511,IMPORTRANGE(""https://docs.google.com/spreadsheets/d/14Bd19lYaqBhU8_DElYkX7l4wRkHqqCUFNJY4AfY3kHU/edit?usp=sharing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510" s="7" t="s">
        <v>23</v>
      </c>
    </row>
    <row r="13511" spans="1:10" ht="13.2">
      <c r="A13511" s="7">
        <v>13510</v>
      </c>
      <c r="B13511" s="7">
        <v>1</v>
      </c>
      <c r="C13511" s="7" t="s">
        <v>10</v>
      </c>
      <c r="D13511" s="7">
        <v>18578</v>
      </c>
      <c r="E13511" s="7" t="s">
        <v>23</v>
      </c>
      <c r="F13511" s="8" t="str">
        <f ca="1">IFERROR(__xludf.DUMMYFUNCTION("IF
(
C13512=""фізична особа""
,
VLOOKUP(D13512,IMPORTRANGE(""https://docs.google.com/spreadsheets/d/14Bd19lYaqBhU8_DElYkX7l4wRkHqqCUFNJY4AfY3kHU/edit?usp=sharing  #gid=0"",""фіз особи new!relations_name""),6,FALSE)
,
(IF
(
C13512=""юридична особа""
,
VLOO"&amp;"KUP(D13512,IMPORTRANGE(""https://docs.google.com/spreadsheets/d/14Bd19lYaqBhU8_DElYkX7l4wRkHqqCUFNJY4AfY3kHU/edit?usp=sharing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1" s="7" t="s">
        <v>10</v>
      </c>
      <c r="H13511" s="7">
        <v>18583</v>
      </c>
      <c r="I13511" s="8" t="str">
        <f ca="1">IFERROR(__xludf.DUMMYFUNCTION("IF
(
G13512=""фізична особа""
,
VLOOKUP(H13512,IMPORTRANGE(""https://docs.google.com/spreadsheets/d/14Bd19lYaqBhU8_DElYkX7l4wRkHqqCUFNJY4AfY3kHU/edit?usp=sharing  #gid=0"",""фіз особи new!relations_name""),6,FALSE)
,
(IF
(
G13512=""юридична особа""
,
VLOO"&amp;"KUP(H13512,IMPORTRANGE(""https://docs.google.com/spreadsheets/d/14Bd19lYaqBhU8_DElYkX7l4wRkHqqCUFNJY4AfY3kHU/edit?usp=sharing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511" s="7" t="s">
        <v>23</v>
      </c>
    </row>
    <row r="13512" spans="1:10" ht="13.2">
      <c r="A13512" s="7">
        <v>13511</v>
      </c>
      <c r="B13512" s="7">
        <v>1</v>
      </c>
      <c r="C13512" s="7" t="s">
        <v>10</v>
      </c>
      <c r="D13512" s="7">
        <v>18578</v>
      </c>
      <c r="E13512" s="7" t="s">
        <v>23</v>
      </c>
      <c r="F13512" s="8" t="str">
        <f ca="1">IFERROR(__xludf.DUMMYFUNCTION("IF
(
C13513=""фізична особа""
,
VLOOKUP(D13513,IMPORTRANGE(""https://docs.google.com/spreadsheets/d/14Bd19lYaqBhU8_DElYkX7l4wRkHqqCUFNJY4AfY3kHU/edit?usp=sharing  #gid=0"",""фіз особи new!relations_name""),6,FALSE)
,
(IF
(
C13513=""юридична особа""
,
VLOO"&amp;"KUP(D13513,IMPORTRANGE(""https://docs.google.com/spreadsheets/d/14Bd19lYaqBhU8_DElYkX7l4wRkHqqCUFNJY4AfY3kHU/edit?usp=sharing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2" s="7" t="s">
        <v>10</v>
      </c>
      <c r="H13512" s="7">
        <v>18584</v>
      </c>
      <c r="I13512" s="8" t="str">
        <f ca="1">IFERROR(__xludf.DUMMYFUNCTION("IF
(
G13513=""фізична особа""
,
VLOOKUP(H13513,IMPORTRANGE(""https://docs.google.com/spreadsheets/d/14Bd19lYaqBhU8_DElYkX7l4wRkHqqCUFNJY4AfY3kHU/edit?usp=sharing  #gid=0"",""фіз особи new!relations_name""),6,FALSE)
,
(IF
(
G13513=""юридична особа""
,
VLOO"&amp;"KUP(H13513,IMPORTRANGE(""https://docs.google.com/spreadsheets/d/14Bd19lYaqBhU8_DElYkX7l4wRkHqqCUFNJY4AfY3kHU/edit?usp=sharing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512" s="7" t="s">
        <v>23</v>
      </c>
    </row>
    <row r="13513" spans="1:10" ht="13.2">
      <c r="A13513" s="7">
        <v>13512</v>
      </c>
      <c r="B13513" s="7">
        <v>1</v>
      </c>
      <c r="C13513" s="7" t="s">
        <v>10</v>
      </c>
      <c r="D13513" s="7">
        <v>18578</v>
      </c>
      <c r="E13513" s="7" t="s">
        <v>23</v>
      </c>
      <c r="F13513" s="8" t="str">
        <f ca="1">IFERROR(__xludf.DUMMYFUNCTION("IF
(
C13514=""фізична особа""
,
VLOOKUP(D13514,IMPORTRANGE(""https://docs.google.com/spreadsheets/d/14Bd19lYaqBhU8_DElYkX7l4wRkHqqCUFNJY4AfY3kHU/edit?usp=sharing  #gid=0"",""фіз особи new!relations_name""),6,FALSE)
,
(IF
(
C13514=""юридична особа""
,
VLOO"&amp;"KUP(D13514,IMPORTRANGE(""https://docs.google.com/spreadsheets/d/14Bd19lYaqBhU8_DElYkX7l4wRkHqqCUFNJY4AfY3kHU/edit?usp=sharing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3" s="7" t="s">
        <v>10</v>
      </c>
      <c r="H13513" s="7">
        <v>18585</v>
      </c>
      <c r="I13513" s="8" t="str">
        <f ca="1">IFERROR(__xludf.DUMMYFUNCTION("IF
(
G13514=""фізична особа""
,
VLOOKUP(H13514,IMPORTRANGE(""https://docs.google.com/spreadsheets/d/14Bd19lYaqBhU8_DElYkX7l4wRkHqqCUFNJY4AfY3kHU/edit?usp=sharing  #gid=0"",""фіз особи new!relations_name""),6,FALSE)
,
(IF
(
G13514=""юридична особа""
,
VLOO"&amp;"KUP(H13514,IMPORTRANGE(""https://docs.google.com/spreadsheets/d/14Bd19lYaqBhU8_DElYkX7l4wRkHqqCUFNJY4AfY3kHU/edit?usp=sharing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513" s="7" t="s">
        <v>23</v>
      </c>
    </row>
    <row r="13514" spans="1:10" ht="13.2">
      <c r="A13514" s="7">
        <v>13513</v>
      </c>
      <c r="B13514" s="7">
        <v>1</v>
      </c>
      <c r="C13514" s="7" t="s">
        <v>10</v>
      </c>
      <c r="D13514" s="7">
        <v>18578</v>
      </c>
      <c r="E13514" s="7" t="s">
        <v>23</v>
      </c>
      <c r="F13514" s="8" t="str">
        <f ca="1">IFERROR(__xludf.DUMMYFUNCTION("IF
(
C13515=""фізична особа""
,
VLOOKUP(D13515,IMPORTRANGE(""https://docs.google.com/spreadsheets/d/14Bd19lYaqBhU8_DElYkX7l4wRkHqqCUFNJY4AfY3kHU/edit?usp=sharing  #gid=0"",""фіз особи new!relations_name""),6,FALSE)
,
(IF
(
C13515=""юридична особа""
,
VLOO"&amp;"KUP(D13515,IMPORTRANGE(""https://docs.google.com/spreadsheets/d/14Bd19lYaqBhU8_DElYkX7l4wRkHqqCUFNJY4AfY3kHU/edit?usp=sharing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4" s="7" t="s">
        <v>10</v>
      </c>
      <c r="H13514" s="7">
        <v>18847</v>
      </c>
      <c r="I13514" s="8" t="str">
        <f ca="1">IFERROR(__xludf.DUMMYFUNCTION("IF
(
G13515=""фізична особа""
,
VLOOKUP(H13515,IMPORTRANGE(""https://docs.google.com/spreadsheets/d/14Bd19lYaqBhU8_DElYkX7l4wRkHqqCUFNJY4AfY3kHU/edit?usp=sharing  #gid=0"",""фіз особи new!relations_name""),6,FALSE)
,
(IF
(
G13515=""юридична особа""
,
VLOO"&amp;"KUP(H13515,IMPORTRANGE(""https://docs.google.com/spreadsheets/d/14Bd19lYaqBhU8_DElYkX7l4wRkHqqCUFNJY4AfY3kHU/edit?usp=sharing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514" s="7" t="s">
        <v>23</v>
      </c>
    </row>
    <row r="13515" spans="1:10" ht="13.2">
      <c r="A13515" s="7">
        <v>13514</v>
      </c>
      <c r="B13515" s="7">
        <v>1</v>
      </c>
      <c r="C13515" s="7" t="s">
        <v>10</v>
      </c>
      <c r="D13515" s="7">
        <v>18578</v>
      </c>
      <c r="E13515" s="7" t="s">
        <v>23</v>
      </c>
      <c r="F13515" s="8" t="str">
        <f ca="1">IFERROR(__xludf.DUMMYFUNCTION("IF
(
C13516=""фізична особа""
,
VLOOKUP(D13516,IMPORTRANGE(""https://docs.google.com/spreadsheets/d/14Bd19lYaqBhU8_DElYkX7l4wRkHqqCUFNJY4AfY3kHU/edit?usp=sharing  #gid=0"",""фіз особи new!relations_name""),6,FALSE)
,
(IF
(
C13516=""юридична особа""
,
VLOO"&amp;"KUP(D13516,IMPORTRANGE(""https://docs.google.com/spreadsheets/d/14Bd19lYaqBhU8_DElYkX7l4wRkHqqCUFNJY4AfY3kHU/edit?usp=sharing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5" s="7" t="s">
        <v>10</v>
      </c>
      <c r="H13515" s="7">
        <v>18848</v>
      </c>
      <c r="I13515" s="8" t="str">
        <f ca="1">IFERROR(__xludf.DUMMYFUNCTION("IF
(
G13516=""фізична особа""
,
VLOOKUP(H13516,IMPORTRANGE(""https://docs.google.com/spreadsheets/d/14Bd19lYaqBhU8_DElYkX7l4wRkHqqCUFNJY4AfY3kHU/edit?usp=sharing  #gid=0"",""фіз особи new!relations_name""),6,FALSE)
,
(IF
(
G13516=""юридична особа""
,
VLOO"&amp;"KUP(H13516,IMPORTRANGE(""https://docs.google.com/spreadsheets/d/14Bd19lYaqBhU8_DElYkX7l4wRkHqqCUFNJY4AfY3kHU/edit?usp=sharing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515" s="7" t="s">
        <v>23</v>
      </c>
    </row>
    <row r="13516" spans="1:10" ht="13.2">
      <c r="A13516" s="7">
        <v>13515</v>
      </c>
      <c r="B13516" s="7">
        <v>1</v>
      </c>
      <c r="C13516" s="7" t="s">
        <v>10</v>
      </c>
      <c r="D13516" s="7">
        <v>18578</v>
      </c>
      <c r="E13516" s="7" t="s">
        <v>23</v>
      </c>
      <c r="F13516" s="8" t="str">
        <f ca="1">IFERROR(__xludf.DUMMYFUNCTION("IF
(
C13517=""фізична особа""
,
VLOOKUP(D13517,IMPORTRANGE(""https://docs.google.com/spreadsheets/d/14Bd19lYaqBhU8_DElYkX7l4wRkHqqCUFNJY4AfY3kHU/edit?usp=sharing  #gid=0"",""фіз особи new!relations_name""),6,FALSE)
,
(IF
(
C13517=""юридична особа""
,
VLOO"&amp;"KUP(D13517,IMPORTRANGE(""https://docs.google.com/spreadsheets/d/14Bd19lYaqBhU8_DElYkX7l4wRkHqqCUFNJY4AfY3kHU/edit?usp=sharing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6" s="7" t="s">
        <v>10</v>
      </c>
      <c r="H13516" s="7">
        <v>18849</v>
      </c>
      <c r="I13516" s="8" t="str">
        <f ca="1">IFERROR(__xludf.DUMMYFUNCTION("IF
(
G13517=""фізична особа""
,
VLOOKUP(H13517,IMPORTRANGE(""https://docs.google.com/spreadsheets/d/14Bd19lYaqBhU8_DElYkX7l4wRkHqqCUFNJY4AfY3kHU/edit?usp=sharing  #gid=0"",""фіз особи new!relations_name""),6,FALSE)
,
(IF
(
G13517=""юридична особа""
,
VLOO"&amp;"KUP(H13517,IMPORTRANGE(""https://docs.google.com/spreadsheets/d/14Bd19lYaqBhU8_DElYkX7l4wRkHqqCUFNJY4AfY3kHU/edit?usp=sharing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516" s="7" t="s">
        <v>23</v>
      </c>
    </row>
    <row r="13517" spans="1:10" ht="13.2">
      <c r="A13517" s="7">
        <v>13516</v>
      </c>
      <c r="B13517" s="7">
        <v>1</v>
      </c>
      <c r="C13517" s="7" t="s">
        <v>10</v>
      </c>
      <c r="D13517" s="7">
        <v>18578</v>
      </c>
      <c r="E13517" s="7" t="s">
        <v>23</v>
      </c>
      <c r="F13517" s="8" t="str">
        <f ca="1">IFERROR(__xludf.DUMMYFUNCTION("IF
(
C13518=""фізична особа""
,
VLOOKUP(D13518,IMPORTRANGE(""https://docs.google.com/spreadsheets/d/14Bd19lYaqBhU8_DElYkX7l4wRkHqqCUFNJY4AfY3kHU/edit?usp=sharing  #gid=0"",""фіз особи new!relations_name""),6,FALSE)
,
(IF
(
C13518=""юридична особа""
,
VLOO"&amp;"KUP(D13518,IMPORTRANGE(""https://docs.google.com/spreadsheets/d/14Bd19lYaqBhU8_DElYkX7l4wRkHqqCUFNJY4AfY3kHU/edit?usp=sharing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7" s="7" t="s">
        <v>10</v>
      </c>
      <c r="H13517" s="7">
        <v>18850</v>
      </c>
      <c r="I13517" s="8" t="str">
        <f ca="1">IFERROR(__xludf.DUMMYFUNCTION("IF
(
G13518=""фізична особа""
,
VLOOKUP(H13518,IMPORTRANGE(""https://docs.google.com/spreadsheets/d/14Bd19lYaqBhU8_DElYkX7l4wRkHqqCUFNJY4AfY3kHU/edit?usp=sharing  #gid=0"",""фіз особи new!relations_name""),6,FALSE)
,
(IF
(
G13518=""юридична особа""
,
VLOO"&amp;"KUP(H13518,IMPORTRANGE(""https://docs.google.com/spreadsheets/d/14Bd19lYaqBhU8_DElYkX7l4wRkHqqCUFNJY4AfY3kHU/edit?usp=sharing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517" s="7" t="s">
        <v>23</v>
      </c>
    </row>
    <row r="13518" spans="1:10" ht="13.2">
      <c r="A13518" s="7">
        <v>13517</v>
      </c>
      <c r="B13518" s="7">
        <v>1</v>
      </c>
      <c r="C13518" s="7" t="s">
        <v>10</v>
      </c>
      <c r="D13518" s="7">
        <v>18578</v>
      </c>
      <c r="E13518" s="7" t="s">
        <v>23</v>
      </c>
      <c r="F13518" s="8" t="str">
        <f ca="1">IFERROR(__xludf.DUMMYFUNCTION("IF
(
C13519=""фізична особа""
,
VLOOKUP(D13519,IMPORTRANGE(""https://docs.google.com/spreadsheets/d/14Bd19lYaqBhU8_DElYkX7l4wRkHqqCUFNJY4AfY3kHU/edit?usp=sharing  #gid=0"",""фіз особи new!relations_name""),6,FALSE)
,
(IF
(
C13519=""юридична особа""
,
VLOO"&amp;"KUP(D13519,IMPORTRANGE(""https://docs.google.com/spreadsheets/d/14Bd19lYaqBhU8_DElYkX7l4wRkHqqCUFNJY4AfY3kHU/edit?usp=sharing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8" s="7" t="s">
        <v>10</v>
      </c>
      <c r="H13518" s="7">
        <v>18851</v>
      </c>
      <c r="I13518" s="8" t="str">
        <f ca="1">IFERROR(__xludf.DUMMYFUNCTION("IF
(
G13519=""фізична особа""
,
VLOOKUP(H13519,IMPORTRANGE(""https://docs.google.com/spreadsheets/d/14Bd19lYaqBhU8_DElYkX7l4wRkHqqCUFNJY4AfY3kHU/edit?usp=sharing  #gid=0"",""фіз особи new!relations_name""),6,FALSE)
,
(IF
(
G13519=""юридична особа""
,
VLOO"&amp;"KUP(H13519,IMPORTRANGE(""https://docs.google.com/spreadsheets/d/14Bd19lYaqBhU8_DElYkX7l4wRkHqqCUFNJY4AfY3kHU/edit?usp=sharing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518" s="7" t="s">
        <v>23</v>
      </c>
    </row>
    <row r="13519" spans="1:10" ht="13.2">
      <c r="A13519" s="7">
        <v>13518</v>
      </c>
      <c r="B13519" s="7">
        <v>1</v>
      </c>
      <c r="C13519" s="7" t="s">
        <v>10</v>
      </c>
      <c r="D13519" s="7">
        <v>18578</v>
      </c>
      <c r="E13519" s="7" t="s">
        <v>23</v>
      </c>
      <c r="F13519" s="8" t="str">
        <f ca="1">IFERROR(__xludf.DUMMYFUNCTION("IF
(
C13520=""фізична особа""
,
VLOOKUP(D13520,IMPORTRANGE(""https://docs.google.com/spreadsheets/d/14Bd19lYaqBhU8_DElYkX7l4wRkHqqCUFNJY4AfY3kHU/edit?usp=sharing  #gid=0"",""фіз особи new!relations_name""),6,FALSE)
,
(IF
(
C13520=""юридична особа""
,
VLOO"&amp;"KUP(D13520,IMPORTRANGE(""https://docs.google.com/spreadsheets/d/14Bd19lYaqBhU8_DElYkX7l4wRkHqqCUFNJY4AfY3kHU/edit?usp=sharing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19" s="7" t="s">
        <v>10</v>
      </c>
      <c r="H13519" s="7">
        <v>18852</v>
      </c>
      <c r="I13519" s="8" t="str">
        <f ca="1">IFERROR(__xludf.DUMMYFUNCTION("IF
(
G13520=""фізична особа""
,
VLOOKUP(H13520,IMPORTRANGE(""https://docs.google.com/spreadsheets/d/14Bd19lYaqBhU8_DElYkX7l4wRkHqqCUFNJY4AfY3kHU/edit?usp=sharing  #gid=0"",""фіз особи new!relations_name""),6,FALSE)
,
(IF
(
G13520=""юридична особа""
,
VLOO"&amp;"KUP(H13520,IMPORTRANGE(""https://docs.google.com/spreadsheets/d/14Bd19lYaqBhU8_DElYkX7l4wRkHqqCUFNJY4AfY3kHU/edit?usp=sharing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19" s="7" t="s">
        <v>23</v>
      </c>
    </row>
    <row r="13520" spans="1:10" ht="13.2">
      <c r="A13520" s="7">
        <v>13519</v>
      </c>
      <c r="B13520" s="7">
        <v>1</v>
      </c>
      <c r="C13520" s="7" t="s">
        <v>10</v>
      </c>
      <c r="D13520" s="7">
        <v>18578</v>
      </c>
      <c r="E13520" s="7" t="s">
        <v>23</v>
      </c>
      <c r="F13520" s="8" t="str">
        <f ca="1">IFERROR(__xludf.DUMMYFUNCTION("IF
(
C13521=""фізична особа""
,
VLOOKUP(D13521,IMPORTRANGE(""https://docs.google.com/spreadsheets/d/14Bd19lYaqBhU8_DElYkX7l4wRkHqqCUFNJY4AfY3kHU/edit?usp=sharing  #gid=0"",""фіз особи new!relations_name""),6,FALSE)
,
(IF
(
C13521=""юридична особа""
,
VLOO"&amp;"KUP(D13521,IMPORTRANGE(""https://docs.google.com/spreadsheets/d/14Bd19lYaqBhU8_DElYkX7l4wRkHqqCUFNJY4AfY3kHU/edit?usp=sharing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20" s="7" t="s">
        <v>10</v>
      </c>
      <c r="H13520" s="7">
        <v>18853</v>
      </c>
      <c r="I13520" s="8" t="str">
        <f ca="1">IFERROR(__xludf.DUMMYFUNCTION("IF
(
G13521=""фізична особа""
,
VLOOKUP(H13521,IMPORTRANGE(""https://docs.google.com/spreadsheets/d/14Bd19lYaqBhU8_DElYkX7l4wRkHqqCUFNJY4AfY3kHU/edit?usp=sharing  #gid=0"",""фіз особи new!relations_name""),6,FALSE)
,
(IF
(
G13521=""юридична особа""
,
VLOO"&amp;"KUP(H13521,IMPORTRANGE(""https://docs.google.com/spreadsheets/d/14Bd19lYaqBhU8_DElYkX7l4wRkHqqCUFNJY4AfY3kHU/edit?usp=sharing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20" s="7" t="s">
        <v>23</v>
      </c>
    </row>
    <row r="13521" spans="1:10" ht="13.2">
      <c r="A13521" s="7">
        <v>13520</v>
      </c>
      <c r="B13521" s="7">
        <v>1</v>
      </c>
      <c r="C13521" s="7" t="s">
        <v>10</v>
      </c>
      <c r="D13521" s="7">
        <v>18578</v>
      </c>
      <c r="E13521" s="7" t="s">
        <v>23</v>
      </c>
      <c r="F13521" s="8" t="str">
        <f ca="1">IFERROR(__xludf.DUMMYFUNCTION("IF
(
C13522=""фізична особа""
,
VLOOKUP(D13522,IMPORTRANGE(""https://docs.google.com/spreadsheets/d/14Bd19lYaqBhU8_DElYkX7l4wRkHqqCUFNJY4AfY3kHU/edit?usp=sharing  #gid=0"",""фіз особи new!relations_name""),6,FALSE)
,
(IF
(
C13522=""юридична особа""
,
VLOO"&amp;"KUP(D13522,IMPORTRANGE(""https://docs.google.com/spreadsheets/d/14Bd19lYaqBhU8_DElYkX7l4wRkHqqCUFNJY4AfY3kHU/edit?usp=sharing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21" s="7" t="s">
        <v>10</v>
      </c>
      <c r="H13521" s="7">
        <v>18854</v>
      </c>
      <c r="I13521" s="8" t="str">
        <f ca="1">IFERROR(__xludf.DUMMYFUNCTION("IF
(
G13522=""фізична особа""
,
VLOOKUP(H13522,IMPORTRANGE(""https://docs.google.com/spreadsheets/d/14Bd19lYaqBhU8_DElYkX7l4wRkHqqCUFNJY4AfY3kHU/edit?usp=sharing  #gid=0"",""фіз особи new!relations_name""),6,FALSE)
,
(IF
(
G13522=""юридична особа""
,
VLOO"&amp;"KUP(H13522,IMPORTRANGE(""https://docs.google.com/spreadsheets/d/14Bd19lYaqBhU8_DElYkX7l4wRkHqqCUFNJY4AfY3kHU/edit?usp=sharing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21" s="7" t="s">
        <v>23</v>
      </c>
    </row>
    <row r="13522" spans="1:10" ht="13.2">
      <c r="A13522" s="7">
        <v>13521</v>
      </c>
      <c r="B13522" s="7">
        <v>1</v>
      </c>
      <c r="C13522" s="7" t="s">
        <v>10</v>
      </c>
      <c r="D13522" s="7">
        <v>18578</v>
      </c>
      <c r="E13522" s="7" t="s">
        <v>23</v>
      </c>
      <c r="F13522" s="8" t="str">
        <f ca="1">IFERROR(__xludf.DUMMYFUNCTION("IF
(
C13523=""фізична особа""
,
VLOOKUP(D13523,IMPORTRANGE(""https://docs.google.com/spreadsheets/d/14Bd19lYaqBhU8_DElYkX7l4wRkHqqCUFNJY4AfY3kHU/edit?usp=sharing  #gid=0"",""фіз особи new!relations_name""),6,FALSE)
,
(IF
(
C13523=""юридична особа""
,
VLOO"&amp;"KUP(D13523,IMPORTRANGE(""https://docs.google.com/spreadsheets/d/14Bd19lYaqBhU8_DElYkX7l4wRkHqqCUFNJY4AfY3kHU/edit?usp=sharing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22" s="7" t="s">
        <v>10</v>
      </c>
      <c r="H13522" s="7">
        <v>18855</v>
      </c>
      <c r="I13522" s="8" t="str">
        <f ca="1">IFERROR(__xludf.DUMMYFUNCTION("IF
(
G13523=""фізична особа""
,
VLOOKUP(H13523,IMPORTRANGE(""https://docs.google.com/spreadsheets/d/14Bd19lYaqBhU8_DElYkX7l4wRkHqqCUFNJY4AfY3kHU/edit?usp=sharing  #gid=0"",""фіз особи new!relations_name""),6,FALSE)
,
(IF
(
G13523=""юридична особа""
,
VLOO"&amp;"KUP(H13523,IMPORTRANGE(""https://docs.google.com/spreadsheets/d/14Bd19lYaqBhU8_DElYkX7l4wRkHqqCUFNJY4AfY3kHU/edit?usp=sharing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22" s="7" t="s">
        <v>23</v>
      </c>
    </row>
    <row r="13523" spans="1:10" ht="13.2">
      <c r="A13523" s="7">
        <v>13522</v>
      </c>
      <c r="B13523" s="7">
        <v>1</v>
      </c>
      <c r="C13523" s="7" t="s">
        <v>10</v>
      </c>
      <c r="D13523" s="7">
        <v>18578</v>
      </c>
      <c r="E13523" s="7" t="s">
        <v>23</v>
      </c>
      <c r="F13523" s="8" t="str">
        <f ca="1">IFERROR(__xludf.DUMMYFUNCTION("IF
(
C13524=""фізична особа""
,
VLOOKUP(D13524,IMPORTRANGE(""https://docs.google.com/spreadsheets/d/14Bd19lYaqBhU8_DElYkX7l4wRkHqqCUFNJY4AfY3kHU/edit?usp=sharing  #gid=0"",""фіз особи new!relations_name""),6,FALSE)
,
(IF
(
C13524=""юридична особа""
,
VLOO"&amp;"KUP(D13524,IMPORTRANGE(""https://docs.google.com/spreadsheets/d/14Bd19lYaqBhU8_DElYkX7l4wRkHqqCUFNJY4AfY3kHU/edit?usp=sharing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G13523" s="7" t="s">
        <v>10</v>
      </c>
      <c r="H13523" s="7">
        <v>18856</v>
      </c>
      <c r="I13523" s="8" t="str">
        <f ca="1">IFERROR(__xludf.DUMMYFUNCTION("IF
(
G13524=""фізична особа""
,
VLOOKUP(H13524,IMPORTRANGE(""https://docs.google.com/spreadsheets/d/14Bd19lYaqBhU8_DElYkX7l4wRkHqqCUFNJY4AfY3kHU/edit?usp=sharing  #gid=0"",""фіз особи new!relations_name""),6,FALSE)
,
(IF
(
G13524=""юридична особа""
,
VLOO"&amp;"KUP(H13524,IMPORTRANGE(""https://docs.google.com/spreadsheets/d/14Bd19lYaqBhU8_DElYkX7l4wRkHqqCUFNJY4AfY3kHU/edit?usp=sharing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23" s="7" t="s">
        <v>23</v>
      </c>
    </row>
    <row r="13524" spans="1:10" ht="13.2">
      <c r="A13524" s="7">
        <v>13523</v>
      </c>
      <c r="B13524" s="7">
        <v>1</v>
      </c>
      <c r="C13524" s="7" t="s">
        <v>10</v>
      </c>
      <c r="D13524" s="7">
        <v>18579</v>
      </c>
      <c r="E13524" s="7" t="s">
        <v>23</v>
      </c>
      <c r="F13524" s="8" t="str">
        <f ca="1">IFERROR(__xludf.DUMMYFUNCTION("IF
(
C13525=""фізична особа""
,
VLOOKUP(D13525,IMPORTRANGE(""https://docs.google.com/spreadsheets/d/14Bd19lYaqBhU8_DElYkX7l4wRkHqqCUFNJY4AfY3kHU/edit?usp=sharing  #gid=0"",""фіз особи new!relations_name""),6,FALSE)
,
(IF
(
C13525=""юридична особа""
,
VLOO"&amp;"KUP(D13525,IMPORTRANGE(""https://docs.google.com/spreadsheets/d/14Bd19lYaqBhU8_DElYkX7l4wRkHqqCUFNJY4AfY3kHU/edit?usp=sharing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4" s="7" t="s">
        <v>10</v>
      </c>
      <c r="H13524" s="7">
        <v>18576</v>
      </c>
      <c r="I13524" s="8" t="str">
        <f ca="1">IFERROR(__xludf.DUMMYFUNCTION("IF
(
G13525=""фізична особа""
,
VLOOKUP(H13525,IMPORTRANGE(""https://docs.google.com/spreadsheets/d/14Bd19lYaqBhU8_DElYkX7l4wRkHqqCUFNJY4AfY3kHU/edit?usp=sharing  #gid=0"",""фіз особи new!relations_name""),6,FALSE)
,
(IF
(
G13525=""юридична особа""
,
VLOO"&amp;"KUP(H13525,IMPORTRANGE(""https://docs.google.com/spreadsheets/d/14Bd19lYaqBhU8_DElYkX7l4wRkHqqCUFNJY4AfY3kHU/edit?usp=sharing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524" s="7" t="s">
        <v>23</v>
      </c>
    </row>
    <row r="13525" spans="1:10" ht="13.2">
      <c r="A13525" s="7">
        <v>13524</v>
      </c>
      <c r="B13525" s="7">
        <v>1</v>
      </c>
      <c r="C13525" s="7" t="s">
        <v>10</v>
      </c>
      <c r="D13525" s="7">
        <v>18579</v>
      </c>
      <c r="E13525" s="7" t="s">
        <v>23</v>
      </c>
      <c r="F13525" s="8" t="str">
        <f ca="1">IFERROR(__xludf.DUMMYFUNCTION("IF
(
C13526=""фізична особа""
,
VLOOKUP(D13526,IMPORTRANGE(""https://docs.google.com/spreadsheets/d/14Bd19lYaqBhU8_DElYkX7l4wRkHqqCUFNJY4AfY3kHU/edit?usp=sharing  #gid=0"",""фіз особи new!relations_name""),6,FALSE)
,
(IF
(
C13526=""юридична особа""
,
VLOO"&amp;"KUP(D13526,IMPORTRANGE(""https://docs.google.com/spreadsheets/d/14Bd19lYaqBhU8_DElYkX7l4wRkHqqCUFNJY4AfY3kHU/edit?usp=sharing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5" s="7" t="s">
        <v>10</v>
      </c>
      <c r="H13525" s="7">
        <v>18577</v>
      </c>
      <c r="I13525" s="8" t="str">
        <f ca="1">IFERROR(__xludf.DUMMYFUNCTION("IF
(
G13526=""фізична особа""
,
VLOOKUP(H13526,IMPORTRANGE(""https://docs.google.com/spreadsheets/d/14Bd19lYaqBhU8_DElYkX7l4wRkHqqCUFNJY4AfY3kHU/edit?usp=sharing  #gid=0"",""фіз особи new!relations_name""),6,FALSE)
,
(IF
(
G13526=""юридична особа""
,
VLOO"&amp;"KUP(H13526,IMPORTRANGE(""https://docs.google.com/spreadsheets/d/14Bd19lYaqBhU8_DElYkX7l4wRkHqqCUFNJY4AfY3kHU/edit?usp=sharing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525" s="7" t="s">
        <v>23</v>
      </c>
    </row>
    <row r="13526" spans="1:10" ht="13.2">
      <c r="A13526" s="7">
        <v>13525</v>
      </c>
      <c r="B13526" s="7">
        <v>1</v>
      </c>
      <c r="C13526" s="7" t="s">
        <v>10</v>
      </c>
      <c r="D13526" s="7">
        <v>18579</v>
      </c>
      <c r="E13526" s="7" t="s">
        <v>23</v>
      </c>
      <c r="F13526" s="8" t="str">
        <f ca="1">IFERROR(__xludf.DUMMYFUNCTION("IF
(
C13527=""фізична особа""
,
VLOOKUP(D13527,IMPORTRANGE(""https://docs.google.com/spreadsheets/d/14Bd19lYaqBhU8_DElYkX7l4wRkHqqCUFNJY4AfY3kHU/edit?usp=sharing  #gid=0"",""фіз особи new!relations_name""),6,FALSE)
,
(IF
(
C13527=""юридична особа""
,
VLOO"&amp;"KUP(D13527,IMPORTRANGE(""https://docs.google.com/spreadsheets/d/14Bd19lYaqBhU8_DElYkX7l4wRkHqqCUFNJY4AfY3kHU/edit?usp=sharing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6" s="7" t="s">
        <v>10</v>
      </c>
      <c r="H13526" s="7">
        <v>18578</v>
      </c>
      <c r="I13526" s="8" t="str">
        <f ca="1">IFERROR(__xludf.DUMMYFUNCTION("IF
(
G13527=""фізична особа""
,
VLOOKUP(H13527,IMPORTRANGE(""https://docs.google.com/spreadsheets/d/14Bd19lYaqBhU8_DElYkX7l4wRkHqqCUFNJY4AfY3kHU/edit?usp=sharing  #gid=0"",""фіз особи new!relations_name""),6,FALSE)
,
(IF
(
G13527=""юридична особа""
,
VLOO"&amp;"KUP(H13527,IMPORTRANGE(""https://docs.google.com/spreadsheets/d/14Bd19lYaqBhU8_DElYkX7l4wRkHqqCUFNJY4AfY3kHU/edit?usp=sharing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526" s="7" t="s">
        <v>23</v>
      </c>
    </row>
    <row r="13527" spans="1:10" ht="13.2">
      <c r="A13527" s="7">
        <v>13526</v>
      </c>
      <c r="B13527" s="7">
        <v>1</v>
      </c>
      <c r="C13527" s="7" t="s">
        <v>10</v>
      </c>
      <c r="D13527" s="7">
        <v>18579</v>
      </c>
      <c r="E13527" s="7" t="s">
        <v>23</v>
      </c>
      <c r="F13527" s="8" t="str">
        <f ca="1">IFERROR(__xludf.DUMMYFUNCTION("IF
(
C13528=""фізична особа""
,
VLOOKUP(D13528,IMPORTRANGE(""https://docs.google.com/spreadsheets/d/14Bd19lYaqBhU8_DElYkX7l4wRkHqqCUFNJY4AfY3kHU/edit?usp=sharing  #gid=0"",""фіз особи new!relations_name""),6,FALSE)
,
(IF
(
C13528=""юридична особа""
,
VLOO"&amp;"KUP(D13528,IMPORTRANGE(""https://docs.google.com/spreadsheets/d/14Bd19lYaqBhU8_DElYkX7l4wRkHqqCUFNJY4AfY3kHU/edit?usp=sharing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7" s="7" t="s">
        <v>10</v>
      </c>
      <c r="H13527" s="7">
        <v>18580</v>
      </c>
      <c r="I13527" s="8" t="str">
        <f ca="1">IFERROR(__xludf.DUMMYFUNCTION("IF
(
G13528=""фізична особа""
,
VLOOKUP(H13528,IMPORTRANGE(""https://docs.google.com/spreadsheets/d/14Bd19lYaqBhU8_DElYkX7l4wRkHqqCUFNJY4AfY3kHU/edit?usp=sharing  #gid=0"",""фіз особи new!relations_name""),6,FALSE)
,
(IF
(
G13528=""юридична особа""
,
VLOO"&amp;"KUP(H13528,IMPORTRANGE(""https://docs.google.com/spreadsheets/d/14Bd19lYaqBhU8_DElYkX7l4wRkHqqCUFNJY4AfY3kHU/edit?usp=sharing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527" s="7" t="s">
        <v>23</v>
      </c>
    </row>
    <row r="13528" spans="1:10" ht="13.2">
      <c r="A13528" s="7">
        <v>13527</v>
      </c>
      <c r="B13528" s="7">
        <v>1</v>
      </c>
      <c r="C13528" s="7" t="s">
        <v>10</v>
      </c>
      <c r="D13528" s="7">
        <v>18579</v>
      </c>
      <c r="E13528" s="7" t="s">
        <v>23</v>
      </c>
      <c r="F13528" s="8" t="str">
        <f ca="1">IFERROR(__xludf.DUMMYFUNCTION("IF
(
C13529=""фізична особа""
,
VLOOKUP(D13529,IMPORTRANGE(""https://docs.google.com/spreadsheets/d/14Bd19lYaqBhU8_DElYkX7l4wRkHqqCUFNJY4AfY3kHU/edit?usp=sharing  #gid=0"",""фіз особи new!relations_name""),6,FALSE)
,
(IF
(
C13529=""юридична особа""
,
VLOO"&amp;"KUP(D13529,IMPORTRANGE(""https://docs.google.com/spreadsheets/d/14Bd19lYaqBhU8_DElYkX7l4wRkHqqCUFNJY4AfY3kHU/edit?usp=sharing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8" s="7" t="s">
        <v>10</v>
      </c>
      <c r="H13528" s="7">
        <v>18581</v>
      </c>
      <c r="I13528" s="8" t="str">
        <f ca="1">IFERROR(__xludf.DUMMYFUNCTION("IF
(
G13529=""фізична особа""
,
VLOOKUP(H13529,IMPORTRANGE(""https://docs.google.com/spreadsheets/d/14Bd19lYaqBhU8_DElYkX7l4wRkHqqCUFNJY4AfY3kHU/edit?usp=sharing  #gid=0"",""фіз особи new!relations_name""),6,FALSE)
,
(IF
(
G13529=""юридична особа""
,
VLOO"&amp;"KUP(H13529,IMPORTRANGE(""https://docs.google.com/spreadsheets/d/14Bd19lYaqBhU8_DElYkX7l4wRkHqqCUFNJY4AfY3kHU/edit?usp=sharing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528" s="7" t="s">
        <v>23</v>
      </c>
    </row>
    <row r="13529" spans="1:10" ht="13.2">
      <c r="A13529" s="7">
        <v>13528</v>
      </c>
      <c r="B13529" s="7">
        <v>1</v>
      </c>
      <c r="C13529" s="7" t="s">
        <v>10</v>
      </c>
      <c r="D13529" s="7">
        <v>18579</v>
      </c>
      <c r="E13529" s="7" t="s">
        <v>23</v>
      </c>
      <c r="F13529" s="8" t="str">
        <f ca="1">IFERROR(__xludf.DUMMYFUNCTION("IF
(
C13530=""фізична особа""
,
VLOOKUP(D13530,IMPORTRANGE(""https://docs.google.com/spreadsheets/d/14Bd19lYaqBhU8_DElYkX7l4wRkHqqCUFNJY4AfY3kHU/edit?usp=sharing  #gid=0"",""фіз особи new!relations_name""),6,FALSE)
,
(IF
(
C13530=""юридична особа""
,
VLOO"&amp;"KUP(D13530,IMPORTRANGE(""https://docs.google.com/spreadsheets/d/14Bd19lYaqBhU8_DElYkX7l4wRkHqqCUFNJY4AfY3kHU/edit?usp=sharing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29" s="7" t="s">
        <v>10</v>
      </c>
      <c r="H13529" s="7">
        <v>18582</v>
      </c>
      <c r="I13529" s="8" t="str">
        <f ca="1">IFERROR(__xludf.DUMMYFUNCTION("IF
(
G13530=""фізична особа""
,
VLOOKUP(H13530,IMPORTRANGE(""https://docs.google.com/spreadsheets/d/14Bd19lYaqBhU8_DElYkX7l4wRkHqqCUFNJY4AfY3kHU/edit?usp=sharing  #gid=0"",""фіз особи new!relations_name""),6,FALSE)
,
(IF
(
G13530=""юридична особа""
,
VLOO"&amp;"KUP(H13530,IMPORTRANGE(""https://docs.google.com/spreadsheets/d/14Bd19lYaqBhU8_DElYkX7l4wRkHqqCUFNJY4AfY3kHU/edit?usp=sharing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529" s="7" t="s">
        <v>23</v>
      </c>
    </row>
    <row r="13530" spans="1:10" ht="13.2">
      <c r="A13530" s="7">
        <v>13529</v>
      </c>
      <c r="B13530" s="7">
        <v>1</v>
      </c>
      <c r="C13530" s="7" t="s">
        <v>10</v>
      </c>
      <c r="D13530" s="7">
        <v>18579</v>
      </c>
      <c r="E13530" s="7" t="s">
        <v>23</v>
      </c>
      <c r="F13530" s="8" t="str">
        <f ca="1">IFERROR(__xludf.DUMMYFUNCTION("IF
(
C13531=""фізична особа""
,
VLOOKUP(D13531,IMPORTRANGE(""https://docs.google.com/spreadsheets/d/14Bd19lYaqBhU8_DElYkX7l4wRkHqqCUFNJY4AfY3kHU/edit?usp=sharing  #gid=0"",""фіз особи new!relations_name""),6,FALSE)
,
(IF
(
C13531=""юридична особа""
,
VLOO"&amp;"KUP(D13531,IMPORTRANGE(""https://docs.google.com/spreadsheets/d/14Bd19lYaqBhU8_DElYkX7l4wRkHqqCUFNJY4AfY3kHU/edit?usp=sharing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0" s="7" t="s">
        <v>10</v>
      </c>
      <c r="H13530" s="7">
        <v>18583</v>
      </c>
      <c r="I13530" s="8" t="str">
        <f ca="1">IFERROR(__xludf.DUMMYFUNCTION("IF
(
G13531=""фізична особа""
,
VLOOKUP(H13531,IMPORTRANGE(""https://docs.google.com/spreadsheets/d/14Bd19lYaqBhU8_DElYkX7l4wRkHqqCUFNJY4AfY3kHU/edit?usp=sharing  #gid=0"",""фіз особи new!relations_name""),6,FALSE)
,
(IF
(
G13531=""юридична особа""
,
VLOO"&amp;"KUP(H13531,IMPORTRANGE(""https://docs.google.com/spreadsheets/d/14Bd19lYaqBhU8_DElYkX7l4wRkHqqCUFNJY4AfY3kHU/edit?usp=sharing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530" s="7" t="s">
        <v>23</v>
      </c>
    </row>
    <row r="13531" spans="1:10" ht="13.2">
      <c r="A13531" s="7">
        <v>13530</v>
      </c>
      <c r="B13531" s="7">
        <v>1</v>
      </c>
      <c r="C13531" s="7" t="s">
        <v>10</v>
      </c>
      <c r="D13531" s="7">
        <v>18579</v>
      </c>
      <c r="E13531" s="7" t="s">
        <v>23</v>
      </c>
      <c r="F13531" s="8" t="str">
        <f ca="1">IFERROR(__xludf.DUMMYFUNCTION("IF
(
C13532=""фізична особа""
,
VLOOKUP(D13532,IMPORTRANGE(""https://docs.google.com/spreadsheets/d/14Bd19lYaqBhU8_DElYkX7l4wRkHqqCUFNJY4AfY3kHU/edit?usp=sharing  #gid=0"",""фіз особи new!relations_name""),6,FALSE)
,
(IF
(
C13532=""юридична особа""
,
VLOO"&amp;"KUP(D13532,IMPORTRANGE(""https://docs.google.com/spreadsheets/d/14Bd19lYaqBhU8_DElYkX7l4wRkHqqCUFNJY4AfY3kHU/edit?usp=sharing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1" s="7" t="s">
        <v>10</v>
      </c>
      <c r="H13531" s="7">
        <v>18584</v>
      </c>
      <c r="I13531" s="8" t="str">
        <f ca="1">IFERROR(__xludf.DUMMYFUNCTION("IF
(
G13532=""фізична особа""
,
VLOOKUP(H13532,IMPORTRANGE(""https://docs.google.com/spreadsheets/d/14Bd19lYaqBhU8_DElYkX7l4wRkHqqCUFNJY4AfY3kHU/edit?usp=sharing  #gid=0"",""фіз особи new!relations_name""),6,FALSE)
,
(IF
(
G13532=""юридична особа""
,
VLOO"&amp;"KUP(H13532,IMPORTRANGE(""https://docs.google.com/spreadsheets/d/14Bd19lYaqBhU8_DElYkX7l4wRkHqqCUFNJY4AfY3kHU/edit?usp=sharing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531" s="7" t="s">
        <v>23</v>
      </c>
    </row>
    <row r="13532" spans="1:10" ht="13.2">
      <c r="A13532" s="7">
        <v>13531</v>
      </c>
      <c r="B13532" s="7">
        <v>1</v>
      </c>
      <c r="C13532" s="7" t="s">
        <v>10</v>
      </c>
      <c r="D13532" s="7">
        <v>18579</v>
      </c>
      <c r="E13532" s="7" t="s">
        <v>23</v>
      </c>
      <c r="F13532" s="8" t="str">
        <f ca="1">IFERROR(__xludf.DUMMYFUNCTION("IF
(
C13533=""фізична особа""
,
VLOOKUP(D13533,IMPORTRANGE(""https://docs.google.com/spreadsheets/d/14Bd19lYaqBhU8_DElYkX7l4wRkHqqCUFNJY4AfY3kHU/edit?usp=sharing  #gid=0"",""фіз особи new!relations_name""),6,FALSE)
,
(IF
(
C13533=""юридична особа""
,
VLOO"&amp;"KUP(D13533,IMPORTRANGE(""https://docs.google.com/spreadsheets/d/14Bd19lYaqBhU8_DElYkX7l4wRkHqqCUFNJY4AfY3kHU/edit?usp=sharing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2" s="7" t="s">
        <v>10</v>
      </c>
      <c r="H13532" s="7">
        <v>18585</v>
      </c>
      <c r="I13532" s="8" t="str">
        <f ca="1">IFERROR(__xludf.DUMMYFUNCTION("IF
(
G13533=""фізична особа""
,
VLOOKUP(H13533,IMPORTRANGE(""https://docs.google.com/spreadsheets/d/14Bd19lYaqBhU8_DElYkX7l4wRkHqqCUFNJY4AfY3kHU/edit?usp=sharing  #gid=0"",""фіз особи new!relations_name""),6,FALSE)
,
(IF
(
G13533=""юридична особа""
,
VLOO"&amp;"KUP(H13533,IMPORTRANGE(""https://docs.google.com/spreadsheets/d/14Bd19lYaqBhU8_DElYkX7l4wRkHqqCUFNJY4AfY3kHU/edit?usp=sharing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532" s="7" t="s">
        <v>23</v>
      </c>
    </row>
    <row r="13533" spans="1:10" ht="13.2">
      <c r="A13533" s="7">
        <v>13532</v>
      </c>
      <c r="B13533" s="7">
        <v>1</v>
      </c>
      <c r="C13533" s="7" t="s">
        <v>10</v>
      </c>
      <c r="D13533" s="7">
        <v>18579</v>
      </c>
      <c r="E13533" s="7" t="s">
        <v>23</v>
      </c>
      <c r="F13533" s="8" t="str">
        <f ca="1">IFERROR(__xludf.DUMMYFUNCTION("IF
(
C13534=""фізична особа""
,
VLOOKUP(D13534,IMPORTRANGE(""https://docs.google.com/spreadsheets/d/14Bd19lYaqBhU8_DElYkX7l4wRkHqqCUFNJY4AfY3kHU/edit?usp=sharing  #gid=0"",""фіз особи new!relations_name""),6,FALSE)
,
(IF
(
C13534=""юридична особа""
,
VLOO"&amp;"KUP(D13534,IMPORTRANGE(""https://docs.google.com/spreadsheets/d/14Bd19lYaqBhU8_DElYkX7l4wRkHqqCUFNJY4AfY3kHU/edit?usp=sharing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3" s="7" t="s">
        <v>10</v>
      </c>
      <c r="H13533" s="7">
        <v>18847</v>
      </c>
      <c r="I13533" s="8" t="str">
        <f ca="1">IFERROR(__xludf.DUMMYFUNCTION("IF
(
G13534=""фізична особа""
,
VLOOKUP(H13534,IMPORTRANGE(""https://docs.google.com/spreadsheets/d/14Bd19lYaqBhU8_DElYkX7l4wRkHqqCUFNJY4AfY3kHU/edit?usp=sharing  #gid=0"",""фіз особи new!relations_name""),6,FALSE)
,
(IF
(
G13534=""юридична особа""
,
VLOO"&amp;"KUP(H13534,IMPORTRANGE(""https://docs.google.com/spreadsheets/d/14Bd19lYaqBhU8_DElYkX7l4wRkHqqCUFNJY4AfY3kHU/edit?usp=sharing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533" s="7" t="s">
        <v>23</v>
      </c>
    </row>
    <row r="13534" spans="1:10" ht="13.2">
      <c r="A13534" s="7">
        <v>13533</v>
      </c>
      <c r="B13534" s="7">
        <v>1</v>
      </c>
      <c r="C13534" s="7" t="s">
        <v>10</v>
      </c>
      <c r="D13534" s="7">
        <v>18579</v>
      </c>
      <c r="E13534" s="7" t="s">
        <v>23</v>
      </c>
      <c r="F13534" s="8" t="str">
        <f ca="1">IFERROR(__xludf.DUMMYFUNCTION("IF
(
C13535=""фізична особа""
,
VLOOKUP(D13535,IMPORTRANGE(""https://docs.google.com/spreadsheets/d/14Bd19lYaqBhU8_DElYkX7l4wRkHqqCUFNJY4AfY3kHU/edit?usp=sharing  #gid=0"",""фіз особи new!relations_name""),6,FALSE)
,
(IF
(
C13535=""юридична особа""
,
VLOO"&amp;"KUP(D13535,IMPORTRANGE(""https://docs.google.com/spreadsheets/d/14Bd19lYaqBhU8_DElYkX7l4wRkHqqCUFNJY4AfY3kHU/edit?usp=sharing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4" s="7" t="s">
        <v>10</v>
      </c>
      <c r="H13534" s="7">
        <v>18848</v>
      </c>
      <c r="I13534" s="8" t="str">
        <f ca="1">IFERROR(__xludf.DUMMYFUNCTION("IF
(
G13535=""фізична особа""
,
VLOOKUP(H13535,IMPORTRANGE(""https://docs.google.com/spreadsheets/d/14Bd19lYaqBhU8_DElYkX7l4wRkHqqCUFNJY4AfY3kHU/edit?usp=sharing  #gid=0"",""фіз особи new!relations_name""),6,FALSE)
,
(IF
(
G13535=""юридична особа""
,
VLOO"&amp;"KUP(H13535,IMPORTRANGE(""https://docs.google.com/spreadsheets/d/14Bd19lYaqBhU8_DElYkX7l4wRkHqqCUFNJY4AfY3kHU/edit?usp=sharing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534" s="7" t="s">
        <v>23</v>
      </c>
    </row>
    <row r="13535" spans="1:10" ht="13.2">
      <c r="A13535" s="7">
        <v>13534</v>
      </c>
      <c r="B13535" s="7">
        <v>1</v>
      </c>
      <c r="C13535" s="7" t="s">
        <v>10</v>
      </c>
      <c r="D13535" s="7">
        <v>18579</v>
      </c>
      <c r="E13535" s="7" t="s">
        <v>23</v>
      </c>
      <c r="F13535" s="8" t="str">
        <f ca="1">IFERROR(__xludf.DUMMYFUNCTION("IF
(
C13536=""фізична особа""
,
VLOOKUP(D13536,IMPORTRANGE(""https://docs.google.com/spreadsheets/d/14Bd19lYaqBhU8_DElYkX7l4wRkHqqCUFNJY4AfY3kHU/edit?usp=sharing  #gid=0"",""фіз особи new!relations_name""),6,FALSE)
,
(IF
(
C13536=""юридична особа""
,
VLOO"&amp;"KUP(D13536,IMPORTRANGE(""https://docs.google.com/spreadsheets/d/14Bd19lYaqBhU8_DElYkX7l4wRkHqqCUFNJY4AfY3kHU/edit?usp=sharing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5" s="7" t="s">
        <v>10</v>
      </c>
      <c r="H13535" s="7">
        <v>18849</v>
      </c>
      <c r="I13535" s="8" t="str">
        <f ca="1">IFERROR(__xludf.DUMMYFUNCTION("IF
(
G13536=""фізична особа""
,
VLOOKUP(H13536,IMPORTRANGE(""https://docs.google.com/spreadsheets/d/14Bd19lYaqBhU8_DElYkX7l4wRkHqqCUFNJY4AfY3kHU/edit?usp=sharing  #gid=0"",""фіз особи new!relations_name""),6,FALSE)
,
(IF
(
G13536=""юридична особа""
,
VLOO"&amp;"KUP(H13536,IMPORTRANGE(""https://docs.google.com/spreadsheets/d/14Bd19lYaqBhU8_DElYkX7l4wRkHqqCUFNJY4AfY3kHU/edit?usp=sharing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535" s="7" t="s">
        <v>23</v>
      </c>
    </row>
    <row r="13536" spans="1:10" ht="13.2">
      <c r="A13536" s="7">
        <v>13535</v>
      </c>
      <c r="B13536" s="7">
        <v>1</v>
      </c>
      <c r="C13536" s="7" t="s">
        <v>10</v>
      </c>
      <c r="D13536" s="7">
        <v>18579</v>
      </c>
      <c r="E13536" s="7" t="s">
        <v>23</v>
      </c>
      <c r="F13536" s="8" t="str">
        <f ca="1">IFERROR(__xludf.DUMMYFUNCTION("IF
(
C13537=""фізична особа""
,
VLOOKUP(D13537,IMPORTRANGE(""https://docs.google.com/spreadsheets/d/14Bd19lYaqBhU8_DElYkX7l4wRkHqqCUFNJY4AfY3kHU/edit?usp=sharing  #gid=0"",""фіз особи new!relations_name""),6,FALSE)
,
(IF
(
C13537=""юридична особа""
,
VLOO"&amp;"KUP(D13537,IMPORTRANGE(""https://docs.google.com/spreadsheets/d/14Bd19lYaqBhU8_DElYkX7l4wRkHqqCUFNJY4AfY3kHU/edit?usp=sharing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6" s="7" t="s">
        <v>10</v>
      </c>
      <c r="H13536" s="7">
        <v>18850</v>
      </c>
      <c r="I13536" s="8" t="str">
        <f ca="1">IFERROR(__xludf.DUMMYFUNCTION("IF
(
G13537=""фізична особа""
,
VLOOKUP(H13537,IMPORTRANGE(""https://docs.google.com/spreadsheets/d/14Bd19lYaqBhU8_DElYkX7l4wRkHqqCUFNJY4AfY3kHU/edit?usp=sharing  #gid=0"",""фіз особи new!relations_name""),6,FALSE)
,
(IF
(
G13537=""юридична особа""
,
VLOO"&amp;"KUP(H13537,IMPORTRANGE(""https://docs.google.com/spreadsheets/d/14Bd19lYaqBhU8_DElYkX7l4wRkHqqCUFNJY4AfY3kHU/edit?usp=sharing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536" s="7" t="s">
        <v>23</v>
      </c>
    </row>
    <row r="13537" spans="1:10" ht="13.2">
      <c r="A13537" s="7">
        <v>13536</v>
      </c>
      <c r="B13537" s="7">
        <v>1</v>
      </c>
      <c r="C13537" s="7" t="s">
        <v>10</v>
      </c>
      <c r="D13537" s="7">
        <v>18579</v>
      </c>
      <c r="E13537" s="7" t="s">
        <v>23</v>
      </c>
      <c r="F13537" s="8" t="str">
        <f ca="1">IFERROR(__xludf.DUMMYFUNCTION("IF
(
C13538=""фізична особа""
,
VLOOKUP(D13538,IMPORTRANGE(""https://docs.google.com/spreadsheets/d/14Bd19lYaqBhU8_DElYkX7l4wRkHqqCUFNJY4AfY3kHU/edit?usp=sharing  #gid=0"",""фіз особи new!relations_name""),6,FALSE)
,
(IF
(
C13538=""юридична особа""
,
VLOO"&amp;"KUP(D13538,IMPORTRANGE(""https://docs.google.com/spreadsheets/d/14Bd19lYaqBhU8_DElYkX7l4wRkHqqCUFNJY4AfY3kHU/edit?usp=sharing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7" s="7" t="s">
        <v>10</v>
      </c>
      <c r="H13537" s="7">
        <v>18851</v>
      </c>
      <c r="I13537" s="8" t="str">
        <f ca="1">IFERROR(__xludf.DUMMYFUNCTION("IF
(
G13538=""фізична особа""
,
VLOOKUP(H13538,IMPORTRANGE(""https://docs.google.com/spreadsheets/d/14Bd19lYaqBhU8_DElYkX7l4wRkHqqCUFNJY4AfY3kHU/edit?usp=sharing  #gid=0"",""фіз особи new!relations_name""),6,FALSE)
,
(IF
(
G13538=""юридична особа""
,
VLOO"&amp;"KUP(H13538,IMPORTRANGE(""https://docs.google.com/spreadsheets/d/14Bd19lYaqBhU8_DElYkX7l4wRkHqqCUFNJY4AfY3kHU/edit?usp=sharing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537" s="7" t="s">
        <v>23</v>
      </c>
    </row>
    <row r="13538" spans="1:10" ht="13.2">
      <c r="A13538" s="7">
        <v>13537</v>
      </c>
      <c r="B13538" s="7">
        <v>1</v>
      </c>
      <c r="C13538" s="7" t="s">
        <v>10</v>
      </c>
      <c r="D13538" s="7">
        <v>18579</v>
      </c>
      <c r="E13538" s="7" t="s">
        <v>23</v>
      </c>
      <c r="F13538" s="8" t="str">
        <f ca="1">IFERROR(__xludf.DUMMYFUNCTION("IF
(
C13539=""фізична особа""
,
VLOOKUP(D13539,IMPORTRANGE(""https://docs.google.com/spreadsheets/d/14Bd19lYaqBhU8_DElYkX7l4wRkHqqCUFNJY4AfY3kHU/edit?usp=sharing  #gid=0"",""фіз особи new!relations_name""),6,FALSE)
,
(IF
(
C13539=""юридична особа""
,
VLOO"&amp;"KUP(D13539,IMPORTRANGE(""https://docs.google.com/spreadsheets/d/14Bd19lYaqBhU8_DElYkX7l4wRkHqqCUFNJY4AfY3kHU/edit?usp=sharing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8" s="7" t="s">
        <v>10</v>
      </c>
      <c r="H13538" s="7">
        <v>18852</v>
      </c>
      <c r="I13538" s="8" t="str">
        <f ca="1">IFERROR(__xludf.DUMMYFUNCTION("IF
(
G13539=""фізична особа""
,
VLOOKUP(H13539,IMPORTRANGE(""https://docs.google.com/spreadsheets/d/14Bd19lYaqBhU8_DElYkX7l4wRkHqqCUFNJY4AfY3kHU/edit?usp=sharing  #gid=0"",""фіз особи new!relations_name""),6,FALSE)
,
(IF
(
G13539=""юридична особа""
,
VLOO"&amp;"KUP(H13539,IMPORTRANGE(""https://docs.google.com/spreadsheets/d/14Bd19lYaqBhU8_DElYkX7l4wRkHqqCUFNJY4AfY3kHU/edit?usp=sharing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38" s="7" t="s">
        <v>23</v>
      </c>
    </row>
    <row r="13539" spans="1:10" ht="13.2">
      <c r="A13539" s="7">
        <v>13538</v>
      </c>
      <c r="B13539" s="7">
        <v>1</v>
      </c>
      <c r="C13539" s="7" t="s">
        <v>10</v>
      </c>
      <c r="D13539" s="7">
        <v>18579</v>
      </c>
      <c r="E13539" s="7" t="s">
        <v>23</v>
      </c>
      <c r="F13539" s="8" t="str">
        <f ca="1">IFERROR(__xludf.DUMMYFUNCTION("IF
(
C13540=""фізична особа""
,
VLOOKUP(D13540,IMPORTRANGE(""https://docs.google.com/spreadsheets/d/14Bd19lYaqBhU8_DElYkX7l4wRkHqqCUFNJY4AfY3kHU/edit?usp=sharing  #gid=0"",""фіз особи new!relations_name""),6,FALSE)
,
(IF
(
C13540=""юридична особа""
,
VLOO"&amp;"KUP(D13540,IMPORTRANGE(""https://docs.google.com/spreadsheets/d/14Bd19lYaqBhU8_DElYkX7l4wRkHqqCUFNJY4AfY3kHU/edit?usp=sharing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39" s="7" t="s">
        <v>10</v>
      </c>
      <c r="H13539" s="7">
        <v>18853</v>
      </c>
      <c r="I13539" s="8" t="str">
        <f ca="1">IFERROR(__xludf.DUMMYFUNCTION("IF
(
G13540=""фізична особа""
,
VLOOKUP(H13540,IMPORTRANGE(""https://docs.google.com/spreadsheets/d/14Bd19lYaqBhU8_DElYkX7l4wRkHqqCUFNJY4AfY3kHU/edit?usp=sharing  #gid=0"",""фіз особи new!relations_name""),6,FALSE)
,
(IF
(
G13540=""юридична особа""
,
VLOO"&amp;"KUP(H13540,IMPORTRANGE(""https://docs.google.com/spreadsheets/d/14Bd19lYaqBhU8_DElYkX7l4wRkHqqCUFNJY4AfY3kHU/edit?usp=sharing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39" s="7" t="s">
        <v>23</v>
      </c>
    </row>
    <row r="13540" spans="1:10" ht="13.2">
      <c r="A13540" s="7">
        <v>13539</v>
      </c>
      <c r="B13540" s="7">
        <v>1</v>
      </c>
      <c r="C13540" s="7" t="s">
        <v>10</v>
      </c>
      <c r="D13540" s="7">
        <v>18579</v>
      </c>
      <c r="E13540" s="7" t="s">
        <v>23</v>
      </c>
      <c r="F13540" s="8" t="str">
        <f ca="1">IFERROR(__xludf.DUMMYFUNCTION("IF
(
C13541=""фізична особа""
,
VLOOKUP(D13541,IMPORTRANGE(""https://docs.google.com/spreadsheets/d/14Bd19lYaqBhU8_DElYkX7l4wRkHqqCUFNJY4AfY3kHU/edit?usp=sharing  #gid=0"",""фіз особи new!relations_name""),6,FALSE)
,
(IF
(
C13541=""юридична особа""
,
VLOO"&amp;"KUP(D13541,IMPORTRANGE(""https://docs.google.com/spreadsheets/d/14Bd19lYaqBhU8_DElYkX7l4wRkHqqCUFNJY4AfY3kHU/edit?usp=sharing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40" s="7" t="s">
        <v>10</v>
      </c>
      <c r="H13540" s="7">
        <v>18854</v>
      </c>
      <c r="I13540" s="8" t="str">
        <f ca="1">IFERROR(__xludf.DUMMYFUNCTION("IF
(
G13541=""фізична особа""
,
VLOOKUP(H13541,IMPORTRANGE(""https://docs.google.com/spreadsheets/d/14Bd19lYaqBhU8_DElYkX7l4wRkHqqCUFNJY4AfY3kHU/edit?usp=sharing  #gid=0"",""фіз особи new!relations_name""),6,FALSE)
,
(IF
(
G13541=""юридична особа""
,
VLOO"&amp;"KUP(H13541,IMPORTRANGE(""https://docs.google.com/spreadsheets/d/14Bd19lYaqBhU8_DElYkX7l4wRkHqqCUFNJY4AfY3kHU/edit?usp=sharing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40" s="7" t="s">
        <v>23</v>
      </c>
    </row>
    <row r="13541" spans="1:10" ht="13.2">
      <c r="A13541" s="7">
        <v>13540</v>
      </c>
      <c r="B13541" s="7">
        <v>1</v>
      </c>
      <c r="C13541" s="7" t="s">
        <v>10</v>
      </c>
      <c r="D13541" s="7">
        <v>18579</v>
      </c>
      <c r="E13541" s="7" t="s">
        <v>23</v>
      </c>
      <c r="F13541" s="8" t="str">
        <f ca="1">IFERROR(__xludf.DUMMYFUNCTION("IF
(
C13542=""фізична особа""
,
VLOOKUP(D13542,IMPORTRANGE(""https://docs.google.com/spreadsheets/d/14Bd19lYaqBhU8_DElYkX7l4wRkHqqCUFNJY4AfY3kHU/edit?usp=sharing  #gid=0"",""фіз особи new!relations_name""),6,FALSE)
,
(IF
(
C13542=""юридична особа""
,
VLOO"&amp;"KUP(D13542,IMPORTRANGE(""https://docs.google.com/spreadsheets/d/14Bd19lYaqBhU8_DElYkX7l4wRkHqqCUFNJY4AfY3kHU/edit?usp=sharing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41" s="7" t="s">
        <v>10</v>
      </c>
      <c r="H13541" s="7">
        <v>18855</v>
      </c>
      <c r="I13541" s="8" t="str">
        <f ca="1">IFERROR(__xludf.DUMMYFUNCTION("IF
(
G13542=""фізична особа""
,
VLOOKUP(H13542,IMPORTRANGE(""https://docs.google.com/spreadsheets/d/14Bd19lYaqBhU8_DElYkX7l4wRkHqqCUFNJY4AfY3kHU/edit?usp=sharing  #gid=0"",""фіз особи new!relations_name""),6,FALSE)
,
(IF
(
G13542=""юридична особа""
,
VLOO"&amp;"KUP(H13542,IMPORTRANGE(""https://docs.google.com/spreadsheets/d/14Bd19lYaqBhU8_DElYkX7l4wRkHqqCUFNJY4AfY3kHU/edit?usp=sharing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41" s="7" t="s">
        <v>23</v>
      </c>
    </row>
    <row r="13542" spans="1:10" ht="13.2">
      <c r="A13542" s="7">
        <v>13541</v>
      </c>
      <c r="B13542" s="7">
        <v>1</v>
      </c>
      <c r="C13542" s="7" t="s">
        <v>10</v>
      </c>
      <c r="D13542" s="7">
        <v>18579</v>
      </c>
      <c r="E13542" s="7" t="s">
        <v>23</v>
      </c>
      <c r="F13542" s="8" t="str">
        <f ca="1">IFERROR(__xludf.DUMMYFUNCTION("IF
(
C13543=""фізична особа""
,
VLOOKUP(D13543,IMPORTRANGE(""https://docs.google.com/spreadsheets/d/14Bd19lYaqBhU8_DElYkX7l4wRkHqqCUFNJY4AfY3kHU/edit?usp=sharing  #gid=0"",""фіз особи new!relations_name""),6,FALSE)
,
(IF
(
C13543=""юридична особа""
,
VLOO"&amp;"KUP(D13543,IMPORTRANGE(""https://docs.google.com/spreadsheets/d/14Bd19lYaqBhU8_DElYkX7l4wRkHqqCUFNJY4AfY3kHU/edit?usp=sharing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G13542" s="7" t="s">
        <v>10</v>
      </c>
      <c r="H13542" s="7">
        <v>18856</v>
      </c>
      <c r="I13542" s="8" t="str">
        <f ca="1">IFERROR(__xludf.DUMMYFUNCTION("IF
(
G13543=""фізична особа""
,
VLOOKUP(H13543,IMPORTRANGE(""https://docs.google.com/spreadsheets/d/14Bd19lYaqBhU8_DElYkX7l4wRkHqqCUFNJY4AfY3kHU/edit?usp=sharing  #gid=0"",""фіз особи new!relations_name""),6,FALSE)
,
(IF
(
G13543=""юридична особа""
,
VLOO"&amp;"KUP(H13543,IMPORTRANGE(""https://docs.google.com/spreadsheets/d/14Bd19lYaqBhU8_DElYkX7l4wRkHqqCUFNJY4AfY3kHU/edit?usp=sharing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42" s="7" t="s">
        <v>23</v>
      </c>
    </row>
    <row r="13543" spans="1:10" ht="13.2">
      <c r="A13543" s="7">
        <v>13542</v>
      </c>
      <c r="B13543" s="7">
        <v>1</v>
      </c>
      <c r="C13543" s="7" t="s">
        <v>10</v>
      </c>
      <c r="D13543" s="7">
        <v>18580</v>
      </c>
      <c r="E13543" s="7" t="s">
        <v>23</v>
      </c>
      <c r="F13543" s="8" t="str">
        <f ca="1">IFERROR(__xludf.DUMMYFUNCTION("IF
(
C13544=""фізична особа""
,
VLOOKUP(D13544,IMPORTRANGE(""https://docs.google.com/spreadsheets/d/14Bd19lYaqBhU8_DElYkX7l4wRkHqqCUFNJY4AfY3kHU/edit?usp=sharing  #gid=0"",""фіз особи new!relations_name""),6,FALSE)
,
(IF
(
C13544=""юридична особа""
,
VLOO"&amp;"KUP(D13544,IMPORTRANGE(""https://docs.google.com/spreadsheets/d/14Bd19lYaqBhU8_DElYkX7l4wRkHqqCUFNJY4AfY3kHU/edit?usp=sharing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3" s="7" t="s">
        <v>10</v>
      </c>
      <c r="H13543" s="7">
        <v>18576</v>
      </c>
      <c r="I13543" s="8" t="str">
        <f ca="1">IFERROR(__xludf.DUMMYFUNCTION("IF
(
G13544=""фізична особа""
,
VLOOKUP(H13544,IMPORTRANGE(""https://docs.google.com/spreadsheets/d/14Bd19lYaqBhU8_DElYkX7l4wRkHqqCUFNJY4AfY3kHU/edit?usp=sharing  #gid=0"",""фіз особи new!relations_name""),6,FALSE)
,
(IF
(
G13544=""юридична особа""
,
VLOO"&amp;"KUP(H13544,IMPORTRANGE(""https://docs.google.com/spreadsheets/d/14Bd19lYaqBhU8_DElYkX7l4wRkHqqCUFNJY4AfY3kHU/edit?usp=sharing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543" s="7" t="s">
        <v>23</v>
      </c>
    </row>
    <row r="13544" spans="1:10" ht="13.2">
      <c r="A13544" s="7">
        <v>13543</v>
      </c>
      <c r="B13544" s="7">
        <v>1</v>
      </c>
      <c r="C13544" s="7" t="s">
        <v>10</v>
      </c>
      <c r="D13544" s="7">
        <v>18580</v>
      </c>
      <c r="E13544" s="7" t="s">
        <v>23</v>
      </c>
      <c r="F13544" s="8" t="str">
        <f ca="1">IFERROR(__xludf.DUMMYFUNCTION("IF
(
C13545=""фізична особа""
,
VLOOKUP(D13545,IMPORTRANGE(""https://docs.google.com/spreadsheets/d/14Bd19lYaqBhU8_DElYkX7l4wRkHqqCUFNJY4AfY3kHU/edit?usp=sharing  #gid=0"",""фіз особи new!relations_name""),6,FALSE)
,
(IF
(
C13545=""юридична особа""
,
VLOO"&amp;"KUP(D13545,IMPORTRANGE(""https://docs.google.com/spreadsheets/d/14Bd19lYaqBhU8_DElYkX7l4wRkHqqCUFNJY4AfY3kHU/edit?usp=sharing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4" s="7" t="s">
        <v>10</v>
      </c>
      <c r="H13544" s="7">
        <v>18577</v>
      </c>
      <c r="I13544" s="8" t="str">
        <f ca="1">IFERROR(__xludf.DUMMYFUNCTION("IF
(
G13545=""фізична особа""
,
VLOOKUP(H13545,IMPORTRANGE(""https://docs.google.com/spreadsheets/d/14Bd19lYaqBhU8_DElYkX7l4wRkHqqCUFNJY4AfY3kHU/edit?usp=sharing  #gid=0"",""фіз особи new!relations_name""),6,FALSE)
,
(IF
(
G13545=""юридична особа""
,
VLOO"&amp;"KUP(H13545,IMPORTRANGE(""https://docs.google.com/spreadsheets/d/14Bd19lYaqBhU8_DElYkX7l4wRkHqqCUFNJY4AfY3kHU/edit?usp=sharing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544" s="7" t="s">
        <v>23</v>
      </c>
    </row>
    <row r="13545" spans="1:10" ht="13.2">
      <c r="A13545" s="7">
        <v>13544</v>
      </c>
      <c r="B13545" s="7">
        <v>1</v>
      </c>
      <c r="C13545" s="7" t="s">
        <v>10</v>
      </c>
      <c r="D13545" s="7">
        <v>18580</v>
      </c>
      <c r="E13545" s="7" t="s">
        <v>23</v>
      </c>
      <c r="F13545" s="8" t="str">
        <f ca="1">IFERROR(__xludf.DUMMYFUNCTION("IF
(
C13546=""фізична особа""
,
VLOOKUP(D13546,IMPORTRANGE(""https://docs.google.com/spreadsheets/d/14Bd19lYaqBhU8_DElYkX7l4wRkHqqCUFNJY4AfY3kHU/edit?usp=sharing  #gid=0"",""фіз особи new!relations_name""),6,FALSE)
,
(IF
(
C13546=""юридична особа""
,
VLOO"&amp;"KUP(D13546,IMPORTRANGE(""https://docs.google.com/spreadsheets/d/14Bd19lYaqBhU8_DElYkX7l4wRkHqqCUFNJY4AfY3kHU/edit?usp=sharing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5" s="7" t="s">
        <v>10</v>
      </c>
      <c r="H13545" s="7">
        <v>18578</v>
      </c>
      <c r="I13545" s="8" t="str">
        <f ca="1">IFERROR(__xludf.DUMMYFUNCTION("IF
(
G13546=""фізична особа""
,
VLOOKUP(H13546,IMPORTRANGE(""https://docs.google.com/spreadsheets/d/14Bd19lYaqBhU8_DElYkX7l4wRkHqqCUFNJY4AfY3kHU/edit?usp=sharing  #gid=0"",""фіз особи new!relations_name""),6,FALSE)
,
(IF
(
G13546=""юридична особа""
,
VLOO"&amp;"KUP(H13546,IMPORTRANGE(""https://docs.google.com/spreadsheets/d/14Bd19lYaqBhU8_DElYkX7l4wRkHqqCUFNJY4AfY3kHU/edit?usp=sharing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545" s="7" t="s">
        <v>23</v>
      </c>
    </row>
    <row r="13546" spans="1:10" ht="13.2">
      <c r="A13546" s="7">
        <v>13545</v>
      </c>
      <c r="B13546" s="7">
        <v>1</v>
      </c>
      <c r="C13546" s="7" t="s">
        <v>10</v>
      </c>
      <c r="D13546" s="7">
        <v>18580</v>
      </c>
      <c r="E13546" s="7" t="s">
        <v>23</v>
      </c>
      <c r="F13546" s="8" t="str">
        <f ca="1">IFERROR(__xludf.DUMMYFUNCTION("IF
(
C13547=""фізична особа""
,
VLOOKUP(D13547,IMPORTRANGE(""https://docs.google.com/spreadsheets/d/14Bd19lYaqBhU8_DElYkX7l4wRkHqqCUFNJY4AfY3kHU/edit?usp=sharing  #gid=0"",""фіз особи new!relations_name""),6,FALSE)
,
(IF
(
C13547=""юридична особа""
,
VLOO"&amp;"KUP(D13547,IMPORTRANGE(""https://docs.google.com/spreadsheets/d/14Bd19lYaqBhU8_DElYkX7l4wRkHqqCUFNJY4AfY3kHU/edit?usp=sharing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6" s="7" t="s">
        <v>10</v>
      </c>
      <c r="H13546" s="7">
        <v>18579</v>
      </c>
      <c r="I13546" s="8" t="str">
        <f ca="1">IFERROR(__xludf.DUMMYFUNCTION("IF
(
G13547=""фізична особа""
,
VLOOKUP(H13547,IMPORTRANGE(""https://docs.google.com/spreadsheets/d/14Bd19lYaqBhU8_DElYkX7l4wRkHqqCUFNJY4AfY3kHU/edit?usp=sharing  #gid=0"",""фіз особи new!relations_name""),6,FALSE)
,
(IF
(
G13547=""юридична особа""
,
VLOO"&amp;"KUP(H13547,IMPORTRANGE(""https://docs.google.com/spreadsheets/d/14Bd19lYaqBhU8_DElYkX7l4wRkHqqCUFNJY4AfY3kHU/edit?usp=sharing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546" s="7" t="s">
        <v>23</v>
      </c>
    </row>
    <row r="13547" spans="1:10" ht="13.2">
      <c r="A13547" s="7">
        <v>13546</v>
      </c>
      <c r="B13547" s="7">
        <v>1</v>
      </c>
      <c r="C13547" s="7" t="s">
        <v>10</v>
      </c>
      <c r="D13547" s="7">
        <v>18580</v>
      </c>
      <c r="E13547" s="7" t="s">
        <v>23</v>
      </c>
      <c r="F13547" s="8" t="str">
        <f ca="1">IFERROR(__xludf.DUMMYFUNCTION("IF
(
C13548=""фізична особа""
,
VLOOKUP(D13548,IMPORTRANGE(""https://docs.google.com/spreadsheets/d/14Bd19lYaqBhU8_DElYkX7l4wRkHqqCUFNJY4AfY3kHU/edit?usp=sharing  #gid=0"",""фіз особи new!relations_name""),6,FALSE)
,
(IF
(
C13548=""юридична особа""
,
VLOO"&amp;"KUP(D13548,IMPORTRANGE(""https://docs.google.com/spreadsheets/d/14Bd19lYaqBhU8_DElYkX7l4wRkHqqCUFNJY4AfY3kHU/edit?usp=sharing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7" s="7" t="s">
        <v>10</v>
      </c>
      <c r="H13547" s="7">
        <v>18581</v>
      </c>
      <c r="I13547" s="8" t="str">
        <f ca="1">IFERROR(__xludf.DUMMYFUNCTION("IF
(
G13548=""фізична особа""
,
VLOOKUP(H13548,IMPORTRANGE(""https://docs.google.com/spreadsheets/d/14Bd19lYaqBhU8_DElYkX7l4wRkHqqCUFNJY4AfY3kHU/edit?usp=sharing  #gid=0"",""фіз особи new!relations_name""),6,FALSE)
,
(IF
(
G13548=""юридична особа""
,
VLOO"&amp;"KUP(H13548,IMPORTRANGE(""https://docs.google.com/spreadsheets/d/14Bd19lYaqBhU8_DElYkX7l4wRkHqqCUFNJY4AfY3kHU/edit?usp=sharing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547" s="7" t="s">
        <v>23</v>
      </c>
    </row>
    <row r="13548" spans="1:10" ht="13.2">
      <c r="A13548" s="7">
        <v>13547</v>
      </c>
      <c r="B13548" s="7">
        <v>1</v>
      </c>
      <c r="C13548" s="7" t="s">
        <v>10</v>
      </c>
      <c r="D13548" s="7">
        <v>18580</v>
      </c>
      <c r="E13548" s="7" t="s">
        <v>23</v>
      </c>
      <c r="F13548" s="8" t="str">
        <f ca="1">IFERROR(__xludf.DUMMYFUNCTION("IF
(
C13549=""фізична особа""
,
VLOOKUP(D13549,IMPORTRANGE(""https://docs.google.com/spreadsheets/d/14Bd19lYaqBhU8_DElYkX7l4wRkHqqCUFNJY4AfY3kHU/edit?usp=sharing  #gid=0"",""фіз особи new!relations_name""),6,FALSE)
,
(IF
(
C13549=""юридична особа""
,
VLOO"&amp;"KUP(D13549,IMPORTRANGE(""https://docs.google.com/spreadsheets/d/14Bd19lYaqBhU8_DElYkX7l4wRkHqqCUFNJY4AfY3kHU/edit?usp=sharing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8" s="7" t="s">
        <v>10</v>
      </c>
      <c r="H13548" s="7">
        <v>18582</v>
      </c>
      <c r="I13548" s="8" t="str">
        <f ca="1">IFERROR(__xludf.DUMMYFUNCTION("IF
(
G13549=""фізична особа""
,
VLOOKUP(H13549,IMPORTRANGE(""https://docs.google.com/spreadsheets/d/14Bd19lYaqBhU8_DElYkX7l4wRkHqqCUFNJY4AfY3kHU/edit?usp=sharing  #gid=0"",""фіз особи new!relations_name""),6,FALSE)
,
(IF
(
G13549=""юридична особа""
,
VLOO"&amp;"KUP(H13549,IMPORTRANGE(""https://docs.google.com/spreadsheets/d/14Bd19lYaqBhU8_DElYkX7l4wRkHqqCUFNJY4AfY3kHU/edit?usp=sharing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548" s="7" t="s">
        <v>23</v>
      </c>
    </row>
    <row r="13549" spans="1:10" ht="13.2">
      <c r="A13549" s="7">
        <v>13548</v>
      </c>
      <c r="B13549" s="7">
        <v>1</v>
      </c>
      <c r="C13549" s="7" t="s">
        <v>10</v>
      </c>
      <c r="D13549" s="7">
        <v>18580</v>
      </c>
      <c r="E13549" s="7" t="s">
        <v>23</v>
      </c>
      <c r="F13549" s="8" t="str">
        <f ca="1">IFERROR(__xludf.DUMMYFUNCTION("IF
(
C13550=""фізична особа""
,
VLOOKUP(D13550,IMPORTRANGE(""https://docs.google.com/spreadsheets/d/14Bd19lYaqBhU8_DElYkX7l4wRkHqqCUFNJY4AfY3kHU/edit?usp=sharing  #gid=0"",""фіз особи new!relations_name""),6,FALSE)
,
(IF
(
C13550=""юридична особа""
,
VLOO"&amp;"KUP(D13550,IMPORTRANGE(""https://docs.google.com/spreadsheets/d/14Bd19lYaqBhU8_DElYkX7l4wRkHqqCUFNJY4AfY3kHU/edit?usp=sharing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49" s="7" t="s">
        <v>10</v>
      </c>
      <c r="H13549" s="7">
        <v>18583</v>
      </c>
      <c r="I13549" s="8" t="str">
        <f ca="1">IFERROR(__xludf.DUMMYFUNCTION("IF
(
G13550=""фізична особа""
,
VLOOKUP(H13550,IMPORTRANGE(""https://docs.google.com/spreadsheets/d/14Bd19lYaqBhU8_DElYkX7l4wRkHqqCUFNJY4AfY3kHU/edit?usp=sharing  #gid=0"",""фіз особи new!relations_name""),6,FALSE)
,
(IF
(
G13550=""юридична особа""
,
VLOO"&amp;"KUP(H13550,IMPORTRANGE(""https://docs.google.com/spreadsheets/d/14Bd19lYaqBhU8_DElYkX7l4wRkHqqCUFNJY4AfY3kHU/edit?usp=sharing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549" s="7" t="s">
        <v>23</v>
      </c>
    </row>
    <row r="13550" spans="1:10" ht="13.2">
      <c r="A13550" s="7">
        <v>13549</v>
      </c>
      <c r="B13550" s="7">
        <v>1</v>
      </c>
      <c r="C13550" s="7" t="s">
        <v>10</v>
      </c>
      <c r="D13550" s="7">
        <v>18580</v>
      </c>
      <c r="E13550" s="7" t="s">
        <v>23</v>
      </c>
      <c r="F13550" s="8" t="str">
        <f ca="1">IFERROR(__xludf.DUMMYFUNCTION("IF
(
C13551=""фізична особа""
,
VLOOKUP(D13551,IMPORTRANGE(""https://docs.google.com/spreadsheets/d/14Bd19lYaqBhU8_DElYkX7l4wRkHqqCUFNJY4AfY3kHU/edit?usp=sharing  #gid=0"",""фіз особи new!relations_name""),6,FALSE)
,
(IF
(
C13551=""юридична особа""
,
VLOO"&amp;"KUP(D13551,IMPORTRANGE(""https://docs.google.com/spreadsheets/d/14Bd19lYaqBhU8_DElYkX7l4wRkHqqCUFNJY4AfY3kHU/edit?usp=sharing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0" s="7" t="s">
        <v>10</v>
      </c>
      <c r="H13550" s="7">
        <v>18584</v>
      </c>
      <c r="I13550" s="8" t="str">
        <f ca="1">IFERROR(__xludf.DUMMYFUNCTION("IF
(
G13551=""фізична особа""
,
VLOOKUP(H13551,IMPORTRANGE(""https://docs.google.com/spreadsheets/d/14Bd19lYaqBhU8_DElYkX7l4wRkHqqCUFNJY4AfY3kHU/edit?usp=sharing  #gid=0"",""фіз особи new!relations_name""),6,FALSE)
,
(IF
(
G13551=""юридична особа""
,
VLOO"&amp;"KUP(H13551,IMPORTRANGE(""https://docs.google.com/spreadsheets/d/14Bd19lYaqBhU8_DElYkX7l4wRkHqqCUFNJY4AfY3kHU/edit?usp=sharing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550" s="7" t="s">
        <v>23</v>
      </c>
    </row>
    <row r="13551" spans="1:10" ht="13.2">
      <c r="A13551" s="7">
        <v>13550</v>
      </c>
      <c r="B13551" s="7">
        <v>1</v>
      </c>
      <c r="C13551" s="7" t="s">
        <v>10</v>
      </c>
      <c r="D13551" s="7">
        <v>18580</v>
      </c>
      <c r="E13551" s="7" t="s">
        <v>23</v>
      </c>
      <c r="F13551" s="8" t="str">
        <f ca="1">IFERROR(__xludf.DUMMYFUNCTION("IF
(
C13552=""фізична особа""
,
VLOOKUP(D13552,IMPORTRANGE(""https://docs.google.com/spreadsheets/d/14Bd19lYaqBhU8_DElYkX7l4wRkHqqCUFNJY4AfY3kHU/edit?usp=sharing  #gid=0"",""фіз особи new!relations_name""),6,FALSE)
,
(IF
(
C13552=""юридична особа""
,
VLOO"&amp;"KUP(D13552,IMPORTRANGE(""https://docs.google.com/spreadsheets/d/14Bd19lYaqBhU8_DElYkX7l4wRkHqqCUFNJY4AfY3kHU/edit?usp=sharing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1" s="7" t="s">
        <v>10</v>
      </c>
      <c r="H13551" s="7">
        <v>18585</v>
      </c>
      <c r="I13551" s="8" t="str">
        <f ca="1">IFERROR(__xludf.DUMMYFUNCTION("IF
(
G13552=""фізична особа""
,
VLOOKUP(H13552,IMPORTRANGE(""https://docs.google.com/spreadsheets/d/14Bd19lYaqBhU8_DElYkX7l4wRkHqqCUFNJY4AfY3kHU/edit?usp=sharing  #gid=0"",""фіз особи new!relations_name""),6,FALSE)
,
(IF
(
G13552=""юридична особа""
,
VLOO"&amp;"KUP(H13552,IMPORTRANGE(""https://docs.google.com/spreadsheets/d/14Bd19lYaqBhU8_DElYkX7l4wRkHqqCUFNJY4AfY3kHU/edit?usp=sharing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551" s="7" t="s">
        <v>23</v>
      </c>
    </row>
    <row r="13552" spans="1:10" ht="13.2">
      <c r="A13552" s="7">
        <v>13551</v>
      </c>
      <c r="B13552" s="7">
        <v>1</v>
      </c>
      <c r="C13552" s="7" t="s">
        <v>10</v>
      </c>
      <c r="D13552" s="7">
        <v>18580</v>
      </c>
      <c r="E13552" s="7" t="s">
        <v>23</v>
      </c>
      <c r="F13552" s="8" t="str">
        <f ca="1">IFERROR(__xludf.DUMMYFUNCTION("IF
(
C13553=""фізична особа""
,
VLOOKUP(D13553,IMPORTRANGE(""https://docs.google.com/spreadsheets/d/14Bd19lYaqBhU8_DElYkX7l4wRkHqqCUFNJY4AfY3kHU/edit?usp=sharing  #gid=0"",""фіз особи new!relations_name""),6,FALSE)
,
(IF
(
C13553=""юридична особа""
,
VLOO"&amp;"KUP(D13553,IMPORTRANGE(""https://docs.google.com/spreadsheets/d/14Bd19lYaqBhU8_DElYkX7l4wRkHqqCUFNJY4AfY3kHU/edit?usp=sharing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2" s="7" t="s">
        <v>10</v>
      </c>
      <c r="H13552" s="7">
        <v>18847</v>
      </c>
      <c r="I13552" s="8" t="str">
        <f ca="1">IFERROR(__xludf.DUMMYFUNCTION("IF
(
G13553=""фізична особа""
,
VLOOKUP(H13553,IMPORTRANGE(""https://docs.google.com/spreadsheets/d/14Bd19lYaqBhU8_DElYkX7l4wRkHqqCUFNJY4AfY3kHU/edit?usp=sharing  #gid=0"",""фіз особи new!relations_name""),6,FALSE)
,
(IF
(
G13553=""юридична особа""
,
VLOO"&amp;"KUP(H13553,IMPORTRANGE(""https://docs.google.com/spreadsheets/d/14Bd19lYaqBhU8_DElYkX7l4wRkHqqCUFNJY4AfY3kHU/edit?usp=sharing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552" s="7" t="s">
        <v>23</v>
      </c>
    </row>
    <row r="13553" spans="1:10" ht="13.2">
      <c r="A13553" s="7">
        <v>13552</v>
      </c>
      <c r="B13553" s="7">
        <v>1</v>
      </c>
      <c r="C13553" s="7" t="s">
        <v>10</v>
      </c>
      <c r="D13553" s="7">
        <v>18580</v>
      </c>
      <c r="E13553" s="7" t="s">
        <v>23</v>
      </c>
      <c r="F13553" s="8" t="str">
        <f ca="1">IFERROR(__xludf.DUMMYFUNCTION("IF
(
C13554=""фізична особа""
,
VLOOKUP(D13554,IMPORTRANGE(""https://docs.google.com/spreadsheets/d/14Bd19lYaqBhU8_DElYkX7l4wRkHqqCUFNJY4AfY3kHU/edit?usp=sharing  #gid=0"",""фіз особи new!relations_name""),6,FALSE)
,
(IF
(
C13554=""юридична особа""
,
VLOO"&amp;"KUP(D13554,IMPORTRANGE(""https://docs.google.com/spreadsheets/d/14Bd19lYaqBhU8_DElYkX7l4wRkHqqCUFNJY4AfY3kHU/edit?usp=sharing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3" s="7" t="s">
        <v>10</v>
      </c>
      <c r="H13553" s="7">
        <v>18848</v>
      </c>
      <c r="I13553" s="8" t="str">
        <f ca="1">IFERROR(__xludf.DUMMYFUNCTION("IF
(
G13554=""фізична особа""
,
VLOOKUP(H13554,IMPORTRANGE(""https://docs.google.com/spreadsheets/d/14Bd19lYaqBhU8_DElYkX7l4wRkHqqCUFNJY4AfY3kHU/edit?usp=sharing  #gid=0"",""фіз особи new!relations_name""),6,FALSE)
,
(IF
(
G13554=""юридична особа""
,
VLOO"&amp;"KUP(H13554,IMPORTRANGE(""https://docs.google.com/spreadsheets/d/14Bd19lYaqBhU8_DElYkX7l4wRkHqqCUFNJY4AfY3kHU/edit?usp=sharing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553" s="7" t="s">
        <v>23</v>
      </c>
    </row>
    <row r="13554" spans="1:10" ht="13.2">
      <c r="A13554" s="7">
        <v>13553</v>
      </c>
      <c r="B13554" s="7">
        <v>1</v>
      </c>
      <c r="C13554" s="7" t="s">
        <v>10</v>
      </c>
      <c r="D13554" s="7">
        <v>18580</v>
      </c>
      <c r="E13554" s="7" t="s">
        <v>23</v>
      </c>
      <c r="F13554" s="8" t="str">
        <f ca="1">IFERROR(__xludf.DUMMYFUNCTION("IF
(
C13555=""фізична особа""
,
VLOOKUP(D13555,IMPORTRANGE(""https://docs.google.com/spreadsheets/d/14Bd19lYaqBhU8_DElYkX7l4wRkHqqCUFNJY4AfY3kHU/edit?usp=sharing  #gid=0"",""фіз особи new!relations_name""),6,FALSE)
,
(IF
(
C13555=""юридична особа""
,
VLOO"&amp;"KUP(D13555,IMPORTRANGE(""https://docs.google.com/spreadsheets/d/14Bd19lYaqBhU8_DElYkX7l4wRkHqqCUFNJY4AfY3kHU/edit?usp=sharing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4" s="7" t="s">
        <v>10</v>
      </c>
      <c r="H13554" s="7">
        <v>18849</v>
      </c>
      <c r="I13554" s="8" t="str">
        <f ca="1">IFERROR(__xludf.DUMMYFUNCTION("IF
(
G13555=""фізична особа""
,
VLOOKUP(H13555,IMPORTRANGE(""https://docs.google.com/spreadsheets/d/14Bd19lYaqBhU8_DElYkX7l4wRkHqqCUFNJY4AfY3kHU/edit?usp=sharing  #gid=0"",""фіз особи new!relations_name""),6,FALSE)
,
(IF
(
G13555=""юридична особа""
,
VLOO"&amp;"KUP(H13555,IMPORTRANGE(""https://docs.google.com/spreadsheets/d/14Bd19lYaqBhU8_DElYkX7l4wRkHqqCUFNJY4AfY3kHU/edit?usp=sharing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554" s="7" t="s">
        <v>23</v>
      </c>
    </row>
    <row r="13555" spans="1:10" ht="13.2">
      <c r="A13555" s="7">
        <v>13554</v>
      </c>
      <c r="B13555" s="7">
        <v>1</v>
      </c>
      <c r="C13555" s="7" t="s">
        <v>10</v>
      </c>
      <c r="D13555" s="7">
        <v>18580</v>
      </c>
      <c r="E13555" s="7" t="s">
        <v>23</v>
      </c>
      <c r="F13555" s="8" t="str">
        <f ca="1">IFERROR(__xludf.DUMMYFUNCTION("IF
(
C13556=""фізична особа""
,
VLOOKUP(D13556,IMPORTRANGE(""https://docs.google.com/spreadsheets/d/14Bd19lYaqBhU8_DElYkX7l4wRkHqqCUFNJY4AfY3kHU/edit?usp=sharing  #gid=0"",""фіз особи new!relations_name""),6,FALSE)
,
(IF
(
C13556=""юридична особа""
,
VLOO"&amp;"KUP(D13556,IMPORTRANGE(""https://docs.google.com/spreadsheets/d/14Bd19lYaqBhU8_DElYkX7l4wRkHqqCUFNJY4AfY3kHU/edit?usp=sharing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5" s="7" t="s">
        <v>10</v>
      </c>
      <c r="H13555" s="7">
        <v>18850</v>
      </c>
      <c r="I13555" s="8" t="str">
        <f ca="1">IFERROR(__xludf.DUMMYFUNCTION("IF
(
G13556=""фізична особа""
,
VLOOKUP(H13556,IMPORTRANGE(""https://docs.google.com/spreadsheets/d/14Bd19lYaqBhU8_DElYkX7l4wRkHqqCUFNJY4AfY3kHU/edit?usp=sharing  #gid=0"",""фіз особи new!relations_name""),6,FALSE)
,
(IF
(
G13556=""юридична особа""
,
VLOO"&amp;"KUP(H13556,IMPORTRANGE(""https://docs.google.com/spreadsheets/d/14Bd19lYaqBhU8_DElYkX7l4wRkHqqCUFNJY4AfY3kHU/edit?usp=sharing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555" s="7" t="s">
        <v>23</v>
      </c>
    </row>
    <row r="13556" spans="1:10" ht="13.2">
      <c r="A13556" s="7">
        <v>13555</v>
      </c>
      <c r="B13556" s="7">
        <v>1</v>
      </c>
      <c r="C13556" s="7" t="s">
        <v>10</v>
      </c>
      <c r="D13556" s="7">
        <v>18580</v>
      </c>
      <c r="E13556" s="7" t="s">
        <v>23</v>
      </c>
      <c r="F13556" s="8" t="str">
        <f ca="1">IFERROR(__xludf.DUMMYFUNCTION("IF
(
C13557=""фізична особа""
,
VLOOKUP(D13557,IMPORTRANGE(""https://docs.google.com/spreadsheets/d/14Bd19lYaqBhU8_DElYkX7l4wRkHqqCUFNJY4AfY3kHU/edit?usp=sharing  #gid=0"",""фіз особи new!relations_name""),6,FALSE)
,
(IF
(
C13557=""юридична особа""
,
VLOO"&amp;"KUP(D13557,IMPORTRANGE(""https://docs.google.com/spreadsheets/d/14Bd19lYaqBhU8_DElYkX7l4wRkHqqCUFNJY4AfY3kHU/edit?usp=sharing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6" s="7" t="s">
        <v>10</v>
      </c>
      <c r="H13556" s="7">
        <v>18851</v>
      </c>
      <c r="I13556" s="8" t="str">
        <f ca="1">IFERROR(__xludf.DUMMYFUNCTION("IF
(
G13557=""фізична особа""
,
VLOOKUP(H13557,IMPORTRANGE(""https://docs.google.com/spreadsheets/d/14Bd19lYaqBhU8_DElYkX7l4wRkHqqCUFNJY4AfY3kHU/edit?usp=sharing  #gid=0"",""фіз особи new!relations_name""),6,FALSE)
,
(IF
(
G13557=""юридична особа""
,
VLOO"&amp;"KUP(H13557,IMPORTRANGE(""https://docs.google.com/spreadsheets/d/14Bd19lYaqBhU8_DElYkX7l4wRkHqqCUFNJY4AfY3kHU/edit?usp=sharing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556" s="7" t="s">
        <v>23</v>
      </c>
    </row>
    <row r="13557" spans="1:10" ht="13.2">
      <c r="A13557" s="7">
        <v>13556</v>
      </c>
      <c r="B13557" s="7">
        <v>1</v>
      </c>
      <c r="C13557" s="7" t="s">
        <v>10</v>
      </c>
      <c r="D13557" s="7">
        <v>18580</v>
      </c>
      <c r="E13557" s="7" t="s">
        <v>23</v>
      </c>
      <c r="F13557" s="8" t="str">
        <f ca="1">IFERROR(__xludf.DUMMYFUNCTION("IF
(
C13558=""фізична особа""
,
VLOOKUP(D13558,IMPORTRANGE(""https://docs.google.com/spreadsheets/d/14Bd19lYaqBhU8_DElYkX7l4wRkHqqCUFNJY4AfY3kHU/edit?usp=sharing  #gid=0"",""фіз особи new!relations_name""),6,FALSE)
,
(IF
(
C13558=""юридична особа""
,
VLOO"&amp;"KUP(D13558,IMPORTRANGE(""https://docs.google.com/spreadsheets/d/14Bd19lYaqBhU8_DElYkX7l4wRkHqqCUFNJY4AfY3kHU/edit?usp=sharing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7" s="7" t="s">
        <v>10</v>
      </c>
      <c r="H13557" s="7">
        <v>18852</v>
      </c>
      <c r="I13557" s="8" t="str">
        <f ca="1">IFERROR(__xludf.DUMMYFUNCTION("IF
(
G13558=""фізична особа""
,
VLOOKUP(H13558,IMPORTRANGE(""https://docs.google.com/spreadsheets/d/14Bd19lYaqBhU8_DElYkX7l4wRkHqqCUFNJY4AfY3kHU/edit?usp=sharing  #gid=0"",""фіз особи new!relations_name""),6,FALSE)
,
(IF
(
G13558=""юридична особа""
,
VLOO"&amp;"KUP(H13558,IMPORTRANGE(""https://docs.google.com/spreadsheets/d/14Bd19lYaqBhU8_DElYkX7l4wRkHqqCUFNJY4AfY3kHU/edit?usp=sharing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57" s="7" t="s">
        <v>23</v>
      </c>
    </row>
    <row r="13558" spans="1:10" ht="13.2">
      <c r="A13558" s="7">
        <v>13557</v>
      </c>
      <c r="B13558" s="7">
        <v>1</v>
      </c>
      <c r="C13558" s="7" t="s">
        <v>10</v>
      </c>
      <c r="D13558" s="7">
        <v>18580</v>
      </c>
      <c r="E13558" s="7" t="s">
        <v>23</v>
      </c>
      <c r="F13558" s="8" t="str">
        <f ca="1">IFERROR(__xludf.DUMMYFUNCTION("IF
(
C13559=""фізична особа""
,
VLOOKUP(D13559,IMPORTRANGE(""https://docs.google.com/spreadsheets/d/14Bd19lYaqBhU8_DElYkX7l4wRkHqqCUFNJY4AfY3kHU/edit?usp=sharing  #gid=0"",""фіз особи new!relations_name""),6,FALSE)
,
(IF
(
C13559=""юридична особа""
,
VLOO"&amp;"KUP(D13559,IMPORTRANGE(""https://docs.google.com/spreadsheets/d/14Bd19lYaqBhU8_DElYkX7l4wRkHqqCUFNJY4AfY3kHU/edit?usp=sharing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8" s="7" t="s">
        <v>10</v>
      </c>
      <c r="H13558" s="7">
        <v>18853</v>
      </c>
      <c r="I13558" s="8" t="str">
        <f ca="1">IFERROR(__xludf.DUMMYFUNCTION("IF
(
G13559=""фізична особа""
,
VLOOKUP(H13559,IMPORTRANGE(""https://docs.google.com/spreadsheets/d/14Bd19lYaqBhU8_DElYkX7l4wRkHqqCUFNJY4AfY3kHU/edit?usp=sharing  #gid=0"",""фіз особи new!relations_name""),6,FALSE)
,
(IF
(
G13559=""юридична особа""
,
VLOO"&amp;"KUP(H13559,IMPORTRANGE(""https://docs.google.com/spreadsheets/d/14Bd19lYaqBhU8_DElYkX7l4wRkHqqCUFNJY4AfY3kHU/edit?usp=sharing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58" s="7" t="s">
        <v>23</v>
      </c>
    </row>
    <row r="13559" spans="1:10" ht="13.2">
      <c r="A13559" s="7">
        <v>13558</v>
      </c>
      <c r="B13559" s="7">
        <v>1</v>
      </c>
      <c r="C13559" s="7" t="s">
        <v>10</v>
      </c>
      <c r="D13559" s="7">
        <v>18580</v>
      </c>
      <c r="E13559" s="7" t="s">
        <v>23</v>
      </c>
      <c r="F13559" s="8" t="str">
        <f ca="1">IFERROR(__xludf.DUMMYFUNCTION("IF
(
C13560=""фізична особа""
,
VLOOKUP(D13560,IMPORTRANGE(""https://docs.google.com/spreadsheets/d/14Bd19lYaqBhU8_DElYkX7l4wRkHqqCUFNJY4AfY3kHU/edit?usp=sharing  #gid=0"",""фіз особи new!relations_name""),6,FALSE)
,
(IF
(
C13560=""юридична особа""
,
VLOO"&amp;"KUP(D13560,IMPORTRANGE(""https://docs.google.com/spreadsheets/d/14Bd19lYaqBhU8_DElYkX7l4wRkHqqCUFNJY4AfY3kHU/edit?usp=sharing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59" s="7" t="s">
        <v>10</v>
      </c>
      <c r="H13559" s="7">
        <v>18854</v>
      </c>
      <c r="I13559" s="8" t="str">
        <f ca="1">IFERROR(__xludf.DUMMYFUNCTION("IF
(
G13560=""фізична особа""
,
VLOOKUP(H13560,IMPORTRANGE(""https://docs.google.com/spreadsheets/d/14Bd19lYaqBhU8_DElYkX7l4wRkHqqCUFNJY4AfY3kHU/edit?usp=sharing  #gid=0"",""фіз особи new!relations_name""),6,FALSE)
,
(IF
(
G13560=""юридична особа""
,
VLOO"&amp;"KUP(H13560,IMPORTRANGE(""https://docs.google.com/spreadsheets/d/14Bd19lYaqBhU8_DElYkX7l4wRkHqqCUFNJY4AfY3kHU/edit?usp=sharing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59" s="7" t="s">
        <v>23</v>
      </c>
    </row>
    <row r="13560" spans="1:10" ht="13.2">
      <c r="A13560" s="7">
        <v>13559</v>
      </c>
      <c r="B13560" s="7">
        <v>1</v>
      </c>
      <c r="C13560" s="7" t="s">
        <v>10</v>
      </c>
      <c r="D13560" s="7">
        <v>18580</v>
      </c>
      <c r="E13560" s="7" t="s">
        <v>23</v>
      </c>
      <c r="F13560" s="8" t="str">
        <f ca="1">IFERROR(__xludf.DUMMYFUNCTION("IF
(
C13561=""фізична особа""
,
VLOOKUP(D13561,IMPORTRANGE(""https://docs.google.com/spreadsheets/d/14Bd19lYaqBhU8_DElYkX7l4wRkHqqCUFNJY4AfY3kHU/edit?usp=sharing  #gid=0"",""фіз особи new!relations_name""),6,FALSE)
,
(IF
(
C13561=""юридична особа""
,
VLOO"&amp;"KUP(D13561,IMPORTRANGE(""https://docs.google.com/spreadsheets/d/14Bd19lYaqBhU8_DElYkX7l4wRkHqqCUFNJY4AfY3kHU/edit?usp=sharing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60" s="7" t="s">
        <v>10</v>
      </c>
      <c r="H13560" s="7">
        <v>18855</v>
      </c>
      <c r="I13560" s="8" t="str">
        <f ca="1">IFERROR(__xludf.DUMMYFUNCTION("IF
(
G13561=""фізична особа""
,
VLOOKUP(H13561,IMPORTRANGE(""https://docs.google.com/spreadsheets/d/14Bd19lYaqBhU8_DElYkX7l4wRkHqqCUFNJY4AfY3kHU/edit?usp=sharing  #gid=0"",""фіз особи new!relations_name""),6,FALSE)
,
(IF
(
G13561=""юридична особа""
,
VLOO"&amp;"KUP(H13561,IMPORTRANGE(""https://docs.google.com/spreadsheets/d/14Bd19lYaqBhU8_DElYkX7l4wRkHqqCUFNJY4AfY3kHU/edit?usp=sharing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60" s="7" t="s">
        <v>23</v>
      </c>
    </row>
    <row r="13561" spans="1:10" ht="13.2">
      <c r="A13561" s="7">
        <v>13560</v>
      </c>
      <c r="B13561" s="7">
        <v>1</v>
      </c>
      <c r="C13561" s="7" t="s">
        <v>10</v>
      </c>
      <c r="D13561" s="7">
        <v>18580</v>
      </c>
      <c r="E13561" s="7" t="s">
        <v>23</v>
      </c>
      <c r="F13561" s="8" t="str">
        <f ca="1">IFERROR(__xludf.DUMMYFUNCTION("IF
(
C13562=""фізична особа""
,
VLOOKUP(D13562,IMPORTRANGE(""https://docs.google.com/spreadsheets/d/14Bd19lYaqBhU8_DElYkX7l4wRkHqqCUFNJY4AfY3kHU/edit?usp=sharing  #gid=0"",""фіз особи new!relations_name""),6,FALSE)
,
(IF
(
C13562=""юридична особа""
,
VLOO"&amp;"KUP(D13562,IMPORTRANGE(""https://docs.google.com/spreadsheets/d/14Bd19lYaqBhU8_DElYkX7l4wRkHqqCUFNJY4AfY3kHU/edit?usp=sharing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G13561" s="7" t="s">
        <v>10</v>
      </c>
      <c r="H13561" s="7">
        <v>18856</v>
      </c>
      <c r="I13561" s="8" t="str">
        <f ca="1">IFERROR(__xludf.DUMMYFUNCTION("IF
(
G13562=""фізична особа""
,
VLOOKUP(H13562,IMPORTRANGE(""https://docs.google.com/spreadsheets/d/14Bd19lYaqBhU8_DElYkX7l4wRkHqqCUFNJY4AfY3kHU/edit?usp=sharing  #gid=0"",""фіз особи new!relations_name""),6,FALSE)
,
(IF
(
G13562=""юридична особа""
,
VLOO"&amp;"KUP(H13562,IMPORTRANGE(""https://docs.google.com/spreadsheets/d/14Bd19lYaqBhU8_DElYkX7l4wRkHqqCUFNJY4AfY3kHU/edit?usp=sharing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61" s="7" t="s">
        <v>23</v>
      </c>
    </row>
    <row r="13562" spans="1:10" ht="13.2">
      <c r="A13562" s="7">
        <v>13561</v>
      </c>
      <c r="B13562" s="7">
        <v>1</v>
      </c>
      <c r="C13562" s="7" t="s">
        <v>10</v>
      </c>
      <c r="D13562" s="7">
        <v>18581</v>
      </c>
      <c r="E13562" s="7" t="s">
        <v>23</v>
      </c>
      <c r="F13562" s="8" t="str">
        <f ca="1">IFERROR(__xludf.DUMMYFUNCTION("IF
(
C13563=""фізична особа""
,
VLOOKUP(D13563,IMPORTRANGE(""https://docs.google.com/spreadsheets/d/14Bd19lYaqBhU8_DElYkX7l4wRkHqqCUFNJY4AfY3kHU/edit?usp=sharing  #gid=0"",""фіз особи new!relations_name""),6,FALSE)
,
(IF
(
C13563=""юридична особа""
,
VLOO"&amp;"KUP(D13563,IMPORTRANGE(""https://docs.google.com/spreadsheets/d/14Bd19lYaqBhU8_DElYkX7l4wRkHqqCUFNJY4AfY3kHU/edit?usp=sharing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2" s="7" t="s">
        <v>10</v>
      </c>
      <c r="H13562" s="7">
        <v>18576</v>
      </c>
      <c r="I13562" s="8" t="str">
        <f ca="1">IFERROR(__xludf.DUMMYFUNCTION("IF
(
G13563=""фізична особа""
,
VLOOKUP(H13563,IMPORTRANGE(""https://docs.google.com/spreadsheets/d/14Bd19lYaqBhU8_DElYkX7l4wRkHqqCUFNJY4AfY3kHU/edit?usp=sharing  #gid=0"",""фіз особи new!relations_name""),6,FALSE)
,
(IF
(
G13563=""юридична особа""
,
VLOO"&amp;"KUP(H13563,IMPORTRANGE(""https://docs.google.com/spreadsheets/d/14Bd19lYaqBhU8_DElYkX7l4wRkHqqCUFNJY4AfY3kHU/edit?usp=sharing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562" s="7" t="s">
        <v>23</v>
      </c>
    </row>
    <row r="13563" spans="1:10" ht="13.2">
      <c r="A13563" s="7">
        <v>13562</v>
      </c>
      <c r="B13563" s="7">
        <v>1</v>
      </c>
      <c r="C13563" s="7" t="s">
        <v>10</v>
      </c>
      <c r="D13563" s="7">
        <v>18581</v>
      </c>
      <c r="E13563" s="7" t="s">
        <v>23</v>
      </c>
      <c r="F13563" s="8" t="str">
        <f ca="1">IFERROR(__xludf.DUMMYFUNCTION("IF
(
C13564=""фізична особа""
,
VLOOKUP(D13564,IMPORTRANGE(""https://docs.google.com/spreadsheets/d/14Bd19lYaqBhU8_DElYkX7l4wRkHqqCUFNJY4AfY3kHU/edit?usp=sharing  #gid=0"",""фіз особи new!relations_name""),6,FALSE)
,
(IF
(
C13564=""юридична особа""
,
VLOO"&amp;"KUP(D13564,IMPORTRANGE(""https://docs.google.com/spreadsheets/d/14Bd19lYaqBhU8_DElYkX7l4wRkHqqCUFNJY4AfY3kHU/edit?usp=sharing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3" s="7" t="s">
        <v>10</v>
      </c>
      <c r="H13563" s="7">
        <v>18577</v>
      </c>
      <c r="I13563" s="8" t="str">
        <f ca="1">IFERROR(__xludf.DUMMYFUNCTION("IF
(
G13564=""фізична особа""
,
VLOOKUP(H13564,IMPORTRANGE(""https://docs.google.com/spreadsheets/d/14Bd19lYaqBhU8_DElYkX7l4wRkHqqCUFNJY4AfY3kHU/edit?usp=sharing  #gid=0"",""фіз особи new!relations_name""),6,FALSE)
,
(IF
(
G13564=""юридична особа""
,
VLOO"&amp;"KUP(H13564,IMPORTRANGE(""https://docs.google.com/spreadsheets/d/14Bd19lYaqBhU8_DElYkX7l4wRkHqqCUFNJY4AfY3kHU/edit?usp=sharing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563" s="7" t="s">
        <v>23</v>
      </c>
    </row>
    <row r="13564" spans="1:10" ht="13.2">
      <c r="A13564" s="7">
        <v>13563</v>
      </c>
      <c r="B13564" s="7">
        <v>1</v>
      </c>
      <c r="C13564" s="7" t="s">
        <v>10</v>
      </c>
      <c r="D13564" s="7">
        <v>18581</v>
      </c>
      <c r="E13564" s="7" t="s">
        <v>23</v>
      </c>
      <c r="F13564" s="8" t="str">
        <f ca="1">IFERROR(__xludf.DUMMYFUNCTION("IF
(
C13565=""фізична особа""
,
VLOOKUP(D13565,IMPORTRANGE(""https://docs.google.com/spreadsheets/d/14Bd19lYaqBhU8_DElYkX7l4wRkHqqCUFNJY4AfY3kHU/edit?usp=sharing  #gid=0"",""фіз особи new!relations_name""),6,FALSE)
,
(IF
(
C13565=""юридична особа""
,
VLOO"&amp;"KUP(D13565,IMPORTRANGE(""https://docs.google.com/spreadsheets/d/14Bd19lYaqBhU8_DElYkX7l4wRkHqqCUFNJY4AfY3kHU/edit?usp=sharing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4" s="7" t="s">
        <v>10</v>
      </c>
      <c r="H13564" s="7">
        <v>18578</v>
      </c>
      <c r="I13564" s="8" t="str">
        <f ca="1">IFERROR(__xludf.DUMMYFUNCTION("IF
(
G13565=""фізична особа""
,
VLOOKUP(H13565,IMPORTRANGE(""https://docs.google.com/spreadsheets/d/14Bd19lYaqBhU8_DElYkX7l4wRkHqqCUFNJY4AfY3kHU/edit?usp=sharing  #gid=0"",""фіз особи new!relations_name""),6,FALSE)
,
(IF
(
G13565=""юридична особа""
,
VLOO"&amp;"KUP(H13565,IMPORTRANGE(""https://docs.google.com/spreadsheets/d/14Bd19lYaqBhU8_DElYkX7l4wRkHqqCUFNJY4AfY3kHU/edit?usp=sharing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564" s="7" t="s">
        <v>23</v>
      </c>
    </row>
    <row r="13565" spans="1:10" ht="13.2">
      <c r="A13565" s="7">
        <v>13564</v>
      </c>
      <c r="B13565" s="7">
        <v>1</v>
      </c>
      <c r="C13565" s="7" t="s">
        <v>10</v>
      </c>
      <c r="D13565" s="7">
        <v>18581</v>
      </c>
      <c r="E13565" s="7" t="s">
        <v>23</v>
      </c>
      <c r="F13565" s="8" t="str">
        <f ca="1">IFERROR(__xludf.DUMMYFUNCTION("IF
(
C13566=""фізична особа""
,
VLOOKUP(D13566,IMPORTRANGE(""https://docs.google.com/spreadsheets/d/14Bd19lYaqBhU8_DElYkX7l4wRkHqqCUFNJY4AfY3kHU/edit?usp=sharing  #gid=0"",""фіз особи new!relations_name""),6,FALSE)
,
(IF
(
C13566=""юридична особа""
,
VLOO"&amp;"KUP(D13566,IMPORTRANGE(""https://docs.google.com/spreadsheets/d/14Bd19lYaqBhU8_DElYkX7l4wRkHqqCUFNJY4AfY3kHU/edit?usp=sharing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5" s="7" t="s">
        <v>10</v>
      </c>
      <c r="H13565" s="7">
        <v>18579</v>
      </c>
      <c r="I13565" s="8" t="str">
        <f ca="1">IFERROR(__xludf.DUMMYFUNCTION("IF
(
G13566=""фізична особа""
,
VLOOKUP(H13566,IMPORTRANGE(""https://docs.google.com/spreadsheets/d/14Bd19lYaqBhU8_DElYkX7l4wRkHqqCUFNJY4AfY3kHU/edit?usp=sharing  #gid=0"",""фіз особи new!relations_name""),6,FALSE)
,
(IF
(
G13566=""юридична особа""
,
VLOO"&amp;"KUP(H13566,IMPORTRANGE(""https://docs.google.com/spreadsheets/d/14Bd19lYaqBhU8_DElYkX7l4wRkHqqCUFNJY4AfY3kHU/edit?usp=sharing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565" s="7" t="s">
        <v>23</v>
      </c>
    </row>
    <row r="13566" spans="1:10" ht="13.2">
      <c r="A13566" s="7">
        <v>13565</v>
      </c>
      <c r="B13566" s="7">
        <v>1</v>
      </c>
      <c r="C13566" s="7" t="s">
        <v>10</v>
      </c>
      <c r="D13566" s="7">
        <v>18581</v>
      </c>
      <c r="E13566" s="7" t="s">
        <v>23</v>
      </c>
      <c r="F13566" s="8" t="str">
        <f ca="1">IFERROR(__xludf.DUMMYFUNCTION("IF
(
C13567=""фізична особа""
,
VLOOKUP(D13567,IMPORTRANGE(""https://docs.google.com/spreadsheets/d/14Bd19lYaqBhU8_DElYkX7l4wRkHqqCUFNJY4AfY3kHU/edit?usp=sharing  #gid=0"",""фіз особи new!relations_name""),6,FALSE)
,
(IF
(
C13567=""юридична особа""
,
VLOO"&amp;"KUP(D13567,IMPORTRANGE(""https://docs.google.com/spreadsheets/d/14Bd19lYaqBhU8_DElYkX7l4wRkHqqCUFNJY4AfY3kHU/edit?usp=sharing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6" s="7" t="s">
        <v>10</v>
      </c>
      <c r="H13566" s="7">
        <v>18580</v>
      </c>
      <c r="I13566" s="8" t="str">
        <f ca="1">IFERROR(__xludf.DUMMYFUNCTION("IF
(
G13567=""фізична особа""
,
VLOOKUP(H13567,IMPORTRANGE(""https://docs.google.com/spreadsheets/d/14Bd19lYaqBhU8_DElYkX7l4wRkHqqCUFNJY4AfY3kHU/edit?usp=sharing  #gid=0"",""фіз особи new!relations_name""),6,FALSE)
,
(IF
(
G13567=""юридична особа""
,
VLOO"&amp;"KUP(H13567,IMPORTRANGE(""https://docs.google.com/spreadsheets/d/14Bd19lYaqBhU8_DElYkX7l4wRkHqqCUFNJY4AfY3kHU/edit?usp=sharing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566" s="7" t="s">
        <v>23</v>
      </c>
    </row>
    <row r="13567" spans="1:10" ht="13.2">
      <c r="A13567" s="7">
        <v>13566</v>
      </c>
      <c r="B13567" s="7">
        <v>1</v>
      </c>
      <c r="C13567" s="7" t="s">
        <v>10</v>
      </c>
      <c r="D13567" s="7">
        <v>18581</v>
      </c>
      <c r="E13567" s="7" t="s">
        <v>23</v>
      </c>
      <c r="F13567" s="8" t="str">
        <f ca="1">IFERROR(__xludf.DUMMYFUNCTION("IF
(
C13568=""фізична особа""
,
VLOOKUP(D13568,IMPORTRANGE(""https://docs.google.com/spreadsheets/d/14Bd19lYaqBhU8_DElYkX7l4wRkHqqCUFNJY4AfY3kHU/edit?usp=sharing  #gid=0"",""фіз особи new!relations_name""),6,FALSE)
,
(IF
(
C13568=""юридична особа""
,
VLOO"&amp;"KUP(D13568,IMPORTRANGE(""https://docs.google.com/spreadsheets/d/14Bd19lYaqBhU8_DElYkX7l4wRkHqqCUFNJY4AfY3kHU/edit?usp=sharing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7" s="7" t="s">
        <v>10</v>
      </c>
      <c r="H13567" s="7">
        <v>18582</v>
      </c>
      <c r="I13567" s="8" t="str">
        <f ca="1">IFERROR(__xludf.DUMMYFUNCTION("IF
(
G13568=""фізична особа""
,
VLOOKUP(H13568,IMPORTRANGE(""https://docs.google.com/spreadsheets/d/14Bd19lYaqBhU8_DElYkX7l4wRkHqqCUFNJY4AfY3kHU/edit?usp=sharing  #gid=0"",""фіз особи new!relations_name""),6,FALSE)
,
(IF
(
G13568=""юридична особа""
,
VLOO"&amp;"KUP(H13568,IMPORTRANGE(""https://docs.google.com/spreadsheets/d/14Bd19lYaqBhU8_DElYkX7l4wRkHqqCUFNJY4AfY3kHU/edit?usp=sharing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567" s="7" t="s">
        <v>23</v>
      </c>
    </row>
    <row r="13568" spans="1:10" ht="13.2">
      <c r="A13568" s="7">
        <v>13567</v>
      </c>
      <c r="B13568" s="7">
        <v>1</v>
      </c>
      <c r="C13568" s="7" t="s">
        <v>10</v>
      </c>
      <c r="D13568" s="7">
        <v>18581</v>
      </c>
      <c r="E13568" s="7" t="s">
        <v>23</v>
      </c>
      <c r="F13568" s="8" t="str">
        <f ca="1">IFERROR(__xludf.DUMMYFUNCTION("IF
(
C13569=""фізична особа""
,
VLOOKUP(D13569,IMPORTRANGE(""https://docs.google.com/spreadsheets/d/14Bd19lYaqBhU8_DElYkX7l4wRkHqqCUFNJY4AfY3kHU/edit?usp=sharing  #gid=0"",""фіз особи new!relations_name""),6,FALSE)
,
(IF
(
C13569=""юридична особа""
,
VLOO"&amp;"KUP(D13569,IMPORTRANGE(""https://docs.google.com/spreadsheets/d/14Bd19lYaqBhU8_DElYkX7l4wRkHqqCUFNJY4AfY3kHU/edit?usp=sharing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8" s="7" t="s">
        <v>10</v>
      </c>
      <c r="H13568" s="7">
        <v>18583</v>
      </c>
      <c r="I13568" s="8" t="str">
        <f ca="1">IFERROR(__xludf.DUMMYFUNCTION("IF
(
G13569=""фізична особа""
,
VLOOKUP(H13569,IMPORTRANGE(""https://docs.google.com/spreadsheets/d/14Bd19lYaqBhU8_DElYkX7l4wRkHqqCUFNJY4AfY3kHU/edit?usp=sharing  #gid=0"",""фіз особи new!relations_name""),6,FALSE)
,
(IF
(
G13569=""юридична особа""
,
VLOO"&amp;"KUP(H13569,IMPORTRANGE(""https://docs.google.com/spreadsheets/d/14Bd19lYaqBhU8_DElYkX7l4wRkHqqCUFNJY4AfY3kHU/edit?usp=sharing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568" s="7" t="s">
        <v>23</v>
      </c>
    </row>
    <row r="13569" spans="1:10" ht="13.2">
      <c r="A13569" s="7">
        <v>13568</v>
      </c>
      <c r="B13569" s="7">
        <v>1</v>
      </c>
      <c r="C13569" s="7" t="s">
        <v>10</v>
      </c>
      <c r="D13569" s="7">
        <v>18581</v>
      </c>
      <c r="E13569" s="7" t="s">
        <v>23</v>
      </c>
      <c r="F13569" s="8" t="str">
        <f ca="1">IFERROR(__xludf.DUMMYFUNCTION("IF
(
C13570=""фізична особа""
,
VLOOKUP(D13570,IMPORTRANGE(""https://docs.google.com/spreadsheets/d/14Bd19lYaqBhU8_DElYkX7l4wRkHqqCUFNJY4AfY3kHU/edit?usp=sharing  #gid=0"",""фіз особи new!relations_name""),6,FALSE)
,
(IF
(
C13570=""юридична особа""
,
VLOO"&amp;"KUP(D13570,IMPORTRANGE(""https://docs.google.com/spreadsheets/d/14Bd19lYaqBhU8_DElYkX7l4wRkHqqCUFNJY4AfY3kHU/edit?usp=sharing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69" s="7" t="s">
        <v>10</v>
      </c>
      <c r="H13569" s="7">
        <v>18584</v>
      </c>
      <c r="I13569" s="8" t="str">
        <f ca="1">IFERROR(__xludf.DUMMYFUNCTION("IF
(
G13570=""фізична особа""
,
VLOOKUP(H13570,IMPORTRANGE(""https://docs.google.com/spreadsheets/d/14Bd19lYaqBhU8_DElYkX7l4wRkHqqCUFNJY4AfY3kHU/edit?usp=sharing  #gid=0"",""фіз особи new!relations_name""),6,FALSE)
,
(IF
(
G13570=""юридична особа""
,
VLOO"&amp;"KUP(H13570,IMPORTRANGE(""https://docs.google.com/spreadsheets/d/14Bd19lYaqBhU8_DElYkX7l4wRkHqqCUFNJY4AfY3kHU/edit?usp=sharing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569" s="7" t="s">
        <v>23</v>
      </c>
    </row>
    <row r="13570" spans="1:10" ht="13.2">
      <c r="A13570" s="7">
        <v>13569</v>
      </c>
      <c r="B13570" s="7">
        <v>1</v>
      </c>
      <c r="C13570" s="7" t="s">
        <v>10</v>
      </c>
      <c r="D13570" s="7">
        <v>18581</v>
      </c>
      <c r="E13570" s="7" t="s">
        <v>23</v>
      </c>
      <c r="F13570" s="8" t="str">
        <f ca="1">IFERROR(__xludf.DUMMYFUNCTION("IF
(
C13571=""фізична особа""
,
VLOOKUP(D13571,IMPORTRANGE(""https://docs.google.com/spreadsheets/d/14Bd19lYaqBhU8_DElYkX7l4wRkHqqCUFNJY4AfY3kHU/edit?usp=sharing  #gid=0"",""фіз особи new!relations_name""),6,FALSE)
,
(IF
(
C13571=""юридична особа""
,
VLOO"&amp;"KUP(D13571,IMPORTRANGE(""https://docs.google.com/spreadsheets/d/14Bd19lYaqBhU8_DElYkX7l4wRkHqqCUFNJY4AfY3kHU/edit?usp=sharing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0" s="7" t="s">
        <v>10</v>
      </c>
      <c r="H13570" s="7">
        <v>18585</v>
      </c>
      <c r="I13570" s="8" t="str">
        <f ca="1">IFERROR(__xludf.DUMMYFUNCTION("IF
(
G13571=""фізична особа""
,
VLOOKUP(H13571,IMPORTRANGE(""https://docs.google.com/spreadsheets/d/14Bd19lYaqBhU8_DElYkX7l4wRkHqqCUFNJY4AfY3kHU/edit?usp=sharing  #gid=0"",""фіз особи new!relations_name""),6,FALSE)
,
(IF
(
G13571=""юридична особа""
,
VLOO"&amp;"KUP(H13571,IMPORTRANGE(""https://docs.google.com/spreadsheets/d/14Bd19lYaqBhU8_DElYkX7l4wRkHqqCUFNJY4AfY3kHU/edit?usp=sharing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570" s="7" t="s">
        <v>23</v>
      </c>
    </row>
    <row r="13571" spans="1:10" ht="13.2">
      <c r="A13571" s="7">
        <v>13570</v>
      </c>
      <c r="B13571" s="7">
        <v>1</v>
      </c>
      <c r="C13571" s="7" t="s">
        <v>10</v>
      </c>
      <c r="D13571" s="7">
        <v>18581</v>
      </c>
      <c r="E13571" s="7" t="s">
        <v>23</v>
      </c>
      <c r="F13571" s="8" t="str">
        <f ca="1">IFERROR(__xludf.DUMMYFUNCTION("IF
(
C13572=""фізична особа""
,
VLOOKUP(D13572,IMPORTRANGE(""https://docs.google.com/spreadsheets/d/14Bd19lYaqBhU8_DElYkX7l4wRkHqqCUFNJY4AfY3kHU/edit?usp=sharing  #gid=0"",""фіз особи new!relations_name""),6,FALSE)
,
(IF
(
C13572=""юридична особа""
,
VLOO"&amp;"KUP(D13572,IMPORTRANGE(""https://docs.google.com/spreadsheets/d/14Bd19lYaqBhU8_DElYkX7l4wRkHqqCUFNJY4AfY3kHU/edit?usp=sharing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1" s="7" t="s">
        <v>10</v>
      </c>
      <c r="H13571" s="7">
        <v>18847</v>
      </c>
      <c r="I13571" s="8" t="str">
        <f ca="1">IFERROR(__xludf.DUMMYFUNCTION("IF
(
G13572=""фізична особа""
,
VLOOKUP(H13572,IMPORTRANGE(""https://docs.google.com/spreadsheets/d/14Bd19lYaqBhU8_DElYkX7l4wRkHqqCUFNJY4AfY3kHU/edit?usp=sharing  #gid=0"",""фіз особи new!relations_name""),6,FALSE)
,
(IF
(
G13572=""юридична особа""
,
VLOO"&amp;"KUP(H13572,IMPORTRANGE(""https://docs.google.com/spreadsheets/d/14Bd19lYaqBhU8_DElYkX7l4wRkHqqCUFNJY4AfY3kHU/edit?usp=sharing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571" s="7" t="s">
        <v>23</v>
      </c>
    </row>
    <row r="13572" spans="1:10" ht="13.2">
      <c r="A13572" s="7">
        <v>13571</v>
      </c>
      <c r="B13572" s="7">
        <v>1</v>
      </c>
      <c r="C13572" s="7" t="s">
        <v>10</v>
      </c>
      <c r="D13572" s="7">
        <v>18581</v>
      </c>
      <c r="E13572" s="7" t="s">
        <v>23</v>
      </c>
      <c r="F13572" s="8" t="str">
        <f ca="1">IFERROR(__xludf.DUMMYFUNCTION("IF
(
C13573=""фізична особа""
,
VLOOKUP(D13573,IMPORTRANGE(""https://docs.google.com/spreadsheets/d/14Bd19lYaqBhU8_DElYkX7l4wRkHqqCUFNJY4AfY3kHU/edit?usp=sharing  #gid=0"",""фіз особи new!relations_name""),6,FALSE)
,
(IF
(
C13573=""юридична особа""
,
VLOO"&amp;"KUP(D13573,IMPORTRANGE(""https://docs.google.com/spreadsheets/d/14Bd19lYaqBhU8_DElYkX7l4wRkHqqCUFNJY4AfY3kHU/edit?usp=sharing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2" s="7" t="s">
        <v>10</v>
      </c>
      <c r="H13572" s="7">
        <v>18848</v>
      </c>
      <c r="I13572" s="8" t="str">
        <f ca="1">IFERROR(__xludf.DUMMYFUNCTION("IF
(
G13573=""фізична особа""
,
VLOOKUP(H13573,IMPORTRANGE(""https://docs.google.com/spreadsheets/d/14Bd19lYaqBhU8_DElYkX7l4wRkHqqCUFNJY4AfY3kHU/edit?usp=sharing  #gid=0"",""фіз особи new!relations_name""),6,FALSE)
,
(IF
(
G13573=""юридична особа""
,
VLOO"&amp;"KUP(H13573,IMPORTRANGE(""https://docs.google.com/spreadsheets/d/14Bd19lYaqBhU8_DElYkX7l4wRkHqqCUFNJY4AfY3kHU/edit?usp=sharing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572" s="7" t="s">
        <v>23</v>
      </c>
    </row>
    <row r="13573" spans="1:10" ht="13.2">
      <c r="A13573" s="7">
        <v>13572</v>
      </c>
      <c r="B13573" s="7">
        <v>1</v>
      </c>
      <c r="C13573" s="7" t="s">
        <v>10</v>
      </c>
      <c r="D13573" s="7">
        <v>18581</v>
      </c>
      <c r="E13573" s="7" t="s">
        <v>23</v>
      </c>
      <c r="F13573" s="8" t="str">
        <f ca="1">IFERROR(__xludf.DUMMYFUNCTION("IF
(
C13574=""фізична особа""
,
VLOOKUP(D13574,IMPORTRANGE(""https://docs.google.com/spreadsheets/d/14Bd19lYaqBhU8_DElYkX7l4wRkHqqCUFNJY4AfY3kHU/edit?usp=sharing  #gid=0"",""фіз особи new!relations_name""),6,FALSE)
,
(IF
(
C13574=""юридична особа""
,
VLOO"&amp;"KUP(D13574,IMPORTRANGE(""https://docs.google.com/spreadsheets/d/14Bd19lYaqBhU8_DElYkX7l4wRkHqqCUFNJY4AfY3kHU/edit?usp=sharing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3" s="7" t="s">
        <v>10</v>
      </c>
      <c r="H13573" s="7">
        <v>18849</v>
      </c>
      <c r="I13573" s="8" t="str">
        <f ca="1">IFERROR(__xludf.DUMMYFUNCTION("IF
(
G13574=""фізична особа""
,
VLOOKUP(H13574,IMPORTRANGE(""https://docs.google.com/spreadsheets/d/14Bd19lYaqBhU8_DElYkX7l4wRkHqqCUFNJY4AfY3kHU/edit?usp=sharing  #gid=0"",""фіз особи new!relations_name""),6,FALSE)
,
(IF
(
G13574=""юридична особа""
,
VLOO"&amp;"KUP(H13574,IMPORTRANGE(""https://docs.google.com/spreadsheets/d/14Bd19lYaqBhU8_DElYkX7l4wRkHqqCUFNJY4AfY3kHU/edit?usp=sharing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573" s="7" t="s">
        <v>23</v>
      </c>
    </row>
    <row r="13574" spans="1:10" ht="13.2">
      <c r="A13574" s="7">
        <v>13573</v>
      </c>
      <c r="B13574" s="7">
        <v>1</v>
      </c>
      <c r="C13574" s="7" t="s">
        <v>10</v>
      </c>
      <c r="D13574" s="7">
        <v>18581</v>
      </c>
      <c r="E13574" s="7" t="s">
        <v>23</v>
      </c>
      <c r="F13574" s="8" t="str">
        <f ca="1">IFERROR(__xludf.DUMMYFUNCTION("IF
(
C13575=""фізична особа""
,
VLOOKUP(D13575,IMPORTRANGE(""https://docs.google.com/spreadsheets/d/14Bd19lYaqBhU8_DElYkX7l4wRkHqqCUFNJY4AfY3kHU/edit?usp=sharing  #gid=0"",""фіз особи new!relations_name""),6,FALSE)
,
(IF
(
C13575=""юридична особа""
,
VLOO"&amp;"KUP(D13575,IMPORTRANGE(""https://docs.google.com/spreadsheets/d/14Bd19lYaqBhU8_DElYkX7l4wRkHqqCUFNJY4AfY3kHU/edit?usp=sharing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4" s="7" t="s">
        <v>10</v>
      </c>
      <c r="H13574" s="7">
        <v>18850</v>
      </c>
      <c r="I13574" s="8" t="str">
        <f ca="1">IFERROR(__xludf.DUMMYFUNCTION("IF
(
G13575=""фізична особа""
,
VLOOKUP(H13575,IMPORTRANGE(""https://docs.google.com/spreadsheets/d/14Bd19lYaqBhU8_DElYkX7l4wRkHqqCUFNJY4AfY3kHU/edit?usp=sharing  #gid=0"",""фіз особи new!relations_name""),6,FALSE)
,
(IF
(
G13575=""юридична особа""
,
VLOO"&amp;"KUP(H13575,IMPORTRANGE(""https://docs.google.com/spreadsheets/d/14Bd19lYaqBhU8_DElYkX7l4wRkHqqCUFNJY4AfY3kHU/edit?usp=sharing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574" s="7" t="s">
        <v>23</v>
      </c>
    </row>
    <row r="13575" spans="1:10" ht="13.2">
      <c r="A13575" s="7">
        <v>13574</v>
      </c>
      <c r="B13575" s="7">
        <v>1</v>
      </c>
      <c r="C13575" s="7" t="s">
        <v>10</v>
      </c>
      <c r="D13575" s="7">
        <v>18581</v>
      </c>
      <c r="E13575" s="7" t="s">
        <v>23</v>
      </c>
      <c r="F13575" s="8" t="str">
        <f ca="1">IFERROR(__xludf.DUMMYFUNCTION("IF
(
C13576=""фізична особа""
,
VLOOKUP(D13576,IMPORTRANGE(""https://docs.google.com/spreadsheets/d/14Bd19lYaqBhU8_DElYkX7l4wRkHqqCUFNJY4AfY3kHU/edit?usp=sharing  #gid=0"",""фіз особи new!relations_name""),6,FALSE)
,
(IF
(
C13576=""юридична особа""
,
VLOO"&amp;"KUP(D13576,IMPORTRANGE(""https://docs.google.com/spreadsheets/d/14Bd19lYaqBhU8_DElYkX7l4wRkHqqCUFNJY4AfY3kHU/edit?usp=sharing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5" s="7" t="s">
        <v>10</v>
      </c>
      <c r="H13575" s="7">
        <v>18851</v>
      </c>
      <c r="I13575" s="8" t="str">
        <f ca="1">IFERROR(__xludf.DUMMYFUNCTION("IF
(
G13576=""фізична особа""
,
VLOOKUP(H13576,IMPORTRANGE(""https://docs.google.com/spreadsheets/d/14Bd19lYaqBhU8_DElYkX7l4wRkHqqCUFNJY4AfY3kHU/edit?usp=sharing  #gid=0"",""фіз особи new!relations_name""),6,FALSE)
,
(IF
(
G13576=""юридична особа""
,
VLOO"&amp;"KUP(H13576,IMPORTRANGE(""https://docs.google.com/spreadsheets/d/14Bd19lYaqBhU8_DElYkX7l4wRkHqqCUFNJY4AfY3kHU/edit?usp=sharing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575" s="7" t="s">
        <v>23</v>
      </c>
    </row>
    <row r="13576" spans="1:10" ht="13.2">
      <c r="A13576" s="7">
        <v>13575</v>
      </c>
      <c r="B13576" s="7">
        <v>1</v>
      </c>
      <c r="C13576" s="7" t="s">
        <v>10</v>
      </c>
      <c r="D13576" s="7">
        <v>18581</v>
      </c>
      <c r="E13576" s="7" t="s">
        <v>23</v>
      </c>
      <c r="F13576" s="8" t="str">
        <f ca="1">IFERROR(__xludf.DUMMYFUNCTION("IF
(
C13577=""фізична особа""
,
VLOOKUP(D13577,IMPORTRANGE(""https://docs.google.com/spreadsheets/d/14Bd19lYaqBhU8_DElYkX7l4wRkHqqCUFNJY4AfY3kHU/edit?usp=sharing  #gid=0"",""фіз особи new!relations_name""),6,FALSE)
,
(IF
(
C13577=""юридична особа""
,
VLOO"&amp;"KUP(D13577,IMPORTRANGE(""https://docs.google.com/spreadsheets/d/14Bd19lYaqBhU8_DElYkX7l4wRkHqqCUFNJY4AfY3kHU/edit?usp=sharing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6" s="7" t="s">
        <v>10</v>
      </c>
      <c r="H13576" s="7">
        <v>18852</v>
      </c>
      <c r="I13576" s="8" t="str">
        <f ca="1">IFERROR(__xludf.DUMMYFUNCTION("IF
(
G13577=""фізична особа""
,
VLOOKUP(H13577,IMPORTRANGE(""https://docs.google.com/spreadsheets/d/14Bd19lYaqBhU8_DElYkX7l4wRkHqqCUFNJY4AfY3kHU/edit?usp=sharing  #gid=0"",""фіз особи new!relations_name""),6,FALSE)
,
(IF
(
G13577=""юридична особа""
,
VLOO"&amp;"KUP(H13577,IMPORTRANGE(""https://docs.google.com/spreadsheets/d/14Bd19lYaqBhU8_DElYkX7l4wRkHqqCUFNJY4AfY3kHU/edit?usp=sharing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76" s="7" t="s">
        <v>23</v>
      </c>
    </row>
    <row r="13577" spans="1:10" ht="13.2">
      <c r="A13577" s="7">
        <v>13576</v>
      </c>
      <c r="B13577" s="7">
        <v>1</v>
      </c>
      <c r="C13577" s="7" t="s">
        <v>10</v>
      </c>
      <c r="D13577" s="7">
        <v>18581</v>
      </c>
      <c r="E13577" s="7" t="s">
        <v>23</v>
      </c>
      <c r="F13577" s="8" t="str">
        <f ca="1">IFERROR(__xludf.DUMMYFUNCTION("IF
(
C13578=""фізична особа""
,
VLOOKUP(D13578,IMPORTRANGE(""https://docs.google.com/spreadsheets/d/14Bd19lYaqBhU8_DElYkX7l4wRkHqqCUFNJY4AfY3kHU/edit?usp=sharing  #gid=0"",""фіз особи new!relations_name""),6,FALSE)
,
(IF
(
C13578=""юридична особа""
,
VLOO"&amp;"KUP(D13578,IMPORTRANGE(""https://docs.google.com/spreadsheets/d/14Bd19lYaqBhU8_DElYkX7l4wRkHqqCUFNJY4AfY3kHU/edit?usp=sharing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7" s="7" t="s">
        <v>10</v>
      </c>
      <c r="H13577" s="7">
        <v>18853</v>
      </c>
      <c r="I13577" s="8" t="str">
        <f ca="1">IFERROR(__xludf.DUMMYFUNCTION("IF
(
G13578=""фізична особа""
,
VLOOKUP(H13578,IMPORTRANGE(""https://docs.google.com/spreadsheets/d/14Bd19lYaqBhU8_DElYkX7l4wRkHqqCUFNJY4AfY3kHU/edit?usp=sharing  #gid=0"",""фіз особи new!relations_name""),6,FALSE)
,
(IF
(
G13578=""юридична особа""
,
VLOO"&amp;"KUP(H13578,IMPORTRANGE(""https://docs.google.com/spreadsheets/d/14Bd19lYaqBhU8_DElYkX7l4wRkHqqCUFNJY4AfY3kHU/edit?usp=sharing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77" s="7" t="s">
        <v>23</v>
      </c>
    </row>
    <row r="13578" spans="1:10" ht="13.2">
      <c r="A13578" s="7">
        <v>13577</v>
      </c>
      <c r="B13578" s="7">
        <v>1</v>
      </c>
      <c r="C13578" s="7" t="s">
        <v>10</v>
      </c>
      <c r="D13578" s="7">
        <v>18581</v>
      </c>
      <c r="E13578" s="7" t="s">
        <v>23</v>
      </c>
      <c r="F13578" s="8" t="str">
        <f ca="1">IFERROR(__xludf.DUMMYFUNCTION("IF
(
C13579=""фізична особа""
,
VLOOKUP(D13579,IMPORTRANGE(""https://docs.google.com/spreadsheets/d/14Bd19lYaqBhU8_DElYkX7l4wRkHqqCUFNJY4AfY3kHU/edit?usp=sharing  #gid=0"",""фіз особи new!relations_name""),6,FALSE)
,
(IF
(
C13579=""юридична особа""
,
VLOO"&amp;"KUP(D13579,IMPORTRANGE(""https://docs.google.com/spreadsheets/d/14Bd19lYaqBhU8_DElYkX7l4wRkHqqCUFNJY4AfY3kHU/edit?usp=sharing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8" s="7" t="s">
        <v>10</v>
      </c>
      <c r="H13578" s="7">
        <v>18854</v>
      </c>
      <c r="I13578" s="8" t="str">
        <f ca="1">IFERROR(__xludf.DUMMYFUNCTION("IF
(
G13579=""фізична особа""
,
VLOOKUP(H13579,IMPORTRANGE(""https://docs.google.com/spreadsheets/d/14Bd19lYaqBhU8_DElYkX7l4wRkHqqCUFNJY4AfY3kHU/edit?usp=sharing  #gid=0"",""фіз особи new!relations_name""),6,FALSE)
,
(IF
(
G13579=""юридична особа""
,
VLOO"&amp;"KUP(H13579,IMPORTRANGE(""https://docs.google.com/spreadsheets/d/14Bd19lYaqBhU8_DElYkX7l4wRkHqqCUFNJY4AfY3kHU/edit?usp=sharing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78" s="7" t="s">
        <v>23</v>
      </c>
    </row>
    <row r="13579" spans="1:10" ht="13.2">
      <c r="A13579" s="7">
        <v>13578</v>
      </c>
      <c r="B13579" s="7">
        <v>1</v>
      </c>
      <c r="C13579" s="7" t="s">
        <v>10</v>
      </c>
      <c r="D13579" s="7">
        <v>18581</v>
      </c>
      <c r="E13579" s="7" t="s">
        <v>23</v>
      </c>
      <c r="F13579" s="8" t="str">
        <f ca="1">IFERROR(__xludf.DUMMYFUNCTION("IF
(
C13580=""фізична особа""
,
VLOOKUP(D13580,IMPORTRANGE(""https://docs.google.com/spreadsheets/d/14Bd19lYaqBhU8_DElYkX7l4wRkHqqCUFNJY4AfY3kHU/edit?usp=sharing  #gid=0"",""фіз особи new!relations_name""),6,FALSE)
,
(IF
(
C13580=""юридична особа""
,
VLOO"&amp;"KUP(D13580,IMPORTRANGE(""https://docs.google.com/spreadsheets/d/14Bd19lYaqBhU8_DElYkX7l4wRkHqqCUFNJY4AfY3kHU/edit?usp=sharing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79" s="7" t="s">
        <v>10</v>
      </c>
      <c r="H13579" s="7">
        <v>18855</v>
      </c>
      <c r="I13579" s="8" t="str">
        <f ca="1">IFERROR(__xludf.DUMMYFUNCTION("IF
(
G13580=""фізична особа""
,
VLOOKUP(H13580,IMPORTRANGE(""https://docs.google.com/spreadsheets/d/14Bd19lYaqBhU8_DElYkX7l4wRkHqqCUFNJY4AfY3kHU/edit?usp=sharing  #gid=0"",""фіз особи new!relations_name""),6,FALSE)
,
(IF
(
G13580=""юридична особа""
,
VLOO"&amp;"KUP(H13580,IMPORTRANGE(""https://docs.google.com/spreadsheets/d/14Bd19lYaqBhU8_DElYkX7l4wRkHqqCUFNJY4AfY3kHU/edit?usp=sharing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79" s="7" t="s">
        <v>23</v>
      </c>
    </row>
    <row r="13580" spans="1:10" ht="13.2">
      <c r="A13580" s="7">
        <v>13579</v>
      </c>
      <c r="B13580" s="7">
        <v>1</v>
      </c>
      <c r="C13580" s="7" t="s">
        <v>10</v>
      </c>
      <c r="D13580" s="7">
        <v>18581</v>
      </c>
      <c r="E13580" s="7" t="s">
        <v>23</v>
      </c>
      <c r="F13580" s="8" t="str">
        <f ca="1">IFERROR(__xludf.DUMMYFUNCTION("IF
(
C13581=""фізична особа""
,
VLOOKUP(D13581,IMPORTRANGE(""https://docs.google.com/spreadsheets/d/14Bd19lYaqBhU8_DElYkX7l4wRkHqqCUFNJY4AfY3kHU/edit?usp=sharing  #gid=0"",""фіз особи new!relations_name""),6,FALSE)
,
(IF
(
C13581=""юридична особа""
,
VLOO"&amp;"KUP(D13581,IMPORTRANGE(""https://docs.google.com/spreadsheets/d/14Bd19lYaqBhU8_DElYkX7l4wRkHqqCUFNJY4AfY3kHU/edit?usp=sharing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G13580" s="7" t="s">
        <v>10</v>
      </c>
      <c r="H13580" s="7">
        <v>18856</v>
      </c>
      <c r="I13580" s="8" t="str">
        <f ca="1">IFERROR(__xludf.DUMMYFUNCTION("IF
(
G13581=""фізична особа""
,
VLOOKUP(H13581,IMPORTRANGE(""https://docs.google.com/spreadsheets/d/14Bd19lYaqBhU8_DElYkX7l4wRkHqqCUFNJY4AfY3kHU/edit?usp=sharing  #gid=0"",""фіз особи new!relations_name""),6,FALSE)
,
(IF
(
G13581=""юридична особа""
,
VLOO"&amp;"KUP(H13581,IMPORTRANGE(""https://docs.google.com/spreadsheets/d/14Bd19lYaqBhU8_DElYkX7l4wRkHqqCUFNJY4AfY3kHU/edit?usp=sharing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80" s="7" t="s">
        <v>23</v>
      </c>
    </row>
    <row r="13581" spans="1:10" ht="13.2">
      <c r="A13581" s="7">
        <v>13580</v>
      </c>
      <c r="B13581" s="7">
        <v>1</v>
      </c>
      <c r="C13581" s="7" t="s">
        <v>10</v>
      </c>
      <c r="D13581" s="7">
        <v>18582</v>
      </c>
      <c r="E13581" s="7" t="s">
        <v>23</v>
      </c>
      <c r="F13581" s="8" t="str">
        <f ca="1">IFERROR(__xludf.DUMMYFUNCTION("IF
(
C13582=""фізична особа""
,
VLOOKUP(D13582,IMPORTRANGE(""https://docs.google.com/spreadsheets/d/14Bd19lYaqBhU8_DElYkX7l4wRkHqqCUFNJY4AfY3kHU/edit?usp=sharing  #gid=0"",""фіз особи new!relations_name""),6,FALSE)
,
(IF
(
C13582=""юридична особа""
,
VLOO"&amp;"KUP(D13582,IMPORTRANGE(""https://docs.google.com/spreadsheets/d/14Bd19lYaqBhU8_DElYkX7l4wRkHqqCUFNJY4AfY3kHU/edit?usp=sharing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1" s="7" t="s">
        <v>10</v>
      </c>
      <c r="H13581" s="7">
        <v>18576</v>
      </c>
      <c r="I13581" s="8" t="str">
        <f ca="1">IFERROR(__xludf.DUMMYFUNCTION("IF
(
G13582=""фізична особа""
,
VLOOKUP(H13582,IMPORTRANGE(""https://docs.google.com/spreadsheets/d/14Bd19lYaqBhU8_DElYkX7l4wRkHqqCUFNJY4AfY3kHU/edit?usp=sharing  #gid=0"",""фіз особи new!relations_name""),6,FALSE)
,
(IF
(
G13582=""юридична особа""
,
VLOO"&amp;"KUP(H13582,IMPORTRANGE(""https://docs.google.com/spreadsheets/d/14Bd19lYaqBhU8_DElYkX7l4wRkHqqCUFNJY4AfY3kHU/edit?usp=sharing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581" s="7" t="s">
        <v>23</v>
      </c>
    </row>
    <row r="13582" spans="1:10" ht="13.2">
      <c r="A13582" s="7">
        <v>13581</v>
      </c>
      <c r="B13582" s="7">
        <v>1</v>
      </c>
      <c r="C13582" s="7" t="s">
        <v>10</v>
      </c>
      <c r="D13582" s="7">
        <v>18582</v>
      </c>
      <c r="E13582" s="7" t="s">
        <v>23</v>
      </c>
      <c r="F13582" s="8" t="str">
        <f ca="1">IFERROR(__xludf.DUMMYFUNCTION("IF
(
C13583=""фізична особа""
,
VLOOKUP(D13583,IMPORTRANGE(""https://docs.google.com/spreadsheets/d/14Bd19lYaqBhU8_DElYkX7l4wRkHqqCUFNJY4AfY3kHU/edit?usp=sharing  #gid=0"",""фіз особи new!relations_name""),6,FALSE)
,
(IF
(
C13583=""юридична особа""
,
VLOO"&amp;"KUP(D13583,IMPORTRANGE(""https://docs.google.com/spreadsheets/d/14Bd19lYaqBhU8_DElYkX7l4wRkHqqCUFNJY4AfY3kHU/edit?usp=sharing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2" s="7" t="s">
        <v>10</v>
      </c>
      <c r="H13582" s="7">
        <v>18577</v>
      </c>
      <c r="I13582" s="8" t="str">
        <f ca="1">IFERROR(__xludf.DUMMYFUNCTION("IF
(
G13583=""фізична особа""
,
VLOOKUP(H13583,IMPORTRANGE(""https://docs.google.com/spreadsheets/d/14Bd19lYaqBhU8_DElYkX7l4wRkHqqCUFNJY4AfY3kHU/edit?usp=sharing  #gid=0"",""фіз особи new!relations_name""),6,FALSE)
,
(IF
(
G13583=""юридична особа""
,
VLOO"&amp;"KUP(H13583,IMPORTRANGE(""https://docs.google.com/spreadsheets/d/14Bd19lYaqBhU8_DElYkX7l4wRkHqqCUFNJY4AfY3kHU/edit?usp=sharing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582" s="7" t="s">
        <v>23</v>
      </c>
    </row>
    <row r="13583" spans="1:10" ht="13.2">
      <c r="A13583" s="7">
        <v>13582</v>
      </c>
      <c r="B13583" s="7">
        <v>1</v>
      </c>
      <c r="C13583" s="7" t="s">
        <v>10</v>
      </c>
      <c r="D13583" s="7">
        <v>18582</v>
      </c>
      <c r="E13583" s="7" t="s">
        <v>23</v>
      </c>
      <c r="F13583" s="8" t="str">
        <f ca="1">IFERROR(__xludf.DUMMYFUNCTION("IF
(
C13584=""фізична особа""
,
VLOOKUP(D13584,IMPORTRANGE(""https://docs.google.com/spreadsheets/d/14Bd19lYaqBhU8_DElYkX7l4wRkHqqCUFNJY4AfY3kHU/edit?usp=sharing  #gid=0"",""фіз особи new!relations_name""),6,FALSE)
,
(IF
(
C13584=""юридична особа""
,
VLOO"&amp;"KUP(D13584,IMPORTRANGE(""https://docs.google.com/spreadsheets/d/14Bd19lYaqBhU8_DElYkX7l4wRkHqqCUFNJY4AfY3kHU/edit?usp=sharing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3" s="7" t="s">
        <v>10</v>
      </c>
      <c r="H13583" s="7">
        <v>18578</v>
      </c>
      <c r="I13583" s="8" t="str">
        <f ca="1">IFERROR(__xludf.DUMMYFUNCTION("IF
(
G13584=""фізична особа""
,
VLOOKUP(H13584,IMPORTRANGE(""https://docs.google.com/spreadsheets/d/14Bd19lYaqBhU8_DElYkX7l4wRkHqqCUFNJY4AfY3kHU/edit?usp=sharing  #gid=0"",""фіз особи new!relations_name""),6,FALSE)
,
(IF
(
G13584=""юридична особа""
,
VLOO"&amp;"KUP(H13584,IMPORTRANGE(""https://docs.google.com/spreadsheets/d/14Bd19lYaqBhU8_DElYkX7l4wRkHqqCUFNJY4AfY3kHU/edit?usp=sharing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583" s="7" t="s">
        <v>23</v>
      </c>
    </row>
    <row r="13584" spans="1:10" ht="13.2">
      <c r="A13584" s="7">
        <v>13583</v>
      </c>
      <c r="B13584" s="7">
        <v>1</v>
      </c>
      <c r="C13584" s="7" t="s">
        <v>10</v>
      </c>
      <c r="D13584" s="7">
        <v>18582</v>
      </c>
      <c r="E13584" s="7" t="s">
        <v>23</v>
      </c>
      <c r="F13584" s="8" t="str">
        <f ca="1">IFERROR(__xludf.DUMMYFUNCTION("IF
(
C13585=""фізична особа""
,
VLOOKUP(D13585,IMPORTRANGE(""https://docs.google.com/spreadsheets/d/14Bd19lYaqBhU8_DElYkX7l4wRkHqqCUFNJY4AfY3kHU/edit?usp=sharing  #gid=0"",""фіз особи new!relations_name""),6,FALSE)
,
(IF
(
C13585=""юридична особа""
,
VLOO"&amp;"KUP(D13585,IMPORTRANGE(""https://docs.google.com/spreadsheets/d/14Bd19lYaqBhU8_DElYkX7l4wRkHqqCUFNJY4AfY3kHU/edit?usp=sharing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4" s="7" t="s">
        <v>10</v>
      </c>
      <c r="H13584" s="7">
        <v>18579</v>
      </c>
      <c r="I13584" s="8" t="str">
        <f ca="1">IFERROR(__xludf.DUMMYFUNCTION("IF
(
G13585=""фізична особа""
,
VLOOKUP(H13585,IMPORTRANGE(""https://docs.google.com/spreadsheets/d/14Bd19lYaqBhU8_DElYkX7l4wRkHqqCUFNJY4AfY3kHU/edit?usp=sharing  #gid=0"",""фіз особи new!relations_name""),6,FALSE)
,
(IF
(
G13585=""юридична особа""
,
VLOO"&amp;"KUP(H13585,IMPORTRANGE(""https://docs.google.com/spreadsheets/d/14Bd19lYaqBhU8_DElYkX7l4wRkHqqCUFNJY4AfY3kHU/edit?usp=sharing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584" s="7" t="s">
        <v>23</v>
      </c>
    </row>
    <row r="13585" spans="1:10" ht="13.2">
      <c r="A13585" s="7">
        <v>13584</v>
      </c>
      <c r="B13585" s="7">
        <v>1</v>
      </c>
      <c r="C13585" s="7" t="s">
        <v>10</v>
      </c>
      <c r="D13585" s="7">
        <v>18582</v>
      </c>
      <c r="E13585" s="7" t="s">
        <v>23</v>
      </c>
      <c r="F13585" s="8" t="str">
        <f ca="1">IFERROR(__xludf.DUMMYFUNCTION("IF
(
C13586=""фізична особа""
,
VLOOKUP(D13586,IMPORTRANGE(""https://docs.google.com/spreadsheets/d/14Bd19lYaqBhU8_DElYkX7l4wRkHqqCUFNJY4AfY3kHU/edit?usp=sharing  #gid=0"",""фіз особи new!relations_name""),6,FALSE)
,
(IF
(
C13586=""юридична особа""
,
VLOO"&amp;"KUP(D13586,IMPORTRANGE(""https://docs.google.com/spreadsheets/d/14Bd19lYaqBhU8_DElYkX7l4wRkHqqCUFNJY4AfY3kHU/edit?usp=sharing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5" s="7" t="s">
        <v>10</v>
      </c>
      <c r="H13585" s="7">
        <v>18580</v>
      </c>
      <c r="I13585" s="8" t="str">
        <f ca="1">IFERROR(__xludf.DUMMYFUNCTION("IF
(
G13586=""фізична особа""
,
VLOOKUP(H13586,IMPORTRANGE(""https://docs.google.com/spreadsheets/d/14Bd19lYaqBhU8_DElYkX7l4wRkHqqCUFNJY4AfY3kHU/edit?usp=sharing  #gid=0"",""фіз особи new!relations_name""),6,FALSE)
,
(IF
(
G13586=""юридична особа""
,
VLOO"&amp;"KUP(H13586,IMPORTRANGE(""https://docs.google.com/spreadsheets/d/14Bd19lYaqBhU8_DElYkX7l4wRkHqqCUFNJY4AfY3kHU/edit?usp=sharing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585" s="7" t="s">
        <v>23</v>
      </c>
    </row>
    <row r="13586" spans="1:10" ht="13.2">
      <c r="A13586" s="7">
        <v>13585</v>
      </c>
      <c r="B13586" s="7">
        <v>1</v>
      </c>
      <c r="C13586" s="7" t="s">
        <v>10</v>
      </c>
      <c r="D13586" s="7">
        <v>18582</v>
      </c>
      <c r="E13586" s="7" t="s">
        <v>23</v>
      </c>
      <c r="F13586" s="8" t="str">
        <f ca="1">IFERROR(__xludf.DUMMYFUNCTION("IF
(
C13587=""фізична особа""
,
VLOOKUP(D13587,IMPORTRANGE(""https://docs.google.com/spreadsheets/d/14Bd19lYaqBhU8_DElYkX7l4wRkHqqCUFNJY4AfY3kHU/edit?usp=sharing  #gid=0"",""фіз особи new!relations_name""),6,FALSE)
,
(IF
(
C13587=""юридична особа""
,
VLOO"&amp;"KUP(D13587,IMPORTRANGE(""https://docs.google.com/spreadsheets/d/14Bd19lYaqBhU8_DElYkX7l4wRkHqqCUFNJY4AfY3kHU/edit?usp=sharing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6" s="7" t="s">
        <v>10</v>
      </c>
      <c r="H13586" s="7">
        <v>18581</v>
      </c>
      <c r="I13586" s="8" t="str">
        <f ca="1">IFERROR(__xludf.DUMMYFUNCTION("IF
(
G13587=""фізична особа""
,
VLOOKUP(H13587,IMPORTRANGE(""https://docs.google.com/spreadsheets/d/14Bd19lYaqBhU8_DElYkX7l4wRkHqqCUFNJY4AfY3kHU/edit?usp=sharing  #gid=0"",""фіз особи new!relations_name""),6,FALSE)
,
(IF
(
G13587=""юридична особа""
,
VLOO"&amp;"KUP(H13587,IMPORTRANGE(""https://docs.google.com/spreadsheets/d/14Bd19lYaqBhU8_DElYkX7l4wRkHqqCUFNJY4AfY3kHU/edit?usp=sharing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586" s="7" t="s">
        <v>23</v>
      </c>
    </row>
    <row r="13587" spans="1:10" ht="13.2">
      <c r="A13587" s="7">
        <v>13586</v>
      </c>
      <c r="B13587" s="7">
        <v>1</v>
      </c>
      <c r="C13587" s="7" t="s">
        <v>10</v>
      </c>
      <c r="D13587" s="7">
        <v>18582</v>
      </c>
      <c r="E13587" s="7" t="s">
        <v>23</v>
      </c>
      <c r="F13587" s="8" t="str">
        <f ca="1">IFERROR(__xludf.DUMMYFUNCTION("IF
(
C13588=""фізична особа""
,
VLOOKUP(D13588,IMPORTRANGE(""https://docs.google.com/spreadsheets/d/14Bd19lYaqBhU8_DElYkX7l4wRkHqqCUFNJY4AfY3kHU/edit?usp=sharing  #gid=0"",""фіз особи new!relations_name""),6,FALSE)
,
(IF
(
C13588=""юридична особа""
,
VLOO"&amp;"KUP(D13588,IMPORTRANGE(""https://docs.google.com/spreadsheets/d/14Bd19lYaqBhU8_DElYkX7l4wRkHqqCUFNJY4AfY3kHU/edit?usp=sharing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7" s="7" t="s">
        <v>10</v>
      </c>
      <c r="H13587" s="7">
        <v>18583</v>
      </c>
      <c r="I13587" s="8" t="str">
        <f ca="1">IFERROR(__xludf.DUMMYFUNCTION("IF
(
G13588=""фізична особа""
,
VLOOKUP(H13588,IMPORTRANGE(""https://docs.google.com/spreadsheets/d/14Bd19lYaqBhU8_DElYkX7l4wRkHqqCUFNJY4AfY3kHU/edit?usp=sharing  #gid=0"",""фіз особи new!relations_name""),6,FALSE)
,
(IF
(
G13588=""юридична особа""
,
VLOO"&amp;"KUP(H13588,IMPORTRANGE(""https://docs.google.com/spreadsheets/d/14Bd19lYaqBhU8_DElYkX7l4wRkHqqCUFNJY4AfY3kHU/edit?usp=sharing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587" s="7" t="s">
        <v>23</v>
      </c>
    </row>
    <row r="13588" spans="1:10" ht="13.2">
      <c r="A13588" s="7">
        <v>13587</v>
      </c>
      <c r="B13588" s="7">
        <v>1</v>
      </c>
      <c r="C13588" s="7" t="s">
        <v>10</v>
      </c>
      <c r="D13588" s="7">
        <v>18582</v>
      </c>
      <c r="E13588" s="7" t="s">
        <v>23</v>
      </c>
      <c r="F13588" s="8" t="str">
        <f ca="1">IFERROR(__xludf.DUMMYFUNCTION("IF
(
C13589=""фізична особа""
,
VLOOKUP(D13589,IMPORTRANGE(""https://docs.google.com/spreadsheets/d/14Bd19lYaqBhU8_DElYkX7l4wRkHqqCUFNJY4AfY3kHU/edit?usp=sharing  #gid=0"",""фіз особи new!relations_name""),6,FALSE)
,
(IF
(
C13589=""юридична особа""
,
VLOO"&amp;"KUP(D13589,IMPORTRANGE(""https://docs.google.com/spreadsheets/d/14Bd19lYaqBhU8_DElYkX7l4wRkHqqCUFNJY4AfY3kHU/edit?usp=sharing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8" s="7" t="s">
        <v>10</v>
      </c>
      <c r="H13588" s="7">
        <v>18584</v>
      </c>
      <c r="I13588" s="8" t="str">
        <f ca="1">IFERROR(__xludf.DUMMYFUNCTION("IF
(
G13589=""фізична особа""
,
VLOOKUP(H13589,IMPORTRANGE(""https://docs.google.com/spreadsheets/d/14Bd19lYaqBhU8_DElYkX7l4wRkHqqCUFNJY4AfY3kHU/edit?usp=sharing  #gid=0"",""фіз особи new!relations_name""),6,FALSE)
,
(IF
(
G13589=""юридична особа""
,
VLOO"&amp;"KUP(H13589,IMPORTRANGE(""https://docs.google.com/spreadsheets/d/14Bd19lYaqBhU8_DElYkX7l4wRkHqqCUFNJY4AfY3kHU/edit?usp=sharing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588" s="7" t="s">
        <v>23</v>
      </c>
    </row>
    <row r="13589" spans="1:10" ht="13.2">
      <c r="A13589" s="7">
        <v>13588</v>
      </c>
      <c r="B13589" s="7">
        <v>1</v>
      </c>
      <c r="C13589" s="7" t="s">
        <v>10</v>
      </c>
      <c r="D13589" s="7">
        <v>18582</v>
      </c>
      <c r="E13589" s="7" t="s">
        <v>23</v>
      </c>
      <c r="F13589" s="8" t="str">
        <f ca="1">IFERROR(__xludf.DUMMYFUNCTION("IF
(
C13590=""фізична особа""
,
VLOOKUP(D13590,IMPORTRANGE(""https://docs.google.com/spreadsheets/d/14Bd19lYaqBhU8_DElYkX7l4wRkHqqCUFNJY4AfY3kHU/edit?usp=sharing  #gid=0"",""фіз особи new!relations_name""),6,FALSE)
,
(IF
(
C13590=""юридична особа""
,
VLOO"&amp;"KUP(D13590,IMPORTRANGE(""https://docs.google.com/spreadsheets/d/14Bd19lYaqBhU8_DElYkX7l4wRkHqqCUFNJY4AfY3kHU/edit?usp=sharing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89" s="7" t="s">
        <v>10</v>
      </c>
      <c r="H13589" s="7">
        <v>18585</v>
      </c>
      <c r="I13589" s="8" t="str">
        <f ca="1">IFERROR(__xludf.DUMMYFUNCTION("IF
(
G13590=""фізична особа""
,
VLOOKUP(H13590,IMPORTRANGE(""https://docs.google.com/spreadsheets/d/14Bd19lYaqBhU8_DElYkX7l4wRkHqqCUFNJY4AfY3kHU/edit?usp=sharing  #gid=0"",""фіз особи new!relations_name""),6,FALSE)
,
(IF
(
G13590=""юридична особа""
,
VLOO"&amp;"KUP(H13590,IMPORTRANGE(""https://docs.google.com/spreadsheets/d/14Bd19lYaqBhU8_DElYkX7l4wRkHqqCUFNJY4AfY3kHU/edit?usp=sharing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589" s="7" t="s">
        <v>23</v>
      </c>
    </row>
    <row r="13590" spans="1:10" ht="13.2">
      <c r="A13590" s="7">
        <v>13589</v>
      </c>
      <c r="B13590" s="7">
        <v>1</v>
      </c>
      <c r="C13590" s="7" t="s">
        <v>10</v>
      </c>
      <c r="D13590" s="7">
        <v>18582</v>
      </c>
      <c r="E13590" s="7" t="s">
        <v>23</v>
      </c>
      <c r="F13590" s="8" t="str">
        <f ca="1">IFERROR(__xludf.DUMMYFUNCTION("IF
(
C13591=""фізична особа""
,
VLOOKUP(D13591,IMPORTRANGE(""https://docs.google.com/spreadsheets/d/14Bd19lYaqBhU8_DElYkX7l4wRkHqqCUFNJY4AfY3kHU/edit?usp=sharing  #gid=0"",""фіз особи new!relations_name""),6,FALSE)
,
(IF
(
C13591=""юридична особа""
,
VLOO"&amp;"KUP(D13591,IMPORTRANGE(""https://docs.google.com/spreadsheets/d/14Bd19lYaqBhU8_DElYkX7l4wRkHqqCUFNJY4AfY3kHU/edit?usp=sharing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0" s="7" t="s">
        <v>10</v>
      </c>
      <c r="H13590" s="7">
        <v>18847</v>
      </c>
      <c r="I13590" s="8" t="str">
        <f ca="1">IFERROR(__xludf.DUMMYFUNCTION("IF
(
G13591=""фізична особа""
,
VLOOKUP(H13591,IMPORTRANGE(""https://docs.google.com/spreadsheets/d/14Bd19lYaqBhU8_DElYkX7l4wRkHqqCUFNJY4AfY3kHU/edit?usp=sharing  #gid=0"",""фіз особи new!relations_name""),6,FALSE)
,
(IF
(
G13591=""юридична особа""
,
VLOO"&amp;"KUP(H13591,IMPORTRANGE(""https://docs.google.com/spreadsheets/d/14Bd19lYaqBhU8_DElYkX7l4wRkHqqCUFNJY4AfY3kHU/edit?usp=sharing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590" s="7" t="s">
        <v>23</v>
      </c>
    </row>
    <row r="13591" spans="1:10" ht="13.2">
      <c r="A13591" s="7">
        <v>13590</v>
      </c>
      <c r="B13591" s="7">
        <v>1</v>
      </c>
      <c r="C13591" s="7" t="s">
        <v>10</v>
      </c>
      <c r="D13591" s="7">
        <v>18582</v>
      </c>
      <c r="E13591" s="7" t="s">
        <v>23</v>
      </c>
      <c r="F13591" s="8" t="str">
        <f ca="1">IFERROR(__xludf.DUMMYFUNCTION("IF
(
C13592=""фізична особа""
,
VLOOKUP(D13592,IMPORTRANGE(""https://docs.google.com/spreadsheets/d/14Bd19lYaqBhU8_DElYkX7l4wRkHqqCUFNJY4AfY3kHU/edit?usp=sharing  #gid=0"",""фіз особи new!relations_name""),6,FALSE)
,
(IF
(
C13592=""юридична особа""
,
VLOO"&amp;"KUP(D13592,IMPORTRANGE(""https://docs.google.com/spreadsheets/d/14Bd19lYaqBhU8_DElYkX7l4wRkHqqCUFNJY4AfY3kHU/edit?usp=sharing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1" s="7" t="s">
        <v>10</v>
      </c>
      <c r="H13591" s="7">
        <v>18848</v>
      </c>
      <c r="I13591" s="8" t="str">
        <f ca="1">IFERROR(__xludf.DUMMYFUNCTION("IF
(
G13592=""фізична особа""
,
VLOOKUP(H13592,IMPORTRANGE(""https://docs.google.com/spreadsheets/d/14Bd19lYaqBhU8_DElYkX7l4wRkHqqCUFNJY4AfY3kHU/edit?usp=sharing  #gid=0"",""фіз особи new!relations_name""),6,FALSE)
,
(IF
(
G13592=""юридична особа""
,
VLOO"&amp;"KUP(H13592,IMPORTRANGE(""https://docs.google.com/spreadsheets/d/14Bd19lYaqBhU8_DElYkX7l4wRkHqqCUFNJY4AfY3kHU/edit?usp=sharing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591" s="7" t="s">
        <v>23</v>
      </c>
    </row>
    <row r="13592" spans="1:10" ht="13.2">
      <c r="A13592" s="7">
        <v>13591</v>
      </c>
      <c r="B13592" s="7">
        <v>1</v>
      </c>
      <c r="C13592" s="7" t="s">
        <v>10</v>
      </c>
      <c r="D13592" s="7">
        <v>18582</v>
      </c>
      <c r="E13592" s="7" t="s">
        <v>23</v>
      </c>
      <c r="F13592" s="8" t="str">
        <f ca="1">IFERROR(__xludf.DUMMYFUNCTION("IF
(
C13593=""фізична особа""
,
VLOOKUP(D13593,IMPORTRANGE(""https://docs.google.com/spreadsheets/d/14Bd19lYaqBhU8_DElYkX7l4wRkHqqCUFNJY4AfY3kHU/edit?usp=sharing  #gid=0"",""фіз особи new!relations_name""),6,FALSE)
,
(IF
(
C13593=""юридична особа""
,
VLOO"&amp;"KUP(D13593,IMPORTRANGE(""https://docs.google.com/spreadsheets/d/14Bd19lYaqBhU8_DElYkX7l4wRkHqqCUFNJY4AfY3kHU/edit?usp=sharing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2" s="7" t="s">
        <v>10</v>
      </c>
      <c r="H13592" s="7">
        <v>18849</v>
      </c>
      <c r="I13592" s="8" t="str">
        <f ca="1">IFERROR(__xludf.DUMMYFUNCTION("IF
(
G13593=""фізична особа""
,
VLOOKUP(H13593,IMPORTRANGE(""https://docs.google.com/spreadsheets/d/14Bd19lYaqBhU8_DElYkX7l4wRkHqqCUFNJY4AfY3kHU/edit?usp=sharing  #gid=0"",""фіз особи new!relations_name""),6,FALSE)
,
(IF
(
G13593=""юридична особа""
,
VLOO"&amp;"KUP(H13593,IMPORTRANGE(""https://docs.google.com/spreadsheets/d/14Bd19lYaqBhU8_DElYkX7l4wRkHqqCUFNJY4AfY3kHU/edit?usp=sharing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592" s="7" t="s">
        <v>23</v>
      </c>
    </row>
    <row r="13593" spans="1:10" ht="13.2">
      <c r="A13593" s="7">
        <v>13592</v>
      </c>
      <c r="B13593" s="7">
        <v>1</v>
      </c>
      <c r="C13593" s="7" t="s">
        <v>10</v>
      </c>
      <c r="D13593" s="7">
        <v>18582</v>
      </c>
      <c r="E13593" s="7" t="s">
        <v>23</v>
      </c>
      <c r="F13593" s="8" t="str">
        <f ca="1">IFERROR(__xludf.DUMMYFUNCTION("IF
(
C13594=""фізична особа""
,
VLOOKUP(D13594,IMPORTRANGE(""https://docs.google.com/spreadsheets/d/14Bd19lYaqBhU8_DElYkX7l4wRkHqqCUFNJY4AfY3kHU/edit?usp=sharing  #gid=0"",""фіз особи new!relations_name""),6,FALSE)
,
(IF
(
C13594=""юридична особа""
,
VLOO"&amp;"KUP(D13594,IMPORTRANGE(""https://docs.google.com/spreadsheets/d/14Bd19lYaqBhU8_DElYkX7l4wRkHqqCUFNJY4AfY3kHU/edit?usp=sharing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3" s="7" t="s">
        <v>10</v>
      </c>
      <c r="H13593" s="7">
        <v>18850</v>
      </c>
      <c r="I13593" s="8" t="str">
        <f ca="1">IFERROR(__xludf.DUMMYFUNCTION("IF
(
G13594=""фізична особа""
,
VLOOKUP(H13594,IMPORTRANGE(""https://docs.google.com/spreadsheets/d/14Bd19lYaqBhU8_DElYkX7l4wRkHqqCUFNJY4AfY3kHU/edit?usp=sharing  #gid=0"",""фіз особи new!relations_name""),6,FALSE)
,
(IF
(
G13594=""юридична особа""
,
VLOO"&amp;"KUP(H13594,IMPORTRANGE(""https://docs.google.com/spreadsheets/d/14Bd19lYaqBhU8_DElYkX7l4wRkHqqCUFNJY4AfY3kHU/edit?usp=sharing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593" s="7" t="s">
        <v>23</v>
      </c>
    </row>
    <row r="13594" spans="1:10" ht="13.2">
      <c r="A13594" s="7">
        <v>13593</v>
      </c>
      <c r="B13594" s="7">
        <v>1</v>
      </c>
      <c r="C13594" s="7" t="s">
        <v>10</v>
      </c>
      <c r="D13594" s="7">
        <v>18582</v>
      </c>
      <c r="E13594" s="7" t="s">
        <v>23</v>
      </c>
      <c r="F13594" s="8" t="str">
        <f ca="1">IFERROR(__xludf.DUMMYFUNCTION("IF
(
C13595=""фізична особа""
,
VLOOKUP(D13595,IMPORTRANGE(""https://docs.google.com/spreadsheets/d/14Bd19lYaqBhU8_DElYkX7l4wRkHqqCUFNJY4AfY3kHU/edit?usp=sharing  #gid=0"",""фіз особи new!relations_name""),6,FALSE)
,
(IF
(
C13595=""юридична особа""
,
VLOO"&amp;"KUP(D13595,IMPORTRANGE(""https://docs.google.com/spreadsheets/d/14Bd19lYaqBhU8_DElYkX7l4wRkHqqCUFNJY4AfY3kHU/edit?usp=sharing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4" s="7" t="s">
        <v>10</v>
      </c>
      <c r="H13594" s="7">
        <v>18851</v>
      </c>
      <c r="I13594" s="8" t="str">
        <f ca="1">IFERROR(__xludf.DUMMYFUNCTION("IF
(
G13595=""фізична особа""
,
VLOOKUP(H13595,IMPORTRANGE(""https://docs.google.com/spreadsheets/d/14Bd19lYaqBhU8_DElYkX7l4wRkHqqCUFNJY4AfY3kHU/edit?usp=sharing  #gid=0"",""фіз особи new!relations_name""),6,FALSE)
,
(IF
(
G13595=""юридична особа""
,
VLOO"&amp;"KUP(H13595,IMPORTRANGE(""https://docs.google.com/spreadsheets/d/14Bd19lYaqBhU8_DElYkX7l4wRkHqqCUFNJY4AfY3kHU/edit?usp=sharing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594" s="7" t="s">
        <v>23</v>
      </c>
    </row>
    <row r="13595" spans="1:10" ht="13.2">
      <c r="A13595" s="7">
        <v>13594</v>
      </c>
      <c r="B13595" s="7">
        <v>1</v>
      </c>
      <c r="C13595" s="7" t="s">
        <v>10</v>
      </c>
      <c r="D13595" s="7">
        <v>18582</v>
      </c>
      <c r="E13595" s="7" t="s">
        <v>23</v>
      </c>
      <c r="F13595" s="8" t="str">
        <f ca="1">IFERROR(__xludf.DUMMYFUNCTION("IF
(
C13596=""фізична особа""
,
VLOOKUP(D13596,IMPORTRANGE(""https://docs.google.com/spreadsheets/d/14Bd19lYaqBhU8_DElYkX7l4wRkHqqCUFNJY4AfY3kHU/edit?usp=sharing  #gid=0"",""фіз особи new!relations_name""),6,FALSE)
,
(IF
(
C13596=""юридична особа""
,
VLOO"&amp;"KUP(D13596,IMPORTRANGE(""https://docs.google.com/spreadsheets/d/14Bd19lYaqBhU8_DElYkX7l4wRkHqqCUFNJY4AfY3kHU/edit?usp=sharing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5" s="7" t="s">
        <v>10</v>
      </c>
      <c r="H13595" s="7">
        <v>18852</v>
      </c>
      <c r="I13595" s="8" t="str">
        <f ca="1">IFERROR(__xludf.DUMMYFUNCTION("IF
(
G13596=""фізична особа""
,
VLOOKUP(H13596,IMPORTRANGE(""https://docs.google.com/spreadsheets/d/14Bd19lYaqBhU8_DElYkX7l4wRkHqqCUFNJY4AfY3kHU/edit?usp=sharing  #gid=0"",""фіз особи new!relations_name""),6,FALSE)
,
(IF
(
G13596=""юридична особа""
,
VLOO"&amp;"KUP(H13596,IMPORTRANGE(""https://docs.google.com/spreadsheets/d/14Bd19lYaqBhU8_DElYkX7l4wRkHqqCUFNJY4AfY3kHU/edit?usp=sharing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595" s="7" t="s">
        <v>23</v>
      </c>
    </row>
    <row r="13596" spans="1:10" ht="13.2">
      <c r="A13596" s="7">
        <v>13595</v>
      </c>
      <c r="B13596" s="7">
        <v>1</v>
      </c>
      <c r="C13596" s="7" t="s">
        <v>10</v>
      </c>
      <c r="D13596" s="7">
        <v>18582</v>
      </c>
      <c r="E13596" s="7" t="s">
        <v>23</v>
      </c>
      <c r="F13596" s="8" t="str">
        <f ca="1">IFERROR(__xludf.DUMMYFUNCTION("IF
(
C13597=""фізична особа""
,
VLOOKUP(D13597,IMPORTRANGE(""https://docs.google.com/spreadsheets/d/14Bd19lYaqBhU8_DElYkX7l4wRkHqqCUFNJY4AfY3kHU/edit?usp=sharing  #gid=0"",""фіз особи new!relations_name""),6,FALSE)
,
(IF
(
C13597=""юридична особа""
,
VLOO"&amp;"KUP(D13597,IMPORTRANGE(""https://docs.google.com/spreadsheets/d/14Bd19lYaqBhU8_DElYkX7l4wRkHqqCUFNJY4AfY3kHU/edit?usp=sharing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6" s="7" t="s">
        <v>10</v>
      </c>
      <c r="H13596" s="7">
        <v>18853</v>
      </c>
      <c r="I13596" s="8" t="str">
        <f ca="1">IFERROR(__xludf.DUMMYFUNCTION("IF
(
G13597=""фізична особа""
,
VLOOKUP(H13597,IMPORTRANGE(""https://docs.google.com/spreadsheets/d/14Bd19lYaqBhU8_DElYkX7l4wRkHqqCUFNJY4AfY3kHU/edit?usp=sharing  #gid=0"",""фіз особи new!relations_name""),6,FALSE)
,
(IF
(
G13597=""юридична особа""
,
VLOO"&amp;"KUP(H13597,IMPORTRANGE(""https://docs.google.com/spreadsheets/d/14Bd19lYaqBhU8_DElYkX7l4wRkHqqCUFNJY4AfY3kHU/edit?usp=sharing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596" s="7" t="s">
        <v>23</v>
      </c>
    </row>
    <row r="13597" spans="1:10" ht="13.2">
      <c r="A13597" s="7">
        <v>13596</v>
      </c>
      <c r="B13597" s="7">
        <v>1</v>
      </c>
      <c r="C13597" s="7" t="s">
        <v>10</v>
      </c>
      <c r="D13597" s="7">
        <v>18582</v>
      </c>
      <c r="E13597" s="7" t="s">
        <v>23</v>
      </c>
      <c r="F13597" s="8" t="str">
        <f ca="1">IFERROR(__xludf.DUMMYFUNCTION("IF
(
C13598=""фізична особа""
,
VLOOKUP(D13598,IMPORTRANGE(""https://docs.google.com/spreadsheets/d/14Bd19lYaqBhU8_DElYkX7l4wRkHqqCUFNJY4AfY3kHU/edit?usp=sharing  #gid=0"",""фіз особи new!relations_name""),6,FALSE)
,
(IF
(
C13598=""юридична особа""
,
VLOO"&amp;"KUP(D13598,IMPORTRANGE(""https://docs.google.com/spreadsheets/d/14Bd19lYaqBhU8_DElYkX7l4wRkHqqCUFNJY4AfY3kHU/edit?usp=sharing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7" s="7" t="s">
        <v>10</v>
      </c>
      <c r="H13597" s="7">
        <v>18854</v>
      </c>
      <c r="I13597" s="8" t="str">
        <f ca="1">IFERROR(__xludf.DUMMYFUNCTION("IF
(
G13598=""фізична особа""
,
VLOOKUP(H13598,IMPORTRANGE(""https://docs.google.com/spreadsheets/d/14Bd19lYaqBhU8_DElYkX7l4wRkHqqCUFNJY4AfY3kHU/edit?usp=sharing  #gid=0"",""фіз особи new!relations_name""),6,FALSE)
,
(IF
(
G13598=""юридична особа""
,
VLOO"&amp;"KUP(H13598,IMPORTRANGE(""https://docs.google.com/spreadsheets/d/14Bd19lYaqBhU8_DElYkX7l4wRkHqqCUFNJY4AfY3kHU/edit?usp=sharing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597" s="7" t="s">
        <v>23</v>
      </c>
    </row>
    <row r="13598" spans="1:10" ht="13.2">
      <c r="A13598" s="7">
        <v>13597</v>
      </c>
      <c r="B13598" s="7">
        <v>1</v>
      </c>
      <c r="C13598" s="7" t="s">
        <v>10</v>
      </c>
      <c r="D13598" s="7">
        <v>18582</v>
      </c>
      <c r="E13598" s="7" t="s">
        <v>23</v>
      </c>
      <c r="F13598" s="8" t="str">
        <f ca="1">IFERROR(__xludf.DUMMYFUNCTION("IF
(
C13599=""фізична особа""
,
VLOOKUP(D13599,IMPORTRANGE(""https://docs.google.com/spreadsheets/d/14Bd19lYaqBhU8_DElYkX7l4wRkHqqCUFNJY4AfY3kHU/edit?usp=sharing  #gid=0"",""фіз особи new!relations_name""),6,FALSE)
,
(IF
(
C13599=""юридична особа""
,
VLOO"&amp;"KUP(D13599,IMPORTRANGE(""https://docs.google.com/spreadsheets/d/14Bd19lYaqBhU8_DElYkX7l4wRkHqqCUFNJY4AfY3kHU/edit?usp=sharing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8" s="7" t="s">
        <v>10</v>
      </c>
      <c r="H13598" s="7">
        <v>18855</v>
      </c>
      <c r="I13598" s="8" t="str">
        <f ca="1">IFERROR(__xludf.DUMMYFUNCTION("IF
(
G13599=""фізична особа""
,
VLOOKUP(H13599,IMPORTRANGE(""https://docs.google.com/spreadsheets/d/14Bd19lYaqBhU8_DElYkX7l4wRkHqqCUFNJY4AfY3kHU/edit?usp=sharing  #gid=0"",""фіз особи new!relations_name""),6,FALSE)
,
(IF
(
G13599=""юридична особа""
,
VLOO"&amp;"KUP(H13599,IMPORTRANGE(""https://docs.google.com/spreadsheets/d/14Bd19lYaqBhU8_DElYkX7l4wRkHqqCUFNJY4AfY3kHU/edit?usp=sharing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598" s="7" t="s">
        <v>23</v>
      </c>
    </row>
    <row r="13599" spans="1:10" ht="13.2">
      <c r="A13599" s="7">
        <v>13598</v>
      </c>
      <c r="B13599" s="7">
        <v>1</v>
      </c>
      <c r="C13599" s="7" t="s">
        <v>10</v>
      </c>
      <c r="D13599" s="7">
        <v>18582</v>
      </c>
      <c r="E13599" s="7" t="s">
        <v>23</v>
      </c>
      <c r="F13599" s="8" t="str">
        <f ca="1">IFERROR(__xludf.DUMMYFUNCTION("IF
(
C13600=""фізична особа""
,
VLOOKUP(D13600,IMPORTRANGE(""https://docs.google.com/spreadsheets/d/14Bd19lYaqBhU8_DElYkX7l4wRkHqqCUFNJY4AfY3kHU/edit?usp=sharing  #gid=0"",""фіз особи new!relations_name""),6,FALSE)
,
(IF
(
C13600=""юридична особа""
,
VLOO"&amp;"KUP(D13600,IMPORTRANGE(""https://docs.google.com/spreadsheets/d/14Bd19lYaqBhU8_DElYkX7l4wRkHqqCUFNJY4AfY3kHU/edit?usp=sharing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G13599" s="7" t="s">
        <v>10</v>
      </c>
      <c r="H13599" s="7">
        <v>18856</v>
      </c>
      <c r="I13599" s="8" t="str">
        <f ca="1">IFERROR(__xludf.DUMMYFUNCTION("IF
(
G13600=""фізична особа""
,
VLOOKUP(H13600,IMPORTRANGE(""https://docs.google.com/spreadsheets/d/14Bd19lYaqBhU8_DElYkX7l4wRkHqqCUFNJY4AfY3kHU/edit?usp=sharing  #gid=0"",""фіз особи new!relations_name""),6,FALSE)
,
(IF
(
G13600=""юридична особа""
,
VLOO"&amp;"KUP(H13600,IMPORTRANGE(""https://docs.google.com/spreadsheets/d/14Bd19lYaqBhU8_DElYkX7l4wRkHqqCUFNJY4AfY3kHU/edit?usp=sharing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599" s="7" t="s">
        <v>23</v>
      </c>
    </row>
    <row r="13600" spans="1:10" ht="13.2">
      <c r="A13600" s="7">
        <v>13599</v>
      </c>
      <c r="B13600" s="7">
        <v>1</v>
      </c>
      <c r="C13600" s="7" t="s">
        <v>10</v>
      </c>
      <c r="D13600" s="7">
        <v>18583</v>
      </c>
      <c r="E13600" s="7" t="s">
        <v>23</v>
      </c>
      <c r="F13600" s="8" t="str">
        <f ca="1">IFERROR(__xludf.DUMMYFUNCTION("IF
(
C13601=""фізична особа""
,
VLOOKUP(D13601,IMPORTRANGE(""https://docs.google.com/spreadsheets/d/14Bd19lYaqBhU8_DElYkX7l4wRkHqqCUFNJY4AfY3kHU/edit?usp=sharing  #gid=0"",""фіз особи new!relations_name""),6,FALSE)
,
(IF
(
C13601=""юридична особа""
,
VLOO"&amp;"KUP(D13601,IMPORTRANGE(""https://docs.google.com/spreadsheets/d/14Bd19lYaqBhU8_DElYkX7l4wRkHqqCUFNJY4AfY3kHU/edit?usp=sharing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0" s="7" t="s">
        <v>10</v>
      </c>
      <c r="H13600" s="7">
        <v>18576</v>
      </c>
      <c r="I13600" s="8" t="str">
        <f ca="1">IFERROR(__xludf.DUMMYFUNCTION("IF
(
G13601=""фізична особа""
,
VLOOKUP(H13601,IMPORTRANGE(""https://docs.google.com/spreadsheets/d/14Bd19lYaqBhU8_DElYkX7l4wRkHqqCUFNJY4AfY3kHU/edit?usp=sharing  #gid=0"",""фіз особи new!relations_name""),6,FALSE)
,
(IF
(
G13601=""юридична особа""
,
VLOO"&amp;"KUP(H13601,IMPORTRANGE(""https://docs.google.com/spreadsheets/d/14Bd19lYaqBhU8_DElYkX7l4wRkHqqCUFNJY4AfY3kHU/edit?usp=sharing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600" s="7" t="s">
        <v>23</v>
      </c>
    </row>
    <row r="13601" spans="1:10" ht="13.2">
      <c r="A13601" s="7">
        <v>13600</v>
      </c>
      <c r="B13601" s="7">
        <v>1</v>
      </c>
      <c r="C13601" s="7" t="s">
        <v>10</v>
      </c>
      <c r="D13601" s="7">
        <v>18583</v>
      </c>
      <c r="E13601" s="7" t="s">
        <v>23</v>
      </c>
      <c r="F13601" s="8" t="str">
        <f ca="1">IFERROR(__xludf.DUMMYFUNCTION("IF
(
C13602=""фізична особа""
,
VLOOKUP(D13602,IMPORTRANGE(""https://docs.google.com/spreadsheets/d/14Bd19lYaqBhU8_DElYkX7l4wRkHqqCUFNJY4AfY3kHU/edit?usp=sharing  #gid=0"",""фіз особи new!relations_name""),6,FALSE)
,
(IF
(
C13602=""юридична особа""
,
VLOO"&amp;"KUP(D13602,IMPORTRANGE(""https://docs.google.com/spreadsheets/d/14Bd19lYaqBhU8_DElYkX7l4wRkHqqCUFNJY4AfY3kHU/edit?usp=sharing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1" s="7" t="s">
        <v>10</v>
      </c>
      <c r="H13601" s="7">
        <v>18577</v>
      </c>
      <c r="I13601" s="8" t="str">
        <f ca="1">IFERROR(__xludf.DUMMYFUNCTION("IF
(
G13602=""фізична особа""
,
VLOOKUP(H13602,IMPORTRANGE(""https://docs.google.com/spreadsheets/d/14Bd19lYaqBhU8_DElYkX7l4wRkHqqCUFNJY4AfY3kHU/edit?usp=sharing  #gid=0"",""фіз особи new!relations_name""),6,FALSE)
,
(IF
(
G13602=""юридична особа""
,
VLOO"&amp;"KUP(H13602,IMPORTRANGE(""https://docs.google.com/spreadsheets/d/14Bd19lYaqBhU8_DElYkX7l4wRkHqqCUFNJY4AfY3kHU/edit?usp=sharing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601" s="7" t="s">
        <v>23</v>
      </c>
    </row>
    <row r="13602" spans="1:10" ht="13.2">
      <c r="A13602" s="7">
        <v>13601</v>
      </c>
      <c r="B13602" s="7">
        <v>1</v>
      </c>
      <c r="C13602" s="7" t="s">
        <v>10</v>
      </c>
      <c r="D13602" s="7">
        <v>18583</v>
      </c>
      <c r="E13602" s="7" t="s">
        <v>23</v>
      </c>
      <c r="F13602" s="8" t="str">
        <f ca="1">IFERROR(__xludf.DUMMYFUNCTION("IF
(
C13603=""фізична особа""
,
VLOOKUP(D13603,IMPORTRANGE(""https://docs.google.com/spreadsheets/d/14Bd19lYaqBhU8_DElYkX7l4wRkHqqCUFNJY4AfY3kHU/edit?usp=sharing  #gid=0"",""фіз особи new!relations_name""),6,FALSE)
,
(IF
(
C13603=""юридична особа""
,
VLOO"&amp;"KUP(D13603,IMPORTRANGE(""https://docs.google.com/spreadsheets/d/14Bd19lYaqBhU8_DElYkX7l4wRkHqqCUFNJY4AfY3kHU/edit?usp=sharing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2" s="7" t="s">
        <v>10</v>
      </c>
      <c r="H13602" s="7">
        <v>18578</v>
      </c>
      <c r="I13602" s="8" t="str">
        <f ca="1">IFERROR(__xludf.DUMMYFUNCTION("IF
(
G13603=""фізична особа""
,
VLOOKUP(H13603,IMPORTRANGE(""https://docs.google.com/spreadsheets/d/14Bd19lYaqBhU8_DElYkX7l4wRkHqqCUFNJY4AfY3kHU/edit?usp=sharing  #gid=0"",""фіз особи new!relations_name""),6,FALSE)
,
(IF
(
G13603=""юридична особа""
,
VLOO"&amp;"KUP(H13603,IMPORTRANGE(""https://docs.google.com/spreadsheets/d/14Bd19lYaqBhU8_DElYkX7l4wRkHqqCUFNJY4AfY3kHU/edit?usp=sharing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602" s="7" t="s">
        <v>23</v>
      </c>
    </row>
    <row r="13603" spans="1:10" ht="13.2">
      <c r="A13603" s="7">
        <v>13602</v>
      </c>
      <c r="B13603" s="7">
        <v>1</v>
      </c>
      <c r="C13603" s="7" t="s">
        <v>10</v>
      </c>
      <c r="D13603" s="7">
        <v>18583</v>
      </c>
      <c r="E13603" s="7" t="s">
        <v>23</v>
      </c>
      <c r="F13603" s="8" t="str">
        <f ca="1">IFERROR(__xludf.DUMMYFUNCTION("IF
(
C13604=""фізична особа""
,
VLOOKUP(D13604,IMPORTRANGE(""https://docs.google.com/spreadsheets/d/14Bd19lYaqBhU8_DElYkX7l4wRkHqqCUFNJY4AfY3kHU/edit?usp=sharing  #gid=0"",""фіз особи new!relations_name""),6,FALSE)
,
(IF
(
C13604=""юридична особа""
,
VLOO"&amp;"KUP(D13604,IMPORTRANGE(""https://docs.google.com/spreadsheets/d/14Bd19lYaqBhU8_DElYkX7l4wRkHqqCUFNJY4AfY3kHU/edit?usp=sharing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3" s="7" t="s">
        <v>10</v>
      </c>
      <c r="H13603" s="7">
        <v>18579</v>
      </c>
      <c r="I13603" s="8" t="str">
        <f ca="1">IFERROR(__xludf.DUMMYFUNCTION("IF
(
G13604=""фізична особа""
,
VLOOKUP(H13604,IMPORTRANGE(""https://docs.google.com/spreadsheets/d/14Bd19lYaqBhU8_DElYkX7l4wRkHqqCUFNJY4AfY3kHU/edit?usp=sharing  #gid=0"",""фіз особи new!relations_name""),6,FALSE)
,
(IF
(
G13604=""юридична особа""
,
VLOO"&amp;"KUP(H13604,IMPORTRANGE(""https://docs.google.com/spreadsheets/d/14Bd19lYaqBhU8_DElYkX7l4wRkHqqCUFNJY4AfY3kHU/edit?usp=sharing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603" s="7" t="s">
        <v>23</v>
      </c>
    </row>
    <row r="13604" spans="1:10" ht="13.2">
      <c r="A13604" s="7">
        <v>13603</v>
      </c>
      <c r="B13604" s="7">
        <v>1</v>
      </c>
      <c r="C13604" s="7" t="s">
        <v>10</v>
      </c>
      <c r="D13604" s="7">
        <v>18583</v>
      </c>
      <c r="E13604" s="7" t="s">
        <v>23</v>
      </c>
      <c r="F13604" s="8" t="str">
        <f ca="1">IFERROR(__xludf.DUMMYFUNCTION("IF
(
C13605=""фізична особа""
,
VLOOKUP(D13605,IMPORTRANGE(""https://docs.google.com/spreadsheets/d/14Bd19lYaqBhU8_DElYkX7l4wRkHqqCUFNJY4AfY3kHU/edit?usp=sharing  #gid=0"",""фіз особи new!relations_name""),6,FALSE)
,
(IF
(
C13605=""юридична особа""
,
VLOO"&amp;"KUP(D13605,IMPORTRANGE(""https://docs.google.com/spreadsheets/d/14Bd19lYaqBhU8_DElYkX7l4wRkHqqCUFNJY4AfY3kHU/edit?usp=sharing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4" s="7" t="s">
        <v>10</v>
      </c>
      <c r="H13604" s="7">
        <v>18580</v>
      </c>
      <c r="I13604" s="8" t="str">
        <f ca="1">IFERROR(__xludf.DUMMYFUNCTION("IF
(
G13605=""фізична особа""
,
VLOOKUP(H13605,IMPORTRANGE(""https://docs.google.com/spreadsheets/d/14Bd19lYaqBhU8_DElYkX7l4wRkHqqCUFNJY4AfY3kHU/edit?usp=sharing  #gid=0"",""фіз особи new!relations_name""),6,FALSE)
,
(IF
(
G13605=""юридична особа""
,
VLOO"&amp;"KUP(H13605,IMPORTRANGE(""https://docs.google.com/spreadsheets/d/14Bd19lYaqBhU8_DElYkX7l4wRkHqqCUFNJY4AfY3kHU/edit?usp=sharing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604" s="7" t="s">
        <v>23</v>
      </c>
    </row>
    <row r="13605" spans="1:10" ht="13.2">
      <c r="A13605" s="7">
        <v>13604</v>
      </c>
      <c r="B13605" s="7">
        <v>1</v>
      </c>
      <c r="C13605" s="7" t="s">
        <v>10</v>
      </c>
      <c r="D13605" s="7">
        <v>18583</v>
      </c>
      <c r="E13605" s="7" t="s">
        <v>23</v>
      </c>
      <c r="F13605" s="8" t="str">
        <f ca="1">IFERROR(__xludf.DUMMYFUNCTION("IF
(
C13606=""фізична особа""
,
VLOOKUP(D13606,IMPORTRANGE(""https://docs.google.com/spreadsheets/d/14Bd19lYaqBhU8_DElYkX7l4wRkHqqCUFNJY4AfY3kHU/edit?usp=sharing  #gid=0"",""фіз особи new!relations_name""),6,FALSE)
,
(IF
(
C13606=""юридична особа""
,
VLOO"&amp;"KUP(D13606,IMPORTRANGE(""https://docs.google.com/spreadsheets/d/14Bd19lYaqBhU8_DElYkX7l4wRkHqqCUFNJY4AfY3kHU/edit?usp=sharing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5" s="7" t="s">
        <v>10</v>
      </c>
      <c r="H13605" s="7">
        <v>18581</v>
      </c>
      <c r="I13605" s="8" t="str">
        <f ca="1">IFERROR(__xludf.DUMMYFUNCTION("IF
(
G13606=""фізична особа""
,
VLOOKUP(H13606,IMPORTRANGE(""https://docs.google.com/spreadsheets/d/14Bd19lYaqBhU8_DElYkX7l4wRkHqqCUFNJY4AfY3kHU/edit?usp=sharing  #gid=0"",""фіз особи new!relations_name""),6,FALSE)
,
(IF
(
G13606=""юридична особа""
,
VLOO"&amp;"KUP(H13606,IMPORTRANGE(""https://docs.google.com/spreadsheets/d/14Bd19lYaqBhU8_DElYkX7l4wRkHqqCUFNJY4AfY3kHU/edit?usp=sharing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605" s="7" t="s">
        <v>23</v>
      </c>
    </row>
    <row r="13606" spans="1:10" ht="13.2">
      <c r="A13606" s="7">
        <v>13605</v>
      </c>
      <c r="B13606" s="7">
        <v>1</v>
      </c>
      <c r="C13606" s="7" t="s">
        <v>10</v>
      </c>
      <c r="D13606" s="7">
        <v>18583</v>
      </c>
      <c r="E13606" s="7" t="s">
        <v>23</v>
      </c>
      <c r="F13606" s="8" t="str">
        <f ca="1">IFERROR(__xludf.DUMMYFUNCTION("IF
(
C13607=""фізична особа""
,
VLOOKUP(D13607,IMPORTRANGE(""https://docs.google.com/spreadsheets/d/14Bd19lYaqBhU8_DElYkX7l4wRkHqqCUFNJY4AfY3kHU/edit?usp=sharing  #gid=0"",""фіз особи new!relations_name""),6,FALSE)
,
(IF
(
C13607=""юридична особа""
,
VLOO"&amp;"KUP(D13607,IMPORTRANGE(""https://docs.google.com/spreadsheets/d/14Bd19lYaqBhU8_DElYkX7l4wRkHqqCUFNJY4AfY3kHU/edit?usp=sharing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6" s="7" t="s">
        <v>10</v>
      </c>
      <c r="H13606" s="7">
        <v>18582</v>
      </c>
      <c r="I13606" s="8" t="str">
        <f ca="1">IFERROR(__xludf.DUMMYFUNCTION("IF
(
G13607=""фізична особа""
,
VLOOKUP(H13607,IMPORTRANGE(""https://docs.google.com/spreadsheets/d/14Bd19lYaqBhU8_DElYkX7l4wRkHqqCUFNJY4AfY3kHU/edit?usp=sharing  #gid=0"",""фіз особи new!relations_name""),6,FALSE)
,
(IF
(
G13607=""юридична особа""
,
VLOO"&amp;"KUP(H13607,IMPORTRANGE(""https://docs.google.com/spreadsheets/d/14Bd19lYaqBhU8_DElYkX7l4wRkHqqCUFNJY4AfY3kHU/edit?usp=sharing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606" s="7" t="s">
        <v>23</v>
      </c>
    </row>
    <row r="13607" spans="1:10" ht="13.2">
      <c r="A13607" s="7">
        <v>13606</v>
      </c>
      <c r="B13607" s="7">
        <v>1</v>
      </c>
      <c r="C13607" s="7" t="s">
        <v>10</v>
      </c>
      <c r="D13607" s="7">
        <v>18583</v>
      </c>
      <c r="E13607" s="7" t="s">
        <v>23</v>
      </c>
      <c r="F13607" s="8" t="str">
        <f ca="1">IFERROR(__xludf.DUMMYFUNCTION("IF
(
C13608=""фізична особа""
,
VLOOKUP(D13608,IMPORTRANGE(""https://docs.google.com/spreadsheets/d/14Bd19lYaqBhU8_DElYkX7l4wRkHqqCUFNJY4AfY3kHU/edit?usp=sharing  #gid=0"",""фіз особи new!relations_name""),6,FALSE)
,
(IF
(
C13608=""юридична особа""
,
VLOO"&amp;"KUP(D13608,IMPORTRANGE(""https://docs.google.com/spreadsheets/d/14Bd19lYaqBhU8_DElYkX7l4wRkHqqCUFNJY4AfY3kHU/edit?usp=sharing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7" s="7" t="s">
        <v>10</v>
      </c>
      <c r="H13607" s="7">
        <v>18584</v>
      </c>
      <c r="I13607" s="8" t="str">
        <f ca="1">IFERROR(__xludf.DUMMYFUNCTION("IF
(
G13608=""фізична особа""
,
VLOOKUP(H13608,IMPORTRANGE(""https://docs.google.com/spreadsheets/d/14Bd19lYaqBhU8_DElYkX7l4wRkHqqCUFNJY4AfY3kHU/edit?usp=sharing  #gid=0"",""фіз особи new!relations_name""),6,FALSE)
,
(IF
(
G13608=""юридична особа""
,
VLOO"&amp;"KUP(H13608,IMPORTRANGE(""https://docs.google.com/spreadsheets/d/14Bd19lYaqBhU8_DElYkX7l4wRkHqqCUFNJY4AfY3kHU/edit?usp=sharing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607" s="7" t="s">
        <v>23</v>
      </c>
    </row>
    <row r="13608" spans="1:10" ht="13.2">
      <c r="A13608" s="7">
        <v>13607</v>
      </c>
      <c r="B13608" s="7">
        <v>1</v>
      </c>
      <c r="C13608" s="7" t="s">
        <v>10</v>
      </c>
      <c r="D13608" s="7">
        <v>18583</v>
      </c>
      <c r="E13608" s="7" t="s">
        <v>23</v>
      </c>
      <c r="F13608" s="8" t="str">
        <f ca="1">IFERROR(__xludf.DUMMYFUNCTION("IF
(
C13609=""фізична особа""
,
VLOOKUP(D13609,IMPORTRANGE(""https://docs.google.com/spreadsheets/d/14Bd19lYaqBhU8_DElYkX7l4wRkHqqCUFNJY4AfY3kHU/edit?usp=sharing  #gid=0"",""фіз особи new!relations_name""),6,FALSE)
,
(IF
(
C13609=""юридична особа""
,
VLOO"&amp;"KUP(D13609,IMPORTRANGE(""https://docs.google.com/spreadsheets/d/14Bd19lYaqBhU8_DElYkX7l4wRkHqqCUFNJY4AfY3kHU/edit?usp=sharing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8" s="7" t="s">
        <v>10</v>
      </c>
      <c r="H13608" s="7">
        <v>18585</v>
      </c>
      <c r="I13608" s="8" t="str">
        <f ca="1">IFERROR(__xludf.DUMMYFUNCTION("IF
(
G13609=""фізична особа""
,
VLOOKUP(H13609,IMPORTRANGE(""https://docs.google.com/spreadsheets/d/14Bd19lYaqBhU8_DElYkX7l4wRkHqqCUFNJY4AfY3kHU/edit?usp=sharing  #gid=0"",""фіз особи new!relations_name""),6,FALSE)
,
(IF
(
G13609=""юридична особа""
,
VLOO"&amp;"KUP(H13609,IMPORTRANGE(""https://docs.google.com/spreadsheets/d/14Bd19lYaqBhU8_DElYkX7l4wRkHqqCUFNJY4AfY3kHU/edit?usp=sharing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608" s="7" t="s">
        <v>23</v>
      </c>
    </row>
    <row r="13609" spans="1:10" ht="13.2">
      <c r="A13609" s="7">
        <v>13608</v>
      </c>
      <c r="B13609" s="7">
        <v>1</v>
      </c>
      <c r="C13609" s="7" t="s">
        <v>10</v>
      </c>
      <c r="D13609" s="7">
        <v>18583</v>
      </c>
      <c r="E13609" s="7" t="s">
        <v>23</v>
      </c>
      <c r="F13609" s="8" t="str">
        <f ca="1">IFERROR(__xludf.DUMMYFUNCTION("IF
(
C13610=""фізична особа""
,
VLOOKUP(D13610,IMPORTRANGE(""https://docs.google.com/spreadsheets/d/14Bd19lYaqBhU8_DElYkX7l4wRkHqqCUFNJY4AfY3kHU/edit?usp=sharing  #gid=0"",""фіз особи new!relations_name""),6,FALSE)
,
(IF
(
C13610=""юридична особа""
,
VLOO"&amp;"KUP(D13610,IMPORTRANGE(""https://docs.google.com/spreadsheets/d/14Bd19lYaqBhU8_DElYkX7l4wRkHqqCUFNJY4AfY3kHU/edit?usp=sharing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09" s="7" t="s">
        <v>10</v>
      </c>
      <c r="H13609" s="7">
        <v>18847</v>
      </c>
      <c r="I13609" s="8" t="str">
        <f ca="1">IFERROR(__xludf.DUMMYFUNCTION("IF
(
G13610=""фізична особа""
,
VLOOKUP(H13610,IMPORTRANGE(""https://docs.google.com/spreadsheets/d/14Bd19lYaqBhU8_DElYkX7l4wRkHqqCUFNJY4AfY3kHU/edit?usp=sharing  #gid=0"",""фіз особи new!relations_name""),6,FALSE)
,
(IF
(
G13610=""юридична особа""
,
VLOO"&amp;"KUP(H13610,IMPORTRANGE(""https://docs.google.com/spreadsheets/d/14Bd19lYaqBhU8_DElYkX7l4wRkHqqCUFNJY4AfY3kHU/edit?usp=sharing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609" s="7" t="s">
        <v>23</v>
      </c>
    </row>
    <row r="13610" spans="1:10" ht="13.2">
      <c r="A13610" s="7">
        <v>13609</v>
      </c>
      <c r="B13610" s="7">
        <v>1</v>
      </c>
      <c r="C13610" s="7" t="s">
        <v>10</v>
      </c>
      <c r="D13610" s="7">
        <v>18583</v>
      </c>
      <c r="E13610" s="7" t="s">
        <v>23</v>
      </c>
      <c r="F13610" s="8" t="str">
        <f ca="1">IFERROR(__xludf.DUMMYFUNCTION("IF
(
C13611=""фізична особа""
,
VLOOKUP(D13611,IMPORTRANGE(""https://docs.google.com/spreadsheets/d/14Bd19lYaqBhU8_DElYkX7l4wRkHqqCUFNJY4AfY3kHU/edit?usp=sharing  #gid=0"",""фіз особи new!relations_name""),6,FALSE)
,
(IF
(
C13611=""юридична особа""
,
VLOO"&amp;"KUP(D13611,IMPORTRANGE(""https://docs.google.com/spreadsheets/d/14Bd19lYaqBhU8_DElYkX7l4wRkHqqCUFNJY4AfY3kHU/edit?usp=sharing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0" s="7" t="s">
        <v>10</v>
      </c>
      <c r="H13610" s="7">
        <v>18848</v>
      </c>
      <c r="I13610" s="8" t="str">
        <f ca="1">IFERROR(__xludf.DUMMYFUNCTION("IF
(
G13611=""фізична особа""
,
VLOOKUP(H13611,IMPORTRANGE(""https://docs.google.com/spreadsheets/d/14Bd19lYaqBhU8_DElYkX7l4wRkHqqCUFNJY4AfY3kHU/edit?usp=sharing  #gid=0"",""фіз особи new!relations_name""),6,FALSE)
,
(IF
(
G13611=""юридична особа""
,
VLOO"&amp;"KUP(H13611,IMPORTRANGE(""https://docs.google.com/spreadsheets/d/14Bd19lYaqBhU8_DElYkX7l4wRkHqqCUFNJY4AfY3kHU/edit?usp=sharing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610" s="7" t="s">
        <v>23</v>
      </c>
    </row>
    <row r="13611" spans="1:10" ht="13.2">
      <c r="A13611" s="7">
        <v>13610</v>
      </c>
      <c r="B13611" s="7">
        <v>1</v>
      </c>
      <c r="C13611" s="7" t="s">
        <v>10</v>
      </c>
      <c r="D13611" s="7">
        <v>18583</v>
      </c>
      <c r="E13611" s="7" t="s">
        <v>23</v>
      </c>
      <c r="F13611" s="8" t="str">
        <f ca="1">IFERROR(__xludf.DUMMYFUNCTION("IF
(
C13612=""фізична особа""
,
VLOOKUP(D13612,IMPORTRANGE(""https://docs.google.com/spreadsheets/d/14Bd19lYaqBhU8_DElYkX7l4wRkHqqCUFNJY4AfY3kHU/edit?usp=sharing  #gid=0"",""фіз особи new!relations_name""),6,FALSE)
,
(IF
(
C13612=""юридична особа""
,
VLOO"&amp;"KUP(D13612,IMPORTRANGE(""https://docs.google.com/spreadsheets/d/14Bd19lYaqBhU8_DElYkX7l4wRkHqqCUFNJY4AfY3kHU/edit?usp=sharing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1" s="7" t="s">
        <v>10</v>
      </c>
      <c r="H13611" s="7">
        <v>18849</v>
      </c>
      <c r="I13611" s="8" t="str">
        <f ca="1">IFERROR(__xludf.DUMMYFUNCTION("IF
(
G13612=""фізична особа""
,
VLOOKUP(H13612,IMPORTRANGE(""https://docs.google.com/spreadsheets/d/14Bd19lYaqBhU8_DElYkX7l4wRkHqqCUFNJY4AfY3kHU/edit?usp=sharing  #gid=0"",""фіз особи new!relations_name""),6,FALSE)
,
(IF
(
G13612=""юридична особа""
,
VLOO"&amp;"KUP(H13612,IMPORTRANGE(""https://docs.google.com/spreadsheets/d/14Bd19lYaqBhU8_DElYkX7l4wRkHqqCUFNJY4AfY3kHU/edit?usp=sharing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611" s="7" t="s">
        <v>23</v>
      </c>
    </row>
    <row r="13612" spans="1:10" ht="13.2">
      <c r="A13612" s="7">
        <v>13611</v>
      </c>
      <c r="B13612" s="7">
        <v>1</v>
      </c>
      <c r="C13612" s="7" t="s">
        <v>10</v>
      </c>
      <c r="D13612" s="7">
        <v>18583</v>
      </c>
      <c r="E13612" s="7" t="s">
        <v>23</v>
      </c>
      <c r="F13612" s="8" t="str">
        <f ca="1">IFERROR(__xludf.DUMMYFUNCTION("IF
(
C13613=""фізична особа""
,
VLOOKUP(D13613,IMPORTRANGE(""https://docs.google.com/spreadsheets/d/14Bd19lYaqBhU8_DElYkX7l4wRkHqqCUFNJY4AfY3kHU/edit?usp=sharing  #gid=0"",""фіз особи new!relations_name""),6,FALSE)
,
(IF
(
C13613=""юридична особа""
,
VLOO"&amp;"KUP(D13613,IMPORTRANGE(""https://docs.google.com/spreadsheets/d/14Bd19lYaqBhU8_DElYkX7l4wRkHqqCUFNJY4AfY3kHU/edit?usp=sharing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2" s="7" t="s">
        <v>10</v>
      </c>
      <c r="H13612" s="7">
        <v>18850</v>
      </c>
      <c r="I13612" s="8" t="str">
        <f ca="1">IFERROR(__xludf.DUMMYFUNCTION("IF
(
G13613=""фізична особа""
,
VLOOKUP(H13613,IMPORTRANGE(""https://docs.google.com/spreadsheets/d/14Bd19lYaqBhU8_DElYkX7l4wRkHqqCUFNJY4AfY3kHU/edit?usp=sharing  #gid=0"",""фіз особи new!relations_name""),6,FALSE)
,
(IF
(
G13613=""юридична особа""
,
VLOO"&amp;"KUP(H13613,IMPORTRANGE(""https://docs.google.com/spreadsheets/d/14Bd19lYaqBhU8_DElYkX7l4wRkHqqCUFNJY4AfY3kHU/edit?usp=sharing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612" s="7" t="s">
        <v>23</v>
      </c>
    </row>
    <row r="13613" spans="1:10" ht="13.2">
      <c r="A13613" s="7">
        <v>13612</v>
      </c>
      <c r="B13613" s="7">
        <v>1</v>
      </c>
      <c r="C13613" s="7" t="s">
        <v>10</v>
      </c>
      <c r="D13613" s="7">
        <v>18583</v>
      </c>
      <c r="E13613" s="7" t="s">
        <v>23</v>
      </c>
      <c r="F13613" s="8" t="str">
        <f ca="1">IFERROR(__xludf.DUMMYFUNCTION("IF
(
C13614=""фізична особа""
,
VLOOKUP(D13614,IMPORTRANGE(""https://docs.google.com/spreadsheets/d/14Bd19lYaqBhU8_DElYkX7l4wRkHqqCUFNJY4AfY3kHU/edit?usp=sharing  #gid=0"",""фіз особи new!relations_name""),6,FALSE)
,
(IF
(
C13614=""юридична особа""
,
VLOO"&amp;"KUP(D13614,IMPORTRANGE(""https://docs.google.com/spreadsheets/d/14Bd19lYaqBhU8_DElYkX7l4wRkHqqCUFNJY4AfY3kHU/edit?usp=sharing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3" s="7" t="s">
        <v>10</v>
      </c>
      <c r="H13613" s="7">
        <v>18851</v>
      </c>
      <c r="I13613" s="8" t="str">
        <f ca="1">IFERROR(__xludf.DUMMYFUNCTION("IF
(
G13614=""фізична особа""
,
VLOOKUP(H13614,IMPORTRANGE(""https://docs.google.com/spreadsheets/d/14Bd19lYaqBhU8_DElYkX7l4wRkHqqCUFNJY4AfY3kHU/edit?usp=sharing  #gid=0"",""фіз особи new!relations_name""),6,FALSE)
,
(IF
(
G13614=""юридична особа""
,
VLOO"&amp;"KUP(H13614,IMPORTRANGE(""https://docs.google.com/spreadsheets/d/14Bd19lYaqBhU8_DElYkX7l4wRkHqqCUFNJY4AfY3kHU/edit?usp=sharing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613" s="7" t="s">
        <v>23</v>
      </c>
    </row>
    <row r="13614" spans="1:10" ht="13.2">
      <c r="A13614" s="7">
        <v>13613</v>
      </c>
      <c r="B13614" s="7">
        <v>1</v>
      </c>
      <c r="C13614" s="7" t="s">
        <v>10</v>
      </c>
      <c r="D13614" s="7">
        <v>18583</v>
      </c>
      <c r="E13614" s="7" t="s">
        <v>23</v>
      </c>
      <c r="F13614" s="8" t="str">
        <f ca="1">IFERROR(__xludf.DUMMYFUNCTION("IF
(
C13615=""фізична особа""
,
VLOOKUP(D13615,IMPORTRANGE(""https://docs.google.com/spreadsheets/d/14Bd19lYaqBhU8_DElYkX7l4wRkHqqCUFNJY4AfY3kHU/edit?usp=sharing  #gid=0"",""фіз особи new!relations_name""),6,FALSE)
,
(IF
(
C13615=""юридична особа""
,
VLOO"&amp;"KUP(D13615,IMPORTRANGE(""https://docs.google.com/spreadsheets/d/14Bd19lYaqBhU8_DElYkX7l4wRkHqqCUFNJY4AfY3kHU/edit?usp=sharing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4" s="7" t="s">
        <v>10</v>
      </c>
      <c r="H13614" s="7">
        <v>18852</v>
      </c>
      <c r="I13614" s="8" t="str">
        <f ca="1">IFERROR(__xludf.DUMMYFUNCTION("IF
(
G13615=""фізична особа""
,
VLOOKUP(H13615,IMPORTRANGE(""https://docs.google.com/spreadsheets/d/14Bd19lYaqBhU8_DElYkX7l4wRkHqqCUFNJY4AfY3kHU/edit?usp=sharing  #gid=0"",""фіз особи new!relations_name""),6,FALSE)
,
(IF
(
G13615=""юридична особа""
,
VLOO"&amp;"KUP(H13615,IMPORTRANGE(""https://docs.google.com/spreadsheets/d/14Bd19lYaqBhU8_DElYkX7l4wRkHqqCUFNJY4AfY3kHU/edit?usp=sharing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614" s="7" t="s">
        <v>23</v>
      </c>
    </row>
    <row r="13615" spans="1:10" ht="13.2">
      <c r="A13615" s="7">
        <v>13614</v>
      </c>
      <c r="B13615" s="7">
        <v>1</v>
      </c>
      <c r="C13615" s="7" t="s">
        <v>10</v>
      </c>
      <c r="D13615" s="7">
        <v>18583</v>
      </c>
      <c r="E13615" s="7" t="s">
        <v>23</v>
      </c>
      <c r="F13615" s="8" t="str">
        <f ca="1">IFERROR(__xludf.DUMMYFUNCTION("IF
(
C13616=""фізична особа""
,
VLOOKUP(D13616,IMPORTRANGE(""https://docs.google.com/spreadsheets/d/14Bd19lYaqBhU8_DElYkX7l4wRkHqqCUFNJY4AfY3kHU/edit?usp=sharing  #gid=0"",""фіз особи new!relations_name""),6,FALSE)
,
(IF
(
C13616=""юридична особа""
,
VLOO"&amp;"KUP(D13616,IMPORTRANGE(""https://docs.google.com/spreadsheets/d/14Bd19lYaqBhU8_DElYkX7l4wRkHqqCUFNJY4AfY3kHU/edit?usp=sharing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5" s="7" t="s">
        <v>10</v>
      </c>
      <c r="H13615" s="7">
        <v>18853</v>
      </c>
      <c r="I13615" s="8" t="str">
        <f ca="1">IFERROR(__xludf.DUMMYFUNCTION("IF
(
G13616=""фізична особа""
,
VLOOKUP(H13616,IMPORTRANGE(""https://docs.google.com/spreadsheets/d/14Bd19lYaqBhU8_DElYkX7l4wRkHqqCUFNJY4AfY3kHU/edit?usp=sharing  #gid=0"",""фіз особи new!relations_name""),6,FALSE)
,
(IF
(
G13616=""юридична особа""
,
VLOO"&amp;"KUP(H13616,IMPORTRANGE(""https://docs.google.com/spreadsheets/d/14Bd19lYaqBhU8_DElYkX7l4wRkHqqCUFNJY4AfY3kHU/edit?usp=sharing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615" s="7" t="s">
        <v>23</v>
      </c>
    </row>
    <row r="13616" spans="1:10" ht="13.2">
      <c r="A13616" s="7">
        <v>13615</v>
      </c>
      <c r="B13616" s="7">
        <v>1</v>
      </c>
      <c r="C13616" s="7" t="s">
        <v>10</v>
      </c>
      <c r="D13616" s="7">
        <v>18583</v>
      </c>
      <c r="E13616" s="7" t="s">
        <v>23</v>
      </c>
      <c r="F13616" s="8" t="str">
        <f ca="1">IFERROR(__xludf.DUMMYFUNCTION("IF
(
C13617=""фізична особа""
,
VLOOKUP(D13617,IMPORTRANGE(""https://docs.google.com/spreadsheets/d/14Bd19lYaqBhU8_DElYkX7l4wRkHqqCUFNJY4AfY3kHU/edit?usp=sharing  #gid=0"",""фіз особи new!relations_name""),6,FALSE)
,
(IF
(
C13617=""юридична особа""
,
VLOO"&amp;"KUP(D13617,IMPORTRANGE(""https://docs.google.com/spreadsheets/d/14Bd19lYaqBhU8_DElYkX7l4wRkHqqCUFNJY4AfY3kHU/edit?usp=sharing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6" s="7" t="s">
        <v>10</v>
      </c>
      <c r="H13616" s="7">
        <v>18854</v>
      </c>
      <c r="I13616" s="8" t="str">
        <f ca="1">IFERROR(__xludf.DUMMYFUNCTION("IF
(
G13617=""фізична особа""
,
VLOOKUP(H13617,IMPORTRANGE(""https://docs.google.com/spreadsheets/d/14Bd19lYaqBhU8_DElYkX7l4wRkHqqCUFNJY4AfY3kHU/edit?usp=sharing  #gid=0"",""фіз особи new!relations_name""),6,FALSE)
,
(IF
(
G13617=""юридична особа""
,
VLOO"&amp;"KUP(H13617,IMPORTRANGE(""https://docs.google.com/spreadsheets/d/14Bd19lYaqBhU8_DElYkX7l4wRkHqqCUFNJY4AfY3kHU/edit?usp=sharing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616" s="7" t="s">
        <v>23</v>
      </c>
    </row>
    <row r="13617" spans="1:10" ht="13.2">
      <c r="A13617" s="7">
        <v>13616</v>
      </c>
      <c r="B13617" s="7">
        <v>1</v>
      </c>
      <c r="C13617" s="7" t="s">
        <v>10</v>
      </c>
      <c r="D13617" s="7">
        <v>18583</v>
      </c>
      <c r="E13617" s="7" t="s">
        <v>23</v>
      </c>
      <c r="F13617" s="8" t="str">
        <f ca="1">IFERROR(__xludf.DUMMYFUNCTION("IF
(
C13618=""фізична особа""
,
VLOOKUP(D13618,IMPORTRANGE(""https://docs.google.com/spreadsheets/d/14Bd19lYaqBhU8_DElYkX7l4wRkHqqCUFNJY4AfY3kHU/edit?usp=sharing  #gid=0"",""фіз особи new!relations_name""),6,FALSE)
,
(IF
(
C13618=""юридична особа""
,
VLOO"&amp;"KUP(D13618,IMPORTRANGE(""https://docs.google.com/spreadsheets/d/14Bd19lYaqBhU8_DElYkX7l4wRkHqqCUFNJY4AfY3kHU/edit?usp=sharing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7" s="7" t="s">
        <v>10</v>
      </c>
      <c r="H13617" s="7">
        <v>18855</v>
      </c>
      <c r="I13617" s="8" t="str">
        <f ca="1">IFERROR(__xludf.DUMMYFUNCTION("IF
(
G13618=""фізична особа""
,
VLOOKUP(H13618,IMPORTRANGE(""https://docs.google.com/spreadsheets/d/14Bd19lYaqBhU8_DElYkX7l4wRkHqqCUFNJY4AfY3kHU/edit?usp=sharing  #gid=0"",""фіз особи new!relations_name""),6,FALSE)
,
(IF
(
G13618=""юридична особа""
,
VLOO"&amp;"KUP(H13618,IMPORTRANGE(""https://docs.google.com/spreadsheets/d/14Bd19lYaqBhU8_DElYkX7l4wRkHqqCUFNJY4AfY3kHU/edit?usp=sharing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617" s="7" t="s">
        <v>23</v>
      </c>
    </row>
    <row r="13618" spans="1:10" ht="13.2">
      <c r="A13618" s="7">
        <v>13617</v>
      </c>
      <c r="B13618" s="7">
        <v>1</v>
      </c>
      <c r="C13618" s="7" t="s">
        <v>10</v>
      </c>
      <c r="D13618" s="7">
        <v>18583</v>
      </c>
      <c r="E13618" s="7" t="s">
        <v>23</v>
      </c>
      <c r="F13618" s="8" t="str">
        <f ca="1">IFERROR(__xludf.DUMMYFUNCTION("IF
(
C13619=""фізична особа""
,
VLOOKUP(D13619,IMPORTRANGE(""https://docs.google.com/spreadsheets/d/14Bd19lYaqBhU8_DElYkX7l4wRkHqqCUFNJY4AfY3kHU/edit?usp=sharing  #gid=0"",""фіз особи new!relations_name""),6,FALSE)
,
(IF
(
C13619=""юридична особа""
,
VLOO"&amp;"KUP(D13619,IMPORTRANGE(""https://docs.google.com/spreadsheets/d/14Bd19lYaqBhU8_DElYkX7l4wRkHqqCUFNJY4AfY3kHU/edit?usp=sharing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G13618" s="7" t="s">
        <v>10</v>
      </c>
      <c r="H13618" s="7">
        <v>18856</v>
      </c>
      <c r="I13618" s="8" t="str">
        <f ca="1">IFERROR(__xludf.DUMMYFUNCTION("IF
(
G13619=""фізична особа""
,
VLOOKUP(H13619,IMPORTRANGE(""https://docs.google.com/spreadsheets/d/14Bd19lYaqBhU8_DElYkX7l4wRkHqqCUFNJY4AfY3kHU/edit?usp=sharing  #gid=0"",""фіз особи new!relations_name""),6,FALSE)
,
(IF
(
G13619=""юридична особа""
,
VLOO"&amp;"KUP(H13619,IMPORTRANGE(""https://docs.google.com/spreadsheets/d/14Bd19lYaqBhU8_DElYkX7l4wRkHqqCUFNJY4AfY3kHU/edit?usp=sharing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618" s="7" t="s">
        <v>23</v>
      </c>
    </row>
    <row r="13619" spans="1:10" ht="13.2">
      <c r="A13619" s="7">
        <v>13618</v>
      </c>
      <c r="B13619" s="7">
        <v>1</v>
      </c>
      <c r="C13619" s="7" t="s">
        <v>10</v>
      </c>
      <c r="D13619" s="7">
        <v>18584</v>
      </c>
      <c r="E13619" s="7" t="s">
        <v>23</v>
      </c>
      <c r="F13619" s="8" t="str">
        <f ca="1">IFERROR(__xludf.DUMMYFUNCTION("IF
(
C13620=""фізична особа""
,
VLOOKUP(D13620,IMPORTRANGE(""https://docs.google.com/spreadsheets/d/14Bd19lYaqBhU8_DElYkX7l4wRkHqqCUFNJY4AfY3kHU/edit?usp=sharing  #gid=0"",""фіз особи new!relations_name""),6,FALSE)
,
(IF
(
C13620=""юридична особа""
,
VLOO"&amp;"KUP(D13620,IMPORTRANGE(""https://docs.google.com/spreadsheets/d/14Bd19lYaqBhU8_DElYkX7l4wRkHqqCUFNJY4AfY3kHU/edit?usp=sharing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19" s="7" t="s">
        <v>10</v>
      </c>
      <c r="H13619" s="7">
        <v>18576</v>
      </c>
      <c r="I13619" s="8" t="str">
        <f ca="1">IFERROR(__xludf.DUMMYFUNCTION("IF
(
G13620=""фізична особа""
,
VLOOKUP(H13620,IMPORTRANGE(""https://docs.google.com/spreadsheets/d/14Bd19lYaqBhU8_DElYkX7l4wRkHqqCUFNJY4AfY3kHU/edit?usp=sharing  #gid=0"",""фіз особи new!relations_name""),6,FALSE)
,
(IF
(
G13620=""юридична особа""
,
VLOO"&amp;"KUP(H13620,IMPORTRANGE(""https://docs.google.com/spreadsheets/d/14Bd19lYaqBhU8_DElYkX7l4wRkHqqCUFNJY4AfY3kHU/edit?usp=sharing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619" s="7" t="s">
        <v>23</v>
      </c>
    </row>
    <row r="13620" spans="1:10" ht="13.2">
      <c r="A13620" s="7">
        <v>13619</v>
      </c>
      <c r="B13620" s="7">
        <v>1</v>
      </c>
      <c r="C13620" s="7" t="s">
        <v>10</v>
      </c>
      <c r="D13620" s="7">
        <v>18584</v>
      </c>
      <c r="E13620" s="7" t="s">
        <v>23</v>
      </c>
      <c r="F13620" s="8" t="str">
        <f ca="1">IFERROR(__xludf.DUMMYFUNCTION("IF
(
C13621=""фізична особа""
,
VLOOKUP(D13621,IMPORTRANGE(""https://docs.google.com/spreadsheets/d/14Bd19lYaqBhU8_DElYkX7l4wRkHqqCUFNJY4AfY3kHU/edit?usp=sharing  #gid=0"",""фіз особи new!relations_name""),6,FALSE)
,
(IF
(
C13621=""юридична особа""
,
VLOO"&amp;"KUP(D13621,IMPORTRANGE(""https://docs.google.com/spreadsheets/d/14Bd19lYaqBhU8_DElYkX7l4wRkHqqCUFNJY4AfY3kHU/edit?usp=sharing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0" s="7" t="s">
        <v>10</v>
      </c>
      <c r="H13620" s="7">
        <v>18577</v>
      </c>
      <c r="I13620" s="8" t="str">
        <f ca="1">IFERROR(__xludf.DUMMYFUNCTION("IF
(
G13621=""фізична особа""
,
VLOOKUP(H13621,IMPORTRANGE(""https://docs.google.com/spreadsheets/d/14Bd19lYaqBhU8_DElYkX7l4wRkHqqCUFNJY4AfY3kHU/edit?usp=sharing  #gid=0"",""фіз особи new!relations_name""),6,FALSE)
,
(IF
(
G13621=""юридична особа""
,
VLOO"&amp;"KUP(H13621,IMPORTRANGE(""https://docs.google.com/spreadsheets/d/14Bd19lYaqBhU8_DElYkX7l4wRkHqqCUFNJY4AfY3kHU/edit?usp=sharing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620" s="7" t="s">
        <v>23</v>
      </c>
    </row>
    <row r="13621" spans="1:10" ht="13.2">
      <c r="A13621" s="7">
        <v>13620</v>
      </c>
      <c r="B13621" s="7">
        <v>1</v>
      </c>
      <c r="C13621" s="7" t="s">
        <v>10</v>
      </c>
      <c r="D13621" s="7">
        <v>18584</v>
      </c>
      <c r="E13621" s="7" t="s">
        <v>23</v>
      </c>
      <c r="F13621" s="8" t="str">
        <f ca="1">IFERROR(__xludf.DUMMYFUNCTION("IF
(
C13622=""фізична особа""
,
VLOOKUP(D13622,IMPORTRANGE(""https://docs.google.com/spreadsheets/d/14Bd19lYaqBhU8_DElYkX7l4wRkHqqCUFNJY4AfY3kHU/edit?usp=sharing  #gid=0"",""фіз особи new!relations_name""),6,FALSE)
,
(IF
(
C13622=""юридична особа""
,
VLOO"&amp;"KUP(D13622,IMPORTRANGE(""https://docs.google.com/spreadsheets/d/14Bd19lYaqBhU8_DElYkX7l4wRkHqqCUFNJY4AfY3kHU/edit?usp=sharing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1" s="7" t="s">
        <v>10</v>
      </c>
      <c r="H13621" s="7">
        <v>18578</v>
      </c>
      <c r="I13621" s="8" t="str">
        <f ca="1">IFERROR(__xludf.DUMMYFUNCTION("IF
(
G13622=""фізична особа""
,
VLOOKUP(H13622,IMPORTRANGE(""https://docs.google.com/spreadsheets/d/14Bd19lYaqBhU8_DElYkX7l4wRkHqqCUFNJY4AfY3kHU/edit?usp=sharing  #gid=0"",""фіз особи new!relations_name""),6,FALSE)
,
(IF
(
G13622=""юридична особа""
,
VLOO"&amp;"KUP(H13622,IMPORTRANGE(""https://docs.google.com/spreadsheets/d/14Bd19lYaqBhU8_DElYkX7l4wRkHqqCUFNJY4AfY3kHU/edit?usp=sharing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621" s="7" t="s">
        <v>23</v>
      </c>
    </row>
    <row r="13622" spans="1:10" ht="13.2">
      <c r="A13622" s="7">
        <v>13621</v>
      </c>
      <c r="B13622" s="7">
        <v>1</v>
      </c>
      <c r="C13622" s="7" t="s">
        <v>10</v>
      </c>
      <c r="D13622" s="7">
        <v>18584</v>
      </c>
      <c r="E13622" s="7" t="s">
        <v>23</v>
      </c>
      <c r="F13622" s="8" t="str">
        <f ca="1">IFERROR(__xludf.DUMMYFUNCTION("IF
(
C13623=""фізична особа""
,
VLOOKUP(D13623,IMPORTRANGE(""https://docs.google.com/spreadsheets/d/14Bd19lYaqBhU8_DElYkX7l4wRkHqqCUFNJY4AfY3kHU/edit?usp=sharing  #gid=0"",""фіз особи new!relations_name""),6,FALSE)
,
(IF
(
C13623=""юридична особа""
,
VLOO"&amp;"KUP(D13623,IMPORTRANGE(""https://docs.google.com/spreadsheets/d/14Bd19lYaqBhU8_DElYkX7l4wRkHqqCUFNJY4AfY3kHU/edit?usp=sharing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2" s="7" t="s">
        <v>10</v>
      </c>
      <c r="H13622" s="7">
        <v>18579</v>
      </c>
      <c r="I13622" s="8" t="str">
        <f ca="1">IFERROR(__xludf.DUMMYFUNCTION("IF
(
G13623=""фізична особа""
,
VLOOKUP(H13623,IMPORTRANGE(""https://docs.google.com/spreadsheets/d/14Bd19lYaqBhU8_DElYkX7l4wRkHqqCUFNJY4AfY3kHU/edit?usp=sharing  #gid=0"",""фіз особи new!relations_name""),6,FALSE)
,
(IF
(
G13623=""юридична особа""
,
VLOO"&amp;"KUP(H13623,IMPORTRANGE(""https://docs.google.com/spreadsheets/d/14Bd19lYaqBhU8_DElYkX7l4wRkHqqCUFNJY4AfY3kHU/edit?usp=sharing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622" s="7" t="s">
        <v>23</v>
      </c>
    </row>
    <row r="13623" spans="1:10" ht="13.2">
      <c r="A13623" s="7">
        <v>13622</v>
      </c>
      <c r="B13623" s="7">
        <v>1</v>
      </c>
      <c r="C13623" s="7" t="s">
        <v>10</v>
      </c>
      <c r="D13623" s="7">
        <v>18584</v>
      </c>
      <c r="E13623" s="7" t="s">
        <v>23</v>
      </c>
      <c r="F13623" s="8" t="str">
        <f ca="1">IFERROR(__xludf.DUMMYFUNCTION("IF
(
C13624=""фізична особа""
,
VLOOKUP(D13624,IMPORTRANGE(""https://docs.google.com/spreadsheets/d/14Bd19lYaqBhU8_DElYkX7l4wRkHqqCUFNJY4AfY3kHU/edit?usp=sharing  #gid=0"",""фіз особи new!relations_name""),6,FALSE)
,
(IF
(
C13624=""юридична особа""
,
VLOO"&amp;"KUP(D13624,IMPORTRANGE(""https://docs.google.com/spreadsheets/d/14Bd19lYaqBhU8_DElYkX7l4wRkHqqCUFNJY4AfY3kHU/edit?usp=sharing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3" s="7" t="s">
        <v>10</v>
      </c>
      <c r="H13623" s="7">
        <v>18580</v>
      </c>
      <c r="I13623" s="8" t="str">
        <f ca="1">IFERROR(__xludf.DUMMYFUNCTION("IF
(
G13624=""фізична особа""
,
VLOOKUP(H13624,IMPORTRANGE(""https://docs.google.com/spreadsheets/d/14Bd19lYaqBhU8_DElYkX7l4wRkHqqCUFNJY4AfY3kHU/edit?usp=sharing  #gid=0"",""фіз особи new!relations_name""),6,FALSE)
,
(IF
(
G13624=""юридична особа""
,
VLOO"&amp;"KUP(H13624,IMPORTRANGE(""https://docs.google.com/spreadsheets/d/14Bd19lYaqBhU8_DElYkX7l4wRkHqqCUFNJY4AfY3kHU/edit?usp=sharing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623" s="7" t="s">
        <v>23</v>
      </c>
    </row>
    <row r="13624" spans="1:10" ht="13.2">
      <c r="A13624" s="7">
        <v>13623</v>
      </c>
      <c r="B13624" s="7">
        <v>1</v>
      </c>
      <c r="C13624" s="7" t="s">
        <v>10</v>
      </c>
      <c r="D13624" s="7">
        <v>18584</v>
      </c>
      <c r="E13624" s="7" t="s">
        <v>23</v>
      </c>
      <c r="F13624" s="8" t="str">
        <f ca="1">IFERROR(__xludf.DUMMYFUNCTION("IF
(
C13625=""фізична особа""
,
VLOOKUP(D13625,IMPORTRANGE(""https://docs.google.com/spreadsheets/d/14Bd19lYaqBhU8_DElYkX7l4wRkHqqCUFNJY4AfY3kHU/edit?usp=sharing  #gid=0"",""фіз особи new!relations_name""),6,FALSE)
,
(IF
(
C13625=""юридична особа""
,
VLOO"&amp;"KUP(D13625,IMPORTRANGE(""https://docs.google.com/spreadsheets/d/14Bd19lYaqBhU8_DElYkX7l4wRkHqqCUFNJY4AfY3kHU/edit?usp=sharing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4" s="7" t="s">
        <v>10</v>
      </c>
      <c r="H13624" s="7">
        <v>18581</v>
      </c>
      <c r="I13624" s="8" t="str">
        <f ca="1">IFERROR(__xludf.DUMMYFUNCTION("IF
(
G13625=""фізична особа""
,
VLOOKUP(H13625,IMPORTRANGE(""https://docs.google.com/spreadsheets/d/14Bd19lYaqBhU8_DElYkX7l4wRkHqqCUFNJY4AfY3kHU/edit?usp=sharing  #gid=0"",""фіз особи new!relations_name""),6,FALSE)
,
(IF
(
G13625=""юридична особа""
,
VLOO"&amp;"KUP(H13625,IMPORTRANGE(""https://docs.google.com/spreadsheets/d/14Bd19lYaqBhU8_DElYkX7l4wRkHqqCUFNJY4AfY3kHU/edit?usp=sharing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624" s="7" t="s">
        <v>23</v>
      </c>
    </row>
    <row r="13625" spans="1:10" ht="13.2">
      <c r="A13625" s="7">
        <v>13624</v>
      </c>
      <c r="B13625" s="7">
        <v>1</v>
      </c>
      <c r="C13625" s="7" t="s">
        <v>10</v>
      </c>
      <c r="D13625" s="7">
        <v>18584</v>
      </c>
      <c r="E13625" s="7" t="s">
        <v>23</v>
      </c>
      <c r="F13625" s="8" t="str">
        <f ca="1">IFERROR(__xludf.DUMMYFUNCTION("IF
(
C13626=""фізична особа""
,
VLOOKUP(D13626,IMPORTRANGE(""https://docs.google.com/spreadsheets/d/14Bd19lYaqBhU8_DElYkX7l4wRkHqqCUFNJY4AfY3kHU/edit?usp=sharing  #gid=0"",""фіз особи new!relations_name""),6,FALSE)
,
(IF
(
C13626=""юридична особа""
,
VLOO"&amp;"KUP(D13626,IMPORTRANGE(""https://docs.google.com/spreadsheets/d/14Bd19lYaqBhU8_DElYkX7l4wRkHqqCUFNJY4AfY3kHU/edit?usp=sharing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5" s="7" t="s">
        <v>10</v>
      </c>
      <c r="H13625" s="7">
        <v>18582</v>
      </c>
      <c r="I13625" s="8" t="str">
        <f ca="1">IFERROR(__xludf.DUMMYFUNCTION("IF
(
G13626=""фізична особа""
,
VLOOKUP(H13626,IMPORTRANGE(""https://docs.google.com/spreadsheets/d/14Bd19lYaqBhU8_DElYkX7l4wRkHqqCUFNJY4AfY3kHU/edit?usp=sharing  #gid=0"",""фіз особи new!relations_name""),6,FALSE)
,
(IF
(
G13626=""юридична особа""
,
VLOO"&amp;"KUP(H13626,IMPORTRANGE(""https://docs.google.com/spreadsheets/d/14Bd19lYaqBhU8_DElYkX7l4wRkHqqCUFNJY4AfY3kHU/edit?usp=sharing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625" s="7" t="s">
        <v>23</v>
      </c>
    </row>
    <row r="13626" spans="1:10" ht="13.2">
      <c r="A13626" s="7">
        <v>13625</v>
      </c>
      <c r="B13626" s="7">
        <v>1</v>
      </c>
      <c r="C13626" s="7" t="s">
        <v>10</v>
      </c>
      <c r="D13626" s="7">
        <v>18584</v>
      </c>
      <c r="E13626" s="7" t="s">
        <v>23</v>
      </c>
      <c r="F13626" s="8" t="str">
        <f ca="1">IFERROR(__xludf.DUMMYFUNCTION("IF
(
C13627=""фізична особа""
,
VLOOKUP(D13627,IMPORTRANGE(""https://docs.google.com/spreadsheets/d/14Bd19lYaqBhU8_DElYkX7l4wRkHqqCUFNJY4AfY3kHU/edit?usp=sharing  #gid=0"",""фіз особи new!relations_name""),6,FALSE)
,
(IF
(
C13627=""юридична особа""
,
VLOO"&amp;"KUP(D13627,IMPORTRANGE(""https://docs.google.com/spreadsheets/d/14Bd19lYaqBhU8_DElYkX7l4wRkHqqCUFNJY4AfY3kHU/edit?usp=sharing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6" s="7" t="s">
        <v>10</v>
      </c>
      <c r="H13626" s="7">
        <v>18583</v>
      </c>
      <c r="I13626" s="8" t="str">
        <f ca="1">IFERROR(__xludf.DUMMYFUNCTION("IF
(
G13627=""фізична особа""
,
VLOOKUP(H13627,IMPORTRANGE(""https://docs.google.com/spreadsheets/d/14Bd19lYaqBhU8_DElYkX7l4wRkHqqCUFNJY4AfY3kHU/edit?usp=sharing  #gid=0"",""фіз особи new!relations_name""),6,FALSE)
,
(IF
(
G13627=""юридична особа""
,
VLOO"&amp;"KUP(H13627,IMPORTRANGE(""https://docs.google.com/spreadsheets/d/14Bd19lYaqBhU8_DElYkX7l4wRkHqqCUFNJY4AfY3kHU/edit?usp=sharing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626" s="7" t="s">
        <v>23</v>
      </c>
    </row>
    <row r="13627" spans="1:10" ht="13.2">
      <c r="A13627" s="7">
        <v>13626</v>
      </c>
      <c r="B13627" s="7">
        <v>1</v>
      </c>
      <c r="C13627" s="7" t="s">
        <v>10</v>
      </c>
      <c r="D13627" s="7">
        <v>18584</v>
      </c>
      <c r="E13627" s="7" t="s">
        <v>23</v>
      </c>
      <c r="F13627" s="8" t="str">
        <f ca="1">IFERROR(__xludf.DUMMYFUNCTION("IF
(
C13628=""фізична особа""
,
VLOOKUP(D13628,IMPORTRANGE(""https://docs.google.com/spreadsheets/d/14Bd19lYaqBhU8_DElYkX7l4wRkHqqCUFNJY4AfY3kHU/edit?usp=sharing  #gid=0"",""фіз особи new!relations_name""),6,FALSE)
,
(IF
(
C13628=""юридична особа""
,
VLOO"&amp;"KUP(D13628,IMPORTRANGE(""https://docs.google.com/spreadsheets/d/14Bd19lYaqBhU8_DElYkX7l4wRkHqqCUFNJY4AfY3kHU/edit?usp=sharing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7" s="7" t="s">
        <v>10</v>
      </c>
      <c r="H13627" s="7">
        <v>18585</v>
      </c>
      <c r="I13627" s="8" t="str">
        <f ca="1">IFERROR(__xludf.DUMMYFUNCTION("IF
(
G13628=""фізична особа""
,
VLOOKUP(H13628,IMPORTRANGE(""https://docs.google.com/spreadsheets/d/14Bd19lYaqBhU8_DElYkX7l4wRkHqqCUFNJY4AfY3kHU/edit?usp=sharing  #gid=0"",""фіз особи new!relations_name""),6,FALSE)
,
(IF
(
G13628=""юридична особа""
,
VLOO"&amp;"KUP(H13628,IMPORTRANGE(""https://docs.google.com/spreadsheets/d/14Bd19lYaqBhU8_DElYkX7l4wRkHqqCUFNJY4AfY3kHU/edit?usp=sharing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627" s="7" t="s">
        <v>23</v>
      </c>
    </row>
    <row r="13628" spans="1:10" ht="13.2">
      <c r="A13628" s="7">
        <v>13627</v>
      </c>
      <c r="B13628" s="7">
        <v>1</v>
      </c>
      <c r="C13628" s="7" t="s">
        <v>10</v>
      </c>
      <c r="D13628" s="7">
        <v>18584</v>
      </c>
      <c r="E13628" s="7" t="s">
        <v>23</v>
      </c>
      <c r="F13628" s="8" t="str">
        <f ca="1">IFERROR(__xludf.DUMMYFUNCTION("IF
(
C13629=""фізична особа""
,
VLOOKUP(D13629,IMPORTRANGE(""https://docs.google.com/spreadsheets/d/14Bd19lYaqBhU8_DElYkX7l4wRkHqqCUFNJY4AfY3kHU/edit?usp=sharing  #gid=0"",""фіз особи new!relations_name""),6,FALSE)
,
(IF
(
C13629=""юридична особа""
,
VLOO"&amp;"KUP(D13629,IMPORTRANGE(""https://docs.google.com/spreadsheets/d/14Bd19lYaqBhU8_DElYkX7l4wRkHqqCUFNJY4AfY3kHU/edit?usp=sharing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8" s="7" t="s">
        <v>10</v>
      </c>
      <c r="H13628" s="7">
        <v>18847</v>
      </c>
      <c r="I13628" s="8" t="str">
        <f ca="1">IFERROR(__xludf.DUMMYFUNCTION("IF
(
G13629=""фізична особа""
,
VLOOKUP(H13629,IMPORTRANGE(""https://docs.google.com/spreadsheets/d/14Bd19lYaqBhU8_DElYkX7l4wRkHqqCUFNJY4AfY3kHU/edit?usp=sharing  #gid=0"",""фіз особи new!relations_name""),6,FALSE)
,
(IF
(
G13629=""юридична особа""
,
VLOO"&amp;"KUP(H13629,IMPORTRANGE(""https://docs.google.com/spreadsheets/d/14Bd19lYaqBhU8_DElYkX7l4wRkHqqCUFNJY4AfY3kHU/edit?usp=sharing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628" s="7" t="s">
        <v>23</v>
      </c>
    </row>
    <row r="13629" spans="1:10" ht="13.2">
      <c r="A13629" s="7">
        <v>13628</v>
      </c>
      <c r="B13629" s="7">
        <v>1</v>
      </c>
      <c r="C13629" s="7" t="s">
        <v>10</v>
      </c>
      <c r="D13629" s="7">
        <v>18584</v>
      </c>
      <c r="E13629" s="7" t="s">
        <v>23</v>
      </c>
      <c r="F13629" s="8" t="str">
        <f ca="1">IFERROR(__xludf.DUMMYFUNCTION("IF
(
C13630=""фізична особа""
,
VLOOKUP(D13630,IMPORTRANGE(""https://docs.google.com/spreadsheets/d/14Bd19lYaqBhU8_DElYkX7l4wRkHqqCUFNJY4AfY3kHU/edit?usp=sharing  #gid=0"",""фіз особи new!relations_name""),6,FALSE)
,
(IF
(
C13630=""юридична особа""
,
VLOO"&amp;"KUP(D13630,IMPORTRANGE(""https://docs.google.com/spreadsheets/d/14Bd19lYaqBhU8_DElYkX7l4wRkHqqCUFNJY4AfY3kHU/edit?usp=sharing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29" s="7" t="s">
        <v>10</v>
      </c>
      <c r="H13629" s="7">
        <v>18848</v>
      </c>
      <c r="I13629" s="8" t="str">
        <f ca="1">IFERROR(__xludf.DUMMYFUNCTION("IF
(
G13630=""фізична особа""
,
VLOOKUP(H13630,IMPORTRANGE(""https://docs.google.com/spreadsheets/d/14Bd19lYaqBhU8_DElYkX7l4wRkHqqCUFNJY4AfY3kHU/edit?usp=sharing  #gid=0"",""фіз особи new!relations_name""),6,FALSE)
,
(IF
(
G13630=""юридична особа""
,
VLOO"&amp;"KUP(H13630,IMPORTRANGE(""https://docs.google.com/spreadsheets/d/14Bd19lYaqBhU8_DElYkX7l4wRkHqqCUFNJY4AfY3kHU/edit?usp=sharing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629" s="7" t="s">
        <v>23</v>
      </c>
    </row>
    <row r="13630" spans="1:10" ht="13.2">
      <c r="A13630" s="7">
        <v>13629</v>
      </c>
      <c r="B13630" s="7">
        <v>1</v>
      </c>
      <c r="C13630" s="7" t="s">
        <v>10</v>
      </c>
      <c r="D13630" s="7">
        <v>18584</v>
      </c>
      <c r="E13630" s="7" t="s">
        <v>23</v>
      </c>
      <c r="F13630" s="8" t="str">
        <f ca="1">IFERROR(__xludf.DUMMYFUNCTION("IF
(
C13631=""фізична особа""
,
VLOOKUP(D13631,IMPORTRANGE(""https://docs.google.com/spreadsheets/d/14Bd19lYaqBhU8_DElYkX7l4wRkHqqCUFNJY4AfY3kHU/edit?usp=sharing  #gid=0"",""фіз особи new!relations_name""),6,FALSE)
,
(IF
(
C13631=""юридична особа""
,
VLOO"&amp;"KUP(D13631,IMPORTRANGE(""https://docs.google.com/spreadsheets/d/14Bd19lYaqBhU8_DElYkX7l4wRkHqqCUFNJY4AfY3kHU/edit?usp=sharing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0" s="7" t="s">
        <v>10</v>
      </c>
      <c r="H13630" s="7">
        <v>18849</v>
      </c>
      <c r="I13630" s="8" t="str">
        <f ca="1">IFERROR(__xludf.DUMMYFUNCTION("IF
(
G13631=""фізична особа""
,
VLOOKUP(H13631,IMPORTRANGE(""https://docs.google.com/spreadsheets/d/14Bd19lYaqBhU8_DElYkX7l4wRkHqqCUFNJY4AfY3kHU/edit?usp=sharing  #gid=0"",""фіз особи new!relations_name""),6,FALSE)
,
(IF
(
G13631=""юридична особа""
,
VLOO"&amp;"KUP(H13631,IMPORTRANGE(""https://docs.google.com/spreadsheets/d/14Bd19lYaqBhU8_DElYkX7l4wRkHqqCUFNJY4AfY3kHU/edit?usp=sharing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630" s="7" t="s">
        <v>23</v>
      </c>
    </row>
    <row r="13631" spans="1:10" ht="13.2">
      <c r="A13631" s="7">
        <v>13630</v>
      </c>
      <c r="B13631" s="7">
        <v>1</v>
      </c>
      <c r="C13631" s="7" t="s">
        <v>10</v>
      </c>
      <c r="D13631" s="7">
        <v>18584</v>
      </c>
      <c r="E13631" s="7" t="s">
        <v>23</v>
      </c>
      <c r="F13631" s="8" t="str">
        <f ca="1">IFERROR(__xludf.DUMMYFUNCTION("IF
(
C13632=""фізична особа""
,
VLOOKUP(D13632,IMPORTRANGE(""https://docs.google.com/spreadsheets/d/14Bd19lYaqBhU8_DElYkX7l4wRkHqqCUFNJY4AfY3kHU/edit?usp=sharing  #gid=0"",""фіз особи new!relations_name""),6,FALSE)
,
(IF
(
C13632=""юридична особа""
,
VLOO"&amp;"KUP(D13632,IMPORTRANGE(""https://docs.google.com/spreadsheets/d/14Bd19lYaqBhU8_DElYkX7l4wRkHqqCUFNJY4AfY3kHU/edit?usp=sharing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1" s="7" t="s">
        <v>10</v>
      </c>
      <c r="H13631" s="7">
        <v>18850</v>
      </c>
      <c r="I13631" s="8" t="str">
        <f ca="1">IFERROR(__xludf.DUMMYFUNCTION("IF
(
G13632=""фізична особа""
,
VLOOKUP(H13632,IMPORTRANGE(""https://docs.google.com/spreadsheets/d/14Bd19lYaqBhU8_DElYkX7l4wRkHqqCUFNJY4AfY3kHU/edit?usp=sharing  #gid=0"",""фіз особи new!relations_name""),6,FALSE)
,
(IF
(
G13632=""юридична особа""
,
VLOO"&amp;"KUP(H13632,IMPORTRANGE(""https://docs.google.com/spreadsheets/d/14Bd19lYaqBhU8_DElYkX7l4wRkHqqCUFNJY4AfY3kHU/edit?usp=sharing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631" s="7" t="s">
        <v>23</v>
      </c>
    </row>
    <row r="13632" spans="1:10" ht="13.2">
      <c r="A13632" s="7">
        <v>13631</v>
      </c>
      <c r="B13632" s="7">
        <v>1</v>
      </c>
      <c r="C13632" s="7" t="s">
        <v>10</v>
      </c>
      <c r="D13632" s="7">
        <v>18584</v>
      </c>
      <c r="E13632" s="7" t="s">
        <v>23</v>
      </c>
      <c r="F13632" s="8" t="str">
        <f ca="1">IFERROR(__xludf.DUMMYFUNCTION("IF
(
C13633=""фізична особа""
,
VLOOKUP(D13633,IMPORTRANGE(""https://docs.google.com/spreadsheets/d/14Bd19lYaqBhU8_DElYkX7l4wRkHqqCUFNJY4AfY3kHU/edit?usp=sharing  #gid=0"",""фіз особи new!relations_name""),6,FALSE)
,
(IF
(
C13633=""юридична особа""
,
VLOO"&amp;"KUP(D13633,IMPORTRANGE(""https://docs.google.com/spreadsheets/d/14Bd19lYaqBhU8_DElYkX7l4wRkHqqCUFNJY4AfY3kHU/edit?usp=sharing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2" s="7" t="s">
        <v>10</v>
      </c>
      <c r="H13632" s="7">
        <v>18851</v>
      </c>
      <c r="I13632" s="8" t="str">
        <f ca="1">IFERROR(__xludf.DUMMYFUNCTION("IF
(
G13633=""фізична особа""
,
VLOOKUP(H13633,IMPORTRANGE(""https://docs.google.com/spreadsheets/d/14Bd19lYaqBhU8_DElYkX7l4wRkHqqCUFNJY4AfY3kHU/edit?usp=sharing  #gid=0"",""фіз особи new!relations_name""),6,FALSE)
,
(IF
(
G13633=""юридична особа""
,
VLOO"&amp;"KUP(H13633,IMPORTRANGE(""https://docs.google.com/spreadsheets/d/14Bd19lYaqBhU8_DElYkX7l4wRkHqqCUFNJY4AfY3kHU/edit?usp=sharing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632" s="7" t="s">
        <v>23</v>
      </c>
    </row>
    <row r="13633" spans="1:10" ht="13.2">
      <c r="A13633" s="7">
        <v>13632</v>
      </c>
      <c r="B13633" s="7">
        <v>1</v>
      </c>
      <c r="C13633" s="7" t="s">
        <v>10</v>
      </c>
      <c r="D13633" s="7">
        <v>18584</v>
      </c>
      <c r="E13633" s="7" t="s">
        <v>23</v>
      </c>
      <c r="F13633" s="8" t="str">
        <f ca="1">IFERROR(__xludf.DUMMYFUNCTION("IF
(
C13634=""фізична особа""
,
VLOOKUP(D13634,IMPORTRANGE(""https://docs.google.com/spreadsheets/d/14Bd19lYaqBhU8_DElYkX7l4wRkHqqCUFNJY4AfY3kHU/edit?usp=sharing  #gid=0"",""фіз особи new!relations_name""),6,FALSE)
,
(IF
(
C13634=""юридична особа""
,
VLOO"&amp;"KUP(D13634,IMPORTRANGE(""https://docs.google.com/spreadsheets/d/14Bd19lYaqBhU8_DElYkX7l4wRkHqqCUFNJY4AfY3kHU/edit?usp=sharing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3" s="7" t="s">
        <v>10</v>
      </c>
      <c r="H13633" s="7">
        <v>18852</v>
      </c>
      <c r="I13633" s="8" t="str">
        <f ca="1">IFERROR(__xludf.DUMMYFUNCTION("IF
(
G13634=""фізична особа""
,
VLOOKUP(H13634,IMPORTRANGE(""https://docs.google.com/spreadsheets/d/14Bd19lYaqBhU8_DElYkX7l4wRkHqqCUFNJY4AfY3kHU/edit?usp=sharing  #gid=0"",""фіз особи new!relations_name""),6,FALSE)
,
(IF
(
G13634=""юридична особа""
,
VLOO"&amp;"KUP(H13634,IMPORTRANGE(""https://docs.google.com/spreadsheets/d/14Bd19lYaqBhU8_DElYkX7l4wRkHqqCUFNJY4AfY3kHU/edit?usp=sharing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633" s="7" t="s">
        <v>23</v>
      </c>
    </row>
    <row r="13634" spans="1:10" ht="13.2">
      <c r="A13634" s="7">
        <v>13633</v>
      </c>
      <c r="B13634" s="7">
        <v>1</v>
      </c>
      <c r="C13634" s="7" t="s">
        <v>10</v>
      </c>
      <c r="D13634" s="7">
        <v>18584</v>
      </c>
      <c r="E13634" s="7" t="s">
        <v>23</v>
      </c>
      <c r="F13634" s="8" t="str">
        <f ca="1">IFERROR(__xludf.DUMMYFUNCTION("IF
(
C13635=""фізична особа""
,
VLOOKUP(D13635,IMPORTRANGE(""https://docs.google.com/spreadsheets/d/14Bd19lYaqBhU8_DElYkX7l4wRkHqqCUFNJY4AfY3kHU/edit?usp=sharing  #gid=0"",""фіз особи new!relations_name""),6,FALSE)
,
(IF
(
C13635=""юридична особа""
,
VLOO"&amp;"KUP(D13635,IMPORTRANGE(""https://docs.google.com/spreadsheets/d/14Bd19lYaqBhU8_DElYkX7l4wRkHqqCUFNJY4AfY3kHU/edit?usp=sharing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4" s="7" t="s">
        <v>10</v>
      </c>
      <c r="H13634" s="7">
        <v>18853</v>
      </c>
      <c r="I13634" s="8" t="str">
        <f ca="1">IFERROR(__xludf.DUMMYFUNCTION("IF
(
G13635=""фізична особа""
,
VLOOKUP(H13635,IMPORTRANGE(""https://docs.google.com/spreadsheets/d/14Bd19lYaqBhU8_DElYkX7l4wRkHqqCUFNJY4AfY3kHU/edit?usp=sharing  #gid=0"",""фіз особи new!relations_name""),6,FALSE)
,
(IF
(
G13635=""юридична особа""
,
VLOO"&amp;"KUP(H13635,IMPORTRANGE(""https://docs.google.com/spreadsheets/d/14Bd19lYaqBhU8_DElYkX7l4wRkHqqCUFNJY4AfY3kHU/edit?usp=sharing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634" s="7" t="s">
        <v>23</v>
      </c>
    </row>
    <row r="13635" spans="1:10" ht="13.2">
      <c r="A13635" s="7">
        <v>13634</v>
      </c>
      <c r="B13635" s="7">
        <v>1</v>
      </c>
      <c r="C13635" s="7" t="s">
        <v>10</v>
      </c>
      <c r="D13635" s="7">
        <v>18584</v>
      </c>
      <c r="E13635" s="7" t="s">
        <v>23</v>
      </c>
      <c r="F13635" s="8" t="str">
        <f ca="1">IFERROR(__xludf.DUMMYFUNCTION("IF
(
C13636=""фізична особа""
,
VLOOKUP(D13636,IMPORTRANGE(""https://docs.google.com/spreadsheets/d/14Bd19lYaqBhU8_DElYkX7l4wRkHqqCUFNJY4AfY3kHU/edit?usp=sharing  #gid=0"",""фіз особи new!relations_name""),6,FALSE)
,
(IF
(
C13636=""юридична особа""
,
VLOO"&amp;"KUP(D13636,IMPORTRANGE(""https://docs.google.com/spreadsheets/d/14Bd19lYaqBhU8_DElYkX7l4wRkHqqCUFNJY4AfY3kHU/edit?usp=sharing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5" s="7" t="s">
        <v>10</v>
      </c>
      <c r="H13635" s="7">
        <v>18854</v>
      </c>
      <c r="I13635" s="8" t="str">
        <f ca="1">IFERROR(__xludf.DUMMYFUNCTION("IF
(
G13636=""фізична особа""
,
VLOOKUP(H13636,IMPORTRANGE(""https://docs.google.com/spreadsheets/d/14Bd19lYaqBhU8_DElYkX7l4wRkHqqCUFNJY4AfY3kHU/edit?usp=sharing  #gid=0"",""фіз особи new!relations_name""),6,FALSE)
,
(IF
(
G13636=""юридична особа""
,
VLOO"&amp;"KUP(H13636,IMPORTRANGE(""https://docs.google.com/spreadsheets/d/14Bd19lYaqBhU8_DElYkX7l4wRkHqqCUFNJY4AfY3kHU/edit?usp=sharing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635" s="7" t="s">
        <v>23</v>
      </c>
    </row>
    <row r="13636" spans="1:10" ht="13.2">
      <c r="A13636" s="7">
        <v>13635</v>
      </c>
      <c r="B13636" s="7">
        <v>1</v>
      </c>
      <c r="C13636" s="7" t="s">
        <v>10</v>
      </c>
      <c r="D13636" s="7">
        <v>18584</v>
      </c>
      <c r="E13636" s="7" t="s">
        <v>23</v>
      </c>
      <c r="F13636" s="8" t="str">
        <f ca="1">IFERROR(__xludf.DUMMYFUNCTION("IF
(
C13637=""фізична особа""
,
VLOOKUP(D13637,IMPORTRANGE(""https://docs.google.com/spreadsheets/d/14Bd19lYaqBhU8_DElYkX7l4wRkHqqCUFNJY4AfY3kHU/edit?usp=sharing  #gid=0"",""фіз особи new!relations_name""),6,FALSE)
,
(IF
(
C13637=""юридична особа""
,
VLOO"&amp;"KUP(D13637,IMPORTRANGE(""https://docs.google.com/spreadsheets/d/14Bd19lYaqBhU8_DElYkX7l4wRkHqqCUFNJY4AfY3kHU/edit?usp=sharing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6" s="7" t="s">
        <v>10</v>
      </c>
      <c r="H13636" s="7">
        <v>18855</v>
      </c>
      <c r="I13636" s="8" t="str">
        <f ca="1">IFERROR(__xludf.DUMMYFUNCTION("IF
(
G13637=""фізична особа""
,
VLOOKUP(H13637,IMPORTRANGE(""https://docs.google.com/spreadsheets/d/14Bd19lYaqBhU8_DElYkX7l4wRkHqqCUFNJY4AfY3kHU/edit?usp=sharing  #gid=0"",""фіз особи new!relations_name""),6,FALSE)
,
(IF
(
G13637=""юридична особа""
,
VLOO"&amp;"KUP(H13637,IMPORTRANGE(""https://docs.google.com/spreadsheets/d/14Bd19lYaqBhU8_DElYkX7l4wRkHqqCUFNJY4AfY3kHU/edit?usp=sharing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636" s="7" t="s">
        <v>23</v>
      </c>
    </row>
    <row r="13637" spans="1:10" ht="13.2">
      <c r="A13637" s="7">
        <v>13636</v>
      </c>
      <c r="B13637" s="7">
        <v>1</v>
      </c>
      <c r="C13637" s="7" t="s">
        <v>10</v>
      </c>
      <c r="D13637" s="7">
        <v>18584</v>
      </c>
      <c r="E13637" s="7" t="s">
        <v>23</v>
      </c>
      <c r="F13637" s="8" t="str">
        <f ca="1">IFERROR(__xludf.DUMMYFUNCTION("IF
(
C13638=""фізична особа""
,
VLOOKUP(D13638,IMPORTRANGE(""https://docs.google.com/spreadsheets/d/14Bd19lYaqBhU8_DElYkX7l4wRkHqqCUFNJY4AfY3kHU/edit?usp=sharing  #gid=0"",""фіз особи new!relations_name""),6,FALSE)
,
(IF
(
C13638=""юридична особа""
,
VLOO"&amp;"KUP(D13638,IMPORTRANGE(""https://docs.google.com/spreadsheets/d/14Bd19lYaqBhU8_DElYkX7l4wRkHqqCUFNJY4AfY3kHU/edit?usp=sharing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G13637" s="7" t="s">
        <v>10</v>
      </c>
      <c r="H13637" s="7">
        <v>18856</v>
      </c>
      <c r="I13637" s="8" t="str">
        <f ca="1">IFERROR(__xludf.DUMMYFUNCTION("IF
(
G13638=""фізична особа""
,
VLOOKUP(H13638,IMPORTRANGE(""https://docs.google.com/spreadsheets/d/14Bd19lYaqBhU8_DElYkX7l4wRkHqqCUFNJY4AfY3kHU/edit?usp=sharing  #gid=0"",""фіз особи new!relations_name""),6,FALSE)
,
(IF
(
G13638=""юридична особа""
,
VLOO"&amp;"KUP(H13638,IMPORTRANGE(""https://docs.google.com/spreadsheets/d/14Bd19lYaqBhU8_DElYkX7l4wRkHqqCUFNJY4AfY3kHU/edit?usp=sharing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637" s="7" t="s">
        <v>23</v>
      </c>
    </row>
    <row r="13638" spans="1:10" ht="13.2">
      <c r="A13638" s="7">
        <v>13637</v>
      </c>
      <c r="B13638" s="7">
        <v>1</v>
      </c>
      <c r="C13638" s="7" t="s">
        <v>10</v>
      </c>
      <c r="D13638" s="7">
        <v>18585</v>
      </c>
      <c r="E13638" s="7" t="s">
        <v>23</v>
      </c>
      <c r="F13638" s="8" t="str">
        <f ca="1">IFERROR(__xludf.DUMMYFUNCTION("IF
(
C13639=""фізична особа""
,
VLOOKUP(D13639,IMPORTRANGE(""https://docs.google.com/spreadsheets/d/14Bd19lYaqBhU8_DElYkX7l4wRkHqqCUFNJY4AfY3kHU/edit?usp=sharing  #gid=0"",""фіз особи new!relations_name""),6,FALSE)
,
(IF
(
C13639=""юридична особа""
,
VLOO"&amp;"KUP(D13639,IMPORTRANGE(""https://docs.google.com/spreadsheets/d/14Bd19lYaqBhU8_DElYkX7l4wRkHqqCUFNJY4AfY3kHU/edit?usp=sharing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38" s="7" t="s">
        <v>10</v>
      </c>
      <c r="H13638" s="7">
        <v>18576</v>
      </c>
      <c r="I13638" s="8" t="str">
        <f ca="1">IFERROR(__xludf.DUMMYFUNCTION("IF
(
G13639=""фізична особа""
,
VLOOKUP(H13639,IMPORTRANGE(""https://docs.google.com/spreadsheets/d/14Bd19lYaqBhU8_DElYkX7l4wRkHqqCUFNJY4AfY3kHU/edit?usp=sharing  #gid=0"",""фіз особи new!relations_name""),6,FALSE)
,
(IF
(
G13639=""юридична особа""
,
VLOO"&amp;"KUP(H13639,IMPORTRANGE(""https://docs.google.com/spreadsheets/d/14Bd19lYaqBhU8_DElYkX7l4wRkHqqCUFNJY4AfY3kHU/edit?usp=sharing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638" s="7" t="s">
        <v>23</v>
      </c>
    </row>
    <row r="13639" spans="1:10" ht="13.2">
      <c r="A13639" s="7">
        <v>13638</v>
      </c>
      <c r="B13639" s="7">
        <v>1</v>
      </c>
      <c r="C13639" s="7" t="s">
        <v>10</v>
      </c>
      <c r="D13639" s="7">
        <v>18585</v>
      </c>
      <c r="E13639" s="7" t="s">
        <v>23</v>
      </c>
      <c r="F13639" s="8" t="str">
        <f ca="1">IFERROR(__xludf.DUMMYFUNCTION("IF
(
C13640=""фізична особа""
,
VLOOKUP(D13640,IMPORTRANGE(""https://docs.google.com/spreadsheets/d/14Bd19lYaqBhU8_DElYkX7l4wRkHqqCUFNJY4AfY3kHU/edit?usp=sharing  #gid=0"",""фіз особи new!relations_name""),6,FALSE)
,
(IF
(
C13640=""юридична особа""
,
VLOO"&amp;"KUP(D13640,IMPORTRANGE(""https://docs.google.com/spreadsheets/d/14Bd19lYaqBhU8_DElYkX7l4wRkHqqCUFNJY4AfY3kHU/edit?usp=sharing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39" s="7" t="s">
        <v>10</v>
      </c>
      <c r="H13639" s="7">
        <v>18577</v>
      </c>
      <c r="I13639" s="8" t="str">
        <f ca="1">IFERROR(__xludf.DUMMYFUNCTION("IF
(
G13640=""фізична особа""
,
VLOOKUP(H13640,IMPORTRANGE(""https://docs.google.com/spreadsheets/d/14Bd19lYaqBhU8_DElYkX7l4wRkHqqCUFNJY4AfY3kHU/edit?usp=sharing  #gid=0"",""фіз особи new!relations_name""),6,FALSE)
,
(IF
(
G13640=""юридична особа""
,
VLOO"&amp;"KUP(H13640,IMPORTRANGE(""https://docs.google.com/spreadsheets/d/14Bd19lYaqBhU8_DElYkX7l4wRkHqqCUFNJY4AfY3kHU/edit?usp=sharing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639" s="7" t="s">
        <v>23</v>
      </c>
    </row>
    <row r="13640" spans="1:10" ht="13.2">
      <c r="A13640" s="7">
        <v>13639</v>
      </c>
      <c r="B13640" s="7">
        <v>1</v>
      </c>
      <c r="C13640" s="7" t="s">
        <v>10</v>
      </c>
      <c r="D13640" s="7">
        <v>18585</v>
      </c>
      <c r="E13640" s="7" t="s">
        <v>23</v>
      </c>
      <c r="F13640" s="8" t="str">
        <f ca="1">IFERROR(__xludf.DUMMYFUNCTION("IF
(
C13641=""фізична особа""
,
VLOOKUP(D13641,IMPORTRANGE(""https://docs.google.com/spreadsheets/d/14Bd19lYaqBhU8_DElYkX7l4wRkHqqCUFNJY4AfY3kHU/edit?usp=sharing  #gid=0"",""фіз особи new!relations_name""),6,FALSE)
,
(IF
(
C13641=""юридична особа""
,
VLOO"&amp;"KUP(D13641,IMPORTRANGE(""https://docs.google.com/spreadsheets/d/14Bd19lYaqBhU8_DElYkX7l4wRkHqqCUFNJY4AfY3kHU/edit?usp=sharing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0" s="7" t="s">
        <v>10</v>
      </c>
      <c r="H13640" s="7">
        <v>18578</v>
      </c>
      <c r="I13640" s="8" t="str">
        <f ca="1">IFERROR(__xludf.DUMMYFUNCTION("IF
(
G13641=""фізична особа""
,
VLOOKUP(H13641,IMPORTRANGE(""https://docs.google.com/spreadsheets/d/14Bd19lYaqBhU8_DElYkX7l4wRkHqqCUFNJY4AfY3kHU/edit?usp=sharing  #gid=0"",""фіз особи new!relations_name""),6,FALSE)
,
(IF
(
G13641=""юридична особа""
,
VLOO"&amp;"KUP(H13641,IMPORTRANGE(""https://docs.google.com/spreadsheets/d/14Bd19lYaqBhU8_DElYkX7l4wRkHqqCUFNJY4AfY3kHU/edit?usp=sharing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640" s="7" t="s">
        <v>23</v>
      </c>
    </row>
    <row r="13641" spans="1:10" ht="13.2">
      <c r="A13641" s="7">
        <v>13640</v>
      </c>
      <c r="B13641" s="7">
        <v>1</v>
      </c>
      <c r="C13641" s="7" t="s">
        <v>10</v>
      </c>
      <c r="D13641" s="7">
        <v>18585</v>
      </c>
      <c r="E13641" s="7" t="s">
        <v>23</v>
      </c>
      <c r="F13641" s="8" t="str">
        <f ca="1">IFERROR(__xludf.DUMMYFUNCTION("IF
(
C13642=""фізична особа""
,
VLOOKUP(D13642,IMPORTRANGE(""https://docs.google.com/spreadsheets/d/14Bd19lYaqBhU8_DElYkX7l4wRkHqqCUFNJY4AfY3kHU/edit?usp=sharing  #gid=0"",""фіз особи new!relations_name""),6,FALSE)
,
(IF
(
C13642=""юридична особа""
,
VLOO"&amp;"KUP(D13642,IMPORTRANGE(""https://docs.google.com/spreadsheets/d/14Bd19lYaqBhU8_DElYkX7l4wRkHqqCUFNJY4AfY3kHU/edit?usp=sharing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1" s="7" t="s">
        <v>10</v>
      </c>
      <c r="H13641" s="7">
        <v>18579</v>
      </c>
      <c r="I13641" s="8" t="str">
        <f ca="1">IFERROR(__xludf.DUMMYFUNCTION("IF
(
G13642=""фізична особа""
,
VLOOKUP(H13642,IMPORTRANGE(""https://docs.google.com/spreadsheets/d/14Bd19lYaqBhU8_DElYkX7l4wRkHqqCUFNJY4AfY3kHU/edit?usp=sharing  #gid=0"",""фіз особи new!relations_name""),6,FALSE)
,
(IF
(
G13642=""юридична особа""
,
VLOO"&amp;"KUP(H13642,IMPORTRANGE(""https://docs.google.com/spreadsheets/d/14Bd19lYaqBhU8_DElYkX7l4wRkHqqCUFNJY4AfY3kHU/edit?usp=sharing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641" s="7" t="s">
        <v>23</v>
      </c>
    </row>
    <row r="13642" spans="1:10" ht="13.2">
      <c r="A13642" s="7">
        <v>13641</v>
      </c>
      <c r="B13642" s="7">
        <v>1</v>
      </c>
      <c r="C13642" s="7" t="s">
        <v>10</v>
      </c>
      <c r="D13642" s="7">
        <v>18585</v>
      </c>
      <c r="E13642" s="7" t="s">
        <v>23</v>
      </c>
      <c r="F13642" s="8" t="str">
        <f ca="1">IFERROR(__xludf.DUMMYFUNCTION("IF
(
C13643=""фізична особа""
,
VLOOKUP(D13643,IMPORTRANGE(""https://docs.google.com/spreadsheets/d/14Bd19lYaqBhU8_DElYkX7l4wRkHqqCUFNJY4AfY3kHU/edit?usp=sharing  #gid=0"",""фіз особи new!relations_name""),6,FALSE)
,
(IF
(
C13643=""юридична особа""
,
VLOO"&amp;"KUP(D13643,IMPORTRANGE(""https://docs.google.com/spreadsheets/d/14Bd19lYaqBhU8_DElYkX7l4wRkHqqCUFNJY4AfY3kHU/edit?usp=sharing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2" s="7" t="s">
        <v>10</v>
      </c>
      <c r="H13642" s="7">
        <v>18580</v>
      </c>
      <c r="I13642" s="8" t="str">
        <f ca="1">IFERROR(__xludf.DUMMYFUNCTION("IF
(
G13643=""фізична особа""
,
VLOOKUP(H13643,IMPORTRANGE(""https://docs.google.com/spreadsheets/d/14Bd19lYaqBhU8_DElYkX7l4wRkHqqCUFNJY4AfY3kHU/edit?usp=sharing  #gid=0"",""фіз особи new!relations_name""),6,FALSE)
,
(IF
(
G13643=""юридична особа""
,
VLOO"&amp;"KUP(H13643,IMPORTRANGE(""https://docs.google.com/spreadsheets/d/14Bd19lYaqBhU8_DElYkX7l4wRkHqqCUFNJY4AfY3kHU/edit?usp=sharing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642" s="7" t="s">
        <v>23</v>
      </c>
    </row>
    <row r="13643" spans="1:10" ht="13.2">
      <c r="A13643" s="7">
        <v>13642</v>
      </c>
      <c r="B13643" s="7">
        <v>1</v>
      </c>
      <c r="C13643" s="7" t="s">
        <v>10</v>
      </c>
      <c r="D13643" s="7">
        <v>18585</v>
      </c>
      <c r="E13643" s="7" t="s">
        <v>23</v>
      </c>
      <c r="F13643" s="8" t="str">
        <f ca="1">IFERROR(__xludf.DUMMYFUNCTION("IF
(
C13644=""фізична особа""
,
VLOOKUP(D13644,IMPORTRANGE(""https://docs.google.com/spreadsheets/d/14Bd19lYaqBhU8_DElYkX7l4wRkHqqCUFNJY4AfY3kHU/edit?usp=sharing  #gid=0"",""фіз особи new!relations_name""),6,FALSE)
,
(IF
(
C13644=""юридична особа""
,
VLOO"&amp;"KUP(D13644,IMPORTRANGE(""https://docs.google.com/spreadsheets/d/14Bd19lYaqBhU8_DElYkX7l4wRkHqqCUFNJY4AfY3kHU/edit?usp=sharing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3" s="7" t="s">
        <v>10</v>
      </c>
      <c r="H13643" s="7">
        <v>18581</v>
      </c>
      <c r="I13643" s="8" t="str">
        <f ca="1">IFERROR(__xludf.DUMMYFUNCTION("IF
(
G13644=""фізична особа""
,
VLOOKUP(H13644,IMPORTRANGE(""https://docs.google.com/spreadsheets/d/14Bd19lYaqBhU8_DElYkX7l4wRkHqqCUFNJY4AfY3kHU/edit?usp=sharing  #gid=0"",""фіз особи new!relations_name""),6,FALSE)
,
(IF
(
G13644=""юридична особа""
,
VLOO"&amp;"KUP(H13644,IMPORTRANGE(""https://docs.google.com/spreadsheets/d/14Bd19lYaqBhU8_DElYkX7l4wRkHqqCUFNJY4AfY3kHU/edit?usp=sharing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643" s="7" t="s">
        <v>23</v>
      </c>
    </row>
    <row r="13644" spans="1:10" ht="13.2">
      <c r="A13644" s="7">
        <v>13643</v>
      </c>
      <c r="B13644" s="7">
        <v>1</v>
      </c>
      <c r="C13644" s="7" t="s">
        <v>10</v>
      </c>
      <c r="D13644" s="7">
        <v>18585</v>
      </c>
      <c r="E13644" s="7" t="s">
        <v>23</v>
      </c>
      <c r="F13644" s="8" t="str">
        <f ca="1">IFERROR(__xludf.DUMMYFUNCTION("IF
(
C13645=""фізична особа""
,
VLOOKUP(D13645,IMPORTRANGE(""https://docs.google.com/spreadsheets/d/14Bd19lYaqBhU8_DElYkX7l4wRkHqqCUFNJY4AfY3kHU/edit?usp=sharing  #gid=0"",""фіз особи new!relations_name""),6,FALSE)
,
(IF
(
C13645=""юридична особа""
,
VLOO"&amp;"KUP(D13645,IMPORTRANGE(""https://docs.google.com/spreadsheets/d/14Bd19lYaqBhU8_DElYkX7l4wRkHqqCUFNJY4AfY3kHU/edit?usp=sharing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4" s="7" t="s">
        <v>10</v>
      </c>
      <c r="H13644" s="7">
        <v>18582</v>
      </c>
      <c r="I13644" s="8" t="str">
        <f ca="1">IFERROR(__xludf.DUMMYFUNCTION("IF
(
G13645=""фізична особа""
,
VLOOKUP(H13645,IMPORTRANGE(""https://docs.google.com/spreadsheets/d/14Bd19lYaqBhU8_DElYkX7l4wRkHqqCUFNJY4AfY3kHU/edit?usp=sharing  #gid=0"",""фіз особи new!relations_name""),6,FALSE)
,
(IF
(
G13645=""юридична особа""
,
VLOO"&amp;"KUP(H13645,IMPORTRANGE(""https://docs.google.com/spreadsheets/d/14Bd19lYaqBhU8_DElYkX7l4wRkHqqCUFNJY4AfY3kHU/edit?usp=sharing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644" s="7" t="s">
        <v>23</v>
      </c>
    </row>
    <row r="13645" spans="1:10" ht="13.2">
      <c r="A13645" s="7">
        <v>13644</v>
      </c>
      <c r="B13645" s="7">
        <v>1</v>
      </c>
      <c r="C13645" s="7" t="s">
        <v>10</v>
      </c>
      <c r="D13645" s="7">
        <v>18585</v>
      </c>
      <c r="E13645" s="7" t="s">
        <v>23</v>
      </c>
      <c r="F13645" s="8" t="str">
        <f ca="1">IFERROR(__xludf.DUMMYFUNCTION("IF
(
C13646=""фізична особа""
,
VLOOKUP(D13646,IMPORTRANGE(""https://docs.google.com/spreadsheets/d/14Bd19lYaqBhU8_DElYkX7l4wRkHqqCUFNJY4AfY3kHU/edit?usp=sharing  #gid=0"",""фіз особи new!relations_name""),6,FALSE)
,
(IF
(
C13646=""юридична особа""
,
VLOO"&amp;"KUP(D13646,IMPORTRANGE(""https://docs.google.com/spreadsheets/d/14Bd19lYaqBhU8_DElYkX7l4wRkHqqCUFNJY4AfY3kHU/edit?usp=sharing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5" s="7" t="s">
        <v>10</v>
      </c>
      <c r="H13645" s="7">
        <v>18583</v>
      </c>
      <c r="I13645" s="8" t="str">
        <f ca="1">IFERROR(__xludf.DUMMYFUNCTION("IF
(
G13646=""фізична особа""
,
VLOOKUP(H13646,IMPORTRANGE(""https://docs.google.com/spreadsheets/d/14Bd19lYaqBhU8_DElYkX7l4wRkHqqCUFNJY4AfY3kHU/edit?usp=sharing  #gid=0"",""фіз особи new!relations_name""),6,FALSE)
,
(IF
(
G13646=""юридична особа""
,
VLOO"&amp;"KUP(H13646,IMPORTRANGE(""https://docs.google.com/spreadsheets/d/14Bd19lYaqBhU8_DElYkX7l4wRkHqqCUFNJY4AfY3kHU/edit?usp=sharing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645" s="7" t="s">
        <v>23</v>
      </c>
    </row>
    <row r="13646" spans="1:10" ht="13.2">
      <c r="A13646" s="7">
        <v>13645</v>
      </c>
      <c r="B13646" s="7">
        <v>1</v>
      </c>
      <c r="C13646" s="7" t="s">
        <v>10</v>
      </c>
      <c r="D13646" s="7">
        <v>18585</v>
      </c>
      <c r="E13646" s="7" t="s">
        <v>23</v>
      </c>
      <c r="F13646" s="8" t="str">
        <f ca="1">IFERROR(__xludf.DUMMYFUNCTION("IF
(
C13647=""фізична особа""
,
VLOOKUP(D13647,IMPORTRANGE(""https://docs.google.com/spreadsheets/d/14Bd19lYaqBhU8_DElYkX7l4wRkHqqCUFNJY4AfY3kHU/edit?usp=sharing  #gid=0"",""фіз особи new!relations_name""),6,FALSE)
,
(IF
(
C13647=""юридична особа""
,
VLOO"&amp;"KUP(D13647,IMPORTRANGE(""https://docs.google.com/spreadsheets/d/14Bd19lYaqBhU8_DElYkX7l4wRkHqqCUFNJY4AfY3kHU/edit?usp=sharing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6" s="7" t="s">
        <v>10</v>
      </c>
      <c r="H13646" s="7">
        <v>18584</v>
      </c>
      <c r="I13646" s="8" t="str">
        <f ca="1">IFERROR(__xludf.DUMMYFUNCTION("IF
(
G13647=""фізична особа""
,
VLOOKUP(H13647,IMPORTRANGE(""https://docs.google.com/spreadsheets/d/14Bd19lYaqBhU8_DElYkX7l4wRkHqqCUFNJY4AfY3kHU/edit?usp=sharing  #gid=0"",""фіз особи new!relations_name""),6,FALSE)
,
(IF
(
G13647=""юридична особа""
,
VLOO"&amp;"KUP(H13647,IMPORTRANGE(""https://docs.google.com/spreadsheets/d/14Bd19lYaqBhU8_DElYkX7l4wRkHqqCUFNJY4AfY3kHU/edit?usp=sharing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646" s="7" t="s">
        <v>23</v>
      </c>
    </row>
    <row r="13647" spans="1:10" ht="13.2">
      <c r="A13647" s="7">
        <v>13646</v>
      </c>
      <c r="B13647" s="7">
        <v>1</v>
      </c>
      <c r="C13647" s="7" t="s">
        <v>10</v>
      </c>
      <c r="D13647" s="7">
        <v>18585</v>
      </c>
      <c r="E13647" s="7" t="s">
        <v>23</v>
      </c>
      <c r="F13647" s="8" t="str">
        <f ca="1">IFERROR(__xludf.DUMMYFUNCTION("IF
(
C13648=""фізична особа""
,
VLOOKUP(D13648,IMPORTRANGE(""https://docs.google.com/spreadsheets/d/14Bd19lYaqBhU8_DElYkX7l4wRkHqqCUFNJY4AfY3kHU/edit?usp=sharing  #gid=0"",""фіз особи new!relations_name""),6,FALSE)
,
(IF
(
C13648=""юридична особа""
,
VLOO"&amp;"KUP(D13648,IMPORTRANGE(""https://docs.google.com/spreadsheets/d/14Bd19lYaqBhU8_DElYkX7l4wRkHqqCUFNJY4AfY3kHU/edit?usp=sharing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7" s="7" t="s">
        <v>10</v>
      </c>
      <c r="H13647" s="7">
        <v>18847</v>
      </c>
      <c r="I13647" s="8" t="str">
        <f ca="1">IFERROR(__xludf.DUMMYFUNCTION("IF
(
G13648=""фізична особа""
,
VLOOKUP(H13648,IMPORTRANGE(""https://docs.google.com/spreadsheets/d/14Bd19lYaqBhU8_DElYkX7l4wRkHqqCUFNJY4AfY3kHU/edit?usp=sharing  #gid=0"",""фіз особи new!relations_name""),6,FALSE)
,
(IF
(
G13648=""юридична особа""
,
VLOO"&amp;"KUP(H13648,IMPORTRANGE(""https://docs.google.com/spreadsheets/d/14Bd19lYaqBhU8_DElYkX7l4wRkHqqCUFNJY4AfY3kHU/edit?usp=sharing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647" s="7" t="s">
        <v>23</v>
      </c>
    </row>
    <row r="13648" spans="1:10" ht="13.2">
      <c r="A13648" s="7">
        <v>13647</v>
      </c>
      <c r="B13648" s="7">
        <v>1</v>
      </c>
      <c r="C13648" s="7" t="s">
        <v>10</v>
      </c>
      <c r="D13648" s="7">
        <v>18585</v>
      </c>
      <c r="E13648" s="7" t="s">
        <v>23</v>
      </c>
      <c r="F13648" s="8" t="str">
        <f ca="1">IFERROR(__xludf.DUMMYFUNCTION("IF
(
C13649=""фізична особа""
,
VLOOKUP(D13649,IMPORTRANGE(""https://docs.google.com/spreadsheets/d/14Bd19lYaqBhU8_DElYkX7l4wRkHqqCUFNJY4AfY3kHU/edit?usp=sharing  #gid=0"",""фіз особи new!relations_name""),6,FALSE)
,
(IF
(
C13649=""юридична особа""
,
VLOO"&amp;"KUP(D13649,IMPORTRANGE(""https://docs.google.com/spreadsheets/d/14Bd19lYaqBhU8_DElYkX7l4wRkHqqCUFNJY4AfY3kHU/edit?usp=sharing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8" s="7" t="s">
        <v>10</v>
      </c>
      <c r="H13648" s="7">
        <v>18848</v>
      </c>
      <c r="I13648" s="8" t="str">
        <f ca="1">IFERROR(__xludf.DUMMYFUNCTION("IF
(
G13649=""фізична особа""
,
VLOOKUP(H13649,IMPORTRANGE(""https://docs.google.com/spreadsheets/d/14Bd19lYaqBhU8_DElYkX7l4wRkHqqCUFNJY4AfY3kHU/edit?usp=sharing  #gid=0"",""фіз особи new!relations_name""),6,FALSE)
,
(IF
(
G13649=""юридична особа""
,
VLOO"&amp;"KUP(H13649,IMPORTRANGE(""https://docs.google.com/spreadsheets/d/14Bd19lYaqBhU8_DElYkX7l4wRkHqqCUFNJY4AfY3kHU/edit?usp=sharing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648" s="7" t="s">
        <v>23</v>
      </c>
    </row>
    <row r="13649" spans="1:10" ht="13.2">
      <c r="A13649" s="7">
        <v>13648</v>
      </c>
      <c r="B13649" s="7">
        <v>1</v>
      </c>
      <c r="C13649" s="7" t="s">
        <v>10</v>
      </c>
      <c r="D13649" s="7">
        <v>18585</v>
      </c>
      <c r="E13649" s="7" t="s">
        <v>23</v>
      </c>
      <c r="F13649" s="8" t="str">
        <f ca="1">IFERROR(__xludf.DUMMYFUNCTION("IF
(
C13650=""фізична особа""
,
VLOOKUP(D13650,IMPORTRANGE(""https://docs.google.com/spreadsheets/d/14Bd19lYaqBhU8_DElYkX7l4wRkHqqCUFNJY4AfY3kHU/edit?usp=sharing  #gid=0"",""фіз особи new!relations_name""),6,FALSE)
,
(IF
(
C13650=""юридична особа""
,
VLOO"&amp;"KUP(D13650,IMPORTRANGE(""https://docs.google.com/spreadsheets/d/14Bd19lYaqBhU8_DElYkX7l4wRkHqqCUFNJY4AfY3kHU/edit?usp=sharing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49" s="7" t="s">
        <v>10</v>
      </c>
      <c r="H13649" s="7">
        <v>18849</v>
      </c>
      <c r="I13649" s="8" t="str">
        <f ca="1">IFERROR(__xludf.DUMMYFUNCTION("IF
(
G13650=""фізична особа""
,
VLOOKUP(H13650,IMPORTRANGE(""https://docs.google.com/spreadsheets/d/14Bd19lYaqBhU8_DElYkX7l4wRkHqqCUFNJY4AfY3kHU/edit?usp=sharing  #gid=0"",""фіз особи new!relations_name""),6,FALSE)
,
(IF
(
G13650=""юридична особа""
,
VLOO"&amp;"KUP(H13650,IMPORTRANGE(""https://docs.google.com/spreadsheets/d/14Bd19lYaqBhU8_DElYkX7l4wRkHqqCUFNJY4AfY3kHU/edit?usp=sharing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649" s="7" t="s">
        <v>23</v>
      </c>
    </row>
    <row r="13650" spans="1:10" ht="13.2">
      <c r="A13650" s="7">
        <v>13649</v>
      </c>
      <c r="B13650" s="7">
        <v>1</v>
      </c>
      <c r="C13650" s="7" t="s">
        <v>10</v>
      </c>
      <c r="D13650" s="7">
        <v>18585</v>
      </c>
      <c r="E13650" s="7" t="s">
        <v>23</v>
      </c>
      <c r="F13650" s="8" t="str">
        <f ca="1">IFERROR(__xludf.DUMMYFUNCTION("IF
(
C13651=""фізична особа""
,
VLOOKUP(D13651,IMPORTRANGE(""https://docs.google.com/spreadsheets/d/14Bd19lYaqBhU8_DElYkX7l4wRkHqqCUFNJY4AfY3kHU/edit?usp=sharing  #gid=0"",""фіз особи new!relations_name""),6,FALSE)
,
(IF
(
C13651=""юридична особа""
,
VLOO"&amp;"KUP(D13651,IMPORTRANGE(""https://docs.google.com/spreadsheets/d/14Bd19lYaqBhU8_DElYkX7l4wRkHqqCUFNJY4AfY3kHU/edit?usp=sharing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0" s="7" t="s">
        <v>10</v>
      </c>
      <c r="H13650" s="7">
        <v>18850</v>
      </c>
      <c r="I13650" s="8" t="str">
        <f ca="1">IFERROR(__xludf.DUMMYFUNCTION("IF
(
G13651=""фізична особа""
,
VLOOKUP(H13651,IMPORTRANGE(""https://docs.google.com/spreadsheets/d/14Bd19lYaqBhU8_DElYkX7l4wRkHqqCUFNJY4AfY3kHU/edit?usp=sharing  #gid=0"",""фіз особи new!relations_name""),6,FALSE)
,
(IF
(
G13651=""юридична особа""
,
VLOO"&amp;"KUP(H13651,IMPORTRANGE(""https://docs.google.com/spreadsheets/d/14Bd19lYaqBhU8_DElYkX7l4wRkHqqCUFNJY4AfY3kHU/edit?usp=sharing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650" s="7" t="s">
        <v>23</v>
      </c>
    </row>
    <row r="13651" spans="1:10" ht="13.2">
      <c r="A13651" s="7">
        <v>13650</v>
      </c>
      <c r="B13651" s="7">
        <v>1</v>
      </c>
      <c r="C13651" s="7" t="s">
        <v>10</v>
      </c>
      <c r="D13651" s="7">
        <v>18585</v>
      </c>
      <c r="E13651" s="7" t="s">
        <v>23</v>
      </c>
      <c r="F13651" s="8" t="str">
        <f ca="1">IFERROR(__xludf.DUMMYFUNCTION("IF
(
C13652=""фізична особа""
,
VLOOKUP(D13652,IMPORTRANGE(""https://docs.google.com/spreadsheets/d/14Bd19lYaqBhU8_DElYkX7l4wRkHqqCUFNJY4AfY3kHU/edit?usp=sharing  #gid=0"",""фіз особи new!relations_name""),6,FALSE)
,
(IF
(
C13652=""юридична особа""
,
VLOO"&amp;"KUP(D13652,IMPORTRANGE(""https://docs.google.com/spreadsheets/d/14Bd19lYaqBhU8_DElYkX7l4wRkHqqCUFNJY4AfY3kHU/edit?usp=sharing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1" s="7" t="s">
        <v>10</v>
      </c>
      <c r="H13651" s="7">
        <v>18851</v>
      </c>
      <c r="I13651" s="8" t="str">
        <f ca="1">IFERROR(__xludf.DUMMYFUNCTION("IF
(
G13652=""фізична особа""
,
VLOOKUP(H13652,IMPORTRANGE(""https://docs.google.com/spreadsheets/d/14Bd19lYaqBhU8_DElYkX7l4wRkHqqCUFNJY4AfY3kHU/edit?usp=sharing  #gid=0"",""фіз особи new!relations_name""),6,FALSE)
,
(IF
(
G13652=""юридична особа""
,
VLOO"&amp;"KUP(H13652,IMPORTRANGE(""https://docs.google.com/spreadsheets/d/14Bd19lYaqBhU8_DElYkX7l4wRkHqqCUFNJY4AfY3kHU/edit?usp=sharing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651" s="7" t="s">
        <v>23</v>
      </c>
    </row>
    <row r="13652" spans="1:10" ht="13.2">
      <c r="A13652" s="7">
        <v>13651</v>
      </c>
      <c r="B13652" s="7">
        <v>1</v>
      </c>
      <c r="C13652" s="7" t="s">
        <v>10</v>
      </c>
      <c r="D13652" s="7">
        <v>18585</v>
      </c>
      <c r="E13652" s="7" t="s">
        <v>23</v>
      </c>
      <c r="F13652" s="8" t="str">
        <f ca="1">IFERROR(__xludf.DUMMYFUNCTION("IF
(
C13653=""фізична особа""
,
VLOOKUP(D13653,IMPORTRANGE(""https://docs.google.com/spreadsheets/d/14Bd19lYaqBhU8_DElYkX7l4wRkHqqCUFNJY4AfY3kHU/edit?usp=sharing  #gid=0"",""фіз особи new!relations_name""),6,FALSE)
,
(IF
(
C13653=""юридична особа""
,
VLOO"&amp;"KUP(D13653,IMPORTRANGE(""https://docs.google.com/spreadsheets/d/14Bd19lYaqBhU8_DElYkX7l4wRkHqqCUFNJY4AfY3kHU/edit?usp=sharing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2" s="7" t="s">
        <v>10</v>
      </c>
      <c r="H13652" s="7">
        <v>18852</v>
      </c>
      <c r="I13652" s="8" t="str">
        <f ca="1">IFERROR(__xludf.DUMMYFUNCTION("IF
(
G13653=""фізична особа""
,
VLOOKUP(H13653,IMPORTRANGE(""https://docs.google.com/spreadsheets/d/14Bd19lYaqBhU8_DElYkX7l4wRkHqqCUFNJY4AfY3kHU/edit?usp=sharing  #gid=0"",""фіз особи new!relations_name""),6,FALSE)
,
(IF
(
G13653=""юридична особа""
,
VLOO"&amp;"KUP(H13653,IMPORTRANGE(""https://docs.google.com/spreadsheets/d/14Bd19lYaqBhU8_DElYkX7l4wRkHqqCUFNJY4AfY3kHU/edit?usp=sharing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652" s="7" t="s">
        <v>23</v>
      </c>
    </row>
    <row r="13653" spans="1:10" ht="13.2">
      <c r="A13653" s="7">
        <v>13652</v>
      </c>
      <c r="B13653" s="7">
        <v>1</v>
      </c>
      <c r="C13653" s="7" t="s">
        <v>10</v>
      </c>
      <c r="D13653" s="7">
        <v>18585</v>
      </c>
      <c r="E13653" s="7" t="s">
        <v>23</v>
      </c>
      <c r="F13653" s="8" t="str">
        <f ca="1">IFERROR(__xludf.DUMMYFUNCTION("IF
(
C13654=""фізична особа""
,
VLOOKUP(D13654,IMPORTRANGE(""https://docs.google.com/spreadsheets/d/14Bd19lYaqBhU8_DElYkX7l4wRkHqqCUFNJY4AfY3kHU/edit?usp=sharing  #gid=0"",""фіз особи new!relations_name""),6,FALSE)
,
(IF
(
C13654=""юридична особа""
,
VLOO"&amp;"KUP(D13654,IMPORTRANGE(""https://docs.google.com/spreadsheets/d/14Bd19lYaqBhU8_DElYkX7l4wRkHqqCUFNJY4AfY3kHU/edit?usp=sharing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3" s="7" t="s">
        <v>10</v>
      </c>
      <c r="H13653" s="7">
        <v>18853</v>
      </c>
      <c r="I13653" s="8" t="str">
        <f ca="1">IFERROR(__xludf.DUMMYFUNCTION("IF
(
G13654=""фізична особа""
,
VLOOKUP(H13654,IMPORTRANGE(""https://docs.google.com/spreadsheets/d/14Bd19lYaqBhU8_DElYkX7l4wRkHqqCUFNJY4AfY3kHU/edit?usp=sharing  #gid=0"",""фіз особи new!relations_name""),6,FALSE)
,
(IF
(
G13654=""юридична особа""
,
VLOO"&amp;"KUP(H13654,IMPORTRANGE(""https://docs.google.com/spreadsheets/d/14Bd19lYaqBhU8_DElYkX7l4wRkHqqCUFNJY4AfY3kHU/edit?usp=sharing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653" s="7" t="s">
        <v>23</v>
      </c>
    </row>
    <row r="13654" spans="1:10" ht="13.2">
      <c r="A13654" s="7">
        <v>13653</v>
      </c>
      <c r="B13654" s="7">
        <v>1</v>
      </c>
      <c r="C13654" s="7" t="s">
        <v>10</v>
      </c>
      <c r="D13654" s="7">
        <v>18585</v>
      </c>
      <c r="E13654" s="7" t="s">
        <v>23</v>
      </c>
      <c r="F13654" s="8" t="str">
        <f ca="1">IFERROR(__xludf.DUMMYFUNCTION("IF
(
C13655=""фізична особа""
,
VLOOKUP(D13655,IMPORTRANGE(""https://docs.google.com/spreadsheets/d/14Bd19lYaqBhU8_DElYkX7l4wRkHqqCUFNJY4AfY3kHU/edit?usp=sharing  #gid=0"",""фіз особи new!relations_name""),6,FALSE)
,
(IF
(
C13655=""юридична особа""
,
VLOO"&amp;"KUP(D13655,IMPORTRANGE(""https://docs.google.com/spreadsheets/d/14Bd19lYaqBhU8_DElYkX7l4wRkHqqCUFNJY4AfY3kHU/edit?usp=sharing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4" s="7" t="s">
        <v>10</v>
      </c>
      <c r="H13654" s="7">
        <v>18854</v>
      </c>
      <c r="I13654" s="8" t="str">
        <f ca="1">IFERROR(__xludf.DUMMYFUNCTION("IF
(
G13655=""фізична особа""
,
VLOOKUP(H13655,IMPORTRANGE(""https://docs.google.com/spreadsheets/d/14Bd19lYaqBhU8_DElYkX7l4wRkHqqCUFNJY4AfY3kHU/edit?usp=sharing  #gid=0"",""фіз особи new!relations_name""),6,FALSE)
,
(IF
(
G13655=""юридична особа""
,
VLOO"&amp;"KUP(H13655,IMPORTRANGE(""https://docs.google.com/spreadsheets/d/14Bd19lYaqBhU8_DElYkX7l4wRkHqqCUFNJY4AfY3kHU/edit?usp=sharing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654" s="7" t="s">
        <v>23</v>
      </c>
    </row>
    <row r="13655" spans="1:10" ht="13.2">
      <c r="A13655" s="7">
        <v>13654</v>
      </c>
      <c r="B13655" s="7">
        <v>1</v>
      </c>
      <c r="C13655" s="7" t="s">
        <v>10</v>
      </c>
      <c r="D13655" s="7">
        <v>18585</v>
      </c>
      <c r="E13655" s="7" t="s">
        <v>23</v>
      </c>
      <c r="F13655" s="8" t="str">
        <f ca="1">IFERROR(__xludf.DUMMYFUNCTION("IF
(
C13656=""фізична особа""
,
VLOOKUP(D13656,IMPORTRANGE(""https://docs.google.com/spreadsheets/d/14Bd19lYaqBhU8_DElYkX7l4wRkHqqCUFNJY4AfY3kHU/edit?usp=sharing  #gid=0"",""фіз особи new!relations_name""),6,FALSE)
,
(IF
(
C13656=""юридична особа""
,
VLOO"&amp;"KUP(D13656,IMPORTRANGE(""https://docs.google.com/spreadsheets/d/14Bd19lYaqBhU8_DElYkX7l4wRkHqqCUFNJY4AfY3kHU/edit?usp=sharing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5" s="7" t="s">
        <v>10</v>
      </c>
      <c r="H13655" s="7">
        <v>18855</v>
      </c>
      <c r="I13655" s="8" t="str">
        <f ca="1">IFERROR(__xludf.DUMMYFUNCTION("IF
(
G13656=""фізична особа""
,
VLOOKUP(H13656,IMPORTRANGE(""https://docs.google.com/spreadsheets/d/14Bd19lYaqBhU8_DElYkX7l4wRkHqqCUFNJY4AfY3kHU/edit?usp=sharing  #gid=0"",""фіз особи new!relations_name""),6,FALSE)
,
(IF
(
G13656=""юридична особа""
,
VLOO"&amp;"KUP(H13656,IMPORTRANGE(""https://docs.google.com/spreadsheets/d/14Bd19lYaqBhU8_DElYkX7l4wRkHqqCUFNJY4AfY3kHU/edit?usp=sharing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655" s="7" t="s">
        <v>23</v>
      </c>
    </row>
    <row r="13656" spans="1:10" ht="13.2">
      <c r="A13656" s="7">
        <v>13655</v>
      </c>
      <c r="B13656" s="7">
        <v>1</v>
      </c>
      <c r="C13656" s="7" t="s">
        <v>10</v>
      </c>
      <c r="D13656" s="7">
        <v>18585</v>
      </c>
      <c r="E13656" s="7" t="s">
        <v>23</v>
      </c>
      <c r="F13656" s="8" t="str">
        <f ca="1">IFERROR(__xludf.DUMMYFUNCTION("IF
(
C13657=""фізична особа""
,
VLOOKUP(D13657,IMPORTRANGE(""https://docs.google.com/spreadsheets/d/14Bd19lYaqBhU8_DElYkX7l4wRkHqqCUFNJY4AfY3kHU/edit?usp=sharing  #gid=0"",""фіз особи new!relations_name""),6,FALSE)
,
(IF
(
C13657=""юридична особа""
,
VLOO"&amp;"KUP(D13657,IMPORTRANGE(""https://docs.google.com/spreadsheets/d/14Bd19lYaqBhU8_DElYkX7l4wRkHqqCUFNJY4AfY3kHU/edit?usp=sharing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G13656" s="7" t="s">
        <v>10</v>
      </c>
      <c r="H13656" s="7">
        <v>18856</v>
      </c>
      <c r="I13656" s="8" t="str">
        <f ca="1">IFERROR(__xludf.DUMMYFUNCTION("IF
(
G13657=""фізична особа""
,
VLOOKUP(H13657,IMPORTRANGE(""https://docs.google.com/spreadsheets/d/14Bd19lYaqBhU8_DElYkX7l4wRkHqqCUFNJY4AfY3kHU/edit?usp=sharing  #gid=0"",""фіз особи new!relations_name""),6,FALSE)
,
(IF
(
G13657=""юридична особа""
,
VLOO"&amp;"KUP(H13657,IMPORTRANGE(""https://docs.google.com/spreadsheets/d/14Bd19lYaqBhU8_DElYkX7l4wRkHqqCUFNJY4AfY3kHU/edit?usp=sharing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656" s="7" t="s">
        <v>23</v>
      </c>
    </row>
    <row r="13657" spans="1:10" ht="13.2">
      <c r="A13657" s="7">
        <v>13656</v>
      </c>
      <c r="B13657" s="7">
        <v>1</v>
      </c>
      <c r="C13657" s="7" t="s">
        <v>10</v>
      </c>
      <c r="D13657" s="7">
        <v>18594</v>
      </c>
      <c r="E13657" s="7" t="s">
        <v>13</v>
      </c>
      <c r="F13657" s="8" t="str">
        <f ca="1">IFERROR(__xludf.DUMMYFUNCTION("IF
(
C13658=""фізична особа""
,
VLOOKUP(D13658,IMPORTRANGE(""https://docs.google.com/spreadsheets/d/14Bd19lYaqBhU8_DElYkX7l4wRkHqqCUFNJY4AfY3kHU/edit?usp=sharing  #gid=0"",""фіз особи new!relations_name""),6,FALSE)
,
(IF
(
C13658=""юридична особа""
,
VLOO"&amp;"KUP(D13658,IMPORTRANGE(""https://docs.google.com/spreadsheets/d/14Bd19lYaqBhU8_DElYkX7l4wRkHqqCUFNJY4AfY3kHU/edit?usp=sharing  #gid=0"",""фіз особи new!relations_name_uo""),7,FALSE)
,
)
))"),"РИСЬ Ірина Сергіївна")</f>
        <v>РИСЬ Ірина Сергіївна</v>
      </c>
      <c r="G13657" s="7" t="s">
        <v>10</v>
      </c>
      <c r="H13657" s="7">
        <v>18505</v>
      </c>
      <c r="I13657" s="8" t="str">
        <f ca="1">IFERROR(__xludf.DUMMYFUNCTION("IF
(
G13658=""фізична особа""
,
VLOOKUP(H13658,IMPORTRANGE(""https://docs.google.com/spreadsheets/d/14Bd19lYaqBhU8_DElYkX7l4wRkHqqCUFNJY4AfY3kHU/edit?usp=sharing  #gid=0"",""фіз особи new!relations_name""),6,FALSE)
,
(IF
(
G13658=""юридична особа""
,
VLOO"&amp;"KUP(H13658,IMPORTRANGE(""https://docs.google.com/spreadsheets/d/14Bd19lYaqBhU8_DElYkX7l4wRkHqqCUFNJY4AfY3kHU/edit?usp=sharing  #gid=0"",""фіз особи new!relations_name_uo""),7,FALSE)
,
)
))"),"ДОКУЧАЄВ Сергій Володимирович")</f>
        <v>ДОКУЧАЄВ Сергій Володимирович</v>
      </c>
      <c r="J13657" s="7" t="s">
        <v>12</v>
      </c>
    </row>
    <row r="13658" spans="1:10" ht="13.2">
      <c r="A13658" s="7">
        <v>13657</v>
      </c>
      <c r="B13658" s="7">
        <v>1</v>
      </c>
      <c r="C13658" s="7" t="s">
        <v>10</v>
      </c>
      <c r="D13658" s="7">
        <v>18594</v>
      </c>
      <c r="E13658" s="7" t="s">
        <v>13</v>
      </c>
      <c r="F13658" s="8" t="str">
        <f ca="1">IFERROR(__xludf.DUMMYFUNCTION("IF
(
C13659=""фізична особа""
,
VLOOKUP(D13659,IMPORTRANGE(""https://docs.google.com/spreadsheets/d/14Bd19lYaqBhU8_DElYkX7l4wRkHqqCUFNJY4AfY3kHU/edit?usp=sharing  #gid=0"",""фіз особи new!relations_name""),6,FALSE)
,
(IF
(
C13659=""юридична особа""
,
VLOO"&amp;"KUP(D13659,IMPORTRANGE(""https://docs.google.com/spreadsheets/d/14Bd19lYaqBhU8_DElYkX7l4wRkHqqCUFNJY4AfY3kHU/edit?usp=sharing  #gid=0"",""фіз особи new!relations_name_uo""),7,FALSE)
,
)
))"),"РИСЬ Ірина Сергіївна")</f>
        <v>РИСЬ Ірина Сергіївна</v>
      </c>
      <c r="G13658" s="7" t="s">
        <v>10</v>
      </c>
      <c r="H13658" s="7">
        <v>23658</v>
      </c>
      <c r="I13658" s="8" t="str">
        <f ca="1">IFERROR(__xludf.DUMMYFUNCTION("IF
(
G13659=""фізична особа""
,
VLOOKUP(H13659,IMPORTRANGE(""https://docs.google.com/spreadsheets/d/14Bd19lYaqBhU8_DElYkX7l4wRkHqqCUFNJY4AfY3kHU/edit?usp=sharing  #gid=0"",""фіз особи new!relations_name""),6,FALSE)
,
(IF
(
G13659=""юридична особа""
,
VLOO"&amp;"KUP(H13659,IMPORTRANGE(""https://docs.google.com/spreadsheets/d/14Bd19lYaqBhU8_DElYkX7l4wRkHqqCUFNJY4AfY3kHU/edit?usp=sharing  #gid=0"",""фіз особи new!relations_name_uo""),7,FALSE)
,
)
))"),"ДОКУЧАЄВА Галина Олександрівна")</f>
        <v>ДОКУЧАЄВА Галина Олександрівна</v>
      </c>
      <c r="J13658" s="7" t="s">
        <v>21</v>
      </c>
    </row>
    <row r="13659" spans="1:10" ht="13.2">
      <c r="A13659" s="7">
        <v>13658</v>
      </c>
      <c r="B13659" s="7">
        <v>1</v>
      </c>
      <c r="C13659" s="7" t="s">
        <v>10</v>
      </c>
      <c r="D13659" s="7">
        <v>18632</v>
      </c>
      <c r="E13659" s="7" t="s">
        <v>15</v>
      </c>
      <c r="F13659" s="8" t="str">
        <f ca="1">IFERROR(__xludf.DUMMYFUNCTION("IF
(
C13660=""фізична особа""
,
VLOOKUP(D13660,IMPORTRANGE(""https://docs.google.com/spreadsheets/d/14Bd19lYaqBhU8_DElYkX7l4wRkHqqCUFNJY4AfY3kHU/edit?usp=sharing  #gid=0"",""фіз особи new!relations_name""),6,FALSE)
,
(IF
(
C13660=""юридична особа""
,
VLOO"&amp;"KUP(D13660,IMPORTRANGE(""https://docs.google.com/spreadsheets/d/14Bd19lYaqBhU8_DElYkX7l4wRkHqqCUFNJY4AfY3kHU/edit?usp=sharing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G13659" s="7" t="s">
        <v>10</v>
      </c>
      <c r="H13659" s="7">
        <v>18634</v>
      </c>
      <c r="I13659" s="8" t="str">
        <f ca="1">IFERROR(__xludf.DUMMYFUNCTION("IF
(
G13660=""фізична особа""
,
VLOOKUP(H13660,IMPORTRANGE(""https://docs.google.com/spreadsheets/d/14Bd19lYaqBhU8_DElYkX7l4wRkHqqCUFNJY4AfY3kHU/edit?usp=sharing  #gid=0"",""фіз особи new!relations_name""),6,FALSE)
,
(IF
(
G13660=""юридична особа""
,
VLOO"&amp;"KUP(H13660,IMPORTRANGE(""https://docs.google.com/spreadsheets/d/14Bd19lYaqBhU8_DElYkX7l4wRkHqqCUFNJY4AfY3kHU/edit?usp=sharing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J13659" s="7" t="s">
        <v>14</v>
      </c>
    </row>
    <row r="13660" spans="1:10" ht="13.2">
      <c r="A13660" s="7">
        <v>13659</v>
      </c>
      <c r="B13660" s="7">
        <v>1</v>
      </c>
      <c r="C13660" s="7" t="s">
        <v>10</v>
      </c>
      <c r="D13660" s="7">
        <v>18632</v>
      </c>
      <c r="E13660" s="7" t="s">
        <v>21</v>
      </c>
      <c r="F13660" s="8" t="str">
        <f ca="1">IFERROR(__xludf.DUMMYFUNCTION("IF
(
C13661=""фізична особа""
,
VLOOKUP(D13661,IMPORTRANGE(""https://docs.google.com/spreadsheets/d/14Bd19lYaqBhU8_DElYkX7l4wRkHqqCUFNJY4AfY3kHU/edit?usp=sharing  #gid=0"",""фіз особи new!relations_name""),6,FALSE)
,
(IF
(
C13661=""юридична особа""
,
VLOO"&amp;"KUP(D13661,IMPORTRANGE(""https://docs.google.com/spreadsheets/d/14Bd19lYaqBhU8_DElYkX7l4wRkHqqCUFNJY4AfY3kHU/edit?usp=sharing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G13660" s="7" t="s">
        <v>10</v>
      </c>
      <c r="H13660" s="7">
        <v>18643</v>
      </c>
      <c r="I13660" s="8" t="str">
        <f ca="1">IFERROR(__xludf.DUMMYFUNCTION("IF
(
G13661=""фізична особа""
,
VLOOKUP(H13661,IMPORTRANGE(""https://docs.google.com/spreadsheets/d/14Bd19lYaqBhU8_DElYkX7l4wRkHqqCUFNJY4AfY3kHU/edit?usp=sharing  #gid=0"",""фіз особи new!relations_name""),6,FALSE)
,
(IF
(
G13661=""юридична особа""
,
VLOO"&amp;"KUP(H13661,IMPORTRANGE(""https://docs.google.com/spreadsheets/d/14Bd19lYaqBhU8_DElYkX7l4wRkHqqCUFNJY4AfY3kHU/edit?usp=sharing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J13660" s="7" t="s">
        <v>17</v>
      </c>
    </row>
    <row r="13661" spans="1:10" ht="13.2">
      <c r="A13661" s="7">
        <v>13660</v>
      </c>
      <c r="B13661" s="7">
        <v>1</v>
      </c>
      <c r="C13661" s="7" t="s">
        <v>10</v>
      </c>
      <c r="D13661" s="7">
        <v>18632</v>
      </c>
      <c r="E13661" s="7" t="s">
        <v>21</v>
      </c>
      <c r="F13661" s="8" t="str">
        <f ca="1">IFERROR(__xludf.DUMMYFUNCTION("IF
(
C13662=""фізична особа""
,
VLOOKUP(D13662,IMPORTRANGE(""https://docs.google.com/spreadsheets/d/14Bd19lYaqBhU8_DElYkX7l4wRkHqqCUFNJY4AfY3kHU/edit?usp=sharing  #gid=0"",""фіз особи new!relations_name""),6,FALSE)
,
(IF
(
C13662=""юридична особа""
,
VLOO"&amp;"KUP(D13662,IMPORTRANGE(""https://docs.google.com/spreadsheets/d/14Bd19lYaqBhU8_DElYkX7l4wRkHqqCUFNJY4AfY3kHU/edit?usp=sharing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G13661" s="7" t="s">
        <v>10</v>
      </c>
      <c r="H13661" s="7">
        <v>18635</v>
      </c>
      <c r="I13661" s="8" t="str">
        <f ca="1">IFERROR(__xludf.DUMMYFUNCTION("IF
(
G13662=""фізична особа""
,
VLOOKUP(H13662,IMPORTRANGE(""https://docs.google.com/spreadsheets/d/14Bd19lYaqBhU8_DElYkX7l4wRkHqqCUFNJY4AfY3kHU/edit?usp=sharing  #gid=0"",""фіз особи new!relations_name""),6,FALSE)
,
(IF
(
G13662=""юридична особа""
,
VLOO"&amp;"KUP(H13662,IMPORTRANGE(""https://docs.google.com/spreadsheets/d/14Bd19lYaqBhU8_DElYkX7l4wRkHqqCUFNJY4AfY3kHU/edit?usp=sharing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J13661" s="7" t="s">
        <v>17</v>
      </c>
    </row>
    <row r="13662" spans="1:10" ht="13.2">
      <c r="A13662" s="7">
        <v>13661</v>
      </c>
      <c r="B13662" s="7">
        <v>1</v>
      </c>
      <c r="C13662" s="7" t="s">
        <v>10</v>
      </c>
      <c r="D13662" s="7">
        <v>18634</v>
      </c>
      <c r="E13662" s="7" t="s">
        <v>14</v>
      </c>
      <c r="F13662" s="8" t="str">
        <f ca="1">IFERROR(__xludf.DUMMYFUNCTION("IF
(
C13663=""фізична особа""
,
VLOOKUP(D13663,IMPORTRANGE(""https://docs.google.com/spreadsheets/d/14Bd19lYaqBhU8_DElYkX7l4wRkHqqCUFNJY4AfY3kHU/edit?usp=sharing  #gid=0"",""фіз особи new!relations_name""),6,FALSE)
,
(IF
(
C13663=""юридична особа""
,
VLOO"&amp;"KUP(D13663,IMPORTRANGE(""https://docs.google.com/spreadsheets/d/14Bd19lYaqBhU8_DElYkX7l4wRkHqqCUFNJY4AfY3kHU/edit?usp=sharing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G13662" s="7" t="s">
        <v>10</v>
      </c>
      <c r="H13662" s="7">
        <v>18632</v>
      </c>
      <c r="I13662" s="8" t="str">
        <f ca="1">IFERROR(__xludf.DUMMYFUNCTION("IF
(
G13663=""фізична особа""
,
VLOOKUP(H13663,IMPORTRANGE(""https://docs.google.com/spreadsheets/d/14Bd19lYaqBhU8_DElYkX7l4wRkHqqCUFNJY4AfY3kHU/edit?usp=sharing  #gid=0"",""фіз особи new!relations_name""),6,FALSE)
,
(IF
(
G13663=""юридична особа""
,
VLOO"&amp;"KUP(H13663,IMPORTRANGE(""https://docs.google.com/spreadsheets/d/14Bd19lYaqBhU8_DElYkX7l4wRkHqqCUFNJY4AfY3kHU/edit?usp=sharing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J13662" s="7" t="s">
        <v>15</v>
      </c>
    </row>
    <row r="13663" spans="1:10" ht="13.2">
      <c r="A13663" s="7">
        <v>13662</v>
      </c>
      <c r="B13663" s="7">
        <v>1</v>
      </c>
      <c r="C13663" s="7" t="s">
        <v>10</v>
      </c>
      <c r="D13663" s="7">
        <v>18634</v>
      </c>
      <c r="E13663" s="7" t="s">
        <v>12</v>
      </c>
      <c r="F13663" s="8" t="str">
        <f ca="1">IFERROR(__xludf.DUMMYFUNCTION("IF
(
C13664=""фізична особа""
,
VLOOKUP(D13664,IMPORTRANGE(""https://docs.google.com/spreadsheets/d/14Bd19lYaqBhU8_DElYkX7l4wRkHqqCUFNJY4AfY3kHU/edit?usp=sharing  #gid=0"",""фіз особи new!relations_name""),6,FALSE)
,
(IF
(
C13664=""юридична особа""
,
VLOO"&amp;"KUP(D13664,IMPORTRANGE(""https://docs.google.com/spreadsheets/d/14Bd19lYaqBhU8_DElYkX7l4wRkHqqCUFNJY4AfY3kHU/edit?usp=sharing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G13663" s="7" t="s">
        <v>10</v>
      </c>
      <c r="H13663" s="7">
        <v>18643</v>
      </c>
      <c r="I13663" s="8" t="str">
        <f ca="1">IFERROR(__xludf.DUMMYFUNCTION("IF
(
G13664=""фізична особа""
,
VLOOKUP(H13664,IMPORTRANGE(""https://docs.google.com/spreadsheets/d/14Bd19lYaqBhU8_DElYkX7l4wRkHqqCUFNJY4AfY3kHU/edit?usp=sharing  #gid=0"",""фіз особи new!relations_name""),6,FALSE)
,
(IF
(
G13664=""юридична особа""
,
VLOO"&amp;"KUP(H13664,IMPORTRANGE(""https://docs.google.com/spreadsheets/d/14Bd19lYaqBhU8_DElYkX7l4wRkHqqCUFNJY4AfY3kHU/edit?usp=sharing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J13663" s="7" t="s">
        <v>17</v>
      </c>
    </row>
    <row r="13664" spans="1:10" ht="13.2">
      <c r="A13664" s="7">
        <v>13663</v>
      </c>
      <c r="B13664" s="7">
        <v>1</v>
      </c>
      <c r="C13664" s="7" t="s">
        <v>10</v>
      </c>
      <c r="D13664" s="7">
        <v>18634</v>
      </c>
      <c r="E13664" s="7" t="s">
        <v>12</v>
      </c>
      <c r="F13664" s="8" t="str">
        <f ca="1">IFERROR(__xludf.DUMMYFUNCTION("IF
(
C13665=""фізична особа""
,
VLOOKUP(D13665,IMPORTRANGE(""https://docs.google.com/spreadsheets/d/14Bd19lYaqBhU8_DElYkX7l4wRkHqqCUFNJY4AfY3kHU/edit?usp=sharing  #gid=0"",""фіз особи new!relations_name""),6,FALSE)
,
(IF
(
C13665=""юридична особа""
,
VLOO"&amp;"KUP(D13665,IMPORTRANGE(""https://docs.google.com/spreadsheets/d/14Bd19lYaqBhU8_DElYkX7l4wRkHqqCUFNJY4AfY3kHU/edit?usp=sharing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G13664" s="7" t="s">
        <v>10</v>
      </c>
      <c r="H13664" s="7">
        <v>18635</v>
      </c>
      <c r="I13664" s="8" t="str">
        <f ca="1">IFERROR(__xludf.DUMMYFUNCTION("IF
(
G13665=""фізична особа""
,
VLOOKUP(H13665,IMPORTRANGE(""https://docs.google.com/spreadsheets/d/14Bd19lYaqBhU8_DElYkX7l4wRkHqqCUFNJY4AfY3kHU/edit?usp=sharing  #gid=0"",""фіз особи new!relations_name""),6,FALSE)
,
(IF
(
G13665=""юридична особа""
,
VLOO"&amp;"KUP(H13665,IMPORTRANGE(""https://docs.google.com/spreadsheets/d/14Bd19lYaqBhU8_DElYkX7l4wRkHqqCUFNJY4AfY3kHU/edit?usp=sharing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J13664" s="7" t="s">
        <v>17</v>
      </c>
    </row>
    <row r="13665" spans="1:10" ht="13.2">
      <c r="A13665" s="7">
        <v>13664</v>
      </c>
      <c r="B13665" s="7">
        <v>1</v>
      </c>
      <c r="C13665" s="7" t="s">
        <v>10</v>
      </c>
      <c r="D13665" s="7">
        <v>18635</v>
      </c>
      <c r="E13665" s="7" t="s">
        <v>17</v>
      </c>
      <c r="F13665" s="8" t="str">
        <f ca="1">IFERROR(__xludf.DUMMYFUNCTION("IF
(
C13666=""фізична особа""
,
VLOOKUP(D13666,IMPORTRANGE(""https://docs.google.com/spreadsheets/d/14Bd19lYaqBhU8_DElYkX7l4wRkHqqCUFNJY4AfY3kHU/edit?usp=sharing  #gid=0"",""фіз особи new!relations_name""),6,FALSE)
,
(IF
(
C13666=""юридична особа""
,
VLOO"&amp;"KUP(D13666,IMPORTRANGE(""https://docs.google.com/spreadsheets/d/14Bd19lYaqBhU8_DElYkX7l4wRkHqqCUFNJY4AfY3kHU/edit?usp=sharing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G13665" s="7" t="s">
        <v>10</v>
      </c>
      <c r="H13665" s="7">
        <v>18634</v>
      </c>
      <c r="I13665" s="8" t="str">
        <f ca="1">IFERROR(__xludf.DUMMYFUNCTION("IF
(
G13666=""фізична особа""
,
VLOOKUP(H13666,IMPORTRANGE(""https://docs.google.com/spreadsheets/d/14Bd19lYaqBhU8_DElYkX7l4wRkHqqCUFNJY4AfY3kHU/edit?usp=sharing  #gid=0"",""фіз особи new!relations_name""),6,FALSE)
,
(IF
(
G13666=""юридична особа""
,
VLOO"&amp;"KUP(H13666,IMPORTRANGE(""https://docs.google.com/spreadsheets/d/14Bd19lYaqBhU8_DElYkX7l4wRkHqqCUFNJY4AfY3kHU/edit?usp=sharing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J13665" s="7" t="s">
        <v>12</v>
      </c>
    </row>
    <row r="13666" spans="1:10" ht="13.2">
      <c r="A13666" s="7">
        <v>13665</v>
      </c>
      <c r="B13666" s="7">
        <v>1</v>
      </c>
      <c r="C13666" s="7" t="s">
        <v>10</v>
      </c>
      <c r="D13666" s="7">
        <v>18635</v>
      </c>
      <c r="E13666" s="7" t="s">
        <v>17</v>
      </c>
      <c r="F13666" s="8" t="str">
        <f ca="1">IFERROR(__xludf.DUMMYFUNCTION("IF
(
C13667=""фізична особа""
,
VLOOKUP(D13667,IMPORTRANGE(""https://docs.google.com/spreadsheets/d/14Bd19lYaqBhU8_DElYkX7l4wRkHqqCUFNJY4AfY3kHU/edit?usp=sharing  #gid=0"",""фіз особи new!relations_name""),6,FALSE)
,
(IF
(
C13667=""юридична особа""
,
VLOO"&amp;"KUP(D13667,IMPORTRANGE(""https://docs.google.com/spreadsheets/d/14Bd19lYaqBhU8_DElYkX7l4wRkHqqCUFNJY4AfY3kHU/edit?usp=sharing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G13666" s="7" t="s">
        <v>10</v>
      </c>
      <c r="H13666" s="7">
        <v>18632</v>
      </c>
      <c r="I13666" s="8" t="str">
        <f ca="1">IFERROR(__xludf.DUMMYFUNCTION("IF
(
G13667=""фізична особа""
,
VLOOKUP(H13667,IMPORTRANGE(""https://docs.google.com/spreadsheets/d/14Bd19lYaqBhU8_DElYkX7l4wRkHqqCUFNJY4AfY3kHU/edit?usp=sharing  #gid=0"",""фіз особи new!relations_name""),6,FALSE)
,
(IF
(
G13667=""юридична особа""
,
VLOO"&amp;"KUP(H13667,IMPORTRANGE(""https://docs.google.com/spreadsheets/d/14Bd19lYaqBhU8_DElYkX7l4wRkHqqCUFNJY4AfY3kHU/edit?usp=sharing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J13666" s="7" t="s">
        <v>21</v>
      </c>
    </row>
    <row r="13667" spans="1:10" ht="13.2">
      <c r="A13667" s="7">
        <v>13666</v>
      </c>
      <c r="B13667" s="7">
        <v>1</v>
      </c>
      <c r="C13667" s="7" t="s">
        <v>10</v>
      </c>
      <c r="D13667" s="7">
        <v>18635</v>
      </c>
      <c r="E13667" s="7" t="s">
        <v>18</v>
      </c>
      <c r="F13667" s="8" t="str">
        <f ca="1">IFERROR(__xludf.DUMMYFUNCTION("IF
(
C13668=""фізична особа""
,
VLOOKUP(D13668,IMPORTRANGE(""https://docs.google.com/spreadsheets/d/14Bd19lYaqBhU8_DElYkX7l4wRkHqqCUFNJY4AfY3kHU/edit?usp=sharing  #gid=0"",""фіз особи new!relations_name""),6,FALSE)
,
(IF
(
C13668=""юридична особа""
,
VLOO"&amp;"KUP(D13668,IMPORTRANGE(""https://docs.google.com/spreadsheets/d/14Bd19lYaqBhU8_DElYkX7l4wRkHqqCUFNJY4AfY3kHU/edit?usp=sharing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G13667" s="7" t="s">
        <v>10</v>
      </c>
      <c r="H13667" s="7">
        <v>18643</v>
      </c>
      <c r="I13667" s="8" t="str">
        <f ca="1">IFERROR(__xludf.DUMMYFUNCTION("IF
(
G13668=""фізична особа""
,
VLOOKUP(H13668,IMPORTRANGE(""https://docs.google.com/spreadsheets/d/14Bd19lYaqBhU8_DElYkX7l4wRkHqqCUFNJY4AfY3kHU/edit?usp=sharing  #gid=0"",""фіз особи new!relations_name""),6,FALSE)
,
(IF
(
G13668=""юридична особа""
,
VLOO"&amp;"KUP(H13668,IMPORTRANGE(""https://docs.google.com/spreadsheets/d/14Bd19lYaqBhU8_DElYkX7l4wRkHqqCUFNJY4AfY3kHU/edit?usp=sharing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J13667" s="7" t="s">
        <v>18</v>
      </c>
    </row>
    <row r="13668" spans="1:10" ht="13.2">
      <c r="A13668" s="7">
        <v>13667</v>
      </c>
      <c r="B13668" s="7">
        <v>1</v>
      </c>
      <c r="C13668" s="7" t="s">
        <v>10</v>
      </c>
      <c r="D13668" s="7">
        <v>18638</v>
      </c>
      <c r="E13668" s="7" t="s">
        <v>48</v>
      </c>
      <c r="F13668" s="8" t="str">
        <f ca="1">IFERROR(__xludf.DUMMYFUNCTION("IF
(
C13669=""фізична особа""
,
VLOOKUP(D13669,IMPORTRANGE(""https://docs.google.com/spreadsheets/d/14Bd19lYaqBhU8_DElYkX7l4wRkHqqCUFNJY4AfY3kHU/edit?usp=sharing  #gid=0"",""фіз особи new!relations_name""),6,FALSE)
,
(IF
(
C13669=""юридична особа""
,
VLOO"&amp;"KUP(D13669,IMPORTRANGE(""https://docs.google.com/spreadsheets/d/14Bd19lYaqBhU8_DElYkX7l4wRkHqqCUFNJY4AfY3kHU/edit?usp=sharing  #gid=0"",""фіз особи new!relations_name_uo""),7,FALSE)
,
)
))"),"ЗАХАР'ЯШ Едуард Сергійович")</f>
        <v>ЗАХАР'ЯШ Едуард Сергійович</v>
      </c>
      <c r="G13668" s="7" t="s">
        <v>10</v>
      </c>
      <c r="H13668" s="7">
        <v>185</v>
      </c>
      <c r="I13668" s="8" t="str">
        <f ca="1">IFERROR(__xludf.DUMMYFUNCTION("IF
(
G13669=""фізична особа""
,
VLOOKUP(H13669,IMPORTRANGE(""https://docs.google.com/spreadsheets/d/14Bd19lYaqBhU8_DElYkX7l4wRkHqqCUFNJY4AfY3kHU/edit?usp=sharing  #gid=0"",""фіз особи new!relations_name""),6,FALSE)
,
(IF
(
G13669=""юридична особа""
,
VLOO"&amp;"KUP(H13669,IMPORTRANGE(""https://docs.google.com/spreadsheets/d/14Bd19lYaqBhU8_DElYkX7l4wRkHqqCUFNJY4AfY3kHU/edit?usp=sharing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3668" s="7" t="s">
        <v>48</v>
      </c>
    </row>
    <row r="13669" spans="1:10" ht="13.2">
      <c r="A13669" s="7">
        <v>13668</v>
      </c>
      <c r="B13669" s="7">
        <v>1</v>
      </c>
      <c r="C13669" s="7" t="s">
        <v>10</v>
      </c>
      <c r="D13669" s="7">
        <v>18643</v>
      </c>
      <c r="E13669" s="7" t="s">
        <v>17</v>
      </c>
      <c r="F13669" s="8" t="str">
        <f ca="1">IFERROR(__xludf.DUMMYFUNCTION("IF
(
C13670=""фізична особа""
,
VLOOKUP(D13670,IMPORTRANGE(""https://docs.google.com/spreadsheets/d/14Bd19lYaqBhU8_DElYkX7l4wRkHqqCUFNJY4AfY3kHU/edit?usp=sharing  #gid=0"",""фіз особи new!relations_name""),6,FALSE)
,
(IF
(
C13670=""юридична особа""
,
VLOO"&amp;"KUP(D13670,IMPORTRANGE(""https://docs.google.com/spreadsheets/d/14Bd19lYaqBhU8_DElYkX7l4wRkHqqCUFNJY4AfY3kHU/edit?usp=sharing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G13669" s="7" t="s">
        <v>10</v>
      </c>
      <c r="H13669" s="7">
        <v>18634</v>
      </c>
      <c r="I13669" s="8" t="str">
        <f ca="1">IFERROR(__xludf.DUMMYFUNCTION("IF
(
G13670=""фізична особа""
,
VLOOKUP(H13670,IMPORTRANGE(""https://docs.google.com/spreadsheets/d/14Bd19lYaqBhU8_DElYkX7l4wRkHqqCUFNJY4AfY3kHU/edit?usp=sharing  #gid=0"",""фіз особи new!relations_name""),6,FALSE)
,
(IF
(
G13670=""юридична особа""
,
VLOO"&amp;"KUP(H13670,IMPORTRANGE(""https://docs.google.com/spreadsheets/d/14Bd19lYaqBhU8_DElYkX7l4wRkHqqCUFNJY4AfY3kHU/edit?usp=sharing  #gid=0"",""фіз особи new!relations_name_uo""),7,FALSE)
,
)
))"),"ЦАРЬОВ Вадим Андрійович")</f>
        <v>ЦАРЬОВ Вадим Андрійович</v>
      </c>
      <c r="J13669" s="7" t="s">
        <v>12</v>
      </c>
    </row>
    <row r="13670" spans="1:10" ht="13.2">
      <c r="A13670" s="7">
        <v>13669</v>
      </c>
      <c r="B13670" s="7">
        <v>1</v>
      </c>
      <c r="C13670" s="7" t="s">
        <v>10</v>
      </c>
      <c r="D13670" s="7">
        <v>18643</v>
      </c>
      <c r="E13670" s="7" t="s">
        <v>17</v>
      </c>
      <c r="F13670" s="8" t="str">
        <f ca="1">IFERROR(__xludf.DUMMYFUNCTION("IF
(
C13671=""фізична особа""
,
VLOOKUP(D13671,IMPORTRANGE(""https://docs.google.com/spreadsheets/d/14Bd19lYaqBhU8_DElYkX7l4wRkHqqCUFNJY4AfY3kHU/edit?usp=sharing  #gid=0"",""фіз особи new!relations_name""),6,FALSE)
,
(IF
(
C13671=""юридична особа""
,
VLOO"&amp;"KUP(D13671,IMPORTRANGE(""https://docs.google.com/spreadsheets/d/14Bd19lYaqBhU8_DElYkX7l4wRkHqqCUFNJY4AfY3kHU/edit?usp=sharing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G13670" s="7" t="s">
        <v>10</v>
      </c>
      <c r="H13670" s="7">
        <v>18632</v>
      </c>
      <c r="I13670" s="8" t="str">
        <f ca="1">IFERROR(__xludf.DUMMYFUNCTION("IF
(
G13671=""фізична особа""
,
VLOOKUP(H13671,IMPORTRANGE(""https://docs.google.com/spreadsheets/d/14Bd19lYaqBhU8_DElYkX7l4wRkHqqCUFNJY4AfY3kHU/edit?usp=sharing  #gid=0"",""фіз особи new!relations_name""),6,FALSE)
,
(IF
(
G13671=""юридична особа""
,
VLOO"&amp;"KUP(H13671,IMPORTRANGE(""https://docs.google.com/spreadsheets/d/14Bd19lYaqBhU8_DElYkX7l4wRkHqqCUFNJY4AfY3kHU/edit?usp=sharing  #gid=0"",""фіз особи new!relations_name_uo""),7,FALSE)
,
)
))"),"ЦАРЬОВА Людмила Юріївна")</f>
        <v>ЦАРЬОВА Людмила Юріївна</v>
      </c>
      <c r="J13670" s="7" t="s">
        <v>21</v>
      </c>
    </row>
    <row r="13671" spans="1:10" ht="13.2">
      <c r="A13671" s="7">
        <v>13670</v>
      </c>
      <c r="B13671" s="7">
        <v>1</v>
      </c>
      <c r="C13671" s="7" t="s">
        <v>10</v>
      </c>
      <c r="D13671" s="7">
        <v>18643</v>
      </c>
      <c r="E13671" s="7" t="s">
        <v>18</v>
      </c>
      <c r="F13671" s="8" t="str">
        <f ca="1">IFERROR(__xludf.DUMMYFUNCTION("IF
(
C13672=""фізична особа""
,
VLOOKUP(D13672,IMPORTRANGE(""https://docs.google.com/spreadsheets/d/14Bd19lYaqBhU8_DElYkX7l4wRkHqqCUFNJY4AfY3kHU/edit?usp=sharing  #gid=0"",""фіз особи new!relations_name""),6,FALSE)
,
(IF
(
C13672=""юридична особа""
,
VLOO"&amp;"KUP(D13672,IMPORTRANGE(""https://docs.google.com/spreadsheets/d/14Bd19lYaqBhU8_DElYkX7l4wRkHqqCUFNJY4AfY3kHU/edit?usp=sharing  #gid=0"",""фіз особи new!relations_name_uo""),7,FALSE)
,
)
))"),"ЦАРЬОВ Сергій Вадимович")</f>
        <v>ЦАРЬОВ Сергій Вадимович</v>
      </c>
      <c r="G13671" s="7" t="s">
        <v>10</v>
      </c>
      <c r="H13671" s="7">
        <v>18635</v>
      </c>
      <c r="I13671" s="8" t="str">
        <f ca="1">IFERROR(__xludf.DUMMYFUNCTION("IF
(
G13672=""фізична особа""
,
VLOOKUP(H13672,IMPORTRANGE(""https://docs.google.com/spreadsheets/d/14Bd19lYaqBhU8_DElYkX7l4wRkHqqCUFNJY4AfY3kHU/edit?usp=sharing  #gid=0"",""фіз особи new!relations_name""),6,FALSE)
,
(IF
(
G13672=""юридична особа""
,
VLOO"&amp;"KUP(H13672,IMPORTRANGE(""https://docs.google.com/spreadsheets/d/14Bd19lYaqBhU8_DElYkX7l4wRkHqqCUFNJY4AfY3kHU/edit?usp=sharing  #gid=0"",""фіз особи new!relations_name_uo""),7,FALSE)
,
)
))"),"ЦАРЬОВ Андрій Вадимович")</f>
        <v>ЦАРЬОВ Андрій Вадимович</v>
      </c>
      <c r="J13671" s="7" t="s">
        <v>18</v>
      </c>
    </row>
    <row r="13672" spans="1:10" ht="13.2">
      <c r="A13672" s="7">
        <v>13671</v>
      </c>
      <c r="B13672" s="7">
        <v>1</v>
      </c>
      <c r="C13672" s="7" t="s">
        <v>10</v>
      </c>
      <c r="D13672" s="7">
        <v>18646</v>
      </c>
      <c r="E13672" s="7" t="s">
        <v>14</v>
      </c>
      <c r="F13672" s="8" t="str">
        <f ca="1">IFERROR(__xludf.DUMMYFUNCTION("IF
(
C13673=""фізична особа""
,
VLOOKUP(D13673,IMPORTRANGE(""https://docs.google.com/spreadsheets/d/14Bd19lYaqBhU8_DElYkX7l4wRkHqqCUFNJY4AfY3kHU/edit?usp=sharing  #gid=0"",""фіз особи new!relations_name""),6,FALSE)
,
(IF
(
C13673=""юридична особа""
,
VLOO"&amp;"KUP(D13673,IMPORTRANGE(""https://docs.google.com/spreadsheets/d/14Bd19lYaqBhU8_DElYkX7l4wRkHqqCUFNJY4AfY3kHU/edit?usp=sharing  #gid=0"",""фіз особи new!relations_name_uo""),7,FALSE)
,
)
))"),"ШЕЛЯПІН Юрій Юхимович")</f>
        <v>ШЕЛЯПІН Юрій Юхимович</v>
      </c>
      <c r="G13672" s="7" t="s">
        <v>10</v>
      </c>
      <c r="H13672" s="7">
        <v>18648</v>
      </c>
      <c r="I13672" s="8" t="str">
        <f ca="1">IFERROR(__xludf.DUMMYFUNCTION("IF
(
G13673=""фізична особа""
,
VLOOKUP(H13673,IMPORTRANGE(""https://docs.google.com/spreadsheets/d/14Bd19lYaqBhU8_DElYkX7l4wRkHqqCUFNJY4AfY3kHU/edit?usp=sharing  #gid=0"",""фіз особи new!relations_name""),6,FALSE)
,
(IF
(
G13673=""юридична особа""
,
VLOO"&amp;"KUP(H13673,IMPORTRANGE(""https://docs.google.com/spreadsheets/d/14Bd19lYaqBhU8_DElYkX7l4wRkHqqCUFNJY4AfY3kHU/edit?usp=sharing  #gid=0"",""фіз особи new!relations_name_uo""),7,FALSE)
,
)
))"),"ШЕЛЯПІНА Ольга Ростиславівна")</f>
        <v>ШЕЛЯПІНА Ольга Ростиславівна</v>
      </c>
      <c r="J13672" s="7" t="s">
        <v>15</v>
      </c>
    </row>
    <row r="13673" spans="1:10" ht="13.2">
      <c r="A13673" s="7">
        <v>13672</v>
      </c>
      <c r="B13673" s="7">
        <v>1</v>
      </c>
      <c r="C13673" s="7" t="s">
        <v>10</v>
      </c>
      <c r="D13673" s="7">
        <v>18648</v>
      </c>
      <c r="E13673" s="7" t="s">
        <v>15</v>
      </c>
      <c r="F13673" s="8" t="str">
        <f ca="1">IFERROR(__xludf.DUMMYFUNCTION("IF
(
C13674=""фізична особа""
,
VLOOKUP(D13674,IMPORTRANGE(""https://docs.google.com/spreadsheets/d/14Bd19lYaqBhU8_DElYkX7l4wRkHqqCUFNJY4AfY3kHU/edit?usp=sharing  #gid=0"",""фіз особи new!relations_name""),6,FALSE)
,
(IF
(
C13674=""юридична особа""
,
VLOO"&amp;"KUP(D13674,IMPORTRANGE(""https://docs.google.com/spreadsheets/d/14Bd19lYaqBhU8_DElYkX7l4wRkHqqCUFNJY4AfY3kHU/edit?usp=sharing  #gid=0"",""фіз особи new!relations_name_uo""),7,FALSE)
,
)
))"),"ШЕЛЯПІНА Ольга Ростиславівна")</f>
        <v>ШЕЛЯПІНА Ольга Ростиславівна</v>
      </c>
      <c r="G13673" s="7" t="s">
        <v>10</v>
      </c>
      <c r="H13673" s="7">
        <v>18646</v>
      </c>
      <c r="I13673" s="8" t="str">
        <f ca="1">IFERROR(__xludf.DUMMYFUNCTION("IF
(
G13674=""фізична особа""
,
VLOOKUP(H13674,IMPORTRANGE(""https://docs.google.com/spreadsheets/d/14Bd19lYaqBhU8_DElYkX7l4wRkHqqCUFNJY4AfY3kHU/edit?usp=sharing  #gid=0"",""фіз особи new!relations_name""),6,FALSE)
,
(IF
(
G13674=""юридична особа""
,
VLOO"&amp;"KUP(H13674,IMPORTRANGE(""https://docs.google.com/spreadsheets/d/14Bd19lYaqBhU8_DElYkX7l4wRkHqqCUFNJY4AfY3kHU/edit?usp=sharing  #gid=0"",""фіз особи new!relations_name_uo""),7,FALSE)
,
)
))"),"ШЕЛЯПІН Юрій Юхимович")</f>
        <v>ШЕЛЯПІН Юрій Юхимович</v>
      </c>
      <c r="J13673" s="7" t="s">
        <v>14</v>
      </c>
    </row>
    <row r="13674" spans="1:10" ht="13.2">
      <c r="A13674" s="7">
        <v>13673</v>
      </c>
      <c r="B13674" s="7">
        <v>1</v>
      </c>
      <c r="C13674" s="7" t="s">
        <v>10</v>
      </c>
      <c r="D13674" s="7">
        <v>18703</v>
      </c>
      <c r="E13674" s="7" t="s">
        <v>23</v>
      </c>
      <c r="F13674" s="8" t="str">
        <f ca="1">IFERROR(__xludf.DUMMYFUNCTION("IF
(
C13675=""фізична особа""
,
VLOOKUP(D13675,IMPORTRANGE(""https://docs.google.com/spreadsheets/d/14Bd19lYaqBhU8_DElYkX7l4wRkHqqCUFNJY4AfY3kHU/edit?usp=sharing  #gid=0"",""фіз особи new!relations_name""),6,FALSE)
,
(IF
(
C13675=""юридична особа""
,
VLOO"&amp;"KUP(D13675,IMPORTRANGE(""https://docs.google.com/spreadsheets/d/14Bd19lYaqBhU8_DElYkX7l4wRkHqqCUFNJY4AfY3kHU/edit?usp=sharing  #gid=0"",""фіз особи new!relations_name_uo""),7,FALSE)
,
)
))"),"БЕРРІН Махмутоглу")</f>
        <v>БЕРРІН Махмутоглу</v>
      </c>
      <c r="G13674" s="7" t="s">
        <v>10</v>
      </c>
      <c r="H13674" s="7">
        <v>18705</v>
      </c>
      <c r="I13674" s="8" t="str">
        <f ca="1">IFERROR(__xludf.DUMMYFUNCTION("IF
(
G13675=""фізична особа""
,
VLOOKUP(H13675,IMPORTRANGE(""https://docs.google.com/spreadsheets/d/14Bd19lYaqBhU8_DElYkX7l4wRkHqqCUFNJY4AfY3kHU/edit?usp=sharing  #gid=0"",""фіз особи new!relations_name""),6,FALSE)
,
(IF
(
G13675=""юридична особа""
,
VLOO"&amp;"KUP(H13675,IMPORTRANGE(""https://docs.google.com/spreadsheets/d/14Bd19lYaqBhU8_DElYkX7l4wRkHqqCUFNJY4AfY3kHU/edit?usp=sharing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674" s="7" t="s">
        <v>23</v>
      </c>
    </row>
    <row r="13675" spans="1:10" ht="13.2">
      <c r="A13675" s="7">
        <v>13674</v>
      </c>
      <c r="B13675" s="7">
        <v>1</v>
      </c>
      <c r="C13675" s="7" t="s">
        <v>10</v>
      </c>
      <c r="D13675" s="7">
        <v>18703</v>
      </c>
      <c r="E13675" s="7" t="s">
        <v>23</v>
      </c>
      <c r="F13675" s="8" t="str">
        <f ca="1">IFERROR(__xludf.DUMMYFUNCTION("IF
(
C13676=""фізична особа""
,
VLOOKUP(D13676,IMPORTRANGE(""https://docs.google.com/spreadsheets/d/14Bd19lYaqBhU8_DElYkX7l4wRkHqqCUFNJY4AfY3kHU/edit?usp=sharing  #gid=0"",""фіз особи new!relations_name""),6,FALSE)
,
(IF
(
C13676=""юридична особа""
,
VLOO"&amp;"KUP(D13676,IMPORTRANGE(""https://docs.google.com/spreadsheets/d/14Bd19lYaqBhU8_DElYkX7l4wRkHqqCUFNJY4AfY3kHU/edit?usp=sharing  #gid=0"",""фіз особи new!relations_name_uo""),7,FALSE)
,
)
))"),"БЕРРІН Махмутоглу")</f>
        <v>БЕРРІН Махмутоглу</v>
      </c>
      <c r="G13675" s="7" t="s">
        <v>10</v>
      </c>
      <c r="H13675" s="7">
        <v>18535</v>
      </c>
      <c r="I13675" s="8" t="str">
        <f ca="1">IFERROR(__xludf.DUMMYFUNCTION("IF
(
G13676=""фізична особа""
,
VLOOKUP(H13676,IMPORTRANGE(""https://docs.google.com/spreadsheets/d/14Bd19lYaqBhU8_DElYkX7l4wRkHqqCUFNJY4AfY3kHU/edit?usp=sharing  #gid=0"",""фіз особи new!relations_name""),6,FALSE)
,
(IF
(
G13676=""юридична особа""
,
VLOO"&amp;"KUP(H13676,IMPORTRANGE(""https://docs.google.com/spreadsheets/d/14Bd19lYaqBhU8_DElYkX7l4wRkHqqCUFNJY4AfY3kHU/edit?usp=sharing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75" s="7" t="s">
        <v>23</v>
      </c>
    </row>
    <row r="13676" spans="1:10" ht="13.2">
      <c r="A13676" s="7">
        <v>13675</v>
      </c>
      <c r="B13676" s="7">
        <v>1</v>
      </c>
      <c r="C13676" s="7" t="s">
        <v>10</v>
      </c>
      <c r="D13676" s="7">
        <v>18704</v>
      </c>
      <c r="E13676" s="7" t="s">
        <v>23</v>
      </c>
      <c r="F13676" s="8" t="str">
        <f ca="1">IFERROR(__xludf.DUMMYFUNCTION("IF
(
C13677=""фізична особа""
,
VLOOKUP(D13677,IMPORTRANGE(""https://docs.google.com/spreadsheets/d/14Bd19lYaqBhU8_DElYkX7l4wRkHqqCUFNJY4AfY3kHU/edit?usp=sharing  #gid=0"",""фіз особи new!relations_name""),6,FALSE)
,
(IF
(
C13677=""юридична особа""
,
VLOO"&amp;"KUP(D13677,IMPORTRANGE(""https://docs.google.com/spreadsheets/d/14Bd19lYaqBhU8_DElYkX7l4wRkHqqCUFNJY4AfY3kHU/edit?usp=sharing  #gid=0"",""фіз особи new!relations_name_uo""),7,FALSE)
,
)
))"),"ФУАТ Йилмаз Йилдиз")</f>
        <v>ФУАТ Йилмаз Йилдиз</v>
      </c>
      <c r="G13676" s="7" t="s">
        <v>10</v>
      </c>
      <c r="H13676" s="7">
        <v>18705</v>
      </c>
      <c r="I13676" s="8" t="str">
        <f ca="1">IFERROR(__xludf.DUMMYFUNCTION("IF
(
G13677=""фізична особа""
,
VLOOKUP(H13677,IMPORTRANGE(""https://docs.google.com/spreadsheets/d/14Bd19lYaqBhU8_DElYkX7l4wRkHqqCUFNJY4AfY3kHU/edit?usp=sharing  #gid=0"",""фіз особи new!relations_name""),6,FALSE)
,
(IF
(
G13677=""юридична особа""
,
VLOO"&amp;"KUP(H13677,IMPORTRANGE(""https://docs.google.com/spreadsheets/d/14Bd19lYaqBhU8_DElYkX7l4wRkHqqCUFNJY4AfY3kHU/edit?usp=sharing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676" s="7" t="s">
        <v>23</v>
      </c>
    </row>
    <row r="13677" spans="1:10" ht="13.2">
      <c r="A13677" s="7">
        <v>13676</v>
      </c>
      <c r="B13677" s="7">
        <v>1</v>
      </c>
      <c r="C13677" s="7" t="s">
        <v>10</v>
      </c>
      <c r="D13677" s="7">
        <v>18704</v>
      </c>
      <c r="E13677" s="7" t="s">
        <v>23</v>
      </c>
      <c r="F13677" s="8" t="str">
        <f ca="1">IFERROR(__xludf.DUMMYFUNCTION("IF
(
C13678=""фізична особа""
,
VLOOKUP(D13678,IMPORTRANGE(""https://docs.google.com/spreadsheets/d/14Bd19lYaqBhU8_DElYkX7l4wRkHqqCUFNJY4AfY3kHU/edit?usp=sharing  #gid=0"",""фіз особи new!relations_name""),6,FALSE)
,
(IF
(
C13678=""юридична особа""
,
VLOO"&amp;"KUP(D13678,IMPORTRANGE(""https://docs.google.com/spreadsheets/d/14Bd19lYaqBhU8_DElYkX7l4wRkHqqCUFNJY4AfY3kHU/edit?usp=sharing  #gid=0"",""фіз особи new!relations_name_uo""),7,FALSE)
,
)
))"),"ФУАТ Йилмаз Йилдиз")</f>
        <v>ФУАТ Йилмаз Йилдиз</v>
      </c>
      <c r="G13677" s="7" t="s">
        <v>10</v>
      </c>
      <c r="H13677" s="7">
        <v>18535</v>
      </c>
      <c r="I13677" s="8" t="str">
        <f ca="1">IFERROR(__xludf.DUMMYFUNCTION("IF
(
G13678=""фізична особа""
,
VLOOKUP(H13678,IMPORTRANGE(""https://docs.google.com/spreadsheets/d/14Bd19lYaqBhU8_DElYkX7l4wRkHqqCUFNJY4AfY3kHU/edit?usp=sharing  #gid=0"",""фіз особи new!relations_name""),6,FALSE)
,
(IF
(
G13678=""юридична особа""
,
VLOO"&amp;"KUP(H13678,IMPORTRANGE(""https://docs.google.com/spreadsheets/d/14Bd19lYaqBhU8_DElYkX7l4wRkHqqCUFNJY4AfY3kHU/edit?usp=sharing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77" s="7" t="s">
        <v>23</v>
      </c>
    </row>
    <row r="13678" spans="1:10" ht="13.2">
      <c r="A13678" s="7">
        <v>13677</v>
      </c>
      <c r="B13678" s="7">
        <v>1</v>
      </c>
      <c r="C13678" s="7" t="s">
        <v>10</v>
      </c>
      <c r="D13678" s="7">
        <v>18705</v>
      </c>
      <c r="E13678" s="7" t="s">
        <v>23</v>
      </c>
      <c r="F13678" s="8" t="str">
        <f ca="1">IFERROR(__xludf.DUMMYFUNCTION("IF
(
C13679=""фізична особа""
,
VLOOKUP(D13679,IMPORTRANGE(""https://docs.google.com/spreadsheets/d/14Bd19lYaqBhU8_DElYkX7l4wRkHqqCUFNJY4AfY3kHU/edit?usp=sharing  #gid=0"",""фіз особи new!relations_name""),6,FALSE)
,
(IF
(
C13679=""юридична особа""
,
VLOO"&amp;"KUP(D13679,IMPORTRANGE(""https://docs.google.com/spreadsheets/d/14Bd19lYaqBhU8_DElYkX7l4wRkHqqCUFNJY4AfY3kHU/edit?usp=sharing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G13678" s="7" t="s">
        <v>10</v>
      </c>
      <c r="H13678" s="7">
        <v>18535</v>
      </c>
      <c r="I13678" s="8" t="str">
        <f ca="1">IFERROR(__xludf.DUMMYFUNCTION("IF
(
G13679=""фізична особа""
,
VLOOKUP(H13679,IMPORTRANGE(""https://docs.google.com/spreadsheets/d/14Bd19lYaqBhU8_DElYkX7l4wRkHqqCUFNJY4AfY3kHU/edit?usp=sharing  #gid=0"",""фіз особи new!relations_name""),6,FALSE)
,
(IF
(
G13679=""юридична особа""
,
VLOO"&amp;"KUP(H13679,IMPORTRANGE(""https://docs.google.com/spreadsheets/d/14Bd19lYaqBhU8_DElYkX7l4wRkHqqCUFNJY4AfY3kHU/edit?usp=sharing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78" s="7" t="s">
        <v>23</v>
      </c>
    </row>
    <row r="13679" spans="1:10" ht="13.2">
      <c r="A13679" s="7">
        <v>13678</v>
      </c>
      <c r="B13679" s="7">
        <v>1</v>
      </c>
      <c r="C13679" s="7" t="s">
        <v>10</v>
      </c>
      <c r="D13679" s="7">
        <v>18706</v>
      </c>
      <c r="E13679" s="7" t="s">
        <v>23</v>
      </c>
      <c r="F13679" s="8" t="str">
        <f ca="1">IFERROR(__xludf.DUMMYFUNCTION("IF
(
C13680=""фізична особа""
,
VLOOKUP(D13680,IMPORTRANGE(""https://docs.google.com/spreadsheets/d/14Bd19lYaqBhU8_DElYkX7l4wRkHqqCUFNJY4AfY3kHU/edit?usp=sharing  #gid=0"",""фіз особи new!relations_name""),6,FALSE)
,
(IF
(
C13680=""юридична особа""
,
VLOO"&amp;"KUP(D13680,IMPORTRANGE(""https://docs.google.com/spreadsheets/d/14Bd19lYaqBhU8_DElYkX7l4wRkHqqCUFNJY4AfY3kHU/edit?usp=sharing  #gid=0"",""фіз особи new!relations_name_uo""),7,FALSE)
,
)
))"),"АТИЛГАН Хюдаї")</f>
        <v>АТИЛГАН Хюдаї</v>
      </c>
      <c r="G13679" s="7" t="s">
        <v>10</v>
      </c>
      <c r="H13679" s="7">
        <v>18705</v>
      </c>
      <c r="I13679" s="8" t="str">
        <f ca="1">IFERROR(__xludf.DUMMYFUNCTION("IF
(
G13680=""фізична особа""
,
VLOOKUP(H13680,IMPORTRANGE(""https://docs.google.com/spreadsheets/d/14Bd19lYaqBhU8_DElYkX7l4wRkHqqCUFNJY4AfY3kHU/edit?usp=sharing  #gid=0"",""фіз особи new!relations_name""),6,FALSE)
,
(IF
(
G13680=""юридична особа""
,
VLOO"&amp;"KUP(H13680,IMPORTRANGE(""https://docs.google.com/spreadsheets/d/14Bd19lYaqBhU8_DElYkX7l4wRkHqqCUFNJY4AfY3kHU/edit?usp=sharing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679" s="7" t="s">
        <v>23</v>
      </c>
    </row>
    <row r="13680" spans="1:10" ht="13.2">
      <c r="A13680" s="7">
        <v>13679</v>
      </c>
      <c r="B13680" s="7">
        <v>1</v>
      </c>
      <c r="C13680" s="7" t="s">
        <v>10</v>
      </c>
      <c r="D13680" s="7">
        <v>18706</v>
      </c>
      <c r="E13680" s="7" t="s">
        <v>23</v>
      </c>
      <c r="F13680" s="8" t="str">
        <f ca="1">IFERROR(__xludf.DUMMYFUNCTION("IF
(
C13681=""фізична особа""
,
VLOOKUP(D13681,IMPORTRANGE(""https://docs.google.com/spreadsheets/d/14Bd19lYaqBhU8_DElYkX7l4wRkHqqCUFNJY4AfY3kHU/edit?usp=sharing  #gid=0"",""фіз особи new!relations_name""),6,FALSE)
,
(IF
(
C13681=""юридична особа""
,
VLOO"&amp;"KUP(D13681,IMPORTRANGE(""https://docs.google.com/spreadsheets/d/14Bd19lYaqBhU8_DElYkX7l4wRkHqqCUFNJY4AfY3kHU/edit?usp=sharing  #gid=0"",""фіз особи new!relations_name_uo""),7,FALSE)
,
)
))"),"АТИЛГАН Хюдаї")</f>
        <v>АТИЛГАН Хюдаї</v>
      </c>
      <c r="G13680" s="7" t="s">
        <v>10</v>
      </c>
      <c r="H13680" s="7">
        <v>18535</v>
      </c>
      <c r="I13680" s="8" t="str">
        <f ca="1">IFERROR(__xludf.DUMMYFUNCTION("IF
(
G13681=""фізична особа""
,
VLOOKUP(H13681,IMPORTRANGE(""https://docs.google.com/spreadsheets/d/14Bd19lYaqBhU8_DElYkX7l4wRkHqqCUFNJY4AfY3kHU/edit?usp=sharing  #gid=0"",""фіз особи new!relations_name""),6,FALSE)
,
(IF
(
G13681=""юридична особа""
,
VLOO"&amp;"KUP(H13681,IMPORTRANGE(""https://docs.google.com/spreadsheets/d/14Bd19lYaqBhU8_DElYkX7l4wRkHqqCUFNJY4AfY3kHU/edit?usp=sharing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80" s="7" t="s">
        <v>23</v>
      </c>
    </row>
    <row r="13681" spans="1:10" ht="13.2">
      <c r="A13681" s="7">
        <v>13680</v>
      </c>
      <c r="B13681" s="7">
        <v>1</v>
      </c>
      <c r="C13681" s="7" t="s">
        <v>10</v>
      </c>
      <c r="D13681" s="7">
        <v>18707</v>
      </c>
      <c r="E13681" s="7" t="s">
        <v>23</v>
      </c>
      <c r="F13681" s="8" t="str">
        <f ca="1">IFERROR(__xludf.DUMMYFUNCTION("IF
(
C13682=""фізична особа""
,
VLOOKUP(D13682,IMPORTRANGE(""https://docs.google.com/spreadsheets/d/14Bd19lYaqBhU8_DElYkX7l4wRkHqqCUFNJY4AfY3kHU/edit?usp=sharing  #gid=0"",""фіз особи new!relations_name""),6,FALSE)
,
(IF
(
C13682=""юридична особа""
,
VLOO"&amp;"KUP(D13682,IMPORTRANGE(""https://docs.google.com/spreadsheets/d/14Bd19lYaqBhU8_DElYkX7l4wRkHqqCUFNJY4AfY3kHU/edit?usp=sharing  #gid=0"",""фіз особи new!relations_name_uo""),7,FALSE)
,
)
))"),"ТОВМАСЯН Артур Арташесович")</f>
        <v>ТОВМАСЯН Артур Арташесович</v>
      </c>
      <c r="G13681" s="7" t="s">
        <v>10</v>
      </c>
      <c r="H13681" s="7">
        <v>18705</v>
      </c>
      <c r="I13681" s="8" t="str">
        <f ca="1">IFERROR(__xludf.DUMMYFUNCTION("IF
(
G13682=""фізична особа""
,
VLOOKUP(H13682,IMPORTRANGE(""https://docs.google.com/spreadsheets/d/14Bd19lYaqBhU8_DElYkX7l4wRkHqqCUFNJY4AfY3kHU/edit?usp=sharing  #gid=0"",""фіз особи new!relations_name""),6,FALSE)
,
(IF
(
G13682=""юридична особа""
,
VLOO"&amp;"KUP(H13682,IMPORTRANGE(""https://docs.google.com/spreadsheets/d/14Bd19lYaqBhU8_DElYkX7l4wRkHqqCUFNJY4AfY3kHU/edit?usp=sharing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681" s="7" t="s">
        <v>23</v>
      </c>
    </row>
    <row r="13682" spans="1:10" ht="13.2">
      <c r="A13682" s="7">
        <v>13681</v>
      </c>
      <c r="B13682" s="7">
        <v>1</v>
      </c>
      <c r="C13682" s="7" t="s">
        <v>10</v>
      </c>
      <c r="D13682" s="7">
        <v>18707</v>
      </c>
      <c r="E13682" s="7" t="s">
        <v>23</v>
      </c>
      <c r="F13682" s="8" t="str">
        <f ca="1">IFERROR(__xludf.DUMMYFUNCTION("IF
(
C13683=""фізична особа""
,
VLOOKUP(D13683,IMPORTRANGE(""https://docs.google.com/spreadsheets/d/14Bd19lYaqBhU8_DElYkX7l4wRkHqqCUFNJY4AfY3kHU/edit?usp=sharing  #gid=0"",""фіз особи new!relations_name""),6,FALSE)
,
(IF
(
C13683=""юридична особа""
,
VLOO"&amp;"KUP(D13683,IMPORTRANGE(""https://docs.google.com/spreadsheets/d/14Bd19lYaqBhU8_DElYkX7l4wRkHqqCUFNJY4AfY3kHU/edit?usp=sharing  #gid=0"",""фіз особи new!relations_name_uo""),7,FALSE)
,
)
))"),"ТОВМАСЯН Артур Арташесович")</f>
        <v>ТОВМАСЯН Артур Арташесович</v>
      </c>
      <c r="G13682" s="7" t="s">
        <v>10</v>
      </c>
      <c r="H13682" s="7">
        <v>18535</v>
      </c>
      <c r="I13682" s="8" t="str">
        <f ca="1">IFERROR(__xludf.DUMMYFUNCTION("IF
(
G13683=""фізична особа""
,
VLOOKUP(H13683,IMPORTRANGE(""https://docs.google.com/spreadsheets/d/14Bd19lYaqBhU8_DElYkX7l4wRkHqqCUFNJY4AfY3kHU/edit?usp=sharing  #gid=0"",""фіз особи new!relations_name""),6,FALSE)
,
(IF
(
G13683=""юридична особа""
,
VLOO"&amp;"KUP(H13683,IMPORTRANGE(""https://docs.google.com/spreadsheets/d/14Bd19lYaqBhU8_DElYkX7l4wRkHqqCUFNJY4AfY3kHU/edit?usp=sharing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82" s="7" t="s">
        <v>23</v>
      </c>
    </row>
    <row r="13683" spans="1:10" ht="13.2">
      <c r="A13683" s="7">
        <v>13682</v>
      </c>
      <c r="B13683" s="7">
        <v>1</v>
      </c>
      <c r="C13683" s="7" t="s">
        <v>10</v>
      </c>
      <c r="D13683" s="7">
        <v>18708</v>
      </c>
      <c r="E13683" s="7" t="s">
        <v>23</v>
      </c>
      <c r="F13683" s="8" t="str">
        <f ca="1">IFERROR(__xludf.DUMMYFUNCTION("IF
(
C13684=""фізична особа""
,
VLOOKUP(D13684,IMPORTRANGE(""https://docs.google.com/spreadsheets/d/14Bd19lYaqBhU8_DElYkX7l4wRkHqqCUFNJY4AfY3kHU/edit?usp=sharing  #gid=0"",""фіз особи new!relations_name""),6,FALSE)
,
(IF
(
C13684=""юридична особа""
,
VLOO"&amp;"KUP(D13684,IMPORTRANGE(""https://docs.google.com/spreadsheets/d/14Bd19lYaqBhU8_DElYkX7l4wRkHqqCUFNJY4AfY3kHU/edit?usp=sharing  #gid=0"",""фіз особи new!relations_name_uo""),7,FALSE)
,
)
))"),"СЕМЬОНОВА Тамара Вікторівна")</f>
        <v>СЕМЬОНОВА Тамара Вікторівна</v>
      </c>
      <c r="G13683" s="7" t="s">
        <v>10</v>
      </c>
      <c r="H13683" s="7">
        <v>18705</v>
      </c>
      <c r="I13683" s="8" t="str">
        <f ca="1">IFERROR(__xludf.DUMMYFUNCTION("IF
(
G13684=""фізична особа""
,
VLOOKUP(H13684,IMPORTRANGE(""https://docs.google.com/spreadsheets/d/14Bd19lYaqBhU8_DElYkX7l4wRkHqqCUFNJY4AfY3kHU/edit?usp=sharing  #gid=0"",""фіз особи new!relations_name""),6,FALSE)
,
(IF
(
G13684=""юридична особа""
,
VLOO"&amp;"KUP(H13684,IMPORTRANGE(""https://docs.google.com/spreadsheets/d/14Bd19lYaqBhU8_DElYkX7l4wRkHqqCUFNJY4AfY3kHU/edit?usp=sharing  #gid=0"",""фіз особи new!relations_name_uo""),7,FALSE)
,
)
))"),"НУРУЛЛАХ Бакир")</f>
        <v>НУРУЛЛАХ Бакир</v>
      </c>
      <c r="J13683" s="7" t="s">
        <v>23</v>
      </c>
    </row>
    <row r="13684" spans="1:10" ht="13.2">
      <c r="A13684" s="7">
        <v>13683</v>
      </c>
      <c r="B13684" s="7">
        <v>1</v>
      </c>
      <c r="C13684" s="7" t="s">
        <v>10</v>
      </c>
      <c r="D13684" s="7">
        <v>18708</v>
      </c>
      <c r="E13684" s="7" t="s">
        <v>23</v>
      </c>
      <c r="F13684" s="8" t="str">
        <f ca="1">IFERROR(__xludf.DUMMYFUNCTION("IF
(
C13685=""фізична особа""
,
VLOOKUP(D13685,IMPORTRANGE(""https://docs.google.com/spreadsheets/d/14Bd19lYaqBhU8_DElYkX7l4wRkHqqCUFNJY4AfY3kHU/edit?usp=sharing  #gid=0"",""фіз особи new!relations_name""),6,FALSE)
,
(IF
(
C13685=""юридична особа""
,
VLOO"&amp;"KUP(D13685,IMPORTRANGE(""https://docs.google.com/spreadsheets/d/14Bd19lYaqBhU8_DElYkX7l4wRkHqqCUFNJY4AfY3kHU/edit?usp=sharing  #gid=0"",""фіз особи new!relations_name_uo""),7,FALSE)
,
)
))"),"СЕМЬОНОВА Тамара Вікторівна")</f>
        <v>СЕМЬОНОВА Тамара Вікторівна</v>
      </c>
      <c r="G13684" s="7" t="s">
        <v>10</v>
      </c>
      <c r="H13684" s="7">
        <v>18535</v>
      </c>
      <c r="I13684" s="8" t="str">
        <f ca="1">IFERROR(__xludf.DUMMYFUNCTION("IF
(
G13685=""фізична особа""
,
VLOOKUP(H13685,IMPORTRANGE(""https://docs.google.com/spreadsheets/d/14Bd19lYaqBhU8_DElYkX7l4wRkHqqCUFNJY4AfY3kHU/edit?usp=sharing  #gid=0"",""фіз особи new!relations_name""),6,FALSE)
,
(IF
(
G13685=""юридична особа""
,
VLOO"&amp;"KUP(H13685,IMPORTRANGE(""https://docs.google.com/spreadsheets/d/14Bd19lYaqBhU8_DElYkX7l4wRkHqqCUFNJY4AfY3kHU/edit?usp=sharing  #gid=0"",""фіз особи new!relations_name_uo""),7,FALSE)
,
)
))"),"ЧАКАР Алпаслан")</f>
        <v>ЧАКАР Алпаслан</v>
      </c>
      <c r="J13684" s="7" t="s">
        <v>23</v>
      </c>
    </row>
    <row r="13685" spans="1:10" ht="13.2">
      <c r="A13685" s="7">
        <v>13684</v>
      </c>
      <c r="B13685" s="7">
        <v>1</v>
      </c>
      <c r="C13685" s="7" t="s">
        <v>10</v>
      </c>
      <c r="D13685" s="7">
        <v>18710</v>
      </c>
      <c r="E13685" s="7" t="s">
        <v>23</v>
      </c>
      <c r="F13685" s="8" t="str">
        <f ca="1">IFERROR(__xludf.DUMMYFUNCTION("IF
(
C13686=""фізична особа""
,
VLOOKUP(D13686,IMPORTRANGE(""https://docs.google.com/spreadsheets/d/14Bd19lYaqBhU8_DElYkX7l4wRkHqqCUFNJY4AfY3kHU/edit?usp=sharing  #gid=0"",""фіз особи new!relations_name""),6,FALSE)
,
(IF
(
C13686=""юридична особа""
,
VLOO"&amp;"KUP(D13686,IMPORTRANGE(""https://docs.google.com/spreadsheets/d/14Bd19lYaqBhU8_DElYkX7l4wRkHqqCUFNJY4AfY3kHU/edit?usp=sharing  #gid=0"",""фіз особи new!relations_name_uo""),7,FALSE)
,
)
))"),"МІНІНА Наталія Григорівна")</f>
        <v>МІНІНА Наталія Григорівна</v>
      </c>
      <c r="G13685" s="7" t="s">
        <v>10</v>
      </c>
      <c r="H13685" s="7">
        <v>18709</v>
      </c>
      <c r="I13685" s="8" t="str">
        <f ca="1">IFERROR(__xludf.DUMMYFUNCTION("IF
(
G13686=""фізична особа""
,
VLOOKUP(H13686,IMPORTRANGE(""https://docs.google.com/spreadsheets/d/14Bd19lYaqBhU8_DElYkX7l4wRkHqqCUFNJY4AfY3kHU/edit?usp=sharing  #gid=0"",""фіз особи new!relations_name""),6,FALSE)
,
(IF
(
G13686=""юридична особа""
,
VLOO"&amp;"KUP(H13686,IMPORTRANGE(""https://docs.google.com/spreadsheets/d/14Bd19lYaqBhU8_DElYkX7l4wRkHqqCUFNJY4AfY3kHU/edit?usp=sharing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85" s="7" t="s">
        <v>23</v>
      </c>
    </row>
    <row r="13686" spans="1:10" ht="13.2">
      <c r="A13686" s="7">
        <v>13685</v>
      </c>
      <c r="B13686" s="7">
        <v>1</v>
      </c>
      <c r="C13686" s="7" t="s">
        <v>10</v>
      </c>
      <c r="D13686" s="7">
        <v>18711</v>
      </c>
      <c r="E13686" s="7" t="s">
        <v>23</v>
      </c>
      <c r="F13686" s="8" t="str">
        <f ca="1">IFERROR(__xludf.DUMMYFUNCTION("IF
(
C13687=""фізична особа""
,
VLOOKUP(D13687,IMPORTRANGE(""https://docs.google.com/spreadsheets/d/14Bd19lYaqBhU8_DElYkX7l4wRkHqqCUFNJY4AfY3kHU/edit?usp=sharing  #gid=0"",""фіз особи new!relations_name""),6,FALSE)
,
(IF
(
C13687=""юридична особа""
,
VLOO"&amp;"KUP(D13687,IMPORTRANGE(""https://docs.google.com/spreadsheets/d/14Bd19lYaqBhU8_DElYkX7l4wRkHqqCUFNJY4AfY3kHU/edit?usp=sharing  #gid=0"",""фіз особи new!relations_name_uo""),7,FALSE)
,
)
))"),"БРУСНІКІНА Світлана Миколаївна")</f>
        <v>БРУСНІКІНА Світлана Миколаївна</v>
      </c>
      <c r="G13686" s="7" t="s">
        <v>10</v>
      </c>
      <c r="H13686" s="7">
        <v>18709</v>
      </c>
      <c r="I13686" s="8" t="str">
        <f ca="1">IFERROR(__xludf.DUMMYFUNCTION("IF
(
G13687=""фізична особа""
,
VLOOKUP(H13687,IMPORTRANGE(""https://docs.google.com/spreadsheets/d/14Bd19lYaqBhU8_DElYkX7l4wRkHqqCUFNJY4AfY3kHU/edit?usp=sharing  #gid=0"",""фіз особи new!relations_name""),6,FALSE)
,
(IF
(
G13687=""юридична особа""
,
VLOO"&amp;"KUP(H13687,IMPORTRANGE(""https://docs.google.com/spreadsheets/d/14Bd19lYaqBhU8_DElYkX7l4wRkHqqCUFNJY4AfY3kHU/edit?usp=sharing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86" s="7" t="s">
        <v>23</v>
      </c>
    </row>
    <row r="13687" spans="1:10" ht="13.2">
      <c r="A13687" s="7">
        <v>13686</v>
      </c>
      <c r="B13687" s="7">
        <v>1</v>
      </c>
      <c r="C13687" s="7" t="s">
        <v>10</v>
      </c>
      <c r="D13687" s="7">
        <v>18712</v>
      </c>
      <c r="E13687" s="7" t="s">
        <v>23</v>
      </c>
      <c r="F13687" s="8" t="str">
        <f ca="1">IFERROR(__xludf.DUMMYFUNCTION("IF
(
C13688=""фізична особа""
,
VLOOKUP(D13688,IMPORTRANGE(""https://docs.google.com/spreadsheets/d/14Bd19lYaqBhU8_DElYkX7l4wRkHqqCUFNJY4AfY3kHU/edit?usp=sharing  #gid=0"",""фіз особи new!relations_name""),6,FALSE)
,
(IF
(
C13688=""юридична особа""
,
VLOO"&amp;"KUP(D13688,IMPORTRANGE(""https://docs.google.com/spreadsheets/d/14Bd19lYaqBhU8_DElYkX7l4wRkHqqCUFNJY4AfY3kHU/edit?usp=sharing  #gid=0"",""фіз особи new!relations_name_uo""),7,FALSE)
,
)
))"),"ГЛУШЕНКОВА Вікторія Вячеславівна")</f>
        <v>ГЛУШЕНКОВА Вікторія Вячеславівна</v>
      </c>
      <c r="G13687" s="7" t="s">
        <v>10</v>
      </c>
      <c r="H13687" s="7">
        <v>18709</v>
      </c>
      <c r="I13687" s="8" t="str">
        <f ca="1">IFERROR(__xludf.DUMMYFUNCTION("IF
(
G13688=""фізична особа""
,
VLOOKUP(H13688,IMPORTRANGE(""https://docs.google.com/spreadsheets/d/14Bd19lYaqBhU8_DElYkX7l4wRkHqqCUFNJY4AfY3kHU/edit?usp=sharing  #gid=0"",""фіз особи new!relations_name""),6,FALSE)
,
(IF
(
G13688=""юридична особа""
,
VLOO"&amp;"KUP(H13688,IMPORTRANGE(""https://docs.google.com/spreadsheets/d/14Bd19lYaqBhU8_DElYkX7l4wRkHqqCUFNJY4AfY3kHU/edit?usp=sharing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87" s="7" t="s">
        <v>23</v>
      </c>
    </row>
    <row r="13688" spans="1:10" ht="13.2">
      <c r="A13688" s="7">
        <v>13687</v>
      </c>
      <c r="B13688" s="7">
        <v>1</v>
      </c>
      <c r="C13688" s="7" t="s">
        <v>10</v>
      </c>
      <c r="D13688" s="7">
        <v>18713</v>
      </c>
      <c r="E13688" s="7" t="s">
        <v>23</v>
      </c>
      <c r="F13688" s="8" t="str">
        <f ca="1">IFERROR(__xludf.DUMMYFUNCTION("IF
(
C13689=""фізична особа""
,
VLOOKUP(D13689,IMPORTRANGE(""https://docs.google.com/spreadsheets/d/14Bd19lYaqBhU8_DElYkX7l4wRkHqqCUFNJY4AfY3kHU/edit?usp=sharing  #gid=0"",""фіз особи new!relations_name""),6,FALSE)
,
(IF
(
C13689=""юридична особа""
,
VLOO"&amp;"KUP(D13689,IMPORTRANGE(""https://docs.google.com/spreadsheets/d/14Bd19lYaqBhU8_DElYkX7l4wRkHqqCUFNJY4AfY3kHU/edit?usp=sharing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G13688" s="7" t="s">
        <v>10</v>
      </c>
      <c r="H13688" s="7">
        <v>18709</v>
      </c>
      <c r="I13688" s="8" t="str">
        <f ca="1">IFERROR(__xludf.DUMMYFUNCTION("IF
(
G13689=""фізична особа""
,
VLOOKUP(H13689,IMPORTRANGE(""https://docs.google.com/spreadsheets/d/14Bd19lYaqBhU8_DElYkX7l4wRkHqqCUFNJY4AfY3kHU/edit?usp=sharing  #gid=0"",""фіз особи new!relations_name""),6,FALSE)
,
(IF
(
G13689=""юридична особа""
,
VLOO"&amp;"KUP(H13689,IMPORTRANGE(""https://docs.google.com/spreadsheets/d/14Bd19lYaqBhU8_DElYkX7l4wRkHqqCUFNJY4AfY3kHU/edit?usp=sharing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88" s="7" t="s">
        <v>23</v>
      </c>
    </row>
    <row r="13689" spans="1:10" ht="13.2">
      <c r="A13689" s="7">
        <v>13688</v>
      </c>
      <c r="B13689" s="7">
        <v>1</v>
      </c>
      <c r="C13689" s="7" t="s">
        <v>10</v>
      </c>
      <c r="D13689" s="7">
        <v>18713</v>
      </c>
      <c r="E13689" s="7" t="s">
        <v>14</v>
      </c>
      <c r="F13689" s="8" t="str">
        <f ca="1">IFERROR(__xludf.DUMMYFUNCTION("IF
(
C13690=""фізична особа""
,
VLOOKUP(D13690,IMPORTRANGE(""https://docs.google.com/spreadsheets/d/14Bd19lYaqBhU8_DElYkX7l4wRkHqqCUFNJY4AfY3kHU/edit?usp=sharing  #gid=0"",""фіз особи new!relations_name""),6,FALSE)
,
(IF
(
C13690=""юридична особа""
,
VLOO"&amp;"KUP(D13690,IMPORTRANGE(""https://docs.google.com/spreadsheets/d/14Bd19lYaqBhU8_DElYkX7l4wRkHqqCUFNJY4AfY3kHU/edit?usp=sharing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G13689" s="7" t="s">
        <v>10</v>
      </c>
      <c r="H13689" s="7">
        <v>0</v>
      </c>
      <c r="I13689" s="8" t="str">
        <f ca="1">IFERROR(__xludf.DUMMYFUNCTION("IF
(
G13690=""фізична особа""
,
VLOOKUP(H13690,IMPORTRANGE(""https://docs.google.com/spreadsheets/d/14Bd19lYaqBhU8_DElYkX7l4wRkHqqCUFNJY4AfY3kHU/edit?usp=sharing  #gid=0"",""фіз особи new!relations_name""),6,FALSE)
,
(IF
(
G13690=""юридична особа""
,
VLOO"&amp;"KUP(H13690,IMPORTRANGE(""https://docs.google.com/spreadsheets/d/14Bd19lYaqBhU8_DElYkX7l4wRkHqqCUFNJY4AfY3kHU/edit?usp=sharing  #gid=0"",""фіз особи new!relations_name_uo""),7,FALSE)
,
)
))"),"#N/A")</f>
        <v>#N/A</v>
      </c>
      <c r="J13689" s="7" t="s">
        <v>15</v>
      </c>
    </row>
    <row r="13690" spans="1:10" ht="13.2">
      <c r="A13690" s="7">
        <v>13689</v>
      </c>
      <c r="B13690" s="7">
        <v>1</v>
      </c>
      <c r="C13690" s="7" t="s">
        <v>10</v>
      </c>
      <c r="D13690" s="7">
        <v>18714</v>
      </c>
      <c r="E13690" s="7" t="s">
        <v>23</v>
      </c>
      <c r="F13690" s="8" t="str">
        <f ca="1">IFERROR(__xludf.DUMMYFUNCTION("IF
(
C13691=""фізична особа""
,
VLOOKUP(D13691,IMPORTRANGE(""https://docs.google.com/spreadsheets/d/14Bd19lYaqBhU8_DElYkX7l4wRkHqqCUFNJY4AfY3kHU/edit?usp=sharing  #gid=0"",""фіз особи new!relations_name""),6,FALSE)
,
(IF
(
C13691=""юридична особа""
,
VLOO"&amp;"KUP(D13691,IMPORTRANGE(""https://docs.google.com/spreadsheets/d/14Bd19lYaqBhU8_DElYkX7l4wRkHqqCUFNJY4AfY3kHU/edit?usp=sharing  #gid=0"",""фіз особи new!relations_name_uo""),7,FALSE)
,
)
))"),"ХАЛФУН Леонід Марксович")</f>
        <v>ХАЛФУН Леонід Марксович</v>
      </c>
      <c r="G13690" s="7" t="s">
        <v>10</v>
      </c>
      <c r="H13690" s="7">
        <v>18709</v>
      </c>
      <c r="I13690" s="8" t="str">
        <f ca="1">IFERROR(__xludf.DUMMYFUNCTION("IF
(
G13691=""фізична особа""
,
VLOOKUP(H13691,IMPORTRANGE(""https://docs.google.com/spreadsheets/d/14Bd19lYaqBhU8_DElYkX7l4wRkHqqCUFNJY4AfY3kHU/edit?usp=sharing  #gid=0"",""фіз особи new!relations_name""),6,FALSE)
,
(IF
(
G13691=""юридична особа""
,
VLOO"&amp;"KUP(H13691,IMPORTRANGE(""https://docs.google.com/spreadsheets/d/14Bd19lYaqBhU8_DElYkX7l4wRkHqqCUFNJY4AfY3kHU/edit?usp=sharing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90" s="7" t="s">
        <v>23</v>
      </c>
    </row>
    <row r="13691" spans="1:10" ht="13.2">
      <c r="A13691" s="7">
        <v>13690</v>
      </c>
      <c r="B13691" s="7">
        <v>1</v>
      </c>
      <c r="C13691" s="7" t="s">
        <v>10</v>
      </c>
      <c r="D13691" s="7">
        <v>18714</v>
      </c>
      <c r="E13691" s="7" t="s">
        <v>23</v>
      </c>
      <c r="F13691" s="8" t="str">
        <f ca="1">IFERROR(__xludf.DUMMYFUNCTION("IF
(
C13692=""фізична особа""
,
VLOOKUP(D13692,IMPORTRANGE(""https://docs.google.com/spreadsheets/d/14Bd19lYaqBhU8_DElYkX7l4wRkHqqCUFNJY4AfY3kHU/edit?usp=sharing  #gid=0"",""фіз особи new!relations_name""),6,FALSE)
,
(IF
(
C13692=""юридична особа""
,
VLOO"&amp;"KUP(D13692,IMPORTRANGE(""https://docs.google.com/spreadsheets/d/14Bd19lYaqBhU8_DElYkX7l4wRkHqqCUFNJY4AfY3kHU/edit?usp=sharing  #gid=0"",""фіз особи new!relations_name_uo""),7,FALSE)
,
)
))"),"ХАЛФУН Леонід Марксович")</f>
        <v>ХАЛФУН Леонід Марксович</v>
      </c>
      <c r="G13691" s="7" t="s">
        <v>10</v>
      </c>
      <c r="H13691" s="7">
        <v>0</v>
      </c>
      <c r="I13691" s="8" t="str">
        <f ca="1">IFERROR(__xludf.DUMMYFUNCTION("IF
(
G13692=""фізична особа""
,
VLOOKUP(H13692,IMPORTRANGE(""https://docs.google.com/spreadsheets/d/14Bd19lYaqBhU8_DElYkX7l4wRkHqqCUFNJY4AfY3kHU/edit?usp=sharing  #gid=0"",""фіз особи new!relations_name""),6,FALSE)
,
(IF
(
G13692=""юридична особа""
,
VLOO"&amp;"KUP(H13692,IMPORTRANGE(""https://docs.google.com/spreadsheets/d/14Bd19lYaqBhU8_DElYkX7l4wRkHqqCUFNJY4AfY3kHU/edit?usp=sharing  #gid=0"",""фіз особи new!relations_name_uo""),7,FALSE)
,
)
))"),"#N/A")</f>
        <v>#N/A</v>
      </c>
      <c r="J13691" s="7" t="s">
        <v>23</v>
      </c>
    </row>
    <row r="13692" spans="1:10" ht="13.2">
      <c r="A13692" s="7">
        <v>13691</v>
      </c>
      <c r="B13692" s="7">
        <v>1</v>
      </c>
      <c r="C13692" s="7" t="s">
        <v>10</v>
      </c>
      <c r="D13692" s="7">
        <v>18714</v>
      </c>
      <c r="E13692" s="7" t="s">
        <v>23</v>
      </c>
      <c r="F13692" s="8" t="str">
        <f ca="1">IFERROR(__xludf.DUMMYFUNCTION("IF
(
C13693=""фізична особа""
,
VLOOKUP(D13693,IMPORTRANGE(""https://docs.google.com/spreadsheets/d/14Bd19lYaqBhU8_DElYkX7l4wRkHqqCUFNJY4AfY3kHU/edit?usp=sharing  #gid=0"",""фіз особи new!relations_name""),6,FALSE)
,
(IF
(
C13693=""юридична особа""
,
VLOO"&amp;"KUP(D13693,IMPORTRANGE(""https://docs.google.com/spreadsheets/d/14Bd19lYaqBhU8_DElYkX7l4wRkHqqCUFNJY4AfY3kHU/edit?usp=sharing  #gid=0"",""фіз особи new!relations_name_uo""),7,FALSE)
,
)
))"),"ХАЛФУН Леонід Марксович")</f>
        <v>ХАЛФУН Леонід Марксович</v>
      </c>
      <c r="G13692" s="7" t="s">
        <v>10</v>
      </c>
      <c r="H13692" s="7">
        <v>18713</v>
      </c>
      <c r="I13692" s="8" t="str">
        <f ca="1">IFERROR(__xludf.DUMMYFUNCTION("IF
(
G13693=""фізична особа""
,
VLOOKUP(H13693,IMPORTRANGE(""https://docs.google.com/spreadsheets/d/14Bd19lYaqBhU8_DElYkX7l4wRkHqqCUFNJY4AfY3kHU/edit?usp=sharing  #gid=0"",""фіз особи new!relations_name""),6,FALSE)
,
(IF
(
G13693=""юридична особа""
,
VLOO"&amp;"KUP(H13693,IMPORTRANGE(""https://docs.google.com/spreadsheets/d/14Bd19lYaqBhU8_DElYkX7l4wRkHqqCUFNJY4AfY3kHU/edit?usp=sharing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692" s="7" t="s">
        <v>23</v>
      </c>
    </row>
    <row r="13693" spans="1:10" ht="13.2">
      <c r="A13693" s="7">
        <v>13692</v>
      </c>
      <c r="B13693" s="7">
        <v>1</v>
      </c>
      <c r="C13693" s="7" t="s">
        <v>10</v>
      </c>
      <c r="D13693" s="7">
        <v>18715</v>
      </c>
      <c r="E13693" s="7" t="s">
        <v>23</v>
      </c>
      <c r="F13693" s="8" t="str">
        <f ca="1">IFERROR(__xludf.DUMMYFUNCTION("IF
(
C13694=""фізична особа""
,
VLOOKUP(D13694,IMPORTRANGE(""https://docs.google.com/spreadsheets/d/14Bd19lYaqBhU8_DElYkX7l4wRkHqqCUFNJY4AfY3kHU/edit?usp=sharing  #gid=0"",""фіз особи new!relations_name""),6,FALSE)
,
(IF
(
C13694=""юридична особа""
,
VLOO"&amp;"KUP(D13694,IMPORTRANGE(""https://docs.google.com/spreadsheets/d/14Bd19lYaqBhU8_DElYkX7l4wRkHqqCUFNJY4AfY3kHU/edit?usp=sharing  #gid=0"",""фіз особи new!relations_name_uo""),7,FALSE)
,
)
))"),"ПОПОВИЧ Сергій Єфремович")</f>
        <v>ПОПОВИЧ Сергій Єфремович</v>
      </c>
      <c r="G13693" s="7" t="s">
        <v>10</v>
      </c>
      <c r="H13693" s="7">
        <v>18709</v>
      </c>
      <c r="I13693" s="8" t="str">
        <f ca="1">IFERROR(__xludf.DUMMYFUNCTION("IF
(
G13694=""фізична особа""
,
VLOOKUP(H13694,IMPORTRANGE(""https://docs.google.com/spreadsheets/d/14Bd19lYaqBhU8_DElYkX7l4wRkHqqCUFNJY4AfY3kHU/edit?usp=sharing  #gid=0"",""фіз особи new!relations_name""),6,FALSE)
,
(IF
(
G13694=""юридична особа""
,
VLOO"&amp;"KUP(H13694,IMPORTRANGE(""https://docs.google.com/spreadsheets/d/14Bd19lYaqBhU8_DElYkX7l4wRkHqqCUFNJY4AfY3kHU/edit?usp=sharing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93" s="7" t="s">
        <v>23</v>
      </c>
    </row>
    <row r="13694" spans="1:10" ht="13.2">
      <c r="A13694" s="7">
        <v>13693</v>
      </c>
      <c r="B13694" s="7">
        <v>1</v>
      </c>
    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C13695=""фізична особа""
,
VLOOKUP(D13695,IMPORTRANGE(""https://docs.google.com/spreadsheets/d/14Bd19lYaqBhU8_DElYkX7l4wRkHqqCUFNJY4AfY3kHU/edit?usp=sharing  #gid=0"",""фіз особи new!relations_name""),6,FALSE)
,
(IF
(
C13695=""юридична особа""
,
VLOO"&amp;"KUP(D13695,IMPORTRANGE(""https://docs.google.com/spreadsheets/d/14Bd19lYaqBhU8_DElYkX7l4wRkHqqCUFNJY4AfY3kHU/edit?usp=sharing  #gid=0"",""фіз особи new!relations_name_uo""),7,FALSE)
,
)
))"),"ПОПОВИЧ Сергій Єфремович")</f>
        <v>ПОПОВИЧ Сергій Єфремович</v>
      </c>
      <c r="G13694" s="7" t="s">
        <v>10</v>
      </c>
      <c r="H13694" s="7">
        <v>18713</v>
      </c>
      <c r="I13694" s="8" t="str">
        <f ca="1">IFERROR(__xludf.DUMMYFUNCTION("IF
(
G13695=""фізична особа""
,
VLOOKUP(H13695,IMPORTRANGE(""https://docs.google.com/spreadsheets/d/14Bd19lYaqBhU8_DElYkX7l4wRkHqqCUFNJY4AfY3kHU/edit?usp=sharing  #gid=0"",""фіз особи new!relations_name""),6,FALSE)
,
(IF
(
G13695=""юридична особа""
,
VLOO"&amp;"KUP(H13695,IMPORTRANGE(""https://docs.google.com/spreadsheets/d/14Bd19lYaqBhU8_DElYkX7l4wRkHqqCUFNJY4AfY3kHU/edit?usp=sharing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694" s="7" t="s">
        <v>23</v>
      </c>
    </row>
    <row r="13695" spans="1:10" ht="13.2">
      <c r="A13695" s="7">
        <v>13694</v>
      </c>
      <c r="B13695" s="7">
        <v>1</v>
      </c>
      <c r="C13695" s="7" t="s">
        <v>10</v>
      </c>
      <c r="D13695" s="7">
        <v>18716</v>
      </c>
      <c r="E13695" s="7" t="s">
        <v>23</v>
      </c>
      <c r="F13695" s="8" t="str">
        <f ca="1">IFERROR(__xludf.DUMMYFUNCTION("IF
(
C13696=""фізична особа""
,
VLOOKUP(D13696,IMPORTRANGE(""https://docs.google.com/spreadsheets/d/14Bd19lYaqBhU8_DElYkX7l4wRkHqqCUFNJY4AfY3kHU/edit?usp=sharing  #gid=0"",""фіз особи new!relations_name""),6,FALSE)
,
(IF
(
C13696=""юридична особа""
,
VLOO"&amp;"KUP(D13696,IMPORTRANGE(""https://docs.google.com/spreadsheets/d/14Bd19lYaqBhU8_DElYkX7l4wRkHqqCUFNJY4AfY3kHU/edit?usp=sharing  #gid=0"",""фіз особи new!relations_name_uo""),7,FALSE)
,
)
))"),"САРКІСЬЯН Михаїл Георгійович")</f>
        <v>САРКІСЬЯН Михаїл Георгійович</v>
      </c>
      <c r="G13695" s="7" t="s">
        <v>10</v>
      </c>
      <c r="H13695" s="7">
        <v>18709</v>
      </c>
      <c r="I13695" s="8" t="str">
        <f ca="1">IFERROR(__xludf.DUMMYFUNCTION("IF
(
G13696=""фізична особа""
,
VLOOKUP(H13696,IMPORTRANGE(""https://docs.google.com/spreadsheets/d/14Bd19lYaqBhU8_DElYkX7l4wRkHqqCUFNJY4AfY3kHU/edit?usp=sharing  #gid=0"",""фіз особи new!relations_name""),6,FALSE)
,
(IF
(
G13696=""юридична особа""
,
VLOO"&amp;"KUP(H13696,IMPORTRANGE(""https://docs.google.com/spreadsheets/d/14Bd19lYaqBhU8_DElYkX7l4wRkHqqCUFNJY4AfY3kHU/edit?usp=sharing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95" s="7" t="s">
        <v>23</v>
      </c>
    </row>
    <row r="13696" spans="1:10" ht="13.2">
      <c r="A13696" s="7">
        <v>13695</v>
      </c>
      <c r="B13696" s="7">
        <v>1</v>
      </c>
      <c r="C13696" s="7" t="s">
        <v>10</v>
      </c>
      <c r="D13696" s="7">
        <v>18716</v>
      </c>
      <c r="E13696" s="7" t="s">
        <v>23</v>
      </c>
      <c r="F13696" s="8" t="str">
        <f ca="1">IFERROR(__xludf.DUMMYFUNCTION("IF
(
C13697=""фізична особа""
,
VLOOKUP(D13697,IMPORTRANGE(""https://docs.google.com/spreadsheets/d/14Bd19lYaqBhU8_DElYkX7l4wRkHqqCUFNJY4AfY3kHU/edit?usp=sharing  #gid=0"",""фіз особи new!relations_name""),6,FALSE)
,
(IF
(
C13697=""юридична особа""
,
VLOO"&amp;"KUP(D13697,IMPORTRANGE(""https://docs.google.com/spreadsheets/d/14Bd19lYaqBhU8_DElYkX7l4wRkHqqCUFNJY4AfY3kHU/edit?usp=sharing  #gid=0"",""фіз особи new!relations_name_uo""),7,FALSE)
,
)
))"),"САРКІСЬЯН Михаїл Георгійович")</f>
        <v>САРКІСЬЯН Михаїл Георгійович</v>
      </c>
      <c r="G13696" s="7" t="s">
        <v>10</v>
      </c>
      <c r="H13696" s="7">
        <v>18713</v>
      </c>
      <c r="I13696" s="8" t="str">
        <f ca="1">IFERROR(__xludf.DUMMYFUNCTION("IF
(
G13697=""фізична особа""
,
VLOOKUP(H13697,IMPORTRANGE(""https://docs.google.com/spreadsheets/d/14Bd19lYaqBhU8_DElYkX7l4wRkHqqCUFNJY4AfY3kHU/edit?usp=sharing  #gid=0"",""фіз особи new!relations_name""),6,FALSE)
,
(IF
(
G13697=""юридична особа""
,
VLOO"&amp;"KUP(H13697,IMPORTRANGE(""https://docs.google.com/spreadsheets/d/14Bd19lYaqBhU8_DElYkX7l4wRkHqqCUFNJY4AfY3kHU/edit?usp=sharing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696" s="7" t="s">
        <v>23</v>
      </c>
    </row>
    <row r="13697" spans="1:10" ht="13.2">
      <c r="A13697" s="7">
        <v>13696</v>
      </c>
      <c r="B13697" s="7">
        <v>1</v>
      </c>
      <c r="C13697" s="7" t="s">
        <v>10</v>
      </c>
      <c r="D13697" s="7">
        <v>18717</v>
      </c>
      <c r="E13697" s="7" t="s">
        <v>23</v>
      </c>
      <c r="F13697" s="8" t="str">
        <f ca="1">IFERROR(__xludf.DUMMYFUNCTION("IF
(
C13698=""фізична особа""
,
VLOOKUP(D13698,IMPORTRANGE(""https://docs.google.com/spreadsheets/d/14Bd19lYaqBhU8_DElYkX7l4wRkHqqCUFNJY4AfY3kHU/edit?usp=sharing  #gid=0"",""фіз особи new!relations_name""),6,FALSE)
,
(IF
(
C13698=""юридична особа""
,
VLOO"&amp;"KUP(D13698,IMPORTRANGE(""https://docs.google.com/spreadsheets/d/14Bd19lYaqBhU8_DElYkX7l4wRkHqqCUFNJY4AfY3kHU/edit?usp=sharing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697" s="7" t="s">
        <v>10</v>
      </c>
      <c r="H13697" s="7">
        <v>18709</v>
      </c>
      <c r="I13697" s="8" t="str">
        <f ca="1">IFERROR(__xludf.DUMMYFUNCTION("IF
(
G13698=""фізична особа""
,
VLOOKUP(H13698,IMPORTRANGE(""https://docs.google.com/spreadsheets/d/14Bd19lYaqBhU8_DElYkX7l4wRkHqqCUFNJY4AfY3kHU/edit?usp=sharing  #gid=0"",""фіз особи new!relations_name""),6,FALSE)
,
(IF
(
G13698=""юридична особа""
,
VLOO"&amp;"KUP(H13698,IMPORTRANGE(""https://docs.google.com/spreadsheets/d/14Bd19lYaqBhU8_DElYkX7l4wRkHqqCUFNJY4AfY3kHU/edit?usp=sharing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697" s="7" t="s">
        <v>23</v>
      </c>
    </row>
    <row r="13698" spans="1:10" ht="13.2">
      <c r="A13698" s="7">
        <v>13697</v>
      </c>
      <c r="B13698" s="7">
        <v>1</v>
      </c>
      <c r="C13698" s="7" t="s">
        <v>10</v>
      </c>
      <c r="D13698" s="7">
        <v>18717</v>
      </c>
      <c r="E13698" s="7" t="s">
        <v>23</v>
      </c>
      <c r="F13698" s="8" t="str">
        <f ca="1">IFERROR(__xludf.DUMMYFUNCTION("IF
(
C13699=""фізична особа""
,
VLOOKUP(D13699,IMPORTRANGE(""https://docs.google.com/spreadsheets/d/14Bd19lYaqBhU8_DElYkX7l4wRkHqqCUFNJY4AfY3kHU/edit?usp=sharing  #gid=0"",""фіз особи new!relations_name""),6,FALSE)
,
(IF
(
C13699=""юридична особа""
,
VLOO"&amp;"KUP(D13699,IMPORTRANGE(""https://docs.google.com/spreadsheets/d/14Bd19lYaqBhU8_DElYkX7l4wRkHqqCUFNJY4AfY3kHU/edit?usp=sharing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698" s="7" t="s">
        <v>10</v>
      </c>
      <c r="H13698" s="7">
        <v>18713</v>
      </c>
      <c r="I13698" s="8" t="str">
        <f ca="1">IFERROR(__xludf.DUMMYFUNCTION("IF
(
G13699=""фізична особа""
,
VLOOKUP(H13699,IMPORTRANGE(""https://docs.google.com/spreadsheets/d/14Bd19lYaqBhU8_DElYkX7l4wRkHqqCUFNJY4AfY3kHU/edit?usp=sharing  #gid=0"",""фіз особи new!relations_name""),6,FALSE)
,
(IF
(
G13699=""юридична особа""
,
VLOO"&amp;"KUP(H13699,IMPORTRANGE(""https://docs.google.com/spreadsheets/d/14Bd19lYaqBhU8_DElYkX7l4wRkHqqCUFNJY4AfY3kHU/edit?usp=sharing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698" s="7" t="s">
        <v>23</v>
      </c>
    </row>
    <row r="13699" spans="1:10" ht="13.2">
      <c r="A13699" s="7">
        <v>13698</v>
      </c>
      <c r="B13699" s="7">
        <v>1</v>
      </c>
      <c r="C13699" s="7" t="s">
        <v>10</v>
      </c>
      <c r="D13699" s="7">
        <v>18717</v>
      </c>
      <c r="E13699" s="7" t="s">
        <v>23</v>
      </c>
      <c r="F13699" s="8" t="str">
        <f ca="1">IFERROR(__xludf.DUMMYFUNCTION("IF
(
C13700=""фізична особа""
,
VLOOKUP(D13700,IMPORTRANGE(""https://docs.google.com/spreadsheets/d/14Bd19lYaqBhU8_DElYkX7l4wRkHqqCUFNJY4AfY3kHU/edit?usp=sharing  #gid=0"",""фіз особи new!relations_name""),6,FALSE)
,
(IF
(
C13700=""юридична особа""
,
VLOO"&amp;"KUP(D13700,IMPORTRANGE(""https://docs.google.com/spreadsheets/d/14Bd19lYaqBhU8_DElYkX7l4wRkHqqCUFNJY4AfY3kHU/edit?usp=sharing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699" s="7" t="s">
        <v>10</v>
      </c>
      <c r="H13699" s="7">
        <v>6422</v>
      </c>
      <c r="I13699" s="8" t="str">
        <f ca="1">IFERROR(__xludf.DUMMYFUNCTION("IF
(
G13700=""фізична особа""
,
VLOOKUP(H13700,IMPORTRANGE(""https://docs.google.com/spreadsheets/d/14Bd19lYaqBhU8_DElYkX7l4wRkHqqCUFNJY4AfY3kHU/edit?usp=sharing  #gid=0"",""фіз особи new!relations_name""),6,FALSE)
,
(IF
(
G13700=""юридична особа""
,
VLOO"&amp;"KUP(H13700,IMPORTRANGE(""https://docs.google.com/spreadsheets/d/14Bd19lYaqBhU8_DElYkX7l4wRkHqqCUFNJY4AfY3kHU/edit?usp=sharing  #gid=0"",""фіз особи new!relations_name_uo""),7,FALSE)
,
)
))"),"КУДРЯКОВ Олександр Михайлович")</f>
        <v>КУДРЯКОВ Олександр Михайлович</v>
      </c>
      <c r="J13699" s="7" t="s">
        <v>23</v>
      </c>
    </row>
    <row r="13700" spans="1:10" ht="13.2">
      <c r="A13700" s="7">
        <v>13699</v>
      </c>
      <c r="B13700" s="7">
        <v>1</v>
      </c>
      <c r="C13700" s="7" t="s">
        <v>10</v>
      </c>
      <c r="D13700" s="7">
        <v>18717</v>
      </c>
      <c r="E13700" s="7" t="s">
        <v>23</v>
      </c>
      <c r="F13700" s="8" t="str">
        <f ca="1">IFERROR(__xludf.DUMMYFUNCTION("IF
(
C13701=""фізична особа""
,
VLOOKUP(D13701,IMPORTRANGE(""https://docs.google.com/spreadsheets/d/14Bd19lYaqBhU8_DElYkX7l4wRkHqqCUFNJY4AfY3kHU/edit?usp=sharing  #gid=0"",""фіз особи new!relations_name""),6,FALSE)
,
(IF
(
C13701=""юридична особа""
,
VLOO"&amp;"KUP(D13701,IMPORTRANGE(""https://docs.google.com/spreadsheets/d/14Bd19lYaqBhU8_DElYkX7l4wRkHqqCUFNJY4AfY3kHU/edit?usp=sharing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700" s="7" t="s">
        <v>10</v>
      </c>
      <c r="H13700" s="7">
        <v>23674</v>
      </c>
      <c r="I13700" s="8" t="str">
        <f ca="1">IFERROR(__xludf.DUMMYFUNCTION("IF
(
G13701=""фізична особа""
,
VLOOKUP(H13701,IMPORTRANGE(""https://docs.google.com/spreadsheets/d/14Bd19lYaqBhU8_DElYkX7l4wRkHqqCUFNJY4AfY3kHU/edit?usp=sharing  #gid=0"",""фіз особи new!relations_name""),6,FALSE)
,
(IF
(
G13701=""юридична особа""
,
VLOO"&amp;"KUP(H13701,IMPORTRANGE(""https://docs.google.com/spreadsheets/d/14Bd19lYaqBhU8_DElYkX7l4wRkHqqCUFNJY4AfY3kHU/edit?usp=sharing  #gid=0"",""фіз особи new!relations_name_uo""),7,FALSE)
,
)
))"),"АЛЄКСЄЄВА Ірма Михайлівна")</f>
        <v>АЛЄКСЄЄВА Ірма Михайлівна</v>
      </c>
      <c r="J13700" s="7" t="s">
        <v>23</v>
      </c>
    </row>
    <row r="13701" spans="1:10" ht="13.2">
      <c r="A13701" s="7">
        <v>13700</v>
      </c>
      <c r="B13701" s="7">
        <v>1</v>
      </c>
      <c r="C13701" s="7" t="s">
        <v>10</v>
      </c>
      <c r="D13701" s="7">
        <v>18717</v>
      </c>
      <c r="E13701" s="7" t="s">
        <v>23</v>
      </c>
      <c r="F13701" s="8" t="str">
        <f ca="1">IFERROR(__xludf.DUMMYFUNCTION("IF
(
C13702=""фізична особа""
,
VLOOKUP(D13702,IMPORTRANGE(""https://docs.google.com/spreadsheets/d/14Bd19lYaqBhU8_DElYkX7l4wRkHqqCUFNJY4AfY3kHU/edit?usp=sharing  #gid=0"",""фіз особи new!relations_name""),6,FALSE)
,
(IF
(
C13702=""юридична особа""
,
VLOO"&amp;"KUP(D13702,IMPORTRANGE(""https://docs.google.com/spreadsheets/d/14Bd19lYaqBhU8_DElYkX7l4wRkHqqCUFNJY4AfY3kHU/edit?usp=sharing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701" s="7" t="s">
        <v>10</v>
      </c>
      <c r="H13701" s="7">
        <v>23675</v>
      </c>
      <c r="I13701" s="8" t="str">
        <f ca="1">IFERROR(__xludf.DUMMYFUNCTION("IF
(
G13702=""фізична особа""
,
VLOOKUP(H13702,IMPORTRANGE(""https://docs.google.com/spreadsheets/d/14Bd19lYaqBhU8_DElYkX7l4wRkHqqCUFNJY4AfY3kHU/edit?usp=sharing  #gid=0"",""фіз особи new!relations_name""),6,FALSE)
,
(IF
(
G13702=""юридична особа""
,
VLOO"&amp;"KUP(H13702,IMPORTRANGE(""https://docs.google.com/spreadsheets/d/14Bd19lYaqBhU8_DElYkX7l4wRkHqqCUFNJY4AfY3kHU/edit?usp=sharing  #gid=0"",""фіз особи new!relations_name_uo""),7,FALSE)
,
)
))"),"ЦАРЕГОРОДЦЕВА Ганна Сергіївна")</f>
        <v>ЦАРЕГОРОДЦЕВА Ганна Сергіївна</v>
      </c>
      <c r="J13701" s="7" t="s">
        <v>23</v>
      </c>
    </row>
    <row r="13702" spans="1:10" ht="13.2">
      <c r="A13702" s="7">
        <v>13701</v>
      </c>
      <c r="B13702" s="7">
        <v>1</v>
      </c>
      <c r="C13702" s="7" t="s">
        <v>10</v>
      </c>
      <c r="D13702" s="7">
        <v>18717</v>
      </c>
      <c r="E13702" s="7" t="s">
        <v>23</v>
      </c>
      <c r="F13702" s="8" t="str">
        <f ca="1">IFERROR(__xludf.DUMMYFUNCTION("IF
(
C13703=""фізична особа""
,
VLOOKUP(D13703,IMPORTRANGE(""https://docs.google.com/spreadsheets/d/14Bd19lYaqBhU8_DElYkX7l4wRkHqqCUFNJY4AfY3kHU/edit?usp=sharing  #gid=0"",""фіз особи new!relations_name""),6,FALSE)
,
(IF
(
C13703=""юридична особа""
,
VLOO"&amp;"KUP(D13703,IMPORTRANGE(""https://docs.google.com/spreadsheets/d/14Bd19lYaqBhU8_DElYkX7l4wRkHqqCUFNJY4AfY3kHU/edit?usp=sharing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702" s="7" t="s">
        <v>10</v>
      </c>
      <c r="H13702" s="7">
        <v>18718</v>
      </c>
      <c r="I13702" s="8" t="str">
        <f ca="1">IFERROR(__xludf.DUMMYFUNCTION("IF
(
G13703=""фізична особа""
,
VLOOKUP(H13703,IMPORTRANGE(""https://docs.google.com/spreadsheets/d/14Bd19lYaqBhU8_DElYkX7l4wRkHqqCUFNJY4AfY3kHU/edit?usp=sharing  #gid=0"",""фіз особи new!relations_name""),6,FALSE)
,
(IF
(
G13703=""юридична особа""
,
VLOO"&amp;"KUP(H13703,IMPORTRANGE(""https://docs.google.com/spreadsheets/d/14Bd19lYaqBhU8_DElYkX7l4wRkHqqCUFNJY4AfY3kHU/edit?usp=sharing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J13702" s="7" t="s">
        <v>23</v>
      </c>
    </row>
    <row r="13703" spans="1:10" ht="13.2">
      <c r="A13703" s="7">
        <v>13702</v>
      </c>
      <c r="B13703" s="7">
        <v>1</v>
      </c>
      <c r="C13703" s="7" t="s">
        <v>10</v>
      </c>
      <c r="D13703" s="7">
        <v>18717</v>
      </c>
      <c r="E13703" s="7" t="s">
        <v>23</v>
      </c>
      <c r="F13703" s="8" t="str">
        <f ca="1">IFERROR(__xludf.DUMMYFUNCTION("IF
(
C13704=""фізична особа""
,
VLOOKUP(D13704,IMPORTRANGE(""https://docs.google.com/spreadsheets/d/14Bd19lYaqBhU8_DElYkX7l4wRkHqqCUFNJY4AfY3kHU/edit?usp=sharing  #gid=0"",""фіз особи new!relations_name""),6,FALSE)
,
(IF
(
C13704=""юридична особа""
,
VLOO"&amp;"KUP(D13704,IMPORTRANGE(""https://docs.google.com/spreadsheets/d/14Bd19lYaqBhU8_DElYkX7l4wRkHqqCUFNJY4AfY3kHU/edit?usp=sharing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703" s="7" t="s">
        <v>10</v>
      </c>
      <c r="H13703" s="7">
        <v>0</v>
      </c>
      <c r="I13703" s="8" t="str">
        <f ca="1">IFERROR(__xludf.DUMMYFUNCTION("IF
(
G13704=""фізична особа""
,
VLOOKUP(H13704,IMPORTRANGE(""https://docs.google.com/spreadsheets/d/14Bd19lYaqBhU8_DElYkX7l4wRkHqqCUFNJY4AfY3kHU/edit?usp=sharing  #gid=0"",""фіз особи new!relations_name""),6,FALSE)
,
(IF
(
G13704=""юридична особа""
,
VLOO"&amp;"KUP(H13704,IMPORTRANGE(""https://docs.google.com/spreadsheets/d/14Bd19lYaqBhU8_DElYkX7l4wRkHqqCUFNJY4AfY3kHU/edit?usp=sharing  #gid=0"",""фіз особи new!relations_name_uo""),7,FALSE)
,
)
))"),"#N/A")</f>
        <v>#N/A</v>
      </c>
      <c r="J13703" s="7" t="s">
        <v>23</v>
      </c>
    </row>
    <row r="13704" spans="1:10" ht="13.2">
      <c r="A13704" s="7">
        <v>13703</v>
      </c>
      <c r="B13704" s="7">
        <v>1</v>
      </c>
      <c r="C13704" s="7" t="s">
        <v>10</v>
      </c>
      <c r="D13704" s="7">
        <v>18717</v>
      </c>
      <c r="E13704" s="7" t="s">
        <v>23</v>
      </c>
      <c r="F13704" s="8" t="str">
        <f ca="1">IFERROR(__xludf.DUMMYFUNCTION("IF
(
C13705=""фізична особа""
,
VLOOKUP(D13705,IMPORTRANGE(""https://docs.google.com/spreadsheets/d/14Bd19lYaqBhU8_DElYkX7l4wRkHqqCUFNJY4AfY3kHU/edit?usp=sharing  #gid=0"",""фіз особи new!relations_name""),6,FALSE)
,
(IF
(
C13705=""юридична особа""
,
VLOO"&amp;"KUP(D13705,IMPORTRANGE(""https://docs.google.com/spreadsheets/d/14Bd19lYaqBhU8_DElYkX7l4wRkHqqCUFNJY4AfY3kHU/edit?usp=sharing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G13704" s="7" t="s">
        <v>10</v>
      </c>
      <c r="H13704" s="7">
        <v>0</v>
      </c>
      <c r="I13704" s="8" t="str">
        <f ca="1">IFERROR(__xludf.DUMMYFUNCTION("IF
(
G13705=""фізична особа""
,
VLOOKUP(H13705,IMPORTRANGE(""https://docs.google.com/spreadsheets/d/14Bd19lYaqBhU8_DElYkX7l4wRkHqqCUFNJY4AfY3kHU/edit?usp=sharing  #gid=0"",""фіз особи new!relations_name""),6,FALSE)
,
(IF
(
G13705=""юридична особа""
,
VLOO"&amp;"KUP(H13705,IMPORTRANGE(""https://docs.google.com/spreadsheets/d/14Bd19lYaqBhU8_DElYkX7l4wRkHqqCUFNJY4AfY3kHU/edit?usp=sharing  #gid=0"",""фіз особи new!relations_name_uo""),7,FALSE)
,
)
))"),"#N/A")</f>
        <v>#N/A</v>
      </c>
      <c r="J13704" s="7" t="s">
        <v>23</v>
      </c>
    </row>
    <row r="13705" spans="1:10" ht="13.2">
      <c r="A13705" s="7">
        <v>13704</v>
      </c>
      <c r="B13705" s="7">
        <v>1</v>
      </c>
      <c r="C13705" s="7" t="s">
        <v>10</v>
      </c>
      <c r="D13705" s="7">
        <v>18718</v>
      </c>
      <c r="E13705" s="7" t="s">
        <v>23</v>
      </c>
      <c r="F13705" s="8" t="str">
        <f ca="1">IFERROR(__xludf.DUMMYFUNCTION("IF
(
C13706=""фізична особа""
,
VLOOKUP(D13706,IMPORTRANGE(""https://docs.google.com/spreadsheets/d/14Bd19lYaqBhU8_DElYkX7l4wRkHqqCUFNJY4AfY3kHU/edit?usp=sharing  #gid=0"",""фіз особи new!relations_name""),6,FALSE)
,
(IF
(
C13706=""юридична особа""
,
VLOO"&amp;"KUP(D13706,IMPORTRANGE(""https://docs.google.com/spreadsheets/d/14Bd19lYaqBhU8_DElYkX7l4wRkHqqCUFNJY4AfY3kHU/edit?usp=sharing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G13705" s="7" t="s">
        <v>10</v>
      </c>
      <c r="H13705" s="7">
        <v>18709</v>
      </c>
      <c r="I13705" s="8" t="str">
        <f ca="1">IFERROR(__xludf.DUMMYFUNCTION("IF
(
G13706=""фізична особа""
,
VLOOKUP(H13706,IMPORTRANGE(""https://docs.google.com/spreadsheets/d/14Bd19lYaqBhU8_DElYkX7l4wRkHqqCUFNJY4AfY3kHU/edit?usp=sharing  #gid=0"",""фіз особи new!relations_name""),6,FALSE)
,
(IF
(
G13706=""юридична особа""
,
VLOO"&amp;"KUP(H13706,IMPORTRANGE(""https://docs.google.com/spreadsheets/d/14Bd19lYaqBhU8_DElYkX7l4wRkHqqCUFNJY4AfY3kHU/edit?usp=sharing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05" s="7" t="s">
        <v>23</v>
      </c>
    </row>
    <row r="13706" spans="1:10" ht="13.2">
      <c r="A13706" s="7">
        <v>13705</v>
      </c>
      <c r="B13706" s="7">
        <v>1</v>
      </c>
      <c r="C13706" s="7" t="s">
        <v>10</v>
      </c>
      <c r="D13706" s="7">
        <v>18718</v>
      </c>
      <c r="E13706" s="7" t="s">
        <v>23</v>
      </c>
      <c r="F13706" s="8" t="str">
        <f ca="1">IFERROR(__xludf.DUMMYFUNCTION("IF
(
C13707=""фізична особа""
,
VLOOKUP(D13707,IMPORTRANGE(""https://docs.google.com/spreadsheets/d/14Bd19lYaqBhU8_DElYkX7l4wRkHqqCUFNJY4AfY3kHU/edit?usp=sharing  #gid=0"",""фіз особи new!relations_name""),6,FALSE)
,
(IF
(
C13707=""юридична особа""
,
VLOO"&amp;"KUP(D13707,IMPORTRANGE(""https://docs.google.com/spreadsheets/d/14Bd19lYaqBhU8_DElYkX7l4wRkHqqCUFNJY4AfY3kHU/edit?usp=sharing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G13706" s="7" t="s">
        <v>10</v>
      </c>
      <c r="H13706" s="7">
        <v>18713</v>
      </c>
      <c r="I13706" s="8" t="str">
        <f ca="1">IFERROR(__xludf.DUMMYFUNCTION("IF
(
G13707=""фізична особа""
,
VLOOKUP(H13707,IMPORTRANGE(""https://docs.google.com/spreadsheets/d/14Bd19lYaqBhU8_DElYkX7l4wRkHqqCUFNJY4AfY3kHU/edit?usp=sharing  #gid=0"",""фіз особи new!relations_name""),6,FALSE)
,
(IF
(
G13707=""юридична особа""
,
VLOO"&amp;"KUP(H13707,IMPORTRANGE(""https://docs.google.com/spreadsheets/d/14Bd19lYaqBhU8_DElYkX7l4wRkHqqCUFNJY4AfY3kHU/edit?usp=sharing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06" s="7" t="s">
        <v>23</v>
      </c>
    </row>
    <row r="13707" spans="1:10" ht="13.2">
      <c r="A13707" s="7">
        <v>13706</v>
      </c>
      <c r="B13707" s="7">
        <v>1</v>
      </c>
      <c r="C13707" s="7" t="s">
        <v>10</v>
      </c>
      <c r="D13707" s="7">
        <v>18718</v>
      </c>
      <c r="E13707" s="7" t="s">
        <v>23</v>
      </c>
      <c r="F13707" s="8" t="str">
        <f ca="1">IFERROR(__xludf.DUMMYFUNCTION("IF
(
C13708=""фізична особа""
,
VLOOKUP(D13708,IMPORTRANGE(""https://docs.google.com/spreadsheets/d/14Bd19lYaqBhU8_DElYkX7l4wRkHqqCUFNJY4AfY3kHU/edit?usp=sharing  #gid=0"",""фіз особи new!relations_name""),6,FALSE)
,
(IF
(
C13708=""юридична особа""
,
VLOO"&amp;"KUP(D13708,IMPORTRANGE(""https://docs.google.com/spreadsheets/d/14Bd19lYaqBhU8_DElYkX7l4wRkHqqCUFNJY4AfY3kHU/edit?usp=sharing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G13707" s="7" t="s">
        <v>10</v>
      </c>
      <c r="H13707" s="7">
        <v>18717</v>
      </c>
      <c r="I13707" s="8" t="str">
        <f ca="1">IFERROR(__xludf.DUMMYFUNCTION("IF
(
G13708=""фізична особа""
,
VLOOKUP(H13708,IMPORTRANGE(""https://docs.google.com/spreadsheets/d/14Bd19lYaqBhU8_DElYkX7l4wRkHqqCUFNJY4AfY3kHU/edit?usp=sharing  #gid=0"",""фіз особи new!relations_name""),6,FALSE)
,
(IF
(
G13708=""юридична особа""
,
VLOO"&amp;"KUP(H13708,IMPORTRANGE(""https://docs.google.com/spreadsheets/d/14Bd19lYaqBhU8_DElYkX7l4wRkHqqCUFNJY4AfY3kHU/edit?usp=sharing  #gid=0"",""фіз особи new!relations_name_uo""),7,FALSE)
,
)
))"),"ЛІБЕРМАН Володимир Анатолійович")</f>
        <v>ЛІБЕРМАН Володимир Анатолійович</v>
      </c>
      <c r="J13707" s="7" t="s">
        <v>23</v>
      </c>
    </row>
    <row r="13708" spans="1:10" ht="13.2">
      <c r="A13708" s="7">
        <v>13707</v>
      </c>
      <c r="B13708" s="7">
        <v>1</v>
      </c>
      <c r="C13708" s="7" t="s">
        <v>10</v>
      </c>
      <c r="D13708" s="7">
        <v>18718</v>
      </c>
      <c r="E13708" s="7" t="s">
        <v>23</v>
      </c>
      <c r="F13708" s="8" t="str">
        <f ca="1">IFERROR(__xludf.DUMMYFUNCTION("IF
(
C13709=""фізична особа""
,
VLOOKUP(D13709,IMPORTRANGE(""https://docs.google.com/spreadsheets/d/14Bd19lYaqBhU8_DElYkX7l4wRkHqqCUFNJY4AfY3kHU/edit?usp=sharing  #gid=0"",""фіз особи new!relations_name""),6,FALSE)
,
(IF
(
C13709=""юридична особа""
,
VLOO"&amp;"KUP(D13709,IMPORTRANGE(""https://docs.google.com/spreadsheets/d/14Bd19lYaqBhU8_DElYkX7l4wRkHqqCUFNJY4AfY3kHU/edit?usp=sharing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G13708" s="7" t="s">
        <v>10</v>
      </c>
      <c r="H13708" s="7">
        <v>23674</v>
      </c>
      <c r="I13708" s="8" t="str">
        <f ca="1">IFERROR(__xludf.DUMMYFUNCTION("IF
(
G13709=""фізична особа""
,
VLOOKUP(H13709,IMPORTRANGE(""https://docs.google.com/spreadsheets/d/14Bd19lYaqBhU8_DElYkX7l4wRkHqqCUFNJY4AfY3kHU/edit?usp=sharing  #gid=0"",""фіз особи new!relations_name""),6,FALSE)
,
(IF
(
G13709=""юридична особа""
,
VLOO"&amp;"KUP(H13709,IMPORTRANGE(""https://docs.google.com/spreadsheets/d/14Bd19lYaqBhU8_DElYkX7l4wRkHqqCUFNJY4AfY3kHU/edit?usp=sharing  #gid=0"",""фіз особи new!relations_name_uo""),7,FALSE)
,
)
))"),"АЛЄКСЄЄВА Ірма Михайлівна")</f>
        <v>АЛЄКСЄЄВА Ірма Михайлівна</v>
      </c>
      <c r="J13708" s="7" t="s">
        <v>23</v>
      </c>
    </row>
    <row r="13709" spans="1:10" ht="13.2">
      <c r="A13709" s="7">
        <v>13708</v>
      </c>
      <c r="B13709" s="7">
        <v>1</v>
      </c>
      <c r="C13709" s="7" t="s">
        <v>10</v>
      </c>
      <c r="D13709" s="7">
        <v>18718</v>
      </c>
      <c r="E13709" s="7" t="s">
        <v>23</v>
      </c>
      <c r="F13709" s="8" t="str">
        <f ca="1">IFERROR(__xludf.DUMMYFUNCTION("IF
(
C13710=""фізична особа""
,
VLOOKUP(D13710,IMPORTRANGE(""https://docs.google.com/spreadsheets/d/14Bd19lYaqBhU8_DElYkX7l4wRkHqqCUFNJY4AfY3kHU/edit?usp=sharing  #gid=0"",""фіз особи new!relations_name""),6,FALSE)
,
(IF
(
C13710=""юридична особа""
,
VLOO"&amp;"KUP(D13710,IMPORTRANGE(""https://docs.google.com/spreadsheets/d/14Bd19lYaqBhU8_DElYkX7l4wRkHqqCUFNJY4AfY3kHU/edit?usp=sharing  #gid=0"",""фіз особи new!relations_name_uo""),7,FALSE)
,
)
))"),"ПОДВИГАЙЛО Олександр Іванович")</f>
        <v>ПОДВИГАЙЛО Олександр Іванович</v>
      </c>
      <c r="G13709" s="7" t="s">
        <v>10</v>
      </c>
      <c r="H13709" s="7">
        <v>23675</v>
      </c>
      <c r="I13709" s="8" t="str">
        <f ca="1">IFERROR(__xludf.DUMMYFUNCTION("IF
(
G13710=""фізична особа""
,
VLOOKUP(H13710,IMPORTRANGE(""https://docs.google.com/spreadsheets/d/14Bd19lYaqBhU8_DElYkX7l4wRkHqqCUFNJY4AfY3kHU/edit?usp=sharing  #gid=0"",""фіз особи new!relations_name""),6,FALSE)
,
(IF
(
G13710=""юридична особа""
,
VLOO"&amp;"KUP(H13710,IMPORTRANGE(""https://docs.google.com/spreadsheets/d/14Bd19lYaqBhU8_DElYkX7l4wRkHqqCUFNJY4AfY3kHU/edit?usp=sharing  #gid=0"",""фіз особи new!relations_name_uo""),7,FALSE)
,
)
))"),"ЦАРЕГОРОДЦЕВА Ганна Сергіївна")</f>
        <v>ЦАРЕГОРОДЦЕВА Ганна Сергіївна</v>
      </c>
      <c r="J13709" s="7" t="s">
        <v>23</v>
      </c>
    </row>
    <row r="13710" spans="1:10" ht="13.2">
      <c r="A13710" s="7">
        <v>13709</v>
      </c>
      <c r="B13710" s="7">
        <v>1</v>
      </c>
      <c r="C13710" s="7" t="s">
        <v>10</v>
      </c>
      <c r="D13710" s="7">
        <v>18719</v>
      </c>
      <c r="E13710" s="7" t="s">
        <v>23</v>
      </c>
      <c r="F13710" s="8" t="str">
        <f ca="1">IFERROR(__xludf.DUMMYFUNCTION("IF
(
C13711=""фізична особа""
,
VLOOKUP(D13711,IMPORTRANGE(""https://docs.google.com/spreadsheets/d/14Bd19lYaqBhU8_DElYkX7l4wRkHqqCUFNJY4AfY3kHU/edit?usp=sharing  #gid=0"",""фіз особи new!relations_name""),6,FALSE)
,
(IF
(
C13711=""юридична особа""
,
VLOO"&amp;"KUP(D13711,IMPORTRANGE(""https://docs.google.com/spreadsheets/d/14Bd19lYaqBhU8_DElYkX7l4wRkHqqCUFNJY4AfY3kHU/edit?usp=sharing  #gid=0"",""фіз особи new!relations_name_uo""),7,FALSE)
,
)
))"),"ЄГОРОВА Олена Іванівна")</f>
        <v>ЄГОРОВА Олена Іванівна</v>
      </c>
      <c r="G13710" s="7" t="s">
        <v>10</v>
      </c>
      <c r="H13710" s="7">
        <v>18709</v>
      </c>
      <c r="I13710" s="8" t="str">
        <f ca="1">IFERROR(__xludf.DUMMYFUNCTION("IF
(
G13711=""фізична особа""
,
VLOOKUP(H13711,IMPORTRANGE(""https://docs.google.com/spreadsheets/d/14Bd19lYaqBhU8_DElYkX7l4wRkHqqCUFNJY4AfY3kHU/edit?usp=sharing  #gid=0"",""фіз особи new!relations_name""),6,FALSE)
,
(IF
(
G13711=""юридична особа""
,
VLOO"&amp;"KUP(H13711,IMPORTRANGE(""https://docs.google.com/spreadsheets/d/14Bd19lYaqBhU8_DElYkX7l4wRkHqqCUFNJY4AfY3kHU/edit?usp=sharing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10" s="7" t="s">
        <v>23</v>
      </c>
    </row>
    <row r="13711" spans="1:10" ht="13.2">
      <c r="A13711" s="7">
        <v>13710</v>
      </c>
      <c r="B13711" s="7">
        <v>1</v>
      </c>
      <c r="C13711" s="7" t="s">
        <v>10</v>
      </c>
      <c r="D13711" s="7">
        <v>18719</v>
      </c>
      <c r="E13711" s="7" t="s">
        <v>23</v>
      </c>
      <c r="F13711" s="8" t="str">
        <f ca="1">IFERROR(__xludf.DUMMYFUNCTION("IF
(
C13712=""фізична особа""
,
VLOOKUP(D13712,IMPORTRANGE(""https://docs.google.com/spreadsheets/d/14Bd19lYaqBhU8_DElYkX7l4wRkHqqCUFNJY4AfY3kHU/edit?usp=sharing  #gid=0"",""фіз особи new!relations_name""),6,FALSE)
,
(IF
(
C13712=""юридична особа""
,
VLOO"&amp;"KUP(D13712,IMPORTRANGE(""https://docs.google.com/spreadsheets/d/14Bd19lYaqBhU8_DElYkX7l4wRkHqqCUFNJY4AfY3kHU/edit?usp=sharing  #gid=0"",""фіз особи new!relations_name_uo""),7,FALSE)
,
)
))"),"ЄГОРОВА Олена Іванівна")</f>
        <v>ЄГОРОВА Олена Іванівна</v>
      </c>
      <c r="G13711" s="7" t="s">
        <v>10</v>
      </c>
      <c r="H13711" s="7">
        <v>18713</v>
      </c>
      <c r="I13711" s="8" t="str">
        <f ca="1">IFERROR(__xludf.DUMMYFUNCTION("IF
(
G13712=""фізична особа""
,
VLOOKUP(H13712,IMPORTRANGE(""https://docs.google.com/spreadsheets/d/14Bd19lYaqBhU8_DElYkX7l4wRkHqqCUFNJY4AfY3kHU/edit?usp=sharing  #gid=0"",""фіз особи new!relations_name""),6,FALSE)
,
(IF
(
G13712=""юридична особа""
,
VLOO"&amp;"KUP(H13712,IMPORTRANGE(""https://docs.google.com/spreadsheets/d/14Bd19lYaqBhU8_DElYkX7l4wRkHqqCUFNJY4AfY3kHU/edit?usp=sharing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11" s="7" t="s">
        <v>23</v>
      </c>
    </row>
    <row r="13712" spans="1:10" ht="13.2">
      <c r="A13712" s="7">
        <v>13711</v>
      </c>
      <c r="B13712" s="7">
        <v>1</v>
      </c>
      <c r="C13712" s="7" t="s">
        <v>10</v>
      </c>
      <c r="D13712" s="7">
        <v>18720</v>
      </c>
      <c r="E13712" s="7" t="s">
        <v>23</v>
      </c>
      <c r="F13712" s="8" t="str">
        <f ca="1">IFERROR(__xludf.DUMMYFUNCTION("IF
(
C13713=""фізична особа""
,
VLOOKUP(D13713,IMPORTRANGE(""https://docs.google.com/spreadsheets/d/14Bd19lYaqBhU8_DElYkX7l4wRkHqqCUFNJY4AfY3kHU/edit?usp=sharing  #gid=0"",""фіз особи new!relations_name""),6,FALSE)
,
(IF
(
C13713=""юридична особа""
,
VLOO"&amp;"KUP(D13713,IMPORTRANGE(""https://docs.google.com/spreadsheets/d/14Bd19lYaqBhU8_DElYkX7l4wRkHqqCUFNJY4AfY3kHU/edit?usp=sharing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G13712" s="7" t="s">
        <v>10</v>
      </c>
      <c r="H13712" s="7">
        <v>18709</v>
      </c>
      <c r="I13712" s="8" t="str">
        <f ca="1">IFERROR(__xludf.DUMMYFUNCTION("IF
(
G13713=""фізична особа""
,
VLOOKUP(H13713,IMPORTRANGE(""https://docs.google.com/spreadsheets/d/14Bd19lYaqBhU8_DElYkX7l4wRkHqqCUFNJY4AfY3kHU/edit?usp=sharing  #gid=0"",""фіз особи new!relations_name""),6,FALSE)
,
(IF
(
G13713=""юридична особа""
,
VLOO"&amp;"KUP(H13713,IMPORTRANGE(""https://docs.google.com/spreadsheets/d/14Bd19lYaqBhU8_DElYkX7l4wRkHqqCUFNJY4AfY3kHU/edit?usp=sharing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12" s="7" t="s">
        <v>23</v>
      </c>
    </row>
    <row r="13713" spans="1:10" ht="13.2">
      <c r="A13713" s="7">
        <v>13712</v>
      </c>
      <c r="B13713" s="7">
        <v>1</v>
      </c>
      <c r="C13713" s="7" t="s">
        <v>10</v>
      </c>
      <c r="D13713" s="7">
        <v>18720</v>
      </c>
      <c r="E13713" s="7" t="s">
        <v>23</v>
      </c>
      <c r="F13713" s="8" t="str">
        <f ca="1">IFERROR(__xludf.DUMMYFUNCTION("IF
(
C13714=""фізична особа""
,
VLOOKUP(D13714,IMPORTRANGE(""https://docs.google.com/spreadsheets/d/14Bd19lYaqBhU8_DElYkX7l4wRkHqqCUFNJY4AfY3kHU/edit?usp=sharing  #gid=0"",""фіз особи new!relations_name""),6,FALSE)
,
(IF
(
C13714=""юридична особа""
,
VLOO"&amp;"KUP(D13714,IMPORTRANGE(""https://docs.google.com/spreadsheets/d/14Bd19lYaqBhU8_DElYkX7l4wRkHqqCUFNJY4AfY3kHU/edit?usp=sharing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G13713" s="7" t="s">
        <v>10</v>
      </c>
      <c r="H13713" s="7">
        <v>18713</v>
      </c>
      <c r="I13713" s="8" t="str">
        <f ca="1">IFERROR(__xludf.DUMMYFUNCTION("IF
(
G13714=""фізична особа""
,
VLOOKUP(H13714,IMPORTRANGE(""https://docs.google.com/spreadsheets/d/14Bd19lYaqBhU8_DElYkX7l4wRkHqqCUFNJY4AfY3kHU/edit?usp=sharing  #gid=0"",""фіз особи new!relations_name""),6,FALSE)
,
(IF
(
G13714=""юридична особа""
,
VLOO"&amp;"KUP(H13714,IMPORTRANGE(""https://docs.google.com/spreadsheets/d/14Bd19lYaqBhU8_DElYkX7l4wRkHqqCUFNJY4AfY3kHU/edit?usp=sharing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13" s="7" t="s">
        <v>23</v>
      </c>
    </row>
    <row r="13714" spans="1:10" ht="13.2">
      <c r="A13714" s="7">
        <v>13713</v>
      </c>
      <c r="B13714" s="7">
        <v>1</v>
      </c>
      <c r="C13714" s="7" t="s">
        <v>10</v>
      </c>
      <c r="D13714" s="7">
        <v>18720</v>
      </c>
      <c r="E13714" s="7" t="s">
        <v>23</v>
      </c>
      <c r="F13714" s="8" t="str">
        <f ca="1">IFERROR(__xludf.DUMMYFUNCTION("IF
(
C13715=""фізична особа""
,
VLOOKUP(D13715,IMPORTRANGE(""https://docs.google.com/spreadsheets/d/14Bd19lYaqBhU8_DElYkX7l4wRkHqqCUFNJY4AfY3kHU/edit?usp=sharing  #gid=0"",""фіз особи new!relations_name""),6,FALSE)
,
(IF
(
C13715=""юридична особа""
,
VLOO"&amp;"KUP(D13715,IMPORTRANGE(""https://docs.google.com/spreadsheets/d/14Bd19lYaqBhU8_DElYkX7l4wRkHqqCUFNJY4AfY3kHU/edit?usp=sharing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G13714" s="7" t="s">
        <v>10</v>
      </c>
      <c r="H13714" s="7">
        <v>23676</v>
      </c>
      <c r="I13714" s="8" t="str">
        <f ca="1">IFERROR(__xludf.DUMMYFUNCTION("IF
(
G13715=""фізична особа""
,
VLOOKUP(H13715,IMPORTRANGE(""https://docs.google.com/spreadsheets/d/14Bd19lYaqBhU8_DElYkX7l4wRkHqqCUFNJY4AfY3kHU/edit?usp=sharing  #gid=0"",""фіз особи new!relations_name""),6,FALSE)
,
(IF
(
G13715=""юридична особа""
,
VLOO"&amp;"KUP(H13715,IMPORTRANGE(""https://docs.google.com/spreadsheets/d/14Bd19lYaqBhU8_DElYkX7l4wRkHqqCUFNJY4AfY3kHU/edit?usp=sharing  #gid=0"",""фіз особи new!relations_name_uo""),7,FALSE)
,
)
))"),"ТЕРЕХОВ Олексій Володимирович")</f>
        <v>ТЕРЕХОВ Олексій Володимирович</v>
      </c>
      <c r="J13714" s="7" t="s">
        <v>23</v>
      </c>
    </row>
    <row r="13715" spans="1:10" ht="13.2">
      <c r="A13715" s="7">
        <v>13714</v>
      </c>
      <c r="B13715" s="7">
        <v>1</v>
      </c>
      <c r="C13715" s="7" t="s">
        <v>10</v>
      </c>
      <c r="D13715" s="7">
        <v>18720</v>
      </c>
      <c r="E13715" s="7" t="s">
        <v>23</v>
      </c>
      <c r="F13715" s="8" t="str">
        <f ca="1">IFERROR(__xludf.DUMMYFUNCTION("IF
(
C13716=""фізична особа""
,
VLOOKUP(D13716,IMPORTRANGE(""https://docs.google.com/spreadsheets/d/14Bd19lYaqBhU8_DElYkX7l4wRkHqqCUFNJY4AfY3kHU/edit?usp=sharing  #gid=0"",""фіз особи new!relations_name""),6,FALSE)
,
(IF
(
C13716=""юридична особа""
,
VLOO"&amp;"KUP(D13716,IMPORTRANGE(""https://docs.google.com/spreadsheets/d/14Bd19lYaqBhU8_DElYkX7l4wRkHqqCUFNJY4AfY3kHU/edit?usp=sharing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G13715" s="7" t="s">
        <v>10</v>
      </c>
      <c r="H13715" s="7">
        <v>18722</v>
      </c>
      <c r="I13715" s="8" t="str">
        <f ca="1">IFERROR(__xludf.DUMMYFUNCTION("IF
(
G13716=""фізична особа""
,
VLOOKUP(H13716,IMPORTRANGE(""https://docs.google.com/spreadsheets/d/14Bd19lYaqBhU8_DElYkX7l4wRkHqqCUFNJY4AfY3kHU/edit?usp=sharing  #gid=0"",""фіз особи new!relations_name""),6,FALSE)
,
(IF
(
G13716=""юридична особа""
,
VLOO"&amp;"KUP(H13716,IMPORTRANGE(""https://docs.google.com/spreadsheets/d/14Bd19lYaqBhU8_DElYkX7l4wRkHqqCUFNJY4AfY3kHU/edit?usp=sharing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J13715" s="7" t="s">
        <v>23</v>
      </c>
    </row>
    <row r="13716" spans="1:10" ht="13.2">
      <c r="A13716" s="7">
        <v>13715</v>
      </c>
      <c r="B13716" s="7">
        <v>1</v>
      </c>
      <c r="C13716" s="7" t="s">
        <v>10</v>
      </c>
      <c r="D13716" s="7">
        <v>18720</v>
      </c>
      <c r="E13716" s="7" t="s">
        <v>23</v>
      </c>
      <c r="F13716" s="8" t="str">
        <f ca="1">IFERROR(__xludf.DUMMYFUNCTION("IF
(
C13717=""фізична особа""
,
VLOOKUP(D13717,IMPORTRANGE(""https://docs.google.com/spreadsheets/d/14Bd19lYaqBhU8_DElYkX7l4wRkHqqCUFNJY4AfY3kHU/edit?usp=sharing  #gid=0"",""фіз особи new!relations_name""),6,FALSE)
,
(IF
(
C13717=""юридична особа""
,
VLOO"&amp;"KUP(D13717,IMPORTRANGE(""https://docs.google.com/spreadsheets/d/14Bd19lYaqBhU8_DElYkX7l4wRkHqqCUFNJY4AfY3kHU/edit?usp=sharing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G13716" s="7" t="s">
        <v>10</v>
      </c>
      <c r="H13716" s="7">
        <v>18721</v>
      </c>
      <c r="I13716" s="8" t="str">
        <f ca="1">IFERROR(__xludf.DUMMYFUNCTION("IF
(
G13717=""фізична особа""
,
VLOOKUP(H13717,IMPORTRANGE(""https://docs.google.com/spreadsheets/d/14Bd19lYaqBhU8_DElYkX7l4wRkHqqCUFNJY4AfY3kHU/edit?usp=sharing  #gid=0"",""фіз особи new!relations_name""),6,FALSE)
,
(IF
(
G13717=""юридична особа""
,
VLOO"&amp;"KUP(H13717,IMPORTRANGE(""https://docs.google.com/spreadsheets/d/14Bd19lYaqBhU8_DElYkX7l4wRkHqqCUFNJY4AfY3kHU/edit?usp=sharing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J13716" s="7" t="s">
        <v>23</v>
      </c>
    </row>
    <row r="13717" spans="1:10" ht="13.2">
      <c r="A13717" s="7">
        <v>13716</v>
      </c>
      <c r="B13717" s="7">
        <v>1</v>
      </c>
      <c r="C13717" s="7" t="s">
        <v>10</v>
      </c>
      <c r="D13717" s="7">
        <v>18721</v>
      </c>
      <c r="E13717" s="7" t="s">
        <v>23</v>
      </c>
      <c r="F13717" s="8" t="str">
        <f ca="1">IFERROR(__xludf.DUMMYFUNCTION("IF
(
C13718=""фізична особа""
,
VLOOKUP(D13718,IMPORTRANGE(""https://docs.google.com/spreadsheets/d/14Bd19lYaqBhU8_DElYkX7l4wRkHqqCUFNJY4AfY3kHU/edit?usp=sharing  #gid=0"",""фіз особи new!relations_name""),6,FALSE)
,
(IF
(
C13718=""юридична особа""
,
VLOO"&amp;"KUP(D13718,IMPORTRANGE(""https://docs.google.com/spreadsheets/d/14Bd19lYaqBhU8_DElYkX7l4wRkHqqCUFNJY4AfY3kHU/edit?usp=sharing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17" s="7" t="s">
        <v>10</v>
      </c>
      <c r="H13717" s="7">
        <v>18709</v>
      </c>
      <c r="I13717" s="8" t="str">
        <f ca="1">IFERROR(__xludf.DUMMYFUNCTION("IF
(
G13718=""фізична особа""
,
VLOOKUP(H13718,IMPORTRANGE(""https://docs.google.com/spreadsheets/d/14Bd19lYaqBhU8_DElYkX7l4wRkHqqCUFNJY4AfY3kHU/edit?usp=sharing  #gid=0"",""фіз особи new!relations_name""),6,FALSE)
,
(IF
(
G13718=""юридична особа""
,
VLOO"&amp;"KUP(H13718,IMPORTRANGE(""https://docs.google.com/spreadsheets/d/14Bd19lYaqBhU8_DElYkX7l4wRkHqqCUFNJY4AfY3kHU/edit?usp=sharing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17" s="7" t="s">
        <v>23</v>
      </c>
    </row>
    <row r="13718" spans="1:10" ht="13.2">
      <c r="A13718" s="7">
        <v>13717</v>
      </c>
      <c r="B13718" s="7">
        <v>1</v>
      </c>
      <c r="C13718" s="7" t="s">
        <v>10</v>
      </c>
      <c r="D13718" s="7">
        <v>18721</v>
      </c>
      <c r="E13718" s="7" t="s">
        <v>23</v>
      </c>
      <c r="F13718" s="8" t="str">
        <f ca="1">IFERROR(__xludf.DUMMYFUNCTION("IF
(
C13719=""фізична особа""
,
VLOOKUP(D13719,IMPORTRANGE(""https://docs.google.com/spreadsheets/d/14Bd19lYaqBhU8_DElYkX7l4wRkHqqCUFNJY4AfY3kHU/edit?usp=sharing  #gid=0"",""фіз особи new!relations_name""),6,FALSE)
,
(IF
(
C13719=""юридична особа""
,
VLOO"&amp;"KUP(D13719,IMPORTRANGE(""https://docs.google.com/spreadsheets/d/14Bd19lYaqBhU8_DElYkX7l4wRkHqqCUFNJY4AfY3kHU/edit?usp=sharing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18" s="7" t="s">
        <v>10</v>
      </c>
      <c r="H13718" s="7">
        <v>18713</v>
      </c>
      <c r="I13718" s="8" t="str">
        <f ca="1">IFERROR(__xludf.DUMMYFUNCTION("IF
(
G13719=""фізична особа""
,
VLOOKUP(H13719,IMPORTRANGE(""https://docs.google.com/spreadsheets/d/14Bd19lYaqBhU8_DElYkX7l4wRkHqqCUFNJY4AfY3kHU/edit?usp=sharing  #gid=0"",""фіз особи new!relations_name""),6,FALSE)
,
(IF
(
G13719=""юридична особа""
,
VLOO"&amp;"KUP(H13719,IMPORTRANGE(""https://docs.google.com/spreadsheets/d/14Bd19lYaqBhU8_DElYkX7l4wRkHqqCUFNJY4AfY3kHU/edit?usp=sharing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18" s="7" t="s">
        <v>23</v>
      </c>
    </row>
    <row r="13719" spans="1:10" ht="13.2">
      <c r="A13719" s="7">
        <v>13718</v>
      </c>
      <c r="B13719" s="7">
        <v>1</v>
      </c>
      <c r="C13719" s="7" t="s">
        <v>10</v>
      </c>
      <c r="D13719" s="7">
        <v>18721</v>
      </c>
      <c r="E13719" s="7" t="s">
        <v>23</v>
      </c>
      <c r="F13719" s="8" t="str">
        <f ca="1">IFERROR(__xludf.DUMMYFUNCTION("IF
(
C13720=""фізична особа""
,
VLOOKUP(D13720,IMPORTRANGE(""https://docs.google.com/spreadsheets/d/14Bd19lYaqBhU8_DElYkX7l4wRkHqqCUFNJY4AfY3kHU/edit?usp=sharing  #gid=0"",""фіз особи new!relations_name""),6,FALSE)
,
(IF
(
C13720=""юридична особа""
,
VLOO"&amp;"KUP(D13720,IMPORTRANGE(""https://docs.google.com/spreadsheets/d/14Bd19lYaqBhU8_DElYkX7l4wRkHqqCUFNJY4AfY3kHU/edit?usp=sharing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19" s="7" t="s">
        <v>10</v>
      </c>
      <c r="H13719" s="7">
        <v>23676</v>
      </c>
      <c r="I13719" s="8" t="str">
        <f ca="1">IFERROR(__xludf.DUMMYFUNCTION("IF
(
G13720=""фізична особа""
,
VLOOKUP(H13720,IMPORTRANGE(""https://docs.google.com/spreadsheets/d/14Bd19lYaqBhU8_DElYkX7l4wRkHqqCUFNJY4AfY3kHU/edit?usp=sharing  #gid=0"",""фіз особи new!relations_name""),6,FALSE)
,
(IF
(
G13720=""юридична особа""
,
VLOO"&amp;"KUP(H13720,IMPORTRANGE(""https://docs.google.com/spreadsheets/d/14Bd19lYaqBhU8_DElYkX7l4wRkHqqCUFNJY4AfY3kHU/edit?usp=sharing  #gid=0"",""фіз особи new!relations_name_uo""),7,FALSE)
,
)
))"),"ТЕРЕХОВ Олексій Володимирович")</f>
        <v>ТЕРЕХОВ Олексій Володимирович</v>
      </c>
      <c r="J13719" s="7" t="s">
        <v>23</v>
      </c>
    </row>
    <row r="13720" spans="1:10" ht="13.2">
      <c r="A13720" s="7">
        <v>13719</v>
      </c>
      <c r="B13720" s="7">
        <v>1</v>
      </c>
      <c r="C13720" s="7" t="s">
        <v>10</v>
      </c>
      <c r="D13720" s="7">
        <v>18721</v>
      </c>
      <c r="E13720" s="7" t="s">
        <v>23</v>
      </c>
      <c r="F13720" s="8" t="str">
        <f ca="1">IFERROR(__xludf.DUMMYFUNCTION("IF
(
C13721=""фізична особа""
,
VLOOKUP(D13721,IMPORTRANGE(""https://docs.google.com/spreadsheets/d/14Bd19lYaqBhU8_DElYkX7l4wRkHqqCUFNJY4AfY3kHU/edit?usp=sharing  #gid=0"",""фіз особи new!relations_name""),6,FALSE)
,
(IF
(
C13721=""юридична особа""
,
VLOO"&amp;"KUP(D13721,IMPORTRANGE(""https://docs.google.com/spreadsheets/d/14Bd19lYaqBhU8_DElYkX7l4wRkHqqCUFNJY4AfY3kHU/edit?usp=sharing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20" s="7" t="s">
        <v>10</v>
      </c>
      <c r="H13720" s="7">
        <v>18722</v>
      </c>
      <c r="I13720" s="8" t="str">
        <f ca="1">IFERROR(__xludf.DUMMYFUNCTION("IF
(
G13721=""фізична особа""
,
VLOOKUP(H13721,IMPORTRANGE(""https://docs.google.com/spreadsheets/d/14Bd19lYaqBhU8_DElYkX7l4wRkHqqCUFNJY4AfY3kHU/edit?usp=sharing  #gid=0"",""фіз особи new!relations_name""),6,FALSE)
,
(IF
(
G13721=""юридична особа""
,
VLOO"&amp;"KUP(H13721,IMPORTRANGE(""https://docs.google.com/spreadsheets/d/14Bd19lYaqBhU8_DElYkX7l4wRkHqqCUFNJY4AfY3kHU/edit?usp=sharing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J13720" s="7" t="s">
        <v>23</v>
      </c>
    </row>
    <row r="13721" spans="1:10" ht="13.2">
      <c r="A13721" s="7">
        <v>13720</v>
      </c>
      <c r="B13721" s="7">
        <v>1</v>
      </c>
      <c r="C13721" s="7" t="s">
        <v>10</v>
      </c>
      <c r="D13721" s="7">
        <v>18721</v>
      </c>
      <c r="E13721" s="7" t="s">
        <v>23</v>
      </c>
      <c r="F13721" s="8" t="str">
        <f ca="1">IFERROR(__xludf.DUMMYFUNCTION("IF
(
C13722=""фізична особа""
,
VLOOKUP(D13722,IMPORTRANGE(""https://docs.google.com/spreadsheets/d/14Bd19lYaqBhU8_DElYkX7l4wRkHqqCUFNJY4AfY3kHU/edit?usp=sharing  #gid=0"",""фіз особи new!relations_name""),6,FALSE)
,
(IF
(
C13722=""юридична особа""
,
VLOO"&amp;"KUP(D13722,IMPORTRANGE(""https://docs.google.com/spreadsheets/d/14Bd19lYaqBhU8_DElYkX7l4wRkHqqCUFNJY4AfY3kHU/edit?usp=sharing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21" s="7" t="s">
        <v>10</v>
      </c>
      <c r="H13721" s="7">
        <v>0</v>
      </c>
      <c r="I13721" s="8" t="str">
        <f ca="1">IFERROR(__xludf.DUMMYFUNCTION("IF
(
G13722=""фізична особа""
,
VLOOKUP(H13722,IMPORTRANGE(""https://docs.google.com/spreadsheets/d/14Bd19lYaqBhU8_DElYkX7l4wRkHqqCUFNJY4AfY3kHU/edit?usp=sharing  #gid=0"",""фіз особи new!relations_name""),6,FALSE)
,
(IF
(
G13722=""юридична особа""
,
VLOO"&amp;"KUP(H13722,IMPORTRANGE(""https://docs.google.com/spreadsheets/d/14Bd19lYaqBhU8_DElYkX7l4wRkHqqCUFNJY4AfY3kHU/edit?usp=sharing  #gid=0"",""фіз особи new!relations_name_uo""),7,FALSE)
,
)
))"),"#N/A")</f>
        <v>#N/A</v>
      </c>
      <c r="J13721" s="7" t="s">
        <v>23</v>
      </c>
    </row>
    <row r="13722" spans="1:10" ht="13.2">
      <c r="A13722" s="7">
        <v>13721</v>
      </c>
      <c r="B13722" s="7">
        <v>1</v>
      </c>
      <c r="C13722" s="7" t="s">
        <v>10</v>
      </c>
      <c r="D13722" s="7">
        <v>18721</v>
      </c>
      <c r="E13722" s="7" t="s">
        <v>23</v>
      </c>
      <c r="F13722" s="8" t="str">
        <f ca="1">IFERROR(__xludf.DUMMYFUNCTION("IF
(
C13723=""фізична особа""
,
VLOOKUP(D13723,IMPORTRANGE(""https://docs.google.com/spreadsheets/d/14Bd19lYaqBhU8_DElYkX7l4wRkHqqCUFNJY4AfY3kHU/edit?usp=sharing  #gid=0"",""фіз особи new!relations_name""),6,FALSE)
,
(IF
(
C13723=""юридична особа""
,
VLOO"&amp;"KUP(D13723,IMPORTRANGE(""https://docs.google.com/spreadsheets/d/14Bd19lYaqBhU8_DElYkX7l4wRkHqqCUFNJY4AfY3kHU/edit?usp=sharing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G13722" s="7" t="s">
        <v>10</v>
      </c>
      <c r="H13722" s="7">
        <v>18720</v>
      </c>
      <c r="I13722" s="8" t="str">
        <f ca="1">IFERROR(__xludf.DUMMYFUNCTION("IF
(
G13723=""фізична особа""
,
VLOOKUP(H13723,IMPORTRANGE(""https://docs.google.com/spreadsheets/d/14Bd19lYaqBhU8_DElYkX7l4wRkHqqCUFNJY4AfY3kHU/edit?usp=sharing  #gid=0"",""фіз особи new!relations_name""),6,FALSE)
,
(IF
(
G13723=""юридична особа""
,
VLOO"&amp;"KUP(H13723,IMPORTRANGE(""https://docs.google.com/spreadsheets/d/14Bd19lYaqBhU8_DElYkX7l4wRkHqqCUFNJY4AfY3kHU/edit?usp=sharing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J13722" s="7" t="s">
        <v>23</v>
      </c>
    </row>
    <row r="13723" spans="1:10" ht="13.2">
      <c r="A13723" s="7">
        <v>13722</v>
      </c>
      <c r="B13723" s="7">
        <v>1</v>
      </c>
      <c r="C13723" s="7" t="s">
        <v>10</v>
      </c>
      <c r="D13723" s="7">
        <v>18722</v>
      </c>
      <c r="E13723" s="7" t="s">
        <v>23</v>
      </c>
      <c r="F13723" s="8" t="str">
        <f ca="1">IFERROR(__xludf.DUMMYFUNCTION("IF
(
C13724=""фізична особа""
,
VLOOKUP(D13724,IMPORTRANGE(""https://docs.google.com/spreadsheets/d/14Bd19lYaqBhU8_DElYkX7l4wRkHqqCUFNJY4AfY3kHU/edit?usp=sharing  #gid=0"",""фіз особи new!relations_name""),6,FALSE)
,
(IF
(
C13724=""юридична особа""
,
VLOO"&amp;"KUP(D13724,IMPORTRANGE(""https://docs.google.com/spreadsheets/d/14Bd19lYaqBhU8_DElYkX7l4wRkHqqCUFNJY4AfY3kHU/edit?usp=sharing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G13723" s="7" t="s">
        <v>10</v>
      </c>
      <c r="H13723" s="7">
        <v>18709</v>
      </c>
      <c r="I13723" s="8" t="str">
        <f ca="1">IFERROR(__xludf.DUMMYFUNCTION("IF
(
G13724=""фізична особа""
,
VLOOKUP(H13724,IMPORTRANGE(""https://docs.google.com/spreadsheets/d/14Bd19lYaqBhU8_DElYkX7l4wRkHqqCUFNJY4AfY3kHU/edit?usp=sharing  #gid=0"",""фіз особи new!relations_name""),6,FALSE)
,
(IF
(
G13724=""юридична особа""
,
VLOO"&amp;"KUP(H13724,IMPORTRANGE(""https://docs.google.com/spreadsheets/d/14Bd19lYaqBhU8_DElYkX7l4wRkHqqCUFNJY4AfY3kHU/edit?usp=sharing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23" s="7" t="s">
        <v>23</v>
      </c>
    </row>
    <row r="13724" spans="1:10" ht="13.2">
      <c r="A13724" s="7">
        <v>13723</v>
      </c>
      <c r="B13724" s="7">
        <v>1</v>
      </c>
      <c r="C13724" s="7" t="s">
        <v>10</v>
      </c>
      <c r="D13724" s="7">
        <v>18722</v>
      </c>
      <c r="E13724" s="7" t="s">
        <v>23</v>
      </c>
      <c r="F13724" s="8" t="str">
        <f ca="1">IFERROR(__xludf.DUMMYFUNCTION("IF
(
C13725=""фізична особа""
,
VLOOKUP(D13725,IMPORTRANGE(""https://docs.google.com/spreadsheets/d/14Bd19lYaqBhU8_DElYkX7l4wRkHqqCUFNJY4AfY3kHU/edit?usp=sharing  #gid=0"",""фіз особи new!relations_name""),6,FALSE)
,
(IF
(
C13725=""юридична особа""
,
VLOO"&amp;"KUP(D13725,IMPORTRANGE(""https://docs.google.com/spreadsheets/d/14Bd19lYaqBhU8_DElYkX7l4wRkHqqCUFNJY4AfY3kHU/edit?usp=sharing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G13724" s="7" t="s">
        <v>10</v>
      </c>
      <c r="H13724" s="7">
        <v>18713</v>
      </c>
      <c r="I13724" s="8" t="str">
        <f ca="1">IFERROR(__xludf.DUMMYFUNCTION("IF
(
G13725=""фізична особа""
,
VLOOKUP(H13725,IMPORTRANGE(""https://docs.google.com/spreadsheets/d/14Bd19lYaqBhU8_DElYkX7l4wRkHqqCUFNJY4AfY3kHU/edit?usp=sharing  #gid=0"",""фіз особи new!relations_name""),6,FALSE)
,
(IF
(
G13725=""юридична особа""
,
VLOO"&amp;"KUP(H13725,IMPORTRANGE(""https://docs.google.com/spreadsheets/d/14Bd19lYaqBhU8_DElYkX7l4wRkHqqCUFNJY4AfY3kHU/edit?usp=sharing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24" s="7" t="s">
        <v>23</v>
      </c>
    </row>
    <row r="13725" spans="1:10" ht="13.2">
      <c r="A13725" s="7">
        <v>13724</v>
      </c>
      <c r="B13725" s="7">
        <v>1</v>
      </c>
      <c r="C13725" s="7" t="s">
        <v>10</v>
      </c>
      <c r="D13725" s="7">
        <v>18722</v>
      </c>
      <c r="E13725" s="7" t="s">
        <v>23</v>
      </c>
      <c r="F13725" s="8" t="str">
        <f ca="1">IFERROR(__xludf.DUMMYFUNCTION("IF
(
C13726=""фізична особа""
,
VLOOKUP(D13726,IMPORTRANGE(""https://docs.google.com/spreadsheets/d/14Bd19lYaqBhU8_DElYkX7l4wRkHqqCUFNJY4AfY3kHU/edit?usp=sharing  #gid=0"",""фіз особи new!relations_name""),6,FALSE)
,
(IF
(
C13726=""юридична особа""
,
VLOO"&amp;"KUP(D13726,IMPORTRANGE(""https://docs.google.com/spreadsheets/d/14Bd19lYaqBhU8_DElYkX7l4wRkHqqCUFNJY4AfY3kHU/edit?usp=sharing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G13725" s="7" t="s">
        <v>10</v>
      </c>
      <c r="H13725" s="7">
        <v>23676</v>
      </c>
      <c r="I13725" s="8" t="str">
        <f ca="1">IFERROR(__xludf.DUMMYFUNCTION("IF
(
G13726=""фізична особа""
,
VLOOKUP(H13726,IMPORTRANGE(""https://docs.google.com/spreadsheets/d/14Bd19lYaqBhU8_DElYkX7l4wRkHqqCUFNJY4AfY3kHU/edit?usp=sharing  #gid=0"",""фіз особи new!relations_name""),6,FALSE)
,
(IF
(
G13726=""юридична особа""
,
VLOO"&amp;"KUP(H13726,IMPORTRANGE(""https://docs.google.com/spreadsheets/d/14Bd19lYaqBhU8_DElYkX7l4wRkHqqCUFNJY4AfY3kHU/edit?usp=sharing  #gid=0"",""фіз особи new!relations_name_uo""),7,FALSE)
,
)
))"),"ТЕРЕХОВ Олексій Володимирович")</f>
        <v>ТЕРЕХОВ Олексій Володимирович</v>
      </c>
      <c r="J13725" s="7" t="s">
        <v>23</v>
      </c>
    </row>
    <row r="13726" spans="1:10" ht="13.2">
      <c r="A13726" s="7">
        <v>13725</v>
      </c>
      <c r="B13726" s="7">
        <v>1</v>
      </c>
      <c r="C13726" s="7" t="s">
        <v>10</v>
      </c>
      <c r="D13726" s="7">
        <v>18722</v>
      </c>
      <c r="E13726" s="7" t="s">
        <v>23</v>
      </c>
      <c r="F13726" s="8" t="str">
        <f ca="1">IFERROR(__xludf.DUMMYFUNCTION("IF
(
C13727=""фізична особа""
,
VLOOKUP(D13727,IMPORTRANGE(""https://docs.google.com/spreadsheets/d/14Bd19lYaqBhU8_DElYkX7l4wRkHqqCUFNJY4AfY3kHU/edit?usp=sharing  #gid=0"",""фіз особи new!relations_name""),6,FALSE)
,
(IF
(
C13727=""юридична особа""
,
VLOO"&amp;"KUP(D13727,IMPORTRANGE(""https://docs.google.com/spreadsheets/d/14Bd19lYaqBhU8_DElYkX7l4wRkHqqCUFNJY4AfY3kHU/edit?usp=sharing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G13726" s="7" t="s">
        <v>10</v>
      </c>
      <c r="H13726" s="7">
        <v>18721</v>
      </c>
      <c r="I13726" s="8" t="str">
        <f ca="1">IFERROR(__xludf.DUMMYFUNCTION("IF
(
G13727=""фізична особа""
,
VLOOKUP(H13727,IMPORTRANGE(""https://docs.google.com/spreadsheets/d/14Bd19lYaqBhU8_DElYkX7l4wRkHqqCUFNJY4AfY3kHU/edit?usp=sharing  #gid=0"",""фіз особи new!relations_name""),6,FALSE)
,
(IF
(
G13727=""юридична особа""
,
VLOO"&amp;"KUP(H13727,IMPORTRANGE(""https://docs.google.com/spreadsheets/d/14Bd19lYaqBhU8_DElYkX7l4wRkHqqCUFNJY4AfY3kHU/edit?usp=sharing  #gid=0"",""фіз особи new!relations_name_uo""),7,FALSE)
,
)
))"),"СІЛАКОВ Андрій Миколайович")</f>
        <v>СІЛАКОВ Андрій Миколайович</v>
      </c>
      <c r="J13726" s="7" t="s">
        <v>23</v>
      </c>
    </row>
    <row r="13727" spans="1:10" ht="13.2">
      <c r="A13727" s="7">
        <v>13726</v>
      </c>
      <c r="B13727" s="7">
        <v>1</v>
      </c>
      <c r="C13727" s="7" t="s">
        <v>10</v>
      </c>
      <c r="D13727" s="7">
        <v>18722</v>
      </c>
      <c r="E13727" s="7" t="s">
        <v>23</v>
      </c>
      <c r="F13727" s="8" t="str">
        <f ca="1">IFERROR(__xludf.DUMMYFUNCTION("IF
(
C13728=""фізична особа""
,
VLOOKUP(D13728,IMPORTRANGE(""https://docs.google.com/spreadsheets/d/14Bd19lYaqBhU8_DElYkX7l4wRkHqqCUFNJY4AfY3kHU/edit?usp=sharing  #gid=0"",""фіз особи new!relations_name""),6,FALSE)
,
(IF
(
C13728=""юридична особа""
,
VLOO"&amp;"KUP(D13728,IMPORTRANGE(""https://docs.google.com/spreadsheets/d/14Bd19lYaqBhU8_DElYkX7l4wRkHqqCUFNJY4AfY3kHU/edit?usp=sharing  #gid=0"",""фіз особи new!relations_name_uo""),7,FALSE)
,
)
))"),"ЗВЄРЕВА Людмила Василівна")</f>
        <v>ЗВЄРЕВА Людмила Василівна</v>
      </c>
      <c r="G13727" s="7" t="s">
        <v>10</v>
      </c>
      <c r="H13727" s="7">
        <v>18720</v>
      </c>
      <c r="I13727" s="8" t="str">
        <f ca="1">IFERROR(__xludf.DUMMYFUNCTION("IF
(
G13728=""фізична особа""
,
VLOOKUP(H13728,IMPORTRANGE(""https://docs.google.com/spreadsheets/d/14Bd19lYaqBhU8_DElYkX7l4wRkHqqCUFNJY4AfY3kHU/edit?usp=sharing  #gid=0"",""фіз особи new!relations_name""),6,FALSE)
,
(IF
(
G13728=""юридична особа""
,
VLOO"&amp;"KUP(H13728,IMPORTRANGE(""https://docs.google.com/spreadsheets/d/14Bd19lYaqBhU8_DElYkX7l4wRkHqqCUFNJY4AfY3kHU/edit?usp=sharing  #gid=0"",""фіз особи new!relations_name_uo""),7,FALSE)
,
)
))"),"МУРАВЛЬОВ Олександр Юрійович")</f>
        <v>МУРАВЛЬОВ Олександр Юрійович</v>
      </c>
      <c r="J13727" s="7" t="s">
        <v>23</v>
      </c>
    </row>
    <row r="13728" spans="1:10" ht="13.2">
      <c r="A13728" s="7">
        <v>13727</v>
      </c>
      <c r="B13728" s="7">
        <v>1</v>
      </c>
      <c r="C13728" s="7" t="s">
        <v>10</v>
      </c>
      <c r="D13728" s="7">
        <v>18723</v>
      </c>
      <c r="E13728" s="7" t="s">
        <v>23</v>
      </c>
      <c r="F13728" s="8" t="str">
        <f ca="1">IFERROR(__xludf.DUMMYFUNCTION("IF
(
C13729=""фізична особа""
,
VLOOKUP(D13729,IMPORTRANGE(""https://docs.google.com/spreadsheets/d/14Bd19lYaqBhU8_DElYkX7l4wRkHqqCUFNJY4AfY3kHU/edit?usp=sharing  #gid=0"",""фіз особи new!relations_name""),6,FALSE)
,
(IF
(
C13729=""юридична особа""
,
VLOO"&amp;"KUP(D13729,IMPORTRANGE(""https://docs.google.com/spreadsheets/d/14Bd19lYaqBhU8_DElYkX7l4wRkHqqCUFNJY4AfY3kHU/edit?usp=sharing  #gid=0"",""фіз особи new!relations_name_uo""),7,FALSE)
,
)
))"),"ХЛЄБНІКОВ Вадим Геннадійович")</f>
        <v>ХЛЄБНІКОВ Вадим Геннадійович</v>
      </c>
      <c r="G13728" s="7" t="s">
        <v>10</v>
      </c>
      <c r="H13728" s="7">
        <v>18709</v>
      </c>
      <c r="I13728" s="8" t="str">
        <f ca="1">IFERROR(__xludf.DUMMYFUNCTION("IF
(
G13729=""фізична особа""
,
VLOOKUP(H13729,IMPORTRANGE(""https://docs.google.com/spreadsheets/d/14Bd19lYaqBhU8_DElYkX7l4wRkHqqCUFNJY4AfY3kHU/edit?usp=sharing  #gid=0"",""фіз особи new!relations_name""),6,FALSE)
,
(IF
(
G13729=""юридична особа""
,
VLOO"&amp;"KUP(H13729,IMPORTRANGE(""https://docs.google.com/spreadsheets/d/14Bd19lYaqBhU8_DElYkX7l4wRkHqqCUFNJY4AfY3kHU/edit?usp=sharing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28" s="7" t="s">
        <v>23</v>
      </c>
    </row>
    <row r="13729" spans="1:10" ht="13.2">
      <c r="A13729" s="7">
        <v>13728</v>
      </c>
      <c r="B13729" s="7">
        <v>1</v>
      </c>
      <c r="C13729" s="7" t="s">
        <v>10</v>
      </c>
      <c r="D13729" s="7">
        <v>18723</v>
      </c>
      <c r="E13729" s="7" t="s">
        <v>23</v>
      </c>
      <c r="F13729" s="8" t="str">
        <f ca="1">IFERROR(__xludf.DUMMYFUNCTION("IF
(
C13730=""фізична особа""
,
VLOOKUP(D13730,IMPORTRANGE(""https://docs.google.com/spreadsheets/d/14Bd19lYaqBhU8_DElYkX7l4wRkHqqCUFNJY4AfY3kHU/edit?usp=sharing  #gid=0"",""фіз особи new!relations_name""),6,FALSE)
,
(IF
(
C13730=""юридична особа""
,
VLOO"&amp;"KUP(D13730,IMPORTRANGE(""https://docs.google.com/spreadsheets/d/14Bd19lYaqBhU8_DElYkX7l4wRkHqqCUFNJY4AfY3kHU/edit?usp=sharing  #gid=0"",""фіз особи new!relations_name_uo""),7,FALSE)
,
)
))"),"ХЛЄБНІКОВ Вадим Геннадійович")</f>
        <v>ХЛЄБНІКОВ Вадим Геннадійович</v>
      </c>
      <c r="G13729" s="7" t="s">
        <v>10</v>
      </c>
      <c r="H13729" s="7">
        <v>18713</v>
      </c>
      <c r="I13729" s="8" t="str">
        <f ca="1">IFERROR(__xludf.DUMMYFUNCTION("IF
(
G13730=""фізична особа""
,
VLOOKUP(H13730,IMPORTRANGE(""https://docs.google.com/spreadsheets/d/14Bd19lYaqBhU8_DElYkX7l4wRkHqqCUFNJY4AfY3kHU/edit?usp=sharing  #gid=0"",""фіз особи new!relations_name""),6,FALSE)
,
(IF
(
G13730=""юридична особа""
,
VLOO"&amp;"KUP(H13730,IMPORTRANGE(""https://docs.google.com/spreadsheets/d/14Bd19lYaqBhU8_DElYkX7l4wRkHqqCUFNJY4AfY3kHU/edit?usp=sharing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29" s="7" t="s">
        <v>23</v>
      </c>
    </row>
    <row r="13730" spans="1:10" ht="13.2">
      <c r="A13730" s="7">
        <v>13729</v>
      </c>
      <c r="B13730" s="7">
        <v>1</v>
      </c>
      <c r="C13730" s="7" t="s">
        <v>10</v>
      </c>
      <c r="D13730" s="7">
        <v>18724</v>
      </c>
      <c r="E13730" s="7" t="s">
        <v>23</v>
      </c>
      <c r="F13730" s="8" t="str">
        <f ca="1">IFERROR(__xludf.DUMMYFUNCTION("IF
(
C13731=""фізична особа""
,
VLOOKUP(D13731,IMPORTRANGE(""https://docs.google.com/spreadsheets/d/14Bd19lYaqBhU8_DElYkX7l4wRkHqqCUFNJY4AfY3kHU/edit?usp=sharing  #gid=0"",""фіз особи new!relations_name""),6,FALSE)
,
(IF
(
C13731=""юридична особа""
,
VLOO"&amp;"KUP(D13731,IMPORTRANGE(""https://docs.google.com/spreadsheets/d/14Bd19lYaqBhU8_DElYkX7l4wRkHqqCUFNJY4AfY3kHU/edit?usp=sharing  #gid=0"",""фіз особи new!relations_name_uo""),7,FALSE)
,
)
))"),"ФЕДОТОВА / ХАЛФУН Катерина Анатоліївна")</f>
        <v>ФЕДОТОВА / ХАЛФУН Катерина Анатоліївна</v>
      </c>
      <c r="G13730" s="7" t="s">
        <v>10</v>
      </c>
      <c r="H13730" s="7">
        <v>18709</v>
      </c>
      <c r="I13730" s="8" t="str">
        <f ca="1">IFERROR(__xludf.DUMMYFUNCTION("IF
(
G13731=""фізична особа""
,
VLOOKUP(H13731,IMPORTRANGE(""https://docs.google.com/spreadsheets/d/14Bd19lYaqBhU8_DElYkX7l4wRkHqqCUFNJY4AfY3kHU/edit?usp=sharing  #gid=0"",""фіз особи new!relations_name""),6,FALSE)
,
(IF
(
G13731=""юридична особа""
,
VLOO"&amp;"KUP(H13731,IMPORTRANGE(""https://docs.google.com/spreadsheets/d/14Bd19lYaqBhU8_DElYkX7l4wRkHqqCUFNJY4AfY3kHU/edit?usp=sharing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30" s="7" t="s">
        <v>23</v>
      </c>
    </row>
    <row r="13731" spans="1:10" ht="13.2">
      <c r="A13731" s="7">
        <v>13730</v>
      </c>
      <c r="B13731" s="7">
        <v>1</v>
      </c>
      <c r="C13731" s="7" t="s">
        <v>10</v>
      </c>
      <c r="D13731" s="7">
        <v>18724</v>
      </c>
      <c r="E13731" s="7" t="s">
        <v>23</v>
      </c>
      <c r="F13731" s="8" t="str">
        <f ca="1">IFERROR(__xludf.DUMMYFUNCTION("IF
(
C13732=""фізична особа""
,
VLOOKUP(D13732,IMPORTRANGE(""https://docs.google.com/spreadsheets/d/14Bd19lYaqBhU8_DElYkX7l4wRkHqqCUFNJY4AfY3kHU/edit?usp=sharing  #gid=0"",""фіз особи new!relations_name""),6,FALSE)
,
(IF
(
C13732=""юридична особа""
,
VLOO"&amp;"KUP(D13732,IMPORTRANGE(""https://docs.google.com/spreadsheets/d/14Bd19lYaqBhU8_DElYkX7l4wRkHqqCUFNJY4AfY3kHU/edit?usp=sharing  #gid=0"",""фіз особи new!relations_name_uo""),7,FALSE)
,
)
))"),"ФЕДОТОВА / ХАЛФУН Катерина Анатоліївна")</f>
        <v>ФЕДОТОВА / ХАЛФУН Катерина Анатоліївна</v>
      </c>
      <c r="G13731" s="7" t="s">
        <v>10</v>
      </c>
      <c r="H13731" s="7">
        <v>18713</v>
      </c>
      <c r="I13731" s="8" t="str">
        <f ca="1">IFERROR(__xludf.DUMMYFUNCTION("IF
(
G13732=""фізична особа""
,
VLOOKUP(H13732,IMPORTRANGE(""https://docs.google.com/spreadsheets/d/14Bd19lYaqBhU8_DElYkX7l4wRkHqqCUFNJY4AfY3kHU/edit?usp=sharing  #gid=0"",""фіз особи new!relations_name""),6,FALSE)
,
(IF
(
G13732=""юридична особа""
,
VLOO"&amp;"KUP(H13732,IMPORTRANGE(""https://docs.google.com/spreadsheets/d/14Bd19lYaqBhU8_DElYkX7l4wRkHqqCUFNJY4AfY3kHU/edit?usp=sharing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31" s="7" t="s">
        <v>23</v>
      </c>
    </row>
    <row r="13732" spans="1:10" ht="13.2">
      <c r="A13732" s="7">
        <v>13731</v>
      </c>
      <c r="B13732" s="7">
        <v>1</v>
      </c>
      <c r="C13732" s="7" t="s">
        <v>10</v>
      </c>
      <c r="D13732" s="7">
        <v>18724</v>
      </c>
      <c r="E13732" s="7" t="s">
        <v>23</v>
      </c>
      <c r="F13732" s="8" t="str">
        <f ca="1">IFERROR(__xludf.DUMMYFUNCTION("IF
(
C13733=""фізична особа""
,
VLOOKUP(D13733,IMPORTRANGE(""https://docs.google.com/spreadsheets/d/14Bd19lYaqBhU8_DElYkX7l4wRkHqqCUFNJY4AfY3kHU/edit?usp=sharing  #gid=0"",""фіз особи new!relations_name""),6,FALSE)
,
(IF
(
C13733=""юридична особа""
,
VLOO"&amp;"KUP(D13733,IMPORTRANGE(""https://docs.google.com/spreadsheets/d/14Bd19lYaqBhU8_DElYkX7l4wRkHqqCUFNJY4AfY3kHU/edit?usp=sharing  #gid=0"",""фіз особи new!relations_name_uo""),7,FALSE)
,
)
))"),"ФЕДОТОВА / ХАЛФУН Катерина Анатоліївна")</f>
        <v>ФЕДОТОВА / ХАЛФУН Катерина Анатоліївна</v>
      </c>
      <c r="G13732" s="7" t="s">
        <v>10</v>
      </c>
      <c r="H13732" s="7">
        <v>0</v>
      </c>
      <c r="I13732" s="8" t="str">
        <f ca="1">IFERROR(__xludf.DUMMYFUNCTION("IF
(
G13733=""фізична особа""
,
VLOOKUP(H13733,IMPORTRANGE(""https://docs.google.com/spreadsheets/d/14Bd19lYaqBhU8_DElYkX7l4wRkHqqCUFNJY4AfY3kHU/edit?usp=sharing  #gid=0"",""фіз особи new!relations_name""),6,FALSE)
,
(IF
(
G13733=""юридична особа""
,
VLOO"&amp;"KUP(H13733,IMPORTRANGE(""https://docs.google.com/spreadsheets/d/14Bd19lYaqBhU8_DElYkX7l4wRkHqqCUFNJY4AfY3kHU/edit?usp=sharing  #gid=0"",""фіз особи new!relations_name_uo""),7,FALSE)
,
)
))"),"#N/A")</f>
        <v>#N/A</v>
      </c>
      <c r="J13732" s="7" t="s">
        <v>23</v>
      </c>
    </row>
    <row r="13733" spans="1:10" ht="13.2">
      <c r="A13733" s="7">
        <v>13732</v>
      </c>
      <c r="B13733" s="7">
        <v>1</v>
      </c>
      <c r="C13733" s="7" t="s">
        <v>10</v>
      </c>
      <c r="D13733" s="7">
        <v>18725</v>
      </c>
      <c r="E13733" s="7" t="s">
        <v>23</v>
      </c>
      <c r="F13733" s="8" t="str">
        <f ca="1">IFERROR(__xludf.DUMMYFUNCTION("IF
(
C13734=""фізична особа""
,
VLOOKUP(D13734,IMPORTRANGE(""https://docs.google.com/spreadsheets/d/14Bd19lYaqBhU8_DElYkX7l4wRkHqqCUFNJY4AfY3kHU/edit?usp=sharing  #gid=0"",""фіз особи new!relations_name""),6,FALSE)
,
(IF
(
C13734=""юридична особа""
,
VLOO"&amp;"KUP(D13734,IMPORTRANGE(""https://docs.google.com/spreadsheets/d/14Bd19lYaqBhU8_DElYkX7l4wRkHqqCUFNJY4AfY3kHU/edit?usp=sharing  #gid=0"",""фіз особи new!relations_name_uo""),7,FALSE)
,
)
))"),"БИКАНОВ Андрій Миколайович")</f>
        <v>БИКАНОВ Андрій Миколайович</v>
      </c>
      <c r="G13733" s="7" t="s">
        <v>10</v>
      </c>
      <c r="H13733" s="7">
        <v>18709</v>
      </c>
      <c r="I13733" s="8" t="str">
        <f ca="1">IFERROR(__xludf.DUMMYFUNCTION("IF
(
G13734=""фізична особа""
,
VLOOKUP(H13734,IMPORTRANGE(""https://docs.google.com/spreadsheets/d/14Bd19lYaqBhU8_DElYkX7l4wRkHqqCUFNJY4AfY3kHU/edit?usp=sharing  #gid=0"",""фіз особи new!relations_name""),6,FALSE)
,
(IF
(
G13734=""юридична особа""
,
VLOO"&amp;"KUP(H13734,IMPORTRANGE(""https://docs.google.com/spreadsheets/d/14Bd19lYaqBhU8_DElYkX7l4wRkHqqCUFNJY4AfY3kHU/edit?usp=sharing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33" s="7" t="s">
        <v>23</v>
      </c>
    </row>
    <row r="13734" spans="1:10" ht="13.2">
      <c r="A13734" s="7">
        <v>13733</v>
      </c>
      <c r="B13734" s="7">
        <v>1</v>
      </c>
      <c r="C13734" s="7" t="s">
        <v>10</v>
      </c>
      <c r="D13734" s="7">
        <v>18725</v>
      </c>
      <c r="E13734" s="7" t="s">
        <v>23</v>
      </c>
      <c r="F13734" s="8" t="str">
        <f ca="1">IFERROR(__xludf.DUMMYFUNCTION("IF
(
C13735=""фізична особа""
,
VLOOKUP(D13735,IMPORTRANGE(""https://docs.google.com/spreadsheets/d/14Bd19lYaqBhU8_DElYkX7l4wRkHqqCUFNJY4AfY3kHU/edit?usp=sharing  #gid=0"",""фіз особи new!relations_name""),6,FALSE)
,
(IF
(
C13735=""юридична особа""
,
VLOO"&amp;"KUP(D13735,IMPORTRANGE(""https://docs.google.com/spreadsheets/d/14Bd19lYaqBhU8_DElYkX7l4wRkHqqCUFNJY4AfY3kHU/edit?usp=sharing  #gid=0"",""фіз особи new!relations_name_uo""),7,FALSE)
,
)
))"),"БИКАНОВ Андрій Миколайович")</f>
        <v>БИКАНОВ Андрій Миколайович</v>
      </c>
      <c r="G13734" s="7" t="s">
        <v>10</v>
      </c>
      <c r="H13734" s="7">
        <v>18713</v>
      </c>
      <c r="I13734" s="8" t="str">
        <f ca="1">IFERROR(__xludf.DUMMYFUNCTION("IF
(
G13735=""фізична особа""
,
VLOOKUP(H13735,IMPORTRANGE(""https://docs.google.com/spreadsheets/d/14Bd19lYaqBhU8_DElYkX7l4wRkHqqCUFNJY4AfY3kHU/edit?usp=sharing  #gid=0"",""фіз особи new!relations_name""),6,FALSE)
,
(IF
(
G13735=""юридична особа""
,
VLOO"&amp;"KUP(H13735,IMPORTRANGE(""https://docs.google.com/spreadsheets/d/14Bd19lYaqBhU8_DElYkX7l4wRkHqqCUFNJY4AfY3kHU/edit?usp=sharing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34" s="7" t="s">
        <v>23</v>
      </c>
    </row>
    <row r="13735" spans="1:10" ht="13.2">
      <c r="A13735" s="7">
        <v>13734</v>
      </c>
      <c r="B13735" s="7">
        <v>1</v>
      </c>
      <c r="C13735" s="7" t="s">
        <v>10</v>
      </c>
      <c r="D13735" s="7">
        <v>18725</v>
      </c>
      <c r="E13735" s="7" t="s">
        <v>23</v>
      </c>
      <c r="F13735" s="8" t="str">
        <f ca="1">IFERROR(__xludf.DUMMYFUNCTION("IF
(
C13736=""фізична особа""
,
VLOOKUP(D13736,IMPORTRANGE(""https://docs.google.com/spreadsheets/d/14Bd19lYaqBhU8_DElYkX7l4wRkHqqCUFNJY4AfY3kHU/edit?usp=sharing  #gid=0"",""фіз особи new!relations_name""),6,FALSE)
,
(IF
(
C13736=""юридична особа""
,
VLOO"&amp;"KUP(D13736,IMPORTRANGE(""https://docs.google.com/spreadsheets/d/14Bd19lYaqBhU8_DElYkX7l4wRkHqqCUFNJY4AfY3kHU/edit?usp=sharing  #gid=0"",""фіз особи new!relations_name_uo""),7,FALSE)
,
)
))"),"БИКАНОВ Андрій Миколайович")</f>
        <v>БИКАНОВ Андрій Миколайович</v>
      </c>
      <c r="G13735" s="7" t="s">
        <v>10</v>
      </c>
      <c r="H13735" s="7">
        <v>0</v>
      </c>
      <c r="I13735" s="8" t="str">
        <f ca="1">IFERROR(__xludf.DUMMYFUNCTION("IF
(
G13736=""фізична особа""
,
VLOOKUP(H13736,IMPORTRANGE(""https://docs.google.com/spreadsheets/d/14Bd19lYaqBhU8_DElYkX7l4wRkHqqCUFNJY4AfY3kHU/edit?usp=sharing  #gid=0"",""фіз особи new!relations_name""),6,FALSE)
,
(IF
(
G13736=""юридична особа""
,
VLOO"&amp;"KUP(H13736,IMPORTRANGE(""https://docs.google.com/spreadsheets/d/14Bd19lYaqBhU8_DElYkX7l4wRkHqqCUFNJY4AfY3kHU/edit?usp=sharing  #gid=0"",""фіз особи new!relations_name_uo""),7,FALSE)
,
)
))"),"#N/A")</f>
        <v>#N/A</v>
      </c>
      <c r="J13735" s="7" t="s">
        <v>23</v>
      </c>
    </row>
    <row r="13736" spans="1:10" ht="13.2">
      <c r="A13736" s="7">
        <v>13735</v>
      </c>
      <c r="B13736" s="7">
        <v>1</v>
      </c>
      <c r="C13736" s="7" t="s">
        <v>10</v>
      </c>
      <c r="D13736" s="7">
        <v>18725</v>
      </c>
      <c r="E13736" s="7" t="s">
        <v>23</v>
      </c>
      <c r="F13736" s="8" t="str">
        <f ca="1">IFERROR(__xludf.DUMMYFUNCTION("IF
(
C13737=""фізична особа""
,
VLOOKUP(D13737,IMPORTRANGE(""https://docs.google.com/spreadsheets/d/14Bd19lYaqBhU8_DElYkX7l4wRkHqqCUFNJY4AfY3kHU/edit?usp=sharing  #gid=0"",""фіз особи new!relations_name""),6,FALSE)
,
(IF
(
C13737=""юридична особа""
,
VLOO"&amp;"KUP(D13737,IMPORTRANGE(""https://docs.google.com/spreadsheets/d/14Bd19lYaqBhU8_DElYkX7l4wRkHqqCUFNJY4AfY3kHU/edit?usp=sharing  #gid=0"",""фіз особи new!relations_name_uo""),7,FALSE)
,
)
))"),"БИКАНОВ Андрій Миколайович")</f>
        <v>БИКАНОВ Андрій Миколайович</v>
      </c>
      <c r="G13736" s="7" t="s">
        <v>10</v>
      </c>
      <c r="H13736" s="7">
        <v>0</v>
      </c>
      <c r="I13736" s="8" t="str">
        <f ca="1">IFERROR(__xludf.DUMMYFUNCTION("IF
(
G13737=""фізична особа""
,
VLOOKUP(H13737,IMPORTRANGE(""https://docs.google.com/spreadsheets/d/14Bd19lYaqBhU8_DElYkX7l4wRkHqqCUFNJY4AfY3kHU/edit?usp=sharing  #gid=0"",""фіз особи new!relations_name""),6,FALSE)
,
(IF
(
G13737=""юридична особа""
,
VLOO"&amp;"KUP(H13737,IMPORTRANGE(""https://docs.google.com/spreadsheets/d/14Bd19lYaqBhU8_DElYkX7l4wRkHqqCUFNJY4AfY3kHU/edit?usp=sharing  #gid=0"",""фіз особи new!relations_name_uo""),7,FALSE)
,
)
))"),"#N/A")</f>
        <v>#N/A</v>
      </c>
      <c r="J13736" s="7" t="s">
        <v>23</v>
      </c>
    </row>
    <row r="13737" spans="1:10" ht="13.2">
      <c r="A13737" s="7">
        <v>13736</v>
      </c>
      <c r="B13737" s="7">
        <v>1</v>
      </c>
      <c r="C13737" s="7" t="s">
        <v>10</v>
      </c>
      <c r="D13737" s="7">
        <v>18726</v>
      </c>
      <c r="E13737" s="7" t="s">
        <v>23</v>
      </c>
      <c r="F13737" s="8" t="str">
        <f ca="1">IFERROR(__xludf.DUMMYFUNCTION("IF
(
C13738=""фізична особа""
,
VLOOKUP(D13738,IMPORTRANGE(""https://docs.google.com/spreadsheets/d/14Bd19lYaqBhU8_DElYkX7l4wRkHqqCUFNJY4AfY3kHU/edit?usp=sharing  #gid=0"",""фіз особи new!relations_name""),6,FALSE)
,
(IF
(
C13738=""юридична особа""
,
VLOO"&amp;"KUP(D13738,IMPORTRANGE(""https://docs.google.com/spreadsheets/d/14Bd19lYaqBhU8_DElYkX7l4wRkHqqCUFNJY4AfY3kHU/edit?usp=sharing  #gid=0"",""фіз особи new!relations_name_uo""),7,FALSE)
,
)
))"),"ДУБИНСЬКА Юлія Львівна")</f>
        <v>ДУБИНСЬКА Юлія Львівна</v>
      </c>
      <c r="G13737" s="7" t="s">
        <v>10</v>
      </c>
      <c r="H13737" s="7">
        <v>18709</v>
      </c>
      <c r="I13737" s="8" t="str">
        <f ca="1">IFERROR(__xludf.DUMMYFUNCTION("IF
(
G13738=""фізична особа""
,
VLOOKUP(H13738,IMPORTRANGE(""https://docs.google.com/spreadsheets/d/14Bd19lYaqBhU8_DElYkX7l4wRkHqqCUFNJY4AfY3kHU/edit?usp=sharing  #gid=0"",""фіз особи new!relations_name""),6,FALSE)
,
(IF
(
G13738=""юридична особа""
,
VLOO"&amp;"KUP(H13738,IMPORTRANGE(""https://docs.google.com/spreadsheets/d/14Bd19lYaqBhU8_DElYkX7l4wRkHqqCUFNJY4AfY3kHU/edit?usp=sharing  #gid=0"",""фіз особи new!relations_name_uo""),7,FALSE)
,
)
))"),"МАРТИНОВА Людмила Іванівна")</f>
        <v>МАРТИНОВА Людмила Іванівна</v>
      </c>
      <c r="J13737" s="7" t="s">
        <v>23</v>
      </c>
    </row>
    <row r="13738" spans="1:10" ht="13.2">
      <c r="A13738" s="7">
        <v>13737</v>
      </c>
      <c r="B13738" s="7">
        <v>1</v>
      </c>
      <c r="C13738" s="7" t="s">
        <v>10</v>
      </c>
      <c r="D13738" s="7">
        <v>18726</v>
      </c>
      <c r="E13738" s="7" t="s">
        <v>23</v>
      </c>
      <c r="F13738" s="8" t="str">
        <f ca="1">IFERROR(__xludf.DUMMYFUNCTION("IF
(
C13739=""фізична особа""
,
VLOOKUP(D13739,IMPORTRANGE(""https://docs.google.com/spreadsheets/d/14Bd19lYaqBhU8_DElYkX7l4wRkHqqCUFNJY4AfY3kHU/edit?usp=sharing  #gid=0"",""фіз особи new!relations_name""),6,FALSE)
,
(IF
(
C13739=""юридична особа""
,
VLOO"&amp;"KUP(D13739,IMPORTRANGE(""https://docs.google.com/spreadsheets/d/14Bd19lYaqBhU8_DElYkX7l4wRkHqqCUFNJY4AfY3kHU/edit?usp=sharing  #gid=0"",""фіз особи new!relations_name_uo""),7,FALSE)
,
)
))"),"ДУБИНСЬКА Юлія Львівна")</f>
        <v>ДУБИНСЬКА Юлія Львівна</v>
      </c>
      <c r="G13738" s="7" t="s">
        <v>10</v>
      </c>
      <c r="H13738" s="7">
        <v>18713</v>
      </c>
      <c r="I13738" s="8" t="str">
        <f ca="1">IFERROR(__xludf.DUMMYFUNCTION("IF
(
G13739=""фізична особа""
,
VLOOKUP(H13739,IMPORTRANGE(""https://docs.google.com/spreadsheets/d/14Bd19lYaqBhU8_DElYkX7l4wRkHqqCUFNJY4AfY3kHU/edit?usp=sharing  #gid=0"",""фіз особи new!relations_name""),6,FALSE)
,
(IF
(
G13739=""юридична особа""
,
VLOO"&amp;"KUP(H13739,IMPORTRANGE(""https://docs.google.com/spreadsheets/d/14Bd19lYaqBhU8_DElYkX7l4wRkHqqCUFNJY4AfY3kHU/edit?usp=sharing  #gid=0"",""фіз особи new!relations_name_uo""),7,FALSE)
,
)
))"),"ЛУНЦОВ Олег Ейлерович")</f>
        <v>ЛУНЦОВ Олег Ейлерович</v>
      </c>
      <c r="J13738" s="7" t="s">
        <v>23</v>
      </c>
    </row>
    <row r="13739" spans="1:10" ht="13.2">
      <c r="A13739" s="7">
        <v>13738</v>
      </c>
      <c r="B13739" s="7">
        <v>1</v>
      </c>
      <c r="C13739" s="7" t="s">
        <v>10</v>
      </c>
      <c r="D13739" s="7">
        <v>18726</v>
      </c>
      <c r="E13739" s="7" t="s">
        <v>23</v>
      </c>
      <c r="F13739" s="8" t="str">
        <f ca="1">IFERROR(__xludf.DUMMYFUNCTION("IF
(
C13740=""фізична особа""
,
VLOOKUP(D13740,IMPORTRANGE(""https://docs.google.com/spreadsheets/d/14Bd19lYaqBhU8_DElYkX7l4wRkHqqCUFNJY4AfY3kHU/edit?usp=sharing  #gid=0"",""фіз особи new!relations_name""),6,FALSE)
,
(IF
(
C13740=""юридична особа""
,
VLOO"&amp;"KUP(D13740,IMPORTRANGE(""https://docs.google.com/spreadsheets/d/14Bd19lYaqBhU8_DElYkX7l4wRkHqqCUFNJY4AfY3kHU/edit?usp=sharing  #gid=0"",""фіз особи new!relations_name_uo""),7,FALSE)
,
)
))"),"ДУБИНСЬКА Юлія Львівна")</f>
        <v>ДУБИНСЬКА Юлія Львівна</v>
      </c>
      <c r="G13739" s="7" t="s">
        <v>10</v>
      </c>
      <c r="H13739" s="7">
        <v>0</v>
      </c>
      <c r="I13739" s="8" t="str">
        <f ca="1">IFERROR(__xludf.DUMMYFUNCTION("IF
(
G13740=""фізична особа""
,
VLOOKUP(H13740,IMPORTRANGE(""https://docs.google.com/spreadsheets/d/14Bd19lYaqBhU8_DElYkX7l4wRkHqqCUFNJY4AfY3kHU/edit?usp=sharing  #gid=0"",""фіз особи new!relations_name""),6,FALSE)
,
(IF
(
G13740=""юридична особа""
,
VLOO"&amp;"KUP(H13740,IMPORTRANGE(""https://docs.google.com/spreadsheets/d/14Bd19lYaqBhU8_DElYkX7l4wRkHqqCUFNJY4AfY3kHU/edit?usp=sharing  #gid=0"",""фіз особи new!relations_name_uo""),7,FALSE)
,
)
))"),"#N/A")</f>
        <v>#N/A</v>
      </c>
      <c r="J13739" s="7" t="s">
        <v>23</v>
      </c>
    </row>
    <row r="13740" spans="1:10" ht="13.2">
      <c r="A13740" s="7">
        <v>13739</v>
      </c>
      <c r="B13740" s="7">
        <v>1</v>
      </c>
      <c r="C13740" s="7" t="s">
        <v>10</v>
      </c>
      <c r="D13740" s="7">
        <v>18727</v>
      </c>
      <c r="E13740" s="7" t="s">
        <v>17</v>
      </c>
      <c r="F13740" s="8" t="str">
        <f ca="1">IFERROR(__xludf.DUMMYFUNCTION("IF
(
C13741=""фізична особа""
,
VLOOKUP(D13741,IMPORTRANGE(""https://docs.google.com/spreadsheets/d/14Bd19lYaqBhU8_DElYkX7l4wRkHqqCUFNJY4AfY3kHU/edit?usp=sharing  #gid=0"",""фіз особи new!relations_name""),6,FALSE)
,
(IF
(
C13741=""юридична особа""
,
VLOO"&amp;"KUP(D13741,IMPORTRANGE(""https://docs.google.com/spreadsheets/d/14Bd19lYaqBhU8_DElYkX7l4wRkHqqCUFNJY4AfY3kHU/edit?usp=sharing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0" s="7" t="s">
        <v>10</v>
      </c>
      <c r="H13740" s="7">
        <v>23677</v>
      </c>
      <c r="I13740" s="8" t="str">
        <f ca="1">IFERROR(__xludf.DUMMYFUNCTION("IF
(
G13741=""фізична особа""
,
VLOOKUP(H13741,IMPORTRANGE(""https://docs.google.com/spreadsheets/d/14Bd19lYaqBhU8_DElYkX7l4wRkHqqCUFNJY4AfY3kHU/edit?usp=sharing  #gid=0"",""фіз особи new!relations_name""),6,FALSE)
,
(IF
(
G13741=""юридична особа""
,
VLOO"&amp;"KUP(H13741,IMPORTRANGE(""https://docs.google.com/spreadsheets/d/14Bd19lYaqBhU8_DElYkX7l4wRkHqqCUFNJY4AfY3kHU/edit?usp=sharing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40" s="7" t="s">
        <v>12</v>
      </c>
    </row>
    <row r="13741" spans="1:10" ht="13.2">
      <c r="A13741" s="7">
        <v>13740</v>
      </c>
      <c r="B13741" s="7">
        <v>1</v>
      </c>
      <c r="C13741" s="7" t="s">
        <v>10</v>
      </c>
      <c r="D13741" s="7">
        <v>18727</v>
      </c>
      <c r="E13741" s="7" t="s">
        <v>17</v>
      </c>
      <c r="F13741" s="8" t="str">
        <f ca="1">IFERROR(__xludf.DUMMYFUNCTION("IF
(
C13742=""фізична особа""
,
VLOOKUP(D13742,IMPORTRANGE(""https://docs.google.com/spreadsheets/d/14Bd19lYaqBhU8_DElYkX7l4wRkHqqCUFNJY4AfY3kHU/edit?usp=sharing  #gid=0"",""фіз особи new!relations_name""),6,FALSE)
,
(IF
(
C13742=""юридична особа""
,
VLOO"&amp;"KUP(D13742,IMPORTRANGE(""https://docs.google.com/spreadsheets/d/14Bd19lYaqBhU8_DElYkX7l4wRkHqqCUFNJY4AfY3kHU/edit?usp=sharing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1" s="7" t="s">
        <v>10</v>
      </c>
      <c r="H13741" s="7">
        <v>0</v>
      </c>
      <c r="I13741" s="8" t="str">
        <f ca="1">IFERROR(__xludf.DUMMYFUNCTION("IF
(
G13742=""фізична особа""
,
VLOOKUP(H13742,IMPORTRANGE(""https://docs.google.com/spreadsheets/d/14Bd19lYaqBhU8_DElYkX7l4wRkHqqCUFNJY4AfY3kHU/edit?usp=sharing  #gid=0"",""фіз особи new!relations_name""),6,FALSE)
,
(IF
(
G13742=""юридична особа""
,
VLOO"&amp;"KUP(H13742,IMPORTRANGE(""https://docs.google.com/spreadsheets/d/14Bd19lYaqBhU8_DElYkX7l4wRkHqqCUFNJY4AfY3kHU/edit?usp=sharing  #gid=0"",""фіз особи new!relations_name_uo""),7,FALSE)
,
)
))"),"#N/A")</f>
        <v>#N/A</v>
      </c>
      <c r="J13741" s="7" t="s">
        <v>21</v>
      </c>
    </row>
    <row r="13742" spans="1:10" ht="13.2">
      <c r="A13742" s="7">
        <v>13741</v>
      </c>
      <c r="B13742" s="7">
        <v>1</v>
      </c>
      <c r="C13742" s="7" t="s">
        <v>10</v>
      </c>
      <c r="D13742" s="7">
        <v>18727</v>
      </c>
      <c r="E13742" s="7" t="s">
        <v>14</v>
      </c>
      <c r="F13742" s="8" t="str">
        <f ca="1">IFERROR(__xludf.DUMMYFUNCTION("IF
(
C13743=""фізична особа""
,
VLOOKUP(D13743,IMPORTRANGE(""https://docs.google.com/spreadsheets/d/14Bd19lYaqBhU8_DElYkX7l4wRkHqqCUFNJY4AfY3kHU/edit?usp=sharing  #gid=0"",""фіз особи new!relations_name""),6,FALSE)
,
(IF
(
C13743=""юридична особа""
,
VLOO"&amp;"KUP(D13743,IMPORTRANGE(""https://docs.google.com/spreadsheets/d/14Bd19lYaqBhU8_DElYkX7l4wRkHqqCUFNJY4AfY3kHU/edit?usp=sharing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2" s="7" t="s">
        <v>10</v>
      </c>
      <c r="H13742" s="7">
        <v>0</v>
      </c>
      <c r="I13742" s="8" t="str">
        <f ca="1">IFERROR(__xludf.DUMMYFUNCTION("IF
(
G13743=""фізична особа""
,
VLOOKUP(H13743,IMPORTRANGE(""https://docs.google.com/spreadsheets/d/14Bd19lYaqBhU8_DElYkX7l4wRkHqqCUFNJY4AfY3kHU/edit?usp=sharing  #gid=0"",""фіз особи new!relations_name""),6,FALSE)
,
(IF
(
G13743=""юридична особа""
,
VLOO"&amp;"KUP(H13743,IMPORTRANGE(""https://docs.google.com/spreadsheets/d/14Bd19lYaqBhU8_DElYkX7l4wRkHqqCUFNJY4AfY3kHU/edit?usp=sharing  #gid=0"",""фіз особи new!relations_name_uo""),7,FALSE)
,
)
))"),"#N/A")</f>
        <v>#N/A</v>
      </c>
      <c r="J13742" s="7" t="s">
        <v>15</v>
      </c>
    </row>
    <row r="13743" spans="1:10" ht="13.2">
      <c r="A13743" s="7">
        <v>13742</v>
      </c>
      <c r="B13743" s="7">
        <v>1</v>
      </c>
      <c r="C13743" s="7" t="s">
        <v>10</v>
      </c>
      <c r="D13743" s="7">
        <v>18727</v>
      </c>
      <c r="E13743" s="7" t="s">
        <v>23</v>
      </c>
      <c r="F13743" s="8" t="str">
        <f ca="1">IFERROR(__xludf.DUMMYFUNCTION("IF
(
C13744=""фізична особа""
,
VLOOKUP(D13744,IMPORTRANGE(""https://docs.google.com/spreadsheets/d/14Bd19lYaqBhU8_DElYkX7l4wRkHqqCUFNJY4AfY3kHU/edit?usp=sharing  #gid=0"",""фіз особи new!relations_name""),6,FALSE)
,
(IF
(
C13744=""юридична особа""
,
VLOO"&amp;"KUP(D13744,IMPORTRANGE(""https://docs.google.com/spreadsheets/d/14Bd19lYaqBhU8_DElYkX7l4wRkHqqCUFNJY4AfY3kHU/edit?usp=sharing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3" s="7" t="s">
        <v>10</v>
      </c>
      <c r="H13743" s="7">
        <v>0</v>
      </c>
      <c r="I13743" s="8" t="str">
        <f ca="1">IFERROR(__xludf.DUMMYFUNCTION("IF
(
G13744=""фізична особа""
,
VLOOKUP(H13744,IMPORTRANGE(""https://docs.google.com/spreadsheets/d/14Bd19lYaqBhU8_DElYkX7l4wRkHqqCUFNJY4AfY3kHU/edit?usp=sharing  #gid=0"",""фіз особи new!relations_name""),6,FALSE)
,
(IF
(
G13744=""юридична особа""
,
VLOO"&amp;"KUP(H13744,IMPORTRANGE(""https://docs.google.com/spreadsheets/d/14Bd19lYaqBhU8_DElYkX7l4wRkHqqCUFNJY4AfY3kHU/edit?usp=sharing  #gid=0"",""фіз особи new!relations_name_uo""),7,FALSE)
,
)
))"),"#N/A")</f>
        <v>#N/A</v>
      </c>
      <c r="J13743" s="7" t="s">
        <v>23</v>
      </c>
    </row>
    <row r="13744" spans="1:10" ht="13.2">
      <c r="A13744" s="7">
        <v>13743</v>
      </c>
      <c r="B13744" s="7">
        <v>1</v>
      </c>
      <c r="C13744" s="7" t="s">
        <v>10</v>
      </c>
      <c r="D13744" s="7">
        <v>18727</v>
      </c>
      <c r="E13744" s="7" t="s">
        <v>23</v>
      </c>
      <c r="F13744" s="8" t="str">
        <f ca="1">IFERROR(__xludf.DUMMYFUNCTION("IF
(
C13745=""фізична особа""
,
VLOOKUP(D13745,IMPORTRANGE(""https://docs.google.com/spreadsheets/d/14Bd19lYaqBhU8_DElYkX7l4wRkHqqCUFNJY4AfY3kHU/edit?usp=sharing  #gid=0"",""фіз особи new!relations_name""),6,FALSE)
,
(IF
(
C13745=""юридична особа""
,
VLOO"&amp;"KUP(D13745,IMPORTRANGE(""https://docs.google.com/spreadsheets/d/14Bd19lYaqBhU8_DElYkX7l4wRkHqqCUFNJY4AfY3kHU/edit?usp=sharing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4" s="7" t="s">
        <v>10</v>
      </c>
      <c r="H13744" s="7">
        <v>18755</v>
      </c>
      <c r="I13744" s="8" t="str">
        <f ca="1">IFERROR(__xludf.DUMMYFUNCTION("IF
(
G13745=""фізична особа""
,
VLOOKUP(H13745,IMPORTRANGE(""https://docs.google.com/spreadsheets/d/14Bd19lYaqBhU8_DElYkX7l4wRkHqqCUFNJY4AfY3kHU/edit?usp=sharing  #gid=0"",""фіз особи new!relations_name""),6,FALSE)
,
(IF
(
G13745=""юридична особа""
,
VLOO"&amp;"KUP(H13745,IMPORTRANGE(""https://docs.google.com/spreadsheets/d/14Bd19lYaqBhU8_DElYkX7l4wRkHqqCUFNJY4AfY3kHU/edit?usp=sharing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44" s="7" t="s">
        <v>23</v>
      </c>
    </row>
    <row r="13745" spans="1:10" ht="13.2">
      <c r="A13745" s="7">
        <v>13744</v>
      </c>
      <c r="B13745" s="7">
        <v>1</v>
      </c>
      <c r="C13745" s="7" t="s">
        <v>10</v>
      </c>
      <c r="D13745" s="7">
        <v>18727</v>
      </c>
      <c r="E13745" s="7" t="s">
        <v>23</v>
      </c>
      <c r="F13745" s="8" t="str">
        <f ca="1">IFERROR(__xludf.DUMMYFUNCTION("IF
(
C13746=""фізична особа""
,
VLOOKUP(D13746,IMPORTRANGE(""https://docs.google.com/spreadsheets/d/14Bd19lYaqBhU8_DElYkX7l4wRkHqqCUFNJY4AfY3kHU/edit?usp=sharing  #gid=0"",""фіз особи new!relations_name""),6,FALSE)
,
(IF
(
C13746=""юридична особа""
,
VLOO"&amp;"KUP(D13746,IMPORTRANGE(""https://docs.google.com/spreadsheets/d/14Bd19lYaqBhU8_DElYkX7l4wRkHqqCUFNJY4AfY3kHU/edit?usp=sharing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5" s="7" t="s">
        <v>10</v>
      </c>
      <c r="H13745" s="7">
        <v>0</v>
      </c>
      <c r="I13745" s="8" t="str">
        <f ca="1">IFERROR(__xludf.DUMMYFUNCTION("IF
(
G13746=""фізична особа""
,
VLOOKUP(H13746,IMPORTRANGE(""https://docs.google.com/spreadsheets/d/14Bd19lYaqBhU8_DElYkX7l4wRkHqqCUFNJY4AfY3kHU/edit?usp=sharing  #gid=0"",""фіз особи new!relations_name""),6,FALSE)
,
(IF
(
G13746=""юридична особа""
,
VLOO"&amp;"KUP(H13746,IMPORTRANGE(""https://docs.google.com/spreadsheets/d/14Bd19lYaqBhU8_DElYkX7l4wRkHqqCUFNJY4AfY3kHU/edit?usp=sharing  #gid=0"",""фіз особи new!relations_name_uo""),7,FALSE)
,
)
))"),"#N/A")</f>
        <v>#N/A</v>
      </c>
      <c r="J13745" s="7" t="s">
        <v>23</v>
      </c>
    </row>
    <row r="13746" spans="1:10" ht="13.2">
      <c r="A13746" s="7">
        <v>13745</v>
      </c>
      <c r="B13746" s="7">
        <v>1</v>
      </c>
      <c r="C13746" s="7" t="s">
        <v>10</v>
      </c>
      <c r="D13746" s="7">
        <v>18727</v>
      </c>
      <c r="E13746" s="7" t="s">
        <v>23</v>
      </c>
      <c r="F13746" s="8" t="str">
        <f ca="1">IFERROR(__xludf.DUMMYFUNCTION("IF
(
C13747=""фізична особа""
,
VLOOKUP(D13747,IMPORTRANGE(""https://docs.google.com/spreadsheets/d/14Bd19lYaqBhU8_DElYkX7l4wRkHqqCUFNJY4AfY3kHU/edit?usp=sharing  #gid=0"",""фіз особи new!relations_name""),6,FALSE)
,
(IF
(
C13747=""юридична особа""
,
VLOO"&amp;"KUP(D13747,IMPORTRANGE(""https://docs.google.com/spreadsheets/d/14Bd19lYaqBhU8_DElYkX7l4wRkHqqCUFNJY4AfY3kHU/edit?usp=sharing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6" s="7" t="s">
        <v>10</v>
      </c>
      <c r="H13746" s="7">
        <v>0</v>
      </c>
      <c r="I13746" s="8" t="str">
        <f ca="1">IFERROR(__xludf.DUMMYFUNCTION("IF
(
G13747=""фізична особа""
,
VLOOKUP(H13747,IMPORTRANGE(""https://docs.google.com/spreadsheets/d/14Bd19lYaqBhU8_DElYkX7l4wRkHqqCUFNJY4AfY3kHU/edit?usp=sharing  #gid=0"",""фіз особи new!relations_name""),6,FALSE)
,
(IF
(
G13747=""юридична особа""
,
VLOO"&amp;"KUP(H13747,IMPORTRANGE(""https://docs.google.com/spreadsheets/d/14Bd19lYaqBhU8_DElYkX7l4wRkHqqCUFNJY4AfY3kHU/edit?usp=sharing  #gid=0"",""фіз особи new!relations_name_uo""),7,FALSE)
,
)
))"),"#N/A")</f>
        <v>#N/A</v>
      </c>
      <c r="J13746" s="7" t="s">
        <v>23</v>
      </c>
    </row>
    <row r="13747" spans="1:10" ht="13.2">
      <c r="A13747" s="7">
        <v>13746</v>
      </c>
      <c r="B13747" s="7">
        <v>1</v>
      </c>
      <c r="C13747" s="7" t="s">
        <v>10</v>
      </c>
      <c r="D13747" s="7">
        <v>18727</v>
      </c>
      <c r="E13747" s="7" t="s">
        <v>23</v>
      </c>
      <c r="F13747" s="8" t="str">
        <f ca="1">IFERROR(__xludf.DUMMYFUNCTION("IF
(
C13748=""фізична особа""
,
VLOOKUP(D13748,IMPORTRANGE(""https://docs.google.com/spreadsheets/d/14Bd19lYaqBhU8_DElYkX7l4wRkHqqCUFNJY4AfY3kHU/edit?usp=sharing  #gid=0"",""фіз особи new!relations_name""),6,FALSE)
,
(IF
(
C13748=""юридична особа""
,
VLOO"&amp;"KUP(D13748,IMPORTRANGE(""https://docs.google.com/spreadsheets/d/14Bd19lYaqBhU8_DElYkX7l4wRkHqqCUFNJY4AfY3kHU/edit?usp=sharing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7" s="7" t="s">
        <v>10</v>
      </c>
      <c r="H13747" s="7">
        <v>0</v>
      </c>
      <c r="I13747" s="8" t="str">
        <f ca="1">IFERROR(__xludf.DUMMYFUNCTION("IF
(
G13748=""фізична особа""
,
VLOOKUP(H13748,IMPORTRANGE(""https://docs.google.com/spreadsheets/d/14Bd19lYaqBhU8_DElYkX7l4wRkHqqCUFNJY4AfY3kHU/edit?usp=sharing  #gid=0"",""фіз особи new!relations_name""),6,FALSE)
,
(IF
(
G13748=""юридична особа""
,
VLOO"&amp;"KUP(H13748,IMPORTRANGE(""https://docs.google.com/spreadsheets/d/14Bd19lYaqBhU8_DElYkX7l4wRkHqqCUFNJY4AfY3kHU/edit?usp=sharing  #gid=0"",""фіз особи new!relations_name_uo""),7,FALSE)
,
)
))"),"#N/A")</f>
        <v>#N/A</v>
      </c>
      <c r="J13747" s="7" t="s">
        <v>23</v>
      </c>
    </row>
    <row r="13748" spans="1:10" ht="13.2">
      <c r="A13748" s="7">
        <v>13747</v>
      </c>
      <c r="B13748" s="7">
        <v>1</v>
      </c>
      <c r="C13748" s="7" t="s">
        <v>10</v>
      </c>
      <c r="D13748" s="7">
        <v>18727</v>
      </c>
      <c r="E13748" s="7" t="s">
        <v>23</v>
      </c>
      <c r="F13748" s="8" t="str">
        <f ca="1">IFERROR(__xludf.DUMMYFUNCTION("IF
(
C13749=""фізична особа""
,
VLOOKUP(D13749,IMPORTRANGE(""https://docs.google.com/spreadsheets/d/14Bd19lYaqBhU8_DElYkX7l4wRkHqqCUFNJY4AfY3kHU/edit?usp=sharing  #gid=0"",""фіз особи new!relations_name""),6,FALSE)
,
(IF
(
C13749=""юридична особа""
,
VLOO"&amp;"KUP(D13749,IMPORTRANGE(""https://docs.google.com/spreadsheets/d/14Bd19lYaqBhU8_DElYkX7l4wRkHqqCUFNJY4AfY3kHU/edit?usp=sharing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8" s="7" t="s">
        <v>10</v>
      </c>
      <c r="H13748" s="7">
        <v>18728</v>
      </c>
      <c r="I13748" s="8" t="str">
        <f ca="1">IFERROR(__xludf.DUMMYFUNCTION("IF
(
G13749=""фізична особа""
,
VLOOKUP(H13749,IMPORTRANGE(""https://docs.google.com/spreadsheets/d/14Bd19lYaqBhU8_DElYkX7l4wRkHqqCUFNJY4AfY3kHU/edit?usp=sharing  #gid=0"",""фіз особи new!relations_name""),6,FALSE)
,
(IF
(
G13749=""юридична особа""
,
VLOO"&amp;"KUP(H13749,IMPORTRANGE(""https://docs.google.com/spreadsheets/d/14Bd19lYaqBhU8_DElYkX7l4wRkHqqCUFNJY4AfY3kHU/edit?usp=sharing  #gid=0"",""фіз особи new!relations_name_uo""),7,FALSE)
,
)
))"),"СЕМЕНЮТІН Олег Миколайович")</f>
        <v>СЕМЕНЮТІН Олег Миколайович</v>
      </c>
      <c r="J13748" s="7" t="s">
        <v>23</v>
      </c>
    </row>
    <row r="13749" spans="1:10" ht="13.2">
      <c r="A13749" s="7">
        <v>13748</v>
      </c>
      <c r="B13749" s="7">
        <v>1</v>
      </c>
      <c r="C13749" s="7" t="s">
        <v>10</v>
      </c>
      <c r="D13749" s="7">
        <v>18727</v>
      </c>
      <c r="E13749" s="7" t="s">
        <v>23</v>
      </c>
      <c r="F13749" s="8" t="str">
        <f ca="1">IFERROR(__xludf.DUMMYFUNCTION("IF
(
C13750=""фізична особа""
,
VLOOKUP(D13750,IMPORTRANGE(""https://docs.google.com/spreadsheets/d/14Bd19lYaqBhU8_DElYkX7l4wRkHqqCUFNJY4AfY3kHU/edit?usp=sharing  #gid=0"",""фіз особи new!relations_name""),6,FALSE)
,
(IF
(
C13750=""юридична особа""
,
VLOO"&amp;"KUP(D13750,IMPORTRANGE(""https://docs.google.com/spreadsheets/d/14Bd19lYaqBhU8_DElYkX7l4wRkHqqCUFNJY4AfY3kHU/edit?usp=sharing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49" s="7" t="s">
        <v>10</v>
      </c>
      <c r="H13749" s="7">
        <v>0</v>
      </c>
      <c r="I13749" s="8" t="str">
        <f ca="1">IFERROR(__xludf.DUMMYFUNCTION("IF
(
G13750=""фізична особа""
,
VLOOKUP(H13750,IMPORTRANGE(""https://docs.google.com/spreadsheets/d/14Bd19lYaqBhU8_DElYkX7l4wRkHqqCUFNJY4AfY3kHU/edit?usp=sharing  #gid=0"",""фіз особи new!relations_name""),6,FALSE)
,
(IF
(
G13750=""юридична особа""
,
VLOO"&amp;"KUP(H13750,IMPORTRANGE(""https://docs.google.com/spreadsheets/d/14Bd19lYaqBhU8_DElYkX7l4wRkHqqCUFNJY4AfY3kHU/edit?usp=sharing  #gid=0"",""фіз особи new!relations_name_uo""),7,FALSE)
,
)
))"),"#N/A")</f>
        <v>#N/A</v>
      </c>
      <c r="J13749" s="7" t="s">
        <v>23</v>
      </c>
    </row>
    <row r="13750" spans="1:10" ht="13.2">
      <c r="A13750" s="7">
        <v>13749</v>
      </c>
      <c r="B13750" s="7">
        <v>1</v>
      </c>
      <c r="C13750" s="7" t="s">
        <v>10</v>
      </c>
      <c r="D13750" s="7">
        <v>18727</v>
      </c>
      <c r="E13750" s="7" t="s">
        <v>23</v>
      </c>
      <c r="F13750" s="8" t="str">
        <f ca="1">IFERROR(__xludf.DUMMYFUNCTION("IF
(
C13751=""фізична особа""
,
VLOOKUP(D13751,IMPORTRANGE(""https://docs.google.com/spreadsheets/d/14Bd19lYaqBhU8_DElYkX7l4wRkHqqCUFNJY4AfY3kHU/edit?usp=sharing  #gid=0"",""фіз особи new!relations_name""),6,FALSE)
,
(IF
(
C13751=""юридична особа""
,
VLOO"&amp;"KUP(D13751,IMPORTRANGE(""https://docs.google.com/spreadsheets/d/14Bd19lYaqBhU8_DElYkX7l4wRkHqqCUFNJY4AfY3kHU/edit?usp=sharing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0" s="7" t="s">
        <v>10</v>
      </c>
      <c r="H13750" s="7">
        <v>0</v>
      </c>
      <c r="I13750" s="8" t="str">
        <f ca="1">IFERROR(__xludf.DUMMYFUNCTION("IF
(
G13751=""фізична особа""
,
VLOOKUP(H13751,IMPORTRANGE(""https://docs.google.com/spreadsheets/d/14Bd19lYaqBhU8_DElYkX7l4wRkHqqCUFNJY4AfY3kHU/edit?usp=sharing  #gid=0"",""фіз особи new!relations_name""),6,FALSE)
,
(IF
(
G13751=""юридична особа""
,
VLOO"&amp;"KUP(H13751,IMPORTRANGE(""https://docs.google.com/spreadsheets/d/14Bd19lYaqBhU8_DElYkX7l4wRkHqqCUFNJY4AfY3kHU/edit?usp=sharing  #gid=0"",""фіз особи new!relations_name_uo""),7,FALSE)
,
)
))"),"#N/A")</f>
        <v>#N/A</v>
      </c>
      <c r="J13750" s="7" t="s">
        <v>23</v>
      </c>
    </row>
    <row r="13751" spans="1:10" ht="13.2">
      <c r="A13751" s="7">
        <v>13750</v>
      </c>
      <c r="B13751" s="7">
        <v>1</v>
      </c>
      <c r="C13751" s="7" t="s">
        <v>10</v>
      </c>
      <c r="D13751" s="7">
        <v>18727</v>
      </c>
      <c r="E13751" s="7" t="s">
        <v>23</v>
      </c>
      <c r="F13751" s="8" t="str">
        <f ca="1">IFERROR(__xludf.DUMMYFUNCTION("IF
(
C13752=""фізична особа""
,
VLOOKUP(D13752,IMPORTRANGE(""https://docs.google.com/spreadsheets/d/14Bd19lYaqBhU8_DElYkX7l4wRkHqqCUFNJY4AfY3kHU/edit?usp=sharing  #gid=0"",""фіз особи new!relations_name""),6,FALSE)
,
(IF
(
C13752=""юридична особа""
,
VLOO"&amp;"KUP(D13752,IMPORTRANGE(""https://docs.google.com/spreadsheets/d/14Bd19lYaqBhU8_DElYkX7l4wRkHqqCUFNJY4AfY3kHU/edit?usp=sharing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1" s="7" t="s">
        <v>10</v>
      </c>
      <c r="H13751" s="7">
        <v>23678</v>
      </c>
      <c r="I13751" s="8" t="str">
        <f ca="1">IFERROR(__xludf.DUMMYFUNCTION("IF
(
G13752=""фізична особа""
,
VLOOKUP(H13752,IMPORTRANGE(""https://docs.google.com/spreadsheets/d/14Bd19lYaqBhU8_DElYkX7l4wRkHqqCUFNJY4AfY3kHU/edit?usp=sharing  #gid=0"",""фіз особи new!relations_name""),6,FALSE)
,
(IF
(
G13752=""юридична особа""
,
VLOO"&amp;"KUP(H13752,IMPORTRANGE(""https://docs.google.com/spreadsheets/d/14Bd19lYaqBhU8_DElYkX7l4wRkHqqCUFNJY4AfY3kHU/edit?usp=sharing  #gid=0"",""фіз особи new!relations_name_uo""),7,FALSE)
,
)
))"),"ЛЮТОВА Валентина Володимирівна")</f>
        <v>ЛЮТОВА Валентина Володимирівна</v>
      </c>
      <c r="J13751" s="7" t="s">
        <v>23</v>
      </c>
    </row>
    <row r="13752" spans="1:10" ht="13.2">
      <c r="A13752" s="7">
        <v>13751</v>
      </c>
      <c r="B13752" s="7">
        <v>1</v>
      </c>
      <c r="C13752" s="7" t="s">
        <v>10</v>
      </c>
      <c r="D13752" s="7">
        <v>18727</v>
      </c>
      <c r="E13752" s="7" t="s">
        <v>23</v>
      </c>
      <c r="F13752" s="8" t="str">
        <f ca="1">IFERROR(__xludf.DUMMYFUNCTION("IF
(
C13753=""фізична особа""
,
VLOOKUP(D13753,IMPORTRANGE(""https://docs.google.com/spreadsheets/d/14Bd19lYaqBhU8_DElYkX7l4wRkHqqCUFNJY4AfY3kHU/edit?usp=sharing  #gid=0"",""фіз особи new!relations_name""),6,FALSE)
,
(IF
(
C13753=""юридична особа""
,
VLOO"&amp;"KUP(D13753,IMPORTRANGE(""https://docs.google.com/spreadsheets/d/14Bd19lYaqBhU8_DElYkX7l4wRkHqqCUFNJY4AfY3kHU/edit?usp=sharing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2" s="7" t="s">
        <v>10</v>
      </c>
      <c r="H13752" s="7">
        <v>0</v>
      </c>
      <c r="I13752" s="8" t="str">
        <f ca="1">IFERROR(__xludf.DUMMYFUNCTION("IF
(
G13753=""фізична особа""
,
VLOOKUP(H13753,IMPORTRANGE(""https://docs.google.com/spreadsheets/d/14Bd19lYaqBhU8_DElYkX7l4wRkHqqCUFNJY4AfY3kHU/edit?usp=sharing  #gid=0"",""фіз особи new!relations_name""),6,FALSE)
,
(IF
(
G13753=""юридична особа""
,
VLOO"&amp;"KUP(H13753,IMPORTRANGE(""https://docs.google.com/spreadsheets/d/14Bd19lYaqBhU8_DElYkX7l4wRkHqqCUFNJY4AfY3kHU/edit?usp=sharing  #gid=0"",""фіз особи new!relations_name_uo""),7,FALSE)
,
)
))"),"#N/A")</f>
        <v>#N/A</v>
      </c>
      <c r="J13752" s="7" t="s">
        <v>23</v>
      </c>
    </row>
    <row r="13753" spans="1:10" ht="13.2">
      <c r="A13753" s="7">
        <v>13752</v>
      </c>
      <c r="B13753" s="7">
        <v>1</v>
      </c>
      <c r="C13753" s="7" t="s">
        <v>10</v>
      </c>
      <c r="D13753" s="7">
        <v>18727</v>
      </c>
      <c r="E13753" s="7" t="s">
        <v>23</v>
      </c>
      <c r="F13753" s="8" t="str">
        <f ca="1">IFERROR(__xludf.DUMMYFUNCTION("IF
(
C13754=""фізична особа""
,
VLOOKUP(D13754,IMPORTRANGE(""https://docs.google.com/spreadsheets/d/14Bd19lYaqBhU8_DElYkX7l4wRkHqqCUFNJY4AfY3kHU/edit?usp=sharing  #gid=0"",""фіз особи new!relations_name""),6,FALSE)
,
(IF
(
C13754=""юридична особа""
,
VLOO"&amp;"KUP(D13754,IMPORTRANGE(""https://docs.google.com/spreadsheets/d/14Bd19lYaqBhU8_DElYkX7l4wRkHqqCUFNJY4AfY3kHU/edit?usp=sharing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3" s="7" t="s">
        <v>10</v>
      </c>
      <c r="H13753" s="7">
        <v>0</v>
      </c>
      <c r="I13753" s="8" t="str">
        <f ca="1">IFERROR(__xludf.DUMMYFUNCTION("IF
(
G13754=""фізична особа""
,
VLOOKUP(H13754,IMPORTRANGE(""https://docs.google.com/spreadsheets/d/14Bd19lYaqBhU8_DElYkX7l4wRkHqqCUFNJY4AfY3kHU/edit?usp=sharing  #gid=0"",""фіз особи new!relations_name""),6,FALSE)
,
(IF
(
G13754=""юридична особа""
,
VLOO"&amp;"KUP(H13754,IMPORTRANGE(""https://docs.google.com/spreadsheets/d/14Bd19lYaqBhU8_DElYkX7l4wRkHqqCUFNJY4AfY3kHU/edit?usp=sharing  #gid=0"",""фіз особи new!relations_name_uo""),7,FALSE)
,
)
))"),"#N/A")</f>
        <v>#N/A</v>
      </c>
      <c r="J13753" s="7" t="s">
        <v>23</v>
      </c>
    </row>
    <row r="13754" spans="1:10" ht="13.2">
      <c r="A13754" s="7">
        <v>13753</v>
      </c>
      <c r="B13754" s="7">
        <v>1</v>
      </c>
      <c r="C13754" s="7" t="s">
        <v>10</v>
      </c>
      <c r="D13754" s="7">
        <v>18727</v>
      </c>
      <c r="E13754" s="7" t="s">
        <v>23</v>
      </c>
      <c r="F13754" s="8" t="str">
        <f ca="1">IFERROR(__xludf.DUMMYFUNCTION("IF
(
C13755=""фізична особа""
,
VLOOKUP(D13755,IMPORTRANGE(""https://docs.google.com/spreadsheets/d/14Bd19lYaqBhU8_DElYkX7l4wRkHqqCUFNJY4AfY3kHU/edit?usp=sharing  #gid=0"",""фіз особи new!relations_name""),6,FALSE)
,
(IF
(
C13755=""юридична особа""
,
VLOO"&amp;"KUP(D13755,IMPORTRANGE(""https://docs.google.com/spreadsheets/d/14Bd19lYaqBhU8_DElYkX7l4wRkHqqCUFNJY4AfY3kHU/edit?usp=sharing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4" s="7" t="s">
        <v>10</v>
      </c>
      <c r="H13754" s="7">
        <v>0</v>
      </c>
      <c r="I13754" s="8" t="str">
        <f ca="1">IFERROR(__xludf.DUMMYFUNCTION("IF
(
G13755=""фізична особа""
,
VLOOKUP(H13755,IMPORTRANGE(""https://docs.google.com/spreadsheets/d/14Bd19lYaqBhU8_DElYkX7l4wRkHqqCUFNJY4AfY3kHU/edit?usp=sharing  #gid=0"",""фіз особи new!relations_name""),6,FALSE)
,
(IF
(
G13755=""юридична особа""
,
VLOO"&amp;"KUP(H13755,IMPORTRANGE(""https://docs.google.com/spreadsheets/d/14Bd19lYaqBhU8_DElYkX7l4wRkHqqCUFNJY4AfY3kHU/edit?usp=sharing  #gid=0"",""фіз особи new!relations_name_uo""),7,FALSE)
,
)
))"),"#N/A")</f>
        <v>#N/A</v>
      </c>
      <c r="J13754" s="7" t="s">
        <v>23</v>
      </c>
    </row>
    <row r="13755" spans="1:10" ht="13.2">
      <c r="A13755" s="7">
        <v>13754</v>
      </c>
      <c r="B13755" s="7">
        <v>1</v>
      </c>
      <c r="C13755" s="7" t="s">
        <v>10</v>
      </c>
      <c r="D13755" s="7">
        <v>18727</v>
      </c>
      <c r="E13755" s="7" t="s">
        <v>23</v>
      </c>
      <c r="F13755" s="8" t="str">
        <f ca="1">IFERROR(__xludf.DUMMYFUNCTION("IF
(
C13756=""фізична особа""
,
VLOOKUP(D13756,IMPORTRANGE(""https://docs.google.com/spreadsheets/d/14Bd19lYaqBhU8_DElYkX7l4wRkHqqCUFNJY4AfY3kHU/edit?usp=sharing  #gid=0"",""фіз особи new!relations_name""),6,FALSE)
,
(IF
(
C13756=""юридична особа""
,
VLOO"&amp;"KUP(D13756,IMPORTRANGE(""https://docs.google.com/spreadsheets/d/14Bd19lYaqBhU8_DElYkX7l4wRkHqqCUFNJY4AfY3kHU/edit?usp=sharing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5" s="7" t="s">
        <v>10</v>
      </c>
      <c r="H13755" s="7">
        <v>2003</v>
      </c>
      <c r="I13755" s="8" t="str">
        <f ca="1">IFERROR(__xludf.DUMMYFUNCTION("IF
(
G13756=""фізична особа""
,
VLOOKUP(H13756,IMPORTRANGE(""https://docs.google.com/spreadsheets/d/14Bd19lYaqBhU8_DElYkX7l4wRkHqqCUFNJY4AfY3kHU/edit?usp=sharing  #gid=0"",""фіз особи new!relations_name""),6,FALSE)
,
(IF
(
G13756=""юридична особа""
,
VLOO"&amp;"KUP(H13756,IMPORTRANGE(""https://docs.google.com/spreadsheets/d/14Bd19lYaqBhU8_DElYkX7l4wRkHqqCUFNJY4AfY3kHU/edit?usp=sharing  #gid=0"",""фіз особи new!relations_name_uo""),7,FALSE)
,
)
))"),"КОЗОВИЙ Геннадій Іванович")</f>
        <v>КОЗОВИЙ Геннадій Іванович</v>
      </c>
      <c r="J13755" s="7" t="s">
        <v>23</v>
      </c>
    </row>
    <row r="13756" spans="1:10" ht="13.2">
      <c r="A13756" s="7">
        <v>13755</v>
      </c>
      <c r="B13756" s="7">
        <v>1</v>
      </c>
      <c r="C13756" s="7" t="s">
        <v>10</v>
      </c>
      <c r="D13756" s="7">
        <v>18727</v>
      </c>
      <c r="E13756" s="7" t="s">
        <v>23</v>
      </c>
      <c r="F13756" s="8" t="str">
        <f ca="1">IFERROR(__xludf.DUMMYFUNCTION("IF
(
C13757=""фізична особа""
,
VLOOKUP(D13757,IMPORTRANGE(""https://docs.google.com/spreadsheets/d/14Bd19lYaqBhU8_DElYkX7l4wRkHqqCUFNJY4AfY3kHU/edit?usp=sharing  #gid=0"",""фіз особи new!relations_name""),6,FALSE)
,
(IF
(
C13757=""юридична особа""
,
VLOO"&amp;"KUP(D13757,IMPORTRANGE(""https://docs.google.com/spreadsheets/d/14Bd19lYaqBhU8_DElYkX7l4wRkHqqCUFNJY4AfY3kHU/edit?usp=sharing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6" s="7" t="s">
        <v>10</v>
      </c>
      <c r="H13756" s="7">
        <v>0</v>
      </c>
      <c r="I13756" s="8" t="str">
        <f ca="1">IFERROR(__xludf.DUMMYFUNCTION("IF
(
G13757=""фізична особа""
,
VLOOKUP(H13757,IMPORTRANGE(""https://docs.google.com/spreadsheets/d/14Bd19lYaqBhU8_DElYkX7l4wRkHqqCUFNJY4AfY3kHU/edit?usp=sharing  #gid=0"",""фіз особи new!relations_name""),6,FALSE)
,
(IF
(
G13757=""юридична особа""
,
VLOO"&amp;"KUP(H13757,IMPORTRANGE(""https://docs.google.com/spreadsheets/d/14Bd19lYaqBhU8_DElYkX7l4wRkHqqCUFNJY4AfY3kHU/edit?usp=sharing  #gid=0"",""фіз особи new!relations_name_uo""),7,FALSE)
,
)
))"),"#N/A")</f>
        <v>#N/A</v>
      </c>
      <c r="J13756" s="7" t="s">
        <v>23</v>
      </c>
    </row>
    <row r="13757" spans="1:10" ht="13.2">
      <c r="A13757" s="7">
        <v>13756</v>
      </c>
      <c r="B13757" s="7">
        <v>1</v>
      </c>
      <c r="C13757" s="7" t="s">
        <v>10</v>
      </c>
      <c r="D13757" s="7">
        <v>18727</v>
      </c>
      <c r="E13757" s="7" t="s">
        <v>23</v>
      </c>
      <c r="F13757" s="8" t="str">
        <f ca="1">IFERROR(__xludf.DUMMYFUNCTION("IF
(
C13758=""фізична особа""
,
VLOOKUP(D13758,IMPORTRANGE(""https://docs.google.com/spreadsheets/d/14Bd19lYaqBhU8_DElYkX7l4wRkHqqCUFNJY4AfY3kHU/edit?usp=sharing  #gid=0"",""фіз особи new!relations_name""),6,FALSE)
,
(IF
(
C13758=""юридична особа""
,
VLOO"&amp;"KUP(D13758,IMPORTRANGE(""https://docs.google.com/spreadsheets/d/14Bd19lYaqBhU8_DElYkX7l4wRkHqqCUFNJY4AfY3kHU/edit?usp=sharing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7" s="7" t="s">
        <v>10</v>
      </c>
      <c r="H13757" s="7">
        <v>0</v>
      </c>
      <c r="I13757" s="8" t="str">
        <f ca="1">IFERROR(__xludf.DUMMYFUNCTION("IF
(
G13758=""фізична особа""
,
VLOOKUP(H13758,IMPORTRANGE(""https://docs.google.com/spreadsheets/d/14Bd19lYaqBhU8_DElYkX7l4wRkHqqCUFNJY4AfY3kHU/edit?usp=sharing  #gid=0"",""фіз особи new!relations_name""),6,FALSE)
,
(IF
(
G13758=""юридична особа""
,
VLOO"&amp;"KUP(H13758,IMPORTRANGE(""https://docs.google.com/spreadsheets/d/14Bd19lYaqBhU8_DElYkX7l4wRkHqqCUFNJY4AfY3kHU/edit?usp=sharing  #gid=0"",""фіз особи new!relations_name_uo""),7,FALSE)
,
)
))"),"#N/A")</f>
        <v>#N/A</v>
      </c>
      <c r="J13757" s="7" t="s">
        <v>23</v>
      </c>
    </row>
    <row r="13758" spans="1:10" ht="13.2">
      <c r="A13758" s="7">
        <v>13757</v>
      </c>
      <c r="B13758" s="7">
        <v>1</v>
      </c>
      <c r="C13758" s="7" t="s">
        <v>10</v>
      </c>
      <c r="D13758" s="7">
        <v>18727</v>
      </c>
      <c r="E13758" s="7" t="s">
        <v>23</v>
      </c>
      <c r="F13758" s="8" t="str">
        <f ca="1">IFERROR(__xludf.DUMMYFUNCTION("IF
(
C13759=""фізична особа""
,
VLOOKUP(D13759,IMPORTRANGE(""https://docs.google.com/spreadsheets/d/14Bd19lYaqBhU8_DElYkX7l4wRkHqqCUFNJY4AfY3kHU/edit?usp=sharing  #gid=0"",""фіз особи new!relations_name""),6,FALSE)
,
(IF
(
C13759=""юридична особа""
,
VLOO"&amp;"KUP(D13759,IMPORTRANGE(""https://docs.google.com/spreadsheets/d/14Bd19lYaqBhU8_DElYkX7l4wRkHqqCUFNJY4AfY3kHU/edit?usp=sharing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G13758" s="7" t="s">
        <v>10</v>
      </c>
      <c r="H13758" s="7">
        <v>0</v>
      </c>
      <c r="I13758" s="8" t="str">
        <f ca="1">IFERROR(__xludf.DUMMYFUNCTION("IF
(
G13759=""фізична особа""
,
VLOOKUP(H13759,IMPORTRANGE(""https://docs.google.com/spreadsheets/d/14Bd19lYaqBhU8_DElYkX7l4wRkHqqCUFNJY4AfY3kHU/edit?usp=sharing  #gid=0"",""фіз особи new!relations_name""),6,FALSE)
,
(IF
(
G13759=""юридична особа""
,
VLOO"&amp;"KUP(H13759,IMPORTRANGE(""https://docs.google.com/spreadsheets/d/14Bd19lYaqBhU8_DElYkX7l4wRkHqqCUFNJY4AfY3kHU/edit?usp=sharing  #gid=0"",""фіз особи new!relations_name_uo""),7,FALSE)
,
)
))"),"#N/A")</f>
        <v>#N/A</v>
      </c>
      <c r="J13758" s="7" t="s">
        <v>23</v>
      </c>
    </row>
    <row r="13759" spans="1:10" ht="13.2">
      <c r="A13759" s="7">
        <v>13758</v>
      </c>
      <c r="B13759" s="7">
        <v>1</v>
      </c>
      <c r="C13759" s="7" t="s">
        <v>10</v>
      </c>
      <c r="D13759" s="7">
        <v>18728</v>
      </c>
      <c r="E13759" s="7" t="s">
        <v>23</v>
      </c>
      <c r="F13759" s="8" t="str">
        <f ca="1">IFERROR(__xludf.DUMMYFUNCTION("IF
(
C13760=""фізична особа""
,
VLOOKUP(D13760,IMPORTRANGE(""https://docs.google.com/spreadsheets/d/14Bd19lYaqBhU8_DElYkX7l4wRkHqqCUFNJY4AfY3kHU/edit?usp=sharing  #gid=0"",""фіз особи new!relations_name""),6,FALSE)
,
(IF
(
C13760=""юридична особа""
,
VLOO"&amp;"KUP(D13760,IMPORTRANGE(""https://docs.google.com/spreadsheets/d/14Bd19lYaqBhU8_DElYkX7l4wRkHqqCUFNJY4AfY3kHU/edit?usp=sharing  #gid=0"",""фіз особи new!relations_name_uo""),7,FALSE)
,
)
))"),"СЕМЕНЮТІН Олег Миколайович")</f>
        <v>СЕМЕНЮТІН Олег Миколайович</v>
      </c>
      <c r="G13759" s="7" t="s">
        <v>10</v>
      </c>
      <c r="H13759" s="7">
        <v>23677</v>
      </c>
      <c r="I13759" s="8" t="str">
        <f ca="1">IFERROR(__xludf.DUMMYFUNCTION("IF
(
G13760=""фізична особа""
,
VLOOKUP(H13760,IMPORTRANGE(""https://docs.google.com/spreadsheets/d/14Bd19lYaqBhU8_DElYkX7l4wRkHqqCUFNJY4AfY3kHU/edit?usp=sharing  #gid=0"",""фіз особи new!relations_name""),6,FALSE)
,
(IF
(
G13760=""юридична особа""
,
VLOO"&amp;"KUP(H13760,IMPORTRANGE(""https://docs.google.com/spreadsheets/d/14Bd19lYaqBhU8_DElYkX7l4wRkHqqCUFNJY4AfY3kHU/edit?usp=sharing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59" s="7" t="s">
        <v>23</v>
      </c>
    </row>
    <row r="13760" spans="1:10" ht="13.2">
      <c r="A13760" s="7">
        <v>13759</v>
      </c>
      <c r="B13760" s="7">
        <v>1</v>
      </c>
      <c r="C13760" s="7" t="s">
        <v>10</v>
      </c>
      <c r="D13760" s="7">
        <v>18728</v>
      </c>
      <c r="E13760" s="7" t="s">
        <v>23</v>
      </c>
      <c r="F13760" s="8" t="str">
        <f ca="1">IFERROR(__xludf.DUMMYFUNCTION("IF
(
C13761=""фізична особа""
,
VLOOKUP(D13761,IMPORTRANGE(""https://docs.google.com/spreadsheets/d/14Bd19lYaqBhU8_DElYkX7l4wRkHqqCUFNJY4AfY3kHU/edit?usp=sharing  #gid=0"",""фіз особи new!relations_name""),6,FALSE)
,
(IF
(
C13761=""юридична особа""
,
VLOO"&amp;"KUP(D13761,IMPORTRANGE(""https://docs.google.com/spreadsheets/d/14Bd19lYaqBhU8_DElYkX7l4wRkHqqCUFNJY4AfY3kHU/edit?usp=sharing  #gid=0"",""фіз особи new!relations_name_uo""),7,FALSE)
,
)
))"),"СЕМЕНЮТІН Олег Миколайович")</f>
        <v>СЕМЕНЮТІН Олег Миколайович</v>
      </c>
      <c r="G13760" s="7" t="s">
        <v>10</v>
      </c>
      <c r="H13760" s="7">
        <v>18727</v>
      </c>
      <c r="I13760" s="8" t="str">
        <f ca="1">IFERROR(__xludf.DUMMYFUNCTION("IF
(
G13761=""фізична особа""
,
VLOOKUP(H13761,IMPORTRANGE(""https://docs.google.com/spreadsheets/d/14Bd19lYaqBhU8_DElYkX7l4wRkHqqCUFNJY4AfY3kHU/edit?usp=sharing  #gid=0"",""фіз особи new!relations_name""),6,FALSE)
,
(IF
(
G13761=""юридична особа""
,
VLOO"&amp;"KUP(H13761,IMPORTRANGE(""https://docs.google.com/spreadsheets/d/14Bd19lYaqBhU8_DElYkX7l4wRkHqqCUFNJY4AfY3kHU/edit?usp=sharing  #gid=0"",""фіз особи new!relations_name_uo""),7,FALSE)
,
)
))"),"ПАНФІЛОВ Олексій Юрійович")</f>
        <v>ПАНФІЛОВ Олексій Юрійович</v>
      </c>
      <c r="J13760" s="7" t="s">
        <v>23</v>
      </c>
    </row>
    <row r="13761" spans="1:10" ht="13.2">
      <c r="A13761" s="7">
        <v>13760</v>
      </c>
      <c r="B13761" s="7">
        <v>1</v>
      </c>
      <c r="C13761" s="7" t="s">
        <v>10</v>
      </c>
      <c r="D13761" s="7">
        <v>18728</v>
      </c>
      <c r="E13761" s="7" t="s">
        <v>23</v>
      </c>
      <c r="F13761" s="8" t="str">
        <f ca="1">IFERROR(__xludf.DUMMYFUNCTION("IF
(
C13762=""фізична особа""
,
VLOOKUP(D13762,IMPORTRANGE(""https://docs.google.com/spreadsheets/d/14Bd19lYaqBhU8_DElYkX7l4wRkHqqCUFNJY4AfY3kHU/edit?usp=sharing  #gid=0"",""фіз особи new!relations_name""),6,FALSE)
,
(IF
(
C13762=""юридична особа""
,
VLOO"&amp;"KUP(D13762,IMPORTRANGE(""https://docs.google.com/spreadsheets/d/14Bd19lYaqBhU8_DElYkX7l4wRkHqqCUFNJY4AfY3kHU/edit?usp=sharing  #gid=0"",""фіз особи new!relations_name_uo""),7,FALSE)
,
)
))"),"СЕМЕНЮТІН Олег Миколайович")</f>
        <v>СЕМЕНЮТІН Олег Миколайович</v>
      </c>
      <c r="G13761" s="7" t="s">
        <v>10</v>
      </c>
      <c r="H13761" s="7">
        <v>23678</v>
      </c>
      <c r="I13761" s="8" t="str">
        <f ca="1">IFERROR(__xludf.DUMMYFUNCTION("IF
(
G13762=""фізична особа""
,
VLOOKUP(H13762,IMPORTRANGE(""https://docs.google.com/spreadsheets/d/14Bd19lYaqBhU8_DElYkX7l4wRkHqqCUFNJY4AfY3kHU/edit?usp=sharing  #gid=0"",""фіз особи new!relations_name""),6,FALSE)
,
(IF
(
G13762=""юридична особа""
,
VLOO"&amp;"KUP(H13762,IMPORTRANGE(""https://docs.google.com/spreadsheets/d/14Bd19lYaqBhU8_DElYkX7l4wRkHqqCUFNJY4AfY3kHU/edit?usp=sharing  #gid=0"",""фіз особи new!relations_name_uo""),7,FALSE)
,
)
))"),"ЛЮТОВА Валентина Володимирівна")</f>
        <v>ЛЮТОВА Валентина Володимирівна</v>
      </c>
      <c r="J13761" s="7" t="s">
        <v>23</v>
      </c>
    </row>
    <row r="13762" spans="1:10" ht="13.2">
      <c r="A13762" s="7">
        <v>13761</v>
      </c>
      <c r="B13762" s="7">
        <v>1</v>
      </c>
      <c r="C13762" s="7" t="s">
        <v>10</v>
      </c>
      <c r="D13762" s="7">
        <v>18729</v>
      </c>
      <c r="E13762" s="7" t="s">
        <v>23</v>
      </c>
      <c r="F13762" s="8" t="str">
        <f ca="1">IFERROR(__xludf.DUMMYFUNCTION("IF
(
C13763=""фізична особа""
,
VLOOKUP(D13763,IMPORTRANGE(""https://docs.google.com/spreadsheets/d/14Bd19lYaqBhU8_DElYkX7l4wRkHqqCUFNJY4AfY3kHU/edit?usp=sharing  #gid=0"",""фіз особи new!relations_name""),6,FALSE)
,
(IF
(
C13763=""юридична особа""
,
VLOO"&amp;"KUP(D13763,IMPORTRANGE(""https://docs.google.com/spreadsheets/d/14Bd19lYaqBhU8_DElYkX7l4wRkHqqCUFNJY4AfY3kHU/edit?usp=sharing  #gid=0"",""фіз особи new!relations_name_uo""),7,FALSE)
,
)
))"),"КОРОБЧЕНКО Віктор Олексійович")</f>
        <v>КОРОБЧЕНКО Віктор Олексійович</v>
      </c>
      <c r="G13762" s="7" t="s">
        <v>10</v>
      </c>
      <c r="H13762" s="7">
        <v>23677</v>
      </c>
      <c r="I13762" s="8" t="str">
        <f ca="1">IFERROR(__xludf.DUMMYFUNCTION("IF
(
G13763=""фізична особа""
,
VLOOKUP(H13763,IMPORTRANGE(""https://docs.google.com/spreadsheets/d/14Bd19lYaqBhU8_DElYkX7l4wRkHqqCUFNJY4AfY3kHU/edit?usp=sharing  #gid=0"",""фіз особи new!relations_name""),6,FALSE)
,
(IF
(
G13763=""юридична особа""
,
VLOO"&amp;"KUP(H13763,IMPORTRANGE(""https://docs.google.com/spreadsheets/d/14Bd19lYaqBhU8_DElYkX7l4wRkHqqCUFNJY4AfY3kHU/edit?usp=sharing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62" s="7" t="s">
        <v>23</v>
      </c>
    </row>
    <row r="13763" spans="1:10" ht="13.2">
      <c r="A13763" s="7">
        <v>13762</v>
      </c>
      <c r="B13763" s="7">
        <v>1</v>
      </c>
      <c r="C13763" s="7" t="s">
        <v>10</v>
      </c>
      <c r="D13763" s="7">
        <v>18729</v>
      </c>
      <c r="E13763" s="7" t="s">
        <v>23</v>
      </c>
      <c r="F13763" s="8" t="str">
        <f ca="1">IFERROR(__xludf.DUMMYFUNCTION("IF
(
C13764=""фізична особа""
,
VLOOKUP(D13764,IMPORTRANGE(""https://docs.google.com/spreadsheets/d/14Bd19lYaqBhU8_DElYkX7l4wRkHqqCUFNJY4AfY3kHU/edit?usp=sharing  #gid=0"",""фіз особи new!relations_name""),6,FALSE)
,
(IF
(
C13764=""юридична особа""
,
VLOO"&amp;"KUP(D13764,IMPORTRANGE(""https://docs.google.com/spreadsheets/d/14Bd19lYaqBhU8_DElYkX7l4wRkHqqCUFNJY4AfY3kHU/edit?usp=sharing  #gid=0"",""фіз особи new!relations_name_uo""),7,FALSE)
,
)
))"),"КОРОБЧЕНКО Віктор Олексійович")</f>
        <v>КОРОБЧЕНКО Віктор Олексійович</v>
      </c>
      <c r="G13763" s="7" t="s">
        <v>10</v>
      </c>
      <c r="H13763" s="7">
        <v>18755</v>
      </c>
      <c r="I13763" s="8" t="str">
        <f ca="1">IFERROR(__xludf.DUMMYFUNCTION("IF
(
G13764=""фізична особа""
,
VLOOKUP(H13764,IMPORTRANGE(""https://docs.google.com/spreadsheets/d/14Bd19lYaqBhU8_DElYkX7l4wRkHqqCUFNJY4AfY3kHU/edit?usp=sharing  #gid=0"",""фіз особи new!relations_name""),6,FALSE)
,
(IF
(
G13764=""юридична особа""
,
VLOO"&amp;"KUP(H13764,IMPORTRANGE(""https://docs.google.com/spreadsheets/d/14Bd19lYaqBhU8_DElYkX7l4wRkHqqCUFNJY4AfY3kHU/edit?usp=sharing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63" s="7" t="s">
        <v>23</v>
      </c>
    </row>
    <row r="13764" spans="1:10" ht="13.2">
      <c r="A13764" s="7">
        <v>13763</v>
      </c>
      <c r="B13764" s="7">
        <v>1</v>
      </c>
      <c r="C13764" s="7" t="s">
        <v>10</v>
      </c>
      <c r="D13764" s="7">
        <v>18729</v>
      </c>
      <c r="E13764" s="7" t="s">
        <v>12</v>
      </c>
      <c r="F13764" s="8" t="str">
        <f ca="1">IFERROR(__xludf.DUMMYFUNCTION("IF
(
C13765=""фізична особа""
,
VLOOKUP(D13765,IMPORTRANGE(""https://docs.google.com/spreadsheets/d/14Bd19lYaqBhU8_DElYkX7l4wRkHqqCUFNJY4AfY3kHU/edit?usp=sharing  #gid=0"",""фіз особи new!relations_name""),6,FALSE)
,
(IF
(
C13765=""юридична особа""
,
VLOO"&amp;"KUP(D13765,IMPORTRANGE(""https://docs.google.com/spreadsheets/d/14Bd19lYaqBhU8_DElYkX7l4wRkHqqCUFNJY4AfY3kHU/edit?usp=sharing  #gid=0"",""фіз особи new!relations_name_uo""),7,FALSE)
,
)
))"),"КОРОБЧЕНКО Віктор Олексійович")</f>
        <v>КОРОБЧЕНКО Віктор Олексійович</v>
      </c>
      <c r="G13764" s="7" t="s">
        <v>10</v>
      </c>
      <c r="H13764" s="7">
        <v>0</v>
      </c>
      <c r="I13764" s="8" t="str">
        <f ca="1">IFERROR(__xludf.DUMMYFUNCTION("IF
(
G13765=""фізична особа""
,
VLOOKUP(H13765,IMPORTRANGE(""https://docs.google.com/spreadsheets/d/14Bd19lYaqBhU8_DElYkX7l4wRkHqqCUFNJY4AfY3kHU/edit?usp=sharing  #gid=0"",""фіз особи new!relations_name""),6,FALSE)
,
(IF
(
G13765=""юридична особа""
,
VLOO"&amp;"KUP(H13765,IMPORTRANGE(""https://docs.google.com/spreadsheets/d/14Bd19lYaqBhU8_DElYkX7l4wRkHqqCUFNJY4AfY3kHU/edit?usp=sharing  #gid=0"",""фіз особи new!relations_name_uo""),7,FALSE)
,
)
))"),"#N/A")</f>
        <v>#N/A</v>
      </c>
      <c r="J13764" s="7" t="s">
        <v>17</v>
      </c>
    </row>
    <row r="13765" spans="1:10" ht="13.2">
      <c r="A13765" s="7">
        <v>13764</v>
      </c>
      <c r="B13765" s="7">
        <v>1</v>
      </c>
      <c r="C13765" s="7" t="s">
        <v>10</v>
      </c>
      <c r="D13765" s="7">
        <v>18729</v>
      </c>
      <c r="E13765" s="7" t="s">
        <v>12</v>
      </c>
      <c r="F13765" s="8" t="str">
        <f ca="1">IFERROR(__xludf.DUMMYFUNCTION("IF
(
C13766=""фізична особа""
,
VLOOKUP(D13766,IMPORTRANGE(""https://docs.google.com/spreadsheets/d/14Bd19lYaqBhU8_DElYkX7l4wRkHqqCUFNJY4AfY3kHU/edit?usp=sharing  #gid=0"",""фіз особи new!relations_name""),6,FALSE)
,
(IF
(
C13766=""юридична особа""
,
VLOO"&amp;"KUP(D13766,IMPORTRANGE(""https://docs.google.com/spreadsheets/d/14Bd19lYaqBhU8_DElYkX7l4wRkHqqCUFNJY4AfY3kHU/edit?usp=sharing  #gid=0"",""фіз особи new!relations_name_uo""),7,FALSE)
,
)
))"),"КОРОБЧЕНКО Віктор Олексійович")</f>
        <v>КОРОБЧЕНКО Віктор Олексійович</v>
      </c>
      <c r="G13765" s="7" t="s">
        <v>10</v>
      </c>
      <c r="H13765" s="7">
        <v>0</v>
      </c>
      <c r="I13765" s="8" t="str">
        <f ca="1">IFERROR(__xludf.DUMMYFUNCTION("IF
(
G13766=""фізична особа""
,
VLOOKUP(H13766,IMPORTRANGE(""https://docs.google.com/spreadsheets/d/14Bd19lYaqBhU8_DElYkX7l4wRkHqqCUFNJY4AfY3kHU/edit?usp=sharing  #gid=0"",""фіз особи new!relations_name""),6,FALSE)
,
(IF
(
G13766=""юридична особа""
,
VLOO"&amp;"KUP(H13766,IMPORTRANGE(""https://docs.google.com/spreadsheets/d/14Bd19lYaqBhU8_DElYkX7l4wRkHqqCUFNJY4AfY3kHU/edit?usp=sharing  #gid=0"",""фіз особи new!relations_name_uo""),7,FALSE)
,
)
))"),"#N/A")</f>
        <v>#N/A</v>
      </c>
      <c r="J13765" s="7" t="s">
        <v>17</v>
      </c>
    </row>
    <row r="13766" spans="1:10" ht="13.2">
      <c r="A13766" s="7">
        <v>13765</v>
      </c>
      <c r="B13766" s="7">
        <v>1</v>
      </c>
      <c r="C13766" s="7" t="s">
        <v>10</v>
      </c>
      <c r="D13766" s="7">
        <v>18730</v>
      </c>
      <c r="E13766" s="7" t="s">
        <v>23</v>
      </c>
      <c r="F13766" s="8" t="str">
        <f ca="1">IFERROR(__xludf.DUMMYFUNCTION("IF
(
C13767=""фізична особа""
,
VLOOKUP(D13767,IMPORTRANGE(""https://docs.google.com/spreadsheets/d/14Bd19lYaqBhU8_DElYkX7l4wRkHqqCUFNJY4AfY3kHU/edit?usp=sharing  #gid=0"",""фіз особи new!relations_name""),6,FALSE)
,
(IF
(
C13767=""юридична особа""
,
VLOO"&amp;"KUP(D13767,IMPORTRANGE(""https://docs.google.com/spreadsheets/d/14Bd19lYaqBhU8_DElYkX7l4wRkHqqCUFNJY4AfY3kHU/edit?usp=sharing  #gid=0"",""фіз особи new!relations_name_uo""),7,FALSE)
,
)
))"),"БУЛАВІНЦЕВА / ВЛАСОВА Тетяна Володимирівна")</f>
        <v>БУЛАВІНЦЕВА / ВЛАСОВА Тетяна Володимирівна</v>
      </c>
      <c r="G13766" s="7" t="s">
        <v>10</v>
      </c>
      <c r="H13766" s="7">
        <v>23677</v>
      </c>
      <c r="I13766" s="8" t="str">
        <f ca="1">IFERROR(__xludf.DUMMYFUNCTION("IF
(
G13767=""фізична особа""
,
VLOOKUP(H13767,IMPORTRANGE(""https://docs.google.com/spreadsheets/d/14Bd19lYaqBhU8_DElYkX7l4wRkHqqCUFNJY4AfY3kHU/edit?usp=sharing  #gid=0"",""фіз особи new!relations_name""),6,FALSE)
,
(IF
(
G13767=""юридична особа""
,
VLOO"&amp;"KUP(H13767,IMPORTRANGE(""https://docs.google.com/spreadsheets/d/14Bd19lYaqBhU8_DElYkX7l4wRkHqqCUFNJY4AfY3kHU/edit?usp=sharing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66" s="7" t="s">
        <v>23</v>
      </c>
    </row>
    <row r="13767" spans="1:10" ht="13.2">
      <c r="A13767" s="7">
        <v>13766</v>
      </c>
      <c r="B13767" s="7">
        <v>1</v>
      </c>
      <c r="C13767" s="7" t="s">
        <v>10</v>
      </c>
      <c r="D13767" s="7">
        <v>18730</v>
      </c>
      <c r="E13767" s="7" t="s">
        <v>23</v>
      </c>
      <c r="F13767" s="8" t="str">
        <f ca="1">IFERROR(__xludf.DUMMYFUNCTION("IF
(
C13768=""фізична особа""
,
VLOOKUP(D13768,IMPORTRANGE(""https://docs.google.com/spreadsheets/d/14Bd19lYaqBhU8_DElYkX7l4wRkHqqCUFNJY4AfY3kHU/edit?usp=sharing  #gid=0"",""фіз особи new!relations_name""),6,FALSE)
,
(IF
(
C13768=""юридична особа""
,
VLOO"&amp;"KUP(D13768,IMPORTRANGE(""https://docs.google.com/spreadsheets/d/14Bd19lYaqBhU8_DElYkX7l4wRkHqqCUFNJY4AfY3kHU/edit?usp=sharing  #gid=0"",""фіз особи new!relations_name_uo""),7,FALSE)
,
)
))"),"БУЛАВІНЦЕВА / ВЛАСОВА Тетяна Володимирівна")</f>
        <v>БУЛАВІНЦЕВА / ВЛАСОВА Тетяна Володимирівна</v>
      </c>
      <c r="G13767" s="7" t="s">
        <v>10</v>
      </c>
      <c r="H13767" s="7">
        <v>18755</v>
      </c>
      <c r="I13767" s="8" t="str">
        <f ca="1">IFERROR(__xludf.DUMMYFUNCTION("IF
(
G13768=""фізична особа""
,
VLOOKUP(H13768,IMPORTRANGE(""https://docs.google.com/spreadsheets/d/14Bd19lYaqBhU8_DElYkX7l4wRkHqqCUFNJY4AfY3kHU/edit?usp=sharing  #gid=0"",""фіз особи new!relations_name""),6,FALSE)
,
(IF
(
G13768=""юридична особа""
,
VLOO"&amp;"KUP(H13768,IMPORTRANGE(""https://docs.google.com/spreadsheets/d/14Bd19lYaqBhU8_DElYkX7l4wRkHqqCUFNJY4AfY3kHU/edit?usp=sharing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67" s="7" t="s">
        <v>23</v>
      </c>
    </row>
    <row r="13768" spans="1:10" ht="13.2">
      <c r="A13768" s="7">
        <v>13767</v>
      </c>
      <c r="B13768" s="7">
        <v>1</v>
      </c>
      <c r="C13768" s="7" t="s">
        <v>10</v>
      </c>
      <c r="D13768" s="7">
        <v>18731</v>
      </c>
      <c r="E13768" s="7" t="s">
        <v>23</v>
      </c>
      <c r="F13768" s="8" t="str">
        <f ca="1">IFERROR(__xludf.DUMMYFUNCTION("IF
(
C13769=""фізична особа""
,
VLOOKUP(D13769,IMPORTRANGE(""https://docs.google.com/spreadsheets/d/14Bd19lYaqBhU8_DElYkX7l4wRkHqqCUFNJY4AfY3kHU/edit?usp=sharing  #gid=0"",""фіз особи new!relations_name""),6,FALSE)
,
(IF
(
C13769=""юридична особа""
,
VLOO"&amp;"KUP(D13769,IMPORTRANGE(""https://docs.google.com/spreadsheets/d/14Bd19lYaqBhU8_DElYkX7l4wRkHqqCUFNJY4AfY3kHU/edit?usp=sharing  #gid=0"",""фіз особи new!relations_name_uo""),7,FALSE)
,
)
))"),"ЧЕРЕМІСІН Володимир Олександрович")</f>
        <v>ЧЕРЕМІСІН Володимир Олександрович</v>
      </c>
      <c r="G13768" s="7" t="s">
        <v>10</v>
      </c>
      <c r="H13768" s="7">
        <v>23677</v>
      </c>
      <c r="I13768" s="8" t="str">
        <f ca="1">IFERROR(__xludf.DUMMYFUNCTION("IF
(
G13769=""фізична особа""
,
VLOOKUP(H13769,IMPORTRANGE(""https://docs.google.com/spreadsheets/d/14Bd19lYaqBhU8_DElYkX7l4wRkHqqCUFNJY4AfY3kHU/edit?usp=sharing  #gid=0"",""фіз особи new!relations_name""),6,FALSE)
,
(IF
(
G13769=""юридична особа""
,
VLOO"&amp;"KUP(H13769,IMPORTRANGE(""https://docs.google.com/spreadsheets/d/14Bd19lYaqBhU8_DElYkX7l4wRkHqqCUFNJY4AfY3kHU/edit?usp=sharing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68" s="7" t="s">
        <v>23</v>
      </c>
    </row>
    <row r="13769" spans="1:10" ht="13.2">
      <c r="A13769" s="7">
        <v>13768</v>
      </c>
      <c r="B13769" s="7">
        <v>1</v>
      </c>
      <c r="C13769" s="7" t="s">
        <v>10</v>
      </c>
      <c r="D13769" s="7">
        <v>18731</v>
      </c>
      <c r="E13769" s="7" t="s">
        <v>23</v>
      </c>
      <c r="F13769" s="8" t="str">
        <f ca="1">IFERROR(__xludf.DUMMYFUNCTION("IF
(
C13770=""фізична особа""
,
VLOOKUP(D13770,IMPORTRANGE(""https://docs.google.com/spreadsheets/d/14Bd19lYaqBhU8_DElYkX7l4wRkHqqCUFNJY4AfY3kHU/edit?usp=sharing  #gid=0"",""фіз особи new!relations_name""),6,FALSE)
,
(IF
(
C13770=""юридична особа""
,
VLOO"&amp;"KUP(D13770,IMPORTRANGE(""https://docs.google.com/spreadsheets/d/14Bd19lYaqBhU8_DElYkX7l4wRkHqqCUFNJY4AfY3kHU/edit?usp=sharing  #gid=0"",""фіз особи new!relations_name_uo""),7,FALSE)
,
)
))"),"ЧЕРЕМІСІН Володимир Олександрович")</f>
        <v>ЧЕРЕМІСІН Володимир Олександрович</v>
      </c>
      <c r="G13769" s="7" t="s">
        <v>10</v>
      </c>
      <c r="H13769" s="7">
        <v>18755</v>
      </c>
      <c r="I13769" s="8" t="str">
        <f ca="1">IFERROR(__xludf.DUMMYFUNCTION("IF
(
G13770=""фізична особа""
,
VLOOKUP(H13770,IMPORTRANGE(""https://docs.google.com/spreadsheets/d/14Bd19lYaqBhU8_DElYkX7l4wRkHqqCUFNJY4AfY3kHU/edit?usp=sharing  #gid=0"",""фіз особи new!relations_name""),6,FALSE)
,
(IF
(
G13770=""юридична особа""
,
VLOO"&amp;"KUP(H13770,IMPORTRANGE(""https://docs.google.com/spreadsheets/d/14Bd19lYaqBhU8_DElYkX7l4wRkHqqCUFNJY4AfY3kHU/edit?usp=sharing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69" s="7" t="s">
        <v>23</v>
      </c>
    </row>
    <row r="13770" spans="1:10" ht="13.2">
      <c r="A13770" s="7">
        <v>13769</v>
      </c>
      <c r="B13770" s="7">
        <v>1</v>
      </c>
      <c r="C13770" s="7" t="s">
        <v>10</v>
      </c>
      <c r="D13770" s="7">
        <v>18732</v>
      </c>
      <c r="E13770" s="7" t="s">
        <v>23</v>
      </c>
      <c r="F13770" s="8" t="str">
        <f ca="1">IFERROR(__xludf.DUMMYFUNCTION("IF
(
C13771=""фізична особа""
,
VLOOKUP(D13771,IMPORTRANGE(""https://docs.google.com/spreadsheets/d/14Bd19lYaqBhU8_DElYkX7l4wRkHqqCUFNJY4AfY3kHU/edit?usp=sharing  #gid=0"",""фіз особи new!relations_name""),6,FALSE)
,
(IF
(
C13771=""юридична особа""
,
VLOO"&amp;"KUP(D13771,IMPORTRANGE(""https://docs.google.com/spreadsheets/d/14Bd19lYaqBhU8_DElYkX7l4wRkHqqCUFNJY4AfY3kHU/edit?usp=sharing  #gid=0"",""фіз особи new!relations_name_uo""),7,FALSE)
,
)
))"),"КАСЬЯНОВ Ігор Леонідович")</f>
        <v>КАСЬЯНОВ Ігор Леонідович</v>
      </c>
      <c r="G13770" s="7" t="s">
        <v>10</v>
      </c>
      <c r="H13770" s="7">
        <v>23677</v>
      </c>
      <c r="I13770" s="8" t="str">
        <f ca="1">IFERROR(__xludf.DUMMYFUNCTION("IF
(
G13771=""фізична особа""
,
VLOOKUP(H13771,IMPORTRANGE(""https://docs.google.com/spreadsheets/d/14Bd19lYaqBhU8_DElYkX7l4wRkHqqCUFNJY4AfY3kHU/edit?usp=sharing  #gid=0"",""фіз особи new!relations_name""),6,FALSE)
,
(IF
(
G13771=""юридична особа""
,
VLOO"&amp;"KUP(H13771,IMPORTRANGE(""https://docs.google.com/spreadsheets/d/14Bd19lYaqBhU8_DElYkX7l4wRkHqqCUFNJY4AfY3kHU/edit?usp=sharing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70" s="7" t="s">
        <v>23</v>
      </c>
    </row>
    <row r="13771" spans="1:10" ht="13.2">
      <c r="A13771" s="7">
        <v>13770</v>
      </c>
      <c r="B13771" s="7">
        <v>1</v>
      </c>
      <c r="C13771" s="7" t="s">
        <v>10</v>
      </c>
      <c r="D13771" s="7">
        <v>18732</v>
      </c>
      <c r="E13771" s="7" t="s">
        <v>23</v>
      </c>
      <c r="F13771" s="8" t="str">
        <f ca="1">IFERROR(__xludf.DUMMYFUNCTION("IF
(
C13772=""фізична особа""
,
VLOOKUP(D13772,IMPORTRANGE(""https://docs.google.com/spreadsheets/d/14Bd19lYaqBhU8_DElYkX7l4wRkHqqCUFNJY4AfY3kHU/edit?usp=sharing  #gid=0"",""фіз особи new!relations_name""),6,FALSE)
,
(IF
(
C13772=""юридична особа""
,
VLOO"&amp;"KUP(D13772,IMPORTRANGE(""https://docs.google.com/spreadsheets/d/14Bd19lYaqBhU8_DElYkX7l4wRkHqqCUFNJY4AfY3kHU/edit?usp=sharing  #gid=0"",""фіз особи new!relations_name_uo""),7,FALSE)
,
)
))"),"КАСЬЯНОВ Ігор Леонідович")</f>
        <v>КАСЬЯНОВ Ігор Леонідович</v>
      </c>
      <c r="G13771" s="7" t="s">
        <v>10</v>
      </c>
      <c r="H13771" s="7">
        <v>18755</v>
      </c>
      <c r="I13771" s="8" t="str">
        <f ca="1">IFERROR(__xludf.DUMMYFUNCTION("IF
(
G13772=""фізична особа""
,
VLOOKUP(H13772,IMPORTRANGE(""https://docs.google.com/spreadsheets/d/14Bd19lYaqBhU8_DElYkX7l4wRkHqqCUFNJY4AfY3kHU/edit?usp=sharing  #gid=0"",""фіз особи new!relations_name""),6,FALSE)
,
(IF
(
G13772=""юридична особа""
,
VLOO"&amp;"KUP(H13772,IMPORTRANGE(""https://docs.google.com/spreadsheets/d/14Bd19lYaqBhU8_DElYkX7l4wRkHqqCUFNJY4AfY3kHU/edit?usp=sharing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71" s="7" t="s">
        <v>23</v>
      </c>
    </row>
    <row r="13772" spans="1:10" ht="13.2">
      <c r="A13772" s="7">
        <v>13771</v>
      </c>
      <c r="B13772" s="7">
        <v>1</v>
      </c>
      <c r="C13772" s="7" t="s">
        <v>10</v>
      </c>
      <c r="D13772" s="7">
        <v>18732</v>
      </c>
      <c r="E13772" s="7" t="s">
        <v>23</v>
      </c>
      <c r="F13772" s="8" t="str">
        <f ca="1">IFERROR(__xludf.DUMMYFUNCTION("IF
(
C13773=""фізична особа""
,
VLOOKUP(D13773,IMPORTRANGE(""https://docs.google.com/spreadsheets/d/14Bd19lYaqBhU8_DElYkX7l4wRkHqqCUFNJY4AfY3kHU/edit?usp=sharing  #gid=0"",""фіз особи new!relations_name""),6,FALSE)
,
(IF
(
C13773=""юридична особа""
,
VLOO"&amp;"KUP(D13773,IMPORTRANGE(""https://docs.google.com/spreadsheets/d/14Bd19lYaqBhU8_DElYkX7l4wRkHqqCUFNJY4AfY3kHU/edit?usp=sharing  #gid=0"",""фіз особи new!relations_name_uo""),7,FALSE)
,
)
))"),"КАСЬЯНОВ Ігор Леонідович")</f>
        <v>КАСЬЯНОВ Ігор Леонідович</v>
      </c>
      <c r="G13772" s="7" t="s">
        <v>10</v>
      </c>
      <c r="H13772" s="7">
        <v>23677</v>
      </c>
      <c r="I13772" s="8" t="str">
        <f ca="1">IFERROR(__xludf.DUMMYFUNCTION("IF
(
G13773=""фізична особа""
,
VLOOKUP(H13773,IMPORTRANGE(""https://docs.google.com/spreadsheets/d/14Bd19lYaqBhU8_DElYkX7l4wRkHqqCUFNJY4AfY3kHU/edit?usp=sharing  #gid=0"",""фіз особи new!relations_name""),6,FALSE)
,
(IF
(
G13773=""юридична особа""
,
VLOO"&amp;"KUP(H13773,IMPORTRANGE(""https://docs.google.com/spreadsheets/d/14Bd19lYaqBhU8_DElYkX7l4wRkHqqCUFNJY4AfY3kHU/edit?usp=sharing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72" s="7" t="s">
        <v>23</v>
      </c>
    </row>
    <row r="13773" spans="1:10" ht="13.2">
      <c r="A13773" s="7">
        <v>13772</v>
      </c>
      <c r="B13773" s="7">
        <v>1</v>
      </c>
      <c r="C13773" s="7" t="s">
        <v>10</v>
      </c>
      <c r="D13773" s="7">
        <v>18732</v>
      </c>
      <c r="E13773" s="7" t="s">
        <v>23</v>
      </c>
      <c r="F13773" s="8" t="str">
        <f ca="1">IFERROR(__xludf.DUMMYFUNCTION("IF
(
C13774=""фізична особа""
,
VLOOKUP(D13774,IMPORTRANGE(""https://docs.google.com/spreadsheets/d/14Bd19lYaqBhU8_DElYkX7l4wRkHqqCUFNJY4AfY3kHU/edit?usp=sharing  #gid=0"",""фіз особи new!relations_name""),6,FALSE)
,
(IF
(
C13774=""юридична особа""
,
VLOO"&amp;"KUP(D13774,IMPORTRANGE(""https://docs.google.com/spreadsheets/d/14Bd19lYaqBhU8_DElYkX7l4wRkHqqCUFNJY4AfY3kHU/edit?usp=sharing  #gid=0"",""фіз особи new!relations_name_uo""),7,FALSE)
,
)
))"),"КАСЬЯНОВ Ігор Леонідович")</f>
        <v>КАСЬЯНОВ Ігор Леонідович</v>
      </c>
      <c r="G13773" s="7" t="s">
        <v>10</v>
      </c>
      <c r="H13773" s="7">
        <v>18755</v>
      </c>
      <c r="I13773" s="8" t="str">
        <f ca="1">IFERROR(__xludf.DUMMYFUNCTION("IF
(
G13774=""фізична особа""
,
VLOOKUP(H13774,IMPORTRANGE(""https://docs.google.com/spreadsheets/d/14Bd19lYaqBhU8_DElYkX7l4wRkHqqCUFNJY4AfY3kHU/edit?usp=sharing  #gid=0"",""фіз особи new!relations_name""),6,FALSE)
,
(IF
(
G13774=""юридична особа""
,
VLOO"&amp;"KUP(H13774,IMPORTRANGE(""https://docs.google.com/spreadsheets/d/14Bd19lYaqBhU8_DElYkX7l4wRkHqqCUFNJY4AfY3kHU/edit?usp=sharing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73" s="7" t="s">
        <v>23</v>
      </c>
    </row>
    <row r="13774" spans="1:10" ht="13.2">
      <c r="A13774" s="7">
        <v>13773</v>
      </c>
      <c r="B13774" s="7">
        <v>1</v>
      </c>
      <c r="C13774" s="7" t="s">
        <v>10</v>
      </c>
      <c r="D13774" s="7">
        <v>18755</v>
      </c>
      <c r="E13774" s="7" t="s">
        <v>23</v>
      </c>
      <c r="F13774" s="8" t="str">
        <f ca="1">IFERROR(__xludf.DUMMYFUNCTION("IF
(
C13775=""фізична особа""
,
VLOOKUP(D13775,IMPORTRANGE(""https://docs.google.com/spreadsheets/d/14Bd19lYaqBhU8_DElYkX7l4wRkHqqCUFNJY4AfY3kHU/edit?usp=sharing  #gid=0"",""фіз особи new!relations_name""),6,FALSE)
,
(IF
(
C13775=""юридична особа""
,
VLOO"&amp;"KUP(D13775,IMPORTRANGE(""https://docs.google.com/spreadsheets/d/14Bd19lYaqBhU8_DElYkX7l4wRkHqqCUFNJY4AfY3kHU/edit?usp=sharing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G13774" s="7" t="s">
        <v>10</v>
      </c>
      <c r="H13774" s="7">
        <v>23677</v>
      </c>
      <c r="I13774" s="8" t="str">
        <f ca="1">IFERROR(__xludf.DUMMYFUNCTION("IF
(
G13775=""фізична особа""
,
VLOOKUP(H13775,IMPORTRANGE(""https://docs.google.com/spreadsheets/d/14Bd19lYaqBhU8_DElYkX7l4wRkHqqCUFNJY4AfY3kHU/edit?usp=sharing  #gid=0"",""фіз особи new!relations_name""),6,FALSE)
,
(IF
(
G13775=""юридична особа""
,
VLOO"&amp;"KUP(H13775,IMPORTRANGE(""https://docs.google.com/spreadsheets/d/14Bd19lYaqBhU8_DElYkX7l4wRkHqqCUFNJY4AfY3kHU/edit?usp=sharing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74" s="7" t="s">
        <v>23</v>
      </c>
    </row>
    <row r="13775" spans="1:10" ht="13.2">
      <c r="A13775" s="7">
        <v>13774</v>
      </c>
      <c r="B13775" s="7">
        <v>1</v>
      </c>
      <c r="C13775" s="7" t="s">
        <v>10</v>
      </c>
      <c r="D13775" s="7">
        <v>18756</v>
      </c>
      <c r="E13775" s="7" t="s">
        <v>23</v>
      </c>
      <c r="F13775" s="8" t="str">
        <f ca="1">IFERROR(__xludf.DUMMYFUNCTION("IF
(
C13776=""фізична особа""
,
VLOOKUP(D13776,IMPORTRANGE(""https://docs.google.com/spreadsheets/d/14Bd19lYaqBhU8_DElYkX7l4wRkHqqCUFNJY4AfY3kHU/edit?usp=sharing  #gid=0"",""фіз особи new!relations_name""),6,FALSE)
,
(IF
(
C13776=""юридична особа""
,
VLOO"&amp;"KUP(D13776,IMPORTRANGE(""https://docs.google.com/spreadsheets/d/14Bd19lYaqBhU8_DElYkX7l4wRkHqqCUFNJY4AfY3kHU/edit?usp=sharing  #gid=0"",""фіз особи new!relations_name_uo""),7,FALSE)
,
)
))"),"БОГДАШКІНА / БАГДАШКІНА Наталія Петрівна")</f>
        <v>БОГДАШКІНА / БАГДАШКІНА Наталія Петрівна</v>
      </c>
      <c r="G13775" s="7" t="s">
        <v>10</v>
      </c>
      <c r="H13775" s="7">
        <v>23677</v>
      </c>
      <c r="I13775" s="8" t="str">
        <f ca="1">IFERROR(__xludf.DUMMYFUNCTION("IF
(
G13776=""фізична особа""
,
VLOOKUP(H13776,IMPORTRANGE(""https://docs.google.com/spreadsheets/d/14Bd19lYaqBhU8_DElYkX7l4wRkHqqCUFNJY4AfY3kHU/edit?usp=sharing  #gid=0"",""фіз особи new!relations_name""),6,FALSE)
,
(IF
(
G13776=""юридична особа""
,
VLOO"&amp;"KUP(H13776,IMPORTRANGE(""https://docs.google.com/spreadsheets/d/14Bd19lYaqBhU8_DElYkX7l4wRkHqqCUFNJY4AfY3kHU/edit?usp=sharing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75" s="7" t="s">
        <v>23</v>
      </c>
    </row>
    <row r="13776" spans="1:10" ht="13.2">
      <c r="A13776" s="7">
        <v>13775</v>
      </c>
      <c r="B13776" s="7">
        <v>1</v>
      </c>
      <c r="C13776" s="7" t="s">
        <v>10</v>
      </c>
      <c r="D13776" s="7">
        <v>18756</v>
      </c>
      <c r="E13776" s="7" t="s">
        <v>23</v>
      </c>
      <c r="F13776" s="8" t="str">
        <f ca="1">IFERROR(__xludf.DUMMYFUNCTION("IF
(
C13777=""фізична особа""
,
VLOOKUP(D13777,IMPORTRANGE(""https://docs.google.com/spreadsheets/d/14Bd19lYaqBhU8_DElYkX7l4wRkHqqCUFNJY4AfY3kHU/edit?usp=sharing  #gid=0"",""фіз особи new!relations_name""),6,FALSE)
,
(IF
(
C13777=""юридична особа""
,
VLOO"&amp;"KUP(D13777,IMPORTRANGE(""https://docs.google.com/spreadsheets/d/14Bd19lYaqBhU8_DElYkX7l4wRkHqqCUFNJY4AfY3kHU/edit?usp=sharing  #gid=0"",""фіз особи new!relations_name_uo""),7,FALSE)
,
)
))"),"БОГДАШКІНА / БАГДАШКІНА Наталія Петрівна")</f>
        <v>БОГДАШКІНА / БАГДАШКІНА Наталія Петрівна</v>
      </c>
      <c r="G13776" s="7" t="s">
        <v>10</v>
      </c>
      <c r="H13776" s="7">
        <v>18755</v>
      </c>
      <c r="I13776" s="8" t="str">
        <f ca="1">IFERROR(__xludf.DUMMYFUNCTION("IF
(
G13777=""фізична особа""
,
VLOOKUP(H13777,IMPORTRANGE(""https://docs.google.com/spreadsheets/d/14Bd19lYaqBhU8_DElYkX7l4wRkHqqCUFNJY4AfY3kHU/edit?usp=sharing  #gid=0"",""фіз особи new!relations_name""),6,FALSE)
,
(IF
(
G13777=""юридична особа""
,
VLOO"&amp;"KUP(H13777,IMPORTRANGE(""https://docs.google.com/spreadsheets/d/14Bd19lYaqBhU8_DElYkX7l4wRkHqqCUFNJY4AfY3kHU/edit?usp=sharing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76" s="7" t="s">
        <v>23</v>
      </c>
    </row>
    <row r="13777" spans="1:10" ht="13.2">
      <c r="A13777" s="7">
        <v>13776</v>
      </c>
      <c r="B13777" s="7">
        <v>1</v>
      </c>
      <c r="C13777" s="7" t="s">
        <v>10</v>
      </c>
      <c r="D13777" s="7">
        <v>18757</v>
      </c>
      <c r="E13777" s="7" t="s">
        <v>23</v>
      </c>
      <c r="F13777" s="8" t="str">
        <f ca="1">IFERROR(__xludf.DUMMYFUNCTION("IF
(
C13778=""фізична особа""
,
VLOOKUP(D13778,IMPORTRANGE(""https://docs.google.com/spreadsheets/d/14Bd19lYaqBhU8_DElYkX7l4wRkHqqCUFNJY4AfY3kHU/edit?usp=sharing  #gid=0"",""фіз особи new!relations_name""),6,FALSE)
,
(IF
(
C13778=""юридична особа""
,
VLOO"&amp;"KUP(D13778,IMPORTRANGE(""https://docs.google.com/spreadsheets/d/14Bd19lYaqBhU8_DElYkX7l4wRkHqqCUFNJY4AfY3kHU/edit?usp=sharing  #gid=0"",""фіз особи new!relations_name_uo""),7,FALSE)
,
)
))"),"СОРОКІН Олег Анатолійович")</f>
        <v>СОРОКІН Олег Анатолійович</v>
      </c>
      <c r="G13777" s="7" t="s">
        <v>10</v>
      </c>
      <c r="H13777" s="7">
        <v>23677</v>
      </c>
      <c r="I13777" s="8" t="str">
        <f ca="1">IFERROR(__xludf.DUMMYFUNCTION("IF
(
G13778=""фізична особа""
,
VLOOKUP(H13778,IMPORTRANGE(""https://docs.google.com/spreadsheets/d/14Bd19lYaqBhU8_DElYkX7l4wRkHqqCUFNJY4AfY3kHU/edit?usp=sharing  #gid=0"",""фіз особи new!relations_name""),6,FALSE)
,
(IF
(
G13778=""юридична особа""
,
VLOO"&amp;"KUP(H13778,IMPORTRANGE(""https://docs.google.com/spreadsheets/d/14Bd19lYaqBhU8_DElYkX7l4wRkHqqCUFNJY4AfY3kHU/edit?usp=sharing  #gid=0"",""фіз особи new!relations_name_uo""),7,FALSE)
,
)
))"),"ПАНФІЛОВ Юрій Васильович")</f>
        <v>ПАНФІЛОВ Юрій Васильович</v>
      </c>
      <c r="J13777" s="7" t="s">
        <v>23</v>
      </c>
    </row>
    <row r="13778" spans="1:10" ht="13.2">
      <c r="A13778" s="7">
        <v>13777</v>
      </c>
      <c r="B13778" s="7">
        <v>1</v>
      </c>
      <c r="C13778" s="7" t="s">
        <v>10</v>
      </c>
      <c r="D13778" s="7">
        <v>18757</v>
      </c>
      <c r="E13778" s="7" t="s">
        <v>23</v>
      </c>
      <c r="F13778" s="8" t="str">
        <f ca="1">IFERROR(__xludf.DUMMYFUNCTION("IF
(
C13779=""фізична особа""
,
VLOOKUP(D13779,IMPORTRANGE(""https://docs.google.com/spreadsheets/d/14Bd19lYaqBhU8_DElYkX7l4wRkHqqCUFNJY4AfY3kHU/edit?usp=sharing  #gid=0"",""фіз особи new!relations_name""),6,FALSE)
,
(IF
(
C13779=""юридична особа""
,
VLOO"&amp;"KUP(D13779,IMPORTRANGE(""https://docs.google.com/spreadsheets/d/14Bd19lYaqBhU8_DElYkX7l4wRkHqqCUFNJY4AfY3kHU/edit?usp=sharing  #gid=0"",""фіз особи new!relations_name_uo""),7,FALSE)
,
)
))"),"СОРОКІН Олег Анатолійович")</f>
        <v>СОРОКІН Олег Анатолійович</v>
      </c>
      <c r="G13778" s="7" t="s">
        <v>10</v>
      </c>
      <c r="H13778" s="7">
        <v>18755</v>
      </c>
      <c r="I13778" s="8" t="str">
        <f ca="1">IFERROR(__xludf.DUMMYFUNCTION("IF
(
G13779=""фізична особа""
,
VLOOKUP(H13779,IMPORTRANGE(""https://docs.google.com/spreadsheets/d/14Bd19lYaqBhU8_DElYkX7l4wRkHqqCUFNJY4AfY3kHU/edit?usp=sharing  #gid=0"",""фіз особи new!relations_name""),6,FALSE)
,
(IF
(
G13779=""юридична особа""
,
VLOO"&amp;"KUP(H13779,IMPORTRANGE(""https://docs.google.com/spreadsheets/d/14Bd19lYaqBhU8_DElYkX7l4wRkHqqCUFNJY4AfY3kHU/edit?usp=sharing  #gid=0"",""фіз особи new!relations_name_uo""),7,FALSE)
,
)
))"),"СИНЕЛЬЩИКОВА Наталія Юріївна")</f>
        <v>СИНЕЛЬЩИКОВА Наталія Юріївна</v>
      </c>
      <c r="J13778" s="7" t="s">
        <v>23</v>
      </c>
    </row>
    <row r="13779" spans="1:10" ht="13.2">
      <c r="A13779" s="7">
        <v>13778</v>
      </c>
      <c r="B13779" s="7">
        <v>1</v>
      </c>
      <c r="C13779" s="7" t="s">
        <v>10</v>
      </c>
      <c r="D13779" s="7">
        <v>18758</v>
      </c>
      <c r="E13779" s="7" t="s">
        <v>23</v>
      </c>
      <c r="F13779" s="8" t="str">
        <f ca="1">IFERROR(__xludf.DUMMYFUNCTION("IF
(
C13780=""фізична особа""
,
VLOOKUP(D13780,IMPORTRANGE(""https://docs.google.com/spreadsheets/d/14Bd19lYaqBhU8_DElYkX7l4wRkHqqCUFNJY4AfY3kHU/edit?usp=sharing  #gid=0"",""фіз особи new!relations_name""),6,FALSE)
,
(IF
(
C13780=""юридична особа""
,
VLOO"&amp;"KUP(D13780,IMPORTRANGE(""https://docs.google.com/spreadsheets/d/14Bd19lYaqBhU8_DElYkX7l4wRkHqqCUFNJY4AfY3kHU/edit?usp=sharing  #gid=0"",""фіз особи new!relations_name_uo""),7,FALSE)
,
)
))"),"ПОПОВА Надія Василівна")</f>
        <v>ПОПОВА Надія Василівна</v>
      </c>
      <c r="G13779" s="7" t="s">
        <v>10</v>
      </c>
      <c r="H13779" s="7">
        <v>18362</v>
      </c>
      <c r="I13779" s="8" t="str">
        <f ca="1">IFERROR(__xludf.DUMMYFUNCTION("IF
(
G13780=""фізична особа""
,
VLOOKUP(H13780,IMPORTRANGE(""https://docs.google.com/spreadsheets/d/14Bd19lYaqBhU8_DElYkX7l4wRkHqqCUFNJY4AfY3kHU/edit?usp=sharing  #gid=0"",""фіз особи new!relations_name""),6,FALSE)
,
(IF
(
G13780=""юридична особа""
,
VLOO"&amp;"KUP(H13780,IMPORTRANGE(""https://docs.google.com/spreadsheets/d/14Bd19lYaqBhU8_DElYkX7l4wRkHqqCUFNJY4AfY3kHU/edit?usp=sharing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779" s="7" t="s">
        <v>23</v>
      </c>
    </row>
    <row r="13780" spans="1:10" ht="13.2">
      <c r="A13780" s="7">
        <v>13779</v>
      </c>
      <c r="B13780" s="7">
        <v>1</v>
      </c>
      <c r="C13780" s="7" t="s">
        <v>10</v>
      </c>
      <c r="D13780" s="7">
        <v>18759</v>
      </c>
      <c r="E13780" s="7" t="s">
        <v>23</v>
      </c>
      <c r="F13780" s="8" t="str">
        <f ca="1">IFERROR(__xludf.DUMMYFUNCTION("IF
(
C13781=""фізична особа""
,
VLOOKUP(D13781,IMPORTRANGE(""https://docs.google.com/spreadsheets/d/14Bd19lYaqBhU8_DElYkX7l4wRkHqqCUFNJY4AfY3kHU/edit?usp=sharing  #gid=0"",""фіз особи new!relations_name""),6,FALSE)
,
(IF
(
C13781=""юридична особа""
,
VLOO"&amp;"KUP(D13781,IMPORTRANGE(""https://docs.google.com/spreadsheets/d/14Bd19lYaqBhU8_DElYkX7l4wRkHqqCUFNJY4AfY3kHU/edit?usp=sharing  #gid=0"",""фіз особи new!relations_name_uo""),7,FALSE)
,
)
))"),"БАРАНОВ Леонід Леонідович")</f>
        <v>БАРАНОВ Леонід Леонідович</v>
      </c>
      <c r="G13780" s="7" t="s">
        <v>10</v>
      </c>
      <c r="H13780" s="7">
        <v>18362</v>
      </c>
      <c r="I13780" s="8" t="str">
        <f ca="1">IFERROR(__xludf.DUMMYFUNCTION("IF
(
G13781=""фізична особа""
,
VLOOKUP(H13781,IMPORTRANGE(""https://docs.google.com/spreadsheets/d/14Bd19lYaqBhU8_DElYkX7l4wRkHqqCUFNJY4AfY3kHU/edit?usp=sharing  #gid=0"",""фіз особи new!relations_name""),6,FALSE)
,
(IF
(
G13781=""юридична особа""
,
VLOO"&amp;"KUP(H13781,IMPORTRANGE(""https://docs.google.com/spreadsheets/d/14Bd19lYaqBhU8_DElYkX7l4wRkHqqCUFNJY4AfY3kHU/edit?usp=sharing  #gid=0"",""фіз особи new!relations_name_uo""),7,FALSE)
,
)
))"),"ОБЛОГІН Сергій Володимирович")</f>
        <v>ОБЛОГІН Сергій Володимирович</v>
      </c>
      <c r="J13780" s="7" t="s">
        <v>23</v>
      </c>
    </row>
    <row r="13781" spans="1:10" ht="13.2">
      <c r="A13781" s="7">
        <v>13780</v>
      </c>
      <c r="B13781" s="7">
        <v>1</v>
      </c>
      <c r="C13781" s="7" t="s">
        <v>10</v>
      </c>
      <c r="D13781" s="7">
        <v>18760</v>
      </c>
      <c r="E13781" s="7" t="s">
        <v>23</v>
      </c>
      <c r="F13781" s="8" t="str">
        <f ca="1">IFERROR(__xludf.DUMMYFUNCTION("IF
(
C13782=""фізична особа""
,
VLOOKUP(D13782,IMPORTRANGE(""https://docs.google.com/spreadsheets/d/14Bd19lYaqBhU8_DElYkX7l4wRkHqqCUFNJY4AfY3kHU/edit?usp=sharing  #gid=0"",""фіз особи new!relations_name""),6,FALSE)
,
(IF
(
C13782=""юридична особа""
,
VLOO"&amp;"KUP(D13782,IMPORTRANGE(""https://docs.google.com/spreadsheets/d/14Bd19lYaqBhU8_DElYkX7l4wRkHqqCUFNJY4AfY3kHU/edit?usp=sharing  #gid=0"",""фіз особи new!relations_name_uo""),7,FALSE)
,
)
))"),"ЄЛАГІН Олексій Іванович")</f>
        <v>ЄЛАГІН Олексій Іванович</v>
      </c>
      <c r="G13781" s="7" t="s">
        <v>10</v>
      </c>
      <c r="H13781" s="7">
        <v>27</v>
      </c>
      <c r="I13781" s="8" t="str">
        <f ca="1">IFERROR(__xludf.DUMMYFUNCTION("IF
(
G13782=""фізична особа""
,
VLOOKUP(H13782,IMPORTRANGE(""https://docs.google.com/spreadsheets/d/14Bd19lYaqBhU8_DElYkX7l4wRkHqqCUFNJY4AfY3kHU/edit?usp=sharing  #gid=0"",""фіз особи new!relations_name""),6,FALSE)
,
(IF
(
G13782=""юридична особа""
,
VLOO"&amp;"KUP(H13782,IMPORTRANGE(""https://docs.google.com/spreadsheets/d/14Bd19lYaqBhU8_DElYkX7l4wRkHqqCUFNJY4AfY3kHU/edit?usp=sharing  #gid=0"",""фіз особи new!relations_name_uo""),7,FALSE)
,
)
))"),"ПЕЧАТНІКОВ Анатолій Юрійович")</f>
        <v>ПЕЧАТНІКОВ Анатолій Юрійович</v>
      </c>
      <c r="J13781" s="7" t="s">
        <v>23</v>
      </c>
    </row>
    <row r="13782" spans="1:10" ht="13.2">
      <c r="A13782" s="7">
        <v>13781</v>
      </c>
      <c r="B13782" s="7">
        <v>1</v>
      </c>
      <c r="C13782" s="7" t="s">
        <v>10</v>
      </c>
      <c r="D13782" s="7">
        <v>18760</v>
      </c>
      <c r="E13782" s="7" t="s">
        <v>23</v>
      </c>
      <c r="F13782" s="8" t="str">
        <f ca="1">IFERROR(__xludf.DUMMYFUNCTION("IF
(
C13783=""фізична особа""
,
VLOOKUP(D13783,IMPORTRANGE(""https://docs.google.com/spreadsheets/d/14Bd19lYaqBhU8_DElYkX7l4wRkHqqCUFNJY4AfY3kHU/edit?usp=sharing  #gid=0"",""фіз особи new!relations_name""),6,FALSE)
,
(IF
(
C13783=""юридична особа""
,
VLOO"&amp;"KUP(D13783,IMPORTRANGE(""https://docs.google.com/spreadsheets/d/14Bd19lYaqBhU8_DElYkX7l4wRkHqqCUFNJY4AfY3kHU/edit?usp=sharing  #gid=0"",""фіз особи new!relations_name_uo""),7,FALSE)
,
)
))"),"ЄЛАГІН Олексій Іванович")</f>
        <v>ЄЛАГІН Олексій Іванович</v>
      </c>
      <c r="G13782" s="7" t="s">
        <v>10</v>
      </c>
      <c r="H13782" s="7">
        <v>16561</v>
      </c>
      <c r="I13782" s="8" t="str">
        <f ca="1">IFERROR(__xludf.DUMMYFUNCTION("IF
(
G13783=""фізична особа""
,
VLOOKUP(H13783,IMPORTRANGE(""https://docs.google.com/spreadsheets/d/14Bd19lYaqBhU8_DElYkX7l4wRkHqqCUFNJY4AfY3kHU/edit?usp=sharing  #gid=0"",""фіз особи new!relations_name""),6,FALSE)
,
(IF
(
G13783=""юридична особа""
,
VLOO"&amp;"KUP(H13783,IMPORTRANGE(""https://docs.google.com/spreadsheets/d/14Bd19lYaqBhU8_DElYkX7l4wRkHqqCUFNJY4AfY3kHU/edit?usp=sharing  #gid=0"",""фіз особи new!relations_name_uo""),7,FALSE)
,
)
))"),"РЕШЕТНІКОВ Вячеслав Петрович")</f>
        <v>РЕШЕТНІКОВ Вячеслав Петрович</v>
      </c>
      <c r="J13782" s="7" t="s">
        <v>23</v>
      </c>
    </row>
    <row r="13783" spans="1:10" ht="13.2">
      <c r="A13783" s="7">
        <v>13782</v>
      </c>
      <c r="B13783" s="7">
        <v>1</v>
      </c>
      <c r="C13783" s="7" t="s">
        <v>10</v>
      </c>
      <c r="D13783" s="7">
        <v>18760</v>
      </c>
      <c r="E13783" s="7" t="s">
        <v>23</v>
      </c>
      <c r="F13783" s="8" t="str">
        <f ca="1">IFERROR(__xludf.DUMMYFUNCTION("IF
(
C13784=""фізична особа""
,
VLOOKUP(D13784,IMPORTRANGE(""https://docs.google.com/spreadsheets/d/14Bd19lYaqBhU8_DElYkX7l4wRkHqqCUFNJY4AfY3kHU/edit?usp=sharing  #gid=0"",""фіз особи new!relations_name""),6,FALSE)
,
(IF
(
C13784=""юридична особа""
,
VLOO"&amp;"KUP(D13784,IMPORTRANGE(""https://docs.google.com/spreadsheets/d/14Bd19lYaqBhU8_DElYkX7l4wRkHqqCUFNJY4AfY3kHU/edit?usp=sharing  #gid=0"",""фіз особи new!relations_name_uo""),7,FALSE)
,
)
))"),"ЄЛАГІН Олексій Іванович")</f>
        <v>ЄЛАГІН Олексій Іванович</v>
      </c>
      <c r="G13783" s="7" t="s">
        <v>10</v>
      </c>
      <c r="H13783" s="7">
        <v>0</v>
      </c>
      <c r="I13783" s="8" t="str">
        <f ca="1">IFERROR(__xludf.DUMMYFUNCTION("IF
(
G13784=""фізична особа""
,
VLOOKUP(H13784,IMPORTRANGE(""https://docs.google.com/spreadsheets/d/14Bd19lYaqBhU8_DElYkX7l4wRkHqqCUFNJY4AfY3kHU/edit?usp=sharing  #gid=0"",""фіз особи new!relations_name""),6,FALSE)
,
(IF
(
G13784=""юридична особа""
,
VLOO"&amp;"KUP(H13784,IMPORTRANGE(""https://docs.google.com/spreadsheets/d/14Bd19lYaqBhU8_DElYkX7l4wRkHqqCUFNJY4AfY3kHU/edit?usp=sharing  #gid=0"",""фіз особи new!relations_name_uo""),7,FALSE)
,
)
))"),"#N/A")</f>
        <v>#N/A</v>
      </c>
      <c r="J13783" s="7" t="s">
        <v>23</v>
      </c>
    </row>
    <row r="13784" spans="1:10" ht="13.2">
      <c r="A13784" s="7">
        <v>13783</v>
      </c>
      <c r="B13784" s="7">
        <v>1</v>
      </c>
      <c r="C13784" s="7" t="s">
        <v>10</v>
      </c>
      <c r="D13784" s="7">
        <v>18761</v>
      </c>
      <c r="E13784" s="7" t="s">
        <v>23</v>
      </c>
      <c r="F13784" s="8" t="str">
        <f ca="1">IFERROR(__xludf.DUMMYFUNCTION("IF
(
C13785=""фізична особа""
,
VLOOKUP(D13785,IMPORTRANGE(""https://docs.google.com/spreadsheets/d/14Bd19lYaqBhU8_DElYkX7l4wRkHqqCUFNJY4AfY3kHU/edit?usp=sharing  #gid=0"",""фіз особи new!relations_name""),6,FALSE)
,
(IF
(
C13785=""юридична особа""
,
VLOO"&amp;"KUP(D13785,IMPORTRANGE(""https://docs.google.com/spreadsheets/d/14Bd19lYaqBhU8_DElYkX7l4wRkHqqCUFNJY4AfY3kHU/edit?usp=sharing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4" s="7" t="s">
        <v>10</v>
      </c>
      <c r="H13784" s="7">
        <v>18762</v>
      </c>
      <c r="I13784" s="8" t="str">
        <f ca="1">IFERROR(__xludf.DUMMYFUNCTION("IF
(
G13785=""фізична особа""
,
VLOOKUP(H13785,IMPORTRANGE(""https://docs.google.com/spreadsheets/d/14Bd19lYaqBhU8_DElYkX7l4wRkHqqCUFNJY4AfY3kHU/edit?usp=sharing  #gid=0"",""фіз особи new!relations_name""),6,FALSE)
,
(IF
(
G13785=""юридична особа""
,
VLOO"&amp;"KUP(H13785,IMPORTRANGE(""https://docs.google.com/spreadsheets/d/14Bd19lYaqBhU8_DElYkX7l4wRkHqqCUFNJY4AfY3kHU/edit?usp=sharing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J13784" s="7" t="s">
        <v>23</v>
      </c>
    </row>
    <row r="13785" spans="1:10" ht="13.2">
      <c r="A13785" s="7">
        <v>13784</v>
      </c>
      <c r="B13785" s="7">
        <v>1</v>
      </c>
      <c r="C13785" s="7" t="s">
        <v>10</v>
      </c>
      <c r="D13785" s="7">
        <v>18761</v>
      </c>
      <c r="E13785" s="7" t="s">
        <v>23</v>
      </c>
      <c r="F13785" s="8" t="str">
        <f ca="1">IFERROR(__xludf.DUMMYFUNCTION("IF
(
C13786=""фізична особа""
,
VLOOKUP(D13786,IMPORTRANGE(""https://docs.google.com/spreadsheets/d/14Bd19lYaqBhU8_DElYkX7l4wRkHqqCUFNJY4AfY3kHU/edit?usp=sharing  #gid=0"",""фіз особи new!relations_name""),6,FALSE)
,
(IF
(
C13786=""юридична особа""
,
VLOO"&amp;"KUP(D13786,IMPORTRANGE(""https://docs.google.com/spreadsheets/d/14Bd19lYaqBhU8_DElYkX7l4wRkHqqCUFNJY4AfY3kHU/edit?usp=sharing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5" s="7" t="s">
        <v>10</v>
      </c>
      <c r="H13785" s="7">
        <v>18763</v>
      </c>
      <c r="I13785" s="8" t="str">
        <f ca="1">IFERROR(__xludf.DUMMYFUNCTION("IF
(
G13786=""фізична особа""
,
VLOOKUP(H13786,IMPORTRANGE(""https://docs.google.com/spreadsheets/d/14Bd19lYaqBhU8_DElYkX7l4wRkHqqCUFNJY4AfY3kHU/edit?usp=sharing  #gid=0"",""фіз особи new!relations_name""),6,FALSE)
,
(IF
(
G13786=""юридична особа""
,
VLOO"&amp;"KUP(H13786,IMPORTRANGE(""https://docs.google.com/spreadsheets/d/14Bd19lYaqBhU8_DElYkX7l4wRkHqqCUFNJY4AfY3kHU/edit?usp=sharing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J13785" s="7" t="s">
        <v>23</v>
      </c>
    </row>
    <row r="13786" spans="1:10" ht="13.2">
      <c r="A13786" s="7">
        <v>13785</v>
      </c>
      <c r="B13786" s="7">
        <v>1</v>
      </c>
      <c r="C13786" s="7" t="s">
        <v>10</v>
      </c>
      <c r="D13786" s="7">
        <v>18761</v>
      </c>
      <c r="E13786" s="7" t="s">
        <v>23</v>
      </c>
      <c r="F13786" s="8" t="str">
        <f ca="1">IFERROR(__xludf.DUMMYFUNCTION("IF
(
C13787=""фізична особа""
,
VLOOKUP(D13787,IMPORTRANGE(""https://docs.google.com/spreadsheets/d/14Bd19lYaqBhU8_DElYkX7l4wRkHqqCUFNJY4AfY3kHU/edit?usp=sharing  #gid=0"",""фіз особи new!relations_name""),6,FALSE)
,
(IF
(
C13787=""юридична особа""
,
VLOO"&amp;"KUP(D13787,IMPORTRANGE(""https://docs.google.com/spreadsheets/d/14Bd19lYaqBhU8_DElYkX7l4wRkHqqCUFNJY4AfY3kHU/edit?usp=sharing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6" s="7" t="s">
        <v>10</v>
      </c>
      <c r="H13786" s="7">
        <v>18764</v>
      </c>
      <c r="I13786" s="8" t="str">
        <f ca="1">IFERROR(__xludf.DUMMYFUNCTION("IF
(
G13787=""фізична особа""
,
VLOOKUP(H13787,IMPORTRANGE(""https://docs.google.com/spreadsheets/d/14Bd19lYaqBhU8_DElYkX7l4wRkHqqCUFNJY4AfY3kHU/edit?usp=sharing  #gid=0"",""фіз особи new!relations_name""),6,FALSE)
,
(IF
(
G13787=""юридична особа""
,
VLOO"&amp;"KUP(H13787,IMPORTRANGE(""https://docs.google.com/spreadsheets/d/14Bd19lYaqBhU8_DElYkX7l4wRkHqqCUFNJY4AfY3kHU/edit?usp=sharing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J13786" s="7" t="s">
        <v>23</v>
      </c>
    </row>
    <row r="13787" spans="1:10" ht="13.2">
      <c r="A13787" s="7">
        <v>13786</v>
      </c>
      <c r="B13787" s="7">
        <v>1</v>
      </c>
      <c r="C13787" s="7" t="s">
        <v>10</v>
      </c>
      <c r="D13787" s="7">
        <v>18761</v>
      </c>
      <c r="E13787" s="7" t="s">
        <v>23</v>
      </c>
      <c r="F13787" s="8" t="str">
        <f ca="1">IFERROR(__xludf.DUMMYFUNCTION("IF
(
C13788=""фізична особа""
,
VLOOKUP(D13788,IMPORTRANGE(""https://docs.google.com/spreadsheets/d/14Bd19lYaqBhU8_DElYkX7l4wRkHqqCUFNJY4AfY3kHU/edit?usp=sharing  #gid=0"",""фіз особи new!relations_name""),6,FALSE)
,
(IF
(
C13788=""юридична особа""
,
VLOO"&amp;"KUP(D13788,IMPORTRANGE(""https://docs.google.com/spreadsheets/d/14Bd19lYaqBhU8_DElYkX7l4wRkHqqCUFNJY4AfY3kHU/edit?usp=sharing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7" s="7" t="s">
        <v>10</v>
      </c>
      <c r="H13787" s="7">
        <v>17624</v>
      </c>
      <c r="I13787" s="8" t="str">
        <f ca="1">IFERROR(__xludf.DUMMYFUNCTION("IF
(
G13788=""фізична особа""
,
VLOOKUP(H13788,IMPORTRANGE(""https://docs.google.com/spreadsheets/d/14Bd19lYaqBhU8_DElYkX7l4wRkHqqCUFNJY4AfY3kHU/edit?usp=sharing  #gid=0"",""фіз особи new!relations_name""),6,FALSE)
,
(IF
(
G13788=""юридична особа""
,
VLOO"&amp;"KUP(H13788,IMPORTRANGE(""https://docs.google.com/spreadsheets/d/14Bd19lYaqBhU8_DElYkX7l4wRkHqqCUFNJY4AfY3kHU/edit?usp=sharing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J13787" s="7" t="s">
        <v>23</v>
      </c>
    </row>
    <row r="13788" spans="1:10" ht="13.2">
      <c r="A13788" s="7">
        <v>13787</v>
      </c>
      <c r="B13788" s="7">
        <v>1</v>
      </c>
      <c r="C13788" s="7" t="s">
        <v>10</v>
      </c>
      <c r="D13788" s="7">
        <v>18761</v>
      </c>
      <c r="E13788" s="7" t="s">
        <v>23</v>
      </c>
      <c r="F13788" s="8" t="str">
        <f ca="1">IFERROR(__xludf.DUMMYFUNCTION("IF
(
C13789=""фізична особа""
,
VLOOKUP(D13789,IMPORTRANGE(""https://docs.google.com/spreadsheets/d/14Bd19lYaqBhU8_DElYkX7l4wRkHqqCUFNJY4AfY3kHU/edit?usp=sharing  #gid=0"",""фіз особи new!relations_name""),6,FALSE)
,
(IF
(
C13789=""юридична особа""
,
VLOO"&amp;"KUP(D13789,IMPORTRANGE(""https://docs.google.com/spreadsheets/d/14Bd19lYaqBhU8_DElYkX7l4wRkHqqCUFNJY4AfY3kHU/edit?usp=sharing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8" s="7" t="s">
        <v>10</v>
      </c>
      <c r="H13788" s="7">
        <v>0</v>
      </c>
      <c r="I13788" s="8" t="str">
        <f ca="1">IFERROR(__xludf.DUMMYFUNCTION("IF
(
G13789=""фізична особа""
,
VLOOKUP(H13789,IMPORTRANGE(""https://docs.google.com/spreadsheets/d/14Bd19lYaqBhU8_DElYkX7l4wRkHqqCUFNJY4AfY3kHU/edit?usp=sharing  #gid=0"",""фіз особи new!relations_name""),6,FALSE)
,
(IF
(
G13789=""юридична особа""
,
VLOO"&amp;"KUP(H13789,IMPORTRANGE(""https://docs.google.com/spreadsheets/d/14Bd19lYaqBhU8_DElYkX7l4wRkHqqCUFNJY4AfY3kHU/edit?usp=sharing  #gid=0"",""фіз особи new!relations_name_uo""),7,FALSE)
,
)
))"),"#N/A")</f>
        <v>#N/A</v>
      </c>
      <c r="J13788" s="7" t="s">
        <v>23</v>
      </c>
    </row>
    <row r="13789" spans="1:10" ht="13.2">
      <c r="A13789" s="7">
        <v>13788</v>
      </c>
      <c r="B13789" s="7">
        <v>1</v>
      </c>
      <c r="C13789" s="7" t="s">
        <v>10</v>
      </c>
      <c r="D13789" s="7">
        <v>18761</v>
      </c>
      <c r="E13789" s="7" t="s">
        <v>23</v>
      </c>
      <c r="F13789" s="8" t="str">
        <f ca="1">IFERROR(__xludf.DUMMYFUNCTION("IF
(
C13790=""фізична особа""
,
VLOOKUP(D13790,IMPORTRANGE(""https://docs.google.com/spreadsheets/d/14Bd19lYaqBhU8_DElYkX7l4wRkHqqCUFNJY4AfY3kHU/edit?usp=sharing  #gid=0"",""фіз особи new!relations_name""),6,FALSE)
,
(IF
(
C13790=""юридична особа""
,
VLOO"&amp;"KUP(D13790,IMPORTRANGE(""https://docs.google.com/spreadsheets/d/14Bd19lYaqBhU8_DElYkX7l4wRkHqqCUFNJY4AfY3kHU/edit?usp=sharing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89" s="7" t="s">
        <v>10</v>
      </c>
      <c r="H13789" s="7">
        <v>0</v>
      </c>
      <c r="I13789" s="8" t="str">
        <f ca="1">IFERROR(__xludf.DUMMYFUNCTION("IF
(
G13790=""фізична особа""
,
VLOOKUP(H13790,IMPORTRANGE(""https://docs.google.com/spreadsheets/d/14Bd19lYaqBhU8_DElYkX7l4wRkHqqCUFNJY4AfY3kHU/edit?usp=sharing  #gid=0"",""фіз особи new!relations_name""),6,FALSE)
,
(IF
(
G13790=""юридична особа""
,
VLOO"&amp;"KUP(H13790,IMPORTRANGE(""https://docs.google.com/spreadsheets/d/14Bd19lYaqBhU8_DElYkX7l4wRkHqqCUFNJY4AfY3kHU/edit?usp=sharing  #gid=0"",""фіз особи new!relations_name_uo""),7,FALSE)
,
)
))"),"#N/A")</f>
        <v>#N/A</v>
      </c>
      <c r="J13789" s="7" t="s">
        <v>23</v>
      </c>
    </row>
    <row r="13790" spans="1:10" ht="13.2">
      <c r="A13790" s="7">
        <v>13789</v>
      </c>
      <c r="B13790" s="7">
        <v>1</v>
      </c>
      <c r="C13790" s="7" t="s">
        <v>10</v>
      </c>
      <c r="D13790" s="7">
        <v>18761</v>
      </c>
      <c r="E13790" s="7" t="s">
        <v>23</v>
      </c>
      <c r="F13790" s="8" t="str">
        <f ca="1">IFERROR(__xludf.DUMMYFUNCTION("IF
(
C13791=""фізична особа""
,
VLOOKUP(D13791,IMPORTRANGE(""https://docs.google.com/spreadsheets/d/14Bd19lYaqBhU8_DElYkX7l4wRkHqqCUFNJY4AfY3kHU/edit?usp=sharing  #gid=0"",""фіз особи new!relations_name""),6,FALSE)
,
(IF
(
C13791=""юридична особа""
,
VLOO"&amp;"KUP(D13791,IMPORTRANGE(""https://docs.google.com/spreadsheets/d/14Bd19lYaqBhU8_DElYkX7l4wRkHqqCUFNJY4AfY3kHU/edit?usp=sharing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0" s="7" t="s">
        <v>10</v>
      </c>
      <c r="H13790" s="7">
        <v>0</v>
      </c>
      <c r="I13790" s="8" t="str">
        <f ca="1">IFERROR(__xludf.DUMMYFUNCTION("IF
(
G13791=""фізична особа""
,
VLOOKUP(H13791,IMPORTRANGE(""https://docs.google.com/spreadsheets/d/14Bd19lYaqBhU8_DElYkX7l4wRkHqqCUFNJY4AfY3kHU/edit?usp=sharing  #gid=0"",""фіз особи new!relations_name""),6,FALSE)
,
(IF
(
G13791=""юридична особа""
,
VLOO"&amp;"KUP(H13791,IMPORTRANGE(""https://docs.google.com/spreadsheets/d/14Bd19lYaqBhU8_DElYkX7l4wRkHqqCUFNJY4AfY3kHU/edit?usp=sharing  #gid=0"",""фіз особи new!relations_name_uo""),7,FALSE)
,
)
))"),"#N/A")</f>
        <v>#N/A</v>
      </c>
      <c r="J13790" s="7" t="s">
        <v>23</v>
      </c>
    </row>
    <row r="13791" spans="1:10" ht="13.2">
      <c r="A13791" s="7">
        <v>13790</v>
      </c>
      <c r="B13791" s="7">
        <v>1</v>
      </c>
      <c r="C13791" s="7" t="s">
        <v>10</v>
      </c>
      <c r="D13791" s="7">
        <v>18761</v>
      </c>
      <c r="E13791" s="7" t="s">
        <v>23</v>
      </c>
      <c r="F13791" s="8" t="str">
        <f ca="1">IFERROR(__xludf.DUMMYFUNCTION("IF
(
C13792=""фізична особа""
,
VLOOKUP(D13792,IMPORTRANGE(""https://docs.google.com/spreadsheets/d/14Bd19lYaqBhU8_DElYkX7l4wRkHqqCUFNJY4AfY3kHU/edit?usp=sharing  #gid=0"",""фіз особи new!relations_name""),6,FALSE)
,
(IF
(
C13792=""юридична особа""
,
VLOO"&amp;"KUP(D13792,IMPORTRANGE(""https://docs.google.com/spreadsheets/d/14Bd19lYaqBhU8_DElYkX7l4wRkHqqCUFNJY4AfY3kHU/edit?usp=sharing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1" s="7" t="s">
        <v>10</v>
      </c>
      <c r="H13791" s="7">
        <v>6047</v>
      </c>
      <c r="I13791" s="8" t="str">
        <f ca="1">IFERROR(__xludf.DUMMYFUNCTION("IF
(
G13792=""фізична особа""
,
VLOOKUP(H13792,IMPORTRANGE(""https://docs.google.com/spreadsheets/d/14Bd19lYaqBhU8_DElYkX7l4wRkHqqCUFNJY4AfY3kHU/edit?usp=sharing  #gid=0"",""фіз особи new!relations_name""),6,FALSE)
,
(IF
(
G13792=""юридична особа""
,
VLOO"&amp;"KUP(H13792,IMPORTRANGE(""https://docs.google.com/spreadsheets/d/14Bd19lYaqBhU8_DElYkX7l4wRkHqqCUFNJY4AfY3kHU/edit?usp=sharing  #gid=0"",""фіз особи new!relations_name_uo""),7,FALSE)
,
)
))"),"СТЕКАНОВ Володимир Ігорович")</f>
        <v>СТЕКАНОВ Володимир Ігорович</v>
      </c>
      <c r="J13791" s="7" t="s">
        <v>23</v>
      </c>
    </row>
    <row r="13792" spans="1:10" ht="13.2">
      <c r="A13792" s="7">
        <v>13791</v>
      </c>
      <c r="B13792" s="7">
        <v>1</v>
      </c>
      <c r="C13792" s="7" t="s">
        <v>10</v>
      </c>
      <c r="D13792" s="7">
        <v>18761</v>
      </c>
      <c r="E13792" s="7" t="s">
        <v>23</v>
      </c>
      <c r="F13792" s="8" t="str">
        <f ca="1">IFERROR(__xludf.DUMMYFUNCTION("IF
(
C13793=""фізична особа""
,
VLOOKUP(D13793,IMPORTRANGE(""https://docs.google.com/spreadsheets/d/14Bd19lYaqBhU8_DElYkX7l4wRkHqqCUFNJY4AfY3kHU/edit?usp=sharing  #gid=0"",""фіз особи new!relations_name""),6,FALSE)
,
(IF
(
C13793=""юридична особа""
,
VLOO"&amp;"KUP(D13793,IMPORTRANGE(""https://docs.google.com/spreadsheets/d/14Bd19lYaqBhU8_DElYkX7l4wRkHqqCUFNJY4AfY3kHU/edit?usp=sharing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2" s="7" t="s">
        <v>10</v>
      </c>
      <c r="H13792" s="7">
        <v>23629</v>
      </c>
      <c r="I13792" s="8" t="str">
        <f ca="1">IFERROR(__xludf.DUMMYFUNCTION("IF
(
G13793=""фізична особа""
,
VLOOKUP(H13793,IMPORTRANGE(""https://docs.google.com/spreadsheets/d/14Bd19lYaqBhU8_DElYkX7l4wRkHqqCUFNJY4AfY3kHU/edit?usp=sharing  #gid=0"",""фіз особи new!relations_name""),6,FALSE)
,
(IF
(
G13793=""юридична особа""
,
VLOO"&amp;"KUP(H13793,IMPORTRANGE(""https://docs.google.com/spreadsheets/d/14Bd19lYaqBhU8_DElYkX7l4wRkHqqCUFNJY4AfY3kHU/edit?usp=sharing  #gid=0"",""фіз особи new!relations_name_uo""),7,FALSE)
,
)
))"),"ТРУБІН Михайло Миколайович")</f>
        <v>ТРУБІН Михайло Миколайович</v>
      </c>
      <c r="J13792" s="7" t="s">
        <v>23</v>
      </c>
    </row>
    <row r="13793" spans="1:10" ht="13.2">
      <c r="A13793" s="7">
        <v>13792</v>
      </c>
      <c r="B13793" s="7">
        <v>1</v>
      </c>
      <c r="C13793" s="7" t="s">
        <v>10</v>
      </c>
      <c r="D13793" s="7">
        <v>18761</v>
      </c>
      <c r="E13793" s="7" t="s">
        <v>23</v>
      </c>
      <c r="F13793" s="8" t="str">
        <f ca="1">IFERROR(__xludf.DUMMYFUNCTION("IF
(
C13794=""фізична особа""
,
VLOOKUP(D13794,IMPORTRANGE(""https://docs.google.com/spreadsheets/d/14Bd19lYaqBhU8_DElYkX7l4wRkHqqCUFNJY4AfY3kHU/edit?usp=sharing  #gid=0"",""фіз особи new!relations_name""),6,FALSE)
,
(IF
(
C13794=""юридична особа""
,
VLOO"&amp;"KUP(D13794,IMPORTRANGE(""https://docs.google.com/spreadsheets/d/14Bd19lYaqBhU8_DElYkX7l4wRkHqqCUFNJY4AfY3kHU/edit?usp=sharing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3" s="7" t="s">
        <v>10</v>
      </c>
      <c r="H13793" s="7">
        <v>23630</v>
      </c>
      <c r="I13793" s="8" t="str">
        <f ca="1">IFERROR(__xludf.DUMMYFUNCTION("IF
(
G13794=""фізична особа""
,
VLOOKUP(H13794,IMPORTRANGE(""https://docs.google.com/spreadsheets/d/14Bd19lYaqBhU8_DElYkX7l4wRkHqqCUFNJY4AfY3kHU/edit?usp=sharing  #gid=0"",""фіз особи new!relations_name""),6,FALSE)
,
(IF
(
G13794=""юридична особа""
,
VLOO"&amp;"KUP(H13794,IMPORTRANGE(""https://docs.google.com/spreadsheets/d/14Bd19lYaqBhU8_DElYkX7l4wRkHqqCUFNJY4AfY3kHU/edit?usp=sharing  #gid=0"",""фіз особи new!relations_name_uo""),7,FALSE)
,
)
))"),"ЖИМЕРІНА Ірина Олександрівна")</f>
        <v>ЖИМЕРІНА Ірина Олександрівна</v>
      </c>
      <c r="J13793" s="7" t="s">
        <v>23</v>
      </c>
    </row>
    <row r="13794" spans="1:10" ht="13.2">
      <c r="A13794" s="7">
        <v>13793</v>
      </c>
      <c r="B13794" s="7">
        <v>1</v>
      </c>
      <c r="C13794" s="7" t="s">
        <v>10</v>
      </c>
      <c r="D13794" s="7">
        <v>18761</v>
      </c>
      <c r="E13794" s="7" t="s">
        <v>23</v>
      </c>
      <c r="F13794" s="8" t="str">
        <f ca="1">IFERROR(__xludf.DUMMYFUNCTION("IF
(
C13795=""фізична особа""
,
VLOOKUP(D13795,IMPORTRANGE(""https://docs.google.com/spreadsheets/d/14Bd19lYaqBhU8_DElYkX7l4wRkHqqCUFNJY4AfY3kHU/edit?usp=sharing  #gid=0"",""фіз особи new!relations_name""),6,FALSE)
,
(IF
(
C13795=""юридична особа""
,
VLOO"&amp;"KUP(D13795,IMPORTRANGE(""https://docs.google.com/spreadsheets/d/14Bd19lYaqBhU8_DElYkX7l4wRkHqqCUFNJY4AfY3kHU/edit?usp=sharing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4" s="7" t="s">
        <v>10</v>
      </c>
      <c r="H13794" s="7">
        <v>17593</v>
      </c>
      <c r="I13794" s="8" t="str">
        <f ca="1">IFERROR(__xludf.DUMMYFUNCTION("IF
(
G13795=""фізична особа""
,
VLOOKUP(H13795,IMPORTRANGE(""https://docs.google.com/spreadsheets/d/14Bd19lYaqBhU8_DElYkX7l4wRkHqqCUFNJY4AfY3kHU/edit?usp=sharing  #gid=0"",""фіз особи new!relations_name""),6,FALSE)
,
(IF
(
G13795=""юридична особа""
,
VLOO"&amp;"KUP(H13795,IMPORTRANGE(""https://docs.google.com/spreadsheets/d/14Bd19lYaqBhU8_DElYkX7l4wRkHqqCUFNJY4AfY3kHU/edit?usp=sharing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3794" s="7" t="s">
        <v>23</v>
      </c>
    </row>
    <row r="13795" spans="1:10" ht="13.2">
      <c r="A13795" s="7">
        <v>13794</v>
      </c>
      <c r="B13795" s="7">
        <v>1</v>
      </c>
      <c r="C13795" s="7" t="s">
        <v>10</v>
      </c>
      <c r="D13795" s="7">
        <v>18761</v>
      </c>
      <c r="E13795" s="7" t="s">
        <v>23</v>
      </c>
      <c r="F13795" s="8" t="str">
        <f ca="1">IFERROR(__xludf.DUMMYFUNCTION("IF
(
C13796=""фізична особа""
,
VLOOKUP(D13796,IMPORTRANGE(""https://docs.google.com/spreadsheets/d/14Bd19lYaqBhU8_DElYkX7l4wRkHqqCUFNJY4AfY3kHU/edit?usp=sharing  #gid=0"",""фіз особи new!relations_name""),6,FALSE)
,
(IF
(
C13796=""юридична особа""
,
VLOO"&amp;"KUP(D13796,IMPORTRANGE(""https://docs.google.com/spreadsheets/d/14Bd19lYaqBhU8_DElYkX7l4wRkHqqCUFNJY4AfY3kHU/edit?usp=sharing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G13795" s="7" t="s">
        <v>10</v>
      </c>
      <c r="H13795" s="7">
        <v>0</v>
      </c>
      <c r="I13795" s="8" t="str">
        <f ca="1">IFERROR(__xludf.DUMMYFUNCTION("IF
(
G13796=""фізична особа""
,
VLOOKUP(H13796,IMPORTRANGE(""https://docs.google.com/spreadsheets/d/14Bd19lYaqBhU8_DElYkX7l4wRkHqqCUFNJY4AfY3kHU/edit?usp=sharing  #gid=0"",""фіз особи new!relations_name""),6,FALSE)
,
(IF
(
G13796=""юридична особа""
,
VLOO"&amp;"KUP(H13796,IMPORTRANGE(""https://docs.google.com/spreadsheets/d/14Bd19lYaqBhU8_DElYkX7l4wRkHqqCUFNJY4AfY3kHU/edit?usp=sharing  #gid=0"",""фіз особи new!relations_name_uo""),7,FALSE)
,
)
))"),"#N/A")</f>
        <v>#N/A</v>
      </c>
      <c r="J13795" s="7" t="s">
        <v>23</v>
      </c>
    </row>
    <row r="13796" spans="1:10" ht="13.2">
      <c r="A13796" s="7">
        <v>13795</v>
      </c>
      <c r="B13796" s="7">
        <v>1</v>
      </c>
      <c r="C13796" s="7" t="s">
        <v>10</v>
      </c>
      <c r="D13796" s="7">
        <v>18762</v>
      </c>
      <c r="E13796" s="7" t="s">
        <v>23</v>
      </c>
      <c r="F13796" s="8" t="str">
        <f ca="1">IFERROR(__xludf.DUMMYFUNCTION("IF
(
C13797=""фізична особа""
,
VLOOKUP(D13797,IMPORTRANGE(""https://docs.google.com/spreadsheets/d/14Bd19lYaqBhU8_DElYkX7l4wRkHqqCUFNJY4AfY3kHU/edit?usp=sharing  #gid=0"",""фіз особи new!relations_name""),6,FALSE)
,
(IF
(
C13797=""юридична особа""
,
VLOO"&amp;"KUP(D13797,IMPORTRANGE(""https://docs.google.com/spreadsheets/d/14Bd19lYaqBhU8_DElYkX7l4wRkHqqCUFNJY4AfY3kHU/edit?usp=sharing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796" s="7" t="s">
        <v>10</v>
      </c>
      <c r="H13796" s="7">
        <v>18761</v>
      </c>
      <c r="I13796" s="8" t="str">
        <f ca="1">IFERROR(__xludf.DUMMYFUNCTION("IF
(
G13797=""фізична особа""
,
VLOOKUP(H13797,IMPORTRANGE(""https://docs.google.com/spreadsheets/d/14Bd19lYaqBhU8_DElYkX7l4wRkHqqCUFNJY4AfY3kHU/edit?usp=sharing  #gid=0"",""фіз особи new!relations_name""),6,FALSE)
,
(IF
(
G13797=""юридична особа""
,
VLOO"&amp;"KUP(H13797,IMPORTRANGE(""https://docs.google.com/spreadsheets/d/14Bd19lYaqBhU8_DElYkX7l4wRkHqqCUFNJY4AfY3kHU/edit?usp=sharing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J13796" s="7" t="s">
        <v>23</v>
      </c>
    </row>
    <row r="13797" spans="1:10" ht="13.2">
      <c r="A13797" s="7">
        <v>13796</v>
      </c>
      <c r="B13797" s="7">
        <v>1</v>
      </c>
      <c r="C13797" s="7" t="s">
        <v>10</v>
      </c>
      <c r="D13797" s="7">
        <v>18762</v>
      </c>
      <c r="E13797" s="7" t="s">
        <v>23</v>
      </c>
      <c r="F13797" s="8" t="str">
        <f ca="1">IFERROR(__xludf.DUMMYFUNCTION("IF
(
C13798=""фізична особа""
,
VLOOKUP(D13798,IMPORTRANGE(""https://docs.google.com/spreadsheets/d/14Bd19lYaqBhU8_DElYkX7l4wRkHqqCUFNJY4AfY3kHU/edit?usp=sharing  #gid=0"",""фіз особи new!relations_name""),6,FALSE)
,
(IF
(
C13798=""юридична особа""
,
VLOO"&amp;"KUP(D13798,IMPORTRANGE(""https://docs.google.com/spreadsheets/d/14Bd19lYaqBhU8_DElYkX7l4wRkHqqCUFNJY4AfY3kHU/edit?usp=sharing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797" s="7" t="s">
        <v>10</v>
      </c>
      <c r="H13797" s="7">
        <v>18763</v>
      </c>
      <c r="I13797" s="8" t="str">
        <f ca="1">IFERROR(__xludf.DUMMYFUNCTION("IF
(
G13798=""фізична особа""
,
VLOOKUP(H13798,IMPORTRANGE(""https://docs.google.com/spreadsheets/d/14Bd19lYaqBhU8_DElYkX7l4wRkHqqCUFNJY4AfY3kHU/edit?usp=sharing  #gid=0"",""фіз особи new!relations_name""),6,FALSE)
,
(IF
(
G13798=""юридична особа""
,
VLOO"&amp;"KUP(H13798,IMPORTRANGE(""https://docs.google.com/spreadsheets/d/14Bd19lYaqBhU8_DElYkX7l4wRkHqqCUFNJY4AfY3kHU/edit?usp=sharing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J13797" s="7" t="s">
        <v>23</v>
      </c>
    </row>
    <row r="13798" spans="1:10" ht="13.2">
      <c r="A13798" s="7">
        <v>13797</v>
      </c>
      <c r="B13798" s="7">
        <v>1</v>
      </c>
      <c r="C13798" s="7" t="s">
        <v>10</v>
      </c>
      <c r="D13798" s="7">
        <v>18762</v>
      </c>
      <c r="E13798" s="7" t="s">
        <v>23</v>
      </c>
      <c r="F13798" s="8" t="str">
        <f ca="1">IFERROR(__xludf.DUMMYFUNCTION("IF
(
C13799=""фізична особа""
,
VLOOKUP(D13799,IMPORTRANGE(""https://docs.google.com/spreadsheets/d/14Bd19lYaqBhU8_DElYkX7l4wRkHqqCUFNJY4AfY3kHU/edit?usp=sharing  #gid=0"",""фіз особи new!relations_name""),6,FALSE)
,
(IF
(
C13799=""юридична особа""
,
VLOO"&amp;"KUP(D13799,IMPORTRANGE(""https://docs.google.com/spreadsheets/d/14Bd19lYaqBhU8_DElYkX7l4wRkHqqCUFNJY4AfY3kHU/edit?usp=sharing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798" s="7" t="s">
        <v>10</v>
      </c>
      <c r="H13798" s="7">
        <v>18764</v>
      </c>
      <c r="I13798" s="8" t="str">
        <f ca="1">IFERROR(__xludf.DUMMYFUNCTION("IF
(
G13799=""фізична особа""
,
VLOOKUP(H13799,IMPORTRANGE(""https://docs.google.com/spreadsheets/d/14Bd19lYaqBhU8_DElYkX7l4wRkHqqCUFNJY4AfY3kHU/edit?usp=sharing  #gid=0"",""фіз особи new!relations_name""),6,FALSE)
,
(IF
(
G13799=""юридична особа""
,
VLOO"&amp;"KUP(H13799,IMPORTRANGE(""https://docs.google.com/spreadsheets/d/14Bd19lYaqBhU8_DElYkX7l4wRkHqqCUFNJY4AfY3kHU/edit?usp=sharing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J13798" s="7" t="s">
        <v>23</v>
      </c>
    </row>
    <row r="13799" spans="1:10" ht="13.2">
      <c r="A13799" s="7">
        <v>13798</v>
      </c>
      <c r="B13799" s="7">
        <v>1</v>
      </c>
      <c r="C13799" s="7" t="s">
        <v>10</v>
      </c>
      <c r="D13799" s="7">
        <v>18762</v>
      </c>
      <c r="E13799" s="7" t="s">
        <v>23</v>
      </c>
      <c r="F13799" s="8" t="str">
        <f ca="1">IFERROR(__xludf.DUMMYFUNCTION("IF
(
C13800=""фізична особа""
,
VLOOKUP(D13800,IMPORTRANGE(""https://docs.google.com/spreadsheets/d/14Bd19lYaqBhU8_DElYkX7l4wRkHqqCUFNJY4AfY3kHU/edit?usp=sharing  #gid=0"",""фіз особи new!relations_name""),6,FALSE)
,
(IF
(
C13800=""юридична особа""
,
VLOO"&amp;"KUP(D13800,IMPORTRANGE(""https://docs.google.com/spreadsheets/d/14Bd19lYaqBhU8_DElYkX7l4wRkHqqCUFNJY4AfY3kHU/edit?usp=sharing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799" s="7" t="s">
        <v>10</v>
      </c>
      <c r="H13799" s="7">
        <v>17624</v>
      </c>
      <c r="I13799" s="8" t="str">
        <f ca="1">IFERROR(__xludf.DUMMYFUNCTION("IF
(
G13800=""фізична особа""
,
VLOOKUP(H13800,IMPORTRANGE(""https://docs.google.com/spreadsheets/d/14Bd19lYaqBhU8_DElYkX7l4wRkHqqCUFNJY4AfY3kHU/edit?usp=sharing  #gid=0"",""фіз особи new!relations_name""),6,FALSE)
,
(IF
(
G13800=""юридична особа""
,
VLOO"&amp;"KUP(H13800,IMPORTRANGE(""https://docs.google.com/spreadsheets/d/14Bd19lYaqBhU8_DElYkX7l4wRkHqqCUFNJY4AfY3kHU/edit?usp=sharing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J13799" s="7" t="s">
        <v>23</v>
      </c>
    </row>
    <row r="13800" spans="1:10" ht="13.2">
      <c r="A13800" s="7">
        <v>13799</v>
      </c>
      <c r="B13800" s="7">
        <v>1</v>
      </c>
      <c r="C13800" s="7" t="s">
        <v>10</v>
      </c>
      <c r="D13800" s="7">
        <v>18762</v>
      </c>
      <c r="E13800" s="7" t="s">
        <v>23</v>
      </c>
      <c r="F13800" s="8" t="str">
        <f ca="1">IFERROR(__xludf.DUMMYFUNCTION("IF
(
C13801=""фізична особа""
,
VLOOKUP(D13801,IMPORTRANGE(""https://docs.google.com/spreadsheets/d/14Bd19lYaqBhU8_DElYkX7l4wRkHqqCUFNJY4AfY3kHU/edit?usp=sharing  #gid=0"",""фіз особи new!relations_name""),6,FALSE)
,
(IF
(
C13801=""юридична особа""
,
VLOO"&amp;"KUP(D13801,IMPORTRANGE(""https://docs.google.com/spreadsheets/d/14Bd19lYaqBhU8_DElYkX7l4wRkHqqCUFNJY4AfY3kHU/edit?usp=sharing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800" s="7" t="s">
        <v>10</v>
      </c>
      <c r="H13800" s="7">
        <v>6047</v>
      </c>
      <c r="I13800" s="8" t="str">
        <f ca="1">IFERROR(__xludf.DUMMYFUNCTION("IF
(
G13801=""фізична особа""
,
VLOOKUP(H13801,IMPORTRANGE(""https://docs.google.com/spreadsheets/d/14Bd19lYaqBhU8_DElYkX7l4wRkHqqCUFNJY4AfY3kHU/edit?usp=sharing  #gid=0"",""фіз особи new!relations_name""),6,FALSE)
,
(IF
(
G13801=""юридична особа""
,
VLOO"&amp;"KUP(H13801,IMPORTRANGE(""https://docs.google.com/spreadsheets/d/14Bd19lYaqBhU8_DElYkX7l4wRkHqqCUFNJY4AfY3kHU/edit?usp=sharing  #gid=0"",""фіз особи new!relations_name_uo""),7,FALSE)
,
)
))"),"СТЕКАНОВ Володимир Ігорович")</f>
        <v>СТЕКАНОВ Володимир Ігорович</v>
      </c>
      <c r="J13800" s="7" t="s">
        <v>23</v>
      </c>
    </row>
    <row r="13801" spans="1:10" ht="13.2">
      <c r="A13801" s="7">
        <v>13800</v>
      </c>
      <c r="B13801" s="7">
        <v>1</v>
      </c>
      <c r="C13801" s="7" t="s">
        <v>10</v>
      </c>
      <c r="D13801" s="7">
        <v>18762</v>
      </c>
      <c r="E13801" s="7" t="s">
        <v>23</v>
      </c>
      <c r="F13801" s="8" t="str">
        <f ca="1">IFERROR(__xludf.DUMMYFUNCTION("IF
(
C13802=""фізична особа""
,
VLOOKUP(D13802,IMPORTRANGE(""https://docs.google.com/spreadsheets/d/14Bd19lYaqBhU8_DElYkX7l4wRkHqqCUFNJY4AfY3kHU/edit?usp=sharing  #gid=0"",""фіз особи new!relations_name""),6,FALSE)
,
(IF
(
C13802=""юридична особа""
,
VLOO"&amp;"KUP(D13802,IMPORTRANGE(""https://docs.google.com/spreadsheets/d/14Bd19lYaqBhU8_DElYkX7l4wRkHqqCUFNJY4AfY3kHU/edit?usp=sharing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801" s="7" t="s">
        <v>10</v>
      </c>
      <c r="H13801" s="7">
        <v>23629</v>
      </c>
      <c r="I13801" s="8" t="str">
        <f ca="1">IFERROR(__xludf.DUMMYFUNCTION("IF
(
G13802=""фізична особа""
,
VLOOKUP(H13802,IMPORTRANGE(""https://docs.google.com/spreadsheets/d/14Bd19lYaqBhU8_DElYkX7l4wRkHqqCUFNJY4AfY3kHU/edit?usp=sharing  #gid=0"",""фіз особи new!relations_name""),6,FALSE)
,
(IF
(
G13802=""юридична особа""
,
VLOO"&amp;"KUP(H13802,IMPORTRANGE(""https://docs.google.com/spreadsheets/d/14Bd19lYaqBhU8_DElYkX7l4wRkHqqCUFNJY4AfY3kHU/edit?usp=sharing  #gid=0"",""фіз особи new!relations_name_uo""),7,FALSE)
,
)
))"),"ТРУБІН Михайло Миколайович")</f>
        <v>ТРУБІН Михайло Миколайович</v>
      </c>
      <c r="J13801" s="7" t="s">
        <v>23</v>
      </c>
    </row>
    <row r="13802" spans="1:10" ht="13.2">
      <c r="A13802" s="7">
        <v>13801</v>
      </c>
      <c r="B13802" s="7">
        <v>1</v>
      </c>
      <c r="C13802" s="7" t="s">
        <v>10</v>
      </c>
      <c r="D13802" s="7">
        <v>18762</v>
      </c>
      <c r="E13802" s="7" t="s">
        <v>23</v>
      </c>
      <c r="F13802" s="8" t="str">
        <f ca="1">IFERROR(__xludf.DUMMYFUNCTION("IF
(
C13803=""фізична особа""
,
VLOOKUP(D13803,IMPORTRANGE(""https://docs.google.com/spreadsheets/d/14Bd19lYaqBhU8_DElYkX7l4wRkHqqCUFNJY4AfY3kHU/edit?usp=sharing  #gid=0"",""фіз особи new!relations_name""),6,FALSE)
,
(IF
(
C13803=""юридична особа""
,
VLOO"&amp;"KUP(D13803,IMPORTRANGE(""https://docs.google.com/spreadsheets/d/14Bd19lYaqBhU8_DElYkX7l4wRkHqqCUFNJY4AfY3kHU/edit?usp=sharing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802" s="7" t="s">
        <v>10</v>
      </c>
      <c r="H13802" s="7">
        <v>23630</v>
      </c>
      <c r="I13802" s="8" t="str">
        <f ca="1">IFERROR(__xludf.DUMMYFUNCTION("IF
(
G13803=""фізична особа""
,
VLOOKUP(H13803,IMPORTRANGE(""https://docs.google.com/spreadsheets/d/14Bd19lYaqBhU8_DElYkX7l4wRkHqqCUFNJY4AfY3kHU/edit?usp=sharing  #gid=0"",""фіз особи new!relations_name""),6,FALSE)
,
(IF
(
G13803=""юридична особа""
,
VLOO"&amp;"KUP(H13803,IMPORTRANGE(""https://docs.google.com/spreadsheets/d/14Bd19lYaqBhU8_DElYkX7l4wRkHqqCUFNJY4AfY3kHU/edit?usp=sharing  #gid=0"",""фіз особи new!relations_name_uo""),7,FALSE)
,
)
))"),"ЖИМЕРІНА Ірина Олександрівна")</f>
        <v>ЖИМЕРІНА Ірина Олександрівна</v>
      </c>
      <c r="J13802" s="7" t="s">
        <v>23</v>
      </c>
    </row>
    <row r="13803" spans="1:10" ht="13.2">
      <c r="A13803" s="7">
        <v>13802</v>
      </c>
      <c r="B13803" s="7">
        <v>1</v>
      </c>
      <c r="C13803" s="7" t="s">
        <v>10</v>
      </c>
      <c r="D13803" s="7">
        <v>18762</v>
      </c>
      <c r="E13803" s="7" t="s">
        <v>23</v>
      </c>
      <c r="F13803" s="8" t="str">
        <f ca="1">IFERROR(__xludf.DUMMYFUNCTION("IF
(
C13804=""фізична особа""
,
VLOOKUP(D13804,IMPORTRANGE(""https://docs.google.com/spreadsheets/d/14Bd19lYaqBhU8_DElYkX7l4wRkHqqCUFNJY4AfY3kHU/edit?usp=sharing  #gid=0"",""фіз особи new!relations_name""),6,FALSE)
,
(IF
(
C13804=""юридична особа""
,
VLOO"&amp;"KUP(D13804,IMPORTRANGE(""https://docs.google.com/spreadsheets/d/14Bd19lYaqBhU8_DElYkX7l4wRkHqqCUFNJY4AfY3kHU/edit?usp=sharing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G13803" s="7" t="s">
        <v>10</v>
      </c>
      <c r="H13803" s="7">
        <v>17593</v>
      </c>
      <c r="I13803" s="8" t="str">
        <f ca="1">IFERROR(__xludf.DUMMYFUNCTION("IF
(
G13804=""фізична особа""
,
VLOOKUP(H13804,IMPORTRANGE(""https://docs.google.com/spreadsheets/d/14Bd19lYaqBhU8_DElYkX7l4wRkHqqCUFNJY4AfY3kHU/edit?usp=sharing  #gid=0"",""фіз особи new!relations_name""),6,FALSE)
,
(IF
(
G13804=""юридична особа""
,
VLOO"&amp;"KUP(H13804,IMPORTRANGE(""https://docs.google.com/spreadsheets/d/14Bd19lYaqBhU8_DElYkX7l4wRkHqqCUFNJY4AfY3kHU/edit?usp=sharing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3803" s="7" t="s">
        <v>23</v>
      </c>
    </row>
    <row r="13804" spans="1:10" ht="13.2">
      <c r="A13804" s="7">
        <v>13803</v>
      </c>
      <c r="B13804" s="7">
        <v>1</v>
      </c>
      <c r="C13804" s="7" t="s">
        <v>10</v>
      </c>
      <c r="D13804" s="7">
        <v>18763</v>
      </c>
      <c r="E13804" s="7" t="s">
        <v>23</v>
      </c>
      <c r="F13804" s="8" t="str">
        <f ca="1">IFERROR(__xludf.DUMMYFUNCTION("IF
(
C13805=""фізична особа""
,
VLOOKUP(D13805,IMPORTRANGE(""https://docs.google.com/spreadsheets/d/14Bd19lYaqBhU8_DElYkX7l4wRkHqqCUFNJY4AfY3kHU/edit?usp=sharing  #gid=0"",""фіз особи new!relations_name""),6,FALSE)
,
(IF
(
C13805=""юридична особа""
,
VLOO"&amp;"KUP(D13805,IMPORTRANGE(""https://docs.google.com/spreadsheets/d/14Bd19lYaqBhU8_DElYkX7l4wRkHqqCUFNJY4AfY3kHU/edit?usp=sharing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4" s="7" t="s">
        <v>10</v>
      </c>
      <c r="H13804" s="7">
        <v>18761</v>
      </c>
      <c r="I13804" s="8" t="str">
        <f ca="1">IFERROR(__xludf.DUMMYFUNCTION("IF
(
G13805=""фізична особа""
,
VLOOKUP(H13805,IMPORTRANGE(""https://docs.google.com/spreadsheets/d/14Bd19lYaqBhU8_DElYkX7l4wRkHqqCUFNJY4AfY3kHU/edit?usp=sharing  #gid=0"",""фіз особи new!relations_name""),6,FALSE)
,
(IF
(
G13805=""юридична особа""
,
VLOO"&amp;"KUP(H13805,IMPORTRANGE(""https://docs.google.com/spreadsheets/d/14Bd19lYaqBhU8_DElYkX7l4wRkHqqCUFNJY4AfY3kHU/edit?usp=sharing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J13804" s="7" t="s">
        <v>23</v>
      </c>
    </row>
    <row r="13805" spans="1:10" ht="13.2">
      <c r="A13805" s="7">
        <v>13804</v>
      </c>
      <c r="B13805" s="7">
        <v>1</v>
      </c>
      <c r="C13805" s="7" t="s">
        <v>10</v>
      </c>
      <c r="D13805" s="7">
        <v>18763</v>
      </c>
      <c r="E13805" s="7" t="s">
        <v>23</v>
      </c>
      <c r="F13805" s="8" t="str">
        <f ca="1">IFERROR(__xludf.DUMMYFUNCTION("IF
(
C13806=""фізична особа""
,
VLOOKUP(D13806,IMPORTRANGE(""https://docs.google.com/spreadsheets/d/14Bd19lYaqBhU8_DElYkX7l4wRkHqqCUFNJY4AfY3kHU/edit?usp=sharing  #gid=0"",""фіз особи new!relations_name""),6,FALSE)
,
(IF
(
C13806=""юридична особа""
,
VLOO"&amp;"KUP(D13806,IMPORTRANGE(""https://docs.google.com/spreadsheets/d/14Bd19lYaqBhU8_DElYkX7l4wRkHqqCUFNJY4AfY3kHU/edit?usp=sharing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5" s="7" t="s">
        <v>10</v>
      </c>
      <c r="H13805" s="7">
        <v>18762</v>
      </c>
      <c r="I13805" s="8" t="str">
        <f ca="1">IFERROR(__xludf.DUMMYFUNCTION("IF
(
G13806=""фізична особа""
,
VLOOKUP(H13806,IMPORTRANGE(""https://docs.google.com/spreadsheets/d/14Bd19lYaqBhU8_DElYkX7l4wRkHqqCUFNJY4AfY3kHU/edit?usp=sharing  #gid=0"",""фіз особи new!relations_name""),6,FALSE)
,
(IF
(
G13806=""юридична особа""
,
VLOO"&amp;"KUP(H13806,IMPORTRANGE(""https://docs.google.com/spreadsheets/d/14Bd19lYaqBhU8_DElYkX7l4wRkHqqCUFNJY4AfY3kHU/edit?usp=sharing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J13805" s="7" t="s">
        <v>23</v>
      </c>
    </row>
    <row r="13806" spans="1:10" ht="13.2">
      <c r="A13806" s="7">
        <v>13805</v>
      </c>
      <c r="B13806" s="7">
        <v>1</v>
      </c>
      <c r="C13806" s="7" t="s">
        <v>10</v>
      </c>
      <c r="D13806" s="7">
        <v>18763</v>
      </c>
      <c r="E13806" s="7" t="s">
        <v>23</v>
      </c>
      <c r="F13806" s="8" t="str">
        <f ca="1">IFERROR(__xludf.DUMMYFUNCTION("IF
(
C13807=""фізична особа""
,
VLOOKUP(D13807,IMPORTRANGE(""https://docs.google.com/spreadsheets/d/14Bd19lYaqBhU8_DElYkX7l4wRkHqqCUFNJY4AfY3kHU/edit?usp=sharing  #gid=0"",""фіз особи new!relations_name""),6,FALSE)
,
(IF
(
C13807=""юридична особа""
,
VLOO"&amp;"KUP(D13807,IMPORTRANGE(""https://docs.google.com/spreadsheets/d/14Bd19lYaqBhU8_DElYkX7l4wRkHqqCUFNJY4AfY3kHU/edit?usp=sharing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6" s="7" t="s">
        <v>10</v>
      </c>
      <c r="H13806" s="7">
        <v>18764</v>
      </c>
      <c r="I13806" s="8" t="str">
        <f ca="1">IFERROR(__xludf.DUMMYFUNCTION("IF
(
G13807=""фізична особа""
,
VLOOKUP(H13807,IMPORTRANGE(""https://docs.google.com/spreadsheets/d/14Bd19lYaqBhU8_DElYkX7l4wRkHqqCUFNJY4AfY3kHU/edit?usp=sharing  #gid=0"",""фіз особи new!relations_name""),6,FALSE)
,
(IF
(
G13807=""юридична особа""
,
VLOO"&amp;"KUP(H13807,IMPORTRANGE(""https://docs.google.com/spreadsheets/d/14Bd19lYaqBhU8_DElYkX7l4wRkHqqCUFNJY4AfY3kHU/edit?usp=sharing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J13806" s="7" t="s">
        <v>23</v>
      </c>
    </row>
    <row r="13807" spans="1:10" ht="13.2">
      <c r="A13807" s="7">
        <v>13806</v>
      </c>
      <c r="B13807" s="7">
        <v>1</v>
      </c>
      <c r="C13807" s="7" t="s">
        <v>10</v>
      </c>
      <c r="D13807" s="7">
        <v>18763</v>
      </c>
      <c r="E13807" s="7" t="s">
        <v>23</v>
      </c>
      <c r="F13807" s="8" t="str">
        <f ca="1">IFERROR(__xludf.DUMMYFUNCTION("IF
(
C13808=""фізична особа""
,
VLOOKUP(D13808,IMPORTRANGE(""https://docs.google.com/spreadsheets/d/14Bd19lYaqBhU8_DElYkX7l4wRkHqqCUFNJY4AfY3kHU/edit?usp=sharing  #gid=0"",""фіз особи new!relations_name""),6,FALSE)
,
(IF
(
C13808=""юридична особа""
,
VLOO"&amp;"KUP(D13808,IMPORTRANGE(""https://docs.google.com/spreadsheets/d/14Bd19lYaqBhU8_DElYkX7l4wRkHqqCUFNJY4AfY3kHU/edit?usp=sharing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7" s="7" t="s">
        <v>10</v>
      </c>
      <c r="H13807" s="7">
        <v>17624</v>
      </c>
      <c r="I13807" s="8" t="str">
        <f ca="1">IFERROR(__xludf.DUMMYFUNCTION("IF
(
G13808=""фізична особа""
,
VLOOKUP(H13808,IMPORTRANGE(""https://docs.google.com/spreadsheets/d/14Bd19lYaqBhU8_DElYkX7l4wRkHqqCUFNJY4AfY3kHU/edit?usp=sharing  #gid=0"",""фіз особи new!relations_name""),6,FALSE)
,
(IF
(
G13808=""юридична особа""
,
VLOO"&amp;"KUP(H13808,IMPORTRANGE(""https://docs.google.com/spreadsheets/d/14Bd19lYaqBhU8_DElYkX7l4wRkHqqCUFNJY4AfY3kHU/edit?usp=sharing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J13807" s="7" t="s">
        <v>23</v>
      </c>
    </row>
    <row r="13808" spans="1:10" ht="13.2">
      <c r="A13808" s="7">
        <v>13807</v>
      </c>
      <c r="B13808" s="7">
        <v>1</v>
      </c>
      <c r="C13808" s="7" t="s">
        <v>10</v>
      </c>
      <c r="D13808" s="7">
        <v>18763</v>
      </c>
      <c r="E13808" s="7" t="s">
        <v>23</v>
      </c>
      <c r="F13808" s="8" t="str">
        <f ca="1">IFERROR(__xludf.DUMMYFUNCTION("IF
(
C13809=""фізична особа""
,
VLOOKUP(D13809,IMPORTRANGE(""https://docs.google.com/spreadsheets/d/14Bd19lYaqBhU8_DElYkX7l4wRkHqqCUFNJY4AfY3kHU/edit?usp=sharing  #gid=0"",""фіз особи new!relations_name""),6,FALSE)
,
(IF
(
C13809=""юридична особа""
,
VLOO"&amp;"KUP(D13809,IMPORTRANGE(""https://docs.google.com/spreadsheets/d/14Bd19lYaqBhU8_DElYkX7l4wRkHqqCUFNJY4AfY3kHU/edit?usp=sharing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8" s="7" t="s">
        <v>10</v>
      </c>
      <c r="H13808" s="7">
        <v>6047</v>
      </c>
      <c r="I13808" s="8" t="str">
        <f ca="1">IFERROR(__xludf.DUMMYFUNCTION("IF
(
G13809=""фізична особа""
,
VLOOKUP(H13809,IMPORTRANGE(""https://docs.google.com/spreadsheets/d/14Bd19lYaqBhU8_DElYkX7l4wRkHqqCUFNJY4AfY3kHU/edit?usp=sharing  #gid=0"",""фіз особи new!relations_name""),6,FALSE)
,
(IF
(
G13809=""юридична особа""
,
VLOO"&amp;"KUP(H13809,IMPORTRANGE(""https://docs.google.com/spreadsheets/d/14Bd19lYaqBhU8_DElYkX7l4wRkHqqCUFNJY4AfY3kHU/edit?usp=sharing  #gid=0"",""фіз особи new!relations_name_uo""),7,FALSE)
,
)
))"),"СТЕКАНОВ Володимир Ігорович")</f>
        <v>СТЕКАНОВ Володимир Ігорович</v>
      </c>
      <c r="J13808" s="7" t="s">
        <v>23</v>
      </c>
    </row>
    <row r="13809" spans="1:10" ht="13.2">
      <c r="A13809" s="7">
        <v>13808</v>
      </c>
      <c r="B13809" s="7">
        <v>1</v>
      </c>
      <c r="C13809" s="7" t="s">
        <v>10</v>
      </c>
      <c r="D13809" s="7">
        <v>18763</v>
      </c>
      <c r="E13809" s="7" t="s">
        <v>23</v>
      </c>
      <c r="F13809" s="8" t="str">
        <f ca="1">IFERROR(__xludf.DUMMYFUNCTION("IF
(
C13810=""фізична особа""
,
VLOOKUP(D13810,IMPORTRANGE(""https://docs.google.com/spreadsheets/d/14Bd19lYaqBhU8_DElYkX7l4wRkHqqCUFNJY4AfY3kHU/edit?usp=sharing  #gid=0"",""фіз особи new!relations_name""),6,FALSE)
,
(IF
(
C13810=""юридична особа""
,
VLOO"&amp;"KUP(D13810,IMPORTRANGE(""https://docs.google.com/spreadsheets/d/14Bd19lYaqBhU8_DElYkX7l4wRkHqqCUFNJY4AfY3kHU/edit?usp=sharing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09" s="7" t="s">
        <v>10</v>
      </c>
      <c r="H13809" s="7">
        <v>23629</v>
      </c>
      <c r="I13809" s="8" t="str">
        <f ca="1">IFERROR(__xludf.DUMMYFUNCTION("IF
(
G13810=""фізична особа""
,
VLOOKUP(H13810,IMPORTRANGE(""https://docs.google.com/spreadsheets/d/14Bd19lYaqBhU8_DElYkX7l4wRkHqqCUFNJY4AfY3kHU/edit?usp=sharing  #gid=0"",""фіз особи new!relations_name""),6,FALSE)
,
(IF
(
G13810=""юридична особа""
,
VLOO"&amp;"KUP(H13810,IMPORTRANGE(""https://docs.google.com/spreadsheets/d/14Bd19lYaqBhU8_DElYkX7l4wRkHqqCUFNJY4AfY3kHU/edit?usp=sharing  #gid=0"",""фіз особи new!relations_name_uo""),7,FALSE)
,
)
))"),"ТРУБІН Михайло Миколайович")</f>
        <v>ТРУБІН Михайло Миколайович</v>
      </c>
      <c r="J13809" s="7" t="s">
        <v>23</v>
      </c>
    </row>
    <row r="13810" spans="1:10" ht="13.2">
      <c r="A13810" s="7">
        <v>13809</v>
      </c>
      <c r="B13810" s="7">
        <v>1</v>
      </c>
      <c r="C13810" s="7" t="s">
        <v>10</v>
      </c>
      <c r="D13810" s="7">
        <v>18763</v>
      </c>
      <c r="E13810" s="7" t="s">
        <v>23</v>
      </c>
      <c r="F13810" s="8" t="str">
        <f ca="1">IFERROR(__xludf.DUMMYFUNCTION("IF
(
C13811=""фізична особа""
,
VLOOKUP(D13811,IMPORTRANGE(""https://docs.google.com/spreadsheets/d/14Bd19lYaqBhU8_DElYkX7l4wRkHqqCUFNJY4AfY3kHU/edit?usp=sharing  #gid=0"",""фіз особи new!relations_name""),6,FALSE)
,
(IF
(
C13811=""юридична особа""
,
VLOO"&amp;"KUP(D13811,IMPORTRANGE(""https://docs.google.com/spreadsheets/d/14Bd19lYaqBhU8_DElYkX7l4wRkHqqCUFNJY4AfY3kHU/edit?usp=sharing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0" s="7" t="s">
        <v>10</v>
      </c>
      <c r="H13810" s="7">
        <v>23630</v>
      </c>
      <c r="I13810" s="8" t="str">
        <f ca="1">IFERROR(__xludf.DUMMYFUNCTION("IF
(
G13811=""фізична особа""
,
VLOOKUP(H13811,IMPORTRANGE(""https://docs.google.com/spreadsheets/d/14Bd19lYaqBhU8_DElYkX7l4wRkHqqCUFNJY4AfY3kHU/edit?usp=sharing  #gid=0"",""фіз особи new!relations_name""),6,FALSE)
,
(IF
(
G13811=""юридична особа""
,
VLOO"&amp;"KUP(H13811,IMPORTRANGE(""https://docs.google.com/spreadsheets/d/14Bd19lYaqBhU8_DElYkX7l4wRkHqqCUFNJY4AfY3kHU/edit?usp=sharing  #gid=0"",""фіз особи new!relations_name_uo""),7,FALSE)
,
)
))"),"ЖИМЕРІНА Ірина Олександрівна")</f>
        <v>ЖИМЕРІНА Ірина Олександрівна</v>
      </c>
      <c r="J13810" s="7" t="s">
        <v>23</v>
      </c>
    </row>
    <row r="13811" spans="1:10" ht="13.2">
      <c r="A13811" s="7">
        <v>13810</v>
      </c>
      <c r="B13811" s="7">
        <v>1</v>
      </c>
      <c r="C13811" s="7" t="s">
        <v>10</v>
      </c>
      <c r="D13811" s="7">
        <v>18763</v>
      </c>
      <c r="E13811" s="7" t="s">
        <v>23</v>
      </c>
      <c r="F13811" s="8" t="str">
        <f ca="1">IFERROR(__xludf.DUMMYFUNCTION("IF
(
C13812=""фізична особа""
,
VLOOKUP(D13812,IMPORTRANGE(""https://docs.google.com/spreadsheets/d/14Bd19lYaqBhU8_DElYkX7l4wRkHqqCUFNJY4AfY3kHU/edit?usp=sharing  #gid=0"",""фіз особи new!relations_name""),6,FALSE)
,
(IF
(
C13812=""юридична особа""
,
VLOO"&amp;"KUP(D13812,IMPORTRANGE(""https://docs.google.com/spreadsheets/d/14Bd19lYaqBhU8_DElYkX7l4wRkHqqCUFNJY4AfY3kHU/edit?usp=sharing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1" s="7" t="s">
        <v>10</v>
      </c>
      <c r="H13811" s="7">
        <v>17593</v>
      </c>
      <c r="I13811" s="8" t="str">
        <f ca="1">IFERROR(__xludf.DUMMYFUNCTION("IF
(
G13812=""фізична особа""
,
VLOOKUP(H13812,IMPORTRANGE(""https://docs.google.com/spreadsheets/d/14Bd19lYaqBhU8_DElYkX7l4wRkHqqCUFNJY4AfY3kHU/edit?usp=sharing  #gid=0"",""фіз особи new!relations_name""),6,FALSE)
,
(IF
(
G13812=""юридична особа""
,
VLOO"&amp;"KUP(H13812,IMPORTRANGE(""https://docs.google.com/spreadsheets/d/14Bd19lYaqBhU8_DElYkX7l4wRkHqqCUFNJY4AfY3kHU/edit?usp=sharing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3811" s="7" t="s">
        <v>23</v>
      </c>
    </row>
    <row r="13812" spans="1:10" ht="13.2">
      <c r="A13812" s="7">
        <v>13811</v>
      </c>
      <c r="B13812" s="7">
        <v>1</v>
      </c>
      <c r="C13812" s="7" t="s">
        <v>10</v>
      </c>
      <c r="D13812" s="7">
        <v>18763</v>
      </c>
      <c r="E13812" s="7" t="s">
        <v>23</v>
      </c>
      <c r="F13812" s="8" t="str">
        <f ca="1">IFERROR(__xludf.DUMMYFUNCTION("IF
(
C13813=""фізична особа""
,
VLOOKUP(D13813,IMPORTRANGE(""https://docs.google.com/spreadsheets/d/14Bd19lYaqBhU8_DElYkX7l4wRkHqqCUFNJY4AfY3kHU/edit?usp=sharing  #gid=0"",""фіз особи new!relations_name""),6,FALSE)
,
(IF
(
C13813=""юридична особа""
,
VLOO"&amp;"KUP(D13813,IMPORTRANGE(""https://docs.google.com/spreadsheets/d/14Bd19lYaqBhU8_DElYkX7l4wRkHqqCUFNJY4AfY3kHU/edit?usp=sharing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2" s="7" t="s">
        <v>10</v>
      </c>
      <c r="H13812" s="7">
        <v>0</v>
      </c>
      <c r="I13812" s="8" t="str">
        <f ca="1">IFERROR(__xludf.DUMMYFUNCTION("IF
(
G13813=""фізична особа""
,
VLOOKUP(H13813,IMPORTRANGE(""https://docs.google.com/spreadsheets/d/14Bd19lYaqBhU8_DElYkX7l4wRkHqqCUFNJY4AfY3kHU/edit?usp=sharing  #gid=0"",""фіз особи new!relations_name""),6,FALSE)
,
(IF
(
G13813=""юридична особа""
,
VLOO"&amp;"KUP(H13813,IMPORTRANGE(""https://docs.google.com/spreadsheets/d/14Bd19lYaqBhU8_DElYkX7l4wRkHqqCUFNJY4AfY3kHU/edit?usp=sharing  #gid=0"",""фіз особи new!relations_name_uo""),7,FALSE)
,
)
))"),"#N/A")</f>
        <v>#N/A</v>
      </c>
      <c r="J13812" s="7" t="s">
        <v>23</v>
      </c>
    </row>
    <row r="13813" spans="1:10" ht="13.2">
      <c r="A13813" s="7">
        <v>13812</v>
      </c>
      <c r="B13813" s="7">
        <v>1</v>
      </c>
      <c r="C13813" s="7" t="s">
        <v>10</v>
      </c>
      <c r="D13813" s="7">
        <v>18763</v>
      </c>
      <c r="E13813" s="7" t="s">
        <v>23</v>
      </c>
      <c r="F13813" s="8" t="str">
        <f ca="1">IFERROR(__xludf.DUMMYFUNCTION("IF
(
C13814=""фізична особа""
,
VLOOKUP(D13814,IMPORTRANGE(""https://docs.google.com/spreadsheets/d/14Bd19lYaqBhU8_DElYkX7l4wRkHqqCUFNJY4AfY3kHU/edit?usp=sharing  #gid=0"",""фіз особи new!relations_name""),6,FALSE)
,
(IF
(
C13814=""юридична особа""
,
VLOO"&amp;"KUP(D13814,IMPORTRANGE(""https://docs.google.com/spreadsheets/d/14Bd19lYaqBhU8_DElYkX7l4wRkHqqCUFNJY4AfY3kHU/edit?usp=sharing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3" s="7" t="s">
        <v>10</v>
      </c>
      <c r="H13813" s="7">
        <v>0</v>
      </c>
      <c r="I13813" s="8" t="str">
        <f ca="1">IFERROR(__xludf.DUMMYFUNCTION("IF
(
G13814=""фізична особа""
,
VLOOKUP(H13814,IMPORTRANGE(""https://docs.google.com/spreadsheets/d/14Bd19lYaqBhU8_DElYkX7l4wRkHqqCUFNJY4AfY3kHU/edit?usp=sharing  #gid=0"",""фіз особи new!relations_name""),6,FALSE)
,
(IF
(
G13814=""юридична особа""
,
VLOO"&amp;"KUP(H13814,IMPORTRANGE(""https://docs.google.com/spreadsheets/d/14Bd19lYaqBhU8_DElYkX7l4wRkHqqCUFNJY4AfY3kHU/edit?usp=sharing  #gid=0"",""фіз особи new!relations_name_uo""),7,FALSE)
,
)
))"),"#N/A")</f>
        <v>#N/A</v>
      </c>
      <c r="J13813" s="7" t="s">
        <v>23</v>
      </c>
    </row>
    <row r="13814" spans="1:10" ht="13.2">
      <c r="A13814" s="7">
        <v>13813</v>
      </c>
      <c r="B13814" s="7">
        <v>1</v>
      </c>
      <c r="C13814" s="7" t="s">
        <v>10</v>
      </c>
      <c r="D13814" s="7">
        <v>18763</v>
      </c>
      <c r="E13814" s="7" t="s">
        <v>23</v>
      </c>
      <c r="F13814" s="8" t="str">
        <f ca="1">IFERROR(__xludf.DUMMYFUNCTION("IF
(
C13815=""фізична особа""
,
VLOOKUP(D13815,IMPORTRANGE(""https://docs.google.com/spreadsheets/d/14Bd19lYaqBhU8_DElYkX7l4wRkHqqCUFNJY4AfY3kHU/edit?usp=sharing  #gid=0"",""фіз особи new!relations_name""),6,FALSE)
,
(IF
(
C13815=""юридична особа""
,
VLOO"&amp;"KUP(D13815,IMPORTRANGE(""https://docs.google.com/spreadsheets/d/14Bd19lYaqBhU8_DElYkX7l4wRkHqqCUFNJY4AfY3kHU/edit?usp=sharing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4" s="7" t="s">
        <v>10</v>
      </c>
      <c r="H13814" s="7">
        <v>0</v>
      </c>
      <c r="I13814" s="8" t="str">
        <f ca="1">IFERROR(__xludf.DUMMYFUNCTION("IF
(
G13815=""фізична особа""
,
VLOOKUP(H13815,IMPORTRANGE(""https://docs.google.com/spreadsheets/d/14Bd19lYaqBhU8_DElYkX7l4wRkHqqCUFNJY4AfY3kHU/edit?usp=sharing  #gid=0"",""фіз особи new!relations_name""),6,FALSE)
,
(IF
(
G13815=""юридична особа""
,
VLOO"&amp;"KUP(H13815,IMPORTRANGE(""https://docs.google.com/spreadsheets/d/14Bd19lYaqBhU8_DElYkX7l4wRkHqqCUFNJY4AfY3kHU/edit?usp=sharing  #gid=0"",""фіз особи new!relations_name_uo""),7,FALSE)
,
)
))"),"#N/A")</f>
        <v>#N/A</v>
      </c>
      <c r="J13814" s="7" t="s">
        <v>23</v>
      </c>
    </row>
    <row r="13815" spans="1:10" ht="13.2">
      <c r="A13815" s="7">
        <v>13814</v>
      </c>
      <c r="B13815" s="7">
        <v>1</v>
      </c>
      <c r="C13815" s="7" t="s">
        <v>10</v>
      </c>
      <c r="D13815" s="7">
        <v>18763</v>
      </c>
      <c r="E13815" s="7" t="s">
        <v>23</v>
      </c>
      <c r="F13815" s="8" t="str">
        <f ca="1">IFERROR(__xludf.DUMMYFUNCTION("IF
(
C13816=""фізична особа""
,
VLOOKUP(D13816,IMPORTRANGE(""https://docs.google.com/spreadsheets/d/14Bd19lYaqBhU8_DElYkX7l4wRkHqqCUFNJY4AfY3kHU/edit?usp=sharing  #gid=0"",""фіз особи new!relations_name""),6,FALSE)
,
(IF
(
C13816=""юридична особа""
,
VLOO"&amp;"KUP(D13816,IMPORTRANGE(""https://docs.google.com/spreadsheets/d/14Bd19lYaqBhU8_DElYkX7l4wRkHqqCUFNJY4AfY3kHU/edit?usp=sharing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5" s="7" t="s">
        <v>10</v>
      </c>
      <c r="H13815" s="7">
        <v>0</v>
      </c>
      <c r="I13815" s="8" t="str">
        <f ca="1">IFERROR(__xludf.DUMMYFUNCTION("IF
(
G13816=""фізична особа""
,
VLOOKUP(H13816,IMPORTRANGE(""https://docs.google.com/spreadsheets/d/14Bd19lYaqBhU8_DElYkX7l4wRkHqqCUFNJY4AfY3kHU/edit?usp=sharing  #gid=0"",""фіз особи new!relations_name""),6,FALSE)
,
(IF
(
G13816=""юридична особа""
,
VLOO"&amp;"KUP(H13816,IMPORTRANGE(""https://docs.google.com/spreadsheets/d/14Bd19lYaqBhU8_DElYkX7l4wRkHqqCUFNJY4AfY3kHU/edit?usp=sharing  #gid=0"",""фіз особи new!relations_name_uo""),7,FALSE)
,
)
))"),"#N/A")</f>
        <v>#N/A</v>
      </c>
      <c r="J13815" s="7" t="s">
        <v>23</v>
      </c>
    </row>
    <row r="13816" spans="1:10" ht="13.2">
      <c r="A13816" s="7">
        <v>13815</v>
      </c>
      <c r="B13816" s="7">
        <v>1</v>
      </c>
      <c r="C13816" s="7" t="s">
        <v>10</v>
      </c>
      <c r="D13816" s="7">
        <v>18763</v>
      </c>
      <c r="E13816" s="7" t="s">
        <v>23</v>
      </c>
      <c r="F13816" s="8" t="str">
        <f ca="1">IFERROR(__xludf.DUMMYFUNCTION("IF
(
C13817=""фізична особа""
,
VLOOKUP(D13817,IMPORTRANGE(""https://docs.google.com/spreadsheets/d/14Bd19lYaqBhU8_DElYkX7l4wRkHqqCUFNJY4AfY3kHU/edit?usp=sharing  #gid=0"",""фіз особи new!relations_name""),6,FALSE)
,
(IF
(
C13817=""юридична особа""
,
VLOO"&amp;"KUP(D13817,IMPORTRANGE(""https://docs.google.com/spreadsheets/d/14Bd19lYaqBhU8_DElYkX7l4wRkHqqCUFNJY4AfY3kHU/edit?usp=sharing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G13816" s="7" t="s">
        <v>10</v>
      </c>
      <c r="H13816" s="7">
        <v>0</v>
      </c>
      <c r="I13816" s="8" t="str">
        <f ca="1">IFERROR(__xludf.DUMMYFUNCTION("IF
(
G13817=""фізична особа""
,
VLOOKUP(H13817,IMPORTRANGE(""https://docs.google.com/spreadsheets/d/14Bd19lYaqBhU8_DElYkX7l4wRkHqqCUFNJY4AfY3kHU/edit?usp=sharing  #gid=0"",""фіз особи new!relations_name""),6,FALSE)
,
(IF
(
G13817=""юридична особа""
,
VLOO"&amp;"KUP(H13817,IMPORTRANGE(""https://docs.google.com/spreadsheets/d/14Bd19lYaqBhU8_DElYkX7l4wRkHqqCUFNJY4AfY3kHU/edit?usp=sharing  #gid=0"",""фіз особи new!relations_name_uo""),7,FALSE)
,
)
))"),"#N/A")</f>
        <v>#N/A</v>
      </c>
      <c r="J13816" s="7" t="s">
        <v>23</v>
      </c>
    </row>
    <row r="13817" spans="1:10" ht="13.2">
      <c r="A13817" s="7">
        <v>13816</v>
      </c>
      <c r="B13817" s="7">
        <v>1</v>
      </c>
      <c r="C13817" s="7" t="s">
        <v>10</v>
      </c>
      <c r="D13817" s="7">
        <v>18764</v>
      </c>
      <c r="E13817" s="7" t="s">
        <v>23</v>
      </c>
      <c r="F13817" s="8" t="str">
        <f ca="1">IFERROR(__xludf.DUMMYFUNCTION("IF
(
C13818=""фізична особа""
,
VLOOKUP(D13818,IMPORTRANGE(""https://docs.google.com/spreadsheets/d/14Bd19lYaqBhU8_DElYkX7l4wRkHqqCUFNJY4AfY3kHU/edit?usp=sharing  #gid=0"",""фіз особи new!relations_name""),6,FALSE)
,
(IF
(
C13818=""юридична особа""
,
VLOO"&amp;"KUP(D13818,IMPORTRANGE(""https://docs.google.com/spreadsheets/d/14Bd19lYaqBhU8_DElYkX7l4wRkHqqCUFNJY4AfY3kHU/edit?usp=sharing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17" s="7" t="s">
        <v>10</v>
      </c>
      <c r="H13817" s="7">
        <v>18761</v>
      </c>
      <c r="I13817" s="8" t="str">
        <f ca="1">IFERROR(__xludf.DUMMYFUNCTION("IF
(
G13818=""фізична особа""
,
VLOOKUP(H13818,IMPORTRANGE(""https://docs.google.com/spreadsheets/d/14Bd19lYaqBhU8_DElYkX7l4wRkHqqCUFNJY4AfY3kHU/edit?usp=sharing  #gid=0"",""фіз особи new!relations_name""),6,FALSE)
,
(IF
(
G13818=""юридична особа""
,
VLOO"&amp;"KUP(H13818,IMPORTRANGE(""https://docs.google.com/spreadsheets/d/14Bd19lYaqBhU8_DElYkX7l4wRkHqqCUFNJY4AfY3kHU/edit?usp=sharing  #gid=0"",""фіз особи new!relations_name_uo""),7,FALSE)
,
)
))"),"ЧЕМЕНДРЯКОВ Дмитро Вікторович")</f>
        <v>ЧЕМЕНДРЯКОВ Дмитро Вікторович</v>
      </c>
      <c r="J13817" s="7" t="s">
        <v>23</v>
      </c>
    </row>
    <row r="13818" spans="1:10" ht="13.2">
      <c r="A13818" s="7">
        <v>13817</v>
      </c>
      <c r="B13818" s="7">
        <v>1</v>
      </c>
      <c r="C13818" s="7" t="s">
        <v>10</v>
      </c>
      <c r="D13818" s="7">
        <v>18764</v>
      </c>
      <c r="E13818" s="7" t="s">
        <v>23</v>
      </c>
      <c r="F13818" s="8" t="str">
        <f ca="1">IFERROR(__xludf.DUMMYFUNCTION("IF
(
C13819=""фізична особа""
,
VLOOKUP(D13819,IMPORTRANGE(""https://docs.google.com/spreadsheets/d/14Bd19lYaqBhU8_DElYkX7l4wRkHqqCUFNJY4AfY3kHU/edit?usp=sharing  #gid=0"",""фіз особи new!relations_name""),6,FALSE)
,
(IF
(
C13819=""юридична особа""
,
VLOO"&amp;"KUP(D13819,IMPORTRANGE(""https://docs.google.com/spreadsheets/d/14Bd19lYaqBhU8_DElYkX7l4wRkHqqCUFNJY4AfY3kHU/edit?usp=sharing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18" s="7" t="s">
        <v>10</v>
      </c>
      <c r="H13818" s="7">
        <v>18763</v>
      </c>
      <c r="I13818" s="8" t="str">
        <f ca="1">IFERROR(__xludf.DUMMYFUNCTION("IF
(
G13819=""фізична особа""
,
VLOOKUP(H13819,IMPORTRANGE(""https://docs.google.com/spreadsheets/d/14Bd19lYaqBhU8_DElYkX7l4wRkHqqCUFNJY4AfY3kHU/edit?usp=sharing  #gid=0"",""фіз особи new!relations_name""),6,FALSE)
,
(IF
(
G13819=""юридична особа""
,
VLOO"&amp;"KUP(H13819,IMPORTRANGE(""https://docs.google.com/spreadsheets/d/14Bd19lYaqBhU8_DElYkX7l4wRkHqqCUFNJY4AfY3kHU/edit?usp=sharing  #gid=0"",""фіз особи new!relations_name_uo""),7,FALSE)
,
)
))"),"ЧАЙКА Віолетта Володимирівна")</f>
        <v>ЧАЙКА Віолетта Володимирівна</v>
      </c>
      <c r="J13818" s="7" t="s">
        <v>23</v>
      </c>
    </row>
    <row r="13819" spans="1:10" ht="13.2">
      <c r="A13819" s="7">
        <v>13818</v>
      </c>
      <c r="B13819" s="7">
        <v>1</v>
      </c>
      <c r="C13819" s="7" t="s">
        <v>10</v>
      </c>
      <c r="D13819" s="7">
        <v>18764</v>
      </c>
      <c r="E13819" s="7" t="s">
        <v>23</v>
      </c>
      <c r="F13819" s="8" t="str">
        <f ca="1">IFERROR(__xludf.DUMMYFUNCTION("IF
(
C13820=""фізична особа""
,
VLOOKUP(D13820,IMPORTRANGE(""https://docs.google.com/spreadsheets/d/14Bd19lYaqBhU8_DElYkX7l4wRkHqqCUFNJY4AfY3kHU/edit?usp=sharing  #gid=0"",""фіз особи new!relations_name""),6,FALSE)
,
(IF
(
C13820=""юридична особа""
,
VLOO"&amp;"KUP(D13820,IMPORTRANGE(""https://docs.google.com/spreadsheets/d/14Bd19lYaqBhU8_DElYkX7l4wRkHqqCUFNJY4AfY3kHU/edit?usp=sharing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19" s="7" t="s">
        <v>10</v>
      </c>
      <c r="H13819" s="7">
        <v>18762</v>
      </c>
      <c r="I13819" s="8" t="str">
        <f ca="1">IFERROR(__xludf.DUMMYFUNCTION("IF
(
G13820=""фізична особа""
,
VLOOKUP(H13820,IMPORTRANGE(""https://docs.google.com/spreadsheets/d/14Bd19lYaqBhU8_DElYkX7l4wRkHqqCUFNJY4AfY3kHU/edit?usp=sharing  #gid=0"",""фіз особи new!relations_name""),6,FALSE)
,
(IF
(
G13820=""юридична особа""
,
VLOO"&amp;"KUP(H13820,IMPORTRANGE(""https://docs.google.com/spreadsheets/d/14Bd19lYaqBhU8_DElYkX7l4wRkHqqCUFNJY4AfY3kHU/edit?usp=sharing  #gid=0"",""фіз особи new!relations_name_uo""),7,FALSE)
,
)
))"),"ЗАГІДУЛІН Ібрагім Сабірович")</f>
        <v>ЗАГІДУЛІН Ібрагім Сабірович</v>
      </c>
      <c r="J13819" s="7" t="s">
        <v>23</v>
      </c>
    </row>
    <row r="13820" spans="1:10" ht="13.2">
      <c r="A13820" s="7">
        <v>13819</v>
      </c>
      <c r="B13820" s="7">
        <v>1</v>
      </c>
      <c r="C13820" s="7" t="s">
        <v>10</v>
      </c>
      <c r="D13820" s="7">
        <v>18764</v>
      </c>
      <c r="E13820" s="7" t="s">
        <v>23</v>
      </c>
      <c r="F13820" s="8" t="str">
        <f ca="1">IFERROR(__xludf.DUMMYFUNCTION("IF
(
C13821=""фізична особа""
,
VLOOKUP(D13821,IMPORTRANGE(""https://docs.google.com/spreadsheets/d/14Bd19lYaqBhU8_DElYkX7l4wRkHqqCUFNJY4AfY3kHU/edit?usp=sharing  #gid=0"",""фіз особи new!relations_name""),6,FALSE)
,
(IF
(
C13821=""юридична особа""
,
VLOO"&amp;"KUP(D13821,IMPORTRANGE(""https://docs.google.com/spreadsheets/d/14Bd19lYaqBhU8_DElYkX7l4wRkHqqCUFNJY4AfY3kHU/edit?usp=sharing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20" s="7" t="s">
        <v>10</v>
      </c>
      <c r="H13820" s="7">
        <v>17624</v>
      </c>
      <c r="I13820" s="8" t="str">
        <f ca="1">IFERROR(__xludf.DUMMYFUNCTION("IF
(
G13821=""фізична особа""
,
VLOOKUP(H13821,IMPORTRANGE(""https://docs.google.com/spreadsheets/d/14Bd19lYaqBhU8_DElYkX7l4wRkHqqCUFNJY4AfY3kHU/edit?usp=sharing  #gid=0"",""фіз особи new!relations_name""),6,FALSE)
,
(IF
(
G13821=""юридична особа""
,
VLOO"&amp;"KUP(H13821,IMPORTRANGE(""https://docs.google.com/spreadsheets/d/14Bd19lYaqBhU8_DElYkX7l4wRkHqqCUFNJY4AfY3kHU/edit?usp=sharing  #gid=0"",""фіз особи new!relations_name_uo""),7,FALSE)
,
)
))"),"ТИРИШКІН Іван Олександрович")</f>
        <v>ТИРИШКІН Іван Олександрович</v>
      </c>
      <c r="J13820" s="7" t="s">
        <v>23</v>
      </c>
    </row>
    <row r="13821" spans="1:10" ht="13.2">
      <c r="A13821" s="7">
        <v>13820</v>
      </c>
      <c r="B13821" s="7">
        <v>1</v>
      </c>
      <c r="C13821" s="7" t="s">
        <v>10</v>
      </c>
      <c r="D13821" s="7">
        <v>18764</v>
      </c>
      <c r="E13821" s="7" t="s">
        <v>23</v>
      </c>
      <c r="F13821" s="8" t="str">
        <f ca="1">IFERROR(__xludf.DUMMYFUNCTION("IF
(
C13822=""фізична особа""
,
VLOOKUP(D13822,IMPORTRANGE(""https://docs.google.com/spreadsheets/d/14Bd19lYaqBhU8_DElYkX7l4wRkHqqCUFNJY4AfY3kHU/edit?usp=sharing  #gid=0"",""фіз особи new!relations_name""),6,FALSE)
,
(IF
(
C13822=""юридична особа""
,
VLOO"&amp;"KUP(D13822,IMPORTRANGE(""https://docs.google.com/spreadsheets/d/14Bd19lYaqBhU8_DElYkX7l4wRkHqqCUFNJY4AfY3kHU/edit?usp=sharing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21" s="7" t="s">
        <v>10</v>
      </c>
      <c r="H13821" s="7">
        <v>6047</v>
      </c>
      <c r="I13821" s="8" t="str">
        <f ca="1">IFERROR(__xludf.DUMMYFUNCTION("IF
(
G13822=""фізична особа""
,
VLOOKUP(H13822,IMPORTRANGE(""https://docs.google.com/spreadsheets/d/14Bd19lYaqBhU8_DElYkX7l4wRkHqqCUFNJY4AfY3kHU/edit?usp=sharing  #gid=0"",""фіз особи new!relations_name""),6,FALSE)
,
(IF
(
G13822=""юридична особа""
,
VLOO"&amp;"KUP(H13822,IMPORTRANGE(""https://docs.google.com/spreadsheets/d/14Bd19lYaqBhU8_DElYkX7l4wRkHqqCUFNJY4AfY3kHU/edit?usp=sharing  #gid=0"",""фіз особи new!relations_name_uo""),7,FALSE)
,
)
))"),"СТЕКАНОВ Володимир Ігорович")</f>
        <v>СТЕКАНОВ Володимир Ігорович</v>
      </c>
      <c r="J13821" s="7" t="s">
        <v>23</v>
      </c>
    </row>
    <row r="13822" spans="1:10" ht="13.2">
      <c r="A13822" s="7">
        <v>13821</v>
      </c>
      <c r="B13822" s="7">
        <v>1</v>
      </c>
      <c r="C13822" s="7" t="s">
        <v>10</v>
      </c>
      <c r="D13822" s="7">
        <v>18764</v>
      </c>
      <c r="E13822" s="7" t="s">
        <v>23</v>
      </c>
      <c r="F13822" s="8" t="str">
        <f ca="1">IFERROR(__xludf.DUMMYFUNCTION("IF
(
C13823=""фізична особа""
,
VLOOKUP(D13823,IMPORTRANGE(""https://docs.google.com/spreadsheets/d/14Bd19lYaqBhU8_DElYkX7l4wRkHqqCUFNJY4AfY3kHU/edit?usp=sharing  #gid=0"",""фіз особи new!relations_name""),6,FALSE)
,
(IF
(
C13823=""юридична особа""
,
VLOO"&amp;"KUP(D13823,IMPORTRANGE(""https://docs.google.com/spreadsheets/d/14Bd19lYaqBhU8_DElYkX7l4wRkHqqCUFNJY4AfY3kHU/edit?usp=sharing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22" s="7" t="s">
        <v>10</v>
      </c>
      <c r="H13822" s="7">
        <v>23629</v>
      </c>
      <c r="I13822" s="8" t="str">
        <f ca="1">IFERROR(__xludf.DUMMYFUNCTION("IF
(
G13823=""фізична особа""
,
VLOOKUP(H13823,IMPORTRANGE(""https://docs.google.com/spreadsheets/d/14Bd19lYaqBhU8_DElYkX7l4wRkHqqCUFNJY4AfY3kHU/edit?usp=sharing  #gid=0"",""фіз особи new!relations_name""),6,FALSE)
,
(IF
(
G13823=""юридична особа""
,
VLOO"&amp;"KUP(H13823,IMPORTRANGE(""https://docs.google.com/spreadsheets/d/14Bd19lYaqBhU8_DElYkX7l4wRkHqqCUFNJY4AfY3kHU/edit?usp=sharing  #gid=0"",""фіз особи new!relations_name_uo""),7,FALSE)
,
)
))"),"ТРУБІН Михайло Миколайович")</f>
        <v>ТРУБІН Михайло Миколайович</v>
      </c>
      <c r="J13822" s="7" t="s">
        <v>23</v>
      </c>
    </row>
    <row r="13823" spans="1:10" ht="13.2">
      <c r="A13823" s="7">
        <v>13822</v>
      </c>
      <c r="B13823" s="7">
        <v>1</v>
      </c>
      <c r="C13823" s="7" t="s">
        <v>10</v>
      </c>
      <c r="D13823" s="7">
        <v>18764</v>
      </c>
      <c r="E13823" s="7" t="s">
        <v>23</v>
      </c>
      <c r="F13823" s="8" t="str">
        <f ca="1">IFERROR(__xludf.DUMMYFUNCTION("IF
(
C13824=""фізична особа""
,
VLOOKUP(D13824,IMPORTRANGE(""https://docs.google.com/spreadsheets/d/14Bd19lYaqBhU8_DElYkX7l4wRkHqqCUFNJY4AfY3kHU/edit?usp=sharing  #gid=0"",""фіз особи new!relations_name""),6,FALSE)
,
(IF
(
C13824=""юридична особа""
,
VLOO"&amp;"KUP(D13824,IMPORTRANGE(""https://docs.google.com/spreadsheets/d/14Bd19lYaqBhU8_DElYkX7l4wRkHqqCUFNJY4AfY3kHU/edit?usp=sharing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23" s="7" t="s">
        <v>10</v>
      </c>
      <c r="H13823" s="7">
        <v>23630</v>
      </c>
      <c r="I13823" s="8" t="str">
        <f ca="1">IFERROR(__xludf.DUMMYFUNCTION("IF
(
G13824=""фізична особа""
,
VLOOKUP(H13824,IMPORTRANGE(""https://docs.google.com/spreadsheets/d/14Bd19lYaqBhU8_DElYkX7l4wRkHqqCUFNJY4AfY3kHU/edit?usp=sharing  #gid=0"",""фіз особи new!relations_name""),6,FALSE)
,
(IF
(
G13824=""юридична особа""
,
VLOO"&amp;"KUP(H13824,IMPORTRANGE(""https://docs.google.com/spreadsheets/d/14Bd19lYaqBhU8_DElYkX7l4wRkHqqCUFNJY4AfY3kHU/edit?usp=sharing  #gid=0"",""фіз особи new!relations_name_uo""),7,FALSE)
,
)
))"),"ЖИМЕРІНА Ірина Олександрівна")</f>
        <v>ЖИМЕРІНА Ірина Олександрівна</v>
      </c>
      <c r="J13823" s="7" t="s">
        <v>23</v>
      </c>
    </row>
    <row r="13824" spans="1:10" ht="13.2">
      <c r="A13824" s="7">
        <v>13823</v>
      </c>
      <c r="B13824" s="7">
        <v>1</v>
      </c>
      <c r="C13824" s="7" t="s">
        <v>10</v>
      </c>
      <c r="D13824" s="7">
        <v>18764</v>
      </c>
      <c r="E13824" s="7" t="s">
        <v>23</v>
      </c>
      <c r="F13824" s="8" t="str">
        <f ca="1">IFERROR(__xludf.DUMMYFUNCTION("IF
(
C13825=""фізична особа""
,
VLOOKUP(D13825,IMPORTRANGE(""https://docs.google.com/spreadsheets/d/14Bd19lYaqBhU8_DElYkX7l4wRkHqqCUFNJY4AfY3kHU/edit?usp=sharing  #gid=0"",""фіз особи new!relations_name""),6,FALSE)
,
(IF
(
C13825=""юридична особа""
,
VLOO"&amp;"KUP(D13825,IMPORTRANGE(""https://docs.google.com/spreadsheets/d/14Bd19lYaqBhU8_DElYkX7l4wRkHqqCUFNJY4AfY3kHU/edit?usp=sharing  #gid=0"",""фіз особи new!relations_name_uo""),7,FALSE)
,
)
))"),"МАРТИНЕНКО Олена Володимирівна")</f>
        <v>МАРТИНЕНКО Олена Володимирівна</v>
      </c>
      <c r="G13824" s="7" t="s">
        <v>10</v>
      </c>
      <c r="H13824" s="7">
        <v>17593</v>
      </c>
      <c r="I13824" s="8" t="str">
        <f ca="1">IFERROR(__xludf.DUMMYFUNCTION("IF
(
G13825=""фізична особа""
,
VLOOKUP(H13825,IMPORTRANGE(""https://docs.google.com/spreadsheets/d/14Bd19lYaqBhU8_DElYkX7l4wRkHqqCUFNJY4AfY3kHU/edit?usp=sharing  #gid=0"",""фіз особи new!relations_name""),6,FALSE)
,
(IF
(
G13825=""юридична особа""
,
VLOO"&amp;"KUP(H13825,IMPORTRANGE(""https://docs.google.com/spreadsheets/d/14Bd19lYaqBhU8_DElYkX7l4wRkHqqCUFNJY4AfY3kHU/edit?usp=sharing  #gid=0"",""фіз особи new!relations_name_uo""),7,FALSE)
,
)
))"),"АНТОНЕНКО Олександр Володимирович")</f>
        <v>АНТОНЕНКО Олександр Володимирович</v>
      </c>
      <c r="J13824" s="7" t="s">
        <v>23</v>
      </c>
    </row>
    <row r="13825" spans="1:10" ht="13.2">
      <c r="A13825" s="7">
        <v>13824</v>
      </c>
      <c r="B13825" s="7">
        <v>1</v>
      </c>
      <c r="C13825" s="7" t="s">
        <v>10</v>
      </c>
      <c r="D13825" s="7">
        <v>18765</v>
      </c>
      <c r="E13825" s="7" t="s">
        <v>23</v>
      </c>
      <c r="F13825" s="8" t="str">
        <f ca="1">IFERROR(__xludf.DUMMYFUNCTION("IF
(
C13826=""фізична особа""
,
VLOOKUP(D13826,IMPORTRANGE(""https://docs.google.com/spreadsheets/d/14Bd19lYaqBhU8_DElYkX7l4wRkHqqCUFNJY4AfY3kHU/edit?usp=sharing  #gid=0"",""фіз особи new!relations_name""),6,FALSE)
,
(IF
(
C13826=""юридична особа""
,
VLOO"&amp;"KUP(D13826,IMPORTRANGE(""https://docs.google.com/spreadsheets/d/14Bd19lYaqBhU8_DElYkX7l4wRkHqqCUFNJY4AfY3kHU/edit?usp=sharing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25" s="7" t="s">
        <v>10</v>
      </c>
      <c r="H13825" s="7">
        <v>0</v>
      </c>
      <c r="I13825" s="8" t="str">
        <f ca="1">IFERROR(__xludf.DUMMYFUNCTION("IF
(
G13826=""фізична особа""
,
VLOOKUP(H13826,IMPORTRANGE(""https://docs.google.com/spreadsheets/d/14Bd19lYaqBhU8_DElYkX7l4wRkHqqCUFNJY4AfY3kHU/edit?usp=sharing  #gid=0"",""фіз особи new!relations_name""),6,FALSE)
,
(IF
(
G13826=""юридична особа""
,
VLOO"&amp;"KUP(H13826,IMPORTRANGE(""https://docs.google.com/spreadsheets/d/14Bd19lYaqBhU8_DElYkX7l4wRkHqqCUFNJY4AfY3kHU/edit?usp=sharing  #gid=0"",""фіз особи new!relations_name_uo""),7,FALSE)
,
)
))"),"#N/A")</f>
        <v>#N/A</v>
      </c>
      <c r="J13825" s="7" t="s">
        <v>23</v>
      </c>
    </row>
    <row r="13826" spans="1:10" ht="13.2">
      <c r="A13826" s="7">
        <v>13825</v>
      </c>
      <c r="B13826" s="7">
        <v>1</v>
      </c>
      <c r="C13826" s="7" t="s">
        <v>10</v>
      </c>
      <c r="D13826" s="7">
        <v>18765</v>
      </c>
      <c r="E13826" s="7" t="s">
        <v>18</v>
      </c>
      <c r="F13826" s="8" t="str">
        <f ca="1">IFERROR(__xludf.DUMMYFUNCTION("IF
(
C13827=""фізична особа""
,
VLOOKUP(D13827,IMPORTRANGE(""https://docs.google.com/spreadsheets/d/14Bd19lYaqBhU8_DElYkX7l4wRkHqqCUFNJY4AfY3kHU/edit?usp=sharing  #gid=0"",""фіз особи new!relations_name""),6,FALSE)
,
(IF
(
C13827=""юридична особа""
,
VLOO"&amp;"KUP(D13827,IMPORTRANGE(""https://docs.google.com/spreadsheets/d/14Bd19lYaqBhU8_DElYkX7l4wRkHqqCUFNJY4AfY3kHU/edit?usp=sharing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26" s="7" t="s">
        <v>10</v>
      </c>
      <c r="H13826" s="7">
        <v>18775</v>
      </c>
      <c r="I13826" s="8" t="str">
        <f ca="1">IFERROR(__xludf.DUMMYFUNCTION("IF
(
G13827=""фізична особа""
,
VLOOKUP(H13827,IMPORTRANGE(""https://docs.google.com/spreadsheets/d/14Bd19lYaqBhU8_DElYkX7l4wRkHqqCUFNJY4AfY3kHU/edit?usp=sharing  #gid=0"",""фіз особи new!relations_name""),6,FALSE)
,
(IF
(
G13827=""юридична особа""
,
VLOO"&amp;"KUP(H13827,IMPORTRANGE(""https://docs.google.com/spreadsheets/d/14Bd19lYaqBhU8_DElYkX7l4wRkHqqCUFNJY4AfY3kHU/edit?usp=sharing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J13826" s="7" t="s">
        <v>18</v>
      </c>
    </row>
    <row r="13827" spans="1:10" ht="13.2">
      <c r="A13827" s="7">
        <v>13826</v>
      </c>
      <c r="B13827" s="7">
        <v>1</v>
      </c>
      <c r="C13827" s="7" t="s">
        <v>10</v>
      </c>
      <c r="D13827" s="7">
        <v>18765</v>
      </c>
      <c r="E13827" s="7" t="s">
        <v>14</v>
      </c>
      <c r="F13827" s="8" t="str">
        <f ca="1">IFERROR(__xludf.DUMMYFUNCTION("IF
(
C13828=""фізична особа""
,
VLOOKUP(D13828,IMPORTRANGE(""https://docs.google.com/spreadsheets/d/14Bd19lYaqBhU8_DElYkX7l4wRkHqqCUFNJY4AfY3kHU/edit?usp=sharing  #gid=0"",""фіз особи new!relations_name""),6,FALSE)
,
(IF
(
C13828=""юридична особа""
,
VLOO"&amp;"KUP(D13828,IMPORTRANGE(""https://docs.google.com/spreadsheets/d/14Bd19lYaqBhU8_DElYkX7l4wRkHqqCUFNJY4AfY3kHU/edit?usp=sharing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27" s="7" t="s">
        <v>10</v>
      </c>
      <c r="H13827" s="7">
        <v>0</v>
      </c>
      <c r="I13827" s="8" t="str">
        <f ca="1">IFERROR(__xludf.DUMMYFUNCTION("IF
(
G13828=""фізична особа""
,
VLOOKUP(H13828,IMPORTRANGE(""https://docs.google.com/spreadsheets/d/14Bd19lYaqBhU8_DElYkX7l4wRkHqqCUFNJY4AfY3kHU/edit?usp=sharing  #gid=0"",""фіз особи new!relations_name""),6,FALSE)
,
(IF
(
G13828=""юридична особа""
,
VLOO"&amp;"KUP(H13828,IMPORTRANGE(""https://docs.google.com/spreadsheets/d/14Bd19lYaqBhU8_DElYkX7l4wRkHqqCUFNJY4AfY3kHU/edit?usp=sharing  #gid=0"",""фіз особи new!relations_name_uo""),7,FALSE)
,
)
))"),"#N/A")</f>
        <v>#N/A</v>
      </c>
      <c r="J13827" s="7" t="s">
        <v>15</v>
      </c>
    </row>
    <row r="13828" spans="1:10" ht="13.2">
      <c r="A13828" s="7">
        <v>13827</v>
      </c>
      <c r="B13828" s="7">
        <v>1</v>
      </c>
      <c r="C13828" s="7" t="s">
        <v>10</v>
      </c>
      <c r="D13828" s="7">
        <v>18765</v>
      </c>
      <c r="E13828" s="7" t="s">
        <v>12</v>
      </c>
      <c r="F13828" s="8" t="str">
        <f ca="1">IFERROR(__xludf.DUMMYFUNCTION("IF
(
C13829=""фізична особа""
,
VLOOKUP(D13829,IMPORTRANGE(""https://docs.google.com/spreadsheets/d/14Bd19lYaqBhU8_DElYkX7l4wRkHqqCUFNJY4AfY3kHU/edit?usp=sharing  #gid=0"",""фіз особи new!relations_name""),6,FALSE)
,
(IF
(
C13829=""юридична особа""
,
VLOO"&amp;"KUP(D13829,IMPORTRANGE(""https://docs.google.com/spreadsheets/d/14Bd19lYaqBhU8_DElYkX7l4wRkHqqCUFNJY4AfY3kHU/edit?usp=sharing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28" s="7" t="s">
        <v>10</v>
      </c>
      <c r="H13828" s="7">
        <v>18775</v>
      </c>
      <c r="I13828" s="8" t="str">
        <f ca="1">IFERROR(__xludf.DUMMYFUNCTION("IF
(
G13829=""фізична особа""
,
VLOOKUP(H13829,IMPORTRANGE(""https://docs.google.com/spreadsheets/d/14Bd19lYaqBhU8_DElYkX7l4wRkHqqCUFNJY4AfY3kHU/edit?usp=sharing  #gid=0"",""фіз особи new!relations_name""),6,FALSE)
,
(IF
(
G13829=""юридична особа""
,
VLOO"&amp;"KUP(H13829,IMPORTRANGE(""https://docs.google.com/spreadsheets/d/14Bd19lYaqBhU8_DElYkX7l4wRkHqqCUFNJY4AfY3kHU/edit?usp=sharing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J13828" s="7" t="s">
        <v>17</v>
      </c>
    </row>
    <row r="13829" spans="1:10" ht="13.2">
      <c r="A13829" s="7">
        <v>13828</v>
      </c>
      <c r="B13829" s="7">
        <v>1</v>
      </c>
      <c r="C13829" s="7" t="s">
        <v>10</v>
      </c>
      <c r="D13829" s="7">
        <v>18765</v>
      </c>
      <c r="E13829" s="7" t="s">
        <v>12</v>
      </c>
      <c r="F13829" s="8" t="str">
        <f ca="1">IFERROR(__xludf.DUMMYFUNCTION("IF
(
C13830=""фізична особа""
,
VLOOKUP(D13830,IMPORTRANGE(""https://docs.google.com/spreadsheets/d/14Bd19lYaqBhU8_DElYkX7l4wRkHqqCUFNJY4AfY3kHU/edit?usp=sharing  #gid=0"",""фіз особи new!relations_name""),6,FALSE)
,
(IF
(
C13830=""юридична особа""
,
VLOO"&amp;"KUP(D13830,IMPORTRANGE(""https://docs.google.com/spreadsheets/d/14Bd19lYaqBhU8_DElYkX7l4wRkHqqCUFNJY4AfY3kHU/edit?usp=sharing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29" s="7" t="s">
        <v>10</v>
      </c>
      <c r="H13829" s="7">
        <v>23679</v>
      </c>
      <c r="I13829" s="8" t="str">
        <f ca="1">IFERROR(__xludf.DUMMYFUNCTION("IF
(
G13830=""фізична особа""
,
VLOOKUP(H13830,IMPORTRANGE(""https://docs.google.com/spreadsheets/d/14Bd19lYaqBhU8_DElYkX7l4wRkHqqCUFNJY4AfY3kHU/edit?usp=sharing  #gid=0"",""фіз особи new!relations_name""),6,FALSE)
,
(IF
(
G13830=""юридична особа""
,
VLOO"&amp;"KUP(H13830,IMPORTRANGE(""https://docs.google.com/spreadsheets/d/14Bd19lYaqBhU8_DElYkX7l4wRkHqqCUFNJY4AfY3kHU/edit?usp=sharing  #gid=0"",""фіз особи new!relations_name_uo""),7,FALSE)
,
)
))"),"СЕРБІНОВ Олександр Ігорович")</f>
        <v>СЕРБІНОВ Олександр Ігорович</v>
      </c>
      <c r="J13829" s="7" t="s">
        <v>17</v>
      </c>
    </row>
    <row r="13830" spans="1:10" ht="13.2">
      <c r="A13830" s="7">
        <v>13829</v>
      </c>
      <c r="B13830" s="7">
        <v>1</v>
      </c>
      <c r="C13830" s="7" t="s">
        <v>10</v>
      </c>
      <c r="D13830" s="7">
        <v>18765</v>
      </c>
      <c r="E13830" s="7" t="s">
        <v>23</v>
      </c>
      <c r="F13830" s="8" t="str">
        <f ca="1">IFERROR(__xludf.DUMMYFUNCTION("IF
(
C13831=""фізична особа""
,
VLOOKUP(D13831,IMPORTRANGE(""https://docs.google.com/spreadsheets/d/14Bd19lYaqBhU8_DElYkX7l4wRkHqqCUFNJY4AfY3kHU/edit?usp=sharing  #gid=0"",""фіз особи new!relations_name""),6,FALSE)
,
(IF
(
C13831=""юридична особа""
,
VLOO"&amp;"KUP(D13831,IMPORTRANGE(""https://docs.google.com/spreadsheets/d/14Bd19lYaqBhU8_DElYkX7l4wRkHqqCUFNJY4AfY3kHU/edit?usp=sharing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0" s="7" t="s">
        <v>10</v>
      </c>
      <c r="H13830" s="7">
        <v>0</v>
      </c>
      <c r="I13830" s="8" t="str">
        <f ca="1">IFERROR(__xludf.DUMMYFUNCTION("IF
(
G13831=""фізична особа""
,
VLOOKUP(H13831,IMPORTRANGE(""https://docs.google.com/spreadsheets/d/14Bd19lYaqBhU8_DElYkX7l4wRkHqqCUFNJY4AfY3kHU/edit?usp=sharing  #gid=0"",""фіз особи new!relations_name""),6,FALSE)
,
(IF
(
G13831=""юридична особа""
,
VLOO"&amp;"KUP(H13831,IMPORTRANGE(""https://docs.google.com/spreadsheets/d/14Bd19lYaqBhU8_DElYkX7l4wRkHqqCUFNJY4AfY3kHU/edit?usp=sharing  #gid=0"",""фіз особи new!relations_name_uo""),7,FALSE)
,
)
))"),"#N/A")</f>
        <v>#N/A</v>
      </c>
      <c r="J13830" s="7" t="s">
        <v>23</v>
      </c>
    </row>
    <row r="13831" spans="1:10" ht="13.2">
      <c r="A13831" s="7">
        <v>13830</v>
      </c>
      <c r="B13831" s="7">
        <v>1</v>
      </c>
      <c r="C13831" s="7" t="s">
        <v>10</v>
      </c>
      <c r="D13831" s="7">
        <v>18765</v>
      </c>
      <c r="E13831" s="7" t="s">
        <v>23</v>
      </c>
      <c r="F13831" s="8" t="str">
        <f ca="1">IFERROR(__xludf.DUMMYFUNCTION("IF
(
C13832=""фізична особа""
,
VLOOKUP(D13832,IMPORTRANGE(""https://docs.google.com/spreadsheets/d/14Bd19lYaqBhU8_DElYkX7l4wRkHqqCUFNJY4AfY3kHU/edit?usp=sharing  #gid=0"",""фіз особи new!relations_name""),6,FALSE)
,
(IF
(
C13832=""юридична особа""
,
VLOO"&amp;"KUP(D13832,IMPORTRANGE(""https://docs.google.com/spreadsheets/d/14Bd19lYaqBhU8_DElYkX7l4wRkHqqCUFNJY4AfY3kHU/edit?usp=sharing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1" s="7" t="s">
        <v>10</v>
      </c>
      <c r="H13831" s="7">
        <v>0</v>
      </c>
      <c r="I13831" s="8" t="str">
        <f ca="1">IFERROR(__xludf.DUMMYFUNCTION("IF
(
G13832=""фізична особа""
,
VLOOKUP(H13832,IMPORTRANGE(""https://docs.google.com/spreadsheets/d/14Bd19lYaqBhU8_DElYkX7l4wRkHqqCUFNJY4AfY3kHU/edit?usp=sharing  #gid=0"",""фіз особи new!relations_name""),6,FALSE)
,
(IF
(
G13832=""юридична особа""
,
VLOO"&amp;"KUP(H13832,IMPORTRANGE(""https://docs.google.com/spreadsheets/d/14Bd19lYaqBhU8_DElYkX7l4wRkHqqCUFNJY4AfY3kHU/edit?usp=sharing  #gid=0"",""фіз особи new!relations_name_uo""),7,FALSE)
,
)
))"),"#N/A")</f>
        <v>#N/A</v>
      </c>
      <c r="J13831" s="7" t="s">
        <v>23</v>
      </c>
    </row>
    <row r="13832" spans="1:10" ht="13.2">
      <c r="A13832" s="7">
        <v>13831</v>
      </c>
      <c r="B13832" s="7">
        <v>1</v>
      </c>
      <c r="C13832" s="7" t="s">
        <v>10</v>
      </c>
      <c r="D13832" s="7">
        <v>18765</v>
      </c>
      <c r="E13832" s="7" t="s">
        <v>23</v>
      </c>
      <c r="F13832" s="8" t="str">
        <f ca="1">IFERROR(__xludf.DUMMYFUNCTION("IF
(
C13833=""фізична особа""
,
VLOOKUP(D13833,IMPORTRANGE(""https://docs.google.com/spreadsheets/d/14Bd19lYaqBhU8_DElYkX7l4wRkHqqCUFNJY4AfY3kHU/edit?usp=sharing  #gid=0"",""фіз особи new!relations_name""),6,FALSE)
,
(IF
(
C13833=""юридична особа""
,
VLOO"&amp;"KUP(D13833,IMPORTRANGE(""https://docs.google.com/spreadsheets/d/14Bd19lYaqBhU8_DElYkX7l4wRkHqqCUFNJY4AfY3kHU/edit?usp=sharing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2" s="7" t="s">
        <v>10</v>
      </c>
      <c r="H13832" s="7">
        <v>0</v>
      </c>
      <c r="I13832" s="8" t="str">
        <f ca="1">IFERROR(__xludf.DUMMYFUNCTION("IF
(
G13833=""фізична особа""
,
VLOOKUP(H13833,IMPORTRANGE(""https://docs.google.com/spreadsheets/d/14Bd19lYaqBhU8_DElYkX7l4wRkHqqCUFNJY4AfY3kHU/edit?usp=sharing  #gid=0"",""фіз особи new!relations_name""),6,FALSE)
,
(IF
(
G13833=""юридична особа""
,
VLOO"&amp;"KUP(H13833,IMPORTRANGE(""https://docs.google.com/spreadsheets/d/14Bd19lYaqBhU8_DElYkX7l4wRkHqqCUFNJY4AfY3kHU/edit?usp=sharing  #gid=0"",""фіз особи new!relations_name_uo""),7,FALSE)
,
)
))"),"#N/A")</f>
        <v>#N/A</v>
      </c>
      <c r="J13832" s="7" t="s">
        <v>23</v>
      </c>
    </row>
    <row r="13833" spans="1:10" ht="13.2">
      <c r="A13833" s="7">
        <v>13832</v>
      </c>
      <c r="B13833" s="7">
        <v>1</v>
      </c>
      <c r="C13833" s="7" t="s">
        <v>10</v>
      </c>
      <c r="D13833" s="7">
        <v>18765</v>
      </c>
      <c r="E13833" s="7" t="s">
        <v>23</v>
      </c>
      <c r="F13833" s="8" t="str">
        <f ca="1">IFERROR(__xludf.DUMMYFUNCTION("IF
(
C13834=""фізична особа""
,
VLOOKUP(D13834,IMPORTRANGE(""https://docs.google.com/spreadsheets/d/14Bd19lYaqBhU8_DElYkX7l4wRkHqqCUFNJY4AfY3kHU/edit?usp=sharing  #gid=0"",""фіз особи new!relations_name""),6,FALSE)
,
(IF
(
C13834=""юридична особа""
,
VLOO"&amp;"KUP(D13834,IMPORTRANGE(""https://docs.google.com/spreadsheets/d/14Bd19lYaqBhU8_DElYkX7l4wRkHqqCUFNJY4AfY3kHU/edit?usp=sharing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3" s="7" t="s">
        <v>10</v>
      </c>
      <c r="H13833" s="7">
        <v>0</v>
      </c>
      <c r="I13833" s="8" t="str">
        <f ca="1">IFERROR(__xludf.DUMMYFUNCTION("IF
(
G13834=""фізична особа""
,
VLOOKUP(H13834,IMPORTRANGE(""https://docs.google.com/spreadsheets/d/14Bd19lYaqBhU8_DElYkX7l4wRkHqqCUFNJY4AfY3kHU/edit?usp=sharing  #gid=0"",""фіз особи new!relations_name""),6,FALSE)
,
(IF
(
G13834=""юридична особа""
,
VLOO"&amp;"KUP(H13834,IMPORTRANGE(""https://docs.google.com/spreadsheets/d/14Bd19lYaqBhU8_DElYkX7l4wRkHqqCUFNJY4AfY3kHU/edit?usp=sharing  #gid=0"",""фіз особи new!relations_name_uo""),7,FALSE)
,
)
))"),"#N/A")</f>
        <v>#N/A</v>
      </c>
      <c r="J13833" s="7" t="s">
        <v>23</v>
      </c>
    </row>
    <row r="13834" spans="1:10" ht="13.2">
      <c r="A13834" s="7">
        <v>13833</v>
      </c>
      <c r="B13834" s="7">
        <v>1</v>
      </c>
      <c r="C13834" s="7" t="s">
        <v>10</v>
      </c>
      <c r="D13834" s="7">
        <v>18765</v>
      </c>
      <c r="E13834" s="7" t="s">
        <v>23</v>
      </c>
      <c r="F13834" s="8" t="str">
        <f ca="1">IFERROR(__xludf.DUMMYFUNCTION("IF
(
C13835=""фізична особа""
,
VLOOKUP(D13835,IMPORTRANGE(""https://docs.google.com/spreadsheets/d/14Bd19lYaqBhU8_DElYkX7l4wRkHqqCUFNJY4AfY3kHU/edit?usp=sharing  #gid=0"",""фіз особи new!relations_name""),6,FALSE)
,
(IF
(
C13835=""юридична особа""
,
VLOO"&amp;"KUP(D13835,IMPORTRANGE(""https://docs.google.com/spreadsheets/d/14Bd19lYaqBhU8_DElYkX7l4wRkHqqCUFNJY4AfY3kHU/edit?usp=sharing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4" s="7" t="s">
        <v>10</v>
      </c>
      <c r="H13834" s="7">
        <v>0</v>
      </c>
      <c r="I13834" s="8" t="str">
        <f ca="1">IFERROR(__xludf.DUMMYFUNCTION("IF
(
G13835=""фізична особа""
,
VLOOKUP(H13835,IMPORTRANGE(""https://docs.google.com/spreadsheets/d/14Bd19lYaqBhU8_DElYkX7l4wRkHqqCUFNJY4AfY3kHU/edit?usp=sharing  #gid=0"",""фіз особи new!relations_name""),6,FALSE)
,
(IF
(
G13835=""юридична особа""
,
VLOO"&amp;"KUP(H13835,IMPORTRANGE(""https://docs.google.com/spreadsheets/d/14Bd19lYaqBhU8_DElYkX7l4wRkHqqCUFNJY4AfY3kHU/edit?usp=sharing  #gid=0"",""фіз особи new!relations_name_uo""),7,FALSE)
,
)
))"),"#N/A")</f>
        <v>#N/A</v>
      </c>
      <c r="J13834" s="7" t="s">
        <v>23</v>
      </c>
    </row>
    <row r="13835" spans="1:10" ht="13.2">
      <c r="A13835" s="7">
        <v>13834</v>
      </c>
      <c r="B13835" s="7">
        <v>1</v>
      </c>
      <c r="C13835" s="7" t="s">
        <v>10</v>
      </c>
      <c r="D13835" s="7">
        <v>18765</v>
      </c>
      <c r="E13835" s="7" t="s">
        <v>23</v>
      </c>
      <c r="F13835" s="8" t="str">
        <f ca="1">IFERROR(__xludf.DUMMYFUNCTION("IF
(
C13836=""фізична особа""
,
VLOOKUP(D13836,IMPORTRANGE(""https://docs.google.com/spreadsheets/d/14Bd19lYaqBhU8_DElYkX7l4wRkHqqCUFNJY4AfY3kHU/edit?usp=sharing  #gid=0"",""фіз особи new!relations_name""),6,FALSE)
,
(IF
(
C13836=""юридична особа""
,
VLOO"&amp;"KUP(D13836,IMPORTRANGE(""https://docs.google.com/spreadsheets/d/14Bd19lYaqBhU8_DElYkX7l4wRkHqqCUFNJY4AfY3kHU/edit?usp=sharing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5" s="7" t="s">
        <v>10</v>
      </c>
      <c r="H13835" s="7">
        <v>0</v>
      </c>
      <c r="I13835" s="8" t="str">
        <f ca="1">IFERROR(__xludf.DUMMYFUNCTION("IF
(
G13836=""фізична особа""
,
VLOOKUP(H13836,IMPORTRANGE(""https://docs.google.com/spreadsheets/d/14Bd19lYaqBhU8_DElYkX7l4wRkHqqCUFNJY4AfY3kHU/edit?usp=sharing  #gid=0"",""фіз особи new!relations_name""),6,FALSE)
,
(IF
(
G13836=""юридична особа""
,
VLOO"&amp;"KUP(H13836,IMPORTRANGE(""https://docs.google.com/spreadsheets/d/14Bd19lYaqBhU8_DElYkX7l4wRkHqqCUFNJY4AfY3kHU/edit?usp=sharing  #gid=0"",""фіз особи new!relations_name_uo""),7,FALSE)
,
)
))"),"#N/A")</f>
        <v>#N/A</v>
      </c>
      <c r="J13835" s="7" t="s">
        <v>23</v>
      </c>
    </row>
    <row r="13836" spans="1:10" ht="13.2">
      <c r="A13836" s="7">
        <v>13835</v>
      </c>
      <c r="B13836" s="7">
        <v>1</v>
      </c>
      <c r="C13836" s="7" t="s">
        <v>10</v>
      </c>
      <c r="D13836" s="7">
        <v>18765</v>
      </c>
      <c r="E13836" s="7" t="s">
        <v>23</v>
      </c>
      <c r="F13836" s="8" t="str">
        <f ca="1">IFERROR(__xludf.DUMMYFUNCTION("IF
(
C13837=""фізична особа""
,
VLOOKUP(D13837,IMPORTRANGE(""https://docs.google.com/spreadsheets/d/14Bd19lYaqBhU8_DElYkX7l4wRkHqqCUFNJY4AfY3kHU/edit?usp=sharing  #gid=0"",""фіз особи new!relations_name""),6,FALSE)
,
(IF
(
C13837=""юридична особа""
,
VLOO"&amp;"KUP(D13837,IMPORTRANGE(""https://docs.google.com/spreadsheets/d/14Bd19lYaqBhU8_DElYkX7l4wRkHqqCUFNJY4AfY3kHU/edit?usp=sharing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6" s="7" t="s">
        <v>10</v>
      </c>
      <c r="H13836" s="7">
        <v>0</v>
      </c>
      <c r="I13836" s="8" t="str">
        <f ca="1">IFERROR(__xludf.DUMMYFUNCTION("IF
(
G13837=""фізична особа""
,
VLOOKUP(H13837,IMPORTRANGE(""https://docs.google.com/spreadsheets/d/14Bd19lYaqBhU8_DElYkX7l4wRkHqqCUFNJY4AfY3kHU/edit?usp=sharing  #gid=0"",""фіз особи new!relations_name""),6,FALSE)
,
(IF
(
G13837=""юридична особа""
,
VLOO"&amp;"KUP(H13837,IMPORTRANGE(""https://docs.google.com/spreadsheets/d/14Bd19lYaqBhU8_DElYkX7l4wRkHqqCUFNJY4AfY3kHU/edit?usp=sharing  #gid=0"",""фіз особи new!relations_name_uo""),7,FALSE)
,
)
))"),"#N/A")</f>
        <v>#N/A</v>
      </c>
      <c r="J13836" s="7" t="s">
        <v>23</v>
      </c>
    </row>
    <row r="13837" spans="1:10" ht="13.2">
      <c r="A13837" s="7">
        <v>13836</v>
      </c>
      <c r="B13837" s="7">
        <v>1</v>
      </c>
      <c r="C13837" s="7" t="s">
        <v>10</v>
      </c>
      <c r="D13837" s="7">
        <v>18765</v>
      </c>
      <c r="E13837" s="7" t="s">
        <v>23</v>
      </c>
      <c r="F13837" s="8" t="str">
        <f ca="1">IFERROR(__xludf.DUMMYFUNCTION("IF
(
C13838=""фізична особа""
,
VLOOKUP(D13838,IMPORTRANGE(""https://docs.google.com/spreadsheets/d/14Bd19lYaqBhU8_DElYkX7l4wRkHqqCUFNJY4AfY3kHU/edit?usp=sharing  #gid=0"",""фіз особи new!relations_name""),6,FALSE)
,
(IF
(
C13838=""юридична особа""
,
VLOO"&amp;"KUP(D13838,IMPORTRANGE(""https://docs.google.com/spreadsheets/d/14Bd19lYaqBhU8_DElYkX7l4wRkHqqCUFNJY4AfY3kHU/edit?usp=sharing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7" s="7" t="s">
        <v>10</v>
      </c>
      <c r="H13837" s="7">
        <v>0</v>
      </c>
      <c r="I13837" s="8" t="str">
        <f ca="1">IFERROR(__xludf.DUMMYFUNCTION("IF
(
G13838=""фізична особа""
,
VLOOKUP(H13838,IMPORTRANGE(""https://docs.google.com/spreadsheets/d/14Bd19lYaqBhU8_DElYkX7l4wRkHqqCUFNJY4AfY3kHU/edit?usp=sharing  #gid=0"",""фіз особи new!relations_name""),6,FALSE)
,
(IF
(
G13838=""юридична особа""
,
VLOO"&amp;"KUP(H13838,IMPORTRANGE(""https://docs.google.com/spreadsheets/d/14Bd19lYaqBhU8_DElYkX7l4wRkHqqCUFNJY4AfY3kHU/edit?usp=sharing  #gid=0"",""фіз особи new!relations_name_uo""),7,FALSE)
,
)
))"),"#N/A")</f>
        <v>#N/A</v>
      </c>
      <c r="J13837" s="7" t="s">
        <v>23</v>
      </c>
    </row>
    <row r="13838" spans="1:10" ht="13.2">
      <c r="A13838" s="7">
        <v>13837</v>
      </c>
      <c r="B13838" s="7">
        <v>1</v>
      </c>
      <c r="C13838" s="7" t="s">
        <v>10</v>
      </c>
      <c r="D13838" s="7">
        <v>18765</v>
      </c>
      <c r="E13838" s="7" t="s">
        <v>23</v>
      </c>
      <c r="F13838" s="8" t="str">
        <f ca="1">IFERROR(__xludf.DUMMYFUNCTION("IF
(
C13839=""фізична особа""
,
VLOOKUP(D13839,IMPORTRANGE(""https://docs.google.com/spreadsheets/d/14Bd19lYaqBhU8_DElYkX7l4wRkHqqCUFNJY4AfY3kHU/edit?usp=sharing  #gid=0"",""фіз особи new!relations_name""),6,FALSE)
,
(IF
(
C13839=""юридична особа""
,
VLOO"&amp;"KUP(D13839,IMPORTRANGE(""https://docs.google.com/spreadsheets/d/14Bd19lYaqBhU8_DElYkX7l4wRkHqqCUFNJY4AfY3kHU/edit?usp=sharing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8" s="7" t="s">
        <v>10</v>
      </c>
      <c r="H13838" s="7">
        <v>0</v>
      </c>
      <c r="I13838" s="8" t="str">
        <f ca="1">IFERROR(__xludf.DUMMYFUNCTION("IF
(
G13839=""фізична особа""
,
VLOOKUP(H13839,IMPORTRANGE(""https://docs.google.com/spreadsheets/d/14Bd19lYaqBhU8_DElYkX7l4wRkHqqCUFNJY4AfY3kHU/edit?usp=sharing  #gid=0"",""фіз особи new!relations_name""),6,FALSE)
,
(IF
(
G13839=""юридична особа""
,
VLOO"&amp;"KUP(H13839,IMPORTRANGE(""https://docs.google.com/spreadsheets/d/14Bd19lYaqBhU8_DElYkX7l4wRkHqqCUFNJY4AfY3kHU/edit?usp=sharing  #gid=0"",""фіз особи new!relations_name_uo""),7,FALSE)
,
)
))"),"#N/A")</f>
        <v>#N/A</v>
      </c>
      <c r="J13838" s="7" t="s">
        <v>23</v>
      </c>
    </row>
    <row r="13839" spans="1:10" ht="13.2">
      <c r="A13839" s="7">
        <v>13838</v>
      </c>
      <c r="B13839" s="7">
        <v>1</v>
      </c>
      <c r="C13839" s="7" t="s">
        <v>10</v>
      </c>
      <c r="D13839" s="7">
        <v>18765</v>
      </c>
      <c r="E13839" s="7" t="s">
        <v>23</v>
      </c>
      <c r="F13839" s="8" t="str">
        <f ca="1">IFERROR(__xludf.DUMMYFUNCTION("IF
(
C13840=""фізична особа""
,
VLOOKUP(D13840,IMPORTRANGE(""https://docs.google.com/spreadsheets/d/14Bd19lYaqBhU8_DElYkX7l4wRkHqqCUFNJY4AfY3kHU/edit?usp=sharing  #gid=0"",""фіз особи new!relations_name""),6,FALSE)
,
(IF
(
C13840=""юридична особа""
,
VLOO"&amp;"KUP(D13840,IMPORTRANGE(""https://docs.google.com/spreadsheets/d/14Bd19lYaqBhU8_DElYkX7l4wRkHqqCUFNJY4AfY3kHU/edit?usp=sharing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39" s="7" t="s">
        <v>10</v>
      </c>
      <c r="H13839" s="7">
        <v>0</v>
      </c>
      <c r="I13839" s="8" t="str">
        <f ca="1">IFERROR(__xludf.DUMMYFUNCTION("IF
(
G13840=""фізична особа""
,
VLOOKUP(H13840,IMPORTRANGE(""https://docs.google.com/spreadsheets/d/14Bd19lYaqBhU8_DElYkX7l4wRkHqqCUFNJY4AfY3kHU/edit?usp=sharing  #gid=0"",""фіз особи new!relations_name""),6,FALSE)
,
(IF
(
G13840=""юридична особа""
,
VLOO"&amp;"KUP(H13840,IMPORTRANGE(""https://docs.google.com/spreadsheets/d/14Bd19lYaqBhU8_DElYkX7l4wRkHqqCUFNJY4AfY3kHU/edit?usp=sharing  #gid=0"",""фіз особи new!relations_name_uo""),7,FALSE)
,
)
))"),"#N/A")</f>
        <v>#N/A</v>
      </c>
      <c r="J13839" s="7" t="s">
        <v>23</v>
      </c>
    </row>
    <row r="13840" spans="1:10" ht="13.2">
      <c r="A13840" s="7">
        <v>13839</v>
      </c>
      <c r="B13840" s="7">
        <v>1</v>
      </c>
      <c r="C13840" s="7" t="s">
        <v>10</v>
      </c>
      <c r="D13840" s="7">
        <v>18765</v>
      </c>
      <c r="E13840" s="7" t="s">
        <v>23</v>
      </c>
      <c r="F13840" s="8" t="str">
        <f ca="1">IFERROR(__xludf.DUMMYFUNCTION("IF
(
C13841=""фізична особа""
,
VLOOKUP(D13841,IMPORTRANGE(""https://docs.google.com/spreadsheets/d/14Bd19lYaqBhU8_DElYkX7l4wRkHqqCUFNJY4AfY3kHU/edit?usp=sharing  #gid=0"",""фіз особи new!relations_name""),6,FALSE)
,
(IF
(
C13841=""юридична особа""
,
VLOO"&amp;"KUP(D13841,IMPORTRANGE(""https://docs.google.com/spreadsheets/d/14Bd19lYaqBhU8_DElYkX7l4wRkHqqCUFNJY4AfY3kHU/edit?usp=sharing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0" s="7" t="s">
        <v>10</v>
      </c>
      <c r="H13840" s="7">
        <v>0</v>
      </c>
      <c r="I13840" s="8" t="str">
        <f ca="1">IFERROR(__xludf.DUMMYFUNCTION("IF
(
G13841=""фізична особа""
,
VLOOKUP(H13841,IMPORTRANGE(""https://docs.google.com/spreadsheets/d/14Bd19lYaqBhU8_DElYkX7l4wRkHqqCUFNJY4AfY3kHU/edit?usp=sharing  #gid=0"",""фіз особи new!relations_name""),6,FALSE)
,
(IF
(
G13841=""юридична особа""
,
VLOO"&amp;"KUP(H13841,IMPORTRANGE(""https://docs.google.com/spreadsheets/d/14Bd19lYaqBhU8_DElYkX7l4wRkHqqCUFNJY4AfY3kHU/edit?usp=sharing  #gid=0"",""фіз особи new!relations_name_uo""),7,FALSE)
,
)
))"),"#N/A")</f>
        <v>#N/A</v>
      </c>
      <c r="J13840" s="7" t="s">
        <v>23</v>
      </c>
    </row>
    <row r="13841" spans="1:10" ht="13.2">
      <c r="A13841" s="7">
        <v>13840</v>
      </c>
      <c r="B13841" s="7">
        <v>1</v>
      </c>
      <c r="C13841" s="7" t="s">
        <v>10</v>
      </c>
      <c r="D13841" s="7">
        <v>18765</v>
      </c>
      <c r="E13841" s="7" t="s">
        <v>23</v>
      </c>
      <c r="F13841" s="8" t="str">
        <f ca="1">IFERROR(__xludf.DUMMYFUNCTION("IF
(
C13842=""фізична особа""
,
VLOOKUP(D13842,IMPORTRANGE(""https://docs.google.com/spreadsheets/d/14Bd19lYaqBhU8_DElYkX7l4wRkHqqCUFNJY4AfY3kHU/edit?usp=sharing  #gid=0"",""фіз особи new!relations_name""),6,FALSE)
,
(IF
(
C13842=""юридична особа""
,
VLOO"&amp;"KUP(D13842,IMPORTRANGE(""https://docs.google.com/spreadsheets/d/14Bd19lYaqBhU8_DElYkX7l4wRkHqqCUFNJY4AfY3kHU/edit?usp=sharing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1" s="7" t="s">
        <v>10</v>
      </c>
      <c r="H13841" s="7">
        <v>0</v>
      </c>
      <c r="I13841" s="8" t="str">
        <f ca="1">IFERROR(__xludf.DUMMYFUNCTION("IF
(
G13842=""фізична особа""
,
VLOOKUP(H13842,IMPORTRANGE(""https://docs.google.com/spreadsheets/d/14Bd19lYaqBhU8_DElYkX7l4wRkHqqCUFNJY4AfY3kHU/edit?usp=sharing  #gid=0"",""фіз особи new!relations_name""),6,FALSE)
,
(IF
(
G13842=""юридична особа""
,
VLOO"&amp;"KUP(H13842,IMPORTRANGE(""https://docs.google.com/spreadsheets/d/14Bd19lYaqBhU8_DElYkX7l4wRkHqqCUFNJY4AfY3kHU/edit?usp=sharing  #gid=0"",""фіз особи new!relations_name_uo""),7,FALSE)
,
)
))"),"#N/A")</f>
        <v>#N/A</v>
      </c>
      <c r="J13841" s="7" t="s">
        <v>23</v>
      </c>
    </row>
    <row r="13842" spans="1:10" ht="13.2">
      <c r="A13842" s="7">
        <v>13841</v>
      </c>
      <c r="B13842" s="7">
        <v>1</v>
      </c>
      <c r="C13842" s="7" t="s">
        <v>10</v>
      </c>
      <c r="D13842" s="7">
        <v>18765</v>
      </c>
      <c r="E13842" s="7" t="s">
        <v>23</v>
      </c>
      <c r="F13842" s="8" t="str">
        <f ca="1">IFERROR(__xludf.DUMMYFUNCTION("IF
(
C13843=""фізична особа""
,
VLOOKUP(D13843,IMPORTRANGE(""https://docs.google.com/spreadsheets/d/14Bd19lYaqBhU8_DElYkX7l4wRkHqqCUFNJY4AfY3kHU/edit?usp=sharing  #gid=0"",""фіз особи new!relations_name""),6,FALSE)
,
(IF
(
C13843=""юридична особа""
,
VLOO"&amp;"KUP(D13843,IMPORTRANGE(""https://docs.google.com/spreadsheets/d/14Bd19lYaqBhU8_DElYkX7l4wRkHqqCUFNJY4AfY3kHU/edit?usp=sharing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2" s="7" t="s">
        <v>10</v>
      </c>
      <c r="H13842" s="7">
        <v>0</v>
      </c>
      <c r="I13842" s="8" t="str">
        <f ca="1">IFERROR(__xludf.DUMMYFUNCTION("IF
(
G13843=""фізична особа""
,
VLOOKUP(H13843,IMPORTRANGE(""https://docs.google.com/spreadsheets/d/14Bd19lYaqBhU8_DElYkX7l4wRkHqqCUFNJY4AfY3kHU/edit?usp=sharing  #gid=0"",""фіз особи new!relations_name""),6,FALSE)
,
(IF
(
G13843=""юридична особа""
,
VLOO"&amp;"KUP(H13843,IMPORTRANGE(""https://docs.google.com/spreadsheets/d/14Bd19lYaqBhU8_DElYkX7l4wRkHqqCUFNJY4AfY3kHU/edit?usp=sharing  #gid=0"",""фіз особи new!relations_name_uo""),7,FALSE)
,
)
))"),"#N/A")</f>
        <v>#N/A</v>
      </c>
      <c r="J13842" s="7" t="s">
        <v>23</v>
      </c>
    </row>
    <row r="13843" spans="1:10" ht="13.2">
      <c r="A13843" s="7">
        <v>13842</v>
      </c>
      <c r="B13843" s="7">
        <v>1</v>
      </c>
      <c r="C13843" s="7" t="s">
        <v>10</v>
      </c>
      <c r="D13843" s="7">
        <v>18765</v>
      </c>
      <c r="E13843" s="7" t="s">
        <v>23</v>
      </c>
      <c r="F13843" s="8" t="str">
        <f ca="1">IFERROR(__xludf.DUMMYFUNCTION("IF
(
C13844=""фізична особа""
,
VLOOKUP(D13844,IMPORTRANGE(""https://docs.google.com/spreadsheets/d/14Bd19lYaqBhU8_DElYkX7l4wRkHqqCUFNJY4AfY3kHU/edit?usp=sharing  #gid=0"",""фіз особи new!relations_name""),6,FALSE)
,
(IF
(
C13844=""юридична особа""
,
VLOO"&amp;"KUP(D13844,IMPORTRANGE(""https://docs.google.com/spreadsheets/d/14Bd19lYaqBhU8_DElYkX7l4wRkHqqCUFNJY4AfY3kHU/edit?usp=sharing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3" s="7" t="s">
        <v>10</v>
      </c>
      <c r="H13843" s="7">
        <v>0</v>
      </c>
      <c r="I13843" s="8" t="str">
        <f ca="1">IFERROR(__xludf.DUMMYFUNCTION("IF
(
G13844=""фізична особа""
,
VLOOKUP(H13844,IMPORTRANGE(""https://docs.google.com/spreadsheets/d/14Bd19lYaqBhU8_DElYkX7l4wRkHqqCUFNJY4AfY3kHU/edit?usp=sharing  #gid=0"",""фіз особи new!relations_name""),6,FALSE)
,
(IF
(
G13844=""юридична особа""
,
VLOO"&amp;"KUP(H13844,IMPORTRANGE(""https://docs.google.com/spreadsheets/d/14Bd19lYaqBhU8_DElYkX7l4wRkHqqCUFNJY4AfY3kHU/edit?usp=sharing  #gid=0"",""фіз особи new!relations_name_uo""),7,FALSE)
,
)
))"),"#N/A")</f>
        <v>#N/A</v>
      </c>
      <c r="J13843" s="7" t="s">
        <v>23</v>
      </c>
    </row>
    <row r="13844" spans="1:10" ht="13.2">
      <c r="A13844" s="7">
        <v>13843</v>
      </c>
      <c r="B13844" s="7">
        <v>1</v>
      </c>
      <c r="C13844" s="7" t="s">
        <v>10</v>
      </c>
      <c r="D13844" s="7">
        <v>18765</v>
      </c>
      <c r="E13844" s="7" t="s">
        <v>23</v>
      </c>
      <c r="F13844" s="8" t="str">
        <f ca="1">IFERROR(__xludf.DUMMYFUNCTION("IF
(
C13845=""фізична особа""
,
VLOOKUP(D13845,IMPORTRANGE(""https://docs.google.com/spreadsheets/d/14Bd19lYaqBhU8_DElYkX7l4wRkHqqCUFNJY4AfY3kHU/edit?usp=sharing  #gid=0"",""фіз особи new!relations_name""),6,FALSE)
,
(IF
(
C13845=""юридична особа""
,
VLOO"&amp;"KUP(D13845,IMPORTRANGE(""https://docs.google.com/spreadsheets/d/14Bd19lYaqBhU8_DElYkX7l4wRkHqqCUFNJY4AfY3kHU/edit?usp=sharing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4" s="7" t="s">
        <v>10</v>
      </c>
      <c r="H13844" s="7">
        <v>0</v>
      </c>
      <c r="I13844" s="8" t="str">
        <f ca="1">IFERROR(__xludf.DUMMYFUNCTION("IF
(
G13845=""фізична особа""
,
VLOOKUP(H13845,IMPORTRANGE(""https://docs.google.com/spreadsheets/d/14Bd19lYaqBhU8_DElYkX7l4wRkHqqCUFNJY4AfY3kHU/edit?usp=sharing  #gid=0"",""фіз особи new!relations_name""),6,FALSE)
,
(IF
(
G13845=""юридична особа""
,
VLOO"&amp;"KUP(H13845,IMPORTRANGE(""https://docs.google.com/spreadsheets/d/14Bd19lYaqBhU8_DElYkX7l4wRkHqqCUFNJY4AfY3kHU/edit?usp=sharing  #gid=0"",""фіз особи new!relations_name_uo""),7,FALSE)
,
)
))"),"#N/A")</f>
        <v>#N/A</v>
      </c>
      <c r="J13844" s="7" t="s">
        <v>23</v>
      </c>
    </row>
    <row r="13845" spans="1:10" ht="13.2">
      <c r="A13845" s="7">
        <v>13844</v>
      </c>
      <c r="B13845" s="7">
        <v>1</v>
      </c>
      <c r="C13845" s="7" t="s">
        <v>10</v>
      </c>
      <c r="D13845" s="7">
        <v>18765</v>
      </c>
      <c r="E13845" s="7" t="s">
        <v>23</v>
      </c>
      <c r="F13845" s="8" t="str">
        <f ca="1">IFERROR(__xludf.DUMMYFUNCTION("IF
(
C13846=""фізична особа""
,
VLOOKUP(D13846,IMPORTRANGE(""https://docs.google.com/spreadsheets/d/14Bd19lYaqBhU8_DElYkX7l4wRkHqqCUFNJY4AfY3kHU/edit?usp=sharing  #gid=0"",""фіз особи new!relations_name""),6,FALSE)
,
(IF
(
C13846=""юридична особа""
,
VLOO"&amp;"KUP(D13846,IMPORTRANGE(""https://docs.google.com/spreadsheets/d/14Bd19lYaqBhU8_DElYkX7l4wRkHqqCUFNJY4AfY3kHU/edit?usp=sharing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5" s="7" t="s">
        <v>10</v>
      </c>
      <c r="H13845" s="7">
        <v>0</v>
      </c>
      <c r="I13845" s="8" t="str">
        <f ca="1">IFERROR(__xludf.DUMMYFUNCTION("IF
(
G13846=""фізична особа""
,
VLOOKUP(H13846,IMPORTRANGE(""https://docs.google.com/spreadsheets/d/14Bd19lYaqBhU8_DElYkX7l4wRkHqqCUFNJY4AfY3kHU/edit?usp=sharing  #gid=0"",""фіз особи new!relations_name""),6,FALSE)
,
(IF
(
G13846=""юридична особа""
,
VLOO"&amp;"KUP(H13846,IMPORTRANGE(""https://docs.google.com/spreadsheets/d/14Bd19lYaqBhU8_DElYkX7l4wRkHqqCUFNJY4AfY3kHU/edit?usp=sharing  #gid=0"",""фіз особи new!relations_name_uo""),7,FALSE)
,
)
))"),"#N/A")</f>
        <v>#N/A</v>
      </c>
      <c r="J13845" s="7" t="s">
        <v>23</v>
      </c>
    </row>
    <row r="13846" spans="1:10" ht="13.2">
      <c r="A13846" s="7">
        <v>13845</v>
      </c>
      <c r="B13846" s="7">
        <v>1</v>
      </c>
      <c r="C13846" s="7" t="s">
        <v>10</v>
      </c>
      <c r="D13846" s="7">
        <v>18765</v>
      </c>
      <c r="E13846" s="7" t="s">
        <v>23</v>
      </c>
      <c r="F13846" s="8" t="str">
        <f ca="1">IFERROR(__xludf.DUMMYFUNCTION("IF
(
C13847=""фізична особа""
,
VLOOKUP(D13847,IMPORTRANGE(""https://docs.google.com/spreadsheets/d/14Bd19lYaqBhU8_DElYkX7l4wRkHqqCUFNJY4AfY3kHU/edit?usp=sharing  #gid=0"",""фіз особи new!relations_name""),6,FALSE)
,
(IF
(
C13847=""юридична особа""
,
VLOO"&amp;"KUP(D13847,IMPORTRANGE(""https://docs.google.com/spreadsheets/d/14Bd19lYaqBhU8_DElYkX7l4wRkHqqCUFNJY4AfY3kHU/edit?usp=sharing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6" s="7" t="s">
        <v>10</v>
      </c>
      <c r="H13846" s="7">
        <v>0</v>
      </c>
      <c r="I13846" s="8" t="str">
        <f ca="1">IFERROR(__xludf.DUMMYFUNCTION("IF
(
G13847=""фізична особа""
,
VLOOKUP(H13847,IMPORTRANGE(""https://docs.google.com/spreadsheets/d/14Bd19lYaqBhU8_DElYkX7l4wRkHqqCUFNJY4AfY3kHU/edit?usp=sharing  #gid=0"",""фіз особи new!relations_name""),6,FALSE)
,
(IF
(
G13847=""юридична особа""
,
VLOO"&amp;"KUP(H13847,IMPORTRANGE(""https://docs.google.com/spreadsheets/d/14Bd19lYaqBhU8_DElYkX7l4wRkHqqCUFNJY4AfY3kHU/edit?usp=sharing  #gid=0"",""фіз особи new!relations_name_uo""),7,FALSE)
,
)
))"),"#N/A")</f>
        <v>#N/A</v>
      </c>
      <c r="J13846" s="7" t="s">
        <v>23</v>
      </c>
    </row>
    <row r="13847" spans="1:10" ht="13.2">
      <c r="A13847" s="7">
        <v>13846</v>
      </c>
      <c r="B13847" s="7">
        <v>1</v>
      </c>
      <c r="C13847" s="7" t="s">
        <v>10</v>
      </c>
      <c r="D13847" s="7">
        <v>18765</v>
      </c>
      <c r="E13847" s="7" t="s">
        <v>23</v>
      </c>
      <c r="F13847" s="8" t="str">
        <f ca="1">IFERROR(__xludf.DUMMYFUNCTION("IF
(
C13848=""фізична особа""
,
VLOOKUP(D13848,IMPORTRANGE(""https://docs.google.com/spreadsheets/d/14Bd19lYaqBhU8_DElYkX7l4wRkHqqCUFNJY4AfY3kHU/edit?usp=sharing  #gid=0"",""фіз особи new!relations_name""),6,FALSE)
,
(IF
(
C13848=""юридична особа""
,
VLOO"&amp;"KUP(D13848,IMPORTRANGE(""https://docs.google.com/spreadsheets/d/14Bd19lYaqBhU8_DElYkX7l4wRkHqqCUFNJY4AfY3kHU/edit?usp=sharing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7" s="7" t="s">
        <v>10</v>
      </c>
      <c r="H13847" s="7">
        <v>0</v>
      </c>
      <c r="I13847" s="8" t="str">
        <f ca="1">IFERROR(__xludf.DUMMYFUNCTION("IF
(
G13848=""фізична особа""
,
VLOOKUP(H13848,IMPORTRANGE(""https://docs.google.com/spreadsheets/d/14Bd19lYaqBhU8_DElYkX7l4wRkHqqCUFNJY4AfY3kHU/edit?usp=sharing  #gid=0"",""фіз особи new!relations_name""),6,FALSE)
,
(IF
(
G13848=""юридична особа""
,
VLOO"&amp;"KUP(H13848,IMPORTRANGE(""https://docs.google.com/spreadsheets/d/14Bd19lYaqBhU8_DElYkX7l4wRkHqqCUFNJY4AfY3kHU/edit?usp=sharing  #gid=0"",""фіз особи new!relations_name_uo""),7,FALSE)
,
)
))"),"#N/A")</f>
        <v>#N/A</v>
      </c>
      <c r="J13847" s="7" t="s">
        <v>23</v>
      </c>
    </row>
    <row r="13848" spans="1:10" ht="13.2">
      <c r="A13848" s="7">
        <v>13847</v>
      </c>
      <c r="B13848" s="7">
        <v>1</v>
      </c>
      <c r="C13848" s="7" t="s">
        <v>10</v>
      </c>
      <c r="D13848" s="7">
        <v>18765</v>
      </c>
      <c r="E13848" s="7" t="s">
        <v>23</v>
      </c>
      <c r="F13848" s="8" t="str">
        <f ca="1">IFERROR(__xludf.DUMMYFUNCTION("IF
(
C13849=""фізична особа""
,
VLOOKUP(D13849,IMPORTRANGE(""https://docs.google.com/spreadsheets/d/14Bd19lYaqBhU8_DElYkX7l4wRkHqqCUFNJY4AfY3kHU/edit?usp=sharing  #gid=0"",""фіз особи new!relations_name""),6,FALSE)
,
(IF
(
C13849=""юридична особа""
,
VLOO"&amp;"KUP(D13849,IMPORTRANGE(""https://docs.google.com/spreadsheets/d/14Bd19lYaqBhU8_DElYkX7l4wRkHqqCUFNJY4AfY3kHU/edit?usp=sharing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8" s="7" t="s">
        <v>10</v>
      </c>
      <c r="H13848" s="7">
        <v>0</v>
      </c>
      <c r="I13848" s="8" t="str">
        <f ca="1">IFERROR(__xludf.DUMMYFUNCTION("IF
(
G13849=""фізична особа""
,
VLOOKUP(H13849,IMPORTRANGE(""https://docs.google.com/spreadsheets/d/14Bd19lYaqBhU8_DElYkX7l4wRkHqqCUFNJY4AfY3kHU/edit?usp=sharing  #gid=0"",""фіз особи new!relations_name""),6,FALSE)
,
(IF
(
G13849=""юридична особа""
,
VLOO"&amp;"KUP(H13849,IMPORTRANGE(""https://docs.google.com/spreadsheets/d/14Bd19lYaqBhU8_DElYkX7l4wRkHqqCUFNJY4AfY3kHU/edit?usp=sharing  #gid=0"",""фіз особи new!relations_name_uo""),7,FALSE)
,
)
))"),"#N/A")</f>
        <v>#N/A</v>
      </c>
      <c r="J13848" s="7" t="s">
        <v>23</v>
      </c>
    </row>
    <row r="13849" spans="1:10" ht="13.2">
      <c r="A13849" s="7">
        <v>13848</v>
      </c>
      <c r="B13849" s="7">
        <v>1</v>
      </c>
      <c r="C13849" s="7" t="s">
        <v>10</v>
      </c>
      <c r="D13849" s="7">
        <v>18765</v>
      </c>
      <c r="E13849" s="7" t="s">
        <v>23</v>
      </c>
      <c r="F13849" s="8" t="str">
        <f ca="1">IFERROR(__xludf.DUMMYFUNCTION("IF
(
C13850=""фізична особа""
,
VLOOKUP(D13850,IMPORTRANGE(""https://docs.google.com/spreadsheets/d/14Bd19lYaqBhU8_DElYkX7l4wRkHqqCUFNJY4AfY3kHU/edit?usp=sharing  #gid=0"",""фіз особи new!relations_name""),6,FALSE)
,
(IF
(
C13850=""юридична особа""
,
VLOO"&amp;"KUP(D13850,IMPORTRANGE(""https://docs.google.com/spreadsheets/d/14Bd19lYaqBhU8_DElYkX7l4wRkHqqCUFNJY4AfY3kHU/edit?usp=sharing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49" s="7" t="s">
        <v>10</v>
      </c>
      <c r="H13849" s="7">
        <v>0</v>
      </c>
      <c r="I13849" s="8" t="str">
        <f ca="1">IFERROR(__xludf.DUMMYFUNCTION("IF
(
G13850=""фізична особа""
,
VLOOKUP(H13850,IMPORTRANGE(""https://docs.google.com/spreadsheets/d/14Bd19lYaqBhU8_DElYkX7l4wRkHqqCUFNJY4AfY3kHU/edit?usp=sharing  #gid=0"",""фіз особи new!relations_name""),6,FALSE)
,
(IF
(
G13850=""юридична особа""
,
VLOO"&amp;"KUP(H13850,IMPORTRANGE(""https://docs.google.com/spreadsheets/d/14Bd19lYaqBhU8_DElYkX7l4wRkHqqCUFNJY4AfY3kHU/edit?usp=sharing  #gid=0"",""фіз особи new!relations_name_uo""),7,FALSE)
,
)
))"),"#N/A")</f>
        <v>#N/A</v>
      </c>
      <c r="J13849" s="7" t="s">
        <v>23</v>
      </c>
    </row>
    <row r="13850" spans="1:10" ht="13.2">
      <c r="A13850" s="7">
        <v>13849</v>
      </c>
      <c r="B13850" s="7">
        <v>1</v>
      </c>
      <c r="C13850" s="7" t="s">
        <v>10</v>
      </c>
      <c r="D13850" s="7">
        <v>18765</v>
      </c>
      <c r="E13850" s="7" t="s">
        <v>23</v>
      </c>
      <c r="F13850" s="8" t="str">
        <f ca="1">IFERROR(__xludf.DUMMYFUNCTION("IF
(
C13851=""фізична особа""
,
VLOOKUP(D13851,IMPORTRANGE(""https://docs.google.com/spreadsheets/d/14Bd19lYaqBhU8_DElYkX7l4wRkHqqCUFNJY4AfY3kHU/edit?usp=sharing  #gid=0"",""фіз особи new!relations_name""),6,FALSE)
,
(IF
(
C13851=""юридична особа""
,
VLOO"&amp;"KUP(D13851,IMPORTRANGE(""https://docs.google.com/spreadsheets/d/14Bd19lYaqBhU8_DElYkX7l4wRkHqqCUFNJY4AfY3kHU/edit?usp=sharing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G13850" s="7" t="s">
        <v>10</v>
      </c>
      <c r="H13850" s="7">
        <v>18770</v>
      </c>
      <c r="I13850" s="8" t="str">
        <f ca="1">IFERROR(__xludf.DUMMYFUNCTION("IF
(
G13851=""фізична особа""
,
VLOOKUP(H13851,IMPORTRANGE(""https://docs.google.com/spreadsheets/d/14Bd19lYaqBhU8_DElYkX7l4wRkHqqCUFNJY4AfY3kHU/edit?usp=sharing  #gid=0"",""фіз особи new!relations_name""),6,FALSE)
,
(IF
(
G13851=""юридична особа""
,
VLOO"&amp;"KUP(H13851,IMPORTRANGE(""https://docs.google.com/spreadsheets/d/14Bd19lYaqBhU8_DElYkX7l4wRkHqqCUFNJY4AfY3kHU/edit?usp=sharing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50" s="7" t="s">
        <v>23</v>
      </c>
    </row>
    <row r="13851" spans="1:10" ht="13.2">
      <c r="A13851" s="7">
        <v>13850</v>
      </c>
      <c r="B13851" s="7">
        <v>1</v>
      </c>
      <c r="C13851" s="7" t="s">
        <v>10</v>
      </c>
      <c r="D13851" s="7">
        <v>18766</v>
      </c>
      <c r="E13851" s="7" t="s">
        <v>23</v>
      </c>
      <c r="F13851" s="8" t="str">
        <f ca="1">IFERROR(__xludf.DUMMYFUNCTION("IF
(
C13852=""фізична особа""
,
VLOOKUP(D13852,IMPORTRANGE(""https://docs.google.com/spreadsheets/d/14Bd19lYaqBhU8_DElYkX7l4wRkHqqCUFNJY4AfY3kHU/edit?usp=sharing  #gid=0"",""фіз особи new!relations_name""),6,FALSE)
,
(IF
(
C13852=""юридична особа""
,
VLOO"&amp;"KUP(D13852,IMPORTRANGE(""https://docs.google.com/spreadsheets/d/14Bd19lYaqBhU8_DElYkX7l4wRkHqqCUFNJY4AfY3kHU/edit?usp=sharing  #gid=0"",""фіз особи new!relations_name_uo""),7,FALSE)
,
)
))"),"ВОРОНІН Вячеслав Павлович")</f>
        <v>ВОРОНІН Вячеслав Павлович</v>
      </c>
      <c r="G13851" s="7" t="s">
        <v>10</v>
      </c>
      <c r="H13851" s="7">
        <v>18765</v>
      </c>
      <c r="I13851" s="8" t="str">
        <f ca="1">IFERROR(__xludf.DUMMYFUNCTION("IF
(
G13852=""фізична особа""
,
VLOOKUP(H13852,IMPORTRANGE(""https://docs.google.com/spreadsheets/d/14Bd19lYaqBhU8_DElYkX7l4wRkHqqCUFNJY4AfY3kHU/edit?usp=sharing  #gid=0"",""фіз особи new!relations_name""),6,FALSE)
,
(IF
(
G13852=""юридична особа""
,
VLOO"&amp;"KUP(H13852,IMPORTRANGE(""https://docs.google.com/spreadsheets/d/14Bd19lYaqBhU8_DElYkX7l4wRkHqqCUFNJY4AfY3kHU/edit?usp=sharing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51" s="7" t="s">
        <v>23</v>
      </c>
    </row>
    <row r="13852" spans="1:10" ht="13.2">
      <c r="A13852" s="7">
        <v>13851</v>
      </c>
      <c r="B13852" s="7">
        <v>1</v>
      </c>
      <c r="C13852" s="7" t="s">
        <v>10</v>
      </c>
      <c r="D13852" s="7">
        <v>18766</v>
      </c>
      <c r="E13852" s="7" t="s">
        <v>14</v>
      </c>
      <c r="F13852" s="8" t="str">
        <f ca="1">IFERROR(__xludf.DUMMYFUNCTION("IF
(
C13853=""фізична особа""
,
VLOOKUP(D13853,IMPORTRANGE(""https://docs.google.com/spreadsheets/d/14Bd19lYaqBhU8_DElYkX7l4wRkHqqCUFNJY4AfY3kHU/edit?usp=sharing  #gid=0"",""фіз особи new!relations_name""),6,FALSE)
,
(IF
(
C13853=""юридична особа""
,
VLOO"&amp;"KUP(D13853,IMPORTRANGE(""https://docs.google.com/spreadsheets/d/14Bd19lYaqBhU8_DElYkX7l4wRkHqqCUFNJY4AfY3kHU/edit?usp=sharing  #gid=0"",""фіз особи new!relations_name_uo""),7,FALSE)
,
)
))"),"ВОРОНІН Вячеслав Павлович")</f>
        <v>ВОРОНІН Вячеслав Павлович</v>
      </c>
      <c r="G13852" s="7" t="s">
        <v>10</v>
      </c>
      <c r="H13852" s="7">
        <v>18767</v>
      </c>
      <c r="I13852" s="8" t="str">
        <f ca="1">IFERROR(__xludf.DUMMYFUNCTION("IF
(
G13853=""фізична особа""
,
VLOOKUP(H13853,IMPORTRANGE(""https://docs.google.com/spreadsheets/d/14Bd19lYaqBhU8_DElYkX7l4wRkHqqCUFNJY4AfY3kHU/edit?usp=sharing  #gid=0"",""фіз особи new!relations_name""),6,FALSE)
,
(IF
(
G13853=""юридична особа""
,
VLOO"&amp;"KUP(H13853,IMPORTRANGE(""https://docs.google.com/spreadsheets/d/14Bd19lYaqBhU8_DElYkX7l4wRkHqqCUFNJY4AfY3kHU/edit?usp=sharing  #gid=0"",""фіз особи new!relations_name_uo""),7,FALSE)
,
)
))"),"ВОРОНІНА Олена Михайлівна")</f>
        <v>ВОРОНІНА Олена Михайлівна</v>
      </c>
      <c r="J13852" s="7" t="s">
        <v>15</v>
      </c>
    </row>
    <row r="13853" spans="1:10" ht="13.2">
      <c r="A13853" s="7">
        <v>13852</v>
      </c>
      <c r="B13853" s="7">
        <v>1</v>
      </c>
      <c r="C13853" s="7" t="s">
        <v>10</v>
      </c>
      <c r="D13853" s="7">
        <v>18767</v>
      </c>
      <c r="E13853" s="7" t="s">
        <v>23</v>
      </c>
      <c r="F13853" s="8" t="str">
        <f ca="1">IFERROR(__xludf.DUMMYFUNCTION("IF
(
C13854=""фізична особа""
,
VLOOKUP(D13854,IMPORTRANGE(""https://docs.google.com/spreadsheets/d/14Bd19lYaqBhU8_DElYkX7l4wRkHqqCUFNJY4AfY3kHU/edit?usp=sharing  #gid=0"",""фіз особи new!relations_name""),6,FALSE)
,
(IF
(
C13854=""юридична особа""
,
VLOO"&amp;"KUP(D13854,IMPORTRANGE(""https://docs.google.com/spreadsheets/d/14Bd19lYaqBhU8_DElYkX7l4wRkHqqCUFNJY4AfY3kHU/edit?usp=sharing  #gid=0"",""фіз особи new!relations_name_uo""),7,FALSE)
,
)
))"),"ВОРОНІНА Олена Михайлівна")</f>
        <v>ВОРОНІНА Олена Михайлівна</v>
      </c>
      <c r="G13853" s="7" t="s">
        <v>10</v>
      </c>
      <c r="H13853" s="7">
        <v>18765</v>
      </c>
      <c r="I13853" s="8" t="str">
        <f ca="1">IFERROR(__xludf.DUMMYFUNCTION("IF
(
G13854=""фізична особа""
,
VLOOKUP(H13854,IMPORTRANGE(""https://docs.google.com/spreadsheets/d/14Bd19lYaqBhU8_DElYkX7l4wRkHqqCUFNJY4AfY3kHU/edit?usp=sharing  #gid=0"",""фіз особи new!relations_name""),6,FALSE)
,
(IF
(
G13854=""юридична особа""
,
VLOO"&amp;"KUP(H13854,IMPORTRANGE(""https://docs.google.com/spreadsheets/d/14Bd19lYaqBhU8_DElYkX7l4wRkHqqCUFNJY4AfY3kHU/edit?usp=sharing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53" s="7" t="s">
        <v>23</v>
      </c>
    </row>
    <row r="13854" spans="1:10" ht="13.2">
      <c r="A13854" s="7">
        <v>13853</v>
      </c>
      <c r="B13854" s="7">
        <v>1</v>
      </c>
      <c r="C13854" s="7" t="s">
        <v>10</v>
      </c>
      <c r="D13854" s="7">
        <v>18767</v>
      </c>
      <c r="E13854" s="7" t="s">
        <v>15</v>
      </c>
      <c r="F13854" s="8" t="str">
        <f ca="1">IFERROR(__xludf.DUMMYFUNCTION("IF
(
C13855=""фізична особа""
,
VLOOKUP(D13855,IMPORTRANGE(""https://docs.google.com/spreadsheets/d/14Bd19lYaqBhU8_DElYkX7l4wRkHqqCUFNJY4AfY3kHU/edit?usp=sharing  #gid=0"",""фіз особи new!relations_name""),6,FALSE)
,
(IF
(
C13855=""юридична особа""
,
VLOO"&amp;"KUP(D13855,IMPORTRANGE(""https://docs.google.com/spreadsheets/d/14Bd19lYaqBhU8_DElYkX7l4wRkHqqCUFNJY4AfY3kHU/edit?usp=sharing  #gid=0"",""фіз особи new!relations_name_uo""),7,FALSE)
,
)
))"),"ВОРОНІНА Олена Михайлівна")</f>
        <v>ВОРОНІНА Олена Михайлівна</v>
      </c>
      <c r="G13854" s="7" t="s">
        <v>10</v>
      </c>
      <c r="H13854" s="7">
        <v>18766</v>
      </c>
      <c r="I13854" s="8" t="str">
        <f ca="1">IFERROR(__xludf.DUMMYFUNCTION("IF
(
G13855=""фізична особа""
,
VLOOKUP(H13855,IMPORTRANGE(""https://docs.google.com/spreadsheets/d/14Bd19lYaqBhU8_DElYkX7l4wRkHqqCUFNJY4AfY3kHU/edit?usp=sharing  #gid=0"",""фіз особи new!relations_name""),6,FALSE)
,
(IF
(
G13855=""юридична особа""
,
VLOO"&amp;"KUP(H13855,IMPORTRANGE(""https://docs.google.com/spreadsheets/d/14Bd19lYaqBhU8_DElYkX7l4wRkHqqCUFNJY4AfY3kHU/edit?usp=sharing  #gid=0"",""фіз особи new!relations_name_uo""),7,FALSE)
,
)
))"),"ВОРОНІН Вячеслав Павлович")</f>
        <v>ВОРОНІН Вячеслав Павлович</v>
      </c>
      <c r="J13854" s="7" t="s">
        <v>14</v>
      </c>
    </row>
    <row r="13855" spans="1:10" ht="13.2">
      <c r="A13855" s="7">
        <v>13854</v>
      </c>
      <c r="B13855" s="7">
        <v>1</v>
      </c>
      <c r="C13855" s="7" t="s">
        <v>10</v>
      </c>
      <c r="D13855" s="7">
        <v>18768</v>
      </c>
      <c r="E13855" s="7" t="s">
        <v>23</v>
      </c>
      <c r="F13855" s="8" t="str">
        <f ca="1">IFERROR(__xludf.DUMMYFUNCTION("IF
(
C13856=""фізична особа""
,
VLOOKUP(D13856,IMPORTRANGE(""https://docs.google.com/spreadsheets/d/14Bd19lYaqBhU8_DElYkX7l4wRkHqqCUFNJY4AfY3kHU/edit?usp=sharing  #gid=0"",""фіз особи new!relations_name""),6,FALSE)
,
(IF
(
C13856=""юридична особа""
,
VLOO"&amp;"KUP(D13856,IMPORTRANGE(""https://docs.google.com/spreadsheets/d/14Bd19lYaqBhU8_DElYkX7l4wRkHqqCUFNJY4AfY3kHU/edit?usp=sharing  #gid=0"",""фіз особи new!relations_name_uo""),7,FALSE)
,
)
))"),"ІНСАРСЬКА Ельвіра Борисівна")</f>
        <v>ІНСАРСЬКА Ельвіра Борисівна</v>
      </c>
      <c r="G13855" s="7" t="s">
        <v>10</v>
      </c>
      <c r="H13855" s="7">
        <v>18765</v>
      </c>
      <c r="I13855" s="8" t="str">
        <f ca="1">IFERROR(__xludf.DUMMYFUNCTION("IF
(
G13856=""фізична особа""
,
VLOOKUP(H13856,IMPORTRANGE(""https://docs.google.com/spreadsheets/d/14Bd19lYaqBhU8_DElYkX7l4wRkHqqCUFNJY4AfY3kHU/edit?usp=sharing  #gid=0"",""фіз особи new!relations_name""),6,FALSE)
,
(IF
(
G13856=""юридична особа""
,
VLOO"&amp;"KUP(H13856,IMPORTRANGE(""https://docs.google.com/spreadsheets/d/14Bd19lYaqBhU8_DElYkX7l4wRkHqqCUFNJY4AfY3kHU/edit?usp=sharing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55" s="7" t="s">
        <v>23</v>
      </c>
    </row>
    <row r="13856" spans="1:10" ht="13.2">
      <c r="A13856" s="7">
        <v>13855</v>
      </c>
      <c r="B13856" s="7">
        <v>1</v>
      </c>
      <c r="C13856" s="7" t="s">
        <v>10</v>
      </c>
      <c r="D13856" s="7">
        <v>18769</v>
      </c>
      <c r="E13856" s="7" t="s">
        <v>15</v>
      </c>
      <c r="F13856" s="8" t="str">
        <f ca="1">IFERROR(__xludf.DUMMYFUNCTION("IF
(
C13857=""фізична особа""
,
VLOOKUP(D13857,IMPORTRANGE(""https://docs.google.com/spreadsheets/d/14Bd19lYaqBhU8_DElYkX7l4wRkHqqCUFNJY4AfY3kHU/edit?usp=sharing  #gid=0"",""фіз особи new!relations_name""),6,FALSE)
,
(IF
(
C13857=""юридична особа""
,
VLOO"&amp;"KUP(D13857,IMPORTRANGE(""https://docs.google.com/spreadsheets/d/14Bd19lYaqBhU8_DElYkX7l4wRkHqqCUFNJY4AfY3kHU/edit?usp=sharing  #gid=0"",""фіз особи new!relations_name_uo""),7,FALSE)
,
)
))"),"СЕРБІНОВА Лариса Олександрівна")</f>
        <v>СЕРБІНОВА Лариса Олександрівна</v>
      </c>
      <c r="G13856" s="7" t="s">
        <v>10</v>
      </c>
      <c r="H13856" s="7">
        <v>18765</v>
      </c>
      <c r="I13856" s="8" t="str">
        <f ca="1">IFERROR(__xludf.DUMMYFUNCTION("IF
(
G13857=""фізична особа""
,
VLOOKUP(H13857,IMPORTRANGE(""https://docs.google.com/spreadsheets/d/14Bd19lYaqBhU8_DElYkX7l4wRkHqqCUFNJY4AfY3kHU/edit?usp=sharing  #gid=0"",""фіз особи new!relations_name""),6,FALSE)
,
(IF
(
G13857=""юридична особа""
,
VLOO"&amp;"KUP(H13857,IMPORTRANGE(""https://docs.google.com/spreadsheets/d/14Bd19lYaqBhU8_DElYkX7l4wRkHqqCUFNJY4AfY3kHU/edit?usp=sharing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56" s="7" t="s">
        <v>14</v>
      </c>
    </row>
    <row r="13857" spans="1:10" ht="13.2">
      <c r="A13857" s="7">
        <v>13856</v>
      </c>
      <c r="B13857" s="7">
        <v>1</v>
      </c>
      <c r="C13857" s="7" t="s">
        <v>10</v>
      </c>
      <c r="D13857" s="7">
        <v>18769</v>
      </c>
      <c r="E13857" s="7" t="s">
        <v>21</v>
      </c>
      <c r="F13857" s="8" t="str">
        <f ca="1">IFERROR(__xludf.DUMMYFUNCTION("IF
(
C13858=""фізична особа""
,
VLOOKUP(D13858,IMPORTRANGE(""https://docs.google.com/spreadsheets/d/14Bd19lYaqBhU8_DElYkX7l4wRkHqqCUFNJY4AfY3kHU/edit?usp=sharing  #gid=0"",""фіз особи new!relations_name""),6,FALSE)
,
(IF
(
C13858=""юридична особа""
,
VLOO"&amp;"KUP(D13858,IMPORTRANGE(""https://docs.google.com/spreadsheets/d/14Bd19lYaqBhU8_DElYkX7l4wRkHqqCUFNJY4AfY3kHU/edit?usp=sharing  #gid=0"",""фіз особи new!relations_name_uo""),7,FALSE)
,
)
))"),"СЕРБІНОВА Лариса Олександрівна")</f>
        <v>СЕРБІНОВА Лариса Олександрівна</v>
      </c>
      <c r="G13857" s="7" t="s">
        <v>10</v>
      </c>
      <c r="H13857" s="7">
        <v>18775</v>
      </c>
      <c r="I13857" s="8" t="str">
        <f ca="1">IFERROR(__xludf.DUMMYFUNCTION("IF
(
G13858=""фізична особа""
,
VLOOKUP(H13858,IMPORTRANGE(""https://docs.google.com/spreadsheets/d/14Bd19lYaqBhU8_DElYkX7l4wRkHqqCUFNJY4AfY3kHU/edit?usp=sharing  #gid=0"",""фіз особи new!relations_name""),6,FALSE)
,
(IF
(
G13858=""юридична особа""
,
VLOO"&amp;"KUP(H13858,IMPORTRANGE(""https://docs.google.com/spreadsheets/d/14Bd19lYaqBhU8_DElYkX7l4wRkHqqCUFNJY4AfY3kHU/edit?usp=sharing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J13857" s="7" t="s">
        <v>17</v>
      </c>
    </row>
    <row r="13858" spans="1:10" ht="13.2">
      <c r="A13858" s="7">
        <v>13857</v>
      </c>
      <c r="B13858" s="7">
        <v>1</v>
      </c>
      <c r="C13858" s="7" t="s">
        <v>10</v>
      </c>
      <c r="D13858" s="7">
        <v>18769</v>
      </c>
      <c r="E13858" s="7" t="s">
        <v>21</v>
      </c>
      <c r="F13858" s="8" t="str">
        <f ca="1">IFERROR(__xludf.DUMMYFUNCTION("IF
(
C13859=""фізична особа""
,
VLOOKUP(D13859,IMPORTRANGE(""https://docs.google.com/spreadsheets/d/14Bd19lYaqBhU8_DElYkX7l4wRkHqqCUFNJY4AfY3kHU/edit?usp=sharing  #gid=0"",""фіз особи new!relations_name""),6,FALSE)
,
(IF
(
C13859=""юридична особа""
,
VLOO"&amp;"KUP(D13859,IMPORTRANGE(""https://docs.google.com/spreadsheets/d/14Bd19lYaqBhU8_DElYkX7l4wRkHqqCUFNJY4AfY3kHU/edit?usp=sharing  #gid=0"",""фіз особи new!relations_name_uo""),7,FALSE)
,
)
))"),"СЕРБІНОВА Лариса Олександрівна")</f>
        <v>СЕРБІНОВА Лариса Олександрівна</v>
      </c>
      <c r="G13858" s="7" t="s">
        <v>10</v>
      </c>
      <c r="H13858" s="7">
        <v>23679</v>
      </c>
      <c r="I13858" s="8" t="str">
        <f ca="1">IFERROR(__xludf.DUMMYFUNCTION("IF
(
G13859=""фізична особа""
,
VLOOKUP(H13859,IMPORTRANGE(""https://docs.google.com/spreadsheets/d/14Bd19lYaqBhU8_DElYkX7l4wRkHqqCUFNJY4AfY3kHU/edit?usp=sharing  #gid=0"",""фіз особи new!relations_name""),6,FALSE)
,
(IF
(
G13859=""юридична особа""
,
VLOO"&amp;"KUP(H13859,IMPORTRANGE(""https://docs.google.com/spreadsheets/d/14Bd19lYaqBhU8_DElYkX7l4wRkHqqCUFNJY4AfY3kHU/edit?usp=sharing  #gid=0"",""фіз особи new!relations_name_uo""),7,FALSE)
,
)
))"),"СЕРБІНОВ Олександр Ігорович")</f>
        <v>СЕРБІНОВ Олександр Ігорович</v>
      </c>
      <c r="J13858" s="7" t="s">
        <v>17</v>
      </c>
    </row>
    <row r="13859" spans="1:10" ht="13.2">
      <c r="A13859" s="7">
        <v>13858</v>
      </c>
      <c r="B13859" s="7">
        <v>1</v>
      </c>
      <c r="C13859" s="7" t="s">
        <v>10</v>
      </c>
      <c r="D13859" s="7">
        <v>18770</v>
      </c>
      <c r="E13859" s="7" t="s">
        <v>23</v>
      </c>
      <c r="F13859" s="8" t="str">
        <f ca="1">IFERROR(__xludf.DUMMYFUNCTION("IF
(
C13860=""фізична особа""
,
VLOOKUP(D13860,IMPORTRANGE(""https://docs.google.com/spreadsheets/d/14Bd19lYaqBhU8_DElYkX7l4wRkHqqCUFNJY4AfY3kHU/edit?usp=sharing  #gid=0"",""фіз особи new!relations_name""),6,FALSE)
,
(IF
(
C13860=""юридична особа""
,
VLOO"&amp;"KUP(D13860,IMPORTRANGE(""https://docs.google.com/spreadsheets/d/14Bd19lYaqBhU8_DElYkX7l4wRkHqqCUFNJY4AfY3kHU/edit?usp=sharing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G13859" s="7" t="s">
        <v>10</v>
      </c>
      <c r="H13859" s="7">
        <v>18765</v>
      </c>
      <c r="I13859" s="8" t="str">
        <f ca="1">IFERROR(__xludf.DUMMYFUNCTION("IF
(
G13860=""фізична особа""
,
VLOOKUP(H13860,IMPORTRANGE(""https://docs.google.com/spreadsheets/d/14Bd19lYaqBhU8_DElYkX7l4wRkHqqCUFNJY4AfY3kHU/edit?usp=sharing  #gid=0"",""фіз особи new!relations_name""),6,FALSE)
,
(IF
(
G13860=""юридична особа""
,
VLOO"&amp;"KUP(H13860,IMPORTRANGE(""https://docs.google.com/spreadsheets/d/14Bd19lYaqBhU8_DElYkX7l4wRkHqqCUFNJY4AfY3kHU/edit?usp=sharing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59" s="7" t="s">
        <v>23</v>
      </c>
    </row>
    <row r="13860" spans="1:10" ht="13.2">
      <c r="A13860" s="7">
        <v>13859</v>
      </c>
      <c r="B13860" s="7">
        <v>1</v>
      </c>
      <c r="C13860" s="7" t="s">
        <v>10</v>
      </c>
      <c r="D13860" s="7">
        <v>18771</v>
      </c>
      <c r="E13860" s="7" t="s">
        <v>23</v>
      </c>
      <c r="F13860" s="8" t="str">
        <f ca="1">IFERROR(__xludf.DUMMYFUNCTION("IF
(
C13861=""фізична особа""
,
VLOOKUP(D13861,IMPORTRANGE(""https://docs.google.com/spreadsheets/d/14Bd19lYaqBhU8_DElYkX7l4wRkHqqCUFNJY4AfY3kHU/edit?usp=sharing  #gid=0"",""фіз особи new!relations_name""),6,FALSE)
,
(IF
(
C13861=""юридична особа""
,
VLOO"&amp;"KUP(D13861,IMPORTRANGE(""https://docs.google.com/spreadsheets/d/14Bd19lYaqBhU8_DElYkX7l4wRkHqqCUFNJY4AfY3kHU/edit?usp=sharing  #gid=0"",""фіз особи new!relations_name_uo""),7,FALSE)
,
)
))"),"ЄГОРОВ Владислав Борисович")</f>
        <v>ЄГОРОВ Владислав Борисович</v>
      </c>
      <c r="G13860" s="7" t="s">
        <v>10</v>
      </c>
      <c r="H13860" s="7">
        <v>18765</v>
      </c>
      <c r="I13860" s="8" t="str">
        <f ca="1">IFERROR(__xludf.DUMMYFUNCTION("IF
(
G13861=""фізична особа""
,
VLOOKUP(H13861,IMPORTRANGE(""https://docs.google.com/spreadsheets/d/14Bd19lYaqBhU8_DElYkX7l4wRkHqqCUFNJY4AfY3kHU/edit?usp=sharing  #gid=0"",""фіз особи new!relations_name""),6,FALSE)
,
(IF
(
G13861=""юридична особа""
,
VLOO"&amp;"KUP(H13861,IMPORTRANGE(""https://docs.google.com/spreadsheets/d/14Bd19lYaqBhU8_DElYkX7l4wRkHqqCUFNJY4AfY3kHU/edit?usp=sharing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60" s="7" t="s">
        <v>23</v>
      </c>
    </row>
    <row r="13861" spans="1:10" ht="13.2">
      <c r="A13861" s="7">
        <v>13860</v>
      </c>
      <c r="B13861" s="7">
        <v>1</v>
      </c>
      <c r="C13861" s="7" t="s">
        <v>10</v>
      </c>
      <c r="D13861" s="7">
        <v>18772</v>
      </c>
      <c r="E13861" s="7" t="s">
        <v>23</v>
      </c>
      <c r="F13861" s="8" t="str">
        <f ca="1">IFERROR(__xludf.DUMMYFUNCTION("IF
(
C13862=""фізична особа""
,
VLOOKUP(D13862,IMPORTRANGE(""https://docs.google.com/spreadsheets/d/14Bd19lYaqBhU8_DElYkX7l4wRkHqqCUFNJY4AfY3kHU/edit?usp=sharing  #gid=0"",""фіз особи new!relations_name""),6,FALSE)
,
(IF
(
C13862=""юридична особа""
,
VLOO"&amp;"KUP(D13862,IMPORTRANGE(""https://docs.google.com/spreadsheets/d/14Bd19lYaqBhU8_DElYkX7l4wRkHqqCUFNJY4AfY3kHU/edit?usp=sharing  #gid=0"",""фіз особи new!relations_name_uo""),7,FALSE)
,
)
))"),"ЧЕРНИШЕВ Валерій Олександрович")</f>
        <v>ЧЕРНИШЕВ Валерій Олександрович</v>
      </c>
      <c r="G13861" s="7" t="s">
        <v>10</v>
      </c>
      <c r="H13861" s="7">
        <v>18765</v>
      </c>
      <c r="I13861" s="8" t="str">
        <f ca="1">IFERROR(__xludf.DUMMYFUNCTION("IF
(
G13862=""фізична особа""
,
VLOOKUP(H13862,IMPORTRANGE(""https://docs.google.com/spreadsheets/d/14Bd19lYaqBhU8_DElYkX7l4wRkHqqCUFNJY4AfY3kHU/edit?usp=sharing  #gid=0"",""фіз особи new!relations_name""),6,FALSE)
,
(IF
(
G13862=""юридична особа""
,
VLOO"&amp;"KUP(H13862,IMPORTRANGE(""https://docs.google.com/spreadsheets/d/14Bd19lYaqBhU8_DElYkX7l4wRkHqqCUFNJY4AfY3kHU/edit?usp=sharing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61" s="7" t="s">
        <v>23</v>
      </c>
    </row>
    <row r="13862" spans="1:10" ht="13.2">
      <c r="A13862" s="7">
        <v>13861</v>
      </c>
      <c r="B13862" s="7">
        <v>1</v>
      </c>
      <c r="C13862" s="7" t="s">
        <v>10</v>
      </c>
      <c r="D13862" s="7">
        <v>18773</v>
      </c>
      <c r="E13862" s="7" t="s">
        <v>23</v>
      </c>
      <c r="F13862" s="8" t="str">
        <f ca="1">IFERROR(__xludf.DUMMYFUNCTION("IF
(
C13863=""фізична особа""
,
VLOOKUP(D13863,IMPORTRANGE(""https://docs.google.com/spreadsheets/d/14Bd19lYaqBhU8_DElYkX7l4wRkHqqCUFNJY4AfY3kHU/edit?usp=sharing  #gid=0"",""фіз особи new!relations_name""),6,FALSE)
,
(IF
(
C13863=""юридична особа""
,
VLOO"&amp;"KUP(D13863,IMPORTRANGE(""https://docs.google.com/spreadsheets/d/14Bd19lYaqBhU8_DElYkX7l4wRkHqqCUFNJY4AfY3kHU/edit?usp=sharing  #gid=0"",""фіз особи new!relations_name_uo""),7,FALSE)
,
)
))"),"НЕСТЕРОВ Ігор Валерійович")</f>
        <v>НЕСТЕРОВ Ігор Валерійович</v>
      </c>
      <c r="G13862" s="7" t="s">
        <v>10</v>
      </c>
      <c r="H13862" s="7">
        <v>18765</v>
      </c>
      <c r="I13862" s="8" t="str">
        <f ca="1">IFERROR(__xludf.DUMMYFUNCTION("IF
(
G13863=""фізична особа""
,
VLOOKUP(H13863,IMPORTRANGE(""https://docs.google.com/spreadsheets/d/14Bd19lYaqBhU8_DElYkX7l4wRkHqqCUFNJY4AfY3kHU/edit?usp=sharing  #gid=0"",""фіз особи new!relations_name""),6,FALSE)
,
(IF
(
G13863=""юридична особа""
,
VLOO"&amp;"KUP(H13863,IMPORTRANGE(""https://docs.google.com/spreadsheets/d/14Bd19lYaqBhU8_DElYkX7l4wRkHqqCUFNJY4AfY3kHU/edit?usp=sharing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62" s="7" t="s">
        <v>23</v>
      </c>
    </row>
    <row r="13863" spans="1:10" ht="13.2">
      <c r="A13863" s="7">
        <v>13862</v>
      </c>
      <c r="B13863" s="7">
        <v>1</v>
      </c>
      <c r="C13863" s="7" t="s">
        <v>10</v>
      </c>
      <c r="D13863" s="7">
        <v>18774</v>
      </c>
      <c r="E13863" s="7" t="s">
        <v>17</v>
      </c>
      <c r="F13863" s="8" t="str">
        <f ca="1">IFERROR(__xludf.DUMMYFUNCTION("IF
(
C13864=""фізична особа""
,
VLOOKUP(D13864,IMPORTRANGE(""https://docs.google.com/spreadsheets/d/14Bd19lYaqBhU8_DElYkX7l4wRkHqqCUFNJY4AfY3kHU/edit?usp=sharing  #gid=0"",""фіз особи new!relations_name""),6,FALSE)
,
(IF
(
C13864=""юридична особа""
,
VLOO"&amp;"KUP(D13864,IMPORTRANGE(""https://docs.google.com/spreadsheets/d/14Bd19lYaqBhU8_DElYkX7l4wRkHqqCUFNJY4AfY3kHU/edit?usp=sharing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G13863" s="7" t="s">
        <v>10</v>
      </c>
      <c r="H13863" s="7">
        <v>18765</v>
      </c>
      <c r="I13863" s="8" t="str">
        <f ca="1">IFERROR(__xludf.DUMMYFUNCTION("IF
(
G13864=""фізична особа""
,
VLOOKUP(H13864,IMPORTRANGE(""https://docs.google.com/spreadsheets/d/14Bd19lYaqBhU8_DElYkX7l4wRkHqqCUFNJY4AfY3kHU/edit?usp=sharing  #gid=0"",""фіз особи new!relations_name""),6,FALSE)
,
(IF
(
G13864=""юридична особа""
,
VLOO"&amp;"KUP(H13864,IMPORTRANGE(""https://docs.google.com/spreadsheets/d/14Bd19lYaqBhU8_DElYkX7l4wRkHqqCUFNJY4AfY3kHU/edit?usp=sharing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63" s="7" t="s">
        <v>12</v>
      </c>
    </row>
    <row r="13864" spans="1:10" ht="13.2">
      <c r="A13864" s="7">
        <v>13863</v>
      </c>
      <c r="B13864" s="7">
        <v>1</v>
      </c>
      <c r="C13864" s="7" t="s">
        <v>10</v>
      </c>
      <c r="D13864" s="7">
        <v>18774</v>
      </c>
      <c r="E13864" s="7" t="s">
        <v>17</v>
      </c>
      <c r="F13864" s="8" t="str">
        <f ca="1">IFERROR(__xludf.DUMMYFUNCTION("IF
(
C13865=""фізична особа""
,
VLOOKUP(D13865,IMPORTRANGE(""https://docs.google.com/spreadsheets/d/14Bd19lYaqBhU8_DElYkX7l4wRkHqqCUFNJY4AfY3kHU/edit?usp=sharing  #gid=0"",""фіз особи new!relations_name""),6,FALSE)
,
(IF
(
C13865=""юридична особа""
,
VLOO"&amp;"KUP(D13865,IMPORTRANGE(""https://docs.google.com/spreadsheets/d/14Bd19lYaqBhU8_DElYkX7l4wRkHqqCUFNJY4AfY3kHU/edit?usp=sharing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G13864" s="7" t="s">
        <v>10</v>
      </c>
      <c r="H13864" s="7">
        <v>18769</v>
      </c>
      <c r="I13864" s="8" t="str">
        <f ca="1">IFERROR(__xludf.DUMMYFUNCTION("IF
(
G13865=""фізична особа""
,
VLOOKUP(H13865,IMPORTRANGE(""https://docs.google.com/spreadsheets/d/14Bd19lYaqBhU8_DElYkX7l4wRkHqqCUFNJY4AfY3kHU/edit?usp=sharing  #gid=0"",""фіз особи new!relations_name""),6,FALSE)
,
(IF
(
G13865=""юридична особа""
,
VLOO"&amp;"KUP(H13865,IMPORTRANGE(""https://docs.google.com/spreadsheets/d/14Bd19lYaqBhU8_DElYkX7l4wRkHqqCUFNJY4AfY3kHU/edit?usp=sharing  #gid=0"",""фіз особи new!relations_name_uo""),7,FALSE)
,
)
))"),"СЕРБІНОВА Лариса Олександрівна")</f>
        <v>СЕРБІНОВА Лариса Олександрівна</v>
      </c>
      <c r="J13864" s="7" t="s">
        <v>21</v>
      </c>
    </row>
    <row r="13865" spans="1:10" ht="13.2">
      <c r="A13865" s="7">
        <v>13864</v>
      </c>
      <c r="B13865" s="7">
        <v>1</v>
      </c>
      <c r="C13865" s="7" t="s">
        <v>10</v>
      </c>
      <c r="D13865" s="7">
        <v>18774</v>
      </c>
      <c r="E13865" s="7" t="s">
        <v>18</v>
      </c>
      <c r="F13865" s="8" t="str">
        <f ca="1">IFERROR(__xludf.DUMMYFUNCTION("IF
(
C13866=""фізична особа""
,
VLOOKUP(D13866,IMPORTRANGE(""https://docs.google.com/spreadsheets/d/14Bd19lYaqBhU8_DElYkX7l4wRkHqqCUFNJY4AfY3kHU/edit?usp=sharing  #gid=0"",""фіз особи new!relations_name""),6,FALSE)
,
(IF
(
C13866=""юридична особа""
,
VLOO"&amp;"KUP(D13866,IMPORTRANGE(""https://docs.google.com/spreadsheets/d/14Bd19lYaqBhU8_DElYkX7l4wRkHqqCUFNJY4AfY3kHU/edit?usp=sharing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G13865" s="7" t="s">
        <v>10</v>
      </c>
      <c r="H13865" s="7">
        <v>23679</v>
      </c>
      <c r="I13865" s="8" t="str">
        <f ca="1">IFERROR(__xludf.DUMMYFUNCTION("IF
(
G13866=""фізична особа""
,
VLOOKUP(H13866,IMPORTRANGE(""https://docs.google.com/spreadsheets/d/14Bd19lYaqBhU8_DElYkX7l4wRkHqqCUFNJY4AfY3kHU/edit?usp=sharing  #gid=0"",""фіз особи new!relations_name""),6,FALSE)
,
(IF
(
G13866=""юридична особа""
,
VLOO"&amp;"KUP(H13866,IMPORTRANGE(""https://docs.google.com/spreadsheets/d/14Bd19lYaqBhU8_DElYkX7l4wRkHqqCUFNJY4AfY3kHU/edit?usp=sharing  #gid=0"",""фіз особи new!relations_name_uo""),7,FALSE)
,
)
))"),"СЕРБІНОВ Олександр Ігорович")</f>
        <v>СЕРБІНОВ Олександр Ігорович</v>
      </c>
      <c r="J13865" s="7" t="s">
        <v>18</v>
      </c>
    </row>
    <row r="13866" spans="1:10" ht="13.2">
      <c r="A13866" s="7">
        <v>13865</v>
      </c>
      <c r="B13866" s="7">
        <v>1</v>
      </c>
      <c r="C13866" s="7" t="s">
        <v>10</v>
      </c>
      <c r="D13866" s="7">
        <v>18774</v>
      </c>
      <c r="E13866" s="7" t="s">
        <v>20</v>
      </c>
      <c r="F13866" s="8" t="str">
        <f ca="1">IFERROR(__xludf.DUMMYFUNCTION("IF
(
C13867=""фізична особа""
,
VLOOKUP(D13867,IMPORTRANGE(""https://docs.google.com/spreadsheets/d/14Bd19lYaqBhU8_DElYkX7l4wRkHqqCUFNJY4AfY3kHU/edit?usp=sharing  #gid=0"",""фіз особи new!relations_name""),6,FALSE)
,
(IF
(
C13867=""юридична особа""
,
VLOO"&amp;"KUP(D13867,IMPORTRANGE(""https://docs.google.com/spreadsheets/d/14Bd19lYaqBhU8_DElYkX7l4wRkHqqCUFNJY4AfY3kHU/edit?usp=sharing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G13866" s="7" t="s">
        <v>10</v>
      </c>
      <c r="H13866" s="7">
        <v>18774</v>
      </c>
      <c r="I13866" s="8" t="str">
        <f ca="1">IFERROR(__xludf.DUMMYFUNCTION("IF
(
G13867=""фізична особа""
,
VLOOKUP(H13867,IMPORTRANGE(""https://docs.google.com/spreadsheets/d/14Bd19lYaqBhU8_DElYkX7l4wRkHqqCUFNJY4AfY3kHU/edit?usp=sharing  #gid=0"",""фіз особи new!relations_name""),6,FALSE)
,
(IF
(
G13867=""юридична особа""
,
VLOO"&amp;"KUP(H13867,IMPORTRANGE(""https://docs.google.com/spreadsheets/d/14Bd19lYaqBhU8_DElYkX7l4wRkHqqCUFNJY4AfY3kHU/edit?usp=sharing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J13866" s="7" t="s">
        <v>19</v>
      </c>
    </row>
    <row r="13867" spans="1:10" ht="13.2">
      <c r="A13867" s="7">
        <v>13866</v>
      </c>
      <c r="B13867" s="7">
        <v>1</v>
      </c>
      <c r="C13867" s="7" t="s">
        <v>10</v>
      </c>
      <c r="D13867" s="7">
        <v>18775</v>
      </c>
      <c r="E13867" s="7" t="s">
        <v>17</v>
      </c>
      <c r="F13867" s="8" t="str">
        <f ca="1">IFERROR(__xludf.DUMMYFUNCTION("IF
(
C13868=""фізична особа""
,
VLOOKUP(D13868,IMPORTRANGE(""https://docs.google.com/spreadsheets/d/14Bd19lYaqBhU8_DElYkX7l4wRkHqqCUFNJY4AfY3kHU/edit?usp=sharing  #gid=0"",""фіз особи new!relations_name""),6,FALSE)
,
(IF
(
C13868=""юридична особа""
,
VLOO"&amp;"KUP(D13868,IMPORTRANGE(""https://docs.google.com/spreadsheets/d/14Bd19lYaqBhU8_DElYkX7l4wRkHqqCUFNJY4AfY3kHU/edit?usp=sharing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G13867" s="7" t="s">
        <v>10</v>
      </c>
      <c r="H13867" s="7">
        <v>18765</v>
      </c>
      <c r="I13867" s="8" t="str">
        <f ca="1">IFERROR(__xludf.DUMMYFUNCTION("IF
(
G13868=""фізична особа""
,
VLOOKUP(H13868,IMPORTRANGE(""https://docs.google.com/spreadsheets/d/14Bd19lYaqBhU8_DElYkX7l4wRkHqqCUFNJY4AfY3kHU/edit?usp=sharing  #gid=0"",""фіз особи new!relations_name""),6,FALSE)
,
(IF
(
G13868=""юридична особа""
,
VLOO"&amp;"KUP(H13868,IMPORTRANGE(""https://docs.google.com/spreadsheets/d/14Bd19lYaqBhU8_DElYkX7l4wRkHqqCUFNJY4AfY3kHU/edit?usp=sharing  #gid=0"",""фіз особи new!relations_name_uo""),7,FALSE)
,
)
))"),"СЕРБІНОВ Ігор Олександрович")</f>
        <v>СЕРБІНОВ Ігор Олександрович</v>
      </c>
      <c r="J13867" s="7" t="s">
        <v>12</v>
      </c>
    </row>
    <row r="13868" spans="1:10" ht="13.2">
      <c r="A13868" s="7">
        <v>13867</v>
      </c>
      <c r="B13868" s="7">
        <v>1</v>
      </c>
      <c r="C13868" s="7" t="s">
        <v>10</v>
      </c>
      <c r="D13868" s="7">
        <v>18775</v>
      </c>
      <c r="E13868" s="7" t="s">
        <v>73</v>
      </c>
      <c r="F13868" s="8" t="str">
        <f ca="1">IFERROR(__xludf.DUMMYFUNCTION("IF
(
C13869=""фізична особа""
,
VLOOKUP(D13869,IMPORTRANGE(""https://docs.google.com/spreadsheets/d/14Bd19lYaqBhU8_DElYkX7l4wRkHqqCUFNJY4AfY3kHU/edit?usp=sharing  #gid=0"",""фіз особи new!relations_name""),6,FALSE)
,
(IF
(
C13869=""юридична особа""
,
VLOO"&amp;"KUP(D13869,IMPORTRANGE(""https://docs.google.com/spreadsheets/d/14Bd19lYaqBhU8_DElYkX7l4wRkHqqCUFNJY4AfY3kHU/edit?usp=sharing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G13868" s="7" t="s">
        <v>10</v>
      </c>
      <c r="H13868" s="7">
        <v>18679</v>
      </c>
      <c r="I13868" s="8" t="str">
        <f ca="1">IFERROR(__xludf.DUMMYFUNCTION("IF
(
G13869=""фізична особа""
,
VLOOKUP(H13869,IMPORTRANGE(""https://docs.google.com/spreadsheets/d/14Bd19lYaqBhU8_DElYkX7l4wRkHqqCUFNJY4AfY3kHU/edit?usp=sharing  #gid=0"",""фіз особи new!relations_name""),6,FALSE)
,
(IF
(
G13869=""юридична особа""
,
VLOO"&amp;"KUP(H13869,IMPORTRANGE(""https://docs.google.com/spreadsheets/d/14Bd19lYaqBhU8_DElYkX7l4wRkHqqCUFNJY4AfY3kHU/edit?usp=sharing  #gid=0"",""фіз особи new!relations_name_uo""),7,FALSE)
,
)
))"),"КАЗЕНАС Сергій Євгенійович")</f>
        <v>КАЗЕНАС Сергій Євгенійович</v>
      </c>
      <c r="J13868" s="7" t="s">
        <v>25</v>
      </c>
    </row>
    <row r="13869" spans="1:10" ht="13.2">
      <c r="A13869" s="7">
        <v>13868</v>
      </c>
      <c r="B13869" s="7">
        <v>1</v>
      </c>
      <c r="C13869" s="7" t="s">
        <v>10</v>
      </c>
      <c r="D13869" s="7">
        <v>18775</v>
      </c>
      <c r="E13869" s="7" t="s">
        <v>19</v>
      </c>
      <c r="F13869" s="8" t="str">
        <f ca="1">IFERROR(__xludf.DUMMYFUNCTION("IF
(
C13870=""фізична особа""
,
VLOOKUP(D13870,IMPORTRANGE(""https://docs.google.com/spreadsheets/d/14Bd19lYaqBhU8_DElYkX7l4wRkHqqCUFNJY4AfY3kHU/edit?usp=sharing  #gid=0"",""фіз особи new!relations_name""),6,FALSE)
,
(IF
(
C13870=""юридична особа""
,
VLOO"&amp;"KUP(D13870,IMPORTRANGE(""https://docs.google.com/spreadsheets/d/14Bd19lYaqBhU8_DElYkX7l4wRkHqqCUFNJY4AfY3kHU/edit?usp=sharing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G13869" s="7" t="s">
        <v>10</v>
      </c>
      <c r="H13869" s="7">
        <v>23679</v>
      </c>
      <c r="I13869" s="8" t="str">
        <f ca="1">IFERROR(__xludf.DUMMYFUNCTION("IF
(
G13870=""фізична особа""
,
VLOOKUP(H13870,IMPORTRANGE(""https://docs.google.com/spreadsheets/d/14Bd19lYaqBhU8_DElYkX7l4wRkHqqCUFNJY4AfY3kHU/edit?usp=sharing  #gid=0"",""фіз особи new!relations_name""),6,FALSE)
,
(IF
(
G13870=""юридична особа""
,
VLOO"&amp;"KUP(H13870,IMPORTRANGE(""https://docs.google.com/spreadsheets/d/14Bd19lYaqBhU8_DElYkX7l4wRkHqqCUFNJY4AfY3kHU/edit?usp=sharing  #gid=0"",""фіз особи new!relations_name_uo""),7,FALSE)
,
)
))"),"СЕРБІНОВ Олександр Ігорович")</f>
        <v>СЕРБІНОВ Олександр Ігорович</v>
      </c>
      <c r="J13869" s="7" t="s">
        <v>20</v>
      </c>
    </row>
    <row r="13870" spans="1:10" ht="13.2">
      <c r="A13870" s="7">
        <v>13869</v>
      </c>
      <c r="B13870" s="7">
        <v>1</v>
      </c>
      <c r="C13870" s="7" t="s">
        <v>10</v>
      </c>
      <c r="D13870" s="7">
        <v>18775</v>
      </c>
      <c r="E13870" s="7" t="s">
        <v>19</v>
      </c>
      <c r="F13870" s="8" t="str">
        <f ca="1">IFERROR(__xludf.DUMMYFUNCTION("IF
(
C13871=""фізична особа""
,
VLOOKUP(D13871,IMPORTRANGE(""https://docs.google.com/spreadsheets/d/14Bd19lYaqBhU8_DElYkX7l4wRkHqqCUFNJY4AfY3kHU/edit?usp=sharing  #gid=0"",""фіз особи new!relations_name""),6,FALSE)
,
(IF
(
C13871=""юридична особа""
,
VLOO"&amp;"KUP(D13871,IMPORTRANGE(""https://docs.google.com/spreadsheets/d/14Bd19lYaqBhU8_DElYkX7l4wRkHqqCUFNJY4AfY3kHU/edit?usp=sharing  #gid=0"",""фіз особи new!relations_name_uo""),7,FALSE)
,
)
))"),"СЕРБІНОВ Євгеній Олександрович")</f>
        <v>СЕРБІНОВ Євгеній Олександрович</v>
      </c>
      <c r="G13870" s="7" t="s">
        <v>10</v>
      </c>
      <c r="H13870" s="7">
        <v>18774</v>
      </c>
      <c r="I13870" s="8" t="str">
        <f ca="1">IFERROR(__xludf.DUMMYFUNCTION("IF
(
G13871=""фізична особа""
,
VLOOKUP(H13871,IMPORTRANGE(""https://docs.google.com/spreadsheets/d/14Bd19lYaqBhU8_DElYkX7l4wRkHqqCUFNJY4AfY3kHU/edit?usp=sharing  #gid=0"",""фіз особи new!relations_name""),6,FALSE)
,
(IF
(
G13871=""юридична особа""
,
VLOO"&amp;"KUP(H13871,IMPORTRANGE(""https://docs.google.com/spreadsheets/d/14Bd19lYaqBhU8_DElYkX7l4wRkHqqCUFNJY4AfY3kHU/edit?usp=sharing  #gid=0"",""фіз особи new!relations_name_uo""),7,FALSE)
,
)
))"),"СЕРБІНОВ Олексій Ігорович")</f>
        <v>СЕРБІНОВ Олексій Ігорович</v>
      </c>
      <c r="J13870" s="7" t="s">
        <v>20</v>
      </c>
    </row>
    <row r="13871" spans="1:10" ht="13.2">
      <c r="A13871" s="7">
        <v>13870</v>
      </c>
      <c r="B13871" s="7">
        <v>1</v>
      </c>
      <c r="C13871" s="7" t="s">
        <v>10</v>
      </c>
      <c r="D13871" s="7">
        <v>18776</v>
      </c>
      <c r="E13871" s="7" t="s">
        <v>23</v>
      </c>
      <c r="F13871" s="8" t="str">
        <f ca="1">IFERROR(__xludf.DUMMYFUNCTION("IF
(
C13872=""фізична особа""
,
VLOOKUP(D13872,IMPORTRANGE(""https://docs.google.com/spreadsheets/d/14Bd19lYaqBhU8_DElYkX7l4wRkHqqCUFNJY4AfY3kHU/edit?usp=sharing  #gid=0"",""фіз особи new!relations_name""),6,FALSE)
,
(IF
(
C13872=""юридична особа""
,
VLOO"&amp;"KUP(D13872,IMPORTRANGE(""https://docs.google.com/spreadsheets/d/14Bd19lYaqBhU8_DElYkX7l4wRkHqqCUFNJY4AfY3kHU/edit?usp=sharing  #gid=0"",""фіз особи new!relations_name_uo""),7,FALSE)
,
)
))"),"КОЛЕСНІКОВА Наталія Анатоліївна")</f>
        <v>КОЛЕСНІКОВА Наталія Анатоліївна</v>
      </c>
      <c r="G13871" s="7" t="s">
        <v>10</v>
      </c>
      <c r="H13871" s="7">
        <v>18770</v>
      </c>
      <c r="I13871" s="8" t="str">
        <f ca="1">IFERROR(__xludf.DUMMYFUNCTION("IF
(
G13872=""фізична особа""
,
VLOOKUP(H13872,IMPORTRANGE(""https://docs.google.com/spreadsheets/d/14Bd19lYaqBhU8_DElYkX7l4wRkHqqCUFNJY4AfY3kHU/edit?usp=sharing  #gid=0"",""фіз особи new!relations_name""),6,FALSE)
,
(IF
(
G13872=""юридична особа""
,
VLOO"&amp;"KUP(H13872,IMPORTRANGE(""https://docs.google.com/spreadsheets/d/14Bd19lYaqBhU8_DElYkX7l4wRkHqqCUFNJY4AfY3kHU/edit?usp=sharing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71" s="7" t="s">
        <v>23</v>
      </c>
    </row>
    <row r="13872" spans="1:10" ht="13.2">
      <c r="A13872" s="7">
        <v>13871</v>
      </c>
      <c r="B13872" s="7">
        <v>1</v>
      </c>
      <c r="C13872" s="7" t="s">
        <v>10</v>
      </c>
      <c r="D13872" s="7">
        <v>18777</v>
      </c>
      <c r="E13872" s="7" t="s">
        <v>23</v>
      </c>
      <c r="F13872" s="8" t="str">
        <f ca="1">IFERROR(__xludf.DUMMYFUNCTION("IF
(
C13873=""фізична особа""
,
VLOOKUP(D13873,IMPORTRANGE(""https://docs.google.com/spreadsheets/d/14Bd19lYaqBhU8_DElYkX7l4wRkHqqCUFNJY4AfY3kHU/edit?usp=sharing  #gid=0"",""фіз особи new!relations_name""),6,FALSE)
,
(IF
(
C13873=""юридична особа""
,
VLOO"&amp;"KUP(D13873,IMPORTRANGE(""https://docs.google.com/spreadsheets/d/14Bd19lYaqBhU8_DElYkX7l4wRkHqqCUFNJY4AfY3kHU/edit?usp=sharing  #gid=0"",""фіз особи new!relations_name_uo""),7,FALSE)
,
)
))"),"УЛЬЯНОВА Олена Леонідівна")</f>
        <v>УЛЬЯНОВА Олена Леонідівна</v>
      </c>
      <c r="G13872" s="7" t="s">
        <v>10</v>
      </c>
      <c r="H13872" s="7">
        <v>18770</v>
      </c>
      <c r="I13872" s="8" t="str">
        <f ca="1">IFERROR(__xludf.DUMMYFUNCTION("IF
(
G13873=""фізична особа""
,
VLOOKUP(H13873,IMPORTRANGE(""https://docs.google.com/spreadsheets/d/14Bd19lYaqBhU8_DElYkX7l4wRkHqqCUFNJY4AfY3kHU/edit?usp=sharing  #gid=0"",""фіз особи new!relations_name""),6,FALSE)
,
(IF
(
G13873=""юридична особа""
,
VLOO"&amp;"KUP(H13873,IMPORTRANGE(""https://docs.google.com/spreadsheets/d/14Bd19lYaqBhU8_DElYkX7l4wRkHqqCUFNJY4AfY3kHU/edit?usp=sharing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72" s="7" t="s">
        <v>23</v>
      </c>
    </row>
    <row r="13873" spans="1:10" ht="13.2">
      <c r="A13873" s="7">
        <v>13872</v>
      </c>
      <c r="B13873" s="7">
        <v>1</v>
      </c>
      <c r="C13873" s="7" t="s">
        <v>10</v>
      </c>
      <c r="D13873" s="7">
        <v>18778</v>
      </c>
      <c r="E13873" s="7" t="s">
        <v>23</v>
      </c>
      <c r="F13873" s="8" t="str">
        <f ca="1">IFERROR(__xludf.DUMMYFUNCTION("IF
(
C13874=""фізична особа""
,
VLOOKUP(D13874,IMPORTRANGE(""https://docs.google.com/spreadsheets/d/14Bd19lYaqBhU8_DElYkX7l4wRkHqqCUFNJY4AfY3kHU/edit?usp=sharing  #gid=0"",""фіз особи new!relations_name""),6,FALSE)
,
(IF
(
C13874=""юридична особа""
,
VLOO"&amp;"KUP(D13874,IMPORTRANGE(""https://docs.google.com/spreadsheets/d/14Bd19lYaqBhU8_DElYkX7l4wRkHqqCUFNJY4AfY3kHU/edit?usp=sharing  #gid=0"",""фіз особи new!relations_name_uo""),7,FALSE)
,
)
))"),"УСТЮГОВА Наталія Юріївна")</f>
        <v>УСТЮГОВА Наталія Юріївна</v>
      </c>
      <c r="G13873" s="7" t="s">
        <v>10</v>
      </c>
      <c r="H13873" s="7">
        <v>18770</v>
      </c>
      <c r="I13873" s="8" t="str">
        <f ca="1">IFERROR(__xludf.DUMMYFUNCTION("IF
(
G13874=""фізична особа""
,
VLOOKUP(H13874,IMPORTRANGE(""https://docs.google.com/spreadsheets/d/14Bd19lYaqBhU8_DElYkX7l4wRkHqqCUFNJY4AfY3kHU/edit?usp=sharing  #gid=0"",""фіз особи new!relations_name""),6,FALSE)
,
(IF
(
G13874=""юридична особа""
,
VLOO"&amp;"KUP(H13874,IMPORTRANGE(""https://docs.google.com/spreadsheets/d/14Bd19lYaqBhU8_DElYkX7l4wRkHqqCUFNJY4AfY3kHU/edit?usp=sharing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73" s="7" t="s">
        <v>23</v>
      </c>
    </row>
    <row r="13874" spans="1:10" ht="13.2">
      <c r="A13874" s="7">
        <v>13873</v>
      </c>
      <c r="B13874" s="7">
        <v>1</v>
      </c>
      <c r="C13874" s="7" t="s">
        <v>10</v>
      </c>
      <c r="D13874" s="7">
        <v>18779</v>
      </c>
      <c r="E13874" s="7" t="s">
        <v>23</v>
      </c>
      <c r="F13874" s="8" t="str">
        <f ca="1">IFERROR(__xludf.DUMMYFUNCTION("IF
(
C13875=""фізична особа""
,
VLOOKUP(D13875,IMPORTRANGE(""https://docs.google.com/spreadsheets/d/14Bd19lYaqBhU8_DElYkX7l4wRkHqqCUFNJY4AfY3kHU/edit?usp=sharing  #gid=0"",""фіз особи new!relations_name""),6,FALSE)
,
(IF
(
C13875=""юридична особа""
,
VLOO"&amp;"KUP(D13875,IMPORTRANGE(""https://docs.google.com/spreadsheets/d/14Bd19lYaqBhU8_DElYkX7l4wRkHqqCUFNJY4AfY3kHU/edit?usp=sharing  #gid=0"",""фіз особи new!relations_name_uo""),7,FALSE)
,
)
))"),"ЩЕРБІНІН Костянтин Олександрович")</f>
        <v>ЩЕРБІНІН Костянтин Олександрович</v>
      </c>
      <c r="G13874" s="7" t="s">
        <v>10</v>
      </c>
      <c r="H13874" s="7">
        <v>18770</v>
      </c>
      <c r="I13874" s="8" t="str">
        <f ca="1">IFERROR(__xludf.DUMMYFUNCTION("IF
(
G13875=""фізична особа""
,
VLOOKUP(H13875,IMPORTRANGE(""https://docs.google.com/spreadsheets/d/14Bd19lYaqBhU8_DElYkX7l4wRkHqqCUFNJY4AfY3kHU/edit?usp=sharing  #gid=0"",""фіз особи new!relations_name""),6,FALSE)
,
(IF
(
G13875=""юридична особа""
,
VLOO"&amp;"KUP(H13875,IMPORTRANGE(""https://docs.google.com/spreadsheets/d/14Bd19lYaqBhU8_DElYkX7l4wRkHqqCUFNJY4AfY3kHU/edit?usp=sharing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74" s="7" t="s">
        <v>23</v>
      </c>
    </row>
    <row r="13875" spans="1:10" ht="13.2">
      <c r="A13875" s="7">
        <v>13874</v>
      </c>
      <c r="B13875" s="7">
        <v>1</v>
      </c>
      <c r="C13875" s="7" t="s">
        <v>10</v>
      </c>
      <c r="D13875" s="7">
        <v>18780</v>
      </c>
      <c r="E13875" s="7" t="s">
        <v>23</v>
      </c>
      <c r="F13875" s="8" t="str">
        <f ca="1">IFERROR(__xludf.DUMMYFUNCTION("IF
(
C13876=""фізична особа""
,
VLOOKUP(D13876,IMPORTRANGE(""https://docs.google.com/spreadsheets/d/14Bd19lYaqBhU8_DElYkX7l4wRkHqqCUFNJY4AfY3kHU/edit?usp=sharing  #gid=0"",""фіз особи new!relations_name""),6,FALSE)
,
(IF
(
C13876=""юридична особа""
,
VLOO"&amp;"KUP(D13876,IMPORTRANGE(""https://docs.google.com/spreadsheets/d/14Bd19lYaqBhU8_DElYkX7l4wRkHqqCUFNJY4AfY3kHU/edit?usp=sharing  #gid=0"",""фіз особи new!relations_name_uo""),7,FALSE)
,
)
))"),"КАСИМОВА Світлана Михайлівна")</f>
        <v>КАСИМОВА Світлана Михайлівна</v>
      </c>
      <c r="G13875" s="7" t="s">
        <v>10</v>
      </c>
      <c r="H13875" s="7">
        <v>18770</v>
      </c>
      <c r="I13875" s="8" t="str">
        <f ca="1">IFERROR(__xludf.DUMMYFUNCTION("IF
(
G13876=""фізична особа""
,
VLOOKUP(H13876,IMPORTRANGE(""https://docs.google.com/spreadsheets/d/14Bd19lYaqBhU8_DElYkX7l4wRkHqqCUFNJY4AfY3kHU/edit?usp=sharing  #gid=0"",""фіз особи new!relations_name""),6,FALSE)
,
(IF
(
G13876=""юридична особа""
,
VLOO"&amp;"KUP(H13876,IMPORTRANGE(""https://docs.google.com/spreadsheets/d/14Bd19lYaqBhU8_DElYkX7l4wRkHqqCUFNJY4AfY3kHU/edit?usp=sharing  #gid=0"",""фіз особи new!relations_name_uo""),7,FALSE)
,
)
))"),"БОГДАНЧІКОВ Федір Анатолійович")</f>
        <v>БОГДАНЧІКОВ Федір Анатолійович</v>
      </c>
      <c r="J13875" s="7" t="s">
        <v>23</v>
      </c>
    </row>
    <row r="13876" spans="1:10" ht="13.2">
      <c r="A13876" s="7">
        <v>13875</v>
      </c>
      <c r="B13876" s="7">
        <v>1</v>
      </c>
      <c r="C13876" s="7" t="s">
        <v>10</v>
      </c>
      <c r="D13876" s="7">
        <v>18781</v>
      </c>
      <c r="E13876" s="7" t="s">
        <v>23</v>
      </c>
      <c r="F13876" s="8" t="str">
        <f ca="1">IFERROR(__xludf.DUMMYFUNCTION("IF
(
C13877=""фізична особа""
,
VLOOKUP(D13877,IMPORTRANGE(""https://docs.google.com/spreadsheets/d/14Bd19lYaqBhU8_DElYkX7l4wRkHqqCUFNJY4AfY3kHU/edit?usp=sharing  #gid=0"",""фіз особи new!relations_name""),6,FALSE)
,
(IF
(
C13877=""юридична особа""
,
VLOO"&amp;"KUP(D13877,IMPORTRANGE(""https://docs.google.com/spreadsheets/d/14Bd19lYaqBhU8_DElYkX7l4wRkHqqCUFNJY4AfY3kHU/edit?usp=sharing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G13876" s="7" t="s">
        <v>10</v>
      </c>
      <c r="H13876" s="7">
        <v>18784</v>
      </c>
      <c r="I13876" s="8" t="str">
        <f ca="1">IFERROR(__xludf.DUMMYFUNCTION("IF
(
G13877=""фізична особа""
,
VLOOKUP(H13877,IMPORTRANGE(""https://docs.google.com/spreadsheets/d/14Bd19lYaqBhU8_DElYkX7l4wRkHqqCUFNJY4AfY3kHU/edit?usp=sharing  #gid=0"",""фіз особи new!relations_name""),6,FALSE)
,
(IF
(
G13877=""юридична особа""
,
VLOO"&amp;"KUP(H13877,IMPORTRANGE(""https://docs.google.com/spreadsheets/d/14Bd19lYaqBhU8_DElYkX7l4wRkHqqCUFNJY4AfY3kHU/edit?usp=sharing  #gid=0"",""фіз особи new!relations_name_uo""),7,FALSE)
,
)
))"),"ТУЛЯГАНОВ Кудратилла Асатуллаєвич")</f>
        <v>ТУЛЯГАНОВ Кудратилла Асатуллаєвич</v>
      </c>
      <c r="J13876" s="7" t="s">
        <v>23</v>
      </c>
    </row>
    <row r="13877" spans="1:10" ht="13.2">
      <c r="A13877" s="7">
        <v>13876</v>
      </c>
      <c r="B13877" s="7">
        <v>1</v>
      </c>
      <c r="C13877" s="7" t="s">
        <v>10</v>
      </c>
      <c r="D13877" s="7">
        <v>18782</v>
      </c>
      <c r="E13877" s="7" t="s">
        <v>23</v>
      </c>
      <c r="F13877" s="8" t="str">
        <f ca="1">IFERROR(__xludf.DUMMYFUNCTION("IF
(
C13878=""фізична особа""
,
VLOOKUP(D13878,IMPORTRANGE(""https://docs.google.com/spreadsheets/d/14Bd19lYaqBhU8_DElYkX7l4wRkHqqCUFNJY4AfY3kHU/edit?usp=sharing  #gid=0"",""фіз особи new!relations_name""),6,FALSE)
,
(IF
(
C13878=""юридична особа""
,
VLOO"&amp;"KUP(D13878,IMPORTRANGE(""https://docs.google.com/spreadsheets/d/14Bd19lYaqBhU8_DElYkX7l4wRkHqqCUFNJY4AfY3kHU/edit?usp=sharing  #gid=0"",""фіз особи new!relations_name_uo""),7,FALSE)
,
)
))"),"АЛІЄВ Фуркат Фархадович")</f>
        <v>АЛІЄВ Фуркат Фархадович</v>
      </c>
      <c r="G13877" s="7" t="s">
        <v>10</v>
      </c>
      <c r="H13877" s="7">
        <v>18781</v>
      </c>
      <c r="I13877" s="8" t="str">
        <f ca="1">IFERROR(__xludf.DUMMYFUNCTION("IF
(
G13878=""фізична особа""
,
VLOOKUP(H13878,IMPORTRANGE(""https://docs.google.com/spreadsheets/d/14Bd19lYaqBhU8_DElYkX7l4wRkHqqCUFNJY4AfY3kHU/edit?usp=sharing  #gid=0"",""фіз особи new!relations_name""),6,FALSE)
,
(IF
(
G13878=""юридична особа""
,
VLOO"&amp;"KUP(H13878,IMPORTRANGE(""https://docs.google.com/spreadsheets/d/14Bd19lYaqBhU8_DElYkX7l4wRkHqqCUFNJY4AfY3kHU/edit?usp=sharing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77" s="7" t="s">
        <v>23</v>
      </c>
    </row>
    <row r="13878" spans="1:10" ht="13.2">
      <c r="A13878" s="7">
        <v>13877</v>
      </c>
      <c r="B13878" s="7">
        <v>1</v>
      </c>
      <c r="C13878" s="7" t="s">
        <v>10</v>
      </c>
      <c r="D13878" s="7">
        <v>18783</v>
      </c>
      <c r="E13878" s="7" t="s">
        <v>23</v>
      </c>
      <c r="F13878" s="8" t="str">
        <f ca="1">IFERROR(__xludf.DUMMYFUNCTION("IF
(
C13879=""фізична особа""
,
VLOOKUP(D13879,IMPORTRANGE(""https://docs.google.com/spreadsheets/d/14Bd19lYaqBhU8_DElYkX7l4wRkHqqCUFNJY4AfY3kHU/edit?usp=sharing  #gid=0"",""фіз особи new!relations_name""),6,FALSE)
,
(IF
(
C13879=""юридична особа""
,
VLOO"&amp;"KUP(D13879,IMPORTRANGE(""https://docs.google.com/spreadsheets/d/14Bd19lYaqBhU8_DElYkX7l4wRkHqqCUFNJY4AfY3kHU/edit?usp=sharing  #gid=0"",""фіз особи new!relations_name_uo""),7,FALSE)
,
)
))"),"МІЯЛЬНИЙ Ігор Петрович")</f>
        <v>МІЯЛЬНИЙ Ігор Петрович</v>
      </c>
      <c r="G13878" s="7" t="s">
        <v>10</v>
      </c>
      <c r="H13878" s="7">
        <v>18781</v>
      </c>
      <c r="I13878" s="8" t="str">
        <f ca="1">IFERROR(__xludf.DUMMYFUNCTION("IF
(
G13879=""фізична особа""
,
VLOOKUP(H13879,IMPORTRANGE(""https://docs.google.com/spreadsheets/d/14Bd19lYaqBhU8_DElYkX7l4wRkHqqCUFNJY4AfY3kHU/edit?usp=sharing  #gid=0"",""фіз особи new!relations_name""),6,FALSE)
,
(IF
(
G13879=""юридична особа""
,
VLOO"&amp;"KUP(H13879,IMPORTRANGE(""https://docs.google.com/spreadsheets/d/14Bd19lYaqBhU8_DElYkX7l4wRkHqqCUFNJY4AfY3kHU/edit?usp=sharing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78" s="7" t="s">
        <v>23</v>
      </c>
    </row>
    <row r="13879" spans="1:10" ht="13.2">
      <c r="A13879" s="7">
        <v>13878</v>
      </c>
      <c r="B13879" s="7">
        <v>1</v>
      </c>
      <c r="C13879" s="7" t="s">
        <v>10</v>
      </c>
      <c r="D13879" s="7">
        <v>18784</v>
      </c>
      <c r="E13879" s="7" t="s">
        <v>23</v>
      </c>
      <c r="F13879" s="8" t="str">
        <f ca="1">IFERROR(__xludf.DUMMYFUNCTION("IF
(
C13880=""фізична особа""
,
VLOOKUP(D13880,IMPORTRANGE(""https://docs.google.com/spreadsheets/d/14Bd19lYaqBhU8_DElYkX7l4wRkHqqCUFNJY4AfY3kHU/edit?usp=sharing  #gid=0"",""фіз особи new!relations_name""),6,FALSE)
,
(IF
(
C13880=""юридична особа""
,
VLOO"&amp;"KUP(D13880,IMPORTRANGE(""https://docs.google.com/spreadsheets/d/14Bd19lYaqBhU8_DElYkX7l4wRkHqqCUFNJY4AfY3kHU/edit?usp=sharing  #gid=0"",""фіз особи new!relations_name_uo""),7,FALSE)
,
)
))"),"ТУЛЯГАНОВ Кудратилла Асатуллаєвич")</f>
        <v>ТУЛЯГАНОВ Кудратилла Асатуллаєвич</v>
      </c>
      <c r="G13879" s="7" t="s">
        <v>10</v>
      </c>
      <c r="H13879" s="7">
        <v>18781</v>
      </c>
      <c r="I13879" s="8" t="str">
        <f ca="1">IFERROR(__xludf.DUMMYFUNCTION("IF
(
G13880=""фізична особа""
,
VLOOKUP(H13880,IMPORTRANGE(""https://docs.google.com/spreadsheets/d/14Bd19lYaqBhU8_DElYkX7l4wRkHqqCUFNJY4AfY3kHU/edit?usp=sharing  #gid=0"",""фіз особи new!relations_name""),6,FALSE)
,
(IF
(
G13880=""юридична особа""
,
VLOO"&amp;"KUP(H13880,IMPORTRANGE(""https://docs.google.com/spreadsheets/d/14Bd19lYaqBhU8_DElYkX7l4wRkHqqCUFNJY4AfY3kHU/edit?usp=sharing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79" s="7" t="s">
        <v>23</v>
      </c>
    </row>
    <row r="13880" spans="1:10" ht="13.2">
      <c r="A13880" s="7">
        <v>13879</v>
      </c>
      <c r="B13880" s="7">
        <v>1</v>
      </c>
      <c r="C13880" s="7" t="s">
        <v>10</v>
      </c>
      <c r="D13880" s="7">
        <v>18785</v>
      </c>
      <c r="E13880" s="7" t="s">
        <v>23</v>
      </c>
      <c r="F13880" s="8" t="str">
        <f ca="1">IFERROR(__xludf.DUMMYFUNCTION("IF
(
C13881=""фізична особа""
,
VLOOKUP(D13881,IMPORTRANGE(""https://docs.google.com/spreadsheets/d/14Bd19lYaqBhU8_DElYkX7l4wRkHqqCUFNJY4AfY3kHU/edit?usp=sharing  #gid=0"",""фіз особи new!relations_name""),6,FALSE)
,
(IF
(
C13881=""юридична особа""
,
VLOO"&amp;"KUP(D13881,IMPORTRANGE(""https://docs.google.com/spreadsheets/d/14Bd19lYaqBhU8_DElYkX7l4wRkHqqCUFNJY4AfY3kHU/edit?usp=sharing  #gid=0"",""фіз особи new!relations_name_uo""),7,FALSE)
,
)
))"),"ЗАКІРОВ Сурят Уткурович")</f>
        <v>ЗАКІРОВ Сурят Уткурович</v>
      </c>
      <c r="G13880" s="7" t="s">
        <v>10</v>
      </c>
      <c r="H13880" s="7">
        <v>18781</v>
      </c>
      <c r="I13880" s="8" t="str">
        <f ca="1">IFERROR(__xludf.DUMMYFUNCTION("IF
(
G13881=""фізична особа""
,
VLOOKUP(H13881,IMPORTRANGE(""https://docs.google.com/spreadsheets/d/14Bd19lYaqBhU8_DElYkX7l4wRkHqqCUFNJY4AfY3kHU/edit?usp=sharing  #gid=0"",""фіз особи new!relations_name""),6,FALSE)
,
(IF
(
G13881=""юридична особа""
,
VLOO"&amp;"KUP(H13881,IMPORTRANGE(""https://docs.google.com/spreadsheets/d/14Bd19lYaqBhU8_DElYkX7l4wRkHqqCUFNJY4AfY3kHU/edit?usp=sharing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80" s="7" t="s">
        <v>23</v>
      </c>
    </row>
    <row r="13881" spans="1:10" ht="13.2">
      <c r="A13881" s="7">
        <v>13880</v>
      </c>
      <c r="B13881" s="7">
        <v>1</v>
      </c>
      <c r="C13881" s="7" t="s">
        <v>10</v>
      </c>
      <c r="D13881" s="7">
        <v>18785</v>
      </c>
      <c r="E13881" s="7" t="s">
        <v>23</v>
      </c>
      <c r="F13881" s="8" t="str">
        <f ca="1">IFERROR(__xludf.DUMMYFUNCTION("IF
(
C13882=""фізична особа""
,
VLOOKUP(D13882,IMPORTRANGE(""https://docs.google.com/spreadsheets/d/14Bd19lYaqBhU8_DElYkX7l4wRkHqqCUFNJY4AfY3kHU/edit?usp=sharing  #gid=0"",""фіз особи new!relations_name""),6,FALSE)
,
(IF
(
C13882=""юридична особа""
,
VLOO"&amp;"KUP(D13882,IMPORTRANGE(""https://docs.google.com/spreadsheets/d/14Bd19lYaqBhU8_DElYkX7l4wRkHqqCUFNJY4AfY3kHU/edit?usp=sharing  #gid=0"",""фіз особи new!relations_name_uo""),7,FALSE)
,
)
))"),"ЗАКІРОВ Сурят Уткурович")</f>
        <v>ЗАКІРОВ Сурят Уткурович</v>
      </c>
      <c r="G13881" s="7" t="s">
        <v>10</v>
      </c>
      <c r="H13881" s="7">
        <v>0</v>
      </c>
      <c r="I13881" s="8" t="str">
        <f ca="1">IFERROR(__xludf.DUMMYFUNCTION("IF
(
G13882=""фізична особа""
,
VLOOKUP(H13882,IMPORTRANGE(""https://docs.google.com/spreadsheets/d/14Bd19lYaqBhU8_DElYkX7l4wRkHqqCUFNJY4AfY3kHU/edit?usp=sharing  #gid=0"",""фіз особи new!relations_name""),6,FALSE)
,
(IF
(
G13882=""юридична особа""
,
VLOO"&amp;"KUP(H13882,IMPORTRANGE(""https://docs.google.com/spreadsheets/d/14Bd19lYaqBhU8_DElYkX7l4wRkHqqCUFNJY4AfY3kHU/edit?usp=sharing  #gid=0"",""фіз особи new!relations_name_uo""),7,FALSE)
,
)
))"),"#N/A")</f>
        <v>#N/A</v>
      </c>
      <c r="J13881" s="7" t="s">
        <v>23</v>
      </c>
    </row>
    <row r="13882" spans="1:10" ht="13.2">
      <c r="A13882" s="7">
        <v>13881</v>
      </c>
      <c r="B13882" s="7">
        <v>1</v>
      </c>
      <c r="C13882" s="7" t="s">
        <v>10</v>
      </c>
      <c r="D13882" s="7">
        <v>18786</v>
      </c>
      <c r="E13882" s="7" t="s">
        <v>23</v>
      </c>
      <c r="F13882" s="8" t="str">
        <f ca="1">IFERROR(__xludf.DUMMYFUNCTION("IF
(
C13883=""фізична особа""
,
VLOOKUP(D13883,IMPORTRANGE(""https://docs.google.com/spreadsheets/d/14Bd19lYaqBhU8_DElYkX7l4wRkHqqCUFNJY4AfY3kHU/edit?usp=sharing  #gid=0"",""фіз особи new!relations_name""),6,FALSE)
,
(IF
(
C13883=""юридична особа""
,
VLOO"&amp;"KUP(D13883,IMPORTRANGE(""https://docs.google.com/spreadsheets/d/14Bd19lYaqBhU8_DElYkX7l4wRkHqqCUFNJY4AfY3kHU/edit?usp=sharing  #gid=0"",""фіз особи new!relations_name_uo""),7,FALSE)
,
)
))"),"КОДІРОВ Фазліддін Носірович")</f>
        <v>КОДІРОВ Фазліддін Носірович</v>
      </c>
      <c r="G13882" s="7" t="s">
        <v>10</v>
      </c>
      <c r="H13882" s="7">
        <v>18781</v>
      </c>
      <c r="I13882" s="8" t="str">
        <f ca="1">IFERROR(__xludf.DUMMYFUNCTION("IF
(
G13883=""фізична особа""
,
VLOOKUP(H13883,IMPORTRANGE(""https://docs.google.com/spreadsheets/d/14Bd19lYaqBhU8_DElYkX7l4wRkHqqCUFNJY4AfY3kHU/edit?usp=sharing  #gid=0"",""фіз особи new!relations_name""),6,FALSE)
,
(IF
(
G13883=""юридична особа""
,
VLOO"&amp;"KUP(H13883,IMPORTRANGE(""https://docs.google.com/spreadsheets/d/14Bd19lYaqBhU8_DElYkX7l4wRkHqqCUFNJY4AfY3kHU/edit?usp=sharing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82" s="7" t="s">
        <v>23</v>
      </c>
    </row>
    <row r="13883" spans="1:10" ht="13.2">
      <c r="A13883" s="7">
        <v>13882</v>
      </c>
      <c r="B13883" s="7">
        <v>1</v>
      </c>
      <c r="C13883" s="7" t="s">
        <v>10</v>
      </c>
      <c r="D13883" s="7">
        <v>18787</v>
      </c>
      <c r="E13883" s="7" t="s">
        <v>23</v>
      </c>
      <c r="F13883" s="8" t="str">
        <f ca="1">IFERROR(__xludf.DUMMYFUNCTION("IF
(
C13884=""фізична особа""
,
VLOOKUP(D13884,IMPORTRANGE(""https://docs.google.com/spreadsheets/d/14Bd19lYaqBhU8_DElYkX7l4wRkHqqCUFNJY4AfY3kHU/edit?usp=sharing  #gid=0"",""фіз особи new!relations_name""),6,FALSE)
,
(IF
(
C13884=""юридична особа""
,
VLOO"&amp;"KUP(D13884,IMPORTRANGE(""https://docs.google.com/spreadsheets/d/14Bd19lYaqBhU8_DElYkX7l4wRkHqqCUFNJY4AfY3kHU/edit?usp=sharing  #gid=0"",""фіз особи new!relations_name_uo""),7,FALSE)
,
)
))"),"ХАЛІКОВ Рустам Бахтієрович")</f>
        <v>ХАЛІКОВ Рустам Бахтієрович</v>
      </c>
      <c r="G13883" s="7" t="s">
        <v>10</v>
      </c>
      <c r="H13883" s="7">
        <v>18781</v>
      </c>
      <c r="I13883" s="8" t="str">
        <f ca="1">IFERROR(__xludf.DUMMYFUNCTION("IF
(
G13884=""фізична особа""
,
VLOOKUP(H13884,IMPORTRANGE(""https://docs.google.com/spreadsheets/d/14Bd19lYaqBhU8_DElYkX7l4wRkHqqCUFNJY4AfY3kHU/edit?usp=sharing  #gid=0"",""фіз особи new!relations_name""),6,FALSE)
,
(IF
(
G13884=""юридична особа""
,
VLOO"&amp;"KUP(H13884,IMPORTRANGE(""https://docs.google.com/spreadsheets/d/14Bd19lYaqBhU8_DElYkX7l4wRkHqqCUFNJY4AfY3kHU/edit?usp=sharing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3883" s="7" t="s">
        <v>23</v>
      </c>
    </row>
    <row r="13884" spans="1:10" ht="13.2">
      <c r="A13884" s="7">
        <v>13883</v>
      </c>
      <c r="B13884" s="7">
        <v>1</v>
      </c>
      <c r="C13884" s="7" t="s">
        <v>10</v>
      </c>
      <c r="D13884" s="7">
        <v>18787</v>
      </c>
      <c r="E13884" s="7" t="s">
        <v>23</v>
      </c>
      <c r="F13884" s="8" t="str">
        <f ca="1">IFERROR(__xludf.DUMMYFUNCTION("IF
(
C13885=""фізична особа""
,
VLOOKUP(D13885,IMPORTRANGE(""https://docs.google.com/spreadsheets/d/14Bd19lYaqBhU8_DElYkX7l4wRkHqqCUFNJY4AfY3kHU/edit?usp=sharing  #gid=0"",""фіз особи new!relations_name""),6,FALSE)
,
(IF
(
C13885=""юридична особа""
,
VLOO"&amp;"KUP(D13885,IMPORTRANGE(""https://docs.google.com/spreadsheets/d/14Bd19lYaqBhU8_DElYkX7l4wRkHqqCUFNJY4AfY3kHU/edit?usp=sharing  #gid=0"",""фіз особи new!relations_name_uo""),7,FALSE)
,
)
))"),"ХАЛІКОВ Рустам Бахтієрович")</f>
        <v>ХАЛІКОВ Рустам Бахтієрович</v>
      </c>
      <c r="G13884" s="7" t="s">
        <v>10</v>
      </c>
      <c r="H13884" s="7">
        <v>0</v>
      </c>
      <c r="I13884" s="8" t="str">
        <f ca="1">IFERROR(__xludf.DUMMYFUNCTION("IF
(
G13885=""фізична особа""
,
VLOOKUP(H13885,IMPORTRANGE(""https://docs.google.com/spreadsheets/d/14Bd19lYaqBhU8_DElYkX7l4wRkHqqCUFNJY4AfY3kHU/edit?usp=sharing  #gid=0"",""фіз особи new!relations_name""),6,FALSE)
,
(IF
(
G13885=""юридична особа""
,
VLOO"&amp;"KUP(H13885,IMPORTRANGE(""https://docs.google.com/spreadsheets/d/14Bd19lYaqBhU8_DElYkX7l4wRkHqqCUFNJY4AfY3kHU/edit?usp=sharing  #gid=0"",""фіз особи new!relations_name_uo""),7,FALSE)
,
)
))"),"#N/A")</f>
        <v>#N/A</v>
      </c>
      <c r="J13884" s="7" t="s">
        <v>23</v>
      </c>
    </row>
    <row r="13885" spans="1:10" ht="13.2">
      <c r="A13885" s="7">
        <v>13884</v>
      </c>
      <c r="B13885" s="7">
        <v>1</v>
      </c>
      <c r="C13885" s="7" t="s">
        <v>10</v>
      </c>
      <c r="D13885" s="7">
        <v>18787</v>
      </c>
      <c r="E13885" s="7" t="s">
        <v>23</v>
      </c>
      <c r="F13885" s="8" t="str">
        <f ca="1">IFERROR(__xludf.DUMMYFUNCTION("IF
(
C13886=""фізична особа""
,
VLOOKUP(D13886,IMPORTRANGE(""https://docs.google.com/spreadsheets/d/14Bd19lYaqBhU8_DElYkX7l4wRkHqqCUFNJY4AfY3kHU/edit?usp=sharing  #gid=0"",""фіз особи new!relations_name""),6,FALSE)
,
(IF
(
C13886=""юридична особа""
,
VLOO"&amp;"KUP(D13886,IMPORTRANGE(""https://docs.google.com/spreadsheets/d/14Bd19lYaqBhU8_DElYkX7l4wRkHqqCUFNJY4AfY3kHU/edit?usp=sharing  #gid=0"",""фіз особи new!relations_name_uo""),7,FALSE)
,
)
))"),"ХАЛІКОВ Рустам Бахтієрович")</f>
        <v>ХАЛІКОВ Рустам Бахтієрович</v>
      </c>
      <c r="G13885" s="7" t="s">
        <v>10</v>
      </c>
      <c r="H13885" s="7">
        <v>0</v>
      </c>
      <c r="I13885" s="8" t="str">
        <f ca="1">IFERROR(__xludf.DUMMYFUNCTION("IF
(
G13886=""фізична особа""
,
VLOOKUP(H13886,IMPORTRANGE(""https://docs.google.com/spreadsheets/d/14Bd19lYaqBhU8_DElYkX7l4wRkHqqCUFNJY4AfY3kHU/edit?usp=sharing  #gid=0"",""фіз особи new!relations_name""),6,FALSE)
,
(IF
(
G13886=""юридична особа""
,
VLOO"&amp;"KUP(H13886,IMPORTRANGE(""https://docs.google.com/spreadsheets/d/14Bd19lYaqBhU8_DElYkX7l4wRkHqqCUFNJY4AfY3kHU/edit?usp=sharing  #gid=0"",""фіз особи new!relations_name_uo""),7,FALSE)
,
)
))"),"#N/A")</f>
        <v>#N/A</v>
      </c>
      <c r="J13885" s="7" t="s">
        <v>23</v>
      </c>
    </row>
    <row r="13886" spans="1:10" ht="13.2">
      <c r="A13886" s="7">
        <v>13885</v>
      </c>
      <c r="B13886" s="7">
        <v>1</v>
      </c>
      <c r="C13886" s="7" t="s">
        <v>10</v>
      </c>
      <c r="D13886" s="7">
        <v>18790</v>
      </c>
      <c r="E13886" s="7" t="s">
        <v>14</v>
      </c>
      <c r="F13886" s="8" t="str">
        <f ca="1">IFERROR(__xludf.DUMMYFUNCTION("IF
(
C13887=""фізична особа""
,
VLOOKUP(D13887,IMPORTRANGE(""https://docs.google.com/spreadsheets/d/14Bd19lYaqBhU8_DElYkX7l4wRkHqqCUFNJY4AfY3kHU/edit?usp=sharing  #gid=0"",""фіз особи new!relations_name""),6,FALSE)
,
(IF
(
C13887=""юридична особа""
,
VLOO"&amp;"KUP(D13887,IMPORTRANGE(""https://docs.google.com/spreadsheets/d/14Bd19lYaqBhU8_DElYkX7l4wRkHqqCUFNJY4AfY3kHU/edit?usp=sharing  #gid=0"",""фіз особи new!relations_name_uo""),7,FALSE)
,
)
))"),"ЛІННИКОВ Олександр Сергійович")</f>
        <v>ЛІННИКОВ Олександр Сергійович</v>
      </c>
      <c r="G13886" s="7" t="s">
        <v>10</v>
      </c>
      <c r="H13886" s="7">
        <v>0</v>
      </c>
      <c r="I13886" s="8" t="str">
        <f ca="1">IFERROR(__xludf.DUMMYFUNCTION("IF
(
G13887=""фізична особа""
,
VLOOKUP(H13887,IMPORTRANGE(""https://docs.google.com/spreadsheets/d/14Bd19lYaqBhU8_DElYkX7l4wRkHqqCUFNJY4AfY3kHU/edit?usp=sharing  #gid=0"",""фіз особи new!relations_name""),6,FALSE)
,
(IF
(
G13887=""юридична особа""
,
VLOO"&amp;"KUP(H13887,IMPORTRANGE(""https://docs.google.com/spreadsheets/d/14Bd19lYaqBhU8_DElYkX7l4wRkHqqCUFNJY4AfY3kHU/edit?usp=sharing  #gid=0"",""фіз особи new!relations_name_uo""),7,FALSE)
,
)
))"),"#N/A")</f>
        <v>#N/A</v>
      </c>
      <c r="J13886" s="7" t="s">
        <v>15</v>
      </c>
    </row>
    <row r="13887" spans="1:10" ht="13.2">
      <c r="A13887" s="7">
        <v>13886</v>
      </c>
      <c r="B13887" s="7">
        <v>1</v>
      </c>
      <c r="C13887" s="7" t="s">
        <v>10</v>
      </c>
      <c r="D13887" s="7">
        <v>18800</v>
      </c>
      <c r="E13887" s="7" t="s">
        <v>12</v>
      </c>
      <c r="F13887" s="8" t="str">
        <f ca="1">IFERROR(__xludf.DUMMYFUNCTION("IF
(
C13888=""фізична особа""
,
VLOOKUP(D13888,IMPORTRANGE(""https://docs.google.com/spreadsheets/d/14Bd19lYaqBhU8_DElYkX7l4wRkHqqCUFNJY4AfY3kHU/edit?usp=sharing  #gid=0"",""фіз особи new!relations_name""),6,FALSE)
,
(IF
(
C13888=""юридична особа""
,
VLOO"&amp;"KUP(D13888,IMPORTRANGE(""https://docs.google.com/spreadsheets/d/14Bd19lYaqBhU8_DElYkX7l4wRkHqqCUFNJY4AfY3kHU/edit?usp=sharing  #gid=0"",""фіз особи new!relations_name_uo""),7,FALSE)
,
)
))"),"ДРАНІЧНІКОВ Сергій Олександрович")</f>
        <v>ДРАНІЧНІКОВ Сергій Олександрович</v>
      </c>
      <c r="G13887" s="7" t="s">
        <v>10</v>
      </c>
      <c r="H13887" s="7">
        <v>18801</v>
      </c>
      <c r="I13887" s="8" t="str">
        <f ca="1">IFERROR(__xludf.DUMMYFUNCTION("IF
(
G13888=""фізична особа""
,
VLOOKUP(H13888,IMPORTRANGE(""https://docs.google.com/spreadsheets/d/14Bd19lYaqBhU8_DElYkX7l4wRkHqqCUFNJY4AfY3kHU/edit?usp=sharing  #gid=0"",""фіз особи new!relations_name""),6,FALSE)
,
(IF
(
G13888=""юридична особа""
,
VLOO"&amp;"KUP(H13888,IMPORTRANGE(""https://docs.google.com/spreadsheets/d/14Bd19lYaqBhU8_DElYkX7l4wRkHqqCUFNJY4AfY3kHU/edit?usp=sharing  #gid=0"",""фіз особи new!relations_name_uo""),7,FALSE)
,
)
))"),"ПОНОМАРЕНКО Наталія Олександрівна")</f>
        <v>ПОНОМАРЕНКО Наталія Олександрівна</v>
      </c>
      <c r="J13887" s="7" t="s">
        <v>13</v>
      </c>
    </row>
    <row r="13888" spans="1:10" ht="13.2">
      <c r="A13888" s="7">
        <v>13887</v>
      </c>
      <c r="B13888" s="7">
        <v>1</v>
      </c>
      <c r="C13888" s="7" t="s">
        <v>10</v>
      </c>
      <c r="D13888" s="7">
        <v>18801</v>
      </c>
      <c r="E13888" s="7" t="s">
        <v>13</v>
      </c>
      <c r="F13888" s="8" t="str">
        <f ca="1">IFERROR(__xludf.DUMMYFUNCTION("IF
(
C13889=""фізична особа""
,
VLOOKUP(D13889,IMPORTRANGE(""https://docs.google.com/spreadsheets/d/14Bd19lYaqBhU8_DElYkX7l4wRkHqqCUFNJY4AfY3kHU/edit?usp=sharing  #gid=0"",""фіз особи new!relations_name""),6,FALSE)
,
(IF
(
C13889=""юридична особа""
,
VLOO"&amp;"KUP(D13889,IMPORTRANGE(""https://docs.google.com/spreadsheets/d/14Bd19lYaqBhU8_DElYkX7l4wRkHqqCUFNJY4AfY3kHU/edit?usp=sharing  #gid=0"",""фіз особи new!relations_name_uo""),7,FALSE)
,
)
))"),"ПОНОМАРЕНКО Наталія Олександрівна")</f>
        <v>ПОНОМАРЕНКО Наталія Олександрівна</v>
      </c>
      <c r="G13888" s="7" t="s">
        <v>10</v>
      </c>
      <c r="H13888" s="7">
        <v>18800</v>
      </c>
      <c r="I13888" s="8" t="str">
        <f ca="1">IFERROR(__xludf.DUMMYFUNCTION("IF
(
G13889=""фізична особа""
,
VLOOKUP(H13889,IMPORTRANGE(""https://docs.google.com/spreadsheets/d/14Bd19lYaqBhU8_DElYkX7l4wRkHqqCUFNJY4AfY3kHU/edit?usp=sharing  #gid=0"",""фіз особи new!relations_name""),6,FALSE)
,
(IF
(
G13889=""юридична особа""
,
VLOO"&amp;"KUP(H13889,IMPORTRANGE(""https://docs.google.com/spreadsheets/d/14Bd19lYaqBhU8_DElYkX7l4wRkHqqCUFNJY4AfY3kHU/edit?usp=sharing  #gid=0"",""фіз особи new!relations_name_uo""),7,FALSE)
,
)
))"),"ДРАНІЧНІКОВ Сергій Олександрович")</f>
        <v>ДРАНІЧНІКОВ Сергій Олександрович</v>
      </c>
      <c r="J13888" s="7" t="s">
        <v>12</v>
      </c>
    </row>
    <row r="13889" spans="1:10" ht="13.2">
      <c r="A13889" s="7">
        <v>13888</v>
      </c>
      <c r="B13889" s="7">
        <v>1</v>
      </c>
      <c r="C13889" s="7" t="s">
        <v>10</v>
      </c>
      <c r="D13889" s="7">
        <v>18820</v>
      </c>
      <c r="E13889" s="7" t="s">
        <v>20</v>
      </c>
      <c r="F13889" s="8" t="str">
        <f ca="1">IFERROR(__xludf.DUMMYFUNCTION("IF
(
C13890=""фізична особа""
,
VLOOKUP(D13890,IMPORTRANGE(""https://docs.google.com/spreadsheets/d/14Bd19lYaqBhU8_DElYkX7l4wRkHqqCUFNJY4AfY3kHU/edit?usp=sharing  #gid=0"",""фіз особи new!relations_name""),6,FALSE)
,
(IF
(
C13890=""юридична особа""
,
VLOO"&amp;"KUP(D13890,IMPORTRANGE(""https://docs.google.com/spreadsheets/d/14Bd19lYaqBhU8_DElYkX7l4wRkHqqCUFNJY4AfY3kHU/edit?usp=sharing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G13889" s="7" t="s">
        <v>10</v>
      </c>
      <c r="H13889" s="7">
        <v>18824</v>
      </c>
      <c r="I13889" s="8" t="str">
        <f ca="1">IFERROR(__xludf.DUMMYFUNCTION("IF
(
G13890=""фізична особа""
,
VLOOKUP(H13890,IMPORTRANGE(""https://docs.google.com/spreadsheets/d/14Bd19lYaqBhU8_DElYkX7l4wRkHqqCUFNJY4AfY3kHU/edit?usp=sharing  #gid=0"",""фіз особи new!relations_name""),6,FALSE)
,
(IF
(
G13890=""юридична особа""
,
VLOO"&amp;"KUP(H13890,IMPORTRANGE(""https://docs.google.com/spreadsheets/d/14Bd19lYaqBhU8_DElYkX7l4wRkHqqCUFNJY4AfY3kHU/edit?usp=sharing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J13889" s="7" t="s">
        <v>45</v>
      </c>
    </row>
    <row r="13890" spans="1:10" ht="13.2">
      <c r="A13890" s="7">
        <v>13889</v>
      </c>
      <c r="B13890" s="7">
        <v>1</v>
      </c>
      <c r="C13890" s="7" t="s">
        <v>10</v>
      </c>
      <c r="D13890" s="7">
        <v>18820</v>
      </c>
      <c r="E13890" s="7" t="s">
        <v>44</v>
      </c>
      <c r="F13890" s="8" t="str">
        <f ca="1">IFERROR(__xludf.DUMMYFUNCTION("IF
(
C13891=""фізична особа""
,
VLOOKUP(D13891,IMPORTRANGE(""https://docs.google.com/spreadsheets/d/14Bd19lYaqBhU8_DElYkX7l4wRkHqqCUFNJY4AfY3kHU/edit?usp=sharing  #gid=0"",""фіз особи new!relations_name""),6,FALSE)
,
(IF
(
C13891=""юридична особа""
,
VLOO"&amp;"KUP(D13891,IMPORTRANGE(""https://docs.google.com/spreadsheets/d/14Bd19lYaqBhU8_DElYkX7l4wRkHqqCUFNJY4AfY3kHU/edit?usp=sharing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G13890" s="7" t="s">
        <v>10</v>
      </c>
      <c r="H13890" s="7">
        <v>18825</v>
      </c>
      <c r="I13890" s="8" t="str">
        <f ca="1">IFERROR(__xludf.DUMMYFUNCTION("IF
(
G13891=""фізична особа""
,
VLOOKUP(H13891,IMPORTRANGE(""https://docs.google.com/spreadsheets/d/14Bd19lYaqBhU8_DElYkX7l4wRkHqqCUFNJY4AfY3kHU/edit?usp=sharing  #gid=0"",""фіз особи new!relations_name""),6,FALSE)
,
(IF
(
G13891=""юридична особа""
,
VLOO"&amp;"KUP(H13891,IMPORTRANGE(""https://docs.google.com/spreadsheets/d/14Bd19lYaqBhU8_DElYkX7l4wRkHqqCUFNJY4AfY3kHU/edit?usp=sharing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J13890" s="7" t="s">
        <v>112</v>
      </c>
    </row>
    <row r="13891" spans="1:10" ht="13.2">
      <c r="A13891" s="7">
        <v>13890</v>
      </c>
      <c r="B13891" s="7">
        <v>1</v>
      </c>
      <c r="C13891" s="7" t="s">
        <v>10</v>
      </c>
      <c r="D13891" s="7">
        <v>18820</v>
      </c>
      <c r="E13891" s="7" t="s">
        <v>18</v>
      </c>
      <c r="F13891" s="8" t="str">
        <f ca="1">IFERROR(__xludf.DUMMYFUNCTION("IF
(
C13892=""фізична особа""
,
VLOOKUP(D13892,IMPORTRANGE(""https://docs.google.com/spreadsheets/d/14Bd19lYaqBhU8_DElYkX7l4wRkHqqCUFNJY4AfY3kHU/edit?usp=sharing  #gid=0"",""фіз особи new!relations_name""),6,FALSE)
,
(IF
(
C13892=""юридична особа""
,
VLOO"&amp;"KUP(D13892,IMPORTRANGE(""https://docs.google.com/spreadsheets/d/14Bd19lYaqBhU8_DElYkX7l4wRkHqqCUFNJY4AfY3kHU/edit?usp=sharing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G13891" s="7" t="s">
        <v>10</v>
      </c>
      <c r="H13891" s="7">
        <v>18826</v>
      </c>
      <c r="I13891" s="8" t="str">
        <f ca="1">IFERROR(__xludf.DUMMYFUNCTION("IF
(
G13892=""фізична особа""
,
VLOOKUP(H13892,IMPORTRANGE(""https://docs.google.com/spreadsheets/d/14Bd19lYaqBhU8_DElYkX7l4wRkHqqCUFNJY4AfY3kHU/edit?usp=sharing  #gid=0"",""фіз особи new!relations_name""),6,FALSE)
,
(IF
(
G13892=""юридична особа""
,
VLOO"&amp;"KUP(H13892,IMPORTRANGE(""https://docs.google.com/spreadsheets/d/14Bd19lYaqBhU8_DElYkX7l4wRkHqqCUFNJY4AfY3kHU/edit?usp=sharing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J13891" s="7" t="s">
        <v>31</v>
      </c>
    </row>
    <row r="13892" spans="1:10" ht="13.2">
      <c r="A13892" s="7">
        <v>13891</v>
      </c>
      <c r="B13892" s="7">
        <v>1</v>
      </c>
      <c r="C13892" s="7" t="s">
        <v>10</v>
      </c>
      <c r="D13892" s="7">
        <v>18824</v>
      </c>
      <c r="E13892" s="7" t="s">
        <v>45</v>
      </c>
      <c r="F13892" s="8" t="str">
        <f ca="1">IFERROR(__xludf.DUMMYFUNCTION("IF
(
C13893=""фізична особа""
,
VLOOKUP(D13893,IMPORTRANGE(""https://docs.google.com/spreadsheets/d/14Bd19lYaqBhU8_DElYkX7l4wRkHqqCUFNJY4AfY3kHU/edit?usp=sharing  #gid=0"",""фіз особи new!relations_name""),6,FALSE)
,
(IF
(
C13893=""юридична особа""
,
VLOO"&amp;"KUP(D13893,IMPORTRANGE(""https://docs.google.com/spreadsheets/d/14Bd19lYaqBhU8_DElYkX7l4wRkHqqCUFNJY4AfY3kHU/edit?usp=sharing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G13892" s="7" t="s">
        <v>10</v>
      </c>
      <c r="H13892" s="7">
        <v>18825</v>
      </c>
      <c r="I13892" s="8" t="str">
        <f ca="1">IFERROR(__xludf.DUMMYFUNCTION("IF
(
G13893=""фізична особа""
,
VLOOKUP(H13893,IMPORTRANGE(""https://docs.google.com/spreadsheets/d/14Bd19lYaqBhU8_DElYkX7l4wRkHqqCUFNJY4AfY3kHU/edit?usp=sharing  #gid=0"",""фіз особи new!relations_name""),6,FALSE)
,
(IF
(
G13893=""юридична особа""
,
VLOO"&amp;"KUP(H13893,IMPORTRANGE(""https://docs.google.com/spreadsheets/d/14Bd19lYaqBhU8_DElYkX7l4wRkHqqCUFNJY4AfY3kHU/edit?usp=sharing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J13892" s="7" t="s">
        <v>22</v>
      </c>
    </row>
    <row r="13893" spans="1:10" ht="13.2">
      <c r="A13893" s="7">
        <v>13892</v>
      </c>
      <c r="B13893" s="7">
        <v>1</v>
      </c>
      <c r="C13893" s="7" t="s">
        <v>10</v>
      </c>
      <c r="D13893" s="7">
        <v>18824</v>
      </c>
      <c r="E13893" s="7" t="s">
        <v>45</v>
      </c>
      <c r="F13893" s="8" t="str">
        <f ca="1">IFERROR(__xludf.DUMMYFUNCTION("IF
(
C13894=""фізична особа""
,
VLOOKUP(D13894,IMPORTRANGE(""https://docs.google.com/spreadsheets/d/14Bd19lYaqBhU8_DElYkX7l4wRkHqqCUFNJY4AfY3kHU/edit?usp=sharing  #gid=0"",""фіз особи new!relations_name""),6,FALSE)
,
(IF
(
C13894=""юридична особа""
,
VLOO"&amp;"KUP(D13894,IMPORTRANGE(""https://docs.google.com/spreadsheets/d/14Bd19lYaqBhU8_DElYkX7l4wRkHqqCUFNJY4AfY3kHU/edit?usp=sharing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G13893" s="7" t="s">
        <v>10</v>
      </c>
      <c r="H13893" s="7">
        <v>18826</v>
      </c>
      <c r="I13893" s="8" t="str">
        <f ca="1">IFERROR(__xludf.DUMMYFUNCTION("IF
(
G13894=""фізична особа""
,
VLOOKUP(H13894,IMPORTRANGE(""https://docs.google.com/spreadsheets/d/14Bd19lYaqBhU8_DElYkX7l4wRkHqqCUFNJY4AfY3kHU/edit?usp=sharing  #gid=0"",""фіз особи new!relations_name""),6,FALSE)
,
(IF
(
G13894=""юридична особа""
,
VLOO"&amp;"KUP(H13894,IMPORTRANGE(""https://docs.google.com/spreadsheets/d/14Bd19lYaqBhU8_DElYkX7l4wRkHqqCUFNJY4AfY3kHU/edit?usp=sharing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J13893" s="7" t="s">
        <v>22</v>
      </c>
    </row>
    <row r="13894" spans="1:10" ht="13.2">
      <c r="A13894" s="7">
        <v>13893</v>
      </c>
      <c r="B13894" s="7">
        <v>1</v>
      </c>
      <c r="C13894" s="7" t="s">
        <v>10</v>
      </c>
      <c r="D13894" s="7">
        <v>18824</v>
      </c>
      <c r="E13894" s="7" t="s">
        <v>15</v>
      </c>
      <c r="F13894" s="8" t="str">
        <f ca="1">IFERROR(__xludf.DUMMYFUNCTION("IF
(
C13895=""фізична особа""
,
VLOOKUP(D13895,IMPORTRANGE(""https://docs.google.com/spreadsheets/d/14Bd19lYaqBhU8_DElYkX7l4wRkHqqCUFNJY4AfY3kHU/edit?usp=sharing  #gid=0"",""фіз особи new!relations_name""),6,FALSE)
,
(IF
(
C13895=""юридична особа""
,
VLOO"&amp;"KUP(D13895,IMPORTRANGE(""https://docs.google.com/spreadsheets/d/14Bd19lYaqBhU8_DElYkX7l4wRkHqqCUFNJY4AfY3kHU/edit?usp=sharing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G13894" s="7" t="s">
        <v>10</v>
      </c>
      <c r="H13894" s="7">
        <v>0</v>
      </c>
      <c r="I13894" s="8" t="str">
        <f ca="1">IFERROR(__xludf.DUMMYFUNCTION("IF
(
G13895=""фізична особа""
,
VLOOKUP(H13895,IMPORTRANGE(""https://docs.google.com/spreadsheets/d/14Bd19lYaqBhU8_DElYkX7l4wRkHqqCUFNJY4AfY3kHU/edit?usp=sharing  #gid=0"",""фіз особи new!relations_name""),6,FALSE)
,
(IF
(
G13895=""юридична особа""
,
VLOO"&amp;"KUP(H13895,IMPORTRANGE(""https://docs.google.com/spreadsheets/d/14Bd19lYaqBhU8_DElYkX7l4wRkHqqCUFNJY4AfY3kHU/edit?usp=sharing  #gid=0"",""фіз особи new!relations_name_uo""),7,FALSE)
,
)
))"),"#N/A")</f>
        <v>#N/A</v>
      </c>
      <c r="J13894" s="7" t="s">
        <v>14</v>
      </c>
    </row>
    <row r="13895" spans="1:10" ht="13.2">
      <c r="A13895" s="7">
        <v>13894</v>
      </c>
      <c r="B13895" s="7">
        <v>1</v>
      </c>
      <c r="C13895" s="7" t="s">
        <v>10</v>
      </c>
      <c r="D13895" s="7">
        <v>18824</v>
      </c>
      <c r="E13895" s="7" t="s">
        <v>45</v>
      </c>
      <c r="F13895" s="8" t="str">
        <f ca="1">IFERROR(__xludf.DUMMYFUNCTION("IF
(
C13896=""фізична особа""
,
VLOOKUP(D13896,IMPORTRANGE(""https://docs.google.com/spreadsheets/d/14Bd19lYaqBhU8_DElYkX7l4wRkHqqCUFNJY4AfY3kHU/edit?usp=sharing  #gid=0"",""фіз особи new!relations_name""),6,FALSE)
,
(IF
(
C13896=""юридична особа""
,
VLOO"&amp;"KUP(D13896,IMPORTRANGE(""https://docs.google.com/spreadsheets/d/14Bd19lYaqBhU8_DElYkX7l4wRkHqqCUFNJY4AfY3kHU/edit?usp=sharing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G13895" s="7" t="s">
        <v>10</v>
      </c>
      <c r="H13895" s="7">
        <v>18820</v>
      </c>
      <c r="I13895" s="8" t="str">
        <f ca="1">IFERROR(__xludf.DUMMYFUNCTION("IF
(
G13896=""фізична особа""
,
VLOOKUP(H13896,IMPORTRANGE(""https://docs.google.com/spreadsheets/d/14Bd19lYaqBhU8_DElYkX7l4wRkHqqCUFNJY4AfY3kHU/edit?usp=sharing  #gid=0"",""фіз особи new!relations_name""),6,FALSE)
,
(IF
(
G13896=""юридична особа""
,
VLOO"&amp;"KUP(H13896,IMPORTRANGE(""https://docs.google.com/spreadsheets/d/14Bd19lYaqBhU8_DElYkX7l4wRkHqqCUFNJY4AfY3kHU/edit?usp=sharing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J13895" s="7" t="s">
        <v>20</v>
      </c>
    </row>
    <row r="13896" spans="1:10" ht="13.2">
      <c r="A13896" s="7">
        <v>13895</v>
      </c>
      <c r="B13896" s="7">
        <v>1</v>
      </c>
      <c r="C13896" s="7" t="s">
        <v>10</v>
      </c>
      <c r="D13896" s="7">
        <v>18825</v>
      </c>
      <c r="E13896" s="7" t="s">
        <v>22</v>
      </c>
      <c r="F13896" s="8" t="str">
        <f ca="1">IFERROR(__xludf.DUMMYFUNCTION("IF
(
C13897=""фізична особа""
,
VLOOKUP(D13897,IMPORTRANGE(""https://docs.google.com/spreadsheets/d/14Bd19lYaqBhU8_DElYkX7l4wRkHqqCUFNJY4AfY3kHU/edit?usp=sharing  #gid=0"",""фіз особи new!relations_name""),6,FALSE)
,
(IF
(
C13897=""юридична особа""
,
VLOO"&amp;"KUP(D13897,IMPORTRANGE(""https://docs.google.com/spreadsheets/d/14Bd19lYaqBhU8_DElYkX7l4wRkHqqCUFNJY4AfY3kHU/edit?usp=sharing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G13896" s="7" t="s">
        <v>10</v>
      </c>
      <c r="H13896" s="7">
        <v>18824</v>
      </c>
      <c r="I13896" s="8" t="str">
        <f ca="1">IFERROR(__xludf.DUMMYFUNCTION("IF
(
G13897=""фізична особа""
,
VLOOKUP(H13897,IMPORTRANGE(""https://docs.google.com/spreadsheets/d/14Bd19lYaqBhU8_DElYkX7l4wRkHqqCUFNJY4AfY3kHU/edit?usp=sharing  #gid=0"",""фіз особи new!relations_name""),6,FALSE)
,
(IF
(
G13897=""юридична особа""
,
VLOO"&amp;"KUP(H13897,IMPORTRANGE(""https://docs.google.com/spreadsheets/d/14Bd19lYaqBhU8_DElYkX7l4wRkHqqCUFNJY4AfY3kHU/edit?usp=sharing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J13896" s="7" t="s">
        <v>45</v>
      </c>
    </row>
    <row r="13897" spans="1:10" ht="13.2">
      <c r="A13897" s="7">
        <v>13896</v>
      </c>
      <c r="B13897" s="7">
        <v>1</v>
      </c>
      <c r="C13897" s="7" t="s">
        <v>10</v>
      </c>
      <c r="D13897" s="7">
        <v>18825</v>
      </c>
      <c r="E13897" s="7" t="s">
        <v>112</v>
      </c>
      <c r="F13897" s="8" t="str">
        <f ca="1">IFERROR(__xludf.DUMMYFUNCTION("IF
(
C13898=""фізична особа""
,
VLOOKUP(D13898,IMPORTRANGE(""https://docs.google.com/spreadsheets/d/14Bd19lYaqBhU8_DElYkX7l4wRkHqqCUFNJY4AfY3kHU/edit?usp=sharing  #gid=0"",""фіз особи new!relations_name""),6,FALSE)
,
(IF
(
C13898=""юридична особа""
,
VLOO"&amp;"KUP(D13898,IMPORTRANGE(""https://docs.google.com/spreadsheets/d/14Bd19lYaqBhU8_DElYkX7l4wRkHqqCUFNJY4AfY3kHU/edit?usp=sharing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G13897" s="7" t="s">
        <v>10</v>
      </c>
      <c r="H13897" s="7">
        <v>18826</v>
      </c>
      <c r="I13897" s="8" t="str">
        <f ca="1">IFERROR(__xludf.DUMMYFUNCTION("IF
(
G13898=""фізична особа""
,
VLOOKUP(H13898,IMPORTRANGE(""https://docs.google.com/spreadsheets/d/14Bd19lYaqBhU8_DElYkX7l4wRkHqqCUFNJY4AfY3kHU/edit?usp=sharing  #gid=0"",""фіз особи new!relations_name""),6,FALSE)
,
(IF
(
G13898=""юридична особа""
,
VLOO"&amp;"KUP(H13898,IMPORTRANGE(""https://docs.google.com/spreadsheets/d/14Bd19lYaqBhU8_DElYkX7l4wRkHqqCUFNJY4AfY3kHU/edit?usp=sharing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J13897" s="7" t="s">
        <v>112</v>
      </c>
    </row>
    <row r="13898" spans="1:10" ht="13.2">
      <c r="A13898" s="7">
        <v>13897</v>
      </c>
      <c r="B13898" s="7">
        <v>1</v>
      </c>
      <c r="C13898" s="7" t="s">
        <v>10</v>
      </c>
      <c r="D13898" s="7">
        <v>18825</v>
      </c>
      <c r="E13898" s="7" t="s">
        <v>112</v>
      </c>
      <c r="F13898" s="8" t="str">
        <f ca="1">IFERROR(__xludf.DUMMYFUNCTION("IF
(
C13899=""фізична особа""
,
VLOOKUP(D13899,IMPORTRANGE(""https://docs.google.com/spreadsheets/d/14Bd19lYaqBhU8_DElYkX7l4wRkHqqCUFNJY4AfY3kHU/edit?usp=sharing  #gid=0"",""фіз особи new!relations_name""),6,FALSE)
,
(IF
(
C13899=""юридична особа""
,
VLOO"&amp;"KUP(D13899,IMPORTRANGE(""https://docs.google.com/spreadsheets/d/14Bd19lYaqBhU8_DElYkX7l4wRkHqqCUFNJY4AfY3kHU/edit?usp=sharing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G13898" s="7" t="s">
        <v>10</v>
      </c>
      <c r="H13898" s="7">
        <v>18820</v>
      </c>
      <c r="I13898" s="8" t="str">
        <f ca="1">IFERROR(__xludf.DUMMYFUNCTION("IF
(
G13899=""фізична особа""
,
VLOOKUP(H13899,IMPORTRANGE(""https://docs.google.com/spreadsheets/d/14Bd19lYaqBhU8_DElYkX7l4wRkHqqCUFNJY4AfY3kHU/edit?usp=sharing  #gid=0"",""фіз особи new!relations_name""),6,FALSE)
,
(IF
(
G13899=""юридична особа""
,
VLOO"&amp;"KUP(H13899,IMPORTRANGE(""https://docs.google.com/spreadsheets/d/14Bd19lYaqBhU8_DElYkX7l4wRkHqqCUFNJY4AfY3kHU/edit?usp=sharing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J13898" s="7" t="s">
        <v>44</v>
      </c>
    </row>
    <row r="13899" spans="1:10" ht="13.2">
      <c r="A13899" s="7">
        <v>13898</v>
      </c>
      <c r="B13899" s="7">
        <v>1</v>
      </c>
      <c r="C13899" s="7" t="s">
        <v>10</v>
      </c>
      <c r="D13899" s="7">
        <v>18826</v>
      </c>
      <c r="E13899" s="7" t="s">
        <v>112</v>
      </c>
      <c r="F13899" s="8" t="str">
        <f ca="1">IFERROR(__xludf.DUMMYFUNCTION("IF
(
C13900=""фізична особа""
,
VLOOKUP(D13900,IMPORTRANGE(""https://docs.google.com/spreadsheets/d/14Bd19lYaqBhU8_DElYkX7l4wRkHqqCUFNJY4AfY3kHU/edit?usp=sharing  #gid=0"",""фіз особи new!relations_name""),6,FALSE)
,
(IF
(
C13900=""юридична особа""
,
VLOO"&amp;"KUP(D13900,IMPORTRANGE(""https://docs.google.com/spreadsheets/d/14Bd19lYaqBhU8_DElYkX7l4wRkHqqCUFNJY4AfY3kHU/edit?usp=sharing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G13899" s="7" t="s">
        <v>10</v>
      </c>
      <c r="H13899" s="7">
        <v>18825</v>
      </c>
      <c r="I13899" s="8" t="str">
        <f ca="1">IFERROR(__xludf.DUMMYFUNCTION("IF
(
G13900=""фізична особа""
,
VLOOKUP(H13900,IMPORTRANGE(""https://docs.google.com/spreadsheets/d/14Bd19lYaqBhU8_DElYkX7l4wRkHqqCUFNJY4AfY3kHU/edit?usp=sharing  #gid=0"",""фіз особи new!relations_name""),6,FALSE)
,
(IF
(
G13900=""юридична особа""
,
VLOO"&amp;"KUP(H13900,IMPORTRANGE(""https://docs.google.com/spreadsheets/d/14Bd19lYaqBhU8_DElYkX7l4wRkHqqCUFNJY4AfY3kHU/edit?usp=sharing  #gid=0"",""фіз особи new!relations_name_uo""),7,FALSE)
,
)
))"),"УКЛЕЇНА Ніна Миколаївна")</f>
        <v>УКЛЕЇНА Ніна Миколаївна</v>
      </c>
      <c r="J13899" s="7" t="s">
        <v>112</v>
      </c>
    </row>
    <row r="13900" spans="1:10" ht="13.2">
      <c r="A13900" s="7">
        <v>13899</v>
      </c>
      <c r="B13900" s="7">
        <v>1</v>
      </c>
      <c r="C13900" s="7" t="s">
        <v>10</v>
      </c>
      <c r="D13900" s="7">
        <v>18826</v>
      </c>
      <c r="E13900" s="7" t="s">
        <v>112</v>
      </c>
      <c r="F13900" s="8" t="str">
        <f ca="1">IFERROR(__xludf.DUMMYFUNCTION("IF
(
C13901=""фізична особа""
,
VLOOKUP(D13901,IMPORTRANGE(""https://docs.google.com/spreadsheets/d/14Bd19lYaqBhU8_DElYkX7l4wRkHqqCUFNJY4AfY3kHU/edit?usp=sharing  #gid=0"",""фіз особи new!relations_name""),6,FALSE)
,
(IF
(
C13901=""юридична особа""
,
VLOO"&amp;"KUP(D13901,IMPORTRANGE(""https://docs.google.com/spreadsheets/d/14Bd19lYaqBhU8_DElYkX7l4wRkHqqCUFNJY4AfY3kHU/edit?usp=sharing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G13900" s="7" t="s">
        <v>10</v>
      </c>
      <c r="H13900" s="7">
        <v>18820</v>
      </c>
      <c r="I13900" s="8" t="str">
        <f ca="1">IFERROR(__xludf.DUMMYFUNCTION("IF
(
G13901=""фізична особа""
,
VLOOKUP(H13901,IMPORTRANGE(""https://docs.google.com/spreadsheets/d/14Bd19lYaqBhU8_DElYkX7l4wRkHqqCUFNJY4AfY3kHU/edit?usp=sharing  #gid=0"",""фіз особи new!relations_name""),6,FALSE)
,
(IF
(
G13901=""юридична особа""
,
VLOO"&amp;"KUP(H13901,IMPORTRANGE(""https://docs.google.com/spreadsheets/d/14Bd19lYaqBhU8_DElYkX7l4wRkHqqCUFNJY4AfY3kHU/edit?usp=sharing  #gid=0"",""фіз особи new!relations_name_uo""),7,FALSE)
,
)
))"),"ІГНАТОВ Сергій Олександрович")</f>
        <v>ІГНАТОВ Сергій Олександрович</v>
      </c>
      <c r="J13900" s="7" t="s">
        <v>44</v>
      </c>
    </row>
    <row r="13901" spans="1:10" ht="13.2">
      <c r="A13901" s="7">
        <v>13900</v>
      </c>
      <c r="B13901" s="7">
        <v>1</v>
      </c>
      <c r="C13901" s="7" t="s">
        <v>10</v>
      </c>
      <c r="D13901" s="7">
        <v>18826</v>
      </c>
      <c r="E13901" s="7" t="s">
        <v>22</v>
      </c>
      <c r="F13901" s="8" t="str">
        <f ca="1">IFERROR(__xludf.DUMMYFUNCTION("IF
(
C13902=""фізична особа""
,
VLOOKUP(D13902,IMPORTRANGE(""https://docs.google.com/spreadsheets/d/14Bd19lYaqBhU8_DElYkX7l4wRkHqqCUFNJY4AfY3kHU/edit?usp=sharing  #gid=0"",""фіз особи new!relations_name""),6,FALSE)
,
(IF
(
C13902=""юридична особа""
,
VLOO"&amp;"KUP(D13902,IMPORTRANGE(""https://docs.google.com/spreadsheets/d/14Bd19lYaqBhU8_DElYkX7l4wRkHqqCUFNJY4AfY3kHU/edit?usp=sharing  #gid=0"",""фіз особи new!relations_name_uo""),7,FALSE)
,
)
))"),"МАРТИНОВА Олена Олександрівна")</f>
        <v>МАРТИНОВА Олена Олександрівна</v>
      </c>
      <c r="G13901" s="7" t="s">
        <v>10</v>
      </c>
      <c r="H13901" s="7">
        <v>18824</v>
      </c>
      <c r="I13901" s="8" t="str">
        <f ca="1">IFERROR(__xludf.DUMMYFUNCTION("IF
(
G13902=""фізична особа""
,
VLOOKUP(H13902,IMPORTRANGE(""https://docs.google.com/spreadsheets/d/14Bd19lYaqBhU8_DElYkX7l4wRkHqqCUFNJY4AfY3kHU/edit?usp=sharing  #gid=0"",""фіз особи new!relations_name""),6,FALSE)
,
(IF
(
G13902=""юридична особа""
,
VLOO"&amp;"KUP(H13902,IMPORTRANGE(""https://docs.google.com/spreadsheets/d/14Bd19lYaqBhU8_DElYkX7l4wRkHqqCUFNJY4AfY3kHU/edit?usp=sharing  #gid=0"",""фіз особи new!relations_name_uo""),7,FALSE)
,
)
))"),"ІГНАТОВА Ганна Яківна")</f>
        <v>ІГНАТОВА Ганна Яківна</v>
      </c>
      <c r="J13901" s="7" t="s">
        <v>45</v>
      </c>
    </row>
    <row r="13902" spans="1:10" ht="13.2">
      <c r="A13902" s="7">
        <v>13901</v>
      </c>
      <c r="B13902" s="7">
        <v>1</v>
      </c>
      <c r="C13902" s="7" t="s">
        <v>10</v>
      </c>
      <c r="D13902" s="7">
        <v>18845</v>
      </c>
      <c r="E13902" s="7" t="s">
        <v>11</v>
      </c>
      <c r="F13902" s="8" t="str">
        <f ca="1">IFERROR(__xludf.DUMMYFUNCTION("IF
(
C13903=""фізична особа""
,
VLOOKUP(D13903,IMPORTRANGE(""https://docs.google.com/spreadsheets/d/14Bd19lYaqBhU8_DElYkX7l4wRkHqqCUFNJY4AfY3kHU/edit?usp=sharing  #gid=0"",""фіз особи new!relations_name""),6,FALSE)
,
(IF
(
C13903=""юридична особа""
,
VLOO"&amp;"KUP(D13903,IMPORTRANGE(""https://docs.google.com/spreadsheets/d/14Bd19lYaqBhU8_DElYkX7l4wRkHqqCUFNJY4AfY3kHU/edit?usp=sharing  #gid=0"",""фіз особи new!relations_name_uo""),7,FALSE)
,
)
))"),"МІРОФОРІДІС Катерина Іллівна")</f>
        <v>МІРОФОРІДІС Катерина Іллівна</v>
      </c>
      <c r="G13902" s="7" t="s">
        <v>10</v>
      </c>
      <c r="H13902" s="7">
        <v>23680</v>
      </c>
      <c r="I13902" s="8" t="str">
        <f ca="1">IFERROR(__xludf.DUMMYFUNCTION("IF
(
G13903=""фізична особа""
,
VLOOKUP(H13903,IMPORTRANGE(""https://docs.google.com/spreadsheets/d/14Bd19lYaqBhU8_DElYkX7l4wRkHqqCUFNJY4AfY3kHU/edit?usp=sharing  #gid=0"",""фіз особи new!relations_name""),6,FALSE)
,
(IF
(
G13903=""юридична особа""
,
VLOO"&amp;"KUP(H13903,IMPORTRANGE(""https://docs.google.com/spreadsheets/d/14Bd19lYaqBhU8_DElYkX7l4wRkHqqCUFNJY4AfY3kHU/edit?usp=sharing  #gid=0"",""фіз особи new!relations_name_uo""),7,FALSE)
,
)
))"),"ІСАЄВ Ігор Михайлович")</f>
        <v>ІСАЄВ Ігор Михайлович</v>
      </c>
      <c r="J13902" s="7" t="s">
        <v>11</v>
      </c>
    </row>
    <row r="13903" spans="1:10" ht="13.2">
      <c r="A13903" s="7">
        <v>13902</v>
      </c>
      <c r="B13903" s="7">
        <v>1</v>
      </c>
      <c r="C13903" s="7" t="s">
        <v>10</v>
      </c>
      <c r="D13903" s="7">
        <v>18845</v>
      </c>
      <c r="E13903" s="7" t="s">
        <v>11</v>
      </c>
      <c r="F13903" s="8" t="str">
        <f ca="1">IFERROR(__xludf.DUMMYFUNCTION("IF
(
C13904=""фізична особа""
,
VLOOKUP(D13904,IMPORTRANGE(""https://docs.google.com/spreadsheets/d/14Bd19lYaqBhU8_DElYkX7l4wRkHqqCUFNJY4AfY3kHU/edit?usp=sharing  #gid=0"",""фіз особи new!relations_name""),6,FALSE)
,
(IF
(
C13904=""юридична особа""
,
VLOO"&amp;"KUP(D13904,IMPORTRANGE(""https://docs.google.com/spreadsheets/d/14Bd19lYaqBhU8_DElYkX7l4wRkHqqCUFNJY4AfY3kHU/edit?usp=sharing  #gid=0"",""фіз особи new!relations_name_uo""),7,FALSE)
,
)
))"),"МІРОФОРІДІС Катерина Іллівна")</f>
        <v>МІРОФОРІДІС Катерина Іллівна</v>
      </c>
      <c r="G13903" s="7" t="s">
        <v>10</v>
      </c>
      <c r="H13903" s="7">
        <v>18846</v>
      </c>
      <c r="I13903" s="8" t="str">
        <f ca="1">IFERROR(__xludf.DUMMYFUNCTION("IF
(
G13904=""фізична особа""
,
VLOOKUP(H13904,IMPORTRANGE(""https://docs.google.com/spreadsheets/d/14Bd19lYaqBhU8_DElYkX7l4wRkHqqCUFNJY4AfY3kHU/edit?usp=sharing  #gid=0"",""фіз особи new!relations_name""),6,FALSE)
,
(IF
(
G13904=""юридична особа""
,
VLOO"&amp;"KUP(H13904,IMPORTRANGE(""https://docs.google.com/spreadsheets/d/14Bd19lYaqBhU8_DElYkX7l4wRkHqqCUFNJY4AfY3kHU/edit?usp=sharing  #gid=0"",""фіз особи new!relations_name_uo""),7,FALSE)
,
)
))"),"ГАДЖИЄВ Аліасхаб Магомедович")</f>
        <v>ГАДЖИЄВ Аліасхаб Магомедович</v>
      </c>
      <c r="J13903" s="7" t="s">
        <v>11</v>
      </c>
    </row>
    <row r="13904" spans="1:10" ht="13.2">
      <c r="A13904" s="7">
        <v>13903</v>
      </c>
      <c r="B13904" s="7">
        <v>1</v>
      </c>
      <c r="C13904" s="7" t="s">
        <v>10</v>
      </c>
      <c r="D13904" s="7">
        <v>18846</v>
      </c>
      <c r="E13904" s="7" t="s">
        <v>11</v>
      </c>
      <c r="F13904" s="8" t="str">
        <f ca="1">IFERROR(__xludf.DUMMYFUNCTION("IF
(
C13905=""фізична особа""
,
VLOOKUP(D13905,IMPORTRANGE(""https://docs.google.com/spreadsheets/d/14Bd19lYaqBhU8_DElYkX7l4wRkHqqCUFNJY4AfY3kHU/edit?usp=sharing  #gid=0"",""фіз особи new!relations_name""),6,FALSE)
,
(IF
(
C13905=""юридична особа""
,
VLOO"&amp;"KUP(D13905,IMPORTRANGE(""https://docs.google.com/spreadsheets/d/14Bd19lYaqBhU8_DElYkX7l4wRkHqqCUFNJY4AfY3kHU/edit?usp=sharing  #gid=0"",""фіз особи new!relations_name_uo""),7,FALSE)
,
)
))"),"ГАДЖИЄВ Аліасхаб Магомедович")</f>
        <v>ГАДЖИЄВ Аліасхаб Магомедович</v>
      </c>
      <c r="G13904" s="7" t="s">
        <v>10</v>
      </c>
      <c r="H13904" s="7">
        <v>23680</v>
      </c>
      <c r="I13904" s="8" t="str">
        <f ca="1">IFERROR(__xludf.DUMMYFUNCTION("IF
(
G13905=""фізична особа""
,
VLOOKUP(H13905,IMPORTRANGE(""https://docs.google.com/spreadsheets/d/14Bd19lYaqBhU8_DElYkX7l4wRkHqqCUFNJY4AfY3kHU/edit?usp=sharing  #gid=0"",""фіз особи new!relations_name""),6,FALSE)
,
(IF
(
G13905=""юридична особа""
,
VLOO"&amp;"KUP(H13905,IMPORTRANGE(""https://docs.google.com/spreadsheets/d/14Bd19lYaqBhU8_DElYkX7l4wRkHqqCUFNJY4AfY3kHU/edit?usp=sharing  #gid=0"",""фіз особи new!relations_name_uo""),7,FALSE)
,
)
))"),"ІСАЄВ Ігор Михайлович")</f>
        <v>ІСАЄВ Ігор Михайлович</v>
      </c>
      <c r="J13904" s="7" t="s">
        <v>11</v>
      </c>
    </row>
    <row r="13905" spans="1:10" ht="13.2">
      <c r="A13905" s="7">
        <v>13904</v>
      </c>
      <c r="B13905" s="7">
        <v>1</v>
      </c>
      <c r="C13905" s="7" t="s">
        <v>10</v>
      </c>
      <c r="D13905" s="7">
        <v>18846</v>
      </c>
      <c r="E13905" s="7" t="s">
        <v>11</v>
      </c>
      <c r="F13905" s="8" t="str">
        <f ca="1">IFERROR(__xludf.DUMMYFUNCTION("IF
(
C13906=""фізична особа""
,
VLOOKUP(D13906,IMPORTRANGE(""https://docs.google.com/spreadsheets/d/14Bd19lYaqBhU8_DElYkX7l4wRkHqqCUFNJY4AfY3kHU/edit?usp=sharing  #gid=0"",""фіз особи new!relations_name""),6,FALSE)
,
(IF
(
C13906=""юридична особа""
,
VLOO"&amp;"KUP(D13906,IMPORTRANGE(""https://docs.google.com/spreadsheets/d/14Bd19lYaqBhU8_DElYkX7l4wRkHqqCUFNJY4AfY3kHU/edit?usp=sharing  #gid=0"",""фіз особи new!relations_name_uo""),7,FALSE)
,
)
))"),"ГАДЖИЄВ Аліасхаб Магомедович")</f>
        <v>ГАДЖИЄВ Аліасхаб Магомедович</v>
      </c>
      <c r="G13905" s="7" t="s">
        <v>10</v>
      </c>
      <c r="H13905" s="7">
        <v>18845</v>
      </c>
      <c r="I13905" s="8" t="str">
        <f ca="1">IFERROR(__xludf.DUMMYFUNCTION("IF
(
G13906=""фізична особа""
,
VLOOKUP(H13906,IMPORTRANGE(""https://docs.google.com/spreadsheets/d/14Bd19lYaqBhU8_DElYkX7l4wRkHqqCUFNJY4AfY3kHU/edit?usp=sharing  #gid=0"",""фіз особи new!relations_name""),6,FALSE)
,
(IF
(
G13906=""юридична особа""
,
VLOO"&amp;"KUP(H13906,IMPORTRANGE(""https://docs.google.com/spreadsheets/d/14Bd19lYaqBhU8_DElYkX7l4wRkHqqCUFNJY4AfY3kHU/edit?usp=sharing  #gid=0"",""фіз особи new!relations_name_uo""),7,FALSE)
,
)
))"),"МІРОФОРІДІС Катерина Іллівна")</f>
        <v>МІРОФОРІДІС Катерина Іллівна</v>
      </c>
      <c r="J13905" s="7" t="s">
        <v>11</v>
      </c>
    </row>
    <row r="13906" spans="1:10" ht="13.2">
      <c r="A13906" s="7">
        <v>13905</v>
      </c>
      <c r="B13906" s="7">
        <v>1</v>
      </c>
      <c r="C13906" s="7" t="s">
        <v>10</v>
      </c>
      <c r="D13906" s="7">
        <v>18847</v>
      </c>
      <c r="E13906" s="7" t="s">
        <v>23</v>
      </c>
      <c r="F13906" s="8" t="str">
        <f ca="1">IFERROR(__xludf.DUMMYFUNCTION("IF
(
C13907=""фізична особа""
,
VLOOKUP(D13907,IMPORTRANGE(""https://docs.google.com/spreadsheets/d/14Bd19lYaqBhU8_DElYkX7l4wRkHqqCUFNJY4AfY3kHU/edit?usp=sharing  #gid=0"",""фіз особи new!relations_name""),6,FALSE)
,
(IF
(
C13907=""юридична особа""
,
VLOO"&amp;"KUP(D13907,IMPORTRANGE(""https://docs.google.com/spreadsheets/d/14Bd19lYaqBhU8_DElYkX7l4wRkHqqCUFNJY4AfY3kHU/edit?usp=sharing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06" s="7" t="s">
        <v>10</v>
      </c>
      <c r="H13906" s="7">
        <v>18576</v>
      </c>
      <c r="I13906" s="8" t="str">
        <f ca="1">IFERROR(__xludf.DUMMYFUNCTION("IF
(
G13907=""фізична особа""
,
VLOOKUP(H13907,IMPORTRANGE(""https://docs.google.com/spreadsheets/d/14Bd19lYaqBhU8_DElYkX7l4wRkHqqCUFNJY4AfY3kHU/edit?usp=sharing  #gid=0"",""фіз особи new!relations_name""),6,FALSE)
,
(IF
(
G13907=""юридична особа""
,
VLOO"&amp;"KUP(H13907,IMPORTRANGE(""https://docs.google.com/spreadsheets/d/14Bd19lYaqBhU8_DElYkX7l4wRkHqqCUFNJY4AfY3kHU/edit?usp=sharing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906" s="7" t="s">
        <v>23</v>
      </c>
    </row>
    <row r="13907" spans="1:10" ht="13.2">
      <c r="A13907" s="7">
        <v>13906</v>
      </c>
      <c r="B13907" s="7">
        <v>1</v>
      </c>
      <c r="C13907" s="7" t="s">
        <v>10</v>
      </c>
      <c r="D13907" s="7">
        <v>18847</v>
      </c>
      <c r="E13907" s="7" t="s">
        <v>23</v>
      </c>
      <c r="F13907" s="8" t="str">
        <f ca="1">IFERROR(__xludf.DUMMYFUNCTION("IF
(
C13908=""фізична особа""
,
VLOOKUP(D13908,IMPORTRANGE(""https://docs.google.com/spreadsheets/d/14Bd19lYaqBhU8_DElYkX7l4wRkHqqCUFNJY4AfY3kHU/edit?usp=sharing  #gid=0"",""фіз особи new!relations_name""),6,FALSE)
,
(IF
(
C13908=""юридична особа""
,
VLOO"&amp;"KUP(D13908,IMPORTRANGE(""https://docs.google.com/spreadsheets/d/14Bd19lYaqBhU8_DElYkX7l4wRkHqqCUFNJY4AfY3kHU/edit?usp=sharing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07" s="7" t="s">
        <v>10</v>
      </c>
      <c r="H13907" s="7">
        <v>18577</v>
      </c>
      <c r="I13907" s="8" t="str">
        <f ca="1">IFERROR(__xludf.DUMMYFUNCTION("IF
(
G13908=""фізична особа""
,
VLOOKUP(H13908,IMPORTRANGE(""https://docs.google.com/spreadsheets/d/14Bd19lYaqBhU8_DElYkX7l4wRkHqqCUFNJY4AfY3kHU/edit?usp=sharing  #gid=0"",""фіз особи new!relations_name""),6,FALSE)
,
(IF
(
G13908=""юридична особа""
,
VLOO"&amp;"KUP(H13908,IMPORTRANGE(""https://docs.google.com/spreadsheets/d/14Bd19lYaqBhU8_DElYkX7l4wRkHqqCUFNJY4AfY3kHU/edit?usp=sharing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907" s="7" t="s">
        <v>23</v>
      </c>
    </row>
    <row r="13908" spans="1:10" ht="13.2">
      <c r="A13908" s="7">
        <v>13907</v>
      </c>
      <c r="B13908" s="7">
        <v>1</v>
      </c>
      <c r="C13908" s="7" t="s">
        <v>10</v>
      </c>
      <c r="D13908" s="7">
        <v>18847</v>
      </c>
      <c r="E13908" s="7" t="s">
        <v>23</v>
      </c>
      <c r="F13908" s="8" t="str">
        <f ca="1">IFERROR(__xludf.DUMMYFUNCTION("IF
(
C13909=""фізична особа""
,
VLOOKUP(D13909,IMPORTRANGE(""https://docs.google.com/spreadsheets/d/14Bd19lYaqBhU8_DElYkX7l4wRkHqqCUFNJY4AfY3kHU/edit?usp=sharing  #gid=0"",""фіз особи new!relations_name""),6,FALSE)
,
(IF
(
C13909=""юридична особа""
,
VLOO"&amp;"KUP(D13909,IMPORTRANGE(""https://docs.google.com/spreadsheets/d/14Bd19lYaqBhU8_DElYkX7l4wRkHqqCUFNJY4AfY3kHU/edit?usp=sharing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08" s="7" t="s">
        <v>10</v>
      </c>
      <c r="H13908" s="7">
        <v>18578</v>
      </c>
      <c r="I13908" s="8" t="str">
        <f ca="1">IFERROR(__xludf.DUMMYFUNCTION("IF
(
G13909=""фізична особа""
,
VLOOKUP(H13909,IMPORTRANGE(""https://docs.google.com/spreadsheets/d/14Bd19lYaqBhU8_DElYkX7l4wRkHqqCUFNJY4AfY3kHU/edit?usp=sharing  #gid=0"",""фіз особи new!relations_name""),6,FALSE)
,
(IF
(
G13909=""юридична особа""
,
VLOO"&amp;"KUP(H13909,IMPORTRANGE(""https://docs.google.com/spreadsheets/d/14Bd19lYaqBhU8_DElYkX7l4wRkHqqCUFNJY4AfY3kHU/edit?usp=sharing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908" s="7" t="s">
        <v>23</v>
      </c>
    </row>
    <row r="13909" spans="1:10" ht="13.2">
      <c r="A13909" s="7">
        <v>13908</v>
      </c>
      <c r="B13909" s="7">
        <v>1</v>
      </c>
      <c r="C13909" s="7" t="s">
        <v>10</v>
      </c>
      <c r="D13909" s="7">
        <v>18847</v>
      </c>
      <c r="E13909" s="7" t="s">
        <v>23</v>
      </c>
      <c r="F13909" s="8" t="str">
        <f ca="1">IFERROR(__xludf.DUMMYFUNCTION("IF
(
C13910=""фізична особа""
,
VLOOKUP(D13910,IMPORTRANGE(""https://docs.google.com/spreadsheets/d/14Bd19lYaqBhU8_DElYkX7l4wRkHqqCUFNJY4AfY3kHU/edit?usp=sharing  #gid=0"",""фіз особи new!relations_name""),6,FALSE)
,
(IF
(
C13910=""юридична особа""
,
VLOO"&amp;"KUP(D13910,IMPORTRANGE(""https://docs.google.com/spreadsheets/d/14Bd19lYaqBhU8_DElYkX7l4wRkHqqCUFNJY4AfY3kHU/edit?usp=sharing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09" s="7" t="s">
        <v>10</v>
      </c>
      <c r="H13909" s="7">
        <v>18580</v>
      </c>
      <c r="I13909" s="8" t="str">
        <f ca="1">IFERROR(__xludf.DUMMYFUNCTION("IF
(
G13910=""фізична особа""
,
VLOOKUP(H13910,IMPORTRANGE(""https://docs.google.com/spreadsheets/d/14Bd19lYaqBhU8_DElYkX7l4wRkHqqCUFNJY4AfY3kHU/edit?usp=sharing  #gid=0"",""фіз особи new!relations_name""),6,FALSE)
,
(IF
(
G13910=""юридична особа""
,
VLOO"&amp;"KUP(H13910,IMPORTRANGE(""https://docs.google.com/spreadsheets/d/14Bd19lYaqBhU8_DElYkX7l4wRkHqqCUFNJY4AfY3kHU/edit?usp=sharing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909" s="7" t="s">
        <v>23</v>
      </c>
    </row>
    <row r="13910" spans="1:10" ht="13.2">
      <c r="A13910" s="7">
        <v>13909</v>
      </c>
      <c r="B13910" s="7">
        <v>1</v>
      </c>
      <c r="C13910" s="7" t="s">
        <v>10</v>
      </c>
      <c r="D13910" s="7">
        <v>18847</v>
      </c>
      <c r="E13910" s="7" t="s">
        <v>23</v>
      </c>
      <c r="F13910" s="8" t="str">
        <f ca="1">IFERROR(__xludf.DUMMYFUNCTION("IF
(
C13911=""фізична особа""
,
VLOOKUP(D13911,IMPORTRANGE(""https://docs.google.com/spreadsheets/d/14Bd19lYaqBhU8_DElYkX7l4wRkHqqCUFNJY4AfY3kHU/edit?usp=sharing  #gid=0"",""фіз особи new!relations_name""),6,FALSE)
,
(IF
(
C13911=""юридична особа""
,
VLOO"&amp;"KUP(D13911,IMPORTRANGE(""https://docs.google.com/spreadsheets/d/14Bd19lYaqBhU8_DElYkX7l4wRkHqqCUFNJY4AfY3kHU/edit?usp=sharing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0" s="7" t="s">
        <v>10</v>
      </c>
      <c r="H13910" s="7">
        <v>18581</v>
      </c>
      <c r="I13910" s="8" t="str">
        <f ca="1">IFERROR(__xludf.DUMMYFUNCTION("IF
(
G13911=""фізична особа""
,
VLOOKUP(H13911,IMPORTRANGE(""https://docs.google.com/spreadsheets/d/14Bd19lYaqBhU8_DElYkX7l4wRkHqqCUFNJY4AfY3kHU/edit?usp=sharing  #gid=0"",""фіз особи new!relations_name""),6,FALSE)
,
(IF
(
G13911=""юридична особа""
,
VLOO"&amp;"KUP(H13911,IMPORTRANGE(""https://docs.google.com/spreadsheets/d/14Bd19lYaqBhU8_DElYkX7l4wRkHqqCUFNJY4AfY3kHU/edit?usp=sharing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910" s="7" t="s">
        <v>23</v>
      </c>
    </row>
    <row r="13911" spans="1:10" ht="13.2">
      <c r="A13911" s="7">
        <v>13910</v>
      </c>
      <c r="B13911" s="7">
        <v>1</v>
      </c>
      <c r="C13911" s="7" t="s">
        <v>10</v>
      </c>
      <c r="D13911" s="7">
        <v>18847</v>
      </c>
      <c r="E13911" s="7" t="s">
        <v>23</v>
      </c>
      <c r="F13911" s="8" t="str">
        <f ca="1">IFERROR(__xludf.DUMMYFUNCTION("IF
(
C13912=""фізична особа""
,
VLOOKUP(D13912,IMPORTRANGE(""https://docs.google.com/spreadsheets/d/14Bd19lYaqBhU8_DElYkX7l4wRkHqqCUFNJY4AfY3kHU/edit?usp=sharing  #gid=0"",""фіз особи new!relations_name""),6,FALSE)
,
(IF
(
C13912=""юридична особа""
,
VLOO"&amp;"KUP(D13912,IMPORTRANGE(""https://docs.google.com/spreadsheets/d/14Bd19lYaqBhU8_DElYkX7l4wRkHqqCUFNJY4AfY3kHU/edit?usp=sharing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1" s="7" t="s">
        <v>10</v>
      </c>
      <c r="H13911" s="7">
        <v>18582</v>
      </c>
      <c r="I13911" s="8" t="str">
        <f ca="1">IFERROR(__xludf.DUMMYFUNCTION("IF
(
G13912=""фізична особа""
,
VLOOKUP(H13912,IMPORTRANGE(""https://docs.google.com/spreadsheets/d/14Bd19lYaqBhU8_DElYkX7l4wRkHqqCUFNJY4AfY3kHU/edit?usp=sharing  #gid=0"",""фіз особи new!relations_name""),6,FALSE)
,
(IF
(
G13912=""юридична особа""
,
VLOO"&amp;"KUP(H13912,IMPORTRANGE(""https://docs.google.com/spreadsheets/d/14Bd19lYaqBhU8_DElYkX7l4wRkHqqCUFNJY4AfY3kHU/edit?usp=sharing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911" s="7" t="s">
        <v>23</v>
      </c>
    </row>
    <row r="13912" spans="1:10" ht="13.2">
      <c r="A13912" s="7">
        <v>13911</v>
      </c>
      <c r="B13912" s="7">
        <v>1</v>
      </c>
      <c r="C13912" s="7" t="s">
        <v>10</v>
      </c>
      <c r="D13912" s="7">
        <v>18847</v>
      </c>
      <c r="E13912" s="7" t="s">
        <v>23</v>
      </c>
      <c r="F13912" s="8" t="str">
        <f ca="1">IFERROR(__xludf.DUMMYFUNCTION("IF
(
C13913=""фізична особа""
,
VLOOKUP(D13913,IMPORTRANGE(""https://docs.google.com/spreadsheets/d/14Bd19lYaqBhU8_DElYkX7l4wRkHqqCUFNJY4AfY3kHU/edit?usp=sharing  #gid=0"",""фіз особи new!relations_name""),6,FALSE)
,
(IF
(
C13913=""юридична особа""
,
VLOO"&amp;"KUP(D13913,IMPORTRANGE(""https://docs.google.com/spreadsheets/d/14Bd19lYaqBhU8_DElYkX7l4wRkHqqCUFNJY4AfY3kHU/edit?usp=sharing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2" s="7" t="s">
        <v>10</v>
      </c>
      <c r="H13912" s="7">
        <v>18583</v>
      </c>
      <c r="I13912" s="8" t="str">
        <f ca="1">IFERROR(__xludf.DUMMYFUNCTION("IF
(
G13913=""фізична особа""
,
VLOOKUP(H13913,IMPORTRANGE(""https://docs.google.com/spreadsheets/d/14Bd19lYaqBhU8_DElYkX7l4wRkHqqCUFNJY4AfY3kHU/edit?usp=sharing  #gid=0"",""фіз особи new!relations_name""),6,FALSE)
,
(IF
(
G13913=""юридична особа""
,
VLOO"&amp;"KUP(H13913,IMPORTRANGE(""https://docs.google.com/spreadsheets/d/14Bd19lYaqBhU8_DElYkX7l4wRkHqqCUFNJY4AfY3kHU/edit?usp=sharing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912" s="7" t="s">
        <v>23</v>
      </c>
    </row>
    <row r="13913" spans="1:10" ht="13.2">
      <c r="A13913" s="7">
        <v>13912</v>
      </c>
      <c r="B13913" s="7">
        <v>1</v>
      </c>
      <c r="C13913" s="7" t="s">
        <v>10</v>
      </c>
      <c r="D13913" s="7">
        <v>18847</v>
      </c>
      <c r="E13913" s="7" t="s">
        <v>23</v>
      </c>
      <c r="F13913" s="8" t="str">
        <f ca="1">IFERROR(__xludf.DUMMYFUNCTION("IF
(
C13914=""фізична особа""
,
VLOOKUP(D13914,IMPORTRANGE(""https://docs.google.com/spreadsheets/d/14Bd19lYaqBhU8_DElYkX7l4wRkHqqCUFNJY4AfY3kHU/edit?usp=sharing  #gid=0"",""фіз особи new!relations_name""),6,FALSE)
,
(IF
(
C13914=""юридична особа""
,
VLOO"&amp;"KUP(D13914,IMPORTRANGE(""https://docs.google.com/spreadsheets/d/14Bd19lYaqBhU8_DElYkX7l4wRkHqqCUFNJY4AfY3kHU/edit?usp=sharing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3" s="7" t="s">
        <v>10</v>
      </c>
      <c r="H13913" s="7">
        <v>18584</v>
      </c>
      <c r="I13913" s="8" t="str">
        <f ca="1">IFERROR(__xludf.DUMMYFUNCTION("IF
(
G13914=""фізична особа""
,
VLOOKUP(H13914,IMPORTRANGE(""https://docs.google.com/spreadsheets/d/14Bd19lYaqBhU8_DElYkX7l4wRkHqqCUFNJY4AfY3kHU/edit?usp=sharing  #gid=0"",""фіз особи new!relations_name""),6,FALSE)
,
(IF
(
G13914=""юридична особа""
,
VLOO"&amp;"KUP(H13914,IMPORTRANGE(""https://docs.google.com/spreadsheets/d/14Bd19lYaqBhU8_DElYkX7l4wRkHqqCUFNJY4AfY3kHU/edit?usp=sharing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913" s="7" t="s">
        <v>23</v>
      </c>
    </row>
    <row r="13914" spans="1:10" ht="13.2">
      <c r="A13914" s="7">
        <v>13913</v>
      </c>
      <c r="B13914" s="7">
        <v>1</v>
      </c>
      <c r="C13914" s="7" t="s">
        <v>10</v>
      </c>
      <c r="D13914" s="7">
        <v>18847</v>
      </c>
      <c r="E13914" s="7" t="s">
        <v>23</v>
      </c>
      <c r="F13914" s="8" t="str">
        <f ca="1">IFERROR(__xludf.DUMMYFUNCTION("IF
(
C13915=""фізична особа""
,
VLOOKUP(D13915,IMPORTRANGE(""https://docs.google.com/spreadsheets/d/14Bd19lYaqBhU8_DElYkX7l4wRkHqqCUFNJY4AfY3kHU/edit?usp=sharing  #gid=0"",""фіз особи new!relations_name""),6,FALSE)
,
(IF
(
C13915=""юридична особа""
,
VLOO"&amp;"KUP(D13915,IMPORTRANGE(""https://docs.google.com/spreadsheets/d/14Bd19lYaqBhU8_DElYkX7l4wRkHqqCUFNJY4AfY3kHU/edit?usp=sharing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4" s="7" t="s">
        <v>10</v>
      </c>
      <c r="H13914" s="7">
        <v>18585</v>
      </c>
      <c r="I13914" s="8" t="str">
        <f ca="1">IFERROR(__xludf.DUMMYFUNCTION("IF
(
G13915=""фізична особа""
,
VLOOKUP(H13915,IMPORTRANGE(""https://docs.google.com/spreadsheets/d/14Bd19lYaqBhU8_DElYkX7l4wRkHqqCUFNJY4AfY3kHU/edit?usp=sharing  #gid=0"",""фіз особи new!relations_name""),6,FALSE)
,
(IF
(
G13915=""юридична особа""
,
VLOO"&amp;"KUP(H13915,IMPORTRANGE(""https://docs.google.com/spreadsheets/d/14Bd19lYaqBhU8_DElYkX7l4wRkHqqCUFNJY4AfY3kHU/edit?usp=sharing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914" s="7" t="s">
        <v>23</v>
      </c>
    </row>
    <row r="13915" spans="1:10" ht="13.2">
      <c r="A13915" s="7">
        <v>13914</v>
      </c>
      <c r="B13915" s="7">
        <v>1</v>
      </c>
      <c r="C13915" s="7" t="s">
        <v>10</v>
      </c>
      <c r="D13915" s="7">
        <v>18847</v>
      </c>
      <c r="E13915" s="7" t="s">
        <v>23</v>
      </c>
      <c r="F13915" s="8" t="str">
        <f ca="1">IFERROR(__xludf.DUMMYFUNCTION("IF
(
C13916=""фізична особа""
,
VLOOKUP(D13916,IMPORTRANGE(""https://docs.google.com/spreadsheets/d/14Bd19lYaqBhU8_DElYkX7l4wRkHqqCUFNJY4AfY3kHU/edit?usp=sharing  #gid=0"",""фіз особи new!relations_name""),6,FALSE)
,
(IF
(
C13916=""юридична особа""
,
VLOO"&amp;"KUP(D13916,IMPORTRANGE(""https://docs.google.com/spreadsheets/d/14Bd19lYaqBhU8_DElYkX7l4wRkHqqCUFNJY4AfY3kHU/edit?usp=sharing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5" s="7" t="s">
        <v>10</v>
      </c>
      <c r="H13915" s="7">
        <v>18579</v>
      </c>
      <c r="I13915" s="8" t="str">
        <f ca="1">IFERROR(__xludf.DUMMYFUNCTION("IF
(
G13916=""фізична особа""
,
VLOOKUP(H13916,IMPORTRANGE(""https://docs.google.com/spreadsheets/d/14Bd19lYaqBhU8_DElYkX7l4wRkHqqCUFNJY4AfY3kHU/edit?usp=sharing  #gid=0"",""фіз особи new!relations_name""),6,FALSE)
,
(IF
(
G13916=""юридична особа""
,
VLOO"&amp;"KUP(H13916,IMPORTRANGE(""https://docs.google.com/spreadsheets/d/14Bd19lYaqBhU8_DElYkX7l4wRkHqqCUFNJY4AfY3kHU/edit?usp=sharing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915" s="7" t="s">
        <v>23</v>
      </c>
    </row>
    <row r="13916" spans="1:10" ht="13.2">
      <c r="A13916" s="7">
        <v>13915</v>
      </c>
      <c r="B13916" s="7">
        <v>1</v>
      </c>
      <c r="C13916" s="7" t="s">
        <v>10</v>
      </c>
      <c r="D13916" s="7">
        <v>18847</v>
      </c>
      <c r="E13916" s="7" t="s">
        <v>23</v>
      </c>
      <c r="F13916" s="8" t="str">
        <f ca="1">IFERROR(__xludf.DUMMYFUNCTION("IF
(
C13917=""фізична особа""
,
VLOOKUP(D13917,IMPORTRANGE(""https://docs.google.com/spreadsheets/d/14Bd19lYaqBhU8_DElYkX7l4wRkHqqCUFNJY4AfY3kHU/edit?usp=sharing  #gid=0"",""фіз особи new!relations_name""),6,FALSE)
,
(IF
(
C13917=""юридична особа""
,
VLOO"&amp;"KUP(D13917,IMPORTRANGE(""https://docs.google.com/spreadsheets/d/14Bd19lYaqBhU8_DElYkX7l4wRkHqqCUFNJY4AfY3kHU/edit?usp=sharing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6" s="7" t="s">
        <v>10</v>
      </c>
      <c r="H13916" s="7">
        <v>18848</v>
      </c>
      <c r="I13916" s="8" t="str">
        <f ca="1">IFERROR(__xludf.DUMMYFUNCTION("IF
(
G13917=""фізична особа""
,
VLOOKUP(H13917,IMPORTRANGE(""https://docs.google.com/spreadsheets/d/14Bd19lYaqBhU8_DElYkX7l4wRkHqqCUFNJY4AfY3kHU/edit?usp=sharing  #gid=0"",""фіз особи new!relations_name""),6,FALSE)
,
(IF
(
G13917=""юридична особа""
,
VLOO"&amp;"KUP(H13917,IMPORTRANGE(""https://docs.google.com/spreadsheets/d/14Bd19lYaqBhU8_DElYkX7l4wRkHqqCUFNJY4AfY3kHU/edit?usp=sharing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916" s="7" t="s">
        <v>23</v>
      </c>
    </row>
    <row r="13917" spans="1:10" ht="13.2">
      <c r="A13917" s="7">
        <v>13916</v>
      </c>
      <c r="B13917" s="7">
        <v>1</v>
      </c>
      <c r="C13917" s="7" t="s">
        <v>10</v>
      </c>
      <c r="D13917" s="7">
        <v>18847</v>
      </c>
      <c r="E13917" s="7" t="s">
        <v>23</v>
      </c>
      <c r="F13917" s="8" t="str">
        <f ca="1">IFERROR(__xludf.DUMMYFUNCTION("IF
(
C13918=""фізична особа""
,
VLOOKUP(D13918,IMPORTRANGE(""https://docs.google.com/spreadsheets/d/14Bd19lYaqBhU8_DElYkX7l4wRkHqqCUFNJY4AfY3kHU/edit?usp=sharing  #gid=0"",""фіз особи new!relations_name""),6,FALSE)
,
(IF
(
C13918=""юридична особа""
,
VLOO"&amp;"KUP(D13918,IMPORTRANGE(""https://docs.google.com/spreadsheets/d/14Bd19lYaqBhU8_DElYkX7l4wRkHqqCUFNJY4AfY3kHU/edit?usp=sharing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7" s="7" t="s">
        <v>10</v>
      </c>
      <c r="H13917" s="7">
        <v>18849</v>
      </c>
      <c r="I13917" s="8" t="str">
        <f ca="1">IFERROR(__xludf.DUMMYFUNCTION("IF
(
G13918=""фізична особа""
,
VLOOKUP(H13918,IMPORTRANGE(""https://docs.google.com/spreadsheets/d/14Bd19lYaqBhU8_DElYkX7l4wRkHqqCUFNJY4AfY3kHU/edit?usp=sharing  #gid=0"",""фіз особи new!relations_name""),6,FALSE)
,
(IF
(
G13918=""юридична особа""
,
VLOO"&amp;"KUP(H13918,IMPORTRANGE(""https://docs.google.com/spreadsheets/d/14Bd19lYaqBhU8_DElYkX7l4wRkHqqCUFNJY4AfY3kHU/edit?usp=sharing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917" s="7" t="s">
        <v>23</v>
      </c>
    </row>
    <row r="13918" spans="1:10" ht="13.2">
      <c r="A13918" s="7">
        <v>13917</v>
      </c>
      <c r="B13918" s="7">
        <v>1</v>
      </c>
      <c r="C13918" s="7" t="s">
        <v>10</v>
      </c>
      <c r="D13918" s="7">
        <v>18847</v>
      </c>
      <c r="E13918" s="7" t="s">
        <v>23</v>
      </c>
      <c r="F13918" s="8" t="str">
        <f ca="1">IFERROR(__xludf.DUMMYFUNCTION("IF
(
C13919=""фізична особа""
,
VLOOKUP(D13919,IMPORTRANGE(""https://docs.google.com/spreadsheets/d/14Bd19lYaqBhU8_DElYkX7l4wRkHqqCUFNJY4AfY3kHU/edit?usp=sharing  #gid=0"",""фіз особи new!relations_name""),6,FALSE)
,
(IF
(
C13919=""юридична особа""
,
VLOO"&amp;"KUP(D13919,IMPORTRANGE(""https://docs.google.com/spreadsheets/d/14Bd19lYaqBhU8_DElYkX7l4wRkHqqCUFNJY4AfY3kHU/edit?usp=sharing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8" s="7" t="s">
        <v>10</v>
      </c>
      <c r="H13918" s="7">
        <v>18850</v>
      </c>
      <c r="I13918" s="8" t="str">
        <f ca="1">IFERROR(__xludf.DUMMYFUNCTION("IF
(
G13919=""фізична особа""
,
VLOOKUP(H13919,IMPORTRANGE(""https://docs.google.com/spreadsheets/d/14Bd19lYaqBhU8_DElYkX7l4wRkHqqCUFNJY4AfY3kHU/edit?usp=sharing  #gid=0"",""фіз особи new!relations_name""),6,FALSE)
,
(IF
(
G13919=""юридична особа""
,
VLOO"&amp;"KUP(H13919,IMPORTRANGE(""https://docs.google.com/spreadsheets/d/14Bd19lYaqBhU8_DElYkX7l4wRkHqqCUFNJY4AfY3kHU/edit?usp=sharing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918" s="7" t="s">
        <v>23</v>
      </c>
    </row>
    <row r="13919" spans="1:10" ht="13.2">
      <c r="A13919" s="7">
        <v>13918</v>
      </c>
      <c r="B13919" s="7">
        <v>1</v>
      </c>
      <c r="C13919" s="7" t="s">
        <v>10</v>
      </c>
      <c r="D13919" s="7">
        <v>18847</v>
      </c>
      <c r="E13919" s="7" t="s">
        <v>23</v>
      </c>
      <c r="F13919" s="8" t="str">
        <f ca="1">IFERROR(__xludf.DUMMYFUNCTION("IF
(
C13920=""фізична особа""
,
VLOOKUP(D13920,IMPORTRANGE(""https://docs.google.com/spreadsheets/d/14Bd19lYaqBhU8_DElYkX7l4wRkHqqCUFNJY4AfY3kHU/edit?usp=sharing  #gid=0"",""фіз особи new!relations_name""),6,FALSE)
,
(IF
(
C13920=""юридична особа""
,
VLOO"&amp;"KUP(D13920,IMPORTRANGE(""https://docs.google.com/spreadsheets/d/14Bd19lYaqBhU8_DElYkX7l4wRkHqqCUFNJY4AfY3kHU/edit?usp=sharing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19" s="7" t="s">
        <v>10</v>
      </c>
      <c r="H13919" s="7">
        <v>18851</v>
      </c>
      <c r="I13919" s="8" t="str">
        <f ca="1">IFERROR(__xludf.DUMMYFUNCTION("IF
(
G13920=""фізична особа""
,
VLOOKUP(H13920,IMPORTRANGE(""https://docs.google.com/spreadsheets/d/14Bd19lYaqBhU8_DElYkX7l4wRkHqqCUFNJY4AfY3kHU/edit?usp=sharing  #gid=0"",""фіз особи new!relations_name""),6,FALSE)
,
(IF
(
G13920=""юридична особа""
,
VLOO"&amp;"KUP(H13920,IMPORTRANGE(""https://docs.google.com/spreadsheets/d/14Bd19lYaqBhU8_DElYkX7l4wRkHqqCUFNJY4AfY3kHU/edit?usp=sharing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919" s="7" t="s">
        <v>23</v>
      </c>
    </row>
    <row r="13920" spans="1:10" ht="13.2">
      <c r="A13920" s="7">
        <v>13919</v>
      </c>
      <c r="B13920" s="7">
        <v>1</v>
      </c>
      <c r="C13920" s="7" t="s">
        <v>10</v>
      </c>
      <c r="D13920" s="7">
        <v>18847</v>
      </c>
      <c r="E13920" s="7" t="s">
        <v>23</v>
      </c>
      <c r="F13920" s="8" t="str">
        <f ca="1">IFERROR(__xludf.DUMMYFUNCTION("IF
(
C13921=""фізична особа""
,
VLOOKUP(D13921,IMPORTRANGE(""https://docs.google.com/spreadsheets/d/14Bd19lYaqBhU8_DElYkX7l4wRkHqqCUFNJY4AfY3kHU/edit?usp=sharing  #gid=0"",""фіз особи new!relations_name""),6,FALSE)
,
(IF
(
C13921=""юридична особа""
,
VLOO"&amp;"KUP(D13921,IMPORTRANGE(""https://docs.google.com/spreadsheets/d/14Bd19lYaqBhU8_DElYkX7l4wRkHqqCUFNJY4AfY3kHU/edit?usp=sharing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20" s="7" t="s">
        <v>10</v>
      </c>
      <c r="H13920" s="7">
        <v>18852</v>
      </c>
      <c r="I13920" s="8" t="str">
        <f ca="1">IFERROR(__xludf.DUMMYFUNCTION("IF
(
G13921=""фізична особа""
,
VLOOKUP(H13921,IMPORTRANGE(""https://docs.google.com/spreadsheets/d/14Bd19lYaqBhU8_DElYkX7l4wRkHqqCUFNJY4AfY3kHU/edit?usp=sharing  #gid=0"",""фіз особи new!relations_name""),6,FALSE)
,
(IF
(
G13921=""юридична особа""
,
VLOO"&amp;"KUP(H13921,IMPORTRANGE(""https://docs.google.com/spreadsheets/d/14Bd19lYaqBhU8_DElYkX7l4wRkHqqCUFNJY4AfY3kHU/edit?usp=sharing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920" s="7" t="s">
        <v>23</v>
      </c>
    </row>
    <row r="13921" spans="1:10" ht="13.2">
      <c r="A13921" s="7">
        <v>13920</v>
      </c>
      <c r="B13921" s="7">
        <v>1</v>
      </c>
      <c r="C13921" s="7" t="s">
        <v>10</v>
      </c>
      <c r="D13921" s="7">
        <v>18847</v>
      </c>
      <c r="E13921" s="7" t="s">
        <v>23</v>
      </c>
      <c r="F13921" s="8" t="str">
        <f ca="1">IFERROR(__xludf.DUMMYFUNCTION("IF
(
C13922=""фізична особа""
,
VLOOKUP(D13922,IMPORTRANGE(""https://docs.google.com/spreadsheets/d/14Bd19lYaqBhU8_DElYkX7l4wRkHqqCUFNJY4AfY3kHU/edit?usp=sharing  #gid=0"",""фіз особи new!relations_name""),6,FALSE)
,
(IF
(
C13922=""юридична особа""
,
VLOO"&amp;"KUP(D13922,IMPORTRANGE(""https://docs.google.com/spreadsheets/d/14Bd19lYaqBhU8_DElYkX7l4wRkHqqCUFNJY4AfY3kHU/edit?usp=sharing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21" s="7" t="s">
        <v>10</v>
      </c>
      <c r="H13921" s="7">
        <v>18853</v>
      </c>
      <c r="I13921" s="8" t="str">
        <f ca="1">IFERROR(__xludf.DUMMYFUNCTION("IF
(
G13922=""фізична особа""
,
VLOOKUP(H13922,IMPORTRANGE(""https://docs.google.com/spreadsheets/d/14Bd19lYaqBhU8_DElYkX7l4wRkHqqCUFNJY4AfY3kHU/edit?usp=sharing  #gid=0"",""фіз особи new!relations_name""),6,FALSE)
,
(IF
(
G13922=""юридична особа""
,
VLOO"&amp;"KUP(H13922,IMPORTRANGE(""https://docs.google.com/spreadsheets/d/14Bd19lYaqBhU8_DElYkX7l4wRkHqqCUFNJY4AfY3kHU/edit?usp=sharing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921" s="7" t="s">
        <v>23</v>
      </c>
    </row>
    <row r="13922" spans="1:10" ht="13.2">
      <c r="A13922" s="7">
        <v>13921</v>
      </c>
      <c r="B13922" s="7">
        <v>1</v>
      </c>
      <c r="C13922" s="7" t="s">
        <v>10</v>
      </c>
      <c r="D13922" s="7">
        <v>18847</v>
      </c>
      <c r="E13922" s="7" t="s">
        <v>23</v>
      </c>
      <c r="F13922" s="8" t="str">
        <f ca="1">IFERROR(__xludf.DUMMYFUNCTION("IF
(
C13923=""фізична особа""
,
VLOOKUP(D13923,IMPORTRANGE(""https://docs.google.com/spreadsheets/d/14Bd19lYaqBhU8_DElYkX7l4wRkHqqCUFNJY4AfY3kHU/edit?usp=sharing  #gid=0"",""фіз особи new!relations_name""),6,FALSE)
,
(IF
(
C13923=""юридична особа""
,
VLOO"&amp;"KUP(D13923,IMPORTRANGE(""https://docs.google.com/spreadsheets/d/14Bd19lYaqBhU8_DElYkX7l4wRkHqqCUFNJY4AfY3kHU/edit?usp=sharing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22" s="7" t="s">
        <v>10</v>
      </c>
      <c r="H13922" s="7">
        <v>18854</v>
      </c>
      <c r="I13922" s="8" t="str">
        <f ca="1">IFERROR(__xludf.DUMMYFUNCTION("IF
(
G13923=""фізична особа""
,
VLOOKUP(H13923,IMPORTRANGE(""https://docs.google.com/spreadsheets/d/14Bd19lYaqBhU8_DElYkX7l4wRkHqqCUFNJY4AfY3kHU/edit?usp=sharing  #gid=0"",""фіз особи new!relations_name""),6,FALSE)
,
(IF
(
G13923=""юридична особа""
,
VLOO"&amp;"KUP(H13923,IMPORTRANGE(""https://docs.google.com/spreadsheets/d/14Bd19lYaqBhU8_DElYkX7l4wRkHqqCUFNJY4AfY3kHU/edit?usp=sharing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922" s="7" t="s">
        <v>23</v>
      </c>
    </row>
    <row r="13923" spans="1:10" ht="13.2">
      <c r="A13923" s="7">
        <v>13922</v>
      </c>
      <c r="B13923" s="7">
        <v>1</v>
      </c>
      <c r="C13923" s="7" t="s">
        <v>10</v>
      </c>
      <c r="D13923" s="7">
        <v>18847</v>
      </c>
      <c r="E13923" s="7" t="s">
        <v>23</v>
      </c>
      <c r="F13923" s="8" t="str">
        <f ca="1">IFERROR(__xludf.DUMMYFUNCTION("IF
(
C13924=""фізична особа""
,
VLOOKUP(D13924,IMPORTRANGE(""https://docs.google.com/spreadsheets/d/14Bd19lYaqBhU8_DElYkX7l4wRkHqqCUFNJY4AfY3kHU/edit?usp=sharing  #gid=0"",""фіз особи new!relations_name""),6,FALSE)
,
(IF
(
C13924=""юридична особа""
,
VLOO"&amp;"KUP(D13924,IMPORTRANGE(""https://docs.google.com/spreadsheets/d/14Bd19lYaqBhU8_DElYkX7l4wRkHqqCUFNJY4AfY3kHU/edit?usp=sharing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23" s="7" t="s">
        <v>10</v>
      </c>
      <c r="H13923" s="7">
        <v>18855</v>
      </c>
      <c r="I13923" s="8" t="str">
        <f ca="1">IFERROR(__xludf.DUMMYFUNCTION("IF
(
G13924=""фізична особа""
,
VLOOKUP(H13924,IMPORTRANGE(""https://docs.google.com/spreadsheets/d/14Bd19lYaqBhU8_DElYkX7l4wRkHqqCUFNJY4AfY3kHU/edit?usp=sharing  #gid=0"",""фіз особи new!relations_name""),6,FALSE)
,
(IF
(
G13924=""юридична особа""
,
VLOO"&amp;"KUP(H13924,IMPORTRANGE(""https://docs.google.com/spreadsheets/d/14Bd19lYaqBhU8_DElYkX7l4wRkHqqCUFNJY4AfY3kHU/edit?usp=sharing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923" s="7" t="s">
        <v>23</v>
      </c>
    </row>
    <row r="13924" spans="1:10" ht="13.2">
      <c r="A13924" s="7">
        <v>13923</v>
      </c>
      <c r="B13924" s="7">
        <v>1</v>
      </c>
      <c r="C13924" s="7" t="s">
        <v>10</v>
      </c>
      <c r="D13924" s="7">
        <v>18847</v>
      </c>
      <c r="E13924" s="7" t="s">
        <v>23</v>
      </c>
      <c r="F13924" s="8" t="str">
        <f ca="1">IFERROR(__xludf.DUMMYFUNCTION("IF
(
C13925=""фізична особа""
,
VLOOKUP(D13925,IMPORTRANGE(""https://docs.google.com/spreadsheets/d/14Bd19lYaqBhU8_DElYkX7l4wRkHqqCUFNJY4AfY3kHU/edit?usp=sharing  #gid=0"",""фіз особи new!relations_name""),6,FALSE)
,
(IF
(
C13925=""юридична особа""
,
VLOO"&amp;"KUP(D13925,IMPORTRANGE(""https://docs.google.com/spreadsheets/d/14Bd19lYaqBhU8_DElYkX7l4wRkHqqCUFNJY4AfY3kHU/edit?usp=sharing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G13924" s="7" t="s">
        <v>10</v>
      </c>
      <c r="H13924" s="7">
        <v>18856</v>
      </c>
      <c r="I13924" s="8" t="str">
        <f ca="1">IFERROR(__xludf.DUMMYFUNCTION("IF
(
G13925=""фізична особа""
,
VLOOKUP(H13925,IMPORTRANGE(""https://docs.google.com/spreadsheets/d/14Bd19lYaqBhU8_DElYkX7l4wRkHqqCUFNJY4AfY3kHU/edit?usp=sharing  #gid=0"",""фіз особи new!relations_name""),6,FALSE)
,
(IF
(
G13925=""юридична особа""
,
VLOO"&amp;"KUP(H13925,IMPORTRANGE(""https://docs.google.com/spreadsheets/d/14Bd19lYaqBhU8_DElYkX7l4wRkHqqCUFNJY4AfY3kHU/edit?usp=sharing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924" s="7" t="s">
        <v>23</v>
      </c>
    </row>
    <row r="13925" spans="1:10" ht="13.2">
      <c r="A13925" s="7">
        <v>13924</v>
      </c>
      <c r="B13925" s="7">
        <v>1</v>
      </c>
      <c r="C13925" s="7" t="s">
        <v>10</v>
      </c>
      <c r="D13925" s="7">
        <v>18848</v>
      </c>
      <c r="E13925" s="7" t="s">
        <v>23</v>
      </c>
      <c r="F13925" s="8" t="str">
        <f ca="1">IFERROR(__xludf.DUMMYFUNCTION("IF
(
C13926=""фізична особа""
,
VLOOKUP(D13926,IMPORTRANGE(""https://docs.google.com/spreadsheets/d/14Bd19lYaqBhU8_DElYkX7l4wRkHqqCUFNJY4AfY3kHU/edit?usp=sharing  #gid=0"",""фіз особи new!relations_name""),6,FALSE)
,
(IF
(
C13926=""юридична особа""
,
VLOO"&amp;"KUP(D13926,IMPORTRANGE(""https://docs.google.com/spreadsheets/d/14Bd19lYaqBhU8_DElYkX7l4wRkHqqCUFNJY4AfY3kHU/edit?usp=sharing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25" s="7" t="s">
        <v>10</v>
      </c>
      <c r="H13925" s="7">
        <v>18576</v>
      </c>
      <c r="I13925" s="8" t="str">
        <f ca="1">IFERROR(__xludf.DUMMYFUNCTION("IF
(
G13926=""фізична особа""
,
VLOOKUP(H13926,IMPORTRANGE(""https://docs.google.com/spreadsheets/d/14Bd19lYaqBhU8_DElYkX7l4wRkHqqCUFNJY4AfY3kHU/edit?usp=sharing  #gid=0"",""фіз особи new!relations_name""),6,FALSE)
,
(IF
(
G13926=""юридична особа""
,
VLOO"&amp;"KUP(H13926,IMPORTRANGE(""https://docs.google.com/spreadsheets/d/14Bd19lYaqBhU8_DElYkX7l4wRkHqqCUFNJY4AfY3kHU/edit?usp=sharing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925" s="7" t="s">
        <v>23</v>
      </c>
    </row>
    <row r="13926" spans="1:10" ht="13.2">
      <c r="A13926" s="7">
        <v>13925</v>
      </c>
      <c r="B13926" s="7">
        <v>1</v>
      </c>
      <c r="C13926" s="7" t="s">
        <v>10</v>
      </c>
      <c r="D13926" s="7">
        <v>18848</v>
      </c>
      <c r="E13926" s="7" t="s">
        <v>23</v>
      </c>
      <c r="F13926" s="8" t="str">
        <f ca="1">IFERROR(__xludf.DUMMYFUNCTION("IF
(
C13927=""фізична особа""
,
VLOOKUP(D13927,IMPORTRANGE(""https://docs.google.com/spreadsheets/d/14Bd19lYaqBhU8_DElYkX7l4wRkHqqCUFNJY4AfY3kHU/edit?usp=sharing  #gid=0"",""фіз особи new!relations_name""),6,FALSE)
,
(IF
(
C13927=""юридична особа""
,
VLOO"&amp;"KUP(D13927,IMPORTRANGE(""https://docs.google.com/spreadsheets/d/14Bd19lYaqBhU8_DElYkX7l4wRkHqqCUFNJY4AfY3kHU/edit?usp=sharing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26" s="7" t="s">
        <v>10</v>
      </c>
      <c r="H13926" s="7">
        <v>18577</v>
      </c>
      <c r="I13926" s="8" t="str">
        <f ca="1">IFERROR(__xludf.DUMMYFUNCTION("IF
(
G13927=""фізична особа""
,
VLOOKUP(H13927,IMPORTRANGE(""https://docs.google.com/spreadsheets/d/14Bd19lYaqBhU8_DElYkX7l4wRkHqqCUFNJY4AfY3kHU/edit?usp=sharing  #gid=0"",""фіз особи new!relations_name""),6,FALSE)
,
(IF
(
G13927=""юридична особа""
,
VLOO"&amp;"KUP(H13927,IMPORTRANGE(""https://docs.google.com/spreadsheets/d/14Bd19lYaqBhU8_DElYkX7l4wRkHqqCUFNJY4AfY3kHU/edit?usp=sharing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926" s="7" t="s">
        <v>23</v>
      </c>
    </row>
    <row r="13927" spans="1:10" ht="13.2">
      <c r="A13927" s="7">
        <v>13926</v>
      </c>
      <c r="B13927" s="7">
        <v>1</v>
      </c>
      <c r="C13927" s="7" t="s">
        <v>10</v>
      </c>
      <c r="D13927" s="7">
        <v>18848</v>
      </c>
      <c r="E13927" s="7" t="s">
        <v>23</v>
      </c>
      <c r="F13927" s="8" t="str">
        <f ca="1">IFERROR(__xludf.DUMMYFUNCTION("IF
(
C13928=""фізична особа""
,
VLOOKUP(D13928,IMPORTRANGE(""https://docs.google.com/spreadsheets/d/14Bd19lYaqBhU8_DElYkX7l4wRkHqqCUFNJY4AfY3kHU/edit?usp=sharing  #gid=0"",""фіз особи new!relations_name""),6,FALSE)
,
(IF
(
C13928=""юридична особа""
,
VLOO"&amp;"KUP(D13928,IMPORTRANGE(""https://docs.google.com/spreadsheets/d/14Bd19lYaqBhU8_DElYkX7l4wRkHqqCUFNJY4AfY3kHU/edit?usp=sharing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27" s="7" t="s">
        <v>10</v>
      </c>
      <c r="H13927" s="7">
        <v>18578</v>
      </c>
      <c r="I13927" s="8" t="str">
        <f ca="1">IFERROR(__xludf.DUMMYFUNCTION("IF
(
G13928=""фізична особа""
,
VLOOKUP(H13928,IMPORTRANGE(""https://docs.google.com/spreadsheets/d/14Bd19lYaqBhU8_DElYkX7l4wRkHqqCUFNJY4AfY3kHU/edit?usp=sharing  #gid=0"",""фіз особи new!relations_name""),6,FALSE)
,
(IF
(
G13928=""юридична особа""
,
VLOO"&amp;"KUP(H13928,IMPORTRANGE(""https://docs.google.com/spreadsheets/d/14Bd19lYaqBhU8_DElYkX7l4wRkHqqCUFNJY4AfY3kHU/edit?usp=sharing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927" s="7" t="s">
        <v>23</v>
      </c>
    </row>
    <row r="13928" spans="1:10" ht="13.2">
      <c r="A13928" s="7">
        <v>13927</v>
      </c>
      <c r="B13928" s="7">
        <v>1</v>
      </c>
      <c r="C13928" s="7" t="s">
        <v>10</v>
      </c>
      <c r="D13928" s="7">
        <v>18848</v>
      </c>
      <c r="E13928" s="7" t="s">
        <v>23</v>
      </c>
      <c r="F13928" s="8" t="str">
        <f ca="1">IFERROR(__xludf.DUMMYFUNCTION("IF
(
C13929=""фізична особа""
,
VLOOKUP(D13929,IMPORTRANGE(""https://docs.google.com/spreadsheets/d/14Bd19lYaqBhU8_DElYkX7l4wRkHqqCUFNJY4AfY3kHU/edit?usp=sharing  #gid=0"",""фіз особи new!relations_name""),6,FALSE)
,
(IF
(
C13929=""юридична особа""
,
VLOO"&amp;"KUP(D13929,IMPORTRANGE(""https://docs.google.com/spreadsheets/d/14Bd19lYaqBhU8_DElYkX7l4wRkHqqCUFNJY4AfY3kHU/edit?usp=sharing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28" s="7" t="s">
        <v>10</v>
      </c>
      <c r="H13928" s="7">
        <v>18580</v>
      </c>
      <c r="I13928" s="8" t="str">
        <f ca="1">IFERROR(__xludf.DUMMYFUNCTION("IF
(
G13929=""фізична особа""
,
VLOOKUP(H13929,IMPORTRANGE(""https://docs.google.com/spreadsheets/d/14Bd19lYaqBhU8_DElYkX7l4wRkHqqCUFNJY4AfY3kHU/edit?usp=sharing  #gid=0"",""фіз особи new!relations_name""),6,FALSE)
,
(IF
(
G13929=""юридична особа""
,
VLOO"&amp;"KUP(H13929,IMPORTRANGE(""https://docs.google.com/spreadsheets/d/14Bd19lYaqBhU8_DElYkX7l4wRkHqqCUFNJY4AfY3kHU/edit?usp=sharing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928" s="7" t="s">
        <v>23</v>
      </c>
    </row>
    <row r="13929" spans="1:10" ht="13.2">
      <c r="A13929" s="7">
        <v>13928</v>
      </c>
      <c r="B13929" s="7">
        <v>1</v>
      </c>
      <c r="C13929" s="7" t="s">
        <v>10</v>
      </c>
      <c r="D13929" s="7">
        <v>18848</v>
      </c>
      <c r="E13929" s="7" t="s">
        <v>23</v>
      </c>
      <c r="F13929" s="8" t="str">
        <f ca="1">IFERROR(__xludf.DUMMYFUNCTION("IF
(
C13930=""фізична особа""
,
VLOOKUP(D13930,IMPORTRANGE(""https://docs.google.com/spreadsheets/d/14Bd19lYaqBhU8_DElYkX7l4wRkHqqCUFNJY4AfY3kHU/edit?usp=sharing  #gid=0"",""фіз особи new!relations_name""),6,FALSE)
,
(IF
(
C13930=""юридична особа""
,
VLOO"&amp;"KUP(D13930,IMPORTRANGE(""https://docs.google.com/spreadsheets/d/14Bd19lYaqBhU8_DElYkX7l4wRkHqqCUFNJY4AfY3kHU/edit?usp=sharing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29" s="7" t="s">
        <v>10</v>
      </c>
      <c r="H13929" s="7">
        <v>18581</v>
      </c>
      <c r="I13929" s="8" t="str">
        <f ca="1">IFERROR(__xludf.DUMMYFUNCTION("IF
(
G13930=""фізична особа""
,
VLOOKUP(H13930,IMPORTRANGE(""https://docs.google.com/spreadsheets/d/14Bd19lYaqBhU8_DElYkX7l4wRkHqqCUFNJY4AfY3kHU/edit?usp=sharing  #gid=0"",""фіз особи new!relations_name""),6,FALSE)
,
(IF
(
G13930=""юридична особа""
,
VLOO"&amp;"KUP(H13930,IMPORTRANGE(""https://docs.google.com/spreadsheets/d/14Bd19lYaqBhU8_DElYkX7l4wRkHqqCUFNJY4AfY3kHU/edit?usp=sharing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929" s="7" t="s">
        <v>23</v>
      </c>
    </row>
    <row r="13930" spans="1:10" ht="13.2">
      <c r="A13930" s="7">
        <v>13929</v>
      </c>
      <c r="B13930" s="7">
        <v>1</v>
      </c>
      <c r="C13930" s="7" t="s">
        <v>10</v>
      </c>
      <c r="D13930" s="7">
        <v>18848</v>
      </c>
      <c r="E13930" s="7" t="s">
        <v>23</v>
      </c>
      <c r="F13930" s="8" t="str">
        <f ca="1">IFERROR(__xludf.DUMMYFUNCTION("IF
(
C13931=""фізична особа""
,
VLOOKUP(D13931,IMPORTRANGE(""https://docs.google.com/spreadsheets/d/14Bd19lYaqBhU8_DElYkX7l4wRkHqqCUFNJY4AfY3kHU/edit?usp=sharing  #gid=0"",""фіз особи new!relations_name""),6,FALSE)
,
(IF
(
C13931=""юридична особа""
,
VLOO"&amp;"KUP(D13931,IMPORTRANGE(""https://docs.google.com/spreadsheets/d/14Bd19lYaqBhU8_DElYkX7l4wRkHqqCUFNJY4AfY3kHU/edit?usp=sharing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0" s="7" t="s">
        <v>10</v>
      </c>
      <c r="H13930" s="7">
        <v>18582</v>
      </c>
      <c r="I13930" s="8" t="str">
        <f ca="1">IFERROR(__xludf.DUMMYFUNCTION("IF
(
G13931=""фізична особа""
,
VLOOKUP(H13931,IMPORTRANGE(""https://docs.google.com/spreadsheets/d/14Bd19lYaqBhU8_DElYkX7l4wRkHqqCUFNJY4AfY3kHU/edit?usp=sharing  #gid=0"",""фіз особи new!relations_name""),6,FALSE)
,
(IF
(
G13931=""юридична особа""
,
VLOO"&amp;"KUP(H13931,IMPORTRANGE(""https://docs.google.com/spreadsheets/d/14Bd19lYaqBhU8_DElYkX7l4wRkHqqCUFNJY4AfY3kHU/edit?usp=sharing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930" s="7" t="s">
        <v>23</v>
      </c>
    </row>
    <row r="13931" spans="1:10" ht="13.2">
      <c r="A13931" s="7">
        <v>13930</v>
      </c>
      <c r="B13931" s="7">
        <v>1</v>
      </c>
      <c r="C13931" s="7" t="s">
        <v>10</v>
      </c>
      <c r="D13931" s="7">
        <v>18848</v>
      </c>
      <c r="E13931" s="7" t="s">
        <v>23</v>
      </c>
      <c r="F13931" s="8" t="str">
        <f ca="1">IFERROR(__xludf.DUMMYFUNCTION("IF
(
C13932=""фізична особа""
,
VLOOKUP(D13932,IMPORTRANGE(""https://docs.google.com/spreadsheets/d/14Bd19lYaqBhU8_DElYkX7l4wRkHqqCUFNJY4AfY3kHU/edit?usp=sharing  #gid=0"",""фіз особи new!relations_name""),6,FALSE)
,
(IF
(
C13932=""юридична особа""
,
VLOO"&amp;"KUP(D13932,IMPORTRANGE(""https://docs.google.com/spreadsheets/d/14Bd19lYaqBhU8_DElYkX7l4wRkHqqCUFNJY4AfY3kHU/edit?usp=sharing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1" s="7" t="s">
        <v>10</v>
      </c>
      <c r="H13931" s="7">
        <v>18583</v>
      </c>
      <c r="I13931" s="8" t="str">
        <f ca="1">IFERROR(__xludf.DUMMYFUNCTION("IF
(
G13932=""фізична особа""
,
VLOOKUP(H13932,IMPORTRANGE(""https://docs.google.com/spreadsheets/d/14Bd19lYaqBhU8_DElYkX7l4wRkHqqCUFNJY4AfY3kHU/edit?usp=sharing  #gid=0"",""фіз особи new!relations_name""),6,FALSE)
,
(IF
(
G13932=""юридична особа""
,
VLOO"&amp;"KUP(H13932,IMPORTRANGE(""https://docs.google.com/spreadsheets/d/14Bd19lYaqBhU8_DElYkX7l4wRkHqqCUFNJY4AfY3kHU/edit?usp=sharing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931" s="7" t="s">
        <v>23</v>
      </c>
    </row>
    <row r="13932" spans="1:10" ht="13.2">
      <c r="A13932" s="7">
        <v>13931</v>
      </c>
      <c r="B13932" s="7">
        <v>1</v>
      </c>
      <c r="C13932" s="7" t="s">
        <v>10</v>
      </c>
      <c r="D13932" s="7">
        <v>18848</v>
      </c>
      <c r="E13932" s="7" t="s">
        <v>23</v>
      </c>
      <c r="F13932" s="8" t="str">
        <f ca="1">IFERROR(__xludf.DUMMYFUNCTION("IF
(
C13933=""фізична особа""
,
VLOOKUP(D13933,IMPORTRANGE(""https://docs.google.com/spreadsheets/d/14Bd19lYaqBhU8_DElYkX7l4wRkHqqCUFNJY4AfY3kHU/edit?usp=sharing  #gid=0"",""фіз особи new!relations_name""),6,FALSE)
,
(IF
(
C13933=""юридична особа""
,
VLOO"&amp;"KUP(D13933,IMPORTRANGE(""https://docs.google.com/spreadsheets/d/14Bd19lYaqBhU8_DElYkX7l4wRkHqqCUFNJY4AfY3kHU/edit?usp=sharing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2" s="7" t="s">
        <v>10</v>
      </c>
      <c r="H13932" s="7">
        <v>18584</v>
      </c>
      <c r="I13932" s="8" t="str">
        <f ca="1">IFERROR(__xludf.DUMMYFUNCTION("IF
(
G13933=""фізична особа""
,
VLOOKUP(H13933,IMPORTRANGE(""https://docs.google.com/spreadsheets/d/14Bd19lYaqBhU8_DElYkX7l4wRkHqqCUFNJY4AfY3kHU/edit?usp=sharing  #gid=0"",""фіз особи new!relations_name""),6,FALSE)
,
(IF
(
G13933=""юридична особа""
,
VLOO"&amp;"KUP(H13933,IMPORTRANGE(""https://docs.google.com/spreadsheets/d/14Bd19lYaqBhU8_DElYkX7l4wRkHqqCUFNJY4AfY3kHU/edit?usp=sharing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932" s="7" t="s">
        <v>23</v>
      </c>
    </row>
    <row r="13933" spans="1:10" ht="13.2">
      <c r="A13933" s="7">
        <v>13932</v>
      </c>
      <c r="B13933" s="7">
        <v>1</v>
      </c>
      <c r="C13933" s="7" t="s">
        <v>10</v>
      </c>
      <c r="D13933" s="7">
        <v>18848</v>
      </c>
      <c r="E13933" s="7" t="s">
        <v>23</v>
      </c>
      <c r="F13933" s="8" t="str">
        <f ca="1">IFERROR(__xludf.DUMMYFUNCTION("IF
(
C13934=""фізична особа""
,
VLOOKUP(D13934,IMPORTRANGE(""https://docs.google.com/spreadsheets/d/14Bd19lYaqBhU8_DElYkX7l4wRkHqqCUFNJY4AfY3kHU/edit?usp=sharing  #gid=0"",""фіз особи new!relations_name""),6,FALSE)
,
(IF
(
C13934=""юридична особа""
,
VLOO"&amp;"KUP(D13934,IMPORTRANGE(""https://docs.google.com/spreadsheets/d/14Bd19lYaqBhU8_DElYkX7l4wRkHqqCUFNJY4AfY3kHU/edit?usp=sharing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3" s="7" t="s">
        <v>10</v>
      </c>
      <c r="H13933" s="7">
        <v>18585</v>
      </c>
      <c r="I13933" s="8" t="str">
        <f ca="1">IFERROR(__xludf.DUMMYFUNCTION("IF
(
G13934=""фізична особа""
,
VLOOKUP(H13934,IMPORTRANGE(""https://docs.google.com/spreadsheets/d/14Bd19lYaqBhU8_DElYkX7l4wRkHqqCUFNJY4AfY3kHU/edit?usp=sharing  #gid=0"",""фіз особи new!relations_name""),6,FALSE)
,
(IF
(
G13934=""юридична особа""
,
VLOO"&amp;"KUP(H13934,IMPORTRANGE(""https://docs.google.com/spreadsheets/d/14Bd19lYaqBhU8_DElYkX7l4wRkHqqCUFNJY4AfY3kHU/edit?usp=sharing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933" s="7" t="s">
        <v>23</v>
      </c>
    </row>
    <row r="13934" spans="1:10" ht="13.2">
      <c r="A13934" s="7">
        <v>13933</v>
      </c>
      <c r="B13934" s="7">
        <v>1</v>
      </c>
      <c r="C13934" s="7" t="s">
        <v>10</v>
      </c>
      <c r="D13934" s="7">
        <v>18848</v>
      </c>
      <c r="E13934" s="7" t="s">
        <v>23</v>
      </c>
      <c r="F13934" s="8" t="str">
        <f ca="1">IFERROR(__xludf.DUMMYFUNCTION("IF
(
C13935=""фізична особа""
,
VLOOKUP(D13935,IMPORTRANGE(""https://docs.google.com/spreadsheets/d/14Bd19lYaqBhU8_DElYkX7l4wRkHqqCUFNJY4AfY3kHU/edit?usp=sharing  #gid=0"",""фіз особи new!relations_name""),6,FALSE)
,
(IF
(
C13935=""юридична особа""
,
VLOO"&amp;"KUP(D13935,IMPORTRANGE(""https://docs.google.com/spreadsheets/d/14Bd19lYaqBhU8_DElYkX7l4wRkHqqCUFNJY4AfY3kHU/edit?usp=sharing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4" s="7" t="s">
        <v>10</v>
      </c>
      <c r="H13934" s="7">
        <v>18579</v>
      </c>
      <c r="I13934" s="8" t="str">
        <f ca="1">IFERROR(__xludf.DUMMYFUNCTION("IF
(
G13935=""фізична особа""
,
VLOOKUP(H13935,IMPORTRANGE(""https://docs.google.com/spreadsheets/d/14Bd19lYaqBhU8_DElYkX7l4wRkHqqCUFNJY4AfY3kHU/edit?usp=sharing  #gid=0"",""фіз особи new!relations_name""),6,FALSE)
,
(IF
(
G13935=""юридична особа""
,
VLOO"&amp;"KUP(H13935,IMPORTRANGE(""https://docs.google.com/spreadsheets/d/14Bd19lYaqBhU8_DElYkX7l4wRkHqqCUFNJY4AfY3kHU/edit?usp=sharing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934" s="7" t="s">
        <v>23</v>
      </c>
    </row>
    <row r="13935" spans="1:10" ht="13.2">
      <c r="A13935" s="7">
        <v>13934</v>
      </c>
      <c r="B13935" s="7">
        <v>1</v>
      </c>
      <c r="C13935" s="7" t="s">
        <v>10</v>
      </c>
      <c r="D13935" s="7">
        <v>18848</v>
      </c>
      <c r="E13935" s="7" t="s">
        <v>23</v>
      </c>
      <c r="F13935" s="8" t="str">
        <f ca="1">IFERROR(__xludf.DUMMYFUNCTION("IF
(
C13936=""фізична особа""
,
VLOOKUP(D13936,IMPORTRANGE(""https://docs.google.com/spreadsheets/d/14Bd19lYaqBhU8_DElYkX7l4wRkHqqCUFNJY4AfY3kHU/edit?usp=sharing  #gid=0"",""фіз особи new!relations_name""),6,FALSE)
,
(IF
(
C13936=""юридична особа""
,
VLOO"&amp;"KUP(D13936,IMPORTRANGE(""https://docs.google.com/spreadsheets/d/14Bd19lYaqBhU8_DElYkX7l4wRkHqqCUFNJY4AfY3kHU/edit?usp=sharing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5" s="7" t="s">
        <v>10</v>
      </c>
      <c r="H13935" s="7">
        <v>18847</v>
      </c>
      <c r="I13935" s="8" t="str">
        <f ca="1">IFERROR(__xludf.DUMMYFUNCTION("IF
(
G13936=""фізична особа""
,
VLOOKUP(H13936,IMPORTRANGE(""https://docs.google.com/spreadsheets/d/14Bd19lYaqBhU8_DElYkX7l4wRkHqqCUFNJY4AfY3kHU/edit?usp=sharing  #gid=0"",""фіз особи new!relations_name""),6,FALSE)
,
(IF
(
G13936=""юридична особа""
,
VLOO"&amp;"KUP(H13936,IMPORTRANGE(""https://docs.google.com/spreadsheets/d/14Bd19lYaqBhU8_DElYkX7l4wRkHqqCUFNJY4AfY3kHU/edit?usp=sharing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935" s="7" t="s">
        <v>23</v>
      </c>
    </row>
    <row r="13936" spans="1:10" ht="13.2">
      <c r="A13936" s="7">
        <v>13935</v>
      </c>
      <c r="B13936" s="7">
        <v>1</v>
      </c>
      <c r="C13936" s="7" t="s">
        <v>10</v>
      </c>
      <c r="D13936" s="7">
        <v>18848</v>
      </c>
      <c r="E13936" s="7" t="s">
        <v>23</v>
      </c>
      <c r="F13936" s="8" t="str">
        <f ca="1">IFERROR(__xludf.DUMMYFUNCTION("IF
(
C13937=""фізична особа""
,
VLOOKUP(D13937,IMPORTRANGE(""https://docs.google.com/spreadsheets/d/14Bd19lYaqBhU8_DElYkX7l4wRkHqqCUFNJY4AfY3kHU/edit?usp=sharing  #gid=0"",""фіз особи new!relations_name""),6,FALSE)
,
(IF
(
C13937=""юридична особа""
,
VLOO"&amp;"KUP(D13937,IMPORTRANGE(""https://docs.google.com/spreadsheets/d/14Bd19lYaqBhU8_DElYkX7l4wRkHqqCUFNJY4AfY3kHU/edit?usp=sharing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6" s="7" t="s">
        <v>10</v>
      </c>
      <c r="H13936" s="7">
        <v>18849</v>
      </c>
      <c r="I13936" s="8" t="str">
        <f ca="1">IFERROR(__xludf.DUMMYFUNCTION("IF
(
G13937=""фізична особа""
,
VLOOKUP(H13937,IMPORTRANGE(""https://docs.google.com/spreadsheets/d/14Bd19lYaqBhU8_DElYkX7l4wRkHqqCUFNJY4AfY3kHU/edit?usp=sharing  #gid=0"",""фіз особи new!relations_name""),6,FALSE)
,
(IF
(
G13937=""юридична особа""
,
VLOO"&amp;"KUP(H13937,IMPORTRANGE(""https://docs.google.com/spreadsheets/d/14Bd19lYaqBhU8_DElYkX7l4wRkHqqCUFNJY4AfY3kHU/edit?usp=sharing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936" s="7" t="s">
        <v>23</v>
      </c>
    </row>
    <row r="13937" spans="1:10" ht="13.2">
      <c r="A13937" s="7">
        <v>13936</v>
      </c>
      <c r="B13937" s="7">
        <v>1</v>
      </c>
      <c r="C13937" s="7" t="s">
        <v>10</v>
      </c>
      <c r="D13937" s="7">
        <v>18848</v>
      </c>
      <c r="E13937" s="7" t="s">
        <v>23</v>
      </c>
      <c r="F13937" s="8" t="str">
        <f ca="1">IFERROR(__xludf.DUMMYFUNCTION("IF
(
C13938=""фізична особа""
,
VLOOKUP(D13938,IMPORTRANGE(""https://docs.google.com/spreadsheets/d/14Bd19lYaqBhU8_DElYkX7l4wRkHqqCUFNJY4AfY3kHU/edit?usp=sharing  #gid=0"",""фіз особи new!relations_name""),6,FALSE)
,
(IF
(
C13938=""юридична особа""
,
VLOO"&amp;"KUP(D13938,IMPORTRANGE(""https://docs.google.com/spreadsheets/d/14Bd19lYaqBhU8_DElYkX7l4wRkHqqCUFNJY4AfY3kHU/edit?usp=sharing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7" s="7" t="s">
        <v>10</v>
      </c>
      <c r="H13937" s="7">
        <v>18850</v>
      </c>
      <c r="I13937" s="8" t="str">
        <f ca="1">IFERROR(__xludf.DUMMYFUNCTION("IF
(
G13938=""фізична особа""
,
VLOOKUP(H13938,IMPORTRANGE(""https://docs.google.com/spreadsheets/d/14Bd19lYaqBhU8_DElYkX7l4wRkHqqCUFNJY4AfY3kHU/edit?usp=sharing  #gid=0"",""фіз особи new!relations_name""),6,FALSE)
,
(IF
(
G13938=""юридична особа""
,
VLOO"&amp;"KUP(H13938,IMPORTRANGE(""https://docs.google.com/spreadsheets/d/14Bd19lYaqBhU8_DElYkX7l4wRkHqqCUFNJY4AfY3kHU/edit?usp=sharing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937" s="7" t="s">
        <v>23</v>
      </c>
    </row>
    <row r="13938" spans="1:10" ht="13.2">
      <c r="A13938" s="7">
        <v>13937</v>
      </c>
      <c r="B13938" s="7">
        <v>1</v>
      </c>
      <c r="C13938" s="7" t="s">
        <v>10</v>
      </c>
      <c r="D13938" s="7">
        <v>18848</v>
      </c>
      <c r="E13938" s="7" t="s">
        <v>23</v>
      </c>
      <c r="F13938" s="8" t="str">
        <f ca="1">IFERROR(__xludf.DUMMYFUNCTION("IF
(
C13939=""фізична особа""
,
VLOOKUP(D13939,IMPORTRANGE(""https://docs.google.com/spreadsheets/d/14Bd19lYaqBhU8_DElYkX7l4wRkHqqCUFNJY4AfY3kHU/edit?usp=sharing  #gid=0"",""фіз особи new!relations_name""),6,FALSE)
,
(IF
(
C13939=""юридична особа""
,
VLOO"&amp;"KUP(D13939,IMPORTRANGE(""https://docs.google.com/spreadsheets/d/14Bd19lYaqBhU8_DElYkX7l4wRkHqqCUFNJY4AfY3kHU/edit?usp=sharing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8" s="7" t="s">
        <v>10</v>
      </c>
      <c r="H13938" s="7">
        <v>18851</v>
      </c>
      <c r="I13938" s="8" t="str">
        <f ca="1">IFERROR(__xludf.DUMMYFUNCTION("IF
(
G13939=""фізична особа""
,
VLOOKUP(H13939,IMPORTRANGE(""https://docs.google.com/spreadsheets/d/14Bd19lYaqBhU8_DElYkX7l4wRkHqqCUFNJY4AfY3kHU/edit?usp=sharing  #gid=0"",""фіз особи new!relations_name""),6,FALSE)
,
(IF
(
G13939=""юридична особа""
,
VLOO"&amp;"KUP(H13939,IMPORTRANGE(""https://docs.google.com/spreadsheets/d/14Bd19lYaqBhU8_DElYkX7l4wRkHqqCUFNJY4AfY3kHU/edit?usp=sharing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938" s="7" t="s">
        <v>23</v>
      </c>
    </row>
    <row r="13939" spans="1:10" ht="13.2">
      <c r="A13939" s="7">
        <v>13938</v>
      </c>
      <c r="B13939" s="7">
        <v>1</v>
      </c>
      <c r="C13939" s="7" t="s">
        <v>10</v>
      </c>
      <c r="D13939" s="7">
        <v>18848</v>
      </c>
      <c r="E13939" s="7" t="s">
        <v>23</v>
      </c>
      <c r="F13939" s="8" t="str">
        <f ca="1">IFERROR(__xludf.DUMMYFUNCTION("IF
(
C13940=""фізична особа""
,
VLOOKUP(D13940,IMPORTRANGE(""https://docs.google.com/spreadsheets/d/14Bd19lYaqBhU8_DElYkX7l4wRkHqqCUFNJY4AfY3kHU/edit?usp=sharing  #gid=0"",""фіз особи new!relations_name""),6,FALSE)
,
(IF
(
C13940=""юридична особа""
,
VLOO"&amp;"KUP(D13940,IMPORTRANGE(""https://docs.google.com/spreadsheets/d/14Bd19lYaqBhU8_DElYkX7l4wRkHqqCUFNJY4AfY3kHU/edit?usp=sharing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39" s="7" t="s">
        <v>10</v>
      </c>
      <c r="H13939" s="7">
        <v>18852</v>
      </c>
      <c r="I13939" s="8" t="str">
        <f ca="1">IFERROR(__xludf.DUMMYFUNCTION("IF
(
G13940=""фізична особа""
,
VLOOKUP(H13940,IMPORTRANGE(""https://docs.google.com/spreadsheets/d/14Bd19lYaqBhU8_DElYkX7l4wRkHqqCUFNJY4AfY3kHU/edit?usp=sharing  #gid=0"",""фіз особи new!relations_name""),6,FALSE)
,
(IF
(
G13940=""юридична особа""
,
VLOO"&amp;"KUP(H13940,IMPORTRANGE(""https://docs.google.com/spreadsheets/d/14Bd19lYaqBhU8_DElYkX7l4wRkHqqCUFNJY4AfY3kHU/edit?usp=sharing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939" s="7" t="s">
        <v>23</v>
      </c>
    </row>
    <row r="13940" spans="1:10" ht="13.2">
      <c r="A13940" s="7">
        <v>13939</v>
      </c>
      <c r="B13940" s="7">
        <v>1</v>
      </c>
      <c r="C13940" s="7" t="s">
        <v>10</v>
      </c>
      <c r="D13940" s="7">
        <v>18848</v>
      </c>
      <c r="E13940" s="7" t="s">
        <v>23</v>
      </c>
      <c r="F13940" s="8" t="str">
        <f ca="1">IFERROR(__xludf.DUMMYFUNCTION("IF
(
C13941=""фізична особа""
,
VLOOKUP(D13941,IMPORTRANGE(""https://docs.google.com/spreadsheets/d/14Bd19lYaqBhU8_DElYkX7l4wRkHqqCUFNJY4AfY3kHU/edit?usp=sharing  #gid=0"",""фіз особи new!relations_name""),6,FALSE)
,
(IF
(
C13941=""юридична особа""
,
VLOO"&amp;"KUP(D13941,IMPORTRANGE(""https://docs.google.com/spreadsheets/d/14Bd19lYaqBhU8_DElYkX7l4wRkHqqCUFNJY4AfY3kHU/edit?usp=sharing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40" s="7" t="s">
        <v>10</v>
      </c>
      <c r="H13940" s="7">
        <v>18853</v>
      </c>
      <c r="I13940" s="8" t="str">
        <f ca="1">IFERROR(__xludf.DUMMYFUNCTION("IF
(
G13941=""фізична особа""
,
VLOOKUP(H13941,IMPORTRANGE(""https://docs.google.com/spreadsheets/d/14Bd19lYaqBhU8_DElYkX7l4wRkHqqCUFNJY4AfY3kHU/edit?usp=sharing  #gid=0"",""фіз особи new!relations_name""),6,FALSE)
,
(IF
(
G13941=""юридична особа""
,
VLOO"&amp;"KUP(H13941,IMPORTRANGE(""https://docs.google.com/spreadsheets/d/14Bd19lYaqBhU8_DElYkX7l4wRkHqqCUFNJY4AfY3kHU/edit?usp=sharing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940" s="7" t="s">
        <v>23</v>
      </c>
    </row>
    <row r="13941" spans="1:10" ht="13.2">
      <c r="A13941" s="7">
        <v>13940</v>
      </c>
      <c r="B13941" s="7">
        <v>1</v>
      </c>
      <c r="C13941" s="7" t="s">
        <v>10</v>
      </c>
      <c r="D13941" s="7">
        <v>18848</v>
      </c>
      <c r="E13941" s="7" t="s">
        <v>23</v>
      </c>
      <c r="F13941" s="8" t="str">
        <f ca="1">IFERROR(__xludf.DUMMYFUNCTION("IF
(
C13942=""фізична особа""
,
VLOOKUP(D13942,IMPORTRANGE(""https://docs.google.com/spreadsheets/d/14Bd19lYaqBhU8_DElYkX7l4wRkHqqCUFNJY4AfY3kHU/edit?usp=sharing  #gid=0"",""фіз особи new!relations_name""),6,FALSE)
,
(IF
(
C13942=""юридична особа""
,
VLOO"&amp;"KUP(D13942,IMPORTRANGE(""https://docs.google.com/spreadsheets/d/14Bd19lYaqBhU8_DElYkX7l4wRkHqqCUFNJY4AfY3kHU/edit?usp=sharing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41" s="7" t="s">
        <v>10</v>
      </c>
      <c r="H13941" s="7">
        <v>18854</v>
      </c>
      <c r="I13941" s="8" t="str">
        <f ca="1">IFERROR(__xludf.DUMMYFUNCTION("IF
(
G13942=""фізична особа""
,
VLOOKUP(H13942,IMPORTRANGE(""https://docs.google.com/spreadsheets/d/14Bd19lYaqBhU8_DElYkX7l4wRkHqqCUFNJY4AfY3kHU/edit?usp=sharing  #gid=0"",""фіз особи new!relations_name""),6,FALSE)
,
(IF
(
G13942=""юридична особа""
,
VLOO"&amp;"KUP(H13942,IMPORTRANGE(""https://docs.google.com/spreadsheets/d/14Bd19lYaqBhU8_DElYkX7l4wRkHqqCUFNJY4AfY3kHU/edit?usp=sharing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941" s="7" t="s">
        <v>23</v>
      </c>
    </row>
    <row r="13942" spans="1:10" ht="13.2">
      <c r="A13942" s="7">
        <v>13941</v>
      </c>
      <c r="B13942" s="7">
        <v>1</v>
      </c>
      <c r="C13942" s="7" t="s">
        <v>10</v>
      </c>
      <c r="D13942" s="7">
        <v>18848</v>
      </c>
      <c r="E13942" s="7" t="s">
        <v>23</v>
      </c>
      <c r="F13942" s="8" t="str">
        <f ca="1">IFERROR(__xludf.DUMMYFUNCTION("IF
(
C13943=""фізична особа""
,
VLOOKUP(D13943,IMPORTRANGE(""https://docs.google.com/spreadsheets/d/14Bd19lYaqBhU8_DElYkX7l4wRkHqqCUFNJY4AfY3kHU/edit?usp=sharing  #gid=0"",""фіз особи new!relations_name""),6,FALSE)
,
(IF
(
C13943=""юридична особа""
,
VLOO"&amp;"KUP(D13943,IMPORTRANGE(""https://docs.google.com/spreadsheets/d/14Bd19lYaqBhU8_DElYkX7l4wRkHqqCUFNJY4AfY3kHU/edit?usp=sharing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42" s="7" t="s">
        <v>10</v>
      </c>
      <c r="H13942" s="7">
        <v>18855</v>
      </c>
      <c r="I13942" s="8" t="str">
        <f ca="1">IFERROR(__xludf.DUMMYFUNCTION("IF
(
G13943=""фізична особа""
,
VLOOKUP(H13943,IMPORTRANGE(""https://docs.google.com/spreadsheets/d/14Bd19lYaqBhU8_DElYkX7l4wRkHqqCUFNJY4AfY3kHU/edit?usp=sharing  #gid=0"",""фіз особи new!relations_name""),6,FALSE)
,
(IF
(
G13943=""юридична особа""
,
VLOO"&amp;"KUP(H13943,IMPORTRANGE(""https://docs.google.com/spreadsheets/d/14Bd19lYaqBhU8_DElYkX7l4wRkHqqCUFNJY4AfY3kHU/edit?usp=sharing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942" s="7" t="s">
        <v>23</v>
      </c>
    </row>
    <row r="13943" spans="1:10" ht="13.2">
      <c r="A13943" s="7">
        <v>13942</v>
      </c>
      <c r="B13943" s="7">
        <v>1</v>
      </c>
      <c r="C13943" s="7" t="s">
        <v>10</v>
      </c>
      <c r="D13943" s="7">
        <v>18848</v>
      </c>
      <c r="E13943" s="7" t="s">
        <v>23</v>
      </c>
      <c r="F13943" s="8" t="str">
        <f ca="1">IFERROR(__xludf.DUMMYFUNCTION("IF
(
C13944=""фізична особа""
,
VLOOKUP(D13944,IMPORTRANGE(""https://docs.google.com/spreadsheets/d/14Bd19lYaqBhU8_DElYkX7l4wRkHqqCUFNJY4AfY3kHU/edit?usp=sharing  #gid=0"",""фіз особи new!relations_name""),6,FALSE)
,
(IF
(
C13944=""юридична особа""
,
VLOO"&amp;"KUP(D13944,IMPORTRANGE(""https://docs.google.com/spreadsheets/d/14Bd19lYaqBhU8_DElYkX7l4wRkHqqCUFNJY4AfY3kHU/edit?usp=sharing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G13943" s="7" t="s">
        <v>10</v>
      </c>
      <c r="H13943" s="7">
        <v>18856</v>
      </c>
      <c r="I13943" s="8" t="str">
        <f ca="1">IFERROR(__xludf.DUMMYFUNCTION("IF
(
G13944=""фізична особа""
,
VLOOKUP(H13944,IMPORTRANGE(""https://docs.google.com/spreadsheets/d/14Bd19lYaqBhU8_DElYkX7l4wRkHqqCUFNJY4AfY3kHU/edit?usp=sharing  #gid=0"",""фіз особи new!relations_name""),6,FALSE)
,
(IF
(
G13944=""юридична особа""
,
VLOO"&amp;"KUP(H13944,IMPORTRANGE(""https://docs.google.com/spreadsheets/d/14Bd19lYaqBhU8_DElYkX7l4wRkHqqCUFNJY4AfY3kHU/edit?usp=sharing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943" s="7" t="s">
        <v>23</v>
      </c>
    </row>
    <row r="13944" spans="1:10" ht="13.2">
      <c r="A13944" s="7">
        <v>13943</v>
      </c>
      <c r="B13944" s="7">
        <v>1</v>
      </c>
      <c r="C13944" s="7" t="s">
        <v>10</v>
      </c>
      <c r="D13944" s="7">
        <v>18849</v>
      </c>
      <c r="E13944" s="7" t="s">
        <v>23</v>
      </c>
      <c r="F13944" s="8" t="str">
        <f ca="1">IFERROR(__xludf.DUMMYFUNCTION("IF
(
C13945=""фізична особа""
,
VLOOKUP(D13945,IMPORTRANGE(""https://docs.google.com/spreadsheets/d/14Bd19lYaqBhU8_DElYkX7l4wRkHqqCUFNJY4AfY3kHU/edit?usp=sharing  #gid=0"",""фіз особи new!relations_name""),6,FALSE)
,
(IF
(
C13945=""юридична особа""
,
VLOO"&amp;"KUP(D13945,IMPORTRANGE(""https://docs.google.com/spreadsheets/d/14Bd19lYaqBhU8_DElYkX7l4wRkHqqCUFNJY4AfY3kHU/edit?usp=sharing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4" s="7" t="s">
        <v>10</v>
      </c>
      <c r="H13944" s="7">
        <v>18576</v>
      </c>
      <c r="I13944" s="8" t="str">
        <f ca="1">IFERROR(__xludf.DUMMYFUNCTION("IF
(
G13945=""фізична особа""
,
VLOOKUP(H13945,IMPORTRANGE(""https://docs.google.com/spreadsheets/d/14Bd19lYaqBhU8_DElYkX7l4wRkHqqCUFNJY4AfY3kHU/edit?usp=sharing  #gid=0"",""фіз особи new!relations_name""),6,FALSE)
,
(IF
(
G13945=""юридична особа""
,
VLOO"&amp;"KUP(H13945,IMPORTRANGE(""https://docs.google.com/spreadsheets/d/14Bd19lYaqBhU8_DElYkX7l4wRkHqqCUFNJY4AfY3kHU/edit?usp=sharing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944" s="7" t="s">
        <v>23</v>
      </c>
    </row>
    <row r="13945" spans="1:10" ht="13.2">
      <c r="A13945" s="7">
        <v>13944</v>
      </c>
      <c r="B13945" s="7">
        <v>1</v>
      </c>
      <c r="C13945" s="7" t="s">
        <v>10</v>
      </c>
      <c r="D13945" s="7">
        <v>18849</v>
      </c>
      <c r="E13945" s="7" t="s">
        <v>23</v>
      </c>
      <c r="F13945" s="8" t="str">
        <f ca="1">IFERROR(__xludf.DUMMYFUNCTION("IF
(
C13946=""фізична особа""
,
VLOOKUP(D13946,IMPORTRANGE(""https://docs.google.com/spreadsheets/d/14Bd19lYaqBhU8_DElYkX7l4wRkHqqCUFNJY4AfY3kHU/edit?usp=sharing  #gid=0"",""фіз особи new!relations_name""),6,FALSE)
,
(IF
(
C13946=""юридична особа""
,
VLOO"&amp;"KUP(D13946,IMPORTRANGE(""https://docs.google.com/spreadsheets/d/14Bd19lYaqBhU8_DElYkX7l4wRkHqqCUFNJY4AfY3kHU/edit?usp=sharing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5" s="7" t="s">
        <v>10</v>
      </c>
      <c r="H13945" s="7">
        <v>18577</v>
      </c>
      <c r="I13945" s="8" t="str">
        <f ca="1">IFERROR(__xludf.DUMMYFUNCTION("IF
(
G13946=""фізична особа""
,
VLOOKUP(H13946,IMPORTRANGE(""https://docs.google.com/spreadsheets/d/14Bd19lYaqBhU8_DElYkX7l4wRkHqqCUFNJY4AfY3kHU/edit?usp=sharing  #gid=0"",""фіз особи new!relations_name""),6,FALSE)
,
(IF
(
G13946=""юридична особа""
,
VLOO"&amp;"KUP(H13946,IMPORTRANGE(""https://docs.google.com/spreadsheets/d/14Bd19lYaqBhU8_DElYkX7l4wRkHqqCUFNJY4AfY3kHU/edit?usp=sharing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945" s="7" t="s">
        <v>23</v>
      </c>
    </row>
    <row r="13946" spans="1:10" ht="13.2">
      <c r="A13946" s="7">
        <v>13945</v>
      </c>
      <c r="B13946" s="7">
        <v>1</v>
      </c>
      <c r="C13946" s="7" t="s">
        <v>10</v>
      </c>
      <c r="D13946" s="7">
        <v>18849</v>
      </c>
      <c r="E13946" s="7" t="s">
        <v>23</v>
      </c>
      <c r="F13946" s="8" t="str">
        <f ca="1">IFERROR(__xludf.DUMMYFUNCTION("IF
(
C13947=""фізична особа""
,
VLOOKUP(D13947,IMPORTRANGE(""https://docs.google.com/spreadsheets/d/14Bd19lYaqBhU8_DElYkX7l4wRkHqqCUFNJY4AfY3kHU/edit?usp=sharing  #gid=0"",""фіз особи new!relations_name""),6,FALSE)
,
(IF
(
C13947=""юридична особа""
,
VLOO"&amp;"KUP(D13947,IMPORTRANGE(""https://docs.google.com/spreadsheets/d/14Bd19lYaqBhU8_DElYkX7l4wRkHqqCUFNJY4AfY3kHU/edit?usp=sharing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6" s="7" t="s">
        <v>10</v>
      </c>
      <c r="H13946" s="7">
        <v>18578</v>
      </c>
      <c r="I13946" s="8" t="str">
        <f ca="1">IFERROR(__xludf.DUMMYFUNCTION("IF
(
G13947=""фізична особа""
,
VLOOKUP(H13947,IMPORTRANGE(""https://docs.google.com/spreadsheets/d/14Bd19lYaqBhU8_DElYkX7l4wRkHqqCUFNJY4AfY3kHU/edit?usp=sharing  #gid=0"",""фіз особи new!relations_name""),6,FALSE)
,
(IF
(
G13947=""юридична особа""
,
VLOO"&amp;"KUP(H13947,IMPORTRANGE(""https://docs.google.com/spreadsheets/d/14Bd19lYaqBhU8_DElYkX7l4wRkHqqCUFNJY4AfY3kHU/edit?usp=sharing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946" s="7" t="s">
        <v>23</v>
      </c>
    </row>
    <row r="13947" spans="1:10" ht="13.2">
      <c r="A13947" s="7">
        <v>13946</v>
      </c>
      <c r="B13947" s="7">
        <v>1</v>
      </c>
      <c r="C13947" s="7" t="s">
        <v>10</v>
      </c>
      <c r="D13947" s="7">
        <v>18849</v>
      </c>
      <c r="E13947" s="7" t="s">
        <v>23</v>
      </c>
      <c r="F13947" s="8" t="str">
        <f ca="1">IFERROR(__xludf.DUMMYFUNCTION("IF
(
C13948=""фізична особа""
,
VLOOKUP(D13948,IMPORTRANGE(""https://docs.google.com/spreadsheets/d/14Bd19lYaqBhU8_DElYkX7l4wRkHqqCUFNJY4AfY3kHU/edit?usp=sharing  #gid=0"",""фіз особи new!relations_name""),6,FALSE)
,
(IF
(
C13948=""юридична особа""
,
VLOO"&amp;"KUP(D13948,IMPORTRANGE(""https://docs.google.com/spreadsheets/d/14Bd19lYaqBhU8_DElYkX7l4wRkHqqCUFNJY4AfY3kHU/edit?usp=sharing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7" s="7" t="s">
        <v>10</v>
      </c>
      <c r="H13947" s="7">
        <v>18580</v>
      </c>
      <c r="I13947" s="8" t="str">
        <f ca="1">IFERROR(__xludf.DUMMYFUNCTION("IF
(
G13948=""фізична особа""
,
VLOOKUP(H13948,IMPORTRANGE(""https://docs.google.com/spreadsheets/d/14Bd19lYaqBhU8_DElYkX7l4wRkHqqCUFNJY4AfY3kHU/edit?usp=sharing  #gid=0"",""фіз особи new!relations_name""),6,FALSE)
,
(IF
(
G13948=""юридична особа""
,
VLOO"&amp;"KUP(H13948,IMPORTRANGE(""https://docs.google.com/spreadsheets/d/14Bd19lYaqBhU8_DElYkX7l4wRkHqqCUFNJY4AfY3kHU/edit?usp=sharing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947" s="7" t="s">
        <v>23</v>
      </c>
    </row>
    <row r="13948" spans="1:10" ht="13.2">
      <c r="A13948" s="7">
        <v>13947</v>
      </c>
      <c r="B13948" s="7">
        <v>1</v>
      </c>
      <c r="C13948" s="7" t="s">
        <v>10</v>
      </c>
      <c r="D13948" s="7">
        <v>18849</v>
      </c>
      <c r="E13948" s="7" t="s">
        <v>23</v>
      </c>
      <c r="F13948" s="8" t="str">
        <f ca="1">IFERROR(__xludf.DUMMYFUNCTION("IF
(
C13949=""фізична особа""
,
VLOOKUP(D13949,IMPORTRANGE(""https://docs.google.com/spreadsheets/d/14Bd19lYaqBhU8_DElYkX7l4wRkHqqCUFNJY4AfY3kHU/edit?usp=sharing  #gid=0"",""фіз особи new!relations_name""),6,FALSE)
,
(IF
(
C13949=""юридична особа""
,
VLOO"&amp;"KUP(D13949,IMPORTRANGE(""https://docs.google.com/spreadsheets/d/14Bd19lYaqBhU8_DElYkX7l4wRkHqqCUFNJY4AfY3kHU/edit?usp=sharing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8" s="7" t="s">
        <v>10</v>
      </c>
      <c r="H13948" s="7">
        <v>18581</v>
      </c>
      <c r="I13948" s="8" t="str">
        <f ca="1">IFERROR(__xludf.DUMMYFUNCTION("IF
(
G13949=""фізична особа""
,
VLOOKUP(H13949,IMPORTRANGE(""https://docs.google.com/spreadsheets/d/14Bd19lYaqBhU8_DElYkX7l4wRkHqqCUFNJY4AfY3kHU/edit?usp=sharing  #gid=0"",""фіз особи new!relations_name""),6,FALSE)
,
(IF
(
G13949=""юридична особа""
,
VLOO"&amp;"KUP(H13949,IMPORTRANGE(""https://docs.google.com/spreadsheets/d/14Bd19lYaqBhU8_DElYkX7l4wRkHqqCUFNJY4AfY3kHU/edit?usp=sharing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948" s="7" t="s">
        <v>23</v>
      </c>
    </row>
    <row r="13949" spans="1:10" ht="13.2">
      <c r="A13949" s="7">
        <v>13948</v>
      </c>
      <c r="B13949" s="7">
        <v>1</v>
      </c>
      <c r="C13949" s="7" t="s">
        <v>10</v>
      </c>
      <c r="D13949" s="7">
        <v>18849</v>
      </c>
      <c r="E13949" s="7" t="s">
        <v>23</v>
      </c>
      <c r="F13949" s="8" t="str">
        <f ca="1">IFERROR(__xludf.DUMMYFUNCTION("IF
(
C13950=""фізична особа""
,
VLOOKUP(D13950,IMPORTRANGE(""https://docs.google.com/spreadsheets/d/14Bd19lYaqBhU8_DElYkX7l4wRkHqqCUFNJY4AfY3kHU/edit?usp=sharing  #gid=0"",""фіз особи new!relations_name""),6,FALSE)
,
(IF
(
C13950=""юридична особа""
,
VLOO"&amp;"KUP(D13950,IMPORTRANGE(""https://docs.google.com/spreadsheets/d/14Bd19lYaqBhU8_DElYkX7l4wRkHqqCUFNJY4AfY3kHU/edit?usp=sharing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49" s="7" t="s">
        <v>10</v>
      </c>
      <c r="H13949" s="7">
        <v>18582</v>
      </c>
      <c r="I13949" s="8" t="str">
        <f ca="1">IFERROR(__xludf.DUMMYFUNCTION("IF
(
G13950=""фізична особа""
,
VLOOKUP(H13950,IMPORTRANGE(""https://docs.google.com/spreadsheets/d/14Bd19lYaqBhU8_DElYkX7l4wRkHqqCUFNJY4AfY3kHU/edit?usp=sharing  #gid=0"",""фіз особи new!relations_name""),6,FALSE)
,
(IF
(
G13950=""юридична особа""
,
VLOO"&amp;"KUP(H13950,IMPORTRANGE(""https://docs.google.com/spreadsheets/d/14Bd19lYaqBhU8_DElYkX7l4wRkHqqCUFNJY4AfY3kHU/edit?usp=sharing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949" s="7" t="s">
        <v>23</v>
      </c>
    </row>
    <row r="13950" spans="1:10" ht="13.2">
      <c r="A13950" s="7">
        <v>13949</v>
      </c>
      <c r="B13950" s="7">
        <v>1</v>
      </c>
      <c r="C13950" s="7" t="s">
        <v>10</v>
      </c>
      <c r="D13950" s="7">
        <v>18849</v>
      </c>
      <c r="E13950" s="7" t="s">
        <v>23</v>
      </c>
      <c r="F13950" s="8" t="str">
        <f ca="1">IFERROR(__xludf.DUMMYFUNCTION("IF
(
C13951=""фізична особа""
,
VLOOKUP(D13951,IMPORTRANGE(""https://docs.google.com/spreadsheets/d/14Bd19lYaqBhU8_DElYkX7l4wRkHqqCUFNJY4AfY3kHU/edit?usp=sharing  #gid=0"",""фіз особи new!relations_name""),6,FALSE)
,
(IF
(
C13951=""юридична особа""
,
VLOO"&amp;"KUP(D13951,IMPORTRANGE(""https://docs.google.com/spreadsheets/d/14Bd19lYaqBhU8_DElYkX7l4wRkHqqCUFNJY4AfY3kHU/edit?usp=sharing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0" s="7" t="s">
        <v>10</v>
      </c>
      <c r="H13950" s="7">
        <v>18583</v>
      </c>
      <c r="I13950" s="8" t="str">
        <f ca="1">IFERROR(__xludf.DUMMYFUNCTION("IF
(
G13951=""фізична особа""
,
VLOOKUP(H13951,IMPORTRANGE(""https://docs.google.com/spreadsheets/d/14Bd19lYaqBhU8_DElYkX7l4wRkHqqCUFNJY4AfY3kHU/edit?usp=sharing  #gid=0"",""фіз особи new!relations_name""),6,FALSE)
,
(IF
(
G13951=""юридична особа""
,
VLOO"&amp;"KUP(H13951,IMPORTRANGE(""https://docs.google.com/spreadsheets/d/14Bd19lYaqBhU8_DElYkX7l4wRkHqqCUFNJY4AfY3kHU/edit?usp=sharing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950" s="7" t="s">
        <v>23</v>
      </c>
    </row>
    <row r="13951" spans="1:10" ht="13.2">
      <c r="A13951" s="7">
        <v>13950</v>
      </c>
      <c r="B13951" s="7">
        <v>1</v>
      </c>
      <c r="C13951" s="7" t="s">
        <v>10</v>
      </c>
      <c r="D13951" s="7">
        <v>18849</v>
      </c>
      <c r="E13951" s="7" t="s">
        <v>23</v>
      </c>
      <c r="F13951" s="8" t="str">
        <f ca="1">IFERROR(__xludf.DUMMYFUNCTION("IF
(
C13952=""фізична особа""
,
VLOOKUP(D13952,IMPORTRANGE(""https://docs.google.com/spreadsheets/d/14Bd19lYaqBhU8_DElYkX7l4wRkHqqCUFNJY4AfY3kHU/edit?usp=sharing  #gid=0"",""фіз особи new!relations_name""),6,FALSE)
,
(IF
(
C13952=""юридична особа""
,
VLOO"&amp;"KUP(D13952,IMPORTRANGE(""https://docs.google.com/spreadsheets/d/14Bd19lYaqBhU8_DElYkX7l4wRkHqqCUFNJY4AfY3kHU/edit?usp=sharing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1" s="7" t="s">
        <v>10</v>
      </c>
      <c r="H13951" s="7">
        <v>18584</v>
      </c>
      <c r="I13951" s="8" t="str">
        <f ca="1">IFERROR(__xludf.DUMMYFUNCTION("IF
(
G13952=""фізична особа""
,
VLOOKUP(H13952,IMPORTRANGE(""https://docs.google.com/spreadsheets/d/14Bd19lYaqBhU8_DElYkX7l4wRkHqqCUFNJY4AfY3kHU/edit?usp=sharing  #gid=0"",""фіз особи new!relations_name""),6,FALSE)
,
(IF
(
G13952=""юридична особа""
,
VLOO"&amp;"KUP(H13952,IMPORTRANGE(""https://docs.google.com/spreadsheets/d/14Bd19lYaqBhU8_DElYkX7l4wRkHqqCUFNJY4AfY3kHU/edit?usp=sharing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951" s="7" t="s">
        <v>23</v>
      </c>
    </row>
    <row r="13952" spans="1:10" ht="13.2">
      <c r="A13952" s="7">
        <v>13951</v>
      </c>
      <c r="B13952" s="7">
        <v>1</v>
      </c>
      <c r="C13952" s="7" t="s">
        <v>10</v>
      </c>
      <c r="D13952" s="7">
        <v>18849</v>
      </c>
      <c r="E13952" s="7" t="s">
        <v>23</v>
      </c>
      <c r="F13952" s="8" t="str">
        <f ca="1">IFERROR(__xludf.DUMMYFUNCTION("IF
(
C13953=""фізична особа""
,
VLOOKUP(D13953,IMPORTRANGE(""https://docs.google.com/spreadsheets/d/14Bd19lYaqBhU8_DElYkX7l4wRkHqqCUFNJY4AfY3kHU/edit?usp=sharing  #gid=0"",""фіз особи new!relations_name""),6,FALSE)
,
(IF
(
C13953=""юридична особа""
,
VLOO"&amp;"KUP(D13953,IMPORTRANGE(""https://docs.google.com/spreadsheets/d/14Bd19lYaqBhU8_DElYkX7l4wRkHqqCUFNJY4AfY3kHU/edit?usp=sharing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2" s="7" t="s">
        <v>10</v>
      </c>
      <c r="H13952" s="7">
        <v>18585</v>
      </c>
      <c r="I13952" s="8" t="str">
        <f ca="1">IFERROR(__xludf.DUMMYFUNCTION("IF
(
G13953=""фізична особа""
,
VLOOKUP(H13953,IMPORTRANGE(""https://docs.google.com/spreadsheets/d/14Bd19lYaqBhU8_DElYkX7l4wRkHqqCUFNJY4AfY3kHU/edit?usp=sharing  #gid=0"",""фіз особи new!relations_name""),6,FALSE)
,
(IF
(
G13953=""юридична особа""
,
VLOO"&amp;"KUP(H13953,IMPORTRANGE(""https://docs.google.com/spreadsheets/d/14Bd19lYaqBhU8_DElYkX7l4wRkHqqCUFNJY4AfY3kHU/edit?usp=sharing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952" s="7" t="s">
        <v>23</v>
      </c>
    </row>
    <row r="13953" spans="1:10" ht="13.2">
      <c r="A13953" s="7">
        <v>13952</v>
      </c>
      <c r="B13953" s="7">
        <v>1</v>
      </c>
      <c r="C13953" s="7" t="s">
        <v>10</v>
      </c>
      <c r="D13953" s="7">
        <v>18849</v>
      </c>
      <c r="E13953" s="7" t="s">
        <v>23</v>
      </c>
      <c r="F13953" s="8" t="str">
        <f ca="1">IFERROR(__xludf.DUMMYFUNCTION("IF
(
C13954=""фізична особа""
,
VLOOKUP(D13954,IMPORTRANGE(""https://docs.google.com/spreadsheets/d/14Bd19lYaqBhU8_DElYkX7l4wRkHqqCUFNJY4AfY3kHU/edit?usp=sharing  #gid=0"",""фіз особи new!relations_name""),6,FALSE)
,
(IF
(
C13954=""юридична особа""
,
VLOO"&amp;"KUP(D13954,IMPORTRANGE(""https://docs.google.com/spreadsheets/d/14Bd19lYaqBhU8_DElYkX7l4wRkHqqCUFNJY4AfY3kHU/edit?usp=sharing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3" s="7" t="s">
        <v>10</v>
      </c>
      <c r="H13953" s="7">
        <v>18579</v>
      </c>
      <c r="I13953" s="8" t="str">
        <f ca="1">IFERROR(__xludf.DUMMYFUNCTION("IF
(
G13954=""фізична особа""
,
VLOOKUP(H13954,IMPORTRANGE(""https://docs.google.com/spreadsheets/d/14Bd19lYaqBhU8_DElYkX7l4wRkHqqCUFNJY4AfY3kHU/edit?usp=sharing  #gid=0"",""фіз особи new!relations_name""),6,FALSE)
,
(IF
(
G13954=""юридична особа""
,
VLOO"&amp;"KUP(H13954,IMPORTRANGE(""https://docs.google.com/spreadsheets/d/14Bd19lYaqBhU8_DElYkX7l4wRkHqqCUFNJY4AfY3kHU/edit?usp=sharing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953" s="7" t="s">
        <v>23</v>
      </c>
    </row>
    <row r="13954" spans="1:10" ht="13.2">
      <c r="A13954" s="7">
        <v>13953</v>
      </c>
      <c r="B13954" s="7">
        <v>1</v>
      </c>
      <c r="C13954" s="7" t="s">
        <v>10</v>
      </c>
      <c r="D13954" s="7">
        <v>18849</v>
      </c>
      <c r="E13954" s="7" t="s">
        <v>23</v>
      </c>
      <c r="F13954" s="8" t="str">
        <f ca="1">IFERROR(__xludf.DUMMYFUNCTION("IF
(
C13955=""фізична особа""
,
VLOOKUP(D13955,IMPORTRANGE(""https://docs.google.com/spreadsheets/d/14Bd19lYaqBhU8_DElYkX7l4wRkHqqCUFNJY4AfY3kHU/edit?usp=sharing  #gid=0"",""фіз особи new!relations_name""),6,FALSE)
,
(IF
(
C13955=""юридична особа""
,
VLOO"&amp;"KUP(D13955,IMPORTRANGE(""https://docs.google.com/spreadsheets/d/14Bd19lYaqBhU8_DElYkX7l4wRkHqqCUFNJY4AfY3kHU/edit?usp=sharing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4" s="7" t="s">
        <v>10</v>
      </c>
      <c r="H13954" s="7">
        <v>18847</v>
      </c>
      <c r="I13954" s="8" t="str">
        <f ca="1">IFERROR(__xludf.DUMMYFUNCTION("IF
(
G13955=""фізична особа""
,
VLOOKUP(H13955,IMPORTRANGE(""https://docs.google.com/spreadsheets/d/14Bd19lYaqBhU8_DElYkX7l4wRkHqqCUFNJY4AfY3kHU/edit?usp=sharing  #gid=0"",""фіз особи new!relations_name""),6,FALSE)
,
(IF
(
G13955=""юридична особа""
,
VLOO"&amp;"KUP(H13955,IMPORTRANGE(""https://docs.google.com/spreadsheets/d/14Bd19lYaqBhU8_DElYkX7l4wRkHqqCUFNJY4AfY3kHU/edit?usp=sharing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954" s="7" t="s">
        <v>23</v>
      </c>
    </row>
    <row r="13955" spans="1:10" ht="13.2">
      <c r="A13955" s="7">
        <v>13954</v>
      </c>
      <c r="B13955" s="7">
        <v>1</v>
      </c>
      <c r="C13955" s="7" t="s">
        <v>10</v>
      </c>
      <c r="D13955" s="7">
        <v>18849</v>
      </c>
      <c r="E13955" s="7" t="s">
        <v>23</v>
      </c>
      <c r="F13955" s="8" t="str">
        <f ca="1">IFERROR(__xludf.DUMMYFUNCTION("IF
(
C13956=""фізична особа""
,
VLOOKUP(D13956,IMPORTRANGE(""https://docs.google.com/spreadsheets/d/14Bd19lYaqBhU8_DElYkX7l4wRkHqqCUFNJY4AfY3kHU/edit?usp=sharing  #gid=0"",""фіз особи new!relations_name""),6,FALSE)
,
(IF
(
C13956=""юридична особа""
,
VLOO"&amp;"KUP(D13956,IMPORTRANGE(""https://docs.google.com/spreadsheets/d/14Bd19lYaqBhU8_DElYkX7l4wRkHqqCUFNJY4AfY3kHU/edit?usp=sharing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5" s="7" t="s">
        <v>10</v>
      </c>
      <c r="H13955" s="7">
        <v>18848</v>
      </c>
      <c r="I13955" s="8" t="str">
        <f ca="1">IFERROR(__xludf.DUMMYFUNCTION("IF
(
G13956=""фізична особа""
,
VLOOKUP(H13956,IMPORTRANGE(""https://docs.google.com/spreadsheets/d/14Bd19lYaqBhU8_DElYkX7l4wRkHqqCUFNJY4AfY3kHU/edit?usp=sharing  #gid=0"",""фіз особи new!relations_name""),6,FALSE)
,
(IF
(
G13956=""юридична особа""
,
VLOO"&amp;"KUP(H13956,IMPORTRANGE(""https://docs.google.com/spreadsheets/d/14Bd19lYaqBhU8_DElYkX7l4wRkHqqCUFNJY4AfY3kHU/edit?usp=sharing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955" s="7" t="s">
        <v>23</v>
      </c>
    </row>
    <row r="13956" spans="1:10" ht="13.2">
      <c r="A13956" s="7">
        <v>13955</v>
      </c>
      <c r="B13956" s="7">
        <v>1</v>
      </c>
      <c r="C13956" s="7" t="s">
        <v>10</v>
      </c>
      <c r="D13956" s="7">
        <v>18849</v>
      </c>
      <c r="E13956" s="7" t="s">
        <v>23</v>
      </c>
      <c r="F13956" s="8" t="str">
        <f ca="1">IFERROR(__xludf.DUMMYFUNCTION("IF
(
C13957=""фізична особа""
,
VLOOKUP(D13957,IMPORTRANGE(""https://docs.google.com/spreadsheets/d/14Bd19lYaqBhU8_DElYkX7l4wRkHqqCUFNJY4AfY3kHU/edit?usp=sharing  #gid=0"",""фіз особи new!relations_name""),6,FALSE)
,
(IF
(
C13957=""юридична особа""
,
VLOO"&amp;"KUP(D13957,IMPORTRANGE(""https://docs.google.com/spreadsheets/d/14Bd19lYaqBhU8_DElYkX7l4wRkHqqCUFNJY4AfY3kHU/edit?usp=sharing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6" s="7" t="s">
        <v>10</v>
      </c>
      <c r="H13956" s="7">
        <v>18850</v>
      </c>
      <c r="I13956" s="8" t="str">
        <f ca="1">IFERROR(__xludf.DUMMYFUNCTION("IF
(
G13957=""фізична особа""
,
VLOOKUP(H13957,IMPORTRANGE(""https://docs.google.com/spreadsheets/d/14Bd19lYaqBhU8_DElYkX7l4wRkHqqCUFNJY4AfY3kHU/edit?usp=sharing  #gid=0"",""фіз особи new!relations_name""),6,FALSE)
,
(IF
(
G13957=""юридична особа""
,
VLOO"&amp;"KUP(H13957,IMPORTRANGE(""https://docs.google.com/spreadsheets/d/14Bd19lYaqBhU8_DElYkX7l4wRkHqqCUFNJY4AfY3kHU/edit?usp=sharing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956" s="7" t="s">
        <v>23</v>
      </c>
    </row>
    <row r="13957" spans="1:10" ht="13.2">
      <c r="A13957" s="7">
        <v>13956</v>
      </c>
      <c r="B13957" s="7">
        <v>1</v>
      </c>
      <c r="C13957" s="7" t="s">
        <v>10</v>
      </c>
      <c r="D13957" s="7">
        <v>18849</v>
      </c>
      <c r="E13957" s="7" t="s">
        <v>23</v>
      </c>
      <c r="F13957" s="8" t="str">
        <f ca="1">IFERROR(__xludf.DUMMYFUNCTION("IF
(
C13958=""фізична особа""
,
VLOOKUP(D13958,IMPORTRANGE(""https://docs.google.com/spreadsheets/d/14Bd19lYaqBhU8_DElYkX7l4wRkHqqCUFNJY4AfY3kHU/edit?usp=sharing  #gid=0"",""фіз особи new!relations_name""),6,FALSE)
,
(IF
(
C13958=""юридична особа""
,
VLOO"&amp;"KUP(D13958,IMPORTRANGE(""https://docs.google.com/spreadsheets/d/14Bd19lYaqBhU8_DElYkX7l4wRkHqqCUFNJY4AfY3kHU/edit?usp=sharing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7" s="7" t="s">
        <v>10</v>
      </c>
      <c r="H13957" s="7">
        <v>18851</v>
      </c>
      <c r="I13957" s="8" t="str">
        <f ca="1">IFERROR(__xludf.DUMMYFUNCTION("IF
(
G13958=""фізична особа""
,
VLOOKUP(H13958,IMPORTRANGE(""https://docs.google.com/spreadsheets/d/14Bd19lYaqBhU8_DElYkX7l4wRkHqqCUFNJY4AfY3kHU/edit?usp=sharing  #gid=0"",""фіз особи new!relations_name""),6,FALSE)
,
(IF
(
G13958=""юридична особа""
,
VLOO"&amp;"KUP(H13958,IMPORTRANGE(""https://docs.google.com/spreadsheets/d/14Bd19lYaqBhU8_DElYkX7l4wRkHqqCUFNJY4AfY3kHU/edit?usp=sharing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957" s="7" t="s">
        <v>23</v>
      </c>
    </row>
    <row r="13958" spans="1:10" ht="13.2">
      <c r="A13958" s="7">
        <v>13957</v>
      </c>
      <c r="B13958" s="7">
        <v>1</v>
      </c>
      <c r="C13958" s="7" t="s">
        <v>10</v>
      </c>
      <c r="D13958" s="7">
        <v>18849</v>
      </c>
      <c r="E13958" s="7" t="s">
        <v>23</v>
      </c>
      <c r="F13958" s="8" t="str">
        <f ca="1">IFERROR(__xludf.DUMMYFUNCTION("IF
(
C13959=""фізична особа""
,
VLOOKUP(D13959,IMPORTRANGE(""https://docs.google.com/spreadsheets/d/14Bd19lYaqBhU8_DElYkX7l4wRkHqqCUFNJY4AfY3kHU/edit?usp=sharing  #gid=0"",""фіз особи new!relations_name""),6,FALSE)
,
(IF
(
C13959=""юридична особа""
,
VLOO"&amp;"KUP(D13959,IMPORTRANGE(""https://docs.google.com/spreadsheets/d/14Bd19lYaqBhU8_DElYkX7l4wRkHqqCUFNJY4AfY3kHU/edit?usp=sharing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8" s="7" t="s">
        <v>10</v>
      </c>
      <c r="H13958" s="7">
        <v>18852</v>
      </c>
      <c r="I13958" s="8" t="str">
        <f ca="1">IFERROR(__xludf.DUMMYFUNCTION("IF
(
G13959=""фізична особа""
,
VLOOKUP(H13959,IMPORTRANGE(""https://docs.google.com/spreadsheets/d/14Bd19lYaqBhU8_DElYkX7l4wRkHqqCUFNJY4AfY3kHU/edit?usp=sharing  #gid=0"",""фіз особи new!relations_name""),6,FALSE)
,
(IF
(
G13959=""юридична особа""
,
VLOO"&amp;"KUP(H13959,IMPORTRANGE(""https://docs.google.com/spreadsheets/d/14Bd19lYaqBhU8_DElYkX7l4wRkHqqCUFNJY4AfY3kHU/edit?usp=sharing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958" s="7" t="s">
        <v>23</v>
      </c>
    </row>
    <row r="13959" spans="1:10" ht="13.2">
      <c r="A13959" s="7">
        <v>13958</v>
      </c>
      <c r="B13959" s="7">
        <v>1</v>
      </c>
      <c r="C13959" s="7" t="s">
        <v>10</v>
      </c>
      <c r="D13959" s="7">
        <v>18849</v>
      </c>
      <c r="E13959" s="7" t="s">
        <v>23</v>
      </c>
      <c r="F13959" s="8" t="str">
        <f ca="1">IFERROR(__xludf.DUMMYFUNCTION("IF
(
C13960=""фізична особа""
,
VLOOKUP(D13960,IMPORTRANGE(""https://docs.google.com/spreadsheets/d/14Bd19lYaqBhU8_DElYkX7l4wRkHqqCUFNJY4AfY3kHU/edit?usp=sharing  #gid=0"",""фіз особи new!relations_name""),6,FALSE)
,
(IF
(
C13960=""юридична особа""
,
VLOO"&amp;"KUP(D13960,IMPORTRANGE(""https://docs.google.com/spreadsheets/d/14Bd19lYaqBhU8_DElYkX7l4wRkHqqCUFNJY4AfY3kHU/edit?usp=sharing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59" s="7" t="s">
        <v>10</v>
      </c>
      <c r="H13959" s="7">
        <v>18853</v>
      </c>
      <c r="I13959" s="8" t="str">
        <f ca="1">IFERROR(__xludf.DUMMYFUNCTION("IF
(
G13960=""фізична особа""
,
VLOOKUP(H13960,IMPORTRANGE(""https://docs.google.com/spreadsheets/d/14Bd19lYaqBhU8_DElYkX7l4wRkHqqCUFNJY4AfY3kHU/edit?usp=sharing  #gid=0"",""фіз особи new!relations_name""),6,FALSE)
,
(IF
(
G13960=""юридична особа""
,
VLOO"&amp;"KUP(H13960,IMPORTRANGE(""https://docs.google.com/spreadsheets/d/14Bd19lYaqBhU8_DElYkX7l4wRkHqqCUFNJY4AfY3kHU/edit?usp=sharing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959" s="7" t="s">
        <v>23</v>
      </c>
    </row>
    <row r="13960" spans="1:10" ht="13.2">
      <c r="A13960" s="7">
        <v>13959</v>
      </c>
      <c r="B13960" s="7">
        <v>1</v>
      </c>
      <c r="C13960" s="7" t="s">
        <v>10</v>
      </c>
      <c r="D13960" s="7">
        <v>18849</v>
      </c>
      <c r="E13960" s="7" t="s">
        <v>23</v>
      </c>
      <c r="F13960" s="8" t="str">
        <f ca="1">IFERROR(__xludf.DUMMYFUNCTION("IF
(
C13961=""фізична особа""
,
VLOOKUP(D13961,IMPORTRANGE(""https://docs.google.com/spreadsheets/d/14Bd19lYaqBhU8_DElYkX7l4wRkHqqCUFNJY4AfY3kHU/edit?usp=sharing  #gid=0"",""фіз особи new!relations_name""),6,FALSE)
,
(IF
(
C13961=""юридична особа""
,
VLOO"&amp;"KUP(D13961,IMPORTRANGE(""https://docs.google.com/spreadsheets/d/14Bd19lYaqBhU8_DElYkX7l4wRkHqqCUFNJY4AfY3kHU/edit?usp=sharing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60" s="7" t="s">
        <v>10</v>
      </c>
      <c r="H13960" s="7">
        <v>18854</v>
      </c>
      <c r="I13960" s="8" t="str">
        <f ca="1">IFERROR(__xludf.DUMMYFUNCTION("IF
(
G13961=""фізична особа""
,
VLOOKUP(H13961,IMPORTRANGE(""https://docs.google.com/spreadsheets/d/14Bd19lYaqBhU8_DElYkX7l4wRkHqqCUFNJY4AfY3kHU/edit?usp=sharing  #gid=0"",""фіз особи new!relations_name""),6,FALSE)
,
(IF
(
G13961=""юридична особа""
,
VLOO"&amp;"KUP(H13961,IMPORTRANGE(""https://docs.google.com/spreadsheets/d/14Bd19lYaqBhU8_DElYkX7l4wRkHqqCUFNJY4AfY3kHU/edit?usp=sharing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960" s="7" t="s">
        <v>23</v>
      </c>
    </row>
    <row r="13961" spans="1:10" ht="13.2">
      <c r="A13961" s="7">
        <v>13960</v>
      </c>
      <c r="B13961" s="7">
        <v>1</v>
      </c>
      <c r="C13961" s="7" t="s">
        <v>10</v>
      </c>
      <c r="D13961" s="7">
        <v>18849</v>
      </c>
      <c r="E13961" s="7" t="s">
        <v>23</v>
      </c>
      <c r="F13961" s="8" t="str">
        <f ca="1">IFERROR(__xludf.DUMMYFUNCTION("IF
(
C13962=""фізична особа""
,
VLOOKUP(D13962,IMPORTRANGE(""https://docs.google.com/spreadsheets/d/14Bd19lYaqBhU8_DElYkX7l4wRkHqqCUFNJY4AfY3kHU/edit?usp=sharing  #gid=0"",""фіз особи new!relations_name""),6,FALSE)
,
(IF
(
C13962=""юридична особа""
,
VLOO"&amp;"KUP(D13962,IMPORTRANGE(""https://docs.google.com/spreadsheets/d/14Bd19lYaqBhU8_DElYkX7l4wRkHqqCUFNJY4AfY3kHU/edit?usp=sharing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61" s="7" t="s">
        <v>10</v>
      </c>
      <c r="H13961" s="7">
        <v>18855</v>
      </c>
      <c r="I13961" s="8" t="str">
        <f ca="1">IFERROR(__xludf.DUMMYFUNCTION("IF
(
G13962=""фізична особа""
,
VLOOKUP(H13962,IMPORTRANGE(""https://docs.google.com/spreadsheets/d/14Bd19lYaqBhU8_DElYkX7l4wRkHqqCUFNJY4AfY3kHU/edit?usp=sharing  #gid=0"",""фіз особи new!relations_name""),6,FALSE)
,
(IF
(
G13962=""юридична особа""
,
VLOO"&amp;"KUP(H13962,IMPORTRANGE(""https://docs.google.com/spreadsheets/d/14Bd19lYaqBhU8_DElYkX7l4wRkHqqCUFNJY4AfY3kHU/edit?usp=sharing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961" s="7" t="s">
        <v>23</v>
      </c>
    </row>
    <row r="13962" spans="1:10" ht="13.2">
      <c r="A13962" s="7">
        <v>13961</v>
      </c>
      <c r="B13962" s="7">
        <v>1</v>
      </c>
      <c r="C13962" s="7" t="s">
        <v>10</v>
      </c>
      <c r="D13962" s="7">
        <v>18849</v>
      </c>
      <c r="E13962" s="7" t="s">
        <v>23</v>
      </c>
      <c r="F13962" s="8" t="str">
        <f ca="1">IFERROR(__xludf.DUMMYFUNCTION("IF
(
C13963=""фізична особа""
,
VLOOKUP(D13963,IMPORTRANGE(""https://docs.google.com/spreadsheets/d/14Bd19lYaqBhU8_DElYkX7l4wRkHqqCUFNJY4AfY3kHU/edit?usp=sharing  #gid=0"",""фіз особи new!relations_name""),6,FALSE)
,
(IF
(
C13963=""юридична особа""
,
VLOO"&amp;"KUP(D13963,IMPORTRANGE(""https://docs.google.com/spreadsheets/d/14Bd19lYaqBhU8_DElYkX7l4wRkHqqCUFNJY4AfY3kHU/edit?usp=sharing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G13962" s="7" t="s">
        <v>10</v>
      </c>
      <c r="H13962" s="7">
        <v>18856</v>
      </c>
      <c r="I13962" s="8" t="str">
        <f ca="1">IFERROR(__xludf.DUMMYFUNCTION("IF
(
G13963=""фізична особа""
,
VLOOKUP(H13963,IMPORTRANGE(""https://docs.google.com/spreadsheets/d/14Bd19lYaqBhU8_DElYkX7l4wRkHqqCUFNJY4AfY3kHU/edit?usp=sharing  #gid=0"",""фіз особи new!relations_name""),6,FALSE)
,
(IF
(
G13963=""юридична особа""
,
VLOO"&amp;"KUP(H13963,IMPORTRANGE(""https://docs.google.com/spreadsheets/d/14Bd19lYaqBhU8_DElYkX7l4wRkHqqCUFNJY4AfY3kHU/edit?usp=sharing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962" s="7" t="s">
        <v>23</v>
      </c>
    </row>
    <row r="13963" spans="1:10" ht="13.2">
      <c r="A13963" s="7">
        <v>13962</v>
      </c>
      <c r="B13963" s="7">
        <v>1</v>
      </c>
      <c r="C13963" s="7" t="s">
        <v>10</v>
      </c>
      <c r="D13963" s="7">
        <v>18850</v>
      </c>
      <c r="E13963" s="7" t="s">
        <v>23</v>
      </c>
      <c r="F13963" s="8" t="str">
        <f ca="1">IFERROR(__xludf.DUMMYFUNCTION("IF
(
C13964=""фізична особа""
,
VLOOKUP(D13964,IMPORTRANGE(""https://docs.google.com/spreadsheets/d/14Bd19lYaqBhU8_DElYkX7l4wRkHqqCUFNJY4AfY3kHU/edit?usp=sharing  #gid=0"",""фіз особи new!relations_name""),6,FALSE)
,
(IF
(
C13964=""юридична особа""
,
VLOO"&amp;"KUP(D13964,IMPORTRANGE(""https://docs.google.com/spreadsheets/d/14Bd19lYaqBhU8_DElYkX7l4wRkHqqCUFNJY4AfY3kHU/edit?usp=sharing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3" s="7" t="s">
        <v>10</v>
      </c>
      <c r="H13963" s="7">
        <v>18576</v>
      </c>
      <c r="I13963" s="8" t="str">
        <f ca="1">IFERROR(__xludf.DUMMYFUNCTION("IF
(
G13964=""фізична особа""
,
VLOOKUP(H13964,IMPORTRANGE(""https://docs.google.com/spreadsheets/d/14Bd19lYaqBhU8_DElYkX7l4wRkHqqCUFNJY4AfY3kHU/edit?usp=sharing  #gid=0"",""фіз особи new!relations_name""),6,FALSE)
,
(IF
(
G13964=""юридична особа""
,
VLOO"&amp;"KUP(H13964,IMPORTRANGE(""https://docs.google.com/spreadsheets/d/14Bd19lYaqBhU8_DElYkX7l4wRkHqqCUFNJY4AfY3kHU/edit?usp=sharing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963" s="7" t="s">
        <v>23</v>
      </c>
    </row>
    <row r="13964" spans="1:10" ht="13.2">
      <c r="A13964" s="7">
        <v>13963</v>
      </c>
      <c r="B13964" s="7">
        <v>1</v>
      </c>
      <c r="C13964" s="7" t="s">
        <v>10</v>
      </c>
      <c r="D13964" s="7">
        <v>18850</v>
      </c>
      <c r="E13964" s="7" t="s">
        <v>23</v>
      </c>
      <c r="F13964" s="8" t="str">
        <f ca="1">IFERROR(__xludf.DUMMYFUNCTION("IF
(
C13965=""фізична особа""
,
VLOOKUP(D13965,IMPORTRANGE(""https://docs.google.com/spreadsheets/d/14Bd19lYaqBhU8_DElYkX7l4wRkHqqCUFNJY4AfY3kHU/edit?usp=sharing  #gid=0"",""фіз особи new!relations_name""),6,FALSE)
,
(IF
(
C13965=""юридична особа""
,
VLOO"&amp;"KUP(D13965,IMPORTRANGE(""https://docs.google.com/spreadsheets/d/14Bd19lYaqBhU8_DElYkX7l4wRkHqqCUFNJY4AfY3kHU/edit?usp=sharing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4" s="7" t="s">
        <v>10</v>
      </c>
      <c r="H13964" s="7">
        <v>18577</v>
      </c>
      <c r="I13964" s="8" t="str">
        <f ca="1">IFERROR(__xludf.DUMMYFUNCTION("IF
(
G13965=""фізична особа""
,
VLOOKUP(H13965,IMPORTRANGE(""https://docs.google.com/spreadsheets/d/14Bd19lYaqBhU8_DElYkX7l4wRkHqqCUFNJY4AfY3kHU/edit?usp=sharing  #gid=0"",""фіз особи new!relations_name""),6,FALSE)
,
(IF
(
G13965=""юридична особа""
,
VLOO"&amp;"KUP(H13965,IMPORTRANGE(""https://docs.google.com/spreadsheets/d/14Bd19lYaqBhU8_DElYkX7l4wRkHqqCUFNJY4AfY3kHU/edit?usp=sharing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964" s="7" t="s">
        <v>23</v>
      </c>
    </row>
    <row r="13965" spans="1:10" ht="13.2">
      <c r="A13965" s="7">
        <v>13964</v>
      </c>
      <c r="B13965" s="7">
        <v>1</v>
      </c>
      <c r="C13965" s="7" t="s">
        <v>10</v>
      </c>
      <c r="D13965" s="7">
        <v>18850</v>
      </c>
      <c r="E13965" s="7" t="s">
        <v>23</v>
      </c>
      <c r="F13965" s="8" t="str">
        <f ca="1">IFERROR(__xludf.DUMMYFUNCTION("IF
(
C13966=""фізична особа""
,
VLOOKUP(D13966,IMPORTRANGE(""https://docs.google.com/spreadsheets/d/14Bd19lYaqBhU8_DElYkX7l4wRkHqqCUFNJY4AfY3kHU/edit?usp=sharing  #gid=0"",""фіз особи new!relations_name""),6,FALSE)
,
(IF
(
C13966=""юридична особа""
,
VLOO"&amp;"KUP(D13966,IMPORTRANGE(""https://docs.google.com/spreadsheets/d/14Bd19lYaqBhU8_DElYkX7l4wRkHqqCUFNJY4AfY3kHU/edit?usp=sharing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5" s="7" t="s">
        <v>10</v>
      </c>
      <c r="H13965" s="7">
        <v>18578</v>
      </c>
      <c r="I13965" s="8" t="str">
        <f ca="1">IFERROR(__xludf.DUMMYFUNCTION("IF
(
G13966=""фізична особа""
,
VLOOKUP(H13966,IMPORTRANGE(""https://docs.google.com/spreadsheets/d/14Bd19lYaqBhU8_DElYkX7l4wRkHqqCUFNJY4AfY3kHU/edit?usp=sharing  #gid=0"",""фіз особи new!relations_name""),6,FALSE)
,
(IF
(
G13966=""юридична особа""
,
VLOO"&amp;"KUP(H13966,IMPORTRANGE(""https://docs.google.com/spreadsheets/d/14Bd19lYaqBhU8_DElYkX7l4wRkHqqCUFNJY4AfY3kHU/edit?usp=sharing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965" s="7" t="s">
        <v>23</v>
      </c>
    </row>
    <row r="13966" spans="1:10" ht="13.2">
      <c r="A13966" s="7">
        <v>13965</v>
      </c>
      <c r="B13966" s="7">
        <v>1</v>
      </c>
      <c r="C13966" s="7" t="s">
        <v>10</v>
      </c>
      <c r="D13966" s="7">
        <v>18850</v>
      </c>
      <c r="E13966" s="7" t="s">
        <v>23</v>
      </c>
      <c r="F13966" s="8" t="str">
        <f ca="1">IFERROR(__xludf.DUMMYFUNCTION("IF
(
C13967=""фізична особа""
,
VLOOKUP(D13967,IMPORTRANGE(""https://docs.google.com/spreadsheets/d/14Bd19lYaqBhU8_DElYkX7l4wRkHqqCUFNJY4AfY3kHU/edit?usp=sharing  #gid=0"",""фіз особи new!relations_name""),6,FALSE)
,
(IF
(
C13967=""юридична особа""
,
VLOO"&amp;"KUP(D13967,IMPORTRANGE(""https://docs.google.com/spreadsheets/d/14Bd19lYaqBhU8_DElYkX7l4wRkHqqCUFNJY4AfY3kHU/edit?usp=sharing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6" s="7" t="s">
        <v>10</v>
      </c>
      <c r="H13966" s="7">
        <v>18580</v>
      </c>
      <c r="I13966" s="8" t="str">
        <f ca="1">IFERROR(__xludf.DUMMYFUNCTION("IF
(
G13967=""фізична особа""
,
VLOOKUP(H13967,IMPORTRANGE(""https://docs.google.com/spreadsheets/d/14Bd19lYaqBhU8_DElYkX7l4wRkHqqCUFNJY4AfY3kHU/edit?usp=sharing  #gid=0"",""фіз особи new!relations_name""),6,FALSE)
,
(IF
(
G13967=""юридична особа""
,
VLOO"&amp;"KUP(H13967,IMPORTRANGE(""https://docs.google.com/spreadsheets/d/14Bd19lYaqBhU8_DElYkX7l4wRkHqqCUFNJY4AfY3kHU/edit?usp=sharing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966" s="7" t="s">
        <v>23</v>
      </c>
    </row>
    <row r="13967" spans="1:10" ht="13.2">
      <c r="A13967" s="7">
        <v>13966</v>
      </c>
      <c r="B13967" s="7">
        <v>1</v>
      </c>
      <c r="C13967" s="7" t="s">
        <v>10</v>
      </c>
      <c r="D13967" s="7">
        <v>18850</v>
      </c>
      <c r="E13967" s="7" t="s">
        <v>23</v>
      </c>
      <c r="F13967" s="8" t="str">
        <f ca="1">IFERROR(__xludf.DUMMYFUNCTION("IF
(
C13968=""фізична особа""
,
VLOOKUP(D13968,IMPORTRANGE(""https://docs.google.com/spreadsheets/d/14Bd19lYaqBhU8_DElYkX7l4wRkHqqCUFNJY4AfY3kHU/edit?usp=sharing  #gid=0"",""фіз особи new!relations_name""),6,FALSE)
,
(IF
(
C13968=""юридична особа""
,
VLOO"&amp;"KUP(D13968,IMPORTRANGE(""https://docs.google.com/spreadsheets/d/14Bd19lYaqBhU8_DElYkX7l4wRkHqqCUFNJY4AfY3kHU/edit?usp=sharing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7" s="7" t="s">
        <v>10</v>
      </c>
      <c r="H13967" s="7">
        <v>18581</v>
      </c>
      <c r="I13967" s="8" t="str">
        <f ca="1">IFERROR(__xludf.DUMMYFUNCTION("IF
(
G13968=""фізична особа""
,
VLOOKUP(H13968,IMPORTRANGE(""https://docs.google.com/spreadsheets/d/14Bd19lYaqBhU8_DElYkX7l4wRkHqqCUFNJY4AfY3kHU/edit?usp=sharing  #gid=0"",""фіз особи new!relations_name""),6,FALSE)
,
(IF
(
G13968=""юридична особа""
,
VLOO"&amp;"KUP(H13968,IMPORTRANGE(""https://docs.google.com/spreadsheets/d/14Bd19lYaqBhU8_DElYkX7l4wRkHqqCUFNJY4AfY3kHU/edit?usp=sharing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967" s="7" t="s">
        <v>23</v>
      </c>
    </row>
    <row r="13968" spans="1:10" ht="13.2">
      <c r="A13968" s="7">
        <v>13967</v>
      </c>
      <c r="B13968" s="7">
        <v>1</v>
      </c>
      <c r="C13968" s="7" t="s">
        <v>10</v>
      </c>
      <c r="D13968" s="7">
        <v>18850</v>
      </c>
      <c r="E13968" s="7" t="s">
        <v>23</v>
      </c>
      <c r="F13968" s="8" t="str">
        <f ca="1">IFERROR(__xludf.DUMMYFUNCTION("IF
(
C13969=""фізична особа""
,
VLOOKUP(D13969,IMPORTRANGE(""https://docs.google.com/spreadsheets/d/14Bd19lYaqBhU8_DElYkX7l4wRkHqqCUFNJY4AfY3kHU/edit?usp=sharing  #gid=0"",""фіз особи new!relations_name""),6,FALSE)
,
(IF
(
C13969=""юридична особа""
,
VLOO"&amp;"KUP(D13969,IMPORTRANGE(""https://docs.google.com/spreadsheets/d/14Bd19lYaqBhU8_DElYkX7l4wRkHqqCUFNJY4AfY3kHU/edit?usp=sharing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8" s="7" t="s">
        <v>10</v>
      </c>
      <c r="H13968" s="7">
        <v>18582</v>
      </c>
      <c r="I13968" s="8" t="str">
        <f ca="1">IFERROR(__xludf.DUMMYFUNCTION("IF
(
G13969=""фізична особа""
,
VLOOKUP(H13969,IMPORTRANGE(""https://docs.google.com/spreadsheets/d/14Bd19lYaqBhU8_DElYkX7l4wRkHqqCUFNJY4AfY3kHU/edit?usp=sharing  #gid=0"",""фіз особи new!relations_name""),6,FALSE)
,
(IF
(
G13969=""юридична особа""
,
VLOO"&amp;"KUP(H13969,IMPORTRANGE(""https://docs.google.com/spreadsheets/d/14Bd19lYaqBhU8_DElYkX7l4wRkHqqCUFNJY4AfY3kHU/edit?usp=sharing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968" s="7" t="s">
        <v>23</v>
      </c>
    </row>
    <row r="13969" spans="1:10" ht="13.2">
      <c r="A13969" s="7">
        <v>13968</v>
      </c>
      <c r="B13969" s="7">
        <v>1</v>
      </c>
      <c r="C13969" s="7" t="s">
        <v>10</v>
      </c>
      <c r="D13969" s="7">
        <v>18850</v>
      </c>
      <c r="E13969" s="7" t="s">
        <v>23</v>
      </c>
      <c r="F13969" s="8" t="str">
        <f ca="1">IFERROR(__xludf.DUMMYFUNCTION("IF
(
C13970=""фізична особа""
,
VLOOKUP(D13970,IMPORTRANGE(""https://docs.google.com/spreadsheets/d/14Bd19lYaqBhU8_DElYkX7l4wRkHqqCUFNJY4AfY3kHU/edit?usp=sharing  #gid=0"",""фіз особи new!relations_name""),6,FALSE)
,
(IF
(
C13970=""юридична особа""
,
VLOO"&amp;"KUP(D13970,IMPORTRANGE(""https://docs.google.com/spreadsheets/d/14Bd19lYaqBhU8_DElYkX7l4wRkHqqCUFNJY4AfY3kHU/edit?usp=sharing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69" s="7" t="s">
        <v>10</v>
      </c>
      <c r="H13969" s="7">
        <v>18583</v>
      </c>
      <c r="I13969" s="8" t="str">
        <f ca="1">IFERROR(__xludf.DUMMYFUNCTION("IF
(
G13970=""фізична особа""
,
VLOOKUP(H13970,IMPORTRANGE(""https://docs.google.com/spreadsheets/d/14Bd19lYaqBhU8_DElYkX7l4wRkHqqCUFNJY4AfY3kHU/edit?usp=sharing  #gid=0"",""фіз особи new!relations_name""),6,FALSE)
,
(IF
(
G13970=""юридична особа""
,
VLOO"&amp;"KUP(H13970,IMPORTRANGE(""https://docs.google.com/spreadsheets/d/14Bd19lYaqBhU8_DElYkX7l4wRkHqqCUFNJY4AfY3kHU/edit?usp=sharing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969" s="7" t="s">
        <v>23</v>
      </c>
    </row>
    <row r="13970" spans="1:10" ht="13.2">
      <c r="A13970" s="7">
        <v>13969</v>
      </c>
      <c r="B13970" s="7">
        <v>1</v>
      </c>
      <c r="C13970" s="7" t="s">
        <v>10</v>
      </c>
      <c r="D13970" s="7">
        <v>18850</v>
      </c>
      <c r="E13970" s="7" t="s">
        <v>23</v>
      </c>
      <c r="F13970" s="8" t="str">
        <f ca="1">IFERROR(__xludf.DUMMYFUNCTION("IF
(
C13971=""фізична особа""
,
VLOOKUP(D13971,IMPORTRANGE(""https://docs.google.com/spreadsheets/d/14Bd19lYaqBhU8_DElYkX7l4wRkHqqCUFNJY4AfY3kHU/edit?usp=sharing  #gid=0"",""фіз особи new!relations_name""),6,FALSE)
,
(IF
(
C13971=""юридична особа""
,
VLOO"&amp;"KUP(D13971,IMPORTRANGE(""https://docs.google.com/spreadsheets/d/14Bd19lYaqBhU8_DElYkX7l4wRkHqqCUFNJY4AfY3kHU/edit?usp=sharing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0" s="7" t="s">
        <v>10</v>
      </c>
      <c r="H13970" s="7">
        <v>18584</v>
      </c>
      <c r="I13970" s="8" t="str">
        <f ca="1">IFERROR(__xludf.DUMMYFUNCTION("IF
(
G13971=""фізична особа""
,
VLOOKUP(H13971,IMPORTRANGE(""https://docs.google.com/spreadsheets/d/14Bd19lYaqBhU8_DElYkX7l4wRkHqqCUFNJY4AfY3kHU/edit?usp=sharing  #gid=0"",""фіз особи new!relations_name""),6,FALSE)
,
(IF
(
G13971=""юридична особа""
,
VLOO"&amp;"KUP(H13971,IMPORTRANGE(""https://docs.google.com/spreadsheets/d/14Bd19lYaqBhU8_DElYkX7l4wRkHqqCUFNJY4AfY3kHU/edit?usp=sharing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970" s="7" t="s">
        <v>23</v>
      </c>
    </row>
    <row r="13971" spans="1:10" ht="13.2">
      <c r="A13971" s="7">
        <v>13970</v>
      </c>
      <c r="B13971" s="7">
        <v>1</v>
      </c>
      <c r="C13971" s="7" t="s">
        <v>10</v>
      </c>
      <c r="D13971" s="7">
        <v>18850</v>
      </c>
      <c r="E13971" s="7" t="s">
        <v>23</v>
      </c>
      <c r="F13971" s="8" t="str">
        <f ca="1">IFERROR(__xludf.DUMMYFUNCTION("IF
(
C13972=""фізична особа""
,
VLOOKUP(D13972,IMPORTRANGE(""https://docs.google.com/spreadsheets/d/14Bd19lYaqBhU8_DElYkX7l4wRkHqqCUFNJY4AfY3kHU/edit?usp=sharing  #gid=0"",""фіз особи new!relations_name""),6,FALSE)
,
(IF
(
C13972=""юридична особа""
,
VLOO"&amp;"KUP(D13972,IMPORTRANGE(""https://docs.google.com/spreadsheets/d/14Bd19lYaqBhU8_DElYkX7l4wRkHqqCUFNJY4AfY3kHU/edit?usp=sharing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1" s="7" t="s">
        <v>10</v>
      </c>
      <c r="H13971" s="7">
        <v>18585</v>
      </c>
      <c r="I13971" s="8" t="str">
        <f ca="1">IFERROR(__xludf.DUMMYFUNCTION("IF
(
G13972=""фізична особа""
,
VLOOKUP(H13972,IMPORTRANGE(""https://docs.google.com/spreadsheets/d/14Bd19lYaqBhU8_DElYkX7l4wRkHqqCUFNJY4AfY3kHU/edit?usp=sharing  #gid=0"",""фіз особи new!relations_name""),6,FALSE)
,
(IF
(
G13972=""юридична особа""
,
VLOO"&amp;"KUP(H13972,IMPORTRANGE(""https://docs.google.com/spreadsheets/d/14Bd19lYaqBhU8_DElYkX7l4wRkHqqCUFNJY4AfY3kHU/edit?usp=sharing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971" s="7" t="s">
        <v>23</v>
      </c>
    </row>
    <row r="13972" spans="1:10" ht="13.2">
      <c r="A13972" s="7">
        <v>13971</v>
      </c>
      <c r="B13972" s="7">
        <v>1</v>
      </c>
      <c r="C13972" s="7" t="s">
        <v>10</v>
      </c>
      <c r="D13972" s="7">
        <v>18850</v>
      </c>
      <c r="E13972" s="7" t="s">
        <v>23</v>
      </c>
      <c r="F13972" s="8" t="str">
        <f ca="1">IFERROR(__xludf.DUMMYFUNCTION("IF
(
C13973=""фізична особа""
,
VLOOKUP(D13973,IMPORTRANGE(""https://docs.google.com/spreadsheets/d/14Bd19lYaqBhU8_DElYkX7l4wRkHqqCUFNJY4AfY3kHU/edit?usp=sharing  #gid=0"",""фіз особи new!relations_name""),6,FALSE)
,
(IF
(
C13973=""юридична особа""
,
VLOO"&amp;"KUP(D13973,IMPORTRANGE(""https://docs.google.com/spreadsheets/d/14Bd19lYaqBhU8_DElYkX7l4wRkHqqCUFNJY4AfY3kHU/edit?usp=sharing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2" s="7" t="s">
        <v>10</v>
      </c>
      <c r="H13972" s="7">
        <v>18579</v>
      </c>
      <c r="I13972" s="8" t="str">
        <f ca="1">IFERROR(__xludf.DUMMYFUNCTION("IF
(
G13973=""фізична особа""
,
VLOOKUP(H13973,IMPORTRANGE(""https://docs.google.com/spreadsheets/d/14Bd19lYaqBhU8_DElYkX7l4wRkHqqCUFNJY4AfY3kHU/edit?usp=sharing  #gid=0"",""фіз особи new!relations_name""),6,FALSE)
,
(IF
(
G13973=""юридична особа""
,
VLOO"&amp;"KUP(H13973,IMPORTRANGE(""https://docs.google.com/spreadsheets/d/14Bd19lYaqBhU8_DElYkX7l4wRkHqqCUFNJY4AfY3kHU/edit?usp=sharing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972" s="7" t="s">
        <v>23</v>
      </c>
    </row>
    <row r="13973" spans="1:10" ht="13.2">
      <c r="A13973" s="7">
        <v>13972</v>
      </c>
      <c r="B13973" s="7">
        <v>1</v>
      </c>
      <c r="C13973" s="7" t="s">
        <v>10</v>
      </c>
      <c r="D13973" s="7">
        <v>18850</v>
      </c>
      <c r="E13973" s="7" t="s">
        <v>23</v>
      </c>
      <c r="F13973" s="8" t="str">
        <f ca="1">IFERROR(__xludf.DUMMYFUNCTION("IF
(
C13974=""фізична особа""
,
VLOOKUP(D13974,IMPORTRANGE(""https://docs.google.com/spreadsheets/d/14Bd19lYaqBhU8_DElYkX7l4wRkHqqCUFNJY4AfY3kHU/edit?usp=sharing  #gid=0"",""фіз особи new!relations_name""),6,FALSE)
,
(IF
(
C13974=""юридична особа""
,
VLOO"&amp;"KUP(D13974,IMPORTRANGE(""https://docs.google.com/spreadsheets/d/14Bd19lYaqBhU8_DElYkX7l4wRkHqqCUFNJY4AfY3kHU/edit?usp=sharing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3" s="7" t="s">
        <v>10</v>
      </c>
      <c r="H13973" s="7">
        <v>18847</v>
      </c>
      <c r="I13973" s="8" t="str">
        <f ca="1">IFERROR(__xludf.DUMMYFUNCTION("IF
(
G13974=""фізична особа""
,
VLOOKUP(H13974,IMPORTRANGE(""https://docs.google.com/spreadsheets/d/14Bd19lYaqBhU8_DElYkX7l4wRkHqqCUFNJY4AfY3kHU/edit?usp=sharing  #gid=0"",""фіз особи new!relations_name""),6,FALSE)
,
(IF
(
G13974=""юридична особа""
,
VLOO"&amp;"KUP(H13974,IMPORTRANGE(""https://docs.google.com/spreadsheets/d/14Bd19lYaqBhU8_DElYkX7l4wRkHqqCUFNJY4AfY3kHU/edit?usp=sharing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973" s="7" t="s">
        <v>23</v>
      </c>
    </row>
    <row r="13974" spans="1:10" ht="13.2">
      <c r="A13974" s="7">
        <v>13973</v>
      </c>
      <c r="B13974" s="7">
        <v>1</v>
      </c>
      <c r="C13974" s="7" t="s">
        <v>10</v>
      </c>
      <c r="D13974" s="7">
        <v>18850</v>
      </c>
      <c r="E13974" s="7" t="s">
        <v>23</v>
      </c>
      <c r="F13974" s="8" t="str">
        <f ca="1">IFERROR(__xludf.DUMMYFUNCTION("IF
(
C13975=""фізична особа""
,
VLOOKUP(D13975,IMPORTRANGE(""https://docs.google.com/spreadsheets/d/14Bd19lYaqBhU8_DElYkX7l4wRkHqqCUFNJY4AfY3kHU/edit?usp=sharing  #gid=0"",""фіз особи new!relations_name""),6,FALSE)
,
(IF
(
C13975=""юридична особа""
,
VLOO"&amp;"KUP(D13975,IMPORTRANGE(""https://docs.google.com/spreadsheets/d/14Bd19lYaqBhU8_DElYkX7l4wRkHqqCUFNJY4AfY3kHU/edit?usp=sharing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4" s="7" t="s">
        <v>10</v>
      </c>
      <c r="H13974" s="7">
        <v>18848</v>
      </c>
      <c r="I13974" s="8" t="str">
        <f ca="1">IFERROR(__xludf.DUMMYFUNCTION("IF
(
G13975=""фізична особа""
,
VLOOKUP(H13975,IMPORTRANGE(""https://docs.google.com/spreadsheets/d/14Bd19lYaqBhU8_DElYkX7l4wRkHqqCUFNJY4AfY3kHU/edit?usp=sharing  #gid=0"",""фіз особи new!relations_name""),6,FALSE)
,
(IF
(
G13975=""юридична особа""
,
VLOO"&amp;"KUP(H13975,IMPORTRANGE(""https://docs.google.com/spreadsheets/d/14Bd19lYaqBhU8_DElYkX7l4wRkHqqCUFNJY4AfY3kHU/edit?usp=sharing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974" s="7" t="s">
        <v>23</v>
      </c>
    </row>
    <row r="13975" spans="1:10" ht="13.2">
      <c r="A13975" s="7">
        <v>13974</v>
      </c>
      <c r="B13975" s="7">
        <v>1</v>
      </c>
      <c r="C13975" s="7" t="s">
        <v>10</v>
      </c>
      <c r="D13975" s="7">
        <v>18850</v>
      </c>
      <c r="E13975" s="7" t="s">
        <v>23</v>
      </c>
      <c r="F13975" s="8" t="str">
        <f ca="1">IFERROR(__xludf.DUMMYFUNCTION("IF
(
C13976=""фізична особа""
,
VLOOKUP(D13976,IMPORTRANGE(""https://docs.google.com/spreadsheets/d/14Bd19lYaqBhU8_DElYkX7l4wRkHqqCUFNJY4AfY3kHU/edit?usp=sharing  #gid=0"",""фіз особи new!relations_name""),6,FALSE)
,
(IF
(
C13976=""юридична особа""
,
VLOO"&amp;"KUP(D13976,IMPORTRANGE(""https://docs.google.com/spreadsheets/d/14Bd19lYaqBhU8_DElYkX7l4wRkHqqCUFNJY4AfY3kHU/edit?usp=sharing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5" s="7" t="s">
        <v>10</v>
      </c>
      <c r="H13975" s="7">
        <v>18849</v>
      </c>
      <c r="I13975" s="8" t="str">
        <f ca="1">IFERROR(__xludf.DUMMYFUNCTION("IF
(
G13976=""фізична особа""
,
VLOOKUP(H13976,IMPORTRANGE(""https://docs.google.com/spreadsheets/d/14Bd19lYaqBhU8_DElYkX7l4wRkHqqCUFNJY4AfY3kHU/edit?usp=sharing  #gid=0"",""фіз особи new!relations_name""),6,FALSE)
,
(IF
(
G13976=""юридична особа""
,
VLOO"&amp;"KUP(H13976,IMPORTRANGE(""https://docs.google.com/spreadsheets/d/14Bd19lYaqBhU8_DElYkX7l4wRkHqqCUFNJY4AfY3kHU/edit?usp=sharing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975" s="7" t="s">
        <v>23</v>
      </c>
    </row>
    <row r="13976" spans="1:10" ht="13.2">
      <c r="A13976" s="7">
        <v>13975</v>
      </c>
      <c r="B13976" s="7">
        <v>1</v>
      </c>
      <c r="C13976" s="7" t="s">
        <v>10</v>
      </c>
      <c r="D13976" s="7">
        <v>18850</v>
      </c>
      <c r="E13976" s="7" t="s">
        <v>23</v>
      </c>
      <c r="F13976" s="8" t="str">
        <f ca="1">IFERROR(__xludf.DUMMYFUNCTION("IF
(
C13977=""фізична особа""
,
VLOOKUP(D13977,IMPORTRANGE(""https://docs.google.com/spreadsheets/d/14Bd19lYaqBhU8_DElYkX7l4wRkHqqCUFNJY4AfY3kHU/edit?usp=sharing  #gid=0"",""фіз особи new!relations_name""),6,FALSE)
,
(IF
(
C13977=""юридична особа""
,
VLOO"&amp;"KUP(D13977,IMPORTRANGE(""https://docs.google.com/spreadsheets/d/14Bd19lYaqBhU8_DElYkX7l4wRkHqqCUFNJY4AfY3kHU/edit?usp=sharing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6" s="7" t="s">
        <v>10</v>
      </c>
      <c r="H13976" s="7">
        <v>18851</v>
      </c>
      <c r="I13976" s="8" t="str">
        <f ca="1">IFERROR(__xludf.DUMMYFUNCTION("IF
(
G13977=""фізична особа""
,
VLOOKUP(H13977,IMPORTRANGE(""https://docs.google.com/spreadsheets/d/14Bd19lYaqBhU8_DElYkX7l4wRkHqqCUFNJY4AfY3kHU/edit?usp=sharing  #gid=0"",""фіз особи new!relations_name""),6,FALSE)
,
(IF
(
G13977=""юридична особа""
,
VLOO"&amp;"KUP(H13977,IMPORTRANGE(""https://docs.google.com/spreadsheets/d/14Bd19lYaqBhU8_DElYkX7l4wRkHqqCUFNJY4AfY3kHU/edit?usp=sharing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3976" s="7" t="s">
        <v>23</v>
      </c>
    </row>
    <row r="13977" spans="1:10" ht="13.2">
      <c r="A13977" s="7">
        <v>13976</v>
      </c>
      <c r="B13977" s="7">
        <v>1</v>
      </c>
      <c r="C13977" s="7" t="s">
        <v>10</v>
      </c>
      <c r="D13977" s="7">
        <v>18850</v>
      </c>
      <c r="E13977" s="7" t="s">
        <v>23</v>
      </c>
      <c r="F13977" s="8" t="str">
        <f ca="1">IFERROR(__xludf.DUMMYFUNCTION("IF
(
C13978=""фізична особа""
,
VLOOKUP(D13978,IMPORTRANGE(""https://docs.google.com/spreadsheets/d/14Bd19lYaqBhU8_DElYkX7l4wRkHqqCUFNJY4AfY3kHU/edit?usp=sharing  #gid=0"",""фіз особи new!relations_name""),6,FALSE)
,
(IF
(
C13978=""юридична особа""
,
VLOO"&amp;"KUP(D13978,IMPORTRANGE(""https://docs.google.com/spreadsheets/d/14Bd19lYaqBhU8_DElYkX7l4wRkHqqCUFNJY4AfY3kHU/edit?usp=sharing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7" s="7" t="s">
        <v>10</v>
      </c>
      <c r="H13977" s="7">
        <v>18852</v>
      </c>
      <c r="I13977" s="8" t="str">
        <f ca="1">IFERROR(__xludf.DUMMYFUNCTION("IF
(
G13978=""фізична особа""
,
VLOOKUP(H13978,IMPORTRANGE(""https://docs.google.com/spreadsheets/d/14Bd19lYaqBhU8_DElYkX7l4wRkHqqCUFNJY4AfY3kHU/edit?usp=sharing  #gid=0"",""фіз особи new!relations_name""),6,FALSE)
,
(IF
(
G13978=""юридична особа""
,
VLOO"&amp;"KUP(H13978,IMPORTRANGE(""https://docs.google.com/spreadsheets/d/14Bd19lYaqBhU8_DElYkX7l4wRkHqqCUFNJY4AfY3kHU/edit?usp=sharing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977" s="7" t="s">
        <v>23</v>
      </c>
    </row>
    <row r="13978" spans="1:10" ht="13.2">
      <c r="A13978" s="7">
        <v>13977</v>
      </c>
      <c r="B13978" s="7">
        <v>1</v>
      </c>
      <c r="C13978" s="7" t="s">
        <v>10</v>
      </c>
      <c r="D13978" s="7">
        <v>18850</v>
      </c>
      <c r="E13978" s="7" t="s">
        <v>23</v>
      </c>
      <c r="F13978" s="8" t="str">
        <f ca="1">IFERROR(__xludf.DUMMYFUNCTION("IF
(
C13979=""фізична особа""
,
VLOOKUP(D13979,IMPORTRANGE(""https://docs.google.com/spreadsheets/d/14Bd19lYaqBhU8_DElYkX7l4wRkHqqCUFNJY4AfY3kHU/edit?usp=sharing  #gid=0"",""фіз особи new!relations_name""),6,FALSE)
,
(IF
(
C13979=""юридична особа""
,
VLOO"&amp;"KUP(D13979,IMPORTRANGE(""https://docs.google.com/spreadsheets/d/14Bd19lYaqBhU8_DElYkX7l4wRkHqqCUFNJY4AfY3kHU/edit?usp=sharing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8" s="7" t="s">
        <v>10</v>
      </c>
      <c r="H13978" s="7">
        <v>18853</v>
      </c>
      <c r="I13978" s="8" t="str">
        <f ca="1">IFERROR(__xludf.DUMMYFUNCTION("IF
(
G13979=""фізична особа""
,
VLOOKUP(H13979,IMPORTRANGE(""https://docs.google.com/spreadsheets/d/14Bd19lYaqBhU8_DElYkX7l4wRkHqqCUFNJY4AfY3kHU/edit?usp=sharing  #gid=0"",""фіз особи new!relations_name""),6,FALSE)
,
(IF
(
G13979=""юридична особа""
,
VLOO"&amp;"KUP(H13979,IMPORTRANGE(""https://docs.google.com/spreadsheets/d/14Bd19lYaqBhU8_DElYkX7l4wRkHqqCUFNJY4AfY3kHU/edit?usp=sharing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978" s="7" t="s">
        <v>23</v>
      </c>
    </row>
    <row r="13979" spans="1:10" ht="13.2">
      <c r="A13979" s="7">
        <v>13978</v>
      </c>
      <c r="B13979" s="7">
        <v>1</v>
      </c>
      <c r="C13979" s="7" t="s">
        <v>10</v>
      </c>
      <c r="D13979" s="7">
        <v>18850</v>
      </c>
      <c r="E13979" s="7" t="s">
        <v>23</v>
      </c>
      <c r="F13979" s="8" t="str">
        <f ca="1">IFERROR(__xludf.DUMMYFUNCTION("IF
(
C13980=""фізична особа""
,
VLOOKUP(D13980,IMPORTRANGE(""https://docs.google.com/spreadsheets/d/14Bd19lYaqBhU8_DElYkX7l4wRkHqqCUFNJY4AfY3kHU/edit?usp=sharing  #gid=0"",""фіз особи new!relations_name""),6,FALSE)
,
(IF
(
C13980=""юридична особа""
,
VLOO"&amp;"KUP(D13980,IMPORTRANGE(""https://docs.google.com/spreadsheets/d/14Bd19lYaqBhU8_DElYkX7l4wRkHqqCUFNJY4AfY3kHU/edit?usp=sharing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79" s="7" t="s">
        <v>10</v>
      </c>
      <c r="H13979" s="7">
        <v>18854</v>
      </c>
      <c r="I13979" s="8" t="str">
        <f ca="1">IFERROR(__xludf.DUMMYFUNCTION("IF
(
G13980=""фізична особа""
,
VLOOKUP(H13980,IMPORTRANGE(""https://docs.google.com/spreadsheets/d/14Bd19lYaqBhU8_DElYkX7l4wRkHqqCUFNJY4AfY3kHU/edit?usp=sharing  #gid=0"",""фіз особи new!relations_name""),6,FALSE)
,
(IF
(
G13980=""юридична особа""
,
VLOO"&amp;"KUP(H13980,IMPORTRANGE(""https://docs.google.com/spreadsheets/d/14Bd19lYaqBhU8_DElYkX7l4wRkHqqCUFNJY4AfY3kHU/edit?usp=sharing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979" s="7" t="s">
        <v>23</v>
      </c>
    </row>
    <row r="13980" spans="1:10" ht="13.2">
      <c r="A13980" s="7">
        <v>13979</v>
      </c>
      <c r="B13980" s="7">
        <v>1</v>
      </c>
      <c r="C13980" s="7" t="s">
        <v>10</v>
      </c>
      <c r="D13980" s="7">
        <v>18850</v>
      </c>
      <c r="E13980" s="7" t="s">
        <v>23</v>
      </c>
      <c r="F13980" s="8" t="str">
        <f ca="1">IFERROR(__xludf.DUMMYFUNCTION("IF
(
C13981=""фізична особа""
,
VLOOKUP(D13981,IMPORTRANGE(""https://docs.google.com/spreadsheets/d/14Bd19lYaqBhU8_DElYkX7l4wRkHqqCUFNJY4AfY3kHU/edit?usp=sharing  #gid=0"",""фіз особи new!relations_name""),6,FALSE)
,
(IF
(
C13981=""юридична особа""
,
VLOO"&amp;"KUP(D13981,IMPORTRANGE(""https://docs.google.com/spreadsheets/d/14Bd19lYaqBhU8_DElYkX7l4wRkHqqCUFNJY4AfY3kHU/edit?usp=sharing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80" s="7" t="s">
        <v>10</v>
      </c>
      <c r="H13980" s="7">
        <v>18855</v>
      </c>
      <c r="I13980" s="8" t="str">
        <f ca="1">IFERROR(__xludf.DUMMYFUNCTION("IF
(
G13981=""фізична особа""
,
VLOOKUP(H13981,IMPORTRANGE(""https://docs.google.com/spreadsheets/d/14Bd19lYaqBhU8_DElYkX7l4wRkHqqCUFNJY4AfY3kHU/edit?usp=sharing  #gid=0"",""фіз особи new!relations_name""),6,FALSE)
,
(IF
(
G13981=""юридична особа""
,
VLOO"&amp;"KUP(H13981,IMPORTRANGE(""https://docs.google.com/spreadsheets/d/14Bd19lYaqBhU8_DElYkX7l4wRkHqqCUFNJY4AfY3kHU/edit?usp=sharing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980" s="7" t="s">
        <v>23</v>
      </c>
    </row>
    <row r="13981" spans="1:10" ht="13.2">
      <c r="A13981" s="7">
        <v>13980</v>
      </c>
      <c r="B13981" s="7">
        <v>1</v>
      </c>
      <c r="C13981" s="7" t="s">
        <v>10</v>
      </c>
      <c r="D13981" s="7">
        <v>18850</v>
      </c>
      <c r="E13981" s="7" t="s">
        <v>23</v>
      </c>
      <c r="F13981" s="8" t="str">
        <f ca="1">IFERROR(__xludf.DUMMYFUNCTION("IF
(
C13982=""фізична особа""
,
VLOOKUP(D13982,IMPORTRANGE(""https://docs.google.com/spreadsheets/d/14Bd19lYaqBhU8_DElYkX7l4wRkHqqCUFNJY4AfY3kHU/edit?usp=sharing  #gid=0"",""фіз особи new!relations_name""),6,FALSE)
,
(IF
(
C13982=""юридична особа""
,
VLOO"&amp;"KUP(D13982,IMPORTRANGE(""https://docs.google.com/spreadsheets/d/14Bd19lYaqBhU8_DElYkX7l4wRkHqqCUFNJY4AfY3kHU/edit?usp=sharing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G13981" s="7" t="s">
        <v>10</v>
      </c>
      <c r="H13981" s="7">
        <v>18856</v>
      </c>
      <c r="I13981" s="8" t="str">
        <f ca="1">IFERROR(__xludf.DUMMYFUNCTION("IF
(
G13982=""фізична особа""
,
VLOOKUP(H13982,IMPORTRANGE(""https://docs.google.com/spreadsheets/d/14Bd19lYaqBhU8_DElYkX7l4wRkHqqCUFNJY4AfY3kHU/edit?usp=sharing  #gid=0"",""фіз особи new!relations_name""),6,FALSE)
,
(IF
(
G13982=""юридична особа""
,
VLOO"&amp;"KUP(H13982,IMPORTRANGE(""https://docs.google.com/spreadsheets/d/14Bd19lYaqBhU8_DElYkX7l4wRkHqqCUFNJY4AfY3kHU/edit?usp=sharing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3981" s="7" t="s">
        <v>23</v>
      </c>
    </row>
    <row r="13982" spans="1:10" ht="13.2">
      <c r="A13982" s="7">
        <v>13981</v>
      </c>
      <c r="B13982" s="7">
        <v>1</v>
      </c>
      <c r="C13982" s="7" t="s">
        <v>10</v>
      </c>
      <c r="D13982" s="7">
        <v>18851</v>
      </c>
      <c r="E13982" s="7" t="s">
        <v>23</v>
      </c>
      <c r="F13982" s="8" t="str">
        <f ca="1">IFERROR(__xludf.DUMMYFUNCTION("IF
(
C13983=""фізична особа""
,
VLOOKUP(D13983,IMPORTRANGE(""https://docs.google.com/spreadsheets/d/14Bd19lYaqBhU8_DElYkX7l4wRkHqqCUFNJY4AfY3kHU/edit?usp=sharing  #gid=0"",""фіз особи new!relations_name""),6,FALSE)
,
(IF
(
C13983=""юридична особа""
,
VLOO"&amp;"KUP(D13983,IMPORTRANGE(""https://docs.google.com/spreadsheets/d/14Bd19lYaqBhU8_DElYkX7l4wRkHqqCUFNJY4AfY3kHU/edit?usp=sharing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2" s="7" t="s">
        <v>10</v>
      </c>
      <c r="H13982" s="7">
        <v>18576</v>
      </c>
      <c r="I13982" s="8" t="str">
        <f ca="1">IFERROR(__xludf.DUMMYFUNCTION("IF
(
G13983=""фізична особа""
,
VLOOKUP(H13983,IMPORTRANGE(""https://docs.google.com/spreadsheets/d/14Bd19lYaqBhU8_DElYkX7l4wRkHqqCUFNJY4AfY3kHU/edit?usp=sharing  #gid=0"",""фіз особи new!relations_name""),6,FALSE)
,
(IF
(
G13983=""юридична особа""
,
VLOO"&amp;"KUP(H13983,IMPORTRANGE(""https://docs.google.com/spreadsheets/d/14Bd19lYaqBhU8_DElYkX7l4wRkHqqCUFNJY4AfY3kHU/edit?usp=sharing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3982" s="7" t="s">
        <v>23</v>
      </c>
    </row>
    <row r="13983" spans="1:10" ht="13.2">
      <c r="A13983" s="7">
        <v>13982</v>
      </c>
      <c r="B13983" s="7">
        <v>1</v>
      </c>
      <c r="C13983" s="7" t="s">
        <v>10</v>
      </c>
      <c r="D13983" s="7">
        <v>18851</v>
      </c>
      <c r="E13983" s="7" t="s">
        <v>23</v>
      </c>
      <c r="F13983" s="8" t="str">
        <f ca="1">IFERROR(__xludf.DUMMYFUNCTION("IF
(
C13984=""фізична особа""
,
VLOOKUP(D13984,IMPORTRANGE(""https://docs.google.com/spreadsheets/d/14Bd19lYaqBhU8_DElYkX7l4wRkHqqCUFNJY4AfY3kHU/edit?usp=sharing  #gid=0"",""фіз особи new!relations_name""),6,FALSE)
,
(IF
(
C13984=""юридична особа""
,
VLOO"&amp;"KUP(D13984,IMPORTRANGE(""https://docs.google.com/spreadsheets/d/14Bd19lYaqBhU8_DElYkX7l4wRkHqqCUFNJY4AfY3kHU/edit?usp=sharing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3" s="7" t="s">
        <v>10</v>
      </c>
      <c r="H13983" s="7">
        <v>18577</v>
      </c>
      <c r="I13983" s="8" t="str">
        <f ca="1">IFERROR(__xludf.DUMMYFUNCTION("IF
(
G13984=""фізична особа""
,
VLOOKUP(H13984,IMPORTRANGE(""https://docs.google.com/spreadsheets/d/14Bd19lYaqBhU8_DElYkX7l4wRkHqqCUFNJY4AfY3kHU/edit?usp=sharing  #gid=0"",""фіз особи new!relations_name""),6,FALSE)
,
(IF
(
G13984=""юридична особа""
,
VLOO"&amp;"KUP(H13984,IMPORTRANGE(""https://docs.google.com/spreadsheets/d/14Bd19lYaqBhU8_DElYkX7l4wRkHqqCUFNJY4AfY3kHU/edit?usp=sharing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3983" s="7" t="s">
        <v>23</v>
      </c>
    </row>
    <row r="13984" spans="1:10" ht="13.2">
      <c r="A13984" s="7">
        <v>13983</v>
      </c>
      <c r="B13984" s="7">
        <v>1</v>
      </c>
      <c r="C13984" s="7" t="s">
        <v>10</v>
      </c>
      <c r="D13984" s="7">
        <v>18851</v>
      </c>
      <c r="E13984" s="7" t="s">
        <v>23</v>
      </c>
      <c r="F13984" s="8" t="str">
        <f ca="1">IFERROR(__xludf.DUMMYFUNCTION("IF
(
C13985=""фізична особа""
,
VLOOKUP(D13985,IMPORTRANGE(""https://docs.google.com/spreadsheets/d/14Bd19lYaqBhU8_DElYkX7l4wRkHqqCUFNJY4AfY3kHU/edit?usp=sharing  #gid=0"",""фіз особи new!relations_name""),6,FALSE)
,
(IF
(
C13985=""юридична особа""
,
VLOO"&amp;"KUP(D13985,IMPORTRANGE(""https://docs.google.com/spreadsheets/d/14Bd19lYaqBhU8_DElYkX7l4wRkHqqCUFNJY4AfY3kHU/edit?usp=sharing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4" s="7" t="s">
        <v>10</v>
      </c>
      <c r="H13984" s="7">
        <v>18578</v>
      </c>
      <c r="I13984" s="8" t="str">
        <f ca="1">IFERROR(__xludf.DUMMYFUNCTION("IF
(
G13985=""фізична особа""
,
VLOOKUP(H13985,IMPORTRANGE(""https://docs.google.com/spreadsheets/d/14Bd19lYaqBhU8_DElYkX7l4wRkHqqCUFNJY4AfY3kHU/edit?usp=sharing  #gid=0"",""фіз особи new!relations_name""),6,FALSE)
,
(IF
(
G13985=""юридична особа""
,
VLOO"&amp;"KUP(H13985,IMPORTRANGE(""https://docs.google.com/spreadsheets/d/14Bd19lYaqBhU8_DElYkX7l4wRkHqqCUFNJY4AfY3kHU/edit?usp=sharing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3984" s="7" t="s">
        <v>23</v>
      </c>
    </row>
    <row r="13985" spans="1:10" ht="13.2">
      <c r="A13985" s="7">
        <v>13984</v>
      </c>
      <c r="B13985" s="7">
        <v>1</v>
      </c>
      <c r="C13985" s="7" t="s">
        <v>10</v>
      </c>
      <c r="D13985" s="7">
        <v>18851</v>
      </c>
      <c r="E13985" s="7" t="s">
        <v>23</v>
      </c>
      <c r="F13985" s="8" t="str">
        <f ca="1">IFERROR(__xludf.DUMMYFUNCTION("IF
(
C13986=""фізична особа""
,
VLOOKUP(D13986,IMPORTRANGE(""https://docs.google.com/spreadsheets/d/14Bd19lYaqBhU8_DElYkX7l4wRkHqqCUFNJY4AfY3kHU/edit?usp=sharing  #gid=0"",""фіз особи new!relations_name""),6,FALSE)
,
(IF
(
C13986=""юридична особа""
,
VLOO"&amp;"KUP(D13986,IMPORTRANGE(""https://docs.google.com/spreadsheets/d/14Bd19lYaqBhU8_DElYkX7l4wRkHqqCUFNJY4AfY3kHU/edit?usp=sharing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5" s="7" t="s">
        <v>10</v>
      </c>
      <c r="H13985" s="7">
        <v>18580</v>
      </c>
      <c r="I13985" s="8" t="str">
        <f ca="1">IFERROR(__xludf.DUMMYFUNCTION("IF
(
G13986=""фізична особа""
,
VLOOKUP(H13986,IMPORTRANGE(""https://docs.google.com/spreadsheets/d/14Bd19lYaqBhU8_DElYkX7l4wRkHqqCUFNJY4AfY3kHU/edit?usp=sharing  #gid=0"",""фіз особи new!relations_name""),6,FALSE)
,
(IF
(
G13986=""юридична особа""
,
VLOO"&amp;"KUP(H13986,IMPORTRANGE(""https://docs.google.com/spreadsheets/d/14Bd19lYaqBhU8_DElYkX7l4wRkHqqCUFNJY4AfY3kHU/edit?usp=sharing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3985" s="7" t="s">
        <v>23</v>
      </c>
    </row>
    <row r="13986" spans="1:10" ht="13.2">
      <c r="A13986" s="7">
        <v>13985</v>
      </c>
      <c r="B13986" s="7">
        <v>1</v>
      </c>
      <c r="C13986" s="7" t="s">
        <v>10</v>
      </c>
      <c r="D13986" s="7">
        <v>18851</v>
      </c>
      <c r="E13986" s="7" t="s">
        <v>23</v>
      </c>
      <c r="F13986" s="8" t="str">
        <f ca="1">IFERROR(__xludf.DUMMYFUNCTION("IF
(
C13987=""фізична особа""
,
VLOOKUP(D13987,IMPORTRANGE(""https://docs.google.com/spreadsheets/d/14Bd19lYaqBhU8_DElYkX7l4wRkHqqCUFNJY4AfY3kHU/edit?usp=sharing  #gid=0"",""фіз особи new!relations_name""),6,FALSE)
,
(IF
(
C13987=""юридична особа""
,
VLOO"&amp;"KUP(D13987,IMPORTRANGE(""https://docs.google.com/spreadsheets/d/14Bd19lYaqBhU8_DElYkX7l4wRkHqqCUFNJY4AfY3kHU/edit?usp=sharing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6" s="7" t="s">
        <v>10</v>
      </c>
      <c r="H13986" s="7">
        <v>18581</v>
      </c>
      <c r="I13986" s="8" t="str">
        <f ca="1">IFERROR(__xludf.DUMMYFUNCTION("IF
(
G13987=""фізична особа""
,
VLOOKUP(H13987,IMPORTRANGE(""https://docs.google.com/spreadsheets/d/14Bd19lYaqBhU8_DElYkX7l4wRkHqqCUFNJY4AfY3kHU/edit?usp=sharing  #gid=0"",""фіз особи new!relations_name""),6,FALSE)
,
(IF
(
G13987=""юридична особа""
,
VLOO"&amp;"KUP(H13987,IMPORTRANGE(""https://docs.google.com/spreadsheets/d/14Bd19lYaqBhU8_DElYkX7l4wRkHqqCUFNJY4AfY3kHU/edit?usp=sharing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3986" s="7" t="s">
        <v>23</v>
      </c>
    </row>
    <row r="13987" spans="1:10" ht="13.2">
      <c r="A13987" s="7">
        <v>13986</v>
      </c>
      <c r="B13987" s="7">
        <v>1</v>
      </c>
      <c r="C13987" s="7" t="s">
        <v>10</v>
      </c>
      <c r="D13987" s="7">
        <v>18851</v>
      </c>
      <c r="E13987" s="7" t="s">
        <v>23</v>
      </c>
      <c r="F13987" s="8" t="str">
        <f ca="1">IFERROR(__xludf.DUMMYFUNCTION("IF
(
C13988=""фізична особа""
,
VLOOKUP(D13988,IMPORTRANGE(""https://docs.google.com/spreadsheets/d/14Bd19lYaqBhU8_DElYkX7l4wRkHqqCUFNJY4AfY3kHU/edit?usp=sharing  #gid=0"",""фіз особи new!relations_name""),6,FALSE)
,
(IF
(
C13988=""юридична особа""
,
VLOO"&amp;"KUP(D13988,IMPORTRANGE(""https://docs.google.com/spreadsheets/d/14Bd19lYaqBhU8_DElYkX7l4wRkHqqCUFNJY4AfY3kHU/edit?usp=sharing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7" s="7" t="s">
        <v>10</v>
      </c>
      <c r="H13987" s="7">
        <v>18582</v>
      </c>
      <c r="I13987" s="8" t="str">
        <f ca="1">IFERROR(__xludf.DUMMYFUNCTION("IF
(
G13988=""фізична особа""
,
VLOOKUP(H13988,IMPORTRANGE(""https://docs.google.com/spreadsheets/d/14Bd19lYaqBhU8_DElYkX7l4wRkHqqCUFNJY4AfY3kHU/edit?usp=sharing  #gid=0"",""фіз особи new!relations_name""),6,FALSE)
,
(IF
(
G13988=""юридична особа""
,
VLOO"&amp;"KUP(H13988,IMPORTRANGE(""https://docs.google.com/spreadsheets/d/14Bd19lYaqBhU8_DElYkX7l4wRkHqqCUFNJY4AfY3kHU/edit?usp=sharing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3987" s="7" t="s">
        <v>23</v>
      </c>
    </row>
    <row r="13988" spans="1:10" ht="13.2">
      <c r="A13988" s="7">
        <v>13987</v>
      </c>
      <c r="B13988" s="7">
        <v>1</v>
      </c>
      <c r="C13988" s="7" t="s">
        <v>10</v>
      </c>
      <c r="D13988" s="7">
        <v>18851</v>
      </c>
      <c r="E13988" s="7" t="s">
        <v>23</v>
      </c>
      <c r="F13988" s="8" t="str">
        <f ca="1">IFERROR(__xludf.DUMMYFUNCTION("IF
(
C13989=""фізична особа""
,
VLOOKUP(D13989,IMPORTRANGE(""https://docs.google.com/spreadsheets/d/14Bd19lYaqBhU8_DElYkX7l4wRkHqqCUFNJY4AfY3kHU/edit?usp=sharing  #gid=0"",""фіз особи new!relations_name""),6,FALSE)
,
(IF
(
C13989=""юридична особа""
,
VLOO"&amp;"KUP(D13989,IMPORTRANGE(""https://docs.google.com/spreadsheets/d/14Bd19lYaqBhU8_DElYkX7l4wRkHqqCUFNJY4AfY3kHU/edit?usp=sharing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8" s="7" t="s">
        <v>10</v>
      </c>
      <c r="H13988" s="7">
        <v>18583</v>
      </c>
      <c r="I13988" s="8" t="str">
        <f ca="1">IFERROR(__xludf.DUMMYFUNCTION("IF
(
G13989=""фізична особа""
,
VLOOKUP(H13989,IMPORTRANGE(""https://docs.google.com/spreadsheets/d/14Bd19lYaqBhU8_DElYkX7l4wRkHqqCUFNJY4AfY3kHU/edit?usp=sharing  #gid=0"",""фіз особи new!relations_name""),6,FALSE)
,
(IF
(
G13989=""юридична особа""
,
VLOO"&amp;"KUP(H13989,IMPORTRANGE(""https://docs.google.com/spreadsheets/d/14Bd19lYaqBhU8_DElYkX7l4wRkHqqCUFNJY4AfY3kHU/edit?usp=sharing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3988" s="7" t="s">
        <v>23</v>
      </c>
    </row>
    <row r="13989" spans="1:10" ht="13.2">
      <c r="A13989" s="7">
        <v>13988</v>
      </c>
      <c r="B13989" s="7">
        <v>1</v>
      </c>
      <c r="C13989" s="7" t="s">
        <v>10</v>
      </c>
      <c r="D13989" s="7">
        <v>18851</v>
      </c>
      <c r="E13989" s="7" t="s">
        <v>23</v>
      </c>
      <c r="F13989" s="8" t="str">
        <f ca="1">IFERROR(__xludf.DUMMYFUNCTION("IF
(
C13990=""фізична особа""
,
VLOOKUP(D13990,IMPORTRANGE(""https://docs.google.com/spreadsheets/d/14Bd19lYaqBhU8_DElYkX7l4wRkHqqCUFNJY4AfY3kHU/edit?usp=sharing  #gid=0"",""фіз особи new!relations_name""),6,FALSE)
,
(IF
(
C13990=""юридична особа""
,
VLOO"&amp;"KUP(D13990,IMPORTRANGE(""https://docs.google.com/spreadsheets/d/14Bd19lYaqBhU8_DElYkX7l4wRkHqqCUFNJY4AfY3kHU/edit?usp=sharing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89" s="7" t="s">
        <v>10</v>
      </c>
      <c r="H13989" s="7">
        <v>18584</v>
      </c>
      <c r="I13989" s="8" t="str">
        <f ca="1">IFERROR(__xludf.DUMMYFUNCTION("IF
(
G13990=""фізична особа""
,
VLOOKUP(H13990,IMPORTRANGE(""https://docs.google.com/spreadsheets/d/14Bd19lYaqBhU8_DElYkX7l4wRkHqqCUFNJY4AfY3kHU/edit?usp=sharing  #gid=0"",""фіз особи new!relations_name""),6,FALSE)
,
(IF
(
G13990=""юридична особа""
,
VLOO"&amp;"KUP(H13990,IMPORTRANGE(""https://docs.google.com/spreadsheets/d/14Bd19lYaqBhU8_DElYkX7l4wRkHqqCUFNJY4AfY3kHU/edit?usp=sharing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3989" s="7" t="s">
        <v>23</v>
      </c>
    </row>
    <row r="13990" spans="1:10" ht="13.2">
      <c r="A13990" s="7">
        <v>13989</v>
      </c>
      <c r="B13990" s="7">
        <v>1</v>
      </c>
      <c r="C13990" s="7" t="s">
        <v>10</v>
      </c>
      <c r="D13990" s="7">
        <v>18851</v>
      </c>
      <c r="E13990" s="7" t="s">
        <v>23</v>
      </c>
      <c r="F13990" s="8" t="str">
        <f ca="1">IFERROR(__xludf.DUMMYFUNCTION("IF
(
C13991=""фізична особа""
,
VLOOKUP(D13991,IMPORTRANGE(""https://docs.google.com/spreadsheets/d/14Bd19lYaqBhU8_DElYkX7l4wRkHqqCUFNJY4AfY3kHU/edit?usp=sharing  #gid=0"",""фіз особи new!relations_name""),6,FALSE)
,
(IF
(
C13991=""юридична особа""
,
VLOO"&amp;"KUP(D13991,IMPORTRANGE(""https://docs.google.com/spreadsheets/d/14Bd19lYaqBhU8_DElYkX7l4wRkHqqCUFNJY4AfY3kHU/edit?usp=sharing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0" s="7" t="s">
        <v>10</v>
      </c>
      <c r="H13990" s="7">
        <v>18585</v>
      </c>
      <c r="I13990" s="8" t="str">
        <f ca="1">IFERROR(__xludf.DUMMYFUNCTION("IF
(
G13991=""фізична особа""
,
VLOOKUP(H13991,IMPORTRANGE(""https://docs.google.com/spreadsheets/d/14Bd19lYaqBhU8_DElYkX7l4wRkHqqCUFNJY4AfY3kHU/edit?usp=sharing  #gid=0"",""фіз особи new!relations_name""),6,FALSE)
,
(IF
(
G13991=""юридична особа""
,
VLOO"&amp;"KUP(H13991,IMPORTRANGE(""https://docs.google.com/spreadsheets/d/14Bd19lYaqBhU8_DElYkX7l4wRkHqqCUFNJY4AfY3kHU/edit?usp=sharing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3990" s="7" t="s">
        <v>23</v>
      </c>
    </row>
    <row r="13991" spans="1:10" ht="13.2">
      <c r="A13991" s="7">
        <v>13990</v>
      </c>
      <c r="B13991" s="7">
        <v>1</v>
      </c>
      <c r="C13991" s="7" t="s">
        <v>10</v>
      </c>
      <c r="D13991" s="7">
        <v>18851</v>
      </c>
      <c r="E13991" s="7" t="s">
        <v>23</v>
      </c>
      <c r="F13991" s="8" t="str">
        <f ca="1">IFERROR(__xludf.DUMMYFUNCTION("IF
(
C13992=""фізична особа""
,
VLOOKUP(D13992,IMPORTRANGE(""https://docs.google.com/spreadsheets/d/14Bd19lYaqBhU8_DElYkX7l4wRkHqqCUFNJY4AfY3kHU/edit?usp=sharing  #gid=0"",""фіз особи new!relations_name""),6,FALSE)
,
(IF
(
C13992=""юридична особа""
,
VLOO"&amp;"KUP(D13992,IMPORTRANGE(""https://docs.google.com/spreadsheets/d/14Bd19lYaqBhU8_DElYkX7l4wRkHqqCUFNJY4AfY3kHU/edit?usp=sharing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1" s="7" t="s">
        <v>10</v>
      </c>
      <c r="H13991" s="7">
        <v>18579</v>
      </c>
      <c r="I13991" s="8" t="str">
        <f ca="1">IFERROR(__xludf.DUMMYFUNCTION("IF
(
G13992=""фізична особа""
,
VLOOKUP(H13992,IMPORTRANGE(""https://docs.google.com/spreadsheets/d/14Bd19lYaqBhU8_DElYkX7l4wRkHqqCUFNJY4AfY3kHU/edit?usp=sharing  #gid=0"",""фіз особи new!relations_name""),6,FALSE)
,
(IF
(
G13992=""юридична особа""
,
VLOO"&amp;"KUP(H13992,IMPORTRANGE(""https://docs.google.com/spreadsheets/d/14Bd19lYaqBhU8_DElYkX7l4wRkHqqCUFNJY4AfY3kHU/edit?usp=sharing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3991" s="7" t="s">
        <v>23</v>
      </c>
    </row>
    <row r="13992" spans="1:10" ht="13.2">
      <c r="A13992" s="7">
        <v>13991</v>
      </c>
      <c r="B13992" s="7">
        <v>1</v>
      </c>
      <c r="C13992" s="7" t="s">
        <v>10</v>
      </c>
      <c r="D13992" s="7">
        <v>18851</v>
      </c>
      <c r="E13992" s="7" t="s">
        <v>23</v>
      </c>
      <c r="F13992" s="8" t="str">
        <f ca="1">IFERROR(__xludf.DUMMYFUNCTION("IF
(
C13993=""фізична особа""
,
VLOOKUP(D13993,IMPORTRANGE(""https://docs.google.com/spreadsheets/d/14Bd19lYaqBhU8_DElYkX7l4wRkHqqCUFNJY4AfY3kHU/edit?usp=sharing  #gid=0"",""фіз особи new!relations_name""),6,FALSE)
,
(IF
(
C13993=""юридична особа""
,
VLOO"&amp;"KUP(D13993,IMPORTRANGE(""https://docs.google.com/spreadsheets/d/14Bd19lYaqBhU8_DElYkX7l4wRkHqqCUFNJY4AfY3kHU/edit?usp=sharing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2" s="7" t="s">
        <v>10</v>
      </c>
      <c r="H13992" s="7">
        <v>18847</v>
      </c>
      <c r="I13992" s="8" t="str">
        <f ca="1">IFERROR(__xludf.DUMMYFUNCTION("IF
(
G13993=""фізична особа""
,
VLOOKUP(H13993,IMPORTRANGE(""https://docs.google.com/spreadsheets/d/14Bd19lYaqBhU8_DElYkX7l4wRkHqqCUFNJY4AfY3kHU/edit?usp=sharing  #gid=0"",""фіз особи new!relations_name""),6,FALSE)
,
(IF
(
G13993=""юридична особа""
,
VLOO"&amp;"KUP(H13993,IMPORTRANGE(""https://docs.google.com/spreadsheets/d/14Bd19lYaqBhU8_DElYkX7l4wRkHqqCUFNJY4AfY3kHU/edit?usp=sharing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3992" s="7" t="s">
        <v>23</v>
      </c>
    </row>
    <row r="13993" spans="1:10" ht="13.2">
      <c r="A13993" s="7">
        <v>13992</v>
      </c>
      <c r="B13993" s="7">
        <v>1</v>
      </c>
      <c r="C13993" s="7" t="s">
        <v>10</v>
      </c>
      <c r="D13993" s="7">
        <v>18851</v>
      </c>
      <c r="E13993" s="7" t="s">
        <v>23</v>
      </c>
      <c r="F13993" s="8" t="str">
        <f ca="1">IFERROR(__xludf.DUMMYFUNCTION("IF
(
C13994=""фізична особа""
,
VLOOKUP(D13994,IMPORTRANGE(""https://docs.google.com/spreadsheets/d/14Bd19lYaqBhU8_DElYkX7l4wRkHqqCUFNJY4AfY3kHU/edit?usp=sharing  #gid=0"",""фіз особи new!relations_name""),6,FALSE)
,
(IF
(
C13994=""юридична особа""
,
VLOO"&amp;"KUP(D13994,IMPORTRANGE(""https://docs.google.com/spreadsheets/d/14Bd19lYaqBhU8_DElYkX7l4wRkHqqCUFNJY4AfY3kHU/edit?usp=sharing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3" s="7" t="s">
        <v>10</v>
      </c>
      <c r="H13993" s="7">
        <v>18848</v>
      </c>
      <c r="I13993" s="8" t="str">
        <f ca="1">IFERROR(__xludf.DUMMYFUNCTION("IF
(
G13994=""фізична особа""
,
VLOOKUP(H13994,IMPORTRANGE(""https://docs.google.com/spreadsheets/d/14Bd19lYaqBhU8_DElYkX7l4wRkHqqCUFNJY4AfY3kHU/edit?usp=sharing  #gid=0"",""фіз особи new!relations_name""),6,FALSE)
,
(IF
(
G13994=""юридична особа""
,
VLOO"&amp;"KUP(H13994,IMPORTRANGE(""https://docs.google.com/spreadsheets/d/14Bd19lYaqBhU8_DElYkX7l4wRkHqqCUFNJY4AfY3kHU/edit?usp=sharing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3993" s="7" t="s">
        <v>23</v>
      </c>
    </row>
    <row r="13994" spans="1:10" ht="13.2">
      <c r="A13994" s="7">
        <v>13993</v>
      </c>
      <c r="B13994" s="7">
        <v>1</v>
      </c>
      <c r="C13994" s="7" t="s">
        <v>10</v>
      </c>
      <c r="D13994" s="7">
        <v>18851</v>
      </c>
      <c r="E13994" s="7" t="s">
        <v>23</v>
      </c>
      <c r="F13994" s="8" t="str">
        <f ca="1">IFERROR(__xludf.DUMMYFUNCTION("IF
(
C13995=""фізична особа""
,
VLOOKUP(D13995,IMPORTRANGE(""https://docs.google.com/spreadsheets/d/14Bd19lYaqBhU8_DElYkX7l4wRkHqqCUFNJY4AfY3kHU/edit?usp=sharing  #gid=0"",""фіз особи new!relations_name""),6,FALSE)
,
(IF
(
C13995=""юридична особа""
,
VLOO"&amp;"KUP(D13995,IMPORTRANGE(""https://docs.google.com/spreadsheets/d/14Bd19lYaqBhU8_DElYkX7l4wRkHqqCUFNJY4AfY3kHU/edit?usp=sharing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4" s="7" t="s">
        <v>10</v>
      </c>
      <c r="H13994" s="7">
        <v>18849</v>
      </c>
      <c r="I13994" s="8" t="str">
        <f ca="1">IFERROR(__xludf.DUMMYFUNCTION("IF
(
G13995=""фізична особа""
,
VLOOKUP(H13995,IMPORTRANGE(""https://docs.google.com/spreadsheets/d/14Bd19lYaqBhU8_DElYkX7l4wRkHqqCUFNJY4AfY3kHU/edit?usp=sharing  #gid=0"",""фіз особи new!relations_name""),6,FALSE)
,
(IF
(
G13995=""юридична особа""
,
VLOO"&amp;"KUP(H13995,IMPORTRANGE(""https://docs.google.com/spreadsheets/d/14Bd19lYaqBhU8_DElYkX7l4wRkHqqCUFNJY4AfY3kHU/edit?usp=sharing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3994" s="7" t="s">
        <v>23</v>
      </c>
    </row>
    <row r="13995" spans="1:10" ht="13.2">
      <c r="A13995" s="7">
        <v>13994</v>
      </c>
      <c r="B13995" s="7">
        <v>1</v>
      </c>
      <c r="C13995" s="7" t="s">
        <v>10</v>
      </c>
      <c r="D13995" s="7">
        <v>18851</v>
      </c>
      <c r="E13995" s="7" t="s">
        <v>23</v>
      </c>
      <c r="F13995" s="8" t="str">
        <f ca="1">IFERROR(__xludf.DUMMYFUNCTION("IF
(
C13996=""фізична особа""
,
VLOOKUP(D13996,IMPORTRANGE(""https://docs.google.com/spreadsheets/d/14Bd19lYaqBhU8_DElYkX7l4wRkHqqCUFNJY4AfY3kHU/edit?usp=sharing  #gid=0"",""фіз особи new!relations_name""),6,FALSE)
,
(IF
(
C13996=""юридична особа""
,
VLOO"&amp;"KUP(D13996,IMPORTRANGE(""https://docs.google.com/spreadsheets/d/14Bd19lYaqBhU8_DElYkX7l4wRkHqqCUFNJY4AfY3kHU/edit?usp=sharing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5" s="7" t="s">
        <v>10</v>
      </c>
      <c r="H13995" s="7">
        <v>18850</v>
      </c>
      <c r="I13995" s="8" t="str">
        <f ca="1">IFERROR(__xludf.DUMMYFUNCTION("IF
(
G13996=""фізична особа""
,
VLOOKUP(H13996,IMPORTRANGE(""https://docs.google.com/spreadsheets/d/14Bd19lYaqBhU8_DElYkX7l4wRkHqqCUFNJY4AfY3kHU/edit?usp=sharing  #gid=0"",""фіз особи new!relations_name""),6,FALSE)
,
(IF
(
G13996=""юридична особа""
,
VLOO"&amp;"KUP(H13996,IMPORTRANGE(""https://docs.google.com/spreadsheets/d/14Bd19lYaqBhU8_DElYkX7l4wRkHqqCUFNJY4AfY3kHU/edit?usp=sharing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3995" s="7" t="s">
        <v>23</v>
      </c>
    </row>
    <row r="13996" spans="1:10" ht="13.2">
      <c r="A13996" s="7">
        <v>13995</v>
      </c>
      <c r="B13996" s="7">
        <v>1</v>
      </c>
      <c r="C13996" s="7" t="s">
        <v>10</v>
      </c>
      <c r="D13996" s="7">
        <v>18851</v>
      </c>
      <c r="E13996" s="7" t="s">
        <v>23</v>
      </c>
      <c r="F13996" s="8" t="str">
        <f ca="1">IFERROR(__xludf.DUMMYFUNCTION("IF
(
C13997=""фізична особа""
,
VLOOKUP(D13997,IMPORTRANGE(""https://docs.google.com/spreadsheets/d/14Bd19lYaqBhU8_DElYkX7l4wRkHqqCUFNJY4AfY3kHU/edit?usp=sharing  #gid=0"",""фіз особи new!relations_name""),6,FALSE)
,
(IF
(
C13997=""юридична особа""
,
VLOO"&amp;"KUP(D13997,IMPORTRANGE(""https://docs.google.com/spreadsheets/d/14Bd19lYaqBhU8_DElYkX7l4wRkHqqCUFNJY4AfY3kHU/edit?usp=sharing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6" s="7" t="s">
        <v>10</v>
      </c>
      <c r="H13996" s="7">
        <v>18852</v>
      </c>
      <c r="I13996" s="8" t="str">
        <f ca="1">IFERROR(__xludf.DUMMYFUNCTION("IF
(
G13997=""фізична особа""
,
VLOOKUP(H13997,IMPORTRANGE(""https://docs.google.com/spreadsheets/d/14Bd19lYaqBhU8_DElYkX7l4wRkHqqCUFNJY4AfY3kHU/edit?usp=sharing  #gid=0"",""фіз особи new!relations_name""),6,FALSE)
,
(IF
(
G13997=""юридична особа""
,
VLOO"&amp;"KUP(H13997,IMPORTRANGE(""https://docs.google.com/spreadsheets/d/14Bd19lYaqBhU8_DElYkX7l4wRkHqqCUFNJY4AfY3kHU/edit?usp=sharing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3996" s="7" t="s">
        <v>23</v>
      </c>
    </row>
    <row r="13997" spans="1:10" ht="13.2">
      <c r="A13997" s="7">
        <v>13996</v>
      </c>
      <c r="B13997" s="7">
        <v>1</v>
      </c>
      <c r="C13997" s="7" t="s">
        <v>10</v>
      </c>
      <c r="D13997" s="7">
        <v>18851</v>
      </c>
      <c r="E13997" s="7" t="s">
        <v>23</v>
      </c>
      <c r="F13997" s="8" t="str">
        <f ca="1">IFERROR(__xludf.DUMMYFUNCTION("IF
(
C13998=""фізична особа""
,
VLOOKUP(D13998,IMPORTRANGE(""https://docs.google.com/spreadsheets/d/14Bd19lYaqBhU8_DElYkX7l4wRkHqqCUFNJY4AfY3kHU/edit?usp=sharing  #gid=0"",""фіз особи new!relations_name""),6,FALSE)
,
(IF
(
C13998=""юридична особа""
,
VLOO"&amp;"KUP(D13998,IMPORTRANGE(""https://docs.google.com/spreadsheets/d/14Bd19lYaqBhU8_DElYkX7l4wRkHqqCUFNJY4AfY3kHU/edit?usp=sharing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7" s="7" t="s">
        <v>10</v>
      </c>
      <c r="H13997" s="7">
        <v>18853</v>
      </c>
      <c r="I13997" s="8" t="str">
        <f ca="1">IFERROR(__xludf.DUMMYFUNCTION("IF
(
G13998=""фізична особа""
,
VLOOKUP(H13998,IMPORTRANGE(""https://docs.google.com/spreadsheets/d/14Bd19lYaqBhU8_DElYkX7l4wRkHqqCUFNJY4AfY3kHU/edit?usp=sharing  #gid=0"",""фіз особи new!relations_name""),6,FALSE)
,
(IF
(
G13998=""юридична особа""
,
VLOO"&amp;"KUP(H13998,IMPORTRANGE(""https://docs.google.com/spreadsheets/d/14Bd19lYaqBhU8_DElYkX7l4wRkHqqCUFNJY4AfY3kHU/edit?usp=sharing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3997" s="7" t="s">
        <v>23</v>
      </c>
    </row>
    <row r="13998" spans="1:10" ht="13.2">
      <c r="A13998" s="7">
        <v>13997</v>
      </c>
      <c r="B13998" s="7">
        <v>1</v>
      </c>
      <c r="C13998" s="7" t="s">
        <v>10</v>
      </c>
      <c r="D13998" s="7">
        <v>18851</v>
      </c>
      <c r="E13998" s="7" t="s">
        <v>23</v>
      </c>
      <c r="F13998" s="8" t="str">
        <f ca="1">IFERROR(__xludf.DUMMYFUNCTION("IF
(
C13999=""фізична особа""
,
VLOOKUP(D13999,IMPORTRANGE(""https://docs.google.com/spreadsheets/d/14Bd19lYaqBhU8_DElYkX7l4wRkHqqCUFNJY4AfY3kHU/edit?usp=sharing  #gid=0"",""фіз особи new!relations_name""),6,FALSE)
,
(IF
(
C13999=""юридична особа""
,
VLOO"&amp;"KUP(D13999,IMPORTRANGE(""https://docs.google.com/spreadsheets/d/14Bd19lYaqBhU8_DElYkX7l4wRkHqqCUFNJY4AfY3kHU/edit?usp=sharing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8" s="7" t="s">
        <v>10</v>
      </c>
      <c r="H13998" s="7">
        <v>18854</v>
      </c>
      <c r="I13998" s="8" t="str">
        <f ca="1">IFERROR(__xludf.DUMMYFUNCTION("IF
(
G13999=""фізична особа""
,
VLOOKUP(H13999,IMPORTRANGE(""https://docs.google.com/spreadsheets/d/14Bd19lYaqBhU8_DElYkX7l4wRkHqqCUFNJY4AfY3kHU/edit?usp=sharing  #gid=0"",""фіз особи new!relations_name""),6,FALSE)
,
(IF
(
G13999=""юридична особа""
,
VLOO"&amp;"KUP(H13999,IMPORTRANGE(""https://docs.google.com/spreadsheets/d/14Bd19lYaqBhU8_DElYkX7l4wRkHqqCUFNJY4AfY3kHU/edit?usp=sharing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3998" s="7" t="s">
        <v>23</v>
      </c>
    </row>
    <row r="13999" spans="1:10" ht="13.2">
      <c r="A13999" s="7">
        <v>13998</v>
      </c>
      <c r="B13999" s="7">
        <v>1</v>
      </c>
      <c r="C13999" s="7" t="s">
        <v>10</v>
      </c>
      <c r="D13999" s="7">
        <v>18851</v>
      </c>
      <c r="E13999" s="7" t="s">
        <v>23</v>
      </c>
      <c r="F13999" s="8" t="str">
        <f ca="1">IFERROR(__xludf.DUMMYFUNCTION("IF
(
C14000=""фізична особа""
,
VLOOKUP(D14000,IMPORTRANGE(""https://docs.google.com/spreadsheets/d/14Bd19lYaqBhU8_DElYkX7l4wRkHqqCUFNJY4AfY3kHU/edit?usp=sharing  #gid=0"",""фіз особи new!relations_name""),6,FALSE)
,
(IF
(
C14000=""юридична особа""
,
VLOO"&amp;"KUP(D14000,IMPORTRANGE(""https://docs.google.com/spreadsheets/d/14Bd19lYaqBhU8_DElYkX7l4wRkHqqCUFNJY4AfY3kHU/edit?usp=sharing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3999" s="7" t="s">
        <v>10</v>
      </c>
      <c r="H13999" s="7">
        <v>18855</v>
      </c>
      <c r="I13999" s="8" t="str">
        <f ca="1">IFERROR(__xludf.DUMMYFUNCTION("IF
(
G14000=""фізична особа""
,
VLOOKUP(H14000,IMPORTRANGE(""https://docs.google.com/spreadsheets/d/14Bd19lYaqBhU8_DElYkX7l4wRkHqqCUFNJY4AfY3kHU/edit?usp=sharing  #gid=0"",""фіз особи new!relations_name""),6,FALSE)
,
(IF
(
G14000=""юридична особа""
,
VLOO"&amp;"KUP(H14000,IMPORTRANGE(""https://docs.google.com/spreadsheets/d/14Bd19lYaqBhU8_DElYkX7l4wRkHqqCUFNJY4AfY3kHU/edit?usp=sharing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3999" s="7" t="s">
        <v>23</v>
      </c>
    </row>
    <row r="14000" spans="1:10" ht="13.2">
      <c r="A14000" s="7">
        <v>13999</v>
      </c>
      <c r="B14000" s="7">
        <v>1</v>
      </c>
      <c r="C14000" s="7" t="s">
        <v>10</v>
      </c>
      <c r="D14000" s="7">
        <v>18851</v>
      </c>
      <c r="E14000" s="7" t="s">
        <v>23</v>
      </c>
      <c r="F14000" s="8" t="str">
        <f ca="1">IFERROR(__xludf.DUMMYFUNCTION("IF
(
C14001=""фізична особа""
,
VLOOKUP(D14001,IMPORTRANGE(""https://docs.google.com/spreadsheets/d/14Bd19lYaqBhU8_DElYkX7l4wRkHqqCUFNJY4AfY3kHU/edit?usp=sharing  #gid=0"",""фіз особи new!relations_name""),6,FALSE)
,
(IF
(
C14001=""юридична особа""
,
VLOO"&amp;"KUP(D14001,IMPORTRANGE(""https://docs.google.com/spreadsheets/d/14Bd19lYaqBhU8_DElYkX7l4wRkHqqCUFNJY4AfY3kHU/edit?usp=sharing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G14000" s="7" t="s">
        <v>10</v>
      </c>
      <c r="H14000" s="7">
        <v>18856</v>
      </c>
      <c r="I14000" s="8" t="str">
        <f ca="1">IFERROR(__xludf.DUMMYFUNCTION("IF
(
G14001=""фізична особа""
,
VLOOKUP(H14001,IMPORTRANGE(""https://docs.google.com/spreadsheets/d/14Bd19lYaqBhU8_DElYkX7l4wRkHqqCUFNJY4AfY3kHU/edit?usp=sharing  #gid=0"",""фіз особи new!relations_name""),6,FALSE)
,
(IF
(
G14001=""юридична особа""
,
VLOO"&amp;"KUP(H14001,IMPORTRANGE(""https://docs.google.com/spreadsheets/d/14Bd19lYaqBhU8_DElYkX7l4wRkHqqCUFNJY4AfY3kHU/edit?usp=sharing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4000" s="7" t="s">
        <v>23</v>
      </c>
    </row>
    <row r="14001" spans="1:10" ht="13.2">
      <c r="A14001" s="7">
        <v>14000</v>
      </c>
      <c r="B14001" s="7">
        <v>1</v>
      </c>
      <c r="C14001" s="7" t="s">
        <v>10</v>
      </c>
      <c r="D14001" s="7">
        <v>18852</v>
      </c>
      <c r="E14001" s="7" t="s">
        <v>23</v>
      </c>
      <c r="F14001" s="8" t="str">
        <f ca="1">IFERROR(__xludf.DUMMYFUNCTION("IF
(
C14002=""фізична особа""
,
VLOOKUP(D14002,IMPORTRANGE(""https://docs.google.com/spreadsheets/d/14Bd19lYaqBhU8_DElYkX7l4wRkHqqCUFNJY4AfY3kHU/edit?usp=sharing  #gid=0"",""фіз особи new!relations_name""),6,FALSE)
,
(IF
(
C14002=""юридична особа""
,
VLOO"&amp;"KUP(D14002,IMPORTRANGE(""https://docs.google.com/spreadsheets/d/14Bd19lYaqBhU8_DElYkX7l4wRkHqqCUFNJY4AfY3kHU/edit?usp=sharing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1" s="7" t="s">
        <v>10</v>
      </c>
      <c r="H14001" s="7">
        <v>18576</v>
      </c>
      <c r="I14001" s="8" t="str">
        <f ca="1">IFERROR(__xludf.DUMMYFUNCTION("IF
(
G14002=""фізична особа""
,
VLOOKUP(H14002,IMPORTRANGE(""https://docs.google.com/spreadsheets/d/14Bd19lYaqBhU8_DElYkX7l4wRkHqqCUFNJY4AfY3kHU/edit?usp=sharing  #gid=0"",""фіз особи new!relations_name""),6,FALSE)
,
(IF
(
G14002=""юридична особа""
,
VLOO"&amp;"KUP(H14002,IMPORTRANGE(""https://docs.google.com/spreadsheets/d/14Bd19lYaqBhU8_DElYkX7l4wRkHqqCUFNJY4AfY3kHU/edit?usp=sharing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01" s="7" t="s">
        <v>23</v>
      </c>
    </row>
    <row r="14002" spans="1:10" ht="13.2">
      <c r="A14002" s="7">
        <v>14001</v>
      </c>
      <c r="B14002" s="7">
        <v>1</v>
      </c>
      <c r="C14002" s="7" t="s">
        <v>10</v>
      </c>
      <c r="D14002" s="7">
        <v>18852</v>
      </c>
      <c r="E14002" s="7" t="s">
        <v>23</v>
      </c>
      <c r="F14002" s="8" t="str">
        <f ca="1">IFERROR(__xludf.DUMMYFUNCTION("IF
(
C14003=""фізична особа""
,
VLOOKUP(D14003,IMPORTRANGE(""https://docs.google.com/spreadsheets/d/14Bd19lYaqBhU8_DElYkX7l4wRkHqqCUFNJY4AfY3kHU/edit?usp=sharing  #gid=0"",""фіз особи new!relations_name""),6,FALSE)
,
(IF
(
C14003=""юридична особа""
,
VLOO"&amp;"KUP(D14003,IMPORTRANGE(""https://docs.google.com/spreadsheets/d/14Bd19lYaqBhU8_DElYkX7l4wRkHqqCUFNJY4AfY3kHU/edit?usp=sharing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2" s="7" t="s">
        <v>10</v>
      </c>
      <c r="H14002" s="7">
        <v>18577</v>
      </c>
      <c r="I14002" s="8" t="str">
        <f ca="1">IFERROR(__xludf.DUMMYFUNCTION("IF
(
G14003=""фізична особа""
,
VLOOKUP(H14003,IMPORTRANGE(""https://docs.google.com/spreadsheets/d/14Bd19lYaqBhU8_DElYkX7l4wRkHqqCUFNJY4AfY3kHU/edit?usp=sharing  #gid=0"",""фіз особи new!relations_name""),6,FALSE)
,
(IF
(
G14003=""юридична особа""
,
VLOO"&amp;"KUP(H14003,IMPORTRANGE(""https://docs.google.com/spreadsheets/d/14Bd19lYaqBhU8_DElYkX7l4wRkHqqCUFNJY4AfY3kHU/edit?usp=sharing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02" s="7" t="s">
        <v>23</v>
      </c>
    </row>
    <row r="14003" spans="1:10" ht="13.2">
      <c r="A14003" s="7">
        <v>14002</v>
      </c>
      <c r="B14003" s="7">
        <v>1</v>
      </c>
      <c r="C14003" s="7" t="s">
        <v>10</v>
      </c>
      <c r="D14003" s="7">
        <v>18852</v>
      </c>
      <c r="E14003" s="7" t="s">
        <v>23</v>
      </c>
      <c r="F14003" s="8" t="str">
        <f ca="1">IFERROR(__xludf.DUMMYFUNCTION("IF
(
C14004=""фізична особа""
,
VLOOKUP(D14004,IMPORTRANGE(""https://docs.google.com/spreadsheets/d/14Bd19lYaqBhU8_DElYkX7l4wRkHqqCUFNJY4AfY3kHU/edit?usp=sharing  #gid=0"",""фіз особи new!relations_name""),6,FALSE)
,
(IF
(
C14004=""юридична особа""
,
VLOO"&amp;"KUP(D14004,IMPORTRANGE(""https://docs.google.com/spreadsheets/d/14Bd19lYaqBhU8_DElYkX7l4wRkHqqCUFNJY4AfY3kHU/edit?usp=sharing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3" s="7" t="s">
        <v>10</v>
      </c>
      <c r="H14003" s="7">
        <v>18578</v>
      </c>
      <c r="I14003" s="8" t="str">
        <f ca="1">IFERROR(__xludf.DUMMYFUNCTION("IF
(
G14004=""фізична особа""
,
VLOOKUP(H14004,IMPORTRANGE(""https://docs.google.com/spreadsheets/d/14Bd19lYaqBhU8_DElYkX7l4wRkHqqCUFNJY4AfY3kHU/edit?usp=sharing  #gid=0"",""фіз особи new!relations_name""),6,FALSE)
,
(IF
(
G14004=""юридична особа""
,
VLOO"&amp;"KUP(H14004,IMPORTRANGE(""https://docs.google.com/spreadsheets/d/14Bd19lYaqBhU8_DElYkX7l4wRkHqqCUFNJY4AfY3kHU/edit?usp=sharing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03" s="7" t="s">
        <v>23</v>
      </c>
    </row>
    <row r="14004" spans="1:10" ht="13.2">
      <c r="A14004" s="7">
        <v>14003</v>
      </c>
      <c r="B14004" s="7">
        <v>1</v>
      </c>
      <c r="C14004" s="7" t="s">
        <v>10</v>
      </c>
      <c r="D14004" s="7">
        <v>18852</v>
      </c>
      <c r="E14004" s="7" t="s">
        <v>23</v>
      </c>
      <c r="F14004" s="8" t="str">
        <f ca="1">IFERROR(__xludf.DUMMYFUNCTION("IF
(
C14005=""фізична особа""
,
VLOOKUP(D14005,IMPORTRANGE(""https://docs.google.com/spreadsheets/d/14Bd19lYaqBhU8_DElYkX7l4wRkHqqCUFNJY4AfY3kHU/edit?usp=sharing  #gid=0"",""фіз особи new!relations_name""),6,FALSE)
,
(IF
(
C14005=""юридична особа""
,
VLOO"&amp;"KUP(D14005,IMPORTRANGE(""https://docs.google.com/spreadsheets/d/14Bd19lYaqBhU8_DElYkX7l4wRkHqqCUFNJY4AfY3kHU/edit?usp=sharing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4" s="7" t="s">
        <v>10</v>
      </c>
      <c r="H14004" s="7">
        <v>18580</v>
      </c>
      <c r="I14004" s="8" t="str">
        <f ca="1">IFERROR(__xludf.DUMMYFUNCTION("IF
(
G14005=""фізична особа""
,
VLOOKUP(H14005,IMPORTRANGE(""https://docs.google.com/spreadsheets/d/14Bd19lYaqBhU8_DElYkX7l4wRkHqqCUFNJY4AfY3kHU/edit?usp=sharing  #gid=0"",""фіз особи new!relations_name""),6,FALSE)
,
(IF
(
G14005=""юридична особа""
,
VLOO"&amp;"KUP(H14005,IMPORTRANGE(""https://docs.google.com/spreadsheets/d/14Bd19lYaqBhU8_DElYkX7l4wRkHqqCUFNJY4AfY3kHU/edit?usp=sharing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04" s="7" t="s">
        <v>23</v>
      </c>
    </row>
    <row r="14005" spans="1:10" ht="13.2">
      <c r="A14005" s="7">
        <v>14004</v>
      </c>
      <c r="B14005" s="7">
        <v>1</v>
      </c>
      <c r="C14005" s="7" t="s">
        <v>10</v>
      </c>
      <c r="D14005" s="7">
        <v>18852</v>
      </c>
      <c r="E14005" s="7" t="s">
        <v>23</v>
      </c>
      <c r="F14005" s="8" t="str">
        <f ca="1">IFERROR(__xludf.DUMMYFUNCTION("IF
(
C14006=""фізична особа""
,
VLOOKUP(D14006,IMPORTRANGE(""https://docs.google.com/spreadsheets/d/14Bd19lYaqBhU8_DElYkX7l4wRkHqqCUFNJY4AfY3kHU/edit?usp=sharing  #gid=0"",""фіз особи new!relations_name""),6,FALSE)
,
(IF
(
C14006=""юридична особа""
,
VLOO"&amp;"KUP(D14006,IMPORTRANGE(""https://docs.google.com/spreadsheets/d/14Bd19lYaqBhU8_DElYkX7l4wRkHqqCUFNJY4AfY3kHU/edit?usp=sharing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5" s="7" t="s">
        <v>10</v>
      </c>
      <c r="H14005" s="7">
        <v>18581</v>
      </c>
      <c r="I14005" s="8" t="str">
        <f ca="1">IFERROR(__xludf.DUMMYFUNCTION("IF
(
G14006=""фізична особа""
,
VLOOKUP(H14006,IMPORTRANGE(""https://docs.google.com/spreadsheets/d/14Bd19lYaqBhU8_DElYkX7l4wRkHqqCUFNJY4AfY3kHU/edit?usp=sharing  #gid=0"",""фіз особи new!relations_name""),6,FALSE)
,
(IF
(
G14006=""юридична особа""
,
VLOO"&amp;"KUP(H14006,IMPORTRANGE(""https://docs.google.com/spreadsheets/d/14Bd19lYaqBhU8_DElYkX7l4wRkHqqCUFNJY4AfY3kHU/edit?usp=sharing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005" s="7" t="s">
        <v>23</v>
      </c>
    </row>
    <row r="14006" spans="1:10" ht="13.2">
      <c r="A14006" s="7">
        <v>14005</v>
      </c>
      <c r="B14006" s="7">
        <v>1</v>
      </c>
      <c r="C14006" s="7" t="s">
        <v>10</v>
      </c>
      <c r="D14006" s="7">
        <v>18852</v>
      </c>
      <c r="E14006" s="7" t="s">
        <v>23</v>
      </c>
      <c r="F14006" s="8" t="str">
        <f ca="1">IFERROR(__xludf.DUMMYFUNCTION("IF
(
C14007=""фізична особа""
,
VLOOKUP(D14007,IMPORTRANGE(""https://docs.google.com/spreadsheets/d/14Bd19lYaqBhU8_DElYkX7l4wRkHqqCUFNJY4AfY3kHU/edit?usp=sharing  #gid=0"",""фіз особи new!relations_name""),6,FALSE)
,
(IF
(
C14007=""юридична особа""
,
VLOO"&amp;"KUP(D14007,IMPORTRANGE(""https://docs.google.com/spreadsheets/d/14Bd19lYaqBhU8_DElYkX7l4wRkHqqCUFNJY4AfY3kHU/edit?usp=sharing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6" s="7" t="s">
        <v>10</v>
      </c>
      <c r="H14006" s="7">
        <v>18582</v>
      </c>
      <c r="I14006" s="8" t="str">
        <f ca="1">IFERROR(__xludf.DUMMYFUNCTION("IF
(
G14007=""фізична особа""
,
VLOOKUP(H14007,IMPORTRANGE(""https://docs.google.com/spreadsheets/d/14Bd19lYaqBhU8_DElYkX7l4wRkHqqCUFNJY4AfY3kHU/edit?usp=sharing  #gid=0"",""фіз особи new!relations_name""),6,FALSE)
,
(IF
(
G14007=""юридична особа""
,
VLOO"&amp;"KUP(H14007,IMPORTRANGE(""https://docs.google.com/spreadsheets/d/14Bd19lYaqBhU8_DElYkX7l4wRkHqqCUFNJY4AfY3kHU/edit?usp=sharing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006" s="7" t="s">
        <v>23</v>
      </c>
    </row>
    <row r="14007" spans="1:10" ht="13.2">
      <c r="A14007" s="7">
        <v>14006</v>
      </c>
      <c r="B14007" s="7">
        <v>1</v>
      </c>
      <c r="C14007" s="7" t="s">
        <v>10</v>
      </c>
      <c r="D14007" s="7">
        <v>18852</v>
      </c>
      <c r="E14007" s="7" t="s">
        <v>23</v>
      </c>
      <c r="F14007" s="8" t="str">
        <f ca="1">IFERROR(__xludf.DUMMYFUNCTION("IF
(
C14008=""фізична особа""
,
VLOOKUP(D14008,IMPORTRANGE(""https://docs.google.com/spreadsheets/d/14Bd19lYaqBhU8_DElYkX7l4wRkHqqCUFNJY4AfY3kHU/edit?usp=sharing  #gid=0"",""фіз особи new!relations_name""),6,FALSE)
,
(IF
(
C14008=""юридична особа""
,
VLOO"&amp;"KUP(D14008,IMPORTRANGE(""https://docs.google.com/spreadsheets/d/14Bd19lYaqBhU8_DElYkX7l4wRkHqqCUFNJY4AfY3kHU/edit?usp=sharing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7" s="7" t="s">
        <v>10</v>
      </c>
      <c r="H14007" s="7">
        <v>18583</v>
      </c>
      <c r="I14007" s="8" t="str">
        <f ca="1">IFERROR(__xludf.DUMMYFUNCTION("IF
(
G14008=""фізична особа""
,
VLOOKUP(H14008,IMPORTRANGE(""https://docs.google.com/spreadsheets/d/14Bd19lYaqBhU8_DElYkX7l4wRkHqqCUFNJY4AfY3kHU/edit?usp=sharing  #gid=0"",""фіз особи new!relations_name""),6,FALSE)
,
(IF
(
G14008=""юридична особа""
,
VLOO"&amp;"KUP(H14008,IMPORTRANGE(""https://docs.google.com/spreadsheets/d/14Bd19lYaqBhU8_DElYkX7l4wRkHqqCUFNJY4AfY3kHU/edit?usp=sharing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007" s="7" t="s">
        <v>23</v>
      </c>
    </row>
    <row r="14008" spans="1:10" ht="13.2">
      <c r="A14008" s="7">
        <v>14007</v>
      </c>
      <c r="B14008" s="7">
        <v>1</v>
      </c>
      <c r="C14008" s="7" t="s">
        <v>10</v>
      </c>
      <c r="D14008" s="7">
        <v>18852</v>
      </c>
      <c r="E14008" s="7" t="s">
        <v>23</v>
      </c>
      <c r="F14008" s="8" t="str">
        <f ca="1">IFERROR(__xludf.DUMMYFUNCTION("IF
(
C14009=""фізична особа""
,
VLOOKUP(D14009,IMPORTRANGE(""https://docs.google.com/spreadsheets/d/14Bd19lYaqBhU8_DElYkX7l4wRkHqqCUFNJY4AfY3kHU/edit?usp=sharing  #gid=0"",""фіз особи new!relations_name""),6,FALSE)
,
(IF
(
C14009=""юридична особа""
,
VLOO"&amp;"KUP(D14009,IMPORTRANGE(""https://docs.google.com/spreadsheets/d/14Bd19lYaqBhU8_DElYkX7l4wRkHqqCUFNJY4AfY3kHU/edit?usp=sharing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8" s="7" t="s">
        <v>10</v>
      </c>
      <c r="H14008" s="7">
        <v>18584</v>
      </c>
      <c r="I14008" s="8" t="str">
        <f ca="1">IFERROR(__xludf.DUMMYFUNCTION("IF
(
G14009=""фізична особа""
,
VLOOKUP(H14009,IMPORTRANGE(""https://docs.google.com/spreadsheets/d/14Bd19lYaqBhU8_DElYkX7l4wRkHqqCUFNJY4AfY3kHU/edit?usp=sharing  #gid=0"",""фіз особи new!relations_name""),6,FALSE)
,
(IF
(
G14009=""юридична особа""
,
VLOO"&amp;"KUP(H14009,IMPORTRANGE(""https://docs.google.com/spreadsheets/d/14Bd19lYaqBhU8_DElYkX7l4wRkHqqCUFNJY4AfY3kHU/edit?usp=sharing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008" s="7" t="s">
        <v>23</v>
      </c>
    </row>
    <row r="14009" spans="1:10" ht="13.2">
      <c r="A14009" s="7">
        <v>14008</v>
      </c>
      <c r="B14009" s="7">
        <v>1</v>
      </c>
      <c r="C14009" s="7" t="s">
        <v>10</v>
      </c>
      <c r="D14009" s="7">
        <v>18852</v>
      </c>
      <c r="E14009" s="7" t="s">
        <v>23</v>
      </c>
      <c r="F14009" s="8" t="str">
        <f ca="1">IFERROR(__xludf.DUMMYFUNCTION("IF
(
C14010=""фізична особа""
,
VLOOKUP(D14010,IMPORTRANGE(""https://docs.google.com/spreadsheets/d/14Bd19lYaqBhU8_DElYkX7l4wRkHqqCUFNJY4AfY3kHU/edit?usp=sharing  #gid=0"",""фіз особи new!relations_name""),6,FALSE)
,
(IF
(
C14010=""юридична особа""
,
VLOO"&amp;"KUP(D14010,IMPORTRANGE(""https://docs.google.com/spreadsheets/d/14Bd19lYaqBhU8_DElYkX7l4wRkHqqCUFNJY4AfY3kHU/edit?usp=sharing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09" s="7" t="s">
        <v>10</v>
      </c>
      <c r="H14009" s="7">
        <v>18585</v>
      </c>
      <c r="I14009" s="8" t="str">
        <f ca="1">IFERROR(__xludf.DUMMYFUNCTION("IF
(
G14010=""фізична особа""
,
VLOOKUP(H14010,IMPORTRANGE(""https://docs.google.com/spreadsheets/d/14Bd19lYaqBhU8_DElYkX7l4wRkHqqCUFNJY4AfY3kHU/edit?usp=sharing  #gid=0"",""фіз особи new!relations_name""),6,FALSE)
,
(IF
(
G14010=""юридична особа""
,
VLOO"&amp;"KUP(H14010,IMPORTRANGE(""https://docs.google.com/spreadsheets/d/14Bd19lYaqBhU8_DElYkX7l4wRkHqqCUFNJY4AfY3kHU/edit?usp=sharing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009" s="7" t="s">
        <v>23</v>
      </c>
    </row>
    <row r="14010" spans="1:10" ht="13.2">
      <c r="A14010" s="7">
        <v>14009</v>
      </c>
      <c r="B14010" s="7">
        <v>1</v>
      </c>
      <c r="C14010" s="7" t="s">
        <v>10</v>
      </c>
      <c r="D14010" s="7">
        <v>18852</v>
      </c>
      <c r="E14010" s="7" t="s">
        <v>23</v>
      </c>
      <c r="F14010" s="8" t="str">
        <f ca="1">IFERROR(__xludf.DUMMYFUNCTION("IF
(
C14011=""фізична особа""
,
VLOOKUP(D14011,IMPORTRANGE(""https://docs.google.com/spreadsheets/d/14Bd19lYaqBhU8_DElYkX7l4wRkHqqCUFNJY4AfY3kHU/edit?usp=sharing  #gid=0"",""фіз особи new!relations_name""),6,FALSE)
,
(IF
(
C14011=""юридична особа""
,
VLOO"&amp;"KUP(D14011,IMPORTRANGE(""https://docs.google.com/spreadsheets/d/14Bd19lYaqBhU8_DElYkX7l4wRkHqqCUFNJY4AfY3kHU/edit?usp=sharing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0" s="7" t="s">
        <v>10</v>
      </c>
      <c r="H14010" s="7">
        <v>18579</v>
      </c>
      <c r="I14010" s="8" t="str">
        <f ca="1">IFERROR(__xludf.DUMMYFUNCTION("IF
(
G14011=""фізична особа""
,
VLOOKUP(H14011,IMPORTRANGE(""https://docs.google.com/spreadsheets/d/14Bd19lYaqBhU8_DElYkX7l4wRkHqqCUFNJY4AfY3kHU/edit?usp=sharing  #gid=0"",""фіз особи new!relations_name""),6,FALSE)
,
(IF
(
G14011=""юридична особа""
,
VLOO"&amp;"KUP(H14011,IMPORTRANGE(""https://docs.google.com/spreadsheets/d/14Bd19lYaqBhU8_DElYkX7l4wRkHqqCUFNJY4AfY3kHU/edit?usp=sharing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010" s="7" t="s">
        <v>23</v>
      </c>
    </row>
    <row r="14011" spans="1:10" ht="13.2">
      <c r="A14011" s="7">
        <v>14010</v>
      </c>
      <c r="B14011" s="7">
        <v>1</v>
      </c>
      <c r="C14011" s="7" t="s">
        <v>10</v>
      </c>
      <c r="D14011" s="7">
        <v>18852</v>
      </c>
      <c r="E14011" s="7" t="s">
        <v>23</v>
      </c>
      <c r="F14011" s="8" t="str">
        <f ca="1">IFERROR(__xludf.DUMMYFUNCTION("IF
(
C14012=""фізична особа""
,
VLOOKUP(D14012,IMPORTRANGE(""https://docs.google.com/spreadsheets/d/14Bd19lYaqBhU8_DElYkX7l4wRkHqqCUFNJY4AfY3kHU/edit?usp=sharing  #gid=0"",""фіз особи new!relations_name""),6,FALSE)
,
(IF
(
C14012=""юридична особа""
,
VLOO"&amp;"KUP(D14012,IMPORTRANGE(""https://docs.google.com/spreadsheets/d/14Bd19lYaqBhU8_DElYkX7l4wRkHqqCUFNJY4AfY3kHU/edit?usp=sharing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1" s="7" t="s">
        <v>10</v>
      </c>
      <c r="H14011" s="7">
        <v>18847</v>
      </c>
      <c r="I14011" s="8" t="str">
        <f ca="1">IFERROR(__xludf.DUMMYFUNCTION("IF
(
G14012=""фізична особа""
,
VLOOKUP(H14012,IMPORTRANGE(""https://docs.google.com/spreadsheets/d/14Bd19lYaqBhU8_DElYkX7l4wRkHqqCUFNJY4AfY3kHU/edit?usp=sharing  #gid=0"",""фіз особи new!relations_name""),6,FALSE)
,
(IF
(
G14012=""юридична особа""
,
VLOO"&amp;"KUP(H14012,IMPORTRANGE(""https://docs.google.com/spreadsheets/d/14Bd19lYaqBhU8_DElYkX7l4wRkHqqCUFNJY4AfY3kHU/edit?usp=sharing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011" s="7" t="s">
        <v>23</v>
      </c>
    </row>
    <row r="14012" spans="1:10" ht="13.2">
      <c r="A14012" s="7">
        <v>14011</v>
      </c>
      <c r="B14012" s="7">
        <v>1</v>
      </c>
      <c r="C14012" s="7" t="s">
        <v>10</v>
      </c>
      <c r="D14012" s="7">
        <v>18852</v>
      </c>
      <c r="E14012" s="7" t="s">
        <v>23</v>
      </c>
      <c r="F14012" s="8" t="str">
        <f ca="1">IFERROR(__xludf.DUMMYFUNCTION("IF
(
C14013=""фізична особа""
,
VLOOKUP(D14013,IMPORTRANGE(""https://docs.google.com/spreadsheets/d/14Bd19lYaqBhU8_DElYkX7l4wRkHqqCUFNJY4AfY3kHU/edit?usp=sharing  #gid=0"",""фіз особи new!relations_name""),6,FALSE)
,
(IF
(
C14013=""юридична особа""
,
VLOO"&amp;"KUP(D14013,IMPORTRANGE(""https://docs.google.com/spreadsheets/d/14Bd19lYaqBhU8_DElYkX7l4wRkHqqCUFNJY4AfY3kHU/edit?usp=sharing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2" s="7" t="s">
        <v>10</v>
      </c>
      <c r="H14012" s="7">
        <v>18848</v>
      </c>
      <c r="I14012" s="8" t="str">
        <f ca="1">IFERROR(__xludf.DUMMYFUNCTION("IF
(
G14013=""фізична особа""
,
VLOOKUP(H14013,IMPORTRANGE(""https://docs.google.com/spreadsheets/d/14Bd19lYaqBhU8_DElYkX7l4wRkHqqCUFNJY4AfY3kHU/edit?usp=sharing  #gid=0"",""фіз особи new!relations_name""),6,FALSE)
,
(IF
(
G14013=""юридична особа""
,
VLOO"&amp;"KUP(H14013,IMPORTRANGE(""https://docs.google.com/spreadsheets/d/14Bd19lYaqBhU8_DElYkX7l4wRkHqqCUFNJY4AfY3kHU/edit?usp=sharing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012" s="7" t="s">
        <v>23</v>
      </c>
    </row>
    <row r="14013" spans="1:10" ht="13.2">
      <c r="A14013" s="7">
        <v>14012</v>
      </c>
      <c r="B14013" s="7">
        <v>1</v>
      </c>
      <c r="C14013" s="7" t="s">
        <v>10</v>
      </c>
      <c r="D14013" s="7">
        <v>18852</v>
      </c>
      <c r="E14013" s="7" t="s">
        <v>23</v>
      </c>
      <c r="F14013" s="8" t="str">
        <f ca="1">IFERROR(__xludf.DUMMYFUNCTION("IF
(
C14014=""фізична особа""
,
VLOOKUP(D14014,IMPORTRANGE(""https://docs.google.com/spreadsheets/d/14Bd19lYaqBhU8_DElYkX7l4wRkHqqCUFNJY4AfY3kHU/edit?usp=sharing  #gid=0"",""фіз особи new!relations_name""),6,FALSE)
,
(IF
(
C14014=""юридична особа""
,
VLOO"&amp;"KUP(D14014,IMPORTRANGE(""https://docs.google.com/spreadsheets/d/14Bd19lYaqBhU8_DElYkX7l4wRkHqqCUFNJY4AfY3kHU/edit?usp=sharing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3" s="7" t="s">
        <v>10</v>
      </c>
      <c r="H14013" s="7">
        <v>18849</v>
      </c>
      <c r="I14013" s="8" t="str">
        <f ca="1">IFERROR(__xludf.DUMMYFUNCTION("IF
(
G14014=""фізична особа""
,
VLOOKUP(H14014,IMPORTRANGE(""https://docs.google.com/spreadsheets/d/14Bd19lYaqBhU8_DElYkX7l4wRkHqqCUFNJY4AfY3kHU/edit?usp=sharing  #gid=0"",""фіз особи new!relations_name""),6,FALSE)
,
(IF
(
G14014=""юридична особа""
,
VLOO"&amp;"KUP(H14014,IMPORTRANGE(""https://docs.google.com/spreadsheets/d/14Bd19lYaqBhU8_DElYkX7l4wRkHqqCUFNJY4AfY3kHU/edit?usp=sharing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013" s="7" t="s">
        <v>23</v>
      </c>
    </row>
    <row r="14014" spans="1:10" ht="13.2">
      <c r="A14014" s="7">
        <v>14013</v>
      </c>
      <c r="B14014" s="7">
        <v>1</v>
      </c>
      <c r="C14014" s="7" t="s">
        <v>10</v>
      </c>
      <c r="D14014" s="7">
        <v>18852</v>
      </c>
      <c r="E14014" s="7" t="s">
        <v>23</v>
      </c>
      <c r="F14014" s="8" t="str">
        <f ca="1">IFERROR(__xludf.DUMMYFUNCTION("IF
(
C14015=""фізична особа""
,
VLOOKUP(D14015,IMPORTRANGE(""https://docs.google.com/spreadsheets/d/14Bd19lYaqBhU8_DElYkX7l4wRkHqqCUFNJY4AfY3kHU/edit?usp=sharing  #gid=0"",""фіз особи new!relations_name""),6,FALSE)
,
(IF
(
C14015=""юридична особа""
,
VLOO"&amp;"KUP(D14015,IMPORTRANGE(""https://docs.google.com/spreadsheets/d/14Bd19lYaqBhU8_DElYkX7l4wRkHqqCUFNJY4AfY3kHU/edit?usp=sharing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4" s="7" t="s">
        <v>10</v>
      </c>
      <c r="H14014" s="7">
        <v>18850</v>
      </c>
      <c r="I14014" s="8" t="str">
        <f ca="1">IFERROR(__xludf.DUMMYFUNCTION("IF
(
G14015=""фізична особа""
,
VLOOKUP(H14015,IMPORTRANGE(""https://docs.google.com/spreadsheets/d/14Bd19lYaqBhU8_DElYkX7l4wRkHqqCUFNJY4AfY3kHU/edit?usp=sharing  #gid=0"",""фіз особи new!relations_name""),6,FALSE)
,
(IF
(
G14015=""юридична особа""
,
VLOO"&amp;"KUP(H14015,IMPORTRANGE(""https://docs.google.com/spreadsheets/d/14Bd19lYaqBhU8_DElYkX7l4wRkHqqCUFNJY4AfY3kHU/edit?usp=sharing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014" s="7" t="s">
        <v>23</v>
      </c>
    </row>
    <row r="14015" spans="1:10" ht="13.2">
      <c r="A14015" s="7">
        <v>14014</v>
      </c>
      <c r="B14015" s="7">
        <v>1</v>
      </c>
      <c r="C14015" s="7" t="s">
        <v>10</v>
      </c>
      <c r="D14015" s="7">
        <v>18852</v>
      </c>
      <c r="E14015" s="7" t="s">
        <v>23</v>
      </c>
      <c r="F14015" s="8" t="str">
        <f ca="1">IFERROR(__xludf.DUMMYFUNCTION("IF
(
C14016=""фізична особа""
,
VLOOKUP(D14016,IMPORTRANGE(""https://docs.google.com/spreadsheets/d/14Bd19lYaqBhU8_DElYkX7l4wRkHqqCUFNJY4AfY3kHU/edit?usp=sharing  #gid=0"",""фіз особи new!relations_name""),6,FALSE)
,
(IF
(
C14016=""юридична особа""
,
VLOO"&amp;"KUP(D14016,IMPORTRANGE(""https://docs.google.com/spreadsheets/d/14Bd19lYaqBhU8_DElYkX7l4wRkHqqCUFNJY4AfY3kHU/edit?usp=sharing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5" s="7" t="s">
        <v>10</v>
      </c>
      <c r="H14015" s="7">
        <v>18851</v>
      </c>
      <c r="I14015" s="8" t="str">
        <f ca="1">IFERROR(__xludf.DUMMYFUNCTION("IF
(
G14016=""фізична особа""
,
VLOOKUP(H14016,IMPORTRANGE(""https://docs.google.com/spreadsheets/d/14Bd19lYaqBhU8_DElYkX7l4wRkHqqCUFNJY4AfY3kHU/edit?usp=sharing  #gid=0"",""фіз особи new!relations_name""),6,FALSE)
,
(IF
(
G14016=""юридична особа""
,
VLOO"&amp;"KUP(H14016,IMPORTRANGE(""https://docs.google.com/spreadsheets/d/14Bd19lYaqBhU8_DElYkX7l4wRkHqqCUFNJY4AfY3kHU/edit?usp=sharing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015" s="7" t="s">
        <v>23</v>
      </c>
    </row>
    <row r="14016" spans="1:10" ht="13.2">
      <c r="A14016" s="7">
        <v>14015</v>
      </c>
      <c r="B14016" s="7">
        <v>1</v>
      </c>
      <c r="C14016" s="7" t="s">
        <v>10</v>
      </c>
      <c r="D14016" s="7">
        <v>18852</v>
      </c>
      <c r="E14016" s="7" t="s">
        <v>23</v>
      </c>
      <c r="F14016" s="8" t="str">
        <f ca="1">IFERROR(__xludf.DUMMYFUNCTION("IF
(
C14017=""фізична особа""
,
VLOOKUP(D14017,IMPORTRANGE(""https://docs.google.com/spreadsheets/d/14Bd19lYaqBhU8_DElYkX7l4wRkHqqCUFNJY4AfY3kHU/edit?usp=sharing  #gid=0"",""фіз особи new!relations_name""),6,FALSE)
,
(IF
(
C14017=""юридична особа""
,
VLOO"&amp;"KUP(D14017,IMPORTRANGE(""https://docs.google.com/spreadsheets/d/14Bd19lYaqBhU8_DElYkX7l4wRkHqqCUFNJY4AfY3kHU/edit?usp=sharing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6" s="7" t="s">
        <v>10</v>
      </c>
      <c r="H14016" s="7">
        <v>18853</v>
      </c>
      <c r="I14016" s="8" t="str">
        <f ca="1">IFERROR(__xludf.DUMMYFUNCTION("IF
(
G14017=""фізична особа""
,
VLOOKUP(H14017,IMPORTRANGE(""https://docs.google.com/spreadsheets/d/14Bd19lYaqBhU8_DElYkX7l4wRkHqqCUFNJY4AfY3kHU/edit?usp=sharing  #gid=0"",""фіз особи new!relations_name""),6,FALSE)
,
(IF
(
G14017=""юридична особа""
,
VLOO"&amp;"KUP(H14017,IMPORTRANGE(""https://docs.google.com/spreadsheets/d/14Bd19lYaqBhU8_DElYkX7l4wRkHqqCUFNJY4AfY3kHU/edit?usp=sharing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016" s="7" t="s">
        <v>23</v>
      </c>
    </row>
    <row r="14017" spans="1:10" ht="13.2">
      <c r="A14017" s="7">
        <v>14016</v>
      </c>
      <c r="B14017" s="7">
        <v>1</v>
      </c>
      <c r="C14017" s="7" t="s">
        <v>10</v>
      </c>
      <c r="D14017" s="7">
        <v>18852</v>
      </c>
      <c r="E14017" s="7" t="s">
        <v>23</v>
      </c>
      <c r="F14017" s="8" t="str">
        <f ca="1">IFERROR(__xludf.DUMMYFUNCTION("IF
(
C14018=""фізична особа""
,
VLOOKUP(D14018,IMPORTRANGE(""https://docs.google.com/spreadsheets/d/14Bd19lYaqBhU8_DElYkX7l4wRkHqqCUFNJY4AfY3kHU/edit?usp=sharing  #gid=0"",""фіз особи new!relations_name""),6,FALSE)
,
(IF
(
C14018=""юридична особа""
,
VLOO"&amp;"KUP(D14018,IMPORTRANGE(""https://docs.google.com/spreadsheets/d/14Bd19lYaqBhU8_DElYkX7l4wRkHqqCUFNJY4AfY3kHU/edit?usp=sharing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7" s="7" t="s">
        <v>10</v>
      </c>
      <c r="H14017" s="7">
        <v>18854</v>
      </c>
      <c r="I14017" s="8" t="str">
        <f ca="1">IFERROR(__xludf.DUMMYFUNCTION("IF
(
G14018=""фізична особа""
,
VLOOKUP(H14018,IMPORTRANGE(""https://docs.google.com/spreadsheets/d/14Bd19lYaqBhU8_DElYkX7l4wRkHqqCUFNJY4AfY3kHU/edit?usp=sharing  #gid=0"",""фіз особи new!relations_name""),6,FALSE)
,
(IF
(
G14018=""юридична особа""
,
VLOO"&amp;"KUP(H14018,IMPORTRANGE(""https://docs.google.com/spreadsheets/d/14Bd19lYaqBhU8_DElYkX7l4wRkHqqCUFNJY4AfY3kHU/edit?usp=sharing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017" s="7" t="s">
        <v>23</v>
      </c>
    </row>
    <row r="14018" spans="1:10" ht="13.2">
      <c r="A14018" s="7">
        <v>14017</v>
      </c>
      <c r="B14018" s="7">
        <v>1</v>
      </c>
      <c r="C14018" s="7" t="s">
        <v>10</v>
      </c>
      <c r="D14018" s="7">
        <v>18852</v>
      </c>
      <c r="E14018" s="7" t="s">
        <v>23</v>
      </c>
      <c r="F14018" s="8" t="str">
        <f ca="1">IFERROR(__xludf.DUMMYFUNCTION("IF
(
C14019=""фізична особа""
,
VLOOKUP(D14019,IMPORTRANGE(""https://docs.google.com/spreadsheets/d/14Bd19lYaqBhU8_DElYkX7l4wRkHqqCUFNJY4AfY3kHU/edit?usp=sharing  #gid=0"",""фіз особи new!relations_name""),6,FALSE)
,
(IF
(
C14019=""юридична особа""
,
VLOO"&amp;"KUP(D14019,IMPORTRANGE(""https://docs.google.com/spreadsheets/d/14Bd19lYaqBhU8_DElYkX7l4wRkHqqCUFNJY4AfY3kHU/edit?usp=sharing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8" s="7" t="s">
        <v>10</v>
      </c>
      <c r="H14018" s="7">
        <v>18855</v>
      </c>
      <c r="I14018" s="8" t="str">
        <f ca="1">IFERROR(__xludf.DUMMYFUNCTION("IF
(
G14019=""фізична особа""
,
VLOOKUP(H14019,IMPORTRANGE(""https://docs.google.com/spreadsheets/d/14Bd19lYaqBhU8_DElYkX7l4wRkHqqCUFNJY4AfY3kHU/edit?usp=sharing  #gid=0"",""фіз особи new!relations_name""),6,FALSE)
,
(IF
(
G14019=""юридична особа""
,
VLOO"&amp;"KUP(H14019,IMPORTRANGE(""https://docs.google.com/spreadsheets/d/14Bd19lYaqBhU8_DElYkX7l4wRkHqqCUFNJY4AfY3kHU/edit?usp=sharing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018" s="7" t="s">
        <v>23</v>
      </c>
    </row>
    <row r="14019" spans="1:10" ht="13.2">
      <c r="A14019" s="7">
        <v>14018</v>
      </c>
      <c r="B14019" s="7">
        <v>1</v>
      </c>
      <c r="C14019" s="7" t="s">
        <v>10</v>
      </c>
      <c r="D14019" s="7">
        <v>18852</v>
      </c>
      <c r="E14019" s="7" t="s">
        <v>23</v>
      </c>
      <c r="F14019" s="8" t="str">
        <f ca="1">IFERROR(__xludf.DUMMYFUNCTION("IF
(
C14020=""фізична особа""
,
VLOOKUP(D14020,IMPORTRANGE(""https://docs.google.com/spreadsheets/d/14Bd19lYaqBhU8_DElYkX7l4wRkHqqCUFNJY4AfY3kHU/edit?usp=sharing  #gid=0"",""фіз особи new!relations_name""),6,FALSE)
,
(IF
(
C14020=""юридична особа""
,
VLOO"&amp;"KUP(D14020,IMPORTRANGE(""https://docs.google.com/spreadsheets/d/14Bd19lYaqBhU8_DElYkX7l4wRkHqqCUFNJY4AfY3kHU/edit?usp=sharing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G14019" s="7" t="s">
        <v>10</v>
      </c>
      <c r="H14019" s="7">
        <v>18856</v>
      </c>
      <c r="I14019" s="8" t="str">
        <f ca="1">IFERROR(__xludf.DUMMYFUNCTION("IF
(
G14020=""фізична особа""
,
VLOOKUP(H14020,IMPORTRANGE(""https://docs.google.com/spreadsheets/d/14Bd19lYaqBhU8_DElYkX7l4wRkHqqCUFNJY4AfY3kHU/edit?usp=sharing  #gid=0"",""фіз особи new!relations_name""),6,FALSE)
,
(IF
(
G14020=""юридична особа""
,
VLOO"&amp;"KUP(H14020,IMPORTRANGE(""https://docs.google.com/spreadsheets/d/14Bd19lYaqBhU8_DElYkX7l4wRkHqqCUFNJY4AfY3kHU/edit?usp=sharing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4019" s="7" t="s">
        <v>23</v>
      </c>
    </row>
    <row r="14020" spans="1:10" ht="13.2">
      <c r="A14020" s="7">
        <v>14019</v>
      </c>
      <c r="B14020" s="7">
        <v>1</v>
      </c>
      <c r="C14020" s="7" t="s">
        <v>10</v>
      </c>
      <c r="D14020" s="7">
        <v>18853</v>
      </c>
      <c r="E14020" s="7" t="s">
        <v>23</v>
      </c>
      <c r="F14020" s="8" t="str">
        <f ca="1">IFERROR(__xludf.DUMMYFUNCTION("IF
(
C14021=""фізична особа""
,
VLOOKUP(D14021,IMPORTRANGE(""https://docs.google.com/spreadsheets/d/14Bd19lYaqBhU8_DElYkX7l4wRkHqqCUFNJY4AfY3kHU/edit?usp=sharing  #gid=0"",""фіз особи new!relations_name""),6,FALSE)
,
(IF
(
C14021=""юридична особа""
,
VLOO"&amp;"KUP(D14021,IMPORTRANGE(""https://docs.google.com/spreadsheets/d/14Bd19lYaqBhU8_DElYkX7l4wRkHqqCUFNJY4AfY3kHU/edit?usp=sharing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0" s="7" t="s">
        <v>10</v>
      </c>
      <c r="H14020" s="7">
        <v>18576</v>
      </c>
      <c r="I14020" s="8" t="str">
        <f ca="1">IFERROR(__xludf.DUMMYFUNCTION("IF
(
G14021=""фізична особа""
,
VLOOKUP(H14021,IMPORTRANGE(""https://docs.google.com/spreadsheets/d/14Bd19lYaqBhU8_DElYkX7l4wRkHqqCUFNJY4AfY3kHU/edit?usp=sharing  #gid=0"",""фіз особи new!relations_name""),6,FALSE)
,
(IF
(
G14021=""юридична особа""
,
VLOO"&amp;"KUP(H14021,IMPORTRANGE(""https://docs.google.com/spreadsheets/d/14Bd19lYaqBhU8_DElYkX7l4wRkHqqCUFNJY4AfY3kHU/edit?usp=sharing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20" s="7" t="s">
        <v>23</v>
      </c>
    </row>
    <row r="14021" spans="1:10" ht="13.2">
      <c r="A14021" s="7">
        <v>14020</v>
      </c>
      <c r="B14021" s="7">
        <v>1</v>
      </c>
      <c r="C14021" s="7" t="s">
        <v>10</v>
      </c>
      <c r="D14021" s="7">
        <v>18853</v>
      </c>
      <c r="E14021" s="7" t="s">
        <v>23</v>
      </c>
      <c r="F14021" s="8" t="str">
        <f ca="1">IFERROR(__xludf.DUMMYFUNCTION("IF
(
C14022=""фізична особа""
,
VLOOKUP(D14022,IMPORTRANGE(""https://docs.google.com/spreadsheets/d/14Bd19lYaqBhU8_DElYkX7l4wRkHqqCUFNJY4AfY3kHU/edit?usp=sharing  #gid=0"",""фіз особи new!relations_name""),6,FALSE)
,
(IF
(
C14022=""юридична особа""
,
VLOO"&amp;"KUP(D14022,IMPORTRANGE(""https://docs.google.com/spreadsheets/d/14Bd19lYaqBhU8_DElYkX7l4wRkHqqCUFNJY4AfY3kHU/edit?usp=sharing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1" s="7" t="s">
        <v>10</v>
      </c>
      <c r="H14021" s="7">
        <v>18577</v>
      </c>
      <c r="I14021" s="8" t="str">
        <f ca="1">IFERROR(__xludf.DUMMYFUNCTION("IF
(
G14022=""фізична особа""
,
VLOOKUP(H14022,IMPORTRANGE(""https://docs.google.com/spreadsheets/d/14Bd19lYaqBhU8_DElYkX7l4wRkHqqCUFNJY4AfY3kHU/edit?usp=sharing  #gid=0"",""фіз особи new!relations_name""),6,FALSE)
,
(IF
(
G14022=""юридична особа""
,
VLOO"&amp;"KUP(H14022,IMPORTRANGE(""https://docs.google.com/spreadsheets/d/14Bd19lYaqBhU8_DElYkX7l4wRkHqqCUFNJY4AfY3kHU/edit?usp=sharing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21" s="7" t="s">
        <v>23</v>
      </c>
    </row>
    <row r="14022" spans="1:10" ht="13.2">
      <c r="A14022" s="7">
        <v>14021</v>
      </c>
      <c r="B14022" s="7">
        <v>1</v>
      </c>
      <c r="C14022" s="7" t="s">
        <v>10</v>
      </c>
      <c r="D14022" s="7">
        <v>18853</v>
      </c>
      <c r="E14022" s="7" t="s">
        <v>23</v>
      </c>
      <c r="F14022" s="8" t="str">
        <f ca="1">IFERROR(__xludf.DUMMYFUNCTION("IF
(
C14023=""фізична особа""
,
VLOOKUP(D14023,IMPORTRANGE(""https://docs.google.com/spreadsheets/d/14Bd19lYaqBhU8_DElYkX7l4wRkHqqCUFNJY4AfY3kHU/edit?usp=sharing  #gid=0"",""фіз особи new!relations_name""),6,FALSE)
,
(IF
(
C14023=""юридична особа""
,
VLOO"&amp;"KUP(D14023,IMPORTRANGE(""https://docs.google.com/spreadsheets/d/14Bd19lYaqBhU8_DElYkX7l4wRkHqqCUFNJY4AfY3kHU/edit?usp=sharing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2" s="7" t="s">
        <v>10</v>
      </c>
      <c r="H14022" s="7">
        <v>18578</v>
      </c>
      <c r="I14022" s="8" t="str">
        <f ca="1">IFERROR(__xludf.DUMMYFUNCTION("IF
(
G14023=""фізична особа""
,
VLOOKUP(H14023,IMPORTRANGE(""https://docs.google.com/spreadsheets/d/14Bd19lYaqBhU8_DElYkX7l4wRkHqqCUFNJY4AfY3kHU/edit?usp=sharing  #gid=0"",""фіз особи new!relations_name""),6,FALSE)
,
(IF
(
G14023=""юридична особа""
,
VLOO"&amp;"KUP(H14023,IMPORTRANGE(""https://docs.google.com/spreadsheets/d/14Bd19lYaqBhU8_DElYkX7l4wRkHqqCUFNJY4AfY3kHU/edit?usp=sharing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22" s="7" t="s">
        <v>23</v>
      </c>
    </row>
    <row r="14023" spans="1:10" ht="13.2">
      <c r="A14023" s="7">
        <v>14022</v>
      </c>
      <c r="B14023" s="7">
        <v>1</v>
      </c>
      <c r="C14023" s="7" t="s">
        <v>10</v>
      </c>
      <c r="D14023" s="7">
        <v>18853</v>
      </c>
      <c r="E14023" s="7" t="s">
        <v>23</v>
      </c>
      <c r="F14023" s="8" t="str">
        <f ca="1">IFERROR(__xludf.DUMMYFUNCTION("IF
(
C14024=""фізична особа""
,
VLOOKUP(D14024,IMPORTRANGE(""https://docs.google.com/spreadsheets/d/14Bd19lYaqBhU8_DElYkX7l4wRkHqqCUFNJY4AfY3kHU/edit?usp=sharing  #gid=0"",""фіз особи new!relations_name""),6,FALSE)
,
(IF
(
C14024=""юридична особа""
,
VLOO"&amp;"KUP(D14024,IMPORTRANGE(""https://docs.google.com/spreadsheets/d/14Bd19lYaqBhU8_DElYkX7l4wRkHqqCUFNJY4AfY3kHU/edit?usp=sharing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3" s="7" t="s">
        <v>10</v>
      </c>
      <c r="H14023" s="7">
        <v>18580</v>
      </c>
      <c r="I14023" s="8" t="str">
        <f ca="1">IFERROR(__xludf.DUMMYFUNCTION("IF
(
G14024=""фізична особа""
,
VLOOKUP(H14024,IMPORTRANGE(""https://docs.google.com/spreadsheets/d/14Bd19lYaqBhU8_DElYkX7l4wRkHqqCUFNJY4AfY3kHU/edit?usp=sharing  #gid=0"",""фіз особи new!relations_name""),6,FALSE)
,
(IF
(
G14024=""юридична особа""
,
VLOO"&amp;"KUP(H14024,IMPORTRANGE(""https://docs.google.com/spreadsheets/d/14Bd19lYaqBhU8_DElYkX7l4wRkHqqCUFNJY4AfY3kHU/edit?usp=sharing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23" s="7" t="s">
        <v>23</v>
      </c>
    </row>
    <row r="14024" spans="1:10" ht="13.2">
      <c r="A14024" s="7">
        <v>14023</v>
      </c>
      <c r="B14024" s="7">
        <v>1</v>
      </c>
      <c r="C14024" s="7" t="s">
        <v>10</v>
      </c>
      <c r="D14024" s="7">
        <v>18853</v>
      </c>
      <c r="E14024" s="7" t="s">
        <v>23</v>
      </c>
      <c r="F14024" s="8" t="str">
        <f ca="1">IFERROR(__xludf.DUMMYFUNCTION("IF
(
C14025=""фізична особа""
,
VLOOKUP(D14025,IMPORTRANGE(""https://docs.google.com/spreadsheets/d/14Bd19lYaqBhU8_DElYkX7l4wRkHqqCUFNJY4AfY3kHU/edit?usp=sharing  #gid=0"",""фіз особи new!relations_name""),6,FALSE)
,
(IF
(
C14025=""юридична особа""
,
VLOO"&amp;"KUP(D14025,IMPORTRANGE(""https://docs.google.com/spreadsheets/d/14Bd19lYaqBhU8_DElYkX7l4wRkHqqCUFNJY4AfY3kHU/edit?usp=sharing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4" s="7" t="s">
        <v>10</v>
      </c>
      <c r="H14024" s="7">
        <v>18581</v>
      </c>
      <c r="I14024" s="8" t="str">
        <f ca="1">IFERROR(__xludf.DUMMYFUNCTION("IF
(
G14025=""фізична особа""
,
VLOOKUP(H14025,IMPORTRANGE(""https://docs.google.com/spreadsheets/d/14Bd19lYaqBhU8_DElYkX7l4wRkHqqCUFNJY4AfY3kHU/edit?usp=sharing  #gid=0"",""фіз особи new!relations_name""),6,FALSE)
,
(IF
(
G14025=""юридична особа""
,
VLOO"&amp;"KUP(H14025,IMPORTRANGE(""https://docs.google.com/spreadsheets/d/14Bd19lYaqBhU8_DElYkX7l4wRkHqqCUFNJY4AfY3kHU/edit?usp=sharing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024" s="7" t="s">
        <v>23</v>
      </c>
    </row>
    <row r="14025" spans="1:10" ht="13.2">
      <c r="A14025" s="7">
        <v>14024</v>
      </c>
      <c r="B14025" s="7">
        <v>1</v>
      </c>
      <c r="C14025" s="7" t="s">
        <v>10</v>
      </c>
      <c r="D14025" s="7">
        <v>18853</v>
      </c>
      <c r="E14025" s="7" t="s">
        <v>23</v>
      </c>
      <c r="F14025" s="8" t="str">
        <f ca="1">IFERROR(__xludf.DUMMYFUNCTION("IF
(
C14026=""фізична особа""
,
VLOOKUP(D14026,IMPORTRANGE(""https://docs.google.com/spreadsheets/d/14Bd19lYaqBhU8_DElYkX7l4wRkHqqCUFNJY4AfY3kHU/edit?usp=sharing  #gid=0"",""фіз особи new!relations_name""),6,FALSE)
,
(IF
(
C14026=""юридична особа""
,
VLOO"&amp;"KUP(D14026,IMPORTRANGE(""https://docs.google.com/spreadsheets/d/14Bd19lYaqBhU8_DElYkX7l4wRkHqqCUFNJY4AfY3kHU/edit?usp=sharing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5" s="7" t="s">
        <v>10</v>
      </c>
      <c r="H14025" s="7">
        <v>18582</v>
      </c>
      <c r="I14025" s="8" t="str">
        <f ca="1">IFERROR(__xludf.DUMMYFUNCTION("IF
(
G14026=""фізична особа""
,
VLOOKUP(H14026,IMPORTRANGE(""https://docs.google.com/spreadsheets/d/14Bd19lYaqBhU8_DElYkX7l4wRkHqqCUFNJY4AfY3kHU/edit?usp=sharing  #gid=0"",""фіз особи new!relations_name""),6,FALSE)
,
(IF
(
G14026=""юридична особа""
,
VLOO"&amp;"KUP(H14026,IMPORTRANGE(""https://docs.google.com/spreadsheets/d/14Bd19lYaqBhU8_DElYkX7l4wRkHqqCUFNJY4AfY3kHU/edit?usp=sharing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025" s="7" t="s">
        <v>23</v>
      </c>
    </row>
    <row r="14026" spans="1:10" ht="13.2">
      <c r="A14026" s="7">
        <v>14025</v>
      </c>
      <c r="B14026" s="7">
        <v>1</v>
      </c>
      <c r="C14026" s="7" t="s">
        <v>10</v>
      </c>
      <c r="D14026" s="7">
        <v>18853</v>
      </c>
      <c r="E14026" s="7" t="s">
        <v>23</v>
      </c>
      <c r="F14026" s="8" t="str">
        <f ca="1">IFERROR(__xludf.DUMMYFUNCTION("IF
(
C14027=""фізична особа""
,
VLOOKUP(D14027,IMPORTRANGE(""https://docs.google.com/spreadsheets/d/14Bd19lYaqBhU8_DElYkX7l4wRkHqqCUFNJY4AfY3kHU/edit?usp=sharing  #gid=0"",""фіз особи new!relations_name""),6,FALSE)
,
(IF
(
C14027=""юридична особа""
,
VLOO"&amp;"KUP(D14027,IMPORTRANGE(""https://docs.google.com/spreadsheets/d/14Bd19lYaqBhU8_DElYkX7l4wRkHqqCUFNJY4AfY3kHU/edit?usp=sharing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6" s="7" t="s">
        <v>10</v>
      </c>
      <c r="H14026" s="7">
        <v>18583</v>
      </c>
      <c r="I14026" s="8" t="str">
        <f ca="1">IFERROR(__xludf.DUMMYFUNCTION("IF
(
G14027=""фізична особа""
,
VLOOKUP(H14027,IMPORTRANGE(""https://docs.google.com/spreadsheets/d/14Bd19lYaqBhU8_DElYkX7l4wRkHqqCUFNJY4AfY3kHU/edit?usp=sharing  #gid=0"",""фіз особи new!relations_name""),6,FALSE)
,
(IF
(
G14027=""юридична особа""
,
VLOO"&amp;"KUP(H14027,IMPORTRANGE(""https://docs.google.com/spreadsheets/d/14Bd19lYaqBhU8_DElYkX7l4wRkHqqCUFNJY4AfY3kHU/edit?usp=sharing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026" s="7" t="s">
        <v>23</v>
      </c>
    </row>
    <row r="14027" spans="1:10" ht="13.2">
      <c r="A14027" s="7">
        <v>14026</v>
      </c>
      <c r="B14027" s="7">
        <v>1</v>
      </c>
      <c r="C14027" s="7" t="s">
        <v>10</v>
      </c>
      <c r="D14027" s="7">
        <v>18853</v>
      </c>
      <c r="E14027" s="7" t="s">
        <v>23</v>
      </c>
      <c r="F14027" s="8" t="str">
        <f ca="1">IFERROR(__xludf.DUMMYFUNCTION("IF
(
C14028=""фізична особа""
,
VLOOKUP(D14028,IMPORTRANGE(""https://docs.google.com/spreadsheets/d/14Bd19lYaqBhU8_DElYkX7l4wRkHqqCUFNJY4AfY3kHU/edit?usp=sharing  #gid=0"",""фіз особи new!relations_name""),6,FALSE)
,
(IF
(
C14028=""юридична особа""
,
VLOO"&amp;"KUP(D14028,IMPORTRANGE(""https://docs.google.com/spreadsheets/d/14Bd19lYaqBhU8_DElYkX7l4wRkHqqCUFNJY4AfY3kHU/edit?usp=sharing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7" s="7" t="s">
        <v>10</v>
      </c>
      <c r="H14027" s="7">
        <v>18584</v>
      </c>
      <c r="I14027" s="8" t="str">
        <f ca="1">IFERROR(__xludf.DUMMYFUNCTION("IF
(
G14028=""фізична особа""
,
VLOOKUP(H14028,IMPORTRANGE(""https://docs.google.com/spreadsheets/d/14Bd19lYaqBhU8_DElYkX7l4wRkHqqCUFNJY4AfY3kHU/edit?usp=sharing  #gid=0"",""фіз особи new!relations_name""),6,FALSE)
,
(IF
(
G14028=""юридична особа""
,
VLOO"&amp;"KUP(H14028,IMPORTRANGE(""https://docs.google.com/spreadsheets/d/14Bd19lYaqBhU8_DElYkX7l4wRkHqqCUFNJY4AfY3kHU/edit?usp=sharing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027" s="7" t="s">
        <v>23</v>
      </c>
    </row>
    <row r="14028" spans="1:10" ht="13.2">
      <c r="A14028" s="7">
        <v>14027</v>
      </c>
      <c r="B14028" s="7">
        <v>1</v>
      </c>
      <c r="C14028" s="7" t="s">
        <v>10</v>
      </c>
      <c r="D14028" s="7">
        <v>18853</v>
      </c>
      <c r="E14028" s="7" t="s">
        <v>23</v>
      </c>
      <c r="F14028" s="8" t="str">
        <f ca="1">IFERROR(__xludf.DUMMYFUNCTION("IF
(
C14029=""фізична особа""
,
VLOOKUP(D14029,IMPORTRANGE(""https://docs.google.com/spreadsheets/d/14Bd19lYaqBhU8_DElYkX7l4wRkHqqCUFNJY4AfY3kHU/edit?usp=sharing  #gid=0"",""фіз особи new!relations_name""),6,FALSE)
,
(IF
(
C14029=""юридична особа""
,
VLOO"&amp;"KUP(D14029,IMPORTRANGE(""https://docs.google.com/spreadsheets/d/14Bd19lYaqBhU8_DElYkX7l4wRkHqqCUFNJY4AfY3kHU/edit?usp=sharing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8" s="7" t="s">
        <v>10</v>
      </c>
      <c r="H14028" s="7">
        <v>18585</v>
      </c>
      <c r="I14028" s="8" t="str">
        <f ca="1">IFERROR(__xludf.DUMMYFUNCTION("IF
(
G14029=""фізична особа""
,
VLOOKUP(H14029,IMPORTRANGE(""https://docs.google.com/spreadsheets/d/14Bd19lYaqBhU8_DElYkX7l4wRkHqqCUFNJY4AfY3kHU/edit?usp=sharing  #gid=0"",""фіз особи new!relations_name""),6,FALSE)
,
(IF
(
G14029=""юридична особа""
,
VLOO"&amp;"KUP(H14029,IMPORTRANGE(""https://docs.google.com/spreadsheets/d/14Bd19lYaqBhU8_DElYkX7l4wRkHqqCUFNJY4AfY3kHU/edit?usp=sharing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028" s="7" t="s">
        <v>23</v>
      </c>
    </row>
    <row r="14029" spans="1:10" ht="13.2">
      <c r="A14029" s="7">
        <v>14028</v>
      </c>
      <c r="B14029" s="7">
        <v>1</v>
      </c>
      <c r="C14029" s="7" t="s">
        <v>10</v>
      </c>
      <c r="D14029" s="7">
        <v>18853</v>
      </c>
      <c r="E14029" s="7" t="s">
        <v>23</v>
      </c>
      <c r="F14029" s="8" t="str">
        <f ca="1">IFERROR(__xludf.DUMMYFUNCTION("IF
(
C14030=""фізична особа""
,
VLOOKUP(D14030,IMPORTRANGE(""https://docs.google.com/spreadsheets/d/14Bd19lYaqBhU8_DElYkX7l4wRkHqqCUFNJY4AfY3kHU/edit?usp=sharing  #gid=0"",""фіз особи new!relations_name""),6,FALSE)
,
(IF
(
C14030=""юридична особа""
,
VLOO"&amp;"KUP(D14030,IMPORTRANGE(""https://docs.google.com/spreadsheets/d/14Bd19lYaqBhU8_DElYkX7l4wRkHqqCUFNJY4AfY3kHU/edit?usp=sharing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29" s="7" t="s">
        <v>10</v>
      </c>
      <c r="H14029" s="7">
        <v>18579</v>
      </c>
      <c r="I14029" s="8" t="str">
        <f ca="1">IFERROR(__xludf.DUMMYFUNCTION("IF
(
G14030=""фізична особа""
,
VLOOKUP(H14030,IMPORTRANGE(""https://docs.google.com/spreadsheets/d/14Bd19lYaqBhU8_DElYkX7l4wRkHqqCUFNJY4AfY3kHU/edit?usp=sharing  #gid=0"",""фіз особи new!relations_name""),6,FALSE)
,
(IF
(
G14030=""юридична особа""
,
VLOO"&amp;"KUP(H14030,IMPORTRANGE(""https://docs.google.com/spreadsheets/d/14Bd19lYaqBhU8_DElYkX7l4wRkHqqCUFNJY4AfY3kHU/edit?usp=sharing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029" s="7" t="s">
        <v>23</v>
      </c>
    </row>
    <row r="14030" spans="1:10" ht="13.2">
      <c r="A14030" s="7">
        <v>14029</v>
      </c>
      <c r="B14030" s="7">
        <v>1</v>
      </c>
      <c r="C14030" s="7" t="s">
        <v>10</v>
      </c>
      <c r="D14030" s="7">
        <v>18853</v>
      </c>
      <c r="E14030" s="7" t="s">
        <v>23</v>
      </c>
      <c r="F14030" s="8" t="str">
        <f ca="1">IFERROR(__xludf.DUMMYFUNCTION("IF
(
C14031=""фізична особа""
,
VLOOKUP(D14031,IMPORTRANGE(""https://docs.google.com/spreadsheets/d/14Bd19lYaqBhU8_DElYkX7l4wRkHqqCUFNJY4AfY3kHU/edit?usp=sharing  #gid=0"",""фіз особи new!relations_name""),6,FALSE)
,
(IF
(
C14031=""юридична особа""
,
VLOO"&amp;"KUP(D14031,IMPORTRANGE(""https://docs.google.com/spreadsheets/d/14Bd19lYaqBhU8_DElYkX7l4wRkHqqCUFNJY4AfY3kHU/edit?usp=sharing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0" s="7" t="s">
        <v>10</v>
      </c>
      <c r="H14030" s="7">
        <v>18847</v>
      </c>
      <c r="I14030" s="8" t="str">
        <f ca="1">IFERROR(__xludf.DUMMYFUNCTION("IF
(
G14031=""фізична особа""
,
VLOOKUP(H14031,IMPORTRANGE(""https://docs.google.com/spreadsheets/d/14Bd19lYaqBhU8_DElYkX7l4wRkHqqCUFNJY4AfY3kHU/edit?usp=sharing  #gid=0"",""фіз особи new!relations_name""),6,FALSE)
,
(IF
(
G14031=""юридична особа""
,
VLOO"&amp;"KUP(H14031,IMPORTRANGE(""https://docs.google.com/spreadsheets/d/14Bd19lYaqBhU8_DElYkX7l4wRkHqqCUFNJY4AfY3kHU/edit?usp=sharing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030" s="7" t="s">
        <v>23</v>
      </c>
    </row>
    <row r="14031" spans="1:10" ht="13.2">
      <c r="A14031" s="7">
        <v>14030</v>
      </c>
      <c r="B14031" s="7">
        <v>1</v>
      </c>
      <c r="C14031" s="7" t="s">
        <v>10</v>
      </c>
      <c r="D14031" s="7">
        <v>18853</v>
      </c>
      <c r="E14031" s="7" t="s">
        <v>23</v>
      </c>
      <c r="F14031" s="8" t="str">
        <f ca="1">IFERROR(__xludf.DUMMYFUNCTION("IF
(
C14032=""фізична особа""
,
VLOOKUP(D14032,IMPORTRANGE(""https://docs.google.com/spreadsheets/d/14Bd19lYaqBhU8_DElYkX7l4wRkHqqCUFNJY4AfY3kHU/edit?usp=sharing  #gid=0"",""фіз особи new!relations_name""),6,FALSE)
,
(IF
(
C14032=""юридична особа""
,
VLOO"&amp;"KUP(D14032,IMPORTRANGE(""https://docs.google.com/spreadsheets/d/14Bd19lYaqBhU8_DElYkX7l4wRkHqqCUFNJY4AfY3kHU/edit?usp=sharing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1" s="7" t="s">
        <v>10</v>
      </c>
      <c r="H14031" s="7">
        <v>18848</v>
      </c>
      <c r="I14031" s="8" t="str">
        <f ca="1">IFERROR(__xludf.DUMMYFUNCTION("IF
(
G14032=""фізична особа""
,
VLOOKUP(H14032,IMPORTRANGE(""https://docs.google.com/spreadsheets/d/14Bd19lYaqBhU8_DElYkX7l4wRkHqqCUFNJY4AfY3kHU/edit?usp=sharing  #gid=0"",""фіз особи new!relations_name""),6,FALSE)
,
(IF
(
G14032=""юридична особа""
,
VLOO"&amp;"KUP(H14032,IMPORTRANGE(""https://docs.google.com/spreadsheets/d/14Bd19lYaqBhU8_DElYkX7l4wRkHqqCUFNJY4AfY3kHU/edit?usp=sharing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031" s="7" t="s">
        <v>23</v>
      </c>
    </row>
    <row r="14032" spans="1:10" ht="13.2">
      <c r="A14032" s="7">
        <v>14031</v>
      </c>
      <c r="B14032" s="7">
        <v>1</v>
      </c>
      <c r="C14032" s="7" t="s">
        <v>10</v>
      </c>
      <c r="D14032" s="7">
        <v>18853</v>
      </c>
      <c r="E14032" s="7" t="s">
        <v>23</v>
      </c>
      <c r="F14032" s="8" t="str">
        <f ca="1">IFERROR(__xludf.DUMMYFUNCTION("IF
(
C14033=""фізична особа""
,
VLOOKUP(D14033,IMPORTRANGE(""https://docs.google.com/spreadsheets/d/14Bd19lYaqBhU8_DElYkX7l4wRkHqqCUFNJY4AfY3kHU/edit?usp=sharing  #gid=0"",""фіз особи new!relations_name""),6,FALSE)
,
(IF
(
C14033=""юридична особа""
,
VLOO"&amp;"KUP(D14033,IMPORTRANGE(""https://docs.google.com/spreadsheets/d/14Bd19lYaqBhU8_DElYkX7l4wRkHqqCUFNJY4AfY3kHU/edit?usp=sharing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2" s="7" t="s">
        <v>10</v>
      </c>
      <c r="H14032" s="7">
        <v>18849</v>
      </c>
      <c r="I14032" s="8" t="str">
        <f ca="1">IFERROR(__xludf.DUMMYFUNCTION("IF
(
G14033=""фізична особа""
,
VLOOKUP(H14033,IMPORTRANGE(""https://docs.google.com/spreadsheets/d/14Bd19lYaqBhU8_DElYkX7l4wRkHqqCUFNJY4AfY3kHU/edit?usp=sharing  #gid=0"",""фіз особи new!relations_name""),6,FALSE)
,
(IF
(
G14033=""юридична особа""
,
VLOO"&amp;"KUP(H14033,IMPORTRANGE(""https://docs.google.com/spreadsheets/d/14Bd19lYaqBhU8_DElYkX7l4wRkHqqCUFNJY4AfY3kHU/edit?usp=sharing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032" s="7" t="s">
        <v>23</v>
      </c>
    </row>
    <row r="14033" spans="1:10" ht="13.2">
      <c r="A14033" s="7">
        <v>14032</v>
      </c>
      <c r="B14033" s="7">
        <v>1</v>
      </c>
      <c r="C14033" s="7" t="s">
        <v>10</v>
      </c>
      <c r="D14033" s="7">
        <v>18853</v>
      </c>
      <c r="E14033" s="7" t="s">
        <v>23</v>
      </c>
      <c r="F14033" s="8" t="str">
        <f ca="1">IFERROR(__xludf.DUMMYFUNCTION("IF
(
C14034=""фізична особа""
,
VLOOKUP(D14034,IMPORTRANGE(""https://docs.google.com/spreadsheets/d/14Bd19lYaqBhU8_DElYkX7l4wRkHqqCUFNJY4AfY3kHU/edit?usp=sharing  #gid=0"",""фіз особи new!relations_name""),6,FALSE)
,
(IF
(
C14034=""юридична особа""
,
VLOO"&amp;"KUP(D14034,IMPORTRANGE(""https://docs.google.com/spreadsheets/d/14Bd19lYaqBhU8_DElYkX7l4wRkHqqCUFNJY4AfY3kHU/edit?usp=sharing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3" s="7" t="s">
        <v>10</v>
      </c>
      <c r="H14033" s="7">
        <v>18850</v>
      </c>
      <c r="I14033" s="8" t="str">
        <f ca="1">IFERROR(__xludf.DUMMYFUNCTION("IF
(
G14034=""фізична особа""
,
VLOOKUP(H14034,IMPORTRANGE(""https://docs.google.com/spreadsheets/d/14Bd19lYaqBhU8_DElYkX7l4wRkHqqCUFNJY4AfY3kHU/edit?usp=sharing  #gid=0"",""фіз особи new!relations_name""),6,FALSE)
,
(IF
(
G14034=""юридична особа""
,
VLOO"&amp;"KUP(H14034,IMPORTRANGE(""https://docs.google.com/spreadsheets/d/14Bd19lYaqBhU8_DElYkX7l4wRkHqqCUFNJY4AfY3kHU/edit?usp=sharing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033" s="7" t="s">
        <v>23</v>
      </c>
    </row>
    <row r="14034" spans="1:10" ht="13.2">
      <c r="A14034" s="7">
        <v>14033</v>
      </c>
      <c r="B14034" s="7">
        <v>1</v>
      </c>
      <c r="C14034" s="7" t="s">
        <v>10</v>
      </c>
      <c r="D14034" s="7">
        <v>18853</v>
      </c>
      <c r="E14034" s="7" t="s">
        <v>23</v>
      </c>
      <c r="F14034" s="8" t="str">
        <f ca="1">IFERROR(__xludf.DUMMYFUNCTION("IF
(
C14035=""фізична особа""
,
VLOOKUP(D14035,IMPORTRANGE(""https://docs.google.com/spreadsheets/d/14Bd19lYaqBhU8_DElYkX7l4wRkHqqCUFNJY4AfY3kHU/edit?usp=sharing  #gid=0"",""фіз особи new!relations_name""),6,FALSE)
,
(IF
(
C14035=""юридична особа""
,
VLOO"&amp;"KUP(D14035,IMPORTRANGE(""https://docs.google.com/spreadsheets/d/14Bd19lYaqBhU8_DElYkX7l4wRkHqqCUFNJY4AfY3kHU/edit?usp=sharing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4" s="7" t="s">
        <v>10</v>
      </c>
      <c r="H14034" s="7">
        <v>18851</v>
      </c>
      <c r="I14034" s="8" t="str">
        <f ca="1">IFERROR(__xludf.DUMMYFUNCTION("IF
(
G14035=""фізична особа""
,
VLOOKUP(H14035,IMPORTRANGE(""https://docs.google.com/spreadsheets/d/14Bd19lYaqBhU8_DElYkX7l4wRkHqqCUFNJY4AfY3kHU/edit?usp=sharing  #gid=0"",""фіз особи new!relations_name""),6,FALSE)
,
(IF
(
G14035=""юридична особа""
,
VLOO"&amp;"KUP(H14035,IMPORTRANGE(""https://docs.google.com/spreadsheets/d/14Bd19lYaqBhU8_DElYkX7l4wRkHqqCUFNJY4AfY3kHU/edit?usp=sharing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034" s="7" t="s">
        <v>23</v>
      </c>
    </row>
    <row r="14035" spans="1:10" ht="13.2">
      <c r="A14035" s="7">
        <v>14034</v>
      </c>
      <c r="B14035" s="7">
        <v>1</v>
      </c>
      <c r="C14035" s="7" t="s">
        <v>10</v>
      </c>
      <c r="D14035" s="7">
        <v>18853</v>
      </c>
      <c r="E14035" s="7" t="s">
        <v>23</v>
      </c>
      <c r="F14035" s="8" t="str">
        <f ca="1">IFERROR(__xludf.DUMMYFUNCTION("IF
(
C14036=""фізична особа""
,
VLOOKUP(D14036,IMPORTRANGE(""https://docs.google.com/spreadsheets/d/14Bd19lYaqBhU8_DElYkX7l4wRkHqqCUFNJY4AfY3kHU/edit?usp=sharing  #gid=0"",""фіз особи new!relations_name""),6,FALSE)
,
(IF
(
C14036=""юридична особа""
,
VLOO"&amp;"KUP(D14036,IMPORTRANGE(""https://docs.google.com/spreadsheets/d/14Bd19lYaqBhU8_DElYkX7l4wRkHqqCUFNJY4AfY3kHU/edit?usp=sharing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5" s="7" t="s">
        <v>10</v>
      </c>
      <c r="H14035" s="7">
        <v>18852</v>
      </c>
      <c r="I14035" s="8" t="str">
        <f ca="1">IFERROR(__xludf.DUMMYFUNCTION("IF
(
G14036=""фізична особа""
,
VLOOKUP(H14036,IMPORTRANGE(""https://docs.google.com/spreadsheets/d/14Bd19lYaqBhU8_DElYkX7l4wRkHqqCUFNJY4AfY3kHU/edit?usp=sharing  #gid=0"",""фіз особи new!relations_name""),6,FALSE)
,
(IF
(
G14036=""юридична особа""
,
VLOO"&amp;"KUP(H14036,IMPORTRANGE(""https://docs.google.com/spreadsheets/d/14Bd19lYaqBhU8_DElYkX7l4wRkHqqCUFNJY4AfY3kHU/edit?usp=sharing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035" s="7" t="s">
        <v>23</v>
      </c>
    </row>
    <row r="14036" spans="1:10" ht="13.2">
      <c r="A14036" s="7">
        <v>14035</v>
      </c>
      <c r="B14036" s="7">
        <v>1</v>
      </c>
      <c r="C14036" s="7" t="s">
        <v>10</v>
      </c>
      <c r="D14036" s="7">
        <v>18853</v>
      </c>
      <c r="E14036" s="7" t="s">
        <v>23</v>
      </c>
      <c r="F14036" s="8" t="str">
        <f ca="1">IFERROR(__xludf.DUMMYFUNCTION("IF
(
C14037=""фізична особа""
,
VLOOKUP(D14037,IMPORTRANGE(""https://docs.google.com/spreadsheets/d/14Bd19lYaqBhU8_DElYkX7l4wRkHqqCUFNJY4AfY3kHU/edit?usp=sharing  #gid=0"",""фіз особи new!relations_name""),6,FALSE)
,
(IF
(
C14037=""юридична особа""
,
VLOO"&amp;"KUP(D14037,IMPORTRANGE(""https://docs.google.com/spreadsheets/d/14Bd19lYaqBhU8_DElYkX7l4wRkHqqCUFNJY4AfY3kHU/edit?usp=sharing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6" s="7" t="s">
        <v>10</v>
      </c>
      <c r="H14036" s="7">
        <v>18854</v>
      </c>
      <c r="I14036" s="8" t="str">
        <f ca="1">IFERROR(__xludf.DUMMYFUNCTION("IF
(
G14037=""фізична особа""
,
VLOOKUP(H14037,IMPORTRANGE(""https://docs.google.com/spreadsheets/d/14Bd19lYaqBhU8_DElYkX7l4wRkHqqCUFNJY4AfY3kHU/edit?usp=sharing  #gid=0"",""фіз особи new!relations_name""),6,FALSE)
,
(IF
(
G14037=""юридична особа""
,
VLOO"&amp;"KUP(H14037,IMPORTRANGE(""https://docs.google.com/spreadsheets/d/14Bd19lYaqBhU8_DElYkX7l4wRkHqqCUFNJY4AfY3kHU/edit?usp=sharing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036" s="7" t="s">
        <v>23</v>
      </c>
    </row>
    <row r="14037" spans="1:10" ht="13.2">
      <c r="A14037" s="7">
        <v>14036</v>
      </c>
      <c r="B14037" s="7">
        <v>1</v>
      </c>
      <c r="C14037" s="7" t="s">
        <v>10</v>
      </c>
      <c r="D14037" s="7">
        <v>18853</v>
      </c>
      <c r="E14037" s="7" t="s">
        <v>23</v>
      </c>
      <c r="F14037" s="8" t="str">
        <f ca="1">IFERROR(__xludf.DUMMYFUNCTION("IF
(
C14038=""фізична особа""
,
VLOOKUP(D14038,IMPORTRANGE(""https://docs.google.com/spreadsheets/d/14Bd19lYaqBhU8_DElYkX7l4wRkHqqCUFNJY4AfY3kHU/edit?usp=sharing  #gid=0"",""фіз особи new!relations_name""),6,FALSE)
,
(IF
(
C14038=""юридична особа""
,
VLOO"&amp;"KUP(D14038,IMPORTRANGE(""https://docs.google.com/spreadsheets/d/14Bd19lYaqBhU8_DElYkX7l4wRkHqqCUFNJY4AfY3kHU/edit?usp=sharing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7" s="7" t="s">
        <v>10</v>
      </c>
      <c r="H14037" s="7">
        <v>18855</v>
      </c>
      <c r="I14037" s="8" t="str">
        <f ca="1">IFERROR(__xludf.DUMMYFUNCTION("IF
(
G14038=""фізична особа""
,
VLOOKUP(H14038,IMPORTRANGE(""https://docs.google.com/spreadsheets/d/14Bd19lYaqBhU8_DElYkX7l4wRkHqqCUFNJY4AfY3kHU/edit?usp=sharing  #gid=0"",""фіз особи new!relations_name""),6,FALSE)
,
(IF
(
G14038=""юридична особа""
,
VLOO"&amp;"KUP(H14038,IMPORTRANGE(""https://docs.google.com/spreadsheets/d/14Bd19lYaqBhU8_DElYkX7l4wRkHqqCUFNJY4AfY3kHU/edit?usp=sharing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037" s="7" t="s">
        <v>23</v>
      </c>
    </row>
    <row r="14038" spans="1:10" ht="13.2">
      <c r="A14038" s="7">
        <v>14037</v>
      </c>
      <c r="B14038" s="7">
        <v>1</v>
      </c>
      <c r="C14038" s="7" t="s">
        <v>10</v>
      </c>
      <c r="D14038" s="7">
        <v>18853</v>
      </c>
      <c r="E14038" s="7" t="s">
        <v>23</v>
      </c>
      <c r="F14038" s="8" t="str">
        <f ca="1">IFERROR(__xludf.DUMMYFUNCTION("IF
(
C14039=""фізична особа""
,
VLOOKUP(D14039,IMPORTRANGE(""https://docs.google.com/spreadsheets/d/14Bd19lYaqBhU8_DElYkX7l4wRkHqqCUFNJY4AfY3kHU/edit?usp=sharing  #gid=0"",""фіз особи new!relations_name""),6,FALSE)
,
(IF
(
C14039=""юридична особа""
,
VLOO"&amp;"KUP(D14039,IMPORTRANGE(""https://docs.google.com/spreadsheets/d/14Bd19lYaqBhU8_DElYkX7l4wRkHqqCUFNJY4AfY3kHU/edit?usp=sharing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G14038" s="7" t="s">
        <v>10</v>
      </c>
      <c r="H14038" s="7">
        <v>18856</v>
      </c>
      <c r="I14038" s="8" t="str">
        <f ca="1">IFERROR(__xludf.DUMMYFUNCTION("IF
(
G14039=""фізична особа""
,
VLOOKUP(H14039,IMPORTRANGE(""https://docs.google.com/spreadsheets/d/14Bd19lYaqBhU8_DElYkX7l4wRkHqqCUFNJY4AfY3kHU/edit?usp=sharing  #gid=0"",""фіз особи new!relations_name""),6,FALSE)
,
(IF
(
G14039=""юридична особа""
,
VLOO"&amp;"KUP(H14039,IMPORTRANGE(""https://docs.google.com/spreadsheets/d/14Bd19lYaqBhU8_DElYkX7l4wRkHqqCUFNJY4AfY3kHU/edit?usp=sharing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4038" s="7" t="s">
        <v>23</v>
      </c>
    </row>
    <row r="14039" spans="1:10" ht="13.2">
      <c r="A14039" s="7">
        <v>14038</v>
      </c>
      <c r="B14039" s="7">
        <v>1</v>
      </c>
      <c r="C14039" s="7" t="s">
        <v>10</v>
      </c>
      <c r="D14039" s="7">
        <v>18854</v>
      </c>
      <c r="E14039" s="7" t="s">
        <v>23</v>
      </c>
      <c r="F14039" s="8" t="str">
        <f ca="1">IFERROR(__xludf.DUMMYFUNCTION("IF
(
C14040=""фізична особа""
,
VLOOKUP(D14040,IMPORTRANGE(""https://docs.google.com/spreadsheets/d/14Bd19lYaqBhU8_DElYkX7l4wRkHqqCUFNJY4AfY3kHU/edit?usp=sharing  #gid=0"",""фіз особи new!relations_name""),6,FALSE)
,
(IF
(
C14040=""юридична особа""
,
VLOO"&amp;"KUP(D14040,IMPORTRANGE(""https://docs.google.com/spreadsheets/d/14Bd19lYaqBhU8_DElYkX7l4wRkHqqCUFNJY4AfY3kHU/edit?usp=sharing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39" s="7" t="s">
        <v>10</v>
      </c>
      <c r="H14039" s="7">
        <v>18576</v>
      </c>
      <c r="I14039" s="8" t="str">
        <f ca="1">IFERROR(__xludf.DUMMYFUNCTION("IF
(
G14040=""фізична особа""
,
VLOOKUP(H14040,IMPORTRANGE(""https://docs.google.com/spreadsheets/d/14Bd19lYaqBhU8_DElYkX7l4wRkHqqCUFNJY4AfY3kHU/edit?usp=sharing  #gid=0"",""фіз особи new!relations_name""),6,FALSE)
,
(IF
(
G14040=""юридична особа""
,
VLOO"&amp;"KUP(H14040,IMPORTRANGE(""https://docs.google.com/spreadsheets/d/14Bd19lYaqBhU8_DElYkX7l4wRkHqqCUFNJY4AfY3kHU/edit?usp=sharing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39" s="7" t="s">
        <v>23</v>
      </c>
    </row>
    <row r="14040" spans="1:10" ht="13.2">
      <c r="A14040" s="7">
        <v>14039</v>
      </c>
      <c r="B14040" s="7">
        <v>1</v>
      </c>
      <c r="C14040" s="7" t="s">
        <v>10</v>
      </c>
      <c r="D14040" s="7">
        <v>18854</v>
      </c>
      <c r="E14040" s="7" t="s">
        <v>23</v>
      </c>
      <c r="F14040" s="8" t="str">
        <f ca="1">IFERROR(__xludf.DUMMYFUNCTION("IF
(
C14041=""фізична особа""
,
VLOOKUP(D14041,IMPORTRANGE(""https://docs.google.com/spreadsheets/d/14Bd19lYaqBhU8_DElYkX7l4wRkHqqCUFNJY4AfY3kHU/edit?usp=sharing  #gid=0"",""фіз особи new!relations_name""),6,FALSE)
,
(IF
(
C14041=""юридична особа""
,
VLOO"&amp;"KUP(D14041,IMPORTRANGE(""https://docs.google.com/spreadsheets/d/14Bd19lYaqBhU8_DElYkX7l4wRkHqqCUFNJY4AfY3kHU/edit?usp=sharing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0" s="7" t="s">
        <v>10</v>
      </c>
      <c r="H14040" s="7">
        <v>18577</v>
      </c>
      <c r="I14040" s="8" t="str">
        <f ca="1">IFERROR(__xludf.DUMMYFUNCTION("IF
(
G14041=""фізична особа""
,
VLOOKUP(H14041,IMPORTRANGE(""https://docs.google.com/spreadsheets/d/14Bd19lYaqBhU8_DElYkX7l4wRkHqqCUFNJY4AfY3kHU/edit?usp=sharing  #gid=0"",""фіз особи new!relations_name""),6,FALSE)
,
(IF
(
G14041=""юридична особа""
,
VLOO"&amp;"KUP(H14041,IMPORTRANGE(""https://docs.google.com/spreadsheets/d/14Bd19lYaqBhU8_DElYkX7l4wRkHqqCUFNJY4AfY3kHU/edit?usp=sharing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40" s="7" t="s">
        <v>23</v>
      </c>
    </row>
    <row r="14041" spans="1:10" ht="13.2">
      <c r="A14041" s="7">
        <v>14040</v>
      </c>
      <c r="B14041" s="7">
        <v>1</v>
      </c>
      <c r="C14041" s="7" t="s">
        <v>10</v>
      </c>
      <c r="D14041" s="7">
        <v>18854</v>
      </c>
      <c r="E14041" s="7" t="s">
        <v>23</v>
      </c>
      <c r="F14041" s="8" t="str">
        <f ca="1">IFERROR(__xludf.DUMMYFUNCTION("IF
(
C14042=""фізична особа""
,
VLOOKUP(D14042,IMPORTRANGE(""https://docs.google.com/spreadsheets/d/14Bd19lYaqBhU8_DElYkX7l4wRkHqqCUFNJY4AfY3kHU/edit?usp=sharing  #gid=0"",""фіз особи new!relations_name""),6,FALSE)
,
(IF
(
C14042=""юридична особа""
,
VLOO"&amp;"KUP(D14042,IMPORTRANGE(""https://docs.google.com/spreadsheets/d/14Bd19lYaqBhU8_DElYkX7l4wRkHqqCUFNJY4AfY3kHU/edit?usp=sharing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1" s="7" t="s">
        <v>10</v>
      </c>
      <c r="H14041" s="7">
        <v>18578</v>
      </c>
      <c r="I14041" s="8" t="str">
        <f ca="1">IFERROR(__xludf.DUMMYFUNCTION("IF
(
G14042=""фізична особа""
,
VLOOKUP(H14042,IMPORTRANGE(""https://docs.google.com/spreadsheets/d/14Bd19lYaqBhU8_DElYkX7l4wRkHqqCUFNJY4AfY3kHU/edit?usp=sharing  #gid=0"",""фіз особи new!relations_name""),6,FALSE)
,
(IF
(
G14042=""юридична особа""
,
VLOO"&amp;"KUP(H14042,IMPORTRANGE(""https://docs.google.com/spreadsheets/d/14Bd19lYaqBhU8_DElYkX7l4wRkHqqCUFNJY4AfY3kHU/edit?usp=sharing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41" s="7" t="s">
        <v>23</v>
      </c>
    </row>
    <row r="14042" spans="1:10" ht="13.2">
      <c r="A14042" s="7">
        <v>14041</v>
      </c>
      <c r="B14042" s="7">
        <v>1</v>
      </c>
      <c r="C14042" s="7" t="s">
        <v>10</v>
      </c>
      <c r="D14042" s="7">
        <v>18854</v>
      </c>
      <c r="E14042" s="7" t="s">
        <v>23</v>
      </c>
      <c r="F14042" s="8" t="str">
        <f ca="1">IFERROR(__xludf.DUMMYFUNCTION("IF
(
C14043=""фізична особа""
,
VLOOKUP(D14043,IMPORTRANGE(""https://docs.google.com/spreadsheets/d/14Bd19lYaqBhU8_DElYkX7l4wRkHqqCUFNJY4AfY3kHU/edit?usp=sharing  #gid=0"",""фіз особи new!relations_name""),6,FALSE)
,
(IF
(
C14043=""юридична особа""
,
VLOO"&amp;"KUP(D14043,IMPORTRANGE(""https://docs.google.com/spreadsheets/d/14Bd19lYaqBhU8_DElYkX7l4wRkHqqCUFNJY4AfY3kHU/edit?usp=sharing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2" s="7" t="s">
        <v>10</v>
      </c>
      <c r="H14042" s="7">
        <v>18580</v>
      </c>
      <c r="I14042" s="8" t="str">
        <f ca="1">IFERROR(__xludf.DUMMYFUNCTION("IF
(
G14043=""фізична особа""
,
VLOOKUP(H14043,IMPORTRANGE(""https://docs.google.com/spreadsheets/d/14Bd19lYaqBhU8_DElYkX7l4wRkHqqCUFNJY4AfY3kHU/edit?usp=sharing  #gid=0"",""фіз особи new!relations_name""),6,FALSE)
,
(IF
(
G14043=""юридична особа""
,
VLOO"&amp;"KUP(H14043,IMPORTRANGE(""https://docs.google.com/spreadsheets/d/14Bd19lYaqBhU8_DElYkX7l4wRkHqqCUFNJY4AfY3kHU/edit?usp=sharing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42" s="7" t="s">
        <v>23</v>
      </c>
    </row>
    <row r="14043" spans="1:10" ht="13.2">
      <c r="A14043" s="7">
        <v>14042</v>
      </c>
      <c r="B14043" s="7">
        <v>1</v>
      </c>
      <c r="C14043" s="7" t="s">
        <v>10</v>
      </c>
      <c r="D14043" s="7">
        <v>18854</v>
      </c>
      <c r="E14043" s="7" t="s">
        <v>23</v>
      </c>
      <c r="F14043" s="8" t="str">
        <f ca="1">IFERROR(__xludf.DUMMYFUNCTION("IF
(
C14044=""фізична особа""
,
VLOOKUP(D14044,IMPORTRANGE(""https://docs.google.com/spreadsheets/d/14Bd19lYaqBhU8_DElYkX7l4wRkHqqCUFNJY4AfY3kHU/edit?usp=sharing  #gid=0"",""фіз особи new!relations_name""),6,FALSE)
,
(IF
(
C14044=""юридична особа""
,
VLOO"&amp;"KUP(D14044,IMPORTRANGE(""https://docs.google.com/spreadsheets/d/14Bd19lYaqBhU8_DElYkX7l4wRkHqqCUFNJY4AfY3kHU/edit?usp=sharing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3" s="7" t="s">
        <v>10</v>
      </c>
      <c r="H14043" s="7">
        <v>18581</v>
      </c>
      <c r="I14043" s="8" t="str">
        <f ca="1">IFERROR(__xludf.DUMMYFUNCTION("IF
(
G14044=""фізична особа""
,
VLOOKUP(H14044,IMPORTRANGE(""https://docs.google.com/spreadsheets/d/14Bd19lYaqBhU8_DElYkX7l4wRkHqqCUFNJY4AfY3kHU/edit?usp=sharing  #gid=0"",""фіз особи new!relations_name""),6,FALSE)
,
(IF
(
G14044=""юридична особа""
,
VLOO"&amp;"KUP(H14044,IMPORTRANGE(""https://docs.google.com/spreadsheets/d/14Bd19lYaqBhU8_DElYkX7l4wRkHqqCUFNJY4AfY3kHU/edit?usp=sharing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043" s="7" t="s">
        <v>23</v>
      </c>
    </row>
    <row r="14044" spans="1:10" ht="13.2">
      <c r="A14044" s="7">
        <v>14043</v>
      </c>
      <c r="B14044" s="7">
        <v>1</v>
      </c>
      <c r="C14044" s="7" t="s">
        <v>10</v>
      </c>
      <c r="D14044" s="7">
        <v>18854</v>
      </c>
      <c r="E14044" s="7" t="s">
        <v>23</v>
      </c>
      <c r="F14044" s="8" t="str">
        <f ca="1">IFERROR(__xludf.DUMMYFUNCTION("IF
(
C14045=""фізична особа""
,
VLOOKUP(D14045,IMPORTRANGE(""https://docs.google.com/spreadsheets/d/14Bd19lYaqBhU8_DElYkX7l4wRkHqqCUFNJY4AfY3kHU/edit?usp=sharing  #gid=0"",""фіз особи new!relations_name""),6,FALSE)
,
(IF
(
C14045=""юридична особа""
,
VLOO"&amp;"KUP(D14045,IMPORTRANGE(""https://docs.google.com/spreadsheets/d/14Bd19lYaqBhU8_DElYkX7l4wRkHqqCUFNJY4AfY3kHU/edit?usp=sharing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4" s="7" t="s">
        <v>10</v>
      </c>
      <c r="H14044" s="7">
        <v>18582</v>
      </c>
      <c r="I14044" s="8" t="str">
        <f ca="1">IFERROR(__xludf.DUMMYFUNCTION("IF
(
G14045=""фізична особа""
,
VLOOKUP(H14045,IMPORTRANGE(""https://docs.google.com/spreadsheets/d/14Bd19lYaqBhU8_DElYkX7l4wRkHqqCUFNJY4AfY3kHU/edit?usp=sharing  #gid=0"",""фіз особи new!relations_name""),6,FALSE)
,
(IF
(
G14045=""юридична особа""
,
VLOO"&amp;"KUP(H14045,IMPORTRANGE(""https://docs.google.com/spreadsheets/d/14Bd19lYaqBhU8_DElYkX7l4wRkHqqCUFNJY4AfY3kHU/edit?usp=sharing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044" s="7" t="s">
        <v>23</v>
      </c>
    </row>
    <row r="14045" spans="1:10" ht="13.2">
      <c r="A14045" s="7">
        <v>14044</v>
      </c>
      <c r="B14045" s="7">
        <v>1</v>
      </c>
      <c r="C14045" s="7" t="s">
        <v>10</v>
      </c>
      <c r="D14045" s="7">
        <v>18854</v>
      </c>
      <c r="E14045" s="7" t="s">
        <v>23</v>
      </c>
      <c r="F14045" s="8" t="str">
        <f ca="1">IFERROR(__xludf.DUMMYFUNCTION("IF
(
C14046=""фізична особа""
,
VLOOKUP(D14046,IMPORTRANGE(""https://docs.google.com/spreadsheets/d/14Bd19lYaqBhU8_DElYkX7l4wRkHqqCUFNJY4AfY3kHU/edit?usp=sharing  #gid=0"",""фіз особи new!relations_name""),6,FALSE)
,
(IF
(
C14046=""юридична особа""
,
VLOO"&amp;"KUP(D14046,IMPORTRANGE(""https://docs.google.com/spreadsheets/d/14Bd19lYaqBhU8_DElYkX7l4wRkHqqCUFNJY4AfY3kHU/edit?usp=sharing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5" s="7" t="s">
        <v>10</v>
      </c>
      <c r="H14045" s="7">
        <v>18583</v>
      </c>
      <c r="I14045" s="8" t="str">
        <f ca="1">IFERROR(__xludf.DUMMYFUNCTION("IF
(
G14046=""фізична особа""
,
VLOOKUP(H14046,IMPORTRANGE(""https://docs.google.com/spreadsheets/d/14Bd19lYaqBhU8_DElYkX7l4wRkHqqCUFNJY4AfY3kHU/edit?usp=sharing  #gid=0"",""фіз особи new!relations_name""),6,FALSE)
,
(IF
(
G14046=""юридична особа""
,
VLOO"&amp;"KUP(H14046,IMPORTRANGE(""https://docs.google.com/spreadsheets/d/14Bd19lYaqBhU8_DElYkX7l4wRkHqqCUFNJY4AfY3kHU/edit?usp=sharing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045" s="7" t="s">
        <v>23</v>
      </c>
    </row>
    <row r="14046" spans="1:10" ht="13.2">
      <c r="A14046" s="7">
        <v>14045</v>
      </c>
      <c r="B14046" s="7">
        <v>1</v>
      </c>
      <c r="C14046" s="7" t="s">
        <v>10</v>
      </c>
      <c r="D14046" s="7">
        <v>18854</v>
      </c>
      <c r="E14046" s="7" t="s">
        <v>23</v>
      </c>
      <c r="F14046" s="8" t="str">
        <f ca="1">IFERROR(__xludf.DUMMYFUNCTION("IF
(
C14047=""фізична особа""
,
VLOOKUP(D14047,IMPORTRANGE(""https://docs.google.com/spreadsheets/d/14Bd19lYaqBhU8_DElYkX7l4wRkHqqCUFNJY4AfY3kHU/edit?usp=sharing  #gid=0"",""фіз особи new!relations_name""),6,FALSE)
,
(IF
(
C14047=""юридична особа""
,
VLOO"&amp;"KUP(D14047,IMPORTRANGE(""https://docs.google.com/spreadsheets/d/14Bd19lYaqBhU8_DElYkX7l4wRkHqqCUFNJY4AfY3kHU/edit?usp=sharing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6" s="7" t="s">
        <v>10</v>
      </c>
      <c r="H14046" s="7">
        <v>18584</v>
      </c>
      <c r="I14046" s="8" t="str">
        <f ca="1">IFERROR(__xludf.DUMMYFUNCTION("IF
(
G14047=""фізична особа""
,
VLOOKUP(H14047,IMPORTRANGE(""https://docs.google.com/spreadsheets/d/14Bd19lYaqBhU8_DElYkX7l4wRkHqqCUFNJY4AfY3kHU/edit?usp=sharing  #gid=0"",""фіз особи new!relations_name""),6,FALSE)
,
(IF
(
G14047=""юридична особа""
,
VLOO"&amp;"KUP(H14047,IMPORTRANGE(""https://docs.google.com/spreadsheets/d/14Bd19lYaqBhU8_DElYkX7l4wRkHqqCUFNJY4AfY3kHU/edit?usp=sharing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046" s="7" t="s">
        <v>23</v>
      </c>
    </row>
    <row r="14047" spans="1:10" ht="13.2">
      <c r="A14047" s="7">
        <v>14046</v>
      </c>
      <c r="B14047" s="7">
        <v>1</v>
      </c>
      <c r="C14047" s="7" t="s">
        <v>10</v>
      </c>
      <c r="D14047" s="7">
        <v>18854</v>
      </c>
      <c r="E14047" s="7" t="s">
        <v>23</v>
      </c>
      <c r="F14047" s="8" t="str">
        <f ca="1">IFERROR(__xludf.DUMMYFUNCTION("IF
(
C14048=""фізична особа""
,
VLOOKUP(D14048,IMPORTRANGE(""https://docs.google.com/spreadsheets/d/14Bd19lYaqBhU8_DElYkX7l4wRkHqqCUFNJY4AfY3kHU/edit?usp=sharing  #gid=0"",""фіз особи new!relations_name""),6,FALSE)
,
(IF
(
C14048=""юридична особа""
,
VLOO"&amp;"KUP(D14048,IMPORTRANGE(""https://docs.google.com/spreadsheets/d/14Bd19lYaqBhU8_DElYkX7l4wRkHqqCUFNJY4AfY3kHU/edit?usp=sharing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7" s="7" t="s">
        <v>10</v>
      </c>
      <c r="H14047" s="7">
        <v>18585</v>
      </c>
      <c r="I14047" s="8" t="str">
        <f ca="1">IFERROR(__xludf.DUMMYFUNCTION("IF
(
G14048=""фізична особа""
,
VLOOKUP(H14048,IMPORTRANGE(""https://docs.google.com/spreadsheets/d/14Bd19lYaqBhU8_DElYkX7l4wRkHqqCUFNJY4AfY3kHU/edit?usp=sharing  #gid=0"",""фіз особи new!relations_name""),6,FALSE)
,
(IF
(
G14048=""юридична особа""
,
VLOO"&amp;"KUP(H14048,IMPORTRANGE(""https://docs.google.com/spreadsheets/d/14Bd19lYaqBhU8_DElYkX7l4wRkHqqCUFNJY4AfY3kHU/edit?usp=sharing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047" s="7" t="s">
        <v>23</v>
      </c>
    </row>
    <row r="14048" spans="1:10" ht="13.2">
      <c r="A14048" s="7">
        <v>14047</v>
      </c>
      <c r="B14048" s="7">
        <v>1</v>
      </c>
      <c r="C14048" s="7" t="s">
        <v>10</v>
      </c>
      <c r="D14048" s="7">
        <v>18854</v>
      </c>
      <c r="E14048" s="7" t="s">
        <v>23</v>
      </c>
      <c r="F14048" s="8" t="str">
        <f ca="1">IFERROR(__xludf.DUMMYFUNCTION("IF
(
C14049=""фізична особа""
,
VLOOKUP(D14049,IMPORTRANGE(""https://docs.google.com/spreadsheets/d/14Bd19lYaqBhU8_DElYkX7l4wRkHqqCUFNJY4AfY3kHU/edit?usp=sharing  #gid=0"",""фіз особи new!relations_name""),6,FALSE)
,
(IF
(
C14049=""юридична особа""
,
VLOO"&amp;"KUP(D14049,IMPORTRANGE(""https://docs.google.com/spreadsheets/d/14Bd19lYaqBhU8_DElYkX7l4wRkHqqCUFNJY4AfY3kHU/edit?usp=sharing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8" s="7" t="s">
        <v>10</v>
      </c>
      <c r="H14048" s="7">
        <v>18579</v>
      </c>
      <c r="I14048" s="8" t="str">
        <f ca="1">IFERROR(__xludf.DUMMYFUNCTION("IF
(
G14049=""фізична особа""
,
VLOOKUP(H14049,IMPORTRANGE(""https://docs.google.com/spreadsheets/d/14Bd19lYaqBhU8_DElYkX7l4wRkHqqCUFNJY4AfY3kHU/edit?usp=sharing  #gid=0"",""фіз особи new!relations_name""),6,FALSE)
,
(IF
(
G14049=""юридична особа""
,
VLOO"&amp;"KUP(H14049,IMPORTRANGE(""https://docs.google.com/spreadsheets/d/14Bd19lYaqBhU8_DElYkX7l4wRkHqqCUFNJY4AfY3kHU/edit?usp=sharing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048" s="7" t="s">
        <v>23</v>
      </c>
    </row>
    <row r="14049" spans="1:10" ht="13.2">
      <c r="A14049" s="7">
        <v>14048</v>
      </c>
      <c r="B14049" s="7">
        <v>1</v>
      </c>
      <c r="C14049" s="7" t="s">
        <v>10</v>
      </c>
      <c r="D14049" s="7">
        <v>18854</v>
      </c>
      <c r="E14049" s="7" t="s">
        <v>23</v>
      </c>
      <c r="F14049" s="8" t="str">
        <f ca="1">IFERROR(__xludf.DUMMYFUNCTION("IF
(
C14050=""фізична особа""
,
VLOOKUP(D14050,IMPORTRANGE(""https://docs.google.com/spreadsheets/d/14Bd19lYaqBhU8_DElYkX7l4wRkHqqCUFNJY4AfY3kHU/edit?usp=sharing  #gid=0"",""фіз особи new!relations_name""),6,FALSE)
,
(IF
(
C14050=""юридична особа""
,
VLOO"&amp;"KUP(D14050,IMPORTRANGE(""https://docs.google.com/spreadsheets/d/14Bd19lYaqBhU8_DElYkX7l4wRkHqqCUFNJY4AfY3kHU/edit?usp=sharing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49" s="7" t="s">
        <v>10</v>
      </c>
      <c r="H14049" s="7">
        <v>18847</v>
      </c>
      <c r="I14049" s="8" t="str">
        <f ca="1">IFERROR(__xludf.DUMMYFUNCTION("IF
(
G14050=""фізична особа""
,
VLOOKUP(H14050,IMPORTRANGE(""https://docs.google.com/spreadsheets/d/14Bd19lYaqBhU8_DElYkX7l4wRkHqqCUFNJY4AfY3kHU/edit?usp=sharing  #gid=0"",""фіз особи new!relations_name""),6,FALSE)
,
(IF
(
G14050=""юридична особа""
,
VLOO"&amp;"KUP(H14050,IMPORTRANGE(""https://docs.google.com/spreadsheets/d/14Bd19lYaqBhU8_DElYkX7l4wRkHqqCUFNJY4AfY3kHU/edit?usp=sharing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049" s="7" t="s">
        <v>23</v>
      </c>
    </row>
    <row r="14050" spans="1:10" ht="13.2">
      <c r="A14050" s="7">
        <v>14049</v>
      </c>
      <c r="B14050" s="7">
        <v>1</v>
      </c>
      <c r="C14050" s="7" t="s">
        <v>10</v>
      </c>
      <c r="D14050" s="7">
        <v>18854</v>
      </c>
      <c r="E14050" s="7" t="s">
        <v>23</v>
      </c>
      <c r="F14050" s="8" t="str">
        <f ca="1">IFERROR(__xludf.DUMMYFUNCTION("IF
(
C14051=""фізична особа""
,
VLOOKUP(D14051,IMPORTRANGE(""https://docs.google.com/spreadsheets/d/14Bd19lYaqBhU8_DElYkX7l4wRkHqqCUFNJY4AfY3kHU/edit?usp=sharing  #gid=0"",""фіз особи new!relations_name""),6,FALSE)
,
(IF
(
C14051=""юридична особа""
,
VLOO"&amp;"KUP(D14051,IMPORTRANGE(""https://docs.google.com/spreadsheets/d/14Bd19lYaqBhU8_DElYkX7l4wRkHqqCUFNJY4AfY3kHU/edit?usp=sharing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0" s="7" t="s">
        <v>10</v>
      </c>
      <c r="H14050" s="7">
        <v>18848</v>
      </c>
      <c r="I14050" s="8" t="str">
        <f ca="1">IFERROR(__xludf.DUMMYFUNCTION("IF
(
G14051=""фізична особа""
,
VLOOKUP(H14051,IMPORTRANGE(""https://docs.google.com/spreadsheets/d/14Bd19lYaqBhU8_DElYkX7l4wRkHqqCUFNJY4AfY3kHU/edit?usp=sharing  #gid=0"",""фіз особи new!relations_name""),6,FALSE)
,
(IF
(
G14051=""юридична особа""
,
VLOO"&amp;"KUP(H14051,IMPORTRANGE(""https://docs.google.com/spreadsheets/d/14Bd19lYaqBhU8_DElYkX7l4wRkHqqCUFNJY4AfY3kHU/edit?usp=sharing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050" s="7" t="s">
        <v>23</v>
      </c>
    </row>
    <row r="14051" spans="1:10" ht="13.2">
      <c r="A14051" s="7">
        <v>14050</v>
      </c>
      <c r="B14051" s="7">
        <v>1</v>
      </c>
      <c r="C14051" s="7" t="s">
        <v>10</v>
      </c>
      <c r="D14051" s="7">
        <v>18854</v>
      </c>
      <c r="E14051" s="7" t="s">
        <v>23</v>
      </c>
      <c r="F14051" s="8" t="str">
        <f ca="1">IFERROR(__xludf.DUMMYFUNCTION("IF
(
C14052=""фізична особа""
,
VLOOKUP(D14052,IMPORTRANGE(""https://docs.google.com/spreadsheets/d/14Bd19lYaqBhU8_DElYkX7l4wRkHqqCUFNJY4AfY3kHU/edit?usp=sharing  #gid=0"",""фіз особи new!relations_name""),6,FALSE)
,
(IF
(
C14052=""юридична особа""
,
VLOO"&amp;"KUP(D14052,IMPORTRANGE(""https://docs.google.com/spreadsheets/d/14Bd19lYaqBhU8_DElYkX7l4wRkHqqCUFNJY4AfY3kHU/edit?usp=sharing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1" s="7" t="s">
        <v>10</v>
      </c>
      <c r="H14051" s="7">
        <v>18849</v>
      </c>
      <c r="I14051" s="8" t="str">
        <f ca="1">IFERROR(__xludf.DUMMYFUNCTION("IF
(
G14052=""фізична особа""
,
VLOOKUP(H14052,IMPORTRANGE(""https://docs.google.com/spreadsheets/d/14Bd19lYaqBhU8_DElYkX7l4wRkHqqCUFNJY4AfY3kHU/edit?usp=sharing  #gid=0"",""фіз особи new!relations_name""),6,FALSE)
,
(IF
(
G14052=""юридична особа""
,
VLOO"&amp;"KUP(H14052,IMPORTRANGE(""https://docs.google.com/spreadsheets/d/14Bd19lYaqBhU8_DElYkX7l4wRkHqqCUFNJY4AfY3kHU/edit?usp=sharing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051" s="7" t="s">
        <v>23</v>
      </c>
    </row>
    <row r="14052" spans="1:10" ht="13.2">
      <c r="A14052" s="7">
        <v>14051</v>
      </c>
      <c r="B14052" s="7">
        <v>1</v>
      </c>
      <c r="C14052" s="7" t="s">
        <v>10</v>
      </c>
      <c r="D14052" s="7">
        <v>18854</v>
      </c>
      <c r="E14052" s="7" t="s">
        <v>23</v>
      </c>
      <c r="F14052" s="8" t="str">
        <f ca="1">IFERROR(__xludf.DUMMYFUNCTION("IF
(
C14053=""фізична особа""
,
VLOOKUP(D14053,IMPORTRANGE(""https://docs.google.com/spreadsheets/d/14Bd19lYaqBhU8_DElYkX7l4wRkHqqCUFNJY4AfY3kHU/edit?usp=sharing  #gid=0"",""фіз особи new!relations_name""),6,FALSE)
,
(IF
(
C14053=""юридична особа""
,
VLOO"&amp;"KUP(D14053,IMPORTRANGE(""https://docs.google.com/spreadsheets/d/14Bd19lYaqBhU8_DElYkX7l4wRkHqqCUFNJY4AfY3kHU/edit?usp=sharing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2" s="7" t="s">
        <v>10</v>
      </c>
      <c r="H14052" s="7">
        <v>18850</v>
      </c>
      <c r="I14052" s="8" t="str">
        <f ca="1">IFERROR(__xludf.DUMMYFUNCTION("IF
(
G14053=""фізична особа""
,
VLOOKUP(H14053,IMPORTRANGE(""https://docs.google.com/spreadsheets/d/14Bd19lYaqBhU8_DElYkX7l4wRkHqqCUFNJY4AfY3kHU/edit?usp=sharing  #gid=0"",""фіз особи new!relations_name""),6,FALSE)
,
(IF
(
G14053=""юридична особа""
,
VLOO"&amp;"KUP(H14053,IMPORTRANGE(""https://docs.google.com/spreadsheets/d/14Bd19lYaqBhU8_DElYkX7l4wRkHqqCUFNJY4AfY3kHU/edit?usp=sharing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052" s="7" t="s">
        <v>23</v>
      </c>
    </row>
    <row r="14053" spans="1:10" ht="13.2">
      <c r="A14053" s="7">
        <v>14052</v>
      </c>
      <c r="B14053" s="7">
        <v>1</v>
      </c>
      <c r="C14053" s="7" t="s">
        <v>10</v>
      </c>
      <c r="D14053" s="7">
        <v>18854</v>
      </c>
      <c r="E14053" s="7" t="s">
        <v>23</v>
      </c>
      <c r="F14053" s="8" t="str">
        <f ca="1">IFERROR(__xludf.DUMMYFUNCTION("IF
(
C14054=""фізична особа""
,
VLOOKUP(D14054,IMPORTRANGE(""https://docs.google.com/spreadsheets/d/14Bd19lYaqBhU8_DElYkX7l4wRkHqqCUFNJY4AfY3kHU/edit?usp=sharing  #gid=0"",""фіз особи new!relations_name""),6,FALSE)
,
(IF
(
C14054=""юридична особа""
,
VLOO"&amp;"KUP(D14054,IMPORTRANGE(""https://docs.google.com/spreadsheets/d/14Bd19lYaqBhU8_DElYkX7l4wRkHqqCUFNJY4AfY3kHU/edit?usp=sharing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3" s="7" t="s">
        <v>10</v>
      </c>
      <c r="H14053" s="7">
        <v>18851</v>
      </c>
      <c r="I14053" s="8" t="str">
        <f ca="1">IFERROR(__xludf.DUMMYFUNCTION("IF
(
G14054=""фізична особа""
,
VLOOKUP(H14054,IMPORTRANGE(""https://docs.google.com/spreadsheets/d/14Bd19lYaqBhU8_DElYkX7l4wRkHqqCUFNJY4AfY3kHU/edit?usp=sharing  #gid=0"",""фіз особи new!relations_name""),6,FALSE)
,
(IF
(
G14054=""юридична особа""
,
VLOO"&amp;"KUP(H14054,IMPORTRANGE(""https://docs.google.com/spreadsheets/d/14Bd19lYaqBhU8_DElYkX7l4wRkHqqCUFNJY4AfY3kHU/edit?usp=sharing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053" s="7" t="s">
        <v>23</v>
      </c>
    </row>
    <row r="14054" spans="1:10" ht="13.2">
      <c r="A14054" s="7">
        <v>14053</v>
      </c>
      <c r="B14054" s="7">
        <v>1</v>
      </c>
      <c r="C14054" s="7" t="s">
        <v>10</v>
      </c>
      <c r="D14054" s="7">
        <v>18854</v>
      </c>
      <c r="E14054" s="7" t="s">
        <v>23</v>
      </c>
      <c r="F14054" s="8" t="str">
        <f ca="1">IFERROR(__xludf.DUMMYFUNCTION("IF
(
C14055=""фізична особа""
,
VLOOKUP(D14055,IMPORTRANGE(""https://docs.google.com/spreadsheets/d/14Bd19lYaqBhU8_DElYkX7l4wRkHqqCUFNJY4AfY3kHU/edit?usp=sharing  #gid=0"",""фіз особи new!relations_name""),6,FALSE)
,
(IF
(
C14055=""юридична особа""
,
VLOO"&amp;"KUP(D14055,IMPORTRANGE(""https://docs.google.com/spreadsheets/d/14Bd19lYaqBhU8_DElYkX7l4wRkHqqCUFNJY4AfY3kHU/edit?usp=sharing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4" s="7" t="s">
        <v>10</v>
      </c>
      <c r="H14054" s="7">
        <v>18852</v>
      </c>
      <c r="I14054" s="8" t="str">
        <f ca="1">IFERROR(__xludf.DUMMYFUNCTION("IF
(
G14055=""фізична особа""
,
VLOOKUP(H14055,IMPORTRANGE(""https://docs.google.com/spreadsheets/d/14Bd19lYaqBhU8_DElYkX7l4wRkHqqCUFNJY4AfY3kHU/edit?usp=sharing  #gid=0"",""фіз особи new!relations_name""),6,FALSE)
,
(IF
(
G14055=""юридична особа""
,
VLOO"&amp;"KUP(H14055,IMPORTRANGE(""https://docs.google.com/spreadsheets/d/14Bd19lYaqBhU8_DElYkX7l4wRkHqqCUFNJY4AfY3kHU/edit?usp=sharing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054" s="7" t="s">
        <v>23</v>
      </c>
    </row>
    <row r="14055" spans="1:10" ht="13.2">
      <c r="A14055" s="7">
        <v>14054</v>
      </c>
      <c r="B14055" s="7">
        <v>1</v>
      </c>
      <c r="C14055" s="7" t="s">
        <v>10</v>
      </c>
      <c r="D14055" s="7">
        <v>18854</v>
      </c>
      <c r="E14055" s="7" t="s">
        <v>23</v>
      </c>
      <c r="F14055" s="8" t="str">
        <f ca="1">IFERROR(__xludf.DUMMYFUNCTION("IF
(
C14056=""фізична особа""
,
VLOOKUP(D14056,IMPORTRANGE(""https://docs.google.com/spreadsheets/d/14Bd19lYaqBhU8_DElYkX7l4wRkHqqCUFNJY4AfY3kHU/edit?usp=sharing  #gid=0"",""фіз особи new!relations_name""),6,FALSE)
,
(IF
(
C14056=""юридична особа""
,
VLOO"&amp;"KUP(D14056,IMPORTRANGE(""https://docs.google.com/spreadsheets/d/14Bd19lYaqBhU8_DElYkX7l4wRkHqqCUFNJY4AfY3kHU/edit?usp=sharing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5" s="7" t="s">
        <v>10</v>
      </c>
      <c r="H14055" s="7">
        <v>18853</v>
      </c>
      <c r="I14055" s="8" t="str">
        <f ca="1">IFERROR(__xludf.DUMMYFUNCTION("IF
(
G14056=""фізична особа""
,
VLOOKUP(H14056,IMPORTRANGE(""https://docs.google.com/spreadsheets/d/14Bd19lYaqBhU8_DElYkX7l4wRkHqqCUFNJY4AfY3kHU/edit?usp=sharing  #gid=0"",""фіз особи new!relations_name""),6,FALSE)
,
(IF
(
G14056=""юридична особа""
,
VLOO"&amp;"KUP(H14056,IMPORTRANGE(""https://docs.google.com/spreadsheets/d/14Bd19lYaqBhU8_DElYkX7l4wRkHqqCUFNJY4AfY3kHU/edit?usp=sharing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055" s="7" t="s">
        <v>23</v>
      </c>
    </row>
    <row r="14056" spans="1:10" ht="13.2">
      <c r="A14056" s="7">
        <v>14055</v>
      </c>
      <c r="B14056" s="7">
        <v>1</v>
      </c>
      <c r="C14056" s="7" t="s">
        <v>10</v>
      </c>
      <c r="D14056" s="7">
        <v>18854</v>
      </c>
      <c r="E14056" s="7" t="s">
        <v>23</v>
      </c>
      <c r="F14056" s="8" t="str">
        <f ca="1">IFERROR(__xludf.DUMMYFUNCTION("IF
(
C14057=""фізична особа""
,
VLOOKUP(D14057,IMPORTRANGE(""https://docs.google.com/spreadsheets/d/14Bd19lYaqBhU8_DElYkX7l4wRkHqqCUFNJY4AfY3kHU/edit?usp=sharing  #gid=0"",""фіз особи new!relations_name""),6,FALSE)
,
(IF
(
C14057=""юридична особа""
,
VLOO"&amp;"KUP(D14057,IMPORTRANGE(""https://docs.google.com/spreadsheets/d/14Bd19lYaqBhU8_DElYkX7l4wRkHqqCUFNJY4AfY3kHU/edit?usp=sharing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6" s="7" t="s">
        <v>10</v>
      </c>
      <c r="H14056" s="7">
        <v>18855</v>
      </c>
      <c r="I14056" s="8" t="str">
        <f ca="1">IFERROR(__xludf.DUMMYFUNCTION("IF
(
G14057=""фізична особа""
,
VLOOKUP(H14057,IMPORTRANGE(""https://docs.google.com/spreadsheets/d/14Bd19lYaqBhU8_DElYkX7l4wRkHqqCUFNJY4AfY3kHU/edit?usp=sharing  #gid=0"",""фіз особи new!relations_name""),6,FALSE)
,
(IF
(
G14057=""юридична особа""
,
VLOO"&amp;"KUP(H14057,IMPORTRANGE(""https://docs.google.com/spreadsheets/d/14Bd19lYaqBhU8_DElYkX7l4wRkHqqCUFNJY4AfY3kHU/edit?usp=sharing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056" s="7" t="s">
        <v>23</v>
      </c>
    </row>
    <row r="14057" spans="1:10" ht="13.2">
      <c r="A14057" s="7">
        <v>14056</v>
      </c>
      <c r="B14057" s="7">
        <v>1</v>
      </c>
      <c r="C14057" s="7" t="s">
        <v>10</v>
      </c>
      <c r="D14057" s="7">
        <v>18854</v>
      </c>
      <c r="E14057" s="7" t="s">
        <v>23</v>
      </c>
      <c r="F14057" s="8" t="str">
        <f ca="1">IFERROR(__xludf.DUMMYFUNCTION("IF
(
C14058=""фізична особа""
,
VLOOKUP(D14058,IMPORTRANGE(""https://docs.google.com/spreadsheets/d/14Bd19lYaqBhU8_DElYkX7l4wRkHqqCUFNJY4AfY3kHU/edit?usp=sharing  #gid=0"",""фіз особи new!relations_name""),6,FALSE)
,
(IF
(
C14058=""юридична особа""
,
VLOO"&amp;"KUP(D14058,IMPORTRANGE(""https://docs.google.com/spreadsheets/d/14Bd19lYaqBhU8_DElYkX7l4wRkHqqCUFNJY4AfY3kHU/edit?usp=sharing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G14057" s="7" t="s">
        <v>10</v>
      </c>
      <c r="H14057" s="7">
        <v>18856</v>
      </c>
      <c r="I14057" s="8" t="str">
        <f ca="1">IFERROR(__xludf.DUMMYFUNCTION("IF
(
G14058=""фізична особа""
,
VLOOKUP(H14058,IMPORTRANGE(""https://docs.google.com/spreadsheets/d/14Bd19lYaqBhU8_DElYkX7l4wRkHqqCUFNJY4AfY3kHU/edit?usp=sharing  #gid=0"",""фіз особи new!relations_name""),6,FALSE)
,
(IF
(
G14058=""юридична особа""
,
VLOO"&amp;"KUP(H14058,IMPORTRANGE(""https://docs.google.com/spreadsheets/d/14Bd19lYaqBhU8_DElYkX7l4wRkHqqCUFNJY4AfY3kHU/edit?usp=sharing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4057" s="7" t="s">
        <v>23</v>
      </c>
    </row>
    <row r="14058" spans="1:10" ht="13.2">
      <c r="A14058" s="7">
        <v>14057</v>
      </c>
      <c r="B14058" s="7">
        <v>1</v>
      </c>
      <c r="C14058" s="7" t="s">
        <v>10</v>
      </c>
      <c r="D14058" s="7">
        <v>18855</v>
      </c>
      <c r="E14058" s="7" t="s">
        <v>23</v>
      </c>
      <c r="F14058" s="8" t="str">
        <f ca="1">IFERROR(__xludf.DUMMYFUNCTION("IF
(
C14059=""фізична особа""
,
VLOOKUP(D14059,IMPORTRANGE(""https://docs.google.com/spreadsheets/d/14Bd19lYaqBhU8_DElYkX7l4wRkHqqCUFNJY4AfY3kHU/edit?usp=sharing  #gid=0"",""фіз особи new!relations_name""),6,FALSE)
,
(IF
(
C14059=""юридична особа""
,
VLOO"&amp;"KUP(D14059,IMPORTRANGE(""https://docs.google.com/spreadsheets/d/14Bd19lYaqBhU8_DElYkX7l4wRkHqqCUFNJY4AfY3kHU/edit?usp=sharing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58" s="7" t="s">
        <v>10</v>
      </c>
      <c r="H14058" s="7">
        <v>18576</v>
      </c>
      <c r="I14058" s="8" t="str">
        <f ca="1">IFERROR(__xludf.DUMMYFUNCTION("IF
(
G14059=""фізична особа""
,
VLOOKUP(H14059,IMPORTRANGE(""https://docs.google.com/spreadsheets/d/14Bd19lYaqBhU8_DElYkX7l4wRkHqqCUFNJY4AfY3kHU/edit?usp=sharing  #gid=0"",""фіз особи new!relations_name""),6,FALSE)
,
(IF
(
G14059=""юридична особа""
,
VLOO"&amp;"KUP(H14059,IMPORTRANGE(""https://docs.google.com/spreadsheets/d/14Bd19lYaqBhU8_DElYkX7l4wRkHqqCUFNJY4AfY3kHU/edit?usp=sharing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58" s="7" t="s">
        <v>23</v>
      </c>
    </row>
    <row r="14059" spans="1:10" ht="13.2">
      <c r="A14059" s="7">
        <v>14058</v>
      </c>
      <c r="B14059" s="7">
        <v>1</v>
      </c>
      <c r="C14059" s="7" t="s">
        <v>10</v>
      </c>
      <c r="D14059" s="7">
        <v>18855</v>
      </c>
      <c r="E14059" s="7" t="s">
        <v>23</v>
      </c>
      <c r="F14059" s="8" t="str">
        <f ca="1">IFERROR(__xludf.DUMMYFUNCTION("IF
(
C14060=""фізична особа""
,
VLOOKUP(D14060,IMPORTRANGE(""https://docs.google.com/spreadsheets/d/14Bd19lYaqBhU8_DElYkX7l4wRkHqqCUFNJY4AfY3kHU/edit?usp=sharing  #gid=0"",""фіз особи new!relations_name""),6,FALSE)
,
(IF
(
C14060=""юридична особа""
,
VLOO"&amp;"KUP(D14060,IMPORTRANGE(""https://docs.google.com/spreadsheets/d/14Bd19lYaqBhU8_DElYkX7l4wRkHqqCUFNJY4AfY3kHU/edit?usp=sharing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59" s="7" t="s">
        <v>10</v>
      </c>
      <c r="H14059" s="7">
        <v>18577</v>
      </c>
      <c r="I14059" s="8" t="str">
        <f ca="1">IFERROR(__xludf.DUMMYFUNCTION("IF
(
G14060=""фізична особа""
,
VLOOKUP(H14060,IMPORTRANGE(""https://docs.google.com/spreadsheets/d/14Bd19lYaqBhU8_DElYkX7l4wRkHqqCUFNJY4AfY3kHU/edit?usp=sharing  #gid=0"",""фіз особи new!relations_name""),6,FALSE)
,
(IF
(
G14060=""юридична особа""
,
VLOO"&amp;"KUP(H14060,IMPORTRANGE(""https://docs.google.com/spreadsheets/d/14Bd19lYaqBhU8_DElYkX7l4wRkHqqCUFNJY4AfY3kHU/edit?usp=sharing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59" s="7" t="s">
        <v>23</v>
      </c>
    </row>
    <row r="14060" spans="1:10" ht="13.2">
      <c r="A14060" s="7">
        <v>14059</v>
      </c>
      <c r="B14060" s="7">
        <v>1</v>
      </c>
      <c r="C14060" s="7" t="s">
        <v>10</v>
      </c>
      <c r="D14060" s="7">
        <v>18855</v>
      </c>
      <c r="E14060" s="7" t="s">
        <v>23</v>
      </c>
      <c r="F14060" s="8" t="str">
        <f ca="1">IFERROR(__xludf.DUMMYFUNCTION("IF
(
C14061=""фізична особа""
,
VLOOKUP(D14061,IMPORTRANGE(""https://docs.google.com/spreadsheets/d/14Bd19lYaqBhU8_DElYkX7l4wRkHqqCUFNJY4AfY3kHU/edit?usp=sharing  #gid=0"",""фіз особи new!relations_name""),6,FALSE)
,
(IF
(
C14061=""юридична особа""
,
VLOO"&amp;"KUP(D14061,IMPORTRANGE(""https://docs.google.com/spreadsheets/d/14Bd19lYaqBhU8_DElYkX7l4wRkHqqCUFNJY4AfY3kHU/edit?usp=sharing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0" s="7" t="s">
        <v>10</v>
      </c>
      <c r="H14060" s="7">
        <v>18578</v>
      </c>
      <c r="I14060" s="8" t="str">
        <f ca="1">IFERROR(__xludf.DUMMYFUNCTION("IF
(
G14061=""фізична особа""
,
VLOOKUP(H14061,IMPORTRANGE(""https://docs.google.com/spreadsheets/d/14Bd19lYaqBhU8_DElYkX7l4wRkHqqCUFNJY4AfY3kHU/edit?usp=sharing  #gid=0"",""фіз особи new!relations_name""),6,FALSE)
,
(IF
(
G14061=""юридична особа""
,
VLOO"&amp;"KUP(H14061,IMPORTRANGE(""https://docs.google.com/spreadsheets/d/14Bd19lYaqBhU8_DElYkX7l4wRkHqqCUFNJY4AfY3kHU/edit?usp=sharing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60" s="7" t="s">
        <v>23</v>
      </c>
    </row>
    <row r="14061" spans="1:10" ht="13.2">
      <c r="A14061" s="7">
        <v>14060</v>
      </c>
      <c r="B14061" s="7">
        <v>1</v>
      </c>
      <c r="C14061" s="7" t="s">
        <v>10</v>
      </c>
      <c r="D14061" s="7">
        <v>18855</v>
      </c>
      <c r="E14061" s="7" t="s">
        <v>23</v>
      </c>
      <c r="F14061" s="8" t="str">
        <f ca="1">IFERROR(__xludf.DUMMYFUNCTION("IF
(
C14062=""фізична особа""
,
VLOOKUP(D14062,IMPORTRANGE(""https://docs.google.com/spreadsheets/d/14Bd19lYaqBhU8_DElYkX7l4wRkHqqCUFNJY4AfY3kHU/edit?usp=sharing  #gid=0"",""фіз особи new!relations_name""),6,FALSE)
,
(IF
(
C14062=""юридична особа""
,
VLOO"&amp;"KUP(D14062,IMPORTRANGE(""https://docs.google.com/spreadsheets/d/14Bd19lYaqBhU8_DElYkX7l4wRkHqqCUFNJY4AfY3kHU/edit?usp=sharing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1" s="7" t="s">
        <v>10</v>
      </c>
      <c r="H14061" s="7">
        <v>18580</v>
      </c>
      <c r="I14061" s="8" t="str">
        <f ca="1">IFERROR(__xludf.DUMMYFUNCTION("IF
(
G14062=""фізична особа""
,
VLOOKUP(H14062,IMPORTRANGE(""https://docs.google.com/spreadsheets/d/14Bd19lYaqBhU8_DElYkX7l4wRkHqqCUFNJY4AfY3kHU/edit?usp=sharing  #gid=0"",""фіз особи new!relations_name""),6,FALSE)
,
(IF
(
G14062=""юридична особа""
,
VLOO"&amp;"KUP(H14062,IMPORTRANGE(""https://docs.google.com/spreadsheets/d/14Bd19lYaqBhU8_DElYkX7l4wRkHqqCUFNJY4AfY3kHU/edit?usp=sharing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61" s="7" t="s">
        <v>23</v>
      </c>
    </row>
    <row r="14062" spans="1:10" ht="13.2">
      <c r="A14062" s="7">
        <v>14061</v>
      </c>
      <c r="B14062" s="7">
        <v>1</v>
      </c>
      <c r="C14062" s="7" t="s">
        <v>10</v>
      </c>
      <c r="D14062" s="7">
        <v>18855</v>
      </c>
      <c r="E14062" s="7" t="s">
        <v>23</v>
      </c>
      <c r="F14062" s="8" t="str">
        <f ca="1">IFERROR(__xludf.DUMMYFUNCTION("IF
(
C14063=""фізична особа""
,
VLOOKUP(D14063,IMPORTRANGE(""https://docs.google.com/spreadsheets/d/14Bd19lYaqBhU8_DElYkX7l4wRkHqqCUFNJY4AfY3kHU/edit?usp=sharing  #gid=0"",""фіз особи new!relations_name""),6,FALSE)
,
(IF
(
C14063=""юридична особа""
,
VLOO"&amp;"KUP(D14063,IMPORTRANGE(""https://docs.google.com/spreadsheets/d/14Bd19lYaqBhU8_DElYkX7l4wRkHqqCUFNJY4AfY3kHU/edit?usp=sharing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2" s="7" t="s">
        <v>10</v>
      </c>
      <c r="H14062" s="7">
        <v>18581</v>
      </c>
      <c r="I14062" s="8" t="str">
        <f ca="1">IFERROR(__xludf.DUMMYFUNCTION("IF
(
G14063=""фізична особа""
,
VLOOKUP(H14063,IMPORTRANGE(""https://docs.google.com/spreadsheets/d/14Bd19lYaqBhU8_DElYkX7l4wRkHqqCUFNJY4AfY3kHU/edit?usp=sharing  #gid=0"",""фіз особи new!relations_name""),6,FALSE)
,
(IF
(
G14063=""юридична особа""
,
VLOO"&amp;"KUP(H14063,IMPORTRANGE(""https://docs.google.com/spreadsheets/d/14Bd19lYaqBhU8_DElYkX7l4wRkHqqCUFNJY4AfY3kHU/edit?usp=sharing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062" s="7" t="s">
        <v>23</v>
      </c>
    </row>
    <row r="14063" spans="1:10" ht="13.2">
      <c r="A14063" s="7">
        <v>14062</v>
      </c>
      <c r="B14063" s="7">
        <v>1</v>
      </c>
      <c r="C14063" s="7" t="s">
        <v>10</v>
      </c>
      <c r="D14063" s="7">
        <v>18855</v>
      </c>
      <c r="E14063" s="7" t="s">
        <v>23</v>
      </c>
      <c r="F14063" s="8" t="str">
        <f ca="1">IFERROR(__xludf.DUMMYFUNCTION("IF
(
C14064=""фізична особа""
,
VLOOKUP(D14064,IMPORTRANGE(""https://docs.google.com/spreadsheets/d/14Bd19lYaqBhU8_DElYkX7l4wRkHqqCUFNJY4AfY3kHU/edit?usp=sharing  #gid=0"",""фіз особи new!relations_name""),6,FALSE)
,
(IF
(
C14064=""юридична особа""
,
VLOO"&amp;"KUP(D14064,IMPORTRANGE(""https://docs.google.com/spreadsheets/d/14Bd19lYaqBhU8_DElYkX7l4wRkHqqCUFNJY4AfY3kHU/edit?usp=sharing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3" s="7" t="s">
        <v>10</v>
      </c>
      <c r="H14063" s="7">
        <v>18582</v>
      </c>
      <c r="I14063" s="8" t="str">
        <f ca="1">IFERROR(__xludf.DUMMYFUNCTION("IF
(
G14064=""фізична особа""
,
VLOOKUP(H14064,IMPORTRANGE(""https://docs.google.com/spreadsheets/d/14Bd19lYaqBhU8_DElYkX7l4wRkHqqCUFNJY4AfY3kHU/edit?usp=sharing  #gid=0"",""фіз особи new!relations_name""),6,FALSE)
,
(IF
(
G14064=""юридична особа""
,
VLOO"&amp;"KUP(H14064,IMPORTRANGE(""https://docs.google.com/spreadsheets/d/14Bd19lYaqBhU8_DElYkX7l4wRkHqqCUFNJY4AfY3kHU/edit?usp=sharing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063" s="7" t="s">
        <v>23</v>
      </c>
    </row>
    <row r="14064" spans="1:10" ht="13.2">
      <c r="A14064" s="7">
        <v>14063</v>
      </c>
      <c r="B14064" s="7">
        <v>1</v>
      </c>
      <c r="C14064" s="7" t="s">
        <v>10</v>
      </c>
      <c r="D14064" s="7">
        <v>18855</v>
      </c>
      <c r="E14064" s="7" t="s">
        <v>23</v>
      </c>
      <c r="F14064" s="8" t="str">
        <f ca="1">IFERROR(__xludf.DUMMYFUNCTION("IF
(
C14065=""фізична особа""
,
VLOOKUP(D14065,IMPORTRANGE(""https://docs.google.com/spreadsheets/d/14Bd19lYaqBhU8_DElYkX7l4wRkHqqCUFNJY4AfY3kHU/edit?usp=sharing  #gid=0"",""фіз особи new!relations_name""),6,FALSE)
,
(IF
(
C14065=""юридична особа""
,
VLOO"&amp;"KUP(D14065,IMPORTRANGE(""https://docs.google.com/spreadsheets/d/14Bd19lYaqBhU8_DElYkX7l4wRkHqqCUFNJY4AfY3kHU/edit?usp=sharing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4" s="7" t="s">
        <v>10</v>
      </c>
      <c r="H14064" s="7">
        <v>18583</v>
      </c>
      <c r="I14064" s="8" t="str">
        <f ca="1">IFERROR(__xludf.DUMMYFUNCTION("IF
(
G14065=""фізична особа""
,
VLOOKUP(H14065,IMPORTRANGE(""https://docs.google.com/spreadsheets/d/14Bd19lYaqBhU8_DElYkX7l4wRkHqqCUFNJY4AfY3kHU/edit?usp=sharing  #gid=0"",""фіз особи new!relations_name""),6,FALSE)
,
(IF
(
G14065=""юридична особа""
,
VLOO"&amp;"KUP(H14065,IMPORTRANGE(""https://docs.google.com/spreadsheets/d/14Bd19lYaqBhU8_DElYkX7l4wRkHqqCUFNJY4AfY3kHU/edit?usp=sharing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064" s="7" t="s">
        <v>23</v>
      </c>
    </row>
    <row r="14065" spans="1:10" ht="13.2">
      <c r="A14065" s="7">
        <v>14064</v>
      </c>
      <c r="B14065" s="7">
        <v>1</v>
      </c>
      <c r="C14065" s="7" t="s">
        <v>10</v>
      </c>
      <c r="D14065" s="7">
        <v>18855</v>
      </c>
      <c r="E14065" s="7" t="s">
        <v>23</v>
      </c>
      <c r="F14065" s="8" t="str">
        <f ca="1">IFERROR(__xludf.DUMMYFUNCTION("IF
(
C14066=""фізична особа""
,
VLOOKUP(D14066,IMPORTRANGE(""https://docs.google.com/spreadsheets/d/14Bd19lYaqBhU8_DElYkX7l4wRkHqqCUFNJY4AfY3kHU/edit?usp=sharing  #gid=0"",""фіз особи new!relations_name""),6,FALSE)
,
(IF
(
C14066=""юридична особа""
,
VLOO"&amp;"KUP(D14066,IMPORTRANGE(""https://docs.google.com/spreadsheets/d/14Bd19lYaqBhU8_DElYkX7l4wRkHqqCUFNJY4AfY3kHU/edit?usp=sharing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5" s="7" t="s">
        <v>10</v>
      </c>
      <c r="H14065" s="7">
        <v>18584</v>
      </c>
      <c r="I14065" s="8" t="str">
        <f ca="1">IFERROR(__xludf.DUMMYFUNCTION("IF
(
G14066=""фізична особа""
,
VLOOKUP(H14066,IMPORTRANGE(""https://docs.google.com/spreadsheets/d/14Bd19lYaqBhU8_DElYkX7l4wRkHqqCUFNJY4AfY3kHU/edit?usp=sharing  #gid=0"",""фіз особи new!relations_name""),6,FALSE)
,
(IF
(
G14066=""юридична особа""
,
VLOO"&amp;"KUP(H14066,IMPORTRANGE(""https://docs.google.com/spreadsheets/d/14Bd19lYaqBhU8_DElYkX7l4wRkHqqCUFNJY4AfY3kHU/edit?usp=sharing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065" s="7" t="s">
        <v>23</v>
      </c>
    </row>
    <row r="14066" spans="1:10" ht="13.2">
      <c r="A14066" s="7">
        <v>14065</v>
      </c>
      <c r="B14066" s="7">
        <v>1</v>
      </c>
      <c r="C14066" s="7" t="s">
        <v>10</v>
      </c>
      <c r="D14066" s="7">
        <v>18855</v>
      </c>
      <c r="E14066" s="7" t="s">
        <v>23</v>
      </c>
      <c r="F14066" s="8" t="str">
        <f ca="1">IFERROR(__xludf.DUMMYFUNCTION("IF
(
C14067=""фізична особа""
,
VLOOKUP(D14067,IMPORTRANGE(""https://docs.google.com/spreadsheets/d/14Bd19lYaqBhU8_DElYkX7l4wRkHqqCUFNJY4AfY3kHU/edit?usp=sharing  #gid=0"",""фіз особи new!relations_name""),6,FALSE)
,
(IF
(
C14067=""юридична особа""
,
VLOO"&amp;"KUP(D14067,IMPORTRANGE(""https://docs.google.com/spreadsheets/d/14Bd19lYaqBhU8_DElYkX7l4wRkHqqCUFNJY4AfY3kHU/edit?usp=sharing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6" s="7" t="s">
        <v>10</v>
      </c>
      <c r="H14066" s="7">
        <v>18585</v>
      </c>
      <c r="I14066" s="8" t="str">
        <f ca="1">IFERROR(__xludf.DUMMYFUNCTION("IF
(
G14067=""фізична особа""
,
VLOOKUP(H14067,IMPORTRANGE(""https://docs.google.com/spreadsheets/d/14Bd19lYaqBhU8_DElYkX7l4wRkHqqCUFNJY4AfY3kHU/edit?usp=sharing  #gid=0"",""фіз особи new!relations_name""),6,FALSE)
,
(IF
(
G14067=""юридична особа""
,
VLOO"&amp;"KUP(H14067,IMPORTRANGE(""https://docs.google.com/spreadsheets/d/14Bd19lYaqBhU8_DElYkX7l4wRkHqqCUFNJY4AfY3kHU/edit?usp=sharing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066" s="7" t="s">
        <v>23</v>
      </c>
    </row>
    <row r="14067" spans="1:10" ht="13.2">
      <c r="A14067" s="7">
        <v>14066</v>
      </c>
      <c r="B14067" s="7">
        <v>1</v>
      </c>
      <c r="C14067" s="7" t="s">
        <v>10</v>
      </c>
      <c r="D14067" s="7">
        <v>18855</v>
      </c>
      <c r="E14067" s="7" t="s">
        <v>23</v>
      </c>
      <c r="F14067" s="8" t="str">
        <f ca="1">IFERROR(__xludf.DUMMYFUNCTION("IF
(
C14068=""фізична особа""
,
VLOOKUP(D14068,IMPORTRANGE(""https://docs.google.com/spreadsheets/d/14Bd19lYaqBhU8_DElYkX7l4wRkHqqCUFNJY4AfY3kHU/edit?usp=sharing  #gid=0"",""фіз особи new!relations_name""),6,FALSE)
,
(IF
(
C14068=""юридична особа""
,
VLOO"&amp;"KUP(D14068,IMPORTRANGE(""https://docs.google.com/spreadsheets/d/14Bd19lYaqBhU8_DElYkX7l4wRkHqqCUFNJY4AfY3kHU/edit?usp=sharing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7" s="7" t="s">
        <v>10</v>
      </c>
      <c r="H14067" s="7">
        <v>18579</v>
      </c>
      <c r="I14067" s="8" t="str">
        <f ca="1">IFERROR(__xludf.DUMMYFUNCTION("IF
(
G14068=""фізична особа""
,
VLOOKUP(H14068,IMPORTRANGE(""https://docs.google.com/spreadsheets/d/14Bd19lYaqBhU8_DElYkX7l4wRkHqqCUFNJY4AfY3kHU/edit?usp=sharing  #gid=0"",""фіз особи new!relations_name""),6,FALSE)
,
(IF
(
G14068=""юридична особа""
,
VLOO"&amp;"KUP(H14068,IMPORTRANGE(""https://docs.google.com/spreadsheets/d/14Bd19lYaqBhU8_DElYkX7l4wRkHqqCUFNJY4AfY3kHU/edit?usp=sharing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067" s="7" t="s">
        <v>23</v>
      </c>
    </row>
    <row r="14068" spans="1:10" ht="13.2">
      <c r="A14068" s="7">
        <v>14067</v>
      </c>
      <c r="B14068" s="7">
        <v>1</v>
      </c>
      <c r="C14068" s="7" t="s">
        <v>10</v>
      </c>
      <c r="D14068" s="7">
        <v>18855</v>
      </c>
      <c r="E14068" s="7" t="s">
        <v>23</v>
      </c>
      <c r="F14068" s="8" t="str">
        <f ca="1">IFERROR(__xludf.DUMMYFUNCTION("IF
(
C14069=""фізична особа""
,
VLOOKUP(D14069,IMPORTRANGE(""https://docs.google.com/spreadsheets/d/14Bd19lYaqBhU8_DElYkX7l4wRkHqqCUFNJY4AfY3kHU/edit?usp=sharing  #gid=0"",""фіз особи new!relations_name""),6,FALSE)
,
(IF
(
C14069=""юридична особа""
,
VLOO"&amp;"KUP(D14069,IMPORTRANGE(""https://docs.google.com/spreadsheets/d/14Bd19lYaqBhU8_DElYkX7l4wRkHqqCUFNJY4AfY3kHU/edit?usp=sharing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8" s="7" t="s">
        <v>10</v>
      </c>
      <c r="H14068" s="7">
        <v>18847</v>
      </c>
      <c r="I14068" s="8" t="str">
        <f ca="1">IFERROR(__xludf.DUMMYFUNCTION("IF
(
G14069=""фізична особа""
,
VLOOKUP(H14069,IMPORTRANGE(""https://docs.google.com/spreadsheets/d/14Bd19lYaqBhU8_DElYkX7l4wRkHqqCUFNJY4AfY3kHU/edit?usp=sharing  #gid=0"",""фіз особи new!relations_name""),6,FALSE)
,
(IF
(
G14069=""юридична особа""
,
VLOO"&amp;"KUP(H14069,IMPORTRANGE(""https://docs.google.com/spreadsheets/d/14Bd19lYaqBhU8_DElYkX7l4wRkHqqCUFNJY4AfY3kHU/edit?usp=sharing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068" s="7" t="s">
        <v>23</v>
      </c>
    </row>
    <row r="14069" spans="1:10" ht="13.2">
      <c r="A14069" s="7">
        <v>14068</v>
      </c>
      <c r="B14069" s="7">
        <v>1</v>
      </c>
      <c r="C14069" s="7" t="s">
        <v>10</v>
      </c>
      <c r="D14069" s="7">
        <v>18855</v>
      </c>
      <c r="E14069" s="7" t="s">
        <v>23</v>
      </c>
      <c r="F14069" s="8" t="str">
        <f ca="1">IFERROR(__xludf.DUMMYFUNCTION("IF
(
C14070=""фізична особа""
,
VLOOKUP(D14070,IMPORTRANGE(""https://docs.google.com/spreadsheets/d/14Bd19lYaqBhU8_DElYkX7l4wRkHqqCUFNJY4AfY3kHU/edit?usp=sharing  #gid=0"",""фіз особи new!relations_name""),6,FALSE)
,
(IF
(
C14070=""юридична особа""
,
VLOO"&amp;"KUP(D14070,IMPORTRANGE(""https://docs.google.com/spreadsheets/d/14Bd19lYaqBhU8_DElYkX7l4wRkHqqCUFNJY4AfY3kHU/edit?usp=sharing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69" s="7" t="s">
        <v>10</v>
      </c>
      <c r="H14069" s="7">
        <v>18848</v>
      </c>
      <c r="I14069" s="8" t="str">
        <f ca="1">IFERROR(__xludf.DUMMYFUNCTION("IF
(
G14070=""фізична особа""
,
VLOOKUP(H14070,IMPORTRANGE(""https://docs.google.com/spreadsheets/d/14Bd19lYaqBhU8_DElYkX7l4wRkHqqCUFNJY4AfY3kHU/edit?usp=sharing  #gid=0"",""фіз особи new!relations_name""),6,FALSE)
,
(IF
(
G14070=""юридична особа""
,
VLOO"&amp;"KUP(H14070,IMPORTRANGE(""https://docs.google.com/spreadsheets/d/14Bd19lYaqBhU8_DElYkX7l4wRkHqqCUFNJY4AfY3kHU/edit?usp=sharing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069" s="7" t="s">
        <v>23</v>
      </c>
    </row>
    <row r="14070" spans="1:10" ht="13.2">
      <c r="A14070" s="7">
        <v>14069</v>
      </c>
      <c r="B14070" s="7">
        <v>1</v>
      </c>
      <c r="C14070" s="7" t="s">
        <v>10</v>
      </c>
      <c r="D14070" s="7">
        <v>18855</v>
      </c>
      <c r="E14070" s="7" t="s">
        <v>23</v>
      </c>
      <c r="F14070" s="8" t="str">
        <f ca="1">IFERROR(__xludf.DUMMYFUNCTION("IF
(
C14071=""фізична особа""
,
VLOOKUP(D14071,IMPORTRANGE(""https://docs.google.com/spreadsheets/d/14Bd19lYaqBhU8_DElYkX7l4wRkHqqCUFNJY4AfY3kHU/edit?usp=sharing  #gid=0"",""фіз особи new!relations_name""),6,FALSE)
,
(IF
(
C14071=""юридична особа""
,
VLOO"&amp;"KUP(D14071,IMPORTRANGE(""https://docs.google.com/spreadsheets/d/14Bd19lYaqBhU8_DElYkX7l4wRkHqqCUFNJY4AfY3kHU/edit?usp=sharing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0" s="7" t="s">
        <v>10</v>
      </c>
      <c r="H14070" s="7">
        <v>18849</v>
      </c>
      <c r="I14070" s="8" t="str">
        <f ca="1">IFERROR(__xludf.DUMMYFUNCTION("IF
(
G14071=""фізична особа""
,
VLOOKUP(H14071,IMPORTRANGE(""https://docs.google.com/spreadsheets/d/14Bd19lYaqBhU8_DElYkX7l4wRkHqqCUFNJY4AfY3kHU/edit?usp=sharing  #gid=0"",""фіз особи new!relations_name""),6,FALSE)
,
(IF
(
G14071=""юридична особа""
,
VLOO"&amp;"KUP(H14071,IMPORTRANGE(""https://docs.google.com/spreadsheets/d/14Bd19lYaqBhU8_DElYkX7l4wRkHqqCUFNJY4AfY3kHU/edit?usp=sharing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070" s="7" t="s">
        <v>23</v>
      </c>
    </row>
    <row r="14071" spans="1:10" ht="13.2">
      <c r="A14071" s="7">
        <v>14070</v>
      </c>
      <c r="B14071" s="7">
        <v>1</v>
      </c>
      <c r="C14071" s="7" t="s">
        <v>10</v>
      </c>
      <c r="D14071" s="7">
        <v>18855</v>
      </c>
      <c r="E14071" s="7" t="s">
        <v>23</v>
      </c>
      <c r="F14071" s="8" t="str">
        <f ca="1">IFERROR(__xludf.DUMMYFUNCTION("IF
(
C14072=""фізична особа""
,
VLOOKUP(D14072,IMPORTRANGE(""https://docs.google.com/spreadsheets/d/14Bd19lYaqBhU8_DElYkX7l4wRkHqqCUFNJY4AfY3kHU/edit?usp=sharing  #gid=0"",""фіз особи new!relations_name""),6,FALSE)
,
(IF
(
C14072=""юридична особа""
,
VLOO"&amp;"KUP(D14072,IMPORTRANGE(""https://docs.google.com/spreadsheets/d/14Bd19lYaqBhU8_DElYkX7l4wRkHqqCUFNJY4AfY3kHU/edit?usp=sharing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1" s="7" t="s">
        <v>10</v>
      </c>
      <c r="H14071" s="7">
        <v>18850</v>
      </c>
      <c r="I14071" s="8" t="str">
        <f ca="1">IFERROR(__xludf.DUMMYFUNCTION("IF
(
G14072=""фізична особа""
,
VLOOKUP(H14072,IMPORTRANGE(""https://docs.google.com/spreadsheets/d/14Bd19lYaqBhU8_DElYkX7l4wRkHqqCUFNJY4AfY3kHU/edit?usp=sharing  #gid=0"",""фіз особи new!relations_name""),6,FALSE)
,
(IF
(
G14072=""юридична особа""
,
VLOO"&amp;"KUP(H14072,IMPORTRANGE(""https://docs.google.com/spreadsheets/d/14Bd19lYaqBhU8_DElYkX7l4wRkHqqCUFNJY4AfY3kHU/edit?usp=sharing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071" s="7" t="s">
        <v>23</v>
      </c>
    </row>
    <row r="14072" spans="1:10" ht="13.2">
      <c r="A14072" s="7">
        <v>14071</v>
      </c>
      <c r="B14072" s="7">
        <v>1</v>
      </c>
      <c r="C14072" s="7" t="s">
        <v>10</v>
      </c>
      <c r="D14072" s="7">
        <v>18855</v>
      </c>
      <c r="E14072" s="7" t="s">
        <v>23</v>
      </c>
      <c r="F14072" s="8" t="str">
        <f ca="1">IFERROR(__xludf.DUMMYFUNCTION("IF
(
C14073=""фізична особа""
,
VLOOKUP(D14073,IMPORTRANGE(""https://docs.google.com/spreadsheets/d/14Bd19lYaqBhU8_DElYkX7l4wRkHqqCUFNJY4AfY3kHU/edit?usp=sharing  #gid=0"",""фіз особи new!relations_name""),6,FALSE)
,
(IF
(
C14073=""юридична особа""
,
VLOO"&amp;"KUP(D14073,IMPORTRANGE(""https://docs.google.com/spreadsheets/d/14Bd19lYaqBhU8_DElYkX7l4wRkHqqCUFNJY4AfY3kHU/edit?usp=sharing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2" s="7" t="s">
        <v>10</v>
      </c>
      <c r="H14072" s="7">
        <v>18851</v>
      </c>
      <c r="I14072" s="8" t="str">
        <f ca="1">IFERROR(__xludf.DUMMYFUNCTION("IF
(
G14073=""фізична особа""
,
VLOOKUP(H14073,IMPORTRANGE(""https://docs.google.com/spreadsheets/d/14Bd19lYaqBhU8_DElYkX7l4wRkHqqCUFNJY4AfY3kHU/edit?usp=sharing  #gid=0"",""фіз особи new!relations_name""),6,FALSE)
,
(IF
(
G14073=""юридична особа""
,
VLOO"&amp;"KUP(H14073,IMPORTRANGE(""https://docs.google.com/spreadsheets/d/14Bd19lYaqBhU8_DElYkX7l4wRkHqqCUFNJY4AfY3kHU/edit?usp=sharing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072" s="7" t="s">
        <v>23</v>
      </c>
    </row>
    <row r="14073" spans="1:10" ht="13.2">
      <c r="A14073" s="7">
        <v>14072</v>
      </c>
      <c r="B14073" s="7">
        <v>1</v>
      </c>
      <c r="C14073" s="7" t="s">
        <v>10</v>
      </c>
      <c r="D14073" s="7">
        <v>18855</v>
      </c>
      <c r="E14073" s="7" t="s">
        <v>23</v>
      </c>
      <c r="F14073" s="8" t="str">
        <f ca="1">IFERROR(__xludf.DUMMYFUNCTION("IF
(
C14074=""фізична особа""
,
VLOOKUP(D14074,IMPORTRANGE(""https://docs.google.com/spreadsheets/d/14Bd19lYaqBhU8_DElYkX7l4wRkHqqCUFNJY4AfY3kHU/edit?usp=sharing  #gid=0"",""фіз особи new!relations_name""),6,FALSE)
,
(IF
(
C14074=""юридична особа""
,
VLOO"&amp;"KUP(D14074,IMPORTRANGE(""https://docs.google.com/spreadsheets/d/14Bd19lYaqBhU8_DElYkX7l4wRkHqqCUFNJY4AfY3kHU/edit?usp=sharing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3" s="7" t="s">
        <v>10</v>
      </c>
      <c r="H14073" s="7">
        <v>18852</v>
      </c>
      <c r="I14073" s="8" t="str">
        <f ca="1">IFERROR(__xludf.DUMMYFUNCTION("IF
(
G14074=""фізична особа""
,
VLOOKUP(H14074,IMPORTRANGE(""https://docs.google.com/spreadsheets/d/14Bd19lYaqBhU8_DElYkX7l4wRkHqqCUFNJY4AfY3kHU/edit?usp=sharing  #gid=0"",""фіз особи new!relations_name""),6,FALSE)
,
(IF
(
G14074=""юридична особа""
,
VLOO"&amp;"KUP(H14074,IMPORTRANGE(""https://docs.google.com/spreadsheets/d/14Bd19lYaqBhU8_DElYkX7l4wRkHqqCUFNJY4AfY3kHU/edit?usp=sharing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073" s="7" t="s">
        <v>23</v>
      </c>
    </row>
    <row r="14074" spans="1:10" ht="13.2">
      <c r="A14074" s="7">
        <v>14073</v>
      </c>
      <c r="B14074" s="7">
        <v>1</v>
      </c>
      <c r="C14074" s="7" t="s">
        <v>10</v>
      </c>
      <c r="D14074" s="7">
        <v>18855</v>
      </c>
      <c r="E14074" s="7" t="s">
        <v>23</v>
      </c>
      <c r="F14074" s="8" t="str">
        <f ca="1">IFERROR(__xludf.DUMMYFUNCTION("IF
(
C14075=""фізична особа""
,
VLOOKUP(D14075,IMPORTRANGE(""https://docs.google.com/spreadsheets/d/14Bd19lYaqBhU8_DElYkX7l4wRkHqqCUFNJY4AfY3kHU/edit?usp=sharing  #gid=0"",""фіз особи new!relations_name""),6,FALSE)
,
(IF
(
C14075=""юридична особа""
,
VLOO"&amp;"KUP(D14075,IMPORTRANGE(""https://docs.google.com/spreadsheets/d/14Bd19lYaqBhU8_DElYkX7l4wRkHqqCUFNJY4AfY3kHU/edit?usp=sharing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4" s="7" t="s">
        <v>10</v>
      </c>
      <c r="H14074" s="7">
        <v>18853</v>
      </c>
      <c r="I14074" s="8" t="str">
        <f ca="1">IFERROR(__xludf.DUMMYFUNCTION("IF
(
G14075=""фізична особа""
,
VLOOKUP(H14075,IMPORTRANGE(""https://docs.google.com/spreadsheets/d/14Bd19lYaqBhU8_DElYkX7l4wRkHqqCUFNJY4AfY3kHU/edit?usp=sharing  #gid=0"",""фіз особи new!relations_name""),6,FALSE)
,
(IF
(
G14075=""юридична особа""
,
VLOO"&amp;"KUP(H14075,IMPORTRANGE(""https://docs.google.com/spreadsheets/d/14Bd19lYaqBhU8_DElYkX7l4wRkHqqCUFNJY4AfY3kHU/edit?usp=sharing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074" s="7" t="s">
        <v>23</v>
      </c>
    </row>
    <row r="14075" spans="1:10" ht="13.2">
      <c r="A14075" s="7">
        <v>14074</v>
      </c>
      <c r="B14075" s="7">
        <v>1</v>
      </c>
      <c r="C14075" s="7" t="s">
        <v>10</v>
      </c>
      <c r="D14075" s="7">
        <v>18855</v>
      </c>
      <c r="E14075" s="7" t="s">
        <v>23</v>
      </c>
      <c r="F14075" s="8" t="str">
        <f ca="1">IFERROR(__xludf.DUMMYFUNCTION("IF
(
C14076=""фізична особа""
,
VLOOKUP(D14076,IMPORTRANGE(""https://docs.google.com/spreadsheets/d/14Bd19lYaqBhU8_DElYkX7l4wRkHqqCUFNJY4AfY3kHU/edit?usp=sharing  #gid=0"",""фіз особи new!relations_name""),6,FALSE)
,
(IF
(
C14076=""юридична особа""
,
VLOO"&amp;"KUP(D14076,IMPORTRANGE(""https://docs.google.com/spreadsheets/d/14Bd19lYaqBhU8_DElYkX7l4wRkHqqCUFNJY4AfY3kHU/edit?usp=sharing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5" s="7" t="s">
        <v>10</v>
      </c>
      <c r="H14075" s="7">
        <v>18854</v>
      </c>
      <c r="I14075" s="8" t="str">
        <f ca="1">IFERROR(__xludf.DUMMYFUNCTION("IF
(
G14076=""фізична особа""
,
VLOOKUP(H14076,IMPORTRANGE(""https://docs.google.com/spreadsheets/d/14Bd19lYaqBhU8_DElYkX7l4wRkHqqCUFNJY4AfY3kHU/edit?usp=sharing  #gid=0"",""фіз особи new!relations_name""),6,FALSE)
,
(IF
(
G14076=""юридична особа""
,
VLOO"&amp;"KUP(H14076,IMPORTRANGE(""https://docs.google.com/spreadsheets/d/14Bd19lYaqBhU8_DElYkX7l4wRkHqqCUFNJY4AfY3kHU/edit?usp=sharing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075" s="7" t="s">
        <v>23</v>
      </c>
    </row>
    <row r="14076" spans="1:10" ht="13.2">
      <c r="A14076" s="7">
        <v>14075</v>
      </c>
      <c r="B14076" s="7">
        <v>1</v>
      </c>
      <c r="C14076" s="7" t="s">
        <v>10</v>
      </c>
      <c r="D14076" s="7">
        <v>18855</v>
      </c>
      <c r="E14076" s="7" t="s">
        <v>23</v>
      </c>
      <c r="F14076" s="8" t="str">
        <f ca="1">IFERROR(__xludf.DUMMYFUNCTION("IF
(
C14077=""фізична особа""
,
VLOOKUP(D14077,IMPORTRANGE(""https://docs.google.com/spreadsheets/d/14Bd19lYaqBhU8_DElYkX7l4wRkHqqCUFNJY4AfY3kHU/edit?usp=sharing  #gid=0"",""фіз особи new!relations_name""),6,FALSE)
,
(IF
(
C14077=""юридична особа""
,
VLOO"&amp;"KUP(D14077,IMPORTRANGE(""https://docs.google.com/spreadsheets/d/14Bd19lYaqBhU8_DElYkX7l4wRkHqqCUFNJY4AfY3kHU/edit?usp=sharing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G14076" s="7" t="s">
        <v>10</v>
      </c>
      <c r="H14076" s="7">
        <v>18856</v>
      </c>
      <c r="I14076" s="8" t="str">
        <f ca="1">IFERROR(__xludf.DUMMYFUNCTION("IF
(
G14077=""фізична особа""
,
VLOOKUP(H14077,IMPORTRANGE(""https://docs.google.com/spreadsheets/d/14Bd19lYaqBhU8_DElYkX7l4wRkHqqCUFNJY4AfY3kHU/edit?usp=sharing  #gid=0"",""фіз особи new!relations_name""),6,FALSE)
,
(IF
(
G14077=""юридична особа""
,
VLOO"&amp;"KUP(H14077,IMPORTRANGE(""https://docs.google.com/spreadsheets/d/14Bd19lYaqBhU8_DElYkX7l4wRkHqqCUFNJY4AfY3kHU/edit?usp=sharing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J14076" s="7" t="s">
        <v>23</v>
      </c>
    </row>
    <row r="14077" spans="1:10" ht="13.2">
      <c r="A14077" s="7">
        <v>14076</v>
      </c>
      <c r="B14077" s="7">
        <v>1</v>
      </c>
      <c r="C14077" s="7" t="s">
        <v>10</v>
      </c>
      <c r="D14077" s="7">
        <v>18856</v>
      </c>
      <c r="E14077" s="7" t="s">
        <v>23</v>
      </c>
      <c r="F14077" s="8" t="str">
        <f ca="1">IFERROR(__xludf.DUMMYFUNCTION("IF
(
C14078=""фізична особа""
,
VLOOKUP(D14078,IMPORTRANGE(""https://docs.google.com/spreadsheets/d/14Bd19lYaqBhU8_DElYkX7l4wRkHqqCUFNJY4AfY3kHU/edit?usp=sharing  #gid=0"",""фіз особи new!relations_name""),6,FALSE)
,
(IF
(
C14078=""юридична особа""
,
VLOO"&amp;"KUP(D14078,IMPORTRANGE(""https://docs.google.com/spreadsheets/d/14Bd19lYaqBhU8_DElYkX7l4wRkHqqCUFNJY4AfY3kHU/edit?usp=sharing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77" s="7" t="s">
        <v>10</v>
      </c>
      <c r="H14077" s="7">
        <v>18576</v>
      </c>
      <c r="I14077" s="8" t="str">
        <f ca="1">IFERROR(__xludf.DUMMYFUNCTION("IF
(
G14078=""фізична особа""
,
VLOOKUP(H14078,IMPORTRANGE(""https://docs.google.com/spreadsheets/d/14Bd19lYaqBhU8_DElYkX7l4wRkHqqCUFNJY4AfY3kHU/edit?usp=sharing  #gid=0"",""фіз особи new!relations_name""),6,FALSE)
,
(IF
(
G14078=""юридична особа""
,
VLOO"&amp;"KUP(H14078,IMPORTRANGE(""https://docs.google.com/spreadsheets/d/14Bd19lYaqBhU8_DElYkX7l4wRkHqqCUFNJY4AfY3kHU/edit?usp=sharing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77" s="7" t="s">
        <v>23</v>
      </c>
    </row>
    <row r="14078" spans="1:10" ht="13.2">
      <c r="A14078" s="7">
        <v>14077</v>
      </c>
      <c r="B14078" s="7">
        <v>1</v>
      </c>
      <c r="C14078" s="7" t="s">
        <v>10</v>
      </c>
      <c r="D14078" s="7">
        <v>18856</v>
      </c>
      <c r="E14078" s="7" t="s">
        <v>23</v>
      </c>
      <c r="F14078" s="8" t="str">
        <f ca="1">IFERROR(__xludf.DUMMYFUNCTION("IF
(
C14079=""фізична особа""
,
VLOOKUP(D14079,IMPORTRANGE(""https://docs.google.com/spreadsheets/d/14Bd19lYaqBhU8_DElYkX7l4wRkHqqCUFNJY4AfY3kHU/edit?usp=sharing  #gid=0"",""фіз особи new!relations_name""),6,FALSE)
,
(IF
(
C14079=""юридична особа""
,
VLOO"&amp;"KUP(D14079,IMPORTRANGE(""https://docs.google.com/spreadsheets/d/14Bd19lYaqBhU8_DElYkX7l4wRkHqqCUFNJY4AfY3kHU/edit?usp=sharing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78" s="7" t="s">
        <v>10</v>
      </c>
      <c r="H14078" s="7">
        <v>18577</v>
      </c>
      <c r="I14078" s="8" t="str">
        <f ca="1">IFERROR(__xludf.DUMMYFUNCTION("IF
(
G14079=""фізична особа""
,
VLOOKUP(H14079,IMPORTRANGE(""https://docs.google.com/spreadsheets/d/14Bd19lYaqBhU8_DElYkX7l4wRkHqqCUFNJY4AfY3kHU/edit?usp=sharing  #gid=0"",""фіз особи new!relations_name""),6,FALSE)
,
(IF
(
G14079=""юридична особа""
,
VLOO"&amp;"KUP(H14079,IMPORTRANGE(""https://docs.google.com/spreadsheets/d/14Bd19lYaqBhU8_DElYkX7l4wRkHqqCUFNJY4AfY3kHU/edit?usp=sharing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78" s="7" t="s">
        <v>23</v>
      </c>
    </row>
    <row r="14079" spans="1:10" ht="13.2">
      <c r="A14079" s="7">
        <v>14078</v>
      </c>
      <c r="B14079" s="7">
        <v>1</v>
      </c>
      <c r="C14079" s="7" t="s">
        <v>10</v>
      </c>
      <c r="D14079" s="7">
        <v>18856</v>
      </c>
      <c r="E14079" s="7" t="s">
        <v>23</v>
      </c>
      <c r="F14079" s="8" t="str">
        <f ca="1">IFERROR(__xludf.DUMMYFUNCTION("IF
(
C14080=""фізична особа""
,
VLOOKUP(D14080,IMPORTRANGE(""https://docs.google.com/spreadsheets/d/14Bd19lYaqBhU8_DElYkX7l4wRkHqqCUFNJY4AfY3kHU/edit?usp=sharing  #gid=0"",""фіз особи new!relations_name""),6,FALSE)
,
(IF
(
C14080=""юридична особа""
,
VLOO"&amp;"KUP(D14080,IMPORTRANGE(""https://docs.google.com/spreadsheets/d/14Bd19lYaqBhU8_DElYkX7l4wRkHqqCUFNJY4AfY3kHU/edit?usp=sharing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79" s="7" t="s">
        <v>10</v>
      </c>
      <c r="H14079" s="7">
        <v>18578</v>
      </c>
      <c r="I14079" s="8" t="str">
        <f ca="1">IFERROR(__xludf.DUMMYFUNCTION("IF
(
G14080=""фізична особа""
,
VLOOKUP(H14080,IMPORTRANGE(""https://docs.google.com/spreadsheets/d/14Bd19lYaqBhU8_DElYkX7l4wRkHqqCUFNJY4AfY3kHU/edit?usp=sharing  #gid=0"",""фіз особи new!relations_name""),6,FALSE)
,
(IF
(
G14080=""юридична особа""
,
VLOO"&amp;"KUP(H14080,IMPORTRANGE(""https://docs.google.com/spreadsheets/d/14Bd19lYaqBhU8_DElYkX7l4wRkHqqCUFNJY4AfY3kHU/edit?usp=sharing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79" s="7" t="s">
        <v>23</v>
      </c>
    </row>
    <row r="14080" spans="1:10" ht="13.2">
      <c r="A14080" s="7">
        <v>14079</v>
      </c>
      <c r="B14080" s="7">
        <v>1</v>
      </c>
      <c r="C14080" s="7" t="s">
        <v>10</v>
      </c>
      <c r="D14080" s="7">
        <v>18856</v>
      </c>
      <c r="E14080" s="7" t="s">
        <v>23</v>
      </c>
      <c r="F14080" s="8" t="str">
        <f ca="1">IFERROR(__xludf.DUMMYFUNCTION("IF
(
C14081=""фізична особа""
,
VLOOKUP(D14081,IMPORTRANGE(""https://docs.google.com/spreadsheets/d/14Bd19lYaqBhU8_DElYkX7l4wRkHqqCUFNJY4AfY3kHU/edit?usp=sharing  #gid=0"",""фіз особи new!relations_name""),6,FALSE)
,
(IF
(
C14081=""юридична особа""
,
VLOO"&amp;"KUP(D14081,IMPORTRANGE(""https://docs.google.com/spreadsheets/d/14Bd19lYaqBhU8_DElYkX7l4wRkHqqCUFNJY4AfY3kHU/edit?usp=sharing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0" s="7" t="s">
        <v>10</v>
      </c>
      <c r="H14080" s="7">
        <v>18580</v>
      </c>
      <c r="I14080" s="8" t="str">
        <f ca="1">IFERROR(__xludf.DUMMYFUNCTION("IF
(
G14081=""фізична особа""
,
VLOOKUP(H14081,IMPORTRANGE(""https://docs.google.com/spreadsheets/d/14Bd19lYaqBhU8_DElYkX7l4wRkHqqCUFNJY4AfY3kHU/edit?usp=sharing  #gid=0"",""фіз особи new!relations_name""),6,FALSE)
,
(IF
(
G14081=""юридична особа""
,
VLOO"&amp;"KUP(H14081,IMPORTRANGE(""https://docs.google.com/spreadsheets/d/14Bd19lYaqBhU8_DElYkX7l4wRkHqqCUFNJY4AfY3kHU/edit?usp=sharing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80" s="7" t="s">
        <v>23</v>
      </c>
    </row>
    <row r="14081" spans="1:10" ht="13.2">
      <c r="A14081" s="7">
        <v>14080</v>
      </c>
      <c r="B14081" s="7">
        <v>1</v>
      </c>
      <c r="C14081" s="7" t="s">
        <v>10</v>
      </c>
      <c r="D14081" s="7">
        <v>18856</v>
      </c>
      <c r="E14081" s="7" t="s">
        <v>23</v>
      </c>
      <c r="F14081" s="8" t="str">
        <f ca="1">IFERROR(__xludf.DUMMYFUNCTION("IF
(
C14082=""фізична особа""
,
VLOOKUP(D14082,IMPORTRANGE(""https://docs.google.com/spreadsheets/d/14Bd19lYaqBhU8_DElYkX7l4wRkHqqCUFNJY4AfY3kHU/edit?usp=sharing  #gid=0"",""фіз особи new!relations_name""),6,FALSE)
,
(IF
(
C14082=""юридична особа""
,
VLOO"&amp;"KUP(D14082,IMPORTRANGE(""https://docs.google.com/spreadsheets/d/14Bd19lYaqBhU8_DElYkX7l4wRkHqqCUFNJY4AfY3kHU/edit?usp=sharing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1" s="7" t="s">
        <v>10</v>
      </c>
      <c r="H14081" s="7">
        <v>18581</v>
      </c>
      <c r="I14081" s="8" t="str">
        <f ca="1">IFERROR(__xludf.DUMMYFUNCTION("IF
(
G14082=""фізична особа""
,
VLOOKUP(H14082,IMPORTRANGE(""https://docs.google.com/spreadsheets/d/14Bd19lYaqBhU8_DElYkX7l4wRkHqqCUFNJY4AfY3kHU/edit?usp=sharing  #gid=0"",""фіз особи new!relations_name""),6,FALSE)
,
(IF
(
G14082=""юридична особа""
,
VLOO"&amp;"KUP(H14082,IMPORTRANGE(""https://docs.google.com/spreadsheets/d/14Bd19lYaqBhU8_DElYkX7l4wRkHqqCUFNJY4AfY3kHU/edit?usp=sharing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081" s="7" t="s">
        <v>23</v>
      </c>
    </row>
    <row r="14082" spans="1:10" ht="13.2">
      <c r="A14082" s="7">
        <v>14081</v>
      </c>
      <c r="B14082" s="7">
        <v>1</v>
      </c>
      <c r="C14082" s="7" t="s">
        <v>10</v>
      </c>
      <c r="D14082" s="7">
        <v>18856</v>
      </c>
      <c r="E14082" s="7" t="s">
        <v>23</v>
      </c>
      <c r="F14082" s="8" t="str">
        <f ca="1">IFERROR(__xludf.DUMMYFUNCTION("IF
(
C14083=""фізична особа""
,
VLOOKUP(D14083,IMPORTRANGE(""https://docs.google.com/spreadsheets/d/14Bd19lYaqBhU8_DElYkX7l4wRkHqqCUFNJY4AfY3kHU/edit?usp=sharing  #gid=0"",""фіз особи new!relations_name""),6,FALSE)
,
(IF
(
C14083=""юридична особа""
,
VLOO"&amp;"KUP(D14083,IMPORTRANGE(""https://docs.google.com/spreadsheets/d/14Bd19lYaqBhU8_DElYkX7l4wRkHqqCUFNJY4AfY3kHU/edit?usp=sharing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2" s="7" t="s">
        <v>10</v>
      </c>
      <c r="H14082" s="7">
        <v>18582</v>
      </c>
      <c r="I14082" s="8" t="str">
        <f ca="1">IFERROR(__xludf.DUMMYFUNCTION("IF
(
G14083=""фізична особа""
,
VLOOKUP(H14083,IMPORTRANGE(""https://docs.google.com/spreadsheets/d/14Bd19lYaqBhU8_DElYkX7l4wRkHqqCUFNJY4AfY3kHU/edit?usp=sharing  #gid=0"",""фіз особи new!relations_name""),6,FALSE)
,
(IF
(
G14083=""юридична особа""
,
VLOO"&amp;"KUP(H14083,IMPORTRANGE(""https://docs.google.com/spreadsheets/d/14Bd19lYaqBhU8_DElYkX7l4wRkHqqCUFNJY4AfY3kHU/edit?usp=sharing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082" s="7" t="s">
        <v>23</v>
      </c>
    </row>
    <row r="14083" spans="1:10" ht="13.2">
      <c r="A14083" s="7">
        <v>14082</v>
      </c>
      <c r="B14083" s="7">
        <v>1</v>
      </c>
      <c r="C14083" s="7" t="s">
        <v>10</v>
      </c>
      <c r="D14083" s="7">
        <v>18856</v>
      </c>
      <c r="E14083" s="7" t="s">
        <v>23</v>
      </c>
      <c r="F14083" s="8" t="str">
        <f ca="1">IFERROR(__xludf.DUMMYFUNCTION("IF
(
C14084=""фізична особа""
,
VLOOKUP(D14084,IMPORTRANGE(""https://docs.google.com/spreadsheets/d/14Bd19lYaqBhU8_DElYkX7l4wRkHqqCUFNJY4AfY3kHU/edit?usp=sharing  #gid=0"",""фіз особи new!relations_name""),6,FALSE)
,
(IF
(
C14084=""юридична особа""
,
VLOO"&amp;"KUP(D14084,IMPORTRANGE(""https://docs.google.com/spreadsheets/d/14Bd19lYaqBhU8_DElYkX7l4wRkHqqCUFNJY4AfY3kHU/edit?usp=sharing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3" s="7" t="s">
        <v>10</v>
      </c>
      <c r="H14083" s="7">
        <v>18583</v>
      </c>
      <c r="I14083" s="8" t="str">
        <f ca="1">IFERROR(__xludf.DUMMYFUNCTION("IF
(
G14084=""фізична особа""
,
VLOOKUP(H14084,IMPORTRANGE(""https://docs.google.com/spreadsheets/d/14Bd19lYaqBhU8_DElYkX7l4wRkHqqCUFNJY4AfY3kHU/edit?usp=sharing  #gid=0"",""фіз особи new!relations_name""),6,FALSE)
,
(IF
(
G14084=""юридична особа""
,
VLOO"&amp;"KUP(H14084,IMPORTRANGE(""https://docs.google.com/spreadsheets/d/14Bd19lYaqBhU8_DElYkX7l4wRkHqqCUFNJY4AfY3kHU/edit?usp=sharing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083" s="7" t="s">
        <v>23</v>
      </c>
    </row>
    <row r="14084" spans="1:10" ht="13.2">
      <c r="A14084" s="7">
        <v>14083</v>
      </c>
      <c r="B14084" s="7">
        <v>1</v>
      </c>
      <c r="C14084" s="7" t="s">
        <v>10</v>
      </c>
      <c r="D14084" s="7">
        <v>18856</v>
      </c>
      <c r="E14084" s="7" t="s">
        <v>23</v>
      </c>
      <c r="F14084" s="8" t="str">
        <f ca="1">IFERROR(__xludf.DUMMYFUNCTION("IF
(
C14085=""фізична особа""
,
VLOOKUP(D14085,IMPORTRANGE(""https://docs.google.com/spreadsheets/d/14Bd19lYaqBhU8_DElYkX7l4wRkHqqCUFNJY4AfY3kHU/edit?usp=sharing  #gid=0"",""фіз особи new!relations_name""),6,FALSE)
,
(IF
(
C14085=""юридична особа""
,
VLOO"&amp;"KUP(D14085,IMPORTRANGE(""https://docs.google.com/spreadsheets/d/14Bd19lYaqBhU8_DElYkX7l4wRkHqqCUFNJY4AfY3kHU/edit?usp=sharing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4" s="7" t="s">
        <v>10</v>
      </c>
      <c r="H14084" s="7">
        <v>18584</v>
      </c>
      <c r="I14084" s="8" t="str">
        <f ca="1">IFERROR(__xludf.DUMMYFUNCTION("IF
(
G14085=""фізична особа""
,
VLOOKUP(H14085,IMPORTRANGE(""https://docs.google.com/spreadsheets/d/14Bd19lYaqBhU8_DElYkX7l4wRkHqqCUFNJY4AfY3kHU/edit?usp=sharing  #gid=0"",""фіз особи new!relations_name""),6,FALSE)
,
(IF
(
G14085=""юридична особа""
,
VLOO"&amp;"KUP(H14085,IMPORTRANGE(""https://docs.google.com/spreadsheets/d/14Bd19lYaqBhU8_DElYkX7l4wRkHqqCUFNJY4AfY3kHU/edit?usp=sharing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084" s="7" t="s">
        <v>23</v>
      </c>
    </row>
    <row r="14085" spans="1:10" ht="13.2">
      <c r="A14085" s="7">
        <v>14084</v>
      </c>
      <c r="B14085" s="7">
        <v>1</v>
      </c>
      <c r="C14085" s="7" t="s">
        <v>10</v>
      </c>
      <c r="D14085" s="7">
        <v>18856</v>
      </c>
      <c r="E14085" s="7" t="s">
        <v>23</v>
      </c>
      <c r="F14085" s="8" t="str">
        <f ca="1">IFERROR(__xludf.DUMMYFUNCTION("IF
(
C14086=""фізична особа""
,
VLOOKUP(D14086,IMPORTRANGE(""https://docs.google.com/spreadsheets/d/14Bd19lYaqBhU8_DElYkX7l4wRkHqqCUFNJY4AfY3kHU/edit?usp=sharing  #gid=0"",""фіз особи new!relations_name""),6,FALSE)
,
(IF
(
C14086=""юридична особа""
,
VLOO"&amp;"KUP(D14086,IMPORTRANGE(""https://docs.google.com/spreadsheets/d/14Bd19lYaqBhU8_DElYkX7l4wRkHqqCUFNJY4AfY3kHU/edit?usp=sharing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5" s="7" t="s">
        <v>10</v>
      </c>
      <c r="H14085" s="7">
        <v>18585</v>
      </c>
      <c r="I14085" s="8" t="str">
        <f ca="1">IFERROR(__xludf.DUMMYFUNCTION("IF
(
G14086=""фізична особа""
,
VLOOKUP(H14086,IMPORTRANGE(""https://docs.google.com/spreadsheets/d/14Bd19lYaqBhU8_DElYkX7l4wRkHqqCUFNJY4AfY3kHU/edit?usp=sharing  #gid=0"",""фіз особи new!relations_name""),6,FALSE)
,
(IF
(
G14086=""юридична особа""
,
VLOO"&amp;"KUP(H14086,IMPORTRANGE(""https://docs.google.com/spreadsheets/d/14Bd19lYaqBhU8_DElYkX7l4wRkHqqCUFNJY4AfY3kHU/edit?usp=sharing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085" s="7" t="s">
        <v>23</v>
      </c>
    </row>
    <row r="14086" spans="1:10" ht="13.2">
      <c r="A14086" s="7">
        <v>14085</v>
      </c>
      <c r="B14086" s="7">
        <v>1</v>
      </c>
      <c r="C14086" s="7" t="s">
        <v>10</v>
      </c>
      <c r="D14086" s="7">
        <v>18856</v>
      </c>
      <c r="E14086" s="7" t="s">
        <v>23</v>
      </c>
      <c r="F14086" s="8" t="str">
        <f ca="1">IFERROR(__xludf.DUMMYFUNCTION("IF
(
C14087=""фізична особа""
,
VLOOKUP(D14087,IMPORTRANGE(""https://docs.google.com/spreadsheets/d/14Bd19lYaqBhU8_DElYkX7l4wRkHqqCUFNJY4AfY3kHU/edit?usp=sharing  #gid=0"",""фіз особи new!relations_name""),6,FALSE)
,
(IF
(
C14087=""юридична особа""
,
VLOO"&amp;"KUP(D14087,IMPORTRANGE(""https://docs.google.com/spreadsheets/d/14Bd19lYaqBhU8_DElYkX7l4wRkHqqCUFNJY4AfY3kHU/edit?usp=sharing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6" s="7" t="s">
        <v>10</v>
      </c>
      <c r="H14086" s="7">
        <v>18579</v>
      </c>
      <c r="I14086" s="8" t="str">
        <f ca="1">IFERROR(__xludf.DUMMYFUNCTION("IF
(
G14087=""фізична особа""
,
VLOOKUP(H14087,IMPORTRANGE(""https://docs.google.com/spreadsheets/d/14Bd19lYaqBhU8_DElYkX7l4wRkHqqCUFNJY4AfY3kHU/edit?usp=sharing  #gid=0"",""фіз особи new!relations_name""),6,FALSE)
,
(IF
(
G14087=""юридична особа""
,
VLOO"&amp;"KUP(H14087,IMPORTRANGE(""https://docs.google.com/spreadsheets/d/14Bd19lYaqBhU8_DElYkX7l4wRkHqqCUFNJY4AfY3kHU/edit?usp=sharing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086" s="7" t="s">
        <v>23</v>
      </c>
    </row>
    <row r="14087" spans="1:10" ht="13.2">
      <c r="A14087" s="7">
        <v>14086</v>
      </c>
      <c r="B14087" s="7">
        <v>1</v>
      </c>
      <c r="C14087" s="7" t="s">
        <v>10</v>
      </c>
      <c r="D14087" s="7">
        <v>18856</v>
      </c>
      <c r="E14087" s="7" t="s">
        <v>23</v>
      </c>
      <c r="F14087" s="8" t="str">
        <f ca="1">IFERROR(__xludf.DUMMYFUNCTION("IF
(
C14088=""фізична особа""
,
VLOOKUP(D14088,IMPORTRANGE(""https://docs.google.com/spreadsheets/d/14Bd19lYaqBhU8_DElYkX7l4wRkHqqCUFNJY4AfY3kHU/edit?usp=sharing  #gid=0"",""фіз особи new!relations_name""),6,FALSE)
,
(IF
(
C14088=""юридична особа""
,
VLOO"&amp;"KUP(D14088,IMPORTRANGE(""https://docs.google.com/spreadsheets/d/14Bd19lYaqBhU8_DElYkX7l4wRkHqqCUFNJY4AfY3kHU/edit?usp=sharing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7" s="7" t="s">
        <v>10</v>
      </c>
      <c r="H14087" s="7">
        <v>18847</v>
      </c>
      <c r="I14087" s="8" t="str">
        <f ca="1">IFERROR(__xludf.DUMMYFUNCTION("IF
(
G14088=""фізична особа""
,
VLOOKUP(H14088,IMPORTRANGE(""https://docs.google.com/spreadsheets/d/14Bd19lYaqBhU8_DElYkX7l4wRkHqqCUFNJY4AfY3kHU/edit?usp=sharing  #gid=0"",""фіз особи new!relations_name""),6,FALSE)
,
(IF
(
G14088=""юридична особа""
,
VLOO"&amp;"KUP(H14088,IMPORTRANGE(""https://docs.google.com/spreadsheets/d/14Bd19lYaqBhU8_DElYkX7l4wRkHqqCUFNJY4AfY3kHU/edit?usp=sharing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087" s="7" t="s">
        <v>23</v>
      </c>
    </row>
    <row r="14088" spans="1:10" ht="13.2">
      <c r="A14088" s="7">
        <v>14087</v>
      </c>
      <c r="B14088" s="7">
        <v>1</v>
      </c>
      <c r="C14088" s="7" t="s">
        <v>10</v>
      </c>
      <c r="D14088" s="7">
        <v>18856</v>
      </c>
      <c r="E14088" s="7" t="s">
        <v>23</v>
      </c>
      <c r="F14088" s="8" t="str">
        <f ca="1">IFERROR(__xludf.DUMMYFUNCTION("IF
(
C14089=""фізична особа""
,
VLOOKUP(D14089,IMPORTRANGE(""https://docs.google.com/spreadsheets/d/14Bd19lYaqBhU8_DElYkX7l4wRkHqqCUFNJY4AfY3kHU/edit?usp=sharing  #gid=0"",""фіз особи new!relations_name""),6,FALSE)
,
(IF
(
C14089=""юридична особа""
,
VLOO"&amp;"KUP(D14089,IMPORTRANGE(""https://docs.google.com/spreadsheets/d/14Bd19lYaqBhU8_DElYkX7l4wRkHqqCUFNJY4AfY3kHU/edit?usp=sharing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8" s="7" t="s">
        <v>10</v>
      </c>
      <c r="H14088" s="7">
        <v>18848</v>
      </c>
      <c r="I14088" s="8" t="str">
        <f ca="1">IFERROR(__xludf.DUMMYFUNCTION("IF
(
G14089=""фізична особа""
,
VLOOKUP(H14089,IMPORTRANGE(""https://docs.google.com/spreadsheets/d/14Bd19lYaqBhU8_DElYkX7l4wRkHqqCUFNJY4AfY3kHU/edit?usp=sharing  #gid=0"",""фіз особи new!relations_name""),6,FALSE)
,
(IF
(
G14089=""юридична особа""
,
VLOO"&amp;"KUP(H14089,IMPORTRANGE(""https://docs.google.com/spreadsheets/d/14Bd19lYaqBhU8_DElYkX7l4wRkHqqCUFNJY4AfY3kHU/edit?usp=sharing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088" s="7" t="s">
        <v>23</v>
      </c>
    </row>
    <row r="14089" spans="1:10" ht="13.2">
      <c r="A14089" s="7">
        <v>14088</v>
      </c>
      <c r="B14089" s="7">
        <v>1</v>
      </c>
      <c r="C14089" s="7" t="s">
        <v>10</v>
      </c>
      <c r="D14089" s="7">
        <v>18856</v>
      </c>
      <c r="E14089" s="7" t="s">
        <v>23</v>
      </c>
      <c r="F14089" s="8" t="str">
        <f ca="1">IFERROR(__xludf.DUMMYFUNCTION("IF
(
C14090=""фізична особа""
,
VLOOKUP(D14090,IMPORTRANGE(""https://docs.google.com/spreadsheets/d/14Bd19lYaqBhU8_DElYkX7l4wRkHqqCUFNJY4AfY3kHU/edit?usp=sharing  #gid=0"",""фіз особи new!relations_name""),6,FALSE)
,
(IF
(
C14090=""юридична особа""
,
VLOO"&amp;"KUP(D14090,IMPORTRANGE(""https://docs.google.com/spreadsheets/d/14Bd19lYaqBhU8_DElYkX7l4wRkHqqCUFNJY4AfY3kHU/edit?usp=sharing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89" s="7" t="s">
        <v>10</v>
      </c>
      <c r="H14089" s="7">
        <v>18849</v>
      </c>
      <c r="I14089" s="8" t="str">
        <f ca="1">IFERROR(__xludf.DUMMYFUNCTION("IF
(
G14090=""фізична особа""
,
VLOOKUP(H14090,IMPORTRANGE(""https://docs.google.com/spreadsheets/d/14Bd19lYaqBhU8_DElYkX7l4wRkHqqCUFNJY4AfY3kHU/edit?usp=sharing  #gid=0"",""фіз особи new!relations_name""),6,FALSE)
,
(IF
(
G14090=""юридична особа""
,
VLOO"&amp;"KUP(H14090,IMPORTRANGE(""https://docs.google.com/spreadsheets/d/14Bd19lYaqBhU8_DElYkX7l4wRkHqqCUFNJY4AfY3kHU/edit?usp=sharing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089" s="7" t="s">
        <v>23</v>
      </c>
    </row>
    <row r="14090" spans="1:10" ht="13.2">
      <c r="A14090" s="7">
        <v>14089</v>
      </c>
      <c r="B14090" s="7">
        <v>1</v>
      </c>
      <c r="C14090" s="7" t="s">
        <v>10</v>
      </c>
      <c r="D14090" s="7">
        <v>18856</v>
      </c>
      <c r="E14090" s="7" t="s">
        <v>23</v>
      </c>
      <c r="F14090" s="8" t="str">
        <f ca="1">IFERROR(__xludf.DUMMYFUNCTION("IF
(
C14091=""фізична особа""
,
VLOOKUP(D14091,IMPORTRANGE(""https://docs.google.com/spreadsheets/d/14Bd19lYaqBhU8_DElYkX7l4wRkHqqCUFNJY4AfY3kHU/edit?usp=sharing  #gid=0"",""фіз особи new!relations_name""),6,FALSE)
,
(IF
(
C14091=""юридична особа""
,
VLOO"&amp;"KUP(D14091,IMPORTRANGE(""https://docs.google.com/spreadsheets/d/14Bd19lYaqBhU8_DElYkX7l4wRkHqqCUFNJY4AfY3kHU/edit?usp=sharing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0" s="7" t="s">
        <v>10</v>
      </c>
      <c r="H14090" s="7">
        <v>18850</v>
      </c>
      <c r="I14090" s="8" t="str">
        <f ca="1">IFERROR(__xludf.DUMMYFUNCTION("IF
(
G14091=""фізична особа""
,
VLOOKUP(H14091,IMPORTRANGE(""https://docs.google.com/spreadsheets/d/14Bd19lYaqBhU8_DElYkX7l4wRkHqqCUFNJY4AfY3kHU/edit?usp=sharing  #gid=0"",""фіз особи new!relations_name""),6,FALSE)
,
(IF
(
G14091=""юридична особа""
,
VLOO"&amp;"KUP(H14091,IMPORTRANGE(""https://docs.google.com/spreadsheets/d/14Bd19lYaqBhU8_DElYkX7l4wRkHqqCUFNJY4AfY3kHU/edit?usp=sharing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090" s="7" t="s">
        <v>23</v>
      </c>
    </row>
    <row r="14091" spans="1:10" ht="13.2">
      <c r="A14091" s="7">
        <v>14090</v>
      </c>
      <c r="B14091" s="7">
        <v>1</v>
      </c>
      <c r="C14091" s="7" t="s">
        <v>10</v>
      </c>
      <c r="D14091" s="7">
        <v>18856</v>
      </c>
      <c r="E14091" s="7" t="s">
        <v>23</v>
      </c>
      <c r="F14091" s="8" t="str">
        <f ca="1">IFERROR(__xludf.DUMMYFUNCTION("IF
(
C14092=""фізична особа""
,
VLOOKUP(D14092,IMPORTRANGE(""https://docs.google.com/spreadsheets/d/14Bd19lYaqBhU8_DElYkX7l4wRkHqqCUFNJY4AfY3kHU/edit?usp=sharing  #gid=0"",""фіз особи new!relations_name""),6,FALSE)
,
(IF
(
C14092=""юридична особа""
,
VLOO"&amp;"KUP(D14092,IMPORTRANGE(""https://docs.google.com/spreadsheets/d/14Bd19lYaqBhU8_DElYkX7l4wRkHqqCUFNJY4AfY3kHU/edit?usp=sharing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1" s="7" t="s">
        <v>10</v>
      </c>
      <c r="H14091" s="7">
        <v>18851</v>
      </c>
      <c r="I14091" s="8" t="str">
        <f ca="1">IFERROR(__xludf.DUMMYFUNCTION("IF
(
G14092=""фізична особа""
,
VLOOKUP(H14092,IMPORTRANGE(""https://docs.google.com/spreadsheets/d/14Bd19lYaqBhU8_DElYkX7l4wRkHqqCUFNJY4AfY3kHU/edit?usp=sharing  #gid=0"",""фіз особи new!relations_name""),6,FALSE)
,
(IF
(
G14092=""юридична особа""
,
VLOO"&amp;"KUP(H14092,IMPORTRANGE(""https://docs.google.com/spreadsheets/d/14Bd19lYaqBhU8_DElYkX7l4wRkHqqCUFNJY4AfY3kHU/edit?usp=sharing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091" s="7" t="s">
        <v>23</v>
      </c>
    </row>
    <row r="14092" spans="1:10" ht="13.2">
      <c r="A14092" s="7">
        <v>14091</v>
      </c>
      <c r="B14092" s="7">
        <v>1</v>
      </c>
      <c r="C14092" s="7" t="s">
        <v>10</v>
      </c>
      <c r="D14092" s="7">
        <v>18856</v>
      </c>
      <c r="E14092" s="7" t="s">
        <v>23</v>
      </c>
      <c r="F14092" s="8" t="str">
        <f ca="1">IFERROR(__xludf.DUMMYFUNCTION("IF
(
C14093=""фізична особа""
,
VLOOKUP(D14093,IMPORTRANGE(""https://docs.google.com/spreadsheets/d/14Bd19lYaqBhU8_DElYkX7l4wRkHqqCUFNJY4AfY3kHU/edit?usp=sharing  #gid=0"",""фіз особи new!relations_name""),6,FALSE)
,
(IF
(
C14093=""юридична особа""
,
VLOO"&amp;"KUP(D14093,IMPORTRANGE(""https://docs.google.com/spreadsheets/d/14Bd19lYaqBhU8_DElYkX7l4wRkHqqCUFNJY4AfY3kHU/edit?usp=sharing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2" s="7" t="s">
        <v>10</v>
      </c>
      <c r="H14092" s="7">
        <v>18852</v>
      </c>
      <c r="I14092" s="8" t="str">
        <f ca="1">IFERROR(__xludf.DUMMYFUNCTION("IF
(
G14093=""фізична особа""
,
VLOOKUP(H14093,IMPORTRANGE(""https://docs.google.com/spreadsheets/d/14Bd19lYaqBhU8_DElYkX7l4wRkHqqCUFNJY4AfY3kHU/edit?usp=sharing  #gid=0"",""фіз особи new!relations_name""),6,FALSE)
,
(IF
(
G14093=""юридична особа""
,
VLOO"&amp;"KUP(H14093,IMPORTRANGE(""https://docs.google.com/spreadsheets/d/14Bd19lYaqBhU8_DElYkX7l4wRkHqqCUFNJY4AfY3kHU/edit?usp=sharing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092" s="7" t="s">
        <v>23</v>
      </c>
    </row>
    <row r="14093" spans="1:10" ht="13.2">
      <c r="A14093" s="7">
        <v>14092</v>
      </c>
      <c r="B14093" s="7">
        <v>1</v>
      </c>
      <c r="C14093" s="7" t="s">
        <v>10</v>
      </c>
      <c r="D14093" s="7">
        <v>18856</v>
      </c>
      <c r="E14093" s="7" t="s">
        <v>23</v>
      </c>
      <c r="F14093" s="8" t="str">
        <f ca="1">IFERROR(__xludf.DUMMYFUNCTION("IF
(
C14094=""фізична особа""
,
VLOOKUP(D14094,IMPORTRANGE(""https://docs.google.com/spreadsheets/d/14Bd19lYaqBhU8_DElYkX7l4wRkHqqCUFNJY4AfY3kHU/edit?usp=sharing  #gid=0"",""фіз особи new!relations_name""),6,FALSE)
,
(IF
(
C14094=""юридична особа""
,
VLOO"&amp;"KUP(D14094,IMPORTRANGE(""https://docs.google.com/spreadsheets/d/14Bd19lYaqBhU8_DElYkX7l4wRkHqqCUFNJY4AfY3kHU/edit?usp=sharing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3" s="7" t="s">
        <v>10</v>
      </c>
      <c r="H14093" s="7">
        <v>18853</v>
      </c>
      <c r="I14093" s="8" t="str">
        <f ca="1">IFERROR(__xludf.DUMMYFUNCTION("IF
(
G14094=""фізична особа""
,
VLOOKUP(H14094,IMPORTRANGE(""https://docs.google.com/spreadsheets/d/14Bd19lYaqBhU8_DElYkX7l4wRkHqqCUFNJY4AfY3kHU/edit?usp=sharing  #gid=0"",""фіз особи new!relations_name""),6,FALSE)
,
(IF
(
G14094=""юридична особа""
,
VLOO"&amp;"KUP(H14094,IMPORTRANGE(""https://docs.google.com/spreadsheets/d/14Bd19lYaqBhU8_DElYkX7l4wRkHqqCUFNJY4AfY3kHU/edit?usp=sharing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093" s="7" t="s">
        <v>23</v>
      </c>
    </row>
    <row r="14094" spans="1:10" ht="13.2">
      <c r="A14094" s="7">
        <v>14093</v>
      </c>
      <c r="B14094" s="7">
        <v>1</v>
      </c>
      <c r="C14094" s="7" t="s">
        <v>10</v>
      </c>
      <c r="D14094" s="7">
        <v>18856</v>
      </c>
      <c r="E14094" s="7" t="s">
        <v>23</v>
      </c>
      <c r="F14094" s="8" t="str">
        <f ca="1">IFERROR(__xludf.DUMMYFUNCTION("IF
(
C14095=""фізична особа""
,
VLOOKUP(D14095,IMPORTRANGE(""https://docs.google.com/spreadsheets/d/14Bd19lYaqBhU8_DElYkX7l4wRkHqqCUFNJY4AfY3kHU/edit?usp=sharing  #gid=0"",""фіз особи new!relations_name""),6,FALSE)
,
(IF
(
C14095=""юридична особа""
,
VLOO"&amp;"KUP(D14095,IMPORTRANGE(""https://docs.google.com/spreadsheets/d/14Bd19lYaqBhU8_DElYkX7l4wRkHqqCUFNJY4AfY3kHU/edit?usp=sharing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4" s="7" t="s">
        <v>10</v>
      </c>
      <c r="H14094" s="7">
        <v>18854</v>
      </c>
      <c r="I14094" s="8" t="str">
        <f ca="1">IFERROR(__xludf.DUMMYFUNCTION("IF
(
G14095=""фізична особа""
,
VLOOKUP(H14095,IMPORTRANGE(""https://docs.google.com/spreadsheets/d/14Bd19lYaqBhU8_DElYkX7l4wRkHqqCUFNJY4AfY3kHU/edit?usp=sharing  #gid=0"",""фіз особи new!relations_name""),6,FALSE)
,
(IF
(
G14095=""юридична особа""
,
VLOO"&amp;"KUP(H14095,IMPORTRANGE(""https://docs.google.com/spreadsheets/d/14Bd19lYaqBhU8_DElYkX7l4wRkHqqCUFNJY4AfY3kHU/edit?usp=sharing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094" s="7" t="s">
        <v>23</v>
      </c>
    </row>
    <row r="14095" spans="1:10" ht="13.2">
      <c r="A14095" s="7">
        <v>14094</v>
      </c>
      <c r="B14095" s="7">
        <v>1</v>
      </c>
      <c r="C14095" s="7" t="s">
        <v>10</v>
      </c>
      <c r="D14095" s="7">
        <v>18856</v>
      </c>
      <c r="E14095" s="7" t="s">
        <v>23</v>
      </c>
      <c r="F14095" s="8" t="str">
        <f ca="1">IFERROR(__xludf.DUMMYFUNCTION("IF
(
C14096=""фізична особа""
,
VLOOKUP(D14096,IMPORTRANGE(""https://docs.google.com/spreadsheets/d/14Bd19lYaqBhU8_DElYkX7l4wRkHqqCUFNJY4AfY3kHU/edit?usp=sharing  #gid=0"",""фіз особи new!relations_name""),6,FALSE)
,
(IF
(
C14096=""юридична особа""
,
VLOO"&amp;"KUP(D14096,IMPORTRANGE(""https://docs.google.com/spreadsheets/d/14Bd19lYaqBhU8_DElYkX7l4wRkHqqCUFNJY4AfY3kHU/edit?usp=sharing  #gid=0"",""фіз особи new!relations_name_uo""),7,FALSE)
,
)
))"),"ДАЛГАТОВА Малікат Кіласханівна")</f>
        <v>ДАЛГАТОВА Малікат Кіласханівна</v>
      </c>
      <c r="G14095" s="7" t="s">
        <v>10</v>
      </c>
      <c r="H14095" s="7">
        <v>18855</v>
      </c>
      <c r="I14095" s="8" t="str">
        <f ca="1">IFERROR(__xludf.DUMMYFUNCTION("IF
(
G14096=""фізична особа""
,
VLOOKUP(H14096,IMPORTRANGE(""https://docs.google.com/spreadsheets/d/14Bd19lYaqBhU8_DElYkX7l4wRkHqqCUFNJY4AfY3kHU/edit?usp=sharing  #gid=0"",""фіз особи new!relations_name""),6,FALSE)
,
(IF
(
G14096=""юридична особа""
,
VLOO"&amp;"KUP(H14096,IMPORTRANGE(""https://docs.google.com/spreadsheets/d/14Bd19lYaqBhU8_DElYkX7l4wRkHqqCUFNJY4AfY3kHU/edit?usp=sharing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095" s="7" t="s">
        <v>23</v>
      </c>
    </row>
    <row r="14096" spans="1:10" ht="13.2">
      <c r="A14096" s="7">
        <v>14095</v>
      </c>
      <c r="B14096" s="7">
        <v>1</v>
      </c>
      <c r="C14096" s="7" t="s">
        <v>10</v>
      </c>
      <c r="D14096" s="7">
        <v>18857</v>
      </c>
      <c r="E14096" s="7" t="s">
        <v>23</v>
      </c>
      <c r="F14096" s="8" t="str">
        <f ca="1">IFERROR(__xludf.DUMMYFUNCTION("IF
(
C14097=""фізична особа""
,
VLOOKUP(D14097,IMPORTRANGE(""https://docs.google.com/spreadsheets/d/14Bd19lYaqBhU8_DElYkX7l4wRkHqqCUFNJY4AfY3kHU/edit?usp=sharing  #gid=0"",""фіз особи new!relations_name""),6,FALSE)
,
(IF
(
C14097=""юридична особа""
,
VLOO"&amp;"KUP(D14097,IMPORTRANGE(""https://docs.google.com/spreadsheets/d/14Bd19lYaqBhU8_DElYkX7l4wRkHqqCUFNJY4AfY3kHU/edit?usp=sharing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096" s="7" t="s">
        <v>10</v>
      </c>
      <c r="H14096" s="7">
        <v>18576</v>
      </c>
      <c r="I14096" s="8" t="str">
        <f ca="1">IFERROR(__xludf.DUMMYFUNCTION("IF
(
G14097=""фізична особа""
,
VLOOKUP(H14097,IMPORTRANGE(""https://docs.google.com/spreadsheets/d/14Bd19lYaqBhU8_DElYkX7l4wRkHqqCUFNJY4AfY3kHU/edit?usp=sharing  #gid=0"",""фіз особи new!relations_name""),6,FALSE)
,
(IF
(
G14097=""юридична особа""
,
VLOO"&amp;"KUP(H14097,IMPORTRANGE(""https://docs.google.com/spreadsheets/d/14Bd19lYaqBhU8_DElYkX7l4wRkHqqCUFNJY4AfY3kHU/edit?usp=sharing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096" s="7" t="s">
        <v>23</v>
      </c>
    </row>
    <row r="14097" spans="1:10" ht="13.2">
      <c r="A14097" s="7">
        <v>14096</v>
      </c>
      <c r="B14097" s="7">
        <v>1</v>
      </c>
      <c r="C14097" s="7" t="s">
        <v>10</v>
      </c>
      <c r="D14097" s="7">
        <v>18857</v>
      </c>
      <c r="E14097" s="7" t="s">
        <v>23</v>
      </c>
      <c r="F14097" s="8" t="str">
        <f ca="1">IFERROR(__xludf.DUMMYFUNCTION("IF
(
C14098=""фізична особа""
,
VLOOKUP(D14098,IMPORTRANGE(""https://docs.google.com/spreadsheets/d/14Bd19lYaqBhU8_DElYkX7l4wRkHqqCUFNJY4AfY3kHU/edit?usp=sharing  #gid=0"",""фіз особи new!relations_name""),6,FALSE)
,
(IF
(
C14098=""юридична особа""
,
VLOO"&amp;"KUP(D14098,IMPORTRANGE(""https://docs.google.com/spreadsheets/d/14Bd19lYaqBhU8_DElYkX7l4wRkHqqCUFNJY4AfY3kHU/edit?usp=sharing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097" s="7" t="s">
        <v>10</v>
      </c>
      <c r="H14097" s="7">
        <v>18577</v>
      </c>
      <c r="I14097" s="8" t="str">
        <f ca="1">IFERROR(__xludf.DUMMYFUNCTION("IF
(
G14098=""фізична особа""
,
VLOOKUP(H14098,IMPORTRANGE(""https://docs.google.com/spreadsheets/d/14Bd19lYaqBhU8_DElYkX7l4wRkHqqCUFNJY4AfY3kHU/edit?usp=sharing  #gid=0"",""фіз особи new!relations_name""),6,FALSE)
,
(IF
(
G14098=""юридична особа""
,
VLOO"&amp;"KUP(H14098,IMPORTRANGE(""https://docs.google.com/spreadsheets/d/14Bd19lYaqBhU8_DElYkX7l4wRkHqqCUFNJY4AfY3kHU/edit?usp=sharing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097" s="7" t="s">
        <v>23</v>
      </c>
    </row>
    <row r="14098" spans="1:10" ht="13.2">
      <c r="A14098" s="7">
        <v>14097</v>
      </c>
      <c r="B14098" s="7">
        <v>1</v>
      </c>
      <c r="C14098" s="7" t="s">
        <v>10</v>
      </c>
      <c r="D14098" s="7">
        <v>18857</v>
      </c>
      <c r="E14098" s="7" t="s">
        <v>23</v>
      </c>
      <c r="F14098" s="8" t="str">
        <f ca="1">IFERROR(__xludf.DUMMYFUNCTION("IF
(
C14099=""фізична особа""
,
VLOOKUP(D14099,IMPORTRANGE(""https://docs.google.com/spreadsheets/d/14Bd19lYaqBhU8_DElYkX7l4wRkHqqCUFNJY4AfY3kHU/edit?usp=sharing  #gid=0"",""фіз особи new!relations_name""),6,FALSE)
,
(IF
(
C14099=""юридична особа""
,
VLOO"&amp;"KUP(D14099,IMPORTRANGE(""https://docs.google.com/spreadsheets/d/14Bd19lYaqBhU8_DElYkX7l4wRkHqqCUFNJY4AfY3kHU/edit?usp=sharing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098" s="7" t="s">
        <v>10</v>
      </c>
      <c r="H14098" s="7">
        <v>18578</v>
      </c>
      <c r="I14098" s="8" t="str">
        <f ca="1">IFERROR(__xludf.DUMMYFUNCTION("IF
(
G14099=""фізична особа""
,
VLOOKUP(H14099,IMPORTRANGE(""https://docs.google.com/spreadsheets/d/14Bd19lYaqBhU8_DElYkX7l4wRkHqqCUFNJY4AfY3kHU/edit?usp=sharing  #gid=0"",""фіз особи new!relations_name""),6,FALSE)
,
(IF
(
G14099=""юридична особа""
,
VLOO"&amp;"KUP(H14099,IMPORTRANGE(""https://docs.google.com/spreadsheets/d/14Bd19lYaqBhU8_DElYkX7l4wRkHqqCUFNJY4AfY3kHU/edit?usp=sharing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098" s="7" t="s">
        <v>23</v>
      </c>
    </row>
    <row r="14099" spans="1:10" ht="13.2">
      <c r="A14099" s="7">
        <v>14098</v>
      </c>
      <c r="B14099" s="7">
        <v>1</v>
      </c>
      <c r="C14099" s="7" t="s">
        <v>10</v>
      </c>
      <c r="D14099" s="7">
        <v>18857</v>
      </c>
      <c r="E14099" s="7" t="s">
        <v>23</v>
      </c>
      <c r="F14099" s="8" t="str">
        <f ca="1">IFERROR(__xludf.DUMMYFUNCTION("IF
(
C14100=""фізична особа""
,
VLOOKUP(D14100,IMPORTRANGE(""https://docs.google.com/spreadsheets/d/14Bd19lYaqBhU8_DElYkX7l4wRkHqqCUFNJY4AfY3kHU/edit?usp=sharing  #gid=0"",""фіз особи new!relations_name""),6,FALSE)
,
(IF
(
C14100=""юридична особа""
,
VLOO"&amp;"KUP(D14100,IMPORTRANGE(""https://docs.google.com/spreadsheets/d/14Bd19lYaqBhU8_DElYkX7l4wRkHqqCUFNJY4AfY3kHU/edit?usp=sharing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099" s="7" t="s">
        <v>10</v>
      </c>
      <c r="H14099" s="7">
        <v>18580</v>
      </c>
      <c r="I14099" s="8" t="str">
        <f ca="1">IFERROR(__xludf.DUMMYFUNCTION("IF
(
G14100=""фізична особа""
,
VLOOKUP(H14100,IMPORTRANGE(""https://docs.google.com/spreadsheets/d/14Bd19lYaqBhU8_DElYkX7l4wRkHqqCUFNJY4AfY3kHU/edit?usp=sharing  #gid=0"",""фіз особи new!relations_name""),6,FALSE)
,
(IF
(
G14100=""юридична особа""
,
VLOO"&amp;"KUP(H14100,IMPORTRANGE(""https://docs.google.com/spreadsheets/d/14Bd19lYaqBhU8_DElYkX7l4wRkHqqCUFNJY4AfY3kHU/edit?usp=sharing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099" s="7" t="s">
        <v>23</v>
      </c>
    </row>
    <row r="14100" spans="1:10" ht="13.2">
      <c r="A14100" s="7">
        <v>14099</v>
      </c>
      <c r="B14100" s="7">
        <v>1</v>
      </c>
      <c r="C14100" s="7" t="s">
        <v>10</v>
      </c>
      <c r="D14100" s="7">
        <v>18857</v>
      </c>
      <c r="E14100" s="7" t="s">
        <v>23</v>
      </c>
      <c r="F14100" s="8" t="str">
        <f ca="1">IFERROR(__xludf.DUMMYFUNCTION("IF
(
C14101=""фізична особа""
,
VLOOKUP(D14101,IMPORTRANGE(""https://docs.google.com/spreadsheets/d/14Bd19lYaqBhU8_DElYkX7l4wRkHqqCUFNJY4AfY3kHU/edit?usp=sharing  #gid=0"",""фіз особи new!relations_name""),6,FALSE)
,
(IF
(
C14101=""юридична особа""
,
VLOO"&amp;"KUP(D14101,IMPORTRANGE(""https://docs.google.com/spreadsheets/d/14Bd19lYaqBhU8_DElYkX7l4wRkHqqCUFNJY4AfY3kHU/edit?usp=sharing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0" s="7" t="s">
        <v>10</v>
      </c>
      <c r="H14100" s="7">
        <v>18581</v>
      </c>
      <c r="I14100" s="8" t="str">
        <f ca="1">IFERROR(__xludf.DUMMYFUNCTION("IF
(
G14101=""фізична особа""
,
VLOOKUP(H14101,IMPORTRANGE(""https://docs.google.com/spreadsheets/d/14Bd19lYaqBhU8_DElYkX7l4wRkHqqCUFNJY4AfY3kHU/edit?usp=sharing  #gid=0"",""фіз особи new!relations_name""),6,FALSE)
,
(IF
(
G14101=""юридична особа""
,
VLOO"&amp;"KUP(H14101,IMPORTRANGE(""https://docs.google.com/spreadsheets/d/14Bd19lYaqBhU8_DElYkX7l4wRkHqqCUFNJY4AfY3kHU/edit?usp=sharing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100" s="7" t="s">
        <v>23</v>
      </c>
    </row>
    <row r="14101" spans="1:10" ht="13.2">
      <c r="A14101" s="7">
        <v>14100</v>
      </c>
      <c r="B14101" s="7">
        <v>1</v>
      </c>
      <c r="C14101" s="7" t="s">
        <v>10</v>
      </c>
      <c r="D14101" s="7">
        <v>18857</v>
      </c>
      <c r="E14101" s="7" t="s">
        <v>23</v>
      </c>
      <c r="F14101" s="8" t="str">
        <f ca="1">IFERROR(__xludf.DUMMYFUNCTION("IF
(
C14102=""фізична особа""
,
VLOOKUP(D14102,IMPORTRANGE(""https://docs.google.com/spreadsheets/d/14Bd19lYaqBhU8_DElYkX7l4wRkHqqCUFNJY4AfY3kHU/edit?usp=sharing  #gid=0"",""фіз особи new!relations_name""),6,FALSE)
,
(IF
(
C14102=""юридична особа""
,
VLOO"&amp;"KUP(D14102,IMPORTRANGE(""https://docs.google.com/spreadsheets/d/14Bd19lYaqBhU8_DElYkX7l4wRkHqqCUFNJY4AfY3kHU/edit?usp=sharing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1" s="7" t="s">
        <v>10</v>
      </c>
      <c r="H14101" s="7">
        <v>18582</v>
      </c>
      <c r="I14101" s="8" t="str">
        <f ca="1">IFERROR(__xludf.DUMMYFUNCTION("IF
(
G14102=""фізична особа""
,
VLOOKUP(H14102,IMPORTRANGE(""https://docs.google.com/spreadsheets/d/14Bd19lYaqBhU8_DElYkX7l4wRkHqqCUFNJY4AfY3kHU/edit?usp=sharing  #gid=0"",""фіз особи new!relations_name""),6,FALSE)
,
(IF
(
G14102=""юридична особа""
,
VLOO"&amp;"KUP(H14102,IMPORTRANGE(""https://docs.google.com/spreadsheets/d/14Bd19lYaqBhU8_DElYkX7l4wRkHqqCUFNJY4AfY3kHU/edit?usp=sharing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101" s="7" t="s">
        <v>23</v>
      </c>
    </row>
    <row r="14102" spans="1:10" ht="13.2">
      <c r="A14102" s="7">
        <v>14101</v>
      </c>
      <c r="B14102" s="7">
        <v>1</v>
      </c>
      <c r="C14102" s="7" t="s">
        <v>10</v>
      </c>
      <c r="D14102" s="7">
        <v>18857</v>
      </c>
      <c r="E14102" s="7" t="s">
        <v>23</v>
      </c>
      <c r="F14102" s="8" t="str">
        <f ca="1">IFERROR(__xludf.DUMMYFUNCTION("IF
(
C14103=""фізична особа""
,
VLOOKUP(D14103,IMPORTRANGE(""https://docs.google.com/spreadsheets/d/14Bd19lYaqBhU8_DElYkX7l4wRkHqqCUFNJY4AfY3kHU/edit?usp=sharing  #gid=0"",""фіз особи new!relations_name""),6,FALSE)
,
(IF
(
C14103=""юридична особа""
,
VLOO"&amp;"KUP(D14103,IMPORTRANGE(""https://docs.google.com/spreadsheets/d/14Bd19lYaqBhU8_DElYkX7l4wRkHqqCUFNJY4AfY3kHU/edit?usp=sharing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2" s="7" t="s">
        <v>10</v>
      </c>
      <c r="H14102" s="7">
        <v>18583</v>
      </c>
      <c r="I14102" s="8" t="str">
        <f ca="1">IFERROR(__xludf.DUMMYFUNCTION("IF
(
G14103=""фізична особа""
,
VLOOKUP(H14103,IMPORTRANGE(""https://docs.google.com/spreadsheets/d/14Bd19lYaqBhU8_DElYkX7l4wRkHqqCUFNJY4AfY3kHU/edit?usp=sharing  #gid=0"",""фіз особи new!relations_name""),6,FALSE)
,
(IF
(
G14103=""юридична особа""
,
VLOO"&amp;"KUP(H14103,IMPORTRANGE(""https://docs.google.com/spreadsheets/d/14Bd19lYaqBhU8_DElYkX7l4wRkHqqCUFNJY4AfY3kHU/edit?usp=sharing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102" s="7" t="s">
        <v>23</v>
      </c>
    </row>
    <row r="14103" spans="1:10" ht="13.2">
      <c r="A14103" s="7">
        <v>14102</v>
      </c>
      <c r="B14103" s="7">
        <v>1</v>
      </c>
      <c r="C14103" s="7" t="s">
        <v>10</v>
      </c>
      <c r="D14103" s="7">
        <v>18857</v>
      </c>
      <c r="E14103" s="7" t="s">
        <v>23</v>
      </c>
      <c r="F14103" s="8" t="str">
        <f ca="1">IFERROR(__xludf.DUMMYFUNCTION("IF
(
C14104=""фізична особа""
,
VLOOKUP(D14104,IMPORTRANGE(""https://docs.google.com/spreadsheets/d/14Bd19lYaqBhU8_DElYkX7l4wRkHqqCUFNJY4AfY3kHU/edit?usp=sharing  #gid=0"",""фіз особи new!relations_name""),6,FALSE)
,
(IF
(
C14104=""юридична особа""
,
VLOO"&amp;"KUP(D14104,IMPORTRANGE(""https://docs.google.com/spreadsheets/d/14Bd19lYaqBhU8_DElYkX7l4wRkHqqCUFNJY4AfY3kHU/edit?usp=sharing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3" s="7" t="s">
        <v>10</v>
      </c>
      <c r="H14103" s="7">
        <v>18584</v>
      </c>
      <c r="I14103" s="8" t="str">
        <f ca="1">IFERROR(__xludf.DUMMYFUNCTION("IF
(
G14104=""фізична особа""
,
VLOOKUP(H14104,IMPORTRANGE(""https://docs.google.com/spreadsheets/d/14Bd19lYaqBhU8_DElYkX7l4wRkHqqCUFNJY4AfY3kHU/edit?usp=sharing  #gid=0"",""фіз особи new!relations_name""),6,FALSE)
,
(IF
(
G14104=""юридична особа""
,
VLOO"&amp;"KUP(H14104,IMPORTRANGE(""https://docs.google.com/spreadsheets/d/14Bd19lYaqBhU8_DElYkX7l4wRkHqqCUFNJY4AfY3kHU/edit?usp=sharing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103" s="7" t="s">
        <v>23</v>
      </c>
    </row>
    <row r="14104" spans="1:10" ht="13.2">
      <c r="A14104" s="7">
        <v>14103</v>
      </c>
      <c r="B14104" s="7">
        <v>1</v>
      </c>
      <c r="C14104" s="7" t="s">
        <v>10</v>
      </c>
      <c r="D14104" s="7">
        <v>18857</v>
      </c>
      <c r="E14104" s="7" t="s">
        <v>23</v>
      </c>
      <c r="F14104" s="8" t="str">
        <f ca="1">IFERROR(__xludf.DUMMYFUNCTION("IF
(
C14105=""фізична особа""
,
VLOOKUP(D14105,IMPORTRANGE(""https://docs.google.com/spreadsheets/d/14Bd19lYaqBhU8_DElYkX7l4wRkHqqCUFNJY4AfY3kHU/edit?usp=sharing  #gid=0"",""фіз особи new!relations_name""),6,FALSE)
,
(IF
(
C14105=""юридична особа""
,
VLOO"&amp;"KUP(D14105,IMPORTRANGE(""https://docs.google.com/spreadsheets/d/14Bd19lYaqBhU8_DElYkX7l4wRkHqqCUFNJY4AfY3kHU/edit?usp=sharing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4" s="7" t="s">
        <v>10</v>
      </c>
      <c r="H14104" s="7">
        <v>18585</v>
      </c>
      <c r="I14104" s="8" t="str">
        <f ca="1">IFERROR(__xludf.DUMMYFUNCTION("IF
(
G14105=""фізична особа""
,
VLOOKUP(H14105,IMPORTRANGE(""https://docs.google.com/spreadsheets/d/14Bd19lYaqBhU8_DElYkX7l4wRkHqqCUFNJY4AfY3kHU/edit?usp=sharing  #gid=0"",""фіз особи new!relations_name""),6,FALSE)
,
(IF
(
G14105=""юридична особа""
,
VLOO"&amp;"KUP(H14105,IMPORTRANGE(""https://docs.google.com/spreadsheets/d/14Bd19lYaqBhU8_DElYkX7l4wRkHqqCUFNJY4AfY3kHU/edit?usp=sharing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104" s="7" t="s">
        <v>23</v>
      </c>
    </row>
    <row r="14105" spans="1:10" ht="13.2">
      <c r="A14105" s="7">
        <v>14104</v>
      </c>
      <c r="B14105" s="7">
        <v>1</v>
      </c>
      <c r="C14105" s="7" t="s">
        <v>10</v>
      </c>
      <c r="D14105" s="7">
        <v>18857</v>
      </c>
      <c r="E14105" s="7" t="s">
        <v>23</v>
      </c>
      <c r="F14105" s="8" t="str">
        <f ca="1">IFERROR(__xludf.DUMMYFUNCTION("IF
(
C14106=""фізична особа""
,
VLOOKUP(D14106,IMPORTRANGE(""https://docs.google.com/spreadsheets/d/14Bd19lYaqBhU8_DElYkX7l4wRkHqqCUFNJY4AfY3kHU/edit?usp=sharing  #gid=0"",""фіз особи new!relations_name""),6,FALSE)
,
(IF
(
C14106=""юридична особа""
,
VLOO"&amp;"KUP(D14106,IMPORTRANGE(""https://docs.google.com/spreadsheets/d/14Bd19lYaqBhU8_DElYkX7l4wRkHqqCUFNJY4AfY3kHU/edit?usp=sharing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5" s="7" t="s">
        <v>10</v>
      </c>
      <c r="H14105" s="7">
        <v>18579</v>
      </c>
      <c r="I14105" s="8" t="str">
        <f ca="1">IFERROR(__xludf.DUMMYFUNCTION("IF
(
G14106=""фізична особа""
,
VLOOKUP(H14106,IMPORTRANGE(""https://docs.google.com/spreadsheets/d/14Bd19lYaqBhU8_DElYkX7l4wRkHqqCUFNJY4AfY3kHU/edit?usp=sharing  #gid=0"",""фіз особи new!relations_name""),6,FALSE)
,
(IF
(
G14106=""юридична особа""
,
VLOO"&amp;"KUP(H14106,IMPORTRANGE(""https://docs.google.com/spreadsheets/d/14Bd19lYaqBhU8_DElYkX7l4wRkHqqCUFNJY4AfY3kHU/edit?usp=sharing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105" s="7" t="s">
        <v>23</v>
      </c>
    </row>
    <row r="14106" spans="1:10" ht="13.2">
      <c r="A14106" s="7">
        <v>14105</v>
      </c>
      <c r="B14106" s="7">
        <v>1</v>
      </c>
      <c r="C14106" s="7" t="s">
        <v>10</v>
      </c>
      <c r="D14106" s="7">
        <v>18857</v>
      </c>
      <c r="E14106" s="7" t="s">
        <v>23</v>
      </c>
      <c r="F14106" s="8" t="str">
        <f ca="1">IFERROR(__xludf.DUMMYFUNCTION("IF
(
C14107=""фізична особа""
,
VLOOKUP(D14107,IMPORTRANGE(""https://docs.google.com/spreadsheets/d/14Bd19lYaqBhU8_DElYkX7l4wRkHqqCUFNJY4AfY3kHU/edit?usp=sharing  #gid=0"",""фіз особи new!relations_name""),6,FALSE)
,
(IF
(
C14107=""юридична особа""
,
VLOO"&amp;"KUP(D14107,IMPORTRANGE(""https://docs.google.com/spreadsheets/d/14Bd19lYaqBhU8_DElYkX7l4wRkHqqCUFNJY4AfY3kHU/edit?usp=sharing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6" s="7" t="s">
        <v>10</v>
      </c>
      <c r="H14106" s="7">
        <v>18847</v>
      </c>
      <c r="I14106" s="8" t="str">
        <f ca="1">IFERROR(__xludf.DUMMYFUNCTION("IF
(
G14107=""фізична особа""
,
VLOOKUP(H14107,IMPORTRANGE(""https://docs.google.com/spreadsheets/d/14Bd19lYaqBhU8_DElYkX7l4wRkHqqCUFNJY4AfY3kHU/edit?usp=sharing  #gid=0"",""фіз особи new!relations_name""),6,FALSE)
,
(IF
(
G14107=""юридична особа""
,
VLOO"&amp;"KUP(H14107,IMPORTRANGE(""https://docs.google.com/spreadsheets/d/14Bd19lYaqBhU8_DElYkX7l4wRkHqqCUFNJY4AfY3kHU/edit?usp=sharing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106" s="7" t="s">
        <v>23</v>
      </c>
    </row>
    <row r="14107" spans="1:10" ht="13.2">
      <c r="A14107" s="7">
        <v>14106</v>
      </c>
      <c r="B14107" s="7">
        <v>1</v>
      </c>
      <c r="C14107" s="7" t="s">
        <v>10</v>
      </c>
      <c r="D14107" s="7">
        <v>18857</v>
      </c>
      <c r="E14107" s="7" t="s">
        <v>23</v>
      </c>
      <c r="F14107" s="8" t="str">
        <f ca="1">IFERROR(__xludf.DUMMYFUNCTION("IF
(
C14108=""фізична особа""
,
VLOOKUP(D14108,IMPORTRANGE(""https://docs.google.com/spreadsheets/d/14Bd19lYaqBhU8_DElYkX7l4wRkHqqCUFNJY4AfY3kHU/edit?usp=sharing  #gid=0"",""фіз особи new!relations_name""),6,FALSE)
,
(IF
(
C14108=""юридична особа""
,
VLOO"&amp;"KUP(D14108,IMPORTRANGE(""https://docs.google.com/spreadsheets/d/14Bd19lYaqBhU8_DElYkX7l4wRkHqqCUFNJY4AfY3kHU/edit?usp=sharing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7" s="7" t="s">
        <v>10</v>
      </c>
      <c r="H14107" s="7">
        <v>18848</v>
      </c>
      <c r="I14107" s="8" t="str">
        <f ca="1">IFERROR(__xludf.DUMMYFUNCTION("IF
(
G14108=""фізична особа""
,
VLOOKUP(H14108,IMPORTRANGE(""https://docs.google.com/spreadsheets/d/14Bd19lYaqBhU8_DElYkX7l4wRkHqqCUFNJY4AfY3kHU/edit?usp=sharing  #gid=0"",""фіз особи new!relations_name""),6,FALSE)
,
(IF
(
G14108=""юридична особа""
,
VLOO"&amp;"KUP(H14108,IMPORTRANGE(""https://docs.google.com/spreadsheets/d/14Bd19lYaqBhU8_DElYkX7l4wRkHqqCUFNJY4AfY3kHU/edit?usp=sharing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107" s="7" t="s">
        <v>23</v>
      </c>
    </row>
    <row r="14108" spans="1:10" ht="13.2">
      <c r="A14108" s="7">
        <v>14107</v>
      </c>
      <c r="B14108" s="7">
        <v>1</v>
      </c>
      <c r="C14108" s="7" t="s">
        <v>10</v>
      </c>
      <c r="D14108" s="7">
        <v>18857</v>
      </c>
      <c r="E14108" s="7" t="s">
        <v>23</v>
      </c>
      <c r="F14108" s="8" t="str">
        <f ca="1">IFERROR(__xludf.DUMMYFUNCTION("IF
(
C14109=""фізична особа""
,
VLOOKUP(D14109,IMPORTRANGE(""https://docs.google.com/spreadsheets/d/14Bd19lYaqBhU8_DElYkX7l4wRkHqqCUFNJY4AfY3kHU/edit?usp=sharing  #gid=0"",""фіз особи new!relations_name""),6,FALSE)
,
(IF
(
C14109=""юридична особа""
,
VLOO"&amp;"KUP(D14109,IMPORTRANGE(""https://docs.google.com/spreadsheets/d/14Bd19lYaqBhU8_DElYkX7l4wRkHqqCUFNJY4AfY3kHU/edit?usp=sharing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8" s="7" t="s">
        <v>10</v>
      </c>
      <c r="H14108" s="7">
        <v>18849</v>
      </c>
      <c r="I14108" s="8" t="str">
        <f ca="1">IFERROR(__xludf.DUMMYFUNCTION("IF
(
G14109=""фізична особа""
,
VLOOKUP(H14109,IMPORTRANGE(""https://docs.google.com/spreadsheets/d/14Bd19lYaqBhU8_DElYkX7l4wRkHqqCUFNJY4AfY3kHU/edit?usp=sharing  #gid=0"",""фіз особи new!relations_name""),6,FALSE)
,
(IF
(
G14109=""юридична особа""
,
VLOO"&amp;"KUP(H14109,IMPORTRANGE(""https://docs.google.com/spreadsheets/d/14Bd19lYaqBhU8_DElYkX7l4wRkHqqCUFNJY4AfY3kHU/edit?usp=sharing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108" s="7" t="s">
        <v>23</v>
      </c>
    </row>
    <row r="14109" spans="1:10" ht="13.2">
      <c r="A14109" s="7">
        <v>14108</v>
      </c>
      <c r="B14109" s="7">
        <v>1</v>
      </c>
      <c r="C14109" s="7" t="s">
        <v>10</v>
      </c>
      <c r="D14109" s="7">
        <v>18857</v>
      </c>
      <c r="E14109" s="7" t="s">
        <v>23</v>
      </c>
      <c r="F14109" s="8" t="str">
        <f ca="1">IFERROR(__xludf.DUMMYFUNCTION("IF
(
C14110=""фізична особа""
,
VLOOKUP(D14110,IMPORTRANGE(""https://docs.google.com/spreadsheets/d/14Bd19lYaqBhU8_DElYkX7l4wRkHqqCUFNJY4AfY3kHU/edit?usp=sharing  #gid=0"",""фіз особи new!relations_name""),6,FALSE)
,
(IF
(
C14110=""юридична особа""
,
VLOO"&amp;"KUP(D14110,IMPORTRANGE(""https://docs.google.com/spreadsheets/d/14Bd19lYaqBhU8_DElYkX7l4wRkHqqCUFNJY4AfY3kHU/edit?usp=sharing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09" s="7" t="s">
        <v>10</v>
      </c>
      <c r="H14109" s="7">
        <v>18850</v>
      </c>
      <c r="I14109" s="8" t="str">
        <f ca="1">IFERROR(__xludf.DUMMYFUNCTION("IF
(
G14110=""фізична особа""
,
VLOOKUP(H14110,IMPORTRANGE(""https://docs.google.com/spreadsheets/d/14Bd19lYaqBhU8_DElYkX7l4wRkHqqCUFNJY4AfY3kHU/edit?usp=sharing  #gid=0"",""фіз особи new!relations_name""),6,FALSE)
,
(IF
(
G14110=""юридична особа""
,
VLOO"&amp;"KUP(H14110,IMPORTRANGE(""https://docs.google.com/spreadsheets/d/14Bd19lYaqBhU8_DElYkX7l4wRkHqqCUFNJY4AfY3kHU/edit?usp=sharing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109" s="7" t="s">
        <v>23</v>
      </c>
    </row>
    <row r="14110" spans="1:10" ht="13.2">
      <c r="A14110" s="7">
        <v>14109</v>
      </c>
      <c r="B14110" s="7">
        <v>1</v>
      </c>
      <c r="C14110" s="7" t="s">
        <v>10</v>
      </c>
      <c r="D14110" s="7">
        <v>18857</v>
      </c>
      <c r="E14110" s="7" t="s">
        <v>23</v>
      </c>
      <c r="F14110" s="8" t="str">
        <f ca="1">IFERROR(__xludf.DUMMYFUNCTION("IF
(
C14111=""фізична особа""
,
VLOOKUP(D14111,IMPORTRANGE(""https://docs.google.com/spreadsheets/d/14Bd19lYaqBhU8_DElYkX7l4wRkHqqCUFNJY4AfY3kHU/edit?usp=sharing  #gid=0"",""фіз особи new!relations_name""),6,FALSE)
,
(IF
(
C14111=""юридична особа""
,
VLOO"&amp;"KUP(D14111,IMPORTRANGE(""https://docs.google.com/spreadsheets/d/14Bd19lYaqBhU8_DElYkX7l4wRkHqqCUFNJY4AfY3kHU/edit?usp=sharing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10" s="7" t="s">
        <v>10</v>
      </c>
      <c r="H14110" s="7">
        <v>18851</v>
      </c>
      <c r="I14110" s="8" t="str">
        <f ca="1">IFERROR(__xludf.DUMMYFUNCTION("IF
(
G14111=""фізична особа""
,
VLOOKUP(H14111,IMPORTRANGE(""https://docs.google.com/spreadsheets/d/14Bd19lYaqBhU8_DElYkX7l4wRkHqqCUFNJY4AfY3kHU/edit?usp=sharing  #gid=0"",""фіз особи new!relations_name""),6,FALSE)
,
(IF
(
G14111=""юридична особа""
,
VLOO"&amp;"KUP(H14111,IMPORTRANGE(""https://docs.google.com/spreadsheets/d/14Bd19lYaqBhU8_DElYkX7l4wRkHqqCUFNJY4AfY3kHU/edit?usp=sharing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110" s="7" t="s">
        <v>23</v>
      </c>
    </row>
    <row r="14111" spans="1:10" ht="13.2">
      <c r="A14111" s="7">
        <v>14110</v>
      </c>
      <c r="B14111" s="7">
        <v>1</v>
      </c>
      <c r="C14111" s="7" t="s">
        <v>10</v>
      </c>
      <c r="D14111" s="7">
        <v>18857</v>
      </c>
      <c r="E14111" s="7" t="s">
        <v>23</v>
      </c>
      <c r="F14111" s="8" t="str">
        <f ca="1">IFERROR(__xludf.DUMMYFUNCTION("IF
(
C14112=""фізична особа""
,
VLOOKUP(D14112,IMPORTRANGE(""https://docs.google.com/spreadsheets/d/14Bd19lYaqBhU8_DElYkX7l4wRkHqqCUFNJY4AfY3kHU/edit?usp=sharing  #gid=0"",""фіз особи new!relations_name""),6,FALSE)
,
(IF
(
C14112=""юридична особа""
,
VLOO"&amp;"KUP(D14112,IMPORTRANGE(""https://docs.google.com/spreadsheets/d/14Bd19lYaqBhU8_DElYkX7l4wRkHqqCUFNJY4AfY3kHU/edit?usp=sharing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11" s="7" t="s">
        <v>10</v>
      </c>
      <c r="H14111" s="7">
        <v>18852</v>
      </c>
      <c r="I14111" s="8" t="str">
        <f ca="1">IFERROR(__xludf.DUMMYFUNCTION("IF
(
G14112=""фізична особа""
,
VLOOKUP(H14112,IMPORTRANGE(""https://docs.google.com/spreadsheets/d/14Bd19lYaqBhU8_DElYkX7l4wRkHqqCUFNJY4AfY3kHU/edit?usp=sharing  #gid=0"",""фіз особи new!relations_name""),6,FALSE)
,
(IF
(
G14112=""юридична особа""
,
VLOO"&amp;"KUP(H14112,IMPORTRANGE(""https://docs.google.com/spreadsheets/d/14Bd19lYaqBhU8_DElYkX7l4wRkHqqCUFNJY4AfY3kHU/edit?usp=sharing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111" s="7" t="s">
        <v>23</v>
      </c>
    </row>
    <row r="14112" spans="1:10" ht="13.2">
      <c r="A14112" s="7">
        <v>14111</v>
      </c>
      <c r="B14112" s="7">
        <v>1</v>
      </c>
      <c r="C14112" s="7" t="s">
        <v>10</v>
      </c>
      <c r="D14112" s="7">
        <v>18857</v>
      </c>
      <c r="E14112" s="7" t="s">
        <v>23</v>
      </c>
      <c r="F14112" s="8" t="str">
        <f ca="1">IFERROR(__xludf.DUMMYFUNCTION("IF
(
C14113=""фізична особа""
,
VLOOKUP(D14113,IMPORTRANGE(""https://docs.google.com/spreadsheets/d/14Bd19lYaqBhU8_DElYkX7l4wRkHqqCUFNJY4AfY3kHU/edit?usp=sharing  #gid=0"",""фіз особи new!relations_name""),6,FALSE)
,
(IF
(
C14113=""юридична особа""
,
VLOO"&amp;"KUP(D14113,IMPORTRANGE(""https://docs.google.com/spreadsheets/d/14Bd19lYaqBhU8_DElYkX7l4wRkHqqCUFNJY4AfY3kHU/edit?usp=sharing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12" s="7" t="s">
        <v>10</v>
      </c>
      <c r="H14112" s="7">
        <v>18853</v>
      </c>
      <c r="I14112" s="8" t="str">
        <f ca="1">IFERROR(__xludf.DUMMYFUNCTION("IF
(
G14113=""фізична особа""
,
VLOOKUP(H14113,IMPORTRANGE(""https://docs.google.com/spreadsheets/d/14Bd19lYaqBhU8_DElYkX7l4wRkHqqCUFNJY4AfY3kHU/edit?usp=sharing  #gid=0"",""фіз особи new!relations_name""),6,FALSE)
,
(IF
(
G14113=""юридична особа""
,
VLOO"&amp;"KUP(H14113,IMPORTRANGE(""https://docs.google.com/spreadsheets/d/14Bd19lYaqBhU8_DElYkX7l4wRkHqqCUFNJY4AfY3kHU/edit?usp=sharing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112" s="7" t="s">
        <v>23</v>
      </c>
    </row>
    <row r="14113" spans="1:10" ht="13.2">
      <c r="A14113" s="7">
        <v>14112</v>
      </c>
      <c r="B14113" s="7">
        <v>1</v>
      </c>
      <c r="C14113" s="7" t="s">
        <v>10</v>
      </c>
      <c r="D14113" s="7">
        <v>18857</v>
      </c>
      <c r="E14113" s="7" t="s">
        <v>23</v>
      </c>
      <c r="F14113" s="8" t="str">
        <f ca="1">IFERROR(__xludf.DUMMYFUNCTION("IF
(
C14114=""фізична особа""
,
VLOOKUP(D14114,IMPORTRANGE(""https://docs.google.com/spreadsheets/d/14Bd19lYaqBhU8_DElYkX7l4wRkHqqCUFNJY4AfY3kHU/edit?usp=sharing  #gid=0"",""фіз особи new!relations_name""),6,FALSE)
,
(IF
(
C14114=""юридична особа""
,
VLOO"&amp;"KUP(D14114,IMPORTRANGE(""https://docs.google.com/spreadsheets/d/14Bd19lYaqBhU8_DElYkX7l4wRkHqqCUFNJY4AfY3kHU/edit?usp=sharing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13" s="7" t="s">
        <v>10</v>
      </c>
      <c r="H14113" s="7">
        <v>18854</v>
      </c>
      <c r="I14113" s="8" t="str">
        <f ca="1">IFERROR(__xludf.DUMMYFUNCTION("IF
(
G14114=""фізична особа""
,
VLOOKUP(H14114,IMPORTRANGE(""https://docs.google.com/spreadsheets/d/14Bd19lYaqBhU8_DElYkX7l4wRkHqqCUFNJY4AfY3kHU/edit?usp=sharing  #gid=0"",""фіз особи new!relations_name""),6,FALSE)
,
(IF
(
G14114=""юридична особа""
,
VLOO"&amp;"KUP(H14114,IMPORTRANGE(""https://docs.google.com/spreadsheets/d/14Bd19lYaqBhU8_DElYkX7l4wRkHqqCUFNJY4AfY3kHU/edit?usp=sharing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113" s="7" t="s">
        <v>23</v>
      </c>
    </row>
    <row r="14114" spans="1:10" ht="13.2">
      <c r="A14114" s="7">
        <v>14113</v>
      </c>
      <c r="B14114" s="7">
        <v>1</v>
      </c>
      <c r="C14114" s="7" t="s">
        <v>10</v>
      </c>
      <c r="D14114" s="7">
        <v>18857</v>
      </c>
      <c r="E14114" s="7" t="s">
        <v>23</v>
      </c>
      <c r="F14114" s="8" t="str">
        <f ca="1">IFERROR(__xludf.DUMMYFUNCTION("IF
(
C14115=""фізична особа""
,
VLOOKUP(D14115,IMPORTRANGE(""https://docs.google.com/spreadsheets/d/14Bd19lYaqBhU8_DElYkX7l4wRkHqqCUFNJY4AfY3kHU/edit?usp=sharing  #gid=0"",""фіз особи new!relations_name""),6,FALSE)
,
(IF
(
C14115=""юридична особа""
,
VLOO"&amp;"KUP(D14115,IMPORTRANGE(""https://docs.google.com/spreadsheets/d/14Bd19lYaqBhU8_DElYkX7l4wRkHqqCUFNJY4AfY3kHU/edit?usp=sharing  #gid=0"",""фіз особи new!relations_name_uo""),7,FALSE)
,
)
))"),"БАГАУТДІНОВА Зарема Магомедсаїдівна")</f>
        <v>БАГАУТДІНОВА Зарема Магомедсаїдівна</v>
      </c>
      <c r="G14114" s="7" t="s">
        <v>10</v>
      </c>
      <c r="H14114" s="7">
        <v>18855</v>
      </c>
      <c r="I14114" s="8" t="str">
        <f ca="1">IFERROR(__xludf.DUMMYFUNCTION("IF
(
G14115=""фізична особа""
,
VLOOKUP(H14115,IMPORTRANGE(""https://docs.google.com/spreadsheets/d/14Bd19lYaqBhU8_DElYkX7l4wRkHqqCUFNJY4AfY3kHU/edit?usp=sharing  #gid=0"",""фіз особи new!relations_name""),6,FALSE)
,
(IF
(
G14115=""юридична особа""
,
VLOO"&amp;"KUP(H14115,IMPORTRANGE(""https://docs.google.com/spreadsheets/d/14Bd19lYaqBhU8_DElYkX7l4wRkHqqCUFNJY4AfY3kHU/edit?usp=sharing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114" s="7" t="s">
        <v>23</v>
      </c>
    </row>
    <row r="14115" spans="1:10" ht="13.2">
      <c r="A14115" s="7">
        <v>14114</v>
      </c>
      <c r="B14115" s="7">
        <v>1</v>
      </c>
      <c r="C14115" s="7" t="s">
        <v>10</v>
      </c>
      <c r="D14115" s="7">
        <v>18858</v>
      </c>
      <c r="E14115" s="7" t="s">
        <v>23</v>
      </c>
      <c r="F14115" s="8" t="str">
        <f ca="1">IFERROR(__xludf.DUMMYFUNCTION("IF
(
C14116=""фізична особа""
,
VLOOKUP(D14116,IMPORTRANGE(""https://docs.google.com/spreadsheets/d/14Bd19lYaqBhU8_DElYkX7l4wRkHqqCUFNJY4AfY3kHU/edit?usp=sharing  #gid=0"",""фіз особи new!relations_name""),6,FALSE)
,
(IF
(
C14116=""юридична особа""
,
VLOO"&amp;"KUP(D14116,IMPORTRANGE(""https://docs.google.com/spreadsheets/d/14Bd19lYaqBhU8_DElYkX7l4wRkHqqCUFNJY4AfY3kHU/edit?usp=sharing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15" s="7" t="s">
        <v>10</v>
      </c>
      <c r="H14115" s="7">
        <v>18576</v>
      </c>
      <c r="I14115" s="8" t="str">
        <f ca="1">IFERROR(__xludf.DUMMYFUNCTION("IF
(
G14116=""фізична особа""
,
VLOOKUP(H14116,IMPORTRANGE(""https://docs.google.com/spreadsheets/d/14Bd19lYaqBhU8_DElYkX7l4wRkHqqCUFNJY4AfY3kHU/edit?usp=sharing  #gid=0"",""фіз особи new!relations_name""),6,FALSE)
,
(IF
(
G14116=""юридична особа""
,
VLOO"&amp;"KUP(H14116,IMPORTRANGE(""https://docs.google.com/spreadsheets/d/14Bd19lYaqBhU8_DElYkX7l4wRkHqqCUFNJY4AfY3kHU/edit?usp=sharing  #gid=0"",""фіз особи new!relations_name_uo""),7,FALSE)
,
)
))"),"ДЕМЕНТЬЄВА Раїса Андріївна")</f>
        <v>ДЕМЕНТЬЄВА Раїса Андріївна</v>
      </c>
      <c r="J14115" s="7" t="s">
        <v>23</v>
      </c>
    </row>
    <row r="14116" spans="1:10" ht="13.2">
      <c r="A14116" s="7">
        <v>14115</v>
      </c>
      <c r="B14116" s="7">
        <v>1</v>
      </c>
      <c r="C14116" s="7" t="s">
        <v>10</v>
      </c>
      <c r="D14116" s="7">
        <v>18858</v>
      </c>
      <c r="E14116" s="7" t="s">
        <v>23</v>
      </c>
      <c r="F14116" s="8" t="str">
        <f ca="1">IFERROR(__xludf.DUMMYFUNCTION("IF
(
C14117=""фізична особа""
,
VLOOKUP(D14117,IMPORTRANGE(""https://docs.google.com/spreadsheets/d/14Bd19lYaqBhU8_DElYkX7l4wRkHqqCUFNJY4AfY3kHU/edit?usp=sharing  #gid=0"",""фіз особи new!relations_name""),6,FALSE)
,
(IF
(
C14117=""юридична особа""
,
VLOO"&amp;"KUP(D14117,IMPORTRANGE(""https://docs.google.com/spreadsheets/d/14Bd19lYaqBhU8_DElYkX7l4wRkHqqCUFNJY4AfY3kHU/edit?usp=sharing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16" s="7" t="s">
        <v>10</v>
      </c>
      <c r="H14116" s="7">
        <v>18577</v>
      </c>
      <c r="I14116" s="8" t="str">
        <f ca="1">IFERROR(__xludf.DUMMYFUNCTION("IF
(
G14117=""фізична особа""
,
VLOOKUP(H14117,IMPORTRANGE(""https://docs.google.com/spreadsheets/d/14Bd19lYaqBhU8_DElYkX7l4wRkHqqCUFNJY4AfY3kHU/edit?usp=sharing  #gid=0"",""фіз особи new!relations_name""),6,FALSE)
,
(IF
(
G14117=""юридична особа""
,
VLOO"&amp;"KUP(H14117,IMPORTRANGE(""https://docs.google.com/spreadsheets/d/14Bd19lYaqBhU8_DElYkX7l4wRkHqqCUFNJY4AfY3kHU/edit?usp=sharing  #gid=0"",""фіз особи new!relations_name_uo""),7,FALSE)
,
)
))"),"МАДЖАЇДОВ Маджид Мужаїдович")</f>
        <v>МАДЖАЇДОВ Маджид Мужаїдович</v>
      </c>
      <c r="J14116" s="7" t="s">
        <v>23</v>
      </c>
    </row>
    <row r="14117" spans="1:10" ht="13.2">
      <c r="A14117" s="7">
        <v>14116</v>
      </c>
      <c r="B14117" s="7">
        <v>1</v>
      </c>
      <c r="C14117" s="7" t="s">
        <v>10</v>
      </c>
      <c r="D14117" s="7">
        <v>18858</v>
      </c>
      <c r="E14117" s="7" t="s">
        <v>23</v>
      </c>
      <c r="F14117" s="8" t="str">
        <f ca="1">IFERROR(__xludf.DUMMYFUNCTION("IF
(
C14118=""фізична особа""
,
VLOOKUP(D14118,IMPORTRANGE(""https://docs.google.com/spreadsheets/d/14Bd19lYaqBhU8_DElYkX7l4wRkHqqCUFNJY4AfY3kHU/edit?usp=sharing  #gid=0"",""фіз особи new!relations_name""),6,FALSE)
,
(IF
(
C14118=""юридична особа""
,
VLOO"&amp;"KUP(D14118,IMPORTRANGE(""https://docs.google.com/spreadsheets/d/14Bd19lYaqBhU8_DElYkX7l4wRkHqqCUFNJY4AfY3kHU/edit?usp=sharing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17" s="7" t="s">
        <v>10</v>
      </c>
      <c r="H14117" s="7">
        <v>18578</v>
      </c>
      <c r="I14117" s="8" t="str">
        <f ca="1">IFERROR(__xludf.DUMMYFUNCTION("IF
(
G14118=""фізична особа""
,
VLOOKUP(H14118,IMPORTRANGE(""https://docs.google.com/spreadsheets/d/14Bd19lYaqBhU8_DElYkX7l4wRkHqqCUFNJY4AfY3kHU/edit?usp=sharing  #gid=0"",""фіз особи new!relations_name""),6,FALSE)
,
(IF
(
G14118=""юридична особа""
,
VLOO"&amp;"KUP(H14118,IMPORTRANGE(""https://docs.google.com/spreadsheets/d/14Bd19lYaqBhU8_DElYkX7l4wRkHqqCUFNJY4AfY3kHU/edit?usp=sharing  #gid=0"",""фіз особи new!relations_name_uo""),7,FALSE)
,
)
))"),"ГАПІЗОВ Гапіз Ібрагімович")</f>
        <v>ГАПІЗОВ Гапіз Ібрагімович</v>
      </c>
      <c r="J14117" s="7" t="s">
        <v>23</v>
      </c>
    </row>
    <row r="14118" spans="1:10" ht="13.2">
      <c r="A14118" s="7">
        <v>14117</v>
      </c>
      <c r="B14118" s="7">
        <v>1</v>
      </c>
      <c r="C14118" s="7" t="s">
        <v>10</v>
      </c>
      <c r="D14118" s="7">
        <v>18858</v>
      </c>
      <c r="E14118" s="7" t="s">
        <v>23</v>
      </c>
      <c r="F14118" s="8" t="str">
        <f ca="1">IFERROR(__xludf.DUMMYFUNCTION("IF
(
C14119=""фізична особа""
,
VLOOKUP(D14119,IMPORTRANGE(""https://docs.google.com/spreadsheets/d/14Bd19lYaqBhU8_DElYkX7l4wRkHqqCUFNJY4AfY3kHU/edit?usp=sharing  #gid=0"",""фіз особи new!relations_name""),6,FALSE)
,
(IF
(
C14119=""юридична особа""
,
VLOO"&amp;"KUP(D14119,IMPORTRANGE(""https://docs.google.com/spreadsheets/d/14Bd19lYaqBhU8_DElYkX7l4wRkHqqCUFNJY4AfY3kHU/edit?usp=sharing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18" s="7" t="s">
        <v>10</v>
      </c>
      <c r="H14118" s="7">
        <v>18580</v>
      </c>
      <c r="I14118" s="8" t="str">
        <f ca="1">IFERROR(__xludf.DUMMYFUNCTION("IF
(
G14119=""фізична особа""
,
VLOOKUP(H14119,IMPORTRANGE(""https://docs.google.com/spreadsheets/d/14Bd19lYaqBhU8_DElYkX7l4wRkHqqCUFNJY4AfY3kHU/edit?usp=sharing  #gid=0"",""фіз особи new!relations_name""),6,FALSE)
,
(IF
(
G14119=""юридична особа""
,
VLOO"&amp;"KUP(H14119,IMPORTRANGE(""https://docs.google.com/spreadsheets/d/14Bd19lYaqBhU8_DElYkX7l4wRkHqqCUFNJY4AfY3kHU/edit?usp=sharing  #gid=0"",""фіз особи new!relations_name_uo""),7,FALSE)
,
)
))"),"ГАЗІМАГОМЕДОВ Макамагомед Джамалудинович")</f>
        <v>ГАЗІМАГОМЕДОВ Макамагомед Джамалудинович</v>
      </c>
      <c r="J14118" s="7" t="s">
        <v>23</v>
      </c>
    </row>
    <row r="14119" spans="1:10" ht="13.2">
      <c r="A14119" s="7">
        <v>14118</v>
      </c>
      <c r="B14119" s="7">
        <v>1</v>
      </c>
      <c r="C14119" s="7" t="s">
        <v>10</v>
      </c>
      <c r="D14119" s="7">
        <v>18858</v>
      </c>
      <c r="E14119" s="7" t="s">
        <v>23</v>
      </c>
      <c r="F14119" s="8" t="str">
        <f ca="1">IFERROR(__xludf.DUMMYFUNCTION("IF
(
C14120=""фізична особа""
,
VLOOKUP(D14120,IMPORTRANGE(""https://docs.google.com/spreadsheets/d/14Bd19lYaqBhU8_DElYkX7l4wRkHqqCUFNJY4AfY3kHU/edit?usp=sharing  #gid=0"",""фіз особи new!relations_name""),6,FALSE)
,
(IF
(
C14120=""юридична особа""
,
VLOO"&amp;"KUP(D14120,IMPORTRANGE(""https://docs.google.com/spreadsheets/d/14Bd19lYaqBhU8_DElYkX7l4wRkHqqCUFNJY4AfY3kHU/edit?usp=sharing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19" s="7" t="s">
        <v>10</v>
      </c>
      <c r="H14119" s="7">
        <v>18581</v>
      </c>
      <c r="I14119" s="8" t="str">
        <f ca="1">IFERROR(__xludf.DUMMYFUNCTION("IF
(
G14120=""фізична особа""
,
VLOOKUP(H14120,IMPORTRANGE(""https://docs.google.com/spreadsheets/d/14Bd19lYaqBhU8_DElYkX7l4wRkHqqCUFNJY4AfY3kHU/edit?usp=sharing  #gid=0"",""фіз особи new!relations_name""),6,FALSE)
,
(IF
(
G14120=""юридична особа""
,
VLOO"&amp;"KUP(H14120,IMPORTRANGE(""https://docs.google.com/spreadsheets/d/14Bd19lYaqBhU8_DElYkX7l4wRkHqqCUFNJY4AfY3kHU/edit?usp=sharing  #gid=0"",""фіз особи new!relations_name_uo""),7,FALSE)
,
)
))"),"АЛІЄВ Камаладин Абдулмеджидович")</f>
        <v>АЛІЄВ Камаладин Абдулмеджидович</v>
      </c>
      <c r="J14119" s="7" t="s">
        <v>23</v>
      </c>
    </row>
    <row r="14120" spans="1:10" ht="13.2">
      <c r="A14120" s="7">
        <v>14119</v>
      </c>
      <c r="B14120" s="7">
        <v>1</v>
      </c>
      <c r="C14120" s="7" t="s">
        <v>10</v>
      </c>
      <c r="D14120" s="7">
        <v>18858</v>
      </c>
      <c r="E14120" s="7" t="s">
        <v>23</v>
      </c>
      <c r="F14120" s="8" t="str">
        <f ca="1">IFERROR(__xludf.DUMMYFUNCTION("IF
(
C14121=""фізична особа""
,
VLOOKUP(D14121,IMPORTRANGE(""https://docs.google.com/spreadsheets/d/14Bd19lYaqBhU8_DElYkX7l4wRkHqqCUFNJY4AfY3kHU/edit?usp=sharing  #gid=0"",""фіз особи new!relations_name""),6,FALSE)
,
(IF
(
C14121=""юридична особа""
,
VLOO"&amp;"KUP(D14121,IMPORTRANGE(""https://docs.google.com/spreadsheets/d/14Bd19lYaqBhU8_DElYkX7l4wRkHqqCUFNJY4AfY3kHU/edit?usp=sharing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0" s="7" t="s">
        <v>10</v>
      </c>
      <c r="H14120" s="7">
        <v>18582</v>
      </c>
      <c r="I14120" s="8" t="str">
        <f ca="1">IFERROR(__xludf.DUMMYFUNCTION("IF
(
G14121=""фізична особа""
,
VLOOKUP(H14121,IMPORTRANGE(""https://docs.google.com/spreadsheets/d/14Bd19lYaqBhU8_DElYkX7l4wRkHqqCUFNJY4AfY3kHU/edit?usp=sharing  #gid=0"",""фіз особи new!relations_name""),6,FALSE)
,
(IF
(
G14121=""юридична особа""
,
VLOO"&amp;"KUP(H14121,IMPORTRANGE(""https://docs.google.com/spreadsheets/d/14Bd19lYaqBhU8_DElYkX7l4wRkHqqCUFNJY4AfY3kHU/edit?usp=sharing  #gid=0"",""фіз особи new!relations_name_uo""),7,FALSE)
,
)
))"),"ХАЛІМБЕКОВ Азіз Маматович")</f>
        <v>ХАЛІМБЕКОВ Азіз Маматович</v>
      </c>
      <c r="J14120" s="7" t="s">
        <v>23</v>
      </c>
    </row>
    <row r="14121" spans="1:10" ht="13.2">
      <c r="A14121" s="7">
        <v>14120</v>
      </c>
      <c r="B14121" s="7">
        <v>1</v>
      </c>
      <c r="C14121" s="7" t="s">
        <v>10</v>
      </c>
      <c r="D14121" s="7">
        <v>18858</v>
      </c>
      <c r="E14121" s="7" t="s">
        <v>23</v>
      </c>
      <c r="F14121" s="8" t="str">
        <f ca="1">IFERROR(__xludf.DUMMYFUNCTION("IF
(
C14122=""фізична особа""
,
VLOOKUP(D14122,IMPORTRANGE(""https://docs.google.com/spreadsheets/d/14Bd19lYaqBhU8_DElYkX7l4wRkHqqCUFNJY4AfY3kHU/edit?usp=sharing  #gid=0"",""фіз особи new!relations_name""),6,FALSE)
,
(IF
(
C14122=""юридична особа""
,
VLOO"&amp;"KUP(D14122,IMPORTRANGE(""https://docs.google.com/spreadsheets/d/14Bd19lYaqBhU8_DElYkX7l4wRkHqqCUFNJY4AfY3kHU/edit?usp=sharing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1" s="7" t="s">
        <v>10</v>
      </c>
      <c r="H14121" s="7">
        <v>18583</v>
      </c>
      <c r="I14121" s="8" t="str">
        <f ca="1">IFERROR(__xludf.DUMMYFUNCTION("IF
(
G14122=""фізична особа""
,
VLOOKUP(H14122,IMPORTRANGE(""https://docs.google.com/spreadsheets/d/14Bd19lYaqBhU8_DElYkX7l4wRkHqqCUFNJY4AfY3kHU/edit?usp=sharing  #gid=0"",""фіз особи new!relations_name""),6,FALSE)
,
(IF
(
G14122=""юридична особа""
,
VLOO"&amp;"KUP(H14122,IMPORTRANGE(""https://docs.google.com/spreadsheets/d/14Bd19lYaqBhU8_DElYkX7l4wRkHqqCUFNJY4AfY3kHU/edit?usp=sharing  #gid=0"",""фіз особи new!relations_name_uo""),7,FALSE)
,
)
))"),"САЇДОВ Басир Магомедрасулович")</f>
        <v>САЇДОВ Басир Магомедрасулович</v>
      </c>
      <c r="J14121" s="7" t="s">
        <v>23</v>
      </c>
    </row>
    <row r="14122" spans="1:10" ht="13.2">
      <c r="A14122" s="7">
        <v>14121</v>
      </c>
      <c r="B14122" s="7">
        <v>1</v>
      </c>
      <c r="C14122" s="7" t="s">
        <v>10</v>
      </c>
      <c r="D14122" s="7">
        <v>18858</v>
      </c>
      <c r="E14122" s="7" t="s">
        <v>23</v>
      </c>
      <c r="F14122" s="8" t="str">
        <f ca="1">IFERROR(__xludf.DUMMYFUNCTION("IF
(
C14123=""фізична особа""
,
VLOOKUP(D14123,IMPORTRANGE(""https://docs.google.com/spreadsheets/d/14Bd19lYaqBhU8_DElYkX7l4wRkHqqCUFNJY4AfY3kHU/edit?usp=sharing  #gid=0"",""фіз особи new!relations_name""),6,FALSE)
,
(IF
(
C14123=""юридична особа""
,
VLOO"&amp;"KUP(D14123,IMPORTRANGE(""https://docs.google.com/spreadsheets/d/14Bd19lYaqBhU8_DElYkX7l4wRkHqqCUFNJY4AfY3kHU/edit?usp=sharing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2" s="7" t="s">
        <v>10</v>
      </c>
      <c r="H14122" s="7">
        <v>18584</v>
      </c>
      <c r="I14122" s="8" t="str">
        <f ca="1">IFERROR(__xludf.DUMMYFUNCTION("IF
(
G14123=""фізична особа""
,
VLOOKUP(H14123,IMPORTRANGE(""https://docs.google.com/spreadsheets/d/14Bd19lYaqBhU8_DElYkX7l4wRkHqqCUFNJY4AfY3kHU/edit?usp=sharing  #gid=0"",""фіз особи new!relations_name""),6,FALSE)
,
(IF
(
G14123=""юридична особа""
,
VLOO"&amp;"KUP(H14123,IMPORTRANGE(""https://docs.google.com/spreadsheets/d/14Bd19lYaqBhU8_DElYkX7l4wRkHqqCUFNJY4AfY3kHU/edit?usp=sharing  #gid=0"",""фіз особи new!relations_name_uo""),7,FALSE)
,
)
))"),"АДЗІЄВА Насіхат Рашидханівна")</f>
        <v>АДЗІЄВА Насіхат Рашидханівна</v>
      </c>
      <c r="J14122" s="7" t="s">
        <v>23</v>
      </c>
    </row>
    <row r="14123" spans="1:10" ht="13.2">
      <c r="A14123" s="7">
        <v>14122</v>
      </c>
      <c r="B14123" s="7">
        <v>1</v>
      </c>
      <c r="C14123" s="7" t="s">
        <v>10</v>
      </c>
      <c r="D14123" s="7">
        <v>18858</v>
      </c>
      <c r="E14123" s="7" t="s">
        <v>23</v>
      </c>
      <c r="F14123" s="8" t="str">
        <f ca="1">IFERROR(__xludf.DUMMYFUNCTION("IF
(
C14124=""фізична особа""
,
VLOOKUP(D14124,IMPORTRANGE(""https://docs.google.com/spreadsheets/d/14Bd19lYaqBhU8_DElYkX7l4wRkHqqCUFNJY4AfY3kHU/edit?usp=sharing  #gid=0"",""фіз особи new!relations_name""),6,FALSE)
,
(IF
(
C14124=""юридична особа""
,
VLOO"&amp;"KUP(D14124,IMPORTRANGE(""https://docs.google.com/spreadsheets/d/14Bd19lYaqBhU8_DElYkX7l4wRkHqqCUFNJY4AfY3kHU/edit?usp=sharing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3" s="7" t="s">
        <v>10</v>
      </c>
      <c r="H14123" s="7">
        <v>18585</v>
      </c>
      <c r="I14123" s="8" t="str">
        <f ca="1">IFERROR(__xludf.DUMMYFUNCTION("IF
(
G14124=""фізична особа""
,
VLOOKUP(H14124,IMPORTRANGE(""https://docs.google.com/spreadsheets/d/14Bd19lYaqBhU8_DElYkX7l4wRkHqqCUFNJY4AfY3kHU/edit?usp=sharing  #gid=0"",""фіз особи new!relations_name""),6,FALSE)
,
(IF
(
G14124=""юридична особа""
,
VLOO"&amp;"KUP(H14124,IMPORTRANGE(""https://docs.google.com/spreadsheets/d/14Bd19lYaqBhU8_DElYkX7l4wRkHqqCUFNJY4AfY3kHU/edit?usp=sharing  #gid=0"",""фіз особи new!relations_name_uo""),7,FALSE)
,
)
))"),"АБДУЛБЕКОВА Раїсат Алібеківна")</f>
        <v>АБДУЛБЕКОВА Раїсат Алібеківна</v>
      </c>
      <c r="J14123" s="7" t="s">
        <v>23</v>
      </c>
    </row>
    <row r="14124" spans="1:10" ht="13.2">
      <c r="A14124" s="7">
        <v>14123</v>
      </c>
      <c r="B14124" s="7">
        <v>1</v>
      </c>
      <c r="C14124" s="7" t="s">
        <v>10</v>
      </c>
      <c r="D14124" s="7">
        <v>18858</v>
      </c>
      <c r="E14124" s="7" t="s">
        <v>23</v>
      </c>
      <c r="F14124" s="8" t="str">
        <f ca="1">IFERROR(__xludf.DUMMYFUNCTION("IF
(
C14125=""фізична особа""
,
VLOOKUP(D14125,IMPORTRANGE(""https://docs.google.com/spreadsheets/d/14Bd19lYaqBhU8_DElYkX7l4wRkHqqCUFNJY4AfY3kHU/edit?usp=sharing  #gid=0"",""фіз особи new!relations_name""),6,FALSE)
,
(IF
(
C14125=""юридична особа""
,
VLOO"&amp;"KUP(D14125,IMPORTRANGE(""https://docs.google.com/spreadsheets/d/14Bd19lYaqBhU8_DElYkX7l4wRkHqqCUFNJY4AfY3kHU/edit?usp=sharing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4" s="7" t="s">
        <v>10</v>
      </c>
      <c r="H14124" s="7">
        <v>18579</v>
      </c>
      <c r="I14124" s="8" t="str">
        <f ca="1">IFERROR(__xludf.DUMMYFUNCTION("IF
(
G14125=""фізична особа""
,
VLOOKUP(H14125,IMPORTRANGE(""https://docs.google.com/spreadsheets/d/14Bd19lYaqBhU8_DElYkX7l4wRkHqqCUFNJY4AfY3kHU/edit?usp=sharing  #gid=0"",""фіз особи new!relations_name""),6,FALSE)
,
(IF
(
G14125=""юридична особа""
,
VLOO"&amp;"KUP(H14125,IMPORTRANGE(""https://docs.google.com/spreadsheets/d/14Bd19lYaqBhU8_DElYkX7l4wRkHqqCUFNJY4AfY3kHU/edit?usp=sharing  #gid=0"",""фіз особи new!relations_name_uo""),7,FALSE)
,
)
))"),"АСАДУЛАЄВА Шамай Валібагандівна")</f>
        <v>АСАДУЛАЄВА Шамай Валібагандівна</v>
      </c>
      <c r="J14124" s="7" t="s">
        <v>23</v>
      </c>
    </row>
    <row r="14125" spans="1:10" ht="13.2">
      <c r="A14125" s="7">
        <v>14124</v>
      </c>
      <c r="B14125" s="7">
        <v>1</v>
      </c>
      <c r="C14125" s="7" t="s">
        <v>10</v>
      </c>
      <c r="D14125" s="7">
        <v>18858</v>
      </c>
      <c r="E14125" s="7" t="s">
        <v>23</v>
      </c>
      <c r="F14125" s="8" t="str">
        <f ca="1">IFERROR(__xludf.DUMMYFUNCTION("IF
(
C14126=""фізична особа""
,
VLOOKUP(D14126,IMPORTRANGE(""https://docs.google.com/spreadsheets/d/14Bd19lYaqBhU8_DElYkX7l4wRkHqqCUFNJY4AfY3kHU/edit?usp=sharing  #gid=0"",""фіз особи new!relations_name""),6,FALSE)
,
(IF
(
C14126=""юридична особа""
,
VLOO"&amp;"KUP(D14126,IMPORTRANGE(""https://docs.google.com/spreadsheets/d/14Bd19lYaqBhU8_DElYkX7l4wRkHqqCUFNJY4AfY3kHU/edit?usp=sharing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5" s="7" t="s">
        <v>10</v>
      </c>
      <c r="H14125" s="7">
        <v>18847</v>
      </c>
      <c r="I14125" s="8" t="str">
        <f ca="1">IFERROR(__xludf.DUMMYFUNCTION("IF
(
G14126=""фізична особа""
,
VLOOKUP(H14126,IMPORTRANGE(""https://docs.google.com/spreadsheets/d/14Bd19lYaqBhU8_DElYkX7l4wRkHqqCUFNJY4AfY3kHU/edit?usp=sharing  #gid=0"",""фіз особи new!relations_name""),6,FALSE)
,
(IF
(
G14126=""юридична особа""
,
VLOO"&amp;"KUP(H14126,IMPORTRANGE(""https://docs.google.com/spreadsheets/d/14Bd19lYaqBhU8_DElYkX7l4wRkHqqCUFNJY4AfY3kHU/edit?usp=sharing  #gid=0"",""фіз особи new!relations_name_uo""),7,FALSE)
,
)
))"),"АДУЄВА Мінарат Абдуллагаджиївна")</f>
        <v>АДУЄВА Мінарат Абдуллагаджиївна</v>
      </c>
      <c r="J14125" s="7" t="s">
        <v>23</v>
      </c>
    </row>
    <row r="14126" spans="1:10" ht="13.2">
      <c r="A14126" s="7">
        <v>14125</v>
      </c>
      <c r="B14126" s="7">
        <v>1</v>
      </c>
      <c r="C14126" s="7" t="s">
        <v>10</v>
      </c>
      <c r="D14126" s="7">
        <v>18858</v>
      </c>
      <c r="E14126" s="7" t="s">
        <v>23</v>
      </c>
      <c r="F14126" s="8" t="str">
        <f ca="1">IFERROR(__xludf.DUMMYFUNCTION("IF
(
C14127=""фізична особа""
,
VLOOKUP(D14127,IMPORTRANGE(""https://docs.google.com/spreadsheets/d/14Bd19lYaqBhU8_DElYkX7l4wRkHqqCUFNJY4AfY3kHU/edit?usp=sharing  #gid=0"",""фіз особи new!relations_name""),6,FALSE)
,
(IF
(
C14127=""юридична особа""
,
VLOO"&amp;"KUP(D14127,IMPORTRANGE(""https://docs.google.com/spreadsheets/d/14Bd19lYaqBhU8_DElYkX7l4wRkHqqCUFNJY4AfY3kHU/edit?usp=sharing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6" s="7" t="s">
        <v>10</v>
      </c>
      <c r="H14126" s="7">
        <v>18848</v>
      </c>
      <c r="I14126" s="8" t="str">
        <f ca="1">IFERROR(__xludf.DUMMYFUNCTION("IF
(
G14127=""фізична особа""
,
VLOOKUP(H14127,IMPORTRANGE(""https://docs.google.com/spreadsheets/d/14Bd19lYaqBhU8_DElYkX7l4wRkHqqCUFNJY4AfY3kHU/edit?usp=sharing  #gid=0"",""фіз особи new!relations_name""),6,FALSE)
,
(IF
(
G14127=""юридична особа""
,
VLOO"&amp;"KUP(H14127,IMPORTRANGE(""https://docs.google.com/spreadsheets/d/14Bd19lYaqBhU8_DElYkX7l4wRkHqqCUFNJY4AfY3kHU/edit?usp=sharing  #gid=0"",""фіз особи new!relations_name_uo""),7,FALSE)
,
)
))"),"ГАМЗАЄВ Шаміль Макамагомедович")</f>
        <v>ГАМЗАЄВ Шаміль Макамагомедович</v>
      </c>
      <c r="J14126" s="7" t="s">
        <v>23</v>
      </c>
    </row>
    <row r="14127" spans="1:10" ht="13.2">
      <c r="A14127" s="7">
        <v>14126</v>
      </c>
      <c r="B14127" s="7">
        <v>1</v>
      </c>
      <c r="C14127" s="7" t="s">
        <v>10</v>
      </c>
      <c r="D14127" s="7">
        <v>18858</v>
      </c>
      <c r="E14127" s="7" t="s">
        <v>23</v>
      </c>
      <c r="F14127" s="8" t="str">
        <f ca="1">IFERROR(__xludf.DUMMYFUNCTION("IF
(
C14128=""фізична особа""
,
VLOOKUP(D14128,IMPORTRANGE(""https://docs.google.com/spreadsheets/d/14Bd19lYaqBhU8_DElYkX7l4wRkHqqCUFNJY4AfY3kHU/edit?usp=sharing  #gid=0"",""фіз особи new!relations_name""),6,FALSE)
,
(IF
(
C14128=""юридична особа""
,
VLOO"&amp;"KUP(D14128,IMPORTRANGE(""https://docs.google.com/spreadsheets/d/14Bd19lYaqBhU8_DElYkX7l4wRkHqqCUFNJY4AfY3kHU/edit?usp=sharing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7" s="7" t="s">
        <v>10</v>
      </c>
      <c r="H14127" s="7">
        <v>18849</v>
      </c>
      <c r="I14127" s="8" t="str">
        <f ca="1">IFERROR(__xludf.DUMMYFUNCTION("IF
(
G14128=""фізична особа""
,
VLOOKUP(H14128,IMPORTRANGE(""https://docs.google.com/spreadsheets/d/14Bd19lYaqBhU8_DElYkX7l4wRkHqqCUFNJY4AfY3kHU/edit?usp=sharing  #gid=0"",""фіз особи new!relations_name""),6,FALSE)
,
(IF
(
G14128=""юридична особа""
,
VLOO"&amp;"KUP(H14128,IMPORTRANGE(""https://docs.google.com/spreadsheets/d/14Bd19lYaqBhU8_DElYkX7l4wRkHqqCUFNJY4AfY3kHU/edit?usp=sharing  #gid=0"",""фіз особи new!relations_name_uo""),7,FALSE)
,
)
))"),"МАГОМЕДОВ Руслан Багаутдинович")</f>
        <v>МАГОМЕДОВ Руслан Багаутдинович</v>
      </c>
      <c r="J14127" s="7" t="s">
        <v>23</v>
      </c>
    </row>
    <row r="14128" spans="1:10" ht="13.2">
      <c r="A14128" s="7">
        <v>14127</v>
      </c>
      <c r="B14128" s="7">
        <v>1</v>
      </c>
      <c r="C14128" s="7" t="s">
        <v>10</v>
      </c>
      <c r="D14128" s="7">
        <v>18858</v>
      </c>
      <c r="E14128" s="7" t="s">
        <v>23</v>
      </c>
      <c r="F14128" s="8" t="str">
        <f ca="1">IFERROR(__xludf.DUMMYFUNCTION("IF
(
C14129=""фізична особа""
,
VLOOKUP(D14129,IMPORTRANGE(""https://docs.google.com/spreadsheets/d/14Bd19lYaqBhU8_DElYkX7l4wRkHqqCUFNJY4AfY3kHU/edit?usp=sharing  #gid=0"",""фіз особи new!relations_name""),6,FALSE)
,
(IF
(
C14129=""юридична особа""
,
VLOO"&amp;"KUP(D14129,IMPORTRANGE(""https://docs.google.com/spreadsheets/d/14Bd19lYaqBhU8_DElYkX7l4wRkHqqCUFNJY4AfY3kHU/edit?usp=sharing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8" s="7" t="s">
        <v>10</v>
      </c>
      <c r="H14128" s="7">
        <v>18850</v>
      </c>
      <c r="I14128" s="8" t="str">
        <f ca="1">IFERROR(__xludf.DUMMYFUNCTION("IF
(
G14129=""фізична особа""
,
VLOOKUP(H14129,IMPORTRANGE(""https://docs.google.com/spreadsheets/d/14Bd19lYaqBhU8_DElYkX7l4wRkHqqCUFNJY4AfY3kHU/edit?usp=sharing  #gid=0"",""фіз особи new!relations_name""),6,FALSE)
,
(IF
(
G14129=""юридична особа""
,
VLOO"&amp;"KUP(H14129,IMPORTRANGE(""https://docs.google.com/spreadsheets/d/14Bd19lYaqBhU8_DElYkX7l4wRkHqqCUFNJY4AfY3kHU/edit?usp=sharing  #gid=0"",""фіз особи new!relations_name_uo""),7,FALSE)
,
)
))"),"РУСТАНОВ Магомедгаджи Джалалудинович")</f>
        <v>РУСТАНОВ Магомедгаджи Джалалудинович</v>
      </c>
      <c r="J14128" s="7" t="s">
        <v>23</v>
      </c>
    </row>
    <row r="14129" spans="1:10" ht="13.2">
      <c r="A14129" s="7">
        <v>14128</v>
      </c>
      <c r="B14129" s="7">
        <v>1</v>
      </c>
      <c r="C14129" s="7" t="s">
        <v>10</v>
      </c>
      <c r="D14129" s="7">
        <v>18858</v>
      </c>
      <c r="E14129" s="7" t="s">
        <v>23</v>
      </c>
      <c r="F14129" s="8" t="str">
        <f ca="1">IFERROR(__xludf.DUMMYFUNCTION("IF
(
C14130=""фізична особа""
,
VLOOKUP(D14130,IMPORTRANGE(""https://docs.google.com/spreadsheets/d/14Bd19lYaqBhU8_DElYkX7l4wRkHqqCUFNJY4AfY3kHU/edit?usp=sharing  #gid=0"",""фіз особи new!relations_name""),6,FALSE)
,
(IF
(
C14130=""юридична особа""
,
VLOO"&amp;"KUP(D14130,IMPORTRANGE(""https://docs.google.com/spreadsheets/d/14Bd19lYaqBhU8_DElYkX7l4wRkHqqCUFNJY4AfY3kHU/edit?usp=sharing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29" s="7" t="s">
        <v>10</v>
      </c>
      <c r="H14129" s="7">
        <v>18851</v>
      </c>
      <c r="I14129" s="8" t="str">
        <f ca="1">IFERROR(__xludf.DUMMYFUNCTION("IF
(
G14130=""фізична особа""
,
VLOOKUP(H14130,IMPORTRANGE(""https://docs.google.com/spreadsheets/d/14Bd19lYaqBhU8_DElYkX7l4wRkHqqCUFNJY4AfY3kHU/edit?usp=sharing  #gid=0"",""фіз особи new!relations_name""),6,FALSE)
,
(IF
(
G14130=""юридична особа""
,
VLOO"&amp;"KUP(H14130,IMPORTRANGE(""https://docs.google.com/spreadsheets/d/14Bd19lYaqBhU8_DElYkX7l4wRkHqqCUFNJY4AfY3kHU/edit?usp=sharing  #gid=0"",""фіз особи new!relations_name_uo""),7,FALSE)
,
)
))"),"ШАМІЛОВА Патімат Гаджибеківна")</f>
        <v>ШАМІЛОВА Патімат Гаджибеківна</v>
      </c>
      <c r="J14129" s="7" t="s">
        <v>23</v>
      </c>
    </row>
    <row r="14130" spans="1:10" ht="13.2">
      <c r="A14130" s="7">
        <v>14129</v>
      </c>
      <c r="B14130" s="7">
        <v>1</v>
      </c>
      <c r="C14130" s="7" t="s">
        <v>10</v>
      </c>
      <c r="D14130" s="7">
        <v>18858</v>
      </c>
      <c r="E14130" s="7" t="s">
        <v>23</v>
      </c>
      <c r="F14130" s="8" t="str">
        <f ca="1">IFERROR(__xludf.DUMMYFUNCTION("IF
(
C14131=""фізична особа""
,
VLOOKUP(D14131,IMPORTRANGE(""https://docs.google.com/spreadsheets/d/14Bd19lYaqBhU8_DElYkX7l4wRkHqqCUFNJY4AfY3kHU/edit?usp=sharing  #gid=0"",""фіз особи new!relations_name""),6,FALSE)
,
(IF
(
C14131=""юридична особа""
,
VLOO"&amp;"KUP(D14131,IMPORTRANGE(""https://docs.google.com/spreadsheets/d/14Bd19lYaqBhU8_DElYkX7l4wRkHqqCUFNJY4AfY3kHU/edit?usp=sharing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30" s="7" t="s">
        <v>10</v>
      </c>
      <c r="H14130" s="7">
        <v>18852</v>
      </c>
      <c r="I14130" s="8" t="str">
        <f ca="1">IFERROR(__xludf.DUMMYFUNCTION("IF
(
G14131=""фізична особа""
,
VLOOKUP(H14131,IMPORTRANGE(""https://docs.google.com/spreadsheets/d/14Bd19lYaqBhU8_DElYkX7l4wRkHqqCUFNJY4AfY3kHU/edit?usp=sharing  #gid=0"",""фіз особи new!relations_name""),6,FALSE)
,
(IF
(
G14131=""юридична особа""
,
VLOO"&amp;"KUP(H14131,IMPORTRANGE(""https://docs.google.com/spreadsheets/d/14Bd19lYaqBhU8_DElYkX7l4wRkHqqCUFNJY4AfY3kHU/edit?usp=sharing  #gid=0"",""фіз особи new!relations_name_uo""),7,FALSE)
,
)
))"),"БІЛАЛОВА Карина Ібрагимівна")</f>
        <v>БІЛАЛОВА Карина Ібрагимівна</v>
      </c>
      <c r="J14130" s="7" t="s">
        <v>23</v>
      </c>
    </row>
    <row r="14131" spans="1:10" ht="13.2">
      <c r="A14131" s="7">
        <v>14130</v>
      </c>
      <c r="B14131" s="7">
        <v>1</v>
      </c>
      <c r="C14131" s="7" t="s">
        <v>10</v>
      </c>
      <c r="D14131" s="7">
        <v>18858</v>
      </c>
      <c r="E14131" s="7" t="s">
        <v>23</v>
      </c>
      <c r="F14131" s="8" t="str">
        <f ca="1">IFERROR(__xludf.DUMMYFUNCTION("IF
(
C14132=""фізична особа""
,
VLOOKUP(D14132,IMPORTRANGE(""https://docs.google.com/spreadsheets/d/14Bd19lYaqBhU8_DElYkX7l4wRkHqqCUFNJY4AfY3kHU/edit?usp=sharing  #gid=0"",""фіз особи new!relations_name""),6,FALSE)
,
(IF
(
C14132=""юридична особа""
,
VLOO"&amp;"KUP(D14132,IMPORTRANGE(""https://docs.google.com/spreadsheets/d/14Bd19lYaqBhU8_DElYkX7l4wRkHqqCUFNJY4AfY3kHU/edit?usp=sharing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31" s="7" t="s">
        <v>10</v>
      </c>
      <c r="H14131" s="7">
        <v>18853</v>
      </c>
      <c r="I14131" s="8" t="str">
        <f ca="1">IFERROR(__xludf.DUMMYFUNCTION("IF
(
G14132=""фізична особа""
,
VLOOKUP(H14132,IMPORTRANGE(""https://docs.google.com/spreadsheets/d/14Bd19lYaqBhU8_DElYkX7l4wRkHqqCUFNJY4AfY3kHU/edit?usp=sharing  #gid=0"",""фіз особи new!relations_name""),6,FALSE)
,
(IF
(
G14132=""юридична особа""
,
VLOO"&amp;"KUP(H14132,IMPORTRANGE(""https://docs.google.com/spreadsheets/d/14Bd19lYaqBhU8_DElYkX7l4wRkHqqCUFNJY4AfY3kHU/edit?usp=sharing  #gid=0"",""фіз особи new!relations_name_uo""),7,FALSE)
,
)
))"),"ОМАРОВА Джаміля Абдурахманівна")</f>
        <v>ОМАРОВА Джаміля Абдурахманівна</v>
      </c>
      <c r="J14131" s="7" t="s">
        <v>23</v>
      </c>
    </row>
    <row r="14132" spans="1:10" ht="13.2">
      <c r="A14132" s="7">
        <v>14131</v>
      </c>
      <c r="B14132" s="7">
        <v>1</v>
      </c>
      <c r="C14132" s="7" t="s">
        <v>10</v>
      </c>
      <c r="D14132" s="7">
        <v>18858</v>
      </c>
      <c r="E14132" s="7" t="s">
        <v>23</v>
      </c>
      <c r="F14132" s="8" t="str">
        <f ca="1">IFERROR(__xludf.DUMMYFUNCTION("IF
(
C14133=""фізична особа""
,
VLOOKUP(D14133,IMPORTRANGE(""https://docs.google.com/spreadsheets/d/14Bd19lYaqBhU8_DElYkX7l4wRkHqqCUFNJY4AfY3kHU/edit?usp=sharing  #gid=0"",""фіз особи new!relations_name""),6,FALSE)
,
(IF
(
C14133=""юридична особа""
,
VLOO"&amp;"KUP(D14133,IMPORTRANGE(""https://docs.google.com/spreadsheets/d/14Bd19lYaqBhU8_DElYkX7l4wRkHqqCUFNJY4AfY3kHU/edit?usp=sharing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32" s="7" t="s">
        <v>10</v>
      </c>
      <c r="H14132" s="7">
        <v>18854</v>
      </c>
      <c r="I14132" s="8" t="str">
        <f ca="1">IFERROR(__xludf.DUMMYFUNCTION("IF
(
G14133=""фізична особа""
,
VLOOKUP(H14133,IMPORTRANGE(""https://docs.google.com/spreadsheets/d/14Bd19lYaqBhU8_DElYkX7l4wRkHqqCUFNJY4AfY3kHU/edit?usp=sharing  #gid=0"",""фіз особи new!relations_name""),6,FALSE)
,
(IF
(
G14133=""юридична особа""
,
VLOO"&amp;"KUP(H14133,IMPORTRANGE(""https://docs.google.com/spreadsheets/d/14Bd19lYaqBhU8_DElYkX7l4wRkHqqCUFNJY4AfY3kHU/edit?usp=sharing  #gid=0"",""фіз особи new!relations_name_uo""),7,FALSE)
,
)
))"),"АБДУЛЛАЄВА Разіят Мутайкадиївна")</f>
        <v>АБДУЛЛАЄВА Разіят Мутайкадиївна</v>
      </c>
      <c r="J14132" s="7" t="s">
        <v>23</v>
      </c>
    </row>
    <row r="14133" spans="1:10" ht="13.2">
      <c r="A14133" s="7">
        <v>14132</v>
      </c>
      <c r="B14133" s="7">
        <v>1</v>
      </c>
      <c r="C14133" s="7" t="s">
        <v>10</v>
      </c>
      <c r="D14133" s="7">
        <v>18858</v>
      </c>
      <c r="E14133" s="7" t="s">
        <v>23</v>
      </c>
      <c r="F14133" s="8" t="str">
        <f ca="1">IFERROR(__xludf.DUMMYFUNCTION("IF
(
C14134=""фізична особа""
,
VLOOKUP(D14134,IMPORTRANGE(""https://docs.google.com/spreadsheets/d/14Bd19lYaqBhU8_DElYkX7l4wRkHqqCUFNJY4AfY3kHU/edit?usp=sharing  #gid=0"",""фіз особи new!relations_name""),6,FALSE)
,
(IF
(
C14134=""юридична особа""
,
VLOO"&amp;"KUP(D14134,IMPORTRANGE(""https://docs.google.com/spreadsheets/d/14Bd19lYaqBhU8_DElYkX7l4wRkHqqCUFNJY4AfY3kHU/edit?usp=sharing  #gid=0"",""фіз особи new!relations_name_uo""),7,FALSE)
,
)
))"),"ГАСАНОВА Султанат Рамазанівна")</f>
        <v>ГАСАНОВА Султанат Рамазанівна</v>
      </c>
      <c r="G14133" s="7" t="s">
        <v>10</v>
      </c>
      <c r="H14133" s="7">
        <v>18855</v>
      </c>
      <c r="I14133" s="8" t="str">
        <f ca="1">IFERROR(__xludf.DUMMYFUNCTION("IF
(
G14134=""фізична особа""
,
VLOOKUP(H14134,IMPORTRANGE(""https://docs.google.com/spreadsheets/d/14Bd19lYaqBhU8_DElYkX7l4wRkHqqCUFNJY4AfY3kHU/edit?usp=sharing  #gid=0"",""фіз особи new!relations_name""),6,FALSE)
,
(IF
(
G14134=""юридична особа""
,
VLOO"&amp;"KUP(H14134,IMPORTRANGE(""https://docs.google.com/spreadsheets/d/14Bd19lYaqBhU8_DElYkX7l4wRkHqqCUFNJY4AfY3kHU/edit?usp=sharing  #gid=0"",""фіз особи new!relations_name_uo""),7,FALSE)
,
)
))"),"МАГОМЕДОВ Рамазан Муртузалієвич")</f>
        <v>МАГОМЕДОВ Рамазан Муртузалієвич</v>
      </c>
      <c r="J14133" s="7" t="s">
        <v>23</v>
      </c>
    </row>
    <row r="14134" spans="1:10" ht="13.2">
      <c r="A14134" s="7">
        <v>14133</v>
      </c>
      <c r="B14134" s="7">
        <v>1</v>
      </c>
      <c r="C14134" s="7" t="s">
        <v>10</v>
      </c>
      <c r="D14134" s="7">
        <v>18859</v>
      </c>
      <c r="E14134" s="7" t="s">
        <v>23</v>
      </c>
      <c r="F14134" s="8" t="str">
        <f ca="1">IFERROR(__xludf.DUMMYFUNCTION("IF
(
C14135=""фізична особа""
,
VLOOKUP(D14135,IMPORTRANGE(""https://docs.google.com/spreadsheets/d/14Bd19lYaqBhU8_DElYkX7l4wRkHqqCUFNJY4AfY3kHU/edit?usp=sharing  #gid=0"",""фіз особи new!relations_name""),6,FALSE)
,
(IF
(
C14135=""юридична особа""
,
VLOO"&amp;"KUP(D14135,IMPORTRANGE(""https://docs.google.com/spreadsheets/d/14Bd19lYaqBhU8_DElYkX7l4wRkHqqCUFNJY4AfY3kHU/edit?usp=sharing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4" s="7" t="s">
        <v>10</v>
      </c>
      <c r="H14134" s="7">
        <v>18860</v>
      </c>
      <c r="I14134" s="8" t="str">
        <f ca="1">IFERROR(__xludf.DUMMYFUNCTION("IF
(
G14135=""фізична особа""
,
VLOOKUP(H14135,IMPORTRANGE(""https://docs.google.com/spreadsheets/d/14Bd19lYaqBhU8_DElYkX7l4wRkHqqCUFNJY4AfY3kHU/edit?usp=sharing  #gid=0"",""фіз особи new!relations_name""),6,FALSE)
,
(IF
(
G14135=""юридична особа""
,
VLOO"&amp;"KUP(H14135,IMPORTRANGE(""https://docs.google.com/spreadsheets/d/14Bd19lYaqBhU8_DElYkX7l4wRkHqqCUFNJY4AfY3kHU/edit?usp=sharing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134" s="7" t="s">
        <v>23</v>
      </c>
    </row>
    <row r="14135" spans="1:10" ht="13.2">
      <c r="A14135" s="7">
        <v>14134</v>
      </c>
      <c r="B14135" s="7">
        <v>1</v>
      </c>
      <c r="C14135" s="7" t="s">
        <v>10</v>
      </c>
      <c r="D14135" s="7">
        <v>18859</v>
      </c>
      <c r="E14135" s="7" t="s">
        <v>23</v>
      </c>
      <c r="F14135" s="8" t="str">
        <f ca="1">IFERROR(__xludf.DUMMYFUNCTION("IF
(
C14136=""фізична особа""
,
VLOOKUP(D14136,IMPORTRANGE(""https://docs.google.com/spreadsheets/d/14Bd19lYaqBhU8_DElYkX7l4wRkHqqCUFNJY4AfY3kHU/edit?usp=sharing  #gid=0"",""фіз особи new!relations_name""),6,FALSE)
,
(IF
(
C14136=""юридична особа""
,
VLOO"&amp;"KUP(D14136,IMPORTRANGE(""https://docs.google.com/spreadsheets/d/14Bd19lYaqBhU8_DElYkX7l4wRkHqqCUFNJY4AfY3kHU/edit?usp=sharing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5" s="7" t="s">
        <v>10</v>
      </c>
      <c r="H14135" s="7">
        <v>18861</v>
      </c>
      <c r="I14135" s="8" t="str">
        <f ca="1">IFERROR(__xludf.DUMMYFUNCTION("IF
(
G14136=""фізична особа""
,
VLOOKUP(H14136,IMPORTRANGE(""https://docs.google.com/spreadsheets/d/14Bd19lYaqBhU8_DElYkX7l4wRkHqqCUFNJY4AfY3kHU/edit?usp=sharing  #gid=0"",""фіз особи new!relations_name""),6,FALSE)
,
(IF
(
G14136=""юридична особа""
,
VLOO"&amp;"KUP(H14136,IMPORTRANGE(""https://docs.google.com/spreadsheets/d/14Bd19lYaqBhU8_DElYkX7l4wRkHqqCUFNJY4AfY3kHU/edit?usp=sharing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135" s="7" t="s">
        <v>23</v>
      </c>
    </row>
    <row r="14136" spans="1:10" ht="13.2">
      <c r="A14136" s="7">
        <v>14135</v>
      </c>
      <c r="B14136" s="7">
        <v>1</v>
      </c>
      <c r="C14136" s="7" t="s">
        <v>10</v>
      </c>
      <c r="D14136" s="7">
        <v>18859</v>
      </c>
      <c r="E14136" s="7" t="s">
        <v>23</v>
      </c>
      <c r="F14136" s="8" t="str">
        <f ca="1">IFERROR(__xludf.DUMMYFUNCTION("IF
(
C14137=""фізична особа""
,
VLOOKUP(D14137,IMPORTRANGE(""https://docs.google.com/spreadsheets/d/14Bd19lYaqBhU8_DElYkX7l4wRkHqqCUFNJY4AfY3kHU/edit?usp=sharing  #gid=0"",""фіз особи new!relations_name""),6,FALSE)
,
(IF
(
C14137=""юридична особа""
,
VLOO"&amp;"KUP(D14137,IMPORTRANGE(""https://docs.google.com/spreadsheets/d/14Bd19lYaqBhU8_DElYkX7l4wRkHqqCUFNJY4AfY3kHU/edit?usp=sharing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6" s="7" t="s">
        <v>10</v>
      </c>
      <c r="H14136" s="7">
        <v>18862</v>
      </c>
      <c r="I14136" s="8" t="str">
        <f ca="1">IFERROR(__xludf.DUMMYFUNCTION("IF
(
G14137=""фізична особа""
,
VLOOKUP(H14137,IMPORTRANGE(""https://docs.google.com/spreadsheets/d/14Bd19lYaqBhU8_DElYkX7l4wRkHqqCUFNJY4AfY3kHU/edit?usp=sharing  #gid=0"",""фіз особи new!relations_name""),6,FALSE)
,
(IF
(
G14137=""юридична особа""
,
VLOO"&amp;"KUP(H14137,IMPORTRANGE(""https://docs.google.com/spreadsheets/d/14Bd19lYaqBhU8_DElYkX7l4wRkHqqCUFNJY4AfY3kHU/edit?usp=sharing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136" s="7" t="s">
        <v>23</v>
      </c>
    </row>
    <row r="14137" spans="1:10" ht="13.2">
      <c r="A14137" s="7">
        <v>14136</v>
      </c>
      <c r="B14137" s="7">
        <v>1</v>
      </c>
      <c r="C14137" s="7" t="s">
        <v>10</v>
      </c>
      <c r="D14137" s="7">
        <v>18859</v>
      </c>
      <c r="E14137" s="7" t="s">
        <v>23</v>
      </c>
      <c r="F14137" s="8" t="str">
        <f ca="1">IFERROR(__xludf.DUMMYFUNCTION("IF
(
C14138=""фізична особа""
,
VLOOKUP(D14138,IMPORTRANGE(""https://docs.google.com/spreadsheets/d/14Bd19lYaqBhU8_DElYkX7l4wRkHqqCUFNJY4AfY3kHU/edit?usp=sharing  #gid=0"",""фіз особи new!relations_name""),6,FALSE)
,
(IF
(
C14138=""юридична особа""
,
VLOO"&amp;"KUP(D14138,IMPORTRANGE(""https://docs.google.com/spreadsheets/d/14Bd19lYaqBhU8_DElYkX7l4wRkHqqCUFNJY4AfY3kHU/edit?usp=sharing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7" s="7" t="s">
        <v>10</v>
      </c>
      <c r="H14137" s="7">
        <v>18863</v>
      </c>
      <c r="I14137" s="8" t="str">
        <f ca="1">IFERROR(__xludf.DUMMYFUNCTION("IF
(
G14138=""фізична особа""
,
VLOOKUP(H14138,IMPORTRANGE(""https://docs.google.com/spreadsheets/d/14Bd19lYaqBhU8_DElYkX7l4wRkHqqCUFNJY4AfY3kHU/edit?usp=sharing  #gid=0"",""фіз особи new!relations_name""),6,FALSE)
,
(IF
(
G14138=""юридична особа""
,
VLOO"&amp;"KUP(H14138,IMPORTRANGE(""https://docs.google.com/spreadsheets/d/14Bd19lYaqBhU8_DElYkX7l4wRkHqqCUFNJY4AfY3kHU/edit?usp=sharing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137" s="7" t="s">
        <v>23</v>
      </c>
    </row>
    <row r="14138" spans="1:10" ht="13.2">
      <c r="A14138" s="7">
        <v>14137</v>
      </c>
      <c r="B14138" s="7">
        <v>1</v>
      </c>
      <c r="C14138" s="7" t="s">
        <v>10</v>
      </c>
      <c r="D14138" s="7">
        <v>18859</v>
      </c>
      <c r="E14138" s="7" t="s">
        <v>23</v>
      </c>
      <c r="F14138" s="8" t="str">
        <f ca="1">IFERROR(__xludf.DUMMYFUNCTION("IF
(
C14139=""фізична особа""
,
VLOOKUP(D14139,IMPORTRANGE(""https://docs.google.com/spreadsheets/d/14Bd19lYaqBhU8_DElYkX7l4wRkHqqCUFNJY4AfY3kHU/edit?usp=sharing  #gid=0"",""фіз особи new!relations_name""),6,FALSE)
,
(IF
(
C14139=""юридична особа""
,
VLOO"&amp;"KUP(D14139,IMPORTRANGE(""https://docs.google.com/spreadsheets/d/14Bd19lYaqBhU8_DElYkX7l4wRkHqqCUFNJY4AfY3kHU/edit?usp=sharing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8" s="7" t="s">
        <v>10</v>
      </c>
      <c r="H14138" s="7">
        <v>18864</v>
      </c>
      <c r="I14138" s="8" t="str">
        <f ca="1">IFERROR(__xludf.DUMMYFUNCTION("IF
(
G14139=""фізична особа""
,
VLOOKUP(H14139,IMPORTRANGE(""https://docs.google.com/spreadsheets/d/14Bd19lYaqBhU8_DElYkX7l4wRkHqqCUFNJY4AfY3kHU/edit?usp=sharing  #gid=0"",""фіз особи new!relations_name""),6,FALSE)
,
(IF
(
G14139=""юридична особа""
,
VLOO"&amp;"KUP(H14139,IMPORTRANGE(""https://docs.google.com/spreadsheets/d/14Bd19lYaqBhU8_DElYkX7l4wRkHqqCUFNJY4AfY3kHU/edit?usp=sharing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138" s="7" t="s">
        <v>23</v>
      </c>
    </row>
    <row r="14139" spans="1:10" ht="13.2">
      <c r="A14139" s="7">
        <v>14138</v>
      </c>
      <c r="B14139" s="7">
        <v>1</v>
      </c>
      <c r="C14139" s="7" t="s">
        <v>10</v>
      </c>
      <c r="D14139" s="7">
        <v>18859</v>
      </c>
      <c r="E14139" s="7" t="s">
        <v>23</v>
      </c>
      <c r="F14139" s="8" t="str">
        <f ca="1">IFERROR(__xludf.DUMMYFUNCTION("IF
(
C14140=""фізична особа""
,
VLOOKUP(D14140,IMPORTRANGE(""https://docs.google.com/spreadsheets/d/14Bd19lYaqBhU8_DElYkX7l4wRkHqqCUFNJY4AfY3kHU/edit?usp=sharing  #gid=0"",""фіз особи new!relations_name""),6,FALSE)
,
(IF
(
C14140=""юридична особа""
,
VLOO"&amp;"KUP(D14140,IMPORTRANGE(""https://docs.google.com/spreadsheets/d/14Bd19lYaqBhU8_DElYkX7l4wRkHqqCUFNJY4AfY3kHU/edit?usp=sharing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39" s="7" t="s">
        <v>10</v>
      </c>
      <c r="H14139" s="7">
        <v>18865</v>
      </c>
      <c r="I14139" s="8" t="str">
        <f ca="1">IFERROR(__xludf.DUMMYFUNCTION("IF
(
G14140=""фізична особа""
,
VLOOKUP(H14140,IMPORTRANGE(""https://docs.google.com/spreadsheets/d/14Bd19lYaqBhU8_DElYkX7l4wRkHqqCUFNJY4AfY3kHU/edit?usp=sharing  #gid=0"",""фіз особи new!relations_name""),6,FALSE)
,
(IF
(
G14140=""юридична особа""
,
VLOO"&amp;"KUP(H14140,IMPORTRANGE(""https://docs.google.com/spreadsheets/d/14Bd19lYaqBhU8_DElYkX7l4wRkHqqCUFNJY4AfY3kHU/edit?usp=sharing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39" s="7" t="s">
        <v>23</v>
      </c>
    </row>
    <row r="14140" spans="1:10" ht="13.2">
      <c r="A14140" s="7">
        <v>14139</v>
      </c>
      <c r="B14140" s="7">
        <v>1</v>
      </c>
      <c r="C14140" s="7" t="s">
        <v>10</v>
      </c>
      <c r="D14140" s="7">
        <v>18859</v>
      </c>
      <c r="E14140" s="7" t="s">
        <v>23</v>
      </c>
      <c r="F14140" s="8" t="str">
        <f ca="1">IFERROR(__xludf.DUMMYFUNCTION("IF
(
C14141=""фізична особа""
,
VLOOKUP(D14141,IMPORTRANGE(""https://docs.google.com/spreadsheets/d/14Bd19lYaqBhU8_DElYkX7l4wRkHqqCUFNJY4AfY3kHU/edit?usp=sharing  #gid=0"",""фіз особи new!relations_name""),6,FALSE)
,
(IF
(
C14141=""юридична особа""
,
VLOO"&amp;"KUP(D14141,IMPORTRANGE(""https://docs.google.com/spreadsheets/d/14Bd19lYaqBhU8_DElYkX7l4wRkHqqCUFNJY4AfY3kHU/edit?usp=sharing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40" s="7" t="s">
        <v>10</v>
      </c>
      <c r="H14140" s="7">
        <v>19116</v>
      </c>
      <c r="I14140" s="8" t="str">
        <f ca="1">IFERROR(__xludf.DUMMYFUNCTION("IF
(
G14141=""фізична особа""
,
VLOOKUP(H14141,IMPORTRANGE(""https://docs.google.com/spreadsheets/d/14Bd19lYaqBhU8_DElYkX7l4wRkHqqCUFNJY4AfY3kHU/edit?usp=sharing  #gid=0"",""фіз особи new!relations_name""),6,FALSE)
,
(IF
(
G14141=""юридична особа""
,
VLOO"&amp;"KUP(H14141,IMPORTRANGE(""https://docs.google.com/spreadsheets/d/14Bd19lYaqBhU8_DElYkX7l4wRkHqqCUFNJY4AfY3kHU/edit?usp=sharing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40" s="7" t="s">
        <v>23</v>
      </c>
    </row>
    <row r="14141" spans="1:10" ht="13.2">
      <c r="A14141" s="7">
        <v>14140</v>
      </c>
      <c r="B14141" s="7">
        <v>1</v>
      </c>
      <c r="C14141" s="7" t="s">
        <v>10</v>
      </c>
      <c r="D14141" s="7">
        <v>18859</v>
      </c>
      <c r="E14141" s="7" t="s">
        <v>23</v>
      </c>
      <c r="F14141" s="8" t="str">
        <f ca="1">IFERROR(__xludf.DUMMYFUNCTION("IF
(
C14142=""фізична особа""
,
VLOOKUP(D14142,IMPORTRANGE(""https://docs.google.com/spreadsheets/d/14Bd19lYaqBhU8_DElYkX7l4wRkHqqCUFNJY4AfY3kHU/edit?usp=sharing  #gid=0"",""фіз особи new!relations_name""),6,FALSE)
,
(IF
(
C14142=""юридична особа""
,
VLOO"&amp;"KUP(D14142,IMPORTRANGE(""https://docs.google.com/spreadsheets/d/14Bd19lYaqBhU8_DElYkX7l4wRkHqqCUFNJY4AfY3kHU/edit?usp=sharing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41" s="7" t="s">
        <v>10</v>
      </c>
      <c r="H14141" s="7">
        <v>19117</v>
      </c>
      <c r="I14141" s="8" t="str">
        <f ca="1">IFERROR(__xludf.DUMMYFUNCTION("IF
(
G14142=""фізична особа""
,
VLOOKUP(H14142,IMPORTRANGE(""https://docs.google.com/spreadsheets/d/14Bd19lYaqBhU8_DElYkX7l4wRkHqqCUFNJY4AfY3kHU/edit?usp=sharing  #gid=0"",""фіз особи new!relations_name""),6,FALSE)
,
(IF
(
G14142=""юридична особа""
,
VLOO"&amp;"KUP(H14142,IMPORTRANGE(""https://docs.google.com/spreadsheets/d/14Bd19lYaqBhU8_DElYkX7l4wRkHqqCUFNJY4AfY3kHU/edit?usp=sharing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41" s="7" t="s">
        <v>23</v>
      </c>
    </row>
    <row r="14142" spans="1:10" ht="13.2">
      <c r="A14142" s="7">
        <v>14141</v>
      </c>
      <c r="B14142" s="7">
        <v>1</v>
      </c>
      <c r="C14142" s="7" t="s">
        <v>10</v>
      </c>
      <c r="D14142" s="7">
        <v>18859</v>
      </c>
      <c r="E14142" s="7" t="s">
        <v>23</v>
      </c>
      <c r="F14142" s="8" t="str">
        <f ca="1">IFERROR(__xludf.DUMMYFUNCTION("IF
(
C14143=""фізична особа""
,
VLOOKUP(D14143,IMPORTRANGE(""https://docs.google.com/spreadsheets/d/14Bd19lYaqBhU8_DElYkX7l4wRkHqqCUFNJY4AfY3kHU/edit?usp=sharing  #gid=0"",""фіз особи new!relations_name""),6,FALSE)
,
(IF
(
C14143=""юридична особа""
,
VLOO"&amp;"KUP(D14143,IMPORTRANGE(""https://docs.google.com/spreadsheets/d/14Bd19lYaqBhU8_DElYkX7l4wRkHqqCUFNJY4AfY3kHU/edit?usp=sharing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42" s="7" t="s">
        <v>10</v>
      </c>
      <c r="H14142" s="7">
        <v>19118</v>
      </c>
      <c r="I14142" s="8" t="str">
        <f ca="1">IFERROR(__xludf.DUMMYFUNCTION("IF
(
G14143=""фізична особа""
,
VLOOKUP(H14143,IMPORTRANGE(""https://docs.google.com/spreadsheets/d/14Bd19lYaqBhU8_DElYkX7l4wRkHqqCUFNJY4AfY3kHU/edit?usp=sharing  #gid=0"",""фіз особи new!relations_name""),6,FALSE)
,
(IF
(
G14143=""юридична особа""
,
VLOO"&amp;"KUP(H14143,IMPORTRANGE(""https://docs.google.com/spreadsheets/d/14Bd19lYaqBhU8_DElYkX7l4wRkHqqCUFNJY4AfY3kHU/edit?usp=sharing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42" s="7" t="s">
        <v>23</v>
      </c>
    </row>
    <row r="14143" spans="1:10" ht="13.2">
      <c r="A14143" s="7">
        <v>14142</v>
      </c>
      <c r="B14143" s="7">
        <v>1</v>
      </c>
      <c r="C14143" s="7" t="s">
        <v>10</v>
      </c>
      <c r="D14143" s="7">
        <v>18859</v>
      </c>
      <c r="E14143" s="7" t="s">
        <v>23</v>
      </c>
      <c r="F14143" s="8" t="str">
        <f ca="1">IFERROR(__xludf.DUMMYFUNCTION("IF
(
C14144=""фізична особа""
,
VLOOKUP(D14144,IMPORTRANGE(""https://docs.google.com/spreadsheets/d/14Bd19lYaqBhU8_DElYkX7l4wRkHqqCUFNJY4AfY3kHU/edit?usp=sharing  #gid=0"",""фіз особи new!relations_name""),6,FALSE)
,
(IF
(
C14144=""юридична особа""
,
VLOO"&amp;"KUP(D14144,IMPORTRANGE(""https://docs.google.com/spreadsheets/d/14Bd19lYaqBhU8_DElYkX7l4wRkHqqCUFNJY4AfY3kHU/edit?usp=sharing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43" s="7" t="s">
        <v>10</v>
      </c>
      <c r="H14143" s="7">
        <v>19119</v>
      </c>
      <c r="I14143" s="8" t="str">
        <f ca="1">IFERROR(__xludf.DUMMYFUNCTION("IF
(
G14144=""фізична особа""
,
VLOOKUP(H14144,IMPORTRANGE(""https://docs.google.com/spreadsheets/d/14Bd19lYaqBhU8_DElYkX7l4wRkHqqCUFNJY4AfY3kHU/edit?usp=sharing  #gid=0"",""фіз особи new!relations_name""),6,FALSE)
,
(IF
(
G14144=""юридична особа""
,
VLOO"&amp;"KUP(H14144,IMPORTRANGE(""https://docs.google.com/spreadsheets/d/14Bd19lYaqBhU8_DElYkX7l4wRkHqqCUFNJY4AfY3kHU/edit?usp=sharing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43" s="7" t="s">
        <v>23</v>
      </c>
    </row>
    <row r="14144" spans="1:10" ht="13.2">
      <c r="A14144" s="7">
        <v>14143</v>
      </c>
      <c r="B14144" s="7">
        <v>1</v>
      </c>
      <c r="C14144" s="7" t="s">
        <v>10</v>
      </c>
      <c r="D14144" s="7">
        <v>18859</v>
      </c>
      <c r="E14144" s="7" t="s">
        <v>23</v>
      </c>
      <c r="F14144" s="8" t="str">
        <f ca="1">IFERROR(__xludf.DUMMYFUNCTION("IF
(
C14145=""фізична особа""
,
VLOOKUP(D14145,IMPORTRANGE(""https://docs.google.com/spreadsheets/d/14Bd19lYaqBhU8_DElYkX7l4wRkHqqCUFNJY4AfY3kHU/edit?usp=sharing  #gid=0"",""фіз особи new!relations_name""),6,FALSE)
,
(IF
(
C14145=""юридична особа""
,
VLOO"&amp;"KUP(D14145,IMPORTRANGE(""https://docs.google.com/spreadsheets/d/14Bd19lYaqBhU8_DElYkX7l4wRkHqqCUFNJY4AfY3kHU/edit?usp=sharing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G14144" s="7" t="s">
        <v>10</v>
      </c>
      <c r="H14144" s="7">
        <v>19120</v>
      </c>
      <c r="I14144" s="8" t="str">
        <f ca="1">IFERROR(__xludf.DUMMYFUNCTION("IF
(
G14145=""фізична особа""
,
VLOOKUP(H14145,IMPORTRANGE(""https://docs.google.com/spreadsheets/d/14Bd19lYaqBhU8_DElYkX7l4wRkHqqCUFNJY4AfY3kHU/edit?usp=sharing  #gid=0"",""фіз особи new!relations_name""),6,FALSE)
,
(IF
(
G14145=""юридична особа""
,
VLOO"&amp;"KUP(H14145,IMPORTRANGE(""https://docs.google.com/spreadsheets/d/14Bd19lYaqBhU8_DElYkX7l4wRkHqqCUFNJY4AfY3kHU/edit?usp=sharing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44" s="7" t="s">
        <v>23</v>
      </c>
    </row>
    <row r="14145" spans="1:10" ht="13.2">
      <c r="A14145" s="7">
        <v>14144</v>
      </c>
      <c r="B14145" s="7">
        <v>1</v>
      </c>
      <c r="C14145" s="7" t="s">
        <v>10</v>
      </c>
      <c r="D14145" s="7">
        <v>18860</v>
      </c>
      <c r="E14145" s="7" t="s">
        <v>23</v>
      </c>
      <c r="F14145" s="8" t="str">
        <f ca="1">IFERROR(__xludf.DUMMYFUNCTION("IF
(
C14146=""фізична особа""
,
VLOOKUP(D14146,IMPORTRANGE(""https://docs.google.com/spreadsheets/d/14Bd19lYaqBhU8_DElYkX7l4wRkHqqCUFNJY4AfY3kHU/edit?usp=sharing  #gid=0"",""фіз особи new!relations_name""),6,FALSE)
,
(IF
(
C14146=""юридична особа""
,
VLOO"&amp;"KUP(D14146,IMPORTRANGE(""https://docs.google.com/spreadsheets/d/14Bd19lYaqBhU8_DElYkX7l4wRkHqqCUFNJY4AfY3kHU/edit?usp=sharing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45" s="7" t="s">
        <v>10</v>
      </c>
      <c r="H14145" s="7">
        <v>18859</v>
      </c>
      <c r="I14145" s="8" t="str">
        <f ca="1">IFERROR(__xludf.DUMMYFUNCTION("IF
(
G14146=""фізична особа""
,
VLOOKUP(H14146,IMPORTRANGE(""https://docs.google.com/spreadsheets/d/14Bd19lYaqBhU8_DElYkX7l4wRkHqqCUFNJY4AfY3kHU/edit?usp=sharing  #gid=0"",""фіз особи new!relations_name""),6,FALSE)
,
(IF
(
G14146=""юридична особа""
,
VLOO"&amp;"KUP(H14146,IMPORTRANGE(""https://docs.google.com/spreadsheets/d/14Bd19lYaqBhU8_DElYkX7l4wRkHqqCUFNJY4AfY3kHU/edit?usp=sharing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145" s="7" t="s">
        <v>23</v>
      </c>
    </row>
    <row r="14146" spans="1:10" ht="13.2">
      <c r="A14146" s="7">
        <v>14145</v>
      </c>
      <c r="B14146" s="7">
        <v>1</v>
      </c>
      <c r="C14146" s="7" t="s">
        <v>10</v>
      </c>
      <c r="D14146" s="7">
        <v>18860</v>
      </c>
      <c r="E14146" s="7" t="s">
        <v>23</v>
      </c>
      <c r="F14146" s="8" t="str">
        <f ca="1">IFERROR(__xludf.DUMMYFUNCTION("IF
(
C14147=""фізична особа""
,
VLOOKUP(D14147,IMPORTRANGE(""https://docs.google.com/spreadsheets/d/14Bd19lYaqBhU8_DElYkX7l4wRkHqqCUFNJY4AfY3kHU/edit?usp=sharing  #gid=0"",""фіз особи new!relations_name""),6,FALSE)
,
(IF
(
C14147=""юридична особа""
,
VLOO"&amp;"KUP(D14147,IMPORTRANGE(""https://docs.google.com/spreadsheets/d/14Bd19lYaqBhU8_DElYkX7l4wRkHqqCUFNJY4AfY3kHU/edit?usp=sharing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46" s="7" t="s">
        <v>10</v>
      </c>
      <c r="H14146" s="7">
        <v>18861</v>
      </c>
      <c r="I14146" s="8" t="str">
        <f ca="1">IFERROR(__xludf.DUMMYFUNCTION("IF
(
G14147=""фізична особа""
,
VLOOKUP(H14147,IMPORTRANGE(""https://docs.google.com/spreadsheets/d/14Bd19lYaqBhU8_DElYkX7l4wRkHqqCUFNJY4AfY3kHU/edit?usp=sharing  #gid=0"",""фіз особи new!relations_name""),6,FALSE)
,
(IF
(
G14147=""юридична особа""
,
VLOO"&amp;"KUP(H14147,IMPORTRANGE(""https://docs.google.com/spreadsheets/d/14Bd19lYaqBhU8_DElYkX7l4wRkHqqCUFNJY4AfY3kHU/edit?usp=sharing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146" s="7" t="s">
        <v>23</v>
      </c>
    </row>
    <row r="14147" spans="1:10" ht="13.2">
      <c r="A14147" s="7">
        <v>14146</v>
      </c>
      <c r="B14147" s="7">
        <v>1</v>
      </c>
      <c r="C14147" s="7" t="s">
        <v>10</v>
      </c>
      <c r="D14147" s="7">
        <v>18860</v>
      </c>
      <c r="E14147" s="7" t="s">
        <v>23</v>
      </c>
      <c r="F14147" s="8" t="str">
        <f ca="1">IFERROR(__xludf.DUMMYFUNCTION("IF
(
C14148=""фізична особа""
,
VLOOKUP(D14148,IMPORTRANGE(""https://docs.google.com/spreadsheets/d/14Bd19lYaqBhU8_DElYkX7l4wRkHqqCUFNJY4AfY3kHU/edit?usp=sharing  #gid=0"",""фіз особи new!relations_name""),6,FALSE)
,
(IF
(
C14148=""юридична особа""
,
VLOO"&amp;"KUP(D14148,IMPORTRANGE(""https://docs.google.com/spreadsheets/d/14Bd19lYaqBhU8_DElYkX7l4wRkHqqCUFNJY4AfY3kHU/edit?usp=sharing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47" s="7" t="s">
        <v>10</v>
      </c>
      <c r="H14147" s="7">
        <v>18862</v>
      </c>
      <c r="I14147" s="8" t="str">
        <f ca="1">IFERROR(__xludf.DUMMYFUNCTION("IF
(
G14148=""фізична особа""
,
VLOOKUP(H14148,IMPORTRANGE(""https://docs.google.com/spreadsheets/d/14Bd19lYaqBhU8_DElYkX7l4wRkHqqCUFNJY4AfY3kHU/edit?usp=sharing  #gid=0"",""фіз особи new!relations_name""),6,FALSE)
,
(IF
(
G14148=""юридична особа""
,
VLOO"&amp;"KUP(H14148,IMPORTRANGE(""https://docs.google.com/spreadsheets/d/14Bd19lYaqBhU8_DElYkX7l4wRkHqqCUFNJY4AfY3kHU/edit?usp=sharing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147" s="7" t="s">
        <v>23</v>
      </c>
    </row>
    <row r="14148" spans="1:10" ht="13.2">
      <c r="A14148" s="7">
        <v>14147</v>
      </c>
      <c r="B14148" s="7">
        <v>1</v>
      </c>
      <c r="C14148" s="7" t="s">
        <v>10</v>
      </c>
      <c r="D14148" s="7">
        <v>18860</v>
      </c>
      <c r="E14148" s="7" t="s">
        <v>23</v>
      </c>
      <c r="F14148" s="8" t="str">
        <f ca="1">IFERROR(__xludf.DUMMYFUNCTION("IF
(
C14149=""фізична особа""
,
VLOOKUP(D14149,IMPORTRANGE(""https://docs.google.com/spreadsheets/d/14Bd19lYaqBhU8_DElYkX7l4wRkHqqCUFNJY4AfY3kHU/edit?usp=sharing  #gid=0"",""фіз особи new!relations_name""),6,FALSE)
,
(IF
(
C14149=""юридична особа""
,
VLOO"&amp;"KUP(D14149,IMPORTRANGE(""https://docs.google.com/spreadsheets/d/14Bd19lYaqBhU8_DElYkX7l4wRkHqqCUFNJY4AfY3kHU/edit?usp=sharing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48" s="7" t="s">
        <v>10</v>
      </c>
      <c r="H14148" s="7">
        <v>18863</v>
      </c>
      <c r="I14148" s="8" t="str">
        <f ca="1">IFERROR(__xludf.DUMMYFUNCTION("IF
(
G14149=""фізична особа""
,
VLOOKUP(H14149,IMPORTRANGE(""https://docs.google.com/spreadsheets/d/14Bd19lYaqBhU8_DElYkX7l4wRkHqqCUFNJY4AfY3kHU/edit?usp=sharing  #gid=0"",""фіз особи new!relations_name""),6,FALSE)
,
(IF
(
G14149=""юридична особа""
,
VLOO"&amp;"KUP(H14149,IMPORTRANGE(""https://docs.google.com/spreadsheets/d/14Bd19lYaqBhU8_DElYkX7l4wRkHqqCUFNJY4AfY3kHU/edit?usp=sharing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148" s="7" t="s">
        <v>23</v>
      </c>
    </row>
    <row r="14149" spans="1:10" ht="13.2">
      <c r="A14149" s="7">
        <v>14148</v>
      </c>
      <c r="B14149" s="7">
        <v>1</v>
      </c>
      <c r="C14149" s="7" t="s">
        <v>10</v>
      </c>
      <c r="D14149" s="7">
        <v>18860</v>
      </c>
      <c r="E14149" s="7" t="s">
        <v>23</v>
      </c>
      <c r="F14149" s="8" t="str">
        <f ca="1">IFERROR(__xludf.DUMMYFUNCTION("IF
(
C14150=""фізична особа""
,
VLOOKUP(D14150,IMPORTRANGE(""https://docs.google.com/spreadsheets/d/14Bd19lYaqBhU8_DElYkX7l4wRkHqqCUFNJY4AfY3kHU/edit?usp=sharing  #gid=0"",""фіз особи new!relations_name""),6,FALSE)
,
(IF
(
C14150=""юридична особа""
,
VLOO"&amp;"KUP(D14150,IMPORTRANGE(""https://docs.google.com/spreadsheets/d/14Bd19lYaqBhU8_DElYkX7l4wRkHqqCUFNJY4AfY3kHU/edit?usp=sharing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49" s="7" t="s">
        <v>10</v>
      </c>
      <c r="H14149" s="7">
        <v>18864</v>
      </c>
      <c r="I14149" s="8" t="str">
        <f ca="1">IFERROR(__xludf.DUMMYFUNCTION("IF
(
G14150=""фізична особа""
,
VLOOKUP(H14150,IMPORTRANGE(""https://docs.google.com/spreadsheets/d/14Bd19lYaqBhU8_DElYkX7l4wRkHqqCUFNJY4AfY3kHU/edit?usp=sharing  #gid=0"",""фіз особи new!relations_name""),6,FALSE)
,
(IF
(
G14150=""юридична особа""
,
VLOO"&amp;"KUP(H14150,IMPORTRANGE(""https://docs.google.com/spreadsheets/d/14Bd19lYaqBhU8_DElYkX7l4wRkHqqCUFNJY4AfY3kHU/edit?usp=sharing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149" s="7" t="s">
        <v>23</v>
      </c>
    </row>
    <row r="14150" spans="1:10" ht="13.2">
      <c r="A14150" s="7">
        <v>14149</v>
      </c>
      <c r="B14150" s="7">
        <v>1</v>
      </c>
      <c r="C14150" s="7" t="s">
        <v>10</v>
      </c>
      <c r="D14150" s="7">
        <v>18860</v>
      </c>
      <c r="E14150" s="7" t="s">
        <v>23</v>
      </c>
      <c r="F14150" s="8" t="str">
        <f ca="1">IFERROR(__xludf.DUMMYFUNCTION("IF
(
C14151=""фізична особа""
,
VLOOKUP(D14151,IMPORTRANGE(""https://docs.google.com/spreadsheets/d/14Bd19lYaqBhU8_DElYkX7l4wRkHqqCUFNJY4AfY3kHU/edit?usp=sharing  #gid=0"",""фіз особи new!relations_name""),6,FALSE)
,
(IF
(
C14151=""юридична особа""
,
VLOO"&amp;"KUP(D14151,IMPORTRANGE(""https://docs.google.com/spreadsheets/d/14Bd19lYaqBhU8_DElYkX7l4wRkHqqCUFNJY4AfY3kHU/edit?usp=sharing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0" s="7" t="s">
        <v>10</v>
      </c>
      <c r="H14150" s="7">
        <v>18865</v>
      </c>
      <c r="I14150" s="8" t="str">
        <f ca="1">IFERROR(__xludf.DUMMYFUNCTION("IF
(
G14151=""фізична особа""
,
VLOOKUP(H14151,IMPORTRANGE(""https://docs.google.com/spreadsheets/d/14Bd19lYaqBhU8_DElYkX7l4wRkHqqCUFNJY4AfY3kHU/edit?usp=sharing  #gid=0"",""фіз особи new!relations_name""),6,FALSE)
,
(IF
(
G14151=""юридична особа""
,
VLOO"&amp;"KUP(H14151,IMPORTRANGE(""https://docs.google.com/spreadsheets/d/14Bd19lYaqBhU8_DElYkX7l4wRkHqqCUFNJY4AfY3kHU/edit?usp=sharing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50" s="7" t="s">
        <v>23</v>
      </c>
    </row>
    <row r="14151" spans="1:10" ht="13.2">
      <c r="A14151" s="7">
        <v>14150</v>
      </c>
      <c r="B14151" s="7">
        <v>1</v>
      </c>
      <c r="C14151" s="7" t="s">
        <v>10</v>
      </c>
      <c r="D14151" s="7">
        <v>18860</v>
      </c>
      <c r="E14151" s="7" t="s">
        <v>23</v>
      </c>
      <c r="F14151" s="8" t="str">
        <f ca="1">IFERROR(__xludf.DUMMYFUNCTION("IF
(
C14152=""фізична особа""
,
VLOOKUP(D14152,IMPORTRANGE(""https://docs.google.com/spreadsheets/d/14Bd19lYaqBhU8_DElYkX7l4wRkHqqCUFNJY4AfY3kHU/edit?usp=sharing  #gid=0"",""фіз особи new!relations_name""),6,FALSE)
,
(IF
(
C14152=""юридична особа""
,
VLOO"&amp;"KUP(D14152,IMPORTRANGE(""https://docs.google.com/spreadsheets/d/14Bd19lYaqBhU8_DElYkX7l4wRkHqqCUFNJY4AfY3kHU/edit?usp=sharing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1" s="7" t="s">
        <v>10</v>
      </c>
      <c r="H14151" s="7">
        <v>19116</v>
      </c>
      <c r="I14151" s="8" t="str">
        <f ca="1">IFERROR(__xludf.DUMMYFUNCTION("IF
(
G14152=""фізична особа""
,
VLOOKUP(H14152,IMPORTRANGE(""https://docs.google.com/spreadsheets/d/14Bd19lYaqBhU8_DElYkX7l4wRkHqqCUFNJY4AfY3kHU/edit?usp=sharing  #gid=0"",""фіз особи new!relations_name""),6,FALSE)
,
(IF
(
G14152=""юридична особа""
,
VLOO"&amp;"KUP(H14152,IMPORTRANGE(""https://docs.google.com/spreadsheets/d/14Bd19lYaqBhU8_DElYkX7l4wRkHqqCUFNJY4AfY3kHU/edit?usp=sharing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51" s="7" t="s">
        <v>23</v>
      </c>
    </row>
    <row r="14152" spans="1:10" ht="13.2">
      <c r="A14152" s="7">
        <v>14151</v>
      </c>
      <c r="B14152" s="7">
        <v>1</v>
      </c>
      <c r="C14152" s="7" t="s">
        <v>10</v>
      </c>
      <c r="D14152" s="7">
        <v>18860</v>
      </c>
      <c r="E14152" s="7" t="s">
        <v>23</v>
      </c>
      <c r="F14152" s="8" t="str">
        <f ca="1">IFERROR(__xludf.DUMMYFUNCTION("IF
(
C14153=""фізична особа""
,
VLOOKUP(D14153,IMPORTRANGE(""https://docs.google.com/spreadsheets/d/14Bd19lYaqBhU8_DElYkX7l4wRkHqqCUFNJY4AfY3kHU/edit?usp=sharing  #gid=0"",""фіз особи new!relations_name""),6,FALSE)
,
(IF
(
C14153=""юридична особа""
,
VLOO"&amp;"KUP(D14153,IMPORTRANGE(""https://docs.google.com/spreadsheets/d/14Bd19lYaqBhU8_DElYkX7l4wRkHqqCUFNJY4AfY3kHU/edit?usp=sharing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2" s="7" t="s">
        <v>10</v>
      </c>
      <c r="H14152" s="7">
        <v>19117</v>
      </c>
      <c r="I14152" s="8" t="str">
        <f ca="1">IFERROR(__xludf.DUMMYFUNCTION("IF
(
G14153=""фізична особа""
,
VLOOKUP(H14153,IMPORTRANGE(""https://docs.google.com/spreadsheets/d/14Bd19lYaqBhU8_DElYkX7l4wRkHqqCUFNJY4AfY3kHU/edit?usp=sharing  #gid=0"",""фіз особи new!relations_name""),6,FALSE)
,
(IF
(
G14153=""юридична особа""
,
VLOO"&amp;"KUP(H14153,IMPORTRANGE(""https://docs.google.com/spreadsheets/d/14Bd19lYaqBhU8_DElYkX7l4wRkHqqCUFNJY4AfY3kHU/edit?usp=sharing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52" s="7" t="s">
        <v>23</v>
      </c>
    </row>
    <row r="14153" spans="1:10" ht="13.2">
      <c r="A14153" s="7">
        <v>14152</v>
      </c>
      <c r="B14153" s="7">
        <v>1</v>
      </c>
      <c r="C14153" s="7" t="s">
        <v>10</v>
      </c>
      <c r="D14153" s="7">
        <v>18860</v>
      </c>
      <c r="E14153" s="7" t="s">
        <v>23</v>
      </c>
      <c r="F14153" s="8" t="str">
        <f ca="1">IFERROR(__xludf.DUMMYFUNCTION("IF
(
C14154=""фізична особа""
,
VLOOKUP(D14154,IMPORTRANGE(""https://docs.google.com/spreadsheets/d/14Bd19lYaqBhU8_DElYkX7l4wRkHqqCUFNJY4AfY3kHU/edit?usp=sharing  #gid=0"",""фіз особи new!relations_name""),6,FALSE)
,
(IF
(
C14154=""юридична особа""
,
VLOO"&amp;"KUP(D14154,IMPORTRANGE(""https://docs.google.com/spreadsheets/d/14Bd19lYaqBhU8_DElYkX7l4wRkHqqCUFNJY4AfY3kHU/edit?usp=sharing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3" s="7" t="s">
        <v>10</v>
      </c>
      <c r="H14153" s="7">
        <v>19118</v>
      </c>
      <c r="I14153" s="8" t="str">
        <f ca="1">IFERROR(__xludf.DUMMYFUNCTION("IF
(
G14154=""фізична особа""
,
VLOOKUP(H14154,IMPORTRANGE(""https://docs.google.com/spreadsheets/d/14Bd19lYaqBhU8_DElYkX7l4wRkHqqCUFNJY4AfY3kHU/edit?usp=sharing  #gid=0"",""фіз особи new!relations_name""),6,FALSE)
,
(IF
(
G14154=""юридична особа""
,
VLOO"&amp;"KUP(H14154,IMPORTRANGE(""https://docs.google.com/spreadsheets/d/14Bd19lYaqBhU8_DElYkX7l4wRkHqqCUFNJY4AfY3kHU/edit?usp=sharing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53" s="7" t="s">
        <v>23</v>
      </c>
    </row>
    <row r="14154" spans="1:10" ht="13.2">
      <c r="A14154" s="7">
        <v>14153</v>
      </c>
      <c r="B14154" s="7">
        <v>1</v>
      </c>
      <c r="C14154" s="7" t="s">
        <v>10</v>
      </c>
      <c r="D14154" s="7">
        <v>18860</v>
      </c>
      <c r="E14154" s="7" t="s">
        <v>23</v>
      </c>
      <c r="F14154" s="8" t="str">
        <f ca="1">IFERROR(__xludf.DUMMYFUNCTION("IF
(
C14155=""фізична особа""
,
VLOOKUP(D14155,IMPORTRANGE(""https://docs.google.com/spreadsheets/d/14Bd19lYaqBhU8_DElYkX7l4wRkHqqCUFNJY4AfY3kHU/edit?usp=sharing  #gid=0"",""фіз особи new!relations_name""),6,FALSE)
,
(IF
(
C14155=""юридична особа""
,
VLOO"&amp;"KUP(D14155,IMPORTRANGE(""https://docs.google.com/spreadsheets/d/14Bd19lYaqBhU8_DElYkX7l4wRkHqqCUFNJY4AfY3kHU/edit?usp=sharing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4" s="7" t="s">
        <v>10</v>
      </c>
      <c r="H14154" s="7">
        <v>19119</v>
      </c>
      <c r="I14154" s="8" t="str">
        <f ca="1">IFERROR(__xludf.DUMMYFUNCTION("IF
(
G14155=""фізична особа""
,
VLOOKUP(H14155,IMPORTRANGE(""https://docs.google.com/spreadsheets/d/14Bd19lYaqBhU8_DElYkX7l4wRkHqqCUFNJY4AfY3kHU/edit?usp=sharing  #gid=0"",""фіз особи new!relations_name""),6,FALSE)
,
(IF
(
G14155=""юридична особа""
,
VLOO"&amp;"KUP(H14155,IMPORTRANGE(""https://docs.google.com/spreadsheets/d/14Bd19lYaqBhU8_DElYkX7l4wRkHqqCUFNJY4AfY3kHU/edit?usp=sharing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54" s="7" t="s">
        <v>23</v>
      </c>
    </row>
    <row r="14155" spans="1:10" ht="13.2">
      <c r="A14155" s="7">
        <v>14154</v>
      </c>
      <c r="B14155" s="7">
        <v>1</v>
      </c>
      <c r="C14155" s="7" t="s">
        <v>10</v>
      </c>
      <c r="D14155" s="7">
        <v>18860</v>
      </c>
      <c r="E14155" s="7" t="s">
        <v>23</v>
      </c>
      <c r="F14155" s="8" t="str">
        <f ca="1">IFERROR(__xludf.DUMMYFUNCTION("IF
(
C14156=""фізична особа""
,
VLOOKUP(D14156,IMPORTRANGE(""https://docs.google.com/spreadsheets/d/14Bd19lYaqBhU8_DElYkX7l4wRkHqqCUFNJY4AfY3kHU/edit?usp=sharing  #gid=0"",""фіз особи new!relations_name""),6,FALSE)
,
(IF
(
C14156=""юридична особа""
,
VLOO"&amp;"KUP(D14156,IMPORTRANGE(""https://docs.google.com/spreadsheets/d/14Bd19lYaqBhU8_DElYkX7l4wRkHqqCUFNJY4AfY3kHU/edit?usp=sharing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G14155" s="7" t="s">
        <v>10</v>
      </c>
      <c r="H14155" s="7">
        <v>19120</v>
      </c>
      <c r="I14155" s="8" t="str">
        <f ca="1">IFERROR(__xludf.DUMMYFUNCTION("IF
(
G14156=""фізична особа""
,
VLOOKUP(H14156,IMPORTRANGE(""https://docs.google.com/spreadsheets/d/14Bd19lYaqBhU8_DElYkX7l4wRkHqqCUFNJY4AfY3kHU/edit?usp=sharing  #gid=0"",""фіз особи new!relations_name""),6,FALSE)
,
(IF
(
G14156=""юридична особа""
,
VLOO"&amp;"KUP(H14156,IMPORTRANGE(""https://docs.google.com/spreadsheets/d/14Bd19lYaqBhU8_DElYkX7l4wRkHqqCUFNJY4AfY3kHU/edit?usp=sharing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55" s="7" t="s">
        <v>23</v>
      </c>
    </row>
    <row r="14156" spans="1:10" ht="13.2">
      <c r="A14156" s="7">
        <v>14155</v>
      </c>
      <c r="B14156" s="7">
        <v>1</v>
      </c>
      <c r="C14156" s="7" t="s">
        <v>10</v>
      </c>
      <c r="D14156" s="7">
        <v>18861</v>
      </c>
      <c r="E14156" s="7" t="s">
        <v>23</v>
      </c>
      <c r="F14156" s="8" t="str">
        <f ca="1">IFERROR(__xludf.DUMMYFUNCTION("IF
(
C14157=""фізична особа""
,
VLOOKUP(D14157,IMPORTRANGE(""https://docs.google.com/spreadsheets/d/14Bd19lYaqBhU8_DElYkX7l4wRkHqqCUFNJY4AfY3kHU/edit?usp=sharing  #gid=0"",""фіз особи new!relations_name""),6,FALSE)
,
(IF
(
C14157=""юридична особа""
,
VLOO"&amp;"KUP(D14157,IMPORTRANGE(""https://docs.google.com/spreadsheets/d/14Bd19lYaqBhU8_DElYkX7l4wRkHqqCUFNJY4AfY3kHU/edit?usp=sharing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56" s="7" t="s">
        <v>10</v>
      </c>
      <c r="H14156" s="7">
        <v>18859</v>
      </c>
      <c r="I14156" s="8" t="str">
        <f ca="1">IFERROR(__xludf.DUMMYFUNCTION("IF
(
G14157=""фізична особа""
,
VLOOKUP(H14157,IMPORTRANGE(""https://docs.google.com/spreadsheets/d/14Bd19lYaqBhU8_DElYkX7l4wRkHqqCUFNJY4AfY3kHU/edit?usp=sharing  #gid=0"",""фіз особи new!relations_name""),6,FALSE)
,
(IF
(
G14157=""юридична особа""
,
VLOO"&amp;"KUP(H14157,IMPORTRANGE(""https://docs.google.com/spreadsheets/d/14Bd19lYaqBhU8_DElYkX7l4wRkHqqCUFNJY4AfY3kHU/edit?usp=sharing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156" s="7" t="s">
        <v>23</v>
      </c>
    </row>
    <row r="14157" spans="1:10" ht="13.2">
      <c r="A14157" s="7">
        <v>14156</v>
      </c>
      <c r="B14157" s="7">
        <v>1</v>
      </c>
      <c r="C14157" s="7" t="s">
        <v>10</v>
      </c>
      <c r="D14157" s="7">
        <v>18861</v>
      </c>
      <c r="E14157" s="7" t="s">
        <v>23</v>
      </c>
      <c r="F14157" s="8" t="str">
        <f ca="1">IFERROR(__xludf.DUMMYFUNCTION("IF
(
C14158=""фізична особа""
,
VLOOKUP(D14158,IMPORTRANGE(""https://docs.google.com/spreadsheets/d/14Bd19lYaqBhU8_DElYkX7l4wRkHqqCUFNJY4AfY3kHU/edit?usp=sharing  #gid=0"",""фіз особи new!relations_name""),6,FALSE)
,
(IF
(
C14158=""юридична особа""
,
VLOO"&amp;"KUP(D14158,IMPORTRANGE(""https://docs.google.com/spreadsheets/d/14Bd19lYaqBhU8_DElYkX7l4wRkHqqCUFNJY4AfY3kHU/edit?usp=sharing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57" s="7" t="s">
        <v>10</v>
      </c>
      <c r="H14157" s="7">
        <v>18860</v>
      </c>
      <c r="I14157" s="8" t="str">
        <f ca="1">IFERROR(__xludf.DUMMYFUNCTION("IF
(
G14158=""фізична особа""
,
VLOOKUP(H14158,IMPORTRANGE(""https://docs.google.com/spreadsheets/d/14Bd19lYaqBhU8_DElYkX7l4wRkHqqCUFNJY4AfY3kHU/edit?usp=sharing  #gid=0"",""фіз особи new!relations_name""),6,FALSE)
,
(IF
(
G14158=""юридична особа""
,
VLOO"&amp;"KUP(H14158,IMPORTRANGE(""https://docs.google.com/spreadsheets/d/14Bd19lYaqBhU8_DElYkX7l4wRkHqqCUFNJY4AfY3kHU/edit?usp=sharing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157" s="7" t="s">
        <v>23</v>
      </c>
    </row>
    <row r="14158" spans="1:10" ht="13.2">
      <c r="A14158" s="7">
        <v>14157</v>
      </c>
      <c r="B14158" s="7">
        <v>1</v>
      </c>
      <c r="C14158" s="7" t="s">
        <v>10</v>
      </c>
      <c r="D14158" s="7">
        <v>18861</v>
      </c>
      <c r="E14158" s="7" t="s">
        <v>23</v>
      </c>
      <c r="F14158" s="8" t="str">
        <f ca="1">IFERROR(__xludf.DUMMYFUNCTION("IF
(
C14159=""фізична особа""
,
VLOOKUP(D14159,IMPORTRANGE(""https://docs.google.com/spreadsheets/d/14Bd19lYaqBhU8_DElYkX7l4wRkHqqCUFNJY4AfY3kHU/edit?usp=sharing  #gid=0"",""фіз особи new!relations_name""),6,FALSE)
,
(IF
(
C14159=""юридична особа""
,
VLOO"&amp;"KUP(D14159,IMPORTRANGE(""https://docs.google.com/spreadsheets/d/14Bd19lYaqBhU8_DElYkX7l4wRkHqqCUFNJY4AfY3kHU/edit?usp=sharing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58" s="7" t="s">
        <v>10</v>
      </c>
      <c r="H14158" s="7">
        <v>18862</v>
      </c>
      <c r="I14158" s="8" t="str">
        <f ca="1">IFERROR(__xludf.DUMMYFUNCTION("IF
(
G14159=""фізична особа""
,
VLOOKUP(H14159,IMPORTRANGE(""https://docs.google.com/spreadsheets/d/14Bd19lYaqBhU8_DElYkX7l4wRkHqqCUFNJY4AfY3kHU/edit?usp=sharing  #gid=0"",""фіз особи new!relations_name""),6,FALSE)
,
(IF
(
G14159=""юридична особа""
,
VLOO"&amp;"KUP(H14159,IMPORTRANGE(""https://docs.google.com/spreadsheets/d/14Bd19lYaqBhU8_DElYkX7l4wRkHqqCUFNJY4AfY3kHU/edit?usp=sharing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158" s="7" t="s">
        <v>23</v>
      </c>
    </row>
    <row r="14159" spans="1:10" ht="13.2">
      <c r="A14159" s="7">
        <v>14158</v>
      </c>
      <c r="B14159" s="7">
        <v>1</v>
      </c>
      <c r="C14159" s="7" t="s">
        <v>10</v>
      </c>
      <c r="D14159" s="7">
        <v>18861</v>
      </c>
      <c r="E14159" s="7" t="s">
        <v>23</v>
      </c>
      <c r="F14159" s="8" t="str">
        <f ca="1">IFERROR(__xludf.DUMMYFUNCTION("IF
(
C14160=""фізична особа""
,
VLOOKUP(D14160,IMPORTRANGE(""https://docs.google.com/spreadsheets/d/14Bd19lYaqBhU8_DElYkX7l4wRkHqqCUFNJY4AfY3kHU/edit?usp=sharing  #gid=0"",""фіз особи new!relations_name""),6,FALSE)
,
(IF
(
C14160=""юридична особа""
,
VLOO"&amp;"KUP(D14160,IMPORTRANGE(""https://docs.google.com/spreadsheets/d/14Bd19lYaqBhU8_DElYkX7l4wRkHqqCUFNJY4AfY3kHU/edit?usp=sharing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59" s="7" t="s">
        <v>10</v>
      </c>
      <c r="H14159" s="7">
        <v>18863</v>
      </c>
      <c r="I14159" s="8" t="str">
        <f ca="1">IFERROR(__xludf.DUMMYFUNCTION("IF
(
G14160=""фізична особа""
,
VLOOKUP(H14160,IMPORTRANGE(""https://docs.google.com/spreadsheets/d/14Bd19lYaqBhU8_DElYkX7l4wRkHqqCUFNJY4AfY3kHU/edit?usp=sharing  #gid=0"",""фіз особи new!relations_name""),6,FALSE)
,
(IF
(
G14160=""юридична особа""
,
VLOO"&amp;"KUP(H14160,IMPORTRANGE(""https://docs.google.com/spreadsheets/d/14Bd19lYaqBhU8_DElYkX7l4wRkHqqCUFNJY4AfY3kHU/edit?usp=sharing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159" s="7" t="s">
        <v>23</v>
      </c>
    </row>
    <row r="14160" spans="1:10" ht="13.2">
      <c r="A14160" s="7">
        <v>14159</v>
      </c>
      <c r="B14160" s="7">
        <v>1</v>
      </c>
      <c r="C14160" s="7" t="s">
        <v>10</v>
      </c>
      <c r="D14160" s="7">
        <v>18861</v>
      </c>
      <c r="E14160" s="7" t="s">
        <v>23</v>
      </c>
      <c r="F14160" s="8" t="str">
        <f ca="1">IFERROR(__xludf.DUMMYFUNCTION("IF
(
C14161=""фізична особа""
,
VLOOKUP(D14161,IMPORTRANGE(""https://docs.google.com/spreadsheets/d/14Bd19lYaqBhU8_DElYkX7l4wRkHqqCUFNJY4AfY3kHU/edit?usp=sharing  #gid=0"",""фіз особи new!relations_name""),6,FALSE)
,
(IF
(
C14161=""юридична особа""
,
VLOO"&amp;"KUP(D14161,IMPORTRANGE(""https://docs.google.com/spreadsheets/d/14Bd19lYaqBhU8_DElYkX7l4wRkHqqCUFNJY4AfY3kHU/edit?usp=sharing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0" s="7" t="s">
        <v>10</v>
      </c>
      <c r="H14160" s="7">
        <v>18864</v>
      </c>
      <c r="I14160" s="8" t="str">
        <f ca="1">IFERROR(__xludf.DUMMYFUNCTION("IF
(
G14161=""фізична особа""
,
VLOOKUP(H14161,IMPORTRANGE(""https://docs.google.com/spreadsheets/d/14Bd19lYaqBhU8_DElYkX7l4wRkHqqCUFNJY4AfY3kHU/edit?usp=sharing  #gid=0"",""фіз особи new!relations_name""),6,FALSE)
,
(IF
(
G14161=""юридична особа""
,
VLOO"&amp;"KUP(H14161,IMPORTRANGE(""https://docs.google.com/spreadsheets/d/14Bd19lYaqBhU8_DElYkX7l4wRkHqqCUFNJY4AfY3kHU/edit?usp=sharing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160" s="7" t="s">
        <v>23</v>
      </c>
    </row>
    <row r="14161" spans="1:10" ht="13.2">
      <c r="A14161" s="7">
        <v>14160</v>
      </c>
      <c r="B14161" s="7">
        <v>1</v>
      </c>
      <c r="C14161" s="7" t="s">
        <v>10</v>
      </c>
      <c r="D14161" s="7">
        <v>18861</v>
      </c>
      <c r="E14161" s="7" t="s">
        <v>23</v>
      </c>
      <c r="F14161" s="8" t="str">
        <f ca="1">IFERROR(__xludf.DUMMYFUNCTION("IF
(
C14162=""фізична особа""
,
VLOOKUP(D14162,IMPORTRANGE(""https://docs.google.com/spreadsheets/d/14Bd19lYaqBhU8_DElYkX7l4wRkHqqCUFNJY4AfY3kHU/edit?usp=sharing  #gid=0"",""фіз особи new!relations_name""),6,FALSE)
,
(IF
(
C14162=""юридична особа""
,
VLOO"&amp;"KUP(D14162,IMPORTRANGE(""https://docs.google.com/spreadsheets/d/14Bd19lYaqBhU8_DElYkX7l4wRkHqqCUFNJY4AfY3kHU/edit?usp=sharing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1" s="7" t="s">
        <v>10</v>
      </c>
      <c r="H14161" s="7">
        <v>18865</v>
      </c>
      <c r="I14161" s="8" t="str">
        <f ca="1">IFERROR(__xludf.DUMMYFUNCTION("IF
(
G14162=""фізична особа""
,
VLOOKUP(H14162,IMPORTRANGE(""https://docs.google.com/spreadsheets/d/14Bd19lYaqBhU8_DElYkX7l4wRkHqqCUFNJY4AfY3kHU/edit?usp=sharing  #gid=0"",""фіз особи new!relations_name""),6,FALSE)
,
(IF
(
G14162=""юридична особа""
,
VLOO"&amp;"KUP(H14162,IMPORTRANGE(""https://docs.google.com/spreadsheets/d/14Bd19lYaqBhU8_DElYkX7l4wRkHqqCUFNJY4AfY3kHU/edit?usp=sharing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61" s="7" t="s">
        <v>23</v>
      </c>
    </row>
    <row r="14162" spans="1:10" ht="13.2">
      <c r="A14162" s="7">
        <v>14161</v>
      </c>
      <c r="B14162" s="7">
        <v>1</v>
      </c>
      <c r="C14162" s="7" t="s">
        <v>10</v>
      </c>
      <c r="D14162" s="7">
        <v>18861</v>
      </c>
      <c r="E14162" s="7" t="s">
        <v>23</v>
      </c>
      <c r="F14162" s="8" t="str">
        <f ca="1">IFERROR(__xludf.DUMMYFUNCTION("IF
(
C14163=""фізична особа""
,
VLOOKUP(D14163,IMPORTRANGE(""https://docs.google.com/spreadsheets/d/14Bd19lYaqBhU8_DElYkX7l4wRkHqqCUFNJY4AfY3kHU/edit?usp=sharing  #gid=0"",""фіз особи new!relations_name""),6,FALSE)
,
(IF
(
C14163=""юридична особа""
,
VLOO"&amp;"KUP(D14163,IMPORTRANGE(""https://docs.google.com/spreadsheets/d/14Bd19lYaqBhU8_DElYkX7l4wRkHqqCUFNJY4AfY3kHU/edit?usp=sharing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2" s="7" t="s">
        <v>10</v>
      </c>
      <c r="H14162" s="7">
        <v>19116</v>
      </c>
      <c r="I14162" s="8" t="str">
        <f ca="1">IFERROR(__xludf.DUMMYFUNCTION("IF
(
G14163=""фізична особа""
,
VLOOKUP(H14163,IMPORTRANGE(""https://docs.google.com/spreadsheets/d/14Bd19lYaqBhU8_DElYkX7l4wRkHqqCUFNJY4AfY3kHU/edit?usp=sharing  #gid=0"",""фіз особи new!relations_name""),6,FALSE)
,
(IF
(
G14163=""юридична особа""
,
VLOO"&amp;"KUP(H14163,IMPORTRANGE(""https://docs.google.com/spreadsheets/d/14Bd19lYaqBhU8_DElYkX7l4wRkHqqCUFNJY4AfY3kHU/edit?usp=sharing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62" s="7" t="s">
        <v>23</v>
      </c>
    </row>
    <row r="14163" spans="1:10" ht="13.2">
      <c r="A14163" s="7">
        <v>14162</v>
      </c>
      <c r="B14163" s="7">
        <v>1</v>
      </c>
      <c r="C14163" s="7" t="s">
        <v>10</v>
      </c>
      <c r="D14163" s="7">
        <v>18861</v>
      </c>
      <c r="E14163" s="7" t="s">
        <v>23</v>
      </c>
      <c r="F14163" s="8" t="str">
        <f ca="1">IFERROR(__xludf.DUMMYFUNCTION("IF
(
C14164=""фізична особа""
,
VLOOKUP(D14164,IMPORTRANGE(""https://docs.google.com/spreadsheets/d/14Bd19lYaqBhU8_DElYkX7l4wRkHqqCUFNJY4AfY3kHU/edit?usp=sharing  #gid=0"",""фіз особи new!relations_name""),6,FALSE)
,
(IF
(
C14164=""юридична особа""
,
VLOO"&amp;"KUP(D14164,IMPORTRANGE(""https://docs.google.com/spreadsheets/d/14Bd19lYaqBhU8_DElYkX7l4wRkHqqCUFNJY4AfY3kHU/edit?usp=sharing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3" s="7" t="s">
        <v>10</v>
      </c>
      <c r="H14163" s="7">
        <v>19117</v>
      </c>
      <c r="I14163" s="8" t="str">
        <f ca="1">IFERROR(__xludf.DUMMYFUNCTION("IF
(
G14164=""фізична особа""
,
VLOOKUP(H14164,IMPORTRANGE(""https://docs.google.com/spreadsheets/d/14Bd19lYaqBhU8_DElYkX7l4wRkHqqCUFNJY4AfY3kHU/edit?usp=sharing  #gid=0"",""фіз особи new!relations_name""),6,FALSE)
,
(IF
(
G14164=""юридична особа""
,
VLOO"&amp;"KUP(H14164,IMPORTRANGE(""https://docs.google.com/spreadsheets/d/14Bd19lYaqBhU8_DElYkX7l4wRkHqqCUFNJY4AfY3kHU/edit?usp=sharing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63" s="7" t="s">
        <v>23</v>
      </c>
    </row>
    <row r="14164" spans="1:10" ht="13.2">
      <c r="A14164" s="7">
        <v>14163</v>
      </c>
      <c r="B14164" s="7">
        <v>1</v>
      </c>
      <c r="C14164" s="7" t="s">
        <v>10</v>
      </c>
      <c r="D14164" s="7">
        <v>18861</v>
      </c>
      <c r="E14164" s="7" t="s">
        <v>23</v>
      </c>
      <c r="F14164" s="8" t="str">
        <f ca="1">IFERROR(__xludf.DUMMYFUNCTION("IF
(
C14165=""фізична особа""
,
VLOOKUP(D14165,IMPORTRANGE(""https://docs.google.com/spreadsheets/d/14Bd19lYaqBhU8_DElYkX7l4wRkHqqCUFNJY4AfY3kHU/edit?usp=sharing  #gid=0"",""фіз особи new!relations_name""),6,FALSE)
,
(IF
(
C14165=""юридична особа""
,
VLOO"&amp;"KUP(D14165,IMPORTRANGE(""https://docs.google.com/spreadsheets/d/14Bd19lYaqBhU8_DElYkX7l4wRkHqqCUFNJY4AfY3kHU/edit?usp=sharing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4" s="7" t="s">
        <v>10</v>
      </c>
      <c r="H14164" s="7">
        <v>19118</v>
      </c>
      <c r="I14164" s="8" t="str">
        <f ca="1">IFERROR(__xludf.DUMMYFUNCTION("IF
(
G14165=""фізична особа""
,
VLOOKUP(H14165,IMPORTRANGE(""https://docs.google.com/spreadsheets/d/14Bd19lYaqBhU8_DElYkX7l4wRkHqqCUFNJY4AfY3kHU/edit?usp=sharing  #gid=0"",""фіз особи new!relations_name""),6,FALSE)
,
(IF
(
G14165=""юридична особа""
,
VLOO"&amp;"KUP(H14165,IMPORTRANGE(""https://docs.google.com/spreadsheets/d/14Bd19lYaqBhU8_DElYkX7l4wRkHqqCUFNJY4AfY3kHU/edit?usp=sharing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64" s="7" t="s">
        <v>23</v>
      </c>
    </row>
    <row r="14165" spans="1:10" ht="13.2">
      <c r="A14165" s="7">
        <v>14164</v>
      </c>
      <c r="B14165" s="7">
        <v>1</v>
      </c>
      <c r="C14165" s="7" t="s">
        <v>10</v>
      </c>
      <c r="D14165" s="7">
        <v>18861</v>
      </c>
      <c r="E14165" s="7" t="s">
        <v>23</v>
      </c>
      <c r="F14165" s="8" t="str">
        <f ca="1">IFERROR(__xludf.DUMMYFUNCTION("IF
(
C14166=""фізична особа""
,
VLOOKUP(D14166,IMPORTRANGE(""https://docs.google.com/spreadsheets/d/14Bd19lYaqBhU8_DElYkX7l4wRkHqqCUFNJY4AfY3kHU/edit?usp=sharing  #gid=0"",""фіз особи new!relations_name""),6,FALSE)
,
(IF
(
C14166=""юридична особа""
,
VLOO"&amp;"KUP(D14166,IMPORTRANGE(""https://docs.google.com/spreadsheets/d/14Bd19lYaqBhU8_DElYkX7l4wRkHqqCUFNJY4AfY3kHU/edit?usp=sharing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5" s="7" t="s">
        <v>10</v>
      </c>
      <c r="H14165" s="7">
        <v>19119</v>
      </c>
      <c r="I14165" s="8" t="str">
        <f ca="1">IFERROR(__xludf.DUMMYFUNCTION("IF
(
G14166=""фізична особа""
,
VLOOKUP(H14166,IMPORTRANGE(""https://docs.google.com/spreadsheets/d/14Bd19lYaqBhU8_DElYkX7l4wRkHqqCUFNJY4AfY3kHU/edit?usp=sharing  #gid=0"",""фіз особи new!relations_name""),6,FALSE)
,
(IF
(
G14166=""юридична особа""
,
VLOO"&amp;"KUP(H14166,IMPORTRANGE(""https://docs.google.com/spreadsheets/d/14Bd19lYaqBhU8_DElYkX7l4wRkHqqCUFNJY4AfY3kHU/edit?usp=sharing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65" s="7" t="s">
        <v>23</v>
      </c>
    </row>
    <row r="14166" spans="1:10" ht="13.2">
      <c r="A14166" s="7">
        <v>14165</v>
      </c>
      <c r="B14166" s="7">
        <v>1</v>
      </c>
      <c r="C14166" s="7" t="s">
        <v>10</v>
      </c>
      <c r="D14166" s="7">
        <v>18861</v>
      </c>
      <c r="E14166" s="7" t="s">
        <v>23</v>
      </c>
      <c r="F14166" s="8" t="str">
        <f ca="1">IFERROR(__xludf.DUMMYFUNCTION("IF
(
C14167=""фізична особа""
,
VLOOKUP(D14167,IMPORTRANGE(""https://docs.google.com/spreadsheets/d/14Bd19lYaqBhU8_DElYkX7l4wRkHqqCUFNJY4AfY3kHU/edit?usp=sharing  #gid=0"",""фіз особи new!relations_name""),6,FALSE)
,
(IF
(
C14167=""юридична особа""
,
VLOO"&amp;"KUP(D14167,IMPORTRANGE(""https://docs.google.com/spreadsheets/d/14Bd19lYaqBhU8_DElYkX7l4wRkHqqCUFNJY4AfY3kHU/edit?usp=sharing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G14166" s="7" t="s">
        <v>10</v>
      </c>
      <c r="H14166" s="7">
        <v>19120</v>
      </c>
      <c r="I14166" s="8" t="str">
        <f ca="1">IFERROR(__xludf.DUMMYFUNCTION("IF
(
G14167=""фізична особа""
,
VLOOKUP(H14167,IMPORTRANGE(""https://docs.google.com/spreadsheets/d/14Bd19lYaqBhU8_DElYkX7l4wRkHqqCUFNJY4AfY3kHU/edit?usp=sharing  #gid=0"",""фіз особи new!relations_name""),6,FALSE)
,
(IF
(
G14167=""юридична особа""
,
VLOO"&amp;"KUP(H14167,IMPORTRANGE(""https://docs.google.com/spreadsheets/d/14Bd19lYaqBhU8_DElYkX7l4wRkHqqCUFNJY4AfY3kHU/edit?usp=sharing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66" s="7" t="s">
        <v>23</v>
      </c>
    </row>
    <row r="14167" spans="1:10" ht="13.2">
      <c r="A14167" s="7">
        <v>14166</v>
      </c>
      <c r="B14167" s="7">
        <v>1</v>
      </c>
      <c r="C14167" s="7" t="s">
        <v>10</v>
      </c>
      <c r="D14167" s="7">
        <v>18862</v>
      </c>
      <c r="E14167" s="7" t="s">
        <v>23</v>
      </c>
      <c r="F14167" s="8" t="str">
        <f ca="1">IFERROR(__xludf.DUMMYFUNCTION("IF
(
C14168=""фізична особа""
,
VLOOKUP(D14168,IMPORTRANGE(""https://docs.google.com/spreadsheets/d/14Bd19lYaqBhU8_DElYkX7l4wRkHqqCUFNJY4AfY3kHU/edit?usp=sharing  #gid=0"",""фіз особи new!relations_name""),6,FALSE)
,
(IF
(
C14168=""юридична особа""
,
VLOO"&amp;"KUP(D14168,IMPORTRANGE(""https://docs.google.com/spreadsheets/d/14Bd19lYaqBhU8_DElYkX7l4wRkHqqCUFNJY4AfY3kHU/edit?usp=sharing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67" s="7" t="s">
        <v>10</v>
      </c>
      <c r="H14167" s="7">
        <v>18859</v>
      </c>
      <c r="I14167" s="8" t="str">
        <f ca="1">IFERROR(__xludf.DUMMYFUNCTION("IF
(
G14168=""фізична особа""
,
VLOOKUP(H14168,IMPORTRANGE(""https://docs.google.com/spreadsheets/d/14Bd19lYaqBhU8_DElYkX7l4wRkHqqCUFNJY4AfY3kHU/edit?usp=sharing  #gid=0"",""фіз особи new!relations_name""),6,FALSE)
,
(IF
(
G14168=""юридична особа""
,
VLOO"&amp;"KUP(H14168,IMPORTRANGE(""https://docs.google.com/spreadsheets/d/14Bd19lYaqBhU8_DElYkX7l4wRkHqqCUFNJY4AfY3kHU/edit?usp=sharing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167" s="7" t="s">
        <v>23</v>
      </c>
    </row>
    <row r="14168" spans="1:10" ht="13.2">
      <c r="A14168" s="7">
        <v>14167</v>
      </c>
      <c r="B14168" s="7">
        <v>1</v>
      </c>
      <c r="C14168" s="7" t="s">
        <v>10</v>
      </c>
      <c r="D14168" s="7">
        <v>18862</v>
      </c>
      <c r="E14168" s="7" t="s">
        <v>23</v>
      </c>
      <c r="F14168" s="8" t="str">
        <f ca="1">IFERROR(__xludf.DUMMYFUNCTION("IF
(
C14169=""фізична особа""
,
VLOOKUP(D14169,IMPORTRANGE(""https://docs.google.com/spreadsheets/d/14Bd19lYaqBhU8_DElYkX7l4wRkHqqCUFNJY4AfY3kHU/edit?usp=sharing  #gid=0"",""фіз особи new!relations_name""),6,FALSE)
,
(IF
(
C14169=""юридична особа""
,
VLOO"&amp;"KUP(D14169,IMPORTRANGE(""https://docs.google.com/spreadsheets/d/14Bd19lYaqBhU8_DElYkX7l4wRkHqqCUFNJY4AfY3kHU/edit?usp=sharing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68" s="7" t="s">
        <v>10</v>
      </c>
      <c r="H14168" s="7">
        <v>18860</v>
      </c>
      <c r="I14168" s="8" t="str">
        <f ca="1">IFERROR(__xludf.DUMMYFUNCTION("IF
(
G14169=""фізична особа""
,
VLOOKUP(H14169,IMPORTRANGE(""https://docs.google.com/spreadsheets/d/14Bd19lYaqBhU8_DElYkX7l4wRkHqqCUFNJY4AfY3kHU/edit?usp=sharing  #gid=0"",""фіз особи new!relations_name""),6,FALSE)
,
(IF
(
G14169=""юридична особа""
,
VLOO"&amp;"KUP(H14169,IMPORTRANGE(""https://docs.google.com/spreadsheets/d/14Bd19lYaqBhU8_DElYkX7l4wRkHqqCUFNJY4AfY3kHU/edit?usp=sharing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168" s="7" t="s">
        <v>23</v>
      </c>
    </row>
    <row r="14169" spans="1:10" ht="13.2">
      <c r="A14169" s="7">
        <v>14168</v>
      </c>
      <c r="B14169" s="7">
        <v>1</v>
      </c>
      <c r="C14169" s="7" t="s">
        <v>10</v>
      </c>
      <c r="D14169" s="7">
        <v>18862</v>
      </c>
      <c r="E14169" s="7" t="s">
        <v>23</v>
      </c>
      <c r="F14169" s="8" t="str">
        <f ca="1">IFERROR(__xludf.DUMMYFUNCTION("IF
(
C14170=""фізична особа""
,
VLOOKUP(D14170,IMPORTRANGE(""https://docs.google.com/spreadsheets/d/14Bd19lYaqBhU8_DElYkX7l4wRkHqqCUFNJY4AfY3kHU/edit?usp=sharing  #gid=0"",""фіз особи new!relations_name""),6,FALSE)
,
(IF
(
C14170=""юридична особа""
,
VLOO"&amp;"KUP(D14170,IMPORTRANGE(""https://docs.google.com/spreadsheets/d/14Bd19lYaqBhU8_DElYkX7l4wRkHqqCUFNJY4AfY3kHU/edit?usp=sharing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69" s="7" t="s">
        <v>10</v>
      </c>
      <c r="H14169" s="7">
        <v>18861</v>
      </c>
      <c r="I14169" s="8" t="str">
        <f ca="1">IFERROR(__xludf.DUMMYFUNCTION("IF
(
G14170=""фізична особа""
,
VLOOKUP(H14170,IMPORTRANGE(""https://docs.google.com/spreadsheets/d/14Bd19lYaqBhU8_DElYkX7l4wRkHqqCUFNJY4AfY3kHU/edit?usp=sharing  #gid=0"",""фіз особи new!relations_name""),6,FALSE)
,
(IF
(
G14170=""юридична особа""
,
VLOO"&amp;"KUP(H14170,IMPORTRANGE(""https://docs.google.com/spreadsheets/d/14Bd19lYaqBhU8_DElYkX7l4wRkHqqCUFNJY4AfY3kHU/edit?usp=sharing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169" s="7" t="s">
        <v>23</v>
      </c>
    </row>
    <row r="14170" spans="1:10" ht="13.2">
      <c r="A14170" s="7">
        <v>14169</v>
      </c>
      <c r="B14170" s="7">
        <v>1</v>
      </c>
      <c r="C14170" s="7" t="s">
        <v>10</v>
      </c>
      <c r="D14170" s="7">
        <v>18862</v>
      </c>
      <c r="E14170" s="7" t="s">
        <v>23</v>
      </c>
      <c r="F14170" s="8" t="str">
        <f ca="1">IFERROR(__xludf.DUMMYFUNCTION("IF
(
C14171=""фізична особа""
,
VLOOKUP(D14171,IMPORTRANGE(""https://docs.google.com/spreadsheets/d/14Bd19lYaqBhU8_DElYkX7l4wRkHqqCUFNJY4AfY3kHU/edit?usp=sharing  #gid=0"",""фіз особи new!relations_name""),6,FALSE)
,
(IF
(
C14171=""юридична особа""
,
VLOO"&amp;"KUP(D14171,IMPORTRANGE(""https://docs.google.com/spreadsheets/d/14Bd19lYaqBhU8_DElYkX7l4wRkHqqCUFNJY4AfY3kHU/edit?usp=sharing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0" s="7" t="s">
        <v>10</v>
      </c>
      <c r="H14170" s="7">
        <v>18863</v>
      </c>
      <c r="I14170" s="8" t="str">
        <f ca="1">IFERROR(__xludf.DUMMYFUNCTION("IF
(
G14171=""фізична особа""
,
VLOOKUP(H14171,IMPORTRANGE(""https://docs.google.com/spreadsheets/d/14Bd19lYaqBhU8_DElYkX7l4wRkHqqCUFNJY4AfY3kHU/edit?usp=sharing  #gid=0"",""фіз особи new!relations_name""),6,FALSE)
,
(IF
(
G14171=""юридична особа""
,
VLOO"&amp;"KUP(H14171,IMPORTRANGE(""https://docs.google.com/spreadsheets/d/14Bd19lYaqBhU8_DElYkX7l4wRkHqqCUFNJY4AfY3kHU/edit?usp=sharing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170" s="7" t="s">
        <v>23</v>
      </c>
    </row>
    <row r="14171" spans="1:10" ht="13.2">
      <c r="A14171" s="7">
        <v>14170</v>
      </c>
      <c r="B14171" s="7">
        <v>1</v>
      </c>
      <c r="C14171" s="7" t="s">
        <v>10</v>
      </c>
      <c r="D14171" s="7">
        <v>18862</v>
      </c>
      <c r="E14171" s="7" t="s">
        <v>23</v>
      </c>
      <c r="F14171" s="8" t="str">
        <f ca="1">IFERROR(__xludf.DUMMYFUNCTION("IF
(
C14172=""фізична особа""
,
VLOOKUP(D14172,IMPORTRANGE(""https://docs.google.com/spreadsheets/d/14Bd19lYaqBhU8_DElYkX7l4wRkHqqCUFNJY4AfY3kHU/edit?usp=sharing  #gid=0"",""фіз особи new!relations_name""),6,FALSE)
,
(IF
(
C14172=""юридична особа""
,
VLOO"&amp;"KUP(D14172,IMPORTRANGE(""https://docs.google.com/spreadsheets/d/14Bd19lYaqBhU8_DElYkX7l4wRkHqqCUFNJY4AfY3kHU/edit?usp=sharing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1" s="7" t="s">
        <v>10</v>
      </c>
      <c r="H14171" s="7">
        <v>18864</v>
      </c>
      <c r="I14171" s="8" t="str">
        <f ca="1">IFERROR(__xludf.DUMMYFUNCTION("IF
(
G14172=""фізична особа""
,
VLOOKUP(H14172,IMPORTRANGE(""https://docs.google.com/spreadsheets/d/14Bd19lYaqBhU8_DElYkX7l4wRkHqqCUFNJY4AfY3kHU/edit?usp=sharing  #gid=0"",""фіз особи new!relations_name""),6,FALSE)
,
(IF
(
G14172=""юридична особа""
,
VLOO"&amp;"KUP(H14172,IMPORTRANGE(""https://docs.google.com/spreadsheets/d/14Bd19lYaqBhU8_DElYkX7l4wRkHqqCUFNJY4AfY3kHU/edit?usp=sharing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171" s="7" t="s">
        <v>23</v>
      </c>
    </row>
    <row r="14172" spans="1:10" ht="13.2">
      <c r="A14172" s="7">
        <v>14171</v>
      </c>
      <c r="B14172" s="7">
        <v>1</v>
      </c>
      <c r="C14172" s="7" t="s">
        <v>10</v>
      </c>
      <c r="D14172" s="7">
        <v>18862</v>
      </c>
      <c r="E14172" s="7" t="s">
        <v>23</v>
      </c>
      <c r="F14172" s="8" t="str">
        <f ca="1">IFERROR(__xludf.DUMMYFUNCTION("IF
(
C14173=""фізична особа""
,
VLOOKUP(D14173,IMPORTRANGE(""https://docs.google.com/spreadsheets/d/14Bd19lYaqBhU8_DElYkX7l4wRkHqqCUFNJY4AfY3kHU/edit?usp=sharing  #gid=0"",""фіз особи new!relations_name""),6,FALSE)
,
(IF
(
C14173=""юридична особа""
,
VLOO"&amp;"KUP(D14173,IMPORTRANGE(""https://docs.google.com/spreadsheets/d/14Bd19lYaqBhU8_DElYkX7l4wRkHqqCUFNJY4AfY3kHU/edit?usp=sharing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2" s="7" t="s">
        <v>10</v>
      </c>
      <c r="H14172" s="7">
        <v>18865</v>
      </c>
      <c r="I14172" s="8" t="str">
        <f ca="1">IFERROR(__xludf.DUMMYFUNCTION("IF
(
G14173=""фізична особа""
,
VLOOKUP(H14173,IMPORTRANGE(""https://docs.google.com/spreadsheets/d/14Bd19lYaqBhU8_DElYkX7l4wRkHqqCUFNJY4AfY3kHU/edit?usp=sharing  #gid=0"",""фіз особи new!relations_name""),6,FALSE)
,
(IF
(
G14173=""юридична особа""
,
VLOO"&amp;"KUP(H14173,IMPORTRANGE(""https://docs.google.com/spreadsheets/d/14Bd19lYaqBhU8_DElYkX7l4wRkHqqCUFNJY4AfY3kHU/edit?usp=sharing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72" s="7" t="s">
        <v>23</v>
      </c>
    </row>
    <row r="14173" spans="1:10" ht="13.2">
      <c r="A14173" s="7">
        <v>14172</v>
      </c>
      <c r="B14173" s="7">
        <v>1</v>
      </c>
      <c r="C14173" s="7" t="s">
        <v>10</v>
      </c>
      <c r="D14173" s="7">
        <v>18862</v>
      </c>
      <c r="E14173" s="7" t="s">
        <v>23</v>
      </c>
      <c r="F14173" s="8" t="str">
        <f ca="1">IFERROR(__xludf.DUMMYFUNCTION("IF
(
C14174=""фізична особа""
,
VLOOKUP(D14174,IMPORTRANGE(""https://docs.google.com/spreadsheets/d/14Bd19lYaqBhU8_DElYkX7l4wRkHqqCUFNJY4AfY3kHU/edit?usp=sharing  #gid=0"",""фіз особи new!relations_name""),6,FALSE)
,
(IF
(
C14174=""юридична особа""
,
VLOO"&amp;"KUP(D14174,IMPORTRANGE(""https://docs.google.com/spreadsheets/d/14Bd19lYaqBhU8_DElYkX7l4wRkHqqCUFNJY4AfY3kHU/edit?usp=sharing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3" s="7" t="s">
        <v>10</v>
      </c>
      <c r="H14173" s="7">
        <v>19116</v>
      </c>
      <c r="I14173" s="8" t="str">
        <f ca="1">IFERROR(__xludf.DUMMYFUNCTION("IF
(
G14174=""фізична особа""
,
VLOOKUP(H14174,IMPORTRANGE(""https://docs.google.com/spreadsheets/d/14Bd19lYaqBhU8_DElYkX7l4wRkHqqCUFNJY4AfY3kHU/edit?usp=sharing  #gid=0"",""фіз особи new!relations_name""),6,FALSE)
,
(IF
(
G14174=""юридична особа""
,
VLOO"&amp;"KUP(H14174,IMPORTRANGE(""https://docs.google.com/spreadsheets/d/14Bd19lYaqBhU8_DElYkX7l4wRkHqqCUFNJY4AfY3kHU/edit?usp=sharing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73" s="7" t="s">
        <v>23</v>
      </c>
    </row>
    <row r="14174" spans="1:10" ht="13.2">
      <c r="A14174" s="7">
        <v>14173</v>
      </c>
      <c r="B14174" s="7">
        <v>1</v>
      </c>
      <c r="C14174" s="7" t="s">
        <v>10</v>
      </c>
      <c r="D14174" s="7">
        <v>18862</v>
      </c>
      <c r="E14174" s="7" t="s">
        <v>23</v>
      </c>
      <c r="F14174" s="8" t="str">
        <f ca="1">IFERROR(__xludf.DUMMYFUNCTION("IF
(
C14175=""фізична особа""
,
VLOOKUP(D14175,IMPORTRANGE(""https://docs.google.com/spreadsheets/d/14Bd19lYaqBhU8_DElYkX7l4wRkHqqCUFNJY4AfY3kHU/edit?usp=sharing  #gid=0"",""фіз особи new!relations_name""),6,FALSE)
,
(IF
(
C14175=""юридична особа""
,
VLOO"&amp;"KUP(D14175,IMPORTRANGE(""https://docs.google.com/spreadsheets/d/14Bd19lYaqBhU8_DElYkX7l4wRkHqqCUFNJY4AfY3kHU/edit?usp=sharing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4" s="7" t="s">
        <v>10</v>
      </c>
      <c r="H14174" s="7">
        <v>19117</v>
      </c>
      <c r="I14174" s="8" t="str">
        <f ca="1">IFERROR(__xludf.DUMMYFUNCTION("IF
(
G14175=""фізична особа""
,
VLOOKUP(H14175,IMPORTRANGE(""https://docs.google.com/spreadsheets/d/14Bd19lYaqBhU8_DElYkX7l4wRkHqqCUFNJY4AfY3kHU/edit?usp=sharing  #gid=0"",""фіз особи new!relations_name""),6,FALSE)
,
(IF
(
G14175=""юридична особа""
,
VLOO"&amp;"KUP(H14175,IMPORTRANGE(""https://docs.google.com/spreadsheets/d/14Bd19lYaqBhU8_DElYkX7l4wRkHqqCUFNJY4AfY3kHU/edit?usp=sharing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74" s="7" t="s">
        <v>23</v>
      </c>
    </row>
    <row r="14175" spans="1:10" ht="13.2">
      <c r="A14175" s="7">
        <v>14174</v>
      </c>
      <c r="B14175" s="7">
        <v>1</v>
      </c>
      <c r="C14175" s="7" t="s">
        <v>10</v>
      </c>
      <c r="D14175" s="7">
        <v>18862</v>
      </c>
      <c r="E14175" s="7" t="s">
        <v>23</v>
      </c>
      <c r="F14175" s="8" t="str">
        <f ca="1">IFERROR(__xludf.DUMMYFUNCTION("IF
(
C14176=""фізична особа""
,
VLOOKUP(D14176,IMPORTRANGE(""https://docs.google.com/spreadsheets/d/14Bd19lYaqBhU8_DElYkX7l4wRkHqqCUFNJY4AfY3kHU/edit?usp=sharing  #gid=0"",""фіз особи new!relations_name""),6,FALSE)
,
(IF
(
C14176=""юридична особа""
,
VLOO"&amp;"KUP(D14176,IMPORTRANGE(""https://docs.google.com/spreadsheets/d/14Bd19lYaqBhU8_DElYkX7l4wRkHqqCUFNJY4AfY3kHU/edit?usp=sharing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5" s="7" t="s">
        <v>10</v>
      </c>
      <c r="H14175" s="7">
        <v>19118</v>
      </c>
      <c r="I14175" s="8" t="str">
        <f ca="1">IFERROR(__xludf.DUMMYFUNCTION("IF
(
G14176=""фізична особа""
,
VLOOKUP(H14176,IMPORTRANGE(""https://docs.google.com/spreadsheets/d/14Bd19lYaqBhU8_DElYkX7l4wRkHqqCUFNJY4AfY3kHU/edit?usp=sharing  #gid=0"",""фіз особи new!relations_name""),6,FALSE)
,
(IF
(
G14176=""юридична особа""
,
VLOO"&amp;"KUP(H14176,IMPORTRANGE(""https://docs.google.com/spreadsheets/d/14Bd19lYaqBhU8_DElYkX7l4wRkHqqCUFNJY4AfY3kHU/edit?usp=sharing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75" s="7" t="s">
        <v>23</v>
      </c>
    </row>
    <row r="14176" spans="1:10" ht="13.2">
      <c r="A14176" s="7">
        <v>14175</v>
      </c>
      <c r="B14176" s="7">
        <v>1</v>
      </c>
      <c r="C14176" s="7" t="s">
        <v>10</v>
      </c>
      <c r="D14176" s="7">
        <v>18862</v>
      </c>
      <c r="E14176" s="7" t="s">
        <v>23</v>
      </c>
      <c r="F14176" s="8" t="str">
        <f ca="1">IFERROR(__xludf.DUMMYFUNCTION("IF
(
C14177=""фізична особа""
,
VLOOKUP(D14177,IMPORTRANGE(""https://docs.google.com/spreadsheets/d/14Bd19lYaqBhU8_DElYkX7l4wRkHqqCUFNJY4AfY3kHU/edit?usp=sharing  #gid=0"",""фіз особи new!relations_name""),6,FALSE)
,
(IF
(
C14177=""юридична особа""
,
VLOO"&amp;"KUP(D14177,IMPORTRANGE(""https://docs.google.com/spreadsheets/d/14Bd19lYaqBhU8_DElYkX7l4wRkHqqCUFNJY4AfY3kHU/edit?usp=sharing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6" s="7" t="s">
        <v>10</v>
      </c>
      <c r="H14176" s="7">
        <v>19119</v>
      </c>
      <c r="I14176" s="8" t="str">
        <f ca="1">IFERROR(__xludf.DUMMYFUNCTION("IF
(
G14177=""фізична особа""
,
VLOOKUP(H14177,IMPORTRANGE(""https://docs.google.com/spreadsheets/d/14Bd19lYaqBhU8_DElYkX7l4wRkHqqCUFNJY4AfY3kHU/edit?usp=sharing  #gid=0"",""фіз особи new!relations_name""),6,FALSE)
,
(IF
(
G14177=""юридична особа""
,
VLOO"&amp;"KUP(H14177,IMPORTRANGE(""https://docs.google.com/spreadsheets/d/14Bd19lYaqBhU8_DElYkX7l4wRkHqqCUFNJY4AfY3kHU/edit?usp=sharing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76" s="7" t="s">
        <v>23</v>
      </c>
    </row>
    <row r="14177" spans="1:10" ht="13.2">
      <c r="A14177" s="7">
        <v>14176</v>
      </c>
      <c r="B14177" s="7">
        <v>1</v>
      </c>
      <c r="C14177" s="7" t="s">
        <v>10</v>
      </c>
      <c r="D14177" s="7">
        <v>18862</v>
      </c>
      <c r="E14177" s="7" t="s">
        <v>23</v>
      </c>
      <c r="F14177" s="8" t="str">
        <f ca="1">IFERROR(__xludf.DUMMYFUNCTION("IF
(
C14178=""фізична особа""
,
VLOOKUP(D14178,IMPORTRANGE(""https://docs.google.com/spreadsheets/d/14Bd19lYaqBhU8_DElYkX7l4wRkHqqCUFNJY4AfY3kHU/edit?usp=sharing  #gid=0"",""фіз особи new!relations_name""),6,FALSE)
,
(IF
(
C14178=""юридична особа""
,
VLOO"&amp;"KUP(D14178,IMPORTRANGE(""https://docs.google.com/spreadsheets/d/14Bd19lYaqBhU8_DElYkX7l4wRkHqqCUFNJY4AfY3kHU/edit?usp=sharing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G14177" s="7" t="s">
        <v>10</v>
      </c>
      <c r="H14177" s="7">
        <v>19120</v>
      </c>
      <c r="I14177" s="8" t="str">
        <f ca="1">IFERROR(__xludf.DUMMYFUNCTION("IF
(
G14178=""фізична особа""
,
VLOOKUP(H14178,IMPORTRANGE(""https://docs.google.com/spreadsheets/d/14Bd19lYaqBhU8_DElYkX7l4wRkHqqCUFNJY4AfY3kHU/edit?usp=sharing  #gid=0"",""фіз особи new!relations_name""),6,FALSE)
,
(IF
(
G14178=""юридична особа""
,
VLOO"&amp;"KUP(H14178,IMPORTRANGE(""https://docs.google.com/spreadsheets/d/14Bd19lYaqBhU8_DElYkX7l4wRkHqqCUFNJY4AfY3kHU/edit?usp=sharing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77" s="7" t="s">
        <v>23</v>
      </c>
    </row>
    <row r="14178" spans="1:10" ht="13.2">
      <c r="A14178" s="7">
        <v>14177</v>
      </c>
      <c r="B14178" s="7">
        <v>1</v>
      </c>
      <c r="C14178" s="7" t="s">
        <v>10</v>
      </c>
      <c r="D14178" s="7">
        <v>18863</v>
      </c>
      <c r="E14178" s="7" t="s">
        <v>23</v>
      </c>
      <c r="F14178" s="8" t="str">
        <f ca="1">IFERROR(__xludf.DUMMYFUNCTION("IF
(
C14179=""фізична особа""
,
VLOOKUP(D14179,IMPORTRANGE(""https://docs.google.com/spreadsheets/d/14Bd19lYaqBhU8_DElYkX7l4wRkHqqCUFNJY4AfY3kHU/edit?usp=sharing  #gid=0"",""фіз особи new!relations_name""),6,FALSE)
,
(IF
(
C14179=""юридична особа""
,
VLOO"&amp;"KUP(D14179,IMPORTRANGE(""https://docs.google.com/spreadsheets/d/14Bd19lYaqBhU8_DElYkX7l4wRkHqqCUFNJY4AfY3kHU/edit?usp=sharing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78" s="7" t="s">
        <v>10</v>
      </c>
      <c r="H14178" s="7">
        <v>18859</v>
      </c>
      <c r="I14178" s="8" t="str">
        <f ca="1">IFERROR(__xludf.DUMMYFUNCTION("IF
(
G14179=""фізична особа""
,
VLOOKUP(H14179,IMPORTRANGE(""https://docs.google.com/spreadsheets/d/14Bd19lYaqBhU8_DElYkX7l4wRkHqqCUFNJY4AfY3kHU/edit?usp=sharing  #gid=0"",""фіз особи new!relations_name""),6,FALSE)
,
(IF
(
G14179=""юридична особа""
,
VLOO"&amp;"KUP(H14179,IMPORTRANGE(""https://docs.google.com/spreadsheets/d/14Bd19lYaqBhU8_DElYkX7l4wRkHqqCUFNJY4AfY3kHU/edit?usp=sharing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178" s="7" t="s">
        <v>23</v>
      </c>
    </row>
    <row r="14179" spans="1:10" ht="13.2">
      <c r="A14179" s="7">
        <v>14178</v>
      </c>
      <c r="B14179" s="7">
        <v>1</v>
      </c>
      <c r="C14179" s="7" t="s">
        <v>10</v>
      </c>
      <c r="D14179" s="7">
        <v>18863</v>
      </c>
      <c r="E14179" s="7" t="s">
        <v>23</v>
      </c>
      <c r="F14179" s="8" t="str">
        <f ca="1">IFERROR(__xludf.DUMMYFUNCTION("IF
(
C14180=""фізична особа""
,
VLOOKUP(D14180,IMPORTRANGE(""https://docs.google.com/spreadsheets/d/14Bd19lYaqBhU8_DElYkX7l4wRkHqqCUFNJY4AfY3kHU/edit?usp=sharing  #gid=0"",""фіз особи new!relations_name""),6,FALSE)
,
(IF
(
C14180=""юридична особа""
,
VLOO"&amp;"KUP(D14180,IMPORTRANGE(""https://docs.google.com/spreadsheets/d/14Bd19lYaqBhU8_DElYkX7l4wRkHqqCUFNJY4AfY3kHU/edit?usp=sharing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79" s="7" t="s">
        <v>10</v>
      </c>
      <c r="H14179" s="7">
        <v>18860</v>
      </c>
      <c r="I14179" s="8" t="str">
        <f ca="1">IFERROR(__xludf.DUMMYFUNCTION("IF
(
G14180=""фізична особа""
,
VLOOKUP(H14180,IMPORTRANGE(""https://docs.google.com/spreadsheets/d/14Bd19lYaqBhU8_DElYkX7l4wRkHqqCUFNJY4AfY3kHU/edit?usp=sharing  #gid=0"",""фіз особи new!relations_name""),6,FALSE)
,
(IF
(
G14180=""юридична особа""
,
VLOO"&amp;"KUP(H14180,IMPORTRANGE(""https://docs.google.com/spreadsheets/d/14Bd19lYaqBhU8_DElYkX7l4wRkHqqCUFNJY4AfY3kHU/edit?usp=sharing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179" s="7" t="s">
        <v>23</v>
      </c>
    </row>
    <row r="14180" spans="1:10" ht="13.2">
      <c r="A14180" s="7">
        <v>14179</v>
      </c>
      <c r="B14180" s="7">
        <v>1</v>
      </c>
      <c r="C14180" s="7" t="s">
        <v>10</v>
      </c>
      <c r="D14180" s="7">
        <v>18863</v>
      </c>
      <c r="E14180" s="7" t="s">
        <v>23</v>
      </c>
      <c r="F14180" s="8" t="str">
        <f ca="1">IFERROR(__xludf.DUMMYFUNCTION("IF
(
C14181=""фізична особа""
,
VLOOKUP(D14181,IMPORTRANGE(""https://docs.google.com/spreadsheets/d/14Bd19lYaqBhU8_DElYkX7l4wRkHqqCUFNJY4AfY3kHU/edit?usp=sharing  #gid=0"",""фіз особи new!relations_name""),6,FALSE)
,
(IF
(
C14181=""юридична особа""
,
VLOO"&amp;"KUP(D14181,IMPORTRANGE(""https://docs.google.com/spreadsheets/d/14Bd19lYaqBhU8_DElYkX7l4wRkHqqCUFNJY4AfY3kHU/edit?usp=sharing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0" s="7" t="s">
        <v>10</v>
      </c>
      <c r="H14180" s="7">
        <v>18861</v>
      </c>
      <c r="I14180" s="8" t="str">
        <f ca="1">IFERROR(__xludf.DUMMYFUNCTION("IF
(
G14181=""фізична особа""
,
VLOOKUP(H14181,IMPORTRANGE(""https://docs.google.com/spreadsheets/d/14Bd19lYaqBhU8_DElYkX7l4wRkHqqCUFNJY4AfY3kHU/edit?usp=sharing  #gid=0"",""фіз особи new!relations_name""),6,FALSE)
,
(IF
(
G14181=""юридична особа""
,
VLOO"&amp;"KUP(H14181,IMPORTRANGE(""https://docs.google.com/spreadsheets/d/14Bd19lYaqBhU8_DElYkX7l4wRkHqqCUFNJY4AfY3kHU/edit?usp=sharing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180" s="7" t="s">
        <v>23</v>
      </c>
    </row>
    <row r="14181" spans="1:10" ht="13.2">
      <c r="A14181" s="7">
        <v>14180</v>
      </c>
      <c r="B14181" s="7">
        <v>1</v>
      </c>
      <c r="C14181" s="7" t="s">
        <v>10</v>
      </c>
      <c r="D14181" s="7">
        <v>18863</v>
      </c>
      <c r="E14181" s="7" t="s">
        <v>23</v>
      </c>
      <c r="F14181" s="8" t="str">
        <f ca="1">IFERROR(__xludf.DUMMYFUNCTION("IF
(
C14182=""фізична особа""
,
VLOOKUP(D14182,IMPORTRANGE(""https://docs.google.com/spreadsheets/d/14Bd19lYaqBhU8_DElYkX7l4wRkHqqCUFNJY4AfY3kHU/edit?usp=sharing  #gid=0"",""фіз особи new!relations_name""),6,FALSE)
,
(IF
(
C14182=""юридична особа""
,
VLOO"&amp;"KUP(D14182,IMPORTRANGE(""https://docs.google.com/spreadsheets/d/14Bd19lYaqBhU8_DElYkX7l4wRkHqqCUFNJY4AfY3kHU/edit?usp=sharing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1" s="7" t="s">
        <v>10</v>
      </c>
      <c r="H14181" s="7">
        <v>18862</v>
      </c>
      <c r="I14181" s="8" t="str">
        <f ca="1">IFERROR(__xludf.DUMMYFUNCTION("IF
(
G14182=""фізична особа""
,
VLOOKUP(H14182,IMPORTRANGE(""https://docs.google.com/spreadsheets/d/14Bd19lYaqBhU8_DElYkX7l4wRkHqqCUFNJY4AfY3kHU/edit?usp=sharing  #gid=0"",""фіз особи new!relations_name""),6,FALSE)
,
(IF
(
G14182=""юридична особа""
,
VLOO"&amp;"KUP(H14182,IMPORTRANGE(""https://docs.google.com/spreadsheets/d/14Bd19lYaqBhU8_DElYkX7l4wRkHqqCUFNJY4AfY3kHU/edit?usp=sharing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181" s="7" t="s">
        <v>23</v>
      </c>
    </row>
    <row r="14182" spans="1:10" ht="13.2">
      <c r="A14182" s="7">
        <v>14181</v>
      </c>
      <c r="B14182" s="7">
        <v>1</v>
      </c>
      <c r="C14182" s="7" t="s">
        <v>10</v>
      </c>
      <c r="D14182" s="7">
        <v>18863</v>
      </c>
      <c r="E14182" s="7" t="s">
        <v>23</v>
      </c>
      <c r="F14182" s="8" t="str">
        <f ca="1">IFERROR(__xludf.DUMMYFUNCTION("IF
(
C14183=""фізична особа""
,
VLOOKUP(D14183,IMPORTRANGE(""https://docs.google.com/spreadsheets/d/14Bd19lYaqBhU8_DElYkX7l4wRkHqqCUFNJY4AfY3kHU/edit?usp=sharing  #gid=0"",""фіз особи new!relations_name""),6,FALSE)
,
(IF
(
C14183=""юридична особа""
,
VLOO"&amp;"KUP(D14183,IMPORTRANGE(""https://docs.google.com/spreadsheets/d/14Bd19lYaqBhU8_DElYkX7l4wRkHqqCUFNJY4AfY3kHU/edit?usp=sharing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2" s="7" t="s">
        <v>10</v>
      </c>
      <c r="H14182" s="7">
        <v>18864</v>
      </c>
      <c r="I14182" s="8" t="str">
        <f ca="1">IFERROR(__xludf.DUMMYFUNCTION("IF
(
G14183=""фізична особа""
,
VLOOKUP(H14183,IMPORTRANGE(""https://docs.google.com/spreadsheets/d/14Bd19lYaqBhU8_DElYkX7l4wRkHqqCUFNJY4AfY3kHU/edit?usp=sharing  #gid=0"",""фіз особи new!relations_name""),6,FALSE)
,
(IF
(
G14183=""юридична особа""
,
VLOO"&amp;"KUP(H14183,IMPORTRANGE(""https://docs.google.com/spreadsheets/d/14Bd19lYaqBhU8_DElYkX7l4wRkHqqCUFNJY4AfY3kHU/edit?usp=sharing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182" s="7" t="s">
        <v>23</v>
      </c>
    </row>
    <row r="14183" spans="1:10" ht="13.2">
      <c r="A14183" s="7">
        <v>14182</v>
      </c>
      <c r="B14183" s="7">
        <v>1</v>
      </c>
      <c r="C14183" s="7" t="s">
        <v>10</v>
      </c>
      <c r="D14183" s="7">
        <v>18863</v>
      </c>
      <c r="E14183" s="7" t="s">
        <v>23</v>
      </c>
      <c r="F14183" s="8" t="str">
        <f ca="1">IFERROR(__xludf.DUMMYFUNCTION("IF
(
C14184=""фізична особа""
,
VLOOKUP(D14184,IMPORTRANGE(""https://docs.google.com/spreadsheets/d/14Bd19lYaqBhU8_DElYkX7l4wRkHqqCUFNJY4AfY3kHU/edit?usp=sharing  #gid=0"",""фіз особи new!relations_name""),6,FALSE)
,
(IF
(
C14184=""юридична особа""
,
VLOO"&amp;"KUP(D14184,IMPORTRANGE(""https://docs.google.com/spreadsheets/d/14Bd19lYaqBhU8_DElYkX7l4wRkHqqCUFNJY4AfY3kHU/edit?usp=sharing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3" s="7" t="s">
        <v>10</v>
      </c>
      <c r="H14183" s="7">
        <v>18865</v>
      </c>
      <c r="I14183" s="8" t="str">
        <f ca="1">IFERROR(__xludf.DUMMYFUNCTION("IF
(
G14184=""фізична особа""
,
VLOOKUP(H14184,IMPORTRANGE(""https://docs.google.com/spreadsheets/d/14Bd19lYaqBhU8_DElYkX7l4wRkHqqCUFNJY4AfY3kHU/edit?usp=sharing  #gid=0"",""фіз особи new!relations_name""),6,FALSE)
,
(IF
(
G14184=""юридична особа""
,
VLOO"&amp;"KUP(H14184,IMPORTRANGE(""https://docs.google.com/spreadsheets/d/14Bd19lYaqBhU8_DElYkX7l4wRkHqqCUFNJY4AfY3kHU/edit?usp=sharing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83" s="7" t="s">
        <v>23</v>
      </c>
    </row>
    <row r="14184" spans="1:10" ht="13.2">
      <c r="A14184" s="7">
        <v>14183</v>
      </c>
      <c r="B14184" s="7">
        <v>1</v>
      </c>
      <c r="C14184" s="7" t="s">
        <v>10</v>
      </c>
      <c r="D14184" s="7">
        <v>18863</v>
      </c>
      <c r="E14184" s="7" t="s">
        <v>23</v>
      </c>
      <c r="F14184" s="8" t="str">
        <f ca="1">IFERROR(__xludf.DUMMYFUNCTION("IF
(
C14185=""фізична особа""
,
VLOOKUP(D14185,IMPORTRANGE(""https://docs.google.com/spreadsheets/d/14Bd19lYaqBhU8_DElYkX7l4wRkHqqCUFNJY4AfY3kHU/edit?usp=sharing  #gid=0"",""фіз особи new!relations_name""),6,FALSE)
,
(IF
(
C14185=""юридична особа""
,
VLOO"&amp;"KUP(D14185,IMPORTRANGE(""https://docs.google.com/spreadsheets/d/14Bd19lYaqBhU8_DElYkX7l4wRkHqqCUFNJY4AfY3kHU/edit?usp=sharing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4" s="7" t="s">
        <v>10</v>
      </c>
      <c r="H14184" s="7">
        <v>19116</v>
      </c>
      <c r="I14184" s="8" t="str">
        <f ca="1">IFERROR(__xludf.DUMMYFUNCTION("IF
(
G14185=""фізична особа""
,
VLOOKUP(H14185,IMPORTRANGE(""https://docs.google.com/spreadsheets/d/14Bd19lYaqBhU8_DElYkX7l4wRkHqqCUFNJY4AfY3kHU/edit?usp=sharing  #gid=0"",""фіз особи new!relations_name""),6,FALSE)
,
(IF
(
G14185=""юридична особа""
,
VLOO"&amp;"KUP(H14185,IMPORTRANGE(""https://docs.google.com/spreadsheets/d/14Bd19lYaqBhU8_DElYkX7l4wRkHqqCUFNJY4AfY3kHU/edit?usp=sharing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84" s="7" t="s">
        <v>23</v>
      </c>
    </row>
    <row r="14185" spans="1:10" ht="13.2">
      <c r="A14185" s="7">
        <v>14184</v>
      </c>
      <c r="B14185" s="7">
        <v>1</v>
      </c>
      <c r="C14185" s="7" t="s">
        <v>10</v>
      </c>
      <c r="D14185" s="7">
        <v>18863</v>
      </c>
      <c r="E14185" s="7" t="s">
        <v>23</v>
      </c>
      <c r="F14185" s="8" t="str">
        <f ca="1">IFERROR(__xludf.DUMMYFUNCTION("IF
(
C14186=""фізична особа""
,
VLOOKUP(D14186,IMPORTRANGE(""https://docs.google.com/spreadsheets/d/14Bd19lYaqBhU8_DElYkX7l4wRkHqqCUFNJY4AfY3kHU/edit?usp=sharing  #gid=0"",""фіз особи new!relations_name""),6,FALSE)
,
(IF
(
C14186=""юридична особа""
,
VLOO"&amp;"KUP(D14186,IMPORTRANGE(""https://docs.google.com/spreadsheets/d/14Bd19lYaqBhU8_DElYkX7l4wRkHqqCUFNJY4AfY3kHU/edit?usp=sharing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5" s="7" t="s">
        <v>10</v>
      </c>
      <c r="H14185" s="7">
        <v>19117</v>
      </c>
      <c r="I14185" s="8" t="str">
        <f ca="1">IFERROR(__xludf.DUMMYFUNCTION("IF
(
G14186=""фізична особа""
,
VLOOKUP(H14186,IMPORTRANGE(""https://docs.google.com/spreadsheets/d/14Bd19lYaqBhU8_DElYkX7l4wRkHqqCUFNJY4AfY3kHU/edit?usp=sharing  #gid=0"",""фіз особи new!relations_name""),6,FALSE)
,
(IF
(
G14186=""юридична особа""
,
VLOO"&amp;"KUP(H14186,IMPORTRANGE(""https://docs.google.com/spreadsheets/d/14Bd19lYaqBhU8_DElYkX7l4wRkHqqCUFNJY4AfY3kHU/edit?usp=sharing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85" s="7" t="s">
        <v>23</v>
      </c>
    </row>
    <row r="14186" spans="1:10" ht="13.2">
      <c r="A14186" s="7">
        <v>14185</v>
      </c>
      <c r="B14186" s="7">
        <v>1</v>
      </c>
      <c r="C14186" s="7" t="s">
        <v>10</v>
      </c>
      <c r="D14186" s="7">
        <v>18863</v>
      </c>
      <c r="E14186" s="7" t="s">
        <v>23</v>
      </c>
      <c r="F14186" s="8" t="str">
        <f ca="1">IFERROR(__xludf.DUMMYFUNCTION("IF
(
C14187=""фізична особа""
,
VLOOKUP(D14187,IMPORTRANGE(""https://docs.google.com/spreadsheets/d/14Bd19lYaqBhU8_DElYkX7l4wRkHqqCUFNJY4AfY3kHU/edit?usp=sharing  #gid=0"",""фіз особи new!relations_name""),6,FALSE)
,
(IF
(
C14187=""юридична особа""
,
VLOO"&amp;"KUP(D14187,IMPORTRANGE(""https://docs.google.com/spreadsheets/d/14Bd19lYaqBhU8_DElYkX7l4wRkHqqCUFNJY4AfY3kHU/edit?usp=sharing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6" s="7" t="s">
        <v>10</v>
      </c>
      <c r="H14186" s="7">
        <v>19118</v>
      </c>
      <c r="I14186" s="8" t="str">
        <f ca="1">IFERROR(__xludf.DUMMYFUNCTION("IF
(
G14187=""фізична особа""
,
VLOOKUP(H14187,IMPORTRANGE(""https://docs.google.com/spreadsheets/d/14Bd19lYaqBhU8_DElYkX7l4wRkHqqCUFNJY4AfY3kHU/edit?usp=sharing  #gid=0"",""фіз особи new!relations_name""),6,FALSE)
,
(IF
(
G14187=""юридична особа""
,
VLOO"&amp;"KUP(H14187,IMPORTRANGE(""https://docs.google.com/spreadsheets/d/14Bd19lYaqBhU8_DElYkX7l4wRkHqqCUFNJY4AfY3kHU/edit?usp=sharing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86" s="7" t="s">
        <v>23</v>
      </c>
    </row>
    <row r="14187" spans="1:10" ht="13.2">
      <c r="A14187" s="7">
        <v>14186</v>
      </c>
      <c r="B14187" s="7">
        <v>1</v>
      </c>
      <c r="C14187" s="7" t="s">
        <v>10</v>
      </c>
      <c r="D14187" s="7">
        <v>18863</v>
      </c>
      <c r="E14187" s="7" t="s">
        <v>23</v>
      </c>
      <c r="F14187" s="8" t="str">
        <f ca="1">IFERROR(__xludf.DUMMYFUNCTION("IF
(
C14188=""фізична особа""
,
VLOOKUP(D14188,IMPORTRANGE(""https://docs.google.com/spreadsheets/d/14Bd19lYaqBhU8_DElYkX7l4wRkHqqCUFNJY4AfY3kHU/edit?usp=sharing  #gid=0"",""фіз особи new!relations_name""),6,FALSE)
,
(IF
(
C14188=""юридична особа""
,
VLOO"&amp;"KUP(D14188,IMPORTRANGE(""https://docs.google.com/spreadsheets/d/14Bd19lYaqBhU8_DElYkX7l4wRkHqqCUFNJY4AfY3kHU/edit?usp=sharing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7" s="7" t="s">
        <v>10</v>
      </c>
      <c r="H14187" s="7">
        <v>19119</v>
      </c>
      <c r="I14187" s="8" t="str">
        <f ca="1">IFERROR(__xludf.DUMMYFUNCTION("IF
(
G14188=""фізична особа""
,
VLOOKUP(H14188,IMPORTRANGE(""https://docs.google.com/spreadsheets/d/14Bd19lYaqBhU8_DElYkX7l4wRkHqqCUFNJY4AfY3kHU/edit?usp=sharing  #gid=0"",""фіз особи new!relations_name""),6,FALSE)
,
(IF
(
G14188=""юридична особа""
,
VLOO"&amp;"KUP(H14188,IMPORTRANGE(""https://docs.google.com/spreadsheets/d/14Bd19lYaqBhU8_DElYkX7l4wRkHqqCUFNJY4AfY3kHU/edit?usp=sharing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87" s="7" t="s">
        <v>23</v>
      </c>
    </row>
    <row r="14188" spans="1:10" ht="13.2">
      <c r="A14188" s="7">
        <v>14187</v>
      </c>
      <c r="B14188" s="7">
        <v>1</v>
      </c>
      <c r="C14188" s="7" t="s">
        <v>10</v>
      </c>
      <c r="D14188" s="7">
        <v>18863</v>
      </c>
      <c r="E14188" s="7" t="s">
        <v>23</v>
      </c>
      <c r="F14188" s="8" t="str">
        <f ca="1">IFERROR(__xludf.DUMMYFUNCTION("IF
(
C14189=""фізична особа""
,
VLOOKUP(D14189,IMPORTRANGE(""https://docs.google.com/spreadsheets/d/14Bd19lYaqBhU8_DElYkX7l4wRkHqqCUFNJY4AfY3kHU/edit?usp=sharing  #gid=0"",""фіз особи new!relations_name""),6,FALSE)
,
(IF
(
C14189=""юридична особа""
,
VLOO"&amp;"KUP(D14189,IMPORTRANGE(""https://docs.google.com/spreadsheets/d/14Bd19lYaqBhU8_DElYkX7l4wRkHqqCUFNJY4AfY3kHU/edit?usp=sharing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G14188" s="7" t="s">
        <v>10</v>
      </c>
      <c r="H14188" s="7">
        <v>19120</v>
      </c>
      <c r="I14188" s="8" t="str">
        <f ca="1">IFERROR(__xludf.DUMMYFUNCTION("IF
(
G14189=""фізична особа""
,
VLOOKUP(H14189,IMPORTRANGE(""https://docs.google.com/spreadsheets/d/14Bd19lYaqBhU8_DElYkX7l4wRkHqqCUFNJY4AfY3kHU/edit?usp=sharing  #gid=0"",""фіз особи new!relations_name""),6,FALSE)
,
(IF
(
G14189=""юридична особа""
,
VLOO"&amp;"KUP(H14189,IMPORTRANGE(""https://docs.google.com/spreadsheets/d/14Bd19lYaqBhU8_DElYkX7l4wRkHqqCUFNJY4AfY3kHU/edit?usp=sharing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88" s="7" t="s">
        <v>23</v>
      </c>
    </row>
    <row r="14189" spans="1:10" ht="13.2">
      <c r="A14189" s="7">
        <v>14188</v>
      </c>
      <c r="B14189" s="7">
        <v>1</v>
      </c>
      <c r="C14189" s="7" t="s">
        <v>10</v>
      </c>
      <c r="D14189" s="7">
        <v>18864</v>
      </c>
      <c r="E14189" s="7" t="s">
        <v>23</v>
      </c>
      <c r="F14189" s="8" t="str">
        <f ca="1">IFERROR(__xludf.DUMMYFUNCTION("IF
(
C14190=""фізична особа""
,
VLOOKUP(D14190,IMPORTRANGE(""https://docs.google.com/spreadsheets/d/14Bd19lYaqBhU8_DElYkX7l4wRkHqqCUFNJY4AfY3kHU/edit?usp=sharing  #gid=0"",""фіз особи new!relations_name""),6,FALSE)
,
(IF
(
C14190=""юридична особа""
,
VLOO"&amp;"KUP(D14190,IMPORTRANGE(""https://docs.google.com/spreadsheets/d/14Bd19lYaqBhU8_DElYkX7l4wRkHqqCUFNJY4AfY3kHU/edit?usp=sharing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89" s="7" t="s">
        <v>10</v>
      </c>
      <c r="H14189" s="7">
        <v>18859</v>
      </c>
      <c r="I14189" s="8" t="str">
        <f ca="1">IFERROR(__xludf.DUMMYFUNCTION("IF
(
G14190=""фізична особа""
,
VLOOKUP(H14190,IMPORTRANGE(""https://docs.google.com/spreadsheets/d/14Bd19lYaqBhU8_DElYkX7l4wRkHqqCUFNJY4AfY3kHU/edit?usp=sharing  #gid=0"",""фіз особи new!relations_name""),6,FALSE)
,
(IF
(
G14190=""юридична особа""
,
VLOO"&amp;"KUP(H14190,IMPORTRANGE(""https://docs.google.com/spreadsheets/d/14Bd19lYaqBhU8_DElYkX7l4wRkHqqCUFNJY4AfY3kHU/edit?usp=sharing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189" s="7" t="s">
        <v>23</v>
      </c>
    </row>
    <row r="14190" spans="1:10" ht="13.2">
      <c r="A14190" s="7">
        <v>14189</v>
      </c>
      <c r="B14190" s="7">
        <v>1</v>
      </c>
      <c r="C14190" s="7" t="s">
        <v>10</v>
      </c>
      <c r="D14190" s="7">
        <v>18864</v>
      </c>
      <c r="E14190" s="7" t="s">
        <v>23</v>
      </c>
      <c r="F14190" s="8" t="str">
        <f ca="1">IFERROR(__xludf.DUMMYFUNCTION("IF
(
C14191=""фізична особа""
,
VLOOKUP(D14191,IMPORTRANGE(""https://docs.google.com/spreadsheets/d/14Bd19lYaqBhU8_DElYkX7l4wRkHqqCUFNJY4AfY3kHU/edit?usp=sharing  #gid=0"",""фіз особи new!relations_name""),6,FALSE)
,
(IF
(
C14191=""юридична особа""
,
VLOO"&amp;"KUP(D14191,IMPORTRANGE(""https://docs.google.com/spreadsheets/d/14Bd19lYaqBhU8_DElYkX7l4wRkHqqCUFNJY4AfY3kHU/edit?usp=sharing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0" s="7" t="s">
        <v>10</v>
      </c>
      <c r="H14190" s="7">
        <v>18860</v>
      </c>
      <c r="I14190" s="8" t="str">
        <f ca="1">IFERROR(__xludf.DUMMYFUNCTION("IF
(
G14191=""фізична особа""
,
VLOOKUP(H14191,IMPORTRANGE(""https://docs.google.com/spreadsheets/d/14Bd19lYaqBhU8_DElYkX7l4wRkHqqCUFNJY4AfY3kHU/edit?usp=sharing  #gid=0"",""фіз особи new!relations_name""),6,FALSE)
,
(IF
(
G14191=""юридична особа""
,
VLOO"&amp;"KUP(H14191,IMPORTRANGE(""https://docs.google.com/spreadsheets/d/14Bd19lYaqBhU8_DElYkX7l4wRkHqqCUFNJY4AfY3kHU/edit?usp=sharing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190" s="7" t="s">
        <v>23</v>
      </c>
    </row>
    <row r="14191" spans="1:10" ht="13.2">
      <c r="A14191" s="7">
        <v>14190</v>
      </c>
      <c r="B14191" s="7">
        <v>1</v>
      </c>
      <c r="C14191" s="7" t="s">
        <v>10</v>
      </c>
      <c r="D14191" s="7">
        <v>18864</v>
      </c>
      <c r="E14191" s="7" t="s">
        <v>23</v>
      </c>
      <c r="F14191" s="8" t="str">
        <f ca="1">IFERROR(__xludf.DUMMYFUNCTION("IF
(
C14192=""фізична особа""
,
VLOOKUP(D14192,IMPORTRANGE(""https://docs.google.com/spreadsheets/d/14Bd19lYaqBhU8_DElYkX7l4wRkHqqCUFNJY4AfY3kHU/edit?usp=sharing  #gid=0"",""фіз особи new!relations_name""),6,FALSE)
,
(IF
(
C14192=""юридична особа""
,
VLOO"&amp;"KUP(D14192,IMPORTRANGE(""https://docs.google.com/spreadsheets/d/14Bd19lYaqBhU8_DElYkX7l4wRkHqqCUFNJY4AfY3kHU/edit?usp=sharing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1" s="7" t="s">
        <v>10</v>
      </c>
      <c r="H14191" s="7">
        <v>18861</v>
      </c>
      <c r="I14191" s="8" t="str">
        <f ca="1">IFERROR(__xludf.DUMMYFUNCTION("IF
(
G14192=""фізична особа""
,
VLOOKUP(H14192,IMPORTRANGE(""https://docs.google.com/spreadsheets/d/14Bd19lYaqBhU8_DElYkX7l4wRkHqqCUFNJY4AfY3kHU/edit?usp=sharing  #gid=0"",""фіз особи new!relations_name""),6,FALSE)
,
(IF
(
G14192=""юридична особа""
,
VLOO"&amp;"KUP(H14192,IMPORTRANGE(""https://docs.google.com/spreadsheets/d/14Bd19lYaqBhU8_DElYkX7l4wRkHqqCUFNJY4AfY3kHU/edit?usp=sharing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191" s="7" t="s">
        <v>23</v>
      </c>
    </row>
    <row r="14192" spans="1:10" ht="13.2">
      <c r="A14192" s="7">
        <v>14191</v>
      </c>
      <c r="B14192" s="7">
        <v>1</v>
      </c>
      <c r="C14192" s="7" t="s">
        <v>10</v>
      </c>
      <c r="D14192" s="7">
        <v>18864</v>
      </c>
      <c r="E14192" s="7" t="s">
        <v>23</v>
      </c>
      <c r="F14192" s="8" t="str">
        <f ca="1">IFERROR(__xludf.DUMMYFUNCTION("IF
(
C14193=""фізична особа""
,
VLOOKUP(D14193,IMPORTRANGE(""https://docs.google.com/spreadsheets/d/14Bd19lYaqBhU8_DElYkX7l4wRkHqqCUFNJY4AfY3kHU/edit?usp=sharing  #gid=0"",""фіз особи new!relations_name""),6,FALSE)
,
(IF
(
C14193=""юридична особа""
,
VLOO"&amp;"KUP(D14193,IMPORTRANGE(""https://docs.google.com/spreadsheets/d/14Bd19lYaqBhU8_DElYkX7l4wRkHqqCUFNJY4AfY3kHU/edit?usp=sharing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2" s="7" t="s">
        <v>10</v>
      </c>
      <c r="H14192" s="7">
        <v>18862</v>
      </c>
      <c r="I14192" s="8" t="str">
        <f ca="1">IFERROR(__xludf.DUMMYFUNCTION("IF
(
G14193=""фізична особа""
,
VLOOKUP(H14193,IMPORTRANGE(""https://docs.google.com/spreadsheets/d/14Bd19lYaqBhU8_DElYkX7l4wRkHqqCUFNJY4AfY3kHU/edit?usp=sharing  #gid=0"",""фіз особи new!relations_name""),6,FALSE)
,
(IF
(
G14193=""юридична особа""
,
VLOO"&amp;"KUP(H14193,IMPORTRANGE(""https://docs.google.com/spreadsheets/d/14Bd19lYaqBhU8_DElYkX7l4wRkHqqCUFNJY4AfY3kHU/edit?usp=sharing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192" s="7" t="s">
        <v>23</v>
      </c>
    </row>
    <row r="14193" spans="1:10" ht="13.2">
      <c r="A14193" s="7">
        <v>14192</v>
      </c>
      <c r="B14193" s="7">
        <v>1</v>
      </c>
      <c r="C14193" s="7" t="s">
        <v>10</v>
      </c>
      <c r="D14193" s="7">
        <v>18864</v>
      </c>
      <c r="E14193" s="7" t="s">
        <v>23</v>
      </c>
      <c r="F14193" s="8" t="str">
        <f ca="1">IFERROR(__xludf.DUMMYFUNCTION("IF
(
C14194=""фізична особа""
,
VLOOKUP(D14194,IMPORTRANGE(""https://docs.google.com/spreadsheets/d/14Bd19lYaqBhU8_DElYkX7l4wRkHqqCUFNJY4AfY3kHU/edit?usp=sharing  #gid=0"",""фіз особи new!relations_name""),6,FALSE)
,
(IF
(
C14194=""юридична особа""
,
VLOO"&amp;"KUP(D14194,IMPORTRANGE(""https://docs.google.com/spreadsheets/d/14Bd19lYaqBhU8_DElYkX7l4wRkHqqCUFNJY4AfY3kHU/edit?usp=sharing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3" s="7" t="s">
        <v>10</v>
      </c>
      <c r="H14193" s="7">
        <v>18863</v>
      </c>
      <c r="I14193" s="8" t="str">
        <f ca="1">IFERROR(__xludf.DUMMYFUNCTION("IF
(
G14194=""фізична особа""
,
VLOOKUP(H14194,IMPORTRANGE(""https://docs.google.com/spreadsheets/d/14Bd19lYaqBhU8_DElYkX7l4wRkHqqCUFNJY4AfY3kHU/edit?usp=sharing  #gid=0"",""фіз особи new!relations_name""),6,FALSE)
,
(IF
(
G14194=""юридична особа""
,
VLOO"&amp;"KUP(H14194,IMPORTRANGE(""https://docs.google.com/spreadsheets/d/14Bd19lYaqBhU8_DElYkX7l4wRkHqqCUFNJY4AfY3kHU/edit?usp=sharing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193" s="7" t="s">
        <v>23</v>
      </c>
    </row>
    <row r="14194" spans="1:10" ht="13.2">
      <c r="A14194" s="7">
        <v>14193</v>
      </c>
      <c r="B14194" s="7">
        <v>1</v>
      </c>
      <c r="C14194" s="7" t="s">
        <v>10</v>
      </c>
      <c r="D14194" s="7">
        <v>18864</v>
      </c>
      <c r="E14194" s="7" t="s">
        <v>23</v>
      </c>
      <c r="F14194" s="8" t="str">
        <f ca="1">IFERROR(__xludf.DUMMYFUNCTION("IF
(
C14195=""фізична особа""
,
VLOOKUP(D14195,IMPORTRANGE(""https://docs.google.com/spreadsheets/d/14Bd19lYaqBhU8_DElYkX7l4wRkHqqCUFNJY4AfY3kHU/edit?usp=sharing  #gid=0"",""фіз особи new!relations_name""),6,FALSE)
,
(IF
(
C14195=""юридична особа""
,
VLOO"&amp;"KUP(D14195,IMPORTRANGE(""https://docs.google.com/spreadsheets/d/14Bd19lYaqBhU8_DElYkX7l4wRkHqqCUFNJY4AfY3kHU/edit?usp=sharing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4" s="7" t="s">
        <v>10</v>
      </c>
      <c r="H14194" s="7">
        <v>18865</v>
      </c>
      <c r="I14194" s="8" t="str">
        <f ca="1">IFERROR(__xludf.DUMMYFUNCTION("IF
(
G14195=""фізична особа""
,
VLOOKUP(H14195,IMPORTRANGE(""https://docs.google.com/spreadsheets/d/14Bd19lYaqBhU8_DElYkX7l4wRkHqqCUFNJY4AfY3kHU/edit?usp=sharing  #gid=0"",""фіз особи new!relations_name""),6,FALSE)
,
(IF
(
G14195=""юридична особа""
,
VLOO"&amp;"KUP(H14195,IMPORTRANGE(""https://docs.google.com/spreadsheets/d/14Bd19lYaqBhU8_DElYkX7l4wRkHqqCUFNJY4AfY3kHU/edit?usp=sharing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194" s="7" t="s">
        <v>23</v>
      </c>
    </row>
    <row r="14195" spans="1:10" ht="13.2">
      <c r="A14195" s="7">
        <v>14194</v>
      </c>
      <c r="B14195" s="7">
        <v>1</v>
      </c>
      <c r="C14195" s="7" t="s">
        <v>10</v>
      </c>
      <c r="D14195" s="7">
        <v>18864</v>
      </c>
      <c r="E14195" s="7" t="s">
        <v>23</v>
      </c>
      <c r="F14195" s="8" t="str">
        <f ca="1">IFERROR(__xludf.DUMMYFUNCTION("IF
(
C14196=""фізична особа""
,
VLOOKUP(D14196,IMPORTRANGE(""https://docs.google.com/spreadsheets/d/14Bd19lYaqBhU8_DElYkX7l4wRkHqqCUFNJY4AfY3kHU/edit?usp=sharing  #gid=0"",""фіз особи new!relations_name""),6,FALSE)
,
(IF
(
C14196=""юридична особа""
,
VLOO"&amp;"KUP(D14196,IMPORTRANGE(""https://docs.google.com/spreadsheets/d/14Bd19lYaqBhU8_DElYkX7l4wRkHqqCUFNJY4AfY3kHU/edit?usp=sharing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5" s="7" t="s">
        <v>10</v>
      </c>
      <c r="H14195" s="7">
        <v>19116</v>
      </c>
      <c r="I14195" s="8" t="str">
        <f ca="1">IFERROR(__xludf.DUMMYFUNCTION("IF
(
G14196=""фізична особа""
,
VLOOKUP(H14196,IMPORTRANGE(""https://docs.google.com/spreadsheets/d/14Bd19lYaqBhU8_DElYkX7l4wRkHqqCUFNJY4AfY3kHU/edit?usp=sharing  #gid=0"",""фіз особи new!relations_name""),6,FALSE)
,
(IF
(
G14196=""юридична особа""
,
VLOO"&amp;"KUP(H14196,IMPORTRANGE(""https://docs.google.com/spreadsheets/d/14Bd19lYaqBhU8_DElYkX7l4wRkHqqCUFNJY4AfY3kHU/edit?usp=sharing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195" s="7" t="s">
        <v>23</v>
      </c>
    </row>
    <row r="14196" spans="1:10" ht="13.2">
      <c r="A14196" s="7">
        <v>14195</v>
      </c>
      <c r="B14196" s="7">
        <v>1</v>
      </c>
      <c r="C14196" s="7" t="s">
        <v>10</v>
      </c>
      <c r="D14196" s="7">
        <v>18864</v>
      </c>
      <c r="E14196" s="7" t="s">
        <v>23</v>
      </c>
      <c r="F14196" s="8" t="str">
        <f ca="1">IFERROR(__xludf.DUMMYFUNCTION("IF
(
C14197=""фізична особа""
,
VLOOKUP(D14197,IMPORTRANGE(""https://docs.google.com/spreadsheets/d/14Bd19lYaqBhU8_DElYkX7l4wRkHqqCUFNJY4AfY3kHU/edit?usp=sharing  #gid=0"",""фіз особи new!relations_name""),6,FALSE)
,
(IF
(
C14197=""юридична особа""
,
VLOO"&amp;"KUP(D14197,IMPORTRANGE(""https://docs.google.com/spreadsheets/d/14Bd19lYaqBhU8_DElYkX7l4wRkHqqCUFNJY4AfY3kHU/edit?usp=sharing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6" s="7" t="s">
        <v>10</v>
      </c>
      <c r="H14196" s="7">
        <v>19117</v>
      </c>
      <c r="I14196" s="8" t="str">
        <f ca="1">IFERROR(__xludf.DUMMYFUNCTION("IF
(
G14197=""фізична особа""
,
VLOOKUP(H14197,IMPORTRANGE(""https://docs.google.com/spreadsheets/d/14Bd19lYaqBhU8_DElYkX7l4wRkHqqCUFNJY4AfY3kHU/edit?usp=sharing  #gid=0"",""фіз особи new!relations_name""),6,FALSE)
,
(IF
(
G14197=""юридична особа""
,
VLOO"&amp;"KUP(H14197,IMPORTRANGE(""https://docs.google.com/spreadsheets/d/14Bd19lYaqBhU8_DElYkX7l4wRkHqqCUFNJY4AfY3kHU/edit?usp=sharing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196" s="7" t="s">
        <v>23</v>
      </c>
    </row>
    <row r="14197" spans="1:10" ht="13.2">
      <c r="A14197" s="7">
        <v>14196</v>
      </c>
      <c r="B14197" s="7">
        <v>1</v>
      </c>
      <c r="C14197" s="7" t="s">
        <v>10</v>
      </c>
      <c r="D14197" s="7">
        <v>18864</v>
      </c>
      <c r="E14197" s="7" t="s">
        <v>23</v>
      </c>
      <c r="F14197" s="8" t="str">
        <f ca="1">IFERROR(__xludf.DUMMYFUNCTION("IF
(
C14198=""фізична особа""
,
VLOOKUP(D14198,IMPORTRANGE(""https://docs.google.com/spreadsheets/d/14Bd19lYaqBhU8_DElYkX7l4wRkHqqCUFNJY4AfY3kHU/edit?usp=sharing  #gid=0"",""фіз особи new!relations_name""),6,FALSE)
,
(IF
(
C14198=""юридична особа""
,
VLOO"&amp;"KUP(D14198,IMPORTRANGE(""https://docs.google.com/spreadsheets/d/14Bd19lYaqBhU8_DElYkX7l4wRkHqqCUFNJY4AfY3kHU/edit?usp=sharing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7" s="7" t="s">
        <v>10</v>
      </c>
      <c r="H14197" s="7">
        <v>19118</v>
      </c>
      <c r="I14197" s="8" t="str">
        <f ca="1">IFERROR(__xludf.DUMMYFUNCTION("IF
(
G14198=""фізична особа""
,
VLOOKUP(H14198,IMPORTRANGE(""https://docs.google.com/spreadsheets/d/14Bd19lYaqBhU8_DElYkX7l4wRkHqqCUFNJY4AfY3kHU/edit?usp=sharing  #gid=0"",""фіз особи new!relations_name""),6,FALSE)
,
(IF
(
G14198=""юридична особа""
,
VLOO"&amp;"KUP(H14198,IMPORTRANGE(""https://docs.google.com/spreadsheets/d/14Bd19lYaqBhU8_DElYkX7l4wRkHqqCUFNJY4AfY3kHU/edit?usp=sharing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197" s="7" t="s">
        <v>23</v>
      </c>
    </row>
    <row r="14198" spans="1:10" ht="13.2">
      <c r="A14198" s="7">
        <v>14197</v>
      </c>
      <c r="B14198" s="7">
        <v>1</v>
      </c>
      <c r="C14198" s="7" t="s">
        <v>10</v>
      </c>
      <c r="D14198" s="7">
        <v>18864</v>
      </c>
      <c r="E14198" s="7" t="s">
        <v>23</v>
      </c>
      <c r="F14198" s="8" t="str">
        <f ca="1">IFERROR(__xludf.DUMMYFUNCTION("IF
(
C14199=""фізична особа""
,
VLOOKUP(D14199,IMPORTRANGE(""https://docs.google.com/spreadsheets/d/14Bd19lYaqBhU8_DElYkX7l4wRkHqqCUFNJY4AfY3kHU/edit?usp=sharing  #gid=0"",""фіз особи new!relations_name""),6,FALSE)
,
(IF
(
C14199=""юридична особа""
,
VLOO"&amp;"KUP(D14199,IMPORTRANGE(""https://docs.google.com/spreadsheets/d/14Bd19lYaqBhU8_DElYkX7l4wRkHqqCUFNJY4AfY3kHU/edit?usp=sharing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8" s="7" t="s">
        <v>10</v>
      </c>
      <c r="H14198" s="7">
        <v>19119</v>
      </c>
      <c r="I14198" s="8" t="str">
        <f ca="1">IFERROR(__xludf.DUMMYFUNCTION("IF
(
G14199=""фізична особа""
,
VLOOKUP(H14199,IMPORTRANGE(""https://docs.google.com/spreadsheets/d/14Bd19lYaqBhU8_DElYkX7l4wRkHqqCUFNJY4AfY3kHU/edit?usp=sharing  #gid=0"",""фіз особи new!relations_name""),6,FALSE)
,
(IF
(
G14199=""юридична особа""
,
VLOO"&amp;"KUP(H14199,IMPORTRANGE(""https://docs.google.com/spreadsheets/d/14Bd19lYaqBhU8_DElYkX7l4wRkHqqCUFNJY4AfY3kHU/edit?usp=sharing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198" s="7" t="s">
        <v>23</v>
      </c>
    </row>
    <row r="14199" spans="1:10" ht="13.2">
      <c r="A14199" s="7">
        <v>14198</v>
      </c>
      <c r="B14199" s="7">
        <v>1</v>
      </c>
      <c r="C14199" s="7" t="s">
        <v>10</v>
      </c>
      <c r="D14199" s="7">
        <v>18864</v>
      </c>
      <c r="E14199" s="7" t="s">
        <v>23</v>
      </c>
      <c r="F14199" s="8" t="str">
        <f ca="1">IFERROR(__xludf.DUMMYFUNCTION("IF
(
C14200=""фізична особа""
,
VLOOKUP(D14200,IMPORTRANGE(""https://docs.google.com/spreadsheets/d/14Bd19lYaqBhU8_DElYkX7l4wRkHqqCUFNJY4AfY3kHU/edit?usp=sharing  #gid=0"",""фіз особи new!relations_name""),6,FALSE)
,
(IF
(
C14200=""юридична особа""
,
VLOO"&amp;"KUP(D14200,IMPORTRANGE(""https://docs.google.com/spreadsheets/d/14Bd19lYaqBhU8_DElYkX7l4wRkHqqCUFNJY4AfY3kHU/edit?usp=sharing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G14199" s="7" t="s">
        <v>10</v>
      </c>
      <c r="H14199" s="7">
        <v>19120</v>
      </c>
      <c r="I14199" s="8" t="str">
        <f ca="1">IFERROR(__xludf.DUMMYFUNCTION("IF
(
G14200=""фізична особа""
,
VLOOKUP(H14200,IMPORTRANGE(""https://docs.google.com/spreadsheets/d/14Bd19lYaqBhU8_DElYkX7l4wRkHqqCUFNJY4AfY3kHU/edit?usp=sharing  #gid=0"",""фіз особи new!relations_name""),6,FALSE)
,
(IF
(
G14200=""юридична особа""
,
VLOO"&amp;"KUP(H14200,IMPORTRANGE(""https://docs.google.com/spreadsheets/d/14Bd19lYaqBhU8_DElYkX7l4wRkHqqCUFNJY4AfY3kHU/edit?usp=sharing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199" s="7" t="s">
        <v>23</v>
      </c>
    </row>
    <row r="14200" spans="1:10" ht="13.2">
      <c r="A14200" s="7">
        <v>14199</v>
      </c>
      <c r="B14200" s="7">
        <v>1</v>
      </c>
      <c r="C14200" s="7" t="s">
        <v>10</v>
      </c>
      <c r="D14200" s="7">
        <v>18865</v>
      </c>
      <c r="E14200" s="7" t="s">
        <v>23</v>
      </c>
      <c r="F14200" s="8" t="str">
        <f ca="1">IFERROR(__xludf.DUMMYFUNCTION("IF
(
C14201=""фізична особа""
,
VLOOKUP(D14201,IMPORTRANGE(""https://docs.google.com/spreadsheets/d/14Bd19lYaqBhU8_DElYkX7l4wRkHqqCUFNJY4AfY3kHU/edit?usp=sharing  #gid=0"",""фіз особи new!relations_name""),6,FALSE)
,
(IF
(
C14201=""юридична особа""
,
VLOO"&amp;"KUP(D14201,IMPORTRANGE(""https://docs.google.com/spreadsheets/d/14Bd19lYaqBhU8_DElYkX7l4wRkHqqCUFNJY4AfY3kHU/edit?usp=sharing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0" s="7" t="s">
        <v>10</v>
      </c>
      <c r="H14200" s="7">
        <v>18859</v>
      </c>
      <c r="I14200" s="8" t="str">
        <f ca="1">IFERROR(__xludf.DUMMYFUNCTION("IF
(
G14201=""фізична особа""
,
VLOOKUP(H14201,IMPORTRANGE(""https://docs.google.com/spreadsheets/d/14Bd19lYaqBhU8_DElYkX7l4wRkHqqCUFNJY4AfY3kHU/edit?usp=sharing  #gid=0"",""фіз особи new!relations_name""),6,FALSE)
,
(IF
(
G14201=""юридична особа""
,
VLOO"&amp;"KUP(H14201,IMPORTRANGE(""https://docs.google.com/spreadsheets/d/14Bd19lYaqBhU8_DElYkX7l4wRkHqqCUFNJY4AfY3kHU/edit?usp=sharing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200" s="7" t="s">
        <v>23</v>
      </c>
    </row>
    <row r="14201" spans="1:10" ht="13.2">
      <c r="A14201" s="7">
        <v>14200</v>
      </c>
      <c r="B14201" s="7">
        <v>1</v>
      </c>
      <c r="C14201" s="7" t="s">
        <v>10</v>
      </c>
      <c r="D14201" s="7">
        <v>18865</v>
      </c>
      <c r="E14201" s="7" t="s">
        <v>23</v>
      </c>
      <c r="F14201" s="8" t="str">
        <f ca="1">IFERROR(__xludf.DUMMYFUNCTION("IF
(
C14202=""фізична особа""
,
VLOOKUP(D14202,IMPORTRANGE(""https://docs.google.com/spreadsheets/d/14Bd19lYaqBhU8_DElYkX7l4wRkHqqCUFNJY4AfY3kHU/edit?usp=sharing  #gid=0"",""фіз особи new!relations_name""),6,FALSE)
,
(IF
(
C14202=""юридична особа""
,
VLOO"&amp;"KUP(D14202,IMPORTRANGE(""https://docs.google.com/spreadsheets/d/14Bd19lYaqBhU8_DElYkX7l4wRkHqqCUFNJY4AfY3kHU/edit?usp=sharing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1" s="7" t="s">
        <v>10</v>
      </c>
      <c r="H14201" s="7">
        <v>18860</v>
      </c>
      <c r="I14201" s="8" t="str">
        <f ca="1">IFERROR(__xludf.DUMMYFUNCTION("IF
(
G14202=""фізична особа""
,
VLOOKUP(H14202,IMPORTRANGE(""https://docs.google.com/spreadsheets/d/14Bd19lYaqBhU8_DElYkX7l4wRkHqqCUFNJY4AfY3kHU/edit?usp=sharing  #gid=0"",""фіз особи new!relations_name""),6,FALSE)
,
(IF
(
G14202=""юридична особа""
,
VLOO"&amp;"KUP(H14202,IMPORTRANGE(""https://docs.google.com/spreadsheets/d/14Bd19lYaqBhU8_DElYkX7l4wRkHqqCUFNJY4AfY3kHU/edit?usp=sharing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201" s="7" t="s">
        <v>23</v>
      </c>
    </row>
    <row r="14202" spans="1:10" ht="13.2">
      <c r="A14202" s="7">
        <v>14201</v>
      </c>
      <c r="B14202" s="7">
        <v>1</v>
      </c>
      <c r="C14202" s="7" t="s">
        <v>10</v>
      </c>
      <c r="D14202" s="7">
        <v>18865</v>
      </c>
      <c r="E14202" s="7" t="s">
        <v>23</v>
      </c>
      <c r="F14202" s="8" t="str">
        <f ca="1">IFERROR(__xludf.DUMMYFUNCTION("IF
(
C14203=""фізична особа""
,
VLOOKUP(D14203,IMPORTRANGE(""https://docs.google.com/spreadsheets/d/14Bd19lYaqBhU8_DElYkX7l4wRkHqqCUFNJY4AfY3kHU/edit?usp=sharing  #gid=0"",""фіз особи new!relations_name""),6,FALSE)
,
(IF
(
C14203=""юридична особа""
,
VLOO"&amp;"KUP(D14203,IMPORTRANGE(""https://docs.google.com/spreadsheets/d/14Bd19lYaqBhU8_DElYkX7l4wRkHqqCUFNJY4AfY3kHU/edit?usp=sharing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2" s="7" t="s">
        <v>10</v>
      </c>
      <c r="H14202" s="7">
        <v>18861</v>
      </c>
      <c r="I14202" s="8" t="str">
        <f ca="1">IFERROR(__xludf.DUMMYFUNCTION("IF
(
G14203=""фізична особа""
,
VLOOKUP(H14203,IMPORTRANGE(""https://docs.google.com/spreadsheets/d/14Bd19lYaqBhU8_DElYkX7l4wRkHqqCUFNJY4AfY3kHU/edit?usp=sharing  #gid=0"",""фіз особи new!relations_name""),6,FALSE)
,
(IF
(
G14203=""юридична особа""
,
VLOO"&amp;"KUP(H14203,IMPORTRANGE(""https://docs.google.com/spreadsheets/d/14Bd19lYaqBhU8_DElYkX7l4wRkHqqCUFNJY4AfY3kHU/edit?usp=sharing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202" s="7" t="s">
        <v>23</v>
      </c>
    </row>
    <row r="14203" spans="1:10" ht="13.2">
      <c r="A14203" s="7">
        <v>14202</v>
      </c>
      <c r="B14203" s="7">
        <v>1</v>
      </c>
      <c r="C14203" s="7" t="s">
        <v>10</v>
      </c>
      <c r="D14203" s="7">
        <v>18865</v>
      </c>
      <c r="E14203" s="7" t="s">
        <v>23</v>
      </c>
      <c r="F14203" s="8" t="str">
        <f ca="1">IFERROR(__xludf.DUMMYFUNCTION("IF
(
C14204=""фізична особа""
,
VLOOKUP(D14204,IMPORTRANGE(""https://docs.google.com/spreadsheets/d/14Bd19lYaqBhU8_DElYkX7l4wRkHqqCUFNJY4AfY3kHU/edit?usp=sharing  #gid=0"",""фіз особи new!relations_name""),6,FALSE)
,
(IF
(
C14204=""юридична особа""
,
VLOO"&amp;"KUP(D14204,IMPORTRANGE(""https://docs.google.com/spreadsheets/d/14Bd19lYaqBhU8_DElYkX7l4wRkHqqCUFNJY4AfY3kHU/edit?usp=sharing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3" s="7" t="s">
        <v>10</v>
      </c>
      <c r="H14203" s="7">
        <v>18862</v>
      </c>
      <c r="I14203" s="8" t="str">
        <f ca="1">IFERROR(__xludf.DUMMYFUNCTION("IF
(
G14204=""фізична особа""
,
VLOOKUP(H14204,IMPORTRANGE(""https://docs.google.com/spreadsheets/d/14Bd19lYaqBhU8_DElYkX7l4wRkHqqCUFNJY4AfY3kHU/edit?usp=sharing  #gid=0"",""фіз особи new!relations_name""),6,FALSE)
,
(IF
(
G14204=""юридична особа""
,
VLOO"&amp;"KUP(H14204,IMPORTRANGE(""https://docs.google.com/spreadsheets/d/14Bd19lYaqBhU8_DElYkX7l4wRkHqqCUFNJY4AfY3kHU/edit?usp=sharing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203" s="7" t="s">
        <v>23</v>
      </c>
    </row>
    <row r="14204" spans="1:10" ht="13.2">
      <c r="A14204" s="7">
        <v>14203</v>
      </c>
      <c r="B14204" s="7">
        <v>1</v>
      </c>
      <c r="C14204" s="7" t="s">
        <v>10</v>
      </c>
      <c r="D14204" s="7">
        <v>18865</v>
      </c>
      <c r="E14204" s="7" t="s">
        <v>23</v>
      </c>
      <c r="F14204" s="8" t="str">
        <f ca="1">IFERROR(__xludf.DUMMYFUNCTION("IF
(
C14205=""фізична особа""
,
VLOOKUP(D14205,IMPORTRANGE(""https://docs.google.com/spreadsheets/d/14Bd19lYaqBhU8_DElYkX7l4wRkHqqCUFNJY4AfY3kHU/edit?usp=sharing  #gid=0"",""фіз особи new!relations_name""),6,FALSE)
,
(IF
(
C14205=""юридична особа""
,
VLOO"&amp;"KUP(D14205,IMPORTRANGE(""https://docs.google.com/spreadsheets/d/14Bd19lYaqBhU8_DElYkX7l4wRkHqqCUFNJY4AfY3kHU/edit?usp=sharing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4" s="7" t="s">
        <v>10</v>
      </c>
      <c r="H14204" s="7">
        <v>18863</v>
      </c>
      <c r="I14204" s="8" t="str">
        <f ca="1">IFERROR(__xludf.DUMMYFUNCTION("IF
(
G14205=""фізична особа""
,
VLOOKUP(H14205,IMPORTRANGE(""https://docs.google.com/spreadsheets/d/14Bd19lYaqBhU8_DElYkX7l4wRkHqqCUFNJY4AfY3kHU/edit?usp=sharing  #gid=0"",""фіз особи new!relations_name""),6,FALSE)
,
(IF
(
G14205=""юридична особа""
,
VLOO"&amp;"KUP(H14205,IMPORTRANGE(""https://docs.google.com/spreadsheets/d/14Bd19lYaqBhU8_DElYkX7l4wRkHqqCUFNJY4AfY3kHU/edit?usp=sharing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204" s="7" t="s">
        <v>23</v>
      </c>
    </row>
    <row r="14205" spans="1:10" ht="13.2">
      <c r="A14205" s="7">
        <v>14204</v>
      </c>
      <c r="B14205" s="7">
        <v>1</v>
      </c>
      <c r="C14205" s="7" t="s">
        <v>10</v>
      </c>
      <c r="D14205" s="7">
        <v>18865</v>
      </c>
      <c r="E14205" s="7" t="s">
        <v>23</v>
      </c>
      <c r="F14205" s="8" t="str">
        <f ca="1">IFERROR(__xludf.DUMMYFUNCTION("IF
(
C14206=""фізична особа""
,
VLOOKUP(D14206,IMPORTRANGE(""https://docs.google.com/spreadsheets/d/14Bd19lYaqBhU8_DElYkX7l4wRkHqqCUFNJY4AfY3kHU/edit?usp=sharing  #gid=0"",""фіз особи new!relations_name""),6,FALSE)
,
(IF
(
C14206=""юридична особа""
,
VLOO"&amp;"KUP(D14206,IMPORTRANGE(""https://docs.google.com/spreadsheets/d/14Bd19lYaqBhU8_DElYkX7l4wRkHqqCUFNJY4AfY3kHU/edit?usp=sharing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5" s="7" t="s">
        <v>10</v>
      </c>
      <c r="H14205" s="7">
        <v>18864</v>
      </c>
      <c r="I14205" s="8" t="str">
        <f ca="1">IFERROR(__xludf.DUMMYFUNCTION("IF
(
G14206=""фізична особа""
,
VLOOKUP(H14206,IMPORTRANGE(""https://docs.google.com/spreadsheets/d/14Bd19lYaqBhU8_DElYkX7l4wRkHqqCUFNJY4AfY3kHU/edit?usp=sharing  #gid=0"",""фіз особи new!relations_name""),6,FALSE)
,
(IF
(
G14206=""юридична особа""
,
VLOO"&amp;"KUP(H14206,IMPORTRANGE(""https://docs.google.com/spreadsheets/d/14Bd19lYaqBhU8_DElYkX7l4wRkHqqCUFNJY4AfY3kHU/edit?usp=sharing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205" s="7" t="s">
        <v>23</v>
      </c>
    </row>
    <row r="14206" spans="1:10" ht="13.2">
      <c r="A14206" s="7">
        <v>14205</v>
      </c>
      <c r="B14206" s="7">
        <v>1</v>
      </c>
      <c r="C14206" s="7" t="s">
        <v>10</v>
      </c>
      <c r="D14206" s="7">
        <v>18865</v>
      </c>
      <c r="E14206" s="7" t="s">
        <v>23</v>
      </c>
      <c r="F14206" s="8" t="str">
        <f ca="1">IFERROR(__xludf.DUMMYFUNCTION("IF
(
C14207=""фізична особа""
,
VLOOKUP(D14207,IMPORTRANGE(""https://docs.google.com/spreadsheets/d/14Bd19lYaqBhU8_DElYkX7l4wRkHqqCUFNJY4AfY3kHU/edit?usp=sharing  #gid=0"",""фіз особи new!relations_name""),6,FALSE)
,
(IF
(
C14207=""юридична особа""
,
VLOO"&amp;"KUP(D14207,IMPORTRANGE(""https://docs.google.com/spreadsheets/d/14Bd19lYaqBhU8_DElYkX7l4wRkHqqCUFNJY4AfY3kHU/edit?usp=sharing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6" s="7" t="s">
        <v>10</v>
      </c>
      <c r="H14206" s="7">
        <v>19116</v>
      </c>
      <c r="I14206" s="8" t="str">
        <f ca="1">IFERROR(__xludf.DUMMYFUNCTION("IF
(
G14207=""фізична особа""
,
VLOOKUP(H14207,IMPORTRANGE(""https://docs.google.com/spreadsheets/d/14Bd19lYaqBhU8_DElYkX7l4wRkHqqCUFNJY4AfY3kHU/edit?usp=sharing  #gid=0"",""фіз особи new!relations_name""),6,FALSE)
,
(IF
(
G14207=""юридична особа""
,
VLOO"&amp;"KUP(H14207,IMPORTRANGE(""https://docs.google.com/spreadsheets/d/14Bd19lYaqBhU8_DElYkX7l4wRkHqqCUFNJY4AfY3kHU/edit?usp=sharing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206" s="7" t="s">
        <v>23</v>
      </c>
    </row>
    <row r="14207" spans="1:10" ht="13.2">
      <c r="A14207" s="7">
        <v>14206</v>
      </c>
      <c r="B14207" s="7">
        <v>1</v>
      </c>
      <c r="C14207" s="7" t="s">
        <v>10</v>
      </c>
      <c r="D14207" s="7">
        <v>18865</v>
      </c>
      <c r="E14207" s="7" t="s">
        <v>23</v>
      </c>
      <c r="F14207" s="8" t="str">
        <f ca="1">IFERROR(__xludf.DUMMYFUNCTION("IF
(
C14208=""фізична особа""
,
VLOOKUP(D14208,IMPORTRANGE(""https://docs.google.com/spreadsheets/d/14Bd19lYaqBhU8_DElYkX7l4wRkHqqCUFNJY4AfY3kHU/edit?usp=sharing  #gid=0"",""фіз особи new!relations_name""),6,FALSE)
,
(IF
(
C14208=""юридична особа""
,
VLOO"&amp;"KUP(D14208,IMPORTRANGE(""https://docs.google.com/spreadsheets/d/14Bd19lYaqBhU8_DElYkX7l4wRkHqqCUFNJY4AfY3kHU/edit?usp=sharing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7" s="7" t="s">
        <v>10</v>
      </c>
      <c r="H14207" s="7">
        <v>19117</v>
      </c>
      <c r="I14207" s="8" t="str">
        <f ca="1">IFERROR(__xludf.DUMMYFUNCTION("IF
(
G14208=""фізична особа""
,
VLOOKUP(H14208,IMPORTRANGE(""https://docs.google.com/spreadsheets/d/14Bd19lYaqBhU8_DElYkX7l4wRkHqqCUFNJY4AfY3kHU/edit?usp=sharing  #gid=0"",""фіз особи new!relations_name""),6,FALSE)
,
(IF
(
G14208=""юридична особа""
,
VLOO"&amp;"KUP(H14208,IMPORTRANGE(""https://docs.google.com/spreadsheets/d/14Bd19lYaqBhU8_DElYkX7l4wRkHqqCUFNJY4AfY3kHU/edit?usp=sharing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207" s="7" t="s">
        <v>23</v>
      </c>
    </row>
    <row r="14208" spans="1:10" ht="13.2">
      <c r="A14208" s="7">
        <v>14207</v>
      </c>
      <c r="B14208" s="7">
        <v>1</v>
      </c>
      <c r="C14208" s="7" t="s">
        <v>10</v>
      </c>
      <c r="D14208" s="7">
        <v>18865</v>
      </c>
      <c r="E14208" s="7" t="s">
        <v>23</v>
      </c>
      <c r="F14208" s="8" t="str">
        <f ca="1">IFERROR(__xludf.DUMMYFUNCTION("IF
(
C14209=""фізична особа""
,
VLOOKUP(D14209,IMPORTRANGE(""https://docs.google.com/spreadsheets/d/14Bd19lYaqBhU8_DElYkX7l4wRkHqqCUFNJY4AfY3kHU/edit?usp=sharing  #gid=0"",""фіз особи new!relations_name""),6,FALSE)
,
(IF
(
C14209=""юридична особа""
,
VLOO"&amp;"KUP(D14209,IMPORTRANGE(""https://docs.google.com/spreadsheets/d/14Bd19lYaqBhU8_DElYkX7l4wRkHqqCUFNJY4AfY3kHU/edit?usp=sharing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8" s="7" t="s">
        <v>10</v>
      </c>
      <c r="H14208" s="7">
        <v>19118</v>
      </c>
      <c r="I14208" s="8" t="str">
        <f ca="1">IFERROR(__xludf.DUMMYFUNCTION("IF
(
G14209=""фізична особа""
,
VLOOKUP(H14209,IMPORTRANGE(""https://docs.google.com/spreadsheets/d/14Bd19lYaqBhU8_DElYkX7l4wRkHqqCUFNJY4AfY3kHU/edit?usp=sharing  #gid=0"",""фіз особи new!relations_name""),6,FALSE)
,
(IF
(
G14209=""юридична особа""
,
VLOO"&amp;"KUP(H14209,IMPORTRANGE(""https://docs.google.com/spreadsheets/d/14Bd19lYaqBhU8_DElYkX7l4wRkHqqCUFNJY4AfY3kHU/edit?usp=sharing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208" s="7" t="s">
        <v>23</v>
      </c>
    </row>
    <row r="14209" spans="1:10" ht="13.2">
      <c r="A14209" s="7">
        <v>14208</v>
      </c>
      <c r="B14209" s="7">
        <v>1</v>
      </c>
      <c r="C14209" s="7" t="s">
        <v>10</v>
      </c>
      <c r="D14209" s="7">
        <v>18865</v>
      </c>
      <c r="E14209" s="7" t="s">
        <v>23</v>
      </c>
      <c r="F14209" s="8" t="str">
        <f ca="1">IFERROR(__xludf.DUMMYFUNCTION("IF
(
C14210=""фізична особа""
,
VLOOKUP(D14210,IMPORTRANGE(""https://docs.google.com/spreadsheets/d/14Bd19lYaqBhU8_DElYkX7l4wRkHqqCUFNJY4AfY3kHU/edit?usp=sharing  #gid=0"",""фіз особи new!relations_name""),6,FALSE)
,
(IF
(
C14210=""юридична особа""
,
VLOO"&amp;"KUP(D14210,IMPORTRANGE(""https://docs.google.com/spreadsheets/d/14Bd19lYaqBhU8_DElYkX7l4wRkHqqCUFNJY4AfY3kHU/edit?usp=sharing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09" s="7" t="s">
        <v>10</v>
      </c>
      <c r="H14209" s="7">
        <v>19119</v>
      </c>
      <c r="I14209" s="8" t="str">
        <f ca="1">IFERROR(__xludf.DUMMYFUNCTION("IF
(
G14210=""фізична особа""
,
VLOOKUP(H14210,IMPORTRANGE(""https://docs.google.com/spreadsheets/d/14Bd19lYaqBhU8_DElYkX7l4wRkHqqCUFNJY4AfY3kHU/edit?usp=sharing  #gid=0"",""фіз особи new!relations_name""),6,FALSE)
,
(IF
(
G14210=""юридична особа""
,
VLOO"&amp;"KUP(H14210,IMPORTRANGE(""https://docs.google.com/spreadsheets/d/14Bd19lYaqBhU8_DElYkX7l4wRkHqqCUFNJY4AfY3kHU/edit?usp=sharing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209" s="7" t="s">
        <v>23</v>
      </c>
    </row>
    <row r="14210" spans="1:10" ht="13.2">
      <c r="A14210" s="7">
        <v>14209</v>
      </c>
      <c r="B14210" s="7">
        <v>1</v>
      </c>
      <c r="C14210" s="7" t="s">
        <v>10</v>
      </c>
      <c r="D14210" s="7">
        <v>18865</v>
      </c>
      <c r="E14210" s="7" t="s">
        <v>23</v>
      </c>
      <c r="F14210" s="8" t="str">
        <f ca="1">IFERROR(__xludf.DUMMYFUNCTION("IF
(
C14211=""фізична особа""
,
VLOOKUP(D14211,IMPORTRANGE(""https://docs.google.com/spreadsheets/d/14Bd19lYaqBhU8_DElYkX7l4wRkHqqCUFNJY4AfY3kHU/edit?usp=sharing  #gid=0"",""фіз особи new!relations_name""),6,FALSE)
,
(IF
(
C14211=""юридична особа""
,
VLOO"&amp;"KUP(D14211,IMPORTRANGE(""https://docs.google.com/spreadsheets/d/14Bd19lYaqBhU8_DElYkX7l4wRkHqqCUFNJY4AfY3kHU/edit?usp=sharing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G14210" s="7" t="s">
        <v>10</v>
      </c>
      <c r="H14210" s="7">
        <v>19120</v>
      </c>
      <c r="I14210" s="8" t="str">
        <f ca="1">IFERROR(__xludf.DUMMYFUNCTION("IF
(
G14211=""фізична особа""
,
VLOOKUP(H14211,IMPORTRANGE(""https://docs.google.com/spreadsheets/d/14Bd19lYaqBhU8_DElYkX7l4wRkHqqCUFNJY4AfY3kHU/edit?usp=sharing  #gid=0"",""фіз особи new!relations_name""),6,FALSE)
,
(IF
(
G14211=""юридична особа""
,
VLOO"&amp;"KUP(H14211,IMPORTRANGE(""https://docs.google.com/spreadsheets/d/14Bd19lYaqBhU8_DElYkX7l4wRkHqqCUFNJY4AfY3kHU/edit?usp=sharing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210" s="7" t="s">
        <v>23</v>
      </c>
    </row>
    <row r="14211" spans="1:10" ht="13.2">
      <c r="A14211" s="7">
        <v>14210</v>
      </c>
      <c r="B14211" s="7">
        <v>1</v>
      </c>
      <c r="C14211" s="7" t="s">
        <v>10</v>
      </c>
      <c r="D14211" s="7">
        <v>18899</v>
      </c>
      <c r="E14211" s="7" t="s">
        <v>14</v>
      </c>
      <c r="F14211" s="8" t="str">
        <f ca="1">IFERROR(__xludf.DUMMYFUNCTION("IF
(
C14212=""фізична особа""
,
VLOOKUP(D14212,IMPORTRANGE(""https://docs.google.com/spreadsheets/d/14Bd19lYaqBhU8_DElYkX7l4wRkHqqCUFNJY4AfY3kHU/edit?usp=sharing  #gid=0"",""фіз особи new!relations_name""),6,FALSE)
,
(IF
(
C14212=""юридична особа""
,
VLOO"&amp;"KUP(D14212,IMPORTRANGE(""https://docs.google.com/spreadsheets/d/14Bd19lYaqBhU8_DElYkX7l4wRkHqqCUFNJY4AfY3kHU/edit?usp=sharing  #gid=0"",""фіз особи new!relations_name_uo""),7,FALSE)
,
)
))"),"ЮРІЦИН Володимир Георгійович")</f>
        <v>ЮРІЦИН Володимир Георгійович</v>
      </c>
      <c r="G14211" s="7" t="s">
        <v>10</v>
      </c>
      <c r="H14211" s="7">
        <v>18905</v>
      </c>
      <c r="I14211" s="8" t="str">
        <f ca="1">IFERROR(__xludf.DUMMYFUNCTION("IF
(
G14212=""фізична особа""
,
VLOOKUP(H14212,IMPORTRANGE(""https://docs.google.com/spreadsheets/d/14Bd19lYaqBhU8_DElYkX7l4wRkHqqCUFNJY4AfY3kHU/edit?usp=sharing  #gid=0"",""фіз особи new!relations_name""),6,FALSE)
,
(IF
(
G14212=""юридична особа""
,
VLOO"&amp;"KUP(H14212,IMPORTRANGE(""https://docs.google.com/spreadsheets/d/14Bd19lYaqBhU8_DElYkX7l4wRkHqqCUFNJY4AfY3kHU/edit?usp=sharing  #gid=0"",""фіз особи new!relations_name_uo""),7,FALSE)
,
)
))"),"ЮРІЦИНА Ольга Вікторівна")</f>
        <v>ЮРІЦИНА Ольга Вікторівна</v>
      </c>
      <c r="J14211" s="7" t="s">
        <v>15</v>
      </c>
    </row>
    <row r="14212" spans="1:10" ht="13.2">
      <c r="A14212" s="7">
        <v>14211</v>
      </c>
      <c r="B14212" s="7">
        <v>1</v>
      </c>
      <c r="C14212" s="7" t="s">
        <v>10</v>
      </c>
      <c r="D14212" s="7">
        <v>18905</v>
      </c>
      <c r="E14212" s="7" t="s">
        <v>14</v>
      </c>
      <c r="F14212" s="8" t="str">
        <f ca="1">IFERROR(__xludf.DUMMYFUNCTION("IF
(
C14213=""фізична особа""
,
VLOOKUP(D14213,IMPORTRANGE(""https://docs.google.com/spreadsheets/d/14Bd19lYaqBhU8_DElYkX7l4wRkHqqCUFNJY4AfY3kHU/edit?usp=sharing  #gid=0"",""фіз особи new!relations_name""),6,FALSE)
,
(IF
(
C14213=""юридична особа""
,
VLOO"&amp;"KUP(D14213,IMPORTRANGE(""https://docs.google.com/spreadsheets/d/14Bd19lYaqBhU8_DElYkX7l4wRkHqqCUFNJY4AfY3kHU/edit?usp=sharing  #gid=0"",""фіз особи new!relations_name_uo""),7,FALSE)
,
)
))"),"ЮРІЦИНА Ольга Вікторівна")</f>
        <v>ЮРІЦИНА Ольга Вікторівна</v>
      </c>
      <c r="G14212" s="7" t="s">
        <v>10</v>
      </c>
      <c r="H14212" s="7">
        <v>18899</v>
      </c>
      <c r="I14212" s="8" t="str">
        <f ca="1">IFERROR(__xludf.DUMMYFUNCTION("IF
(
G14213=""фізична особа""
,
VLOOKUP(H14213,IMPORTRANGE(""https://docs.google.com/spreadsheets/d/14Bd19lYaqBhU8_DElYkX7l4wRkHqqCUFNJY4AfY3kHU/edit?usp=sharing  #gid=0"",""фіз особи new!relations_name""),6,FALSE)
,
(IF
(
G14213=""юридична особа""
,
VLOO"&amp;"KUP(H14213,IMPORTRANGE(""https://docs.google.com/spreadsheets/d/14Bd19lYaqBhU8_DElYkX7l4wRkHqqCUFNJY4AfY3kHU/edit?usp=sharing  #gid=0"",""фіз особи new!relations_name_uo""),7,FALSE)
,
)
))"),"ЮРІЦИН Володимир Георгійович")</f>
        <v>ЮРІЦИН Володимир Георгійович</v>
      </c>
      <c r="J14212" s="7" t="s">
        <v>15</v>
      </c>
    </row>
    <row r="14213" spans="1:10" ht="13.2">
      <c r="A14213" s="7">
        <v>14212</v>
      </c>
      <c r="B14213" s="7">
        <v>1</v>
      </c>
      <c r="C14213" s="7" t="s">
        <v>10</v>
      </c>
      <c r="D14213" s="7">
        <v>18917</v>
      </c>
      <c r="E14213" s="7" t="s">
        <v>23</v>
      </c>
      <c r="F14213" s="8" t="str">
        <f ca="1">IFERROR(__xludf.DUMMYFUNCTION("IF
(
C14214=""фізична особа""
,
VLOOKUP(D14214,IMPORTRANGE(""https://docs.google.com/spreadsheets/d/14Bd19lYaqBhU8_DElYkX7l4wRkHqqCUFNJY4AfY3kHU/edit?usp=sharing  #gid=0"",""фіз особи new!relations_name""),6,FALSE)
,
(IF
(
C14214=""юридична особа""
,
VLOO"&amp;"KUP(D14214,IMPORTRANGE(""https://docs.google.com/spreadsheets/d/14Bd19lYaqBhU8_DElYkX7l4wRkHqqCUFNJY4AfY3kHU/edit?usp=sharing  #gid=0"",""фіз особи new!relations_name_uo""),7,FALSE)
,
)
))"),"АНДРУСОВ Андрій Анатолійович")</f>
        <v>АНДРУСОВ Андрій Анатолійович</v>
      </c>
      <c r="G14213" s="7" t="s">
        <v>10</v>
      </c>
      <c r="H14213" s="7">
        <v>16212</v>
      </c>
      <c r="I14213" s="8" t="str">
        <f ca="1">IFERROR(__xludf.DUMMYFUNCTION("IF
(
G14214=""фізична особа""
,
VLOOKUP(H14214,IMPORTRANGE(""https://docs.google.com/spreadsheets/d/14Bd19lYaqBhU8_DElYkX7l4wRkHqqCUFNJY4AfY3kHU/edit?usp=sharing  #gid=0"",""фіз особи new!relations_name""),6,FALSE)
,
(IF
(
G14214=""юридична особа""
,
VLOO"&amp;"KUP(H14214,IMPORTRANGE(""https://docs.google.com/spreadsheets/d/14Bd19lYaqBhU8_DElYkX7l4wRkHqqCUFNJY4AfY3kHU/edit?usp=sharing  #gid=0"",""фіз особи new!relations_name_uo""),7,FALSE)
,
)
))"),"ЛУПИЧОВА Ірина Володимирівна")</f>
        <v>ЛУПИЧОВА Ірина Володимирівна</v>
      </c>
      <c r="J14213" s="7" t="s">
        <v>23</v>
      </c>
    </row>
    <row r="14214" spans="1:10" ht="13.2">
      <c r="A14214" s="7">
        <v>14213</v>
      </c>
      <c r="B14214" s="7">
        <v>1</v>
      </c>
      <c r="C14214" s="7" t="s">
        <v>10</v>
      </c>
      <c r="D14214" s="7">
        <v>18917</v>
      </c>
      <c r="E14214" s="7" t="s">
        <v>23</v>
      </c>
      <c r="F14214" s="8" t="str">
        <f ca="1">IFERROR(__xludf.DUMMYFUNCTION("IF
(
C14215=""фізична особа""
,
VLOOKUP(D14215,IMPORTRANGE(""https://docs.google.com/spreadsheets/d/14Bd19lYaqBhU8_DElYkX7l4wRkHqqCUFNJY4AfY3kHU/edit?usp=sharing  #gid=0"",""фіз особи new!relations_name""),6,FALSE)
,
(IF
(
C14215=""юридична особа""
,
VLOO"&amp;"KUP(D14215,IMPORTRANGE(""https://docs.google.com/spreadsheets/d/14Bd19lYaqBhU8_DElYkX7l4wRkHqqCUFNJY4AfY3kHU/edit?usp=sharing  #gid=0"",""фіз особи new!relations_name_uo""),7,FALSE)
,
)
))"),"АНДРУСОВ Андрій Анатолійович")</f>
        <v>АНДРУСОВ Андрій Анатолійович</v>
      </c>
      <c r="G14214" s="7" t="s">
        <v>10</v>
      </c>
      <c r="H14214" s="7">
        <v>18918</v>
      </c>
      <c r="I14214" s="8" t="str">
        <f ca="1">IFERROR(__xludf.DUMMYFUNCTION("IF
(
G14215=""фізична особа""
,
VLOOKUP(H14215,IMPORTRANGE(""https://docs.google.com/spreadsheets/d/14Bd19lYaqBhU8_DElYkX7l4wRkHqqCUFNJY4AfY3kHU/edit?usp=sharing  #gid=0"",""фіз особи new!relations_name""),6,FALSE)
,
(IF
(
G14215=""юридична особа""
,
VLOO"&amp;"KUP(H14215,IMPORTRANGE(""https://docs.google.com/spreadsheets/d/14Bd19lYaqBhU8_DElYkX7l4wRkHqqCUFNJY4AfY3kHU/edit?usp=sharing  #gid=0"",""фіз особи new!relations_name_uo""),7,FALSE)
,
)
))"),"ДУДІН Олександр Олександрович")</f>
        <v>ДУДІН Олександр Олександрович</v>
      </c>
      <c r="J14214" s="7" t="s">
        <v>23</v>
      </c>
    </row>
    <row r="14215" spans="1:10" ht="13.2">
      <c r="A14215" s="7">
        <v>14214</v>
      </c>
      <c r="B14215" s="7">
        <v>1</v>
      </c>
      <c r="C14215" s="7" t="s">
        <v>10</v>
      </c>
      <c r="D14215" s="7">
        <v>18917</v>
      </c>
      <c r="E14215" s="7" t="s">
        <v>23</v>
      </c>
      <c r="F14215" s="8" t="str">
        <f ca="1">IFERROR(__xludf.DUMMYFUNCTION("IF
(
C14216=""фізична особа""
,
VLOOKUP(D14216,IMPORTRANGE(""https://docs.google.com/spreadsheets/d/14Bd19lYaqBhU8_DElYkX7l4wRkHqqCUFNJY4AfY3kHU/edit?usp=sharing  #gid=0"",""фіз особи new!relations_name""),6,FALSE)
,
(IF
(
C14216=""юридична особа""
,
VLOO"&amp;"KUP(D14216,IMPORTRANGE(""https://docs.google.com/spreadsheets/d/14Bd19lYaqBhU8_DElYkX7l4wRkHqqCUFNJY4AfY3kHU/edit?usp=sharing  #gid=0"",""фіз особи new!relations_name_uo""),7,FALSE)
,
)
))"),"АНДРУСОВ Андрій Анатолійович")</f>
        <v>АНДРУСОВ Андрій Анатолійович</v>
      </c>
      <c r="G14215" s="7" t="s">
        <v>10</v>
      </c>
      <c r="H14215" s="7">
        <v>18919</v>
      </c>
      <c r="I14215" s="8" t="str">
        <f ca="1">IFERROR(__xludf.DUMMYFUNCTION("IF
(
G14216=""фізична особа""
,
VLOOKUP(H14216,IMPORTRANGE(""https://docs.google.com/spreadsheets/d/14Bd19lYaqBhU8_DElYkX7l4wRkHqqCUFNJY4AfY3kHU/edit?usp=sharing  #gid=0"",""фіз особи new!relations_name""),6,FALSE)
,
(IF
(
G14216=""юридична особа""
,
VLOO"&amp;"KUP(H14216,IMPORTRANGE(""https://docs.google.com/spreadsheets/d/14Bd19lYaqBhU8_DElYkX7l4wRkHqqCUFNJY4AfY3kHU/edit?usp=sharing  #gid=0"",""фіз особи new!relations_name_uo""),7,FALSE)
,
)
))"),"ЗИРЯНОВ Денис Сергійович")</f>
        <v>ЗИРЯНОВ Денис Сергійович</v>
      </c>
      <c r="J14215" s="7" t="s">
        <v>23</v>
      </c>
    </row>
    <row r="14216" spans="1:10" ht="13.2">
      <c r="A14216" s="7">
        <v>14215</v>
      </c>
      <c r="B14216" s="7">
        <v>1</v>
      </c>
      <c r="C14216" s="7" t="s">
        <v>10</v>
      </c>
      <c r="D14216" s="7">
        <v>18918</v>
      </c>
      <c r="E14216" s="7" t="s">
        <v>23</v>
      </c>
      <c r="F14216" s="8" t="str">
        <f ca="1">IFERROR(__xludf.DUMMYFUNCTION("IF
(
C14217=""фізична особа""
,
VLOOKUP(D14217,IMPORTRANGE(""https://docs.google.com/spreadsheets/d/14Bd19lYaqBhU8_DElYkX7l4wRkHqqCUFNJY4AfY3kHU/edit?usp=sharing  #gid=0"",""фіз особи new!relations_name""),6,FALSE)
,
(IF
(
C14217=""юридична особа""
,
VLOO"&amp;"KUP(D14217,IMPORTRANGE(""https://docs.google.com/spreadsheets/d/14Bd19lYaqBhU8_DElYkX7l4wRkHqqCUFNJY4AfY3kHU/edit?usp=sharing  #gid=0"",""фіз особи new!relations_name_uo""),7,FALSE)
,
)
))"),"ДУДІН Олександр Олександрович")</f>
        <v>ДУДІН Олександр Олександрович</v>
      </c>
      <c r="G14216" s="7" t="s">
        <v>10</v>
      </c>
      <c r="H14216" s="7">
        <v>16212</v>
      </c>
      <c r="I14216" s="8" t="str">
        <f ca="1">IFERROR(__xludf.DUMMYFUNCTION("IF
(
G14217=""фізична особа""
,
VLOOKUP(H14217,IMPORTRANGE(""https://docs.google.com/spreadsheets/d/14Bd19lYaqBhU8_DElYkX7l4wRkHqqCUFNJY4AfY3kHU/edit?usp=sharing  #gid=0"",""фіз особи new!relations_name""),6,FALSE)
,
(IF
(
G14217=""юридична особа""
,
VLOO"&amp;"KUP(H14217,IMPORTRANGE(""https://docs.google.com/spreadsheets/d/14Bd19lYaqBhU8_DElYkX7l4wRkHqqCUFNJY4AfY3kHU/edit?usp=sharing  #gid=0"",""фіз особи new!relations_name_uo""),7,FALSE)
,
)
))"),"ЛУПИЧОВА Ірина Володимирівна")</f>
        <v>ЛУПИЧОВА Ірина Володимирівна</v>
      </c>
      <c r="J14216" s="7" t="s">
        <v>23</v>
      </c>
    </row>
    <row r="14217" spans="1:10" ht="13.2">
      <c r="A14217" s="7">
        <v>14216</v>
      </c>
      <c r="B14217" s="7">
        <v>1</v>
      </c>
      <c r="C14217" s="7" t="s">
        <v>10</v>
      </c>
      <c r="D14217" s="7">
        <v>18918</v>
      </c>
      <c r="E14217" s="7" t="s">
        <v>23</v>
      </c>
      <c r="F14217" s="8" t="str">
        <f ca="1">IFERROR(__xludf.DUMMYFUNCTION("IF
(
C14218=""фізична особа""
,
VLOOKUP(D14218,IMPORTRANGE(""https://docs.google.com/spreadsheets/d/14Bd19lYaqBhU8_DElYkX7l4wRkHqqCUFNJY4AfY3kHU/edit?usp=sharing  #gid=0"",""фіз особи new!relations_name""),6,FALSE)
,
(IF
(
C14218=""юридична особа""
,
VLOO"&amp;"KUP(D14218,IMPORTRANGE(""https://docs.google.com/spreadsheets/d/14Bd19lYaqBhU8_DElYkX7l4wRkHqqCUFNJY4AfY3kHU/edit?usp=sharing  #gid=0"",""фіз особи new!relations_name_uo""),7,FALSE)
,
)
))"),"ДУДІН Олександр Олександрович")</f>
        <v>ДУДІН Олександр Олександрович</v>
      </c>
      <c r="G14217" s="7" t="s">
        <v>10</v>
      </c>
      <c r="H14217" s="7">
        <v>18917</v>
      </c>
      <c r="I14217" s="8" t="str">
        <f ca="1">IFERROR(__xludf.DUMMYFUNCTION("IF
(
G14218=""фізична особа""
,
VLOOKUP(H14218,IMPORTRANGE(""https://docs.google.com/spreadsheets/d/14Bd19lYaqBhU8_DElYkX7l4wRkHqqCUFNJY4AfY3kHU/edit?usp=sharing  #gid=0"",""фіз особи new!relations_name""),6,FALSE)
,
(IF
(
G14218=""юридична особа""
,
VLOO"&amp;"KUP(H14218,IMPORTRANGE(""https://docs.google.com/spreadsheets/d/14Bd19lYaqBhU8_DElYkX7l4wRkHqqCUFNJY4AfY3kHU/edit?usp=sharing  #gid=0"",""фіз особи new!relations_name_uo""),7,FALSE)
,
)
))"),"АНДРУСОВ Андрій Анатолійович")</f>
        <v>АНДРУСОВ Андрій Анатолійович</v>
      </c>
      <c r="J14217" s="7" t="s">
        <v>23</v>
      </c>
    </row>
    <row r="14218" spans="1:10" ht="13.2">
      <c r="A14218" s="7">
        <v>14217</v>
      </c>
      <c r="B14218" s="7">
        <v>1</v>
      </c>
      <c r="C14218" s="7" t="s">
        <v>10</v>
      </c>
      <c r="D14218" s="7">
        <v>18918</v>
      </c>
      <c r="E14218" s="7" t="s">
        <v>23</v>
      </c>
      <c r="F14218" s="8" t="str">
        <f ca="1">IFERROR(__xludf.DUMMYFUNCTION("IF
(
C14219=""фізична особа""
,
VLOOKUP(D14219,IMPORTRANGE(""https://docs.google.com/spreadsheets/d/14Bd19lYaqBhU8_DElYkX7l4wRkHqqCUFNJY4AfY3kHU/edit?usp=sharing  #gid=0"",""фіз особи new!relations_name""),6,FALSE)
,
(IF
(
C14219=""юридична особа""
,
VLOO"&amp;"KUP(D14219,IMPORTRANGE(""https://docs.google.com/spreadsheets/d/14Bd19lYaqBhU8_DElYkX7l4wRkHqqCUFNJY4AfY3kHU/edit?usp=sharing  #gid=0"",""фіз особи new!relations_name_uo""),7,FALSE)
,
)
))"),"ДУДІН Олександр Олександрович")</f>
        <v>ДУДІН Олександр Олександрович</v>
      </c>
      <c r="G14218" s="7" t="s">
        <v>10</v>
      </c>
      <c r="H14218" s="7">
        <v>18919</v>
      </c>
      <c r="I14218" s="8" t="str">
        <f ca="1">IFERROR(__xludf.DUMMYFUNCTION("IF
(
G14219=""фізична особа""
,
VLOOKUP(H14219,IMPORTRANGE(""https://docs.google.com/spreadsheets/d/14Bd19lYaqBhU8_DElYkX7l4wRkHqqCUFNJY4AfY3kHU/edit?usp=sharing  #gid=0"",""фіз особи new!relations_name""),6,FALSE)
,
(IF
(
G14219=""юридична особа""
,
VLOO"&amp;"KUP(H14219,IMPORTRANGE(""https://docs.google.com/spreadsheets/d/14Bd19lYaqBhU8_DElYkX7l4wRkHqqCUFNJY4AfY3kHU/edit?usp=sharing  #gid=0"",""фіз особи new!relations_name_uo""),7,FALSE)
,
)
))"),"ЗИРЯНОВ Денис Сергійович")</f>
        <v>ЗИРЯНОВ Денис Сергійович</v>
      </c>
      <c r="J14218" s="7" t="s">
        <v>23</v>
      </c>
    </row>
    <row r="14219" spans="1:10" ht="13.2">
      <c r="A14219" s="7">
        <v>14218</v>
      </c>
      <c r="B14219" s="7">
        <v>1</v>
      </c>
      <c r="C14219" s="7" t="s">
        <v>10</v>
      </c>
      <c r="D14219" s="7">
        <v>18919</v>
      </c>
      <c r="E14219" s="7" t="s">
        <v>23</v>
      </c>
      <c r="F14219" s="8" t="str">
        <f ca="1">IFERROR(__xludf.DUMMYFUNCTION("IF
(
C14220=""фізична особа""
,
VLOOKUP(D14220,IMPORTRANGE(""https://docs.google.com/spreadsheets/d/14Bd19lYaqBhU8_DElYkX7l4wRkHqqCUFNJY4AfY3kHU/edit?usp=sharing  #gid=0"",""фіз особи new!relations_name""),6,FALSE)
,
(IF
(
C14220=""юридична особа""
,
VLOO"&amp;"KUP(D14220,IMPORTRANGE(""https://docs.google.com/spreadsheets/d/14Bd19lYaqBhU8_DElYkX7l4wRkHqqCUFNJY4AfY3kHU/edit?usp=sharing  #gid=0"",""фіз особи new!relations_name_uo""),7,FALSE)
,
)
))"),"ЗИРЯНОВ Денис Сергійович")</f>
        <v>ЗИРЯНОВ Денис Сергійович</v>
      </c>
      <c r="G14219" s="7" t="s">
        <v>10</v>
      </c>
      <c r="H14219" s="7">
        <v>16212</v>
      </c>
      <c r="I14219" s="8" t="str">
        <f ca="1">IFERROR(__xludf.DUMMYFUNCTION("IF
(
G14220=""фізична особа""
,
VLOOKUP(H14220,IMPORTRANGE(""https://docs.google.com/spreadsheets/d/14Bd19lYaqBhU8_DElYkX7l4wRkHqqCUFNJY4AfY3kHU/edit?usp=sharing  #gid=0"",""фіз особи new!relations_name""),6,FALSE)
,
(IF
(
G14220=""юридична особа""
,
VLOO"&amp;"KUP(H14220,IMPORTRANGE(""https://docs.google.com/spreadsheets/d/14Bd19lYaqBhU8_DElYkX7l4wRkHqqCUFNJY4AfY3kHU/edit?usp=sharing  #gid=0"",""фіз особи new!relations_name_uo""),7,FALSE)
,
)
))"),"ЛУПИЧОВА Ірина Володимирівна")</f>
        <v>ЛУПИЧОВА Ірина Володимирівна</v>
      </c>
      <c r="J14219" s="7" t="s">
        <v>23</v>
      </c>
    </row>
    <row r="14220" spans="1:10" ht="13.2">
      <c r="A14220" s="7">
        <v>14219</v>
      </c>
      <c r="B14220" s="7">
        <v>1</v>
      </c>
      <c r="C14220" s="7" t="s">
        <v>10</v>
      </c>
      <c r="D14220" s="7">
        <v>18919</v>
      </c>
      <c r="E14220" s="7" t="s">
        <v>23</v>
      </c>
      <c r="F14220" s="8" t="str">
        <f ca="1">IFERROR(__xludf.DUMMYFUNCTION("IF
(
C14221=""фізична особа""
,
VLOOKUP(D14221,IMPORTRANGE(""https://docs.google.com/spreadsheets/d/14Bd19lYaqBhU8_DElYkX7l4wRkHqqCUFNJY4AfY3kHU/edit?usp=sharing  #gid=0"",""фіз особи new!relations_name""),6,FALSE)
,
(IF
(
C14221=""юридична особа""
,
VLOO"&amp;"KUP(D14221,IMPORTRANGE(""https://docs.google.com/spreadsheets/d/14Bd19lYaqBhU8_DElYkX7l4wRkHqqCUFNJY4AfY3kHU/edit?usp=sharing  #gid=0"",""фіз особи new!relations_name_uo""),7,FALSE)
,
)
))"),"ЗИРЯНОВ Денис Сергійович")</f>
        <v>ЗИРЯНОВ Денис Сергійович</v>
      </c>
      <c r="G14220" s="7" t="s">
        <v>10</v>
      </c>
      <c r="H14220" s="7">
        <v>18917</v>
      </c>
      <c r="I14220" s="8" t="str">
        <f ca="1">IFERROR(__xludf.DUMMYFUNCTION("IF
(
G14221=""фізична особа""
,
VLOOKUP(H14221,IMPORTRANGE(""https://docs.google.com/spreadsheets/d/14Bd19lYaqBhU8_DElYkX7l4wRkHqqCUFNJY4AfY3kHU/edit?usp=sharing  #gid=0"",""фіз особи new!relations_name""),6,FALSE)
,
(IF
(
G14221=""юридична особа""
,
VLOO"&amp;"KUP(H14221,IMPORTRANGE(""https://docs.google.com/spreadsheets/d/14Bd19lYaqBhU8_DElYkX7l4wRkHqqCUFNJY4AfY3kHU/edit?usp=sharing  #gid=0"",""фіз особи new!relations_name_uo""),7,FALSE)
,
)
))"),"АНДРУСОВ Андрій Анатолійович")</f>
        <v>АНДРУСОВ Андрій Анатолійович</v>
      </c>
      <c r="J14220" s="7" t="s">
        <v>23</v>
      </c>
    </row>
    <row r="14221" spans="1:10" ht="13.2">
      <c r="A14221" s="7">
        <v>14220</v>
      </c>
      <c r="B14221" s="7">
        <v>1</v>
      </c>
      <c r="C14221" s="7" t="s">
        <v>10</v>
      </c>
      <c r="D14221" s="7">
        <v>18919</v>
      </c>
      <c r="E14221" s="7" t="s">
        <v>23</v>
      </c>
      <c r="F14221" s="8" t="str">
        <f ca="1">IFERROR(__xludf.DUMMYFUNCTION("IF
(
C14222=""фізична особа""
,
VLOOKUP(D14222,IMPORTRANGE(""https://docs.google.com/spreadsheets/d/14Bd19lYaqBhU8_DElYkX7l4wRkHqqCUFNJY4AfY3kHU/edit?usp=sharing  #gid=0"",""фіз особи new!relations_name""),6,FALSE)
,
(IF
(
C14222=""юридична особа""
,
VLOO"&amp;"KUP(D14222,IMPORTRANGE(""https://docs.google.com/spreadsheets/d/14Bd19lYaqBhU8_DElYkX7l4wRkHqqCUFNJY4AfY3kHU/edit?usp=sharing  #gid=0"",""фіз особи new!relations_name_uo""),7,FALSE)
,
)
))"),"ЗИРЯНОВ Денис Сергійович")</f>
        <v>ЗИРЯНОВ Денис Сергійович</v>
      </c>
      <c r="G14221" s="7" t="s">
        <v>10</v>
      </c>
      <c r="H14221" s="7">
        <v>18918</v>
      </c>
      <c r="I14221" s="8" t="str">
        <f ca="1">IFERROR(__xludf.DUMMYFUNCTION("IF
(
G14222=""фізична особа""
,
VLOOKUP(H14222,IMPORTRANGE(""https://docs.google.com/spreadsheets/d/14Bd19lYaqBhU8_DElYkX7l4wRkHqqCUFNJY4AfY3kHU/edit?usp=sharing  #gid=0"",""фіз особи new!relations_name""),6,FALSE)
,
(IF
(
G14222=""юридична особа""
,
VLOO"&amp;"KUP(H14222,IMPORTRANGE(""https://docs.google.com/spreadsheets/d/14Bd19lYaqBhU8_DElYkX7l4wRkHqqCUFNJY4AfY3kHU/edit?usp=sharing  #gid=0"",""фіз особи new!relations_name_uo""),7,FALSE)
,
)
))"),"ДУДІН Олександр Олександрович")</f>
        <v>ДУДІН Олександр Олександрович</v>
      </c>
      <c r="J14221" s="7" t="s">
        <v>23</v>
      </c>
    </row>
    <row r="14222" spans="1:10" ht="13.2">
      <c r="A14222" s="7">
        <v>14221</v>
      </c>
      <c r="B14222" s="7">
        <v>1</v>
      </c>
      <c r="C14222" s="7" t="s">
        <v>10</v>
      </c>
      <c r="D14222" s="7">
        <v>18920</v>
      </c>
      <c r="E14222" s="7" t="s">
        <v>23</v>
      </c>
      <c r="F14222" s="8" t="str">
        <f ca="1">IFERROR(__xludf.DUMMYFUNCTION("IF
(
C14223=""фізична особа""
,
VLOOKUP(D14223,IMPORTRANGE(""https://docs.google.com/spreadsheets/d/14Bd19lYaqBhU8_DElYkX7l4wRkHqqCUFNJY4AfY3kHU/edit?usp=sharing  #gid=0"",""фіз особи new!relations_name""),6,FALSE)
,
(IF
(
C14223=""юридична особа""
,
VLOO"&amp;"KUP(D14223,IMPORTRANGE(""https://docs.google.com/spreadsheets/d/14Bd19lYaqBhU8_DElYkX7l4wRkHqqCUFNJY4AfY3kHU/edit?usp=sharing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G14222" s="7" t="s">
        <v>10</v>
      </c>
      <c r="H14222" s="7">
        <v>18921</v>
      </c>
      <c r="I14222" s="8" t="str">
        <f ca="1">IFERROR(__xludf.DUMMYFUNCTION("IF
(
G14223=""фізична особа""
,
VLOOKUP(H14223,IMPORTRANGE(""https://docs.google.com/spreadsheets/d/14Bd19lYaqBhU8_DElYkX7l4wRkHqqCUFNJY4AfY3kHU/edit?usp=sharing  #gid=0"",""фіз особи new!relations_name""),6,FALSE)
,
(IF
(
G14223=""юридична особа""
,
VLOO"&amp;"KUP(H14223,IMPORTRANGE(""https://docs.google.com/spreadsheets/d/14Bd19lYaqBhU8_DElYkX7l4wRkHqqCUFNJY4AfY3kHU/edit?usp=sharing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22" s="7" t="s">
        <v>23</v>
      </c>
    </row>
    <row r="14223" spans="1:10" ht="13.2">
      <c r="A14223" s="7">
        <v>14222</v>
      </c>
      <c r="B14223" s="7">
        <v>1</v>
      </c>
      <c r="C14223" s="7" t="s">
        <v>10</v>
      </c>
      <c r="D14223" s="7">
        <v>18921</v>
      </c>
      <c r="E14223" s="7" t="s">
        <v>23</v>
      </c>
      <c r="F14223" s="8" t="str">
        <f ca="1">IFERROR(__xludf.DUMMYFUNCTION("IF
(
C14224=""фізична особа""
,
VLOOKUP(D14224,IMPORTRANGE(""https://docs.google.com/spreadsheets/d/14Bd19lYaqBhU8_DElYkX7l4wRkHqqCUFNJY4AfY3kHU/edit?usp=sharing  #gid=0"",""фіз особи new!relations_name""),6,FALSE)
,
(IF
(
C14224=""юридична особа""
,
VLOO"&amp;"KUP(D14224,IMPORTRANGE(""https://docs.google.com/spreadsheets/d/14Bd19lYaqBhU8_DElYkX7l4wRkHqqCUFNJY4AfY3kHU/edit?usp=sharing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G14223" s="7" t="s">
        <v>10</v>
      </c>
      <c r="H14223" s="7">
        <v>18920</v>
      </c>
      <c r="I14223" s="8" t="str">
        <f ca="1">IFERROR(__xludf.DUMMYFUNCTION("IF
(
G14224=""фізична особа""
,
VLOOKUP(H14224,IMPORTRANGE(""https://docs.google.com/spreadsheets/d/14Bd19lYaqBhU8_DElYkX7l4wRkHqqCUFNJY4AfY3kHU/edit?usp=sharing  #gid=0"",""фіз особи new!relations_name""),6,FALSE)
,
(IF
(
G14224=""юридична особа""
,
VLOO"&amp;"KUP(H14224,IMPORTRANGE(""https://docs.google.com/spreadsheets/d/14Bd19lYaqBhU8_DElYkX7l4wRkHqqCUFNJY4AfY3kHU/edit?usp=sharing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23" s="7" t="s">
        <v>23</v>
      </c>
    </row>
    <row r="14224" spans="1:10" ht="13.2">
      <c r="A14224" s="7">
        <v>14223</v>
      </c>
      <c r="B14224" s="7">
        <v>1</v>
      </c>
      <c r="C14224" s="7" t="s">
        <v>10</v>
      </c>
      <c r="D14224" s="7">
        <v>18922</v>
      </c>
      <c r="E14224" s="7" t="s">
        <v>23</v>
      </c>
      <c r="F14224" s="8" t="str">
        <f ca="1">IFERROR(__xludf.DUMMYFUNCTION("IF
(
C14225=""фізична особа""
,
VLOOKUP(D14225,IMPORTRANGE(""https://docs.google.com/spreadsheets/d/14Bd19lYaqBhU8_DElYkX7l4wRkHqqCUFNJY4AfY3kHU/edit?usp=sharing  #gid=0"",""фіз особи new!relations_name""),6,FALSE)
,
(IF
(
C14225=""юридична особа""
,
VLOO"&amp;"KUP(D14225,IMPORTRANGE(""https://docs.google.com/spreadsheets/d/14Bd19lYaqBhU8_DElYkX7l4wRkHqqCUFNJY4AfY3kHU/edit?usp=sharing  #gid=0"",""фіз особи new!relations_name_uo""),7,FALSE)
,
)
))"),"СУЛЕЙМАНОВ Рашид Уралович")</f>
        <v>СУЛЕЙМАНОВ Рашид Уралович</v>
      </c>
      <c r="G14224" s="7" t="s">
        <v>10</v>
      </c>
      <c r="H14224" s="7">
        <v>18920</v>
      </c>
      <c r="I14224" s="8" t="str">
        <f ca="1">IFERROR(__xludf.DUMMYFUNCTION("IF
(
G14225=""фізична особа""
,
VLOOKUP(H14225,IMPORTRANGE(""https://docs.google.com/spreadsheets/d/14Bd19lYaqBhU8_DElYkX7l4wRkHqqCUFNJY4AfY3kHU/edit?usp=sharing  #gid=0"",""фіз особи new!relations_name""),6,FALSE)
,
(IF
(
G14225=""юридична особа""
,
VLOO"&amp;"KUP(H14225,IMPORTRANGE(""https://docs.google.com/spreadsheets/d/14Bd19lYaqBhU8_DElYkX7l4wRkHqqCUFNJY4AfY3kHU/edit?usp=sharing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24" s="7" t="s">
        <v>23</v>
      </c>
    </row>
    <row r="14225" spans="1:10" ht="13.2">
      <c r="A14225" s="7">
        <v>14224</v>
      </c>
      <c r="B14225" s="7">
        <v>1</v>
      </c>
      <c r="C14225" s="7" t="s">
        <v>10</v>
      </c>
      <c r="D14225" s="7">
        <v>18922</v>
      </c>
      <c r="E14225" s="7" t="s">
        <v>23</v>
      </c>
      <c r="F14225" s="8" t="str">
        <f ca="1">IFERROR(__xludf.DUMMYFUNCTION("IF
(
C14226=""фізична особа""
,
VLOOKUP(D14226,IMPORTRANGE(""https://docs.google.com/spreadsheets/d/14Bd19lYaqBhU8_DElYkX7l4wRkHqqCUFNJY4AfY3kHU/edit?usp=sharing  #gid=0"",""фіз особи new!relations_name""),6,FALSE)
,
(IF
(
C14226=""юридична особа""
,
VLOO"&amp;"KUP(D14226,IMPORTRANGE(""https://docs.google.com/spreadsheets/d/14Bd19lYaqBhU8_DElYkX7l4wRkHqqCUFNJY4AfY3kHU/edit?usp=sharing  #gid=0"",""фіз особи new!relations_name_uo""),7,FALSE)
,
)
))"),"СУЛЕЙМАНОВ Рашид Уралович")</f>
        <v>СУЛЕЙМАНОВ Рашид Уралович</v>
      </c>
      <c r="G14225" s="7" t="s">
        <v>10</v>
      </c>
      <c r="H14225" s="7">
        <v>18921</v>
      </c>
      <c r="I14225" s="8" t="str">
        <f ca="1">IFERROR(__xludf.DUMMYFUNCTION("IF
(
G14226=""фізична особа""
,
VLOOKUP(H14226,IMPORTRANGE(""https://docs.google.com/spreadsheets/d/14Bd19lYaqBhU8_DElYkX7l4wRkHqqCUFNJY4AfY3kHU/edit?usp=sharing  #gid=0"",""фіз особи new!relations_name""),6,FALSE)
,
(IF
(
G14226=""юридична особа""
,
VLOO"&amp;"KUP(H14226,IMPORTRANGE(""https://docs.google.com/spreadsheets/d/14Bd19lYaqBhU8_DElYkX7l4wRkHqqCUFNJY4AfY3kHU/edit?usp=sharing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25" s="7" t="s">
        <v>23</v>
      </c>
    </row>
    <row r="14226" spans="1:10" ht="13.2">
      <c r="A14226" s="7">
        <v>14225</v>
      </c>
      <c r="B14226" s="7">
        <v>1</v>
      </c>
      <c r="C14226" s="7" t="s">
        <v>10</v>
      </c>
      <c r="D14226" s="7">
        <v>18923</v>
      </c>
      <c r="E14226" s="7" t="s">
        <v>23</v>
      </c>
      <c r="F14226" s="8" t="str">
        <f ca="1">IFERROR(__xludf.DUMMYFUNCTION("IF
(
C14227=""фізична особа""
,
VLOOKUP(D14227,IMPORTRANGE(""https://docs.google.com/spreadsheets/d/14Bd19lYaqBhU8_DElYkX7l4wRkHqqCUFNJY4AfY3kHU/edit?usp=sharing  #gid=0"",""фіз особи new!relations_name""),6,FALSE)
,
(IF
(
C14227=""юридична особа""
,
VLOO"&amp;"KUP(D14227,IMPORTRANGE(""https://docs.google.com/spreadsheets/d/14Bd19lYaqBhU8_DElYkX7l4wRkHqqCUFNJY4AfY3kHU/edit?usp=sharing  #gid=0"",""фіз особи new!relations_name_uo""),7,FALSE)
,
)
))"),"ГЛУХОВА Ольга Василівна")</f>
        <v>ГЛУХОВА Ольга Василівна</v>
      </c>
      <c r="G14226" s="7" t="s">
        <v>10</v>
      </c>
      <c r="H14226" s="7">
        <v>18920</v>
      </c>
      <c r="I14226" s="8" t="str">
        <f ca="1">IFERROR(__xludf.DUMMYFUNCTION("IF
(
G14227=""фізична особа""
,
VLOOKUP(H14227,IMPORTRANGE(""https://docs.google.com/spreadsheets/d/14Bd19lYaqBhU8_DElYkX7l4wRkHqqCUFNJY4AfY3kHU/edit?usp=sharing  #gid=0"",""фіз особи new!relations_name""),6,FALSE)
,
(IF
(
G14227=""юридична особа""
,
VLOO"&amp;"KUP(H14227,IMPORTRANGE(""https://docs.google.com/spreadsheets/d/14Bd19lYaqBhU8_DElYkX7l4wRkHqqCUFNJY4AfY3kHU/edit?usp=sharing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26" s="7" t="s">
        <v>23</v>
      </c>
    </row>
    <row r="14227" spans="1:10" ht="13.2">
      <c r="A14227" s="7">
        <v>14226</v>
      </c>
      <c r="B14227" s="7">
        <v>1</v>
      </c>
      <c r="C14227" s="7" t="s">
        <v>10</v>
      </c>
      <c r="D14227" s="7">
        <v>18923</v>
      </c>
      <c r="E14227" s="7" t="s">
        <v>23</v>
      </c>
      <c r="F14227" s="8" t="str">
        <f ca="1">IFERROR(__xludf.DUMMYFUNCTION("IF
(
C14228=""фізична особа""
,
VLOOKUP(D14228,IMPORTRANGE(""https://docs.google.com/spreadsheets/d/14Bd19lYaqBhU8_DElYkX7l4wRkHqqCUFNJY4AfY3kHU/edit?usp=sharing  #gid=0"",""фіз особи new!relations_name""),6,FALSE)
,
(IF
(
C14228=""юридична особа""
,
VLOO"&amp;"KUP(D14228,IMPORTRANGE(""https://docs.google.com/spreadsheets/d/14Bd19lYaqBhU8_DElYkX7l4wRkHqqCUFNJY4AfY3kHU/edit?usp=sharing  #gid=0"",""фіз особи new!relations_name_uo""),7,FALSE)
,
)
))"),"ГЛУХОВА Ольга Василівна")</f>
        <v>ГЛУХОВА Ольга Василівна</v>
      </c>
      <c r="G14227" s="7" t="s">
        <v>10</v>
      </c>
      <c r="H14227" s="7">
        <v>18921</v>
      </c>
      <c r="I14227" s="8" t="str">
        <f ca="1">IFERROR(__xludf.DUMMYFUNCTION("IF
(
G14228=""фізична особа""
,
VLOOKUP(H14228,IMPORTRANGE(""https://docs.google.com/spreadsheets/d/14Bd19lYaqBhU8_DElYkX7l4wRkHqqCUFNJY4AfY3kHU/edit?usp=sharing  #gid=0"",""фіз особи new!relations_name""),6,FALSE)
,
(IF
(
G14228=""юридична особа""
,
VLOO"&amp;"KUP(H14228,IMPORTRANGE(""https://docs.google.com/spreadsheets/d/14Bd19lYaqBhU8_DElYkX7l4wRkHqqCUFNJY4AfY3kHU/edit?usp=sharing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27" s="7" t="s">
        <v>23</v>
      </c>
    </row>
    <row r="14228" spans="1:10" ht="13.2">
      <c r="A14228" s="7">
        <v>14227</v>
      </c>
      <c r="B14228" s="7">
        <v>1</v>
      </c>
      <c r="C14228" s="7" t="s">
        <v>10</v>
      </c>
      <c r="D14228" s="7">
        <v>18924</v>
      </c>
      <c r="E14228" s="7" t="s">
        <v>23</v>
      </c>
      <c r="F14228" s="8" t="str">
        <f ca="1">IFERROR(__xludf.DUMMYFUNCTION("IF
(
C14229=""фізична особа""
,
VLOOKUP(D14229,IMPORTRANGE(""https://docs.google.com/spreadsheets/d/14Bd19lYaqBhU8_DElYkX7l4wRkHqqCUFNJY4AfY3kHU/edit?usp=sharing  #gid=0"",""фіз особи new!relations_name""),6,FALSE)
,
(IF
(
C14229=""юридична особа""
,
VLOO"&amp;"KUP(D14229,IMPORTRANGE(""https://docs.google.com/spreadsheets/d/14Bd19lYaqBhU8_DElYkX7l4wRkHqqCUFNJY4AfY3kHU/edit?usp=sharing  #gid=0"",""фіз особи new!relations_name_uo""),7,FALSE)
,
)
))"),"ЛАПТЄВ Олексій Петрович")</f>
        <v>ЛАПТЄВ Олексій Петрович</v>
      </c>
      <c r="G14228" s="7" t="s">
        <v>10</v>
      </c>
      <c r="H14228" s="7">
        <v>18920</v>
      </c>
      <c r="I14228" s="8" t="str">
        <f ca="1">IFERROR(__xludf.DUMMYFUNCTION("IF
(
G14229=""фізична особа""
,
VLOOKUP(H14229,IMPORTRANGE(""https://docs.google.com/spreadsheets/d/14Bd19lYaqBhU8_DElYkX7l4wRkHqqCUFNJY4AfY3kHU/edit?usp=sharing  #gid=0"",""фіз особи new!relations_name""),6,FALSE)
,
(IF
(
G14229=""юридична особа""
,
VLOO"&amp;"KUP(H14229,IMPORTRANGE(""https://docs.google.com/spreadsheets/d/14Bd19lYaqBhU8_DElYkX7l4wRkHqqCUFNJY4AfY3kHU/edit?usp=sharing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28" s="7" t="s">
        <v>23</v>
      </c>
    </row>
    <row r="14229" spans="1:10" ht="13.2">
      <c r="A14229" s="7">
        <v>14228</v>
      </c>
      <c r="B14229" s="7">
        <v>1</v>
      </c>
      <c r="C14229" s="7" t="s">
        <v>10</v>
      </c>
      <c r="D14229" s="7">
        <v>18924</v>
      </c>
      <c r="E14229" s="7" t="s">
        <v>23</v>
      </c>
      <c r="F14229" s="8" t="str">
        <f ca="1">IFERROR(__xludf.DUMMYFUNCTION("IF
(
C14230=""фізична особа""
,
VLOOKUP(D14230,IMPORTRANGE(""https://docs.google.com/spreadsheets/d/14Bd19lYaqBhU8_DElYkX7l4wRkHqqCUFNJY4AfY3kHU/edit?usp=sharing  #gid=0"",""фіз особи new!relations_name""),6,FALSE)
,
(IF
(
C14230=""юридична особа""
,
VLOO"&amp;"KUP(D14230,IMPORTRANGE(""https://docs.google.com/spreadsheets/d/14Bd19lYaqBhU8_DElYkX7l4wRkHqqCUFNJY4AfY3kHU/edit?usp=sharing  #gid=0"",""фіз особи new!relations_name_uo""),7,FALSE)
,
)
))"),"ЛАПТЄВ Олексій Петрович")</f>
        <v>ЛАПТЄВ Олексій Петрович</v>
      </c>
      <c r="G14229" s="7" t="s">
        <v>10</v>
      </c>
      <c r="H14229" s="7">
        <v>18921</v>
      </c>
      <c r="I14229" s="8" t="str">
        <f ca="1">IFERROR(__xludf.DUMMYFUNCTION("IF
(
G14230=""фізична особа""
,
VLOOKUP(H14230,IMPORTRANGE(""https://docs.google.com/spreadsheets/d/14Bd19lYaqBhU8_DElYkX7l4wRkHqqCUFNJY4AfY3kHU/edit?usp=sharing  #gid=0"",""фіз особи new!relations_name""),6,FALSE)
,
(IF
(
G14230=""юридична особа""
,
VLOO"&amp;"KUP(H14230,IMPORTRANGE(""https://docs.google.com/spreadsheets/d/14Bd19lYaqBhU8_DElYkX7l4wRkHqqCUFNJY4AfY3kHU/edit?usp=sharing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29" s="7" t="s">
        <v>23</v>
      </c>
    </row>
    <row r="14230" spans="1:10" ht="13.2">
      <c r="A14230" s="7">
        <v>14229</v>
      </c>
      <c r="B14230" s="7">
        <v>1</v>
      </c>
      <c r="C14230" s="7" t="s">
        <v>10</v>
      </c>
      <c r="D14230" s="7">
        <v>18925</v>
      </c>
      <c r="E14230" s="7" t="s">
        <v>23</v>
      </c>
      <c r="F14230" s="8" t="str">
        <f ca="1">IFERROR(__xludf.DUMMYFUNCTION("IF
(
C14231=""фізична особа""
,
VLOOKUP(D14231,IMPORTRANGE(""https://docs.google.com/spreadsheets/d/14Bd19lYaqBhU8_DElYkX7l4wRkHqqCUFNJY4AfY3kHU/edit?usp=sharing  #gid=0"",""фіз особи new!relations_name""),6,FALSE)
,
(IF
(
C14231=""юридична особа""
,
VLOO"&amp;"KUP(D14231,IMPORTRANGE(""https://docs.google.com/spreadsheets/d/14Bd19lYaqBhU8_DElYkX7l4wRkHqqCUFNJY4AfY3kHU/edit?usp=sharing  #gid=0"",""фіз особи new!relations_name_uo""),7,FALSE)
,
)
))"),"МАЛІКОВ Руслан Геннадійович")</f>
        <v>МАЛІКОВ Руслан Геннадійович</v>
      </c>
      <c r="G14230" s="7" t="s">
        <v>10</v>
      </c>
      <c r="H14230" s="7">
        <v>18920</v>
      </c>
      <c r="I14230" s="8" t="str">
        <f ca="1">IFERROR(__xludf.DUMMYFUNCTION("IF
(
G14231=""фізична особа""
,
VLOOKUP(H14231,IMPORTRANGE(""https://docs.google.com/spreadsheets/d/14Bd19lYaqBhU8_DElYkX7l4wRkHqqCUFNJY4AfY3kHU/edit?usp=sharing  #gid=0"",""фіз особи new!relations_name""),6,FALSE)
,
(IF
(
G14231=""юридична особа""
,
VLOO"&amp;"KUP(H14231,IMPORTRANGE(""https://docs.google.com/spreadsheets/d/14Bd19lYaqBhU8_DElYkX7l4wRkHqqCUFNJY4AfY3kHU/edit?usp=sharing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30" s="7" t="s">
        <v>23</v>
      </c>
    </row>
    <row r="14231" spans="1:10" ht="13.2">
      <c r="A14231" s="7">
        <v>14230</v>
      </c>
      <c r="B14231" s="7">
        <v>1</v>
      </c>
      <c r="C14231" s="7" t="s">
        <v>10</v>
      </c>
      <c r="D14231" s="7">
        <v>18925</v>
      </c>
      <c r="E14231" s="7" t="s">
        <v>23</v>
      </c>
      <c r="F14231" s="8" t="str">
        <f ca="1">IFERROR(__xludf.DUMMYFUNCTION("IF
(
C14232=""фізична особа""
,
VLOOKUP(D14232,IMPORTRANGE(""https://docs.google.com/spreadsheets/d/14Bd19lYaqBhU8_DElYkX7l4wRkHqqCUFNJY4AfY3kHU/edit?usp=sharing  #gid=0"",""фіз особи new!relations_name""),6,FALSE)
,
(IF
(
C14232=""юридична особа""
,
VLOO"&amp;"KUP(D14232,IMPORTRANGE(""https://docs.google.com/spreadsheets/d/14Bd19lYaqBhU8_DElYkX7l4wRkHqqCUFNJY4AfY3kHU/edit?usp=sharing  #gid=0"",""фіз особи new!relations_name_uo""),7,FALSE)
,
)
))"),"МАЛІКОВ Руслан Геннадійович")</f>
        <v>МАЛІКОВ Руслан Геннадійович</v>
      </c>
      <c r="G14231" s="7" t="s">
        <v>10</v>
      </c>
      <c r="H14231" s="7">
        <v>18921</v>
      </c>
      <c r="I14231" s="8" t="str">
        <f ca="1">IFERROR(__xludf.DUMMYFUNCTION("IF
(
G14232=""фізична особа""
,
VLOOKUP(H14232,IMPORTRANGE(""https://docs.google.com/spreadsheets/d/14Bd19lYaqBhU8_DElYkX7l4wRkHqqCUFNJY4AfY3kHU/edit?usp=sharing  #gid=0"",""фіз особи new!relations_name""),6,FALSE)
,
(IF
(
G14232=""юридична особа""
,
VLOO"&amp;"KUP(H14232,IMPORTRANGE(""https://docs.google.com/spreadsheets/d/14Bd19lYaqBhU8_DElYkX7l4wRkHqqCUFNJY4AfY3kHU/edit?usp=sharing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31" s="7" t="s">
        <v>23</v>
      </c>
    </row>
    <row r="14232" spans="1:10" ht="13.2">
      <c r="A14232" s="7">
        <v>14231</v>
      </c>
      <c r="B14232" s="7">
        <v>1</v>
      </c>
      <c r="C14232" s="7" t="s">
        <v>10</v>
      </c>
      <c r="D14232" s="7">
        <v>18926</v>
      </c>
      <c r="E14232" s="7" t="s">
        <v>23</v>
      </c>
      <c r="F14232" s="8" t="str">
        <f ca="1">IFERROR(__xludf.DUMMYFUNCTION("IF
(
C14233=""фізична особа""
,
VLOOKUP(D14233,IMPORTRANGE(""https://docs.google.com/spreadsheets/d/14Bd19lYaqBhU8_DElYkX7l4wRkHqqCUFNJY4AfY3kHU/edit?usp=sharing  #gid=0"",""фіз особи new!relations_name""),6,FALSE)
,
(IF
(
C14233=""юридична особа""
,
VLOO"&amp;"KUP(D14233,IMPORTRANGE(""https://docs.google.com/spreadsheets/d/14Bd19lYaqBhU8_DElYkX7l4wRkHqqCUFNJY4AfY3kHU/edit?usp=sharing  #gid=0"",""фіз особи new!relations_name_uo""),7,FALSE)
,
)
))"),"ЛОГВІНОВ Олексій Володимирович")</f>
        <v>ЛОГВІНОВ Олексій Володимирович</v>
      </c>
      <c r="G14232" s="7" t="s">
        <v>10</v>
      </c>
      <c r="H14232" s="7">
        <v>18920</v>
      </c>
      <c r="I14232" s="8" t="str">
        <f ca="1">IFERROR(__xludf.DUMMYFUNCTION("IF
(
G14233=""фізична особа""
,
VLOOKUP(H14233,IMPORTRANGE(""https://docs.google.com/spreadsheets/d/14Bd19lYaqBhU8_DElYkX7l4wRkHqqCUFNJY4AfY3kHU/edit?usp=sharing  #gid=0"",""фіз особи new!relations_name""),6,FALSE)
,
(IF
(
G14233=""юридична особа""
,
VLOO"&amp;"KUP(H14233,IMPORTRANGE(""https://docs.google.com/spreadsheets/d/14Bd19lYaqBhU8_DElYkX7l4wRkHqqCUFNJY4AfY3kHU/edit?usp=sharing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32" s="7" t="s">
        <v>23</v>
      </c>
    </row>
    <row r="14233" spans="1:10" ht="13.2">
      <c r="A14233" s="7">
        <v>14232</v>
      </c>
      <c r="B14233" s="7">
        <v>1</v>
      </c>
      <c r="C14233" s="7" t="s">
        <v>10</v>
      </c>
      <c r="D14233" s="7">
        <v>18926</v>
      </c>
      <c r="E14233" s="7" t="s">
        <v>23</v>
      </c>
      <c r="F14233" s="8" t="str">
        <f ca="1">IFERROR(__xludf.DUMMYFUNCTION("IF
(
C14234=""фізична особа""
,
VLOOKUP(D14234,IMPORTRANGE(""https://docs.google.com/spreadsheets/d/14Bd19lYaqBhU8_DElYkX7l4wRkHqqCUFNJY4AfY3kHU/edit?usp=sharing  #gid=0"",""фіз особи new!relations_name""),6,FALSE)
,
(IF
(
C14234=""юридична особа""
,
VLOO"&amp;"KUP(D14234,IMPORTRANGE(""https://docs.google.com/spreadsheets/d/14Bd19lYaqBhU8_DElYkX7l4wRkHqqCUFNJY4AfY3kHU/edit?usp=sharing  #gid=0"",""фіз особи new!relations_name_uo""),7,FALSE)
,
)
))"),"ЛОГВІНОВ Олексій Володимирович")</f>
        <v>ЛОГВІНОВ Олексій Володимирович</v>
      </c>
      <c r="G14233" s="7" t="s">
        <v>10</v>
      </c>
      <c r="H14233" s="7">
        <v>18921</v>
      </c>
      <c r="I14233" s="8" t="str">
        <f ca="1">IFERROR(__xludf.DUMMYFUNCTION("IF
(
G14234=""фізична особа""
,
VLOOKUP(H14234,IMPORTRANGE(""https://docs.google.com/spreadsheets/d/14Bd19lYaqBhU8_DElYkX7l4wRkHqqCUFNJY4AfY3kHU/edit?usp=sharing  #gid=0"",""фіз особи new!relations_name""),6,FALSE)
,
(IF
(
G14234=""юридична особа""
,
VLOO"&amp;"KUP(H14234,IMPORTRANGE(""https://docs.google.com/spreadsheets/d/14Bd19lYaqBhU8_DElYkX7l4wRkHqqCUFNJY4AfY3kHU/edit?usp=sharing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33" s="7" t="s">
        <v>23</v>
      </c>
    </row>
    <row r="14234" spans="1:10" ht="13.2">
      <c r="A14234" s="7">
        <v>14233</v>
      </c>
      <c r="B14234" s="7">
        <v>1</v>
      </c>
      <c r="C14234" s="7" t="s">
        <v>10</v>
      </c>
      <c r="D14234" s="7">
        <v>18927</v>
      </c>
      <c r="E14234" s="7" t="s">
        <v>23</v>
      </c>
      <c r="F14234" s="8" t="str">
        <f ca="1">IFERROR(__xludf.DUMMYFUNCTION("IF
(
C14235=""фізична особа""
,
VLOOKUP(D14235,IMPORTRANGE(""https://docs.google.com/spreadsheets/d/14Bd19lYaqBhU8_DElYkX7l4wRkHqqCUFNJY4AfY3kHU/edit?usp=sharing  #gid=0"",""фіз особи new!relations_name""),6,FALSE)
,
(IF
(
C14235=""юридична особа""
,
VLOO"&amp;"KUP(D14235,IMPORTRANGE(""https://docs.google.com/spreadsheets/d/14Bd19lYaqBhU8_DElYkX7l4wRkHqqCUFNJY4AfY3kHU/edit?usp=sharing  #gid=0"",""фіз особи new!relations_name_uo""),7,FALSE)
,
)
))"),"БАЗАНОВ Сергій Ігорович")</f>
        <v>БАЗАНОВ Сергій Ігорович</v>
      </c>
      <c r="G14234" s="7" t="s">
        <v>10</v>
      </c>
      <c r="H14234" s="7">
        <v>18920</v>
      </c>
      <c r="I14234" s="8" t="str">
        <f ca="1">IFERROR(__xludf.DUMMYFUNCTION("IF
(
G14235=""фізична особа""
,
VLOOKUP(H14235,IMPORTRANGE(""https://docs.google.com/spreadsheets/d/14Bd19lYaqBhU8_DElYkX7l4wRkHqqCUFNJY4AfY3kHU/edit?usp=sharing  #gid=0"",""фіз особи new!relations_name""),6,FALSE)
,
(IF
(
G14235=""юридична особа""
,
VLOO"&amp;"KUP(H14235,IMPORTRANGE(""https://docs.google.com/spreadsheets/d/14Bd19lYaqBhU8_DElYkX7l4wRkHqqCUFNJY4AfY3kHU/edit?usp=sharing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34" s="7" t="s">
        <v>23</v>
      </c>
    </row>
    <row r="14235" spans="1:10" ht="13.2">
      <c r="A14235" s="7">
        <v>14234</v>
      </c>
      <c r="B14235" s="7">
        <v>1</v>
      </c>
      <c r="C14235" s="7" t="s">
        <v>10</v>
      </c>
      <c r="D14235" s="7">
        <v>18927</v>
      </c>
      <c r="E14235" s="7" t="s">
        <v>23</v>
      </c>
      <c r="F14235" s="8" t="str">
        <f ca="1">IFERROR(__xludf.DUMMYFUNCTION("IF
(
C14236=""фізична особа""
,
VLOOKUP(D14236,IMPORTRANGE(""https://docs.google.com/spreadsheets/d/14Bd19lYaqBhU8_DElYkX7l4wRkHqqCUFNJY4AfY3kHU/edit?usp=sharing  #gid=0"",""фіз особи new!relations_name""),6,FALSE)
,
(IF
(
C14236=""юридична особа""
,
VLOO"&amp;"KUP(D14236,IMPORTRANGE(""https://docs.google.com/spreadsheets/d/14Bd19lYaqBhU8_DElYkX7l4wRkHqqCUFNJY4AfY3kHU/edit?usp=sharing  #gid=0"",""фіз особи new!relations_name_uo""),7,FALSE)
,
)
))"),"БАЗАНОВ Сергій Ігорович")</f>
        <v>БАЗАНОВ Сергій Ігорович</v>
      </c>
      <c r="G14235" s="7" t="s">
        <v>10</v>
      </c>
      <c r="H14235" s="7">
        <v>18921</v>
      </c>
      <c r="I14235" s="8" t="str">
        <f ca="1">IFERROR(__xludf.DUMMYFUNCTION("IF
(
G14236=""фізична особа""
,
VLOOKUP(H14236,IMPORTRANGE(""https://docs.google.com/spreadsheets/d/14Bd19lYaqBhU8_DElYkX7l4wRkHqqCUFNJY4AfY3kHU/edit?usp=sharing  #gid=0"",""фіз особи new!relations_name""),6,FALSE)
,
(IF
(
G14236=""юридична особа""
,
VLOO"&amp;"KUP(H14236,IMPORTRANGE(""https://docs.google.com/spreadsheets/d/14Bd19lYaqBhU8_DElYkX7l4wRkHqqCUFNJY4AfY3kHU/edit?usp=sharing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35" s="7" t="s">
        <v>23</v>
      </c>
    </row>
    <row r="14236" spans="1:10" ht="13.2">
      <c r="A14236" s="7">
        <v>14235</v>
      </c>
      <c r="B14236" s="7">
        <v>1</v>
      </c>
      <c r="C14236" s="7" t="s">
        <v>10</v>
      </c>
      <c r="D14236" s="7">
        <v>18928</v>
      </c>
      <c r="E14236" s="7" t="s">
        <v>23</v>
      </c>
      <c r="F14236" s="8" t="str">
        <f ca="1">IFERROR(__xludf.DUMMYFUNCTION("IF
(
C14237=""фізична особа""
,
VLOOKUP(D14237,IMPORTRANGE(""https://docs.google.com/spreadsheets/d/14Bd19lYaqBhU8_DElYkX7l4wRkHqqCUFNJY4AfY3kHU/edit?usp=sharing  #gid=0"",""фіз особи new!relations_name""),6,FALSE)
,
(IF
(
C14237=""юридична особа""
,
VLOO"&amp;"KUP(D14237,IMPORTRANGE(""https://docs.google.com/spreadsheets/d/14Bd19lYaqBhU8_DElYkX7l4wRkHqqCUFNJY4AfY3kHU/edit?usp=sharing  #gid=0"",""фіз особи new!relations_name_uo""),7,FALSE)
,
)
))"),"БЄТНЄВ Владислав Юрійович")</f>
        <v>БЄТНЄВ Владислав Юрійович</v>
      </c>
      <c r="G14236" s="7" t="s">
        <v>10</v>
      </c>
      <c r="H14236" s="7">
        <v>18920</v>
      </c>
      <c r="I14236" s="8" t="str">
        <f ca="1">IFERROR(__xludf.DUMMYFUNCTION("IF
(
G14237=""фізична особа""
,
VLOOKUP(H14237,IMPORTRANGE(""https://docs.google.com/spreadsheets/d/14Bd19lYaqBhU8_DElYkX7l4wRkHqqCUFNJY4AfY3kHU/edit?usp=sharing  #gid=0"",""фіз особи new!relations_name""),6,FALSE)
,
(IF
(
G14237=""юридична особа""
,
VLOO"&amp;"KUP(H14237,IMPORTRANGE(""https://docs.google.com/spreadsheets/d/14Bd19lYaqBhU8_DElYkX7l4wRkHqqCUFNJY4AfY3kHU/edit?usp=sharing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36" s="7" t="s">
        <v>23</v>
      </c>
    </row>
    <row r="14237" spans="1:10" ht="13.2">
      <c r="A14237" s="7">
        <v>14236</v>
      </c>
      <c r="B14237" s="7">
        <v>1</v>
      </c>
      <c r="C14237" s="7" t="s">
        <v>10</v>
      </c>
      <c r="D14237" s="7">
        <v>18928</v>
      </c>
      <c r="E14237" s="7" t="s">
        <v>23</v>
      </c>
      <c r="F14237" s="8" t="str">
        <f ca="1">IFERROR(__xludf.DUMMYFUNCTION("IF
(
C14238=""фізична особа""
,
VLOOKUP(D14238,IMPORTRANGE(""https://docs.google.com/spreadsheets/d/14Bd19lYaqBhU8_DElYkX7l4wRkHqqCUFNJY4AfY3kHU/edit?usp=sharing  #gid=0"",""фіз особи new!relations_name""),6,FALSE)
,
(IF
(
C14238=""юридична особа""
,
VLOO"&amp;"KUP(D14238,IMPORTRANGE(""https://docs.google.com/spreadsheets/d/14Bd19lYaqBhU8_DElYkX7l4wRkHqqCUFNJY4AfY3kHU/edit?usp=sharing  #gid=0"",""фіз особи new!relations_name_uo""),7,FALSE)
,
)
))"),"БЄТНЄВ Владислав Юрійович")</f>
        <v>БЄТНЄВ Владислав Юрійович</v>
      </c>
      <c r="G14237" s="7" t="s">
        <v>10</v>
      </c>
      <c r="H14237" s="7">
        <v>18921</v>
      </c>
      <c r="I14237" s="8" t="str">
        <f ca="1">IFERROR(__xludf.DUMMYFUNCTION("IF
(
G14238=""фізична особа""
,
VLOOKUP(H14238,IMPORTRANGE(""https://docs.google.com/spreadsheets/d/14Bd19lYaqBhU8_DElYkX7l4wRkHqqCUFNJY4AfY3kHU/edit?usp=sharing  #gid=0"",""фіз особи new!relations_name""),6,FALSE)
,
(IF
(
G14238=""юридична особа""
,
VLOO"&amp;"KUP(H14238,IMPORTRANGE(""https://docs.google.com/spreadsheets/d/14Bd19lYaqBhU8_DElYkX7l4wRkHqqCUFNJY4AfY3kHU/edit?usp=sharing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37" s="7" t="s">
        <v>23</v>
      </c>
    </row>
    <row r="14238" spans="1:10" ht="13.2">
      <c r="A14238" s="7">
        <v>14237</v>
      </c>
      <c r="B14238" s="7">
        <v>1</v>
      </c>
      <c r="C14238" s="7" t="s">
        <v>10</v>
      </c>
      <c r="D14238" s="7">
        <v>18929</v>
      </c>
      <c r="E14238" s="7" t="s">
        <v>23</v>
      </c>
      <c r="F14238" s="8" t="str">
        <f ca="1">IFERROR(__xludf.DUMMYFUNCTION("IF
(
C14239=""фізична особа""
,
VLOOKUP(D14239,IMPORTRANGE(""https://docs.google.com/spreadsheets/d/14Bd19lYaqBhU8_DElYkX7l4wRkHqqCUFNJY4AfY3kHU/edit?usp=sharing  #gid=0"",""фіз особи new!relations_name""),6,FALSE)
,
(IF
(
C14239=""юридична особа""
,
VLOO"&amp;"KUP(D14239,IMPORTRANGE(""https://docs.google.com/spreadsheets/d/14Bd19lYaqBhU8_DElYkX7l4wRkHqqCUFNJY4AfY3kHU/edit?usp=sharing  #gid=0"",""фіз особи new!relations_name_uo""),7,FALSE)
,
)
))"),"БОТКІН Ігор Миколайович")</f>
        <v>БОТКІН Ігор Миколайович</v>
      </c>
      <c r="G14238" s="7" t="s">
        <v>10</v>
      </c>
      <c r="H14238" s="7">
        <v>18920</v>
      </c>
      <c r="I14238" s="8" t="str">
        <f ca="1">IFERROR(__xludf.DUMMYFUNCTION("IF
(
G14239=""фізична особа""
,
VLOOKUP(H14239,IMPORTRANGE(""https://docs.google.com/spreadsheets/d/14Bd19lYaqBhU8_DElYkX7l4wRkHqqCUFNJY4AfY3kHU/edit?usp=sharing  #gid=0"",""фіз особи new!relations_name""),6,FALSE)
,
(IF
(
G14239=""юридична особа""
,
VLOO"&amp;"KUP(H14239,IMPORTRANGE(""https://docs.google.com/spreadsheets/d/14Bd19lYaqBhU8_DElYkX7l4wRkHqqCUFNJY4AfY3kHU/edit?usp=sharing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38" s="7" t="s">
        <v>23</v>
      </c>
    </row>
    <row r="14239" spans="1:10" ht="13.2">
      <c r="A14239" s="7">
        <v>14238</v>
      </c>
      <c r="B14239" s="7">
        <v>1</v>
      </c>
      <c r="C14239" s="7" t="s">
        <v>10</v>
      </c>
      <c r="D14239" s="7">
        <v>18929</v>
      </c>
      <c r="E14239" s="7" t="s">
        <v>23</v>
      </c>
      <c r="F14239" s="8" t="str">
        <f ca="1">IFERROR(__xludf.DUMMYFUNCTION("IF
(
C14240=""фізична особа""
,
VLOOKUP(D14240,IMPORTRANGE(""https://docs.google.com/spreadsheets/d/14Bd19lYaqBhU8_DElYkX7l4wRkHqqCUFNJY4AfY3kHU/edit?usp=sharing  #gid=0"",""фіз особи new!relations_name""),6,FALSE)
,
(IF
(
C14240=""юридична особа""
,
VLOO"&amp;"KUP(D14240,IMPORTRANGE(""https://docs.google.com/spreadsheets/d/14Bd19lYaqBhU8_DElYkX7l4wRkHqqCUFNJY4AfY3kHU/edit?usp=sharing  #gid=0"",""фіз особи new!relations_name_uo""),7,FALSE)
,
)
))"),"БОТКІН Ігор Миколайович")</f>
        <v>БОТКІН Ігор Миколайович</v>
      </c>
      <c r="G14239" s="7" t="s">
        <v>10</v>
      </c>
      <c r="H14239" s="7">
        <v>18921</v>
      </c>
      <c r="I14239" s="8" t="str">
        <f ca="1">IFERROR(__xludf.DUMMYFUNCTION("IF
(
G14240=""фізична особа""
,
VLOOKUP(H14240,IMPORTRANGE(""https://docs.google.com/spreadsheets/d/14Bd19lYaqBhU8_DElYkX7l4wRkHqqCUFNJY4AfY3kHU/edit?usp=sharing  #gid=0"",""фіз особи new!relations_name""),6,FALSE)
,
(IF
(
G14240=""юридична особа""
,
VLOO"&amp;"KUP(H14240,IMPORTRANGE(""https://docs.google.com/spreadsheets/d/14Bd19lYaqBhU8_DElYkX7l4wRkHqqCUFNJY4AfY3kHU/edit?usp=sharing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39" s="7" t="s">
        <v>23</v>
      </c>
    </row>
    <row r="14240" spans="1:10" ht="13.2">
      <c r="A14240" s="7">
        <v>14239</v>
      </c>
      <c r="B14240" s="7">
        <v>1</v>
      </c>
      <c r="C14240" s="7" t="s">
        <v>10</v>
      </c>
      <c r="D14240" s="7">
        <v>18930</v>
      </c>
      <c r="E14240" s="7" t="s">
        <v>23</v>
      </c>
      <c r="F14240" s="8" t="str">
        <f ca="1">IFERROR(__xludf.DUMMYFUNCTION("IF
(
C14241=""фізична особа""
,
VLOOKUP(D14241,IMPORTRANGE(""https://docs.google.com/spreadsheets/d/14Bd19lYaqBhU8_DElYkX7l4wRkHqqCUFNJY4AfY3kHU/edit?usp=sharing  #gid=0"",""фіз особи new!relations_name""),6,FALSE)
,
(IF
(
C14241=""юридична особа""
,
VLOO"&amp;"KUP(D14241,IMPORTRANGE(""https://docs.google.com/spreadsheets/d/14Bd19lYaqBhU8_DElYkX7l4wRkHqqCUFNJY4AfY3kHU/edit?usp=sharing  #gid=0"",""фіз особи new!relations_name_uo""),7,FALSE)
,
)
))"),"ЄРЕМЄЄВ Дмитро Миколайович")</f>
        <v>ЄРЕМЄЄВ Дмитро Миколайович</v>
      </c>
      <c r="G14240" s="7" t="s">
        <v>10</v>
      </c>
      <c r="H14240" s="7">
        <v>18920</v>
      </c>
      <c r="I14240" s="8" t="str">
        <f ca="1">IFERROR(__xludf.DUMMYFUNCTION("IF
(
G14241=""фізична особа""
,
VLOOKUP(H14241,IMPORTRANGE(""https://docs.google.com/spreadsheets/d/14Bd19lYaqBhU8_DElYkX7l4wRkHqqCUFNJY4AfY3kHU/edit?usp=sharing  #gid=0"",""фіз особи new!relations_name""),6,FALSE)
,
(IF
(
G14241=""юридична особа""
,
VLOO"&amp;"KUP(H14241,IMPORTRANGE(""https://docs.google.com/spreadsheets/d/14Bd19lYaqBhU8_DElYkX7l4wRkHqqCUFNJY4AfY3kHU/edit?usp=sharing  #gid=0"",""фіз особи new!relations_name_uo""),7,FALSE)
,
)
))"),"ЯШНІК Олександр Валерійович")</f>
        <v>ЯШНІК Олександр Валерійович</v>
      </c>
      <c r="J14240" s="7" t="s">
        <v>23</v>
      </c>
    </row>
    <row r="14241" spans="1:10" ht="13.2">
      <c r="A14241" s="7">
        <v>14240</v>
      </c>
      <c r="B14241" s="7">
        <v>1</v>
      </c>
      <c r="C14241" s="7" t="s">
        <v>10</v>
      </c>
      <c r="D14241" s="7">
        <v>18930</v>
      </c>
      <c r="E14241" s="7" t="s">
        <v>23</v>
      </c>
      <c r="F14241" s="8" t="str">
        <f ca="1">IFERROR(__xludf.DUMMYFUNCTION("IF
(
C14242=""фізична особа""
,
VLOOKUP(D14242,IMPORTRANGE(""https://docs.google.com/spreadsheets/d/14Bd19lYaqBhU8_DElYkX7l4wRkHqqCUFNJY4AfY3kHU/edit?usp=sharing  #gid=0"",""фіз особи new!relations_name""),6,FALSE)
,
(IF
(
C14242=""юридична особа""
,
VLOO"&amp;"KUP(D14242,IMPORTRANGE(""https://docs.google.com/spreadsheets/d/14Bd19lYaqBhU8_DElYkX7l4wRkHqqCUFNJY4AfY3kHU/edit?usp=sharing  #gid=0"",""фіз особи new!relations_name_uo""),7,FALSE)
,
)
))"),"ЄРЕМЄЄВ Дмитро Миколайович")</f>
        <v>ЄРЕМЄЄВ Дмитро Миколайович</v>
      </c>
      <c r="G14241" s="7" t="s">
        <v>10</v>
      </c>
      <c r="H14241" s="7">
        <v>18921</v>
      </c>
      <c r="I14241" s="8" t="str">
        <f ca="1">IFERROR(__xludf.DUMMYFUNCTION("IF
(
G14242=""фізична особа""
,
VLOOKUP(H14242,IMPORTRANGE(""https://docs.google.com/spreadsheets/d/14Bd19lYaqBhU8_DElYkX7l4wRkHqqCUFNJY4AfY3kHU/edit?usp=sharing  #gid=0"",""фіз особи new!relations_name""),6,FALSE)
,
(IF
(
G14242=""юридична особа""
,
VLOO"&amp;"KUP(H14242,IMPORTRANGE(""https://docs.google.com/spreadsheets/d/14Bd19lYaqBhU8_DElYkX7l4wRkHqqCUFNJY4AfY3kHU/edit?usp=sharing  #gid=0"",""фіз особи new!relations_name_uo""),7,FALSE)
,
)
))"),"ІМАНГАЛІЄВ Даніяр Тлетайович")</f>
        <v>ІМАНГАЛІЄВ Даніяр Тлетайович</v>
      </c>
      <c r="J14241" s="7" t="s">
        <v>23</v>
      </c>
    </row>
    <row r="14242" spans="1:10" ht="13.2">
      <c r="A14242" s="7">
        <v>14241</v>
      </c>
      <c r="B14242" s="7">
        <v>1</v>
      </c>
      <c r="C14242" s="7" t="s">
        <v>10</v>
      </c>
      <c r="D14242" s="7">
        <v>18951</v>
      </c>
      <c r="E14242" s="7" t="s">
        <v>23</v>
      </c>
      <c r="F14242" s="8" t="str">
        <f ca="1">IFERROR(__xludf.DUMMYFUNCTION("IF
(
C14243=""фізична особа""
,
VLOOKUP(D14243,IMPORTRANGE(""https://docs.google.com/spreadsheets/d/14Bd19lYaqBhU8_DElYkX7l4wRkHqqCUFNJY4AfY3kHU/edit?usp=sharing  #gid=0"",""фіз особи new!relations_name""),6,FALSE)
,
(IF
(
C14243=""юридична особа""
,
VLOO"&amp;"KUP(D14243,IMPORTRANGE(""https://docs.google.com/spreadsheets/d/14Bd19lYaqBhU8_DElYkX7l4wRkHqqCUFNJY4AfY3kHU/edit?usp=sharing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G14242" s="7" t="s">
        <v>10</v>
      </c>
      <c r="H14242" s="7">
        <v>18952</v>
      </c>
      <c r="I14242" s="8" t="str">
        <f ca="1">IFERROR(__xludf.DUMMYFUNCTION("IF
(
G14243=""фізична особа""
,
VLOOKUP(H14243,IMPORTRANGE(""https://docs.google.com/spreadsheets/d/14Bd19lYaqBhU8_DElYkX7l4wRkHqqCUFNJY4AfY3kHU/edit?usp=sharing  #gid=0"",""фіз особи new!relations_name""),6,FALSE)
,
(IF
(
G14243=""юридична особа""
,
VLOO"&amp;"KUP(H14243,IMPORTRANGE(""https://docs.google.com/spreadsheets/d/14Bd19lYaqBhU8_DElYkX7l4wRkHqqCUFNJY4AfY3kHU/edit?usp=sharing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J14242" s="7" t="s">
        <v>23</v>
      </c>
    </row>
    <row r="14243" spans="1:10" ht="13.2">
      <c r="A14243" s="7">
        <v>14242</v>
      </c>
      <c r="B14243" s="7">
        <v>1</v>
      </c>
      <c r="C14243" s="7" t="s">
        <v>10</v>
      </c>
      <c r="D14243" s="7">
        <v>18951</v>
      </c>
      <c r="E14243" s="7" t="s">
        <v>23</v>
      </c>
      <c r="F14243" s="8" t="str">
        <f ca="1">IFERROR(__xludf.DUMMYFUNCTION("IF
(
C14244=""фізична особа""
,
VLOOKUP(D14244,IMPORTRANGE(""https://docs.google.com/spreadsheets/d/14Bd19lYaqBhU8_DElYkX7l4wRkHqqCUFNJY4AfY3kHU/edit?usp=sharing  #gid=0"",""фіз особи new!relations_name""),6,FALSE)
,
(IF
(
C14244=""юридична особа""
,
VLOO"&amp;"KUP(D14244,IMPORTRANGE(""https://docs.google.com/spreadsheets/d/14Bd19lYaqBhU8_DElYkX7l4wRkHqqCUFNJY4AfY3kHU/edit?usp=sharing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G14243" s="7" t="s">
        <v>10</v>
      </c>
      <c r="H14243" s="7">
        <v>18953</v>
      </c>
      <c r="I14243" s="8" t="str">
        <f ca="1">IFERROR(__xludf.DUMMYFUNCTION("IF
(
G14244=""фізична особа""
,
VLOOKUP(H14244,IMPORTRANGE(""https://docs.google.com/spreadsheets/d/14Bd19lYaqBhU8_DElYkX7l4wRkHqqCUFNJY4AfY3kHU/edit?usp=sharing  #gid=0"",""фіз особи new!relations_name""),6,FALSE)
,
(IF
(
G14244=""юридична особа""
,
VLOO"&amp;"KUP(H14244,IMPORTRANGE(""https://docs.google.com/spreadsheets/d/14Bd19lYaqBhU8_DElYkX7l4wRkHqqCUFNJY4AfY3kHU/edit?usp=sharing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J14243" s="7" t="s">
        <v>23</v>
      </c>
    </row>
    <row r="14244" spans="1:10" ht="13.2">
      <c r="A14244" s="7">
        <v>14243</v>
      </c>
      <c r="B14244" s="7">
        <v>1</v>
      </c>
      <c r="C14244" s="7" t="s">
        <v>10</v>
      </c>
      <c r="D14244" s="7">
        <v>18951</v>
      </c>
      <c r="E14244" s="7" t="s">
        <v>23</v>
      </c>
      <c r="F14244" s="8" t="str">
        <f ca="1">IFERROR(__xludf.DUMMYFUNCTION("IF
(
C14245=""фізична особа""
,
VLOOKUP(D14245,IMPORTRANGE(""https://docs.google.com/spreadsheets/d/14Bd19lYaqBhU8_DElYkX7l4wRkHqqCUFNJY4AfY3kHU/edit?usp=sharing  #gid=0"",""фіз особи new!relations_name""),6,FALSE)
,
(IF
(
C14245=""юридична особа""
,
VLOO"&amp;"KUP(D14245,IMPORTRANGE(""https://docs.google.com/spreadsheets/d/14Bd19lYaqBhU8_DElYkX7l4wRkHqqCUFNJY4AfY3kHU/edit?usp=sharing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G14244" s="7" t="s">
        <v>10</v>
      </c>
      <c r="H14244" s="7">
        <v>18954</v>
      </c>
      <c r="I14244" s="8" t="str">
        <f ca="1">IFERROR(__xludf.DUMMYFUNCTION("IF
(
G14245=""фізична особа""
,
VLOOKUP(H14245,IMPORTRANGE(""https://docs.google.com/spreadsheets/d/14Bd19lYaqBhU8_DElYkX7l4wRkHqqCUFNJY4AfY3kHU/edit?usp=sharing  #gid=0"",""фіз особи new!relations_name""),6,FALSE)
,
(IF
(
G14245=""юридична особа""
,
VLOO"&amp;"KUP(H14245,IMPORTRANGE(""https://docs.google.com/spreadsheets/d/14Bd19lYaqBhU8_DElYkX7l4wRkHqqCUFNJY4AfY3kHU/edit?usp=sharing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J14244" s="7" t="s">
        <v>23</v>
      </c>
    </row>
    <row r="14245" spans="1:10" ht="13.2">
      <c r="A14245" s="7">
        <v>14244</v>
      </c>
      <c r="B14245" s="7">
        <v>1</v>
      </c>
      <c r="C14245" s="7" t="s">
        <v>10</v>
      </c>
      <c r="D14245" s="7">
        <v>18951</v>
      </c>
      <c r="E14245" s="7" t="s">
        <v>23</v>
      </c>
      <c r="F14245" s="8" t="str">
        <f ca="1">IFERROR(__xludf.DUMMYFUNCTION("IF
(
C14246=""фізична особа""
,
VLOOKUP(D14246,IMPORTRANGE(""https://docs.google.com/spreadsheets/d/14Bd19lYaqBhU8_DElYkX7l4wRkHqqCUFNJY4AfY3kHU/edit?usp=sharing  #gid=0"",""фіз особи new!relations_name""),6,FALSE)
,
(IF
(
C14246=""юридична особа""
,
VLOO"&amp;"KUP(D14246,IMPORTRANGE(""https://docs.google.com/spreadsheets/d/14Bd19lYaqBhU8_DElYkX7l4wRkHqqCUFNJY4AfY3kHU/edit?usp=sharing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G14245" s="7" t="s">
        <v>10</v>
      </c>
      <c r="H14245" s="7">
        <v>18955</v>
      </c>
      <c r="I14245" s="8" t="str">
        <f ca="1">IFERROR(__xludf.DUMMYFUNCTION("IF
(
G14246=""фізична особа""
,
VLOOKUP(H14246,IMPORTRANGE(""https://docs.google.com/spreadsheets/d/14Bd19lYaqBhU8_DElYkX7l4wRkHqqCUFNJY4AfY3kHU/edit?usp=sharing  #gid=0"",""фіз особи new!relations_name""),6,FALSE)
,
(IF
(
G14246=""юридична особа""
,
VLOO"&amp;"KUP(H14246,IMPORTRANGE(""https://docs.google.com/spreadsheets/d/14Bd19lYaqBhU8_DElYkX7l4wRkHqqCUFNJY4AfY3kHU/edit?usp=sharing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J14245" s="7" t="s">
        <v>23</v>
      </c>
    </row>
    <row r="14246" spans="1:10" ht="13.2">
      <c r="A14246" s="7">
        <v>14245</v>
      </c>
      <c r="B14246" s="7">
        <v>1</v>
      </c>
      <c r="C14246" s="7" t="s">
        <v>10</v>
      </c>
      <c r="D14246" s="7">
        <v>18952</v>
      </c>
      <c r="E14246" s="7" t="s">
        <v>23</v>
      </c>
      <c r="F14246" s="8" t="str">
        <f ca="1">IFERROR(__xludf.DUMMYFUNCTION("IF
(
C14247=""фізична особа""
,
VLOOKUP(D14247,IMPORTRANGE(""https://docs.google.com/spreadsheets/d/14Bd19lYaqBhU8_DElYkX7l4wRkHqqCUFNJY4AfY3kHU/edit?usp=sharing  #gid=0"",""фіз особи new!relations_name""),6,FALSE)
,
(IF
(
C14247=""юридична особа""
,
VLOO"&amp;"KUP(D14247,IMPORTRANGE(""https://docs.google.com/spreadsheets/d/14Bd19lYaqBhU8_DElYkX7l4wRkHqqCUFNJY4AfY3kHU/edit?usp=sharing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G14246" s="7" t="s">
        <v>10</v>
      </c>
      <c r="H14246" s="7">
        <v>18951</v>
      </c>
      <c r="I14246" s="8" t="str">
        <f ca="1">IFERROR(__xludf.DUMMYFUNCTION("IF
(
G14247=""фізична особа""
,
VLOOKUP(H14247,IMPORTRANGE(""https://docs.google.com/spreadsheets/d/14Bd19lYaqBhU8_DElYkX7l4wRkHqqCUFNJY4AfY3kHU/edit?usp=sharing  #gid=0"",""фіз особи new!relations_name""),6,FALSE)
,
(IF
(
G14247=""юридична особа""
,
VLOO"&amp;"KUP(H14247,IMPORTRANGE(""https://docs.google.com/spreadsheets/d/14Bd19lYaqBhU8_DElYkX7l4wRkHqqCUFNJY4AfY3kHU/edit?usp=sharing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J14246" s="7" t="s">
        <v>23</v>
      </c>
    </row>
    <row r="14247" spans="1:10" ht="13.2">
      <c r="A14247" s="7">
        <v>14246</v>
      </c>
      <c r="B14247" s="7">
        <v>1</v>
      </c>
      <c r="C14247" s="7" t="s">
        <v>10</v>
      </c>
      <c r="D14247" s="7">
        <v>18952</v>
      </c>
      <c r="E14247" s="7" t="s">
        <v>23</v>
      </c>
      <c r="F14247" s="8" t="str">
        <f ca="1">IFERROR(__xludf.DUMMYFUNCTION("IF
(
C14248=""фізична особа""
,
VLOOKUP(D14248,IMPORTRANGE(""https://docs.google.com/spreadsheets/d/14Bd19lYaqBhU8_DElYkX7l4wRkHqqCUFNJY4AfY3kHU/edit?usp=sharing  #gid=0"",""фіз особи new!relations_name""),6,FALSE)
,
(IF
(
C14248=""юридична особа""
,
VLOO"&amp;"KUP(D14248,IMPORTRANGE(""https://docs.google.com/spreadsheets/d/14Bd19lYaqBhU8_DElYkX7l4wRkHqqCUFNJY4AfY3kHU/edit?usp=sharing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G14247" s="7" t="s">
        <v>10</v>
      </c>
      <c r="H14247" s="7">
        <v>18953</v>
      </c>
      <c r="I14247" s="8" t="str">
        <f ca="1">IFERROR(__xludf.DUMMYFUNCTION("IF
(
G14248=""фізична особа""
,
VLOOKUP(H14248,IMPORTRANGE(""https://docs.google.com/spreadsheets/d/14Bd19lYaqBhU8_DElYkX7l4wRkHqqCUFNJY4AfY3kHU/edit?usp=sharing  #gid=0"",""фіз особи new!relations_name""),6,FALSE)
,
(IF
(
G14248=""юридична особа""
,
VLOO"&amp;"KUP(H14248,IMPORTRANGE(""https://docs.google.com/spreadsheets/d/14Bd19lYaqBhU8_DElYkX7l4wRkHqqCUFNJY4AfY3kHU/edit?usp=sharing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J14247" s="7" t="s">
        <v>23</v>
      </c>
    </row>
    <row r="14248" spans="1:10" ht="13.2">
      <c r="A14248" s="7">
        <v>14247</v>
      </c>
      <c r="B14248" s="7">
        <v>1</v>
      </c>
      <c r="C14248" s="7" t="s">
        <v>10</v>
      </c>
      <c r="D14248" s="7">
        <v>18952</v>
      </c>
      <c r="E14248" s="7" t="s">
        <v>23</v>
      </c>
      <c r="F14248" s="8" t="str">
        <f ca="1">IFERROR(__xludf.DUMMYFUNCTION("IF
(
C14249=""фізична особа""
,
VLOOKUP(D14249,IMPORTRANGE(""https://docs.google.com/spreadsheets/d/14Bd19lYaqBhU8_DElYkX7l4wRkHqqCUFNJY4AfY3kHU/edit?usp=sharing  #gid=0"",""фіз особи new!relations_name""),6,FALSE)
,
(IF
(
C14249=""юридична особа""
,
VLOO"&amp;"KUP(D14249,IMPORTRANGE(""https://docs.google.com/spreadsheets/d/14Bd19lYaqBhU8_DElYkX7l4wRkHqqCUFNJY4AfY3kHU/edit?usp=sharing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G14248" s="7" t="s">
        <v>10</v>
      </c>
      <c r="H14248" s="7">
        <v>18954</v>
      </c>
      <c r="I14248" s="8" t="str">
        <f ca="1">IFERROR(__xludf.DUMMYFUNCTION("IF
(
G14249=""фізична особа""
,
VLOOKUP(H14249,IMPORTRANGE(""https://docs.google.com/spreadsheets/d/14Bd19lYaqBhU8_DElYkX7l4wRkHqqCUFNJY4AfY3kHU/edit?usp=sharing  #gid=0"",""фіз особи new!relations_name""),6,FALSE)
,
(IF
(
G14249=""юридична особа""
,
VLOO"&amp;"KUP(H14249,IMPORTRANGE(""https://docs.google.com/spreadsheets/d/14Bd19lYaqBhU8_DElYkX7l4wRkHqqCUFNJY4AfY3kHU/edit?usp=sharing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J14248" s="7" t="s">
        <v>23</v>
      </c>
    </row>
    <row r="14249" spans="1:10" ht="13.2">
      <c r="A14249" s="7">
        <v>14248</v>
      </c>
      <c r="B14249" s="7">
        <v>1</v>
      </c>
      <c r="C14249" s="7" t="s">
        <v>10</v>
      </c>
      <c r="D14249" s="7">
        <v>18952</v>
      </c>
      <c r="E14249" s="7" t="s">
        <v>23</v>
      </c>
      <c r="F14249" s="8" t="str">
        <f ca="1">IFERROR(__xludf.DUMMYFUNCTION("IF
(
C14250=""фізична особа""
,
VLOOKUP(D14250,IMPORTRANGE(""https://docs.google.com/spreadsheets/d/14Bd19lYaqBhU8_DElYkX7l4wRkHqqCUFNJY4AfY3kHU/edit?usp=sharing  #gid=0"",""фіз особи new!relations_name""),6,FALSE)
,
(IF
(
C14250=""юридична особа""
,
VLOO"&amp;"KUP(D14250,IMPORTRANGE(""https://docs.google.com/spreadsheets/d/14Bd19lYaqBhU8_DElYkX7l4wRkHqqCUFNJY4AfY3kHU/edit?usp=sharing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G14249" s="7" t="s">
        <v>10</v>
      </c>
      <c r="H14249" s="7">
        <v>18955</v>
      </c>
      <c r="I14249" s="8" t="str">
        <f ca="1">IFERROR(__xludf.DUMMYFUNCTION("IF
(
G14250=""фізична особа""
,
VLOOKUP(H14250,IMPORTRANGE(""https://docs.google.com/spreadsheets/d/14Bd19lYaqBhU8_DElYkX7l4wRkHqqCUFNJY4AfY3kHU/edit?usp=sharing  #gid=0"",""фіз особи new!relations_name""),6,FALSE)
,
(IF
(
G14250=""юридична особа""
,
VLOO"&amp;"KUP(H14250,IMPORTRANGE(""https://docs.google.com/spreadsheets/d/14Bd19lYaqBhU8_DElYkX7l4wRkHqqCUFNJY4AfY3kHU/edit?usp=sharing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J14249" s="7" t="s">
        <v>23</v>
      </c>
    </row>
    <row r="14250" spans="1:10" ht="13.2">
      <c r="A14250" s="7">
        <v>14249</v>
      </c>
      <c r="B14250" s="7">
        <v>1</v>
      </c>
      <c r="C14250" s="7" t="s">
        <v>10</v>
      </c>
      <c r="D14250" s="7">
        <v>18953</v>
      </c>
      <c r="E14250" s="7" t="s">
        <v>23</v>
      </c>
      <c r="F14250" s="8" t="str">
        <f ca="1">IFERROR(__xludf.DUMMYFUNCTION("IF
(
C14251=""фізична особа""
,
VLOOKUP(D14251,IMPORTRANGE(""https://docs.google.com/spreadsheets/d/14Bd19lYaqBhU8_DElYkX7l4wRkHqqCUFNJY4AfY3kHU/edit?usp=sharing  #gid=0"",""фіз особи new!relations_name""),6,FALSE)
,
(IF
(
C14251=""юридична особа""
,
VLOO"&amp;"KUP(D14251,IMPORTRANGE(""https://docs.google.com/spreadsheets/d/14Bd19lYaqBhU8_DElYkX7l4wRkHqqCUFNJY4AfY3kHU/edit?usp=sharing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G14250" s="7" t="s">
        <v>10</v>
      </c>
      <c r="H14250" s="7">
        <v>18951</v>
      </c>
      <c r="I14250" s="8" t="str">
        <f ca="1">IFERROR(__xludf.DUMMYFUNCTION("IF
(
G14251=""фізична особа""
,
VLOOKUP(H14251,IMPORTRANGE(""https://docs.google.com/spreadsheets/d/14Bd19lYaqBhU8_DElYkX7l4wRkHqqCUFNJY4AfY3kHU/edit?usp=sharing  #gid=0"",""фіз особи new!relations_name""),6,FALSE)
,
(IF
(
G14251=""юридична особа""
,
VLOO"&amp;"KUP(H14251,IMPORTRANGE(""https://docs.google.com/spreadsheets/d/14Bd19lYaqBhU8_DElYkX7l4wRkHqqCUFNJY4AfY3kHU/edit?usp=sharing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J14250" s="7" t="s">
        <v>23</v>
      </c>
    </row>
    <row r="14251" spans="1:10" ht="13.2">
      <c r="A14251" s="7">
        <v>14250</v>
      </c>
      <c r="B14251" s="7">
        <v>1</v>
      </c>
      <c r="C14251" s="7" t="s">
        <v>10</v>
      </c>
      <c r="D14251" s="7">
        <v>18953</v>
      </c>
      <c r="E14251" s="7" t="s">
        <v>23</v>
      </c>
      <c r="F14251" s="8" t="str">
        <f ca="1">IFERROR(__xludf.DUMMYFUNCTION("IF
(
C14252=""фізична особа""
,
VLOOKUP(D14252,IMPORTRANGE(""https://docs.google.com/spreadsheets/d/14Bd19lYaqBhU8_DElYkX7l4wRkHqqCUFNJY4AfY3kHU/edit?usp=sharing  #gid=0"",""фіз особи new!relations_name""),6,FALSE)
,
(IF
(
C14252=""юридична особа""
,
VLOO"&amp;"KUP(D14252,IMPORTRANGE(""https://docs.google.com/spreadsheets/d/14Bd19lYaqBhU8_DElYkX7l4wRkHqqCUFNJY4AfY3kHU/edit?usp=sharing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G14251" s="7" t="s">
        <v>10</v>
      </c>
      <c r="H14251" s="7">
        <v>18952</v>
      </c>
      <c r="I14251" s="8" t="str">
        <f ca="1">IFERROR(__xludf.DUMMYFUNCTION("IF
(
G14252=""фізична особа""
,
VLOOKUP(H14252,IMPORTRANGE(""https://docs.google.com/spreadsheets/d/14Bd19lYaqBhU8_DElYkX7l4wRkHqqCUFNJY4AfY3kHU/edit?usp=sharing  #gid=0"",""фіз особи new!relations_name""),6,FALSE)
,
(IF
(
G14252=""юридична особа""
,
VLOO"&amp;"KUP(H14252,IMPORTRANGE(""https://docs.google.com/spreadsheets/d/14Bd19lYaqBhU8_DElYkX7l4wRkHqqCUFNJY4AfY3kHU/edit?usp=sharing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J14251" s="7" t="s">
        <v>23</v>
      </c>
    </row>
    <row r="14252" spans="1:10" ht="13.2">
      <c r="A14252" s="7">
        <v>14251</v>
      </c>
      <c r="B14252" s="7">
        <v>1</v>
      </c>
      <c r="C14252" s="7" t="s">
        <v>10</v>
      </c>
      <c r="D14252" s="7">
        <v>18953</v>
      </c>
      <c r="E14252" s="7" t="s">
        <v>23</v>
      </c>
      <c r="F14252" s="8" t="str">
        <f ca="1">IFERROR(__xludf.DUMMYFUNCTION("IF
(
C14253=""фізична особа""
,
VLOOKUP(D14253,IMPORTRANGE(""https://docs.google.com/spreadsheets/d/14Bd19lYaqBhU8_DElYkX7l4wRkHqqCUFNJY4AfY3kHU/edit?usp=sharing  #gid=0"",""фіз особи new!relations_name""),6,FALSE)
,
(IF
(
C14253=""юридична особа""
,
VLOO"&amp;"KUP(D14253,IMPORTRANGE(""https://docs.google.com/spreadsheets/d/14Bd19lYaqBhU8_DElYkX7l4wRkHqqCUFNJY4AfY3kHU/edit?usp=sharing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G14252" s="7" t="s">
        <v>10</v>
      </c>
      <c r="H14252" s="7">
        <v>18954</v>
      </c>
      <c r="I14252" s="8" t="str">
        <f ca="1">IFERROR(__xludf.DUMMYFUNCTION("IF
(
G14253=""фізична особа""
,
VLOOKUP(H14253,IMPORTRANGE(""https://docs.google.com/spreadsheets/d/14Bd19lYaqBhU8_DElYkX7l4wRkHqqCUFNJY4AfY3kHU/edit?usp=sharing  #gid=0"",""фіз особи new!relations_name""),6,FALSE)
,
(IF
(
G14253=""юридична особа""
,
VLOO"&amp;"KUP(H14253,IMPORTRANGE(""https://docs.google.com/spreadsheets/d/14Bd19lYaqBhU8_DElYkX7l4wRkHqqCUFNJY4AfY3kHU/edit?usp=sharing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J14252" s="7" t="s">
        <v>23</v>
      </c>
    </row>
    <row r="14253" spans="1:10" ht="13.2">
      <c r="A14253" s="7">
        <v>14252</v>
      </c>
      <c r="B14253" s="7">
        <v>1</v>
      </c>
      <c r="C14253" s="7" t="s">
        <v>10</v>
      </c>
      <c r="D14253" s="7">
        <v>18953</v>
      </c>
      <c r="E14253" s="7" t="s">
        <v>23</v>
      </c>
      <c r="F14253" s="8" t="str">
        <f ca="1">IFERROR(__xludf.DUMMYFUNCTION("IF
(
C14254=""фізична особа""
,
VLOOKUP(D14254,IMPORTRANGE(""https://docs.google.com/spreadsheets/d/14Bd19lYaqBhU8_DElYkX7l4wRkHqqCUFNJY4AfY3kHU/edit?usp=sharing  #gid=0"",""фіз особи new!relations_name""),6,FALSE)
,
(IF
(
C14254=""юридична особа""
,
VLOO"&amp;"KUP(D14254,IMPORTRANGE(""https://docs.google.com/spreadsheets/d/14Bd19lYaqBhU8_DElYkX7l4wRkHqqCUFNJY4AfY3kHU/edit?usp=sharing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G14253" s="7" t="s">
        <v>10</v>
      </c>
      <c r="H14253" s="7">
        <v>18955</v>
      </c>
      <c r="I14253" s="8" t="str">
        <f ca="1">IFERROR(__xludf.DUMMYFUNCTION("IF
(
G14254=""фізична особа""
,
VLOOKUP(H14254,IMPORTRANGE(""https://docs.google.com/spreadsheets/d/14Bd19lYaqBhU8_DElYkX7l4wRkHqqCUFNJY4AfY3kHU/edit?usp=sharing  #gid=0"",""фіз особи new!relations_name""),6,FALSE)
,
(IF
(
G14254=""юридична особа""
,
VLOO"&amp;"KUP(H14254,IMPORTRANGE(""https://docs.google.com/spreadsheets/d/14Bd19lYaqBhU8_DElYkX7l4wRkHqqCUFNJY4AfY3kHU/edit?usp=sharing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J14253" s="7" t="s">
        <v>23</v>
      </c>
    </row>
    <row r="14254" spans="1:10" ht="13.2">
      <c r="A14254" s="7">
        <v>14253</v>
      </c>
      <c r="B14254" s="7">
        <v>1</v>
      </c>
      <c r="C14254" s="7" t="s">
        <v>10</v>
      </c>
      <c r="D14254" s="7">
        <v>18954</v>
      </c>
      <c r="E14254" s="7" t="s">
        <v>23</v>
      </c>
      <c r="F14254" s="8" t="str">
        <f ca="1">IFERROR(__xludf.DUMMYFUNCTION("IF
(
C14255=""фізична особа""
,
VLOOKUP(D14255,IMPORTRANGE(""https://docs.google.com/spreadsheets/d/14Bd19lYaqBhU8_DElYkX7l4wRkHqqCUFNJY4AfY3kHU/edit?usp=sharing  #gid=0"",""фіз особи new!relations_name""),6,FALSE)
,
(IF
(
C14255=""юридична особа""
,
VLOO"&amp;"KUP(D14255,IMPORTRANGE(""https://docs.google.com/spreadsheets/d/14Bd19lYaqBhU8_DElYkX7l4wRkHqqCUFNJY4AfY3kHU/edit?usp=sharing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G14254" s="7" t="s">
        <v>10</v>
      </c>
      <c r="H14254" s="7">
        <v>18951</v>
      </c>
      <c r="I14254" s="8" t="str">
        <f ca="1">IFERROR(__xludf.DUMMYFUNCTION("IF
(
G14255=""фізична особа""
,
VLOOKUP(H14255,IMPORTRANGE(""https://docs.google.com/spreadsheets/d/14Bd19lYaqBhU8_DElYkX7l4wRkHqqCUFNJY4AfY3kHU/edit?usp=sharing  #gid=0"",""фіз особи new!relations_name""),6,FALSE)
,
(IF
(
G14255=""юридична особа""
,
VLOO"&amp;"KUP(H14255,IMPORTRANGE(""https://docs.google.com/spreadsheets/d/14Bd19lYaqBhU8_DElYkX7l4wRkHqqCUFNJY4AfY3kHU/edit?usp=sharing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J14254" s="7" t="s">
        <v>23</v>
      </c>
    </row>
    <row r="14255" spans="1:10" ht="13.2">
      <c r="A14255" s="7">
        <v>14254</v>
      </c>
      <c r="B14255" s="7">
        <v>1</v>
      </c>
      <c r="C14255" s="7" t="s">
        <v>10</v>
      </c>
      <c r="D14255" s="7">
        <v>18954</v>
      </c>
      <c r="E14255" s="7" t="s">
        <v>23</v>
      </c>
      <c r="F14255" s="8" t="str">
        <f ca="1">IFERROR(__xludf.DUMMYFUNCTION("IF
(
C14256=""фізична особа""
,
VLOOKUP(D14256,IMPORTRANGE(""https://docs.google.com/spreadsheets/d/14Bd19lYaqBhU8_DElYkX7l4wRkHqqCUFNJY4AfY3kHU/edit?usp=sharing  #gid=0"",""фіз особи new!relations_name""),6,FALSE)
,
(IF
(
C14256=""юридична особа""
,
VLOO"&amp;"KUP(D14256,IMPORTRANGE(""https://docs.google.com/spreadsheets/d/14Bd19lYaqBhU8_DElYkX7l4wRkHqqCUFNJY4AfY3kHU/edit?usp=sharing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G14255" s="7" t="s">
        <v>10</v>
      </c>
      <c r="H14255" s="7">
        <v>18952</v>
      </c>
      <c r="I14255" s="8" t="str">
        <f ca="1">IFERROR(__xludf.DUMMYFUNCTION("IF
(
G14256=""фізична особа""
,
VLOOKUP(H14256,IMPORTRANGE(""https://docs.google.com/spreadsheets/d/14Bd19lYaqBhU8_DElYkX7l4wRkHqqCUFNJY4AfY3kHU/edit?usp=sharing  #gid=0"",""фіз особи new!relations_name""),6,FALSE)
,
(IF
(
G14256=""юридична особа""
,
VLOO"&amp;"KUP(H14256,IMPORTRANGE(""https://docs.google.com/spreadsheets/d/14Bd19lYaqBhU8_DElYkX7l4wRkHqqCUFNJY4AfY3kHU/edit?usp=sharing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J14255" s="7" t="s">
        <v>23</v>
      </c>
    </row>
    <row r="14256" spans="1:10" ht="13.2">
      <c r="A14256" s="7">
        <v>14255</v>
      </c>
      <c r="B14256" s="7">
        <v>1</v>
      </c>
      <c r="C14256" s="7" t="s">
        <v>10</v>
      </c>
      <c r="D14256" s="7">
        <v>18954</v>
      </c>
      <c r="E14256" s="7" t="s">
        <v>23</v>
      </c>
      <c r="F14256" s="8" t="str">
        <f ca="1">IFERROR(__xludf.DUMMYFUNCTION("IF
(
C14257=""фізична особа""
,
VLOOKUP(D14257,IMPORTRANGE(""https://docs.google.com/spreadsheets/d/14Bd19lYaqBhU8_DElYkX7l4wRkHqqCUFNJY4AfY3kHU/edit?usp=sharing  #gid=0"",""фіз особи new!relations_name""),6,FALSE)
,
(IF
(
C14257=""юридична особа""
,
VLOO"&amp;"KUP(D14257,IMPORTRANGE(""https://docs.google.com/spreadsheets/d/14Bd19lYaqBhU8_DElYkX7l4wRkHqqCUFNJY4AfY3kHU/edit?usp=sharing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G14256" s="7" t="s">
        <v>10</v>
      </c>
      <c r="H14256" s="7">
        <v>18953</v>
      </c>
      <c r="I14256" s="8" t="str">
        <f ca="1">IFERROR(__xludf.DUMMYFUNCTION("IF
(
G14257=""фізична особа""
,
VLOOKUP(H14257,IMPORTRANGE(""https://docs.google.com/spreadsheets/d/14Bd19lYaqBhU8_DElYkX7l4wRkHqqCUFNJY4AfY3kHU/edit?usp=sharing  #gid=0"",""фіз особи new!relations_name""),6,FALSE)
,
(IF
(
G14257=""юридична особа""
,
VLOO"&amp;"KUP(H14257,IMPORTRANGE(""https://docs.google.com/spreadsheets/d/14Bd19lYaqBhU8_DElYkX7l4wRkHqqCUFNJY4AfY3kHU/edit?usp=sharing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J14256" s="7" t="s">
        <v>23</v>
      </c>
    </row>
    <row r="14257" spans="1:10" ht="13.2">
      <c r="A14257" s="7">
        <v>14256</v>
      </c>
      <c r="B14257" s="7">
        <v>1</v>
      </c>
      <c r="C14257" s="7" t="s">
        <v>10</v>
      </c>
      <c r="D14257" s="7">
        <v>18954</v>
      </c>
      <c r="E14257" s="7" t="s">
        <v>23</v>
      </c>
      <c r="F14257" s="8" t="str">
        <f ca="1">IFERROR(__xludf.DUMMYFUNCTION("IF
(
C14258=""фізична особа""
,
VLOOKUP(D14258,IMPORTRANGE(""https://docs.google.com/spreadsheets/d/14Bd19lYaqBhU8_DElYkX7l4wRkHqqCUFNJY4AfY3kHU/edit?usp=sharing  #gid=0"",""фіз особи new!relations_name""),6,FALSE)
,
(IF
(
C14258=""юридична особа""
,
VLOO"&amp;"KUP(D14258,IMPORTRANGE(""https://docs.google.com/spreadsheets/d/14Bd19lYaqBhU8_DElYkX7l4wRkHqqCUFNJY4AfY3kHU/edit?usp=sharing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G14257" s="7" t="s">
        <v>10</v>
      </c>
      <c r="H14257" s="7">
        <v>18955</v>
      </c>
      <c r="I14257" s="8" t="str">
        <f ca="1">IFERROR(__xludf.DUMMYFUNCTION("IF
(
G14258=""фізична особа""
,
VLOOKUP(H14258,IMPORTRANGE(""https://docs.google.com/spreadsheets/d/14Bd19lYaqBhU8_DElYkX7l4wRkHqqCUFNJY4AfY3kHU/edit?usp=sharing  #gid=0"",""фіз особи new!relations_name""),6,FALSE)
,
(IF
(
G14258=""юридична особа""
,
VLOO"&amp;"KUP(H14258,IMPORTRANGE(""https://docs.google.com/spreadsheets/d/14Bd19lYaqBhU8_DElYkX7l4wRkHqqCUFNJY4AfY3kHU/edit?usp=sharing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J14257" s="7" t="s">
        <v>23</v>
      </c>
    </row>
    <row r="14258" spans="1:10" ht="13.2">
      <c r="A14258" s="7">
        <v>14257</v>
      </c>
      <c r="B14258" s="7">
        <v>1</v>
      </c>
      <c r="C14258" s="7" t="s">
        <v>10</v>
      </c>
      <c r="D14258" s="7">
        <v>18955</v>
      </c>
      <c r="E14258" s="7" t="s">
        <v>23</v>
      </c>
      <c r="F14258" s="8" t="str">
        <f ca="1">IFERROR(__xludf.DUMMYFUNCTION("IF
(
C14259=""фізична особа""
,
VLOOKUP(D14259,IMPORTRANGE(""https://docs.google.com/spreadsheets/d/14Bd19lYaqBhU8_DElYkX7l4wRkHqqCUFNJY4AfY3kHU/edit?usp=sharing  #gid=0"",""фіз особи new!relations_name""),6,FALSE)
,
(IF
(
C14259=""юридична особа""
,
VLOO"&amp;"KUP(D14259,IMPORTRANGE(""https://docs.google.com/spreadsheets/d/14Bd19lYaqBhU8_DElYkX7l4wRkHqqCUFNJY4AfY3kHU/edit?usp=sharing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G14258" s="7" t="s">
        <v>10</v>
      </c>
      <c r="H14258" s="7">
        <v>18951</v>
      </c>
      <c r="I14258" s="8" t="str">
        <f ca="1">IFERROR(__xludf.DUMMYFUNCTION("IF
(
G14259=""фізична особа""
,
VLOOKUP(H14259,IMPORTRANGE(""https://docs.google.com/spreadsheets/d/14Bd19lYaqBhU8_DElYkX7l4wRkHqqCUFNJY4AfY3kHU/edit?usp=sharing  #gid=0"",""фіз особи new!relations_name""),6,FALSE)
,
(IF
(
G14259=""юридична особа""
,
VLOO"&amp;"KUP(H14259,IMPORTRANGE(""https://docs.google.com/spreadsheets/d/14Bd19lYaqBhU8_DElYkX7l4wRkHqqCUFNJY4AfY3kHU/edit?usp=sharing  #gid=0"",""фіз особи new!relations_name_uo""),7,FALSE)
,
)
))"),"РОМАНЕЦЬ Юрій Васильович")</f>
        <v>РОМАНЕЦЬ Юрій Васильович</v>
      </c>
      <c r="J14258" s="7" t="s">
        <v>23</v>
      </c>
    </row>
    <row r="14259" spans="1:10" ht="13.2">
      <c r="A14259" s="7">
        <v>14258</v>
      </c>
      <c r="B14259" s="7">
        <v>1</v>
      </c>
      <c r="C14259" s="7" t="s">
        <v>10</v>
      </c>
      <c r="D14259" s="7">
        <v>18955</v>
      </c>
      <c r="E14259" s="7" t="s">
        <v>23</v>
      </c>
      <c r="F14259" s="8" t="str">
        <f ca="1">IFERROR(__xludf.DUMMYFUNCTION("IF
(
C14260=""фізична особа""
,
VLOOKUP(D14260,IMPORTRANGE(""https://docs.google.com/spreadsheets/d/14Bd19lYaqBhU8_DElYkX7l4wRkHqqCUFNJY4AfY3kHU/edit?usp=sharing  #gid=0"",""фіз особи new!relations_name""),6,FALSE)
,
(IF
(
C14260=""юридична особа""
,
VLOO"&amp;"KUP(D14260,IMPORTRANGE(""https://docs.google.com/spreadsheets/d/14Bd19lYaqBhU8_DElYkX7l4wRkHqqCUFNJY4AfY3kHU/edit?usp=sharing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G14259" s="7" t="s">
        <v>10</v>
      </c>
      <c r="H14259" s="7">
        <v>18952</v>
      </c>
      <c r="I14259" s="8" t="str">
        <f ca="1">IFERROR(__xludf.DUMMYFUNCTION("IF
(
G14260=""фізична особа""
,
VLOOKUP(H14260,IMPORTRANGE(""https://docs.google.com/spreadsheets/d/14Bd19lYaqBhU8_DElYkX7l4wRkHqqCUFNJY4AfY3kHU/edit?usp=sharing  #gid=0"",""фіз особи new!relations_name""),6,FALSE)
,
(IF
(
G14260=""юридична особа""
,
VLOO"&amp;"KUP(H14260,IMPORTRANGE(""https://docs.google.com/spreadsheets/d/14Bd19lYaqBhU8_DElYkX7l4wRkHqqCUFNJY4AfY3kHU/edit?usp=sharing  #gid=0"",""фіз особи new!relations_name_uo""),7,FALSE)
,
)
))"),"КЕНІГ Георгій Фрідріхович")</f>
        <v>КЕНІГ Георгій Фрідріхович</v>
      </c>
      <c r="J14259" s="7" t="s">
        <v>23</v>
      </c>
    </row>
    <row r="14260" spans="1:10" ht="13.2">
      <c r="A14260" s="7">
        <v>14259</v>
      </c>
      <c r="B14260" s="7">
        <v>1</v>
      </c>
      <c r="C14260" s="7" t="s">
        <v>10</v>
      </c>
      <c r="D14260" s="7">
        <v>18955</v>
      </c>
      <c r="E14260" s="7" t="s">
        <v>23</v>
      </c>
      <c r="F14260" s="8" t="str">
        <f ca="1">IFERROR(__xludf.DUMMYFUNCTION("IF
(
C14261=""фізична особа""
,
VLOOKUP(D14261,IMPORTRANGE(""https://docs.google.com/spreadsheets/d/14Bd19lYaqBhU8_DElYkX7l4wRkHqqCUFNJY4AfY3kHU/edit?usp=sharing  #gid=0"",""фіз особи new!relations_name""),6,FALSE)
,
(IF
(
C14261=""юридична особа""
,
VLOO"&amp;"KUP(D14261,IMPORTRANGE(""https://docs.google.com/spreadsheets/d/14Bd19lYaqBhU8_DElYkX7l4wRkHqqCUFNJY4AfY3kHU/edit?usp=sharing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G14260" s="7" t="s">
        <v>10</v>
      </c>
      <c r="H14260" s="7">
        <v>18953</v>
      </c>
      <c r="I14260" s="8" t="str">
        <f ca="1">IFERROR(__xludf.DUMMYFUNCTION("IF
(
G14261=""фізична особа""
,
VLOOKUP(H14261,IMPORTRANGE(""https://docs.google.com/spreadsheets/d/14Bd19lYaqBhU8_DElYkX7l4wRkHqqCUFNJY4AfY3kHU/edit?usp=sharing  #gid=0"",""фіз особи new!relations_name""),6,FALSE)
,
(IF
(
G14261=""юридична особа""
,
VLOO"&amp;"KUP(H14261,IMPORTRANGE(""https://docs.google.com/spreadsheets/d/14Bd19lYaqBhU8_DElYkX7l4wRkHqqCUFNJY4AfY3kHU/edit?usp=sharing  #gid=0"",""фіз особи new!relations_name_uo""),7,FALSE)
,
)
))"),"ПЕРВЄЄВ Олександр Володимирович")</f>
        <v>ПЕРВЄЄВ Олександр Володимирович</v>
      </c>
      <c r="J14260" s="7" t="s">
        <v>23</v>
      </c>
    </row>
    <row r="14261" spans="1:10" ht="13.2">
      <c r="A14261" s="7">
        <v>14260</v>
      </c>
      <c r="B14261" s="7">
        <v>1</v>
      </c>
      <c r="C14261" s="7" t="s">
        <v>10</v>
      </c>
      <c r="D14261" s="7">
        <v>18955</v>
      </c>
      <c r="E14261" s="7" t="s">
        <v>23</v>
      </c>
      <c r="F14261" s="8" t="str">
        <f ca="1">IFERROR(__xludf.DUMMYFUNCTION("IF
(
C14262=""фізична особа""
,
VLOOKUP(D14262,IMPORTRANGE(""https://docs.google.com/spreadsheets/d/14Bd19lYaqBhU8_DElYkX7l4wRkHqqCUFNJY4AfY3kHU/edit?usp=sharing  #gid=0"",""фіз особи new!relations_name""),6,FALSE)
,
(IF
(
C14262=""юридична особа""
,
VLOO"&amp;"KUP(D14262,IMPORTRANGE(""https://docs.google.com/spreadsheets/d/14Bd19lYaqBhU8_DElYkX7l4wRkHqqCUFNJY4AfY3kHU/edit?usp=sharing  #gid=0"",""фіз особи new!relations_name_uo""),7,FALSE)
,
)
))"),"ПЕТРОВ Сергій Всеволодович")</f>
        <v>ПЕТРОВ Сергій Всеволодович</v>
      </c>
      <c r="G14261" s="7" t="s">
        <v>10</v>
      </c>
      <c r="H14261" s="7">
        <v>18954</v>
      </c>
      <c r="I14261" s="8" t="str">
        <f ca="1">IFERROR(__xludf.DUMMYFUNCTION("IF
(
G14262=""фізична особа""
,
VLOOKUP(H14262,IMPORTRANGE(""https://docs.google.com/spreadsheets/d/14Bd19lYaqBhU8_DElYkX7l4wRkHqqCUFNJY4AfY3kHU/edit?usp=sharing  #gid=0"",""фіз особи new!relations_name""),6,FALSE)
,
(IF
(
G14262=""юридична особа""
,
VLOO"&amp;"KUP(H14262,IMPORTRANGE(""https://docs.google.com/spreadsheets/d/14Bd19lYaqBhU8_DElYkX7l4wRkHqqCUFNJY4AfY3kHU/edit?usp=sharing  #gid=0"",""фіз особи new!relations_name_uo""),7,FALSE)
,
)
))"),"ЛИХАРЄВА Світлана Станіславівна")</f>
        <v>ЛИХАРЄВА Світлана Станіславівна</v>
      </c>
      <c r="J14261" s="7" t="s">
        <v>23</v>
      </c>
    </row>
    <row r="14262" spans="1:10" ht="13.2">
      <c r="A14262" s="7">
        <v>14261</v>
      </c>
      <c r="B14262" s="7">
        <v>1</v>
      </c>
      <c r="C14262" s="7" t="s">
        <v>10</v>
      </c>
      <c r="D14262" s="7">
        <v>18959</v>
      </c>
      <c r="E14262" s="7" t="s">
        <v>11</v>
      </c>
      <c r="F14262" s="8" t="str">
        <f ca="1">IFERROR(__xludf.DUMMYFUNCTION("IF
(
C14263=""фізична особа""
,
VLOOKUP(D14263,IMPORTRANGE(""https://docs.google.com/spreadsheets/d/14Bd19lYaqBhU8_DElYkX7l4wRkHqqCUFNJY4AfY3kHU/edit?usp=sharing  #gid=0"",""фіз особи new!relations_name""),6,FALSE)
,
(IF
(
C14263=""юридична особа""
,
VLOO"&amp;"KUP(D14263,IMPORTRANGE(""https://docs.google.com/spreadsheets/d/14Bd19lYaqBhU8_DElYkX7l4wRkHqqCUFNJY4AfY3kHU/edit?usp=sharing  #gid=0"",""фіз особи new!relations_name_uo""),7,FALSE)
,
)
))"),"ГАНІН Володимир Олександрович")</f>
        <v>ГАНІН Володимир Олександрович</v>
      </c>
      <c r="G14262" s="7" t="s">
        <v>10</v>
      </c>
      <c r="H14262" s="7">
        <v>0</v>
      </c>
      <c r="I14262" s="8" t="str">
        <f ca="1">IFERROR(__xludf.DUMMYFUNCTION("IF
(
G14263=""фізична особа""
,
VLOOKUP(H14263,IMPORTRANGE(""https://docs.google.com/spreadsheets/d/14Bd19lYaqBhU8_DElYkX7l4wRkHqqCUFNJY4AfY3kHU/edit?usp=sharing  #gid=0"",""фіз особи new!relations_name""),6,FALSE)
,
(IF
(
G14263=""юридична особа""
,
VLOO"&amp;"KUP(H14263,IMPORTRANGE(""https://docs.google.com/spreadsheets/d/14Bd19lYaqBhU8_DElYkX7l4wRkHqqCUFNJY4AfY3kHU/edit?usp=sharing  #gid=0"",""фіз особи new!relations_name_uo""),7,FALSE)
,
)
))"),"#N/A")</f>
        <v>#N/A</v>
      </c>
      <c r="J14262" s="7" t="s">
        <v>11</v>
      </c>
    </row>
    <row r="14263" spans="1:10" ht="13.2">
      <c r="A14263" s="7">
        <v>14262</v>
      </c>
      <c r="B14263" s="7">
        <v>1</v>
      </c>
      <c r="C14263" s="7" t="s">
        <v>10</v>
      </c>
      <c r="D14263" s="7">
        <v>18959</v>
      </c>
      <c r="E14263" s="7" t="s">
        <v>11</v>
      </c>
      <c r="F14263" s="8" t="str">
        <f ca="1">IFERROR(__xludf.DUMMYFUNCTION("IF
(
C14264=""фізична особа""
,
VLOOKUP(D14264,IMPORTRANGE(""https://docs.google.com/spreadsheets/d/14Bd19lYaqBhU8_DElYkX7l4wRkHqqCUFNJY4AfY3kHU/edit?usp=sharing  #gid=0"",""фіз особи new!relations_name""),6,FALSE)
,
(IF
(
C14264=""юридична особа""
,
VLOO"&amp;"KUP(D14264,IMPORTRANGE(""https://docs.google.com/spreadsheets/d/14Bd19lYaqBhU8_DElYkX7l4wRkHqqCUFNJY4AfY3kHU/edit?usp=sharing  #gid=0"",""фіз особи new!relations_name_uo""),7,FALSE)
,
)
))"),"ГАНІН Володимир Олександрович")</f>
        <v>ГАНІН Володимир Олександрович</v>
      </c>
      <c r="G14263" s="7" t="s">
        <v>10</v>
      </c>
      <c r="H14263" s="7">
        <v>0</v>
      </c>
      <c r="I14263" s="8" t="str">
        <f ca="1">IFERROR(__xludf.DUMMYFUNCTION("IF
(
G14264=""фізична особа""
,
VLOOKUP(H14264,IMPORTRANGE(""https://docs.google.com/spreadsheets/d/14Bd19lYaqBhU8_DElYkX7l4wRkHqqCUFNJY4AfY3kHU/edit?usp=sharing  #gid=0"",""фіз особи new!relations_name""),6,FALSE)
,
(IF
(
G14264=""юридична особа""
,
VLOO"&amp;"KUP(H14264,IMPORTRANGE(""https://docs.google.com/spreadsheets/d/14Bd19lYaqBhU8_DElYkX7l4wRkHqqCUFNJY4AfY3kHU/edit?usp=sharing  #gid=0"",""фіз особи new!relations_name_uo""),7,FALSE)
,
)
))"),"#N/A")</f>
        <v>#N/A</v>
      </c>
      <c r="J14263" s="7" t="s">
        <v>11</v>
      </c>
    </row>
    <row r="14264" spans="1:10" ht="13.2">
      <c r="A14264" s="7">
        <v>14263</v>
      </c>
      <c r="B14264" s="7">
        <v>1</v>
      </c>
      <c r="C14264" s="7" t="s">
        <v>10</v>
      </c>
      <c r="D14264" s="7">
        <v>18959</v>
      </c>
      <c r="E14264" s="7" t="s">
        <v>11</v>
      </c>
      <c r="F14264" s="8" t="str">
        <f ca="1">IFERROR(__xludf.DUMMYFUNCTION("IF
(
C14265=""фізична особа""
,
VLOOKUP(D14265,IMPORTRANGE(""https://docs.google.com/spreadsheets/d/14Bd19lYaqBhU8_DElYkX7l4wRkHqqCUFNJY4AfY3kHU/edit?usp=sharing  #gid=0"",""фіз особи new!relations_name""),6,FALSE)
,
(IF
(
C14265=""юридична особа""
,
VLOO"&amp;"KUP(D14265,IMPORTRANGE(""https://docs.google.com/spreadsheets/d/14Bd19lYaqBhU8_DElYkX7l4wRkHqqCUFNJY4AfY3kHU/edit?usp=sharing  #gid=0"",""фіз особи new!relations_name_uo""),7,FALSE)
,
)
))"),"ГАНІН Володимир Олександрович")</f>
        <v>ГАНІН Володимир Олександрович</v>
      </c>
      <c r="G14264" s="7" t="s">
        <v>10</v>
      </c>
      <c r="H14264" s="7">
        <v>0</v>
      </c>
      <c r="I14264" s="8" t="str">
        <f ca="1">IFERROR(__xludf.DUMMYFUNCTION("IF
(
G14265=""фізична особа""
,
VLOOKUP(H14265,IMPORTRANGE(""https://docs.google.com/spreadsheets/d/14Bd19lYaqBhU8_DElYkX7l4wRkHqqCUFNJY4AfY3kHU/edit?usp=sharing  #gid=0"",""фіз особи new!relations_name""),6,FALSE)
,
(IF
(
G14265=""юридична особа""
,
VLOO"&amp;"KUP(H14265,IMPORTRANGE(""https://docs.google.com/spreadsheets/d/14Bd19lYaqBhU8_DElYkX7l4wRkHqqCUFNJY4AfY3kHU/edit?usp=sharing  #gid=0"",""фіз особи new!relations_name_uo""),7,FALSE)
,
)
))"),"#N/A")</f>
        <v>#N/A</v>
      </c>
      <c r="J14264" s="7" t="s">
        <v>11</v>
      </c>
    </row>
    <row r="14265" spans="1:10" ht="13.2">
      <c r="A14265" s="7">
        <v>14264</v>
      </c>
      <c r="B14265" s="7">
        <v>1</v>
      </c>
      <c r="C14265" s="7" t="s">
        <v>10</v>
      </c>
      <c r="D14265" s="7">
        <v>18962</v>
      </c>
      <c r="E14265" s="7" t="s">
        <v>17</v>
      </c>
      <c r="F14265" s="8" t="str">
        <f ca="1">IFERROR(__xludf.DUMMYFUNCTION("IF
(
C14266=""фізична особа""
,
VLOOKUP(D14266,IMPORTRANGE(""https://docs.google.com/spreadsheets/d/14Bd19lYaqBhU8_DElYkX7l4wRkHqqCUFNJY4AfY3kHU/edit?usp=sharing  #gid=0"",""фіз особи new!relations_name""),6,FALSE)
,
(IF
(
C14266=""юридична особа""
,
VLOO"&amp;"KUP(D14266,IMPORTRANGE(""https://docs.google.com/spreadsheets/d/14Bd19lYaqBhU8_DElYkX7l4wRkHqqCUFNJY4AfY3kHU/edit?usp=sharing  #gid=0"",""фіз особи new!relations_name_uo""),7,FALSE)
,
)
))"),"ЛАЗАРЄВ Інокентій Геннадійович")</f>
        <v>ЛАЗАРЄВ Інокентій Геннадійович</v>
      </c>
      <c r="G14265" s="7" t="s">
        <v>10</v>
      </c>
      <c r="H14265" s="7">
        <v>18961</v>
      </c>
      <c r="I14265" s="8" t="str">
        <f ca="1">IFERROR(__xludf.DUMMYFUNCTION("IF
(
G14266=""фізична особа""
,
VLOOKUP(H14266,IMPORTRANGE(""https://docs.google.com/spreadsheets/d/14Bd19lYaqBhU8_DElYkX7l4wRkHqqCUFNJY4AfY3kHU/edit?usp=sharing  #gid=0"",""фіз особи new!relations_name""),6,FALSE)
,
(IF
(
G14266=""юридична особа""
,
VLOO"&amp;"KUP(H14266,IMPORTRANGE(""https://docs.google.com/spreadsheets/d/14Bd19lYaqBhU8_DElYkX7l4wRkHqqCUFNJY4AfY3kHU/edit?usp=sharing  #gid=0"",""фіз особи new!relations_name_uo""),7,FALSE)
,
)
))"),"ЛАЗАРЄВ Геннадій Інокентійович")</f>
        <v>ЛАЗАРЄВ Геннадій Інокентійович</v>
      </c>
      <c r="J14265" s="7" t="s">
        <v>12</v>
      </c>
    </row>
    <row r="14266" spans="1:10" ht="13.2">
      <c r="A14266" s="7">
        <v>14265</v>
      </c>
      <c r="B14266" s="7">
        <v>1</v>
      </c>
      <c r="C14266" s="7" t="s">
        <v>10</v>
      </c>
      <c r="D14266" s="7">
        <v>18973</v>
      </c>
      <c r="E14266" s="7" t="s">
        <v>17</v>
      </c>
      <c r="F14266" s="8" t="str">
        <f ca="1">IFERROR(__xludf.DUMMYFUNCTION("IF
(
C14267=""фізична особа""
,
VLOOKUP(D14267,IMPORTRANGE(""https://docs.google.com/spreadsheets/d/14Bd19lYaqBhU8_DElYkX7l4wRkHqqCUFNJY4AfY3kHU/edit?usp=sharing  #gid=0"",""фіз особи new!relations_name""),6,FALSE)
,
(IF
(
C14267=""юридична особа""
,
VLOO"&amp;"KUP(D14267,IMPORTRANGE(""https://docs.google.com/spreadsheets/d/14Bd19lYaqBhU8_DElYkX7l4wRkHqqCUFNJY4AfY3kHU/edit?usp=sharing  #gid=0"",""фіз особи new!relations_name_uo""),7,FALSE)
,
)
))"),"АРОНОВ Олег Олександрович")</f>
        <v>АРОНОВ Олег Олександрович</v>
      </c>
      <c r="G14266" s="7" t="s">
        <v>10</v>
      </c>
      <c r="H14266" s="7">
        <v>18972</v>
      </c>
      <c r="I14266" s="8" t="str">
        <f ca="1">IFERROR(__xludf.DUMMYFUNCTION("IF
(
G14267=""фізична особа""
,
VLOOKUP(H14267,IMPORTRANGE(""https://docs.google.com/spreadsheets/d/14Bd19lYaqBhU8_DElYkX7l4wRkHqqCUFNJY4AfY3kHU/edit?usp=sharing  #gid=0"",""фіз особи new!relations_name""),6,FALSE)
,
(IF
(
G14267=""юридична особа""
,
VLOO"&amp;"KUP(H14267,IMPORTRANGE(""https://docs.google.com/spreadsheets/d/14Bd19lYaqBhU8_DElYkX7l4wRkHqqCUFNJY4AfY3kHU/edit?usp=sharing  #gid=0"",""фіз особи new!relations_name_uo""),7,FALSE)
,
)
))"),"АРОНОВ Олександр Михайлович")</f>
        <v>АРОНОВ Олександр Михайлович</v>
      </c>
      <c r="J14266" s="7" t="s">
        <v>12</v>
      </c>
    </row>
    <row r="14267" spans="1:10" ht="13.2">
      <c r="A14267" s="7">
        <v>14266</v>
      </c>
      <c r="B14267" s="7">
        <v>1</v>
      </c>
      <c r="C14267" s="7" t="s">
        <v>10</v>
      </c>
      <c r="D14267" s="7">
        <v>18978</v>
      </c>
      <c r="E14267" s="7" t="s">
        <v>18</v>
      </c>
      <c r="F14267" s="8" t="str">
        <f ca="1">IFERROR(__xludf.DUMMYFUNCTION("IF
(
C14268=""фізична особа""
,
VLOOKUP(D14268,IMPORTRANGE(""https://docs.google.com/spreadsheets/d/14Bd19lYaqBhU8_DElYkX7l4wRkHqqCUFNJY4AfY3kHU/edit?usp=sharing  #gid=0"",""фіз особи new!relations_name""),6,FALSE)
,
(IF
(
C14268=""юридична особа""
,
VLOO"&amp;"KUP(D14268,IMPORTRANGE(""https://docs.google.com/spreadsheets/d/14Bd19lYaqBhU8_DElYkX7l4wRkHqqCUFNJY4AfY3kHU/edit?usp=sharing  #gid=0"",""фіз особи new!relations_name_uo""),7,FALSE)
,
)
))"),"КЛЕБАНОВ Олександр Йосипович")</f>
        <v>КЛЕБАНОВ Олександр Йосипович</v>
      </c>
      <c r="G14267" s="7" t="s">
        <v>10</v>
      </c>
      <c r="H14267" s="7">
        <v>4160</v>
      </c>
      <c r="I14267" s="8" t="str">
        <f ca="1">IFERROR(__xludf.DUMMYFUNCTION("IF
(
G14268=""фізична особа""
,
VLOOKUP(H14268,IMPORTRANGE(""https://docs.google.com/spreadsheets/d/14Bd19lYaqBhU8_DElYkX7l4wRkHqqCUFNJY4AfY3kHU/edit?usp=sharing  #gid=0"",""фіз особи new!relations_name""),6,FALSE)
,
(IF
(
G14268=""юридична особа""
,
VLOO"&amp;"KUP(H14268,IMPORTRANGE(""https://docs.google.com/spreadsheets/d/14Bd19lYaqBhU8_DElYkX7l4wRkHqqCUFNJY4AfY3kHU/edit?usp=sharing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J14267" s="7" t="s">
        <v>18</v>
      </c>
    </row>
    <row r="14268" spans="1:10" ht="13.2">
      <c r="A14268" s="7">
        <v>14267</v>
      </c>
      <c r="B14268" s="7">
        <v>1</v>
      </c>
      <c r="C14268" s="7" t="s">
        <v>10</v>
      </c>
      <c r="D14268" s="7">
        <v>18979</v>
      </c>
      <c r="E14268" s="7" t="s">
        <v>13</v>
      </c>
      <c r="F14268" s="8" t="str">
        <f ca="1">IFERROR(__xludf.DUMMYFUNCTION("IF
(
C14269=""фізична особа""
,
VLOOKUP(D14269,IMPORTRANGE(""https://docs.google.com/spreadsheets/d/14Bd19lYaqBhU8_DElYkX7l4wRkHqqCUFNJY4AfY3kHU/edit?usp=sharing  #gid=0"",""фіз особи new!relations_name""),6,FALSE)
,
(IF
(
C14269=""юридична особа""
,
VLOO"&amp;"KUP(D14269,IMPORTRANGE(""https://docs.google.com/spreadsheets/d/14Bd19lYaqBhU8_DElYkX7l4wRkHqqCUFNJY4AfY3kHU/edit?usp=sharing  #gid=0"",""фіз особи new!relations_name_uo""),7,FALSE)
,
)
))"),"КЛЕБАНОВА Катерина Іллівна")</f>
        <v>КЛЕБАНОВА Катерина Іллівна</v>
      </c>
      <c r="G14268" s="7" t="s">
        <v>10</v>
      </c>
      <c r="H14268" s="7">
        <v>4160</v>
      </c>
      <c r="I14268" s="8" t="str">
        <f ca="1">IFERROR(__xludf.DUMMYFUNCTION("IF
(
G14269=""фізична особа""
,
VLOOKUP(H14269,IMPORTRANGE(""https://docs.google.com/spreadsheets/d/14Bd19lYaqBhU8_DElYkX7l4wRkHqqCUFNJY4AfY3kHU/edit?usp=sharing  #gid=0"",""фіз особи new!relations_name""),6,FALSE)
,
(IF
(
G14269=""юридична особа""
,
VLOO"&amp;"KUP(H14269,IMPORTRANGE(""https://docs.google.com/spreadsheets/d/14Bd19lYaqBhU8_DElYkX7l4wRkHqqCUFNJY4AfY3kHU/edit?usp=sharing  #gid=0"",""фіз особи new!relations_name_uo""),7,FALSE)
,
)
))"),"КЛЕБАНОВ Ілля Йосипович")</f>
        <v>КЛЕБАНОВ Ілля Йосипович</v>
      </c>
      <c r="J14268" s="7" t="s">
        <v>12</v>
      </c>
    </row>
    <row r="14269" spans="1:10" ht="13.2">
      <c r="A14269" s="7">
        <v>14268</v>
      </c>
      <c r="B14269" s="7">
        <v>1</v>
      </c>
      <c r="C14269" s="7" t="s">
        <v>10</v>
      </c>
      <c r="D14269" s="7">
        <v>18997</v>
      </c>
      <c r="E14269" s="7" t="s">
        <v>17</v>
      </c>
      <c r="F14269" s="8" t="str">
        <f ca="1">IFERROR(__xludf.DUMMYFUNCTION("IF
(
C14270=""фізична особа""
,
VLOOKUP(D14270,IMPORTRANGE(""https://docs.google.com/spreadsheets/d/14Bd19lYaqBhU8_DElYkX7l4wRkHqqCUFNJY4AfY3kHU/edit?usp=sharing  #gid=0"",""фіз особи new!relations_name""),6,FALSE)
,
(IF
(
C14270=""юридична особа""
,
VLOO"&amp;"KUP(D14270,IMPORTRANGE(""https://docs.google.com/spreadsheets/d/14Bd19lYaqBhU8_DElYkX7l4wRkHqqCUFNJY4AfY3kHU/edit?usp=sharing  #gid=0"",""фіз особи new!relations_name_uo""),7,FALSE)
,
)
))"),"ХОЦЕНКО Віталій Павлович")</f>
        <v>ХОЦЕНКО Віталій Павлович</v>
      </c>
      <c r="G14269" s="7" t="s">
        <v>10</v>
      </c>
      <c r="H14269" s="7">
        <v>0</v>
      </c>
      <c r="I14269" s="8" t="str">
        <f ca="1">IFERROR(__xludf.DUMMYFUNCTION("IF
(
G14270=""фізична особа""
,
VLOOKUP(H14270,IMPORTRANGE(""https://docs.google.com/spreadsheets/d/14Bd19lYaqBhU8_DElYkX7l4wRkHqqCUFNJY4AfY3kHU/edit?usp=sharing  #gid=0"",""фіз особи new!relations_name""),6,FALSE)
,
(IF
(
G14270=""юридична особа""
,
VLOO"&amp;"KUP(H14270,IMPORTRANGE(""https://docs.google.com/spreadsheets/d/14Bd19lYaqBhU8_DElYkX7l4wRkHqqCUFNJY4AfY3kHU/edit?usp=sharing  #gid=0"",""фіз особи new!relations_name_uo""),7,FALSE)
,
)
))"),"#N/A")</f>
        <v>#N/A</v>
      </c>
      <c r="J14269" s="7" t="s">
        <v>12</v>
      </c>
    </row>
    <row r="14270" spans="1:10" ht="13.2">
      <c r="A14270" s="7">
        <v>14269</v>
      </c>
      <c r="B14270" s="7">
        <v>1</v>
      </c>
      <c r="C14270" s="7" t="s">
        <v>10</v>
      </c>
      <c r="D14270" s="7">
        <v>19089</v>
      </c>
      <c r="E14270" s="7" t="s">
        <v>48</v>
      </c>
      <c r="F14270" s="8" t="str">
        <f ca="1">IFERROR(__xludf.DUMMYFUNCTION("IF
(
C14271=""фізична особа""
,
VLOOKUP(D14271,IMPORTRANGE(""https://docs.google.com/spreadsheets/d/14Bd19lYaqBhU8_DElYkX7l4wRkHqqCUFNJY4AfY3kHU/edit?usp=sharing  #gid=0"",""фіз особи new!relations_name""),6,FALSE)
,
(IF
(
C14271=""юридична особа""
,
VLOO"&amp;"KUP(D14271,IMPORTRANGE(""https://docs.google.com/spreadsheets/d/14Bd19lYaqBhU8_DElYkX7l4wRkHqqCUFNJY4AfY3kHU/edit?usp=sharing  #gid=0"",""фіз особи new!relations_name_uo""),7,FALSE)
,
)
))"),"МОТУЗЕНКО Валентин Іванович")</f>
        <v>МОТУЗЕНКО Валентин Іванович</v>
      </c>
      <c r="G14270" s="7" t="s">
        <v>10</v>
      </c>
      <c r="H14270" s="7">
        <v>0</v>
      </c>
      <c r="I14270" s="8" t="str">
        <f ca="1">IFERROR(__xludf.DUMMYFUNCTION("IF
(
G14271=""фізична особа""
,
VLOOKUP(H14271,IMPORTRANGE(""https://docs.google.com/spreadsheets/d/14Bd19lYaqBhU8_DElYkX7l4wRkHqqCUFNJY4AfY3kHU/edit?usp=sharing  #gid=0"",""фіз особи new!relations_name""),6,FALSE)
,
(IF
(
G14271=""юридична особа""
,
VLOO"&amp;"KUP(H14271,IMPORTRANGE(""https://docs.google.com/spreadsheets/d/14Bd19lYaqBhU8_DElYkX7l4wRkHqqCUFNJY4AfY3kHU/edit?usp=sharing  #gid=0"",""фіз особи new!relations_name_uo""),7,FALSE)
,
)
))"),"#N/A")</f>
        <v>#N/A</v>
      </c>
      <c r="J14270" s="7" t="s">
        <v>48</v>
      </c>
    </row>
    <row r="14271" spans="1:10" ht="13.2">
      <c r="A14271" s="7">
        <v>14270</v>
      </c>
      <c r="B14271" s="7">
        <v>1</v>
      </c>
      <c r="C14271" s="7" t="s">
        <v>10</v>
      </c>
      <c r="D14271" s="7">
        <v>19116</v>
      </c>
      <c r="E14271" s="7" t="s">
        <v>23</v>
      </c>
      <c r="F14271" s="8" t="str">
        <f ca="1">IFERROR(__xludf.DUMMYFUNCTION("IF
(
C14272=""фізична особа""
,
VLOOKUP(D14272,IMPORTRANGE(""https://docs.google.com/spreadsheets/d/14Bd19lYaqBhU8_DElYkX7l4wRkHqqCUFNJY4AfY3kHU/edit?usp=sharing  #gid=0"",""фіз особи new!relations_name""),6,FALSE)
,
(IF
(
C14272=""юридична особа""
,
VLOO"&amp;"KUP(D14272,IMPORTRANGE(""https://docs.google.com/spreadsheets/d/14Bd19lYaqBhU8_DElYkX7l4wRkHqqCUFNJY4AfY3kHU/edit?usp=sharing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1" s="7" t="s">
        <v>10</v>
      </c>
      <c r="H14271" s="7">
        <v>18859</v>
      </c>
      <c r="I14271" s="8" t="str">
        <f ca="1">IFERROR(__xludf.DUMMYFUNCTION("IF
(
G14272=""фізична особа""
,
VLOOKUP(H14272,IMPORTRANGE(""https://docs.google.com/spreadsheets/d/14Bd19lYaqBhU8_DElYkX7l4wRkHqqCUFNJY4AfY3kHU/edit?usp=sharing  #gid=0"",""фіз особи new!relations_name""),6,FALSE)
,
(IF
(
G14272=""юридична особа""
,
VLOO"&amp;"KUP(H14272,IMPORTRANGE(""https://docs.google.com/spreadsheets/d/14Bd19lYaqBhU8_DElYkX7l4wRkHqqCUFNJY4AfY3kHU/edit?usp=sharing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271" s="7" t="s">
        <v>23</v>
      </c>
    </row>
    <row r="14272" spans="1:10" ht="13.2">
      <c r="A14272" s="7">
        <v>14271</v>
      </c>
      <c r="B14272" s="7">
        <v>1</v>
      </c>
      <c r="C14272" s="7" t="s">
        <v>10</v>
      </c>
      <c r="D14272" s="7">
        <v>19116</v>
      </c>
      <c r="E14272" s="7" t="s">
        <v>23</v>
      </c>
      <c r="F14272" s="8" t="str">
        <f ca="1">IFERROR(__xludf.DUMMYFUNCTION("IF
(
C14273=""фізична особа""
,
VLOOKUP(D14273,IMPORTRANGE(""https://docs.google.com/spreadsheets/d/14Bd19lYaqBhU8_DElYkX7l4wRkHqqCUFNJY4AfY3kHU/edit?usp=sharing  #gid=0"",""фіз особи new!relations_name""),6,FALSE)
,
(IF
(
C14273=""юридична особа""
,
VLOO"&amp;"KUP(D14273,IMPORTRANGE(""https://docs.google.com/spreadsheets/d/14Bd19lYaqBhU8_DElYkX7l4wRkHqqCUFNJY4AfY3kHU/edit?usp=sharing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2" s="7" t="s">
        <v>10</v>
      </c>
      <c r="H14272" s="7">
        <v>18860</v>
      </c>
      <c r="I14272" s="8" t="str">
        <f ca="1">IFERROR(__xludf.DUMMYFUNCTION("IF
(
G14273=""фізична особа""
,
VLOOKUP(H14273,IMPORTRANGE(""https://docs.google.com/spreadsheets/d/14Bd19lYaqBhU8_DElYkX7l4wRkHqqCUFNJY4AfY3kHU/edit?usp=sharing  #gid=0"",""фіз особи new!relations_name""),6,FALSE)
,
(IF
(
G14273=""юридична особа""
,
VLOO"&amp;"KUP(H14273,IMPORTRANGE(""https://docs.google.com/spreadsheets/d/14Bd19lYaqBhU8_DElYkX7l4wRkHqqCUFNJY4AfY3kHU/edit?usp=sharing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272" s="7" t="s">
        <v>23</v>
      </c>
    </row>
    <row r="14273" spans="1:10" ht="13.2">
      <c r="A14273" s="7">
        <v>14272</v>
      </c>
      <c r="B14273" s="7">
        <v>1</v>
      </c>
      <c r="C14273" s="7" t="s">
        <v>10</v>
      </c>
      <c r="D14273" s="7">
        <v>19116</v>
      </c>
      <c r="E14273" s="7" t="s">
        <v>23</v>
      </c>
      <c r="F14273" s="8" t="str">
        <f ca="1">IFERROR(__xludf.DUMMYFUNCTION("IF
(
C14274=""фізична особа""
,
VLOOKUP(D14274,IMPORTRANGE(""https://docs.google.com/spreadsheets/d/14Bd19lYaqBhU8_DElYkX7l4wRkHqqCUFNJY4AfY3kHU/edit?usp=sharing  #gid=0"",""фіз особи new!relations_name""),6,FALSE)
,
(IF
(
C14274=""юридична особа""
,
VLOO"&amp;"KUP(D14274,IMPORTRANGE(""https://docs.google.com/spreadsheets/d/14Bd19lYaqBhU8_DElYkX7l4wRkHqqCUFNJY4AfY3kHU/edit?usp=sharing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3" s="7" t="s">
        <v>10</v>
      </c>
      <c r="H14273" s="7">
        <v>18861</v>
      </c>
      <c r="I14273" s="8" t="str">
        <f ca="1">IFERROR(__xludf.DUMMYFUNCTION("IF
(
G14274=""фізична особа""
,
VLOOKUP(H14274,IMPORTRANGE(""https://docs.google.com/spreadsheets/d/14Bd19lYaqBhU8_DElYkX7l4wRkHqqCUFNJY4AfY3kHU/edit?usp=sharing  #gid=0"",""фіз особи new!relations_name""),6,FALSE)
,
(IF
(
G14274=""юридична особа""
,
VLOO"&amp;"KUP(H14274,IMPORTRANGE(""https://docs.google.com/spreadsheets/d/14Bd19lYaqBhU8_DElYkX7l4wRkHqqCUFNJY4AfY3kHU/edit?usp=sharing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273" s="7" t="s">
        <v>23</v>
      </c>
    </row>
    <row r="14274" spans="1:10" ht="13.2">
      <c r="A14274" s="7">
        <v>14273</v>
      </c>
      <c r="B14274" s="7">
        <v>1</v>
      </c>
      <c r="C14274" s="7" t="s">
        <v>10</v>
      </c>
      <c r="D14274" s="7">
        <v>19116</v>
      </c>
      <c r="E14274" s="7" t="s">
        <v>23</v>
      </c>
      <c r="F14274" s="8" t="str">
        <f ca="1">IFERROR(__xludf.DUMMYFUNCTION("IF
(
C14275=""фізична особа""
,
VLOOKUP(D14275,IMPORTRANGE(""https://docs.google.com/spreadsheets/d/14Bd19lYaqBhU8_DElYkX7l4wRkHqqCUFNJY4AfY3kHU/edit?usp=sharing  #gid=0"",""фіз особи new!relations_name""),6,FALSE)
,
(IF
(
C14275=""юридична особа""
,
VLOO"&amp;"KUP(D14275,IMPORTRANGE(""https://docs.google.com/spreadsheets/d/14Bd19lYaqBhU8_DElYkX7l4wRkHqqCUFNJY4AfY3kHU/edit?usp=sharing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4" s="7" t="s">
        <v>10</v>
      </c>
      <c r="H14274" s="7">
        <v>18862</v>
      </c>
      <c r="I14274" s="8" t="str">
        <f ca="1">IFERROR(__xludf.DUMMYFUNCTION("IF
(
G14275=""фізична особа""
,
VLOOKUP(H14275,IMPORTRANGE(""https://docs.google.com/spreadsheets/d/14Bd19lYaqBhU8_DElYkX7l4wRkHqqCUFNJY4AfY3kHU/edit?usp=sharing  #gid=0"",""фіз особи new!relations_name""),6,FALSE)
,
(IF
(
G14275=""юридична особа""
,
VLOO"&amp;"KUP(H14275,IMPORTRANGE(""https://docs.google.com/spreadsheets/d/14Bd19lYaqBhU8_DElYkX7l4wRkHqqCUFNJY4AfY3kHU/edit?usp=sharing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274" s="7" t="s">
        <v>23</v>
      </c>
    </row>
    <row r="14275" spans="1:10" ht="13.2">
      <c r="A14275" s="7">
        <v>14274</v>
      </c>
      <c r="B14275" s="7">
        <v>1</v>
      </c>
      <c r="C14275" s="7" t="s">
        <v>10</v>
      </c>
      <c r="D14275" s="7">
        <v>19116</v>
      </c>
      <c r="E14275" s="7" t="s">
        <v>23</v>
      </c>
      <c r="F14275" s="8" t="str">
        <f ca="1">IFERROR(__xludf.DUMMYFUNCTION("IF
(
C14276=""фізична особа""
,
VLOOKUP(D14276,IMPORTRANGE(""https://docs.google.com/spreadsheets/d/14Bd19lYaqBhU8_DElYkX7l4wRkHqqCUFNJY4AfY3kHU/edit?usp=sharing  #gid=0"",""фіз особи new!relations_name""),6,FALSE)
,
(IF
(
C14276=""юридична особа""
,
VLOO"&amp;"KUP(D14276,IMPORTRANGE(""https://docs.google.com/spreadsheets/d/14Bd19lYaqBhU8_DElYkX7l4wRkHqqCUFNJY4AfY3kHU/edit?usp=sharing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5" s="7" t="s">
        <v>10</v>
      </c>
      <c r="H14275" s="7">
        <v>18863</v>
      </c>
      <c r="I14275" s="8" t="str">
        <f ca="1">IFERROR(__xludf.DUMMYFUNCTION("IF
(
G14276=""фізична особа""
,
VLOOKUP(H14276,IMPORTRANGE(""https://docs.google.com/spreadsheets/d/14Bd19lYaqBhU8_DElYkX7l4wRkHqqCUFNJY4AfY3kHU/edit?usp=sharing  #gid=0"",""фіз особи new!relations_name""),6,FALSE)
,
(IF
(
G14276=""юридична особа""
,
VLOO"&amp;"KUP(H14276,IMPORTRANGE(""https://docs.google.com/spreadsheets/d/14Bd19lYaqBhU8_DElYkX7l4wRkHqqCUFNJY4AfY3kHU/edit?usp=sharing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275" s="7" t="s">
        <v>23</v>
      </c>
    </row>
    <row r="14276" spans="1:10" ht="13.2">
      <c r="A14276" s="7">
        <v>14275</v>
      </c>
      <c r="B14276" s="7">
        <v>1</v>
      </c>
      <c r="C14276" s="7" t="s">
        <v>10</v>
      </c>
      <c r="D14276" s="7">
        <v>19116</v>
      </c>
      <c r="E14276" s="7" t="s">
        <v>23</v>
      </c>
      <c r="F14276" s="8" t="str">
        <f ca="1">IFERROR(__xludf.DUMMYFUNCTION("IF
(
C14277=""фізична особа""
,
VLOOKUP(D14277,IMPORTRANGE(""https://docs.google.com/spreadsheets/d/14Bd19lYaqBhU8_DElYkX7l4wRkHqqCUFNJY4AfY3kHU/edit?usp=sharing  #gid=0"",""фіз особи new!relations_name""),6,FALSE)
,
(IF
(
C14277=""юридична особа""
,
VLOO"&amp;"KUP(D14277,IMPORTRANGE(""https://docs.google.com/spreadsheets/d/14Bd19lYaqBhU8_DElYkX7l4wRkHqqCUFNJY4AfY3kHU/edit?usp=sharing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6" s="7" t="s">
        <v>10</v>
      </c>
      <c r="H14276" s="7">
        <v>18864</v>
      </c>
      <c r="I14276" s="8" t="str">
        <f ca="1">IFERROR(__xludf.DUMMYFUNCTION("IF
(
G14277=""фізична особа""
,
VLOOKUP(H14277,IMPORTRANGE(""https://docs.google.com/spreadsheets/d/14Bd19lYaqBhU8_DElYkX7l4wRkHqqCUFNJY4AfY3kHU/edit?usp=sharing  #gid=0"",""фіз особи new!relations_name""),6,FALSE)
,
(IF
(
G14277=""юридична особа""
,
VLOO"&amp;"KUP(H14277,IMPORTRANGE(""https://docs.google.com/spreadsheets/d/14Bd19lYaqBhU8_DElYkX7l4wRkHqqCUFNJY4AfY3kHU/edit?usp=sharing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276" s="7" t="s">
        <v>23</v>
      </c>
    </row>
    <row r="14277" spans="1:10" ht="13.2">
      <c r="A14277" s="7">
        <v>14276</v>
      </c>
      <c r="B14277" s="7">
        <v>1</v>
      </c>
      <c r="C14277" s="7" t="s">
        <v>10</v>
      </c>
      <c r="D14277" s="7">
        <v>19116</v>
      </c>
      <c r="E14277" s="7" t="s">
        <v>23</v>
      </c>
      <c r="F14277" s="8" t="str">
        <f ca="1">IFERROR(__xludf.DUMMYFUNCTION("IF
(
C14278=""фізична особа""
,
VLOOKUP(D14278,IMPORTRANGE(""https://docs.google.com/spreadsheets/d/14Bd19lYaqBhU8_DElYkX7l4wRkHqqCUFNJY4AfY3kHU/edit?usp=sharing  #gid=0"",""фіз особи new!relations_name""),6,FALSE)
,
(IF
(
C14278=""юридична особа""
,
VLOO"&amp;"KUP(D14278,IMPORTRANGE(""https://docs.google.com/spreadsheets/d/14Bd19lYaqBhU8_DElYkX7l4wRkHqqCUFNJY4AfY3kHU/edit?usp=sharing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7" s="7" t="s">
        <v>10</v>
      </c>
      <c r="H14277" s="7">
        <v>18865</v>
      </c>
      <c r="I14277" s="8" t="str">
        <f ca="1">IFERROR(__xludf.DUMMYFUNCTION("IF
(
G14278=""фізична особа""
,
VLOOKUP(H14278,IMPORTRANGE(""https://docs.google.com/spreadsheets/d/14Bd19lYaqBhU8_DElYkX7l4wRkHqqCUFNJY4AfY3kHU/edit?usp=sharing  #gid=0"",""фіз особи new!relations_name""),6,FALSE)
,
(IF
(
G14278=""юридична особа""
,
VLOO"&amp;"KUP(H14278,IMPORTRANGE(""https://docs.google.com/spreadsheets/d/14Bd19lYaqBhU8_DElYkX7l4wRkHqqCUFNJY4AfY3kHU/edit?usp=sharing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277" s="7" t="s">
        <v>23</v>
      </c>
    </row>
    <row r="14278" spans="1:10" ht="13.2">
      <c r="A14278" s="7">
        <v>14277</v>
      </c>
      <c r="B14278" s="7">
        <v>1</v>
      </c>
      <c r="C14278" s="7" t="s">
        <v>10</v>
      </c>
      <c r="D14278" s="7">
        <v>19116</v>
      </c>
      <c r="E14278" s="7" t="s">
        <v>23</v>
      </c>
      <c r="F14278" s="8" t="str">
        <f ca="1">IFERROR(__xludf.DUMMYFUNCTION("IF
(
C14279=""фізична особа""
,
VLOOKUP(D14279,IMPORTRANGE(""https://docs.google.com/spreadsheets/d/14Bd19lYaqBhU8_DElYkX7l4wRkHqqCUFNJY4AfY3kHU/edit?usp=sharing  #gid=0"",""фіз особи new!relations_name""),6,FALSE)
,
(IF
(
C14279=""юридична особа""
,
VLOO"&amp;"KUP(D14279,IMPORTRANGE(""https://docs.google.com/spreadsheets/d/14Bd19lYaqBhU8_DElYkX7l4wRkHqqCUFNJY4AfY3kHU/edit?usp=sharing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8" s="7" t="s">
        <v>10</v>
      </c>
      <c r="H14278" s="7">
        <v>19117</v>
      </c>
      <c r="I14278" s="8" t="str">
        <f ca="1">IFERROR(__xludf.DUMMYFUNCTION("IF
(
G14279=""фізична особа""
,
VLOOKUP(H14279,IMPORTRANGE(""https://docs.google.com/spreadsheets/d/14Bd19lYaqBhU8_DElYkX7l4wRkHqqCUFNJY4AfY3kHU/edit?usp=sharing  #gid=0"",""фіз особи new!relations_name""),6,FALSE)
,
(IF
(
G14279=""юридична особа""
,
VLOO"&amp;"KUP(H14279,IMPORTRANGE(""https://docs.google.com/spreadsheets/d/14Bd19lYaqBhU8_DElYkX7l4wRkHqqCUFNJY4AfY3kHU/edit?usp=sharing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278" s="7" t="s">
        <v>23</v>
      </c>
    </row>
    <row r="14279" spans="1:10" ht="13.2">
      <c r="A14279" s="7">
        <v>14278</v>
      </c>
      <c r="B14279" s="7">
        <v>1</v>
      </c>
      <c r="C14279" s="7" t="s">
        <v>10</v>
      </c>
      <c r="D14279" s="7">
        <v>19116</v>
      </c>
      <c r="E14279" s="7" t="s">
        <v>23</v>
      </c>
      <c r="F14279" s="8" t="str">
        <f ca="1">IFERROR(__xludf.DUMMYFUNCTION("IF
(
C14280=""фізична особа""
,
VLOOKUP(D14280,IMPORTRANGE(""https://docs.google.com/spreadsheets/d/14Bd19lYaqBhU8_DElYkX7l4wRkHqqCUFNJY4AfY3kHU/edit?usp=sharing  #gid=0"",""фіз особи new!relations_name""),6,FALSE)
,
(IF
(
C14280=""юридична особа""
,
VLOO"&amp;"KUP(D14280,IMPORTRANGE(""https://docs.google.com/spreadsheets/d/14Bd19lYaqBhU8_DElYkX7l4wRkHqqCUFNJY4AfY3kHU/edit?usp=sharing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79" s="7" t="s">
        <v>10</v>
      </c>
      <c r="H14279" s="7">
        <v>19118</v>
      </c>
      <c r="I14279" s="8" t="str">
        <f ca="1">IFERROR(__xludf.DUMMYFUNCTION("IF
(
G14280=""фізична особа""
,
VLOOKUP(H14280,IMPORTRANGE(""https://docs.google.com/spreadsheets/d/14Bd19lYaqBhU8_DElYkX7l4wRkHqqCUFNJY4AfY3kHU/edit?usp=sharing  #gid=0"",""фіз особи new!relations_name""),6,FALSE)
,
(IF
(
G14280=""юридична особа""
,
VLOO"&amp;"KUP(H14280,IMPORTRANGE(""https://docs.google.com/spreadsheets/d/14Bd19lYaqBhU8_DElYkX7l4wRkHqqCUFNJY4AfY3kHU/edit?usp=sharing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279" s="7" t="s">
        <v>23</v>
      </c>
    </row>
    <row r="14280" spans="1:10" ht="13.2">
      <c r="A14280" s="7">
        <v>14279</v>
      </c>
      <c r="B14280" s="7">
        <v>1</v>
      </c>
      <c r="C14280" s="7" t="s">
        <v>10</v>
      </c>
      <c r="D14280" s="7">
        <v>19116</v>
      </c>
      <c r="E14280" s="7" t="s">
        <v>23</v>
      </c>
      <c r="F14280" s="8" t="str">
        <f ca="1">IFERROR(__xludf.DUMMYFUNCTION("IF
(
C14281=""фізична особа""
,
VLOOKUP(D14281,IMPORTRANGE(""https://docs.google.com/spreadsheets/d/14Bd19lYaqBhU8_DElYkX7l4wRkHqqCUFNJY4AfY3kHU/edit?usp=sharing  #gid=0"",""фіз особи new!relations_name""),6,FALSE)
,
(IF
(
C14281=""юридична особа""
,
VLOO"&amp;"KUP(D14281,IMPORTRANGE(""https://docs.google.com/spreadsheets/d/14Bd19lYaqBhU8_DElYkX7l4wRkHqqCUFNJY4AfY3kHU/edit?usp=sharing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80" s="7" t="s">
        <v>10</v>
      </c>
      <c r="H14280" s="7">
        <v>19119</v>
      </c>
      <c r="I14280" s="8" t="str">
        <f ca="1">IFERROR(__xludf.DUMMYFUNCTION("IF
(
G14281=""фізична особа""
,
VLOOKUP(H14281,IMPORTRANGE(""https://docs.google.com/spreadsheets/d/14Bd19lYaqBhU8_DElYkX7l4wRkHqqCUFNJY4AfY3kHU/edit?usp=sharing  #gid=0"",""фіз особи new!relations_name""),6,FALSE)
,
(IF
(
G14281=""юридична особа""
,
VLOO"&amp;"KUP(H14281,IMPORTRANGE(""https://docs.google.com/spreadsheets/d/14Bd19lYaqBhU8_DElYkX7l4wRkHqqCUFNJY4AfY3kHU/edit?usp=sharing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280" s="7" t="s">
        <v>23</v>
      </c>
    </row>
    <row r="14281" spans="1:10" ht="13.2">
      <c r="A14281" s="7">
        <v>14280</v>
      </c>
      <c r="B14281" s="7">
        <v>1</v>
      </c>
      <c r="C14281" s="7" t="s">
        <v>10</v>
      </c>
      <c r="D14281" s="7">
        <v>19116</v>
      </c>
      <c r="E14281" s="7" t="s">
        <v>23</v>
      </c>
      <c r="F14281" s="8" t="str">
        <f ca="1">IFERROR(__xludf.DUMMYFUNCTION("IF
(
C14282=""фізична особа""
,
VLOOKUP(D14282,IMPORTRANGE(""https://docs.google.com/spreadsheets/d/14Bd19lYaqBhU8_DElYkX7l4wRkHqqCUFNJY4AfY3kHU/edit?usp=sharing  #gid=0"",""фіз особи new!relations_name""),6,FALSE)
,
(IF
(
C14282=""юридична особа""
,
VLOO"&amp;"KUP(D14282,IMPORTRANGE(""https://docs.google.com/spreadsheets/d/14Bd19lYaqBhU8_DElYkX7l4wRkHqqCUFNJY4AfY3kHU/edit?usp=sharing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G14281" s="7" t="s">
        <v>10</v>
      </c>
      <c r="H14281" s="7">
        <v>19120</v>
      </c>
      <c r="I14281" s="8" t="str">
        <f ca="1">IFERROR(__xludf.DUMMYFUNCTION("IF
(
G14282=""фізична особа""
,
VLOOKUP(H14282,IMPORTRANGE(""https://docs.google.com/spreadsheets/d/14Bd19lYaqBhU8_DElYkX7l4wRkHqqCUFNJY4AfY3kHU/edit?usp=sharing  #gid=0"",""фіз особи new!relations_name""),6,FALSE)
,
(IF
(
G14282=""юридична особа""
,
VLOO"&amp;"KUP(H14282,IMPORTRANGE(""https://docs.google.com/spreadsheets/d/14Bd19lYaqBhU8_DElYkX7l4wRkHqqCUFNJY4AfY3kHU/edit?usp=sharing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281" s="7" t="s">
        <v>23</v>
      </c>
    </row>
    <row r="14282" spans="1:10" ht="13.2">
      <c r="A14282" s="7">
        <v>14281</v>
      </c>
      <c r="B14282" s="7">
        <v>1</v>
      </c>
      <c r="C14282" s="7" t="s">
        <v>10</v>
      </c>
      <c r="D14282" s="7">
        <v>19117</v>
      </c>
      <c r="E14282" s="7" t="s">
        <v>23</v>
      </c>
      <c r="F14282" s="8" t="str">
        <f ca="1">IFERROR(__xludf.DUMMYFUNCTION("IF
(
C14283=""фізична особа""
,
VLOOKUP(D14283,IMPORTRANGE(""https://docs.google.com/spreadsheets/d/14Bd19lYaqBhU8_DElYkX7l4wRkHqqCUFNJY4AfY3kHU/edit?usp=sharing  #gid=0"",""фіз особи new!relations_name""),6,FALSE)
,
(IF
(
C14283=""юридична особа""
,
VLOO"&amp;"KUP(D14283,IMPORTRANGE(""https://docs.google.com/spreadsheets/d/14Bd19lYaqBhU8_DElYkX7l4wRkHqqCUFNJY4AfY3kHU/edit?usp=sharing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2" s="7" t="s">
        <v>10</v>
      </c>
      <c r="H14282" s="7">
        <v>18859</v>
      </c>
      <c r="I14282" s="8" t="str">
        <f ca="1">IFERROR(__xludf.DUMMYFUNCTION("IF
(
G14283=""фізична особа""
,
VLOOKUP(H14283,IMPORTRANGE(""https://docs.google.com/spreadsheets/d/14Bd19lYaqBhU8_DElYkX7l4wRkHqqCUFNJY4AfY3kHU/edit?usp=sharing  #gid=0"",""фіз особи new!relations_name""),6,FALSE)
,
(IF
(
G14283=""юридична особа""
,
VLOO"&amp;"KUP(H14283,IMPORTRANGE(""https://docs.google.com/spreadsheets/d/14Bd19lYaqBhU8_DElYkX7l4wRkHqqCUFNJY4AfY3kHU/edit?usp=sharing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282" s="7" t="s">
        <v>23</v>
      </c>
    </row>
    <row r="14283" spans="1:10" ht="13.2">
      <c r="A14283" s="7">
        <v>14282</v>
      </c>
      <c r="B14283" s="7">
        <v>1</v>
      </c>
      <c r="C14283" s="7" t="s">
        <v>10</v>
      </c>
      <c r="D14283" s="7">
        <v>19117</v>
      </c>
      <c r="E14283" s="7" t="s">
        <v>23</v>
      </c>
      <c r="F14283" s="8" t="str">
        <f ca="1">IFERROR(__xludf.DUMMYFUNCTION("IF
(
C14284=""фізична особа""
,
VLOOKUP(D14284,IMPORTRANGE(""https://docs.google.com/spreadsheets/d/14Bd19lYaqBhU8_DElYkX7l4wRkHqqCUFNJY4AfY3kHU/edit?usp=sharing  #gid=0"",""фіз особи new!relations_name""),6,FALSE)
,
(IF
(
C14284=""юридична особа""
,
VLOO"&amp;"KUP(D14284,IMPORTRANGE(""https://docs.google.com/spreadsheets/d/14Bd19lYaqBhU8_DElYkX7l4wRkHqqCUFNJY4AfY3kHU/edit?usp=sharing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3" s="7" t="s">
        <v>10</v>
      </c>
      <c r="H14283" s="7">
        <v>18860</v>
      </c>
      <c r="I14283" s="8" t="str">
        <f ca="1">IFERROR(__xludf.DUMMYFUNCTION("IF
(
G14284=""фізична особа""
,
VLOOKUP(H14284,IMPORTRANGE(""https://docs.google.com/spreadsheets/d/14Bd19lYaqBhU8_DElYkX7l4wRkHqqCUFNJY4AfY3kHU/edit?usp=sharing  #gid=0"",""фіз особи new!relations_name""),6,FALSE)
,
(IF
(
G14284=""юридична особа""
,
VLOO"&amp;"KUP(H14284,IMPORTRANGE(""https://docs.google.com/spreadsheets/d/14Bd19lYaqBhU8_DElYkX7l4wRkHqqCUFNJY4AfY3kHU/edit?usp=sharing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283" s="7" t="s">
        <v>23</v>
      </c>
    </row>
    <row r="14284" spans="1:10" ht="13.2">
      <c r="A14284" s="7">
        <v>14283</v>
      </c>
      <c r="B14284" s="7">
        <v>1</v>
      </c>
      <c r="C14284" s="7" t="s">
        <v>10</v>
      </c>
      <c r="D14284" s="7">
        <v>19117</v>
      </c>
      <c r="E14284" s="7" t="s">
        <v>23</v>
      </c>
      <c r="F14284" s="8" t="str">
        <f ca="1">IFERROR(__xludf.DUMMYFUNCTION("IF
(
C14285=""фізична особа""
,
VLOOKUP(D14285,IMPORTRANGE(""https://docs.google.com/spreadsheets/d/14Bd19lYaqBhU8_DElYkX7l4wRkHqqCUFNJY4AfY3kHU/edit?usp=sharing  #gid=0"",""фіз особи new!relations_name""),6,FALSE)
,
(IF
(
C14285=""юридична особа""
,
VLOO"&amp;"KUP(D14285,IMPORTRANGE(""https://docs.google.com/spreadsheets/d/14Bd19lYaqBhU8_DElYkX7l4wRkHqqCUFNJY4AfY3kHU/edit?usp=sharing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4" s="7" t="s">
        <v>10</v>
      </c>
      <c r="H14284" s="7">
        <v>18861</v>
      </c>
      <c r="I14284" s="8" t="str">
        <f ca="1">IFERROR(__xludf.DUMMYFUNCTION("IF
(
G14285=""фізична особа""
,
VLOOKUP(H14285,IMPORTRANGE(""https://docs.google.com/spreadsheets/d/14Bd19lYaqBhU8_DElYkX7l4wRkHqqCUFNJY4AfY3kHU/edit?usp=sharing  #gid=0"",""фіз особи new!relations_name""),6,FALSE)
,
(IF
(
G14285=""юридична особа""
,
VLOO"&amp;"KUP(H14285,IMPORTRANGE(""https://docs.google.com/spreadsheets/d/14Bd19lYaqBhU8_DElYkX7l4wRkHqqCUFNJY4AfY3kHU/edit?usp=sharing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284" s="7" t="s">
        <v>23</v>
      </c>
    </row>
    <row r="14285" spans="1:10" ht="13.2">
      <c r="A14285" s="7">
        <v>14284</v>
      </c>
      <c r="B14285" s="7">
        <v>1</v>
      </c>
      <c r="C14285" s="7" t="s">
        <v>10</v>
      </c>
      <c r="D14285" s="7">
        <v>19117</v>
      </c>
      <c r="E14285" s="7" t="s">
        <v>23</v>
      </c>
      <c r="F14285" s="8" t="str">
        <f ca="1">IFERROR(__xludf.DUMMYFUNCTION("IF
(
C14286=""фізична особа""
,
VLOOKUP(D14286,IMPORTRANGE(""https://docs.google.com/spreadsheets/d/14Bd19lYaqBhU8_DElYkX7l4wRkHqqCUFNJY4AfY3kHU/edit?usp=sharing  #gid=0"",""фіз особи new!relations_name""),6,FALSE)
,
(IF
(
C14286=""юридична особа""
,
VLOO"&amp;"KUP(D14286,IMPORTRANGE(""https://docs.google.com/spreadsheets/d/14Bd19lYaqBhU8_DElYkX7l4wRkHqqCUFNJY4AfY3kHU/edit?usp=sharing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5" s="7" t="s">
        <v>10</v>
      </c>
      <c r="H14285" s="7">
        <v>18862</v>
      </c>
      <c r="I14285" s="8" t="str">
        <f ca="1">IFERROR(__xludf.DUMMYFUNCTION("IF
(
G14286=""фізична особа""
,
VLOOKUP(H14286,IMPORTRANGE(""https://docs.google.com/spreadsheets/d/14Bd19lYaqBhU8_DElYkX7l4wRkHqqCUFNJY4AfY3kHU/edit?usp=sharing  #gid=0"",""фіз особи new!relations_name""),6,FALSE)
,
(IF
(
G14286=""юридична особа""
,
VLOO"&amp;"KUP(H14286,IMPORTRANGE(""https://docs.google.com/spreadsheets/d/14Bd19lYaqBhU8_DElYkX7l4wRkHqqCUFNJY4AfY3kHU/edit?usp=sharing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285" s="7" t="s">
        <v>23</v>
      </c>
    </row>
    <row r="14286" spans="1:10" ht="13.2">
      <c r="A14286" s="7">
        <v>14285</v>
      </c>
      <c r="B14286" s="7">
        <v>1</v>
      </c>
      <c r="C14286" s="7" t="s">
        <v>10</v>
      </c>
      <c r="D14286" s="7">
        <v>19117</v>
      </c>
      <c r="E14286" s="7" t="s">
        <v>23</v>
      </c>
      <c r="F14286" s="8" t="str">
        <f ca="1">IFERROR(__xludf.DUMMYFUNCTION("IF
(
C14287=""фізична особа""
,
VLOOKUP(D14287,IMPORTRANGE(""https://docs.google.com/spreadsheets/d/14Bd19lYaqBhU8_DElYkX7l4wRkHqqCUFNJY4AfY3kHU/edit?usp=sharing  #gid=0"",""фіз особи new!relations_name""),6,FALSE)
,
(IF
(
C14287=""юридична особа""
,
VLOO"&amp;"KUP(D14287,IMPORTRANGE(""https://docs.google.com/spreadsheets/d/14Bd19lYaqBhU8_DElYkX7l4wRkHqqCUFNJY4AfY3kHU/edit?usp=sharing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6" s="7" t="s">
        <v>10</v>
      </c>
      <c r="H14286" s="7">
        <v>18863</v>
      </c>
      <c r="I14286" s="8" t="str">
        <f ca="1">IFERROR(__xludf.DUMMYFUNCTION("IF
(
G14287=""фізична особа""
,
VLOOKUP(H14287,IMPORTRANGE(""https://docs.google.com/spreadsheets/d/14Bd19lYaqBhU8_DElYkX7l4wRkHqqCUFNJY4AfY3kHU/edit?usp=sharing  #gid=0"",""фіз особи new!relations_name""),6,FALSE)
,
(IF
(
G14287=""юридична особа""
,
VLOO"&amp;"KUP(H14287,IMPORTRANGE(""https://docs.google.com/spreadsheets/d/14Bd19lYaqBhU8_DElYkX7l4wRkHqqCUFNJY4AfY3kHU/edit?usp=sharing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286" s="7" t="s">
        <v>23</v>
      </c>
    </row>
    <row r="14287" spans="1:10" ht="13.2">
      <c r="A14287" s="7">
        <v>14286</v>
      </c>
      <c r="B14287" s="7">
        <v>1</v>
      </c>
      <c r="C14287" s="7" t="s">
        <v>10</v>
      </c>
      <c r="D14287" s="7">
        <v>19117</v>
      </c>
      <c r="E14287" s="7" t="s">
        <v>23</v>
      </c>
      <c r="F14287" s="8" t="str">
        <f ca="1">IFERROR(__xludf.DUMMYFUNCTION("IF
(
C14288=""фізична особа""
,
VLOOKUP(D14288,IMPORTRANGE(""https://docs.google.com/spreadsheets/d/14Bd19lYaqBhU8_DElYkX7l4wRkHqqCUFNJY4AfY3kHU/edit?usp=sharing  #gid=0"",""фіз особи new!relations_name""),6,FALSE)
,
(IF
(
C14288=""юридична особа""
,
VLOO"&amp;"KUP(D14288,IMPORTRANGE(""https://docs.google.com/spreadsheets/d/14Bd19lYaqBhU8_DElYkX7l4wRkHqqCUFNJY4AfY3kHU/edit?usp=sharing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7" s="7" t="s">
        <v>10</v>
      </c>
      <c r="H14287" s="7">
        <v>18864</v>
      </c>
      <c r="I14287" s="8" t="str">
        <f ca="1">IFERROR(__xludf.DUMMYFUNCTION("IF
(
G14288=""фізична особа""
,
VLOOKUP(H14288,IMPORTRANGE(""https://docs.google.com/spreadsheets/d/14Bd19lYaqBhU8_DElYkX7l4wRkHqqCUFNJY4AfY3kHU/edit?usp=sharing  #gid=0"",""фіз особи new!relations_name""),6,FALSE)
,
(IF
(
G14288=""юридична особа""
,
VLOO"&amp;"KUP(H14288,IMPORTRANGE(""https://docs.google.com/spreadsheets/d/14Bd19lYaqBhU8_DElYkX7l4wRkHqqCUFNJY4AfY3kHU/edit?usp=sharing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287" s="7" t="s">
        <v>23</v>
      </c>
    </row>
    <row r="14288" spans="1:10" ht="13.2">
      <c r="A14288" s="7">
        <v>14287</v>
      </c>
      <c r="B14288" s="7">
        <v>1</v>
      </c>
      <c r="C14288" s="7" t="s">
        <v>10</v>
      </c>
      <c r="D14288" s="7">
        <v>19117</v>
      </c>
      <c r="E14288" s="7" t="s">
        <v>23</v>
      </c>
      <c r="F14288" s="8" t="str">
        <f ca="1">IFERROR(__xludf.DUMMYFUNCTION("IF
(
C14289=""фізична особа""
,
VLOOKUP(D14289,IMPORTRANGE(""https://docs.google.com/spreadsheets/d/14Bd19lYaqBhU8_DElYkX7l4wRkHqqCUFNJY4AfY3kHU/edit?usp=sharing  #gid=0"",""фіз особи new!relations_name""),6,FALSE)
,
(IF
(
C14289=""юридична особа""
,
VLOO"&amp;"KUP(D14289,IMPORTRANGE(""https://docs.google.com/spreadsheets/d/14Bd19lYaqBhU8_DElYkX7l4wRkHqqCUFNJY4AfY3kHU/edit?usp=sharing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8" s="7" t="s">
        <v>10</v>
      </c>
      <c r="H14288" s="7">
        <v>18865</v>
      </c>
      <c r="I14288" s="8" t="str">
        <f ca="1">IFERROR(__xludf.DUMMYFUNCTION("IF
(
G14289=""фізична особа""
,
VLOOKUP(H14289,IMPORTRANGE(""https://docs.google.com/spreadsheets/d/14Bd19lYaqBhU8_DElYkX7l4wRkHqqCUFNJY4AfY3kHU/edit?usp=sharing  #gid=0"",""фіз особи new!relations_name""),6,FALSE)
,
(IF
(
G14289=""юридична особа""
,
VLOO"&amp;"KUP(H14289,IMPORTRANGE(""https://docs.google.com/spreadsheets/d/14Bd19lYaqBhU8_DElYkX7l4wRkHqqCUFNJY4AfY3kHU/edit?usp=sharing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288" s="7" t="s">
        <v>23</v>
      </c>
    </row>
    <row r="14289" spans="1:10" ht="13.2">
      <c r="A14289" s="7">
        <v>14288</v>
      </c>
      <c r="B14289" s="7">
        <v>1</v>
      </c>
      <c r="C14289" s="7" t="s">
        <v>10</v>
      </c>
      <c r="D14289" s="7">
        <v>19117</v>
      </c>
      <c r="E14289" s="7" t="s">
        <v>23</v>
      </c>
      <c r="F14289" s="8" t="str">
        <f ca="1">IFERROR(__xludf.DUMMYFUNCTION("IF
(
C14290=""фізична особа""
,
VLOOKUP(D14290,IMPORTRANGE(""https://docs.google.com/spreadsheets/d/14Bd19lYaqBhU8_DElYkX7l4wRkHqqCUFNJY4AfY3kHU/edit?usp=sharing  #gid=0"",""фіз особи new!relations_name""),6,FALSE)
,
(IF
(
C14290=""юридична особа""
,
VLOO"&amp;"KUP(D14290,IMPORTRANGE(""https://docs.google.com/spreadsheets/d/14Bd19lYaqBhU8_DElYkX7l4wRkHqqCUFNJY4AfY3kHU/edit?usp=sharing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89" s="7" t="s">
        <v>10</v>
      </c>
      <c r="H14289" s="7">
        <v>19116</v>
      </c>
      <c r="I14289" s="8" t="str">
        <f ca="1">IFERROR(__xludf.DUMMYFUNCTION("IF
(
G14290=""фізична особа""
,
VLOOKUP(H14290,IMPORTRANGE(""https://docs.google.com/spreadsheets/d/14Bd19lYaqBhU8_DElYkX7l4wRkHqqCUFNJY4AfY3kHU/edit?usp=sharing  #gid=0"",""фіз особи new!relations_name""),6,FALSE)
,
(IF
(
G14290=""юридична особа""
,
VLOO"&amp;"KUP(H14290,IMPORTRANGE(""https://docs.google.com/spreadsheets/d/14Bd19lYaqBhU8_DElYkX7l4wRkHqqCUFNJY4AfY3kHU/edit?usp=sharing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289" s="7" t="s">
        <v>23</v>
      </c>
    </row>
    <row r="14290" spans="1:10" ht="13.2">
      <c r="A14290" s="7">
        <v>14289</v>
      </c>
      <c r="B14290" s="7">
        <v>1</v>
      </c>
      <c r="C14290" s="7" t="s">
        <v>10</v>
      </c>
      <c r="D14290" s="7">
        <v>19117</v>
      </c>
      <c r="E14290" s="7" t="s">
        <v>23</v>
      </c>
      <c r="F14290" s="8" t="str">
        <f ca="1">IFERROR(__xludf.DUMMYFUNCTION("IF
(
C14291=""фізична особа""
,
VLOOKUP(D14291,IMPORTRANGE(""https://docs.google.com/spreadsheets/d/14Bd19lYaqBhU8_DElYkX7l4wRkHqqCUFNJY4AfY3kHU/edit?usp=sharing  #gid=0"",""фіз особи new!relations_name""),6,FALSE)
,
(IF
(
C14291=""юридична особа""
,
VLOO"&amp;"KUP(D14291,IMPORTRANGE(""https://docs.google.com/spreadsheets/d/14Bd19lYaqBhU8_DElYkX7l4wRkHqqCUFNJY4AfY3kHU/edit?usp=sharing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90" s="7" t="s">
        <v>10</v>
      </c>
      <c r="H14290" s="7">
        <v>19118</v>
      </c>
      <c r="I14290" s="8" t="str">
        <f ca="1">IFERROR(__xludf.DUMMYFUNCTION("IF
(
G14291=""фізична особа""
,
VLOOKUP(H14291,IMPORTRANGE(""https://docs.google.com/spreadsheets/d/14Bd19lYaqBhU8_DElYkX7l4wRkHqqCUFNJY4AfY3kHU/edit?usp=sharing  #gid=0"",""фіз особи new!relations_name""),6,FALSE)
,
(IF
(
G14291=""юридична особа""
,
VLOO"&amp;"KUP(H14291,IMPORTRANGE(""https://docs.google.com/spreadsheets/d/14Bd19lYaqBhU8_DElYkX7l4wRkHqqCUFNJY4AfY3kHU/edit?usp=sharing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290" s="7" t="s">
        <v>23</v>
      </c>
    </row>
    <row r="14291" spans="1:10" ht="13.2">
      <c r="A14291" s="7">
        <v>14290</v>
      </c>
      <c r="B14291" s="7">
        <v>1</v>
      </c>
      <c r="C14291" s="7" t="s">
        <v>10</v>
      </c>
      <c r="D14291" s="7">
        <v>19117</v>
      </c>
      <c r="E14291" s="7" t="s">
        <v>23</v>
      </c>
      <c r="F14291" s="8" t="str">
        <f ca="1">IFERROR(__xludf.DUMMYFUNCTION("IF
(
C14292=""фізична особа""
,
VLOOKUP(D14292,IMPORTRANGE(""https://docs.google.com/spreadsheets/d/14Bd19lYaqBhU8_DElYkX7l4wRkHqqCUFNJY4AfY3kHU/edit?usp=sharing  #gid=0"",""фіз особи new!relations_name""),6,FALSE)
,
(IF
(
C14292=""юридична особа""
,
VLOO"&amp;"KUP(D14292,IMPORTRANGE(""https://docs.google.com/spreadsheets/d/14Bd19lYaqBhU8_DElYkX7l4wRkHqqCUFNJY4AfY3kHU/edit?usp=sharing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91" s="7" t="s">
        <v>10</v>
      </c>
      <c r="H14291" s="7">
        <v>19119</v>
      </c>
      <c r="I14291" s="8" t="str">
        <f ca="1">IFERROR(__xludf.DUMMYFUNCTION("IF
(
G14292=""фізична особа""
,
VLOOKUP(H14292,IMPORTRANGE(""https://docs.google.com/spreadsheets/d/14Bd19lYaqBhU8_DElYkX7l4wRkHqqCUFNJY4AfY3kHU/edit?usp=sharing  #gid=0"",""фіз особи new!relations_name""),6,FALSE)
,
(IF
(
G14292=""юридична особа""
,
VLOO"&amp;"KUP(H14292,IMPORTRANGE(""https://docs.google.com/spreadsheets/d/14Bd19lYaqBhU8_DElYkX7l4wRkHqqCUFNJY4AfY3kHU/edit?usp=sharing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291" s="7" t="s">
        <v>23</v>
      </c>
    </row>
    <row r="14292" spans="1:10" ht="13.2">
      <c r="A14292" s="7">
        <v>14291</v>
      </c>
      <c r="B14292" s="7">
        <v>1</v>
      </c>
      <c r="C14292" s="7" t="s">
        <v>10</v>
      </c>
      <c r="D14292" s="7">
        <v>19117</v>
      </c>
      <c r="E14292" s="7" t="s">
        <v>23</v>
      </c>
      <c r="F14292" s="8" t="str">
        <f ca="1">IFERROR(__xludf.DUMMYFUNCTION("IF
(
C14293=""фізична особа""
,
VLOOKUP(D14293,IMPORTRANGE(""https://docs.google.com/spreadsheets/d/14Bd19lYaqBhU8_DElYkX7l4wRkHqqCUFNJY4AfY3kHU/edit?usp=sharing  #gid=0"",""фіз особи new!relations_name""),6,FALSE)
,
(IF
(
C14293=""юридична особа""
,
VLOO"&amp;"KUP(D14293,IMPORTRANGE(""https://docs.google.com/spreadsheets/d/14Bd19lYaqBhU8_DElYkX7l4wRkHqqCUFNJY4AfY3kHU/edit?usp=sharing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G14292" s="7" t="s">
        <v>10</v>
      </c>
      <c r="H14292" s="7">
        <v>19120</v>
      </c>
      <c r="I14292" s="8" t="str">
        <f ca="1">IFERROR(__xludf.DUMMYFUNCTION("IF
(
G14293=""фізична особа""
,
VLOOKUP(H14293,IMPORTRANGE(""https://docs.google.com/spreadsheets/d/14Bd19lYaqBhU8_DElYkX7l4wRkHqqCUFNJY4AfY3kHU/edit?usp=sharing  #gid=0"",""фіз особи new!relations_name""),6,FALSE)
,
(IF
(
G14293=""юридична особа""
,
VLOO"&amp;"KUP(H14293,IMPORTRANGE(""https://docs.google.com/spreadsheets/d/14Bd19lYaqBhU8_DElYkX7l4wRkHqqCUFNJY4AfY3kHU/edit?usp=sharing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292" s="7" t="s">
        <v>23</v>
      </c>
    </row>
    <row r="14293" spans="1:10" ht="13.2">
      <c r="A14293" s="7">
        <v>14292</v>
      </c>
      <c r="B14293" s="7">
        <v>1</v>
      </c>
      <c r="C14293" s="7" t="s">
        <v>10</v>
      </c>
      <c r="D14293" s="7">
        <v>19118</v>
      </c>
      <c r="E14293" s="7" t="s">
        <v>23</v>
      </c>
      <c r="F14293" s="8" t="str">
        <f ca="1">IFERROR(__xludf.DUMMYFUNCTION("IF
(
C14294=""фізична особа""
,
VLOOKUP(D14294,IMPORTRANGE(""https://docs.google.com/spreadsheets/d/14Bd19lYaqBhU8_DElYkX7l4wRkHqqCUFNJY4AfY3kHU/edit?usp=sharing  #gid=0"",""фіз особи new!relations_name""),6,FALSE)
,
(IF
(
C14294=""юридична особа""
,
VLOO"&amp;"KUP(D14294,IMPORTRANGE(""https://docs.google.com/spreadsheets/d/14Bd19lYaqBhU8_DElYkX7l4wRkHqqCUFNJY4AfY3kHU/edit?usp=sharing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3" s="7" t="s">
        <v>10</v>
      </c>
      <c r="H14293" s="7">
        <v>18859</v>
      </c>
      <c r="I14293" s="8" t="str">
        <f ca="1">IFERROR(__xludf.DUMMYFUNCTION("IF
(
G14294=""фізична особа""
,
VLOOKUP(H14294,IMPORTRANGE(""https://docs.google.com/spreadsheets/d/14Bd19lYaqBhU8_DElYkX7l4wRkHqqCUFNJY4AfY3kHU/edit?usp=sharing  #gid=0"",""фіз особи new!relations_name""),6,FALSE)
,
(IF
(
G14294=""юридична особа""
,
VLOO"&amp;"KUP(H14294,IMPORTRANGE(""https://docs.google.com/spreadsheets/d/14Bd19lYaqBhU8_DElYkX7l4wRkHqqCUFNJY4AfY3kHU/edit?usp=sharing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293" s="7" t="s">
        <v>23</v>
      </c>
    </row>
    <row r="14294" spans="1:10" ht="13.2">
      <c r="A14294" s="7">
        <v>14293</v>
      </c>
      <c r="B14294" s="7">
        <v>1</v>
      </c>
      <c r="C14294" s="7" t="s">
        <v>10</v>
      </c>
      <c r="D14294" s="7">
        <v>19118</v>
      </c>
      <c r="E14294" s="7" t="s">
        <v>23</v>
      </c>
      <c r="F14294" s="8" t="str">
        <f ca="1">IFERROR(__xludf.DUMMYFUNCTION("IF
(
C14295=""фізична особа""
,
VLOOKUP(D14295,IMPORTRANGE(""https://docs.google.com/spreadsheets/d/14Bd19lYaqBhU8_DElYkX7l4wRkHqqCUFNJY4AfY3kHU/edit?usp=sharing  #gid=0"",""фіз особи new!relations_name""),6,FALSE)
,
(IF
(
C14295=""юридична особа""
,
VLOO"&amp;"KUP(D14295,IMPORTRANGE(""https://docs.google.com/spreadsheets/d/14Bd19lYaqBhU8_DElYkX7l4wRkHqqCUFNJY4AfY3kHU/edit?usp=sharing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4" s="7" t="s">
        <v>10</v>
      </c>
      <c r="H14294" s="7">
        <v>18860</v>
      </c>
      <c r="I14294" s="8" t="str">
        <f ca="1">IFERROR(__xludf.DUMMYFUNCTION("IF
(
G14295=""фізична особа""
,
VLOOKUP(H14295,IMPORTRANGE(""https://docs.google.com/spreadsheets/d/14Bd19lYaqBhU8_DElYkX7l4wRkHqqCUFNJY4AfY3kHU/edit?usp=sharing  #gid=0"",""фіз особи new!relations_name""),6,FALSE)
,
(IF
(
G14295=""юридична особа""
,
VLOO"&amp;"KUP(H14295,IMPORTRANGE(""https://docs.google.com/spreadsheets/d/14Bd19lYaqBhU8_DElYkX7l4wRkHqqCUFNJY4AfY3kHU/edit?usp=sharing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294" s="7" t="s">
        <v>23</v>
      </c>
    </row>
    <row r="14295" spans="1:10" ht="13.2">
      <c r="A14295" s="7">
        <v>14294</v>
      </c>
      <c r="B14295" s="7">
        <v>1</v>
      </c>
      <c r="C14295" s="7" t="s">
        <v>10</v>
      </c>
      <c r="D14295" s="7">
        <v>19118</v>
      </c>
      <c r="E14295" s="7" t="s">
        <v>23</v>
      </c>
      <c r="F14295" s="8" t="str">
        <f ca="1">IFERROR(__xludf.DUMMYFUNCTION("IF
(
C14296=""фізична особа""
,
VLOOKUP(D14296,IMPORTRANGE(""https://docs.google.com/spreadsheets/d/14Bd19lYaqBhU8_DElYkX7l4wRkHqqCUFNJY4AfY3kHU/edit?usp=sharing  #gid=0"",""фіз особи new!relations_name""),6,FALSE)
,
(IF
(
C14296=""юридична особа""
,
VLOO"&amp;"KUP(D14296,IMPORTRANGE(""https://docs.google.com/spreadsheets/d/14Bd19lYaqBhU8_DElYkX7l4wRkHqqCUFNJY4AfY3kHU/edit?usp=sharing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5" s="7" t="s">
        <v>10</v>
      </c>
      <c r="H14295" s="7">
        <v>18861</v>
      </c>
      <c r="I14295" s="8" t="str">
        <f ca="1">IFERROR(__xludf.DUMMYFUNCTION("IF
(
G14296=""фізична особа""
,
VLOOKUP(H14296,IMPORTRANGE(""https://docs.google.com/spreadsheets/d/14Bd19lYaqBhU8_DElYkX7l4wRkHqqCUFNJY4AfY3kHU/edit?usp=sharing  #gid=0"",""фіз особи new!relations_name""),6,FALSE)
,
(IF
(
G14296=""юридична особа""
,
VLOO"&amp;"KUP(H14296,IMPORTRANGE(""https://docs.google.com/spreadsheets/d/14Bd19lYaqBhU8_DElYkX7l4wRkHqqCUFNJY4AfY3kHU/edit?usp=sharing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295" s="7" t="s">
        <v>23</v>
      </c>
    </row>
    <row r="14296" spans="1:10" ht="13.2">
      <c r="A14296" s="7">
        <v>14295</v>
      </c>
      <c r="B14296" s="7">
        <v>1</v>
      </c>
      <c r="C14296" s="7" t="s">
        <v>10</v>
      </c>
      <c r="D14296" s="7">
        <v>19118</v>
      </c>
      <c r="E14296" s="7" t="s">
        <v>23</v>
      </c>
      <c r="F14296" s="8" t="str">
        <f ca="1">IFERROR(__xludf.DUMMYFUNCTION("IF
(
C14297=""фізична особа""
,
VLOOKUP(D14297,IMPORTRANGE(""https://docs.google.com/spreadsheets/d/14Bd19lYaqBhU8_DElYkX7l4wRkHqqCUFNJY4AfY3kHU/edit?usp=sharing  #gid=0"",""фіз особи new!relations_name""),6,FALSE)
,
(IF
(
C14297=""юридична особа""
,
VLOO"&amp;"KUP(D14297,IMPORTRANGE(""https://docs.google.com/spreadsheets/d/14Bd19lYaqBhU8_DElYkX7l4wRkHqqCUFNJY4AfY3kHU/edit?usp=sharing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6" s="7" t="s">
        <v>10</v>
      </c>
      <c r="H14296" s="7">
        <v>18862</v>
      </c>
      <c r="I14296" s="8" t="str">
        <f ca="1">IFERROR(__xludf.DUMMYFUNCTION("IF
(
G14297=""фізична особа""
,
VLOOKUP(H14297,IMPORTRANGE(""https://docs.google.com/spreadsheets/d/14Bd19lYaqBhU8_DElYkX7l4wRkHqqCUFNJY4AfY3kHU/edit?usp=sharing  #gid=0"",""фіз особи new!relations_name""),6,FALSE)
,
(IF
(
G14297=""юридична особа""
,
VLOO"&amp;"KUP(H14297,IMPORTRANGE(""https://docs.google.com/spreadsheets/d/14Bd19lYaqBhU8_DElYkX7l4wRkHqqCUFNJY4AfY3kHU/edit?usp=sharing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296" s="7" t="s">
        <v>23</v>
      </c>
    </row>
    <row r="14297" spans="1:10" ht="13.2">
      <c r="A14297" s="7">
        <v>14296</v>
      </c>
      <c r="B14297" s="7">
        <v>1</v>
      </c>
      <c r="C14297" s="7" t="s">
        <v>10</v>
      </c>
      <c r="D14297" s="7">
        <v>19118</v>
      </c>
      <c r="E14297" s="7" t="s">
        <v>23</v>
      </c>
      <c r="F14297" s="8" t="str">
        <f ca="1">IFERROR(__xludf.DUMMYFUNCTION("IF
(
C14298=""фізична особа""
,
VLOOKUP(D14298,IMPORTRANGE(""https://docs.google.com/spreadsheets/d/14Bd19lYaqBhU8_DElYkX7l4wRkHqqCUFNJY4AfY3kHU/edit?usp=sharing  #gid=0"",""фіз особи new!relations_name""),6,FALSE)
,
(IF
(
C14298=""юридична особа""
,
VLOO"&amp;"KUP(D14298,IMPORTRANGE(""https://docs.google.com/spreadsheets/d/14Bd19lYaqBhU8_DElYkX7l4wRkHqqCUFNJY4AfY3kHU/edit?usp=sharing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7" s="7" t="s">
        <v>10</v>
      </c>
      <c r="H14297" s="7">
        <v>18863</v>
      </c>
      <c r="I14297" s="8" t="str">
        <f ca="1">IFERROR(__xludf.DUMMYFUNCTION("IF
(
G14298=""фізична особа""
,
VLOOKUP(H14298,IMPORTRANGE(""https://docs.google.com/spreadsheets/d/14Bd19lYaqBhU8_DElYkX7l4wRkHqqCUFNJY4AfY3kHU/edit?usp=sharing  #gid=0"",""фіз особи new!relations_name""),6,FALSE)
,
(IF
(
G14298=""юридична особа""
,
VLOO"&amp;"KUP(H14298,IMPORTRANGE(""https://docs.google.com/spreadsheets/d/14Bd19lYaqBhU8_DElYkX7l4wRkHqqCUFNJY4AfY3kHU/edit?usp=sharing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297" s="7" t="s">
        <v>23</v>
      </c>
    </row>
    <row r="14298" spans="1:10" ht="13.2">
      <c r="A14298" s="7">
        <v>14297</v>
      </c>
      <c r="B14298" s="7">
        <v>1</v>
      </c>
      <c r="C14298" s="7" t="s">
        <v>10</v>
      </c>
      <c r="D14298" s="7">
        <v>19118</v>
      </c>
      <c r="E14298" s="7" t="s">
        <v>23</v>
      </c>
      <c r="F14298" s="8" t="str">
        <f ca="1">IFERROR(__xludf.DUMMYFUNCTION("IF
(
C14299=""фізична особа""
,
VLOOKUP(D14299,IMPORTRANGE(""https://docs.google.com/spreadsheets/d/14Bd19lYaqBhU8_DElYkX7l4wRkHqqCUFNJY4AfY3kHU/edit?usp=sharing  #gid=0"",""фіз особи new!relations_name""),6,FALSE)
,
(IF
(
C14299=""юридична особа""
,
VLOO"&amp;"KUP(D14299,IMPORTRANGE(""https://docs.google.com/spreadsheets/d/14Bd19lYaqBhU8_DElYkX7l4wRkHqqCUFNJY4AfY3kHU/edit?usp=sharing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8" s="7" t="s">
        <v>10</v>
      </c>
      <c r="H14298" s="7">
        <v>18864</v>
      </c>
      <c r="I14298" s="8" t="str">
        <f ca="1">IFERROR(__xludf.DUMMYFUNCTION("IF
(
G14299=""фізична особа""
,
VLOOKUP(H14299,IMPORTRANGE(""https://docs.google.com/spreadsheets/d/14Bd19lYaqBhU8_DElYkX7l4wRkHqqCUFNJY4AfY3kHU/edit?usp=sharing  #gid=0"",""фіз особи new!relations_name""),6,FALSE)
,
(IF
(
G14299=""юридична особа""
,
VLOO"&amp;"KUP(H14299,IMPORTRANGE(""https://docs.google.com/spreadsheets/d/14Bd19lYaqBhU8_DElYkX7l4wRkHqqCUFNJY4AfY3kHU/edit?usp=sharing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298" s="7" t="s">
        <v>23</v>
      </c>
    </row>
    <row r="14299" spans="1:10" ht="13.2">
      <c r="A14299" s="7">
        <v>14298</v>
      </c>
      <c r="B14299" s="7">
        <v>1</v>
      </c>
      <c r="C14299" s="7" t="s">
        <v>10</v>
      </c>
      <c r="D14299" s="7">
        <v>19118</v>
      </c>
      <c r="E14299" s="7" t="s">
        <v>23</v>
      </c>
      <c r="F14299" s="8" t="str">
        <f ca="1">IFERROR(__xludf.DUMMYFUNCTION("IF
(
C14300=""фізична особа""
,
VLOOKUP(D14300,IMPORTRANGE(""https://docs.google.com/spreadsheets/d/14Bd19lYaqBhU8_DElYkX7l4wRkHqqCUFNJY4AfY3kHU/edit?usp=sharing  #gid=0"",""фіз особи new!relations_name""),6,FALSE)
,
(IF
(
C14300=""юридична особа""
,
VLOO"&amp;"KUP(D14300,IMPORTRANGE(""https://docs.google.com/spreadsheets/d/14Bd19lYaqBhU8_DElYkX7l4wRkHqqCUFNJY4AfY3kHU/edit?usp=sharing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299" s="7" t="s">
        <v>10</v>
      </c>
      <c r="H14299" s="7">
        <v>18865</v>
      </c>
      <c r="I14299" s="8" t="str">
        <f ca="1">IFERROR(__xludf.DUMMYFUNCTION("IF
(
G14300=""фізична особа""
,
VLOOKUP(H14300,IMPORTRANGE(""https://docs.google.com/spreadsheets/d/14Bd19lYaqBhU8_DElYkX7l4wRkHqqCUFNJY4AfY3kHU/edit?usp=sharing  #gid=0"",""фіз особи new!relations_name""),6,FALSE)
,
(IF
(
G14300=""юридична особа""
,
VLOO"&amp;"KUP(H14300,IMPORTRANGE(""https://docs.google.com/spreadsheets/d/14Bd19lYaqBhU8_DElYkX7l4wRkHqqCUFNJY4AfY3kHU/edit?usp=sharing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299" s="7" t="s">
        <v>23</v>
      </c>
    </row>
    <row r="14300" spans="1:10" ht="13.2">
      <c r="A14300" s="7">
        <v>14299</v>
      </c>
      <c r="B14300" s="7">
        <v>1</v>
      </c>
      <c r="C14300" s="7" t="s">
        <v>10</v>
      </c>
      <c r="D14300" s="7">
        <v>19118</v>
      </c>
      <c r="E14300" s="7" t="s">
        <v>23</v>
      </c>
      <c r="F14300" s="8" t="str">
        <f ca="1">IFERROR(__xludf.DUMMYFUNCTION("IF
(
C14301=""фізична особа""
,
VLOOKUP(D14301,IMPORTRANGE(""https://docs.google.com/spreadsheets/d/14Bd19lYaqBhU8_DElYkX7l4wRkHqqCUFNJY4AfY3kHU/edit?usp=sharing  #gid=0"",""фіз особи new!relations_name""),6,FALSE)
,
(IF
(
C14301=""юридична особа""
,
VLOO"&amp;"KUP(D14301,IMPORTRANGE(""https://docs.google.com/spreadsheets/d/14Bd19lYaqBhU8_DElYkX7l4wRkHqqCUFNJY4AfY3kHU/edit?usp=sharing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300" s="7" t="s">
        <v>10</v>
      </c>
      <c r="H14300" s="7">
        <v>19116</v>
      </c>
      <c r="I14300" s="8" t="str">
        <f ca="1">IFERROR(__xludf.DUMMYFUNCTION("IF
(
G14301=""фізична особа""
,
VLOOKUP(H14301,IMPORTRANGE(""https://docs.google.com/spreadsheets/d/14Bd19lYaqBhU8_DElYkX7l4wRkHqqCUFNJY4AfY3kHU/edit?usp=sharing  #gid=0"",""фіз особи new!relations_name""),6,FALSE)
,
(IF
(
G14301=""юридична особа""
,
VLOO"&amp;"KUP(H14301,IMPORTRANGE(""https://docs.google.com/spreadsheets/d/14Bd19lYaqBhU8_DElYkX7l4wRkHqqCUFNJY4AfY3kHU/edit?usp=sharing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300" s="7" t="s">
        <v>23</v>
      </c>
    </row>
    <row r="14301" spans="1:10" ht="13.2">
      <c r="A14301" s="7">
        <v>14300</v>
      </c>
      <c r="B14301" s="7">
        <v>1</v>
      </c>
      <c r="C14301" s="7" t="s">
        <v>10</v>
      </c>
      <c r="D14301" s="7">
        <v>19118</v>
      </c>
      <c r="E14301" s="7" t="s">
        <v>23</v>
      </c>
      <c r="F14301" s="8" t="str">
        <f ca="1">IFERROR(__xludf.DUMMYFUNCTION("IF
(
C14302=""фізична особа""
,
VLOOKUP(D14302,IMPORTRANGE(""https://docs.google.com/spreadsheets/d/14Bd19lYaqBhU8_DElYkX7l4wRkHqqCUFNJY4AfY3kHU/edit?usp=sharing  #gid=0"",""фіз особи new!relations_name""),6,FALSE)
,
(IF
(
C14302=""юридична особа""
,
VLOO"&amp;"KUP(D14302,IMPORTRANGE(""https://docs.google.com/spreadsheets/d/14Bd19lYaqBhU8_DElYkX7l4wRkHqqCUFNJY4AfY3kHU/edit?usp=sharing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301" s="7" t="s">
        <v>10</v>
      </c>
      <c r="H14301" s="7">
        <v>19117</v>
      </c>
      <c r="I14301" s="8" t="str">
        <f ca="1">IFERROR(__xludf.DUMMYFUNCTION("IF
(
G14302=""фізична особа""
,
VLOOKUP(H14302,IMPORTRANGE(""https://docs.google.com/spreadsheets/d/14Bd19lYaqBhU8_DElYkX7l4wRkHqqCUFNJY4AfY3kHU/edit?usp=sharing  #gid=0"",""фіз особи new!relations_name""),6,FALSE)
,
(IF
(
G14302=""юридична особа""
,
VLOO"&amp;"KUP(H14302,IMPORTRANGE(""https://docs.google.com/spreadsheets/d/14Bd19lYaqBhU8_DElYkX7l4wRkHqqCUFNJY4AfY3kHU/edit?usp=sharing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301" s="7" t="s">
        <v>23</v>
      </c>
    </row>
    <row r="14302" spans="1:10" ht="13.2">
      <c r="A14302" s="7">
        <v>14301</v>
      </c>
      <c r="B14302" s="7">
        <v>1</v>
      </c>
      <c r="C14302" s="7" t="s">
        <v>10</v>
      </c>
      <c r="D14302" s="7">
        <v>19118</v>
      </c>
      <c r="E14302" s="7" t="s">
        <v>23</v>
      </c>
      <c r="F14302" s="8" t="str">
        <f ca="1">IFERROR(__xludf.DUMMYFUNCTION("IF
(
C14303=""фізична особа""
,
VLOOKUP(D14303,IMPORTRANGE(""https://docs.google.com/spreadsheets/d/14Bd19lYaqBhU8_DElYkX7l4wRkHqqCUFNJY4AfY3kHU/edit?usp=sharing  #gid=0"",""фіз особи new!relations_name""),6,FALSE)
,
(IF
(
C14303=""юридична особа""
,
VLOO"&amp;"KUP(D14303,IMPORTRANGE(""https://docs.google.com/spreadsheets/d/14Bd19lYaqBhU8_DElYkX7l4wRkHqqCUFNJY4AfY3kHU/edit?usp=sharing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302" s="7" t="s">
        <v>10</v>
      </c>
      <c r="H14302" s="7">
        <v>19119</v>
      </c>
      <c r="I14302" s="8" t="str">
        <f ca="1">IFERROR(__xludf.DUMMYFUNCTION("IF
(
G14303=""фізична особа""
,
VLOOKUP(H14303,IMPORTRANGE(""https://docs.google.com/spreadsheets/d/14Bd19lYaqBhU8_DElYkX7l4wRkHqqCUFNJY4AfY3kHU/edit?usp=sharing  #gid=0"",""фіз особи new!relations_name""),6,FALSE)
,
(IF
(
G14303=""юридична особа""
,
VLOO"&amp;"KUP(H14303,IMPORTRANGE(""https://docs.google.com/spreadsheets/d/14Bd19lYaqBhU8_DElYkX7l4wRkHqqCUFNJY4AfY3kHU/edit?usp=sharing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302" s="7" t="s">
        <v>23</v>
      </c>
    </row>
    <row r="14303" spans="1:10" ht="13.2">
      <c r="A14303" s="7">
        <v>14302</v>
      </c>
      <c r="B14303" s="7">
        <v>1</v>
      </c>
      <c r="C14303" s="7" t="s">
        <v>10</v>
      </c>
      <c r="D14303" s="7">
        <v>19118</v>
      </c>
      <c r="E14303" s="7" t="s">
        <v>23</v>
      </c>
      <c r="F14303" s="8" t="str">
        <f ca="1">IFERROR(__xludf.DUMMYFUNCTION("IF
(
C14304=""фізична особа""
,
VLOOKUP(D14304,IMPORTRANGE(""https://docs.google.com/spreadsheets/d/14Bd19lYaqBhU8_DElYkX7l4wRkHqqCUFNJY4AfY3kHU/edit?usp=sharing  #gid=0"",""фіз особи new!relations_name""),6,FALSE)
,
(IF
(
C14304=""юридична особа""
,
VLOO"&amp;"KUP(D14304,IMPORTRANGE(""https://docs.google.com/spreadsheets/d/14Bd19lYaqBhU8_DElYkX7l4wRkHqqCUFNJY4AfY3kHU/edit?usp=sharing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G14303" s="7" t="s">
        <v>10</v>
      </c>
      <c r="H14303" s="7">
        <v>19120</v>
      </c>
      <c r="I14303" s="8" t="str">
        <f ca="1">IFERROR(__xludf.DUMMYFUNCTION("IF
(
G14304=""фізична особа""
,
VLOOKUP(H14304,IMPORTRANGE(""https://docs.google.com/spreadsheets/d/14Bd19lYaqBhU8_DElYkX7l4wRkHqqCUFNJY4AfY3kHU/edit?usp=sharing  #gid=0"",""фіз особи new!relations_name""),6,FALSE)
,
(IF
(
G14304=""юридична особа""
,
VLOO"&amp;"KUP(H14304,IMPORTRANGE(""https://docs.google.com/spreadsheets/d/14Bd19lYaqBhU8_DElYkX7l4wRkHqqCUFNJY4AfY3kHU/edit?usp=sharing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303" s="7" t="s">
        <v>23</v>
      </c>
    </row>
    <row r="14304" spans="1:10" ht="13.2">
      <c r="A14304" s="7">
        <v>14303</v>
      </c>
      <c r="B14304" s="7">
        <v>1</v>
      </c>
      <c r="C14304" s="7" t="s">
        <v>10</v>
      </c>
      <c r="D14304" s="7">
        <v>19119</v>
      </c>
      <c r="E14304" s="7" t="s">
        <v>23</v>
      </c>
      <c r="F14304" s="8" t="str">
        <f ca="1">IFERROR(__xludf.DUMMYFUNCTION("IF
(
C14305=""фізична особа""
,
VLOOKUP(D14305,IMPORTRANGE(""https://docs.google.com/spreadsheets/d/14Bd19lYaqBhU8_DElYkX7l4wRkHqqCUFNJY4AfY3kHU/edit?usp=sharing  #gid=0"",""фіз особи new!relations_name""),6,FALSE)
,
(IF
(
C14305=""юридична особа""
,
VLOO"&amp;"KUP(D14305,IMPORTRANGE(""https://docs.google.com/spreadsheets/d/14Bd19lYaqBhU8_DElYkX7l4wRkHqqCUFNJY4AfY3kHU/edit?usp=sharing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4" s="7" t="s">
        <v>10</v>
      </c>
      <c r="H14304" s="7">
        <v>18859</v>
      </c>
      <c r="I14304" s="8" t="str">
        <f ca="1">IFERROR(__xludf.DUMMYFUNCTION("IF
(
G14305=""фізична особа""
,
VLOOKUP(H14305,IMPORTRANGE(""https://docs.google.com/spreadsheets/d/14Bd19lYaqBhU8_DElYkX7l4wRkHqqCUFNJY4AfY3kHU/edit?usp=sharing  #gid=0"",""фіз особи new!relations_name""),6,FALSE)
,
(IF
(
G14305=""юридична особа""
,
VLOO"&amp;"KUP(H14305,IMPORTRANGE(""https://docs.google.com/spreadsheets/d/14Bd19lYaqBhU8_DElYkX7l4wRkHqqCUFNJY4AfY3kHU/edit?usp=sharing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304" s="7" t="s">
        <v>23</v>
      </c>
    </row>
    <row r="14305" spans="1:10" ht="13.2">
      <c r="A14305" s="7">
        <v>14304</v>
      </c>
      <c r="B14305" s="7">
        <v>1</v>
      </c>
      <c r="C14305" s="7" t="s">
        <v>10</v>
      </c>
      <c r="D14305" s="7">
        <v>19119</v>
      </c>
      <c r="E14305" s="7" t="s">
        <v>23</v>
      </c>
      <c r="F14305" s="8" t="str">
        <f ca="1">IFERROR(__xludf.DUMMYFUNCTION("IF
(
C14306=""фізична особа""
,
VLOOKUP(D14306,IMPORTRANGE(""https://docs.google.com/spreadsheets/d/14Bd19lYaqBhU8_DElYkX7l4wRkHqqCUFNJY4AfY3kHU/edit?usp=sharing  #gid=0"",""фіз особи new!relations_name""),6,FALSE)
,
(IF
(
C14306=""юридична особа""
,
VLOO"&amp;"KUP(D14306,IMPORTRANGE(""https://docs.google.com/spreadsheets/d/14Bd19lYaqBhU8_DElYkX7l4wRkHqqCUFNJY4AfY3kHU/edit?usp=sharing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5" s="7" t="s">
        <v>10</v>
      </c>
      <c r="H14305" s="7">
        <v>18860</v>
      </c>
      <c r="I14305" s="8" t="str">
        <f ca="1">IFERROR(__xludf.DUMMYFUNCTION("IF
(
G14306=""фізична особа""
,
VLOOKUP(H14306,IMPORTRANGE(""https://docs.google.com/spreadsheets/d/14Bd19lYaqBhU8_DElYkX7l4wRkHqqCUFNJY4AfY3kHU/edit?usp=sharing  #gid=0"",""фіз особи new!relations_name""),6,FALSE)
,
(IF
(
G14306=""юридична особа""
,
VLOO"&amp;"KUP(H14306,IMPORTRANGE(""https://docs.google.com/spreadsheets/d/14Bd19lYaqBhU8_DElYkX7l4wRkHqqCUFNJY4AfY3kHU/edit?usp=sharing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305" s="7" t="s">
        <v>23</v>
      </c>
    </row>
    <row r="14306" spans="1:10" ht="13.2">
      <c r="A14306" s="7">
        <v>14305</v>
      </c>
      <c r="B14306" s="7">
        <v>1</v>
      </c>
      <c r="C14306" s="7" t="s">
        <v>10</v>
      </c>
      <c r="D14306" s="7">
        <v>19119</v>
      </c>
      <c r="E14306" s="7" t="s">
        <v>23</v>
      </c>
      <c r="F14306" s="8" t="str">
        <f ca="1">IFERROR(__xludf.DUMMYFUNCTION("IF
(
C14307=""фізична особа""
,
VLOOKUP(D14307,IMPORTRANGE(""https://docs.google.com/spreadsheets/d/14Bd19lYaqBhU8_DElYkX7l4wRkHqqCUFNJY4AfY3kHU/edit?usp=sharing  #gid=0"",""фіз особи new!relations_name""),6,FALSE)
,
(IF
(
C14307=""юридична особа""
,
VLOO"&amp;"KUP(D14307,IMPORTRANGE(""https://docs.google.com/spreadsheets/d/14Bd19lYaqBhU8_DElYkX7l4wRkHqqCUFNJY4AfY3kHU/edit?usp=sharing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6" s="7" t="s">
        <v>10</v>
      </c>
      <c r="H14306" s="7">
        <v>18861</v>
      </c>
      <c r="I14306" s="8" t="str">
        <f ca="1">IFERROR(__xludf.DUMMYFUNCTION("IF
(
G14307=""фізична особа""
,
VLOOKUP(H14307,IMPORTRANGE(""https://docs.google.com/spreadsheets/d/14Bd19lYaqBhU8_DElYkX7l4wRkHqqCUFNJY4AfY3kHU/edit?usp=sharing  #gid=0"",""фіз особи new!relations_name""),6,FALSE)
,
(IF
(
G14307=""юридична особа""
,
VLOO"&amp;"KUP(H14307,IMPORTRANGE(""https://docs.google.com/spreadsheets/d/14Bd19lYaqBhU8_DElYkX7l4wRkHqqCUFNJY4AfY3kHU/edit?usp=sharing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306" s="7" t="s">
        <v>23</v>
      </c>
    </row>
    <row r="14307" spans="1:10" ht="13.2">
      <c r="A14307" s="7">
        <v>14306</v>
      </c>
      <c r="B14307" s="7">
        <v>1</v>
      </c>
      <c r="C14307" s="7" t="s">
        <v>10</v>
      </c>
      <c r="D14307" s="7">
        <v>19119</v>
      </c>
      <c r="E14307" s="7" t="s">
        <v>23</v>
      </c>
      <c r="F14307" s="8" t="str">
        <f ca="1">IFERROR(__xludf.DUMMYFUNCTION("IF
(
C14308=""фізична особа""
,
VLOOKUP(D14308,IMPORTRANGE(""https://docs.google.com/spreadsheets/d/14Bd19lYaqBhU8_DElYkX7l4wRkHqqCUFNJY4AfY3kHU/edit?usp=sharing  #gid=0"",""фіз особи new!relations_name""),6,FALSE)
,
(IF
(
C14308=""юридична особа""
,
VLOO"&amp;"KUP(D14308,IMPORTRANGE(""https://docs.google.com/spreadsheets/d/14Bd19lYaqBhU8_DElYkX7l4wRkHqqCUFNJY4AfY3kHU/edit?usp=sharing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7" s="7" t="s">
        <v>10</v>
      </c>
      <c r="H14307" s="7">
        <v>18862</v>
      </c>
      <c r="I14307" s="8" t="str">
        <f ca="1">IFERROR(__xludf.DUMMYFUNCTION("IF
(
G14308=""фізична особа""
,
VLOOKUP(H14308,IMPORTRANGE(""https://docs.google.com/spreadsheets/d/14Bd19lYaqBhU8_DElYkX7l4wRkHqqCUFNJY4AfY3kHU/edit?usp=sharing  #gid=0"",""фіз особи new!relations_name""),6,FALSE)
,
(IF
(
G14308=""юридична особа""
,
VLOO"&amp;"KUP(H14308,IMPORTRANGE(""https://docs.google.com/spreadsheets/d/14Bd19lYaqBhU8_DElYkX7l4wRkHqqCUFNJY4AfY3kHU/edit?usp=sharing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307" s="7" t="s">
        <v>23</v>
      </c>
    </row>
    <row r="14308" spans="1:10" ht="13.2">
      <c r="A14308" s="7">
        <v>14307</v>
      </c>
      <c r="B14308" s="7">
        <v>1</v>
      </c>
      <c r="C14308" s="7" t="s">
        <v>10</v>
      </c>
      <c r="D14308" s="7">
        <v>19119</v>
      </c>
      <c r="E14308" s="7" t="s">
        <v>23</v>
      </c>
      <c r="F14308" s="8" t="str">
        <f ca="1">IFERROR(__xludf.DUMMYFUNCTION("IF
(
C14309=""фізична особа""
,
VLOOKUP(D14309,IMPORTRANGE(""https://docs.google.com/spreadsheets/d/14Bd19lYaqBhU8_DElYkX7l4wRkHqqCUFNJY4AfY3kHU/edit?usp=sharing  #gid=0"",""фіз особи new!relations_name""),6,FALSE)
,
(IF
(
C14309=""юридична особа""
,
VLOO"&amp;"KUP(D14309,IMPORTRANGE(""https://docs.google.com/spreadsheets/d/14Bd19lYaqBhU8_DElYkX7l4wRkHqqCUFNJY4AfY3kHU/edit?usp=sharing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8" s="7" t="s">
        <v>10</v>
      </c>
      <c r="H14308" s="7">
        <v>18863</v>
      </c>
      <c r="I14308" s="8" t="str">
        <f ca="1">IFERROR(__xludf.DUMMYFUNCTION("IF
(
G14309=""фізична особа""
,
VLOOKUP(H14309,IMPORTRANGE(""https://docs.google.com/spreadsheets/d/14Bd19lYaqBhU8_DElYkX7l4wRkHqqCUFNJY4AfY3kHU/edit?usp=sharing  #gid=0"",""фіз особи new!relations_name""),6,FALSE)
,
(IF
(
G14309=""юридична особа""
,
VLOO"&amp;"KUP(H14309,IMPORTRANGE(""https://docs.google.com/spreadsheets/d/14Bd19lYaqBhU8_DElYkX7l4wRkHqqCUFNJY4AfY3kHU/edit?usp=sharing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308" s="7" t="s">
        <v>23</v>
      </c>
    </row>
    <row r="14309" spans="1:10" ht="13.2">
      <c r="A14309" s="7">
        <v>14308</v>
      </c>
      <c r="B14309" s="7">
        <v>1</v>
      </c>
      <c r="C14309" s="7" t="s">
        <v>10</v>
      </c>
      <c r="D14309" s="7">
        <v>19119</v>
      </c>
      <c r="E14309" s="7" t="s">
        <v>23</v>
      </c>
      <c r="F14309" s="8" t="str">
        <f ca="1">IFERROR(__xludf.DUMMYFUNCTION("IF
(
C14310=""фізична особа""
,
VLOOKUP(D14310,IMPORTRANGE(""https://docs.google.com/spreadsheets/d/14Bd19lYaqBhU8_DElYkX7l4wRkHqqCUFNJY4AfY3kHU/edit?usp=sharing  #gid=0"",""фіз особи new!relations_name""),6,FALSE)
,
(IF
(
C14310=""юридична особа""
,
VLOO"&amp;"KUP(D14310,IMPORTRANGE(""https://docs.google.com/spreadsheets/d/14Bd19lYaqBhU8_DElYkX7l4wRkHqqCUFNJY4AfY3kHU/edit?usp=sharing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09" s="7" t="s">
        <v>10</v>
      </c>
      <c r="H14309" s="7">
        <v>18864</v>
      </c>
      <c r="I14309" s="8" t="str">
        <f ca="1">IFERROR(__xludf.DUMMYFUNCTION("IF
(
G14310=""фізична особа""
,
VLOOKUP(H14310,IMPORTRANGE(""https://docs.google.com/spreadsheets/d/14Bd19lYaqBhU8_DElYkX7l4wRkHqqCUFNJY4AfY3kHU/edit?usp=sharing  #gid=0"",""фіз особи new!relations_name""),6,FALSE)
,
(IF
(
G14310=""юридична особа""
,
VLOO"&amp;"KUP(H14310,IMPORTRANGE(""https://docs.google.com/spreadsheets/d/14Bd19lYaqBhU8_DElYkX7l4wRkHqqCUFNJY4AfY3kHU/edit?usp=sharing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309" s="7" t="s">
        <v>23</v>
      </c>
    </row>
    <row r="14310" spans="1:10" ht="13.2">
      <c r="A14310" s="7">
        <v>14309</v>
      </c>
      <c r="B14310" s="7">
        <v>1</v>
      </c>
      <c r="C14310" s="7" t="s">
        <v>10</v>
      </c>
      <c r="D14310" s="7">
        <v>19119</v>
      </c>
      <c r="E14310" s="7" t="s">
        <v>23</v>
      </c>
      <c r="F14310" s="8" t="str">
        <f ca="1">IFERROR(__xludf.DUMMYFUNCTION("IF
(
C14311=""фізична особа""
,
VLOOKUP(D14311,IMPORTRANGE(""https://docs.google.com/spreadsheets/d/14Bd19lYaqBhU8_DElYkX7l4wRkHqqCUFNJY4AfY3kHU/edit?usp=sharing  #gid=0"",""фіз особи new!relations_name""),6,FALSE)
,
(IF
(
C14311=""юридична особа""
,
VLOO"&amp;"KUP(D14311,IMPORTRANGE(""https://docs.google.com/spreadsheets/d/14Bd19lYaqBhU8_DElYkX7l4wRkHqqCUFNJY4AfY3kHU/edit?usp=sharing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10" s="7" t="s">
        <v>10</v>
      </c>
      <c r="H14310" s="7">
        <v>18865</v>
      </c>
      <c r="I14310" s="8" t="str">
        <f ca="1">IFERROR(__xludf.DUMMYFUNCTION("IF
(
G14311=""фізична особа""
,
VLOOKUP(H14311,IMPORTRANGE(""https://docs.google.com/spreadsheets/d/14Bd19lYaqBhU8_DElYkX7l4wRkHqqCUFNJY4AfY3kHU/edit?usp=sharing  #gid=0"",""фіз особи new!relations_name""),6,FALSE)
,
(IF
(
G14311=""юридична особа""
,
VLOO"&amp;"KUP(H14311,IMPORTRANGE(""https://docs.google.com/spreadsheets/d/14Bd19lYaqBhU8_DElYkX7l4wRkHqqCUFNJY4AfY3kHU/edit?usp=sharing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310" s="7" t="s">
        <v>23</v>
      </c>
    </row>
    <row r="14311" spans="1:10" ht="13.2">
      <c r="A14311" s="7">
        <v>14310</v>
      </c>
      <c r="B14311" s="7">
        <v>1</v>
      </c>
      <c r="C14311" s="7" t="s">
        <v>10</v>
      </c>
      <c r="D14311" s="7">
        <v>19119</v>
      </c>
      <c r="E14311" s="7" t="s">
        <v>23</v>
      </c>
      <c r="F14311" s="8" t="str">
        <f ca="1">IFERROR(__xludf.DUMMYFUNCTION("IF
(
C14312=""фізична особа""
,
VLOOKUP(D14312,IMPORTRANGE(""https://docs.google.com/spreadsheets/d/14Bd19lYaqBhU8_DElYkX7l4wRkHqqCUFNJY4AfY3kHU/edit?usp=sharing  #gid=0"",""фіз особи new!relations_name""),6,FALSE)
,
(IF
(
C14312=""юридична особа""
,
VLOO"&amp;"KUP(D14312,IMPORTRANGE(""https://docs.google.com/spreadsheets/d/14Bd19lYaqBhU8_DElYkX7l4wRkHqqCUFNJY4AfY3kHU/edit?usp=sharing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11" s="7" t="s">
        <v>10</v>
      </c>
      <c r="H14311" s="7">
        <v>19116</v>
      </c>
      <c r="I14311" s="8" t="str">
        <f ca="1">IFERROR(__xludf.DUMMYFUNCTION("IF
(
G14312=""фізична особа""
,
VLOOKUP(H14312,IMPORTRANGE(""https://docs.google.com/spreadsheets/d/14Bd19lYaqBhU8_DElYkX7l4wRkHqqCUFNJY4AfY3kHU/edit?usp=sharing  #gid=0"",""фіз особи new!relations_name""),6,FALSE)
,
(IF
(
G14312=""юридична особа""
,
VLOO"&amp;"KUP(H14312,IMPORTRANGE(""https://docs.google.com/spreadsheets/d/14Bd19lYaqBhU8_DElYkX7l4wRkHqqCUFNJY4AfY3kHU/edit?usp=sharing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311" s="7" t="s">
        <v>23</v>
      </c>
    </row>
    <row r="14312" spans="1:10" ht="13.2">
      <c r="A14312" s="7">
        <v>14311</v>
      </c>
      <c r="B14312" s="7">
        <v>1</v>
      </c>
      <c r="C14312" s="7" t="s">
        <v>10</v>
      </c>
      <c r="D14312" s="7">
        <v>19119</v>
      </c>
      <c r="E14312" s="7" t="s">
        <v>23</v>
      </c>
      <c r="F14312" s="8" t="str">
        <f ca="1">IFERROR(__xludf.DUMMYFUNCTION("IF
(
C14313=""фізична особа""
,
VLOOKUP(D14313,IMPORTRANGE(""https://docs.google.com/spreadsheets/d/14Bd19lYaqBhU8_DElYkX7l4wRkHqqCUFNJY4AfY3kHU/edit?usp=sharing  #gid=0"",""фіз особи new!relations_name""),6,FALSE)
,
(IF
(
C14313=""юридична особа""
,
VLOO"&amp;"KUP(D14313,IMPORTRANGE(""https://docs.google.com/spreadsheets/d/14Bd19lYaqBhU8_DElYkX7l4wRkHqqCUFNJY4AfY3kHU/edit?usp=sharing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12" s="7" t="s">
        <v>10</v>
      </c>
      <c r="H14312" s="7">
        <v>19117</v>
      </c>
      <c r="I14312" s="8" t="str">
        <f ca="1">IFERROR(__xludf.DUMMYFUNCTION("IF
(
G14313=""фізична особа""
,
VLOOKUP(H14313,IMPORTRANGE(""https://docs.google.com/spreadsheets/d/14Bd19lYaqBhU8_DElYkX7l4wRkHqqCUFNJY4AfY3kHU/edit?usp=sharing  #gid=0"",""фіз особи new!relations_name""),6,FALSE)
,
(IF
(
G14313=""юридична особа""
,
VLOO"&amp;"KUP(H14313,IMPORTRANGE(""https://docs.google.com/spreadsheets/d/14Bd19lYaqBhU8_DElYkX7l4wRkHqqCUFNJY4AfY3kHU/edit?usp=sharing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312" s="7" t="s">
        <v>23</v>
      </c>
    </row>
    <row r="14313" spans="1:10" ht="13.2">
      <c r="A14313" s="7">
        <v>14312</v>
      </c>
      <c r="B14313" s="7">
        <v>1</v>
      </c>
      <c r="C14313" s="7" t="s">
        <v>10</v>
      </c>
      <c r="D14313" s="7">
        <v>19119</v>
      </c>
      <c r="E14313" s="7" t="s">
        <v>23</v>
      </c>
      <c r="F14313" s="8" t="str">
        <f ca="1">IFERROR(__xludf.DUMMYFUNCTION("IF
(
C14314=""фізична особа""
,
VLOOKUP(D14314,IMPORTRANGE(""https://docs.google.com/spreadsheets/d/14Bd19lYaqBhU8_DElYkX7l4wRkHqqCUFNJY4AfY3kHU/edit?usp=sharing  #gid=0"",""фіз особи new!relations_name""),6,FALSE)
,
(IF
(
C14314=""юридична особа""
,
VLOO"&amp;"KUP(D14314,IMPORTRANGE(""https://docs.google.com/spreadsheets/d/14Bd19lYaqBhU8_DElYkX7l4wRkHqqCUFNJY4AfY3kHU/edit?usp=sharing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13" s="7" t="s">
        <v>10</v>
      </c>
      <c r="H14313" s="7">
        <v>19118</v>
      </c>
      <c r="I14313" s="8" t="str">
        <f ca="1">IFERROR(__xludf.DUMMYFUNCTION("IF
(
G14314=""фізична особа""
,
VLOOKUP(H14314,IMPORTRANGE(""https://docs.google.com/spreadsheets/d/14Bd19lYaqBhU8_DElYkX7l4wRkHqqCUFNJY4AfY3kHU/edit?usp=sharing  #gid=0"",""фіз особи new!relations_name""),6,FALSE)
,
(IF
(
G14314=""юридична особа""
,
VLOO"&amp;"KUP(H14314,IMPORTRANGE(""https://docs.google.com/spreadsheets/d/14Bd19lYaqBhU8_DElYkX7l4wRkHqqCUFNJY4AfY3kHU/edit?usp=sharing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313" s="7" t="s">
        <v>23</v>
      </c>
    </row>
    <row r="14314" spans="1:10" ht="13.2">
      <c r="A14314" s="7">
        <v>14313</v>
      </c>
      <c r="B14314" s="7">
        <v>1</v>
      </c>
      <c r="C14314" s="7" t="s">
        <v>10</v>
      </c>
      <c r="D14314" s="7">
        <v>19119</v>
      </c>
      <c r="E14314" s="7" t="s">
        <v>23</v>
      </c>
      <c r="F14314" s="8" t="str">
        <f ca="1">IFERROR(__xludf.DUMMYFUNCTION("IF
(
C14315=""фізична особа""
,
VLOOKUP(D14315,IMPORTRANGE(""https://docs.google.com/spreadsheets/d/14Bd19lYaqBhU8_DElYkX7l4wRkHqqCUFNJY4AfY3kHU/edit?usp=sharing  #gid=0"",""фіз особи new!relations_name""),6,FALSE)
,
(IF
(
C14315=""юридична особа""
,
VLOO"&amp;"KUP(D14315,IMPORTRANGE(""https://docs.google.com/spreadsheets/d/14Bd19lYaqBhU8_DElYkX7l4wRkHqqCUFNJY4AfY3kHU/edit?usp=sharing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G14314" s="7" t="s">
        <v>10</v>
      </c>
      <c r="H14314" s="7">
        <v>19120</v>
      </c>
      <c r="I14314" s="8" t="str">
        <f ca="1">IFERROR(__xludf.DUMMYFUNCTION("IF
(
G14315=""фізична особа""
,
VLOOKUP(H14315,IMPORTRANGE(""https://docs.google.com/spreadsheets/d/14Bd19lYaqBhU8_DElYkX7l4wRkHqqCUFNJY4AfY3kHU/edit?usp=sharing  #gid=0"",""фіз особи new!relations_name""),6,FALSE)
,
(IF
(
G14315=""юридична особа""
,
VLOO"&amp;"KUP(H14315,IMPORTRANGE(""https://docs.google.com/spreadsheets/d/14Bd19lYaqBhU8_DElYkX7l4wRkHqqCUFNJY4AfY3kHU/edit?usp=sharing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J14314" s="7" t="s">
        <v>23</v>
      </c>
    </row>
    <row r="14315" spans="1:10" ht="13.2">
      <c r="A14315" s="7">
        <v>14314</v>
      </c>
      <c r="B14315" s="7">
        <v>1</v>
      </c>
      <c r="C14315" s="7" t="s">
        <v>10</v>
      </c>
      <c r="D14315" s="7">
        <v>19120</v>
      </c>
      <c r="E14315" s="7" t="s">
        <v>23</v>
      </c>
      <c r="F14315" s="8" t="str">
        <f ca="1">IFERROR(__xludf.DUMMYFUNCTION("IF
(
C14316=""фізична особа""
,
VLOOKUP(D14316,IMPORTRANGE(""https://docs.google.com/spreadsheets/d/14Bd19lYaqBhU8_DElYkX7l4wRkHqqCUFNJY4AfY3kHU/edit?usp=sharing  #gid=0"",""фіз особи new!relations_name""),6,FALSE)
,
(IF
(
C14316=""юридична особа""
,
VLOO"&amp;"KUP(D14316,IMPORTRANGE(""https://docs.google.com/spreadsheets/d/14Bd19lYaqBhU8_DElYkX7l4wRkHqqCUFNJY4AfY3kHU/edit?usp=sharing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15" s="7" t="s">
        <v>10</v>
      </c>
      <c r="H14315" s="7">
        <v>18859</v>
      </c>
      <c r="I14315" s="8" t="str">
        <f ca="1">IFERROR(__xludf.DUMMYFUNCTION("IF
(
G14316=""фізична особа""
,
VLOOKUP(H14316,IMPORTRANGE(""https://docs.google.com/spreadsheets/d/14Bd19lYaqBhU8_DElYkX7l4wRkHqqCUFNJY4AfY3kHU/edit?usp=sharing  #gid=0"",""фіз особи new!relations_name""),6,FALSE)
,
(IF
(
G14316=""юридична особа""
,
VLOO"&amp;"KUP(H14316,IMPORTRANGE(""https://docs.google.com/spreadsheets/d/14Bd19lYaqBhU8_DElYkX7l4wRkHqqCUFNJY4AfY3kHU/edit?usp=sharing  #gid=0"",""фіз особи new!relations_name_uo""),7,FALSE)
,
)
))"),"АХМЕДОВ Дібір Магомедович")</f>
        <v>АХМЕДОВ Дібір Магомедович</v>
      </c>
      <c r="J14315" s="7" t="s">
        <v>23</v>
      </c>
    </row>
    <row r="14316" spans="1:10" ht="13.2">
      <c r="A14316" s="7">
        <v>14315</v>
      </c>
      <c r="B14316" s="7">
        <v>1</v>
      </c>
      <c r="C14316" s="7" t="s">
        <v>10</v>
      </c>
      <c r="D14316" s="7">
        <v>19120</v>
      </c>
      <c r="E14316" s="7" t="s">
        <v>23</v>
      </c>
      <c r="F14316" s="8" t="str">
        <f ca="1">IFERROR(__xludf.DUMMYFUNCTION("IF
(
C14317=""фізична особа""
,
VLOOKUP(D14317,IMPORTRANGE(""https://docs.google.com/spreadsheets/d/14Bd19lYaqBhU8_DElYkX7l4wRkHqqCUFNJY4AfY3kHU/edit?usp=sharing  #gid=0"",""фіз особи new!relations_name""),6,FALSE)
,
(IF
(
C14317=""юридична особа""
,
VLOO"&amp;"KUP(D14317,IMPORTRANGE(""https://docs.google.com/spreadsheets/d/14Bd19lYaqBhU8_DElYkX7l4wRkHqqCUFNJY4AfY3kHU/edit?usp=sharing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16" s="7" t="s">
        <v>10</v>
      </c>
      <c r="H14316" s="7">
        <v>18860</v>
      </c>
      <c r="I14316" s="8" t="str">
        <f ca="1">IFERROR(__xludf.DUMMYFUNCTION("IF
(
G14317=""фізична особа""
,
VLOOKUP(H14317,IMPORTRANGE(""https://docs.google.com/spreadsheets/d/14Bd19lYaqBhU8_DElYkX7l4wRkHqqCUFNJY4AfY3kHU/edit?usp=sharing  #gid=0"",""фіз особи new!relations_name""),6,FALSE)
,
(IF
(
G14317=""юридична особа""
,
VLOO"&amp;"KUP(H14317,IMPORTRANGE(""https://docs.google.com/spreadsheets/d/14Bd19lYaqBhU8_DElYkX7l4wRkHqqCUFNJY4AfY3kHU/edit?usp=sharing  #gid=0"",""фіз особи new!relations_name_uo""),7,FALSE)
,
)
))"),"РАСУЛОВА Наїда Салімгереївна")</f>
        <v>РАСУЛОВА Наїда Салімгереївна</v>
      </c>
      <c r="J14316" s="7" t="s">
        <v>23</v>
      </c>
    </row>
    <row r="14317" spans="1:10" ht="13.2">
      <c r="A14317" s="7">
        <v>14316</v>
      </c>
      <c r="B14317" s="7">
        <v>1</v>
      </c>
      <c r="C14317" s="7" t="s">
        <v>10</v>
      </c>
      <c r="D14317" s="7">
        <v>19120</v>
      </c>
      <c r="E14317" s="7" t="s">
        <v>23</v>
      </c>
      <c r="F14317" s="8" t="str">
        <f ca="1">IFERROR(__xludf.DUMMYFUNCTION("IF
(
C14318=""фізична особа""
,
VLOOKUP(D14318,IMPORTRANGE(""https://docs.google.com/spreadsheets/d/14Bd19lYaqBhU8_DElYkX7l4wRkHqqCUFNJY4AfY3kHU/edit?usp=sharing  #gid=0"",""фіз особи new!relations_name""),6,FALSE)
,
(IF
(
C14318=""юридична особа""
,
VLOO"&amp;"KUP(D14318,IMPORTRANGE(""https://docs.google.com/spreadsheets/d/14Bd19lYaqBhU8_DElYkX7l4wRkHqqCUFNJY4AfY3kHU/edit?usp=sharing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17" s="7" t="s">
        <v>10</v>
      </c>
      <c r="H14317" s="7">
        <v>18861</v>
      </c>
      <c r="I14317" s="8" t="str">
        <f ca="1">IFERROR(__xludf.DUMMYFUNCTION("IF
(
G14318=""фізична особа""
,
VLOOKUP(H14318,IMPORTRANGE(""https://docs.google.com/spreadsheets/d/14Bd19lYaqBhU8_DElYkX7l4wRkHqqCUFNJY4AfY3kHU/edit?usp=sharing  #gid=0"",""фіз особи new!relations_name""),6,FALSE)
,
(IF
(
G14318=""юридична особа""
,
VLOO"&amp;"KUP(H14318,IMPORTRANGE(""https://docs.google.com/spreadsheets/d/14Bd19lYaqBhU8_DElYkX7l4wRkHqqCUFNJY4AfY3kHU/edit?usp=sharing  #gid=0"",""фіз особи new!relations_name_uo""),7,FALSE)
,
)
))"),"КУРБАНЧИЄВ Джамалудін Саїдович")</f>
        <v>КУРБАНЧИЄВ Джамалудін Саїдович</v>
      </c>
      <c r="J14317" s="7" t="s">
        <v>23</v>
      </c>
    </row>
    <row r="14318" spans="1:10" ht="13.2">
      <c r="A14318" s="7">
        <v>14317</v>
      </c>
      <c r="B14318" s="7">
        <v>1</v>
      </c>
      <c r="C14318" s="7" t="s">
        <v>10</v>
      </c>
      <c r="D14318" s="7">
        <v>19120</v>
      </c>
      <c r="E14318" s="7" t="s">
        <v>23</v>
      </c>
      <c r="F14318" s="8" t="str">
        <f ca="1">IFERROR(__xludf.DUMMYFUNCTION("IF
(
C14319=""фізична особа""
,
VLOOKUP(D14319,IMPORTRANGE(""https://docs.google.com/spreadsheets/d/14Bd19lYaqBhU8_DElYkX7l4wRkHqqCUFNJY4AfY3kHU/edit?usp=sharing  #gid=0"",""фіз особи new!relations_name""),6,FALSE)
,
(IF
(
C14319=""юридична особа""
,
VLOO"&amp;"KUP(D14319,IMPORTRANGE(""https://docs.google.com/spreadsheets/d/14Bd19lYaqBhU8_DElYkX7l4wRkHqqCUFNJY4AfY3kHU/edit?usp=sharing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18" s="7" t="s">
        <v>10</v>
      </c>
      <c r="H14318" s="7">
        <v>18862</v>
      </c>
      <c r="I14318" s="8" t="str">
        <f ca="1">IFERROR(__xludf.DUMMYFUNCTION("IF
(
G14319=""фізична особа""
,
VLOOKUP(H14319,IMPORTRANGE(""https://docs.google.com/spreadsheets/d/14Bd19lYaqBhU8_DElYkX7l4wRkHqqCUFNJY4AfY3kHU/edit?usp=sharing  #gid=0"",""фіз особи new!relations_name""),6,FALSE)
,
(IF
(
G14319=""юридична особа""
,
VLOO"&amp;"KUP(H14319,IMPORTRANGE(""https://docs.google.com/spreadsheets/d/14Bd19lYaqBhU8_DElYkX7l4wRkHqqCUFNJY4AfY3kHU/edit?usp=sharing  #gid=0"",""фіз особи new!relations_name_uo""),7,FALSE)
,
)
))"),"ПОРИВАЄВА Олена Єгорівна")</f>
        <v>ПОРИВАЄВА Олена Єгорівна</v>
      </c>
      <c r="J14318" s="7" t="s">
        <v>23</v>
      </c>
    </row>
    <row r="14319" spans="1:10" ht="13.2">
      <c r="A14319" s="7">
        <v>14318</v>
      </c>
      <c r="B14319" s="7">
        <v>1</v>
      </c>
      <c r="C14319" s="7" t="s">
        <v>10</v>
      </c>
      <c r="D14319" s="7">
        <v>19120</v>
      </c>
      <c r="E14319" s="7" t="s">
        <v>23</v>
      </c>
      <c r="F14319" s="8" t="str">
        <f ca="1">IFERROR(__xludf.DUMMYFUNCTION("IF
(
C14320=""фізична особа""
,
VLOOKUP(D14320,IMPORTRANGE(""https://docs.google.com/spreadsheets/d/14Bd19lYaqBhU8_DElYkX7l4wRkHqqCUFNJY4AfY3kHU/edit?usp=sharing  #gid=0"",""фіз особи new!relations_name""),6,FALSE)
,
(IF
(
C14320=""юридична особа""
,
VLOO"&amp;"KUP(D14320,IMPORTRANGE(""https://docs.google.com/spreadsheets/d/14Bd19lYaqBhU8_DElYkX7l4wRkHqqCUFNJY4AfY3kHU/edit?usp=sharing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19" s="7" t="s">
        <v>10</v>
      </c>
      <c r="H14319" s="7">
        <v>18863</v>
      </c>
      <c r="I14319" s="8" t="str">
        <f ca="1">IFERROR(__xludf.DUMMYFUNCTION("IF
(
G14320=""фізична особа""
,
VLOOKUP(H14320,IMPORTRANGE(""https://docs.google.com/spreadsheets/d/14Bd19lYaqBhU8_DElYkX7l4wRkHqqCUFNJY4AfY3kHU/edit?usp=sharing  #gid=0"",""фіз особи new!relations_name""),6,FALSE)
,
(IF
(
G14320=""юридична особа""
,
VLOO"&amp;"KUP(H14320,IMPORTRANGE(""https://docs.google.com/spreadsheets/d/14Bd19lYaqBhU8_DElYkX7l4wRkHqqCUFNJY4AfY3kHU/edit?usp=sharing  #gid=0"",""фіз особи new!relations_name_uo""),7,FALSE)
,
)
))"),"МАГОМЕДОВ Гаджимурад Джамалудинович")</f>
        <v>МАГОМЕДОВ Гаджимурад Джамалудинович</v>
      </c>
      <c r="J14319" s="7" t="s">
        <v>23</v>
      </c>
    </row>
    <row r="14320" spans="1:10" ht="13.2">
      <c r="A14320" s="7">
        <v>14319</v>
      </c>
      <c r="B14320" s="7">
        <v>1</v>
      </c>
      <c r="C14320" s="7" t="s">
        <v>10</v>
      </c>
      <c r="D14320" s="7">
        <v>19120</v>
      </c>
      <c r="E14320" s="7" t="s">
        <v>23</v>
      </c>
      <c r="F14320" s="8" t="str">
        <f ca="1">IFERROR(__xludf.DUMMYFUNCTION("IF
(
C14321=""фізична особа""
,
VLOOKUP(D14321,IMPORTRANGE(""https://docs.google.com/spreadsheets/d/14Bd19lYaqBhU8_DElYkX7l4wRkHqqCUFNJY4AfY3kHU/edit?usp=sharing  #gid=0"",""фіз особи new!relations_name""),6,FALSE)
,
(IF
(
C14321=""юридична особа""
,
VLOO"&amp;"KUP(D14321,IMPORTRANGE(""https://docs.google.com/spreadsheets/d/14Bd19lYaqBhU8_DElYkX7l4wRkHqqCUFNJY4AfY3kHU/edit?usp=sharing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0" s="7" t="s">
        <v>10</v>
      </c>
      <c r="H14320" s="7">
        <v>18864</v>
      </c>
      <c r="I14320" s="8" t="str">
        <f ca="1">IFERROR(__xludf.DUMMYFUNCTION("IF
(
G14321=""фізична особа""
,
VLOOKUP(H14321,IMPORTRANGE(""https://docs.google.com/spreadsheets/d/14Bd19lYaqBhU8_DElYkX7l4wRkHqqCUFNJY4AfY3kHU/edit?usp=sharing  #gid=0"",""фіз особи new!relations_name""),6,FALSE)
,
(IF
(
G14321=""юридична особа""
,
VLOO"&amp;"KUP(H14321,IMPORTRANGE(""https://docs.google.com/spreadsheets/d/14Bd19lYaqBhU8_DElYkX7l4wRkHqqCUFNJY4AfY3kHU/edit?usp=sharing  #gid=0"",""фіз особи new!relations_name_uo""),7,FALSE)
,
)
))"),"КУРБАНЧИЄВ Саїд Гаджиєвич")</f>
        <v>КУРБАНЧИЄВ Саїд Гаджиєвич</v>
      </c>
      <c r="J14320" s="7" t="s">
        <v>23</v>
      </c>
    </row>
    <row r="14321" spans="1:10" ht="13.2">
      <c r="A14321" s="7">
        <v>14320</v>
      </c>
      <c r="B14321" s="7">
        <v>1</v>
      </c>
      <c r="C14321" s="7" t="s">
        <v>10</v>
      </c>
      <c r="D14321" s="7">
        <v>19120</v>
      </c>
      <c r="E14321" s="7" t="s">
        <v>23</v>
      </c>
      <c r="F14321" s="8" t="str">
        <f ca="1">IFERROR(__xludf.DUMMYFUNCTION("IF
(
C14322=""фізична особа""
,
VLOOKUP(D14322,IMPORTRANGE(""https://docs.google.com/spreadsheets/d/14Bd19lYaqBhU8_DElYkX7l4wRkHqqCUFNJY4AfY3kHU/edit?usp=sharing  #gid=0"",""фіз особи new!relations_name""),6,FALSE)
,
(IF
(
C14322=""юридична особа""
,
VLOO"&amp;"KUP(D14322,IMPORTRANGE(""https://docs.google.com/spreadsheets/d/14Bd19lYaqBhU8_DElYkX7l4wRkHqqCUFNJY4AfY3kHU/edit?usp=sharing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1" s="7" t="s">
        <v>10</v>
      </c>
      <c r="H14321" s="7">
        <v>18865</v>
      </c>
      <c r="I14321" s="8" t="str">
        <f ca="1">IFERROR(__xludf.DUMMYFUNCTION("IF
(
G14322=""фізична особа""
,
VLOOKUP(H14322,IMPORTRANGE(""https://docs.google.com/spreadsheets/d/14Bd19lYaqBhU8_DElYkX7l4wRkHqqCUFNJY4AfY3kHU/edit?usp=sharing  #gid=0"",""фіз особи new!relations_name""),6,FALSE)
,
(IF
(
G14322=""юридична особа""
,
VLOO"&amp;"KUP(H14322,IMPORTRANGE(""https://docs.google.com/spreadsheets/d/14Bd19lYaqBhU8_DElYkX7l4wRkHqqCUFNJY4AfY3kHU/edit?usp=sharing  #gid=0"",""фіз особи new!relations_name_uo""),7,FALSE)
,
)
))"),"ОСМАНОВ Омар Магомедович")</f>
        <v>ОСМАНОВ Омар Магомедович</v>
      </c>
      <c r="J14321" s="7" t="s">
        <v>23</v>
      </c>
    </row>
    <row r="14322" spans="1:10" ht="13.2">
      <c r="A14322" s="7">
        <v>14321</v>
      </c>
      <c r="B14322" s="7">
        <v>1</v>
      </c>
      <c r="C14322" s="7" t="s">
        <v>10</v>
      </c>
      <c r="D14322" s="7">
        <v>19120</v>
      </c>
      <c r="E14322" s="7" t="s">
        <v>23</v>
      </c>
      <c r="F14322" s="8" t="str">
        <f ca="1">IFERROR(__xludf.DUMMYFUNCTION("IF
(
C14323=""фізична особа""
,
VLOOKUP(D14323,IMPORTRANGE(""https://docs.google.com/spreadsheets/d/14Bd19lYaqBhU8_DElYkX7l4wRkHqqCUFNJY4AfY3kHU/edit?usp=sharing  #gid=0"",""фіз особи new!relations_name""),6,FALSE)
,
(IF
(
C14323=""юридична особа""
,
VLOO"&amp;"KUP(D14323,IMPORTRANGE(""https://docs.google.com/spreadsheets/d/14Bd19lYaqBhU8_DElYkX7l4wRkHqqCUFNJY4AfY3kHU/edit?usp=sharing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2" s="7" t="s">
        <v>10</v>
      </c>
      <c r="H14322" s="7">
        <v>19116</v>
      </c>
      <c r="I14322" s="8" t="str">
        <f ca="1">IFERROR(__xludf.DUMMYFUNCTION("IF
(
G14323=""фізична особа""
,
VLOOKUP(H14323,IMPORTRANGE(""https://docs.google.com/spreadsheets/d/14Bd19lYaqBhU8_DElYkX7l4wRkHqqCUFNJY4AfY3kHU/edit?usp=sharing  #gid=0"",""фіз особи new!relations_name""),6,FALSE)
,
(IF
(
G14323=""юридична особа""
,
VLOO"&amp;"KUP(H14323,IMPORTRANGE(""https://docs.google.com/spreadsheets/d/14Bd19lYaqBhU8_DElYkX7l4wRkHqqCUFNJY4AfY3kHU/edit?usp=sharing  #gid=0"",""фіз особи new!relations_name_uo""),7,FALSE)
,
)
))"),"БАГОМАЄВ Курбан Багомаєвич")</f>
        <v>БАГОМАЄВ Курбан Багомаєвич</v>
      </c>
      <c r="J14322" s="7" t="s">
        <v>23</v>
      </c>
    </row>
    <row r="14323" spans="1:10" ht="13.2">
      <c r="A14323" s="7">
        <v>14322</v>
      </c>
      <c r="B14323" s="7">
        <v>1</v>
      </c>
      <c r="C14323" s="7" t="s">
        <v>10</v>
      </c>
      <c r="D14323" s="7">
        <v>19120</v>
      </c>
      <c r="E14323" s="7" t="s">
        <v>23</v>
      </c>
      <c r="F14323" s="8" t="str">
        <f ca="1">IFERROR(__xludf.DUMMYFUNCTION("IF
(
C14324=""фізична особа""
,
VLOOKUP(D14324,IMPORTRANGE(""https://docs.google.com/spreadsheets/d/14Bd19lYaqBhU8_DElYkX7l4wRkHqqCUFNJY4AfY3kHU/edit?usp=sharing  #gid=0"",""фіз особи new!relations_name""),6,FALSE)
,
(IF
(
C14324=""юридична особа""
,
VLOO"&amp;"KUP(D14324,IMPORTRANGE(""https://docs.google.com/spreadsheets/d/14Bd19lYaqBhU8_DElYkX7l4wRkHqqCUFNJY4AfY3kHU/edit?usp=sharing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3" s="7" t="s">
        <v>10</v>
      </c>
      <c r="H14323" s="7">
        <v>19117</v>
      </c>
      <c r="I14323" s="8" t="str">
        <f ca="1">IFERROR(__xludf.DUMMYFUNCTION("IF
(
G14324=""фізична особа""
,
VLOOKUP(H14324,IMPORTRANGE(""https://docs.google.com/spreadsheets/d/14Bd19lYaqBhU8_DElYkX7l4wRkHqqCUFNJY4AfY3kHU/edit?usp=sharing  #gid=0"",""фіз особи new!relations_name""),6,FALSE)
,
(IF
(
G14324=""юридична особа""
,
VLOO"&amp;"KUP(H14324,IMPORTRANGE(""https://docs.google.com/spreadsheets/d/14Bd19lYaqBhU8_DElYkX7l4wRkHqqCUFNJY4AfY3kHU/edit?usp=sharing  #gid=0"",""фіз особи new!relations_name_uo""),7,FALSE)
,
)
))"),"ІСАЄВА Сабіна Камілівна")</f>
        <v>ІСАЄВА Сабіна Камілівна</v>
      </c>
      <c r="J14323" s="7" t="s">
        <v>23</v>
      </c>
    </row>
    <row r="14324" spans="1:10" ht="13.2">
      <c r="A14324" s="7">
        <v>14323</v>
      </c>
      <c r="B14324" s="7">
        <v>1</v>
      </c>
      <c r="C14324" s="7" t="s">
        <v>10</v>
      </c>
      <c r="D14324" s="7">
        <v>19120</v>
      </c>
      <c r="E14324" s="7" t="s">
        <v>23</v>
      </c>
      <c r="F14324" s="8" t="str">
        <f ca="1">IFERROR(__xludf.DUMMYFUNCTION("IF
(
C14325=""фізична особа""
,
VLOOKUP(D14325,IMPORTRANGE(""https://docs.google.com/spreadsheets/d/14Bd19lYaqBhU8_DElYkX7l4wRkHqqCUFNJY4AfY3kHU/edit?usp=sharing  #gid=0"",""фіз особи new!relations_name""),6,FALSE)
,
(IF
(
C14325=""юридична особа""
,
VLOO"&amp;"KUP(D14325,IMPORTRANGE(""https://docs.google.com/spreadsheets/d/14Bd19lYaqBhU8_DElYkX7l4wRkHqqCUFNJY4AfY3kHU/edit?usp=sharing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4" s="7" t="s">
        <v>10</v>
      </c>
      <c r="H14324" s="7">
        <v>19118</v>
      </c>
      <c r="I14324" s="8" t="str">
        <f ca="1">IFERROR(__xludf.DUMMYFUNCTION("IF
(
G14325=""фізична особа""
,
VLOOKUP(H14325,IMPORTRANGE(""https://docs.google.com/spreadsheets/d/14Bd19lYaqBhU8_DElYkX7l4wRkHqqCUFNJY4AfY3kHU/edit?usp=sharing  #gid=0"",""фіз особи new!relations_name""),6,FALSE)
,
(IF
(
G14325=""юридична особа""
,
VLOO"&amp;"KUP(H14325,IMPORTRANGE(""https://docs.google.com/spreadsheets/d/14Bd19lYaqBhU8_DElYkX7l4wRkHqqCUFNJY4AfY3kHU/edit?usp=sharing  #gid=0"",""фіз особи new!relations_name_uo""),7,FALSE)
,
)
))"),"ГАДЖИЄВА Мадіна Курбанчиєвна")</f>
        <v>ГАДЖИЄВА Мадіна Курбанчиєвна</v>
      </c>
      <c r="J14324" s="7" t="s">
        <v>23</v>
      </c>
    </row>
    <row r="14325" spans="1:10" ht="13.2">
      <c r="A14325" s="7">
        <v>14324</v>
      </c>
      <c r="B14325" s="7">
        <v>1</v>
      </c>
      <c r="C14325" s="7" t="s">
        <v>10</v>
      </c>
      <c r="D14325" s="7">
        <v>19120</v>
      </c>
      <c r="E14325" s="7" t="s">
        <v>23</v>
      </c>
      <c r="F14325" s="8" t="str">
        <f ca="1">IFERROR(__xludf.DUMMYFUNCTION("IF
(
C14326=""фізична особа""
,
VLOOKUP(D14326,IMPORTRANGE(""https://docs.google.com/spreadsheets/d/14Bd19lYaqBhU8_DElYkX7l4wRkHqqCUFNJY4AfY3kHU/edit?usp=sharing  #gid=0"",""фіз особи new!relations_name""),6,FALSE)
,
(IF
(
C14326=""юридична особа""
,
VLOO"&amp;"KUP(D14326,IMPORTRANGE(""https://docs.google.com/spreadsheets/d/14Bd19lYaqBhU8_DElYkX7l4wRkHqqCUFNJY4AfY3kHU/edit?usp=sharing  #gid=0"",""фіз особи new!relations_name_uo""),7,FALSE)
,
)
))"),"ШАХБАНОВ Джамалутдин Нізамудинович")</f>
        <v>ШАХБАНОВ Джамалутдин Нізамудинович</v>
      </c>
      <c r="G14325" s="7" t="s">
        <v>10</v>
      </c>
      <c r="H14325" s="7">
        <v>19119</v>
      </c>
      <c r="I14325" s="8" t="str">
        <f ca="1">IFERROR(__xludf.DUMMYFUNCTION("IF
(
G14326=""фізична особа""
,
VLOOKUP(H14326,IMPORTRANGE(""https://docs.google.com/spreadsheets/d/14Bd19lYaqBhU8_DElYkX7l4wRkHqqCUFNJY4AfY3kHU/edit?usp=sharing  #gid=0"",""фіз особи new!relations_name""),6,FALSE)
,
(IF
(
G14326=""юридична особа""
,
VLOO"&amp;"KUP(H14326,IMPORTRANGE(""https://docs.google.com/spreadsheets/d/14Bd19lYaqBhU8_DElYkX7l4wRkHqqCUFNJY4AfY3kHU/edit?usp=sharing  #gid=0"",""фіз особи new!relations_name_uo""),7,FALSE)
,
)
))"),"БАБІЖАЄВ Яків Романович")</f>
        <v>БАБІЖАЄВ Яків Романович</v>
      </c>
      <c r="J14325" s="7" t="s">
        <v>23</v>
      </c>
    </row>
    <row r="14326" spans="1:10" ht="13.2">
      <c r="A14326" s="7">
        <v>14325</v>
      </c>
      <c r="B14326" s="7">
        <v>1</v>
      </c>
      <c r="C14326" s="7" t="s">
        <v>10</v>
      </c>
      <c r="D14326" s="7">
        <v>19121</v>
      </c>
      <c r="E14326" s="7" t="s">
        <v>23</v>
      </c>
      <c r="F14326" s="8" t="str">
        <f ca="1">IFERROR(__xludf.DUMMYFUNCTION("IF
(
C14327=""фізична особа""
,
VLOOKUP(D14327,IMPORTRANGE(""https://docs.google.com/spreadsheets/d/14Bd19lYaqBhU8_DElYkX7l4wRkHqqCUFNJY4AfY3kHU/edit?usp=sharing  #gid=0"",""фіз особи new!relations_name""),6,FALSE)
,
(IF
(
C14327=""юридична особа""
,
VLOO"&amp;"KUP(D14327,IMPORTRANGE(""https://docs.google.com/spreadsheets/d/14Bd19lYaqBhU8_DElYkX7l4wRkHqqCUFNJY4AfY3kHU/edit?usp=sharing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G14326" s="7" t="s">
        <v>10</v>
      </c>
      <c r="H14326" s="7">
        <v>19135</v>
      </c>
      <c r="I14326" s="8" t="str">
        <f ca="1">IFERROR(__xludf.DUMMYFUNCTION("IF
(
G14327=""фізична особа""
,
VLOOKUP(H14327,IMPORTRANGE(""https://docs.google.com/spreadsheets/d/14Bd19lYaqBhU8_DElYkX7l4wRkHqqCUFNJY4AfY3kHU/edit?usp=sharing  #gid=0"",""фіз особи new!relations_name""),6,FALSE)
,
(IF
(
G14327=""юридична особа""
,
VLOO"&amp;"KUP(H14327,IMPORTRANGE(""https://docs.google.com/spreadsheets/d/14Bd19lYaqBhU8_DElYkX7l4wRkHqqCUFNJY4AfY3kHU/edit?usp=sharing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J14326" s="7" t="s">
        <v>23</v>
      </c>
    </row>
    <row r="14327" spans="1:10" ht="13.2">
      <c r="A14327" s="7">
        <v>14326</v>
      </c>
      <c r="B14327" s="7">
        <v>1</v>
      </c>
      <c r="C14327" s="7" t="s">
        <v>10</v>
      </c>
      <c r="D14327" s="7">
        <v>19121</v>
      </c>
      <c r="E14327" s="7" t="s">
        <v>23</v>
      </c>
      <c r="F14327" s="8" t="str">
        <f ca="1">IFERROR(__xludf.DUMMYFUNCTION("IF
(
C14328=""фізична особа""
,
VLOOKUP(D14328,IMPORTRANGE(""https://docs.google.com/spreadsheets/d/14Bd19lYaqBhU8_DElYkX7l4wRkHqqCUFNJY4AfY3kHU/edit?usp=sharing  #gid=0"",""фіз особи new!relations_name""),6,FALSE)
,
(IF
(
C14328=""юридична особа""
,
VLOO"&amp;"KUP(D14328,IMPORTRANGE(""https://docs.google.com/spreadsheets/d/14Bd19lYaqBhU8_DElYkX7l4wRkHqqCUFNJY4AfY3kHU/edit?usp=sharing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G14327" s="7" t="s">
        <v>10</v>
      </c>
      <c r="H14327" s="7">
        <v>19133</v>
      </c>
      <c r="I14327" s="8" t="str">
        <f ca="1">IFERROR(__xludf.DUMMYFUNCTION("IF
(
G14328=""фізична особа""
,
VLOOKUP(H14328,IMPORTRANGE(""https://docs.google.com/spreadsheets/d/14Bd19lYaqBhU8_DElYkX7l4wRkHqqCUFNJY4AfY3kHU/edit?usp=sharing  #gid=0"",""фіз особи new!relations_name""),6,FALSE)
,
(IF
(
G14328=""юридична особа""
,
VLOO"&amp;"KUP(H14328,IMPORTRANGE(""https://docs.google.com/spreadsheets/d/14Bd19lYaqBhU8_DElYkX7l4wRkHqqCUFNJY4AfY3kHU/edit?usp=sharing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27" s="7" t="s">
        <v>23</v>
      </c>
    </row>
    <row r="14328" spans="1:10" ht="13.2">
      <c r="A14328" s="7">
        <v>14327</v>
      </c>
      <c r="B14328" s="7">
        <v>1</v>
      </c>
      <c r="C14328" s="7" t="s">
        <v>10</v>
      </c>
      <c r="D14328" s="7">
        <v>19121</v>
      </c>
      <c r="E14328" s="7" t="s">
        <v>23</v>
      </c>
      <c r="F14328" s="8" t="str">
        <f ca="1">IFERROR(__xludf.DUMMYFUNCTION("IF
(
C14329=""фізична особа""
,
VLOOKUP(D14329,IMPORTRANGE(""https://docs.google.com/spreadsheets/d/14Bd19lYaqBhU8_DElYkX7l4wRkHqqCUFNJY4AfY3kHU/edit?usp=sharing  #gid=0"",""фіз особи new!relations_name""),6,FALSE)
,
(IF
(
C14329=""юридична особа""
,
VLOO"&amp;"KUP(D14329,IMPORTRANGE(""https://docs.google.com/spreadsheets/d/14Bd19lYaqBhU8_DElYkX7l4wRkHqqCUFNJY4AfY3kHU/edit?usp=sharing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G14328" s="7" t="s">
        <v>10</v>
      </c>
      <c r="H14328" s="7">
        <v>19132</v>
      </c>
      <c r="I14328" s="8" t="str">
        <f ca="1">IFERROR(__xludf.DUMMYFUNCTION("IF
(
G14329=""фізична особа""
,
VLOOKUP(H14329,IMPORTRANGE(""https://docs.google.com/spreadsheets/d/14Bd19lYaqBhU8_DElYkX7l4wRkHqqCUFNJY4AfY3kHU/edit?usp=sharing  #gid=0"",""фіз особи new!relations_name""),6,FALSE)
,
(IF
(
G14329=""юридична особа""
,
VLOO"&amp;"KUP(H14329,IMPORTRANGE(""https://docs.google.com/spreadsheets/d/14Bd19lYaqBhU8_DElYkX7l4wRkHqqCUFNJY4AfY3kHU/edit?usp=sharing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28" s="7" t="s">
        <v>23</v>
      </c>
    </row>
    <row r="14329" spans="1:10" ht="13.2">
      <c r="A14329" s="7">
        <v>14328</v>
      </c>
      <c r="B14329" s="7">
        <v>1</v>
      </c>
      <c r="C14329" s="7" t="s">
        <v>10</v>
      </c>
      <c r="D14329" s="7">
        <v>19123</v>
      </c>
      <c r="E14329" s="7" t="s">
        <v>23</v>
      </c>
      <c r="F14329" s="8" t="str">
        <f ca="1">IFERROR(__xludf.DUMMYFUNCTION("IF
(
C14330=""фізична особа""
,
VLOOKUP(D14330,IMPORTRANGE(""https://docs.google.com/spreadsheets/d/14Bd19lYaqBhU8_DElYkX7l4wRkHqqCUFNJY4AfY3kHU/edit?usp=sharing  #gid=0"",""фіз особи new!relations_name""),6,FALSE)
,
(IF
(
C14330=""юридична особа""
,
VLOO"&amp;"KUP(D14330,IMPORTRANGE(""https://docs.google.com/spreadsheets/d/14Bd19lYaqBhU8_DElYkX7l4wRkHqqCUFNJY4AfY3kHU/edit?usp=sharing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G14329" s="7" t="s">
        <v>10</v>
      </c>
      <c r="H14329" s="7">
        <v>19126</v>
      </c>
      <c r="I14329" s="8" t="str">
        <f ca="1">IFERROR(__xludf.DUMMYFUNCTION("IF
(
G14330=""фізична особа""
,
VLOOKUP(H14330,IMPORTRANGE(""https://docs.google.com/spreadsheets/d/14Bd19lYaqBhU8_DElYkX7l4wRkHqqCUFNJY4AfY3kHU/edit?usp=sharing  #gid=0"",""фіз особи new!relations_name""),6,FALSE)
,
(IF
(
G14330=""юридична особа""
,
VLOO"&amp;"KUP(H14330,IMPORTRANGE(""https://docs.google.com/spreadsheets/d/14Bd19lYaqBhU8_DElYkX7l4wRkHqqCUFNJY4AfY3kHU/edit?usp=sharing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J14329" s="7" t="s">
        <v>23</v>
      </c>
    </row>
    <row r="14330" spans="1:10" ht="13.2">
      <c r="A14330" s="7">
        <v>14329</v>
      </c>
      <c r="B14330" s="7">
        <v>1</v>
      </c>
      <c r="C14330" s="7" t="s">
        <v>10</v>
      </c>
      <c r="D14330" s="7">
        <v>19123</v>
      </c>
      <c r="E14330" s="7" t="s">
        <v>23</v>
      </c>
      <c r="F14330" s="8" t="str">
        <f ca="1">IFERROR(__xludf.DUMMYFUNCTION("IF
(
C14331=""фізична особа""
,
VLOOKUP(D14331,IMPORTRANGE(""https://docs.google.com/spreadsheets/d/14Bd19lYaqBhU8_DElYkX7l4wRkHqqCUFNJY4AfY3kHU/edit?usp=sharing  #gid=0"",""фіз особи new!relations_name""),6,FALSE)
,
(IF
(
C14331=""юридична особа""
,
VLOO"&amp;"KUP(D14331,IMPORTRANGE(""https://docs.google.com/spreadsheets/d/14Bd19lYaqBhU8_DElYkX7l4wRkHqqCUFNJY4AfY3kHU/edit?usp=sharing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G14330" s="7" t="s">
        <v>10</v>
      </c>
      <c r="H14330" s="7">
        <v>19127</v>
      </c>
      <c r="I14330" s="8" t="str">
        <f ca="1">IFERROR(__xludf.DUMMYFUNCTION("IF
(
G14331=""фізична особа""
,
VLOOKUP(H14331,IMPORTRANGE(""https://docs.google.com/spreadsheets/d/14Bd19lYaqBhU8_DElYkX7l4wRkHqqCUFNJY4AfY3kHU/edit?usp=sharing  #gid=0"",""фіз особи new!relations_name""),6,FALSE)
,
(IF
(
G14331=""юридична особа""
,
VLOO"&amp;"KUP(H14331,IMPORTRANGE(""https://docs.google.com/spreadsheets/d/14Bd19lYaqBhU8_DElYkX7l4wRkHqqCUFNJY4AfY3kHU/edit?usp=sharing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J14330" s="7" t="s">
        <v>23</v>
      </c>
    </row>
    <row r="14331" spans="1:10" ht="13.2">
      <c r="A14331" s="7">
        <v>14330</v>
      </c>
      <c r="B14331" s="7">
        <v>1</v>
      </c>
      <c r="C14331" s="7" t="s">
        <v>10</v>
      </c>
      <c r="D14331" s="7">
        <v>19123</v>
      </c>
      <c r="E14331" s="7" t="s">
        <v>12</v>
      </c>
      <c r="F14331" s="8" t="str">
        <f ca="1">IFERROR(__xludf.DUMMYFUNCTION("IF
(
C14332=""фізична особа""
,
VLOOKUP(D14332,IMPORTRANGE(""https://docs.google.com/spreadsheets/d/14Bd19lYaqBhU8_DElYkX7l4wRkHqqCUFNJY4AfY3kHU/edit?usp=sharing  #gid=0"",""фіз особи new!relations_name""),6,FALSE)
,
(IF
(
C14332=""юридична особа""
,
VLOO"&amp;"KUP(D14332,IMPORTRANGE(""https://docs.google.com/spreadsheets/d/14Bd19lYaqBhU8_DElYkX7l4wRkHqqCUFNJY4AfY3kHU/edit?usp=sharing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G14331" s="7" t="s">
        <v>10</v>
      </c>
      <c r="H14331" s="7">
        <v>19124</v>
      </c>
      <c r="I14331" s="8" t="str">
        <f ca="1">IFERROR(__xludf.DUMMYFUNCTION("IF
(
G14332=""фізична особа""
,
VLOOKUP(H14332,IMPORTRANGE(""https://docs.google.com/spreadsheets/d/14Bd19lYaqBhU8_DElYkX7l4wRkHqqCUFNJY4AfY3kHU/edit?usp=sharing  #gid=0"",""фіз особи new!relations_name""),6,FALSE)
,
(IF
(
G14332=""юридична особа""
,
VLOO"&amp;"KUP(H14332,IMPORTRANGE(""https://docs.google.com/spreadsheets/d/14Bd19lYaqBhU8_DElYkX7l4wRkHqqCUFNJY4AfY3kHU/edit?usp=sharing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J14331" s="7" t="s">
        <v>13</v>
      </c>
    </row>
    <row r="14332" spans="1:10" ht="13.2">
      <c r="A14332" s="7">
        <v>14331</v>
      </c>
      <c r="B14332" s="7">
        <v>1</v>
      </c>
      <c r="C14332" s="7" t="s">
        <v>10</v>
      </c>
      <c r="D14332" s="7">
        <v>19123</v>
      </c>
      <c r="E14332" s="7" t="s">
        <v>12</v>
      </c>
      <c r="F14332" s="8" t="str">
        <f ca="1">IFERROR(__xludf.DUMMYFUNCTION("IF
(
C14333=""фізична особа""
,
VLOOKUP(D14333,IMPORTRANGE(""https://docs.google.com/spreadsheets/d/14Bd19lYaqBhU8_DElYkX7l4wRkHqqCUFNJY4AfY3kHU/edit?usp=sharing  #gid=0"",""фіз особи new!relations_name""),6,FALSE)
,
(IF
(
C14333=""юридична особа""
,
VLOO"&amp;"KUP(D14333,IMPORTRANGE(""https://docs.google.com/spreadsheets/d/14Bd19lYaqBhU8_DElYkX7l4wRkHqqCUFNJY4AfY3kHU/edit?usp=sharing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G14332" s="7" t="s">
        <v>10</v>
      </c>
      <c r="H14332" s="7">
        <v>19125</v>
      </c>
      <c r="I14332" s="8" t="str">
        <f ca="1">IFERROR(__xludf.DUMMYFUNCTION("IF
(
G14333=""фізична особа""
,
VLOOKUP(H14333,IMPORTRANGE(""https://docs.google.com/spreadsheets/d/14Bd19lYaqBhU8_DElYkX7l4wRkHqqCUFNJY4AfY3kHU/edit?usp=sharing  #gid=0"",""фіз особи new!relations_name""),6,FALSE)
,
(IF
(
G14333=""юридична особа""
,
VLOO"&amp;"KUP(H14333,IMPORTRANGE(""https://docs.google.com/spreadsheets/d/14Bd19lYaqBhU8_DElYkX7l4wRkHqqCUFNJY4AfY3kHU/edit?usp=sharing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J14332" s="7" t="s">
        <v>13</v>
      </c>
    </row>
    <row r="14333" spans="1:10" ht="13.2">
      <c r="A14333" s="7">
        <v>14332</v>
      </c>
      <c r="B14333" s="7">
        <v>1</v>
      </c>
      <c r="C14333" s="7" t="s">
        <v>10</v>
      </c>
      <c r="D14333" s="7">
        <v>19124</v>
      </c>
      <c r="E14333" s="7" t="s">
        <v>23</v>
      </c>
      <c r="F14333" s="8" t="str">
        <f ca="1">IFERROR(__xludf.DUMMYFUNCTION("IF
(
C14334=""фізична особа""
,
VLOOKUP(D14334,IMPORTRANGE(""https://docs.google.com/spreadsheets/d/14Bd19lYaqBhU8_DElYkX7l4wRkHqqCUFNJY4AfY3kHU/edit?usp=sharing  #gid=0"",""фіз особи new!relations_name""),6,FALSE)
,
(IF
(
C14334=""юридична особа""
,
VLOO"&amp;"KUP(D14334,IMPORTRANGE(""https://docs.google.com/spreadsheets/d/14Bd19lYaqBhU8_DElYkX7l4wRkHqqCUFNJY4AfY3kHU/edit?usp=sharing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G14333" s="7" t="s">
        <v>10</v>
      </c>
      <c r="H14333" s="7">
        <v>19126</v>
      </c>
      <c r="I14333" s="8" t="str">
        <f ca="1">IFERROR(__xludf.DUMMYFUNCTION("IF
(
G14334=""фізична особа""
,
VLOOKUP(H14334,IMPORTRANGE(""https://docs.google.com/spreadsheets/d/14Bd19lYaqBhU8_DElYkX7l4wRkHqqCUFNJY4AfY3kHU/edit?usp=sharing  #gid=0"",""фіз особи new!relations_name""),6,FALSE)
,
(IF
(
G14334=""юридична особа""
,
VLOO"&amp;"KUP(H14334,IMPORTRANGE(""https://docs.google.com/spreadsheets/d/14Bd19lYaqBhU8_DElYkX7l4wRkHqqCUFNJY4AfY3kHU/edit?usp=sharing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J14333" s="7" t="s">
        <v>23</v>
      </c>
    </row>
    <row r="14334" spans="1:10" ht="13.2">
      <c r="A14334" s="7">
        <v>14333</v>
      </c>
      <c r="B14334" s="7">
        <v>1</v>
      </c>
      <c r="C14334" s="7" t="s">
        <v>10</v>
      </c>
      <c r="D14334" s="7">
        <v>19124</v>
      </c>
      <c r="E14334" s="7" t="s">
        <v>23</v>
      </c>
      <c r="F14334" s="8" t="str">
        <f ca="1">IFERROR(__xludf.DUMMYFUNCTION("IF
(
C14335=""фізична особа""
,
VLOOKUP(D14335,IMPORTRANGE(""https://docs.google.com/spreadsheets/d/14Bd19lYaqBhU8_DElYkX7l4wRkHqqCUFNJY4AfY3kHU/edit?usp=sharing  #gid=0"",""фіз особи new!relations_name""),6,FALSE)
,
(IF
(
C14335=""юридична особа""
,
VLOO"&amp;"KUP(D14335,IMPORTRANGE(""https://docs.google.com/spreadsheets/d/14Bd19lYaqBhU8_DElYkX7l4wRkHqqCUFNJY4AfY3kHU/edit?usp=sharing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G14334" s="7" t="s">
        <v>10</v>
      </c>
      <c r="H14334" s="7">
        <v>19127</v>
      </c>
      <c r="I14334" s="8" t="str">
        <f ca="1">IFERROR(__xludf.DUMMYFUNCTION("IF
(
G14335=""фізична особа""
,
VLOOKUP(H14335,IMPORTRANGE(""https://docs.google.com/spreadsheets/d/14Bd19lYaqBhU8_DElYkX7l4wRkHqqCUFNJY4AfY3kHU/edit?usp=sharing  #gid=0"",""фіз особи new!relations_name""),6,FALSE)
,
(IF
(
G14335=""юридична особа""
,
VLOO"&amp;"KUP(H14335,IMPORTRANGE(""https://docs.google.com/spreadsheets/d/14Bd19lYaqBhU8_DElYkX7l4wRkHqqCUFNJY4AfY3kHU/edit?usp=sharing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J14334" s="7" t="s">
        <v>23</v>
      </c>
    </row>
    <row r="14335" spans="1:10" ht="13.2">
      <c r="A14335" s="7">
        <v>14334</v>
      </c>
      <c r="B14335" s="7">
        <v>1</v>
      </c>
      <c r="C14335" s="7" t="s">
        <v>10</v>
      </c>
      <c r="D14335" s="7">
        <v>19124</v>
      </c>
      <c r="E14335" s="7" t="s">
        <v>13</v>
      </c>
      <c r="F14335" s="8" t="str">
        <f ca="1">IFERROR(__xludf.DUMMYFUNCTION("IF
(
C14336=""фізична особа""
,
VLOOKUP(D14336,IMPORTRANGE(""https://docs.google.com/spreadsheets/d/14Bd19lYaqBhU8_DElYkX7l4wRkHqqCUFNJY4AfY3kHU/edit?usp=sharing  #gid=0"",""фіз особи new!relations_name""),6,FALSE)
,
(IF
(
C14336=""юридична особа""
,
VLOO"&amp;"KUP(D14336,IMPORTRANGE(""https://docs.google.com/spreadsheets/d/14Bd19lYaqBhU8_DElYkX7l4wRkHqqCUFNJY4AfY3kHU/edit?usp=sharing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G14335" s="7" t="s">
        <v>10</v>
      </c>
      <c r="H14335" s="7">
        <v>19123</v>
      </c>
      <c r="I14335" s="8" t="str">
        <f ca="1">IFERROR(__xludf.DUMMYFUNCTION("IF
(
G14336=""фізична особа""
,
VLOOKUP(H14336,IMPORTRANGE(""https://docs.google.com/spreadsheets/d/14Bd19lYaqBhU8_DElYkX7l4wRkHqqCUFNJY4AfY3kHU/edit?usp=sharing  #gid=0"",""фіз особи new!relations_name""),6,FALSE)
,
(IF
(
G14336=""юридична особа""
,
VLOO"&amp;"KUP(H14336,IMPORTRANGE(""https://docs.google.com/spreadsheets/d/14Bd19lYaqBhU8_DElYkX7l4wRkHqqCUFNJY4AfY3kHU/edit?usp=sharing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J14335" s="7" t="s">
        <v>12</v>
      </c>
    </row>
    <row r="14336" spans="1:10" ht="13.2">
      <c r="A14336" s="7">
        <v>14335</v>
      </c>
      <c r="B14336" s="7">
        <v>1</v>
      </c>
      <c r="C14336" s="7" t="s">
        <v>10</v>
      </c>
      <c r="D14336" s="7">
        <v>19124</v>
      </c>
      <c r="E14336" s="7" t="s">
        <v>31</v>
      </c>
      <c r="F14336" s="8" t="str">
        <f ca="1">IFERROR(__xludf.DUMMYFUNCTION("IF
(
C14337=""фізична особа""
,
VLOOKUP(D14337,IMPORTRANGE(""https://docs.google.com/spreadsheets/d/14Bd19lYaqBhU8_DElYkX7l4wRkHqqCUFNJY4AfY3kHU/edit?usp=sharing  #gid=0"",""фіз особи new!relations_name""),6,FALSE)
,
(IF
(
C14337=""юридична особа""
,
VLOO"&amp;"KUP(D14337,IMPORTRANGE(""https://docs.google.com/spreadsheets/d/14Bd19lYaqBhU8_DElYkX7l4wRkHqqCUFNJY4AfY3kHU/edit?usp=sharing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G14336" s="7" t="s">
        <v>10</v>
      </c>
      <c r="H14336" s="7">
        <v>19125</v>
      </c>
      <c r="I14336" s="8" t="str">
        <f ca="1">IFERROR(__xludf.DUMMYFUNCTION("IF
(
G14337=""фізична особа""
,
VLOOKUP(H14337,IMPORTRANGE(""https://docs.google.com/spreadsheets/d/14Bd19lYaqBhU8_DElYkX7l4wRkHqqCUFNJY4AfY3kHU/edit?usp=sharing  #gid=0"",""фіз особи new!relations_name""),6,FALSE)
,
(IF
(
G14337=""юридична особа""
,
VLOO"&amp;"KUP(H14337,IMPORTRANGE(""https://docs.google.com/spreadsheets/d/14Bd19lYaqBhU8_DElYkX7l4wRkHqqCUFNJY4AfY3kHU/edit?usp=sharing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J14336" s="7" t="s">
        <v>31</v>
      </c>
    </row>
    <row r="14337" spans="1:10" ht="13.2">
      <c r="A14337" s="7">
        <v>14336</v>
      </c>
      <c r="B14337" s="7">
        <v>1</v>
      </c>
      <c r="C14337" s="7" t="s">
        <v>10</v>
      </c>
      <c r="D14337" s="7">
        <v>19125</v>
      </c>
      <c r="E14337" s="7" t="s">
        <v>23</v>
      </c>
      <c r="F14337" s="8" t="str">
        <f ca="1">IFERROR(__xludf.DUMMYFUNCTION("IF
(
C14338=""фізична особа""
,
VLOOKUP(D14338,IMPORTRANGE(""https://docs.google.com/spreadsheets/d/14Bd19lYaqBhU8_DElYkX7l4wRkHqqCUFNJY4AfY3kHU/edit?usp=sharing  #gid=0"",""фіз особи new!relations_name""),6,FALSE)
,
(IF
(
C14338=""юридична особа""
,
VLOO"&amp;"KUP(D14338,IMPORTRANGE(""https://docs.google.com/spreadsheets/d/14Bd19lYaqBhU8_DElYkX7l4wRkHqqCUFNJY4AfY3kHU/edit?usp=sharing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G14337" s="7" t="s">
        <v>10</v>
      </c>
      <c r="H14337" s="7">
        <v>19126</v>
      </c>
      <c r="I14337" s="8" t="str">
        <f ca="1">IFERROR(__xludf.DUMMYFUNCTION("IF
(
G14338=""фізична особа""
,
VLOOKUP(H14338,IMPORTRANGE(""https://docs.google.com/spreadsheets/d/14Bd19lYaqBhU8_DElYkX7l4wRkHqqCUFNJY4AfY3kHU/edit?usp=sharing  #gid=0"",""фіз особи new!relations_name""),6,FALSE)
,
(IF
(
G14338=""юридична особа""
,
VLOO"&amp;"KUP(H14338,IMPORTRANGE(""https://docs.google.com/spreadsheets/d/14Bd19lYaqBhU8_DElYkX7l4wRkHqqCUFNJY4AfY3kHU/edit?usp=sharing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J14337" s="7" t="s">
        <v>23</v>
      </c>
    </row>
    <row r="14338" spans="1:10" ht="13.2">
      <c r="A14338" s="7">
        <v>14337</v>
      </c>
      <c r="B14338" s="7">
        <v>1</v>
      </c>
      <c r="C14338" s="7" t="s">
        <v>10</v>
      </c>
      <c r="D14338" s="7">
        <v>19125</v>
      </c>
      <c r="E14338" s="7" t="s">
        <v>23</v>
      </c>
      <c r="F14338" s="8" t="str">
        <f ca="1">IFERROR(__xludf.DUMMYFUNCTION("IF
(
C14339=""фізична особа""
,
VLOOKUP(D14339,IMPORTRANGE(""https://docs.google.com/spreadsheets/d/14Bd19lYaqBhU8_DElYkX7l4wRkHqqCUFNJY4AfY3kHU/edit?usp=sharing  #gid=0"",""фіз особи new!relations_name""),6,FALSE)
,
(IF
(
C14339=""юридична особа""
,
VLOO"&amp;"KUP(D14339,IMPORTRANGE(""https://docs.google.com/spreadsheets/d/14Bd19lYaqBhU8_DElYkX7l4wRkHqqCUFNJY4AfY3kHU/edit?usp=sharing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G14338" s="7" t="s">
        <v>10</v>
      </c>
      <c r="H14338" s="7">
        <v>19127</v>
      </c>
      <c r="I14338" s="8" t="str">
        <f ca="1">IFERROR(__xludf.DUMMYFUNCTION("IF
(
G14339=""фізична особа""
,
VLOOKUP(H14339,IMPORTRANGE(""https://docs.google.com/spreadsheets/d/14Bd19lYaqBhU8_DElYkX7l4wRkHqqCUFNJY4AfY3kHU/edit?usp=sharing  #gid=0"",""фіз особи new!relations_name""),6,FALSE)
,
(IF
(
G14339=""юридична особа""
,
VLOO"&amp;"KUP(H14339,IMPORTRANGE(""https://docs.google.com/spreadsheets/d/14Bd19lYaqBhU8_DElYkX7l4wRkHqqCUFNJY4AfY3kHU/edit?usp=sharing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J14338" s="7" t="s">
        <v>23</v>
      </c>
    </row>
    <row r="14339" spans="1:10" ht="13.2">
      <c r="A14339" s="7">
        <v>14338</v>
      </c>
      <c r="B14339" s="7">
        <v>1</v>
      </c>
      <c r="C14339" s="7" t="s">
        <v>10</v>
      </c>
      <c r="D14339" s="7">
        <v>19125</v>
      </c>
      <c r="E14339" s="7" t="s">
        <v>13</v>
      </c>
      <c r="F14339" s="8" t="str">
        <f ca="1">IFERROR(__xludf.DUMMYFUNCTION("IF
(
C14340=""фізична особа""
,
VLOOKUP(D14340,IMPORTRANGE(""https://docs.google.com/spreadsheets/d/14Bd19lYaqBhU8_DElYkX7l4wRkHqqCUFNJY4AfY3kHU/edit?usp=sharing  #gid=0"",""фіз особи new!relations_name""),6,FALSE)
,
(IF
(
C14340=""юридична особа""
,
VLOO"&amp;"KUP(D14340,IMPORTRANGE(""https://docs.google.com/spreadsheets/d/14Bd19lYaqBhU8_DElYkX7l4wRkHqqCUFNJY4AfY3kHU/edit?usp=sharing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G14339" s="7" t="s">
        <v>10</v>
      </c>
      <c r="H14339" s="7">
        <v>19123</v>
      </c>
      <c r="I14339" s="8" t="str">
        <f ca="1">IFERROR(__xludf.DUMMYFUNCTION("IF
(
G14340=""фізична особа""
,
VLOOKUP(H14340,IMPORTRANGE(""https://docs.google.com/spreadsheets/d/14Bd19lYaqBhU8_DElYkX7l4wRkHqqCUFNJY4AfY3kHU/edit?usp=sharing  #gid=0"",""фіз особи new!relations_name""),6,FALSE)
,
(IF
(
G14340=""юридична особа""
,
VLOO"&amp;"KUP(H14340,IMPORTRANGE(""https://docs.google.com/spreadsheets/d/14Bd19lYaqBhU8_DElYkX7l4wRkHqqCUFNJY4AfY3kHU/edit?usp=sharing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J14339" s="7" t="s">
        <v>12</v>
      </c>
    </row>
    <row r="14340" spans="1:10" ht="13.2">
      <c r="A14340" s="7">
        <v>14339</v>
      </c>
      <c r="B14340" s="7">
        <v>1</v>
      </c>
      <c r="C14340" s="7" t="s">
        <v>10</v>
      </c>
      <c r="D14340" s="7">
        <v>19125</v>
      </c>
      <c r="E14340" s="7" t="s">
        <v>31</v>
      </c>
      <c r="F14340" s="8" t="str">
        <f ca="1">IFERROR(__xludf.DUMMYFUNCTION("IF
(
C14341=""фізична особа""
,
VLOOKUP(D14341,IMPORTRANGE(""https://docs.google.com/spreadsheets/d/14Bd19lYaqBhU8_DElYkX7l4wRkHqqCUFNJY4AfY3kHU/edit?usp=sharing  #gid=0"",""фіз особи new!relations_name""),6,FALSE)
,
(IF
(
C14341=""юридична особа""
,
VLOO"&amp;"KUP(D14341,IMPORTRANGE(""https://docs.google.com/spreadsheets/d/14Bd19lYaqBhU8_DElYkX7l4wRkHqqCUFNJY4AfY3kHU/edit?usp=sharing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G14340" s="7" t="s">
        <v>10</v>
      </c>
      <c r="H14340" s="7">
        <v>19124</v>
      </c>
      <c r="I14340" s="8" t="str">
        <f ca="1">IFERROR(__xludf.DUMMYFUNCTION("IF
(
G14341=""фізична особа""
,
VLOOKUP(H14341,IMPORTRANGE(""https://docs.google.com/spreadsheets/d/14Bd19lYaqBhU8_DElYkX7l4wRkHqqCUFNJY4AfY3kHU/edit?usp=sharing  #gid=0"",""фіз особи new!relations_name""),6,FALSE)
,
(IF
(
G14341=""юридична особа""
,
VLOO"&amp;"KUP(H14341,IMPORTRANGE(""https://docs.google.com/spreadsheets/d/14Bd19lYaqBhU8_DElYkX7l4wRkHqqCUFNJY4AfY3kHU/edit?usp=sharing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J14340" s="7" t="s">
        <v>31</v>
      </c>
    </row>
    <row r="14341" spans="1:10" ht="13.2">
      <c r="A14341" s="7">
        <v>14340</v>
      </c>
      <c r="B14341" s="7">
        <v>1</v>
      </c>
      <c r="C14341" s="7" t="s">
        <v>10</v>
      </c>
      <c r="D14341" s="7">
        <v>19126</v>
      </c>
      <c r="E14341" s="7" t="s">
        <v>23</v>
      </c>
      <c r="F14341" s="8" t="str">
        <f ca="1">IFERROR(__xludf.DUMMYFUNCTION("IF
(
C14342=""фізична особа""
,
VLOOKUP(D14342,IMPORTRANGE(""https://docs.google.com/spreadsheets/d/14Bd19lYaqBhU8_DElYkX7l4wRkHqqCUFNJY4AfY3kHU/edit?usp=sharing  #gid=0"",""фіз особи new!relations_name""),6,FALSE)
,
(IF
(
C14342=""юридична особа""
,
VLOO"&amp;"KUP(D14342,IMPORTRANGE(""https://docs.google.com/spreadsheets/d/14Bd19lYaqBhU8_DElYkX7l4wRkHqqCUFNJY4AfY3kHU/edit?usp=sharing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G14341" s="7" t="s">
        <v>10</v>
      </c>
      <c r="H14341" s="7">
        <v>19125</v>
      </c>
      <c r="I14341" s="8" t="str">
        <f ca="1">IFERROR(__xludf.DUMMYFUNCTION("IF
(
G14342=""фізична особа""
,
VLOOKUP(H14342,IMPORTRANGE(""https://docs.google.com/spreadsheets/d/14Bd19lYaqBhU8_DElYkX7l4wRkHqqCUFNJY4AfY3kHU/edit?usp=sharing  #gid=0"",""фіз особи new!relations_name""),6,FALSE)
,
(IF
(
G14342=""юридична особа""
,
VLOO"&amp;"KUP(H14342,IMPORTRANGE(""https://docs.google.com/spreadsheets/d/14Bd19lYaqBhU8_DElYkX7l4wRkHqqCUFNJY4AfY3kHU/edit?usp=sharing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J14341" s="7" t="s">
        <v>23</v>
      </c>
    </row>
    <row r="14342" spans="1:10" ht="13.2">
      <c r="A14342" s="7">
        <v>14341</v>
      </c>
      <c r="B14342" s="7">
        <v>1</v>
      </c>
      <c r="C14342" s="7" t="s">
        <v>10</v>
      </c>
      <c r="D14342" s="7">
        <v>19126</v>
      </c>
      <c r="E14342" s="7" t="s">
        <v>23</v>
      </c>
      <c r="F14342" s="8" t="str">
        <f ca="1">IFERROR(__xludf.DUMMYFUNCTION("IF
(
C14343=""фізична особа""
,
VLOOKUP(D14343,IMPORTRANGE(""https://docs.google.com/spreadsheets/d/14Bd19lYaqBhU8_DElYkX7l4wRkHqqCUFNJY4AfY3kHU/edit?usp=sharing  #gid=0"",""фіз особи new!relations_name""),6,FALSE)
,
(IF
(
C14343=""юридична особа""
,
VLOO"&amp;"KUP(D14343,IMPORTRANGE(""https://docs.google.com/spreadsheets/d/14Bd19lYaqBhU8_DElYkX7l4wRkHqqCUFNJY4AfY3kHU/edit?usp=sharing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G14342" s="7" t="s">
        <v>10</v>
      </c>
      <c r="H14342" s="7">
        <v>19127</v>
      </c>
      <c r="I14342" s="8" t="str">
        <f ca="1">IFERROR(__xludf.DUMMYFUNCTION("IF
(
G14343=""фізична особа""
,
VLOOKUP(H14343,IMPORTRANGE(""https://docs.google.com/spreadsheets/d/14Bd19lYaqBhU8_DElYkX7l4wRkHqqCUFNJY4AfY3kHU/edit?usp=sharing  #gid=0"",""фіз особи new!relations_name""),6,FALSE)
,
(IF
(
G14343=""юридична особа""
,
VLOO"&amp;"KUP(H14343,IMPORTRANGE(""https://docs.google.com/spreadsheets/d/14Bd19lYaqBhU8_DElYkX7l4wRkHqqCUFNJY4AfY3kHU/edit?usp=sharing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J14342" s="7" t="s">
        <v>23</v>
      </c>
    </row>
    <row r="14343" spans="1:10" ht="13.2">
      <c r="A14343" s="7">
        <v>14342</v>
      </c>
      <c r="B14343" s="7">
        <v>1</v>
      </c>
      <c r="C14343" s="7" t="s">
        <v>10</v>
      </c>
      <c r="D14343" s="7">
        <v>19126</v>
      </c>
      <c r="E14343" s="7" t="s">
        <v>23</v>
      </c>
      <c r="F14343" s="8" t="str">
        <f ca="1">IFERROR(__xludf.DUMMYFUNCTION("IF
(
C14344=""фізична особа""
,
VLOOKUP(D14344,IMPORTRANGE(""https://docs.google.com/spreadsheets/d/14Bd19lYaqBhU8_DElYkX7l4wRkHqqCUFNJY4AfY3kHU/edit?usp=sharing  #gid=0"",""фіз особи new!relations_name""),6,FALSE)
,
(IF
(
C14344=""юридична особа""
,
VLOO"&amp;"KUP(D14344,IMPORTRANGE(""https://docs.google.com/spreadsheets/d/14Bd19lYaqBhU8_DElYkX7l4wRkHqqCUFNJY4AfY3kHU/edit?usp=sharing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G14343" s="7" t="s">
        <v>10</v>
      </c>
      <c r="H14343" s="7">
        <v>19123</v>
      </c>
      <c r="I14343" s="8" t="str">
        <f ca="1">IFERROR(__xludf.DUMMYFUNCTION("IF
(
G14344=""фізична особа""
,
VLOOKUP(H14344,IMPORTRANGE(""https://docs.google.com/spreadsheets/d/14Bd19lYaqBhU8_DElYkX7l4wRkHqqCUFNJY4AfY3kHU/edit?usp=sharing  #gid=0"",""фіз особи new!relations_name""),6,FALSE)
,
(IF
(
G14344=""юридична особа""
,
VLOO"&amp;"KUP(H14344,IMPORTRANGE(""https://docs.google.com/spreadsheets/d/14Bd19lYaqBhU8_DElYkX7l4wRkHqqCUFNJY4AfY3kHU/edit?usp=sharing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J14343" s="7" t="s">
        <v>23</v>
      </c>
    </row>
    <row r="14344" spans="1:10" ht="13.2">
      <c r="A14344" s="7">
        <v>14343</v>
      </c>
      <c r="B14344" s="7">
        <v>1</v>
      </c>
      <c r="C14344" s="7" t="s">
        <v>10</v>
      </c>
      <c r="D14344" s="7">
        <v>19126</v>
      </c>
      <c r="E14344" s="7" t="s">
        <v>23</v>
      </c>
      <c r="F14344" s="8" t="str">
        <f ca="1">IFERROR(__xludf.DUMMYFUNCTION("IF
(
C14345=""фізична особа""
,
VLOOKUP(D14345,IMPORTRANGE(""https://docs.google.com/spreadsheets/d/14Bd19lYaqBhU8_DElYkX7l4wRkHqqCUFNJY4AfY3kHU/edit?usp=sharing  #gid=0"",""фіз особи new!relations_name""),6,FALSE)
,
(IF
(
C14345=""юридична особа""
,
VLOO"&amp;"KUP(D14345,IMPORTRANGE(""https://docs.google.com/spreadsheets/d/14Bd19lYaqBhU8_DElYkX7l4wRkHqqCUFNJY4AfY3kHU/edit?usp=sharing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G14344" s="7" t="s">
        <v>10</v>
      </c>
      <c r="H14344" s="7">
        <v>19124</v>
      </c>
      <c r="I14344" s="8" t="str">
        <f ca="1">IFERROR(__xludf.DUMMYFUNCTION("IF
(
G14345=""фізична особа""
,
VLOOKUP(H14345,IMPORTRANGE(""https://docs.google.com/spreadsheets/d/14Bd19lYaqBhU8_DElYkX7l4wRkHqqCUFNJY4AfY3kHU/edit?usp=sharing  #gid=0"",""фіз особи new!relations_name""),6,FALSE)
,
(IF
(
G14345=""юридична особа""
,
VLOO"&amp;"KUP(H14345,IMPORTRANGE(""https://docs.google.com/spreadsheets/d/14Bd19lYaqBhU8_DElYkX7l4wRkHqqCUFNJY4AfY3kHU/edit?usp=sharing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J14344" s="7" t="s">
        <v>23</v>
      </c>
    </row>
    <row r="14345" spans="1:10" ht="13.2">
      <c r="A14345" s="7">
        <v>14344</v>
      </c>
      <c r="B14345" s="7">
        <v>1</v>
      </c>
      <c r="C14345" s="7" t="s">
        <v>10</v>
      </c>
      <c r="D14345" s="7">
        <v>19127</v>
      </c>
      <c r="E14345" s="7" t="s">
        <v>23</v>
      </c>
      <c r="F14345" s="8" t="str">
        <f ca="1">IFERROR(__xludf.DUMMYFUNCTION("IF
(
C14346=""фізична особа""
,
VLOOKUP(D14346,IMPORTRANGE(""https://docs.google.com/spreadsheets/d/14Bd19lYaqBhU8_DElYkX7l4wRkHqqCUFNJY4AfY3kHU/edit?usp=sharing  #gid=0"",""фіз особи new!relations_name""),6,FALSE)
,
(IF
(
C14346=""юридична особа""
,
VLOO"&amp;"KUP(D14346,IMPORTRANGE(""https://docs.google.com/spreadsheets/d/14Bd19lYaqBhU8_DElYkX7l4wRkHqqCUFNJY4AfY3kHU/edit?usp=sharing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G14345" s="7" t="s">
        <v>10</v>
      </c>
      <c r="H14345" s="7">
        <v>19125</v>
      </c>
      <c r="I14345" s="8" t="str">
        <f ca="1">IFERROR(__xludf.DUMMYFUNCTION("IF
(
G14346=""фізична особа""
,
VLOOKUP(H14346,IMPORTRANGE(""https://docs.google.com/spreadsheets/d/14Bd19lYaqBhU8_DElYkX7l4wRkHqqCUFNJY4AfY3kHU/edit?usp=sharing  #gid=0"",""фіз особи new!relations_name""),6,FALSE)
,
(IF
(
G14346=""юридична особа""
,
VLOO"&amp;"KUP(H14346,IMPORTRANGE(""https://docs.google.com/spreadsheets/d/14Bd19lYaqBhU8_DElYkX7l4wRkHqqCUFNJY4AfY3kHU/edit?usp=sharing  #gid=0"",""фіз особи new!relations_name_uo""),7,FALSE)
,
)
))"),"АФАНАСОВА Вікторія Геннадіївна")</f>
        <v>АФАНАСОВА Вікторія Геннадіївна</v>
      </c>
      <c r="J14345" s="7" t="s">
        <v>23</v>
      </c>
    </row>
    <row r="14346" spans="1:10" ht="13.2">
      <c r="A14346" s="7">
        <v>14345</v>
      </c>
      <c r="B14346" s="7">
        <v>1</v>
      </c>
      <c r="C14346" s="7" t="s">
        <v>10</v>
      </c>
      <c r="D14346" s="7">
        <v>19127</v>
      </c>
      <c r="E14346" s="7" t="s">
        <v>23</v>
      </c>
      <c r="F14346" s="8" t="str">
        <f ca="1">IFERROR(__xludf.DUMMYFUNCTION("IF
(
C14347=""фізична особа""
,
VLOOKUP(D14347,IMPORTRANGE(""https://docs.google.com/spreadsheets/d/14Bd19lYaqBhU8_DElYkX7l4wRkHqqCUFNJY4AfY3kHU/edit?usp=sharing  #gid=0"",""фіз особи new!relations_name""),6,FALSE)
,
(IF
(
C14347=""юридична особа""
,
VLOO"&amp;"KUP(D14347,IMPORTRANGE(""https://docs.google.com/spreadsheets/d/14Bd19lYaqBhU8_DElYkX7l4wRkHqqCUFNJY4AfY3kHU/edit?usp=sharing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G14346" s="7" t="s">
        <v>10</v>
      </c>
      <c r="H14346" s="7">
        <v>19126</v>
      </c>
      <c r="I14346" s="8" t="str">
        <f ca="1">IFERROR(__xludf.DUMMYFUNCTION("IF
(
G14347=""фізична особа""
,
VLOOKUP(H14347,IMPORTRANGE(""https://docs.google.com/spreadsheets/d/14Bd19lYaqBhU8_DElYkX7l4wRkHqqCUFNJY4AfY3kHU/edit?usp=sharing  #gid=0"",""фіз особи new!relations_name""),6,FALSE)
,
(IF
(
G14347=""юридична особа""
,
VLOO"&amp;"KUP(H14347,IMPORTRANGE(""https://docs.google.com/spreadsheets/d/14Bd19lYaqBhU8_DElYkX7l4wRkHqqCUFNJY4AfY3kHU/edit?usp=sharing  #gid=0"",""фіз особи new!relations_name_uo""),7,FALSE)
,
)
))"),"ЧЕРВЯКОВА Тамара Харалампіївна")</f>
        <v>ЧЕРВЯКОВА Тамара Харалампіївна</v>
      </c>
      <c r="J14346" s="7" t="s">
        <v>23</v>
      </c>
    </row>
    <row r="14347" spans="1:10" ht="13.2">
      <c r="A14347" s="7">
        <v>14346</v>
      </c>
      <c r="B14347" s="7">
        <v>1</v>
      </c>
      <c r="C14347" s="7" t="s">
        <v>10</v>
      </c>
      <c r="D14347" s="7">
        <v>19127</v>
      </c>
      <c r="E14347" s="7" t="s">
        <v>23</v>
      </c>
      <c r="F14347" s="8" t="str">
        <f ca="1">IFERROR(__xludf.DUMMYFUNCTION("IF
(
C14348=""фізична особа""
,
VLOOKUP(D14348,IMPORTRANGE(""https://docs.google.com/spreadsheets/d/14Bd19lYaqBhU8_DElYkX7l4wRkHqqCUFNJY4AfY3kHU/edit?usp=sharing  #gid=0"",""фіз особи new!relations_name""),6,FALSE)
,
(IF
(
C14348=""юридична особа""
,
VLOO"&amp;"KUP(D14348,IMPORTRANGE(""https://docs.google.com/spreadsheets/d/14Bd19lYaqBhU8_DElYkX7l4wRkHqqCUFNJY4AfY3kHU/edit?usp=sharing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G14347" s="7" t="s">
        <v>10</v>
      </c>
      <c r="H14347" s="7">
        <v>19123</v>
      </c>
      <c r="I14347" s="8" t="str">
        <f ca="1">IFERROR(__xludf.DUMMYFUNCTION("IF
(
G14348=""фізична особа""
,
VLOOKUP(H14348,IMPORTRANGE(""https://docs.google.com/spreadsheets/d/14Bd19lYaqBhU8_DElYkX7l4wRkHqqCUFNJY4AfY3kHU/edit?usp=sharing  #gid=0"",""фіз особи new!relations_name""),6,FALSE)
,
(IF
(
G14348=""юридична особа""
,
VLOO"&amp;"KUP(H14348,IMPORTRANGE(""https://docs.google.com/spreadsheets/d/14Bd19lYaqBhU8_DElYkX7l4wRkHqqCUFNJY4AfY3kHU/edit?usp=sharing  #gid=0"",""фіз особи new!relations_name_uo""),7,FALSE)
,
)
))"),"АФАНАСОВ Геннадій Олександрович")</f>
        <v>АФАНАСОВ Геннадій Олександрович</v>
      </c>
      <c r="J14347" s="7" t="s">
        <v>23</v>
      </c>
    </row>
    <row r="14348" spans="1:10" ht="13.2">
      <c r="A14348" s="7">
        <v>14347</v>
      </c>
      <c r="B14348" s="7">
        <v>1</v>
      </c>
      <c r="C14348" s="7" t="s">
        <v>10</v>
      </c>
      <c r="D14348" s="7">
        <v>19127</v>
      </c>
      <c r="E14348" s="7" t="s">
        <v>23</v>
      </c>
      <c r="F14348" s="8" t="str">
        <f ca="1">IFERROR(__xludf.DUMMYFUNCTION("IF
(
C14349=""фізична особа""
,
VLOOKUP(D14349,IMPORTRANGE(""https://docs.google.com/spreadsheets/d/14Bd19lYaqBhU8_DElYkX7l4wRkHqqCUFNJY4AfY3kHU/edit?usp=sharing  #gid=0"",""фіз особи new!relations_name""),6,FALSE)
,
(IF
(
C14349=""юридична особа""
,
VLOO"&amp;"KUP(D14349,IMPORTRANGE(""https://docs.google.com/spreadsheets/d/14Bd19lYaqBhU8_DElYkX7l4wRkHqqCUFNJY4AfY3kHU/edit?usp=sharing  #gid=0"",""фіз особи new!relations_name_uo""),7,FALSE)
,
)
))"),"КВІТКО Юлія Борисівна")</f>
        <v>КВІТКО Юлія Борисівна</v>
      </c>
      <c r="G14348" s="7" t="s">
        <v>10</v>
      </c>
      <c r="H14348" s="7">
        <v>19124</v>
      </c>
      <c r="I14348" s="8" t="str">
        <f ca="1">IFERROR(__xludf.DUMMYFUNCTION("IF
(
G14349=""фізична особа""
,
VLOOKUP(H14349,IMPORTRANGE(""https://docs.google.com/spreadsheets/d/14Bd19lYaqBhU8_DElYkX7l4wRkHqqCUFNJY4AfY3kHU/edit?usp=sharing  #gid=0"",""фіз особи new!relations_name""),6,FALSE)
,
(IF
(
G14349=""юридична особа""
,
VLOO"&amp;"KUP(H14349,IMPORTRANGE(""https://docs.google.com/spreadsheets/d/14Bd19lYaqBhU8_DElYkX7l4wRkHqqCUFNJY4AfY3kHU/edit?usp=sharing  #gid=0"",""фіз особи new!relations_name_uo""),7,FALSE)
,
)
))"),"АФАНАСОВА Ганна Геннадіївна")</f>
        <v>АФАНАСОВА Ганна Геннадіївна</v>
      </c>
      <c r="J14348" s="7" t="s">
        <v>23</v>
      </c>
    </row>
    <row r="14349" spans="1:10" ht="13.2">
      <c r="A14349" s="7">
        <v>14348</v>
      </c>
      <c r="B14349" s="7">
        <v>1</v>
      </c>
      <c r="C14349" s="7" t="s">
        <v>10</v>
      </c>
      <c r="D14349" s="7">
        <v>19132</v>
      </c>
      <c r="E14349" s="7" t="s">
        <v>23</v>
      </c>
      <c r="F14349" s="8" t="str">
        <f ca="1">IFERROR(__xludf.DUMMYFUNCTION("IF
(
C14350=""фізична особа""
,
VLOOKUP(D14350,IMPORTRANGE(""https://docs.google.com/spreadsheets/d/14Bd19lYaqBhU8_DElYkX7l4wRkHqqCUFNJY4AfY3kHU/edit?usp=sharing  #gid=0"",""фіз особи new!relations_name""),6,FALSE)
,
(IF
(
C14350=""юридична особа""
,
VLOO"&amp;"KUP(D14350,IMPORTRANGE(""https://docs.google.com/spreadsheets/d/14Bd19lYaqBhU8_DElYkX7l4wRkHqqCUFNJY4AfY3kHU/edit?usp=sharing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G14349" s="7" t="s">
        <v>10</v>
      </c>
      <c r="H14349" s="7">
        <v>19135</v>
      </c>
      <c r="I14349" s="8" t="str">
        <f ca="1">IFERROR(__xludf.DUMMYFUNCTION("IF
(
G14350=""фізична особа""
,
VLOOKUP(H14350,IMPORTRANGE(""https://docs.google.com/spreadsheets/d/14Bd19lYaqBhU8_DElYkX7l4wRkHqqCUFNJY4AfY3kHU/edit?usp=sharing  #gid=0"",""фіз особи new!relations_name""),6,FALSE)
,
(IF
(
G14350=""юридична особа""
,
VLOO"&amp;"KUP(H14350,IMPORTRANGE(""https://docs.google.com/spreadsheets/d/14Bd19lYaqBhU8_DElYkX7l4wRkHqqCUFNJY4AfY3kHU/edit?usp=sharing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J14349" s="7" t="s">
        <v>23</v>
      </c>
    </row>
    <row r="14350" spans="1:10" ht="13.2">
      <c r="A14350" s="7">
        <v>14349</v>
      </c>
      <c r="B14350" s="7">
        <v>1</v>
      </c>
      <c r="C14350" s="7" t="s">
        <v>10</v>
      </c>
      <c r="D14350" s="7">
        <v>19132</v>
      </c>
      <c r="E14350" s="7" t="s">
        <v>23</v>
      </c>
      <c r="F14350" s="8" t="str">
        <f ca="1">IFERROR(__xludf.DUMMYFUNCTION("IF
(
C14351=""фізична особа""
,
VLOOKUP(D14351,IMPORTRANGE(""https://docs.google.com/spreadsheets/d/14Bd19lYaqBhU8_DElYkX7l4wRkHqqCUFNJY4AfY3kHU/edit?usp=sharing  #gid=0"",""фіз особи new!relations_name""),6,FALSE)
,
(IF
(
C14351=""юридична особа""
,
VLOO"&amp;"KUP(D14351,IMPORTRANGE(""https://docs.google.com/spreadsheets/d/14Bd19lYaqBhU8_DElYkX7l4wRkHqqCUFNJY4AfY3kHU/edit?usp=sharing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G14350" s="7" t="s">
        <v>10</v>
      </c>
      <c r="H14350" s="7">
        <v>19133</v>
      </c>
      <c r="I14350" s="8" t="str">
        <f ca="1">IFERROR(__xludf.DUMMYFUNCTION("IF
(
G14351=""фізична особа""
,
VLOOKUP(H14351,IMPORTRANGE(""https://docs.google.com/spreadsheets/d/14Bd19lYaqBhU8_DElYkX7l4wRkHqqCUFNJY4AfY3kHU/edit?usp=sharing  #gid=0"",""фіз особи new!relations_name""),6,FALSE)
,
(IF
(
G14351=""юридична особа""
,
VLOO"&amp;"KUP(H14351,IMPORTRANGE(""https://docs.google.com/spreadsheets/d/14Bd19lYaqBhU8_DElYkX7l4wRkHqqCUFNJY4AfY3kHU/edit?usp=sharing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50" s="7" t="s">
        <v>23</v>
      </c>
    </row>
    <row r="14351" spans="1:10" ht="13.2">
      <c r="A14351" s="7">
        <v>14350</v>
      </c>
      <c r="B14351" s="7">
        <v>1</v>
      </c>
      <c r="C14351" s="7" t="s">
        <v>10</v>
      </c>
      <c r="D14351" s="7">
        <v>19132</v>
      </c>
      <c r="E14351" s="7" t="s">
        <v>23</v>
      </c>
      <c r="F14351" s="8" t="str">
        <f ca="1">IFERROR(__xludf.DUMMYFUNCTION("IF
(
C14352=""фізична особа""
,
VLOOKUP(D14352,IMPORTRANGE(""https://docs.google.com/spreadsheets/d/14Bd19lYaqBhU8_DElYkX7l4wRkHqqCUFNJY4AfY3kHU/edit?usp=sharing  #gid=0"",""фіз особи new!relations_name""),6,FALSE)
,
(IF
(
C14352=""юридична особа""
,
VLOO"&amp;"KUP(D14352,IMPORTRANGE(""https://docs.google.com/spreadsheets/d/14Bd19lYaqBhU8_DElYkX7l4wRkHqqCUFNJY4AfY3kHU/edit?usp=sharing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G14351" s="7" t="s">
        <v>10</v>
      </c>
      <c r="H14351" s="7">
        <v>19121</v>
      </c>
      <c r="I14351" s="8" t="str">
        <f ca="1">IFERROR(__xludf.DUMMYFUNCTION("IF
(
G14352=""фізична особа""
,
VLOOKUP(H14352,IMPORTRANGE(""https://docs.google.com/spreadsheets/d/14Bd19lYaqBhU8_DElYkX7l4wRkHqqCUFNJY4AfY3kHU/edit?usp=sharing  #gid=0"",""фіз особи new!relations_name""),6,FALSE)
,
(IF
(
G14352=""юридична особа""
,
VLOO"&amp;"KUP(H14352,IMPORTRANGE(""https://docs.google.com/spreadsheets/d/14Bd19lYaqBhU8_DElYkX7l4wRkHqqCUFNJY4AfY3kHU/edit?usp=sharing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51" s="7" t="s">
        <v>23</v>
      </c>
    </row>
    <row r="14352" spans="1:10" ht="13.2">
      <c r="A14352" s="7">
        <v>14351</v>
      </c>
      <c r="B14352" s="7">
        <v>1</v>
      </c>
      <c r="C14352" s="7" t="s">
        <v>10</v>
      </c>
      <c r="D14352" s="7">
        <v>19133</v>
      </c>
      <c r="E14352" s="7" t="s">
        <v>23</v>
      </c>
      <c r="F14352" s="8" t="str">
        <f ca="1">IFERROR(__xludf.DUMMYFUNCTION("IF
(
C14353=""фізична особа""
,
VLOOKUP(D14353,IMPORTRANGE(""https://docs.google.com/spreadsheets/d/14Bd19lYaqBhU8_DElYkX7l4wRkHqqCUFNJY4AfY3kHU/edit?usp=sharing  #gid=0"",""фіз особи new!relations_name""),6,FALSE)
,
(IF
(
C14353=""юридична особа""
,
VLOO"&amp;"KUP(D14353,IMPORTRANGE(""https://docs.google.com/spreadsheets/d/14Bd19lYaqBhU8_DElYkX7l4wRkHqqCUFNJY4AfY3kHU/edit?usp=sharing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2" s="7" t="s">
        <v>10</v>
      </c>
      <c r="H14352" s="7">
        <v>19135</v>
      </c>
      <c r="I14352" s="8" t="str">
        <f ca="1">IFERROR(__xludf.DUMMYFUNCTION("IF
(
G14353=""фізична особа""
,
VLOOKUP(H14353,IMPORTRANGE(""https://docs.google.com/spreadsheets/d/14Bd19lYaqBhU8_DElYkX7l4wRkHqqCUFNJY4AfY3kHU/edit?usp=sharing  #gid=0"",""фіз особи new!relations_name""),6,FALSE)
,
(IF
(
G14353=""юридична особа""
,
VLOO"&amp;"KUP(H14353,IMPORTRANGE(""https://docs.google.com/spreadsheets/d/14Bd19lYaqBhU8_DElYkX7l4wRkHqqCUFNJY4AfY3kHU/edit?usp=sharing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J14352" s="7" t="s">
        <v>23</v>
      </c>
    </row>
    <row r="14353" spans="1:10" ht="13.2">
      <c r="A14353" s="7">
        <v>14352</v>
      </c>
      <c r="B14353" s="7">
        <v>1</v>
      </c>
      <c r="C14353" s="7" t="s">
        <v>10</v>
      </c>
      <c r="D14353" s="7">
        <v>19133</v>
      </c>
      <c r="E14353" s="7" t="s">
        <v>23</v>
      </c>
      <c r="F14353" s="8" t="str">
        <f ca="1">IFERROR(__xludf.DUMMYFUNCTION("IF
(
C14354=""фізична особа""
,
VLOOKUP(D14354,IMPORTRANGE(""https://docs.google.com/spreadsheets/d/14Bd19lYaqBhU8_DElYkX7l4wRkHqqCUFNJY4AfY3kHU/edit?usp=sharing  #gid=0"",""фіз особи new!relations_name""),6,FALSE)
,
(IF
(
C14354=""юридична особа""
,
VLOO"&amp;"KUP(D14354,IMPORTRANGE(""https://docs.google.com/spreadsheets/d/14Bd19lYaqBhU8_DElYkX7l4wRkHqqCUFNJY4AfY3kHU/edit?usp=sharing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3" s="7" t="s">
        <v>10</v>
      </c>
      <c r="H14353" s="7">
        <v>19132</v>
      </c>
      <c r="I14353" s="8" t="str">
        <f ca="1">IFERROR(__xludf.DUMMYFUNCTION("IF
(
G14354=""фізична особа""
,
VLOOKUP(H14354,IMPORTRANGE(""https://docs.google.com/spreadsheets/d/14Bd19lYaqBhU8_DElYkX7l4wRkHqqCUFNJY4AfY3kHU/edit?usp=sharing  #gid=0"",""фіз особи new!relations_name""),6,FALSE)
,
(IF
(
G14354=""юридична особа""
,
VLOO"&amp;"KUP(H14354,IMPORTRANGE(""https://docs.google.com/spreadsheets/d/14Bd19lYaqBhU8_DElYkX7l4wRkHqqCUFNJY4AfY3kHU/edit?usp=sharing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53" s="7" t="s">
        <v>23</v>
      </c>
    </row>
    <row r="14354" spans="1:10" ht="13.2">
      <c r="A14354" s="7">
        <v>14353</v>
      </c>
      <c r="B14354" s="7">
        <v>1</v>
      </c>
      <c r="C14354" s="7" t="s">
        <v>10</v>
      </c>
      <c r="D14354" s="7">
        <v>19133</v>
      </c>
      <c r="E14354" s="7" t="s">
        <v>23</v>
      </c>
      <c r="F14354" s="8" t="str">
        <f ca="1">IFERROR(__xludf.DUMMYFUNCTION("IF
(
C14355=""фізична особа""
,
VLOOKUP(D14355,IMPORTRANGE(""https://docs.google.com/spreadsheets/d/14Bd19lYaqBhU8_DElYkX7l4wRkHqqCUFNJY4AfY3kHU/edit?usp=sharing  #gid=0"",""фіз особи new!relations_name""),6,FALSE)
,
(IF
(
C14355=""юридична особа""
,
VLOO"&amp;"KUP(D14355,IMPORTRANGE(""https://docs.google.com/spreadsheets/d/14Bd19lYaqBhU8_DElYkX7l4wRkHqqCUFNJY4AfY3kHU/edit?usp=sharing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4" s="7" t="s">
        <v>10</v>
      </c>
      <c r="H14354" s="7">
        <v>19121</v>
      </c>
      <c r="I14354" s="8" t="str">
        <f ca="1">IFERROR(__xludf.DUMMYFUNCTION("IF
(
G14355=""фізична особа""
,
VLOOKUP(H14355,IMPORTRANGE(""https://docs.google.com/spreadsheets/d/14Bd19lYaqBhU8_DElYkX7l4wRkHqqCUFNJY4AfY3kHU/edit?usp=sharing  #gid=0"",""фіз особи new!relations_name""),6,FALSE)
,
(IF
(
G14355=""юридична особа""
,
VLOO"&amp;"KUP(H14355,IMPORTRANGE(""https://docs.google.com/spreadsheets/d/14Bd19lYaqBhU8_DElYkX7l4wRkHqqCUFNJY4AfY3kHU/edit?usp=sharing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54" s="7" t="s">
        <v>23</v>
      </c>
    </row>
    <row r="14355" spans="1:10" ht="13.2">
      <c r="A14355" s="7">
        <v>14354</v>
      </c>
      <c r="B14355" s="7">
        <v>1</v>
      </c>
      <c r="C14355" s="7" t="s">
        <v>10</v>
      </c>
      <c r="D14355" s="7">
        <v>19133</v>
      </c>
      <c r="E14355" s="7" t="s">
        <v>23</v>
      </c>
      <c r="F14355" s="8" t="str">
        <f ca="1">IFERROR(__xludf.DUMMYFUNCTION("IF
(
C14356=""фізична особа""
,
VLOOKUP(D14356,IMPORTRANGE(""https://docs.google.com/spreadsheets/d/14Bd19lYaqBhU8_DElYkX7l4wRkHqqCUFNJY4AfY3kHU/edit?usp=sharing  #gid=0"",""фіз особи new!relations_name""),6,FALSE)
,
(IF
(
C14356=""юридична особа""
,
VLOO"&amp;"KUP(D14356,IMPORTRANGE(""https://docs.google.com/spreadsheets/d/14Bd19lYaqBhU8_DElYkX7l4wRkHqqCUFNJY4AfY3kHU/edit?usp=sharing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5" s="7" t="s">
        <v>10</v>
      </c>
      <c r="H14355" s="7">
        <v>19134</v>
      </c>
      <c r="I14355" s="8" t="str">
        <f ca="1">IFERROR(__xludf.DUMMYFUNCTION("IF
(
G14356=""фізична особа""
,
VLOOKUP(H14356,IMPORTRANGE(""https://docs.google.com/spreadsheets/d/14Bd19lYaqBhU8_DElYkX7l4wRkHqqCUFNJY4AfY3kHU/edit?usp=sharing  #gid=0"",""фіз особи new!relations_name""),6,FALSE)
,
(IF
(
G14356=""юридична особа""
,
VLOO"&amp;"KUP(H14356,IMPORTRANGE(""https://docs.google.com/spreadsheets/d/14Bd19lYaqBhU8_DElYkX7l4wRkHqqCUFNJY4AfY3kHU/edit?usp=sharing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J14355" s="7" t="s">
        <v>23</v>
      </c>
    </row>
    <row r="14356" spans="1:10" ht="13.2">
      <c r="A14356" s="7">
        <v>14355</v>
      </c>
      <c r="B14356" s="7">
        <v>1</v>
      </c>
      <c r="C14356" s="7" t="s">
        <v>10</v>
      </c>
      <c r="D14356" s="7">
        <v>19133</v>
      </c>
      <c r="E14356" s="7" t="s">
        <v>23</v>
      </c>
      <c r="F14356" s="8" t="str">
        <f ca="1">IFERROR(__xludf.DUMMYFUNCTION("IF
(
C14357=""фізична особа""
,
VLOOKUP(D14357,IMPORTRANGE(""https://docs.google.com/spreadsheets/d/14Bd19lYaqBhU8_DElYkX7l4wRkHqqCUFNJY4AfY3kHU/edit?usp=sharing  #gid=0"",""фіз особи new!relations_name""),6,FALSE)
,
(IF
(
C14357=""юридична особа""
,
VLOO"&amp;"KUP(D14357,IMPORTRANGE(""https://docs.google.com/spreadsheets/d/14Bd19lYaqBhU8_DElYkX7l4wRkHqqCUFNJY4AfY3kHU/edit?usp=sharing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6" s="7" t="s">
        <v>10</v>
      </c>
      <c r="H14356" s="7">
        <v>0</v>
      </c>
      <c r="I14356" s="8" t="str">
        <f ca="1">IFERROR(__xludf.DUMMYFUNCTION("IF
(
G14357=""фізична особа""
,
VLOOKUP(H14357,IMPORTRANGE(""https://docs.google.com/spreadsheets/d/14Bd19lYaqBhU8_DElYkX7l4wRkHqqCUFNJY4AfY3kHU/edit?usp=sharing  #gid=0"",""фіз особи new!relations_name""),6,FALSE)
,
(IF
(
G14357=""юридична особа""
,
VLOO"&amp;"KUP(H14357,IMPORTRANGE(""https://docs.google.com/spreadsheets/d/14Bd19lYaqBhU8_DElYkX7l4wRkHqqCUFNJY4AfY3kHU/edit?usp=sharing  #gid=0"",""фіз особи new!relations_name_uo""),7,FALSE)
,
)
))"),"#N/A")</f>
        <v>#N/A</v>
      </c>
      <c r="J14356" s="7" t="s">
        <v>23</v>
      </c>
    </row>
    <row r="14357" spans="1:10" ht="13.2">
      <c r="A14357" s="7">
        <v>14356</v>
      </c>
      <c r="B14357" s="7">
        <v>1</v>
      </c>
      <c r="C14357" s="7" t="s">
        <v>10</v>
      </c>
      <c r="D14357" s="7">
        <v>19133</v>
      </c>
      <c r="E14357" s="7" t="s">
        <v>23</v>
      </c>
      <c r="F14357" s="8" t="str">
        <f ca="1">IFERROR(__xludf.DUMMYFUNCTION("IF
(
C14358=""фізична особа""
,
VLOOKUP(D14358,IMPORTRANGE(""https://docs.google.com/spreadsheets/d/14Bd19lYaqBhU8_DElYkX7l4wRkHqqCUFNJY4AfY3kHU/edit?usp=sharing  #gid=0"",""фіз особи new!relations_name""),6,FALSE)
,
(IF
(
C14358=""юридична особа""
,
VLOO"&amp;"KUP(D14358,IMPORTRANGE(""https://docs.google.com/spreadsheets/d/14Bd19lYaqBhU8_DElYkX7l4wRkHqqCUFNJY4AfY3kHU/edit?usp=sharing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7" s="7" t="s">
        <v>10</v>
      </c>
      <c r="H14357" s="7">
        <v>0</v>
      </c>
      <c r="I14357" s="8" t="str">
        <f ca="1">IFERROR(__xludf.DUMMYFUNCTION("IF
(
G14358=""фізична особа""
,
VLOOKUP(H14358,IMPORTRANGE(""https://docs.google.com/spreadsheets/d/14Bd19lYaqBhU8_DElYkX7l4wRkHqqCUFNJY4AfY3kHU/edit?usp=sharing  #gid=0"",""фіз особи new!relations_name""),6,FALSE)
,
(IF
(
G14358=""юридична особа""
,
VLOO"&amp;"KUP(H14358,IMPORTRANGE(""https://docs.google.com/spreadsheets/d/14Bd19lYaqBhU8_DElYkX7l4wRkHqqCUFNJY4AfY3kHU/edit?usp=sharing  #gid=0"",""фіз особи new!relations_name_uo""),7,FALSE)
,
)
))"),"#N/A")</f>
        <v>#N/A</v>
      </c>
      <c r="J14357" s="7" t="s">
        <v>23</v>
      </c>
    </row>
    <row r="14358" spans="1:10" ht="13.2">
      <c r="A14358" s="7">
        <v>14357</v>
      </c>
      <c r="B14358" s="7">
        <v>1</v>
      </c>
      <c r="C14358" s="7" t="s">
        <v>10</v>
      </c>
      <c r="D14358" s="7">
        <v>19133</v>
      </c>
      <c r="E14358" s="7" t="s">
        <v>23</v>
      </c>
      <c r="F14358" s="8" t="str">
        <f ca="1">IFERROR(__xludf.DUMMYFUNCTION("IF
(
C14359=""фізична особа""
,
VLOOKUP(D14359,IMPORTRANGE(""https://docs.google.com/spreadsheets/d/14Bd19lYaqBhU8_DElYkX7l4wRkHqqCUFNJY4AfY3kHU/edit?usp=sharing  #gid=0"",""фіз особи new!relations_name""),6,FALSE)
,
(IF
(
C14359=""юридична особа""
,
VLOO"&amp;"KUP(D14359,IMPORTRANGE(""https://docs.google.com/spreadsheets/d/14Bd19lYaqBhU8_DElYkX7l4wRkHqqCUFNJY4AfY3kHU/edit?usp=sharing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8" s="7" t="s">
        <v>10</v>
      </c>
      <c r="H14358" s="7">
        <v>0</v>
      </c>
      <c r="I14358" s="8" t="str">
        <f ca="1">IFERROR(__xludf.DUMMYFUNCTION("IF
(
G14359=""фізична особа""
,
VLOOKUP(H14359,IMPORTRANGE(""https://docs.google.com/spreadsheets/d/14Bd19lYaqBhU8_DElYkX7l4wRkHqqCUFNJY4AfY3kHU/edit?usp=sharing  #gid=0"",""фіз особи new!relations_name""),6,FALSE)
,
(IF
(
G14359=""юридична особа""
,
VLOO"&amp;"KUP(H14359,IMPORTRANGE(""https://docs.google.com/spreadsheets/d/14Bd19lYaqBhU8_DElYkX7l4wRkHqqCUFNJY4AfY3kHU/edit?usp=sharing  #gid=0"",""фіз особи new!relations_name_uo""),7,FALSE)
,
)
))"),"#N/A")</f>
        <v>#N/A</v>
      </c>
      <c r="J14358" s="7" t="s">
        <v>23</v>
      </c>
    </row>
    <row r="14359" spans="1:10" ht="13.2">
      <c r="A14359" s="7">
        <v>14358</v>
      </c>
      <c r="B14359" s="7">
        <v>1</v>
      </c>
      <c r="C14359" s="7" t="s">
        <v>10</v>
      </c>
      <c r="D14359" s="7">
        <v>19133</v>
      </c>
      <c r="E14359" s="7" t="s">
        <v>23</v>
      </c>
      <c r="F14359" s="8" t="str">
        <f ca="1">IFERROR(__xludf.DUMMYFUNCTION("IF
(
C14360=""фізична особа""
,
VLOOKUP(D14360,IMPORTRANGE(""https://docs.google.com/spreadsheets/d/14Bd19lYaqBhU8_DElYkX7l4wRkHqqCUFNJY4AfY3kHU/edit?usp=sharing  #gid=0"",""фіз особи new!relations_name""),6,FALSE)
,
(IF
(
C14360=""юридична особа""
,
VLOO"&amp;"KUP(D14360,IMPORTRANGE(""https://docs.google.com/spreadsheets/d/14Bd19lYaqBhU8_DElYkX7l4wRkHqqCUFNJY4AfY3kHU/edit?usp=sharing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59" s="7" t="s">
        <v>10</v>
      </c>
      <c r="H14359" s="7">
        <v>0</v>
      </c>
      <c r="I14359" s="8" t="str">
        <f ca="1">IFERROR(__xludf.DUMMYFUNCTION("IF
(
G14360=""фізична особа""
,
VLOOKUP(H14360,IMPORTRANGE(""https://docs.google.com/spreadsheets/d/14Bd19lYaqBhU8_DElYkX7l4wRkHqqCUFNJY4AfY3kHU/edit?usp=sharing  #gid=0"",""фіз особи new!relations_name""),6,FALSE)
,
(IF
(
G14360=""юридична особа""
,
VLOO"&amp;"KUP(H14360,IMPORTRANGE(""https://docs.google.com/spreadsheets/d/14Bd19lYaqBhU8_DElYkX7l4wRkHqqCUFNJY4AfY3kHU/edit?usp=sharing  #gid=0"",""фіз особи new!relations_name_uo""),7,FALSE)
,
)
))"),"#N/A")</f>
        <v>#N/A</v>
      </c>
      <c r="J14359" s="7" t="s">
        <v>23</v>
      </c>
    </row>
    <row r="14360" spans="1:10" ht="13.2">
      <c r="A14360" s="7">
        <v>14359</v>
      </c>
      <c r="B14360" s="7">
        <v>1</v>
      </c>
      <c r="C14360" s="7" t="s">
        <v>10</v>
      </c>
      <c r="D14360" s="7">
        <v>19133</v>
      </c>
      <c r="E14360" s="7" t="s">
        <v>23</v>
      </c>
      <c r="F14360" s="8" t="str">
        <f ca="1">IFERROR(__xludf.DUMMYFUNCTION("IF
(
C14361=""фізична особа""
,
VLOOKUP(D14361,IMPORTRANGE(""https://docs.google.com/spreadsheets/d/14Bd19lYaqBhU8_DElYkX7l4wRkHqqCUFNJY4AfY3kHU/edit?usp=sharing  #gid=0"",""фіз особи new!relations_name""),6,FALSE)
,
(IF
(
C14361=""юридична особа""
,
VLOO"&amp;"KUP(D14361,IMPORTRANGE(""https://docs.google.com/spreadsheets/d/14Bd19lYaqBhU8_DElYkX7l4wRkHqqCUFNJY4AfY3kHU/edit?usp=sharing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G14360" s="7" t="s">
        <v>10</v>
      </c>
      <c r="H14360" s="7">
        <v>23360</v>
      </c>
      <c r="I14360" s="8" t="str">
        <f ca="1">IFERROR(__xludf.DUMMYFUNCTION("IF
(
G14361=""фізична особа""
,
VLOOKUP(H14361,IMPORTRANGE(""https://docs.google.com/spreadsheets/d/14Bd19lYaqBhU8_DElYkX7l4wRkHqqCUFNJY4AfY3kHU/edit?usp=sharing  #gid=0"",""фіз особи new!relations_name""),6,FALSE)
,
(IF
(
G14361=""юридична особа""
,
VLOO"&amp;"KUP(H14361,IMPORTRANGE(""https://docs.google.com/spreadsheets/d/14Bd19lYaqBhU8_DElYkX7l4wRkHqqCUFNJY4AfY3kHU/edit?usp=sharing  #gid=0"",""фіз особи new!relations_name_uo""),7,FALSE)
,
)
))"),"КРЕМЛЬОВ Умар Назарович")</f>
        <v>КРЕМЛЬОВ Умар Назарович</v>
      </c>
      <c r="J14360" s="7" t="s">
        <v>23</v>
      </c>
    </row>
    <row r="14361" spans="1:10" ht="13.2">
      <c r="A14361" s="7">
        <v>14360</v>
      </c>
      <c r="B14361" s="7">
        <v>1</v>
      </c>
      <c r="C14361" s="7" t="s">
        <v>10</v>
      </c>
      <c r="D14361" s="7">
        <v>19134</v>
      </c>
      <c r="E14361" s="7" t="s">
        <v>23</v>
      </c>
      <c r="F14361" s="8" t="str">
        <f ca="1">IFERROR(__xludf.DUMMYFUNCTION("IF
(
C14362=""фізична особа""
,
VLOOKUP(D14362,IMPORTRANGE(""https://docs.google.com/spreadsheets/d/14Bd19lYaqBhU8_DElYkX7l4wRkHqqCUFNJY4AfY3kHU/edit?usp=sharing  #gid=0"",""фіз особи new!relations_name""),6,FALSE)
,
(IF
(
C14362=""юридична особа""
,
VLOO"&amp;"KUP(D14362,IMPORTRANGE(""https://docs.google.com/spreadsheets/d/14Bd19lYaqBhU8_DElYkX7l4wRkHqqCUFNJY4AfY3kHU/edit?usp=sharing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G14361" s="7" t="s">
        <v>10</v>
      </c>
      <c r="H14361" s="7">
        <v>19135</v>
      </c>
      <c r="I14361" s="8" t="str">
        <f ca="1">IFERROR(__xludf.DUMMYFUNCTION("IF
(
G14362=""фізична особа""
,
VLOOKUP(H14362,IMPORTRANGE(""https://docs.google.com/spreadsheets/d/14Bd19lYaqBhU8_DElYkX7l4wRkHqqCUFNJY4AfY3kHU/edit?usp=sharing  #gid=0"",""фіз особи new!relations_name""),6,FALSE)
,
(IF
(
G14362=""юридична особа""
,
VLOO"&amp;"KUP(H14362,IMPORTRANGE(""https://docs.google.com/spreadsheets/d/14Bd19lYaqBhU8_DElYkX7l4wRkHqqCUFNJY4AfY3kHU/edit?usp=sharing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J14361" s="7" t="s">
        <v>23</v>
      </c>
    </row>
    <row r="14362" spans="1:10" ht="13.2">
      <c r="A14362" s="7">
        <v>14361</v>
      </c>
      <c r="B14362" s="7">
        <v>1</v>
      </c>
      <c r="C14362" s="7" t="s">
        <v>10</v>
      </c>
      <c r="D14362" s="7">
        <v>19134</v>
      </c>
      <c r="E14362" s="7" t="s">
        <v>23</v>
      </c>
      <c r="F14362" s="8" t="str">
        <f ca="1">IFERROR(__xludf.DUMMYFUNCTION("IF
(
C14363=""фізична особа""
,
VLOOKUP(D14363,IMPORTRANGE(""https://docs.google.com/spreadsheets/d/14Bd19lYaqBhU8_DElYkX7l4wRkHqqCUFNJY4AfY3kHU/edit?usp=sharing  #gid=0"",""фіз особи new!relations_name""),6,FALSE)
,
(IF
(
C14363=""юридична особа""
,
VLOO"&amp;"KUP(D14363,IMPORTRANGE(""https://docs.google.com/spreadsheets/d/14Bd19lYaqBhU8_DElYkX7l4wRkHqqCUFNJY4AfY3kHU/edit?usp=sharing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G14362" s="7" t="s">
        <v>10</v>
      </c>
      <c r="H14362" s="7">
        <v>19132</v>
      </c>
      <c r="I14362" s="8" t="str">
        <f ca="1">IFERROR(__xludf.DUMMYFUNCTION("IF
(
G14363=""фізична особа""
,
VLOOKUP(H14363,IMPORTRANGE(""https://docs.google.com/spreadsheets/d/14Bd19lYaqBhU8_DElYkX7l4wRkHqqCUFNJY4AfY3kHU/edit?usp=sharing  #gid=0"",""фіз особи new!relations_name""),6,FALSE)
,
(IF
(
G14363=""юридична особа""
,
VLOO"&amp;"KUP(H14363,IMPORTRANGE(""https://docs.google.com/spreadsheets/d/14Bd19lYaqBhU8_DElYkX7l4wRkHqqCUFNJY4AfY3kHU/edit?usp=sharing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62" s="7" t="s">
        <v>23</v>
      </c>
    </row>
    <row r="14363" spans="1:10" ht="13.2">
      <c r="A14363" s="7">
        <v>14362</v>
      </c>
      <c r="B14363" s="7">
        <v>1</v>
      </c>
      <c r="C14363" s="7" t="s">
        <v>10</v>
      </c>
      <c r="D14363" s="7">
        <v>19134</v>
      </c>
      <c r="E14363" s="7" t="s">
        <v>23</v>
      </c>
      <c r="F14363" s="8" t="str">
        <f ca="1">IFERROR(__xludf.DUMMYFUNCTION("IF
(
C14364=""фізична особа""
,
VLOOKUP(D14364,IMPORTRANGE(""https://docs.google.com/spreadsheets/d/14Bd19lYaqBhU8_DElYkX7l4wRkHqqCUFNJY4AfY3kHU/edit?usp=sharing  #gid=0"",""фіз особи new!relations_name""),6,FALSE)
,
(IF
(
C14364=""юридична особа""
,
VLOO"&amp;"KUP(D14364,IMPORTRANGE(""https://docs.google.com/spreadsheets/d/14Bd19lYaqBhU8_DElYkX7l4wRkHqqCUFNJY4AfY3kHU/edit?usp=sharing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G14363" s="7" t="s">
        <v>10</v>
      </c>
      <c r="H14363" s="7">
        <v>19121</v>
      </c>
      <c r="I14363" s="8" t="str">
        <f ca="1">IFERROR(__xludf.DUMMYFUNCTION("IF
(
G14364=""фізична особа""
,
VLOOKUP(H14364,IMPORTRANGE(""https://docs.google.com/spreadsheets/d/14Bd19lYaqBhU8_DElYkX7l4wRkHqqCUFNJY4AfY3kHU/edit?usp=sharing  #gid=0"",""фіз особи new!relations_name""),6,FALSE)
,
(IF
(
G14364=""юридична особа""
,
VLOO"&amp;"KUP(H14364,IMPORTRANGE(""https://docs.google.com/spreadsheets/d/14Bd19lYaqBhU8_DElYkX7l4wRkHqqCUFNJY4AfY3kHU/edit?usp=sharing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63" s="7" t="s">
        <v>23</v>
      </c>
    </row>
    <row r="14364" spans="1:10" ht="13.2">
      <c r="A14364" s="7">
        <v>14363</v>
      </c>
      <c r="B14364" s="7">
        <v>1</v>
      </c>
      <c r="C14364" s="7" t="s">
        <v>10</v>
      </c>
      <c r="D14364" s="7">
        <v>19134</v>
      </c>
      <c r="E14364" s="7" t="s">
        <v>23</v>
      </c>
      <c r="F14364" s="8" t="str">
        <f ca="1">IFERROR(__xludf.DUMMYFUNCTION("IF
(
C14365=""фізична особа""
,
VLOOKUP(D14365,IMPORTRANGE(""https://docs.google.com/spreadsheets/d/14Bd19lYaqBhU8_DElYkX7l4wRkHqqCUFNJY4AfY3kHU/edit?usp=sharing  #gid=0"",""фіз особи new!relations_name""),6,FALSE)
,
(IF
(
C14365=""юридична особа""
,
VLOO"&amp;"KUP(D14365,IMPORTRANGE(""https://docs.google.com/spreadsheets/d/14Bd19lYaqBhU8_DElYkX7l4wRkHqqCUFNJY4AfY3kHU/edit?usp=sharing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G14364" s="7" t="s">
        <v>10</v>
      </c>
      <c r="H14364" s="7">
        <v>19133</v>
      </c>
      <c r="I14364" s="8" t="str">
        <f ca="1">IFERROR(__xludf.DUMMYFUNCTION("IF
(
G14365=""фізична особа""
,
VLOOKUP(H14365,IMPORTRANGE(""https://docs.google.com/spreadsheets/d/14Bd19lYaqBhU8_DElYkX7l4wRkHqqCUFNJY4AfY3kHU/edit?usp=sharing  #gid=0"",""фіз особи new!relations_name""),6,FALSE)
,
(IF
(
G14365=""юридична особа""
,
VLOO"&amp;"KUP(H14365,IMPORTRANGE(""https://docs.google.com/spreadsheets/d/14Bd19lYaqBhU8_DElYkX7l4wRkHqqCUFNJY4AfY3kHU/edit?usp=sharing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64" s="7" t="s">
        <v>23</v>
      </c>
    </row>
    <row r="14365" spans="1:10" ht="13.2">
      <c r="A14365" s="7">
        <v>14364</v>
      </c>
      <c r="B14365" s="7">
        <v>1</v>
      </c>
      <c r="C14365" s="7" t="s">
        <v>10</v>
      </c>
      <c r="D14365" s="7">
        <v>19135</v>
      </c>
      <c r="E14365" s="7" t="s">
        <v>23</v>
      </c>
      <c r="F14365" s="8" t="str">
        <f ca="1">IFERROR(__xludf.DUMMYFUNCTION("IF
(
C14366=""фізична особа""
,
VLOOKUP(D14366,IMPORTRANGE(""https://docs.google.com/spreadsheets/d/14Bd19lYaqBhU8_DElYkX7l4wRkHqqCUFNJY4AfY3kHU/edit?usp=sharing  #gid=0"",""фіз особи new!relations_name""),6,FALSE)
,
(IF
(
C14366=""юридична особа""
,
VLOO"&amp;"KUP(D14366,IMPORTRANGE(""https://docs.google.com/spreadsheets/d/14Bd19lYaqBhU8_DElYkX7l4wRkHqqCUFNJY4AfY3kHU/edit?usp=sharing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G14365" s="7" t="s">
        <v>10</v>
      </c>
      <c r="H14365" s="7">
        <v>19134</v>
      </c>
      <c r="I14365" s="8" t="str">
        <f ca="1">IFERROR(__xludf.DUMMYFUNCTION("IF
(
G14366=""фізична особа""
,
VLOOKUP(H14366,IMPORTRANGE(""https://docs.google.com/spreadsheets/d/14Bd19lYaqBhU8_DElYkX7l4wRkHqqCUFNJY4AfY3kHU/edit?usp=sharing  #gid=0"",""фіз особи new!relations_name""),6,FALSE)
,
(IF
(
G14366=""юридична особа""
,
VLOO"&amp;"KUP(H14366,IMPORTRANGE(""https://docs.google.com/spreadsheets/d/14Bd19lYaqBhU8_DElYkX7l4wRkHqqCUFNJY4AfY3kHU/edit?usp=sharing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J14365" s="7" t="s">
        <v>23</v>
      </c>
    </row>
    <row r="14366" spans="1:10" ht="13.2">
      <c r="A14366" s="7">
        <v>14365</v>
      </c>
      <c r="B14366" s="7">
        <v>1</v>
      </c>
      <c r="C14366" s="7" t="s">
        <v>10</v>
      </c>
      <c r="D14366" s="7">
        <v>19135</v>
      </c>
      <c r="E14366" s="7" t="s">
        <v>23</v>
      </c>
      <c r="F14366" s="8" t="str">
        <f ca="1">IFERROR(__xludf.DUMMYFUNCTION("IF
(
C14367=""фізична особа""
,
VLOOKUP(D14367,IMPORTRANGE(""https://docs.google.com/spreadsheets/d/14Bd19lYaqBhU8_DElYkX7l4wRkHqqCUFNJY4AfY3kHU/edit?usp=sharing  #gid=0"",""фіз особи new!relations_name""),6,FALSE)
,
(IF
(
C14367=""юридична особа""
,
VLOO"&amp;"KUP(D14367,IMPORTRANGE(""https://docs.google.com/spreadsheets/d/14Bd19lYaqBhU8_DElYkX7l4wRkHqqCUFNJY4AfY3kHU/edit?usp=sharing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G14366" s="7" t="s">
        <v>10</v>
      </c>
      <c r="H14366" s="7">
        <v>19132</v>
      </c>
      <c r="I14366" s="8" t="str">
        <f ca="1">IFERROR(__xludf.DUMMYFUNCTION("IF
(
G14367=""фізична особа""
,
VLOOKUP(H14367,IMPORTRANGE(""https://docs.google.com/spreadsheets/d/14Bd19lYaqBhU8_DElYkX7l4wRkHqqCUFNJY4AfY3kHU/edit?usp=sharing  #gid=0"",""фіз особи new!relations_name""),6,FALSE)
,
(IF
(
G14367=""юридична особа""
,
VLOO"&amp;"KUP(H14367,IMPORTRANGE(""https://docs.google.com/spreadsheets/d/14Bd19lYaqBhU8_DElYkX7l4wRkHqqCUFNJY4AfY3kHU/edit?usp=sharing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66" s="7" t="s">
        <v>23</v>
      </c>
    </row>
    <row r="14367" spans="1:10" ht="13.2">
      <c r="A14367" s="7">
        <v>14366</v>
      </c>
      <c r="B14367" s="7">
        <v>1</v>
      </c>
      <c r="C14367" s="7" t="s">
        <v>10</v>
      </c>
      <c r="D14367" s="7">
        <v>19135</v>
      </c>
      <c r="E14367" s="7" t="s">
        <v>23</v>
      </c>
      <c r="F14367" s="8" t="str">
        <f ca="1">IFERROR(__xludf.DUMMYFUNCTION("IF
(
C14368=""фізична особа""
,
VLOOKUP(D14368,IMPORTRANGE(""https://docs.google.com/spreadsheets/d/14Bd19lYaqBhU8_DElYkX7l4wRkHqqCUFNJY4AfY3kHU/edit?usp=sharing  #gid=0"",""фіз особи new!relations_name""),6,FALSE)
,
(IF
(
C14368=""юридична особа""
,
VLOO"&amp;"KUP(D14368,IMPORTRANGE(""https://docs.google.com/spreadsheets/d/14Bd19lYaqBhU8_DElYkX7l4wRkHqqCUFNJY4AfY3kHU/edit?usp=sharing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G14367" s="7" t="s">
        <v>10</v>
      </c>
      <c r="H14367" s="7">
        <v>19121</v>
      </c>
      <c r="I14367" s="8" t="str">
        <f ca="1">IFERROR(__xludf.DUMMYFUNCTION("IF
(
G14368=""фізична особа""
,
VLOOKUP(H14368,IMPORTRANGE(""https://docs.google.com/spreadsheets/d/14Bd19lYaqBhU8_DElYkX7l4wRkHqqCUFNJY4AfY3kHU/edit?usp=sharing  #gid=0"",""фіз особи new!relations_name""),6,FALSE)
,
(IF
(
G14368=""юридична особа""
,
VLOO"&amp;"KUP(H14368,IMPORTRANGE(""https://docs.google.com/spreadsheets/d/14Bd19lYaqBhU8_DElYkX7l4wRkHqqCUFNJY4AfY3kHU/edit?usp=sharing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67" s="7" t="s">
        <v>23</v>
      </c>
    </row>
    <row r="14368" spans="1:10" ht="13.2">
      <c r="A14368" s="7">
        <v>14367</v>
      </c>
      <c r="B14368" s="7">
        <v>1</v>
      </c>
      <c r="C14368" s="7" t="s">
        <v>10</v>
      </c>
      <c r="D14368" s="7">
        <v>19135</v>
      </c>
      <c r="E14368" s="7" t="s">
        <v>23</v>
      </c>
      <c r="F14368" s="8" t="str">
        <f ca="1">IFERROR(__xludf.DUMMYFUNCTION("IF
(
C14369=""фізична особа""
,
VLOOKUP(D14369,IMPORTRANGE(""https://docs.google.com/spreadsheets/d/14Bd19lYaqBhU8_DElYkX7l4wRkHqqCUFNJY4AfY3kHU/edit?usp=sharing  #gid=0"",""фіз особи new!relations_name""),6,FALSE)
,
(IF
(
C14369=""юридична особа""
,
VLOO"&amp;"KUP(D14369,IMPORTRANGE(""https://docs.google.com/spreadsheets/d/14Bd19lYaqBhU8_DElYkX7l4wRkHqqCUFNJY4AfY3kHU/edit?usp=sharing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G14368" s="7" t="s">
        <v>10</v>
      </c>
      <c r="H14368" s="7">
        <v>19133</v>
      </c>
      <c r="I14368" s="8" t="str">
        <f ca="1">IFERROR(__xludf.DUMMYFUNCTION("IF
(
G14369=""фізична особа""
,
VLOOKUP(H14369,IMPORTRANGE(""https://docs.google.com/spreadsheets/d/14Bd19lYaqBhU8_DElYkX7l4wRkHqqCUFNJY4AfY3kHU/edit?usp=sharing  #gid=0"",""фіз особи new!relations_name""),6,FALSE)
,
(IF
(
G14369=""юридична особа""
,
VLOO"&amp;"KUP(H14369,IMPORTRANGE(""https://docs.google.com/spreadsheets/d/14Bd19lYaqBhU8_DElYkX7l4wRkHqqCUFNJY4AfY3kHU/edit?usp=sharing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68" s="7" t="s">
        <v>23</v>
      </c>
    </row>
    <row r="14369" spans="1:10" ht="13.2">
      <c r="A14369" s="7">
        <v>14368</v>
      </c>
      <c r="B14369" s="7">
        <v>1</v>
      </c>
      <c r="C14369" s="7" t="s">
        <v>10</v>
      </c>
      <c r="D14369" s="7">
        <v>19136</v>
      </c>
      <c r="E14369" s="7" t="s">
        <v>23</v>
      </c>
      <c r="F14369" s="8" t="str">
        <f ca="1">IFERROR(__xludf.DUMMYFUNCTION("IF
(
C14370=""фізична особа""
,
VLOOKUP(D14370,IMPORTRANGE(""https://docs.google.com/spreadsheets/d/14Bd19lYaqBhU8_DElYkX7l4wRkHqqCUFNJY4AfY3kHU/edit?usp=sharing  #gid=0"",""фіз особи new!relations_name""),6,FALSE)
,
(IF
(
C14370=""юридична особа""
,
VLOO"&amp;"KUP(D14370,IMPORTRANGE(""https://docs.google.com/spreadsheets/d/14Bd19lYaqBhU8_DElYkX7l4wRkHqqCUFNJY4AfY3kHU/edit?usp=sharing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G14369" s="7" t="s">
        <v>10</v>
      </c>
      <c r="H14369" s="7">
        <v>19134</v>
      </c>
      <c r="I14369" s="8" t="str">
        <f ca="1">IFERROR(__xludf.DUMMYFUNCTION("IF
(
G14370=""фізична особа""
,
VLOOKUP(H14370,IMPORTRANGE(""https://docs.google.com/spreadsheets/d/14Bd19lYaqBhU8_DElYkX7l4wRkHqqCUFNJY4AfY3kHU/edit?usp=sharing  #gid=0"",""фіз особи new!relations_name""),6,FALSE)
,
(IF
(
G14370=""юридична особа""
,
VLOO"&amp;"KUP(H14370,IMPORTRANGE(""https://docs.google.com/spreadsheets/d/14Bd19lYaqBhU8_DElYkX7l4wRkHqqCUFNJY4AfY3kHU/edit?usp=sharing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J14369" s="7" t="s">
        <v>23</v>
      </c>
    </row>
    <row r="14370" spans="1:10" ht="13.2">
      <c r="A14370" s="7">
        <v>14369</v>
      </c>
      <c r="B14370" s="7">
        <v>1</v>
      </c>
      <c r="C14370" s="7" t="s">
        <v>10</v>
      </c>
      <c r="D14370" s="7">
        <v>19136</v>
      </c>
      <c r="E14370" s="7" t="s">
        <v>23</v>
      </c>
      <c r="F14370" s="8" t="str">
        <f ca="1">IFERROR(__xludf.DUMMYFUNCTION("IF
(
C14371=""фізична особа""
,
VLOOKUP(D14371,IMPORTRANGE(""https://docs.google.com/spreadsheets/d/14Bd19lYaqBhU8_DElYkX7l4wRkHqqCUFNJY4AfY3kHU/edit?usp=sharing  #gid=0"",""фіз особи new!relations_name""),6,FALSE)
,
(IF
(
C14371=""юридична особа""
,
VLOO"&amp;"KUP(D14371,IMPORTRANGE(""https://docs.google.com/spreadsheets/d/14Bd19lYaqBhU8_DElYkX7l4wRkHqqCUFNJY4AfY3kHU/edit?usp=sharing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G14370" s="7" t="s">
        <v>10</v>
      </c>
      <c r="H14370" s="7">
        <v>19132</v>
      </c>
      <c r="I14370" s="8" t="str">
        <f ca="1">IFERROR(__xludf.DUMMYFUNCTION("IF
(
G14371=""фізична особа""
,
VLOOKUP(H14371,IMPORTRANGE(""https://docs.google.com/spreadsheets/d/14Bd19lYaqBhU8_DElYkX7l4wRkHqqCUFNJY4AfY3kHU/edit?usp=sharing  #gid=0"",""фіз особи new!relations_name""),6,FALSE)
,
(IF
(
G14371=""юридична особа""
,
VLOO"&amp;"KUP(H14371,IMPORTRANGE(""https://docs.google.com/spreadsheets/d/14Bd19lYaqBhU8_DElYkX7l4wRkHqqCUFNJY4AfY3kHU/edit?usp=sharing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70" s="7" t="s">
        <v>23</v>
      </c>
    </row>
    <row r="14371" spans="1:10" ht="13.2">
      <c r="A14371" s="7">
        <v>14370</v>
      </c>
      <c r="B14371" s="7">
        <v>1</v>
      </c>
      <c r="C14371" s="7" t="s">
        <v>10</v>
      </c>
      <c r="D14371" s="7">
        <v>19136</v>
      </c>
      <c r="E14371" s="7" t="s">
        <v>23</v>
      </c>
      <c r="F14371" s="8" t="str">
        <f ca="1">IFERROR(__xludf.DUMMYFUNCTION("IF
(
C14372=""фізична особа""
,
VLOOKUP(D14372,IMPORTRANGE(""https://docs.google.com/spreadsheets/d/14Bd19lYaqBhU8_DElYkX7l4wRkHqqCUFNJY4AfY3kHU/edit?usp=sharing  #gid=0"",""фіз особи new!relations_name""),6,FALSE)
,
(IF
(
C14372=""юридична особа""
,
VLOO"&amp;"KUP(D14372,IMPORTRANGE(""https://docs.google.com/spreadsheets/d/14Bd19lYaqBhU8_DElYkX7l4wRkHqqCUFNJY4AfY3kHU/edit?usp=sharing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G14371" s="7" t="s">
        <v>10</v>
      </c>
      <c r="H14371" s="7">
        <v>19121</v>
      </c>
      <c r="I14371" s="8" t="str">
        <f ca="1">IFERROR(__xludf.DUMMYFUNCTION("IF
(
G14372=""фізична особа""
,
VLOOKUP(H14372,IMPORTRANGE(""https://docs.google.com/spreadsheets/d/14Bd19lYaqBhU8_DElYkX7l4wRkHqqCUFNJY4AfY3kHU/edit?usp=sharing  #gid=0"",""фіз особи new!relations_name""),6,FALSE)
,
(IF
(
G14372=""юридична особа""
,
VLOO"&amp;"KUP(H14372,IMPORTRANGE(""https://docs.google.com/spreadsheets/d/14Bd19lYaqBhU8_DElYkX7l4wRkHqqCUFNJY4AfY3kHU/edit?usp=sharing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71" s="7" t="s">
        <v>23</v>
      </c>
    </row>
    <row r="14372" spans="1:10" ht="13.2">
      <c r="A14372" s="7">
        <v>14371</v>
      </c>
      <c r="B14372" s="7">
        <v>1</v>
      </c>
      <c r="C14372" s="7" t="s">
        <v>10</v>
      </c>
      <c r="D14372" s="7">
        <v>19136</v>
      </c>
      <c r="E14372" s="7" t="s">
        <v>23</v>
      </c>
      <c r="F14372" s="8" t="str">
        <f ca="1">IFERROR(__xludf.DUMMYFUNCTION("IF
(
C14373=""фізична особа""
,
VLOOKUP(D14373,IMPORTRANGE(""https://docs.google.com/spreadsheets/d/14Bd19lYaqBhU8_DElYkX7l4wRkHqqCUFNJY4AfY3kHU/edit?usp=sharing  #gid=0"",""фіз особи new!relations_name""),6,FALSE)
,
(IF
(
C14373=""юридична особа""
,
VLOO"&amp;"KUP(D14373,IMPORTRANGE(""https://docs.google.com/spreadsheets/d/14Bd19lYaqBhU8_DElYkX7l4wRkHqqCUFNJY4AfY3kHU/edit?usp=sharing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G14372" s="7" t="s">
        <v>10</v>
      </c>
      <c r="H14372" s="7">
        <v>19133</v>
      </c>
      <c r="I14372" s="8" t="str">
        <f ca="1">IFERROR(__xludf.DUMMYFUNCTION("IF
(
G14373=""фізична особа""
,
VLOOKUP(H14373,IMPORTRANGE(""https://docs.google.com/spreadsheets/d/14Bd19lYaqBhU8_DElYkX7l4wRkHqqCUFNJY4AfY3kHU/edit?usp=sharing  #gid=0"",""фіз особи new!relations_name""),6,FALSE)
,
(IF
(
G14373=""юридична особа""
,
VLOO"&amp;"KUP(H14373,IMPORTRANGE(""https://docs.google.com/spreadsheets/d/14Bd19lYaqBhU8_DElYkX7l4wRkHqqCUFNJY4AfY3kHU/edit?usp=sharing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72" s="7" t="s">
        <v>23</v>
      </c>
    </row>
    <row r="14373" spans="1:10" ht="13.2">
      <c r="A14373" s="7">
        <v>14372</v>
      </c>
      <c r="B14373" s="7">
        <v>1</v>
      </c>
      <c r="C14373" s="7" t="s">
        <v>10</v>
      </c>
      <c r="D14373" s="7">
        <v>19136</v>
      </c>
      <c r="E14373" s="7" t="s">
        <v>23</v>
      </c>
      <c r="F14373" s="8" t="str">
        <f ca="1">IFERROR(__xludf.DUMMYFUNCTION("IF
(
C14374=""фізична особа""
,
VLOOKUP(D14374,IMPORTRANGE(""https://docs.google.com/spreadsheets/d/14Bd19lYaqBhU8_DElYkX7l4wRkHqqCUFNJY4AfY3kHU/edit?usp=sharing  #gid=0"",""фіз особи new!relations_name""),6,FALSE)
,
(IF
(
C14374=""юридична особа""
,
VLOO"&amp;"KUP(D14374,IMPORTRANGE(""https://docs.google.com/spreadsheets/d/14Bd19lYaqBhU8_DElYkX7l4wRkHqqCUFNJY4AfY3kHU/edit?usp=sharing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G14373" s="7" t="s">
        <v>10</v>
      </c>
      <c r="H14373" s="7">
        <v>23360</v>
      </c>
      <c r="I14373" s="8" t="str">
        <f ca="1">IFERROR(__xludf.DUMMYFUNCTION("IF
(
G14374=""фізична особа""
,
VLOOKUP(H14374,IMPORTRANGE(""https://docs.google.com/spreadsheets/d/14Bd19lYaqBhU8_DElYkX7l4wRkHqqCUFNJY4AfY3kHU/edit?usp=sharing  #gid=0"",""фіз особи new!relations_name""),6,FALSE)
,
(IF
(
G14374=""юридична особа""
,
VLOO"&amp;"KUP(H14374,IMPORTRANGE(""https://docs.google.com/spreadsheets/d/14Bd19lYaqBhU8_DElYkX7l4wRkHqqCUFNJY4AfY3kHU/edit?usp=sharing  #gid=0"",""фіз особи new!relations_name_uo""),7,FALSE)
,
)
))"),"КРЕМЛЬОВ Умар Назарович")</f>
        <v>КРЕМЛЬОВ Умар Назарович</v>
      </c>
      <c r="J14373" s="7" t="s">
        <v>23</v>
      </c>
    </row>
    <row r="14374" spans="1:10" ht="13.2">
      <c r="A14374" s="7">
        <v>14373</v>
      </c>
      <c r="B14374" s="7">
        <v>1</v>
      </c>
      <c r="C14374" s="7" t="s">
        <v>10</v>
      </c>
      <c r="D14374" s="7">
        <v>19137</v>
      </c>
      <c r="E14374" s="7" t="s">
        <v>23</v>
      </c>
      <c r="F14374" s="8" t="str">
        <f ca="1">IFERROR(__xludf.DUMMYFUNCTION("IF
(
C14375=""фізична особа""
,
VLOOKUP(D14375,IMPORTRANGE(""https://docs.google.com/spreadsheets/d/14Bd19lYaqBhU8_DElYkX7l4wRkHqqCUFNJY4AfY3kHU/edit?usp=sharing  #gid=0"",""фіз особи new!relations_name""),6,FALSE)
,
(IF
(
C14375=""юридична особа""
,
VLOO"&amp;"KUP(D14375,IMPORTRANGE(""https://docs.google.com/spreadsheets/d/14Bd19lYaqBhU8_DElYkX7l4wRkHqqCUFNJY4AfY3kHU/edit?usp=sharing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4" s="7" t="s">
        <v>10</v>
      </c>
      <c r="H14374" s="7">
        <v>19134</v>
      </c>
      <c r="I14374" s="8" t="str">
        <f ca="1">IFERROR(__xludf.DUMMYFUNCTION("IF
(
G14375=""фізична особа""
,
VLOOKUP(H14375,IMPORTRANGE(""https://docs.google.com/spreadsheets/d/14Bd19lYaqBhU8_DElYkX7l4wRkHqqCUFNJY4AfY3kHU/edit?usp=sharing  #gid=0"",""фіз особи new!relations_name""),6,FALSE)
,
(IF
(
G14375=""юридична особа""
,
VLOO"&amp;"KUP(H14375,IMPORTRANGE(""https://docs.google.com/spreadsheets/d/14Bd19lYaqBhU8_DElYkX7l4wRkHqqCUFNJY4AfY3kHU/edit?usp=sharing  #gid=0"",""фіз особи new!relations_name_uo""),7,FALSE)
,
)
))"),"ВАНЧУГОВА Альона Володимирівна")</f>
        <v>ВАНЧУГОВА Альона Володимирівна</v>
      </c>
      <c r="J14374" s="7" t="s">
        <v>23</v>
      </c>
    </row>
    <row r="14375" spans="1:10" ht="13.2">
      <c r="A14375" s="7">
        <v>14374</v>
      </c>
      <c r="B14375" s="7">
        <v>1</v>
      </c>
      <c r="C14375" s="7" t="s">
        <v>10</v>
      </c>
      <c r="D14375" s="7">
        <v>19137</v>
      </c>
      <c r="E14375" s="7" t="s">
        <v>23</v>
      </c>
      <c r="F14375" s="8" t="str">
        <f ca="1">IFERROR(__xludf.DUMMYFUNCTION("IF
(
C14376=""фізична особа""
,
VLOOKUP(D14376,IMPORTRANGE(""https://docs.google.com/spreadsheets/d/14Bd19lYaqBhU8_DElYkX7l4wRkHqqCUFNJY4AfY3kHU/edit?usp=sharing  #gid=0"",""фіз особи new!relations_name""),6,FALSE)
,
(IF
(
C14376=""юридична особа""
,
VLOO"&amp;"KUP(D14376,IMPORTRANGE(""https://docs.google.com/spreadsheets/d/14Bd19lYaqBhU8_DElYkX7l4wRkHqqCUFNJY4AfY3kHU/edit?usp=sharing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5" s="7" t="s">
        <v>10</v>
      </c>
      <c r="H14375" s="7">
        <v>19132</v>
      </c>
      <c r="I14375" s="8" t="str">
        <f ca="1">IFERROR(__xludf.DUMMYFUNCTION("IF
(
G14376=""фізична особа""
,
VLOOKUP(H14376,IMPORTRANGE(""https://docs.google.com/spreadsheets/d/14Bd19lYaqBhU8_DElYkX7l4wRkHqqCUFNJY4AfY3kHU/edit?usp=sharing  #gid=0"",""фіз особи new!relations_name""),6,FALSE)
,
(IF
(
G14376=""юридична особа""
,
VLOO"&amp;"KUP(H14376,IMPORTRANGE(""https://docs.google.com/spreadsheets/d/14Bd19lYaqBhU8_DElYkX7l4wRkHqqCUFNJY4AfY3kHU/edit?usp=sharing  #gid=0"",""фіз особи new!relations_name_uo""),7,FALSE)
,
)
))"),"ЛЕБЄДЄВА Любов Володимирівна")</f>
        <v>ЛЕБЄДЄВА Любов Володимирівна</v>
      </c>
      <c r="J14375" s="7" t="s">
        <v>23</v>
      </c>
    </row>
    <row r="14376" spans="1:10" ht="13.2">
      <c r="A14376" s="7">
        <v>14375</v>
      </c>
      <c r="B14376" s="7">
        <v>1</v>
      </c>
      <c r="C14376" s="7" t="s">
        <v>10</v>
      </c>
      <c r="D14376" s="7">
        <v>19137</v>
      </c>
      <c r="E14376" s="7" t="s">
        <v>23</v>
      </c>
      <c r="F14376" s="8" t="str">
        <f ca="1">IFERROR(__xludf.DUMMYFUNCTION("IF
(
C14377=""фізична особа""
,
VLOOKUP(D14377,IMPORTRANGE(""https://docs.google.com/spreadsheets/d/14Bd19lYaqBhU8_DElYkX7l4wRkHqqCUFNJY4AfY3kHU/edit?usp=sharing  #gid=0"",""фіз особи new!relations_name""),6,FALSE)
,
(IF
(
C14377=""юридична особа""
,
VLOO"&amp;"KUP(D14377,IMPORTRANGE(""https://docs.google.com/spreadsheets/d/14Bd19lYaqBhU8_DElYkX7l4wRkHqqCUFNJY4AfY3kHU/edit?usp=sharing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6" s="7" t="s">
        <v>10</v>
      </c>
      <c r="H14376" s="7">
        <v>19121</v>
      </c>
      <c r="I14376" s="8" t="str">
        <f ca="1">IFERROR(__xludf.DUMMYFUNCTION("IF
(
G14377=""фізична особа""
,
VLOOKUP(H14377,IMPORTRANGE(""https://docs.google.com/spreadsheets/d/14Bd19lYaqBhU8_DElYkX7l4wRkHqqCUFNJY4AfY3kHU/edit?usp=sharing  #gid=0"",""фіз особи new!relations_name""),6,FALSE)
,
(IF
(
G14377=""юридична особа""
,
VLOO"&amp;"KUP(H14377,IMPORTRANGE(""https://docs.google.com/spreadsheets/d/14Bd19lYaqBhU8_DElYkX7l4wRkHqqCUFNJY4AfY3kHU/edit?usp=sharing  #gid=0"",""фіз особи new!relations_name_uo""),7,FALSE)
,
)
))"),"ДАУШВІЛІ Сергій Михайлович")</f>
        <v>ДАУШВІЛІ Сергій Михайлович</v>
      </c>
      <c r="J14376" s="7" t="s">
        <v>23</v>
      </c>
    </row>
    <row r="14377" spans="1:10" ht="13.2">
      <c r="A14377" s="7">
        <v>14376</v>
      </c>
      <c r="B14377" s="7">
        <v>1</v>
      </c>
      <c r="C14377" s="7" t="s">
        <v>10</v>
      </c>
      <c r="D14377" s="7">
        <v>19137</v>
      </c>
      <c r="E14377" s="7" t="s">
        <v>23</v>
      </c>
      <c r="F14377" s="8" t="str">
        <f ca="1">IFERROR(__xludf.DUMMYFUNCTION("IF
(
C14378=""фізична особа""
,
VLOOKUP(D14378,IMPORTRANGE(""https://docs.google.com/spreadsheets/d/14Bd19lYaqBhU8_DElYkX7l4wRkHqqCUFNJY4AfY3kHU/edit?usp=sharing  #gid=0"",""фіз особи new!relations_name""),6,FALSE)
,
(IF
(
C14378=""юридична особа""
,
VLOO"&amp;"KUP(D14378,IMPORTRANGE(""https://docs.google.com/spreadsheets/d/14Bd19lYaqBhU8_DElYkX7l4wRkHqqCUFNJY4AfY3kHU/edit?usp=sharing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7" s="7" t="s">
        <v>10</v>
      </c>
      <c r="H14377" s="7">
        <v>19133</v>
      </c>
      <c r="I14377" s="8" t="str">
        <f ca="1">IFERROR(__xludf.DUMMYFUNCTION("IF
(
G14378=""фізична особа""
,
VLOOKUP(H14378,IMPORTRANGE(""https://docs.google.com/spreadsheets/d/14Bd19lYaqBhU8_DElYkX7l4wRkHqqCUFNJY4AfY3kHU/edit?usp=sharing  #gid=0"",""фіз особи new!relations_name""),6,FALSE)
,
(IF
(
G14378=""юридична особа""
,
VLOO"&amp;"KUP(H14378,IMPORTRANGE(""https://docs.google.com/spreadsheets/d/14Bd19lYaqBhU8_DElYkX7l4wRkHqqCUFNJY4AfY3kHU/edit?usp=sharing  #gid=0"",""фіз особи new!relations_name_uo""),7,FALSE)
,
)
))"),"САВЕЛЬЄВ Сергій Михайлович")</f>
        <v>САВЕЛЬЄВ Сергій Михайлович</v>
      </c>
      <c r="J14377" s="7" t="s">
        <v>23</v>
      </c>
    </row>
    <row r="14378" spans="1:10" ht="13.2">
      <c r="A14378" s="7">
        <v>14377</v>
      </c>
      <c r="B14378" s="7">
        <v>1</v>
      </c>
      <c r="C14378" s="7" t="s">
        <v>10</v>
      </c>
      <c r="D14378" s="7">
        <v>19137</v>
      </c>
      <c r="E14378" s="7" t="s">
        <v>23</v>
      </c>
      <c r="F14378" s="8" t="str">
        <f ca="1">IFERROR(__xludf.DUMMYFUNCTION("IF
(
C14379=""фізична особа""
,
VLOOKUP(D14379,IMPORTRANGE(""https://docs.google.com/spreadsheets/d/14Bd19lYaqBhU8_DElYkX7l4wRkHqqCUFNJY4AfY3kHU/edit?usp=sharing  #gid=0"",""фіз особи new!relations_name""),6,FALSE)
,
(IF
(
C14379=""юридична особа""
,
VLOO"&amp;"KUP(D14379,IMPORTRANGE(""https://docs.google.com/spreadsheets/d/14Bd19lYaqBhU8_DElYkX7l4wRkHqqCUFNJY4AfY3kHU/edit?usp=sharing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8" s="7" t="s">
        <v>10</v>
      </c>
      <c r="H14378" s="7">
        <v>23360</v>
      </c>
      <c r="I14378" s="8" t="str">
        <f ca="1">IFERROR(__xludf.DUMMYFUNCTION("IF
(
G14379=""фізична особа""
,
VLOOKUP(H14379,IMPORTRANGE(""https://docs.google.com/spreadsheets/d/14Bd19lYaqBhU8_DElYkX7l4wRkHqqCUFNJY4AfY3kHU/edit?usp=sharing  #gid=0"",""фіз особи new!relations_name""),6,FALSE)
,
(IF
(
G14379=""юридична особа""
,
VLOO"&amp;"KUP(H14379,IMPORTRANGE(""https://docs.google.com/spreadsheets/d/14Bd19lYaqBhU8_DElYkX7l4wRkHqqCUFNJY4AfY3kHU/edit?usp=sharing  #gid=0"",""фіз особи new!relations_name_uo""),7,FALSE)
,
)
))"),"КРЕМЛЬОВ Умар Назарович")</f>
        <v>КРЕМЛЬОВ Умар Назарович</v>
      </c>
      <c r="J14378" s="7" t="s">
        <v>23</v>
      </c>
    </row>
    <row r="14379" spans="1:10" ht="13.2">
      <c r="A14379" s="7">
        <v>14378</v>
      </c>
      <c r="B14379" s="7">
        <v>1</v>
      </c>
      <c r="C14379" s="7" t="s">
        <v>10</v>
      </c>
      <c r="D14379" s="7">
        <v>19137</v>
      </c>
      <c r="E14379" s="7" t="s">
        <v>23</v>
      </c>
      <c r="F14379" s="8" t="str">
        <f ca="1">IFERROR(__xludf.DUMMYFUNCTION("IF
(
C14380=""фізична особа""
,
VLOOKUP(D14380,IMPORTRANGE(""https://docs.google.com/spreadsheets/d/14Bd19lYaqBhU8_DElYkX7l4wRkHqqCUFNJY4AfY3kHU/edit?usp=sharing  #gid=0"",""фіз особи new!relations_name""),6,FALSE)
,
(IF
(
C14380=""юридична особа""
,
VLOO"&amp;"KUP(D14380,IMPORTRANGE(""https://docs.google.com/spreadsheets/d/14Bd19lYaqBhU8_DElYkX7l4wRkHqqCUFNJY4AfY3kHU/edit?usp=sharing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79" s="7" t="s">
        <v>10</v>
      </c>
      <c r="H14379" s="7">
        <v>19136</v>
      </c>
      <c r="I14379" s="8" t="str">
        <f ca="1">IFERROR(__xludf.DUMMYFUNCTION("IF
(
G14380=""фізична особа""
,
VLOOKUP(H14380,IMPORTRANGE(""https://docs.google.com/spreadsheets/d/14Bd19lYaqBhU8_DElYkX7l4wRkHqqCUFNJY4AfY3kHU/edit?usp=sharing  #gid=0"",""фіз особи new!relations_name""),6,FALSE)
,
(IF
(
G14380=""юридична особа""
,
VLOO"&amp;"KUP(H14380,IMPORTRANGE(""https://docs.google.com/spreadsheets/d/14Bd19lYaqBhU8_DElYkX7l4wRkHqqCUFNJY4AfY3kHU/edit?usp=sharing  #gid=0"",""фіз особи new!relations_name_uo""),7,FALSE)
,
)
))"),"ГРАЧОВ Олексій Вікторович")</f>
        <v>ГРАЧОВ Олексій Вікторович</v>
      </c>
      <c r="J14379" s="7" t="s">
        <v>23</v>
      </c>
    </row>
    <row r="14380" spans="1:10" ht="13.2">
      <c r="A14380" s="7">
        <v>14379</v>
      </c>
      <c r="B14380" s="7">
        <v>1</v>
      </c>
      <c r="C14380" s="7" t="s">
        <v>10</v>
      </c>
      <c r="D14380" s="7">
        <v>19137</v>
      </c>
      <c r="E14380" s="7" t="s">
        <v>23</v>
      </c>
      <c r="F14380" s="8" t="str">
        <f ca="1">IFERROR(__xludf.DUMMYFUNCTION("IF
(
C14381=""фізична особа""
,
VLOOKUP(D14381,IMPORTRANGE(""https://docs.google.com/spreadsheets/d/14Bd19lYaqBhU8_DElYkX7l4wRkHqqCUFNJY4AfY3kHU/edit?usp=sharing  #gid=0"",""фіз особи new!relations_name""),6,FALSE)
,
(IF
(
C14381=""юридична особа""
,
VLOO"&amp;"KUP(D14381,IMPORTRANGE(""https://docs.google.com/spreadsheets/d/14Bd19lYaqBhU8_DElYkX7l4wRkHqqCUFNJY4AfY3kHU/edit?usp=sharing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80" s="7" t="s">
        <v>10</v>
      </c>
      <c r="H14380" s="7">
        <v>0</v>
      </c>
      <c r="I14380" s="8" t="str">
        <f ca="1">IFERROR(__xludf.DUMMYFUNCTION("IF
(
G14381=""фізична особа""
,
VLOOKUP(H14381,IMPORTRANGE(""https://docs.google.com/spreadsheets/d/14Bd19lYaqBhU8_DElYkX7l4wRkHqqCUFNJY4AfY3kHU/edit?usp=sharing  #gid=0"",""фіз особи new!relations_name""),6,FALSE)
,
(IF
(
G14381=""юридична особа""
,
VLOO"&amp;"KUP(H14381,IMPORTRANGE(""https://docs.google.com/spreadsheets/d/14Bd19lYaqBhU8_DElYkX7l4wRkHqqCUFNJY4AfY3kHU/edit?usp=sharing  #gid=0"",""фіз особи new!relations_name_uo""),7,FALSE)
,
)
))"),"#N/A")</f>
        <v>#N/A</v>
      </c>
      <c r="J14380" s="7" t="s">
        <v>23</v>
      </c>
    </row>
    <row r="14381" spans="1:10" ht="13.2">
      <c r="A14381" s="7">
        <v>14380</v>
      </c>
      <c r="B14381" s="7">
        <v>1</v>
      </c>
      <c r="C14381" s="7" t="s">
        <v>10</v>
      </c>
      <c r="D14381" s="7">
        <v>19137</v>
      </c>
      <c r="E14381" s="7" t="s">
        <v>23</v>
      </c>
      <c r="F14381" s="8" t="str">
        <f ca="1">IFERROR(__xludf.DUMMYFUNCTION("IF
(
C14382=""фізична особа""
,
VLOOKUP(D14382,IMPORTRANGE(""https://docs.google.com/spreadsheets/d/14Bd19lYaqBhU8_DElYkX7l4wRkHqqCUFNJY4AfY3kHU/edit?usp=sharing  #gid=0"",""фіз особи new!relations_name""),6,FALSE)
,
(IF
(
C14382=""юридична особа""
,
VLOO"&amp;"KUP(D14382,IMPORTRANGE(""https://docs.google.com/spreadsheets/d/14Bd19lYaqBhU8_DElYkX7l4wRkHqqCUFNJY4AfY3kHU/edit?usp=sharing  #gid=0"",""фіз особи new!relations_name_uo""),7,FALSE)
,
)
))"),"АНТОНОВ Роман Петрович")</f>
        <v>АНТОНОВ Роман Петрович</v>
      </c>
      <c r="G14381" s="7" t="s">
        <v>10</v>
      </c>
      <c r="H14381" s="7">
        <v>19135</v>
      </c>
      <c r="I14381" s="8" t="str">
        <f ca="1">IFERROR(__xludf.DUMMYFUNCTION("IF
(
G14382=""фізична особа""
,
VLOOKUP(H14382,IMPORTRANGE(""https://docs.google.com/spreadsheets/d/14Bd19lYaqBhU8_DElYkX7l4wRkHqqCUFNJY4AfY3kHU/edit?usp=sharing  #gid=0"",""фіз особи new!relations_name""),6,FALSE)
,
(IF
(
G14382=""юридична особа""
,
VLOO"&amp;"KUP(H14382,IMPORTRANGE(""https://docs.google.com/spreadsheets/d/14Bd19lYaqBhU8_DElYkX7l4wRkHqqCUFNJY4AfY3kHU/edit?usp=sharing  #gid=0"",""фіз особи new!relations_name_uo""),7,FALSE)
,
)
))"),"РЕЗНІК Владислав Юрійович")</f>
        <v>РЕЗНІК Владислав Юрійович</v>
      </c>
      <c r="J14381" s="7" t="s">
        <v>23</v>
      </c>
    </row>
    <row r="14382" spans="1:10" ht="13.2">
      <c r="A14382" s="7">
        <v>14381</v>
      </c>
      <c r="B14382" s="7">
        <v>1</v>
      </c>
      <c r="C14382" s="7" t="s">
        <v>10</v>
      </c>
      <c r="D14382" s="7">
        <v>19139</v>
      </c>
      <c r="E14382" s="7" t="s">
        <v>23</v>
      </c>
      <c r="F14382" s="8" t="str">
        <f ca="1">IFERROR(__xludf.DUMMYFUNCTION("IF
(
C14383=""фізична особа""
,
VLOOKUP(D14383,IMPORTRANGE(""https://docs.google.com/spreadsheets/d/14Bd19lYaqBhU8_DElYkX7l4wRkHqqCUFNJY4AfY3kHU/edit?usp=sharing  #gid=0"",""фіз особи new!relations_name""),6,FALSE)
,
(IF
(
C14383=""юридична особа""
,
VLOO"&amp;"KUP(D14383,IMPORTRANGE(""https://docs.google.com/spreadsheets/d/14Bd19lYaqBhU8_DElYkX7l4wRkHqqCUFNJY4AfY3kHU/edit?usp=sharing  #gid=0"",""фіз особи new!relations_name_uo""),7,FALSE)
,
)
))"),"ТРУШКІН Олексій Юрійович")</f>
        <v>ТРУШКІН Олексій Юрійович</v>
      </c>
      <c r="G14382" s="7" t="s">
        <v>10</v>
      </c>
      <c r="H14382" s="7">
        <v>19140</v>
      </c>
      <c r="I14382" s="8" t="str">
        <f ca="1">IFERROR(__xludf.DUMMYFUNCTION("IF
(
G14383=""фізична особа""
,
VLOOKUP(H14383,IMPORTRANGE(""https://docs.google.com/spreadsheets/d/14Bd19lYaqBhU8_DElYkX7l4wRkHqqCUFNJY4AfY3kHU/edit?usp=sharing  #gid=0"",""фіз особи new!relations_name""),6,FALSE)
,
(IF
(
G14383=""юридична особа""
,
VLOO"&amp;"KUP(H14383,IMPORTRANGE(""https://docs.google.com/spreadsheets/d/14Bd19lYaqBhU8_DElYkX7l4wRkHqqCUFNJY4AfY3kHU/edit?usp=sharing  #gid=0"",""фіз особи new!relations_name_uo""),7,FALSE)
,
)
))"),"СОБОЛЕВ Євгеній Володимирович")</f>
        <v>СОБОЛЕВ Євгеній Володимирович</v>
      </c>
      <c r="J14382" s="7" t="s">
        <v>23</v>
      </c>
    </row>
    <row r="14383" spans="1:10" ht="13.2">
      <c r="A14383" s="7">
        <v>14382</v>
      </c>
      <c r="B14383" s="7">
        <v>1</v>
      </c>
      <c r="C14383" s="7" t="s">
        <v>10</v>
      </c>
      <c r="D14383" s="7">
        <v>19139</v>
      </c>
      <c r="E14383" s="7" t="s">
        <v>23</v>
      </c>
      <c r="F14383" s="8" t="str">
        <f ca="1">IFERROR(__xludf.DUMMYFUNCTION("IF
(
C14384=""фізична особа""
,
VLOOKUP(D14384,IMPORTRANGE(""https://docs.google.com/spreadsheets/d/14Bd19lYaqBhU8_DElYkX7l4wRkHqqCUFNJY4AfY3kHU/edit?usp=sharing  #gid=0"",""фіз особи new!relations_name""),6,FALSE)
,
(IF
(
C14384=""юридична особа""
,
VLOO"&amp;"KUP(D14384,IMPORTRANGE(""https://docs.google.com/spreadsheets/d/14Bd19lYaqBhU8_DElYkX7l4wRkHqqCUFNJY4AfY3kHU/edit?usp=sharing  #gid=0"",""фіз особи new!relations_name_uo""),7,FALSE)
,
)
))"),"ТРУШКІН Олексій Юрійович")</f>
        <v>ТРУШКІН Олексій Юрійович</v>
      </c>
      <c r="G14383" s="7" t="s">
        <v>10</v>
      </c>
      <c r="H14383" s="7">
        <v>23681</v>
      </c>
      <c r="I14383" s="8" t="str">
        <f ca="1">IFERROR(__xludf.DUMMYFUNCTION("IF
(
G14384=""фізична особа""
,
VLOOKUP(H14384,IMPORTRANGE(""https://docs.google.com/spreadsheets/d/14Bd19lYaqBhU8_DElYkX7l4wRkHqqCUFNJY4AfY3kHU/edit?usp=sharing  #gid=0"",""фіз особи new!relations_name""),6,FALSE)
,
(IF
(
G14384=""юридична особа""
,
VLOO"&amp;"KUP(H14384,IMPORTRANGE(""https://docs.google.com/spreadsheets/d/14Bd19lYaqBhU8_DElYkX7l4wRkHqqCUFNJY4AfY3kHU/edit?usp=sharing  #gid=0"",""фіз особи new!relations_name_uo""),7,FALSE)
,
)
))"),"КАБАНОВА Марія Володимирівна")</f>
        <v>КАБАНОВА Марія Володимирівна</v>
      </c>
      <c r="J14383" s="7" t="s">
        <v>23</v>
      </c>
    </row>
    <row r="14384" spans="1:10" ht="13.2">
      <c r="A14384" s="7">
        <v>14383</v>
      </c>
      <c r="B14384" s="7">
        <v>1</v>
      </c>
      <c r="C14384" s="7" t="s">
        <v>10</v>
      </c>
      <c r="D14384" s="7">
        <v>19139</v>
      </c>
      <c r="E14384" s="7" t="s">
        <v>23</v>
      </c>
      <c r="F14384" s="8" t="str">
        <f ca="1">IFERROR(__xludf.DUMMYFUNCTION("IF
(
C14385=""фізична особа""
,
VLOOKUP(D14385,IMPORTRANGE(""https://docs.google.com/spreadsheets/d/14Bd19lYaqBhU8_DElYkX7l4wRkHqqCUFNJY4AfY3kHU/edit?usp=sharing  #gid=0"",""фіз особи new!relations_name""),6,FALSE)
,
(IF
(
C14385=""юридична особа""
,
VLOO"&amp;"KUP(D14385,IMPORTRANGE(""https://docs.google.com/spreadsheets/d/14Bd19lYaqBhU8_DElYkX7l4wRkHqqCUFNJY4AfY3kHU/edit?usp=sharing  #gid=0"",""фіз особи new!relations_name_uo""),7,FALSE)
,
)
))"),"ТРУШКІН Олексій Юрійович")</f>
        <v>ТРУШКІН Олексій Юрійович</v>
      </c>
      <c r="G14384" s="7" t="s">
        <v>10</v>
      </c>
      <c r="H14384" s="7">
        <v>23682</v>
      </c>
      <c r="I14384" s="8" t="str">
        <f ca="1">IFERROR(__xludf.DUMMYFUNCTION("IF
(
G14385=""фізична особа""
,
VLOOKUP(H14385,IMPORTRANGE(""https://docs.google.com/spreadsheets/d/14Bd19lYaqBhU8_DElYkX7l4wRkHqqCUFNJY4AfY3kHU/edit?usp=sharing  #gid=0"",""фіз особи new!relations_name""),6,FALSE)
,
(IF
(
G14385=""юридична особа""
,
VLOO"&amp;"KUP(H14385,IMPORTRANGE(""https://docs.google.com/spreadsheets/d/14Bd19lYaqBhU8_DElYkX7l4wRkHqqCUFNJY4AfY3kHU/edit?usp=sharing  #gid=0"",""фіз особи new!relations_name_uo""),7,FALSE)
,
)
))"),"ШВЕД Олександр Олександрович")</f>
        <v>ШВЕД Олександр Олександрович</v>
      </c>
      <c r="J14384" s="7" t="s">
        <v>23</v>
      </c>
    </row>
    <row r="14385" spans="1:10" ht="13.2">
      <c r="A14385" s="7">
        <v>14384</v>
      </c>
      <c r="B14385" s="7">
        <v>1</v>
      </c>
      <c r="C14385" s="7" t="s">
        <v>10</v>
      </c>
      <c r="D14385" s="7">
        <v>19139</v>
      </c>
      <c r="E14385" s="7" t="s">
        <v>23</v>
      </c>
      <c r="F14385" s="8" t="str">
        <f ca="1">IFERROR(__xludf.DUMMYFUNCTION("IF
(
C14386=""фізична особа""
,
VLOOKUP(D14386,IMPORTRANGE(""https://docs.google.com/spreadsheets/d/14Bd19lYaqBhU8_DElYkX7l4wRkHqqCUFNJY4AfY3kHU/edit?usp=sharing  #gid=0"",""фіз особи new!relations_name""),6,FALSE)
,
(IF
(
C14386=""юридична особа""
,
VLOO"&amp;"KUP(D14386,IMPORTRANGE(""https://docs.google.com/spreadsheets/d/14Bd19lYaqBhU8_DElYkX7l4wRkHqqCUFNJY4AfY3kHU/edit?usp=sharing  #gid=0"",""фіз особи new!relations_name_uo""),7,FALSE)
,
)
))"),"ТРУШКІН Олексій Юрійович")</f>
        <v>ТРУШКІН Олексій Юрійович</v>
      </c>
      <c r="G14385" s="7" t="s">
        <v>10</v>
      </c>
      <c r="H14385" s="7">
        <v>23683</v>
      </c>
      <c r="I14385" s="8" t="str">
        <f ca="1">IFERROR(__xludf.DUMMYFUNCTION("IF
(
G14386=""фізична особа""
,
VLOOKUP(H14386,IMPORTRANGE(""https://docs.google.com/spreadsheets/d/14Bd19lYaqBhU8_DElYkX7l4wRkHqqCUFNJY4AfY3kHU/edit?usp=sharing  #gid=0"",""фіз особи new!relations_name""),6,FALSE)
,
(IF
(
G14386=""юридична особа""
,
VLOO"&amp;"KUP(H14386,IMPORTRANGE(""https://docs.google.com/spreadsheets/d/14Bd19lYaqBhU8_DElYkX7l4wRkHqqCUFNJY4AfY3kHU/edit?usp=sharing  #gid=0"",""фіз особи new!relations_name_uo""),7,FALSE)
,
)
))"),"КЛУБАЧУК Олександр Олександрович")</f>
        <v>КЛУБАЧУК Олександр Олександрович</v>
      </c>
      <c r="J14385" s="7" t="s">
        <v>23</v>
      </c>
    </row>
    <row r="14386" spans="1:10" ht="13.2">
      <c r="A14386" s="7">
        <v>14385</v>
      </c>
      <c r="B14386" s="7">
        <v>1</v>
      </c>
      <c r="C14386" s="7" t="s">
        <v>10</v>
      </c>
      <c r="D14386" s="7">
        <v>19140</v>
      </c>
      <c r="E14386" s="7" t="s">
        <v>23</v>
      </c>
      <c r="F14386" s="8" t="str">
        <f ca="1">IFERROR(__xludf.DUMMYFUNCTION("IF
(
C14387=""фізична особа""
,
VLOOKUP(D14387,IMPORTRANGE(""https://docs.google.com/spreadsheets/d/14Bd19lYaqBhU8_DElYkX7l4wRkHqqCUFNJY4AfY3kHU/edit?usp=sharing  #gid=0"",""фіз особи new!relations_name""),6,FALSE)
,
(IF
(
C14387=""юридична особа""
,
VLOO"&amp;"KUP(D14387,IMPORTRANGE(""https://docs.google.com/spreadsheets/d/14Bd19lYaqBhU8_DElYkX7l4wRkHqqCUFNJY4AfY3kHU/edit?usp=sharing  #gid=0"",""фіз особи new!relations_name_uo""),7,FALSE)
,
)
))"),"СОБОЛЕВ Євгеній Володимирович")</f>
        <v>СОБОЛЕВ Євгеній Володимирович</v>
      </c>
      <c r="G14386" s="7" t="s">
        <v>10</v>
      </c>
      <c r="H14386" s="7">
        <v>19139</v>
      </c>
      <c r="I14386" s="8" t="str">
        <f ca="1">IFERROR(__xludf.DUMMYFUNCTION("IF
(
G14387=""фізична особа""
,
VLOOKUP(H14387,IMPORTRANGE(""https://docs.google.com/spreadsheets/d/14Bd19lYaqBhU8_DElYkX7l4wRkHqqCUFNJY4AfY3kHU/edit?usp=sharing  #gid=0"",""фіз особи new!relations_name""),6,FALSE)
,
(IF
(
G14387=""юридична особа""
,
VLOO"&amp;"KUP(H14387,IMPORTRANGE(""https://docs.google.com/spreadsheets/d/14Bd19lYaqBhU8_DElYkX7l4wRkHqqCUFNJY4AfY3kHU/edit?usp=sharing  #gid=0"",""фіз особи new!relations_name_uo""),7,FALSE)
,
)
))"),"ТРУШКІН Олексій Юрійович")</f>
        <v>ТРУШКІН Олексій Юрійович</v>
      </c>
      <c r="J14386" s="7" t="s">
        <v>23</v>
      </c>
    </row>
    <row r="14387" spans="1:10" ht="13.2">
      <c r="A14387" s="7">
        <v>14386</v>
      </c>
      <c r="B14387" s="7">
        <v>1</v>
      </c>
      <c r="C14387" s="7" t="s">
        <v>10</v>
      </c>
      <c r="D14387" s="7">
        <v>19140</v>
      </c>
      <c r="E14387" s="7" t="s">
        <v>23</v>
      </c>
      <c r="F14387" s="8" t="str">
        <f ca="1">IFERROR(__xludf.DUMMYFUNCTION("IF
(
C14388=""фізична особа""
,
VLOOKUP(D14388,IMPORTRANGE(""https://docs.google.com/spreadsheets/d/14Bd19lYaqBhU8_DElYkX7l4wRkHqqCUFNJY4AfY3kHU/edit?usp=sharing  #gid=0"",""фіз особи new!relations_name""),6,FALSE)
,
(IF
(
C14388=""юридична особа""
,
VLOO"&amp;"KUP(D14388,IMPORTRANGE(""https://docs.google.com/spreadsheets/d/14Bd19lYaqBhU8_DElYkX7l4wRkHqqCUFNJY4AfY3kHU/edit?usp=sharing  #gid=0"",""фіз особи new!relations_name_uo""),7,FALSE)
,
)
))"),"СОБОЛЕВ Євгеній Володимирович")</f>
        <v>СОБОЛЕВ Євгеній Володимирович</v>
      </c>
      <c r="G14387" s="7" t="s">
        <v>10</v>
      </c>
      <c r="H14387" s="7">
        <v>23681</v>
      </c>
      <c r="I14387" s="8" t="str">
        <f ca="1">IFERROR(__xludf.DUMMYFUNCTION("IF
(
G14388=""фізична особа""
,
VLOOKUP(H14388,IMPORTRANGE(""https://docs.google.com/spreadsheets/d/14Bd19lYaqBhU8_DElYkX7l4wRkHqqCUFNJY4AfY3kHU/edit?usp=sharing  #gid=0"",""фіз особи new!relations_name""),6,FALSE)
,
(IF
(
G14388=""юридична особа""
,
VLOO"&amp;"KUP(H14388,IMPORTRANGE(""https://docs.google.com/spreadsheets/d/14Bd19lYaqBhU8_DElYkX7l4wRkHqqCUFNJY4AfY3kHU/edit?usp=sharing  #gid=0"",""фіз особи new!relations_name_uo""),7,FALSE)
,
)
))"),"КАБАНОВА Марія Володимирівна")</f>
        <v>КАБАНОВА Марія Володимирівна</v>
      </c>
      <c r="J14387" s="7" t="s">
        <v>23</v>
      </c>
    </row>
    <row r="14388" spans="1:10" ht="13.2">
      <c r="A14388" s="7">
        <v>14387</v>
      </c>
      <c r="B14388" s="7">
        <v>1</v>
      </c>
      <c r="C14388" s="7" t="s">
        <v>10</v>
      </c>
      <c r="D14388" s="7">
        <v>19140</v>
      </c>
      <c r="E14388" s="7" t="s">
        <v>23</v>
      </c>
      <c r="F14388" s="8" t="str">
        <f ca="1">IFERROR(__xludf.DUMMYFUNCTION("IF
(
C14389=""фізична особа""
,
VLOOKUP(D14389,IMPORTRANGE(""https://docs.google.com/spreadsheets/d/14Bd19lYaqBhU8_DElYkX7l4wRkHqqCUFNJY4AfY3kHU/edit?usp=sharing  #gid=0"",""фіз особи new!relations_name""),6,FALSE)
,
(IF
(
C14389=""юридична особа""
,
VLOO"&amp;"KUP(D14389,IMPORTRANGE(""https://docs.google.com/spreadsheets/d/14Bd19lYaqBhU8_DElYkX7l4wRkHqqCUFNJY4AfY3kHU/edit?usp=sharing  #gid=0"",""фіз особи new!relations_name_uo""),7,FALSE)
,
)
))"),"СОБОЛЕВ Євгеній Володимирович")</f>
        <v>СОБОЛЕВ Євгеній Володимирович</v>
      </c>
      <c r="G14388" s="7" t="s">
        <v>10</v>
      </c>
      <c r="H14388" s="7">
        <v>23682</v>
      </c>
      <c r="I14388" s="8" t="str">
        <f ca="1">IFERROR(__xludf.DUMMYFUNCTION("IF
(
G14389=""фізична особа""
,
VLOOKUP(H14389,IMPORTRANGE(""https://docs.google.com/spreadsheets/d/14Bd19lYaqBhU8_DElYkX7l4wRkHqqCUFNJY4AfY3kHU/edit?usp=sharing  #gid=0"",""фіз особи new!relations_name""),6,FALSE)
,
(IF
(
G14389=""юридична особа""
,
VLOO"&amp;"KUP(H14389,IMPORTRANGE(""https://docs.google.com/spreadsheets/d/14Bd19lYaqBhU8_DElYkX7l4wRkHqqCUFNJY4AfY3kHU/edit?usp=sharing  #gid=0"",""фіз особи new!relations_name_uo""),7,FALSE)
,
)
))"),"ШВЕД Олександр Олександрович")</f>
        <v>ШВЕД Олександр Олександрович</v>
      </c>
      <c r="J14388" s="7" t="s">
        <v>23</v>
      </c>
    </row>
    <row r="14389" spans="1:10" ht="13.2">
      <c r="A14389" s="7">
        <v>14388</v>
      </c>
      <c r="B14389" s="7">
        <v>1</v>
      </c>
      <c r="C14389" s="7" t="s">
        <v>10</v>
      </c>
      <c r="D14389" s="7">
        <v>19140</v>
      </c>
      <c r="E14389" s="7" t="s">
        <v>23</v>
      </c>
      <c r="F14389" s="8" t="str">
        <f ca="1">IFERROR(__xludf.DUMMYFUNCTION("IF
(
C14390=""фізична особа""
,
VLOOKUP(D14390,IMPORTRANGE(""https://docs.google.com/spreadsheets/d/14Bd19lYaqBhU8_DElYkX7l4wRkHqqCUFNJY4AfY3kHU/edit?usp=sharing  #gid=0"",""фіз особи new!relations_name""),6,FALSE)
,
(IF
(
C14390=""юридична особа""
,
VLOO"&amp;"KUP(D14390,IMPORTRANGE(""https://docs.google.com/spreadsheets/d/14Bd19lYaqBhU8_DElYkX7l4wRkHqqCUFNJY4AfY3kHU/edit?usp=sharing  #gid=0"",""фіз особи new!relations_name_uo""),7,FALSE)
,
)
))"),"СОБОЛЕВ Євгеній Володимирович")</f>
        <v>СОБОЛЕВ Євгеній Володимирович</v>
      </c>
      <c r="G14389" s="7" t="s">
        <v>10</v>
      </c>
      <c r="H14389" s="7">
        <v>23683</v>
      </c>
      <c r="I14389" s="8" t="str">
        <f ca="1">IFERROR(__xludf.DUMMYFUNCTION("IF
(
G14390=""фізична особа""
,
VLOOKUP(H14390,IMPORTRANGE(""https://docs.google.com/spreadsheets/d/14Bd19lYaqBhU8_DElYkX7l4wRkHqqCUFNJY4AfY3kHU/edit?usp=sharing  #gid=0"",""фіз особи new!relations_name""),6,FALSE)
,
(IF
(
G14390=""юридична особа""
,
VLOO"&amp;"KUP(H14390,IMPORTRANGE(""https://docs.google.com/spreadsheets/d/14Bd19lYaqBhU8_DElYkX7l4wRkHqqCUFNJY4AfY3kHU/edit?usp=sharing  #gid=0"",""фіз особи new!relations_name_uo""),7,FALSE)
,
)
))"),"КЛУБАЧУК Олександр Олександрович")</f>
        <v>КЛУБАЧУК Олександр Олександрович</v>
      </c>
      <c r="J14389" s="7" t="s">
        <v>23</v>
      </c>
    </row>
    <row r="14390" spans="1:10" ht="13.2">
      <c r="A14390" s="7">
        <v>14389</v>
      </c>
      <c r="B14390" s="7">
        <v>1</v>
      </c>
      <c r="C14390" s="7" t="s">
        <v>10</v>
      </c>
      <c r="D14390" s="7">
        <v>19141</v>
      </c>
      <c r="E14390" s="7" t="s">
        <v>23</v>
      </c>
      <c r="F14390" s="8" t="str">
        <f ca="1">IFERROR(__xludf.DUMMYFUNCTION("IF
(
C14391=""фізична особа""
,
VLOOKUP(D14391,IMPORTRANGE(""https://docs.google.com/spreadsheets/d/14Bd19lYaqBhU8_DElYkX7l4wRkHqqCUFNJY4AfY3kHU/edit?usp=sharing  #gid=0"",""фіз особи new!relations_name""),6,FALSE)
,
(IF
(
C14391=""юридична особа""
,
VLOO"&amp;"KUP(D14391,IMPORTRANGE(""https://docs.google.com/spreadsheets/d/14Bd19lYaqBhU8_DElYkX7l4wRkHqqCUFNJY4AfY3kHU/edit?usp=sharing  #gid=0"",""фіз особи new!relations_name_uo""),7,FALSE)
,
)
))"),"НАУМОВА Марина Володимирівна")</f>
        <v>НАУМОВА Марина Володимирівна</v>
      </c>
      <c r="G14390" s="7" t="s">
        <v>10</v>
      </c>
      <c r="H14390" s="7">
        <v>19142</v>
      </c>
      <c r="I14390" s="8" t="str">
        <f ca="1">IFERROR(__xludf.DUMMYFUNCTION("IF
(
G14391=""фізична особа""
,
VLOOKUP(H14391,IMPORTRANGE(""https://docs.google.com/spreadsheets/d/14Bd19lYaqBhU8_DElYkX7l4wRkHqqCUFNJY4AfY3kHU/edit?usp=sharing  #gid=0"",""фіз особи new!relations_name""),6,FALSE)
,
(IF
(
G14391=""юридична особа""
,
VLOO"&amp;"KUP(H14391,IMPORTRANGE(""https://docs.google.com/spreadsheets/d/14Bd19lYaqBhU8_DElYkX7l4wRkHqqCUFNJY4AfY3kHU/edit?usp=sharing  #gid=0"",""фіз особи new!relations_name_uo""),7,FALSE)
,
)
))"),"ЦОРІЄВ Тимур Сулейманович")</f>
        <v>ЦОРІЄВ Тимур Сулейманович</v>
      </c>
      <c r="J14390" s="7" t="s">
        <v>23</v>
      </c>
    </row>
    <row r="14391" spans="1:10" ht="13.2">
      <c r="A14391" s="7">
        <v>14390</v>
      </c>
      <c r="B14391" s="7">
        <v>1</v>
      </c>
      <c r="C14391" s="7" t="s">
        <v>10</v>
      </c>
      <c r="D14391" s="7">
        <v>19142</v>
      </c>
      <c r="E14391" s="7" t="s">
        <v>23</v>
      </c>
      <c r="F14391" s="8" t="str">
        <f ca="1">IFERROR(__xludf.DUMMYFUNCTION("IF
(
C14392=""фізична особа""
,
VLOOKUP(D14392,IMPORTRANGE(""https://docs.google.com/spreadsheets/d/14Bd19lYaqBhU8_DElYkX7l4wRkHqqCUFNJY4AfY3kHU/edit?usp=sharing  #gid=0"",""фіз особи new!relations_name""),6,FALSE)
,
(IF
(
C14392=""юридична особа""
,
VLOO"&amp;"KUP(D14392,IMPORTRANGE(""https://docs.google.com/spreadsheets/d/14Bd19lYaqBhU8_DElYkX7l4wRkHqqCUFNJY4AfY3kHU/edit?usp=sharing  #gid=0"",""фіз особи new!relations_name_uo""),7,FALSE)
,
)
))"),"ЦОРІЄВ Тимур Сулейманович")</f>
        <v>ЦОРІЄВ Тимур Сулейманович</v>
      </c>
      <c r="G14391" s="7" t="s">
        <v>10</v>
      </c>
      <c r="H14391" s="7">
        <v>19141</v>
      </c>
      <c r="I14391" s="8" t="str">
        <f ca="1">IFERROR(__xludf.DUMMYFUNCTION("IF
(
G14392=""фізична особа""
,
VLOOKUP(H14392,IMPORTRANGE(""https://docs.google.com/spreadsheets/d/14Bd19lYaqBhU8_DElYkX7l4wRkHqqCUFNJY4AfY3kHU/edit?usp=sharing  #gid=0"",""фіз особи new!relations_name""),6,FALSE)
,
(IF
(
G14392=""юридична особа""
,
VLOO"&amp;"KUP(H14392,IMPORTRANGE(""https://docs.google.com/spreadsheets/d/14Bd19lYaqBhU8_DElYkX7l4wRkHqqCUFNJY4AfY3kHU/edit?usp=sharing  #gid=0"",""фіз особи new!relations_name_uo""),7,FALSE)
,
)
))"),"НАУМОВА Марина Володимирівна")</f>
        <v>НАУМОВА Марина Володимирівна</v>
      </c>
      <c r="J14391" s="7" t="s">
        <v>23</v>
      </c>
    </row>
    <row r="14392" spans="1:10" ht="13.2">
      <c r="A14392" s="7">
        <v>14391</v>
      </c>
      <c r="B14392" s="7">
        <v>1</v>
      </c>
      <c r="C14392" s="7" t="s">
        <v>10</v>
      </c>
      <c r="D14392" s="7">
        <v>19330</v>
      </c>
      <c r="E14392" s="7" t="s">
        <v>28</v>
      </c>
      <c r="F14392" s="8" t="str">
        <f ca="1">IFERROR(__xludf.DUMMYFUNCTION("IF
(
C14393=""фізична особа""
,
VLOOKUP(D14393,IMPORTRANGE(""https://docs.google.com/spreadsheets/d/14Bd19lYaqBhU8_DElYkX7l4wRkHqqCUFNJY4AfY3kHU/edit?usp=sharing  #gid=0"",""фіз особи new!relations_name""),6,FALSE)
,
(IF
(
C14393=""юридична особа""
,
VLOO"&amp;"KUP(D14393,IMPORTRANGE(""https://docs.google.com/spreadsheets/d/14Bd19lYaqBhU8_DElYkX7l4wRkHqqCUFNJY4AfY3kHU/edit?usp=sharing  #gid=0"",""фіз особи new!relations_name_uo""),7,FALSE)
,
)
))"),"ЛЕВІНСОН Денис Ромович")</f>
        <v>ЛЕВІНСОН Денис Ромович</v>
      </c>
      <c r="G14392" s="7" t="s">
        <v>10</v>
      </c>
      <c r="H14392" s="7">
        <v>13003</v>
      </c>
      <c r="I14392" s="8" t="str">
        <f ca="1">IFERROR(__xludf.DUMMYFUNCTION("IF
(
G14393=""фізична особа""
,
VLOOKUP(H14393,IMPORTRANGE(""https://docs.google.com/spreadsheets/d/14Bd19lYaqBhU8_DElYkX7l4wRkHqqCUFNJY4AfY3kHU/edit?usp=sharing  #gid=0"",""фіз особи new!relations_name""),6,FALSE)
,
(IF
(
G14393=""юридична особа""
,
VLOO"&amp;"KUP(H14393,IMPORTRANGE(""https://docs.google.com/spreadsheets/d/14Bd19lYaqBhU8_DElYkX7l4wRkHqqCUFNJY4AfY3kHU/edit?usp=sharing  #gid=0"",""фіз особи new!relations_name_uo""),7,FALSE)
,
)
))"),"ХАЙРОВ Рінат Шамільйович")</f>
        <v>ХАЙРОВ Рінат Шамільйович</v>
      </c>
      <c r="J14392" s="7" t="s">
        <v>29</v>
      </c>
    </row>
    <row r="14393" spans="1:10" ht="13.2">
      <c r="A14393" s="7">
        <v>14392</v>
      </c>
      <c r="B14393" s="7">
        <v>1</v>
      </c>
      <c r="C14393" s="7" t="s">
        <v>10</v>
      </c>
      <c r="D14393" s="7">
        <v>19346</v>
      </c>
      <c r="E14393" s="7" t="s">
        <v>23</v>
      </c>
      <c r="F14393" s="8" t="str">
        <f ca="1">IFERROR(__xludf.DUMMYFUNCTION("IF
(
C14394=""фізична особа""
,
VLOOKUP(D14394,IMPORTRANGE(""https://docs.google.com/spreadsheets/d/14Bd19lYaqBhU8_DElYkX7l4wRkHqqCUFNJY4AfY3kHU/edit?usp=sharing  #gid=0"",""фіз особи new!relations_name""),6,FALSE)
,
(IF
(
C14394=""юридична особа""
,
VLOO"&amp;"KUP(D14394,IMPORTRANGE(""https://docs.google.com/spreadsheets/d/14Bd19lYaqBhU8_DElYkX7l4wRkHqqCUFNJY4AfY3kHU/edit?usp=sharing  #gid=0"",""фіз особи new!relations_name_uo""),7,FALSE)
,
)
))"),"АЛІЄВ Набі Етібар огли")</f>
        <v>АЛІЄВ Набі Етібар огли</v>
      </c>
      <c r="G14393" s="7" t="s">
        <v>10</v>
      </c>
      <c r="H14393" s="7">
        <v>19350</v>
      </c>
      <c r="I14393" s="8" t="str">
        <f ca="1">IFERROR(__xludf.DUMMYFUNCTION("IF
(
G14394=""фізична особа""
,
VLOOKUP(H14394,IMPORTRANGE(""https://docs.google.com/spreadsheets/d/14Bd19lYaqBhU8_DElYkX7l4wRkHqqCUFNJY4AfY3kHU/edit?usp=sharing  #gid=0"",""фіз особи new!relations_name""),6,FALSE)
,
(IF
(
G14394=""юридична особа""
,
VLOO"&amp;"KUP(H14394,IMPORTRANGE(""https://docs.google.com/spreadsheets/d/14Bd19lYaqBhU8_DElYkX7l4wRkHqqCUFNJY4AfY3kHU/edit?usp=sharing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393" s="7" t="s">
        <v>23</v>
      </c>
    </row>
    <row r="14394" spans="1:10" ht="13.2">
      <c r="A14394" s="7">
        <v>14393</v>
      </c>
      <c r="B14394" s="7">
        <v>1</v>
      </c>
      <c r="C14394" s="7" t="s">
        <v>10</v>
      </c>
      <c r="D14394" s="7">
        <v>19346</v>
      </c>
      <c r="E14394" s="7" t="s">
        <v>23</v>
      </c>
      <c r="F14394" s="8" t="str">
        <f ca="1">IFERROR(__xludf.DUMMYFUNCTION("IF
(
C14395=""фізична особа""
,
VLOOKUP(D14395,IMPORTRANGE(""https://docs.google.com/spreadsheets/d/14Bd19lYaqBhU8_DElYkX7l4wRkHqqCUFNJY4AfY3kHU/edit?usp=sharing  #gid=0"",""фіз особи new!relations_name""),6,FALSE)
,
(IF
(
C14395=""юридична особа""
,
VLOO"&amp;"KUP(D14395,IMPORTRANGE(""https://docs.google.com/spreadsheets/d/14Bd19lYaqBhU8_DElYkX7l4wRkHqqCUFNJY4AfY3kHU/edit?usp=sharing  #gid=0"",""фіз особи new!relations_name_uo""),7,FALSE)
,
)
))"),"АЛІЄВ Набі Етібар огли")</f>
        <v>АЛІЄВ Набі Етібар огли</v>
      </c>
      <c r="G14394" s="7" t="s">
        <v>10</v>
      </c>
      <c r="H14394" s="7">
        <v>23684</v>
      </c>
      <c r="I14394" s="8" t="str">
        <f ca="1">IFERROR(__xludf.DUMMYFUNCTION("IF
(
G14395=""фізична особа""
,
VLOOKUP(H14395,IMPORTRANGE(""https://docs.google.com/spreadsheets/d/14Bd19lYaqBhU8_DElYkX7l4wRkHqqCUFNJY4AfY3kHU/edit?usp=sharing  #gid=0"",""фіз особи new!relations_name""),6,FALSE)
,
(IF
(
G14395=""юридична особа""
,
VLOO"&amp;"KUP(H14395,IMPORTRANGE(""https://docs.google.com/spreadsheets/d/14Bd19lYaqBhU8_DElYkX7l4wRkHqqCUFNJY4AfY3kHU/edit?usp=sharing  #gid=0"",""фіз особи new!relations_name_uo""),7,FALSE)
,
)
))"),"ІБРАГІМОВ Аббас")</f>
        <v>ІБРАГІМОВ Аббас</v>
      </c>
      <c r="J14394" s="7" t="s">
        <v>23</v>
      </c>
    </row>
    <row r="14395" spans="1:10" ht="13.2">
      <c r="A14395" s="7">
        <v>14394</v>
      </c>
      <c r="B14395" s="7">
        <v>1</v>
      </c>
      <c r="C14395" s="7" t="s">
        <v>10</v>
      </c>
      <c r="D14395" s="7">
        <v>19347</v>
      </c>
      <c r="E14395" s="7" t="s">
        <v>23</v>
      </c>
      <c r="F14395" s="8" t="str">
        <f ca="1">IFERROR(__xludf.DUMMYFUNCTION("IF
(
C14396=""фізична особа""
,
VLOOKUP(D14396,IMPORTRANGE(""https://docs.google.com/spreadsheets/d/14Bd19lYaqBhU8_DElYkX7l4wRkHqqCUFNJY4AfY3kHU/edit?usp=sharing  #gid=0"",""фіз особи new!relations_name""),6,FALSE)
,
(IF
(
C14396=""юридична особа""
,
VLOO"&amp;"KUP(D14396,IMPORTRANGE(""https://docs.google.com/spreadsheets/d/14Bd19lYaqBhU8_DElYkX7l4wRkHqqCUFNJY4AfY3kHU/edit?usp=sharing  #gid=0"",""фіз особи new!relations_name_uo""),7,FALSE)
,
)
))"),"АМІРОВ Агшин Закарай огли")</f>
        <v>АМІРОВ Агшин Закарай огли</v>
      </c>
      <c r="G14395" s="7" t="s">
        <v>10</v>
      </c>
      <c r="H14395" s="7">
        <v>19350</v>
      </c>
      <c r="I14395" s="8" t="str">
        <f ca="1">IFERROR(__xludf.DUMMYFUNCTION("IF
(
G14396=""фізична особа""
,
VLOOKUP(H14396,IMPORTRANGE(""https://docs.google.com/spreadsheets/d/14Bd19lYaqBhU8_DElYkX7l4wRkHqqCUFNJY4AfY3kHU/edit?usp=sharing  #gid=0"",""фіз особи new!relations_name""),6,FALSE)
,
(IF
(
G14396=""юридична особа""
,
VLOO"&amp;"KUP(H14396,IMPORTRANGE(""https://docs.google.com/spreadsheets/d/14Bd19lYaqBhU8_DElYkX7l4wRkHqqCUFNJY4AfY3kHU/edit?usp=sharing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395" s="7" t="s">
        <v>23</v>
      </c>
    </row>
    <row r="14396" spans="1:10" ht="13.2">
      <c r="A14396" s="7">
        <v>14395</v>
      </c>
      <c r="B14396" s="7">
        <v>1</v>
      </c>
      <c r="C14396" s="7" t="s">
        <v>10</v>
      </c>
      <c r="D14396" s="7">
        <v>19347</v>
      </c>
      <c r="E14396" s="7" t="s">
        <v>23</v>
      </c>
      <c r="F14396" s="8" t="str">
        <f ca="1">IFERROR(__xludf.DUMMYFUNCTION("IF
(
C14397=""фізична особа""
,
VLOOKUP(D14397,IMPORTRANGE(""https://docs.google.com/spreadsheets/d/14Bd19lYaqBhU8_DElYkX7l4wRkHqqCUFNJY4AfY3kHU/edit?usp=sharing  #gid=0"",""фіз особи new!relations_name""),6,FALSE)
,
(IF
(
C14397=""юридична особа""
,
VLOO"&amp;"KUP(D14397,IMPORTRANGE(""https://docs.google.com/spreadsheets/d/14Bd19lYaqBhU8_DElYkX7l4wRkHqqCUFNJY4AfY3kHU/edit?usp=sharing  #gid=0"",""фіз особи new!relations_name_uo""),7,FALSE)
,
)
))"),"АМІРОВ Агшин Закарай огли")</f>
        <v>АМІРОВ Агшин Закарай огли</v>
      </c>
      <c r="G14396" s="7" t="s">
        <v>10</v>
      </c>
      <c r="H14396" s="7">
        <v>23684</v>
      </c>
      <c r="I14396" s="8" t="str">
        <f ca="1">IFERROR(__xludf.DUMMYFUNCTION("IF
(
G14397=""фізична особа""
,
VLOOKUP(H14397,IMPORTRANGE(""https://docs.google.com/spreadsheets/d/14Bd19lYaqBhU8_DElYkX7l4wRkHqqCUFNJY4AfY3kHU/edit?usp=sharing  #gid=0"",""фіз особи new!relations_name""),6,FALSE)
,
(IF
(
G14397=""юридична особа""
,
VLOO"&amp;"KUP(H14397,IMPORTRANGE(""https://docs.google.com/spreadsheets/d/14Bd19lYaqBhU8_DElYkX7l4wRkHqqCUFNJY4AfY3kHU/edit?usp=sharing  #gid=0"",""фіз особи new!relations_name_uo""),7,FALSE)
,
)
))"),"ІБРАГІМОВ Аббас")</f>
        <v>ІБРАГІМОВ Аббас</v>
      </c>
      <c r="J14396" s="7" t="s">
        <v>23</v>
      </c>
    </row>
    <row r="14397" spans="1:10" ht="13.2">
      <c r="A14397" s="7">
        <v>14396</v>
      </c>
      <c r="B14397" s="7">
        <v>1</v>
      </c>
      <c r="C14397" s="7" t="s">
        <v>10</v>
      </c>
      <c r="D14397" s="7">
        <v>19347</v>
      </c>
      <c r="E14397" s="7" t="s">
        <v>23</v>
      </c>
      <c r="F14397" s="8" t="str">
        <f ca="1">IFERROR(__xludf.DUMMYFUNCTION("IF
(
C14398=""фізична особа""
,
VLOOKUP(D14398,IMPORTRANGE(""https://docs.google.com/spreadsheets/d/14Bd19lYaqBhU8_DElYkX7l4wRkHqqCUFNJY4AfY3kHU/edit?usp=sharing  #gid=0"",""фіз особи new!relations_name""),6,FALSE)
,
(IF
(
C14398=""юридична особа""
,
VLOO"&amp;"KUP(D14398,IMPORTRANGE(""https://docs.google.com/spreadsheets/d/14Bd19lYaqBhU8_DElYkX7l4wRkHqqCUFNJY4AfY3kHU/edit?usp=sharing  #gid=0"",""фіз особи new!relations_name_uo""),7,FALSE)
,
)
))"),"АМІРОВ Агшин Закарай огли")</f>
        <v>АМІРОВ Агшин Закарай огли</v>
      </c>
      <c r="G14397" s="7" t="s">
        <v>10</v>
      </c>
      <c r="H14397" s="7">
        <v>19346</v>
      </c>
      <c r="I14397" s="8" t="str">
        <f ca="1">IFERROR(__xludf.DUMMYFUNCTION("IF
(
G14398=""фізична особа""
,
VLOOKUP(H14398,IMPORTRANGE(""https://docs.google.com/spreadsheets/d/14Bd19lYaqBhU8_DElYkX7l4wRkHqqCUFNJY4AfY3kHU/edit?usp=sharing  #gid=0"",""фіз особи new!relations_name""),6,FALSE)
,
(IF
(
G14398=""юридична особа""
,
VLOO"&amp;"KUP(H14398,IMPORTRANGE(""https://docs.google.com/spreadsheets/d/14Bd19lYaqBhU8_DElYkX7l4wRkHqqCUFNJY4AfY3kHU/edit?usp=sharing  #gid=0"",""фіз особи new!relations_name_uo""),7,FALSE)
,
)
))"),"АЛІЄВ Набі Етібар огли")</f>
        <v>АЛІЄВ Набі Етібар огли</v>
      </c>
      <c r="J14397" s="7" t="s">
        <v>23</v>
      </c>
    </row>
    <row r="14398" spans="1:10" ht="13.2">
      <c r="A14398" s="7">
        <v>14397</v>
      </c>
      <c r="B14398" s="7">
        <v>1</v>
      </c>
      <c r="C14398" s="7" t="s">
        <v>10</v>
      </c>
      <c r="D14398" s="7">
        <v>19348</v>
      </c>
      <c r="E14398" s="7" t="s">
        <v>23</v>
      </c>
      <c r="F14398" s="8" t="str">
        <f ca="1">IFERROR(__xludf.DUMMYFUNCTION("IF
(
C14399=""фізична особа""
,
VLOOKUP(D14399,IMPORTRANGE(""https://docs.google.com/spreadsheets/d/14Bd19lYaqBhU8_DElYkX7l4wRkHqqCUFNJY4AfY3kHU/edit?usp=sharing  #gid=0"",""фіз особи new!relations_name""),6,FALSE)
,
(IF
(
C14399=""юридична особа""
,
VLOO"&amp;"KUP(D14399,IMPORTRANGE(""https://docs.google.com/spreadsheets/d/14Bd19lYaqBhU8_DElYkX7l4wRkHqqCUFNJY4AfY3kHU/edit?usp=sharing  #gid=0"",""фіз особи new!relations_name_uo""),7,FALSE)
,
)
))"),"АХМЕДОВ Васіф Ельдар огли")</f>
        <v>АХМЕДОВ Васіф Ельдар огли</v>
      </c>
      <c r="G14398" s="7" t="s">
        <v>10</v>
      </c>
      <c r="H14398" s="7">
        <v>19350</v>
      </c>
      <c r="I14398" s="8" t="str">
        <f ca="1">IFERROR(__xludf.DUMMYFUNCTION("IF
(
G14399=""фізична особа""
,
VLOOKUP(H14399,IMPORTRANGE(""https://docs.google.com/spreadsheets/d/14Bd19lYaqBhU8_DElYkX7l4wRkHqqCUFNJY4AfY3kHU/edit?usp=sharing  #gid=0"",""фіз особи new!relations_name""),6,FALSE)
,
(IF
(
G14399=""юридична особа""
,
VLOO"&amp;"KUP(H14399,IMPORTRANGE(""https://docs.google.com/spreadsheets/d/14Bd19lYaqBhU8_DElYkX7l4wRkHqqCUFNJY4AfY3kHU/edit?usp=sharing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398" s="7" t="s">
        <v>23</v>
      </c>
    </row>
    <row r="14399" spans="1:10" ht="13.2">
      <c r="A14399" s="7">
        <v>14398</v>
      </c>
      <c r="B14399" s="7">
        <v>1</v>
      </c>
      <c r="C14399" s="7" t="s">
        <v>10</v>
      </c>
      <c r="D14399" s="7">
        <v>19348</v>
      </c>
      <c r="E14399" s="7" t="s">
        <v>23</v>
      </c>
      <c r="F14399" s="8" t="str">
        <f ca="1">IFERROR(__xludf.DUMMYFUNCTION("IF
(
C14400=""фізична особа""
,
VLOOKUP(D14400,IMPORTRANGE(""https://docs.google.com/spreadsheets/d/14Bd19lYaqBhU8_DElYkX7l4wRkHqqCUFNJY4AfY3kHU/edit?usp=sharing  #gid=0"",""фіз особи new!relations_name""),6,FALSE)
,
(IF
(
C14400=""юридична особа""
,
VLOO"&amp;"KUP(D14400,IMPORTRANGE(""https://docs.google.com/spreadsheets/d/14Bd19lYaqBhU8_DElYkX7l4wRkHqqCUFNJY4AfY3kHU/edit?usp=sharing  #gid=0"",""фіз особи new!relations_name_uo""),7,FALSE)
,
)
))"),"АХМЕДОВ Васіф Ельдар огли")</f>
        <v>АХМЕДОВ Васіф Ельдар огли</v>
      </c>
      <c r="G14399" s="7" t="s">
        <v>10</v>
      </c>
      <c r="H14399" s="7">
        <v>23684</v>
      </c>
      <c r="I14399" s="8" t="str">
        <f ca="1">IFERROR(__xludf.DUMMYFUNCTION("IF
(
G14400=""фізична особа""
,
VLOOKUP(H14400,IMPORTRANGE(""https://docs.google.com/spreadsheets/d/14Bd19lYaqBhU8_DElYkX7l4wRkHqqCUFNJY4AfY3kHU/edit?usp=sharing  #gid=0"",""фіз особи new!relations_name""),6,FALSE)
,
(IF
(
G14400=""юридична особа""
,
VLOO"&amp;"KUP(H14400,IMPORTRANGE(""https://docs.google.com/spreadsheets/d/14Bd19lYaqBhU8_DElYkX7l4wRkHqqCUFNJY4AfY3kHU/edit?usp=sharing  #gid=0"",""фіз особи new!relations_name_uo""),7,FALSE)
,
)
))"),"ІБРАГІМОВ Аббас")</f>
        <v>ІБРАГІМОВ Аббас</v>
      </c>
      <c r="J14399" s="7" t="s">
        <v>23</v>
      </c>
    </row>
    <row r="14400" spans="1:10" ht="13.2">
      <c r="A14400" s="7">
        <v>14399</v>
      </c>
      <c r="B14400" s="7">
        <v>1</v>
      </c>
      <c r="C14400" s="7" t="s">
        <v>10</v>
      </c>
      <c r="D14400" s="7">
        <v>19348</v>
      </c>
      <c r="E14400" s="7" t="s">
        <v>23</v>
      </c>
      <c r="F14400" s="8" t="str">
        <f ca="1">IFERROR(__xludf.DUMMYFUNCTION("IF
(
C14401=""фізична особа""
,
VLOOKUP(D14401,IMPORTRANGE(""https://docs.google.com/spreadsheets/d/14Bd19lYaqBhU8_DElYkX7l4wRkHqqCUFNJY4AfY3kHU/edit?usp=sharing  #gid=0"",""фіз особи new!relations_name""),6,FALSE)
,
(IF
(
C14401=""юридична особа""
,
VLOO"&amp;"KUP(D14401,IMPORTRANGE(""https://docs.google.com/spreadsheets/d/14Bd19lYaqBhU8_DElYkX7l4wRkHqqCUFNJY4AfY3kHU/edit?usp=sharing  #gid=0"",""фіз особи new!relations_name_uo""),7,FALSE)
,
)
))"),"АХМЕДОВ Васіф Ельдар огли")</f>
        <v>АХМЕДОВ Васіф Ельдар огли</v>
      </c>
      <c r="G14400" s="7" t="s">
        <v>10</v>
      </c>
      <c r="H14400" s="7">
        <v>19346</v>
      </c>
      <c r="I14400" s="8" t="str">
        <f ca="1">IFERROR(__xludf.DUMMYFUNCTION("IF
(
G14401=""фізична особа""
,
VLOOKUP(H14401,IMPORTRANGE(""https://docs.google.com/spreadsheets/d/14Bd19lYaqBhU8_DElYkX7l4wRkHqqCUFNJY4AfY3kHU/edit?usp=sharing  #gid=0"",""фіз особи new!relations_name""),6,FALSE)
,
(IF
(
G14401=""юридична особа""
,
VLOO"&amp;"KUP(H14401,IMPORTRANGE(""https://docs.google.com/spreadsheets/d/14Bd19lYaqBhU8_DElYkX7l4wRkHqqCUFNJY4AfY3kHU/edit?usp=sharing  #gid=0"",""фіз особи new!relations_name_uo""),7,FALSE)
,
)
))"),"АЛІЄВ Набі Етібар огли")</f>
        <v>АЛІЄВ Набі Етібар огли</v>
      </c>
      <c r="J14400" s="7" t="s">
        <v>23</v>
      </c>
    </row>
    <row r="14401" spans="1:10" ht="13.2">
      <c r="A14401" s="7">
        <v>14400</v>
      </c>
      <c r="B14401" s="7">
        <v>1</v>
      </c>
      <c r="C14401" s="7" t="s">
        <v>10</v>
      </c>
      <c r="D14401" s="7">
        <v>19349</v>
      </c>
      <c r="E14401" s="7" t="s">
        <v>23</v>
      </c>
      <c r="F14401" s="8" t="str">
        <f ca="1">IFERROR(__xludf.DUMMYFUNCTION("IF
(
C14402=""фізична особа""
,
VLOOKUP(D14402,IMPORTRANGE(""https://docs.google.com/spreadsheets/d/14Bd19lYaqBhU8_DElYkX7l4wRkHqqCUFNJY4AfY3kHU/edit?usp=sharing  #gid=0"",""фіз особи new!relations_name""),6,FALSE)
,
(IF
(
C14402=""юридична особа""
,
VLOO"&amp;"KUP(D14402,IMPORTRANGE(""https://docs.google.com/spreadsheets/d/14Bd19lYaqBhU8_DElYkX7l4wRkHqqCUFNJY4AfY3kHU/edit?usp=sharing  #gid=0"",""фіз особи new!relations_name_uo""),7,FALSE)
,
)
))"),"АЛІМАРДАНОВ Руфат Рагім огли")</f>
        <v>АЛІМАРДАНОВ Руфат Рагім огли</v>
      </c>
      <c r="G14401" s="7" t="s">
        <v>10</v>
      </c>
      <c r="H14401" s="7">
        <v>19350</v>
      </c>
      <c r="I14401" s="8" t="str">
        <f ca="1">IFERROR(__xludf.DUMMYFUNCTION("IF
(
G14402=""фізична особа""
,
VLOOKUP(H14402,IMPORTRANGE(""https://docs.google.com/spreadsheets/d/14Bd19lYaqBhU8_DElYkX7l4wRkHqqCUFNJY4AfY3kHU/edit?usp=sharing  #gid=0"",""фіз особи new!relations_name""),6,FALSE)
,
(IF
(
G14402=""юридична особа""
,
VLOO"&amp;"KUP(H14402,IMPORTRANGE(""https://docs.google.com/spreadsheets/d/14Bd19lYaqBhU8_DElYkX7l4wRkHqqCUFNJY4AfY3kHU/edit?usp=sharing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401" s="7" t="s">
        <v>23</v>
      </c>
    </row>
    <row r="14402" spans="1:10" ht="13.2">
      <c r="A14402" s="7">
        <v>14401</v>
      </c>
      <c r="B14402" s="7">
        <v>1</v>
      </c>
      <c r="C14402" s="7" t="s">
        <v>10</v>
      </c>
      <c r="D14402" s="7">
        <v>19349</v>
      </c>
      <c r="E14402" s="7" t="s">
        <v>23</v>
      </c>
      <c r="F14402" s="8" t="str">
        <f ca="1">IFERROR(__xludf.DUMMYFUNCTION("IF
(
C14403=""фізична особа""
,
VLOOKUP(D14403,IMPORTRANGE(""https://docs.google.com/spreadsheets/d/14Bd19lYaqBhU8_DElYkX7l4wRkHqqCUFNJY4AfY3kHU/edit?usp=sharing  #gid=0"",""фіз особи new!relations_name""),6,FALSE)
,
(IF
(
C14403=""юридична особа""
,
VLOO"&amp;"KUP(D14403,IMPORTRANGE(""https://docs.google.com/spreadsheets/d/14Bd19lYaqBhU8_DElYkX7l4wRkHqqCUFNJY4AfY3kHU/edit?usp=sharing  #gid=0"",""фіз особи new!relations_name_uo""),7,FALSE)
,
)
))"),"АЛІМАРДАНОВ Руфат Рагім огли")</f>
        <v>АЛІМАРДАНОВ Руфат Рагім огли</v>
      </c>
      <c r="G14402" s="7" t="s">
        <v>10</v>
      </c>
      <c r="H14402" s="7">
        <v>19346</v>
      </c>
      <c r="I14402" s="8" t="str">
        <f ca="1">IFERROR(__xludf.DUMMYFUNCTION("IF
(
G14403=""фізична особа""
,
VLOOKUP(H14403,IMPORTRANGE(""https://docs.google.com/spreadsheets/d/14Bd19lYaqBhU8_DElYkX7l4wRkHqqCUFNJY4AfY3kHU/edit?usp=sharing  #gid=0"",""фіз особи new!relations_name""),6,FALSE)
,
(IF
(
G14403=""юридична особа""
,
VLOO"&amp;"KUP(H14403,IMPORTRANGE(""https://docs.google.com/spreadsheets/d/14Bd19lYaqBhU8_DElYkX7l4wRkHqqCUFNJY4AfY3kHU/edit?usp=sharing  #gid=0"",""фіз особи new!relations_name_uo""),7,FALSE)
,
)
))"),"АЛІЄВ Набі Етібар огли")</f>
        <v>АЛІЄВ Набі Етібар огли</v>
      </c>
      <c r="J14402" s="7" t="s">
        <v>23</v>
      </c>
    </row>
    <row r="14403" spans="1:10" ht="13.2">
      <c r="A14403" s="7">
        <v>14402</v>
      </c>
      <c r="B14403" s="7">
        <v>1</v>
      </c>
      <c r="C14403" s="7" t="s">
        <v>10</v>
      </c>
      <c r="D14403" s="7">
        <v>19350</v>
      </c>
      <c r="E14403" s="7" t="s">
        <v>23</v>
      </c>
      <c r="F14403" s="8" t="str">
        <f ca="1">IFERROR(__xludf.DUMMYFUNCTION("IF
(
C14404=""фізична особа""
,
VLOOKUP(D14404,IMPORTRANGE(""https://docs.google.com/spreadsheets/d/14Bd19lYaqBhU8_DElYkX7l4wRkHqqCUFNJY4AfY3kHU/edit?usp=sharing  #gid=0"",""фіз особи new!relations_name""),6,FALSE)
,
(IF
(
C14404=""юридична особа""
,
VLOO"&amp;"KUP(D14404,IMPORTRANGE(""https://docs.google.com/spreadsheets/d/14Bd19lYaqBhU8_DElYkX7l4wRkHqqCUFNJY4AfY3kHU/edit?usp=sharing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G14403" s="7" t="s">
        <v>10</v>
      </c>
      <c r="H14403" s="7">
        <v>0</v>
      </c>
      <c r="I14403" s="8" t="str">
        <f ca="1">IFERROR(__xludf.DUMMYFUNCTION("IF
(
G14404=""фізична особа""
,
VLOOKUP(H14404,IMPORTRANGE(""https://docs.google.com/spreadsheets/d/14Bd19lYaqBhU8_DElYkX7l4wRkHqqCUFNJY4AfY3kHU/edit?usp=sharing  #gid=0"",""фіз особи new!relations_name""),6,FALSE)
,
(IF
(
G14404=""юридична особа""
,
VLOO"&amp;"KUP(H14404,IMPORTRANGE(""https://docs.google.com/spreadsheets/d/14Bd19lYaqBhU8_DElYkX7l4wRkHqqCUFNJY4AfY3kHU/edit?usp=sharing  #gid=0"",""фіз особи new!relations_name_uo""),7,FALSE)
,
)
))"),"#N/A")</f>
        <v>#N/A</v>
      </c>
      <c r="J14403" s="7" t="s">
        <v>23</v>
      </c>
    </row>
    <row r="14404" spans="1:10" ht="13.2">
      <c r="A14404" s="7">
        <v>14403</v>
      </c>
      <c r="B14404" s="7">
        <v>1</v>
      </c>
      <c r="C14404" s="7" t="s">
        <v>10</v>
      </c>
      <c r="D14404" s="7">
        <v>19350</v>
      </c>
      <c r="E14404" s="7" t="s">
        <v>23</v>
      </c>
      <c r="F14404" s="8" t="str">
        <f ca="1">IFERROR(__xludf.DUMMYFUNCTION("IF
(
C14405=""фізична особа""
,
VLOOKUP(D14405,IMPORTRANGE(""https://docs.google.com/spreadsheets/d/14Bd19lYaqBhU8_DElYkX7l4wRkHqqCUFNJY4AfY3kHU/edit?usp=sharing  #gid=0"",""фіз особи new!relations_name""),6,FALSE)
,
(IF
(
C14405=""юридична особа""
,
VLOO"&amp;"KUP(D14405,IMPORTRANGE(""https://docs.google.com/spreadsheets/d/14Bd19lYaqBhU8_DElYkX7l4wRkHqqCUFNJY4AfY3kHU/edit?usp=sharing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G14404" s="7" t="s">
        <v>10</v>
      </c>
      <c r="H14404" s="7">
        <v>0</v>
      </c>
      <c r="I14404" s="8" t="str">
        <f ca="1">IFERROR(__xludf.DUMMYFUNCTION("IF
(
G14405=""фізична особа""
,
VLOOKUP(H14405,IMPORTRANGE(""https://docs.google.com/spreadsheets/d/14Bd19lYaqBhU8_DElYkX7l4wRkHqqCUFNJY4AfY3kHU/edit?usp=sharing  #gid=0"",""фіз особи new!relations_name""),6,FALSE)
,
(IF
(
G14405=""юридична особа""
,
VLOO"&amp;"KUP(H14405,IMPORTRANGE(""https://docs.google.com/spreadsheets/d/14Bd19lYaqBhU8_DElYkX7l4wRkHqqCUFNJY4AfY3kHU/edit?usp=sharing  #gid=0"",""фіз особи new!relations_name_uo""),7,FALSE)
,
)
))"),"#N/A")</f>
        <v>#N/A</v>
      </c>
      <c r="J14404" s="7" t="s">
        <v>23</v>
      </c>
    </row>
    <row r="14405" spans="1:10" ht="13.2">
      <c r="A14405" s="7">
        <v>14404</v>
      </c>
      <c r="B14405" s="7">
        <v>1</v>
      </c>
      <c r="C14405" s="7" t="s">
        <v>10</v>
      </c>
      <c r="D14405" s="7">
        <v>19350</v>
      </c>
      <c r="E14405" s="7" t="s">
        <v>23</v>
      </c>
      <c r="F14405" s="8" t="str">
        <f ca="1">IFERROR(__xludf.DUMMYFUNCTION("IF
(
C14406=""фізична особа""
,
VLOOKUP(D14406,IMPORTRANGE(""https://docs.google.com/spreadsheets/d/14Bd19lYaqBhU8_DElYkX7l4wRkHqqCUFNJY4AfY3kHU/edit?usp=sharing  #gid=0"",""фіз особи new!relations_name""),6,FALSE)
,
(IF
(
C14406=""юридична особа""
,
VLOO"&amp;"KUP(D14406,IMPORTRANGE(""https://docs.google.com/spreadsheets/d/14Bd19lYaqBhU8_DElYkX7l4wRkHqqCUFNJY4AfY3kHU/edit?usp=sharing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G14405" s="7" t="s">
        <v>10</v>
      </c>
      <c r="H14405" s="7">
        <v>0</v>
      </c>
      <c r="I14405" s="8" t="str">
        <f ca="1">IFERROR(__xludf.DUMMYFUNCTION("IF
(
G14406=""фізична особа""
,
VLOOKUP(H14406,IMPORTRANGE(""https://docs.google.com/spreadsheets/d/14Bd19lYaqBhU8_DElYkX7l4wRkHqqCUFNJY4AfY3kHU/edit?usp=sharing  #gid=0"",""фіз особи new!relations_name""),6,FALSE)
,
(IF
(
G14406=""юридична особа""
,
VLOO"&amp;"KUP(H14406,IMPORTRANGE(""https://docs.google.com/spreadsheets/d/14Bd19lYaqBhU8_DElYkX7l4wRkHqqCUFNJY4AfY3kHU/edit?usp=sharing  #gid=0"",""фіз особи new!relations_name_uo""),7,FALSE)
,
)
))"),"#N/A")</f>
        <v>#N/A</v>
      </c>
      <c r="J14405" s="7" t="s">
        <v>23</v>
      </c>
    </row>
    <row r="14406" spans="1:10" ht="13.2">
      <c r="A14406" s="7">
        <v>14405</v>
      </c>
      <c r="B14406" s="7">
        <v>1</v>
      </c>
      <c r="C14406" s="7" t="s">
        <v>10</v>
      </c>
      <c r="D14406" s="7">
        <v>19351</v>
      </c>
      <c r="E14406" s="7" t="s">
        <v>23</v>
      </c>
      <c r="F14406" s="8" t="str">
        <f ca="1">IFERROR(__xludf.DUMMYFUNCTION("IF
(
C14407=""фізична особа""
,
VLOOKUP(D14407,IMPORTRANGE(""https://docs.google.com/spreadsheets/d/14Bd19lYaqBhU8_DElYkX7l4wRkHqqCUFNJY4AfY3kHU/edit?usp=sharing  #gid=0"",""фіз особи new!relations_name""),6,FALSE)
,
(IF
(
C14407=""юридична особа""
,
VLOO"&amp;"KUP(D14407,IMPORTRANGE(""https://docs.google.com/spreadsheets/d/14Bd19lYaqBhU8_DElYkX7l4wRkHqqCUFNJY4AfY3kHU/edit?usp=sharing  #gid=0"",""фіз особи new!relations_name_uo""),7,FALSE)
,
)
))"),"АББАСОВ Рафаель Сахраддін огли")</f>
        <v>АББАСОВ Рафаель Сахраддін огли</v>
      </c>
      <c r="G14406" s="7" t="s">
        <v>10</v>
      </c>
      <c r="H14406" s="7">
        <v>19350</v>
      </c>
      <c r="I14406" s="8" t="str">
        <f ca="1">IFERROR(__xludf.DUMMYFUNCTION("IF
(
G14407=""фізична особа""
,
VLOOKUP(H14407,IMPORTRANGE(""https://docs.google.com/spreadsheets/d/14Bd19lYaqBhU8_DElYkX7l4wRkHqqCUFNJY4AfY3kHU/edit?usp=sharing  #gid=0"",""фіз особи new!relations_name""),6,FALSE)
,
(IF
(
G14407=""юридична особа""
,
VLOO"&amp;"KUP(H14407,IMPORTRANGE(""https://docs.google.com/spreadsheets/d/14Bd19lYaqBhU8_DElYkX7l4wRkHqqCUFNJY4AfY3kHU/edit?usp=sharing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406" s="7" t="s">
        <v>23</v>
      </c>
    </row>
    <row r="14407" spans="1:10" ht="13.2">
      <c r="A14407" s="7">
        <v>14406</v>
      </c>
      <c r="B14407" s="7">
        <v>1</v>
      </c>
      <c r="C14407" s="7" t="s">
        <v>10</v>
      </c>
      <c r="D14407" s="7">
        <v>19352</v>
      </c>
      <c r="E14407" s="7" t="s">
        <v>23</v>
      </c>
      <c r="F14407" s="8" t="str">
        <f ca="1">IFERROR(__xludf.DUMMYFUNCTION("IF
(
C14408=""фізична особа""
,
VLOOKUP(D14408,IMPORTRANGE(""https://docs.google.com/spreadsheets/d/14Bd19lYaqBhU8_DElYkX7l4wRkHqqCUFNJY4AfY3kHU/edit?usp=sharing  #gid=0"",""фіз особи new!relations_name""),6,FALSE)
,
(IF
(
C14408=""юридична особа""
,
VLOO"&amp;"KUP(D14408,IMPORTRANGE(""https://docs.google.com/spreadsheets/d/14Bd19lYaqBhU8_DElYkX7l4wRkHqqCUFNJY4AfY3kHU/edit?usp=sharing  #gid=0"",""фіз особи new!relations_name_uo""),7,FALSE)
,
)
))"),"ДМІТРІЄВА Наталія Юріївна")</f>
        <v>ДМІТРІЄВА Наталія Юріївна</v>
      </c>
      <c r="G14407" s="7" t="s">
        <v>10</v>
      </c>
      <c r="H14407" s="7">
        <v>19350</v>
      </c>
      <c r="I14407" s="8" t="str">
        <f ca="1">IFERROR(__xludf.DUMMYFUNCTION("IF
(
G14408=""фізична особа""
,
VLOOKUP(H14408,IMPORTRANGE(""https://docs.google.com/spreadsheets/d/14Bd19lYaqBhU8_DElYkX7l4wRkHqqCUFNJY4AfY3kHU/edit?usp=sharing  #gid=0"",""фіз особи new!relations_name""),6,FALSE)
,
(IF
(
G14408=""юридична особа""
,
VLOO"&amp;"KUP(H14408,IMPORTRANGE(""https://docs.google.com/spreadsheets/d/14Bd19lYaqBhU8_DElYkX7l4wRkHqqCUFNJY4AfY3kHU/edit?usp=sharing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407" s="7" t="s">
        <v>23</v>
      </c>
    </row>
    <row r="14408" spans="1:10" ht="13.2">
      <c r="A14408" s="7">
        <v>14407</v>
      </c>
      <c r="B14408" s="7">
        <v>1</v>
      </c>
      <c r="C14408" s="7" t="s">
        <v>10</v>
      </c>
      <c r="D14408" s="7">
        <v>19353</v>
      </c>
      <c r="E14408" s="7" t="s">
        <v>23</v>
      </c>
      <c r="F14408" s="8" t="str">
        <f ca="1">IFERROR(__xludf.DUMMYFUNCTION("IF
(
C14409=""фізична особа""
,
VLOOKUP(D14409,IMPORTRANGE(""https://docs.google.com/spreadsheets/d/14Bd19lYaqBhU8_DElYkX7l4wRkHqqCUFNJY4AfY3kHU/edit?usp=sharing  #gid=0"",""фіз особи new!relations_name""),6,FALSE)
,
(IF
(
C14409=""юридична особа""
,
VLOO"&amp;"KUP(D14409,IMPORTRANGE(""https://docs.google.com/spreadsheets/d/14Bd19lYaqBhU8_DElYkX7l4wRkHqqCUFNJY4AfY3kHU/edit?usp=sharing  #gid=0"",""фіз особи new!relations_name_uo""),7,FALSE)
,
)
))"),"ГАДІМОВ Еміль Радж огли")</f>
        <v>ГАДІМОВ Еміль Радж огли</v>
      </c>
      <c r="G14408" s="7" t="s">
        <v>10</v>
      </c>
      <c r="H14408" s="7">
        <v>19350</v>
      </c>
      <c r="I14408" s="8" t="str">
        <f ca="1">IFERROR(__xludf.DUMMYFUNCTION("IF
(
G14409=""фізична особа""
,
VLOOKUP(H14409,IMPORTRANGE(""https://docs.google.com/spreadsheets/d/14Bd19lYaqBhU8_DElYkX7l4wRkHqqCUFNJY4AfY3kHU/edit?usp=sharing  #gid=0"",""фіз особи new!relations_name""),6,FALSE)
,
(IF
(
G14409=""юридична особа""
,
VLOO"&amp;"KUP(H14409,IMPORTRANGE(""https://docs.google.com/spreadsheets/d/14Bd19lYaqBhU8_DElYkX7l4wRkHqqCUFNJY4AfY3kHU/edit?usp=sharing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408" s="7" t="s">
        <v>23</v>
      </c>
    </row>
    <row r="14409" spans="1:10" ht="13.2">
      <c r="A14409" s="7">
        <v>14408</v>
      </c>
      <c r="B14409" s="7">
        <v>1</v>
      </c>
      <c r="C14409" s="7" t="s">
        <v>10</v>
      </c>
      <c r="D14409" s="7">
        <v>19354</v>
      </c>
      <c r="E14409" s="7" t="s">
        <v>23</v>
      </c>
      <c r="F14409" s="8" t="str">
        <f ca="1">IFERROR(__xludf.DUMMYFUNCTION("IF
(
C14410=""фізична особа""
,
VLOOKUP(D14410,IMPORTRANGE(""https://docs.google.com/spreadsheets/d/14Bd19lYaqBhU8_DElYkX7l4wRkHqqCUFNJY4AfY3kHU/edit?usp=sharing  #gid=0"",""фіз особи new!relations_name""),6,FALSE)
,
(IF
(
C14410=""юридична особа""
,
VLOO"&amp;"KUP(D14410,IMPORTRANGE(""https://docs.google.com/spreadsheets/d/14Bd19lYaqBhU8_DElYkX7l4wRkHqqCUFNJY4AfY3kHU/edit?usp=sharing  #gid=0"",""фіз особи new!relations_name_uo""),7,FALSE)
,
)
))"),"ХМУРІН Сергій Ігорович")</f>
        <v>ХМУРІН Сергій Ігорович</v>
      </c>
      <c r="G14409" s="7" t="s">
        <v>10</v>
      </c>
      <c r="H14409" s="7">
        <v>19350</v>
      </c>
      <c r="I14409" s="8" t="str">
        <f ca="1">IFERROR(__xludf.DUMMYFUNCTION("IF
(
G14410=""фізична особа""
,
VLOOKUP(H14410,IMPORTRANGE(""https://docs.google.com/spreadsheets/d/14Bd19lYaqBhU8_DElYkX7l4wRkHqqCUFNJY4AfY3kHU/edit?usp=sharing  #gid=0"",""фіз особи new!relations_name""),6,FALSE)
,
(IF
(
G14410=""юридична особа""
,
VLOO"&amp;"KUP(H14410,IMPORTRANGE(""https://docs.google.com/spreadsheets/d/14Bd19lYaqBhU8_DElYkX7l4wRkHqqCUFNJY4AfY3kHU/edit?usp=sharing  #gid=0"",""фіз особи new!relations_name_uo""),7,FALSE)
,
)
))"),"ГАРАІСАЄВ Заур Фахраддін огли")</f>
        <v>ГАРАІСАЄВ Заур Фахраддін огли</v>
      </c>
      <c r="J14409" s="7" t="s">
        <v>23</v>
      </c>
    </row>
    <row r="14410" spans="1:10" ht="13.2">
      <c r="A14410" s="7">
        <v>14409</v>
      </c>
      <c r="B14410" s="7">
        <v>1</v>
      </c>
      <c r="C14410" s="7" t="s">
        <v>10</v>
      </c>
      <c r="D14410" s="7">
        <v>19355</v>
      </c>
      <c r="E14410" s="7" t="s">
        <v>23</v>
      </c>
      <c r="F14410" s="8" t="str">
        <f ca="1">IFERROR(__xludf.DUMMYFUNCTION("IF
(
C14411=""фізична особа""
,
VLOOKUP(D14411,IMPORTRANGE(""https://docs.google.com/spreadsheets/d/14Bd19lYaqBhU8_DElYkX7l4wRkHqqCUFNJY4AfY3kHU/edit?usp=sharing  #gid=0"",""фіз особи new!relations_name""),6,FALSE)
,
(IF
(
C14411=""юридична особа""
,
VLOO"&amp;"KUP(D14411,IMPORTRANGE(""https://docs.google.com/spreadsheets/d/14Bd19lYaqBhU8_DElYkX7l4wRkHqqCUFNJY4AfY3kHU/edit?usp=sharing  #gid=0"",""фіз особи new!relations_name_uo""),7,FALSE)
,
)
))"),"КАЗНАЧЕЄВ Олександр Миколайович")</f>
        <v>КАЗНАЧЕЄВ Олександр Миколайович</v>
      </c>
      <c r="G14410" s="7" t="s">
        <v>10</v>
      </c>
      <c r="H14410" s="7">
        <v>1925</v>
      </c>
      <c r="I14410" s="8" t="str">
        <f ca="1">IFERROR(__xludf.DUMMYFUNCTION("IF
(
G14411=""фізична особа""
,
VLOOKUP(H14411,IMPORTRANGE(""https://docs.google.com/spreadsheets/d/14Bd19lYaqBhU8_DElYkX7l4wRkHqqCUFNJY4AfY3kHU/edit?usp=sharing  #gid=0"",""фіз особи new!relations_name""),6,FALSE)
,
(IF
(
G14411=""юридична особа""
,
VLOO"&amp;"KUP(H14411,IMPORTRANGE(""https://docs.google.com/spreadsheets/d/14Bd19lYaqBhU8_DElYkX7l4wRkHqqCUFNJY4AfY3kHU/edit?usp=sharing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4410" s="7" t="s">
        <v>23</v>
      </c>
    </row>
    <row r="14411" spans="1:10" ht="13.2">
      <c r="A14411" s="7">
        <v>14410</v>
      </c>
      <c r="B14411" s="7">
        <v>1</v>
      </c>
      <c r="C14411" s="7" t="s">
        <v>10</v>
      </c>
      <c r="D14411" s="7">
        <v>19355</v>
      </c>
      <c r="E14411" s="7" t="s">
        <v>23</v>
      </c>
      <c r="F14411" s="8" t="str">
        <f ca="1">IFERROR(__xludf.DUMMYFUNCTION("IF
(
C14412=""фізична особа""
,
VLOOKUP(D14412,IMPORTRANGE(""https://docs.google.com/spreadsheets/d/14Bd19lYaqBhU8_DElYkX7l4wRkHqqCUFNJY4AfY3kHU/edit?usp=sharing  #gid=0"",""фіз особи new!relations_name""),6,FALSE)
,
(IF
(
C14412=""юридична особа""
,
VLOO"&amp;"KUP(D14412,IMPORTRANGE(""https://docs.google.com/spreadsheets/d/14Bd19lYaqBhU8_DElYkX7l4wRkHqqCUFNJY4AfY3kHU/edit?usp=sharing  #gid=0"",""фіз особи new!relations_name_uo""),7,FALSE)
,
)
))"),"КАЗНАЧЕЄВ Олександр Миколайович")</f>
        <v>КАЗНАЧЕЄВ Олександр Миколайович</v>
      </c>
      <c r="G14411" s="7" t="s">
        <v>10</v>
      </c>
      <c r="H14411" s="7">
        <v>16555</v>
      </c>
      <c r="I14411" s="8" t="str">
        <f ca="1">IFERROR(__xludf.DUMMYFUNCTION("IF
(
G14412=""фізична особа""
,
VLOOKUP(H14412,IMPORTRANGE(""https://docs.google.com/spreadsheets/d/14Bd19lYaqBhU8_DElYkX7l4wRkHqqCUFNJY4AfY3kHU/edit?usp=sharing  #gid=0"",""фіз особи new!relations_name""),6,FALSE)
,
(IF
(
G14412=""юридична особа""
,
VLOO"&amp;"KUP(H14412,IMPORTRANGE(""https://docs.google.com/spreadsheets/d/14Bd19lYaqBhU8_DElYkX7l4wRkHqqCUFNJY4AfY3kHU/edit?usp=sharing  #gid=0"",""фіз особи new!relations_name_uo""),7,FALSE)
,
)
))"),"ЧУБАР Володимир Олександрович")</f>
        <v>ЧУБАР Володимир Олександрович</v>
      </c>
      <c r="J14411" s="7" t="s">
        <v>23</v>
      </c>
    </row>
    <row r="14412" spans="1:10" ht="13.2">
      <c r="A14412" s="7">
        <v>14411</v>
      </c>
      <c r="B14412" s="7">
        <v>1</v>
      </c>
      <c r="C14412" s="7" t="s">
        <v>10</v>
      </c>
      <c r="D14412" s="7">
        <v>19355</v>
      </c>
      <c r="E14412" s="7" t="s">
        <v>23</v>
      </c>
      <c r="F14412" s="8" t="str">
        <f ca="1">IFERROR(__xludf.DUMMYFUNCTION("IF
(
C14413=""фізична особа""
,
VLOOKUP(D14413,IMPORTRANGE(""https://docs.google.com/spreadsheets/d/14Bd19lYaqBhU8_DElYkX7l4wRkHqqCUFNJY4AfY3kHU/edit?usp=sharing  #gid=0"",""фіз особи new!relations_name""),6,FALSE)
,
(IF
(
C14413=""юридична особа""
,
VLOO"&amp;"KUP(D14413,IMPORTRANGE(""https://docs.google.com/spreadsheets/d/14Bd19lYaqBhU8_DElYkX7l4wRkHqqCUFNJY4AfY3kHU/edit?usp=sharing  #gid=0"",""фіз особи new!relations_name_uo""),7,FALSE)
,
)
))"),"КАЗНАЧЕЄВ Олександр Миколайович")</f>
        <v>КАЗНАЧЕЄВ Олександр Миколайович</v>
      </c>
      <c r="G14412" s="7" t="s">
        <v>10</v>
      </c>
      <c r="H14412" s="7">
        <v>17487</v>
      </c>
      <c r="I14412" s="8" t="str">
        <f ca="1">IFERROR(__xludf.DUMMYFUNCTION("IF
(
G14413=""фізична особа""
,
VLOOKUP(H14413,IMPORTRANGE(""https://docs.google.com/spreadsheets/d/14Bd19lYaqBhU8_DElYkX7l4wRkHqqCUFNJY4AfY3kHU/edit?usp=sharing  #gid=0"",""фіз особи new!relations_name""),6,FALSE)
,
(IF
(
G14413=""юридична особа""
,
VLOO"&amp;"KUP(H14413,IMPORTRANGE(""https://docs.google.com/spreadsheets/d/14Bd19lYaqBhU8_DElYkX7l4wRkHqqCUFNJY4AfY3kHU/edit?usp=sharing  #gid=0"",""фіз особи new!relations_name_uo""),7,FALSE)
,
)
))"),"РОЖЕНЦОВ Олег Валерійович")</f>
        <v>РОЖЕНЦОВ Олег Валерійович</v>
      </c>
      <c r="J14412" s="7" t="s">
        <v>23</v>
      </c>
    </row>
    <row r="14413" spans="1:10" ht="13.2">
      <c r="A14413" s="7">
        <v>14412</v>
      </c>
      <c r="B14413" s="7">
        <v>1</v>
      </c>
      <c r="C14413" s="7" t="s">
        <v>10</v>
      </c>
      <c r="D14413" s="7">
        <v>19356</v>
      </c>
      <c r="E14413" s="7" t="s">
        <v>23</v>
      </c>
      <c r="F14413" s="8" t="str">
        <f ca="1">IFERROR(__xludf.DUMMYFUNCTION("IF
(
C14414=""фізична особа""
,
VLOOKUP(D14414,IMPORTRANGE(""https://docs.google.com/spreadsheets/d/14Bd19lYaqBhU8_DElYkX7l4wRkHqqCUFNJY4AfY3kHU/edit?usp=sharing  #gid=0"",""фіз особи new!relations_name""),6,FALSE)
,
(IF
(
C14414=""юридична особа""
,
VLOO"&amp;"KUP(D14414,IMPORTRANGE(""https://docs.google.com/spreadsheets/d/14Bd19lYaqBhU8_DElYkX7l4wRkHqqCUFNJY4AfY3kHU/edit?usp=sharing  #gid=0"",""фіз особи new!relations_name_uo""),7,FALSE)
,
)
))"),"ЮСУПОВ Каміль Раіфович")</f>
        <v>ЮСУПОВ Каміль Раіфович</v>
      </c>
      <c r="G14413" s="7" t="s">
        <v>10</v>
      </c>
      <c r="H14413" s="7">
        <v>1925</v>
      </c>
      <c r="I14413" s="8" t="str">
        <f ca="1">IFERROR(__xludf.DUMMYFUNCTION("IF
(
G14414=""фізична особа""
,
VLOOKUP(H14414,IMPORTRANGE(""https://docs.google.com/spreadsheets/d/14Bd19lYaqBhU8_DElYkX7l4wRkHqqCUFNJY4AfY3kHU/edit?usp=sharing  #gid=0"",""фіз особи new!relations_name""),6,FALSE)
,
(IF
(
G14414=""юридична особа""
,
VLOO"&amp;"KUP(H14414,IMPORTRANGE(""https://docs.google.com/spreadsheets/d/14Bd19lYaqBhU8_DElYkX7l4wRkHqqCUFNJY4AfY3kHU/edit?usp=sharing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4413" s="7" t="s">
        <v>23</v>
      </c>
    </row>
    <row r="14414" spans="1:10" ht="13.2">
      <c r="A14414" s="7">
        <v>14413</v>
      </c>
      <c r="B14414" s="7">
        <v>1</v>
      </c>
      <c r="C14414" s="7" t="s">
        <v>10</v>
      </c>
      <c r="D14414" s="7">
        <v>19356</v>
      </c>
      <c r="E14414" s="7" t="s">
        <v>23</v>
      </c>
      <c r="F14414" s="8" t="str">
        <f ca="1">IFERROR(__xludf.DUMMYFUNCTION("IF
(
C14415=""фізична особа""
,
VLOOKUP(D14415,IMPORTRANGE(""https://docs.google.com/spreadsheets/d/14Bd19lYaqBhU8_DElYkX7l4wRkHqqCUFNJY4AfY3kHU/edit?usp=sharing  #gid=0"",""фіз особи new!relations_name""),6,FALSE)
,
(IF
(
C14415=""юридична особа""
,
VLOO"&amp;"KUP(D14415,IMPORTRANGE(""https://docs.google.com/spreadsheets/d/14Bd19lYaqBhU8_DElYkX7l4wRkHqqCUFNJY4AfY3kHU/edit?usp=sharing  #gid=0"",""фіз особи new!relations_name_uo""),7,FALSE)
,
)
))"),"ЮСУПОВ Каміль Раіфович")</f>
        <v>ЮСУПОВ Каміль Раіфович</v>
      </c>
      <c r="G14414" s="7" t="s">
        <v>10</v>
      </c>
      <c r="H14414" s="7">
        <v>16555</v>
      </c>
      <c r="I14414" s="8" t="str">
        <f ca="1">IFERROR(__xludf.DUMMYFUNCTION("IF
(
G14415=""фізична особа""
,
VLOOKUP(H14415,IMPORTRANGE(""https://docs.google.com/spreadsheets/d/14Bd19lYaqBhU8_DElYkX7l4wRkHqqCUFNJY4AfY3kHU/edit?usp=sharing  #gid=0"",""фіз особи new!relations_name""),6,FALSE)
,
(IF
(
G14415=""юридична особа""
,
VLOO"&amp;"KUP(H14415,IMPORTRANGE(""https://docs.google.com/spreadsheets/d/14Bd19lYaqBhU8_DElYkX7l4wRkHqqCUFNJY4AfY3kHU/edit?usp=sharing  #gid=0"",""фіз особи new!relations_name_uo""),7,FALSE)
,
)
))"),"ЧУБАР Володимир Олександрович")</f>
        <v>ЧУБАР Володимир Олександрович</v>
      </c>
      <c r="J14414" s="7" t="s">
        <v>23</v>
      </c>
    </row>
    <row r="14415" spans="1:10" ht="13.2">
      <c r="A14415" s="7">
        <v>14414</v>
      </c>
      <c r="B14415" s="7">
        <v>1</v>
      </c>
      <c r="C14415" s="7" t="s">
        <v>10</v>
      </c>
      <c r="D14415" s="7">
        <v>19356</v>
      </c>
      <c r="E14415" s="7" t="s">
        <v>23</v>
      </c>
      <c r="F14415" s="8" t="str">
        <f ca="1">IFERROR(__xludf.DUMMYFUNCTION("IF
(
C14416=""фізична особа""
,
VLOOKUP(D14416,IMPORTRANGE(""https://docs.google.com/spreadsheets/d/14Bd19lYaqBhU8_DElYkX7l4wRkHqqCUFNJY4AfY3kHU/edit?usp=sharing  #gid=0"",""фіз особи new!relations_name""),6,FALSE)
,
(IF
(
C14416=""юридична особа""
,
VLOO"&amp;"KUP(D14416,IMPORTRANGE(""https://docs.google.com/spreadsheets/d/14Bd19lYaqBhU8_DElYkX7l4wRkHqqCUFNJY4AfY3kHU/edit?usp=sharing  #gid=0"",""фіз особи new!relations_name_uo""),7,FALSE)
,
)
))"),"ЮСУПОВ Каміль Раіфович")</f>
        <v>ЮСУПОВ Каміль Раіфович</v>
      </c>
      <c r="G14415" s="7" t="s">
        <v>10</v>
      </c>
      <c r="H14415" s="7">
        <v>17487</v>
      </c>
      <c r="I14415" s="8" t="str">
        <f ca="1">IFERROR(__xludf.DUMMYFUNCTION("IF
(
G14416=""фізична особа""
,
VLOOKUP(H14416,IMPORTRANGE(""https://docs.google.com/spreadsheets/d/14Bd19lYaqBhU8_DElYkX7l4wRkHqqCUFNJY4AfY3kHU/edit?usp=sharing  #gid=0"",""фіз особи new!relations_name""),6,FALSE)
,
(IF
(
G14416=""юридична особа""
,
VLOO"&amp;"KUP(H14416,IMPORTRANGE(""https://docs.google.com/spreadsheets/d/14Bd19lYaqBhU8_DElYkX7l4wRkHqqCUFNJY4AfY3kHU/edit?usp=sharing  #gid=0"",""фіз особи new!relations_name_uo""),7,FALSE)
,
)
))"),"РОЖЕНЦОВ Олег Валерійович")</f>
        <v>РОЖЕНЦОВ Олег Валерійович</v>
      </c>
      <c r="J14415" s="7" t="s">
        <v>23</v>
      </c>
    </row>
    <row r="14416" spans="1:10" ht="13.2">
      <c r="A14416" s="7">
        <v>14415</v>
      </c>
      <c r="B14416" s="7">
        <v>1</v>
      </c>
      <c r="C14416" s="7" t="s">
        <v>10</v>
      </c>
      <c r="D14416" s="7">
        <v>19356</v>
      </c>
      <c r="E14416" s="7" t="s">
        <v>23</v>
      </c>
      <c r="F14416" s="8" t="str">
        <f ca="1">IFERROR(__xludf.DUMMYFUNCTION("IF
(
C14417=""фізична особа""
,
VLOOKUP(D14417,IMPORTRANGE(""https://docs.google.com/spreadsheets/d/14Bd19lYaqBhU8_DElYkX7l4wRkHqqCUFNJY4AfY3kHU/edit?usp=sharing  #gid=0"",""фіз особи new!relations_name""),6,FALSE)
,
(IF
(
C14417=""юридична особа""
,
VLOO"&amp;"KUP(D14417,IMPORTRANGE(""https://docs.google.com/spreadsheets/d/14Bd19lYaqBhU8_DElYkX7l4wRkHqqCUFNJY4AfY3kHU/edit?usp=sharing  #gid=0"",""фіз особи new!relations_name_uo""),7,FALSE)
,
)
))"),"ЮСУПОВ Каміль Раіфович")</f>
        <v>ЮСУПОВ Каміль Раіфович</v>
      </c>
      <c r="G14416" s="7" t="s">
        <v>10</v>
      </c>
      <c r="H14416" s="7">
        <v>19355</v>
      </c>
      <c r="I14416" s="8" t="str">
        <f ca="1">IFERROR(__xludf.DUMMYFUNCTION("IF
(
G14417=""фізична особа""
,
VLOOKUP(H14417,IMPORTRANGE(""https://docs.google.com/spreadsheets/d/14Bd19lYaqBhU8_DElYkX7l4wRkHqqCUFNJY4AfY3kHU/edit?usp=sharing  #gid=0"",""фіз особи new!relations_name""),6,FALSE)
,
(IF
(
G14417=""юридична особа""
,
VLOO"&amp;"KUP(H14417,IMPORTRANGE(""https://docs.google.com/spreadsheets/d/14Bd19lYaqBhU8_DElYkX7l4wRkHqqCUFNJY4AfY3kHU/edit?usp=sharing  #gid=0"",""фіз особи new!relations_name_uo""),7,FALSE)
,
)
))"),"КАЗНАЧЕЄВ Олександр Миколайович")</f>
        <v>КАЗНАЧЕЄВ Олександр Миколайович</v>
      </c>
      <c r="J14416" s="7" t="s">
        <v>23</v>
      </c>
    </row>
    <row r="14417" spans="1:10" ht="13.2">
      <c r="A14417" s="7">
        <v>14416</v>
      </c>
      <c r="B14417" s="7">
        <v>1</v>
      </c>
      <c r="C14417" s="7" t="s">
        <v>10</v>
      </c>
      <c r="D14417" s="7">
        <v>19357</v>
      </c>
      <c r="E14417" s="7" t="s">
        <v>23</v>
      </c>
      <c r="F14417" s="8" t="str">
        <f ca="1">IFERROR(__xludf.DUMMYFUNCTION("IF
(
C14418=""фізична особа""
,
VLOOKUP(D14418,IMPORTRANGE(""https://docs.google.com/spreadsheets/d/14Bd19lYaqBhU8_DElYkX7l4wRkHqqCUFNJY4AfY3kHU/edit?usp=sharing  #gid=0"",""фіз особи new!relations_name""),6,FALSE)
,
(IF
(
C14418=""юридична особа""
,
VLOO"&amp;"KUP(D14418,IMPORTRANGE(""https://docs.google.com/spreadsheets/d/14Bd19lYaqBhU8_DElYkX7l4wRkHqqCUFNJY4AfY3kHU/edit?usp=sharing  #gid=0"",""фіз особи new!relations_name_uo""),7,FALSE)
,
)
))"),"КАТРІЧ Олексій Сергійович")</f>
        <v>КАТРІЧ Олексій Сергійович</v>
      </c>
      <c r="G14417" s="7" t="s">
        <v>10</v>
      </c>
      <c r="H14417" s="7">
        <v>1925</v>
      </c>
      <c r="I14417" s="8" t="str">
        <f ca="1">IFERROR(__xludf.DUMMYFUNCTION("IF
(
G14418=""фізична особа""
,
VLOOKUP(H14418,IMPORTRANGE(""https://docs.google.com/spreadsheets/d/14Bd19lYaqBhU8_DElYkX7l4wRkHqqCUFNJY4AfY3kHU/edit?usp=sharing  #gid=0"",""фіз особи new!relations_name""),6,FALSE)
,
(IF
(
G14418=""юридична особа""
,
VLOO"&amp;"KUP(H14418,IMPORTRANGE(""https://docs.google.com/spreadsheets/d/14Bd19lYaqBhU8_DElYkX7l4wRkHqqCUFNJY4AfY3kHU/edit?usp=sharing  #gid=0"",""фіз особи new!relations_name_uo""),7,FALSE)
,
)
))"),"АВДЄЄВ Роман Іванович")</f>
        <v>АВДЄЄВ Роман Іванович</v>
      </c>
      <c r="J14417" s="7" t="s">
        <v>23</v>
      </c>
    </row>
    <row r="14418" spans="1:10" ht="13.2">
      <c r="A14418" s="7">
        <v>14417</v>
      </c>
      <c r="B14418" s="7">
        <v>1</v>
      </c>
      <c r="C14418" s="7" t="s">
        <v>10</v>
      </c>
      <c r="D14418" s="7">
        <v>19357</v>
      </c>
      <c r="E14418" s="7" t="s">
        <v>23</v>
      </c>
      <c r="F14418" s="8" t="str">
        <f ca="1">IFERROR(__xludf.DUMMYFUNCTION("IF
(
C14419=""фізична особа""
,
VLOOKUP(D14419,IMPORTRANGE(""https://docs.google.com/spreadsheets/d/14Bd19lYaqBhU8_DElYkX7l4wRkHqqCUFNJY4AfY3kHU/edit?usp=sharing  #gid=0"",""фіз особи new!relations_name""),6,FALSE)
,
(IF
(
C14419=""юридична особа""
,
VLOO"&amp;"KUP(D14419,IMPORTRANGE(""https://docs.google.com/spreadsheets/d/14Bd19lYaqBhU8_DElYkX7l4wRkHqqCUFNJY4AfY3kHU/edit?usp=sharing  #gid=0"",""фіз особи new!relations_name_uo""),7,FALSE)
,
)
))"),"КАТРІЧ Олексій Сергійович")</f>
        <v>КАТРІЧ Олексій Сергійович</v>
      </c>
      <c r="G14418" s="7" t="s">
        <v>10</v>
      </c>
      <c r="H14418" s="7">
        <v>17487</v>
      </c>
      <c r="I14418" s="8" t="str">
        <f ca="1">IFERROR(__xludf.DUMMYFUNCTION("IF
(
G14419=""фізична особа""
,
VLOOKUP(H14419,IMPORTRANGE(""https://docs.google.com/spreadsheets/d/14Bd19lYaqBhU8_DElYkX7l4wRkHqqCUFNJY4AfY3kHU/edit?usp=sharing  #gid=0"",""фіз особи new!relations_name""),6,FALSE)
,
(IF
(
G14419=""юридична особа""
,
VLOO"&amp;"KUP(H14419,IMPORTRANGE(""https://docs.google.com/spreadsheets/d/14Bd19lYaqBhU8_DElYkX7l4wRkHqqCUFNJY4AfY3kHU/edit?usp=sharing  #gid=0"",""фіз особи new!relations_name_uo""),7,FALSE)
,
)
))"),"РОЖЕНЦОВ Олег Валерійович")</f>
        <v>РОЖЕНЦОВ Олег Валерійович</v>
      </c>
      <c r="J14418" s="7" t="s">
        <v>23</v>
      </c>
    </row>
    <row r="14419" spans="1:10" ht="13.2">
      <c r="A14419" s="7">
        <v>14418</v>
      </c>
      <c r="B14419" s="7">
        <v>1</v>
      </c>
      <c r="C14419" s="7" t="s">
        <v>10</v>
      </c>
      <c r="D14419" s="7">
        <v>19357</v>
      </c>
      <c r="E14419" s="7" t="s">
        <v>23</v>
      </c>
      <c r="F14419" s="8" t="str">
        <f ca="1">IFERROR(__xludf.DUMMYFUNCTION("IF
(
C14420=""фізична особа""
,
VLOOKUP(D14420,IMPORTRANGE(""https://docs.google.com/spreadsheets/d/14Bd19lYaqBhU8_DElYkX7l4wRkHqqCUFNJY4AfY3kHU/edit?usp=sharing  #gid=0"",""фіз особи new!relations_name""),6,FALSE)
,
(IF
(
C14420=""юридична особа""
,
VLOO"&amp;"KUP(D14420,IMPORTRANGE(""https://docs.google.com/spreadsheets/d/14Bd19lYaqBhU8_DElYkX7l4wRkHqqCUFNJY4AfY3kHU/edit?usp=sharing  #gid=0"",""фіз особи new!relations_name_uo""),7,FALSE)
,
)
))"),"КАТРІЧ Олексій Сергійович")</f>
        <v>КАТРІЧ Олексій Сергійович</v>
      </c>
      <c r="G14419" s="7" t="s">
        <v>10</v>
      </c>
      <c r="H14419" s="7">
        <v>19355</v>
      </c>
      <c r="I14419" s="8" t="str">
        <f ca="1">IFERROR(__xludf.DUMMYFUNCTION("IF
(
G14420=""фізична особа""
,
VLOOKUP(H14420,IMPORTRANGE(""https://docs.google.com/spreadsheets/d/14Bd19lYaqBhU8_DElYkX7l4wRkHqqCUFNJY4AfY3kHU/edit?usp=sharing  #gid=0"",""фіз особи new!relations_name""),6,FALSE)
,
(IF
(
G14420=""юридична особа""
,
VLOO"&amp;"KUP(H14420,IMPORTRANGE(""https://docs.google.com/spreadsheets/d/14Bd19lYaqBhU8_DElYkX7l4wRkHqqCUFNJY4AfY3kHU/edit?usp=sharing  #gid=0"",""фіз особи new!relations_name_uo""),7,FALSE)
,
)
))"),"КАЗНАЧЕЄВ Олександр Миколайович")</f>
        <v>КАЗНАЧЕЄВ Олександр Миколайович</v>
      </c>
      <c r="J14419" s="7" t="s">
        <v>23</v>
      </c>
    </row>
    <row r="14420" spans="1:10" ht="13.2">
      <c r="A14420" s="7">
        <v>14419</v>
      </c>
      <c r="B14420" s="7">
        <v>1</v>
      </c>
      <c r="C14420" s="7" t="s">
        <v>10</v>
      </c>
      <c r="D14420" s="7">
        <v>19358</v>
      </c>
      <c r="E14420" s="7" t="s">
        <v>23</v>
      </c>
      <c r="F14420" s="8" t="str">
        <f ca="1">IFERROR(__xludf.DUMMYFUNCTION("IF
(
C14421=""фізична особа""
,
VLOOKUP(D14421,IMPORTRANGE(""https://docs.google.com/spreadsheets/d/14Bd19lYaqBhU8_DElYkX7l4wRkHqqCUFNJY4AfY3kHU/edit?usp=sharing  #gid=0"",""фіз особи new!relations_name""),6,FALSE)
,
(IF
(
C14421=""юридична особа""
,
VLOO"&amp;"KUP(D14421,IMPORTRANGE(""https://docs.google.com/spreadsheets/d/14Bd19lYaqBhU8_DElYkX7l4wRkHqqCUFNJY4AfY3kHU/edit?usp=sharing  #gid=0"",""фіз особи new!relations_name_uo""),7,FALSE)
,
)
))"),"СОЛЕНКОВА Наталія Ігорівна")</f>
        <v>СОЛЕНКОВА Наталія Ігорівна</v>
      </c>
      <c r="G14420" s="7" t="s">
        <v>10</v>
      </c>
      <c r="H14420" s="7">
        <v>17487</v>
      </c>
      <c r="I14420" s="8" t="str">
        <f ca="1">IFERROR(__xludf.DUMMYFUNCTION("IF
(
G14421=""фізична особа""
,
VLOOKUP(H14421,IMPORTRANGE(""https://docs.google.com/spreadsheets/d/14Bd19lYaqBhU8_DElYkX7l4wRkHqqCUFNJY4AfY3kHU/edit?usp=sharing  #gid=0"",""фіз особи new!relations_name""),6,FALSE)
,
(IF
(
G14421=""юридична особа""
,
VLOO"&amp;"KUP(H14421,IMPORTRANGE(""https://docs.google.com/spreadsheets/d/14Bd19lYaqBhU8_DElYkX7l4wRkHqqCUFNJY4AfY3kHU/edit?usp=sharing  #gid=0"",""фіз особи new!relations_name_uo""),7,FALSE)
,
)
))"),"РОЖЕНЦОВ Олег Валерійович")</f>
        <v>РОЖЕНЦОВ Олег Валерійович</v>
      </c>
      <c r="J14420" s="7" t="s">
        <v>23</v>
      </c>
    </row>
    <row r="14421" spans="1:10" ht="13.2">
      <c r="A14421" s="7">
        <v>14420</v>
      </c>
      <c r="B14421" s="7">
        <v>1</v>
      </c>
      <c r="C14421" s="7" t="s">
        <v>10</v>
      </c>
      <c r="D14421" s="7">
        <v>19359</v>
      </c>
      <c r="E14421" s="7" t="s">
        <v>23</v>
      </c>
      <c r="F14421" s="8" t="str">
        <f ca="1">IFERROR(__xludf.DUMMYFUNCTION("IF
(
C14422=""фізична особа""
,
VLOOKUP(D14422,IMPORTRANGE(""https://docs.google.com/spreadsheets/d/14Bd19lYaqBhU8_DElYkX7l4wRkHqqCUFNJY4AfY3kHU/edit?usp=sharing  #gid=0"",""фіз особи new!relations_name""),6,FALSE)
,
(IF
(
C14422=""юридична особа""
,
VLOO"&amp;"KUP(D14422,IMPORTRANGE(""https://docs.google.com/spreadsheets/d/14Bd19lYaqBhU8_DElYkX7l4wRkHqqCUFNJY4AfY3kHU/edit?usp=sharing  #gid=0"",""фіз особи new!relations_name_uo""),7,FALSE)
,
)
))"),"ДЮСУШЕ Ярослав Володимирович")</f>
        <v>ДЮСУШЕ Ярослав Володимирович</v>
      </c>
      <c r="G14421" s="7" t="s">
        <v>10</v>
      </c>
      <c r="H14421" s="7">
        <v>6589</v>
      </c>
      <c r="I14421" s="8" t="str">
        <f ca="1">IFERROR(__xludf.DUMMYFUNCTION("IF
(
G14422=""фізична особа""
,
VLOOKUP(H14422,IMPORTRANGE(""https://docs.google.com/spreadsheets/d/14Bd19lYaqBhU8_DElYkX7l4wRkHqqCUFNJY4AfY3kHU/edit?usp=sharing  #gid=0"",""фіз особи new!relations_name""),6,FALSE)
,
(IF
(
G14422=""юридична особа""
,
VLOO"&amp;"KUP(H14422,IMPORTRANGE(""https://docs.google.com/spreadsheets/d/14Bd19lYaqBhU8_DElYkX7l4wRkHqqCUFNJY4AfY3kHU/edit?usp=sharing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14421" s="7" t="s">
        <v>23</v>
      </c>
    </row>
    <row r="14422" spans="1:10" ht="13.2">
      <c r="A14422" s="7">
        <v>14421</v>
      </c>
      <c r="B14422" s="7">
        <v>1</v>
      </c>
      <c r="C14422" s="7" t="s">
        <v>10</v>
      </c>
      <c r="D14422" s="7">
        <v>19359</v>
      </c>
      <c r="E14422" s="7" t="s">
        <v>23</v>
      </c>
      <c r="F14422" s="8" t="str">
        <f ca="1">IFERROR(__xludf.DUMMYFUNCTION("IF
(
C14423=""фізична особа""
,
VLOOKUP(D14423,IMPORTRANGE(""https://docs.google.com/spreadsheets/d/14Bd19lYaqBhU8_DElYkX7l4wRkHqqCUFNJY4AfY3kHU/edit?usp=sharing  #gid=0"",""фіз особи new!relations_name""),6,FALSE)
,
(IF
(
C14423=""юридична особа""
,
VLOO"&amp;"KUP(D14423,IMPORTRANGE(""https://docs.google.com/spreadsheets/d/14Bd19lYaqBhU8_DElYkX7l4wRkHqqCUFNJY4AfY3kHU/edit?usp=sharing  #gid=0"",""фіз особи new!relations_name_uo""),7,FALSE)
,
)
))"),"ДЮСУШЕ Ярослав Володимирович")</f>
        <v>ДЮСУШЕ Ярослав Володимирович</v>
      </c>
      <c r="G14422" s="7" t="s">
        <v>10</v>
      </c>
      <c r="H14422" s="7">
        <v>6591</v>
      </c>
      <c r="I14422" s="8" t="str">
        <f ca="1">IFERROR(__xludf.DUMMYFUNCTION("IF
(
G14423=""фізична особа""
,
VLOOKUP(H14423,IMPORTRANGE(""https://docs.google.com/spreadsheets/d/14Bd19lYaqBhU8_DElYkX7l4wRkHqqCUFNJY4AfY3kHU/edit?usp=sharing  #gid=0"",""фіз особи new!relations_name""),6,FALSE)
,
(IF
(
G14423=""юридична особа""
,
VLOO"&amp;"KUP(H14423,IMPORTRANGE(""https://docs.google.com/spreadsheets/d/14Bd19lYaqBhU8_DElYkX7l4wRkHqqCUFNJY4AfY3kHU/edit?usp=sharing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14422" s="7" t="s">
        <v>23</v>
      </c>
    </row>
    <row r="14423" spans="1:10" ht="13.2">
      <c r="A14423" s="7">
        <v>14422</v>
      </c>
      <c r="B14423" s="7">
        <v>1</v>
      </c>
      <c r="C14423" s="7" t="s">
        <v>10</v>
      </c>
      <c r="D14423" s="7">
        <v>19360</v>
      </c>
      <c r="E14423" s="7" t="s">
        <v>23</v>
      </c>
      <c r="F14423" s="8" t="str">
        <f ca="1">IFERROR(__xludf.DUMMYFUNCTION("IF
(
C14424=""фізична особа""
,
VLOOKUP(D14424,IMPORTRANGE(""https://docs.google.com/spreadsheets/d/14Bd19lYaqBhU8_DElYkX7l4wRkHqqCUFNJY4AfY3kHU/edit?usp=sharing  #gid=0"",""фіз особи new!relations_name""),6,FALSE)
,
(IF
(
C14424=""юридична особа""
,
VLOO"&amp;"KUP(D14424,IMPORTRANGE(""https://docs.google.com/spreadsheets/d/14Bd19lYaqBhU8_DElYkX7l4wRkHqqCUFNJY4AfY3kHU/edit?usp=sharing  #gid=0"",""фіз особи new!relations_name_uo""),7,FALSE)
,
)
))"),"НЕПОРОЖНІЙ Олександр Ігорович")</f>
        <v>НЕПОРОЖНІЙ Олександр Ігорович</v>
      </c>
      <c r="G14423" s="7" t="s">
        <v>10</v>
      </c>
      <c r="H14423" s="7">
        <v>6589</v>
      </c>
      <c r="I14423" s="8" t="str">
        <f ca="1">IFERROR(__xludf.DUMMYFUNCTION("IF
(
G14424=""фізична особа""
,
VLOOKUP(H14424,IMPORTRANGE(""https://docs.google.com/spreadsheets/d/14Bd19lYaqBhU8_DElYkX7l4wRkHqqCUFNJY4AfY3kHU/edit?usp=sharing  #gid=0"",""фіз особи new!relations_name""),6,FALSE)
,
(IF
(
G14424=""юридична особа""
,
VLOO"&amp;"KUP(H14424,IMPORTRANGE(""https://docs.google.com/spreadsheets/d/14Bd19lYaqBhU8_DElYkX7l4wRkHqqCUFNJY4AfY3kHU/edit?usp=sharing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14423" s="7" t="s">
        <v>23</v>
      </c>
    </row>
    <row r="14424" spans="1:10" ht="13.2">
      <c r="A14424" s="7">
        <v>14423</v>
      </c>
      <c r="B14424" s="7">
        <v>1</v>
      </c>
      <c r="C14424" s="7" t="s">
        <v>10</v>
      </c>
      <c r="D14424" s="7">
        <v>19360</v>
      </c>
      <c r="E14424" s="7" t="s">
        <v>23</v>
      </c>
      <c r="F14424" s="8" t="str">
        <f ca="1">IFERROR(__xludf.DUMMYFUNCTION("IF
(
C14425=""фізична особа""
,
VLOOKUP(D14425,IMPORTRANGE(""https://docs.google.com/spreadsheets/d/14Bd19lYaqBhU8_DElYkX7l4wRkHqqCUFNJY4AfY3kHU/edit?usp=sharing  #gid=0"",""фіз особи new!relations_name""),6,FALSE)
,
(IF
(
C14425=""юридична особа""
,
VLOO"&amp;"KUP(D14425,IMPORTRANGE(""https://docs.google.com/spreadsheets/d/14Bd19lYaqBhU8_DElYkX7l4wRkHqqCUFNJY4AfY3kHU/edit?usp=sharing  #gid=0"",""фіз особи new!relations_name_uo""),7,FALSE)
,
)
))"),"НЕПОРОЖНІЙ Олександр Ігорович")</f>
        <v>НЕПОРОЖНІЙ Олександр Ігорович</v>
      </c>
      <c r="G14424" s="7" t="s">
        <v>10</v>
      </c>
      <c r="H14424" s="7">
        <v>6591</v>
      </c>
      <c r="I14424" s="8" t="str">
        <f ca="1">IFERROR(__xludf.DUMMYFUNCTION("IF
(
G14425=""фізична особа""
,
VLOOKUP(H14425,IMPORTRANGE(""https://docs.google.com/spreadsheets/d/14Bd19lYaqBhU8_DElYkX7l4wRkHqqCUFNJY4AfY3kHU/edit?usp=sharing  #gid=0"",""фіз особи new!relations_name""),6,FALSE)
,
(IF
(
G14425=""юридична особа""
,
VLOO"&amp;"KUP(H14425,IMPORTRANGE(""https://docs.google.com/spreadsheets/d/14Bd19lYaqBhU8_DElYkX7l4wRkHqqCUFNJY4AfY3kHU/edit?usp=sharing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14424" s="7" t="s">
        <v>23</v>
      </c>
    </row>
    <row r="14425" spans="1:10" ht="13.2">
      <c r="A14425" s="7">
        <v>14424</v>
      </c>
      <c r="B14425" s="7">
        <v>1</v>
      </c>
      <c r="C14425" s="7" t="s">
        <v>10</v>
      </c>
      <c r="D14425" s="7">
        <v>19361</v>
      </c>
      <c r="E14425" s="7" t="s">
        <v>23</v>
      </c>
      <c r="F14425" s="8" t="str">
        <f ca="1">IFERROR(__xludf.DUMMYFUNCTION("IF
(
C14426=""фізична особа""
,
VLOOKUP(D14426,IMPORTRANGE(""https://docs.google.com/spreadsheets/d/14Bd19lYaqBhU8_DElYkX7l4wRkHqqCUFNJY4AfY3kHU/edit?usp=sharing  #gid=0"",""фіз особи new!relations_name""),6,FALSE)
,
(IF
(
C14426=""юридична особа""
,
VLOO"&amp;"KUP(D14426,IMPORTRANGE(""https://docs.google.com/spreadsheets/d/14Bd19lYaqBhU8_DElYkX7l4wRkHqqCUFNJY4AfY3kHU/edit?usp=sharing  #gid=0"",""фіз особи new!relations_name_uo""),7,FALSE)
,
)
))"),"БЕСПЯТОВА Ганна Анатоліївна")</f>
        <v>БЕСПЯТОВА Ганна Анатоліївна</v>
      </c>
      <c r="G14425" s="7" t="s">
        <v>10</v>
      </c>
      <c r="H14425" s="7">
        <v>6589</v>
      </c>
      <c r="I14425" s="8" t="str">
        <f ca="1">IFERROR(__xludf.DUMMYFUNCTION("IF
(
G14426=""фізична особа""
,
VLOOKUP(H14426,IMPORTRANGE(""https://docs.google.com/spreadsheets/d/14Bd19lYaqBhU8_DElYkX7l4wRkHqqCUFNJY4AfY3kHU/edit?usp=sharing  #gid=0"",""фіз особи new!relations_name""),6,FALSE)
,
(IF
(
G14426=""юридична особа""
,
VLOO"&amp;"KUP(H14426,IMPORTRANGE(""https://docs.google.com/spreadsheets/d/14Bd19lYaqBhU8_DElYkX7l4wRkHqqCUFNJY4AfY3kHU/edit?usp=sharing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14425" s="7" t="s">
        <v>23</v>
      </c>
    </row>
    <row r="14426" spans="1:10" ht="13.2">
      <c r="A14426" s="7">
        <v>14425</v>
      </c>
      <c r="B14426" s="7">
        <v>1</v>
      </c>
      <c r="C14426" s="7" t="s">
        <v>10</v>
      </c>
      <c r="D14426" s="7">
        <v>19361</v>
      </c>
      <c r="E14426" s="7" t="s">
        <v>23</v>
      </c>
      <c r="F14426" s="8" t="str">
        <f ca="1">IFERROR(__xludf.DUMMYFUNCTION("IF
(
C14427=""фізична особа""
,
VLOOKUP(D14427,IMPORTRANGE(""https://docs.google.com/spreadsheets/d/14Bd19lYaqBhU8_DElYkX7l4wRkHqqCUFNJY4AfY3kHU/edit?usp=sharing  #gid=0"",""фіз особи new!relations_name""),6,FALSE)
,
(IF
(
C14427=""юридична особа""
,
VLOO"&amp;"KUP(D14427,IMPORTRANGE(""https://docs.google.com/spreadsheets/d/14Bd19lYaqBhU8_DElYkX7l4wRkHqqCUFNJY4AfY3kHU/edit?usp=sharing  #gid=0"",""фіз особи new!relations_name_uo""),7,FALSE)
,
)
))"),"БЕСПЯТОВА Ганна Анатоліївна")</f>
        <v>БЕСПЯТОВА Ганна Анатоліївна</v>
      </c>
      <c r="G14426" s="7" t="s">
        <v>10</v>
      </c>
      <c r="H14426" s="7">
        <v>6591</v>
      </c>
      <c r="I14426" s="8" t="str">
        <f ca="1">IFERROR(__xludf.DUMMYFUNCTION("IF
(
G14427=""фізична особа""
,
VLOOKUP(H14427,IMPORTRANGE(""https://docs.google.com/spreadsheets/d/14Bd19lYaqBhU8_DElYkX7l4wRkHqqCUFNJY4AfY3kHU/edit?usp=sharing  #gid=0"",""фіз особи new!relations_name""),6,FALSE)
,
(IF
(
G14427=""юридична особа""
,
VLOO"&amp;"KUP(H14427,IMPORTRANGE(""https://docs.google.com/spreadsheets/d/14Bd19lYaqBhU8_DElYkX7l4wRkHqqCUFNJY4AfY3kHU/edit?usp=sharing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14426" s="7" t="s">
        <v>23</v>
      </c>
    </row>
    <row r="14427" spans="1:10" ht="13.2">
      <c r="A14427" s="7">
        <v>14426</v>
      </c>
      <c r="B14427" s="7">
        <v>1</v>
      </c>
      <c r="C14427" s="7" t="s">
        <v>10</v>
      </c>
      <c r="D14427" s="7">
        <v>19362</v>
      </c>
      <c r="E14427" s="7" t="s">
        <v>23</v>
      </c>
      <c r="F14427" s="8" t="str">
        <f ca="1">IFERROR(__xludf.DUMMYFUNCTION("IF
(
C14428=""фізична особа""
,
VLOOKUP(D14428,IMPORTRANGE(""https://docs.google.com/spreadsheets/d/14Bd19lYaqBhU8_DElYkX7l4wRkHqqCUFNJY4AfY3kHU/edit?usp=sharing  #gid=0"",""фіз особи new!relations_name""),6,FALSE)
,
(IF
(
C14428=""юридична особа""
,
VLOO"&amp;"KUP(D14428,IMPORTRANGE(""https://docs.google.com/spreadsheets/d/14Bd19lYaqBhU8_DElYkX7l4wRkHqqCUFNJY4AfY3kHU/edit?usp=sharing  #gid=0"",""фіз особи new!relations_name_uo""),7,FALSE)
,
)
))"),"СМОЛІНА Олена Борисівна")</f>
        <v>СМОЛІНА Олена Борисівна</v>
      </c>
      <c r="G14427" s="7" t="s">
        <v>10</v>
      </c>
      <c r="H14427" s="7">
        <v>6589</v>
      </c>
      <c r="I14427" s="8" t="str">
        <f ca="1">IFERROR(__xludf.DUMMYFUNCTION("IF
(
G14428=""фізична особа""
,
VLOOKUP(H14428,IMPORTRANGE(""https://docs.google.com/spreadsheets/d/14Bd19lYaqBhU8_DElYkX7l4wRkHqqCUFNJY4AfY3kHU/edit?usp=sharing  #gid=0"",""фіз особи new!relations_name""),6,FALSE)
,
(IF
(
G14428=""юридична особа""
,
VLOO"&amp;"KUP(H14428,IMPORTRANGE(""https://docs.google.com/spreadsheets/d/14Bd19lYaqBhU8_DElYkX7l4wRkHqqCUFNJY4AfY3kHU/edit?usp=sharing  #gid=0"",""фіз особи new!relations_name_uo""),7,FALSE)
,
)
))"),"РЕМША Віктор Михайлович")</f>
        <v>РЕМША Віктор Михайлович</v>
      </c>
      <c r="J14427" s="7" t="s">
        <v>23</v>
      </c>
    </row>
    <row r="14428" spans="1:10" ht="13.2">
      <c r="A14428" s="7">
        <v>14427</v>
      </c>
      <c r="B14428" s="7">
        <v>1</v>
      </c>
      <c r="C14428" s="7" t="s">
        <v>10</v>
      </c>
      <c r="D14428" s="7">
        <v>19362</v>
      </c>
      <c r="E14428" s="7" t="s">
        <v>23</v>
      </c>
      <c r="F14428" s="8" t="str">
        <f ca="1">IFERROR(__xludf.DUMMYFUNCTION("IF
(
C14429=""фізична особа""
,
VLOOKUP(D14429,IMPORTRANGE(""https://docs.google.com/spreadsheets/d/14Bd19lYaqBhU8_DElYkX7l4wRkHqqCUFNJY4AfY3kHU/edit?usp=sharing  #gid=0"",""фіз особи new!relations_name""),6,FALSE)
,
(IF
(
C14429=""юридична особа""
,
VLOO"&amp;"KUP(D14429,IMPORTRANGE(""https://docs.google.com/spreadsheets/d/14Bd19lYaqBhU8_DElYkX7l4wRkHqqCUFNJY4AfY3kHU/edit?usp=sharing  #gid=0"",""фіз особи new!relations_name_uo""),7,FALSE)
,
)
))"),"СМОЛІНА Олена Борисівна")</f>
        <v>СМОЛІНА Олена Борисівна</v>
      </c>
      <c r="G14428" s="7" t="s">
        <v>10</v>
      </c>
      <c r="H14428" s="7">
        <v>6591</v>
      </c>
      <c r="I14428" s="8" t="str">
        <f ca="1">IFERROR(__xludf.DUMMYFUNCTION("IF
(
G14429=""фізична особа""
,
VLOOKUP(H14429,IMPORTRANGE(""https://docs.google.com/spreadsheets/d/14Bd19lYaqBhU8_DElYkX7l4wRkHqqCUFNJY4AfY3kHU/edit?usp=sharing  #gid=0"",""фіз особи new!relations_name""),6,FALSE)
,
(IF
(
G14429=""юридична особа""
,
VLOO"&amp;"KUP(H14429,IMPORTRANGE(""https://docs.google.com/spreadsheets/d/14Bd19lYaqBhU8_DElYkX7l4wRkHqqCUFNJY4AfY3kHU/edit?usp=sharing  #gid=0"",""фіз особи new!relations_name_uo""),7,FALSE)
,
)
))"),"ШУЛЬГА Андрій Сергійович")</f>
        <v>ШУЛЬГА Андрій Сергійович</v>
      </c>
      <c r="J14428" s="7" t="s">
        <v>23</v>
      </c>
    </row>
    <row r="14429" spans="1:10" ht="13.2">
      <c r="A14429" s="7">
        <v>14428</v>
      </c>
      <c r="B14429" s="7">
        <v>1</v>
      </c>
      <c r="C14429" s="7" t="s">
        <v>10</v>
      </c>
      <c r="D14429" s="7">
        <v>19363</v>
      </c>
      <c r="E14429" s="7" t="s">
        <v>23</v>
      </c>
      <c r="F14429" s="8" t="str">
        <f ca="1">IFERROR(__xludf.DUMMYFUNCTION("IF
(
C14430=""фізична особа""
,
VLOOKUP(D14430,IMPORTRANGE(""https://docs.google.com/spreadsheets/d/14Bd19lYaqBhU8_DElYkX7l4wRkHqqCUFNJY4AfY3kHU/edit?usp=sharing  #gid=0"",""фіз особи new!relations_name""),6,FALSE)
,
(IF
(
C14430=""юридична особа""
,
VLOO"&amp;"KUP(D14430,IMPORTRANGE(""https://docs.google.com/spreadsheets/d/14Bd19lYaqBhU8_DElYkX7l4wRkHqqCUFNJY4AfY3kHU/edit?usp=sharing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29" s="7" t="s">
        <v>10</v>
      </c>
      <c r="H14429" s="7">
        <v>0</v>
      </c>
      <c r="I14429" s="8" t="str">
        <f ca="1">IFERROR(__xludf.DUMMYFUNCTION("IF
(
G14430=""фізична особа""
,
VLOOKUP(H14430,IMPORTRANGE(""https://docs.google.com/spreadsheets/d/14Bd19lYaqBhU8_DElYkX7l4wRkHqqCUFNJY4AfY3kHU/edit?usp=sharing  #gid=0"",""фіз особи new!relations_name""),6,FALSE)
,
(IF
(
G14430=""юридична особа""
,
VLOO"&amp;"KUP(H14430,IMPORTRANGE(""https://docs.google.com/spreadsheets/d/14Bd19lYaqBhU8_DElYkX7l4wRkHqqCUFNJY4AfY3kHU/edit?usp=sharing  #gid=0"",""фіз особи new!relations_name_uo""),7,FALSE)
,
)
))"),"#N/A")</f>
        <v>#N/A</v>
      </c>
      <c r="J14429" s="7" t="s">
        <v>23</v>
      </c>
    </row>
    <row r="14430" spans="1:10" ht="13.2">
      <c r="A14430" s="7">
        <v>14429</v>
      </c>
      <c r="B14430" s="7">
        <v>1</v>
      </c>
      <c r="C14430" s="7" t="s">
        <v>10</v>
      </c>
      <c r="D14430" s="7">
        <v>19363</v>
      </c>
      <c r="E14430" s="7" t="s">
        <v>23</v>
      </c>
      <c r="F14430" s="8" t="str">
        <f ca="1">IFERROR(__xludf.DUMMYFUNCTION("IF
(
C14431=""фізична особа""
,
VLOOKUP(D14431,IMPORTRANGE(""https://docs.google.com/spreadsheets/d/14Bd19lYaqBhU8_DElYkX7l4wRkHqqCUFNJY4AfY3kHU/edit?usp=sharing  #gid=0"",""фіз особи new!relations_name""),6,FALSE)
,
(IF
(
C14431=""юридична особа""
,
VLOO"&amp;"KUP(D14431,IMPORTRANGE(""https://docs.google.com/spreadsheets/d/14Bd19lYaqBhU8_DElYkX7l4wRkHqqCUFNJY4AfY3kHU/edit?usp=sharing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0" s="7" t="s">
        <v>10</v>
      </c>
      <c r="H14430" s="7">
        <v>19369</v>
      </c>
      <c r="I14430" s="8" t="str">
        <f ca="1">IFERROR(__xludf.DUMMYFUNCTION("IF
(
G14431=""фізична особа""
,
VLOOKUP(H14431,IMPORTRANGE(""https://docs.google.com/spreadsheets/d/14Bd19lYaqBhU8_DElYkX7l4wRkHqqCUFNJY4AfY3kHU/edit?usp=sharing  #gid=0"",""фіз особи new!relations_name""),6,FALSE)
,
(IF
(
G14431=""юридична особа""
,
VLOO"&amp;"KUP(H14431,IMPORTRANGE(""https://docs.google.com/spreadsheets/d/14Bd19lYaqBhU8_DElYkX7l4wRkHqqCUFNJY4AfY3kHU/edit?usp=sharing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J14430" s="7" t="s">
        <v>23</v>
      </c>
    </row>
    <row r="14431" spans="1:10" ht="13.2">
      <c r="A14431" s="7">
        <v>14430</v>
      </c>
      <c r="B14431" s="7">
        <v>1</v>
      </c>
      <c r="C14431" s="7" t="s">
        <v>10</v>
      </c>
      <c r="D14431" s="7">
        <v>19363</v>
      </c>
      <c r="E14431" s="7" t="s">
        <v>23</v>
      </c>
      <c r="F14431" s="8" t="str">
        <f ca="1">IFERROR(__xludf.DUMMYFUNCTION("IF
(
C14432=""фізична особа""
,
VLOOKUP(D14432,IMPORTRANGE(""https://docs.google.com/spreadsheets/d/14Bd19lYaqBhU8_DElYkX7l4wRkHqqCUFNJY4AfY3kHU/edit?usp=sharing  #gid=0"",""фіз особи new!relations_name""),6,FALSE)
,
(IF
(
C14432=""юридична особа""
,
VLOO"&amp;"KUP(D14432,IMPORTRANGE(""https://docs.google.com/spreadsheets/d/14Bd19lYaqBhU8_DElYkX7l4wRkHqqCUFNJY4AfY3kHU/edit?usp=sharing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1" s="7" t="s">
        <v>10</v>
      </c>
      <c r="H14431" s="7">
        <v>23685</v>
      </c>
      <c r="I14431" s="8" t="str">
        <f ca="1">IFERROR(__xludf.DUMMYFUNCTION("IF
(
G14432=""фізична особа""
,
VLOOKUP(H14432,IMPORTRANGE(""https://docs.google.com/spreadsheets/d/14Bd19lYaqBhU8_DElYkX7l4wRkHqqCUFNJY4AfY3kHU/edit?usp=sharing  #gid=0"",""фіз особи new!relations_name""),6,FALSE)
,
(IF
(
G14432=""юридична особа""
,
VLOO"&amp;"KUP(H14432,IMPORTRANGE(""https://docs.google.com/spreadsheets/d/14Bd19lYaqBhU8_DElYkX7l4wRkHqqCUFNJY4AfY3kHU/edit?usp=sharing  #gid=0"",""фіз особи new!relations_name_uo""),7,FALSE)
,
)
))"),"НАГІНСЬКА Олена Григорівна")</f>
        <v>НАГІНСЬКА Олена Григорівна</v>
      </c>
      <c r="J14431" s="7" t="s">
        <v>23</v>
      </c>
    </row>
    <row r="14432" spans="1:10" ht="13.2">
      <c r="A14432" s="7">
        <v>14431</v>
      </c>
      <c r="B14432" s="7">
        <v>1</v>
      </c>
      <c r="C14432" s="7" t="s">
        <v>10</v>
      </c>
      <c r="D14432" s="7">
        <v>19363</v>
      </c>
      <c r="E14432" s="7" t="s">
        <v>23</v>
      </c>
      <c r="F14432" s="8" t="str">
        <f ca="1">IFERROR(__xludf.DUMMYFUNCTION("IF
(
C14433=""фізична особа""
,
VLOOKUP(D14433,IMPORTRANGE(""https://docs.google.com/spreadsheets/d/14Bd19lYaqBhU8_DElYkX7l4wRkHqqCUFNJY4AfY3kHU/edit?usp=sharing  #gid=0"",""фіз особи new!relations_name""),6,FALSE)
,
(IF
(
C14433=""юридична особа""
,
VLOO"&amp;"KUP(D14433,IMPORTRANGE(""https://docs.google.com/spreadsheets/d/14Bd19lYaqBhU8_DElYkX7l4wRkHqqCUFNJY4AfY3kHU/edit?usp=sharing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2" s="7" t="s">
        <v>10</v>
      </c>
      <c r="H14432" s="7">
        <v>23686</v>
      </c>
      <c r="I14432" s="8" t="str">
        <f ca="1">IFERROR(__xludf.DUMMYFUNCTION("IF
(
G14433=""фізична особа""
,
VLOOKUP(H14433,IMPORTRANGE(""https://docs.google.com/spreadsheets/d/14Bd19lYaqBhU8_DElYkX7l4wRkHqqCUFNJY4AfY3kHU/edit?usp=sharing  #gid=0"",""фіз особи new!relations_name""),6,FALSE)
,
(IF
(
G14433=""юридична особа""
,
VLOO"&amp;"KUP(H14433,IMPORTRANGE(""https://docs.google.com/spreadsheets/d/14Bd19lYaqBhU8_DElYkX7l4wRkHqqCUFNJY4AfY3kHU/edit?usp=sharing  #gid=0"",""фіз особи new!relations_name_uo""),7,FALSE)
,
)
))"),"ЄМЕЛЬЯНОВА Антоніна Леонідівна")</f>
        <v>ЄМЕЛЬЯНОВА Антоніна Леонідівна</v>
      </c>
      <c r="J14432" s="7" t="s">
        <v>23</v>
      </c>
    </row>
    <row r="14433" spans="1:10" ht="13.2">
      <c r="A14433" s="7">
        <v>14432</v>
      </c>
      <c r="B14433" s="7">
        <v>1</v>
      </c>
      <c r="C14433" s="7" t="s">
        <v>10</v>
      </c>
      <c r="D14433" s="7">
        <v>19363</v>
      </c>
      <c r="E14433" s="7" t="s">
        <v>23</v>
      </c>
      <c r="F14433" s="8" t="str">
        <f ca="1">IFERROR(__xludf.DUMMYFUNCTION("IF
(
C14434=""фізична особа""
,
VLOOKUP(D14434,IMPORTRANGE(""https://docs.google.com/spreadsheets/d/14Bd19lYaqBhU8_DElYkX7l4wRkHqqCUFNJY4AfY3kHU/edit?usp=sharing  #gid=0"",""фіз особи new!relations_name""),6,FALSE)
,
(IF
(
C14434=""юридична особа""
,
VLOO"&amp;"KUP(D14434,IMPORTRANGE(""https://docs.google.com/spreadsheets/d/14Bd19lYaqBhU8_DElYkX7l4wRkHqqCUFNJY4AfY3kHU/edit?usp=sharing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3" s="7" t="s">
        <v>10</v>
      </c>
      <c r="H14433" s="7">
        <v>0</v>
      </c>
      <c r="I14433" s="8" t="str">
        <f ca="1">IFERROR(__xludf.DUMMYFUNCTION("IF
(
G14434=""фізична особа""
,
VLOOKUP(H14434,IMPORTRANGE(""https://docs.google.com/spreadsheets/d/14Bd19lYaqBhU8_DElYkX7l4wRkHqqCUFNJY4AfY3kHU/edit?usp=sharing  #gid=0"",""фіз особи new!relations_name""),6,FALSE)
,
(IF
(
G14434=""юридична особа""
,
VLOO"&amp;"KUP(H14434,IMPORTRANGE(""https://docs.google.com/spreadsheets/d/14Bd19lYaqBhU8_DElYkX7l4wRkHqqCUFNJY4AfY3kHU/edit?usp=sharing  #gid=0"",""фіз особи new!relations_name_uo""),7,FALSE)
,
)
))"),"#N/A")</f>
        <v>#N/A</v>
      </c>
      <c r="J14433" s="7" t="s">
        <v>23</v>
      </c>
    </row>
    <row r="14434" spans="1:10" ht="13.2">
      <c r="A14434" s="7">
        <v>14433</v>
      </c>
      <c r="B14434" s="7">
        <v>1</v>
      </c>
      <c r="C14434" s="7" t="s">
        <v>10</v>
      </c>
      <c r="D14434" s="7">
        <v>19363</v>
      </c>
      <c r="E14434" s="7" t="s">
        <v>23</v>
      </c>
      <c r="F14434" s="8" t="str">
        <f ca="1">IFERROR(__xludf.DUMMYFUNCTION("IF
(
C14435=""фізична особа""
,
VLOOKUP(D14435,IMPORTRANGE(""https://docs.google.com/spreadsheets/d/14Bd19lYaqBhU8_DElYkX7l4wRkHqqCUFNJY4AfY3kHU/edit?usp=sharing  #gid=0"",""фіз особи new!relations_name""),6,FALSE)
,
(IF
(
C14435=""юридична особа""
,
VLOO"&amp;"KUP(D14435,IMPORTRANGE(""https://docs.google.com/spreadsheets/d/14Bd19lYaqBhU8_DElYkX7l4wRkHqqCUFNJY4AfY3kHU/edit?usp=sharing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4" s="7" t="s">
        <v>10</v>
      </c>
      <c r="H14434" s="7">
        <v>23687</v>
      </c>
      <c r="I14434" s="8" t="str">
        <f ca="1">IFERROR(__xludf.DUMMYFUNCTION("IF
(
G14435=""фізична особа""
,
VLOOKUP(H14435,IMPORTRANGE(""https://docs.google.com/spreadsheets/d/14Bd19lYaqBhU8_DElYkX7l4wRkHqqCUFNJY4AfY3kHU/edit?usp=sharing  #gid=0"",""фіз особи new!relations_name""),6,FALSE)
,
(IF
(
G14435=""юридична особа""
,
VLOO"&amp;"KUP(H14435,IMPORTRANGE(""https://docs.google.com/spreadsheets/d/14Bd19lYaqBhU8_DElYkX7l4wRkHqqCUFNJY4AfY3kHU/edit?usp=sharing  #gid=0"",""фіз особи new!relations_name_uo""),7,FALSE)
,
)
))"),"ЛОСЄВА Олена Вячеславівна")</f>
        <v>ЛОСЄВА Олена Вячеславівна</v>
      </c>
      <c r="J14434" s="7" t="s">
        <v>23</v>
      </c>
    </row>
    <row r="14435" spans="1:10" ht="13.2">
      <c r="A14435" s="7">
        <v>14434</v>
      </c>
      <c r="B14435" s="7">
        <v>1</v>
      </c>
      <c r="C14435" s="7" t="s">
        <v>10</v>
      </c>
      <c r="D14435" s="7">
        <v>19363</v>
      </c>
      <c r="E14435" s="7" t="s">
        <v>23</v>
      </c>
      <c r="F14435" s="8" t="str">
        <f ca="1">IFERROR(__xludf.DUMMYFUNCTION("IF
(
C14436=""фізична особа""
,
VLOOKUP(D14436,IMPORTRANGE(""https://docs.google.com/spreadsheets/d/14Bd19lYaqBhU8_DElYkX7l4wRkHqqCUFNJY4AfY3kHU/edit?usp=sharing  #gid=0"",""фіз особи new!relations_name""),6,FALSE)
,
(IF
(
C14436=""юридична особа""
,
VLOO"&amp;"KUP(D14436,IMPORTRANGE(""https://docs.google.com/spreadsheets/d/14Bd19lYaqBhU8_DElYkX7l4wRkHqqCUFNJY4AfY3kHU/edit?usp=sharing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5" s="7" t="s">
        <v>10</v>
      </c>
      <c r="H14435" s="7">
        <v>19476</v>
      </c>
      <c r="I14435" s="8" t="str">
        <f ca="1">IFERROR(__xludf.DUMMYFUNCTION("IF
(
G14436=""фізична особа""
,
VLOOKUP(H14436,IMPORTRANGE(""https://docs.google.com/spreadsheets/d/14Bd19lYaqBhU8_DElYkX7l4wRkHqqCUFNJY4AfY3kHU/edit?usp=sharing  #gid=0"",""фіз особи new!relations_name""),6,FALSE)
,
(IF
(
G14436=""юридична особа""
,
VLOO"&amp;"KUP(H14436,IMPORTRANGE(""https://docs.google.com/spreadsheets/d/14Bd19lYaqBhU8_DElYkX7l4wRkHqqCUFNJY4AfY3kHU/edit?usp=sharing  #gid=0"",""фіз особи new!relations_name_uo""),7,FALSE)
,
)
))"),"КРАСНОВ Юрій Юрійович")</f>
        <v>КРАСНОВ Юрій Юрійович</v>
      </c>
      <c r="J14435" s="7" t="s">
        <v>23</v>
      </c>
    </row>
    <row r="14436" spans="1:10" ht="13.2">
      <c r="A14436" s="7">
        <v>14435</v>
      </c>
      <c r="B14436" s="7">
        <v>1</v>
      </c>
      <c r="C14436" s="7" t="s">
        <v>10</v>
      </c>
      <c r="D14436" s="7">
        <v>19363</v>
      </c>
      <c r="E14436" s="7" t="s">
        <v>23</v>
      </c>
      <c r="F14436" s="8" t="str">
        <f ca="1">IFERROR(__xludf.DUMMYFUNCTION("IF
(
C14437=""фізична особа""
,
VLOOKUP(D14437,IMPORTRANGE(""https://docs.google.com/spreadsheets/d/14Bd19lYaqBhU8_DElYkX7l4wRkHqqCUFNJY4AfY3kHU/edit?usp=sharing  #gid=0"",""фіз особи new!relations_name""),6,FALSE)
,
(IF
(
C14437=""юридична особа""
,
VLOO"&amp;"KUP(D14437,IMPORTRANGE(""https://docs.google.com/spreadsheets/d/14Bd19lYaqBhU8_DElYkX7l4wRkHqqCUFNJY4AfY3kHU/edit?usp=sharing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6" s="7" t="s">
        <v>10</v>
      </c>
      <c r="H14436" s="7">
        <v>0</v>
      </c>
      <c r="I14436" s="8" t="str">
        <f ca="1">IFERROR(__xludf.DUMMYFUNCTION("IF
(
G14437=""фізична особа""
,
VLOOKUP(H14437,IMPORTRANGE(""https://docs.google.com/spreadsheets/d/14Bd19lYaqBhU8_DElYkX7l4wRkHqqCUFNJY4AfY3kHU/edit?usp=sharing  #gid=0"",""фіз особи new!relations_name""),6,FALSE)
,
(IF
(
G14437=""юридична особа""
,
VLOO"&amp;"KUP(H14437,IMPORTRANGE(""https://docs.google.com/spreadsheets/d/14Bd19lYaqBhU8_DElYkX7l4wRkHqqCUFNJY4AfY3kHU/edit?usp=sharing  #gid=0"",""фіз особи new!relations_name_uo""),7,FALSE)
,
)
))"),"#N/A")</f>
        <v>#N/A</v>
      </c>
      <c r="J14436" s="7" t="s">
        <v>23</v>
      </c>
    </row>
    <row r="14437" spans="1:10" ht="13.2">
      <c r="A14437" s="7">
        <v>14436</v>
      </c>
      <c r="B14437" s="7">
        <v>1</v>
      </c>
      <c r="C14437" s="7" t="s">
        <v>10</v>
      </c>
      <c r="D14437" s="7">
        <v>19363</v>
      </c>
      <c r="E14437" s="7" t="s">
        <v>23</v>
      </c>
      <c r="F14437" s="8" t="str">
        <f ca="1">IFERROR(__xludf.DUMMYFUNCTION("IF
(
C14438=""фізична особа""
,
VLOOKUP(D14438,IMPORTRANGE(""https://docs.google.com/spreadsheets/d/14Bd19lYaqBhU8_DElYkX7l4wRkHqqCUFNJY4AfY3kHU/edit?usp=sharing  #gid=0"",""фіз особи new!relations_name""),6,FALSE)
,
(IF
(
C14438=""юридична особа""
,
VLOO"&amp;"KUP(D14438,IMPORTRANGE(""https://docs.google.com/spreadsheets/d/14Bd19lYaqBhU8_DElYkX7l4wRkHqqCUFNJY4AfY3kHU/edit?usp=sharing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7" s="7" t="s">
        <v>10</v>
      </c>
      <c r="H14437" s="7">
        <v>0</v>
      </c>
      <c r="I14437" s="8" t="str">
        <f ca="1">IFERROR(__xludf.DUMMYFUNCTION("IF
(
G14438=""фізична особа""
,
VLOOKUP(H14438,IMPORTRANGE(""https://docs.google.com/spreadsheets/d/14Bd19lYaqBhU8_DElYkX7l4wRkHqqCUFNJY4AfY3kHU/edit?usp=sharing  #gid=0"",""фіз особи new!relations_name""),6,FALSE)
,
(IF
(
G14438=""юридична особа""
,
VLOO"&amp;"KUP(H14438,IMPORTRANGE(""https://docs.google.com/spreadsheets/d/14Bd19lYaqBhU8_DElYkX7l4wRkHqqCUFNJY4AfY3kHU/edit?usp=sharing  #gid=0"",""фіз особи new!relations_name_uo""),7,FALSE)
,
)
))"),"#N/A")</f>
        <v>#N/A</v>
      </c>
      <c r="J14437" s="7" t="s">
        <v>23</v>
      </c>
    </row>
    <row r="14438" spans="1:10" ht="13.2">
      <c r="A14438" s="7">
        <v>14437</v>
      </c>
      <c r="B14438" s="7">
        <v>1</v>
      </c>
      <c r="C14438" s="7" t="s">
        <v>10</v>
      </c>
      <c r="D14438" s="7">
        <v>19363</v>
      </c>
      <c r="E14438" s="7" t="s">
        <v>23</v>
      </c>
      <c r="F14438" s="8" t="str">
        <f ca="1">IFERROR(__xludf.DUMMYFUNCTION("IF
(
C14439=""фізична особа""
,
VLOOKUP(D14439,IMPORTRANGE(""https://docs.google.com/spreadsheets/d/14Bd19lYaqBhU8_DElYkX7l4wRkHqqCUFNJY4AfY3kHU/edit?usp=sharing  #gid=0"",""фіз особи new!relations_name""),6,FALSE)
,
(IF
(
C14439=""юридична особа""
,
VLOO"&amp;"KUP(D14439,IMPORTRANGE(""https://docs.google.com/spreadsheets/d/14Bd19lYaqBhU8_DElYkX7l4wRkHqqCUFNJY4AfY3kHU/edit?usp=sharing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8" s="7" t="s">
        <v>10</v>
      </c>
      <c r="H14438" s="7">
        <v>19370</v>
      </c>
      <c r="I14438" s="8" t="str">
        <f ca="1">IFERROR(__xludf.DUMMYFUNCTION("IF
(
G14439=""фізична особа""
,
VLOOKUP(H14439,IMPORTRANGE(""https://docs.google.com/spreadsheets/d/14Bd19lYaqBhU8_DElYkX7l4wRkHqqCUFNJY4AfY3kHU/edit?usp=sharing  #gid=0"",""фіз особи new!relations_name""),6,FALSE)
,
(IF
(
G14439=""юридична особа""
,
VLOO"&amp;"KUP(H14439,IMPORTRANGE(""https://docs.google.com/spreadsheets/d/14Bd19lYaqBhU8_DElYkX7l4wRkHqqCUFNJY4AfY3kHU/edit?usp=sharing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J14438" s="7" t="s">
        <v>23</v>
      </c>
    </row>
    <row r="14439" spans="1:10" ht="13.2">
      <c r="A14439" s="7">
        <v>14438</v>
      </c>
      <c r="B14439" s="7">
        <v>1</v>
      </c>
      <c r="C14439" s="7" t="s">
        <v>10</v>
      </c>
      <c r="D14439" s="7">
        <v>19363</v>
      </c>
      <c r="E14439" s="7" t="s">
        <v>23</v>
      </c>
      <c r="F14439" s="8" t="str">
        <f ca="1">IFERROR(__xludf.DUMMYFUNCTION("IF
(
C14440=""фізична особа""
,
VLOOKUP(D14440,IMPORTRANGE(""https://docs.google.com/spreadsheets/d/14Bd19lYaqBhU8_DElYkX7l4wRkHqqCUFNJY4AfY3kHU/edit?usp=sharing  #gid=0"",""фіз особи new!relations_name""),6,FALSE)
,
(IF
(
C14440=""юридична особа""
,
VLOO"&amp;"KUP(D14440,IMPORTRANGE(""https://docs.google.com/spreadsheets/d/14Bd19lYaqBhU8_DElYkX7l4wRkHqqCUFNJY4AfY3kHU/edit?usp=sharing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39" s="7" t="s">
        <v>10</v>
      </c>
      <c r="H14439" s="7">
        <v>0</v>
      </c>
      <c r="I14439" s="8" t="str">
        <f ca="1">IFERROR(__xludf.DUMMYFUNCTION("IF
(
G14440=""фізична особа""
,
VLOOKUP(H14440,IMPORTRANGE(""https://docs.google.com/spreadsheets/d/14Bd19lYaqBhU8_DElYkX7l4wRkHqqCUFNJY4AfY3kHU/edit?usp=sharing  #gid=0"",""фіз особи new!relations_name""),6,FALSE)
,
(IF
(
G14440=""юридична особа""
,
VLOO"&amp;"KUP(H14440,IMPORTRANGE(""https://docs.google.com/spreadsheets/d/14Bd19lYaqBhU8_DElYkX7l4wRkHqqCUFNJY4AfY3kHU/edit?usp=sharing  #gid=0"",""фіз особи new!relations_name_uo""),7,FALSE)
,
)
))"),"#N/A")</f>
        <v>#N/A</v>
      </c>
      <c r="J14439" s="7" t="s">
        <v>23</v>
      </c>
    </row>
    <row r="14440" spans="1:10" ht="13.2">
      <c r="A14440" s="7">
        <v>14439</v>
      </c>
      <c r="B14440" s="7">
        <v>1</v>
      </c>
      <c r="C14440" s="7" t="s">
        <v>10</v>
      </c>
      <c r="D14440" s="7">
        <v>19363</v>
      </c>
      <c r="E14440" s="7" t="s">
        <v>23</v>
      </c>
      <c r="F14440" s="8" t="str">
        <f ca="1">IFERROR(__xludf.DUMMYFUNCTION("IF
(
C14441=""фізична особа""
,
VLOOKUP(D14441,IMPORTRANGE(""https://docs.google.com/spreadsheets/d/14Bd19lYaqBhU8_DElYkX7l4wRkHqqCUFNJY4AfY3kHU/edit?usp=sharing  #gid=0"",""фіз особи new!relations_name""),6,FALSE)
,
(IF
(
C14441=""юридична особа""
,
VLOO"&amp;"KUP(D14441,IMPORTRANGE(""https://docs.google.com/spreadsheets/d/14Bd19lYaqBhU8_DElYkX7l4wRkHqqCUFNJY4AfY3kHU/edit?usp=sharing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0" s="7" t="s">
        <v>10</v>
      </c>
      <c r="H14440" s="7">
        <v>0</v>
      </c>
      <c r="I14440" s="8" t="str">
        <f ca="1">IFERROR(__xludf.DUMMYFUNCTION("IF
(
G14441=""фізична особа""
,
VLOOKUP(H14441,IMPORTRANGE(""https://docs.google.com/spreadsheets/d/14Bd19lYaqBhU8_DElYkX7l4wRkHqqCUFNJY4AfY3kHU/edit?usp=sharing  #gid=0"",""фіз особи new!relations_name""),6,FALSE)
,
(IF
(
G14441=""юридична особа""
,
VLOO"&amp;"KUP(H14441,IMPORTRANGE(""https://docs.google.com/spreadsheets/d/14Bd19lYaqBhU8_DElYkX7l4wRkHqqCUFNJY4AfY3kHU/edit?usp=sharing  #gid=0"",""фіз особи new!relations_name_uo""),7,FALSE)
,
)
))"),"#N/A")</f>
        <v>#N/A</v>
      </c>
      <c r="J14440" s="7" t="s">
        <v>23</v>
      </c>
    </row>
    <row r="14441" spans="1:10" ht="13.2">
      <c r="A14441" s="7">
        <v>14440</v>
      </c>
      <c r="B14441" s="7">
        <v>1</v>
      </c>
      <c r="C14441" s="7" t="s">
        <v>10</v>
      </c>
      <c r="D14441" s="7">
        <v>19363</v>
      </c>
      <c r="E14441" s="7" t="s">
        <v>23</v>
      </c>
      <c r="F14441" s="8" t="str">
        <f ca="1">IFERROR(__xludf.DUMMYFUNCTION("IF
(
C14442=""фізична особа""
,
VLOOKUP(D14442,IMPORTRANGE(""https://docs.google.com/spreadsheets/d/14Bd19lYaqBhU8_DElYkX7l4wRkHqqCUFNJY4AfY3kHU/edit?usp=sharing  #gid=0"",""фіз особи new!relations_name""),6,FALSE)
,
(IF
(
C14442=""юридична особа""
,
VLOO"&amp;"KUP(D14442,IMPORTRANGE(""https://docs.google.com/spreadsheets/d/14Bd19lYaqBhU8_DElYkX7l4wRkHqqCUFNJY4AfY3kHU/edit?usp=sharing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1" s="7" t="s">
        <v>10</v>
      </c>
      <c r="H14441" s="7">
        <v>23688</v>
      </c>
      <c r="I14441" s="8" t="str">
        <f ca="1">IFERROR(__xludf.DUMMYFUNCTION("IF
(
G14442=""фізична особа""
,
VLOOKUP(H14442,IMPORTRANGE(""https://docs.google.com/spreadsheets/d/14Bd19lYaqBhU8_DElYkX7l4wRkHqqCUFNJY4AfY3kHU/edit?usp=sharing  #gid=0"",""фіз особи new!relations_name""),6,FALSE)
,
(IF
(
G14442=""юридична особа""
,
VLOO"&amp;"KUP(H14442,IMPORTRANGE(""https://docs.google.com/spreadsheets/d/14Bd19lYaqBhU8_DElYkX7l4wRkHqqCUFNJY4AfY3kHU/edit?usp=sharing  #gid=0"",""фіз особи new!relations_name_uo""),7,FALSE)
,
)
))"),"БЄЛОВ Юрій Йосипович")</f>
        <v>БЄЛОВ Юрій Йосипович</v>
      </c>
      <c r="J14441" s="7" t="s">
        <v>23</v>
      </c>
    </row>
    <row r="14442" spans="1:10" ht="13.2">
      <c r="A14442" s="7">
        <v>14441</v>
      </c>
      <c r="B14442" s="7">
        <v>1</v>
      </c>
      <c r="C14442" s="7" t="s">
        <v>10</v>
      </c>
      <c r="D14442" s="7">
        <v>19363</v>
      </c>
      <c r="E14442" s="7" t="s">
        <v>23</v>
      </c>
      <c r="F14442" s="8" t="str">
        <f ca="1">IFERROR(__xludf.DUMMYFUNCTION("IF
(
C14443=""фізична особа""
,
VLOOKUP(D14443,IMPORTRANGE(""https://docs.google.com/spreadsheets/d/14Bd19lYaqBhU8_DElYkX7l4wRkHqqCUFNJY4AfY3kHU/edit?usp=sharing  #gid=0"",""фіз особи new!relations_name""),6,FALSE)
,
(IF
(
C14443=""юридична особа""
,
VLOO"&amp;"KUP(D14443,IMPORTRANGE(""https://docs.google.com/spreadsheets/d/14Bd19lYaqBhU8_DElYkX7l4wRkHqqCUFNJY4AfY3kHU/edit?usp=sharing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2" s="7" t="s">
        <v>10</v>
      </c>
      <c r="H14442" s="7">
        <v>23689</v>
      </c>
      <c r="I14442" s="8" t="str">
        <f ca="1">IFERROR(__xludf.DUMMYFUNCTION("IF
(
G14443=""фізична особа""
,
VLOOKUP(H14443,IMPORTRANGE(""https://docs.google.com/spreadsheets/d/14Bd19lYaqBhU8_DElYkX7l4wRkHqqCUFNJY4AfY3kHU/edit?usp=sharing  #gid=0"",""фіз особи new!relations_name""),6,FALSE)
,
(IF
(
G14443=""юридична особа""
,
VLOO"&amp;"KUP(H14443,IMPORTRANGE(""https://docs.google.com/spreadsheets/d/14Bd19lYaqBhU8_DElYkX7l4wRkHqqCUFNJY4AfY3kHU/edit?usp=sharing  #gid=0"",""фіз особи new!relations_name_uo""),7,FALSE)
,
)
))"),"СИМОНЕНКО Ірина Олександрівна")</f>
        <v>СИМОНЕНКО Ірина Олександрівна</v>
      </c>
      <c r="J14442" s="7" t="s">
        <v>23</v>
      </c>
    </row>
    <row r="14443" spans="1:10" ht="13.2">
      <c r="A14443" s="7">
        <v>14442</v>
      </c>
      <c r="B14443" s="7">
        <v>1</v>
      </c>
      <c r="C14443" s="7" t="s">
        <v>10</v>
      </c>
      <c r="D14443" s="7">
        <v>19363</v>
      </c>
      <c r="E14443" s="7" t="s">
        <v>23</v>
      </c>
      <c r="F14443" s="8" t="str">
        <f ca="1">IFERROR(__xludf.DUMMYFUNCTION("IF
(
C14444=""фізична особа""
,
VLOOKUP(D14444,IMPORTRANGE(""https://docs.google.com/spreadsheets/d/14Bd19lYaqBhU8_DElYkX7l4wRkHqqCUFNJY4AfY3kHU/edit?usp=sharing  #gid=0"",""фіз особи new!relations_name""),6,FALSE)
,
(IF
(
C14444=""юридична особа""
,
VLOO"&amp;"KUP(D14444,IMPORTRANGE(""https://docs.google.com/spreadsheets/d/14Bd19lYaqBhU8_DElYkX7l4wRkHqqCUFNJY4AfY3kHU/edit?usp=sharing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3" s="7" t="s">
        <v>10</v>
      </c>
      <c r="H14443" s="7">
        <v>23690</v>
      </c>
      <c r="I14443" s="8" t="str">
        <f ca="1">IFERROR(__xludf.DUMMYFUNCTION("IF
(
G14444=""фізична особа""
,
VLOOKUP(H14444,IMPORTRANGE(""https://docs.google.com/spreadsheets/d/14Bd19lYaqBhU8_DElYkX7l4wRkHqqCUFNJY4AfY3kHU/edit?usp=sharing  #gid=0"",""фіз особи new!relations_name""),6,FALSE)
,
(IF
(
G14444=""юридична особа""
,
VLOO"&amp;"KUP(H14444,IMPORTRANGE(""https://docs.google.com/spreadsheets/d/14Bd19lYaqBhU8_DElYkX7l4wRkHqqCUFNJY4AfY3kHU/edit?usp=sharing  #gid=0"",""фіз особи new!relations_name_uo""),7,FALSE)
,
)
))"),"НОВОЖИЛОВА Ольга Вадимівна")</f>
        <v>НОВОЖИЛОВА Ольга Вадимівна</v>
      </c>
      <c r="J14443" s="7" t="s">
        <v>23</v>
      </c>
    </row>
    <row r="14444" spans="1:10" ht="13.2">
      <c r="A14444" s="7">
        <v>14443</v>
      </c>
      <c r="B14444" s="7">
        <v>1</v>
      </c>
      <c r="C14444" s="7" t="s">
        <v>10</v>
      </c>
      <c r="D14444" s="7">
        <v>19363</v>
      </c>
      <c r="E14444" s="7" t="s">
        <v>23</v>
      </c>
      <c r="F14444" s="8" t="str">
        <f ca="1">IFERROR(__xludf.DUMMYFUNCTION("IF
(
C14445=""фізична особа""
,
VLOOKUP(D14445,IMPORTRANGE(""https://docs.google.com/spreadsheets/d/14Bd19lYaqBhU8_DElYkX7l4wRkHqqCUFNJY4AfY3kHU/edit?usp=sharing  #gid=0"",""фіз особи new!relations_name""),6,FALSE)
,
(IF
(
C14445=""юридична особа""
,
VLOO"&amp;"KUP(D14445,IMPORTRANGE(""https://docs.google.com/spreadsheets/d/14Bd19lYaqBhU8_DElYkX7l4wRkHqqCUFNJY4AfY3kHU/edit?usp=sharing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4" s="7" t="s">
        <v>10</v>
      </c>
      <c r="H14444" s="7">
        <v>23691</v>
      </c>
      <c r="I14444" s="8" t="str">
        <f ca="1">IFERROR(__xludf.DUMMYFUNCTION("IF
(
G14445=""фізична особа""
,
VLOOKUP(H14445,IMPORTRANGE(""https://docs.google.com/spreadsheets/d/14Bd19lYaqBhU8_DElYkX7l4wRkHqqCUFNJY4AfY3kHU/edit?usp=sharing  #gid=0"",""фіз особи new!relations_name""),6,FALSE)
,
(IF
(
G14445=""юридична особа""
,
VLOO"&amp;"KUP(H14445,IMPORTRANGE(""https://docs.google.com/spreadsheets/d/14Bd19lYaqBhU8_DElYkX7l4wRkHqqCUFNJY4AfY3kHU/edit?usp=sharing  #gid=0"",""фіз особи new!relations_name_uo""),7,FALSE)
,
)
))"),"КАРЕЛІНА Наталія Володимирівна")</f>
        <v>КАРЕЛІНА Наталія Володимирівна</v>
      </c>
      <c r="J14444" s="7" t="s">
        <v>23</v>
      </c>
    </row>
    <row r="14445" spans="1:10" ht="13.2">
      <c r="A14445" s="7">
        <v>14444</v>
      </c>
      <c r="B14445" s="7">
        <v>1</v>
      </c>
      <c r="C14445" s="7" t="s">
        <v>10</v>
      </c>
      <c r="D14445" s="7">
        <v>19363</v>
      </c>
      <c r="E14445" s="7" t="s">
        <v>23</v>
      </c>
      <c r="F14445" s="8" t="str">
        <f ca="1">IFERROR(__xludf.DUMMYFUNCTION("IF
(
C14446=""фізична особа""
,
VLOOKUP(D14446,IMPORTRANGE(""https://docs.google.com/spreadsheets/d/14Bd19lYaqBhU8_DElYkX7l4wRkHqqCUFNJY4AfY3kHU/edit?usp=sharing  #gid=0"",""фіз особи new!relations_name""),6,FALSE)
,
(IF
(
C14446=""юридична особа""
,
VLOO"&amp;"KUP(D14446,IMPORTRANGE(""https://docs.google.com/spreadsheets/d/14Bd19lYaqBhU8_DElYkX7l4wRkHqqCUFNJY4AfY3kHU/edit?usp=sharing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5" s="7" t="s">
        <v>10</v>
      </c>
      <c r="H14445" s="7">
        <v>23692</v>
      </c>
      <c r="I14445" s="8" t="str">
        <f ca="1">IFERROR(__xludf.DUMMYFUNCTION("IF
(
G14446=""фізична особа""
,
VLOOKUP(H14446,IMPORTRANGE(""https://docs.google.com/spreadsheets/d/14Bd19lYaqBhU8_DElYkX7l4wRkHqqCUFNJY4AfY3kHU/edit?usp=sharing  #gid=0"",""фіз особи new!relations_name""),6,FALSE)
,
(IF
(
G14446=""юридична особа""
,
VLOO"&amp;"KUP(H14446,IMPORTRANGE(""https://docs.google.com/spreadsheets/d/14Bd19lYaqBhU8_DElYkX7l4wRkHqqCUFNJY4AfY3kHU/edit?usp=sharing  #gid=0"",""фіз особи new!relations_name_uo""),7,FALSE)
,
)
))"),"КОНДРАШОВ Василь Павлович")</f>
        <v>КОНДРАШОВ Василь Павлович</v>
      </c>
      <c r="J14445" s="7" t="s">
        <v>23</v>
      </c>
    </row>
    <row r="14446" spans="1:10" ht="13.2">
      <c r="A14446" s="7">
        <v>14445</v>
      </c>
      <c r="B14446" s="7">
        <v>1</v>
      </c>
      <c r="C14446" s="7" t="s">
        <v>10</v>
      </c>
      <c r="D14446" s="7">
        <v>19363</v>
      </c>
      <c r="E14446" s="7" t="s">
        <v>23</v>
      </c>
      <c r="F14446" s="8" t="str">
        <f ca="1">IFERROR(__xludf.DUMMYFUNCTION("IF
(
C14447=""фізична особа""
,
VLOOKUP(D14447,IMPORTRANGE(""https://docs.google.com/spreadsheets/d/14Bd19lYaqBhU8_DElYkX7l4wRkHqqCUFNJY4AfY3kHU/edit?usp=sharing  #gid=0"",""фіз особи new!relations_name""),6,FALSE)
,
(IF
(
C14447=""юридична особа""
,
VLOO"&amp;"KUP(D14447,IMPORTRANGE(""https://docs.google.com/spreadsheets/d/14Bd19lYaqBhU8_DElYkX7l4wRkHqqCUFNJY4AfY3kHU/edit?usp=sharing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6" s="7" t="s">
        <v>10</v>
      </c>
      <c r="H14446" s="7">
        <v>23693</v>
      </c>
      <c r="I14446" s="8" t="str">
        <f ca="1">IFERROR(__xludf.DUMMYFUNCTION("IF
(
G14447=""фізична особа""
,
VLOOKUP(H14447,IMPORTRANGE(""https://docs.google.com/spreadsheets/d/14Bd19lYaqBhU8_DElYkX7l4wRkHqqCUFNJY4AfY3kHU/edit?usp=sharing  #gid=0"",""фіз особи new!relations_name""),6,FALSE)
,
(IF
(
G14447=""юридична особа""
,
VLOO"&amp;"KUP(H14447,IMPORTRANGE(""https://docs.google.com/spreadsheets/d/14Bd19lYaqBhU8_DElYkX7l4wRkHqqCUFNJY4AfY3kHU/edit?usp=sharing  #gid=0"",""фіз особи new!relations_name_uo""),7,FALSE)
,
)
))"),"МАКОВКІНА Євгенія Володимирівна")</f>
        <v>МАКОВКІНА Євгенія Володимирівна</v>
      </c>
      <c r="J14446" s="7" t="s">
        <v>23</v>
      </c>
    </row>
    <row r="14447" spans="1:10" ht="13.2">
      <c r="A14447" s="7">
        <v>14446</v>
      </c>
      <c r="B14447" s="7">
        <v>1</v>
      </c>
      <c r="C14447" s="7" t="s">
        <v>10</v>
      </c>
      <c r="D14447" s="7">
        <v>19363</v>
      </c>
      <c r="E14447" s="7" t="s">
        <v>23</v>
      </c>
      <c r="F14447" s="8" t="str">
        <f ca="1">IFERROR(__xludf.DUMMYFUNCTION("IF
(
C14448=""фізична особа""
,
VLOOKUP(D14448,IMPORTRANGE(""https://docs.google.com/spreadsheets/d/14Bd19lYaqBhU8_DElYkX7l4wRkHqqCUFNJY4AfY3kHU/edit?usp=sharing  #gid=0"",""фіз особи new!relations_name""),6,FALSE)
,
(IF
(
C14448=""юридична особа""
,
VLOO"&amp;"KUP(D14448,IMPORTRANGE(""https://docs.google.com/spreadsheets/d/14Bd19lYaqBhU8_DElYkX7l4wRkHqqCUFNJY4AfY3kHU/edit?usp=sharing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7" s="7" t="s">
        <v>10</v>
      </c>
      <c r="H14447" s="7">
        <v>0</v>
      </c>
      <c r="I14447" s="8" t="str">
        <f ca="1">IFERROR(__xludf.DUMMYFUNCTION("IF
(
G14448=""фізична особа""
,
VLOOKUP(H14448,IMPORTRANGE(""https://docs.google.com/spreadsheets/d/14Bd19lYaqBhU8_DElYkX7l4wRkHqqCUFNJY4AfY3kHU/edit?usp=sharing  #gid=0"",""фіз особи new!relations_name""),6,FALSE)
,
(IF
(
G14448=""юридична особа""
,
VLOO"&amp;"KUP(H14448,IMPORTRANGE(""https://docs.google.com/spreadsheets/d/14Bd19lYaqBhU8_DElYkX7l4wRkHqqCUFNJY4AfY3kHU/edit?usp=sharing  #gid=0"",""фіз особи new!relations_name_uo""),7,FALSE)
,
)
))"),"#N/A")</f>
        <v>#N/A</v>
      </c>
      <c r="J14447" s="7" t="s">
        <v>23</v>
      </c>
    </row>
    <row r="14448" spans="1:10" ht="13.2">
      <c r="A14448" s="7">
        <v>14447</v>
      </c>
      <c r="B14448" s="7">
        <v>1</v>
      </c>
      <c r="C14448" s="7" t="s">
        <v>10</v>
      </c>
      <c r="D14448" s="7">
        <v>19363</v>
      </c>
      <c r="E14448" s="7" t="s">
        <v>23</v>
      </c>
      <c r="F14448" s="8" t="str">
        <f ca="1">IFERROR(__xludf.DUMMYFUNCTION("IF
(
C14449=""фізична особа""
,
VLOOKUP(D14449,IMPORTRANGE(""https://docs.google.com/spreadsheets/d/14Bd19lYaqBhU8_DElYkX7l4wRkHqqCUFNJY4AfY3kHU/edit?usp=sharing  #gid=0"",""фіз особи new!relations_name""),6,FALSE)
,
(IF
(
C14449=""юридична особа""
,
VLOO"&amp;"KUP(D14449,IMPORTRANGE(""https://docs.google.com/spreadsheets/d/14Bd19lYaqBhU8_DElYkX7l4wRkHqqCUFNJY4AfY3kHU/edit?usp=sharing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8" s="7" t="s">
        <v>10</v>
      </c>
      <c r="H14448" s="7">
        <v>0</v>
      </c>
      <c r="I14448" s="8" t="str">
        <f ca="1">IFERROR(__xludf.DUMMYFUNCTION("IF
(
G14449=""фізична особа""
,
VLOOKUP(H14449,IMPORTRANGE(""https://docs.google.com/spreadsheets/d/14Bd19lYaqBhU8_DElYkX7l4wRkHqqCUFNJY4AfY3kHU/edit?usp=sharing  #gid=0"",""фіз особи new!relations_name""),6,FALSE)
,
(IF
(
G14449=""юридична особа""
,
VLOO"&amp;"KUP(H14449,IMPORTRANGE(""https://docs.google.com/spreadsheets/d/14Bd19lYaqBhU8_DElYkX7l4wRkHqqCUFNJY4AfY3kHU/edit?usp=sharing  #gid=0"",""фіз особи new!relations_name_uo""),7,FALSE)
,
)
))"),"#N/A")</f>
        <v>#N/A</v>
      </c>
      <c r="J14448" s="7" t="s">
        <v>23</v>
      </c>
    </row>
    <row r="14449" spans="1:10" ht="13.2">
      <c r="A14449" s="7">
        <v>14448</v>
      </c>
      <c r="B14449" s="7">
        <v>1</v>
      </c>
      <c r="C14449" s="7" t="s">
        <v>10</v>
      </c>
      <c r="D14449" s="7">
        <v>19363</v>
      </c>
      <c r="E14449" s="7" t="s">
        <v>23</v>
      </c>
      <c r="F14449" s="8" t="str">
        <f ca="1">IFERROR(__xludf.DUMMYFUNCTION("IF
(
C14450=""фізична особа""
,
VLOOKUP(D14450,IMPORTRANGE(""https://docs.google.com/spreadsheets/d/14Bd19lYaqBhU8_DElYkX7l4wRkHqqCUFNJY4AfY3kHU/edit?usp=sharing  #gid=0"",""фіз особи new!relations_name""),6,FALSE)
,
(IF
(
C14450=""юридична особа""
,
VLOO"&amp;"KUP(D14450,IMPORTRANGE(""https://docs.google.com/spreadsheets/d/14Bd19lYaqBhU8_DElYkX7l4wRkHqqCUFNJY4AfY3kHU/edit?usp=sharing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49" s="7" t="s">
        <v>10</v>
      </c>
      <c r="H14449" s="7">
        <v>0</v>
      </c>
      <c r="I14449" s="8" t="str">
        <f ca="1">IFERROR(__xludf.DUMMYFUNCTION("IF
(
G14450=""фізична особа""
,
VLOOKUP(H14450,IMPORTRANGE(""https://docs.google.com/spreadsheets/d/14Bd19lYaqBhU8_DElYkX7l4wRkHqqCUFNJY4AfY3kHU/edit?usp=sharing  #gid=0"",""фіз особи new!relations_name""),6,FALSE)
,
(IF
(
G14450=""юридична особа""
,
VLOO"&amp;"KUP(H14450,IMPORTRANGE(""https://docs.google.com/spreadsheets/d/14Bd19lYaqBhU8_DElYkX7l4wRkHqqCUFNJY4AfY3kHU/edit?usp=sharing  #gid=0"",""фіз особи new!relations_name_uo""),7,FALSE)
,
)
))"),"#N/A")</f>
        <v>#N/A</v>
      </c>
      <c r="J14449" s="7" t="s">
        <v>23</v>
      </c>
    </row>
    <row r="14450" spans="1:10" ht="13.2">
      <c r="A14450" s="7">
        <v>14449</v>
      </c>
      <c r="B14450" s="7">
        <v>1</v>
      </c>
      <c r="C14450" s="7" t="s">
        <v>10</v>
      </c>
      <c r="D14450" s="7">
        <v>19363</v>
      </c>
      <c r="E14450" s="7" t="s">
        <v>23</v>
      </c>
      <c r="F14450" s="8" t="str">
        <f ca="1">IFERROR(__xludf.DUMMYFUNCTION("IF
(
C14451=""фізична особа""
,
VLOOKUP(D14451,IMPORTRANGE(""https://docs.google.com/spreadsheets/d/14Bd19lYaqBhU8_DElYkX7l4wRkHqqCUFNJY4AfY3kHU/edit?usp=sharing  #gid=0"",""фіз особи new!relations_name""),6,FALSE)
,
(IF
(
C14451=""юридична особа""
,
VLOO"&amp;"KUP(D14451,IMPORTRANGE(""https://docs.google.com/spreadsheets/d/14Bd19lYaqBhU8_DElYkX7l4wRkHqqCUFNJY4AfY3kHU/edit?usp=sharing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50" s="7" t="s">
        <v>10</v>
      </c>
      <c r="H14450" s="7">
        <v>0</v>
      </c>
      <c r="I14450" s="8" t="str">
        <f ca="1">IFERROR(__xludf.DUMMYFUNCTION("IF
(
G14451=""фізична особа""
,
VLOOKUP(H14451,IMPORTRANGE(""https://docs.google.com/spreadsheets/d/14Bd19lYaqBhU8_DElYkX7l4wRkHqqCUFNJY4AfY3kHU/edit?usp=sharing  #gid=0"",""фіз особи new!relations_name""),6,FALSE)
,
(IF
(
G14451=""юридична особа""
,
VLOO"&amp;"KUP(H14451,IMPORTRANGE(""https://docs.google.com/spreadsheets/d/14Bd19lYaqBhU8_DElYkX7l4wRkHqqCUFNJY4AfY3kHU/edit?usp=sharing  #gid=0"",""фіз особи new!relations_name_uo""),7,FALSE)
,
)
))"),"#N/A")</f>
        <v>#N/A</v>
      </c>
      <c r="J14450" s="7" t="s">
        <v>23</v>
      </c>
    </row>
    <row r="14451" spans="1:10" ht="13.2">
      <c r="A14451" s="7">
        <v>14450</v>
      </c>
      <c r="B14451" s="7">
        <v>1</v>
      </c>
      <c r="C14451" s="7" t="s">
        <v>10</v>
      </c>
      <c r="D14451" s="7">
        <v>19363</v>
      </c>
      <c r="E14451" s="7" t="s">
        <v>23</v>
      </c>
      <c r="F14451" s="8" t="str">
        <f ca="1">IFERROR(__xludf.DUMMYFUNCTION("IF
(
C14452=""фізична особа""
,
VLOOKUP(D14452,IMPORTRANGE(""https://docs.google.com/spreadsheets/d/14Bd19lYaqBhU8_DElYkX7l4wRkHqqCUFNJY4AfY3kHU/edit?usp=sharing  #gid=0"",""фіз особи new!relations_name""),6,FALSE)
,
(IF
(
C14452=""юридична особа""
,
VLOO"&amp;"KUP(D14452,IMPORTRANGE(""https://docs.google.com/spreadsheets/d/14Bd19lYaqBhU8_DElYkX7l4wRkHqqCUFNJY4AfY3kHU/edit?usp=sharing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51" s="7" t="s">
        <v>10</v>
      </c>
      <c r="H14451" s="7">
        <v>23694</v>
      </c>
      <c r="I14451" s="8" t="str">
        <f ca="1">IFERROR(__xludf.DUMMYFUNCTION("IF
(
G14452=""фізична особа""
,
VLOOKUP(H14452,IMPORTRANGE(""https://docs.google.com/spreadsheets/d/14Bd19lYaqBhU8_DElYkX7l4wRkHqqCUFNJY4AfY3kHU/edit?usp=sharing  #gid=0"",""фіз особи new!relations_name""),6,FALSE)
,
(IF
(
G14452=""юридична особа""
,
VLOO"&amp;"KUP(H14452,IMPORTRANGE(""https://docs.google.com/spreadsheets/d/14Bd19lYaqBhU8_DElYkX7l4wRkHqqCUFNJY4AfY3kHU/edit?usp=sharing  #gid=0"",""фіз особи new!relations_name_uo""),7,FALSE)
,
)
))"),"ХМАРА Сергій Володимирович")</f>
        <v>ХМАРА Сергій Володимирович</v>
      </c>
      <c r="J14451" s="7" t="s">
        <v>23</v>
      </c>
    </row>
    <row r="14452" spans="1:10" ht="13.2">
      <c r="A14452" s="7">
        <v>14451</v>
      </c>
      <c r="B14452" s="7">
        <v>1</v>
      </c>
      <c r="C14452" s="7" t="s">
        <v>10</v>
      </c>
      <c r="D14452" s="7">
        <v>19363</v>
      </c>
      <c r="E14452" s="7" t="s">
        <v>23</v>
      </c>
      <c r="F14452" s="8" t="str">
        <f ca="1">IFERROR(__xludf.DUMMYFUNCTION("IF
(
C14453=""фізична особа""
,
VLOOKUP(D14453,IMPORTRANGE(""https://docs.google.com/spreadsheets/d/14Bd19lYaqBhU8_DElYkX7l4wRkHqqCUFNJY4AfY3kHU/edit?usp=sharing  #gid=0"",""фіз особи new!relations_name""),6,FALSE)
,
(IF
(
C14453=""юридична особа""
,
VLOO"&amp;"KUP(D14453,IMPORTRANGE(""https://docs.google.com/spreadsheets/d/14Bd19lYaqBhU8_DElYkX7l4wRkHqqCUFNJY4AfY3kHU/edit?usp=sharing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G14452" s="7" t="s">
        <v>10</v>
      </c>
      <c r="H14452" s="7">
        <v>0</v>
      </c>
      <c r="I14452" s="8" t="str">
        <f ca="1">IFERROR(__xludf.DUMMYFUNCTION("IF
(
G14453=""фізична особа""
,
VLOOKUP(H14453,IMPORTRANGE(""https://docs.google.com/spreadsheets/d/14Bd19lYaqBhU8_DElYkX7l4wRkHqqCUFNJY4AfY3kHU/edit?usp=sharing  #gid=0"",""фіз особи new!relations_name""),6,FALSE)
,
(IF
(
G14453=""юридична особа""
,
VLOO"&amp;"KUP(H14453,IMPORTRANGE(""https://docs.google.com/spreadsheets/d/14Bd19lYaqBhU8_DElYkX7l4wRkHqqCUFNJY4AfY3kHU/edit?usp=sharing  #gid=0"",""фіз особи new!relations_name_uo""),7,FALSE)
,
)
))"),"#N/A")</f>
        <v>#N/A</v>
      </c>
      <c r="J14452" s="7" t="s">
        <v>23</v>
      </c>
    </row>
    <row r="14453" spans="1:10" ht="13.2">
      <c r="A14453" s="7">
        <v>14452</v>
      </c>
      <c r="B14453" s="7">
        <v>1</v>
      </c>
      <c r="C14453" s="7" t="s">
        <v>10</v>
      </c>
      <c r="D14453" s="7">
        <v>19364</v>
      </c>
      <c r="E14453" s="7" t="s">
        <v>23</v>
      </c>
      <c r="F14453" s="8" t="str">
        <f ca="1">IFERROR(__xludf.DUMMYFUNCTION("IF
(
C14454=""фізична особа""
,
VLOOKUP(D14454,IMPORTRANGE(""https://docs.google.com/spreadsheets/d/14Bd19lYaqBhU8_DElYkX7l4wRkHqqCUFNJY4AfY3kHU/edit?usp=sharing  #gid=0"",""фіз особи new!relations_name""),6,FALSE)
,
(IF
(
C14454=""юридична особа""
,
VLOO"&amp;"KUP(D14454,IMPORTRANGE(""https://docs.google.com/spreadsheets/d/14Bd19lYaqBhU8_DElYkX7l4wRkHqqCUFNJY4AfY3kHU/edit?usp=sharing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3" s="7" t="s">
        <v>10</v>
      </c>
      <c r="H14453" s="7">
        <v>19367</v>
      </c>
      <c r="I14453" s="8" t="str">
        <f ca="1">IFERROR(__xludf.DUMMYFUNCTION("IF
(
G14454=""фізична особа""
,
VLOOKUP(H14454,IMPORTRANGE(""https://docs.google.com/spreadsheets/d/14Bd19lYaqBhU8_DElYkX7l4wRkHqqCUFNJY4AfY3kHU/edit?usp=sharing  #gid=0"",""фіз особи new!relations_name""),6,FALSE)
,
(IF
(
G14454=""юридична особа""
,
VLOO"&amp;"KUP(H14454,IMPORTRANGE(""https://docs.google.com/spreadsheets/d/14Bd19lYaqBhU8_DElYkX7l4wRkHqqCUFNJY4AfY3kHU/edit?usp=sharing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453" s="7" t="s">
        <v>23</v>
      </c>
    </row>
    <row r="14454" spans="1:10" ht="13.2">
      <c r="A14454" s="7">
        <v>14453</v>
      </c>
      <c r="B14454" s="7">
        <v>1</v>
      </c>
      <c r="C14454" s="7" t="s">
        <v>10</v>
      </c>
      <c r="D14454" s="7">
        <v>19364</v>
      </c>
      <c r="E14454" s="7" t="s">
        <v>23</v>
      </c>
      <c r="F14454" s="8" t="str">
        <f ca="1">IFERROR(__xludf.DUMMYFUNCTION("IF
(
C14455=""фізична особа""
,
VLOOKUP(D14455,IMPORTRANGE(""https://docs.google.com/spreadsheets/d/14Bd19lYaqBhU8_DElYkX7l4wRkHqqCUFNJY4AfY3kHU/edit?usp=sharing  #gid=0"",""фіз особи new!relations_name""),6,FALSE)
,
(IF
(
C14455=""юридична особа""
,
VLOO"&amp;"KUP(D14455,IMPORTRANGE(""https://docs.google.com/spreadsheets/d/14Bd19lYaqBhU8_DElYkX7l4wRkHqqCUFNJY4AfY3kHU/edit?usp=sharing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4" s="7" t="s">
        <v>10</v>
      </c>
      <c r="H14454" s="7">
        <v>19365</v>
      </c>
      <c r="I14454" s="8" t="str">
        <f ca="1">IFERROR(__xludf.DUMMYFUNCTION("IF
(
G14455=""фізична особа""
,
VLOOKUP(H14455,IMPORTRANGE(""https://docs.google.com/spreadsheets/d/14Bd19lYaqBhU8_DElYkX7l4wRkHqqCUFNJY4AfY3kHU/edit?usp=sharing  #gid=0"",""фіз особи new!relations_name""),6,FALSE)
,
(IF
(
G14455=""юридична особа""
,
VLOO"&amp;"KUP(H14455,IMPORTRANGE(""https://docs.google.com/spreadsheets/d/14Bd19lYaqBhU8_DElYkX7l4wRkHqqCUFNJY4AfY3kHU/edit?usp=sharing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454" s="7" t="s">
        <v>23</v>
      </c>
    </row>
    <row r="14455" spans="1:10" ht="13.2">
      <c r="A14455" s="7">
        <v>14454</v>
      </c>
      <c r="B14455" s="7">
        <v>1</v>
      </c>
      <c r="C14455" s="7" t="s">
        <v>10</v>
      </c>
      <c r="D14455" s="7">
        <v>19364</v>
      </c>
      <c r="E14455" s="7" t="s">
        <v>23</v>
      </c>
      <c r="F14455" s="8" t="str">
        <f ca="1">IFERROR(__xludf.DUMMYFUNCTION("IF
(
C14456=""фізична особа""
,
VLOOKUP(D14456,IMPORTRANGE(""https://docs.google.com/spreadsheets/d/14Bd19lYaqBhU8_DElYkX7l4wRkHqqCUFNJY4AfY3kHU/edit?usp=sharing  #gid=0"",""фіз особи new!relations_name""),6,FALSE)
,
(IF
(
C14456=""юридична особа""
,
VLOO"&amp;"KUP(D14456,IMPORTRANGE(""https://docs.google.com/spreadsheets/d/14Bd19lYaqBhU8_DElYkX7l4wRkHqqCUFNJY4AfY3kHU/edit?usp=sharing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5" s="7" t="s">
        <v>10</v>
      </c>
      <c r="H14455" s="7">
        <v>19368</v>
      </c>
      <c r="I14455" s="8" t="str">
        <f ca="1">IFERROR(__xludf.DUMMYFUNCTION("IF
(
G14456=""фізична особа""
,
VLOOKUP(H14456,IMPORTRANGE(""https://docs.google.com/spreadsheets/d/14Bd19lYaqBhU8_DElYkX7l4wRkHqqCUFNJY4AfY3kHU/edit?usp=sharing  #gid=0"",""фіз особи new!relations_name""),6,FALSE)
,
(IF
(
G14456=""юридична особа""
,
VLOO"&amp;"KUP(H14456,IMPORTRANGE(""https://docs.google.com/spreadsheets/d/14Bd19lYaqBhU8_DElYkX7l4wRkHqqCUFNJY4AfY3kHU/edit?usp=sharing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455" s="7" t="s">
        <v>23</v>
      </c>
    </row>
    <row r="14456" spans="1:10" ht="13.2">
      <c r="A14456" s="7">
        <v>14455</v>
      </c>
      <c r="B14456" s="7">
        <v>1</v>
      </c>
      <c r="C14456" s="7" t="s">
        <v>10</v>
      </c>
      <c r="D14456" s="7">
        <v>19364</v>
      </c>
      <c r="E14456" s="7" t="s">
        <v>23</v>
      </c>
      <c r="F14456" s="8" t="str">
        <f ca="1">IFERROR(__xludf.DUMMYFUNCTION("IF
(
C14457=""фізична особа""
,
VLOOKUP(D14457,IMPORTRANGE(""https://docs.google.com/spreadsheets/d/14Bd19lYaqBhU8_DElYkX7l4wRkHqqCUFNJY4AfY3kHU/edit?usp=sharing  #gid=0"",""фіз особи new!relations_name""),6,FALSE)
,
(IF
(
C14457=""юридична особа""
,
VLOO"&amp;"KUP(D14457,IMPORTRANGE(""https://docs.google.com/spreadsheets/d/14Bd19lYaqBhU8_DElYkX7l4wRkHqqCUFNJY4AfY3kHU/edit?usp=sharing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6" s="7" t="s">
        <v>10</v>
      </c>
      <c r="H14456" s="7">
        <v>23695</v>
      </c>
      <c r="I14456" s="8" t="str">
        <f ca="1">IFERROR(__xludf.DUMMYFUNCTION("IF
(
G14457=""фізична особа""
,
VLOOKUP(H14457,IMPORTRANGE(""https://docs.google.com/spreadsheets/d/14Bd19lYaqBhU8_DElYkX7l4wRkHqqCUFNJY4AfY3kHU/edit?usp=sharing  #gid=0"",""фіз особи new!relations_name""),6,FALSE)
,
(IF
(
G14457=""юридична особа""
,
VLOO"&amp;"KUP(H14457,IMPORTRANGE(""https://docs.google.com/spreadsheets/d/14Bd19lYaqBhU8_DElYkX7l4wRkHqqCUFNJY4AfY3kHU/edit?usp=sharing  #gid=0"",""фіз особи new!relations_name_uo""),7,FALSE)
,
)
))"),"ГУМЕН Іван Олександрович")</f>
        <v>ГУМЕН Іван Олександрович</v>
      </c>
      <c r="J14456" s="7" t="s">
        <v>23</v>
      </c>
    </row>
    <row r="14457" spans="1:10" ht="13.2">
      <c r="A14457" s="7">
        <v>14456</v>
      </c>
      <c r="B14457" s="7">
        <v>1</v>
      </c>
      <c r="C14457" s="7" t="s">
        <v>10</v>
      </c>
      <c r="D14457" s="7">
        <v>19364</v>
      </c>
      <c r="E14457" s="7" t="s">
        <v>23</v>
      </c>
      <c r="F14457" s="8" t="str">
        <f ca="1">IFERROR(__xludf.DUMMYFUNCTION("IF
(
C14458=""фізична особа""
,
VLOOKUP(D14458,IMPORTRANGE(""https://docs.google.com/spreadsheets/d/14Bd19lYaqBhU8_DElYkX7l4wRkHqqCUFNJY4AfY3kHU/edit?usp=sharing  #gid=0"",""фіз особи new!relations_name""),6,FALSE)
,
(IF
(
C14458=""юридична особа""
,
VLOO"&amp;"KUP(D14458,IMPORTRANGE(""https://docs.google.com/spreadsheets/d/14Bd19lYaqBhU8_DElYkX7l4wRkHqqCUFNJY4AfY3kHU/edit?usp=sharing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7" s="7" t="s">
        <v>10</v>
      </c>
      <c r="H14457" s="7">
        <v>19470</v>
      </c>
      <c r="I14457" s="8" t="str">
        <f ca="1">IFERROR(__xludf.DUMMYFUNCTION("IF
(
G14458=""фізична особа""
,
VLOOKUP(H14458,IMPORTRANGE(""https://docs.google.com/spreadsheets/d/14Bd19lYaqBhU8_DElYkX7l4wRkHqqCUFNJY4AfY3kHU/edit?usp=sharing  #gid=0"",""фіз особи new!relations_name""),6,FALSE)
,
(IF
(
G14458=""юридична особа""
,
VLOO"&amp;"KUP(H14458,IMPORTRANGE(""https://docs.google.com/spreadsheets/d/14Bd19lYaqBhU8_DElYkX7l4wRkHqqCUFNJY4AfY3kHU/edit?usp=sharing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457" s="7" t="s">
        <v>23</v>
      </c>
    </row>
    <row r="14458" spans="1:10" ht="13.2">
      <c r="A14458" s="7">
        <v>14457</v>
      </c>
      <c r="B14458" s="7">
        <v>1</v>
      </c>
      <c r="C14458" s="7" t="s">
        <v>10</v>
      </c>
      <c r="D14458" s="7">
        <v>19364</v>
      </c>
      <c r="E14458" s="7" t="s">
        <v>23</v>
      </c>
      <c r="F14458" s="8" t="str">
        <f ca="1">IFERROR(__xludf.DUMMYFUNCTION("IF
(
C14459=""фізична особа""
,
VLOOKUP(D14459,IMPORTRANGE(""https://docs.google.com/spreadsheets/d/14Bd19lYaqBhU8_DElYkX7l4wRkHqqCUFNJY4AfY3kHU/edit?usp=sharing  #gid=0"",""фіз особи new!relations_name""),6,FALSE)
,
(IF
(
C14459=""юридична особа""
,
VLOO"&amp;"KUP(D14459,IMPORTRANGE(""https://docs.google.com/spreadsheets/d/14Bd19lYaqBhU8_DElYkX7l4wRkHqqCUFNJY4AfY3kHU/edit?usp=sharing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8" s="7" t="s">
        <v>10</v>
      </c>
      <c r="H14458" s="7">
        <v>23696</v>
      </c>
      <c r="I14458" s="8" t="str">
        <f ca="1">IFERROR(__xludf.DUMMYFUNCTION("IF
(
G14459=""фізична особа""
,
VLOOKUP(H14459,IMPORTRANGE(""https://docs.google.com/spreadsheets/d/14Bd19lYaqBhU8_DElYkX7l4wRkHqqCUFNJY4AfY3kHU/edit?usp=sharing  #gid=0"",""фіз особи new!relations_name""),6,FALSE)
,
(IF
(
G14459=""юридична особа""
,
VLOO"&amp;"KUP(H14459,IMPORTRANGE(""https://docs.google.com/spreadsheets/d/14Bd19lYaqBhU8_DElYkX7l4wRkHqqCUFNJY4AfY3kHU/edit?usp=sharing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458" s="7" t="s">
        <v>23</v>
      </c>
    </row>
    <row r="14459" spans="1:10" ht="13.2">
      <c r="A14459" s="7">
        <v>14458</v>
      </c>
      <c r="B14459" s="7">
        <v>1</v>
      </c>
      <c r="C14459" s="7" t="s">
        <v>10</v>
      </c>
      <c r="D14459" s="7">
        <v>19364</v>
      </c>
      <c r="E14459" s="7" t="s">
        <v>23</v>
      </c>
      <c r="F14459" s="8" t="str">
        <f ca="1">IFERROR(__xludf.DUMMYFUNCTION("IF
(
C14460=""фізична особа""
,
VLOOKUP(D14460,IMPORTRANGE(""https://docs.google.com/spreadsheets/d/14Bd19lYaqBhU8_DElYkX7l4wRkHqqCUFNJY4AfY3kHU/edit?usp=sharing  #gid=0"",""фіз особи new!relations_name""),6,FALSE)
,
(IF
(
C14460=""юридична особа""
,
VLOO"&amp;"KUP(D14460,IMPORTRANGE(""https://docs.google.com/spreadsheets/d/14Bd19lYaqBhU8_DElYkX7l4wRkHqqCUFNJY4AfY3kHU/edit?usp=sharing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59" s="7" t="s">
        <v>10</v>
      </c>
      <c r="H14459" s="7">
        <v>19469</v>
      </c>
      <c r="I14459" s="8" t="str">
        <f ca="1">IFERROR(__xludf.DUMMYFUNCTION("IF
(
G14460=""фізична особа""
,
VLOOKUP(H14460,IMPORTRANGE(""https://docs.google.com/spreadsheets/d/14Bd19lYaqBhU8_DElYkX7l4wRkHqqCUFNJY4AfY3kHU/edit?usp=sharing  #gid=0"",""фіз особи new!relations_name""),6,FALSE)
,
(IF
(
G14460=""юридична особа""
,
VLOO"&amp;"KUP(H14460,IMPORTRANGE(""https://docs.google.com/spreadsheets/d/14Bd19lYaqBhU8_DElYkX7l4wRkHqqCUFNJY4AfY3kHU/edit?usp=sharing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459" s="7" t="s">
        <v>23</v>
      </c>
    </row>
    <row r="14460" spans="1:10" ht="13.2">
      <c r="A14460" s="7">
        <v>14459</v>
      </c>
      <c r="B14460" s="7">
        <v>1</v>
      </c>
      <c r="C14460" s="7" t="s">
        <v>10</v>
      </c>
      <c r="D14460" s="7">
        <v>19364</v>
      </c>
      <c r="E14460" s="7" t="s">
        <v>23</v>
      </c>
      <c r="F14460" s="8" t="str">
        <f ca="1">IFERROR(__xludf.DUMMYFUNCTION("IF
(
C14461=""фізична особа""
,
VLOOKUP(D14461,IMPORTRANGE(""https://docs.google.com/spreadsheets/d/14Bd19lYaqBhU8_DElYkX7l4wRkHqqCUFNJY4AfY3kHU/edit?usp=sharing  #gid=0"",""фіз особи new!relations_name""),6,FALSE)
,
(IF
(
C14461=""юридична особа""
,
VLOO"&amp;"KUP(D14461,IMPORTRANGE(""https://docs.google.com/spreadsheets/d/14Bd19lYaqBhU8_DElYkX7l4wRkHqqCUFNJY4AfY3kHU/edit?usp=sharing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60" s="7" t="s">
        <v>10</v>
      </c>
      <c r="H14460" s="7">
        <v>19371</v>
      </c>
      <c r="I14460" s="8" t="str">
        <f ca="1">IFERROR(__xludf.DUMMYFUNCTION("IF
(
G14461=""фізична особа""
,
VLOOKUP(H14461,IMPORTRANGE(""https://docs.google.com/spreadsheets/d/14Bd19lYaqBhU8_DElYkX7l4wRkHqqCUFNJY4AfY3kHU/edit?usp=sharing  #gid=0"",""фіз особи new!relations_name""),6,FALSE)
,
(IF
(
G14461=""юридична особа""
,
VLOO"&amp;"KUP(H14461,IMPORTRANGE(""https://docs.google.com/spreadsheets/d/14Bd19lYaqBhU8_DElYkX7l4wRkHqqCUFNJY4AfY3kHU/edit?usp=sharing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460" s="7" t="s">
        <v>23</v>
      </c>
    </row>
    <row r="14461" spans="1:10" ht="13.2">
      <c r="A14461" s="7">
        <v>14460</v>
      </c>
      <c r="B14461" s="7">
        <v>1</v>
      </c>
      <c r="C14461" s="7" t="s">
        <v>10</v>
      </c>
      <c r="D14461" s="7">
        <v>19364</v>
      </c>
      <c r="E14461" s="7" t="s">
        <v>23</v>
      </c>
      <c r="F14461" s="8" t="str">
        <f ca="1">IFERROR(__xludf.DUMMYFUNCTION("IF
(
C14462=""фізична особа""
,
VLOOKUP(D14462,IMPORTRANGE(""https://docs.google.com/spreadsheets/d/14Bd19lYaqBhU8_DElYkX7l4wRkHqqCUFNJY4AfY3kHU/edit?usp=sharing  #gid=0"",""фіз особи new!relations_name""),6,FALSE)
,
(IF
(
C14462=""юридична особа""
,
VLOO"&amp;"KUP(D14462,IMPORTRANGE(""https://docs.google.com/spreadsheets/d/14Bd19lYaqBhU8_DElYkX7l4wRkHqqCUFNJY4AfY3kHU/edit?usp=sharing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61" s="7" t="s">
        <v>10</v>
      </c>
      <c r="H14461" s="7">
        <v>19474</v>
      </c>
      <c r="I14461" s="8" t="str">
        <f ca="1">IFERROR(__xludf.DUMMYFUNCTION("IF
(
G14462=""фізична особа""
,
VLOOKUP(H14462,IMPORTRANGE(""https://docs.google.com/spreadsheets/d/14Bd19lYaqBhU8_DElYkX7l4wRkHqqCUFNJY4AfY3kHU/edit?usp=sharing  #gid=0"",""фіз особи new!relations_name""),6,FALSE)
,
(IF
(
G14462=""юридична особа""
,
VLOO"&amp;"KUP(H14462,IMPORTRANGE(""https://docs.google.com/spreadsheets/d/14Bd19lYaqBhU8_DElYkX7l4wRkHqqCUFNJY4AfY3kHU/edit?usp=sharing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461" s="7" t="s">
        <v>23</v>
      </c>
    </row>
    <row r="14462" spans="1:10" ht="13.2">
      <c r="A14462" s="7">
        <v>14461</v>
      </c>
      <c r="B14462" s="7">
        <v>1</v>
      </c>
      <c r="C14462" s="7" t="s">
        <v>10</v>
      </c>
      <c r="D14462" s="7">
        <v>19364</v>
      </c>
      <c r="E14462" s="7" t="s">
        <v>23</v>
      </c>
      <c r="F14462" s="8" t="str">
        <f ca="1">IFERROR(__xludf.DUMMYFUNCTION("IF
(
C14463=""фізична особа""
,
VLOOKUP(D14463,IMPORTRANGE(""https://docs.google.com/spreadsheets/d/14Bd19lYaqBhU8_DElYkX7l4wRkHqqCUFNJY4AfY3kHU/edit?usp=sharing  #gid=0"",""фіз особи new!relations_name""),6,FALSE)
,
(IF
(
C14463=""юридична особа""
,
VLOO"&amp;"KUP(D14463,IMPORTRANGE(""https://docs.google.com/spreadsheets/d/14Bd19lYaqBhU8_DElYkX7l4wRkHqqCUFNJY4AfY3kHU/edit?usp=sharing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62" s="7" t="s">
        <v>10</v>
      </c>
      <c r="H14462" s="7">
        <v>19365</v>
      </c>
      <c r="I14462" s="8" t="str">
        <f ca="1">IFERROR(__xludf.DUMMYFUNCTION("IF
(
G14463=""фізична особа""
,
VLOOKUP(H14463,IMPORTRANGE(""https://docs.google.com/spreadsheets/d/14Bd19lYaqBhU8_DElYkX7l4wRkHqqCUFNJY4AfY3kHU/edit?usp=sharing  #gid=0"",""фіз особи new!relations_name""),6,FALSE)
,
(IF
(
G14463=""юридична особа""
,
VLOO"&amp;"KUP(H14463,IMPORTRANGE(""https://docs.google.com/spreadsheets/d/14Bd19lYaqBhU8_DElYkX7l4wRkHqqCUFNJY4AfY3kHU/edit?usp=sharing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462" s="7" t="s">
        <v>23</v>
      </c>
    </row>
    <row r="14463" spans="1:10" ht="13.2">
      <c r="A14463" s="7">
        <v>14462</v>
      </c>
      <c r="B14463" s="7">
        <v>1</v>
      </c>
      <c r="C14463" s="7" t="s">
        <v>10</v>
      </c>
      <c r="D14463" s="7">
        <v>19364</v>
      </c>
      <c r="E14463" s="7" t="s">
        <v>23</v>
      </c>
      <c r="F14463" s="8" t="str">
        <f ca="1">IFERROR(__xludf.DUMMYFUNCTION("IF
(
C14464=""фізична особа""
,
VLOOKUP(D14464,IMPORTRANGE(""https://docs.google.com/spreadsheets/d/14Bd19lYaqBhU8_DElYkX7l4wRkHqqCUFNJY4AfY3kHU/edit?usp=sharing  #gid=0"",""фіз особи new!relations_name""),6,FALSE)
,
(IF
(
C14464=""юридична особа""
,
VLOO"&amp;"KUP(D14464,IMPORTRANGE(""https://docs.google.com/spreadsheets/d/14Bd19lYaqBhU8_DElYkX7l4wRkHqqCUFNJY4AfY3kHU/edit?usp=sharing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63" s="7" t="s">
        <v>10</v>
      </c>
      <c r="H14463" s="7">
        <v>23697</v>
      </c>
      <c r="I14463" s="8" t="str">
        <f ca="1">IFERROR(__xludf.DUMMYFUNCTION("IF
(
G14464=""фізична особа""
,
VLOOKUP(H14464,IMPORTRANGE(""https://docs.google.com/spreadsheets/d/14Bd19lYaqBhU8_DElYkX7l4wRkHqqCUFNJY4AfY3kHU/edit?usp=sharing  #gid=0"",""фіз особи new!relations_name""),6,FALSE)
,
(IF
(
G14464=""юридична особа""
,
VLOO"&amp;"KUP(H14464,IMPORTRANGE(""https://docs.google.com/spreadsheets/d/14Bd19lYaqBhU8_DElYkX7l4wRkHqqCUFNJY4AfY3kHU/edit?usp=sharing  #gid=0"",""фіз особи new!relations_name_uo""),7,FALSE)
,
)
))"),"ДІДЕНКО Ольга Олександрівна")</f>
        <v>ДІДЕНКО Ольга Олександрівна</v>
      </c>
      <c r="J14463" s="7" t="s">
        <v>23</v>
      </c>
    </row>
    <row r="14464" spans="1:10" ht="13.2">
      <c r="A14464" s="7">
        <v>14463</v>
      </c>
      <c r="B14464" s="7">
        <v>1</v>
      </c>
      <c r="C14464" s="7" t="s">
        <v>10</v>
      </c>
      <c r="D14464" s="7">
        <v>19364</v>
      </c>
      <c r="E14464" s="7" t="s">
        <v>21</v>
      </c>
      <c r="F14464" s="8" t="str">
        <f ca="1">IFERROR(__xludf.DUMMYFUNCTION("IF
(
C14465=""фізична особа""
,
VLOOKUP(D14465,IMPORTRANGE(""https://docs.google.com/spreadsheets/d/14Bd19lYaqBhU8_DElYkX7l4wRkHqqCUFNJY4AfY3kHU/edit?usp=sharing  #gid=0"",""фіз особи new!relations_name""),6,FALSE)
,
(IF
(
C14465=""юридична особа""
,
VLOO"&amp;"KUP(D14465,IMPORTRANGE(""https://docs.google.com/spreadsheets/d/14Bd19lYaqBhU8_DElYkX7l4wRkHqqCUFNJY4AfY3kHU/edit?usp=sharing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G14464" s="7" t="s">
        <v>10</v>
      </c>
      <c r="H14464" s="7">
        <v>19472</v>
      </c>
      <c r="I14464" s="8" t="str">
        <f ca="1">IFERROR(__xludf.DUMMYFUNCTION("IF
(
G14465=""фізична особа""
,
VLOOKUP(H14465,IMPORTRANGE(""https://docs.google.com/spreadsheets/d/14Bd19lYaqBhU8_DElYkX7l4wRkHqqCUFNJY4AfY3kHU/edit?usp=sharing  #gid=0"",""фіз особи new!relations_name""),6,FALSE)
,
(IF
(
G14465=""юридична особа""
,
VLOO"&amp;"KUP(H14465,IMPORTRANGE(""https://docs.google.com/spreadsheets/d/14Bd19lYaqBhU8_DElYkX7l4wRkHqqCUFNJY4AfY3kHU/edit?usp=sharing  #gid=0"",""фіз особи new!relations_name_uo""),7,FALSE)
,
)
))"),"САЛАГІН Олексій Сергійович")</f>
        <v>САЛАГІН Олексій Сергійович</v>
      </c>
      <c r="J14464" s="7" t="s">
        <v>17</v>
      </c>
    </row>
    <row r="14465" spans="1:10" ht="13.2">
      <c r="A14465" s="7">
        <v>14464</v>
      </c>
      <c r="B14465" s="7">
        <v>1</v>
      </c>
      <c r="C14465" s="7" t="s">
        <v>10</v>
      </c>
      <c r="D14465" s="7">
        <v>19365</v>
      </c>
      <c r="E14465" s="7" t="s">
        <v>23</v>
      </c>
      <c r="F14465" s="8" t="str">
        <f ca="1">IFERROR(__xludf.DUMMYFUNCTION("IF
(
C14466=""фізична особа""
,
VLOOKUP(D14466,IMPORTRANGE(""https://docs.google.com/spreadsheets/d/14Bd19lYaqBhU8_DElYkX7l4wRkHqqCUFNJY4AfY3kHU/edit?usp=sharing  #gid=0"",""фіз особи new!relations_name""),6,FALSE)
,
(IF
(
C14466=""юридична особа""
,
VLOO"&amp;"KUP(D14466,IMPORTRANGE(""https://docs.google.com/spreadsheets/d/14Bd19lYaqBhU8_DElYkX7l4wRkHqqCUFNJY4AfY3kHU/edit?usp=sharing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65" s="7" t="s">
        <v>10</v>
      </c>
      <c r="H14465" s="7">
        <v>19367</v>
      </c>
      <c r="I14465" s="8" t="str">
        <f ca="1">IFERROR(__xludf.DUMMYFUNCTION("IF
(
G14466=""фізична особа""
,
VLOOKUP(H14466,IMPORTRANGE(""https://docs.google.com/spreadsheets/d/14Bd19lYaqBhU8_DElYkX7l4wRkHqqCUFNJY4AfY3kHU/edit?usp=sharing  #gid=0"",""фіз особи new!relations_name""),6,FALSE)
,
(IF
(
G14466=""юридична особа""
,
VLOO"&amp;"KUP(H14466,IMPORTRANGE(""https://docs.google.com/spreadsheets/d/14Bd19lYaqBhU8_DElYkX7l4wRkHqqCUFNJY4AfY3kHU/edit?usp=sharing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465" s="7" t="s">
        <v>23</v>
      </c>
    </row>
    <row r="14466" spans="1:10" ht="13.2">
      <c r="A14466" s="7">
        <v>14465</v>
      </c>
      <c r="B14466" s="7">
        <v>1</v>
      </c>
      <c r="C14466" s="7" t="s">
        <v>10</v>
      </c>
      <c r="D14466" s="7">
        <v>19365</v>
      </c>
      <c r="E14466" s="7" t="s">
        <v>23</v>
      </c>
      <c r="F14466" s="8" t="str">
        <f ca="1">IFERROR(__xludf.DUMMYFUNCTION("IF
(
C14467=""фізична особа""
,
VLOOKUP(D14467,IMPORTRANGE(""https://docs.google.com/spreadsheets/d/14Bd19lYaqBhU8_DElYkX7l4wRkHqqCUFNJY4AfY3kHU/edit?usp=sharing  #gid=0"",""фіз особи new!relations_name""),6,FALSE)
,
(IF
(
C14467=""юридична особа""
,
VLOO"&amp;"KUP(D14467,IMPORTRANGE(""https://docs.google.com/spreadsheets/d/14Bd19lYaqBhU8_DElYkX7l4wRkHqqCUFNJY4AfY3kHU/edit?usp=sharing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66" s="7" t="s">
        <v>10</v>
      </c>
      <c r="H14466" s="7">
        <v>19468</v>
      </c>
      <c r="I14466" s="8" t="str">
        <f ca="1">IFERROR(__xludf.DUMMYFUNCTION("IF
(
G14467=""фізична особа""
,
VLOOKUP(H14467,IMPORTRANGE(""https://docs.google.com/spreadsheets/d/14Bd19lYaqBhU8_DElYkX7l4wRkHqqCUFNJY4AfY3kHU/edit?usp=sharing  #gid=0"",""фіз особи new!relations_name""),6,FALSE)
,
(IF
(
G14467=""юридична особа""
,
VLOO"&amp;"KUP(H14467,IMPORTRANGE(""https://docs.google.com/spreadsheets/d/14Bd19lYaqBhU8_DElYkX7l4wRkHqqCUFNJY4AfY3kHU/edit?usp=sharing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466" s="7" t="s">
        <v>23</v>
      </c>
    </row>
    <row r="14467" spans="1:10" ht="13.2">
      <c r="A14467" s="7">
        <v>14466</v>
      </c>
      <c r="B14467" s="7">
        <v>1</v>
      </c>
      <c r="C14467" s="7" t="s">
        <v>10</v>
      </c>
      <c r="D14467" s="7">
        <v>19365</v>
      </c>
      <c r="E14467" s="7" t="s">
        <v>23</v>
      </c>
      <c r="F14467" s="8" t="str">
        <f ca="1">IFERROR(__xludf.DUMMYFUNCTION("IF
(
C14468=""фізична особа""
,
VLOOKUP(D14468,IMPORTRANGE(""https://docs.google.com/spreadsheets/d/14Bd19lYaqBhU8_DElYkX7l4wRkHqqCUFNJY4AfY3kHU/edit?usp=sharing  #gid=0"",""фіз особи new!relations_name""),6,FALSE)
,
(IF
(
C14468=""юридична особа""
,
VLOO"&amp;"KUP(D14468,IMPORTRANGE(""https://docs.google.com/spreadsheets/d/14Bd19lYaqBhU8_DElYkX7l4wRkHqqCUFNJY4AfY3kHU/edit?usp=sharing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67" s="7" t="s">
        <v>10</v>
      </c>
      <c r="H14467" s="7">
        <v>19368</v>
      </c>
      <c r="I14467" s="8" t="str">
        <f ca="1">IFERROR(__xludf.DUMMYFUNCTION("IF
(
G14468=""фізична особа""
,
VLOOKUP(H14468,IMPORTRANGE(""https://docs.google.com/spreadsheets/d/14Bd19lYaqBhU8_DElYkX7l4wRkHqqCUFNJY4AfY3kHU/edit?usp=sharing  #gid=0"",""фіз особи new!relations_name""),6,FALSE)
,
(IF
(
G14468=""юридична особа""
,
VLOO"&amp;"KUP(H14468,IMPORTRANGE(""https://docs.google.com/spreadsheets/d/14Bd19lYaqBhU8_DElYkX7l4wRkHqqCUFNJY4AfY3kHU/edit?usp=sharing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467" s="7" t="s">
        <v>23</v>
      </c>
    </row>
    <row r="14468" spans="1:10" ht="13.2">
      <c r="A14468" s="7">
        <v>14467</v>
      </c>
      <c r="B14468" s="7">
        <v>1</v>
      </c>
      <c r="C14468" s="7" t="s">
        <v>10</v>
      </c>
      <c r="D14468" s="7">
        <v>19365</v>
      </c>
      <c r="E14468" s="7" t="s">
        <v>23</v>
      </c>
      <c r="F14468" s="8" t="str">
        <f ca="1">IFERROR(__xludf.DUMMYFUNCTION("IF
(
C14469=""фізична особа""
,
VLOOKUP(D14469,IMPORTRANGE(""https://docs.google.com/spreadsheets/d/14Bd19lYaqBhU8_DElYkX7l4wRkHqqCUFNJY4AfY3kHU/edit?usp=sharing  #gid=0"",""фіз особи new!relations_name""),6,FALSE)
,
(IF
(
C14469=""юридична особа""
,
VLOO"&amp;"KUP(D14469,IMPORTRANGE(""https://docs.google.com/spreadsheets/d/14Bd19lYaqBhU8_DElYkX7l4wRkHqqCUFNJY4AfY3kHU/edit?usp=sharing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68" s="7" t="s">
        <v>10</v>
      </c>
      <c r="H14468" s="7">
        <v>19364</v>
      </c>
      <c r="I14468" s="8" t="str">
        <f ca="1">IFERROR(__xludf.DUMMYFUNCTION("IF
(
G14469=""фізична особа""
,
VLOOKUP(H14469,IMPORTRANGE(""https://docs.google.com/spreadsheets/d/14Bd19lYaqBhU8_DElYkX7l4wRkHqqCUFNJY4AfY3kHU/edit?usp=sharing  #gid=0"",""фіз особи new!relations_name""),6,FALSE)
,
(IF
(
G14469=""юридична особа""
,
VLOO"&amp;"KUP(H14469,IMPORTRANGE(""https://docs.google.com/spreadsheets/d/14Bd19lYaqBhU8_DElYkX7l4wRkHqqCUFNJY4AfY3kHU/edit?usp=sharing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468" s="7" t="s">
        <v>23</v>
      </c>
    </row>
    <row r="14469" spans="1:10" ht="13.2">
      <c r="A14469" s="7">
        <v>14468</v>
      </c>
      <c r="B14469" s="7">
        <v>1</v>
      </c>
      <c r="C14469" s="7" t="s">
        <v>10</v>
      </c>
      <c r="D14469" s="7">
        <v>19365</v>
      </c>
      <c r="E14469" s="7" t="s">
        <v>23</v>
      </c>
      <c r="F14469" s="8" t="str">
        <f ca="1">IFERROR(__xludf.DUMMYFUNCTION("IF
(
C14470=""фізична особа""
,
VLOOKUP(D14470,IMPORTRANGE(""https://docs.google.com/spreadsheets/d/14Bd19lYaqBhU8_DElYkX7l4wRkHqqCUFNJY4AfY3kHU/edit?usp=sharing  #gid=0"",""фіз особи new!relations_name""),6,FALSE)
,
(IF
(
C14470=""юридична особа""
,
VLOO"&amp;"KUP(D14470,IMPORTRANGE(""https://docs.google.com/spreadsheets/d/14Bd19lYaqBhU8_DElYkX7l4wRkHqqCUFNJY4AfY3kHU/edit?usp=sharing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69" s="7" t="s">
        <v>10</v>
      </c>
      <c r="H14469" s="7">
        <v>23695</v>
      </c>
      <c r="I14469" s="8" t="str">
        <f ca="1">IFERROR(__xludf.DUMMYFUNCTION("IF
(
G14470=""фізична особа""
,
VLOOKUP(H14470,IMPORTRANGE(""https://docs.google.com/spreadsheets/d/14Bd19lYaqBhU8_DElYkX7l4wRkHqqCUFNJY4AfY3kHU/edit?usp=sharing  #gid=0"",""фіз особи new!relations_name""),6,FALSE)
,
(IF
(
G14470=""юридична особа""
,
VLOO"&amp;"KUP(H14470,IMPORTRANGE(""https://docs.google.com/spreadsheets/d/14Bd19lYaqBhU8_DElYkX7l4wRkHqqCUFNJY4AfY3kHU/edit?usp=sharing  #gid=0"",""фіз особи new!relations_name_uo""),7,FALSE)
,
)
))"),"ГУМЕН Іван Олександрович")</f>
        <v>ГУМЕН Іван Олександрович</v>
      </c>
      <c r="J14469" s="7" t="s">
        <v>23</v>
      </c>
    </row>
    <row r="14470" spans="1:10" ht="13.2">
      <c r="A14470" s="7">
        <v>14469</v>
      </c>
      <c r="B14470" s="7">
        <v>1</v>
      </c>
      <c r="C14470" s="7" t="s">
        <v>10</v>
      </c>
      <c r="D14470" s="7">
        <v>19365</v>
      </c>
      <c r="E14470" s="7" t="s">
        <v>23</v>
      </c>
      <c r="F14470" s="8" t="str">
        <f ca="1">IFERROR(__xludf.DUMMYFUNCTION("IF
(
C14471=""фізична особа""
,
VLOOKUP(D14471,IMPORTRANGE(""https://docs.google.com/spreadsheets/d/14Bd19lYaqBhU8_DElYkX7l4wRkHqqCUFNJY4AfY3kHU/edit?usp=sharing  #gid=0"",""фіз особи new!relations_name""),6,FALSE)
,
(IF
(
C14471=""юридична особа""
,
VLOO"&amp;"KUP(D14471,IMPORTRANGE(""https://docs.google.com/spreadsheets/d/14Bd19lYaqBhU8_DElYkX7l4wRkHqqCUFNJY4AfY3kHU/edit?usp=sharing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0" s="7" t="s">
        <v>10</v>
      </c>
      <c r="H14470" s="7">
        <v>19474</v>
      </c>
      <c r="I14470" s="8" t="str">
        <f ca="1">IFERROR(__xludf.DUMMYFUNCTION("IF
(
G14471=""фізична особа""
,
VLOOKUP(H14471,IMPORTRANGE(""https://docs.google.com/spreadsheets/d/14Bd19lYaqBhU8_DElYkX7l4wRkHqqCUFNJY4AfY3kHU/edit?usp=sharing  #gid=0"",""фіз особи new!relations_name""),6,FALSE)
,
(IF
(
G14471=""юридична особа""
,
VLOO"&amp;"KUP(H14471,IMPORTRANGE(""https://docs.google.com/spreadsheets/d/14Bd19lYaqBhU8_DElYkX7l4wRkHqqCUFNJY4AfY3kHU/edit?usp=sharing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470" s="7" t="s">
        <v>23</v>
      </c>
    </row>
    <row r="14471" spans="1:10" ht="13.2">
      <c r="A14471" s="7">
        <v>14470</v>
      </c>
      <c r="B14471" s="7">
        <v>1</v>
      </c>
      <c r="C14471" s="7" t="s">
        <v>10</v>
      </c>
      <c r="D14471" s="7">
        <v>19365</v>
      </c>
      <c r="E14471" s="7" t="s">
        <v>23</v>
      </c>
      <c r="F14471" s="8" t="str">
        <f ca="1">IFERROR(__xludf.DUMMYFUNCTION("IF
(
C14472=""фізична особа""
,
VLOOKUP(D14472,IMPORTRANGE(""https://docs.google.com/spreadsheets/d/14Bd19lYaqBhU8_DElYkX7l4wRkHqqCUFNJY4AfY3kHU/edit?usp=sharing  #gid=0"",""фіз особи new!relations_name""),6,FALSE)
,
(IF
(
C14472=""юридична особа""
,
VLOO"&amp;"KUP(D14472,IMPORTRANGE(""https://docs.google.com/spreadsheets/d/14Bd19lYaqBhU8_DElYkX7l4wRkHqqCUFNJY4AfY3kHU/edit?usp=sharing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1" s="7" t="s">
        <v>10</v>
      </c>
      <c r="H14471" s="7">
        <v>19466</v>
      </c>
      <c r="I14471" s="8" t="str">
        <f ca="1">IFERROR(__xludf.DUMMYFUNCTION("IF
(
G14472=""фізична особа""
,
VLOOKUP(H14472,IMPORTRANGE(""https://docs.google.com/spreadsheets/d/14Bd19lYaqBhU8_DElYkX7l4wRkHqqCUFNJY4AfY3kHU/edit?usp=sharing  #gid=0"",""фіз особи new!relations_name""),6,FALSE)
,
(IF
(
G14472=""юридична особа""
,
VLOO"&amp;"KUP(H14472,IMPORTRANGE(""https://docs.google.com/spreadsheets/d/14Bd19lYaqBhU8_DElYkX7l4wRkHqqCUFNJY4AfY3kHU/edit?usp=sharing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471" s="7" t="s">
        <v>23</v>
      </c>
    </row>
    <row r="14472" spans="1:10" ht="13.2">
      <c r="A14472" s="7">
        <v>14471</v>
      </c>
      <c r="B14472" s="7">
        <v>1</v>
      </c>
      <c r="C14472" s="7" t="s">
        <v>10</v>
      </c>
      <c r="D14472" s="7">
        <v>19365</v>
      </c>
      <c r="E14472" s="7" t="s">
        <v>23</v>
      </c>
      <c r="F14472" s="8" t="str">
        <f ca="1">IFERROR(__xludf.DUMMYFUNCTION("IF
(
C14473=""фізична особа""
,
VLOOKUP(D14473,IMPORTRANGE(""https://docs.google.com/spreadsheets/d/14Bd19lYaqBhU8_DElYkX7l4wRkHqqCUFNJY4AfY3kHU/edit?usp=sharing  #gid=0"",""фіз особи new!relations_name""),6,FALSE)
,
(IF
(
C14473=""юридична особа""
,
VLOO"&amp;"KUP(D14473,IMPORTRANGE(""https://docs.google.com/spreadsheets/d/14Bd19lYaqBhU8_DElYkX7l4wRkHqqCUFNJY4AfY3kHU/edit?usp=sharing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2" s="7" t="s">
        <v>10</v>
      </c>
      <c r="H14472" s="7">
        <v>19467</v>
      </c>
      <c r="I14472" s="8" t="str">
        <f ca="1">IFERROR(__xludf.DUMMYFUNCTION("IF
(
G14473=""фізична особа""
,
VLOOKUP(H14473,IMPORTRANGE(""https://docs.google.com/spreadsheets/d/14Bd19lYaqBhU8_DElYkX7l4wRkHqqCUFNJY4AfY3kHU/edit?usp=sharing  #gid=0"",""фіз особи new!relations_name""),6,FALSE)
,
(IF
(
G14473=""юридична особа""
,
VLOO"&amp;"KUP(H14473,IMPORTRANGE(""https://docs.google.com/spreadsheets/d/14Bd19lYaqBhU8_DElYkX7l4wRkHqqCUFNJY4AfY3kHU/edit?usp=sharing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472" s="7" t="s">
        <v>23</v>
      </c>
    </row>
    <row r="14473" spans="1:10" ht="13.2">
      <c r="A14473" s="7">
        <v>14472</v>
      </c>
      <c r="B14473" s="7">
        <v>1</v>
      </c>
      <c r="C14473" s="7" t="s">
        <v>10</v>
      </c>
      <c r="D14473" s="7">
        <v>19365</v>
      </c>
      <c r="E14473" s="7" t="s">
        <v>23</v>
      </c>
      <c r="F14473" s="8" t="str">
        <f ca="1">IFERROR(__xludf.DUMMYFUNCTION("IF
(
C14474=""фізична особа""
,
VLOOKUP(D14474,IMPORTRANGE(""https://docs.google.com/spreadsheets/d/14Bd19lYaqBhU8_DElYkX7l4wRkHqqCUFNJY4AfY3kHU/edit?usp=sharing  #gid=0"",""фіз особи new!relations_name""),6,FALSE)
,
(IF
(
C14474=""юридична особа""
,
VLOO"&amp;"KUP(D14474,IMPORTRANGE(""https://docs.google.com/spreadsheets/d/14Bd19lYaqBhU8_DElYkX7l4wRkHqqCUFNJY4AfY3kHU/edit?usp=sharing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3" s="7" t="s">
        <v>10</v>
      </c>
      <c r="H14473" s="7">
        <v>19470</v>
      </c>
      <c r="I14473" s="8" t="str">
        <f ca="1">IFERROR(__xludf.DUMMYFUNCTION("IF
(
G14474=""фізична особа""
,
VLOOKUP(H14474,IMPORTRANGE(""https://docs.google.com/spreadsheets/d/14Bd19lYaqBhU8_DElYkX7l4wRkHqqCUFNJY4AfY3kHU/edit?usp=sharing  #gid=0"",""фіз особи new!relations_name""),6,FALSE)
,
(IF
(
G14474=""юридична особа""
,
VLOO"&amp;"KUP(H14474,IMPORTRANGE(""https://docs.google.com/spreadsheets/d/14Bd19lYaqBhU8_DElYkX7l4wRkHqqCUFNJY4AfY3kHU/edit?usp=sharing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473" s="7" t="s">
        <v>23</v>
      </c>
    </row>
    <row r="14474" spans="1:10" ht="13.2">
      <c r="A14474" s="7">
        <v>14473</v>
      </c>
      <c r="B14474" s="7">
        <v>1</v>
      </c>
      <c r="C14474" s="7" t="s">
        <v>10</v>
      </c>
      <c r="D14474" s="7">
        <v>19365</v>
      </c>
      <c r="E14474" s="7" t="s">
        <v>23</v>
      </c>
      <c r="F14474" s="8" t="str">
        <f ca="1">IFERROR(__xludf.DUMMYFUNCTION("IF
(
C14475=""фізична особа""
,
VLOOKUP(D14475,IMPORTRANGE(""https://docs.google.com/spreadsheets/d/14Bd19lYaqBhU8_DElYkX7l4wRkHqqCUFNJY4AfY3kHU/edit?usp=sharing  #gid=0"",""фіз особи new!relations_name""),6,FALSE)
,
(IF
(
C14475=""юридична особа""
,
VLOO"&amp;"KUP(D14475,IMPORTRANGE(""https://docs.google.com/spreadsheets/d/14Bd19lYaqBhU8_DElYkX7l4wRkHqqCUFNJY4AfY3kHU/edit?usp=sharing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4" s="7" t="s">
        <v>10</v>
      </c>
      <c r="H14474" s="7">
        <v>23698</v>
      </c>
      <c r="I14474" s="8" t="str">
        <f ca="1">IFERROR(__xludf.DUMMYFUNCTION("IF
(
G14475=""фізична особа""
,
VLOOKUP(H14475,IMPORTRANGE(""https://docs.google.com/spreadsheets/d/14Bd19lYaqBhU8_DElYkX7l4wRkHqqCUFNJY4AfY3kHU/edit?usp=sharing  #gid=0"",""фіз особи new!relations_name""),6,FALSE)
,
(IF
(
G14475=""юридична особа""
,
VLOO"&amp;"KUP(H14475,IMPORTRANGE(""https://docs.google.com/spreadsheets/d/14Bd19lYaqBhU8_DElYkX7l4wRkHqqCUFNJY4AfY3kHU/edit?usp=sharing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474" s="7" t="s">
        <v>23</v>
      </c>
    </row>
    <row r="14475" spans="1:10" ht="13.2">
      <c r="A14475" s="7">
        <v>14474</v>
      </c>
      <c r="B14475" s="7">
        <v>1</v>
      </c>
      <c r="C14475" s="7" t="s">
        <v>10</v>
      </c>
      <c r="D14475" s="7">
        <v>19365</v>
      </c>
      <c r="E14475" s="7" t="s">
        <v>23</v>
      </c>
      <c r="F14475" s="8" t="str">
        <f ca="1">IFERROR(__xludf.DUMMYFUNCTION("IF
(
C14476=""фізична особа""
,
VLOOKUP(D14476,IMPORTRANGE(""https://docs.google.com/spreadsheets/d/14Bd19lYaqBhU8_DElYkX7l4wRkHqqCUFNJY4AfY3kHU/edit?usp=sharing  #gid=0"",""фіз особи new!relations_name""),6,FALSE)
,
(IF
(
C14476=""юридична особа""
,
VLOO"&amp;"KUP(D14476,IMPORTRANGE(""https://docs.google.com/spreadsheets/d/14Bd19lYaqBhU8_DElYkX7l4wRkHqqCUFNJY4AfY3kHU/edit?usp=sharing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5" s="7" t="s">
        <v>10</v>
      </c>
      <c r="H14475" s="7">
        <v>23696</v>
      </c>
      <c r="I14475" s="8" t="str">
        <f ca="1">IFERROR(__xludf.DUMMYFUNCTION("IF
(
G14476=""фізична особа""
,
VLOOKUP(H14476,IMPORTRANGE(""https://docs.google.com/spreadsheets/d/14Bd19lYaqBhU8_DElYkX7l4wRkHqqCUFNJY4AfY3kHU/edit?usp=sharing  #gid=0"",""фіз особи new!relations_name""),6,FALSE)
,
(IF
(
G14476=""юридична особа""
,
VLOO"&amp;"KUP(H14476,IMPORTRANGE(""https://docs.google.com/spreadsheets/d/14Bd19lYaqBhU8_DElYkX7l4wRkHqqCUFNJY4AfY3kHU/edit?usp=sharing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475" s="7" t="s">
        <v>23</v>
      </c>
    </row>
    <row r="14476" spans="1:10" ht="13.2">
      <c r="A14476" s="7">
        <v>14475</v>
      </c>
      <c r="B14476" s="7">
        <v>1</v>
      </c>
      <c r="C14476" s="7" t="s">
        <v>10</v>
      </c>
      <c r="D14476" s="7">
        <v>19365</v>
      </c>
      <c r="E14476" s="7" t="s">
        <v>23</v>
      </c>
      <c r="F14476" s="8" t="str">
        <f ca="1">IFERROR(__xludf.DUMMYFUNCTION("IF
(
C14477=""фізична особа""
,
VLOOKUP(D14477,IMPORTRANGE(""https://docs.google.com/spreadsheets/d/14Bd19lYaqBhU8_DElYkX7l4wRkHqqCUFNJY4AfY3kHU/edit?usp=sharing  #gid=0"",""фіз особи new!relations_name""),6,FALSE)
,
(IF
(
C14477=""юридична особа""
,
VLOO"&amp;"KUP(D14477,IMPORTRANGE(""https://docs.google.com/spreadsheets/d/14Bd19lYaqBhU8_DElYkX7l4wRkHqqCUFNJY4AfY3kHU/edit?usp=sharing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6" s="7" t="s">
        <v>10</v>
      </c>
      <c r="H14476" s="7">
        <v>19469</v>
      </c>
      <c r="I14476" s="8" t="str">
        <f ca="1">IFERROR(__xludf.DUMMYFUNCTION("IF
(
G14477=""фізична особа""
,
VLOOKUP(H14477,IMPORTRANGE(""https://docs.google.com/spreadsheets/d/14Bd19lYaqBhU8_DElYkX7l4wRkHqqCUFNJY4AfY3kHU/edit?usp=sharing  #gid=0"",""фіз особи new!relations_name""),6,FALSE)
,
(IF
(
G14477=""юридична особа""
,
VLOO"&amp;"KUP(H14477,IMPORTRANGE(""https://docs.google.com/spreadsheets/d/14Bd19lYaqBhU8_DElYkX7l4wRkHqqCUFNJY4AfY3kHU/edit?usp=sharing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476" s="7" t="s">
        <v>23</v>
      </c>
    </row>
    <row r="14477" spans="1:10" ht="13.2">
      <c r="A14477" s="7">
        <v>14476</v>
      </c>
      <c r="B14477" s="7">
        <v>1</v>
      </c>
      <c r="C14477" s="7" t="s">
        <v>10</v>
      </c>
      <c r="D14477" s="7">
        <v>19365</v>
      </c>
      <c r="E14477" s="7" t="s">
        <v>23</v>
      </c>
      <c r="F14477" s="8" t="str">
        <f ca="1">IFERROR(__xludf.DUMMYFUNCTION("IF
(
C14478=""фізична особа""
,
VLOOKUP(D14478,IMPORTRANGE(""https://docs.google.com/spreadsheets/d/14Bd19lYaqBhU8_DElYkX7l4wRkHqqCUFNJY4AfY3kHU/edit?usp=sharing  #gid=0"",""фіз особи new!relations_name""),6,FALSE)
,
(IF
(
C14478=""юридична особа""
,
VLOO"&amp;"KUP(D14478,IMPORTRANGE(""https://docs.google.com/spreadsheets/d/14Bd19lYaqBhU8_DElYkX7l4wRkHqqCUFNJY4AfY3kHU/edit?usp=sharing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7" s="7" t="s">
        <v>10</v>
      </c>
      <c r="H14477" s="7">
        <v>19371</v>
      </c>
      <c r="I14477" s="8" t="str">
        <f ca="1">IFERROR(__xludf.DUMMYFUNCTION("IF
(
G14478=""фізична особа""
,
VLOOKUP(H14478,IMPORTRANGE(""https://docs.google.com/spreadsheets/d/14Bd19lYaqBhU8_DElYkX7l4wRkHqqCUFNJY4AfY3kHU/edit?usp=sharing  #gid=0"",""фіз особи new!relations_name""),6,FALSE)
,
(IF
(
G14478=""юридична особа""
,
VLOO"&amp;"KUP(H14478,IMPORTRANGE(""https://docs.google.com/spreadsheets/d/14Bd19lYaqBhU8_DElYkX7l4wRkHqqCUFNJY4AfY3kHU/edit?usp=sharing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477" s="7" t="s">
        <v>23</v>
      </c>
    </row>
    <row r="14478" spans="1:10" ht="13.2">
      <c r="A14478" s="7">
        <v>14477</v>
      </c>
      <c r="B14478" s="7">
        <v>1</v>
      </c>
      <c r="C14478" s="7" t="s">
        <v>10</v>
      </c>
      <c r="D14478" s="7">
        <v>19365</v>
      </c>
      <c r="E14478" s="7" t="s">
        <v>23</v>
      </c>
      <c r="F14478" s="8" t="str">
        <f ca="1">IFERROR(__xludf.DUMMYFUNCTION("IF
(
C14479=""фізична особа""
,
VLOOKUP(D14479,IMPORTRANGE(""https://docs.google.com/spreadsheets/d/14Bd19lYaqBhU8_DElYkX7l4wRkHqqCUFNJY4AfY3kHU/edit?usp=sharing  #gid=0"",""фіз особи new!relations_name""),6,FALSE)
,
(IF
(
C14479=""юридична особа""
,
VLOO"&amp;"KUP(D14479,IMPORTRANGE(""https://docs.google.com/spreadsheets/d/14Bd19lYaqBhU8_DElYkX7l4wRkHqqCUFNJY4AfY3kHU/edit?usp=sharing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8" s="7" t="s">
        <v>10</v>
      </c>
      <c r="H14478" s="7">
        <v>19471</v>
      </c>
      <c r="I14478" s="8" t="str">
        <f ca="1">IFERROR(__xludf.DUMMYFUNCTION("IF
(
G14479=""фізична особа""
,
VLOOKUP(H14479,IMPORTRANGE(""https://docs.google.com/spreadsheets/d/14Bd19lYaqBhU8_DElYkX7l4wRkHqqCUFNJY4AfY3kHU/edit?usp=sharing  #gid=0"",""фіз особи new!relations_name""),6,FALSE)
,
(IF
(
G14479=""юридична особа""
,
VLOO"&amp;"KUP(H14479,IMPORTRANGE(""https://docs.google.com/spreadsheets/d/14Bd19lYaqBhU8_DElYkX7l4wRkHqqCUFNJY4AfY3kHU/edit?usp=sharing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478" s="7" t="s">
        <v>23</v>
      </c>
    </row>
    <row r="14479" spans="1:10" ht="13.2">
      <c r="A14479" s="7">
        <v>14478</v>
      </c>
      <c r="B14479" s="7">
        <v>1</v>
      </c>
      <c r="C14479" s="7" t="s">
        <v>10</v>
      </c>
      <c r="D14479" s="7">
        <v>19365</v>
      </c>
      <c r="E14479" s="7" t="s">
        <v>23</v>
      </c>
      <c r="F14479" s="8" t="str">
        <f ca="1">IFERROR(__xludf.DUMMYFUNCTION("IF
(
C14480=""фізична особа""
,
VLOOKUP(D14480,IMPORTRANGE(""https://docs.google.com/spreadsheets/d/14Bd19lYaqBhU8_DElYkX7l4wRkHqqCUFNJY4AfY3kHU/edit?usp=sharing  #gid=0"",""фіз особи new!relations_name""),6,FALSE)
,
(IF
(
C14480=""юридична особа""
,
VLOO"&amp;"KUP(D14480,IMPORTRANGE(""https://docs.google.com/spreadsheets/d/14Bd19lYaqBhU8_DElYkX7l4wRkHqqCUFNJY4AfY3kHU/edit?usp=sharing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79" s="7" t="s">
        <v>10</v>
      </c>
      <c r="H14479" s="7">
        <v>23697</v>
      </c>
      <c r="I14479" s="8" t="str">
        <f ca="1">IFERROR(__xludf.DUMMYFUNCTION("IF
(
G14480=""фізична особа""
,
VLOOKUP(H14480,IMPORTRANGE(""https://docs.google.com/spreadsheets/d/14Bd19lYaqBhU8_DElYkX7l4wRkHqqCUFNJY4AfY3kHU/edit?usp=sharing  #gid=0"",""фіз особи new!relations_name""),6,FALSE)
,
(IF
(
G14480=""юридична особа""
,
VLOO"&amp;"KUP(H14480,IMPORTRANGE(""https://docs.google.com/spreadsheets/d/14Bd19lYaqBhU8_DElYkX7l4wRkHqqCUFNJY4AfY3kHU/edit?usp=sharing  #gid=0"",""фіз особи new!relations_name_uo""),7,FALSE)
,
)
))"),"ДІДЕНКО Ольга Олександрівна")</f>
        <v>ДІДЕНКО Ольга Олександрівна</v>
      </c>
      <c r="J14479" s="7" t="s">
        <v>23</v>
      </c>
    </row>
    <row r="14480" spans="1:10" ht="13.2">
      <c r="A14480" s="7">
        <v>14479</v>
      </c>
      <c r="B14480" s="7">
        <v>1</v>
      </c>
      <c r="C14480" s="7" t="s">
        <v>10</v>
      </c>
      <c r="D14480" s="7">
        <v>19365</v>
      </c>
      <c r="E14480" s="7" t="s">
        <v>23</v>
      </c>
      <c r="F14480" s="8" t="str">
        <f ca="1">IFERROR(__xludf.DUMMYFUNCTION("IF
(
C14481=""фізична особа""
,
VLOOKUP(D14481,IMPORTRANGE(""https://docs.google.com/spreadsheets/d/14Bd19lYaqBhU8_DElYkX7l4wRkHqqCUFNJY4AfY3kHU/edit?usp=sharing  #gid=0"",""фіз особи new!relations_name""),6,FALSE)
,
(IF
(
C14481=""юридична особа""
,
VLOO"&amp;"KUP(D14481,IMPORTRANGE(""https://docs.google.com/spreadsheets/d/14Bd19lYaqBhU8_DElYkX7l4wRkHqqCUFNJY4AfY3kHU/edit?usp=sharing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G14480" s="7" t="s">
        <v>10</v>
      </c>
      <c r="H14480" s="7">
        <v>19366</v>
      </c>
      <c r="I14480" s="8" t="str">
        <f ca="1">IFERROR(__xludf.DUMMYFUNCTION("IF
(
G14481=""фізична особа""
,
VLOOKUP(H14481,IMPORTRANGE(""https://docs.google.com/spreadsheets/d/14Bd19lYaqBhU8_DElYkX7l4wRkHqqCUFNJY4AfY3kHU/edit?usp=sharing  #gid=0"",""фіз особи new!relations_name""),6,FALSE)
,
(IF
(
G14481=""юридична особа""
,
VLOO"&amp;"KUP(H14481,IMPORTRANGE(""https://docs.google.com/spreadsheets/d/14Bd19lYaqBhU8_DElYkX7l4wRkHqqCUFNJY4AfY3kHU/edit?usp=sharing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480" s="7" t="s">
        <v>23</v>
      </c>
    </row>
    <row r="14481" spans="1:10" ht="13.2">
      <c r="A14481" s="7">
        <v>14480</v>
      </c>
      <c r="B14481" s="7">
        <v>1</v>
      </c>
      <c r="C14481" s="7" t="s">
        <v>10</v>
      </c>
      <c r="D14481" s="7">
        <v>19366</v>
      </c>
      <c r="E14481" s="7" t="s">
        <v>23</v>
      </c>
      <c r="F14481" s="8" t="str">
        <f ca="1">IFERROR(__xludf.DUMMYFUNCTION("IF
(
C14482=""фізична особа""
,
VLOOKUP(D14482,IMPORTRANGE(""https://docs.google.com/spreadsheets/d/14Bd19lYaqBhU8_DElYkX7l4wRkHqqCUFNJY4AfY3kHU/edit?usp=sharing  #gid=0"",""фіз особи new!relations_name""),6,FALSE)
,
(IF
(
C14482=""юридична особа""
,
VLOO"&amp;"KUP(D14482,IMPORTRANGE(""https://docs.google.com/spreadsheets/d/14Bd19lYaqBhU8_DElYkX7l4wRkHqqCUFNJY4AfY3kHU/edit?usp=sharing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1" s="7" t="s">
        <v>10</v>
      </c>
      <c r="H14481" s="7">
        <v>23695</v>
      </c>
      <c r="I14481" s="8" t="str">
        <f ca="1">IFERROR(__xludf.DUMMYFUNCTION("IF
(
G14482=""фізична особа""
,
VLOOKUP(H14482,IMPORTRANGE(""https://docs.google.com/spreadsheets/d/14Bd19lYaqBhU8_DElYkX7l4wRkHqqCUFNJY4AfY3kHU/edit?usp=sharing  #gid=0"",""фіз особи new!relations_name""),6,FALSE)
,
(IF
(
G14482=""юридична особа""
,
VLOO"&amp;"KUP(H14482,IMPORTRANGE(""https://docs.google.com/spreadsheets/d/14Bd19lYaqBhU8_DElYkX7l4wRkHqqCUFNJY4AfY3kHU/edit?usp=sharing  #gid=0"",""фіз особи new!relations_name_uo""),7,FALSE)
,
)
))"),"ГУМЕН Іван Олександрович")</f>
        <v>ГУМЕН Іван Олександрович</v>
      </c>
      <c r="J14481" s="7" t="s">
        <v>23</v>
      </c>
    </row>
    <row r="14482" spans="1:10" ht="13.2">
      <c r="A14482" s="7">
        <v>14481</v>
      </c>
      <c r="B14482" s="7">
        <v>1</v>
      </c>
      <c r="C14482" s="7" t="s">
        <v>10</v>
      </c>
      <c r="D14482" s="7">
        <v>19366</v>
      </c>
      <c r="E14482" s="7" t="s">
        <v>23</v>
      </c>
      <c r="F14482" s="8" t="str">
        <f ca="1">IFERROR(__xludf.DUMMYFUNCTION("IF
(
C14483=""фізична особа""
,
VLOOKUP(D14483,IMPORTRANGE(""https://docs.google.com/spreadsheets/d/14Bd19lYaqBhU8_DElYkX7l4wRkHqqCUFNJY4AfY3kHU/edit?usp=sharing  #gid=0"",""фіз особи new!relations_name""),6,FALSE)
,
(IF
(
C14483=""юридична особа""
,
VLOO"&amp;"KUP(D14483,IMPORTRANGE(""https://docs.google.com/spreadsheets/d/14Bd19lYaqBhU8_DElYkX7l4wRkHqqCUFNJY4AfY3kHU/edit?usp=sharing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2" s="7" t="s">
        <v>10</v>
      </c>
      <c r="H14482" s="7">
        <v>19365</v>
      </c>
      <c r="I14482" s="8" t="str">
        <f ca="1">IFERROR(__xludf.DUMMYFUNCTION("IF
(
G14483=""фізична особа""
,
VLOOKUP(H14483,IMPORTRANGE(""https://docs.google.com/spreadsheets/d/14Bd19lYaqBhU8_DElYkX7l4wRkHqqCUFNJY4AfY3kHU/edit?usp=sharing  #gid=0"",""фіз особи new!relations_name""),6,FALSE)
,
(IF
(
G14483=""юридична особа""
,
VLOO"&amp;"KUP(H14483,IMPORTRANGE(""https://docs.google.com/spreadsheets/d/14Bd19lYaqBhU8_DElYkX7l4wRkHqqCUFNJY4AfY3kHU/edit?usp=sharing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482" s="7" t="s">
        <v>23</v>
      </c>
    </row>
    <row r="14483" spans="1:10" ht="13.2">
      <c r="A14483" s="7">
        <v>14482</v>
      </c>
      <c r="B14483" s="7">
        <v>1</v>
      </c>
      <c r="C14483" s="7" t="s">
        <v>10</v>
      </c>
      <c r="D14483" s="7">
        <v>19366</v>
      </c>
      <c r="E14483" s="7" t="s">
        <v>23</v>
      </c>
      <c r="F14483" s="8" t="str">
        <f ca="1">IFERROR(__xludf.DUMMYFUNCTION("IF
(
C14484=""фізична особа""
,
VLOOKUP(D14484,IMPORTRANGE(""https://docs.google.com/spreadsheets/d/14Bd19lYaqBhU8_DElYkX7l4wRkHqqCUFNJY4AfY3kHU/edit?usp=sharing  #gid=0"",""фіз особи new!relations_name""),6,FALSE)
,
(IF
(
C14484=""юридична особа""
,
VLOO"&amp;"KUP(D14484,IMPORTRANGE(""https://docs.google.com/spreadsheets/d/14Bd19lYaqBhU8_DElYkX7l4wRkHqqCUFNJY4AfY3kHU/edit?usp=sharing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3" s="7" t="s">
        <v>10</v>
      </c>
      <c r="H14483" s="7">
        <v>0</v>
      </c>
      <c r="I14483" s="8" t="str">
        <f ca="1">IFERROR(__xludf.DUMMYFUNCTION("IF
(
G14484=""фізична особа""
,
VLOOKUP(H14484,IMPORTRANGE(""https://docs.google.com/spreadsheets/d/14Bd19lYaqBhU8_DElYkX7l4wRkHqqCUFNJY4AfY3kHU/edit?usp=sharing  #gid=0"",""фіз особи new!relations_name""),6,FALSE)
,
(IF
(
G14484=""юридична особа""
,
VLOO"&amp;"KUP(H14484,IMPORTRANGE(""https://docs.google.com/spreadsheets/d/14Bd19lYaqBhU8_DElYkX7l4wRkHqqCUFNJY4AfY3kHU/edit?usp=sharing  #gid=0"",""фіз особи new!relations_name_uo""),7,FALSE)
,
)
))"),"#N/A")</f>
        <v>#N/A</v>
      </c>
      <c r="J14483" s="7" t="s">
        <v>23</v>
      </c>
    </row>
    <row r="14484" spans="1:10" ht="13.2">
      <c r="A14484" s="7">
        <v>14483</v>
      </c>
      <c r="B14484" s="7">
        <v>1</v>
      </c>
      <c r="C14484" s="7" t="s">
        <v>10</v>
      </c>
      <c r="D14484" s="7">
        <v>19366</v>
      </c>
      <c r="E14484" s="7" t="s">
        <v>23</v>
      </c>
      <c r="F14484" s="8" t="str">
        <f ca="1">IFERROR(__xludf.DUMMYFUNCTION("IF
(
C14485=""фізична особа""
,
VLOOKUP(D14485,IMPORTRANGE(""https://docs.google.com/spreadsheets/d/14Bd19lYaqBhU8_DElYkX7l4wRkHqqCUFNJY4AfY3kHU/edit?usp=sharing  #gid=0"",""фіз особи new!relations_name""),6,FALSE)
,
(IF
(
C14485=""юридична особа""
,
VLOO"&amp;"KUP(D14485,IMPORTRANGE(""https://docs.google.com/spreadsheets/d/14Bd19lYaqBhU8_DElYkX7l4wRkHqqCUFNJY4AfY3kHU/edit?usp=sharing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4" s="7" t="s">
        <v>10</v>
      </c>
      <c r="H14484" s="7">
        <v>19364</v>
      </c>
      <c r="I14484" s="8" t="str">
        <f ca="1">IFERROR(__xludf.DUMMYFUNCTION("IF
(
G14485=""фізична особа""
,
VLOOKUP(H14485,IMPORTRANGE(""https://docs.google.com/spreadsheets/d/14Bd19lYaqBhU8_DElYkX7l4wRkHqqCUFNJY4AfY3kHU/edit?usp=sharing  #gid=0"",""фіз особи new!relations_name""),6,FALSE)
,
(IF
(
G14485=""юридична особа""
,
VLOO"&amp;"KUP(H14485,IMPORTRANGE(""https://docs.google.com/spreadsheets/d/14Bd19lYaqBhU8_DElYkX7l4wRkHqqCUFNJY4AfY3kHU/edit?usp=sharing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484" s="7" t="s">
        <v>23</v>
      </c>
    </row>
    <row r="14485" spans="1:10" ht="13.2">
      <c r="A14485" s="7">
        <v>14484</v>
      </c>
      <c r="B14485" s="7">
        <v>1</v>
      </c>
      <c r="C14485" s="7" t="s">
        <v>10</v>
      </c>
      <c r="D14485" s="7">
        <v>19366</v>
      </c>
      <c r="E14485" s="7" t="s">
        <v>23</v>
      </c>
      <c r="F14485" s="8" t="str">
        <f ca="1">IFERROR(__xludf.DUMMYFUNCTION("IF
(
C14486=""фізична особа""
,
VLOOKUP(D14486,IMPORTRANGE(""https://docs.google.com/spreadsheets/d/14Bd19lYaqBhU8_DElYkX7l4wRkHqqCUFNJY4AfY3kHU/edit?usp=sharing  #gid=0"",""фіз особи new!relations_name""),6,FALSE)
,
(IF
(
C14486=""юридична особа""
,
VLOO"&amp;"KUP(D14486,IMPORTRANGE(""https://docs.google.com/spreadsheets/d/14Bd19lYaqBhU8_DElYkX7l4wRkHqqCUFNJY4AfY3kHU/edit?usp=sharing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5" s="7" t="s">
        <v>10</v>
      </c>
      <c r="H14485" s="7">
        <v>19368</v>
      </c>
      <c r="I14485" s="8" t="str">
        <f ca="1">IFERROR(__xludf.DUMMYFUNCTION("IF
(
G14486=""фізична особа""
,
VLOOKUP(H14486,IMPORTRANGE(""https://docs.google.com/spreadsheets/d/14Bd19lYaqBhU8_DElYkX7l4wRkHqqCUFNJY4AfY3kHU/edit?usp=sharing  #gid=0"",""фіз особи new!relations_name""),6,FALSE)
,
(IF
(
G14486=""юридична особа""
,
VLOO"&amp;"KUP(H14486,IMPORTRANGE(""https://docs.google.com/spreadsheets/d/14Bd19lYaqBhU8_DElYkX7l4wRkHqqCUFNJY4AfY3kHU/edit?usp=sharing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485" s="7" t="s">
        <v>23</v>
      </c>
    </row>
    <row r="14486" spans="1:10" ht="13.2">
      <c r="A14486" s="7">
        <v>14485</v>
      </c>
      <c r="B14486" s="7">
        <v>1</v>
      </c>
      <c r="C14486" s="7" t="s">
        <v>10</v>
      </c>
      <c r="D14486" s="7">
        <v>19366</v>
      </c>
      <c r="E14486" s="7" t="s">
        <v>23</v>
      </c>
      <c r="F14486" s="8" t="str">
        <f ca="1">IFERROR(__xludf.DUMMYFUNCTION("IF
(
C14487=""фізична особа""
,
VLOOKUP(D14487,IMPORTRANGE(""https://docs.google.com/spreadsheets/d/14Bd19lYaqBhU8_DElYkX7l4wRkHqqCUFNJY4AfY3kHU/edit?usp=sharing  #gid=0"",""фіз особи new!relations_name""),6,FALSE)
,
(IF
(
C14487=""юридична особа""
,
VLOO"&amp;"KUP(D14487,IMPORTRANGE(""https://docs.google.com/spreadsheets/d/14Bd19lYaqBhU8_DElYkX7l4wRkHqqCUFNJY4AfY3kHU/edit?usp=sharing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6" s="7" t="s">
        <v>10</v>
      </c>
      <c r="H14486" s="7">
        <v>19367</v>
      </c>
      <c r="I14486" s="8" t="str">
        <f ca="1">IFERROR(__xludf.DUMMYFUNCTION("IF
(
G14487=""фізична особа""
,
VLOOKUP(H14487,IMPORTRANGE(""https://docs.google.com/spreadsheets/d/14Bd19lYaqBhU8_DElYkX7l4wRkHqqCUFNJY4AfY3kHU/edit?usp=sharing  #gid=0"",""фіз особи new!relations_name""),6,FALSE)
,
(IF
(
G14487=""юридична особа""
,
VLOO"&amp;"KUP(H14487,IMPORTRANGE(""https://docs.google.com/spreadsheets/d/14Bd19lYaqBhU8_DElYkX7l4wRkHqqCUFNJY4AfY3kHU/edit?usp=sharing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486" s="7" t="s">
        <v>23</v>
      </c>
    </row>
    <row r="14487" spans="1:10" ht="13.2">
      <c r="A14487" s="7">
        <v>14486</v>
      </c>
      <c r="B14487" s="7">
        <v>1</v>
      </c>
      <c r="C14487" s="7" t="s">
        <v>10</v>
      </c>
      <c r="D14487" s="7">
        <v>19366</v>
      </c>
      <c r="E14487" s="7" t="s">
        <v>23</v>
      </c>
      <c r="F14487" s="8" t="str">
        <f ca="1">IFERROR(__xludf.DUMMYFUNCTION("IF
(
C14488=""фізична особа""
,
VLOOKUP(D14488,IMPORTRANGE(""https://docs.google.com/spreadsheets/d/14Bd19lYaqBhU8_DElYkX7l4wRkHqqCUFNJY4AfY3kHU/edit?usp=sharing  #gid=0"",""фіз особи new!relations_name""),6,FALSE)
,
(IF
(
C14488=""юридична особа""
,
VLOO"&amp;"KUP(D14488,IMPORTRANGE(""https://docs.google.com/spreadsheets/d/14Bd19lYaqBhU8_DElYkX7l4wRkHqqCUFNJY4AfY3kHU/edit?usp=sharing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7" s="7" t="s">
        <v>10</v>
      </c>
      <c r="H14487" s="7">
        <v>23697</v>
      </c>
      <c r="I14487" s="8" t="str">
        <f ca="1">IFERROR(__xludf.DUMMYFUNCTION("IF
(
G14488=""фізична особа""
,
VLOOKUP(H14488,IMPORTRANGE(""https://docs.google.com/spreadsheets/d/14Bd19lYaqBhU8_DElYkX7l4wRkHqqCUFNJY4AfY3kHU/edit?usp=sharing  #gid=0"",""фіз особи new!relations_name""),6,FALSE)
,
(IF
(
G14488=""юридична особа""
,
VLOO"&amp;"KUP(H14488,IMPORTRANGE(""https://docs.google.com/spreadsheets/d/14Bd19lYaqBhU8_DElYkX7l4wRkHqqCUFNJY4AfY3kHU/edit?usp=sharing  #gid=0"",""фіз особи new!relations_name_uo""),7,FALSE)
,
)
))"),"ДІДЕНКО Ольга Олександрівна")</f>
        <v>ДІДЕНКО Ольга Олександрівна</v>
      </c>
      <c r="J14487" s="7" t="s">
        <v>23</v>
      </c>
    </row>
    <row r="14488" spans="1:10" ht="13.2">
      <c r="A14488" s="7">
        <v>14487</v>
      </c>
      <c r="B14488" s="7">
        <v>1</v>
      </c>
      <c r="C14488" s="7" t="s">
        <v>10</v>
      </c>
      <c r="D14488" s="7">
        <v>19366</v>
      </c>
      <c r="E14488" s="7" t="s">
        <v>23</v>
      </c>
      <c r="F14488" s="8" t="str">
        <f ca="1">IFERROR(__xludf.DUMMYFUNCTION("IF
(
C14489=""фізична особа""
,
VLOOKUP(D14489,IMPORTRANGE(""https://docs.google.com/spreadsheets/d/14Bd19lYaqBhU8_DElYkX7l4wRkHqqCUFNJY4AfY3kHU/edit?usp=sharing  #gid=0"",""фіз особи new!relations_name""),6,FALSE)
,
(IF
(
C14489=""юридична особа""
,
VLOO"&amp;"KUP(D14489,IMPORTRANGE(""https://docs.google.com/spreadsheets/d/14Bd19lYaqBhU8_DElYkX7l4wRkHqqCUFNJY4AfY3kHU/edit?usp=sharing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8" s="7" t="s">
        <v>10</v>
      </c>
      <c r="H14488" s="7">
        <v>23699</v>
      </c>
      <c r="I14488" s="8" t="str">
        <f ca="1">IFERROR(__xludf.DUMMYFUNCTION("IF
(
G14489=""фізична особа""
,
VLOOKUP(H14489,IMPORTRANGE(""https://docs.google.com/spreadsheets/d/14Bd19lYaqBhU8_DElYkX7l4wRkHqqCUFNJY4AfY3kHU/edit?usp=sharing  #gid=0"",""фіз особи new!relations_name""),6,FALSE)
,
(IF
(
G14489=""юридична особа""
,
VLOO"&amp;"KUP(H14489,IMPORTRANGE(""https://docs.google.com/spreadsheets/d/14Bd19lYaqBhU8_DElYkX7l4wRkHqqCUFNJY4AfY3kHU/edit?usp=sharing  #gid=0"",""фіз особи new!relations_name_uo""),7,FALSE)
,
)
))"),"КОРЧАГІН Володимир Іванович")</f>
        <v>КОРЧАГІН Володимир Іванович</v>
      </c>
      <c r="J14488" s="7" t="s">
        <v>23</v>
      </c>
    </row>
    <row r="14489" spans="1:10" ht="13.2">
      <c r="A14489" s="7">
        <v>14488</v>
      </c>
      <c r="B14489" s="7">
        <v>1</v>
      </c>
      <c r="C14489" s="7" t="s">
        <v>10</v>
      </c>
      <c r="D14489" s="7">
        <v>19366</v>
      </c>
      <c r="E14489" s="7" t="s">
        <v>23</v>
      </c>
      <c r="F14489" s="8" t="str">
        <f ca="1">IFERROR(__xludf.DUMMYFUNCTION("IF
(
C14490=""фізична особа""
,
VLOOKUP(D14490,IMPORTRANGE(""https://docs.google.com/spreadsheets/d/14Bd19lYaqBhU8_DElYkX7l4wRkHqqCUFNJY4AfY3kHU/edit?usp=sharing  #gid=0"",""фіз особи new!relations_name""),6,FALSE)
,
(IF
(
C14490=""юридична особа""
,
VLOO"&amp;"KUP(D14490,IMPORTRANGE(""https://docs.google.com/spreadsheets/d/14Bd19lYaqBhU8_DElYkX7l4wRkHqqCUFNJY4AfY3kHU/edit?usp=sharing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89" s="7" t="s">
        <v>10</v>
      </c>
      <c r="H14489" s="7">
        <v>19468</v>
      </c>
      <c r="I14489" s="8" t="str">
        <f ca="1">IFERROR(__xludf.DUMMYFUNCTION("IF
(
G14490=""фізична особа""
,
VLOOKUP(H14490,IMPORTRANGE(""https://docs.google.com/spreadsheets/d/14Bd19lYaqBhU8_DElYkX7l4wRkHqqCUFNJY4AfY3kHU/edit?usp=sharing  #gid=0"",""фіз особи new!relations_name""),6,FALSE)
,
(IF
(
G14490=""юридична особа""
,
VLOO"&amp;"KUP(H14490,IMPORTRANGE(""https://docs.google.com/spreadsheets/d/14Bd19lYaqBhU8_DElYkX7l4wRkHqqCUFNJY4AfY3kHU/edit?usp=sharing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489" s="7" t="s">
        <v>23</v>
      </c>
    </row>
    <row r="14490" spans="1:10" ht="13.2">
      <c r="A14490" s="7">
        <v>14489</v>
      </c>
      <c r="B14490" s="7">
        <v>1</v>
      </c>
      <c r="C14490" s="7" t="s">
        <v>10</v>
      </c>
      <c r="D14490" s="7">
        <v>19366</v>
      </c>
      <c r="E14490" s="7" t="s">
        <v>23</v>
      </c>
      <c r="F14490" s="8" t="str">
        <f ca="1">IFERROR(__xludf.DUMMYFUNCTION("IF
(
C14491=""фізична особа""
,
VLOOKUP(D14491,IMPORTRANGE(""https://docs.google.com/spreadsheets/d/14Bd19lYaqBhU8_DElYkX7l4wRkHqqCUFNJY4AfY3kHU/edit?usp=sharing  #gid=0"",""фіз особи new!relations_name""),6,FALSE)
,
(IF
(
C14491=""юридична особа""
,
VLOO"&amp;"KUP(D14491,IMPORTRANGE(""https://docs.google.com/spreadsheets/d/14Bd19lYaqBhU8_DElYkX7l4wRkHqqCUFNJY4AfY3kHU/edit?usp=sharing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0" s="7" t="s">
        <v>10</v>
      </c>
      <c r="H14490" s="7">
        <v>19474</v>
      </c>
      <c r="I14490" s="8" t="str">
        <f ca="1">IFERROR(__xludf.DUMMYFUNCTION("IF
(
G14491=""фізична особа""
,
VLOOKUP(H14491,IMPORTRANGE(""https://docs.google.com/spreadsheets/d/14Bd19lYaqBhU8_DElYkX7l4wRkHqqCUFNJY4AfY3kHU/edit?usp=sharing  #gid=0"",""фіз особи new!relations_name""),6,FALSE)
,
(IF
(
G14491=""юридична особа""
,
VLOO"&amp;"KUP(H14491,IMPORTRANGE(""https://docs.google.com/spreadsheets/d/14Bd19lYaqBhU8_DElYkX7l4wRkHqqCUFNJY4AfY3kHU/edit?usp=sharing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490" s="7" t="s">
        <v>23</v>
      </c>
    </row>
    <row r="14491" spans="1:10" ht="13.2">
      <c r="A14491" s="7">
        <v>14490</v>
      </c>
      <c r="B14491" s="7">
        <v>1</v>
      </c>
      <c r="C14491" s="7" t="s">
        <v>10</v>
      </c>
      <c r="D14491" s="7">
        <v>19366</v>
      </c>
      <c r="E14491" s="7" t="s">
        <v>23</v>
      </c>
      <c r="F14491" s="8" t="str">
        <f ca="1">IFERROR(__xludf.DUMMYFUNCTION("IF
(
C14492=""фізична особа""
,
VLOOKUP(D14492,IMPORTRANGE(""https://docs.google.com/spreadsheets/d/14Bd19lYaqBhU8_DElYkX7l4wRkHqqCUFNJY4AfY3kHU/edit?usp=sharing  #gid=0"",""фіз особи new!relations_name""),6,FALSE)
,
(IF
(
C14492=""юридична особа""
,
VLOO"&amp;"KUP(D14492,IMPORTRANGE(""https://docs.google.com/spreadsheets/d/14Bd19lYaqBhU8_DElYkX7l4wRkHqqCUFNJY4AfY3kHU/edit?usp=sharing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1" s="7" t="s">
        <v>10</v>
      </c>
      <c r="H14491" s="7">
        <v>19466</v>
      </c>
      <c r="I14491" s="8" t="str">
        <f ca="1">IFERROR(__xludf.DUMMYFUNCTION("IF
(
G14492=""фізична особа""
,
VLOOKUP(H14492,IMPORTRANGE(""https://docs.google.com/spreadsheets/d/14Bd19lYaqBhU8_DElYkX7l4wRkHqqCUFNJY4AfY3kHU/edit?usp=sharing  #gid=0"",""фіз особи new!relations_name""),6,FALSE)
,
(IF
(
G14492=""юридична особа""
,
VLOO"&amp;"KUP(H14492,IMPORTRANGE(""https://docs.google.com/spreadsheets/d/14Bd19lYaqBhU8_DElYkX7l4wRkHqqCUFNJY4AfY3kHU/edit?usp=sharing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491" s="7" t="s">
        <v>23</v>
      </c>
    </row>
    <row r="14492" spans="1:10" ht="13.2">
      <c r="A14492" s="7">
        <v>14491</v>
      </c>
      <c r="B14492" s="7">
        <v>1</v>
      </c>
      <c r="C14492" s="7" t="s">
        <v>10</v>
      </c>
      <c r="D14492" s="7">
        <v>19366</v>
      </c>
      <c r="E14492" s="7" t="s">
        <v>23</v>
      </c>
      <c r="F14492" s="8" t="str">
        <f ca="1">IFERROR(__xludf.DUMMYFUNCTION("IF
(
C14493=""фізична особа""
,
VLOOKUP(D14493,IMPORTRANGE(""https://docs.google.com/spreadsheets/d/14Bd19lYaqBhU8_DElYkX7l4wRkHqqCUFNJY4AfY3kHU/edit?usp=sharing  #gid=0"",""фіз особи new!relations_name""),6,FALSE)
,
(IF
(
C14493=""юридична особа""
,
VLOO"&amp;"KUP(D14493,IMPORTRANGE(""https://docs.google.com/spreadsheets/d/14Bd19lYaqBhU8_DElYkX7l4wRkHqqCUFNJY4AfY3kHU/edit?usp=sharing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2" s="7" t="s">
        <v>10</v>
      </c>
      <c r="H14492" s="7">
        <v>19467</v>
      </c>
      <c r="I14492" s="8" t="str">
        <f ca="1">IFERROR(__xludf.DUMMYFUNCTION("IF
(
G14493=""фізична особа""
,
VLOOKUP(H14493,IMPORTRANGE(""https://docs.google.com/spreadsheets/d/14Bd19lYaqBhU8_DElYkX7l4wRkHqqCUFNJY4AfY3kHU/edit?usp=sharing  #gid=0"",""фіз особи new!relations_name""),6,FALSE)
,
(IF
(
G14493=""юридична особа""
,
VLOO"&amp;"KUP(H14493,IMPORTRANGE(""https://docs.google.com/spreadsheets/d/14Bd19lYaqBhU8_DElYkX7l4wRkHqqCUFNJY4AfY3kHU/edit?usp=sharing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492" s="7" t="s">
        <v>23</v>
      </c>
    </row>
    <row r="14493" spans="1:10" ht="13.2">
      <c r="A14493" s="7">
        <v>14492</v>
      </c>
      <c r="B14493" s="7">
        <v>1</v>
      </c>
      <c r="C14493" s="7" t="s">
        <v>10</v>
      </c>
      <c r="D14493" s="7">
        <v>19366</v>
      </c>
      <c r="E14493" s="7" t="s">
        <v>23</v>
      </c>
      <c r="F14493" s="8" t="str">
        <f ca="1">IFERROR(__xludf.DUMMYFUNCTION("IF
(
C14494=""фізична особа""
,
VLOOKUP(D14494,IMPORTRANGE(""https://docs.google.com/spreadsheets/d/14Bd19lYaqBhU8_DElYkX7l4wRkHqqCUFNJY4AfY3kHU/edit?usp=sharing  #gid=0"",""фіз особи new!relations_name""),6,FALSE)
,
(IF
(
C14494=""юридична особа""
,
VLOO"&amp;"KUP(D14494,IMPORTRANGE(""https://docs.google.com/spreadsheets/d/14Bd19lYaqBhU8_DElYkX7l4wRkHqqCUFNJY4AfY3kHU/edit?usp=sharing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3" s="7" t="s">
        <v>10</v>
      </c>
      <c r="H14493" s="7">
        <v>19470</v>
      </c>
      <c r="I14493" s="8" t="str">
        <f ca="1">IFERROR(__xludf.DUMMYFUNCTION("IF
(
G14494=""фізична особа""
,
VLOOKUP(H14494,IMPORTRANGE(""https://docs.google.com/spreadsheets/d/14Bd19lYaqBhU8_DElYkX7l4wRkHqqCUFNJY4AfY3kHU/edit?usp=sharing  #gid=0"",""фіз особи new!relations_name""),6,FALSE)
,
(IF
(
G14494=""юридична особа""
,
VLOO"&amp;"KUP(H14494,IMPORTRANGE(""https://docs.google.com/spreadsheets/d/14Bd19lYaqBhU8_DElYkX7l4wRkHqqCUFNJY4AfY3kHU/edit?usp=sharing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493" s="7" t="s">
        <v>23</v>
      </c>
    </row>
    <row r="14494" spans="1:10" ht="13.2">
      <c r="A14494" s="7">
        <v>14493</v>
      </c>
      <c r="B14494" s="7">
        <v>1</v>
      </c>
      <c r="C14494" s="7" t="s">
        <v>10</v>
      </c>
      <c r="D14494" s="7">
        <v>19366</v>
      </c>
      <c r="E14494" s="7" t="s">
        <v>23</v>
      </c>
      <c r="F14494" s="8" t="str">
        <f ca="1">IFERROR(__xludf.DUMMYFUNCTION("IF
(
C14495=""фізична особа""
,
VLOOKUP(D14495,IMPORTRANGE(""https://docs.google.com/spreadsheets/d/14Bd19lYaqBhU8_DElYkX7l4wRkHqqCUFNJY4AfY3kHU/edit?usp=sharing  #gid=0"",""фіз особи new!relations_name""),6,FALSE)
,
(IF
(
C14495=""юридична особа""
,
VLOO"&amp;"KUP(D14495,IMPORTRANGE(""https://docs.google.com/spreadsheets/d/14Bd19lYaqBhU8_DElYkX7l4wRkHqqCUFNJY4AfY3kHU/edit?usp=sharing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4" s="7" t="s">
        <v>10</v>
      </c>
      <c r="H14494" s="7">
        <v>23698</v>
      </c>
      <c r="I14494" s="8" t="str">
        <f ca="1">IFERROR(__xludf.DUMMYFUNCTION("IF
(
G14495=""фізична особа""
,
VLOOKUP(H14495,IMPORTRANGE(""https://docs.google.com/spreadsheets/d/14Bd19lYaqBhU8_DElYkX7l4wRkHqqCUFNJY4AfY3kHU/edit?usp=sharing  #gid=0"",""фіз особи new!relations_name""),6,FALSE)
,
(IF
(
G14495=""юридична особа""
,
VLOO"&amp;"KUP(H14495,IMPORTRANGE(""https://docs.google.com/spreadsheets/d/14Bd19lYaqBhU8_DElYkX7l4wRkHqqCUFNJY4AfY3kHU/edit?usp=sharing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494" s="7" t="s">
        <v>23</v>
      </c>
    </row>
    <row r="14495" spans="1:10" ht="13.2">
      <c r="A14495" s="7">
        <v>14494</v>
      </c>
      <c r="B14495" s="7">
        <v>1</v>
      </c>
      <c r="C14495" s="7" t="s">
        <v>10</v>
      </c>
      <c r="D14495" s="7">
        <v>19366</v>
      </c>
      <c r="E14495" s="7" t="s">
        <v>23</v>
      </c>
      <c r="F14495" s="8" t="str">
        <f ca="1">IFERROR(__xludf.DUMMYFUNCTION("IF
(
C14496=""фізична особа""
,
VLOOKUP(D14496,IMPORTRANGE(""https://docs.google.com/spreadsheets/d/14Bd19lYaqBhU8_DElYkX7l4wRkHqqCUFNJY4AfY3kHU/edit?usp=sharing  #gid=0"",""фіз особи new!relations_name""),6,FALSE)
,
(IF
(
C14496=""юридична особа""
,
VLOO"&amp;"KUP(D14496,IMPORTRANGE(""https://docs.google.com/spreadsheets/d/14Bd19lYaqBhU8_DElYkX7l4wRkHqqCUFNJY4AfY3kHU/edit?usp=sharing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5" s="7" t="s">
        <v>10</v>
      </c>
      <c r="H14495" s="7">
        <v>23696</v>
      </c>
      <c r="I14495" s="8" t="str">
        <f ca="1">IFERROR(__xludf.DUMMYFUNCTION("IF
(
G14496=""фізична особа""
,
VLOOKUP(H14496,IMPORTRANGE(""https://docs.google.com/spreadsheets/d/14Bd19lYaqBhU8_DElYkX7l4wRkHqqCUFNJY4AfY3kHU/edit?usp=sharing  #gid=0"",""фіз особи new!relations_name""),6,FALSE)
,
(IF
(
G14496=""юридична особа""
,
VLOO"&amp;"KUP(H14496,IMPORTRANGE(""https://docs.google.com/spreadsheets/d/14Bd19lYaqBhU8_DElYkX7l4wRkHqqCUFNJY4AfY3kHU/edit?usp=sharing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495" s="7" t="s">
        <v>23</v>
      </c>
    </row>
    <row r="14496" spans="1:10" ht="13.2">
      <c r="A14496" s="7">
        <v>14495</v>
      </c>
      <c r="B14496" s="7">
        <v>1</v>
      </c>
      <c r="C14496" s="7" t="s">
        <v>10</v>
      </c>
      <c r="D14496" s="7">
        <v>19366</v>
      </c>
      <c r="E14496" s="7" t="s">
        <v>23</v>
      </c>
      <c r="F14496" s="8" t="str">
        <f ca="1">IFERROR(__xludf.DUMMYFUNCTION("IF
(
C14497=""фізична особа""
,
VLOOKUP(D14497,IMPORTRANGE(""https://docs.google.com/spreadsheets/d/14Bd19lYaqBhU8_DElYkX7l4wRkHqqCUFNJY4AfY3kHU/edit?usp=sharing  #gid=0"",""фіз особи new!relations_name""),6,FALSE)
,
(IF
(
C14497=""юридична особа""
,
VLOO"&amp;"KUP(D14497,IMPORTRANGE(""https://docs.google.com/spreadsheets/d/14Bd19lYaqBhU8_DElYkX7l4wRkHqqCUFNJY4AfY3kHU/edit?usp=sharing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6" s="7" t="s">
        <v>10</v>
      </c>
      <c r="H14496" s="7">
        <v>19469</v>
      </c>
      <c r="I14496" s="8" t="str">
        <f ca="1">IFERROR(__xludf.DUMMYFUNCTION("IF
(
G14497=""фізична особа""
,
VLOOKUP(H14497,IMPORTRANGE(""https://docs.google.com/spreadsheets/d/14Bd19lYaqBhU8_DElYkX7l4wRkHqqCUFNJY4AfY3kHU/edit?usp=sharing  #gid=0"",""фіз особи new!relations_name""),6,FALSE)
,
(IF
(
G14497=""юридична особа""
,
VLOO"&amp;"KUP(H14497,IMPORTRANGE(""https://docs.google.com/spreadsheets/d/14Bd19lYaqBhU8_DElYkX7l4wRkHqqCUFNJY4AfY3kHU/edit?usp=sharing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496" s="7" t="s">
        <v>23</v>
      </c>
    </row>
    <row r="14497" spans="1:10" ht="13.2">
      <c r="A14497" s="7">
        <v>14496</v>
      </c>
      <c r="B14497" s="7">
        <v>1</v>
      </c>
      <c r="C14497" s="7" t="s">
        <v>10</v>
      </c>
      <c r="D14497" s="7">
        <v>19366</v>
      </c>
      <c r="E14497" s="7" t="s">
        <v>23</v>
      </c>
      <c r="F14497" s="8" t="str">
        <f ca="1">IFERROR(__xludf.DUMMYFUNCTION("IF
(
C14498=""фізична особа""
,
VLOOKUP(D14498,IMPORTRANGE(""https://docs.google.com/spreadsheets/d/14Bd19lYaqBhU8_DElYkX7l4wRkHqqCUFNJY4AfY3kHU/edit?usp=sharing  #gid=0"",""фіз особи new!relations_name""),6,FALSE)
,
(IF
(
C14498=""юридична особа""
,
VLOO"&amp;"KUP(D14498,IMPORTRANGE(""https://docs.google.com/spreadsheets/d/14Bd19lYaqBhU8_DElYkX7l4wRkHqqCUFNJY4AfY3kHU/edit?usp=sharing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7" s="7" t="s">
        <v>10</v>
      </c>
      <c r="H14497" s="7">
        <v>19371</v>
      </c>
      <c r="I14497" s="8" t="str">
        <f ca="1">IFERROR(__xludf.DUMMYFUNCTION("IF
(
G14498=""фізична особа""
,
VLOOKUP(H14498,IMPORTRANGE(""https://docs.google.com/spreadsheets/d/14Bd19lYaqBhU8_DElYkX7l4wRkHqqCUFNJY4AfY3kHU/edit?usp=sharing  #gid=0"",""фіз особи new!relations_name""),6,FALSE)
,
(IF
(
G14498=""юридична особа""
,
VLOO"&amp;"KUP(H14498,IMPORTRANGE(""https://docs.google.com/spreadsheets/d/14Bd19lYaqBhU8_DElYkX7l4wRkHqqCUFNJY4AfY3kHU/edit?usp=sharing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497" s="7" t="s">
        <v>23</v>
      </c>
    </row>
    <row r="14498" spans="1:10" ht="13.2">
      <c r="A14498" s="7">
        <v>14497</v>
      </c>
      <c r="B14498" s="7">
        <v>1</v>
      </c>
      <c r="C14498" s="7" t="s">
        <v>10</v>
      </c>
      <c r="D14498" s="7">
        <v>19366</v>
      </c>
      <c r="E14498" s="7" t="s">
        <v>23</v>
      </c>
      <c r="F14498" s="8" t="str">
        <f ca="1">IFERROR(__xludf.DUMMYFUNCTION("IF
(
C14499=""фізична особа""
,
VLOOKUP(D14499,IMPORTRANGE(""https://docs.google.com/spreadsheets/d/14Bd19lYaqBhU8_DElYkX7l4wRkHqqCUFNJY4AfY3kHU/edit?usp=sharing  #gid=0"",""фіз особи new!relations_name""),6,FALSE)
,
(IF
(
C14499=""юридична особа""
,
VLOO"&amp;"KUP(D14499,IMPORTRANGE(""https://docs.google.com/spreadsheets/d/14Bd19lYaqBhU8_DElYkX7l4wRkHqqCUFNJY4AfY3kHU/edit?usp=sharing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G14498" s="7" t="s">
        <v>10</v>
      </c>
      <c r="H14498" s="7">
        <v>19471</v>
      </c>
      <c r="I14498" s="8" t="str">
        <f ca="1">IFERROR(__xludf.DUMMYFUNCTION("IF
(
G14499=""фізична особа""
,
VLOOKUP(H14499,IMPORTRANGE(""https://docs.google.com/spreadsheets/d/14Bd19lYaqBhU8_DElYkX7l4wRkHqqCUFNJY4AfY3kHU/edit?usp=sharing  #gid=0"",""фіз особи new!relations_name""),6,FALSE)
,
(IF
(
G14499=""юридична особа""
,
VLOO"&amp;"KUP(H14499,IMPORTRANGE(""https://docs.google.com/spreadsheets/d/14Bd19lYaqBhU8_DElYkX7l4wRkHqqCUFNJY4AfY3kHU/edit?usp=sharing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498" s="7" t="s">
        <v>23</v>
      </c>
    </row>
    <row r="14499" spans="1:10" ht="13.2">
      <c r="A14499" s="7">
        <v>14498</v>
      </c>
      <c r="B14499" s="7">
        <v>1</v>
      </c>
      <c r="C14499" s="7" t="s">
        <v>10</v>
      </c>
      <c r="D14499" s="7">
        <v>19367</v>
      </c>
      <c r="E14499" s="7" t="s">
        <v>12</v>
      </c>
      <c r="F14499" s="8" t="str">
        <f ca="1">IFERROR(__xludf.DUMMYFUNCTION("IF
(
C14500=""фізична особа""
,
VLOOKUP(D14500,IMPORTRANGE(""https://docs.google.com/spreadsheets/d/14Bd19lYaqBhU8_DElYkX7l4wRkHqqCUFNJY4AfY3kHU/edit?usp=sharing  #gid=0"",""фіз особи new!relations_name""),6,FALSE)
,
(IF
(
C14500=""юридична особа""
,
VLOO"&amp;"KUP(D14500,IMPORTRANGE(""https://docs.google.com/spreadsheets/d/14Bd19lYaqBhU8_DElYkX7l4wRkHqqCUFNJY4AfY3kHU/edit?usp=sharing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499" s="7" t="s">
        <v>10</v>
      </c>
      <c r="H14499" s="7">
        <v>23700</v>
      </c>
      <c r="I14499" s="8" t="str">
        <f ca="1">IFERROR(__xludf.DUMMYFUNCTION("IF
(
G14500=""фізична особа""
,
VLOOKUP(H14500,IMPORTRANGE(""https://docs.google.com/spreadsheets/d/14Bd19lYaqBhU8_DElYkX7l4wRkHqqCUFNJY4AfY3kHU/edit?usp=sharing  #gid=0"",""фіз особи new!relations_name""),6,FALSE)
,
(IF
(
G14500=""юридична особа""
,
VLOO"&amp;"KUP(H14500,IMPORTRANGE(""https://docs.google.com/spreadsheets/d/14Bd19lYaqBhU8_DElYkX7l4wRkHqqCUFNJY4AfY3kHU/edit?usp=sharing  #gid=0"",""фіз особи new!relations_name_uo""),7,FALSE)
,
)
))"),"МОЖЖЕРІН Анатолій Володимирович")</f>
        <v>МОЖЖЕРІН Анатолій Володимирович</v>
      </c>
      <c r="J14499" s="7" t="s">
        <v>17</v>
      </c>
    </row>
    <row r="14500" spans="1:10" ht="13.2">
      <c r="A14500" s="7">
        <v>14499</v>
      </c>
      <c r="B14500" s="7">
        <v>1</v>
      </c>
      <c r="C14500" s="7" t="s">
        <v>10</v>
      </c>
      <c r="D14500" s="7">
        <v>19367</v>
      </c>
      <c r="E14500" s="7" t="s">
        <v>23</v>
      </c>
      <c r="F14500" s="8" t="str">
        <f ca="1">IFERROR(__xludf.DUMMYFUNCTION("IF
(
C14501=""фізична особа""
,
VLOOKUP(D14501,IMPORTRANGE(""https://docs.google.com/spreadsheets/d/14Bd19lYaqBhU8_DElYkX7l4wRkHqqCUFNJY4AfY3kHU/edit?usp=sharing  #gid=0"",""фіз особи new!relations_name""),6,FALSE)
,
(IF
(
C14501=""юридична особа""
,
VLOO"&amp;"KUP(D14501,IMPORTRANGE(""https://docs.google.com/spreadsheets/d/14Bd19lYaqBhU8_DElYkX7l4wRkHqqCUFNJY4AfY3kHU/edit?usp=sharing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0" s="7" t="s">
        <v>10</v>
      </c>
      <c r="H14500" s="7">
        <v>23695</v>
      </c>
      <c r="I14500" s="8" t="str">
        <f ca="1">IFERROR(__xludf.DUMMYFUNCTION("IF
(
G14501=""фізична особа""
,
VLOOKUP(H14501,IMPORTRANGE(""https://docs.google.com/spreadsheets/d/14Bd19lYaqBhU8_DElYkX7l4wRkHqqCUFNJY4AfY3kHU/edit?usp=sharing  #gid=0"",""фіз особи new!relations_name""),6,FALSE)
,
(IF
(
G14501=""юридична особа""
,
VLOO"&amp;"KUP(H14501,IMPORTRANGE(""https://docs.google.com/spreadsheets/d/14Bd19lYaqBhU8_DElYkX7l4wRkHqqCUFNJY4AfY3kHU/edit?usp=sharing  #gid=0"",""фіз особи new!relations_name_uo""),7,FALSE)
,
)
))"),"ГУМЕН Іван Олександрович")</f>
        <v>ГУМЕН Іван Олександрович</v>
      </c>
      <c r="J14500" s="7" t="s">
        <v>23</v>
      </c>
    </row>
    <row r="14501" spans="1:10" ht="13.2">
      <c r="A14501" s="7">
        <v>14500</v>
      </c>
      <c r="B14501" s="7">
        <v>1</v>
      </c>
      <c r="C14501" s="7" t="s">
        <v>10</v>
      </c>
      <c r="D14501" s="7">
        <v>19367</v>
      </c>
      <c r="E14501" s="7" t="s">
        <v>23</v>
      </c>
      <c r="F14501" s="8" t="str">
        <f ca="1">IFERROR(__xludf.DUMMYFUNCTION("IF
(
C14502=""фізична особа""
,
VLOOKUP(D14502,IMPORTRANGE(""https://docs.google.com/spreadsheets/d/14Bd19lYaqBhU8_DElYkX7l4wRkHqqCUFNJY4AfY3kHU/edit?usp=sharing  #gid=0"",""фіз особи new!relations_name""),6,FALSE)
,
(IF
(
C14502=""юридична особа""
,
VLOO"&amp;"KUP(D14502,IMPORTRANGE(""https://docs.google.com/spreadsheets/d/14Bd19lYaqBhU8_DElYkX7l4wRkHqqCUFNJY4AfY3kHU/edit?usp=sharing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1" s="7" t="s">
        <v>10</v>
      </c>
      <c r="H14501" s="7">
        <v>19365</v>
      </c>
      <c r="I14501" s="8" t="str">
        <f ca="1">IFERROR(__xludf.DUMMYFUNCTION("IF
(
G14502=""фізична особа""
,
VLOOKUP(H14502,IMPORTRANGE(""https://docs.google.com/spreadsheets/d/14Bd19lYaqBhU8_DElYkX7l4wRkHqqCUFNJY4AfY3kHU/edit?usp=sharing  #gid=0"",""фіз особи new!relations_name""),6,FALSE)
,
(IF
(
G14502=""юридична особа""
,
VLOO"&amp;"KUP(H14502,IMPORTRANGE(""https://docs.google.com/spreadsheets/d/14Bd19lYaqBhU8_DElYkX7l4wRkHqqCUFNJY4AfY3kHU/edit?usp=sharing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501" s="7" t="s">
        <v>23</v>
      </c>
    </row>
    <row r="14502" spans="1:10" ht="13.2">
      <c r="A14502" s="7">
        <v>14501</v>
      </c>
      <c r="B14502" s="7">
        <v>1</v>
      </c>
      <c r="C14502" s="7" t="s">
        <v>10</v>
      </c>
      <c r="D14502" s="7">
        <v>19367</v>
      </c>
      <c r="E14502" s="7" t="s">
        <v>23</v>
      </c>
      <c r="F14502" s="8" t="str">
        <f ca="1">IFERROR(__xludf.DUMMYFUNCTION("IF
(
C14503=""фізична особа""
,
VLOOKUP(D14503,IMPORTRANGE(""https://docs.google.com/spreadsheets/d/14Bd19lYaqBhU8_DElYkX7l4wRkHqqCUFNJY4AfY3kHU/edit?usp=sharing  #gid=0"",""фіз особи new!relations_name""),6,FALSE)
,
(IF
(
C14503=""юридична особа""
,
VLOO"&amp;"KUP(D14503,IMPORTRANGE(""https://docs.google.com/spreadsheets/d/14Bd19lYaqBhU8_DElYkX7l4wRkHqqCUFNJY4AfY3kHU/edit?usp=sharing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2" s="7" t="s">
        <v>10</v>
      </c>
      <c r="H14502" s="7">
        <v>19364</v>
      </c>
      <c r="I14502" s="8" t="str">
        <f ca="1">IFERROR(__xludf.DUMMYFUNCTION("IF
(
G14503=""фізична особа""
,
VLOOKUP(H14503,IMPORTRANGE(""https://docs.google.com/spreadsheets/d/14Bd19lYaqBhU8_DElYkX7l4wRkHqqCUFNJY4AfY3kHU/edit?usp=sharing  #gid=0"",""фіз особи new!relations_name""),6,FALSE)
,
(IF
(
G14503=""юридична особа""
,
VLOO"&amp;"KUP(H14503,IMPORTRANGE(""https://docs.google.com/spreadsheets/d/14Bd19lYaqBhU8_DElYkX7l4wRkHqqCUFNJY4AfY3kHU/edit?usp=sharing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502" s="7" t="s">
        <v>23</v>
      </c>
    </row>
    <row r="14503" spans="1:10" ht="13.2">
      <c r="A14503" s="7">
        <v>14502</v>
      </c>
      <c r="B14503" s="7">
        <v>1</v>
      </c>
      <c r="C14503" s="7" t="s">
        <v>10</v>
      </c>
      <c r="D14503" s="7">
        <v>19367</v>
      </c>
      <c r="E14503" s="7" t="s">
        <v>23</v>
      </c>
      <c r="F14503" s="8" t="str">
        <f ca="1">IFERROR(__xludf.DUMMYFUNCTION("IF
(
C14504=""фізична особа""
,
VLOOKUP(D14504,IMPORTRANGE(""https://docs.google.com/spreadsheets/d/14Bd19lYaqBhU8_DElYkX7l4wRkHqqCUFNJY4AfY3kHU/edit?usp=sharing  #gid=0"",""фіз особи new!relations_name""),6,FALSE)
,
(IF
(
C14504=""юридична особа""
,
VLOO"&amp;"KUP(D14504,IMPORTRANGE(""https://docs.google.com/spreadsheets/d/14Bd19lYaqBhU8_DElYkX7l4wRkHqqCUFNJY4AfY3kHU/edit?usp=sharing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3" s="7" t="s">
        <v>10</v>
      </c>
      <c r="H14503" s="7">
        <v>19368</v>
      </c>
      <c r="I14503" s="8" t="str">
        <f ca="1">IFERROR(__xludf.DUMMYFUNCTION("IF
(
G14504=""фізична особа""
,
VLOOKUP(H14504,IMPORTRANGE(""https://docs.google.com/spreadsheets/d/14Bd19lYaqBhU8_DElYkX7l4wRkHqqCUFNJY4AfY3kHU/edit?usp=sharing  #gid=0"",""фіз особи new!relations_name""),6,FALSE)
,
(IF
(
G14504=""юридична особа""
,
VLOO"&amp;"KUP(H14504,IMPORTRANGE(""https://docs.google.com/spreadsheets/d/14Bd19lYaqBhU8_DElYkX7l4wRkHqqCUFNJY4AfY3kHU/edit?usp=sharing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503" s="7" t="s">
        <v>23</v>
      </c>
    </row>
    <row r="14504" spans="1:10" ht="13.2">
      <c r="A14504" s="7">
        <v>14503</v>
      </c>
      <c r="B14504" s="7">
        <v>1</v>
      </c>
      <c r="C14504" s="7" t="s">
        <v>10</v>
      </c>
      <c r="D14504" s="7">
        <v>19367</v>
      </c>
      <c r="E14504" s="7" t="s">
        <v>23</v>
      </c>
      <c r="F14504" s="8" t="str">
        <f ca="1">IFERROR(__xludf.DUMMYFUNCTION("IF
(
C14505=""фізична особа""
,
VLOOKUP(D14505,IMPORTRANGE(""https://docs.google.com/spreadsheets/d/14Bd19lYaqBhU8_DElYkX7l4wRkHqqCUFNJY4AfY3kHU/edit?usp=sharing  #gid=0"",""фіз особи new!relations_name""),6,FALSE)
,
(IF
(
C14505=""юридична особа""
,
VLOO"&amp;"KUP(D14505,IMPORTRANGE(""https://docs.google.com/spreadsheets/d/14Bd19lYaqBhU8_DElYkX7l4wRkHqqCUFNJY4AfY3kHU/edit?usp=sharing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4" s="7" t="s">
        <v>10</v>
      </c>
      <c r="H14504" s="7">
        <v>19366</v>
      </c>
      <c r="I14504" s="8" t="str">
        <f ca="1">IFERROR(__xludf.DUMMYFUNCTION("IF
(
G14505=""фізична особа""
,
VLOOKUP(H14505,IMPORTRANGE(""https://docs.google.com/spreadsheets/d/14Bd19lYaqBhU8_DElYkX7l4wRkHqqCUFNJY4AfY3kHU/edit?usp=sharing  #gid=0"",""фіз особи new!relations_name""),6,FALSE)
,
(IF
(
G14505=""юридична особа""
,
VLOO"&amp;"KUP(H14505,IMPORTRANGE(""https://docs.google.com/spreadsheets/d/14Bd19lYaqBhU8_DElYkX7l4wRkHqqCUFNJY4AfY3kHU/edit?usp=sharing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504" s="7" t="s">
        <v>23</v>
      </c>
    </row>
    <row r="14505" spans="1:10" ht="13.2">
      <c r="A14505" s="7">
        <v>14504</v>
      </c>
      <c r="B14505" s="7">
        <v>1</v>
      </c>
      <c r="C14505" s="7" t="s">
        <v>10</v>
      </c>
      <c r="D14505" s="7">
        <v>19367</v>
      </c>
      <c r="E14505" s="7" t="s">
        <v>23</v>
      </c>
      <c r="F14505" s="8" t="str">
        <f ca="1">IFERROR(__xludf.DUMMYFUNCTION("IF
(
C14506=""фізична особа""
,
VLOOKUP(D14506,IMPORTRANGE(""https://docs.google.com/spreadsheets/d/14Bd19lYaqBhU8_DElYkX7l4wRkHqqCUFNJY4AfY3kHU/edit?usp=sharing  #gid=0"",""фіз особи new!relations_name""),6,FALSE)
,
(IF
(
C14506=""юридична особа""
,
VLOO"&amp;"KUP(D14506,IMPORTRANGE(""https://docs.google.com/spreadsheets/d/14Bd19lYaqBhU8_DElYkX7l4wRkHqqCUFNJY4AfY3kHU/edit?usp=sharing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5" s="7" t="s">
        <v>10</v>
      </c>
      <c r="H14505" s="7">
        <v>23697</v>
      </c>
      <c r="I14505" s="8" t="str">
        <f ca="1">IFERROR(__xludf.DUMMYFUNCTION("IF
(
G14506=""фізична особа""
,
VLOOKUP(H14506,IMPORTRANGE(""https://docs.google.com/spreadsheets/d/14Bd19lYaqBhU8_DElYkX7l4wRkHqqCUFNJY4AfY3kHU/edit?usp=sharing  #gid=0"",""фіз особи new!relations_name""),6,FALSE)
,
(IF
(
G14506=""юридична особа""
,
VLOO"&amp;"KUP(H14506,IMPORTRANGE(""https://docs.google.com/spreadsheets/d/14Bd19lYaqBhU8_DElYkX7l4wRkHqqCUFNJY4AfY3kHU/edit?usp=sharing  #gid=0"",""фіз особи new!relations_name_uo""),7,FALSE)
,
)
))"),"ДІДЕНКО Ольга Олександрівна")</f>
        <v>ДІДЕНКО Ольга Олександрівна</v>
      </c>
      <c r="J14505" s="7" t="s">
        <v>23</v>
      </c>
    </row>
    <row r="14506" spans="1:10" ht="13.2">
      <c r="A14506" s="7">
        <v>14505</v>
      </c>
      <c r="B14506" s="7">
        <v>1</v>
      </c>
      <c r="C14506" s="7" t="s">
        <v>10</v>
      </c>
      <c r="D14506" s="7">
        <v>19367</v>
      </c>
      <c r="E14506" s="7" t="s">
        <v>23</v>
      </c>
      <c r="F14506" s="8" t="str">
        <f ca="1">IFERROR(__xludf.DUMMYFUNCTION("IF
(
C14507=""фізична особа""
,
VLOOKUP(D14507,IMPORTRANGE(""https://docs.google.com/spreadsheets/d/14Bd19lYaqBhU8_DElYkX7l4wRkHqqCUFNJY4AfY3kHU/edit?usp=sharing  #gid=0"",""фіз особи new!relations_name""),6,FALSE)
,
(IF
(
C14507=""юридична особа""
,
VLOO"&amp;"KUP(D14507,IMPORTRANGE(""https://docs.google.com/spreadsheets/d/14Bd19lYaqBhU8_DElYkX7l4wRkHqqCUFNJY4AfY3kHU/edit?usp=sharing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6" s="7" t="s">
        <v>10</v>
      </c>
      <c r="H14506" s="7">
        <v>23699</v>
      </c>
      <c r="I14506" s="8" t="str">
        <f ca="1">IFERROR(__xludf.DUMMYFUNCTION("IF
(
G14507=""фізична особа""
,
VLOOKUP(H14507,IMPORTRANGE(""https://docs.google.com/spreadsheets/d/14Bd19lYaqBhU8_DElYkX7l4wRkHqqCUFNJY4AfY3kHU/edit?usp=sharing  #gid=0"",""фіз особи new!relations_name""),6,FALSE)
,
(IF
(
G14507=""юридична особа""
,
VLOO"&amp;"KUP(H14507,IMPORTRANGE(""https://docs.google.com/spreadsheets/d/14Bd19lYaqBhU8_DElYkX7l4wRkHqqCUFNJY4AfY3kHU/edit?usp=sharing  #gid=0"",""фіз особи new!relations_name_uo""),7,FALSE)
,
)
))"),"КОРЧАГІН Володимир Іванович")</f>
        <v>КОРЧАГІН Володимир Іванович</v>
      </c>
      <c r="J14506" s="7" t="s">
        <v>23</v>
      </c>
    </row>
    <row r="14507" spans="1:10" ht="13.2">
      <c r="A14507" s="7">
        <v>14506</v>
      </c>
      <c r="B14507" s="7">
        <v>1</v>
      </c>
      <c r="C14507" s="7" t="s">
        <v>10</v>
      </c>
      <c r="D14507" s="7">
        <v>19367</v>
      </c>
      <c r="E14507" s="7" t="s">
        <v>23</v>
      </c>
      <c r="F14507" s="8" t="str">
        <f ca="1">IFERROR(__xludf.DUMMYFUNCTION("IF
(
C14508=""фізична особа""
,
VLOOKUP(D14508,IMPORTRANGE(""https://docs.google.com/spreadsheets/d/14Bd19lYaqBhU8_DElYkX7l4wRkHqqCUFNJY4AfY3kHU/edit?usp=sharing  #gid=0"",""фіз особи new!relations_name""),6,FALSE)
,
(IF
(
C14508=""юридична особа""
,
VLOO"&amp;"KUP(D14508,IMPORTRANGE(""https://docs.google.com/spreadsheets/d/14Bd19lYaqBhU8_DElYkX7l4wRkHqqCUFNJY4AfY3kHU/edit?usp=sharing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7" s="7" t="s">
        <v>10</v>
      </c>
      <c r="H14507" s="7">
        <v>19468</v>
      </c>
      <c r="I14507" s="8" t="str">
        <f ca="1">IFERROR(__xludf.DUMMYFUNCTION("IF
(
G14508=""фізична особа""
,
VLOOKUP(H14508,IMPORTRANGE(""https://docs.google.com/spreadsheets/d/14Bd19lYaqBhU8_DElYkX7l4wRkHqqCUFNJY4AfY3kHU/edit?usp=sharing  #gid=0"",""фіз особи new!relations_name""),6,FALSE)
,
(IF
(
G14508=""юридична особа""
,
VLOO"&amp;"KUP(H14508,IMPORTRANGE(""https://docs.google.com/spreadsheets/d/14Bd19lYaqBhU8_DElYkX7l4wRkHqqCUFNJY4AfY3kHU/edit?usp=sharing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507" s="7" t="s">
        <v>23</v>
      </c>
    </row>
    <row r="14508" spans="1:10" ht="13.2">
      <c r="A14508" s="7">
        <v>14507</v>
      </c>
      <c r="B14508" s="7">
        <v>1</v>
      </c>
      <c r="C14508" s="7" t="s">
        <v>10</v>
      </c>
      <c r="D14508" s="7">
        <v>19367</v>
      </c>
      <c r="E14508" s="7" t="s">
        <v>23</v>
      </c>
      <c r="F14508" s="8" t="str">
        <f ca="1">IFERROR(__xludf.DUMMYFUNCTION("IF
(
C14509=""фізична особа""
,
VLOOKUP(D14509,IMPORTRANGE(""https://docs.google.com/spreadsheets/d/14Bd19lYaqBhU8_DElYkX7l4wRkHqqCUFNJY4AfY3kHU/edit?usp=sharing  #gid=0"",""фіз особи new!relations_name""),6,FALSE)
,
(IF
(
C14509=""юридична особа""
,
VLOO"&amp;"KUP(D14509,IMPORTRANGE(""https://docs.google.com/spreadsheets/d/14Bd19lYaqBhU8_DElYkX7l4wRkHqqCUFNJY4AfY3kHU/edit?usp=sharing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8" s="7" t="s">
        <v>10</v>
      </c>
      <c r="H14508" s="7">
        <v>19474</v>
      </c>
      <c r="I14508" s="8" t="str">
        <f ca="1">IFERROR(__xludf.DUMMYFUNCTION("IF
(
G14509=""фізична особа""
,
VLOOKUP(H14509,IMPORTRANGE(""https://docs.google.com/spreadsheets/d/14Bd19lYaqBhU8_DElYkX7l4wRkHqqCUFNJY4AfY3kHU/edit?usp=sharing  #gid=0"",""фіз особи new!relations_name""),6,FALSE)
,
(IF
(
G14509=""юридична особа""
,
VLOO"&amp;"KUP(H14509,IMPORTRANGE(""https://docs.google.com/spreadsheets/d/14Bd19lYaqBhU8_DElYkX7l4wRkHqqCUFNJY4AfY3kHU/edit?usp=sharing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508" s="7" t="s">
        <v>23</v>
      </c>
    </row>
    <row r="14509" spans="1:10" ht="13.2">
      <c r="A14509" s="7">
        <v>14508</v>
      </c>
      <c r="B14509" s="7">
        <v>1</v>
      </c>
      <c r="C14509" s="7" t="s">
        <v>10</v>
      </c>
      <c r="D14509" s="7">
        <v>19367</v>
      </c>
      <c r="E14509" s="7" t="s">
        <v>23</v>
      </c>
      <c r="F14509" s="8" t="str">
        <f ca="1">IFERROR(__xludf.DUMMYFUNCTION("IF
(
C14510=""фізична особа""
,
VLOOKUP(D14510,IMPORTRANGE(""https://docs.google.com/spreadsheets/d/14Bd19lYaqBhU8_DElYkX7l4wRkHqqCUFNJY4AfY3kHU/edit?usp=sharing  #gid=0"",""фіз особи new!relations_name""),6,FALSE)
,
(IF
(
C14510=""юридична особа""
,
VLOO"&amp;"KUP(D14510,IMPORTRANGE(""https://docs.google.com/spreadsheets/d/14Bd19lYaqBhU8_DElYkX7l4wRkHqqCUFNJY4AfY3kHU/edit?usp=sharing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09" s="7" t="s">
        <v>10</v>
      </c>
      <c r="H14509" s="7">
        <v>19466</v>
      </c>
      <c r="I14509" s="8" t="str">
        <f ca="1">IFERROR(__xludf.DUMMYFUNCTION("IF
(
G14510=""фізична особа""
,
VLOOKUP(H14510,IMPORTRANGE(""https://docs.google.com/spreadsheets/d/14Bd19lYaqBhU8_DElYkX7l4wRkHqqCUFNJY4AfY3kHU/edit?usp=sharing  #gid=0"",""фіз особи new!relations_name""),6,FALSE)
,
(IF
(
G14510=""юридична особа""
,
VLOO"&amp;"KUP(H14510,IMPORTRANGE(""https://docs.google.com/spreadsheets/d/14Bd19lYaqBhU8_DElYkX7l4wRkHqqCUFNJY4AfY3kHU/edit?usp=sharing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509" s="7" t="s">
        <v>23</v>
      </c>
    </row>
    <row r="14510" spans="1:10" ht="13.2">
      <c r="A14510" s="7">
        <v>14509</v>
      </c>
      <c r="B14510" s="7">
        <v>1</v>
      </c>
      <c r="C14510" s="7" t="s">
        <v>10</v>
      </c>
      <c r="D14510" s="7">
        <v>19367</v>
      </c>
      <c r="E14510" s="7" t="s">
        <v>23</v>
      </c>
      <c r="F14510" s="8" t="str">
        <f ca="1">IFERROR(__xludf.DUMMYFUNCTION("IF
(
C14511=""фізична особа""
,
VLOOKUP(D14511,IMPORTRANGE(""https://docs.google.com/spreadsheets/d/14Bd19lYaqBhU8_DElYkX7l4wRkHqqCUFNJY4AfY3kHU/edit?usp=sharing  #gid=0"",""фіз особи new!relations_name""),6,FALSE)
,
(IF
(
C14511=""юридична особа""
,
VLOO"&amp;"KUP(D14511,IMPORTRANGE(""https://docs.google.com/spreadsheets/d/14Bd19lYaqBhU8_DElYkX7l4wRkHqqCUFNJY4AfY3kHU/edit?usp=sharing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0" s="7" t="s">
        <v>10</v>
      </c>
      <c r="H14510" s="7">
        <v>19467</v>
      </c>
      <c r="I14510" s="8" t="str">
        <f ca="1">IFERROR(__xludf.DUMMYFUNCTION("IF
(
G14511=""фізична особа""
,
VLOOKUP(H14511,IMPORTRANGE(""https://docs.google.com/spreadsheets/d/14Bd19lYaqBhU8_DElYkX7l4wRkHqqCUFNJY4AfY3kHU/edit?usp=sharing  #gid=0"",""фіз особи new!relations_name""),6,FALSE)
,
(IF
(
G14511=""юридична особа""
,
VLOO"&amp;"KUP(H14511,IMPORTRANGE(""https://docs.google.com/spreadsheets/d/14Bd19lYaqBhU8_DElYkX7l4wRkHqqCUFNJY4AfY3kHU/edit?usp=sharing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510" s="7" t="s">
        <v>23</v>
      </c>
    </row>
    <row r="14511" spans="1:10" ht="13.2">
      <c r="A14511" s="7">
        <v>14510</v>
      </c>
      <c r="B14511" s="7">
        <v>1</v>
      </c>
      <c r="C14511" s="7" t="s">
        <v>10</v>
      </c>
      <c r="D14511" s="7">
        <v>19367</v>
      </c>
      <c r="E14511" s="7" t="s">
        <v>23</v>
      </c>
      <c r="F14511" s="8" t="str">
        <f ca="1">IFERROR(__xludf.DUMMYFUNCTION("IF
(
C14512=""фізична особа""
,
VLOOKUP(D14512,IMPORTRANGE(""https://docs.google.com/spreadsheets/d/14Bd19lYaqBhU8_DElYkX7l4wRkHqqCUFNJY4AfY3kHU/edit?usp=sharing  #gid=0"",""фіз особи new!relations_name""),6,FALSE)
,
(IF
(
C14512=""юридична особа""
,
VLOO"&amp;"KUP(D14512,IMPORTRANGE(""https://docs.google.com/spreadsheets/d/14Bd19lYaqBhU8_DElYkX7l4wRkHqqCUFNJY4AfY3kHU/edit?usp=sharing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1" s="7" t="s">
        <v>10</v>
      </c>
      <c r="H14511" s="7">
        <v>19470</v>
      </c>
      <c r="I14511" s="8" t="str">
        <f ca="1">IFERROR(__xludf.DUMMYFUNCTION("IF
(
G14512=""фізична особа""
,
VLOOKUP(H14512,IMPORTRANGE(""https://docs.google.com/spreadsheets/d/14Bd19lYaqBhU8_DElYkX7l4wRkHqqCUFNJY4AfY3kHU/edit?usp=sharing  #gid=0"",""фіз особи new!relations_name""),6,FALSE)
,
(IF
(
G14512=""юридична особа""
,
VLOO"&amp;"KUP(H14512,IMPORTRANGE(""https://docs.google.com/spreadsheets/d/14Bd19lYaqBhU8_DElYkX7l4wRkHqqCUFNJY4AfY3kHU/edit?usp=sharing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511" s="7" t="s">
        <v>23</v>
      </c>
    </row>
    <row r="14512" spans="1:10" ht="13.2">
      <c r="A14512" s="7">
        <v>14511</v>
      </c>
      <c r="B14512" s="7">
        <v>1</v>
      </c>
      <c r="C14512" s="7" t="s">
        <v>10</v>
      </c>
      <c r="D14512" s="7">
        <v>19367</v>
      </c>
      <c r="E14512" s="7" t="s">
        <v>23</v>
      </c>
      <c r="F14512" s="8" t="str">
        <f ca="1">IFERROR(__xludf.DUMMYFUNCTION("IF
(
C14513=""фізична особа""
,
VLOOKUP(D14513,IMPORTRANGE(""https://docs.google.com/spreadsheets/d/14Bd19lYaqBhU8_DElYkX7l4wRkHqqCUFNJY4AfY3kHU/edit?usp=sharing  #gid=0"",""фіз особи new!relations_name""),6,FALSE)
,
(IF
(
C14513=""юридична особа""
,
VLOO"&amp;"KUP(D14513,IMPORTRANGE(""https://docs.google.com/spreadsheets/d/14Bd19lYaqBhU8_DElYkX7l4wRkHqqCUFNJY4AfY3kHU/edit?usp=sharing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2" s="7" t="s">
        <v>10</v>
      </c>
      <c r="H14512" s="7">
        <v>19469</v>
      </c>
      <c r="I14512" s="8" t="str">
        <f ca="1">IFERROR(__xludf.DUMMYFUNCTION("IF
(
G14513=""фізична особа""
,
VLOOKUP(H14513,IMPORTRANGE(""https://docs.google.com/spreadsheets/d/14Bd19lYaqBhU8_DElYkX7l4wRkHqqCUFNJY4AfY3kHU/edit?usp=sharing  #gid=0"",""фіз особи new!relations_name""),6,FALSE)
,
(IF
(
G14513=""юридична особа""
,
VLOO"&amp;"KUP(H14513,IMPORTRANGE(""https://docs.google.com/spreadsheets/d/14Bd19lYaqBhU8_DElYkX7l4wRkHqqCUFNJY4AfY3kHU/edit?usp=sharing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512" s="7" t="s">
        <v>23</v>
      </c>
    </row>
    <row r="14513" spans="1:10" ht="13.2">
      <c r="A14513" s="7">
        <v>14512</v>
      </c>
      <c r="B14513" s="7">
        <v>1</v>
      </c>
      <c r="C14513" s="7" t="s">
        <v>10</v>
      </c>
      <c r="D14513" s="7">
        <v>19367</v>
      </c>
      <c r="E14513" s="7" t="s">
        <v>23</v>
      </c>
      <c r="F14513" s="8" t="str">
        <f ca="1">IFERROR(__xludf.DUMMYFUNCTION("IF
(
C14514=""фізична особа""
,
VLOOKUP(D14514,IMPORTRANGE(""https://docs.google.com/spreadsheets/d/14Bd19lYaqBhU8_DElYkX7l4wRkHqqCUFNJY4AfY3kHU/edit?usp=sharing  #gid=0"",""фіз особи new!relations_name""),6,FALSE)
,
(IF
(
C14514=""юридична особа""
,
VLOO"&amp;"KUP(D14514,IMPORTRANGE(""https://docs.google.com/spreadsheets/d/14Bd19lYaqBhU8_DElYkX7l4wRkHqqCUFNJY4AfY3kHU/edit?usp=sharing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3" s="7" t="s">
        <v>10</v>
      </c>
      <c r="H14513" s="7">
        <v>19371</v>
      </c>
      <c r="I14513" s="8" t="str">
        <f ca="1">IFERROR(__xludf.DUMMYFUNCTION("IF
(
G14514=""фізична особа""
,
VLOOKUP(H14514,IMPORTRANGE(""https://docs.google.com/spreadsheets/d/14Bd19lYaqBhU8_DElYkX7l4wRkHqqCUFNJY4AfY3kHU/edit?usp=sharing  #gid=0"",""фіз особи new!relations_name""),6,FALSE)
,
(IF
(
G14514=""юридична особа""
,
VLOO"&amp;"KUP(H14514,IMPORTRANGE(""https://docs.google.com/spreadsheets/d/14Bd19lYaqBhU8_DElYkX7l4wRkHqqCUFNJY4AfY3kHU/edit?usp=sharing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513" s="7" t="s">
        <v>23</v>
      </c>
    </row>
    <row r="14514" spans="1:10" ht="13.2">
      <c r="A14514" s="7">
        <v>14513</v>
      </c>
      <c r="B14514" s="7">
        <v>1</v>
      </c>
      <c r="C14514" s="7" t="s">
        <v>10</v>
      </c>
      <c r="D14514" s="7">
        <v>19367</v>
      </c>
      <c r="E14514" s="7" t="s">
        <v>23</v>
      </c>
      <c r="F14514" s="8" t="str">
        <f ca="1">IFERROR(__xludf.DUMMYFUNCTION("IF
(
C14515=""фізична особа""
,
VLOOKUP(D14515,IMPORTRANGE(""https://docs.google.com/spreadsheets/d/14Bd19lYaqBhU8_DElYkX7l4wRkHqqCUFNJY4AfY3kHU/edit?usp=sharing  #gid=0"",""фіз особи new!relations_name""),6,FALSE)
,
(IF
(
C14515=""юридична особа""
,
VLOO"&amp;"KUP(D14515,IMPORTRANGE(""https://docs.google.com/spreadsheets/d/14Bd19lYaqBhU8_DElYkX7l4wRkHqqCUFNJY4AfY3kHU/edit?usp=sharing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4" s="7" t="s">
        <v>10</v>
      </c>
      <c r="H14514" s="7">
        <v>19471</v>
      </c>
      <c r="I14514" s="8" t="str">
        <f ca="1">IFERROR(__xludf.DUMMYFUNCTION("IF
(
G14515=""фізична особа""
,
VLOOKUP(H14515,IMPORTRANGE(""https://docs.google.com/spreadsheets/d/14Bd19lYaqBhU8_DElYkX7l4wRkHqqCUFNJY4AfY3kHU/edit?usp=sharing  #gid=0"",""фіз особи new!relations_name""),6,FALSE)
,
(IF
(
G14515=""юридична особа""
,
VLOO"&amp;"KUP(H14515,IMPORTRANGE(""https://docs.google.com/spreadsheets/d/14Bd19lYaqBhU8_DElYkX7l4wRkHqqCUFNJY4AfY3kHU/edit?usp=sharing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514" s="7" t="s">
        <v>23</v>
      </c>
    </row>
    <row r="14515" spans="1:10" ht="13.2">
      <c r="A14515" s="7">
        <v>14514</v>
      </c>
      <c r="B14515" s="7">
        <v>1</v>
      </c>
      <c r="C14515" s="7" t="s">
        <v>10</v>
      </c>
      <c r="D14515" s="7">
        <v>19367</v>
      </c>
      <c r="E14515" s="7" t="s">
        <v>23</v>
      </c>
      <c r="F14515" s="8" t="str">
        <f ca="1">IFERROR(__xludf.DUMMYFUNCTION("IF
(
C14516=""фізична особа""
,
VLOOKUP(D14516,IMPORTRANGE(""https://docs.google.com/spreadsheets/d/14Bd19lYaqBhU8_DElYkX7l4wRkHqqCUFNJY4AfY3kHU/edit?usp=sharing  #gid=0"",""фіз особи new!relations_name""),6,FALSE)
,
(IF
(
C14516=""юридична особа""
,
VLOO"&amp;"KUP(D14516,IMPORTRANGE(""https://docs.google.com/spreadsheets/d/14Bd19lYaqBhU8_DElYkX7l4wRkHqqCUFNJY4AfY3kHU/edit?usp=sharing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G14515" s="7" t="s">
        <v>10</v>
      </c>
      <c r="H14515" s="7">
        <v>0</v>
      </c>
      <c r="I14515" s="8" t="str">
        <f ca="1">IFERROR(__xludf.DUMMYFUNCTION("IF
(
G14516=""фізична особа""
,
VLOOKUP(H14516,IMPORTRANGE(""https://docs.google.com/spreadsheets/d/14Bd19lYaqBhU8_DElYkX7l4wRkHqqCUFNJY4AfY3kHU/edit?usp=sharing  #gid=0"",""фіз особи new!relations_name""),6,FALSE)
,
(IF
(
G14516=""юридична особа""
,
VLOO"&amp;"KUP(H14516,IMPORTRANGE(""https://docs.google.com/spreadsheets/d/14Bd19lYaqBhU8_DElYkX7l4wRkHqqCUFNJY4AfY3kHU/edit?usp=sharing  #gid=0"",""фіз особи new!relations_name_uo""),7,FALSE)
,
)
))"),"#N/A")</f>
        <v>#N/A</v>
      </c>
      <c r="J14515" s="7" t="s">
        <v>23</v>
      </c>
    </row>
    <row r="14516" spans="1:10" ht="13.2">
      <c r="A14516" s="7">
        <v>14515</v>
      </c>
      <c r="B14516" s="7">
        <v>1</v>
      </c>
      <c r="C14516" s="7" t="s">
        <v>10</v>
      </c>
      <c r="D14516" s="7">
        <v>19368</v>
      </c>
      <c r="E14516" s="7" t="s">
        <v>12</v>
      </c>
      <c r="F14516" s="8" t="str">
        <f ca="1">IFERROR(__xludf.DUMMYFUNCTION("IF
(
C14517=""фізична особа""
,
VLOOKUP(D14517,IMPORTRANGE(""https://docs.google.com/spreadsheets/d/14Bd19lYaqBhU8_DElYkX7l4wRkHqqCUFNJY4AfY3kHU/edit?usp=sharing  #gid=0"",""фіз особи new!relations_name""),6,FALSE)
,
(IF
(
C14517=""юридична особа""
,
VLOO"&amp;"KUP(D14517,IMPORTRANGE(""https://docs.google.com/spreadsheets/d/14Bd19lYaqBhU8_DElYkX7l4wRkHqqCUFNJY4AfY3kHU/edit?usp=sharing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16" s="7" t="s">
        <v>10</v>
      </c>
      <c r="H14516" s="7">
        <v>23700</v>
      </c>
      <c r="I14516" s="8" t="str">
        <f ca="1">IFERROR(__xludf.DUMMYFUNCTION("IF
(
G14517=""фізична особа""
,
VLOOKUP(H14517,IMPORTRANGE(""https://docs.google.com/spreadsheets/d/14Bd19lYaqBhU8_DElYkX7l4wRkHqqCUFNJY4AfY3kHU/edit?usp=sharing  #gid=0"",""фіз особи new!relations_name""),6,FALSE)
,
(IF
(
G14517=""юридична особа""
,
VLOO"&amp;"KUP(H14517,IMPORTRANGE(""https://docs.google.com/spreadsheets/d/14Bd19lYaqBhU8_DElYkX7l4wRkHqqCUFNJY4AfY3kHU/edit?usp=sharing  #gid=0"",""фіз особи new!relations_name_uo""),7,FALSE)
,
)
))"),"МОЖЖЕРІН Анатолій Володимирович")</f>
        <v>МОЖЖЕРІН Анатолій Володимирович</v>
      </c>
      <c r="J14516" s="7" t="s">
        <v>17</v>
      </c>
    </row>
    <row r="14517" spans="1:10" ht="13.2">
      <c r="A14517" s="7">
        <v>14516</v>
      </c>
      <c r="B14517" s="7">
        <v>1</v>
      </c>
      <c r="C14517" s="7" t="s">
        <v>10</v>
      </c>
      <c r="D14517" s="7">
        <v>19368</v>
      </c>
      <c r="E14517" s="7" t="s">
        <v>23</v>
      </c>
      <c r="F14517" s="8" t="str">
        <f ca="1">IFERROR(__xludf.DUMMYFUNCTION("IF
(
C14518=""фізична особа""
,
VLOOKUP(D14518,IMPORTRANGE(""https://docs.google.com/spreadsheets/d/14Bd19lYaqBhU8_DElYkX7l4wRkHqqCUFNJY4AfY3kHU/edit?usp=sharing  #gid=0"",""фіз особи new!relations_name""),6,FALSE)
,
(IF
(
C14518=""юридична особа""
,
VLOO"&amp;"KUP(D14518,IMPORTRANGE(""https://docs.google.com/spreadsheets/d/14Bd19lYaqBhU8_DElYkX7l4wRkHqqCUFNJY4AfY3kHU/edit?usp=sharing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17" s="7" t="s">
        <v>10</v>
      </c>
      <c r="H14517" s="7">
        <v>23695</v>
      </c>
      <c r="I14517" s="8" t="str">
        <f ca="1">IFERROR(__xludf.DUMMYFUNCTION("IF
(
G14518=""фізична особа""
,
VLOOKUP(H14518,IMPORTRANGE(""https://docs.google.com/spreadsheets/d/14Bd19lYaqBhU8_DElYkX7l4wRkHqqCUFNJY4AfY3kHU/edit?usp=sharing  #gid=0"",""фіз особи new!relations_name""),6,FALSE)
,
(IF
(
G14518=""юридична особа""
,
VLOO"&amp;"KUP(H14518,IMPORTRANGE(""https://docs.google.com/spreadsheets/d/14Bd19lYaqBhU8_DElYkX7l4wRkHqqCUFNJY4AfY3kHU/edit?usp=sharing  #gid=0"",""фіз особи new!relations_name_uo""),7,FALSE)
,
)
))"),"ГУМЕН Іван Олександрович")</f>
        <v>ГУМЕН Іван Олександрович</v>
      </c>
      <c r="J14517" s="7" t="s">
        <v>23</v>
      </c>
    </row>
    <row r="14518" spans="1:10" ht="13.2">
      <c r="A14518" s="7">
        <v>14517</v>
      </c>
      <c r="B14518" s="7">
        <v>1</v>
      </c>
      <c r="C14518" s="7" t="s">
        <v>10</v>
      </c>
      <c r="D14518" s="7">
        <v>19368</v>
      </c>
      <c r="E14518" s="7" t="s">
        <v>23</v>
      </c>
      <c r="F14518" s="8" t="str">
        <f ca="1">IFERROR(__xludf.DUMMYFUNCTION("IF
(
C14519=""фізична особа""
,
VLOOKUP(D14519,IMPORTRANGE(""https://docs.google.com/spreadsheets/d/14Bd19lYaqBhU8_DElYkX7l4wRkHqqCUFNJY4AfY3kHU/edit?usp=sharing  #gid=0"",""фіз особи new!relations_name""),6,FALSE)
,
(IF
(
C14519=""юридична особа""
,
VLOO"&amp;"KUP(D14519,IMPORTRANGE(""https://docs.google.com/spreadsheets/d/14Bd19lYaqBhU8_DElYkX7l4wRkHqqCUFNJY4AfY3kHU/edit?usp=sharing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18" s="7" t="s">
        <v>10</v>
      </c>
      <c r="H14518" s="7">
        <v>19365</v>
      </c>
      <c r="I14518" s="8" t="str">
        <f ca="1">IFERROR(__xludf.DUMMYFUNCTION("IF
(
G14519=""фізична особа""
,
VLOOKUP(H14519,IMPORTRANGE(""https://docs.google.com/spreadsheets/d/14Bd19lYaqBhU8_DElYkX7l4wRkHqqCUFNJY4AfY3kHU/edit?usp=sharing  #gid=0"",""фіз особи new!relations_name""),6,FALSE)
,
(IF
(
G14519=""юридична особа""
,
VLOO"&amp;"KUP(H14519,IMPORTRANGE(""https://docs.google.com/spreadsheets/d/14Bd19lYaqBhU8_DElYkX7l4wRkHqqCUFNJY4AfY3kHU/edit?usp=sharing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518" s="7" t="s">
        <v>23</v>
      </c>
    </row>
    <row r="14519" spans="1:10" ht="13.2">
      <c r="A14519" s="7">
        <v>14518</v>
      </c>
      <c r="B14519" s="7">
        <v>1</v>
      </c>
      <c r="C14519" s="7" t="s">
        <v>10</v>
      </c>
      <c r="D14519" s="7">
        <v>19368</v>
      </c>
      <c r="E14519" s="7" t="s">
        <v>23</v>
      </c>
      <c r="F14519" s="8" t="str">
        <f ca="1">IFERROR(__xludf.DUMMYFUNCTION("IF
(
C14520=""фізична особа""
,
VLOOKUP(D14520,IMPORTRANGE(""https://docs.google.com/spreadsheets/d/14Bd19lYaqBhU8_DElYkX7l4wRkHqqCUFNJY4AfY3kHU/edit?usp=sharing  #gid=0"",""фіз особи new!relations_name""),6,FALSE)
,
(IF
(
C14520=""юридична особа""
,
VLOO"&amp;"KUP(D14520,IMPORTRANGE(""https://docs.google.com/spreadsheets/d/14Bd19lYaqBhU8_DElYkX7l4wRkHqqCUFNJY4AfY3kHU/edit?usp=sharing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19" s="7" t="s">
        <v>10</v>
      </c>
      <c r="H14519" s="7">
        <v>19364</v>
      </c>
      <c r="I14519" s="8" t="str">
        <f ca="1">IFERROR(__xludf.DUMMYFUNCTION("IF
(
G14520=""фізична особа""
,
VLOOKUP(H14520,IMPORTRANGE(""https://docs.google.com/spreadsheets/d/14Bd19lYaqBhU8_DElYkX7l4wRkHqqCUFNJY4AfY3kHU/edit?usp=sharing  #gid=0"",""фіз особи new!relations_name""),6,FALSE)
,
(IF
(
G14520=""юридична особа""
,
VLOO"&amp;"KUP(H14520,IMPORTRANGE(""https://docs.google.com/spreadsheets/d/14Bd19lYaqBhU8_DElYkX7l4wRkHqqCUFNJY4AfY3kHU/edit?usp=sharing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519" s="7" t="s">
        <v>23</v>
      </c>
    </row>
    <row r="14520" spans="1:10" ht="13.2">
      <c r="A14520" s="7">
        <v>14519</v>
      </c>
      <c r="B14520" s="7">
        <v>1</v>
      </c>
      <c r="C14520" s="7" t="s">
        <v>10</v>
      </c>
      <c r="D14520" s="7">
        <v>19368</v>
      </c>
      <c r="E14520" s="7" t="s">
        <v>23</v>
      </c>
      <c r="F14520" s="8" t="str">
        <f ca="1">IFERROR(__xludf.DUMMYFUNCTION("IF
(
C14521=""фізична особа""
,
VLOOKUP(D14521,IMPORTRANGE(""https://docs.google.com/spreadsheets/d/14Bd19lYaqBhU8_DElYkX7l4wRkHqqCUFNJY4AfY3kHU/edit?usp=sharing  #gid=0"",""фіз особи new!relations_name""),6,FALSE)
,
(IF
(
C14521=""юридична особа""
,
VLOO"&amp;"KUP(D14521,IMPORTRANGE(""https://docs.google.com/spreadsheets/d/14Bd19lYaqBhU8_DElYkX7l4wRkHqqCUFNJY4AfY3kHU/edit?usp=sharing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0" s="7" t="s">
        <v>10</v>
      </c>
      <c r="H14520" s="7">
        <v>19367</v>
      </c>
      <c r="I14520" s="8" t="str">
        <f ca="1">IFERROR(__xludf.DUMMYFUNCTION("IF
(
G14521=""фізична особа""
,
VLOOKUP(H14521,IMPORTRANGE(""https://docs.google.com/spreadsheets/d/14Bd19lYaqBhU8_DElYkX7l4wRkHqqCUFNJY4AfY3kHU/edit?usp=sharing  #gid=0"",""фіз особи new!relations_name""),6,FALSE)
,
(IF
(
G14521=""юридична особа""
,
VLOO"&amp;"KUP(H14521,IMPORTRANGE(""https://docs.google.com/spreadsheets/d/14Bd19lYaqBhU8_DElYkX7l4wRkHqqCUFNJY4AfY3kHU/edit?usp=sharing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520" s="7" t="s">
        <v>23</v>
      </c>
    </row>
    <row r="14521" spans="1:10" ht="13.2">
      <c r="A14521" s="7">
        <v>14520</v>
      </c>
      <c r="B14521" s="7">
        <v>1</v>
      </c>
      <c r="C14521" s="7" t="s">
        <v>10</v>
      </c>
      <c r="D14521" s="7">
        <v>19368</v>
      </c>
      <c r="E14521" s="7" t="s">
        <v>23</v>
      </c>
      <c r="F14521" s="8" t="str">
        <f ca="1">IFERROR(__xludf.DUMMYFUNCTION("IF
(
C14522=""фізична особа""
,
VLOOKUP(D14522,IMPORTRANGE(""https://docs.google.com/spreadsheets/d/14Bd19lYaqBhU8_DElYkX7l4wRkHqqCUFNJY4AfY3kHU/edit?usp=sharing  #gid=0"",""фіз особи new!relations_name""),6,FALSE)
,
(IF
(
C14522=""юридична особа""
,
VLOO"&amp;"KUP(D14522,IMPORTRANGE(""https://docs.google.com/spreadsheets/d/14Bd19lYaqBhU8_DElYkX7l4wRkHqqCUFNJY4AfY3kHU/edit?usp=sharing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1" s="7" t="s">
        <v>10</v>
      </c>
      <c r="H14521" s="7">
        <v>19366</v>
      </c>
      <c r="I14521" s="8" t="str">
        <f ca="1">IFERROR(__xludf.DUMMYFUNCTION("IF
(
G14522=""фізична особа""
,
VLOOKUP(H14522,IMPORTRANGE(""https://docs.google.com/spreadsheets/d/14Bd19lYaqBhU8_DElYkX7l4wRkHqqCUFNJY4AfY3kHU/edit?usp=sharing  #gid=0"",""фіз особи new!relations_name""),6,FALSE)
,
(IF
(
G14522=""юридична особа""
,
VLOO"&amp;"KUP(H14522,IMPORTRANGE(""https://docs.google.com/spreadsheets/d/14Bd19lYaqBhU8_DElYkX7l4wRkHqqCUFNJY4AfY3kHU/edit?usp=sharing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521" s="7" t="s">
        <v>23</v>
      </c>
    </row>
    <row r="14522" spans="1:10" ht="13.2">
      <c r="A14522" s="7">
        <v>14521</v>
      </c>
      <c r="B14522" s="7">
        <v>1</v>
      </c>
      <c r="C14522" s="7" t="s">
        <v>10</v>
      </c>
      <c r="D14522" s="7">
        <v>19368</v>
      </c>
      <c r="E14522" s="7" t="s">
        <v>23</v>
      </c>
      <c r="F14522" s="8" t="str">
        <f ca="1">IFERROR(__xludf.DUMMYFUNCTION("IF
(
C14523=""фізична особа""
,
VLOOKUP(D14523,IMPORTRANGE(""https://docs.google.com/spreadsheets/d/14Bd19lYaqBhU8_DElYkX7l4wRkHqqCUFNJY4AfY3kHU/edit?usp=sharing  #gid=0"",""фіз особи new!relations_name""),6,FALSE)
,
(IF
(
C14523=""юридична особа""
,
VLOO"&amp;"KUP(D14523,IMPORTRANGE(""https://docs.google.com/spreadsheets/d/14Bd19lYaqBhU8_DElYkX7l4wRkHqqCUFNJY4AfY3kHU/edit?usp=sharing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2" s="7" t="s">
        <v>10</v>
      </c>
      <c r="H14522" s="7">
        <v>23697</v>
      </c>
      <c r="I14522" s="8" t="str">
        <f ca="1">IFERROR(__xludf.DUMMYFUNCTION("IF
(
G14523=""фізична особа""
,
VLOOKUP(H14523,IMPORTRANGE(""https://docs.google.com/spreadsheets/d/14Bd19lYaqBhU8_DElYkX7l4wRkHqqCUFNJY4AfY3kHU/edit?usp=sharing  #gid=0"",""фіз особи new!relations_name""),6,FALSE)
,
(IF
(
G14523=""юридична особа""
,
VLOO"&amp;"KUP(H14523,IMPORTRANGE(""https://docs.google.com/spreadsheets/d/14Bd19lYaqBhU8_DElYkX7l4wRkHqqCUFNJY4AfY3kHU/edit?usp=sharing  #gid=0"",""фіз особи new!relations_name_uo""),7,FALSE)
,
)
))"),"ДІДЕНКО Ольга Олександрівна")</f>
        <v>ДІДЕНКО Ольга Олександрівна</v>
      </c>
      <c r="J14522" s="7" t="s">
        <v>23</v>
      </c>
    </row>
    <row r="14523" spans="1:10" ht="13.2">
      <c r="A14523" s="7">
        <v>14522</v>
      </c>
      <c r="B14523" s="7">
        <v>1</v>
      </c>
      <c r="C14523" s="7" t="s">
        <v>10</v>
      </c>
      <c r="D14523" s="7">
        <v>19368</v>
      </c>
      <c r="E14523" s="7" t="s">
        <v>23</v>
      </c>
      <c r="F14523" s="8" t="str">
        <f ca="1">IFERROR(__xludf.DUMMYFUNCTION("IF
(
C14524=""фізична особа""
,
VLOOKUP(D14524,IMPORTRANGE(""https://docs.google.com/spreadsheets/d/14Bd19lYaqBhU8_DElYkX7l4wRkHqqCUFNJY4AfY3kHU/edit?usp=sharing  #gid=0"",""фіз особи new!relations_name""),6,FALSE)
,
(IF
(
C14524=""юридична особа""
,
VLOO"&amp;"KUP(D14524,IMPORTRANGE(""https://docs.google.com/spreadsheets/d/14Bd19lYaqBhU8_DElYkX7l4wRkHqqCUFNJY4AfY3kHU/edit?usp=sharing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3" s="7" t="s">
        <v>10</v>
      </c>
      <c r="H14523" s="7">
        <v>23699</v>
      </c>
      <c r="I14523" s="8" t="str">
        <f ca="1">IFERROR(__xludf.DUMMYFUNCTION("IF
(
G14524=""фізична особа""
,
VLOOKUP(H14524,IMPORTRANGE(""https://docs.google.com/spreadsheets/d/14Bd19lYaqBhU8_DElYkX7l4wRkHqqCUFNJY4AfY3kHU/edit?usp=sharing  #gid=0"",""фіз особи new!relations_name""),6,FALSE)
,
(IF
(
G14524=""юридична особа""
,
VLOO"&amp;"KUP(H14524,IMPORTRANGE(""https://docs.google.com/spreadsheets/d/14Bd19lYaqBhU8_DElYkX7l4wRkHqqCUFNJY4AfY3kHU/edit?usp=sharing  #gid=0"",""фіз особи new!relations_name_uo""),7,FALSE)
,
)
))"),"КОРЧАГІН Володимир Іванович")</f>
        <v>КОРЧАГІН Володимир Іванович</v>
      </c>
      <c r="J14523" s="7" t="s">
        <v>23</v>
      </c>
    </row>
    <row r="14524" spans="1:10" ht="13.2">
      <c r="A14524" s="7">
        <v>14523</v>
      </c>
      <c r="B14524" s="7">
        <v>1</v>
      </c>
      <c r="C14524" s="7" t="s">
        <v>10</v>
      </c>
      <c r="D14524" s="7">
        <v>19368</v>
      </c>
      <c r="E14524" s="7" t="s">
        <v>23</v>
      </c>
      <c r="F14524" s="8" t="str">
        <f ca="1">IFERROR(__xludf.DUMMYFUNCTION("IF
(
C14525=""фізична особа""
,
VLOOKUP(D14525,IMPORTRANGE(""https://docs.google.com/spreadsheets/d/14Bd19lYaqBhU8_DElYkX7l4wRkHqqCUFNJY4AfY3kHU/edit?usp=sharing  #gid=0"",""фіз особи new!relations_name""),6,FALSE)
,
(IF
(
C14525=""юридична особа""
,
VLOO"&amp;"KUP(D14525,IMPORTRANGE(""https://docs.google.com/spreadsheets/d/14Bd19lYaqBhU8_DElYkX7l4wRkHqqCUFNJY4AfY3kHU/edit?usp=sharing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4" s="7" t="s">
        <v>10</v>
      </c>
      <c r="H14524" s="7">
        <v>19468</v>
      </c>
      <c r="I14524" s="8" t="str">
        <f ca="1">IFERROR(__xludf.DUMMYFUNCTION("IF
(
G14525=""фізична особа""
,
VLOOKUP(H14525,IMPORTRANGE(""https://docs.google.com/spreadsheets/d/14Bd19lYaqBhU8_DElYkX7l4wRkHqqCUFNJY4AfY3kHU/edit?usp=sharing  #gid=0"",""фіз особи new!relations_name""),6,FALSE)
,
(IF
(
G14525=""юридична особа""
,
VLOO"&amp;"KUP(H14525,IMPORTRANGE(""https://docs.google.com/spreadsheets/d/14Bd19lYaqBhU8_DElYkX7l4wRkHqqCUFNJY4AfY3kHU/edit?usp=sharing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524" s="7" t="s">
        <v>23</v>
      </c>
    </row>
    <row r="14525" spans="1:10" ht="13.2">
      <c r="A14525" s="7">
        <v>14524</v>
      </c>
      <c r="B14525" s="7">
        <v>1</v>
      </c>
      <c r="C14525" s="7" t="s">
        <v>10</v>
      </c>
      <c r="D14525" s="7">
        <v>19368</v>
      </c>
      <c r="E14525" s="7" t="s">
        <v>23</v>
      </c>
      <c r="F14525" s="8" t="str">
        <f ca="1">IFERROR(__xludf.DUMMYFUNCTION("IF
(
C14526=""фізична особа""
,
VLOOKUP(D14526,IMPORTRANGE(""https://docs.google.com/spreadsheets/d/14Bd19lYaqBhU8_DElYkX7l4wRkHqqCUFNJY4AfY3kHU/edit?usp=sharing  #gid=0"",""фіз особи new!relations_name""),6,FALSE)
,
(IF
(
C14526=""юридична особа""
,
VLOO"&amp;"KUP(D14526,IMPORTRANGE(""https://docs.google.com/spreadsheets/d/14Bd19lYaqBhU8_DElYkX7l4wRkHqqCUFNJY4AfY3kHU/edit?usp=sharing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5" s="7" t="s">
        <v>10</v>
      </c>
      <c r="H14525" s="7">
        <v>19474</v>
      </c>
      <c r="I14525" s="8" t="str">
        <f ca="1">IFERROR(__xludf.DUMMYFUNCTION("IF
(
G14526=""фізична особа""
,
VLOOKUP(H14526,IMPORTRANGE(""https://docs.google.com/spreadsheets/d/14Bd19lYaqBhU8_DElYkX7l4wRkHqqCUFNJY4AfY3kHU/edit?usp=sharing  #gid=0"",""фіз особи new!relations_name""),6,FALSE)
,
(IF
(
G14526=""юридична особа""
,
VLOO"&amp;"KUP(H14526,IMPORTRANGE(""https://docs.google.com/spreadsheets/d/14Bd19lYaqBhU8_DElYkX7l4wRkHqqCUFNJY4AfY3kHU/edit?usp=sharing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525" s="7" t="s">
        <v>23</v>
      </c>
    </row>
    <row r="14526" spans="1:10" ht="13.2">
      <c r="A14526" s="7">
        <v>14525</v>
      </c>
      <c r="B14526" s="7">
        <v>1</v>
      </c>
      <c r="C14526" s="7" t="s">
        <v>10</v>
      </c>
      <c r="D14526" s="7">
        <v>19368</v>
      </c>
      <c r="E14526" s="7" t="s">
        <v>23</v>
      </c>
      <c r="F14526" s="8" t="str">
        <f ca="1">IFERROR(__xludf.DUMMYFUNCTION("IF
(
C14527=""фізична особа""
,
VLOOKUP(D14527,IMPORTRANGE(""https://docs.google.com/spreadsheets/d/14Bd19lYaqBhU8_DElYkX7l4wRkHqqCUFNJY4AfY3kHU/edit?usp=sharing  #gid=0"",""фіз особи new!relations_name""),6,FALSE)
,
(IF
(
C14527=""юридична особа""
,
VLOO"&amp;"KUP(D14527,IMPORTRANGE(""https://docs.google.com/spreadsheets/d/14Bd19lYaqBhU8_DElYkX7l4wRkHqqCUFNJY4AfY3kHU/edit?usp=sharing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6" s="7" t="s">
        <v>10</v>
      </c>
      <c r="H14526" s="7">
        <v>19466</v>
      </c>
      <c r="I14526" s="8" t="str">
        <f ca="1">IFERROR(__xludf.DUMMYFUNCTION("IF
(
G14527=""фізична особа""
,
VLOOKUP(H14527,IMPORTRANGE(""https://docs.google.com/spreadsheets/d/14Bd19lYaqBhU8_DElYkX7l4wRkHqqCUFNJY4AfY3kHU/edit?usp=sharing  #gid=0"",""фіз особи new!relations_name""),6,FALSE)
,
(IF
(
G14527=""юридична особа""
,
VLOO"&amp;"KUP(H14527,IMPORTRANGE(""https://docs.google.com/spreadsheets/d/14Bd19lYaqBhU8_DElYkX7l4wRkHqqCUFNJY4AfY3kHU/edit?usp=sharing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526" s="7" t="s">
        <v>23</v>
      </c>
    </row>
    <row r="14527" spans="1:10" ht="13.2">
      <c r="A14527" s="7">
        <v>14526</v>
      </c>
      <c r="B14527" s="7">
        <v>1</v>
      </c>
      <c r="C14527" s="7" t="s">
        <v>10</v>
      </c>
      <c r="D14527" s="7">
        <v>19368</v>
      </c>
      <c r="E14527" s="7" t="s">
        <v>23</v>
      </c>
      <c r="F14527" s="8" t="str">
        <f ca="1">IFERROR(__xludf.DUMMYFUNCTION("IF
(
C14528=""фізична особа""
,
VLOOKUP(D14528,IMPORTRANGE(""https://docs.google.com/spreadsheets/d/14Bd19lYaqBhU8_DElYkX7l4wRkHqqCUFNJY4AfY3kHU/edit?usp=sharing  #gid=0"",""фіз особи new!relations_name""),6,FALSE)
,
(IF
(
C14528=""юридична особа""
,
VLOO"&amp;"KUP(D14528,IMPORTRANGE(""https://docs.google.com/spreadsheets/d/14Bd19lYaqBhU8_DElYkX7l4wRkHqqCUFNJY4AfY3kHU/edit?usp=sharing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7" s="7" t="s">
        <v>10</v>
      </c>
      <c r="H14527" s="7">
        <v>19467</v>
      </c>
      <c r="I14527" s="8" t="str">
        <f ca="1">IFERROR(__xludf.DUMMYFUNCTION("IF
(
G14528=""фізична особа""
,
VLOOKUP(H14528,IMPORTRANGE(""https://docs.google.com/spreadsheets/d/14Bd19lYaqBhU8_DElYkX7l4wRkHqqCUFNJY4AfY3kHU/edit?usp=sharing  #gid=0"",""фіз особи new!relations_name""),6,FALSE)
,
(IF
(
G14528=""юридична особа""
,
VLOO"&amp;"KUP(H14528,IMPORTRANGE(""https://docs.google.com/spreadsheets/d/14Bd19lYaqBhU8_DElYkX7l4wRkHqqCUFNJY4AfY3kHU/edit?usp=sharing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527" s="7" t="s">
        <v>23</v>
      </c>
    </row>
    <row r="14528" spans="1:10" ht="13.2">
      <c r="A14528" s="7">
        <v>14527</v>
      </c>
      <c r="B14528" s="7">
        <v>1</v>
      </c>
      <c r="C14528" s="7" t="s">
        <v>10</v>
      </c>
      <c r="D14528" s="7">
        <v>19368</v>
      </c>
      <c r="E14528" s="7" t="s">
        <v>23</v>
      </c>
      <c r="F14528" s="8" t="str">
        <f ca="1">IFERROR(__xludf.DUMMYFUNCTION("IF
(
C14529=""фізична особа""
,
VLOOKUP(D14529,IMPORTRANGE(""https://docs.google.com/spreadsheets/d/14Bd19lYaqBhU8_DElYkX7l4wRkHqqCUFNJY4AfY3kHU/edit?usp=sharing  #gid=0"",""фіз особи new!relations_name""),6,FALSE)
,
(IF
(
C14529=""юридична особа""
,
VLOO"&amp;"KUP(D14529,IMPORTRANGE(""https://docs.google.com/spreadsheets/d/14Bd19lYaqBhU8_DElYkX7l4wRkHqqCUFNJY4AfY3kHU/edit?usp=sharing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8" s="7" t="s">
        <v>10</v>
      </c>
      <c r="H14528" s="7">
        <v>19470</v>
      </c>
      <c r="I14528" s="8" t="str">
        <f ca="1">IFERROR(__xludf.DUMMYFUNCTION("IF
(
G14529=""фізична особа""
,
VLOOKUP(H14529,IMPORTRANGE(""https://docs.google.com/spreadsheets/d/14Bd19lYaqBhU8_DElYkX7l4wRkHqqCUFNJY4AfY3kHU/edit?usp=sharing  #gid=0"",""фіз особи new!relations_name""),6,FALSE)
,
(IF
(
G14529=""юридична особа""
,
VLOO"&amp;"KUP(H14529,IMPORTRANGE(""https://docs.google.com/spreadsheets/d/14Bd19lYaqBhU8_DElYkX7l4wRkHqqCUFNJY4AfY3kHU/edit?usp=sharing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528" s="7" t="s">
        <v>23</v>
      </c>
    </row>
    <row r="14529" spans="1:10" ht="13.2">
      <c r="A14529" s="7">
        <v>14528</v>
      </c>
      <c r="B14529" s="7">
        <v>1</v>
      </c>
      <c r="C14529" s="7" t="s">
        <v>10</v>
      </c>
      <c r="D14529" s="7">
        <v>19368</v>
      </c>
      <c r="E14529" s="7" t="s">
        <v>23</v>
      </c>
      <c r="F14529" s="8" t="str">
        <f ca="1">IFERROR(__xludf.DUMMYFUNCTION("IF
(
C14530=""фізична особа""
,
VLOOKUP(D14530,IMPORTRANGE(""https://docs.google.com/spreadsheets/d/14Bd19lYaqBhU8_DElYkX7l4wRkHqqCUFNJY4AfY3kHU/edit?usp=sharing  #gid=0"",""фіз особи new!relations_name""),6,FALSE)
,
(IF
(
C14530=""юридична особа""
,
VLOO"&amp;"KUP(D14530,IMPORTRANGE(""https://docs.google.com/spreadsheets/d/14Bd19lYaqBhU8_DElYkX7l4wRkHqqCUFNJY4AfY3kHU/edit?usp=sharing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29" s="7" t="s">
        <v>10</v>
      </c>
      <c r="H14529" s="7">
        <v>19469</v>
      </c>
      <c r="I14529" s="8" t="str">
        <f ca="1">IFERROR(__xludf.DUMMYFUNCTION("IF
(
G14530=""фізична особа""
,
VLOOKUP(H14530,IMPORTRANGE(""https://docs.google.com/spreadsheets/d/14Bd19lYaqBhU8_DElYkX7l4wRkHqqCUFNJY4AfY3kHU/edit?usp=sharing  #gid=0"",""фіз особи new!relations_name""),6,FALSE)
,
(IF
(
G14530=""юридична особа""
,
VLOO"&amp;"KUP(H14530,IMPORTRANGE(""https://docs.google.com/spreadsheets/d/14Bd19lYaqBhU8_DElYkX7l4wRkHqqCUFNJY4AfY3kHU/edit?usp=sharing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529" s="7" t="s">
        <v>23</v>
      </c>
    </row>
    <row r="14530" spans="1:10" ht="13.2">
      <c r="A14530" s="7">
        <v>14529</v>
      </c>
      <c r="B14530" s="7">
        <v>1</v>
      </c>
      <c r="C14530" s="7" t="s">
        <v>10</v>
      </c>
      <c r="D14530" s="7">
        <v>19368</v>
      </c>
      <c r="E14530" s="7" t="s">
        <v>23</v>
      </c>
      <c r="F14530" s="8" t="str">
        <f ca="1">IFERROR(__xludf.DUMMYFUNCTION("IF
(
C14531=""фізична особа""
,
VLOOKUP(D14531,IMPORTRANGE(""https://docs.google.com/spreadsheets/d/14Bd19lYaqBhU8_DElYkX7l4wRkHqqCUFNJY4AfY3kHU/edit?usp=sharing  #gid=0"",""фіз особи new!relations_name""),6,FALSE)
,
(IF
(
C14531=""юридична особа""
,
VLOO"&amp;"KUP(D14531,IMPORTRANGE(""https://docs.google.com/spreadsheets/d/14Bd19lYaqBhU8_DElYkX7l4wRkHqqCUFNJY4AfY3kHU/edit?usp=sharing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30" s="7" t="s">
        <v>10</v>
      </c>
      <c r="H14530" s="7">
        <v>19371</v>
      </c>
      <c r="I14530" s="8" t="str">
        <f ca="1">IFERROR(__xludf.DUMMYFUNCTION("IF
(
G14531=""фізична особа""
,
VLOOKUP(H14531,IMPORTRANGE(""https://docs.google.com/spreadsheets/d/14Bd19lYaqBhU8_DElYkX7l4wRkHqqCUFNJY4AfY3kHU/edit?usp=sharing  #gid=0"",""фіз особи new!relations_name""),6,FALSE)
,
(IF
(
G14531=""юридична особа""
,
VLOO"&amp;"KUP(H14531,IMPORTRANGE(""https://docs.google.com/spreadsheets/d/14Bd19lYaqBhU8_DElYkX7l4wRkHqqCUFNJY4AfY3kHU/edit?usp=sharing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530" s="7" t="s">
        <v>23</v>
      </c>
    </row>
    <row r="14531" spans="1:10" ht="13.2">
      <c r="A14531" s="7">
        <v>14530</v>
      </c>
      <c r="B14531" s="7">
        <v>1</v>
      </c>
      <c r="C14531" s="7" t="s">
        <v>10</v>
      </c>
      <c r="D14531" s="7">
        <v>19368</v>
      </c>
      <c r="E14531" s="7" t="s">
        <v>23</v>
      </c>
      <c r="F14531" s="8" t="str">
        <f ca="1">IFERROR(__xludf.DUMMYFUNCTION("IF
(
C14532=""фізична особа""
,
VLOOKUP(D14532,IMPORTRANGE(""https://docs.google.com/spreadsheets/d/14Bd19lYaqBhU8_DElYkX7l4wRkHqqCUFNJY4AfY3kHU/edit?usp=sharing  #gid=0"",""фіз особи new!relations_name""),6,FALSE)
,
(IF
(
C14532=""юридична особа""
,
VLOO"&amp;"KUP(D14532,IMPORTRANGE(""https://docs.google.com/spreadsheets/d/14Bd19lYaqBhU8_DElYkX7l4wRkHqqCUFNJY4AfY3kHU/edit?usp=sharing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31" s="7" t="s">
        <v>10</v>
      </c>
      <c r="H14531" s="7">
        <v>19471</v>
      </c>
      <c r="I14531" s="8" t="str">
        <f ca="1">IFERROR(__xludf.DUMMYFUNCTION("IF
(
G14532=""фізична особа""
,
VLOOKUP(H14532,IMPORTRANGE(""https://docs.google.com/spreadsheets/d/14Bd19lYaqBhU8_DElYkX7l4wRkHqqCUFNJY4AfY3kHU/edit?usp=sharing  #gid=0"",""фіз особи new!relations_name""),6,FALSE)
,
(IF
(
G14532=""юридична особа""
,
VLOO"&amp;"KUP(H14532,IMPORTRANGE(""https://docs.google.com/spreadsheets/d/14Bd19lYaqBhU8_DElYkX7l4wRkHqqCUFNJY4AfY3kHU/edit?usp=sharing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531" s="7" t="s">
        <v>23</v>
      </c>
    </row>
    <row r="14532" spans="1:10" ht="13.2">
      <c r="A14532" s="7">
        <v>14531</v>
      </c>
      <c r="B14532" s="7">
        <v>1</v>
      </c>
      <c r="C14532" s="7" t="s">
        <v>10</v>
      </c>
      <c r="D14532" s="7">
        <v>19368</v>
      </c>
      <c r="E14532" s="7" t="s">
        <v>23</v>
      </c>
      <c r="F14532" s="8" t="str">
        <f ca="1">IFERROR(__xludf.DUMMYFUNCTION("IF
(
C14533=""фізична особа""
,
VLOOKUP(D14533,IMPORTRANGE(""https://docs.google.com/spreadsheets/d/14Bd19lYaqBhU8_DElYkX7l4wRkHqqCUFNJY4AfY3kHU/edit?usp=sharing  #gid=0"",""фіз особи new!relations_name""),6,FALSE)
,
(IF
(
C14533=""юридична особа""
,
VLOO"&amp;"KUP(D14533,IMPORTRANGE(""https://docs.google.com/spreadsheets/d/14Bd19lYaqBhU8_DElYkX7l4wRkHqqCUFNJY4AfY3kHU/edit?usp=sharing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G14532" s="7" t="s">
        <v>10</v>
      </c>
      <c r="H14532" s="7">
        <v>23701</v>
      </c>
      <c r="I14532" s="8" t="str">
        <f ca="1">IFERROR(__xludf.DUMMYFUNCTION("IF
(
G14533=""фізична особа""
,
VLOOKUP(H14533,IMPORTRANGE(""https://docs.google.com/spreadsheets/d/14Bd19lYaqBhU8_DElYkX7l4wRkHqqCUFNJY4AfY3kHU/edit?usp=sharing  #gid=0"",""фіз особи new!relations_name""),6,FALSE)
,
(IF
(
G14533=""юридична особа""
,
VLOO"&amp;"KUP(H14533,IMPORTRANGE(""https://docs.google.com/spreadsheets/d/14Bd19lYaqBhU8_DElYkX7l4wRkHqqCUFNJY4AfY3kHU/edit?usp=sharing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532" s="7" t="s">
        <v>23</v>
      </c>
    </row>
    <row r="14533" spans="1:10" ht="13.2">
      <c r="A14533" s="7">
        <v>14532</v>
      </c>
      <c r="B14533" s="7">
        <v>1</v>
      </c>
      <c r="C14533" s="7" t="s">
        <v>10</v>
      </c>
      <c r="D14533" s="7">
        <v>19369</v>
      </c>
      <c r="E14533" s="7" t="s">
        <v>23</v>
      </c>
      <c r="F14533" s="8" t="str">
        <f ca="1">IFERROR(__xludf.DUMMYFUNCTION("IF
(
C14534=""фізична особа""
,
VLOOKUP(D14534,IMPORTRANGE(""https://docs.google.com/spreadsheets/d/14Bd19lYaqBhU8_DElYkX7l4wRkHqqCUFNJY4AfY3kHU/edit?usp=sharing  #gid=0"",""фіз особи new!relations_name""),6,FALSE)
,
(IF
(
C14534=""юридична особа""
,
VLOO"&amp;"KUP(D14534,IMPORTRANGE(""https://docs.google.com/spreadsheets/d/14Bd19lYaqBhU8_DElYkX7l4wRkHqqCUFNJY4AfY3kHU/edit?usp=sharing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3" s="7" t="s">
        <v>10</v>
      </c>
      <c r="H14533" s="7">
        <v>19363</v>
      </c>
      <c r="I14533" s="8" t="str">
        <f ca="1">IFERROR(__xludf.DUMMYFUNCTION("IF
(
G14534=""фізична особа""
,
VLOOKUP(H14534,IMPORTRANGE(""https://docs.google.com/spreadsheets/d/14Bd19lYaqBhU8_DElYkX7l4wRkHqqCUFNJY4AfY3kHU/edit?usp=sharing  #gid=0"",""фіз особи new!relations_name""),6,FALSE)
,
(IF
(
G14534=""юридична особа""
,
VLOO"&amp;"KUP(H14534,IMPORTRANGE(""https://docs.google.com/spreadsheets/d/14Bd19lYaqBhU8_DElYkX7l4wRkHqqCUFNJY4AfY3kHU/edit?usp=sharing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J14533" s="7" t="s">
        <v>23</v>
      </c>
    </row>
    <row r="14534" spans="1:10" ht="13.2">
      <c r="A14534" s="7">
        <v>14533</v>
      </c>
      <c r="B14534" s="7">
        <v>1</v>
      </c>
      <c r="C14534" s="7" t="s">
        <v>10</v>
      </c>
      <c r="D14534" s="7">
        <v>19369</v>
      </c>
      <c r="E14534" s="7" t="s">
        <v>23</v>
      </c>
      <c r="F14534" s="8" t="str">
        <f ca="1">IFERROR(__xludf.DUMMYFUNCTION("IF
(
C14535=""фізична особа""
,
VLOOKUP(D14535,IMPORTRANGE(""https://docs.google.com/spreadsheets/d/14Bd19lYaqBhU8_DElYkX7l4wRkHqqCUFNJY4AfY3kHU/edit?usp=sharing  #gid=0"",""фіз особи new!relations_name""),6,FALSE)
,
(IF
(
C14535=""юридична особа""
,
VLOO"&amp;"KUP(D14535,IMPORTRANGE(""https://docs.google.com/spreadsheets/d/14Bd19lYaqBhU8_DElYkX7l4wRkHqqCUFNJY4AfY3kHU/edit?usp=sharing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4" s="7" t="s">
        <v>10</v>
      </c>
      <c r="H14534" s="7">
        <v>23687</v>
      </c>
      <c r="I14534" s="8" t="str">
        <f ca="1">IFERROR(__xludf.DUMMYFUNCTION("IF
(
G14535=""фізична особа""
,
VLOOKUP(H14535,IMPORTRANGE(""https://docs.google.com/spreadsheets/d/14Bd19lYaqBhU8_DElYkX7l4wRkHqqCUFNJY4AfY3kHU/edit?usp=sharing  #gid=0"",""фіз особи new!relations_name""),6,FALSE)
,
(IF
(
G14535=""юридична особа""
,
VLOO"&amp;"KUP(H14535,IMPORTRANGE(""https://docs.google.com/spreadsheets/d/14Bd19lYaqBhU8_DElYkX7l4wRkHqqCUFNJY4AfY3kHU/edit?usp=sharing  #gid=0"",""фіз особи new!relations_name_uo""),7,FALSE)
,
)
))"),"ЛОСЄВА Олена Вячеславівна")</f>
        <v>ЛОСЄВА Олена Вячеславівна</v>
      </c>
      <c r="J14534" s="7" t="s">
        <v>23</v>
      </c>
    </row>
    <row r="14535" spans="1:10" ht="13.2">
      <c r="A14535" s="7">
        <v>14534</v>
      </c>
      <c r="B14535" s="7">
        <v>1</v>
      </c>
      <c r="C14535" s="7" t="s">
        <v>10</v>
      </c>
      <c r="D14535" s="7">
        <v>19369</v>
      </c>
      <c r="E14535" s="7" t="s">
        <v>23</v>
      </c>
      <c r="F14535" s="8" t="str">
        <f ca="1">IFERROR(__xludf.DUMMYFUNCTION("IF
(
C14536=""фізична особа""
,
VLOOKUP(D14536,IMPORTRANGE(""https://docs.google.com/spreadsheets/d/14Bd19lYaqBhU8_DElYkX7l4wRkHqqCUFNJY4AfY3kHU/edit?usp=sharing  #gid=0"",""фіз особи new!relations_name""),6,FALSE)
,
(IF
(
C14536=""юридична особа""
,
VLOO"&amp;"KUP(D14536,IMPORTRANGE(""https://docs.google.com/spreadsheets/d/14Bd19lYaqBhU8_DElYkX7l4wRkHqqCUFNJY4AfY3kHU/edit?usp=sharing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5" s="7" t="s">
        <v>10</v>
      </c>
      <c r="H14535" s="7">
        <v>19476</v>
      </c>
      <c r="I14535" s="8" t="str">
        <f ca="1">IFERROR(__xludf.DUMMYFUNCTION("IF
(
G14536=""фізична особа""
,
VLOOKUP(H14536,IMPORTRANGE(""https://docs.google.com/spreadsheets/d/14Bd19lYaqBhU8_DElYkX7l4wRkHqqCUFNJY4AfY3kHU/edit?usp=sharing  #gid=0"",""фіз особи new!relations_name""),6,FALSE)
,
(IF
(
G14536=""юридична особа""
,
VLOO"&amp;"KUP(H14536,IMPORTRANGE(""https://docs.google.com/spreadsheets/d/14Bd19lYaqBhU8_DElYkX7l4wRkHqqCUFNJY4AfY3kHU/edit?usp=sharing  #gid=0"",""фіз особи new!relations_name_uo""),7,FALSE)
,
)
))"),"КРАСНОВ Юрій Юрійович")</f>
        <v>КРАСНОВ Юрій Юрійович</v>
      </c>
      <c r="J14535" s="7" t="s">
        <v>23</v>
      </c>
    </row>
    <row r="14536" spans="1:10" ht="13.2">
      <c r="A14536" s="7">
        <v>14535</v>
      </c>
      <c r="B14536" s="7">
        <v>1</v>
      </c>
      <c r="C14536" s="7" t="s">
        <v>10</v>
      </c>
      <c r="D14536" s="7">
        <v>19369</v>
      </c>
      <c r="E14536" s="7" t="s">
        <v>23</v>
      </c>
      <c r="F14536" s="8" t="str">
        <f ca="1">IFERROR(__xludf.DUMMYFUNCTION("IF
(
C14537=""фізична особа""
,
VLOOKUP(D14537,IMPORTRANGE(""https://docs.google.com/spreadsheets/d/14Bd19lYaqBhU8_DElYkX7l4wRkHqqCUFNJY4AfY3kHU/edit?usp=sharing  #gid=0"",""фіз особи new!relations_name""),6,FALSE)
,
(IF
(
C14537=""юридична особа""
,
VLOO"&amp;"KUP(D14537,IMPORTRANGE(""https://docs.google.com/spreadsheets/d/14Bd19lYaqBhU8_DElYkX7l4wRkHqqCUFNJY4AfY3kHU/edit?usp=sharing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6" s="7" t="s">
        <v>10</v>
      </c>
      <c r="H14536" s="7">
        <v>23689</v>
      </c>
      <c r="I14536" s="8" t="str">
        <f ca="1">IFERROR(__xludf.DUMMYFUNCTION("IF
(
G14537=""фізична особа""
,
VLOOKUP(H14537,IMPORTRANGE(""https://docs.google.com/spreadsheets/d/14Bd19lYaqBhU8_DElYkX7l4wRkHqqCUFNJY4AfY3kHU/edit?usp=sharing  #gid=0"",""фіз особи new!relations_name""),6,FALSE)
,
(IF
(
G14537=""юридична особа""
,
VLOO"&amp;"KUP(H14537,IMPORTRANGE(""https://docs.google.com/spreadsheets/d/14Bd19lYaqBhU8_DElYkX7l4wRkHqqCUFNJY4AfY3kHU/edit?usp=sharing  #gid=0"",""фіз особи new!relations_name_uo""),7,FALSE)
,
)
))"),"СИМОНЕНКО Ірина Олександрівна")</f>
        <v>СИМОНЕНКО Ірина Олександрівна</v>
      </c>
      <c r="J14536" s="7" t="s">
        <v>23</v>
      </c>
    </row>
    <row r="14537" spans="1:10" ht="13.2">
      <c r="A14537" s="7">
        <v>14536</v>
      </c>
      <c r="B14537" s="7">
        <v>1</v>
      </c>
      <c r="C14537" s="7" t="s">
        <v>10</v>
      </c>
      <c r="D14537" s="7">
        <v>19369</v>
      </c>
      <c r="E14537" s="7" t="s">
        <v>23</v>
      </c>
      <c r="F14537" s="8" t="str">
        <f ca="1">IFERROR(__xludf.DUMMYFUNCTION("IF
(
C14538=""фізична особа""
,
VLOOKUP(D14538,IMPORTRANGE(""https://docs.google.com/spreadsheets/d/14Bd19lYaqBhU8_DElYkX7l4wRkHqqCUFNJY4AfY3kHU/edit?usp=sharing  #gid=0"",""фіз особи new!relations_name""),6,FALSE)
,
(IF
(
C14538=""юридична особа""
,
VLOO"&amp;"KUP(D14538,IMPORTRANGE(""https://docs.google.com/spreadsheets/d/14Bd19lYaqBhU8_DElYkX7l4wRkHqqCUFNJY4AfY3kHU/edit?usp=sharing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7" s="7" t="s">
        <v>10</v>
      </c>
      <c r="H14537" s="7">
        <v>19370</v>
      </c>
      <c r="I14537" s="8" t="str">
        <f ca="1">IFERROR(__xludf.DUMMYFUNCTION("IF
(
G14538=""фізична особа""
,
VLOOKUP(H14538,IMPORTRANGE(""https://docs.google.com/spreadsheets/d/14Bd19lYaqBhU8_DElYkX7l4wRkHqqCUFNJY4AfY3kHU/edit?usp=sharing  #gid=0"",""фіз особи new!relations_name""),6,FALSE)
,
(IF
(
G14538=""юридична особа""
,
VLOO"&amp;"KUP(H14538,IMPORTRANGE(""https://docs.google.com/spreadsheets/d/14Bd19lYaqBhU8_DElYkX7l4wRkHqqCUFNJY4AfY3kHU/edit?usp=sharing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J14537" s="7" t="s">
        <v>23</v>
      </c>
    </row>
    <row r="14538" spans="1:10" ht="13.2">
      <c r="A14538" s="7">
        <v>14537</v>
      </c>
      <c r="B14538" s="7">
        <v>1</v>
      </c>
      <c r="C14538" s="7" t="s">
        <v>10</v>
      </c>
      <c r="D14538" s="7">
        <v>19369</v>
      </c>
      <c r="E14538" s="7" t="s">
        <v>23</v>
      </c>
      <c r="F14538" s="8" t="str">
        <f ca="1">IFERROR(__xludf.DUMMYFUNCTION("IF
(
C14539=""фізична особа""
,
VLOOKUP(D14539,IMPORTRANGE(""https://docs.google.com/spreadsheets/d/14Bd19lYaqBhU8_DElYkX7l4wRkHqqCUFNJY4AfY3kHU/edit?usp=sharing  #gid=0"",""фіз особи new!relations_name""),6,FALSE)
,
(IF
(
C14539=""юридична особа""
,
VLOO"&amp;"KUP(D14539,IMPORTRANGE(""https://docs.google.com/spreadsheets/d/14Bd19lYaqBhU8_DElYkX7l4wRkHqqCUFNJY4AfY3kHU/edit?usp=sharing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8" s="7" t="s">
        <v>10</v>
      </c>
      <c r="H14538" s="7">
        <v>19370</v>
      </c>
      <c r="I14538" s="8" t="str">
        <f ca="1">IFERROR(__xludf.DUMMYFUNCTION("IF
(
G14539=""фізична особа""
,
VLOOKUP(H14539,IMPORTRANGE(""https://docs.google.com/spreadsheets/d/14Bd19lYaqBhU8_DElYkX7l4wRkHqqCUFNJY4AfY3kHU/edit?usp=sharing  #gid=0"",""фіз особи new!relations_name""),6,FALSE)
,
(IF
(
G14539=""юридична особа""
,
VLOO"&amp;"KUP(H14539,IMPORTRANGE(""https://docs.google.com/spreadsheets/d/14Bd19lYaqBhU8_DElYkX7l4wRkHqqCUFNJY4AfY3kHU/edit?usp=sharing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J14538" s="7" t="s">
        <v>23</v>
      </c>
    </row>
    <row r="14539" spans="1:10" ht="13.2">
      <c r="A14539" s="7">
        <v>14538</v>
      </c>
      <c r="B14539" s="7">
        <v>1</v>
      </c>
      <c r="C14539" s="7" t="s">
        <v>10</v>
      </c>
      <c r="D14539" s="7">
        <v>19369</v>
      </c>
      <c r="E14539" s="7" t="s">
        <v>23</v>
      </c>
      <c r="F14539" s="8" t="str">
        <f ca="1">IFERROR(__xludf.DUMMYFUNCTION("IF
(
C14540=""фізична особа""
,
VLOOKUP(D14540,IMPORTRANGE(""https://docs.google.com/spreadsheets/d/14Bd19lYaqBhU8_DElYkX7l4wRkHqqCUFNJY4AfY3kHU/edit?usp=sharing  #gid=0"",""фіз особи new!relations_name""),6,FALSE)
,
(IF
(
C14540=""юридична особа""
,
VLOO"&amp;"KUP(D14540,IMPORTRANGE(""https://docs.google.com/spreadsheets/d/14Bd19lYaqBhU8_DElYkX7l4wRkHqqCUFNJY4AfY3kHU/edit?usp=sharing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39" s="7" t="s">
        <v>10</v>
      </c>
      <c r="H14539" s="7">
        <v>23690</v>
      </c>
      <c r="I14539" s="8" t="str">
        <f ca="1">IFERROR(__xludf.DUMMYFUNCTION("IF
(
G14540=""фізична особа""
,
VLOOKUP(H14540,IMPORTRANGE(""https://docs.google.com/spreadsheets/d/14Bd19lYaqBhU8_DElYkX7l4wRkHqqCUFNJY4AfY3kHU/edit?usp=sharing  #gid=0"",""фіз особи new!relations_name""),6,FALSE)
,
(IF
(
G14540=""юридична особа""
,
VLOO"&amp;"KUP(H14540,IMPORTRANGE(""https://docs.google.com/spreadsheets/d/14Bd19lYaqBhU8_DElYkX7l4wRkHqqCUFNJY4AfY3kHU/edit?usp=sharing  #gid=0"",""фіз особи new!relations_name_uo""),7,FALSE)
,
)
))"),"НОВОЖИЛОВА Ольга Вадимівна")</f>
        <v>НОВОЖИЛОВА Ольга Вадимівна</v>
      </c>
      <c r="J14539" s="7" t="s">
        <v>23</v>
      </c>
    </row>
    <row r="14540" spans="1:10" ht="13.2">
      <c r="A14540" s="7">
        <v>14539</v>
      </c>
      <c r="B14540" s="7">
        <v>1</v>
      </c>
      <c r="C14540" s="7" t="s">
        <v>10</v>
      </c>
      <c r="D14540" s="7">
        <v>19369</v>
      </c>
      <c r="E14540" s="7" t="s">
        <v>23</v>
      </c>
      <c r="F14540" s="8" t="str">
        <f ca="1">IFERROR(__xludf.DUMMYFUNCTION("IF
(
C14541=""фізична особа""
,
VLOOKUP(D14541,IMPORTRANGE(""https://docs.google.com/spreadsheets/d/14Bd19lYaqBhU8_DElYkX7l4wRkHqqCUFNJY4AfY3kHU/edit?usp=sharing  #gid=0"",""фіз особи new!relations_name""),6,FALSE)
,
(IF
(
C14541=""юридична особа""
,
VLOO"&amp;"KUP(D14541,IMPORTRANGE(""https://docs.google.com/spreadsheets/d/14Bd19lYaqBhU8_DElYkX7l4wRkHqqCUFNJY4AfY3kHU/edit?usp=sharing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G14540" s="7" t="s">
        <v>10</v>
      </c>
      <c r="H14540" s="7">
        <v>23693</v>
      </c>
      <c r="I14540" s="8" t="str">
        <f ca="1">IFERROR(__xludf.DUMMYFUNCTION("IF
(
G14541=""фізична особа""
,
VLOOKUP(H14541,IMPORTRANGE(""https://docs.google.com/spreadsheets/d/14Bd19lYaqBhU8_DElYkX7l4wRkHqqCUFNJY4AfY3kHU/edit?usp=sharing  #gid=0"",""фіз особи new!relations_name""),6,FALSE)
,
(IF
(
G14541=""юридична особа""
,
VLOO"&amp;"KUP(H14541,IMPORTRANGE(""https://docs.google.com/spreadsheets/d/14Bd19lYaqBhU8_DElYkX7l4wRkHqqCUFNJY4AfY3kHU/edit?usp=sharing  #gid=0"",""фіз особи new!relations_name_uo""),7,FALSE)
,
)
))"),"МАКОВКІНА Євгенія Володимирівна")</f>
        <v>МАКОВКІНА Євгенія Володимирівна</v>
      </c>
      <c r="J14540" s="7" t="s">
        <v>23</v>
      </c>
    </row>
    <row r="14541" spans="1:10" ht="13.2">
      <c r="A14541" s="7">
        <v>14540</v>
      </c>
      <c r="B14541" s="7">
        <v>1</v>
      </c>
      <c r="C14541" s="7" t="s">
        <v>10</v>
      </c>
      <c r="D14541" s="7">
        <v>19370</v>
      </c>
      <c r="E14541" s="7" t="s">
        <v>23</v>
      </c>
      <c r="F14541" s="8" t="str">
        <f ca="1">IFERROR(__xludf.DUMMYFUNCTION("IF
(
C14542=""фізична особа""
,
VLOOKUP(D14542,IMPORTRANGE(""https://docs.google.com/spreadsheets/d/14Bd19lYaqBhU8_DElYkX7l4wRkHqqCUFNJY4AfY3kHU/edit?usp=sharing  #gid=0"",""фіз особи new!relations_name""),6,FALSE)
,
(IF
(
C14542=""юридична особа""
,
VLOO"&amp;"KUP(D14542,IMPORTRANGE(""https://docs.google.com/spreadsheets/d/14Bd19lYaqBhU8_DElYkX7l4wRkHqqCUFNJY4AfY3kHU/edit?usp=sharing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1" s="7" t="s">
        <v>10</v>
      </c>
      <c r="H14541" s="7">
        <v>19363</v>
      </c>
      <c r="I14541" s="8" t="str">
        <f ca="1">IFERROR(__xludf.DUMMYFUNCTION("IF
(
G14542=""фізична особа""
,
VLOOKUP(H14542,IMPORTRANGE(""https://docs.google.com/spreadsheets/d/14Bd19lYaqBhU8_DElYkX7l4wRkHqqCUFNJY4AfY3kHU/edit?usp=sharing  #gid=0"",""фіз особи new!relations_name""),6,FALSE)
,
(IF
(
G14542=""юридична особа""
,
VLOO"&amp;"KUP(H14542,IMPORTRANGE(""https://docs.google.com/spreadsheets/d/14Bd19lYaqBhU8_DElYkX7l4wRkHqqCUFNJY4AfY3kHU/edit?usp=sharing  #gid=0"",""фіз особи new!relations_name_uo""),7,FALSE)
,
)
))"),"КАБАРГІН Сергій Леонідович")</f>
        <v>КАБАРГІН Сергій Леонідович</v>
      </c>
      <c r="J14541" s="7" t="s">
        <v>23</v>
      </c>
    </row>
    <row r="14542" spans="1:10" ht="13.2">
      <c r="A14542" s="7">
        <v>14541</v>
      </c>
      <c r="B14542" s="7">
        <v>1</v>
      </c>
      <c r="C14542" s="7" t="s">
        <v>10</v>
      </c>
      <c r="D14542" s="7">
        <v>19370</v>
      </c>
      <c r="E14542" s="7" t="s">
        <v>23</v>
      </c>
      <c r="F14542" s="8" t="str">
        <f ca="1">IFERROR(__xludf.DUMMYFUNCTION("IF
(
C14543=""фізична особа""
,
VLOOKUP(D14543,IMPORTRANGE(""https://docs.google.com/spreadsheets/d/14Bd19lYaqBhU8_DElYkX7l4wRkHqqCUFNJY4AfY3kHU/edit?usp=sharing  #gid=0"",""фіз особи new!relations_name""),6,FALSE)
,
(IF
(
C14543=""юридична особа""
,
VLOO"&amp;"KUP(D14543,IMPORTRANGE(""https://docs.google.com/spreadsheets/d/14Bd19lYaqBhU8_DElYkX7l4wRkHqqCUFNJY4AfY3kHU/edit?usp=sharing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2" s="7" t="s">
        <v>10</v>
      </c>
      <c r="H14542" s="7">
        <v>23686</v>
      </c>
      <c r="I14542" s="8" t="str">
        <f ca="1">IFERROR(__xludf.DUMMYFUNCTION("IF
(
G14543=""фізична особа""
,
VLOOKUP(H14543,IMPORTRANGE(""https://docs.google.com/spreadsheets/d/14Bd19lYaqBhU8_DElYkX7l4wRkHqqCUFNJY4AfY3kHU/edit?usp=sharing  #gid=0"",""фіз особи new!relations_name""),6,FALSE)
,
(IF
(
G14543=""юридична особа""
,
VLOO"&amp;"KUP(H14543,IMPORTRANGE(""https://docs.google.com/spreadsheets/d/14Bd19lYaqBhU8_DElYkX7l4wRkHqqCUFNJY4AfY3kHU/edit?usp=sharing  #gid=0"",""фіз особи new!relations_name_uo""),7,FALSE)
,
)
))"),"ЄМЕЛЬЯНОВА Антоніна Леонідівна")</f>
        <v>ЄМЕЛЬЯНОВА Антоніна Леонідівна</v>
      </c>
      <c r="J14542" s="7" t="s">
        <v>23</v>
      </c>
    </row>
    <row r="14543" spans="1:10" ht="13.2">
      <c r="A14543" s="7">
        <v>14542</v>
      </c>
      <c r="B14543" s="7">
        <v>1</v>
      </c>
      <c r="C14543" s="7" t="s">
        <v>10</v>
      </c>
      <c r="D14543" s="7">
        <v>19370</v>
      </c>
      <c r="E14543" s="7" t="s">
        <v>23</v>
      </c>
      <c r="F14543" s="8" t="str">
        <f ca="1">IFERROR(__xludf.DUMMYFUNCTION("IF
(
C14544=""фізична особа""
,
VLOOKUP(D14544,IMPORTRANGE(""https://docs.google.com/spreadsheets/d/14Bd19lYaqBhU8_DElYkX7l4wRkHqqCUFNJY4AfY3kHU/edit?usp=sharing  #gid=0"",""фіз особи new!relations_name""),6,FALSE)
,
(IF
(
C14544=""юридична особа""
,
VLOO"&amp;"KUP(D14544,IMPORTRANGE(""https://docs.google.com/spreadsheets/d/14Bd19lYaqBhU8_DElYkX7l4wRkHqqCUFNJY4AfY3kHU/edit?usp=sharing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3" s="7" t="s">
        <v>10</v>
      </c>
      <c r="H14543" s="7">
        <v>23688</v>
      </c>
      <c r="I14543" s="8" t="str">
        <f ca="1">IFERROR(__xludf.DUMMYFUNCTION("IF
(
G14544=""фізична особа""
,
VLOOKUP(H14544,IMPORTRANGE(""https://docs.google.com/spreadsheets/d/14Bd19lYaqBhU8_DElYkX7l4wRkHqqCUFNJY4AfY3kHU/edit?usp=sharing  #gid=0"",""фіз особи new!relations_name""),6,FALSE)
,
(IF
(
G14544=""юридична особа""
,
VLOO"&amp;"KUP(H14544,IMPORTRANGE(""https://docs.google.com/spreadsheets/d/14Bd19lYaqBhU8_DElYkX7l4wRkHqqCUFNJY4AfY3kHU/edit?usp=sharing  #gid=0"",""фіз особи new!relations_name_uo""),7,FALSE)
,
)
))"),"БЄЛОВ Юрій Йосипович")</f>
        <v>БЄЛОВ Юрій Йосипович</v>
      </c>
      <c r="J14543" s="7" t="s">
        <v>23</v>
      </c>
    </row>
    <row r="14544" spans="1:10" ht="13.2">
      <c r="A14544" s="7">
        <v>14543</v>
      </c>
      <c r="B14544" s="7">
        <v>1</v>
      </c>
      <c r="C14544" s="7" t="s">
        <v>10</v>
      </c>
      <c r="D14544" s="7">
        <v>19370</v>
      </c>
      <c r="E14544" s="7" t="s">
        <v>23</v>
      </c>
      <c r="F14544" s="8" t="str">
        <f ca="1">IFERROR(__xludf.DUMMYFUNCTION("IF
(
C14545=""фізична особа""
,
VLOOKUP(D14545,IMPORTRANGE(""https://docs.google.com/spreadsheets/d/14Bd19lYaqBhU8_DElYkX7l4wRkHqqCUFNJY4AfY3kHU/edit?usp=sharing  #gid=0"",""фіз особи new!relations_name""),6,FALSE)
,
(IF
(
C14545=""юридична особа""
,
VLOO"&amp;"KUP(D14545,IMPORTRANGE(""https://docs.google.com/spreadsheets/d/14Bd19lYaqBhU8_DElYkX7l4wRkHqqCUFNJY4AfY3kHU/edit?usp=sharing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4" s="7" t="s">
        <v>10</v>
      </c>
      <c r="H14544" s="7">
        <v>23687</v>
      </c>
      <c r="I14544" s="8" t="str">
        <f ca="1">IFERROR(__xludf.DUMMYFUNCTION("IF
(
G14545=""фізична особа""
,
VLOOKUP(H14545,IMPORTRANGE(""https://docs.google.com/spreadsheets/d/14Bd19lYaqBhU8_DElYkX7l4wRkHqqCUFNJY4AfY3kHU/edit?usp=sharing  #gid=0"",""фіз особи new!relations_name""),6,FALSE)
,
(IF
(
G14545=""юридична особа""
,
VLOO"&amp;"KUP(H14545,IMPORTRANGE(""https://docs.google.com/spreadsheets/d/14Bd19lYaqBhU8_DElYkX7l4wRkHqqCUFNJY4AfY3kHU/edit?usp=sharing  #gid=0"",""фіз особи new!relations_name_uo""),7,FALSE)
,
)
))"),"ЛОСЄВА Олена Вячеславівна")</f>
        <v>ЛОСЄВА Олена Вячеславівна</v>
      </c>
      <c r="J14544" s="7" t="s">
        <v>23</v>
      </c>
    </row>
    <row r="14545" spans="1:10" ht="13.2">
      <c r="A14545" s="7">
        <v>14544</v>
      </c>
      <c r="B14545" s="7">
        <v>1</v>
      </c>
      <c r="C14545" s="7" t="s">
        <v>10</v>
      </c>
      <c r="D14545" s="7">
        <v>19370</v>
      </c>
      <c r="E14545" s="7" t="s">
        <v>23</v>
      </c>
      <c r="F14545" s="8" t="str">
        <f ca="1">IFERROR(__xludf.DUMMYFUNCTION("IF
(
C14546=""фізична особа""
,
VLOOKUP(D14546,IMPORTRANGE(""https://docs.google.com/spreadsheets/d/14Bd19lYaqBhU8_DElYkX7l4wRkHqqCUFNJY4AfY3kHU/edit?usp=sharing  #gid=0"",""фіз особи new!relations_name""),6,FALSE)
,
(IF
(
C14546=""юридична особа""
,
VLOO"&amp;"KUP(D14546,IMPORTRANGE(""https://docs.google.com/spreadsheets/d/14Bd19lYaqBhU8_DElYkX7l4wRkHqqCUFNJY4AfY3kHU/edit?usp=sharing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5" s="7" t="s">
        <v>10</v>
      </c>
      <c r="H14545" s="7">
        <v>19369</v>
      </c>
      <c r="I14545" s="8" t="str">
        <f ca="1">IFERROR(__xludf.DUMMYFUNCTION("IF
(
G14546=""фізична особа""
,
VLOOKUP(H14546,IMPORTRANGE(""https://docs.google.com/spreadsheets/d/14Bd19lYaqBhU8_DElYkX7l4wRkHqqCUFNJY4AfY3kHU/edit?usp=sharing  #gid=0"",""фіз особи new!relations_name""),6,FALSE)
,
(IF
(
G14546=""юридична особа""
,
VLOO"&amp;"KUP(H14546,IMPORTRANGE(""https://docs.google.com/spreadsheets/d/14Bd19lYaqBhU8_DElYkX7l4wRkHqqCUFNJY4AfY3kHU/edit?usp=sharing  #gid=0"",""фіз особи new!relations_name_uo""),7,FALSE)
,
)
))"),"ЄРМОЛИЧЕВ Дмитро Анатолійович")</f>
        <v>ЄРМОЛИЧЕВ Дмитро Анатолійович</v>
      </c>
      <c r="J14545" s="7" t="s">
        <v>23</v>
      </c>
    </row>
    <row r="14546" spans="1:10" ht="13.2">
      <c r="A14546" s="7">
        <v>14545</v>
      </c>
      <c r="B14546" s="7">
        <v>1</v>
      </c>
      <c r="C14546" s="7" t="s">
        <v>10</v>
      </c>
      <c r="D14546" s="7">
        <v>19370</v>
      </c>
      <c r="E14546" s="7" t="s">
        <v>23</v>
      </c>
      <c r="F14546" s="8" t="str">
        <f ca="1">IFERROR(__xludf.DUMMYFUNCTION("IF
(
C14547=""фізична особа""
,
VLOOKUP(D14547,IMPORTRANGE(""https://docs.google.com/spreadsheets/d/14Bd19lYaqBhU8_DElYkX7l4wRkHqqCUFNJY4AfY3kHU/edit?usp=sharing  #gid=0"",""фіз особи new!relations_name""),6,FALSE)
,
(IF
(
C14547=""юридична особа""
,
VLOO"&amp;"KUP(D14547,IMPORTRANGE(""https://docs.google.com/spreadsheets/d/14Bd19lYaqBhU8_DElYkX7l4wRkHqqCUFNJY4AfY3kHU/edit?usp=sharing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6" s="7" t="s">
        <v>10</v>
      </c>
      <c r="H14546" s="7">
        <v>19476</v>
      </c>
      <c r="I14546" s="8" t="str">
        <f ca="1">IFERROR(__xludf.DUMMYFUNCTION("IF
(
G14547=""фізична особа""
,
VLOOKUP(H14547,IMPORTRANGE(""https://docs.google.com/spreadsheets/d/14Bd19lYaqBhU8_DElYkX7l4wRkHqqCUFNJY4AfY3kHU/edit?usp=sharing  #gid=0"",""фіз особи new!relations_name""),6,FALSE)
,
(IF
(
G14547=""юридична особа""
,
VLOO"&amp;"KUP(H14547,IMPORTRANGE(""https://docs.google.com/spreadsheets/d/14Bd19lYaqBhU8_DElYkX7l4wRkHqqCUFNJY4AfY3kHU/edit?usp=sharing  #gid=0"",""фіз особи new!relations_name_uo""),7,FALSE)
,
)
))"),"КРАСНОВ Юрій Юрійович")</f>
        <v>КРАСНОВ Юрій Юрійович</v>
      </c>
      <c r="J14546" s="7" t="s">
        <v>23</v>
      </c>
    </row>
    <row r="14547" spans="1:10" ht="13.2">
      <c r="A14547" s="7">
        <v>14546</v>
      </c>
      <c r="B14547" s="7">
        <v>1</v>
      </c>
      <c r="C14547" s="7" t="s">
        <v>10</v>
      </c>
      <c r="D14547" s="7">
        <v>19370</v>
      </c>
      <c r="E14547" s="7" t="s">
        <v>23</v>
      </c>
      <c r="F14547" s="8" t="str">
        <f ca="1">IFERROR(__xludf.DUMMYFUNCTION("IF
(
C14548=""фізична особа""
,
VLOOKUP(D14548,IMPORTRANGE(""https://docs.google.com/spreadsheets/d/14Bd19lYaqBhU8_DElYkX7l4wRkHqqCUFNJY4AfY3kHU/edit?usp=sharing  #gid=0"",""фіз особи new!relations_name""),6,FALSE)
,
(IF
(
C14548=""юридична особа""
,
VLOO"&amp;"KUP(D14548,IMPORTRANGE(""https://docs.google.com/spreadsheets/d/14Bd19lYaqBhU8_DElYkX7l4wRkHqqCUFNJY4AfY3kHU/edit?usp=sharing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7" s="7" t="s">
        <v>10</v>
      </c>
      <c r="H14547" s="7">
        <v>0</v>
      </c>
      <c r="I14547" s="8" t="str">
        <f ca="1">IFERROR(__xludf.DUMMYFUNCTION("IF
(
G14548=""фізична особа""
,
VLOOKUP(H14548,IMPORTRANGE(""https://docs.google.com/spreadsheets/d/14Bd19lYaqBhU8_DElYkX7l4wRkHqqCUFNJY4AfY3kHU/edit?usp=sharing  #gid=0"",""фіз особи new!relations_name""),6,FALSE)
,
(IF
(
G14548=""юридична особа""
,
VLOO"&amp;"KUP(H14548,IMPORTRANGE(""https://docs.google.com/spreadsheets/d/14Bd19lYaqBhU8_DElYkX7l4wRkHqqCUFNJY4AfY3kHU/edit?usp=sharing  #gid=0"",""фіз особи new!relations_name_uo""),7,FALSE)
,
)
))"),"#N/A")</f>
        <v>#N/A</v>
      </c>
      <c r="J14547" s="7" t="s">
        <v>23</v>
      </c>
    </row>
    <row r="14548" spans="1:10" ht="13.2">
      <c r="A14548" s="7">
        <v>14547</v>
      </c>
      <c r="B14548" s="7">
        <v>1</v>
      </c>
      <c r="C14548" s="7" t="s">
        <v>10</v>
      </c>
      <c r="D14548" s="7">
        <v>19370</v>
      </c>
      <c r="E14548" s="7" t="s">
        <v>23</v>
      </c>
      <c r="F14548" s="8" t="str">
        <f ca="1">IFERROR(__xludf.DUMMYFUNCTION("IF
(
C14549=""фізична особа""
,
VLOOKUP(D14549,IMPORTRANGE(""https://docs.google.com/spreadsheets/d/14Bd19lYaqBhU8_DElYkX7l4wRkHqqCUFNJY4AfY3kHU/edit?usp=sharing  #gid=0"",""фіз особи new!relations_name""),6,FALSE)
,
(IF
(
C14549=""юридична особа""
,
VLOO"&amp;"KUP(D14549,IMPORTRANGE(""https://docs.google.com/spreadsheets/d/14Bd19lYaqBhU8_DElYkX7l4wRkHqqCUFNJY4AfY3kHU/edit?usp=sharing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8" s="7" t="s">
        <v>10</v>
      </c>
      <c r="H14548" s="7">
        <v>0</v>
      </c>
      <c r="I14548" s="8" t="str">
        <f ca="1">IFERROR(__xludf.DUMMYFUNCTION("IF
(
G14549=""фізична особа""
,
VLOOKUP(H14549,IMPORTRANGE(""https://docs.google.com/spreadsheets/d/14Bd19lYaqBhU8_DElYkX7l4wRkHqqCUFNJY4AfY3kHU/edit?usp=sharing  #gid=0"",""фіз особи new!relations_name""),6,FALSE)
,
(IF
(
G14549=""юридична особа""
,
VLOO"&amp;"KUP(H14549,IMPORTRANGE(""https://docs.google.com/spreadsheets/d/14Bd19lYaqBhU8_DElYkX7l4wRkHqqCUFNJY4AfY3kHU/edit?usp=sharing  #gid=0"",""фіз особи new!relations_name_uo""),7,FALSE)
,
)
))"),"#N/A")</f>
        <v>#N/A</v>
      </c>
      <c r="J14548" s="7" t="s">
        <v>23</v>
      </c>
    </row>
    <row r="14549" spans="1:10" ht="13.2">
      <c r="A14549" s="7">
        <v>14548</v>
      </c>
      <c r="B14549" s="7">
        <v>1</v>
      </c>
      <c r="C14549" s="7" t="s">
        <v>10</v>
      </c>
      <c r="D14549" s="7">
        <v>19370</v>
      </c>
      <c r="E14549" s="7" t="s">
        <v>23</v>
      </c>
      <c r="F14549" s="8" t="str">
        <f ca="1">IFERROR(__xludf.DUMMYFUNCTION("IF
(
C14550=""фізична особа""
,
VLOOKUP(D14550,IMPORTRANGE(""https://docs.google.com/spreadsheets/d/14Bd19lYaqBhU8_DElYkX7l4wRkHqqCUFNJY4AfY3kHU/edit?usp=sharing  #gid=0"",""фіз особи new!relations_name""),6,FALSE)
,
(IF
(
C14550=""юридична особа""
,
VLOO"&amp;"KUP(D14550,IMPORTRANGE(""https://docs.google.com/spreadsheets/d/14Bd19lYaqBhU8_DElYkX7l4wRkHqqCUFNJY4AfY3kHU/edit?usp=sharing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49" s="7" t="s">
        <v>10</v>
      </c>
      <c r="H14549" s="7">
        <v>23685</v>
      </c>
      <c r="I14549" s="8" t="str">
        <f ca="1">IFERROR(__xludf.DUMMYFUNCTION("IF
(
G14550=""фізична особа""
,
VLOOKUP(H14550,IMPORTRANGE(""https://docs.google.com/spreadsheets/d/14Bd19lYaqBhU8_DElYkX7l4wRkHqqCUFNJY4AfY3kHU/edit?usp=sharing  #gid=0"",""фіз особи new!relations_name""),6,FALSE)
,
(IF
(
G14550=""юридична особа""
,
VLOO"&amp;"KUP(H14550,IMPORTRANGE(""https://docs.google.com/spreadsheets/d/14Bd19lYaqBhU8_DElYkX7l4wRkHqqCUFNJY4AfY3kHU/edit?usp=sharing  #gid=0"",""фіз особи new!relations_name_uo""),7,FALSE)
,
)
))"),"НАГІНСЬКА Олена Григорівна")</f>
        <v>НАГІНСЬКА Олена Григорівна</v>
      </c>
      <c r="J14549" s="7" t="s">
        <v>23</v>
      </c>
    </row>
    <row r="14550" spans="1:10" ht="13.2">
      <c r="A14550" s="7">
        <v>14549</v>
      </c>
      <c r="B14550" s="7">
        <v>1</v>
      </c>
      <c r="C14550" s="7" t="s">
        <v>10</v>
      </c>
      <c r="D14550" s="7">
        <v>19370</v>
      </c>
      <c r="E14550" s="7" t="s">
        <v>23</v>
      </c>
      <c r="F14550" s="8" t="str">
        <f ca="1">IFERROR(__xludf.DUMMYFUNCTION("IF
(
C14551=""фізична особа""
,
VLOOKUP(D14551,IMPORTRANGE(""https://docs.google.com/spreadsheets/d/14Bd19lYaqBhU8_DElYkX7l4wRkHqqCUFNJY4AfY3kHU/edit?usp=sharing  #gid=0"",""фіз особи new!relations_name""),6,FALSE)
,
(IF
(
C14551=""юридична особа""
,
VLOO"&amp;"KUP(D14551,IMPORTRANGE(""https://docs.google.com/spreadsheets/d/14Bd19lYaqBhU8_DElYkX7l4wRkHqqCUFNJY4AfY3kHU/edit?usp=sharing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0" s="7" t="s">
        <v>10</v>
      </c>
      <c r="H14550" s="7">
        <v>23691</v>
      </c>
      <c r="I14550" s="8" t="str">
        <f ca="1">IFERROR(__xludf.DUMMYFUNCTION("IF
(
G14551=""фізична особа""
,
VLOOKUP(H14551,IMPORTRANGE(""https://docs.google.com/spreadsheets/d/14Bd19lYaqBhU8_DElYkX7l4wRkHqqCUFNJY4AfY3kHU/edit?usp=sharing  #gid=0"",""фіз особи new!relations_name""),6,FALSE)
,
(IF
(
G14551=""юридична особа""
,
VLOO"&amp;"KUP(H14551,IMPORTRANGE(""https://docs.google.com/spreadsheets/d/14Bd19lYaqBhU8_DElYkX7l4wRkHqqCUFNJY4AfY3kHU/edit?usp=sharing  #gid=0"",""фіз особи new!relations_name_uo""),7,FALSE)
,
)
))"),"КАРЕЛІНА Наталія Володимирівна")</f>
        <v>КАРЕЛІНА Наталія Володимирівна</v>
      </c>
      <c r="J14550" s="7" t="s">
        <v>23</v>
      </c>
    </row>
    <row r="14551" spans="1:10" ht="13.2">
      <c r="A14551" s="7">
        <v>14550</v>
      </c>
      <c r="B14551" s="7">
        <v>1</v>
      </c>
      <c r="C14551" s="7" t="s">
        <v>10</v>
      </c>
      <c r="D14551" s="7">
        <v>19370</v>
      </c>
      <c r="E14551" s="7" t="s">
        <v>23</v>
      </c>
      <c r="F14551" s="8" t="str">
        <f ca="1">IFERROR(__xludf.DUMMYFUNCTION("IF
(
C14552=""фізична особа""
,
VLOOKUP(D14552,IMPORTRANGE(""https://docs.google.com/spreadsheets/d/14Bd19lYaqBhU8_DElYkX7l4wRkHqqCUFNJY4AfY3kHU/edit?usp=sharing  #gid=0"",""фіз особи new!relations_name""),6,FALSE)
,
(IF
(
C14552=""юридична особа""
,
VLOO"&amp;"KUP(D14552,IMPORTRANGE(""https://docs.google.com/spreadsheets/d/14Bd19lYaqBhU8_DElYkX7l4wRkHqqCUFNJY4AfY3kHU/edit?usp=sharing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1" s="7" t="s">
        <v>10</v>
      </c>
      <c r="H14551" s="7">
        <v>23694</v>
      </c>
      <c r="I14551" s="8" t="str">
        <f ca="1">IFERROR(__xludf.DUMMYFUNCTION("IF
(
G14552=""фізична особа""
,
VLOOKUP(H14552,IMPORTRANGE(""https://docs.google.com/spreadsheets/d/14Bd19lYaqBhU8_DElYkX7l4wRkHqqCUFNJY4AfY3kHU/edit?usp=sharing  #gid=0"",""фіз особи new!relations_name""),6,FALSE)
,
(IF
(
G14552=""юридична особа""
,
VLOO"&amp;"KUP(H14552,IMPORTRANGE(""https://docs.google.com/spreadsheets/d/14Bd19lYaqBhU8_DElYkX7l4wRkHqqCUFNJY4AfY3kHU/edit?usp=sharing  #gid=0"",""фіз особи new!relations_name_uo""),7,FALSE)
,
)
))"),"ХМАРА Сергій Володимирович")</f>
        <v>ХМАРА Сергій Володимирович</v>
      </c>
      <c r="J14551" s="7" t="s">
        <v>23</v>
      </c>
    </row>
    <row r="14552" spans="1:10" ht="13.2">
      <c r="A14552" s="7">
        <v>14551</v>
      </c>
      <c r="B14552" s="7">
        <v>1</v>
      </c>
      <c r="C14552" s="7" t="s">
        <v>10</v>
      </c>
      <c r="D14552" s="7">
        <v>19370</v>
      </c>
      <c r="E14552" s="7" t="s">
        <v>23</v>
      </c>
      <c r="F14552" s="8" t="str">
        <f ca="1">IFERROR(__xludf.DUMMYFUNCTION("IF
(
C14553=""фізична особа""
,
VLOOKUP(D14553,IMPORTRANGE(""https://docs.google.com/spreadsheets/d/14Bd19lYaqBhU8_DElYkX7l4wRkHqqCUFNJY4AfY3kHU/edit?usp=sharing  #gid=0"",""фіз особи new!relations_name""),6,FALSE)
,
(IF
(
C14553=""юридична особа""
,
VLOO"&amp;"KUP(D14553,IMPORTRANGE(""https://docs.google.com/spreadsheets/d/14Bd19lYaqBhU8_DElYkX7l4wRkHqqCUFNJY4AfY3kHU/edit?usp=sharing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2" s="7" t="s">
        <v>10</v>
      </c>
      <c r="H14552" s="7">
        <v>23692</v>
      </c>
      <c r="I14552" s="8" t="str">
        <f ca="1">IFERROR(__xludf.DUMMYFUNCTION("IF
(
G14553=""фізична особа""
,
VLOOKUP(H14553,IMPORTRANGE(""https://docs.google.com/spreadsheets/d/14Bd19lYaqBhU8_DElYkX7l4wRkHqqCUFNJY4AfY3kHU/edit?usp=sharing  #gid=0"",""фіз особи new!relations_name""),6,FALSE)
,
(IF
(
G14553=""юридична особа""
,
VLOO"&amp;"KUP(H14553,IMPORTRANGE(""https://docs.google.com/spreadsheets/d/14Bd19lYaqBhU8_DElYkX7l4wRkHqqCUFNJY4AfY3kHU/edit?usp=sharing  #gid=0"",""фіз особи new!relations_name_uo""),7,FALSE)
,
)
))"),"КОНДРАШОВ Василь Павлович")</f>
        <v>КОНДРАШОВ Василь Павлович</v>
      </c>
      <c r="J14552" s="7" t="s">
        <v>23</v>
      </c>
    </row>
    <row r="14553" spans="1:10" ht="13.2">
      <c r="A14553" s="7">
        <v>14552</v>
      </c>
      <c r="B14553" s="7">
        <v>1</v>
      </c>
      <c r="C14553" s="7" t="s">
        <v>10</v>
      </c>
      <c r="D14553" s="7">
        <v>19370</v>
      </c>
      <c r="E14553" s="7" t="s">
        <v>23</v>
      </c>
      <c r="F14553" s="8" t="str">
        <f ca="1">IFERROR(__xludf.DUMMYFUNCTION("IF
(
C14554=""фізична особа""
,
VLOOKUP(D14554,IMPORTRANGE(""https://docs.google.com/spreadsheets/d/14Bd19lYaqBhU8_DElYkX7l4wRkHqqCUFNJY4AfY3kHU/edit?usp=sharing  #gid=0"",""фіз особи new!relations_name""),6,FALSE)
,
(IF
(
C14554=""юридична особа""
,
VLOO"&amp;"KUP(D14554,IMPORTRANGE(""https://docs.google.com/spreadsheets/d/14Bd19lYaqBhU8_DElYkX7l4wRkHqqCUFNJY4AfY3kHU/edit?usp=sharing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3" s="7" t="s">
        <v>10</v>
      </c>
      <c r="H14553" s="7">
        <v>23690</v>
      </c>
      <c r="I14553" s="8" t="str">
        <f ca="1">IFERROR(__xludf.DUMMYFUNCTION("IF
(
G14554=""фізична особа""
,
VLOOKUP(H14554,IMPORTRANGE(""https://docs.google.com/spreadsheets/d/14Bd19lYaqBhU8_DElYkX7l4wRkHqqCUFNJY4AfY3kHU/edit?usp=sharing  #gid=0"",""фіз особи new!relations_name""),6,FALSE)
,
(IF
(
G14554=""юридична особа""
,
VLOO"&amp;"KUP(H14554,IMPORTRANGE(""https://docs.google.com/spreadsheets/d/14Bd19lYaqBhU8_DElYkX7l4wRkHqqCUFNJY4AfY3kHU/edit?usp=sharing  #gid=0"",""фіз особи new!relations_name_uo""),7,FALSE)
,
)
))"),"НОВОЖИЛОВА Ольга Вадимівна")</f>
        <v>НОВОЖИЛОВА Ольга Вадимівна</v>
      </c>
      <c r="J14553" s="7" t="s">
        <v>23</v>
      </c>
    </row>
    <row r="14554" spans="1:10" ht="13.2">
      <c r="A14554" s="7">
        <v>14553</v>
      </c>
      <c r="B14554" s="7">
        <v>1</v>
      </c>
      <c r="C14554" s="7" t="s">
        <v>10</v>
      </c>
      <c r="D14554" s="7">
        <v>19370</v>
      </c>
      <c r="E14554" s="7" t="s">
        <v>23</v>
      </c>
      <c r="F14554" s="8" t="str">
        <f ca="1">IFERROR(__xludf.DUMMYFUNCTION("IF
(
C14555=""фізична особа""
,
VLOOKUP(D14555,IMPORTRANGE(""https://docs.google.com/spreadsheets/d/14Bd19lYaqBhU8_DElYkX7l4wRkHqqCUFNJY4AfY3kHU/edit?usp=sharing  #gid=0"",""фіз особи new!relations_name""),6,FALSE)
,
(IF
(
C14555=""юридична особа""
,
VLOO"&amp;"KUP(D14555,IMPORTRANGE(""https://docs.google.com/spreadsheets/d/14Bd19lYaqBhU8_DElYkX7l4wRkHqqCUFNJY4AfY3kHU/edit?usp=sharing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4" s="7" t="s">
        <v>10</v>
      </c>
      <c r="H14554" s="7">
        <v>23693</v>
      </c>
      <c r="I14554" s="8" t="str">
        <f ca="1">IFERROR(__xludf.DUMMYFUNCTION("IF
(
G14555=""фізична особа""
,
VLOOKUP(H14555,IMPORTRANGE(""https://docs.google.com/spreadsheets/d/14Bd19lYaqBhU8_DElYkX7l4wRkHqqCUFNJY4AfY3kHU/edit?usp=sharing  #gid=0"",""фіз особи new!relations_name""),6,FALSE)
,
(IF
(
G14555=""юридична особа""
,
VLOO"&amp;"KUP(H14555,IMPORTRANGE(""https://docs.google.com/spreadsheets/d/14Bd19lYaqBhU8_DElYkX7l4wRkHqqCUFNJY4AfY3kHU/edit?usp=sharing  #gid=0"",""фіз особи new!relations_name_uo""),7,FALSE)
,
)
))"),"МАКОВКІНА Євгенія Володимирівна")</f>
        <v>МАКОВКІНА Євгенія Володимирівна</v>
      </c>
      <c r="J14554" s="7" t="s">
        <v>23</v>
      </c>
    </row>
    <row r="14555" spans="1:10" ht="13.2">
      <c r="A14555" s="7">
        <v>14554</v>
      </c>
      <c r="B14555" s="7">
        <v>1</v>
      </c>
      <c r="C14555" s="7" t="s">
        <v>10</v>
      </c>
      <c r="D14555" s="7">
        <v>19370</v>
      </c>
      <c r="E14555" s="7" t="s">
        <v>23</v>
      </c>
      <c r="F14555" s="8" t="str">
        <f ca="1">IFERROR(__xludf.DUMMYFUNCTION("IF
(
C14556=""фізична особа""
,
VLOOKUP(D14556,IMPORTRANGE(""https://docs.google.com/spreadsheets/d/14Bd19lYaqBhU8_DElYkX7l4wRkHqqCUFNJY4AfY3kHU/edit?usp=sharing  #gid=0"",""фіз особи new!relations_name""),6,FALSE)
,
(IF
(
C14556=""юридична особа""
,
VLOO"&amp;"KUP(D14556,IMPORTRANGE(""https://docs.google.com/spreadsheets/d/14Bd19lYaqBhU8_DElYkX7l4wRkHqqCUFNJY4AfY3kHU/edit?usp=sharing  #gid=0"",""фіз особи new!relations_name_uo""),7,FALSE)
,
)
))"),"СОЛОВЙОВА Людмила Анатоліївна")</f>
        <v>СОЛОВЙОВА Людмила Анатоліївна</v>
      </c>
      <c r="G14555" s="7" t="s">
        <v>10</v>
      </c>
      <c r="H14555" s="7">
        <v>23701</v>
      </c>
      <c r="I14555" s="8" t="str">
        <f ca="1">IFERROR(__xludf.DUMMYFUNCTION("IF
(
G14556=""фізична особа""
,
VLOOKUP(H14556,IMPORTRANGE(""https://docs.google.com/spreadsheets/d/14Bd19lYaqBhU8_DElYkX7l4wRkHqqCUFNJY4AfY3kHU/edit?usp=sharing  #gid=0"",""фіз особи new!relations_name""),6,FALSE)
,
(IF
(
G14556=""юридична особа""
,
VLOO"&amp;"KUP(H14556,IMPORTRANGE(""https://docs.google.com/spreadsheets/d/14Bd19lYaqBhU8_DElYkX7l4wRkHqqCUFNJY4AfY3kHU/edit?usp=sharing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555" s="7" t="s">
        <v>23</v>
      </c>
    </row>
    <row r="14556" spans="1:10" ht="13.2">
      <c r="A14556" s="7">
        <v>14555</v>
      </c>
      <c r="B14556" s="7">
        <v>1</v>
      </c>
      <c r="C14556" s="7" t="s">
        <v>10</v>
      </c>
      <c r="D14556" s="7">
        <v>19371</v>
      </c>
      <c r="E14556" s="7" t="s">
        <v>23</v>
      </c>
      <c r="F14556" s="8" t="str">
        <f ca="1">IFERROR(__xludf.DUMMYFUNCTION("IF
(
C14557=""фізична особа""
,
VLOOKUP(D14557,IMPORTRANGE(""https://docs.google.com/spreadsheets/d/14Bd19lYaqBhU8_DElYkX7l4wRkHqqCUFNJY4AfY3kHU/edit?usp=sharing  #gid=0"",""фіз особи new!relations_name""),6,FALSE)
,
(IF
(
C14557=""юридична особа""
,
VLOO"&amp;"KUP(D14557,IMPORTRANGE(""https://docs.google.com/spreadsheets/d/14Bd19lYaqBhU8_DElYkX7l4wRkHqqCUFNJY4AfY3kHU/edit?usp=sharing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56" s="7" t="s">
        <v>10</v>
      </c>
      <c r="H14556" s="7">
        <v>0</v>
      </c>
      <c r="I14556" s="8" t="str">
        <f ca="1">IFERROR(__xludf.DUMMYFUNCTION("IF
(
G14557=""фізична особа""
,
VLOOKUP(H14557,IMPORTRANGE(""https://docs.google.com/spreadsheets/d/14Bd19lYaqBhU8_DElYkX7l4wRkHqqCUFNJY4AfY3kHU/edit?usp=sharing  #gid=0"",""фіз особи new!relations_name""),6,FALSE)
,
(IF
(
G14557=""юридична особа""
,
VLOO"&amp;"KUP(H14557,IMPORTRANGE(""https://docs.google.com/spreadsheets/d/14Bd19lYaqBhU8_DElYkX7l4wRkHqqCUFNJY4AfY3kHU/edit?usp=sharing  #gid=0"",""фіз особи new!relations_name_uo""),7,FALSE)
,
)
))"),"#N/A")</f>
        <v>#N/A</v>
      </c>
      <c r="J14556" s="7" t="s">
        <v>23</v>
      </c>
    </row>
    <row r="14557" spans="1:10" ht="13.2">
      <c r="A14557" s="7">
        <v>14556</v>
      </c>
      <c r="B14557" s="7">
        <v>1</v>
      </c>
      <c r="C14557" s="7" t="s">
        <v>10</v>
      </c>
      <c r="D14557" s="7">
        <v>19371</v>
      </c>
      <c r="E14557" s="7" t="s">
        <v>23</v>
      </c>
      <c r="F14557" s="8" t="str">
        <f ca="1">IFERROR(__xludf.DUMMYFUNCTION("IF
(
C14558=""фізична особа""
,
VLOOKUP(D14558,IMPORTRANGE(""https://docs.google.com/spreadsheets/d/14Bd19lYaqBhU8_DElYkX7l4wRkHqqCUFNJY4AfY3kHU/edit?usp=sharing  #gid=0"",""фіз особи new!relations_name""),6,FALSE)
,
(IF
(
C14558=""юридична особа""
,
VLOO"&amp;"KUP(D14558,IMPORTRANGE(""https://docs.google.com/spreadsheets/d/14Bd19lYaqBhU8_DElYkX7l4wRkHqqCUFNJY4AfY3kHU/edit?usp=sharing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57" s="7" t="s">
        <v>10</v>
      </c>
      <c r="H14557" s="7">
        <v>0</v>
      </c>
      <c r="I14557" s="8" t="str">
        <f ca="1">IFERROR(__xludf.DUMMYFUNCTION("IF
(
G14558=""фізична особа""
,
VLOOKUP(H14558,IMPORTRANGE(""https://docs.google.com/spreadsheets/d/14Bd19lYaqBhU8_DElYkX7l4wRkHqqCUFNJY4AfY3kHU/edit?usp=sharing  #gid=0"",""фіз особи new!relations_name""),6,FALSE)
,
(IF
(
G14558=""юридична особа""
,
VLOO"&amp;"KUP(H14558,IMPORTRANGE(""https://docs.google.com/spreadsheets/d/14Bd19lYaqBhU8_DElYkX7l4wRkHqqCUFNJY4AfY3kHU/edit?usp=sharing  #gid=0"",""фіз особи new!relations_name_uo""),7,FALSE)
,
)
))"),"#N/A")</f>
        <v>#N/A</v>
      </c>
      <c r="J14557" s="7" t="s">
        <v>23</v>
      </c>
    </row>
    <row r="14558" spans="1:10" ht="13.2">
      <c r="A14558" s="7">
        <v>14557</v>
      </c>
      <c r="B14558" s="7">
        <v>1</v>
      </c>
      <c r="C14558" s="7" t="s">
        <v>10</v>
      </c>
      <c r="D14558" s="7">
        <v>19371</v>
      </c>
      <c r="E14558" s="7" t="s">
        <v>23</v>
      </c>
      <c r="F14558" s="8" t="str">
        <f ca="1">IFERROR(__xludf.DUMMYFUNCTION("IF
(
C14559=""фізична особа""
,
VLOOKUP(D14559,IMPORTRANGE(""https://docs.google.com/spreadsheets/d/14Bd19lYaqBhU8_DElYkX7l4wRkHqqCUFNJY4AfY3kHU/edit?usp=sharing  #gid=0"",""фіз особи new!relations_name""),6,FALSE)
,
(IF
(
C14559=""юридична особа""
,
VLOO"&amp;"KUP(D14559,IMPORTRANGE(""https://docs.google.com/spreadsheets/d/14Bd19lYaqBhU8_DElYkX7l4wRkHqqCUFNJY4AfY3kHU/edit?usp=sharing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58" s="7" t="s">
        <v>10</v>
      </c>
      <c r="H14558" s="7">
        <v>19466</v>
      </c>
      <c r="I14558" s="8" t="str">
        <f ca="1">IFERROR(__xludf.DUMMYFUNCTION("IF
(
G14559=""фізична особа""
,
VLOOKUP(H14559,IMPORTRANGE(""https://docs.google.com/spreadsheets/d/14Bd19lYaqBhU8_DElYkX7l4wRkHqqCUFNJY4AfY3kHU/edit?usp=sharing  #gid=0"",""фіз особи new!relations_name""),6,FALSE)
,
(IF
(
G14559=""юридична особа""
,
VLOO"&amp;"KUP(H14559,IMPORTRANGE(""https://docs.google.com/spreadsheets/d/14Bd19lYaqBhU8_DElYkX7l4wRkHqqCUFNJY4AfY3kHU/edit?usp=sharing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558" s="7" t="s">
        <v>23</v>
      </c>
    </row>
    <row r="14559" spans="1:10" ht="13.2">
      <c r="A14559" s="7">
        <v>14558</v>
      </c>
      <c r="B14559" s="7">
        <v>1</v>
      </c>
      <c r="C14559" s="7" t="s">
        <v>10</v>
      </c>
      <c r="D14559" s="7">
        <v>19371</v>
      </c>
      <c r="E14559" s="7" t="s">
        <v>23</v>
      </c>
      <c r="F14559" s="8" t="str">
        <f ca="1">IFERROR(__xludf.DUMMYFUNCTION("IF
(
C14560=""фізична особа""
,
VLOOKUP(D14560,IMPORTRANGE(""https://docs.google.com/spreadsheets/d/14Bd19lYaqBhU8_DElYkX7l4wRkHqqCUFNJY4AfY3kHU/edit?usp=sharing  #gid=0"",""фіз особи new!relations_name""),6,FALSE)
,
(IF
(
C14560=""юридична особа""
,
VLOO"&amp;"KUP(D14560,IMPORTRANGE(""https://docs.google.com/spreadsheets/d/14Bd19lYaqBhU8_DElYkX7l4wRkHqqCUFNJY4AfY3kHU/edit?usp=sharing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59" s="7" t="s">
        <v>10</v>
      </c>
      <c r="H14559" s="7">
        <v>19467</v>
      </c>
      <c r="I14559" s="8" t="str">
        <f ca="1">IFERROR(__xludf.DUMMYFUNCTION("IF
(
G14560=""фізична особа""
,
VLOOKUP(H14560,IMPORTRANGE(""https://docs.google.com/spreadsheets/d/14Bd19lYaqBhU8_DElYkX7l4wRkHqqCUFNJY4AfY3kHU/edit?usp=sharing  #gid=0"",""фіз особи new!relations_name""),6,FALSE)
,
(IF
(
G14560=""юридична особа""
,
VLOO"&amp;"KUP(H14560,IMPORTRANGE(""https://docs.google.com/spreadsheets/d/14Bd19lYaqBhU8_DElYkX7l4wRkHqqCUFNJY4AfY3kHU/edit?usp=sharing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559" s="7" t="s">
        <v>23</v>
      </c>
    </row>
    <row r="14560" spans="1:10" ht="13.2">
      <c r="A14560" s="7">
        <v>14559</v>
      </c>
      <c r="B14560" s="7">
        <v>1</v>
      </c>
      <c r="C14560" s="7" t="s">
        <v>10</v>
      </c>
      <c r="D14560" s="7">
        <v>19371</v>
      </c>
      <c r="E14560" s="7" t="s">
        <v>23</v>
      </c>
      <c r="F14560" s="8" t="str">
        <f ca="1">IFERROR(__xludf.DUMMYFUNCTION("IF
(
C14561=""фізична особа""
,
VLOOKUP(D14561,IMPORTRANGE(""https://docs.google.com/spreadsheets/d/14Bd19lYaqBhU8_DElYkX7l4wRkHqqCUFNJY4AfY3kHU/edit?usp=sharing  #gid=0"",""фіз особи new!relations_name""),6,FALSE)
,
(IF
(
C14561=""юридична особа""
,
VLOO"&amp;"KUP(D14561,IMPORTRANGE(""https://docs.google.com/spreadsheets/d/14Bd19lYaqBhU8_DElYkX7l4wRkHqqCUFNJY4AfY3kHU/edit?usp=sharing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0" s="7" t="s">
        <v>10</v>
      </c>
      <c r="H14560" s="7">
        <v>19364</v>
      </c>
      <c r="I14560" s="8" t="str">
        <f ca="1">IFERROR(__xludf.DUMMYFUNCTION("IF
(
G14561=""фізична особа""
,
VLOOKUP(H14561,IMPORTRANGE(""https://docs.google.com/spreadsheets/d/14Bd19lYaqBhU8_DElYkX7l4wRkHqqCUFNJY4AfY3kHU/edit?usp=sharing  #gid=0"",""фіз особи new!relations_name""),6,FALSE)
,
(IF
(
G14561=""юридична особа""
,
VLOO"&amp;"KUP(H14561,IMPORTRANGE(""https://docs.google.com/spreadsheets/d/14Bd19lYaqBhU8_DElYkX7l4wRkHqqCUFNJY4AfY3kHU/edit?usp=sharing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560" s="7" t="s">
        <v>23</v>
      </c>
    </row>
    <row r="14561" spans="1:10" ht="13.2">
      <c r="A14561" s="7">
        <v>14560</v>
      </c>
      <c r="B14561" s="7">
        <v>1</v>
      </c>
      <c r="C14561" s="7" t="s">
        <v>10</v>
      </c>
      <c r="D14561" s="7">
        <v>19371</v>
      </c>
      <c r="E14561" s="7" t="s">
        <v>23</v>
      </c>
      <c r="F14561" s="8" t="str">
        <f ca="1">IFERROR(__xludf.DUMMYFUNCTION("IF
(
C14562=""фізична особа""
,
VLOOKUP(D14562,IMPORTRANGE(""https://docs.google.com/spreadsheets/d/14Bd19lYaqBhU8_DElYkX7l4wRkHqqCUFNJY4AfY3kHU/edit?usp=sharing  #gid=0"",""фіз особи new!relations_name""),6,FALSE)
,
(IF
(
C14562=""юридична особа""
,
VLOO"&amp;"KUP(D14562,IMPORTRANGE(""https://docs.google.com/spreadsheets/d/14Bd19lYaqBhU8_DElYkX7l4wRkHqqCUFNJY4AfY3kHU/edit?usp=sharing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1" s="7" t="s">
        <v>10</v>
      </c>
      <c r="H14561" s="7">
        <v>19368</v>
      </c>
      <c r="I14561" s="8" t="str">
        <f ca="1">IFERROR(__xludf.DUMMYFUNCTION("IF
(
G14562=""фізична особа""
,
VLOOKUP(H14562,IMPORTRANGE(""https://docs.google.com/spreadsheets/d/14Bd19lYaqBhU8_DElYkX7l4wRkHqqCUFNJY4AfY3kHU/edit?usp=sharing  #gid=0"",""фіз особи new!relations_name""),6,FALSE)
,
(IF
(
G14562=""юридична особа""
,
VLOO"&amp;"KUP(H14562,IMPORTRANGE(""https://docs.google.com/spreadsheets/d/14Bd19lYaqBhU8_DElYkX7l4wRkHqqCUFNJY4AfY3kHU/edit?usp=sharing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561" s="7" t="s">
        <v>23</v>
      </c>
    </row>
    <row r="14562" spans="1:10" ht="13.2">
      <c r="A14562" s="7">
        <v>14561</v>
      </c>
      <c r="B14562" s="7">
        <v>1</v>
      </c>
      <c r="C14562" s="7" t="s">
        <v>10</v>
      </c>
      <c r="D14562" s="7">
        <v>19371</v>
      </c>
      <c r="E14562" s="7" t="s">
        <v>23</v>
      </c>
      <c r="F14562" s="8" t="str">
        <f ca="1">IFERROR(__xludf.DUMMYFUNCTION("IF
(
C14563=""фізична особа""
,
VLOOKUP(D14563,IMPORTRANGE(""https://docs.google.com/spreadsheets/d/14Bd19lYaqBhU8_DElYkX7l4wRkHqqCUFNJY4AfY3kHU/edit?usp=sharing  #gid=0"",""фіз особи new!relations_name""),6,FALSE)
,
(IF
(
C14563=""юридична особа""
,
VLOO"&amp;"KUP(D14563,IMPORTRANGE(""https://docs.google.com/spreadsheets/d/14Bd19lYaqBhU8_DElYkX7l4wRkHqqCUFNJY4AfY3kHU/edit?usp=sharing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2" s="7" t="s">
        <v>10</v>
      </c>
      <c r="H14562" s="7">
        <v>19474</v>
      </c>
      <c r="I14562" s="8" t="str">
        <f ca="1">IFERROR(__xludf.DUMMYFUNCTION("IF
(
G14563=""фізична особа""
,
VLOOKUP(H14563,IMPORTRANGE(""https://docs.google.com/spreadsheets/d/14Bd19lYaqBhU8_DElYkX7l4wRkHqqCUFNJY4AfY3kHU/edit?usp=sharing  #gid=0"",""фіз особи new!relations_name""),6,FALSE)
,
(IF
(
G14563=""юридична особа""
,
VLOO"&amp;"KUP(H14563,IMPORTRANGE(""https://docs.google.com/spreadsheets/d/14Bd19lYaqBhU8_DElYkX7l4wRkHqqCUFNJY4AfY3kHU/edit?usp=sharing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562" s="7" t="s">
        <v>23</v>
      </c>
    </row>
    <row r="14563" spans="1:10" ht="13.2">
      <c r="A14563" s="7">
        <v>14562</v>
      </c>
      <c r="B14563" s="7">
        <v>1</v>
      </c>
      <c r="C14563" s="7" t="s">
        <v>10</v>
      </c>
      <c r="D14563" s="7">
        <v>19371</v>
      </c>
      <c r="E14563" s="7" t="s">
        <v>23</v>
      </c>
      <c r="F14563" s="8" t="str">
        <f ca="1">IFERROR(__xludf.DUMMYFUNCTION("IF
(
C14564=""фізична особа""
,
VLOOKUP(D14564,IMPORTRANGE(""https://docs.google.com/spreadsheets/d/14Bd19lYaqBhU8_DElYkX7l4wRkHqqCUFNJY4AfY3kHU/edit?usp=sharing  #gid=0"",""фіз особи new!relations_name""),6,FALSE)
,
(IF
(
C14564=""юридична особа""
,
VLOO"&amp;"KUP(D14564,IMPORTRANGE(""https://docs.google.com/spreadsheets/d/14Bd19lYaqBhU8_DElYkX7l4wRkHqqCUFNJY4AfY3kHU/edit?usp=sharing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3" s="7" t="s">
        <v>10</v>
      </c>
      <c r="H14563" s="7">
        <v>19367</v>
      </c>
      <c r="I14563" s="8" t="str">
        <f ca="1">IFERROR(__xludf.DUMMYFUNCTION("IF
(
G14564=""фізична особа""
,
VLOOKUP(H14564,IMPORTRANGE(""https://docs.google.com/spreadsheets/d/14Bd19lYaqBhU8_DElYkX7l4wRkHqqCUFNJY4AfY3kHU/edit?usp=sharing  #gid=0"",""фіз особи new!relations_name""),6,FALSE)
,
(IF
(
G14564=""юридична особа""
,
VLOO"&amp;"KUP(H14564,IMPORTRANGE(""https://docs.google.com/spreadsheets/d/14Bd19lYaqBhU8_DElYkX7l4wRkHqqCUFNJY4AfY3kHU/edit?usp=sharing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563" s="7" t="s">
        <v>23</v>
      </c>
    </row>
    <row r="14564" spans="1:10" ht="13.2">
      <c r="A14564" s="7">
        <v>14563</v>
      </c>
      <c r="B14564" s="7">
        <v>1</v>
      </c>
      <c r="C14564" s="7" t="s">
        <v>10</v>
      </c>
      <c r="D14564" s="7">
        <v>19371</v>
      </c>
      <c r="E14564" s="7" t="s">
        <v>23</v>
      </c>
      <c r="F14564" s="8" t="str">
        <f ca="1">IFERROR(__xludf.DUMMYFUNCTION("IF
(
C14565=""фізична особа""
,
VLOOKUP(D14565,IMPORTRANGE(""https://docs.google.com/spreadsheets/d/14Bd19lYaqBhU8_DElYkX7l4wRkHqqCUFNJY4AfY3kHU/edit?usp=sharing  #gid=0"",""фіз особи new!relations_name""),6,FALSE)
,
(IF
(
C14565=""юридична особа""
,
VLOO"&amp;"KUP(D14565,IMPORTRANGE(""https://docs.google.com/spreadsheets/d/14Bd19lYaqBhU8_DElYkX7l4wRkHqqCUFNJY4AfY3kHU/edit?usp=sharing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4" s="7" t="s">
        <v>10</v>
      </c>
      <c r="H14564" s="7">
        <v>19365</v>
      </c>
      <c r="I14564" s="8" t="str">
        <f ca="1">IFERROR(__xludf.DUMMYFUNCTION("IF
(
G14565=""фізична особа""
,
VLOOKUP(H14565,IMPORTRANGE(""https://docs.google.com/spreadsheets/d/14Bd19lYaqBhU8_DElYkX7l4wRkHqqCUFNJY4AfY3kHU/edit?usp=sharing  #gid=0"",""фіз особи new!relations_name""),6,FALSE)
,
(IF
(
G14565=""юридична особа""
,
VLOO"&amp;"KUP(H14565,IMPORTRANGE(""https://docs.google.com/spreadsheets/d/14Bd19lYaqBhU8_DElYkX7l4wRkHqqCUFNJY4AfY3kHU/edit?usp=sharing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564" s="7" t="s">
        <v>23</v>
      </c>
    </row>
    <row r="14565" spans="1:10" ht="13.2">
      <c r="A14565" s="7">
        <v>14564</v>
      </c>
      <c r="B14565" s="7">
        <v>1</v>
      </c>
      <c r="C14565" s="7" t="s">
        <v>10</v>
      </c>
      <c r="D14565" s="7">
        <v>19371</v>
      </c>
      <c r="E14565" s="7" t="s">
        <v>23</v>
      </c>
      <c r="F14565" s="8" t="str">
        <f ca="1">IFERROR(__xludf.DUMMYFUNCTION("IF
(
C14566=""фізична особа""
,
VLOOKUP(D14566,IMPORTRANGE(""https://docs.google.com/spreadsheets/d/14Bd19lYaqBhU8_DElYkX7l4wRkHqqCUFNJY4AfY3kHU/edit?usp=sharing  #gid=0"",""фіз особи new!relations_name""),6,FALSE)
,
(IF
(
C14566=""юридична особа""
,
VLOO"&amp;"KUP(D14566,IMPORTRANGE(""https://docs.google.com/spreadsheets/d/14Bd19lYaqBhU8_DElYkX7l4wRkHqqCUFNJY4AfY3kHU/edit?usp=sharing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5" s="7" t="s">
        <v>10</v>
      </c>
      <c r="H14565" s="7">
        <v>19468</v>
      </c>
      <c r="I14565" s="8" t="str">
        <f ca="1">IFERROR(__xludf.DUMMYFUNCTION("IF
(
G14566=""фізична особа""
,
VLOOKUP(H14566,IMPORTRANGE(""https://docs.google.com/spreadsheets/d/14Bd19lYaqBhU8_DElYkX7l4wRkHqqCUFNJY4AfY3kHU/edit?usp=sharing  #gid=0"",""фіз особи new!relations_name""),6,FALSE)
,
(IF
(
G14566=""юридична особа""
,
VLOO"&amp;"KUP(H14566,IMPORTRANGE(""https://docs.google.com/spreadsheets/d/14Bd19lYaqBhU8_DElYkX7l4wRkHqqCUFNJY4AfY3kHU/edit?usp=sharing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565" s="7" t="s">
        <v>23</v>
      </c>
    </row>
    <row r="14566" spans="1:10" ht="13.2">
      <c r="A14566" s="7">
        <v>14565</v>
      </c>
      <c r="B14566" s="7">
        <v>1</v>
      </c>
      <c r="C14566" s="7" t="s">
        <v>10</v>
      </c>
      <c r="D14566" s="7">
        <v>19371</v>
      </c>
      <c r="E14566" s="7" t="s">
        <v>23</v>
      </c>
      <c r="F14566" s="8" t="str">
        <f ca="1">IFERROR(__xludf.DUMMYFUNCTION("IF
(
C14567=""фізична особа""
,
VLOOKUP(D14567,IMPORTRANGE(""https://docs.google.com/spreadsheets/d/14Bd19lYaqBhU8_DElYkX7l4wRkHqqCUFNJY4AfY3kHU/edit?usp=sharing  #gid=0"",""фіз особи new!relations_name""),6,FALSE)
,
(IF
(
C14567=""юридична особа""
,
VLOO"&amp;"KUP(D14567,IMPORTRANGE(""https://docs.google.com/spreadsheets/d/14Bd19lYaqBhU8_DElYkX7l4wRkHqqCUFNJY4AfY3kHU/edit?usp=sharing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6" s="7" t="s">
        <v>10</v>
      </c>
      <c r="H14566" s="7">
        <v>19470</v>
      </c>
      <c r="I14566" s="8" t="str">
        <f ca="1">IFERROR(__xludf.DUMMYFUNCTION("IF
(
G14567=""фізична особа""
,
VLOOKUP(H14567,IMPORTRANGE(""https://docs.google.com/spreadsheets/d/14Bd19lYaqBhU8_DElYkX7l4wRkHqqCUFNJY4AfY3kHU/edit?usp=sharing  #gid=0"",""фіз особи new!relations_name""),6,FALSE)
,
(IF
(
G14567=""юридична особа""
,
VLOO"&amp;"KUP(H14567,IMPORTRANGE(""https://docs.google.com/spreadsheets/d/14Bd19lYaqBhU8_DElYkX7l4wRkHqqCUFNJY4AfY3kHU/edit?usp=sharing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566" s="7" t="s">
        <v>23</v>
      </c>
    </row>
    <row r="14567" spans="1:10" ht="13.2">
      <c r="A14567" s="7">
        <v>14566</v>
      </c>
      <c r="B14567" s="7">
        <v>1</v>
      </c>
      <c r="C14567" s="7" t="s">
        <v>10</v>
      </c>
      <c r="D14567" s="7">
        <v>19371</v>
      </c>
      <c r="E14567" s="7" t="s">
        <v>23</v>
      </c>
      <c r="F14567" s="8" t="str">
        <f ca="1">IFERROR(__xludf.DUMMYFUNCTION("IF
(
C14568=""фізична особа""
,
VLOOKUP(D14568,IMPORTRANGE(""https://docs.google.com/spreadsheets/d/14Bd19lYaqBhU8_DElYkX7l4wRkHqqCUFNJY4AfY3kHU/edit?usp=sharing  #gid=0"",""фіз особи new!relations_name""),6,FALSE)
,
(IF
(
C14568=""юридична особа""
,
VLOO"&amp;"KUP(D14568,IMPORTRANGE(""https://docs.google.com/spreadsheets/d/14Bd19lYaqBhU8_DElYkX7l4wRkHqqCUFNJY4AfY3kHU/edit?usp=sharing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7" s="7" t="s">
        <v>10</v>
      </c>
      <c r="H14567" s="7">
        <v>19469</v>
      </c>
      <c r="I14567" s="8" t="str">
        <f ca="1">IFERROR(__xludf.DUMMYFUNCTION("IF
(
G14568=""фізична особа""
,
VLOOKUP(H14568,IMPORTRANGE(""https://docs.google.com/spreadsheets/d/14Bd19lYaqBhU8_DElYkX7l4wRkHqqCUFNJY4AfY3kHU/edit?usp=sharing  #gid=0"",""фіз особи new!relations_name""),6,FALSE)
,
(IF
(
G14568=""юридична особа""
,
VLOO"&amp;"KUP(H14568,IMPORTRANGE(""https://docs.google.com/spreadsheets/d/14Bd19lYaqBhU8_DElYkX7l4wRkHqqCUFNJY4AfY3kHU/edit?usp=sharing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567" s="7" t="s">
        <v>23</v>
      </c>
    </row>
    <row r="14568" spans="1:10" ht="13.2">
      <c r="A14568" s="7">
        <v>14567</v>
      </c>
      <c r="B14568" s="7">
        <v>1</v>
      </c>
      <c r="C14568" s="7" t="s">
        <v>10</v>
      </c>
      <c r="D14568" s="7">
        <v>19371</v>
      </c>
      <c r="E14568" s="7" t="s">
        <v>23</v>
      </c>
      <c r="F14568" s="8" t="str">
        <f ca="1">IFERROR(__xludf.DUMMYFUNCTION("IF
(
C14569=""фізична особа""
,
VLOOKUP(D14569,IMPORTRANGE(""https://docs.google.com/spreadsheets/d/14Bd19lYaqBhU8_DElYkX7l4wRkHqqCUFNJY4AfY3kHU/edit?usp=sharing  #gid=0"",""фіз особи new!relations_name""),6,FALSE)
,
(IF
(
C14569=""юридична особа""
,
VLOO"&amp;"KUP(D14569,IMPORTRANGE(""https://docs.google.com/spreadsheets/d/14Bd19lYaqBhU8_DElYkX7l4wRkHqqCUFNJY4AfY3kHU/edit?usp=sharing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G14568" s="7" t="s">
        <v>10</v>
      </c>
      <c r="H14568" s="7">
        <v>23701</v>
      </c>
      <c r="I14568" s="8" t="str">
        <f ca="1">IFERROR(__xludf.DUMMYFUNCTION("IF
(
G14569=""фізична особа""
,
VLOOKUP(H14569,IMPORTRANGE(""https://docs.google.com/spreadsheets/d/14Bd19lYaqBhU8_DElYkX7l4wRkHqqCUFNJY4AfY3kHU/edit?usp=sharing  #gid=0"",""фіз особи new!relations_name""),6,FALSE)
,
(IF
(
G14569=""юридична особа""
,
VLOO"&amp;"KUP(H14569,IMPORTRANGE(""https://docs.google.com/spreadsheets/d/14Bd19lYaqBhU8_DElYkX7l4wRkHqqCUFNJY4AfY3kHU/edit?usp=sharing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568" s="7" t="s">
        <v>23</v>
      </c>
    </row>
    <row r="14569" spans="1:10" ht="13.2">
      <c r="A14569" s="7">
        <v>14568</v>
      </c>
      <c r="B14569" s="7">
        <v>1</v>
      </c>
      <c r="C14569" s="7" t="s">
        <v>10</v>
      </c>
      <c r="D14569" s="7">
        <v>19466</v>
      </c>
      <c r="E14569" s="7" t="s">
        <v>23</v>
      </c>
      <c r="F14569" s="8" t="str">
        <f ca="1">IFERROR(__xludf.DUMMYFUNCTION("IF
(
C14570=""фізична особа""
,
VLOOKUP(D14570,IMPORTRANGE(""https://docs.google.com/spreadsheets/d/14Bd19lYaqBhU8_DElYkX7l4wRkHqqCUFNJY4AfY3kHU/edit?usp=sharing  #gid=0"",""фіз особи new!relations_name""),6,FALSE)
,
(IF
(
C14570=""юридична особа""
,
VLOO"&amp;"KUP(D14570,IMPORTRANGE(""https://docs.google.com/spreadsheets/d/14Bd19lYaqBhU8_DElYkX7l4wRkHqqCUFNJY4AfY3kHU/edit?usp=sharing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69" s="7" t="s">
        <v>10</v>
      </c>
      <c r="H14569" s="7">
        <v>19468</v>
      </c>
      <c r="I14569" s="8" t="str">
        <f ca="1">IFERROR(__xludf.DUMMYFUNCTION("IF
(
G14570=""фізична особа""
,
VLOOKUP(H14570,IMPORTRANGE(""https://docs.google.com/spreadsheets/d/14Bd19lYaqBhU8_DElYkX7l4wRkHqqCUFNJY4AfY3kHU/edit?usp=sharing  #gid=0"",""фіз особи new!relations_name""),6,FALSE)
,
(IF
(
G14570=""юридична особа""
,
VLOO"&amp;"KUP(H14570,IMPORTRANGE(""https://docs.google.com/spreadsheets/d/14Bd19lYaqBhU8_DElYkX7l4wRkHqqCUFNJY4AfY3kHU/edit?usp=sharing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569" s="7" t="s">
        <v>23</v>
      </c>
    </row>
    <row r="14570" spans="1:10" ht="13.2">
      <c r="A14570" s="7">
        <v>14569</v>
      </c>
      <c r="B14570" s="7">
        <v>1</v>
      </c>
      <c r="C14570" s="7" t="s">
        <v>10</v>
      </c>
      <c r="D14570" s="7">
        <v>19466</v>
      </c>
      <c r="E14570" s="7" t="s">
        <v>23</v>
      </c>
      <c r="F14570" s="8" t="str">
        <f ca="1">IFERROR(__xludf.DUMMYFUNCTION("IF
(
C14571=""фізична особа""
,
VLOOKUP(D14571,IMPORTRANGE(""https://docs.google.com/spreadsheets/d/14Bd19lYaqBhU8_DElYkX7l4wRkHqqCUFNJY4AfY3kHU/edit?usp=sharing  #gid=0"",""фіз особи new!relations_name""),6,FALSE)
,
(IF
(
C14571=""юридична особа""
,
VLOO"&amp;"KUP(D14571,IMPORTRANGE(""https://docs.google.com/spreadsheets/d/14Bd19lYaqBhU8_DElYkX7l4wRkHqqCUFNJY4AfY3kHU/edit?usp=sharing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0" s="7" t="s">
        <v>10</v>
      </c>
      <c r="H14570" s="7">
        <v>19467</v>
      </c>
      <c r="I14570" s="8" t="str">
        <f ca="1">IFERROR(__xludf.DUMMYFUNCTION("IF
(
G14571=""фізична особа""
,
VLOOKUP(H14571,IMPORTRANGE(""https://docs.google.com/spreadsheets/d/14Bd19lYaqBhU8_DElYkX7l4wRkHqqCUFNJY4AfY3kHU/edit?usp=sharing  #gid=0"",""фіз особи new!relations_name""),6,FALSE)
,
(IF
(
G14571=""юридична особа""
,
VLOO"&amp;"KUP(H14571,IMPORTRANGE(""https://docs.google.com/spreadsheets/d/14Bd19lYaqBhU8_DElYkX7l4wRkHqqCUFNJY4AfY3kHU/edit?usp=sharing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570" s="7" t="s">
        <v>23</v>
      </c>
    </row>
    <row r="14571" spans="1:10" ht="13.2">
      <c r="A14571" s="7">
        <v>14570</v>
      </c>
      <c r="B14571" s="7">
        <v>1</v>
      </c>
      <c r="C14571" s="7" t="s">
        <v>10</v>
      </c>
      <c r="D14571" s="7">
        <v>19466</v>
      </c>
      <c r="E14571" s="7" t="s">
        <v>23</v>
      </c>
      <c r="F14571" s="8" t="str">
        <f ca="1">IFERROR(__xludf.DUMMYFUNCTION("IF
(
C14572=""фізична особа""
,
VLOOKUP(D14572,IMPORTRANGE(""https://docs.google.com/spreadsheets/d/14Bd19lYaqBhU8_DElYkX7l4wRkHqqCUFNJY4AfY3kHU/edit?usp=sharing  #gid=0"",""фіз особи new!relations_name""),6,FALSE)
,
(IF
(
C14572=""юридична особа""
,
VLOO"&amp;"KUP(D14572,IMPORTRANGE(""https://docs.google.com/spreadsheets/d/14Bd19lYaqBhU8_DElYkX7l4wRkHqqCUFNJY4AfY3kHU/edit?usp=sharing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1" s="7" t="s">
        <v>10</v>
      </c>
      <c r="H14571" s="7">
        <v>19364</v>
      </c>
      <c r="I14571" s="8" t="str">
        <f ca="1">IFERROR(__xludf.DUMMYFUNCTION("IF
(
G14572=""фізична особа""
,
VLOOKUP(H14572,IMPORTRANGE(""https://docs.google.com/spreadsheets/d/14Bd19lYaqBhU8_DElYkX7l4wRkHqqCUFNJY4AfY3kHU/edit?usp=sharing  #gid=0"",""фіз особи new!relations_name""),6,FALSE)
,
(IF
(
G14572=""юридична особа""
,
VLOO"&amp;"KUP(H14572,IMPORTRANGE(""https://docs.google.com/spreadsheets/d/14Bd19lYaqBhU8_DElYkX7l4wRkHqqCUFNJY4AfY3kHU/edit?usp=sharing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571" s="7" t="s">
        <v>23</v>
      </c>
    </row>
    <row r="14572" spans="1:10" ht="13.2">
      <c r="A14572" s="7">
        <v>14571</v>
      </c>
      <c r="B14572" s="7">
        <v>1</v>
      </c>
      <c r="C14572" s="7" t="s">
        <v>10</v>
      </c>
      <c r="D14572" s="7">
        <v>19466</v>
      </c>
      <c r="E14572" s="7" t="s">
        <v>23</v>
      </c>
      <c r="F14572" s="8" t="str">
        <f ca="1">IFERROR(__xludf.DUMMYFUNCTION("IF
(
C14573=""фізична особа""
,
VLOOKUP(D14573,IMPORTRANGE(""https://docs.google.com/spreadsheets/d/14Bd19lYaqBhU8_DElYkX7l4wRkHqqCUFNJY4AfY3kHU/edit?usp=sharing  #gid=0"",""фіз особи new!relations_name""),6,FALSE)
,
(IF
(
C14573=""юридична особа""
,
VLOO"&amp;"KUP(D14573,IMPORTRANGE(""https://docs.google.com/spreadsheets/d/14Bd19lYaqBhU8_DElYkX7l4wRkHqqCUFNJY4AfY3kHU/edit?usp=sharing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2" s="7" t="s">
        <v>10</v>
      </c>
      <c r="H14572" s="7">
        <v>19368</v>
      </c>
      <c r="I14572" s="8" t="str">
        <f ca="1">IFERROR(__xludf.DUMMYFUNCTION("IF
(
G14573=""фізична особа""
,
VLOOKUP(H14573,IMPORTRANGE(""https://docs.google.com/spreadsheets/d/14Bd19lYaqBhU8_DElYkX7l4wRkHqqCUFNJY4AfY3kHU/edit?usp=sharing  #gid=0"",""фіз особи new!relations_name""),6,FALSE)
,
(IF
(
G14573=""юридична особа""
,
VLOO"&amp;"KUP(H14573,IMPORTRANGE(""https://docs.google.com/spreadsheets/d/14Bd19lYaqBhU8_DElYkX7l4wRkHqqCUFNJY4AfY3kHU/edit?usp=sharing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572" s="7" t="s">
        <v>23</v>
      </c>
    </row>
    <row r="14573" spans="1:10" ht="13.2">
      <c r="A14573" s="7">
        <v>14572</v>
      </c>
      <c r="B14573" s="7">
        <v>1</v>
      </c>
      <c r="C14573" s="7" t="s">
        <v>10</v>
      </c>
      <c r="D14573" s="7">
        <v>19466</v>
      </c>
      <c r="E14573" s="7" t="s">
        <v>23</v>
      </c>
      <c r="F14573" s="8" t="str">
        <f ca="1">IFERROR(__xludf.DUMMYFUNCTION("IF
(
C14574=""фізична особа""
,
VLOOKUP(D14574,IMPORTRANGE(""https://docs.google.com/spreadsheets/d/14Bd19lYaqBhU8_DElYkX7l4wRkHqqCUFNJY4AfY3kHU/edit?usp=sharing  #gid=0"",""фіз особи new!relations_name""),6,FALSE)
,
(IF
(
C14574=""юридична особа""
,
VLOO"&amp;"KUP(D14574,IMPORTRANGE(""https://docs.google.com/spreadsheets/d/14Bd19lYaqBhU8_DElYkX7l4wRkHqqCUFNJY4AfY3kHU/edit?usp=sharing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3" s="7" t="s">
        <v>10</v>
      </c>
      <c r="H14573" s="7">
        <v>19470</v>
      </c>
      <c r="I14573" s="8" t="str">
        <f ca="1">IFERROR(__xludf.DUMMYFUNCTION("IF
(
G14574=""фізична особа""
,
VLOOKUP(H14574,IMPORTRANGE(""https://docs.google.com/spreadsheets/d/14Bd19lYaqBhU8_DElYkX7l4wRkHqqCUFNJY4AfY3kHU/edit?usp=sharing  #gid=0"",""фіз особи new!relations_name""),6,FALSE)
,
(IF
(
G14574=""юридична особа""
,
VLOO"&amp;"KUP(H14574,IMPORTRANGE(""https://docs.google.com/spreadsheets/d/14Bd19lYaqBhU8_DElYkX7l4wRkHqqCUFNJY4AfY3kHU/edit?usp=sharing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573" s="7" t="s">
        <v>23</v>
      </c>
    </row>
    <row r="14574" spans="1:10" ht="13.2">
      <c r="A14574" s="7">
        <v>14573</v>
      </c>
      <c r="B14574" s="7">
        <v>1</v>
      </c>
      <c r="C14574" s="7" t="s">
        <v>10</v>
      </c>
      <c r="D14574" s="7">
        <v>19466</v>
      </c>
      <c r="E14574" s="7" t="s">
        <v>23</v>
      </c>
      <c r="F14574" s="8" t="str">
        <f ca="1">IFERROR(__xludf.DUMMYFUNCTION("IF
(
C14575=""фізична особа""
,
VLOOKUP(D14575,IMPORTRANGE(""https://docs.google.com/spreadsheets/d/14Bd19lYaqBhU8_DElYkX7l4wRkHqqCUFNJY4AfY3kHU/edit?usp=sharing  #gid=0"",""фіз особи new!relations_name""),6,FALSE)
,
(IF
(
C14575=""юридична особа""
,
VLOO"&amp;"KUP(D14575,IMPORTRANGE(""https://docs.google.com/spreadsheets/d/14Bd19lYaqBhU8_DElYkX7l4wRkHqqCUFNJY4AfY3kHU/edit?usp=sharing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4" s="7" t="s">
        <v>10</v>
      </c>
      <c r="H14574" s="7">
        <v>19365</v>
      </c>
      <c r="I14574" s="8" t="str">
        <f ca="1">IFERROR(__xludf.DUMMYFUNCTION("IF
(
G14575=""фізична особа""
,
VLOOKUP(H14575,IMPORTRANGE(""https://docs.google.com/spreadsheets/d/14Bd19lYaqBhU8_DElYkX7l4wRkHqqCUFNJY4AfY3kHU/edit?usp=sharing  #gid=0"",""фіз особи new!relations_name""),6,FALSE)
,
(IF
(
G14575=""юридична особа""
,
VLOO"&amp;"KUP(H14575,IMPORTRANGE(""https://docs.google.com/spreadsheets/d/14Bd19lYaqBhU8_DElYkX7l4wRkHqqCUFNJY4AfY3kHU/edit?usp=sharing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574" s="7" t="s">
        <v>23</v>
      </c>
    </row>
    <row r="14575" spans="1:10" ht="13.2">
      <c r="A14575" s="7">
        <v>14574</v>
      </c>
      <c r="B14575" s="7">
        <v>1</v>
      </c>
      <c r="C14575" s="7" t="s">
        <v>10</v>
      </c>
      <c r="D14575" s="7">
        <v>19466</v>
      </c>
      <c r="E14575" s="7" t="s">
        <v>23</v>
      </c>
      <c r="F14575" s="8" t="str">
        <f ca="1">IFERROR(__xludf.DUMMYFUNCTION("IF
(
C14576=""фізична особа""
,
VLOOKUP(D14576,IMPORTRANGE(""https://docs.google.com/spreadsheets/d/14Bd19lYaqBhU8_DElYkX7l4wRkHqqCUFNJY4AfY3kHU/edit?usp=sharing  #gid=0"",""фіз особи new!relations_name""),6,FALSE)
,
(IF
(
C14576=""юридична особа""
,
VLOO"&amp;"KUP(D14576,IMPORTRANGE(""https://docs.google.com/spreadsheets/d/14Bd19lYaqBhU8_DElYkX7l4wRkHqqCUFNJY4AfY3kHU/edit?usp=sharing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5" s="7" t="s">
        <v>10</v>
      </c>
      <c r="H14575" s="7">
        <v>19367</v>
      </c>
      <c r="I14575" s="8" t="str">
        <f ca="1">IFERROR(__xludf.DUMMYFUNCTION("IF
(
G14576=""фізична особа""
,
VLOOKUP(H14576,IMPORTRANGE(""https://docs.google.com/spreadsheets/d/14Bd19lYaqBhU8_DElYkX7l4wRkHqqCUFNJY4AfY3kHU/edit?usp=sharing  #gid=0"",""фіз особи new!relations_name""),6,FALSE)
,
(IF
(
G14576=""юридична особа""
,
VLOO"&amp;"KUP(H14576,IMPORTRANGE(""https://docs.google.com/spreadsheets/d/14Bd19lYaqBhU8_DElYkX7l4wRkHqqCUFNJY4AfY3kHU/edit?usp=sharing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575" s="7" t="s">
        <v>23</v>
      </c>
    </row>
    <row r="14576" spans="1:10" ht="13.2">
      <c r="A14576" s="7">
        <v>14575</v>
      </c>
      <c r="B14576" s="7">
        <v>1</v>
      </c>
      <c r="C14576" s="7" t="s">
        <v>10</v>
      </c>
      <c r="D14576" s="7">
        <v>19466</v>
      </c>
      <c r="E14576" s="7" t="s">
        <v>23</v>
      </c>
      <c r="F14576" s="8" t="str">
        <f ca="1">IFERROR(__xludf.DUMMYFUNCTION("IF
(
C14577=""фізична особа""
,
VLOOKUP(D14577,IMPORTRANGE(""https://docs.google.com/spreadsheets/d/14Bd19lYaqBhU8_DElYkX7l4wRkHqqCUFNJY4AfY3kHU/edit?usp=sharing  #gid=0"",""фіз особи new!relations_name""),6,FALSE)
,
(IF
(
C14577=""юридична особа""
,
VLOO"&amp;"KUP(D14577,IMPORTRANGE(""https://docs.google.com/spreadsheets/d/14Bd19lYaqBhU8_DElYkX7l4wRkHqqCUFNJY4AfY3kHU/edit?usp=sharing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6" s="7" t="s">
        <v>10</v>
      </c>
      <c r="H14576" s="7">
        <v>19474</v>
      </c>
      <c r="I14576" s="8" t="str">
        <f ca="1">IFERROR(__xludf.DUMMYFUNCTION("IF
(
G14577=""фізична особа""
,
VLOOKUP(H14577,IMPORTRANGE(""https://docs.google.com/spreadsheets/d/14Bd19lYaqBhU8_DElYkX7l4wRkHqqCUFNJY4AfY3kHU/edit?usp=sharing  #gid=0"",""фіз особи new!relations_name""),6,FALSE)
,
(IF
(
G14577=""юридична особа""
,
VLOO"&amp;"KUP(H14577,IMPORTRANGE(""https://docs.google.com/spreadsheets/d/14Bd19lYaqBhU8_DElYkX7l4wRkHqqCUFNJY4AfY3kHU/edit?usp=sharing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576" s="7" t="s">
        <v>23</v>
      </c>
    </row>
    <row r="14577" spans="1:10" ht="13.2">
      <c r="A14577" s="7">
        <v>14576</v>
      </c>
      <c r="B14577" s="7">
        <v>1</v>
      </c>
      <c r="C14577" s="7" t="s">
        <v>10</v>
      </c>
      <c r="D14577" s="7">
        <v>19466</v>
      </c>
      <c r="E14577" s="7" t="s">
        <v>23</v>
      </c>
      <c r="F14577" s="8" t="str">
        <f ca="1">IFERROR(__xludf.DUMMYFUNCTION("IF
(
C14578=""фізична особа""
,
VLOOKUP(D14578,IMPORTRANGE(""https://docs.google.com/spreadsheets/d/14Bd19lYaqBhU8_DElYkX7l4wRkHqqCUFNJY4AfY3kHU/edit?usp=sharing  #gid=0"",""фіз особи new!relations_name""),6,FALSE)
,
(IF
(
C14578=""юридична особа""
,
VLOO"&amp;"KUP(D14578,IMPORTRANGE(""https://docs.google.com/spreadsheets/d/14Bd19lYaqBhU8_DElYkX7l4wRkHqqCUFNJY4AfY3kHU/edit?usp=sharing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7" s="7" t="s">
        <v>10</v>
      </c>
      <c r="H14577" s="7">
        <v>19366</v>
      </c>
      <c r="I14577" s="8" t="str">
        <f ca="1">IFERROR(__xludf.DUMMYFUNCTION("IF
(
G14578=""фізична особа""
,
VLOOKUP(H14578,IMPORTRANGE(""https://docs.google.com/spreadsheets/d/14Bd19lYaqBhU8_DElYkX7l4wRkHqqCUFNJY4AfY3kHU/edit?usp=sharing  #gid=0"",""фіз особи new!relations_name""),6,FALSE)
,
(IF
(
G14578=""юридична особа""
,
VLOO"&amp;"KUP(H14578,IMPORTRANGE(""https://docs.google.com/spreadsheets/d/14Bd19lYaqBhU8_DElYkX7l4wRkHqqCUFNJY4AfY3kHU/edit?usp=sharing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577" s="7" t="s">
        <v>23</v>
      </c>
    </row>
    <row r="14578" spans="1:10" ht="13.2">
      <c r="A14578" s="7">
        <v>14577</v>
      </c>
      <c r="B14578" s="7">
        <v>1</v>
      </c>
      <c r="C14578" s="7" t="s">
        <v>10</v>
      </c>
      <c r="D14578" s="7">
        <v>19466</v>
      </c>
      <c r="E14578" s="7" t="s">
        <v>23</v>
      </c>
      <c r="F14578" s="8" t="str">
        <f ca="1">IFERROR(__xludf.DUMMYFUNCTION("IF
(
C14579=""фізична особа""
,
VLOOKUP(D14579,IMPORTRANGE(""https://docs.google.com/spreadsheets/d/14Bd19lYaqBhU8_DElYkX7l4wRkHqqCUFNJY4AfY3kHU/edit?usp=sharing  #gid=0"",""фіз особи new!relations_name""),6,FALSE)
,
(IF
(
C14579=""юридична особа""
,
VLOO"&amp;"KUP(D14579,IMPORTRANGE(""https://docs.google.com/spreadsheets/d/14Bd19lYaqBhU8_DElYkX7l4wRkHqqCUFNJY4AfY3kHU/edit?usp=sharing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8" s="7" t="s">
        <v>10</v>
      </c>
      <c r="H14578" s="7">
        <v>23701</v>
      </c>
      <c r="I14578" s="8" t="str">
        <f ca="1">IFERROR(__xludf.DUMMYFUNCTION("IF
(
G14579=""фізична особа""
,
VLOOKUP(H14579,IMPORTRANGE(""https://docs.google.com/spreadsheets/d/14Bd19lYaqBhU8_DElYkX7l4wRkHqqCUFNJY4AfY3kHU/edit?usp=sharing  #gid=0"",""фіз особи new!relations_name""),6,FALSE)
,
(IF
(
G14579=""юридична особа""
,
VLOO"&amp;"KUP(H14579,IMPORTRANGE(""https://docs.google.com/spreadsheets/d/14Bd19lYaqBhU8_DElYkX7l4wRkHqqCUFNJY4AfY3kHU/edit?usp=sharing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578" s="7" t="s">
        <v>23</v>
      </c>
    </row>
    <row r="14579" spans="1:10" ht="13.2">
      <c r="A14579" s="7">
        <v>14578</v>
      </c>
      <c r="B14579" s="7">
        <v>1</v>
      </c>
      <c r="C14579" s="7" t="s">
        <v>10</v>
      </c>
      <c r="D14579" s="7">
        <v>19466</v>
      </c>
      <c r="E14579" s="7" t="s">
        <v>23</v>
      </c>
      <c r="F14579" s="8" t="str">
        <f ca="1">IFERROR(__xludf.DUMMYFUNCTION("IF
(
C14580=""фізична особа""
,
VLOOKUP(D14580,IMPORTRANGE(""https://docs.google.com/spreadsheets/d/14Bd19lYaqBhU8_DElYkX7l4wRkHqqCUFNJY4AfY3kHU/edit?usp=sharing  #gid=0"",""фіз особи new!relations_name""),6,FALSE)
,
(IF
(
C14580=""юридична особа""
,
VLOO"&amp;"KUP(D14580,IMPORTRANGE(""https://docs.google.com/spreadsheets/d/14Bd19lYaqBhU8_DElYkX7l4wRkHqqCUFNJY4AfY3kHU/edit?usp=sharing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79" s="7" t="s">
        <v>10</v>
      </c>
      <c r="H14579" s="7">
        <v>19471</v>
      </c>
      <c r="I14579" s="8" t="str">
        <f ca="1">IFERROR(__xludf.DUMMYFUNCTION("IF
(
G14580=""фізична особа""
,
VLOOKUP(H14580,IMPORTRANGE(""https://docs.google.com/spreadsheets/d/14Bd19lYaqBhU8_DElYkX7l4wRkHqqCUFNJY4AfY3kHU/edit?usp=sharing  #gid=0"",""фіз особи new!relations_name""),6,FALSE)
,
(IF
(
G14580=""юридична особа""
,
VLOO"&amp;"KUP(H14580,IMPORTRANGE(""https://docs.google.com/spreadsheets/d/14Bd19lYaqBhU8_DElYkX7l4wRkHqqCUFNJY4AfY3kHU/edit?usp=sharing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579" s="7" t="s">
        <v>23</v>
      </c>
    </row>
    <row r="14580" spans="1:10" ht="13.2">
      <c r="A14580" s="7">
        <v>14579</v>
      </c>
      <c r="B14580" s="7">
        <v>1</v>
      </c>
      <c r="C14580" s="7" t="s">
        <v>10</v>
      </c>
      <c r="D14580" s="7">
        <v>19466</v>
      </c>
      <c r="E14580" s="7" t="s">
        <v>23</v>
      </c>
      <c r="F14580" s="8" t="str">
        <f ca="1">IFERROR(__xludf.DUMMYFUNCTION("IF
(
C14581=""фізична особа""
,
VLOOKUP(D14581,IMPORTRANGE(""https://docs.google.com/spreadsheets/d/14Bd19lYaqBhU8_DElYkX7l4wRkHqqCUFNJY4AfY3kHU/edit?usp=sharing  #gid=0"",""фіз особи new!relations_name""),6,FALSE)
,
(IF
(
C14581=""юридична особа""
,
VLOO"&amp;"KUP(D14581,IMPORTRANGE(""https://docs.google.com/spreadsheets/d/14Bd19lYaqBhU8_DElYkX7l4wRkHqqCUFNJY4AfY3kHU/edit?usp=sharing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80" s="7" t="s">
        <v>10</v>
      </c>
      <c r="H14580" s="7">
        <v>19371</v>
      </c>
      <c r="I14580" s="8" t="str">
        <f ca="1">IFERROR(__xludf.DUMMYFUNCTION("IF
(
G14581=""фізична особа""
,
VLOOKUP(H14581,IMPORTRANGE(""https://docs.google.com/spreadsheets/d/14Bd19lYaqBhU8_DElYkX7l4wRkHqqCUFNJY4AfY3kHU/edit?usp=sharing  #gid=0"",""фіз особи new!relations_name""),6,FALSE)
,
(IF
(
G14581=""юридична особа""
,
VLOO"&amp;"KUP(H14581,IMPORTRANGE(""https://docs.google.com/spreadsheets/d/14Bd19lYaqBhU8_DElYkX7l4wRkHqqCUFNJY4AfY3kHU/edit?usp=sharing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580" s="7" t="s">
        <v>23</v>
      </c>
    </row>
    <row r="14581" spans="1:10" ht="13.2">
      <c r="A14581" s="7">
        <v>14580</v>
      </c>
      <c r="B14581" s="7">
        <v>1</v>
      </c>
      <c r="C14581" s="7" t="s">
        <v>10</v>
      </c>
      <c r="D14581" s="7">
        <v>19466</v>
      </c>
      <c r="E14581" s="7" t="s">
        <v>23</v>
      </c>
      <c r="F14581" s="8" t="str">
        <f ca="1">IFERROR(__xludf.DUMMYFUNCTION("IF
(
C14582=""фізична особа""
,
VLOOKUP(D14582,IMPORTRANGE(""https://docs.google.com/spreadsheets/d/14Bd19lYaqBhU8_DElYkX7l4wRkHqqCUFNJY4AfY3kHU/edit?usp=sharing  #gid=0"",""фіз особи new!relations_name""),6,FALSE)
,
(IF
(
C14582=""юридична особа""
,
VLOO"&amp;"KUP(D14582,IMPORTRANGE(""https://docs.google.com/spreadsheets/d/14Bd19lYaqBhU8_DElYkX7l4wRkHqqCUFNJY4AfY3kHU/edit?usp=sharing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81" s="7" t="s">
        <v>10</v>
      </c>
      <c r="H14581" s="7">
        <v>19469</v>
      </c>
      <c r="I14581" s="8" t="str">
        <f ca="1">IFERROR(__xludf.DUMMYFUNCTION("IF
(
G14582=""фізична особа""
,
VLOOKUP(H14582,IMPORTRANGE(""https://docs.google.com/spreadsheets/d/14Bd19lYaqBhU8_DElYkX7l4wRkHqqCUFNJY4AfY3kHU/edit?usp=sharing  #gid=0"",""фіз особи new!relations_name""),6,FALSE)
,
(IF
(
G14582=""юридична особа""
,
VLOO"&amp;"KUP(H14582,IMPORTRANGE(""https://docs.google.com/spreadsheets/d/14Bd19lYaqBhU8_DElYkX7l4wRkHqqCUFNJY4AfY3kHU/edit?usp=sharing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581" s="7" t="s">
        <v>23</v>
      </c>
    </row>
    <row r="14582" spans="1:10" ht="13.2">
      <c r="A14582" s="7">
        <v>14581</v>
      </c>
      <c r="B14582" s="7">
        <v>1</v>
      </c>
      <c r="C14582" s="7" t="s">
        <v>10</v>
      </c>
      <c r="D14582" s="7">
        <v>19466</v>
      </c>
      <c r="E14582" s="7" t="s">
        <v>23</v>
      </c>
      <c r="F14582" s="8" t="str">
        <f ca="1">IFERROR(__xludf.DUMMYFUNCTION("IF
(
C14583=""фізична особа""
,
VLOOKUP(D14583,IMPORTRANGE(""https://docs.google.com/spreadsheets/d/14Bd19lYaqBhU8_DElYkX7l4wRkHqqCUFNJY4AfY3kHU/edit?usp=sharing  #gid=0"",""фіз особи new!relations_name""),6,FALSE)
,
(IF
(
C14583=""юридична особа""
,
VLOO"&amp;"KUP(D14583,IMPORTRANGE(""https://docs.google.com/spreadsheets/d/14Bd19lYaqBhU8_DElYkX7l4wRkHqqCUFNJY4AfY3kHU/edit?usp=sharing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82" s="7" t="s">
        <v>10</v>
      </c>
      <c r="H14582" s="7">
        <v>23698</v>
      </c>
      <c r="I14582" s="8" t="str">
        <f ca="1">IFERROR(__xludf.DUMMYFUNCTION("IF
(
G14583=""фізична особа""
,
VLOOKUP(H14583,IMPORTRANGE(""https://docs.google.com/spreadsheets/d/14Bd19lYaqBhU8_DElYkX7l4wRkHqqCUFNJY4AfY3kHU/edit?usp=sharing  #gid=0"",""фіз особи new!relations_name""),6,FALSE)
,
(IF
(
G14583=""юридична особа""
,
VLOO"&amp;"KUP(H14583,IMPORTRANGE(""https://docs.google.com/spreadsheets/d/14Bd19lYaqBhU8_DElYkX7l4wRkHqqCUFNJY4AfY3kHU/edit?usp=sharing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582" s="7" t="s">
        <v>23</v>
      </c>
    </row>
    <row r="14583" spans="1:10" ht="13.2">
      <c r="A14583" s="7">
        <v>14582</v>
      </c>
      <c r="B14583" s="7">
        <v>1</v>
      </c>
      <c r="C14583" s="7" t="s">
        <v>10</v>
      </c>
      <c r="D14583" s="7">
        <v>19466</v>
      </c>
      <c r="E14583" s="7" t="s">
        <v>23</v>
      </c>
      <c r="F14583" s="8" t="str">
        <f ca="1">IFERROR(__xludf.DUMMYFUNCTION("IF
(
C14584=""фізична особа""
,
VLOOKUP(D14584,IMPORTRANGE(""https://docs.google.com/spreadsheets/d/14Bd19lYaqBhU8_DElYkX7l4wRkHqqCUFNJY4AfY3kHU/edit?usp=sharing  #gid=0"",""фіз особи new!relations_name""),6,FALSE)
,
(IF
(
C14584=""юридична особа""
,
VLOO"&amp;"KUP(D14584,IMPORTRANGE(""https://docs.google.com/spreadsheets/d/14Bd19lYaqBhU8_DElYkX7l4wRkHqqCUFNJY4AfY3kHU/edit?usp=sharing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G14583" s="7" t="s">
        <v>10</v>
      </c>
      <c r="H14583" s="7">
        <v>23696</v>
      </c>
      <c r="I14583" s="8" t="str">
        <f ca="1">IFERROR(__xludf.DUMMYFUNCTION("IF
(
G14584=""фізична особа""
,
VLOOKUP(H14584,IMPORTRANGE(""https://docs.google.com/spreadsheets/d/14Bd19lYaqBhU8_DElYkX7l4wRkHqqCUFNJY4AfY3kHU/edit?usp=sharing  #gid=0"",""фіз особи new!relations_name""),6,FALSE)
,
(IF
(
G14584=""юридична особа""
,
VLOO"&amp;"KUP(H14584,IMPORTRANGE(""https://docs.google.com/spreadsheets/d/14Bd19lYaqBhU8_DElYkX7l4wRkHqqCUFNJY4AfY3kHU/edit?usp=sharing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583" s="7" t="s">
        <v>23</v>
      </c>
    </row>
    <row r="14584" spans="1:10" ht="13.2">
      <c r="A14584" s="7">
        <v>14583</v>
      </c>
      <c r="B14584" s="7">
        <v>1</v>
      </c>
      <c r="C14584" s="7" t="s">
        <v>10</v>
      </c>
      <c r="D14584" s="7">
        <v>19467</v>
      </c>
      <c r="E14584" s="7" t="s">
        <v>23</v>
      </c>
      <c r="F14584" s="8" t="str">
        <f ca="1">IFERROR(__xludf.DUMMYFUNCTION("IF
(
C14585=""фізична особа""
,
VLOOKUP(D14585,IMPORTRANGE(""https://docs.google.com/spreadsheets/d/14Bd19lYaqBhU8_DElYkX7l4wRkHqqCUFNJY4AfY3kHU/edit?usp=sharing  #gid=0"",""фіз особи new!relations_name""),6,FALSE)
,
(IF
(
C14585=""юридична особа""
,
VLOO"&amp;"KUP(D14585,IMPORTRANGE(""https://docs.google.com/spreadsheets/d/14Bd19lYaqBhU8_DElYkX7l4wRkHqqCUFNJY4AfY3kHU/edit?usp=sharing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4" s="7" t="s">
        <v>10</v>
      </c>
      <c r="H14584" s="7">
        <v>19468</v>
      </c>
      <c r="I14584" s="8" t="str">
        <f ca="1">IFERROR(__xludf.DUMMYFUNCTION("IF
(
G14585=""фізична особа""
,
VLOOKUP(H14585,IMPORTRANGE(""https://docs.google.com/spreadsheets/d/14Bd19lYaqBhU8_DElYkX7l4wRkHqqCUFNJY4AfY3kHU/edit?usp=sharing  #gid=0"",""фіз особи new!relations_name""),6,FALSE)
,
(IF
(
G14585=""юридична особа""
,
VLOO"&amp;"KUP(H14585,IMPORTRANGE(""https://docs.google.com/spreadsheets/d/14Bd19lYaqBhU8_DElYkX7l4wRkHqqCUFNJY4AfY3kHU/edit?usp=sharing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584" s="7" t="s">
        <v>23</v>
      </c>
    </row>
    <row r="14585" spans="1:10" ht="13.2">
      <c r="A14585" s="7">
        <v>14584</v>
      </c>
      <c r="B14585" s="7">
        <v>1</v>
      </c>
      <c r="C14585" s="7" t="s">
        <v>10</v>
      </c>
      <c r="D14585" s="7">
        <v>19467</v>
      </c>
      <c r="E14585" s="7" t="s">
        <v>23</v>
      </c>
      <c r="F14585" s="8" t="str">
        <f ca="1">IFERROR(__xludf.DUMMYFUNCTION("IF
(
C14586=""фізична особа""
,
VLOOKUP(D14586,IMPORTRANGE(""https://docs.google.com/spreadsheets/d/14Bd19lYaqBhU8_DElYkX7l4wRkHqqCUFNJY4AfY3kHU/edit?usp=sharing  #gid=0"",""фіз особи new!relations_name""),6,FALSE)
,
(IF
(
C14586=""юридична особа""
,
VLOO"&amp;"KUP(D14586,IMPORTRANGE(""https://docs.google.com/spreadsheets/d/14Bd19lYaqBhU8_DElYkX7l4wRkHqqCUFNJY4AfY3kHU/edit?usp=sharing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5" s="7" t="s">
        <v>10</v>
      </c>
      <c r="H14585" s="7">
        <v>19466</v>
      </c>
      <c r="I14585" s="8" t="str">
        <f ca="1">IFERROR(__xludf.DUMMYFUNCTION("IF
(
G14586=""фізична особа""
,
VLOOKUP(H14586,IMPORTRANGE(""https://docs.google.com/spreadsheets/d/14Bd19lYaqBhU8_DElYkX7l4wRkHqqCUFNJY4AfY3kHU/edit?usp=sharing  #gid=0"",""фіз особи new!relations_name""),6,FALSE)
,
(IF
(
G14586=""юридична особа""
,
VLOO"&amp;"KUP(H14586,IMPORTRANGE(""https://docs.google.com/spreadsheets/d/14Bd19lYaqBhU8_DElYkX7l4wRkHqqCUFNJY4AfY3kHU/edit?usp=sharing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585" s="7" t="s">
        <v>23</v>
      </c>
    </row>
    <row r="14586" spans="1:10" ht="13.2">
      <c r="A14586" s="7">
        <v>14585</v>
      </c>
      <c r="B14586" s="7">
        <v>1</v>
      </c>
      <c r="C14586" s="7" t="s">
        <v>10</v>
      </c>
      <c r="D14586" s="7">
        <v>19467</v>
      </c>
      <c r="E14586" s="7" t="s">
        <v>23</v>
      </c>
      <c r="F14586" s="8" t="str">
        <f ca="1">IFERROR(__xludf.DUMMYFUNCTION("IF
(
C14587=""фізична особа""
,
VLOOKUP(D14587,IMPORTRANGE(""https://docs.google.com/spreadsheets/d/14Bd19lYaqBhU8_DElYkX7l4wRkHqqCUFNJY4AfY3kHU/edit?usp=sharing  #gid=0"",""фіз особи new!relations_name""),6,FALSE)
,
(IF
(
C14587=""юридична особа""
,
VLOO"&amp;"KUP(D14587,IMPORTRANGE(""https://docs.google.com/spreadsheets/d/14Bd19lYaqBhU8_DElYkX7l4wRkHqqCUFNJY4AfY3kHU/edit?usp=sharing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6" s="7" t="s">
        <v>10</v>
      </c>
      <c r="H14586" s="7">
        <v>19364</v>
      </c>
      <c r="I14586" s="8" t="str">
        <f ca="1">IFERROR(__xludf.DUMMYFUNCTION("IF
(
G14587=""фізична особа""
,
VLOOKUP(H14587,IMPORTRANGE(""https://docs.google.com/spreadsheets/d/14Bd19lYaqBhU8_DElYkX7l4wRkHqqCUFNJY4AfY3kHU/edit?usp=sharing  #gid=0"",""фіз особи new!relations_name""),6,FALSE)
,
(IF
(
G14587=""юридична особа""
,
VLOO"&amp;"KUP(H14587,IMPORTRANGE(""https://docs.google.com/spreadsheets/d/14Bd19lYaqBhU8_DElYkX7l4wRkHqqCUFNJY4AfY3kHU/edit?usp=sharing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586" s="7" t="s">
        <v>23</v>
      </c>
    </row>
    <row r="14587" spans="1:10" ht="13.2">
      <c r="A14587" s="7">
        <v>14586</v>
      </c>
      <c r="B14587" s="7">
        <v>1</v>
      </c>
      <c r="C14587" s="7" t="s">
        <v>10</v>
      </c>
      <c r="D14587" s="7">
        <v>19467</v>
      </c>
      <c r="E14587" s="7" t="s">
        <v>23</v>
      </c>
      <c r="F14587" s="8" t="str">
        <f ca="1">IFERROR(__xludf.DUMMYFUNCTION("IF
(
C14588=""фізична особа""
,
VLOOKUP(D14588,IMPORTRANGE(""https://docs.google.com/spreadsheets/d/14Bd19lYaqBhU8_DElYkX7l4wRkHqqCUFNJY4AfY3kHU/edit?usp=sharing  #gid=0"",""фіз особи new!relations_name""),6,FALSE)
,
(IF
(
C14588=""юридична особа""
,
VLOO"&amp;"KUP(D14588,IMPORTRANGE(""https://docs.google.com/spreadsheets/d/14Bd19lYaqBhU8_DElYkX7l4wRkHqqCUFNJY4AfY3kHU/edit?usp=sharing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7" s="7" t="s">
        <v>10</v>
      </c>
      <c r="H14587" s="7">
        <v>19368</v>
      </c>
      <c r="I14587" s="8" t="str">
        <f ca="1">IFERROR(__xludf.DUMMYFUNCTION("IF
(
G14588=""фізична особа""
,
VLOOKUP(H14588,IMPORTRANGE(""https://docs.google.com/spreadsheets/d/14Bd19lYaqBhU8_DElYkX7l4wRkHqqCUFNJY4AfY3kHU/edit?usp=sharing  #gid=0"",""фіз особи new!relations_name""),6,FALSE)
,
(IF
(
G14588=""юридична особа""
,
VLOO"&amp;"KUP(H14588,IMPORTRANGE(""https://docs.google.com/spreadsheets/d/14Bd19lYaqBhU8_DElYkX7l4wRkHqqCUFNJY4AfY3kHU/edit?usp=sharing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587" s="7" t="s">
        <v>23</v>
      </c>
    </row>
    <row r="14588" spans="1:10" ht="13.2">
      <c r="A14588" s="7">
        <v>14587</v>
      </c>
      <c r="B14588" s="7">
        <v>1</v>
      </c>
      <c r="C14588" s="7" t="s">
        <v>10</v>
      </c>
      <c r="D14588" s="7">
        <v>19467</v>
      </c>
      <c r="E14588" s="7" t="s">
        <v>23</v>
      </c>
      <c r="F14588" s="8" t="str">
        <f ca="1">IFERROR(__xludf.DUMMYFUNCTION("IF
(
C14589=""фізична особа""
,
VLOOKUP(D14589,IMPORTRANGE(""https://docs.google.com/spreadsheets/d/14Bd19lYaqBhU8_DElYkX7l4wRkHqqCUFNJY4AfY3kHU/edit?usp=sharing  #gid=0"",""фіз особи new!relations_name""),6,FALSE)
,
(IF
(
C14589=""юридична особа""
,
VLOO"&amp;"KUP(D14589,IMPORTRANGE(""https://docs.google.com/spreadsheets/d/14Bd19lYaqBhU8_DElYkX7l4wRkHqqCUFNJY4AfY3kHU/edit?usp=sharing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8" s="7" t="s">
        <v>10</v>
      </c>
      <c r="H14588" s="7">
        <v>19470</v>
      </c>
      <c r="I14588" s="8" t="str">
        <f ca="1">IFERROR(__xludf.DUMMYFUNCTION("IF
(
G14589=""фізична особа""
,
VLOOKUP(H14589,IMPORTRANGE(""https://docs.google.com/spreadsheets/d/14Bd19lYaqBhU8_DElYkX7l4wRkHqqCUFNJY4AfY3kHU/edit?usp=sharing  #gid=0"",""фіз особи new!relations_name""),6,FALSE)
,
(IF
(
G14589=""юридична особа""
,
VLOO"&amp;"KUP(H14589,IMPORTRANGE(""https://docs.google.com/spreadsheets/d/14Bd19lYaqBhU8_DElYkX7l4wRkHqqCUFNJY4AfY3kHU/edit?usp=sharing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588" s="7" t="s">
        <v>23</v>
      </c>
    </row>
    <row r="14589" spans="1:10" ht="13.2">
      <c r="A14589" s="7">
        <v>14588</v>
      </c>
      <c r="B14589" s="7">
        <v>1</v>
      </c>
      <c r="C14589" s="7" t="s">
        <v>10</v>
      </c>
      <c r="D14589" s="7">
        <v>19467</v>
      </c>
      <c r="E14589" s="7" t="s">
        <v>23</v>
      </c>
      <c r="F14589" s="8" t="str">
        <f ca="1">IFERROR(__xludf.DUMMYFUNCTION("IF
(
C14590=""фізична особа""
,
VLOOKUP(D14590,IMPORTRANGE(""https://docs.google.com/spreadsheets/d/14Bd19lYaqBhU8_DElYkX7l4wRkHqqCUFNJY4AfY3kHU/edit?usp=sharing  #gid=0"",""фіз особи new!relations_name""),6,FALSE)
,
(IF
(
C14590=""юридична особа""
,
VLOO"&amp;"KUP(D14590,IMPORTRANGE(""https://docs.google.com/spreadsheets/d/14Bd19lYaqBhU8_DElYkX7l4wRkHqqCUFNJY4AfY3kHU/edit?usp=sharing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89" s="7" t="s">
        <v>10</v>
      </c>
      <c r="H14589" s="7">
        <v>19365</v>
      </c>
      <c r="I14589" s="8" t="str">
        <f ca="1">IFERROR(__xludf.DUMMYFUNCTION("IF
(
G14590=""фізична особа""
,
VLOOKUP(H14590,IMPORTRANGE(""https://docs.google.com/spreadsheets/d/14Bd19lYaqBhU8_DElYkX7l4wRkHqqCUFNJY4AfY3kHU/edit?usp=sharing  #gid=0"",""фіз особи new!relations_name""),6,FALSE)
,
(IF
(
G14590=""юридична особа""
,
VLOO"&amp;"KUP(H14590,IMPORTRANGE(""https://docs.google.com/spreadsheets/d/14Bd19lYaqBhU8_DElYkX7l4wRkHqqCUFNJY4AfY3kHU/edit?usp=sharing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589" s="7" t="s">
        <v>23</v>
      </c>
    </row>
    <row r="14590" spans="1:10" ht="13.2">
      <c r="A14590" s="7">
        <v>14589</v>
      </c>
      <c r="B14590" s="7">
        <v>1</v>
      </c>
      <c r="C14590" s="7" t="s">
        <v>10</v>
      </c>
      <c r="D14590" s="7">
        <v>19467</v>
      </c>
      <c r="E14590" s="7" t="s">
        <v>23</v>
      </c>
      <c r="F14590" s="8" t="str">
        <f ca="1">IFERROR(__xludf.DUMMYFUNCTION("IF
(
C14591=""фізична особа""
,
VLOOKUP(D14591,IMPORTRANGE(""https://docs.google.com/spreadsheets/d/14Bd19lYaqBhU8_DElYkX7l4wRkHqqCUFNJY4AfY3kHU/edit?usp=sharing  #gid=0"",""фіз особи new!relations_name""),6,FALSE)
,
(IF
(
C14591=""юридична особа""
,
VLOO"&amp;"KUP(D14591,IMPORTRANGE(""https://docs.google.com/spreadsheets/d/14Bd19lYaqBhU8_DElYkX7l4wRkHqqCUFNJY4AfY3kHU/edit?usp=sharing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0" s="7" t="s">
        <v>10</v>
      </c>
      <c r="H14590" s="7">
        <v>19367</v>
      </c>
      <c r="I14590" s="8" t="str">
        <f ca="1">IFERROR(__xludf.DUMMYFUNCTION("IF
(
G14591=""фізична особа""
,
VLOOKUP(H14591,IMPORTRANGE(""https://docs.google.com/spreadsheets/d/14Bd19lYaqBhU8_DElYkX7l4wRkHqqCUFNJY4AfY3kHU/edit?usp=sharing  #gid=0"",""фіз особи new!relations_name""),6,FALSE)
,
(IF
(
G14591=""юридична особа""
,
VLOO"&amp;"KUP(H14591,IMPORTRANGE(""https://docs.google.com/spreadsheets/d/14Bd19lYaqBhU8_DElYkX7l4wRkHqqCUFNJY4AfY3kHU/edit?usp=sharing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590" s="7" t="s">
        <v>23</v>
      </c>
    </row>
    <row r="14591" spans="1:10" ht="13.2">
      <c r="A14591" s="7">
        <v>14590</v>
      </c>
      <c r="B14591" s="7">
        <v>1</v>
      </c>
      <c r="C14591" s="7" t="s">
        <v>10</v>
      </c>
      <c r="D14591" s="7">
        <v>19467</v>
      </c>
      <c r="E14591" s="7" t="s">
        <v>23</v>
      </c>
      <c r="F14591" s="8" t="str">
        <f ca="1">IFERROR(__xludf.DUMMYFUNCTION("IF
(
C14592=""фізична особа""
,
VLOOKUP(D14592,IMPORTRANGE(""https://docs.google.com/spreadsheets/d/14Bd19lYaqBhU8_DElYkX7l4wRkHqqCUFNJY4AfY3kHU/edit?usp=sharing  #gid=0"",""фіз особи new!relations_name""),6,FALSE)
,
(IF
(
C14592=""юридична особа""
,
VLOO"&amp;"KUP(D14592,IMPORTRANGE(""https://docs.google.com/spreadsheets/d/14Bd19lYaqBhU8_DElYkX7l4wRkHqqCUFNJY4AfY3kHU/edit?usp=sharing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1" s="7" t="s">
        <v>10</v>
      </c>
      <c r="H14591" s="7">
        <v>19474</v>
      </c>
      <c r="I14591" s="8" t="str">
        <f ca="1">IFERROR(__xludf.DUMMYFUNCTION("IF
(
G14592=""фізична особа""
,
VLOOKUP(H14592,IMPORTRANGE(""https://docs.google.com/spreadsheets/d/14Bd19lYaqBhU8_DElYkX7l4wRkHqqCUFNJY4AfY3kHU/edit?usp=sharing  #gid=0"",""фіз особи new!relations_name""),6,FALSE)
,
(IF
(
G14592=""юридична особа""
,
VLOO"&amp;"KUP(H14592,IMPORTRANGE(""https://docs.google.com/spreadsheets/d/14Bd19lYaqBhU8_DElYkX7l4wRkHqqCUFNJY4AfY3kHU/edit?usp=sharing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591" s="7" t="s">
        <v>23</v>
      </c>
    </row>
    <row r="14592" spans="1:10" ht="13.2">
      <c r="A14592" s="7">
        <v>14591</v>
      </c>
      <c r="B14592" s="7">
        <v>1</v>
      </c>
      <c r="C14592" s="7" t="s">
        <v>10</v>
      </c>
      <c r="D14592" s="7">
        <v>19467</v>
      </c>
      <c r="E14592" s="7" t="s">
        <v>23</v>
      </c>
      <c r="F14592" s="8" t="str">
        <f ca="1">IFERROR(__xludf.DUMMYFUNCTION("IF
(
C14593=""фізична особа""
,
VLOOKUP(D14593,IMPORTRANGE(""https://docs.google.com/spreadsheets/d/14Bd19lYaqBhU8_DElYkX7l4wRkHqqCUFNJY4AfY3kHU/edit?usp=sharing  #gid=0"",""фіз особи new!relations_name""),6,FALSE)
,
(IF
(
C14593=""юридична особа""
,
VLOO"&amp;"KUP(D14593,IMPORTRANGE(""https://docs.google.com/spreadsheets/d/14Bd19lYaqBhU8_DElYkX7l4wRkHqqCUFNJY4AfY3kHU/edit?usp=sharing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2" s="7" t="s">
        <v>10</v>
      </c>
      <c r="H14592" s="7">
        <v>19366</v>
      </c>
      <c r="I14592" s="8" t="str">
        <f ca="1">IFERROR(__xludf.DUMMYFUNCTION("IF
(
G14593=""фізична особа""
,
VLOOKUP(H14593,IMPORTRANGE(""https://docs.google.com/spreadsheets/d/14Bd19lYaqBhU8_DElYkX7l4wRkHqqCUFNJY4AfY3kHU/edit?usp=sharing  #gid=0"",""фіз особи new!relations_name""),6,FALSE)
,
(IF
(
G14593=""юридична особа""
,
VLOO"&amp;"KUP(H14593,IMPORTRANGE(""https://docs.google.com/spreadsheets/d/14Bd19lYaqBhU8_DElYkX7l4wRkHqqCUFNJY4AfY3kHU/edit?usp=sharing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592" s="7" t="s">
        <v>23</v>
      </c>
    </row>
    <row r="14593" spans="1:10" ht="13.2">
      <c r="A14593" s="7">
        <v>14592</v>
      </c>
      <c r="B14593" s="7">
        <v>1</v>
      </c>
      <c r="C14593" s="7" t="s">
        <v>10</v>
      </c>
      <c r="D14593" s="7">
        <v>19467</v>
      </c>
      <c r="E14593" s="7" t="s">
        <v>23</v>
      </c>
      <c r="F14593" s="8" t="str">
        <f ca="1">IFERROR(__xludf.DUMMYFUNCTION("IF
(
C14594=""фізична особа""
,
VLOOKUP(D14594,IMPORTRANGE(""https://docs.google.com/spreadsheets/d/14Bd19lYaqBhU8_DElYkX7l4wRkHqqCUFNJY4AfY3kHU/edit?usp=sharing  #gid=0"",""фіз особи new!relations_name""),6,FALSE)
,
(IF
(
C14594=""юридична особа""
,
VLOO"&amp;"KUP(D14594,IMPORTRANGE(""https://docs.google.com/spreadsheets/d/14Bd19lYaqBhU8_DElYkX7l4wRkHqqCUFNJY4AfY3kHU/edit?usp=sharing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3" s="7" t="s">
        <v>10</v>
      </c>
      <c r="H14593" s="7">
        <v>23701</v>
      </c>
      <c r="I14593" s="8" t="str">
        <f ca="1">IFERROR(__xludf.DUMMYFUNCTION("IF
(
G14594=""фізична особа""
,
VLOOKUP(H14594,IMPORTRANGE(""https://docs.google.com/spreadsheets/d/14Bd19lYaqBhU8_DElYkX7l4wRkHqqCUFNJY4AfY3kHU/edit?usp=sharing  #gid=0"",""фіз особи new!relations_name""),6,FALSE)
,
(IF
(
G14594=""юридична особа""
,
VLOO"&amp;"KUP(H14594,IMPORTRANGE(""https://docs.google.com/spreadsheets/d/14Bd19lYaqBhU8_DElYkX7l4wRkHqqCUFNJY4AfY3kHU/edit?usp=sharing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593" s="7" t="s">
        <v>23</v>
      </c>
    </row>
    <row r="14594" spans="1:10" ht="13.2">
      <c r="A14594" s="7">
        <v>14593</v>
      </c>
      <c r="B14594" s="7">
        <v>1</v>
      </c>
      <c r="C14594" s="7" t="s">
        <v>10</v>
      </c>
      <c r="D14594" s="7">
        <v>19467</v>
      </c>
      <c r="E14594" s="7" t="s">
        <v>23</v>
      </c>
      <c r="F14594" s="8" t="str">
        <f ca="1">IFERROR(__xludf.DUMMYFUNCTION("IF
(
C14595=""фізична особа""
,
VLOOKUP(D14595,IMPORTRANGE(""https://docs.google.com/spreadsheets/d/14Bd19lYaqBhU8_DElYkX7l4wRkHqqCUFNJY4AfY3kHU/edit?usp=sharing  #gid=0"",""фіз особи new!relations_name""),6,FALSE)
,
(IF
(
C14595=""юридична особа""
,
VLOO"&amp;"KUP(D14595,IMPORTRANGE(""https://docs.google.com/spreadsheets/d/14Bd19lYaqBhU8_DElYkX7l4wRkHqqCUFNJY4AfY3kHU/edit?usp=sharing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4" s="7" t="s">
        <v>10</v>
      </c>
      <c r="H14594" s="7">
        <v>19471</v>
      </c>
      <c r="I14594" s="8" t="str">
        <f ca="1">IFERROR(__xludf.DUMMYFUNCTION("IF
(
G14595=""фізична особа""
,
VLOOKUP(H14595,IMPORTRANGE(""https://docs.google.com/spreadsheets/d/14Bd19lYaqBhU8_DElYkX7l4wRkHqqCUFNJY4AfY3kHU/edit?usp=sharing  #gid=0"",""фіз особи new!relations_name""),6,FALSE)
,
(IF
(
G14595=""юридична особа""
,
VLOO"&amp;"KUP(H14595,IMPORTRANGE(""https://docs.google.com/spreadsheets/d/14Bd19lYaqBhU8_DElYkX7l4wRkHqqCUFNJY4AfY3kHU/edit?usp=sharing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594" s="7" t="s">
        <v>23</v>
      </c>
    </row>
    <row r="14595" spans="1:10" ht="13.2">
      <c r="A14595" s="7">
        <v>14594</v>
      </c>
      <c r="B14595" s="7">
        <v>1</v>
      </c>
      <c r="C14595" s="7" t="s">
        <v>10</v>
      </c>
      <c r="D14595" s="7">
        <v>19467</v>
      </c>
      <c r="E14595" s="7" t="s">
        <v>23</v>
      </c>
      <c r="F14595" s="8" t="str">
        <f ca="1">IFERROR(__xludf.DUMMYFUNCTION("IF
(
C14596=""фізична особа""
,
VLOOKUP(D14596,IMPORTRANGE(""https://docs.google.com/spreadsheets/d/14Bd19lYaqBhU8_DElYkX7l4wRkHqqCUFNJY4AfY3kHU/edit?usp=sharing  #gid=0"",""фіз особи new!relations_name""),6,FALSE)
,
(IF
(
C14596=""юридична особа""
,
VLOO"&amp;"KUP(D14596,IMPORTRANGE(""https://docs.google.com/spreadsheets/d/14Bd19lYaqBhU8_DElYkX7l4wRkHqqCUFNJY4AfY3kHU/edit?usp=sharing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5" s="7" t="s">
        <v>10</v>
      </c>
      <c r="H14595" s="7">
        <v>19371</v>
      </c>
      <c r="I14595" s="8" t="str">
        <f ca="1">IFERROR(__xludf.DUMMYFUNCTION("IF
(
G14596=""фізична особа""
,
VLOOKUP(H14596,IMPORTRANGE(""https://docs.google.com/spreadsheets/d/14Bd19lYaqBhU8_DElYkX7l4wRkHqqCUFNJY4AfY3kHU/edit?usp=sharing  #gid=0"",""фіз особи new!relations_name""),6,FALSE)
,
(IF
(
G14596=""юридична особа""
,
VLOO"&amp;"KUP(H14596,IMPORTRANGE(""https://docs.google.com/spreadsheets/d/14Bd19lYaqBhU8_DElYkX7l4wRkHqqCUFNJY4AfY3kHU/edit?usp=sharing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595" s="7" t="s">
        <v>23</v>
      </c>
    </row>
    <row r="14596" spans="1:10" ht="13.2">
      <c r="A14596" s="7">
        <v>14595</v>
      </c>
      <c r="B14596" s="7">
        <v>1</v>
      </c>
      <c r="C14596" s="7" t="s">
        <v>10</v>
      </c>
      <c r="D14596" s="7">
        <v>19467</v>
      </c>
      <c r="E14596" s="7" t="s">
        <v>23</v>
      </c>
      <c r="F14596" s="8" t="str">
        <f ca="1">IFERROR(__xludf.DUMMYFUNCTION("IF
(
C14597=""фізична особа""
,
VLOOKUP(D14597,IMPORTRANGE(""https://docs.google.com/spreadsheets/d/14Bd19lYaqBhU8_DElYkX7l4wRkHqqCUFNJY4AfY3kHU/edit?usp=sharing  #gid=0"",""фіз особи new!relations_name""),6,FALSE)
,
(IF
(
C14597=""юридична особа""
,
VLOO"&amp;"KUP(D14597,IMPORTRANGE(""https://docs.google.com/spreadsheets/d/14Bd19lYaqBhU8_DElYkX7l4wRkHqqCUFNJY4AfY3kHU/edit?usp=sharing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6" s="7" t="s">
        <v>10</v>
      </c>
      <c r="H14596" s="7">
        <v>19469</v>
      </c>
      <c r="I14596" s="8" t="str">
        <f ca="1">IFERROR(__xludf.DUMMYFUNCTION("IF
(
G14597=""фізична особа""
,
VLOOKUP(H14597,IMPORTRANGE(""https://docs.google.com/spreadsheets/d/14Bd19lYaqBhU8_DElYkX7l4wRkHqqCUFNJY4AfY3kHU/edit?usp=sharing  #gid=0"",""фіз особи new!relations_name""),6,FALSE)
,
(IF
(
G14597=""юридична особа""
,
VLOO"&amp;"KUP(H14597,IMPORTRANGE(""https://docs.google.com/spreadsheets/d/14Bd19lYaqBhU8_DElYkX7l4wRkHqqCUFNJY4AfY3kHU/edit?usp=sharing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596" s="7" t="s">
        <v>23</v>
      </c>
    </row>
    <row r="14597" spans="1:10" ht="13.2">
      <c r="A14597" s="7">
        <v>14596</v>
      </c>
      <c r="B14597" s="7">
        <v>1</v>
      </c>
      <c r="C14597" s="7" t="s">
        <v>10</v>
      </c>
      <c r="D14597" s="7">
        <v>19467</v>
      </c>
      <c r="E14597" s="7" t="s">
        <v>23</v>
      </c>
      <c r="F14597" s="8" t="str">
        <f ca="1">IFERROR(__xludf.DUMMYFUNCTION("IF
(
C14598=""фізична особа""
,
VLOOKUP(D14598,IMPORTRANGE(""https://docs.google.com/spreadsheets/d/14Bd19lYaqBhU8_DElYkX7l4wRkHqqCUFNJY4AfY3kHU/edit?usp=sharing  #gid=0"",""фіз особи new!relations_name""),6,FALSE)
,
(IF
(
C14598=""юридична особа""
,
VLOO"&amp;"KUP(D14598,IMPORTRANGE(""https://docs.google.com/spreadsheets/d/14Bd19lYaqBhU8_DElYkX7l4wRkHqqCUFNJY4AfY3kHU/edit?usp=sharing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7" s="7" t="s">
        <v>10</v>
      </c>
      <c r="H14597" s="7">
        <v>23698</v>
      </c>
      <c r="I14597" s="8" t="str">
        <f ca="1">IFERROR(__xludf.DUMMYFUNCTION("IF
(
G14598=""фізична особа""
,
VLOOKUP(H14598,IMPORTRANGE(""https://docs.google.com/spreadsheets/d/14Bd19lYaqBhU8_DElYkX7l4wRkHqqCUFNJY4AfY3kHU/edit?usp=sharing  #gid=0"",""фіз особи new!relations_name""),6,FALSE)
,
(IF
(
G14598=""юридична особа""
,
VLOO"&amp;"KUP(H14598,IMPORTRANGE(""https://docs.google.com/spreadsheets/d/14Bd19lYaqBhU8_DElYkX7l4wRkHqqCUFNJY4AfY3kHU/edit?usp=sharing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597" s="7" t="s">
        <v>23</v>
      </c>
    </row>
    <row r="14598" spans="1:10" ht="13.2">
      <c r="A14598" s="7">
        <v>14597</v>
      </c>
      <c r="B14598" s="7">
        <v>1</v>
      </c>
      <c r="C14598" s="7" t="s">
        <v>10</v>
      </c>
      <c r="D14598" s="7">
        <v>19467</v>
      </c>
      <c r="E14598" s="7" t="s">
        <v>23</v>
      </c>
      <c r="F14598" s="8" t="str">
        <f ca="1">IFERROR(__xludf.DUMMYFUNCTION("IF
(
C14599=""фізична особа""
,
VLOOKUP(D14599,IMPORTRANGE(""https://docs.google.com/spreadsheets/d/14Bd19lYaqBhU8_DElYkX7l4wRkHqqCUFNJY4AfY3kHU/edit?usp=sharing  #gid=0"",""фіз особи new!relations_name""),6,FALSE)
,
(IF
(
C14599=""юридична особа""
,
VLOO"&amp;"KUP(D14599,IMPORTRANGE(""https://docs.google.com/spreadsheets/d/14Bd19lYaqBhU8_DElYkX7l4wRkHqqCUFNJY4AfY3kHU/edit?usp=sharing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G14598" s="7" t="s">
        <v>10</v>
      </c>
      <c r="H14598" s="7">
        <v>23696</v>
      </c>
      <c r="I14598" s="8" t="str">
        <f ca="1">IFERROR(__xludf.DUMMYFUNCTION("IF
(
G14599=""фізична особа""
,
VLOOKUP(H14599,IMPORTRANGE(""https://docs.google.com/spreadsheets/d/14Bd19lYaqBhU8_DElYkX7l4wRkHqqCUFNJY4AfY3kHU/edit?usp=sharing  #gid=0"",""фіз особи new!relations_name""),6,FALSE)
,
(IF
(
G14599=""юридична особа""
,
VLOO"&amp;"KUP(H14599,IMPORTRANGE(""https://docs.google.com/spreadsheets/d/14Bd19lYaqBhU8_DElYkX7l4wRkHqqCUFNJY4AfY3kHU/edit?usp=sharing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598" s="7" t="s">
        <v>23</v>
      </c>
    </row>
    <row r="14599" spans="1:10" ht="13.2">
      <c r="A14599" s="7">
        <v>14598</v>
      </c>
      <c r="B14599" s="7">
        <v>1</v>
      </c>
      <c r="C14599" s="7" t="s">
        <v>10</v>
      </c>
      <c r="D14599" s="7">
        <v>19468</v>
      </c>
      <c r="E14599" s="7" t="s">
        <v>23</v>
      </c>
      <c r="F14599" s="8" t="str">
        <f ca="1">IFERROR(__xludf.DUMMYFUNCTION("IF
(
C14600=""фізична особа""
,
VLOOKUP(D14600,IMPORTRANGE(""https://docs.google.com/spreadsheets/d/14Bd19lYaqBhU8_DElYkX7l4wRkHqqCUFNJY4AfY3kHU/edit?usp=sharing  #gid=0"",""фіз особи new!relations_name""),6,FALSE)
,
(IF
(
C14600=""юридична особа""
,
VLOO"&amp;"KUP(D14600,IMPORTRANGE(""https://docs.google.com/spreadsheets/d/14Bd19lYaqBhU8_DElYkX7l4wRkHqqCUFNJY4AfY3kHU/edit?usp=sharing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599" s="7" t="s">
        <v>10</v>
      </c>
      <c r="H14599" s="7">
        <v>19467</v>
      </c>
      <c r="I14599" s="8" t="str">
        <f ca="1">IFERROR(__xludf.DUMMYFUNCTION("IF
(
G14600=""фізична особа""
,
VLOOKUP(H14600,IMPORTRANGE(""https://docs.google.com/spreadsheets/d/14Bd19lYaqBhU8_DElYkX7l4wRkHqqCUFNJY4AfY3kHU/edit?usp=sharing  #gid=0"",""фіз особи new!relations_name""),6,FALSE)
,
(IF
(
G14600=""юридична особа""
,
VLOO"&amp;"KUP(H14600,IMPORTRANGE(""https://docs.google.com/spreadsheets/d/14Bd19lYaqBhU8_DElYkX7l4wRkHqqCUFNJY4AfY3kHU/edit?usp=sharing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599" s="7" t="s">
        <v>23</v>
      </c>
    </row>
    <row r="14600" spans="1:10" ht="13.2">
      <c r="A14600" s="7">
        <v>14599</v>
      </c>
      <c r="B14600" s="7">
        <v>1</v>
      </c>
      <c r="C14600" s="7" t="s">
        <v>10</v>
      </c>
      <c r="D14600" s="7">
        <v>19468</v>
      </c>
      <c r="E14600" s="7" t="s">
        <v>23</v>
      </c>
      <c r="F14600" s="8" t="str">
        <f ca="1">IFERROR(__xludf.DUMMYFUNCTION("IF
(
C14601=""фізична особа""
,
VLOOKUP(D14601,IMPORTRANGE(""https://docs.google.com/spreadsheets/d/14Bd19lYaqBhU8_DElYkX7l4wRkHqqCUFNJY4AfY3kHU/edit?usp=sharing  #gid=0"",""фіз особи new!relations_name""),6,FALSE)
,
(IF
(
C14601=""юридична особа""
,
VLOO"&amp;"KUP(D14601,IMPORTRANGE(""https://docs.google.com/spreadsheets/d/14Bd19lYaqBhU8_DElYkX7l4wRkHqqCUFNJY4AfY3kHU/edit?usp=sharing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0" s="7" t="s">
        <v>10</v>
      </c>
      <c r="H14600" s="7">
        <v>19466</v>
      </c>
      <c r="I14600" s="8" t="str">
        <f ca="1">IFERROR(__xludf.DUMMYFUNCTION("IF
(
G14601=""фізична особа""
,
VLOOKUP(H14601,IMPORTRANGE(""https://docs.google.com/spreadsheets/d/14Bd19lYaqBhU8_DElYkX7l4wRkHqqCUFNJY4AfY3kHU/edit?usp=sharing  #gid=0"",""фіз особи new!relations_name""),6,FALSE)
,
(IF
(
G14601=""юридична особа""
,
VLOO"&amp;"KUP(H14601,IMPORTRANGE(""https://docs.google.com/spreadsheets/d/14Bd19lYaqBhU8_DElYkX7l4wRkHqqCUFNJY4AfY3kHU/edit?usp=sharing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600" s="7" t="s">
        <v>23</v>
      </c>
    </row>
    <row r="14601" spans="1:10" ht="13.2">
      <c r="A14601" s="7">
        <v>14600</v>
      </c>
      <c r="B14601" s="7">
        <v>1</v>
      </c>
      <c r="C14601" s="7" t="s">
        <v>10</v>
      </c>
      <c r="D14601" s="7">
        <v>19468</v>
      </c>
      <c r="E14601" s="7" t="s">
        <v>23</v>
      </c>
      <c r="F14601" s="8" t="str">
        <f ca="1">IFERROR(__xludf.DUMMYFUNCTION("IF
(
C14602=""фізична особа""
,
VLOOKUP(D14602,IMPORTRANGE(""https://docs.google.com/spreadsheets/d/14Bd19lYaqBhU8_DElYkX7l4wRkHqqCUFNJY4AfY3kHU/edit?usp=sharing  #gid=0"",""фіз особи new!relations_name""),6,FALSE)
,
(IF
(
C14602=""юридична особа""
,
VLOO"&amp;"KUP(D14602,IMPORTRANGE(""https://docs.google.com/spreadsheets/d/14Bd19lYaqBhU8_DElYkX7l4wRkHqqCUFNJY4AfY3kHU/edit?usp=sharing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1" s="7" t="s">
        <v>10</v>
      </c>
      <c r="H14601" s="7">
        <v>19364</v>
      </c>
      <c r="I14601" s="8" t="str">
        <f ca="1">IFERROR(__xludf.DUMMYFUNCTION("IF
(
G14602=""фізична особа""
,
VLOOKUP(H14602,IMPORTRANGE(""https://docs.google.com/spreadsheets/d/14Bd19lYaqBhU8_DElYkX7l4wRkHqqCUFNJY4AfY3kHU/edit?usp=sharing  #gid=0"",""фіз особи new!relations_name""),6,FALSE)
,
(IF
(
G14602=""юридична особа""
,
VLOO"&amp;"KUP(H14602,IMPORTRANGE(""https://docs.google.com/spreadsheets/d/14Bd19lYaqBhU8_DElYkX7l4wRkHqqCUFNJY4AfY3kHU/edit?usp=sharing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01" s="7" t="s">
        <v>23</v>
      </c>
    </row>
    <row r="14602" spans="1:10" ht="13.2">
      <c r="A14602" s="7">
        <v>14601</v>
      </c>
      <c r="B14602" s="7">
        <v>1</v>
      </c>
      <c r="C14602" s="7" t="s">
        <v>10</v>
      </c>
      <c r="D14602" s="7">
        <v>19468</v>
      </c>
      <c r="E14602" s="7" t="s">
        <v>23</v>
      </c>
      <c r="F14602" s="8" t="str">
        <f ca="1">IFERROR(__xludf.DUMMYFUNCTION("IF
(
C14603=""фізична особа""
,
VLOOKUP(D14603,IMPORTRANGE(""https://docs.google.com/spreadsheets/d/14Bd19lYaqBhU8_DElYkX7l4wRkHqqCUFNJY4AfY3kHU/edit?usp=sharing  #gid=0"",""фіз особи new!relations_name""),6,FALSE)
,
(IF
(
C14603=""юридична особа""
,
VLOO"&amp;"KUP(D14603,IMPORTRANGE(""https://docs.google.com/spreadsheets/d/14Bd19lYaqBhU8_DElYkX7l4wRkHqqCUFNJY4AfY3kHU/edit?usp=sharing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2" s="7" t="s">
        <v>10</v>
      </c>
      <c r="H14602" s="7">
        <v>19368</v>
      </c>
      <c r="I14602" s="8" t="str">
        <f ca="1">IFERROR(__xludf.DUMMYFUNCTION("IF
(
G14603=""фізична особа""
,
VLOOKUP(H14603,IMPORTRANGE(""https://docs.google.com/spreadsheets/d/14Bd19lYaqBhU8_DElYkX7l4wRkHqqCUFNJY4AfY3kHU/edit?usp=sharing  #gid=0"",""фіз особи new!relations_name""),6,FALSE)
,
(IF
(
G14603=""юридична особа""
,
VLOO"&amp;"KUP(H14603,IMPORTRANGE(""https://docs.google.com/spreadsheets/d/14Bd19lYaqBhU8_DElYkX7l4wRkHqqCUFNJY4AfY3kHU/edit?usp=sharing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602" s="7" t="s">
        <v>23</v>
      </c>
    </row>
    <row r="14603" spans="1:10" ht="13.2">
      <c r="A14603" s="7">
        <v>14602</v>
      </c>
      <c r="B14603" s="7">
        <v>1</v>
      </c>
      <c r="C14603" s="7" t="s">
        <v>10</v>
      </c>
      <c r="D14603" s="7">
        <v>19468</v>
      </c>
      <c r="E14603" s="7" t="s">
        <v>23</v>
      </c>
      <c r="F14603" s="8" t="str">
        <f ca="1">IFERROR(__xludf.DUMMYFUNCTION("IF
(
C14604=""фізична особа""
,
VLOOKUP(D14604,IMPORTRANGE(""https://docs.google.com/spreadsheets/d/14Bd19lYaqBhU8_DElYkX7l4wRkHqqCUFNJY4AfY3kHU/edit?usp=sharing  #gid=0"",""фіз особи new!relations_name""),6,FALSE)
,
(IF
(
C14604=""юридична особа""
,
VLOO"&amp;"KUP(D14604,IMPORTRANGE(""https://docs.google.com/spreadsheets/d/14Bd19lYaqBhU8_DElYkX7l4wRkHqqCUFNJY4AfY3kHU/edit?usp=sharing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3" s="7" t="s">
        <v>10</v>
      </c>
      <c r="H14603" s="7">
        <v>19470</v>
      </c>
      <c r="I14603" s="8" t="str">
        <f ca="1">IFERROR(__xludf.DUMMYFUNCTION("IF
(
G14604=""фізична особа""
,
VLOOKUP(H14604,IMPORTRANGE(""https://docs.google.com/spreadsheets/d/14Bd19lYaqBhU8_DElYkX7l4wRkHqqCUFNJY4AfY3kHU/edit?usp=sharing  #gid=0"",""фіз особи new!relations_name""),6,FALSE)
,
(IF
(
G14604=""юридична особа""
,
VLOO"&amp;"KUP(H14604,IMPORTRANGE(""https://docs.google.com/spreadsheets/d/14Bd19lYaqBhU8_DElYkX7l4wRkHqqCUFNJY4AfY3kHU/edit?usp=sharing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603" s="7" t="s">
        <v>23</v>
      </c>
    </row>
    <row r="14604" spans="1:10" ht="13.2">
      <c r="A14604" s="7">
        <v>14603</v>
      </c>
      <c r="B14604" s="7">
        <v>1</v>
      </c>
      <c r="C14604" s="7" t="s">
        <v>10</v>
      </c>
      <c r="D14604" s="7">
        <v>19468</v>
      </c>
      <c r="E14604" s="7" t="s">
        <v>23</v>
      </c>
      <c r="F14604" s="8" t="str">
        <f ca="1">IFERROR(__xludf.DUMMYFUNCTION("IF
(
C14605=""фізична особа""
,
VLOOKUP(D14605,IMPORTRANGE(""https://docs.google.com/spreadsheets/d/14Bd19lYaqBhU8_DElYkX7l4wRkHqqCUFNJY4AfY3kHU/edit?usp=sharing  #gid=0"",""фіз особи new!relations_name""),6,FALSE)
,
(IF
(
C14605=""юридична особа""
,
VLOO"&amp;"KUP(D14605,IMPORTRANGE(""https://docs.google.com/spreadsheets/d/14Bd19lYaqBhU8_DElYkX7l4wRkHqqCUFNJY4AfY3kHU/edit?usp=sharing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4" s="7" t="s">
        <v>10</v>
      </c>
      <c r="H14604" s="7">
        <v>19365</v>
      </c>
      <c r="I14604" s="8" t="str">
        <f ca="1">IFERROR(__xludf.DUMMYFUNCTION("IF
(
G14605=""фізична особа""
,
VLOOKUP(H14605,IMPORTRANGE(""https://docs.google.com/spreadsheets/d/14Bd19lYaqBhU8_DElYkX7l4wRkHqqCUFNJY4AfY3kHU/edit?usp=sharing  #gid=0"",""фіз особи new!relations_name""),6,FALSE)
,
(IF
(
G14605=""юридична особа""
,
VLOO"&amp;"KUP(H14605,IMPORTRANGE(""https://docs.google.com/spreadsheets/d/14Bd19lYaqBhU8_DElYkX7l4wRkHqqCUFNJY4AfY3kHU/edit?usp=sharing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604" s="7" t="s">
        <v>23</v>
      </c>
    </row>
    <row r="14605" spans="1:10" ht="13.2">
      <c r="A14605" s="7">
        <v>14604</v>
      </c>
      <c r="B14605" s="7">
        <v>1</v>
      </c>
      <c r="C14605" s="7" t="s">
        <v>10</v>
      </c>
      <c r="D14605" s="7">
        <v>19468</v>
      </c>
      <c r="E14605" s="7" t="s">
        <v>23</v>
      </c>
      <c r="F14605" s="8" t="str">
        <f ca="1">IFERROR(__xludf.DUMMYFUNCTION("IF
(
C14606=""фізична особа""
,
VLOOKUP(D14606,IMPORTRANGE(""https://docs.google.com/spreadsheets/d/14Bd19lYaqBhU8_DElYkX7l4wRkHqqCUFNJY4AfY3kHU/edit?usp=sharing  #gid=0"",""фіз особи new!relations_name""),6,FALSE)
,
(IF
(
C14606=""юридична особа""
,
VLOO"&amp;"KUP(D14606,IMPORTRANGE(""https://docs.google.com/spreadsheets/d/14Bd19lYaqBhU8_DElYkX7l4wRkHqqCUFNJY4AfY3kHU/edit?usp=sharing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5" s="7" t="s">
        <v>10</v>
      </c>
      <c r="H14605" s="7">
        <v>19367</v>
      </c>
      <c r="I14605" s="8" t="str">
        <f ca="1">IFERROR(__xludf.DUMMYFUNCTION("IF
(
G14606=""фізична особа""
,
VLOOKUP(H14606,IMPORTRANGE(""https://docs.google.com/spreadsheets/d/14Bd19lYaqBhU8_DElYkX7l4wRkHqqCUFNJY4AfY3kHU/edit?usp=sharing  #gid=0"",""фіз особи new!relations_name""),6,FALSE)
,
(IF
(
G14606=""юридична особа""
,
VLOO"&amp;"KUP(H14606,IMPORTRANGE(""https://docs.google.com/spreadsheets/d/14Bd19lYaqBhU8_DElYkX7l4wRkHqqCUFNJY4AfY3kHU/edit?usp=sharing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605" s="7" t="s">
        <v>23</v>
      </c>
    </row>
    <row r="14606" spans="1:10" ht="13.2">
      <c r="A14606" s="7">
        <v>14605</v>
      </c>
      <c r="B14606" s="7">
        <v>1</v>
      </c>
      <c r="C14606" s="7" t="s">
        <v>10</v>
      </c>
      <c r="D14606" s="7">
        <v>19468</v>
      </c>
      <c r="E14606" s="7" t="s">
        <v>23</v>
      </c>
      <c r="F14606" s="8" t="str">
        <f ca="1">IFERROR(__xludf.DUMMYFUNCTION("IF
(
C14607=""фізична особа""
,
VLOOKUP(D14607,IMPORTRANGE(""https://docs.google.com/spreadsheets/d/14Bd19lYaqBhU8_DElYkX7l4wRkHqqCUFNJY4AfY3kHU/edit?usp=sharing  #gid=0"",""фіз особи new!relations_name""),6,FALSE)
,
(IF
(
C14607=""юридична особа""
,
VLOO"&amp;"KUP(D14607,IMPORTRANGE(""https://docs.google.com/spreadsheets/d/14Bd19lYaqBhU8_DElYkX7l4wRkHqqCUFNJY4AfY3kHU/edit?usp=sharing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6" s="7" t="s">
        <v>10</v>
      </c>
      <c r="H14606" s="7">
        <v>19474</v>
      </c>
      <c r="I14606" s="8" t="str">
        <f ca="1">IFERROR(__xludf.DUMMYFUNCTION("IF
(
G14607=""фізична особа""
,
VLOOKUP(H14607,IMPORTRANGE(""https://docs.google.com/spreadsheets/d/14Bd19lYaqBhU8_DElYkX7l4wRkHqqCUFNJY4AfY3kHU/edit?usp=sharing  #gid=0"",""фіз особи new!relations_name""),6,FALSE)
,
(IF
(
G14607=""юридична особа""
,
VLOO"&amp;"KUP(H14607,IMPORTRANGE(""https://docs.google.com/spreadsheets/d/14Bd19lYaqBhU8_DElYkX7l4wRkHqqCUFNJY4AfY3kHU/edit?usp=sharing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606" s="7" t="s">
        <v>23</v>
      </c>
    </row>
    <row r="14607" spans="1:10" ht="13.2">
      <c r="A14607" s="7">
        <v>14606</v>
      </c>
      <c r="B14607" s="7">
        <v>1</v>
      </c>
      <c r="C14607" s="7" t="s">
        <v>10</v>
      </c>
      <c r="D14607" s="7">
        <v>19468</v>
      </c>
      <c r="E14607" s="7" t="s">
        <v>23</v>
      </c>
      <c r="F14607" s="8" t="str">
        <f ca="1">IFERROR(__xludf.DUMMYFUNCTION("IF
(
C14608=""фізична особа""
,
VLOOKUP(D14608,IMPORTRANGE(""https://docs.google.com/spreadsheets/d/14Bd19lYaqBhU8_DElYkX7l4wRkHqqCUFNJY4AfY3kHU/edit?usp=sharing  #gid=0"",""фіз особи new!relations_name""),6,FALSE)
,
(IF
(
C14608=""юридична особа""
,
VLOO"&amp;"KUP(D14608,IMPORTRANGE(""https://docs.google.com/spreadsheets/d/14Bd19lYaqBhU8_DElYkX7l4wRkHqqCUFNJY4AfY3kHU/edit?usp=sharing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7" s="7" t="s">
        <v>10</v>
      </c>
      <c r="H14607" s="7">
        <v>19366</v>
      </c>
      <c r="I14607" s="8" t="str">
        <f ca="1">IFERROR(__xludf.DUMMYFUNCTION("IF
(
G14608=""фізична особа""
,
VLOOKUP(H14608,IMPORTRANGE(""https://docs.google.com/spreadsheets/d/14Bd19lYaqBhU8_DElYkX7l4wRkHqqCUFNJY4AfY3kHU/edit?usp=sharing  #gid=0"",""фіз особи new!relations_name""),6,FALSE)
,
(IF
(
G14608=""юридична особа""
,
VLOO"&amp;"KUP(H14608,IMPORTRANGE(""https://docs.google.com/spreadsheets/d/14Bd19lYaqBhU8_DElYkX7l4wRkHqqCUFNJY4AfY3kHU/edit?usp=sharing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07" s="7" t="s">
        <v>23</v>
      </c>
    </row>
    <row r="14608" spans="1:10" ht="13.2">
      <c r="A14608" s="7">
        <v>14607</v>
      </c>
      <c r="B14608" s="7">
        <v>1</v>
      </c>
      <c r="C14608" s="7" t="s">
        <v>10</v>
      </c>
      <c r="D14608" s="7">
        <v>19468</v>
      </c>
      <c r="E14608" s="7" t="s">
        <v>23</v>
      </c>
      <c r="F14608" s="8" t="str">
        <f ca="1">IFERROR(__xludf.DUMMYFUNCTION("IF
(
C14609=""фізична особа""
,
VLOOKUP(D14609,IMPORTRANGE(""https://docs.google.com/spreadsheets/d/14Bd19lYaqBhU8_DElYkX7l4wRkHqqCUFNJY4AfY3kHU/edit?usp=sharing  #gid=0"",""фіз особи new!relations_name""),6,FALSE)
,
(IF
(
C14609=""юридична особа""
,
VLOO"&amp;"KUP(D14609,IMPORTRANGE(""https://docs.google.com/spreadsheets/d/14Bd19lYaqBhU8_DElYkX7l4wRkHqqCUFNJY4AfY3kHU/edit?usp=sharing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8" s="7" t="s">
        <v>10</v>
      </c>
      <c r="H14608" s="7">
        <v>23701</v>
      </c>
      <c r="I14608" s="8" t="str">
        <f ca="1">IFERROR(__xludf.DUMMYFUNCTION("IF
(
G14609=""фізична особа""
,
VLOOKUP(H14609,IMPORTRANGE(""https://docs.google.com/spreadsheets/d/14Bd19lYaqBhU8_DElYkX7l4wRkHqqCUFNJY4AfY3kHU/edit?usp=sharing  #gid=0"",""фіз особи new!relations_name""),6,FALSE)
,
(IF
(
G14609=""юридична особа""
,
VLOO"&amp;"KUP(H14609,IMPORTRANGE(""https://docs.google.com/spreadsheets/d/14Bd19lYaqBhU8_DElYkX7l4wRkHqqCUFNJY4AfY3kHU/edit?usp=sharing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608" s="7" t="s">
        <v>23</v>
      </c>
    </row>
    <row r="14609" spans="1:10" ht="13.2">
      <c r="A14609" s="7">
        <v>14608</v>
      </c>
      <c r="B14609" s="7">
        <v>1</v>
      </c>
      <c r="C14609" s="7" t="s">
        <v>10</v>
      </c>
      <c r="D14609" s="7">
        <v>19468</v>
      </c>
      <c r="E14609" s="7" t="s">
        <v>23</v>
      </c>
      <c r="F14609" s="8" t="str">
        <f ca="1">IFERROR(__xludf.DUMMYFUNCTION("IF
(
C14610=""фізична особа""
,
VLOOKUP(D14610,IMPORTRANGE(""https://docs.google.com/spreadsheets/d/14Bd19lYaqBhU8_DElYkX7l4wRkHqqCUFNJY4AfY3kHU/edit?usp=sharing  #gid=0"",""фіз особи new!relations_name""),6,FALSE)
,
(IF
(
C14610=""юридична особа""
,
VLOO"&amp;"KUP(D14610,IMPORTRANGE(""https://docs.google.com/spreadsheets/d/14Bd19lYaqBhU8_DElYkX7l4wRkHqqCUFNJY4AfY3kHU/edit?usp=sharing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09" s="7" t="s">
        <v>10</v>
      </c>
      <c r="H14609" s="7">
        <v>19471</v>
      </c>
      <c r="I14609" s="8" t="str">
        <f ca="1">IFERROR(__xludf.DUMMYFUNCTION("IF
(
G14610=""фізична особа""
,
VLOOKUP(H14610,IMPORTRANGE(""https://docs.google.com/spreadsheets/d/14Bd19lYaqBhU8_DElYkX7l4wRkHqqCUFNJY4AfY3kHU/edit?usp=sharing  #gid=0"",""фіз особи new!relations_name""),6,FALSE)
,
(IF
(
G14610=""юридична особа""
,
VLOO"&amp;"KUP(H14610,IMPORTRANGE(""https://docs.google.com/spreadsheets/d/14Bd19lYaqBhU8_DElYkX7l4wRkHqqCUFNJY4AfY3kHU/edit?usp=sharing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609" s="7" t="s">
        <v>23</v>
      </c>
    </row>
    <row r="14610" spans="1:10" ht="13.2">
      <c r="A14610" s="7">
        <v>14609</v>
      </c>
      <c r="B14610" s="7">
        <v>1</v>
      </c>
      <c r="C14610" s="7" t="s">
        <v>10</v>
      </c>
      <c r="D14610" s="7">
        <v>19468</v>
      </c>
      <c r="E14610" s="7" t="s">
        <v>23</v>
      </c>
      <c r="F14610" s="8" t="str">
        <f ca="1">IFERROR(__xludf.DUMMYFUNCTION("IF
(
C14611=""фізична особа""
,
VLOOKUP(D14611,IMPORTRANGE(""https://docs.google.com/spreadsheets/d/14Bd19lYaqBhU8_DElYkX7l4wRkHqqCUFNJY4AfY3kHU/edit?usp=sharing  #gid=0"",""фіз особи new!relations_name""),6,FALSE)
,
(IF
(
C14611=""юридична особа""
,
VLOO"&amp;"KUP(D14611,IMPORTRANGE(""https://docs.google.com/spreadsheets/d/14Bd19lYaqBhU8_DElYkX7l4wRkHqqCUFNJY4AfY3kHU/edit?usp=sharing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10" s="7" t="s">
        <v>10</v>
      </c>
      <c r="H14610" s="7">
        <v>19371</v>
      </c>
      <c r="I14610" s="8" t="str">
        <f ca="1">IFERROR(__xludf.DUMMYFUNCTION("IF
(
G14611=""фізична особа""
,
VLOOKUP(H14611,IMPORTRANGE(""https://docs.google.com/spreadsheets/d/14Bd19lYaqBhU8_DElYkX7l4wRkHqqCUFNJY4AfY3kHU/edit?usp=sharing  #gid=0"",""фіз особи new!relations_name""),6,FALSE)
,
(IF
(
G14611=""юридична особа""
,
VLOO"&amp;"KUP(H14611,IMPORTRANGE(""https://docs.google.com/spreadsheets/d/14Bd19lYaqBhU8_DElYkX7l4wRkHqqCUFNJY4AfY3kHU/edit?usp=sharing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610" s="7" t="s">
        <v>23</v>
      </c>
    </row>
    <row r="14611" spans="1:10" ht="13.2">
      <c r="A14611" s="7">
        <v>14610</v>
      </c>
      <c r="B14611" s="7">
        <v>1</v>
      </c>
      <c r="C14611" s="7" t="s">
        <v>10</v>
      </c>
      <c r="D14611" s="7">
        <v>19468</v>
      </c>
      <c r="E14611" s="7" t="s">
        <v>23</v>
      </c>
      <c r="F14611" s="8" t="str">
        <f ca="1">IFERROR(__xludf.DUMMYFUNCTION("IF
(
C14612=""фізична особа""
,
VLOOKUP(D14612,IMPORTRANGE(""https://docs.google.com/spreadsheets/d/14Bd19lYaqBhU8_DElYkX7l4wRkHqqCUFNJY4AfY3kHU/edit?usp=sharing  #gid=0"",""фіз особи new!relations_name""),6,FALSE)
,
(IF
(
C14612=""юридична особа""
,
VLOO"&amp;"KUP(D14612,IMPORTRANGE(""https://docs.google.com/spreadsheets/d/14Bd19lYaqBhU8_DElYkX7l4wRkHqqCUFNJY4AfY3kHU/edit?usp=sharing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11" s="7" t="s">
        <v>10</v>
      </c>
      <c r="H14611" s="7">
        <v>19469</v>
      </c>
      <c r="I14611" s="8" t="str">
        <f ca="1">IFERROR(__xludf.DUMMYFUNCTION("IF
(
G14612=""фізична особа""
,
VLOOKUP(H14612,IMPORTRANGE(""https://docs.google.com/spreadsheets/d/14Bd19lYaqBhU8_DElYkX7l4wRkHqqCUFNJY4AfY3kHU/edit?usp=sharing  #gid=0"",""фіз особи new!relations_name""),6,FALSE)
,
(IF
(
G14612=""юридична особа""
,
VLOO"&amp;"KUP(H14612,IMPORTRANGE(""https://docs.google.com/spreadsheets/d/14Bd19lYaqBhU8_DElYkX7l4wRkHqqCUFNJY4AfY3kHU/edit?usp=sharing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611" s="7" t="s">
        <v>23</v>
      </c>
    </row>
    <row r="14612" spans="1:10" ht="13.2">
      <c r="A14612" s="7">
        <v>14611</v>
      </c>
      <c r="B14612" s="7">
        <v>1</v>
      </c>
      <c r="C14612" s="7" t="s">
        <v>10</v>
      </c>
      <c r="D14612" s="7">
        <v>19468</v>
      </c>
      <c r="E14612" s="7" t="s">
        <v>23</v>
      </c>
      <c r="F14612" s="8" t="str">
        <f ca="1">IFERROR(__xludf.DUMMYFUNCTION("IF
(
C14613=""фізична особа""
,
VLOOKUP(D14613,IMPORTRANGE(""https://docs.google.com/spreadsheets/d/14Bd19lYaqBhU8_DElYkX7l4wRkHqqCUFNJY4AfY3kHU/edit?usp=sharing  #gid=0"",""фіз особи new!relations_name""),6,FALSE)
,
(IF
(
C14613=""юридична особа""
,
VLOO"&amp;"KUP(D14613,IMPORTRANGE(""https://docs.google.com/spreadsheets/d/14Bd19lYaqBhU8_DElYkX7l4wRkHqqCUFNJY4AfY3kHU/edit?usp=sharing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12" s="7" t="s">
        <v>10</v>
      </c>
      <c r="H14612" s="7">
        <v>23698</v>
      </c>
      <c r="I14612" s="8" t="str">
        <f ca="1">IFERROR(__xludf.DUMMYFUNCTION("IF
(
G14613=""фізична особа""
,
VLOOKUP(H14613,IMPORTRANGE(""https://docs.google.com/spreadsheets/d/14Bd19lYaqBhU8_DElYkX7l4wRkHqqCUFNJY4AfY3kHU/edit?usp=sharing  #gid=0"",""фіз особи new!relations_name""),6,FALSE)
,
(IF
(
G14613=""юридична особа""
,
VLOO"&amp;"KUP(H14613,IMPORTRANGE(""https://docs.google.com/spreadsheets/d/14Bd19lYaqBhU8_DElYkX7l4wRkHqqCUFNJY4AfY3kHU/edit?usp=sharing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612" s="7" t="s">
        <v>23</v>
      </c>
    </row>
    <row r="14613" spans="1:10" ht="13.2">
      <c r="A14613" s="7">
        <v>14612</v>
      </c>
      <c r="B14613" s="7">
        <v>1</v>
      </c>
      <c r="C14613" s="7" t="s">
        <v>10</v>
      </c>
      <c r="D14613" s="7">
        <v>19468</v>
      </c>
      <c r="E14613" s="7" t="s">
        <v>23</v>
      </c>
      <c r="F14613" s="8" t="str">
        <f ca="1">IFERROR(__xludf.DUMMYFUNCTION("IF
(
C14614=""фізична особа""
,
VLOOKUP(D14614,IMPORTRANGE(""https://docs.google.com/spreadsheets/d/14Bd19lYaqBhU8_DElYkX7l4wRkHqqCUFNJY4AfY3kHU/edit?usp=sharing  #gid=0"",""фіз особи new!relations_name""),6,FALSE)
,
(IF
(
C14614=""юридична особа""
,
VLOO"&amp;"KUP(D14614,IMPORTRANGE(""https://docs.google.com/spreadsheets/d/14Bd19lYaqBhU8_DElYkX7l4wRkHqqCUFNJY4AfY3kHU/edit?usp=sharing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G14613" s="7" t="s">
        <v>10</v>
      </c>
      <c r="H14613" s="7">
        <v>23696</v>
      </c>
      <c r="I14613" s="8" t="str">
        <f ca="1">IFERROR(__xludf.DUMMYFUNCTION("IF
(
G14614=""фізична особа""
,
VLOOKUP(H14614,IMPORTRANGE(""https://docs.google.com/spreadsheets/d/14Bd19lYaqBhU8_DElYkX7l4wRkHqqCUFNJY4AfY3kHU/edit?usp=sharing  #gid=0"",""фіз особи new!relations_name""),6,FALSE)
,
(IF
(
G14614=""юридична особа""
,
VLOO"&amp;"KUP(H14614,IMPORTRANGE(""https://docs.google.com/spreadsheets/d/14Bd19lYaqBhU8_DElYkX7l4wRkHqqCUFNJY4AfY3kHU/edit?usp=sharing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613" s="7" t="s">
        <v>23</v>
      </c>
    </row>
    <row r="14614" spans="1:10" ht="13.2">
      <c r="A14614" s="7">
        <v>14613</v>
      </c>
      <c r="B14614" s="7">
        <v>1</v>
      </c>
      <c r="C14614" s="7" t="s">
        <v>10</v>
      </c>
      <c r="D14614" s="7">
        <v>19469</v>
      </c>
      <c r="E14614" s="7" t="s">
        <v>23</v>
      </c>
      <c r="F14614" s="8" t="str">
        <f ca="1">IFERROR(__xludf.DUMMYFUNCTION("IF
(
C14615=""фізична особа""
,
VLOOKUP(D14615,IMPORTRANGE(""https://docs.google.com/spreadsheets/d/14Bd19lYaqBhU8_DElYkX7l4wRkHqqCUFNJY4AfY3kHU/edit?usp=sharing  #gid=0"",""фіз особи new!relations_name""),6,FALSE)
,
(IF
(
C14615=""юридична особа""
,
VLOO"&amp;"KUP(D14615,IMPORTRANGE(""https://docs.google.com/spreadsheets/d/14Bd19lYaqBhU8_DElYkX7l4wRkHqqCUFNJY4AfY3kHU/edit?usp=sharing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4" s="7" t="s">
        <v>10</v>
      </c>
      <c r="H14614" s="7">
        <v>19467</v>
      </c>
      <c r="I14614" s="8" t="str">
        <f ca="1">IFERROR(__xludf.DUMMYFUNCTION("IF
(
G14615=""фізична особа""
,
VLOOKUP(H14615,IMPORTRANGE(""https://docs.google.com/spreadsheets/d/14Bd19lYaqBhU8_DElYkX7l4wRkHqqCUFNJY4AfY3kHU/edit?usp=sharing  #gid=0"",""фіз особи new!relations_name""),6,FALSE)
,
(IF
(
G14615=""юридична особа""
,
VLOO"&amp;"KUP(H14615,IMPORTRANGE(""https://docs.google.com/spreadsheets/d/14Bd19lYaqBhU8_DElYkX7l4wRkHqqCUFNJY4AfY3kHU/edit?usp=sharing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614" s="7" t="s">
        <v>23</v>
      </c>
    </row>
    <row r="14615" spans="1:10" ht="13.2">
      <c r="A14615" s="7">
        <v>14614</v>
      </c>
      <c r="B14615" s="7">
        <v>1</v>
      </c>
      <c r="C14615" s="7" t="s">
        <v>10</v>
      </c>
      <c r="D14615" s="7">
        <v>19469</v>
      </c>
      <c r="E14615" s="7" t="s">
        <v>23</v>
      </c>
      <c r="F14615" s="8" t="str">
        <f ca="1">IFERROR(__xludf.DUMMYFUNCTION("IF
(
C14616=""фізична особа""
,
VLOOKUP(D14616,IMPORTRANGE(""https://docs.google.com/spreadsheets/d/14Bd19lYaqBhU8_DElYkX7l4wRkHqqCUFNJY4AfY3kHU/edit?usp=sharing  #gid=0"",""фіз особи new!relations_name""),6,FALSE)
,
(IF
(
C14616=""юридична особа""
,
VLOO"&amp;"KUP(D14616,IMPORTRANGE(""https://docs.google.com/spreadsheets/d/14Bd19lYaqBhU8_DElYkX7l4wRkHqqCUFNJY4AfY3kHU/edit?usp=sharing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5" s="7" t="s">
        <v>10</v>
      </c>
      <c r="H14615" s="7">
        <v>19466</v>
      </c>
      <c r="I14615" s="8" t="str">
        <f ca="1">IFERROR(__xludf.DUMMYFUNCTION("IF
(
G14616=""фізична особа""
,
VLOOKUP(H14616,IMPORTRANGE(""https://docs.google.com/spreadsheets/d/14Bd19lYaqBhU8_DElYkX7l4wRkHqqCUFNJY4AfY3kHU/edit?usp=sharing  #gid=0"",""фіз особи new!relations_name""),6,FALSE)
,
(IF
(
G14616=""юридична особа""
,
VLOO"&amp;"KUP(H14616,IMPORTRANGE(""https://docs.google.com/spreadsheets/d/14Bd19lYaqBhU8_DElYkX7l4wRkHqqCUFNJY4AfY3kHU/edit?usp=sharing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615" s="7" t="s">
        <v>23</v>
      </c>
    </row>
    <row r="14616" spans="1:10" ht="13.2">
      <c r="A14616" s="7">
        <v>14615</v>
      </c>
      <c r="B14616" s="7">
        <v>1</v>
      </c>
      <c r="C14616" s="7" t="s">
        <v>10</v>
      </c>
      <c r="D14616" s="7">
        <v>19469</v>
      </c>
      <c r="E14616" s="7" t="s">
        <v>23</v>
      </c>
      <c r="F14616" s="8" t="str">
        <f ca="1">IFERROR(__xludf.DUMMYFUNCTION("IF
(
C14617=""фізична особа""
,
VLOOKUP(D14617,IMPORTRANGE(""https://docs.google.com/spreadsheets/d/14Bd19lYaqBhU8_DElYkX7l4wRkHqqCUFNJY4AfY3kHU/edit?usp=sharing  #gid=0"",""фіз особи new!relations_name""),6,FALSE)
,
(IF
(
C14617=""юридична особа""
,
VLOO"&amp;"KUP(D14617,IMPORTRANGE(""https://docs.google.com/spreadsheets/d/14Bd19lYaqBhU8_DElYkX7l4wRkHqqCUFNJY4AfY3kHU/edit?usp=sharing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6" s="7" t="s">
        <v>10</v>
      </c>
      <c r="H14616" s="7">
        <v>19364</v>
      </c>
      <c r="I14616" s="8" t="str">
        <f ca="1">IFERROR(__xludf.DUMMYFUNCTION("IF
(
G14617=""фізична особа""
,
VLOOKUP(H14617,IMPORTRANGE(""https://docs.google.com/spreadsheets/d/14Bd19lYaqBhU8_DElYkX7l4wRkHqqCUFNJY4AfY3kHU/edit?usp=sharing  #gid=0"",""фіз особи new!relations_name""),6,FALSE)
,
(IF
(
G14617=""юридична особа""
,
VLOO"&amp;"KUP(H14617,IMPORTRANGE(""https://docs.google.com/spreadsheets/d/14Bd19lYaqBhU8_DElYkX7l4wRkHqqCUFNJY4AfY3kHU/edit?usp=sharing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16" s="7" t="s">
        <v>23</v>
      </c>
    </row>
    <row r="14617" spans="1:10" ht="13.2">
      <c r="A14617" s="7">
        <v>14616</v>
      </c>
      <c r="B14617" s="7">
        <v>1</v>
      </c>
      <c r="C14617" s="7" t="s">
        <v>10</v>
      </c>
      <c r="D14617" s="7">
        <v>19469</v>
      </c>
      <c r="E14617" s="7" t="s">
        <v>23</v>
      </c>
      <c r="F14617" s="8" t="str">
        <f ca="1">IFERROR(__xludf.DUMMYFUNCTION("IF
(
C14618=""фізична особа""
,
VLOOKUP(D14618,IMPORTRANGE(""https://docs.google.com/spreadsheets/d/14Bd19lYaqBhU8_DElYkX7l4wRkHqqCUFNJY4AfY3kHU/edit?usp=sharing  #gid=0"",""фіз особи new!relations_name""),6,FALSE)
,
(IF
(
C14618=""юридична особа""
,
VLOO"&amp;"KUP(D14618,IMPORTRANGE(""https://docs.google.com/spreadsheets/d/14Bd19lYaqBhU8_DElYkX7l4wRkHqqCUFNJY4AfY3kHU/edit?usp=sharing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7" s="7" t="s">
        <v>10</v>
      </c>
      <c r="H14617" s="7">
        <v>19368</v>
      </c>
      <c r="I14617" s="8" t="str">
        <f ca="1">IFERROR(__xludf.DUMMYFUNCTION("IF
(
G14618=""фізична особа""
,
VLOOKUP(H14618,IMPORTRANGE(""https://docs.google.com/spreadsheets/d/14Bd19lYaqBhU8_DElYkX7l4wRkHqqCUFNJY4AfY3kHU/edit?usp=sharing  #gid=0"",""фіз особи new!relations_name""),6,FALSE)
,
(IF
(
G14618=""юридична особа""
,
VLOO"&amp;"KUP(H14618,IMPORTRANGE(""https://docs.google.com/spreadsheets/d/14Bd19lYaqBhU8_DElYkX7l4wRkHqqCUFNJY4AfY3kHU/edit?usp=sharing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617" s="7" t="s">
        <v>23</v>
      </c>
    </row>
    <row r="14618" spans="1:10" ht="13.2">
      <c r="A14618" s="7">
        <v>14617</v>
      </c>
      <c r="B14618" s="7">
        <v>1</v>
      </c>
      <c r="C14618" s="7" t="s">
        <v>10</v>
      </c>
      <c r="D14618" s="7">
        <v>19469</v>
      </c>
      <c r="E14618" s="7" t="s">
        <v>23</v>
      </c>
      <c r="F14618" s="8" t="str">
        <f ca="1">IFERROR(__xludf.DUMMYFUNCTION("IF
(
C14619=""фізична особа""
,
VLOOKUP(D14619,IMPORTRANGE(""https://docs.google.com/spreadsheets/d/14Bd19lYaqBhU8_DElYkX7l4wRkHqqCUFNJY4AfY3kHU/edit?usp=sharing  #gid=0"",""фіз особи new!relations_name""),6,FALSE)
,
(IF
(
C14619=""юридична особа""
,
VLOO"&amp;"KUP(D14619,IMPORTRANGE(""https://docs.google.com/spreadsheets/d/14Bd19lYaqBhU8_DElYkX7l4wRkHqqCUFNJY4AfY3kHU/edit?usp=sharing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8" s="7" t="s">
        <v>10</v>
      </c>
      <c r="H14618" s="7">
        <v>19470</v>
      </c>
      <c r="I14618" s="8" t="str">
        <f ca="1">IFERROR(__xludf.DUMMYFUNCTION("IF
(
G14619=""фізична особа""
,
VLOOKUP(H14619,IMPORTRANGE(""https://docs.google.com/spreadsheets/d/14Bd19lYaqBhU8_DElYkX7l4wRkHqqCUFNJY4AfY3kHU/edit?usp=sharing  #gid=0"",""фіз особи new!relations_name""),6,FALSE)
,
(IF
(
G14619=""юридична особа""
,
VLOO"&amp;"KUP(H14619,IMPORTRANGE(""https://docs.google.com/spreadsheets/d/14Bd19lYaqBhU8_DElYkX7l4wRkHqqCUFNJY4AfY3kHU/edit?usp=sharing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618" s="7" t="s">
        <v>23</v>
      </c>
    </row>
    <row r="14619" spans="1:10" ht="13.2">
      <c r="A14619" s="7">
        <v>14618</v>
      </c>
      <c r="B14619" s="7">
        <v>1</v>
      </c>
      <c r="C14619" s="7" t="s">
        <v>10</v>
      </c>
      <c r="D14619" s="7">
        <v>19469</v>
      </c>
      <c r="E14619" s="7" t="s">
        <v>23</v>
      </c>
      <c r="F14619" s="8" t="str">
        <f ca="1">IFERROR(__xludf.DUMMYFUNCTION("IF
(
C14620=""фізична особа""
,
VLOOKUP(D14620,IMPORTRANGE(""https://docs.google.com/spreadsheets/d/14Bd19lYaqBhU8_DElYkX7l4wRkHqqCUFNJY4AfY3kHU/edit?usp=sharing  #gid=0"",""фіз особи new!relations_name""),6,FALSE)
,
(IF
(
C14620=""юридична особа""
,
VLOO"&amp;"KUP(D14620,IMPORTRANGE(""https://docs.google.com/spreadsheets/d/14Bd19lYaqBhU8_DElYkX7l4wRkHqqCUFNJY4AfY3kHU/edit?usp=sharing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19" s="7" t="s">
        <v>10</v>
      </c>
      <c r="H14619" s="7">
        <v>19365</v>
      </c>
      <c r="I14619" s="8" t="str">
        <f ca="1">IFERROR(__xludf.DUMMYFUNCTION("IF
(
G14620=""фізична особа""
,
VLOOKUP(H14620,IMPORTRANGE(""https://docs.google.com/spreadsheets/d/14Bd19lYaqBhU8_DElYkX7l4wRkHqqCUFNJY4AfY3kHU/edit?usp=sharing  #gid=0"",""фіз особи new!relations_name""),6,FALSE)
,
(IF
(
G14620=""юридична особа""
,
VLOO"&amp;"KUP(H14620,IMPORTRANGE(""https://docs.google.com/spreadsheets/d/14Bd19lYaqBhU8_DElYkX7l4wRkHqqCUFNJY4AfY3kHU/edit?usp=sharing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619" s="7" t="s">
        <v>23</v>
      </c>
    </row>
    <row r="14620" spans="1:10" ht="13.2">
      <c r="A14620" s="7">
        <v>14619</v>
      </c>
      <c r="B14620" s="7">
        <v>1</v>
      </c>
      <c r="C14620" s="7" t="s">
        <v>10</v>
      </c>
      <c r="D14620" s="7">
        <v>19469</v>
      </c>
      <c r="E14620" s="7" t="s">
        <v>23</v>
      </c>
      <c r="F14620" s="8" t="str">
        <f ca="1">IFERROR(__xludf.DUMMYFUNCTION("IF
(
C14621=""фізична особа""
,
VLOOKUP(D14621,IMPORTRANGE(""https://docs.google.com/spreadsheets/d/14Bd19lYaqBhU8_DElYkX7l4wRkHqqCUFNJY4AfY3kHU/edit?usp=sharing  #gid=0"",""фіз особи new!relations_name""),6,FALSE)
,
(IF
(
C14621=""юридична особа""
,
VLOO"&amp;"KUP(D14621,IMPORTRANGE(""https://docs.google.com/spreadsheets/d/14Bd19lYaqBhU8_DElYkX7l4wRkHqqCUFNJY4AfY3kHU/edit?usp=sharing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0" s="7" t="s">
        <v>10</v>
      </c>
      <c r="H14620" s="7">
        <v>19367</v>
      </c>
      <c r="I14620" s="8" t="str">
        <f ca="1">IFERROR(__xludf.DUMMYFUNCTION("IF
(
G14621=""фізична особа""
,
VLOOKUP(H14621,IMPORTRANGE(""https://docs.google.com/spreadsheets/d/14Bd19lYaqBhU8_DElYkX7l4wRkHqqCUFNJY4AfY3kHU/edit?usp=sharing  #gid=0"",""фіз особи new!relations_name""),6,FALSE)
,
(IF
(
G14621=""юридична особа""
,
VLOO"&amp;"KUP(H14621,IMPORTRANGE(""https://docs.google.com/spreadsheets/d/14Bd19lYaqBhU8_DElYkX7l4wRkHqqCUFNJY4AfY3kHU/edit?usp=sharing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620" s="7" t="s">
        <v>23</v>
      </c>
    </row>
    <row r="14621" spans="1:10" ht="13.2">
      <c r="A14621" s="7">
        <v>14620</v>
      </c>
      <c r="B14621" s="7">
        <v>1</v>
      </c>
      <c r="C14621" s="7" t="s">
        <v>10</v>
      </c>
      <c r="D14621" s="7">
        <v>19469</v>
      </c>
      <c r="E14621" s="7" t="s">
        <v>23</v>
      </c>
      <c r="F14621" s="8" t="str">
        <f ca="1">IFERROR(__xludf.DUMMYFUNCTION("IF
(
C14622=""фізична особа""
,
VLOOKUP(D14622,IMPORTRANGE(""https://docs.google.com/spreadsheets/d/14Bd19lYaqBhU8_DElYkX7l4wRkHqqCUFNJY4AfY3kHU/edit?usp=sharing  #gid=0"",""фіз особи new!relations_name""),6,FALSE)
,
(IF
(
C14622=""юридична особа""
,
VLOO"&amp;"KUP(D14622,IMPORTRANGE(""https://docs.google.com/spreadsheets/d/14Bd19lYaqBhU8_DElYkX7l4wRkHqqCUFNJY4AfY3kHU/edit?usp=sharing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1" s="7" t="s">
        <v>10</v>
      </c>
      <c r="H14621" s="7">
        <v>19474</v>
      </c>
      <c r="I14621" s="8" t="str">
        <f ca="1">IFERROR(__xludf.DUMMYFUNCTION("IF
(
G14622=""фізична особа""
,
VLOOKUP(H14622,IMPORTRANGE(""https://docs.google.com/spreadsheets/d/14Bd19lYaqBhU8_DElYkX7l4wRkHqqCUFNJY4AfY3kHU/edit?usp=sharing  #gid=0"",""фіз особи new!relations_name""),6,FALSE)
,
(IF
(
G14622=""юридична особа""
,
VLOO"&amp;"KUP(H14622,IMPORTRANGE(""https://docs.google.com/spreadsheets/d/14Bd19lYaqBhU8_DElYkX7l4wRkHqqCUFNJY4AfY3kHU/edit?usp=sharing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621" s="7" t="s">
        <v>23</v>
      </c>
    </row>
    <row r="14622" spans="1:10" ht="13.2">
      <c r="A14622" s="7">
        <v>14621</v>
      </c>
      <c r="B14622" s="7">
        <v>1</v>
      </c>
      <c r="C14622" s="7" t="s">
        <v>10</v>
      </c>
      <c r="D14622" s="7">
        <v>19469</v>
      </c>
      <c r="E14622" s="7" t="s">
        <v>23</v>
      </c>
      <c r="F14622" s="8" t="str">
        <f ca="1">IFERROR(__xludf.DUMMYFUNCTION("IF
(
C14623=""фізична особа""
,
VLOOKUP(D14623,IMPORTRANGE(""https://docs.google.com/spreadsheets/d/14Bd19lYaqBhU8_DElYkX7l4wRkHqqCUFNJY4AfY3kHU/edit?usp=sharing  #gid=0"",""фіз особи new!relations_name""),6,FALSE)
,
(IF
(
C14623=""юридична особа""
,
VLOO"&amp;"KUP(D14623,IMPORTRANGE(""https://docs.google.com/spreadsheets/d/14Bd19lYaqBhU8_DElYkX7l4wRkHqqCUFNJY4AfY3kHU/edit?usp=sharing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2" s="7" t="s">
        <v>10</v>
      </c>
      <c r="H14622" s="7">
        <v>19366</v>
      </c>
      <c r="I14622" s="8" t="str">
        <f ca="1">IFERROR(__xludf.DUMMYFUNCTION("IF
(
G14623=""фізична особа""
,
VLOOKUP(H14623,IMPORTRANGE(""https://docs.google.com/spreadsheets/d/14Bd19lYaqBhU8_DElYkX7l4wRkHqqCUFNJY4AfY3kHU/edit?usp=sharing  #gid=0"",""фіз особи new!relations_name""),6,FALSE)
,
(IF
(
G14623=""юридична особа""
,
VLOO"&amp;"KUP(H14623,IMPORTRANGE(""https://docs.google.com/spreadsheets/d/14Bd19lYaqBhU8_DElYkX7l4wRkHqqCUFNJY4AfY3kHU/edit?usp=sharing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22" s="7" t="s">
        <v>23</v>
      </c>
    </row>
    <row r="14623" spans="1:10" ht="13.2">
      <c r="A14623" s="7">
        <v>14622</v>
      </c>
      <c r="B14623" s="7">
        <v>1</v>
      </c>
      <c r="C14623" s="7" t="s">
        <v>10</v>
      </c>
      <c r="D14623" s="7">
        <v>19469</v>
      </c>
      <c r="E14623" s="7" t="s">
        <v>23</v>
      </c>
      <c r="F14623" s="8" t="str">
        <f ca="1">IFERROR(__xludf.DUMMYFUNCTION("IF
(
C14624=""фізична особа""
,
VLOOKUP(D14624,IMPORTRANGE(""https://docs.google.com/spreadsheets/d/14Bd19lYaqBhU8_DElYkX7l4wRkHqqCUFNJY4AfY3kHU/edit?usp=sharing  #gid=0"",""фіз особи new!relations_name""),6,FALSE)
,
(IF
(
C14624=""юридична особа""
,
VLOO"&amp;"KUP(D14624,IMPORTRANGE(""https://docs.google.com/spreadsheets/d/14Bd19lYaqBhU8_DElYkX7l4wRkHqqCUFNJY4AfY3kHU/edit?usp=sharing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3" s="7" t="s">
        <v>10</v>
      </c>
      <c r="H14623" s="7">
        <v>23701</v>
      </c>
      <c r="I14623" s="8" t="str">
        <f ca="1">IFERROR(__xludf.DUMMYFUNCTION("IF
(
G14624=""фізична особа""
,
VLOOKUP(H14624,IMPORTRANGE(""https://docs.google.com/spreadsheets/d/14Bd19lYaqBhU8_DElYkX7l4wRkHqqCUFNJY4AfY3kHU/edit?usp=sharing  #gid=0"",""фіз особи new!relations_name""),6,FALSE)
,
(IF
(
G14624=""юридична особа""
,
VLOO"&amp;"KUP(H14624,IMPORTRANGE(""https://docs.google.com/spreadsheets/d/14Bd19lYaqBhU8_DElYkX7l4wRkHqqCUFNJY4AfY3kHU/edit?usp=sharing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623" s="7" t="s">
        <v>23</v>
      </c>
    </row>
    <row r="14624" spans="1:10" ht="13.2">
      <c r="A14624" s="7">
        <v>14623</v>
      </c>
      <c r="B14624" s="7">
        <v>1</v>
      </c>
      <c r="C14624" s="7" t="s">
        <v>10</v>
      </c>
      <c r="D14624" s="7">
        <v>19469</v>
      </c>
      <c r="E14624" s="7" t="s">
        <v>23</v>
      </c>
      <c r="F14624" s="8" t="str">
        <f ca="1">IFERROR(__xludf.DUMMYFUNCTION("IF
(
C14625=""фізична особа""
,
VLOOKUP(D14625,IMPORTRANGE(""https://docs.google.com/spreadsheets/d/14Bd19lYaqBhU8_DElYkX7l4wRkHqqCUFNJY4AfY3kHU/edit?usp=sharing  #gid=0"",""фіз особи new!relations_name""),6,FALSE)
,
(IF
(
C14625=""юридична особа""
,
VLOO"&amp;"KUP(D14625,IMPORTRANGE(""https://docs.google.com/spreadsheets/d/14Bd19lYaqBhU8_DElYkX7l4wRkHqqCUFNJY4AfY3kHU/edit?usp=sharing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4" s="7" t="s">
        <v>10</v>
      </c>
      <c r="H14624" s="7">
        <v>19471</v>
      </c>
      <c r="I14624" s="8" t="str">
        <f ca="1">IFERROR(__xludf.DUMMYFUNCTION("IF
(
G14625=""фізична особа""
,
VLOOKUP(H14625,IMPORTRANGE(""https://docs.google.com/spreadsheets/d/14Bd19lYaqBhU8_DElYkX7l4wRkHqqCUFNJY4AfY3kHU/edit?usp=sharing  #gid=0"",""фіз особи new!relations_name""),6,FALSE)
,
(IF
(
G14625=""юридична особа""
,
VLOO"&amp;"KUP(H14625,IMPORTRANGE(""https://docs.google.com/spreadsheets/d/14Bd19lYaqBhU8_DElYkX7l4wRkHqqCUFNJY4AfY3kHU/edit?usp=sharing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624" s="7" t="s">
        <v>23</v>
      </c>
    </row>
    <row r="14625" spans="1:10" ht="13.2">
      <c r="A14625" s="7">
        <v>14624</v>
      </c>
      <c r="B14625" s="7">
        <v>1</v>
      </c>
      <c r="C14625" s="7" t="s">
        <v>10</v>
      </c>
      <c r="D14625" s="7">
        <v>19469</v>
      </c>
      <c r="E14625" s="7" t="s">
        <v>23</v>
      </c>
      <c r="F14625" s="8" t="str">
        <f ca="1">IFERROR(__xludf.DUMMYFUNCTION("IF
(
C14626=""фізична особа""
,
VLOOKUP(D14626,IMPORTRANGE(""https://docs.google.com/spreadsheets/d/14Bd19lYaqBhU8_DElYkX7l4wRkHqqCUFNJY4AfY3kHU/edit?usp=sharing  #gid=0"",""фіз особи new!relations_name""),6,FALSE)
,
(IF
(
C14626=""юридична особа""
,
VLOO"&amp;"KUP(D14626,IMPORTRANGE(""https://docs.google.com/spreadsheets/d/14Bd19lYaqBhU8_DElYkX7l4wRkHqqCUFNJY4AfY3kHU/edit?usp=sharing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5" s="7" t="s">
        <v>10</v>
      </c>
      <c r="H14625" s="7">
        <v>19371</v>
      </c>
      <c r="I14625" s="8" t="str">
        <f ca="1">IFERROR(__xludf.DUMMYFUNCTION("IF
(
G14626=""фізична особа""
,
VLOOKUP(H14626,IMPORTRANGE(""https://docs.google.com/spreadsheets/d/14Bd19lYaqBhU8_DElYkX7l4wRkHqqCUFNJY4AfY3kHU/edit?usp=sharing  #gid=0"",""фіз особи new!relations_name""),6,FALSE)
,
(IF
(
G14626=""юридична особа""
,
VLOO"&amp;"KUP(H14626,IMPORTRANGE(""https://docs.google.com/spreadsheets/d/14Bd19lYaqBhU8_DElYkX7l4wRkHqqCUFNJY4AfY3kHU/edit?usp=sharing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625" s="7" t="s">
        <v>23</v>
      </c>
    </row>
    <row r="14626" spans="1:10" ht="13.2">
      <c r="A14626" s="7">
        <v>14625</v>
      </c>
      <c r="B14626" s="7">
        <v>1</v>
      </c>
      <c r="C14626" s="7" t="s">
        <v>10</v>
      </c>
      <c r="D14626" s="7">
        <v>19469</v>
      </c>
      <c r="E14626" s="7" t="s">
        <v>23</v>
      </c>
      <c r="F14626" s="8" t="str">
        <f ca="1">IFERROR(__xludf.DUMMYFUNCTION("IF
(
C14627=""фізична особа""
,
VLOOKUP(D14627,IMPORTRANGE(""https://docs.google.com/spreadsheets/d/14Bd19lYaqBhU8_DElYkX7l4wRkHqqCUFNJY4AfY3kHU/edit?usp=sharing  #gid=0"",""фіз особи new!relations_name""),6,FALSE)
,
(IF
(
C14627=""юридична особа""
,
VLOO"&amp;"KUP(D14627,IMPORTRANGE(""https://docs.google.com/spreadsheets/d/14Bd19lYaqBhU8_DElYkX7l4wRkHqqCUFNJY4AfY3kHU/edit?usp=sharing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6" s="7" t="s">
        <v>10</v>
      </c>
      <c r="H14626" s="7">
        <v>19468</v>
      </c>
      <c r="I14626" s="8" t="str">
        <f ca="1">IFERROR(__xludf.DUMMYFUNCTION("IF
(
G14627=""фізична особа""
,
VLOOKUP(H14627,IMPORTRANGE(""https://docs.google.com/spreadsheets/d/14Bd19lYaqBhU8_DElYkX7l4wRkHqqCUFNJY4AfY3kHU/edit?usp=sharing  #gid=0"",""фіз особи new!relations_name""),6,FALSE)
,
(IF
(
G14627=""юридична особа""
,
VLOO"&amp;"KUP(H14627,IMPORTRANGE(""https://docs.google.com/spreadsheets/d/14Bd19lYaqBhU8_DElYkX7l4wRkHqqCUFNJY4AfY3kHU/edit?usp=sharing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626" s="7" t="s">
        <v>23</v>
      </c>
    </row>
    <row r="14627" spans="1:10" ht="13.2">
      <c r="A14627" s="7">
        <v>14626</v>
      </c>
      <c r="B14627" s="7">
        <v>1</v>
      </c>
      <c r="C14627" s="7" t="s">
        <v>10</v>
      </c>
      <c r="D14627" s="7">
        <v>19469</v>
      </c>
      <c r="E14627" s="7" t="s">
        <v>23</v>
      </c>
      <c r="F14627" s="8" t="str">
        <f ca="1">IFERROR(__xludf.DUMMYFUNCTION("IF
(
C14628=""фізична особа""
,
VLOOKUP(D14628,IMPORTRANGE(""https://docs.google.com/spreadsheets/d/14Bd19lYaqBhU8_DElYkX7l4wRkHqqCUFNJY4AfY3kHU/edit?usp=sharing  #gid=0"",""фіз особи new!relations_name""),6,FALSE)
,
(IF
(
C14628=""юридична особа""
,
VLOO"&amp;"KUP(D14628,IMPORTRANGE(""https://docs.google.com/spreadsheets/d/14Bd19lYaqBhU8_DElYkX7l4wRkHqqCUFNJY4AfY3kHU/edit?usp=sharing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7" s="7" t="s">
        <v>10</v>
      </c>
      <c r="H14627" s="7">
        <v>23698</v>
      </c>
      <c r="I14627" s="8" t="str">
        <f ca="1">IFERROR(__xludf.DUMMYFUNCTION("IF
(
G14628=""фізична особа""
,
VLOOKUP(H14628,IMPORTRANGE(""https://docs.google.com/spreadsheets/d/14Bd19lYaqBhU8_DElYkX7l4wRkHqqCUFNJY4AfY3kHU/edit?usp=sharing  #gid=0"",""фіз особи new!relations_name""),6,FALSE)
,
(IF
(
G14628=""юридична особа""
,
VLOO"&amp;"KUP(H14628,IMPORTRANGE(""https://docs.google.com/spreadsheets/d/14Bd19lYaqBhU8_DElYkX7l4wRkHqqCUFNJY4AfY3kHU/edit?usp=sharing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627" s="7" t="s">
        <v>23</v>
      </c>
    </row>
    <row r="14628" spans="1:10" ht="13.2">
      <c r="A14628" s="7">
        <v>14627</v>
      </c>
      <c r="B14628" s="7">
        <v>1</v>
      </c>
      <c r="C14628" s="7" t="s">
        <v>10</v>
      </c>
      <c r="D14628" s="7">
        <v>19469</v>
      </c>
      <c r="E14628" s="7" t="s">
        <v>23</v>
      </c>
      <c r="F14628" s="8" t="str">
        <f ca="1">IFERROR(__xludf.DUMMYFUNCTION("IF
(
C14629=""фізична особа""
,
VLOOKUP(D14629,IMPORTRANGE(""https://docs.google.com/spreadsheets/d/14Bd19lYaqBhU8_DElYkX7l4wRkHqqCUFNJY4AfY3kHU/edit?usp=sharing  #gid=0"",""фіз особи new!relations_name""),6,FALSE)
,
(IF
(
C14629=""юридична особа""
,
VLOO"&amp;"KUP(D14629,IMPORTRANGE(""https://docs.google.com/spreadsheets/d/14Bd19lYaqBhU8_DElYkX7l4wRkHqqCUFNJY4AfY3kHU/edit?usp=sharing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G14628" s="7" t="s">
        <v>10</v>
      </c>
      <c r="H14628" s="7">
        <v>23696</v>
      </c>
      <c r="I14628" s="8" t="str">
        <f ca="1">IFERROR(__xludf.DUMMYFUNCTION("IF
(
G14629=""фізична особа""
,
VLOOKUP(H14629,IMPORTRANGE(""https://docs.google.com/spreadsheets/d/14Bd19lYaqBhU8_DElYkX7l4wRkHqqCUFNJY4AfY3kHU/edit?usp=sharing  #gid=0"",""фіз особи new!relations_name""),6,FALSE)
,
(IF
(
G14629=""юридична особа""
,
VLOO"&amp;"KUP(H14629,IMPORTRANGE(""https://docs.google.com/spreadsheets/d/14Bd19lYaqBhU8_DElYkX7l4wRkHqqCUFNJY4AfY3kHU/edit?usp=sharing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628" s="7" t="s">
        <v>23</v>
      </c>
    </row>
    <row r="14629" spans="1:10" ht="13.2">
      <c r="A14629" s="7">
        <v>14628</v>
      </c>
      <c r="B14629" s="7">
        <v>1</v>
      </c>
      <c r="C14629" s="7" t="s">
        <v>10</v>
      </c>
      <c r="D14629" s="7">
        <v>19470</v>
      </c>
      <c r="E14629" s="7" t="s">
        <v>23</v>
      </c>
      <c r="F14629" s="8" t="str">
        <f ca="1">IFERROR(__xludf.DUMMYFUNCTION("IF
(
C14630=""фізична особа""
,
VLOOKUP(D14630,IMPORTRANGE(""https://docs.google.com/spreadsheets/d/14Bd19lYaqBhU8_DElYkX7l4wRkHqqCUFNJY4AfY3kHU/edit?usp=sharing  #gid=0"",""фіз особи new!relations_name""),6,FALSE)
,
(IF
(
C14630=""юридична особа""
,
VLOO"&amp;"KUP(D14630,IMPORTRANGE(""https://docs.google.com/spreadsheets/d/14Bd19lYaqBhU8_DElYkX7l4wRkHqqCUFNJY4AfY3kHU/edit?usp=sharing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29" s="7" t="s">
        <v>10</v>
      </c>
      <c r="H14629" s="7">
        <v>19467</v>
      </c>
      <c r="I14629" s="8" t="str">
        <f ca="1">IFERROR(__xludf.DUMMYFUNCTION("IF
(
G14630=""фізична особа""
,
VLOOKUP(H14630,IMPORTRANGE(""https://docs.google.com/spreadsheets/d/14Bd19lYaqBhU8_DElYkX7l4wRkHqqCUFNJY4AfY3kHU/edit?usp=sharing  #gid=0"",""фіз особи new!relations_name""),6,FALSE)
,
(IF
(
G14630=""юридична особа""
,
VLOO"&amp;"KUP(H14630,IMPORTRANGE(""https://docs.google.com/spreadsheets/d/14Bd19lYaqBhU8_DElYkX7l4wRkHqqCUFNJY4AfY3kHU/edit?usp=sharing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629" s="7" t="s">
        <v>23</v>
      </c>
    </row>
    <row r="14630" spans="1:10" ht="13.2">
      <c r="A14630" s="7">
        <v>14629</v>
      </c>
      <c r="B14630" s="7">
        <v>1</v>
      </c>
      <c r="C14630" s="7" t="s">
        <v>10</v>
      </c>
      <c r="D14630" s="7">
        <v>19470</v>
      </c>
      <c r="E14630" s="7" t="s">
        <v>23</v>
      </c>
      <c r="F14630" s="8" t="str">
        <f ca="1">IFERROR(__xludf.DUMMYFUNCTION("IF
(
C14631=""фізична особа""
,
VLOOKUP(D14631,IMPORTRANGE(""https://docs.google.com/spreadsheets/d/14Bd19lYaqBhU8_DElYkX7l4wRkHqqCUFNJY4AfY3kHU/edit?usp=sharing  #gid=0"",""фіз особи new!relations_name""),6,FALSE)
,
(IF
(
C14631=""юридична особа""
,
VLOO"&amp;"KUP(D14631,IMPORTRANGE(""https://docs.google.com/spreadsheets/d/14Bd19lYaqBhU8_DElYkX7l4wRkHqqCUFNJY4AfY3kHU/edit?usp=sharing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0" s="7" t="s">
        <v>10</v>
      </c>
      <c r="H14630" s="7">
        <v>19466</v>
      </c>
      <c r="I14630" s="8" t="str">
        <f ca="1">IFERROR(__xludf.DUMMYFUNCTION("IF
(
G14631=""фізична особа""
,
VLOOKUP(H14631,IMPORTRANGE(""https://docs.google.com/spreadsheets/d/14Bd19lYaqBhU8_DElYkX7l4wRkHqqCUFNJY4AfY3kHU/edit?usp=sharing  #gid=0"",""фіз особи new!relations_name""),6,FALSE)
,
(IF
(
G14631=""юридична особа""
,
VLOO"&amp;"KUP(H14631,IMPORTRANGE(""https://docs.google.com/spreadsheets/d/14Bd19lYaqBhU8_DElYkX7l4wRkHqqCUFNJY4AfY3kHU/edit?usp=sharing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630" s="7" t="s">
        <v>23</v>
      </c>
    </row>
    <row r="14631" spans="1:10" ht="13.2">
      <c r="A14631" s="7">
        <v>14630</v>
      </c>
      <c r="B14631" s="7">
        <v>1</v>
      </c>
      <c r="C14631" s="7" t="s">
        <v>10</v>
      </c>
      <c r="D14631" s="7">
        <v>19470</v>
      </c>
      <c r="E14631" s="7" t="s">
        <v>23</v>
      </c>
      <c r="F14631" s="8" t="str">
        <f ca="1">IFERROR(__xludf.DUMMYFUNCTION("IF
(
C14632=""фізична особа""
,
VLOOKUP(D14632,IMPORTRANGE(""https://docs.google.com/spreadsheets/d/14Bd19lYaqBhU8_DElYkX7l4wRkHqqCUFNJY4AfY3kHU/edit?usp=sharing  #gid=0"",""фіз особи new!relations_name""),6,FALSE)
,
(IF
(
C14632=""юридична особа""
,
VLOO"&amp;"KUP(D14632,IMPORTRANGE(""https://docs.google.com/spreadsheets/d/14Bd19lYaqBhU8_DElYkX7l4wRkHqqCUFNJY4AfY3kHU/edit?usp=sharing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1" s="7" t="s">
        <v>10</v>
      </c>
      <c r="H14631" s="7">
        <v>19364</v>
      </c>
      <c r="I14631" s="8" t="str">
        <f ca="1">IFERROR(__xludf.DUMMYFUNCTION("IF
(
G14632=""фізична особа""
,
VLOOKUP(H14632,IMPORTRANGE(""https://docs.google.com/spreadsheets/d/14Bd19lYaqBhU8_DElYkX7l4wRkHqqCUFNJY4AfY3kHU/edit?usp=sharing  #gid=0"",""фіз особи new!relations_name""),6,FALSE)
,
(IF
(
G14632=""юридична особа""
,
VLOO"&amp;"KUP(H14632,IMPORTRANGE(""https://docs.google.com/spreadsheets/d/14Bd19lYaqBhU8_DElYkX7l4wRkHqqCUFNJY4AfY3kHU/edit?usp=sharing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31" s="7" t="s">
        <v>23</v>
      </c>
    </row>
    <row r="14632" spans="1:10" ht="13.2">
      <c r="A14632" s="7">
        <v>14631</v>
      </c>
      <c r="B14632" s="7">
        <v>1</v>
      </c>
      <c r="C14632" s="7" t="s">
        <v>10</v>
      </c>
      <c r="D14632" s="7">
        <v>19470</v>
      </c>
      <c r="E14632" s="7" t="s">
        <v>23</v>
      </c>
      <c r="F14632" s="8" t="str">
        <f ca="1">IFERROR(__xludf.DUMMYFUNCTION("IF
(
C14633=""фізична особа""
,
VLOOKUP(D14633,IMPORTRANGE(""https://docs.google.com/spreadsheets/d/14Bd19lYaqBhU8_DElYkX7l4wRkHqqCUFNJY4AfY3kHU/edit?usp=sharing  #gid=0"",""фіз особи new!relations_name""),6,FALSE)
,
(IF
(
C14633=""юридична особа""
,
VLOO"&amp;"KUP(D14633,IMPORTRANGE(""https://docs.google.com/spreadsheets/d/14Bd19lYaqBhU8_DElYkX7l4wRkHqqCUFNJY4AfY3kHU/edit?usp=sharing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2" s="7" t="s">
        <v>10</v>
      </c>
      <c r="H14632" s="7">
        <v>19368</v>
      </c>
      <c r="I14632" s="8" t="str">
        <f ca="1">IFERROR(__xludf.DUMMYFUNCTION("IF
(
G14633=""фізична особа""
,
VLOOKUP(H14633,IMPORTRANGE(""https://docs.google.com/spreadsheets/d/14Bd19lYaqBhU8_DElYkX7l4wRkHqqCUFNJY4AfY3kHU/edit?usp=sharing  #gid=0"",""фіз особи new!relations_name""),6,FALSE)
,
(IF
(
G14633=""юридична особа""
,
VLOO"&amp;"KUP(H14633,IMPORTRANGE(""https://docs.google.com/spreadsheets/d/14Bd19lYaqBhU8_DElYkX7l4wRkHqqCUFNJY4AfY3kHU/edit?usp=sharing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632" s="7" t="s">
        <v>23</v>
      </c>
    </row>
    <row r="14633" spans="1:10" ht="13.2">
      <c r="A14633" s="7">
        <v>14632</v>
      </c>
      <c r="B14633" s="7">
        <v>1</v>
      </c>
      <c r="C14633" s="7" t="s">
        <v>10</v>
      </c>
      <c r="D14633" s="7">
        <v>19470</v>
      </c>
      <c r="E14633" s="7" t="s">
        <v>23</v>
      </c>
      <c r="F14633" s="8" t="str">
        <f ca="1">IFERROR(__xludf.DUMMYFUNCTION("IF
(
C14634=""фізична особа""
,
VLOOKUP(D14634,IMPORTRANGE(""https://docs.google.com/spreadsheets/d/14Bd19lYaqBhU8_DElYkX7l4wRkHqqCUFNJY4AfY3kHU/edit?usp=sharing  #gid=0"",""фіз особи new!relations_name""),6,FALSE)
,
(IF
(
C14634=""юридична особа""
,
VLOO"&amp;"KUP(D14634,IMPORTRANGE(""https://docs.google.com/spreadsheets/d/14Bd19lYaqBhU8_DElYkX7l4wRkHqqCUFNJY4AfY3kHU/edit?usp=sharing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3" s="7" t="s">
        <v>10</v>
      </c>
      <c r="H14633" s="7">
        <v>19469</v>
      </c>
      <c r="I14633" s="8" t="str">
        <f ca="1">IFERROR(__xludf.DUMMYFUNCTION("IF
(
G14634=""фізична особа""
,
VLOOKUP(H14634,IMPORTRANGE(""https://docs.google.com/spreadsheets/d/14Bd19lYaqBhU8_DElYkX7l4wRkHqqCUFNJY4AfY3kHU/edit?usp=sharing  #gid=0"",""фіз особи new!relations_name""),6,FALSE)
,
(IF
(
G14634=""юридична особа""
,
VLOO"&amp;"KUP(H14634,IMPORTRANGE(""https://docs.google.com/spreadsheets/d/14Bd19lYaqBhU8_DElYkX7l4wRkHqqCUFNJY4AfY3kHU/edit?usp=sharing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633" s="7" t="s">
        <v>23</v>
      </c>
    </row>
    <row r="14634" spans="1:10" ht="13.2">
      <c r="A14634" s="7">
        <v>14633</v>
      </c>
      <c r="B14634" s="7">
        <v>1</v>
      </c>
      <c r="C14634" s="7" t="s">
        <v>10</v>
      </c>
      <c r="D14634" s="7">
        <v>19470</v>
      </c>
      <c r="E14634" s="7" t="s">
        <v>23</v>
      </c>
      <c r="F14634" s="8" t="str">
        <f ca="1">IFERROR(__xludf.DUMMYFUNCTION("IF
(
C14635=""фізична особа""
,
VLOOKUP(D14635,IMPORTRANGE(""https://docs.google.com/spreadsheets/d/14Bd19lYaqBhU8_DElYkX7l4wRkHqqCUFNJY4AfY3kHU/edit?usp=sharing  #gid=0"",""фіз особи new!relations_name""),6,FALSE)
,
(IF
(
C14635=""юридична особа""
,
VLOO"&amp;"KUP(D14635,IMPORTRANGE(""https://docs.google.com/spreadsheets/d/14Bd19lYaqBhU8_DElYkX7l4wRkHqqCUFNJY4AfY3kHU/edit?usp=sharing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4" s="7" t="s">
        <v>10</v>
      </c>
      <c r="H14634" s="7">
        <v>19365</v>
      </c>
      <c r="I14634" s="8" t="str">
        <f ca="1">IFERROR(__xludf.DUMMYFUNCTION("IF
(
G14635=""фізична особа""
,
VLOOKUP(H14635,IMPORTRANGE(""https://docs.google.com/spreadsheets/d/14Bd19lYaqBhU8_DElYkX7l4wRkHqqCUFNJY4AfY3kHU/edit?usp=sharing  #gid=0"",""фіз особи new!relations_name""),6,FALSE)
,
(IF
(
G14635=""юридична особа""
,
VLOO"&amp;"KUP(H14635,IMPORTRANGE(""https://docs.google.com/spreadsheets/d/14Bd19lYaqBhU8_DElYkX7l4wRkHqqCUFNJY4AfY3kHU/edit?usp=sharing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634" s="7" t="s">
        <v>23</v>
      </c>
    </row>
    <row r="14635" spans="1:10" ht="13.2">
      <c r="A14635" s="7">
        <v>14634</v>
      </c>
      <c r="B14635" s="7">
        <v>1</v>
      </c>
      <c r="C14635" s="7" t="s">
        <v>10</v>
      </c>
      <c r="D14635" s="7">
        <v>19470</v>
      </c>
      <c r="E14635" s="7" t="s">
        <v>23</v>
      </c>
      <c r="F14635" s="8" t="str">
        <f ca="1">IFERROR(__xludf.DUMMYFUNCTION("IF
(
C14636=""фізична особа""
,
VLOOKUP(D14636,IMPORTRANGE(""https://docs.google.com/spreadsheets/d/14Bd19lYaqBhU8_DElYkX7l4wRkHqqCUFNJY4AfY3kHU/edit?usp=sharing  #gid=0"",""фіз особи new!relations_name""),6,FALSE)
,
(IF
(
C14636=""юридична особа""
,
VLOO"&amp;"KUP(D14636,IMPORTRANGE(""https://docs.google.com/spreadsheets/d/14Bd19lYaqBhU8_DElYkX7l4wRkHqqCUFNJY4AfY3kHU/edit?usp=sharing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5" s="7" t="s">
        <v>10</v>
      </c>
      <c r="H14635" s="7">
        <v>19367</v>
      </c>
      <c r="I14635" s="8" t="str">
        <f ca="1">IFERROR(__xludf.DUMMYFUNCTION("IF
(
G14636=""фізична особа""
,
VLOOKUP(H14636,IMPORTRANGE(""https://docs.google.com/spreadsheets/d/14Bd19lYaqBhU8_DElYkX7l4wRkHqqCUFNJY4AfY3kHU/edit?usp=sharing  #gid=0"",""фіз особи new!relations_name""),6,FALSE)
,
(IF
(
G14636=""юридична особа""
,
VLOO"&amp;"KUP(H14636,IMPORTRANGE(""https://docs.google.com/spreadsheets/d/14Bd19lYaqBhU8_DElYkX7l4wRkHqqCUFNJY4AfY3kHU/edit?usp=sharing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635" s="7" t="s">
        <v>23</v>
      </c>
    </row>
    <row r="14636" spans="1:10" ht="13.2">
      <c r="A14636" s="7">
        <v>14635</v>
      </c>
      <c r="B14636" s="7">
        <v>1</v>
      </c>
      <c r="C14636" s="7" t="s">
        <v>10</v>
      </c>
      <c r="D14636" s="7">
        <v>19470</v>
      </c>
      <c r="E14636" s="7" t="s">
        <v>23</v>
      </c>
      <c r="F14636" s="8" t="str">
        <f ca="1">IFERROR(__xludf.DUMMYFUNCTION("IF
(
C14637=""фізична особа""
,
VLOOKUP(D14637,IMPORTRANGE(""https://docs.google.com/spreadsheets/d/14Bd19lYaqBhU8_DElYkX7l4wRkHqqCUFNJY4AfY3kHU/edit?usp=sharing  #gid=0"",""фіз особи new!relations_name""),6,FALSE)
,
(IF
(
C14637=""юридична особа""
,
VLOO"&amp;"KUP(D14637,IMPORTRANGE(""https://docs.google.com/spreadsheets/d/14Bd19lYaqBhU8_DElYkX7l4wRkHqqCUFNJY4AfY3kHU/edit?usp=sharing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6" s="7" t="s">
        <v>10</v>
      </c>
      <c r="H14636" s="7">
        <v>19474</v>
      </c>
      <c r="I14636" s="8" t="str">
        <f ca="1">IFERROR(__xludf.DUMMYFUNCTION("IF
(
G14637=""фізична особа""
,
VLOOKUP(H14637,IMPORTRANGE(""https://docs.google.com/spreadsheets/d/14Bd19lYaqBhU8_DElYkX7l4wRkHqqCUFNJY4AfY3kHU/edit?usp=sharing  #gid=0"",""фіз особи new!relations_name""),6,FALSE)
,
(IF
(
G14637=""юридична особа""
,
VLOO"&amp;"KUP(H14637,IMPORTRANGE(""https://docs.google.com/spreadsheets/d/14Bd19lYaqBhU8_DElYkX7l4wRkHqqCUFNJY4AfY3kHU/edit?usp=sharing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636" s="7" t="s">
        <v>23</v>
      </c>
    </row>
    <row r="14637" spans="1:10" ht="13.2">
      <c r="A14637" s="7">
        <v>14636</v>
      </c>
      <c r="B14637" s="7">
        <v>1</v>
      </c>
      <c r="C14637" s="7" t="s">
        <v>10</v>
      </c>
      <c r="D14637" s="7">
        <v>19470</v>
      </c>
      <c r="E14637" s="7" t="s">
        <v>23</v>
      </c>
      <c r="F14637" s="8" t="str">
        <f ca="1">IFERROR(__xludf.DUMMYFUNCTION("IF
(
C14638=""фізична особа""
,
VLOOKUP(D14638,IMPORTRANGE(""https://docs.google.com/spreadsheets/d/14Bd19lYaqBhU8_DElYkX7l4wRkHqqCUFNJY4AfY3kHU/edit?usp=sharing  #gid=0"",""фіз особи new!relations_name""),6,FALSE)
,
(IF
(
C14638=""юридична особа""
,
VLOO"&amp;"KUP(D14638,IMPORTRANGE(""https://docs.google.com/spreadsheets/d/14Bd19lYaqBhU8_DElYkX7l4wRkHqqCUFNJY4AfY3kHU/edit?usp=sharing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7" s="7" t="s">
        <v>10</v>
      </c>
      <c r="H14637" s="7">
        <v>19366</v>
      </c>
      <c r="I14637" s="8" t="str">
        <f ca="1">IFERROR(__xludf.DUMMYFUNCTION("IF
(
G14638=""фізична особа""
,
VLOOKUP(H14638,IMPORTRANGE(""https://docs.google.com/spreadsheets/d/14Bd19lYaqBhU8_DElYkX7l4wRkHqqCUFNJY4AfY3kHU/edit?usp=sharing  #gid=0"",""фіз особи new!relations_name""),6,FALSE)
,
(IF
(
G14638=""юридична особа""
,
VLOO"&amp;"KUP(H14638,IMPORTRANGE(""https://docs.google.com/spreadsheets/d/14Bd19lYaqBhU8_DElYkX7l4wRkHqqCUFNJY4AfY3kHU/edit?usp=sharing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37" s="7" t="s">
        <v>23</v>
      </c>
    </row>
    <row r="14638" spans="1:10" ht="13.2">
      <c r="A14638" s="7">
        <v>14637</v>
      </c>
      <c r="B14638" s="7">
        <v>1</v>
      </c>
      <c r="C14638" s="7" t="s">
        <v>10</v>
      </c>
      <c r="D14638" s="7">
        <v>19470</v>
      </c>
      <c r="E14638" s="7" t="s">
        <v>23</v>
      </c>
      <c r="F14638" s="8" t="str">
        <f ca="1">IFERROR(__xludf.DUMMYFUNCTION("IF
(
C14639=""фізична особа""
,
VLOOKUP(D14639,IMPORTRANGE(""https://docs.google.com/spreadsheets/d/14Bd19lYaqBhU8_DElYkX7l4wRkHqqCUFNJY4AfY3kHU/edit?usp=sharing  #gid=0"",""фіз особи new!relations_name""),6,FALSE)
,
(IF
(
C14639=""юридична особа""
,
VLOO"&amp;"KUP(D14639,IMPORTRANGE(""https://docs.google.com/spreadsheets/d/14Bd19lYaqBhU8_DElYkX7l4wRkHqqCUFNJY4AfY3kHU/edit?usp=sharing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8" s="7" t="s">
        <v>10</v>
      </c>
      <c r="H14638" s="7">
        <v>23701</v>
      </c>
      <c r="I14638" s="8" t="str">
        <f ca="1">IFERROR(__xludf.DUMMYFUNCTION("IF
(
G14639=""фізична особа""
,
VLOOKUP(H14639,IMPORTRANGE(""https://docs.google.com/spreadsheets/d/14Bd19lYaqBhU8_DElYkX7l4wRkHqqCUFNJY4AfY3kHU/edit?usp=sharing  #gid=0"",""фіз особи new!relations_name""),6,FALSE)
,
(IF
(
G14639=""юридична особа""
,
VLOO"&amp;"KUP(H14639,IMPORTRANGE(""https://docs.google.com/spreadsheets/d/14Bd19lYaqBhU8_DElYkX7l4wRkHqqCUFNJY4AfY3kHU/edit?usp=sharing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638" s="7" t="s">
        <v>23</v>
      </c>
    </row>
    <row r="14639" spans="1:10" ht="13.2">
      <c r="A14639" s="7">
        <v>14638</v>
      </c>
      <c r="B14639" s="7">
        <v>1</v>
      </c>
      <c r="C14639" s="7" t="s">
        <v>10</v>
      </c>
      <c r="D14639" s="7">
        <v>19470</v>
      </c>
      <c r="E14639" s="7" t="s">
        <v>23</v>
      </c>
      <c r="F14639" s="8" t="str">
        <f ca="1">IFERROR(__xludf.DUMMYFUNCTION("IF
(
C14640=""фізична особа""
,
VLOOKUP(D14640,IMPORTRANGE(""https://docs.google.com/spreadsheets/d/14Bd19lYaqBhU8_DElYkX7l4wRkHqqCUFNJY4AfY3kHU/edit?usp=sharing  #gid=0"",""фіз особи new!relations_name""),6,FALSE)
,
(IF
(
C14640=""юридична особа""
,
VLOO"&amp;"KUP(D14640,IMPORTRANGE(""https://docs.google.com/spreadsheets/d/14Bd19lYaqBhU8_DElYkX7l4wRkHqqCUFNJY4AfY3kHU/edit?usp=sharing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39" s="7" t="s">
        <v>10</v>
      </c>
      <c r="H14639" s="7">
        <v>19471</v>
      </c>
      <c r="I14639" s="8" t="str">
        <f ca="1">IFERROR(__xludf.DUMMYFUNCTION("IF
(
G14640=""фізична особа""
,
VLOOKUP(H14640,IMPORTRANGE(""https://docs.google.com/spreadsheets/d/14Bd19lYaqBhU8_DElYkX7l4wRkHqqCUFNJY4AfY3kHU/edit?usp=sharing  #gid=0"",""фіз особи new!relations_name""),6,FALSE)
,
(IF
(
G14640=""юридична особа""
,
VLOO"&amp;"KUP(H14640,IMPORTRANGE(""https://docs.google.com/spreadsheets/d/14Bd19lYaqBhU8_DElYkX7l4wRkHqqCUFNJY4AfY3kHU/edit?usp=sharing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639" s="7" t="s">
        <v>23</v>
      </c>
    </row>
    <row r="14640" spans="1:10" ht="13.2">
      <c r="A14640" s="7">
        <v>14639</v>
      </c>
      <c r="B14640" s="7">
        <v>1</v>
      </c>
      <c r="C14640" s="7" t="s">
        <v>10</v>
      </c>
      <c r="D14640" s="7">
        <v>19470</v>
      </c>
      <c r="E14640" s="7" t="s">
        <v>23</v>
      </c>
      <c r="F14640" s="8" t="str">
        <f ca="1">IFERROR(__xludf.DUMMYFUNCTION("IF
(
C14641=""фізична особа""
,
VLOOKUP(D14641,IMPORTRANGE(""https://docs.google.com/spreadsheets/d/14Bd19lYaqBhU8_DElYkX7l4wRkHqqCUFNJY4AfY3kHU/edit?usp=sharing  #gid=0"",""фіз особи new!relations_name""),6,FALSE)
,
(IF
(
C14641=""юридична особа""
,
VLOO"&amp;"KUP(D14641,IMPORTRANGE(""https://docs.google.com/spreadsheets/d/14Bd19lYaqBhU8_DElYkX7l4wRkHqqCUFNJY4AfY3kHU/edit?usp=sharing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40" s="7" t="s">
        <v>10</v>
      </c>
      <c r="H14640" s="7">
        <v>19371</v>
      </c>
      <c r="I14640" s="8" t="str">
        <f ca="1">IFERROR(__xludf.DUMMYFUNCTION("IF
(
G14641=""фізична особа""
,
VLOOKUP(H14641,IMPORTRANGE(""https://docs.google.com/spreadsheets/d/14Bd19lYaqBhU8_DElYkX7l4wRkHqqCUFNJY4AfY3kHU/edit?usp=sharing  #gid=0"",""фіз особи new!relations_name""),6,FALSE)
,
(IF
(
G14641=""юридична особа""
,
VLOO"&amp;"KUP(H14641,IMPORTRANGE(""https://docs.google.com/spreadsheets/d/14Bd19lYaqBhU8_DElYkX7l4wRkHqqCUFNJY4AfY3kHU/edit?usp=sharing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640" s="7" t="s">
        <v>23</v>
      </c>
    </row>
    <row r="14641" spans="1:10" ht="13.2">
      <c r="A14641" s="7">
        <v>14640</v>
      </c>
      <c r="B14641" s="7">
        <v>1</v>
      </c>
      <c r="C14641" s="7" t="s">
        <v>10</v>
      </c>
      <c r="D14641" s="7">
        <v>19470</v>
      </c>
      <c r="E14641" s="7" t="s">
        <v>23</v>
      </c>
      <c r="F14641" s="8" t="str">
        <f ca="1">IFERROR(__xludf.DUMMYFUNCTION("IF
(
C14642=""фізична особа""
,
VLOOKUP(D14642,IMPORTRANGE(""https://docs.google.com/spreadsheets/d/14Bd19lYaqBhU8_DElYkX7l4wRkHqqCUFNJY4AfY3kHU/edit?usp=sharing  #gid=0"",""фіз особи new!relations_name""),6,FALSE)
,
(IF
(
C14642=""юридична особа""
,
VLOO"&amp;"KUP(D14642,IMPORTRANGE(""https://docs.google.com/spreadsheets/d/14Bd19lYaqBhU8_DElYkX7l4wRkHqqCUFNJY4AfY3kHU/edit?usp=sharing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41" s="7" t="s">
        <v>10</v>
      </c>
      <c r="H14641" s="7">
        <v>19468</v>
      </c>
      <c r="I14641" s="8" t="str">
        <f ca="1">IFERROR(__xludf.DUMMYFUNCTION("IF
(
G14642=""фізична особа""
,
VLOOKUP(H14642,IMPORTRANGE(""https://docs.google.com/spreadsheets/d/14Bd19lYaqBhU8_DElYkX7l4wRkHqqCUFNJY4AfY3kHU/edit?usp=sharing  #gid=0"",""фіз особи new!relations_name""),6,FALSE)
,
(IF
(
G14642=""юридична особа""
,
VLOO"&amp;"KUP(H14642,IMPORTRANGE(""https://docs.google.com/spreadsheets/d/14Bd19lYaqBhU8_DElYkX7l4wRkHqqCUFNJY4AfY3kHU/edit?usp=sharing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641" s="7" t="s">
        <v>23</v>
      </c>
    </row>
    <row r="14642" spans="1:10" ht="13.2">
      <c r="A14642" s="7">
        <v>14641</v>
      </c>
      <c r="B14642" s="7">
        <v>1</v>
      </c>
      <c r="C14642" s="7" t="s">
        <v>10</v>
      </c>
      <c r="D14642" s="7">
        <v>19470</v>
      </c>
      <c r="E14642" s="7" t="s">
        <v>23</v>
      </c>
      <c r="F14642" s="8" t="str">
        <f ca="1">IFERROR(__xludf.DUMMYFUNCTION("IF
(
C14643=""фізична особа""
,
VLOOKUP(D14643,IMPORTRANGE(""https://docs.google.com/spreadsheets/d/14Bd19lYaqBhU8_DElYkX7l4wRkHqqCUFNJY4AfY3kHU/edit?usp=sharing  #gid=0"",""фіз особи new!relations_name""),6,FALSE)
,
(IF
(
C14643=""юридична особа""
,
VLOO"&amp;"KUP(D14643,IMPORTRANGE(""https://docs.google.com/spreadsheets/d/14Bd19lYaqBhU8_DElYkX7l4wRkHqqCUFNJY4AfY3kHU/edit?usp=sharing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42" s="7" t="s">
        <v>10</v>
      </c>
      <c r="H14642" s="7">
        <v>23698</v>
      </c>
      <c r="I14642" s="8" t="str">
        <f ca="1">IFERROR(__xludf.DUMMYFUNCTION("IF
(
G14643=""фізична особа""
,
VLOOKUP(H14643,IMPORTRANGE(""https://docs.google.com/spreadsheets/d/14Bd19lYaqBhU8_DElYkX7l4wRkHqqCUFNJY4AfY3kHU/edit?usp=sharing  #gid=0"",""фіз особи new!relations_name""),6,FALSE)
,
(IF
(
G14643=""юридична особа""
,
VLOO"&amp;"KUP(H14643,IMPORTRANGE(""https://docs.google.com/spreadsheets/d/14Bd19lYaqBhU8_DElYkX7l4wRkHqqCUFNJY4AfY3kHU/edit?usp=sharing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642" s="7" t="s">
        <v>23</v>
      </c>
    </row>
    <row r="14643" spans="1:10" ht="13.2">
      <c r="A14643" s="7">
        <v>14642</v>
      </c>
      <c r="B14643" s="7">
        <v>1</v>
      </c>
      <c r="C14643" s="7" t="s">
        <v>10</v>
      </c>
      <c r="D14643" s="7">
        <v>19470</v>
      </c>
      <c r="E14643" s="7" t="s">
        <v>23</v>
      </c>
      <c r="F14643" s="8" t="str">
        <f ca="1">IFERROR(__xludf.DUMMYFUNCTION("IF
(
C14644=""фізична особа""
,
VLOOKUP(D14644,IMPORTRANGE(""https://docs.google.com/spreadsheets/d/14Bd19lYaqBhU8_DElYkX7l4wRkHqqCUFNJY4AfY3kHU/edit?usp=sharing  #gid=0"",""фіз особи new!relations_name""),6,FALSE)
,
(IF
(
C14644=""юридична особа""
,
VLOO"&amp;"KUP(D14644,IMPORTRANGE(""https://docs.google.com/spreadsheets/d/14Bd19lYaqBhU8_DElYkX7l4wRkHqqCUFNJY4AfY3kHU/edit?usp=sharing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G14643" s="7" t="s">
        <v>10</v>
      </c>
      <c r="H14643" s="7">
        <v>23696</v>
      </c>
      <c r="I14643" s="8" t="str">
        <f ca="1">IFERROR(__xludf.DUMMYFUNCTION("IF
(
G14644=""фізична особа""
,
VLOOKUP(H14644,IMPORTRANGE(""https://docs.google.com/spreadsheets/d/14Bd19lYaqBhU8_DElYkX7l4wRkHqqCUFNJY4AfY3kHU/edit?usp=sharing  #gid=0"",""фіз особи new!relations_name""),6,FALSE)
,
(IF
(
G14644=""юридична особа""
,
VLOO"&amp;"KUP(H14644,IMPORTRANGE(""https://docs.google.com/spreadsheets/d/14Bd19lYaqBhU8_DElYkX7l4wRkHqqCUFNJY4AfY3kHU/edit?usp=sharing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643" s="7" t="s">
        <v>23</v>
      </c>
    </row>
    <row r="14644" spans="1:10" ht="13.2">
      <c r="A14644" s="7">
        <v>14643</v>
      </c>
      <c r="B14644" s="7">
        <v>1</v>
      </c>
      <c r="C14644" s="7" t="s">
        <v>10</v>
      </c>
      <c r="D14644" s="7">
        <v>19471</v>
      </c>
      <c r="E14644" s="7" t="s">
        <v>23</v>
      </c>
      <c r="F14644" s="8" t="str">
        <f ca="1">IFERROR(__xludf.DUMMYFUNCTION("IF
(
C14645=""фізична особа""
,
VLOOKUP(D14645,IMPORTRANGE(""https://docs.google.com/spreadsheets/d/14Bd19lYaqBhU8_DElYkX7l4wRkHqqCUFNJY4AfY3kHU/edit?usp=sharing  #gid=0"",""фіз особи new!relations_name""),6,FALSE)
,
(IF
(
C14645=""юридична особа""
,
VLOO"&amp;"KUP(D14645,IMPORTRANGE(""https://docs.google.com/spreadsheets/d/14Bd19lYaqBhU8_DElYkX7l4wRkHqqCUFNJY4AfY3kHU/edit?usp=sharing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4" s="7" t="s">
        <v>10</v>
      </c>
      <c r="H14644" s="7">
        <v>19467</v>
      </c>
      <c r="I14644" s="8" t="str">
        <f ca="1">IFERROR(__xludf.DUMMYFUNCTION("IF
(
G14645=""фізична особа""
,
VLOOKUP(H14645,IMPORTRANGE(""https://docs.google.com/spreadsheets/d/14Bd19lYaqBhU8_DElYkX7l4wRkHqqCUFNJY4AfY3kHU/edit?usp=sharing  #gid=0"",""фіз особи new!relations_name""),6,FALSE)
,
(IF
(
G14645=""юридична особа""
,
VLOO"&amp;"KUP(H14645,IMPORTRANGE(""https://docs.google.com/spreadsheets/d/14Bd19lYaqBhU8_DElYkX7l4wRkHqqCUFNJY4AfY3kHU/edit?usp=sharing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644" s="7" t="s">
        <v>23</v>
      </c>
    </row>
    <row r="14645" spans="1:10" ht="13.2">
      <c r="A14645" s="7">
        <v>14644</v>
      </c>
      <c r="B14645" s="7">
        <v>1</v>
      </c>
      <c r="C14645" s="7" t="s">
        <v>10</v>
      </c>
      <c r="D14645" s="7">
        <v>19471</v>
      </c>
      <c r="E14645" s="7" t="s">
        <v>23</v>
      </c>
      <c r="F14645" s="8" t="str">
        <f ca="1">IFERROR(__xludf.DUMMYFUNCTION("IF
(
C14646=""фізична особа""
,
VLOOKUP(D14646,IMPORTRANGE(""https://docs.google.com/spreadsheets/d/14Bd19lYaqBhU8_DElYkX7l4wRkHqqCUFNJY4AfY3kHU/edit?usp=sharing  #gid=0"",""фіз особи new!relations_name""),6,FALSE)
,
(IF
(
C14646=""юридична особа""
,
VLOO"&amp;"KUP(D14646,IMPORTRANGE(""https://docs.google.com/spreadsheets/d/14Bd19lYaqBhU8_DElYkX7l4wRkHqqCUFNJY4AfY3kHU/edit?usp=sharing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5" s="7" t="s">
        <v>10</v>
      </c>
      <c r="H14645" s="7">
        <v>19466</v>
      </c>
      <c r="I14645" s="8" t="str">
        <f ca="1">IFERROR(__xludf.DUMMYFUNCTION("IF
(
G14646=""фізична особа""
,
VLOOKUP(H14646,IMPORTRANGE(""https://docs.google.com/spreadsheets/d/14Bd19lYaqBhU8_DElYkX7l4wRkHqqCUFNJY4AfY3kHU/edit?usp=sharing  #gid=0"",""фіз особи new!relations_name""),6,FALSE)
,
(IF
(
G14646=""юридична особа""
,
VLOO"&amp;"KUP(H14646,IMPORTRANGE(""https://docs.google.com/spreadsheets/d/14Bd19lYaqBhU8_DElYkX7l4wRkHqqCUFNJY4AfY3kHU/edit?usp=sharing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645" s="7" t="s">
        <v>23</v>
      </c>
    </row>
    <row r="14646" spans="1:10" ht="13.2">
      <c r="A14646" s="7">
        <v>14645</v>
      </c>
      <c r="B14646" s="7">
        <v>1</v>
      </c>
      <c r="C14646" s="7" t="s">
        <v>10</v>
      </c>
      <c r="D14646" s="7">
        <v>19471</v>
      </c>
      <c r="E14646" s="7" t="s">
        <v>23</v>
      </c>
      <c r="F14646" s="8" t="str">
        <f ca="1">IFERROR(__xludf.DUMMYFUNCTION("IF
(
C14647=""фізична особа""
,
VLOOKUP(D14647,IMPORTRANGE(""https://docs.google.com/spreadsheets/d/14Bd19lYaqBhU8_DElYkX7l4wRkHqqCUFNJY4AfY3kHU/edit?usp=sharing  #gid=0"",""фіз особи new!relations_name""),6,FALSE)
,
(IF
(
C14647=""юридична особа""
,
VLOO"&amp;"KUP(D14647,IMPORTRANGE(""https://docs.google.com/spreadsheets/d/14Bd19lYaqBhU8_DElYkX7l4wRkHqqCUFNJY4AfY3kHU/edit?usp=sharing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6" s="7" t="s">
        <v>10</v>
      </c>
      <c r="H14646" s="7">
        <v>19364</v>
      </c>
      <c r="I14646" s="8" t="str">
        <f ca="1">IFERROR(__xludf.DUMMYFUNCTION("IF
(
G14647=""фізична особа""
,
VLOOKUP(H14647,IMPORTRANGE(""https://docs.google.com/spreadsheets/d/14Bd19lYaqBhU8_DElYkX7l4wRkHqqCUFNJY4AfY3kHU/edit?usp=sharing  #gid=0"",""фіз особи new!relations_name""),6,FALSE)
,
(IF
(
G14647=""юридична особа""
,
VLOO"&amp;"KUP(H14647,IMPORTRANGE(""https://docs.google.com/spreadsheets/d/14Bd19lYaqBhU8_DElYkX7l4wRkHqqCUFNJY4AfY3kHU/edit?usp=sharing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46" s="7" t="s">
        <v>23</v>
      </c>
    </row>
    <row r="14647" spans="1:10" ht="13.2">
      <c r="A14647" s="7">
        <v>14646</v>
      </c>
      <c r="B14647" s="7">
        <v>1</v>
      </c>
      <c r="C14647" s="7" t="s">
        <v>10</v>
      </c>
      <c r="D14647" s="7">
        <v>19471</v>
      </c>
      <c r="E14647" s="7" t="s">
        <v>23</v>
      </c>
      <c r="F14647" s="8" t="str">
        <f ca="1">IFERROR(__xludf.DUMMYFUNCTION("IF
(
C14648=""фізична особа""
,
VLOOKUP(D14648,IMPORTRANGE(""https://docs.google.com/spreadsheets/d/14Bd19lYaqBhU8_DElYkX7l4wRkHqqCUFNJY4AfY3kHU/edit?usp=sharing  #gid=0"",""фіз особи new!relations_name""),6,FALSE)
,
(IF
(
C14648=""юридична особа""
,
VLOO"&amp;"KUP(D14648,IMPORTRANGE(""https://docs.google.com/spreadsheets/d/14Bd19lYaqBhU8_DElYkX7l4wRkHqqCUFNJY4AfY3kHU/edit?usp=sharing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7" s="7" t="s">
        <v>10</v>
      </c>
      <c r="H14647" s="7">
        <v>19368</v>
      </c>
      <c r="I14647" s="8" t="str">
        <f ca="1">IFERROR(__xludf.DUMMYFUNCTION("IF
(
G14648=""фізична особа""
,
VLOOKUP(H14648,IMPORTRANGE(""https://docs.google.com/spreadsheets/d/14Bd19lYaqBhU8_DElYkX7l4wRkHqqCUFNJY4AfY3kHU/edit?usp=sharing  #gid=0"",""фіз особи new!relations_name""),6,FALSE)
,
(IF
(
G14648=""юридична особа""
,
VLOO"&amp;"KUP(H14648,IMPORTRANGE(""https://docs.google.com/spreadsheets/d/14Bd19lYaqBhU8_DElYkX7l4wRkHqqCUFNJY4AfY3kHU/edit?usp=sharing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647" s="7" t="s">
        <v>23</v>
      </c>
    </row>
    <row r="14648" spans="1:10" ht="13.2">
      <c r="A14648" s="7">
        <v>14647</v>
      </c>
      <c r="B14648" s="7">
        <v>1</v>
      </c>
      <c r="C14648" s="7" t="s">
        <v>10</v>
      </c>
      <c r="D14648" s="7">
        <v>19471</v>
      </c>
      <c r="E14648" s="7" t="s">
        <v>23</v>
      </c>
      <c r="F14648" s="8" t="str">
        <f ca="1">IFERROR(__xludf.DUMMYFUNCTION("IF
(
C14649=""фізична особа""
,
VLOOKUP(D14649,IMPORTRANGE(""https://docs.google.com/spreadsheets/d/14Bd19lYaqBhU8_DElYkX7l4wRkHqqCUFNJY4AfY3kHU/edit?usp=sharing  #gid=0"",""фіз особи new!relations_name""),6,FALSE)
,
(IF
(
C14649=""юридична особа""
,
VLOO"&amp;"KUP(D14649,IMPORTRANGE(""https://docs.google.com/spreadsheets/d/14Bd19lYaqBhU8_DElYkX7l4wRkHqqCUFNJY4AfY3kHU/edit?usp=sharing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8" s="7" t="s">
        <v>10</v>
      </c>
      <c r="H14648" s="7">
        <v>19469</v>
      </c>
      <c r="I14648" s="8" t="str">
        <f ca="1">IFERROR(__xludf.DUMMYFUNCTION("IF
(
G14649=""фізична особа""
,
VLOOKUP(H14649,IMPORTRANGE(""https://docs.google.com/spreadsheets/d/14Bd19lYaqBhU8_DElYkX7l4wRkHqqCUFNJY4AfY3kHU/edit?usp=sharing  #gid=0"",""фіз особи new!relations_name""),6,FALSE)
,
(IF
(
G14649=""юридична особа""
,
VLOO"&amp;"KUP(H14649,IMPORTRANGE(""https://docs.google.com/spreadsheets/d/14Bd19lYaqBhU8_DElYkX7l4wRkHqqCUFNJY4AfY3kHU/edit?usp=sharing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648" s="7" t="s">
        <v>23</v>
      </c>
    </row>
    <row r="14649" spans="1:10" ht="13.2">
      <c r="A14649" s="7">
        <v>14648</v>
      </c>
      <c r="B14649" s="7">
        <v>1</v>
      </c>
      <c r="C14649" s="7" t="s">
        <v>10</v>
      </c>
      <c r="D14649" s="7">
        <v>19471</v>
      </c>
      <c r="E14649" s="7" t="s">
        <v>23</v>
      </c>
      <c r="F14649" s="8" t="str">
        <f ca="1">IFERROR(__xludf.DUMMYFUNCTION("IF
(
C14650=""фізична особа""
,
VLOOKUP(D14650,IMPORTRANGE(""https://docs.google.com/spreadsheets/d/14Bd19lYaqBhU8_DElYkX7l4wRkHqqCUFNJY4AfY3kHU/edit?usp=sharing  #gid=0"",""фіз особи new!relations_name""),6,FALSE)
,
(IF
(
C14650=""юридична особа""
,
VLOO"&amp;"KUP(D14650,IMPORTRANGE(""https://docs.google.com/spreadsheets/d/14Bd19lYaqBhU8_DElYkX7l4wRkHqqCUFNJY4AfY3kHU/edit?usp=sharing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49" s="7" t="s">
        <v>10</v>
      </c>
      <c r="H14649" s="7">
        <v>19365</v>
      </c>
      <c r="I14649" s="8" t="str">
        <f ca="1">IFERROR(__xludf.DUMMYFUNCTION("IF
(
G14650=""фізична особа""
,
VLOOKUP(H14650,IMPORTRANGE(""https://docs.google.com/spreadsheets/d/14Bd19lYaqBhU8_DElYkX7l4wRkHqqCUFNJY4AfY3kHU/edit?usp=sharing  #gid=0"",""фіз особи new!relations_name""),6,FALSE)
,
(IF
(
G14650=""юридична особа""
,
VLOO"&amp;"KUP(H14650,IMPORTRANGE(""https://docs.google.com/spreadsheets/d/14Bd19lYaqBhU8_DElYkX7l4wRkHqqCUFNJY4AfY3kHU/edit?usp=sharing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649" s="7" t="s">
        <v>23</v>
      </c>
    </row>
    <row r="14650" spans="1:10" ht="13.2">
      <c r="A14650" s="7">
        <v>14649</v>
      </c>
      <c r="B14650" s="7">
        <v>1</v>
      </c>
      <c r="C14650" s="7" t="s">
        <v>10</v>
      </c>
      <c r="D14650" s="7">
        <v>19471</v>
      </c>
      <c r="E14650" s="7" t="s">
        <v>23</v>
      </c>
      <c r="F14650" s="8" t="str">
        <f ca="1">IFERROR(__xludf.DUMMYFUNCTION("IF
(
C14651=""фізична особа""
,
VLOOKUP(D14651,IMPORTRANGE(""https://docs.google.com/spreadsheets/d/14Bd19lYaqBhU8_DElYkX7l4wRkHqqCUFNJY4AfY3kHU/edit?usp=sharing  #gid=0"",""фіз особи new!relations_name""),6,FALSE)
,
(IF
(
C14651=""юридична особа""
,
VLOO"&amp;"KUP(D14651,IMPORTRANGE(""https://docs.google.com/spreadsheets/d/14Bd19lYaqBhU8_DElYkX7l4wRkHqqCUFNJY4AfY3kHU/edit?usp=sharing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0" s="7" t="s">
        <v>10</v>
      </c>
      <c r="H14650" s="7">
        <v>19367</v>
      </c>
      <c r="I14650" s="8" t="str">
        <f ca="1">IFERROR(__xludf.DUMMYFUNCTION("IF
(
G14651=""фізична особа""
,
VLOOKUP(H14651,IMPORTRANGE(""https://docs.google.com/spreadsheets/d/14Bd19lYaqBhU8_DElYkX7l4wRkHqqCUFNJY4AfY3kHU/edit?usp=sharing  #gid=0"",""фіз особи new!relations_name""),6,FALSE)
,
(IF
(
G14651=""юридична особа""
,
VLOO"&amp;"KUP(H14651,IMPORTRANGE(""https://docs.google.com/spreadsheets/d/14Bd19lYaqBhU8_DElYkX7l4wRkHqqCUFNJY4AfY3kHU/edit?usp=sharing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650" s="7" t="s">
        <v>23</v>
      </c>
    </row>
    <row r="14651" spans="1:10" ht="13.2">
      <c r="A14651" s="7">
        <v>14650</v>
      </c>
      <c r="B14651" s="7">
        <v>1</v>
      </c>
      <c r="C14651" s="7" t="s">
        <v>10</v>
      </c>
      <c r="D14651" s="7">
        <v>19471</v>
      </c>
      <c r="E14651" s="7" t="s">
        <v>23</v>
      </c>
      <c r="F14651" s="8" t="str">
        <f ca="1">IFERROR(__xludf.DUMMYFUNCTION("IF
(
C14652=""фізична особа""
,
VLOOKUP(D14652,IMPORTRANGE(""https://docs.google.com/spreadsheets/d/14Bd19lYaqBhU8_DElYkX7l4wRkHqqCUFNJY4AfY3kHU/edit?usp=sharing  #gid=0"",""фіз особи new!relations_name""),6,FALSE)
,
(IF
(
C14652=""юридична особа""
,
VLOO"&amp;"KUP(D14652,IMPORTRANGE(""https://docs.google.com/spreadsheets/d/14Bd19lYaqBhU8_DElYkX7l4wRkHqqCUFNJY4AfY3kHU/edit?usp=sharing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1" s="7" t="s">
        <v>10</v>
      </c>
      <c r="H14651" s="7">
        <v>19474</v>
      </c>
      <c r="I14651" s="8" t="str">
        <f ca="1">IFERROR(__xludf.DUMMYFUNCTION("IF
(
G14652=""фізична особа""
,
VLOOKUP(H14652,IMPORTRANGE(""https://docs.google.com/spreadsheets/d/14Bd19lYaqBhU8_DElYkX7l4wRkHqqCUFNJY4AfY3kHU/edit?usp=sharing  #gid=0"",""фіз особи new!relations_name""),6,FALSE)
,
(IF
(
G14652=""юридична особа""
,
VLOO"&amp;"KUP(H14652,IMPORTRANGE(""https://docs.google.com/spreadsheets/d/14Bd19lYaqBhU8_DElYkX7l4wRkHqqCUFNJY4AfY3kHU/edit?usp=sharing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J14651" s="7" t="s">
        <v>23</v>
      </c>
    </row>
    <row r="14652" spans="1:10" ht="13.2">
      <c r="A14652" s="7">
        <v>14651</v>
      </c>
      <c r="B14652" s="7">
        <v>1</v>
      </c>
      <c r="C14652" s="7" t="s">
        <v>10</v>
      </c>
      <c r="D14652" s="7">
        <v>19471</v>
      </c>
      <c r="E14652" s="7" t="s">
        <v>23</v>
      </c>
      <c r="F14652" s="8" t="str">
        <f ca="1">IFERROR(__xludf.DUMMYFUNCTION("IF
(
C14653=""фізична особа""
,
VLOOKUP(D14653,IMPORTRANGE(""https://docs.google.com/spreadsheets/d/14Bd19lYaqBhU8_DElYkX7l4wRkHqqCUFNJY4AfY3kHU/edit?usp=sharing  #gid=0"",""фіз особи new!relations_name""),6,FALSE)
,
(IF
(
C14653=""юридична особа""
,
VLOO"&amp;"KUP(D14653,IMPORTRANGE(""https://docs.google.com/spreadsheets/d/14Bd19lYaqBhU8_DElYkX7l4wRkHqqCUFNJY4AfY3kHU/edit?usp=sharing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2" s="7" t="s">
        <v>10</v>
      </c>
      <c r="H14652" s="7">
        <v>19366</v>
      </c>
      <c r="I14652" s="8" t="str">
        <f ca="1">IFERROR(__xludf.DUMMYFUNCTION("IF
(
G14653=""фізична особа""
,
VLOOKUP(H14653,IMPORTRANGE(""https://docs.google.com/spreadsheets/d/14Bd19lYaqBhU8_DElYkX7l4wRkHqqCUFNJY4AfY3kHU/edit?usp=sharing  #gid=0"",""фіз особи new!relations_name""),6,FALSE)
,
(IF
(
G14653=""юридична особа""
,
VLOO"&amp;"KUP(H14653,IMPORTRANGE(""https://docs.google.com/spreadsheets/d/14Bd19lYaqBhU8_DElYkX7l4wRkHqqCUFNJY4AfY3kHU/edit?usp=sharing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52" s="7" t="s">
        <v>23</v>
      </c>
    </row>
    <row r="14653" spans="1:10" ht="13.2">
      <c r="A14653" s="7">
        <v>14652</v>
      </c>
      <c r="B14653" s="7">
        <v>1</v>
      </c>
      <c r="C14653" s="7" t="s">
        <v>10</v>
      </c>
      <c r="D14653" s="7">
        <v>19471</v>
      </c>
      <c r="E14653" s="7" t="s">
        <v>23</v>
      </c>
      <c r="F14653" s="8" t="str">
        <f ca="1">IFERROR(__xludf.DUMMYFUNCTION("IF
(
C14654=""фізична особа""
,
VLOOKUP(D14654,IMPORTRANGE(""https://docs.google.com/spreadsheets/d/14Bd19lYaqBhU8_DElYkX7l4wRkHqqCUFNJY4AfY3kHU/edit?usp=sharing  #gid=0"",""фіз особи new!relations_name""),6,FALSE)
,
(IF
(
C14654=""юридична особа""
,
VLOO"&amp;"KUP(D14654,IMPORTRANGE(""https://docs.google.com/spreadsheets/d/14Bd19lYaqBhU8_DElYkX7l4wRkHqqCUFNJY4AfY3kHU/edit?usp=sharing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3" s="7" t="s">
        <v>10</v>
      </c>
      <c r="H14653" s="7">
        <v>23701</v>
      </c>
      <c r="I14653" s="8" t="str">
        <f ca="1">IFERROR(__xludf.DUMMYFUNCTION("IF
(
G14654=""фізична особа""
,
VLOOKUP(H14654,IMPORTRANGE(""https://docs.google.com/spreadsheets/d/14Bd19lYaqBhU8_DElYkX7l4wRkHqqCUFNJY4AfY3kHU/edit?usp=sharing  #gid=0"",""фіз особи new!relations_name""),6,FALSE)
,
(IF
(
G14654=""юридична особа""
,
VLOO"&amp;"KUP(H14654,IMPORTRANGE(""https://docs.google.com/spreadsheets/d/14Bd19lYaqBhU8_DElYkX7l4wRkHqqCUFNJY4AfY3kHU/edit?usp=sharing  #gid=0"",""фіз особи new!relations_name_uo""),7,FALSE)
,
)
))"),"АЛЕКСАНДРОВА Наталія Валеріївна")</f>
        <v>АЛЕКСАНДРОВА Наталія Валеріївна</v>
      </c>
      <c r="J14653" s="7" t="s">
        <v>23</v>
      </c>
    </row>
    <row r="14654" spans="1:10" ht="13.2">
      <c r="A14654" s="7">
        <v>14653</v>
      </c>
      <c r="B14654" s="7">
        <v>1</v>
      </c>
      <c r="C14654" s="7" t="s">
        <v>10</v>
      </c>
      <c r="D14654" s="7">
        <v>19471</v>
      </c>
      <c r="E14654" s="7" t="s">
        <v>23</v>
      </c>
      <c r="F14654" s="8" t="str">
        <f ca="1">IFERROR(__xludf.DUMMYFUNCTION("IF
(
C14655=""фізична особа""
,
VLOOKUP(D14655,IMPORTRANGE(""https://docs.google.com/spreadsheets/d/14Bd19lYaqBhU8_DElYkX7l4wRkHqqCUFNJY4AfY3kHU/edit?usp=sharing  #gid=0"",""фіз особи new!relations_name""),6,FALSE)
,
(IF
(
C14655=""юридична особа""
,
VLOO"&amp;"KUP(D14655,IMPORTRANGE(""https://docs.google.com/spreadsheets/d/14Bd19lYaqBhU8_DElYkX7l4wRkHqqCUFNJY4AfY3kHU/edit?usp=sharing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4" s="7" t="s">
        <v>10</v>
      </c>
      <c r="H14654" s="7">
        <v>19470</v>
      </c>
      <c r="I14654" s="8" t="str">
        <f ca="1">IFERROR(__xludf.DUMMYFUNCTION("IF
(
G14655=""фізична особа""
,
VLOOKUP(H14655,IMPORTRANGE(""https://docs.google.com/spreadsheets/d/14Bd19lYaqBhU8_DElYkX7l4wRkHqqCUFNJY4AfY3kHU/edit?usp=sharing  #gid=0"",""фіз особи new!relations_name""),6,FALSE)
,
(IF
(
G14655=""юридична особа""
,
VLOO"&amp;"KUP(H14655,IMPORTRANGE(""https://docs.google.com/spreadsheets/d/14Bd19lYaqBhU8_DElYkX7l4wRkHqqCUFNJY4AfY3kHU/edit?usp=sharing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654" s="7" t="s">
        <v>23</v>
      </c>
    </row>
    <row r="14655" spans="1:10" ht="13.2">
      <c r="A14655" s="7">
        <v>14654</v>
      </c>
      <c r="B14655" s="7">
        <v>1</v>
      </c>
      <c r="C14655" s="7" t="s">
        <v>10</v>
      </c>
      <c r="D14655" s="7">
        <v>19471</v>
      </c>
      <c r="E14655" s="7" t="s">
        <v>23</v>
      </c>
      <c r="F14655" s="8" t="str">
        <f ca="1">IFERROR(__xludf.DUMMYFUNCTION("IF
(
C14656=""фізична особа""
,
VLOOKUP(D14656,IMPORTRANGE(""https://docs.google.com/spreadsheets/d/14Bd19lYaqBhU8_DElYkX7l4wRkHqqCUFNJY4AfY3kHU/edit?usp=sharing  #gid=0"",""фіз особи new!relations_name""),6,FALSE)
,
(IF
(
C14656=""юридична особа""
,
VLOO"&amp;"KUP(D14656,IMPORTRANGE(""https://docs.google.com/spreadsheets/d/14Bd19lYaqBhU8_DElYkX7l4wRkHqqCUFNJY4AfY3kHU/edit?usp=sharing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5" s="7" t="s">
        <v>10</v>
      </c>
      <c r="H14655" s="7">
        <v>19371</v>
      </c>
      <c r="I14655" s="8" t="str">
        <f ca="1">IFERROR(__xludf.DUMMYFUNCTION("IF
(
G14656=""фізична особа""
,
VLOOKUP(H14656,IMPORTRANGE(""https://docs.google.com/spreadsheets/d/14Bd19lYaqBhU8_DElYkX7l4wRkHqqCUFNJY4AfY3kHU/edit?usp=sharing  #gid=0"",""фіз особи new!relations_name""),6,FALSE)
,
(IF
(
G14656=""юридична особа""
,
VLOO"&amp;"KUP(H14656,IMPORTRANGE(""https://docs.google.com/spreadsheets/d/14Bd19lYaqBhU8_DElYkX7l4wRkHqqCUFNJY4AfY3kHU/edit?usp=sharing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655" s="7" t="s">
        <v>23</v>
      </c>
    </row>
    <row r="14656" spans="1:10" ht="13.2">
      <c r="A14656" s="7">
        <v>14655</v>
      </c>
      <c r="B14656" s="7">
        <v>1</v>
      </c>
      <c r="C14656" s="7" t="s">
        <v>10</v>
      </c>
      <c r="D14656" s="7">
        <v>19471</v>
      </c>
      <c r="E14656" s="7" t="s">
        <v>23</v>
      </c>
      <c r="F14656" s="8" t="str">
        <f ca="1">IFERROR(__xludf.DUMMYFUNCTION("IF
(
C14657=""фізична особа""
,
VLOOKUP(D14657,IMPORTRANGE(""https://docs.google.com/spreadsheets/d/14Bd19lYaqBhU8_DElYkX7l4wRkHqqCUFNJY4AfY3kHU/edit?usp=sharing  #gid=0"",""фіз особи new!relations_name""),6,FALSE)
,
(IF
(
C14657=""юридична особа""
,
VLOO"&amp;"KUP(D14657,IMPORTRANGE(""https://docs.google.com/spreadsheets/d/14Bd19lYaqBhU8_DElYkX7l4wRkHqqCUFNJY4AfY3kHU/edit?usp=sharing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6" s="7" t="s">
        <v>10</v>
      </c>
      <c r="H14656" s="7">
        <v>19468</v>
      </c>
      <c r="I14656" s="8" t="str">
        <f ca="1">IFERROR(__xludf.DUMMYFUNCTION("IF
(
G14657=""фізична особа""
,
VLOOKUP(H14657,IMPORTRANGE(""https://docs.google.com/spreadsheets/d/14Bd19lYaqBhU8_DElYkX7l4wRkHqqCUFNJY4AfY3kHU/edit?usp=sharing  #gid=0"",""фіз особи new!relations_name""),6,FALSE)
,
(IF
(
G14657=""юридична особа""
,
VLOO"&amp;"KUP(H14657,IMPORTRANGE(""https://docs.google.com/spreadsheets/d/14Bd19lYaqBhU8_DElYkX7l4wRkHqqCUFNJY4AfY3kHU/edit?usp=sharing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656" s="7" t="s">
        <v>23</v>
      </c>
    </row>
    <row r="14657" spans="1:10" ht="13.2">
      <c r="A14657" s="7">
        <v>14656</v>
      </c>
      <c r="B14657" s="7">
        <v>1</v>
      </c>
      <c r="C14657" s="7" t="s">
        <v>10</v>
      </c>
      <c r="D14657" s="7">
        <v>19471</v>
      </c>
      <c r="E14657" s="7" t="s">
        <v>23</v>
      </c>
      <c r="F14657" s="8" t="str">
        <f ca="1">IFERROR(__xludf.DUMMYFUNCTION("IF
(
C14658=""фізична особа""
,
VLOOKUP(D14658,IMPORTRANGE(""https://docs.google.com/spreadsheets/d/14Bd19lYaqBhU8_DElYkX7l4wRkHqqCUFNJY4AfY3kHU/edit?usp=sharing  #gid=0"",""фіз особи new!relations_name""),6,FALSE)
,
(IF
(
C14658=""юридична особа""
,
VLOO"&amp;"KUP(D14658,IMPORTRANGE(""https://docs.google.com/spreadsheets/d/14Bd19lYaqBhU8_DElYkX7l4wRkHqqCUFNJY4AfY3kHU/edit?usp=sharing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7" s="7" t="s">
        <v>10</v>
      </c>
      <c r="H14657" s="7">
        <v>23698</v>
      </c>
      <c r="I14657" s="8" t="str">
        <f ca="1">IFERROR(__xludf.DUMMYFUNCTION("IF
(
G14658=""фізична особа""
,
VLOOKUP(H14658,IMPORTRANGE(""https://docs.google.com/spreadsheets/d/14Bd19lYaqBhU8_DElYkX7l4wRkHqqCUFNJY4AfY3kHU/edit?usp=sharing  #gid=0"",""фіз особи new!relations_name""),6,FALSE)
,
(IF
(
G14658=""юридична особа""
,
VLOO"&amp;"KUP(H14658,IMPORTRANGE(""https://docs.google.com/spreadsheets/d/14Bd19lYaqBhU8_DElYkX7l4wRkHqqCUFNJY4AfY3kHU/edit?usp=sharing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657" s="7" t="s">
        <v>23</v>
      </c>
    </row>
    <row r="14658" spans="1:10" ht="13.2">
      <c r="A14658" s="7">
        <v>14657</v>
      </c>
      <c r="B14658" s="7">
        <v>1</v>
      </c>
      <c r="C14658" s="7" t="s">
        <v>10</v>
      </c>
      <c r="D14658" s="7">
        <v>19471</v>
      </c>
      <c r="E14658" s="7" t="s">
        <v>23</v>
      </c>
      <c r="F14658" s="8" t="str">
        <f ca="1">IFERROR(__xludf.DUMMYFUNCTION("IF
(
C14659=""фізична особа""
,
VLOOKUP(D14659,IMPORTRANGE(""https://docs.google.com/spreadsheets/d/14Bd19lYaqBhU8_DElYkX7l4wRkHqqCUFNJY4AfY3kHU/edit?usp=sharing  #gid=0"",""фіз особи new!relations_name""),6,FALSE)
,
(IF
(
C14659=""юридична особа""
,
VLOO"&amp;"KUP(D14659,IMPORTRANGE(""https://docs.google.com/spreadsheets/d/14Bd19lYaqBhU8_DElYkX7l4wRkHqqCUFNJY4AfY3kHU/edit?usp=sharing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G14658" s="7" t="s">
        <v>10</v>
      </c>
      <c r="H14658" s="7">
        <v>23696</v>
      </c>
      <c r="I14658" s="8" t="str">
        <f ca="1">IFERROR(__xludf.DUMMYFUNCTION("IF
(
G14659=""фізична особа""
,
VLOOKUP(H14659,IMPORTRANGE(""https://docs.google.com/spreadsheets/d/14Bd19lYaqBhU8_DElYkX7l4wRkHqqCUFNJY4AfY3kHU/edit?usp=sharing  #gid=0"",""фіз особи new!relations_name""),6,FALSE)
,
(IF
(
G14659=""юридична особа""
,
VLOO"&amp;"KUP(H14659,IMPORTRANGE(""https://docs.google.com/spreadsheets/d/14Bd19lYaqBhU8_DElYkX7l4wRkHqqCUFNJY4AfY3kHU/edit?usp=sharing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658" s="7" t="s">
        <v>23</v>
      </c>
    </row>
    <row r="14659" spans="1:10" ht="13.2">
      <c r="A14659" s="7">
        <v>14658</v>
      </c>
      <c r="B14659" s="7">
        <v>1</v>
      </c>
      <c r="C14659" s="7" t="s">
        <v>10</v>
      </c>
      <c r="D14659" s="7">
        <v>19472</v>
      </c>
      <c r="E14659" s="7" t="s">
        <v>17</v>
      </c>
      <c r="F14659" s="8" t="str">
        <f ca="1">IFERROR(__xludf.DUMMYFUNCTION("IF
(
C14660=""фізична особа""
,
VLOOKUP(D14660,IMPORTRANGE(""https://docs.google.com/spreadsheets/d/14Bd19lYaqBhU8_DElYkX7l4wRkHqqCUFNJY4AfY3kHU/edit?usp=sharing  #gid=0"",""фіз особи new!relations_name""),6,FALSE)
,
(IF
(
C14660=""юридична особа""
,
VLOO"&amp;"KUP(D14660,IMPORTRANGE(""https://docs.google.com/spreadsheets/d/14Bd19lYaqBhU8_DElYkX7l4wRkHqqCUFNJY4AfY3kHU/edit?usp=sharing  #gid=0"",""фіз особи new!relations_name_uo""),7,FALSE)
,
)
))"),"САЛАГІН Олексій Сергійович")</f>
        <v>САЛАГІН Олексій Сергійович</v>
      </c>
      <c r="G14659" s="7" t="s">
        <v>10</v>
      </c>
      <c r="H14659" s="7">
        <v>19364</v>
      </c>
      <c r="I14659" s="8" t="str">
        <f ca="1">IFERROR(__xludf.DUMMYFUNCTION("IF
(
G14660=""фізична особа""
,
VLOOKUP(H14660,IMPORTRANGE(""https://docs.google.com/spreadsheets/d/14Bd19lYaqBhU8_DElYkX7l4wRkHqqCUFNJY4AfY3kHU/edit?usp=sharing  #gid=0"",""фіз особи new!relations_name""),6,FALSE)
,
(IF
(
G14660=""юридична особа""
,
VLOO"&amp;"KUP(H14660,IMPORTRANGE(""https://docs.google.com/spreadsheets/d/14Bd19lYaqBhU8_DElYkX7l4wRkHqqCUFNJY4AfY3kHU/edit?usp=sharing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59" s="7" t="s">
        <v>21</v>
      </c>
    </row>
    <row r="14660" spans="1:10" ht="13.2">
      <c r="A14660" s="7">
        <v>14659</v>
      </c>
      <c r="B14660" s="7">
        <v>1</v>
      </c>
      <c r="C14660" s="7" t="s">
        <v>10</v>
      </c>
      <c r="D14660" s="7">
        <v>19473</v>
      </c>
      <c r="E14660" s="7" t="s">
        <v>23</v>
      </c>
      <c r="F14660" s="8" t="str">
        <f ca="1">IFERROR(__xludf.DUMMYFUNCTION("IF
(
C14661=""фізична особа""
,
VLOOKUP(D14661,IMPORTRANGE(""https://docs.google.com/spreadsheets/d/14Bd19lYaqBhU8_DElYkX7l4wRkHqqCUFNJY4AfY3kHU/edit?usp=sharing  #gid=0"",""фіз особи new!relations_name""),6,FALSE)
,
(IF
(
C14661=""юридична особа""
,
VLOO"&amp;"KUP(D14661,IMPORTRANGE(""https://docs.google.com/spreadsheets/d/14Bd19lYaqBhU8_DElYkX7l4wRkHqqCUFNJY4AfY3kHU/edit?usp=sharing  #gid=0"",""фіз особи new!relations_name_uo""),7,FALSE)
,
)
))"),"ЛЕБЄДЄВ Володимир Веніамінович")</f>
        <v>ЛЕБЄДЄВ Володимир Веніамінович</v>
      </c>
      <c r="G14660" s="7" t="s">
        <v>10</v>
      </c>
      <c r="H14660" s="7">
        <v>19366</v>
      </c>
      <c r="I14660" s="8" t="str">
        <f ca="1">IFERROR(__xludf.DUMMYFUNCTION("IF
(
G14661=""фізична особа""
,
VLOOKUP(H14661,IMPORTRANGE(""https://docs.google.com/spreadsheets/d/14Bd19lYaqBhU8_DElYkX7l4wRkHqqCUFNJY4AfY3kHU/edit?usp=sharing  #gid=0"",""фіз особи new!relations_name""),6,FALSE)
,
(IF
(
G14661=""юридична особа""
,
VLOO"&amp;"KUP(H14661,IMPORTRANGE(""https://docs.google.com/spreadsheets/d/14Bd19lYaqBhU8_DElYkX7l4wRkHqqCUFNJY4AfY3kHU/edit?usp=sharing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60" s="7" t="s">
        <v>23</v>
      </c>
    </row>
    <row r="14661" spans="1:10" ht="13.2">
      <c r="A14661" s="7">
        <v>14660</v>
      </c>
      <c r="B14661" s="7">
        <v>1</v>
      </c>
      <c r="C14661" s="7" t="s">
        <v>10</v>
      </c>
      <c r="D14661" s="7">
        <v>19473</v>
      </c>
      <c r="E14661" s="7" t="s">
        <v>23</v>
      </c>
      <c r="F14661" s="8" t="str">
        <f ca="1">IFERROR(__xludf.DUMMYFUNCTION("IF
(
C14662=""фізична особа""
,
VLOOKUP(D14662,IMPORTRANGE(""https://docs.google.com/spreadsheets/d/14Bd19lYaqBhU8_DElYkX7l4wRkHqqCUFNJY4AfY3kHU/edit?usp=sharing  #gid=0"",""фіз особи new!relations_name""),6,FALSE)
,
(IF
(
C14662=""юридична особа""
,
VLOO"&amp;"KUP(D14662,IMPORTRANGE(""https://docs.google.com/spreadsheets/d/14Bd19lYaqBhU8_DElYkX7l4wRkHqqCUFNJY4AfY3kHU/edit?usp=sharing  #gid=0"",""фіз особи new!relations_name_uo""),7,FALSE)
,
)
))"),"ЛЕБЄДЄВ Володимир Веніамінович")</f>
        <v>ЛЕБЄДЄВ Володимир Веніамінович</v>
      </c>
      <c r="G14661" s="7" t="s">
        <v>10</v>
      </c>
      <c r="H14661" s="7">
        <v>19364</v>
      </c>
      <c r="I14661" s="8" t="str">
        <f ca="1">IFERROR(__xludf.DUMMYFUNCTION("IF
(
G14662=""фізична особа""
,
VLOOKUP(H14662,IMPORTRANGE(""https://docs.google.com/spreadsheets/d/14Bd19lYaqBhU8_DElYkX7l4wRkHqqCUFNJY4AfY3kHU/edit?usp=sharing  #gid=0"",""фіз особи new!relations_name""),6,FALSE)
,
(IF
(
G14662=""юридична особа""
,
VLOO"&amp;"KUP(H14662,IMPORTRANGE(""https://docs.google.com/spreadsheets/d/14Bd19lYaqBhU8_DElYkX7l4wRkHqqCUFNJY4AfY3kHU/edit?usp=sharing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61" s="7" t="s">
        <v>23</v>
      </c>
    </row>
    <row r="14662" spans="1:10" ht="13.2">
      <c r="A14662" s="7">
        <v>14661</v>
      </c>
      <c r="B14662" s="7">
        <v>1</v>
      </c>
      <c r="C14662" s="7" t="s">
        <v>10</v>
      </c>
      <c r="D14662" s="7">
        <v>19474</v>
      </c>
      <c r="E14662" s="7" t="s">
        <v>23</v>
      </c>
      <c r="F14662" s="8" t="str">
        <f ca="1">IFERROR(__xludf.DUMMYFUNCTION("IF
(
C14663=""фізична особа""
,
VLOOKUP(D14663,IMPORTRANGE(""https://docs.google.com/spreadsheets/d/14Bd19lYaqBhU8_DElYkX7l4wRkHqqCUFNJY4AfY3kHU/edit?usp=sharing  #gid=0"",""фіз особи new!relations_name""),6,FALSE)
,
(IF
(
C14663=""юридична особа""
,
VLOO"&amp;"KUP(D14663,IMPORTRANGE(""https://docs.google.com/spreadsheets/d/14Bd19lYaqBhU8_DElYkX7l4wRkHqqCUFNJY4AfY3kHU/edit?usp=sharing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2" s="7" t="s">
        <v>10</v>
      </c>
      <c r="H14662" s="7">
        <v>19467</v>
      </c>
      <c r="I14662" s="8" t="str">
        <f ca="1">IFERROR(__xludf.DUMMYFUNCTION("IF
(
G14663=""фізична особа""
,
VLOOKUP(H14663,IMPORTRANGE(""https://docs.google.com/spreadsheets/d/14Bd19lYaqBhU8_DElYkX7l4wRkHqqCUFNJY4AfY3kHU/edit?usp=sharing  #gid=0"",""фіз особи new!relations_name""),6,FALSE)
,
(IF
(
G14663=""юридична особа""
,
VLOO"&amp;"KUP(H14663,IMPORTRANGE(""https://docs.google.com/spreadsheets/d/14Bd19lYaqBhU8_DElYkX7l4wRkHqqCUFNJY4AfY3kHU/edit?usp=sharing  #gid=0"",""фіз особи new!relations_name_uo""),7,FALSE)
,
)
))"),"ФІЛІН Віктор Дмитрович")</f>
        <v>ФІЛІН Віктор Дмитрович</v>
      </c>
      <c r="J14662" s="7" t="s">
        <v>23</v>
      </c>
    </row>
    <row r="14663" spans="1:10" ht="13.2">
      <c r="A14663" s="7">
        <v>14662</v>
      </c>
      <c r="B14663" s="7">
        <v>1</v>
      </c>
      <c r="C14663" s="7" t="s">
        <v>10</v>
      </c>
      <c r="D14663" s="7">
        <v>19474</v>
      </c>
      <c r="E14663" s="7" t="s">
        <v>23</v>
      </c>
      <c r="F14663" s="8" t="str">
        <f ca="1">IFERROR(__xludf.DUMMYFUNCTION("IF
(
C14664=""фізична особа""
,
VLOOKUP(D14664,IMPORTRANGE(""https://docs.google.com/spreadsheets/d/14Bd19lYaqBhU8_DElYkX7l4wRkHqqCUFNJY4AfY3kHU/edit?usp=sharing  #gid=0"",""фіз особи new!relations_name""),6,FALSE)
,
(IF
(
C14664=""юридична особа""
,
VLOO"&amp;"KUP(D14664,IMPORTRANGE(""https://docs.google.com/spreadsheets/d/14Bd19lYaqBhU8_DElYkX7l4wRkHqqCUFNJY4AfY3kHU/edit?usp=sharing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3" s="7" t="s">
        <v>10</v>
      </c>
      <c r="H14663" s="7">
        <v>19466</v>
      </c>
      <c r="I14663" s="8" t="str">
        <f ca="1">IFERROR(__xludf.DUMMYFUNCTION("IF
(
G14664=""фізична особа""
,
VLOOKUP(H14664,IMPORTRANGE(""https://docs.google.com/spreadsheets/d/14Bd19lYaqBhU8_DElYkX7l4wRkHqqCUFNJY4AfY3kHU/edit?usp=sharing  #gid=0"",""фіз особи new!relations_name""),6,FALSE)
,
(IF
(
G14664=""юридична особа""
,
VLOO"&amp;"KUP(H14664,IMPORTRANGE(""https://docs.google.com/spreadsheets/d/14Bd19lYaqBhU8_DElYkX7l4wRkHqqCUFNJY4AfY3kHU/edit?usp=sharing  #gid=0"",""фіз особи new!relations_name_uo""),7,FALSE)
,
)
))"),"ШТЕРН Євгеній Аркадійович")</f>
        <v>ШТЕРН Євгеній Аркадійович</v>
      </c>
      <c r="J14663" s="7" t="s">
        <v>23</v>
      </c>
    </row>
    <row r="14664" spans="1:10" ht="13.2">
      <c r="A14664" s="7">
        <v>14663</v>
      </c>
      <c r="B14664" s="7">
        <v>1</v>
      </c>
      <c r="C14664" s="7" t="s">
        <v>10</v>
      </c>
      <c r="D14664" s="7">
        <v>19474</v>
      </c>
      <c r="E14664" s="7" t="s">
        <v>23</v>
      </c>
      <c r="F14664" s="8" t="str">
        <f ca="1">IFERROR(__xludf.DUMMYFUNCTION("IF
(
C14665=""фізична особа""
,
VLOOKUP(D14665,IMPORTRANGE(""https://docs.google.com/spreadsheets/d/14Bd19lYaqBhU8_DElYkX7l4wRkHqqCUFNJY4AfY3kHU/edit?usp=sharing  #gid=0"",""фіз особи new!relations_name""),6,FALSE)
,
(IF
(
C14665=""юридична особа""
,
VLOO"&amp;"KUP(D14665,IMPORTRANGE(""https://docs.google.com/spreadsheets/d/14Bd19lYaqBhU8_DElYkX7l4wRkHqqCUFNJY4AfY3kHU/edit?usp=sharing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4" s="7" t="s">
        <v>10</v>
      </c>
      <c r="H14664" s="7">
        <v>19364</v>
      </c>
      <c r="I14664" s="8" t="str">
        <f ca="1">IFERROR(__xludf.DUMMYFUNCTION("IF
(
G14665=""фізична особа""
,
VLOOKUP(H14665,IMPORTRANGE(""https://docs.google.com/spreadsheets/d/14Bd19lYaqBhU8_DElYkX7l4wRkHqqCUFNJY4AfY3kHU/edit?usp=sharing  #gid=0"",""фіз особи new!relations_name""),6,FALSE)
,
(IF
(
G14665=""юридична особа""
,
VLOO"&amp;"KUP(H14665,IMPORTRANGE(""https://docs.google.com/spreadsheets/d/14Bd19lYaqBhU8_DElYkX7l4wRkHqqCUFNJY4AfY3kHU/edit?usp=sharing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64" s="7" t="s">
        <v>23</v>
      </c>
    </row>
    <row r="14665" spans="1:10" ht="13.2">
      <c r="A14665" s="7">
        <v>14664</v>
      </c>
      <c r="B14665" s="7">
        <v>1</v>
      </c>
      <c r="C14665" s="7" t="s">
        <v>10</v>
      </c>
      <c r="D14665" s="7">
        <v>19474</v>
      </c>
      <c r="E14665" s="7" t="s">
        <v>23</v>
      </c>
      <c r="F14665" s="8" t="str">
        <f ca="1">IFERROR(__xludf.DUMMYFUNCTION("IF
(
C14666=""фізична особа""
,
VLOOKUP(D14666,IMPORTRANGE(""https://docs.google.com/spreadsheets/d/14Bd19lYaqBhU8_DElYkX7l4wRkHqqCUFNJY4AfY3kHU/edit?usp=sharing  #gid=0"",""фіз особи new!relations_name""),6,FALSE)
,
(IF
(
C14666=""юридична особа""
,
VLOO"&amp;"KUP(D14666,IMPORTRANGE(""https://docs.google.com/spreadsheets/d/14Bd19lYaqBhU8_DElYkX7l4wRkHqqCUFNJY4AfY3kHU/edit?usp=sharing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5" s="7" t="s">
        <v>10</v>
      </c>
      <c r="H14665" s="7">
        <v>19368</v>
      </c>
      <c r="I14665" s="8" t="str">
        <f ca="1">IFERROR(__xludf.DUMMYFUNCTION("IF
(
G14666=""фізична особа""
,
VLOOKUP(H14666,IMPORTRANGE(""https://docs.google.com/spreadsheets/d/14Bd19lYaqBhU8_DElYkX7l4wRkHqqCUFNJY4AfY3kHU/edit?usp=sharing  #gid=0"",""фіз особи new!relations_name""),6,FALSE)
,
(IF
(
G14666=""юридична особа""
,
VLOO"&amp;"KUP(H14666,IMPORTRANGE(""https://docs.google.com/spreadsheets/d/14Bd19lYaqBhU8_DElYkX7l4wRkHqqCUFNJY4AfY3kHU/edit?usp=sharing  #gid=0"",""фіз особи new!relations_name_uo""),7,FALSE)
,
)
))"),"САКУЛІН Вячеслав Якович")</f>
        <v>САКУЛІН Вячеслав Якович</v>
      </c>
      <c r="J14665" s="7" t="s">
        <v>23</v>
      </c>
    </row>
    <row r="14666" spans="1:10" ht="13.2">
      <c r="A14666" s="7">
        <v>14665</v>
      </c>
      <c r="B14666" s="7">
        <v>1</v>
      </c>
      <c r="C14666" s="7" t="s">
        <v>10</v>
      </c>
      <c r="D14666" s="7">
        <v>19474</v>
      </c>
      <c r="E14666" s="7" t="s">
        <v>23</v>
      </c>
      <c r="F14666" s="8" t="str">
        <f ca="1">IFERROR(__xludf.DUMMYFUNCTION("IF
(
C14667=""фізична особа""
,
VLOOKUP(D14667,IMPORTRANGE(""https://docs.google.com/spreadsheets/d/14Bd19lYaqBhU8_DElYkX7l4wRkHqqCUFNJY4AfY3kHU/edit?usp=sharing  #gid=0"",""фіз особи new!relations_name""),6,FALSE)
,
(IF
(
C14667=""юридична особа""
,
VLOO"&amp;"KUP(D14667,IMPORTRANGE(""https://docs.google.com/spreadsheets/d/14Bd19lYaqBhU8_DElYkX7l4wRkHqqCUFNJY4AfY3kHU/edit?usp=sharing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6" s="7" t="s">
        <v>10</v>
      </c>
      <c r="H14666" s="7">
        <v>19469</v>
      </c>
      <c r="I14666" s="8" t="str">
        <f ca="1">IFERROR(__xludf.DUMMYFUNCTION("IF
(
G14667=""фізична особа""
,
VLOOKUP(H14667,IMPORTRANGE(""https://docs.google.com/spreadsheets/d/14Bd19lYaqBhU8_DElYkX7l4wRkHqqCUFNJY4AfY3kHU/edit?usp=sharing  #gid=0"",""фіз особи new!relations_name""),6,FALSE)
,
(IF
(
G14667=""юридична особа""
,
VLOO"&amp;"KUP(H14667,IMPORTRANGE(""https://docs.google.com/spreadsheets/d/14Bd19lYaqBhU8_DElYkX7l4wRkHqqCUFNJY4AfY3kHU/edit?usp=sharing  #gid=0"",""фіз особи new!relations_name_uo""),7,FALSE)
,
)
))"),"ГЕРШКОВИЧ Ігор Веніамінович")</f>
        <v>ГЕРШКОВИЧ Ігор Веніамінович</v>
      </c>
      <c r="J14666" s="7" t="s">
        <v>23</v>
      </c>
    </row>
    <row r="14667" spans="1:10" ht="13.2">
      <c r="A14667" s="7">
        <v>14666</v>
      </c>
      <c r="B14667" s="7">
        <v>1</v>
      </c>
      <c r="C14667" s="7" t="s">
        <v>10</v>
      </c>
      <c r="D14667" s="7">
        <v>19474</v>
      </c>
      <c r="E14667" s="7" t="s">
        <v>23</v>
      </c>
      <c r="F14667" s="8" t="str">
        <f ca="1">IFERROR(__xludf.DUMMYFUNCTION("IF
(
C14668=""фізична особа""
,
VLOOKUP(D14668,IMPORTRANGE(""https://docs.google.com/spreadsheets/d/14Bd19lYaqBhU8_DElYkX7l4wRkHqqCUFNJY4AfY3kHU/edit?usp=sharing  #gid=0"",""фіз особи new!relations_name""),6,FALSE)
,
(IF
(
C14668=""юридична особа""
,
VLOO"&amp;"KUP(D14668,IMPORTRANGE(""https://docs.google.com/spreadsheets/d/14Bd19lYaqBhU8_DElYkX7l4wRkHqqCUFNJY4AfY3kHU/edit?usp=sharing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7" s="7" t="s">
        <v>10</v>
      </c>
      <c r="H14667" s="7">
        <v>19365</v>
      </c>
      <c r="I14667" s="8" t="str">
        <f ca="1">IFERROR(__xludf.DUMMYFUNCTION("IF
(
G14668=""фізична особа""
,
VLOOKUP(H14668,IMPORTRANGE(""https://docs.google.com/spreadsheets/d/14Bd19lYaqBhU8_DElYkX7l4wRkHqqCUFNJY4AfY3kHU/edit?usp=sharing  #gid=0"",""фіз особи new!relations_name""),6,FALSE)
,
(IF
(
G14668=""юридична особа""
,
VLOO"&amp;"KUP(H14668,IMPORTRANGE(""https://docs.google.com/spreadsheets/d/14Bd19lYaqBhU8_DElYkX7l4wRkHqqCUFNJY4AfY3kHU/edit?usp=sharing  #gid=0"",""фіз особи new!relations_name_uo""),7,FALSE)
,
)
))"),"МИГАЛЬ Віктор Павлович")</f>
        <v>МИГАЛЬ Віктор Павлович</v>
      </c>
      <c r="J14667" s="7" t="s">
        <v>23</v>
      </c>
    </row>
    <row r="14668" spans="1:10" ht="13.2">
      <c r="A14668" s="7">
        <v>14667</v>
      </c>
      <c r="B14668" s="7">
        <v>1</v>
      </c>
      <c r="C14668" s="7" t="s">
        <v>10</v>
      </c>
      <c r="D14668" s="7">
        <v>19474</v>
      </c>
      <c r="E14668" s="7" t="s">
        <v>23</v>
      </c>
      <c r="F14668" s="8" t="str">
        <f ca="1">IFERROR(__xludf.DUMMYFUNCTION("IF
(
C14669=""фізична особа""
,
VLOOKUP(D14669,IMPORTRANGE(""https://docs.google.com/spreadsheets/d/14Bd19lYaqBhU8_DElYkX7l4wRkHqqCUFNJY4AfY3kHU/edit?usp=sharing  #gid=0"",""фіз особи new!relations_name""),6,FALSE)
,
(IF
(
C14669=""юридична особа""
,
VLOO"&amp;"KUP(D14669,IMPORTRANGE(""https://docs.google.com/spreadsheets/d/14Bd19lYaqBhU8_DElYkX7l4wRkHqqCUFNJY4AfY3kHU/edit?usp=sharing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8" s="7" t="s">
        <v>10</v>
      </c>
      <c r="H14668" s="7">
        <v>19367</v>
      </c>
      <c r="I14668" s="8" t="str">
        <f ca="1">IFERROR(__xludf.DUMMYFUNCTION("IF
(
G14669=""фізична особа""
,
VLOOKUP(H14669,IMPORTRANGE(""https://docs.google.com/spreadsheets/d/14Bd19lYaqBhU8_DElYkX7l4wRkHqqCUFNJY4AfY3kHU/edit?usp=sharing  #gid=0"",""фіз особи new!relations_name""),6,FALSE)
,
(IF
(
G14669=""юридична особа""
,
VLOO"&amp;"KUP(H14669,IMPORTRANGE(""https://docs.google.com/spreadsheets/d/14Bd19lYaqBhU8_DElYkX7l4wRkHqqCUFNJY4AfY3kHU/edit?usp=sharing  #gid=0"",""фіз особи new!relations_name_uo""),7,FALSE)
,
)
))"),"МОЖЖЕРІН Володимир Анатолійович")</f>
        <v>МОЖЖЕРІН Володимир Анатолійович</v>
      </c>
      <c r="J14668" s="7" t="s">
        <v>23</v>
      </c>
    </row>
    <row r="14669" spans="1:10" ht="13.2">
      <c r="A14669" s="7">
        <v>14668</v>
      </c>
      <c r="B14669" s="7">
        <v>1</v>
      </c>
      <c r="C14669" s="7" t="s">
        <v>10</v>
      </c>
      <c r="D14669" s="7">
        <v>19474</v>
      </c>
      <c r="E14669" s="7" t="s">
        <v>23</v>
      </c>
      <c r="F14669" s="8" t="str">
        <f ca="1">IFERROR(__xludf.DUMMYFUNCTION("IF
(
C14670=""фізична особа""
,
VLOOKUP(D14670,IMPORTRANGE(""https://docs.google.com/spreadsheets/d/14Bd19lYaqBhU8_DElYkX7l4wRkHqqCUFNJY4AfY3kHU/edit?usp=sharing  #gid=0"",""фіз особи new!relations_name""),6,FALSE)
,
(IF
(
C14670=""юридична особа""
,
VLOO"&amp;"KUP(D14670,IMPORTRANGE(""https://docs.google.com/spreadsheets/d/14Bd19lYaqBhU8_DElYkX7l4wRkHqqCUFNJY4AfY3kHU/edit?usp=sharing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69" s="7" t="s">
        <v>10</v>
      </c>
      <c r="H14669" s="7">
        <v>19471</v>
      </c>
      <c r="I14669" s="8" t="str">
        <f ca="1">IFERROR(__xludf.DUMMYFUNCTION("IF
(
G14670=""фізична особа""
,
VLOOKUP(H14670,IMPORTRANGE(""https://docs.google.com/spreadsheets/d/14Bd19lYaqBhU8_DElYkX7l4wRkHqqCUFNJY4AfY3kHU/edit?usp=sharing  #gid=0"",""фіз особи new!relations_name""),6,FALSE)
,
(IF
(
G14670=""юридична особа""
,
VLOO"&amp;"KUP(H14670,IMPORTRANGE(""https://docs.google.com/spreadsheets/d/14Bd19lYaqBhU8_DElYkX7l4wRkHqqCUFNJY4AfY3kHU/edit?usp=sharing  #gid=0"",""фіз особи new!relations_name_uo""),7,FALSE)
,
)
))"),"АНДРЕЄВА Віра Іванівна")</f>
        <v>АНДРЕЄВА Віра Іванівна</v>
      </c>
      <c r="J14669" s="7" t="s">
        <v>23</v>
      </c>
    </row>
    <row r="14670" spans="1:10" ht="13.2">
      <c r="A14670" s="7">
        <v>14669</v>
      </c>
      <c r="B14670" s="7">
        <v>1</v>
      </c>
      <c r="C14670" s="7" t="s">
        <v>10</v>
      </c>
      <c r="D14670" s="7">
        <v>19474</v>
      </c>
      <c r="E14670" s="7" t="s">
        <v>23</v>
      </c>
      <c r="F14670" s="8" t="str">
        <f ca="1">IFERROR(__xludf.DUMMYFUNCTION("IF
(
C14671=""фізична особа""
,
VLOOKUP(D14671,IMPORTRANGE(""https://docs.google.com/spreadsheets/d/14Bd19lYaqBhU8_DElYkX7l4wRkHqqCUFNJY4AfY3kHU/edit?usp=sharing  #gid=0"",""фіз особи new!relations_name""),6,FALSE)
,
(IF
(
C14671=""юридична особа""
,
VLOO"&amp;"KUP(D14671,IMPORTRANGE(""https://docs.google.com/spreadsheets/d/14Bd19lYaqBhU8_DElYkX7l4wRkHqqCUFNJY4AfY3kHU/edit?usp=sharing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0" s="7" t="s">
        <v>10</v>
      </c>
      <c r="H14670" s="7">
        <v>19366</v>
      </c>
      <c r="I14670" s="8" t="str">
        <f ca="1">IFERROR(__xludf.DUMMYFUNCTION("IF
(
G14671=""фізична особа""
,
VLOOKUP(H14671,IMPORTRANGE(""https://docs.google.com/spreadsheets/d/14Bd19lYaqBhU8_DElYkX7l4wRkHqqCUFNJY4AfY3kHU/edit?usp=sharing  #gid=0"",""фіз особи new!relations_name""),6,FALSE)
,
(IF
(
G14671=""юридична особа""
,
VLOO"&amp;"KUP(H14671,IMPORTRANGE(""https://docs.google.com/spreadsheets/d/14Bd19lYaqBhU8_DElYkX7l4wRkHqqCUFNJY4AfY3kHU/edit?usp=sharing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70" s="7" t="s">
        <v>23</v>
      </c>
    </row>
    <row r="14671" spans="1:10" ht="13.2">
      <c r="A14671" s="7">
        <v>14670</v>
      </c>
      <c r="B14671" s="7">
        <v>1</v>
      </c>
      <c r="C14671" s="7" t="s">
        <v>10</v>
      </c>
      <c r="D14671" s="7">
        <v>19474</v>
      </c>
      <c r="E14671" s="7" t="s">
        <v>23</v>
      </c>
      <c r="F14671" s="8" t="str">
        <f ca="1">IFERROR(__xludf.DUMMYFUNCTION("IF
(
C14672=""фізична особа""
,
VLOOKUP(D14672,IMPORTRANGE(""https://docs.google.com/spreadsheets/d/14Bd19lYaqBhU8_DElYkX7l4wRkHqqCUFNJY4AfY3kHU/edit?usp=sharing  #gid=0"",""фіз особи new!relations_name""),6,FALSE)
,
(IF
(
C14672=""юридична особа""
,
VLOO"&amp;"KUP(D14672,IMPORTRANGE(""https://docs.google.com/spreadsheets/d/14Bd19lYaqBhU8_DElYkX7l4wRkHqqCUFNJY4AfY3kHU/edit?usp=sharing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1" s="7" t="s">
        <v>10</v>
      </c>
      <c r="H14671" s="7">
        <v>19470</v>
      </c>
      <c r="I14671" s="8" t="str">
        <f ca="1">IFERROR(__xludf.DUMMYFUNCTION("IF
(
G14672=""фізична особа""
,
VLOOKUP(H14672,IMPORTRANGE(""https://docs.google.com/spreadsheets/d/14Bd19lYaqBhU8_DElYkX7l4wRkHqqCUFNJY4AfY3kHU/edit?usp=sharing  #gid=0"",""фіз особи new!relations_name""),6,FALSE)
,
(IF
(
G14672=""юридична особа""
,
VLOO"&amp;"KUP(H14672,IMPORTRANGE(""https://docs.google.com/spreadsheets/d/14Bd19lYaqBhU8_DElYkX7l4wRkHqqCUFNJY4AfY3kHU/edit?usp=sharing  #gid=0"",""фіз особи new!relations_name_uo""),7,FALSE)
,
)
))"),"ПУДІКОВ Микола Іванович")</f>
        <v>ПУДІКОВ Микола Іванович</v>
      </c>
      <c r="J14671" s="7" t="s">
        <v>23</v>
      </c>
    </row>
    <row r="14672" spans="1:10" ht="13.2">
      <c r="A14672" s="7">
        <v>14671</v>
      </c>
      <c r="B14672" s="7">
        <v>1</v>
      </c>
      <c r="C14672" s="7" t="s">
        <v>10</v>
      </c>
      <c r="D14672" s="7">
        <v>19474</v>
      </c>
      <c r="E14672" s="7" t="s">
        <v>23</v>
      </c>
      <c r="F14672" s="8" t="str">
        <f ca="1">IFERROR(__xludf.DUMMYFUNCTION("IF
(
C14673=""фізична особа""
,
VLOOKUP(D14673,IMPORTRANGE(""https://docs.google.com/spreadsheets/d/14Bd19lYaqBhU8_DElYkX7l4wRkHqqCUFNJY4AfY3kHU/edit?usp=sharing  #gid=0"",""фіз особи new!relations_name""),6,FALSE)
,
(IF
(
C14673=""юридична особа""
,
VLOO"&amp;"KUP(D14673,IMPORTRANGE(""https://docs.google.com/spreadsheets/d/14Bd19lYaqBhU8_DElYkX7l4wRkHqqCUFNJY4AfY3kHU/edit?usp=sharing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2" s="7" t="s">
        <v>10</v>
      </c>
      <c r="H14672" s="7">
        <v>19371</v>
      </c>
      <c r="I14672" s="8" t="str">
        <f ca="1">IFERROR(__xludf.DUMMYFUNCTION("IF
(
G14673=""фізична особа""
,
VLOOKUP(H14673,IMPORTRANGE(""https://docs.google.com/spreadsheets/d/14Bd19lYaqBhU8_DElYkX7l4wRkHqqCUFNJY4AfY3kHU/edit?usp=sharing  #gid=0"",""фіз особи new!relations_name""),6,FALSE)
,
(IF
(
G14673=""юридична особа""
,
VLOO"&amp;"KUP(H14673,IMPORTRANGE(""https://docs.google.com/spreadsheets/d/14Bd19lYaqBhU8_DElYkX7l4wRkHqqCUFNJY4AfY3kHU/edit?usp=sharing  #gid=0"",""фіз особи new!relations_name_uo""),7,FALSE)
,
)
))"),"ВАСИЛЬЄВ Сергій Аркадійович")</f>
        <v>ВАСИЛЬЄВ Сергій Аркадійович</v>
      </c>
      <c r="J14672" s="7" t="s">
        <v>23</v>
      </c>
    </row>
    <row r="14673" spans="1:10" ht="13.2">
      <c r="A14673" s="7">
        <v>14672</v>
      </c>
      <c r="B14673" s="7">
        <v>1</v>
      </c>
      <c r="C14673" s="7" t="s">
        <v>10</v>
      </c>
      <c r="D14673" s="7">
        <v>19474</v>
      </c>
      <c r="E14673" s="7" t="s">
        <v>23</v>
      </c>
      <c r="F14673" s="8" t="str">
        <f ca="1">IFERROR(__xludf.DUMMYFUNCTION("IF
(
C14674=""фізична особа""
,
VLOOKUP(D14674,IMPORTRANGE(""https://docs.google.com/spreadsheets/d/14Bd19lYaqBhU8_DElYkX7l4wRkHqqCUFNJY4AfY3kHU/edit?usp=sharing  #gid=0"",""фіз особи new!relations_name""),6,FALSE)
,
(IF
(
C14674=""юридична особа""
,
VLOO"&amp;"KUP(D14674,IMPORTRANGE(""https://docs.google.com/spreadsheets/d/14Bd19lYaqBhU8_DElYkX7l4wRkHqqCUFNJY4AfY3kHU/edit?usp=sharing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3" s="7" t="s">
        <v>10</v>
      </c>
      <c r="H14673" s="7">
        <v>19468</v>
      </c>
      <c r="I14673" s="8" t="str">
        <f ca="1">IFERROR(__xludf.DUMMYFUNCTION("IF
(
G14674=""фізична особа""
,
VLOOKUP(H14674,IMPORTRANGE(""https://docs.google.com/spreadsheets/d/14Bd19lYaqBhU8_DElYkX7l4wRkHqqCUFNJY4AfY3kHU/edit?usp=sharing  #gid=0"",""фіз особи new!relations_name""),6,FALSE)
,
(IF
(
G14674=""юридична особа""
,
VLOO"&amp;"KUP(H14674,IMPORTRANGE(""https://docs.google.com/spreadsheets/d/14Bd19lYaqBhU8_DElYkX7l4wRkHqqCUFNJY4AfY3kHU/edit?usp=sharing  #gid=0"",""фіз особи new!relations_name_uo""),7,FALSE)
,
)
))"),"ПАНФІЛОВА Емма Юріївна")</f>
        <v>ПАНФІЛОВА Емма Юріївна</v>
      </c>
      <c r="J14673" s="7" t="s">
        <v>23</v>
      </c>
    </row>
    <row r="14674" spans="1:10" ht="13.2">
      <c r="A14674" s="7">
        <v>14673</v>
      </c>
      <c r="B14674" s="7">
        <v>1</v>
      </c>
      <c r="C14674" s="7" t="s">
        <v>10</v>
      </c>
      <c r="D14674" s="7">
        <v>19474</v>
      </c>
      <c r="E14674" s="7" t="s">
        <v>23</v>
      </c>
      <c r="F14674" s="8" t="str">
        <f ca="1">IFERROR(__xludf.DUMMYFUNCTION("IF
(
C14675=""фізична особа""
,
VLOOKUP(D14675,IMPORTRANGE(""https://docs.google.com/spreadsheets/d/14Bd19lYaqBhU8_DElYkX7l4wRkHqqCUFNJY4AfY3kHU/edit?usp=sharing  #gid=0"",""фіз особи new!relations_name""),6,FALSE)
,
(IF
(
C14675=""юридична особа""
,
VLOO"&amp;"KUP(D14675,IMPORTRANGE(""https://docs.google.com/spreadsheets/d/14Bd19lYaqBhU8_DElYkX7l4wRkHqqCUFNJY4AfY3kHU/edit?usp=sharing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4" s="7" t="s">
        <v>10</v>
      </c>
      <c r="H14674" s="7">
        <v>23698</v>
      </c>
      <c r="I14674" s="8" t="str">
        <f ca="1">IFERROR(__xludf.DUMMYFUNCTION("IF
(
G14675=""фізична особа""
,
VLOOKUP(H14675,IMPORTRANGE(""https://docs.google.com/spreadsheets/d/14Bd19lYaqBhU8_DElYkX7l4wRkHqqCUFNJY4AfY3kHU/edit?usp=sharing  #gid=0"",""фіз особи new!relations_name""),6,FALSE)
,
(IF
(
G14675=""юридична особа""
,
VLOO"&amp;"KUP(H14675,IMPORTRANGE(""https://docs.google.com/spreadsheets/d/14Bd19lYaqBhU8_DElYkX7l4wRkHqqCUFNJY4AfY3kHU/edit?usp=sharing  #gid=0"",""фіз особи new!relations_name_uo""),7,FALSE)
,
)
))"),"ГРОМОВА Лариса Юріївна")</f>
        <v>ГРОМОВА Лариса Юріївна</v>
      </c>
      <c r="J14674" s="7" t="s">
        <v>23</v>
      </c>
    </row>
    <row r="14675" spans="1:10" ht="13.2">
      <c r="A14675" s="7">
        <v>14674</v>
      </c>
      <c r="B14675" s="7">
        <v>1</v>
      </c>
      <c r="C14675" s="7" t="s">
        <v>10</v>
      </c>
      <c r="D14675" s="7">
        <v>19474</v>
      </c>
      <c r="E14675" s="7" t="s">
        <v>23</v>
      </c>
      <c r="F14675" s="8" t="str">
        <f ca="1">IFERROR(__xludf.DUMMYFUNCTION("IF
(
C14676=""фізична особа""
,
VLOOKUP(D14676,IMPORTRANGE(""https://docs.google.com/spreadsheets/d/14Bd19lYaqBhU8_DElYkX7l4wRkHqqCUFNJY4AfY3kHU/edit?usp=sharing  #gid=0"",""фіз особи new!relations_name""),6,FALSE)
,
(IF
(
C14676=""юридична особа""
,
VLOO"&amp;"KUP(D14676,IMPORTRANGE(""https://docs.google.com/spreadsheets/d/14Bd19lYaqBhU8_DElYkX7l4wRkHqqCUFNJY4AfY3kHU/edit?usp=sharing  #gid=0"",""фіз особи new!relations_name_uo""),7,FALSE)
,
)
))"),"ВАСИЛЬЄВА Катерина Євгеніївна")</f>
        <v>ВАСИЛЬЄВА Катерина Євгеніївна</v>
      </c>
      <c r="G14675" s="7" t="s">
        <v>10</v>
      </c>
      <c r="H14675" s="7">
        <v>23696</v>
      </c>
      <c r="I14675" s="8" t="str">
        <f ca="1">IFERROR(__xludf.DUMMYFUNCTION("IF
(
G14676=""фізична особа""
,
VLOOKUP(H14676,IMPORTRANGE(""https://docs.google.com/spreadsheets/d/14Bd19lYaqBhU8_DElYkX7l4wRkHqqCUFNJY4AfY3kHU/edit?usp=sharing  #gid=0"",""фіз особи new!relations_name""),6,FALSE)
,
(IF
(
G14676=""юридична особа""
,
VLOO"&amp;"KUP(H14676,IMPORTRANGE(""https://docs.google.com/spreadsheets/d/14Bd19lYaqBhU8_DElYkX7l4wRkHqqCUFNJY4AfY3kHU/edit?usp=sharing  #gid=0"",""фіз особи new!relations_name_uo""),7,FALSE)
,
)
))"),"ГРОМОВ Олексій Юрійович")</f>
        <v>ГРОМОВ Олексій Юрійович</v>
      </c>
      <c r="J14675" s="7" t="s">
        <v>23</v>
      </c>
    </row>
    <row r="14676" spans="1:10" ht="13.2">
      <c r="A14676" s="7">
        <v>14675</v>
      </c>
      <c r="B14676" s="7">
        <v>1</v>
      </c>
      <c r="C14676" s="7" t="s">
        <v>10</v>
      </c>
      <c r="D14676" s="7">
        <v>19475</v>
      </c>
      <c r="E14676" s="7" t="s">
        <v>23</v>
      </c>
      <c r="F14676" s="8" t="str">
        <f ca="1">IFERROR(__xludf.DUMMYFUNCTION("IF
(
C14677=""фізична особа""
,
VLOOKUP(D14677,IMPORTRANGE(""https://docs.google.com/spreadsheets/d/14Bd19lYaqBhU8_DElYkX7l4wRkHqqCUFNJY4AfY3kHU/edit?usp=sharing  #gid=0"",""фіз особи new!relations_name""),6,FALSE)
,
(IF
(
C14677=""юридична особа""
,
VLOO"&amp;"KUP(D14677,IMPORTRANGE(""https://docs.google.com/spreadsheets/d/14Bd19lYaqBhU8_DElYkX7l4wRkHqqCUFNJY4AfY3kHU/edit?usp=sharing  #gid=0"",""фіз особи new!relations_name_uo""),7,FALSE)
,
)
))"),"ГРЕМІТСЬКИХ Ірина Семенівна")</f>
        <v>ГРЕМІТСЬКИХ Ірина Семенівна</v>
      </c>
      <c r="G14676" s="7" t="s">
        <v>10</v>
      </c>
      <c r="H14676" s="7">
        <v>19366</v>
      </c>
      <c r="I14676" s="8" t="str">
        <f ca="1">IFERROR(__xludf.DUMMYFUNCTION("IF
(
G14677=""фізична особа""
,
VLOOKUP(H14677,IMPORTRANGE(""https://docs.google.com/spreadsheets/d/14Bd19lYaqBhU8_DElYkX7l4wRkHqqCUFNJY4AfY3kHU/edit?usp=sharing  #gid=0"",""фіз особи new!relations_name""),6,FALSE)
,
(IF
(
G14677=""юридична особа""
,
VLOO"&amp;"KUP(H14677,IMPORTRANGE(""https://docs.google.com/spreadsheets/d/14Bd19lYaqBhU8_DElYkX7l4wRkHqqCUFNJY4AfY3kHU/edit?usp=sharing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76" s="7" t="s">
        <v>23</v>
      </c>
    </row>
    <row r="14677" spans="1:10" ht="13.2">
      <c r="A14677" s="7">
        <v>14676</v>
      </c>
      <c r="B14677" s="7">
        <v>1</v>
      </c>
      <c r="C14677" s="7" t="s">
        <v>10</v>
      </c>
      <c r="D14677" s="7">
        <v>19475</v>
      </c>
      <c r="E14677" s="7" t="s">
        <v>23</v>
      </c>
      <c r="F14677" s="8" t="str">
        <f ca="1">IFERROR(__xludf.DUMMYFUNCTION("IF
(
C14678=""фізична особа""
,
VLOOKUP(D14678,IMPORTRANGE(""https://docs.google.com/spreadsheets/d/14Bd19lYaqBhU8_DElYkX7l4wRkHqqCUFNJY4AfY3kHU/edit?usp=sharing  #gid=0"",""фіз особи new!relations_name""),6,FALSE)
,
(IF
(
C14678=""юридична особа""
,
VLOO"&amp;"KUP(D14678,IMPORTRANGE(""https://docs.google.com/spreadsheets/d/14Bd19lYaqBhU8_DElYkX7l4wRkHqqCUFNJY4AfY3kHU/edit?usp=sharing  #gid=0"",""фіз особи new!relations_name_uo""),7,FALSE)
,
)
))"),"ГРЕМІТСЬКИХ Ірина Семенівна")</f>
        <v>ГРЕМІТСЬКИХ Ірина Семенівна</v>
      </c>
      <c r="G14677" s="7" t="s">
        <v>10</v>
      </c>
      <c r="H14677" s="7">
        <v>19364</v>
      </c>
      <c r="I14677" s="8" t="str">
        <f ca="1">IFERROR(__xludf.DUMMYFUNCTION("IF
(
G14678=""фізична особа""
,
VLOOKUP(H14678,IMPORTRANGE(""https://docs.google.com/spreadsheets/d/14Bd19lYaqBhU8_DElYkX7l4wRkHqqCUFNJY4AfY3kHU/edit?usp=sharing  #gid=0"",""фіз особи new!relations_name""),6,FALSE)
,
(IF
(
G14678=""юридична особа""
,
VLOO"&amp;"KUP(H14678,IMPORTRANGE(""https://docs.google.com/spreadsheets/d/14Bd19lYaqBhU8_DElYkX7l4wRkHqqCUFNJY4AfY3kHU/edit?usp=sharing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77" s="7" t="s">
        <v>23</v>
      </c>
    </row>
    <row r="14678" spans="1:10" ht="13.2">
      <c r="A14678" s="7">
        <v>14677</v>
      </c>
      <c r="B14678" s="7">
        <v>1</v>
      </c>
      <c r="C14678" s="7" t="s">
        <v>10</v>
      </c>
      <c r="D14678" s="7">
        <v>19476</v>
      </c>
      <c r="E14678" s="7" t="s">
        <v>23</v>
      </c>
      <c r="F14678" s="8" t="str">
        <f ca="1">IFERROR(__xludf.DUMMYFUNCTION("IF
(
C14679=""фізична особа""
,
VLOOKUP(D14679,IMPORTRANGE(""https://docs.google.com/spreadsheets/d/14Bd19lYaqBhU8_DElYkX7l4wRkHqqCUFNJY4AfY3kHU/edit?usp=sharing  #gid=0"",""фіз особи new!relations_name""),6,FALSE)
,
(IF
(
C14679=""юридична особа""
,
VLOO"&amp;"KUP(D14679,IMPORTRANGE(""https://docs.google.com/spreadsheets/d/14Bd19lYaqBhU8_DElYkX7l4wRkHqqCUFNJY4AfY3kHU/edit?usp=sharing  #gid=0"",""фіз особи new!relations_name_uo""),7,FALSE)
,
)
))"),"КРАСНОВ Юрій Юрійович")</f>
        <v>КРАСНОВ Юрій Юрійович</v>
      </c>
      <c r="G14678" s="7" t="s">
        <v>10</v>
      </c>
      <c r="H14678" s="7">
        <v>19366</v>
      </c>
      <c r="I14678" s="8" t="str">
        <f ca="1">IFERROR(__xludf.DUMMYFUNCTION("IF
(
G14679=""фізична особа""
,
VLOOKUP(H14679,IMPORTRANGE(""https://docs.google.com/spreadsheets/d/14Bd19lYaqBhU8_DElYkX7l4wRkHqqCUFNJY4AfY3kHU/edit?usp=sharing  #gid=0"",""фіз особи new!relations_name""),6,FALSE)
,
(IF
(
G14679=""юридична особа""
,
VLOO"&amp;"KUP(H14679,IMPORTRANGE(""https://docs.google.com/spreadsheets/d/14Bd19lYaqBhU8_DElYkX7l4wRkHqqCUFNJY4AfY3kHU/edit?usp=sharing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78" s="7" t="s">
        <v>23</v>
      </c>
    </row>
    <row r="14679" spans="1:10" ht="13.2">
      <c r="A14679" s="7">
        <v>14678</v>
      </c>
      <c r="B14679" s="7">
        <v>1</v>
      </c>
      <c r="C14679" s="7" t="s">
        <v>10</v>
      </c>
      <c r="D14679" s="7">
        <v>19476</v>
      </c>
      <c r="E14679" s="7" t="s">
        <v>23</v>
      </c>
      <c r="F14679" s="8" t="str">
        <f ca="1">IFERROR(__xludf.DUMMYFUNCTION("IF
(
C14680=""фізична особа""
,
VLOOKUP(D14680,IMPORTRANGE(""https://docs.google.com/spreadsheets/d/14Bd19lYaqBhU8_DElYkX7l4wRkHqqCUFNJY4AfY3kHU/edit?usp=sharing  #gid=0"",""фіз особи new!relations_name""),6,FALSE)
,
(IF
(
C14680=""юридична особа""
,
VLOO"&amp;"KUP(D14680,IMPORTRANGE(""https://docs.google.com/spreadsheets/d/14Bd19lYaqBhU8_DElYkX7l4wRkHqqCUFNJY4AfY3kHU/edit?usp=sharing  #gid=0"",""фіз особи new!relations_name_uo""),7,FALSE)
,
)
))"),"КРАСНОВ Юрій Юрійович")</f>
        <v>КРАСНОВ Юрій Юрійович</v>
      </c>
      <c r="G14679" s="7" t="s">
        <v>10</v>
      </c>
      <c r="H14679" s="7">
        <v>19364</v>
      </c>
      <c r="I14679" s="8" t="str">
        <f ca="1">IFERROR(__xludf.DUMMYFUNCTION("IF
(
G14680=""фізична особа""
,
VLOOKUP(H14680,IMPORTRANGE(""https://docs.google.com/spreadsheets/d/14Bd19lYaqBhU8_DElYkX7l4wRkHqqCUFNJY4AfY3kHU/edit?usp=sharing  #gid=0"",""фіз особи new!relations_name""),6,FALSE)
,
(IF
(
G14680=""юридична особа""
,
VLOO"&amp;"KUP(H14680,IMPORTRANGE(""https://docs.google.com/spreadsheets/d/14Bd19lYaqBhU8_DElYkX7l4wRkHqqCUFNJY4AfY3kHU/edit?usp=sharing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79" s="7" t="s">
        <v>23</v>
      </c>
    </row>
    <row r="14680" spans="1:10" ht="13.2">
      <c r="A14680" s="7">
        <v>14679</v>
      </c>
      <c r="B14680" s="7">
        <v>1</v>
      </c>
      <c r="C14680" s="7" t="s">
        <v>10</v>
      </c>
      <c r="D14680" s="7">
        <v>19477</v>
      </c>
      <c r="E14680" s="7" t="s">
        <v>23</v>
      </c>
      <c r="F14680" s="8" t="str">
        <f ca="1">IFERROR(__xludf.DUMMYFUNCTION("IF
(
C14681=""фізична особа""
,
VLOOKUP(D14681,IMPORTRANGE(""https://docs.google.com/spreadsheets/d/14Bd19lYaqBhU8_DElYkX7l4wRkHqqCUFNJY4AfY3kHU/edit?usp=sharing  #gid=0"",""фіз особи new!relations_name""),6,FALSE)
,
(IF
(
C14681=""юридична особа""
,
VLOO"&amp;"KUP(D14681,IMPORTRANGE(""https://docs.google.com/spreadsheets/d/14Bd19lYaqBhU8_DElYkX7l4wRkHqqCUFNJY4AfY3kHU/edit?usp=sharing  #gid=0"",""фіз особи new!relations_name_uo""),7,FALSE)
,
)
))"),"НОВІКОВ Микола Олександрович")</f>
        <v>НОВІКОВ Микола Олександрович</v>
      </c>
      <c r="G14680" s="7" t="s">
        <v>10</v>
      </c>
      <c r="H14680" s="7">
        <v>19366</v>
      </c>
      <c r="I14680" s="8" t="str">
        <f ca="1">IFERROR(__xludf.DUMMYFUNCTION("IF
(
G14681=""фізична особа""
,
VLOOKUP(H14681,IMPORTRANGE(""https://docs.google.com/spreadsheets/d/14Bd19lYaqBhU8_DElYkX7l4wRkHqqCUFNJY4AfY3kHU/edit?usp=sharing  #gid=0"",""фіз особи new!relations_name""),6,FALSE)
,
(IF
(
G14681=""юридична особа""
,
VLOO"&amp;"KUP(H14681,IMPORTRANGE(""https://docs.google.com/spreadsheets/d/14Bd19lYaqBhU8_DElYkX7l4wRkHqqCUFNJY4AfY3kHU/edit?usp=sharing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80" s="7" t="s">
        <v>23</v>
      </c>
    </row>
    <row r="14681" spans="1:10" ht="13.2">
      <c r="A14681" s="7">
        <v>14680</v>
      </c>
      <c r="B14681" s="7">
        <v>1</v>
      </c>
      <c r="C14681" s="7" t="s">
        <v>10</v>
      </c>
      <c r="D14681" s="7">
        <v>19477</v>
      </c>
      <c r="E14681" s="7" t="s">
        <v>23</v>
      </c>
      <c r="F14681" s="8" t="str">
        <f ca="1">IFERROR(__xludf.DUMMYFUNCTION("IF
(
C14682=""фізична особа""
,
VLOOKUP(D14682,IMPORTRANGE(""https://docs.google.com/spreadsheets/d/14Bd19lYaqBhU8_DElYkX7l4wRkHqqCUFNJY4AfY3kHU/edit?usp=sharing  #gid=0"",""фіз особи new!relations_name""),6,FALSE)
,
(IF
(
C14682=""юридична особа""
,
VLOO"&amp;"KUP(D14682,IMPORTRANGE(""https://docs.google.com/spreadsheets/d/14Bd19lYaqBhU8_DElYkX7l4wRkHqqCUFNJY4AfY3kHU/edit?usp=sharing  #gid=0"",""фіз особи new!relations_name_uo""),7,FALSE)
,
)
))"),"НОВІКОВ Микола Олександрович")</f>
        <v>НОВІКОВ Микола Олександрович</v>
      </c>
      <c r="G14681" s="7" t="s">
        <v>10</v>
      </c>
      <c r="H14681" s="7">
        <v>19364</v>
      </c>
      <c r="I14681" s="8" t="str">
        <f ca="1">IFERROR(__xludf.DUMMYFUNCTION("IF
(
G14682=""фізична особа""
,
VLOOKUP(H14682,IMPORTRANGE(""https://docs.google.com/spreadsheets/d/14Bd19lYaqBhU8_DElYkX7l4wRkHqqCUFNJY4AfY3kHU/edit?usp=sharing  #gid=0"",""фіз особи new!relations_name""),6,FALSE)
,
(IF
(
G14682=""юридична особа""
,
VLOO"&amp;"KUP(H14682,IMPORTRANGE(""https://docs.google.com/spreadsheets/d/14Bd19lYaqBhU8_DElYkX7l4wRkHqqCUFNJY4AfY3kHU/edit?usp=sharing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81" s="7" t="s">
        <v>23</v>
      </c>
    </row>
    <row r="14682" spans="1:10" ht="13.2">
      <c r="A14682" s="7">
        <v>14681</v>
      </c>
      <c r="B14682" s="7">
        <v>1</v>
      </c>
      <c r="C14682" s="7" t="s">
        <v>10</v>
      </c>
      <c r="D14682" s="7">
        <v>19478</v>
      </c>
      <c r="E14682" s="7" t="s">
        <v>17</v>
      </c>
      <c r="F14682" s="8" t="str">
        <f ca="1">IFERROR(__xludf.DUMMYFUNCTION("IF
(
C14683=""фізична особа""
,
VLOOKUP(D14683,IMPORTRANGE(""https://docs.google.com/spreadsheets/d/14Bd19lYaqBhU8_DElYkX7l4wRkHqqCUFNJY4AfY3kHU/edit?usp=sharing  #gid=0"",""фіз особи new!relations_name""),6,FALSE)
,
(IF
(
C14683=""юридична особа""
,
VLOO"&amp;"KUP(D14683,IMPORTRANGE(""https://docs.google.com/spreadsheets/d/14Bd19lYaqBhU8_DElYkX7l4wRkHqqCUFNJY4AfY3kHU/edit?usp=sharing  #gid=0"",""фіз особи new!relations_name_uo""),7,FALSE)
,
)
))"),"САКУЛІН Андрій Вячеславович")</f>
        <v>САКУЛІН Андрій Вячеславович</v>
      </c>
      <c r="G14682" s="7" t="s">
        <v>10</v>
      </c>
      <c r="H14682" s="7">
        <v>19366</v>
      </c>
      <c r="I14682" s="8" t="str">
        <f ca="1">IFERROR(__xludf.DUMMYFUNCTION("IF
(
G14683=""фізична особа""
,
VLOOKUP(H14683,IMPORTRANGE(""https://docs.google.com/spreadsheets/d/14Bd19lYaqBhU8_DElYkX7l4wRkHqqCUFNJY4AfY3kHU/edit?usp=sharing  #gid=0"",""фіз особи new!relations_name""),6,FALSE)
,
(IF
(
G14683=""юридична особа""
,
VLOO"&amp;"KUP(H14683,IMPORTRANGE(""https://docs.google.com/spreadsheets/d/14Bd19lYaqBhU8_DElYkX7l4wRkHqqCUFNJY4AfY3kHU/edit?usp=sharing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82" s="7" t="s">
        <v>12</v>
      </c>
    </row>
    <row r="14683" spans="1:10" ht="13.2">
      <c r="A14683" s="7">
        <v>14682</v>
      </c>
      <c r="B14683" s="7">
        <v>1</v>
      </c>
      <c r="C14683" s="7" t="s">
        <v>10</v>
      </c>
      <c r="D14683" s="7">
        <v>19478</v>
      </c>
      <c r="E14683" s="7" t="s">
        <v>23</v>
      </c>
      <c r="F14683" s="8" t="str">
        <f ca="1">IFERROR(__xludf.DUMMYFUNCTION("IF
(
C14684=""фізична особа""
,
VLOOKUP(D14684,IMPORTRANGE(""https://docs.google.com/spreadsheets/d/14Bd19lYaqBhU8_DElYkX7l4wRkHqqCUFNJY4AfY3kHU/edit?usp=sharing  #gid=0"",""фіз особи new!relations_name""),6,FALSE)
,
(IF
(
C14684=""юридична особа""
,
VLOO"&amp;"KUP(D14684,IMPORTRANGE(""https://docs.google.com/spreadsheets/d/14Bd19lYaqBhU8_DElYkX7l4wRkHqqCUFNJY4AfY3kHU/edit?usp=sharing  #gid=0"",""фіз особи new!relations_name_uo""),7,FALSE)
,
)
))"),"САКУЛІН Андрій Вячеславович")</f>
        <v>САКУЛІН Андрій Вячеславович</v>
      </c>
      <c r="G14683" s="7" t="s">
        <v>10</v>
      </c>
      <c r="H14683" s="7">
        <v>19366</v>
      </c>
      <c r="I14683" s="8" t="str">
        <f ca="1">IFERROR(__xludf.DUMMYFUNCTION("IF
(
G14684=""фізична особа""
,
VLOOKUP(H14684,IMPORTRANGE(""https://docs.google.com/spreadsheets/d/14Bd19lYaqBhU8_DElYkX7l4wRkHqqCUFNJY4AfY3kHU/edit?usp=sharing  #gid=0"",""фіз особи new!relations_name""),6,FALSE)
,
(IF
(
G14684=""юридична особа""
,
VLOO"&amp;"KUP(H14684,IMPORTRANGE(""https://docs.google.com/spreadsheets/d/14Bd19lYaqBhU8_DElYkX7l4wRkHqqCUFNJY4AfY3kHU/edit?usp=sharing  #gid=0"",""фіз особи new!relations_name_uo""),7,FALSE)
,
)
))"),"НОВІКОВ Олександр Миколайович")</f>
        <v>НОВІКОВ Олександр Миколайович</v>
      </c>
      <c r="J14683" s="7" t="s">
        <v>23</v>
      </c>
    </row>
    <row r="14684" spans="1:10" ht="13.2">
      <c r="A14684" s="7">
        <v>14683</v>
      </c>
      <c r="B14684" s="7">
        <v>1</v>
      </c>
      <c r="C14684" s="7" t="s">
        <v>10</v>
      </c>
      <c r="D14684" s="7">
        <v>19478</v>
      </c>
      <c r="E14684" s="7" t="s">
        <v>23</v>
      </c>
      <c r="F14684" s="8" t="str">
        <f ca="1">IFERROR(__xludf.DUMMYFUNCTION("IF
(
C14685=""фізична особа""
,
VLOOKUP(D14685,IMPORTRANGE(""https://docs.google.com/spreadsheets/d/14Bd19lYaqBhU8_DElYkX7l4wRkHqqCUFNJY4AfY3kHU/edit?usp=sharing  #gid=0"",""фіз особи new!relations_name""),6,FALSE)
,
(IF
(
C14685=""юридична особа""
,
VLOO"&amp;"KUP(D14685,IMPORTRANGE(""https://docs.google.com/spreadsheets/d/14Bd19lYaqBhU8_DElYkX7l4wRkHqqCUFNJY4AfY3kHU/edit?usp=sharing  #gid=0"",""фіз особи new!relations_name_uo""),7,FALSE)
,
)
))"),"САКУЛІН Андрій Вячеславович")</f>
        <v>САКУЛІН Андрій Вячеславович</v>
      </c>
      <c r="G14684" s="7" t="s">
        <v>10</v>
      </c>
      <c r="H14684" s="7">
        <v>19364</v>
      </c>
      <c r="I14684" s="8" t="str">
        <f ca="1">IFERROR(__xludf.DUMMYFUNCTION("IF
(
G14685=""фізична особа""
,
VLOOKUP(H14685,IMPORTRANGE(""https://docs.google.com/spreadsheets/d/14Bd19lYaqBhU8_DElYkX7l4wRkHqqCUFNJY4AfY3kHU/edit?usp=sharing  #gid=0"",""фіз особи new!relations_name""),6,FALSE)
,
(IF
(
G14685=""юридична особа""
,
VLOO"&amp;"KUP(H14685,IMPORTRANGE(""https://docs.google.com/spreadsheets/d/14Bd19lYaqBhU8_DElYkX7l4wRkHqqCUFNJY4AfY3kHU/edit?usp=sharing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84" s="7" t="s">
        <v>23</v>
      </c>
    </row>
    <row r="14685" spans="1:10" ht="13.2">
      <c r="A14685" s="7">
        <v>14684</v>
      </c>
      <c r="B14685" s="7">
        <v>1</v>
      </c>
      <c r="C14685" s="7" t="s">
        <v>10</v>
      </c>
      <c r="D14685" s="7">
        <v>19479</v>
      </c>
      <c r="E14685" s="7" t="s">
        <v>23</v>
      </c>
      <c r="F14685" s="8" t="str">
        <f ca="1">IFERROR(__xludf.DUMMYFUNCTION("IF
(
C14686=""фізична особа""
,
VLOOKUP(D14686,IMPORTRANGE(""https://docs.google.com/spreadsheets/d/14Bd19lYaqBhU8_DElYkX7l4wRkHqqCUFNJY4AfY3kHU/edit?usp=sharing  #gid=0"",""фіз особи new!relations_name""),6,FALSE)
,
(IF
(
C14686=""юридична особа""
,
VLOO"&amp;"KUP(D14686,IMPORTRANGE(""https://docs.google.com/spreadsheets/d/14Bd19lYaqBhU8_DElYkX7l4wRkHqqCUFNJY4AfY3kHU/edit?usp=sharing  #gid=0"",""фіз особи new!relations_name_uo""),7,FALSE)
,
)
))"),"МАКАРОВА Тетяна Вікторівна")</f>
        <v>МАКАРОВА Тетяна Вікторівна</v>
      </c>
      <c r="G14685" s="7" t="s">
        <v>10</v>
      </c>
      <c r="H14685" s="7">
        <v>19364</v>
      </c>
      <c r="I14685" s="8" t="str">
        <f ca="1">IFERROR(__xludf.DUMMYFUNCTION("IF
(
G14686=""фізична особа""
,
VLOOKUP(H14686,IMPORTRANGE(""https://docs.google.com/spreadsheets/d/14Bd19lYaqBhU8_DElYkX7l4wRkHqqCUFNJY4AfY3kHU/edit?usp=sharing  #gid=0"",""фіз особи new!relations_name""),6,FALSE)
,
(IF
(
G14686=""юридична особа""
,
VLOO"&amp;"KUP(H14686,IMPORTRANGE(""https://docs.google.com/spreadsheets/d/14Bd19lYaqBhU8_DElYkX7l4wRkHqqCUFNJY4AfY3kHU/edit?usp=sharing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85" s="7" t="s">
        <v>23</v>
      </c>
    </row>
    <row r="14686" spans="1:10" ht="13.2">
      <c r="A14686" s="7">
        <v>14685</v>
      </c>
      <c r="B14686" s="7">
        <v>1</v>
      </c>
      <c r="C14686" s="7" t="s">
        <v>10</v>
      </c>
      <c r="D14686" s="7">
        <v>19480</v>
      </c>
      <c r="E14686" s="7" t="s">
        <v>23</v>
      </c>
      <c r="F14686" s="8" t="str">
        <f ca="1">IFERROR(__xludf.DUMMYFUNCTION("IF
(
C14687=""фізична особа""
,
VLOOKUP(D14687,IMPORTRANGE(""https://docs.google.com/spreadsheets/d/14Bd19lYaqBhU8_DElYkX7l4wRkHqqCUFNJY4AfY3kHU/edit?usp=sharing  #gid=0"",""фіз особи new!relations_name""),6,FALSE)
,
(IF
(
C14687=""юридична особа""
,
VLOO"&amp;"KUP(D14687,IMPORTRANGE(""https://docs.google.com/spreadsheets/d/14Bd19lYaqBhU8_DElYkX7l4wRkHqqCUFNJY4AfY3kHU/edit?usp=sharing  #gid=0"",""фіз особи new!relations_name_uo""),7,FALSE)
,
)
))"),"ГОРЯЧЕВ Дмитро Федорович")</f>
        <v>ГОРЯЧЕВ Дмитро Федорович</v>
      </c>
      <c r="G14686" s="7" t="s">
        <v>10</v>
      </c>
      <c r="H14686" s="7">
        <v>19364</v>
      </c>
      <c r="I14686" s="8" t="str">
        <f ca="1">IFERROR(__xludf.DUMMYFUNCTION("IF
(
G14687=""фізична особа""
,
VLOOKUP(H14687,IMPORTRANGE(""https://docs.google.com/spreadsheets/d/14Bd19lYaqBhU8_DElYkX7l4wRkHqqCUFNJY4AfY3kHU/edit?usp=sharing  #gid=0"",""фіз особи new!relations_name""),6,FALSE)
,
(IF
(
G14687=""юридична особа""
,
VLOO"&amp;"KUP(H14687,IMPORTRANGE(""https://docs.google.com/spreadsheets/d/14Bd19lYaqBhU8_DElYkX7l4wRkHqqCUFNJY4AfY3kHU/edit?usp=sharing  #gid=0"",""фіз особи new!relations_name_uo""),7,FALSE)
,
)
))"),"САЛАГІНА Галина Миколаївна")</f>
        <v>САЛАГІНА Галина Миколаївна</v>
      </c>
      <c r="J14686" s="7" t="s">
        <v>23</v>
      </c>
    </row>
    <row r="14687" spans="1:10" ht="13.2">
      <c r="A14687" s="7">
        <v>14686</v>
      </c>
      <c r="B14687" s="7">
        <v>1</v>
      </c>
      <c r="C14687" s="7" t="s">
        <v>10</v>
      </c>
      <c r="D14687" s="7">
        <v>19481</v>
      </c>
      <c r="E14687" s="7" t="s">
        <v>23</v>
      </c>
      <c r="F14687" s="8" t="str">
        <f ca="1">IFERROR(__xludf.DUMMYFUNCTION("IF
(
C14688=""фізична особа""
,
VLOOKUP(D14688,IMPORTRANGE(""https://docs.google.com/spreadsheets/d/14Bd19lYaqBhU8_DElYkX7l4wRkHqqCUFNJY4AfY3kHU/edit?usp=sharing  #gid=0"",""фіз особи new!relations_name""),6,FALSE)
,
(IF
(
C14688=""юридична особа""
,
VLOO"&amp;"KUP(D14688,IMPORTRANGE(""https://docs.google.com/spreadsheets/d/14Bd19lYaqBhU8_DElYkX7l4wRkHqqCUFNJY4AfY3kHU/edit?usp=sharing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87" s="7" t="s">
        <v>10</v>
      </c>
      <c r="H14687" s="7">
        <v>0</v>
      </c>
      <c r="I14687" s="8" t="str">
        <f ca="1">IFERROR(__xludf.DUMMYFUNCTION("IF
(
G14688=""фізична особа""
,
VLOOKUP(H14688,IMPORTRANGE(""https://docs.google.com/spreadsheets/d/14Bd19lYaqBhU8_DElYkX7l4wRkHqqCUFNJY4AfY3kHU/edit?usp=sharing  #gid=0"",""фіз особи new!relations_name""),6,FALSE)
,
(IF
(
G14688=""юридична особа""
,
VLOO"&amp;"KUP(H14688,IMPORTRANGE(""https://docs.google.com/spreadsheets/d/14Bd19lYaqBhU8_DElYkX7l4wRkHqqCUFNJY4AfY3kHU/edit?usp=sharing  #gid=0"",""фіз особи new!relations_name_uo""),7,FALSE)
,
)
))"),"#N/A")</f>
        <v>#N/A</v>
      </c>
      <c r="J14687" s="7" t="s">
        <v>23</v>
      </c>
    </row>
    <row r="14688" spans="1:10" ht="13.2">
      <c r="A14688" s="7">
        <v>14687</v>
      </c>
      <c r="B14688" s="7">
        <v>1</v>
      </c>
      <c r="C14688" s="7" t="s">
        <v>10</v>
      </c>
      <c r="D14688" s="7">
        <v>19481</v>
      </c>
      <c r="E14688" s="7" t="s">
        <v>23</v>
      </c>
      <c r="F14688" s="8" t="str">
        <f ca="1">IFERROR(__xludf.DUMMYFUNCTION("IF
(
C14689=""фізична особа""
,
VLOOKUP(D14689,IMPORTRANGE(""https://docs.google.com/spreadsheets/d/14Bd19lYaqBhU8_DElYkX7l4wRkHqqCUFNJY4AfY3kHU/edit?usp=sharing  #gid=0"",""фіз особи new!relations_name""),6,FALSE)
,
(IF
(
C14689=""юридична особа""
,
VLOO"&amp;"KUP(D14689,IMPORTRANGE(""https://docs.google.com/spreadsheets/d/14Bd19lYaqBhU8_DElYkX7l4wRkHqqCUFNJY4AfY3kHU/edit?usp=sharing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88" s="7" t="s">
        <v>10</v>
      </c>
      <c r="H14688" s="7">
        <v>19483</v>
      </c>
      <c r="I14688" s="8" t="str">
        <f ca="1">IFERROR(__xludf.DUMMYFUNCTION("IF
(
G14689=""фізична особа""
,
VLOOKUP(H14689,IMPORTRANGE(""https://docs.google.com/spreadsheets/d/14Bd19lYaqBhU8_DElYkX7l4wRkHqqCUFNJY4AfY3kHU/edit?usp=sharing  #gid=0"",""фіз особи new!relations_name""),6,FALSE)
,
(IF
(
G14689=""юридична особа""
,
VLOO"&amp;"KUP(H14689,IMPORTRANGE(""https://docs.google.com/spreadsheets/d/14Bd19lYaqBhU8_DElYkX7l4wRkHqqCUFNJY4AfY3kHU/edit?usp=sharing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688" s="7" t="s">
        <v>23</v>
      </c>
    </row>
    <row r="14689" spans="1:10" ht="13.2">
      <c r="A14689" s="7">
        <v>14688</v>
      </c>
      <c r="B14689" s="7">
        <v>1</v>
      </c>
      <c r="C14689" s="7" t="s">
        <v>10</v>
      </c>
      <c r="D14689" s="7">
        <v>19481</v>
      </c>
      <c r="E14689" s="7" t="s">
        <v>23</v>
      </c>
      <c r="F14689" s="8" t="str">
        <f ca="1">IFERROR(__xludf.DUMMYFUNCTION("IF
(
C14690=""фізична особа""
,
VLOOKUP(D14690,IMPORTRANGE(""https://docs.google.com/spreadsheets/d/14Bd19lYaqBhU8_DElYkX7l4wRkHqqCUFNJY4AfY3kHU/edit?usp=sharing  #gid=0"",""фіз особи new!relations_name""),6,FALSE)
,
(IF
(
C14690=""юридична особа""
,
VLOO"&amp;"KUP(D14690,IMPORTRANGE(""https://docs.google.com/spreadsheets/d/14Bd19lYaqBhU8_DElYkX7l4wRkHqqCUFNJY4AfY3kHU/edit?usp=sharing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89" s="7" t="s">
        <v>10</v>
      </c>
      <c r="H14689" s="7">
        <v>19497</v>
      </c>
      <c r="I14689" s="8" t="str">
        <f ca="1">IFERROR(__xludf.DUMMYFUNCTION("IF
(
G14690=""фізична особа""
,
VLOOKUP(H14690,IMPORTRANGE(""https://docs.google.com/spreadsheets/d/14Bd19lYaqBhU8_DElYkX7l4wRkHqqCUFNJY4AfY3kHU/edit?usp=sharing  #gid=0"",""фіз особи new!relations_name""),6,FALSE)
,
(IF
(
G14690=""юридична особа""
,
VLOO"&amp;"KUP(H14690,IMPORTRANGE(""https://docs.google.com/spreadsheets/d/14Bd19lYaqBhU8_DElYkX7l4wRkHqqCUFNJY4AfY3kHU/edit?usp=sharing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J14689" s="7" t="s">
        <v>23</v>
      </c>
    </row>
    <row r="14690" spans="1:10" ht="13.2">
      <c r="A14690" s="7">
        <v>14689</v>
      </c>
      <c r="B14690" s="7">
        <v>1</v>
      </c>
      <c r="C14690" s="7" t="s">
        <v>10</v>
      </c>
      <c r="D14690" s="7">
        <v>19481</v>
      </c>
      <c r="E14690" s="7" t="s">
        <v>23</v>
      </c>
      <c r="F14690" s="8" t="str">
        <f ca="1">IFERROR(__xludf.DUMMYFUNCTION("IF
(
C14691=""фізична особа""
,
VLOOKUP(D14691,IMPORTRANGE(""https://docs.google.com/spreadsheets/d/14Bd19lYaqBhU8_DElYkX7l4wRkHqqCUFNJY4AfY3kHU/edit?usp=sharing  #gid=0"",""фіз особи new!relations_name""),6,FALSE)
,
(IF
(
C14691=""юридична особа""
,
VLOO"&amp;"KUP(D14691,IMPORTRANGE(""https://docs.google.com/spreadsheets/d/14Bd19lYaqBhU8_DElYkX7l4wRkHqqCUFNJY4AfY3kHU/edit?usp=sharing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0" s="7" t="s">
        <v>10</v>
      </c>
      <c r="H14690" s="7">
        <v>23702</v>
      </c>
      <c r="I14690" s="8" t="str">
        <f ca="1">IFERROR(__xludf.DUMMYFUNCTION("IF
(
G14691=""фізична особа""
,
VLOOKUP(H14691,IMPORTRANGE(""https://docs.google.com/spreadsheets/d/14Bd19lYaqBhU8_DElYkX7l4wRkHqqCUFNJY4AfY3kHU/edit?usp=sharing  #gid=0"",""фіз особи new!relations_name""),6,FALSE)
,
(IF
(
G14691=""юридична особа""
,
VLOO"&amp;"KUP(H14691,IMPORTRANGE(""https://docs.google.com/spreadsheets/d/14Bd19lYaqBhU8_DElYkX7l4wRkHqqCUFNJY4AfY3kHU/edit?usp=sharing  #gid=0"",""фіз особи new!relations_name_uo""),7,FALSE)
,
)
))"),"КУРАКІНА Наталія Петрівна")</f>
        <v>КУРАКІНА Наталія Петрівна</v>
      </c>
      <c r="J14690" s="7" t="s">
        <v>23</v>
      </c>
    </row>
    <row r="14691" spans="1:10" ht="13.2">
      <c r="A14691" s="7">
        <v>14690</v>
      </c>
      <c r="B14691" s="7">
        <v>1</v>
      </c>
      <c r="C14691" s="7" t="s">
        <v>10</v>
      </c>
      <c r="D14691" s="7">
        <v>19481</v>
      </c>
      <c r="E14691" s="7" t="s">
        <v>23</v>
      </c>
      <c r="F14691" s="8" t="str">
        <f ca="1">IFERROR(__xludf.DUMMYFUNCTION("IF
(
C14692=""фізична особа""
,
VLOOKUP(D14692,IMPORTRANGE(""https://docs.google.com/spreadsheets/d/14Bd19lYaqBhU8_DElYkX7l4wRkHqqCUFNJY4AfY3kHU/edit?usp=sharing  #gid=0"",""фіз особи new!relations_name""),6,FALSE)
,
(IF
(
C14692=""юридична особа""
,
VLOO"&amp;"KUP(D14692,IMPORTRANGE(""https://docs.google.com/spreadsheets/d/14Bd19lYaqBhU8_DElYkX7l4wRkHqqCUFNJY4AfY3kHU/edit?usp=sharing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1" s="7" t="s">
        <v>10</v>
      </c>
      <c r="H14691" s="7">
        <v>0</v>
      </c>
      <c r="I14691" s="8" t="str">
        <f ca="1">IFERROR(__xludf.DUMMYFUNCTION("IF
(
G14692=""фізична особа""
,
VLOOKUP(H14692,IMPORTRANGE(""https://docs.google.com/spreadsheets/d/14Bd19lYaqBhU8_DElYkX7l4wRkHqqCUFNJY4AfY3kHU/edit?usp=sharing  #gid=0"",""фіз особи new!relations_name""),6,FALSE)
,
(IF
(
G14692=""юридична особа""
,
VLOO"&amp;"KUP(H14692,IMPORTRANGE(""https://docs.google.com/spreadsheets/d/14Bd19lYaqBhU8_DElYkX7l4wRkHqqCUFNJY4AfY3kHU/edit?usp=sharing  #gid=0"",""фіз особи new!relations_name_uo""),7,FALSE)
,
)
))"),"#N/A")</f>
        <v>#N/A</v>
      </c>
      <c r="J14691" s="7" t="s">
        <v>23</v>
      </c>
    </row>
    <row r="14692" spans="1:10" ht="13.2">
      <c r="A14692" s="7">
        <v>14691</v>
      </c>
      <c r="B14692" s="7">
        <v>1</v>
      </c>
      <c r="C14692" s="7" t="s">
        <v>10</v>
      </c>
      <c r="D14692" s="7">
        <v>19481</v>
      </c>
      <c r="E14692" s="7" t="s">
        <v>23</v>
      </c>
      <c r="F14692" s="8" t="str">
        <f ca="1">IFERROR(__xludf.DUMMYFUNCTION("IF
(
C14693=""фізична особа""
,
VLOOKUP(D14693,IMPORTRANGE(""https://docs.google.com/spreadsheets/d/14Bd19lYaqBhU8_DElYkX7l4wRkHqqCUFNJY4AfY3kHU/edit?usp=sharing  #gid=0"",""фіз особи new!relations_name""),6,FALSE)
,
(IF
(
C14693=""юридична особа""
,
VLOO"&amp;"KUP(D14693,IMPORTRANGE(""https://docs.google.com/spreadsheets/d/14Bd19lYaqBhU8_DElYkX7l4wRkHqqCUFNJY4AfY3kHU/edit?usp=sharing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2" s="7" t="s">
        <v>10</v>
      </c>
      <c r="H14692" s="7">
        <v>0</v>
      </c>
      <c r="I14692" s="8" t="str">
        <f ca="1">IFERROR(__xludf.DUMMYFUNCTION("IF
(
G14693=""фізична особа""
,
VLOOKUP(H14693,IMPORTRANGE(""https://docs.google.com/spreadsheets/d/14Bd19lYaqBhU8_DElYkX7l4wRkHqqCUFNJY4AfY3kHU/edit?usp=sharing  #gid=0"",""фіз особи new!relations_name""),6,FALSE)
,
(IF
(
G14693=""юридична особа""
,
VLOO"&amp;"KUP(H14693,IMPORTRANGE(""https://docs.google.com/spreadsheets/d/14Bd19lYaqBhU8_DElYkX7l4wRkHqqCUFNJY4AfY3kHU/edit?usp=sharing  #gid=0"",""фіз особи new!relations_name_uo""),7,FALSE)
,
)
))"),"#N/A")</f>
        <v>#N/A</v>
      </c>
      <c r="J14692" s="7" t="s">
        <v>23</v>
      </c>
    </row>
    <row r="14693" spans="1:10" ht="13.2">
      <c r="A14693" s="7">
        <v>14692</v>
      </c>
      <c r="B14693" s="7">
        <v>1</v>
      </c>
      <c r="C14693" s="7" t="s">
        <v>10</v>
      </c>
      <c r="D14693" s="7">
        <v>19481</v>
      </c>
      <c r="E14693" s="7" t="s">
        <v>23</v>
      </c>
      <c r="F14693" s="8" t="str">
        <f ca="1">IFERROR(__xludf.DUMMYFUNCTION("IF
(
C14694=""фізична особа""
,
VLOOKUP(D14694,IMPORTRANGE(""https://docs.google.com/spreadsheets/d/14Bd19lYaqBhU8_DElYkX7l4wRkHqqCUFNJY4AfY3kHU/edit?usp=sharing  #gid=0"",""фіз особи new!relations_name""),6,FALSE)
,
(IF
(
C14694=""юридична особа""
,
VLOO"&amp;"KUP(D14694,IMPORTRANGE(""https://docs.google.com/spreadsheets/d/14Bd19lYaqBhU8_DElYkX7l4wRkHqqCUFNJY4AfY3kHU/edit?usp=sharing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3" s="7" t="s">
        <v>10</v>
      </c>
      <c r="H14693" s="7">
        <v>0</v>
      </c>
      <c r="I14693" s="8" t="str">
        <f ca="1">IFERROR(__xludf.DUMMYFUNCTION("IF
(
G14694=""фізична особа""
,
VLOOKUP(H14694,IMPORTRANGE(""https://docs.google.com/spreadsheets/d/14Bd19lYaqBhU8_DElYkX7l4wRkHqqCUFNJY4AfY3kHU/edit?usp=sharing  #gid=0"",""фіз особи new!relations_name""),6,FALSE)
,
(IF
(
G14694=""юридична особа""
,
VLOO"&amp;"KUP(H14694,IMPORTRANGE(""https://docs.google.com/spreadsheets/d/14Bd19lYaqBhU8_DElYkX7l4wRkHqqCUFNJY4AfY3kHU/edit?usp=sharing  #gid=0"",""фіз особи new!relations_name_uo""),7,FALSE)
,
)
))"),"#N/A")</f>
        <v>#N/A</v>
      </c>
      <c r="J14693" s="7" t="s">
        <v>23</v>
      </c>
    </row>
    <row r="14694" spans="1:10" ht="13.2">
      <c r="A14694" s="7">
        <v>14693</v>
      </c>
      <c r="B14694" s="7">
        <v>1</v>
      </c>
      <c r="C14694" s="7" t="s">
        <v>10</v>
      </c>
      <c r="D14694" s="7">
        <v>19481</v>
      </c>
      <c r="E14694" s="7" t="s">
        <v>23</v>
      </c>
      <c r="F14694" s="8" t="str">
        <f ca="1">IFERROR(__xludf.DUMMYFUNCTION("IF
(
C14695=""фізична особа""
,
VLOOKUP(D14695,IMPORTRANGE(""https://docs.google.com/spreadsheets/d/14Bd19lYaqBhU8_DElYkX7l4wRkHqqCUFNJY4AfY3kHU/edit?usp=sharing  #gid=0"",""фіз особи new!relations_name""),6,FALSE)
,
(IF
(
C14695=""юридична особа""
,
VLOO"&amp;"KUP(D14695,IMPORTRANGE(""https://docs.google.com/spreadsheets/d/14Bd19lYaqBhU8_DElYkX7l4wRkHqqCUFNJY4AfY3kHU/edit?usp=sharing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4" s="7" t="s">
        <v>10</v>
      </c>
      <c r="H14694" s="7">
        <v>0</v>
      </c>
      <c r="I14694" s="8" t="str">
        <f ca="1">IFERROR(__xludf.DUMMYFUNCTION("IF
(
G14695=""фізична особа""
,
VLOOKUP(H14695,IMPORTRANGE(""https://docs.google.com/spreadsheets/d/14Bd19lYaqBhU8_DElYkX7l4wRkHqqCUFNJY4AfY3kHU/edit?usp=sharing  #gid=0"",""фіз особи new!relations_name""),6,FALSE)
,
(IF
(
G14695=""юридична особа""
,
VLOO"&amp;"KUP(H14695,IMPORTRANGE(""https://docs.google.com/spreadsheets/d/14Bd19lYaqBhU8_DElYkX7l4wRkHqqCUFNJY4AfY3kHU/edit?usp=sharing  #gid=0"",""фіз особи new!relations_name_uo""),7,FALSE)
,
)
))"),"#N/A")</f>
        <v>#N/A</v>
      </c>
      <c r="J14694" s="7" t="s">
        <v>23</v>
      </c>
    </row>
    <row r="14695" spans="1:10" ht="13.2">
      <c r="A14695" s="7">
        <v>14694</v>
      </c>
      <c r="B14695" s="7">
        <v>1</v>
      </c>
      <c r="C14695" s="7" t="s">
        <v>10</v>
      </c>
      <c r="D14695" s="7">
        <v>19481</v>
      </c>
      <c r="E14695" s="7" t="s">
        <v>23</v>
      </c>
      <c r="F14695" s="8" t="str">
        <f ca="1">IFERROR(__xludf.DUMMYFUNCTION("IF
(
C14696=""фізична особа""
,
VLOOKUP(D14696,IMPORTRANGE(""https://docs.google.com/spreadsheets/d/14Bd19lYaqBhU8_DElYkX7l4wRkHqqCUFNJY4AfY3kHU/edit?usp=sharing  #gid=0"",""фіз особи new!relations_name""),6,FALSE)
,
(IF
(
C14696=""юридична особа""
,
VLOO"&amp;"KUP(D14696,IMPORTRANGE(""https://docs.google.com/spreadsheets/d/14Bd19lYaqBhU8_DElYkX7l4wRkHqqCUFNJY4AfY3kHU/edit?usp=sharing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5" s="7" t="s">
        <v>10</v>
      </c>
      <c r="H14695" s="7">
        <v>0</v>
      </c>
      <c r="I14695" s="8" t="str">
        <f ca="1">IFERROR(__xludf.DUMMYFUNCTION("IF
(
G14696=""фізична особа""
,
VLOOKUP(H14696,IMPORTRANGE(""https://docs.google.com/spreadsheets/d/14Bd19lYaqBhU8_DElYkX7l4wRkHqqCUFNJY4AfY3kHU/edit?usp=sharing  #gid=0"",""фіз особи new!relations_name""),6,FALSE)
,
(IF
(
G14696=""юридична особа""
,
VLOO"&amp;"KUP(H14696,IMPORTRANGE(""https://docs.google.com/spreadsheets/d/14Bd19lYaqBhU8_DElYkX7l4wRkHqqCUFNJY4AfY3kHU/edit?usp=sharing  #gid=0"",""фіз особи new!relations_name_uo""),7,FALSE)
,
)
))"),"#N/A")</f>
        <v>#N/A</v>
      </c>
      <c r="J14695" s="7" t="s">
        <v>23</v>
      </c>
    </row>
    <row r="14696" spans="1:10" ht="13.2">
      <c r="A14696" s="7">
        <v>14695</v>
      </c>
      <c r="B14696" s="7">
        <v>1</v>
      </c>
      <c r="C14696" s="7" t="s">
        <v>10</v>
      </c>
      <c r="D14696" s="7">
        <v>19481</v>
      </c>
      <c r="E14696" s="7" t="s">
        <v>23</v>
      </c>
      <c r="F14696" s="8" t="str">
        <f ca="1">IFERROR(__xludf.DUMMYFUNCTION("IF
(
C14697=""фізична особа""
,
VLOOKUP(D14697,IMPORTRANGE(""https://docs.google.com/spreadsheets/d/14Bd19lYaqBhU8_DElYkX7l4wRkHqqCUFNJY4AfY3kHU/edit?usp=sharing  #gid=0"",""фіз особи new!relations_name""),6,FALSE)
,
(IF
(
C14697=""юридична особа""
,
VLOO"&amp;"KUP(D14697,IMPORTRANGE(""https://docs.google.com/spreadsheets/d/14Bd19lYaqBhU8_DElYkX7l4wRkHqqCUFNJY4AfY3kHU/edit?usp=sharing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6" s="7" t="s">
        <v>10</v>
      </c>
      <c r="H14696" s="7">
        <v>23703</v>
      </c>
      <c r="I14696" s="8" t="str">
        <f ca="1">IFERROR(__xludf.DUMMYFUNCTION("IF
(
G14697=""фізична особа""
,
VLOOKUP(H14697,IMPORTRANGE(""https://docs.google.com/spreadsheets/d/14Bd19lYaqBhU8_DElYkX7l4wRkHqqCUFNJY4AfY3kHU/edit?usp=sharing  #gid=0"",""фіз особи new!relations_name""),6,FALSE)
,
(IF
(
G14697=""юридична особа""
,
VLOO"&amp;"KUP(H14697,IMPORTRANGE(""https://docs.google.com/spreadsheets/d/14Bd19lYaqBhU8_DElYkX7l4wRkHqqCUFNJY4AfY3kHU/edit?usp=sharing  #gid=0"",""фіз особи new!relations_name_uo""),7,FALSE)
,
)
))"),"ГАГА Володимир Антонович")</f>
        <v>ГАГА Володимир Антонович</v>
      </c>
      <c r="J14696" s="7" t="s">
        <v>23</v>
      </c>
    </row>
    <row r="14697" spans="1:10" ht="13.2">
      <c r="A14697" s="7">
        <v>14696</v>
      </c>
      <c r="B14697" s="7">
        <v>1</v>
      </c>
      <c r="C14697" s="7" t="s">
        <v>10</v>
      </c>
      <c r="D14697" s="7">
        <v>19481</v>
      </c>
      <c r="E14697" s="7" t="s">
        <v>23</v>
      </c>
      <c r="F14697" s="8" t="str">
        <f ca="1">IFERROR(__xludf.DUMMYFUNCTION("IF
(
C14698=""фізична особа""
,
VLOOKUP(D14698,IMPORTRANGE(""https://docs.google.com/spreadsheets/d/14Bd19lYaqBhU8_DElYkX7l4wRkHqqCUFNJY4AfY3kHU/edit?usp=sharing  #gid=0"",""фіз особи new!relations_name""),6,FALSE)
,
(IF
(
C14698=""юридична особа""
,
VLOO"&amp;"KUP(D14698,IMPORTRANGE(""https://docs.google.com/spreadsheets/d/14Bd19lYaqBhU8_DElYkX7l4wRkHqqCUFNJY4AfY3kHU/edit?usp=sharing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7" s="7" t="s">
        <v>10</v>
      </c>
      <c r="H14697" s="7">
        <v>0</v>
      </c>
      <c r="I14697" s="8" t="str">
        <f ca="1">IFERROR(__xludf.DUMMYFUNCTION("IF
(
G14698=""фізична особа""
,
VLOOKUP(H14698,IMPORTRANGE(""https://docs.google.com/spreadsheets/d/14Bd19lYaqBhU8_DElYkX7l4wRkHqqCUFNJY4AfY3kHU/edit?usp=sharing  #gid=0"",""фіз особи new!relations_name""),6,FALSE)
,
(IF
(
G14698=""юридична особа""
,
VLOO"&amp;"KUP(H14698,IMPORTRANGE(""https://docs.google.com/spreadsheets/d/14Bd19lYaqBhU8_DElYkX7l4wRkHqqCUFNJY4AfY3kHU/edit?usp=sharing  #gid=0"",""фіз особи new!relations_name_uo""),7,FALSE)
,
)
))"),"#N/A")</f>
        <v>#N/A</v>
      </c>
      <c r="J14697" s="7" t="s">
        <v>23</v>
      </c>
    </row>
    <row r="14698" spans="1:10" ht="13.2">
      <c r="A14698" s="7">
        <v>14697</v>
      </c>
      <c r="B14698" s="7">
        <v>1</v>
      </c>
      <c r="C14698" s="7" t="s">
        <v>10</v>
      </c>
      <c r="D14698" s="7">
        <v>19481</v>
      </c>
      <c r="E14698" s="7" t="s">
        <v>16</v>
      </c>
      <c r="F14698" s="8" t="str">
        <f ca="1">IFERROR(__xludf.DUMMYFUNCTION("IF
(
C14699=""фізична особа""
,
VLOOKUP(D14699,IMPORTRANGE(""https://docs.google.com/spreadsheets/d/14Bd19lYaqBhU8_DElYkX7l4wRkHqqCUFNJY4AfY3kHU/edit?usp=sharing  #gid=0"",""фіз особи new!relations_name""),6,FALSE)
,
(IF
(
C14699=""юридична особа""
,
VLOO"&amp;"KUP(D14699,IMPORTRANGE(""https://docs.google.com/spreadsheets/d/14Bd19lYaqBhU8_DElYkX7l4wRkHqqCUFNJY4AfY3kHU/edit?usp=sharing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8" s="7" t="s">
        <v>10</v>
      </c>
      <c r="H14698" s="7">
        <v>23704</v>
      </c>
      <c r="I14698" s="8" t="str">
        <f ca="1">IFERROR(__xludf.DUMMYFUNCTION("IF
(
G14699=""фізична особа""
,
VLOOKUP(H14699,IMPORTRANGE(""https://docs.google.com/spreadsheets/d/14Bd19lYaqBhU8_DElYkX7l4wRkHqqCUFNJY4AfY3kHU/edit?usp=sharing  #gid=0"",""фіз особи new!relations_name""),6,FALSE)
,
(IF
(
G14699=""юридична особа""
,
VLOO"&amp;"KUP(H14699,IMPORTRANGE(""https://docs.google.com/spreadsheets/d/14Bd19lYaqBhU8_DElYkX7l4wRkHqqCUFNJY4AfY3kHU/edit?usp=sharing  #gid=0"",""фіз особи new!relations_name_uo""),7,FALSE)
,
)
))"),"ГУР'ЄВ Руслан Ігорович")</f>
        <v>ГУР'ЄВ Руслан Ігорович</v>
      </c>
      <c r="J14698" s="7" t="s">
        <v>16</v>
      </c>
    </row>
    <row r="14699" spans="1:10" ht="13.2">
      <c r="A14699" s="7">
        <v>14698</v>
      </c>
      <c r="B14699" s="7">
        <v>1</v>
      </c>
      <c r="C14699" s="7" t="s">
        <v>10</v>
      </c>
      <c r="D14699" s="7">
        <v>19481</v>
      </c>
      <c r="E14699" s="7" t="s">
        <v>16</v>
      </c>
      <c r="F14699" s="8" t="str">
        <f ca="1">IFERROR(__xludf.DUMMYFUNCTION("IF
(
C14700=""фізична особа""
,
VLOOKUP(D14700,IMPORTRANGE(""https://docs.google.com/spreadsheets/d/14Bd19lYaqBhU8_DElYkX7l4wRkHqqCUFNJY4AfY3kHU/edit?usp=sharing  #gid=0"",""фіз особи new!relations_name""),6,FALSE)
,
(IF
(
C14700=""юридична особа""
,
VLOO"&amp;"KUP(D14700,IMPORTRANGE(""https://docs.google.com/spreadsheets/d/14Bd19lYaqBhU8_DElYkX7l4wRkHqqCUFNJY4AfY3kHU/edit?usp=sharing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699" s="7" t="s">
        <v>10</v>
      </c>
      <c r="H14699" s="7">
        <v>23705</v>
      </c>
      <c r="I14699" s="8" t="str">
        <f ca="1">IFERROR(__xludf.DUMMYFUNCTION("IF
(
G14700=""фізична особа""
,
VLOOKUP(H14700,IMPORTRANGE(""https://docs.google.com/spreadsheets/d/14Bd19lYaqBhU8_DElYkX7l4wRkHqqCUFNJY4AfY3kHU/edit?usp=sharing  #gid=0"",""фіз особи new!relations_name""),6,FALSE)
,
(IF
(
G14700=""юридична особа""
,
VLOO"&amp;"KUP(H14700,IMPORTRANGE(""https://docs.google.com/spreadsheets/d/14Bd19lYaqBhU8_DElYkX7l4wRkHqqCUFNJY4AfY3kHU/edit?usp=sharing  #gid=0"",""фіз особи new!relations_name_uo""),7,FALSE)
,
)
))"),"ГУМБЕРІДЗЕ Коба Анатолійович")</f>
        <v>ГУМБЕРІДЗЕ Коба Анатолійович</v>
      </c>
      <c r="J14699" s="7" t="s">
        <v>16</v>
      </c>
    </row>
    <row r="14700" spans="1:10" ht="13.2">
      <c r="A14700" s="7">
        <v>14699</v>
      </c>
      <c r="B14700" s="7">
        <v>1</v>
      </c>
      <c r="C14700" s="7" t="s">
        <v>10</v>
      </c>
      <c r="D14700" s="7">
        <v>19481</v>
      </c>
      <c r="E14700" s="7" t="s">
        <v>23</v>
      </c>
      <c r="F14700" s="8" t="str">
        <f ca="1">IFERROR(__xludf.DUMMYFUNCTION("IF
(
C14701=""фізична особа""
,
VLOOKUP(D14701,IMPORTRANGE(""https://docs.google.com/spreadsheets/d/14Bd19lYaqBhU8_DElYkX7l4wRkHqqCUFNJY4AfY3kHU/edit?usp=sharing  #gid=0"",""фіз особи new!relations_name""),6,FALSE)
,
(IF
(
C14701=""юридична особа""
,
VLOO"&amp;"KUP(D14701,IMPORTRANGE(""https://docs.google.com/spreadsheets/d/14Bd19lYaqBhU8_DElYkX7l4wRkHqqCUFNJY4AfY3kHU/edit?usp=sharing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0" s="7" t="s">
        <v>10</v>
      </c>
      <c r="H14700" s="7">
        <v>0</v>
      </c>
      <c r="I14700" s="8" t="str">
        <f ca="1">IFERROR(__xludf.DUMMYFUNCTION("IF
(
G14701=""фізична особа""
,
VLOOKUP(H14701,IMPORTRANGE(""https://docs.google.com/spreadsheets/d/14Bd19lYaqBhU8_DElYkX7l4wRkHqqCUFNJY4AfY3kHU/edit?usp=sharing  #gid=0"",""фіз особи new!relations_name""),6,FALSE)
,
(IF
(
G14701=""юридична особа""
,
VLOO"&amp;"KUP(H14701,IMPORTRANGE(""https://docs.google.com/spreadsheets/d/14Bd19lYaqBhU8_DElYkX7l4wRkHqqCUFNJY4AfY3kHU/edit?usp=sharing  #gid=0"",""фіз особи new!relations_name_uo""),7,FALSE)
,
)
))"),"#N/A")</f>
        <v>#N/A</v>
      </c>
      <c r="J14700" s="7" t="s">
        <v>23</v>
      </c>
    </row>
    <row r="14701" spans="1:10" ht="13.2">
      <c r="A14701" s="7">
        <v>14700</v>
      </c>
      <c r="B14701" s="7">
        <v>1</v>
      </c>
      <c r="C14701" s="7" t="s">
        <v>10</v>
      </c>
      <c r="D14701" s="7">
        <v>19481</v>
      </c>
      <c r="E14701" s="7" t="s">
        <v>23</v>
      </c>
      <c r="F14701" s="8" t="str">
        <f ca="1">IFERROR(__xludf.DUMMYFUNCTION("IF
(
C14702=""фізична особа""
,
VLOOKUP(D14702,IMPORTRANGE(""https://docs.google.com/spreadsheets/d/14Bd19lYaqBhU8_DElYkX7l4wRkHqqCUFNJY4AfY3kHU/edit?usp=sharing  #gid=0"",""фіз особи new!relations_name""),6,FALSE)
,
(IF
(
C14702=""юридична особа""
,
VLOO"&amp;"KUP(D14702,IMPORTRANGE(""https://docs.google.com/spreadsheets/d/14Bd19lYaqBhU8_DElYkX7l4wRkHqqCUFNJY4AfY3kHU/edit?usp=sharing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1" s="7" t="s">
        <v>10</v>
      </c>
      <c r="H14701" s="7">
        <v>0</v>
      </c>
      <c r="I14701" s="8" t="str">
        <f ca="1">IFERROR(__xludf.DUMMYFUNCTION("IF
(
G14702=""фізична особа""
,
VLOOKUP(H14702,IMPORTRANGE(""https://docs.google.com/spreadsheets/d/14Bd19lYaqBhU8_DElYkX7l4wRkHqqCUFNJY4AfY3kHU/edit?usp=sharing  #gid=0"",""фіз особи new!relations_name""),6,FALSE)
,
(IF
(
G14702=""юридична особа""
,
VLOO"&amp;"KUP(H14702,IMPORTRANGE(""https://docs.google.com/spreadsheets/d/14Bd19lYaqBhU8_DElYkX7l4wRkHqqCUFNJY4AfY3kHU/edit?usp=sharing  #gid=0"",""фіз особи new!relations_name_uo""),7,FALSE)
,
)
))"),"#N/A")</f>
        <v>#N/A</v>
      </c>
      <c r="J14701" s="7" t="s">
        <v>23</v>
      </c>
    </row>
    <row r="14702" spans="1:10" ht="13.2">
      <c r="A14702" s="7">
        <v>14701</v>
      </c>
      <c r="B14702" s="7">
        <v>1</v>
      </c>
      <c r="C14702" s="7" t="s">
        <v>10</v>
      </c>
      <c r="D14702" s="7">
        <v>19481</v>
      </c>
      <c r="E14702" s="7" t="s">
        <v>23</v>
      </c>
      <c r="F14702" s="8" t="str">
        <f ca="1">IFERROR(__xludf.DUMMYFUNCTION("IF
(
C14703=""фізична особа""
,
VLOOKUP(D14703,IMPORTRANGE(""https://docs.google.com/spreadsheets/d/14Bd19lYaqBhU8_DElYkX7l4wRkHqqCUFNJY4AfY3kHU/edit?usp=sharing  #gid=0"",""фіз особи new!relations_name""),6,FALSE)
,
(IF
(
C14703=""юридична особа""
,
VLOO"&amp;"KUP(D14703,IMPORTRANGE(""https://docs.google.com/spreadsheets/d/14Bd19lYaqBhU8_DElYkX7l4wRkHqqCUFNJY4AfY3kHU/edit?usp=sharing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2" s="7" t="s">
        <v>10</v>
      </c>
      <c r="H14702" s="7">
        <v>0</v>
      </c>
      <c r="I14702" s="8" t="str">
        <f ca="1">IFERROR(__xludf.DUMMYFUNCTION("IF
(
G14703=""фізична особа""
,
VLOOKUP(H14703,IMPORTRANGE(""https://docs.google.com/spreadsheets/d/14Bd19lYaqBhU8_DElYkX7l4wRkHqqCUFNJY4AfY3kHU/edit?usp=sharing  #gid=0"",""фіз особи new!relations_name""),6,FALSE)
,
(IF
(
G14703=""юридична особа""
,
VLOO"&amp;"KUP(H14703,IMPORTRANGE(""https://docs.google.com/spreadsheets/d/14Bd19lYaqBhU8_DElYkX7l4wRkHqqCUFNJY4AfY3kHU/edit?usp=sharing  #gid=0"",""фіз особи new!relations_name_uo""),7,FALSE)
,
)
))"),"#N/A")</f>
        <v>#N/A</v>
      </c>
      <c r="J14702" s="7" t="s">
        <v>23</v>
      </c>
    </row>
    <row r="14703" spans="1:10" ht="13.2">
      <c r="A14703" s="7">
        <v>14702</v>
      </c>
      <c r="B14703" s="7">
        <v>1</v>
      </c>
      <c r="C14703" s="7" t="s">
        <v>10</v>
      </c>
      <c r="D14703" s="7">
        <v>19481</v>
      </c>
      <c r="E14703" s="7" t="s">
        <v>23</v>
      </c>
      <c r="F14703" s="8" t="str">
        <f ca="1">IFERROR(__xludf.DUMMYFUNCTION("IF
(
C14704=""фізична особа""
,
VLOOKUP(D14704,IMPORTRANGE(""https://docs.google.com/spreadsheets/d/14Bd19lYaqBhU8_DElYkX7l4wRkHqqCUFNJY4AfY3kHU/edit?usp=sharing  #gid=0"",""фіз особи new!relations_name""),6,FALSE)
,
(IF
(
C14704=""юридична особа""
,
VLOO"&amp;"KUP(D14704,IMPORTRANGE(""https://docs.google.com/spreadsheets/d/14Bd19lYaqBhU8_DElYkX7l4wRkHqqCUFNJY4AfY3kHU/edit?usp=sharing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3" s="7" t="s">
        <v>10</v>
      </c>
      <c r="H14703" s="7">
        <v>0</v>
      </c>
      <c r="I14703" s="8" t="str">
        <f ca="1">IFERROR(__xludf.DUMMYFUNCTION("IF
(
G14704=""фізична особа""
,
VLOOKUP(H14704,IMPORTRANGE(""https://docs.google.com/spreadsheets/d/14Bd19lYaqBhU8_DElYkX7l4wRkHqqCUFNJY4AfY3kHU/edit?usp=sharing  #gid=0"",""фіз особи new!relations_name""),6,FALSE)
,
(IF
(
G14704=""юридична особа""
,
VLOO"&amp;"KUP(H14704,IMPORTRANGE(""https://docs.google.com/spreadsheets/d/14Bd19lYaqBhU8_DElYkX7l4wRkHqqCUFNJY4AfY3kHU/edit?usp=sharing  #gid=0"",""фіз особи new!relations_name_uo""),7,FALSE)
,
)
))"),"#N/A")</f>
        <v>#N/A</v>
      </c>
      <c r="J14703" s="7" t="s">
        <v>23</v>
      </c>
    </row>
    <row r="14704" spans="1:10" ht="13.2">
      <c r="A14704" s="7">
        <v>14703</v>
      </c>
      <c r="B14704" s="7">
        <v>1</v>
      </c>
      <c r="C14704" s="7" t="s">
        <v>10</v>
      </c>
      <c r="D14704" s="7">
        <v>19481</v>
      </c>
      <c r="E14704" s="7" t="s">
        <v>23</v>
      </c>
      <c r="F14704" s="8" t="str">
        <f ca="1">IFERROR(__xludf.DUMMYFUNCTION("IF
(
C14705=""фізична особа""
,
VLOOKUP(D14705,IMPORTRANGE(""https://docs.google.com/spreadsheets/d/14Bd19lYaqBhU8_DElYkX7l4wRkHqqCUFNJY4AfY3kHU/edit?usp=sharing  #gid=0"",""фіз особи new!relations_name""),6,FALSE)
,
(IF
(
C14705=""юридична особа""
,
VLOO"&amp;"KUP(D14705,IMPORTRANGE(""https://docs.google.com/spreadsheets/d/14Bd19lYaqBhU8_DElYkX7l4wRkHqqCUFNJY4AfY3kHU/edit?usp=sharing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4" s="7" t="s">
        <v>10</v>
      </c>
      <c r="H14704" s="7">
        <v>0</v>
      </c>
      <c r="I14704" s="8" t="str">
        <f ca="1">IFERROR(__xludf.DUMMYFUNCTION("IF
(
G14705=""фізична особа""
,
VLOOKUP(H14705,IMPORTRANGE(""https://docs.google.com/spreadsheets/d/14Bd19lYaqBhU8_DElYkX7l4wRkHqqCUFNJY4AfY3kHU/edit?usp=sharing  #gid=0"",""фіз особи new!relations_name""),6,FALSE)
,
(IF
(
G14705=""юридична особа""
,
VLOO"&amp;"KUP(H14705,IMPORTRANGE(""https://docs.google.com/spreadsheets/d/14Bd19lYaqBhU8_DElYkX7l4wRkHqqCUFNJY4AfY3kHU/edit?usp=sharing  #gid=0"",""фіз особи new!relations_name_uo""),7,FALSE)
,
)
))"),"#N/A")</f>
        <v>#N/A</v>
      </c>
      <c r="J14704" s="7" t="s">
        <v>23</v>
      </c>
    </row>
    <row r="14705" spans="1:10" ht="13.2">
      <c r="A14705" s="7">
        <v>14704</v>
      </c>
      <c r="B14705" s="7">
        <v>1</v>
      </c>
      <c r="C14705" s="7" t="s">
        <v>10</v>
      </c>
      <c r="D14705" s="7">
        <v>19481</v>
      </c>
      <c r="E14705" s="7" t="s">
        <v>23</v>
      </c>
      <c r="F14705" s="8" t="str">
        <f ca="1">IFERROR(__xludf.DUMMYFUNCTION("IF
(
C14706=""фізична особа""
,
VLOOKUP(D14706,IMPORTRANGE(""https://docs.google.com/spreadsheets/d/14Bd19lYaqBhU8_DElYkX7l4wRkHqqCUFNJY4AfY3kHU/edit?usp=sharing  #gid=0"",""фіз особи new!relations_name""),6,FALSE)
,
(IF
(
C14706=""юридична особа""
,
VLOO"&amp;"KUP(D14706,IMPORTRANGE(""https://docs.google.com/spreadsheets/d/14Bd19lYaqBhU8_DElYkX7l4wRkHqqCUFNJY4AfY3kHU/edit?usp=sharing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5" s="7" t="s">
        <v>10</v>
      </c>
      <c r="H14705" s="7">
        <v>0</v>
      </c>
      <c r="I14705" s="8" t="str">
        <f ca="1">IFERROR(__xludf.DUMMYFUNCTION("IF
(
G14706=""фізична особа""
,
VLOOKUP(H14706,IMPORTRANGE(""https://docs.google.com/spreadsheets/d/14Bd19lYaqBhU8_DElYkX7l4wRkHqqCUFNJY4AfY3kHU/edit?usp=sharing  #gid=0"",""фіз особи new!relations_name""),6,FALSE)
,
(IF
(
G14706=""юридична особа""
,
VLOO"&amp;"KUP(H14706,IMPORTRANGE(""https://docs.google.com/spreadsheets/d/14Bd19lYaqBhU8_DElYkX7l4wRkHqqCUFNJY4AfY3kHU/edit?usp=sharing  #gid=0"",""фіз особи new!relations_name_uo""),7,FALSE)
,
)
))"),"#N/A")</f>
        <v>#N/A</v>
      </c>
      <c r="J14705" s="7" t="s">
        <v>23</v>
      </c>
    </row>
    <row r="14706" spans="1:10" ht="13.2">
      <c r="A14706" s="7">
        <v>14705</v>
      </c>
      <c r="B14706" s="7">
        <v>1</v>
      </c>
      <c r="C14706" s="7" t="s">
        <v>10</v>
      </c>
      <c r="D14706" s="7">
        <v>19481</v>
      </c>
      <c r="E14706" s="7" t="s">
        <v>23</v>
      </c>
      <c r="F14706" s="8" t="str">
        <f ca="1">IFERROR(__xludf.DUMMYFUNCTION("IF
(
C14707=""фізична особа""
,
VLOOKUP(D14707,IMPORTRANGE(""https://docs.google.com/spreadsheets/d/14Bd19lYaqBhU8_DElYkX7l4wRkHqqCUFNJY4AfY3kHU/edit?usp=sharing  #gid=0"",""фіз особи new!relations_name""),6,FALSE)
,
(IF
(
C14707=""юридична особа""
,
VLOO"&amp;"KUP(D14707,IMPORTRANGE(""https://docs.google.com/spreadsheets/d/14Bd19lYaqBhU8_DElYkX7l4wRkHqqCUFNJY4AfY3kHU/edit?usp=sharing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6" s="7" t="s">
        <v>10</v>
      </c>
      <c r="H14706" s="7">
        <v>0</v>
      </c>
      <c r="I14706" s="8" t="str">
        <f ca="1">IFERROR(__xludf.DUMMYFUNCTION("IF
(
G14707=""фізична особа""
,
VLOOKUP(H14707,IMPORTRANGE(""https://docs.google.com/spreadsheets/d/14Bd19lYaqBhU8_DElYkX7l4wRkHqqCUFNJY4AfY3kHU/edit?usp=sharing  #gid=0"",""фіз особи new!relations_name""),6,FALSE)
,
(IF
(
G14707=""юридична особа""
,
VLOO"&amp;"KUP(H14707,IMPORTRANGE(""https://docs.google.com/spreadsheets/d/14Bd19lYaqBhU8_DElYkX7l4wRkHqqCUFNJY4AfY3kHU/edit?usp=sharing  #gid=0"",""фіз особи new!relations_name_uo""),7,FALSE)
,
)
))"),"#N/A")</f>
        <v>#N/A</v>
      </c>
      <c r="J14706" s="7" t="s">
        <v>23</v>
      </c>
    </row>
    <row r="14707" spans="1:10" ht="13.2">
      <c r="A14707" s="7">
        <v>14706</v>
      </c>
      <c r="B14707" s="7">
        <v>1</v>
      </c>
      <c r="C14707" s="7" t="s">
        <v>10</v>
      </c>
      <c r="D14707" s="7">
        <v>19481</v>
      </c>
      <c r="E14707" s="7" t="s">
        <v>23</v>
      </c>
      <c r="F14707" s="8" t="str">
        <f ca="1">IFERROR(__xludf.DUMMYFUNCTION("IF
(
C14708=""фізична особа""
,
VLOOKUP(D14708,IMPORTRANGE(""https://docs.google.com/spreadsheets/d/14Bd19lYaqBhU8_DElYkX7l4wRkHqqCUFNJY4AfY3kHU/edit?usp=sharing  #gid=0"",""фіз особи new!relations_name""),6,FALSE)
,
(IF
(
C14708=""юридична особа""
,
VLOO"&amp;"KUP(D14708,IMPORTRANGE(""https://docs.google.com/spreadsheets/d/14Bd19lYaqBhU8_DElYkX7l4wRkHqqCUFNJY4AfY3kHU/edit?usp=sharing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7" s="7" t="s">
        <v>10</v>
      </c>
      <c r="H14707" s="7">
        <v>23706</v>
      </c>
      <c r="I14707" s="8" t="str">
        <f ca="1">IFERROR(__xludf.DUMMYFUNCTION("IF
(
G14708=""фізична особа""
,
VLOOKUP(H14708,IMPORTRANGE(""https://docs.google.com/spreadsheets/d/14Bd19lYaqBhU8_DElYkX7l4wRkHqqCUFNJY4AfY3kHU/edit?usp=sharing  #gid=0"",""фіз особи new!relations_name""),6,FALSE)
,
(IF
(
G14708=""юридична особа""
,
VLOO"&amp;"KUP(H14708,IMPORTRANGE(""https://docs.google.com/spreadsheets/d/14Bd19lYaqBhU8_DElYkX7l4wRkHqqCUFNJY4AfY3kHU/edit?usp=sharing  #gid=0"",""фіз особи new!relations_name_uo""),7,FALSE)
,
)
))"),"МІЛЛЕР Олена Володимирівна")</f>
        <v>МІЛЛЕР Олена Володимирівна</v>
      </c>
      <c r="J14707" s="7" t="s">
        <v>23</v>
      </c>
    </row>
    <row r="14708" spans="1:10" ht="13.2">
      <c r="A14708" s="7">
        <v>14707</v>
      </c>
      <c r="B14708" s="7">
        <v>1</v>
      </c>
      <c r="C14708" s="7" t="s">
        <v>10</v>
      </c>
      <c r="D14708" s="7">
        <v>19481</v>
      </c>
      <c r="E14708" s="7" t="s">
        <v>14</v>
      </c>
      <c r="F14708" s="8" t="str">
        <f ca="1">IFERROR(__xludf.DUMMYFUNCTION("IF
(
C14709=""фізична особа""
,
VLOOKUP(D14709,IMPORTRANGE(""https://docs.google.com/spreadsheets/d/14Bd19lYaqBhU8_DElYkX7l4wRkHqqCUFNJY4AfY3kHU/edit?usp=sharing  #gid=0"",""фіз особи new!relations_name""),6,FALSE)
,
(IF
(
C14709=""юридична особа""
,
VLOO"&amp;"KUP(D14709,IMPORTRANGE(""https://docs.google.com/spreadsheets/d/14Bd19lYaqBhU8_DElYkX7l4wRkHqqCUFNJY4AfY3kHU/edit?usp=sharing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8" s="7" t="s">
        <v>10</v>
      </c>
      <c r="H14708" s="7">
        <v>23707</v>
      </c>
      <c r="I14708" s="8" t="str">
        <f ca="1">IFERROR(__xludf.DUMMYFUNCTION("IF
(
G14709=""фізична особа""
,
VLOOKUP(H14709,IMPORTRANGE(""https://docs.google.com/spreadsheets/d/14Bd19lYaqBhU8_DElYkX7l4wRkHqqCUFNJY4AfY3kHU/edit?usp=sharing  #gid=0"",""фіз особи new!relations_name""),6,FALSE)
,
(IF
(
G14709=""юридична особа""
,
VLOO"&amp;"KUP(H14709,IMPORTRANGE(""https://docs.google.com/spreadsheets/d/14Bd19lYaqBhU8_DElYkX7l4wRkHqqCUFNJY4AfY3kHU/edit?usp=sharing  #gid=0"",""фіз особи new!relations_name_uo""),7,FALSE)
,
)
))"),"ТЮТЮШЕВА Юлія Сергіївна")</f>
        <v>ТЮТЮШЕВА Юлія Сергіївна</v>
      </c>
      <c r="J14708" s="7" t="s">
        <v>15</v>
      </c>
    </row>
    <row r="14709" spans="1:10" ht="13.2">
      <c r="A14709" s="7">
        <v>14708</v>
      </c>
      <c r="B14709" s="7">
        <v>1</v>
      </c>
      <c r="C14709" s="7" t="s">
        <v>10</v>
      </c>
      <c r="D14709" s="7">
        <v>19481</v>
      </c>
      <c r="E14709" s="7" t="s">
        <v>16</v>
      </c>
      <c r="F14709" s="8" t="str">
        <f ca="1">IFERROR(__xludf.DUMMYFUNCTION("IF
(
C14710=""фізична особа""
,
VLOOKUP(D14710,IMPORTRANGE(""https://docs.google.com/spreadsheets/d/14Bd19lYaqBhU8_DElYkX7l4wRkHqqCUFNJY4AfY3kHU/edit?usp=sharing  #gid=0"",""фіз особи new!relations_name""),6,FALSE)
,
(IF
(
C14710=""юридична особа""
,
VLOO"&amp;"KUP(D14710,IMPORTRANGE(""https://docs.google.com/spreadsheets/d/14Bd19lYaqBhU8_DElYkX7l4wRkHqqCUFNJY4AfY3kHU/edit?usp=sharing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09" s="7" t="s">
        <v>10</v>
      </c>
      <c r="H14709" s="7">
        <v>23708</v>
      </c>
      <c r="I14709" s="8" t="str">
        <f ca="1">IFERROR(__xludf.DUMMYFUNCTION("IF
(
G14710=""фізична особа""
,
VLOOKUP(H14710,IMPORTRANGE(""https://docs.google.com/spreadsheets/d/14Bd19lYaqBhU8_DElYkX7l4wRkHqqCUFNJY4AfY3kHU/edit?usp=sharing  #gid=0"",""фіз особи new!relations_name""),6,FALSE)
,
(IF
(
G14710=""юридична особа""
,
VLOO"&amp;"KUP(H14710,IMPORTRANGE(""https://docs.google.com/spreadsheets/d/14Bd19lYaqBhU8_DElYkX7l4wRkHqqCUFNJY4AfY3kHU/edit?usp=sharing  #gid=0"",""фіз особи new!relations_name_uo""),7,FALSE)
,
)
))"),"ХІСМАТУЛЛІН Тимур Рашитович")</f>
        <v>ХІСМАТУЛЛІН Тимур Рашитович</v>
      </c>
      <c r="J14709" s="7" t="s">
        <v>16</v>
      </c>
    </row>
    <row r="14710" spans="1:10" ht="13.2">
      <c r="A14710" s="7">
        <v>14709</v>
      </c>
      <c r="B14710" s="7">
        <v>1</v>
      </c>
      <c r="C14710" s="7" t="s">
        <v>10</v>
      </c>
      <c r="D14710" s="7">
        <v>19481</v>
      </c>
      <c r="E14710" s="7" t="s">
        <v>23</v>
      </c>
      <c r="F14710" s="8" t="str">
        <f ca="1">IFERROR(__xludf.DUMMYFUNCTION("IF
(
C14711=""фізична особа""
,
VLOOKUP(D14711,IMPORTRANGE(""https://docs.google.com/spreadsheets/d/14Bd19lYaqBhU8_DElYkX7l4wRkHqqCUFNJY4AfY3kHU/edit?usp=sharing  #gid=0"",""фіз особи new!relations_name""),6,FALSE)
,
(IF
(
C14711=""юридична особа""
,
VLOO"&amp;"KUP(D14711,IMPORTRANGE(""https://docs.google.com/spreadsheets/d/14Bd19lYaqBhU8_DElYkX7l4wRkHqqCUFNJY4AfY3kHU/edit?usp=sharing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G14710" s="7" t="s">
        <v>10</v>
      </c>
      <c r="H14710" s="7">
        <v>2577</v>
      </c>
      <c r="I14710" s="8" t="str">
        <f ca="1">IFERROR(__xludf.DUMMYFUNCTION("IF
(
G14711=""фізична особа""
,
VLOOKUP(H14711,IMPORTRANGE(""https://docs.google.com/spreadsheets/d/14Bd19lYaqBhU8_DElYkX7l4wRkHqqCUFNJY4AfY3kHU/edit?usp=sharing  #gid=0"",""фіз особи new!relations_name""),6,FALSE)
,
(IF
(
G14711=""юридична особа""
,
VLOO"&amp;"KUP(H14711,IMPORTRANGE(""https://docs.google.com/spreadsheets/d/14Bd19lYaqBhU8_DElYkX7l4wRkHqqCUFNJY4AfY3kHU/edit?usp=sharing  #gid=0"",""фіз особи new!relations_name_uo""),7,FALSE)
,
)
))"),"ЖВАЧКІН Сергій Анатолійович")</f>
        <v>ЖВАЧКІН Сергій Анатолійович</v>
      </c>
      <c r="J14710" s="7" t="s">
        <v>23</v>
      </c>
    </row>
    <row r="14711" spans="1:10" ht="13.2">
      <c r="A14711" s="7">
        <v>14710</v>
      </c>
      <c r="B14711" s="7">
        <v>1</v>
      </c>
      <c r="C14711" s="7" t="s">
        <v>10</v>
      </c>
      <c r="D14711" s="7">
        <v>19482</v>
      </c>
      <c r="E14711" s="7" t="s">
        <v>14</v>
      </c>
      <c r="F14711" s="8" t="str">
        <f ca="1">IFERROR(__xludf.DUMMYFUNCTION("IF
(
C14712=""фізична особа""
,
VLOOKUP(D14712,IMPORTRANGE(""https://docs.google.com/spreadsheets/d/14Bd19lYaqBhU8_DElYkX7l4wRkHqqCUFNJY4AfY3kHU/edit?usp=sharing  #gid=0"",""фіз особи new!relations_name""),6,FALSE)
,
(IF
(
C14712=""юридична особа""
,
VLOO"&amp;"KUP(D14712,IMPORTRANGE(""https://docs.google.com/spreadsheets/d/14Bd19lYaqBhU8_DElYkX7l4wRkHqqCUFNJY4AfY3kHU/edit?usp=sharing  #gid=0"",""фіз особи new!relations_name_uo""),7,FALSE)
,
)
))"),"МАМОНТОВ Володимир Ілліч")</f>
        <v>МАМОНТОВ Володимир Ілліч</v>
      </c>
      <c r="G14711" s="7" t="s">
        <v>10</v>
      </c>
      <c r="H14711" s="7">
        <v>0</v>
      </c>
      <c r="I14711" s="8" t="str">
        <f ca="1">IFERROR(__xludf.DUMMYFUNCTION("IF
(
G14712=""фізична особа""
,
VLOOKUP(H14712,IMPORTRANGE(""https://docs.google.com/spreadsheets/d/14Bd19lYaqBhU8_DElYkX7l4wRkHqqCUFNJY4AfY3kHU/edit?usp=sharing  #gid=0"",""фіз особи new!relations_name""),6,FALSE)
,
(IF
(
G14712=""юридична особа""
,
VLOO"&amp;"KUP(H14712,IMPORTRANGE(""https://docs.google.com/spreadsheets/d/14Bd19lYaqBhU8_DElYkX7l4wRkHqqCUFNJY4AfY3kHU/edit?usp=sharing  #gid=0"",""фіз особи new!relations_name_uo""),7,FALSE)
,
)
))"),"#N/A")</f>
        <v>#N/A</v>
      </c>
      <c r="J14711" s="7" t="s">
        <v>15</v>
      </c>
    </row>
    <row r="14712" spans="1:10" ht="13.2">
      <c r="A14712" s="7">
        <v>14711</v>
      </c>
      <c r="B14712" s="7">
        <v>1</v>
      </c>
      <c r="C14712" s="7" t="s">
        <v>10</v>
      </c>
      <c r="D14712" s="7">
        <v>19482</v>
      </c>
      <c r="E14712" s="7" t="s">
        <v>23</v>
      </c>
      <c r="F14712" s="8" t="str">
        <f ca="1">IFERROR(__xludf.DUMMYFUNCTION("IF
(
C14713=""фізична особа""
,
VLOOKUP(D14713,IMPORTRANGE(""https://docs.google.com/spreadsheets/d/14Bd19lYaqBhU8_DElYkX7l4wRkHqqCUFNJY4AfY3kHU/edit?usp=sharing  #gid=0"",""фіз особи new!relations_name""),6,FALSE)
,
(IF
(
C14713=""юридична особа""
,
VLOO"&amp;"KUP(D14713,IMPORTRANGE(""https://docs.google.com/spreadsheets/d/14Bd19lYaqBhU8_DElYkX7l4wRkHqqCUFNJY4AfY3kHU/edit?usp=sharing  #gid=0"",""фіз особи new!relations_name_uo""),7,FALSE)
,
)
))"),"МАМОНТОВ Володимир Ілліч")</f>
        <v>МАМОНТОВ Володимир Ілліч</v>
      </c>
      <c r="G14712" s="7" t="s">
        <v>10</v>
      </c>
      <c r="H14712" s="7">
        <v>0</v>
      </c>
      <c r="I14712" s="8" t="str">
        <f ca="1">IFERROR(__xludf.DUMMYFUNCTION("IF
(
G14713=""фізична особа""
,
VLOOKUP(H14713,IMPORTRANGE(""https://docs.google.com/spreadsheets/d/14Bd19lYaqBhU8_DElYkX7l4wRkHqqCUFNJY4AfY3kHU/edit?usp=sharing  #gid=0"",""фіз особи new!relations_name""),6,FALSE)
,
(IF
(
G14713=""юридична особа""
,
VLOO"&amp;"KUP(H14713,IMPORTRANGE(""https://docs.google.com/spreadsheets/d/14Bd19lYaqBhU8_DElYkX7l4wRkHqqCUFNJY4AfY3kHU/edit?usp=sharing  #gid=0"",""фіз особи new!relations_name_uo""),7,FALSE)
,
)
))"),"#N/A")</f>
        <v>#N/A</v>
      </c>
      <c r="J14712" s="7" t="s">
        <v>23</v>
      </c>
    </row>
    <row r="14713" spans="1:10" ht="13.2">
      <c r="A14713" s="7">
        <v>14712</v>
      </c>
      <c r="B14713" s="7">
        <v>1</v>
      </c>
      <c r="C14713" s="7" t="s">
        <v>10</v>
      </c>
      <c r="D14713" s="7">
        <v>19482</v>
      </c>
      <c r="E14713" s="7" t="s">
        <v>23</v>
      </c>
      <c r="F14713" s="8" t="str">
        <f ca="1">IFERROR(__xludf.DUMMYFUNCTION("IF
(
C14714=""фізична особа""
,
VLOOKUP(D14714,IMPORTRANGE(""https://docs.google.com/spreadsheets/d/14Bd19lYaqBhU8_DElYkX7l4wRkHqqCUFNJY4AfY3kHU/edit?usp=sharing  #gid=0"",""фіз особи new!relations_name""),6,FALSE)
,
(IF
(
C14714=""юридична особа""
,
VLOO"&amp;"KUP(D14714,IMPORTRANGE(""https://docs.google.com/spreadsheets/d/14Bd19lYaqBhU8_DElYkX7l4wRkHqqCUFNJY4AfY3kHU/edit?usp=sharing  #gid=0"",""фіз особи new!relations_name_uo""),7,FALSE)
,
)
))"),"МАМОНТОВ Володимир Ілліч")</f>
        <v>МАМОНТОВ Володимир Ілліч</v>
      </c>
      <c r="G14713" s="7" t="s">
        <v>10</v>
      </c>
      <c r="H14713" s="7">
        <v>19486</v>
      </c>
      <c r="I14713" s="8" t="str">
        <f ca="1">IFERROR(__xludf.DUMMYFUNCTION("IF
(
G14714=""фізична особа""
,
VLOOKUP(H14714,IMPORTRANGE(""https://docs.google.com/spreadsheets/d/14Bd19lYaqBhU8_DElYkX7l4wRkHqqCUFNJY4AfY3kHU/edit?usp=sharing  #gid=0"",""фіз особи new!relations_name""),6,FALSE)
,
(IF
(
G14714=""юридична особа""
,
VLOO"&amp;"KUP(H14714,IMPORTRANGE(""https://docs.google.com/spreadsheets/d/14Bd19lYaqBhU8_DElYkX7l4wRkHqqCUFNJY4AfY3kHU/edit?usp=sharing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13" s="7" t="s">
        <v>23</v>
      </c>
    </row>
    <row r="14714" spans="1:10" ht="13.2">
      <c r="A14714" s="7">
        <v>14713</v>
      </c>
      <c r="B14714" s="7">
        <v>1</v>
      </c>
      <c r="C14714" s="7" t="s">
        <v>10</v>
      </c>
      <c r="D14714" s="7">
        <v>19483</v>
      </c>
      <c r="E14714" s="7" t="s">
        <v>23</v>
      </c>
      <c r="F14714" s="8" t="str">
        <f ca="1">IFERROR(__xludf.DUMMYFUNCTION("IF
(
C14715=""фізична особа""
,
VLOOKUP(D14715,IMPORTRANGE(""https://docs.google.com/spreadsheets/d/14Bd19lYaqBhU8_DElYkX7l4wRkHqqCUFNJY4AfY3kHU/edit?usp=sharing  #gid=0"",""фіз особи new!relations_name""),6,FALSE)
,
(IF
(
C14715=""юридична особа""
,
VLOO"&amp;"KUP(D14715,IMPORTRANGE(""https://docs.google.com/spreadsheets/d/14Bd19lYaqBhU8_DElYkX7l4wRkHqqCUFNJY4AfY3kHU/edit?usp=sharing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G14714" s="7" t="s">
        <v>10</v>
      </c>
      <c r="H14714" s="7">
        <v>19484</v>
      </c>
      <c r="I14714" s="8" t="str">
        <f ca="1">IFERROR(__xludf.DUMMYFUNCTION("IF
(
G14715=""фізична особа""
,
VLOOKUP(H14715,IMPORTRANGE(""https://docs.google.com/spreadsheets/d/14Bd19lYaqBhU8_DElYkX7l4wRkHqqCUFNJY4AfY3kHU/edit?usp=sharing  #gid=0"",""фіз особи new!relations_name""),6,FALSE)
,
(IF
(
G14715=""юридична особа""
,
VLOO"&amp;"KUP(H14715,IMPORTRANGE(""https://docs.google.com/spreadsheets/d/14Bd19lYaqBhU8_DElYkX7l4wRkHqqCUFNJY4AfY3kHU/edit?usp=sharing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J14714" s="7" t="s">
        <v>23</v>
      </c>
    </row>
    <row r="14715" spans="1:10" ht="13.2">
      <c r="A14715" s="7">
        <v>14714</v>
      </c>
      <c r="B14715" s="7">
        <v>1</v>
      </c>
      <c r="C14715" s="7" t="s">
        <v>10</v>
      </c>
      <c r="D14715" s="7">
        <v>19483</v>
      </c>
      <c r="E14715" s="7" t="s">
        <v>23</v>
      </c>
      <c r="F14715" s="8" t="str">
        <f ca="1">IFERROR(__xludf.DUMMYFUNCTION("IF
(
C14716=""фізична особа""
,
VLOOKUP(D14716,IMPORTRANGE(""https://docs.google.com/spreadsheets/d/14Bd19lYaqBhU8_DElYkX7l4wRkHqqCUFNJY4AfY3kHU/edit?usp=sharing  #gid=0"",""фіз особи new!relations_name""),6,FALSE)
,
(IF
(
C14716=""юридична особа""
,
VLOO"&amp;"KUP(D14716,IMPORTRANGE(""https://docs.google.com/spreadsheets/d/14Bd19lYaqBhU8_DElYkX7l4wRkHqqCUFNJY4AfY3kHU/edit?usp=sharing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G14715" s="7" t="s">
        <v>10</v>
      </c>
      <c r="H14715" s="7">
        <v>19486</v>
      </c>
      <c r="I14715" s="8" t="str">
        <f ca="1">IFERROR(__xludf.DUMMYFUNCTION("IF
(
G14716=""фізична особа""
,
VLOOKUP(H14716,IMPORTRANGE(""https://docs.google.com/spreadsheets/d/14Bd19lYaqBhU8_DElYkX7l4wRkHqqCUFNJY4AfY3kHU/edit?usp=sharing  #gid=0"",""фіз особи new!relations_name""),6,FALSE)
,
(IF
(
G14716=""юридична особа""
,
VLOO"&amp;"KUP(H14716,IMPORTRANGE(""https://docs.google.com/spreadsheets/d/14Bd19lYaqBhU8_DElYkX7l4wRkHqqCUFNJY4AfY3kHU/edit?usp=sharing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15" s="7" t="s">
        <v>23</v>
      </c>
    </row>
    <row r="14716" spans="1:10" ht="13.2">
      <c r="A14716" s="7">
        <v>14715</v>
      </c>
      <c r="B14716" s="7">
        <v>1</v>
      </c>
      <c r="C14716" s="7" t="s">
        <v>10</v>
      </c>
      <c r="D14716" s="7">
        <v>19484</v>
      </c>
      <c r="E14716" s="7" t="s">
        <v>23</v>
      </c>
      <c r="F14716" s="8" t="str">
        <f ca="1">IFERROR(__xludf.DUMMYFUNCTION("IF
(
C14717=""фізична особа""
,
VLOOKUP(D14717,IMPORTRANGE(""https://docs.google.com/spreadsheets/d/14Bd19lYaqBhU8_DElYkX7l4wRkHqqCUFNJY4AfY3kHU/edit?usp=sharing  #gid=0"",""фіз особи new!relations_name""),6,FALSE)
,
(IF
(
C14717=""юридична особа""
,
VLOO"&amp;"KUP(D14717,IMPORTRANGE(""https://docs.google.com/spreadsheets/d/14Bd19lYaqBhU8_DElYkX7l4wRkHqqCUFNJY4AfY3kHU/edit?usp=sharing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G14716" s="7" t="s">
        <v>10</v>
      </c>
      <c r="H14716" s="7">
        <v>19483</v>
      </c>
      <c r="I14716" s="8" t="str">
        <f ca="1">IFERROR(__xludf.DUMMYFUNCTION("IF
(
G14717=""фізична особа""
,
VLOOKUP(H14717,IMPORTRANGE(""https://docs.google.com/spreadsheets/d/14Bd19lYaqBhU8_DElYkX7l4wRkHqqCUFNJY4AfY3kHU/edit?usp=sharing  #gid=0"",""фіз особи new!relations_name""),6,FALSE)
,
(IF
(
G14717=""юридична особа""
,
VLOO"&amp;"KUP(H14717,IMPORTRANGE(""https://docs.google.com/spreadsheets/d/14Bd19lYaqBhU8_DElYkX7l4wRkHqqCUFNJY4AfY3kHU/edit?usp=sharing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16" s="7" t="s">
        <v>23</v>
      </c>
    </row>
    <row r="14717" spans="1:10" ht="13.2">
      <c r="A14717" s="7">
        <v>14716</v>
      </c>
      <c r="B14717" s="7">
        <v>1</v>
      </c>
      <c r="C14717" s="7" t="s">
        <v>10</v>
      </c>
      <c r="D14717" s="7">
        <v>19484</v>
      </c>
      <c r="E14717" s="7" t="s">
        <v>23</v>
      </c>
      <c r="F14717" s="8" t="str">
        <f ca="1">IFERROR(__xludf.DUMMYFUNCTION("IF
(
C14718=""фізична особа""
,
VLOOKUP(D14718,IMPORTRANGE(""https://docs.google.com/spreadsheets/d/14Bd19lYaqBhU8_DElYkX7l4wRkHqqCUFNJY4AfY3kHU/edit?usp=sharing  #gid=0"",""фіз особи new!relations_name""),6,FALSE)
,
(IF
(
C14718=""юридична особа""
,
VLOO"&amp;"KUP(D14718,IMPORTRANGE(""https://docs.google.com/spreadsheets/d/14Bd19lYaqBhU8_DElYkX7l4wRkHqqCUFNJY4AfY3kHU/edit?usp=sharing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G14717" s="7" t="s">
        <v>10</v>
      </c>
      <c r="H14717" s="7">
        <v>19486</v>
      </c>
      <c r="I14717" s="8" t="str">
        <f ca="1">IFERROR(__xludf.DUMMYFUNCTION("IF
(
G14718=""фізична особа""
,
VLOOKUP(H14718,IMPORTRANGE(""https://docs.google.com/spreadsheets/d/14Bd19lYaqBhU8_DElYkX7l4wRkHqqCUFNJY4AfY3kHU/edit?usp=sharing  #gid=0"",""фіз особи new!relations_name""),6,FALSE)
,
(IF
(
G14718=""юридична особа""
,
VLOO"&amp;"KUP(H14718,IMPORTRANGE(""https://docs.google.com/spreadsheets/d/14Bd19lYaqBhU8_DElYkX7l4wRkHqqCUFNJY4AfY3kHU/edit?usp=sharing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17" s="7" t="s">
        <v>23</v>
      </c>
    </row>
    <row r="14718" spans="1:10" ht="13.2">
      <c r="A14718" s="7">
        <v>14717</v>
      </c>
      <c r="B14718" s="7">
        <v>1</v>
      </c>
      <c r="C14718" s="7" t="s">
        <v>10</v>
      </c>
      <c r="D14718" s="7">
        <v>19484</v>
      </c>
      <c r="E14718" s="7" t="s">
        <v>14</v>
      </c>
      <c r="F14718" s="8" t="str">
        <f ca="1">IFERROR(__xludf.DUMMYFUNCTION("IF
(
C14719=""фізична особа""
,
VLOOKUP(D14719,IMPORTRANGE(""https://docs.google.com/spreadsheets/d/14Bd19lYaqBhU8_DElYkX7l4wRkHqqCUFNJY4AfY3kHU/edit?usp=sharing  #gid=0"",""фіз особи new!relations_name""),6,FALSE)
,
(IF
(
C14719=""юридична особа""
,
VLOO"&amp;"KUP(D14719,IMPORTRANGE(""https://docs.google.com/spreadsheets/d/14Bd19lYaqBhU8_DElYkX7l4wRkHqqCUFNJY4AfY3kHU/edit?usp=sharing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G14718" s="7" t="s">
        <v>10</v>
      </c>
      <c r="H14718" s="7">
        <v>0</v>
      </c>
      <c r="I14718" s="8" t="str">
        <f ca="1">IFERROR(__xludf.DUMMYFUNCTION("IF
(
G14719=""фізична особа""
,
VLOOKUP(H14719,IMPORTRANGE(""https://docs.google.com/spreadsheets/d/14Bd19lYaqBhU8_DElYkX7l4wRkHqqCUFNJY4AfY3kHU/edit?usp=sharing  #gid=0"",""фіз особи new!relations_name""),6,FALSE)
,
(IF
(
G14719=""юридична особа""
,
VLOO"&amp;"KUP(H14719,IMPORTRANGE(""https://docs.google.com/spreadsheets/d/14Bd19lYaqBhU8_DElYkX7l4wRkHqqCUFNJY4AfY3kHU/edit?usp=sharing  #gid=0"",""фіз особи new!relations_name_uo""),7,FALSE)
,
)
))"),"#N/A")</f>
        <v>#N/A</v>
      </c>
      <c r="J14718" s="7" t="s">
        <v>15</v>
      </c>
    </row>
    <row r="14719" spans="1:10" ht="13.2">
      <c r="A14719" s="7">
        <v>14718</v>
      </c>
      <c r="B14719" s="7">
        <v>1</v>
      </c>
      <c r="C14719" s="7" t="s">
        <v>10</v>
      </c>
      <c r="D14719" s="7">
        <v>19484</v>
      </c>
      <c r="E14719" s="7" t="s">
        <v>12</v>
      </c>
      <c r="F14719" s="8" t="str">
        <f ca="1">IFERROR(__xludf.DUMMYFUNCTION("IF
(
C14720=""фізична особа""
,
VLOOKUP(D14720,IMPORTRANGE(""https://docs.google.com/spreadsheets/d/14Bd19lYaqBhU8_DElYkX7l4wRkHqqCUFNJY4AfY3kHU/edit?usp=sharing  #gid=0"",""фіз особи new!relations_name""),6,FALSE)
,
(IF
(
C14720=""юридична особа""
,
VLOO"&amp;"KUP(D14720,IMPORTRANGE(""https://docs.google.com/spreadsheets/d/14Bd19lYaqBhU8_DElYkX7l4wRkHqqCUFNJY4AfY3kHU/edit?usp=sharing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G14719" s="7" t="s">
        <v>10</v>
      </c>
      <c r="H14719" s="7">
        <v>0</v>
      </c>
      <c r="I14719" s="8" t="str">
        <f ca="1">IFERROR(__xludf.DUMMYFUNCTION("IF
(
G14720=""фізична особа""
,
VLOOKUP(H14720,IMPORTRANGE(""https://docs.google.com/spreadsheets/d/14Bd19lYaqBhU8_DElYkX7l4wRkHqqCUFNJY4AfY3kHU/edit?usp=sharing  #gid=0"",""фіз особи new!relations_name""),6,FALSE)
,
(IF
(
G14720=""юридична особа""
,
VLOO"&amp;"KUP(H14720,IMPORTRANGE(""https://docs.google.com/spreadsheets/d/14Bd19lYaqBhU8_DElYkX7l4wRkHqqCUFNJY4AfY3kHU/edit?usp=sharing  #gid=0"",""фіз особи new!relations_name_uo""),7,FALSE)
,
)
))"),"#N/A")</f>
        <v>#N/A</v>
      </c>
      <c r="J14719" s="7" t="s">
        <v>17</v>
      </c>
    </row>
    <row r="14720" spans="1:10" ht="13.2">
      <c r="A14720" s="7">
        <v>14719</v>
      </c>
      <c r="B14720" s="7">
        <v>1</v>
      </c>
      <c r="C14720" s="7" t="s">
        <v>10</v>
      </c>
      <c r="D14720" s="7">
        <v>19484</v>
      </c>
      <c r="E14720" s="7" t="s">
        <v>12</v>
      </c>
      <c r="F14720" s="8" t="str">
        <f ca="1">IFERROR(__xludf.DUMMYFUNCTION("IF
(
C14721=""фізична особа""
,
VLOOKUP(D14721,IMPORTRANGE(""https://docs.google.com/spreadsheets/d/14Bd19lYaqBhU8_DElYkX7l4wRkHqqCUFNJY4AfY3kHU/edit?usp=sharing  #gid=0"",""фіз особи new!relations_name""),6,FALSE)
,
(IF
(
C14721=""юридична особа""
,
VLOO"&amp;"KUP(D14721,IMPORTRANGE(""https://docs.google.com/spreadsheets/d/14Bd19lYaqBhU8_DElYkX7l4wRkHqqCUFNJY4AfY3kHU/edit?usp=sharing  #gid=0"",""фіз особи new!relations_name_uo""),7,FALSE)
,
)
))"),"ОЗЕРОВ Анатолій Іванович")</f>
        <v>ОЗЕРОВ Анатолій Іванович</v>
      </c>
      <c r="G14720" s="7" t="s">
        <v>10</v>
      </c>
      <c r="H14720" s="7">
        <v>0</v>
      </c>
      <c r="I14720" s="8" t="str">
        <f ca="1">IFERROR(__xludf.DUMMYFUNCTION("IF
(
G14721=""фізична особа""
,
VLOOKUP(H14721,IMPORTRANGE(""https://docs.google.com/spreadsheets/d/14Bd19lYaqBhU8_DElYkX7l4wRkHqqCUFNJY4AfY3kHU/edit?usp=sharing  #gid=0"",""фіз особи new!relations_name""),6,FALSE)
,
(IF
(
G14721=""юридична особа""
,
VLOO"&amp;"KUP(H14721,IMPORTRANGE(""https://docs.google.com/spreadsheets/d/14Bd19lYaqBhU8_DElYkX7l4wRkHqqCUFNJY4AfY3kHU/edit?usp=sharing  #gid=0"",""фіз особи new!relations_name_uo""),7,FALSE)
,
)
))"),"#N/A")</f>
        <v>#N/A</v>
      </c>
      <c r="J14720" s="7" t="s">
        <v>17</v>
      </c>
    </row>
    <row r="14721" spans="1:10" ht="13.2">
      <c r="A14721" s="7">
        <v>14720</v>
      </c>
      <c r="B14721" s="7">
        <v>1</v>
      </c>
      <c r="C14721" s="7" t="s">
        <v>10</v>
      </c>
      <c r="D14721" s="7">
        <v>19485</v>
      </c>
      <c r="E14721" s="7" t="s">
        <v>17</v>
      </c>
      <c r="F14721" s="8" t="str">
        <f ca="1">IFERROR(__xludf.DUMMYFUNCTION("IF
(
C14722=""фізична особа""
,
VLOOKUP(D14722,IMPORTRANGE(""https://docs.google.com/spreadsheets/d/14Bd19lYaqBhU8_DElYkX7l4wRkHqqCUFNJY4AfY3kHU/edit?usp=sharing  #gid=0"",""фіз особи new!relations_name""),6,FALSE)
,
(IF
(
C14722=""юридична особа""
,
VLOO"&amp;"KUP(D14722,IMPORTRANGE(""https://docs.google.com/spreadsheets/d/14Bd19lYaqBhU8_DElYkX7l4wRkHqqCUFNJY4AfY3kHU/edit?usp=sharing  #gid=0"",""фіз особи new!relations_name_uo""),7,FALSE)
,
)
))"),"СЕМЕС Володимир Олександрович")</f>
        <v>СЕМЕС Володимир Олександрович</v>
      </c>
      <c r="G14721" s="7" t="s">
        <v>10</v>
      </c>
      <c r="H14721" s="7">
        <v>0</v>
      </c>
      <c r="I14721" s="8" t="str">
        <f ca="1">IFERROR(__xludf.DUMMYFUNCTION("IF
(
G14722=""фізична особа""
,
VLOOKUP(H14722,IMPORTRANGE(""https://docs.google.com/spreadsheets/d/14Bd19lYaqBhU8_DElYkX7l4wRkHqqCUFNJY4AfY3kHU/edit?usp=sharing  #gid=0"",""фіз особи new!relations_name""),6,FALSE)
,
(IF
(
G14722=""юридична особа""
,
VLOO"&amp;"KUP(H14722,IMPORTRANGE(""https://docs.google.com/spreadsheets/d/14Bd19lYaqBhU8_DElYkX7l4wRkHqqCUFNJY4AfY3kHU/edit?usp=sharing  #gid=0"",""фіз особи new!relations_name_uo""),7,FALSE)
,
)
))"),"#N/A")</f>
        <v>#N/A</v>
      </c>
      <c r="J14721" s="7" t="s">
        <v>12</v>
      </c>
    </row>
    <row r="14722" spans="1:10" ht="13.2">
      <c r="A14722" s="7">
        <v>14721</v>
      </c>
      <c r="B14722" s="7">
        <v>1</v>
      </c>
      <c r="C14722" s="7" t="s">
        <v>10</v>
      </c>
      <c r="D14722" s="7">
        <v>19485</v>
      </c>
      <c r="E14722" s="7" t="s">
        <v>23</v>
      </c>
      <c r="F14722" s="8" t="str">
        <f ca="1">IFERROR(__xludf.DUMMYFUNCTION("IF
(
C14723=""фізична особа""
,
VLOOKUP(D14723,IMPORTRANGE(""https://docs.google.com/spreadsheets/d/14Bd19lYaqBhU8_DElYkX7l4wRkHqqCUFNJY4AfY3kHU/edit?usp=sharing  #gid=0"",""фіз особи new!relations_name""),6,FALSE)
,
(IF
(
C14723=""юридична особа""
,
VLOO"&amp;"KUP(D14723,IMPORTRANGE(""https://docs.google.com/spreadsheets/d/14Bd19lYaqBhU8_DElYkX7l4wRkHqqCUFNJY4AfY3kHU/edit?usp=sharing  #gid=0"",""фіз особи new!relations_name_uo""),7,FALSE)
,
)
))"),"СЕМЕС Володимир Олександрович")</f>
        <v>СЕМЕС Володимир Олександрович</v>
      </c>
      <c r="G14722" s="7" t="s">
        <v>10</v>
      </c>
      <c r="H14722" s="7">
        <v>19483</v>
      </c>
      <c r="I14722" s="8" t="str">
        <f ca="1">IFERROR(__xludf.DUMMYFUNCTION("IF
(
G14723=""фізична особа""
,
VLOOKUP(H14723,IMPORTRANGE(""https://docs.google.com/spreadsheets/d/14Bd19lYaqBhU8_DElYkX7l4wRkHqqCUFNJY4AfY3kHU/edit?usp=sharing  #gid=0"",""фіз особи new!relations_name""),6,FALSE)
,
(IF
(
G14723=""юридична особа""
,
VLOO"&amp;"KUP(H14723,IMPORTRANGE(""https://docs.google.com/spreadsheets/d/14Bd19lYaqBhU8_DElYkX7l4wRkHqqCUFNJY4AfY3kHU/edit?usp=sharing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22" s="7" t="s">
        <v>23</v>
      </c>
    </row>
    <row r="14723" spans="1:10" ht="13.2">
      <c r="A14723" s="7">
        <v>14722</v>
      </c>
      <c r="B14723" s="7">
        <v>1</v>
      </c>
      <c r="C14723" s="7" t="s">
        <v>10</v>
      </c>
      <c r="D14723" s="7">
        <v>19485</v>
      </c>
      <c r="E14723" s="7" t="s">
        <v>23</v>
      </c>
      <c r="F14723" s="8" t="str">
        <f ca="1">IFERROR(__xludf.DUMMYFUNCTION("IF
(
C14724=""фізична особа""
,
VLOOKUP(D14724,IMPORTRANGE(""https://docs.google.com/spreadsheets/d/14Bd19lYaqBhU8_DElYkX7l4wRkHqqCUFNJY4AfY3kHU/edit?usp=sharing  #gid=0"",""фіз особи new!relations_name""),6,FALSE)
,
(IF
(
C14724=""юридична особа""
,
VLOO"&amp;"KUP(D14724,IMPORTRANGE(""https://docs.google.com/spreadsheets/d/14Bd19lYaqBhU8_DElYkX7l4wRkHqqCUFNJY4AfY3kHU/edit?usp=sharing  #gid=0"",""фіз особи new!relations_name_uo""),7,FALSE)
,
)
))"),"СЕМЕС Володимир Олександрович")</f>
        <v>СЕМЕС Володимир Олександрович</v>
      </c>
      <c r="G14723" s="7" t="s">
        <v>10</v>
      </c>
      <c r="H14723" s="7">
        <v>19486</v>
      </c>
      <c r="I14723" s="8" t="str">
        <f ca="1">IFERROR(__xludf.DUMMYFUNCTION("IF
(
G14724=""фізична особа""
,
VLOOKUP(H14724,IMPORTRANGE(""https://docs.google.com/spreadsheets/d/14Bd19lYaqBhU8_DElYkX7l4wRkHqqCUFNJY4AfY3kHU/edit?usp=sharing  #gid=0"",""фіз особи new!relations_name""),6,FALSE)
,
(IF
(
G14724=""юридична особа""
,
VLOO"&amp;"KUP(H14724,IMPORTRANGE(""https://docs.google.com/spreadsheets/d/14Bd19lYaqBhU8_DElYkX7l4wRkHqqCUFNJY4AfY3kHU/edit?usp=sharing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23" s="7" t="s">
        <v>23</v>
      </c>
    </row>
    <row r="14724" spans="1:10" ht="13.2">
      <c r="A14724" s="7">
        <v>14723</v>
      </c>
      <c r="B14724" s="7">
        <v>1</v>
      </c>
      <c r="C14724" s="7" t="s">
        <v>10</v>
      </c>
      <c r="D14724" s="7">
        <v>19486</v>
      </c>
      <c r="E14724" s="7" t="s">
        <v>23</v>
      </c>
      <c r="F14724" s="8" t="str">
        <f ca="1">IFERROR(__xludf.DUMMYFUNCTION("IF
(
C14725=""фізична особа""
,
VLOOKUP(D14725,IMPORTRANGE(""https://docs.google.com/spreadsheets/d/14Bd19lYaqBhU8_DElYkX7l4wRkHqqCUFNJY4AfY3kHU/edit?usp=sharing  #gid=0"",""фіз особи new!relations_name""),6,FALSE)
,
(IF
(
C14725=""юридична особа""
,
VLOO"&amp;"KUP(D14725,IMPORTRANGE(""https://docs.google.com/spreadsheets/d/14Bd19lYaqBhU8_DElYkX7l4wRkHqqCUFNJY4AfY3kHU/edit?usp=sharing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G14724" s="7" t="s">
        <v>10</v>
      </c>
      <c r="H14724" s="7">
        <v>19483</v>
      </c>
      <c r="I14724" s="8" t="str">
        <f ca="1">IFERROR(__xludf.DUMMYFUNCTION("IF
(
G14725=""фізична особа""
,
VLOOKUP(H14725,IMPORTRANGE(""https://docs.google.com/spreadsheets/d/14Bd19lYaqBhU8_DElYkX7l4wRkHqqCUFNJY4AfY3kHU/edit?usp=sharing  #gid=0"",""фіз особи new!relations_name""),6,FALSE)
,
(IF
(
G14725=""юридична особа""
,
VLOO"&amp;"KUP(H14725,IMPORTRANGE(""https://docs.google.com/spreadsheets/d/14Bd19lYaqBhU8_DElYkX7l4wRkHqqCUFNJY4AfY3kHU/edit?usp=sharing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24" s="7" t="s">
        <v>23</v>
      </c>
    </row>
    <row r="14725" spans="1:10" ht="13.2">
      <c r="A14725" s="7">
        <v>14724</v>
      </c>
      <c r="B14725" s="7">
        <v>1</v>
      </c>
      <c r="C14725" s="7" t="s">
        <v>10</v>
      </c>
      <c r="D14725" s="7">
        <v>19486</v>
      </c>
      <c r="E14725" s="7" t="s">
        <v>12</v>
      </c>
      <c r="F14725" s="8" t="str">
        <f ca="1">IFERROR(__xludf.DUMMYFUNCTION("IF
(
C14726=""фізична особа""
,
VLOOKUP(D14726,IMPORTRANGE(""https://docs.google.com/spreadsheets/d/14Bd19lYaqBhU8_DElYkX7l4wRkHqqCUFNJY4AfY3kHU/edit?usp=sharing  #gid=0"",""фіз особи new!relations_name""),6,FALSE)
,
(IF
(
C14726=""юридична особа""
,
VLOO"&amp;"KUP(D14726,IMPORTRANGE(""https://docs.google.com/spreadsheets/d/14Bd19lYaqBhU8_DElYkX7l4wRkHqqCUFNJY4AfY3kHU/edit?usp=sharing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G14725" s="7" t="s">
        <v>10</v>
      </c>
      <c r="H14725" s="7">
        <v>0</v>
      </c>
      <c r="I14725" s="8" t="str">
        <f ca="1">IFERROR(__xludf.DUMMYFUNCTION("IF
(
G14726=""фізична особа""
,
VLOOKUP(H14726,IMPORTRANGE(""https://docs.google.com/spreadsheets/d/14Bd19lYaqBhU8_DElYkX7l4wRkHqqCUFNJY4AfY3kHU/edit?usp=sharing  #gid=0"",""фіз особи new!relations_name""),6,FALSE)
,
(IF
(
G14726=""юридична особа""
,
VLOO"&amp;"KUP(H14726,IMPORTRANGE(""https://docs.google.com/spreadsheets/d/14Bd19lYaqBhU8_DElYkX7l4wRkHqqCUFNJY4AfY3kHU/edit?usp=sharing  #gid=0"",""фіз особи new!relations_name_uo""),7,FALSE)
,
)
))"),"#N/A")</f>
        <v>#N/A</v>
      </c>
      <c r="J14725" s="7" t="s">
        <v>17</v>
      </c>
    </row>
    <row r="14726" spans="1:10" ht="13.2">
      <c r="A14726" s="7">
        <v>14725</v>
      </c>
      <c r="B14726" s="7">
        <v>1</v>
      </c>
      <c r="C14726" s="7" t="s">
        <v>10</v>
      </c>
      <c r="D14726" s="7">
        <v>19486</v>
      </c>
      <c r="E14726" s="7" t="s">
        <v>12</v>
      </c>
      <c r="F14726" s="8" t="str">
        <f ca="1">IFERROR(__xludf.DUMMYFUNCTION("IF
(
C14727=""фізична особа""
,
VLOOKUP(D14727,IMPORTRANGE(""https://docs.google.com/spreadsheets/d/14Bd19lYaqBhU8_DElYkX7l4wRkHqqCUFNJY4AfY3kHU/edit?usp=sharing  #gid=0"",""фіз особи new!relations_name""),6,FALSE)
,
(IF
(
C14727=""юридична особа""
,
VLOO"&amp;"KUP(D14727,IMPORTRANGE(""https://docs.google.com/spreadsheets/d/14Bd19lYaqBhU8_DElYkX7l4wRkHqqCUFNJY4AfY3kHU/edit?usp=sharing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G14726" s="7" t="s">
        <v>10</v>
      </c>
      <c r="H14726" s="7">
        <v>0</v>
      </c>
      <c r="I14726" s="8" t="str">
        <f ca="1">IFERROR(__xludf.DUMMYFUNCTION("IF
(
G14727=""фізична особа""
,
VLOOKUP(H14727,IMPORTRANGE(""https://docs.google.com/spreadsheets/d/14Bd19lYaqBhU8_DElYkX7l4wRkHqqCUFNJY4AfY3kHU/edit?usp=sharing  #gid=0"",""фіз особи new!relations_name""),6,FALSE)
,
(IF
(
G14727=""юридична особа""
,
VLOO"&amp;"KUP(H14727,IMPORTRANGE(""https://docs.google.com/spreadsheets/d/14Bd19lYaqBhU8_DElYkX7l4wRkHqqCUFNJY4AfY3kHU/edit?usp=sharing  #gid=0"",""фіз особи new!relations_name_uo""),7,FALSE)
,
)
))"),"#N/A")</f>
        <v>#N/A</v>
      </c>
      <c r="J14726" s="7" t="s">
        <v>17</v>
      </c>
    </row>
    <row r="14727" spans="1:10" ht="13.2">
      <c r="A14727" s="7">
        <v>14726</v>
      </c>
      <c r="B14727" s="7">
        <v>1</v>
      </c>
      <c r="C14727" s="7" t="s">
        <v>10</v>
      </c>
      <c r="D14727" s="7">
        <v>19486</v>
      </c>
      <c r="E14727" s="7" t="s">
        <v>23</v>
      </c>
      <c r="F14727" s="8" t="str">
        <f ca="1">IFERROR(__xludf.DUMMYFUNCTION("IF
(
C14728=""фізична особа""
,
VLOOKUP(D14728,IMPORTRANGE(""https://docs.google.com/spreadsheets/d/14Bd19lYaqBhU8_DElYkX7l4wRkHqqCUFNJY4AfY3kHU/edit?usp=sharing  #gid=0"",""фіз особи new!relations_name""),6,FALSE)
,
(IF
(
C14728=""юридична особа""
,
VLOO"&amp;"KUP(D14728,IMPORTRANGE(""https://docs.google.com/spreadsheets/d/14Bd19lYaqBhU8_DElYkX7l4wRkHqqCUFNJY4AfY3kHU/edit?usp=sharing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G14727" s="7" t="s">
        <v>10</v>
      </c>
      <c r="H14727" s="7">
        <v>0</v>
      </c>
      <c r="I14727" s="8" t="str">
        <f ca="1">IFERROR(__xludf.DUMMYFUNCTION("IF
(
G14728=""фізична особа""
,
VLOOKUP(H14728,IMPORTRANGE(""https://docs.google.com/spreadsheets/d/14Bd19lYaqBhU8_DElYkX7l4wRkHqqCUFNJY4AfY3kHU/edit?usp=sharing  #gid=0"",""фіз особи new!relations_name""),6,FALSE)
,
(IF
(
G14728=""юридична особа""
,
VLOO"&amp;"KUP(H14728,IMPORTRANGE(""https://docs.google.com/spreadsheets/d/14Bd19lYaqBhU8_DElYkX7l4wRkHqqCUFNJY4AfY3kHU/edit?usp=sharing  #gid=0"",""фіз особи new!relations_name_uo""),7,FALSE)
,
)
))"),"#N/A")</f>
        <v>#N/A</v>
      </c>
      <c r="J14727" s="7" t="s">
        <v>23</v>
      </c>
    </row>
    <row r="14728" spans="1:10" ht="13.2">
      <c r="A14728" s="7">
        <v>14727</v>
      </c>
      <c r="B14728" s="7">
        <v>1</v>
      </c>
      <c r="C14728" s="7" t="s">
        <v>10</v>
      </c>
      <c r="D14728" s="7">
        <v>19487</v>
      </c>
      <c r="E14728" s="7" t="s">
        <v>12</v>
      </c>
      <c r="F14728" s="8" t="str">
        <f ca="1">IFERROR(__xludf.DUMMYFUNCTION("IF
(
C14729=""фізична особа""
,
VLOOKUP(D14729,IMPORTRANGE(""https://docs.google.com/spreadsheets/d/14Bd19lYaqBhU8_DElYkX7l4wRkHqqCUFNJY4AfY3kHU/edit?usp=sharing  #gid=0"",""фіз особи new!relations_name""),6,FALSE)
,
(IF
(
C14729=""юридична особа""
,
VLOO"&amp;"KUP(D14729,IMPORTRANGE(""https://docs.google.com/spreadsheets/d/14Bd19lYaqBhU8_DElYkX7l4wRkHqqCUFNJY4AfY3kHU/edit?usp=sharing  #gid=0"",""фіз особи new!relations_name_uo""),7,FALSE)
,
)
))"),"СПІРІН Микола Іванович")</f>
        <v>СПІРІН Микола Іванович</v>
      </c>
      <c r="G14728" s="7" t="s">
        <v>10</v>
      </c>
      <c r="H14728" s="7">
        <v>0</v>
      </c>
      <c r="I14728" s="8" t="str">
        <f ca="1">IFERROR(__xludf.DUMMYFUNCTION("IF
(
G14729=""фізична особа""
,
VLOOKUP(H14729,IMPORTRANGE(""https://docs.google.com/spreadsheets/d/14Bd19lYaqBhU8_DElYkX7l4wRkHqqCUFNJY4AfY3kHU/edit?usp=sharing  #gid=0"",""фіз особи new!relations_name""),6,FALSE)
,
(IF
(
G14729=""юридична особа""
,
VLOO"&amp;"KUP(H14729,IMPORTRANGE(""https://docs.google.com/spreadsheets/d/14Bd19lYaqBhU8_DElYkX7l4wRkHqqCUFNJY4AfY3kHU/edit?usp=sharing  #gid=0"",""фіз особи new!relations_name_uo""),7,FALSE)
,
)
))"),"#N/A")</f>
        <v>#N/A</v>
      </c>
      <c r="J14728" s="7" t="s">
        <v>17</v>
      </c>
    </row>
    <row r="14729" spans="1:10" ht="13.2">
      <c r="A14729" s="7">
        <v>14728</v>
      </c>
      <c r="B14729" s="7">
        <v>1</v>
      </c>
      <c r="C14729" s="7" t="s">
        <v>10</v>
      </c>
      <c r="D14729" s="7">
        <v>19487</v>
      </c>
      <c r="E14729" s="7" t="s">
        <v>23</v>
      </c>
      <c r="F14729" s="8" t="str">
        <f ca="1">IFERROR(__xludf.DUMMYFUNCTION("IF
(
C14730=""фізична особа""
,
VLOOKUP(D14730,IMPORTRANGE(""https://docs.google.com/spreadsheets/d/14Bd19lYaqBhU8_DElYkX7l4wRkHqqCUFNJY4AfY3kHU/edit?usp=sharing  #gid=0"",""фіз особи new!relations_name""),6,FALSE)
,
(IF
(
C14730=""юридична особа""
,
VLOO"&amp;"KUP(D14730,IMPORTRANGE(""https://docs.google.com/spreadsheets/d/14Bd19lYaqBhU8_DElYkX7l4wRkHqqCUFNJY4AfY3kHU/edit?usp=sharing  #gid=0"",""фіз особи new!relations_name_uo""),7,FALSE)
,
)
))"),"СПІРІН Микола Іванович")</f>
        <v>СПІРІН Микола Іванович</v>
      </c>
      <c r="G14729" s="7" t="s">
        <v>10</v>
      </c>
      <c r="H14729" s="7">
        <v>0</v>
      </c>
      <c r="I14729" s="8" t="str">
        <f ca="1">IFERROR(__xludf.DUMMYFUNCTION("IF
(
G14730=""фізична особа""
,
VLOOKUP(H14730,IMPORTRANGE(""https://docs.google.com/spreadsheets/d/14Bd19lYaqBhU8_DElYkX7l4wRkHqqCUFNJY4AfY3kHU/edit?usp=sharing  #gid=0"",""фіз особи new!relations_name""),6,FALSE)
,
(IF
(
G14730=""юридична особа""
,
VLOO"&amp;"KUP(H14730,IMPORTRANGE(""https://docs.google.com/spreadsheets/d/14Bd19lYaqBhU8_DElYkX7l4wRkHqqCUFNJY4AfY3kHU/edit?usp=sharing  #gid=0"",""фіз особи new!relations_name_uo""),7,FALSE)
,
)
))"),"#N/A")</f>
        <v>#N/A</v>
      </c>
      <c r="J14729" s="7" t="s">
        <v>23</v>
      </c>
    </row>
    <row r="14730" spans="1:10" ht="13.2">
      <c r="A14730" s="7">
        <v>14729</v>
      </c>
      <c r="B14730" s="7">
        <v>1</v>
      </c>
      <c r="C14730" s="7" t="s">
        <v>10</v>
      </c>
      <c r="D14730" s="7">
        <v>19487</v>
      </c>
      <c r="E14730" s="7" t="s">
        <v>23</v>
      </c>
      <c r="F14730" s="8" t="str">
        <f ca="1">IFERROR(__xludf.DUMMYFUNCTION("IF
(
C14731=""фізична особа""
,
VLOOKUP(D14731,IMPORTRANGE(""https://docs.google.com/spreadsheets/d/14Bd19lYaqBhU8_DElYkX7l4wRkHqqCUFNJY4AfY3kHU/edit?usp=sharing  #gid=0"",""фіз особи new!relations_name""),6,FALSE)
,
(IF
(
C14731=""юридична особа""
,
VLOO"&amp;"KUP(D14731,IMPORTRANGE(""https://docs.google.com/spreadsheets/d/14Bd19lYaqBhU8_DElYkX7l4wRkHqqCUFNJY4AfY3kHU/edit?usp=sharing  #gid=0"",""фіз особи new!relations_name_uo""),7,FALSE)
,
)
))"),"СПІРІН Микола Іванович")</f>
        <v>СПІРІН Микола Іванович</v>
      </c>
      <c r="G14730" s="7" t="s">
        <v>10</v>
      </c>
      <c r="H14730" s="7">
        <v>0</v>
      </c>
      <c r="I14730" s="8" t="str">
        <f ca="1">IFERROR(__xludf.DUMMYFUNCTION("IF
(
G14731=""фізична особа""
,
VLOOKUP(H14731,IMPORTRANGE(""https://docs.google.com/spreadsheets/d/14Bd19lYaqBhU8_DElYkX7l4wRkHqqCUFNJY4AfY3kHU/edit?usp=sharing  #gid=0"",""фіз особи new!relations_name""),6,FALSE)
,
(IF
(
G14731=""юридична особа""
,
VLOO"&amp;"KUP(H14731,IMPORTRANGE(""https://docs.google.com/spreadsheets/d/14Bd19lYaqBhU8_DElYkX7l4wRkHqqCUFNJY4AfY3kHU/edit?usp=sharing  #gid=0"",""фіз особи new!relations_name_uo""),7,FALSE)
,
)
))"),"#N/A")</f>
        <v>#N/A</v>
      </c>
      <c r="J14730" s="7" t="s">
        <v>23</v>
      </c>
    </row>
    <row r="14731" spans="1:10" ht="13.2">
      <c r="A14731" s="7">
        <v>14730</v>
      </c>
      <c r="B14731" s="7">
        <v>1</v>
      </c>
      <c r="C14731" s="7" t="s">
        <v>10</v>
      </c>
      <c r="D14731" s="7">
        <v>19487</v>
      </c>
      <c r="E14731" s="7" t="s">
        <v>23</v>
      </c>
      <c r="F14731" s="8" t="str">
        <f ca="1">IFERROR(__xludf.DUMMYFUNCTION("IF
(
C14732=""фізична особа""
,
VLOOKUP(D14732,IMPORTRANGE(""https://docs.google.com/spreadsheets/d/14Bd19lYaqBhU8_DElYkX7l4wRkHqqCUFNJY4AfY3kHU/edit?usp=sharing  #gid=0"",""фіз особи new!relations_name""),6,FALSE)
,
(IF
(
C14732=""юридична особа""
,
VLOO"&amp;"KUP(D14732,IMPORTRANGE(""https://docs.google.com/spreadsheets/d/14Bd19lYaqBhU8_DElYkX7l4wRkHqqCUFNJY4AfY3kHU/edit?usp=sharing  #gid=0"",""фіз особи new!relations_name_uo""),7,FALSE)
,
)
))"),"СПІРІН Микола Іванович")</f>
        <v>СПІРІН Микола Іванович</v>
      </c>
      <c r="G14731" s="7" t="s">
        <v>10</v>
      </c>
      <c r="H14731" s="7">
        <v>0</v>
      </c>
      <c r="I14731" s="8" t="str">
        <f ca="1">IFERROR(__xludf.DUMMYFUNCTION("IF
(
G14732=""фізична особа""
,
VLOOKUP(H14732,IMPORTRANGE(""https://docs.google.com/spreadsheets/d/14Bd19lYaqBhU8_DElYkX7l4wRkHqqCUFNJY4AfY3kHU/edit?usp=sharing  #gid=0"",""фіз особи new!relations_name""),6,FALSE)
,
(IF
(
G14732=""юридична особа""
,
VLOO"&amp;"KUP(H14732,IMPORTRANGE(""https://docs.google.com/spreadsheets/d/14Bd19lYaqBhU8_DElYkX7l4wRkHqqCUFNJY4AfY3kHU/edit?usp=sharing  #gid=0"",""фіз особи new!relations_name_uo""),7,FALSE)
,
)
))"),"#N/A")</f>
        <v>#N/A</v>
      </c>
      <c r="J14731" s="7" t="s">
        <v>23</v>
      </c>
    </row>
    <row r="14732" spans="1:10" ht="13.2">
      <c r="A14732" s="7">
        <v>14731</v>
      </c>
      <c r="B14732" s="7">
        <v>1</v>
      </c>
      <c r="C14732" s="7" t="s">
        <v>10</v>
      </c>
      <c r="D14732" s="7">
        <v>19487</v>
      </c>
      <c r="E14732" s="7" t="s">
        <v>23</v>
      </c>
      <c r="F14732" s="8" t="str">
        <f ca="1">IFERROR(__xludf.DUMMYFUNCTION("IF
(
C14733=""фізична особа""
,
VLOOKUP(D14733,IMPORTRANGE(""https://docs.google.com/spreadsheets/d/14Bd19lYaqBhU8_DElYkX7l4wRkHqqCUFNJY4AfY3kHU/edit?usp=sharing  #gid=0"",""фіз особи new!relations_name""),6,FALSE)
,
(IF
(
C14733=""юридична особа""
,
VLOO"&amp;"KUP(D14733,IMPORTRANGE(""https://docs.google.com/spreadsheets/d/14Bd19lYaqBhU8_DElYkX7l4wRkHqqCUFNJY4AfY3kHU/edit?usp=sharing  #gid=0"",""фіз особи new!relations_name_uo""),7,FALSE)
,
)
))"),"СПІРІН Микола Іванович")</f>
        <v>СПІРІН Микола Іванович</v>
      </c>
      <c r="G14732" s="7" t="s">
        <v>10</v>
      </c>
      <c r="H14732" s="7">
        <v>19483</v>
      </c>
      <c r="I14732" s="8" t="str">
        <f ca="1">IFERROR(__xludf.DUMMYFUNCTION("IF
(
G14733=""фізична особа""
,
VLOOKUP(H14733,IMPORTRANGE(""https://docs.google.com/spreadsheets/d/14Bd19lYaqBhU8_DElYkX7l4wRkHqqCUFNJY4AfY3kHU/edit?usp=sharing  #gid=0"",""фіз особи new!relations_name""),6,FALSE)
,
(IF
(
G14733=""юридична особа""
,
VLOO"&amp;"KUP(H14733,IMPORTRANGE(""https://docs.google.com/spreadsheets/d/14Bd19lYaqBhU8_DElYkX7l4wRkHqqCUFNJY4AfY3kHU/edit?usp=sharing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32" s="7" t="s">
        <v>23</v>
      </c>
    </row>
    <row r="14733" spans="1:10" ht="13.2">
      <c r="A14733" s="7">
        <v>14732</v>
      </c>
      <c r="B14733" s="7">
        <v>1</v>
      </c>
      <c r="C14733" s="7" t="s">
        <v>10</v>
      </c>
      <c r="D14733" s="7">
        <v>19488</v>
      </c>
      <c r="E14733" s="7" t="s">
        <v>12</v>
      </c>
      <c r="F14733" s="8" t="str">
        <f ca="1">IFERROR(__xludf.DUMMYFUNCTION("IF
(
C14734=""фізична особа""
,
VLOOKUP(D14734,IMPORTRANGE(""https://docs.google.com/spreadsheets/d/14Bd19lYaqBhU8_DElYkX7l4wRkHqqCUFNJY4AfY3kHU/edit?usp=sharing  #gid=0"",""фіз особи new!relations_name""),6,FALSE)
,
(IF
(
C14734=""юридична особа""
,
VLOO"&amp;"KUP(D14734,IMPORTRANGE(""https://docs.google.com/spreadsheets/d/14Bd19lYaqBhU8_DElYkX7l4wRkHqqCUFNJY4AfY3kHU/edit?usp=sharing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3" s="7" t="s">
        <v>10</v>
      </c>
      <c r="H14733" s="7">
        <v>19489</v>
      </c>
      <c r="I14733" s="8" t="str">
        <f ca="1">IFERROR(__xludf.DUMMYFUNCTION("IF
(
G14734=""фізична особа""
,
VLOOKUP(H14734,IMPORTRANGE(""https://docs.google.com/spreadsheets/d/14Bd19lYaqBhU8_DElYkX7l4wRkHqqCUFNJY4AfY3kHU/edit?usp=sharing  #gid=0"",""фіз особи new!relations_name""),6,FALSE)
,
(IF
(
G14734=""юридична особа""
,
VLOO"&amp;"KUP(H14734,IMPORTRANGE(""https://docs.google.com/spreadsheets/d/14Bd19lYaqBhU8_DElYkX7l4wRkHqqCUFNJY4AfY3kHU/edit?usp=sharing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J14733" s="7" t="s">
        <v>17</v>
      </c>
    </row>
    <row r="14734" spans="1:10" ht="13.2">
      <c r="A14734" s="7">
        <v>14733</v>
      </c>
      <c r="B14734" s="7">
        <v>1</v>
      </c>
      <c r="C14734" s="7" t="s">
        <v>10</v>
      </c>
      <c r="D14734" s="7">
        <v>19488</v>
      </c>
      <c r="E14734" s="7" t="s">
        <v>23</v>
      </c>
      <c r="F14734" s="8" t="str">
        <f ca="1">IFERROR(__xludf.DUMMYFUNCTION("IF
(
C14735=""фізична особа""
,
VLOOKUP(D14735,IMPORTRANGE(""https://docs.google.com/spreadsheets/d/14Bd19lYaqBhU8_DElYkX7l4wRkHqqCUFNJY4AfY3kHU/edit?usp=sharing  #gid=0"",""фіз особи new!relations_name""),6,FALSE)
,
(IF
(
C14735=""юридична особа""
,
VLOO"&amp;"KUP(D14735,IMPORTRANGE(""https://docs.google.com/spreadsheets/d/14Bd19lYaqBhU8_DElYkX7l4wRkHqqCUFNJY4AfY3kHU/edit?usp=sharing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4" s="7" t="s">
        <v>10</v>
      </c>
      <c r="H14734" s="7">
        <v>23709</v>
      </c>
      <c r="I14734" s="8" t="str">
        <f ca="1">IFERROR(__xludf.DUMMYFUNCTION("IF
(
G14735=""фізична особа""
,
VLOOKUP(H14735,IMPORTRANGE(""https://docs.google.com/spreadsheets/d/14Bd19lYaqBhU8_DElYkX7l4wRkHqqCUFNJY4AfY3kHU/edit?usp=sharing  #gid=0"",""фіз особи new!relations_name""),6,FALSE)
,
(IF
(
G14735=""юридична особа""
,
VLOO"&amp;"KUP(H14735,IMPORTRANGE(""https://docs.google.com/spreadsheets/d/14Bd19lYaqBhU8_DElYkX7l4wRkHqqCUFNJY4AfY3kHU/edit?usp=sharing  #gid=0"",""фіз особи new!relations_name_uo""),7,FALSE)
,
)
))"),"КАРПЕНКО Сергій Петрович")</f>
        <v>КАРПЕНКО Сергій Петрович</v>
      </c>
      <c r="J14734" s="7" t="s">
        <v>23</v>
      </c>
    </row>
    <row r="14735" spans="1:10" ht="13.2">
      <c r="A14735" s="7">
        <v>14734</v>
      </c>
      <c r="B14735" s="7">
        <v>1</v>
      </c>
      <c r="C14735" s="7" t="s">
        <v>10</v>
      </c>
      <c r="D14735" s="7">
        <v>19488</v>
      </c>
      <c r="E14735" s="7" t="s">
        <v>23</v>
      </c>
      <c r="F14735" s="8" t="str">
        <f ca="1">IFERROR(__xludf.DUMMYFUNCTION("IF
(
C14736=""фізична особа""
,
VLOOKUP(D14736,IMPORTRANGE(""https://docs.google.com/spreadsheets/d/14Bd19lYaqBhU8_DElYkX7l4wRkHqqCUFNJY4AfY3kHU/edit?usp=sharing  #gid=0"",""фіз особи new!relations_name""),6,FALSE)
,
(IF
(
C14736=""юридична особа""
,
VLOO"&amp;"KUP(D14736,IMPORTRANGE(""https://docs.google.com/spreadsheets/d/14Bd19lYaqBhU8_DElYkX7l4wRkHqqCUFNJY4AfY3kHU/edit?usp=sharing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5" s="7" t="s">
        <v>10</v>
      </c>
      <c r="H14735" s="7">
        <v>23710</v>
      </c>
      <c r="I14735" s="8" t="str">
        <f ca="1">IFERROR(__xludf.DUMMYFUNCTION("IF
(
G14736=""фізична особа""
,
VLOOKUP(H14736,IMPORTRANGE(""https://docs.google.com/spreadsheets/d/14Bd19lYaqBhU8_DElYkX7l4wRkHqqCUFNJY4AfY3kHU/edit?usp=sharing  #gid=0"",""фіз особи new!relations_name""),6,FALSE)
,
(IF
(
G14736=""юридична особа""
,
VLOO"&amp;"KUP(H14736,IMPORTRANGE(""https://docs.google.com/spreadsheets/d/14Bd19lYaqBhU8_DElYkX7l4wRkHqqCUFNJY4AfY3kHU/edit?usp=sharing  #gid=0"",""фіз особи new!relations_name_uo""),7,FALSE)
,
)
))"),"ОККЕЛЬ Богдан Володимирович")</f>
        <v>ОККЕЛЬ Богдан Володимирович</v>
      </c>
      <c r="J14735" s="7" t="s">
        <v>23</v>
      </c>
    </row>
    <row r="14736" spans="1:10" ht="13.2">
      <c r="A14736" s="7">
        <v>14735</v>
      </c>
      <c r="B14736" s="7">
        <v>1</v>
      </c>
      <c r="C14736" s="7" t="s">
        <v>10</v>
      </c>
      <c r="D14736" s="7">
        <v>19488</v>
      </c>
      <c r="E14736" s="7" t="s">
        <v>23</v>
      </c>
      <c r="F14736" s="8" t="str">
        <f ca="1">IFERROR(__xludf.DUMMYFUNCTION("IF
(
C14737=""фізична особа""
,
VLOOKUP(D14737,IMPORTRANGE(""https://docs.google.com/spreadsheets/d/14Bd19lYaqBhU8_DElYkX7l4wRkHqqCUFNJY4AfY3kHU/edit?usp=sharing  #gid=0"",""фіз особи new!relations_name""),6,FALSE)
,
(IF
(
C14737=""юридична особа""
,
VLOO"&amp;"KUP(D14737,IMPORTRANGE(""https://docs.google.com/spreadsheets/d/14Bd19lYaqBhU8_DElYkX7l4wRkHqqCUFNJY4AfY3kHU/edit?usp=sharing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6" s="7" t="s">
        <v>10</v>
      </c>
      <c r="H14736" s="7">
        <v>23711</v>
      </c>
      <c r="I14736" s="8" t="str">
        <f ca="1">IFERROR(__xludf.DUMMYFUNCTION("IF
(
G14737=""фізична особа""
,
VLOOKUP(H14737,IMPORTRANGE(""https://docs.google.com/spreadsheets/d/14Bd19lYaqBhU8_DElYkX7l4wRkHqqCUFNJY4AfY3kHU/edit?usp=sharing  #gid=0"",""фіз особи new!relations_name""),6,FALSE)
,
(IF
(
G14737=""юридична особа""
,
VLOO"&amp;"KUP(H14737,IMPORTRANGE(""https://docs.google.com/spreadsheets/d/14Bd19lYaqBhU8_DElYkX7l4wRkHqqCUFNJY4AfY3kHU/edit?usp=sharing  #gid=0"",""фіз особи new!relations_name_uo""),7,FALSE)
,
)
))"),"ПРИЛУЦЬКА Любов Семенівна")</f>
        <v>ПРИЛУЦЬКА Любов Семенівна</v>
      </c>
      <c r="J14736" s="7" t="s">
        <v>23</v>
      </c>
    </row>
    <row r="14737" spans="1:10" ht="13.2">
      <c r="A14737" s="7">
        <v>14736</v>
      </c>
      <c r="B14737" s="7">
        <v>1</v>
      </c>
      <c r="C14737" s="7" t="s">
        <v>10</v>
      </c>
      <c r="D14737" s="7">
        <v>19488</v>
      </c>
      <c r="E14737" s="7" t="s">
        <v>23</v>
      </c>
      <c r="F14737" s="8" t="str">
        <f ca="1">IFERROR(__xludf.DUMMYFUNCTION("IF
(
C14738=""фізична особа""
,
VLOOKUP(D14738,IMPORTRANGE(""https://docs.google.com/spreadsheets/d/14Bd19lYaqBhU8_DElYkX7l4wRkHqqCUFNJY4AfY3kHU/edit?usp=sharing  #gid=0"",""фіз особи new!relations_name""),6,FALSE)
,
(IF
(
C14738=""юридична особа""
,
VLOO"&amp;"KUP(D14738,IMPORTRANGE(""https://docs.google.com/spreadsheets/d/14Bd19lYaqBhU8_DElYkX7l4wRkHqqCUFNJY4AfY3kHU/edit?usp=sharing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7" s="7" t="s">
        <v>10</v>
      </c>
      <c r="H14737" s="7">
        <v>19491</v>
      </c>
      <c r="I14737" s="8" t="str">
        <f ca="1">IFERROR(__xludf.DUMMYFUNCTION("IF
(
G14738=""фізична особа""
,
VLOOKUP(H14738,IMPORTRANGE(""https://docs.google.com/spreadsheets/d/14Bd19lYaqBhU8_DElYkX7l4wRkHqqCUFNJY4AfY3kHU/edit?usp=sharing  #gid=0"",""фіз особи new!relations_name""),6,FALSE)
,
(IF
(
G14738=""юридична особа""
,
VLOO"&amp;"KUP(H14738,IMPORTRANGE(""https://docs.google.com/spreadsheets/d/14Bd19lYaqBhU8_DElYkX7l4wRkHqqCUFNJY4AfY3kHU/edit?usp=sharing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J14737" s="7" t="s">
        <v>23</v>
      </c>
    </row>
    <row r="14738" spans="1:10" ht="13.2">
      <c r="A14738" s="7">
        <v>14737</v>
      </c>
      <c r="B14738" s="7">
        <v>1</v>
      </c>
      <c r="C14738" s="7" t="s">
        <v>10</v>
      </c>
      <c r="D14738" s="7">
        <v>19488</v>
      </c>
      <c r="E14738" s="7" t="s">
        <v>23</v>
      </c>
      <c r="F14738" s="8" t="str">
        <f ca="1">IFERROR(__xludf.DUMMYFUNCTION("IF
(
C14739=""фізична особа""
,
VLOOKUP(D14739,IMPORTRANGE(""https://docs.google.com/spreadsheets/d/14Bd19lYaqBhU8_DElYkX7l4wRkHqqCUFNJY4AfY3kHU/edit?usp=sharing  #gid=0"",""фіз особи new!relations_name""),6,FALSE)
,
(IF
(
C14739=""юридична особа""
,
VLOO"&amp;"KUP(D14739,IMPORTRANGE(""https://docs.google.com/spreadsheets/d/14Bd19lYaqBhU8_DElYkX7l4wRkHqqCUFNJY4AfY3kHU/edit?usp=sharing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8" s="7" t="s">
        <v>10</v>
      </c>
      <c r="H14738" s="7">
        <v>19483</v>
      </c>
      <c r="I14738" s="8" t="str">
        <f ca="1">IFERROR(__xludf.DUMMYFUNCTION("IF
(
G14739=""фізична особа""
,
VLOOKUP(H14739,IMPORTRANGE(""https://docs.google.com/spreadsheets/d/14Bd19lYaqBhU8_DElYkX7l4wRkHqqCUFNJY4AfY3kHU/edit?usp=sharing  #gid=0"",""фіз особи new!relations_name""),6,FALSE)
,
(IF
(
G14739=""юридична особа""
,
VLOO"&amp;"KUP(H14739,IMPORTRANGE(""https://docs.google.com/spreadsheets/d/14Bd19lYaqBhU8_DElYkX7l4wRkHqqCUFNJY4AfY3kHU/edit?usp=sharing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38" s="7" t="s">
        <v>23</v>
      </c>
    </row>
    <row r="14739" spans="1:10" ht="13.2">
      <c r="A14739" s="7">
        <v>14738</v>
      </c>
      <c r="B14739" s="7">
        <v>1</v>
      </c>
      <c r="C14739" s="7" t="s">
        <v>10</v>
      </c>
      <c r="D14739" s="7">
        <v>19488</v>
      </c>
      <c r="E14739" s="7" t="s">
        <v>23</v>
      </c>
      <c r="F14739" s="8" t="str">
        <f ca="1">IFERROR(__xludf.DUMMYFUNCTION("IF
(
C14740=""фізична особа""
,
VLOOKUP(D14740,IMPORTRANGE(""https://docs.google.com/spreadsheets/d/14Bd19lYaqBhU8_DElYkX7l4wRkHqqCUFNJY4AfY3kHU/edit?usp=sharing  #gid=0"",""фіз особи new!relations_name""),6,FALSE)
,
(IF
(
C14740=""юридична особа""
,
VLOO"&amp;"KUP(D14740,IMPORTRANGE(""https://docs.google.com/spreadsheets/d/14Bd19lYaqBhU8_DElYkX7l4wRkHqqCUFNJY4AfY3kHU/edit?usp=sharing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G14739" s="7" t="s">
        <v>10</v>
      </c>
      <c r="H14739" s="7">
        <v>19486</v>
      </c>
      <c r="I14739" s="8" t="str">
        <f ca="1">IFERROR(__xludf.DUMMYFUNCTION("IF
(
G14740=""фізична особа""
,
VLOOKUP(H14740,IMPORTRANGE(""https://docs.google.com/spreadsheets/d/14Bd19lYaqBhU8_DElYkX7l4wRkHqqCUFNJY4AfY3kHU/edit?usp=sharing  #gid=0"",""фіз особи new!relations_name""),6,FALSE)
,
(IF
(
G14740=""юридична особа""
,
VLOO"&amp;"KUP(H14740,IMPORTRANGE(""https://docs.google.com/spreadsheets/d/14Bd19lYaqBhU8_DElYkX7l4wRkHqqCUFNJY4AfY3kHU/edit?usp=sharing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39" s="7" t="s">
        <v>23</v>
      </c>
    </row>
    <row r="14740" spans="1:10" ht="13.2">
      <c r="A14740" s="7">
        <v>14739</v>
      </c>
      <c r="B14740" s="7">
        <v>1</v>
      </c>
      <c r="C14740" s="7" t="s">
        <v>10</v>
      </c>
      <c r="D14740" s="7">
        <v>19489</v>
      </c>
      <c r="E14740" s="7" t="s">
        <v>17</v>
      </c>
      <c r="F14740" s="8" t="str">
        <f ca="1">IFERROR(__xludf.DUMMYFUNCTION("IF
(
C14741=""фізична особа""
,
VLOOKUP(D14741,IMPORTRANGE(""https://docs.google.com/spreadsheets/d/14Bd19lYaqBhU8_DElYkX7l4wRkHqqCUFNJY4AfY3kHU/edit?usp=sharing  #gid=0"",""фіз особи new!relations_name""),6,FALSE)
,
(IF
(
C14741=""юридична особа""
,
VLOO"&amp;"KUP(D14741,IMPORTRANGE(""https://docs.google.com/spreadsheets/d/14Bd19lYaqBhU8_DElYkX7l4wRkHqqCUFNJY4AfY3kHU/edit?usp=sharing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0" s="7" t="s">
        <v>10</v>
      </c>
      <c r="H14740" s="7">
        <v>19488</v>
      </c>
      <c r="I14740" s="8" t="str">
        <f ca="1">IFERROR(__xludf.DUMMYFUNCTION("IF
(
G14741=""фізична особа""
,
VLOOKUP(H14741,IMPORTRANGE(""https://docs.google.com/spreadsheets/d/14Bd19lYaqBhU8_DElYkX7l4wRkHqqCUFNJY4AfY3kHU/edit?usp=sharing  #gid=0"",""фіз особи new!relations_name""),6,FALSE)
,
(IF
(
G14741=""юридична особа""
,
VLOO"&amp;"KUP(H14741,IMPORTRANGE(""https://docs.google.com/spreadsheets/d/14Bd19lYaqBhU8_DElYkX7l4wRkHqqCUFNJY4AfY3kHU/edit?usp=sharing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J14740" s="7" t="s">
        <v>12</v>
      </c>
    </row>
    <row r="14741" spans="1:10" ht="13.2">
      <c r="A14741" s="7">
        <v>14740</v>
      </c>
      <c r="B14741" s="7">
        <v>1</v>
      </c>
      <c r="C14741" s="7" t="s">
        <v>10</v>
      </c>
      <c r="D14741" s="7">
        <v>19489</v>
      </c>
      <c r="E14741" s="7" t="s">
        <v>23</v>
      </c>
      <c r="F14741" s="8" t="str">
        <f ca="1">IFERROR(__xludf.DUMMYFUNCTION("IF
(
C14742=""фізична особа""
,
VLOOKUP(D14742,IMPORTRANGE(""https://docs.google.com/spreadsheets/d/14Bd19lYaqBhU8_DElYkX7l4wRkHqqCUFNJY4AfY3kHU/edit?usp=sharing  #gid=0"",""фіз особи new!relations_name""),6,FALSE)
,
(IF
(
C14742=""юридична особа""
,
VLOO"&amp;"KUP(D14742,IMPORTRANGE(""https://docs.google.com/spreadsheets/d/14Bd19lYaqBhU8_DElYkX7l4wRkHqqCUFNJY4AfY3kHU/edit?usp=sharing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1" s="7" t="s">
        <v>10</v>
      </c>
      <c r="H14741" s="7">
        <v>19483</v>
      </c>
      <c r="I14741" s="8" t="str">
        <f ca="1">IFERROR(__xludf.DUMMYFUNCTION("IF
(
G14742=""фізична особа""
,
VLOOKUP(H14742,IMPORTRANGE(""https://docs.google.com/spreadsheets/d/14Bd19lYaqBhU8_DElYkX7l4wRkHqqCUFNJY4AfY3kHU/edit?usp=sharing  #gid=0"",""фіз особи new!relations_name""),6,FALSE)
,
(IF
(
G14742=""юридична особа""
,
VLOO"&amp;"KUP(H14742,IMPORTRANGE(""https://docs.google.com/spreadsheets/d/14Bd19lYaqBhU8_DElYkX7l4wRkHqqCUFNJY4AfY3kHU/edit?usp=sharing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41" s="7" t="s">
        <v>23</v>
      </c>
    </row>
    <row r="14742" spans="1:10" ht="13.2">
      <c r="A14742" s="7">
        <v>14741</v>
      </c>
      <c r="B14742" s="7">
        <v>1</v>
      </c>
      <c r="C14742" s="7" t="s">
        <v>10</v>
      </c>
      <c r="D14742" s="7">
        <v>19489</v>
      </c>
      <c r="E14742" s="7" t="s">
        <v>23</v>
      </c>
      <c r="F14742" s="8" t="str">
        <f ca="1">IFERROR(__xludf.DUMMYFUNCTION("IF
(
C14743=""фізична особа""
,
VLOOKUP(D14743,IMPORTRANGE(""https://docs.google.com/spreadsheets/d/14Bd19lYaqBhU8_DElYkX7l4wRkHqqCUFNJY4AfY3kHU/edit?usp=sharing  #gid=0"",""фіз особи new!relations_name""),6,FALSE)
,
(IF
(
C14743=""юридична особа""
,
VLOO"&amp;"KUP(D14743,IMPORTRANGE(""https://docs.google.com/spreadsheets/d/14Bd19lYaqBhU8_DElYkX7l4wRkHqqCUFNJY4AfY3kHU/edit?usp=sharing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2" s="7" t="s">
        <v>10</v>
      </c>
      <c r="H14742" s="7">
        <v>0</v>
      </c>
      <c r="I14742" s="8" t="str">
        <f ca="1">IFERROR(__xludf.DUMMYFUNCTION("IF
(
G14743=""фізична особа""
,
VLOOKUP(H14743,IMPORTRANGE(""https://docs.google.com/spreadsheets/d/14Bd19lYaqBhU8_DElYkX7l4wRkHqqCUFNJY4AfY3kHU/edit?usp=sharing  #gid=0"",""фіз особи new!relations_name""),6,FALSE)
,
(IF
(
G14743=""юридична особа""
,
VLOO"&amp;"KUP(H14743,IMPORTRANGE(""https://docs.google.com/spreadsheets/d/14Bd19lYaqBhU8_DElYkX7l4wRkHqqCUFNJY4AfY3kHU/edit?usp=sharing  #gid=0"",""фіз особи new!relations_name_uo""),7,FALSE)
,
)
))"),"#N/A")</f>
        <v>#N/A</v>
      </c>
      <c r="J14742" s="7" t="s">
        <v>23</v>
      </c>
    </row>
    <row r="14743" spans="1:10" ht="13.2">
      <c r="A14743" s="7">
        <v>14742</v>
      </c>
      <c r="B14743" s="7">
        <v>1</v>
      </c>
      <c r="C14743" s="7" t="s">
        <v>10</v>
      </c>
      <c r="D14743" s="7">
        <v>19489</v>
      </c>
      <c r="E14743" s="7" t="s">
        <v>23</v>
      </c>
      <c r="F14743" s="8" t="str">
        <f ca="1">IFERROR(__xludf.DUMMYFUNCTION("IF
(
C14744=""фізична особа""
,
VLOOKUP(D14744,IMPORTRANGE(""https://docs.google.com/spreadsheets/d/14Bd19lYaqBhU8_DElYkX7l4wRkHqqCUFNJY4AfY3kHU/edit?usp=sharing  #gid=0"",""фіз особи new!relations_name""),6,FALSE)
,
(IF
(
C14744=""юридична особа""
,
VLOO"&amp;"KUP(D14744,IMPORTRANGE(""https://docs.google.com/spreadsheets/d/14Bd19lYaqBhU8_DElYkX7l4wRkHqqCUFNJY4AfY3kHU/edit?usp=sharing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3" s="7" t="s">
        <v>10</v>
      </c>
      <c r="H14743" s="7">
        <v>0</v>
      </c>
      <c r="I14743" s="8" t="str">
        <f ca="1">IFERROR(__xludf.DUMMYFUNCTION("IF
(
G14744=""фізична особа""
,
VLOOKUP(H14744,IMPORTRANGE(""https://docs.google.com/spreadsheets/d/14Bd19lYaqBhU8_DElYkX7l4wRkHqqCUFNJY4AfY3kHU/edit?usp=sharing  #gid=0"",""фіз особи new!relations_name""),6,FALSE)
,
(IF
(
G14744=""юридична особа""
,
VLOO"&amp;"KUP(H14744,IMPORTRANGE(""https://docs.google.com/spreadsheets/d/14Bd19lYaqBhU8_DElYkX7l4wRkHqqCUFNJY4AfY3kHU/edit?usp=sharing  #gid=0"",""фіз особи new!relations_name_uo""),7,FALSE)
,
)
))"),"#N/A")</f>
        <v>#N/A</v>
      </c>
      <c r="J14743" s="7" t="s">
        <v>23</v>
      </c>
    </row>
    <row r="14744" spans="1:10" ht="13.2">
      <c r="A14744" s="7">
        <v>14743</v>
      </c>
      <c r="B14744" s="7">
        <v>1</v>
      </c>
      <c r="C14744" s="7" t="s">
        <v>10</v>
      </c>
      <c r="D14744" s="7">
        <v>19489</v>
      </c>
      <c r="E14744" s="7" t="s">
        <v>23</v>
      </c>
      <c r="F14744" s="8" t="str">
        <f ca="1">IFERROR(__xludf.DUMMYFUNCTION("IF
(
C14745=""фізична особа""
,
VLOOKUP(D14745,IMPORTRANGE(""https://docs.google.com/spreadsheets/d/14Bd19lYaqBhU8_DElYkX7l4wRkHqqCUFNJY4AfY3kHU/edit?usp=sharing  #gid=0"",""фіз особи new!relations_name""),6,FALSE)
,
(IF
(
C14745=""юридична особа""
,
VLOO"&amp;"KUP(D14745,IMPORTRANGE(""https://docs.google.com/spreadsheets/d/14Bd19lYaqBhU8_DElYkX7l4wRkHqqCUFNJY4AfY3kHU/edit?usp=sharing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4" s="7" t="s">
        <v>10</v>
      </c>
      <c r="H14744" s="7">
        <v>0</v>
      </c>
      <c r="I14744" s="8" t="str">
        <f ca="1">IFERROR(__xludf.DUMMYFUNCTION("IF
(
G14745=""фізична особа""
,
VLOOKUP(H14745,IMPORTRANGE(""https://docs.google.com/spreadsheets/d/14Bd19lYaqBhU8_DElYkX7l4wRkHqqCUFNJY4AfY3kHU/edit?usp=sharing  #gid=0"",""фіз особи new!relations_name""),6,FALSE)
,
(IF
(
G14745=""юридична особа""
,
VLOO"&amp;"KUP(H14745,IMPORTRANGE(""https://docs.google.com/spreadsheets/d/14Bd19lYaqBhU8_DElYkX7l4wRkHqqCUFNJY4AfY3kHU/edit?usp=sharing  #gid=0"",""фіз особи new!relations_name_uo""),7,FALSE)
,
)
))"),"#N/A")</f>
        <v>#N/A</v>
      </c>
      <c r="J14744" s="7" t="s">
        <v>23</v>
      </c>
    </row>
    <row r="14745" spans="1:10" ht="13.2">
      <c r="A14745" s="7">
        <v>14744</v>
      </c>
      <c r="B14745" s="7">
        <v>1</v>
      </c>
      <c r="C14745" s="7" t="s">
        <v>10</v>
      </c>
      <c r="D14745" s="7">
        <v>19489</v>
      </c>
      <c r="E14745" s="7" t="s">
        <v>23</v>
      </c>
      <c r="F14745" s="8" t="str">
        <f ca="1">IFERROR(__xludf.DUMMYFUNCTION("IF
(
C14746=""фізична особа""
,
VLOOKUP(D14746,IMPORTRANGE(""https://docs.google.com/spreadsheets/d/14Bd19lYaqBhU8_DElYkX7l4wRkHqqCUFNJY4AfY3kHU/edit?usp=sharing  #gid=0"",""фіз особи new!relations_name""),6,FALSE)
,
(IF
(
C14746=""юридична особа""
,
VLOO"&amp;"KUP(D14746,IMPORTRANGE(""https://docs.google.com/spreadsheets/d/14Bd19lYaqBhU8_DElYkX7l4wRkHqqCUFNJY4AfY3kHU/edit?usp=sharing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5" s="7" t="s">
        <v>10</v>
      </c>
      <c r="H14745" s="7">
        <v>0</v>
      </c>
      <c r="I14745" s="8" t="str">
        <f ca="1">IFERROR(__xludf.DUMMYFUNCTION("IF
(
G14746=""фізична особа""
,
VLOOKUP(H14746,IMPORTRANGE(""https://docs.google.com/spreadsheets/d/14Bd19lYaqBhU8_DElYkX7l4wRkHqqCUFNJY4AfY3kHU/edit?usp=sharing  #gid=0"",""фіз особи new!relations_name""),6,FALSE)
,
(IF
(
G14746=""юридична особа""
,
VLOO"&amp;"KUP(H14746,IMPORTRANGE(""https://docs.google.com/spreadsheets/d/14Bd19lYaqBhU8_DElYkX7l4wRkHqqCUFNJY4AfY3kHU/edit?usp=sharing  #gid=0"",""фіз особи new!relations_name_uo""),7,FALSE)
,
)
))"),"#N/A")</f>
        <v>#N/A</v>
      </c>
      <c r="J14745" s="7" t="s">
        <v>23</v>
      </c>
    </row>
    <row r="14746" spans="1:10" ht="13.2">
      <c r="A14746" s="7">
        <v>14745</v>
      </c>
      <c r="B14746" s="7">
        <v>1</v>
      </c>
      <c r="C14746" s="7" t="s">
        <v>10</v>
      </c>
      <c r="D14746" s="7">
        <v>19489</v>
      </c>
      <c r="E14746" s="7" t="s">
        <v>23</v>
      </c>
      <c r="F14746" s="8" t="str">
        <f ca="1">IFERROR(__xludf.DUMMYFUNCTION("IF
(
C14747=""фізична особа""
,
VLOOKUP(D14747,IMPORTRANGE(""https://docs.google.com/spreadsheets/d/14Bd19lYaqBhU8_DElYkX7l4wRkHqqCUFNJY4AfY3kHU/edit?usp=sharing  #gid=0"",""фіз особи new!relations_name""),6,FALSE)
,
(IF
(
C14747=""юридична особа""
,
VLOO"&amp;"KUP(D14747,IMPORTRANGE(""https://docs.google.com/spreadsheets/d/14Bd19lYaqBhU8_DElYkX7l4wRkHqqCUFNJY4AfY3kHU/edit?usp=sharing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6" s="7" t="s">
        <v>10</v>
      </c>
      <c r="H14746" s="7">
        <v>0</v>
      </c>
      <c r="I14746" s="8" t="str">
        <f ca="1">IFERROR(__xludf.DUMMYFUNCTION("IF
(
G14747=""фізична особа""
,
VLOOKUP(H14747,IMPORTRANGE(""https://docs.google.com/spreadsheets/d/14Bd19lYaqBhU8_DElYkX7l4wRkHqqCUFNJY4AfY3kHU/edit?usp=sharing  #gid=0"",""фіз особи new!relations_name""),6,FALSE)
,
(IF
(
G14747=""юридична особа""
,
VLOO"&amp;"KUP(H14747,IMPORTRANGE(""https://docs.google.com/spreadsheets/d/14Bd19lYaqBhU8_DElYkX7l4wRkHqqCUFNJY4AfY3kHU/edit?usp=sharing  #gid=0"",""фіз особи new!relations_name_uo""),7,FALSE)
,
)
))"),"#N/A")</f>
        <v>#N/A</v>
      </c>
      <c r="J14746" s="7" t="s">
        <v>23</v>
      </c>
    </row>
    <row r="14747" spans="1:10" ht="13.2">
      <c r="A14747" s="7">
        <v>14746</v>
      </c>
      <c r="B14747" s="7">
        <v>1</v>
      </c>
      <c r="C14747" s="7" t="s">
        <v>10</v>
      </c>
      <c r="D14747" s="7">
        <v>19489</v>
      </c>
      <c r="E14747" s="7" t="s">
        <v>23</v>
      </c>
      <c r="F14747" s="8" t="str">
        <f ca="1">IFERROR(__xludf.DUMMYFUNCTION("IF
(
C14748=""фізична особа""
,
VLOOKUP(D14748,IMPORTRANGE(""https://docs.google.com/spreadsheets/d/14Bd19lYaqBhU8_DElYkX7l4wRkHqqCUFNJY4AfY3kHU/edit?usp=sharing  #gid=0"",""фіз особи new!relations_name""),6,FALSE)
,
(IF
(
C14748=""юридична особа""
,
VLOO"&amp;"KUP(D14748,IMPORTRANGE(""https://docs.google.com/spreadsheets/d/14Bd19lYaqBhU8_DElYkX7l4wRkHqqCUFNJY4AfY3kHU/edit?usp=sharing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7" s="7" t="s">
        <v>10</v>
      </c>
      <c r="H14747" s="7">
        <v>0</v>
      </c>
      <c r="I14747" s="8" t="str">
        <f ca="1">IFERROR(__xludf.DUMMYFUNCTION("IF
(
G14748=""фізична особа""
,
VLOOKUP(H14748,IMPORTRANGE(""https://docs.google.com/spreadsheets/d/14Bd19lYaqBhU8_DElYkX7l4wRkHqqCUFNJY4AfY3kHU/edit?usp=sharing  #gid=0"",""фіз особи new!relations_name""),6,FALSE)
,
(IF
(
G14748=""юридична особа""
,
VLOO"&amp;"KUP(H14748,IMPORTRANGE(""https://docs.google.com/spreadsheets/d/14Bd19lYaqBhU8_DElYkX7l4wRkHqqCUFNJY4AfY3kHU/edit?usp=sharing  #gid=0"",""фіз особи new!relations_name_uo""),7,FALSE)
,
)
))"),"#N/A")</f>
        <v>#N/A</v>
      </c>
      <c r="J14747" s="7" t="s">
        <v>23</v>
      </c>
    </row>
    <row r="14748" spans="1:10" ht="13.2">
      <c r="A14748" s="7">
        <v>14747</v>
      </c>
      <c r="B14748" s="7">
        <v>1</v>
      </c>
      <c r="C14748" s="7" t="s">
        <v>10</v>
      </c>
      <c r="D14748" s="7">
        <v>19489</v>
      </c>
      <c r="E14748" s="7" t="s">
        <v>23</v>
      </c>
      <c r="F14748" s="8" t="str">
        <f ca="1">IFERROR(__xludf.DUMMYFUNCTION("IF
(
C14749=""фізична особа""
,
VLOOKUP(D14749,IMPORTRANGE(""https://docs.google.com/spreadsheets/d/14Bd19lYaqBhU8_DElYkX7l4wRkHqqCUFNJY4AfY3kHU/edit?usp=sharing  #gid=0"",""фіз особи new!relations_name""),6,FALSE)
,
(IF
(
C14749=""юридична особа""
,
VLOO"&amp;"KUP(D14749,IMPORTRANGE(""https://docs.google.com/spreadsheets/d/14Bd19lYaqBhU8_DElYkX7l4wRkHqqCUFNJY4AfY3kHU/edit?usp=sharing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8" s="7" t="s">
        <v>10</v>
      </c>
      <c r="H14748" s="7">
        <v>0</v>
      </c>
      <c r="I14748" s="8" t="str">
        <f ca="1">IFERROR(__xludf.DUMMYFUNCTION("IF
(
G14749=""фізична особа""
,
VLOOKUP(H14749,IMPORTRANGE(""https://docs.google.com/spreadsheets/d/14Bd19lYaqBhU8_DElYkX7l4wRkHqqCUFNJY4AfY3kHU/edit?usp=sharing  #gid=0"",""фіз особи new!relations_name""),6,FALSE)
,
(IF
(
G14749=""юридична особа""
,
VLOO"&amp;"KUP(H14749,IMPORTRANGE(""https://docs.google.com/spreadsheets/d/14Bd19lYaqBhU8_DElYkX7l4wRkHqqCUFNJY4AfY3kHU/edit?usp=sharing  #gid=0"",""фіз особи new!relations_name_uo""),7,FALSE)
,
)
))"),"#N/A")</f>
        <v>#N/A</v>
      </c>
      <c r="J14748" s="7" t="s">
        <v>23</v>
      </c>
    </row>
    <row r="14749" spans="1:10" ht="13.2">
      <c r="A14749" s="7">
        <v>14748</v>
      </c>
      <c r="B14749" s="7">
        <v>1</v>
      </c>
      <c r="C14749" s="7" t="s">
        <v>10</v>
      </c>
      <c r="D14749" s="7">
        <v>19489</v>
      </c>
      <c r="E14749" s="7" t="s">
        <v>23</v>
      </c>
      <c r="F14749" s="8" t="str">
        <f ca="1">IFERROR(__xludf.DUMMYFUNCTION("IF
(
C14750=""фізична особа""
,
VLOOKUP(D14750,IMPORTRANGE(""https://docs.google.com/spreadsheets/d/14Bd19lYaqBhU8_DElYkX7l4wRkHqqCUFNJY4AfY3kHU/edit?usp=sharing  #gid=0"",""фіз особи new!relations_name""),6,FALSE)
,
(IF
(
C14750=""юридична особа""
,
VLOO"&amp;"KUP(D14750,IMPORTRANGE(""https://docs.google.com/spreadsheets/d/14Bd19lYaqBhU8_DElYkX7l4wRkHqqCUFNJY4AfY3kHU/edit?usp=sharing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49" s="7" t="s">
        <v>10</v>
      </c>
      <c r="H14749" s="7">
        <v>0</v>
      </c>
      <c r="I14749" s="8" t="str">
        <f ca="1">IFERROR(__xludf.DUMMYFUNCTION("IF
(
G14750=""фізична особа""
,
VLOOKUP(H14750,IMPORTRANGE(""https://docs.google.com/spreadsheets/d/14Bd19lYaqBhU8_DElYkX7l4wRkHqqCUFNJY4AfY3kHU/edit?usp=sharing  #gid=0"",""фіз особи new!relations_name""),6,FALSE)
,
(IF
(
G14750=""юридична особа""
,
VLOO"&amp;"KUP(H14750,IMPORTRANGE(""https://docs.google.com/spreadsheets/d/14Bd19lYaqBhU8_DElYkX7l4wRkHqqCUFNJY4AfY3kHU/edit?usp=sharing  #gid=0"",""фіз особи new!relations_name_uo""),7,FALSE)
,
)
))"),"#N/A")</f>
        <v>#N/A</v>
      </c>
      <c r="J14749" s="7" t="s">
        <v>23</v>
      </c>
    </row>
    <row r="14750" spans="1:10" ht="13.2">
      <c r="A14750" s="7">
        <v>14749</v>
      </c>
      <c r="B14750" s="7">
        <v>1</v>
      </c>
      <c r="C14750" s="7" t="s">
        <v>10</v>
      </c>
      <c r="D14750" s="7">
        <v>19489</v>
      </c>
      <c r="E14750" s="7" t="s">
        <v>23</v>
      </c>
      <c r="F14750" s="8" t="str">
        <f ca="1">IFERROR(__xludf.DUMMYFUNCTION("IF
(
C14751=""фізична особа""
,
VLOOKUP(D14751,IMPORTRANGE(""https://docs.google.com/spreadsheets/d/14Bd19lYaqBhU8_DElYkX7l4wRkHqqCUFNJY4AfY3kHU/edit?usp=sharing  #gid=0"",""фіз особи new!relations_name""),6,FALSE)
,
(IF
(
C14751=""юридична особа""
,
VLOO"&amp;"KUP(D14751,IMPORTRANGE(""https://docs.google.com/spreadsheets/d/14Bd19lYaqBhU8_DElYkX7l4wRkHqqCUFNJY4AfY3kHU/edit?usp=sharing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50" s="7" t="s">
        <v>10</v>
      </c>
      <c r="H14750" s="7">
        <v>0</v>
      </c>
      <c r="I14750" s="8" t="str">
        <f ca="1">IFERROR(__xludf.DUMMYFUNCTION("IF
(
G14751=""фізична особа""
,
VLOOKUP(H14751,IMPORTRANGE(""https://docs.google.com/spreadsheets/d/14Bd19lYaqBhU8_DElYkX7l4wRkHqqCUFNJY4AfY3kHU/edit?usp=sharing  #gid=0"",""фіз особи new!relations_name""),6,FALSE)
,
(IF
(
G14751=""юридична особа""
,
VLOO"&amp;"KUP(H14751,IMPORTRANGE(""https://docs.google.com/spreadsheets/d/14Bd19lYaqBhU8_DElYkX7l4wRkHqqCUFNJY4AfY3kHU/edit?usp=sharing  #gid=0"",""фіз особи new!relations_name_uo""),7,FALSE)
,
)
))"),"#N/A")</f>
        <v>#N/A</v>
      </c>
      <c r="J14750" s="7" t="s">
        <v>23</v>
      </c>
    </row>
    <row r="14751" spans="1:10" ht="13.2">
      <c r="A14751" s="7">
        <v>14750</v>
      </c>
      <c r="B14751" s="7">
        <v>1</v>
      </c>
      <c r="C14751" s="7" t="s">
        <v>10</v>
      </c>
      <c r="D14751" s="7">
        <v>19489</v>
      </c>
      <c r="E14751" s="7" t="s">
        <v>23</v>
      </c>
      <c r="F14751" s="8" t="str">
        <f ca="1">IFERROR(__xludf.DUMMYFUNCTION("IF
(
C14752=""фізична особа""
,
VLOOKUP(D14752,IMPORTRANGE(""https://docs.google.com/spreadsheets/d/14Bd19lYaqBhU8_DElYkX7l4wRkHqqCUFNJY4AfY3kHU/edit?usp=sharing  #gid=0"",""фіз особи new!relations_name""),6,FALSE)
,
(IF
(
C14752=""юридична особа""
,
VLOO"&amp;"KUP(D14752,IMPORTRANGE(""https://docs.google.com/spreadsheets/d/14Bd19lYaqBhU8_DElYkX7l4wRkHqqCUFNJY4AfY3kHU/edit?usp=sharing  #gid=0"",""фіз особи new!relations_name_uo""),7,FALSE)
,
)
))"),"КНОЛЬ Антон Володимирович")</f>
        <v>КНОЛЬ Антон Володимирович</v>
      </c>
      <c r="G14751" s="7" t="s">
        <v>10</v>
      </c>
      <c r="H14751" s="7">
        <v>0</v>
      </c>
      <c r="I14751" s="8" t="str">
        <f ca="1">IFERROR(__xludf.DUMMYFUNCTION("IF
(
G14752=""фізична особа""
,
VLOOKUP(H14752,IMPORTRANGE(""https://docs.google.com/spreadsheets/d/14Bd19lYaqBhU8_DElYkX7l4wRkHqqCUFNJY4AfY3kHU/edit?usp=sharing  #gid=0"",""фіз особи new!relations_name""),6,FALSE)
,
(IF
(
G14752=""юридична особа""
,
VLOO"&amp;"KUP(H14752,IMPORTRANGE(""https://docs.google.com/spreadsheets/d/14Bd19lYaqBhU8_DElYkX7l4wRkHqqCUFNJY4AfY3kHU/edit?usp=sharing  #gid=0"",""фіз особи new!relations_name_uo""),7,FALSE)
,
)
))"),"#N/A")</f>
        <v>#N/A</v>
      </c>
      <c r="J14751" s="7" t="s">
        <v>23</v>
      </c>
    </row>
    <row r="14752" spans="1:10" ht="13.2">
      <c r="A14752" s="7">
        <v>14751</v>
      </c>
      <c r="B14752" s="7">
        <v>1</v>
      </c>
      <c r="C14752" s="7" t="s">
        <v>10</v>
      </c>
      <c r="D14752" s="7">
        <v>19490</v>
      </c>
      <c r="E14752" s="7" t="s">
        <v>23</v>
      </c>
      <c r="F14752" s="8" t="str">
        <f ca="1">IFERROR(__xludf.DUMMYFUNCTION("IF
(
C14753=""фізична особа""
,
VLOOKUP(D14753,IMPORTRANGE(""https://docs.google.com/spreadsheets/d/14Bd19lYaqBhU8_DElYkX7l4wRkHqqCUFNJY4AfY3kHU/edit?usp=sharing  #gid=0"",""фіз особи new!relations_name""),6,FALSE)
,
(IF
(
C14753=""юридична особа""
,
VLOO"&amp;"KUP(D14753,IMPORTRANGE(""https://docs.google.com/spreadsheets/d/14Bd19lYaqBhU8_DElYkX7l4wRkHqqCUFNJY4AfY3kHU/edit?usp=sharing  #gid=0"",""фіз особи new!relations_name_uo""),7,FALSE)
,
)
))"),"ВАСЕЧКО Дмитро Юрійович")</f>
        <v>ВАСЕЧКО Дмитро Юрійович</v>
      </c>
      <c r="G14752" s="7" t="s">
        <v>10</v>
      </c>
      <c r="H14752" s="7">
        <v>19483</v>
      </c>
      <c r="I14752" s="8" t="str">
        <f ca="1">IFERROR(__xludf.DUMMYFUNCTION("IF
(
G14753=""фізична особа""
,
VLOOKUP(H14753,IMPORTRANGE(""https://docs.google.com/spreadsheets/d/14Bd19lYaqBhU8_DElYkX7l4wRkHqqCUFNJY4AfY3kHU/edit?usp=sharing  #gid=0"",""фіз особи new!relations_name""),6,FALSE)
,
(IF
(
G14753=""юридична особа""
,
VLOO"&amp;"KUP(H14753,IMPORTRANGE(""https://docs.google.com/spreadsheets/d/14Bd19lYaqBhU8_DElYkX7l4wRkHqqCUFNJY4AfY3kHU/edit?usp=sharing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52" s="7" t="s">
        <v>23</v>
      </c>
    </row>
    <row r="14753" spans="1:10" ht="13.2">
      <c r="A14753" s="7">
        <v>14752</v>
      </c>
      <c r="B14753" s="7">
        <v>1</v>
      </c>
      <c r="C14753" s="7" t="s">
        <v>10</v>
      </c>
      <c r="D14753" s="7">
        <v>19491</v>
      </c>
      <c r="E14753" s="7" t="s">
        <v>23</v>
      </c>
      <c r="F14753" s="8" t="str">
        <f ca="1">IFERROR(__xludf.DUMMYFUNCTION("IF
(
C14754=""фізична особа""
,
VLOOKUP(D14754,IMPORTRANGE(""https://docs.google.com/spreadsheets/d/14Bd19lYaqBhU8_DElYkX7l4wRkHqqCUFNJY4AfY3kHU/edit?usp=sharing  #gid=0"",""фіз особи new!relations_name""),6,FALSE)
,
(IF
(
C14754=""юридична особа""
,
VLOO"&amp;"KUP(D14754,IMPORTRANGE(""https://docs.google.com/spreadsheets/d/14Bd19lYaqBhU8_DElYkX7l4wRkHqqCUFNJY4AfY3kHU/edit?usp=sharing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3" s="7" t="s">
        <v>10</v>
      </c>
      <c r="H14753" s="7">
        <v>19483</v>
      </c>
      <c r="I14753" s="8" t="str">
        <f ca="1">IFERROR(__xludf.DUMMYFUNCTION("IF
(
G14754=""фізична особа""
,
VLOOKUP(H14754,IMPORTRANGE(""https://docs.google.com/spreadsheets/d/14Bd19lYaqBhU8_DElYkX7l4wRkHqqCUFNJY4AfY3kHU/edit?usp=sharing  #gid=0"",""фіз особи new!relations_name""),6,FALSE)
,
(IF
(
G14754=""юридична особа""
,
VLOO"&amp;"KUP(H14754,IMPORTRANGE(""https://docs.google.com/spreadsheets/d/14Bd19lYaqBhU8_DElYkX7l4wRkHqqCUFNJY4AfY3kHU/edit?usp=sharing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53" s="7" t="s">
        <v>23</v>
      </c>
    </row>
    <row r="14754" spans="1:10" ht="13.2">
      <c r="A14754" s="7">
        <v>14753</v>
      </c>
      <c r="B14754" s="7">
        <v>1</v>
      </c>
      <c r="C14754" s="7" t="s">
        <v>10</v>
      </c>
      <c r="D14754" s="7">
        <v>19491</v>
      </c>
      <c r="E14754" s="7" t="s">
        <v>23</v>
      </c>
      <c r="F14754" s="8" t="str">
        <f ca="1">IFERROR(__xludf.DUMMYFUNCTION("IF
(
C14755=""фізична особа""
,
VLOOKUP(D14755,IMPORTRANGE(""https://docs.google.com/spreadsheets/d/14Bd19lYaqBhU8_DElYkX7l4wRkHqqCUFNJY4AfY3kHU/edit?usp=sharing  #gid=0"",""фіз особи new!relations_name""),6,FALSE)
,
(IF
(
C14755=""юридична особа""
,
VLOO"&amp;"KUP(D14755,IMPORTRANGE(""https://docs.google.com/spreadsheets/d/14Bd19lYaqBhU8_DElYkX7l4wRkHqqCUFNJY4AfY3kHU/edit?usp=sharing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4" s="7" t="s">
        <v>10</v>
      </c>
      <c r="H14754" s="7">
        <v>23711</v>
      </c>
      <c r="I14754" s="8" t="str">
        <f ca="1">IFERROR(__xludf.DUMMYFUNCTION("IF
(
G14755=""фізична особа""
,
VLOOKUP(H14755,IMPORTRANGE(""https://docs.google.com/spreadsheets/d/14Bd19lYaqBhU8_DElYkX7l4wRkHqqCUFNJY4AfY3kHU/edit?usp=sharing  #gid=0"",""фіз особи new!relations_name""),6,FALSE)
,
(IF
(
G14755=""юридична особа""
,
VLOO"&amp;"KUP(H14755,IMPORTRANGE(""https://docs.google.com/spreadsheets/d/14Bd19lYaqBhU8_DElYkX7l4wRkHqqCUFNJY4AfY3kHU/edit?usp=sharing  #gid=0"",""фіз особи new!relations_name_uo""),7,FALSE)
,
)
))"),"ПРИЛУЦЬКА Любов Семенівна")</f>
        <v>ПРИЛУЦЬКА Любов Семенівна</v>
      </c>
      <c r="J14754" s="7" t="s">
        <v>23</v>
      </c>
    </row>
    <row r="14755" spans="1:10" ht="13.2">
      <c r="A14755" s="7">
        <v>14754</v>
      </c>
      <c r="B14755" s="7">
        <v>1</v>
      </c>
      <c r="C14755" s="7" t="s">
        <v>10</v>
      </c>
      <c r="D14755" s="7">
        <v>19491</v>
      </c>
      <c r="E14755" s="7" t="s">
        <v>23</v>
      </c>
      <c r="F14755" s="8" t="str">
        <f ca="1">IFERROR(__xludf.DUMMYFUNCTION("IF
(
C14756=""фізична особа""
,
VLOOKUP(D14756,IMPORTRANGE(""https://docs.google.com/spreadsheets/d/14Bd19lYaqBhU8_DElYkX7l4wRkHqqCUFNJY4AfY3kHU/edit?usp=sharing  #gid=0"",""фіз особи new!relations_name""),6,FALSE)
,
(IF
(
C14756=""юридична особа""
,
VLOO"&amp;"KUP(D14756,IMPORTRANGE(""https://docs.google.com/spreadsheets/d/14Bd19lYaqBhU8_DElYkX7l4wRkHqqCUFNJY4AfY3kHU/edit?usp=sharing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5" s="7" t="s">
        <v>10</v>
      </c>
      <c r="H14755" s="7">
        <v>0</v>
      </c>
      <c r="I14755" s="8" t="str">
        <f ca="1">IFERROR(__xludf.DUMMYFUNCTION("IF
(
G14756=""фізична особа""
,
VLOOKUP(H14756,IMPORTRANGE(""https://docs.google.com/spreadsheets/d/14Bd19lYaqBhU8_DElYkX7l4wRkHqqCUFNJY4AfY3kHU/edit?usp=sharing  #gid=0"",""фіз особи new!relations_name""),6,FALSE)
,
(IF
(
G14756=""юридична особа""
,
VLOO"&amp;"KUP(H14756,IMPORTRANGE(""https://docs.google.com/spreadsheets/d/14Bd19lYaqBhU8_DElYkX7l4wRkHqqCUFNJY4AfY3kHU/edit?usp=sharing  #gid=0"",""фіз особи new!relations_name_uo""),7,FALSE)
,
)
))"),"#N/A")</f>
        <v>#N/A</v>
      </c>
      <c r="J14755" s="7" t="s">
        <v>23</v>
      </c>
    </row>
    <row r="14756" spans="1:10" ht="13.2">
      <c r="A14756" s="7">
        <v>14755</v>
      </c>
      <c r="B14756" s="7">
        <v>1</v>
      </c>
      <c r="C14756" s="7" t="s">
        <v>10</v>
      </c>
      <c r="D14756" s="7">
        <v>19491</v>
      </c>
      <c r="E14756" s="7" t="s">
        <v>23</v>
      </c>
      <c r="F14756" s="8" t="str">
        <f ca="1">IFERROR(__xludf.DUMMYFUNCTION("IF
(
C14757=""фізична особа""
,
VLOOKUP(D14757,IMPORTRANGE(""https://docs.google.com/spreadsheets/d/14Bd19lYaqBhU8_DElYkX7l4wRkHqqCUFNJY4AfY3kHU/edit?usp=sharing  #gid=0"",""фіз особи new!relations_name""),6,FALSE)
,
(IF
(
C14757=""юридична особа""
,
VLOO"&amp;"KUP(D14757,IMPORTRANGE(""https://docs.google.com/spreadsheets/d/14Bd19lYaqBhU8_DElYkX7l4wRkHqqCUFNJY4AfY3kHU/edit?usp=sharing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6" s="7" t="s">
        <v>10</v>
      </c>
      <c r="H14756" s="7">
        <v>23709</v>
      </c>
      <c r="I14756" s="8" t="str">
        <f ca="1">IFERROR(__xludf.DUMMYFUNCTION("IF
(
G14757=""фізична особа""
,
VLOOKUP(H14757,IMPORTRANGE(""https://docs.google.com/spreadsheets/d/14Bd19lYaqBhU8_DElYkX7l4wRkHqqCUFNJY4AfY3kHU/edit?usp=sharing  #gid=0"",""фіз особи new!relations_name""),6,FALSE)
,
(IF
(
G14757=""юридична особа""
,
VLOO"&amp;"KUP(H14757,IMPORTRANGE(""https://docs.google.com/spreadsheets/d/14Bd19lYaqBhU8_DElYkX7l4wRkHqqCUFNJY4AfY3kHU/edit?usp=sharing  #gid=0"",""фіз особи new!relations_name_uo""),7,FALSE)
,
)
))"),"КАРПЕНКО Сергій Петрович")</f>
        <v>КАРПЕНКО Сергій Петрович</v>
      </c>
      <c r="J14756" s="7" t="s">
        <v>23</v>
      </c>
    </row>
    <row r="14757" spans="1:10" ht="13.2">
      <c r="A14757" s="7">
        <v>14756</v>
      </c>
      <c r="B14757" s="7">
        <v>1</v>
      </c>
      <c r="C14757" s="7" t="s">
        <v>10</v>
      </c>
      <c r="D14757" s="7">
        <v>19491</v>
      </c>
      <c r="E14757" s="7" t="s">
        <v>23</v>
      </c>
      <c r="F14757" s="8" t="str">
        <f ca="1">IFERROR(__xludf.DUMMYFUNCTION("IF
(
C14758=""фізична особа""
,
VLOOKUP(D14758,IMPORTRANGE(""https://docs.google.com/spreadsheets/d/14Bd19lYaqBhU8_DElYkX7l4wRkHqqCUFNJY4AfY3kHU/edit?usp=sharing  #gid=0"",""фіз особи new!relations_name""),6,FALSE)
,
(IF
(
C14758=""юридична особа""
,
VLOO"&amp;"KUP(D14758,IMPORTRANGE(""https://docs.google.com/spreadsheets/d/14Bd19lYaqBhU8_DElYkX7l4wRkHqqCUFNJY4AfY3kHU/edit?usp=sharing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7" s="7" t="s">
        <v>10</v>
      </c>
      <c r="H14757" s="7">
        <v>19488</v>
      </c>
      <c r="I14757" s="8" t="str">
        <f ca="1">IFERROR(__xludf.DUMMYFUNCTION("IF
(
G14758=""фізична особа""
,
VLOOKUP(H14758,IMPORTRANGE(""https://docs.google.com/spreadsheets/d/14Bd19lYaqBhU8_DElYkX7l4wRkHqqCUFNJY4AfY3kHU/edit?usp=sharing  #gid=0"",""фіз особи new!relations_name""),6,FALSE)
,
(IF
(
G14758=""юридична особа""
,
VLOO"&amp;"KUP(H14758,IMPORTRANGE(""https://docs.google.com/spreadsheets/d/14Bd19lYaqBhU8_DElYkX7l4wRkHqqCUFNJY4AfY3kHU/edit?usp=sharing  #gid=0"",""фіз особи new!relations_name_uo""),7,FALSE)
,
)
))"),"КНОЛЬ Володимир Антонович")</f>
        <v>КНОЛЬ Володимир Антонович</v>
      </c>
      <c r="J14757" s="7" t="s">
        <v>23</v>
      </c>
    </row>
    <row r="14758" spans="1:10" ht="13.2">
      <c r="A14758" s="7">
        <v>14757</v>
      </c>
      <c r="B14758" s="7">
        <v>1</v>
      </c>
      <c r="C14758" s="7" t="s">
        <v>10</v>
      </c>
      <c r="D14758" s="7">
        <v>19491</v>
      </c>
      <c r="E14758" s="7" t="s">
        <v>23</v>
      </c>
      <c r="F14758" s="8" t="str">
        <f ca="1">IFERROR(__xludf.DUMMYFUNCTION("IF
(
C14759=""фізична особа""
,
VLOOKUP(D14759,IMPORTRANGE(""https://docs.google.com/spreadsheets/d/14Bd19lYaqBhU8_DElYkX7l4wRkHqqCUFNJY4AfY3kHU/edit?usp=sharing  #gid=0"",""фіз особи new!relations_name""),6,FALSE)
,
(IF
(
C14759=""юридична особа""
,
VLOO"&amp;"KUP(D14759,IMPORTRANGE(""https://docs.google.com/spreadsheets/d/14Bd19lYaqBhU8_DElYkX7l4wRkHqqCUFNJY4AfY3kHU/edit?usp=sharing  #gid=0"",""фіз особи new!relations_name_uo""),7,FALSE)
,
)
))"),"ПРЕЦ Володимир Адамович")</f>
        <v>ПРЕЦ Володимир Адамович</v>
      </c>
      <c r="G14758" s="7" t="s">
        <v>10</v>
      </c>
      <c r="H14758" s="7">
        <v>23710</v>
      </c>
      <c r="I14758" s="8" t="str">
        <f ca="1">IFERROR(__xludf.DUMMYFUNCTION("IF
(
G14759=""фізична особа""
,
VLOOKUP(H14759,IMPORTRANGE(""https://docs.google.com/spreadsheets/d/14Bd19lYaqBhU8_DElYkX7l4wRkHqqCUFNJY4AfY3kHU/edit?usp=sharing  #gid=0"",""фіз особи new!relations_name""),6,FALSE)
,
(IF
(
G14759=""юридична особа""
,
VLOO"&amp;"KUP(H14759,IMPORTRANGE(""https://docs.google.com/spreadsheets/d/14Bd19lYaqBhU8_DElYkX7l4wRkHqqCUFNJY4AfY3kHU/edit?usp=sharing  #gid=0"",""фіз особи new!relations_name_uo""),7,FALSE)
,
)
))"),"ОККЕЛЬ Богдан Володимирович")</f>
        <v>ОККЕЛЬ Богдан Володимирович</v>
      </c>
      <c r="J14758" s="7" t="s">
        <v>23</v>
      </c>
    </row>
    <row r="14759" spans="1:10" ht="13.2">
      <c r="A14759" s="7">
        <v>14758</v>
      </c>
      <c r="B14759" s="7">
        <v>1</v>
      </c>
      <c r="C14759" s="7" t="s">
        <v>10</v>
      </c>
      <c r="D14759" s="7">
        <v>19492</v>
      </c>
      <c r="E14759" s="7" t="s">
        <v>23</v>
      </c>
      <c r="F14759" s="8" t="str">
        <f ca="1">IFERROR(__xludf.DUMMYFUNCTION("IF
(
C14760=""фізична особа""
,
VLOOKUP(D14760,IMPORTRANGE(""https://docs.google.com/spreadsheets/d/14Bd19lYaqBhU8_DElYkX7l4wRkHqqCUFNJY4AfY3kHU/edit?usp=sharing  #gid=0"",""фіз особи new!relations_name""),6,FALSE)
,
(IF
(
C14760=""юридична особа""
,
VLOO"&amp;"KUP(D14760,IMPORTRANGE(""https://docs.google.com/spreadsheets/d/14Bd19lYaqBhU8_DElYkX7l4wRkHqqCUFNJY4AfY3kHU/edit?usp=sharing  #gid=0"",""фіз особи new!relations_name_uo""),7,FALSE)
,
)
))"),"ШЕРЕНКОВ Микола Петрович")</f>
        <v>ШЕРЕНКОВ Микола Петрович</v>
      </c>
      <c r="G14759" s="7" t="s">
        <v>10</v>
      </c>
      <c r="H14759" s="7">
        <v>19483</v>
      </c>
      <c r="I14759" s="8" t="str">
        <f ca="1">IFERROR(__xludf.DUMMYFUNCTION("IF
(
G14760=""фізична особа""
,
VLOOKUP(H14760,IMPORTRANGE(""https://docs.google.com/spreadsheets/d/14Bd19lYaqBhU8_DElYkX7l4wRkHqqCUFNJY4AfY3kHU/edit?usp=sharing  #gid=0"",""фіз особи new!relations_name""),6,FALSE)
,
(IF
(
G14760=""юридична особа""
,
VLOO"&amp;"KUP(H14760,IMPORTRANGE(""https://docs.google.com/spreadsheets/d/14Bd19lYaqBhU8_DElYkX7l4wRkHqqCUFNJY4AfY3kHU/edit?usp=sharing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59" s="7" t="s">
        <v>23</v>
      </c>
    </row>
    <row r="14760" spans="1:10" ht="13.2">
      <c r="A14760" s="7">
        <v>14759</v>
      </c>
      <c r="B14760" s="7">
        <v>1</v>
      </c>
      <c r="C14760" s="7" t="s">
        <v>10</v>
      </c>
      <c r="D14760" s="7">
        <v>19492</v>
      </c>
      <c r="E14760" s="7" t="s">
        <v>12</v>
      </c>
      <c r="F14760" s="8" t="str">
        <f ca="1">IFERROR(__xludf.DUMMYFUNCTION("IF
(
C14761=""фізична особа""
,
VLOOKUP(D14761,IMPORTRANGE(""https://docs.google.com/spreadsheets/d/14Bd19lYaqBhU8_DElYkX7l4wRkHqqCUFNJY4AfY3kHU/edit?usp=sharing  #gid=0"",""фіз особи new!relations_name""),6,FALSE)
,
(IF
(
C14761=""юридична особа""
,
VLOO"&amp;"KUP(D14761,IMPORTRANGE(""https://docs.google.com/spreadsheets/d/14Bd19lYaqBhU8_DElYkX7l4wRkHqqCUFNJY4AfY3kHU/edit?usp=sharing  #gid=0"",""фіз особи new!relations_name_uo""),7,FALSE)
,
)
))"),"ШЕРЕНКОВ Микола Петрович")</f>
        <v>ШЕРЕНКОВ Микола Петрович</v>
      </c>
      <c r="G14760" s="7" t="s">
        <v>10</v>
      </c>
      <c r="H14760" s="7">
        <v>0</v>
      </c>
      <c r="I14760" s="8" t="str">
        <f ca="1">IFERROR(__xludf.DUMMYFUNCTION("IF
(
G14761=""фізична особа""
,
VLOOKUP(H14761,IMPORTRANGE(""https://docs.google.com/spreadsheets/d/14Bd19lYaqBhU8_DElYkX7l4wRkHqqCUFNJY4AfY3kHU/edit?usp=sharing  #gid=0"",""фіз особи new!relations_name""),6,FALSE)
,
(IF
(
G14761=""юридична особа""
,
VLOO"&amp;"KUP(H14761,IMPORTRANGE(""https://docs.google.com/spreadsheets/d/14Bd19lYaqBhU8_DElYkX7l4wRkHqqCUFNJY4AfY3kHU/edit?usp=sharing  #gid=0"",""фіз особи new!relations_name_uo""),7,FALSE)
,
)
))"),"#N/A")</f>
        <v>#N/A</v>
      </c>
      <c r="J14760" s="7" t="s">
        <v>17</v>
      </c>
    </row>
    <row r="14761" spans="1:10" ht="13.2">
      <c r="A14761" s="7">
        <v>14760</v>
      </c>
      <c r="B14761" s="7">
        <v>1</v>
      </c>
      <c r="C14761" s="7" t="s">
        <v>10</v>
      </c>
      <c r="D14761" s="7">
        <v>19493</v>
      </c>
      <c r="E14761" s="7" t="s">
        <v>23</v>
      </c>
      <c r="F14761" s="8" t="str">
        <f ca="1">IFERROR(__xludf.DUMMYFUNCTION("IF
(
C14762=""фізична особа""
,
VLOOKUP(D14762,IMPORTRANGE(""https://docs.google.com/spreadsheets/d/14Bd19lYaqBhU8_DElYkX7l4wRkHqqCUFNJY4AfY3kHU/edit?usp=sharing  #gid=0"",""фіз особи new!relations_name""),6,FALSE)
,
(IF
(
C14762=""юридична особа""
,
VLOO"&amp;"KUP(D14762,IMPORTRANGE(""https://docs.google.com/spreadsheets/d/14Bd19lYaqBhU8_DElYkX7l4wRkHqqCUFNJY4AfY3kHU/edit?usp=sharing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1" s="7" t="s">
        <v>10</v>
      </c>
      <c r="H14761" s="7">
        <v>19483</v>
      </c>
      <c r="I14761" s="8" t="str">
        <f ca="1">IFERROR(__xludf.DUMMYFUNCTION("IF
(
G14762=""фізична особа""
,
VLOOKUP(H14762,IMPORTRANGE(""https://docs.google.com/spreadsheets/d/14Bd19lYaqBhU8_DElYkX7l4wRkHqqCUFNJY4AfY3kHU/edit?usp=sharing  #gid=0"",""фіз особи new!relations_name""),6,FALSE)
,
(IF
(
G14762=""юридична особа""
,
VLOO"&amp;"KUP(H14762,IMPORTRANGE(""https://docs.google.com/spreadsheets/d/14Bd19lYaqBhU8_DElYkX7l4wRkHqqCUFNJY4AfY3kHU/edit?usp=sharing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61" s="7" t="s">
        <v>23</v>
      </c>
    </row>
    <row r="14762" spans="1:10" ht="13.2">
      <c r="A14762" s="7">
        <v>14761</v>
      </c>
      <c r="B14762" s="7">
        <v>1</v>
      </c>
      <c r="C14762" s="7" t="s">
        <v>10</v>
      </c>
      <c r="D14762" s="7">
        <v>19493</v>
      </c>
      <c r="E14762" s="7" t="s">
        <v>21</v>
      </c>
      <c r="F14762" s="8" t="str">
        <f ca="1">IFERROR(__xludf.DUMMYFUNCTION("IF
(
C14763=""фізична особа""
,
VLOOKUP(D14763,IMPORTRANGE(""https://docs.google.com/spreadsheets/d/14Bd19lYaqBhU8_DElYkX7l4wRkHqqCUFNJY4AfY3kHU/edit?usp=sharing  #gid=0"",""фіз особи new!relations_name""),6,FALSE)
,
(IF
(
C14763=""юридична особа""
,
VLOO"&amp;"KUP(D14763,IMPORTRANGE(""https://docs.google.com/spreadsheets/d/14Bd19lYaqBhU8_DElYkX7l4wRkHqqCUFNJY4AfY3kHU/edit?usp=sharing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2" s="7" t="s">
        <v>10</v>
      </c>
      <c r="H14762" s="7">
        <v>0</v>
      </c>
      <c r="I14762" s="8" t="str">
        <f ca="1">IFERROR(__xludf.DUMMYFUNCTION("IF
(
G14763=""фізична особа""
,
VLOOKUP(H14763,IMPORTRANGE(""https://docs.google.com/spreadsheets/d/14Bd19lYaqBhU8_DElYkX7l4wRkHqqCUFNJY4AfY3kHU/edit?usp=sharing  #gid=0"",""фіз особи new!relations_name""),6,FALSE)
,
(IF
(
G14763=""юридична особа""
,
VLOO"&amp;"KUP(H14763,IMPORTRANGE(""https://docs.google.com/spreadsheets/d/14Bd19lYaqBhU8_DElYkX7l4wRkHqqCUFNJY4AfY3kHU/edit?usp=sharing  #gid=0"",""фіз особи new!relations_name_uo""),7,FALSE)
,
)
))"),"#N/A")</f>
        <v>#N/A</v>
      </c>
      <c r="J14762" s="7" t="s">
        <v>13</v>
      </c>
    </row>
    <row r="14763" spans="1:10" ht="13.2">
      <c r="A14763" s="7">
        <v>14762</v>
      </c>
      <c r="B14763" s="7">
        <v>1</v>
      </c>
      <c r="C14763" s="7" t="s">
        <v>10</v>
      </c>
      <c r="D14763" s="7">
        <v>19493</v>
      </c>
      <c r="E14763" s="7" t="s">
        <v>23</v>
      </c>
      <c r="F14763" s="8" t="str">
        <f ca="1">IFERROR(__xludf.DUMMYFUNCTION("IF
(
C14764=""фізична особа""
,
VLOOKUP(D14764,IMPORTRANGE(""https://docs.google.com/spreadsheets/d/14Bd19lYaqBhU8_DElYkX7l4wRkHqqCUFNJY4AfY3kHU/edit?usp=sharing  #gid=0"",""фіз особи new!relations_name""),6,FALSE)
,
(IF
(
C14764=""юридична особа""
,
VLOO"&amp;"KUP(D14764,IMPORTRANGE(""https://docs.google.com/spreadsheets/d/14Bd19lYaqBhU8_DElYkX7l4wRkHqqCUFNJY4AfY3kHU/edit?usp=sharing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3" s="7" t="s">
        <v>10</v>
      </c>
      <c r="H14763" s="7">
        <v>0</v>
      </c>
      <c r="I14763" s="8" t="str">
        <f ca="1">IFERROR(__xludf.DUMMYFUNCTION("IF
(
G14764=""фізична особа""
,
VLOOKUP(H14764,IMPORTRANGE(""https://docs.google.com/spreadsheets/d/14Bd19lYaqBhU8_DElYkX7l4wRkHqqCUFNJY4AfY3kHU/edit?usp=sharing  #gid=0"",""фіз особи new!relations_name""),6,FALSE)
,
(IF
(
G14764=""юридична особа""
,
VLOO"&amp;"KUP(H14764,IMPORTRANGE(""https://docs.google.com/spreadsheets/d/14Bd19lYaqBhU8_DElYkX7l4wRkHqqCUFNJY4AfY3kHU/edit?usp=sharing  #gid=0"",""фіз особи new!relations_name_uo""),7,FALSE)
,
)
))"),"#N/A")</f>
        <v>#N/A</v>
      </c>
      <c r="J14763" s="7" t="s">
        <v>23</v>
      </c>
    </row>
    <row r="14764" spans="1:10" ht="13.2">
      <c r="A14764" s="7">
        <v>14763</v>
      </c>
      <c r="B14764" s="7">
        <v>1</v>
      </c>
      <c r="C14764" s="7" t="s">
        <v>10</v>
      </c>
      <c r="D14764" s="7">
        <v>19493</v>
      </c>
      <c r="E14764" s="7" t="s">
        <v>23</v>
      </c>
      <c r="F14764" s="8" t="str">
        <f ca="1">IFERROR(__xludf.DUMMYFUNCTION("IF
(
C14765=""фізична особа""
,
VLOOKUP(D14765,IMPORTRANGE(""https://docs.google.com/spreadsheets/d/14Bd19lYaqBhU8_DElYkX7l4wRkHqqCUFNJY4AfY3kHU/edit?usp=sharing  #gid=0"",""фіз особи new!relations_name""),6,FALSE)
,
(IF
(
C14765=""юридична особа""
,
VLOO"&amp;"KUP(D14765,IMPORTRANGE(""https://docs.google.com/spreadsheets/d/14Bd19lYaqBhU8_DElYkX7l4wRkHqqCUFNJY4AfY3kHU/edit?usp=sharing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4" s="7" t="s">
        <v>10</v>
      </c>
      <c r="H14764" s="7">
        <v>0</v>
      </c>
      <c r="I14764" s="8" t="str">
        <f ca="1">IFERROR(__xludf.DUMMYFUNCTION("IF
(
G14765=""фізична особа""
,
VLOOKUP(H14765,IMPORTRANGE(""https://docs.google.com/spreadsheets/d/14Bd19lYaqBhU8_DElYkX7l4wRkHqqCUFNJY4AfY3kHU/edit?usp=sharing  #gid=0"",""фіз особи new!relations_name""),6,FALSE)
,
(IF
(
G14765=""юридична особа""
,
VLOO"&amp;"KUP(H14765,IMPORTRANGE(""https://docs.google.com/spreadsheets/d/14Bd19lYaqBhU8_DElYkX7l4wRkHqqCUFNJY4AfY3kHU/edit?usp=sharing  #gid=0"",""фіз особи new!relations_name_uo""),7,FALSE)
,
)
))"),"#N/A")</f>
        <v>#N/A</v>
      </c>
      <c r="J14764" s="7" t="s">
        <v>23</v>
      </c>
    </row>
    <row r="14765" spans="1:10" ht="13.2">
      <c r="A14765" s="7">
        <v>14764</v>
      </c>
      <c r="B14765" s="7">
        <v>1</v>
      </c>
      <c r="C14765" s="7" t="s">
        <v>10</v>
      </c>
      <c r="D14765" s="7">
        <v>19493</v>
      </c>
      <c r="E14765" s="7" t="s">
        <v>23</v>
      </c>
      <c r="F14765" s="8" t="str">
        <f ca="1">IFERROR(__xludf.DUMMYFUNCTION("IF
(
C14766=""фізична особа""
,
VLOOKUP(D14766,IMPORTRANGE(""https://docs.google.com/spreadsheets/d/14Bd19lYaqBhU8_DElYkX7l4wRkHqqCUFNJY4AfY3kHU/edit?usp=sharing  #gid=0"",""фіз особи new!relations_name""),6,FALSE)
,
(IF
(
C14766=""юридична особа""
,
VLOO"&amp;"KUP(D14766,IMPORTRANGE(""https://docs.google.com/spreadsheets/d/14Bd19lYaqBhU8_DElYkX7l4wRkHqqCUFNJY4AfY3kHU/edit?usp=sharing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5" s="7" t="s">
        <v>10</v>
      </c>
      <c r="H14765" s="7">
        <v>0</v>
      </c>
      <c r="I14765" s="8" t="str">
        <f ca="1">IFERROR(__xludf.DUMMYFUNCTION("IF
(
G14766=""фізична особа""
,
VLOOKUP(H14766,IMPORTRANGE(""https://docs.google.com/spreadsheets/d/14Bd19lYaqBhU8_DElYkX7l4wRkHqqCUFNJY4AfY3kHU/edit?usp=sharing  #gid=0"",""фіз особи new!relations_name""),6,FALSE)
,
(IF
(
G14766=""юридична особа""
,
VLOO"&amp;"KUP(H14766,IMPORTRANGE(""https://docs.google.com/spreadsheets/d/14Bd19lYaqBhU8_DElYkX7l4wRkHqqCUFNJY4AfY3kHU/edit?usp=sharing  #gid=0"",""фіз особи new!relations_name_uo""),7,FALSE)
,
)
))"),"#N/A")</f>
        <v>#N/A</v>
      </c>
      <c r="J14765" s="7" t="s">
        <v>23</v>
      </c>
    </row>
    <row r="14766" spans="1:10" ht="13.2">
      <c r="A14766" s="7">
        <v>14765</v>
      </c>
      <c r="B14766" s="7">
        <v>1</v>
      </c>
      <c r="C14766" s="7" t="s">
        <v>10</v>
      </c>
      <c r="D14766" s="7">
        <v>19493</v>
      </c>
      <c r="E14766" s="7" t="s">
        <v>23</v>
      </c>
      <c r="F14766" s="8" t="str">
        <f ca="1">IFERROR(__xludf.DUMMYFUNCTION("IF
(
C14767=""фізична особа""
,
VLOOKUP(D14767,IMPORTRANGE(""https://docs.google.com/spreadsheets/d/14Bd19lYaqBhU8_DElYkX7l4wRkHqqCUFNJY4AfY3kHU/edit?usp=sharing  #gid=0"",""фіз особи new!relations_name""),6,FALSE)
,
(IF
(
C14767=""юридична особа""
,
VLOO"&amp;"KUP(D14767,IMPORTRANGE(""https://docs.google.com/spreadsheets/d/14Bd19lYaqBhU8_DElYkX7l4wRkHqqCUFNJY4AfY3kHU/edit?usp=sharing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6" s="7" t="s">
        <v>10</v>
      </c>
      <c r="H14766" s="7">
        <v>0</v>
      </c>
      <c r="I14766" s="8" t="str">
        <f ca="1">IFERROR(__xludf.DUMMYFUNCTION("IF
(
G14767=""фізична особа""
,
VLOOKUP(H14767,IMPORTRANGE(""https://docs.google.com/spreadsheets/d/14Bd19lYaqBhU8_DElYkX7l4wRkHqqCUFNJY4AfY3kHU/edit?usp=sharing  #gid=0"",""фіз особи new!relations_name""),6,FALSE)
,
(IF
(
G14767=""юридична особа""
,
VLOO"&amp;"KUP(H14767,IMPORTRANGE(""https://docs.google.com/spreadsheets/d/14Bd19lYaqBhU8_DElYkX7l4wRkHqqCUFNJY4AfY3kHU/edit?usp=sharing  #gid=0"",""фіз особи new!relations_name_uo""),7,FALSE)
,
)
))"),"#N/A")</f>
        <v>#N/A</v>
      </c>
      <c r="J14766" s="7" t="s">
        <v>23</v>
      </c>
    </row>
    <row r="14767" spans="1:10" ht="13.2">
      <c r="A14767" s="7">
        <v>14766</v>
      </c>
      <c r="B14767" s="7">
        <v>1</v>
      </c>
      <c r="C14767" s="7" t="s">
        <v>10</v>
      </c>
      <c r="D14767" s="7">
        <v>19493</v>
      </c>
      <c r="E14767" s="7" t="s">
        <v>23</v>
      </c>
      <c r="F14767" s="8" t="str">
        <f ca="1">IFERROR(__xludf.DUMMYFUNCTION("IF
(
C14768=""фізична особа""
,
VLOOKUP(D14768,IMPORTRANGE(""https://docs.google.com/spreadsheets/d/14Bd19lYaqBhU8_DElYkX7l4wRkHqqCUFNJY4AfY3kHU/edit?usp=sharing  #gid=0"",""фіз особи new!relations_name""),6,FALSE)
,
(IF
(
C14768=""юридична особа""
,
VLOO"&amp;"KUP(D14768,IMPORTRANGE(""https://docs.google.com/spreadsheets/d/14Bd19lYaqBhU8_DElYkX7l4wRkHqqCUFNJY4AfY3kHU/edit?usp=sharing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7" s="7" t="s">
        <v>10</v>
      </c>
      <c r="H14767" s="7">
        <v>0</v>
      </c>
      <c r="I14767" s="8" t="str">
        <f ca="1">IFERROR(__xludf.DUMMYFUNCTION("IF
(
G14768=""фізична особа""
,
VLOOKUP(H14768,IMPORTRANGE(""https://docs.google.com/spreadsheets/d/14Bd19lYaqBhU8_DElYkX7l4wRkHqqCUFNJY4AfY3kHU/edit?usp=sharing  #gid=0"",""фіз особи new!relations_name""),6,FALSE)
,
(IF
(
G14768=""юридична особа""
,
VLOO"&amp;"KUP(H14768,IMPORTRANGE(""https://docs.google.com/spreadsheets/d/14Bd19lYaqBhU8_DElYkX7l4wRkHqqCUFNJY4AfY3kHU/edit?usp=sharing  #gid=0"",""фіз особи new!relations_name_uo""),7,FALSE)
,
)
))"),"#N/A")</f>
        <v>#N/A</v>
      </c>
      <c r="J14767" s="7" t="s">
        <v>23</v>
      </c>
    </row>
    <row r="14768" spans="1:10" ht="13.2">
      <c r="A14768" s="7">
        <v>14767</v>
      </c>
      <c r="B14768" s="7">
        <v>1</v>
      </c>
      <c r="C14768" s="7" t="s">
        <v>10</v>
      </c>
      <c r="D14768" s="7">
        <v>19493</v>
      </c>
      <c r="E14768" s="7" t="s">
        <v>23</v>
      </c>
      <c r="F14768" s="8" t="str">
        <f ca="1">IFERROR(__xludf.DUMMYFUNCTION("IF
(
C14769=""фізична особа""
,
VLOOKUP(D14769,IMPORTRANGE(""https://docs.google.com/spreadsheets/d/14Bd19lYaqBhU8_DElYkX7l4wRkHqqCUFNJY4AfY3kHU/edit?usp=sharing  #gid=0"",""фіз особи new!relations_name""),6,FALSE)
,
(IF
(
C14769=""юридична особа""
,
VLOO"&amp;"KUP(D14769,IMPORTRANGE(""https://docs.google.com/spreadsheets/d/14Bd19lYaqBhU8_DElYkX7l4wRkHqqCUFNJY4AfY3kHU/edit?usp=sharing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8" s="7" t="s">
        <v>10</v>
      </c>
      <c r="H14768" s="7">
        <v>0</v>
      </c>
      <c r="I14768" s="8" t="str">
        <f ca="1">IFERROR(__xludf.DUMMYFUNCTION("IF
(
G14769=""фізична особа""
,
VLOOKUP(H14769,IMPORTRANGE(""https://docs.google.com/spreadsheets/d/14Bd19lYaqBhU8_DElYkX7l4wRkHqqCUFNJY4AfY3kHU/edit?usp=sharing  #gid=0"",""фіз особи new!relations_name""),6,FALSE)
,
(IF
(
G14769=""юридична особа""
,
VLOO"&amp;"KUP(H14769,IMPORTRANGE(""https://docs.google.com/spreadsheets/d/14Bd19lYaqBhU8_DElYkX7l4wRkHqqCUFNJY4AfY3kHU/edit?usp=sharing  #gid=0"",""фіз особи new!relations_name_uo""),7,FALSE)
,
)
))"),"#N/A")</f>
        <v>#N/A</v>
      </c>
      <c r="J14768" s="7" t="s">
        <v>23</v>
      </c>
    </row>
    <row r="14769" spans="1:10" ht="13.2">
      <c r="A14769" s="7">
        <v>14768</v>
      </c>
      <c r="B14769" s="7">
        <v>1</v>
      </c>
      <c r="C14769" s="7" t="s">
        <v>10</v>
      </c>
      <c r="D14769" s="7">
        <v>19493</v>
      </c>
      <c r="E14769" s="7" t="s">
        <v>23</v>
      </c>
      <c r="F14769" s="8" t="str">
        <f ca="1">IFERROR(__xludf.DUMMYFUNCTION("IF
(
C14770=""фізична особа""
,
VLOOKUP(D14770,IMPORTRANGE(""https://docs.google.com/spreadsheets/d/14Bd19lYaqBhU8_DElYkX7l4wRkHqqCUFNJY4AfY3kHU/edit?usp=sharing  #gid=0"",""фіз особи new!relations_name""),6,FALSE)
,
(IF
(
C14770=""юридична особа""
,
VLOO"&amp;"KUP(D14770,IMPORTRANGE(""https://docs.google.com/spreadsheets/d/14Bd19lYaqBhU8_DElYkX7l4wRkHqqCUFNJY4AfY3kHU/edit?usp=sharing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69" s="7" t="s">
        <v>10</v>
      </c>
      <c r="H14769" s="7">
        <v>0</v>
      </c>
      <c r="I14769" s="8" t="str">
        <f ca="1">IFERROR(__xludf.DUMMYFUNCTION("IF
(
G14770=""фізична особа""
,
VLOOKUP(H14770,IMPORTRANGE(""https://docs.google.com/spreadsheets/d/14Bd19lYaqBhU8_DElYkX7l4wRkHqqCUFNJY4AfY3kHU/edit?usp=sharing  #gid=0"",""фіз особи new!relations_name""),6,FALSE)
,
(IF
(
G14770=""юридична особа""
,
VLOO"&amp;"KUP(H14770,IMPORTRANGE(""https://docs.google.com/spreadsheets/d/14Bd19lYaqBhU8_DElYkX7l4wRkHqqCUFNJY4AfY3kHU/edit?usp=sharing  #gid=0"",""фіз особи new!relations_name_uo""),7,FALSE)
,
)
))"),"#N/A")</f>
        <v>#N/A</v>
      </c>
      <c r="J14769" s="7" t="s">
        <v>23</v>
      </c>
    </row>
    <row r="14770" spans="1:10" ht="13.2">
      <c r="A14770" s="7">
        <v>14769</v>
      </c>
      <c r="B14770" s="7">
        <v>1</v>
      </c>
      <c r="C14770" s="7" t="s">
        <v>10</v>
      </c>
      <c r="D14770" s="7">
        <v>19493</v>
      </c>
      <c r="E14770" s="7" t="s">
        <v>23</v>
      </c>
      <c r="F14770" s="8" t="str">
        <f ca="1">IFERROR(__xludf.DUMMYFUNCTION("IF
(
C14771=""фізична особа""
,
VLOOKUP(D14771,IMPORTRANGE(""https://docs.google.com/spreadsheets/d/14Bd19lYaqBhU8_DElYkX7l4wRkHqqCUFNJY4AfY3kHU/edit?usp=sharing  #gid=0"",""фіз особи new!relations_name""),6,FALSE)
,
(IF
(
C14771=""юридична особа""
,
VLOO"&amp;"KUP(D14771,IMPORTRANGE(""https://docs.google.com/spreadsheets/d/14Bd19lYaqBhU8_DElYkX7l4wRkHqqCUFNJY4AfY3kHU/edit?usp=sharing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70" s="7" t="s">
        <v>10</v>
      </c>
      <c r="H14770" s="7">
        <v>0</v>
      </c>
      <c r="I14770" s="8" t="str">
        <f ca="1">IFERROR(__xludf.DUMMYFUNCTION("IF
(
G14771=""фізична особа""
,
VLOOKUP(H14771,IMPORTRANGE(""https://docs.google.com/spreadsheets/d/14Bd19lYaqBhU8_DElYkX7l4wRkHqqCUFNJY4AfY3kHU/edit?usp=sharing  #gid=0"",""фіз особи new!relations_name""),6,FALSE)
,
(IF
(
G14771=""юридична особа""
,
VLOO"&amp;"KUP(H14771,IMPORTRANGE(""https://docs.google.com/spreadsheets/d/14Bd19lYaqBhU8_DElYkX7l4wRkHqqCUFNJY4AfY3kHU/edit?usp=sharing  #gid=0"",""фіз особи new!relations_name_uo""),7,FALSE)
,
)
))"),"#N/A")</f>
        <v>#N/A</v>
      </c>
      <c r="J14770" s="7" t="s">
        <v>23</v>
      </c>
    </row>
    <row r="14771" spans="1:10" ht="13.2">
      <c r="A14771" s="7">
        <v>14770</v>
      </c>
      <c r="B14771" s="7">
        <v>1</v>
      </c>
      <c r="C14771" s="7" t="s">
        <v>10</v>
      </c>
      <c r="D14771" s="7">
        <v>19493</v>
      </c>
      <c r="E14771" s="7" t="s">
        <v>23</v>
      </c>
      <c r="F14771" s="8" t="str">
        <f ca="1">IFERROR(__xludf.DUMMYFUNCTION("IF
(
C14772=""фізична особа""
,
VLOOKUP(D14772,IMPORTRANGE(""https://docs.google.com/spreadsheets/d/14Bd19lYaqBhU8_DElYkX7l4wRkHqqCUFNJY4AfY3kHU/edit?usp=sharing  #gid=0"",""фіз особи new!relations_name""),6,FALSE)
,
(IF
(
C14772=""юридична особа""
,
VLOO"&amp;"KUP(D14772,IMPORTRANGE(""https://docs.google.com/spreadsheets/d/14Bd19lYaqBhU8_DElYkX7l4wRkHqqCUFNJY4AfY3kHU/edit?usp=sharing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71" s="7" t="s">
        <v>10</v>
      </c>
      <c r="H14771" s="7">
        <v>0</v>
      </c>
      <c r="I14771" s="8" t="str">
        <f ca="1">IFERROR(__xludf.DUMMYFUNCTION("IF
(
G14772=""фізична особа""
,
VLOOKUP(H14772,IMPORTRANGE(""https://docs.google.com/spreadsheets/d/14Bd19lYaqBhU8_DElYkX7l4wRkHqqCUFNJY4AfY3kHU/edit?usp=sharing  #gid=0"",""фіз особи new!relations_name""),6,FALSE)
,
(IF
(
G14772=""юридична особа""
,
VLOO"&amp;"KUP(H14772,IMPORTRANGE(""https://docs.google.com/spreadsheets/d/14Bd19lYaqBhU8_DElYkX7l4wRkHqqCUFNJY4AfY3kHU/edit?usp=sharing  #gid=0"",""фіз особи new!relations_name_uo""),7,FALSE)
,
)
))"),"#N/A")</f>
        <v>#N/A</v>
      </c>
      <c r="J14771" s="7" t="s">
        <v>23</v>
      </c>
    </row>
    <row r="14772" spans="1:10" ht="13.2">
      <c r="A14772" s="7">
        <v>14771</v>
      </c>
      <c r="B14772" s="7">
        <v>1</v>
      </c>
      <c r="C14772" s="7" t="s">
        <v>10</v>
      </c>
      <c r="D14772" s="7">
        <v>19493</v>
      </c>
      <c r="E14772" s="7" t="s">
        <v>23</v>
      </c>
      <c r="F14772" s="8" t="str">
        <f ca="1">IFERROR(__xludf.DUMMYFUNCTION("IF
(
C14773=""фізична особа""
,
VLOOKUP(D14773,IMPORTRANGE(""https://docs.google.com/spreadsheets/d/14Bd19lYaqBhU8_DElYkX7l4wRkHqqCUFNJY4AfY3kHU/edit?usp=sharing  #gid=0"",""фіз особи new!relations_name""),6,FALSE)
,
(IF
(
C14773=""юридична особа""
,
VLOO"&amp;"KUP(D14773,IMPORTRANGE(""https://docs.google.com/spreadsheets/d/14Bd19lYaqBhU8_DElYkX7l4wRkHqqCUFNJY4AfY3kHU/edit?usp=sharing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72" s="7" t="s">
        <v>10</v>
      </c>
      <c r="H14772" s="7">
        <v>0</v>
      </c>
      <c r="I14772" s="8" t="str">
        <f ca="1">IFERROR(__xludf.DUMMYFUNCTION("IF
(
G14773=""фізична особа""
,
VLOOKUP(H14773,IMPORTRANGE(""https://docs.google.com/spreadsheets/d/14Bd19lYaqBhU8_DElYkX7l4wRkHqqCUFNJY4AfY3kHU/edit?usp=sharing  #gid=0"",""фіз особи new!relations_name""),6,FALSE)
,
(IF
(
G14773=""юридична особа""
,
VLOO"&amp;"KUP(H14773,IMPORTRANGE(""https://docs.google.com/spreadsheets/d/14Bd19lYaqBhU8_DElYkX7l4wRkHqqCUFNJY4AfY3kHU/edit?usp=sharing  #gid=0"",""фіз особи new!relations_name_uo""),7,FALSE)
,
)
))"),"#N/A")</f>
        <v>#N/A</v>
      </c>
      <c r="J14772" s="7" t="s">
        <v>23</v>
      </c>
    </row>
    <row r="14773" spans="1:10" ht="13.2">
      <c r="A14773" s="7">
        <v>14772</v>
      </c>
      <c r="B14773" s="7">
        <v>1</v>
      </c>
      <c r="C14773" s="7" t="s">
        <v>10</v>
      </c>
      <c r="D14773" s="7">
        <v>19493</v>
      </c>
      <c r="E14773" s="7" t="s">
        <v>23</v>
      </c>
      <c r="F14773" s="8" t="str">
        <f ca="1">IFERROR(__xludf.DUMMYFUNCTION("IF
(
C14774=""фізична особа""
,
VLOOKUP(D14774,IMPORTRANGE(""https://docs.google.com/spreadsheets/d/14Bd19lYaqBhU8_DElYkX7l4wRkHqqCUFNJY4AfY3kHU/edit?usp=sharing  #gid=0"",""фіз особи new!relations_name""),6,FALSE)
,
(IF
(
C14774=""юридична особа""
,
VLOO"&amp;"KUP(D14774,IMPORTRANGE(""https://docs.google.com/spreadsheets/d/14Bd19lYaqBhU8_DElYkX7l4wRkHqqCUFNJY4AfY3kHU/edit?usp=sharing  #gid=0"",""фіз особи new!relations_name_uo""),7,FALSE)
,
)
))"),"ПОПОВА Наталія Степанівна")</f>
        <v>ПОПОВА Наталія Степанівна</v>
      </c>
      <c r="G14773" s="7" t="s">
        <v>10</v>
      </c>
      <c r="H14773" s="7">
        <v>19486</v>
      </c>
      <c r="I14773" s="8" t="str">
        <f ca="1">IFERROR(__xludf.DUMMYFUNCTION("IF
(
G14774=""фізична особа""
,
VLOOKUP(H14774,IMPORTRANGE(""https://docs.google.com/spreadsheets/d/14Bd19lYaqBhU8_DElYkX7l4wRkHqqCUFNJY4AfY3kHU/edit?usp=sharing  #gid=0"",""фіз особи new!relations_name""),6,FALSE)
,
(IF
(
G14774=""юридична особа""
,
VLOO"&amp;"KUP(H14774,IMPORTRANGE(""https://docs.google.com/spreadsheets/d/14Bd19lYaqBhU8_DElYkX7l4wRkHqqCUFNJY4AfY3kHU/edit?usp=sharing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73" s="7" t="s">
        <v>23</v>
      </c>
    </row>
    <row r="14774" spans="1:10" ht="13.2">
      <c r="A14774" s="7">
        <v>14773</v>
      </c>
      <c r="B14774" s="7">
        <v>1</v>
      </c>
      <c r="C14774" s="7" t="s">
        <v>10</v>
      </c>
      <c r="D14774" s="7">
        <v>19494</v>
      </c>
      <c r="E14774" s="7" t="s">
        <v>23</v>
      </c>
      <c r="F14774" s="8" t="str">
        <f ca="1">IFERROR(__xludf.DUMMYFUNCTION("IF
(
C14775=""фізична особа""
,
VLOOKUP(D14775,IMPORTRANGE(""https://docs.google.com/spreadsheets/d/14Bd19lYaqBhU8_DElYkX7l4wRkHqqCUFNJY4AfY3kHU/edit?usp=sharing  #gid=0"",""фіз особи new!relations_name""),6,FALSE)
,
(IF
(
C14775=""юридична особа""
,
VLOO"&amp;"KUP(D14775,IMPORTRANGE(""https://docs.google.com/spreadsheets/d/14Bd19lYaqBhU8_DElYkX7l4wRkHqqCUFNJY4AfY3kHU/edit?usp=sharing  #gid=0"",""фіз особи new!relations_name_uo""),7,FALSE)
,
)
))"),"АРАБАДЖИЄВА Ніна Едуардівна")</f>
        <v>АРАБАДЖИЄВА Ніна Едуардівна</v>
      </c>
      <c r="G14774" s="7" t="s">
        <v>10</v>
      </c>
      <c r="H14774" s="7">
        <v>19483</v>
      </c>
      <c r="I14774" s="8" t="str">
        <f ca="1">IFERROR(__xludf.DUMMYFUNCTION("IF
(
G14775=""фізична особа""
,
VLOOKUP(H14775,IMPORTRANGE(""https://docs.google.com/spreadsheets/d/14Bd19lYaqBhU8_DElYkX7l4wRkHqqCUFNJY4AfY3kHU/edit?usp=sharing  #gid=0"",""фіз особи new!relations_name""),6,FALSE)
,
(IF
(
G14775=""юридична особа""
,
VLOO"&amp;"KUP(H14775,IMPORTRANGE(""https://docs.google.com/spreadsheets/d/14Bd19lYaqBhU8_DElYkX7l4wRkHqqCUFNJY4AfY3kHU/edit?usp=sharing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74" s="7" t="s">
        <v>23</v>
      </c>
    </row>
    <row r="14775" spans="1:10" ht="13.2">
      <c r="A14775" s="7">
        <v>14774</v>
      </c>
      <c r="B14775" s="7">
        <v>1</v>
      </c>
      <c r="C14775" s="7" t="s">
        <v>10</v>
      </c>
      <c r="D14775" s="7">
        <v>19494</v>
      </c>
      <c r="E14775" s="7" t="s">
        <v>23</v>
      </c>
      <c r="F14775" s="8" t="str">
        <f ca="1">IFERROR(__xludf.DUMMYFUNCTION("IF
(
C14776=""фізична особа""
,
VLOOKUP(D14776,IMPORTRANGE(""https://docs.google.com/spreadsheets/d/14Bd19lYaqBhU8_DElYkX7l4wRkHqqCUFNJY4AfY3kHU/edit?usp=sharing  #gid=0"",""фіз особи new!relations_name""),6,FALSE)
,
(IF
(
C14776=""юридична особа""
,
VLOO"&amp;"KUP(D14776,IMPORTRANGE(""https://docs.google.com/spreadsheets/d/14Bd19lYaqBhU8_DElYkX7l4wRkHqqCUFNJY4AfY3kHU/edit?usp=sharing  #gid=0"",""фіз особи new!relations_name_uo""),7,FALSE)
,
)
))"),"АРАБАДЖИЄВА Ніна Едуардівна")</f>
        <v>АРАБАДЖИЄВА Ніна Едуардівна</v>
      </c>
      <c r="G14775" s="7" t="s">
        <v>10</v>
      </c>
      <c r="H14775" s="7">
        <v>0</v>
      </c>
      <c r="I14775" s="8" t="str">
        <f ca="1">IFERROR(__xludf.DUMMYFUNCTION("IF
(
G14776=""фізична особа""
,
VLOOKUP(H14776,IMPORTRANGE(""https://docs.google.com/spreadsheets/d/14Bd19lYaqBhU8_DElYkX7l4wRkHqqCUFNJY4AfY3kHU/edit?usp=sharing  #gid=0"",""фіз особи new!relations_name""),6,FALSE)
,
(IF
(
G14776=""юридична особа""
,
VLOO"&amp;"KUP(H14776,IMPORTRANGE(""https://docs.google.com/spreadsheets/d/14Bd19lYaqBhU8_DElYkX7l4wRkHqqCUFNJY4AfY3kHU/edit?usp=sharing  #gid=0"",""фіз особи new!relations_name_uo""),7,FALSE)
,
)
))"),"#N/A")</f>
        <v>#N/A</v>
      </c>
      <c r="J14775" s="7" t="s">
        <v>23</v>
      </c>
    </row>
    <row r="14776" spans="1:10" ht="13.2">
      <c r="A14776" s="7">
        <v>14775</v>
      </c>
      <c r="B14776" s="7">
        <v>1</v>
      </c>
      <c r="C14776" s="7" t="s">
        <v>10</v>
      </c>
      <c r="D14776" s="7">
        <v>19495</v>
      </c>
      <c r="E14776" s="7" t="s">
        <v>23</v>
      </c>
      <c r="F14776" s="8" t="str">
        <f ca="1">IFERROR(__xludf.DUMMYFUNCTION("IF
(
C14777=""фізична особа""
,
VLOOKUP(D14777,IMPORTRANGE(""https://docs.google.com/spreadsheets/d/14Bd19lYaqBhU8_DElYkX7l4wRkHqqCUFNJY4AfY3kHU/edit?usp=sharing  #gid=0"",""фіз особи new!relations_name""),6,FALSE)
,
(IF
(
C14777=""юридична особа""
,
VLOO"&amp;"KUP(D14777,IMPORTRANGE(""https://docs.google.com/spreadsheets/d/14Bd19lYaqBhU8_DElYkX7l4wRkHqqCUFNJY4AfY3kHU/edit?usp=sharing  #gid=0"",""фіз особи new!relations_name_uo""),7,FALSE)
,
)
))"),"БАРАБАНОВ Сергій Борисович")</f>
        <v>БАРАБАНОВ Сергій Борисович</v>
      </c>
      <c r="G14776" s="7" t="s">
        <v>10</v>
      </c>
      <c r="H14776" s="7">
        <v>19483</v>
      </c>
      <c r="I14776" s="8" t="str">
        <f ca="1">IFERROR(__xludf.DUMMYFUNCTION("IF
(
G14777=""фізична особа""
,
VLOOKUP(H14777,IMPORTRANGE(""https://docs.google.com/spreadsheets/d/14Bd19lYaqBhU8_DElYkX7l4wRkHqqCUFNJY4AfY3kHU/edit?usp=sharing  #gid=0"",""фіз особи new!relations_name""),6,FALSE)
,
(IF
(
G14777=""юридична особа""
,
VLOO"&amp;"KUP(H14777,IMPORTRANGE(""https://docs.google.com/spreadsheets/d/14Bd19lYaqBhU8_DElYkX7l4wRkHqqCUFNJY4AfY3kHU/edit?usp=sharing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76" s="7" t="s">
        <v>23</v>
      </c>
    </row>
    <row r="14777" spans="1:10" ht="13.2">
      <c r="A14777" s="7">
        <v>14776</v>
      </c>
      <c r="B14777" s="7">
        <v>1</v>
      </c>
      <c r="C14777" s="7" t="s">
        <v>10</v>
      </c>
      <c r="D14777" s="7">
        <v>19496</v>
      </c>
      <c r="E14777" s="7" t="s">
        <v>23</v>
      </c>
      <c r="F14777" s="8" t="str">
        <f ca="1">IFERROR(__xludf.DUMMYFUNCTION("IF
(
C14778=""фізична особа""
,
VLOOKUP(D14778,IMPORTRANGE(""https://docs.google.com/spreadsheets/d/14Bd19lYaqBhU8_DElYkX7l4wRkHqqCUFNJY4AfY3kHU/edit?usp=sharing  #gid=0"",""фіз особи new!relations_name""),6,FALSE)
,
(IF
(
C14778=""юридична особа""
,
VLOO"&amp;"KUP(D14778,IMPORTRANGE(""https://docs.google.com/spreadsheets/d/14Bd19lYaqBhU8_DElYkX7l4wRkHqqCUFNJY4AfY3kHU/edit?usp=sharing  #gid=0"",""фіз особи new!relations_name_uo""),7,FALSE)
,
)
))"),"КАЗЬМІНА Ганна Олексіївна")</f>
        <v>КАЗЬМІНА Ганна Олексіївна</v>
      </c>
      <c r="G14777" s="7" t="s">
        <v>10</v>
      </c>
      <c r="H14777" s="7">
        <v>19483</v>
      </c>
      <c r="I14777" s="8" t="str">
        <f ca="1">IFERROR(__xludf.DUMMYFUNCTION("IF
(
G14778=""фізична особа""
,
VLOOKUP(H14778,IMPORTRANGE(""https://docs.google.com/spreadsheets/d/14Bd19lYaqBhU8_DElYkX7l4wRkHqqCUFNJY4AfY3kHU/edit?usp=sharing  #gid=0"",""фіз особи new!relations_name""),6,FALSE)
,
(IF
(
G14778=""юридична особа""
,
VLOO"&amp;"KUP(H14778,IMPORTRANGE(""https://docs.google.com/spreadsheets/d/14Bd19lYaqBhU8_DElYkX7l4wRkHqqCUFNJY4AfY3kHU/edit?usp=sharing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77" s="7" t="s">
        <v>23</v>
      </c>
    </row>
    <row r="14778" spans="1:10" ht="13.2">
      <c r="A14778" s="7">
        <v>14777</v>
      </c>
      <c r="B14778" s="7">
        <v>1</v>
      </c>
      <c r="C14778" s="7" t="s">
        <v>10</v>
      </c>
      <c r="D14778" s="7">
        <v>19496</v>
      </c>
      <c r="E14778" s="7" t="s">
        <v>23</v>
      </c>
      <c r="F14778" s="8" t="str">
        <f ca="1">IFERROR(__xludf.DUMMYFUNCTION("IF
(
C14779=""фізична особа""
,
VLOOKUP(D14779,IMPORTRANGE(""https://docs.google.com/spreadsheets/d/14Bd19lYaqBhU8_DElYkX7l4wRkHqqCUFNJY4AfY3kHU/edit?usp=sharing  #gid=0"",""фіз особи new!relations_name""),6,FALSE)
,
(IF
(
C14779=""юридична особа""
,
VLOO"&amp;"KUP(D14779,IMPORTRANGE(""https://docs.google.com/spreadsheets/d/14Bd19lYaqBhU8_DElYkX7l4wRkHqqCUFNJY4AfY3kHU/edit?usp=sharing  #gid=0"",""фіз особи new!relations_name_uo""),7,FALSE)
,
)
))"),"КАЗЬМІНА Ганна Олексіївна")</f>
        <v>КАЗЬМІНА Ганна Олексіївна</v>
      </c>
      <c r="G14778" s="7" t="s">
        <v>10</v>
      </c>
      <c r="H14778" s="7">
        <v>19486</v>
      </c>
      <c r="I14778" s="8" t="str">
        <f ca="1">IFERROR(__xludf.DUMMYFUNCTION("IF
(
G14779=""фізична особа""
,
VLOOKUP(H14779,IMPORTRANGE(""https://docs.google.com/spreadsheets/d/14Bd19lYaqBhU8_DElYkX7l4wRkHqqCUFNJY4AfY3kHU/edit?usp=sharing  #gid=0"",""фіз особи new!relations_name""),6,FALSE)
,
(IF
(
G14779=""юридична особа""
,
VLOO"&amp;"KUP(H14779,IMPORTRANGE(""https://docs.google.com/spreadsheets/d/14Bd19lYaqBhU8_DElYkX7l4wRkHqqCUFNJY4AfY3kHU/edit?usp=sharing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78" s="7" t="s">
        <v>23</v>
      </c>
    </row>
    <row r="14779" spans="1:10" ht="13.2">
      <c r="A14779" s="7">
        <v>14778</v>
      </c>
      <c r="B14779" s="7">
        <v>1</v>
      </c>
      <c r="C14779" s="7" t="s">
        <v>10</v>
      </c>
      <c r="D14779" s="7">
        <v>19497</v>
      </c>
      <c r="E14779" s="7" t="s">
        <v>23</v>
      </c>
      <c r="F14779" s="8" t="str">
        <f ca="1">IFERROR(__xludf.DUMMYFUNCTION("IF
(
C14780=""фізична особа""
,
VLOOKUP(D14780,IMPORTRANGE(""https://docs.google.com/spreadsheets/d/14Bd19lYaqBhU8_DElYkX7l4wRkHqqCUFNJY4AfY3kHU/edit?usp=sharing  #gid=0"",""фіз особи new!relations_name""),6,FALSE)
,
(IF
(
C14780=""юридична особа""
,
VLOO"&amp;"KUP(D14780,IMPORTRANGE(""https://docs.google.com/spreadsheets/d/14Bd19lYaqBhU8_DElYkX7l4wRkHqqCUFNJY4AfY3kHU/edit?usp=sharing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79" s="7" t="s">
        <v>10</v>
      </c>
      <c r="H14779" s="7">
        <v>19483</v>
      </c>
      <c r="I14779" s="8" t="str">
        <f ca="1">IFERROR(__xludf.DUMMYFUNCTION("IF
(
G14780=""фізична особа""
,
VLOOKUP(H14780,IMPORTRANGE(""https://docs.google.com/spreadsheets/d/14Bd19lYaqBhU8_DElYkX7l4wRkHqqCUFNJY4AfY3kHU/edit?usp=sharing  #gid=0"",""фіз особи new!relations_name""),6,FALSE)
,
(IF
(
G14780=""юридична особа""
,
VLOO"&amp;"KUP(H14780,IMPORTRANGE(""https://docs.google.com/spreadsheets/d/14Bd19lYaqBhU8_DElYkX7l4wRkHqqCUFNJY4AfY3kHU/edit?usp=sharing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4779" s="7" t="s">
        <v>23</v>
      </c>
    </row>
    <row r="14780" spans="1:10" ht="13.2">
      <c r="A14780" s="7">
        <v>14779</v>
      </c>
      <c r="B14780" s="7">
        <v>1</v>
      </c>
      <c r="C14780" s="7" t="s">
        <v>10</v>
      </c>
      <c r="D14780" s="7">
        <v>19497</v>
      </c>
      <c r="E14780" s="7" t="s">
        <v>23</v>
      </c>
      <c r="F14780" s="8" t="str">
        <f ca="1">IFERROR(__xludf.DUMMYFUNCTION("IF
(
C14781=""фізична особа""
,
VLOOKUP(D14781,IMPORTRANGE(""https://docs.google.com/spreadsheets/d/14Bd19lYaqBhU8_DElYkX7l4wRkHqqCUFNJY4AfY3kHU/edit?usp=sharing  #gid=0"",""фіз особи new!relations_name""),6,FALSE)
,
(IF
(
C14781=""юридична особа""
,
VLOO"&amp;"KUP(D14781,IMPORTRANGE(""https://docs.google.com/spreadsheets/d/14Bd19lYaqBhU8_DElYkX7l4wRkHqqCUFNJY4AfY3kHU/edit?usp=sharing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0" s="7" t="s">
        <v>10</v>
      </c>
      <c r="H14780" s="7">
        <v>23703</v>
      </c>
      <c r="I14780" s="8" t="str">
        <f ca="1">IFERROR(__xludf.DUMMYFUNCTION("IF
(
G14781=""фізична особа""
,
VLOOKUP(H14781,IMPORTRANGE(""https://docs.google.com/spreadsheets/d/14Bd19lYaqBhU8_DElYkX7l4wRkHqqCUFNJY4AfY3kHU/edit?usp=sharing  #gid=0"",""фіз особи new!relations_name""),6,FALSE)
,
(IF
(
G14781=""юридична особа""
,
VLOO"&amp;"KUP(H14781,IMPORTRANGE(""https://docs.google.com/spreadsheets/d/14Bd19lYaqBhU8_DElYkX7l4wRkHqqCUFNJY4AfY3kHU/edit?usp=sharing  #gid=0"",""фіз особи new!relations_name_uo""),7,FALSE)
,
)
))"),"ГАГА Володимир Антонович")</f>
        <v>ГАГА Володимир Антонович</v>
      </c>
      <c r="J14780" s="7" t="s">
        <v>23</v>
      </c>
    </row>
    <row r="14781" spans="1:10" ht="13.2">
      <c r="A14781" s="7">
        <v>14780</v>
      </c>
      <c r="B14781" s="7">
        <v>1</v>
      </c>
      <c r="C14781" s="7" t="s">
        <v>10</v>
      </c>
      <c r="D14781" s="7">
        <v>19497</v>
      </c>
      <c r="E14781" s="7" t="s">
        <v>23</v>
      </c>
      <c r="F14781" s="8" t="str">
        <f ca="1">IFERROR(__xludf.DUMMYFUNCTION("IF
(
C14782=""фізична особа""
,
VLOOKUP(D14782,IMPORTRANGE(""https://docs.google.com/spreadsheets/d/14Bd19lYaqBhU8_DElYkX7l4wRkHqqCUFNJY4AfY3kHU/edit?usp=sharing  #gid=0"",""фіз особи new!relations_name""),6,FALSE)
,
(IF
(
C14782=""юридична особа""
,
VLOO"&amp;"KUP(D14782,IMPORTRANGE(""https://docs.google.com/spreadsheets/d/14Bd19lYaqBhU8_DElYkX7l4wRkHqqCUFNJY4AfY3kHU/edit?usp=sharing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1" s="7" t="s">
        <v>10</v>
      </c>
      <c r="H14781" s="7">
        <v>23707</v>
      </c>
      <c r="I14781" s="8" t="str">
        <f ca="1">IFERROR(__xludf.DUMMYFUNCTION("IF
(
G14782=""фізична особа""
,
VLOOKUP(H14782,IMPORTRANGE(""https://docs.google.com/spreadsheets/d/14Bd19lYaqBhU8_DElYkX7l4wRkHqqCUFNJY4AfY3kHU/edit?usp=sharing  #gid=0"",""фіз особи new!relations_name""),6,FALSE)
,
(IF
(
G14782=""юридична особа""
,
VLOO"&amp;"KUP(H14782,IMPORTRANGE(""https://docs.google.com/spreadsheets/d/14Bd19lYaqBhU8_DElYkX7l4wRkHqqCUFNJY4AfY3kHU/edit?usp=sharing  #gid=0"",""фіз особи new!relations_name_uo""),7,FALSE)
,
)
))"),"ТЮТЮШЕВА Юлія Сергіївна")</f>
        <v>ТЮТЮШЕВА Юлія Сергіївна</v>
      </c>
      <c r="J14781" s="7" t="s">
        <v>23</v>
      </c>
    </row>
    <row r="14782" spans="1:10" ht="13.2">
      <c r="A14782" s="7">
        <v>14781</v>
      </c>
      <c r="B14782" s="7">
        <v>1</v>
      </c>
      <c r="C14782" s="7" t="s">
        <v>10</v>
      </c>
      <c r="D14782" s="7">
        <v>19497</v>
      </c>
      <c r="E14782" s="7" t="s">
        <v>23</v>
      </c>
      <c r="F14782" s="8" t="str">
        <f ca="1">IFERROR(__xludf.DUMMYFUNCTION("IF
(
C14783=""фізична особа""
,
VLOOKUP(D14783,IMPORTRANGE(""https://docs.google.com/spreadsheets/d/14Bd19lYaqBhU8_DElYkX7l4wRkHqqCUFNJY4AfY3kHU/edit?usp=sharing  #gid=0"",""фіз особи new!relations_name""),6,FALSE)
,
(IF
(
C14783=""юридична особа""
,
VLOO"&amp;"KUP(D14783,IMPORTRANGE(""https://docs.google.com/spreadsheets/d/14Bd19lYaqBhU8_DElYkX7l4wRkHqqCUFNJY4AfY3kHU/edit?usp=sharing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2" s="7" t="s">
        <v>10</v>
      </c>
      <c r="H14782" s="7">
        <v>23708</v>
      </c>
      <c r="I14782" s="8" t="str">
        <f ca="1">IFERROR(__xludf.DUMMYFUNCTION("IF
(
G14783=""фізична особа""
,
VLOOKUP(H14783,IMPORTRANGE(""https://docs.google.com/spreadsheets/d/14Bd19lYaqBhU8_DElYkX7l4wRkHqqCUFNJY4AfY3kHU/edit?usp=sharing  #gid=0"",""фіз особи new!relations_name""),6,FALSE)
,
(IF
(
G14783=""юридична особа""
,
VLOO"&amp;"KUP(H14783,IMPORTRANGE(""https://docs.google.com/spreadsheets/d/14Bd19lYaqBhU8_DElYkX7l4wRkHqqCUFNJY4AfY3kHU/edit?usp=sharing  #gid=0"",""фіз особи new!relations_name_uo""),7,FALSE)
,
)
))"),"ХІСМАТУЛЛІН Тимур Рашитович")</f>
        <v>ХІСМАТУЛЛІН Тимур Рашитович</v>
      </c>
      <c r="J14782" s="7" t="s">
        <v>23</v>
      </c>
    </row>
    <row r="14783" spans="1:10" ht="13.2">
      <c r="A14783" s="7">
        <v>14782</v>
      </c>
      <c r="B14783" s="7">
        <v>1</v>
      </c>
      <c r="C14783" s="7" t="s">
        <v>10</v>
      </c>
      <c r="D14783" s="7">
        <v>19497</v>
      </c>
      <c r="E14783" s="7" t="s">
        <v>23</v>
      </c>
      <c r="F14783" s="8" t="str">
        <f ca="1">IFERROR(__xludf.DUMMYFUNCTION("IF
(
C14784=""фізична особа""
,
VLOOKUP(D14784,IMPORTRANGE(""https://docs.google.com/spreadsheets/d/14Bd19lYaqBhU8_DElYkX7l4wRkHqqCUFNJY4AfY3kHU/edit?usp=sharing  #gid=0"",""фіз особи new!relations_name""),6,FALSE)
,
(IF
(
C14784=""юридична особа""
,
VLOO"&amp;"KUP(D14784,IMPORTRANGE(""https://docs.google.com/spreadsheets/d/14Bd19lYaqBhU8_DElYkX7l4wRkHqqCUFNJY4AfY3kHU/edit?usp=sharing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3" s="7" t="s">
        <v>10</v>
      </c>
      <c r="H14783" s="7">
        <v>23704</v>
      </c>
      <c r="I14783" s="8" t="str">
        <f ca="1">IFERROR(__xludf.DUMMYFUNCTION("IF
(
G14784=""фізична особа""
,
VLOOKUP(H14784,IMPORTRANGE(""https://docs.google.com/spreadsheets/d/14Bd19lYaqBhU8_DElYkX7l4wRkHqqCUFNJY4AfY3kHU/edit?usp=sharing  #gid=0"",""фіз особи new!relations_name""),6,FALSE)
,
(IF
(
G14784=""юридична особа""
,
VLOO"&amp;"KUP(H14784,IMPORTRANGE(""https://docs.google.com/spreadsheets/d/14Bd19lYaqBhU8_DElYkX7l4wRkHqqCUFNJY4AfY3kHU/edit?usp=sharing  #gid=0"",""фіз особи new!relations_name_uo""),7,FALSE)
,
)
))"),"ГУР'ЄВ Руслан Ігорович")</f>
        <v>ГУР'ЄВ Руслан Ігорович</v>
      </c>
      <c r="J14783" s="7" t="s">
        <v>23</v>
      </c>
    </row>
    <row r="14784" spans="1:10" ht="13.2">
      <c r="A14784" s="7">
        <v>14783</v>
      </c>
      <c r="B14784" s="7">
        <v>1</v>
      </c>
      <c r="C14784" s="7" t="s">
        <v>10</v>
      </c>
      <c r="D14784" s="7">
        <v>19497</v>
      </c>
      <c r="E14784" s="7" t="s">
        <v>23</v>
      </c>
      <c r="F14784" s="8" t="str">
        <f ca="1">IFERROR(__xludf.DUMMYFUNCTION("IF
(
C14785=""фізична особа""
,
VLOOKUP(D14785,IMPORTRANGE(""https://docs.google.com/spreadsheets/d/14Bd19lYaqBhU8_DElYkX7l4wRkHqqCUFNJY4AfY3kHU/edit?usp=sharing  #gid=0"",""фіз особи new!relations_name""),6,FALSE)
,
(IF
(
C14785=""юридична особа""
,
VLOO"&amp;"KUP(D14785,IMPORTRANGE(""https://docs.google.com/spreadsheets/d/14Bd19lYaqBhU8_DElYkX7l4wRkHqqCUFNJY4AfY3kHU/edit?usp=sharing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4" s="7" t="s">
        <v>10</v>
      </c>
      <c r="H14784" s="7">
        <v>23705</v>
      </c>
      <c r="I14784" s="8" t="str">
        <f ca="1">IFERROR(__xludf.DUMMYFUNCTION("IF
(
G14785=""фізична особа""
,
VLOOKUP(H14785,IMPORTRANGE(""https://docs.google.com/spreadsheets/d/14Bd19lYaqBhU8_DElYkX7l4wRkHqqCUFNJY4AfY3kHU/edit?usp=sharing  #gid=0"",""фіз особи new!relations_name""),6,FALSE)
,
(IF
(
G14785=""юридична особа""
,
VLOO"&amp;"KUP(H14785,IMPORTRANGE(""https://docs.google.com/spreadsheets/d/14Bd19lYaqBhU8_DElYkX7l4wRkHqqCUFNJY4AfY3kHU/edit?usp=sharing  #gid=0"",""фіз особи new!relations_name_uo""),7,FALSE)
,
)
))"),"ГУМБЕРІДЗЕ Коба Анатолійович")</f>
        <v>ГУМБЕРІДЗЕ Коба Анатолійович</v>
      </c>
      <c r="J14784" s="7" t="s">
        <v>23</v>
      </c>
    </row>
    <row r="14785" spans="1:10" ht="13.2">
      <c r="A14785" s="7">
        <v>14784</v>
      </c>
      <c r="B14785" s="7">
        <v>1</v>
      </c>
      <c r="C14785" s="7" t="s">
        <v>10</v>
      </c>
      <c r="D14785" s="7">
        <v>19497</v>
      </c>
      <c r="E14785" s="7" t="s">
        <v>23</v>
      </c>
      <c r="F14785" s="8" t="str">
        <f ca="1">IFERROR(__xludf.DUMMYFUNCTION("IF
(
C14786=""фізична особа""
,
VLOOKUP(D14786,IMPORTRANGE(""https://docs.google.com/spreadsheets/d/14Bd19lYaqBhU8_DElYkX7l4wRkHqqCUFNJY4AfY3kHU/edit?usp=sharing  #gid=0"",""фіз особи new!relations_name""),6,FALSE)
,
(IF
(
C14786=""юридична особа""
,
VLOO"&amp;"KUP(D14786,IMPORTRANGE(""https://docs.google.com/spreadsheets/d/14Bd19lYaqBhU8_DElYkX7l4wRkHqqCUFNJY4AfY3kHU/edit?usp=sharing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5" s="7" t="s">
        <v>10</v>
      </c>
      <c r="H14785" s="7">
        <v>23706</v>
      </c>
      <c r="I14785" s="8" t="str">
        <f ca="1">IFERROR(__xludf.DUMMYFUNCTION("IF
(
G14786=""фізична особа""
,
VLOOKUP(H14786,IMPORTRANGE(""https://docs.google.com/spreadsheets/d/14Bd19lYaqBhU8_DElYkX7l4wRkHqqCUFNJY4AfY3kHU/edit?usp=sharing  #gid=0"",""фіз особи new!relations_name""),6,FALSE)
,
(IF
(
G14786=""юридична особа""
,
VLOO"&amp;"KUP(H14786,IMPORTRANGE(""https://docs.google.com/spreadsheets/d/14Bd19lYaqBhU8_DElYkX7l4wRkHqqCUFNJY4AfY3kHU/edit?usp=sharing  #gid=0"",""фіз особи new!relations_name_uo""),7,FALSE)
,
)
))"),"МІЛЛЕР Олена Володимирівна")</f>
        <v>МІЛЛЕР Олена Володимирівна</v>
      </c>
      <c r="J14785" s="7" t="s">
        <v>23</v>
      </c>
    </row>
    <row r="14786" spans="1:10" ht="13.2">
      <c r="A14786" s="7">
        <v>14785</v>
      </c>
      <c r="B14786" s="7">
        <v>1</v>
      </c>
      <c r="C14786" s="7" t="s">
        <v>10</v>
      </c>
      <c r="D14786" s="7">
        <v>19497</v>
      </c>
      <c r="E14786" s="7" t="s">
        <v>23</v>
      </c>
      <c r="F14786" s="8" t="str">
        <f ca="1">IFERROR(__xludf.DUMMYFUNCTION("IF
(
C14787=""фізична особа""
,
VLOOKUP(D14787,IMPORTRANGE(""https://docs.google.com/spreadsheets/d/14Bd19lYaqBhU8_DElYkX7l4wRkHqqCUFNJY4AfY3kHU/edit?usp=sharing  #gid=0"",""фіз особи new!relations_name""),6,FALSE)
,
(IF
(
C14787=""юридична особа""
,
VLOO"&amp;"KUP(D14787,IMPORTRANGE(""https://docs.google.com/spreadsheets/d/14Bd19lYaqBhU8_DElYkX7l4wRkHqqCUFNJY4AfY3kHU/edit?usp=sharing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6" s="7" t="s">
        <v>10</v>
      </c>
      <c r="H14786" s="7">
        <v>19481</v>
      </c>
      <c r="I14786" s="8" t="str">
        <f ca="1">IFERROR(__xludf.DUMMYFUNCTION("IF
(
G14787=""фізична особа""
,
VLOOKUP(H14787,IMPORTRANGE(""https://docs.google.com/spreadsheets/d/14Bd19lYaqBhU8_DElYkX7l4wRkHqqCUFNJY4AfY3kHU/edit?usp=sharing  #gid=0"",""фіз особи new!relations_name""),6,FALSE)
,
(IF
(
G14787=""юридична особа""
,
VLOO"&amp;"KUP(H14787,IMPORTRANGE(""https://docs.google.com/spreadsheets/d/14Bd19lYaqBhU8_DElYkX7l4wRkHqqCUFNJY4AfY3kHU/edit?usp=sharing  #gid=0"",""фіз особи new!relations_name_uo""),7,FALSE)
,
)
))"),"ТЮТЮШЕВ Андрій Петрович")</f>
        <v>ТЮТЮШЕВ Андрій Петрович</v>
      </c>
      <c r="J14786" s="7" t="s">
        <v>23</v>
      </c>
    </row>
    <row r="14787" spans="1:10" ht="13.2">
      <c r="A14787" s="7">
        <v>14786</v>
      </c>
      <c r="B14787" s="7">
        <v>1</v>
      </c>
      <c r="C14787" s="7" t="s">
        <v>10</v>
      </c>
      <c r="D14787" s="7">
        <v>19497</v>
      </c>
      <c r="E14787" s="7" t="s">
        <v>23</v>
      </c>
      <c r="F14787" s="8" t="str">
        <f ca="1">IFERROR(__xludf.DUMMYFUNCTION("IF
(
C14788=""фізична особа""
,
VLOOKUP(D14788,IMPORTRANGE(""https://docs.google.com/spreadsheets/d/14Bd19lYaqBhU8_DElYkX7l4wRkHqqCUFNJY4AfY3kHU/edit?usp=sharing  #gid=0"",""фіз особи new!relations_name""),6,FALSE)
,
(IF
(
C14788=""юридична особа""
,
VLOO"&amp;"KUP(D14788,IMPORTRANGE(""https://docs.google.com/spreadsheets/d/14Bd19lYaqBhU8_DElYkX7l4wRkHqqCUFNJY4AfY3kHU/edit?usp=sharing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7" s="7" t="s">
        <v>10</v>
      </c>
      <c r="H14787" s="7">
        <v>0</v>
      </c>
      <c r="I14787" s="8" t="str">
        <f ca="1">IFERROR(__xludf.DUMMYFUNCTION("IF
(
G14788=""фізична особа""
,
VLOOKUP(H14788,IMPORTRANGE(""https://docs.google.com/spreadsheets/d/14Bd19lYaqBhU8_DElYkX7l4wRkHqqCUFNJY4AfY3kHU/edit?usp=sharing  #gid=0"",""фіз особи new!relations_name""),6,FALSE)
,
(IF
(
G14788=""юридична особа""
,
VLOO"&amp;"KUP(H14788,IMPORTRANGE(""https://docs.google.com/spreadsheets/d/14Bd19lYaqBhU8_DElYkX7l4wRkHqqCUFNJY4AfY3kHU/edit?usp=sharing  #gid=0"",""фіз особи new!relations_name_uo""),7,FALSE)
,
)
))"),"#N/A")</f>
        <v>#N/A</v>
      </c>
      <c r="J14787" s="7" t="s">
        <v>23</v>
      </c>
    </row>
    <row r="14788" spans="1:10" ht="13.2">
      <c r="A14788" s="7">
        <v>14787</v>
      </c>
      <c r="B14788" s="7">
        <v>1</v>
      </c>
      <c r="C14788" s="7" t="s">
        <v>10</v>
      </c>
      <c r="D14788" s="7">
        <v>19497</v>
      </c>
      <c r="E14788" s="7" t="s">
        <v>23</v>
      </c>
      <c r="F14788" s="8" t="str">
        <f ca="1">IFERROR(__xludf.DUMMYFUNCTION("IF
(
C14789=""фізична особа""
,
VLOOKUP(D14789,IMPORTRANGE(""https://docs.google.com/spreadsheets/d/14Bd19lYaqBhU8_DElYkX7l4wRkHqqCUFNJY4AfY3kHU/edit?usp=sharing  #gid=0"",""фіз особи new!relations_name""),6,FALSE)
,
(IF
(
C14789=""юридична особа""
,
VLOO"&amp;"KUP(D14789,IMPORTRANGE(""https://docs.google.com/spreadsheets/d/14Bd19lYaqBhU8_DElYkX7l4wRkHqqCUFNJY4AfY3kHU/edit?usp=sharing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8" s="7" t="s">
        <v>10</v>
      </c>
      <c r="H14788" s="7">
        <v>23702</v>
      </c>
      <c r="I14788" s="8" t="str">
        <f ca="1">IFERROR(__xludf.DUMMYFUNCTION("IF
(
G14789=""фізична особа""
,
VLOOKUP(H14789,IMPORTRANGE(""https://docs.google.com/spreadsheets/d/14Bd19lYaqBhU8_DElYkX7l4wRkHqqCUFNJY4AfY3kHU/edit?usp=sharing  #gid=0"",""фіз особи new!relations_name""),6,FALSE)
,
(IF
(
G14789=""юридична особа""
,
VLOO"&amp;"KUP(H14789,IMPORTRANGE(""https://docs.google.com/spreadsheets/d/14Bd19lYaqBhU8_DElYkX7l4wRkHqqCUFNJY4AfY3kHU/edit?usp=sharing  #gid=0"",""фіз особи new!relations_name_uo""),7,FALSE)
,
)
))"),"КУРАКІНА Наталія Петрівна")</f>
        <v>КУРАКІНА Наталія Петрівна</v>
      </c>
      <c r="J14788" s="7" t="s">
        <v>23</v>
      </c>
    </row>
    <row r="14789" spans="1:10" ht="13.2">
      <c r="A14789" s="7">
        <v>14788</v>
      </c>
      <c r="B14789" s="7">
        <v>1</v>
      </c>
      <c r="C14789" s="7" t="s">
        <v>10</v>
      </c>
      <c r="D14789" s="7">
        <v>19497</v>
      </c>
      <c r="E14789" s="7" t="s">
        <v>23</v>
      </c>
      <c r="F14789" s="8" t="str">
        <f ca="1">IFERROR(__xludf.DUMMYFUNCTION("IF
(
C14790=""фізична особа""
,
VLOOKUP(D14790,IMPORTRANGE(""https://docs.google.com/spreadsheets/d/14Bd19lYaqBhU8_DElYkX7l4wRkHqqCUFNJY4AfY3kHU/edit?usp=sharing  #gid=0"",""фіз особи new!relations_name""),6,FALSE)
,
(IF
(
C14790=""юридична особа""
,
VLOO"&amp;"KUP(D14790,IMPORTRANGE(""https://docs.google.com/spreadsheets/d/14Bd19lYaqBhU8_DElYkX7l4wRkHqqCUFNJY4AfY3kHU/edit?usp=sharing  #gid=0"",""фіз особи new!relations_name_uo""),7,FALSE)
,
)
))"),"ЦИРФА Ірина Федорівна")</f>
        <v>ЦИРФА Ірина Федорівна</v>
      </c>
      <c r="G14789" s="7" t="s">
        <v>10</v>
      </c>
      <c r="H14789" s="7">
        <v>19486</v>
      </c>
      <c r="I14789" s="8" t="str">
        <f ca="1">IFERROR(__xludf.DUMMYFUNCTION("IF
(
G14790=""фізична особа""
,
VLOOKUP(H14790,IMPORTRANGE(""https://docs.google.com/spreadsheets/d/14Bd19lYaqBhU8_DElYkX7l4wRkHqqCUFNJY4AfY3kHU/edit?usp=sharing  #gid=0"",""фіз особи new!relations_name""),6,FALSE)
,
(IF
(
G14790=""юридична особа""
,
VLOO"&amp;"KUP(H14790,IMPORTRANGE(""https://docs.google.com/spreadsheets/d/14Bd19lYaqBhU8_DElYkX7l4wRkHqqCUFNJY4AfY3kHU/edit?usp=sharing  #gid=0"",""фіз особи new!relations_name_uo""),7,FALSE)
,
)
))"),"РУБЦОВ Євгеній Леонідович")</f>
        <v>РУБЦОВ Євгеній Леонідович</v>
      </c>
      <c r="J14789" s="7" t="s">
        <v>23</v>
      </c>
    </row>
    <row r="14790" spans="1:10" ht="13.2">
      <c r="A14790" s="7">
        <v>14789</v>
      </c>
      <c r="B14790" s="7">
        <v>1</v>
      </c>
      <c r="C14790" s="7" t="s">
        <v>10</v>
      </c>
      <c r="D14790" s="7">
        <v>19506</v>
      </c>
      <c r="E14790" s="7" t="s">
        <v>14</v>
      </c>
      <c r="F14790" s="8" t="str">
        <f ca="1">IFERROR(__xludf.DUMMYFUNCTION("IF
(
C14791=""фізична особа""
,
VLOOKUP(D14791,IMPORTRANGE(""https://docs.google.com/spreadsheets/d/14Bd19lYaqBhU8_DElYkX7l4wRkHqqCUFNJY4AfY3kHU/edit?usp=sharing  #gid=0"",""фіз особи new!relations_name""),6,FALSE)
,
(IF
(
C14791=""юридична особа""
,
VLOO"&amp;"KUP(D14791,IMPORTRANGE(""https://docs.google.com/spreadsheets/d/14Bd19lYaqBhU8_DElYkX7l4wRkHqqCUFNJY4AfY3kHU/edit?usp=sharing  #gid=0"",""фіз особи new!relations_name_uo""),7,FALSE)
,
)
))"),"КІЙКО Михайло Юрійович")</f>
        <v>КІЙКО Михайло Юрійович</v>
      </c>
      <c r="G14790" s="7" t="s">
        <v>10</v>
      </c>
      <c r="H14790" s="7">
        <v>19507</v>
      </c>
      <c r="I14790" s="8" t="str">
        <f ca="1">IFERROR(__xludf.DUMMYFUNCTION("IF
(
G14791=""фізична особа""
,
VLOOKUP(H14791,IMPORTRANGE(""https://docs.google.com/spreadsheets/d/14Bd19lYaqBhU8_DElYkX7l4wRkHqqCUFNJY4AfY3kHU/edit?usp=sharing  #gid=0"",""фіз особи new!relations_name""),6,FALSE)
,
(IF
(
G14791=""юридична особа""
,
VLOO"&amp;"KUP(H14791,IMPORTRANGE(""https://docs.google.com/spreadsheets/d/14Bd19lYaqBhU8_DElYkX7l4wRkHqqCUFNJY4AfY3kHU/edit?usp=sharing  #gid=0"",""фіз особи new!relations_name_uo""),7,FALSE)
,
)
))"),"КІЙКО Світлана Михайлівна")</f>
        <v>КІЙКО Світлана Михайлівна</v>
      </c>
      <c r="J14790" s="7" t="s">
        <v>15</v>
      </c>
    </row>
    <row r="14791" spans="1:10" ht="13.2">
      <c r="A14791" s="7">
        <v>14790</v>
      </c>
      <c r="B14791" s="7">
        <v>1</v>
      </c>
      <c r="C14791" s="7" t="s">
        <v>10</v>
      </c>
      <c r="D14791" s="7">
        <v>19507</v>
      </c>
      <c r="E14791" s="7" t="s">
        <v>15</v>
      </c>
      <c r="F14791" s="8" t="str">
        <f ca="1">IFERROR(__xludf.DUMMYFUNCTION("IF
(
C14792=""фізична особа""
,
VLOOKUP(D14792,IMPORTRANGE(""https://docs.google.com/spreadsheets/d/14Bd19lYaqBhU8_DElYkX7l4wRkHqqCUFNJY4AfY3kHU/edit?usp=sharing  #gid=0"",""фіз особи new!relations_name""),6,FALSE)
,
(IF
(
C14792=""юридична особа""
,
VLOO"&amp;"KUP(D14792,IMPORTRANGE(""https://docs.google.com/spreadsheets/d/14Bd19lYaqBhU8_DElYkX7l4wRkHqqCUFNJY4AfY3kHU/edit?usp=sharing  #gid=0"",""фіз особи new!relations_name_uo""),7,FALSE)
,
)
))"),"КІЙКО Світлана Михайлівна")</f>
        <v>КІЙКО Світлана Михайлівна</v>
      </c>
      <c r="G14791" s="7" t="s">
        <v>10</v>
      </c>
      <c r="H14791" s="7">
        <v>19506</v>
      </c>
      <c r="I14791" s="8" t="str">
        <f ca="1">IFERROR(__xludf.DUMMYFUNCTION("IF
(
G14792=""фізична особа""
,
VLOOKUP(H14792,IMPORTRANGE(""https://docs.google.com/spreadsheets/d/14Bd19lYaqBhU8_DElYkX7l4wRkHqqCUFNJY4AfY3kHU/edit?usp=sharing  #gid=0"",""фіз особи new!relations_name""),6,FALSE)
,
(IF
(
G14792=""юридична особа""
,
VLOO"&amp;"KUP(H14792,IMPORTRANGE(""https://docs.google.com/spreadsheets/d/14Bd19lYaqBhU8_DElYkX7l4wRkHqqCUFNJY4AfY3kHU/edit?usp=sharing  #gid=0"",""фіз особи new!relations_name_uo""),7,FALSE)
,
)
))"),"КІЙКО Михайло Юрійович")</f>
        <v>КІЙКО Михайло Юрійович</v>
      </c>
      <c r="J14791" s="7" t="s">
        <v>14</v>
      </c>
    </row>
    <row r="14792" spans="1:10" ht="13.2">
      <c r="A14792" s="7">
        <v>14791</v>
      </c>
      <c r="B14792" s="7">
        <v>1</v>
      </c>
      <c r="C14792" s="7" t="s">
        <v>10</v>
      </c>
      <c r="D14792" s="7">
        <v>19513</v>
      </c>
      <c r="E14792" s="7" t="s">
        <v>23</v>
      </c>
      <c r="F14792" s="8" t="str">
        <f ca="1">IFERROR(__xludf.DUMMYFUNCTION("IF
(
C14793=""фізична особа""
,
VLOOKUP(D14793,IMPORTRANGE(""https://docs.google.com/spreadsheets/d/14Bd19lYaqBhU8_DElYkX7l4wRkHqqCUFNJY4AfY3kHU/edit?usp=sharing  #gid=0"",""фіз особи new!relations_name""),6,FALSE)
,
(IF
(
C14793=""юридична особа""
,
VLOO"&amp;"KUP(D14793,IMPORTRANGE(""https://docs.google.com/spreadsheets/d/14Bd19lYaqBhU8_DElYkX7l4wRkHqqCUFNJY4AfY3kHU/edit?usp=sharing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2" s="7" t="s">
        <v>10</v>
      </c>
      <c r="H14792" s="7">
        <v>19520</v>
      </c>
      <c r="I14792" s="8" t="str">
        <f ca="1">IFERROR(__xludf.DUMMYFUNCTION("IF
(
G14793=""фізична особа""
,
VLOOKUP(H14793,IMPORTRANGE(""https://docs.google.com/spreadsheets/d/14Bd19lYaqBhU8_DElYkX7l4wRkHqqCUFNJY4AfY3kHU/edit?usp=sharing  #gid=0"",""фіз особи new!relations_name""),6,FALSE)
,
(IF
(
G14793=""юридична особа""
,
VLOO"&amp;"KUP(H14793,IMPORTRANGE(""https://docs.google.com/spreadsheets/d/14Bd19lYaqBhU8_DElYkX7l4wRkHqqCUFNJY4AfY3kHU/edit?usp=sharing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792" s="7" t="s">
        <v>23</v>
      </c>
    </row>
    <row r="14793" spans="1:10" ht="13.2">
      <c r="A14793" s="7">
        <v>14792</v>
      </c>
      <c r="B14793" s="7">
        <v>1</v>
      </c>
      <c r="C14793" s="7" t="s">
        <v>10</v>
      </c>
      <c r="D14793" s="7">
        <v>19513</v>
      </c>
      <c r="E14793" s="7" t="s">
        <v>23</v>
      </c>
      <c r="F14793" s="8" t="str">
        <f ca="1">IFERROR(__xludf.DUMMYFUNCTION("IF
(
C14794=""фізична особа""
,
VLOOKUP(D14794,IMPORTRANGE(""https://docs.google.com/spreadsheets/d/14Bd19lYaqBhU8_DElYkX7l4wRkHqqCUFNJY4AfY3kHU/edit?usp=sharing  #gid=0"",""фіз особи new!relations_name""),6,FALSE)
,
(IF
(
C14794=""юридична особа""
,
VLOO"&amp;"KUP(D14794,IMPORTRANGE(""https://docs.google.com/spreadsheets/d/14Bd19lYaqBhU8_DElYkX7l4wRkHqqCUFNJY4AfY3kHU/edit?usp=sharing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3" s="7" t="s">
        <v>10</v>
      </c>
      <c r="H14793" s="7">
        <v>19514</v>
      </c>
      <c r="I14793" s="8" t="str">
        <f ca="1">IFERROR(__xludf.DUMMYFUNCTION("IF
(
G14794=""фізична особа""
,
VLOOKUP(H14794,IMPORTRANGE(""https://docs.google.com/spreadsheets/d/14Bd19lYaqBhU8_DElYkX7l4wRkHqqCUFNJY4AfY3kHU/edit?usp=sharing  #gid=0"",""фіз особи new!relations_name""),6,FALSE)
,
(IF
(
G14794=""юридична особа""
,
VLOO"&amp;"KUP(H14794,IMPORTRANGE(""https://docs.google.com/spreadsheets/d/14Bd19lYaqBhU8_DElYkX7l4wRkHqqCUFNJY4AfY3kHU/edit?usp=sharing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793" s="7" t="s">
        <v>23</v>
      </c>
    </row>
    <row r="14794" spans="1:10" ht="13.2">
      <c r="A14794" s="7">
        <v>14793</v>
      </c>
      <c r="B14794" s="7">
        <v>1</v>
      </c>
      <c r="C14794" s="7" t="s">
        <v>10</v>
      </c>
      <c r="D14794" s="7">
        <v>19513</v>
      </c>
      <c r="E14794" s="7" t="s">
        <v>23</v>
      </c>
      <c r="F14794" s="8" t="str">
        <f ca="1">IFERROR(__xludf.DUMMYFUNCTION("IF
(
C14795=""фізична особа""
,
VLOOKUP(D14795,IMPORTRANGE(""https://docs.google.com/spreadsheets/d/14Bd19lYaqBhU8_DElYkX7l4wRkHqqCUFNJY4AfY3kHU/edit?usp=sharing  #gid=0"",""фіз особи new!relations_name""),6,FALSE)
,
(IF
(
C14795=""юридична особа""
,
VLOO"&amp;"KUP(D14795,IMPORTRANGE(""https://docs.google.com/spreadsheets/d/14Bd19lYaqBhU8_DElYkX7l4wRkHqqCUFNJY4AfY3kHU/edit?usp=sharing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4" s="7" t="s">
        <v>10</v>
      </c>
      <c r="H14794" s="7">
        <v>19515</v>
      </c>
      <c r="I14794" s="8" t="str">
        <f ca="1">IFERROR(__xludf.DUMMYFUNCTION("IF
(
G14795=""фізична особа""
,
VLOOKUP(H14795,IMPORTRANGE(""https://docs.google.com/spreadsheets/d/14Bd19lYaqBhU8_DElYkX7l4wRkHqqCUFNJY4AfY3kHU/edit?usp=sharing  #gid=0"",""фіз особи new!relations_name""),6,FALSE)
,
(IF
(
G14795=""юридична особа""
,
VLOO"&amp;"KUP(H14795,IMPORTRANGE(""https://docs.google.com/spreadsheets/d/14Bd19lYaqBhU8_DElYkX7l4wRkHqqCUFNJY4AfY3kHU/edit?usp=sharing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794" s="7" t="s">
        <v>23</v>
      </c>
    </row>
    <row r="14795" spans="1:10" ht="13.2">
      <c r="A14795" s="7">
        <v>14794</v>
      </c>
      <c r="B14795" s="7">
        <v>1</v>
      </c>
      <c r="C14795" s="7" t="s">
        <v>10</v>
      </c>
      <c r="D14795" s="7">
        <v>19513</v>
      </c>
      <c r="E14795" s="7" t="s">
        <v>23</v>
      </c>
      <c r="F14795" s="8" t="str">
        <f ca="1">IFERROR(__xludf.DUMMYFUNCTION("IF
(
C14796=""фізична особа""
,
VLOOKUP(D14796,IMPORTRANGE(""https://docs.google.com/spreadsheets/d/14Bd19lYaqBhU8_DElYkX7l4wRkHqqCUFNJY4AfY3kHU/edit?usp=sharing  #gid=0"",""фіз особи new!relations_name""),6,FALSE)
,
(IF
(
C14796=""юридична особа""
,
VLOO"&amp;"KUP(D14796,IMPORTRANGE(""https://docs.google.com/spreadsheets/d/14Bd19lYaqBhU8_DElYkX7l4wRkHqqCUFNJY4AfY3kHU/edit?usp=sharing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5" s="7" t="s">
        <v>10</v>
      </c>
      <c r="H14795" s="7">
        <v>19516</v>
      </c>
      <c r="I14795" s="8" t="str">
        <f ca="1">IFERROR(__xludf.DUMMYFUNCTION("IF
(
G14796=""фізична особа""
,
VLOOKUP(H14796,IMPORTRANGE(""https://docs.google.com/spreadsheets/d/14Bd19lYaqBhU8_DElYkX7l4wRkHqqCUFNJY4AfY3kHU/edit?usp=sharing  #gid=0"",""фіз особи new!relations_name""),6,FALSE)
,
(IF
(
G14796=""юридична особа""
,
VLOO"&amp;"KUP(H14796,IMPORTRANGE(""https://docs.google.com/spreadsheets/d/14Bd19lYaqBhU8_DElYkX7l4wRkHqqCUFNJY4AfY3kHU/edit?usp=sharing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795" s="7" t="s">
        <v>23</v>
      </c>
    </row>
    <row r="14796" spans="1:10" ht="13.2">
      <c r="A14796" s="7">
        <v>14795</v>
      </c>
      <c r="B14796" s="7">
        <v>1</v>
      </c>
      <c r="C14796" s="7" t="s">
        <v>10</v>
      </c>
      <c r="D14796" s="7">
        <v>19513</v>
      </c>
      <c r="E14796" s="7" t="s">
        <v>23</v>
      </c>
      <c r="F14796" s="8" t="str">
        <f ca="1">IFERROR(__xludf.DUMMYFUNCTION("IF
(
C14797=""фізична особа""
,
VLOOKUP(D14797,IMPORTRANGE(""https://docs.google.com/spreadsheets/d/14Bd19lYaqBhU8_DElYkX7l4wRkHqqCUFNJY4AfY3kHU/edit?usp=sharing  #gid=0"",""фіз особи new!relations_name""),6,FALSE)
,
(IF
(
C14797=""юридична особа""
,
VLOO"&amp;"KUP(D14797,IMPORTRANGE(""https://docs.google.com/spreadsheets/d/14Bd19lYaqBhU8_DElYkX7l4wRkHqqCUFNJY4AfY3kHU/edit?usp=sharing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6" s="7" t="s">
        <v>10</v>
      </c>
      <c r="H14796" s="7">
        <v>19517</v>
      </c>
      <c r="I14796" s="8" t="str">
        <f ca="1">IFERROR(__xludf.DUMMYFUNCTION("IF
(
G14797=""фізична особа""
,
VLOOKUP(H14797,IMPORTRANGE(""https://docs.google.com/spreadsheets/d/14Bd19lYaqBhU8_DElYkX7l4wRkHqqCUFNJY4AfY3kHU/edit?usp=sharing  #gid=0"",""фіз особи new!relations_name""),6,FALSE)
,
(IF
(
G14797=""юридична особа""
,
VLOO"&amp;"KUP(H14797,IMPORTRANGE(""https://docs.google.com/spreadsheets/d/14Bd19lYaqBhU8_DElYkX7l4wRkHqqCUFNJY4AfY3kHU/edit?usp=sharing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796" s="7" t="s">
        <v>23</v>
      </c>
    </row>
    <row r="14797" spans="1:10" ht="13.2">
      <c r="A14797" s="7">
        <v>14796</v>
      </c>
      <c r="B14797" s="7">
        <v>1</v>
      </c>
      <c r="C14797" s="7" t="s">
        <v>10</v>
      </c>
      <c r="D14797" s="7">
        <v>19513</v>
      </c>
      <c r="E14797" s="7" t="s">
        <v>23</v>
      </c>
      <c r="F14797" s="8" t="str">
        <f ca="1">IFERROR(__xludf.DUMMYFUNCTION("IF
(
C14798=""фізична особа""
,
VLOOKUP(D14798,IMPORTRANGE(""https://docs.google.com/spreadsheets/d/14Bd19lYaqBhU8_DElYkX7l4wRkHqqCUFNJY4AfY3kHU/edit?usp=sharing  #gid=0"",""фіз особи new!relations_name""),6,FALSE)
,
(IF
(
C14798=""юридична особа""
,
VLOO"&amp;"KUP(D14798,IMPORTRANGE(""https://docs.google.com/spreadsheets/d/14Bd19lYaqBhU8_DElYkX7l4wRkHqqCUFNJY4AfY3kHU/edit?usp=sharing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7" s="7" t="s">
        <v>10</v>
      </c>
      <c r="H14797" s="7">
        <v>19518</v>
      </c>
      <c r="I14797" s="8" t="str">
        <f ca="1">IFERROR(__xludf.DUMMYFUNCTION("IF
(
G14798=""фізична особа""
,
VLOOKUP(H14798,IMPORTRANGE(""https://docs.google.com/spreadsheets/d/14Bd19lYaqBhU8_DElYkX7l4wRkHqqCUFNJY4AfY3kHU/edit?usp=sharing  #gid=0"",""фіз особи new!relations_name""),6,FALSE)
,
(IF
(
G14798=""юридична особа""
,
VLOO"&amp;"KUP(H14798,IMPORTRANGE(""https://docs.google.com/spreadsheets/d/14Bd19lYaqBhU8_DElYkX7l4wRkHqqCUFNJY4AfY3kHU/edit?usp=sharing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797" s="7" t="s">
        <v>23</v>
      </c>
    </row>
    <row r="14798" spans="1:10" ht="13.2">
      <c r="A14798" s="7">
        <v>14797</v>
      </c>
      <c r="B14798" s="7">
        <v>1</v>
      </c>
      <c r="C14798" s="7" t="s">
        <v>10</v>
      </c>
      <c r="D14798" s="7">
        <v>19513</v>
      </c>
      <c r="E14798" s="7" t="s">
        <v>23</v>
      </c>
      <c r="F14798" s="8" t="str">
        <f ca="1">IFERROR(__xludf.DUMMYFUNCTION("IF
(
C14799=""фізична особа""
,
VLOOKUP(D14799,IMPORTRANGE(""https://docs.google.com/spreadsheets/d/14Bd19lYaqBhU8_DElYkX7l4wRkHqqCUFNJY4AfY3kHU/edit?usp=sharing  #gid=0"",""фіз особи new!relations_name""),6,FALSE)
,
(IF
(
C14799=""юридична особа""
,
VLOO"&amp;"KUP(D14799,IMPORTRANGE(""https://docs.google.com/spreadsheets/d/14Bd19lYaqBhU8_DElYkX7l4wRkHqqCUFNJY4AfY3kHU/edit?usp=sharing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8" s="7" t="s">
        <v>10</v>
      </c>
      <c r="H14798" s="7">
        <v>19519</v>
      </c>
      <c r="I14798" s="8" t="str">
        <f ca="1">IFERROR(__xludf.DUMMYFUNCTION("IF
(
G14799=""фізична особа""
,
VLOOKUP(H14799,IMPORTRANGE(""https://docs.google.com/spreadsheets/d/14Bd19lYaqBhU8_DElYkX7l4wRkHqqCUFNJY4AfY3kHU/edit?usp=sharing  #gid=0"",""фіз особи new!relations_name""),6,FALSE)
,
(IF
(
G14799=""юридична особа""
,
VLOO"&amp;"KUP(H14799,IMPORTRANGE(""https://docs.google.com/spreadsheets/d/14Bd19lYaqBhU8_DElYkX7l4wRkHqqCUFNJY4AfY3kHU/edit?usp=sharing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798" s="7" t="s">
        <v>23</v>
      </c>
    </row>
    <row r="14799" spans="1:10" ht="13.2">
      <c r="A14799" s="7">
        <v>14798</v>
      </c>
      <c r="B14799" s="7">
        <v>1</v>
      </c>
      <c r="C14799" s="7" t="s">
        <v>10</v>
      </c>
      <c r="D14799" s="7">
        <v>19513</v>
      </c>
      <c r="E14799" s="7" t="s">
        <v>23</v>
      </c>
      <c r="F14799" s="8" t="str">
        <f ca="1">IFERROR(__xludf.DUMMYFUNCTION("IF
(
C14800=""фізична особа""
,
VLOOKUP(D14800,IMPORTRANGE(""https://docs.google.com/spreadsheets/d/14Bd19lYaqBhU8_DElYkX7l4wRkHqqCUFNJY4AfY3kHU/edit?usp=sharing  #gid=0"",""фіз особи new!relations_name""),6,FALSE)
,
(IF
(
C14800=""юридична особа""
,
VLOO"&amp;"KUP(D14800,IMPORTRANGE(""https://docs.google.com/spreadsheets/d/14Bd19lYaqBhU8_DElYkX7l4wRkHqqCUFNJY4AfY3kHU/edit?usp=sharing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799" s="7" t="s">
        <v>10</v>
      </c>
      <c r="H14799" s="7">
        <v>19521</v>
      </c>
      <c r="I14799" s="8" t="str">
        <f ca="1">IFERROR(__xludf.DUMMYFUNCTION("IF
(
G14800=""фізична особа""
,
VLOOKUP(H14800,IMPORTRANGE(""https://docs.google.com/spreadsheets/d/14Bd19lYaqBhU8_DElYkX7l4wRkHqqCUFNJY4AfY3kHU/edit?usp=sharing  #gid=0"",""фіз особи new!relations_name""),6,FALSE)
,
(IF
(
G14800=""юридична особа""
,
VLOO"&amp;"KUP(H14800,IMPORTRANGE(""https://docs.google.com/spreadsheets/d/14Bd19lYaqBhU8_DElYkX7l4wRkHqqCUFNJY4AfY3kHU/edit?usp=sharing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799" s="7" t="s">
        <v>23</v>
      </c>
    </row>
    <row r="14800" spans="1:10" ht="13.2">
      <c r="A14800" s="7">
        <v>14799</v>
      </c>
      <c r="B14800" s="7">
        <v>1</v>
      </c>
      <c r="C14800" s="7" t="s">
        <v>10</v>
      </c>
      <c r="D14800" s="7">
        <v>19513</v>
      </c>
      <c r="E14800" s="7" t="s">
        <v>23</v>
      </c>
      <c r="F14800" s="8" t="str">
        <f ca="1">IFERROR(__xludf.DUMMYFUNCTION("IF
(
C14801=""фізична особа""
,
VLOOKUP(D14801,IMPORTRANGE(""https://docs.google.com/spreadsheets/d/14Bd19lYaqBhU8_DElYkX7l4wRkHqqCUFNJY4AfY3kHU/edit?usp=sharing  #gid=0"",""фіз особи new!relations_name""),6,FALSE)
,
(IF
(
C14801=""юридична особа""
,
VLOO"&amp;"KUP(D14801,IMPORTRANGE(""https://docs.google.com/spreadsheets/d/14Bd19lYaqBhU8_DElYkX7l4wRkHqqCUFNJY4AfY3kHU/edit?usp=sharing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800" s="7" t="s">
        <v>10</v>
      </c>
      <c r="H14800" s="7">
        <v>19522</v>
      </c>
      <c r="I14800" s="8" t="str">
        <f ca="1">IFERROR(__xludf.DUMMYFUNCTION("IF
(
G14801=""фізична особа""
,
VLOOKUP(H14801,IMPORTRANGE(""https://docs.google.com/spreadsheets/d/14Bd19lYaqBhU8_DElYkX7l4wRkHqqCUFNJY4AfY3kHU/edit?usp=sharing  #gid=0"",""фіз особи new!relations_name""),6,FALSE)
,
(IF
(
G14801=""юридична особа""
,
VLOO"&amp;"KUP(H14801,IMPORTRANGE(""https://docs.google.com/spreadsheets/d/14Bd19lYaqBhU8_DElYkX7l4wRkHqqCUFNJY4AfY3kHU/edit?usp=sharing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00" s="7" t="s">
        <v>23</v>
      </c>
    </row>
    <row r="14801" spans="1:10" ht="13.2">
      <c r="A14801" s="7">
        <v>14800</v>
      </c>
      <c r="B14801" s="7">
        <v>1</v>
      </c>
      <c r="C14801" s="7" t="s">
        <v>10</v>
      </c>
      <c r="D14801" s="7">
        <v>19513</v>
      </c>
      <c r="E14801" s="7" t="s">
        <v>23</v>
      </c>
      <c r="F14801" s="8" t="str">
        <f ca="1">IFERROR(__xludf.DUMMYFUNCTION("IF
(
C14802=""фізична особа""
,
VLOOKUP(D14802,IMPORTRANGE(""https://docs.google.com/spreadsheets/d/14Bd19lYaqBhU8_DElYkX7l4wRkHqqCUFNJY4AfY3kHU/edit?usp=sharing  #gid=0"",""фіз особи new!relations_name""),6,FALSE)
,
(IF
(
C14802=""юридична особа""
,
VLOO"&amp;"KUP(D14802,IMPORTRANGE(""https://docs.google.com/spreadsheets/d/14Bd19lYaqBhU8_DElYkX7l4wRkHqqCUFNJY4AfY3kHU/edit?usp=sharing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801" s="7" t="s">
        <v>10</v>
      </c>
      <c r="H14801" s="7">
        <v>19523</v>
      </c>
      <c r="I14801" s="8" t="str">
        <f ca="1">IFERROR(__xludf.DUMMYFUNCTION("IF
(
G14802=""фізична особа""
,
VLOOKUP(H14802,IMPORTRANGE(""https://docs.google.com/spreadsheets/d/14Bd19lYaqBhU8_DElYkX7l4wRkHqqCUFNJY4AfY3kHU/edit?usp=sharing  #gid=0"",""фіз особи new!relations_name""),6,FALSE)
,
(IF
(
G14802=""юридична особа""
,
VLOO"&amp;"KUP(H14802,IMPORTRANGE(""https://docs.google.com/spreadsheets/d/14Bd19lYaqBhU8_DElYkX7l4wRkHqqCUFNJY4AfY3kHU/edit?usp=sharing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01" s="7" t="s">
        <v>23</v>
      </c>
    </row>
    <row r="14802" spans="1:10" ht="13.2">
      <c r="A14802" s="7">
        <v>14801</v>
      </c>
      <c r="B14802" s="7">
        <v>1</v>
      </c>
      <c r="C14802" s="7" t="s">
        <v>10</v>
      </c>
      <c r="D14802" s="7">
        <v>19513</v>
      </c>
      <c r="E14802" s="7" t="s">
        <v>23</v>
      </c>
      <c r="F14802" s="8" t="str">
        <f ca="1">IFERROR(__xludf.DUMMYFUNCTION("IF
(
C14803=""фізична особа""
,
VLOOKUP(D14803,IMPORTRANGE(""https://docs.google.com/spreadsheets/d/14Bd19lYaqBhU8_DElYkX7l4wRkHqqCUFNJY4AfY3kHU/edit?usp=sharing  #gid=0"",""фіз особи new!relations_name""),6,FALSE)
,
(IF
(
C14803=""юридична особа""
,
VLOO"&amp;"KUP(D14803,IMPORTRANGE(""https://docs.google.com/spreadsheets/d/14Bd19lYaqBhU8_DElYkX7l4wRkHqqCUFNJY4AfY3kHU/edit?usp=sharing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G14802" s="7" t="s">
        <v>10</v>
      </c>
      <c r="H14802" s="7">
        <v>19524</v>
      </c>
      <c r="I14802" s="8" t="str">
        <f ca="1">IFERROR(__xludf.DUMMYFUNCTION("IF
(
G14803=""фізична особа""
,
VLOOKUP(H14803,IMPORTRANGE(""https://docs.google.com/spreadsheets/d/14Bd19lYaqBhU8_DElYkX7l4wRkHqqCUFNJY4AfY3kHU/edit?usp=sharing  #gid=0"",""фіз особи new!relations_name""),6,FALSE)
,
(IF
(
G14803=""юридична особа""
,
VLOO"&amp;"KUP(H14803,IMPORTRANGE(""https://docs.google.com/spreadsheets/d/14Bd19lYaqBhU8_DElYkX7l4wRkHqqCUFNJY4AfY3kHU/edit?usp=sharing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02" s="7" t="s">
        <v>23</v>
      </c>
    </row>
    <row r="14803" spans="1:10" ht="13.2">
      <c r="A14803" s="7">
        <v>14802</v>
      </c>
      <c r="B14803" s="7">
        <v>1</v>
      </c>
      <c r="C14803" s="7" t="s">
        <v>10</v>
      </c>
      <c r="D14803" s="7">
        <v>19514</v>
      </c>
      <c r="E14803" s="7" t="s">
        <v>23</v>
      </c>
      <c r="F14803" s="8" t="str">
        <f ca="1">IFERROR(__xludf.DUMMYFUNCTION("IF
(
C14804=""фізична особа""
,
VLOOKUP(D14804,IMPORTRANGE(""https://docs.google.com/spreadsheets/d/14Bd19lYaqBhU8_DElYkX7l4wRkHqqCUFNJY4AfY3kHU/edit?usp=sharing  #gid=0"",""фіз особи new!relations_name""),6,FALSE)
,
(IF
(
C14804=""юридична особа""
,
VLOO"&amp;"KUP(D14804,IMPORTRANGE(""https://docs.google.com/spreadsheets/d/14Bd19lYaqBhU8_DElYkX7l4wRkHqqCUFNJY4AfY3kHU/edit?usp=sharing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3" s="7" t="s">
        <v>10</v>
      </c>
      <c r="H14803" s="7">
        <v>19520</v>
      </c>
      <c r="I14803" s="8" t="str">
        <f ca="1">IFERROR(__xludf.DUMMYFUNCTION("IF
(
G14804=""фізична особа""
,
VLOOKUP(H14804,IMPORTRANGE(""https://docs.google.com/spreadsheets/d/14Bd19lYaqBhU8_DElYkX7l4wRkHqqCUFNJY4AfY3kHU/edit?usp=sharing  #gid=0"",""фіз особи new!relations_name""),6,FALSE)
,
(IF
(
G14804=""юридична особа""
,
VLOO"&amp;"KUP(H14804,IMPORTRANGE(""https://docs.google.com/spreadsheets/d/14Bd19lYaqBhU8_DElYkX7l4wRkHqqCUFNJY4AfY3kHU/edit?usp=sharing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03" s="7" t="s">
        <v>23</v>
      </c>
    </row>
    <row r="14804" spans="1:10" ht="13.2">
      <c r="A14804" s="7">
        <v>14803</v>
      </c>
      <c r="B14804" s="7">
        <v>1</v>
      </c>
      <c r="C14804" s="7" t="s">
        <v>10</v>
      </c>
      <c r="D14804" s="7">
        <v>19514</v>
      </c>
      <c r="E14804" s="7" t="s">
        <v>23</v>
      </c>
      <c r="F14804" s="8" t="str">
        <f ca="1">IFERROR(__xludf.DUMMYFUNCTION("IF
(
C14805=""фізична особа""
,
VLOOKUP(D14805,IMPORTRANGE(""https://docs.google.com/spreadsheets/d/14Bd19lYaqBhU8_DElYkX7l4wRkHqqCUFNJY4AfY3kHU/edit?usp=sharing  #gid=0"",""фіз особи new!relations_name""),6,FALSE)
,
(IF
(
C14805=""юридична особа""
,
VLOO"&amp;"KUP(D14805,IMPORTRANGE(""https://docs.google.com/spreadsheets/d/14Bd19lYaqBhU8_DElYkX7l4wRkHqqCUFNJY4AfY3kHU/edit?usp=sharing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4" s="7" t="s">
        <v>10</v>
      </c>
      <c r="H14804" s="7">
        <v>19513</v>
      </c>
      <c r="I14804" s="8" t="str">
        <f ca="1">IFERROR(__xludf.DUMMYFUNCTION("IF
(
G14805=""фізична особа""
,
VLOOKUP(H14805,IMPORTRANGE(""https://docs.google.com/spreadsheets/d/14Bd19lYaqBhU8_DElYkX7l4wRkHqqCUFNJY4AfY3kHU/edit?usp=sharing  #gid=0"",""фіз особи new!relations_name""),6,FALSE)
,
(IF
(
G14805=""юридична особа""
,
VLOO"&amp;"KUP(H14805,IMPORTRANGE(""https://docs.google.com/spreadsheets/d/14Bd19lYaqBhU8_DElYkX7l4wRkHqqCUFNJY4AfY3kHU/edit?usp=sharing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04" s="7" t="s">
        <v>23</v>
      </c>
    </row>
    <row r="14805" spans="1:10" ht="13.2">
      <c r="A14805" s="7">
        <v>14804</v>
      </c>
      <c r="B14805" s="7">
        <v>1</v>
      </c>
      <c r="C14805" s="7" t="s">
        <v>10</v>
      </c>
      <c r="D14805" s="7">
        <v>19514</v>
      </c>
      <c r="E14805" s="7" t="s">
        <v>23</v>
      </c>
      <c r="F14805" s="8" t="str">
        <f ca="1">IFERROR(__xludf.DUMMYFUNCTION("IF
(
C14806=""фізична особа""
,
VLOOKUP(D14806,IMPORTRANGE(""https://docs.google.com/spreadsheets/d/14Bd19lYaqBhU8_DElYkX7l4wRkHqqCUFNJY4AfY3kHU/edit?usp=sharing  #gid=0"",""фіз особи new!relations_name""),6,FALSE)
,
(IF
(
C14806=""юридична особа""
,
VLOO"&amp;"KUP(D14806,IMPORTRANGE(""https://docs.google.com/spreadsheets/d/14Bd19lYaqBhU8_DElYkX7l4wRkHqqCUFNJY4AfY3kHU/edit?usp=sharing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5" s="7" t="s">
        <v>10</v>
      </c>
      <c r="H14805" s="7">
        <v>19515</v>
      </c>
      <c r="I14805" s="8" t="str">
        <f ca="1">IFERROR(__xludf.DUMMYFUNCTION("IF
(
G14806=""фізична особа""
,
VLOOKUP(H14806,IMPORTRANGE(""https://docs.google.com/spreadsheets/d/14Bd19lYaqBhU8_DElYkX7l4wRkHqqCUFNJY4AfY3kHU/edit?usp=sharing  #gid=0"",""фіз особи new!relations_name""),6,FALSE)
,
(IF
(
G14806=""юридична особа""
,
VLOO"&amp;"KUP(H14806,IMPORTRANGE(""https://docs.google.com/spreadsheets/d/14Bd19lYaqBhU8_DElYkX7l4wRkHqqCUFNJY4AfY3kHU/edit?usp=sharing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05" s="7" t="s">
        <v>23</v>
      </c>
    </row>
    <row r="14806" spans="1:10" ht="13.2">
      <c r="A14806" s="7">
        <v>14805</v>
      </c>
      <c r="B14806" s="7">
        <v>1</v>
      </c>
      <c r="C14806" s="7" t="s">
        <v>10</v>
      </c>
      <c r="D14806" s="7">
        <v>19514</v>
      </c>
      <c r="E14806" s="7" t="s">
        <v>23</v>
      </c>
      <c r="F14806" s="8" t="str">
        <f ca="1">IFERROR(__xludf.DUMMYFUNCTION("IF
(
C14807=""фізична особа""
,
VLOOKUP(D14807,IMPORTRANGE(""https://docs.google.com/spreadsheets/d/14Bd19lYaqBhU8_DElYkX7l4wRkHqqCUFNJY4AfY3kHU/edit?usp=sharing  #gid=0"",""фіз особи new!relations_name""),6,FALSE)
,
(IF
(
C14807=""юридична особа""
,
VLOO"&amp;"KUP(D14807,IMPORTRANGE(""https://docs.google.com/spreadsheets/d/14Bd19lYaqBhU8_DElYkX7l4wRkHqqCUFNJY4AfY3kHU/edit?usp=sharing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6" s="7" t="s">
        <v>10</v>
      </c>
      <c r="H14806" s="7">
        <v>19516</v>
      </c>
      <c r="I14806" s="8" t="str">
        <f ca="1">IFERROR(__xludf.DUMMYFUNCTION("IF
(
G14807=""фізична особа""
,
VLOOKUP(H14807,IMPORTRANGE(""https://docs.google.com/spreadsheets/d/14Bd19lYaqBhU8_DElYkX7l4wRkHqqCUFNJY4AfY3kHU/edit?usp=sharing  #gid=0"",""фіз особи new!relations_name""),6,FALSE)
,
(IF
(
G14807=""юридична особа""
,
VLOO"&amp;"KUP(H14807,IMPORTRANGE(""https://docs.google.com/spreadsheets/d/14Bd19lYaqBhU8_DElYkX7l4wRkHqqCUFNJY4AfY3kHU/edit?usp=sharing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06" s="7" t="s">
        <v>23</v>
      </c>
    </row>
    <row r="14807" spans="1:10" ht="13.2">
      <c r="A14807" s="7">
        <v>14806</v>
      </c>
      <c r="B14807" s="7">
        <v>1</v>
      </c>
      <c r="C14807" s="7" t="s">
        <v>10</v>
      </c>
      <c r="D14807" s="7">
        <v>19514</v>
      </c>
      <c r="E14807" s="7" t="s">
        <v>23</v>
      </c>
      <c r="F14807" s="8" t="str">
        <f ca="1">IFERROR(__xludf.DUMMYFUNCTION("IF
(
C14808=""фізична особа""
,
VLOOKUP(D14808,IMPORTRANGE(""https://docs.google.com/spreadsheets/d/14Bd19lYaqBhU8_DElYkX7l4wRkHqqCUFNJY4AfY3kHU/edit?usp=sharing  #gid=0"",""фіз особи new!relations_name""),6,FALSE)
,
(IF
(
C14808=""юридична особа""
,
VLOO"&amp;"KUP(D14808,IMPORTRANGE(""https://docs.google.com/spreadsheets/d/14Bd19lYaqBhU8_DElYkX7l4wRkHqqCUFNJY4AfY3kHU/edit?usp=sharing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7" s="7" t="s">
        <v>10</v>
      </c>
      <c r="H14807" s="7">
        <v>19517</v>
      </c>
      <c r="I14807" s="8" t="str">
        <f ca="1">IFERROR(__xludf.DUMMYFUNCTION("IF
(
G14808=""фізична особа""
,
VLOOKUP(H14808,IMPORTRANGE(""https://docs.google.com/spreadsheets/d/14Bd19lYaqBhU8_DElYkX7l4wRkHqqCUFNJY4AfY3kHU/edit?usp=sharing  #gid=0"",""фіз особи new!relations_name""),6,FALSE)
,
(IF
(
G14808=""юридична особа""
,
VLOO"&amp;"KUP(H14808,IMPORTRANGE(""https://docs.google.com/spreadsheets/d/14Bd19lYaqBhU8_DElYkX7l4wRkHqqCUFNJY4AfY3kHU/edit?usp=sharing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07" s="7" t="s">
        <v>23</v>
      </c>
    </row>
    <row r="14808" spans="1:10" ht="13.2">
      <c r="A14808" s="7">
        <v>14807</v>
      </c>
      <c r="B14808" s="7">
        <v>1</v>
      </c>
      <c r="C14808" s="7" t="s">
        <v>10</v>
      </c>
      <c r="D14808" s="7">
        <v>19514</v>
      </c>
      <c r="E14808" s="7" t="s">
        <v>23</v>
      </c>
      <c r="F14808" s="8" t="str">
        <f ca="1">IFERROR(__xludf.DUMMYFUNCTION("IF
(
C14809=""фізична особа""
,
VLOOKUP(D14809,IMPORTRANGE(""https://docs.google.com/spreadsheets/d/14Bd19lYaqBhU8_DElYkX7l4wRkHqqCUFNJY4AfY3kHU/edit?usp=sharing  #gid=0"",""фіз особи new!relations_name""),6,FALSE)
,
(IF
(
C14809=""юридична особа""
,
VLOO"&amp;"KUP(D14809,IMPORTRANGE(""https://docs.google.com/spreadsheets/d/14Bd19lYaqBhU8_DElYkX7l4wRkHqqCUFNJY4AfY3kHU/edit?usp=sharing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8" s="7" t="s">
        <v>10</v>
      </c>
      <c r="H14808" s="7">
        <v>19518</v>
      </c>
      <c r="I14808" s="8" t="str">
        <f ca="1">IFERROR(__xludf.DUMMYFUNCTION("IF
(
G14809=""фізична особа""
,
VLOOKUP(H14809,IMPORTRANGE(""https://docs.google.com/spreadsheets/d/14Bd19lYaqBhU8_DElYkX7l4wRkHqqCUFNJY4AfY3kHU/edit?usp=sharing  #gid=0"",""фіз особи new!relations_name""),6,FALSE)
,
(IF
(
G14809=""юридична особа""
,
VLOO"&amp;"KUP(H14809,IMPORTRANGE(""https://docs.google.com/spreadsheets/d/14Bd19lYaqBhU8_DElYkX7l4wRkHqqCUFNJY4AfY3kHU/edit?usp=sharing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08" s="7" t="s">
        <v>23</v>
      </c>
    </row>
    <row r="14809" spans="1:10" ht="13.2">
      <c r="A14809" s="7">
        <v>14808</v>
      </c>
      <c r="B14809" s="7">
        <v>1</v>
      </c>
      <c r="C14809" s="7" t="s">
        <v>10</v>
      </c>
      <c r="D14809" s="7">
        <v>19514</v>
      </c>
      <c r="E14809" s="7" t="s">
        <v>23</v>
      </c>
      <c r="F14809" s="8" t="str">
        <f ca="1">IFERROR(__xludf.DUMMYFUNCTION("IF
(
C14810=""фізична особа""
,
VLOOKUP(D14810,IMPORTRANGE(""https://docs.google.com/spreadsheets/d/14Bd19lYaqBhU8_DElYkX7l4wRkHqqCUFNJY4AfY3kHU/edit?usp=sharing  #gid=0"",""фіз особи new!relations_name""),6,FALSE)
,
(IF
(
C14810=""юридична особа""
,
VLOO"&amp;"KUP(D14810,IMPORTRANGE(""https://docs.google.com/spreadsheets/d/14Bd19lYaqBhU8_DElYkX7l4wRkHqqCUFNJY4AfY3kHU/edit?usp=sharing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09" s="7" t="s">
        <v>10</v>
      </c>
      <c r="H14809" s="7">
        <v>19519</v>
      </c>
      <c r="I14809" s="8" t="str">
        <f ca="1">IFERROR(__xludf.DUMMYFUNCTION("IF
(
G14810=""фізична особа""
,
VLOOKUP(H14810,IMPORTRANGE(""https://docs.google.com/spreadsheets/d/14Bd19lYaqBhU8_DElYkX7l4wRkHqqCUFNJY4AfY3kHU/edit?usp=sharing  #gid=0"",""фіз особи new!relations_name""),6,FALSE)
,
(IF
(
G14810=""юридична особа""
,
VLOO"&amp;"KUP(H14810,IMPORTRANGE(""https://docs.google.com/spreadsheets/d/14Bd19lYaqBhU8_DElYkX7l4wRkHqqCUFNJY4AfY3kHU/edit?usp=sharing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09" s="7" t="s">
        <v>23</v>
      </c>
    </row>
    <row r="14810" spans="1:10" ht="13.2">
      <c r="A14810" s="7">
        <v>14809</v>
      </c>
      <c r="B14810" s="7">
        <v>1</v>
      </c>
      <c r="C14810" s="7" t="s">
        <v>10</v>
      </c>
      <c r="D14810" s="7">
        <v>19514</v>
      </c>
      <c r="E14810" s="7" t="s">
        <v>23</v>
      </c>
      <c r="F14810" s="8" t="str">
        <f ca="1">IFERROR(__xludf.DUMMYFUNCTION("IF
(
C14811=""фізична особа""
,
VLOOKUP(D14811,IMPORTRANGE(""https://docs.google.com/spreadsheets/d/14Bd19lYaqBhU8_DElYkX7l4wRkHqqCUFNJY4AfY3kHU/edit?usp=sharing  #gid=0"",""фіз особи new!relations_name""),6,FALSE)
,
(IF
(
C14811=""юридична особа""
,
VLOO"&amp;"KUP(D14811,IMPORTRANGE(""https://docs.google.com/spreadsheets/d/14Bd19lYaqBhU8_DElYkX7l4wRkHqqCUFNJY4AfY3kHU/edit?usp=sharing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10" s="7" t="s">
        <v>10</v>
      </c>
      <c r="H14810" s="7">
        <v>19521</v>
      </c>
      <c r="I14810" s="8" t="str">
        <f ca="1">IFERROR(__xludf.DUMMYFUNCTION("IF
(
G14811=""фізична особа""
,
VLOOKUP(H14811,IMPORTRANGE(""https://docs.google.com/spreadsheets/d/14Bd19lYaqBhU8_DElYkX7l4wRkHqqCUFNJY4AfY3kHU/edit?usp=sharing  #gid=0"",""фіз особи new!relations_name""),6,FALSE)
,
(IF
(
G14811=""юридична особа""
,
VLOO"&amp;"KUP(H14811,IMPORTRANGE(""https://docs.google.com/spreadsheets/d/14Bd19lYaqBhU8_DElYkX7l4wRkHqqCUFNJY4AfY3kHU/edit?usp=sharing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10" s="7" t="s">
        <v>23</v>
      </c>
    </row>
    <row r="14811" spans="1:10" ht="13.2">
      <c r="A14811" s="7">
        <v>14810</v>
      </c>
      <c r="B14811" s="7">
        <v>1</v>
      </c>
      <c r="C14811" s="7" t="s">
        <v>10</v>
      </c>
      <c r="D14811" s="7">
        <v>19514</v>
      </c>
      <c r="E14811" s="7" t="s">
        <v>23</v>
      </c>
      <c r="F14811" s="8" t="str">
        <f ca="1">IFERROR(__xludf.DUMMYFUNCTION("IF
(
C14812=""фізична особа""
,
VLOOKUP(D14812,IMPORTRANGE(""https://docs.google.com/spreadsheets/d/14Bd19lYaqBhU8_DElYkX7l4wRkHqqCUFNJY4AfY3kHU/edit?usp=sharing  #gid=0"",""фіз особи new!relations_name""),6,FALSE)
,
(IF
(
C14812=""юридична особа""
,
VLOO"&amp;"KUP(D14812,IMPORTRANGE(""https://docs.google.com/spreadsheets/d/14Bd19lYaqBhU8_DElYkX7l4wRkHqqCUFNJY4AfY3kHU/edit?usp=sharing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11" s="7" t="s">
        <v>10</v>
      </c>
      <c r="H14811" s="7">
        <v>19522</v>
      </c>
      <c r="I14811" s="8" t="str">
        <f ca="1">IFERROR(__xludf.DUMMYFUNCTION("IF
(
G14812=""фізична особа""
,
VLOOKUP(H14812,IMPORTRANGE(""https://docs.google.com/spreadsheets/d/14Bd19lYaqBhU8_DElYkX7l4wRkHqqCUFNJY4AfY3kHU/edit?usp=sharing  #gid=0"",""фіз особи new!relations_name""),6,FALSE)
,
(IF
(
G14812=""юридична особа""
,
VLOO"&amp;"KUP(H14812,IMPORTRANGE(""https://docs.google.com/spreadsheets/d/14Bd19lYaqBhU8_DElYkX7l4wRkHqqCUFNJY4AfY3kHU/edit?usp=sharing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11" s="7" t="s">
        <v>23</v>
      </c>
    </row>
    <row r="14812" spans="1:10" ht="13.2">
      <c r="A14812" s="7">
        <v>14811</v>
      </c>
      <c r="B14812" s="7">
        <v>1</v>
      </c>
      <c r="C14812" s="7" t="s">
        <v>10</v>
      </c>
      <c r="D14812" s="7">
        <v>19514</v>
      </c>
      <c r="E14812" s="7" t="s">
        <v>23</v>
      </c>
      <c r="F14812" s="8" t="str">
        <f ca="1">IFERROR(__xludf.DUMMYFUNCTION("IF
(
C14813=""фізична особа""
,
VLOOKUP(D14813,IMPORTRANGE(""https://docs.google.com/spreadsheets/d/14Bd19lYaqBhU8_DElYkX7l4wRkHqqCUFNJY4AfY3kHU/edit?usp=sharing  #gid=0"",""фіз особи new!relations_name""),6,FALSE)
,
(IF
(
C14813=""юридична особа""
,
VLOO"&amp;"KUP(D14813,IMPORTRANGE(""https://docs.google.com/spreadsheets/d/14Bd19lYaqBhU8_DElYkX7l4wRkHqqCUFNJY4AfY3kHU/edit?usp=sharing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12" s="7" t="s">
        <v>10</v>
      </c>
      <c r="H14812" s="7">
        <v>19523</v>
      </c>
      <c r="I14812" s="8" t="str">
        <f ca="1">IFERROR(__xludf.DUMMYFUNCTION("IF
(
G14813=""фізична особа""
,
VLOOKUP(H14813,IMPORTRANGE(""https://docs.google.com/spreadsheets/d/14Bd19lYaqBhU8_DElYkX7l4wRkHqqCUFNJY4AfY3kHU/edit?usp=sharing  #gid=0"",""фіз особи new!relations_name""),6,FALSE)
,
(IF
(
G14813=""юридична особа""
,
VLOO"&amp;"KUP(H14813,IMPORTRANGE(""https://docs.google.com/spreadsheets/d/14Bd19lYaqBhU8_DElYkX7l4wRkHqqCUFNJY4AfY3kHU/edit?usp=sharing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12" s="7" t="s">
        <v>23</v>
      </c>
    </row>
    <row r="14813" spans="1:10" ht="13.2">
      <c r="A14813" s="7">
        <v>14812</v>
      </c>
      <c r="B14813" s="7">
        <v>1</v>
      </c>
      <c r="C14813" s="7" t="s">
        <v>10</v>
      </c>
      <c r="D14813" s="7">
        <v>19514</v>
      </c>
      <c r="E14813" s="7" t="s">
        <v>23</v>
      </c>
      <c r="F14813" s="8" t="str">
        <f ca="1">IFERROR(__xludf.DUMMYFUNCTION("IF
(
C14814=""фізична особа""
,
VLOOKUP(D14814,IMPORTRANGE(""https://docs.google.com/spreadsheets/d/14Bd19lYaqBhU8_DElYkX7l4wRkHqqCUFNJY4AfY3kHU/edit?usp=sharing  #gid=0"",""фіз особи new!relations_name""),6,FALSE)
,
(IF
(
C14814=""юридична особа""
,
VLOO"&amp;"KUP(D14814,IMPORTRANGE(""https://docs.google.com/spreadsheets/d/14Bd19lYaqBhU8_DElYkX7l4wRkHqqCUFNJY4AfY3kHU/edit?usp=sharing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G14813" s="7" t="s">
        <v>10</v>
      </c>
      <c r="H14813" s="7">
        <v>19524</v>
      </c>
      <c r="I14813" s="8" t="str">
        <f ca="1">IFERROR(__xludf.DUMMYFUNCTION("IF
(
G14814=""фізична особа""
,
VLOOKUP(H14814,IMPORTRANGE(""https://docs.google.com/spreadsheets/d/14Bd19lYaqBhU8_DElYkX7l4wRkHqqCUFNJY4AfY3kHU/edit?usp=sharing  #gid=0"",""фіз особи new!relations_name""),6,FALSE)
,
(IF
(
G14814=""юридична особа""
,
VLOO"&amp;"KUP(H14814,IMPORTRANGE(""https://docs.google.com/spreadsheets/d/14Bd19lYaqBhU8_DElYkX7l4wRkHqqCUFNJY4AfY3kHU/edit?usp=sharing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13" s="7" t="s">
        <v>23</v>
      </c>
    </row>
    <row r="14814" spans="1:10" ht="13.2">
      <c r="A14814" s="7">
        <v>14813</v>
      </c>
      <c r="B14814" s="7">
        <v>1</v>
      </c>
      <c r="C14814" s="7" t="s">
        <v>10</v>
      </c>
      <c r="D14814" s="7">
        <v>19515</v>
      </c>
      <c r="E14814" s="7" t="s">
        <v>23</v>
      </c>
      <c r="F14814" s="8" t="str">
        <f ca="1">IFERROR(__xludf.DUMMYFUNCTION("IF
(
C14815=""фізична особа""
,
VLOOKUP(D14815,IMPORTRANGE(""https://docs.google.com/spreadsheets/d/14Bd19lYaqBhU8_DElYkX7l4wRkHqqCUFNJY4AfY3kHU/edit?usp=sharing  #gid=0"",""фіз особи new!relations_name""),6,FALSE)
,
(IF
(
C14815=""юридична особа""
,
VLOO"&amp;"KUP(D14815,IMPORTRANGE(""https://docs.google.com/spreadsheets/d/14Bd19lYaqBhU8_DElYkX7l4wRkHqqCUFNJY4AfY3kHU/edit?usp=sharing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4" s="7" t="s">
        <v>10</v>
      </c>
      <c r="H14814" s="7">
        <v>19520</v>
      </c>
      <c r="I14814" s="8" t="str">
        <f ca="1">IFERROR(__xludf.DUMMYFUNCTION("IF
(
G14815=""фізична особа""
,
VLOOKUP(H14815,IMPORTRANGE(""https://docs.google.com/spreadsheets/d/14Bd19lYaqBhU8_DElYkX7l4wRkHqqCUFNJY4AfY3kHU/edit?usp=sharing  #gid=0"",""фіз особи new!relations_name""),6,FALSE)
,
(IF
(
G14815=""юридична особа""
,
VLOO"&amp;"KUP(H14815,IMPORTRANGE(""https://docs.google.com/spreadsheets/d/14Bd19lYaqBhU8_DElYkX7l4wRkHqqCUFNJY4AfY3kHU/edit?usp=sharing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14" s="7" t="s">
        <v>23</v>
      </c>
    </row>
    <row r="14815" spans="1:10" ht="13.2">
      <c r="A14815" s="7">
        <v>14814</v>
      </c>
      <c r="B14815" s="7">
        <v>1</v>
      </c>
      <c r="C14815" s="7" t="s">
        <v>10</v>
      </c>
      <c r="D14815" s="7">
        <v>19515</v>
      </c>
      <c r="E14815" s="7" t="s">
        <v>23</v>
      </c>
      <c r="F14815" s="8" t="str">
        <f ca="1">IFERROR(__xludf.DUMMYFUNCTION("IF
(
C14816=""фізична особа""
,
VLOOKUP(D14816,IMPORTRANGE(""https://docs.google.com/spreadsheets/d/14Bd19lYaqBhU8_DElYkX7l4wRkHqqCUFNJY4AfY3kHU/edit?usp=sharing  #gid=0"",""фіз особи new!relations_name""),6,FALSE)
,
(IF
(
C14816=""юридична особа""
,
VLOO"&amp;"KUP(D14816,IMPORTRANGE(""https://docs.google.com/spreadsheets/d/14Bd19lYaqBhU8_DElYkX7l4wRkHqqCUFNJY4AfY3kHU/edit?usp=sharing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5" s="7" t="s">
        <v>10</v>
      </c>
      <c r="H14815" s="7">
        <v>19513</v>
      </c>
      <c r="I14815" s="8" t="str">
        <f ca="1">IFERROR(__xludf.DUMMYFUNCTION("IF
(
G14816=""фізична особа""
,
VLOOKUP(H14816,IMPORTRANGE(""https://docs.google.com/spreadsheets/d/14Bd19lYaqBhU8_DElYkX7l4wRkHqqCUFNJY4AfY3kHU/edit?usp=sharing  #gid=0"",""фіз особи new!relations_name""),6,FALSE)
,
(IF
(
G14816=""юридична особа""
,
VLOO"&amp;"KUP(H14816,IMPORTRANGE(""https://docs.google.com/spreadsheets/d/14Bd19lYaqBhU8_DElYkX7l4wRkHqqCUFNJY4AfY3kHU/edit?usp=sharing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15" s="7" t="s">
        <v>23</v>
      </c>
    </row>
    <row r="14816" spans="1:10" ht="13.2">
      <c r="A14816" s="7">
        <v>14815</v>
      </c>
      <c r="B14816" s="7">
        <v>1</v>
      </c>
      <c r="C14816" s="7" t="s">
        <v>10</v>
      </c>
      <c r="D14816" s="7">
        <v>19515</v>
      </c>
      <c r="E14816" s="7" t="s">
        <v>23</v>
      </c>
      <c r="F14816" s="8" t="str">
        <f ca="1">IFERROR(__xludf.DUMMYFUNCTION("IF
(
C14817=""фізична особа""
,
VLOOKUP(D14817,IMPORTRANGE(""https://docs.google.com/spreadsheets/d/14Bd19lYaqBhU8_DElYkX7l4wRkHqqCUFNJY4AfY3kHU/edit?usp=sharing  #gid=0"",""фіз особи new!relations_name""),6,FALSE)
,
(IF
(
C14817=""юридична особа""
,
VLOO"&amp;"KUP(D14817,IMPORTRANGE(""https://docs.google.com/spreadsheets/d/14Bd19lYaqBhU8_DElYkX7l4wRkHqqCUFNJY4AfY3kHU/edit?usp=sharing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6" s="7" t="s">
        <v>10</v>
      </c>
      <c r="H14816" s="7">
        <v>19514</v>
      </c>
      <c r="I14816" s="8" t="str">
        <f ca="1">IFERROR(__xludf.DUMMYFUNCTION("IF
(
G14817=""фізична особа""
,
VLOOKUP(H14817,IMPORTRANGE(""https://docs.google.com/spreadsheets/d/14Bd19lYaqBhU8_DElYkX7l4wRkHqqCUFNJY4AfY3kHU/edit?usp=sharing  #gid=0"",""фіз особи new!relations_name""),6,FALSE)
,
(IF
(
G14817=""юридична особа""
,
VLOO"&amp;"KUP(H14817,IMPORTRANGE(""https://docs.google.com/spreadsheets/d/14Bd19lYaqBhU8_DElYkX7l4wRkHqqCUFNJY4AfY3kHU/edit?usp=sharing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16" s="7" t="s">
        <v>23</v>
      </c>
    </row>
    <row r="14817" spans="1:10" ht="13.2">
      <c r="A14817" s="7">
        <v>14816</v>
      </c>
      <c r="B14817" s="7">
        <v>1</v>
      </c>
      <c r="C14817" s="7" t="s">
        <v>10</v>
      </c>
      <c r="D14817" s="7">
        <v>19515</v>
      </c>
      <c r="E14817" s="7" t="s">
        <v>23</v>
      </c>
      <c r="F14817" s="8" t="str">
        <f ca="1">IFERROR(__xludf.DUMMYFUNCTION("IF
(
C14818=""фізична особа""
,
VLOOKUP(D14818,IMPORTRANGE(""https://docs.google.com/spreadsheets/d/14Bd19lYaqBhU8_DElYkX7l4wRkHqqCUFNJY4AfY3kHU/edit?usp=sharing  #gid=0"",""фіз особи new!relations_name""),6,FALSE)
,
(IF
(
C14818=""юридична особа""
,
VLOO"&amp;"KUP(D14818,IMPORTRANGE(""https://docs.google.com/spreadsheets/d/14Bd19lYaqBhU8_DElYkX7l4wRkHqqCUFNJY4AfY3kHU/edit?usp=sharing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7" s="7" t="s">
        <v>10</v>
      </c>
      <c r="H14817" s="7">
        <v>19516</v>
      </c>
      <c r="I14817" s="8" t="str">
        <f ca="1">IFERROR(__xludf.DUMMYFUNCTION("IF
(
G14818=""фізична особа""
,
VLOOKUP(H14818,IMPORTRANGE(""https://docs.google.com/spreadsheets/d/14Bd19lYaqBhU8_DElYkX7l4wRkHqqCUFNJY4AfY3kHU/edit?usp=sharing  #gid=0"",""фіз особи new!relations_name""),6,FALSE)
,
(IF
(
G14818=""юридична особа""
,
VLOO"&amp;"KUP(H14818,IMPORTRANGE(""https://docs.google.com/spreadsheets/d/14Bd19lYaqBhU8_DElYkX7l4wRkHqqCUFNJY4AfY3kHU/edit?usp=sharing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17" s="7" t="s">
        <v>23</v>
      </c>
    </row>
    <row r="14818" spans="1:10" ht="13.2">
      <c r="A14818" s="7">
        <v>14817</v>
      </c>
      <c r="B14818" s="7">
        <v>1</v>
      </c>
      <c r="C14818" s="7" t="s">
        <v>10</v>
      </c>
      <c r="D14818" s="7">
        <v>19515</v>
      </c>
      <c r="E14818" s="7" t="s">
        <v>23</v>
      </c>
      <c r="F14818" s="8" t="str">
        <f ca="1">IFERROR(__xludf.DUMMYFUNCTION("IF
(
C14819=""фізична особа""
,
VLOOKUP(D14819,IMPORTRANGE(""https://docs.google.com/spreadsheets/d/14Bd19lYaqBhU8_DElYkX7l4wRkHqqCUFNJY4AfY3kHU/edit?usp=sharing  #gid=0"",""фіз особи new!relations_name""),6,FALSE)
,
(IF
(
C14819=""юридична особа""
,
VLOO"&amp;"KUP(D14819,IMPORTRANGE(""https://docs.google.com/spreadsheets/d/14Bd19lYaqBhU8_DElYkX7l4wRkHqqCUFNJY4AfY3kHU/edit?usp=sharing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8" s="7" t="s">
        <v>10</v>
      </c>
      <c r="H14818" s="7">
        <v>19517</v>
      </c>
      <c r="I14818" s="8" t="str">
        <f ca="1">IFERROR(__xludf.DUMMYFUNCTION("IF
(
G14819=""фізична особа""
,
VLOOKUP(H14819,IMPORTRANGE(""https://docs.google.com/spreadsheets/d/14Bd19lYaqBhU8_DElYkX7l4wRkHqqCUFNJY4AfY3kHU/edit?usp=sharing  #gid=0"",""фіз особи new!relations_name""),6,FALSE)
,
(IF
(
G14819=""юридична особа""
,
VLOO"&amp;"KUP(H14819,IMPORTRANGE(""https://docs.google.com/spreadsheets/d/14Bd19lYaqBhU8_DElYkX7l4wRkHqqCUFNJY4AfY3kHU/edit?usp=sharing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18" s="7" t="s">
        <v>23</v>
      </c>
    </row>
    <row r="14819" spans="1:10" ht="13.2">
      <c r="A14819" s="7">
        <v>14818</v>
      </c>
      <c r="B14819" s="7">
        <v>1</v>
      </c>
      <c r="C14819" s="7" t="s">
        <v>10</v>
      </c>
      <c r="D14819" s="7">
        <v>19515</v>
      </c>
      <c r="E14819" s="7" t="s">
        <v>23</v>
      </c>
      <c r="F14819" s="8" t="str">
        <f ca="1">IFERROR(__xludf.DUMMYFUNCTION("IF
(
C14820=""фізична особа""
,
VLOOKUP(D14820,IMPORTRANGE(""https://docs.google.com/spreadsheets/d/14Bd19lYaqBhU8_DElYkX7l4wRkHqqCUFNJY4AfY3kHU/edit?usp=sharing  #gid=0"",""фіз особи new!relations_name""),6,FALSE)
,
(IF
(
C14820=""юридична особа""
,
VLOO"&amp;"KUP(D14820,IMPORTRANGE(""https://docs.google.com/spreadsheets/d/14Bd19lYaqBhU8_DElYkX7l4wRkHqqCUFNJY4AfY3kHU/edit?usp=sharing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19" s="7" t="s">
        <v>10</v>
      </c>
      <c r="H14819" s="7">
        <v>19518</v>
      </c>
      <c r="I14819" s="8" t="str">
        <f ca="1">IFERROR(__xludf.DUMMYFUNCTION("IF
(
G14820=""фізична особа""
,
VLOOKUP(H14820,IMPORTRANGE(""https://docs.google.com/spreadsheets/d/14Bd19lYaqBhU8_DElYkX7l4wRkHqqCUFNJY4AfY3kHU/edit?usp=sharing  #gid=0"",""фіз особи new!relations_name""),6,FALSE)
,
(IF
(
G14820=""юридична особа""
,
VLOO"&amp;"KUP(H14820,IMPORTRANGE(""https://docs.google.com/spreadsheets/d/14Bd19lYaqBhU8_DElYkX7l4wRkHqqCUFNJY4AfY3kHU/edit?usp=sharing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19" s="7" t="s">
        <v>23</v>
      </c>
    </row>
    <row r="14820" spans="1:10" ht="13.2">
      <c r="A14820" s="7">
        <v>14819</v>
      </c>
      <c r="B14820" s="7">
        <v>1</v>
      </c>
      <c r="C14820" s="7" t="s">
        <v>10</v>
      </c>
      <c r="D14820" s="7">
        <v>19515</v>
      </c>
      <c r="E14820" s="7" t="s">
        <v>23</v>
      </c>
      <c r="F14820" s="8" t="str">
        <f ca="1">IFERROR(__xludf.DUMMYFUNCTION("IF
(
C14821=""фізична особа""
,
VLOOKUP(D14821,IMPORTRANGE(""https://docs.google.com/spreadsheets/d/14Bd19lYaqBhU8_DElYkX7l4wRkHqqCUFNJY4AfY3kHU/edit?usp=sharing  #gid=0"",""фіз особи new!relations_name""),6,FALSE)
,
(IF
(
C14821=""юридична особа""
,
VLOO"&amp;"KUP(D14821,IMPORTRANGE(""https://docs.google.com/spreadsheets/d/14Bd19lYaqBhU8_DElYkX7l4wRkHqqCUFNJY4AfY3kHU/edit?usp=sharing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20" s="7" t="s">
        <v>10</v>
      </c>
      <c r="H14820" s="7">
        <v>19519</v>
      </c>
      <c r="I14820" s="8" t="str">
        <f ca="1">IFERROR(__xludf.DUMMYFUNCTION("IF
(
G14821=""фізична особа""
,
VLOOKUP(H14821,IMPORTRANGE(""https://docs.google.com/spreadsheets/d/14Bd19lYaqBhU8_DElYkX7l4wRkHqqCUFNJY4AfY3kHU/edit?usp=sharing  #gid=0"",""фіз особи new!relations_name""),6,FALSE)
,
(IF
(
G14821=""юридична особа""
,
VLOO"&amp;"KUP(H14821,IMPORTRANGE(""https://docs.google.com/spreadsheets/d/14Bd19lYaqBhU8_DElYkX7l4wRkHqqCUFNJY4AfY3kHU/edit?usp=sharing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20" s="7" t="s">
        <v>23</v>
      </c>
    </row>
    <row r="14821" spans="1:10" ht="13.2">
      <c r="A14821" s="7">
        <v>14820</v>
      </c>
      <c r="B14821" s="7">
        <v>1</v>
      </c>
      <c r="C14821" s="7" t="s">
        <v>10</v>
      </c>
      <c r="D14821" s="7">
        <v>19515</v>
      </c>
      <c r="E14821" s="7" t="s">
        <v>23</v>
      </c>
      <c r="F14821" s="8" t="str">
        <f ca="1">IFERROR(__xludf.DUMMYFUNCTION("IF
(
C14822=""фізична особа""
,
VLOOKUP(D14822,IMPORTRANGE(""https://docs.google.com/spreadsheets/d/14Bd19lYaqBhU8_DElYkX7l4wRkHqqCUFNJY4AfY3kHU/edit?usp=sharing  #gid=0"",""фіз особи new!relations_name""),6,FALSE)
,
(IF
(
C14822=""юридична особа""
,
VLOO"&amp;"KUP(D14822,IMPORTRANGE(""https://docs.google.com/spreadsheets/d/14Bd19lYaqBhU8_DElYkX7l4wRkHqqCUFNJY4AfY3kHU/edit?usp=sharing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21" s="7" t="s">
        <v>10</v>
      </c>
      <c r="H14821" s="7">
        <v>19521</v>
      </c>
      <c r="I14821" s="8" t="str">
        <f ca="1">IFERROR(__xludf.DUMMYFUNCTION("IF
(
G14822=""фізична особа""
,
VLOOKUP(H14822,IMPORTRANGE(""https://docs.google.com/spreadsheets/d/14Bd19lYaqBhU8_DElYkX7l4wRkHqqCUFNJY4AfY3kHU/edit?usp=sharing  #gid=0"",""фіз особи new!relations_name""),6,FALSE)
,
(IF
(
G14822=""юридична особа""
,
VLOO"&amp;"KUP(H14822,IMPORTRANGE(""https://docs.google.com/spreadsheets/d/14Bd19lYaqBhU8_DElYkX7l4wRkHqqCUFNJY4AfY3kHU/edit?usp=sharing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21" s="7" t="s">
        <v>23</v>
      </c>
    </row>
    <row r="14822" spans="1:10" ht="13.2">
      <c r="A14822" s="7">
        <v>14821</v>
      </c>
      <c r="B14822" s="7">
        <v>1</v>
      </c>
      <c r="C14822" s="7" t="s">
        <v>10</v>
      </c>
      <c r="D14822" s="7">
        <v>19515</v>
      </c>
      <c r="E14822" s="7" t="s">
        <v>23</v>
      </c>
      <c r="F14822" s="8" t="str">
        <f ca="1">IFERROR(__xludf.DUMMYFUNCTION("IF
(
C14823=""фізична особа""
,
VLOOKUP(D14823,IMPORTRANGE(""https://docs.google.com/spreadsheets/d/14Bd19lYaqBhU8_DElYkX7l4wRkHqqCUFNJY4AfY3kHU/edit?usp=sharing  #gid=0"",""фіз особи new!relations_name""),6,FALSE)
,
(IF
(
C14823=""юридична особа""
,
VLOO"&amp;"KUP(D14823,IMPORTRANGE(""https://docs.google.com/spreadsheets/d/14Bd19lYaqBhU8_DElYkX7l4wRkHqqCUFNJY4AfY3kHU/edit?usp=sharing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22" s="7" t="s">
        <v>10</v>
      </c>
      <c r="H14822" s="7">
        <v>19522</v>
      </c>
      <c r="I14822" s="8" t="str">
        <f ca="1">IFERROR(__xludf.DUMMYFUNCTION("IF
(
G14823=""фізична особа""
,
VLOOKUP(H14823,IMPORTRANGE(""https://docs.google.com/spreadsheets/d/14Bd19lYaqBhU8_DElYkX7l4wRkHqqCUFNJY4AfY3kHU/edit?usp=sharing  #gid=0"",""фіз особи new!relations_name""),6,FALSE)
,
(IF
(
G14823=""юридична особа""
,
VLOO"&amp;"KUP(H14823,IMPORTRANGE(""https://docs.google.com/spreadsheets/d/14Bd19lYaqBhU8_DElYkX7l4wRkHqqCUFNJY4AfY3kHU/edit?usp=sharing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22" s="7" t="s">
        <v>23</v>
      </c>
    </row>
    <row r="14823" spans="1:10" ht="13.2">
      <c r="A14823" s="7">
        <v>14822</v>
      </c>
      <c r="B14823" s="7">
        <v>1</v>
      </c>
      <c r="C14823" s="7" t="s">
        <v>10</v>
      </c>
      <c r="D14823" s="7">
        <v>19515</v>
      </c>
      <c r="E14823" s="7" t="s">
        <v>23</v>
      </c>
      <c r="F14823" s="8" t="str">
        <f ca="1">IFERROR(__xludf.DUMMYFUNCTION("IF
(
C14824=""фізична особа""
,
VLOOKUP(D14824,IMPORTRANGE(""https://docs.google.com/spreadsheets/d/14Bd19lYaqBhU8_DElYkX7l4wRkHqqCUFNJY4AfY3kHU/edit?usp=sharing  #gid=0"",""фіз особи new!relations_name""),6,FALSE)
,
(IF
(
C14824=""юридична особа""
,
VLOO"&amp;"KUP(D14824,IMPORTRANGE(""https://docs.google.com/spreadsheets/d/14Bd19lYaqBhU8_DElYkX7l4wRkHqqCUFNJY4AfY3kHU/edit?usp=sharing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23" s="7" t="s">
        <v>10</v>
      </c>
      <c r="H14823" s="7">
        <v>19523</v>
      </c>
      <c r="I14823" s="8" t="str">
        <f ca="1">IFERROR(__xludf.DUMMYFUNCTION("IF
(
G14824=""фізична особа""
,
VLOOKUP(H14824,IMPORTRANGE(""https://docs.google.com/spreadsheets/d/14Bd19lYaqBhU8_DElYkX7l4wRkHqqCUFNJY4AfY3kHU/edit?usp=sharing  #gid=0"",""фіз особи new!relations_name""),6,FALSE)
,
(IF
(
G14824=""юридична особа""
,
VLOO"&amp;"KUP(H14824,IMPORTRANGE(""https://docs.google.com/spreadsheets/d/14Bd19lYaqBhU8_DElYkX7l4wRkHqqCUFNJY4AfY3kHU/edit?usp=sharing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23" s="7" t="s">
        <v>23</v>
      </c>
    </row>
    <row r="14824" spans="1:10" ht="13.2">
      <c r="A14824" s="7">
        <v>14823</v>
      </c>
      <c r="B14824" s="7">
        <v>1</v>
      </c>
      <c r="C14824" s="7" t="s">
        <v>10</v>
      </c>
      <c r="D14824" s="7">
        <v>19515</v>
      </c>
      <c r="E14824" s="7" t="s">
        <v>23</v>
      </c>
      <c r="F14824" s="8" t="str">
        <f ca="1">IFERROR(__xludf.DUMMYFUNCTION("IF
(
C14825=""фізична особа""
,
VLOOKUP(D14825,IMPORTRANGE(""https://docs.google.com/spreadsheets/d/14Bd19lYaqBhU8_DElYkX7l4wRkHqqCUFNJY4AfY3kHU/edit?usp=sharing  #gid=0"",""фіз особи new!relations_name""),6,FALSE)
,
(IF
(
C14825=""юридична особа""
,
VLOO"&amp;"KUP(D14825,IMPORTRANGE(""https://docs.google.com/spreadsheets/d/14Bd19lYaqBhU8_DElYkX7l4wRkHqqCUFNJY4AfY3kHU/edit?usp=sharing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G14824" s="7" t="s">
        <v>10</v>
      </c>
      <c r="H14824" s="7">
        <v>19524</v>
      </c>
      <c r="I14824" s="8" t="str">
        <f ca="1">IFERROR(__xludf.DUMMYFUNCTION("IF
(
G14825=""фізична особа""
,
VLOOKUP(H14825,IMPORTRANGE(""https://docs.google.com/spreadsheets/d/14Bd19lYaqBhU8_DElYkX7l4wRkHqqCUFNJY4AfY3kHU/edit?usp=sharing  #gid=0"",""фіз особи new!relations_name""),6,FALSE)
,
(IF
(
G14825=""юридична особа""
,
VLOO"&amp;"KUP(H14825,IMPORTRANGE(""https://docs.google.com/spreadsheets/d/14Bd19lYaqBhU8_DElYkX7l4wRkHqqCUFNJY4AfY3kHU/edit?usp=sharing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24" s="7" t="s">
        <v>23</v>
      </c>
    </row>
    <row r="14825" spans="1:10" ht="13.2">
      <c r="A14825" s="7">
        <v>14824</v>
      </c>
      <c r="B14825" s="7">
        <v>1</v>
      </c>
      <c r="C14825" s="7" t="s">
        <v>10</v>
      </c>
      <c r="D14825" s="7">
        <v>19516</v>
      </c>
      <c r="E14825" s="7" t="s">
        <v>23</v>
      </c>
      <c r="F14825" s="8" t="str">
        <f ca="1">IFERROR(__xludf.DUMMYFUNCTION("IF
(
C14826=""фізична особа""
,
VLOOKUP(D14826,IMPORTRANGE(""https://docs.google.com/spreadsheets/d/14Bd19lYaqBhU8_DElYkX7l4wRkHqqCUFNJY4AfY3kHU/edit?usp=sharing  #gid=0"",""фіз особи new!relations_name""),6,FALSE)
,
(IF
(
C14826=""юридична особа""
,
VLOO"&amp;"KUP(D14826,IMPORTRANGE(""https://docs.google.com/spreadsheets/d/14Bd19lYaqBhU8_DElYkX7l4wRkHqqCUFNJY4AfY3kHU/edit?usp=sharing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25" s="7" t="s">
        <v>10</v>
      </c>
      <c r="H14825" s="7">
        <v>19520</v>
      </c>
      <c r="I14825" s="8" t="str">
        <f ca="1">IFERROR(__xludf.DUMMYFUNCTION("IF
(
G14826=""фізична особа""
,
VLOOKUP(H14826,IMPORTRANGE(""https://docs.google.com/spreadsheets/d/14Bd19lYaqBhU8_DElYkX7l4wRkHqqCUFNJY4AfY3kHU/edit?usp=sharing  #gid=0"",""фіз особи new!relations_name""),6,FALSE)
,
(IF
(
G14826=""юридична особа""
,
VLOO"&amp;"KUP(H14826,IMPORTRANGE(""https://docs.google.com/spreadsheets/d/14Bd19lYaqBhU8_DElYkX7l4wRkHqqCUFNJY4AfY3kHU/edit?usp=sharing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25" s="7" t="s">
        <v>23</v>
      </c>
    </row>
    <row r="14826" spans="1:10" ht="13.2">
      <c r="A14826" s="7">
        <v>14825</v>
      </c>
      <c r="B14826" s="7">
        <v>1</v>
      </c>
      <c r="C14826" s="7" t="s">
        <v>10</v>
      </c>
      <c r="D14826" s="7">
        <v>19516</v>
      </c>
      <c r="E14826" s="7" t="s">
        <v>23</v>
      </c>
      <c r="F14826" s="8" t="str">
        <f ca="1">IFERROR(__xludf.DUMMYFUNCTION("IF
(
C14827=""фізична особа""
,
VLOOKUP(D14827,IMPORTRANGE(""https://docs.google.com/spreadsheets/d/14Bd19lYaqBhU8_DElYkX7l4wRkHqqCUFNJY4AfY3kHU/edit?usp=sharing  #gid=0"",""фіз особи new!relations_name""),6,FALSE)
,
(IF
(
C14827=""юридична особа""
,
VLOO"&amp;"KUP(D14827,IMPORTRANGE(""https://docs.google.com/spreadsheets/d/14Bd19lYaqBhU8_DElYkX7l4wRkHqqCUFNJY4AfY3kHU/edit?usp=sharing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26" s="7" t="s">
        <v>10</v>
      </c>
      <c r="H14826" s="7">
        <v>19513</v>
      </c>
      <c r="I14826" s="8" t="str">
        <f ca="1">IFERROR(__xludf.DUMMYFUNCTION("IF
(
G14827=""фізична особа""
,
VLOOKUP(H14827,IMPORTRANGE(""https://docs.google.com/spreadsheets/d/14Bd19lYaqBhU8_DElYkX7l4wRkHqqCUFNJY4AfY3kHU/edit?usp=sharing  #gid=0"",""фіз особи new!relations_name""),6,FALSE)
,
(IF
(
G14827=""юридична особа""
,
VLOO"&amp;"KUP(H14827,IMPORTRANGE(""https://docs.google.com/spreadsheets/d/14Bd19lYaqBhU8_DElYkX7l4wRkHqqCUFNJY4AfY3kHU/edit?usp=sharing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26" s="7" t="s">
        <v>23</v>
      </c>
    </row>
    <row r="14827" spans="1:10" ht="13.2">
      <c r="A14827" s="7">
        <v>14826</v>
      </c>
      <c r="B14827" s="7">
        <v>1</v>
      </c>
      <c r="C14827" s="7" t="s">
        <v>10</v>
      </c>
      <c r="D14827" s="7">
        <v>19516</v>
      </c>
      <c r="E14827" s="7" t="s">
        <v>23</v>
      </c>
      <c r="F14827" s="8" t="str">
        <f ca="1">IFERROR(__xludf.DUMMYFUNCTION("IF
(
C14828=""фізична особа""
,
VLOOKUP(D14828,IMPORTRANGE(""https://docs.google.com/spreadsheets/d/14Bd19lYaqBhU8_DElYkX7l4wRkHqqCUFNJY4AfY3kHU/edit?usp=sharing  #gid=0"",""фіз особи new!relations_name""),6,FALSE)
,
(IF
(
C14828=""юридична особа""
,
VLOO"&amp;"KUP(D14828,IMPORTRANGE(""https://docs.google.com/spreadsheets/d/14Bd19lYaqBhU8_DElYkX7l4wRkHqqCUFNJY4AfY3kHU/edit?usp=sharing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27" s="7" t="s">
        <v>10</v>
      </c>
      <c r="H14827" s="7">
        <v>19514</v>
      </c>
      <c r="I14827" s="8" t="str">
        <f ca="1">IFERROR(__xludf.DUMMYFUNCTION("IF
(
G14828=""фізична особа""
,
VLOOKUP(H14828,IMPORTRANGE(""https://docs.google.com/spreadsheets/d/14Bd19lYaqBhU8_DElYkX7l4wRkHqqCUFNJY4AfY3kHU/edit?usp=sharing  #gid=0"",""фіз особи new!relations_name""),6,FALSE)
,
(IF
(
G14828=""юридична особа""
,
VLOO"&amp;"KUP(H14828,IMPORTRANGE(""https://docs.google.com/spreadsheets/d/14Bd19lYaqBhU8_DElYkX7l4wRkHqqCUFNJY4AfY3kHU/edit?usp=sharing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27" s="7" t="s">
        <v>23</v>
      </c>
    </row>
    <row r="14828" spans="1:10" ht="13.2">
      <c r="A14828" s="7">
        <v>14827</v>
      </c>
      <c r="B14828" s="7">
        <v>1</v>
      </c>
      <c r="C14828" s="7" t="s">
        <v>10</v>
      </c>
      <c r="D14828" s="7">
        <v>19516</v>
      </c>
      <c r="E14828" s="7" t="s">
        <v>23</v>
      </c>
      <c r="F14828" s="8" t="str">
        <f ca="1">IFERROR(__xludf.DUMMYFUNCTION("IF
(
C14829=""фізична особа""
,
VLOOKUP(D14829,IMPORTRANGE(""https://docs.google.com/spreadsheets/d/14Bd19lYaqBhU8_DElYkX7l4wRkHqqCUFNJY4AfY3kHU/edit?usp=sharing  #gid=0"",""фіз особи new!relations_name""),6,FALSE)
,
(IF
(
C14829=""юридична особа""
,
VLOO"&amp;"KUP(D14829,IMPORTRANGE(""https://docs.google.com/spreadsheets/d/14Bd19lYaqBhU8_DElYkX7l4wRkHqqCUFNJY4AfY3kHU/edit?usp=sharing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28" s="7" t="s">
        <v>10</v>
      </c>
      <c r="H14828" s="7">
        <v>19515</v>
      </c>
      <c r="I14828" s="8" t="str">
        <f ca="1">IFERROR(__xludf.DUMMYFUNCTION("IF
(
G14829=""фізична особа""
,
VLOOKUP(H14829,IMPORTRANGE(""https://docs.google.com/spreadsheets/d/14Bd19lYaqBhU8_DElYkX7l4wRkHqqCUFNJY4AfY3kHU/edit?usp=sharing  #gid=0"",""фіз особи new!relations_name""),6,FALSE)
,
(IF
(
G14829=""юридична особа""
,
VLOO"&amp;"KUP(H14829,IMPORTRANGE(""https://docs.google.com/spreadsheets/d/14Bd19lYaqBhU8_DElYkX7l4wRkHqqCUFNJY4AfY3kHU/edit?usp=sharing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28" s="7" t="s">
        <v>23</v>
      </c>
    </row>
    <row r="14829" spans="1:10" ht="13.2">
      <c r="A14829" s="7">
        <v>14828</v>
      </c>
      <c r="B14829" s="7">
        <v>1</v>
      </c>
      <c r="C14829" s="7" t="s">
        <v>10</v>
      </c>
      <c r="D14829" s="7">
        <v>19516</v>
      </c>
      <c r="E14829" s="7" t="s">
        <v>23</v>
      </c>
      <c r="F14829" s="8" t="str">
        <f ca="1">IFERROR(__xludf.DUMMYFUNCTION("IF
(
C14830=""фізична особа""
,
VLOOKUP(D14830,IMPORTRANGE(""https://docs.google.com/spreadsheets/d/14Bd19lYaqBhU8_DElYkX7l4wRkHqqCUFNJY4AfY3kHU/edit?usp=sharing  #gid=0"",""фіз особи new!relations_name""),6,FALSE)
,
(IF
(
C14830=""юридична особа""
,
VLOO"&amp;"KUP(D14830,IMPORTRANGE(""https://docs.google.com/spreadsheets/d/14Bd19lYaqBhU8_DElYkX7l4wRkHqqCUFNJY4AfY3kHU/edit?usp=sharing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29" s="7" t="s">
        <v>10</v>
      </c>
      <c r="H14829" s="7">
        <v>19517</v>
      </c>
      <c r="I14829" s="8" t="str">
        <f ca="1">IFERROR(__xludf.DUMMYFUNCTION("IF
(
G14830=""фізична особа""
,
VLOOKUP(H14830,IMPORTRANGE(""https://docs.google.com/spreadsheets/d/14Bd19lYaqBhU8_DElYkX7l4wRkHqqCUFNJY4AfY3kHU/edit?usp=sharing  #gid=0"",""фіз особи new!relations_name""),6,FALSE)
,
(IF
(
G14830=""юридична особа""
,
VLOO"&amp;"KUP(H14830,IMPORTRANGE(""https://docs.google.com/spreadsheets/d/14Bd19lYaqBhU8_DElYkX7l4wRkHqqCUFNJY4AfY3kHU/edit?usp=sharing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29" s="7" t="s">
        <v>23</v>
      </c>
    </row>
    <row r="14830" spans="1:10" ht="13.2">
      <c r="A14830" s="7">
        <v>14829</v>
      </c>
      <c r="B14830" s="7">
        <v>1</v>
      </c>
      <c r="C14830" s="7" t="s">
        <v>10</v>
      </c>
      <c r="D14830" s="7">
        <v>19516</v>
      </c>
      <c r="E14830" s="7" t="s">
        <v>23</v>
      </c>
      <c r="F14830" s="8" t="str">
        <f ca="1">IFERROR(__xludf.DUMMYFUNCTION("IF
(
C14831=""фізична особа""
,
VLOOKUP(D14831,IMPORTRANGE(""https://docs.google.com/spreadsheets/d/14Bd19lYaqBhU8_DElYkX7l4wRkHqqCUFNJY4AfY3kHU/edit?usp=sharing  #gid=0"",""фіз особи new!relations_name""),6,FALSE)
,
(IF
(
C14831=""юридична особа""
,
VLOO"&amp;"KUP(D14831,IMPORTRANGE(""https://docs.google.com/spreadsheets/d/14Bd19lYaqBhU8_DElYkX7l4wRkHqqCUFNJY4AfY3kHU/edit?usp=sharing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0" s="7" t="s">
        <v>10</v>
      </c>
      <c r="H14830" s="7">
        <v>19518</v>
      </c>
      <c r="I14830" s="8" t="str">
        <f ca="1">IFERROR(__xludf.DUMMYFUNCTION("IF
(
G14831=""фізична особа""
,
VLOOKUP(H14831,IMPORTRANGE(""https://docs.google.com/spreadsheets/d/14Bd19lYaqBhU8_DElYkX7l4wRkHqqCUFNJY4AfY3kHU/edit?usp=sharing  #gid=0"",""фіз особи new!relations_name""),6,FALSE)
,
(IF
(
G14831=""юридична особа""
,
VLOO"&amp;"KUP(H14831,IMPORTRANGE(""https://docs.google.com/spreadsheets/d/14Bd19lYaqBhU8_DElYkX7l4wRkHqqCUFNJY4AfY3kHU/edit?usp=sharing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30" s="7" t="s">
        <v>23</v>
      </c>
    </row>
    <row r="14831" spans="1:10" ht="13.2">
      <c r="A14831" s="7">
        <v>14830</v>
      </c>
      <c r="B14831" s="7">
        <v>1</v>
      </c>
      <c r="C14831" s="7" t="s">
        <v>10</v>
      </c>
      <c r="D14831" s="7">
        <v>19516</v>
      </c>
      <c r="E14831" s="7" t="s">
        <v>23</v>
      </c>
      <c r="F14831" s="8" t="str">
        <f ca="1">IFERROR(__xludf.DUMMYFUNCTION("IF
(
C14832=""фізична особа""
,
VLOOKUP(D14832,IMPORTRANGE(""https://docs.google.com/spreadsheets/d/14Bd19lYaqBhU8_DElYkX7l4wRkHqqCUFNJY4AfY3kHU/edit?usp=sharing  #gid=0"",""фіз особи new!relations_name""),6,FALSE)
,
(IF
(
C14832=""юридична особа""
,
VLOO"&amp;"KUP(D14832,IMPORTRANGE(""https://docs.google.com/spreadsheets/d/14Bd19lYaqBhU8_DElYkX7l4wRkHqqCUFNJY4AfY3kHU/edit?usp=sharing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1" s="7" t="s">
        <v>10</v>
      </c>
      <c r="H14831" s="7">
        <v>19519</v>
      </c>
      <c r="I14831" s="8" t="str">
        <f ca="1">IFERROR(__xludf.DUMMYFUNCTION("IF
(
G14832=""фізична особа""
,
VLOOKUP(H14832,IMPORTRANGE(""https://docs.google.com/spreadsheets/d/14Bd19lYaqBhU8_DElYkX7l4wRkHqqCUFNJY4AfY3kHU/edit?usp=sharing  #gid=0"",""фіз особи new!relations_name""),6,FALSE)
,
(IF
(
G14832=""юридична особа""
,
VLOO"&amp;"KUP(H14832,IMPORTRANGE(""https://docs.google.com/spreadsheets/d/14Bd19lYaqBhU8_DElYkX7l4wRkHqqCUFNJY4AfY3kHU/edit?usp=sharing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31" s="7" t="s">
        <v>23</v>
      </c>
    </row>
    <row r="14832" spans="1:10" ht="13.2">
      <c r="A14832" s="7">
        <v>14831</v>
      </c>
      <c r="B14832" s="7">
        <v>1</v>
      </c>
      <c r="C14832" s="7" t="s">
        <v>10</v>
      </c>
      <c r="D14832" s="7">
        <v>19516</v>
      </c>
      <c r="E14832" s="7" t="s">
        <v>23</v>
      </c>
      <c r="F14832" s="8" t="str">
        <f ca="1">IFERROR(__xludf.DUMMYFUNCTION("IF
(
C14833=""фізична особа""
,
VLOOKUP(D14833,IMPORTRANGE(""https://docs.google.com/spreadsheets/d/14Bd19lYaqBhU8_DElYkX7l4wRkHqqCUFNJY4AfY3kHU/edit?usp=sharing  #gid=0"",""фіз особи new!relations_name""),6,FALSE)
,
(IF
(
C14833=""юридична особа""
,
VLOO"&amp;"KUP(D14833,IMPORTRANGE(""https://docs.google.com/spreadsheets/d/14Bd19lYaqBhU8_DElYkX7l4wRkHqqCUFNJY4AfY3kHU/edit?usp=sharing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2" s="7" t="s">
        <v>10</v>
      </c>
      <c r="H14832" s="7">
        <v>19521</v>
      </c>
      <c r="I14832" s="8" t="str">
        <f ca="1">IFERROR(__xludf.DUMMYFUNCTION("IF
(
G14833=""фізична особа""
,
VLOOKUP(H14833,IMPORTRANGE(""https://docs.google.com/spreadsheets/d/14Bd19lYaqBhU8_DElYkX7l4wRkHqqCUFNJY4AfY3kHU/edit?usp=sharing  #gid=0"",""фіз особи new!relations_name""),6,FALSE)
,
(IF
(
G14833=""юридична особа""
,
VLOO"&amp;"KUP(H14833,IMPORTRANGE(""https://docs.google.com/spreadsheets/d/14Bd19lYaqBhU8_DElYkX7l4wRkHqqCUFNJY4AfY3kHU/edit?usp=sharing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32" s="7" t="s">
        <v>23</v>
      </c>
    </row>
    <row r="14833" spans="1:10" ht="13.2">
      <c r="A14833" s="7">
        <v>14832</v>
      </c>
      <c r="B14833" s="7">
        <v>1</v>
      </c>
      <c r="C14833" s="7" t="s">
        <v>10</v>
      </c>
      <c r="D14833" s="7">
        <v>19516</v>
      </c>
      <c r="E14833" s="7" t="s">
        <v>23</v>
      </c>
      <c r="F14833" s="8" t="str">
        <f ca="1">IFERROR(__xludf.DUMMYFUNCTION("IF
(
C14834=""фізична особа""
,
VLOOKUP(D14834,IMPORTRANGE(""https://docs.google.com/spreadsheets/d/14Bd19lYaqBhU8_DElYkX7l4wRkHqqCUFNJY4AfY3kHU/edit?usp=sharing  #gid=0"",""фіз особи new!relations_name""),6,FALSE)
,
(IF
(
C14834=""юридична особа""
,
VLOO"&amp;"KUP(D14834,IMPORTRANGE(""https://docs.google.com/spreadsheets/d/14Bd19lYaqBhU8_DElYkX7l4wRkHqqCUFNJY4AfY3kHU/edit?usp=sharing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3" s="7" t="s">
        <v>10</v>
      </c>
      <c r="H14833" s="7">
        <v>19522</v>
      </c>
      <c r="I14833" s="8" t="str">
        <f ca="1">IFERROR(__xludf.DUMMYFUNCTION("IF
(
G14834=""фізична особа""
,
VLOOKUP(H14834,IMPORTRANGE(""https://docs.google.com/spreadsheets/d/14Bd19lYaqBhU8_DElYkX7l4wRkHqqCUFNJY4AfY3kHU/edit?usp=sharing  #gid=0"",""фіз особи new!relations_name""),6,FALSE)
,
(IF
(
G14834=""юридична особа""
,
VLOO"&amp;"KUP(H14834,IMPORTRANGE(""https://docs.google.com/spreadsheets/d/14Bd19lYaqBhU8_DElYkX7l4wRkHqqCUFNJY4AfY3kHU/edit?usp=sharing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33" s="7" t="s">
        <v>23</v>
      </c>
    </row>
    <row r="14834" spans="1:10" ht="13.2">
      <c r="A14834" s="7">
        <v>14833</v>
      </c>
      <c r="B14834" s="7">
        <v>1</v>
      </c>
      <c r="C14834" s="7" t="s">
        <v>10</v>
      </c>
      <c r="D14834" s="7">
        <v>19516</v>
      </c>
      <c r="E14834" s="7" t="s">
        <v>23</v>
      </c>
      <c r="F14834" s="8" t="str">
        <f ca="1">IFERROR(__xludf.DUMMYFUNCTION("IF
(
C14835=""фізична особа""
,
VLOOKUP(D14835,IMPORTRANGE(""https://docs.google.com/spreadsheets/d/14Bd19lYaqBhU8_DElYkX7l4wRkHqqCUFNJY4AfY3kHU/edit?usp=sharing  #gid=0"",""фіз особи new!relations_name""),6,FALSE)
,
(IF
(
C14835=""юридична особа""
,
VLOO"&amp;"KUP(D14835,IMPORTRANGE(""https://docs.google.com/spreadsheets/d/14Bd19lYaqBhU8_DElYkX7l4wRkHqqCUFNJY4AfY3kHU/edit?usp=sharing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4" s="7" t="s">
        <v>10</v>
      </c>
      <c r="H14834" s="7">
        <v>19523</v>
      </c>
      <c r="I14834" s="8" t="str">
        <f ca="1">IFERROR(__xludf.DUMMYFUNCTION("IF
(
G14835=""фізична особа""
,
VLOOKUP(H14835,IMPORTRANGE(""https://docs.google.com/spreadsheets/d/14Bd19lYaqBhU8_DElYkX7l4wRkHqqCUFNJY4AfY3kHU/edit?usp=sharing  #gid=0"",""фіз особи new!relations_name""),6,FALSE)
,
(IF
(
G14835=""юридична особа""
,
VLOO"&amp;"KUP(H14835,IMPORTRANGE(""https://docs.google.com/spreadsheets/d/14Bd19lYaqBhU8_DElYkX7l4wRkHqqCUFNJY4AfY3kHU/edit?usp=sharing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34" s="7" t="s">
        <v>23</v>
      </c>
    </row>
    <row r="14835" spans="1:10" ht="13.2">
      <c r="A14835" s="7">
        <v>14834</v>
      </c>
      <c r="B14835" s="7">
        <v>1</v>
      </c>
      <c r="C14835" s="7" t="s">
        <v>10</v>
      </c>
      <c r="D14835" s="7">
        <v>19516</v>
      </c>
      <c r="E14835" s="7" t="s">
        <v>23</v>
      </c>
      <c r="F14835" s="8" t="str">
        <f ca="1">IFERROR(__xludf.DUMMYFUNCTION("IF
(
C14836=""фізична особа""
,
VLOOKUP(D14836,IMPORTRANGE(""https://docs.google.com/spreadsheets/d/14Bd19lYaqBhU8_DElYkX7l4wRkHqqCUFNJY4AfY3kHU/edit?usp=sharing  #gid=0"",""фіз особи new!relations_name""),6,FALSE)
,
(IF
(
C14836=""юридична особа""
,
VLOO"&amp;"KUP(D14836,IMPORTRANGE(""https://docs.google.com/spreadsheets/d/14Bd19lYaqBhU8_DElYkX7l4wRkHqqCUFNJY4AfY3kHU/edit?usp=sharing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G14835" s="7" t="s">
        <v>10</v>
      </c>
      <c r="H14835" s="7">
        <v>19524</v>
      </c>
      <c r="I14835" s="8" t="str">
        <f ca="1">IFERROR(__xludf.DUMMYFUNCTION("IF
(
G14836=""фізична особа""
,
VLOOKUP(H14836,IMPORTRANGE(""https://docs.google.com/spreadsheets/d/14Bd19lYaqBhU8_DElYkX7l4wRkHqqCUFNJY4AfY3kHU/edit?usp=sharing  #gid=0"",""фіз особи new!relations_name""),6,FALSE)
,
(IF
(
G14836=""юридична особа""
,
VLOO"&amp;"KUP(H14836,IMPORTRANGE(""https://docs.google.com/spreadsheets/d/14Bd19lYaqBhU8_DElYkX7l4wRkHqqCUFNJY4AfY3kHU/edit?usp=sharing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35" s="7" t="s">
        <v>23</v>
      </c>
    </row>
    <row r="14836" spans="1:10" ht="13.2">
      <c r="A14836" s="7">
        <v>14835</v>
      </c>
      <c r="B14836" s="7">
        <v>1</v>
      </c>
      <c r="C14836" s="7" t="s">
        <v>10</v>
      </c>
      <c r="D14836" s="7">
        <v>19517</v>
      </c>
      <c r="E14836" s="7" t="s">
        <v>23</v>
      </c>
      <c r="F14836" s="8" t="str">
        <f ca="1">IFERROR(__xludf.DUMMYFUNCTION("IF
(
C14837=""фізична особа""
,
VLOOKUP(D14837,IMPORTRANGE(""https://docs.google.com/spreadsheets/d/14Bd19lYaqBhU8_DElYkX7l4wRkHqqCUFNJY4AfY3kHU/edit?usp=sharing  #gid=0"",""фіз особи new!relations_name""),6,FALSE)
,
(IF
(
C14837=""юридична особа""
,
VLOO"&amp;"KUP(D14837,IMPORTRANGE(""https://docs.google.com/spreadsheets/d/14Bd19lYaqBhU8_DElYkX7l4wRkHqqCUFNJY4AfY3kHU/edit?usp=sharing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36" s="7" t="s">
        <v>10</v>
      </c>
      <c r="H14836" s="7">
        <v>19520</v>
      </c>
      <c r="I14836" s="8" t="str">
        <f ca="1">IFERROR(__xludf.DUMMYFUNCTION("IF
(
G14837=""фізична особа""
,
VLOOKUP(H14837,IMPORTRANGE(""https://docs.google.com/spreadsheets/d/14Bd19lYaqBhU8_DElYkX7l4wRkHqqCUFNJY4AfY3kHU/edit?usp=sharing  #gid=0"",""фіз особи new!relations_name""),6,FALSE)
,
(IF
(
G14837=""юридична особа""
,
VLOO"&amp;"KUP(H14837,IMPORTRANGE(""https://docs.google.com/spreadsheets/d/14Bd19lYaqBhU8_DElYkX7l4wRkHqqCUFNJY4AfY3kHU/edit?usp=sharing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36" s="7" t="s">
        <v>23</v>
      </c>
    </row>
    <row r="14837" spans="1:10" ht="13.2">
      <c r="A14837" s="7">
        <v>14836</v>
      </c>
      <c r="B14837" s="7">
        <v>1</v>
      </c>
      <c r="C14837" s="7" t="s">
        <v>10</v>
      </c>
      <c r="D14837" s="7">
        <v>19517</v>
      </c>
      <c r="E14837" s="7" t="s">
        <v>23</v>
      </c>
      <c r="F14837" s="8" t="str">
        <f ca="1">IFERROR(__xludf.DUMMYFUNCTION("IF
(
C14838=""фізична особа""
,
VLOOKUP(D14838,IMPORTRANGE(""https://docs.google.com/spreadsheets/d/14Bd19lYaqBhU8_DElYkX7l4wRkHqqCUFNJY4AfY3kHU/edit?usp=sharing  #gid=0"",""фіз особи new!relations_name""),6,FALSE)
,
(IF
(
C14838=""юридична особа""
,
VLOO"&amp;"KUP(D14838,IMPORTRANGE(""https://docs.google.com/spreadsheets/d/14Bd19lYaqBhU8_DElYkX7l4wRkHqqCUFNJY4AfY3kHU/edit?usp=sharing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37" s="7" t="s">
        <v>10</v>
      </c>
      <c r="H14837" s="7">
        <v>19513</v>
      </c>
      <c r="I14837" s="8" t="str">
        <f ca="1">IFERROR(__xludf.DUMMYFUNCTION("IF
(
G14838=""фізична особа""
,
VLOOKUP(H14838,IMPORTRANGE(""https://docs.google.com/spreadsheets/d/14Bd19lYaqBhU8_DElYkX7l4wRkHqqCUFNJY4AfY3kHU/edit?usp=sharing  #gid=0"",""фіз особи new!relations_name""),6,FALSE)
,
(IF
(
G14838=""юридична особа""
,
VLOO"&amp;"KUP(H14838,IMPORTRANGE(""https://docs.google.com/spreadsheets/d/14Bd19lYaqBhU8_DElYkX7l4wRkHqqCUFNJY4AfY3kHU/edit?usp=sharing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37" s="7" t="s">
        <v>23</v>
      </c>
    </row>
    <row r="14838" spans="1:10" ht="13.2">
      <c r="A14838" s="7">
        <v>14837</v>
      </c>
      <c r="B14838" s="7">
        <v>1</v>
      </c>
      <c r="C14838" s="7" t="s">
        <v>10</v>
      </c>
      <c r="D14838" s="7">
        <v>19517</v>
      </c>
      <c r="E14838" s="7" t="s">
        <v>23</v>
      </c>
      <c r="F14838" s="8" t="str">
        <f ca="1">IFERROR(__xludf.DUMMYFUNCTION("IF
(
C14839=""фізична особа""
,
VLOOKUP(D14839,IMPORTRANGE(""https://docs.google.com/spreadsheets/d/14Bd19lYaqBhU8_DElYkX7l4wRkHqqCUFNJY4AfY3kHU/edit?usp=sharing  #gid=0"",""фіз особи new!relations_name""),6,FALSE)
,
(IF
(
C14839=""юридична особа""
,
VLOO"&amp;"KUP(D14839,IMPORTRANGE(""https://docs.google.com/spreadsheets/d/14Bd19lYaqBhU8_DElYkX7l4wRkHqqCUFNJY4AfY3kHU/edit?usp=sharing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38" s="7" t="s">
        <v>10</v>
      </c>
      <c r="H14838" s="7">
        <v>19514</v>
      </c>
      <c r="I14838" s="8" t="str">
        <f ca="1">IFERROR(__xludf.DUMMYFUNCTION("IF
(
G14839=""фізична особа""
,
VLOOKUP(H14839,IMPORTRANGE(""https://docs.google.com/spreadsheets/d/14Bd19lYaqBhU8_DElYkX7l4wRkHqqCUFNJY4AfY3kHU/edit?usp=sharing  #gid=0"",""фіз особи new!relations_name""),6,FALSE)
,
(IF
(
G14839=""юридична особа""
,
VLOO"&amp;"KUP(H14839,IMPORTRANGE(""https://docs.google.com/spreadsheets/d/14Bd19lYaqBhU8_DElYkX7l4wRkHqqCUFNJY4AfY3kHU/edit?usp=sharing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38" s="7" t="s">
        <v>23</v>
      </c>
    </row>
    <row r="14839" spans="1:10" ht="13.2">
      <c r="A14839" s="7">
        <v>14838</v>
      </c>
      <c r="B14839" s="7">
        <v>1</v>
      </c>
      <c r="C14839" s="7" t="s">
        <v>10</v>
      </c>
      <c r="D14839" s="7">
        <v>19517</v>
      </c>
      <c r="E14839" s="7" t="s">
        <v>23</v>
      </c>
      <c r="F14839" s="8" t="str">
        <f ca="1">IFERROR(__xludf.DUMMYFUNCTION("IF
(
C14840=""фізична особа""
,
VLOOKUP(D14840,IMPORTRANGE(""https://docs.google.com/spreadsheets/d/14Bd19lYaqBhU8_DElYkX7l4wRkHqqCUFNJY4AfY3kHU/edit?usp=sharing  #gid=0"",""фіз особи new!relations_name""),6,FALSE)
,
(IF
(
C14840=""юридична особа""
,
VLOO"&amp;"KUP(D14840,IMPORTRANGE(""https://docs.google.com/spreadsheets/d/14Bd19lYaqBhU8_DElYkX7l4wRkHqqCUFNJY4AfY3kHU/edit?usp=sharing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39" s="7" t="s">
        <v>10</v>
      </c>
      <c r="H14839" s="7">
        <v>19515</v>
      </c>
      <c r="I14839" s="8" t="str">
        <f ca="1">IFERROR(__xludf.DUMMYFUNCTION("IF
(
G14840=""фізична особа""
,
VLOOKUP(H14840,IMPORTRANGE(""https://docs.google.com/spreadsheets/d/14Bd19lYaqBhU8_DElYkX7l4wRkHqqCUFNJY4AfY3kHU/edit?usp=sharing  #gid=0"",""фіз особи new!relations_name""),6,FALSE)
,
(IF
(
G14840=""юридична особа""
,
VLOO"&amp;"KUP(H14840,IMPORTRANGE(""https://docs.google.com/spreadsheets/d/14Bd19lYaqBhU8_DElYkX7l4wRkHqqCUFNJY4AfY3kHU/edit?usp=sharing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39" s="7" t="s">
        <v>23</v>
      </c>
    </row>
    <row r="14840" spans="1:10" ht="13.2">
      <c r="A14840" s="7">
        <v>14839</v>
      </c>
      <c r="B14840" s="7">
        <v>1</v>
      </c>
      <c r="C14840" s="7" t="s">
        <v>10</v>
      </c>
      <c r="D14840" s="7">
        <v>19517</v>
      </c>
      <c r="E14840" s="7" t="s">
        <v>23</v>
      </c>
      <c r="F14840" s="8" t="str">
        <f ca="1">IFERROR(__xludf.DUMMYFUNCTION("IF
(
C14841=""фізична особа""
,
VLOOKUP(D14841,IMPORTRANGE(""https://docs.google.com/spreadsheets/d/14Bd19lYaqBhU8_DElYkX7l4wRkHqqCUFNJY4AfY3kHU/edit?usp=sharing  #gid=0"",""фіз особи new!relations_name""),6,FALSE)
,
(IF
(
C14841=""юридична особа""
,
VLOO"&amp;"KUP(D14841,IMPORTRANGE(""https://docs.google.com/spreadsheets/d/14Bd19lYaqBhU8_DElYkX7l4wRkHqqCUFNJY4AfY3kHU/edit?usp=sharing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0" s="7" t="s">
        <v>10</v>
      </c>
      <c r="H14840" s="7">
        <v>19516</v>
      </c>
      <c r="I14840" s="8" t="str">
        <f ca="1">IFERROR(__xludf.DUMMYFUNCTION("IF
(
G14841=""фізична особа""
,
VLOOKUP(H14841,IMPORTRANGE(""https://docs.google.com/spreadsheets/d/14Bd19lYaqBhU8_DElYkX7l4wRkHqqCUFNJY4AfY3kHU/edit?usp=sharing  #gid=0"",""фіз особи new!relations_name""),6,FALSE)
,
(IF
(
G14841=""юридична особа""
,
VLOO"&amp;"KUP(H14841,IMPORTRANGE(""https://docs.google.com/spreadsheets/d/14Bd19lYaqBhU8_DElYkX7l4wRkHqqCUFNJY4AfY3kHU/edit?usp=sharing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40" s="7" t="s">
        <v>23</v>
      </c>
    </row>
    <row r="14841" spans="1:10" ht="13.2">
      <c r="A14841" s="7">
        <v>14840</v>
      </c>
      <c r="B14841" s="7">
        <v>1</v>
      </c>
      <c r="C14841" s="7" t="s">
        <v>10</v>
      </c>
      <c r="D14841" s="7">
        <v>19517</v>
      </c>
      <c r="E14841" s="7" t="s">
        <v>23</v>
      </c>
      <c r="F14841" s="8" t="str">
        <f ca="1">IFERROR(__xludf.DUMMYFUNCTION("IF
(
C14842=""фізична особа""
,
VLOOKUP(D14842,IMPORTRANGE(""https://docs.google.com/spreadsheets/d/14Bd19lYaqBhU8_DElYkX7l4wRkHqqCUFNJY4AfY3kHU/edit?usp=sharing  #gid=0"",""фіз особи new!relations_name""),6,FALSE)
,
(IF
(
C14842=""юридична особа""
,
VLOO"&amp;"KUP(D14842,IMPORTRANGE(""https://docs.google.com/spreadsheets/d/14Bd19lYaqBhU8_DElYkX7l4wRkHqqCUFNJY4AfY3kHU/edit?usp=sharing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1" s="7" t="s">
        <v>10</v>
      </c>
      <c r="H14841" s="7">
        <v>19518</v>
      </c>
      <c r="I14841" s="8" t="str">
        <f ca="1">IFERROR(__xludf.DUMMYFUNCTION("IF
(
G14842=""фізична особа""
,
VLOOKUP(H14842,IMPORTRANGE(""https://docs.google.com/spreadsheets/d/14Bd19lYaqBhU8_DElYkX7l4wRkHqqCUFNJY4AfY3kHU/edit?usp=sharing  #gid=0"",""фіз особи new!relations_name""),6,FALSE)
,
(IF
(
G14842=""юридична особа""
,
VLOO"&amp;"KUP(H14842,IMPORTRANGE(""https://docs.google.com/spreadsheets/d/14Bd19lYaqBhU8_DElYkX7l4wRkHqqCUFNJY4AfY3kHU/edit?usp=sharing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41" s="7" t="s">
        <v>23</v>
      </c>
    </row>
    <row r="14842" spans="1:10" ht="13.2">
      <c r="A14842" s="7">
        <v>14841</v>
      </c>
      <c r="B14842" s="7">
        <v>1</v>
      </c>
      <c r="C14842" s="7" t="s">
        <v>10</v>
      </c>
      <c r="D14842" s="7">
        <v>19517</v>
      </c>
      <c r="E14842" s="7" t="s">
        <v>23</v>
      </c>
      <c r="F14842" s="8" t="str">
        <f ca="1">IFERROR(__xludf.DUMMYFUNCTION("IF
(
C14843=""фізична особа""
,
VLOOKUP(D14843,IMPORTRANGE(""https://docs.google.com/spreadsheets/d/14Bd19lYaqBhU8_DElYkX7l4wRkHqqCUFNJY4AfY3kHU/edit?usp=sharing  #gid=0"",""фіз особи new!relations_name""),6,FALSE)
,
(IF
(
C14843=""юридична особа""
,
VLOO"&amp;"KUP(D14843,IMPORTRANGE(""https://docs.google.com/spreadsheets/d/14Bd19lYaqBhU8_DElYkX7l4wRkHqqCUFNJY4AfY3kHU/edit?usp=sharing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2" s="7" t="s">
        <v>10</v>
      </c>
      <c r="H14842" s="7">
        <v>19519</v>
      </c>
      <c r="I14842" s="8" t="str">
        <f ca="1">IFERROR(__xludf.DUMMYFUNCTION("IF
(
G14843=""фізична особа""
,
VLOOKUP(H14843,IMPORTRANGE(""https://docs.google.com/spreadsheets/d/14Bd19lYaqBhU8_DElYkX7l4wRkHqqCUFNJY4AfY3kHU/edit?usp=sharing  #gid=0"",""фіз особи new!relations_name""),6,FALSE)
,
(IF
(
G14843=""юридична особа""
,
VLOO"&amp;"KUP(H14843,IMPORTRANGE(""https://docs.google.com/spreadsheets/d/14Bd19lYaqBhU8_DElYkX7l4wRkHqqCUFNJY4AfY3kHU/edit?usp=sharing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42" s="7" t="s">
        <v>23</v>
      </c>
    </row>
    <row r="14843" spans="1:10" ht="13.2">
      <c r="A14843" s="7">
        <v>14842</v>
      </c>
      <c r="B14843" s="7">
        <v>1</v>
      </c>
      <c r="C14843" s="7" t="s">
        <v>10</v>
      </c>
      <c r="D14843" s="7">
        <v>19517</v>
      </c>
      <c r="E14843" s="7" t="s">
        <v>23</v>
      </c>
      <c r="F14843" s="8" t="str">
        <f ca="1">IFERROR(__xludf.DUMMYFUNCTION("IF
(
C14844=""фізична особа""
,
VLOOKUP(D14844,IMPORTRANGE(""https://docs.google.com/spreadsheets/d/14Bd19lYaqBhU8_DElYkX7l4wRkHqqCUFNJY4AfY3kHU/edit?usp=sharing  #gid=0"",""фіз особи new!relations_name""),6,FALSE)
,
(IF
(
C14844=""юридична особа""
,
VLOO"&amp;"KUP(D14844,IMPORTRANGE(""https://docs.google.com/spreadsheets/d/14Bd19lYaqBhU8_DElYkX7l4wRkHqqCUFNJY4AfY3kHU/edit?usp=sharing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3" s="7" t="s">
        <v>10</v>
      </c>
      <c r="H14843" s="7">
        <v>19521</v>
      </c>
      <c r="I14843" s="8" t="str">
        <f ca="1">IFERROR(__xludf.DUMMYFUNCTION("IF
(
G14844=""фізична особа""
,
VLOOKUP(H14844,IMPORTRANGE(""https://docs.google.com/spreadsheets/d/14Bd19lYaqBhU8_DElYkX7l4wRkHqqCUFNJY4AfY3kHU/edit?usp=sharing  #gid=0"",""фіз особи new!relations_name""),6,FALSE)
,
(IF
(
G14844=""юридична особа""
,
VLOO"&amp;"KUP(H14844,IMPORTRANGE(""https://docs.google.com/spreadsheets/d/14Bd19lYaqBhU8_DElYkX7l4wRkHqqCUFNJY4AfY3kHU/edit?usp=sharing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43" s="7" t="s">
        <v>23</v>
      </c>
    </row>
    <row r="14844" spans="1:10" ht="13.2">
      <c r="A14844" s="7">
        <v>14843</v>
      </c>
      <c r="B14844" s="7">
        <v>1</v>
      </c>
      <c r="C14844" s="7" t="s">
        <v>10</v>
      </c>
      <c r="D14844" s="7">
        <v>19517</v>
      </c>
      <c r="E14844" s="7" t="s">
        <v>23</v>
      </c>
      <c r="F14844" s="8" t="str">
        <f ca="1">IFERROR(__xludf.DUMMYFUNCTION("IF
(
C14845=""фізична особа""
,
VLOOKUP(D14845,IMPORTRANGE(""https://docs.google.com/spreadsheets/d/14Bd19lYaqBhU8_DElYkX7l4wRkHqqCUFNJY4AfY3kHU/edit?usp=sharing  #gid=0"",""фіз особи new!relations_name""),6,FALSE)
,
(IF
(
C14845=""юридична особа""
,
VLOO"&amp;"KUP(D14845,IMPORTRANGE(""https://docs.google.com/spreadsheets/d/14Bd19lYaqBhU8_DElYkX7l4wRkHqqCUFNJY4AfY3kHU/edit?usp=sharing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4" s="7" t="s">
        <v>10</v>
      </c>
      <c r="H14844" s="7">
        <v>19522</v>
      </c>
      <c r="I14844" s="8" t="str">
        <f ca="1">IFERROR(__xludf.DUMMYFUNCTION("IF
(
G14845=""фізична особа""
,
VLOOKUP(H14845,IMPORTRANGE(""https://docs.google.com/spreadsheets/d/14Bd19lYaqBhU8_DElYkX7l4wRkHqqCUFNJY4AfY3kHU/edit?usp=sharing  #gid=0"",""фіз особи new!relations_name""),6,FALSE)
,
(IF
(
G14845=""юридична особа""
,
VLOO"&amp;"KUP(H14845,IMPORTRANGE(""https://docs.google.com/spreadsheets/d/14Bd19lYaqBhU8_DElYkX7l4wRkHqqCUFNJY4AfY3kHU/edit?usp=sharing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44" s="7" t="s">
        <v>23</v>
      </c>
    </row>
    <row r="14845" spans="1:10" ht="13.2">
      <c r="A14845" s="7">
        <v>14844</v>
      </c>
      <c r="B14845" s="7">
        <v>1</v>
      </c>
      <c r="C14845" s="7" t="s">
        <v>10</v>
      </c>
      <c r="D14845" s="7">
        <v>19517</v>
      </c>
      <c r="E14845" s="7" t="s">
        <v>23</v>
      </c>
      <c r="F14845" s="8" t="str">
        <f ca="1">IFERROR(__xludf.DUMMYFUNCTION("IF
(
C14846=""фізична особа""
,
VLOOKUP(D14846,IMPORTRANGE(""https://docs.google.com/spreadsheets/d/14Bd19lYaqBhU8_DElYkX7l4wRkHqqCUFNJY4AfY3kHU/edit?usp=sharing  #gid=0"",""фіз особи new!relations_name""),6,FALSE)
,
(IF
(
C14846=""юридична особа""
,
VLOO"&amp;"KUP(D14846,IMPORTRANGE(""https://docs.google.com/spreadsheets/d/14Bd19lYaqBhU8_DElYkX7l4wRkHqqCUFNJY4AfY3kHU/edit?usp=sharing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5" s="7" t="s">
        <v>10</v>
      </c>
      <c r="H14845" s="7">
        <v>19523</v>
      </c>
      <c r="I14845" s="8" t="str">
        <f ca="1">IFERROR(__xludf.DUMMYFUNCTION("IF
(
G14846=""фізична особа""
,
VLOOKUP(H14846,IMPORTRANGE(""https://docs.google.com/spreadsheets/d/14Bd19lYaqBhU8_DElYkX7l4wRkHqqCUFNJY4AfY3kHU/edit?usp=sharing  #gid=0"",""фіз особи new!relations_name""),6,FALSE)
,
(IF
(
G14846=""юридична особа""
,
VLOO"&amp;"KUP(H14846,IMPORTRANGE(""https://docs.google.com/spreadsheets/d/14Bd19lYaqBhU8_DElYkX7l4wRkHqqCUFNJY4AfY3kHU/edit?usp=sharing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45" s="7" t="s">
        <v>23</v>
      </c>
    </row>
    <row r="14846" spans="1:10" ht="13.2">
      <c r="A14846" s="7">
        <v>14845</v>
      </c>
      <c r="B14846" s="7">
        <v>1</v>
      </c>
      <c r="C14846" s="7" t="s">
        <v>10</v>
      </c>
      <c r="D14846" s="7">
        <v>19517</v>
      </c>
      <c r="E14846" s="7" t="s">
        <v>23</v>
      </c>
      <c r="F14846" s="8" t="str">
        <f ca="1">IFERROR(__xludf.DUMMYFUNCTION("IF
(
C14847=""фізична особа""
,
VLOOKUP(D14847,IMPORTRANGE(""https://docs.google.com/spreadsheets/d/14Bd19lYaqBhU8_DElYkX7l4wRkHqqCUFNJY4AfY3kHU/edit?usp=sharing  #gid=0"",""фіз особи new!relations_name""),6,FALSE)
,
(IF
(
C14847=""юридична особа""
,
VLOO"&amp;"KUP(D14847,IMPORTRANGE(""https://docs.google.com/spreadsheets/d/14Bd19lYaqBhU8_DElYkX7l4wRkHqqCUFNJY4AfY3kHU/edit?usp=sharing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G14846" s="7" t="s">
        <v>10</v>
      </c>
      <c r="H14846" s="7">
        <v>19524</v>
      </c>
      <c r="I14846" s="8" t="str">
        <f ca="1">IFERROR(__xludf.DUMMYFUNCTION("IF
(
G14847=""фізична особа""
,
VLOOKUP(H14847,IMPORTRANGE(""https://docs.google.com/spreadsheets/d/14Bd19lYaqBhU8_DElYkX7l4wRkHqqCUFNJY4AfY3kHU/edit?usp=sharing  #gid=0"",""фіз особи new!relations_name""),6,FALSE)
,
(IF
(
G14847=""юридична особа""
,
VLOO"&amp;"KUP(H14847,IMPORTRANGE(""https://docs.google.com/spreadsheets/d/14Bd19lYaqBhU8_DElYkX7l4wRkHqqCUFNJY4AfY3kHU/edit?usp=sharing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46" s="7" t="s">
        <v>23</v>
      </c>
    </row>
    <row r="14847" spans="1:10" ht="13.2">
      <c r="A14847" s="7">
        <v>14846</v>
      </c>
      <c r="B14847" s="7">
        <v>1</v>
      </c>
      <c r="C14847" s="7" t="s">
        <v>10</v>
      </c>
      <c r="D14847" s="7">
        <v>19518</v>
      </c>
      <c r="E14847" s="7" t="s">
        <v>23</v>
      </c>
      <c r="F14847" s="8" t="str">
        <f ca="1">IFERROR(__xludf.DUMMYFUNCTION("IF
(
C14848=""фізична особа""
,
VLOOKUP(D14848,IMPORTRANGE(""https://docs.google.com/spreadsheets/d/14Bd19lYaqBhU8_DElYkX7l4wRkHqqCUFNJY4AfY3kHU/edit?usp=sharing  #gid=0"",""фіз особи new!relations_name""),6,FALSE)
,
(IF
(
C14848=""юридична особа""
,
VLOO"&amp;"KUP(D14848,IMPORTRANGE(""https://docs.google.com/spreadsheets/d/14Bd19lYaqBhU8_DElYkX7l4wRkHqqCUFNJY4AfY3kHU/edit?usp=sharing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47" s="7" t="s">
        <v>10</v>
      </c>
      <c r="H14847" s="7">
        <v>19520</v>
      </c>
      <c r="I14847" s="8" t="str">
        <f ca="1">IFERROR(__xludf.DUMMYFUNCTION("IF
(
G14848=""фізична особа""
,
VLOOKUP(H14848,IMPORTRANGE(""https://docs.google.com/spreadsheets/d/14Bd19lYaqBhU8_DElYkX7l4wRkHqqCUFNJY4AfY3kHU/edit?usp=sharing  #gid=0"",""фіз особи new!relations_name""),6,FALSE)
,
(IF
(
G14848=""юридична особа""
,
VLOO"&amp;"KUP(H14848,IMPORTRANGE(""https://docs.google.com/spreadsheets/d/14Bd19lYaqBhU8_DElYkX7l4wRkHqqCUFNJY4AfY3kHU/edit?usp=sharing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47" s="7" t="s">
        <v>23</v>
      </c>
    </row>
    <row r="14848" spans="1:10" ht="13.2">
      <c r="A14848" s="7">
        <v>14847</v>
      </c>
      <c r="B14848" s="7">
        <v>1</v>
      </c>
      <c r="C14848" s="7" t="s">
        <v>10</v>
      </c>
      <c r="D14848" s="7">
        <v>19518</v>
      </c>
      <c r="E14848" s="7" t="s">
        <v>23</v>
      </c>
      <c r="F14848" s="8" t="str">
        <f ca="1">IFERROR(__xludf.DUMMYFUNCTION("IF
(
C14849=""фізична особа""
,
VLOOKUP(D14849,IMPORTRANGE(""https://docs.google.com/spreadsheets/d/14Bd19lYaqBhU8_DElYkX7l4wRkHqqCUFNJY4AfY3kHU/edit?usp=sharing  #gid=0"",""фіз особи new!relations_name""),6,FALSE)
,
(IF
(
C14849=""юридична особа""
,
VLOO"&amp;"KUP(D14849,IMPORTRANGE(""https://docs.google.com/spreadsheets/d/14Bd19lYaqBhU8_DElYkX7l4wRkHqqCUFNJY4AfY3kHU/edit?usp=sharing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48" s="7" t="s">
        <v>10</v>
      </c>
      <c r="H14848" s="7">
        <v>19513</v>
      </c>
      <c r="I14848" s="8" t="str">
        <f ca="1">IFERROR(__xludf.DUMMYFUNCTION("IF
(
G14849=""фізична особа""
,
VLOOKUP(H14849,IMPORTRANGE(""https://docs.google.com/spreadsheets/d/14Bd19lYaqBhU8_DElYkX7l4wRkHqqCUFNJY4AfY3kHU/edit?usp=sharing  #gid=0"",""фіз особи new!relations_name""),6,FALSE)
,
(IF
(
G14849=""юридична особа""
,
VLOO"&amp;"KUP(H14849,IMPORTRANGE(""https://docs.google.com/spreadsheets/d/14Bd19lYaqBhU8_DElYkX7l4wRkHqqCUFNJY4AfY3kHU/edit?usp=sharing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48" s="7" t="s">
        <v>23</v>
      </c>
    </row>
    <row r="14849" spans="1:10" ht="13.2">
      <c r="A14849" s="7">
        <v>14848</v>
      </c>
      <c r="B14849" s="7">
        <v>1</v>
      </c>
      <c r="C14849" s="7" t="s">
        <v>10</v>
      </c>
      <c r="D14849" s="7">
        <v>19518</v>
      </c>
      <c r="E14849" s="7" t="s">
        <v>23</v>
      </c>
      <c r="F14849" s="8" t="str">
        <f ca="1">IFERROR(__xludf.DUMMYFUNCTION("IF
(
C14850=""фізична особа""
,
VLOOKUP(D14850,IMPORTRANGE(""https://docs.google.com/spreadsheets/d/14Bd19lYaqBhU8_DElYkX7l4wRkHqqCUFNJY4AfY3kHU/edit?usp=sharing  #gid=0"",""фіз особи new!relations_name""),6,FALSE)
,
(IF
(
C14850=""юридична особа""
,
VLOO"&amp;"KUP(D14850,IMPORTRANGE(""https://docs.google.com/spreadsheets/d/14Bd19lYaqBhU8_DElYkX7l4wRkHqqCUFNJY4AfY3kHU/edit?usp=sharing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49" s="7" t="s">
        <v>10</v>
      </c>
      <c r="H14849" s="7">
        <v>19514</v>
      </c>
      <c r="I14849" s="8" t="str">
        <f ca="1">IFERROR(__xludf.DUMMYFUNCTION("IF
(
G14850=""фізична особа""
,
VLOOKUP(H14850,IMPORTRANGE(""https://docs.google.com/spreadsheets/d/14Bd19lYaqBhU8_DElYkX7l4wRkHqqCUFNJY4AfY3kHU/edit?usp=sharing  #gid=0"",""фіз особи new!relations_name""),6,FALSE)
,
(IF
(
G14850=""юридична особа""
,
VLOO"&amp;"KUP(H14850,IMPORTRANGE(""https://docs.google.com/spreadsheets/d/14Bd19lYaqBhU8_DElYkX7l4wRkHqqCUFNJY4AfY3kHU/edit?usp=sharing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49" s="7" t="s">
        <v>23</v>
      </c>
    </row>
    <row r="14850" spans="1:10" ht="13.2">
      <c r="A14850" s="7">
        <v>14849</v>
      </c>
      <c r="B14850" s="7">
        <v>1</v>
      </c>
      <c r="C14850" s="7" t="s">
        <v>10</v>
      </c>
      <c r="D14850" s="7">
        <v>19518</v>
      </c>
      <c r="E14850" s="7" t="s">
        <v>23</v>
      </c>
      <c r="F14850" s="8" t="str">
        <f ca="1">IFERROR(__xludf.DUMMYFUNCTION("IF
(
C14851=""фізична особа""
,
VLOOKUP(D14851,IMPORTRANGE(""https://docs.google.com/spreadsheets/d/14Bd19lYaqBhU8_DElYkX7l4wRkHqqCUFNJY4AfY3kHU/edit?usp=sharing  #gid=0"",""фіз особи new!relations_name""),6,FALSE)
,
(IF
(
C14851=""юридична особа""
,
VLOO"&amp;"KUP(D14851,IMPORTRANGE(""https://docs.google.com/spreadsheets/d/14Bd19lYaqBhU8_DElYkX7l4wRkHqqCUFNJY4AfY3kHU/edit?usp=sharing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0" s="7" t="s">
        <v>10</v>
      </c>
      <c r="H14850" s="7">
        <v>19515</v>
      </c>
      <c r="I14850" s="8" t="str">
        <f ca="1">IFERROR(__xludf.DUMMYFUNCTION("IF
(
G14851=""фізична особа""
,
VLOOKUP(H14851,IMPORTRANGE(""https://docs.google.com/spreadsheets/d/14Bd19lYaqBhU8_DElYkX7l4wRkHqqCUFNJY4AfY3kHU/edit?usp=sharing  #gid=0"",""фіз особи new!relations_name""),6,FALSE)
,
(IF
(
G14851=""юридична особа""
,
VLOO"&amp;"KUP(H14851,IMPORTRANGE(""https://docs.google.com/spreadsheets/d/14Bd19lYaqBhU8_DElYkX7l4wRkHqqCUFNJY4AfY3kHU/edit?usp=sharing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50" s="7" t="s">
        <v>23</v>
      </c>
    </row>
    <row r="14851" spans="1:10" ht="13.2">
      <c r="A14851" s="7">
        <v>14850</v>
      </c>
      <c r="B14851" s="7">
        <v>1</v>
      </c>
      <c r="C14851" s="7" t="s">
        <v>10</v>
      </c>
      <c r="D14851" s="7">
        <v>19518</v>
      </c>
      <c r="E14851" s="7" t="s">
        <v>23</v>
      </c>
      <c r="F14851" s="8" t="str">
        <f ca="1">IFERROR(__xludf.DUMMYFUNCTION("IF
(
C14852=""фізична особа""
,
VLOOKUP(D14852,IMPORTRANGE(""https://docs.google.com/spreadsheets/d/14Bd19lYaqBhU8_DElYkX7l4wRkHqqCUFNJY4AfY3kHU/edit?usp=sharing  #gid=0"",""фіз особи new!relations_name""),6,FALSE)
,
(IF
(
C14852=""юридична особа""
,
VLOO"&amp;"KUP(D14852,IMPORTRANGE(""https://docs.google.com/spreadsheets/d/14Bd19lYaqBhU8_DElYkX7l4wRkHqqCUFNJY4AfY3kHU/edit?usp=sharing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1" s="7" t="s">
        <v>10</v>
      </c>
      <c r="H14851" s="7">
        <v>19516</v>
      </c>
      <c r="I14851" s="8" t="str">
        <f ca="1">IFERROR(__xludf.DUMMYFUNCTION("IF
(
G14852=""фізична особа""
,
VLOOKUP(H14852,IMPORTRANGE(""https://docs.google.com/spreadsheets/d/14Bd19lYaqBhU8_DElYkX7l4wRkHqqCUFNJY4AfY3kHU/edit?usp=sharing  #gid=0"",""фіз особи new!relations_name""),6,FALSE)
,
(IF
(
G14852=""юридична особа""
,
VLOO"&amp;"KUP(H14852,IMPORTRANGE(""https://docs.google.com/spreadsheets/d/14Bd19lYaqBhU8_DElYkX7l4wRkHqqCUFNJY4AfY3kHU/edit?usp=sharing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51" s="7" t="s">
        <v>23</v>
      </c>
    </row>
    <row r="14852" spans="1:10" ht="13.2">
      <c r="A14852" s="7">
        <v>14851</v>
      </c>
      <c r="B14852" s="7">
        <v>1</v>
      </c>
      <c r="C14852" s="7" t="s">
        <v>10</v>
      </c>
      <c r="D14852" s="7">
        <v>19518</v>
      </c>
      <c r="E14852" s="7" t="s">
        <v>23</v>
      </c>
      <c r="F14852" s="8" t="str">
        <f ca="1">IFERROR(__xludf.DUMMYFUNCTION("IF
(
C14853=""фізична особа""
,
VLOOKUP(D14853,IMPORTRANGE(""https://docs.google.com/spreadsheets/d/14Bd19lYaqBhU8_DElYkX7l4wRkHqqCUFNJY4AfY3kHU/edit?usp=sharing  #gid=0"",""фіз особи new!relations_name""),6,FALSE)
,
(IF
(
C14853=""юридична особа""
,
VLOO"&amp;"KUP(D14853,IMPORTRANGE(""https://docs.google.com/spreadsheets/d/14Bd19lYaqBhU8_DElYkX7l4wRkHqqCUFNJY4AfY3kHU/edit?usp=sharing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2" s="7" t="s">
        <v>10</v>
      </c>
      <c r="H14852" s="7">
        <v>19517</v>
      </c>
      <c r="I14852" s="8" t="str">
        <f ca="1">IFERROR(__xludf.DUMMYFUNCTION("IF
(
G14853=""фізична особа""
,
VLOOKUP(H14853,IMPORTRANGE(""https://docs.google.com/spreadsheets/d/14Bd19lYaqBhU8_DElYkX7l4wRkHqqCUFNJY4AfY3kHU/edit?usp=sharing  #gid=0"",""фіз особи new!relations_name""),6,FALSE)
,
(IF
(
G14853=""юридична особа""
,
VLOO"&amp;"KUP(H14853,IMPORTRANGE(""https://docs.google.com/spreadsheets/d/14Bd19lYaqBhU8_DElYkX7l4wRkHqqCUFNJY4AfY3kHU/edit?usp=sharing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52" s="7" t="s">
        <v>23</v>
      </c>
    </row>
    <row r="14853" spans="1:10" ht="13.2">
      <c r="A14853" s="7">
        <v>14852</v>
      </c>
      <c r="B14853" s="7">
        <v>1</v>
      </c>
      <c r="C14853" s="7" t="s">
        <v>10</v>
      </c>
      <c r="D14853" s="7">
        <v>19518</v>
      </c>
      <c r="E14853" s="7" t="s">
        <v>23</v>
      </c>
      <c r="F14853" s="8" t="str">
        <f ca="1">IFERROR(__xludf.DUMMYFUNCTION("IF
(
C14854=""фізична особа""
,
VLOOKUP(D14854,IMPORTRANGE(""https://docs.google.com/spreadsheets/d/14Bd19lYaqBhU8_DElYkX7l4wRkHqqCUFNJY4AfY3kHU/edit?usp=sharing  #gid=0"",""фіз особи new!relations_name""),6,FALSE)
,
(IF
(
C14854=""юридична особа""
,
VLOO"&amp;"KUP(D14854,IMPORTRANGE(""https://docs.google.com/spreadsheets/d/14Bd19lYaqBhU8_DElYkX7l4wRkHqqCUFNJY4AfY3kHU/edit?usp=sharing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3" s="7" t="s">
        <v>10</v>
      </c>
      <c r="H14853" s="7">
        <v>19519</v>
      </c>
      <c r="I14853" s="8" t="str">
        <f ca="1">IFERROR(__xludf.DUMMYFUNCTION("IF
(
G14854=""фізична особа""
,
VLOOKUP(H14854,IMPORTRANGE(""https://docs.google.com/spreadsheets/d/14Bd19lYaqBhU8_DElYkX7l4wRkHqqCUFNJY4AfY3kHU/edit?usp=sharing  #gid=0"",""фіз особи new!relations_name""),6,FALSE)
,
(IF
(
G14854=""юридична особа""
,
VLOO"&amp;"KUP(H14854,IMPORTRANGE(""https://docs.google.com/spreadsheets/d/14Bd19lYaqBhU8_DElYkX7l4wRkHqqCUFNJY4AfY3kHU/edit?usp=sharing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53" s="7" t="s">
        <v>23</v>
      </c>
    </row>
    <row r="14854" spans="1:10" ht="13.2">
      <c r="A14854" s="7">
        <v>14853</v>
      </c>
      <c r="B14854" s="7">
        <v>1</v>
      </c>
      <c r="C14854" s="7" t="s">
        <v>10</v>
      </c>
      <c r="D14854" s="7">
        <v>19518</v>
      </c>
      <c r="E14854" s="7" t="s">
        <v>23</v>
      </c>
      <c r="F14854" s="8" t="str">
        <f ca="1">IFERROR(__xludf.DUMMYFUNCTION("IF
(
C14855=""фізична особа""
,
VLOOKUP(D14855,IMPORTRANGE(""https://docs.google.com/spreadsheets/d/14Bd19lYaqBhU8_DElYkX7l4wRkHqqCUFNJY4AfY3kHU/edit?usp=sharing  #gid=0"",""фіз особи new!relations_name""),6,FALSE)
,
(IF
(
C14855=""юридична особа""
,
VLOO"&amp;"KUP(D14855,IMPORTRANGE(""https://docs.google.com/spreadsheets/d/14Bd19lYaqBhU8_DElYkX7l4wRkHqqCUFNJY4AfY3kHU/edit?usp=sharing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4" s="7" t="s">
        <v>10</v>
      </c>
      <c r="H14854" s="7">
        <v>19521</v>
      </c>
      <c r="I14854" s="8" t="str">
        <f ca="1">IFERROR(__xludf.DUMMYFUNCTION("IF
(
G14855=""фізична особа""
,
VLOOKUP(H14855,IMPORTRANGE(""https://docs.google.com/spreadsheets/d/14Bd19lYaqBhU8_DElYkX7l4wRkHqqCUFNJY4AfY3kHU/edit?usp=sharing  #gid=0"",""фіз особи new!relations_name""),6,FALSE)
,
(IF
(
G14855=""юридична особа""
,
VLOO"&amp;"KUP(H14855,IMPORTRANGE(""https://docs.google.com/spreadsheets/d/14Bd19lYaqBhU8_DElYkX7l4wRkHqqCUFNJY4AfY3kHU/edit?usp=sharing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54" s="7" t="s">
        <v>23</v>
      </c>
    </row>
    <row r="14855" spans="1:10" ht="13.2">
      <c r="A14855" s="7">
        <v>14854</v>
      </c>
      <c r="B14855" s="7">
        <v>1</v>
      </c>
      <c r="C14855" s="7" t="s">
        <v>10</v>
      </c>
      <c r="D14855" s="7">
        <v>19518</v>
      </c>
      <c r="E14855" s="7" t="s">
        <v>23</v>
      </c>
      <c r="F14855" s="8" t="str">
        <f ca="1">IFERROR(__xludf.DUMMYFUNCTION("IF
(
C14856=""фізична особа""
,
VLOOKUP(D14856,IMPORTRANGE(""https://docs.google.com/spreadsheets/d/14Bd19lYaqBhU8_DElYkX7l4wRkHqqCUFNJY4AfY3kHU/edit?usp=sharing  #gid=0"",""фіз особи new!relations_name""),6,FALSE)
,
(IF
(
C14856=""юридична особа""
,
VLOO"&amp;"KUP(D14856,IMPORTRANGE(""https://docs.google.com/spreadsheets/d/14Bd19lYaqBhU8_DElYkX7l4wRkHqqCUFNJY4AfY3kHU/edit?usp=sharing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5" s="7" t="s">
        <v>10</v>
      </c>
      <c r="H14855" s="7">
        <v>19522</v>
      </c>
      <c r="I14855" s="8" t="str">
        <f ca="1">IFERROR(__xludf.DUMMYFUNCTION("IF
(
G14856=""фізична особа""
,
VLOOKUP(H14856,IMPORTRANGE(""https://docs.google.com/spreadsheets/d/14Bd19lYaqBhU8_DElYkX7l4wRkHqqCUFNJY4AfY3kHU/edit?usp=sharing  #gid=0"",""фіз особи new!relations_name""),6,FALSE)
,
(IF
(
G14856=""юридична особа""
,
VLOO"&amp;"KUP(H14856,IMPORTRANGE(""https://docs.google.com/spreadsheets/d/14Bd19lYaqBhU8_DElYkX7l4wRkHqqCUFNJY4AfY3kHU/edit?usp=sharing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55" s="7" t="s">
        <v>23</v>
      </c>
    </row>
    <row r="14856" spans="1:10" ht="13.2">
      <c r="A14856" s="7">
        <v>14855</v>
      </c>
      <c r="B14856" s="7">
        <v>1</v>
      </c>
      <c r="C14856" s="7" t="s">
        <v>10</v>
      </c>
      <c r="D14856" s="7">
        <v>19518</v>
      </c>
      <c r="E14856" s="7" t="s">
        <v>23</v>
      </c>
      <c r="F14856" s="8" t="str">
        <f ca="1">IFERROR(__xludf.DUMMYFUNCTION("IF
(
C14857=""фізична особа""
,
VLOOKUP(D14857,IMPORTRANGE(""https://docs.google.com/spreadsheets/d/14Bd19lYaqBhU8_DElYkX7l4wRkHqqCUFNJY4AfY3kHU/edit?usp=sharing  #gid=0"",""фіз особи new!relations_name""),6,FALSE)
,
(IF
(
C14857=""юридична особа""
,
VLOO"&amp;"KUP(D14857,IMPORTRANGE(""https://docs.google.com/spreadsheets/d/14Bd19lYaqBhU8_DElYkX7l4wRkHqqCUFNJY4AfY3kHU/edit?usp=sharing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6" s="7" t="s">
        <v>10</v>
      </c>
      <c r="H14856" s="7">
        <v>19523</v>
      </c>
      <c r="I14856" s="8" t="str">
        <f ca="1">IFERROR(__xludf.DUMMYFUNCTION("IF
(
G14857=""фізична особа""
,
VLOOKUP(H14857,IMPORTRANGE(""https://docs.google.com/spreadsheets/d/14Bd19lYaqBhU8_DElYkX7l4wRkHqqCUFNJY4AfY3kHU/edit?usp=sharing  #gid=0"",""фіз особи new!relations_name""),6,FALSE)
,
(IF
(
G14857=""юридична особа""
,
VLOO"&amp;"KUP(H14857,IMPORTRANGE(""https://docs.google.com/spreadsheets/d/14Bd19lYaqBhU8_DElYkX7l4wRkHqqCUFNJY4AfY3kHU/edit?usp=sharing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56" s="7" t="s">
        <v>23</v>
      </c>
    </row>
    <row r="14857" spans="1:10" ht="13.2">
      <c r="A14857" s="7">
        <v>14856</v>
      </c>
      <c r="B14857" s="7">
        <v>1</v>
      </c>
      <c r="C14857" s="7" t="s">
        <v>10</v>
      </c>
      <c r="D14857" s="7">
        <v>19518</v>
      </c>
      <c r="E14857" s="7" t="s">
        <v>23</v>
      </c>
      <c r="F14857" s="8" t="str">
        <f ca="1">IFERROR(__xludf.DUMMYFUNCTION("IF
(
C14858=""фізична особа""
,
VLOOKUP(D14858,IMPORTRANGE(""https://docs.google.com/spreadsheets/d/14Bd19lYaqBhU8_DElYkX7l4wRkHqqCUFNJY4AfY3kHU/edit?usp=sharing  #gid=0"",""фіз особи new!relations_name""),6,FALSE)
,
(IF
(
C14858=""юридична особа""
,
VLOO"&amp;"KUP(D14858,IMPORTRANGE(""https://docs.google.com/spreadsheets/d/14Bd19lYaqBhU8_DElYkX7l4wRkHqqCUFNJY4AfY3kHU/edit?usp=sharing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G14857" s="7" t="s">
        <v>10</v>
      </c>
      <c r="H14857" s="7">
        <v>19524</v>
      </c>
      <c r="I14857" s="8" t="str">
        <f ca="1">IFERROR(__xludf.DUMMYFUNCTION("IF
(
G14858=""фізична особа""
,
VLOOKUP(H14858,IMPORTRANGE(""https://docs.google.com/spreadsheets/d/14Bd19lYaqBhU8_DElYkX7l4wRkHqqCUFNJY4AfY3kHU/edit?usp=sharing  #gid=0"",""фіз особи new!relations_name""),6,FALSE)
,
(IF
(
G14858=""юридична особа""
,
VLOO"&amp;"KUP(H14858,IMPORTRANGE(""https://docs.google.com/spreadsheets/d/14Bd19lYaqBhU8_DElYkX7l4wRkHqqCUFNJY4AfY3kHU/edit?usp=sharing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57" s="7" t="s">
        <v>23</v>
      </c>
    </row>
    <row r="14858" spans="1:10" ht="13.2">
      <c r="A14858" s="7">
        <v>14857</v>
      </c>
      <c r="B14858" s="7">
        <v>1</v>
      </c>
      <c r="C14858" s="7" t="s">
        <v>10</v>
      </c>
      <c r="D14858" s="7">
        <v>19519</v>
      </c>
      <c r="E14858" s="7" t="s">
        <v>23</v>
      </c>
      <c r="F14858" s="8" t="str">
        <f ca="1">IFERROR(__xludf.DUMMYFUNCTION("IF
(
C14859=""фізична особа""
,
VLOOKUP(D14859,IMPORTRANGE(""https://docs.google.com/spreadsheets/d/14Bd19lYaqBhU8_DElYkX7l4wRkHqqCUFNJY4AfY3kHU/edit?usp=sharing  #gid=0"",""фіз особи new!relations_name""),6,FALSE)
,
(IF
(
C14859=""юридична особа""
,
VLOO"&amp;"KUP(D14859,IMPORTRANGE(""https://docs.google.com/spreadsheets/d/14Bd19lYaqBhU8_DElYkX7l4wRkHqqCUFNJY4AfY3kHU/edit?usp=sharing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58" s="7" t="s">
        <v>10</v>
      </c>
      <c r="H14858" s="7">
        <v>19520</v>
      </c>
      <c r="I14858" s="8" t="str">
        <f ca="1">IFERROR(__xludf.DUMMYFUNCTION("IF
(
G14859=""фізична особа""
,
VLOOKUP(H14859,IMPORTRANGE(""https://docs.google.com/spreadsheets/d/14Bd19lYaqBhU8_DElYkX7l4wRkHqqCUFNJY4AfY3kHU/edit?usp=sharing  #gid=0"",""фіз особи new!relations_name""),6,FALSE)
,
(IF
(
G14859=""юридична особа""
,
VLOO"&amp;"KUP(H14859,IMPORTRANGE(""https://docs.google.com/spreadsheets/d/14Bd19lYaqBhU8_DElYkX7l4wRkHqqCUFNJY4AfY3kHU/edit?usp=sharing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58" s="7" t="s">
        <v>23</v>
      </c>
    </row>
    <row r="14859" spans="1:10" ht="13.2">
      <c r="A14859" s="7">
        <v>14858</v>
      </c>
      <c r="B14859" s="7">
        <v>1</v>
      </c>
      <c r="C14859" s="7" t="s">
        <v>10</v>
      </c>
      <c r="D14859" s="7">
        <v>19519</v>
      </c>
      <c r="E14859" s="7" t="s">
        <v>23</v>
      </c>
      <c r="F14859" s="8" t="str">
        <f ca="1">IFERROR(__xludf.DUMMYFUNCTION("IF
(
C14860=""фізична особа""
,
VLOOKUP(D14860,IMPORTRANGE(""https://docs.google.com/spreadsheets/d/14Bd19lYaqBhU8_DElYkX7l4wRkHqqCUFNJY4AfY3kHU/edit?usp=sharing  #gid=0"",""фіз особи new!relations_name""),6,FALSE)
,
(IF
(
C14860=""юридична особа""
,
VLOO"&amp;"KUP(D14860,IMPORTRANGE(""https://docs.google.com/spreadsheets/d/14Bd19lYaqBhU8_DElYkX7l4wRkHqqCUFNJY4AfY3kHU/edit?usp=sharing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59" s="7" t="s">
        <v>10</v>
      </c>
      <c r="H14859" s="7">
        <v>19513</v>
      </c>
      <c r="I14859" s="8" t="str">
        <f ca="1">IFERROR(__xludf.DUMMYFUNCTION("IF
(
G14860=""фізична особа""
,
VLOOKUP(H14860,IMPORTRANGE(""https://docs.google.com/spreadsheets/d/14Bd19lYaqBhU8_DElYkX7l4wRkHqqCUFNJY4AfY3kHU/edit?usp=sharing  #gid=0"",""фіз особи new!relations_name""),6,FALSE)
,
(IF
(
G14860=""юридична особа""
,
VLOO"&amp;"KUP(H14860,IMPORTRANGE(""https://docs.google.com/spreadsheets/d/14Bd19lYaqBhU8_DElYkX7l4wRkHqqCUFNJY4AfY3kHU/edit?usp=sharing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59" s="7" t="s">
        <v>23</v>
      </c>
    </row>
    <row r="14860" spans="1:10" ht="13.2">
      <c r="A14860" s="7">
        <v>14859</v>
      </c>
      <c r="B14860" s="7">
        <v>1</v>
      </c>
      <c r="C14860" s="7" t="s">
        <v>10</v>
      </c>
      <c r="D14860" s="7">
        <v>19519</v>
      </c>
      <c r="E14860" s="7" t="s">
        <v>23</v>
      </c>
      <c r="F14860" s="8" t="str">
        <f ca="1">IFERROR(__xludf.DUMMYFUNCTION("IF
(
C14861=""фізична особа""
,
VLOOKUP(D14861,IMPORTRANGE(""https://docs.google.com/spreadsheets/d/14Bd19lYaqBhU8_DElYkX7l4wRkHqqCUFNJY4AfY3kHU/edit?usp=sharing  #gid=0"",""фіз особи new!relations_name""),6,FALSE)
,
(IF
(
C14861=""юридична особа""
,
VLOO"&amp;"KUP(D14861,IMPORTRANGE(""https://docs.google.com/spreadsheets/d/14Bd19lYaqBhU8_DElYkX7l4wRkHqqCUFNJY4AfY3kHU/edit?usp=sharing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0" s="7" t="s">
        <v>10</v>
      </c>
      <c r="H14860" s="7">
        <v>19514</v>
      </c>
      <c r="I14860" s="8" t="str">
        <f ca="1">IFERROR(__xludf.DUMMYFUNCTION("IF
(
G14861=""фізична особа""
,
VLOOKUP(H14861,IMPORTRANGE(""https://docs.google.com/spreadsheets/d/14Bd19lYaqBhU8_DElYkX7l4wRkHqqCUFNJY4AfY3kHU/edit?usp=sharing  #gid=0"",""фіз особи new!relations_name""),6,FALSE)
,
(IF
(
G14861=""юридична особа""
,
VLOO"&amp;"KUP(H14861,IMPORTRANGE(""https://docs.google.com/spreadsheets/d/14Bd19lYaqBhU8_DElYkX7l4wRkHqqCUFNJY4AfY3kHU/edit?usp=sharing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60" s="7" t="s">
        <v>23</v>
      </c>
    </row>
    <row r="14861" spans="1:10" ht="13.2">
      <c r="A14861" s="7">
        <v>14860</v>
      </c>
      <c r="B14861" s="7">
        <v>1</v>
      </c>
      <c r="C14861" s="7" t="s">
        <v>10</v>
      </c>
      <c r="D14861" s="7">
        <v>19519</v>
      </c>
      <c r="E14861" s="7" t="s">
        <v>23</v>
      </c>
      <c r="F14861" s="8" t="str">
        <f ca="1">IFERROR(__xludf.DUMMYFUNCTION("IF
(
C14862=""фізична особа""
,
VLOOKUP(D14862,IMPORTRANGE(""https://docs.google.com/spreadsheets/d/14Bd19lYaqBhU8_DElYkX7l4wRkHqqCUFNJY4AfY3kHU/edit?usp=sharing  #gid=0"",""фіз особи new!relations_name""),6,FALSE)
,
(IF
(
C14862=""юридична особа""
,
VLOO"&amp;"KUP(D14862,IMPORTRANGE(""https://docs.google.com/spreadsheets/d/14Bd19lYaqBhU8_DElYkX7l4wRkHqqCUFNJY4AfY3kHU/edit?usp=sharing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1" s="7" t="s">
        <v>10</v>
      </c>
      <c r="H14861" s="7">
        <v>19515</v>
      </c>
      <c r="I14861" s="8" t="str">
        <f ca="1">IFERROR(__xludf.DUMMYFUNCTION("IF
(
G14862=""фізична особа""
,
VLOOKUP(H14862,IMPORTRANGE(""https://docs.google.com/spreadsheets/d/14Bd19lYaqBhU8_DElYkX7l4wRkHqqCUFNJY4AfY3kHU/edit?usp=sharing  #gid=0"",""фіз особи new!relations_name""),6,FALSE)
,
(IF
(
G14862=""юридична особа""
,
VLOO"&amp;"KUP(H14862,IMPORTRANGE(""https://docs.google.com/spreadsheets/d/14Bd19lYaqBhU8_DElYkX7l4wRkHqqCUFNJY4AfY3kHU/edit?usp=sharing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61" s="7" t="s">
        <v>23</v>
      </c>
    </row>
    <row r="14862" spans="1:10" ht="13.2">
      <c r="A14862" s="7">
        <v>14861</v>
      </c>
      <c r="B14862" s="7">
        <v>1</v>
      </c>
      <c r="C14862" s="7" t="s">
        <v>10</v>
      </c>
      <c r="D14862" s="7">
        <v>19519</v>
      </c>
      <c r="E14862" s="7" t="s">
        <v>23</v>
      </c>
      <c r="F14862" s="8" t="str">
        <f ca="1">IFERROR(__xludf.DUMMYFUNCTION("IF
(
C14863=""фізична особа""
,
VLOOKUP(D14863,IMPORTRANGE(""https://docs.google.com/spreadsheets/d/14Bd19lYaqBhU8_DElYkX7l4wRkHqqCUFNJY4AfY3kHU/edit?usp=sharing  #gid=0"",""фіз особи new!relations_name""),6,FALSE)
,
(IF
(
C14863=""юридична особа""
,
VLOO"&amp;"KUP(D14863,IMPORTRANGE(""https://docs.google.com/spreadsheets/d/14Bd19lYaqBhU8_DElYkX7l4wRkHqqCUFNJY4AfY3kHU/edit?usp=sharing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2" s="7" t="s">
        <v>10</v>
      </c>
      <c r="H14862" s="7">
        <v>19516</v>
      </c>
      <c r="I14862" s="8" t="str">
        <f ca="1">IFERROR(__xludf.DUMMYFUNCTION("IF
(
G14863=""фізична особа""
,
VLOOKUP(H14863,IMPORTRANGE(""https://docs.google.com/spreadsheets/d/14Bd19lYaqBhU8_DElYkX7l4wRkHqqCUFNJY4AfY3kHU/edit?usp=sharing  #gid=0"",""фіз особи new!relations_name""),6,FALSE)
,
(IF
(
G14863=""юридична особа""
,
VLOO"&amp;"KUP(H14863,IMPORTRANGE(""https://docs.google.com/spreadsheets/d/14Bd19lYaqBhU8_DElYkX7l4wRkHqqCUFNJY4AfY3kHU/edit?usp=sharing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62" s="7" t="s">
        <v>23</v>
      </c>
    </row>
    <row r="14863" spans="1:10" ht="13.2">
      <c r="A14863" s="7">
        <v>14862</v>
      </c>
      <c r="B14863" s="7">
        <v>1</v>
      </c>
      <c r="C14863" s="7" t="s">
        <v>10</v>
      </c>
      <c r="D14863" s="7">
        <v>19519</v>
      </c>
      <c r="E14863" s="7" t="s">
        <v>23</v>
      </c>
      <c r="F14863" s="8" t="str">
        <f ca="1">IFERROR(__xludf.DUMMYFUNCTION("IF
(
C14864=""фізична особа""
,
VLOOKUP(D14864,IMPORTRANGE(""https://docs.google.com/spreadsheets/d/14Bd19lYaqBhU8_DElYkX7l4wRkHqqCUFNJY4AfY3kHU/edit?usp=sharing  #gid=0"",""фіз особи new!relations_name""),6,FALSE)
,
(IF
(
C14864=""юридична особа""
,
VLOO"&amp;"KUP(D14864,IMPORTRANGE(""https://docs.google.com/spreadsheets/d/14Bd19lYaqBhU8_DElYkX7l4wRkHqqCUFNJY4AfY3kHU/edit?usp=sharing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3" s="7" t="s">
        <v>10</v>
      </c>
      <c r="H14863" s="7">
        <v>19517</v>
      </c>
      <c r="I14863" s="8" t="str">
        <f ca="1">IFERROR(__xludf.DUMMYFUNCTION("IF
(
G14864=""фізична особа""
,
VLOOKUP(H14864,IMPORTRANGE(""https://docs.google.com/spreadsheets/d/14Bd19lYaqBhU8_DElYkX7l4wRkHqqCUFNJY4AfY3kHU/edit?usp=sharing  #gid=0"",""фіз особи new!relations_name""),6,FALSE)
,
(IF
(
G14864=""юридична особа""
,
VLOO"&amp;"KUP(H14864,IMPORTRANGE(""https://docs.google.com/spreadsheets/d/14Bd19lYaqBhU8_DElYkX7l4wRkHqqCUFNJY4AfY3kHU/edit?usp=sharing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63" s="7" t="s">
        <v>23</v>
      </c>
    </row>
    <row r="14864" spans="1:10" ht="13.2">
      <c r="A14864" s="7">
        <v>14863</v>
      </c>
      <c r="B14864" s="7">
        <v>1</v>
      </c>
      <c r="C14864" s="7" t="s">
        <v>10</v>
      </c>
      <c r="D14864" s="7">
        <v>19519</v>
      </c>
      <c r="E14864" s="7" t="s">
        <v>23</v>
      </c>
      <c r="F14864" s="8" t="str">
        <f ca="1">IFERROR(__xludf.DUMMYFUNCTION("IF
(
C14865=""фізична особа""
,
VLOOKUP(D14865,IMPORTRANGE(""https://docs.google.com/spreadsheets/d/14Bd19lYaqBhU8_DElYkX7l4wRkHqqCUFNJY4AfY3kHU/edit?usp=sharing  #gid=0"",""фіз особи new!relations_name""),6,FALSE)
,
(IF
(
C14865=""юридична особа""
,
VLOO"&amp;"KUP(D14865,IMPORTRANGE(""https://docs.google.com/spreadsheets/d/14Bd19lYaqBhU8_DElYkX7l4wRkHqqCUFNJY4AfY3kHU/edit?usp=sharing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4" s="7" t="s">
        <v>10</v>
      </c>
      <c r="H14864" s="7">
        <v>19518</v>
      </c>
      <c r="I14864" s="8" t="str">
        <f ca="1">IFERROR(__xludf.DUMMYFUNCTION("IF
(
G14865=""фізична особа""
,
VLOOKUP(H14865,IMPORTRANGE(""https://docs.google.com/spreadsheets/d/14Bd19lYaqBhU8_DElYkX7l4wRkHqqCUFNJY4AfY3kHU/edit?usp=sharing  #gid=0"",""фіз особи new!relations_name""),6,FALSE)
,
(IF
(
G14865=""юридична особа""
,
VLOO"&amp;"KUP(H14865,IMPORTRANGE(""https://docs.google.com/spreadsheets/d/14Bd19lYaqBhU8_DElYkX7l4wRkHqqCUFNJY4AfY3kHU/edit?usp=sharing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64" s="7" t="s">
        <v>23</v>
      </c>
    </row>
    <row r="14865" spans="1:10" ht="13.2">
      <c r="A14865" s="7">
        <v>14864</v>
      </c>
      <c r="B14865" s="7">
        <v>1</v>
      </c>
      <c r="C14865" s="7" t="s">
        <v>10</v>
      </c>
      <c r="D14865" s="7">
        <v>19519</v>
      </c>
      <c r="E14865" s="7" t="s">
        <v>23</v>
      </c>
      <c r="F14865" s="8" t="str">
        <f ca="1">IFERROR(__xludf.DUMMYFUNCTION("IF
(
C14866=""фізична особа""
,
VLOOKUP(D14866,IMPORTRANGE(""https://docs.google.com/spreadsheets/d/14Bd19lYaqBhU8_DElYkX7l4wRkHqqCUFNJY4AfY3kHU/edit?usp=sharing  #gid=0"",""фіз особи new!relations_name""),6,FALSE)
,
(IF
(
C14866=""юридична особа""
,
VLOO"&amp;"KUP(D14866,IMPORTRANGE(""https://docs.google.com/spreadsheets/d/14Bd19lYaqBhU8_DElYkX7l4wRkHqqCUFNJY4AfY3kHU/edit?usp=sharing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5" s="7" t="s">
        <v>10</v>
      </c>
      <c r="H14865" s="7">
        <v>19521</v>
      </c>
      <c r="I14865" s="8" t="str">
        <f ca="1">IFERROR(__xludf.DUMMYFUNCTION("IF
(
G14866=""фізична особа""
,
VLOOKUP(H14866,IMPORTRANGE(""https://docs.google.com/spreadsheets/d/14Bd19lYaqBhU8_DElYkX7l4wRkHqqCUFNJY4AfY3kHU/edit?usp=sharing  #gid=0"",""фіз особи new!relations_name""),6,FALSE)
,
(IF
(
G14866=""юридична особа""
,
VLOO"&amp;"KUP(H14866,IMPORTRANGE(""https://docs.google.com/spreadsheets/d/14Bd19lYaqBhU8_DElYkX7l4wRkHqqCUFNJY4AfY3kHU/edit?usp=sharing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65" s="7" t="s">
        <v>23</v>
      </c>
    </row>
    <row r="14866" spans="1:10" ht="13.2">
      <c r="A14866" s="7">
        <v>14865</v>
      </c>
      <c r="B14866" s="7">
        <v>1</v>
      </c>
      <c r="C14866" s="7" t="s">
        <v>10</v>
      </c>
      <c r="D14866" s="7">
        <v>19519</v>
      </c>
      <c r="E14866" s="7" t="s">
        <v>23</v>
      </c>
      <c r="F14866" s="8" t="str">
        <f ca="1">IFERROR(__xludf.DUMMYFUNCTION("IF
(
C14867=""фізична особа""
,
VLOOKUP(D14867,IMPORTRANGE(""https://docs.google.com/spreadsheets/d/14Bd19lYaqBhU8_DElYkX7l4wRkHqqCUFNJY4AfY3kHU/edit?usp=sharing  #gid=0"",""фіз особи new!relations_name""),6,FALSE)
,
(IF
(
C14867=""юридична особа""
,
VLOO"&amp;"KUP(D14867,IMPORTRANGE(""https://docs.google.com/spreadsheets/d/14Bd19lYaqBhU8_DElYkX7l4wRkHqqCUFNJY4AfY3kHU/edit?usp=sharing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6" s="7" t="s">
        <v>10</v>
      </c>
      <c r="H14866" s="7">
        <v>19522</v>
      </c>
      <c r="I14866" s="8" t="str">
        <f ca="1">IFERROR(__xludf.DUMMYFUNCTION("IF
(
G14867=""фізична особа""
,
VLOOKUP(H14867,IMPORTRANGE(""https://docs.google.com/spreadsheets/d/14Bd19lYaqBhU8_DElYkX7l4wRkHqqCUFNJY4AfY3kHU/edit?usp=sharing  #gid=0"",""фіз особи new!relations_name""),6,FALSE)
,
(IF
(
G14867=""юридична особа""
,
VLOO"&amp;"KUP(H14867,IMPORTRANGE(""https://docs.google.com/spreadsheets/d/14Bd19lYaqBhU8_DElYkX7l4wRkHqqCUFNJY4AfY3kHU/edit?usp=sharing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66" s="7" t="s">
        <v>23</v>
      </c>
    </row>
    <row r="14867" spans="1:10" ht="13.2">
      <c r="A14867" s="7">
        <v>14866</v>
      </c>
      <c r="B14867" s="7">
        <v>1</v>
      </c>
      <c r="C14867" s="7" t="s">
        <v>10</v>
      </c>
      <c r="D14867" s="7">
        <v>19519</v>
      </c>
      <c r="E14867" s="7" t="s">
        <v>23</v>
      </c>
      <c r="F14867" s="8" t="str">
        <f ca="1">IFERROR(__xludf.DUMMYFUNCTION("IF
(
C14868=""фізична особа""
,
VLOOKUP(D14868,IMPORTRANGE(""https://docs.google.com/spreadsheets/d/14Bd19lYaqBhU8_DElYkX7l4wRkHqqCUFNJY4AfY3kHU/edit?usp=sharing  #gid=0"",""фіз особи new!relations_name""),6,FALSE)
,
(IF
(
C14868=""юридична особа""
,
VLOO"&amp;"KUP(D14868,IMPORTRANGE(""https://docs.google.com/spreadsheets/d/14Bd19lYaqBhU8_DElYkX7l4wRkHqqCUFNJY4AfY3kHU/edit?usp=sharing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7" s="7" t="s">
        <v>10</v>
      </c>
      <c r="H14867" s="7">
        <v>19523</v>
      </c>
      <c r="I14867" s="8" t="str">
        <f ca="1">IFERROR(__xludf.DUMMYFUNCTION("IF
(
G14868=""фізична особа""
,
VLOOKUP(H14868,IMPORTRANGE(""https://docs.google.com/spreadsheets/d/14Bd19lYaqBhU8_DElYkX7l4wRkHqqCUFNJY4AfY3kHU/edit?usp=sharing  #gid=0"",""фіз особи new!relations_name""),6,FALSE)
,
(IF
(
G14868=""юридична особа""
,
VLOO"&amp;"KUP(H14868,IMPORTRANGE(""https://docs.google.com/spreadsheets/d/14Bd19lYaqBhU8_DElYkX7l4wRkHqqCUFNJY4AfY3kHU/edit?usp=sharing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67" s="7" t="s">
        <v>23</v>
      </c>
    </row>
    <row r="14868" spans="1:10" ht="13.2">
      <c r="A14868" s="7">
        <v>14867</v>
      </c>
      <c r="B14868" s="7">
        <v>1</v>
      </c>
      <c r="C14868" s="7" t="s">
        <v>10</v>
      </c>
      <c r="D14868" s="7">
        <v>19519</v>
      </c>
      <c r="E14868" s="7" t="s">
        <v>23</v>
      </c>
      <c r="F14868" s="8" t="str">
        <f ca="1">IFERROR(__xludf.DUMMYFUNCTION("IF
(
C14869=""фізична особа""
,
VLOOKUP(D14869,IMPORTRANGE(""https://docs.google.com/spreadsheets/d/14Bd19lYaqBhU8_DElYkX7l4wRkHqqCUFNJY4AfY3kHU/edit?usp=sharing  #gid=0"",""фіз особи new!relations_name""),6,FALSE)
,
(IF
(
C14869=""юридична особа""
,
VLOO"&amp;"KUP(D14869,IMPORTRANGE(""https://docs.google.com/spreadsheets/d/14Bd19lYaqBhU8_DElYkX7l4wRkHqqCUFNJY4AfY3kHU/edit?usp=sharing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G14868" s="7" t="s">
        <v>10</v>
      </c>
      <c r="H14868" s="7">
        <v>19524</v>
      </c>
      <c r="I14868" s="8" t="str">
        <f ca="1">IFERROR(__xludf.DUMMYFUNCTION("IF
(
G14869=""фізична особа""
,
VLOOKUP(H14869,IMPORTRANGE(""https://docs.google.com/spreadsheets/d/14Bd19lYaqBhU8_DElYkX7l4wRkHqqCUFNJY4AfY3kHU/edit?usp=sharing  #gid=0"",""фіз особи new!relations_name""),6,FALSE)
,
(IF
(
G14869=""юридична особа""
,
VLOO"&amp;"KUP(H14869,IMPORTRANGE(""https://docs.google.com/spreadsheets/d/14Bd19lYaqBhU8_DElYkX7l4wRkHqqCUFNJY4AfY3kHU/edit?usp=sharing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68" s="7" t="s">
        <v>23</v>
      </c>
    </row>
    <row r="14869" spans="1:10" ht="13.2">
      <c r="A14869" s="7">
        <v>14868</v>
      </c>
      <c r="B14869" s="7">
        <v>1</v>
      </c>
      <c r="C14869" s="7" t="s">
        <v>10</v>
      </c>
      <c r="D14869" s="7">
        <v>19520</v>
      </c>
      <c r="E14869" s="7" t="s">
        <v>23</v>
      </c>
      <c r="F14869" s="8" t="str">
        <f ca="1">IFERROR(__xludf.DUMMYFUNCTION("IF
(
C14870=""фізична особа""
,
VLOOKUP(D14870,IMPORTRANGE(""https://docs.google.com/spreadsheets/d/14Bd19lYaqBhU8_DElYkX7l4wRkHqqCUFNJY4AfY3kHU/edit?usp=sharing  #gid=0"",""фіз особи new!relations_name""),6,FALSE)
,
(IF
(
C14870=""юридична особа""
,
VLOO"&amp;"KUP(D14870,IMPORTRANGE(""https://docs.google.com/spreadsheets/d/14Bd19lYaqBhU8_DElYkX7l4wRkHqqCUFNJY4AfY3kHU/edit?usp=sharing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69" s="7" t="s">
        <v>10</v>
      </c>
      <c r="H14869" s="7">
        <v>19520</v>
      </c>
      <c r="I14869" s="8" t="str">
        <f ca="1">IFERROR(__xludf.DUMMYFUNCTION("IF
(
G14870=""фізична особа""
,
VLOOKUP(H14870,IMPORTRANGE(""https://docs.google.com/spreadsheets/d/14Bd19lYaqBhU8_DElYkX7l4wRkHqqCUFNJY4AfY3kHU/edit?usp=sharing  #gid=0"",""фіз особи new!relations_name""),6,FALSE)
,
(IF
(
G14870=""юридична особа""
,
VLOO"&amp;"KUP(H14870,IMPORTRANGE(""https://docs.google.com/spreadsheets/d/14Bd19lYaqBhU8_DElYkX7l4wRkHqqCUFNJY4AfY3kHU/edit?usp=sharing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69" s="7" t="s">
        <v>23</v>
      </c>
    </row>
    <row r="14870" spans="1:10" ht="13.2">
      <c r="A14870" s="7">
        <v>14869</v>
      </c>
      <c r="B14870" s="7">
        <v>1</v>
      </c>
      <c r="C14870" s="7" t="s">
        <v>10</v>
      </c>
      <c r="D14870" s="7">
        <v>19520</v>
      </c>
      <c r="E14870" s="7" t="s">
        <v>23</v>
      </c>
      <c r="F14870" s="8" t="str">
        <f ca="1">IFERROR(__xludf.DUMMYFUNCTION("IF
(
C14871=""фізична особа""
,
VLOOKUP(D14871,IMPORTRANGE(""https://docs.google.com/spreadsheets/d/14Bd19lYaqBhU8_DElYkX7l4wRkHqqCUFNJY4AfY3kHU/edit?usp=sharing  #gid=0"",""фіз особи new!relations_name""),6,FALSE)
,
(IF
(
C14871=""юридична особа""
,
VLOO"&amp;"KUP(D14871,IMPORTRANGE(""https://docs.google.com/spreadsheets/d/14Bd19lYaqBhU8_DElYkX7l4wRkHqqCUFNJY4AfY3kHU/edit?usp=sharing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0" s="7" t="s">
        <v>10</v>
      </c>
      <c r="H14870" s="7">
        <v>19513</v>
      </c>
      <c r="I14870" s="8" t="str">
        <f ca="1">IFERROR(__xludf.DUMMYFUNCTION("IF
(
G14871=""фізична особа""
,
VLOOKUP(H14871,IMPORTRANGE(""https://docs.google.com/spreadsheets/d/14Bd19lYaqBhU8_DElYkX7l4wRkHqqCUFNJY4AfY3kHU/edit?usp=sharing  #gid=0"",""фіз особи new!relations_name""),6,FALSE)
,
(IF
(
G14871=""юридична особа""
,
VLOO"&amp;"KUP(H14871,IMPORTRANGE(""https://docs.google.com/spreadsheets/d/14Bd19lYaqBhU8_DElYkX7l4wRkHqqCUFNJY4AfY3kHU/edit?usp=sharing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70" s="7" t="s">
        <v>23</v>
      </c>
    </row>
    <row r="14871" spans="1:10" ht="13.2">
      <c r="A14871" s="7">
        <v>14870</v>
      </c>
      <c r="B14871" s="7">
        <v>1</v>
      </c>
      <c r="C14871" s="7" t="s">
        <v>10</v>
      </c>
      <c r="D14871" s="7">
        <v>19520</v>
      </c>
      <c r="E14871" s="7" t="s">
        <v>23</v>
      </c>
      <c r="F14871" s="8" t="str">
        <f ca="1">IFERROR(__xludf.DUMMYFUNCTION("IF
(
C14872=""фізична особа""
,
VLOOKUP(D14872,IMPORTRANGE(""https://docs.google.com/spreadsheets/d/14Bd19lYaqBhU8_DElYkX7l4wRkHqqCUFNJY4AfY3kHU/edit?usp=sharing  #gid=0"",""фіз особи new!relations_name""),6,FALSE)
,
(IF
(
C14872=""юридична особа""
,
VLOO"&amp;"KUP(D14872,IMPORTRANGE(""https://docs.google.com/spreadsheets/d/14Bd19lYaqBhU8_DElYkX7l4wRkHqqCUFNJY4AfY3kHU/edit?usp=sharing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1" s="7" t="s">
        <v>10</v>
      </c>
      <c r="H14871" s="7">
        <v>19514</v>
      </c>
      <c r="I14871" s="8" t="str">
        <f ca="1">IFERROR(__xludf.DUMMYFUNCTION("IF
(
G14872=""фізична особа""
,
VLOOKUP(H14872,IMPORTRANGE(""https://docs.google.com/spreadsheets/d/14Bd19lYaqBhU8_DElYkX7l4wRkHqqCUFNJY4AfY3kHU/edit?usp=sharing  #gid=0"",""фіз особи new!relations_name""),6,FALSE)
,
(IF
(
G14872=""юридична особа""
,
VLOO"&amp;"KUP(H14872,IMPORTRANGE(""https://docs.google.com/spreadsheets/d/14Bd19lYaqBhU8_DElYkX7l4wRkHqqCUFNJY4AfY3kHU/edit?usp=sharing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71" s="7" t="s">
        <v>23</v>
      </c>
    </row>
    <row r="14872" spans="1:10" ht="13.2">
      <c r="A14872" s="7">
        <v>14871</v>
      </c>
      <c r="B14872" s="7">
        <v>1</v>
      </c>
      <c r="C14872" s="7" t="s">
        <v>10</v>
      </c>
      <c r="D14872" s="7">
        <v>19520</v>
      </c>
      <c r="E14872" s="7" t="s">
        <v>23</v>
      </c>
      <c r="F14872" s="8" t="str">
        <f ca="1">IFERROR(__xludf.DUMMYFUNCTION("IF
(
C14873=""фізична особа""
,
VLOOKUP(D14873,IMPORTRANGE(""https://docs.google.com/spreadsheets/d/14Bd19lYaqBhU8_DElYkX7l4wRkHqqCUFNJY4AfY3kHU/edit?usp=sharing  #gid=0"",""фіз особи new!relations_name""),6,FALSE)
,
(IF
(
C14873=""юридична особа""
,
VLOO"&amp;"KUP(D14873,IMPORTRANGE(""https://docs.google.com/spreadsheets/d/14Bd19lYaqBhU8_DElYkX7l4wRkHqqCUFNJY4AfY3kHU/edit?usp=sharing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2" s="7" t="s">
        <v>10</v>
      </c>
      <c r="H14872" s="7">
        <v>19515</v>
      </c>
      <c r="I14872" s="8" t="str">
        <f ca="1">IFERROR(__xludf.DUMMYFUNCTION("IF
(
G14873=""фізична особа""
,
VLOOKUP(H14873,IMPORTRANGE(""https://docs.google.com/spreadsheets/d/14Bd19lYaqBhU8_DElYkX7l4wRkHqqCUFNJY4AfY3kHU/edit?usp=sharing  #gid=0"",""фіз особи new!relations_name""),6,FALSE)
,
(IF
(
G14873=""юридична особа""
,
VLOO"&amp;"KUP(H14873,IMPORTRANGE(""https://docs.google.com/spreadsheets/d/14Bd19lYaqBhU8_DElYkX7l4wRkHqqCUFNJY4AfY3kHU/edit?usp=sharing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72" s="7" t="s">
        <v>23</v>
      </c>
    </row>
    <row r="14873" spans="1:10" ht="13.2">
      <c r="A14873" s="7">
        <v>14872</v>
      </c>
      <c r="B14873" s="7">
        <v>1</v>
      </c>
      <c r="C14873" s="7" t="s">
        <v>10</v>
      </c>
      <c r="D14873" s="7">
        <v>19520</v>
      </c>
      <c r="E14873" s="7" t="s">
        <v>23</v>
      </c>
      <c r="F14873" s="8" t="str">
        <f ca="1">IFERROR(__xludf.DUMMYFUNCTION("IF
(
C14874=""фізична особа""
,
VLOOKUP(D14874,IMPORTRANGE(""https://docs.google.com/spreadsheets/d/14Bd19lYaqBhU8_DElYkX7l4wRkHqqCUFNJY4AfY3kHU/edit?usp=sharing  #gid=0"",""фіз особи new!relations_name""),6,FALSE)
,
(IF
(
C14874=""юридична особа""
,
VLOO"&amp;"KUP(D14874,IMPORTRANGE(""https://docs.google.com/spreadsheets/d/14Bd19lYaqBhU8_DElYkX7l4wRkHqqCUFNJY4AfY3kHU/edit?usp=sharing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3" s="7" t="s">
        <v>10</v>
      </c>
      <c r="H14873" s="7">
        <v>19516</v>
      </c>
      <c r="I14873" s="8" t="str">
        <f ca="1">IFERROR(__xludf.DUMMYFUNCTION("IF
(
G14874=""фізична особа""
,
VLOOKUP(H14874,IMPORTRANGE(""https://docs.google.com/spreadsheets/d/14Bd19lYaqBhU8_DElYkX7l4wRkHqqCUFNJY4AfY3kHU/edit?usp=sharing  #gid=0"",""фіз особи new!relations_name""),6,FALSE)
,
(IF
(
G14874=""юридична особа""
,
VLOO"&amp;"KUP(H14874,IMPORTRANGE(""https://docs.google.com/spreadsheets/d/14Bd19lYaqBhU8_DElYkX7l4wRkHqqCUFNJY4AfY3kHU/edit?usp=sharing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73" s="7" t="s">
        <v>23</v>
      </c>
    </row>
    <row r="14874" spans="1:10" ht="13.2">
      <c r="A14874" s="7">
        <v>14873</v>
      </c>
      <c r="B14874" s="7">
        <v>1</v>
      </c>
      <c r="C14874" s="7" t="s">
        <v>10</v>
      </c>
      <c r="D14874" s="7">
        <v>19520</v>
      </c>
      <c r="E14874" s="7" t="s">
        <v>23</v>
      </c>
      <c r="F14874" s="8" t="str">
        <f ca="1">IFERROR(__xludf.DUMMYFUNCTION("IF
(
C14875=""фізична особа""
,
VLOOKUP(D14875,IMPORTRANGE(""https://docs.google.com/spreadsheets/d/14Bd19lYaqBhU8_DElYkX7l4wRkHqqCUFNJY4AfY3kHU/edit?usp=sharing  #gid=0"",""фіз особи new!relations_name""),6,FALSE)
,
(IF
(
C14875=""юридична особа""
,
VLOO"&amp;"KUP(D14875,IMPORTRANGE(""https://docs.google.com/spreadsheets/d/14Bd19lYaqBhU8_DElYkX7l4wRkHqqCUFNJY4AfY3kHU/edit?usp=sharing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4" s="7" t="s">
        <v>10</v>
      </c>
      <c r="H14874" s="7">
        <v>19517</v>
      </c>
      <c r="I14874" s="8" t="str">
        <f ca="1">IFERROR(__xludf.DUMMYFUNCTION("IF
(
G14875=""фізична особа""
,
VLOOKUP(H14875,IMPORTRANGE(""https://docs.google.com/spreadsheets/d/14Bd19lYaqBhU8_DElYkX7l4wRkHqqCUFNJY4AfY3kHU/edit?usp=sharing  #gid=0"",""фіз особи new!relations_name""),6,FALSE)
,
(IF
(
G14875=""юридична особа""
,
VLOO"&amp;"KUP(H14875,IMPORTRANGE(""https://docs.google.com/spreadsheets/d/14Bd19lYaqBhU8_DElYkX7l4wRkHqqCUFNJY4AfY3kHU/edit?usp=sharing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74" s="7" t="s">
        <v>23</v>
      </c>
    </row>
    <row r="14875" spans="1:10" ht="13.2">
      <c r="A14875" s="7">
        <v>14874</v>
      </c>
      <c r="B14875" s="7">
        <v>1</v>
      </c>
      <c r="C14875" s="7" t="s">
        <v>10</v>
      </c>
      <c r="D14875" s="7">
        <v>19520</v>
      </c>
      <c r="E14875" s="7" t="s">
        <v>23</v>
      </c>
      <c r="F14875" s="8" t="str">
        <f ca="1">IFERROR(__xludf.DUMMYFUNCTION("IF
(
C14876=""фізична особа""
,
VLOOKUP(D14876,IMPORTRANGE(""https://docs.google.com/spreadsheets/d/14Bd19lYaqBhU8_DElYkX7l4wRkHqqCUFNJY4AfY3kHU/edit?usp=sharing  #gid=0"",""фіз особи new!relations_name""),6,FALSE)
,
(IF
(
C14876=""юридична особа""
,
VLOO"&amp;"KUP(D14876,IMPORTRANGE(""https://docs.google.com/spreadsheets/d/14Bd19lYaqBhU8_DElYkX7l4wRkHqqCUFNJY4AfY3kHU/edit?usp=sharing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5" s="7" t="s">
        <v>10</v>
      </c>
      <c r="H14875" s="7">
        <v>19518</v>
      </c>
      <c r="I14875" s="8" t="str">
        <f ca="1">IFERROR(__xludf.DUMMYFUNCTION("IF
(
G14876=""фізична особа""
,
VLOOKUP(H14876,IMPORTRANGE(""https://docs.google.com/spreadsheets/d/14Bd19lYaqBhU8_DElYkX7l4wRkHqqCUFNJY4AfY3kHU/edit?usp=sharing  #gid=0"",""фіз особи new!relations_name""),6,FALSE)
,
(IF
(
G14876=""юридична особа""
,
VLOO"&amp;"KUP(H14876,IMPORTRANGE(""https://docs.google.com/spreadsheets/d/14Bd19lYaqBhU8_DElYkX7l4wRkHqqCUFNJY4AfY3kHU/edit?usp=sharing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75" s="7" t="s">
        <v>23</v>
      </c>
    </row>
    <row r="14876" spans="1:10" ht="13.2">
      <c r="A14876" s="7">
        <v>14875</v>
      </c>
      <c r="B14876" s="7">
        <v>1</v>
      </c>
      <c r="C14876" s="7" t="s">
        <v>10</v>
      </c>
      <c r="D14876" s="7">
        <v>19520</v>
      </c>
      <c r="E14876" s="7" t="s">
        <v>23</v>
      </c>
      <c r="F14876" s="8" t="str">
        <f ca="1">IFERROR(__xludf.DUMMYFUNCTION("IF
(
C14877=""фізична особа""
,
VLOOKUP(D14877,IMPORTRANGE(""https://docs.google.com/spreadsheets/d/14Bd19lYaqBhU8_DElYkX7l4wRkHqqCUFNJY4AfY3kHU/edit?usp=sharing  #gid=0"",""фіз особи new!relations_name""),6,FALSE)
,
(IF
(
C14877=""юридична особа""
,
VLOO"&amp;"KUP(D14877,IMPORTRANGE(""https://docs.google.com/spreadsheets/d/14Bd19lYaqBhU8_DElYkX7l4wRkHqqCUFNJY4AfY3kHU/edit?usp=sharing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6" s="7" t="s">
        <v>10</v>
      </c>
      <c r="H14876" s="7">
        <v>19521</v>
      </c>
      <c r="I14876" s="8" t="str">
        <f ca="1">IFERROR(__xludf.DUMMYFUNCTION("IF
(
G14877=""фізична особа""
,
VLOOKUP(H14877,IMPORTRANGE(""https://docs.google.com/spreadsheets/d/14Bd19lYaqBhU8_DElYkX7l4wRkHqqCUFNJY4AfY3kHU/edit?usp=sharing  #gid=0"",""фіз особи new!relations_name""),6,FALSE)
,
(IF
(
G14877=""юридична особа""
,
VLOO"&amp;"KUP(H14877,IMPORTRANGE(""https://docs.google.com/spreadsheets/d/14Bd19lYaqBhU8_DElYkX7l4wRkHqqCUFNJY4AfY3kHU/edit?usp=sharing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76" s="7" t="s">
        <v>23</v>
      </c>
    </row>
    <row r="14877" spans="1:10" ht="13.2">
      <c r="A14877" s="7">
        <v>14876</v>
      </c>
      <c r="B14877" s="7">
        <v>1</v>
      </c>
      <c r="C14877" s="7" t="s">
        <v>10</v>
      </c>
      <c r="D14877" s="7">
        <v>19520</v>
      </c>
      <c r="E14877" s="7" t="s">
        <v>23</v>
      </c>
      <c r="F14877" s="8" t="str">
        <f ca="1">IFERROR(__xludf.DUMMYFUNCTION("IF
(
C14878=""фізична особа""
,
VLOOKUP(D14878,IMPORTRANGE(""https://docs.google.com/spreadsheets/d/14Bd19lYaqBhU8_DElYkX7l4wRkHqqCUFNJY4AfY3kHU/edit?usp=sharing  #gid=0"",""фіз особи new!relations_name""),6,FALSE)
,
(IF
(
C14878=""юридична особа""
,
VLOO"&amp;"KUP(D14878,IMPORTRANGE(""https://docs.google.com/spreadsheets/d/14Bd19lYaqBhU8_DElYkX7l4wRkHqqCUFNJY4AfY3kHU/edit?usp=sharing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7" s="7" t="s">
        <v>10</v>
      </c>
      <c r="H14877" s="7">
        <v>19522</v>
      </c>
      <c r="I14877" s="8" t="str">
        <f ca="1">IFERROR(__xludf.DUMMYFUNCTION("IF
(
G14878=""фізична особа""
,
VLOOKUP(H14878,IMPORTRANGE(""https://docs.google.com/spreadsheets/d/14Bd19lYaqBhU8_DElYkX7l4wRkHqqCUFNJY4AfY3kHU/edit?usp=sharing  #gid=0"",""фіз особи new!relations_name""),6,FALSE)
,
(IF
(
G14878=""юридична особа""
,
VLOO"&amp;"KUP(H14878,IMPORTRANGE(""https://docs.google.com/spreadsheets/d/14Bd19lYaqBhU8_DElYkX7l4wRkHqqCUFNJY4AfY3kHU/edit?usp=sharing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77" s="7" t="s">
        <v>23</v>
      </c>
    </row>
    <row r="14878" spans="1:10" ht="13.2">
      <c r="A14878" s="7">
        <v>14877</v>
      </c>
      <c r="B14878" s="7">
        <v>1</v>
      </c>
      <c r="C14878" s="7" t="s">
        <v>10</v>
      </c>
      <c r="D14878" s="7">
        <v>19520</v>
      </c>
      <c r="E14878" s="7" t="s">
        <v>23</v>
      </c>
      <c r="F14878" s="8" t="str">
        <f ca="1">IFERROR(__xludf.DUMMYFUNCTION("IF
(
C14879=""фізична особа""
,
VLOOKUP(D14879,IMPORTRANGE(""https://docs.google.com/spreadsheets/d/14Bd19lYaqBhU8_DElYkX7l4wRkHqqCUFNJY4AfY3kHU/edit?usp=sharing  #gid=0"",""фіз особи new!relations_name""),6,FALSE)
,
(IF
(
C14879=""юридична особа""
,
VLOO"&amp;"KUP(D14879,IMPORTRANGE(""https://docs.google.com/spreadsheets/d/14Bd19lYaqBhU8_DElYkX7l4wRkHqqCUFNJY4AfY3kHU/edit?usp=sharing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8" s="7" t="s">
        <v>10</v>
      </c>
      <c r="H14878" s="7">
        <v>19523</v>
      </c>
      <c r="I14878" s="8" t="str">
        <f ca="1">IFERROR(__xludf.DUMMYFUNCTION("IF
(
G14879=""фізична особа""
,
VLOOKUP(H14879,IMPORTRANGE(""https://docs.google.com/spreadsheets/d/14Bd19lYaqBhU8_DElYkX7l4wRkHqqCUFNJY4AfY3kHU/edit?usp=sharing  #gid=0"",""фіз особи new!relations_name""),6,FALSE)
,
(IF
(
G14879=""юридична особа""
,
VLOO"&amp;"KUP(H14879,IMPORTRANGE(""https://docs.google.com/spreadsheets/d/14Bd19lYaqBhU8_DElYkX7l4wRkHqqCUFNJY4AfY3kHU/edit?usp=sharing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78" s="7" t="s">
        <v>23</v>
      </c>
    </row>
    <row r="14879" spans="1:10" ht="13.2">
      <c r="A14879" s="7">
        <v>14878</v>
      </c>
      <c r="B14879" s="7">
        <v>1</v>
      </c>
      <c r="C14879" s="7" t="s">
        <v>10</v>
      </c>
      <c r="D14879" s="7">
        <v>19520</v>
      </c>
      <c r="E14879" s="7" t="s">
        <v>23</v>
      </c>
      <c r="F14879" s="8" t="str">
        <f ca="1">IFERROR(__xludf.DUMMYFUNCTION("IF
(
C14880=""фізична особа""
,
VLOOKUP(D14880,IMPORTRANGE(""https://docs.google.com/spreadsheets/d/14Bd19lYaqBhU8_DElYkX7l4wRkHqqCUFNJY4AfY3kHU/edit?usp=sharing  #gid=0"",""фіз особи new!relations_name""),6,FALSE)
,
(IF
(
C14880=""юридична особа""
,
VLOO"&amp;"KUP(D14880,IMPORTRANGE(""https://docs.google.com/spreadsheets/d/14Bd19lYaqBhU8_DElYkX7l4wRkHqqCUFNJY4AfY3kHU/edit?usp=sharing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G14879" s="7" t="s">
        <v>10</v>
      </c>
      <c r="H14879" s="7">
        <v>19524</v>
      </c>
      <c r="I14879" s="8" t="str">
        <f ca="1">IFERROR(__xludf.DUMMYFUNCTION("IF
(
G14880=""фізична особа""
,
VLOOKUP(H14880,IMPORTRANGE(""https://docs.google.com/spreadsheets/d/14Bd19lYaqBhU8_DElYkX7l4wRkHqqCUFNJY4AfY3kHU/edit?usp=sharing  #gid=0"",""фіз особи new!relations_name""),6,FALSE)
,
(IF
(
G14880=""юридична особа""
,
VLOO"&amp;"KUP(H14880,IMPORTRANGE(""https://docs.google.com/spreadsheets/d/14Bd19lYaqBhU8_DElYkX7l4wRkHqqCUFNJY4AfY3kHU/edit?usp=sharing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79" s="7" t="s">
        <v>23</v>
      </c>
    </row>
    <row r="14880" spans="1:10" ht="13.2">
      <c r="A14880" s="7">
        <v>14879</v>
      </c>
      <c r="B14880" s="7">
        <v>1</v>
      </c>
      <c r="C14880" s="7" t="s">
        <v>10</v>
      </c>
      <c r="D14880" s="7">
        <v>19521</v>
      </c>
      <c r="E14880" s="7" t="s">
        <v>23</v>
      </c>
      <c r="F14880" s="8" t="str">
        <f ca="1">IFERROR(__xludf.DUMMYFUNCTION("IF
(
C14881=""фізична особа""
,
VLOOKUP(D14881,IMPORTRANGE(""https://docs.google.com/spreadsheets/d/14Bd19lYaqBhU8_DElYkX7l4wRkHqqCUFNJY4AfY3kHU/edit?usp=sharing  #gid=0"",""фіз особи new!relations_name""),6,FALSE)
,
(IF
(
C14881=""юридична особа""
,
VLOO"&amp;"KUP(D14881,IMPORTRANGE(""https://docs.google.com/spreadsheets/d/14Bd19lYaqBhU8_DElYkX7l4wRkHqqCUFNJY4AfY3kHU/edit?usp=sharing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0" s="7" t="s">
        <v>10</v>
      </c>
      <c r="H14880" s="7">
        <v>19520</v>
      </c>
      <c r="I14880" s="8" t="str">
        <f ca="1">IFERROR(__xludf.DUMMYFUNCTION("IF
(
G14881=""фізична особа""
,
VLOOKUP(H14881,IMPORTRANGE(""https://docs.google.com/spreadsheets/d/14Bd19lYaqBhU8_DElYkX7l4wRkHqqCUFNJY4AfY3kHU/edit?usp=sharing  #gid=0"",""фіз особи new!relations_name""),6,FALSE)
,
(IF
(
G14881=""юридична особа""
,
VLOO"&amp;"KUP(H14881,IMPORTRANGE(""https://docs.google.com/spreadsheets/d/14Bd19lYaqBhU8_DElYkX7l4wRkHqqCUFNJY4AfY3kHU/edit?usp=sharing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80" s="7" t="s">
        <v>23</v>
      </c>
    </row>
    <row r="14881" spans="1:10" ht="13.2">
      <c r="A14881" s="7">
        <v>14880</v>
      </c>
      <c r="B14881" s="7">
        <v>1</v>
      </c>
      <c r="C14881" s="7" t="s">
        <v>10</v>
      </c>
      <c r="D14881" s="7">
        <v>19521</v>
      </c>
      <c r="E14881" s="7" t="s">
        <v>23</v>
      </c>
      <c r="F14881" s="8" t="str">
        <f ca="1">IFERROR(__xludf.DUMMYFUNCTION("IF
(
C14882=""фізична особа""
,
VLOOKUP(D14882,IMPORTRANGE(""https://docs.google.com/spreadsheets/d/14Bd19lYaqBhU8_DElYkX7l4wRkHqqCUFNJY4AfY3kHU/edit?usp=sharing  #gid=0"",""фіз особи new!relations_name""),6,FALSE)
,
(IF
(
C14882=""юридична особа""
,
VLOO"&amp;"KUP(D14882,IMPORTRANGE(""https://docs.google.com/spreadsheets/d/14Bd19lYaqBhU8_DElYkX7l4wRkHqqCUFNJY4AfY3kHU/edit?usp=sharing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1" s="7" t="s">
        <v>10</v>
      </c>
      <c r="H14881" s="7">
        <v>19513</v>
      </c>
      <c r="I14881" s="8" t="str">
        <f ca="1">IFERROR(__xludf.DUMMYFUNCTION("IF
(
G14882=""фізична особа""
,
VLOOKUP(H14882,IMPORTRANGE(""https://docs.google.com/spreadsheets/d/14Bd19lYaqBhU8_DElYkX7l4wRkHqqCUFNJY4AfY3kHU/edit?usp=sharing  #gid=0"",""фіз особи new!relations_name""),6,FALSE)
,
(IF
(
G14882=""юридична особа""
,
VLOO"&amp;"KUP(H14882,IMPORTRANGE(""https://docs.google.com/spreadsheets/d/14Bd19lYaqBhU8_DElYkX7l4wRkHqqCUFNJY4AfY3kHU/edit?usp=sharing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81" s="7" t="s">
        <v>23</v>
      </c>
    </row>
    <row r="14882" spans="1:10" ht="13.2">
      <c r="A14882" s="7">
        <v>14881</v>
      </c>
      <c r="B14882" s="7">
        <v>1</v>
      </c>
      <c r="C14882" s="7" t="s">
        <v>10</v>
      </c>
      <c r="D14882" s="7">
        <v>19521</v>
      </c>
      <c r="E14882" s="7" t="s">
        <v>23</v>
      </c>
      <c r="F14882" s="8" t="str">
        <f ca="1">IFERROR(__xludf.DUMMYFUNCTION("IF
(
C14883=""фізична особа""
,
VLOOKUP(D14883,IMPORTRANGE(""https://docs.google.com/spreadsheets/d/14Bd19lYaqBhU8_DElYkX7l4wRkHqqCUFNJY4AfY3kHU/edit?usp=sharing  #gid=0"",""фіз особи new!relations_name""),6,FALSE)
,
(IF
(
C14883=""юридична особа""
,
VLOO"&amp;"KUP(D14883,IMPORTRANGE(""https://docs.google.com/spreadsheets/d/14Bd19lYaqBhU8_DElYkX7l4wRkHqqCUFNJY4AfY3kHU/edit?usp=sharing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2" s="7" t="s">
        <v>10</v>
      </c>
      <c r="H14882" s="7">
        <v>19514</v>
      </c>
      <c r="I14882" s="8" t="str">
        <f ca="1">IFERROR(__xludf.DUMMYFUNCTION("IF
(
G14883=""фізична особа""
,
VLOOKUP(H14883,IMPORTRANGE(""https://docs.google.com/spreadsheets/d/14Bd19lYaqBhU8_DElYkX7l4wRkHqqCUFNJY4AfY3kHU/edit?usp=sharing  #gid=0"",""фіз особи new!relations_name""),6,FALSE)
,
(IF
(
G14883=""юридична особа""
,
VLOO"&amp;"KUP(H14883,IMPORTRANGE(""https://docs.google.com/spreadsheets/d/14Bd19lYaqBhU8_DElYkX7l4wRkHqqCUFNJY4AfY3kHU/edit?usp=sharing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82" s="7" t="s">
        <v>23</v>
      </c>
    </row>
    <row r="14883" spans="1:10" ht="13.2">
      <c r="A14883" s="7">
        <v>14882</v>
      </c>
      <c r="B14883" s="7">
        <v>1</v>
      </c>
      <c r="C14883" s="7" t="s">
        <v>10</v>
      </c>
      <c r="D14883" s="7">
        <v>19521</v>
      </c>
      <c r="E14883" s="7" t="s">
        <v>23</v>
      </c>
      <c r="F14883" s="8" t="str">
        <f ca="1">IFERROR(__xludf.DUMMYFUNCTION("IF
(
C14884=""фізична особа""
,
VLOOKUP(D14884,IMPORTRANGE(""https://docs.google.com/spreadsheets/d/14Bd19lYaqBhU8_DElYkX7l4wRkHqqCUFNJY4AfY3kHU/edit?usp=sharing  #gid=0"",""фіз особи new!relations_name""),6,FALSE)
,
(IF
(
C14884=""юридична особа""
,
VLOO"&amp;"KUP(D14884,IMPORTRANGE(""https://docs.google.com/spreadsheets/d/14Bd19lYaqBhU8_DElYkX7l4wRkHqqCUFNJY4AfY3kHU/edit?usp=sharing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3" s="7" t="s">
        <v>10</v>
      </c>
      <c r="H14883" s="7">
        <v>19515</v>
      </c>
      <c r="I14883" s="8" t="str">
        <f ca="1">IFERROR(__xludf.DUMMYFUNCTION("IF
(
G14884=""фізична особа""
,
VLOOKUP(H14884,IMPORTRANGE(""https://docs.google.com/spreadsheets/d/14Bd19lYaqBhU8_DElYkX7l4wRkHqqCUFNJY4AfY3kHU/edit?usp=sharing  #gid=0"",""фіз особи new!relations_name""),6,FALSE)
,
(IF
(
G14884=""юридична особа""
,
VLOO"&amp;"KUP(H14884,IMPORTRANGE(""https://docs.google.com/spreadsheets/d/14Bd19lYaqBhU8_DElYkX7l4wRkHqqCUFNJY4AfY3kHU/edit?usp=sharing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83" s="7" t="s">
        <v>23</v>
      </c>
    </row>
    <row r="14884" spans="1:10" ht="13.2">
      <c r="A14884" s="7">
        <v>14883</v>
      </c>
      <c r="B14884" s="7">
        <v>1</v>
      </c>
      <c r="C14884" s="7" t="s">
        <v>10</v>
      </c>
      <c r="D14884" s="7">
        <v>19521</v>
      </c>
      <c r="E14884" s="7" t="s">
        <v>23</v>
      </c>
      <c r="F14884" s="8" t="str">
        <f ca="1">IFERROR(__xludf.DUMMYFUNCTION("IF
(
C14885=""фізична особа""
,
VLOOKUP(D14885,IMPORTRANGE(""https://docs.google.com/spreadsheets/d/14Bd19lYaqBhU8_DElYkX7l4wRkHqqCUFNJY4AfY3kHU/edit?usp=sharing  #gid=0"",""фіз особи new!relations_name""),6,FALSE)
,
(IF
(
C14885=""юридична особа""
,
VLOO"&amp;"KUP(D14885,IMPORTRANGE(""https://docs.google.com/spreadsheets/d/14Bd19lYaqBhU8_DElYkX7l4wRkHqqCUFNJY4AfY3kHU/edit?usp=sharing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4" s="7" t="s">
        <v>10</v>
      </c>
      <c r="H14884" s="7">
        <v>19516</v>
      </c>
      <c r="I14884" s="8" t="str">
        <f ca="1">IFERROR(__xludf.DUMMYFUNCTION("IF
(
G14885=""фізична особа""
,
VLOOKUP(H14885,IMPORTRANGE(""https://docs.google.com/spreadsheets/d/14Bd19lYaqBhU8_DElYkX7l4wRkHqqCUFNJY4AfY3kHU/edit?usp=sharing  #gid=0"",""фіз особи new!relations_name""),6,FALSE)
,
(IF
(
G14885=""юридична особа""
,
VLOO"&amp;"KUP(H14885,IMPORTRANGE(""https://docs.google.com/spreadsheets/d/14Bd19lYaqBhU8_DElYkX7l4wRkHqqCUFNJY4AfY3kHU/edit?usp=sharing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84" s="7" t="s">
        <v>23</v>
      </c>
    </row>
    <row r="14885" spans="1:10" ht="13.2">
      <c r="A14885" s="7">
        <v>14884</v>
      </c>
      <c r="B14885" s="7">
        <v>1</v>
      </c>
      <c r="C14885" s="7" t="s">
        <v>10</v>
      </c>
      <c r="D14885" s="7">
        <v>19521</v>
      </c>
      <c r="E14885" s="7" t="s">
        <v>23</v>
      </c>
      <c r="F14885" s="8" t="str">
        <f ca="1">IFERROR(__xludf.DUMMYFUNCTION("IF
(
C14886=""фізична особа""
,
VLOOKUP(D14886,IMPORTRANGE(""https://docs.google.com/spreadsheets/d/14Bd19lYaqBhU8_DElYkX7l4wRkHqqCUFNJY4AfY3kHU/edit?usp=sharing  #gid=0"",""фіз особи new!relations_name""),6,FALSE)
,
(IF
(
C14886=""юридична особа""
,
VLOO"&amp;"KUP(D14886,IMPORTRANGE(""https://docs.google.com/spreadsheets/d/14Bd19lYaqBhU8_DElYkX7l4wRkHqqCUFNJY4AfY3kHU/edit?usp=sharing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5" s="7" t="s">
        <v>10</v>
      </c>
      <c r="H14885" s="7">
        <v>19517</v>
      </c>
      <c r="I14885" s="8" t="str">
        <f ca="1">IFERROR(__xludf.DUMMYFUNCTION("IF
(
G14886=""фізична особа""
,
VLOOKUP(H14886,IMPORTRANGE(""https://docs.google.com/spreadsheets/d/14Bd19lYaqBhU8_DElYkX7l4wRkHqqCUFNJY4AfY3kHU/edit?usp=sharing  #gid=0"",""фіз особи new!relations_name""),6,FALSE)
,
(IF
(
G14886=""юридична особа""
,
VLOO"&amp;"KUP(H14886,IMPORTRANGE(""https://docs.google.com/spreadsheets/d/14Bd19lYaqBhU8_DElYkX7l4wRkHqqCUFNJY4AfY3kHU/edit?usp=sharing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85" s="7" t="s">
        <v>23</v>
      </c>
    </row>
    <row r="14886" spans="1:10" ht="13.2">
      <c r="A14886" s="7">
        <v>14885</v>
      </c>
      <c r="B14886" s="7">
        <v>1</v>
      </c>
      <c r="C14886" s="7" t="s">
        <v>10</v>
      </c>
      <c r="D14886" s="7">
        <v>19521</v>
      </c>
      <c r="E14886" s="7" t="s">
        <v>23</v>
      </c>
      <c r="F14886" s="8" t="str">
        <f ca="1">IFERROR(__xludf.DUMMYFUNCTION("IF
(
C14887=""фізична особа""
,
VLOOKUP(D14887,IMPORTRANGE(""https://docs.google.com/spreadsheets/d/14Bd19lYaqBhU8_DElYkX7l4wRkHqqCUFNJY4AfY3kHU/edit?usp=sharing  #gid=0"",""фіз особи new!relations_name""),6,FALSE)
,
(IF
(
C14887=""юридична особа""
,
VLOO"&amp;"KUP(D14887,IMPORTRANGE(""https://docs.google.com/spreadsheets/d/14Bd19lYaqBhU8_DElYkX7l4wRkHqqCUFNJY4AfY3kHU/edit?usp=sharing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6" s="7" t="s">
        <v>10</v>
      </c>
      <c r="H14886" s="7">
        <v>19518</v>
      </c>
      <c r="I14886" s="8" t="str">
        <f ca="1">IFERROR(__xludf.DUMMYFUNCTION("IF
(
G14887=""фізична особа""
,
VLOOKUP(H14887,IMPORTRANGE(""https://docs.google.com/spreadsheets/d/14Bd19lYaqBhU8_DElYkX7l4wRkHqqCUFNJY4AfY3kHU/edit?usp=sharing  #gid=0"",""фіз особи new!relations_name""),6,FALSE)
,
(IF
(
G14887=""юридична особа""
,
VLOO"&amp;"KUP(H14887,IMPORTRANGE(""https://docs.google.com/spreadsheets/d/14Bd19lYaqBhU8_DElYkX7l4wRkHqqCUFNJY4AfY3kHU/edit?usp=sharing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86" s="7" t="s">
        <v>23</v>
      </c>
    </row>
    <row r="14887" spans="1:10" ht="13.2">
      <c r="A14887" s="7">
        <v>14886</v>
      </c>
      <c r="B14887" s="7">
        <v>1</v>
      </c>
      <c r="C14887" s="7" t="s">
        <v>10</v>
      </c>
      <c r="D14887" s="7">
        <v>19521</v>
      </c>
      <c r="E14887" s="7" t="s">
        <v>23</v>
      </c>
      <c r="F14887" s="8" t="str">
        <f ca="1">IFERROR(__xludf.DUMMYFUNCTION("IF
(
C14888=""фізична особа""
,
VLOOKUP(D14888,IMPORTRANGE(""https://docs.google.com/spreadsheets/d/14Bd19lYaqBhU8_DElYkX7l4wRkHqqCUFNJY4AfY3kHU/edit?usp=sharing  #gid=0"",""фіз особи new!relations_name""),6,FALSE)
,
(IF
(
C14888=""юридична особа""
,
VLOO"&amp;"KUP(D14888,IMPORTRANGE(""https://docs.google.com/spreadsheets/d/14Bd19lYaqBhU8_DElYkX7l4wRkHqqCUFNJY4AfY3kHU/edit?usp=sharing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7" s="7" t="s">
        <v>10</v>
      </c>
      <c r="H14887" s="7">
        <v>19519</v>
      </c>
      <c r="I14887" s="8" t="str">
        <f ca="1">IFERROR(__xludf.DUMMYFUNCTION("IF
(
G14888=""фізична особа""
,
VLOOKUP(H14888,IMPORTRANGE(""https://docs.google.com/spreadsheets/d/14Bd19lYaqBhU8_DElYkX7l4wRkHqqCUFNJY4AfY3kHU/edit?usp=sharing  #gid=0"",""фіз особи new!relations_name""),6,FALSE)
,
(IF
(
G14888=""юридична особа""
,
VLOO"&amp;"KUP(H14888,IMPORTRANGE(""https://docs.google.com/spreadsheets/d/14Bd19lYaqBhU8_DElYkX7l4wRkHqqCUFNJY4AfY3kHU/edit?usp=sharing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87" s="7" t="s">
        <v>23</v>
      </c>
    </row>
    <row r="14888" spans="1:10" ht="13.2">
      <c r="A14888" s="7">
        <v>14887</v>
      </c>
      <c r="B14888" s="7">
        <v>1</v>
      </c>
      <c r="C14888" s="7" t="s">
        <v>10</v>
      </c>
      <c r="D14888" s="7">
        <v>19521</v>
      </c>
      <c r="E14888" s="7" t="s">
        <v>23</v>
      </c>
      <c r="F14888" s="8" t="str">
        <f ca="1">IFERROR(__xludf.DUMMYFUNCTION("IF
(
C14889=""фізична особа""
,
VLOOKUP(D14889,IMPORTRANGE(""https://docs.google.com/spreadsheets/d/14Bd19lYaqBhU8_DElYkX7l4wRkHqqCUFNJY4AfY3kHU/edit?usp=sharing  #gid=0"",""фіз особи new!relations_name""),6,FALSE)
,
(IF
(
C14889=""юридична особа""
,
VLOO"&amp;"KUP(D14889,IMPORTRANGE(""https://docs.google.com/spreadsheets/d/14Bd19lYaqBhU8_DElYkX7l4wRkHqqCUFNJY4AfY3kHU/edit?usp=sharing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8" s="7" t="s">
        <v>10</v>
      </c>
      <c r="H14888" s="7">
        <v>19522</v>
      </c>
      <c r="I14888" s="8" t="str">
        <f ca="1">IFERROR(__xludf.DUMMYFUNCTION("IF
(
G14889=""фізична особа""
,
VLOOKUP(H14889,IMPORTRANGE(""https://docs.google.com/spreadsheets/d/14Bd19lYaqBhU8_DElYkX7l4wRkHqqCUFNJY4AfY3kHU/edit?usp=sharing  #gid=0"",""фіз особи new!relations_name""),6,FALSE)
,
(IF
(
G14889=""юридична особа""
,
VLOO"&amp;"KUP(H14889,IMPORTRANGE(""https://docs.google.com/spreadsheets/d/14Bd19lYaqBhU8_DElYkX7l4wRkHqqCUFNJY4AfY3kHU/edit?usp=sharing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888" s="7" t="s">
        <v>23</v>
      </c>
    </row>
    <row r="14889" spans="1:10" ht="13.2">
      <c r="A14889" s="7">
        <v>14888</v>
      </c>
      <c r="B14889" s="7">
        <v>1</v>
      </c>
      <c r="C14889" s="7" t="s">
        <v>10</v>
      </c>
      <c r="D14889" s="7">
        <v>19521</v>
      </c>
      <c r="E14889" s="7" t="s">
        <v>23</v>
      </c>
      <c r="F14889" s="8" t="str">
        <f ca="1">IFERROR(__xludf.DUMMYFUNCTION("IF
(
C14890=""фізична особа""
,
VLOOKUP(D14890,IMPORTRANGE(""https://docs.google.com/spreadsheets/d/14Bd19lYaqBhU8_DElYkX7l4wRkHqqCUFNJY4AfY3kHU/edit?usp=sharing  #gid=0"",""фіз особи new!relations_name""),6,FALSE)
,
(IF
(
C14890=""юридична особа""
,
VLOO"&amp;"KUP(D14890,IMPORTRANGE(""https://docs.google.com/spreadsheets/d/14Bd19lYaqBhU8_DElYkX7l4wRkHqqCUFNJY4AfY3kHU/edit?usp=sharing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89" s="7" t="s">
        <v>10</v>
      </c>
      <c r="H14889" s="7">
        <v>19523</v>
      </c>
      <c r="I14889" s="8" t="str">
        <f ca="1">IFERROR(__xludf.DUMMYFUNCTION("IF
(
G14890=""фізична особа""
,
VLOOKUP(H14890,IMPORTRANGE(""https://docs.google.com/spreadsheets/d/14Bd19lYaqBhU8_DElYkX7l4wRkHqqCUFNJY4AfY3kHU/edit?usp=sharing  #gid=0"",""фіз особи new!relations_name""),6,FALSE)
,
(IF
(
G14890=""юридична особа""
,
VLOO"&amp;"KUP(H14890,IMPORTRANGE(""https://docs.google.com/spreadsheets/d/14Bd19lYaqBhU8_DElYkX7l4wRkHqqCUFNJY4AfY3kHU/edit?usp=sharing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889" s="7" t="s">
        <v>23</v>
      </c>
    </row>
    <row r="14890" spans="1:10" ht="13.2">
      <c r="A14890" s="7">
        <v>14889</v>
      </c>
      <c r="B14890" s="7">
        <v>1</v>
      </c>
      <c r="C14890" s="7" t="s">
        <v>10</v>
      </c>
      <c r="D14890" s="7">
        <v>19521</v>
      </c>
      <c r="E14890" s="7" t="s">
        <v>23</v>
      </c>
      <c r="F14890" s="8" t="str">
        <f ca="1">IFERROR(__xludf.DUMMYFUNCTION("IF
(
C14891=""фізична особа""
,
VLOOKUP(D14891,IMPORTRANGE(""https://docs.google.com/spreadsheets/d/14Bd19lYaqBhU8_DElYkX7l4wRkHqqCUFNJY4AfY3kHU/edit?usp=sharing  #gid=0"",""фіз особи new!relations_name""),6,FALSE)
,
(IF
(
C14891=""юридична особа""
,
VLOO"&amp;"KUP(D14891,IMPORTRANGE(""https://docs.google.com/spreadsheets/d/14Bd19lYaqBhU8_DElYkX7l4wRkHqqCUFNJY4AfY3kHU/edit?usp=sharing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G14890" s="7" t="s">
        <v>10</v>
      </c>
      <c r="H14890" s="7">
        <v>19524</v>
      </c>
      <c r="I14890" s="8" t="str">
        <f ca="1">IFERROR(__xludf.DUMMYFUNCTION("IF
(
G14891=""фізична особа""
,
VLOOKUP(H14891,IMPORTRANGE(""https://docs.google.com/spreadsheets/d/14Bd19lYaqBhU8_DElYkX7l4wRkHqqCUFNJY4AfY3kHU/edit?usp=sharing  #gid=0"",""фіз особи new!relations_name""),6,FALSE)
,
(IF
(
G14891=""юридична особа""
,
VLOO"&amp;"KUP(H14891,IMPORTRANGE(""https://docs.google.com/spreadsheets/d/14Bd19lYaqBhU8_DElYkX7l4wRkHqqCUFNJY4AfY3kHU/edit?usp=sharing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890" s="7" t="s">
        <v>23</v>
      </c>
    </row>
    <row r="14891" spans="1:10" ht="13.2">
      <c r="A14891" s="7">
        <v>14890</v>
      </c>
      <c r="B14891" s="7">
        <v>1</v>
      </c>
      <c r="C14891" s="7" t="s">
        <v>10</v>
      </c>
      <c r="D14891" s="7">
        <v>19522</v>
      </c>
      <c r="E14891" s="7" t="s">
        <v>23</v>
      </c>
      <c r="F14891" s="8" t="str">
        <f ca="1">IFERROR(__xludf.DUMMYFUNCTION("IF
(
C14892=""фізична особа""
,
VLOOKUP(D14892,IMPORTRANGE(""https://docs.google.com/spreadsheets/d/14Bd19lYaqBhU8_DElYkX7l4wRkHqqCUFNJY4AfY3kHU/edit?usp=sharing  #gid=0"",""фіз особи new!relations_name""),6,FALSE)
,
(IF
(
C14892=""юридична особа""
,
VLOO"&amp;"KUP(D14892,IMPORTRANGE(""https://docs.google.com/spreadsheets/d/14Bd19lYaqBhU8_DElYkX7l4wRkHqqCUFNJY4AfY3kHU/edit?usp=sharing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1" s="7" t="s">
        <v>10</v>
      </c>
      <c r="H14891" s="7">
        <v>19520</v>
      </c>
      <c r="I14891" s="8" t="str">
        <f ca="1">IFERROR(__xludf.DUMMYFUNCTION("IF
(
G14892=""фізична особа""
,
VLOOKUP(H14892,IMPORTRANGE(""https://docs.google.com/spreadsheets/d/14Bd19lYaqBhU8_DElYkX7l4wRkHqqCUFNJY4AfY3kHU/edit?usp=sharing  #gid=0"",""фіз особи new!relations_name""),6,FALSE)
,
(IF
(
G14892=""юридична особа""
,
VLOO"&amp;"KUP(H14892,IMPORTRANGE(""https://docs.google.com/spreadsheets/d/14Bd19lYaqBhU8_DElYkX7l4wRkHqqCUFNJY4AfY3kHU/edit?usp=sharing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891" s="7" t="s">
        <v>23</v>
      </c>
    </row>
    <row r="14892" spans="1:10" ht="13.2">
      <c r="A14892" s="7">
        <v>14891</v>
      </c>
      <c r="B14892" s="7">
        <v>1</v>
      </c>
      <c r="C14892" s="7" t="s">
        <v>10</v>
      </c>
      <c r="D14892" s="7">
        <v>19522</v>
      </c>
      <c r="E14892" s="7" t="s">
        <v>23</v>
      </c>
      <c r="F14892" s="8" t="str">
        <f ca="1">IFERROR(__xludf.DUMMYFUNCTION("IF
(
C14893=""фізична особа""
,
VLOOKUP(D14893,IMPORTRANGE(""https://docs.google.com/spreadsheets/d/14Bd19lYaqBhU8_DElYkX7l4wRkHqqCUFNJY4AfY3kHU/edit?usp=sharing  #gid=0"",""фіз особи new!relations_name""),6,FALSE)
,
(IF
(
C14893=""юридична особа""
,
VLOO"&amp;"KUP(D14893,IMPORTRANGE(""https://docs.google.com/spreadsheets/d/14Bd19lYaqBhU8_DElYkX7l4wRkHqqCUFNJY4AfY3kHU/edit?usp=sharing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2" s="7" t="s">
        <v>10</v>
      </c>
      <c r="H14892" s="7">
        <v>19513</v>
      </c>
      <c r="I14892" s="8" t="str">
        <f ca="1">IFERROR(__xludf.DUMMYFUNCTION("IF
(
G14893=""фізична особа""
,
VLOOKUP(H14893,IMPORTRANGE(""https://docs.google.com/spreadsheets/d/14Bd19lYaqBhU8_DElYkX7l4wRkHqqCUFNJY4AfY3kHU/edit?usp=sharing  #gid=0"",""фіз особи new!relations_name""),6,FALSE)
,
(IF
(
G14893=""юридична особа""
,
VLOO"&amp;"KUP(H14893,IMPORTRANGE(""https://docs.google.com/spreadsheets/d/14Bd19lYaqBhU8_DElYkX7l4wRkHqqCUFNJY4AfY3kHU/edit?usp=sharing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892" s="7" t="s">
        <v>23</v>
      </c>
    </row>
    <row r="14893" spans="1:10" ht="13.2">
      <c r="A14893" s="7">
        <v>14892</v>
      </c>
      <c r="B14893" s="7">
        <v>1</v>
      </c>
      <c r="C14893" s="7" t="s">
        <v>10</v>
      </c>
      <c r="D14893" s="7">
        <v>19522</v>
      </c>
      <c r="E14893" s="7" t="s">
        <v>23</v>
      </c>
      <c r="F14893" s="8" t="str">
        <f ca="1">IFERROR(__xludf.DUMMYFUNCTION("IF
(
C14894=""фізична особа""
,
VLOOKUP(D14894,IMPORTRANGE(""https://docs.google.com/spreadsheets/d/14Bd19lYaqBhU8_DElYkX7l4wRkHqqCUFNJY4AfY3kHU/edit?usp=sharing  #gid=0"",""фіз особи new!relations_name""),6,FALSE)
,
(IF
(
C14894=""юридична особа""
,
VLOO"&amp;"KUP(D14894,IMPORTRANGE(""https://docs.google.com/spreadsheets/d/14Bd19lYaqBhU8_DElYkX7l4wRkHqqCUFNJY4AfY3kHU/edit?usp=sharing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3" s="7" t="s">
        <v>10</v>
      </c>
      <c r="H14893" s="7">
        <v>19514</v>
      </c>
      <c r="I14893" s="8" t="str">
        <f ca="1">IFERROR(__xludf.DUMMYFUNCTION("IF
(
G14894=""фізична особа""
,
VLOOKUP(H14894,IMPORTRANGE(""https://docs.google.com/spreadsheets/d/14Bd19lYaqBhU8_DElYkX7l4wRkHqqCUFNJY4AfY3kHU/edit?usp=sharing  #gid=0"",""фіз особи new!relations_name""),6,FALSE)
,
(IF
(
G14894=""юридична особа""
,
VLOO"&amp;"KUP(H14894,IMPORTRANGE(""https://docs.google.com/spreadsheets/d/14Bd19lYaqBhU8_DElYkX7l4wRkHqqCUFNJY4AfY3kHU/edit?usp=sharing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893" s="7" t="s">
        <v>23</v>
      </c>
    </row>
    <row r="14894" spans="1:10" ht="13.2">
      <c r="A14894" s="7">
        <v>14893</v>
      </c>
      <c r="B14894" s="7">
        <v>1</v>
      </c>
      <c r="C14894" s="7" t="s">
        <v>10</v>
      </c>
      <c r="D14894" s="7">
        <v>19522</v>
      </c>
      <c r="E14894" s="7" t="s">
        <v>23</v>
      </c>
      <c r="F14894" s="8" t="str">
        <f ca="1">IFERROR(__xludf.DUMMYFUNCTION("IF
(
C14895=""фізична особа""
,
VLOOKUP(D14895,IMPORTRANGE(""https://docs.google.com/spreadsheets/d/14Bd19lYaqBhU8_DElYkX7l4wRkHqqCUFNJY4AfY3kHU/edit?usp=sharing  #gid=0"",""фіз особи new!relations_name""),6,FALSE)
,
(IF
(
C14895=""юридична особа""
,
VLOO"&amp;"KUP(D14895,IMPORTRANGE(""https://docs.google.com/spreadsheets/d/14Bd19lYaqBhU8_DElYkX7l4wRkHqqCUFNJY4AfY3kHU/edit?usp=sharing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4" s="7" t="s">
        <v>10</v>
      </c>
      <c r="H14894" s="7">
        <v>19515</v>
      </c>
      <c r="I14894" s="8" t="str">
        <f ca="1">IFERROR(__xludf.DUMMYFUNCTION("IF
(
G14895=""фізична особа""
,
VLOOKUP(H14895,IMPORTRANGE(""https://docs.google.com/spreadsheets/d/14Bd19lYaqBhU8_DElYkX7l4wRkHqqCUFNJY4AfY3kHU/edit?usp=sharing  #gid=0"",""фіз особи new!relations_name""),6,FALSE)
,
(IF
(
G14895=""юридична особа""
,
VLOO"&amp;"KUP(H14895,IMPORTRANGE(""https://docs.google.com/spreadsheets/d/14Bd19lYaqBhU8_DElYkX7l4wRkHqqCUFNJY4AfY3kHU/edit?usp=sharing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894" s="7" t="s">
        <v>23</v>
      </c>
    </row>
    <row r="14895" spans="1:10" ht="13.2">
      <c r="A14895" s="7">
        <v>14894</v>
      </c>
      <c r="B14895" s="7">
        <v>1</v>
      </c>
      <c r="C14895" s="7" t="s">
        <v>10</v>
      </c>
      <c r="D14895" s="7">
        <v>19522</v>
      </c>
      <c r="E14895" s="7" t="s">
        <v>23</v>
      </c>
      <c r="F14895" s="8" t="str">
        <f ca="1">IFERROR(__xludf.DUMMYFUNCTION("IF
(
C14896=""фізична особа""
,
VLOOKUP(D14896,IMPORTRANGE(""https://docs.google.com/spreadsheets/d/14Bd19lYaqBhU8_DElYkX7l4wRkHqqCUFNJY4AfY3kHU/edit?usp=sharing  #gid=0"",""фіз особи new!relations_name""),6,FALSE)
,
(IF
(
C14896=""юридична особа""
,
VLOO"&amp;"KUP(D14896,IMPORTRANGE(""https://docs.google.com/spreadsheets/d/14Bd19lYaqBhU8_DElYkX7l4wRkHqqCUFNJY4AfY3kHU/edit?usp=sharing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5" s="7" t="s">
        <v>10</v>
      </c>
      <c r="H14895" s="7">
        <v>19516</v>
      </c>
      <c r="I14895" s="8" t="str">
        <f ca="1">IFERROR(__xludf.DUMMYFUNCTION("IF
(
G14896=""фізична особа""
,
VLOOKUP(H14896,IMPORTRANGE(""https://docs.google.com/spreadsheets/d/14Bd19lYaqBhU8_DElYkX7l4wRkHqqCUFNJY4AfY3kHU/edit?usp=sharing  #gid=0"",""фіз особи new!relations_name""),6,FALSE)
,
(IF
(
G14896=""юридична особа""
,
VLOO"&amp;"KUP(H14896,IMPORTRANGE(""https://docs.google.com/spreadsheets/d/14Bd19lYaqBhU8_DElYkX7l4wRkHqqCUFNJY4AfY3kHU/edit?usp=sharing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895" s="7" t="s">
        <v>23</v>
      </c>
    </row>
    <row r="14896" spans="1:10" ht="13.2">
      <c r="A14896" s="7">
        <v>14895</v>
      </c>
      <c r="B14896" s="7">
        <v>1</v>
      </c>
      <c r="C14896" s="7" t="s">
        <v>10</v>
      </c>
      <c r="D14896" s="7">
        <v>19522</v>
      </c>
      <c r="E14896" s="7" t="s">
        <v>23</v>
      </c>
      <c r="F14896" s="8" t="str">
        <f ca="1">IFERROR(__xludf.DUMMYFUNCTION("IF
(
C14897=""фізична особа""
,
VLOOKUP(D14897,IMPORTRANGE(""https://docs.google.com/spreadsheets/d/14Bd19lYaqBhU8_DElYkX7l4wRkHqqCUFNJY4AfY3kHU/edit?usp=sharing  #gid=0"",""фіз особи new!relations_name""),6,FALSE)
,
(IF
(
C14897=""юридична особа""
,
VLOO"&amp;"KUP(D14897,IMPORTRANGE(""https://docs.google.com/spreadsheets/d/14Bd19lYaqBhU8_DElYkX7l4wRkHqqCUFNJY4AfY3kHU/edit?usp=sharing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6" s="7" t="s">
        <v>10</v>
      </c>
      <c r="H14896" s="7">
        <v>19517</v>
      </c>
      <c r="I14896" s="8" t="str">
        <f ca="1">IFERROR(__xludf.DUMMYFUNCTION("IF
(
G14897=""фізична особа""
,
VLOOKUP(H14897,IMPORTRANGE(""https://docs.google.com/spreadsheets/d/14Bd19lYaqBhU8_DElYkX7l4wRkHqqCUFNJY4AfY3kHU/edit?usp=sharing  #gid=0"",""фіз особи new!relations_name""),6,FALSE)
,
(IF
(
G14897=""юридична особа""
,
VLOO"&amp;"KUP(H14897,IMPORTRANGE(""https://docs.google.com/spreadsheets/d/14Bd19lYaqBhU8_DElYkX7l4wRkHqqCUFNJY4AfY3kHU/edit?usp=sharing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896" s="7" t="s">
        <v>23</v>
      </c>
    </row>
    <row r="14897" spans="1:10" ht="13.2">
      <c r="A14897" s="7">
        <v>14896</v>
      </c>
      <c r="B14897" s="7">
        <v>1</v>
      </c>
      <c r="C14897" s="7" t="s">
        <v>10</v>
      </c>
      <c r="D14897" s="7">
        <v>19522</v>
      </c>
      <c r="E14897" s="7" t="s">
        <v>23</v>
      </c>
      <c r="F14897" s="8" t="str">
        <f ca="1">IFERROR(__xludf.DUMMYFUNCTION("IF
(
C14898=""фізична особа""
,
VLOOKUP(D14898,IMPORTRANGE(""https://docs.google.com/spreadsheets/d/14Bd19lYaqBhU8_DElYkX7l4wRkHqqCUFNJY4AfY3kHU/edit?usp=sharing  #gid=0"",""фіз особи new!relations_name""),6,FALSE)
,
(IF
(
C14898=""юридична особа""
,
VLOO"&amp;"KUP(D14898,IMPORTRANGE(""https://docs.google.com/spreadsheets/d/14Bd19lYaqBhU8_DElYkX7l4wRkHqqCUFNJY4AfY3kHU/edit?usp=sharing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7" s="7" t="s">
        <v>10</v>
      </c>
      <c r="H14897" s="7">
        <v>19518</v>
      </c>
      <c r="I14897" s="8" t="str">
        <f ca="1">IFERROR(__xludf.DUMMYFUNCTION("IF
(
G14898=""фізична особа""
,
VLOOKUP(H14898,IMPORTRANGE(""https://docs.google.com/spreadsheets/d/14Bd19lYaqBhU8_DElYkX7l4wRkHqqCUFNJY4AfY3kHU/edit?usp=sharing  #gid=0"",""фіз особи new!relations_name""),6,FALSE)
,
(IF
(
G14898=""юридична особа""
,
VLOO"&amp;"KUP(H14898,IMPORTRANGE(""https://docs.google.com/spreadsheets/d/14Bd19lYaqBhU8_DElYkX7l4wRkHqqCUFNJY4AfY3kHU/edit?usp=sharing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897" s="7" t="s">
        <v>23</v>
      </c>
    </row>
    <row r="14898" spans="1:10" ht="13.2">
      <c r="A14898" s="7">
        <v>14897</v>
      </c>
      <c r="B14898" s="7">
        <v>1</v>
      </c>
      <c r="C14898" s="7" t="s">
        <v>10</v>
      </c>
      <c r="D14898" s="7">
        <v>19522</v>
      </c>
      <c r="E14898" s="7" t="s">
        <v>23</v>
      </c>
      <c r="F14898" s="8" t="str">
        <f ca="1">IFERROR(__xludf.DUMMYFUNCTION("IF
(
C14899=""фізична особа""
,
VLOOKUP(D14899,IMPORTRANGE(""https://docs.google.com/spreadsheets/d/14Bd19lYaqBhU8_DElYkX7l4wRkHqqCUFNJY4AfY3kHU/edit?usp=sharing  #gid=0"",""фіз особи new!relations_name""),6,FALSE)
,
(IF
(
C14899=""юридична особа""
,
VLOO"&amp;"KUP(D14899,IMPORTRANGE(""https://docs.google.com/spreadsheets/d/14Bd19lYaqBhU8_DElYkX7l4wRkHqqCUFNJY4AfY3kHU/edit?usp=sharing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8" s="7" t="s">
        <v>10</v>
      </c>
      <c r="H14898" s="7">
        <v>19519</v>
      </c>
      <c r="I14898" s="8" t="str">
        <f ca="1">IFERROR(__xludf.DUMMYFUNCTION("IF
(
G14899=""фізична особа""
,
VLOOKUP(H14899,IMPORTRANGE(""https://docs.google.com/spreadsheets/d/14Bd19lYaqBhU8_DElYkX7l4wRkHqqCUFNJY4AfY3kHU/edit?usp=sharing  #gid=0"",""фіз особи new!relations_name""),6,FALSE)
,
(IF
(
G14899=""юридична особа""
,
VLOO"&amp;"KUP(H14899,IMPORTRANGE(""https://docs.google.com/spreadsheets/d/14Bd19lYaqBhU8_DElYkX7l4wRkHqqCUFNJY4AfY3kHU/edit?usp=sharing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898" s="7" t="s">
        <v>23</v>
      </c>
    </row>
    <row r="14899" spans="1:10" ht="13.2">
      <c r="A14899" s="7">
        <v>14898</v>
      </c>
      <c r="B14899" s="7">
        <v>1</v>
      </c>
      <c r="C14899" s="7" t="s">
        <v>10</v>
      </c>
      <c r="D14899" s="7">
        <v>19522</v>
      </c>
      <c r="E14899" s="7" t="s">
        <v>23</v>
      </c>
      <c r="F14899" s="8" t="str">
        <f ca="1">IFERROR(__xludf.DUMMYFUNCTION("IF
(
C14900=""фізична особа""
,
VLOOKUP(D14900,IMPORTRANGE(""https://docs.google.com/spreadsheets/d/14Bd19lYaqBhU8_DElYkX7l4wRkHqqCUFNJY4AfY3kHU/edit?usp=sharing  #gid=0"",""фіз особи new!relations_name""),6,FALSE)
,
(IF
(
C14900=""юридична особа""
,
VLOO"&amp;"KUP(D14900,IMPORTRANGE(""https://docs.google.com/spreadsheets/d/14Bd19lYaqBhU8_DElYkX7l4wRkHqqCUFNJY4AfY3kHU/edit?usp=sharing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899" s="7" t="s">
        <v>10</v>
      </c>
      <c r="H14899" s="7">
        <v>19521</v>
      </c>
      <c r="I14899" s="8" t="str">
        <f ca="1">IFERROR(__xludf.DUMMYFUNCTION("IF
(
G14900=""фізична особа""
,
VLOOKUP(H14900,IMPORTRANGE(""https://docs.google.com/spreadsheets/d/14Bd19lYaqBhU8_DElYkX7l4wRkHqqCUFNJY4AfY3kHU/edit?usp=sharing  #gid=0"",""фіз особи new!relations_name""),6,FALSE)
,
(IF
(
G14900=""юридична особа""
,
VLOO"&amp;"KUP(H14900,IMPORTRANGE(""https://docs.google.com/spreadsheets/d/14Bd19lYaqBhU8_DElYkX7l4wRkHqqCUFNJY4AfY3kHU/edit?usp=sharing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899" s="7" t="s">
        <v>23</v>
      </c>
    </row>
    <row r="14900" spans="1:10" ht="13.2">
      <c r="A14900" s="7">
        <v>14899</v>
      </c>
      <c r="B14900" s="7">
        <v>1</v>
      </c>
      <c r="C14900" s="7" t="s">
        <v>10</v>
      </c>
      <c r="D14900" s="7">
        <v>19522</v>
      </c>
      <c r="E14900" s="7" t="s">
        <v>23</v>
      </c>
      <c r="F14900" s="8" t="str">
        <f ca="1">IFERROR(__xludf.DUMMYFUNCTION("IF
(
C14901=""фізична особа""
,
VLOOKUP(D14901,IMPORTRANGE(""https://docs.google.com/spreadsheets/d/14Bd19lYaqBhU8_DElYkX7l4wRkHqqCUFNJY4AfY3kHU/edit?usp=sharing  #gid=0"",""фіз особи new!relations_name""),6,FALSE)
,
(IF
(
C14901=""юридична особа""
,
VLOO"&amp;"KUP(D14901,IMPORTRANGE(""https://docs.google.com/spreadsheets/d/14Bd19lYaqBhU8_DElYkX7l4wRkHqqCUFNJY4AfY3kHU/edit?usp=sharing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900" s="7" t="s">
        <v>10</v>
      </c>
      <c r="H14900" s="7">
        <v>19523</v>
      </c>
      <c r="I14900" s="8" t="str">
        <f ca="1">IFERROR(__xludf.DUMMYFUNCTION("IF
(
G14901=""фізична особа""
,
VLOOKUP(H14901,IMPORTRANGE(""https://docs.google.com/spreadsheets/d/14Bd19lYaqBhU8_DElYkX7l4wRkHqqCUFNJY4AfY3kHU/edit?usp=sharing  #gid=0"",""фіз особи new!relations_name""),6,FALSE)
,
(IF
(
G14901=""юридична особа""
,
VLOO"&amp;"KUP(H14901,IMPORTRANGE(""https://docs.google.com/spreadsheets/d/14Bd19lYaqBhU8_DElYkX7l4wRkHqqCUFNJY4AfY3kHU/edit?usp=sharing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900" s="7" t="s">
        <v>23</v>
      </c>
    </row>
    <row r="14901" spans="1:10" ht="13.2">
      <c r="A14901" s="7">
        <v>14900</v>
      </c>
      <c r="B14901" s="7">
        <v>1</v>
      </c>
      <c r="C14901" s="7" t="s">
        <v>10</v>
      </c>
      <c r="D14901" s="7">
        <v>19522</v>
      </c>
      <c r="E14901" s="7" t="s">
        <v>23</v>
      </c>
      <c r="F14901" s="8" t="str">
        <f ca="1">IFERROR(__xludf.DUMMYFUNCTION("IF
(
C14902=""фізична особа""
,
VLOOKUP(D14902,IMPORTRANGE(""https://docs.google.com/spreadsheets/d/14Bd19lYaqBhU8_DElYkX7l4wRkHqqCUFNJY4AfY3kHU/edit?usp=sharing  #gid=0"",""фіз особи new!relations_name""),6,FALSE)
,
(IF
(
C14902=""юридична особа""
,
VLOO"&amp;"KUP(D14902,IMPORTRANGE(""https://docs.google.com/spreadsheets/d/14Bd19lYaqBhU8_DElYkX7l4wRkHqqCUFNJY4AfY3kHU/edit?usp=sharing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G14901" s="7" t="s">
        <v>10</v>
      </c>
      <c r="H14901" s="7">
        <v>19524</v>
      </c>
      <c r="I14901" s="8" t="str">
        <f ca="1">IFERROR(__xludf.DUMMYFUNCTION("IF
(
G14902=""фізична особа""
,
VLOOKUP(H14902,IMPORTRANGE(""https://docs.google.com/spreadsheets/d/14Bd19lYaqBhU8_DElYkX7l4wRkHqqCUFNJY4AfY3kHU/edit?usp=sharing  #gid=0"",""фіз особи new!relations_name""),6,FALSE)
,
(IF
(
G14902=""юридична особа""
,
VLOO"&amp;"KUP(H14902,IMPORTRANGE(""https://docs.google.com/spreadsheets/d/14Bd19lYaqBhU8_DElYkX7l4wRkHqqCUFNJY4AfY3kHU/edit?usp=sharing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901" s="7" t="s">
        <v>23</v>
      </c>
    </row>
    <row r="14902" spans="1:10" ht="13.2">
      <c r="A14902" s="7">
        <v>14901</v>
      </c>
      <c r="B14902" s="7">
        <v>1</v>
      </c>
      <c r="C14902" s="7" t="s">
        <v>10</v>
      </c>
      <c r="D14902" s="7">
        <v>19523</v>
      </c>
      <c r="E14902" s="7" t="s">
        <v>23</v>
      </c>
      <c r="F14902" s="8" t="str">
        <f ca="1">IFERROR(__xludf.DUMMYFUNCTION("IF
(
C14903=""фізична особа""
,
VLOOKUP(D14903,IMPORTRANGE(""https://docs.google.com/spreadsheets/d/14Bd19lYaqBhU8_DElYkX7l4wRkHqqCUFNJY4AfY3kHU/edit?usp=sharing  #gid=0"",""фіз особи new!relations_name""),6,FALSE)
,
(IF
(
C14903=""юридична особа""
,
VLOO"&amp;"KUP(D14903,IMPORTRANGE(""https://docs.google.com/spreadsheets/d/14Bd19lYaqBhU8_DElYkX7l4wRkHqqCUFNJY4AfY3kHU/edit?usp=sharing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2" s="7" t="s">
        <v>10</v>
      </c>
      <c r="H14902" s="7">
        <v>19520</v>
      </c>
      <c r="I14902" s="8" t="str">
        <f ca="1">IFERROR(__xludf.DUMMYFUNCTION("IF
(
G14903=""фізична особа""
,
VLOOKUP(H14903,IMPORTRANGE(""https://docs.google.com/spreadsheets/d/14Bd19lYaqBhU8_DElYkX7l4wRkHqqCUFNJY4AfY3kHU/edit?usp=sharing  #gid=0"",""фіз особи new!relations_name""),6,FALSE)
,
(IF
(
G14903=""юридична особа""
,
VLOO"&amp;"KUP(H14903,IMPORTRANGE(""https://docs.google.com/spreadsheets/d/14Bd19lYaqBhU8_DElYkX7l4wRkHqqCUFNJY4AfY3kHU/edit?usp=sharing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902" s="7" t="s">
        <v>23</v>
      </c>
    </row>
    <row r="14903" spans="1:10" ht="13.2">
      <c r="A14903" s="7">
        <v>14902</v>
      </c>
      <c r="B14903" s="7">
        <v>1</v>
      </c>
      <c r="C14903" s="7" t="s">
        <v>10</v>
      </c>
      <c r="D14903" s="7">
        <v>19523</v>
      </c>
      <c r="E14903" s="7" t="s">
        <v>23</v>
      </c>
      <c r="F14903" s="8" t="str">
        <f ca="1">IFERROR(__xludf.DUMMYFUNCTION("IF
(
C14904=""фізична особа""
,
VLOOKUP(D14904,IMPORTRANGE(""https://docs.google.com/spreadsheets/d/14Bd19lYaqBhU8_DElYkX7l4wRkHqqCUFNJY4AfY3kHU/edit?usp=sharing  #gid=0"",""фіз особи new!relations_name""),6,FALSE)
,
(IF
(
C14904=""юридична особа""
,
VLOO"&amp;"KUP(D14904,IMPORTRANGE(""https://docs.google.com/spreadsheets/d/14Bd19lYaqBhU8_DElYkX7l4wRkHqqCUFNJY4AfY3kHU/edit?usp=sharing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3" s="7" t="s">
        <v>10</v>
      </c>
      <c r="H14903" s="7">
        <v>19513</v>
      </c>
      <c r="I14903" s="8" t="str">
        <f ca="1">IFERROR(__xludf.DUMMYFUNCTION("IF
(
G14904=""фізична особа""
,
VLOOKUP(H14904,IMPORTRANGE(""https://docs.google.com/spreadsheets/d/14Bd19lYaqBhU8_DElYkX7l4wRkHqqCUFNJY4AfY3kHU/edit?usp=sharing  #gid=0"",""фіз особи new!relations_name""),6,FALSE)
,
(IF
(
G14904=""юридична особа""
,
VLOO"&amp;"KUP(H14904,IMPORTRANGE(""https://docs.google.com/spreadsheets/d/14Bd19lYaqBhU8_DElYkX7l4wRkHqqCUFNJY4AfY3kHU/edit?usp=sharing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903" s="7" t="s">
        <v>23</v>
      </c>
    </row>
    <row r="14904" spans="1:10" ht="13.2">
      <c r="A14904" s="7">
        <v>14903</v>
      </c>
      <c r="B14904" s="7">
        <v>1</v>
      </c>
      <c r="C14904" s="7" t="s">
        <v>10</v>
      </c>
      <c r="D14904" s="7">
        <v>19523</v>
      </c>
      <c r="E14904" s="7" t="s">
        <v>23</v>
      </c>
      <c r="F14904" s="8" t="str">
        <f ca="1">IFERROR(__xludf.DUMMYFUNCTION("IF
(
C14905=""фізична особа""
,
VLOOKUP(D14905,IMPORTRANGE(""https://docs.google.com/spreadsheets/d/14Bd19lYaqBhU8_DElYkX7l4wRkHqqCUFNJY4AfY3kHU/edit?usp=sharing  #gid=0"",""фіз особи new!relations_name""),6,FALSE)
,
(IF
(
C14905=""юридична особа""
,
VLOO"&amp;"KUP(D14905,IMPORTRANGE(""https://docs.google.com/spreadsheets/d/14Bd19lYaqBhU8_DElYkX7l4wRkHqqCUFNJY4AfY3kHU/edit?usp=sharing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4" s="7" t="s">
        <v>10</v>
      </c>
      <c r="H14904" s="7">
        <v>19514</v>
      </c>
      <c r="I14904" s="8" t="str">
        <f ca="1">IFERROR(__xludf.DUMMYFUNCTION("IF
(
G14905=""фізична особа""
,
VLOOKUP(H14905,IMPORTRANGE(""https://docs.google.com/spreadsheets/d/14Bd19lYaqBhU8_DElYkX7l4wRkHqqCUFNJY4AfY3kHU/edit?usp=sharing  #gid=0"",""фіз особи new!relations_name""),6,FALSE)
,
(IF
(
G14905=""юридична особа""
,
VLOO"&amp;"KUP(H14905,IMPORTRANGE(""https://docs.google.com/spreadsheets/d/14Bd19lYaqBhU8_DElYkX7l4wRkHqqCUFNJY4AfY3kHU/edit?usp=sharing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904" s="7" t="s">
        <v>23</v>
      </c>
    </row>
    <row r="14905" spans="1:10" ht="13.2">
      <c r="A14905" s="7">
        <v>14904</v>
      </c>
      <c r="B14905" s="7">
        <v>1</v>
      </c>
      <c r="C14905" s="7" t="s">
        <v>10</v>
      </c>
      <c r="D14905" s="7">
        <v>19523</v>
      </c>
      <c r="E14905" s="7" t="s">
        <v>23</v>
      </c>
      <c r="F14905" s="8" t="str">
        <f ca="1">IFERROR(__xludf.DUMMYFUNCTION("IF
(
C14906=""фізична особа""
,
VLOOKUP(D14906,IMPORTRANGE(""https://docs.google.com/spreadsheets/d/14Bd19lYaqBhU8_DElYkX7l4wRkHqqCUFNJY4AfY3kHU/edit?usp=sharing  #gid=0"",""фіз особи new!relations_name""),6,FALSE)
,
(IF
(
C14906=""юридична особа""
,
VLOO"&amp;"KUP(D14906,IMPORTRANGE(""https://docs.google.com/spreadsheets/d/14Bd19lYaqBhU8_DElYkX7l4wRkHqqCUFNJY4AfY3kHU/edit?usp=sharing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5" s="7" t="s">
        <v>10</v>
      </c>
      <c r="H14905" s="7">
        <v>19515</v>
      </c>
      <c r="I14905" s="8" t="str">
        <f ca="1">IFERROR(__xludf.DUMMYFUNCTION("IF
(
G14906=""фізична особа""
,
VLOOKUP(H14906,IMPORTRANGE(""https://docs.google.com/spreadsheets/d/14Bd19lYaqBhU8_DElYkX7l4wRkHqqCUFNJY4AfY3kHU/edit?usp=sharing  #gid=0"",""фіз особи new!relations_name""),6,FALSE)
,
(IF
(
G14906=""юридична особа""
,
VLOO"&amp;"KUP(H14906,IMPORTRANGE(""https://docs.google.com/spreadsheets/d/14Bd19lYaqBhU8_DElYkX7l4wRkHqqCUFNJY4AfY3kHU/edit?usp=sharing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905" s="7" t="s">
        <v>23</v>
      </c>
    </row>
    <row r="14906" spans="1:10" ht="13.2">
      <c r="A14906" s="7">
        <v>14905</v>
      </c>
      <c r="B14906" s="7">
        <v>1</v>
      </c>
      <c r="C14906" s="7" t="s">
        <v>10</v>
      </c>
      <c r="D14906" s="7">
        <v>19523</v>
      </c>
      <c r="E14906" s="7" t="s">
        <v>23</v>
      </c>
      <c r="F14906" s="8" t="str">
        <f ca="1">IFERROR(__xludf.DUMMYFUNCTION("IF
(
C14907=""фізична особа""
,
VLOOKUP(D14907,IMPORTRANGE(""https://docs.google.com/spreadsheets/d/14Bd19lYaqBhU8_DElYkX7l4wRkHqqCUFNJY4AfY3kHU/edit?usp=sharing  #gid=0"",""фіз особи new!relations_name""),6,FALSE)
,
(IF
(
C14907=""юридична особа""
,
VLOO"&amp;"KUP(D14907,IMPORTRANGE(""https://docs.google.com/spreadsheets/d/14Bd19lYaqBhU8_DElYkX7l4wRkHqqCUFNJY4AfY3kHU/edit?usp=sharing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6" s="7" t="s">
        <v>10</v>
      </c>
      <c r="H14906" s="7">
        <v>19516</v>
      </c>
      <c r="I14906" s="8" t="str">
        <f ca="1">IFERROR(__xludf.DUMMYFUNCTION("IF
(
G14907=""фізична особа""
,
VLOOKUP(H14907,IMPORTRANGE(""https://docs.google.com/spreadsheets/d/14Bd19lYaqBhU8_DElYkX7l4wRkHqqCUFNJY4AfY3kHU/edit?usp=sharing  #gid=0"",""фіз особи new!relations_name""),6,FALSE)
,
(IF
(
G14907=""юридична особа""
,
VLOO"&amp;"KUP(H14907,IMPORTRANGE(""https://docs.google.com/spreadsheets/d/14Bd19lYaqBhU8_DElYkX7l4wRkHqqCUFNJY4AfY3kHU/edit?usp=sharing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906" s="7" t="s">
        <v>23</v>
      </c>
    </row>
    <row r="14907" spans="1:10" ht="13.2">
      <c r="A14907" s="7">
        <v>14906</v>
      </c>
      <c r="B14907" s="7">
        <v>1</v>
      </c>
      <c r="C14907" s="7" t="s">
        <v>10</v>
      </c>
      <c r="D14907" s="7">
        <v>19523</v>
      </c>
      <c r="E14907" s="7" t="s">
        <v>23</v>
      </c>
      <c r="F14907" s="8" t="str">
        <f ca="1">IFERROR(__xludf.DUMMYFUNCTION("IF
(
C14908=""фізична особа""
,
VLOOKUP(D14908,IMPORTRANGE(""https://docs.google.com/spreadsheets/d/14Bd19lYaqBhU8_DElYkX7l4wRkHqqCUFNJY4AfY3kHU/edit?usp=sharing  #gid=0"",""фіз особи new!relations_name""),6,FALSE)
,
(IF
(
C14908=""юридична особа""
,
VLOO"&amp;"KUP(D14908,IMPORTRANGE(""https://docs.google.com/spreadsheets/d/14Bd19lYaqBhU8_DElYkX7l4wRkHqqCUFNJY4AfY3kHU/edit?usp=sharing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7" s="7" t="s">
        <v>10</v>
      </c>
      <c r="H14907" s="7">
        <v>19517</v>
      </c>
      <c r="I14907" s="8" t="str">
        <f ca="1">IFERROR(__xludf.DUMMYFUNCTION("IF
(
G14908=""фізична особа""
,
VLOOKUP(H14908,IMPORTRANGE(""https://docs.google.com/spreadsheets/d/14Bd19lYaqBhU8_DElYkX7l4wRkHqqCUFNJY4AfY3kHU/edit?usp=sharing  #gid=0"",""фіз особи new!relations_name""),6,FALSE)
,
(IF
(
G14908=""юридична особа""
,
VLOO"&amp;"KUP(H14908,IMPORTRANGE(""https://docs.google.com/spreadsheets/d/14Bd19lYaqBhU8_DElYkX7l4wRkHqqCUFNJY4AfY3kHU/edit?usp=sharing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907" s="7" t="s">
        <v>23</v>
      </c>
    </row>
    <row r="14908" spans="1:10" ht="13.2">
      <c r="A14908" s="7">
        <v>14907</v>
      </c>
      <c r="B14908" s="7">
        <v>1</v>
      </c>
      <c r="C14908" s="7" t="s">
        <v>10</v>
      </c>
      <c r="D14908" s="7">
        <v>19523</v>
      </c>
      <c r="E14908" s="7" t="s">
        <v>23</v>
      </c>
      <c r="F14908" s="8" t="str">
        <f ca="1">IFERROR(__xludf.DUMMYFUNCTION("IF
(
C14909=""фізична особа""
,
VLOOKUP(D14909,IMPORTRANGE(""https://docs.google.com/spreadsheets/d/14Bd19lYaqBhU8_DElYkX7l4wRkHqqCUFNJY4AfY3kHU/edit?usp=sharing  #gid=0"",""фіз особи new!relations_name""),6,FALSE)
,
(IF
(
C14909=""юридична особа""
,
VLOO"&amp;"KUP(D14909,IMPORTRANGE(""https://docs.google.com/spreadsheets/d/14Bd19lYaqBhU8_DElYkX7l4wRkHqqCUFNJY4AfY3kHU/edit?usp=sharing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8" s="7" t="s">
        <v>10</v>
      </c>
      <c r="H14908" s="7">
        <v>19518</v>
      </c>
      <c r="I14908" s="8" t="str">
        <f ca="1">IFERROR(__xludf.DUMMYFUNCTION("IF
(
G14909=""фізична особа""
,
VLOOKUP(H14909,IMPORTRANGE(""https://docs.google.com/spreadsheets/d/14Bd19lYaqBhU8_DElYkX7l4wRkHqqCUFNJY4AfY3kHU/edit?usp=sharing  #gid=0"",""фіз особи new!relations_name""),6,FALSE)
,
(IF
(
G14909=""юридична особа""
,
VLOO"&amp;"KUP(H14909,IMPORTRANGE(""https://docs.google.com/spreadsheets/d/14Bd19lYaqBhU8_DElYkX7l4wRkHqqCUFNJY4AfY3kHU/edit?usp=sharing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908" s="7" t="s">
        <v>23</v>
      </c>
    </row>
    <row r="14909" spans="1:10" ht="13.2">
      <c r="A14909" s="7">
        <v>14908</v>
      </c>
      <c r="B14909" s="7">
        <v>1</v>
      </c>
      <c r="C14909" s="7" t="s">
        <v>10</v>
      </c>
      <c r="D14909" s="7">
        <v>19523</v>
      </c>
      <c r="E14909" s="7" t="s">
        <v>23</v>
      </c>
      <c r="F14909" s="8" t="str">
        <f ca="1">IFERROR(__xludf.DUMMYFUNCTION("IF
(
C14910=""фізична особа""
,
VLOOKUP(D14910,IMPORTRANGE(""https://docs.google.com/spreadsheets/d/14Bd19lYaqBhU8_DElYkX7l4wRkHqqCUFNJY4AfY3kHU/edit?usp=sharing  #gid=0"",""фіз особи new!relations_name""),6,FALSE)
,
(IF
(
C14910=""юридична особа""
,
VLOO"&amp;"KUP(D14910,IMPORTRANGE(""https://docs.google.com/spreadsheets/d/14Bd19lYaqBhU8_DElYkX7l4wRkHqqCUFNJY4AfY3kHU/edit?usp=sharing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09" s="7" t="s">
        <v>10</v>
      </c>
      <c r="H14909" s="7">
        <v>19519</v>
      </c>
      <c r="I14909" s="8" t="str">
        <f ca="1">IFERROR(__xludf.DUMMYFUNCTION("IF
(
G14910=""фізична особа""
,
VLOOKUP(H14910,IMPORTRANGE(""https://docs.google.com/spreadsheets/d/14Bd19lYaqBhU8_DElYkX7l4wRkHqqCUFNJY4AfY3kHU/edit?usp=sharing  #gid=0"",""фіз особи new!relations_name""),6,FALSE)
,
(IF
(
G14910=""юридична особа""
,
VLOO"&amp;"KUP(H14910,IMPORTRANGE(""https://docs.google.com/spreadsheets/d/14Bd19lYaqBhU8_DElYkX7l4wRkHqqCUFNJY4AfY3kHU/edit?usp=sharing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909" s="7" t="s">
        <v>23</v>
      </c>
    </row>
    <row r="14910" spans="1:10" ht="13.2">
      <c r="A14910" s="7">
        <v>14909</v>
      </c>
      <c r="B14910" s="7">
        <v>1</v>
      </c>
      <c r="C14910" s="7" t="s">
        <v>10</v>
      </c>
      <c r="D14910" s="7">
        <v>19523</v>
      </c>
      <c r="E14910" s="7" t="s">
        <v>23</v>
      </c>
      <c r="F14910" s="8" t="str">
        <f ca="1">IFERROR(__xludf.DUMMYFUNCTION("IF
(
C14911=""фізична особа""
,
VLOOKUP(D14911,IMPORTRANGE(""https://docs.google.com/spreadsheets/d/14Bd19lYaqBhU8_DElYkX7l4wRkHqqCUFNJY4AfY3kHU/edit?usp=sharing  #gid=0"",""фіз особи new!relations_name""),6,FALSE)
,
(IF
(
C14911=""юридична особа""
,
VLOO"&amp;"KUP(D14911,IMPORTRANGE(""https://docs.google.com/spreadsheets/d/14Bd19lYaqBhU8_DElYkX7l4wRkHqqCUFNJY4AfY3kHU/edit?usp=sharing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10" s="7" t="s">
        <v>10</v>
      </c>
      <c r="H14910" s="7">
        <v>19521</v>
      </c>
      <c r="I14910" s="8" t="str">
        <f ca="1">IFERROR(__xludf.DUMMYFUNCTION("IF
(
G14911=""фізична особа""
,
VLOOKUP(H14911,IMPORTRANGE(""https://docs.google.com/spreadsheets/d/14Bd19lYaqBhU8_DElYkX7l4wRkHqqCUFNJY4AfY3kHU/edit?usp=sharing  #gid=0"",""фіз особи new!relations_name""),6,FALSE)
,
(IF
(
G14911=""юридична особа""
,
VLOO"&amp;"KUP(H14911,IMPORTRANGE(""https://docs.google.com/spreadsheets/d/14Bd19lYaqBhU8_DElYkX7l4wRkHqqCUFNJY4AfY3kHU/edit?usp=sharing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910" s="7" t="s">
        <v>23</v>
      </c>
    </row>
    <row r="14911" spans="1:10" ht="13.2">
      <c r="A14911" s="7">
        <v>14910</v>
      </c>
      <c r="B14911" s="7">
        <v>1</v>
      </c>
      <c r="C14911" s="7" t="s">
        <v>10</v>
      </c>
      <c r="D14911" s="7">
        <v>19523</v>
      </c>
      <c r="E14911" s="7" t="s">
        <v>23</v>
      </c>
      <c r="F14911" s="8" t="str">
        <f ca="1">IFERROR(__xludf.DUMMYFUNCTION("IF
(
C14912=""фізична особа""
,
VLOOKUP(D14912,IMPORTRANGE(""https://docs.google.com/spreadsheets/d/14Bd19lYaqBhU8_DElYkX7l4wRkHqqCUFNJY4AfY3kHU/edit?usp=sharing  #gid=0"",""фіз особи new!relations_name""),6,FALSE)
,
(IF
(
C14912=""юридична особа""
,
VLOO"&amp;"KUP(D14912,IMPORTRANGE(""https://docs.google.com/spreadsheets/d/14Bd19lYaqBhU8_DElYkX7l4wRkHqqCUFNJY4AfY3kHU/edit?usp=sharing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11" s="7" t="s">
        <v>10</v>
      </c>
      <c r="H14911" s="7">
        <v>19522</v>
      </c>
      <c r="I14911" s="8" t="str">
        <f ca="1">IFERROR(__xludf.DUMMYFUNCTION("IF
(
G14912=""фізична особа""
,
VLOOKUP(H14912,IMPORTRANGE(""https://docs.google.com/spreadsheets/d/14Bd19lYaqBhU8_DElYkX7l4wRkHqqCUFNJY4AfY3kHU/edit?usp=sharing  #gid=0"",""фіз особи new!relations_name""),6,FALSE)
,
(IF
(
G14912=""юридична особа""
,
VLOO"&amp;"KUP(H14912,IMPORTRANGE(""https://docs.google.com/spreadsheets/d/14Bd19lYaqBhU8_DElYkX7l4wRkHqqCUFNJY4AfY3kHU/edit?usp=sharing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911" s="7" t="s">
        <v>23</v>
      </c>
    </row>
    <row r="14912" spans="1:10" ht="13.2">
      <c r="A14912" s="7">
        <v>14911</v>
      </c>
      <c r="B14912" s="7">
        <v>1</v>
      </c>
      <c r="C14912" s="7" t="s">
        <v>10</v>
      </c>
      <c r="D14912" s="7">
        <v>19523</v>
      </c>
      <c r="E14912" s="7" t="s">
        <v>23</v>
      </c>
      <c r="F14912" s="8" t="str">
        <f ca="1">IFERROR(__xludf.DUMMYFUNCTION("IF
(
C14913=""фізична особа""
,
VLOOKUP(D14913,IMPORTRANGE(""https://docs.google.com/spreadsheets/d/14Bd19lYaqBhU8_DElYkX7l4wRkHqqCUFNJY4AfY3kHU/edit?usp=sharing  #gid=0"",""фіз особи new!relations_name""),6,FALSE)
,
(IF
(
C14913=""юридична особа""
,
VLOO"&amp;"KUP(D14913,IMPORTRANGE(""https://docs.google.com/spreadsheets/d/14Bd19lYaqBhU8_DElYkX7l4wRkHqqCUFNJY4AfY3kHU/edit?usp=sharing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G14912" s="7" t="s">
        <v>10</v>
      </c>
      <c r="H14912" s="7">
        <v>19524</v>
      </c>
      <c r="I14912" s="8" t="str">
        <f ca="1">IFERROR(__xludf.DUMMYFUNCTION("IF
(
G14913=""фізична особа""
,
VLOOKUP(H14913,IMPORTRANGE(""https://docs.google.com/spreadsheets/d/14Bd19lYaqBhU8_DElYkX7l4wRkHqqCUFNJY4AfY3kHU/edit?usp=sharing  #gid=0"",""фіз особи new!relations_name""),6,FALSE)
,
(IF
(
G14913=""юридична особа""
,
VLOO"&amp;"KUP(H14913,IMPORTRANGE(""https://docs.google.com/spreadsheets/d/14Bd19lYaqBhU8_DElYkX7l4wRkHqqCUFNJY4AfY3kHU/edit?usp=sharing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J14912" s="7" t="s">
        <v>23</v>
      </c>
    </row>
    <row r="14913" spans="1:10" ht="13.2">
      <c r="A14913" s="7">
        <v>14912</v>
      </c>
      <c r="B14913" s="7">
        <v>1</v>
      </c>
      <c r="C14913" s="7" t="s">
        <v>10</v>
      </c>
      <c r="D14913" s="7">
        <v>19524</v>
      </c>
      <c r="E14913" s="7" t="s">
        <v>23</v>
      </c>
      <c r="F14913" s="8" t="str">
        <f ca="1">IFERROR(__xludf.DUMMYFUNCTION("IF
(
C14914=""фізична особа""
,
VLOOKUP(D14914,IMPORTRANGE(""https://docs.google.com/spreadsheets/d/14Bd19lYaqBhU8_DElYkX7l4wRkHqqCUFNJY4AfY3kHU/edit?usp=sharing  #gid=0"",""фіз особи new!relations_name""),6,FALSE)
,
(IF
(
C14914=""юридична особа""
,
VLOO"&amp;"KUP(D14914,IMPORTRANGE(""https://docs.google.com/spreadsheets/d/14Bd19lYaqBhU8_DElYkX7l4wRkHqqCUFNJY4AfY3kHU/edit?usp=sharing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3" s="7" t="s">
        <v>10</v>
      </c>
      <c r="H14913" s="7">
        <v>19520</v>
      </c>
      <c r="I14913" s="8" t="str">
        <f ca="1">IFERROR(__xludf.DUMMYFUNCTION("IF
(
G14914=""фізична особа""
,
VLOOKUP(H14914,IMPORTRANGE(""https://docs.google.com/spreadsheets/d/14Bd19lYaqBhU8_DElYkX7l4wRkHqqCUFNJY4AfY3kHU/edit?usp=sharing  #gid=0"",""фіз особи new!relations_name""),6,FALSE)
,
(IF
(
G14914=""юридична особа""
,
VLOO"&amp;"KUP(H14914,IMPORTRANGE(""https://docs.google.com/spreadsheets/d/14Bd19lYaqBhU8_DElYkX7l4wRkHqqCUFNJY4AfY3kHU/edit?usp=sharing  #gid=0"",""фіз особи new!relations_name_uo""),7,FALSE)
,
)
))"),"ШКУРІН Анатолій Іванович")</f>
        <v>ШКУРІН Анатолій Іванович</v>
      </c>
      <c r="J14913" s="7" t="s">
        <v>23</v>
      </c>
    </row>
    <row r="14914" spans="1:10" ht="13.2">
      <c r="A14914" s="7">
        <v>14913</v>
      </c>
      <c r="B14914" s="7">
        <v>1</v>
      </c>
      <c r="C14914" s="7" t="s">
        <v>10</v>
      </c>
      <c r="D14914" s="7">
        <v>19524</v>
      </c>
      <c r="E14914" s="7" t="s">
        <v>23</v>
      </c>
      <c r="F14914" s="8" t="str">
        <f ca="1">IFERROR(__xludf.DUMMYFUNCTION("IF
(
C14915=""фізична особа""
,
VLOOKUP(D14915,IMPORTRANGE(""https://docs.google.com/spreadsheets/d/14Bd19lYaqBhU8_DElYkX7l4wRkHqqCUFNJY4AfY3kHU/edit?usp=sharing  #gid=0"",""фіз особи new!relations_name""),6,FALSE)
,
(IF
(
C14915=""юридична особа""
,
VLOO"&amp;"KUP(D14915,IMPORTRANGE(""https://docs.google.com/spreadsheets/d/14Bd19lYaqBhU8_DElYkX7l4wRkHqqCUFNJY4AfY3kHU/edit?usp=sharing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4" s="7" t="s">
        <v>10</v>
      </c>
      <c r="H14914" s="7">
        <v>19513</v>
      </c>
      <c r="I14914" s="8" t="str">
        <f ca="1">IFERROR(__xludf.DUMMYFUNCTION("IF
(
G14915=""фізична особа""
,
VLOOKUP(H14915,IMPORTRANGE(""https://docs.google.com/spreadsheets/d/14Bd19lYaqBhU8_DElYkX7l4wRkHqqCUFNJY4AfY3kHU/edit?usp=sharing  #gid=0"",""фіз особи new!relations_name""),6,FALSE)
,
(IF
(
G14915=""юридична особа""
,
VLOO"&amp;"KUP(H14915,IMPORTRANGE(""https://docs.google.com/spreadsheets/d/14Bd19lYaqBhU8_DElYkX7l4wRkHqqCUFNJY4AfY3kHU/edit?usp=sharing  #gid=0"",""фіз особи new!relations_name_uo""),7,FALSE)
,
)
))"),"КЛОЧКОВА Ірина Олександрівна")</f>
        <v>КЛОЧКОВА Ірина Олександрівна</v>
      </c>
      <c r="J14914" s="7" t="s">
        <v>23</v>
      </c>
    </row>
    <row r="14915" spans="1:10" ht="13.2">
      <c r="A14915" s="7">
        <v>14914</v>
      </c>
      <c r="B14915" s="7">
        <v>1</v>
      </c>
      <c r="C14915" s="7" t="s">
        <v>10</v>
      </c>
      <c r="D14915" s="7">
        <v>19524</v>
      </c>
      <c r="E14915" s="7" t="s">
        <v>23</v>
      </c>
      <c r="F14915" s="8" t="str">
        <f ca="1">IFERROR(__xludf.DUMMYFUNCTION("IF
(
C14916=""фізична особа""
,
VLOOKUP(D14916,IMPORTRANGE(""https://docs.google.com/spreadsheets/d/14Bd19lYaqBhU8_DElYkX7l4wRkHqqCUFNJY4AfY3kHU/edit?usp=sharing  #gid=0"",""фіз особи new!relations_name""),6,FALSE)
,
(IF
(
C14916=""юридична особа""
,
VLOO"&amp;"KUP(D14916,IMPORTRANGE(""https://docs.google.com/spreadsheets/d/14Bd19lYaqBhU8_DElYkX7l4wRkHqqCUFNJY4AfY3kHU/edit?usp=sharing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5" s="7" t="s">
        <v>10</v>
      </c>
      <c r="H14915" s="7">
        <v>19514</v>
      </c>
      <c r="I14915" s="8" t="str">
        <f ca="1">IFERROR(__xludf.DUMMYFUNCTION("IF
(
G14916=""фізична особа""
,
VLOOKUP(H14916,IMPORTRANGE(""https://docs.google.com/spreadsheets/d/14Bd19lYaqBhU8_DElYkX7l4wRkHqqCUFNJY4AfY3kHU/edit?usp=sharing  #gid=0"",""фіз особи new!relations_name""),6,FALSE)
,
(IF
(
G14916=""юридична особа""
,
VLOO"&amp;"KUP(H14916,IMPORTRANGE(""https://docs.google.com/spreadsheets/d/14Bd19lYaqBhU8_DElYkX7l4wRkHqqCUFNJY4AfY3kHU/edit?usp=sharing  #gid=0"",""фіз особи new!relations_name_uo""),7,FALSE)
,
)
))"),"КОНОВАЛОВ Сергій Петрович")</f>
        <v>КОНОВАЛОВ Сергій Петрович</v>
      </c>
      <c r="J14915" s="7" t="s">
        <v>23</v>
      </c>
    </row>
    <row r="14916" spans="1:10" ht="13.2">
      <c r="A14916" s="7">
        <v>14915</v>
      </c>
      <c r="B14916" s="7">
        <v>1</v>
      </c>
      <c r="C14916" s="7" t="s">
        <v>10</v>
      </c>
      <c r="D14916" s="7">
        <v>19524</v>
      </c>
      <c r="E14916" s="7" t="s">
        <v>23</v>
      </c>
      <c r="F14916" s="8" t="str">
        <f ca="1">IFERROR(__xludf.DUMMYFUNCTION("IF
(
C14917=""фізична особа""
,
VLOOKUP(D14917,IMPORTRANGE(""https://docs.google.com/spreadsheets/d/14Bd19lYaqBhU8_DElYkX7l4wRkHqqCUFNJY4AfY3kHU/edit?usp=sharing  #gid=0"",""фіз особи new!relations_name""),6,FALSE)
,
(IF
(
C14917=""юридична особа""
,
VLOO"&amp;"KUP(D14917,IMPORTRANGE(""https://docs.google.com/spreadsheets/d/14Bd19lYaqBhU8_DElYkX7l4wRkHqqCUFNJY4AfY3kHU/edit?usp=sharing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6" s="7" t="s">
        <v>10</v>
      </c>
      <c r="H14916" s="7">
        <v>19515</v>
      </c>
      <c r="I14916" s="8" t="str">
        <f ca="1">IFERROR(__xludf.DUMMYFUNCTION("IF
(
G14917=""фізична особа""
,
VLOOKUP(H14917,IMPORTRANGE(""https://docs.google.com/spreadsheets/d/14Bd19lYaqBhU8_DElYkX7l4wRkHqqCUFNJY4AfY3kHU/edit?usp=sharing  #gid=0"",""фіз особи new!relations_name""),6,FALSE)
,
(IF
(
G14917=""юридична особа""
,
VLOO"&amp;"KUP(H14917,IMPORTRANGE(""https://docs.google.com/spreadsheets/d/14Bd19lYaqBhU8_DElYkX7l4wRkHqqCUFNJY4AfY3kHU/edit?usp=sharing  #gid=0"",""фіз особи new!relations_name_uo""),7,FALSE)
,
)
))"),"ДАНІЛОВ Ілля Віталійович")</f>
        <v>ДАНІЛОВ Ілля Віталійович</v>
      </c>
      <c r="J14916" s="7" t="s">
        <v>23</v>
      </c>
    </row>
    <row r="14917" spans="1:10" ht="13.2">
      <c r="A14917" s="7">
        <v>14916</v>
      </c>
      <c r="B14917" s="7">
        <v>1</v>
      </c>
      <c r="C14917" s="7" t="s">
        <v>10</v>
      </c>
      <c r="D14917" s="7">
        <v>19524</v>
      </c>
      <c r="E14917" s="7" t="s">
        <v>23</v>
      </c>
      <c r="F14917" s="8" t="str">
        <f ca="1">IFERROR(__xludf.DUMMYFUNCTION("IF
(
C14918=""фізична особа""
,
VLOOKUP(D14918,IMPORTRANGE(""https://docs.google.com/spreadsheets/d/14Bd19lYaqBhU8_DElYkX7l4wRkHqqCUFNJY4AfY3kHU/edit?usp=sharing  #gid=0"",""фіз особи new!relations_name""),6,FALSE)
,
(IF
(
C14918=""юридична особа""
,
VLOO"&amp;"KUP(D14918,IMPORTRANGE(""https://docs.google.com/spreadsheets/d/14Bd19lYaqBhU8_DElYkX7l4wRkHqqCUFNJY4AfY3kHU/edit?usp=sharing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7" s="7" t="s">
        <v>10</v>
      </c>
      <c r="H14917" s="7">
        <v>19516</v>
      </c>
      <c r="I14917" s="8" t="str">
        <f ca="1">IFERROR(__xludf.DUMMYFUNCTION("IF
(
G14918=""фізична особа""
,
VLOOKUP(H14918,IMPORTRANGE(""https://docs.google.com/spreadsheets/d/14Bd19lYaqBhU8_DElYkX7l4wRkHqqCUFNJY4AfY3kHU/edit?usp=sharing  #gid=0"",""фіз особи new!relations_name""),6,FALSE)
,
(IF
(
G14918=""юридична особа""
,
VLOO"&amp;"KUP(H14918,IMPORTRANGE(""https://docs.google.com/spreadsheets/d/14Bd19lYaqBhU8_DElYkX7l4wRkHqqCUFNJY4AfY3kHU/edit?usp=sharing  #gid=0"",""фіз особи new!relations_name_uo""),7,FALSE)
,
)
))"),"ВЄТРОВА Юлія Василівна")</f>
        <v>ВЄТРОВА Юлія Василівна</v>
      </c>
      <c r="J14917" s="7" t="s">
        <v>23</v>
      </c>
    </row>
    <row r="14918" spans="1:10" ht="13.2">
      <c r="A14918" s="7">
        <v>14917</v>
      </c>
      <c r="B14918" s="7">
        <v>1</v>
      </c>
      <c r="C14918" s="7" t="s">
        <v>10</v>
      </c>
      <c r="D14918" s="7">
        <v>19524</v>
      </c>
      <c r="E14918" s="7" t="s">
        <v>23</v>
      </c>
      <c r="F14918" s="8" t="str">
        <f ca="1">IFERROR(__xludf.DUMMYFUNCTION("IF
(
C14919=""фізична особа""
,
VLOOKUP(D14919,IMPORTRANGE(""https://docs.google.com/spreadsheets/d/14Bd19lYaqBhU8_DElYkX7l4wRkHqqCUFNJY4AfY3kHU/edit?usp=sharing  #gid=0"",""фіз особи new!relations_name""),6,FALSE)
,
(IF
(
C14919=""юридична особа""
,
VLOO"&amp;"KUP(D14919,IMPORTRANGE(""https://docs.google.com/spreadsheets/d/14Bd19lYaqBhU8_DElYkX7l4wRkHqqCUFNJY4AfY3kHU/edit?usp=sharing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8" s="7" t="s">
        <v>10</v>
      </c>
      <c r="H14918" s="7">
        <v>19517</v>
      </c>
      <c r="I14918" s="8" t="str">
        <f ca="1">IFERROR(__xludf.DUMMYFUNCTION("IF
(
G14919=""фізична особа""
,
VLOOKUP(H14919,IMPORTRANGE(""https://docs.google.com/spreadsheets/d/14Bd19lYaqBhU8_DElYkX7l4wRkHqqCUFNJY4AfY3kHU/edit?usp=sharing  #gid=0"",""фіз особи new!relations_name""),6,FALSE)
,
(IF
(
G14919=""юридична особа""
,
VLOO"&amp;"KUP(H14919,IMPORTRANGE(""https://docs.google.com/spreadsheets/d/14Bd19lYaqBhU8_DElYkX7l4wRkHqqCUFNJY4AfY3kHU/edit?usp=sharing  #gid=0"",""фіз особи new!relations_name_uo""),7,FALSE)
,
)
))"),"СТРЕЛЮХІНА Олена Юріївна")</f>
        <v>СТРЕЛЮХІНА Олена Юріївна</v>
      </c>
      <c r="J14918" s="7" t="s">
        <v>23</v>
      </c>
    </row>
    <row r="14919" spans="1:10" ht="13.2">
      <c r="A14919" s="7">
        <v>14918</v>
      </c>
      <c r="B14919" s="7">
        <v>1</v>
      </c>
      <c r="C14919" s="7" t="s">
        <v>10</v>
      </c>
      <c r="D14919" s="7">
        <v>19524</v>
      </c>
      <c r="E14919" s="7" t="s">
        <v>23</v>
      </c>
      <c r="F14919" s="8" t="str">
        <f ca="1">IFERROR(__xludf.DUMMYFUNCTION("IF
(
C14920=""фізична особа""
,
VLOOKUP(D14920,IMPORTRANGE(""https://docs.google.com/spreadsheets/d/14Bd19lYaqBhU8_DElYkX7l4wRkHqqCUFNJY4AfY3kHU/edit?usp=sharing  #gid=0"",""фіз особи new!relations_name""),6,FALSE)
,
(IF
(
C14920=""юридична особа""
,
VLOO"&amp;"KUP(D14920,IMPORTRANGE(""https://docs.google.com/spreadsheets/d/14Bd19lYaqBhU8_DElYkX7l4wRkHqqCUFNJY4AfY3kHU/edit?usp=sharing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19" s="7" t="s">
        <v>10</v>
      </c>
      <c r="H14919" s="7">
        <v>19518</v>
      </c>
      <c r="I14919" s="8" t="str">
        <f ca="1">IFERROR(__xludf.DUMMYFUNCTION("IF
(
G14920=""фізична особа""
,
VLOOKUP(H14920,IMPORTRANGE(""https://docs.google.com/spreadsheets/d/14Bd19lYaqBhU8_DElYkX7l4wRkHqqCUFNJY4AfY3kHU/edit?usp=sharing  #gid=0"",""фіз особи new!relations_name""),6,FALSE)
,
(IF
(
G14920=""юридична особа""
,
VLOO"&amp;"KUP(H14920,IMPORTRANGE(""https://docs.google.com/spreadsheets/d/14Bd19lYaqBhU8_DElYkX7l4wRkHqqCUFNJY4AfY3kHU/edit?usp=sharing  #gid=0"",""фіз особи new!relations_name_uo""),7,FALSE)
,
)
))"),"ПОПОВА Тетяна Анатоліївна")</f>
        <v>ПОПОВА Тетяна Анатоліївна</v>
      </c>
      <c r="J14919" s="7" t="s">
        <v>23</v>
      </c>
    </row>
    <row r="14920" spans="1:10" ht="13.2">
      <c r="A14920" s="7">
        <v>14919</v>
      </c>
      <c r="B14920" s="7">
        <v>1</v>
      </c>
      <c r="C14920" s="7" t="s">
        <v>10</v>
      </c>
      <c r="D14920" s="7">
        <v>19524</v>
      </c>
      <c r="E14920" s="7" t="s">
        <v>23</v>
      </c>
      <c r="F14920" s="8" t="str">
        <f ca="1">IFERROR(__xludf.DUMMYFUNCTION("IF
(
C14921=""фізична особа""
,
VLOOKUP(D14921,IMPORTRANGE(""https://docs.google.com/spreadsheets/d/14Bd19lYaqBhU8_DElYkX7l4wRkHqqCUFNJY4AfY3kHU/edit?usp=sharing  #gid=0"",""фіз особи new!relations_name""),6,FALSE)
,
(IF
(
C14921=""юридична особа""
,
VLOO"&amp;"KUP(D14921,IMPORTRANGE(""https://docs.google.com/spreadsheets/d/14Bd19lYaqBhU8_DElYkX7l4wRkHqqCUFNJY4AfY3kHU/edit?usp=sharing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20" s="7" t="s">
        <v>10</v>
      </c>
      <c r="H14920" s="7">
        <v>19519</v>
      </c>
      <c r="I14920" s="8" t="str">
        <f ca="1">IFERROR(__xludf.DUMMYFUNCTION("IF
(
G14921=""фізична особа""
,
VLOOKUP(H14921,IMPORTRANGE(""https://docs.google.com/spreadsheets/d/14Bd19lYaqBhU8_DElYkX7l4wRkHqqCUFNJY4AfY3kHU/edit?usp=sharing  #gid=0"",""фіз особи new!relations_name""),6,FALSE)
,
(IF
(
G14921=""юридична особа""
,
VLOO"&amp;"KUP(H14921,IMPORTRANGE(""https://docs.google.com/spreadsheets/d/14Bd19lYaqBhU8_DElYkX7l4wRkHqqCUFNJY4AfY3kHU/edit?usp=sharing  #gid=0"",""фіз особи new!relations_name_uo""),7,FALSE)
,
)
))"),"ШАБАЛІНА Ірина Володимирівна")</f>
        <v>ШАБАЛІНА Ірина Володимирівна</v>
      </c>
      <c r="J14920" s="7" t="s">
        <v>23</v>
      </c>
    </row>
    <row r="14921" spans="1:10" ht="13.2">
      <c r="A14921" s="7">
        <v>14920</v>
      </c>
      <c r="B14921" s="7">
        <v>1</v>
      </c>
      <c r="C14921" s="7" t="s">
        <v>10</v>
      </c>
      <c r="D14921" s="7">
        <v>19524</v>
      </c>
      <c r="E14921" s="7" t="s">
        <v>23</v>
      </c>
      <c r="F14921" s="8" t="str">
        <f ca="1">IFERROR(__xludf.DUMMYFUNCTION("IF
(
C14922=""фізична особа""
,
VLOOKUP(D14922,IMPORTRANGE(""https://docs.google.com/spreadsheets/d/14Bd19lYaqBhU8_DElYkX7l4wRkHqqCUFNJY4AfY3kHU/edit?usp=sharing  #gid=0"",""фіз особи new!relations_name""),6,FALSE)
,
(IF
(
C14922=""юридична особа""
,
VLOO"&amp;"KUP(D14922,IMPORTRANGE(""https://docs.google.com/spreadsheets/d/14Bd19lYaqBhU8_DElYkX7l4wRkHqqCUFNJY4AfY3kHU/edit?usp=sharing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21" s="7" t="s">
        <v>10</v>
      </c>
      <c r="H14921" s="7">
        <v>19521</v>
      </c>
      <c r="I14921" s="8" t="str">
        <f ca="1">IFERROR(__xludf.DUMMYFUNCTION("IF
(
G14922=""фізична особа""
,
VLOOKUP(H14922,IMPORTRANGE(""https://docs.google.com/spreadsheets/d/14Bd19lYaqBhU8_DElYkX7l4wRkHqqCUFNJY4AfY3kHU/edit?usp=sharing  #gid=0"",""фіз особи new!relations_name""),6,FALSE)
,
(IF
(
G14922=""юридична особа""
,
VLOO"&amp;"KUP(H14922,IMPORTRANGE(""https://docs.google.com/spreadsheets/d/14Bd19lYaqBhU8_DElYkX7l4wRkHqqCUFNJY4AfY3kHU/edit?usp=sharing  #gid=0"",""фіз особи new!relations_name_uo""),7,FALSE)
,
)
))"),"САВІНА Валентина Михайлівна")</f>
        <v>САВІНА Валентина Михайлівна</v>
      </c>
      <c r="J14921" s="7" t="s">
        <v>23</v>
      </c>
    </row>
    <row r="14922" spans="1:10" ht="13.2">
      <c r="A14922" s="7">
        <v>14921</v>
      </c>
      <c r="B14922" s="7">
        <v>1</v>
      </c>
      <c r="C14922" s="7" t="s">
        <v>10</v>
      </c>
      <c r="D14922" s="7">
        <v>19524</v>
      </c>
      <c r="E14922" s="7" t="s">
        <v>23</v>
      </c>
      <c r="F14922" s="8" t="str">
        <f ca="1">IFERROR(__xludf.DUMMYFUNCTION("IF
(
C14923=""фізична особа""
,
VLOOKUP(D14923,IMPORTRANGE(""https://docs.google.com/spreadsheets/d/14Bd19lYaqBhU8_DElYkX7l4wRkHqqCUFNJY4AfY3kHU/edit?usp=sharing  #gid=0"",""фіз особи new!relations_name""),6,FALSE)
,
(IF
(
C14923=""юридична особа""
,
VLOO"&amp;"KUP(D14923,IMPORTRANGE(""https://docs.google.com/spreadsheets/d/14Bd19lYaqBhU8_DElYkX7l4wRkHqqCUFNJY4AfY3kHU/edit?usp=sharing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22" s="7" t="s">
        <v>10</v>
      </c>
      <c r="H14922" s="7">
        <v>19522</v>
      </c>
      <c r="I14922" s="8" t="str">
        <f ca="1">IFERROR(__xludf.DUMMYFUNCTION("IF
(
G14923=""фізична особа""
,
VLOOKUP(H14923,IMPORTRANGE(""https://docs.google.com/spreadsheets/d/14Bd19lYaqBhU8_DElYkX7l4wRkHqqCUFNJY4AfY3kHU/edit?usp=sharing  #gid=0"",""фіз особи new!relations_name""),6,FALSE)
,
(IF
(
G14923=""юридична особа""
,
VLOO"&amp;"KUP(H14923,IMPORTRANGE(""https://docs.google.com/spreadsheets/d/14Bd19lYaqBhU8_DElYkX7l4wRkHqqCUFNJY4AfY3kHU/edit?usp=sharing  #gid=0"",""фіз особи new!relations_name_uo""),7,FALSE)
,
)
))"),"ДМИТРІЄВА Ольга Вячеславівна")</f>
        <v>ДМИТРІЄВА Ольга Вячеславівна</v>
      </c>
      <c r="J14922" s="7" t="s">
        <v>23</v>
      </c>
    </row>
    <row r="14923" spans="1:10" ht="13.2">
      <c r="A14923" s="7">
        <v>14922</v>
      </c>
      <c r="B14923" s="7">
        <v>1</v>
      </c>
      <c r="C14923" s="7" t="s">
        <v>10</v>
      </c>
      <c r="D14923" s="7">
        <v>19524</v>
      </c>
      <c r="E14923" s="7" t="s">
        <v>23</v>
      </c>
      <c r="F14923" s="8" t="str">
        <f ca="1">IFERROR(__xludf.DUMMYFUNCTION("IF
(
C14924=""фізична особа""
,
VLOOKUP(D14924,IMPORTRANGE(""https://docs.google.com/spreadsheets/d/14Bd19lYaqBhU8_DElYkX7l4wRkHqqCUFNJY4AfY3kHU/edit?usp=sharing  #gid=0"",""фіз особи new!relations_name""),6,FALSE)
,
(IF
(
C14924=""юридична особа""
,
VLOO"&amp;"KUP(D14924,IMPORTRANGE(""https://docs.google.com/spreadsheets/d/14Bd19lYaqBhU8_DElYkX7l4wRkHqqCUFNJY4AfY3kHU/edit?usp=sharing  #gid=0"",""фіз особи new!relations_name_uo""),7,FALSE)
,
)
))"),"ТРУБІЦИН Андрій Михайлович")</f>
        <v>ТРУБІЦИН Андрій Михайлович</v>
      </c>
      <c r="G14923" s="7" t="s">
        <v>10</v>
      </c>
      <c r="H14923" s="7">
        <v>19523</v>
      </c>
      <c r="I14923" s="8" t="str">
        <f ca="1">IFERROR(__xludf.DUMMYFUNCTION("IF
(
G14924=""фізична особа""
,
VLOOKUP(H14924,IMPORTRANGE(""https://docs.google.com/spreadsheets/d/14Bd19lYaqBhU8_DElYkX7l4wRkHqqCUFNJY4AfY3kHU/edit?usp=sharing  #gid=0"",""фіз особи new!relations_name""),6,FALSE)
,
(IF
(
G14924=""юридична особа""
,
VLOO"&amp;"KUP(H14924,IMPORTRANGE(""https://docs.google.com/spreadsheets/d/14Bd19lYaqBhU8_DElYkX7l4wRkHqqCUFNJY4AfY3kHU/edit?usp=sharing  #gid=0"",""фіз особи new!relations_name_uo""),7,FALSE)
,
)
))"),"ЗАКІРОВ Руслан Олександрович")</f>
        <v>ЗАКІРОВ Руслан Олександрович</v>
      </c>
      <c r="J14923" s="7" t="s">
        <v>23</v>
      </c>
    </row>
    <row r="14924" spans="1:10" ht="13.2">
      <c r="A14924" s="7">
        <v>14923</v>
      </c>
      <c r="B14924" s="7">
        <v>1</v>
      </c>
      <c r="C14924" s="7" t="s">
        <v>10</v>
      </c>
      <c r="D14924" s="7">
        <v>19525</v>
      </c>
      <c r="E14924" s="7" t="s">
        <v>23</v>
      </c>
      <c r="F14924" s="8" t="str">
        <f ca="1">IFERROR(__xludf.DUMMYFUNCTION("IF
(
C14925=""фізична особа""
,
VLOOKUP(D14925,IMPORTRANGE(""https://docs.google.com/spreadsheets/d/14Bd19lYaqBhU8_DElYkX7l4wRkHqqCUFNJY4AfY3kHU/edit?usp=sharing  #gid=0"",""фіз особи new!relations_name""),6,FALSE)
,
(IF
(
C14925=""юридична особа""
,
VLOO"&amp;"KUP(D14925,IMPORTRANGE(""https://docs.google.com/spreadsheets/d/14Bd19lYaqBhU8_DElYkX7l4wRkHqqCUFNJY4AfY3kHU/edit?usp=sharing  #gid=0"",""фіз особи new!relations_name_uo""),7,FALSE)
,
)
))"),"ЗОРІН Ілля Сергійович")</f>
        <v>ЗОРІН Ілля Сергійович</v>
      </c>
      <c r="G14924" s="7" t="s">
        <v>10</v>
      </c>
      <c r="H14924" s="7">
        <v>19526</v>
      </c>
      <c r="I14924" s="8" t="str">
        <f ca="1">IFERROR(__xludf.DUMMYFUNCTION("IF
(
G14925=""фізична особа""
,
VLOOKUP(H14925,IMPORTRANGE(""https://docs.google.com/spreadsheets/d/14Bd19lYaqBhU8_DElYkX7l4wRkHqqCUFNJY4AfY3kHU/edit?usp=sharing  #gid=0"",""фіз особи new!relations_name""),6,FALSE)
,
(IF
(
G14925=""юридична особа""
,
VLOO"&amp;"KUP(H14925,IMPORTRANGE(""https://docs.google.com/spreadsheets/d/14Bd19lYaqBhU8_DElYkX7l4wRkHqqCUFNJY4AfY3kHU/edit?usp=sharing  #gid=0"",""фіз особи new!relations_name_uo""),7,FALSE)
,
)
))"),"АСЛАНОВА Ірина Євгенівна")</f>
        <v>АСЛАНОВА Ірина Євгенівна</v>
      </c>
      <c r="J14924" s="7" t="s">
        <v>23</v>
      </c>
    </row>
    <row r="14925" spans="1:10" ht="13.2">
      <c r="A14925" s="7">
        <v>14924</v>
      </c>
      <c r="B14925" s="7">
        <v>1</v>
      </c>
      <c r="C14925" s="7" t="s">
        <v>10</v>
      </c>
      <c r="D14925" s="7">
        <v>19526</v>
      </c>
      <c r="E14925" s="7" t="s">
        <v>23</v>
      </c>
      <c r="F14925" s="8" t="str">
        <f ca="1">IFERROR(__xludf.DUMMYFUNCTION("IF
(
C14926=""фізична особа""
,
VLOOKUP(D14926,IMPORTRANGE(""https://docs.google.com/spreadsheets/d/14Bd19lYaqBhU8_DElYkX7l4wRkHqqCUFNJY4AfY3kHU/edit?usp=sharing  #gid=0"",""фіз особи new!relations_name""),6,FALSE)
,
(IF
(
C14926=""юридична особа""
,
VLOO"&amp;"KUP(D14926,IMPORTRANGE(""https://docs.google.com/spreadsheets/d/14Bd19lYaqBhU8_DElYkX7l4wRkHqqCUFNJY4AfY3kHU/edit?usp=sharing  #gid=0"",""фіз особи new!relations_name_uo""),7,FALSE)
,
)
))"),"АСЛАНОВА Ірина Євгенівна")</f>
        <v>АСЛАНОВА Ірина Євгенівна</v>
      </c>
      <c r="G14925" s="7" t="s">
        <v>10</v>
      </c>
      <c r="H14925" s="7">
        <v>19525</v>
      </c>
      <c r="I14925" s="8" t="str">
        <f ca="1">IFERROR(__xludf.DUMMYFUNCTION("IF
(
G14926=""фізична особа""
,
VLOOKUP(H14926,IMPORTRANGE(""https://docs.google.com/spreadsheets/d/14Bd19lYaqBhU8_DElYkX7l4wRkHqqCUFNJY4AfY3kHU/edit?usp=sharing  #gid=0"",""фіз особи new!relations_name""),6,FALSE)
,
(IF
(
G14926=""юридична особа""
,
VLOO"&amp;"KUP(H14926,IMPORTRANGE(""https://docs.google.com/spreadsheets/d/14Bd19lYaqBhU8_DElYkX7l4wRkHqqCUFNJY4AfY3kHU/edit?usp=sharing  #gid=0"",""фіз особи new!relations_name_uo""),7,FALSE)
,
)
))"),"ЗОРІН Ілля Сергійович")</f>
        <v>ЗОРІН Ілля Сергійович</v>
      </c>
      <c r="J14925" s="7" t="s">
        <v>23</v>
      </c>
    </row>
    <row r="14926" spans="1:10" ht="13.2">
      <c r="A14926" s="7">
        <v>14925</v>
      </c>
      <c r="B14926" s="7">
        <v>1</v>
      </c>
      <c r="C14926" s="7" t="s">
        <v>10</v>
      </c>
      <c r="D14926" s="7">
        <v>19527</v>
      </c>
      <c r="E14926" s="7" t="s">
        <v>23</v>
      </c>
      <c r="F14926" s="8" t="str">
        <f ca="1">IFERROR(__xludf.DUMMYFUNCTION("IF
(
C14927=""фізична особа""
,
VLOOKUP(D14927,IMPORTRANGE(""https://docs.google.com/spreadsheets/d/14Bd19lYaqBhU8_DElYkX7l4wRkHqqCUFNJY4AfY3kHU/edit?usp=sharing  #gid=0"",""фіз особи new!relations_name""),6,FALSE)
,
(IF
(
C14927=""юридична особа""
,
VLOO"&amp;"KUP(D14927,IMPORTRANGE(""https://docs.google.com/spreadsheets/d/14Bd19lYaqBhU8_DElYkX7l4wRkHqqCUFNJY4AfY3kHU/edit?usp=sharing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26" s="7" t="s">
        <v>10</v>
      </c>
      <c r="H14926" s="7">
        <v>19528</v>
      </c>
      <c r="I14926" s="8" t="str">
        <f ca="1">IFERROR(__xludf.DUMMYFUNCTION("IF
(
G14927=""фізична особа""
,
VLOOKUP(H14927,IMPORTRANGE(""https://docs.google.com/spreadsheets/d/14Bd19lYaqBhU8_DElYkX7l4wRkHqqCUFNJY4AfY3kHU/edit?usp=sharing  #gid=0"",""фіз особи new!relations_name""),6,FALSE)
,
(IF
(
G14927=""юридична особа""
,
VLOO"&amp;"KUP(H14927,IMPORTRANGE(""https://docs.google.com/spreadsheets/d/14Bd19lYaqBhU8_DElYkX7l4wRkHqqCUFNJY4AfY3kHU/edit?usp=sharing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26" s="7" t="s">
        <v>23</v>
      </c>
    </row>
    <row r="14927" spans="1:10" ht="13.2">
      <c r="A14927" s="7">
        <v>14926</v>
      </c>
      <c r="B14927" s="7">
        <v>1</v>
      </c>
      <c r="C14927" s="7" t="s">
        <v>10</v>
      </c>
      <c r="D14927" s="7">
        <v>19527</v>
      </c>
      <c r="E14927" s="7" t="s">
        <v>23</v>
      </c>
      <c r="F14927" s="8" t="str">
        <f ca="1">IFERROR(__xludf.DUMMYFUNCTION("IF
(
C14928=""фізична особа""
,
VLOOKUP(D14928,IMPORTRANGE(""https://docs.google.com/spreadsheets/d/14Bd19lYaqBhU8_DElYkX7l4wRkHqqCUFNJY4AfY3kHU/edit?usp=sharing  #gid=0"",""фіз особи new!relations_name""),6,FALSE)
,
(IF
(
C14928=""юридична особа""
,
VLOO"&amp;"KUP(D14928,IMPORTRANGE(""https://docs.google.com/spreadsheets/d/14Bd19lYaqBhU8_DElYkX7l4wRkHqqCUFNJY4AfY3kHU/edit?usp=sharing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27" s="7" t="s">
        <v>10</v>
      </c>
      <c r="H14927" s="7">
        <v>19529</v>
      </c>
      <c r="I14927" s="8" t="str">
        <f ca="1">IFERROR(__xludf.DUMMYFUNCTION("IF
(
G14928=""фізична особа""
,
VLOOKUP(H14928,IMPORTRANGE(""https://docs.google.com/spreadsheets/d/14Bd19lYaqBhU8_DElYkX7l4wRkHqqCUFNJY4AfY3kHU/edit?usp=sharing  #gid=0"",""фіз особи new!relations_name""),6,FALSE)
,
(IF
(
G14928=""юридична особа""
,
VLOO"&amp;"KUP(H14928,IMPORTRANGE(""https://docs.google.com/spreadsheets/d/14Bd19lYaqBhU8_DElYkX7l4wRkHqqCUFNJY4AfY3kHU/edit?usp=sharing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4927" s="7" t="s">
        <v>23</v>
      </c>
    </row>
    <row r="14928" spans="1:10" ht="13.2">
      <c r="A14928" s="7">
        <v>14927</v>
      </c>
      <c r="B14928" s="7">
        <v>1</v>
      </c>
      <c r="C14928" s="7" t="s">
        <v>10</v>
      </c>
      <c r="D14928" s="7">
        <v>19527</v>
      </c>
      <c r="E14928" s="7" t="s">
        <v>23</v>
      </c>
      <c r="F14928" s="8" t="str">
        <f ca="1">IFERROR(__xludf.DUMMYFUNCTION("IF
(
C14929=""фізична особа""
,
VLOOKUP(D14929,IMPORTRANGE(""https://docs.google.com/spreadsheets/d/14Bd19lYaqBhU8_DElYkX7l4wRkHqqCUFNJY4AfY3kHU/edit?usp=sharing  #gid=0"",""фіз особи new!relations_name""),6,FALSE)
,
(IF
(
C14929=""юридична особа""
,
VLOO"&amp;"KUP(D14929,IMPORTRANGE(""https://docs.google.com/spreadsheets/d/14Bd19lYaqBhU8_DElYkX7l4wRkHqqCUFNJY4AfY3kHU/edit?usp=sharing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28" s="7" t="s">
        <v>10</v>
      </c>
      <c r="H14928" s="7">
        <v>19530</v>
      </c>
      <c r="I14928" s="8" t="str">
        <f ca="1">IFERROR(__xludf.DUMMYFUNCTION("IF
(
G14929=""фізична особа""
,
VLOOKUP(H14929,IMPORTRANGE(""https://docs.google.com/spreadsheets/d/14Bd19lYaqBhU8_DElYkX7l4wRkHqqCUFNJY4AfY3kHU/edit?usp=sharing  #gid=0"",""фіз особи new!relations_name""),6,FALSE)
,
(IF
(
G14929=""юридична особа""
,
VLOO"&amp;"KUP(H14929,IMPORTRANGE(""https://docs.google.com/spreadsheets/d/14Bd19lYaqBhU8_DElYkX7l4wRkHqqCUFNJY4AfY3kHU/edit?usp=sharing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4928" s="7" t="s">
        <v>23</v>
      </c>
    </row>
    <row r="14929" spans="1:10" ht="13.2">
      <c r="A14929" s="7">
        <v>14928</v>
      </c>
      <c r="B14929" s="7">
        <v>1</v>
      </c>
      <c r="C14929" s="7" t="s">
        <v>10</v>
      </c>
      <c r="D14929" s="7">
        <v>19527</v>
      </c>
      <c r="E14929" s="7" t="s">
        <v>23</v>
      </c>
      <c r="F14929" s="8" t="str">
        <f ca="1">IFERROR(__xludf.DUMMYFUNCTION("IF
(
C14930=""фізична особа""
,
VLOOKUP(D14930,IMPORTRANGE(""https://docs.google.com/spreadsheets/d/14Bd19lYaqBhU8_DElYkX7l4wRkHqqCUFNJY4AfY3kHU/edit?usp=sharing  #gid=0"",""фіз особи new!relations_name""),6,FALSE)
,
(IF
(
C14930=""юридична особа""
,
VLOO"&amp;"KUP(D14930,IMPORTRANGE(""https://docs.google.com/spreadsheets/d/14Bd19lYaqBhU8_DElYkX7l4wRkHqqCUFNJY4AfY3kHU/edit?usp=sharing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29" s="7" t="s">
        <v>10</v>
      </c>
      <c r="H14929" s="7">
        <v>19531</v>
      </c>
      <c r="I14929" s="8" t="str">
        <f ca="1">IFERROR(__xludf.DUMMYFUNCTION("IF
(
G14930=""фізична особа""
,
VLOOKUP(H14930,IMPORTRANGE(""https://docs.google.com/spreadsheets/d/14Bd19lYaqBhU8_DElYkX7l4wRkHqqCUFNJY4AfY3kHU/edit?usp=sharing  #gid=0"",""фіз особи new!relations_name""),6,FALSE)
,
(IF
(
G14930=""юридична особа""
,
VLOO"&amp;"KUP(H14930,IMPORTRANGE(""https://docs.google.com/spreadsheets/d/14Bd19lYaqBhU8_DElYkX7l4wRkHqqCUFNJY4AfY3kHU/edit?usp=sharing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4929" s="7" t="s">
        <v>23</v>
      </c>
    </row>
    <row r="14930" spans="1:10" ht="13.2">
      <c r="A14930" s="7">
        <v>14929</v>
      </c>
      <c r="B14930" s="7">
        <v>1</v>
      </c>
      <c r="C14930" s="7" t="s">
        <v>10</v>
      </c>
      <c r="D14930" s="7">
        <v>19527</v>
      </c>
      <c r="E14930" s="7" t="s">
        <v>23</v>
      </c>
      <c r="F14930" s="8" t="str">
        <f ca="1">IFERROR(__xludf.DUMMYFUNCTION("IF
(
C14931=""фізична особа""
,
VLOOKUP(D14931,IMPORTRANGE(""https://docs.google.com/spreadsheets/d/14Bd19lYaqBhU8_DElYkX7l4wRkHqqCUFNJY4AfY3kHU/edit?usp=sharing  #gid=0"",""фіз особи new!relations_name""),6,FALSE)
,
(IF
(
C14931=""юридична особа""
,
VLOO"&amp;"KUP(D14931,IMPORTRANGE(""https://docs.google.com/spreadsheets/d/14Bd19lYaqBhU8_DElYkX7l4wRkHqqCUFNJY4AfY3kHU/edit?usp=sharing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0" s="7" t="s">
        <v>10</v>
      </c>
      <c r="H14930" s="7">
        <v>19532</v>
      </c>
      <c r="I14930" s="8" t="str">
        <f ca="1">IFERROR(__xludf.DUMMYFUNCTION("IF
(
G14931=""фізична особа""
,
VLOOKUP(H14931,IMPORTRANGE(""https://docs.google.com/spreadsheets/d/14Bd19lYaqBhU8_DElYkX7l4wRkHqqCUFNJY4AfY3kHU/edit?usp=sharing  #gid=0"",""фіз особи new!relations_name""),6,FALSE)
,
(IF
(
G14931=""юридична особа""
,
VLOO"&amp;"KUP(H14931,IMPORTRANGE(""https://docs.google.com/spreadsheets/d/14Bd19lYaqBhU8_DElYkX7l4wRkHqqCUFNJY4AfY3kHU/edit?usp=sharing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4930" s="7" t="s">
        <v>23</v>
      </c>
    </row>
    <row r="14931" spans="1:10" ht="13.2">
      <c r="A14931" s="7">
        <v>14930</v>
      </c>
      <c r="B14931" s="7">
        <v>1</v>
      </c>
      <c r="C14931" s="7" t="s">
        <v>10</v>
      </c>
      <c r="D14931" s="7">
        <v>19527</v>
      </c>
      <c r="E14931" s="7" t="s">
        <v>23</v>
      </c>
      <c r="F14931" s="8" t="str">
        <f ca="1">IFERROR(__xludf.DUMMYFUNCTION("IF
(
C14932=""фізична особа""
,
VLOOKUP(D14932,IMPORTRANGE(""https://docs.google.com/spreadsheets/d/14Bd19lYaqBhU8_DElYkX7l4wRkHqqCUFNJY4AfY3kHU/edit?usp=sharing  #gid=0"",""фіз особи new!relations_name""),6,FALSE)
,
(IF
(
C14932=""юридична особа""
,
VLOO"&amp;"KUP(D14932,IMPORTRANGE(""https://docs.google.com/spreadsheets/d/14Bd19lYaqBhU8_DElYkX7l4wRkHqqCUFNJY4AfY3kHU/edit?usp=sharing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1" s="7" t="s">
        <v>10</v>
      </c>
      <c r="H14931" s="7">
        <v>19533</v>
      </c>
      <c r="I14931" s="8" t="str">
        <f ca="1">IFERROR(__xludf.DUMMYFUNCTION("IF
(
G14932=""фізична особа""
,
VLOOKUP(H14932,IMPORTRANGE(""https://docs.google.com/spreadsheets/d/14Bd19lYaqBhU8_DElYkX7l4wRkHqqCUFNJY4AfY3kHU/edit?usp=sharing  #gid=0"",""фіз особи new!relations_name""),6,FALSE)
,
(IF
(
G14932=""юридична особа""
,
VLOO"&amp;"KUP(H14932,IMPORTRANGE(""https://docs.google.com/spreadsheets/d/14Bd19lYaqBhU8_DElYkX7l4wRkHqqCUFNJY4AfY3kHU/edit?usp=sharing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31" s="7" t="s">
        <v>23</v>
      </c>
    </row>
    <row r="14932" spans="1:10" ht="13.2">
      <c r="A14932" s="7">
        <v>14931</v>
      </c>
      <c r="B14932" s="7">
        <v>1</v>
      </c>
      <c r="C14932" s="7" t="s">
        <v>10</v>
      </c>
      <c r="D14932" s="7">
        <v>19527</v>
      </c>
      <c r="E14932" s="7" t="s">
        <v>23</v>
      </c>
      <c r="F14932" s="8" t="str">
        <f ca="1">IFERROR(__xludf.DUMMYFUNCTION("IF
(
C14933=""фізична особа""
,
VLOOKUP(D14933,IMPORTRANGE(""https://docs.google.com/spreadsheets/d/14Bd19lYaqBhU8_DElYkX7l4wRkHqqCUFNJY4AfY3kHU/edit?usp=sharing  #gid=0"",""фіз особи new!relations_name""),6,FALSE)
,
(IF
(
C14933=""юридична особа""
,
VLOO"&amp;"KUP(D14933,IMPORTRANGE(""https://docs.google.com/spreadsheets/d/14Bd19lYaqBhU8_DElYkX7l4wRkHqqCUFNJY4AfY3kHU/edit?usp=sharing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2" s="7" t="s">
        <v>10</v>
      </c>
      <c r="H14932" s="7">
        <v>19534</v>
      </c>
      <c r="I14932" s="8" t="str">
        <f ca="1">IFERROR(__xludf.DUMMYFUNCTION("IF
(
G14933=""фізична особа""
,
VLOOKUP(H14933,IMPORTRANGE(""https://docs.google.com/spreadsheets/d/14Bd19lYaqBhU8_DElYkX7l4wRkHqqCUFNJY4AfY3kHU/edit?usp=sharing  #gid=0"",""фіз особи new!relations_name""),6,FALSE)
,
(IF
(
G14933=""юридична особа""
,
VLOO"&amp;"KUP(H14933,IMPORTRANGE(""https://docs.google.com/spreadsheets/d/14Bd19lYaqBhU8_DElYkX7l4wRkHqqCUFNJY4AfY3kHU/edit?usp=sharing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32" s="7" t="s">
        <v>23</v>
      </c>
    </row>
    <row r="14933" spans="1:10" ht="13.2">
      <c r="A14933" s="7">
        <v>14932</v>
      </c>
      <c r="B14933" s="7">
        <v>1</v>
      </c>
      <c r="C14933" s="7" t="s">
        <v>10</v>
      </c>
      <c r="D14933" s="7">
        <v>19527</v>
      </c>
      <c r="E14933" s="7" t="s">
        <v>23</v>
      </c>
      <c r="F14933" s="8" t="str">
        <f ca="1">IFERROR(__xludf.DUMMYFUNCTION("IF
(
C14934=""фізична особа""
,
VLOOKUP(D14934,IMPORTRANGE(""https://docs.google.com/spreadsheets/d/14Bd19lYaqBhU8_DElYkX7l4wRkHqqCUFNJY4AfY3kHU/edit?usp=sharing  #gid=0"",""фіз особи new!relations_name""),6,FALSE)
,
(IF
(
C14934=""юридична особа""
,
VLOO"&amp;"KUP(D14934,IMPORTRANGE(""https://docs.google.com/spreadsheets/d/14Bd19lYaqBhU8_DElYkX7l4wRkHqqCUFNJY4AfY3kHU/edit?usp=sharing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3" s="7" t="s">
        <v>10</v>
      </c>
      <c r="H14933" s="7">
        <v>19535</v>
      </c>
      <c r="I14933" s="8" t="str">
        <f ca="1">IFERROR(__xludf.DUMMYFUNCTION("IF
(
G14934=""фізична особа""
,
VLOOKUP(H14934,IMPORTRANGE(""https://docs.google.com/spreadsheets/d/14Bd19lYaqBhU8_DElYkX7l4wRkHqqCUFNJY4AfY3kHU/edit?usp=sharing  #gid=0"",""фіз особи new!relations_name""),6,FALSE)
,
(IF
(
G14934=""юридична особа""
,
VLOO"&amp;"KUP(H14934,IMPORTRANGE(""https://docs.google.com/spreadsheets/d/14Bd19lYaqBhU8_DElYkX7l4wRkHqqCUFNJY4AfY3kHU/edit?usp=sharing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33" s="7" t="s">
        <v>23</v>
      </c>
    </row>
    <row r="14934" spans="1:10" ht="13.2">
      <c r="A14934" s="7">
        <v>14933</v>
      </c>
      <c r="B14934" s="7">
        <v>1</v>
      </c>
      <c r="C14934" s="7" t="s">
        <v>10</v>
      </c>
      <c r="D14934" s="7">
        <v>19527</v>
      </c>
      <c r="E14934" s="7" t="s">
        <v>23</v>
      </c>
      <c r="F14934" s="8" t="str">
        <f ca="1">IFERROR(__xludf.DUMMYFUNCTION("IF
(
C14935=""фізична особа""
,
VLOOKUP(D14935,IMPORTRANGE(""https://docs.google.com/spreadsheets/d/14Bd19lYaqBhU8_DElYkX7l4wRkHqqCUFNJY4AfY3kHU/edit?usp=sharing  #gid=0"",""фіз особи new!relations_name""),6,FALSE)
,
(IF
(
C14935=""юридична особа""
,
VLOO"&amp;"KUP(D14935,IMPORTRANGE(""https://docs.google.com/spreadsheets/d/14Bd19lYaqBhU8_DElYkX7l4wRkHqqCUFNJY4AfY3kHU/edit?usp=sharing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4" s="7" t="s">
        <v>10</v>
      </c>
      <c r="H14934" s="7">
        <v>19536</v>
      </c>
      <c r="I14934" s="8" t="str">
        <f ca="1">IFERROR(__xludf.DUMMYFUNCTION("IF
(
G14935=""фізична особа""
,
VLOOKUP(H14935,IMPORTRANGE(""https://docs.google.com/spreadsheets/d/14Bd19lYaqBhU8_DElYkX7l4wRkHqqCUFNJY4AfY3kHU/edit?usp=sharing  #gid=0"",""фіз особи new!relations_name""),6,FALSE)
,
(IF
(
G14935=""юридична особа""
,
VLOO"&amp;"KUP(H14935,IMPORTRANGE(""https://docs.google.com/spreadsheets/d/14Bd19lYaqBhU8_DElYkX7l4wRkHqqCUFNJY4AfY3kHU/edit?usp=sharing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34" s="7" t="s">
        <v>23</v>
      </c>
    </row>
    <row r="14935" spans="1:10" ht="13.2">
      <c r="A14935" s="7">
        <v>14934</v>
      </c>
      <c r="B14935" s="7">
        <v>1</v>
      </c>
      <c r="C14935" s="7" t="s">
        <v>10</v>
      </c>
      <c r="D14935" s="7">
        <v>19527</v>
      </c>
      <c r="E14935" s="7" t="s">
        <v>23</v>
      </c>
      <c r="F14935" s="8" t="str">
        <f ca="1">IFERROR(__xludf.DUMMYFUNCTION("IF
(
C14936=""фізична особа""
,
VLOOKUP(D14936,IMPORTRANGE(""https://docs.google.com/spreadsheets/d/14Bd19lYaqBhU8_DElYkX7l4wRkHqqCUFNJY4AfY3kHU/edit?usp=sharing  #gid=0"",""фіз особи new!relations_name""),6,FALSE)
,
(IF
(
C14936=""юридична особа""
,
VLOO"&amp;"KUP(D14936,IMPORTRANGE(""https://docs.google.com/spreadsheets/d/14Bd19lYaqBhU8_DElYkX7l4wRkHqqCUFNJY4AfY3kHU/edit?usp=sharing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5" s="7" t="s">
        <v>10</v>
      </c>
      <c r="H14935" s="7">
        <v>19537</v>
      </c>
      <c r="I14935" s="8" t="str">
        <f ca="1">IFERROR(__xludf.DUMMYFUNCTION("IF
(
G14936=""фізична особа""
,
VLOOKUP(H14936,IMPORTRANGE(""https://docs.google.com/spreadsheets/d/14Bd19lYaqBhU8_DElYkX7l4wRkHqqCUFNJY4AfY3kHU/edit?usp=sharing  #gid=0"",""фіз особи new!relations_name""),6,FALSE)
,
(IF
(
G14936=""юридична особа""
,
VLOO"&amp;"KUP(H14936,IMPORTRANGE(""https://docs.google.com/spreadsheets/d/14Bd19lYaqBhU8_DElYkX7l4wRkHqqCUFNJY4AfY3kHU/edit?usp=sharing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35" s="7" t="s">
        <v>23</v>
      </c>
    </row>
    <row r="14936" spans="1:10" ht="13.2">
      <c r="A14936" s="7">
        <v>14935</v>
      </c>
      <c r="B14936" s="7">
        <v>1</v>
      </c>
      <c r="C14936" s="7" t="s">
        <v>10</v>
      </c>
      <c r="D14936" s="7">
        <v>19527</v>
      </c>
      <c r="E14936" s="7" t="s">
        <v>23</v>
      </c>
      <c r="F14936" s="8" t="str">
        <f ca="1">IFERROR(__xludf.DUMMYFUNCTION("IF
(
C14937=""фізична особа""
,
VLOOKUP(D14937,IMPORTRANGE(""https://docs.google.com/spreadsheets/d/14Bd19lYaqBhU8_DElYkX7l4wRkHqqCUFNJY4AfY3kHU/edit?usp=sharing  #gid=0"",""фіз особи new!relations_name""),6,FALSE)
,
(IF
(
C14937=""юридична особа""
,
VLOO"&amp;"KUP(D14937,IMPORTRANGE(""https://docs.google.com/spreadsheets/d/14Bd19lYaqBhU8_DElYkX7l4wRkHqqCUFNJY4AfY3kHU/edit?usp=sharing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6" s="7" t="s">
        <v>10</v>
      </c>
      <c r="H14936" s="7">
        <v>19538</v>
      </c>
      <c r="I14936" s="8" t="str">
        <f ca="1">IFERROR(__xludf.DUMMYFUNCTION("IF
(
G14937=""фізична особа""
,
VLOOKUP(H14937,IMPORTRANGE(""https://docs.google.com/spreadsheets/d/14Bd19lYaqBhU8_DElYkX7l4wRkHqqCUFNJY4AfY3kHU/edit?usp=sharing  #gid=0"",""фіз особи new!relations_name""),6,FALSE)
,
(IF
(
G14937=""юридична особа""
,
VLOO"&amp;"KUP(H14937,IMPORTRANGE(""https://docs.google.com/spreadsheets/d/14Bd19lYaqBhU8_DElYkX7l4wRkHqqCUFNJY4AfY3kHU/edit?usp=sharing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36" s="7" t="s">
        <v>23</v>
      </c>
    </row>
    <row r="14937" spans="1:10" ht="13.2">
      <c r="A14937" s="7">
        <v>14936</v>
      </c>
      <c r="B14937" s="7">
        <v>1</v>
      </c>
      <c r="C14937" s="7" t="s">
        <v>10</v>
      </c>
      <c r="D14937" s="7">
        <v>19527</v>
      </c>
      <c r="E14937" s="7" t="s">
        <v>23</v>
      </c>
      <c r="F14937" s="8" t="str">
        <f ca="1">IFERROR(__xludf.DUMMYFUNCTION("IF
(
C14938=""фізична особа""
,
VLOOKUP(D14938,IMPORTRANGE(""https://docs.google.com/spreadsheets/d/14Bd19lYaqBhU8_DElYkX7l4wRkHqqCUFNJY4AfY3kHU/edit?usp=sharing  #gid=0"",""фіз особи new!relations_name""),6,FALSE)
,
(IF
(
C14938=""юридична особа""
,
VLOO"&amp;"KUP(D14938,IMPORTRANGE(""https://docs.google.com/spreadsheets/d/14Bd19lYaqBhU8_DElYkX7l4wRkHqqCUFNJY4AfY3kHU/edit?usp=sharing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G14937" s="7" t="s">
        <v>10</v>
      </c>
      <c r="H14937" s="7">
        <v>19539</v>
      </c>
      <c r="I14937" s="8" t="str">
        <f ca="1">IFERROR(__xludf.DUMMYFUNCTION("IF
(
G14938=""фізична особа""
,
VLOOKUP(H14938,IMPORTRANGE(""https://docs.google.com/spreadsheets/d/14Bd19lYaqBhU8_DElYkX7l4wRkHqqCUFNJY4AfY3kHU/edit?usp=sharing  #gid=0"",""фіз особи new!relations_name""),6,FALSE)
,
(IF
(
G14938=""юридична особа""
,
VLOO"&amp;"KUP(H14938,IMPORTRANGE(""https://docs.google.com/spreadsheets/d/14Bd19lYaqBhU8_DElYkX7l4wRkHqqCUFNJY4AfY3kHU/edit?usp=sharing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37" s="7" t="s">
        <v>23</v>
      </c>
    </row>
    <row r="14938" spans="1:10" ht="13.2">
      <c r="A14938" s="7">
        <v>14937</v>
      </c>
      <c r="B14938" s="7">
        <v>1</v>
      </c>
      <c r="C14938" s="7" t="s">
        <v>10</v>
      </c>
      <c r="D14938" s="7">
        <v>19528</v>
      </c>
      <c r="E14938" s="7" t="s">
        <v>23</v>
      </c>
      <c r="F14938" s="8" t="str">
        <f ca="1">IFERROR(__xludf.DUMMYFUNCTION("IF
(
C14939=""фізична особа""
,
VLOOKUP(D14939,IMPORTRANGE(""https://docs.google.com/spreadsheets/d/14Bd19lYaqBhU8_DElYkX7l4wRkHqqCUFNJY4AfY3kHU/edit?usp=sharing  #gid=0"",""фіз особи new!relations_name""),6,FALSE)
,
(IF
(
C14939=""юридична особа""
,
VLOO"&amp;"KUP(D14939,IMPORTRANGE(""https://docs.google.com/spreadsheets/d/14Bd19lYaqBhU8_DElYkX7l4wRkHqqCUFNJY4AfY3kHU/edit?usp=sharing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38" s="7" t="s">
        <v>10</v>
      </c>
      <c r="H14938" s="7">
        <v>19527</v>
      </c>
      <c r="I14938" s="8" t="str">
        <f ca="1">IFERROR(__xludf.DUMMYFUNCTION("IF
(
G14939=""фізична особа""
,
VLOOKUP(H14939,IMPORTRANGE(""https://docs.google.com/spreadsheets/d/14Bd19lYaqBhU8_DElYkX7l4wRkHqqCUFNJY4AfY3kHU/edit?usp=sharing  #gid=0"",""фіз особи new!relations_name""),6,FALSE)
,
(IF
(
G14939=""юридична особа""
,
VLOO"&amp;"KUP(H14939,IMPORTRANGE(""https://docs.google.com/spreadsheets/d/14Bd19lYaqBhU8_DElYkX7l4wRkHqqCUFNJY4AfY3kHU/edit?usp=sharing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38" s="7" t="s">
        <v>23</v>
      </c>
    </row>
    <row r="14939" spans="1:10" ht="13.2">
      <c r="A14939" s="7">
        <v>14938</v>
      </c>
      <c r="B14939" s="7">
        <v>1</v>
      </c>
      <c r="C14939" s="7" t="s">
        <v>10</v>
      </c>
      <c r="D14939" s="7">
        <v>19528</v>
      </c>
      <c r="E14939" s="7" t="s">
        <v>23</v>
      </c>
      <c r="F14939" s="8" t="str">
        <f ca="1">IFERROR(__xludf.DUMMYFUNCTION("IF
(
C14940=""фізична особа""
,
VLOOKUP(D14940,IMPORTRANGE(""https://docs.google.com/spreadsheets/d/14Bd19lYaqBhU8_DElYkX7l4wRkHqqCUFNJY4AfY3kHU/edit?usp=sharing  #gid=0"",""фіз особи new!relations_name""),6,FALSE)
,
(IF
(
C14940=""юридична особа""
,
VLOO"&amp;"KUP(D14940,IMPORTRANGE(""https://docs.google.com/spreadsheets/d/14Bd19lYaqBhU8_DElYkX7l4wRkHqqCUFNJY4AfY3kHU/edit?usp=sharing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39" s="7" t="s">
        <v>10</v>
      </c>
      <c r="H14939" s="7">
        <v>19529</v>
      </c>
      <c r="I14939" s="8" t="str">
        <f ca="1">IFERROR(__xludf.DUMMYFUNCTION("IF
(
G14940=""фізична особа""
,
VLOOKUP(H14940,IMPORTRANGE(""https://docs.google.com/spreadsheets/d/14Bd19lYaqBhU8_DElYkX7l4wRkHqqCUFNJY4AfY3kHU/edit?usp=sharing  #gid=0"",""фіз особи new!relations_name""),6,FALSE)
,
(IF
(
G14940=""юридична особа""
,
VLOO"&amp;"KUP(H14940,IMPORTRANGE(""https://docs.google.com/spreadsheets/d/14Bd19lYaqBhU8_DElYkX7l4wRkHqqCUFNJY4AfY3kHU/edit?usp=sharing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4939" s="7" t="s">
        <v>23</v>
      </c>
    </row>
    <row r="14940" spans="1:10" ht="13.2">
      <c r="A14940" s="7">
        <v>14939</v>
      </c>
      <c r="B14940" s="7">
        <v>1</v>
      </c>
      <c r="C14940" s="7" t="s">
        <v>10</v>
      </c>
      <c r="D14940" s="7">
        <v>19528</v>
      </c>
      <c r="E14940" s="7" t="s">
        <v>23</v>
      </c>
      <c r="F14940" s="8" t="str">
        <f ca="1">IFERROR(__xludf.DUMMYFUNCTION("IF
(
C14941=""фізична особа""
,
VLOOKUP(D14941,IMPORTRANGE(""https://docs.google.com/spreadsheets/d/14Bd19lYaqBhU8_DElYkX7l4wRkHqqCUFNJY4AfY3kHU/edit?usp=sharing  #gid=0"",""фіз особи new!relations_name""),6,FALSE)
,
(IF
(
C14941=""юридична особа""
,
VLOO"&amp;"KUP(D14941,IMPORTRANGE(""https://docs.google.com/spreadsheets/d/14Bd19lYaqBhU8_DElYkX7l4wRkHqqCUFNJY4AfY3kHU/edit?usp=sharing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0" s="7" t="s">
        <v>10</v>
      </c>
      <c r="H14940" s="7">
        <v>19530</v>
      </c>
      <c r="I14940" s="8" t="str">
        <f ca="1">IFERROR(__xludf.DUMMYFUNCTION("IF
(
G14941=""фізична особа""
,
VLOOKUP(H14941,IMPORTRANGE(""https://docs.google.com/spreadsheets/d/14Bd19lYaqBhU8_DElYkX7l4wRkHqqCUFNJY4AfY3kHU/edit?usp=sharing  #gid=0"",""фіз особи new!relations_name""),6,FALSE)
,
(IF
(
G14941=""юридична особа""
,
VLOO"&amp;"KUP(H14941,IMPORTRANGE(""https://docs.google.com/spreadsheets/d/14Bd19lYaqBhU8_DElYkX7l4wRkHqqCUFNJY4AfY3kHU/edit?usp=sharing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4940" s="7" t="s">
        <v>23</v>
      </c>
    </row>
    <row r="14941" spans="1:10" ht="13.2">
      <c r="A14941" s="7">
        <v>14940</v>
      </c>
      <c r="B14941" s="7">
        <v>1</v>
      </c>
      <c r="C14941" s="7" t="s">
        <v>10</v>
      </c>
      <c r="D14941" s="7">
        <v>19528</v>
      </c>
      <c r="E14941" s="7" t="s">
        <v>23</v>
      </c>
      <c r="F14941" s="8" t="str">
        <f ca="1">IFERROR(__xludf.DUMMYFUNCTION("IF
(
C14942=""фізична особа""
,
VLOOKUP(D14942,IMPORTRANGE(""https://docs.google.com/spreadsheets/d/14Bd19lYaqBhU8_DElYkX7l4wRkHqqCUFNJY4AfY3kHU/edit?usp=sharing  #gid=0"",""фіз особи new!relations_name""),6,FALSE)
,
(IF
(
C14942=""юридична особа""
,
VLOO"&amp;"KUP(D14942,IMPORTRANGE(""https://docs.google.com/spreadsheets/d/14Bd19lYaqBhU8_DElYkX7l4wRkHqqCUFNJY4AfY3kHU/edit?usp=sharing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1" s="7" t="s">
        <v>10</v>
      </c>
      <c r="H14941" s="7">
        <v>19531</v>
      </c>
      <c r="I14941" s="8" t="str">
        <f ca="1">IFERROR(__xludf.DUMMYFUNCTION("IF
(
G14942=""фізична особа""
,
VLOOKUP(H14942,IMPORTRANGE(""https://docs.google.com/spreadsheets/d/14Bd19lYaqBhU8_DElYkX7l4wRkHqqCUFNJY4AfY3kHU/edit?usp=sharing  #gid=0"",""фіз особи new!relations_name""),6,FALSE)
,
(IF
(
G14942=""юридична особа""
,
VLOO"&amp;"KUP(H14942,IMPORTRANGE(""https://docs.google.com/spreadsheets/d/14Bd19lYaqBhU8_DElYkX7l4wRkHqqCUFNJY4AfY3kHU/edit?usp=sharing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4941" s="7" t="s">
        <v>23</v>
      </c>
    </row>
    <row r="14942" spans="1:10" ht="13.2">
      <c r="A14942" s="7">
        <v>14941</v>
      </c>
      <c r="B14942" s="7">
        <v>1</v>
      </c>
      <c r="C14942" s="7" t="s">
        <v>10</v>
      </c>
      <c r="D14942" s="7">
        <v>19528</v>
      </c>
      <c r="E14942" s="7" t="s">
        <v>23</v>
      </c>
      <c r="F14942" s="8" t="str">
        <f ca="1">IFERROR(__xludf.DUMMYFUNCTION("IF
(
C14943=""фізична особа""
,
VLOOKUP(D14943,IMPORTRANGE(""https://docs.google.com/spreadsheets/d/14Bd19lYaqBhU8_DElYkX7l4wRkHqqCUFNJY4AfY3kHU/edit?usp=sharing  #gid=0"",""фіз особи new!relations_name""),6,FALSE)
,
(IF
(
C14943=""юридична особа""
,
VLOO"&amp;"KUP(D14943,IMPORTRANGE(""https://docs.google.com/spreadsheets/d/14Bd19lYaqBhU8_DElYkX7l4wRkHqqCUFNJY4AfY3kHU/edit?usp=sharing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2" s="7" t="s">
        <v>10</v>
      </c>
      <c r="H14942" s="7">
        <v>19532</v>
      </c>
      <c r="I14942" s="8" t="str">
        <f ca="1">IFERROR(__xludf.DUMMYFUNCTION("IF
(
G14943=""фізична особа""
,
VLOOKUP(H14943,IMPORTRANGE(""https://docs.google.com/spreadsheets/d/14Bd19lYaqBhU8_DElYkX7l4wRkHqqCUFNJY4AfY3kHU/edit?usp=sharing  #gid=0"",""фіз особи new!relations_name""),6,FALSE)
,
(IF
(
G14943=""юридична особа""
,
VLOO"&amp;"KUP(H14943,IMPORTRANGE(""https://docs.google.com/spreadsheets/d/14Bd19lYaqBhU8_DElYkX7l4wRkHqqCUFNJY4AfY3kHU/edit?usp=sharing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4942" s="7" t="s">
        <v>23</v>
      </c>
    </row>
    <row r="14943" spans="1:10" ht="13.2">
      <c r="A14943" s="7">
        <v>14942</v>
      </c>
      <c r="B14943" s="7">
        <v>1</v>
      </c>
      <c r="C14943" s="7" t="s">
        <v>10</v>
      </c>
      <c r="D14943" s="7">
        <v>19528</v>
      </c>
      <c r="E14943" s="7" t="s">
        <v>23</v>
      </c>
      <c r="F14943" s="8" t="str">
        <f ca="1">IFERROR(__xludf.DUMMYFUNCTION("IF
(
C14944=""фізична особа""
,
VLOOKUP(D14944,IMPORTRANGE(""https://docs.google.com/spreadsheets/d/14Bd19lYaqBhU8_DElYkX7l4wRkHqqCUFNJY4AfY3kHU/edit?usp=sharing  #gid=0"",""фіз особи new!relations_name""),6,FALSE)
,
(IF
(
C14944=""юридична особа""
,
VLOO"&amp;"KUP(D14944,IMPORTRANGE(""https://docs.google.com/spreadsheets/d/14Bd19lYaqBhU8_DElYkX7l4wRkHqqCUFNJY4AfY3kHU/edit?usp=sharing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3" s="7" t="s">
        <v>10</v>
      </c>
      <c r="H14943" s="7">
        <v>19533</v>
      </c>
      <c r="I14943" s="8" t="str">
        <f ca="1">IFERROR(__xludf.DUMMYFUNCTION("IF
(
G14944=""фізична особа""
,
VLOOKUP(H14944,IMPORTRANGE(""https://docs.google.com/spreadsheets/d/14Bd19lYaqBhU8_DElYkX7l4wRkHqqCUFNJY4AfY3kHU/edit?usp=sharing  #gid=0"",""фіз особи new!relations_name""),6,FALSE)
,
(IF
(
G14944=""юридична особа""
,
VLOO"&amp;"KUP(H14944,IMPORTRANGE(""https://docs.google.com/spreadsheets/d/14Bd19lYaqBhU8_DElYkX7l4wRkHqqCUFNJY4AfY3kHU/edit?usp=sharing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43" s="7" t="s">
        <v>23</v>
      </c>
    </row>
    <row r="14944" spans="1:10" ht="13.2">
      <c r="A14944" s="7">
        <v>14943</v>
      </c>
      <c r="B14944" s="7">
        <v>1</v>
      </c>
      <c r="C14944" s="7" t="s">
        <v>10</v>
      </c>
      <c r="D14944" s="7">
        <v>19528</v>
      </c>
      <c r="E14944" s="7" t="s">
        <v>23</v>
      </c>
      <c r="F14944" s="8" t="str">
        <f ca="1">IFERROR(__xludf.DUMMYFUNCTION("IF
(
C14945=""фізична особа""
,
VLOOKUP(D14945,IMPORTRANGE(""https://docs.google.com/spreadsheets/d/14Bd19lYaqBhU8_DElYkX7l4wRkHqqCUFNJY4AfY3kHU/edit?usp=sharing  #gid=0"",""фіз особи new!relations_name""),6,FALSE)
,
(IF
(
C14945=""юридична особа""
,
VLOO"&amp;"KUP(D14945,IMPORTRANGE(""https://docs.google.com/spreadsheets/d/14Bd19lYaqBhU8_DElYkX7l4wRkHqqCUFNJY4AfY3kHU/edit?usp=sharing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4" s="7" t="s">
        <v>10</v>
      </c>
      <c r="H14944" s="7">
        <v>19534</v>
      </c>
      <c r="I14944" s="8" t="str">
        <f ca="1">IFERROR(__xludf.DUMMYFUNCTION("IF
(
G14945=""фізична особа""
,
VLOOKUP(H14945,IMPORTRANGE(""https://docs.google.com/spreadsheets/d/14Bd19lYaqBhU8_DElYkX7l4wRkHqqCUFNJY4AfY3kHU/edit?usp=sharing  #gid=0"",""фіз особи new!relations_name""),6,FALSE)
,
(IF
(
G14945=""юридична особа""
,
VLOO"&amp;"KUP(H14945,IMPORTRANGE(""https://docs.google.com/spreadsheets/d/14Bd19lYaqBhU8_DElYkX7l4wRkHqqCUFNJY4AfY3kHU/edit?usp=sharing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44" s="7" t="s">
        <v>23</v>
      </c>
    </row>
    <row r="14945" spans="1:10" ht="13.2">
      <c r="A14945" s="7">
        <v>14944</v>
      </c>
      <c r="B14945" s="7">
        <v>1</v>
      </c>
      <c r="C14945" s="7" t="s">
        <v>10</v>
      </c>
      <c r="D14945" s="7">
        <v>19528</v>
      </c>
      <c r="E14945" s="7" t="s">
        <v>23</v>
      </c>
      <c r="F14945" s="8" t="str">
        <f ca="1">IFERROR(__xludf.DUMMYFUNCTION("IF
(
C14946=""фізична особа""
,
VLOOKUP(D14946,IMPORTRANGE(""https://docs.google.com/spreadsheets/d/14Bd19lYaqBhU8_DElYkX7l4wRkHqqCUFNJY4AfY3kHU/edit?usp=sharing  #gid=0"",""фіз особи new!relations_name""),6,FALSE)
,
(IF
(
C14946=""юридична особа""
,
VLOO"&amp;"KUP(D14946,IMPORTRANGE(""https://docs.google.com/spreadsheets/d/14Bd19lYaqBhU8_DElYkX7l4wRkHqqCUFNJY4AfY3kHU/edit?usp=sharing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5" s="7" t="s">
        <v>10</v>
      </c>
      <c r="H14945" s="7">
        <v>19535</v>
      </c>
      <c r="I14945" s="8" t="str">
        <f ca="1">IFERROR(__xludf.DUMMYFUNCTION("IF
(
G14946=""фізична особа""
,
VLOOKUP(H14946,IMPORTRANGE(""https://docs.google.com/spreadsheets/d/14Bd19lYaqBhU8_DElYkX7l4wRkHqqCUFNJY4AfY3kHU/edit?usp=sharing  #gid=0"",""фіз особи new!relations_name""),6,FALSE)
,
(IF
(
G14946=""юридична особа""
,
VLOO"&amp;"KUP(H14946,IMPORTRANGE(""https://docs.google.com/spreadsheets/d/14Bd19lYaqBhU8_DElYkX7l4wRkHqqCUFNJY4AfY3kHU/edit?usp=sharing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45" s="7" t="s">
        <v>23</v>
      </c>
    </row>
    <row r="14946" spans="1:10" ht="13.2">
      <c r="A14946" s="7">
        <v>14945</v>
      </c>
      <c r="B14946" s="7">
        <v>1</v>
      </c>
      <c r="C14946" s="7" t="s">
        <v>10</v>
      </c>
      <c r="D14946" s="7">
        <v>19528</v>
      </c>
      <c r="E14946" s="7" t="s">
        <v>23</v>
      </c>
      <c r="F14946" s="8" t="str">
        <f ca="1">IFERROR(__xludf.DUMMYFUNCTION("IF
(
C14947=""фізична особа""
,
VLOOKUP(D14947,IMPORTRANGE(""https://docs.google.com/spreadsheets/d/14Bd19lYaqBhU8_DElYkX7l4wRkHqqCUFNJY4AfY3kHU/edit?usp=sharing  #gid=0"",""фіз особи new!relations_name""),6,FALSE)
,
(IF
(
C14947=""юридична особа""
,
VLOO"&amp;"KUP(D14947,IMPORTRANGE(""https://docs.google.com/spreadsheets/d/14Bd19lYaqBhU8_DElYkX7l4wRkHqqCUFNJY4AfY3kHU/edit?usp=sharing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6" s="7" t="s">
        <v>10</v>
      </c>
      <c r="H14946" s="7">
        <v>19536</v>
      </c>
      <c r="I14946" s="8" t="str">
        <f ca="1">IFERROR(__xludf.DUMMYFUNCTION("IF
(
G14947=""фізична особа""
,
VLOOKUP(H14947,IMPORTRANGE(""https://docs.google.com/spreadsheets/d/14Bd19lYaqBhU8_DElYkX7l4wRkHqqCUFNJY4AfY3kHU/edit?usp=sharing  #gid=0"",""фіз особи new!relations_name""),6,FALSE)
,
(IF
(
G14947=""юридична особа""
,
VLOO"&amp;"KUP(H14947,IMPORTRANGE(""https://docs.google.com/spreadsheets/d/14Bd19lYaqBhU8_DElYkX7l4wRkHqqCUFNJY4AfY3kHU/edit?usp=sharing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46" s="7" t="s">
        <v>23</v>
      </c>
    </row>
    <row r="14947" spans="1:10" ht="13.2">
      <c r="A14947" s="7">
        <v>14946</v>
      </c>
      <c r="B14947" s="7">
        <v>1</v>
      </c>
      <c r="C14947" s="7" t="s">
        <v>10</v>
      </c>
      <c r="D14947" s="7">
        <v>19528</v>
      </c>
      <c r="E14947" s="7" t="s">
        <v>23</v>
      </c>
      <c r="F14947" s="8" t="str">
        <f ca="1">IFERROR(__xludf.DUMMYFUNCTION("IF
(
C14948=""фізична особа""
,
VLOOKUP(D14948,IMPORTRANGE(""https://docs.google.com/spreadsheets/d/14Bd19lYaqBhU8_DElYkX7l4wRkHqqCUFNJY4AfY3kHU/edit?usp=sharing  #gid=0"",""фіз особи new!relations_name""),6,FALSE)
,
(IF
(
C14948=""юридична особа""
,
VLOO"&amp;"KUP(D14948,IMPORTRANGE(""https://docs.google.com/spreadsheets/d/14Bd19lYaqBhU8_DElYkX7l4wRkHqqCUFNJY4AfY3kHU/edit?usp=sharing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7" s="7" t="s">
        <v>10</v>
      </c>
      <c r="H14947" s="7">
        <v>19537</v>
      </c>
      <c r="I14947" s="8" t="str">
        <f ca="1">IFERROR(__xludf.DUMMYFUNCTION("IF
(
G14948=""фізична особа""
,
VLOOKUP(H14948,IMPORTRANGE(""https://docs.google.com/spreadsheets/d/14Bd19lYaqBhU8_DElYkX7l4wRkHqqCUFNJY4AfY3kHU/edit?usp=sharing  #gid=0"",""фіз особи new!relations_name""),6,FALSE)
,
(IF
(
G14948=""юридична особа""
,
VLOO"&amp;"KUP(H14948,IMPORTRANGE(""https://docs.google.com/spreadsheets/d/14Bd19lYaqBhU8_DElYkX7l4wRkHqqCUFNJY4AfY3kHU/edit?usp=sharing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47" s="7" t="s">
        <v>23</v>
      </c>
    </row>
    <row r="14948" spans="1:10" ht="13.2">
      <c r="A14948" s="7">
        <v>14947</v>
      </c>
      <c r="B14948" s="7">
        <v>1</v>
      </c>
      <c r="C14948" s="7" t="s">
        <v>10</v>
      </c>
      <c r="D14948" s="7">
        <v>19528</v>
      </c>
      <c r="E14948" s="7" t="s">
        <v>23</v>
      </c>
      <c r="F14948" s="8" t="str">
        <f ca="1">IFERROR(__xludf.DUMMYFUNCTION("IF
(
C14949=""фізична особа""
,
VLOOKUP(D14949,IMPORTRANGE(""https://docs.google.com/spreadsheets/d/14Bd19lYaqBhU8_DElYkX7l4wRkHqqCUFNJY4AfY3kHU/edit?usp=sharing  #gid=0"",""фіз особи new!relations_name""),6,FALSE)
,
(IF
(
C14949=""юридична особа""
,
VLOO"&amp;"KUP(D14949,IMPORTRANGE(""https://docs.google.com/spreadsheets/d/14Bd19lYaqBhU8_DElYkX7l4wRkHqqCUFNJY4AfY3kHU/edit?usp=sharing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8" s="7" t="s">
        <v>10</v>
      </c>
      <c r="H14948" s="7">
        <v>19538</v>
      </c>
      <c r="I14948" s="8" t="str">
        <f ca="1">IFERROR(__xludf.DUMMYFUNCTION("IF
(
G14949=""фізична особа""
,
VLOOKUP(H14949,IMPORTRANGE(""https://docs.google.com/spreadsheets/d/14Bd19lYaqBhU8_DElYkX7l4wRkHqqCUFNJY4AfY3kHU/edit?usp=sharing  #gid=0"",""фіз особи new!relations_name""),6,FALSE)
,
(IF
(
G14949=""юридична особа""
,
VLOO"&amp;"KUP(H14949,IMPORTRANGE(""https://docs.google.com/spreadsheets/d/14Bd19lYaqBhU8_DElYkX7l4wRkHqqCUFNJY4AfY3kHU/edit?usp=sharing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48" s="7" t="s">
        <v>23</v>
      </c>
    </row>
    <row r="14949" spans="1:10" ht="13.2">
      <c r="A14949" s="7">
        <v>14948</v>
      </c>
      <c r="B14949" s="7">
        <v>1</v>
      </c>
      <c r="C14949" s="7" t="s">
        <v>10</v>
      </c>
      <c r="D14949" s="7">
        <v>19528</v>
      </c>
      <c r="E14949" s="7" t="s">
        <v>23</v>
      </c>
      <c r="F14949" s="8" t="str">
        <f ca="1">IFERROR(__xludf.DUMMYFUNCTION("IF
(
C14950=""фізична особа""
,
VLOOKUP(D14950,IMPORTRANGE(""https://docs.google.com/spreadsheets/d/14Bd19lYaqBhU8_DElYkX7l4wRkHqqCUFNJY4AfY3kHU/edit?usp=sharing  #gid=0"",""фіз особи new!relations_name""),6,FALSE)
,
(IF
(
C14950=""юридична особа""
,
VLOO"&amp;"KUP(D14950,IMPORTRANGE(""https://docs.google.com/spreadsheets/d/14Bd19lYaqBhU8_DElYkX7l4wRkHqqCUFNJY4AfY3kHU/edit?usp=sharing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G14949" s="7" t="s">
        <v>10</v>
      </c>
      <c r="H14949" s="7">
        <v>19539</v>
      </c>
      <c r="I14949" s="8" t="str">
        <f ca="1">IFERROR(__xludf.DUMMYFUNCTION("IF
(
G14950=""фізична особа""
,
VLOOKUP(H14950,IMPORTRANGE(""https://docs.google.com/spreadsheets/d/14Bd19lYaqBhU8_DElYkX7l4wRkHqqCUFNJY4AfY3kHU/edit?usp=sharing  #gid=0"",""фіз особи new!relations_name""),6,FALSE)
,
(IF
(
G14950=""юридична особа""
,
VLOO"&amp;"KUP(H14950,IMPORTRANGE(""https://docs.google.com/spreadsheets/d/14Bd19lYaqBhU8_DElYkX7l4wRkHqqCUFNJY4AfY3kHU/edit?usp=sharing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49" s="7" t="s">
        <v>23</v>
      </c>
    </row>
    <row r="14950" spans="1:10" ht="13.2">
      <c r="A14950" s="7">
        <v>14949</v>
      </c>
      <c r="B14950" s="7">
        <v>1</v>
      </c>
      <c r="C14950" s="7" t="s">
        <v>10</v>
      </c>
      <c r="D14950" s="7">
        <v>19529</v>
      </c>
      <c r="E14950" s="7" t="s">
        <v>23</v>
      </c>
      <c r="F14950" s="8" t="str">
        <f ca="1">IFERROR(__xludf.DUMMYFUNCTION("IF
(
C14951=""фізична особа""
,
VLOOKUP(D14951,IMPORTRANGE(""https://docs.google.com/spreadsheets/d/14Bd19lYaqBhU8_DElYkX7l4wRkHqqCUFNJY4AfY3kHU/edit?usp=sharing  #gid=0"",""фіз особи new!relations_name""),6,FALSE)
,
(IF
(
C14951=""юридична особа""
,
VLOO"&amp;"KUP(D14951,IMPORTRANGE(""https://docs.google.com/spreadsheets/d/14Bd19lYaqBhU8_DElYkX7l4wRkHqqCUFNJY4AfY3kHU/edit?usp=sharing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0" s="7" t="s">
        <v>10</v>
      </c>
      <c r="H14950" s="7">
        <v>19527</v>
      </c>
      <c r="I14950" s="8" t="str">
        <f ca="1">IFERROR(__xludf.DUMMYFUNCTION("IF
(
G14951=""фізична особа""
,
VLOOKUP(H14951,IMPORTRANGE(""https://docs.google.com/spreadsheets/d/14Bd19lYaqBhU8_DElYkX7l4wRkHqqCUFNJY4AfY3kHU/edit?usp=sharing  #gid=0"",""фіз особи new!relations_name""),6,FALSE)
,
(IF
(
G14951=""юридична особа""
,
VLOO"&amp;"KUP(H14951,IMPORTRANGE(""https://docs.google.com/spreadsheets/d/14Bd19lYaqBhU8_DElYkX7l4wRkHqqCUFNJY4AfY3kHU/edit?usp=sharing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50" s="7" t="s">
        <v>23</v>
      </c>
    </row>
    <row r="14951" spans="1:10" ht="13.2">
      <c r="A14951" s="7">
        <v>14950</v>
      </c>
      <c r="B14951" s="7">
        <v>1</v>
      </c>
      <c r="C14951" s="7" t="s">
        <v>10</v>
      </c>
      <c r="D14951" s="7">
        <v>19529</v>
      </c>
      <c r="E14951" s="7" t="s">
        <v>23</v>
      </c>
      <c r="F14951" s="8" t="str">
        <f ca="1">IFERROR(__xludf.DUMMYFUNCTION("IF
(
C14952=""фізична особа""
,
VLOOKUP(D14952,IMPORTRANGE(""https://docs.google.com/spreadsheets/d/14Bd19lYaqBhU8_DElYkX7l4wRkHqqCUFNJY4AfY3kHU/edit?usp=sharing  #gid=0"",""фіз особи new!relations_name""),6,FALSE)
,
(IF
(
C14952=""юридична особа""
,
VLOO"&amp;"KUP(D14952,IMPORTRANGE(""https://docs.google.com/spreadsheets/d/14Bd19lYaqBhU8_DElYkX7l4wRkHqqCUFNJY4AfY3kHU/edit?usp=sharing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1" s="7" t="s">
        <v>10</v>
      </c>
      <c r="H14951" s="7">
        <v>19528</v>
      </c>
      <c r="I14951" s="8" t="str">
        <f ca="1">IFERROR(__xludf.DUMMYFUNCTION("IF
(
G14952=""фізична особа""
,
VLOOKUP(H14952,IMPORTRANGE(""https://docs.google.com/spreadsheets/d/14Bd19lYaqBhU8_DElYkX7l4wRkHqqCUFNJY4AfY3kHU/edit?usp=sharing  #gid=0"",""фіз особи new!relations_name""),6,FALSE)
,
(IF
(
G14952=""юридична особа""
,
VLOO"&amp;"KUP(H14952,IMPORTRANGE(""https://docs.google.com/spreadsheets/d/14Bd19lYaqBhU8_DElYkX7l4wRkHqqCUFNJY4AfY3kHU/edit?usp=sharing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51" s="7" t="s">
        <v>23</v>
      </c>
    </row>
    <row r="14952" spans="1:10" ht="13.2">
      <c r="A14952" s="7">
        <v>14951</v>
      </c>
      <c r="B14952" s="7">
        <v>1</v>
      </c>
      <c r="C14952" s="7" t="s">
        <v>10</v>
      </c>
      <c r="D14952" s="7">
        <v>19529</v>
      </c>
      <c r="E14952" s="7" t="s">
        <v>23</v>
      </c>
      <c r="F14952" s="8" t="str">
        <f ca="1">IFERROR(__xludf.DUMMYFUNCTION("IF
(
C14953=""фізична особа""
,
VLOOKUP(D14953,IMPORTRANGE(""https://docs.google.com/spreadsheets/d/14Bd19lYaqBhU8_DElYkX7l4wRkHqqCUFNJY4AfY3kHU/edit?usp=sharing  #gid=0"",""фіз особи new!relations_name""),6,FALSE)
,
(IF
(
C14953=""юридична особа""
,
VLOO"&amp;"KUP(D14953,IMPORTRANGE(""https://docs.google.com/spreadsheets/d/14Bd19lYaqBhU8_DElYkX7l4wRkHqqCUFNJY4AfY3kHU/edit?usp=sharing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2" s="7" t="s">
        <v>10</v>
      </c>
      <c r="H14952" s="7">
        <v>19530</v>
      </c>
      <c r="I14952" s="8" t="str">
        <f ca="1">IFERROR(__xludf.DUMMYFUNCTION("IF
(
G14953=""фізична особа""
,
VLOOKUP(H14953,IMPORTRANGE(""https://docs.google.com/spreadsheets/d/14Bd19lYaqBhU8_DElYkX7l4wRkHqqCUFNJY4AfY3kHU/edit?usp=sharing  #gid=0"",""фіз особи new!relations_name""),6,FALSE)
,
(IF
(
G14953=""юридична особа""
,
VLOO"&amp;"KUP(H14953,IMPORTRANGE(""https://docs.google.com/spreadsheets/d/14Bd19lYaqBhU8_DElYkX7l4wRkHqqCUFNJY4AfY3kHU/edit?usp=sharing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4952" s="7" t="s">
        <v>23</v>
      </c>
    </row>
    <row r="14953" spans="1:10" ht="13.2">
      <c r="A14953" s="7">
        <v>14952</v>
      </c>
      <c r="B14953" s="7">
        <v>1</v>
      </c>
      <c r="C14953" s="7" t="s">
        <v>10</v>
      </c>
      <c r="D14953" s="7">
        <v>19529</v>
      </c>
      <c r="E14953" s="7" t="s">
        <v>23</v>
      </c>
      <c r="F14953" s="8" t="str">
        <f ca="1">IFERROR(__xludf.DUMMYFUNCTION("IF
(
C14954=""фізична особа""
,
VLOOKUP(D14954,IMPORTRANGE(""https://docs.google.com/spreadsheets/d/14Bd19lYaqBhU8_DElYkX7l4wRkHqqCUFNJY4AfY3kHU/edit?usp=sharing  #gid=0"",""фіз особи new!relations_name""),6,FALSE)
,
(IF
(
C14954=""юридична особа""
,
VLOO"&amp;"KUP(D14954,IMPORTRANGE(""https://docs.google.com/spreadsheets/d/14Bd19lYaqBhU8_DElYkX7l4wRkHqqCUFNJY4AfY3kHU/edit?usp=sharing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3" s="7" t="s">
        <v>10</v>
      </c>
      <c r="H14953" s="7">
        <v>19531</v>
      </c>
      <c r="I14953" s="8" t="str">
        <f ca="1">IFERROR(__xludf.DUMMYFUNCTION("IF
(
G14954=""фізична особа""
,
VLOOKUP(H14954,IMPORTRANGE(""https://docs.google.com/spreadsheets/d/14Bd19lYaqBhU8_DElYkX7l4wRkHqqCUFNJY4AfY3kHU/edit?usp=sharing  #gid=0"",""фіз особи new!relations_name""),6,FALSE)
,
(IF
(
G14954=""юридична особа""
,
VLOO"&amp;"KUP(H14954,IMPORTRANGE(""https://docs.google.com/spreadsheets/d/14Bd19lYaqBhU8_DElYkX7l4wRkHqqCUFNJY4AfY3kHU/edit?usp=sharing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4953" s="7" t="s">
        <v>23</v>
      </c>
    </row>
    <row r="14954" spans="1:10" ht="13.2">
      <c r="A14954" s="7">
        <v>14953</v>
      </c>
      <c r="B14954" s="7">
        <v>1</v>
      </c>
      <c r="C14954" s="7" t="s">
        <v>10</v>
      </c>
      <c r="D14954" s="7">
        <v>19529</v>
      </c>
      <c r="E14954" s="7" t="s">
        <v>23</v>
      </c>
      <c r="F14954" s="8" t="str">
        <f ca="1">IFERROR(__xludf.DUMMYFUNCTION("IF
(
C14955=""фізична особа""
,
VLOOKUP(D14955,IMPORTRANGE(""https://docs.google.com/spreadsheets/d/14Bd19lYaqBhU8_DElYkX7l4wRkHqqCUFNJY4AfY3kHU/edit?usp=sharing  #gid=0"",""фіз особи new!relations_name""),6,FALSE)
,
(IF
(
C14955=""юридична особа""
,
VLOO"&amp;"KUP(D14955,IMPORTRANGE(""https://docs.google.com/spreadsheets/d/14Bd19lYaqBhU8_DElYkX7l4wRkHqqCUFNJY4AfY3kHU/edit?usp=sharing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4" s="7" t="s">
        <v>10</v>
      </c>
      <c r="H14954" s="7">
        <v>19532</v>
      </c>
      <c r="I14954" s="8" t="str">
        <f ca="1">IFERROR(__xludf.DUMMYFUNCTION("IF
(
G14955=""фізична особа""
,
VLOOKUP(H14955,IMPORTRANGE(""https://docs.google.com/spreadsheets/d/14Bd19lYaqBhU8_DElYkX7l4wRkHqqCUFNJY4AfY3kHU/edit?usp=sharing  #gid=0"",""фіз особи new!relations_name""),6,FALSE)
,
(IF
(
G14955=""юридична особа""
,
VLOO"&amp;"KUP(H14955,IMPORTRANGE(""https://docs.google.com/spreadsheets/d/14Bd19lYaqBhU8_DElYkX7l4wRkHqqCUFNJY4AfY3kHU/edit?usp=sharing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4954" s="7" t="s">
        <v>23</v>
      </c>
    </row>
    <row r="14955" spans="1:10" ht="13.2">
      <c r="A14955" s="7">
        <v>14954</v>
      </c>
      <c r="B14955" s="7">
        <v>1</v>
      </c>
      <c r="C14955" s="7" t="s">
        <v>10</v>
      </c>
      <c r="D14955" s="7">
        <v>19529</v>
      </c>
      <c r="E14955" s="7" t="s">
        <v>23</v>
      </c>
      <c r="F14955" s="8" t="str">
        <f ca="1">IFERROR(__xludf.DUMMYFUNCTION("IF
(
C14956=""фізична особа""
,
VLOOKUP(D14956,IMPORTRANGE(""https://docs.google.com/spreadsheets/d/14Bd19lYaqBhU8_DElYkX7l4wRkHqqCUFNJY4AfY3kHU/edit?usp=sharing  #gid=0"",""фіз особи new!relations_name""),6,FALSE)
,
(IF
(
C14956=""юридична особа""
,
VLOO"&amp;"KUP(D14956,IMPORTRANGE(""https://docs.google.com/spreadsheets/d/14Bd19lYaqBhU8_DElYkX7l4wRkHqqCUFNJY4AfY3kHU/edit?usp=sharing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5" s="7" t="s">
        <v>10</v>
      </c>
      <c r="H14955" s="7">
        <v>19533</v>
      </c>
      <c r="I14955" s="8" t="str">
        <f ca="1">IFERROR(__xludf.DUMMYFUNCTION("IF
(
G14956=""фізична особа""
,
VLOOKUP(H14956,IMPORTRANGE(""https://docs.google.com/spreadsheets/d/14Bd19lYaqBhU8_DElYkX7l4wRkHqqCUFNJY4AfY3kHU/edit?usp=sharing  #gid=0"",""фіз особи new!relations_name""),6,FALSE)
,
(IF
(
G14956=""юридична особа""
,
VLOO"&amp;"KUP(H14956,IMPORTRANGE(""https://docs.google.com/spreadsheets/d/14Bd19lYaqBhU8_DElYkX7l4wRkHqqCUFNJY4AfY3kHU/edit?usp=sharing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55" s="7" t="s">
        <v>23</v>
      </c>
    </row>
    <row r="14956" spans="1:10" ht="13.2">
      <c r="A14956" s="7">
        <v>14955</v>
      </c>
      <c r="B14956" s="7">
        <v>1</v>
      </c>
      <c r="C14956" s="7" t="s">
        <v>10</v>
      </c>
      <c r="D14956" s="7">
        <v>19529</v>
      </c>
      <c r="E14956" s="7" t="s">
        <v>23</v>
      </c>
      <c r="F14956" s="8" t="str">
        <f ca="1">IFERROR(__xludf.DUMMYFUNCTION("IF
(
C14957=""фізична особа""
,
VLOOKUP(D14957,IMPORTRANGE(""https://docs.google.com/spreadsheets/d/14Bd19lYaqBhU8_DElYkX7l4wRkHqqCUFNJY4AfY3kHU/edit?usp=sharing  #gid=0"",""фіз особи new!relations_name""),6,FALSE)
,
(IF
(
C14957=""юридична особа""
,
VLOO"&amp;"KUP(D14957,IMPORTRANGE(""https://docs.google.com/spreadsheets/d/14Bd19lYaqBhU8_DElYkX7l4wRkHqqCUFNJY4AfY3kHU/edit?usp=sharing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6" s="7" t="s">
        <v>10</v>
      </c>
      <c r="H14956" s="7">
        <v>19534</v>
      </c>
      <c r="I14956" s="8" t="str">
        <f ca="1">IFERROR(__xludf.DUMMYFUNCTION("IF
(
G14957=""фізична особа""
,
VLOOKUP(H14957,IMPORTRANGE(""https://docs.google.com/spreadsheets/d/14Bd19lYaqBhU8_DElYkX7l4wRkHqqCUFNJY4AfY3kHU/edit?usp=sharing  #gid=0"",""фіз особи new!relations_name""),6,FALSE)
,
(IF
(
G14957=""юридична особа""
,
VLOO"&amp;"KUP(H14957,IMPORTRANGE(""https://docs.google.com/spreadsheets/d/14Bd19lYaqBhU8_DElYkX7l4wRkHqqCUFNJY4AfY3kHU/edit?usp=sharing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56" s="7" t="s">
        <v>23</v>
      </c>
    </row>
    <row r="14957" spans="1:10" ht="13.2">
      <c r="A14957" s="7">
        <v>14956</v>
      </c>
      <c r="B14957" s="7">
        <v>1</v>
      </c>
      <c r="C14957" s="7" t="s">
        <v>10</v>
      </c>
      <c r="D14957" s="7">
        <v>19529</v>
      </c>
      <c r="E14957" s="7" t="s">
        <v>23</v>
      </c>
      <c r="F14957" s="8" t="str">
        <f ca="1">IFERROR(__xludf.DUMMYFUNCTION("IF
(
C14958=""фізична особа""
,
VLOOKUP(D14958,IMPORTRANGE(""https://docs.google.com/spreadsheets/d/14Bd19lYaqBhU8_DElYkX7l4wRkHqqCUFNJY4AfY3kHU/edit?usp=sharing  #gid=0"",""фіз особи new!relations_name""),6,FALSE)
,
(IF
(
C14958=""юридична особа""
,
VLOO"&amp;"KUP(D14958,IMPORTRANGE(""https://docs.google.com/spreadsheets/d/14Bd19lYaqBhU8_DElYkX7l4wRkHqqCUFNJY4AfY3kHU/edit?usp=sharing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7" s="7" t="s">
        <v>10</v>
      </c>
      <c r="H14957" s="7">
        <v>19535</v>
      </c>
      <c r="I14957" s="8" t="str">
        <f ca="1">IFERROR(__xludf.DUMMYFUNCTION("IF
(
G14958=""фізична особа""
,
VLOOKUP(H14958,IMPORTRANGE(""https://docs.google.com/spreadsheets/d/14Bd19lYaqBhU8_DElYkX7l4wRkHqqCUFNJY4AfY3kHU/edit?usp=sharing  #gid=0"",""фіз особи new!relations_name""),6,FALSE)
,
(IF
(
G14958=""юридична особа""
,
VLOO"&amp;"KUP(H14958,IMPORTRANGE(""https://docs.google.com/spreadsheets/d/14Bd19lYaqBhU8_DElYkX7l4wRkHqqCUFNJY4AfY3kHU/edit?usp=sharing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57" s="7" t="s">
        <v>23</v>
      </c>
    </row>
    <row r="14958" spans="1:10" ht="13.2">
      <c r="A14958" s="7">
        <v>14957</v>
      </c>
      <c r="B14958" s="7">
        <v>1</v>
      </c>
      <c r="C14958" s="7" t="s">
        <v>10</v>
      </c>
      <c r="D14958" s="7">
        <v>19529</v>
      </c>
      <c r="E14958" s="7" t="s">
        <v>23</v>
      </c>
      <c r="F14958" s="8" t="str">
        <f ca="1">IFERROR(__xludf.DUMMYFUNCTION("IF
(
C14959=""фізична особа""
,
VLOOKUP(D14959,IMPORTRANGE(""https://docs.google.com/spreadsheets/d/14Bd19lYaqBhU8_DElYkX7l4wRkHqqCUFNJY4AfY3kHU/edit?usp=sharing  #gid=0"",""фіз особи new!relations_name""),6,FALSE)
,
(IF
(
C14959=""юридична особа""
,
VLOO"&amp;"KUP(D14959,IMPORTRANGE(""https://docs.google.com/spreadsheets/d/14Bd19lYaqBhU8_DElYkX7l4wRkHqqCUFNJY4AfY3kHU/edit?usp=sharing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8" s="7" t="s">
        <v>10</v>
      </c>
      <c r="H14958" s="7">
        <v>19536</v>
      </c>
      <c r="I14958" s="8" t="str">
        <f ca="1">IFERROR(__xludf.DUMMYFUNCTION("IF
(
G14959=""фізична особа""
,
VLOOKUP(H14959,IMPORTRANGE(""https://docs.google.com/spreadsheets/d/14Bd19lYaqBhU8_DElYkX7l4wRkHqqCUFNJY4AfY3kHU/edit?usp=sharing  #gid=0"",""фіз особи new!relations_name""),6,FALSE)
,
(IF
(
G14959=""юридична особа""
,
VLOO"&amp;"KUP(H14959,IMPORTRANGE(""https://docs.google.com/spreadsheets/d/14Bd19lYaqBhU8_DElYkX7l4wRkHqqCUFNJY4AfY3kHU/edit?usp=sharing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58" s="7" t="s">
        <v>23</v>
      </c>
    </row>
    <row r="14959" spans="1:10" ht="13.2">
      <c r="A14959" s="7">
        <v>14958</v>
      </c>
      <c r="B14959" s="7">
        <v>1</v>
      </c>
      <c r="C14959" s="7" t="s">
        <v>10</v>
      </c>
      <c r="D14959" s="7">
        <v>19529</v>
      </c>
      <c r="E14959" s="7" t="s">
        <v>23</v>
      </c>
      <c r="F14959" s="8" t="str">
        <f ca="1">IFERROR(__xludf.DUMMYFUNCTION("IF
(
C14960=""фізична особа""
,
VLOOKUP(D14960,IMPORTRANGE(""https://docs.google.com/spreadsheets/d/14Bd19lYaqBhU8_DElYkX7l4wRkHqqCUFNJY4AfY3kHU/edit?usp=sharing  #gid=0"",""фіз особи new!relations_name""),6,FALSE)
,
(IF
(
C14960=""юридична особа""
,
VLOO"&amp;"KUP(D14960,IMPORTRANGE(""https://docs.google.com/spreadsheets/d/14Bd19lYaqBhU8_DElYkX7l4wRkHqqCUFNJY4AfY3kHU/edit?usp=sharing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59" s="7" t="s">
        <v>10</v>
      </c>
      <c r="H14959" s="7">
        <v>19537</v>
      </c>
      <c r="I14959" s="8" t="str">
        <f ca="1">IFERROR(__xludf.DUMMYFUNCTION("IF
(
G14960=""фізична особа""
,
VLOOKUP(H14960,IMPORTRANGE(""https://docs.google.com/spreadsheets/d/14Bd19lYaqBhU8_DElYkX7l4wRkHqqCUFNJY4AfY3kHU/edit?usp=sharing  #gid=0"",""фіз особи new!relations_name""),6,FALSE)
,
(IF
(
G14960=""юридична особа""
,
VLOO"&amp;"KUP(H14960,IMPORTRANGE(""https://docs.google.com/spreadsheets/d/14Bd19lYaqBhU8_DElYkX7l4wRkHqqCUFNJY4AfY3kHU/edit?usp=sharing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59" s="7" t="s">
        <v>23</v>
      </c>
    </row>
    <row r="14960" spans="1:10" ht="13.2">
      <c r="A14960" s="7">
        <v>14959</v>
      </c>
      <c r="B14960" s="7">
        <v>1</v>
      </c>
      <c r="C14960" s="7" t="s">
        <v>10</v>
      </c>
      <c r="D14960" s="7">
        <v>19529</v>
      </c>
      <c r="E14960" s="7" t="s">
        <v>23</v>
      </c>
      <c r="F14960" s="8" t="str">
        <f ca="1">IFERROR(__xludf.DUMMYFUNCTION("IF
(
C14961=""фізична особа""
,
VLOOKUP(D14961,IMPORTRANGE(""https://docs.google.com/spreadsheets/d/14Bd19lYaqBhU8_DElYkX7l4wRkHqqCUFNJY4AfY3kHU/edit?usp=sharing  #gid=0"",""фіз особи new!relations_name""),6,FALSE)
,
(IF
(
C14961=""юридична особа""
,
VLOO"&amp;"KUP(D14961,IMPORTRANGE(""https://docs.google.com/spreadsheets/d/14Bd19lYaqBhU8_DElYkX7l4wRkHqqCUFNJY4AfY3kHU/edit?usp=sharing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60" s="7" t="s">
        <v>10</v>
      </c>
      <c r="H14960" s="7">
        <v>19538</v>
      </c>
      <c r="I14960" s="8" t="str">
        <f ca="1">IFERROR(__xludf.DUMMYFUNCTION("IF
(
G14961=""фізична особа""
,
VLOOKUP(H14961,IMPORTRANGE(""https://docs.google.com/spreadsheets/d/14Bd19lYaqBhU8_DElYkX7l4wRkHqqCUFNJY4AfY3kHU/edit?usp=sharing  #gid=0"",""фіз особи new!relations_name""),6,FALSE)
,
(IF
(
G14961=""юридична особа""
,
VLOO"&amp;"KUP(H14961,IMPORTRANGE(""https://docs.google.com/spreadsheets/d/14Bd19lYaqBhU8_DElYkX7l4wRkHqqCUFNJY4AfY3kHU/edit?usp=sharing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60" s="7" t="s">
        <v>23</v>
      </c>
    </row>
    <row r="14961" spans="1:10" ht="13.2">
      <c r="A14961" s="7">
        <v>14960</v>
      </c>
      <c r="B14961" s="7">
        <v>1</v>
      </c>
      <c r="C14961" s="7" t="s">
        <v>10</v>
      </c>
      <c r="D14961" s="7">
        <v>19529</v>
      </c>
      <c r="E14961" s="7" t="s">
        <v>23</v>
      </c>
      <c r="F14961" s="8" t="str">
        <f ca="1">IFERROR(__xludf.DUMMYFUNCTION("IF
(
C14962=""фізична особа""
,
VLOOKUP(D14962,IMPORTRANGE(""https://docs.google.com/spreadsheets/d/14Bd19lYaqBhU8_DElYkX7l4wRkHqqCUFNJY4AfY3kHU/edit?usp=sharing  #gid=0"",""фіз особи new!relations_name""),6,FALSE)
,
(IF
(
C14962=""юридична особа""
,
VLOO"&amp;"KUP(D14962,IMPORTRANGE(""https://docs.google.com/spreadsheets/d/14Bd19lYaqBhU8_DElYkX7l4wRkHqqCUFNJY4AfY3kHU/edit?usp=sharing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G14961" s="7" t="s">
        <v>10</v>
      </c>
      <c r="H14961" s="7">
        <v>19539</v>
      </c>
      <c r="I14961" s="8" t="str">
        <f ca="1">IFERROR(__xludf.DUMMYFUNCTION("IF
(
G14962=""фізична особа""
,
VLOOKUP(H14962,IMPORTRANGE(""https://docs.google.com/spreadsheets/d/14Bd19lYaqBhU8_DElYkX7l4wRkHqqCUFNJY4AfY3kHU/edit?usp=sharing  #gid=0"",""фіз особи new!relations_name""),6,FALSE)
,
(IF
(
G14962=""юридична особа""
,
VLOO"&amp;"KUP(H14962,IMPORTRANGE(""https://docs.google.com/spreadsheets/d/14Bd19lYaqBhU8_DElYkX7l4wRkHqqCUFNJY4AfY3kHU/edit?usp=sharing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61" s="7" t="s">
        <v>23</v>
      </c>
    </row>
    <row r="14962" spans="1:10" ht="13.2">
      <c r="A14962" s="7">
        <v>14961</v>
      </c>
      <c r="B14962" s="7">
        <v>1</v>
      </c>
      <c r="C14962" s="7" t="s">
        <v>10</v>
      </c>
      <c r="D14962" s="7">
        <v>19530</v>
      </c>
      <c r="E14962" s="7" t="s">
        <v>23</v>
      </c>
      <c r="F14962" s="8" t="str">
        <f ca="1">IFERROR(__xludf.DUMMYFUNCTION("IF
(
C14963=""фізична особа""
,
VLOOKUP(D14963,IMPORTRANGE(""https://docs.google.com/spreadsheets/d/14Bd19lYaqBhU8_DElYkX7l4wRkHqqCUFNJY4AfY3kHU/edit?usp=sharing  #gid=0"",""фіз особи new!relations_name""),6,FALSE)
,
(IF
(
C14963=""юридична особа""
,
VLOO"&amp;"KUP(D14963,IMPORTRANGE(""https://docs.google.com/spreadsheets/d/14Bd19lYaqBhU8_DElYkX7l4wRkHqqCUFNJY4AfY3kHU/edit?usp=sharing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2" s="7" t="s">
        <v>10</v>
      </c>
      <c r="H14962" s="7">
        <v>19527</v>
      </c>
      <c r="I14962" s="8" t="str">
        <f ca="1">IFERROR(__xludf.DUMMYFUNCTION("IF
(
G14963=""фізична особа""
,
VLOOKUP(H14963,IMPORTRANGE(""https://docs.google.com/spreadsheets/d/14Bd19lYaqBhU8_DElYkX7l4wRkHqqCUFNJY4AfY3kHU/edit?usp=sharing  #gid=0"",""фіз особи new!relations_name""),6,FALSE)
,
(IF
(
G14963=""юридична особа""
,
VLOO"&amp;"KUP(H14963,IMPORTRANGE(""https://docs.google.com/spreadsheets/d/14Bd19lYaqBhU8_DElYkX7l4wRkHqqCUFNJY4AfY3kHU/edit?usp=sharing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62" s="7" t="s">
        <v>23</v>
      </c>
    </row>
    <row r="14963" spans="1:10" ht="13.2">
      <c r="A14963" s="7">
        <v>14962</v>
      </c>
      <c r="B14963" s="7">
        <v>1</v>
      </c>
      <c r="C14963" s="7" t="s">
        <v>10</v>
      </c>
      <c r="D14963" s="7">
        <v>19530</v>
      </c>
      <c r="E14963" s="7" t="s">
        <v>23</v>
      </c>
      <c r="F14963" s="8" t="str">
        <f ca="1">IFERROR(__xludf.DUMMYFUNCTION("IF
(
C14964=""фізична особа""
,
VLOOKUP(D14964,IMPORTRANGE(""https://docs.google.com/spreadsheets/d/14Bd19lYaqBhU8_DElYkX7l4wRkHqqCUFNJY4AfY3kHU/edit?usp=sharing  #gid=0"",""фіз особи new!relations_name""),6,FALSE)
,
(IF
(
C14964=""юридична особа""
,
VLOO"&amp;"KUP(D14964,IMPORTRANGE(""https://docs.google.com/spreadsheets/d/14Bd19lYaqBhU8_DElYkX7l4wRkHqqCUFNJY4AfY3kHU/edit?usp=sharing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3" s="7" t="s">
        <v>10</v>
      </c>
      <c r="H14963" s="7">
        <v>19528</v>
      </c>
      <c r="I14963" s="8" t="str">
        <f ca="1">IFERROR(__xludf.DUMMYFUNCTION("IF
(
G14964=""фізична особа""
,
VLOOKUP(H14964,IMPORTRANGE(""https://docs.google.com/spreadsheets/d/14Bd19lYaqBhU8_DElYkX7l4wRkHqqCUFNJY4AfY3kHU/edit?usp=sharing  #gid=0"",""фіз особи new!relations_name""),6,FALSE)
,
(IF
(
G14964=""юридична особа""
,
VLOO"&amp;"KUP(H14964,IMPORTRANGE(""https://docs.google.com/spreadsheets/d/14Bd19lYaqBhU8_DElYkX7l4wRkHqqCUFNJY4AfY3kHU/edit?usp=sharing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63" s="7" t="s">
        <v>23</v>
      </c>
    </row>
    <row r="14964" spans="1:10" ht="13.2">
      <c r="A14964" s="7">
        <v>14963</v>
      </c>
      <c r="B14964" s="7">
        <v>1</v>
      </c>
      <c r="C14964" s="7" t="s">
        <v>10</v>
      </c>
      <c r="D14964" s="7">
        <v>19530</v>
      </c>
      <c r="E14964" s="7" t="s">
        <v>23</v>
      </c>
      <c r="F14964" s="8" t="str">
        <f ca="1">IFERROR(__xludf.DUMMYFUNCTION("IF
(
C14965=""фізична особа""
,
VLOOKUP(D14965,IMPORTRANGE(""https://docs.google.com/spreadsheets/d/14Bd19lYaqBhU8_DElYkX7l4wRkHqqCUFNJY4AfY3kHU/edit?usp=sharing  #gid=0"",""фіз особи new!relations_name""),6,FALSE)
,
(IF
(
C14965=""юридична особа""
,
VLOO"&amp;"KUP(D14965,IMPORTRANGE(""https://docs.google.com/spreadsheets/d/14Bd19lYaqBhU8_DElYkX7l4wRkHqqCUFNJY4AfY3kHU/edit?usp=sharing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4" s="7" t="s">
        <v>10</v>
      </c>
      <c r="H14964" s="7">
        <v>19529</v>
      </c>
      <c r="I14964" s="8" t="str">
        <f ca="1">IFERROR(__xludf.DUMMYFUNCTION("IF
(
G14965=""фізична особа""
,
VLOOKUP(H14965,IMPORTRANGE(""https://docs.google.com/spreadsheets/d/14Bd19lYaqBhU8_DElYkX7l4wRkHqqCUFNJY4AfY3kHU/edit?usp=sharing  #gid=0"",""фіз особи new!relations_name""),6,FALSE)
,
(IF
(
G14965=""юридична особа""
,
VLOO"&amp;"KUP(H14965,IMPORTRANGE(""https://docs.google.com/spreadsheets/d/14Bd19lYaqBhU8_DElYkX7l4wRkHqqCUFNJY4AfY3kHU/edit?usp=sharing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4964" s="7" t="s">
        <v>23</v>
      </c>
    </row>
    <row r="14965" spans="1:10" ht="13.2">
      <c r="A14965" s="7">
        <v>14964</v>
      </c>
      <c r="B14965" s="7">
        <v>1</v>
      </c>
      <c r="C14965" s="7" t="s">
        <v>10</v>
      </c>
      <c r="D14965" s="7">
        <v>19530</v>
      </c>
      <c r="E14965" s="7" t="s">
        <v>23</v>
      </c>
      <c r="F14965" s="8" t="str">
        <f ca="1">IFERROR(__xludf.DUMMYFUNCTION("IF
(
C14966=""фізична особа""
,
VLOOKUP(D14966,IMPORTRANGE(""https://docs.google.com/spreadsheets/d/14Bd19lYaqBhU8_DElYkX7l4wRkHqqCUFNJY4AfY3kHU/edit?usp=sharing  #gid=0"",""фіз особи new!relations_name""),6,FALSE)
,
(IF
(
C14966=""юридична особа""
,
VLOO"&amp;"KUP(D14966,IMPORTRANGE(""https://docs.google.com/spreadsheets/d/14Bd19lYaqBhU8_DElYkX7l4wRkHqqCUFNJY4AfY3kHU/edit?usp=sharing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5" s="7" t="s">
        <v>10</v>
      </c>
      <c r="H14965" s="7">
        <v>19531</v>
      </c>
      <c r="I14965" s="8" t="str">
        <f ca="1">IFERROR(__xludf.DUMMYFUNCTION("IF
(
G14966=""фізична особа""
,
VLOOKUP(H14966,IMPORTRANGE(""https://docs.google.com/spreadsheets/d/14Bd19lYaqBhU8_DElYkX7l4wRkHqqCUFNJY4AfY3kHU/edit?usp=sharing  #gid=0"",""фіз особи new!relations_name""),6,FALSE)
,
(IF
(
G14966=""юридична особа""
,
VLOO"&amp;"KUP(H14966,IMPORTRANGE(""https://docs.google.com/spreadsheets/d/14Bd19lYaqBhU8_DElYkX7l4wRkHqqCUFNJY4AfY3kHU/edit?usp=sharing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4965" s="7" t="s">
        <v>23</v>
      </c>
    </row>
    <row r="14966" spans="1:10" ht="13.2">
      <c r="A14966" s="7">
        <v>14965</v>
      </c>
      <c r="B14966" s="7">
        <v>1</v>
      </c>
      <c r="C14966" s="7" t="s">
        <v>10</v>
      </c>
      <c r="D14966" s="7">
        <v>19530</v>
      </c>
      <c r="E14966" s="7" t="s">
        <v>23</v>
      </c>
      <c r="F14966" s="8" t="str">
        <f ca="1">IFERROR(__xludf.DUMMYFUNCTION("IF
(
C14967=""фізична особа""
,
VLOOKUP(D14967,IMPORTRANGE(""https://docs.google.com/spreadsheets/d/14Bd19lYaqBhU8_DElYkX7l4wRkHqqCUFNJY4AfY3kHU/edit?usp=sharing  #gid=0"",""фіз особи new!relations_name""),6,FALSE)
,
(IF
(
C14967=""юридична особа""
,
VLOO"&amp;"KUP(D14967,IMPORTRANGE(""https://docs.google.com/spreadsheets/d/14Bd19lYaqBhU8_DElYkX7l4wRkHqqCUFNJY4AfY3kHU/edit?usp=sharing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6" s="7" t="s">
        <v>10</v>
      </c>
      <c r="H14966" s="7">
        <v>19532</v>
      </c>
      <c r="I14966" s="8" t="str">
        <f ca="1">IFERROR(__xludf.DUMMYFUNCTION("IF
(
G14967=""фізична особа""
,
VLOOKUP(H14967,IMPORTRANGE(""https://docs.google.com/spreadsheets/d/14Bd19lYaqBhU8_DElYkX7l4wRkHqqCUFNJY4AfY3kHU/edit?usp=sharing  #gid=0"",""фіз особи new!relations_name""),6,FALSE)
,
(IF
(
G14967=""юридична особа""
,
VLOO"&amp;"KUP(H14967,IMPORTRANGE(""https://docs.google.com/spreadsheets/d/14Bd19lYaqBhU8_DElYkX7l4wRkHqqCUFNJY4AfY3kHU/edit?usp=sharing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4966" s="7" t="s">
        <v>23</v>
      </c>
    </row>
    <row r="14967" spans="1:10" ht="13.2">
      <c r="A14967" s="7">
        <v>14966</v>
      </c>
      <c r="B14967" s="7">
        <v>1</v>
      </c>
      <c r="C14967" s="7" t="s">
        <v>10</v>
      </c>
      <c r="D14967" s="7">
        <v>19530</v>
      </c>
      <c r="E14967" s="7" t="s">
        <v>23</v>
      </c>
      <c r="F14967" s="8" t="str">
        <f ca="1">IFERROR(__xludf.DUMMYFUNCTION("IF
(
C14968=""фізична особа""
,
VLOOKUP(D14968,IMPORTRANGE(""https://docs.google.com/spreadsheets/d/14Bd19lYaqBhU8_DElYkX7l4wRkHqqCUFNJY4AfY3kHU/edit?usp=sharing  #gid=0"",""фіз особи new!relations_name""),6,FALSE)
,
(IF
(
C14968=""юридична особа""
,
VLOO"&amp;"KUP(D14968,IMPORTRANGE(""https://docs.google.com/spreadsheets/d/14Bd19lYaqBhU8_DElYkX7l4wRkHqqCUFNJY4AfY3kHU/edit?usp=sharing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7" s="7" t="s">
        <v>10</v>
      </c>
      <c r="H14967" s="7">
        <v>19533</v>
      </c>
      <c r="I14967" s="8" t="str">
        <f ca="1">IFERROR(__xludf.DUMMYFUNCTION("IF
(
G14968=""фізична особа""
,
VLOOKUP(H14968,IMPORTRANGE(""https://docs.google.com/spreadsheets/d/14Bd19lYaqBhU8_DElYkX7l4wRkHqqCUFNJY4AfY3kHU/edit?usp=sharing  #gid=0"",""фіз особи new!relations_name""),6,FALSE)
,
(IF
(
G14968=""юридична особа""
,
VLOO"&amp;"KUP(H14968,IMPORTRANGE(""https://docs.google.com/spreadsheets/d/14Bd19lYaqBhU8_DElYkX7l4wRkHqqCUFNJY4AfY3kHU/edit?usp=sharing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67" s="7" t="s">
        <v>23</v>
      </c>
    </row>
    <row r="14968" spans="1:10" ht="13.2">
      <c r="A14968" s="7">
        <v>14967</v>
      </c>
      <c r="B14968" s="7">
        <v>1</v>
      </c>
      <c r="C14968" s="7" t="s">
        <v>10</v>
      </c>
      <c r="D14968" s="7">
        <v>19530</v>
      </c>
      <c r="E14968" s="7" t="s">
        <v>23</v>
      </c>
      <c r="F14968" s="8" t="str">
        <f ca="1">IFERROR(__xludf.DUMMYFUNCTION("IF
(
C14969=""фізична особа""
,
VLOOKUP(D14969,IMPORTRANGE(""https://docs.google.com/spreadsheets/d/14Bd19lYaqBhU8_DElYkX7l4wRkHqqCUFNJY4AfY3kHU/edit?usp=sharing  #gid=0"",""фіз особи new!relations_name""),6,FALSE)
,
(IF
(
C14969=""юридична особа""
,
VLOO"&amp;"KUP(D14969,IMPORTRANGE(""https://docs.google.com/spreadsheets/d/14Bd19lYaqBhU8_DElYkX7l4wRkHqqCUFNJY4AfY3kHU/edit?usp=sharing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8" s="7" t="s">
        <v>10</v>
      </c>
      <c r="H14968" s="7">
        <v>19534</v>
      </c>
      <c r="I14968" s="8" t="str">
        <f ca="1">IFERROR(__xludf.DUMMYFUNCTION("IF
(
G14969=""фізична особа""
,
VLOOKUP(H14969,IMPORTRANGE(""https://docs.google.com/spreadsheets/d/14Bd19lYaqBhU8_DElYkX7l4wRkHqqCUFNJY4AfY3kHU/edit?usp=sharing  #gid=0"",""фіз особи new!relations_name""),6,FALSE)
,
(IF
(
G14969=""юридична особа""
,
VLOO"&amp;"KUP(H14969,IMPORTRANGE(""https://docs.google.com/spreadsheets/d/14Bd19lYaqBhU8_DElYkX7l4wRkHqqCUFNJY4AfY3kHU/edit?usp=sharing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68" s="7" t="s">
        <v>23</v>
      </c>
    </row>
    <row r="14969" spans="1:10" ht="13.2">
      <c r="A14969" s="7">
        <v>14968</v>
      </c>
      <c r="B14969" s="7">
        <v>1</v>
      </c>
      <c r="C14969" s="7" t="s">
        <v>10</v>
      </c>
      <c r="D14969" s="7">
        <v>19530</v>
      </c>
      <c r="E14969" s="7" t="s">
        <v>23</v>
      </c>
      <c r="F14969" s="8" t="str">
        <f ca="1">IFERROR(__xludf.DUMMYFUNCTION("IF
(
C14970=""фізична особа""
,
VLOOKUP(D14970,IMPORTRANGE(""https://docs.google.com/spreadsheets/d/14Bd19lYaqBhU8_DElYkX7l4wRkHqqCUFNJY4AfY3kHU/edit?usp=sharing  #gid=0"",""фіз особи new!relations_name""),6,FALSE)
,
(IF
(
C14970=""юридична особа""
,
VLOO"&amp;"KUP(D14970,IMPORTRANGE(""https://docs.google.com/spreadsheets/d/14Bd19lYaqBhU8_DElYkX7l4wRkHqqCUFNJY4AfY3kHU/edit?usp=sharing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69" s="7" t="s">
        <v>10</v>
      </c>
      <c r="H14969" s="7">
        <v>19535</v>
      </c>
      <c r="I14969" s="8" t="str">
        <f ca="1">IFERROR(__xludf.DUMMYFUNCTION("IF
(
G14970=""фізична особа""
,
VLOOKUP(H14970,IMPORTRANGE(""https://docs.google.com/spreadsheets/d/14Bd19lYaqBhU8_DElYkX7l4wRkHqqCUFNJY4AfY3kHU/edit?usp=sharing  #gid=0"",""фіз особи new!relations_name""),6,FALSE)
,
(IF
(
G14970=""юридична особа""
,
VLOO"&amp;"KUP(H14970,IMPORTRANGE(""https://docs.google.com/spreadsheets/d/14Bd19lYaqBhU8_DElYkX7l4wRkHqqCUFNJY4AfY3kHU/edit?usp=sharing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69" s="7" t="s">
        <v>23</v>
      </c>
    </row>
    <row r="14970" spans="1:10" ht="13.2">
      <c r="A14970" s="7">
        <v>14969</v>
      </c>
      <c r="B14970" s="7">
        <v>1</v>
      </c>
      <c r="C14970" s="7" t="s">
        <v>10</v>
      </c>
      <c r="D14970" s="7">
        <v>19530</v>
      </c>
      <c r="E14970" s="7" t="s">
        <v>23</v>
      </c>
      <c r="F14970" s="8" t="str">
        <f ca="1">IFERROR(__xludf.DUMMYFUNCTION("IF
(
C14971=""фізична особа""
,
VLOOKUP(D14971,IMPORTRANGE(""https://docs.google.com/spreadsheets/d/14Bd19lYaqBhU8_DElYkX7l4wRkHqqCUFNJY4AfY3kHU/edit?usp=sharing  #gid=0"",""фіз особи new!relations_name""),6,FALSE)
,
(IF
(
C14971=""юридична особа""
,
VLOO"&amp;"KUP(D14971,IMPORTRANGE(""https://docs.google.com/spreadsheets/d/14Bd19lYaqBhU8_DElYkX7l4wRkHqqCUFNJY4AfY3kHU/edit?usp=sharing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70" s="7" t="s">
        <v>10</v>
      </c>
      <c r="H14970" s="7">
        <v>19536</v>
      </c>
      <c r="I14970" s="8" t="str">
        <f ca="1">IFERROR(__xludf.DUMMYFUNCTION("IF
(
G14971=""фізична особа""
,
VLOOKUP(H14971,IMPORTRANGE(""https://docs.google.com/spreadsheets/d/14Bd19lYaqBhU8_DElYkX7l4wRkHqqCUFNJY4AfY3kHU/edit?usp=sharing  #gid=0"",""фіз особи new!relations_name""),6,FALSE)
,
(IF
(
G14971=""юридична особа""
,
VLOO"&amp;"KUP(H14971,IMPORTRANGE(""https://docs.google.com/spreadsheets/d/14Bd19lYaqBhU8_DElYkX7l4wRkHqqCUFNJY4AfY3kHU/edit?usp=sharing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70" s="7" t="s">
        <v>23</v>
      </c>
    </row>
    <row r="14971" spans="1:10" ht="13.2">
      <c r="A14971" s="7">
        <v>14970</v>
      </c>
      <c r="B14971" s="7">
        <v>1</v>
      </c>
      <c r="C14971" s="7" t="s">
        <v>10</v>
      </c>
      <c r="D14971" s="7">
        <v>19530</v>
      </c>
      <c r="E14971" s="7" t="s">
        <v>23</v>
      </c>
      <c r="F14971" s="8" t="str">
        <f ca="1">IFERROR(__xludf.DUMMYFUNCTION("IF
(
C14972=""фізична особа""
,
VLOOKUP(D14972,IMPORTRANGE(""https://docs.google.com/spreadsheets/d/14Bd19lYaqBhU8_DElYkX7l4wRkHqqCUFNJY4AfY3kHU/edit?usp=sharing  #gid=0"",""фіз особи new!relations_name""),6,FALSE)
,
(IF
(
C14972=""юридична особа""
,
VLOO"&amp;"KUP(D14972,IMPORTRANGE(""https://docs.google.com/spreadsheets/d/14Bd19lYaqBhU8_DElYkX7l4wRkHqqCUFNJY4AfY3kHU/edit?usp=sharing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71" s="7" t="s">
        <v>10</v>
      </c>
      <c r="H14971" s="7">
        <v>19537</v>
      </c>
      <c r="I14971" s="8" t="str">
        <f ca="1">IFERROR(__xludf.DUMMYFUNCTION("IF
(
G14972=""фізична особа""
,
VLOOKUP(H14972,IMPORTRANGE(""https://docs.google.com/spreadsheets/d/14Bd19lYaqBhU8_DElYkX7l4wRkHqqCUFNJY4AfY3kHU/edit?usp=sharing  #gid=0"",""фіз особи new!relations_name""),6,FALSE)
,
(IF
(
G14972=""юридична особа""
,
VLOO"&amp;"KUP(H14972,IMPORTRANGE(""https://docs.google.com/spreadsheets/d/14Bd19lYaqBhU8_DElYkX7l4wRkHqqCUFNJY4AfY3kHU/edit?usp=sharing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71" s="7" t="s">
        <v>23</v>
      </c>
    </row>
    <row r="14972" spans="1:10" ht="13.2">
      <c r="A14972" s="7">
        <v>14971</v>
      </c>
      <c r="B14972" s="7">
        <v>1</v>
      </c>
      <c r="C14972" s="7" t="s">
        <v>10</v>
      </c>
      <c r="D14972" s="7">
        <v>19530</v>
      </c>
      <c r="E14972" s="7" t="s">
        <v>23</v>
      </c>
      <c r="F14972" s="8" t="str">
        <f ca="1">IFERROR(__xludf.DUMMYFUNCTION("IF
(
C14973=""фізична особа""
,
VLOOKUP(D14973,IMPORTRANGE(""https://docs.google.com/spreadsheets/d/14Bd19lYaqBhU8_DElYkX7l4wRkHqqCUFNJY4AfY3kHU/edit?usp=sharing  #gid=0"",""фіз особи new!relations_name""),6,FALSE)
,
(IF
(
C14973=""юридична особа""
,
VLOO"&amp;"KUP(D14973,IMPORTRANGE(""https://docs.google.com/spreadsheets/d/14Bd19lYaqBhU8_DElYkX7l4wRkHqqCUFNJY4AfY3kHU/edit?usp=sharing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72" s="7" t="s">
        <v>10</v>
      </c>
      <c r="H14972" s="7">
        <v>19538</v>
      </c>
      <c r="I14972" s="8" t="str">
        <f ca="1">IFERROR(__xludf.DUMMYFUNCTION("IF
(
G14973=""фізична особа""
,
VLOOKUP(H14973,IMPORTRANGE(""https://docs.google.com/spreadsheets/d/14Bd19lYaqBhU8_DElYkX7l4wRkHqqCUFNJY4AfY3kHU/edit?usp=sharing  #gid=0"",""фіз особи new!relations_name""),6,FALSE)
,
(IF
(
G14973=""юридична особа""
,
VLOO"&amp;"KUP(H14973,IMPORTRANGE(""https://docs.google.com/spreadsheets/d/14Bd19lYaqBhU8_DElYkX7l4wRkHqqCUFNJY4AfY3kHU/edit?usp=sharing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72" s="7" t="s">
        <v>23</v>
      </c>
    </row>
    <row r="14973" spans="1:10" ht="13.2">
      <c r="A14973" s="7">
        <v>14972</v>
      </c>
      <c r="B14973" s="7">
        <v>1</v>
      </c>
      <c r="C14973" s="7" t="s">
        <v>10</v>
      </c>
      <c r="D14973" s="7">
        <v>19530</v>
      </c>
      <c r="E14973" s="7" t="s">
        <v>23</v>
      </c>
      <c r="F14973" s="8" t="str">
        <f ca="1">IFERROR(__xludf.DUMMYFUNCTION("IF
(
C14974=""фізична особа""
,
VLOOKUP(D14974,IMPORTRANGE(""https://docs.google.com/spreadsheets/d/14Bd19lYaqBhU8_DElYkX7l4wRkHqqCUFNJY4AfY3kHU/edit?usp=sharing  #gid=0"",""фіз особи new!relations_name""),6,FALSE)
,
(IF
(
C14974=""юридична особа""
,
VLOO"&amp;"KUP(D14974,IMPORTRANGE(""https://docs.google.com/spreadsheets/d/14Bd19lYaqBhU8_DElYkX7l4wRkHqqCUFNJY4AfY3kHU/edit?usp=sharing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G14973" s="7" t="s">
        <v>10</v>
      </c>
      <c r="H14973" s="7">
        <v>19539</v>
      </c>
      <c r="I14973" s="8" t="str">
        <f ca="1">IFERROR(__xludf.DUMMYFUNCTION("IF
(
G14974=""фізична особа""
,
VLOOKUP(H14974,IMPORTRANGE(""https://docs.google.com/spreadsheets/d/14Bd19lYaqBhU8_DElYkX7l4wRkHqqCUFNJY4AfY3kHU/edit?usp=sharing  #gid=0"",""фіз особи new!relations_name""),6,FALSE)
,
(IF
(
G14974=""юридична особа""
,
VLOO"&amp;"KUP(H14974,IMPORTRANGE(""https://docs.google.com/spreadsheets/d/14Bd19lYaqBhU8_DElYkX7l4wRkHqqCUFNJY4AfY3kHU/edit?usp=sharing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73" s="7" t="s">
        <v>23</v>
      </c>
    </row>
    <row r="14974" spans="1:10" ht="13.2">
      <c r="A14974" s="7">
        <v>14973</v>
      </c>
      <c r="B14974" s="7">
        <v>1</v>
      </c>
      <c r="C14974" s="7" t="s">
        <v>10</v>
      </c>
      <c r="D14974" s="7">
        <v>19531</v>
      </c>
      <c r="E14974" s="7" t="s">
        <v>23</v>
      </c>
      <c r="F14974" s="8" t="str">
        <f ca="1">IFERROR(__xludf.DUMMYFUNCTION("IF
(
C14975=""фізична особа""
,
VLOOKUP(D14975,IMPORTRANGE(""https://docs.google.com/spreadsheets/d/14Bd19lYaqBhU8_DElYkX7l4wRkHqqCUFNJY4AfY3kHU/edit?usp=sharing  #gid=0"",""фіз особи new!relations_name""),6,FALSE)
,
(IF
(
C14975=""юридична особа""
,
VLOO"&amp;"KUP(D14975,IMPORTRANGE(""https://docs.google.com/spreadsheets/d/14Bd19lYaqBhU8_DElYkX7l4wRkHqqCUFNJY4AfY3kHU/edit?usp=sharing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4" s="7" t="s">
        <v>10</v>
      </c>
      <c r="H14974" s="7">
        <v>19527</v>
      </c>
      <c r="I14974" s="8" t="str">
        <f ca="1">IFERROR(__xludf.DUMMYFUNCTION("IF
(
G14975=""фізична особа""
,
VLOOKUP(H14975,IMPORTRANGE(""https://docs.google.com/spreadsheets/d/14Bd19lYaqBhU8_DElYkX7l4wRkHqqCUFNJY4AfY3kHU/edit?usp=sharing  #gid=0"",""фіз особи new!relations_name""),6,FALSE)
,
(IF
(
G14975=""юридична особа""
,
VLOO"&amp;"KUP(H14975,IMPORTRANGE(""https://docs.google.com/spreadsheets/d/14Bd19lYaqBhU8_DElYkX7l4wRkHqqCUFNJY4AfY3kHU/edit?usp=sharing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74" s="7" t="s">
        <v>23</v>
      </c>
    </row>
    <row r="14975" spans="1:10" ht="13.2">
      <c r="A14975" s="7">
        <v>14974</v>
      </c>
      <c r="B14975" s="7">
        <v>1</v>
      </c>
      <c r="C14975" s="7" t="s">
        <v>10</v>
      </c>
      <c r="D14975" s="7">
        <v>19531</v>
      </c>
      <c r="E14975" s="7" t="s">
        <v>23</v>
      </c>
      <c r="F14975" s="8" t="str">
        <f ca="1">IFERROR(__xludf.DUMMYFUNCTION("IF
(
C14976=""фізична особа""
,
VLOOKUP(D14976,IMPORTRANGE(""https://docs.google.com/spreadsheets/d/14Bd19lYaqBhU8_DElYkX7l4wRkHqqCUFNJY4AfY3kHU/edit?usp=sharing  #gid=0"",""фіз особи new!relations_name""),6,FALSE)
,
(IF
(
C14976=""юридична особа""
,
VLOO"&amp;"KUP(D14976,IMPORTRANGE(""https://docs.google.com/spreadsheets/d/14Bd19lYaqBhU8_DElYkX7l4wRkHqqCUFNJY4AfY3kHU/edit?usp=sharing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5" s="7" t="s">
        <v>10</v>
      </c>
      <c r="H14975" s="7">
        <v>19528</v>
      </c>
      <c r="I14975" s="8" t="str">
        <f ca="1">IFERROR(__xludf.DUMMYFUNCTION("IF
(
G14976=""фізична особа""
,
VLOOKUP(H14976,IMPORTRANGE(""https://docs.google.com/spreadsheets/d/14Bd19lYaqBhU8_DElYkX7l4wRkHqqCUFNJY4AfY3kHU/edit?usp=sharing  #gid=0"",""фіз особи new!relations_name""),6,FALSE)
,
(IF
(
G14976=""юридична особа""
,
VLOO"&amp;"KUP(H14976,IMPORTRANGE(""https://docs.google.com/spreadsheets/d/14Bd19lYaqBhU8_DElYkX7l4wRkHqqCUFNJY4AfY3kHU/edit?usp=sharing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75" s="7" t="s">
        <v>23</v>
      </c>
    </row>
    <row r="14976" spans="1:10" ht="13.2">
      <c r="A14976" s="7">
        <v>14975</v>
      </c>
      <c r="B14976" s="7">
        <v>1</v>
      </c>
      <c r="C14976" s="7" t="s">
        <v>10</v>
      </c>
      <c r="D14976" s="7">
        <v>19531</v>
      </c>
      <c r="E14976" s="7" t="s">
        <v>23</v>
      </c>
      <c r="F14976" s="8" t="str">
        <f ca="1">IFERROR(__xludf.DUMMYFUNCTION("IF
(
C14977=""фізична особа""
,
VLOOKUP(D14977,IMPORTRANGE(""https://docs.google.com/spreadsheets/d/14Bd19lYaqBhU8_DElYkX7l4wRkHqqCUFNJY4AfY3kHU/edit?usp=sharing  #gid=0"",""фіз особи new!relations_name""),6,FALSE)
,
(IF
(
C14977=""юридична особа""
,
VLOO"&amp;"KUP(D14977,IMPORTRANGE(""https://docs.google.com/spreadsheets/d/14Bd19lYaqBhU8_DElYkX7l4wRkHqqCUFNJY4AfY3kHU/edit?usp=sharing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6" s="7" t="s">
        <v>10</v>
      </c>
      <c r="H14976" s="7">
        <v>19529</v>
      </c>
      <c r="I14976" s="8" t="str">
        <f ca="1">IFERROR(__xludf.DUMMYFUNCTION("IF
(
G14977=""фізична особа""
,
VLOOKUP(H14977,IMPORTRANGE(""https://docs.google.com/spreadsheets/d/14Bd19lYaqBhU8_DElYkX7l4wRkHqqCUFNJY4AfY3kHU/edit?usp=sharing  #gid=0"",""фіз особи new!relations_name""),6,FALSE)
,
(IF
(
G14977=""юридична особа""
,
VLOO"&amp;"KUP(H14977,IMPORTRANGE(""https://docs.google.com/spreadsheets/d/14Bd19lYaqBhU8_DElYkX7l4wRkHqqCUFNJY4AfY3kHU/edit?usp=sharing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4976" s="7" t="s">
        <v>23</v>
      </c>
    </row>
    <row r="14977" spans="1:10" ht="13.2">
      <c r="A14977" s="7">
        <v>14976</v>
      </c>
      <c r="B14977" s="7">
        <v>1</v>
      </c>
      <c r="C14977" s="7" t="s">
        <v>10</v>
      </c>
      <c r="D14977" s="7">
        <v>19531</v>
      </c>
      <c r="E14977" s="7" t="s">
        <v>23</v>
      </c>
      <c r="F14977" s="8" t="str">
        <f ca="1">IFERROR(__xludf.DUMMYFUNCTION("IF
(
C14978=""фізична особа""
,
VLOOKUP(D14978,IMPORTRANGE(""https://docs.google.com/spreadsheets/d/14Bd19lYaqBhU8_DElYkX7l4wRkHqqCUFNJY4AfY3kHU/edit?usp=sharing  #gid=0"",""фіз особи new!relations_name""),6,FALSE)
,
(IF
(
C14978=""юридична особа""
,
VLOO"&amp;"KUP(D14978,IMPORTRANGE(""https://docs.google.com/spreadsheets/d/14Bd19lYaqBhU8_DElYkX7l4wRkHqqCUFNJY4AfY3kHU/edit?usp=sharing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7" s="7" t="s">
        <v>10</v>
      </c>
      <c r="H14977" s="7">
        <v>19530</v>
      </c>
      <c r="I14977" s="8" t="str">
        <f ca="1">IFERROR(__xludf.DUMMYFUNCTION("IF
(
G14978=""фізична особа""
,
VLOOKUP(H14978,IMPORTRANGE(""https://docs.google.com/spreadsheets/d/14Bd19lYaqBhU8_DElYkX7l4wRkHqqCUFNJY4AfY3kHU/edit?usp=sharing  #gid=0"",""фіз особи new!relations_name""),6,FALSE)
,
(IF
(
G14978=""юридична особа""
,
VLOO"&amp;"KUP(H14978,IMPORTRANGE(""https://docs.google.com/spreadsheets/d/14Bd19lYaqBhU8_DElYkX7l4wRkHqqCUFNJY4AfY3kHU/edit?usp=sharing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4977" s="7" t="s">
        <v>23</v>
      </c>
    </row>
    <row r="14978" spans="1:10" ht="13.2">
      <c r="A14978" s="7">
        <v>14977</v>
      </c>
      <c r="B14978" s="7">
        <v>1</v>
      </c>
      <c r="C14978" s="7" t="s">
        <v>10</v>
      </c>
      <c r="D14978" s="7">
        <v>19531</v>
      </c>
      <c r="E14978" s="7" t="s">
        <v>23</v>
      </c>
      <c r="F14978" s="8" t="str">
        <f ca="1">IFERROR(__xludf.DUMMYFUNCTION("IF
(
C14979=""фізична особа""
,
VLOOKUP(D14979,IMPORTRANGE(""https://docs.google.com/spreadsheets/d/14Bd19lYaqBhU8_DElYkX7l4wRkHqqCUFNJY4AfY3kHU/edit?usp=sharing  #gid=0"",""фіз особи new!relations_name""),6,FALSE)
,
(IF
(
C14979=""юридична особа""
,
VLOO"&amp;"KUP(D14979,IMPORTRANGE(""https://docs.google.com/spreadsheets/d/14Bd19lYaqBhU8_DElYkX7l4wRkHqqCUFNJY4AfY3kHU/edit?usp=sharing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8" s="7" t="s">
        <v>10</v>
      </c>
      <c r="H14978" s="7">
        <v>19532</v>
      </c>
      <c r="I14978" s="8" t="str">
        <f ca="1">IFERROR(__xludf.DUMMYFUNCTION("IF
(
G14979=""фізична особа""
,
VLOOKUP(H14979,IMPORTRANGE(""https://docs.google.com/spreadsheets/d/14Bd19lYaqBhU8_DElYkX7l4wRkHqqCUFNJY4AfY3kHU/edit?usp=sharing  #gid=0"",""фіз особи new!relations_name""),6,FALSE)
,
(IF
(
G14979=""юридична особа""
,
VLOO"&amp;"KUP(H14979,IMPORTRANGE(""https://docs.google.com/spreadsheets/d/14Bd19lYaqBhU8_DElYkX7l4wRkHqqCUFNJY4AfY3kHU/edit?usp=sharing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4978" s="7" t="s">
        <v>23</v>
      </c>
    </row>
    <row r="14979" spans="1:10" ht="13.2">
      <c r="A14979" s="7">
        <v>14978</v>
      </c>
      <c r="B14979" s="7">
        <v>1</v>
      </c>
      <c r="C14979" s="7" t="s">
        <v>10</v>
      </c>
      <c r="D14979" s="7">
        <v>19531</v>
      </c>
      <c r="E14979" s="7" t="s">
        <v>23</v>
      </c>
      <c r="F14979" s="8" t="str">
        <f ca="1">IFERROR(__xludf.DUMMYFUNCTION("IF
(
C14980=""фізична особа""
,
VLOOKUP(D14980,IMPORTRANGE(""https://docs.google.com/spreadsheets/d/14Bd19lYaqBhU8_DElYkX7l4wRkHqqCUFNJY4AfY3kHU/edit?usp=sharing  #gid=0"",""фіз особи new!relations_name""),6,FALSE)
,
(IF
(
C14980=""юридична особа""
,
VLOO"&amp;"KUP(D14980,IMPORTRANGE(""https://docs.google.com/spreadsheets/d/14Bd19lYaqBhU8_DElYkX7l4wRkHqqCUFNJY4AfY3kHU/edit?usp=sharing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79" s="7" t="s">
        <v>10</v>
      </c>
      <c r="H14979" s="7">
        <v>19533</v>
      </c>
      <c r="I14979" s="8" t="str">
        <f ca="1">IFERROR(__xludf.DUMMYFUNCTION("IF
(
G14980=""фізична особа""
,
VLOOKUP(H14980,IMPORTRANGE(""https://docs.google.com/spreadsheets/d/14Bd19lYaqBhU8_DElYkX7l4wRkHqqCUFNJY4AfY3kHU/edit?usp=sharing  #gid=0"",""фіз особи new!relations_name""),6,FALSE)
,
(IF
(
G14980=""юридична особа""
,
VLOO"&amp;"KUP(H14980,IMPORTRANGE(""https://docs.google.com/spreadsheets/d/14Bd19lYaqBhU8_DElYkX7l4wRkHqqCUFNJY4AfY3kHU/edit?usp=sharing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79" s="7" t="s">
        <v>23</v>
      </c>
    </row>
    <row r="14980" spans="1:10" ht="13.2">
      <c r="A14980" s="7">
        <v>14979</v>
      </c>
      <c r="B14980" s="7">
        <v>1</v>
      </c>
      <c r="C14980" s="7" t="s">
        <v>10</v>
      </c>
      <c r="D14980" s="7">
        <v>19531</v>
      </c>
      <c r="E14980" s="7" t="s">
        <v>23</v>
      </c>
      <c r="F14980" s="8" t="str">
        <f ca="1">IFERROR(__xludf.DUMMYFUNCTION("IF
(
C14981=""фізична особа""
,
VLOOKUP(D14981,IMPORTRANGE(""https://docs.google.com/spreadsheets/d/14Bd19lYaqBhU8_DElYkX7l4wRkHqqCUFNJY4AfY3kHU/edit?usp=sharing  #gid=0"",""фіз особи new!relations_name""),6,FALSE)
,
(IF
(
C14981=""юридична особа""
,
VLOO"&amp;"KUP(D14981,IMPORTRANGE(""https://docs.google.com/spreadsheets/d/14Bd19lYaqBhU8_DElYkX7l4wRkHqqCUFNJY4AfY3kHU/edit?usp=sharing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0" s="7" t="s">
        <v>10</v>
      </c>
      <c r="H14980" s="7">
        <v>19534</v>
      </c>
      <c r="I14980" s="8" t="str">
        <f ca="1">IFERROR(__xludf.DUMMYFUNCTION("IF
(
G14981=""фізична особа""
,
VLOOKUP(H14981,IMPORTRANGE(""https://docs.google.com/spreadsheets/d/14Bd19lYaqBhU8_DElYkX7l4wRkHqqCUFNJY4AfY3kHU/edit?usp=sharing  #gid=0"",""фіз особи new!relations_name""),6,FALSE)
,
(IF
(
G14981=""юридична особа""
,
VLOO"&amp;"KUP(H14981,IMPORTRANGE(""https://docs.google.com/spreadsheets/d/14Bd19lYaqBhU8_DElYkX7l4wRkHqqCUFNJY4AfY3kHU/edit?usp=sharing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80" s="7" t="s">
        <v>23</v>
      </c>
    </row>
    <row r="14981" spans="1:10" ht="13.2">
      <c r="A14981" s="7">
        <v>14980</v>
      </c>
      <c r="B14981" s="7">
        <v>1</v>
      </c>
      <c r="C14981" s="7" t="s">
        <v>10</v>
      </c>
      <c r="D14981" s="7">
        <v>19531</v>
      </c>
      <c r="E14981" s="7" t="s">
        <v>23</v>
      </c>
      <c r="F14981" s="8" t="str">
        <f ca="1">IFERROR(__xludf.DUMMYFUNCTION("IF
(
C14982=""фізична особа""
,
VLOOKUP(D14982,IMPORTRANGE(""https://docs.google.com/spreadsheets/d/14Bd19lYaqBhU8_DElYkX7l4wRkHqqCUFNJY4AfY3kHU/edit?usp=sharing  #gid=0"",""фіз особи new!relations_name""),6,FALSE)
,
(IF
(
C14982=""юридична особа""
,
VLOO"&amp;"KUP(D14982,IMPORTRANGE(""https://docs.google.com/spreadsheets/d/14Bd19lYaqBhU8_DElYkX7l4wRkHqqCUFNJY4AfY3kHU/edit?usp=sharing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1" s="7" t="s">
        <v>10</v>
      </c>
      <c r="H14981" s="7">
        <v>19535</v>
      </c>
      <c r="I14981" s="8" t="str">
        <f ca="1">IFERROR(__xludf.DUMMYFUNCTION("IF
(
G14982=""фізична особа""
,
VLOOKUP(H14982,IMPORTRANGE(""https://docs.google.com/spreadsheets/d/14Bd19lYaqBhU8_DElYkX7l4wRkHqqCUFNJY4AfY3kHU/edit?usp=sharing  #gid=0"",""фіз особи new!relations_name""),6,FALSE)
,
(IF
(
G14982=""юридична особа""
,
VLOO"&amp;"KUP(H14982,IMPORTRANGE(""https://docs.google.com/spreadsheets/d/14Bd19lYaqBhU8_DElYkX7l4wRkHqqCUFNJY4AfY3kHU/edit?usp=sharing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81" s="7" t="s">
        <v>23</v>
      </c>
    </row>
    <row r="14982" spans="1:10" ht="13.2">
      <c r="A14982" s="7">
        <v>14981</v>
      </c>
      <c r="B14982" s="7">
        <v>1</v>
      </c>
      <c r="C14982" s="7" t="s">
        <v>10</v>
      </c>
      <c r="D14982" s="7">
        <v>19531</v>
      </c>
      <c r="E14982" s="7" t="s">
        <v>23</v>
      </c>
      <c r="F14982" s="8" t="str">
        <f ca="1">IFERROR(__xludf.DUMMYFUNCTION("IF
(
C14983=""фізична особа""
,
VLOOKUP(D14983,IMPORTRANGE(""https://docs.google.com/spreadsheets/d/14Bd19lYaqBhU8_DElYkX7l4wRkHqqCUFNJY4AfY3kHU/edit?usp=sharing  #gid=0"",""фіз особи new!relations_name""),6,FALSE)
,
(IF
(
C14983=""юридична особа""
,
VLOO"&amp;"KUP(D14983,IMPORTRANGE(""https://docs.google.com/spreadsheets/d/14Bd19lYaqBhU8_DElYkX7l4wRkHqqCUFNJY4AfY3kHU/edit?usp=sharing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2" s="7" t="s">
        <v>10</v>
      </c>
      <c r="H14982" s="7">
        <v>19536</v>
      </c>
      <c r="I14982" s="8" t="str">
        <f ca="1">IFERROR(__xludf.DUMMYFUNCTION("IF
(
G14983=""фізична особа""
,
VLOOKUP(H14983,IMPORTRANGE(""https://docs.google.com/spreadsheets/d/14Bd19lYaqBhU8_DElYkX7l4wRkHqqCUFNJY4AfY3kHU/edit?usp=sharing  #gid=0"",""фіз особи new!relations_name""),6,FALSE)
,
(IF
(
G14983=""юридична особа""
,
VLOO"&amp;"KUP(H14983,IMPORTRANGE(""https://docs.google.com/spreadsheets/d/14Bd19lYaqBhU8_DElYkX7l4wRkHqqCUFNJY4AfY3kHU/edit?usp=sharing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82" s="7" t="s">
        <v>23</v>
      </c>
    </row>
    <row r="14983" spans="1:10" ht="13.2">
      <c r="A14983" s="7">
        <v>14982</v>
      </c>
      <c r="B14983" s="7">
        <v>1</v>
      </c>
      <c r="C14983" s="7" t="s">
        <v>10</v>
      </c>
      <c r="D14983" s="7">
        <v>19531</v>
      </c>
      <c r="E14983" s="7" t="s">
        <v>23</v>
      </c>
      <c r="F14983" s="8" t="str">
        <f ca="1">IFERROR(__xludf.DUMMYFUNCTION("IF
(
C14984=""фізична особа""
,
VLOOKUP(D14984,IMPORTRANGE(""https://docs.google.com/spreadsheets/d/14Bd19lYaqBhU8_DElYkX7l4wRkHqqCUFNJY4AfY3kHU/edit?usp=sharing  #gid=0"",""фіз особи new!relations_name""),6,FALSE)
,
(IF
(
C14984=""юридична особа""
,
VLOO"&amp;"KUP(D14984,IMPORTRANGE(""https://docs.google.com/spreadsheets/d/14Bd19lYaqBhU8_DElYkX7l4wRkHqqCUFNJY4AfY3kHU/edit?usp=sharing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3" s="7" t="s">
        <v>10</v>
      </c>
      <c r="H14983" s="7">
        <v>19537</v>
      </c>
      <c r="I14983" s="8" t="str">
        <f ca="1">IFERROR(__xludf.DUMMYFUNCTION("IF
(
G14984=""фізична особа""
,
VLOOKUP(H14984,IMPORTRANGE(""https://docs.google.com/spreadsheets/d/14Bd19lYaqBhU8_DElYkX7l4wRkHqqCUFNJY4AfY3kHU/edit?usp=sharing  #gid=0"",""фіз особи new!relations_name""),6,FALSE)
,
(IF
(
G14984=""юридична особа""
,
VLOO"&amp;"KUP(H14984,IMPORTRANGE(""https://docs.google.com/spreadsheets/d/14Bd19lYaqBhU8_DElYkX7l4wRkHqqCUFNJY4AfY3kHU/edit?usp=sharing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83" s="7" t="s">
        <v>23</v>
      </c>
    </row>
    <row r="14984" spans="1:10" ht="13.2">
      <c r="A14984" s="7">
        <v>14983</v>
      </c>
      <c r="B14984" s="7">
        <v>1</v>
      </c>
      <c r="C14984" s="7" t="s">
        <v>10</v>
      </c>
      <c r="D14984" s="7">
        <v>19531</v>
      </c>
      <c r="E14984" s="7" t="s">
        <v>23</v>
      </c>
      <c r="F14984" s="8" t="str">
        <f ca="1">IFERROR(__xludf.DUMMYFUNCTION("IF
(
C14985=""фізична особа""
,
VLOOKUP(D14985,IMPORTRANGE(""https://docs.google.com/spreadsheets/d/14Bd19lYaqBhU8_DElYkX7l4wRkHqqCUFNJY4AfY3kHU/edit?usp=sharing  #gid=0"",""фіз особи new!relations_name""),6,FALSE)
,
(IF
(
C14985=""юридична особа""
,
VLOO"&amp;"KUP(D14985,IMPORTRANGE(""https://docs.google.com/spreadsheets/d/14Bd19lYaqBhU8_DElYkX7l4wRkHqqCUFNJY4AfY3kHU/edit?usp=sharing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4" s="7" t="s">
        <v>10</v>
      </c>
      <c r="H14984" s="7">
        <v>19538</v>
      </c>
      <c r="I14984" s="8" t="str">
        <f ca="1">IFERROR(__xludf.DUMMYFUNCTION("IF
(
G14985=""фізична особа""
,
VLOOKUP(H14985,IMPORTRANGE(""https://docs.google.com/spreadsheets/d/14Bd19lYaqBhU8_DElYkX7l4wRkHqqCUFNJY4AfY3kHU/edit?usp=sharing  #gid=0"",""фіз особи new!relations_name""),6,FALSE)
,
(IF
(
G14985=""юридична особа""
,
VLOO"&amp;"KUP(H14985,IMPORTRANGE(""https://docs.google.com/spreadsheets/d/14Bd19lYaqBhU8_DElYkX7l4wRkHqqCUFNJY4AfY3kHU/edit?usp=sharing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84" s="7" t="s">
        <v>23</v>
      </c>
    </row>
    <row r="14985" spans="1:10" ht="13.2">
      <c r="A14985" s="7">
        <v>14984</v>
      </c>
      <c r="B14985" s="7">
        <v>1</v>
      </c>
      <c r="C14985" s="7" t="s">
        <v>10</v>
      </c>
      <c r="D14985" s="7">
        <v>19531</v>
      </c>
      <c r="E14985" s="7" t="s">
        <v>23</v>
      </c>
      <c r="F14985" s="8" t="str">
        <f ca="1">IFERROR(__xludf.DUMMYFUNCTION("IF
(
C14986=""фізична особа""
,
VLOOKUP(D14986,IMPORTRANGE(""https://docs.google.com/spreadsheets/d/14Bd19lYaqBhU8_DElYkX7l4wRkHqqCUFNJY4AfY3kHU/edit?usp=sharing  #gid=0"",""фіз особи new!relations_name""),6,FALSE)
,
(IF
(
C14986=""юридична особа""
,
VLOO"&amp;"KUP(D14986,IMPORTRANGE(""https://docs.google.com/spreadsheets/d/14Bd19lYaqBhU8_DElYkX7l4wRkHqqCUFNJY4AfY3kHU/edit?usp=sharing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G14985" s="7" t="s">
        <v>10</v>
      </c>
      <c r="H14985" s="7">
        <v>19539</v>
      </c>
      <c r="I14985" s="8" t="str">
        <f ca="1">IFERROR(__xludf.DUMMYFUNCTION("IF
(
G14986=""фізична особа""
,
VLOOKUP(H14986,IMPORTRANGE(""https://docs.google.com/spreadsheets/d/14Bd19lYaqBhU8_DElYkX7l4wRkHqqCUFNJY4AfY3kHU/edit?usp=sharing  #gid=0"",""фіз особи new!relations_name""),6,FALSE)
,
(IF
(
G14986=""юридична особа""
,
VLOO"&amp;"KUP(H14986,IMPORTRANGE(""https://docs.google.com/spreadsheets/d/14Bd19lYaqBhU8_DElYkX7l4wRkHqqCUFNJY4AfY3kHU/edit?usp=sharing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85" s="7" t="s">
        <v>23</v>
      </c>
    </row>
    <row r="14986" spans="1:10" ht="13.2">
      <c r="A14986" s="7">
        <v>14985</v>
      </c>
      <c r="B14986" s="7">
        <v>1</v>
      </c>
      <c r="C14986" s="7" t="s">
        <v>10</v>
      </c>
      <c r="D14986" s="7">
        <v>19532</v>
      </c>
      <c r="E14986" s="7" t="s">
        <v>23</v>
      </c>
      <c r="F14986" s="8" t="str">
        <f ca="1">IFERROR(__xludf.DUMMYFUNCTION("IF
(
C14987=""фізична особа""
,
VLOOKUP(D14987,IMPORTRANGE(""https://docs.google.com/spreadsheets/d/14Bd19lYaqBhU8_DElYkX7l4wRkHqqCUFNJY4AfY3kHU/edit?usp=sharing  #gid=0"",""фіз особи new!relations_name""),6,FALSE)
,
(IF
(
C14987=""юридична особа""
,
VLOO"&amp;"KUP(D14987,IMPORTRANGE(""https://docs.google.com/spreadsheets/d/14Bd19lYaqBhU8_DElYkX7l4wRkHqqCUFNJY4AfY3kHU/edit?usp=sharing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86" s="7" t="s">
        <v>10</v>
      </c>
      <c r="H14986" s="7">
        <v>19527</v>
      </c>
      <c r="I14986" s="8" t="str">
        <f ca="1">IFERROR(__xludf.DUMMYFUNCTION("IF
(
G14987=""фізична особа""
,
VLOOKUP(H14987,IMPORTRANGE(""https://docs.google.com/spreadsheets/d/14Bd19lYaqBhU8_DElYkX7l4wRkHqqCUFNJY4AfY3kHU/edit?usp=sharing  #gid=0"",""фіз особи new!relations_name""),6,FALSE)
,
(IF
(
G14987=""юридична особа""
,
VLOO"&amp;"KUP(H14987,IMPORTRANGE(""https://docs.google.com/spreadsheets/d/14Bd19lYaqBhU8_DElYkX7l4wRkHqqCUFNJY4AfY3kHU/edit?usp=sharing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86" s="7" t="s">
        <v>23</v>
      </c>
    </row>
    <row r="14987" spans="1:10" ht="13.2">
      <c r="A14987" s="7">
        <v>14986</v>
      </c>
      <c r="B14987" s="7">
        <v>1</v>
      </c>
      <c r="C14987" s="7" t="s">
        <v>10</v>
      </c>
      <c r="D14987" s="7">
        <v>19532</v>
      </c>
      <c r="E14987" s="7" t="s">
        <v>23</v>
      </c>
      <c r="F14987" s="8" t="str">
        <f ca="1">IFERROR(__xludf.DUMMYFUNCTION("IF
(
C14988=""фізична особа""
,
VLOOKUP(D14988,IMPORTRANGE(""https://docs.google.com/spreadsheets/d/14Bd19lYaqBhU8_DElYkX7l4wRkHqqCUFNJY4AfY3kHU/edit?usp=sharing  #gid=0"",""фіз особи new!relations_name""),6,FALSE)
,
(IF
(
C14988=""юридична особа""
,
VLOO"&amp;"KUP(D14988,IMPORTRANGE(""https://docs.google.com/spreadsheets/d/14Bd19lYaqBhU8_DElYkX7l4wRkHqqCUFNJY4AfY3kHU/edit?usp=sharing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87" s="7" t="s">
        <v>10</v>
      </c>
      <c r="H14987" s="7">
        <v>19528</v>
      </c>
      <c r="I14987" s="8" t="str">
        <f ca="1">IFERROR(__xludf.DUMMYFUNCTION("IF
(
G14988=""фізична особа""
,
VLOOKUP(H14988,IMPORTRANGE(""https://docs.google.com/spreadsheets/d/14Bd19lYaqBhU8_DElYkX7l4wRkHqqCUFNJY4AfY3kHU/edit?usp=sharing  #gid=0"",""фіз особи new!relations_name""),6,FALSE)
,
(IF
(
G14988=""юридична особа""
,
VLOO"&amp;"KUP(H14988,IMPORTRANGE(""https://docs.google.com/spreadsheets/d/14Bd19lYaqBhU8_DElYkX7l4wRkHqqCUFNJY4AfY3kHU/edit?usp=sharing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87" s="7" t="s">
        <v>23</v>
      </c>
    </row>
    <row r="14988" spans="1:10" ht="13.2">
      <c r="A14988" s="7">
        <v>14987</v>
      </c>
      <c r="B14988" s="7">
        <v>1</v>
      </c>
      <c r="C14988" s="7" t="s">
        <v>10</v>
      </c>
      <c r="D14988" s="7">
        <v>19532</v>
      </c>
      <c r="E14988" s="7" t="s">
        <v>23</v>
      </c>
      <c r="F14988" s="8" t="str">
        <f ca="1">IFERROR(__xludf.DUMMYFUNCTION("IF
(
C14989=""фізична особа""
,
VLOOKUP(D14989,IMPORTRANGE(""https://docs.google.com/spreadsheets/d/14Bd19lYaqBhU8_DElYkX7l4wRkHqqCUFNJY4AfY3kHU/edit?usp=sharing  #gid=0"",""фіз особи new!relations_name""),6,FALSE)
,
(IF
(
C14989=""юридична особа""
,
VLOO"&amp;"KUP(D14989,IMPORTRANGE(""https://docs.google.com/spreadsheets/d/14Bd19lYaqBhU8_DElYkX7l4wRkHqqCUFNJY4AfY3kHU/edit?usp=sharing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88" s="7" t="s">
        <v>10</v>
      </c>
      <c r="H14988" s="7">
        <v>19529</v>
      </c>
      <c r="I14988" s="8" t="str">
        <f ca="1">IFERROR(__xludf.DUMMYFUNCTION("IF
(
G14989=""фізична особа""
,
VLOOKUP(H14989,IMPORTRANGE(""https://docs.google.com/spreadsheets/d/14Bd19lYaqBhU8_DElYkX7l4wRkHqqCUFNJY4AfY3kHU/edit?usp=sharing  #gid=0"",""фіз особи new!relations_name""),6,FALSE)
,
(IF
(
G14989=""юридична особа""
,
VLOO"&amp;"KUP(H14989,IMPORTRANGE(""https://docs.google.com/spreadsheets/d/14Bd19lYaqBhU8_DElYkX7l4wRkHqqCUFNJY4AfY3kHU/edit?usp=sharing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4988" s="7" t="s">
        <v>23</v>
      </c>
    </row>
    <row r="14989" spans="1:10" ht="13.2">
      <c r="A14989" s="7">
        <v>14988</v>
      </c>
      <c r="B14989" s="7">
        <v>1</v>
      </c>
      <c r="C14989" s="7" t="s">
        <v>10</v>
      </c>
      <c r="D14989" s="7">
        <v>19532</v>
      </c>
      <c r="E14989" s="7" t="s">
        <v>23</v>
      </c>
      <c r="F14989" s="8" t="str">
        <f ca="1">IFERROR(__xludf.DUMMYFUNCTION("IF
(
C14990=""фізична особа""
,
VLOOKUP(D14990,IMPORTRANGE(""https://docs.google.com/spreadsheets/d/14Bd19lYaqBhU8_DElYkX7l4wRkHqqCUFNJY4AfY3kHU/edit?usp=sharing  #gid=0"",""фіз особи new!relations_name""),6,FALSE)
,
(IF
(
C14990=""юридична особа""
,
VLOO"&amp;"KUP(D14990,IMPORTRANGE(""https://docs.google.com/spreadsheets/d/14Bd19lYaqBhU8_DElYkX7l4wRkHqqCUFNJY4AfY3kHU/edit?usp=sharing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89" s="7" t="s">
        <v>10</v>
      </c>
      <c r="H14989" s="7">
        <v>19530</v>
      </c>
      <c r="I14989" s="8" t="str">
        <f ca="1">IFERROR(__xludf.DUMMYFUNCTION("IF
(
G14990=""фізична особа""
,
VLOOKUP(H14990,IMPORTRANGE(""https://docs.google.com/spreadsheets/d/14Bd19lYaqBhU8_DElYkX7l4wRkHqqCUFNJY4AfY3kHU/edit?usp=sharing  #gid=0"",""фіз особи new!relations_name""),6,FALSE)
,
(IF
(
G14990=""юридична особа""
,
VLOO"&amp;"KUP(H14990,IMPORTRANGE(""https://docs.google.com/spreadsheets/d/14Bd19lYaqBhU8_DElYkX7l4wRkHqqCUFNJY4AfY3kHU/edit?usp=sharing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4989" s="7" t="s">
        <v>23</v>
      </c>
    </row>
    <row r="14990" spans="1:10" ht="13.2">
      <c r="A14990" s="7">
        <v>14989</v>
      </c>
      <c r="B14990" s="7">
        <v>1</v>
      </c>
      <c r="C14990" s="7" t="s">
        <v>10</v>
      </c>
      <c r="D14990" s="7">
        <v>19532</v>
      </c>
      <c r="E14990" s="7" t="s">
        <v>23</v>
      </c>
      <c r="F14990" s="8" t="str">
        <f ca="1">IFERROR(__xludf.DUMMYFUNCTION("IF
(
C14991=""фізична особа""
,
VLOOKUP(D14991,IMPORTRANGE(""https://docs.google.com/spreadsheets/d/14Bd19lYaqBhU8_DElYkX7l4wRkHqqCUFNJY4AfY3kHU/edit?usp=sharing  #gid=0"",""фіз особи new!relations_name""),6,FALSE)
,
(IF
(
C14991=""юридична особа""
,
VLOO"&amp;"KUP(D14991,IMPORTRANGE(""https://docs.google.com/spreadsheets/d/14Bd19lYaqBhU8_DElYkX7l4wRkHqqCUFNJY4AfY3kHU/edit?usp=sharing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0" s="7" t="s">
        <v>10</v>
      </c>
      <c r="H14990" s="7">
        <v>19531</v>
      </c>
      <c r="I14990" s="8" t="str">
        <f ca="1">IFERROR(__xludf.DUMMYFUNCTION("IF
(
G14991=""фізична особа""
,
VLOOKUP(H14991,IMPORTRANGE(""https://docs.google.com/spreadsheets/d/14Bd19lYaqBhU8_DElYkX7l4wRkHqqCUFNJY4AfY3kHU/edit?usp=sharing  #gid=0"",""фіз особи new!relations_name""),6,FALSE)
,
(IF
(
G14991=""юридична особа""
,
VLOO"&amp;"KUP(H14991,IMPORTRANGE(""https://docs.google.com/spreadsheets/d/14Bd19lYaqBhU8_DElYkX7l4wRkHqqCUFNJY4AfY3kHU/edit?usp=sharing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4990" s="7" t="s">
        <v>23</v>
      </c>
    </row>
    <row r="14991" spans="1:10" ht="13.2">
      <c r="A14991" s="7">
        <v>14990</v>
      </c>
      <c r="B14991" s="7">
        <v>1</v>
      </c>
      <c r="C14991" s="7" t="s">
        <v>10</v>
      </c>
      <c r="D14991" s="7">
        <v>19532</v>
      </c>
      <c r="E14991" s="7" t="s">
        <v>23</v>
      </c>
      <c r="F14991" s="8" t="str">
        <f ca="1">IFERROR(__xludf.DUMMYFUNCTION("IF
(
C14992=""фізична особа""
,
VLOOKUP(D14992,IMPORTRANGE(""https://docs.google.com/spreadsheets/d/14Bd19lYaqBhU8_DElYkX7l4wRkHqqCUFNJY4AfY3kHU/edit?usp=sharing  #gid=0"",""фіз особи new!relations_name""),6,FALSE)
,
(IF
(
C14992=""юридична особа""
,
VLOO"&amp;"KUP(D14992,IMPORTRANGE(""https://docs.google.com/spreadsheets/d/14Bd19lYaqBhU8_DElYkX7l4wRkHqqCUFNJY4AfY3kHU/edit?usp=sharing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1" s="7" t="s">
        <v>10</v>
      </c>
      <c r="H14991" s="7">
        <v>19533</v>
      </c>
      <c r="I14991" s="8" t="str">
        <f ca="1">IFERROR(__xludf.DUMMYFUNCTION("IF
(
G14992=""фізична особа""
,
VLOOKUP(H14992,IMPORTRANGE(""https://docs.google.com/spreadsheets/d/14Bd19lYaqBhU8_DElYkX7l4wRkHqqCUFNJY4AfY3kHU/edit?usp=sharing  #gid=0"",""фіз особи new!relations_name""),6,FALSE)
,
(IF
(
G14992=""юридична особа""
,
VLOO"&amp;"KUP(H14992,IMPORTRANGE(""https://docs.google.com/spreadsheets/d/14Bd19lYaqBhU8_DElYkX7l4wRkHqqCUFNJY4AfY3kHU/edit?usp=sharing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4991" s="7" t="s">
        <v>23</v>
      </c>
    </row>
    <row r="14992" spans="1:10" ht="13.2">
      <c r="A14992" s="7">
        <v>14991</v>
      </c>
      <c r="B14992" s="7">
        <v>1</v>
      </c>
      <c r="C14992" s="7" t="s">
        <v>10</v>
      </c>
      <c r="D14992" s="7">
        <v>19532</v>
      </c>
      <c r="E14992" s="7" t="s">
        <v>23</v>
      </c>
      <c r="F14992" s="8" t="str">
        <f ca="1">IFERROR(__xludf.DUMMYFUNCTION("IF
(
C14993=""фізична особа""
,
VLOOKUP(D14993,IMPORTRANGE(""https://docs.google.com/spreadsheets/d/14Bd19lYaqBhU8_DElYkX7l4wRkHqqCUFNJY4AfY3kHU/edit?usp=sharing  #gid=0"",""фіз особи new!relations_name""),6,FALSE)
,
(IF
(
C14993=""юридична особа""
,
VLOO"&amp;"KUP(D14993,IMPORTRANGE(""https://docs.google.com/spreadsheets/d/14Bd19lYaqBhU8_DElYkX7l4wRkHqqCUFNJY4AfY3kHU/edit?usp=sharing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2" s="7" t="s">
        <v>10</v>
      </c>
      <c r="H14992" s="7">
        <v>19534</v>
      </c>
      <c r="I14992" s="8" t="str">
        <f ca="1">IFERROR(__xludf.DUMMYFUNCTION("IF
(
G14993=""фізична особа""
,
VLOOKUP(H14993,IMPORTRANGE(""https://docs.google.com/spreadsheets/d/14Bd19lYaqBhU8_DElYkX7l4wRkHqqCUFNJY4AfY3kHU/edit?usp=sharing  #gid=0"",""фіз особи new!relations_name""),6,FALSE)
,
(IF
(
G14993=""юридична особа""
,
VLOO"&amp;"KUP(H14993,IMPORTRANGE(""https://docs.google.com/spreadsheets/d/14Bd19lYaqBhU8_DElYkX7l4wRkHqqCUFNJY4AfY3kHU/edit?usp=sharing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4992" s="7" t="s">
        <v>23</v>
      </c>
    </row>
    <row r="14993" spans="1:10" ht="13.2">
      <c r="A14993" s="7">
        <v>14992</v>
      </c>
      <c r="B14993" s="7">
        <v>1</v>
      </c>
      <c r="C14993" s="7" t="s">
        <v>10</v>
      </c>
      <c r="D14993" s="7">
        <v>19532</v>
      </c>
      <c r="E14993" s="7" t="s">
        <v>23</v>
      </c>
      <c r="F14993" s="8" t="str">
        <f ca="1">IFERROR(__xludf.DUMMYFUNCTION("IF
(
C14994=""фізична особа""
,
VLOOKUP(D14994,IMPORTRANGE(""https://docs.google.com/spreadsheets/d/14Bd19lYaqBhU8_DElYkX7l4wRkHqqCUFNJY4AfY3kHU/edit?usp=sharing  #gid=0"",""фіз особи new!relations_name""),6,FALSE)
,
(IF
(
C14994=""юридична особа""
,
VLOO"&amp;"KUP(D14994,IMPORTRANGE(""https://docs.google.com/spreadsheets/d/14Bd19lYaqBhU8_DElYkX7l4wRkHqqCUFNJY4AfY3kHU/edit?usp=sharing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3" s="7" t="s">
        <v>10</v>
      </c>
      <c r="H14993" s="7">
        <v>19535</v>
      </c>
      <c r="I14993" s="8" t="str">
        <f ca="1">IFERROR(__xludf.DUMMYFUNCTION("IF
(
G14994=""фізична особа""
,
VLOOKUP(H14994,IMPORTRANGE(""https://docs.google.com/spreadsheets/d/14Bd19lYaqBhU8_DElYkX7l4wRkHqqCUFNJY4AfY3kHU/edit?usp=sharing  #gid=0"",""фіз особи new!relations_name""),6,FALSE)
,
(IF
(
G14994=""юридична особа""
,
VLOO"&amp;"KUP(H14994,IMPORTRANGE(""https://docs.google.com/spreadsheets/d/14Bd19lYaqBhU8_DElYkX7l4wRkHqqCUFNJY4AfY3kHU/edit?usp=sharing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4993" s="7" t="s">
        <v>23</v>
      </c>
    </row>
    <row r="14994" spans="1:10" ht="13.2">
      <c r="A14994" s="7">
        <v>14993</v>
      </c>
      <c r="B14994" s="7">
        <v>1</v>
      </c>
      <c r="C14994" s="7" t="s">
        <v>10</v>
      </c>
      <c r="D14994" s="7">
        <v>19532</v>
      </c>
      <c r="E14994" s="7" t="s">
        <v>23</v>
      </c>
      <c r="F14994" s="8" t="str">
        <f ca="1">IFERROR(__xludf.DUMMYFUNCTION("IF
(
C14995=""фізична особа""
,
VLOOKUP(D14995,IMPORTRANGE(""https://docs.google.com/spreadsheets/d/14Bd19lYaqBhU8_DElYkX7l4wRkHqqCUFNJY4AfY3kHU/edit?usp=sharing  #gid=0"",""фіз особи new!relations_name""),6,FALSE)
,
(IF
(
C14995=""юридична особа""
,
VLOO"&amp;"KUP(D14995,IMPORTRANGE(""https://docs.google.com/spreadsheets/d/14Bd19lYaqBhU8_DElYkX7l4wRkHqqCUFNJY4AfY3kHU/edit?usp=sharing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4" s="7" t="s">
        <v>10</v>
      </c>
      <c r="H14994" s="7">
        <v>19536</v>
      </c>
      <c r="I14994" s="8" t="str">
        <f ca="1">IFERROR(__xludf.DUMMYFUNCTION("IF
(
G14995=""фізична особа""
,
VLOOKUP(H14995,IMPORTRANGE(""https://docs.google.com/spreadsheets/d/14Bd19lYaqBhU8_DElYkX7l4wRkHqqCUFNJY4AfY3kHU/edit?usp=sharing  #gid=0"",""фіз особи new!relations_name""),6,FALSE)
,
(IF
(
G14995=""юридична особа""
,
VLOO"&amp;"KUP(H14995,IMPORTRANGE(""https://docs.google.com/spreadsheets/d/14Bd19lYaqBhU8_DElYkX7l4wRkHqqCUFNJY4AfY3kHU/edit?usp=sharing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4994" s="7" t="s">
        <v>23</v>
      </c>
    </row>
    <row r="14995" spans="1:10" ht="13.2">
      <c r="A14995" s="7">
        <v>14994</v>
      </c>
      <c r="B14995" s="7">
        <v>1</v>
      </c>
      <c r="C14995" s="7" t="s">
        <v>10</v>
      </c>
      <c r="D14995" s="7">
        <v>19532</v>
      </c>
      <c r="E14995" s="7" t="s">
        <v>23</v>
      </c>
      <c r="F14995" s="8" t="str">
        <f ca="1">IFERROR(__xludf.DUMMYFUNCTION("IF
(
C14996=""фізична особа""
,
VLOOKUP(D14996,IMPORTRANGE(""https://docs.google.com/spreadsheets/d/14Bd19lYaqBhU8_DElYkX7l4wRkHqqCUFNJY4AfY3kHU/edit?usp=sharing  #gid=0"",""фіз особи new!relations_name""),6,FALSE)
,
(IF
(
C14996=""юридична особа""
,
VLOO"&amp;"KUP(D14996,IMPORTRANGE(""https://docs.google.com/spreadsheets/d/14Bd19lYaqBhU8_DElYkX7l4wRkHqqCUFNJY4AfY3kHU/edit?usp=sharing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5" s="7" t="s">
        <v>10</v>
      </c>
      <c r="H14995" s="7">
        <v>19537</v>
      </c>
      <c r="I14995" s="8" t="str">
        <f ca="1">IFERROR(__xludf.DUMMYFUNCTION("IF
(
G14996=""фізична особа""
,
VLOOKUP(H14996,IMPORTRANGE(""https://docs.google.com/spreadsheets/d/14Bd19lYaqBhU8_DElYkX7l4wRkHqqCUFNJY4AfY3kHU/edit?usp=sharing  #gid=0"",""фіз особи new!relations_name""),6,FALSE)
,
(IF
(
G14996=""юридична особа""
,
VLOO"&amp;"KUP(H14996,IMPORTRANGE(""https://docs.google.com/spreadsheets/d/14Bd19lYaqBhU8_DElYkX7l4wRkHqqCUFNJY4AfY3kHU/edit?usp=sharing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4995" s="7" t="s">
        <v>23</v>
      </c>
    </row>
    <row r="14996" spans="1:10" ht="13.2">
      <c r="A14996" s="7">
        <v>14995</v>
      </c>
      <c r="B14996" s="7">
        <v>1</v>
      </c>
      <c r="C14996" s="7" t="s">
        <v>10</v>
      </c>
      <c r="D14996" s="7">
        <v>19532</v>
      </c>
      <c r="E14996" s="7" t="s">
        <v>23</v>
      </c>
      <c r="F14996" s="8" t="str">
        <f ca="1">IFERROR(__xludf.DUMMYFUNCTION("IF
(
C14997=""фізична особа""
,
VLOOKUP(D14997,IMPORTRANGE(""https://docs.google.com/spreadsheets/d/14Bd19lYaqBhU8_DElYkX7l4wRkHqqCUFNJY4AfY3kHU/edit?usp=sharing  #gid=0"",""фіз особи new!relations_name""),6,FALSE)
,
(IF
(
C14997=""юридична особа""
,
VLOO"&amp;"KUP(D14997,IMPORTRANGE(""https://docs.google.com/spreadsheets/d/14Bd19lYaqBhU8_DElYkX7l4wRkHqqCUFNJY4AfY3kHU/edit?usp=sharing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6" s="7" t="s">
        <v>10</v>
      </c>
      <c r="H14996" s="7">
        <v>19538</v>
      </c>
      <c r="I14996" s="8" t="str">
        <f ca="1">IFERROR(__xludf.DUMMYFUNCTION("IF
(
G14997=""фізична особа""
,
VLOOKUP(H14997,IMPORTRANGE(""https://docs.google.com/spreadsheets/d/14Bd19lYaqBhU8_DElYkX7l4wRkHqqCUFNJY4AfY3kHU/edit?usp=sharing  #gid=0"",""фіз особи new!relations_name""),6,FALSE)
,
(IF
(
G14997=""юридична особа""
,
VLOO"&amp;"KUP(H14997,IMPORTRANGE(""https://docs.google.com/spreadsheets/d/14Bd19lYaqBhU8_DElYkX7l4wRkHqqCUFNJY4AfY3kHU/edit?usp=sharing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4996" s="7" t="s">
        <v>23</v>
      </c>
    </row>
    <row r="14997" spans="1:10" ht="13.2">
      <c r="A14997" s="7">
        <v>14996</v>
      </c>
      <c r="B14997" s="7">
        <v>1</v>
      </c>
      <c r="C14997" s="7" t="s">
        <v>10</v>
      </c>
      <c r="D14997" s="7">
        <v>19532</v>
      </c>
      <c r="E14997" s="7" t="s">
        <v>23</v>
      </c>
      <c r="F14997" s="8" t="str">
        <f ca="1">IFERROR(__xludf.DUMMYFUNCTION("IF
(
C14998=""фізична особа""
,
VLOOKUP(D14998,IMPORTRANGE(""https://docs.google.com/spreadsheets/d/14Bd19lYaqBhU8_DElYkX7l4wRkHqqCUFNJY4AfY3kHU/edit?usp=sharing  #gid=0"",""фіз особи new!relations_name""),6,FALSE)
,
(IF
(
C14998=""юридична особа""
,
VLOO"&amp;"KUP(D14998,IMPORTRANGE(""https://docs.google.com/spreadsheets/d/14Bd19lYaqBhU8_DElYkX7l4wRkHqqCUFNJY4AfY3kHU/edit?usp=sharing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G14997" s="7" t="s">
        <v>10</v>
      </c>
      <c r="H14997" s="7">
        <v>19539</v>
      </c>
      <c r="I14997" s="8" t="str">
        <f ca="1">IFERROR(__xludf.DUMMYFUNCTION("IF
(
G14998=""фізична особа""
,
VLOOKUP(H14998,IMPORTRANGE(""https://docs.google.com/spreadsheets/d/14Bd19lYaqBhU8_DElYkX7l4wRkHqqCUFNJY4AfY3kHU/edit?usp=sharing  #gid=0"",""фіз особи new!relations_name""),6,FALSE)
,
(IF
(
G14998=""юридична особа""
,
VLOO"&amp;"KUP(H14998,IMPORTRANGE(""https://docs.google.com/spreadsheets/d/14Bd19lYaqBhU8_DElYkX7l4wRkHqqCUFNJY4AfY3kHU/edit?usp=sharing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4997" s="7" t="s">
        <v>23</v>
      </c>
    </row>
    <row r="14998" spans="1:10" ht="13.2">
      <c r="A14998" s="7">
        <v>14997</v>
      </c>
      <c r="B14998" s="7">
        <v>1</v>
      </c>
      <c r="C14998" s="7" t="s">
        <v>10</v>
      </c>
      <c r="D14998" s="7">
        <v>19533</v>
      </c>
      <c r="E14998" s="7" t="s">
        <v>23</v>
      </c>
      <c r="F14998" s="8" t="str">
        <f ca="1">IFERROR(__xludf.DUMMYFUNCTION("IF
(
C14999=""фізична особа""
,
VLOOKUP(D14999,IMPORTRANGE(""https://docs.google.com/spreadsheets/d/14Bd19lYaqBhU8_DElYkX7l4wRkHqqCUFNJY4AfY3kHU/edit?usp=sharing  #gid=0"",""фіз особи new!relations_name""),6,FALSE)
,
(IF
(
C14999=""юридична особа""
,
VLOO"&amp;"KUP(D14999,IMPORTRANGE(""https://docs.google.com/spreadsheets/d/14Bd19lYaqBhU8_DElYkX7l4wRkHqqCUFNJY4AfY3kHU/edit?usp=sharing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4998" s="7" t="s">
        <v>10</v>
      </c>
      <c r="H14998" s="7">
        <v>19527</v>
      </c>
      <c r="I14998" s="8" t="str">
        <f ca="1">IFERROR(__xludf.DUMMYFUNCTION("IF
(
G14999=""фізична особа""
,
VLOOKUP(H14999,IMPORTRANGE(""https://docs.google.com/spreadsheets/d/14Bd19lYaqBhU8_DElYkX7l4wRkHqqCUFNJY4AfY3kHU/edit?usp=sharing  #gid=0"",""фіз особи new!relations_name""),6,FALSE)
,
(IF
(
G14999=""юридична особа""
,
VLOO"&amp;"KUP(H14999,IMPORTRANGE(""https://docs.google.com/spreadsheets/d/14Bd19lYaqBhU8_DElYkX7l4wRkHqqCUFNJY4AfY3kHU/edit?usp=sharing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4998" s="7" t="s">
        <v>23</v>
      </c>
    </row>
    <row r="14999" spans="1:10" ht="13.2">
      <c r="A14999" s="7">
        <v>14998</v>
      </c>
      <c r="B14999" s="7">
        <v>1</v>
      </c>
      <c r="C14999" s="7" t="s">
        <v>10</v>
      </c>
      <c r="D14999" s="7">
        <v>19533</v>
      </c>
      <c r="E14999" s="7" t="s">
        <v>23</v>
      </c>
      <c r="F14999" s="8" t="str">
        <f ca="1">IFERROR(__xludf.DUMMYFUNCTION("IF
(
C15000=""фізична особа""
,
VLOOKUP(D15000,IMPORTRANGE(""https://docs.google.com/spreadsheets/d/14Bd19lYaqBhU8_DElYkX7l4wRkHqqCUFNJY4AfY3kHU/edit?usp=sharing  #gid=0"",""фіз особи new!relations_name""),6,FALSE)
,
(IF
(
C15000=""юридична особа""
,
VLOO"&amp;"KUP(D15000,IMPORTRANGE(""https://docs.google.com/spreadsheets/d/14Bd19lYaqBhU8_DElYkX7l4wRkHqqCUFNJY4AfY3kHU/edit?usp=sharing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4999" s="7" t="s">
        <v>10</v>
      </c>
      <c r="H14999" s="7">
        <v>19528</v>
      </c>
      <c r="I14999" s="8" t="str">
        <f ca="1">IFERROR(__xludf.DUMMYFUNCTION("IF
(
G15000=""фізична особа""
,
VLOOKUP(H15000,IMPORTRANGE(""https://docs.google.com/spreadsheets/d/14Bd19lYaqBhU8_DElYkX7l4wRkHqqCUFNJY4AfY3kHU/edit?usp=sharing  #gid=0"",""фіз особи new!relations_name""),6,FALSE)
,
(IF
(
G15000=""юридична особа""
,
VLOO"&amp;"KUP(H15000,IMPORTRANGE(""https://docs.google.com/spreadsheets/d/14Bd19lYaqBhU8_DElYkX7l4wRkHqqCUFNJY4AfY3kHU/edit?usp=sharing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4999" s="7" t="s">
        <v>23</v>
      </c>
    </row>
    <row r="15000" spans="1:10" ht="13.2">
      <c r="A15000" s="7">
        <v>14999</v>
      </c>
      <c r="B15000" s="7">
        <v>1</v>
      </c>
      <c r="C15000" s="7" t="s">
        <v>10</v>
      </c>
      <c r="D15000" s="7">
        <v>19533</v>
      </c>
      <c r="E15000" s="7" t="s">
        <v>23</v>
      </c>
      <c r="F15000" s="8" t="str">
        <f ca="1">IFERROR(__xludf.DUMMYFUNCTION("IF
(
C15001=""фізична особа""
,
VLOOKUP(D15001,IMPORTRANGE(""https://docs.google.com/spreadsheets/d/14Bd19lYaqBhU8_DElYkX7l4wRkHqqCUFNJY4AfY3kHU/edit?usp=sharing  #gid=0"",""фіз особи new!relations_name""),6,FALSE)
,
(IF
(
C15001=""юридична особа""
,
VLOO"&amp;"KUP(D15001,IMPORTRANGE(""https://docs.google.com/spreadsheets/d/14Bd19lYaqBhU8_DElYkX7l4wRkHqqCUFNJY4AfY3kHU/edit?usp=sharing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0" s="7" t="s">
        <v>10</v>
      </c>
      <c r="H15000" s="7">
        <v>19529</v>
      </c>
      <c r="I15000" s="8" t="str">
        <f ca="1">IFERROR(__xludf.DUMMYFUNCTION("IF
(
G15001=""фізична особа""
,
VLOOKUP(H15001,IMPORTRANGE(""https://docs.google.com/spreadsheets/d/14Bd19lYaqBhU8_DElYkX7l4wRkHqqCUFNJY4AfY3kHU/edit?usp=sharing  #gid=0"",""фіз особи new!relations_name""),6,FALSE)
,
(IF
(
G15001=""юридична особа""
,
VLOO"&amp;"KUP(H15001,IMPORTRANGE(""https://docs.google.com/spreadsheets/d/14Bd19lYaqBhU8_DElYkX7l4wRkHqqCUFNJY4AfY3kHU/edit?usp=sharing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00" s="7" t="s">
        <v>23</v>
      </c>
    </row>
    <row r="15001" spans="1:10" ht="13.2">
      <c r="A15001" s="7">
        <v>15000</v>
      </c>
      <c r="B15001" s="7">
        <v>1</v>
      </c>
      <c r="C15001" s="7" t="s">
        <v>10</v>
      </c>
      <c r="D15001" s="7">
        <v>19533</v>
      </c>
      <c r="E15001" s="7" t="s">
        <v>23</v>
      </c>
      <c r="F15001" s="8" t="str">
        <f ca="1">IFERROR(__xludf.DUMMYFUNCTION("IF
(
C15002=""фізична особа""
,
VLOOKUP(D15002,IMPORTRANGE(""https://docs.google.com/spreadsheets/d/14Bd19lYaqBhU8_DElYkX7l4wRkHqqCUFNJY4AfY3kHU/edit?usp=sharing  #gid=0"",""фіз особи new!relations_name""),6,FALSE)
,
(IF
(
C15002=""юридична особа""
,
VLOO"&amp;"KUP(D15002,IMPORTRANGE(""https://docs.google.com/spreadsheets/d/14Bd19lYaqBhU8_DElYkX7l4wRkHqqCUFNJY4AfY3kHU/edit?usp=sharing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1" s="7" t="s">
        <v>10</v>
      </c>
      <c r="H15001" s="7">
        <v>19530</v>
      </c>
      <c r="I15001" s="8" t="str">
        <f ca="1">IFERROR(__xludf.DUMMYFUNCTION("IF
(
G15002=""фізична особа""
,
VLOOKUP(H15002,IMPORTRANGE(""https://docs.google.com/spreadsheets/d/14Bd19lYaqBhU8_DElYkX7l4wRkHqqCUFNJY4AfY3kHU/edit?usp=sharing  #gid=0"",""фіз особи new!relations_name""),6,FALSE)
,
(IF
(
G15002=""юридична особа""
,
VLOO"&amp;"KUP(H15002,IMPORTRANGE(""https://docs.google.com/spreadsheets/d/14Bd19lYaqBhU8_DElYkX7l4wRkHqqCUFNJY4AfY3kHU/edit?usp=sharing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01" s="7" t="s">
        <v>23</v>
      </c>
    </row>
    <row r="15002" spans="1:10" ht="13.2">
      <c r="A15002" s="7">
        <v>15001</v>
      </c>
      <c r="B15002" s="7">
        <v>1</v>
      </c>
      <c r="C15002" s="7" t="s">
        <v>10</v>
      </c>
      <c r="D15002" s="7">
        <v>19533</v>
      </c>
      <c r="E15002" s="7" t="s">
        <v>23</v>
      </c>
      <c r="F15002" s="8" t="str">
        <f ca="1">IFERROR(__xludf.DUMMYFUNCTION("IF
(
C15003=""фізична особа""
,
VLOOKUP(D15003,IMPORTRANGE(""https://docs.google.com/spreadsheets/d/14Bd19lYaqBhU8_DElYkX7l4wRkHqqCUFNJY4AfY3kHU/edit?usp=sharing  #gid=0"",""фіз особи new!relations_name""),6,FALSE)
,
(IF
(
C15003=""юридична особа""
,
VLOO"&amp;"KUP(D15003,IMPORTRANGE(""https://docs.google.com/spreadsheets/d/14Bd19lYaqBhU8_DElYkX7l4wRkHqqCUFNJY4AfY3kHU/edit?usp=sharing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2" s="7" t="s">
        <v>10</v>
      </c>
      <c r="H15002" s="7">
        <v>19531</v>
      </c>
      <c r="I15002" s="8" t="str">
        <f ca="1">IFERROR(__xludf.DUMMYFUNCTION("IF
(
G15003=""фізична особа""
,
VLOOKUP(H15003,IMPORTRANGE(""https://docs.google.com/spreadsheets/d/14Bd19lYaqBhU8_DElYkX7l4wRkHqqCUFNJY4AfY3kHU/edit?usp=sharing  #gid=0"",""фіз особи new!relations_name""),6,FALSE)
,
(IF
(
G15003=""юридична особа""
,
VLOO"&amp;"KUP(H15003,IMPORTRANGE(""https://docs.google.com/spreadsheets/d/14Bd19lYaqBhU8_DElYkX7l4wRkHqqCUFNJY4AfY3kHU/edit?usp=sharing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02" s="7" t="s">
        <v>23</v>
      </c>
    </row>
    <row r="15003" spans="1:10" ht="13.2">
      <c r="A15003" s="7">
        <v>15002</v>
      </c>
      <c r="B15003" s="7">
        <v>1</v>
      </c>
      <c r="C15003" s="7" t="s">
        <v>10</v>
      </c>
      <c r="D15003" s="7">
        <v>19533</v>
      </c>
      <c r="E15003" s="7" t="s">
        <v>23</v>
      </c>
      <c r="F15003" s="8" t="str">
        <f ca="1">IFERROR(__xludf.DUMMYFUNCTION("IF
(
C15004=""фізична особа""
,
VLOOKUP(D15004,IMPORTRANGE(""https://docs.google.com/spreadsheets/d/14Bd19lYaqBhU8_DElYkX7l4wRkHqqCUFNJY4AfY3kHU/edit?usp=sharing  #gid=0"",""фіз особи new!relations_name""),6,FALSE)
,
(IF
(
C15004=""юридична особа""
,
VLOO"&amp;"KUP(D15004,IMPORTRANGE(""https://docs.google.com/spreadsheets/d/14Bd19lYaqBhU8_DElYkX7l4wRkHqqCUFNJY4AfY3kHU/edit?usp=sharing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3" s="7" t="s">
        <v>10</v>
      </c>
      <c r="H15003" s="7">
        <v>19532</v>
      </c>
      <c r="I15003" s="8" t="str">
        <f ca="1">IFERROR(__xludf.DUMMYFUNCTION("IF
(
G15004=""фізична особа""
,
VLOOKUP(H15004,IMPORTRANGE(""https://docs.google.com/spreadsheets/d/14Bd19lYaqBhU8_DElYkX7l4wRkHqqCUFNJY4AfY3kHU/edit?usp=sharing  #gid=0"",""фіз особи new!relations_name""),6,FALSE)
,
(IF
(
G15004=""юридична особа""
,
VLOO"&amp;"KUP(H15004,IMPORTRANGE(""https://docs.google.com/spreadsheets/d/14Bd19lYaqBhU8_DElYkX7l4wRkHqqCUFNJY4AfY3kHU/edit?usp=sharing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03" s="7" t="s">
        <v>23</v>
      </c>
    </row>
    <row r="15004" spans="1:10" ht="13.2">
      <c r="A15004" s="7">
        <v>15003</v>
      </c>
      <c r="B15004" s="7">
        <v>1</v>
      </c>
      <c r="C15004" s="7" t="s">
        <v>10</v>
      </c>
      <c r="D15004" s="7">
        <v>19533</v>
      </c>
      <c r="E15004" s="7" t="s">
        <v>23</v>
      </c>
      <c r="F15004" s="8" t="str">
        <f ca="1">IFERROR(__xludf.DUMMYFUNCTION("IF
(
C15005=""фізична особа""
,
VLOOKUP(D15005,IMPORTRANGE(""https://docs.google.com/spreadsheets/d/14Bd19lYaqBhU8_DElYkX7l4wRkHqqCUFNJY4AfY3kHU/edit?usp=sharing  #gid=0"",""фіз особи new!relations_name""),6,FALSE)
,
(IF
(
C15005=""юридична особа""
,
VLOO"&amp;"KUP(D15005,IMPORTRANGE(""https://docs.google.com/spreadsheets/d/14Bd19lYaqBhU8_DElYkX7l4wRkHqqCUFNJY4AfY3kHU/edit?usp=sharing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4" s="7" t="s">
        <v>10</v>
      </c>
      <c r="H15004" s="7">
        <v>19534</v>
      </c>
      <c r="I15004" s="8" t="str">
        <f ca="1">IFERROR(__xludf.DUMMYFUNCTION("IF
(
G15005=""фізична особа""
,
VLOOKUP(H15005,IMPORTRANGE(""https://docs.google.com/spreadsheets/d/14Bd19lYaqBhU8_DElYkX7l4wRkHqqCUFNJY4AfY3kHU/edit?usp=sharing  #gid=0"",""фіз особи new!relations_name""),6,FALSE)
,
(IF
(
G15005=""юридична особа""
,
VLOO"&amp;"KUP(H15005,IMPORTRANGE(""https://docs.google.com/spreadsheets/d/14Bd19lYaqBhU8_DElYkX7l4wRkHqqCUFNJY4AfY3kHU/edit?usp=sharing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04" s="7" t="s">
        <v>23</v>
      </c>
    </row>
    <row r="15005" spans="1:10" ht="13.2">
      <c r="A15005" s="7">
        <v>15004</v>
      </c>
      <c r="B15005" s="7">
        <v>1</v>
      </c>
      <c r="C15005" s="7" t="s">
        <v>10</v>
      </c>
      <c r="D15005" s="7">
        <v>19533</v>
      </c>
      <c r="E15005" s="7" t="s">
        <v>23</v>
      </c>
      <c r="F15005" s="8" t="str">
        <f ca="1">IFERROR(__xludf.DUMMYFUNCTION("IF
(
C15006=""фізична особа""
,
VLOOKUP(D15006,IMPORTRANGE(""https://docs.google.com/spreadsheets/d/14Bd19lYaqBhU8_DElYkX7l4wRkHqqCUFNJY4AfY3kHU/edit?usp=sharing  #gid=0"",""фіз особи new!relations_name""),6,FALSE)
,
(IF
(
C15006=""юридична особа""
,
VLOO"&amp;"KUP(D15006,IMPORTRANGE(""https://docs.google.com/spreadsheets/d/14Bd19lYaqBhU8_DElYkX7l4wRkHqqCUFNJY4AfY3kHU/edit?usp=sharing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5" s="7" t="s">
        <v>10</v>
      </c>
      <c r="H15005" s="7">
        <v>19535</v>
      </c>
      <c r="I15005" s="8" t="str">
        <f ca="1">IFERROR(__xludf.DUMMYFUNCTION("IF
(
G15006=""фізична особа""
,
VLOOKUP(H15006,IMPORTRANGE(""https://docs.google.com/spreadsheets/d/14Bd19lYaqBhU8_DElYkX7l4wRkHqqCUFNJY4AfY3kHU/edit?usp=sharing  #gid=0"",""фіз особи new!relations_name""),6,FALSE)
,
(IF
(
G15006=""юридична особа""
,
VLOO"&amp;"KUP(H15006,IMPORTRANGE(""https://docs.google.com/spreadsheets/d/14Bd19lYaqBhU8_DElYkX7l4wRkHqqCUFNJY4AfY3kHU/edit?usp=sharing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05" s="7" t="s">
        <v>23</v>
      </c>
    </row>
    <row r="15006" spans="1:10" ht="13.2">
      <c r="A15006" s="7">
        <v>15005</v>
      </c>
      <c r="B15006" s="7">
        <v>1</v>
      </c>
      <c r="C15006" s="7" t="s">
        <v>10</v>
      </c>
      <c r="D15006" s="7">
        <v>19533</v>
      </c>
      <c r="E15006" s="7" t="s">
        <v>23</v>
      </c>
      <c r="F15006" s="8" t="str">
        <f ca="1">IFERROR(__xludf.DUMMYFUNCTION("IF
(
C15007=""фізична особа""
,
VLOOKUP(D15007,IMPORTRANGE(""https://docs.google.com/spreadsheets/d/14Bd19lYaqBhU8_DElYkX7l4wRkHqqCUFNJY4AfY3kHU/edit?usp=sharing  #gid=0"",""фіз особи new!relations_name""),6,FALSE)
,
(IF
(
C15007=""юридична особа""
,
VLOO"&amp;"KUP(D15007,IMPORTRANGE(""https://docs.google.com/spreadsheets/d/14Bd19lYaqBhU8_DElYkX7l4wRkHqqCUFNJY4AfY3kHU/edit?usp=sharing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6" s="7" t="s">
        <v>10</v>
      </c>
      <c r="H15006" s="7">
        <v>19536</v>
      </c>
      <c r="I15006" s="8" t="str">
        <f ca="1">IFERROR(__xludf.DUMMYFUNCTION("IF
(
G15007=""фізична особа""
,
VLOOKUP(H15007,IMPORTRANGE(""https://docs.google.com/spreadsheets/d/14Bd19lYaqBhU8_DElYkX7l4wRkHqqCUFNJY4AfY3kHU/edit?usp=sharing  #gid=0"",""фіз особи new!relations_name""),6,FALSE)
,
(IF
(
G15007=""юридична особа""
,
VLOO"&amp;"KUP(H15007,IMPORTRANGE(""https://docs.google.com/spreadsheets/d/14Bd19lYaqBhU8_DElYkX7l4wRkHqqCUFNJY4AfY3kHU/edit?usp=sharing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06" s="7" t="s">
        <v>23</v>
      </c>
    </row>
    <row r="15007" spans="1:10" ht="13.2">
      <c r="A15007" s="7">
        <v>15006</v>
      </c>
      <c r="B15007" s="7">
        <v>1</v>
      </c>
      <c r="C15007" s="7" t="s">
        <v>10</v>
      </c>
      <c r="D15007" s="7">
        <v>19533</v>
      </c>
      <c r="E15007" s="7" t="s">
        <v>23</v>
      </c>
      <c r="F15007" s="8" t="str">
        <f ca="1">IFERROR(__xludf.DUMMYFUNCTION("IF
(
C15008=""фізична особа""
,
VLOOKUP(D15008,IMPORTRANGE(""https://docs.google.com/spreadsheets/d/14Bd19lYaqBhU8_DElYkX7l4wRkHqqCUFNJY4AfY3kHU/edit?usp=sharing  #gid=0"",""фіз особи new!relations_name""),6,FALSE)
,
(IF
(
C15008=""юридична особа""
,
VLOO"&amp;"KUP(D15008,IMPORTRANGE(""https://docs.google.com/spreadsheets/d/14Bd19lYaqBhU8_DElYkX7l4wRkHqqCUFNJY4AfY3kHU/edit?usp=sharing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7" s="7" t="s">
        <v>10</v>
      </c>
      <c r="H15007" s="7">
        <v>19537</v>
      </c>
      <c r="I15007" s="8" t="str">
        <f ca="1">IFERROR(__xludf.DUMMYFUNCTION("IF
(
G15008=""фізична особа""
,
VLOOKUP(H15008,IMPORTRANGE(""https://docs.google.com/spreadsheets/d/14Bd19lYaqBhU8_DElYkX7l4wRkHqqCUFNJY4AfY3kHU/edit?usp=sharing  #gid=0"",""фіз особи new!relations_name""),6,FALSE)
,
(IF
(
G15008=""юридична особа""
,
VLOO"&amp;"KUP(H15008,IMPORTRANGE(""https://docs.google.com/spreadsheets/d/14Bd19lYaqBhU8_DElYkX7l4wRkHqqCUFNJY4AfY3kHU/edit?usp=sharing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07" s="7" t="s">
        <v>23</v>
      </c>
    </row>
    <row r="15008" spans="1:10" ht="13.2">
      <c r="A15008" s="7">
        <v>15007</v>
      </c>
      <c r="B15008" s="7">
        <v>1</v>
      </c>
      <c r="C15008" s="7" t="s">
        <v>10</v>
      </c>
      <c r="D15008" s="7">
        <v>19533</v>
      </c>
      <c r="E15008" s="7" t="s">
        <v>23</v>
      </c>
      <c r="F15008" s="8" t="str">
        <f ca="1">IFERROR(__xludf.DUMMYFUNCTION("IF
(
C15009=""фізична особа""
,
VLOOKUP(D15009,IMPORTRANGE(""https://docs.google.com/spreadsheets/d/14Bd19lYaqBhU8_DElYkX7l4wRkHqqCUFNJY4AfY3kHU/edit?usp=sharing  #gid=0"",""фіз особи new!relations_name""),6,FALSE)
,
(IF
(
C15009=""юридична особа""
,
VLOO"&amp;"KUP(D15009,IMPORTRANGE(""https://docs.google.com/spreadsheets/d/14Bd19lYaqBhU8_DElYkX7l4wRkHqqCUFNJY4AfY3kHU/edit?usp=sharing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8" s="7" t="s">
        <v>10</v>
      </c>
      <c r="H15008" s="7">
        <v>19538</v>
      </c>
      <c r="I15008" s="8" t="str">
        <f ca="1">IFERROR(__xludf.DUMMYFUNCTION("IF
(
G15009=""фізична особа""
,
VLOOKUP(H15009,IMPORTRANGE(""https://docs.google.com/spreadsheets/d/14Bd19lYaqBhU8_DElYkX7l4wRkHqqCUFNJY4AfY3kHU/edit?usp=sharing  #gid=0"",""фіз особи new!relations_name""),6,FALSE)
,
(IF
(
G15009=""юридична особа""
,
VLOO"&amp;"KUP(H15009,IMPORTRANGE(""https://docs.google.com/spreadsheets/d/14Bd19lYaqBhU8_DElYkX7l4wRkHqqCUFNJY4AfY3kHU/edit?usp=sharing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08" s="7" t="s">
        <v>23</v>
      </c>
    </row>
    <row r="15009" spans="1:10" ht="13.2">
      <c r="A15009" s="7">
        <v>15008</v>
      </c>
      <c r="B15009" s="7">
        <v>1</v>
      </c>
      <c r="C15009" s="7" t="s">
        <v>10</v>
      </c>
      <c r="D15009" s="7">
        <v>19533</v>
      </c>
      <c r="E15009" s="7" t="s">
        <v>23</v>
      </c>
      <c r="F15009" s="8" t="str">
        <f ca="1">IFERROR(__xludf.DUMMYFUNCTION("IF
(
C15010=""фізична особа""
,
VLOOKUP(D15010,IMPORTRANGE(""https://docs.google.com/spreadsheets/d/14Bd19lYaqBhU8_DElYkX7l4wRkHqqCUFNJY4AfY3kHU/edit?usp=sharing  #gid=0"",""фіз особи new!relations_name""),6,FALSE)
,
(IF
(
C15010=""юридична особа""
,
VLOO"&amp;"KUP(D15010,IMPORTRANGE(""https://docs.google.com/spreadsheets/d/14Bd19lYaqBhU8_DElYkX7l4wRkHqqCUFNJY4AfY3kHU/edit?usp=sharing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G15009" s="7" t="s">
        <v>10</v>
      </c>
      <c r="H15009" s="7">
        <v>19539</v>
      </c>
      <c r="I15009" s="8" t="str">
        <f ca="1">IFERROR(__xludf.DUMMYFUNCTION("IF
(
G15010=""фізична особа""
,
VLOOKUP(H15010,IMPORTRANGE(""https://docs.google.com/spreadsheets/d/14Bd19lYaqBhU8_DElYkX7l4wRkHqqCUFNJY4AfY3kHU/edit?usp=sharing  #gid=0"",""фіз особи new!relations_name""),6,FALSE)
,
(IF
(
G15010=""юридична особа""
,
VLOO"&amp;"KUP(H15010,IMPORTRANGE(""https://docs.google.com/spreadsheets/d/14Bd19lYaqBhU8_DElYkX7l4wRkHqqCUFNJY4AfY3kHU/edit?usp=sharing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09" s="7" t="s">
        <v>23</v>
      </c>
    </row>
    <row r="15010" spans="1:10" ht="13.2">
      <c r="A15010" s="7">
        <v>15009</v>
      </c>
      <c r="B15010" s="7">
        <v>1</v>
      </c>
      <c r="C15010" s="7" t="s">
        <v>10</v>
      </c>
      <c r="D15010" s="7">
        <v>19534</v>
      </c>
      <c r="E15010" s="7" t="s">
        <v>23</v>
      </c>
      <c r="F15010" s="8" t="str">
        <f ca="1">IFERROR(__xludf.DUMMYFUNCTION("IF
(
C15011=""фізична особа""
,
VLOOKUP(D15011,IMPORTRANGE(""https://docs.google.com/spreadsheets/d/14Bd19lYaqBhU8_DElYkX7l4wRkHqqCUFNJY4AfY3kHU/edit?usp=sharing  #gid=0"",""фіз особи new!relations_name""),6,FALSE)
,
(IF
(
C15011=""юридична особа""
,
VLOO"&amp;"KUP(D15011,IMPORTRANGE(""https://docs.google.com/spreadsheets/d/14Bd19lYaqBhU8_DElYkX7l4wRkHqqCUFNJY4AfY3kHU/edit?usp=sharing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0" s="7" t="s">
        <v>10</v>
      </c>
      <c r="H15010" s="7">
        <v>19527</v>
      </c>
      <c r="I15010" s="8" t="str">
        <f ca="1">IFERROR(__xludf.DUMMYFUNCTION("IF
(
G15011=""фізична особа""
,
VLOOKUP(H15011,IMPORTRANGE(""https://docs.google.com/spreadsheets/d/14Bd19lYaqBhU8_DElYkX7l4wRkHqqCUFNJY4AfY3kHU/edit?usp=sharing  #gid=0"",""фіз особи new!relations_name""),6,FALSE)
,
(IF
(
G15011=""юридична особа""
,
VLOO"&amp;"KUP(H15011,IMPORTRANGE(""https://docs.google.com/spreadsheets/d/14Bd19lYaqBhU8_DElYkX7l4wRkHqqCUFNJY4AfY3kHU/edit?usp=sharing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10" s="7" t="s">
        <v>23</v>
      </c>
    </row>
    <row r="15011" spans="1:10" ht="13.2">
      <c r="A15011" s="7">
        <v>15010</v>
      </c>
      <c r="B15011" s="7">
        <v>1</v>
      </c>
      <c r="C15011" s="7" t="s">
        <v>10</v>
      </c>
      <c r="D15011" s="7">
        <v>19534</v>
      </c>
      <c r="E15011" s="7" t="s">
        <v>23</v>
      </c>
      <c r="F15011" s="8" t="str">
        <f ca="1">IFERROR(__xludf.DUMMYFUNCTION("IF
(
C15012=""фізична особа""
,
VLOOKUP(D15012,IMPORTRANGE(""https://docs.google.com/spreadsheets/d/14Bd19lYaqBhU8_DElYkX7l4wRkHqqCUFNJY4AfY3kHU/edit?usp=sharing  #gid=0"",""фіз особи new!relations_name""),6,FALSE)
,
(IF
(
C15012=""юридична особа""
,
VLOO"&amp;"KUP(D15012,IMPORTRANGE(""https://docs.google.com/spreadsheets/d/14Bd19lYaqBhU8_DElYkX7l4wRkHqqCUFNJY4AfY3kHU/edit?usp=sharing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1" s="7" t="s">
        <v>10</v>
      </c>
      <c r="H15011" s="7">
        <v>19528</v>
      </c>
      <c r="I15011" s="8" t="str">
        <f ca="1">IFERROR(__xludf.DUMMYFUNCTION("IF
(
G15012=""фізична особа""
,
VLOOKUP(H15012,IMPORTRANGE(""https://docs.google.com/spreadsheets/d/14Bd19lYaqBhU8_DElYkX7l4wRkHqqCUFNJY4AfY3kHU/edit?usp=sharing  #gid=0"",""фіз особи new!relations_name""),6,FALSE)
,
(IF
(
G15012=""юридична особа""
,
VLOO"&amp;"KUP(H15012,IMPORTRANGE(""https://docs.google.com/spreadsheets/d/14Bd19lYaqBhU8_DElYkX7l4wRkHqqCUFNJY4AfY3kHU/edit?usp=sharing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11" s="7" t="s">
        <v>23</v>
      </c>
    </row>
    <row r="15012" spans="1:10" ht="13.2">
      <c r="A15012" s="7">
        <v>15011</v>
      </c>
      <c r="B15012" s="7">
        <v>1</v>
      </c>
      <c r="C15012" s="7" t="s">
        <v>10</v>
      </c>
      <c r="D15012" s="7">
        <v>19534</v>
      </c>
      <c r="E15012" s="7" t="s">
        <v>23</v>
      </c>
      <c r="F15012" s="8" t="str">
        <f ca="1">IFERROR(__xludf.DUMMYFUNCTION("IF
(
C15013=""фізична особа""
,
VLOOKUP(D15013,IMPORTRANGE(""https://docs.google.com/spreadsheets/d/14Bd19lYaqBhU8_DElYkX7l4wRkHqqCUFNJY4AfY3kHU/edit?usp=sharing  #gid=0"",""фіз особи new!relations_name""),6,FALSE)
,
(IF
(
C15013=""юридична особа""
,
VLOO"&amp;"KUP(D15013,IMPORTRANGE(""https://docs.google.com/spreadsheets/d/14Bd19lYaqBhU8_DElYkX7l4wRkHqqCUFNJY4AfY3kHU/edit?usp=sharing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2" s="7" t="s">
        <v>10</v>
      </c>
      <c r="H15012" s="7">
        <v>19529</v>
      </c>
      <c r="I15012" s="8" t="str">
        <f ca="1">IFERROR(__xludf.DUMMYFUNCTION("IF
(
G15013=""фізична особа""
,
VLOOKUP(H15013,IMPORTRANGE(""https://docs.google.com/spreadsheets/d/14Bd19lYaqBhU8_DElYkX7l4wRkHqqCUFNJY4AfY3kHU/edit?usp=sharing  #gid=0"",""фіз особи new!relations_name""),6,FALSE)
,
(IF
(
G15013=""юридична особа""
,
VLOO"&amp;"KUP(H15013,IMPORTRANGE(""https://docs.google.com/spreadsheets/d/14Bd19lYaqBhU8_DElYkX7l4wRkHqqCUFNJY4AfY3kHU/edit?usp=sharing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12" s="7" t="s">
        <v>23</v>
      </c>
    </row>
    <row r="15013" spans="1:10" ht="13.2">
      <c r="A15013" s="7">
        <v>15012</v>
      </c>
      <c r="B15013" s="7">
        <v>1</v>
      </c>
      <c r="C15013" s="7" t="s">
        <v>10</v>
      </c>
      <c r="D15013" s="7">
        <v>19534</v>
      </c>
      <c r="E15013" s="7" t="s">
        <v>23</v>
      </c>
      <c r="F15013" s="8" t="str">
        <f ca="1">IFERROR(__xludf.DUMMYFUNCTION("IF
(
C15014=""фізична особа""
,
VLOOKUP(D15014,IMPORTRANGE(""https://docs.google.com/spreadsheets/d/14Bd19lYaqBhU8_DElYkX7l4wRkHqqCUFNJY4AfY3kHU/edit?usp=sharing  #gid=0"",""фіз особи new!relations_name""),6,FALSE)
,
(IF
(
C15014=""юридична особа""
,
VLOO"&amp;"KUP(D15014,IMPORTRANGE(""https://docs.google.com/spreadsheets/d/14Bd19lYaqBhU8_DElYkX7l4wRkHqqCUFNJY4AfY3kHU/edit?usp=sharing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3" s="7" t="s">
        <v>10</v>
      </c>
      <c r="H15013" s="7">
        <v>19530</v>
      </c>
      <c r="I15013" s="8" t="str">
        <f ca="1">IFERROR(__xludf.DUMMYFUNCTION("IF
(
G15014=""фізична особа""
,
VLOOKUP(H15014,IMPORTRANGE(""https://docs.google.com/spreadsheets/d/14Bd19lYaqBhU8_DElYkX7l4wRkHqqCUFNJY4AfY3kHU/edit?usp=sharing  #gid=0"",""фіз особи new!relations_name""),6,FALSE)
,
(IF
(
G15014=""юридична особа""
,
VLOO"&amp;"KUP(H15014,IMPORTRANGE(""https://docs.google.com/spreadsheets/d/14Bd19lYaqBhU8_DElYkX7l4wRkHqqCUFNJY4AfY3kHU/edit?usp=sharing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13" s="7" t="s">
        <v>23</v>
      </c>
    </row>
    <row r="15014" spans="1:10" ht="13.2">
      <c r="A15014" s="7">
        <v>15013</v>
      </c>
      <c r="B15014" s="7">
        <v>1</v>
      </c>
      <c r="C15014" s="7" t="s">
        <v>10</v>
      </c>
      <c r="D15014" s="7">
        <v>19534</v>
      </c>
      <c r="E15014" s="7" t="s">
        <v>23</v>
      </c>
      <c r="F15014" s="8" t="str">
        <f ca="1">IFERROR(__xludf.DUMMYFUNCTION("IF
(
C15015=""фізична особа""
,
VLOOKUP(D15015,IMPORTRANGE(""https://docs.google.com/spreadsheets/d/14Bd19lYaqBhU8_DElYkX7l4wRkHqqCUFNJY4AfY3kHU/edit?usp=sharing  #gid=0"",""фіз особи new!relations_name""),6,FALSE)
,
(IF
(
C15015=""юридична особа""
,
VLOO"&amp;"KUP(D15015,IMPORTRANGE(""https://docs.google.com/spreadsheets/d/14Bd19lYaqBhU8_DElYkX7l4wRkHqqCUFNJY4AfY3kHU/edit?usp=sharing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4" s="7" t="s">
        <v>10</v>
      </c>
      <c r="H15014" s="7">
        <v>19531</v>
      </c>
      <c r="I15014" s="8" t="str">
        <f ca="1">IFERROR(__xludf.DUMMYFUNCTION("IF
(
G15015=""фізична особа""
,
VLOOKUP(H15015,IMPORTRANGE(""https://docs.google.com/spreadsheets/d/14Bd19lYaqBhU8_DElYkX7l4wRkHqqCUFNJY4AfY3kHU/edit?usp=sharing  #gid=0"",""фіз особи new!relations_name""),6,FALSE)
,
(IF
(
G15015=""юридична особа""
,
VLOO"&amp;"KUP(H15015,IMPORTRANGE(""https://docs.google.com/spreadsheets/d/14Bd19lYaqBhU8_DElYkX7l4wRkHqqCUFNJY4AfY3kHU/edit?usp=sharing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14" s="7" t="s">
        <v>23</v>
      </c>
    </row>
    <row r="15015" spans="1:10" ht="13.2">
      <c r="A15015" s="7">
        <v>15014</v>
      </c>
      <c r="B15015" s="7">
        <v>1</v>
      </c>
      <c r="C15015" s="7" t="s">
        <v>10</v>
      </c>
      <c r="D15015" s="7">
        <v>19534</v>
      </c>
      <c r="E15015" s="7" t="s">
        <v>23</v>
      </c>
      <c r="F15015" s="8" t="str">
        <f ca="1">IFERROR(__xludf.DUMMYFUNCTION("IF
(
C15016=""фізична особа""
,
VLOOKUP(D15016,IMPORTRANGE(""https://docs.google.com/spreadsheets/d/14Bd19lYaqBhU8_DElYkX7l4wRkHqqCUFNJY4AfY3kHU/edit?usp=sharing  #gid=0"",""фіз особи new!relations_name""),6,FALSE)
,
(IF
(
C15016=""юридична особа""
,
VLOO"&amp;"KUP(D15016,IMPORTRANGE(""https://docs.google.com/spreadsheets/d/14Bd19lYaqBhU8_DElYkX7l4wRkHqqCUFNJY4AfY3kHU/edit?usp=sharing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5" s="7" t="s">
        <v>10</v>
      </c>
      <c r="H15015" s="7">
        <v>19532</v>
      </c>
      <c r="I15015" s="8" t="str">
        <f ca="1">IFERROR(__xludf.DUMMYFUNCTION("IF
(
G15016=""фізична особа""
,
VLOOKUP(H15016,IMPORTRANGE(""https://docs.google.com/spreadsheets/d/14Bd19lYaqBhU8_DElYkX7l4wRkHqqCUFNJY4AfY3kHU/edit?usp=sharing  #gid=0"",""фіз особи new!relations_name""),6,FALSE)
,
(IF
(
G15016=""юридична особа""
,
VLOO"&amp;"KUP(H15016,IMPORTRANGE(""https://docs.google.com/spreadsheets/d/14Bd19lYaqBhU8_DElYkX7l4wRkHqqCUFNJY4AfY3kHU/edit?usp=sharing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15" s="7" t="s">
        <v>23</v>
      </c>
    </row>
    <row r="15016" spans="1:10" ht="13.2">
      <c r="A15016" s="7">
        <v>15015</v>
      </c>
      <c r="B15016" s="7">
        <v>1</v>
      </c>
      <c r="C15016" s="7" t="s">
        <v>10</v>
      </c>
      <c r="D15016" s="7">
        <v>19534</v>
      </c>
      <c r="E15016" s="7" t="s">
        <v>23</v>
      </c>
      <c r="F15016" s="8" t="str">
        <f ca="1">IFERROR(__xludf.DUMMYFUNCTION("IF
(
C15017=""фізична особа""
,
VLOOKUP(D15017,IMPORTRANGE(""https://docs.google.com/spreadsheets/d/14Bd19lYaqBhU8_DElYkX7l4wRkHqqCUFNJY4AfY3kHU/edit?usp=sharing  #gid=0"",""фіз особи new!relations_name""),6,FALSE)
,
(IF
(
C15017=""юридична особа""
,
VLOO"&amp;"KUP(D15017,IMPORTRANGE(""https://docs.google.com/spreadsheets/d/14Bd19lYaqBhU8_DElYkX7l4wRkHqqCUFNJY4AfY3kHU/edit?usp=sharing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6" s="7" t="s">
        <v>10</v>
      </c>
      <c r="H15016" s="7">
        <v>19533</v>
      </c>
      <c r="I15016" s="8" t="str">
        <f ca="1">IFERROR(__xludf.DUMMYFUNCTION("IF
(
G15017=""фізична особа""
,
VLOOKUP(H15017,IMPORTRANGE(""https://docs.google.com/spreadsheets/d/14Bd19lYaqBhU8_DElYkX7l4wRkHqqCUFNJY4AfY3kHU/edit?usp=sharing  #gid=0"",""фіз особи new!relations_name""),6,FALSE)
,
(IF
(
G15017=""юридична особа""
,
VLOO"&amp;"KUP(H15017,IMPORTRANGE(""https://docs.google.com/spreadsheets/d/14Bd19lYaqBhU8_DElYkX7l4wRkHqqCUFNJY4AfY3kHU/edit?usp=sharing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16" s="7" t="s">
        <v>23</v>
      </c>
    </row>
    <row r="15017" spans="1:10" ht="13.2">
      <c r="A15017" s="7">
        <v>15016</v>
      </c>
      <c r="B15017" s="7">
        <v>1</v>
      </c>
      <c r="C15017" s="7" t="s">
        <v>10</v>
      </c>
      <c r="D15017" s="7">
        <v>19534</v>
      </c>
      <c r="E15017" s="7" t="s">
        <v>23</v>
      </c>
      <c r="F15017" s="8" t="str">
        <f ca="1">IFERROR(__xludf.DUMMYFUNCTION("IF
(
C15018=""фізична особа""
,
VLOOKUP(D15018,IMPORTRANGE(""https://docs.google.com/spreadsheets/d/14Bd19lYaqBhU8_DElYkX7l4wRkHqqCUFNJY4AfY3kHU/edit?usp=sharing  #gid=0"",""фіз особи new!relations_name""),6,FALSE)
,
(IF
(
C15018=""юридична особа""
,
VLOO"&amp;"KUP(D15018,IMPORTRANGE(""https://docs.google.com/spreadsheets/d/14Bd19lYaqBhU8_DElYkX7l4wRkHqqCUFNJY4AfY3kHU/edit?usp=sharing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7" s="7" t="s">
        <v>10</v>
      </c>
      <c r="H15017" s="7">
        <v>19535</v>
      </c>
      <c r="I15017" s="8" t="str">
        <f ca="1">IFERROR(__xludf.DUMMYFUNCTION("IF
(
G15018=""фізична особа""
,
VLOOKUP(H15018,IMPORTRANGE(""https://docs.google.com/spreadsheets/d/14Bd19lYaqBhU8_DElYkX7l4wRkHqqCUFNJY4AfY3kHU/edit?usp=sharing  #gid=0"",""фіз особи new!relations_name""),6,FALSE)
,
(IF
(
G15018=""юридична особа""
,
VLOO"&amp;"KUP(H15018,IMPORTRANGE(""https://docs.google.com/spreadsheets/d/14Bd19lYaqBhU8_DElYkX7l4wRkHqqCUFNJY4AfY3kHU/edit?usp=sharing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17" s="7" t="s">
        <v>23</v>
      </c>
    </row>
    <row r="15018" spans="1:10" ht="13.2">
      <c r="A15018" s="7">
        <v>15017</v>
      </c>
      <c r="B15018" s="7">
        <v>1</v>
      </c>
      <c r="C15018" s="7" t="s">
        <v>10</v>
      </c>
      <c r="D15018" s="7">
        <v>19534</v>
      </c>
      <c r="E15018" s="7" t="s">
        <v>23</v>
      </c>
      <c r="F15018" s="8" t="str">
        <f ca="1">IFERROR(__xludf.DUMMYFUNCTION("IF
(
C15019=""фізична особа""
,
VLOOKUP(D15019,IMPORTRANGE(""https://docs.google.com/spreadsheets/d/14Bd19lYaqBhU8_DElYkX7l4wRkHqqCUFNJY4AfY3kHU/edit?usp=sharing  #gid=0"",""фіз особи new!relations_name""),6,FALSE)
,
(IF
(
C15019=""юридична особа""
,
VLOO"&amp;"KUP(D15019,IMPORTRANGE(""https://docs.google.com/spreadsheets/d/14Bd19lYaqBhU8_DElYkX7l4wRkHqqCUFNJY4AfY3kHU/edit?usp=sharing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8" s="7" t="s">
        <v>10</v>
      </c>
      <c r="H15018" s="7">
        <v>19536</v>
      </c>
      <c r="I15018" s="8" t="str">
        <f ca="1">IFERROR(__xludf.DUMMYFUNCTION("IF
(
G15019=""фізична особа""
,
VLOOKUP(H15019,IMPORTRANGE(""https://docs.google.com/spreadsheets/d/14Bd19lYaqBhU8_DElYkX7l4wRkHqqCUFNJY4AfY3kHU/edit?usp=sharing  #gid=0"",""фіз особи new!relations_name""),6,FALSE)
,
(IF
(
G15019=""юридична особа""
,
VLOO"&amp;"KUP(H15019,IMPORTRANGE(""https://docs.google.com/spreadsheets/d/14Bd19lYaqBhU8_DElYkX7l4wRkHqqCUFNJY4AfY3kHU/edit?usp=sharing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18" s="7" t="s">
        <v>23</v>
      </c>
    </row>
    <row r="15019" spans="1:10" ht="13.2">
      <c r="A15019" s="7">
        <v>15018</v>
      </c>
      <c r="B15019" s="7">
        <v>1</v>
      </c>
      <c r="C15019" s="7" t="s">
        <v>10</v>
      </c>
      <c r="D15019" s="7">
        <v>19534</v>
      </c>
      <c r="E15019" s="7" t="s">
        <v>23</v>
      </c>
      <c r="F15019" s="8" t="str">
        <f ca="1">IFERROR(__xludf.DUMMYFUNCTION("IF
(
C15020=""фізична особа""
,
VLOOKUP(D15020,IMPORTRANGE(""https://docs.google.com/spreadsheets/d/14Bd19lYaqBhU8_DElYkX7l4wRkHqqCUFNJY4AfY3kHU/edit?usp=sharing  #gid=0"",""фіз особи new!relations_name""),6,FALSE)
,
(IF
(
C15020=""юридична особа""
,
VLOO"&amp;"KUP(D15020,IMPORTRANGE(""https://docs.google.com/spreadsheets/d/14Bd19lYaqBhU8_DElYkX7l4wRkHqqCUFNJY4AfY3kHU/edit?usp=sharing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19" s="7" t="s">
        <v>10</v>
      </c>
      <c r="H15019" s="7">
        <v>19537</v>
      </c>
      <c r="I15019" s="8" t="str">
        <f ca="1">IFERROR(__xludf.DUMMYFUNCTION("IF
(
G15020=""фізична особа""
,
VLOOKUP(H15020,IMPORTRANGE(""https://docs.google.com/spreadsheets/d/14Bd19lYaqBhU8_DElYkX7l4wRkHqqCUFNJY4AfY3kHU/edit?usp=sharing  #gid=0"",""фіз особи new!relations_name""),6,FALSE)
,
(IF
(
G15020=""юридична особа""
,
VLOO"&amp;"KUP(H15020,IMPORTRANGE(""https://docs.google.com/spreadsheets/d/14Bd19lYaqBhU8_DElYkX7l4wRkHqqCUFNJY4AfY3kHU/edit?usp=sharing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19" s="7" t="s">
        <v>23</v>
      </c>
    </row>
    <row r="15020" spans="1:10" ht="13.2">
      <c r="A15020" s="7">
        <v>15019</v>
      </c>
      <c r="B15020" s="7">
        <v>1</v>
      </c>
      <c r="C15020" s="7" t="s">
        <v>10</v>
      </c>
      <c r="D15020" s="7">
        <v>19534</v>
      </c>
      <c r="E15020" s="7" t="s">
        <v>23</v>
      </c>
      <c r="F15020" s="8" t="str">
        <f ca="1">IFERROR(__xludf.DUMMYFUNCTION("IF
(
C15021=""фізична особа""
,
VLOOKUP(D15021,IMPORTRANGE(""https://docs.google.com/spreadsheets/d/14Bd19lYaqBhU8_DElYkX7l4wRkHqqCUFNJY4AfY3kHU/edit?usp=sharing  #gid=0"",""фіз особи new!relations_name""),6,FALSE)
,
(IF
(
C15021=""юридична особа""
,
VLOO"&amp;"KUP(D15021,IMPORTRANGE(""https://docs.google.com/spreadsheets/d/14Bd19lYaqBhU8_DElYkX7l4wRkHqqCUFNJY4AfY3kHU/edit?usp=sharing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20" s="7" t="s">
        <v>10</v>
      </c>
      <c r="H15020" s="7">
        <v>19538</v>
      </c>
      <c r="I15020" s="8" t="str">
        <f ca="1">IFERROR(__xludf.DUMMYFUNCTION("IF
(
G15021=""фізична особа""
,
VLOOKUP(H15021,IMPORTRANGE(""https://docs.google.com/spreadsheets/d/14Bd19lYaqBhU8_DElYkX7l4wRkHqqCUFNJY4AfY3kHU/edit?usp=sharing  #gid=0"",""фіз особи new!relations_name""),6,FALSE)
,
(IF
(
G15021=""юридична особа""
,
VLOO"&amp;"KUP(H15021,IMPORTRANGE(""https://docs.google.com/spreadsheets/d/14Bd19lYaqBhU8_DElYkX7l4wRkHqqCUFNJY4AfY3kHU/edit?usp=sharing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20" s="7" t="s">
        <v>23</v>
      </c>
    </row>
    <row r="15021" spans="1:10" ht="13.2">
      <c r="A15021" s="7">
        <v>15020</v>
      </c>
      <c r="B15021" s="7">
        <v>1</v>
      </c>
      <c r="C15021" s="7" t="s">
        <v>10</v>
      </c>
      <c r="D15021" s="7">
        <v>19534</v>
      </c>
      <c r="E15021" s="7" t="s">
        <v>23</v>
      </c>
      <c r="F15021" s="8" t="str">
        <f ca="1">IFERROR(__xludf.DUMMYFUNCTION("IF
(
C15022=""фізична особа""
,
VLOOKUP(D15022,IMPORTRANGE(""https://docs.google.com/spreadsheets/d/14Bd19lYaqBhU8_DElYkX7l4wRkHqqCUFNJY4AfY3kHU/edit?usp=sharing  #gid=0"",""фіз особи new!relations_name""),6,FALSE)
,
(IF
(
C15022=""юридична особа""
,
VLOO"&amp;"KUP(D15022,IMPORTRANGE(""https://docs.google.com/spreadsheets/d/14Bd19lYaqBhU8_DElYkX7l4wRkHqqCUFNJY4AfY3kHU/edit?usp=sharing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G15021" s="7" t="s">
        <v>10</v>
      </c>
      <c r="H15021" s="7">
        <v>19539</v>
      </c>
      <c r="I15021" s="8" t="str">
        <f ca="1">IFERROR(__xludf.DUMMYFUNCTION("IF
(
G15022=""фізична особа""
,
VLOOKUP(H15022,IMPORTRANGE(""https://docs.google.com/spreadsheets/d/14Bd19lYaqBhU8_DElYkX7l4wRkHqqCUFNJY4AfY3kHU/edit?usp=sharing  #gid=0"",""фіз особи new!relations_name""),6,FALSE)
,
(IF
(
G15022=""юридична особа""
,
VLOO"&amp;"KUP(H15022,IMPORTRANGE(""https://docs.google.com/spreadsheets/d/14Bd19lYaqBhU8_DElYkX7l4wRkHqqCUFNJY4AfY3kHU/edit?usp=sharing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21" s="7" t="s">
        <v>23</v>
      </c>
    </row>
    <row r="15022" spans="1:10" ht="13.2">
      <c r="A15022" s="7">
        <v>15021</v>
      </c>
      <c r="B15022" s="7">
        <v>1</v>
      </c>
      <c r="C15022" s="7" t="s">
        <v>10</v>
      </c>
      <c r="D15022" s="7">
        <v>19535</v>
      </c>
      <c r="E15022" s="7" t="s">
        <v>23</v>
      </c>
      <c r="F15022" s="8" t="str">
        <f ca="1">IFERROR(__xludf.DUMMYFUNCTION("IF
(
C15023=""фізична особа""
,
VLOOKUP(D15023,IMPORTRANGE(""https://docs.google.com/spreadsheets/d/14Bd19lYaqBhU8_DElYkX7l4wRkHqqCUFNJY4AfY3kHU/edit?usp=sharing  #gid=0"",""фіз особи new!relations_name""),6,FALSE)
,
(IF
(
C15023=""юридична особа""
,
VLOO"&amp;"KUP(D15023,IMPORTRANGE(""https://docs.google.com/spreadsheets/d/14Bd19lYaqBhU8_DElYkX7l4wRkHqqCUFNJY4AfY3kHU/edit?usp=sharing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2" s="7" t="s">
        <v>10</v>
      </c>
      <c r="H15022" s="7">
        <v>19527</v>
      </c>
      <c r="I15022" s="8" t="str">
        <f ca="1">IFERROR(__xludf.DUMMYFUNCTION("IF
(
G15023=""фізична особа""
,
VLOOKUP(H15023,IMPORTRANGE(""https://docs.google.com/spreadsheets/d/14Bd19lYaqBhU8_DElYkX7l4wRkHqqCUFNJY4AfY3kHU/edit?usp=sharing  #gid=0"",""фіз особи new!relations_name""),6,FALSE)
,
(IF
(
G15023=""юридична особа""
,
VLOO"&amp;"KUP(H15023,IMPORTRANGE(""https://docs.google.com/spreadsheets/d/14Bd19lYaqBhU8_DElYkX7l4wRkHqqCUFNJY4AfY3kHU/edit?usp=sharing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22" s="7" t="s">
        <v>23</v>
      </c>
    </row>
    <row r="15023" spans="1:10" ht="13.2">
      <c r="A15023" s="7">
        <v>15022</v>
      </c>
      <c r="B15023" s="7">
        <v>1</v>
      </c>
      <c r="C15023" s="7" t="s">
        <v>10</v>
      </c>
      <c r="D15023" s="7">
        <v>19535</v>
      </c>
      <c r="E15023" s="7" t="s">
        <v>23</v>
      </c>
      <c r="F15023" s="8" t="str">
        <f ca="1">IFERROR(__xludf.DUMMYFUNCTION("IF
(
C15024=""фізична особа""
,
VLOOKUP(D15024,IMPORTRANGE(""https://docs.google.com/spreadsheets/d/14Bd19lYaqBhU8_DElYkX7l4wRkHqqCUFNJY4AfY3kHU/edit?usp=sharing  #gid=0"",""фіз особи new!relations_name""),6,FALSE)
,
(IF
(
C15024=""юридична особа""
,
VLOO"&amp;"KUP(D15024,IMPORTRANGE(""https://docs.google.com/spreadsheets/d/14Bd19lYaqBhU8_DElYkX7l4wRkHqqCUFNJY4AfY3kHU/edit?usp=sharing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3" s="7" t="s">
        <v>10</v>
      </c>
      <c r="H15023" s="7">
        <v>19528</v>
      </c>
      <c r="I15023" s="8" t="str">
        <f ca="1">IFERROR(__xludf.DUMMYFUNCTION("IF
(
G15024=""фізична особа""
,
VLOOKUP(H15024,IMPORTRANGE(""https://docs.google.com/spreadsheets/d/14Bd19lYaqBhU8_DElYkX7l4wRkHqqCUFNJY4AfY3kHU/edit?usp=sharing  #gid=0"",""фіз особи new!relations_name""),6,FALSE)
,
(IF
(
G15024=""юридична особа""
,
VLOO"&amp;"KUP(H15024,IMPORTRANGE(""https://docs.google.com/spreadsheets/d/14Bd19lYaqBhU8_DElYkX7l4wRkHqqCUFNJY4AfY3kHU/edit?usp=sharing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23" s="7" t="s">
        <v>23</v>
      </c>
    </row>
    <row r="15024" spans="1:10" ht="13.2">
      <c r="A15024" s="7">
        <v>15023</v>
      </c>
      <c r="B15024" s="7">
        <v>1</v>
      </c>
      <c r="C15024" s="7" t="s">
        <v>10</v>
      </c>
      <c r="D15024" s="7">
        <v>19535</v>
      </c>
      <c r="E15024" s="7" t="s">
        <v>23</v>
      </c>
      <c r="F15024" s="8" t="str">
        <f ca="1">IFERROR(__xludf.DUMMYFUNCTION("IF
(
C15025=""фізична особа""
,
VLOOKUP(D15025,IMPORTRANGE(""https://docs.google.com/spreadsheets/d/14Bd19lYaqBhU8_DElYkX7l4wRkHqqCUFNJY4AfY3kHU/edit?usp=sharing  #gid=0"",""фіз особи new!relations_name""),6,FALSE)
,
(IF
(
C15025=""юридична особа""
,
VLOO"&amp;"KUP(D15025,IMPORTRANGE(""https://docs.google.com/spreadsheets/d/14Bd19lYaqBhU8_DElYkX7l4wRkHqqCUFNJY4AfY3kHU/edit?usp=sharing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4" s="7" t="s">
        <v>10</v>
      </c>
      <c r="H15024" s="7">
        <v>19529</v>
      </c>
      <c r="I15024" s="8" t="str">
        <f ca="1">IFERROR(__xludf.DUMMYFUNCTION("IF
(
G15025=""фізична особа""
,
VLOOKUP(H15025,IMPORTRANGE(""https://docs.google.com/spreadsheets/d/14Bd19lYaqBhU8_DElYkX7l4wRkHqqCUFNJY4AfY3kHU/edit?usp=sharing  #gid=0"",""фіз особи new!relations_name""),6,FALSE)
,
(IF
(
G15025=""юридична особа""
,
VLOO"&amp;"KUP(H15025,IMPORTRANGE(""https://docs.google.com/spreadsheets/d/14Bd19lYaqBhU8_DElYkX7l4wRkHqqCUFNJY4AfY3kHU/edit?usp=sharing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24" s="7" t="s">
        <v>23</v>
      </c>
    </row>
    <row r="15025" spans="1:10" ht="13.2">
      <c r="A15025" s="7">
        <v>15024</v>
      </c>
      <c r="B15025" s="7">
        <v>1</v>
      </c>
      <c r="C15025" s="7" t="s">
        <v>10</v>
      </c>
      <c r="D15025" s="7">
        <v>19535</v>
      </c>
      <c r="E15025" s="7" t="s">
        <v>23</v>
      </c>
      <c r="F15025" s="8" t="str">
        <f ca="1">IFERROR(__xludf.DUMMYFUNCTION("IF
(
C15026=""фізична особа""
,
VLOOKUP(D15026,IMPORTRANGE(""https://docs.google.com/spreadsheets/d/14Bd19lYaqBhU8_DElYkX7l4wRkHqqCUFNJY4AfY3kHU/edit?usp=sharing  #gid=0"",""фіз особи new!relations_name""),6,FALSE)
,
(IF
(
C15026=""юридична особа""
,
VLOO"&amp;"KUP(D15026,IMPORTRANGE(""https://docs.google.com/spreadsheets/d/14Bd19lYaqBhU8_DElYkX7l4wRkHqqCUFNJY4AfY3kHU/edit?usp=sharing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5" s="7" t="s">
        <v>10</v>
      </c>
      <c r="H15025" s="7">
        <v>19530</v>
      </c>
      <c r="I15025" s="8" t="str">
        <f ca="1">IFERROR(__xludf.DUMMYFUNCTION("IF
(
G15026=""фізична особа""
,
VLOOKUP(H15026,IMPORTRANGE(""https://docs.google.com/spreadsheets/d/14Bd19lYaqBhU8_DElYkX7l4wRkHqqCUFNJY4AfY3kHU/edit?usp=sharing  #gid=0"",""фіз особи new!relations_name""),6,FALSE)
,
(IF
(
G15026=""юридична особа""
,
VLOO"&amp;"KUP(H15026,IMPORTRANGE(""https://docs.google.com/spreadsheets/d/14Bd19lYaqBhU8_DElYkX7l4wRkHqqCUFNJY4AfY3kHU/edit?usp=sharing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25" s="7" t="s">
        <v>23</v>
      </c>
    </row>
    <row r="15026" spans="1:10" ht="13.2">
      <c r="A15026" s="7">
        <v>15025</v>
      </c>
      <c r="B15026" s="7">
        <v>1</v>
      </c>
      <c r="C15026" s="7" t="s">
        <v>10</v>
      </c>
      <c r="D15026" s="7">
        <v>19535</v>
      </c>
      <c r="E15026" s="7" t="s">
        <v>23</v>
      </c>
      <c r="F15026" s="8" t="str">
        <f ca="1">IFERROR(__xludf.DUMMYFUNCTION("IF
(
C15027=""фізична особа""
,
VLOOKUP(D15027,IMPORTRANGE(""https://docs.google.com/spreadsheets/d/14Bd19lYaqBhU8_DElYkX7l4wRkHqqCUFNJY4AfY3kHU/edit?usp=sharing  #gid=0"",""фіз особи new!relations_name""),6,FALSE)
,
(IF
(
C15027=""юридична особа""
,
VLOO"&amp;"KUP(D15027,IMPORTRANGE(""https://docs.google.com/spreadsheets/d/14Bd19lYaqBhU8_DElYkX7l4wRkHqqCUFNJY4AfY3kHU/edit?usp=sharing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6" s="7" t="s">
        <v>10</v>
      </c>
      <c r="H15026" s="7">
        <v>19531</v>
      </c>
      <c r="I15026" s="8" t="str">
        <f ca="1">IFERROR(__xludf.DUMMYFUNCTION("IF
(
G15027=""фізична особа""
,
VLOOKUP(H15027,IMPORTRANGE(""https://docs.google.com/spreadsheets/d/14Bd19lYaqBhU8_DElYkX7l4wRkHqqCUFNJY4AfY3kHU/edit?usp=sharing  #gid=0"",""фіз особи new!relations_name""),6,FALSE)
,
(IF
(
G15027=""юридична особа""
,
VLOO"&amp;"KUP(H15027,IMPORTRANGE(""https://docs.google.com/spreadsheets/d/14Bd19lYaqBhU8_DElYkX7l4wRkHqqCUFNJY4AfY3kHU/edit?usp=sharing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26" s="7" t="s">
        <v>23</v>
      </c>
    </row>
    <row r="15027" spans="1:10" ht="13.2">
      <c r="A15027" s="7">
        <v>15026</v>
      </c>
      <c r="B15027" s="7">
        <v>1</v>
      </c>
      <c r="C15027" s="7" t="s">
        <v>10</v>
      </c>
      <c r="D15027" s="7">
        <v>19535</v>
      </c>
      <c r="E15027" s="7" t="s">
        <v>23</v>
      </c>
      <c r="F15027" s="8" t="str">
        <f ca="1">IFERROR(__xludf.DUMMYFUNCTION("IF
(
C15028=""фізична особа""
,
VLOOKUP(D15028,IMPORTRANGE(""https://docs.google.com/spreadsheets/d/14Bd19lYaqBhU8_DElYkX7l4wRkHqqCUFNJY4AfY3kHU/edit?usp=sharing  #gid=0"",""фіз особи new!relations_name""),6,FALSE)
,
(IF
(
C15028=""юридична особа""
,
VLOO"&amp;"KUP(D15028,IMPORTRANGE(""https://docs.google.com/spreadsheets/d/14Bd19lYaqBhU8_DElYkX7l4wRkHqqCUFNJY4AfY3kHU/edit?usp=sharing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7" s="7" t="s">
        <v>10</v>
      </c>
      <c r="H15027" s="7">
        <v>19532</v>
      </c>
      <c r="I15027" s="8" t="str">
        <f ca="1">IFERROR(__xludf.DUMMYFUNCTION("IF
(
G15028=""фізична особа""
,
VLOOKUP(H15028,IMPORTRANGE(""https://docs.google.com/spreadsheets/d/14Bd19lYaqBhU8_DElYkX7l4wRkHqqCUFNJY4AfY3kHU/edit?usp=sharing  #gid=0"",""фіз особи new!relations_name""),6,FALSE)
,
(IF
(
G15028=""юридична особа""
,
VLOO"&amp;"KUP(H15028,IMPORTRANGE(""https://docs.google.com/spreadsheets/d/14Bd19lYaqBhU8_DElYkX7l4wRkHqqCUFNJY4AfY3kHU/edit?usp=sharing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27" s="7" t="s">
        <v>23</v>
      </c>
    </row>
    <row r="15028" spans="1:10" ht="13.2">
      <c r="A15028" s="7">
        <v>15027</v>
      </c>
      <c r="B15028" s="7">
        <v>1</v>
      </c>
      <c r="C15028" s="7" t="s">
        <v>10</v>
      </c>
      <c r="D15028" s="7">
        <v>19535</v>
      </c>
      <c r="E15028" s="7" t="s">
        <v>23</v>
      </c>
      <c r="F15028" s="8" t="str">
        <f ca="1">IFERROR(__xludf.DUMMYFUNCTION("IF
(
C15029=""фізична особа""
,
VLOOKUP(D15029,IMPORTRANGE(""https://docs.google.com/spreadsheets/d/14Bd19lYaqBhU8_DElYkX7l4wRkHqqCUFNJY4AfY3kHU/edit?usp=sharing  #gid=0"",""фіз особи new!relations_name""),6,FALSE)
,
(IF
(
C15029=""юридична особа""
,
VLOO"&amp;"KUP(D15029,IMPORTRANGE(""https://docs.google.com/spreadsheets/d/14Bd19lYaqBhU8_DElYkX7l4wRkHqqCUFNJY4AfY3kHU/edit?usp=sharing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8" s="7" t="s">
        <v>10</v>
      </c>
      <c r="H15028" s="7">
        <v>19533</v>
      </c>
      <c r="I15028" s="8" t="str">
        <f ca="1">IFERROR(__xludf.DUMMYFUNCTION("IF
(
G15029=""фізична особа""
,
VLOOKUP(H15029,IMPORTRANGE(""https://docs.google.com/spreadsheets/d/14Bd19lYaqBhU8_DElYkX7l4wRkHqqCUFNJY4AfY3kHU/edit?usp=sharing  #gid=0"",""фіз особи new!relations_name""),6,FALSE)
,
(IF
(
G15029=""юридична особа""
,
VLOO"&amp;"KUP(H15029,IMPORTRANGE(""https://docs.google.com/spreadsheets/d/14Bd19lYaqBhU8_DElYkX7l4wRkHqqCUFNJY4AfY3kHU/edit?usp=sharing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28" s="7" t="s">
        <v>23</v>
      </c>
    </row>
    <row r="15029" spans="1:10" ht="13.2">
      <c r="A15029" s="7">
        <v>15028</v>
      </c>
      <c r="B15029" s="7">
        <v>1</v>
      </c>
      <c r="C15029" s="7" t="s">
        <v>10</v>
      </c>
      <c r="D15029" s="7">
        <v>19535</v>
      </c>
      <c r="E15029" s="7" t="s">
        <v>23</v>
      </c>
      <c r="F15029" s="8" t="str">
        <f ca="1">IFERROR(__xludf.DUMMYFUNCTION("IF
(
C15030=""фізична особа""
,
VLOOKUP(D15030,IMPORTRANGE(""https://docs.google.com/spreadsheets/d/14Bd19lYaqBhU8_DElYkX7l4wRkHqqCUFNJY4AfY3kHU/edit?usp=sharing  #gid=0"",""фіз особи new!relations_name""),6,FALSE)
,
(IF
(
C15030=""юридична особа""
,
VLOO"&amp;"KUP(D15030,IMPORTRANGE(""https://docs.google.com/spreadsheets/d/14Bd19lYaqBhU8_DElYkX7l4wRkHqqCUFNJY4AfY3kHU/edit?usp=sharing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29" s="7" t="s">
        <v>10</v>
      </c>
      <c r="H15029" s="7">
        <v>19534</v>
      </c>
      <c r="I15029" s="8" t="str">
        <f ca="1">IFERROR(__xludf.DUMMYFUNCTION("IF
(
G15030=""фізична особа""
,
VLOOKUP(H15030,IMPORTRANGE(""https://docs.google.com/spreadsheets/d/14Bd19lYaqBhU8_DElYkX7l4wRkHqqCUFNJY4AfY3kHU/edit?usp=sharing  #gid=0"",""фіз особи new!relations_name""),6,FALSE)
,
(IF
(
G15030=""юридична особа""
,
VLOO"&amp;"KUP(H15030,IMPORTRANGE(""https://docs.google.com/spreadsheets/d/14Bd19lYaqBhU8_DElYkX7l4wRkHqqCUFNJY4AfY3kHU/edit?usp=sharing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29" s="7" t="s">
        <v>23</v>
      </c>
    </row>
    <row r="15030" spans="1:10" ht="13.2">
      <c r="A15030" s="7">
        <v>15029</v>
      </c>
      <c r="B15030" s="7">
        <v>1</v>
      </c>
      <c r="C15030" s="7" t="s">
        <v>10</v>
      </c>
      <c r="D15030" s="7">
        <v>19535</v>
      </c>
      <c r="E15030" s="7" t="s">
        <v>23</v>
      </c>
      <c r="F15030" s="8" t="str">
        <f ca="1">IFERROR(__xludf.DUMMYFUNCTION("IF
(
C15031=""фізична особа""
,
VLOOKUP(D15031,IMPORTRANGE(""https://docs.google.com/spreadsheets/d/14Bd19lYaqBhU8_DElYkX7l4wRkHqqCUFNJY4AfY3kHU/edit?usp=sharing  #gid=0"",""фіз особи new!relations_name""),6,FALSE)
,
(IF
(
C15031=""юридична особа""
,
VLOO"&amp;"KUP(D15031,IMPORTRANGE(""https://docs.google.com/spreadsheets/d/14Bd19lYaqBhU8_DElYkX7l4wRkHqqCUFNJY4AfY3kHU/edit?usp=sharing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30" s="7" t="s">
        <v>10</v>
      </c>
      <c r="H15030" s="7">
        <v>19536</v>
      </c>
      <c r="I15030" s="8" t="str">
        <f ca="1">IFERROR(__xludf.DUMMYFUNCTION("IF
(
G15031=""фізична особа""
,
VLOOKUP(H15031,IMPORTRANGE(""https://docs.google.com/spreadsheets/d/14Bd19lYaqBhU8_DElYkX7l4wRkHqqCUFNJY4AfY3kHU/edit?usp=sharing  #gid=0"",""фіз особи new!relations_name""),6,FALSE)
,
(IF
(
G15031=""юридична особа""
,
VLOO"&amp;"KUP(H15031,IMPORTRANGE(""https://docs.google.com/spreadsheets/d/14Bd19lYaqBhU8_DElYkX7l4wRkHqqCUFNJY4AfY3kHU/edit?usp=sharing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30" s="7" t="s">
        <v>23</v>
      </c>
    </row>
    <row r="15031" spans="1:10" ht="13.2">
      <c r="A15031" s="7">
        <v>15030</v>
      </c>
      <c r="B15031" s="7">
        <v>1</v>
      </c>
      <c r="C15031" s="7" t="s">
        <v>10</v>
      </c>
      <c r="D15031" s="7">
        <v>19535</v>
      </c>
      <c r="E15031" s="7" t="s">
        <v>23</v>
      </c>
      <c r="F15031" s="8" t="str">
        <f ca="1">IFERROR(__xludf.DUMMYFUNCTION("IF
(
C15032=""фізична особа""
,
VLOOKUP(D15032,IMPORTRANGE(""https://docs.google.com/spreadsheets/d/14Bd19lYaqBhU8_DElYkX7l4wRkHqqCUFNJY4AfY3kHU/edit?usp=sharing  #gid=0"",""фіз особи new!relations_name""),6,FALSE)
,
(IF
(
C15032=""юридична особа""
,
VLOO"&amp;"KUP(D15032,IMPORTRANGE(""https://docs.google.com/spreadsheets/d/14Bd19lYaqBhU8_DElYkX7l4wRkHqqCUFNJY4AfY3kHU/edit?usp=sharing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31" s="7" t="s">
        <v>10</v>
      </c>
      <c r="H15031" s="7">
        <v>19537</v>
      </c>
      <c r="I15031" s="8" t="str">
        <f ca="1">IFERROR(__xludf.DUMMYFUNCTION("IF
(
G15032=""фізична особа""
,
VLOOKUP(H15032,IMPORTRANGE(""https://docs.google.com/spreadsheets/d/14Bd19lYaqBhU8_DElYkX7l4wRkHqqCUFNJY4AfY3kHU/edit?usp=sharing  #gid=0"",""фіз особи new!relations_name""),6,FALSE)
,
(IF
(
G15032=""юридична особа""
,
VLOO"&amp;"KUP(H15032,IMPORTRANGE(""https://docs.google.com/spreadsheets/d/14Bd19lYaqBhU8_DElYkX7l4wRkHqqCUFNJY4AfY3kHU/edit?usp=sharing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31" s="7" t="s">
        <v>23</v>
      </c>
    </row>
    <row r="15032" spans="1:10" ht="13.2">
      <c r="A15032" s="7">
        <v>15031</v>
      </c>
      <c r="B15032" s="7">
        <v>1</v>
      </c>
      <c r="C15032" s="7" t="s">
        <v>10</v>
      </c>
      <c r="D15032" s="7">
        <v>19535</v>
      </c>
      <c r="E15032" s="7" t="s">
        <v>23</v>
      </c>
      <c r="F15032" s="8" t="str">
        <f ca="1">IFERROR(__xludf.DUMMYFUNCTION("IF
(
C15033=""фізична особа""
,
VLOOKUP(D15033,IMPORTRANGE(""https://docs.google.com/spreadsheets/d/14Bd19lYaqBhU8_DElYkX7l4wRkHqqCUFNJY4AfY3kHU/edit?usp=sharing  #gid=0"",""фіз особи new!relations_name""),6,FALSE)
,
(IF
(
C15033=""юридична особа""
,
VLOO"&amp;"KUP(D15033,IMPORTRANGE(""https://docs.google.com/spreadsheets/d/14Bd19lYaqBhU8_DElYkX7l4wRkHqqCUFNJY4AfY3kHU/edit?usp=sharing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32" s="7" t="s">
        <v>10</v>
      </c>
      <c r="H15032" s="7">
        <v>19538</v>
      </c>
      <c r="I15032" s="8" t="str">
        <f ca="1">IFERROR(__xludf.DUMMYFUNCTION("IF
(
G15033=""фізична особа""
,
VLOOKUP(H15033,IMPORTRANGE(""https://docs.google.com/spreadsheets/d/14Bd19lYaqBhU8_DElYkX7l4wRkHqqCUFNJY4AfY3kHU/edit?usp=sharing  #gid=0"",""фіз особи new!relations_name""),6,FALSE)
,
(IF
(
G15033=""юридична особа""
,
VLOO"&amp;"KUP(H15033,IMPORTRANGE(""https://docs.google.com/spreadsheets/d/14Bd19lYaqBhU8_DElYkX7l4wRkHqqCUFNJY4AfY3kHU/edit?usp=sharing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32" s="7" t="s">
        <v>23</v>
      </c>
    </row>
    <row r="15033" spans="1:10" ht="13.2">
      <c r="A15033" s="7">
        <v>15032</v>
      </c>
      <c r="B15033" s="7">
        <v>1</v>
      </c>
      <c r="C15033" s="7" t="s">
        <v>10</v>
      </c>
      <c r="D15033" s="7">
        <v>19535</v>
      </c>
      <c r="E15033" s="7" t="s">
        <v>23</v>
      </c>
      <c r="F15033" s="8" t="str">
        <f ca="1">IFERROR(__xludf.DUMMYFUNCTION("IF
(
C15034=""фізична особа""
,
VLOOKUP(D15034,IMPORTRANGE(""https://docs.google.com/spreadsheets/d/14Bd19lYaqBhU8_DElYkX7l4wRkHqqCUFNJY4AfY3kHU/edit?usp=sharing  #gid=0"",""фіз особи new!relations_name""),6,FALSE)
,
(IF
(
C15034=""юридична особа""
,
VLOO"&amp;"KUP(D15034,IMPORTRANGE(""https://docs.google.com/spreadsheets/d/14Bd19lYaqBhU8_DElYkX7l4wRkHqqCUFNJY4AfY3kHU/edit?usp=sharing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G15033" s="7" t="s">
        <v>10</v>
      </c>
      <c r="H15033" s="7">
        <v>19539</v>
      </c>
      <c r="I15033" s="8" t="str">
        <f ca="1">IFERROR(__xludf.DUMMYFUNCTION("IF
(
G15034=""фізична особа""
,
VLOOKUP(H15034,IMPORTRANGE(""https://docs.google.com/spreadsheets/d/14Bd19lYaqBhU8_DElYkX7l4wRkHqqCUFNJY4AfY3kHU/edit?usp=sharing  #gid=0"",""фіз особи new!relations_name""),6,FALSE)
,
(IF
(
G15034=""юридична особа""
,
VLOO"&amp;"KUP(H15034,IMPORTRANGE(""https://docs.google.com/spreadsheets/d/14Bd19lYaqBhU8_DElYkX7l4wRkHqqCUFNJY4AfY3kHU/edit?usp=sharing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33" s="7" t="s">
        <v>23</v>
      </c>
    </row>
    <row r="15034" spans="1:10" ht="13.2">
      <c r="A15034" s="7">
        <v>15033</v>
      </c>
      <c r="B15034" s="7">
        <v>1</v>
      </c>
      <c r="C15034" s="7" t="s">
        <v>10</v>
      </c>
      <c r="D15034" s="7">
        <v>19536</v>
      </c>
      <c r="E15034" s="7" t="s">
        <v>23</v>
      </c>
      <c r="F15034" s="8" t="str">
        <f ca="1">IFERROR(__xludf.DUMMYFUNCTION("IF
(
C15035=""фізична особа""
,
VLOOKUP(D15035,IMPORTRANGE(""https://docs.google.com/spreadsheets/d/14Bd19lYaqBhU8_DElYkX7l4wRkHqqCUFNJY4AfY3kHU/edit?usp=sharing  #gid=0"",""фіз особи new!relations_name""),6,FALSE)
,
(IF
(
C15035=""юридична особа""
,
VLOO"&amp;"KUP(D15035,IMPORTRANGE(""https://docs.google.com/spreadsheets/d/14Bd19lYaqBhU8_DElYkX7l4wRkHqqCUFNJY4AfY3kHU/edit?usp=sharing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4" s="7" t="s">
        <v>10</v>
      </c>
      <c r="H15034" s="7">
        <v>19527</v>
      </c>
      <c r="I15034" s="8" t="str">
        <f ca="1">IFERROR(__xludf.DUMMYFUNCTION("IF
(
G15035=""фізична особа""
,
VLOOKUP(H15035,IMPORTRANGE(""https://docs.google.com/spreadsheets/d/14Bd19lYaqBhU8_DElYkX7l4wRkHqqCUFNJY4AfY3kHU/edit?usp=sharing  #gid=0"",""фіз особи new!relations_name""),6,FALSE)
,
(IF
(
G15035=""юридична особа""
,
VLOO"&amp;"KUP(H15035,IMPORTRANGE(""https://docs.google.com/spreadsheets/d/14Bd19lYaqBhU8_DElYkX7l4wRkHqqCUFNJY4AfY3kHU/edit?usp=sharing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34" s="7" t="s">
        <v>23</v>
      </c>
    </row>
    <row r="15035" spans="1:10" ht="13.2">
      <c r="A15035" s="7">
        <v>15034</v>
      </c>
      <c r="B15035" s="7">
        <v>1</v>
      </c>
      <c r="C15035" s="7" t="s">
        <v>10</v>
      </c>
      <c r="D15035" s="7">
        <v>19536</v>
      </c>
      <c r="E15035" s="7" t="s">
        <v>23</v>
      </c>
      <c r="F15035" s="8" t="str">
        <f ca="1">IFERROR(__xludf.DUMMYFUNCTION("IF
(
C15036=""фізична особа""
,
VLOOKUP(D15036,IMPORTRANGE(""https://docs.google.com/spreadsheets/d/14Bd19lYaqBhU8_DElYkX7l4wRkHqqCUFNJY4AfY3kHU/edit?usp=sharing  #gid=0"",""фіз особи new!relations_name""),6,FALSE)
,
(IF
(
C15036=""юридична особа""
,
VLOO"&amp;"KUP(D15036,IMPORTRANGE(""https://docs.google.com/spreadsheets/d/14Bd19lYaqBhU8_DElYkX7l4wRkHqqCUFNJY4AfY3kHU/edit?usp=sharing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5" s="7" t="s">
        <v>10</v>
      </c>
      <c r="H15035" s="7">
        <v>19528</v>
      </c>
      <c r="I15035" s="8" t="str">
        <f ca="1">IFERROR(__xludf.DUMMYFUNCTION("IF
(
G15036=""фізична особа""
,
VLOOKUP(H15036,IMPORTRANGE(""https://docs.google.com/spreadsheets/d/14Bd19lYaqBhU8_DElYkX7l4wRkHqqCUFNJY4AfY3kHU/edit?usp=sharing  #gid=0"",""фіз особи new!relations_name""),6,FALSE)
,
(IF
(
G15036=""юридична особа""
,
VLOO"&amp;"KUP(H15036,IMPORTRANGE(""https://docs.google.com/spreadsheets/d/14Bd19lYaqBhU8_DElYkX7l4wRkHqqCUFNJY4AfY3kHU/edit?usp=sharing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35" s="7" t="s">
        <v>23</v>
      </c>
    </row>
    <row r="15036" spans="1:10" ht="13.2">
      <c r="A15036" s="7">
        <v>15035</v>
      </c>
      <c r="B15036" s="7">
        <v>1</v>
      </c>
      <c r="C15036" s="7" t="s">
        <v>10</v>
      </c>
      <c r="D15036" s="7">
        <v>19536</v>
      </c>
      <c r="E15036" s="7" t="s">
        <v>23</v>
      </c>
      <c r="F15036" s="8" t="str">
        <f ca="1">IFERROR(__xludf.DUMMYFUNCTION("IF
(
C15037=""фізична особа""
,
VLOOKUP(D15037,IMPORTRANGE(""https://docs.google.com/spreadsheets/d/14Bd19lYaqBhU8_DElYkX7l4wRkHqqCUFNJY4AfY3kHU/edit?usp=sharing  #gid=0"",""фіз особи new!relations_name""),6,FALSE)
,
(IF
(
C15037=""юридична особа""
,
VLOO"&amp;"KUP(D15037,IMPORTRANGE(""https://docs.google.com/spreadsheets/d/14Bd19lYaqBhU8_DElYkX7l4wRkHqqCUFNJY4AfY3kHU/edit?usp=sharing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6" s="7" t="s">
        <v>10</v>
      </c>
      <c r="H15036" s="7">
        <v>19529</v>
      </c>
      <c r="I15036" s="8" t="str">
        <f ca="1">IFERROR(__xludf.DUMMYFUNCTION("IF
(
G15037=""фізична особа""
,
VLOOKUP(H15037,IMPORTRANGE(""https://docs.google.com/spreadsheets/d/14Bd19lYaqBhU8_DElYkX7l4wRkHqqCUFNJY4AfY3kHU/edit?usp=sharing  #gid=0"",""фіз особи new!relations_name""),6,FALSE)
,
(IF
(
G15037=""юридична особа""
,
VLOO"&amp;"KUP(H15037,IMPORTRANGE(""https://docs.google.com/spreadsheets/d/14Bd19lYaqBhU8_DElYkX7l4wRkHqqCUFNJY4AfY3kHU/edit?usp=sharing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36" s="7" t="s">
        <v>23</v>
      </c>
    </row>
    <row r="15037" spans="1:10" ht="13.2">
      <c r="A15037" s="7">
        <v>15036</v>
      </c>
      <c r="B15037" s="7">
        <v>1</v>
      </c>
      <c r="C15037" s="7" t="s">
        <v>10</v>
      </c>
      <c r="D15037" s="7">
        <v>19536</v>
      </c>
      <c r="E15037" s="7" t="s">
        <v>23</v>
      </c>
      <c r="F15037" s="8" t="str">
        <f ca="1">IFERROR(__xludf.DUMMYFUNCTION("IF
(
C15038=""фізична особа""
,
VLOOKUP(D15038,IMPORTRANGE(""https://docs.google.com/spreadsheets/d/14Bd19lYaqBhU8_DElYkX7l4wRkHqqCUFNJY4AfY3kHU/edit?usp=sharing  #gid=0"",""фіз особи new!relations_name""),6,FALSE)
,
(IF
(
C15038=""юридична особа""
,
VLOO"&amp;"KUP(D15038,IMPORTRANGE(""https://docs.google.com/spreadsheets/d/14Bd19lYaqBhU8_DElYkX7l4wRkHqqCUFNJY4AfY3kHU/edit?usp=sharing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7" s="7" t="s">
        <v>10</v>
      </c>
      <c r="H15037" s="7">
        <v>19530</v>
      </c>
      <c r="I15037" s="8" t="str">
        <f ca="1">IFERROR(__xludf.DUMMYFUNCTION("IF
(
G15038=""фізична особа""
,
VLOOKUP(H15038,IMPORTRANGE(""https://docs.google.com/spreadsheets/d/14Bd19lYaqBhU8_DElYkX7l4wRkHqqCUFNJY4AfY3kHU/edit?usp=sharing  #gid=0"",""фіз особи new!relations_name""),6,FALSE)
,
(IF
(
G15038=""юридична особа""
,
VLOO"&amp;"KUP(H15038,IMPORTRANGE(""https://docs.google.com/spreadsheets/d/14Bd19lYaqBhU8_DElYkX7l4wRkHqqCUFNJY4AfY3kHU/edit?usp=sharing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37" s="7" t="s">
        <v>23</v>
      </c>
    </row>
    <row r="15038" spans="1:10" ht="13.2">
      <c r="A15038" s="7">
        <v>15037</v>
      </c>
      <c r="B15038" s="7">
        <v>1</v>
      </c>
      <c r="C15038" s="7" t="s">
        <v>10</v>
      </c>
      <c r="D15038" s="7">
        <v>19536</v>
      </c>
      <c r="E15038" s="7" t="s">
        <v>23</v>
      </c>
      <c r="F15038" s="8" t="str">
        <f ca="1">IFERROR(__xludf.DUMMYFUNCTION("IF
(
C15039=""фізична особа""
,
VLOOKUP(D15039,IMPORTRANGE(""https://docs.google.com/spreadsheets/d/14Bd19lYaqBhU8_DElYkX7l4wRkHqqCUFNJY4AfY3kHU/edit?usp=sharing  #gid=0"",""фіз особи new!relations_name""),6,FALSE)
,
(IF
(
C15039=""юридична особа""
,
VLOO"&amp;"KUP(D15039,IMPORTRANGE(""https://docs.google.com/spreadsheets/d/14Bd19lYaqBhU8_DElYkX7l4wRkHqqCUFNJY4AfY3kHU/edit?usp=sharing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8" s="7" t="s">
        <v>10</v>
      </c>
      <c r="H15038" s="7">
        <v>19531</v>
      </c>
      <c r="I15038" s="8" t="str">
        <f ca="1">IFERROR(__xludf.DUMMYFUNCTION("IF
(
G15039=""фізична особа""
,
VLOOKUP(H15039,IMPORTRANGE(""https://docs.google.com/spreadsheets/d/14Bd19lYaqBhU8_DElYkX7l4wRkHqqCUFNJY4AfY3kHU/edit?usp=sharing  #gid=0"",""фіз особи new!relations_name""),6,FALSE)
,
(IF
(
G15039=""юридична особа""
,
VLOO"&amp;"KUP(H15039,IMPORTRANGE(""https://docs.google.com/spreadsheets/d/14Bd19lYaqBhU8_DElYkX7l4wRkHqqCUFNJY4AfY3kHU/edit?usp=sharing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38" s="7" t="s">
        <v>23</v>
      </c>
    </row>
    <row r="15039" spans="1:10" ht="13.2">
      <c r="A15039" s="7">
        <v>15038</v>
      </c>
      <c r="B15039" s="7">
        <v>1</v>
      </c>
      <c r="C15039" s="7" t="s">
        <v>10</v>
      </c>
      <c r="D15039" s="7">
        <v>19536</v>
      </c>
      <c r="E15039" s="7" t="s">
        <v>23</v>
      </c>
      <c r="F15039" s="8" t="str">
        <f ca="1">IFERROR(__xludf.DUMMYFUNCTION("IF
(
C15040=""фізична особа""
,
VLOOKUP(D15040,IMPORTRANGE(""https://docs.google.com/spreadsheets/d/14Bd19lYaqBhU8_DElYkX7l4wRkHqqCUFNJY4AfY3kHU/edit?usp=sharing  #gid=0"",""фіз особи new!relations_name""),6,FALSE)
,
(IF
(
C15040=""юридична особа""
,
VLOO"&amp;"KUP(D15040,IMPORTRANGE(""https://docs.google.com/spreadsheets/d/14Bd19lYaqBhU8_DElYkX7l4wRkHqqCUFNJY4AfY3kHU/edit?usp=sharing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39" s="7" t="s">
        <v>10</v>
      </c>
      <c r="H15039" s="7">
        <v>19532</v>
      </c>
      <c r="I15039" s="8" t="str">
        <f ca="1">IFERROR(__xludf.DUMMYFUNCTION("IF
(
G15040=""фізична особа""
,
VLOOKUP(H15040,IMPORTRANGE(""https://docs.google.com/spreadsheets/d/14Bd19lYaqBhU8_DElYkX7l4wRkHqqCUFNJY4AfY3kHU/edit?usp=sharing  #gid=0"",""фіз особи new!relations_name""),6,FALSE)
,
(IF
(
G15040=""юридична особа""
,
VLOO"&amp;"KUP(H15040,IMPORTRANGE(""https://docs.google.com/spreadsheets/d/14Bd19lYaqBhU8_DElYkX7l4wRkHqqCUFNJY4AfY3kHU/edit?usp=sharing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39" s="7" t="s">
        <v>23</v>
      </c>
    </row>
    <row r="15040" spans="1:10" ht="13.2">
      <c r="A15040" s="7">
        <v>15039</v>
      </c>
      <c r="B15040" s="7">
        <v>1</v>
      </c>
      <c r="C15040" s="7" t="s">
        <v>10</v>
      </c>
      <c r="D15040" s="7">
        <v>19536</v>
      </c>
      <c r="E15040" s="7" t="s">
        <v>23</v>
      </c>
      <c r="F15040" s="8" t="str">
        <f ca="1">IFERROR(__xludf.DUMMYFUNCTION("IF
(
C15041=""фізична особа""
,
VLOOKUP(D15041,IMPORTRANGE(""https://docs.google.com/spreadsheets/d/14Bd19lYaqBhU8_DElYkX7l4wRkHqqCUFNJY4AfY3kHU/edit?usp=sharing  #gid=0"",""фіз особи new!relations_name""),6,FALSE)
,
(IF
(
C15041=""юридична особа""
,
VLOO"&amp;"KUP(D15041,IMPORTRANGE(""https://docs.google.com/spreadsheets/d/14Bd19lYaqBhU8_DElYkX7l4wRkHqqCUFNJY4AfY3kHU/edit?usp=sharing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0" s="7" t="s">
        <v>10</v>
      </c>
      <c r="H15040" s="7">
        <v>19533</v>
      </c>
      <c r="I15040" s="8" t="str">
        <f ca="1">IFERROR(__xludf.DUMMYFUNCTION("IF
(
G15041=""фізична особа""
,
VLOOKUP(H15041,IMPORTRANGE(""https://docs.google.com/spreadsheets/d/14Bd19lYaqBhU8_DElYkX7l4wRkHqqCUFNJY4AfY3kHU/edit?usp=sharing  #gid=0"",""фіз особи new!relations_name""),6,FALSE)
,
(IF
(
G15041=""юридична особа""
,
VLOO"&amp;"KUP(H15041,IMPORTRANGE(""https://docs.google.com/spreadsheets/d/14Bd19lYaqBhU8_DElYkX7l4wRkHqqCUFNJY4AfY3kHU/edit?usp=sharing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40" s="7" t="s">
        <v>23</v>
      </c>
    </row>
    <row r="15041" spans="1:10" ht="13.2">
      <c r="A15041" s="7">
        <v>15040</v>
      </c>
      <c r="B15041" s="7">
        <v>1</v>
      </c>
      <c r="C15041" s="7" t="s">
        <v>10</v>
      </c>
      <c r="D15041" s="7">
        <v>19536</v>
      </c>
      <c r="E15041" s="7" t="s">
        <v>23</v>
      </c>
      <c r="F15041" s="8" t="str">
        <f ca="1">IFERROR(__xludf.DUMMYFUNCTION("IF
(
C15042=""фізична особа""
,
VLOOKUP(D15042,IMPORTRANGE(""https://docs.google.com/spreadsheets/d/14Bd19lYaqBhU8_DElYkX7l4wRkHqqCUFNJY4AfY3kHU/edit?usp=sharing  #gid=0"",""фіз особи new!relations_name""),6,FALSE)
,
(IF
(
C15042=""юридична особа""
,
VLOO"&amp;"KUP(D15042,IMPORTRANGE(""https://docs.google.com/spreadsheets/d/14Bd19lYaqBhU8_DElYkX7l4wRkHqqCUFNJY4AfY3kHU/edit?usp=sharing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1" s="7" t="s">
        <v>10</v>
      </c>
      <c r="H15041" s="7">
        <v>19534</v>
      </c>
      <c r="I15041" s="8" t="str">
        <f ca="1">IFERROR(__xludf.DUMMYFUNCTION("IF
(
G15042=""фізична особа""
,
VLOOKUP(H15042,IMPORTRANGE(""https://docs.google.com/spreadsheets/d/14Bd19lYaqBhU8_DElYkX7l4wRkHqqCUFNJY4AfY3kHU/edit?usp=sharing  #gid=0"",""фіз особи new!relations_name""),6,FALSE)
,
(IF
(
G15042=""юридична особа""
,
VLOO"&amp;"KUP(H15042,IMPORTRANGE(""https://docs.google.com/spreadsheets/d/14Bd19lYaqBhU8_DElYkX7l4wRkHqqCUFNJY4AfY3kHU/edit?usp=sharing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41" s="7" t="s">
        <v>23</v>
      </c>
    </row>
    <row r="15042" spans="1:10" ht="13.2">
      <c r="A15042" s="7">
        <v>15041</v>
      </c>
      <c r="B15042" s="7">
        <v>1</v>
      </c>
      <c r="C15042" s="7" t="s">
        <v>10</v>
      </c>
      <c r="D15042" s="7">
        <v>19536</v>
      </c>
      <c r="E15042" s="7" t="s">
        <v>23</v>
      </c>
      <c r="F15042" s="8" t="str">
        <f ca="1">IFERROR(__xludf.DUMMYFUNCTION("IF
(
C15043=""фізична особа""
,
VLOOKUP(D15043,IMPORTRANGE(""https://docs.google.com/spreadsheets/d/14Bd19lYaqBhU8_DElYkX7l4wRkHqqCUFNJY4AfY3kHU/edit?usp=sharing  #gid=0"",""фіз особи new!relations_name""),6,FALSE)
,
(IF
(
C15043=""юридична особа""
,
VLOO"&amp;"KUP(D15043,IMPORTRANGE(""https://docs.google.com/spreadsheets/d/14Bd19lYaqBhU8_DElYkX7l4wRkHqqCUFNJY4AfY3kHU/edit?usp=sharing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2" s="7" t="s">
        <v>10</v>
      </c>
      <c r="H15042" s="7">
        <v>19535</v>
      </c>
      <c r="I15042" s="8" t="str">
        <f ca="1">IFERROR(__xludf.DUMMYFUNCTION("IF
(
G15043=""фізична особа""
,
VLOOKUP(H15043,IMPORTRANGE(""https://docs.google.com/spreadsheets/d/14Bd19lYaqBhU8_DElYkX7l4wRkHqqCUFNJY4AfY3kHU/edit?usp=sharing  #gid=0"",""фіз особи new!relations_name""),6,FALSE)
,
(IF
(
G15043=""юридична особа""
,
VLOO"&amp;"KUP(H15043,IMPORTRANGE(""https://docs.google.com/spreadsheets/d/14Bd19lYaqBhU8_DElYkX7l4wRkHqqCUFNJY4AfY3kHU/edit?usp=sharing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42" s="7" t="s">
        <v>23</v>
      </c>
    </row>
    <row r="15043" spans="1:10" ht="13.2">
      <c r="A15043" s="7">
        <v>15042</v>
      </c>
      <c r="B15043" s="7">
        <v>1</v>
      </c>
      <c r="C15043" s="7" t="s">
        <v>10</v>
      </c>
      <c r="D15043" s="7">
        <v>19536</v>
      </c>
      <c r="E15043" s="7" t="s">
        <v>23</v>
      </c>
      <c r="F15043" s="8" t="str">
        <f ca="1">IFERROR(__xludf.DUMMYFUNCTION("IF
(
C15044=""фізична особа""
,
VLOOKUP(D15044,IMPORTRANGE(""https://docs.google.com/spreadsheets/d/14Bd19lYaqBhU8_DElYkX7l4wRkHqqCUFNJY4AfY3kHU/edit?usp=sharing  #gid=0"",""фіз особи new!relations_name""),6,FALSE)
,
(IF
(
C15044=""юридична особа""
,
VLOO"&amp;"KUP(D15044,IMPORTRANGE(""https://docs.google.com/spreadsheets/d/14Bd19lYaqBhU8_DElYkX7l4wRkHqqCUFNJY4AfY3kHU/edit?usp=sharing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3" s="7" t="s">
        <v>10</v>
      </c>
      <c r="H15043" s="7">
        <v>19537</v>
      </c>
      <c r="I15043" s="8" t="str">
        <f ca="1">IFERROR(__xludf.DUMMYFUNCTION("IF
(
G15044=""фізична особа""
,
VLOOKUP(H15044,IMPORTRANGE(""https://docs.google.com/spreadsheets/d/14Bd19lYaqBhU8_DElYkX7l4wRkHqqCUFNJY4AfY3kHU/edit?usp=sharing  #gid=0"",""фіз особи new!relations_name""),6,FALSE)
,
(IF
(
G15044=""юридична особа""
,
VLOO"&amp;"KUP(H15044,IMPORTRANGE(""https://docs.google.com/spreadsheets/d/14Bd19lYaqBhU8_DElYkX7l4wRkHqqCUFNJY4AfY3kHU/edit?usp=sharing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43" s="7" t="s">
        <v>23</v>
      </c>
    </row>
    <row r="15044" spans="1:10" ht="13.2">
      <c r="A15044" s="7">
        <v>15043</v>
      </c>
      <c r="B15044" s="7">
        <v>1</v>
      </c>
      <c r="C15044" s="7" t="s">
        <v>10</v>
      </c>
      <c r="D15044" s="7">
        <v>19536</v>
      </c>
      <c r="E15044" s="7" t="s">
        <v>23</v>
      </c>
      <c r="F15044" s="8" t="str">
        <f ca="1">IFERROR(__xludf.DUMMYFUNCTION("IF
(
C15045=""фізична особа""
,
VLOOKUP(D15045,IMPORTRANGE(""https://docs.google.com/spreadsheets/d/14Bd19lYaqBhU8_DElYkX7l4wRkHqqCUFNJY4AfY3kHU/edit?usp=sharing  #gid=0"",""фіз особи new!relations_name""),6,FALSE)
,
(IF
(
C15045=""юридична особа""
,
VLOO"&amp;"KUP(D15045,IMPORTRANGE(""https://docs.google.com/spreadsheets/d/14Bd19lYaqBhU8_DElYkX7l4wRkHqqCUFNJY4AfY3kHU/edit?usp=sharing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4" s="7" t="s">
        <v>10</v>
      </c>
      <c r="H15044" s="7">
        <v>19538</v>
      </c>
      <c r="I15044" s="8" t="str">
        <f ca="1">IFERROR(__xludf.DUMMYFUNCTION("IF
(
G15045=""фізична особа""
,
VLOOKUP(H15045,IMPORTRANGE(""https://docs.google.com/spreadsheets/d/14Bd19lYaqBhU8_DElYkX7l4wRkHqqCUFNJY4AfY3kHU/edit?usp=sharing  #gid=0"",""фіз особи new!relations_name""),6,FALSE)
,
(IF
(
G15045=""юридична особа""
,
VLOO"&amp;"KUP(H15045,IMPORTRANGE(""https://docs.google.com/spreadsheets/d/14Bd19lYaqBhU8_DElYkX7l4wRkHqqCUFNJY4AfY3kHU/edit?usp=sharing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44" s="7" t="s">
        <v>23</v>
      </c>
    </row>
    <row r="15045" spans="1:10" ht="13.2">
      <c r="A15045" s="7">
        <v>15044</v>
      </c>
      <c r="B15045" s="7">
        <v>1</v>
      </c>
      <c r="C15045" s="7" t="s">
        <v>10</v>
      </c>
      <c r="D15045" s="7">
        <v>19536</v>
      </c>
      <c r="E15045" s="7" t="s">
        <v>23</v>
      </c>
      <c r="F15045" s="8" t="str">
        <f ca="1">IFERROR(__xludf.DUMMYFUNCTION("IF
(
C15046=""фізична особа""
,
VLOOKUP(D15046,IMPORTRANGE(""https://docs.google.com/spreadsheets/d/14Bd19lYaqBhU8_DElYkX7l4wRkHqqCUFNJY4AfY3kHU/edit?usp=sharing  #gid=0"",""фіз особи new!relations_name""),6,FALSE)
,
(IF
(
C15046=""юридична особа""
,
VLOO"&amp;"KUP(D15046,IMPORTRANGE(""https://docs.google.com/spreadsheets/d/14Bd19lYaqBhU8_DElYkX7l4wRkHqqCUFNJY4AfY3kHU/edit?usp=sharing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G15045" s="7" t="s">
        <v>10</v>
      </c>
      <c r="H15045" s="7">
        <v>19539</v>
      </c>
      <c r="I15045" s="8" t="str">
        <f ca="1">IFERROR(__xludf.DUMMYFUNCTION("IF
(
G15046=""фізична особа""
,
VLOOKUP(H15046,IMPORTRANGE(""https://docs.google.com/spreadsheets/d/14Bd19lYaqBhU8_DElYkX7l4wRkHqqCUFNJY4AfY3kHU/edit?usp=sharing  #gid=0"",""фіз особи new!relations_name""),6,FALSE)
,
(IF
(
G15046=""юридична особа""
,
VLOO"&amp;"KUP(H15046,IMPORTRANGE(""https://docs.google.com/spreadsheets/d/14Bd19lYaqBhU8_DElYkX7l4wRkHqqCUFNJY4AfY3kHU/edit?usp=sharing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45" s="7" t="s">
        <v>23</v>
      </c>
    </row>
    <row r="15046" spans="1:10" ht="13.2">
      <c r="A15046" s="7">
        <v>15045</v>
      </c>
      <c r="B15046" s="7">
        <v>1</v>
      </c>
      <c r="C15046" s="7" t="s">
        <v>10</v>
      </c>
      <c r="D15046" s="7">
        <v>19537</v>
      </c>
      <c r="E15046" s="7" t="s">
        <v>23</v>
      </c>
      <c r="F15046" s="8" t="str">
        <f ca="1">IFERROR(__xludf.DUMMYFUNCTION("IF
(
C15047=""фізична особа""
,
VLOOKUP(D15047,IMPORTRANGE(""https://docs.google.com/spreadsheets/d/14Bd19lYaqBhU8_DElYkX7l4wRkHqqCUFNJY4AfY3kHU/edit?usp=sharing  #gid=0"",""фіз особи new!relations_name""),6,FALSE)
,
(IF
(
C15047=""юридична особа""
,
VLOO"&amp;"KUP(D15047,IMPORTRANGE(""https://docs.google.com/spreadsheets/d/14Bd19lYaqBhU8_DElYkX7l4wRkHqqCUFNJY4AfY3kHU/edit?usp=sharing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46" s="7" t="s">
        <v>10</v>
      </c>
      <c r="H15046" s="7">
        <v>19527</v>
      </c>
      <c r="I15046" s="8" t="str">
        <f ca="1">IFERROR(__xludf.DUMMYFUNCTION("IF
(
G15047=""фізична особа""
,
VLOOKUP(H15047,IMPORTRANGE(""https://docs.google.com/spreadsheets/d/14Bd19lYaqBhU8_DElYkX7l4wRkHqqCUFNJY4AfY3kHU/edit?usp=sharing  #gid=0"",""фіз особи new!relations_name""),6,FALSE)
,
(IF
(
G15047=""юридична особа""
,
VLOO"&amp;"KUP(H15047,IMPORTRANGE(""https://docs.google.com/spreadsheets/d/14Bd19lYaqBhU8_DElYkX7l4wRkHqqCUFNJY4AfY3kHU/edit?usp=sharing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46" s="7" t="s">
        <v>23</v>
      </c>
    </row>
    <row r="15047" spans="1:10" ht="13.2">
      <c r="A15047" s="7">
        <v>15046</v>
      </c>
      <c r="B15047" s="7">
        <v>1</v>
      </c>
      <c r="C15047" s="7" t="s">
        <v>10</v>
      </c>
      <c r="D15047" s="7">
        <v>19537</v>
      </c>
      <c r="E15047" s="7" t="s">
        <v>23</v>
      </c>
      <c r="F15047" s="8" t="str">
        <f ca="1">IFERROR(__xludf.DUMMYFUNCTION("IF
(
C15048=""фізична особа""
,
VLOOKUP(D15048,IMPORTRANGE(""https://docs.google.com/spreadsheets/d/14Bd19lYaqBhU8_DElYkX7l4wRkHqqCUFNJY4AfY3kHU/edit?usp=sharing  #gid=0"",""фіз особи new!relations_name""),6,FALSE)
,
(IF
(
C15048=""юридична особа""
,
VLOO"&amp;"KUP(D15048,IMPORTRANGE(""https://docs.google.com/spreadsheets/d/14Bd19lYaqBhU8_DElYkX7l4wRkHqqCUFNJY4AfY3kHU/edit?usp=sharing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47" s="7" t="s">
        <v>10</v>
      </c>
      <c r="H15047" s="7">
        <v>19528</v>
      </c>
      <c r="I15047" s="8" t="str">
        <f ca="1">IFERROR(__xludf.DUMMYFUNCTION("IF
(
G15048=""фізична особа""
,
VLOOKUP(H15048,IMPORTRANGE(""https://docs.google.com/spreadsheets/d/14Bd19lYaqBhU8_DElYkX7l4wRkHqqCUFNJY4AfY3kHU/edit?usp=sharing  #gid=0"",""фіз особи new!relations_name""),6,FALSE)
,
(IF
(
G15048=""юридична особа""
,
VLOO"&amp;"KUP(H15048,IMPORTRANGE(""https://docs.google.com/spreadsheets/d/14Bd19lYaqBhU8_DElYkX7l4wRkHqqCUFNJY4AfY3kHU/edit?usp=sharing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47" s="7" t="s">
        <v>23</v>
      </c>
    </row>
    <row r="15048" spans="1:10" ht="13.2">
      <c r="A15048" s="7">
        <v>15047</v>
      </c>
      <c r="B15048" s="7">
        <v>1</v>
      </c>
      <c r="C15048" s="7" t="s">
        <v>10</v>
      </c>
      <c r="D15048" s="7">
        <v>19537</v>
      </c>
      <c r="E15048" s="7" t="s">
        <v>23</v>
      </c>
      <c r="F15048" s="8" t="str">
        <f ca="1">IFERROR(__xludf.DUMMYFUNCTION("IF
(
C15049=""фізична особа""
,
VLOOKUP(D15049,IMPORTRANGE(""https://docs.google.com/spreadsheets/d/14Bd19lYaqBhU8_DElYkX7l4wRkHqqCUFNJY4AfY3kHU/edit?usp=sharing  #gid=0"",""фіз особи new!relations_name""),6,FALSE)
,
(IF
(
C15049=""юридична особа""
,
VLOO"&amp;"KUP(D15049,IMPORTRANGE(""https://docs.google.com/spreadsheets/d/14Bd19lYaqBhU8_DElYkX7l4wRkHqqCUFNJY4AfY3kHU/edit?usp=sharing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48" s="7" t="s">
        <v>10</v>
      </c>
      <c r="H15048" s="7">
        <v>19529</v>
      </c>
      <c r="I15048" s="8" t="str">
        <f ca="1">IFERROR(__xludf.DUMMYFUNCTION("IF
(
G15049=""фізична особа""
,
VLOOKUP(H15049,IMPORTRANGE(""https://docs.google.com/spreadsheets/d/14Bd19lYaqBhU8_DElYkX7l4wRkHqqCUFNJY4AfY3kHU/edit?usp=sharing  #gid=0"",""фіз особи new!relations_name""),6,FALSE)
,
(IF
(
G15049=""юридична особа""
,
VLOO"&amp;"KUP(H15049,IMPORTRANGE(""https://docs.google.com/spreadsheets/d/14Bd19lYaqBhU8_DElYkX7l4wRkHqqCUFNJY4AfY3kHU/edit?usp=sharing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48" s="7" t="s">
        <v>23</v>
      </c>
    </row>
    <row r="15049" spans="1:10" ht="13.2">
      <c r="A15049" s="7">
        <v>15048</v>
      </c>
      <c r="B15049" s="7">
        <v>1</v>
      </c>
      <c r="C15049" s="7" t="s">
        <v>10</v>
      </c>
      <c r="D15049" s="7">
        <v>19537</v>
      </c>
      <c r="E15049" s="7" t="s">
        <v>23</v>
      </c>
      <c r="F15049" s="8" t="str">
        <f ca="1">IFERROR(__xludf.DUMMYFUNCTION("IF
(
C15050=""фізична особа""
,
VLOOKUP(D15050,IMPORTRANGE(""https://docs.google.com/spreadsheets/d/14Bd19lYaqBhU8_DElYkX7l4wRkHqqCUFNJY4AfY3kHU/edit?usp=sharing  #gid=0"",""фіз особи new!relations_name""),6,FALSE)
,
(IF
(
C15050=""юридична особа""
,
VLOO"&amp;"KUP(D15050,IMPORTRANGE(""https://docs.google.com/spreadsheets/d/14Bd19lYaqBhU8_DElYkX7l4wRkHqqCUFNJY4AfY3kHU/edit?usp=sharing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49" s="7" t="s">
        <v>10</v>
      </c>
      <c r="H15049" s="7">
        <v>19530</v>
      </c>
      <c r="I15049" s="8" t="str">
        <f ca="1">IFERROR(__xludf.DUMMYFUNCTION("IF
(
G15050=""фізична особа""
,
VLOOKUP(H15050,IMPORTRANGE(""https://docs.google.com/spreadsheets/d/14Bd19lYaqBhU8_DElYkX7l4wRkHqqCUFNJY4AfY3kHU/edit?usp=sharing  #gid=0"",""фіз особи new!relations_name""),6,FALSE)
,
(IF
(
G15050=""юридична особа""
,
VLOO"&amp;"KUP(H15050,IMPORTRANGE(""https://docs.google.com/spreadsheets/d/14Bd19lYaqBhU8_DElYkX7l4wRkHqqCUFNJY4AfY3kHU/edit?usp=sharing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49" s="7" t="s">
        <v>23</v>
      </c>
    </row>
    <row r="15050" spans="1:10" ht="13.2">
      <c r="A15050" s="7">
        <v>15049</v>
      </c>
      <c r="B15050" s="7">
        <v>1</v>
      </c>
      <c r="C15050" s="7" t="s">
        <v>10</v>
      </c>
      <c r="D15050" s="7">
        <v>19537</v>
      </c>
      <c r="E15050" s="7" t="s">
        <v>23</v>
      </c>
      <c r="F15050" s="8" t="str">
        <f ca="1">IFERROR(__xludf.DUMMYFUNCTION("IF
(
C15051=""фізична особа""
,
VLOOKUP(D15051,IMPORTRANGE(""https://docs.google.com/spreadsheets/d/14Bd19lYaqBhU8_DElYkX7l4wRkHqqCUFNJY4AfY3kHU/edit?usp=sharing  #gid=0"",""фіз особи new!relations_name""),6,FALSE)
,
(IF
(
C15051=""юридична особа""
,
VLOO"&amp;"KUP(D15051,IMPORTRANGE(""https://docs.google.com/spreadsheets/d/14Bd19lYaqBhU8_DElYkX7l4wRkHqqCUFNJY4AfY3kHU/edit?usp=sharing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0" s="7" t="s">
        <v>10</v>
      </c>
      <c r="H15050" s="7">
        <v>19531</v>
      </c>
      <c r="I15050" s="8" t="str">
        <f ca="1">IFERROR(__xludf.DUMMYFUNCTION("IF
(
G15051=""фізична особа""
,
VLOOKUP(H15051,IMPORTRANGE(""https://docs.google.com/spreadsheets/d/14Bd19lYaqBhU8_DElYkX7l4wRkHqqCUFNJY4AfY3kHU/edit?usp=sharing  #gid=0"",""фіз особи new!relations_name""),6,FALSE)
,
(IF
(
G15051=""юридична особа""
,
VLOO"&amp;"KUP(H15051,IMPORTRANGE(""https://docs.google.com/spreadsheets/d/14Bd19lYaqBhU8_DElYkX7l4wRkHqqCUFNJY4AfY3kHU/edit?usp=sharing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50" s="7" t="s">
        <v>23</v>
      </c>
    </row>
    <row r="15051" spans="1:10" ht="13.2">
      <c r="A15051" s="7">
        <v>15050</v>
      </c>
      <c r="B15051" s="7">
        <v>1</v>
      </c>
      <c r="C15051" s="7" t="s">
        <v>10</v>
      </c>
      <c r="D15051" s="7">
        <v>19537</v>
      </c>
      <c r="E15051" s="7" t="s">
        <v>23</v>
      </c>
      <c r="F15051" s="8" t="str">
        <f ca="1">IFERROR(__xludf.DUMMYFUNCTION("IF
(
C15052=""фізична особа""
,
VLOOKUP(D15052,IMPORTRANGE(""https://docs.google.com/spreadsheets/d/14Bd19lYaqBhU8_DElYkX7l4wRkHqqCUFNJY4AfY3kHU/edit?usp=sharing  #gid=0"",""фіз особи new!relations_name""),6,FALSE)
,
(IF
(
C15052=""юридична особа""
,
VLOO"&amp;"KUP(D15052,IMPORTRANGE(""https://docs.google.com/spreadsheets/d/14Bd19lYaqBhU8_DElYkX7l4wRkHqqCUFNJY4AfY3kHU/edit?usp=sharing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1" s="7" t="s">
        <v>10</v>
      </c>
      <c r="H15051" s="7">
        <v>19532</v>
      </c>
      <c r="I15051" s="8" t="str">
        <f ca="1">IFERROR(__xludf.DUMMYFUNCTION("IF
(
G15052=""фізична особа""
,
VLOOKUP(H15052,IMPORTRANGE(""https://docs.google.com/spreadsheets/d/14Bd19lYaqBhU8_DElYkX7l4wRkHqqCUFNJY4AfY3kHU/edit?usp=sharing  #gid=0"",""фіз особи new!relations_name""),6,FALSE)
,
(IF
(
G15052=""юридична особа""
,
VLOO"&amp;"KUP(H15052,IMPORTRANGE(""https://docs.google.com/spreadsheets/d/14Bd19lYaqBhU8_DElYkX7l4wRkHqqCUFNJY4AfY3kHU/edit?usp=sharing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51" s="7" t="s">
        <v>23</v>
      </c>
    </row>
    <row r="15052" spans="1:10" ht="13.2">
      <c r="A15052" s="7">
        <v>15051</v>
      </c>
      <c r="B15052" s="7">
        <v>1</v>
      </c>
      <c r="C15052" s="7" t="s">
        <v>10</v>
      </c>
      <c r="D15052" s="7">
        <v>19537</v>
      </c>
      <c r="E15052" s="7" t="s">
        <v>23</v>
      </c>
      <c r="F15052" s="8" t="str">
        <f ca="1">IFERROR(__xludf.DUMMYFUNCTION("IF
(
C15053=""фізична особа""
,
VLOOKUP(D15053,IMPORTRANGE(""https://docs.google.com/spreadsheets/d/14Bd19lYaqBhU8_DElYkX7l4wRkHqqCUFNJY4AfY3kHU/edit?usp=sharing  #gid=0"",""фіз особи new!relations_name""),6,FALSE)
,
(IF
(
C15053=""юридична особа""
,
VLOO"&amp;"KUP(D15053,IMPORTRANGE(""https://docs.google.com/spreadsheets/d/14Bd19lYaqBhU8_DElYkX7l4wRkHqqCUFNJY4AfY3kHU/edit?usp=sharing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2" s="7" t="s">
        <v>10</v>
      </c>
      <c r="H15052" s="7">
        <v>19533</v>
      </c>
      <c r="I15052" s="8" t="str">
        <f ca="1">IFERROR(__xludf.DUMMYFUNCTION("IF
(
G15053=""фізична особа""
,
VLOOKUP(H15053,IMPORTRANGE(""https://docs.google.com/spreadsheets/d/14Bd19lYaqBhU8_DElYkX7l4wRkHqqCUFNJY4AfY3kHU/edit?usp=sharing  #gid=0"",""фіз особи new!relations_name""),6,FALSE)
,
(IF
(
G15053=""юридична особа""
,
VLOO"&amp;"KUP(H15053,IMPORTRANGE(""https://docs.google.com/spreadsheets/d/14Bd19lYaqBhU8_DElYkX7l4wRkHqqCUFNJY4AfY3kHU/edit?usp=sharing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52" s="7" t="s">
        <v>23</v>
      </c>
    </row>
    <row r="15053" spans="1:10" ht="13.2">
      <c r="A15053" s="7">
        <v>15052</v>
      </c>
      <c r="B15053" s="7">
        <v>1</v>
      </c>
      <c r="C15053" s="7" t="s">
        <v>10</v>
      </c>
      <c r="D15053" s="7">
        <v>19537</v>
      </c>
      <c r="E15053" s="7" t="s">
        <v>23</v>
      </c>
      <c r="F15053" s="8" t="str">
        <f ca="1">IFERROR(__xludf.DUMMYFUNCTION("IF
(
C15054=""фізична особа""
,
VLOOKUP(D15054,IMPORTRANGE(""https://docs.google.com/spreadsheets/d/14Bd19lYaqBhU8_DElYkX7l4wRkHqqCUFNJY4AfY3kHU/edit?usp=sharing  #gid=0"",""фіз особи new!relations_name""),6,FALSE)
,
(IF
(
C15054=""юридична особа""
,
VLOO"&amp;"KUP(D15054,IMPORTRANGE(""https://docs.google.com/spreadsheets/d/14Bd19lYaqBhU8_DElYkX7l4wRkHqqCUFNJY4AfY3kHU/edit?usp=sharing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3" s="7" t="s">
        <v>10</v>
      </c>
      <c r="H15053" s="7">
        <v>19534</v>
      </c>
      <c r="I15053" s="8" t="str">
        <f ca="1">IFERROR(__xludf.DUMMYFUNCTION("IF
(
G15054=""фізична особа""
,
VLOOKUP(H15054,IMPORTRANGE(""https://docs.google.com/spreadsheets/d/14Bd19lYaqBhU8_DElYkX7l4wRkHqqCUFNJY4AfY3kHU/edit?usp=sharing  #gid=0"",""фіз особи new!relations_name""),6,FALSE)
,
(IF
(
G15054=""юридична особа""
,
VLOO"&amp;"KUP(H15054,IMPORTRANGE(""https://docs.google.com/spreadsheets/d/14Bd19lYaqBhU8_DElYkX7l4wRkHqqCUFNJY4AfY3kHU/edit?usp=sharing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53" s="7" t="s">
        <v>23</v>
      </c>
    </row>
    <row r="15054" spans="1:10" ht="13.2">
      <c r="A15054" s="7">
        <v>15053</v>
      </c>
      <c r="B15054" s="7">
        <v>1</v>
      </c>
      <c r="C15054" s="7" t="s">
        <v>10</v>
      </c>
      <c r="D15054" s="7">
        <v>19537</v>
      </c>
      <c r="E15054" s="7" t="s">
        <v>23</v>
      </c>
      <c r="F15054" s="8" t="str">
        <f ca="1">IFERROR(__xludf.DUMMYFUNCTION("IF
(
C15055=""фізична особа""
,
VLOOKUP(D15055,IMPORTRANGE(""https://docs.google.com/spreadsheets/d/14Bd19lYaqBhU8_DElYkX7l4wRkHqqCUFNJY4AfY3kHU/edit?usp=sharing  #gid=0"",""фіз особи new!relations_name""),6,FALSE)
,
(IF
(
C15055=""юридична особа""
,
VLOO"&amp;"KUP(D15055,IMPORTRANGE(""https://docs.google.com/spreadsheets/d/14Bd19lYaqBhU8_DElYkX7l4wRkHqqCUFNJY4AfY3kHU/edit?usp=sharing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4" s="7" t="s">
        <v>10</v>
      </c>
      <c r="H15054" s="7">
        <v>19535</v>
      </c>
      <c r="I15054" s="8" t="str">
        <f ca="1">IFERROR(__xludf.DUMMYFUNCTION("IF
(
G15055=""фізична особа""
,
VLOOKUP(H15055,IMPORTRANGE(""https://docs.google.com/spreadsheets/d/14Bd19lYaqBhU8_DElYkX7l4wRkHqqCUFNJY4AfY3kHU/edit?usp=sharing  #gid=0"",""фіз особи new!relations_name""),6,FALSE)
,
(IF
(
G15055=""юридична особа""
,
VLOO"&amp;"KUP(H15055,IMPORTRANGE(""https://docs.google.com/spreadsheets/d/14Bd19lYaqBhU8_DElYkX7l4wRkHqqCUFNJY4AfY3kHU/edit?usp=sharing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54" s="7" t="s">
        <v>23</v>
      </c>
    </row>
    <row r="15055" spans="1:10" ht="13.2">
      <c r="A15055" s="7">
        <v>15054</v>
      </c>
      <c r="B15055" s="7">
        <v>1</v>
      </c>
      <c r="C15055" s="7" t="s">
        <v>10</v>
      </c>
      <c r="D15055" s="7">
        <v>19537</v>
      </c>
      <c r="E15055" s="7" t="s">
        <v>23</v>
      </c>
      <c r="F15055" s="8" t="str">
        <f ca="1">IFERROR(__xludf.DUMMYFUNCTION("IF
(
C15056=""фізична особа""
,
VLOOKUP(D15056,IMPORTRANGE(""https://docs.google.com/spreadsheets/d/14Bd19lYaqBhU8_DElYkX7l4wRkHqqCUFNJY4AfY3kHU/edit?usp=sharing  #gid=0"",""фіз особи new!relations_name""),6,FALSE)
,
(IF
(
C15056=""юридична особа""
,
VLOO"&amp;"KUP(D15056,IMPORTRANGE(""https://docs.google.com/spreadsheets/d/14Bd19lYaqBhU8_DElYkX7l4wRkHqqCUFNJY4AfY3kHU/edit?usp=sharing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5" s="7" t="s">
        <v>10</v>
      </c>
      <c r="H15055" s="7">
        <v>19536</v>
      </c>
      <c r="I15055" s="8" t="str">
        <f ca="1">IFERROR(__xludf.DUMMYFUNCTION("IF
(
G15056=""фізична особа""
,
VLOOKUP(H15056,IMPORTRANGE(""https://docs.google.com/spreadsheets/d/14Bd19lYaqBhU8_DElYkX7l4wRkHqqCUFNJY4AfY3kHU/edit?usp=sharing  #gid=0"",""фіз особи new!relations_name""),6,FALSE)
,
(IF
(
G15056=""юридична особа""
,
VLOO"&amp;"KUP(H15056,IMPORTRANGE(""https://docs.google.com/spreadsheets/d/14Bd19lYaqBhU8_DElYkX7l4wRkHqqCUFNJY4AfY3kHU/edit?usp=sharing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55" s="7" t="s">
        <v>23</v>
      </c>
    </row>
    <row r="15056" spans="1:10" ht="13.2">
      <c r="A15056" s="7">
        <v>15055</v>
      </c>
      <c r="B15056" s="7">
        <v>1</v>
      </c>
      <c r="C15056" s="7" t="s">
        <v>10</v>
      </c>
      <c r="D15056" s="7">
        <v>19537</v>
      </c>
      <c r="E15056" s="7" t="s">
        <v>23</v>
      </c>
      <c r="F15056" s="8" t="str">
        <f ca="1">IFERROR(__xludf.DUMMYFUNCTION("IF
(
C15057=""фізична особа""
,
VLOOKUP(D15057,IMPORTRANGE(""https://docs.google.com/spreadsheets/d/14Bd19lYaqBhU8_DElYkX7l4wRkHqqCUFNJY4AfY3kHU/edit?usp=sharing  #gid=0"",""фіз особи new!relations_name""),6,FALSE)
,
(IF
(
C15057=""юридична особа""
,
VLOO"&amp;"KUP(D15057,IMPORTRANGE(""https://docs.google.com/spreadsheets/d/14Bd19lYaqBhU8_DElYkX7l4wRkHqqCUFNJY4AfY3kHU/edit?usp=sharing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6" s="7" t="s">
        <v>10</v>
      </c>
      <c r="H15056" s="7">
        <v>19538</v>
      </c>
      <c r="I15056" s="8" t="str">
        <f ca="1">IFERROR(__xludf.DUMMYFUNCTION("IF
(
G15057=""фізична особа""
,
VLOOKUP(H15057,IMPORTRANGE(""https://docs.google.com/spreadsheets/d/14Bd19lYaqBhU8_DElYkX7l4wRkHqqCUFNJY4AfY3kHU/edit?usp=sharing  #gid=0"",""фіз особи new!relations_name""),6,FALSE)
,
(IF
(
G15057=""юридична особа""
,
VLOO"&amp;"KUP(H15057,IMPORTRANGE(""https://docs.google.com/spreadsheets/d/14Bd19lYaqBhU8_DElYkX7l4wRkHqqCUFNJY4AfY3kHU/edit?usp=sharing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56" s="7" t="s">
        <v>23</v>
      </c>
    </row>
    <row r="15057" spans="1:10" ht="13.2">
      <c r="A15057" s="7">
        <v>15056</v>
      </c>
      <c r="B15057" s="7">
        <v>1</v>
      </c>
      <c r="C15057" s="7" t="s">
        <v>10</v>
      </c>
      <c r="D15057" s="7">
        <v>19537</v>
      </c>
      <c r="E15057" s="7" t="s">
        <v>23</v>
      </c>
      <c r="F15057" s="8" t="str">
        <f ca="1">IFERROR(__xludf.DUMMYFUNCTION("IF
(
C15058=""фізична особа""
,
VLOOKUP(D15058,IMPORTRANGE(""https://docs.google.com/spreadsheets/d/14Bd19lYaqBhU8_DElYkX7l4wRkHqqCUFNJY4AfY3kHU/edit?usp=sharing  #gid=0"",""фіз особи new!relations_name""),6,FALSE)
,
(IF
(
C15058=""юридична особа""
,
VLOO"&amp;"KUP(D15058,IMPORTRANGE(""https://docs.google.com/spreadsheets/d/14Bd19lYaqBhU8_DElYkX7l4wRkHqqCUFNJY4AfY3kHU/edit?usp=sharing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G15057" s="7" t="s">
        <v>10</v>
      </c>
      <c r="H15057" s="7">
        <v>19539</v>
      </c>
      <c r="I15057" s="8" t="str">
        <f ca="1">IFERROR(__xludf.DUMMYFUNCTION("IF
(
G15058=""фізична особа""
,
VLOOKUP(H15058,IMPORTRANGE(""https://docs.google.com/spreadsheets/d/14Bd19lYaqBhU8_DElYkX7l4wRkHqqCUFNJY4AfY3kHU/edit?usp=sharing  #gid=0"",""фіз особи new!relations_name""),6,FALSE)
,
(IF
(
G15058=""юридична особа""
,
VLOO"&amp;"KUP(H15058,IMPORTRANGE(""https://docs.google.com/spreadsheets/d/14Bd19lYaqBhU8_DElYkX7l4wRkHqqCUFNJY4AfY3kHU/edit?usp=sharing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57" s="7" t="s">
        <v>23</v>
      </c>
    </row>
    <row r="15058" spans="1:10" ht="13.2">
      <c r="A15058" s="7">
        <v>15057</v>
      </c>
      <c r="B15058" s="7">
        <v>1</v>
      </c>
      <c r="C15058" s="7" t="s">
        <v>10</v>
      </c>
      <c r="D15058" s="7">
        <v>19538</v>
      </c>
      <c r="E15058" s="7" t="s">
        <v>23</v>
      </c>
      <c r="F15058" s="8" t="str">
        <f ca="1">IFERROR(__xludf.DUMMYFUNCTION("IF
(
C15059=""фізична особа""
,
VLOOKUP(D15059,IMPORTRANGE(""https://docs.google.com/spreadsheets/d/14Bd19lYaqBhU8_DElYkX7l4wRkHqqCUFNJY4AfY3kHU/edit?usp=sharing  #gid=0"",""фіз особи new!relations_name""),6,FALSE)
,
(IF
(
C15059=""юридична особа""
,
VLOO"&amp;"KUP(D15059,IMPORTRANGE(""https://docs.google.com/spreadsheets/d/14Bd19lYaqBhU8_DElYkX7l4wRkHqqCUFNJY4AfY3kHU/edit?usp=sharing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58" s="7" t="s">
        <v>10</v>
      </c>
      <c r="H15058" s="7">
        <v>19527</v>
      </c>
      <c r="I15058" s="8" t="str">
        <f ca="1">IFERROR(__xludf.DUMMYFUNCTION("IF
(
G15059=""фізична особа""
,
VLOOKUP(H15059,IMPORTRANGE(""https://docs.google.com/spreadsheets/d/14Bd19lYaqBhU8_DElYkX7l4wRkHqqCUFNJY4AfY3kHU/edit?usp=sharing  #gid=0"",""фіз особи new!relations_name""),6,FALSE)
,
(IF
(
G15059=""юридична особа""
,
VLOO"&amp;"KUP(H15059,IMPORTRANGE(""https://docs.google.com/spreadsheets/d/14Bd19lYaqBhU8_DElYkX7l4wRkHqqCUFNJY4AfY3kHU/edit?usp=sharing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58" s="7" t="s">
        <v>23</v>
      </c>
    </row>
    <row r="15059" spans="1:10" ht="13.2">
      <c r="A15059" s="7">
        <v>15058</v>
      </c>
      <c r="B15059" s="7">
        <v>1</v>
      </c>
      <c r="C15059" s="7" t="s">
        <v>10</v>
      </c>
      <c r="D15059" s="7">
        <v>19538</v>
      </c>
      <c r="E15059" s="7" t="s">
        <v>23</v>
      </c>
      <c r="F15059" s="8" t="str">
        <f ca="1">IFERROR(__xludf.DUMMYFUNCTION("IF
(
C15060=""фізична особа""
,
VLOOKUP(D15060,IMPORTRANGE(""https://docs.google.com/spreadsheets/d/14Bd19lYaqBhU8_DElYkX7l4wRkHqqCUFNJY4AfY3kHU/edit?usp=sharing  #gid=0"",""фіз особи new!relations_name""),6,FALSE)
,
(IF
(
C15060=""юридична особа""
,
VLOO"&amp;"KUP(D15060,IMPORTRANGE(""https://docs.google.com/spreadsheets/d/14Bd19lYaqBhU8_DElYkX7l4wRkHqqCUFNJY4AfY3kHU/edit?usp=sharing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59" s="7" t="s">
        <v>10</v>
      </c>
      <c r="H15059" s="7">
        <v>19528</v>
      </c>
      <c r="I15059" s="8" t="str">
        <f ca="1">IFERROR(__xludf.DUMMYFUNCTION("IF
(
G15060=""фізична особа""
,
VLOOKUP(H15060,IMPORTRANGE(""https://docs.google.com/spreadsheets/d/14Bd19lYaqBhU8_DElYkX7l4wRkHqqCUFNJY4AfY3kHU/edit?usp=sharing  #gid=0"",""фіз особи new!relations_name""),6,FALSE)
,
(IF
(
G15060=""юридична особа""
,
VLOO"&amp;"KUP(H15060,IMPORTRANGE(""https://docs.google.com/spreadsheets/d/14Bd19lYaqBhU8_DElYkX7l4wRkHqqCUFNJY4AfY3kHU/edit?usp=sharing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59" s="7" t="s">
        <v>23</v>
      </c>
    </row>
    <row r="15060" spans="1:10" ht="13.2">
      <c r="A15060" s="7">
        <v>15059</v>
      </c>
      <c r="B15060" s="7">
        <v>1</v>
      </c>
      <c r="C15060" s="7" t="s">
        <v>10</v>
      </c>
      <c r="D15060" s="7">
        <v>19538</v>
      </c>
      <c r="E15060" s="7" t="s">
        <v>23</v>
      </c>
      <c r="F15060" s="8" t="str">
        <f ca="1">IFERROR(__xludf.DUMMYFUNCTION("IF
(
C15061=""фізична особа""
,
VLOOKUP(D15061,IMPORTRANGE(""https://docs.google.com/spreadsheets/d/14Bd19lYaqBhU8_DElYkX7l4wRkHqqCUFNJY4AfY3kHU/edit?usp=sharing  #gid=0"",""фіз особи new!relations_name""),6,FALSE)
,
(IF
(
C15061=""юридична особа""
,
VLOO"&amp;"KUP(D15061,IMPORTRANGE(""https://docs.google.com/spreadsheets/d/14Bd19lYaqBhU8_DElYkX7l4wRkHqqCUFNJY4AfY3kHU/edit?usp=sharing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0" s="7" t="s">
        <v>10</v>
      </c>
      <c r="H15060" s="7">
        <v>19529</v>
      </c>
      <c r="I15060" s="8" t="str">
        <f ca="1">IFERROR(__xludf.DUMMYFUNCTION("IF
(
G15061=""фізична особа""
,
VLOOKUP(H15061,IMPORTRANGE(""https://docs.google.com/spreadsheets/d/14Bd19lYaqBhU8_DElYkX7l4wRkHqqCUFNJY4AfY3kHU/edit?usp=sharing  #gid=0"",""фіз особи new!relations_name""),6,FALSE)
,
(IF
(
G15061=""юридична особа""
,
VLOO"&amp;"KUP(H15061,IMPORTRANGE(""https://docs.google.com/spreadsheets/d/14Bd19lYaqBhU8_DElYkX7l4wRkHqqCUFNJY4AfY3kHU/edit?usp=sharing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60" s="7" t="s">
        <v>23</v>
      </c>
    </row>
    <row r="15061" spans="1:10" ht="13.2">
      <c r="A15061" s="7">
        <v>15060</v>
      </c>
      <c r="B15061" s="7">
        <v>1</v>
      </c>
      <c r="C15061" s="7" t="s">
        <v>10</v>
      </c>
      <c r="D15061" s="7">
        <v>19538</v>
      </c>
      <c r="E15061" s="7" t="s">
        <v>23</v>
      </c>
      <c r="F15061" s="8" t="str">
        <f ca="1">IFERROR(__xludf.DUMMYFUNCTION("IF
(
C15062=""фізична особа""
,
VLOOKUP(D15062,IMPORTRANGE(""https://docs.google.com/spreadsheets/d/14Bd19lYaqBhU8_DElYkX7l4wRkHqqCUFNJY4AfY3kHU/edit?usp=sharing  #gid=0"",""фіз особи new!relations_name""),6,FALSE)
,
(IF
(
C15062=""юридична особа""
,
VLOO"&amp;"KUP(D15062,IMPORTRANGE(""https://docs.google.com/spreadsheets/d/14Bd19lYaqBhU8_DElYkX7l4wRkHqqCUFNJY4AfY3kHU/edit?usp=sharing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1" s="7" t="s">
        <v>10</v>
      </c>
      <c r="H15061" s="7">
        <v>19530</v>
      </c>
      <c r="I15061" s="8" t="str">
        <f ca="1">IFERROR(__xludf.DUMMYFUNCTION("IF
(
G15062=""фізична особа""
,
VLOOKUP(H15062,IMPORTRANGE(""https://docs.google.com/spreadsheets/d/14Bd19lYaqBhU8_DElYkX7l4wRkHqqCUFNJY4AfY3kHU/edit?usp=sharing  #gid=0"",""фіз особи new!relations_name""),6,FALSE)
,
(IF
(
G15062=""юридична особа""
,
VLOO"&amp;"KUP(H15062,IMPORTRANGE(""https://docs.google.com/spreadsheets/d/14Bd19lYaqBhU8_DElYkX7l4wRkHqqCUFNJY4AfY3kHU/edit?usp=sharing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61" s="7" t="s">
        <v>23</v>
      </c>
    </row>
    <row r="15062" spans="1:10" ht="13.2">
      <c r="A15062" s="7">
        <v>15061</v>
      </c>
      <c r="B15062" s="7">
        <v>1</v>
      </c>
      <c r="C15062" s="7" t="s">
        <v>10</v>
      </c>
      <c r="D15062" s="7">
        <v>19538</v>
      </c>
      <c r="E15062" s="7" t="s">
        <v>23</v>
      </c>
      <c r="F15062" s="8" t="str">
        <f ca="1">IFERROR(__xludf.DUMMYFUNCTION("IF
(
C15063=""фізична особа""
,
VLOOKUP(D15063,IMPORTRANGE(""https://docs.google.com/spreadsheets/d/14Bd19lYaqBhU8_DElYkX7l4wRkHqqCUFNJY4AfY3kHU/edit?usp=sharing  #gid=0"",""фіз особи new!relations_name""),6,FALSE)
,
(IF
(
C15063=""юридична особа""
,
VLOO"&amp;"KUP(D15063,IMPORTRANGE(""https://docs.google.com/spreadsheets/d/14Bd19lYaqBhU8_DElYkX7l4wRkHqqCUFNJY4AfY3kHU/edit?usp=sharing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2" s="7" t="s">
        <v>10</v>
      </c>
      <c r="H15062" s="7">
        <v>19531</v>
      </c>
      <c r="I15062" s="8" t="str">
        <f ca="1">IFERROR(__xludf.DUMMYFUNCTION("IF
(
G15063=""фізична особа""
,
VLOOKUP(H15063,IMPORTRANGE(""https://docs.google.com/spreadsheets/d/14Bd19lYaqBhU8_DElYkX7l4wRkHqqCUFNJY4AfY3kHU/edit?usp=sharing  #gid=0"",""фіз особи new!relations_name""),6,FALSE)
,
(IF
(
G15063=""юридична особа""
,
VLOO"&amp;"KUP(H15063,IMPORTRANGE(""https://docs.google.com/spreadsheets/d/14Bd19lYaqBhU8_DElYkX7l4wRkHqqCUFNJY4AfY3kHU/edit?usp=sharing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62" s="7" t="s">
        <v>23</v>
      </c>
    </row>
    <row r="15063" spans="1:10" ht="13.2">
      <c r="A15063" s="7">
        <v>15062</v>
      </c>
      <c r="B15063" s="7">
        <v>1</v>
      </c>
      <c r="C15063" s="7" t="s">
        <v>10</v>
      </c>
      <c r="D15063" s="7">
        <v>19538</v>
      </c>
      <c r="E15063" s="7" t="s">
        <v>23</v>
      </c>
      <c r="F15063" s="8" t="str">
        <f ca="1">IFERROR(__xludf.DUMMYFUNCTION("IF
(
C15064=""фізична особа""
,
VLOOKUP(D15064,IMPORTRANGE(""https://docs.google.com/spreadsheets/d/14Bd19lYaqBhU8_DElYkX7l4wRkHqqCUFNJY4AfY3kHU/edit?usp=sharing  #gid=0"",""фіз особи new!relations_name""),6,FALSE)
,
(IF
(
C15064=""юридична особа""
,
VLOO"&amp;"KUP(D15064,IMPORTRANGE(""https://docs.google.com/spreadsheets/d/14Bd19lYaqBhU8_DElYkX7l4wRkHqqCUFNJY4AfY3kHU/edit?usp=sharing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3" s="7" t="s">
        <v>10</v>
      </c>
      <c r="H15063" s="7">
        <v>19532</v>
      </c>
      <c r="I15063" s="8" t="str">
        <f ca="1">IFERROR(__xludf.DUMMYFUNCTION("IF
(
G15064=""фізична особа""
,
VLOOKUP(H15064,IMPORTRANGE(""https://docs.google.com/spreadsheets/d/14Bd19lYaqBhU8_DElYkX7l4wRkHqqCUFNJY4AfY3kHU/edit?usp=sharing  #gid=0"",""фіз особи new!relations_name""),6,FALSE)
,
(IF
(
G15064=""юридична особа""
,
VLOO"&amp;"KUP(H15064,IMPORTRANGE(""https://docs.google.com/spreadsheets/d/14Bd19lYaqBhU8_DElYkX7l4wRkHqqCUFNJY4AfY3kHU/edit?usp=sharing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63" s="7" t="s">
        <v>23</v>
      </c>
    </row>
    <row r="15064" spans="1:10" ht="13.2">
      <c r="A15064" s="7">
        <v>15063</v>
      </c>
      <c r="B15064" s="7">
        <v>1</v>
      </c>
      <c r="C15064" s="7" t="s">
        <v>10</v>
      </c>
      <c r="D15064" s="7">
        <v>19538</v>
      </c>
      <c r="E15064" s="7" t="s">
        <v>23</v>
      </c>
      <c r="F15064" s="8" t="str">
        <f ca="1">IFERROR(__xludf.DUMMYFUNCTION("IF
(
C15065=""фізична особа""
,
VLOOKUP(D15065,IMPORTRANGE(""https://docs.google.com/spreadsheets/d/14Bd19lYaqBhU8_DElYkX7l4wRkHqqCUFNJY4AfY3kHU/edit?usp=sharing  #gid=0"",""фіз особи new!relations_name""),6,FALSE)
,
(IF
(
C15065=""юридична особа""
,
VLOO"&amp;"KUP(D15065,IMPORTRANGE(""https://docs.google.com/spreadsheets/d/14Bd19lYaqBhU8_DElYkX7l4wRkHqqCUFNJY4AfY3kHU/edit?usp=sharing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4" s="7" t="s">
        <v>10</v>
      </c>
      <c r="H15064" s="7">
        <v>19533</v>
      </c>
      <c r="I15064" s="8" t="str">
        <f ca="1">IFERROR(__xludf.DUMMYFUNCTION("IF
(
G15065=""фізична особа""
,
VLOOKUP(H15065,IMPORTRANGE(""https://docs.google.com/spreadsheets/d/14Bd19lYaqBhU8_DElYkX7l4wRkHqqCUFNJY4AfY3kHU/edit?usp=sharing  #gid=0"",""фіз особи new!relations_name""),6,FALSE)
,
(IF
(
G15065=""юридична особа""
,
VLOO"&amp;"KUP(H15065,IMPORTRANGE(""https://docs.google.com/spreadsheets/d/14Bd19lYaqBhU8_DElYkX7l4wRkHqqCUFNJY4AfY3kHU/edit?usp=sharing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64" s="7" t="s">
        <v>23</v>
      </c>
    </row>
    <row r="15065" spans="1:10" ht="13.2">
      <c r="A15065" s="7">
        <v>15064</v>
      </c>
      <c r="B15065" s="7">
        <v>1</v>
      </c>
      <c r="C15065" s="7" t="s">
        <v>10</v>
      </c>
      <c r="D15065" s="7">
        <v>19538</v>
      </c>
      <c r="E15065" s="7" t="s">
        <v>23</v>
      </c>
      <c r="F15065" s="8" t="str">
        <f ca="1">IFERROR(__xludf.DUMMYFUNCTION("IF
(
C15066=""фізична особа""
,
VLOOKUP(D15066,IMPORTRANGE(""https://docs.google.com/spreadsheets/d/14Bd19lYaqBhU8_DElYkX7l4wRkHqqCUFNJY4AfY3kHU/edit?usp=sharing  #gid=0"",""фіз особи new!relations_name""),6,FALSE)
,
(IF
(
C15066=""юридична особа""
,
VLOO"&amp;"KUP(D15066,IMPORTRANGE(""https://docs.google.com/spreadsheets/d/14Bd19lYaqBhU8_DElYkX7l4wRkHqqCUFNJY4AfY3kHU/edit?usp=sharing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5" s="7" t="s">
        <v>10</v>
      </c>
      <c r="H15065" s="7">
        <v>19534</v>
      </c>
      <c r="I15065" s="8" t="str">
        <f ca="1">IFERROR(__xludf.DUMMYFUNCTION("IF
(
G15066=""фізична особа""
,
VLOOKUP(H15066,IMPORTRANGE(""https://docs.google.com/spreadsheets/d/14Bd19lYaqBhU8_DElYkX7l4wRkHqqCUFNJY4AfY3kHU/edit?usp=sharing  #gid=0"",""фіз особи new!relations_name""),6,FALSE)
,
(IF
(
G15066=""юридична особа""
,
VLOO"&amp;"KUP(H15066,IMPORTRANGE(""https://docs.google.com/spreadsheets/d/14Bd19lYaqBhU8_DElYkX7l4wRkHqqCUFNJY4AfY3kHU/edit?usp=sharing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65" s="7" t="s">
        <v>23</v>
      </c>
    </row>
    <row r="15066" spans="1:10" ht="13.2">
      <c r="A15066" s="7">
        <v>15065</v>
      </c>
      <c r="B15066" s="7">
        <v>1</v>
      </c>
      <c r="C15066" s="7" t="s">
        <v>10</v>
      </c>
      <c r="D15066" s="7">
        <v>19538</v>
      </c>
      <c r="E15066" s="7" t="s">
        <v>23</v>
      </c>
      <c r="F15066" s="8" t="str">
        <f ca="1">IFERROR(__xludf.DUMMYFUNCTION("IF
(
C15067=""фізична особа""
,
VLOOKUP(D15067,IMPORTRANGE(""https://docs.google.com/spreadsheets/d/14Bd19lYaqBhU8_DElYkX7l4wRkHqqCUFNJY4AfY3kHU/edit?usp=sharing  #gid=0"",""фіз особи new!relations_name""),6,FALSE)
,
(IF
(
C15067=""юридична особа""
,
VLOO"&amp;"KUP(D15067,IMPORTRANGE(""https://docs.google.com/spreadsheets/d/14Bd19lYaqBhU8_DElYkX7l4wRkHqqCUFNJY4AfY3kHU/edit?usp=sharing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6" s="7" t="s">
        <v>10</v>
      </c>
      <c r="H15066" s="7">
        <v>19535</v>
      </c>
      <c r="I15066" s="8" t="str">
        <f ca="1">IFERROR(__xludf.DUMMYFUNCTION("IF
(
G15067=""фізична особа""
,
VLOOKUP(H15067,IMPORTRANGE(""https://docs.google.com/spreadsheets/d/14Bd19lYaqBhU8_DElYkX7l4wRkHqqCUFNJY4AfY3kHU/edit?usp=sharing  #gid=0"",""фіз особи new!relations_name""),6,FALSE)
,
(IF
(
G15067=""юридична особа""
,
VLOO"&amp;"KUP(H15067,IMPORTRANGE(""https://docs.google.com/spreadsheets/d/14Bd19lYaqBhU8_DElYkX7l4wRkHqqCUFNJY4AfY3kHU/edit?usp=sharing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66" s="7" t="s">
        <v>23</v>
      </c>
    </row>
    <row r="15067" spans="1:10" ht="13.2">
      <c r="A15067" s="7">
        <v>15066</v>
      </c>
      <c r="B15067" s="7">
        <v>1</v>
      </c>
      <c r="C15067" s="7" t="s">
        <v>10</v>
      </c>
      <c r="D15067" s="7">
        <v>19538</v>
      </c>
      <c r="E15067" s="7" t="s">
        <v>23</v>
      </c>
      <c r="F15067" s="8" t="str">
        <f ca="1">IFERROR(__xludf.DUMMYFUNCTION("IF
(
C15068=""фізична особа""
,
VLOOKUP(D15068,IMPORTRANGE(""https://docs.google.com/spreadsheets/d/14Bd19lYaqBhU8_DElYkX7l4wRkHqqCUFNJY4AfY3kHU/edit?usp=sharing  #gid=0"",""фіз особи new!relations_name""),6,FALSE)
,
(IF
(
C15068=""юридична особа""
,
VLOO"&amp;"KUP(D15068,IMPORTRANGE(""https://docs.google.com/spreadsheets/d/14Bd19lYaqBhU8_DElYkX7l4wRkHqqCUFNJY4AfY3kHU/edit?usp=sharing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7" s="7" t="s">
        <v>10</v>
      </c>
      <c r="H15067" s="7">
        <v>19536</v>
      </c>
      <c r="I15067" s="8" t="str">
        <f ca="1">IFERROR(__xludf.DUMMYFUNCTION("IF
(
G15068=""фізична особа""
,
VLOOKUP(H15068,IMPORTRANGE(""https://docs.google.com/spreadsheets/d/14Bd19lYaqBhU8_DElYkX7l4wRkHqqCUFNJY4AfY3kHU/edit?usp=sharing  #gid=0"",""фіз особи new!relations_name""),6,FALSE)
,
(IF
(
G15068=""юридична особа""
,
VLOO"&amp;"KUP(H15068,IMPORTRANGE(""https://docs.google.com/spreadsheets/d/14Bd19lYaqBhU8_DElYkX7l4wRkHqqCUFNJY4AfY3kHU/edit?usp=sharing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67" s="7" t="s">
        <v>23</v>
      </c>
    </row>
    <row r="15068" spans="1:10" ht="13.2">
      <c r="A15068" s="7">
        <v>15067</v>
      </c>
      <c r="B15068" s="7">
        <v>1</v>
      </c>
      <c r="C15068" s="7" t="s">
        <v>10</v>
      </c>
      <c r="D15068" s="7">
        <v>19538</v>
      </c>
      <c r="E15068" s="7" t="s">
        <v>23</v>
      </c>
      <c r="F15068" s="8" t="str">
        <f ca="1">IFERROR(__xludf.DUMMYFUNCTION("IF
(
C15069=""фізична особа""
,
VLOOKUP(D15069,IMPORTRANGE(""https://docs.google.com/spreadsheets/d/14Bd19lYaqBhU8_DElYkX7l4wRkHqqCUFNJY4AfY3kHU/edit?usp=sharing  #gid=0"",""фіз особи new!relations_name""),6,FALSE)
,
(IF
(
C15069=""юридична особа""
,
VLOO"&amp;"KUP(D15069,IMPORTRANGE(""https://docs.google.com/spreadsheets/d/14Bd19lYaqBhU8_DElYkX7l4wRkHqqCUFNJY4AfY3kHU/edit?usp=sharing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8" s="7" t="s">
        <v>10</v>
      </c>
      <c r="H15068" s="7">
        <v>19537</v>
      </c>
      <c r="I15068" s="8" t="str">
        <f ca="1">IFERROR(__xludf.DUMMYFUNCTION("IF
(
G15069=""фізична особа""
,
VLOOKUP(H15069,IMPORTRANGE(""https://docs.google.com/spreadsheets/d/14Bd19lYaqBhU8_DElYkX7l4wRkHqqCUFNJY4AfY3kHU/edit?usp=sharing  #gid=0"",""фіз особи new!relations_name""),6,FALSE)
,
(IF
(
G15069=""юридична особа""
,
VLOO"&amp;"KUP(H15069,IMPORTRANGE(""https://docs.google.com/spreadsheets/d/14Bd19lYaqBhU8_DElYkX7l4wRkHqqCUFNJY4AfY3kHU/edit?usp=sharing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68" s="7" t="s">
        <v>23</v>
      </c>
    </row>
    <row r="15069" spans="1:10" ht="13.2">
      <c r="A15069" s="7">
        <v>15068</v>
      </c>
      <c r="B15069" s="7">
        <v>1</v>
      </c>
      <c r="C15069" s="7" t="s">
        <v>10</v>
      </c>
      <c r="D15069" s="7">
        <v>19538</v>
      </c>
      <c r="E15069" s="7" t="s">
        <v>23</v>
      </c>
      <c r="F15069" s="8" t="str">
        <f ca="1">IFERROR(__xludf.DUMMYFUNCTION("IF
(
C15070=""фізична особа""
,
VLOOKUP(D15070,IMPORTRANGE(""https://docs.google.com/spreadsheets/d/14Bd19lYaqBhU8_DElYkX7l4wRkHqqCUFNJY4AfY3kHU/edit?usp=sharing  #gid=0"",""фіз особи new!relations_name""),6,FALSE)
,
(IF
(
C15070=""юридична особа""
,
VLOO"&amp;"KUP(D15070,IMPORTRANGE(""https://docs.google.com/spreadsheets/d/14Bd19lYaqBhU8_DElYkX7l4wRkHqqCUFNJY4AfY3kHU/edit?usp=sharing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G15069" s="7" t="s">
        <v>10</v>
      </c>
      <c r="H15069" s="7">
        <v>19539</v>
      </c>
      <c r="I15069" s="8" t="str">
        <f ca="1">IFERROR(__xludf.DUMMYFUNCTION("IF
(
G15070=""фізична особа""
,
VLOOKUP(H15070,IMPORTRANGE(""https://docs.google.com/spreadsheets/d/14Bd19lYaqBhU8_DElYkX7l4wRkHqqCUFNJY4AfY3kHU/edit?usp=sharing  #gid=0"",""фіз особи new!relations_name""),6,FALSE)
,
(IF
(
G15070=""юридична особа""
,
VLOO"&amp;"KUP(H15070,IMPORTRANGE(""https://docs.google.com/spreadsheets/d/14Bd19lYaqBhU8_DElYkX7l4wRkHqqCUFNJY4AfY3kHU/edit?usp=sharing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J15069" s="7" t="s">
        <v>23</v>
      </c>
    </row>
    <row r="15070" spans="1:10" ht="13.2">
      <c r="A15070" s="7">
        <v>15069</v>
      </c>
      <c r="B15070" s="7">
        <v>1</v>
      </c>
      <c r="C15070" s="7" t="s">
        <v>10</v>
      </c>
      <c r="D15070" s="7">
        <v>19539</v>
      </c>
      <c r="E15070" s="7" t="s">
        <v>23</v>
      </c>
      <c r="F15070" s="8" t="str">
        <f ca="1">IFERROR(__xludf.DUMMYFUNCTION("IF
(
C15071=""фізична особа""
,
VLOOKUP(D15071,IMPORTRANGE(""https://docs.google.com/spreadsheets/d/14Bd19lYaqBhU8_DElYkX7l4wRkHqqCUFNJY4AfY3kHU/edit?usp=sharing  #gid=0"",""фіз особи new!relations_name""),6,FALSE)
,
(IF
(
C15071=""юридична особа""
,
VLOO"&amp;"KUP(D15071,IMPORTRANGE(""https://docs.google.com/spreadsheets/d/14Bd19lYaqBhU8_DElYkX7l4wRkHqqCUFNJY4AfY3kHU/edit?usp=sharing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0" s="7" t="s">
        <v>10</v>
      </c>
      <c r="H15070" s="7">
        <v>19527</v>
      </c>
      <c r="I15070" s="8" t="str">
        <f ca="1">IFERROR(__xludf.DUMMYFUNCTION("IF
(
G15071=""фізична особа""
,
VLOOKUP(H15071,IMPORTRANGE(""https://docs.google.com/spreadsheets/d/14Bd19lYaqBhU8_DElYkX7l4wRkHqqCUFNJY4AfY3kHU/edit?usp=sharing  #gid=0"",""фіз особи new!relations_name""),6,FALSE)
,
(IF
(
G15071=""юридична особа""
,
VLOO"&amp;"KUP(H15071,IMPORTRANGE(""https://docs.google.com/spreadsheets/d/14Bd19lYaqBhU8_DElYkX7l4wRkHqqCUFNJY4AfY3kHU/edit?usp=sharing  #gid=0"",""фіз особи new!relations_name_uo""),7,FALSE)
,
)
))"),"СІВЕЛЬКІНА Світлана Василівна")</f>
        <v>СІВЕЛЬКІНА Світлана Василівна</v>
      </c>
      <c r="J15070" s="7" t="s">
        <v>23</v>
      </c>
    </row>
    <row r="15071" spans="1:10" ht="13.2">
      <c r="A15071" s="7">
        <v>15070</v>
      </c>
      <c r="B15071" s="7">
        <v>1</v>
      </c>
      <c r="C15071" s="7" t="s">
        <v>10</v>
      </c>
      <c r="D15071" s="7">
        <v>19539</v>
      </c>
      <c r="E15071" s="7" t="s">
        <v>23</v>
      </c>
      <c r="F15071" s="8" t="str">
        <f ca="1">IFERROR(__xludf.DUMMYFUNCTION("IF
(
C15072=""фізична особа""
,
VLOOKUP(D15072,IMPORTRANGE(""https://docs.google.com/spreadsheets/d/14Bd19lYaqBhU8_DElYkX7l4wRkHqqCUFNJY4AfY3kHU/edit?usp=sharing  #gid=0"",""фіз особи new!relations_name""),6,FALSE)
,
(IF
(
C15072=""юридична особа""
,
VLOO"&amp;"KUP(D15072,IMPORTRANGE(""https://docs.google.com/spreadsheets/d/14Bd19lYaqBhU8_DElYkX7l4wRkHqqCUFNJY4AfY3kHU/edit?usp=sharing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1" s="7" t="s">
        <v>10</v>
      </c>
      <c r="H15071" s="7">
        <v>19528</v>
      </c>
      <c r="I15071" s="8" t="str">
        <f ca="1">IFERROR(__xludf.DUMMYFUNCTION("IF
(
G15072=""фізична особа""
,
VLOOKUP(H15072,IMPORTRANGE(""https://docs.google.com/spreadsheets/d/14Bd19lYaqBhU8_DElYkX7l4wRkHqqCUFNJY4AfY3kHU/edit?usp=sharing  #gid=0"",""фіз особи new!relations_name""),6,FALSE)
,
(IF
(
G15072=""юридична особа""
,
VLOO"&amp;"KUP(H15072,IMPORTRANGE(""https://docs.google.com/spreadsheets/d/14Bd19lYaqBhU8_DElYkX7l4wRkHqqCUFNJY4AfY3kHU/edit?usp=sharing  #gid=0"",""фіз особи new!relations_name_uo""),7,FALSE)
,
)
))"),"ЗЕЛЕНЦОВ Олександр Іванович")</f>
        <v>ЗЕЛЕНЦОВ Олександр Іванович</v>
      </c>
      <c r="J15071" s="7" t="s">
        <v>23</v>
      </c>
    </row>
    <row r="15072" spans="1:10" ht="13.2">
      <c r="A15072" s="7">
        <v>15071</v>
      </c>
      <c r="B15072" s="7">
        <v>1</v>
      </c>
      <c r="C15072" s="7" t="s">
        <v>10</v>
      </c>
      <c r="D15072" s="7">
        <v>19539</v>
      </c>
      <c r="E15072" s="7" t="s">
        <v>23</v>
      </c>
      <c r="F15072" s="8" t="str">
        <f ca="1">IFERROR(__xludf.DUMMYFUNCTION("IF
(
C15073=""фізична особа""
,
VLOOKUP(D15073,IMPORTRANGE(""https://docs.google.com/spreadsheets/d/14Bd19lYaqBhU8_DElYkX7l4wRkHqqCUFNJY4AfY3kHU/edit?usp=sharing  #gid=0"",""фіз особи new!relations_name""),6,FALSE)
,
(IF
(
C15073=""юридична особа""
,
VLOO"&amp;"KUP(D15073,IMPORTRANGE(""https://docs.google.com/spreadsheets/d/14Bd19lYaqBhU8_DElYkX7l4wRkHqqCUFNJY4AfY3kHU/edit?usp=sharing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2" s="7" t="s">
        <v>10</v>
      </c>
      <c r="H15072" s="7">
        <v>19529</v>
      </c>
      <c r="I15072" s="8" t="str">
        <f ca="1">IFERROR(__xludf.DUMMYFUNCTION("IF
(
G15073=""фізична особа""
,
VLOOKUP(H15073,IMPORTRANGE(""https://docs.google.com/spreadsheets/d/14Bd19lYaqBhU8_DElYkX7l4wRkHqqCUFNJY4AfY3kHU/edit?usp=sharing  #gid=0"",""фіз особи new!relations_name""),6,FALSE)
,
(IF
(
G15073=""юридична особа""
,
VLOO"&amp;"KUP(H15073,IMPORTRANGE(""https://docs.google.com/spreadsheets/d/14Bd19lYaqBhU8_DElYkX7l4wRkHqqCUFNJY4AfY3kHU/edit?usp=sharing  #gid=0"",""фіз особи new!relations_name_uo""),7,FALSE)
,
)
))"),"МАЛИШЕВ Олександр Олександрович")</f>
        <v>МАЛИШЕВ Олександр Олександрович</v>
      </c>
      <c r="J15072" s="7" t="s">
        <v>23</v>
      </c>
    </row>
    <row r="15073" spans="1:10" ht="13.2">
      <c r="A15073" s="7">
        <v>15072</v>
      </c>
      <c r="B15073" s="7">
        <v>1</v>
      </c>
      <c r="C15073" s="7" t="s">
        <v>10</v>
      </c>
      <c r="D15073" s="7">
        <v>19539</v>
      </c>
      <c r="E15073" s="7" t="s">
        <v>23</v>
      </c>
      <c r="F15073" s="8" t="str">
        <f ca="1">IFERROR(__xludf.DUMMYFUNCTION("IF
(
C15074=""фізична особа""
,
VLOOKUP(D15074,IMPORTRANGE(""https://docs.google.com/spreadsheets/d/14Bd19lYaqBhU8_DElYkX7l4wRkHqqCUFNJY4AfY3kHU/edit?usp=sharing  #gid=0"",""фіз особи new!relations_name""),6,FALSE)
,
(IF
(
C15074=""юридична особа""
,
VLOO"&amp;"KUP(D15074,IMPORTRANGE(""https://docs.google.com/spreadsheets/d/14Bd19lYaqBhU8_DElYkX7l4wRkHqqCUFNJY4AfY3kHU/edit?usp=sharing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3" s="7" t="s">
        <v>10</v>
      </c>
      <c r="H15073" s="7">
        <v>19530</v>
      </c>
      <c r="I15073" s="8" t="str">
        <f ca="1">IFERROR(__xludf.DUMMYFUNCTION("IF
(
G15074=""фізична особа""
,
VLOOKUP(H15074,IMPORTRANGE(""https://docs.google.com/spreadsheets/d/14Bd19lYaqBhU8_DElYkX7l4wRkHqqCUFNJY4AfY3kHU/edit?usp=sharing  #gid=0"",""фіз особи new!relations_name""),6,FALSE)
,
(IF
(
G15074=""юридична особа""
,
VLOO"&amp;"KUP(H15074,IMPORTRANGE(""https://docs.google.com/spreadsheets/d/14Bd19lYaqBhU8_DElYkX7l4wRkHqqCUFNJY4AfY3kHU/edit?usp=sharing  #gid=0"",""фіз особи new!relations_name_uo""),7,FALSE)
,
)
))"),"СКУБРІЄВА Тетяна Володимирівна")</f>
        <v>СКУБРІЄВА Тетяна Володимирівна</v>
      </c>
      <c r="J15073" s="7" t="s">
        <v>23</v>
      </c>
    </row>
    <row r="15074" spans="1:10" ht="13.2">
      <c r="A15074" s="7">
        <v>15073</v>
      </c>
      <c r="B15074" s="7">
        <v>1</v>
      </c>
      <c r="C15074" s="7" t="s">
        <v>10</v>
      </c>
      <c r="D15074" s="7">
        <v>19539</v>
      </c>
      <c r="E15074" s="7" t="s">
        <v>23</v>
      </c>
      <c r="F15074" s="8" t="str">
        <f ca="1">IFERROR(__xludf.DUMMYFUNCTION("IF
(
C15075=""фізична особа""
,
VLOOKUP(D15075,IMPORTRANGE(""https://docs.google.com/spreadsheets/d/14Bd19lYaqBhU8_DElYkX7l4wRkHqqCUFNJY4AfY3kHU/edit?usp=sharing  #gid=0"",""фіз особи new!relations_name""),6,FALSE)
,
(IF
(
C15075=""юридична особа""
,
VLOO"&amp;"KUP(D15075,IMPORTRANGE(""https://docs.google.com/spreadsheets/d/14Bd19lYaqBhU8_DElYkX7l4wRkHqqCUFNJY4AfY3kHU/edit?usp=sharing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4" s="7" t="s">
        <v>10</v>
      </c>
      <c r="H15074" s="7">
        <v>19531</v>
      </c>
      <c r="I15074" s="8" t="str">
        <f ca="1">IFERROR(__xludf.DUMMYFUNCTION("IF
(
G15075=""фізична особа""
,
VLOOKUP(H15075,IMPORTRANGE(""https://docs.google.com/spreadsheets/d/14Bd19lYaqBhU8_DElYkX7l4wRkHqqCUFNJY4AfY3kHU/edit?usp=sharing  #gid=0"",""фіз особи new!relations_name""),6,FALSE)
,
(IF
(
G15075=""юридична особа""
,
VLOO"&amp;"KUP(H15075,IMPORTRANGE(""https://docs.google.com/spreadsheets/d/14Bd19lYaqBhU8_DElYkX7l4wRkHqqCUFNJY4AfY3kHU/edit?usp=sharing  #gid=0"",""фіз особи new!relations_name_uo""),7,FALSE)
,
)
))"),"ФОТТЕЛЕР Марина Брунівна")</f>
        <v>ФОТТЕЛЕР Марина Брунівна</v>
      </c>
      <c r="J15074" s="7" t="s">
        <v>23</v>
      </c>
    </row>
    <row r="15075" spans="1:10" ht="13.2">
      <c r="A15075" s="7">
        <v>15074</v>
      </c>
      <c r="B15075" s="7">
        <v>1</v>
      </c>
      <c r="C15075" s="7" t="s">
        <v>10</v>
      </c>
      <c r="D15075" s="7">
        <v>19539</v>
      </c>
      <c r="E15075" s="7" t="s">
        <v>23</v>
      </c>
      <c r="F15075" s="8" t="str">
        <f ca="1">IFERROR(__xludf.DUMMYFUNCTION("IF
(
C15076=""фізична особа""
,
VLOOKUP(D15076,IMPORTRANGE(""https://docs.google.com/spreadsheets/d/14Bd19lYaqBhU8_DElYkX7l4wRkHqqCUFNJY4AfY3kHU/edit?usp=sharing  #gid=0"",""фіз особи new!relations_name""),6,FALSE)
,
(IF
(
C15076=""юридична особа""
,
VLOO"&amp;"KUP(D15076,IMPORTRANGE(""https://docs.google.com/spreadsheets/d/14Bd19lYaqBhU8_DElYkX7l4wRkHqqCUFNJY4AfY3kHU/edit?usp=sharing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5" s="7" t="s">
        <v>10</v>
      </c>
      <c r="H15075" s="7">
        <v>19532</v>
      </c>
      <c r="I15075" s="8" t="str">
        <f ca="1">IFERROR(__xludf.DUMMYFUNCTION("IF
(
G15076=""фізична особа""
,
VLOOKUP(H15076,IMPORTRANGE(""https://docs.google.com/spreadsheets/d/14Bd19lYaqBhU8_DElYkX7l4wRkHqqCUFNJY4AfY3kHU/edit?usp=sharing  #gid=0"",""фіз особи new!relations_name""),6,FALSE)
,
(IF
(
G15076=""юридична особа""
,
VLOO"&amp;"KUP(H15076,IMPORTRANGE(""https://docs.google.com/spreadsheets/d/14Bd19lYaqBhU8_DElYkX7l4wRkHqqCUFNJY4AfY3kHU/edit?usp=sharing  #gid=0"",""фіз особи new!relations_name_uo""),7,FALSE)
,
)
))"),"ДАВИДОВ Олександр Олександрович")</f>
        <v>ДАВИДОВ Олександр Олександрович</v>
      </c>
      <c r="J15075" s="7" t="s">
        <v>23</v>
      </c>
    </row>
    <row r="15076" spans="1:10" ht="13.2">
      <c r="A15076" s="7">
        <v>15075</v>
      </c>
      <c r="B15076" s="7">
        <v>1</v>
      </c>
      <c r="C15076" s="7" t="s">
        <v>10</v>
      </c>
      <c r="D15076" s="7">
        <v>19539</v>
      </c>
      <c r="E15076" s="7" t="s">
        <v>23</v>
      </c>
      <c r="F15076" s="8" t="str">
        <f ca="1">IFERROR(__xludf.DUMMYFUNCTION("IF
(
C15077=""фізична особа""
,
VLOOKUP(D15077,IMPORTRANGE(""https://docs.google.com/spreadsheets/d/14Bd19lYaqBhU8_DElYkX7l4wRkHqqCUFNJY4AfY3kHU/edit?usp=sharing  #gid=0"",""фіз особи new!relations_name""),6,FALSE)
,
(IF
(
C15077=""юридична особа""
,
VLOO"&amp;"KUP(D15077,IMPORTRANGE(""https://docs.google.com/spreadsheets/d/14Bd19lYaqBhU8_DElYkX7l4wRkHqqCUFNJY4AfY3kHU/edit?usp=sharing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6" s="7" t="s">
        <v>10</v>
      </c>
      <c r="H15076" s="7">
        <v>19533</v>
      </c>
      <c r="I15076" s="8" t="str">
        <f ca="1">IFERROR(__xludf.DUMMYFUNCTION("IF
(
G15077=""фізична особа""
,
VLOOKUP(H15077,IMPORTRANGE(""https://docs.google.com/spreadsheets/d/14Bd19lYaqBhU8_DElYkX7l4wRkHqqCUFNJY4AfY3kHU/edit?usp=sharing  #gid=0"",""фіз особи new!relations_name""),6,FALSE)
,
(IF
(
G15077=""юридична особа""
,
VLOO"&amp;"KUP(H15077,IMPORTRANGE(""https://docs.google.com/spreadsheets/d/14Bd19lYaqBhU8_DElYkX7l4wRkHqqCUFNJY4AfY3kHU/edit?usp=sharing  #gid=0"",""фіз особи new!relations_name_uo""),7,FALSE)
,
)
))"),"ЗЕЛЄНЦОВ Іван Олександрович")</f>
        <v>ЗЕЛЄНЦОВ Іван Олександрович</v>
      </c>
      <c r="J15076" s="7" t="s">
        <v>23</v>
      </c>
    </row>
    <row r="15077" spans="1:10" ht="13.2">
      <c r="A15077" s="7">
        <v>15076</v>
      </c>
      <c r="B15077" s="7">
        <v>1</v>
      </c>
      <c r="C15077" s="7" t="s">
        <v>10</v>
      </c>
      <c r="D15077" s="7">
        <v>19539</v>
      </c>
      <c r="E15077" s="7" t="s">
        <v>23</v>
      </c>
      <c r="F15077" s="8" t="str">
        <f ca="1">IFERROR(__xludf.DUMMYFUNCTION("IF
(
C15078=""фізична особа""
,
VLOOKUP(D15078,IMPORTRANGE(""https://docs.google.com/spreadsheets/d/14Bd19lYaqBhU8_DElYkX7l4wRkHqqCUFNJY4AfY3kHU/edit?usp=sharing  #gid=0"",""фіз особи new!relations_name""),6,FALSE)
,
(IF
(
C15078=""юридична особа""
,
VLOO"&amp;"KUP(D15078,IMPORTRANGE(""https://docs.google.com/spreadsheets/d/14Bd19lYaqBhU8_DElYkX7l4wRkHqqCUFNJY4AfY3kHU/edit?usp=sharing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7" s="7" t="s">
        <v>10</v>
      </c>
      <c r="H15077" s="7">
        <v>19534</v>
      </c>
      <c r="I15077" s="8" t="str">
        <f ca="1">IFERROR(__xludf.DUMMYFUNCTION("IF
(
G15078=""фізична особа""
,
VLOOKUP(H15078,IMPORTRANGE(""https://docs.google.com/spreadsheets/d/14Bd19lYaqBhU8_DElYkX7l4wRkHqqCUFNJY4AfY3kHU/edit?usp=sharing  #gid=0"",""фіз особи new!relations_name""),6,FALSE)
,
(IF
(
G15078=""юридична особа""
,
VLOO"&amp;"KUP(H15078,IMPORTRANGE(""https://docs.google.com/spreadsheets/d/14Bd19lYaqBhU8_DElYkX7l4wRkHqqCUFNJY4AfY3kHU/edit?usp=sharing  #gid=0"",""фіз особи new!relations_name_uo""),7,FALSE)
,
)
))"),"СУВОРОВА Марина Олександрівна")</f>
        <v>СУВОРОВА Марина Олександрівна</v>
      </c>
      <c r="J15077" s="7" t="s">
        <v>23</v>
      </c>
    </row>
    <row r="15078" spans="1:10" ht="13.2">
      <c r="A15078" s="7">
        <v>15077</v>
      </c>
      <c r="B15078" s="7">
        <v>1</v>
      </c>
      <c r="C15078" s="7" t="s">
        <v>10</v>
      </c>
      <c r="D15078" s="7">
        <v>19539</v>
      </c>
      <c r="E15078" s="7" t="s">
        <v>23</v>
      </c>
      <c r="F15078" s="8" t="str">
        <f ca="1">IFERROR(__xludf.DUMMYFUNCTION("IF
(
C15079=""фізична особа""
,
VLOOKUP(D15079,IMPORTRANGE(""https://docs.google.com/spreadsheets/d/14Bd19lYaqBhU8_DElYkX7l4wRkHqqCUFNJY4AfY3kHU/edit?usp=sharing  #gid=0"",""фіз особи new!relations_name""),6,FALSE)
,
(IF
(
C15079=""юридична особа""
,
VLOO"&amp;"KUP(D15079,IMPORTRANGE(""https://docs.google.com/spreadsheets/d/14Bd19lYaqBhU8_DElYkX7l4wRkHqqCUFNJY4AfY3kHU/edit?usp=sharing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8" s="7" t="s">
        <v>10</v>
      </c>
      <c r="H15078" s="7">
        <v>19535</v>
      </c>
      <c r="I15078" s="8" t="str">
        <f ca="1">IFERROR(__xludf.DUMMYFUNCTION("IF
(
G15079=""фізична особа""
,
VLOOKUP(H15079,IMPORTRANGE(""https://docs.google.com/spreadsheets/d/14Bd19lYaqBhU8_DElYkX7l4wRkHqqCUFNJY4AfY3kHU/edit?usp=sharing  #gid=0"",""фіз особи new!relations_name""),6,FALSE)
,
(IF
(
G15079=""юридична особа""
,
VLOO"&amp;"KUP(H15079,IMPORTRANGE(""https://docs.google.com/spreadsheets/d/14Bd19lYaqBhU8_DElYkX7l4wRkHqqCUFNJY4AfY3kHU/edit?usp=sharing  #gid=0"",""фіз особи new!relations_name_uo""),7,FALSE)
,
)
))"),"ПОНОМАРЬОВА Ірина Геннадіївна")</f>
        <v>ПОНОМАРЬОВА Ірина Геннадіївна</v>
      </c>
      <c r="J15078" s="7" t="s">
        <v>23</v>
      </c>
    </row>
    <row r="15079" spans="1:10" ht="13.2">
      <c r="A15079" s="7">
        <v>15078</v>
      </c>
      <c r="B15079" s="7">
        <v>1</v>
      </c>
      <c r="C15079" s="7" t="s">
        <v>10</v>
      </c>
      <c r="D15079" s="7">
        <v>19539</v>
      </c>
      <c r="E15079" s="7" t="s">
        <v>23</v>
      </c>
      <c r="F15079" s="8" t="str">
        <f ca="1">IFERROR(__xludf.DUMMYFUNCTION("IF
(
C15080=""фізична особа""
,
VLOOKUP(D15080,IMPORTRANGE(""https://docs.google.com/spreadsheets/d/14Bd19lYaqBhU8_DElYkX7l4wRkHqqCUFNJY4AfY3kHU/edit?usp=sharing  #gid=0"",""фіз особи new!relations_name""),6,FALSE)
,
(IF
(
C15080=""юридична особа""
,
VLOO"&amp;"KUP(D15080,IMPORTRANGE(""https://docs.google.com/spreadsheets/d/14Bd19lYaqBhU8_DElYkX7l4wRkHqqCUFNJY4AfY3kHU/edit?usp=sharing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79" s="7" t="s">
        <v>10</v>
      </c>
      <c r="H15079" s="7">
        <v>19536</v>
      </c>
      <c r="I15079" s="8" t="str">
        <f ca="1">IFERROR(__xludf.DUMMYFUNCTION("IF
(
G15080=""фізична особа""
,
VLOOKUP(H15080,IMPORTRANGE(""https://docs.google.com/spreadsheets/d/14Bd19lYaqBhU8_DElYkX7l4wRkHqqCUFNJY4AfY3kHU/edit?usp=sharing  #gid=0"",""фіз особи new!relations_name""),6,FALSE)
,
(IF
(
G15080=""юридична особа""
,
VLOO"&amp;"KUP(H15080,IMPORTRANGE(""https://docs.google.com/spreadsheets/d/14Bd19lYaqBhU8_DElYkX7l4wRkHqqCUFNJY4AfY3kHU/edit?usp=sharing  #gid=0"",""фіз особи new!relations_name_uo""),7,FALSE)
,
)
))"),"ДРЬОМОВ Сергій Анатолійович")</f>
        <v>ДРЬОМОВ Сергій Анатолійович</v>
      </c>
      <c r="J15079" s="7" t="s">
        <v>23</v>
      </c>
    </row>
    <row r="15080" spans="1:10" ht="13.2">
      <c r="A15080" s="7">
        <v>15079</v>
      </c>
      <c r="B15080" s="7">
        <v>1</v>
      </c>
      <c r="C15080" s="7" t="s">
        <v>10</v>
      </c>
      <c r="D15080" s="7">
        <v>19539</v>
      </c>
      <c r="E15080" s="7" t="s">
        <v>23</v>
      </c>
      <c r="F15080" s="8" t="str">
        <f ca="1">IFERROR(__xludf.DUMMYFUNCTION("IF
(
C15081=""фізична особа""
,
VLOOKUP(D15081,IMPORTRANGE(""https://docs.google.com/spreadsheets/d/14Bd19lYaqBhU8_DElYkX7l4wRkHqqCUFNJY4AfY3kHU/edit?usp=sharing  #gid=0"",""фіз особи new!relations_name""),6,FALSE)
,
(IF
(
C15081=""юридична особа""
,
VLOO"&amp;"KUP(D15081,IMPORTRANGE(""https://docs.google.com/spreadsheets/d/14Bd19lYaqBhU8_DElYkX7l4wRkHqqCUFNJY4AfY3kHU/edit?usp=sharing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80" s="7" t="s">
        <v>10</v>
      </c>
      <c r="H15080" s="7">
        <v>19537</v>
      </c>
      <c r="I15080" s="8" t="str">
        <f ca="1">IFERROR(__xludf.DUMMYFUNCTION("IF
(
G15081=""фізична особа""
,
VLOOKUP(H15081,IMPORTRANGE(""https://docs.google.com/spreadsheets/d/14Bd19lYaqBhU8_DElYkX7l4wRkHqqCUFNJY4AfY3kHU/edit?usp=sharing  #gid=0"",""фіз особи new!relations_name""),6,FALSE)
,
(IF
(
G15081=""юридична особа""
,
VLOO"&amp;"KUP(H15081,IMPORTRANGE(""https://docs.google.com/spreadsheets/d/14Bd19lYaqBhU8_DElYkX7l4wRkHqqCUFNJY4AfY3kHU/edit?usp=sharing  #gid=0"",""фіз особи new!relations_name_uo""),7,FALSE)
,
)
))"),"СКОПІНЦЕВА Тетяна Михайлівна")</f>
        <v>СКОПІНЦЕВА Тетяна Михайлівна</v>
      </c>
      <c r="J15080" s="7" t="s">
        <v>23</v>
      </c>
    </row>
    <row r="15081" spans="1:10" ht="13.2">
      <c r="A15081" s="7">
        <v>15080</v>
      </c>
      <c r="B15081" s="7">
        <v>1</v>
      </c>
      <c r="C15081" s="7" t="s">
        <v>10</v>
      </c>
      <c r="D15081" s="7">
        <v>19539</v>
      </c>
      <c r="E15081" s="7" t="s">
        <v>23</v>
      </c>
      <c r="F15081" s="8" t="str">
        <f ca="1">IFERROR(__xludf.DUMMYFUNCTION("IF
(
C15082=""фізична особа""
,
VLOOKUP(D15082,IMPORTRANGE(""https://docs.google.com/spreadsheets/d/14Bd19lYaqBhU8_DElYkX7l4wRkHqqCUFNJY4AfY3kHU/edit?usp=sharing  #gid=0"",""фіз особи new!relations_name""),6,FALSE)
,
(IF
(
C15082=""юридична особа""
,
VLOO"&amp;"KUP(D15082,IMPORTRANGE(""https://docs.google.com/spreadsheets/d/14Bd19lYaqBhU8_DElYkX7l4wRkHqqCUFNJY4AfY3kHU/edit?usp=sharing  #gid=0"",""фіз особи new!relations_name_uo""),7,FALSE)
,
)
))"),"ЛУПАХІН Борис Миколайович")</f>
        <v>ЛУПАХІН Борис Миколайович</v>
      </c>
      <c r="G15081" s="7" t="s">
        <v>10</v>
      </c>
      <c r="H15081" s="7">
        <v>19538</v>
      </c>
      <c r="I15081" s="8" t="str">
        <f ca="1">IFERROR(__xludf.DUMMYFUNCTION("IF
(
G15082=""фізична особа""
,
VLOOKUP(H15082,IMPORTRANGE(""https://docs.google.com/spreadsheets/d/14Bd19lYaqBhU8_DElYkX7l4wRkHqqCUFNJY4AfY3kHU/edit?usp=sharing  #gid=0"",""фіз особи new!relations_name""),6,FALSE)
,
(IF
(
G15082=""юридична особа""
,
VLOO"&amp;"KUP(H15082,IMPORTRANGE(""https://docs.google.com/spreadsheets/d/14Bd19lYaqBhU8_DElYkX7l4wRkHqqCUFNJY4AfY3kHU/edit?usp=sharing  #gid=0"",""фіз особи new!relations_name_uo""),7,FALSE)
,
)
))"),"ГУЗЕНКО Олена Миколаївна")</f>
        <v>ГУЗЕНКО Олена Миколаївна</v>
      </c>
      <c r="J15081" s="7" t="s">
        <v>23</v>
      </c>
    </row>
    <row r="15082" spans="1:10" ht="13.2">
      <c r="A15082" s="7">
        <v>15081</v>
      </c>
      <c r="B15082" s="7">
        <v>1</v>
      </c>
      <c r="C15082" s="7" t="s">
        <v>10</v>
      </c>
      <c r="D15082" s="7">
        <v>19540</v>
      </c>
      <c r="E15082" s="7" t="s">
        <v>23</v>
      </c>
      <c r="F15082" s="8" t="str">
        <f ca="1">IFERROR(__xludf.DUMMYFUNCTION("IF
(
C15083=""фізична особа""
,
VLOOKUP(D15083,IMPORTRANGE(""https://docs.google.com/spreadsheets/d/14Bd19lYaqBhU8_DElYkX7l4wRkHqqCUFNJY4AfY3kHU/edit?usp=sharing  #gid=0"",""фіз особи new!relations_name""),6,FALSE)
,
(IF
(
C15083=""юридична особа""
,
VLOO"&amp;"KUP(D15083,IMPORTRANGE(""https://docs.google.com/spreadsheets/d/14Bd19lYaqBhU8_DElYkX7l4wRkHqqCUFNJY4AfY3kHU/edit?usp=sharing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2" s="7" t="s">
        <v>10</v>
      </c>
      <c r="H15082" s="7">
        <v>19541</v>
      </c>
      <c r="I15082" s="8" t="str">
        <f ca="1">IFERROR(__xludf.DUMMYFUNCTION("IF
(
G15083=""фізична особа""
,
VLOOKUP(H15083,IMPORTRANGE(""https://docs.google.com/spreadsheets/d/14Bd19lYaqBhU8_DElYkX7l4wRkHqqCUFNJY4AfY3kHU/edit?usp=sharing  #gid=0"",""фіз особи new!relations_name""),6,FALSE)
,
(IF
(
G15083=""юридична особа""
,
VLOO"&amp;"KUP(H15083,IMPORTRANGE(""https://docs.google.com/spreadsheets/d/14Bd19lYaqBhU8_DElYkX7l4wRkHqqCUFNJY4AfY3kHU/edit?usp=sharing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082" s="7" t="s">
        <v>23</v>
      </c>
    </row>
    <row r="15083" spans="1:10" ht="13.2">
      <c r="A15083" s="7">
        <v>15082</v>
      </c>
      <c r="B15083" s="7">
        <v>1</v>
      </c>
      <c r="C15083" s="7" t="s">
        <v>10</v>
      </c>
      <c r="D15083" s="7">
        <v>19540</v>
      </c>
      <c r="E15083" s="7" t="s">
        <v>23</v>
      </c>
      <c r="F15083" s="8" t="str">
        <f ca="1">IFERROR(__xludf.DUMMYFUNCTION("IF
(
C15084=""фізична особа""
,
VLOOKUP(D15084,IMPORTRANGE(""https://docs.google.com/spreadsheets/d/14Bd19lYaqBhU8_DElYkX7l4wRkHqqCUFNJY4AfY3kHU/edit?usp=sharing  #gid=0"",""фіз особи new!relations_name""),6,FALSE)
,
(IF
(
C15084=""юридична особа""
,
VLOO"&amp;"KUP(D15084,IMPORTRANGE(""https://docs.google.com/spreadsheets/d/14Bd19lYaqBhU8_DElYkX7l4wRkHqqCUFNJY4AfY3kHU/edit?usp=sharing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3" s="7" t="s">
        <v>10</v>
      </c>
      <c r="H15083" s="7">
        <v>19542</v>
      </c>
      <c r="I15083" s="8" t="str">
        <f ca="1">IFERROR(__xludf.DUMMYFUNCTION("IF
(
G15084=""фізична особа""
,
VLOOKUP(H15084,IMPORTRANGE(""https://docs.google.com/spreadsheets/d/14Bd19lYaqBhU8_DElYkX7l4wRkHqqCUFNJY4AfY3kHU/edit?usp=sharing  #gid=0"",""фіз особи new!relations_name""),6,FALSE)
,
(IF
(
G15084=""юридична особа""
,
VLOO"&amp;"KUP(H15084,IMPORTRANGE(""https://docs.google.com/spreadsheets/d/14Bd19lYaqBhU8_DElYkX7l4wRkHqqCUFNJY4AfY3kHU/edit?usp=sharing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083" s="7" t="s">
        <v>23</v>
      </c>
    </row>
    <row r="15084" spans="1:10" ht="13.2">
      <c r="A15084" s="7">
        <v>15083</v>
      </c>
      <c r="B15084" s="7">
        <v>1</v>
      </c>
      <c r="C15084" s="7" t="s">
        <v>10</v>
      </c>
      <c r="D15084" s="7">
        <v>19540</v>
      </c>
      <c r="E15084" s="7" t="s">
        <v>23</v>
      </c>
      <c r="F15084" s="8" t="str">
        <f ca="1">IFERROR(__xludf.DUMMYFUNCTION("IF
(
C15085=""фізична особа""
,
VLOOKUP(D15085,IMPORTRANGE(""https://docs.google.com/spreadsheets/d/14Bd19lYaqBhU8_DElYkX7l4wRkHqqCUFNJY4AfY3kHU/edit?usp=sharing  #gid=0"",""фіз особи new!relations_name""),6,FALSE)
,
(IF
(
C15085=""юридична особа""
,
VLOO"&amp;"KUP(D15085,IMPORTRANGE(""https://docs.google.com/spreadsheets/d/14Bd19lYaqBhU8_DElYkX7l4wRkHqqCUFNJY4AfY3kHU/edit?usp=sharing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4" s="7" t="s">
        <v>10</v>
      </c>
      <c r="H15084" s="7">
        <v>19543</v>
      </c>
      <c r="I15084" s="8" t="str">
        <f ca="1">IFERROR(__xludf.DUMMYFUNCTION("IF
(
G15085=""фізична особа""
,
VLOOKUP(H15085,IMPORTRANGE(""https://docs.google.com/spreadsheets/d/14Bd19lYaqBhU8_DElYkX7l4wRkHqqCUFNJY4AfY3kHU/edit?usp=sharing  #gid=0"",""фіз особи new!relations_name""),6,FALSE)
,
(IF
(
G15085=""юридична особа""
,
VLOO"&amp;"KUP(H15085,IMPORTRANGE(""https://docs.google.com/spreadsheets/d/14Bd19lYaqBhU8_DElYkX7l4wRkHqqCUFNJY4AfY3kHU/edit?usp=sharing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084" s="7" t="s">
        <v>23</v>
      </c>
    </row>
    <row r="15085" spans="1:10" ht="13.2">
      <c r="A15085" s="7">
        <v>15084</v>
      </c>
      <c r="B15085" s="7">
        <v>1</v>
      </c>
      <c r="C15085" s="7" t="s">
        <v>10</v>
      </c>
      <c r="D15085" s="7">
        <v>19540</v>
      </c>
      <c r="E15085" s="7" t="s">
        <v>23</v>
      </c>
      <c r="F15085" s="8" t="str">
        <f ca="1">IFERROR(__xludf.DUMMYFUNCTION("IF
(
C15086=""фізична особа""
,
VLOOKUP(D15086,IMPORTRANGE(""https://docs.google.com/spreadsheets/d/14Bd19lYaqBhU8_DElYkX7l4wRkHqqCUFNJY4AfY3kHU/edit?usp=sharing  #gid=0"",""фіз особи new!relations_name""),6,FALSE)
,
(IF
(
C15086=""юридична особа""
,
VLOO"&amp;"KUP(D15086,IMPORTRANGE(""https://docs.google.com/spreadsheets/d/14Bd19lYaqBhU8_DElYkX7l4wRkHqqCUFNJY4AfY3kHU/edit?usp=sharing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5" s="7" t="s">
        <v>10</v>
      </c>
      <c r="H15085" s="7">
        <v>19544</v>
      </c>
      <c r="I15085" s="8" t="str">
        <f ca="1">IFERROR(__xludf.DUMMYFUNCTION("IF
(
G15086=""фізична особа""
,
VLOOKUP(H15086,IMPORTRANGE(""https://docs.google.com/spreadsheets/d/14Bd19lYaqBhU8_DElYkX7l4wRkHqqCUFNJY4AfY3kHU/edit?usp=sharing  #gid=0"",""фіз особи new!relations_name""),6,FALSE)
,
(IF
(
G15086=""юридична особа""
,
VLOO"&amp;"KUP(H15086,IMPORTRANGE(""https://docs.google.com/spreadsheets/d/14Bd19lYaqBhU8_DElYkX7l4wRkHqqCUFNJY4AfY3kHU/edit?usp=sharing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085" s="7" t="s">
        <v>23</v>
      </c>
    </row>
    <row r="15086" spans="1:10" ht="13.2">
      <c r="A15086" s="7">
        <v>15085</v>
      </c>
      <c r="B15086" s="7">
        <v>1</v>
      </c>
      <c r="C15086" s="7" t="s">
        <v>10</v>
      </c>
      <c r="D15086" s="7">
        <v>19540</v>
      </c>
      <c r="E15086" s="7" t="s">
        <v>23</v>
      </c>
      <c r="F15086" s="8" t="str">
        <f ca="1">IFERROR(__xludf.DUMMYFUNCTION("IF
(
C15087=""фізична особа""
,
VLOOKUP(D15087,IMPORTRANGE(""https://docs.google.com/spreadsheets/d/14Bd19lYaqBhU8_DElYkX7l4wRkHqqCUFNJY4AfY3kHU/edit?usp=sharing  #gid=0"",""фіз особи new!relations_name""),6,FALSE)
,
(IF
(
C15087=""юридична особа""
,
VLOO"&amp;"KUP(D15087,IMPORTRANGE(""https://docs.google.com/spreadsheets/d/14Bd19lYaqBhU8_DElYkX7l4wRkHqqCUFNJY4AfY3kHU/edit?usp=sharing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6" s="7" t="s">
        <v>10</v>
      </c>
      <c r="H15086" s="7">
        <v>19545</v>
      </c>
      <c r="I15086" s="8" t="str">
        <f ca="1">IFERROR(__xludf.DUMMYFUNCTION("IF
(
G15087=""фізична особа""
,
VLOOKUP(H15087,IMPORTRANGE(""https://docs.google.com/spreadsheets/d/14Bd19lYaqBhU8_DElYkX7l4wRkHqqCUFNJY4AfY3kHU/edit?usp=sharing  #gid=0"",""фіз особи new!relations_name""),6,FALSE)
,
(IF
(
G15087=""юридична особа""
,
VLOO"&amp;"KUP(H15087,IMPORTRANGE(""https://docs.google.com/spreadsheets/d/14Bd19lYaqBhU8_DElYkX7l4wRkHqqCUFNJY4AfY3kHU/edit?usp=sharing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086" s="7" t="s">
        <v>23</v>
      </c>
    </row>
    <row r="15087" spans="1:10" ht="13.2">
      <c r="A15087" s="7">
        <v>15086</v>
      </c>
      <c r="B15087" s="7">
        <v>1</v>
      </c>
      <c r="C15087" s="7" t="s">
        <v>10</v>
      </c>
      <c r="D15087" s="7">
        <v>19540</v>
      </c>
      <c r="E15087" s="7" t="s">
        <v>23</v>
      </c>
      <c r="F15087" s="8" t="str">
        <f ca="1">IFERROR(__xludf.DUMMYFUNCTION("IF
(
C15088=""фізична особа""
,
VLOOKUP(D15088,IMPORTRANGE(""https://docs.google.com/spreadsheets/d/14Bd19lYaqBhU8_DElYkX7l4wRkHqqCUFNJY4AfY3kHU/edit?usp=sharing  #gid=0"",""фіз особи new!relations_name""),6,FALSE)
,
(IF
(
C15088=""юридична особа""
,
VLOO"&amp;"KUP(D15088,IMPORTRANGE(""https://docs.google.com/spreadsheets/d/14Bd19lYaqBhU8_DElYkX7l4wRkHqqCUFNJY4AfY3kHU/edit?usp=sharing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7" s="7" t="s">
        <v>10</v>
      </c>
      <c r="H15087" s="7">
        <v>6680</v>
      </c>
      <c r="I15087" s="8" t="str">
        <f ca="1">IFERROR(__xludf.DUMMYFUNCTION("IF
(
G15088=""фізична особа""
,
VLOOKUP(H15088,IMPORTRANGE(""https://docs.google.com/spreadsheets/d/14Bd19lYaqBhU8_DElYkX7l4wRkHqqCUFNJY4AfY3kHU/edit?usp=sharing  #gid=0"",""фіз особи new!relations_name""),6,FALSE)
,
(IF
(
G15088=""юридична особа""
,
VLOO"&amp;"KUP(H15088,IMPORTRANGE(""https://docs.google.com/spreadsheets/d/14Bd19lYaqBhU8_DElYkX7l4wRkHqqCUFNJY4AfY3kHU/edit?usp=sharing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087" s="7" t="s">
        <v>23</v>
      </c>
    </row>
    <row r="15088" spans="1:10" ht="13.2">
      <c r="A15088" s="7">
        <v>15087</v>
      </c>
      <c r="B15088" s="7">
        <v>1</v>
      </c>
      <c r="C15088" s="7" t="s">
        <v>10</v>
      </c>
      <c r="D15088" s="7">
        <v>19540</v>
      </c>
      <c r="E15088" s="7" t="s">
        <v>23</v>
      </c>
      <c r="F15088" s="8" t="str">
        <f ca="1">IFERROR(__xludf.DUMMYFUNCTION("IF
(
C15089=""фізична особа""
,
VLOOKUP(D15089,IMPORTRANGE(""https://docs.google.com/spreadsheets/d/14Bd19lYaqBhU8_DElYkX7l4wRkHqqCUFNJY4AfY3kHU/edit?usp=sharing  #gid=0"",""фіз особи new!relations_name""),6,FALSE)
,
(IF
(
C15089=""юридична особа""
,
VLOO"&amp;"KUP(D15089,IMPORTRANGE(""https://docs.google.com/spreadsheets/d/14Bd19lYaqBhU8_DElYkX7l4wRkHqqCUFNJY4AfY3kHU/edit?usp=sharing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8" s="7" t="s">
        <v>10</v>
      </c>
      <c r="H15088" s="7">
        <v>19546</v>
      </c>
      <c r="I15088" s="8" t="str">
        <f ca="1">IFERROR(__xludf.DUMMYFUNCTION("IF
(
G15089=""фізична особа""
,
VLOOKUP(H15089,IMPORTRANGE(""https://docs.google.com/spreadsheets/d/14Bd19lYaqBhU8_DElYkX7l4wRkHqqCUFNJY4AfY3kHU/edit?usp=sharing  #gid=0"",""фіз особи new!relations_name""),6,FALSE)
,
(IF
(
G15089=""юридична особа""
,
VLOO"&amp;"KUP(H15089,IMPORTRANGE(""https://docs.google.com/spreadsheets/d/14Bd19lYaqBhU8_DElYkX7l4wRkHqqCUFNJY4AfY3kHU/edit?usp=sharing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088" s="7" t="s">
        <v>23</v>
      </c>
    </row>
    <row r="15089" spans="1:10" ht="13.2">
      <c r="A15089" s="7">
        <v>15088</v>
      </c>
      <c r="B15089" s="7">
        <v>1</v>
      </c>
      <c r="C15089" s="7" t="s">
        <v>10</v>
      </c>
      <c r="D15089" s="7">
        <v>19540</v>
      </c>
      <c r="E15089" s="7" t="s">
        <v>23</v>
      </c>
      <c r="F15089" s="8" t="str">
        <f ca="1">IFERROR(__xludf.DUMMYFUNCTION("IF
(
C15090=""фізична особа""
,
VLOOKUP(D15090,IMPORTRANGE(""https://docs.google.com/spreadsheets/d/14Bd19lYaqBhU8_DElYkX7l4wRkHqqCUFNJY4AfY3kHU/edit?usp=sharing  #gid=0"",""фіз особи new!relations_name""),6,FALSE)
,
(IF
(
C15090=""юридична особа""
,
VLOO"&amp;"KUP(D15090,IMPORTRANGE(""https://docs.google.com/spreadsheets/d/14Bd19lYaqBhU8_DElYkX7l4wRkHqqCUFNJY4AfY3kHU/edit?usp=sharing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G15089" s="7" t="s">
        <v>10</v>
      </c>
      <c r="H15089" s="7">
        <v>6682</v>
      </c>
      <c r="I15089" s="8" t="str">
        <f ca="1">IFERROR(__xludf.DUMMYFUNCTION("IF
(
G15090=""фізична особа""
,
VLOOKUP(H15090,IMPORTRANGE(""https://docs.google.com/spreadsheets/d/14Bd19lYaqBhU8_DElYkX7l4wRkHqqCUFNJY4AfY3kHU/edit?usp=sharing  #gid=0"",""фіз особи new!relations_name""),6,FALSE)
,
(IF
(
G15090=""юридична особа""
,
VLOO"&amp;"KUP(H15090,IMPORTRANGE(""https://docs.google.com/spreadsheets/d/14Bd19lYaqBhU8_DElYkX7l4wRkHqqCUFNJY4AfY3kHU/edit?usp=sharing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089" s="7" t="s">
        <v>23</v>
      </c>
    </row>
    <row r="15090" spans="1:10" ht="13.2">
      <c r="A15090" s="7">
        <v>15089</v>
      </c>
      <c r="B15090" s="7">
        <v>1</v>
      </c>
      <c r="C15090" s="7" t="s">
        <v>10</v>
      </c>
      <c r="D15090" s="7">
        <v>19541</v>
      </c>
      <c r="E15090" s="7" t="s">
        <v>23</v>
      </c>
      <c r="F15090" s="8" t="str">
        <f ca="1">IFERROR(__xludf.DUMMYFUNCTION("IF
(
C15091=""фізична особа""
,
VLOOKUP(D15091,IMPORTRANGE(""https://docs.google.com/spreadsheets/d/14Bd19lYaqBhU8_DElYkX7l4wRkHqqCUFNJY4AfY3kHU/edit?usp=sharing  #gid=0"",""фіз особи new!relations_name""),6,FALSE)
,
(IF
(
C15091=""юридична особа""
,
VLOO"&amp;"KUP(D15091,IMPORTRANGE(""https://docs.google.com/spreadsheets/d/14Bd19lYaqBhU8_DElYkX7l4wRkHqqCUFNJY4AfY3kHU/edit?usp=sharing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0" s="7" t="s">
        <v>10</v>
      </c>
      <c r="H15090" s="7">
        <v>19540</v>
      </c>
      <c r="I15090" s="8" t="str">
        <f ca="1">IFERROR(__xludf.DUMMYFUNCTION("IF
(
G15091=""фізична особа""
,
VLOOKUP(H15091,IMPORTRANGE(""https://docs.google.com/spreadsheets/d/14Bd19lYaqBhU8_DElYkX7l4wRkHqqCUFNJY4AfY3kHU/edit?usp=sharing  #gid=0"",""фіз особи new!relations_name""),6,FALSE)
,
(IF
(
G15091=""юридична особа""
,
VLOO"&amp;"KUP(H15091,IMPORTRANGE(""https://docs.google.com/spreadsheets/d/14Bd19lYaqBhU8_DElYkX7l4wRkHqqCUFNJY4AfY3kHU/edit?usp=sharing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090" s="7" t="s">
        <v>23</v>
      </c>
    </row>
    <row r="15091" spans="1:10" ht="13.2">
      <c r="A15091" s="7">
        <v>15090</v>
      </c>
      <c r="B15091" s="7">
        <v>1</v>
      </c>
      <c r="C15091" s="7" t="s">
        <v>10</v>
      </c>
      <c r="D15091" s="7">
        <v>19541</v>
      </c>
      <c r="E15091" s="7" t="s">
        <v>23</v>
      </c>
      <c r="F15091" s="8" t="str">
        <f ca="1">IFERROR(__xludf.DUMMYFUNCTION("IF
(
C15092=""фізична особа""
,
VLOOKUP(D15092,IMPORTRANGE(""https://docs.google.com/spreadsheets/d/14Bd19lYaqBhU8_DElYkX7l4wRkHqqCUFNJY4AfY3kHU/edit?usp=sharing  #gid=0"",""фіз особи new!relations_name""),6,FALSE)
,
(IF
(
C15092=""юридична особа""
,
VLOO"&amp;"KUP(D15092,IMPORTRANGE(""https://docs.google.com/spreadsheets/d/14Bd19lYaqBhU8_DElYkX7l4wRkHqqCUFNJY4AfY3kHU/edit?usp=sharing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1" s="7" t="s">
        <v>10</v>
      </c>
      <c r="H15091" s="7">
        <v>19542</v>
      </c>
      <c r="I15091" s="8" t="str">
        <f ca="1">IFERROR(__xludf.DUMMYFUNCTION("IF
(
G15092=""фізична особа""
,
VLOOKUP(H15092,IMPORTRANGE(""https://docs.google.com/spreadsheets/d/14Bd19lYaqBhU8_DElYkX7l4wRkHqqCUFNJY4AfY3kHU/edit?usp=sharing  #gid=0"",""фіз особи new!relations_name""),6,FALSE)
,
(IF
(
G15092=""юридична особа""
,
VLOO"&amp;"KUP(H15092,IMPORTRANGE(""https://docs.google.com/spreadsheets/d/14Bd19lYaqBhU8_DElYkX7l4wRkHqqCUFNJY4AfY3kHU/edit?usp=sharing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091" s="7" t="s">
        <v>23</v>
      </c>
    </row>
    <row r="15092" spans="1:10" ht="13.2">
      <c r="A15092" s="7">
        <v>15091</v>
      </c>
      <c r="B15092" s="7">
        <v>1</v>
      </c>
      <c r="C15092" s="7" t="s">
        <v>10</v>
      </c>
      <c r="D15092" s="7">
        <v>19541</v>
      </c>
      <c r="E15092" s="7" t="s">
        <v>23</v>
      </c>
      <c r="F15092" s="8" t="str">
        <f ca="1">IFERROR(__xludf.DUMMYFUNCTION("IF
(
C15093=""фізична особа""
,
VLOOKUP(D15093,IMPORTRANGE(""https://docs.google.com/spreadsheets/d/14Bd19lYaqBhU8_DElYkX7l4wRkHqqCUFNJY4AfY3kHU/edit?usp=sharing  #gid=0"",""фіз особи new!relations_name""),6,FALSE)
,
(IF
(
C15093=""юридична особа""
,
VLOO"&amp;"KUP(D15093,IMPORTRANGE(""https://docs.google.com/spreadsheets/d/14Bd19lYaqBhU8_DElYkX7l4wRkHqqCUFNJY4AfY3kHU/edit?usp=sharing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2" s="7" t="s">
        <v>10</v>
      </c>
      <c r="H15092" s="7">
        <v>19543</v>
      </c>
      <c r="I15092" s="8" t="str">
        <f ca="1">IFERROR(__xludf.DUMMYFUNCTION("IF
(
G15093=""фізична особа""
,
VLOOKUP(H15093,IMPORTRANGE(""https://docs.google.com/spreadsheets/d/14Bd19lYaqBhU8_DElYkX7l4wRkHqqCUFNJY4AfY3kHU/edit?usp=sharing  #gid=0"",""фіз особи new!relations_name""),6,FALSE)
,
(IF
(
G15093=""юридична особа""
,
VLOO"&amp;"KUP(H15093,IMPORTRANGE(""https://docs.google.com/spreadsheets/d/14Bd19lYaqBhU8_DElYkX7l4wRkHqqCUFNJY4AfY3kHU/edit?usp=sharing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092" s="7" t="s">
        <v>23</v>
      </c>
    </row>
    <row r="15093" spans="1:10" ht="13.2">
      <c r="A15093" s="7">
        <v>15092</v>
      </c>
      <c r="B15093" s="7">
        <v>1</v>
      </c>
      <c r="C15093" s="7" t="s">
        <v>10</v>
      </c>
      <c r="D15093" s="7">
        <v>19541</v>
      </c>
      <c r="E15093" s="7" t="s">
        <v>23</v>
      </c>
      <c r="F15093" s="8" t="str">
        <f ca="1">IFERROR(__xludf.DUMMYFUNCTION("IF
(
C15094=""фізична особа""
,
VLOOKUP(D15094,IMPORTRANGE(""https://docs.google.com/spreadsheets/d/14Bd19lYaqBhU8_DElYkX7l4wRkHqqCUFNJY4AfY3kHU/edit?usp=sharing  #gid=0"",""фіз особи new!relations_name""),6,FALSE)
,
(IF
(
C15094=""юридична особа""
,
VLOO"&amp;"KUP(D15094,IMPORTRANGE(""https://docs.google.com/spreadsheets/d/14Bd19lYaqBhU8_DElYkX7l4wRkHqqCUFNJY4AfY3kHU/edit?usp=sharing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3" s="7" t="s">
        <v>10</v>
      </c>
      <c r="H15093" s="7">
        <v>19544</v>
      </c>
      <c r="I15093" s="8" t="str">
        <f ca="1">IFERROR(__xludf.DUMMYFUNCTION("IF
(
G15094=""фізична особа""
,
VLOOKUP(H15094,IMPORTRANGE(""https://docs.google.com/spreadsheets/d/14Bd19lYaqBhU8_DElYkX7l4wRkHqqCUFNJY4AfY3kHU/edit?usp=sharing  #gid=0"",""фіз особи new!relations_name""),6,FALSE)
,
(IF
(
G15094=""юридична особа""
,
VLOO"&amp;"KUP(H15094,IMPORTRANGE(""https://docs.google.com/spreadsheets/d/14Bd19lYaqBhU8_DElYkX7l4wRkHqqCUFNJY4AfY3kHU/edit?usp=sharing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093" s="7" t="s">
        <v>23</v>
      </c>
    </row>
    <row r="15094" spans="1:10" ht="13.2">
      <c r="A15094" s="7">
        <v>15093</v>
      </c>
      <c r="B15094" s="7">
        <v>1</v>
      </c>
      <c r="C15094" s="7" t="s">
        <v>10</v>
      </c>
      <c r="D15094" s="7">
        <v>19541</v>
      </c>
      <c r="E15094" s="7" t="s">
        <v>23</v>
      </c>
      <c r="F15094" s="8" t="str">
        <f ca="1">IFERROR(__xludf.DUMMYFUNCTION("IF
(
C15095=""фізична особа""
,
VLOOKUP(D15095,IMPORTRANGE(""https://docs.google.com/spreadsheets/d/14Bd19lYaqBhU8_DElYkX7l4wRkHqqCUFNJY4AfY3kHU/edit?usp=sharing  #gid=0"",""фіз особи new!relations_name""),6,FALSE)
,
(IF
(
C15095=""юридична особа""
,
VLOO"&amp;"KUP(D15095,IMPORTRANGE(""https://docs.google.com/spreadsheets/d/14Bd19lYaqBhU8_DElYkX7l4wRkHqqCUFNJY4AfY3kHU/edit?usp=sharing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4" s="7" t="s">
        <v>10</v>
      </c>
      <c r="H15094" s="7">
        <v>19545</v>
      </c>
      <c r="I15094" s="8" t="str">
        <f ca="1">IFERROR(__xludf.DUMMYFUNCTION("IF
(
G15095=""фізична особа""
,
VLOOKUP(H15095,IMPORTRANGE(""https://docs.google.com/spreadsheets/d/14Bd19lYaqBhU8_DElYkX7l4wRkHqqCUFNJY4AfY3kHU/edit?usp=sharing  #gid=0"",""фіз особи new!relations_name""),6,FALSE)
,
(IF
(
G15095=""юридична особа""
,
VLOO"&amp;"KUP(H15095,IMPORTRANGE(""https://docs.google.com/spreadsheets/d/14Bd19lYaqBhU8_DElYkX7l4wRkHqqCUFNJY4AfY3kHU/edit?usp=sharing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094" s="7" t="s">
        <v>23</v>
      </c>
    </row>
    <row r="15095" spans="1:10" ht="13.2">
      <c r="A15095" s="7">
        <v>15094</v>
      </c>
      <c r="B15095" s="7">
        <v>1</v>
      </c>
      <c r="C15095" s="7" t="s">
        <v>10</v>
      </c>
      <c r="D15095" s="7">
        <v>19541</v>
      </c>
      <c r="E15095" s="7" t="s">
        <v>23</v>
      </c>
      <c r="F15095" s="8" t="str">
        <f ca="1">IFERROR(__xludf.DUMMYFUNCTION("IF
(
C15096=""фізична особа""
,
VLOOKUP(D15096,IMPORTRANGE(""https://docs.google.com/spreadsheets/d/14Bd19lYaqBhU8_DElYkX7l4wRkHqqCUFNJY4AfY3kHU/edit?usp=sharing  #gid=0"",""фіз особи new!relations_name""),6,FALSE)
,
(IF
(
C15096=""юридична особа""
,
VLOO"&amp;"KUP(D15096,IMPORTRANGE(""https://docs.google.com/spreadsheets/d/14Bd19lYaqBhU8_DElYkX7l4wRkHqqCUFNJY4AfY3kHU/edit?usp=sharing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5" s="7" t="s">
        <v>10</v>
      </c>
      <c r="H15095" s="7">
        <v>6680</v>
      </c>
      <c r="I15095" s="8" t="str">
        <f ca="1">IFERROR(__xludf.DUMMYFUNCTION("IF
(
G15096=""фізична особа""
,
VLOOKUP(H15096,IMPORTRANGE(""https://docs.google.com/spreadsheets/d/14Bd19lYaqBhU8_DElYkX7l4wRkHqqCUFNJY4AfY3kHU/edit?usp=sharing  #gid=0"",""фіз особи new!relations_name""),6,FALSE)
,
(IF
(
G15096=""юридична особа""
,
VLOO"&amp;"KUP(H15096,IMPORTRANGE(""https://docs.google.com/spreadsheets/d/14Bd19lYaqBhU8_DElYkX7l4wRkHqqCUFNJY4AfY3kHU/edit?usp=sharing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095" s="7" t="s">
        <v>23</v>
      </c>
    </row>
    <row r="15096" spans="1:10" ht="13.2">
      <c r="A15096" s="7">
        <v>15095</v>
      </c>
      <c r="B15096" s="7">
        <v>1</v>
      </c>
      <c r="C15096" s="7" t="s">
        <v>10</v>
      </c>
      <c r="D15096" s="7">
        <v>19541</v>
      </c>
      <c r="E15096" s="7" t="s">
        <v>23</v>
      </c>
      <c r="F15096" s="8" t="str">
        <f ca="1">IFERROR(__xludf.DUMMYFUNCTION("IF
(
C15097=""фізична особа""
,
VLOOKUP(D15097,IMPORTRANGE(""https://docs.google.com/spreadsheets/d/14Bd19lYaqBhU8_DElYkX7l4wRkHqqCUFNJY4AfY3kHU/edit?usp=sharing  #gid=0"",""фіз особи new!relations_name""),6,FALSE)
,
(IF
(
C15097=""юридична особа""
,
VLOO"&amp;"KUP(D15097,IMPORTRANGE(""https://docs.google.com/spreadsheets/d/14Bd19lYaqBhU8_DElYkX7l4wRkHqqCUFNJY4AfY3kHU/edit?usp=sharing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6" s="7" t="s">
        <v>10</v>
      </c>
      <c r="H15096" s="7">
        <v>19546</v>
      </c>
      <c r="I15096" s="8" t="str">
        <f ca="1">IFERROR(__xludf.DUMMYFUNCTION("IF
(
G15097=""фізична особа""
,
VLOOKUP(H15097,IMPORTRANGE(""https://docs.google.com/spreadsheets/d/14Bd19lYaqBhU8_DElYkX7l4wRkHqqCUFNJY4AfY3kHU/edit?usp=sharing  #gid=0"",""фіз особи new!relations_name""),6,FALSE)
,
(IF
(
G15097=""юридична особа""
,
VLOO"&amp;"KUP(H15097,IMPORTRANGE(""https://docs.google.com/spreadsheets/d/14Bd19lYaqBhU8_DElYkX7l4wRkHqqCUFNJY4AfY3kHU/edit?usp=sharing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096" s="7" t="s">
        <v>23</v>
      </c>
    </row>
    <row r="15097" spans="1:10" ht="13.2">
      <c r="A15097" s="7">
        <v>15096</v>
      </c>
      <c r="B15097" s="7">
        <v>1</v>
      </c>
      <c r="C15097" s="7" t="s">
        <v>10</v>
      </c>
      <c r="D15097" s="7">
        <v>19541</v>
      </c>
      <c r="E15097" s="7" t="s">
        <v>23</v>
      </c>
      <c r="F15097" s="8" t="str">
        <f ca="1">IFERROR(__xludf.DUMMYFUNCTION("IF
(
C15098=""фізична особа""
,
VLOOKUP(D15098,IMPORTRANGE(""https://docs.google.com/spreadsheets/d/14Bd19lYaqBhU8_DElYkX7l4wRkHqqCUFNJY4AfY3kHU/edit?usp=sharing  #gid=0"",""фіз особи new!relations_name""),6,FALSE)
,
(IF
(
C15098=""юридична особа""
,
VLOO"&amp;"KUP(D15098,IMPORTRANGE(""https://docs.google.com/spreadsheets/d/14Bd19lYaqBhU8_DElYkX7l4wRkHqqCUFNJY4AfY3kHU/edit?usp=sharing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G15097" s="7" t="s">
        <v>10</v>
      </c>
      <c r="H15097" s="7">
        <v>6682</v>
      </c>
      <c r="I15097" s="8" t="str">
        <f ca="1">IFERROR(__xludf.DUMMYFUNCTION("IF
(
G15098=""фізична особа""
,
VLOOKUP(H15098,IMPORTRANGE(""https://docs.google.com/spreadsheets/d/14Bd19lYaqBhU8_DElYkX7l4wRkHqqCUFNJY4AfY3kHU/edit?usp=sharing  #gid=0"",""фіз особи new!relations_name""),6,FALSE)
,
(IF
(
G15098=""юридична особа""
,
VLOO"&amp;"KUP(H15098,IMPORTRANGE(""https://docs.google.com/spreadsheets/d/14Bd19lYaqBhU8_DElYkX7l4wRkHqqCUFNJY4AfY3kHU/edit?usp=sharing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097" s="7" t="s">
        <v>23</v>
      </c>
    </row>
    <row r="15098" spans="1:10" ht="13.2">
      <c r="A15098" s="7">
        <v>15097</v>
      </c>
      <c r="B15098" s="7">
        <v>1</v>
      </c>
      <c r="C15098" s="7" t="s">
        <v>10</v>
      </c>
      <c r="D15098" s="7">
        <v>19542</v>
      </c>
      <c r="E15098" s="7" t="s">
        <v>23</v>
      </c>
      <c r="F15098" s="8" t="str">
        <f ca="1">IFERROR(__xludf.DUMMYFUNCTION("IF
(
C15099=""фізична особа""
,
VLOOKUP(D15099,IMPORTRANGE(""https://docs.google.com/spreadsheets/d/14Bd19lYaqBhU8_DElYkX7l4wRkHqqCUFNJY4AfY3kHU/edit?usp=sharing  #gid=0"",""фіз особи new!relations_name""),6,FALSE)
,
(IF
(
C15099=""юридична особа""
,
VLOO"&amp;"KUP(D15099,IMPORTRANGE(""https://docs.google.com/spreadsheets/d/14Bd19lYaqBhU8_DElYkX7l4wRkHqqCUFNJY4AfY3kHU/edit?usp=sharing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098" s="7" t="s">
        <v>10</v>
      </c>
      <c r="H15098" s="7">
        <v>19540</v>
      </c>
      <c r="I15098" s="8" t="str">
        <f ca="1">IFERROR(__xludf.DUMMYFUNCTION("IF
(
G15099=""фізична особа""
,
VLOOKUP(H15099,IMPORTRANGE(""https://docs.google.com/spreadsheets/d/14Bd19lYaqBhU8_DElYkX7l4wRkHqqCUFNJY4AfY3kHU/edit?usp=sharing  #gid=0"",""фіз особи new!relations_name""),6,FALSE)
,
(IF
(
G15099=""юридична особа""
,
VLOO"&amp;"KUP(H15099,IMPORTRANGE(""https://docs.google.com/spreadsheets/d/14Bd19lYaqBhU8_DElYkX7l4wRkHqqCUFNJY4AfY3kHU/edit?usp=sharing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098" s="7" t="s">
        <v>23</v>
      </c>
    </row>
    <row r="15099" spans="1:10" ht="13.2">
      <c r="A15099" s="7">
        <v>15098</v>
      </c>
      <c r="B15099" s="7">
        <v>1</v>
      </c>
      <c r="C15099" s="7" t="s">
        <v>10</v>
      </c>
      <c r="D15099" s="7">
        <v>19542</v>
      </c>
      <c r="E15099" s="7" t="s">
        <v>23</v>
      </c>
      <c r="F15099" s="8" t="str">
        <f ca="1">IFERROR(__xludf.DUMMYFUNCTION("IF
(
C15100=""фізична особа""
,
VLOOKUP(D15100,IMPORTRANGE(""https://docs.google.com/spreadsheets/d/14Bd19lYaqBhU8_DElYkX7l4wRkHqqCUFNJY4AfY3kHU/edit?usp=sharing  #gid=0"",""фіз особи new!relations_name""),6,FALSE)
,
(IF
(
C15100=""юридична особа""
,
VLOO"&amp;"KUP(D15100,IMPORTRANGE(""https://docs.google.com/spreadsheets/d/14Bd19lYaqBhU8_DElYkX7l4wRkHqqCUFNJY4AfY3kHU/edit?usp=sharing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099" s="7" t="s">
        <v>10</v>
      </c>
      <c r="H15099" s="7">
        <v>19541</v>
      </c>
      <c r="I15099" s="8" t="str">
        <f ca="1">IFERROR(__xludf.DUMMYFUNCTION("IF
(
G15100=""фізична особа""
,
VLOOKUP(H15100,IMPORTRANGE(""https://docs.google.com/spreadsheets/d/14Bd19lYaqBhU8_DElYkX7l4wRkHqqCUFNJY4AfY3kHU/edit?usp=sharing  #gid=0"",""фіз особи new!relations_name""),6,FALSE)
,
(IF
(
G15100=""юридична особа""
,
VLOO"&amp;"KUP(H15100,IMPORTRANGE(""https://docs.google.com/spreadsheets/d/14Bd19lYaqBhU8_DElYkX7l4wRkHqqCUFNJY4AfY3kHU/edit?usp=sharing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099" s="7" t="s">
        <v>23</v>
      </c>
    </row>
    <row r="15100" spans="1:10" ht="13.2">
      <c r="A15100" s="7">
        <v>15099</v>
      </c>
      <c r="B15100" s="7">
        <v>1</v>
      </c>
      <c r="C15100" s="7" t="s">
        <v>10</v>
      </c>
      <c r="D15100" s="7">
        <v>19542</v>
      </c>
      <c r="E15100" s="7" t="s">
        <v>23</v>
      </c>
      <c r="F15100" s="8" t="str">
        <f ca="1">IFERROR(__xludf.DUMMYFUNCTION("IF
(
C15101=""фізична особа""
,
VLOOKUP(D15101,IMPORTRANGE(""https://docs.google.com/spreadsheets/d/14Bd19lYaqBhU8_DElYkX7l4wRkHqqCUFNJY4AfY3kHU/edit?usp=sharing  #gid=0"",""фіз особи new!relations_name""),6,FALSE)
,
(IF
(
C15101=""юридична особа""
,
VLOO"&amp;"KUP(D15101,IMPORTRANGE(""https://docs.google.com/spreadsheets/d/14Bd19lYaqBhU8_DElYkX7l4wRkHqqCUFNJY4AfY3kHU/edit?usp=sharing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0" s="7" t="s">
        <v>10</v>
      </c>
      <c r="H15100" s="7">
        <v>19543</v>
      </c>
      <c r="I15100" s="8" t="str">
        <f ca="1">IFERROR(__xludf.DUMMYFUNCTION("IF
(
G15101=""фізична особа""
,
VLOOKUP(H15101,IMPORTRANGE(""https://docs.google.com/spreadsheets/d/14Bd19lYaqBhU8_DElYkX7l4wRkHqqCUFNJY4AfY3kHU/edit?usp=sharing  #gid=0"",""фіз особи new!relations_name""),6,FALSE)
,
(IF
(
G15101=""юридична особа""
,
VLOO"&amp;"KUP(H15101,IMPORTRANGE(""https://docs.google.com/spreadsheets/d/14Bd19lYaqBhU8_DElYkX7l4wRkHqqCUFNJY4AfY3kHU/edit?usp=sharing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100" s="7" t="s">
        <v>23</v>
      </c>
    </row>
    <row r="15101" spans="1:10" ht="13.2">
      <c r="A15101" s="7">
        <v>15100</v>
      </c>
      <c r="B15101" s="7">
        <v>1</v>
      </c>
      <c r="C15101" s="7" t="s">
        <v>10</v>
      </c>
      <c r="D15101" s="7">
        <v>19542</v>
      </c>
      <c r="E15101" s="7" t="s">
        <v>23</v>
      </c>
      <c r="F15101" s="8" t="str">
        <f ca="1">IFERROR(__xludf.DUMMYFUNCTION("IF
(
C15102=""фізична особа""
,
VLOOKUP(D15102,IMPORTRANGE(""https://docs.google.com/spreadsheets/d/14Bd19lYaqBhU8_DElYkX7l4wRkHqqCUFNJY4AfY3kHU/edit?usp=sharing  #gid=0"",""фіз особи new!relations_name""),6,FALSE)
,
(IF
(
C15102=""юридична особа""
,
VLOO"&amp;"KUP(D15102,IMPORTRANGE(""https://docs.google.com/spreadsheets/d/14Bd19lYaqBhU8_DElYkX7l4wRkHqqCUFNJY4AfY3kHU/edit?usp=sharing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1" s="7" t="s">
        <v>10</v>
      </c>
      <c r="H15101" s="7">
        <v>19544</v>
      </c>
      <c r="I15101" s="8" t="str">
        <f ca="1">IFERROR(__xludf.DUMMYFUNCTION("IF
(
G15102=""фізична особа""
,
VLOOKUP(H15102,IMPORTRANGE(""https://docs.google.com/spreadsheets/d/14Bd19lYaqBhU8_DElYkX7l4wRkHqqCUFNJY4AfY3kHU/edit?usp=sharing  #gid=0"",""фіз особи new!relations_name""),6,FALSE)
,
(IF
(
G15102=""юридична особа""
,
VLOO"&amp;"KUP(H15102,IMPORTRANGE(""https://docs.google.com/spreadsheets/d/14Bd19lYaqBhU8_DElYkX7l4wRkHqqCUFNJY4AfY3kHU/edit?usp=sharing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101" s="7" t="s">
        <v>23</v>
      </c>
    </row>
    <row r="15102" spans="1:10" ht="13.2">
      <c r="A15102" s="7">
        <v>15101</v>
      </c>
      <c r="B15102" s="7">
        <v>1</v>
      </c>
      <c r="C15102" s="7" t="s">
        <v>10</v>
      </c>
      <c r="D15102" s="7">
        <v>19542</v>
      </c>
      <c r="E15102" s="7" t="s">
        <v>23</v>
      </c>
      <c r="F15102" s="8" t="str">
        <f ca="1">IFERROR(__xludf.DUMMYFUNCTION("IF
(
C15103=""фізична особа""
,
VLOOKUP(D15103,IMPORTRANGE(""https://docs.google.com/spreadsheets/d/14Bd19lYaqBhU8_DElYkX7l4wRkHqqCUFNJY4AfY3kHU/edit?usp=sharing  #gid=0"",""фіз особи new!relations_name""),6,FALSE)
,
(IF
(
C15103=""юридична особа""
,
VLOO"&amp;"KUP(D15103,IMPORTRANGE(""https://docs.google.com/spreadsheets/d/14Bd19lYaqBhU8_DElYkX7l4wRkHqqCUFNJY4AfY3kHU/edit?usp=sharing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2" s="7" t="s">
        <v>10</v>
      </c>
      <c r="H15102" s="7">
        <v>19545</v>
      </c>
      <c r="I15102" s="8" t="str">
        <f ca="1">IFERROR(__xludf.DUMMYFUNCTION("IF
(
G15103=""фізична особа""
,
VLOOKUP(H15103,IMPORTRANGE(""https://docs.google.com/spreadsheets/d/14Bd19lYaqBhU8_DElYkX7l4wRkHqqCUFNJY4AfY3kHU/edit?usp=sharing  #gid=0"",""фіз особи new!relations_name""),6,FALSE)
,
(IF
(
G15103=""юридична особа""
,
VLOO"&amp;"KUP(H15103,IMPORTRANGE(""https://docs.google.com/spreadsheets/d/14Bd19lYaqBhU8_DElYkX7l4wRkHqqCUFNJY4AfY3kHU/edit?usp=sharing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102" s="7" t="s">
        <v>23</v>
      </c>
    </row>
    <row r="15103" spans="1:10" ht="13.2">
      <c r="A15103" s="7">
        <v>15102</v>
      </c>
      <c r="B15103" s="7">
        <v>1</v>
      </c>
      <c r="C15103" s="7" t="s">
        <v>10</v>
      </c>
      <c r="D15103" s="7">
        <v>19542</v>
      </c>
      <c r="E15103" s="7" t="s">
        <v>23</v>
      </c>
      <c r="F15103" s="8" t="str">
        <f ca="1">IFERROR(__xludf.DUMMYFUNCTION("IF
(
C15104=""фізична особа""
,
VLOOKUP(D15104,IMPORTRANGE(""https://docs.google.com/spreadsheets/d/14Bd19lYaqBhU8_DElYkX7l4wRkHqqCUFNJY4AfY3kHU/edit?usp=sharing  #gid=0"",""фіз особи new!relations_name""),6,FALSE)
,
(IF
(
C15104=""юридична особа""
,
VLOO"&amp;"KUP(D15104,IMPORTRANGE(""https://docs.google.com/spreadsheets/d/14Bd19lYaqBhU8_DElYkX7l4wRkHqqCUFNJY4AfY3kHU/edit?usp=sharing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3" s="7" t="s">
        <v>10</v>
      </c>
      <c r="H15103" s="7">
        <v>6680</v>
      </c>
      <c r="I15103" s="8" t="str">
        <f ca="1">IFERROR(__xludf.DUMMYFUNCTION("IF
(
G15104=""фізична особа""
,
VLOOKUP(H15104,IMPORTRANGE(""https://docs.google.com/spreadsheets/d/14Bd19lYaqBhU8_DElYkX7l4wRkHqqCUFNJY4AfY3kHU/edit?usp=sharing  #gid=0"",""фіз особи new!relations_name""),6,FALSE)
,
(IF
(
G15104=""юридична особа""
,
VLOO"&amp;"KUP(H15104,IMPORTRANGE(""https://docs.google.com/spreadsheets/d/14Bd19lYaqBhU8_DElYkX7l4wRkHqqCUFNJY4AfY3kHU/edit?usp=sharing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103" s="7" t="s">
        <v>23</v>
      </c>
    </row>
    <row r="15104" spans="1:10" ht="13.2">
      <c r="A15104" s="7">
        <v>15103</v>
      </c>
      <c r="B15104" s="7">
        <v>1</v>
      </c>
      <c r="C15104" s="7" t="s">
        <v>10</v>
      </c>
      <c r="D15104" s="7">
        <v>19542</v>
      </c>
      <c r="E15104" s="7" t="s">
        <v>23</v>
      </c>
      <c r="F15104" s="8" t="str">
        <f ca="1">IFERROR(__xludf.DUMMYFUNCTION("IF
(
C15105=""фізична особа""
,
VLOOKUP(D15105,IMPORTRANGE(""https://docs.google.com/spreadsheets/d/14Bd19lYaqBhU8_DElYkX7l4wRkHqqCUFNJY4AfY3kHU/edit?usp=sharing  #gid=0"",""фіз особи new!relations_name""),6,FALSE)
,
(IF
(
C15105=""юридична особа""
,
VLOO"&amp;"KUP(D15105,IMPORTRANGE(""https://docs.google.com/spreadsheets/d/14Bd19lYaqBhU8_DElYkX7l4wRkHqqCUFNJY4AfY3kHU/edit?usp=sharing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4" s="7" t="s">
        <v>10</v>
      </c>
      <c r="H15104" s="7">
        <v>19546</v>
      </c>
      <c r="I15104" s="8" t="str">
        <f ca="1">IFERROR(__xludf.DUMMYFUNCTION("IF
(
G15105=""фізична особа""
,
VLOOKUP(H15105,IMPORTRANGE(""https://docs.google.com/spreadsheets/d/14Bd19lYaqBhU8_DElYkX7l4wRkHqqCUFNJY4AfY3kHU/edit?usp=sharing  #gid=0"",""фіз особи new!relations_name""),6,FALSE)
,
(IF
(
G15105=""юридична особа""
,
VLOO"&amp;"KUP(H15105,IMPORTRANGE(""https://docs.google.com/spreadsheets/d/14Bd19lYaqBhU8_DElYkX7l4wRkHqqCUFNJY4AfY3kHU/edit?usp=sharing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104" s="7" t="s">
        <v>23</v>
      </c>
    </row>
    <row r="15105" spans="1:10" ht="13.2">
      <c r="A15105" s="7">
        <v>15104</v>
      </c>
      <c r="B15105" s="7">
        <v>1</v>
      </c>
      <c r="C15105" s="7" t="s">
        <v>10</v>
      </c>
      <c r="D15105" s="7">
        <v>19542</v>
      </c>
      <c r="E15105" s="7" t="s">
        <v>23</v>
      </c>
      <c r="F15105" s="8" t="str">
        <f ca="1">IFERROR(__xludf.DUMMYFUNCTION("IF
(
C15106=""фізична особа""
,
VLOOKUP(D15106,IMPORTRANGE(""https://docs.google.com/spreadsheets/d/14Bd19lYaqBhU8_DElYkX7l4wRkHqqCUFNJY4AfY3kHU/edit?usp=sharing  #gid=0"",""фіз особи new!relations_name""),6,FALSE)
,
(IF
(
C15106=""юридична особа""
,
VLOO"&amp;"KUP(D15106,IMPORTRANGE(""https://docs.google.com/spreadsheets/d/14Bd19lYaqBhU8_DElYkX7l4wRkHqqCUFNJY4AfY3kHU/edit?usp=sharing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G15105" s="7" t="s">
        <v>10</v>
      </c>
      <c r="H15105" s="7">
        <v>6682</v>
      </c>
      <c r="I15105" s="8" t="str">
        <f ca="1">IFERROR(__xludf.DUMMYFUNCTION("IF
(
G15106=""фізична особа""
,
VLOOKUP(H15106,IMPORTRANGE(""https://docs.google.com/spreadsheets/d/14Bd19lYaqBhU8_DElYkX7l4wRkHqqCUFNJY4AfY3kHU/edit?usp=sharing  #gid=0"",""фіз особи new!relations_name""),6,FALSE)
,
(IF
(
G15106=""юридична особа""
,
VLOO"&amp;"KUP(H15106,IMPORTRANGE(""https://docs.google.com/spreadsheets/d/14Bd19lYaqBhU8_DElYkX7l4wRkHqqCUFNJY4AfY3kHU/edit?usp=sharing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105" s="7" t="s">
        <v>23</v>
      </c>
    </row>
    <row r="15106" spans="1:10" ht="13.2">
      <c r="A15106" s="7">
        <v>15105</v>
      </c>
      <c r="B15106" s="7">
        <v>1</v>
      </c>
      <c r="C15106" s="7" t="s">
        <v>10</v>
      </c>
      <c r="D15106" s="7">
        <v>19543</v>
      </c>
      <c r="E15106" s="7" t="s">
        <v>23</v>
      </c>
      <c r="F15106" s="8" t="str">
        <f ca="1">IFERROR(__xludf.DUMMYFUNCTION("IF
(
C15107=""фізична особа""
,
VLOOKUP(D15107,IMPORTRANGE(""https://docs.google.com/spreadsheets/d/14Bd19lYaqBhU8_DElYkX7l4wRkHqqCUFNJY4AfY3kHU/edit?usp=sharing  #gid=0"",""фіз особи new!relations_name""),6,FALSE)
,
(IF
(
C15107=""юридична особа""
,
VLOO"&amp;"KUP(D15107,IMPORTRANGE(""https://docs.google.com/spreadsheets/d/14Bd19lYaqBhU8_DElYkX7l4wRkHqqCUFNJY4AfY3kHU/edit?usp=sharing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06" s="7" t="s">
        <v>10</v>
      </c>
      <c r="H15106" s="7">
        <v>19540</v>
      </c>
      <c r="I15106" s="8" t="str">
        <f ca="1">IFERROR(__xludf.DUMMYFUNCTION("IF
(
G15107=""фізична особа""
,
VLOOKUP(H15107,IMPORTRANGE(""https://docs.google.com/spreadsheets/d/14Bd19lYaqBhU8_DElYkX7l4wRkHqqCUFNJY4AfY3kHU/edit?usp=sharing  #gid=0"",""фіз особи new!relations_name""),6,FALSE)
,
(IF
(
G15107=""юридична особа""
,
VLOO"&amp;"KUP(H15107,IMPORTRANGE(""https://docs.google.com/spreadsheets/d/14Bd19lYaqBhU8_DElYkX7l4wRkHqqCUFNJY4AfY3kHU/edit?usp=sharing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106" s="7" t="s">
        <v>23</v>
      </c>
    </row>
    <row r="15107" spans="1:10" ht="13.2">
      <c r="A15107" s="7">
        <v>15106</v>
      </c>
      <c r="B15107" s="7">
        <v>1</v>
      </c>
      <c r="C15107" s="7" t="s">
        <v>10</v>
      </c>
      <c r="D15107" s="7">
        <v>19543</v>
      </c>
      <c r="E15107" s="7" t="s">
        <v>23</v>
      </c>
      <c r="F15107" s="8" t="str">
        <f ca="1">IFERROR(__xludf.DUMMYFUNCTION("IF
(
C15108=""фізична особа""
,
VLOOKUP(D15108,IMPORTRANGE(""https://docs.google.com/spreadsheets/d/14Bd19lYaqBhU8_DElYkX7l4wRkHqqCUFNJY4AfY3kHU/edit?usp=sharing  #gid=0"",""фіз особи new!relations_name""),6,FALSE)
,
(IF
(
C15108=""юридична особа""
,
VLOO"&amp;"KUP(D15108,IMPORTRANGE(""https://docs.google.com/spreadsheets/d/14Bd19lYaqBhU8_DElYkX7l4wRkHqqCUFNJY4AfY3kHU/edit?usp=sharing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07" s="7" t="s">
        <v>10</v>
      </c>
      <c r="H15107" s="7">
        <v>19541</v>
      </c>
      <c r="I15107" s="8" t="str">
        <f ca="1">IFERROR(__xludf.DUMMYFUNCTION("IF
(
G15108=""фізична особа""
,
VLOOKUP(H15108,IMPORTRANGE(""https://docs.google.com/spreadsheets/d/14Bd19lYaqBhU8_DElYkX7l4wRkHqqCUFNJY4AfY3kHU/edit?usp=sharing  #gid=0"",""фіз особи new!relations_name""),6,FALSE)
,
(IF
(
G15108=""юридична особа""
,
VLOO"&amp;"KUP(H15108,IMPORTRANGE(""https://docs.google.com/spreadsheets/d/14Bd19lYaqBhU8_DElYkX7l4wRkHqqCUFNJY4AfY3kHU/edit?usp=sharing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107" s="7" t="s">
        <v>23</v>
      </c>
    </row>
    <row r="15108" spans="1:10" ht="13.2">
      <c r="A15108" s="7">
        <v>15107</v>
      </c>
      <c r="B15108" s="7">
        <v>1</v>
      </c>
      <c r="C15108" s="7" t="s">
        <v>10</v>
      </c>
      <c r="D15108" s="7">
        <v>19543</v>
      </c>
      <c r="E15108" s="7" t="s">
        <v>23</v>
      </c>
      <c r="F15108" s="8" t="str">
        <f ca="1">IFERROR(__xludf.DUMMYFUNCTION("IF
(
C15109=""фізична особа""
,
VLOOKUP(D15109,IMPORTRANGE(""https://docs.google.com/spreadsheets/d/14Bd19lYaqBhU8_DElYkX7l4wRkHqqCUFNJY4AfY3kHU/edit?usp=sharing  #gid=0"",""фіз особи new!relations_name""),6,FALSE)
,
(IF
(
C15109=""юридична особа""
,
VLOO"&amp;"KUP(D15109,IMPORTRANGE(""https://docs.google.com/spreadsheets/d/14Bd19lYaqBhU8_DElYkX7l4wRkHqqCUFNJY4AfY3kHU/edit?usp=sharing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08" s="7" t="s">
        <v>10</v>
      </c>
      <c r="H15108" s="7">
        <v>19542</v>
      </c>
      <c r="I15108" s="8" t="str">
        <f ca="1">IFERROR(__xludf.DUMMYFUNCTION("IF
(
G15109=""фізична особа""
,
VLOOKUP(H15109,IMPORTRANGE(""https://docs.google.com/spreadsheets/d/14Bd19lYaqBhU8_DElYkX7l4wRkHqqCUFNJY4AfY3kHU/edit?usp=sharing  #gid=0"",""фіз особи new!relations_name""),6,FALSE)
,
(IF
(
G15109=""юридична особа""
,
VLOO"&amp;"KUP(H15109,IMPORTRANGE(""https://docs.google.com/spreadsheets/d/14Bd19lYaqBhU8_DElYkX7l4wRkHqqCUFNJY4AfY3kHU/edit?usp=sharing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108" s="7" t="s">
        <v>23</v>
      </c>
    </row>
    <row r="15109" spans="1:10" ht="13.2">
      <c r="A15109" s="7">
        <v>15108</v>
      </c>
      <c r="B15109" s="7">
        <v>1</v>
      </c>
      <c r="C15109" s="7" t="s">
        <v>10</v>
      </c>
      <c r="D15109" s="7">
        <v>19543</v>
      </c>
      <c r="E15109" s="7" t="s">
        <v>23</v>
      </c>
      <c r="F15109" s="8" t="str">
        <f ca="1">IFERROR(__xludf.DUMMYFUNCTION("IF
(
C15110=""фізична особа""
,
VLOOKUP(D15110,IMPORTRANGE(""https://docs.google.com/spreadsheets/d/14Bd19lYaqBhU8_DElYkX7l4wRkHqqCUFNJY4AfY3kHU/edit?usp=sharing  #gid=0"",""фіз особи new!relations_name""),6,FALSE)
,
(IF
(
C15110=""юридична особа""
,
VLOO"&amp;"KUP(D15110,IMPORTRANGE(""https://docs.google.com/spreadsheets/d/14Bd19lYaqBhU8_DElYkX7l4wRkHqqCUFNJY4AfY3kHU/edit?usp=sharing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09" s="7" t="s">
        <v>10</v>
      </c>
      <c r="H15109" s="7">
        <v>19544</v>
      </c>
      <c r="I15109" s="8" t="str">
        <f ca="1">IFERROR(__xludf.DUMMYFUNCTION("IF
(
G15110=""фізична особа""
,
VLOOKUP(H15110,IMPORTRANGE(""https://docs.google.com/spreadsheets/d/14Bd19lYaqBhU8_DElYkX7l4wRkHqqCUFNJY4AfY3kHU/edit?usp=sharing  #gid=0"",""фіз особи new!relations_name""),6,FALSE)
,
(IF
(
G15110=""юридична особа""
,
VLOO"&amp;"KUP(H15110,IMPORTRANGE(""https://docs.google.com/spreadsheets/d/14Bd19lYaqBhU8_DElYkX7l4wRkHqqCUFNJY4AfY3kHU/edit?usp=sharing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109" s="7" t="s">
        <v>23</v>
      </c>
    </row>
    <row r="15110" spans="1:10" ht="13.2">
      <c r="A15110" s="7">
        <v>15109</v>
      </c>
      <c r="B15110" s="7">
        <v>1</v>
      </c>
      <c r="C15110" s="7" t="s">
        <v>10</v>
      </c>
      <c r="D15110" s="7">
        <v>19543</v>
      </c>
      <c r="E15110" s="7" t="s">
        <v>23</v>
      </c>
      <c r="F15110" s="8" t="str">
        <f ca="1">IFERROR(__xludf.DUMMYFUNCTION("IF
(
C15111=""фізична особа""
,
VLOOKUP(D15111,IMPORTRANGE(""https://docs.google.com/spreadsheets/d/14Bd19lYaqBhU8_DElYkX7l4wRkHqqCUFNJY4AfY3kHU/edit?usp=sharing  #gid=0"",""фіз особи new!relations_name""),6,FALSE)
,
(IF
(
C15111=""юридична особа""
,
VLOO"&amp;"KUP(D15111,IMPORTRANGE(""https://docs.google.com/spreadsheets/d/14Bd19lYaqBhU8_DElYkX7l4wRkHqqCUFNJY4AfY3kHU/edit?usp=sharing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10" s="7" t="s">
        <v>10</v>
      </c>
      <c r="H15110" s="7">
        <v>19545</v>
      </c>
      <c r="I15110" s="8" t="str">
        <f ca="1">IFERROR(__xludf.DUMMYFUNCTION("IF
(
G15111=""фізична особа""
,
VLOOKUP(H15111,IMPORTRANGE(""https://docs.google.com/spreadsheets/d/14Bd19lYaqBhU8_DElYkX7l4wRkHqqCUFNJY4AfY3kHU/edit?usp=sharing  #gid=0"",""фіз особи new!relations_name""),6,FALSE)
,
(IF
(
G15111=""юридична особа""
,
VLOO"&amp;"KUP(H15111,IMPORTRANGE(""https://docs.google.com/spreadsheets/d/14Bd19lYaqBhU8_DElYkX7l4wRkHqqCUFNJY4AfY3kHU/edit?usp=sharing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110" s="7" t="s">
        <v>23</v>
      </c>
    </row>
    <row r="15111" spans="1:10" ht="13.2">
      <c r="A15111" s="7">
        <v>15110</v>
      </c>
      <c r="B15111" s="7">
        <v>1</v>
      </c>
      <c r="C15111" s="7" t="s">
        <v>10</v>
      </c>
      <c r="D15111" s="7">
        <v>19543</v>
      </c>
      <c r="E15111" s="7" t="s">
        <v>23</v>
      </c>
      <c r="F15111" s="8" t="str">
        <f ca="1">IFERROR(__xludf.DUMMYFUNCTION("IF
(
C15112=""фізична особа""
,
VLOOKUP(D15112,IMPORTRANGE(""https://docs.google.com/spreadsheets/d/14Bd19lYaqBhU8_DElYkX7l4wRkHqqCUFNJY4AfY3kHU/edit?usp=sharing  #gid=0"",""фіз особи new!relations_name""),6,FALSE)
,
(IF
(
C15112=""юридична особа""
,
VLOO"&amp;"KUP(D15112,IMPORTRANGE(""https://docs.google.com/spreadsheets/d/14Bd19lYaqBhU8_DElYkX7l4wRkHqqCUFNJY4AfY3kHU/edit?usp=sharing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11" s="7" t="s">
        <v>10</v>
      </c>
      <c r="H15111" s="7">
        <v>6680</v>
      </c>
      <c r="I15111" s="8" t="str">
        <f ca="1">IFERROR(__xludf.DUMMYFUNCTION("IF
(
G15112=""фізична особа""
,
VLOOKUP(H15112,IMPORTRANGE(""https://docs.google.com/spreadsheets/d/14Bd19lYaqBhU8_DElYkX7l4wRkHqqCUFNJY4AfY3kHU/edit?usp=sharing  #gid=0"",""фіз особи new!relations_name""),6,FALSE)
,
(IF
(
G15112=""юридична особа""
,
VLOO"&amp;"KUP(H15112,IMPORTRANGE(""https://docs.google.com/spreadsheets/d/14Bd19lYaqBhU8_DElYkX7l4wRkHqqCUFNJY4AfY3kHU/edit?usp=sharing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111" s="7" t="s">
        <v>23</v>
      </c>
    </row>
    <row r="15112" spans="1:10" ht="13.2">
      <c r="A15112" s="7">
        <v>15111</v>
      </c>
      <c r="B15112" s="7">
        <v>1</v>
      </c>
      <c r="C15112" s="7" t="s">
        <v>10</v>
      </c>
      <c r="D15112" s="7">
        <v>19543</v>
      </c>
      <c r="E15112" s="7" t="s">
        <v>23</v>
      </c>
      <c r="F15112" s="8" t="str">
        <f ca="1">IFERROR(__xludf.DUMMYFUNCTION("IF
(
C15113=""фізична особа""
,
VLOOKUP(D15113,IMPORTRANGE(""https://docs.google.com/spreadsheets/d/14Bd19lYaqBhU8_DElYkX7l4wRkHqqCUFNJY4AfY3kHU/edit?usp=sharing  #gid=0"",""фіз особи new!relations_name""),6,FALSE)
,
(IF
(
C15113=""юридична особа""
,
VLOO"&amp;"KUP(D15113,IMPORTRANGE(""https://docs.google.com/spreadsheets/d/14Bd19lYaqBhU8_DElYkX7l4wRkHqqCUFNJY4AfY3kHU/edit?usp=sharing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12" s="7" t="s">
        <v>10</v>
      </c>
      <c r="H15112" s="7">
        <v>19546</v>
      </c>
      <c r="I15112" s="8" t="str">
        <f ca="1">IFERROR(__xludf.DUMMYFUNCTION("IF
(
G15113=""фізична особа""
,
VLOOKUP(H15113,IMPORTRANGE(""https://docs.google.com/spreadsheets/d/14Bd19lYaqBhU8_DElYkX7l4wRkHqqCUFNJY4AfY3kHU/edit?usp=sharing  #gid=0"",""фіз особи new!relations_name""),6,FALSE)
,
(IF
(
G15113=""юридична особа""
,
VLOO"&amp;"KUP(H15113,IMPORTRANGE(""https://docs.google.com/spreadsheets/d/14Bd19lYaqBhU8_DElYkX7l4wRkHqqCUFNJY4AfY3kHU/edit?usp=sharing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112" s="7" t="s">
        <v>23</v>
      </c>
    </row>
    <row r="15113" spans="1:10" ht="13.2">
      <c r="A15113" s="7">
        <v>15112</v>
      </c>
      <c r="B15113" s="7">
        <v>1</v>
      </c>
      <c r="C15113" s="7" t="s">
        <v>10</v>
      </c>
      <c r="D15113" s="7">
        <v>19543</v>
      </c>
      <c r="E15113" s="7" t="s">
        <v>23</v>
      </c>
      <c r="F15113" s="8" t="str">
        <f ca="1">IFERROR(__xludf.DUMMYFUNCTION("IF
(
C15114=""фізична особа""
,
VLOOKUP(D15114,IMPORTRANGE(""https://docs.google.com/spreadsheets/d/14Bd19lYaqBhU8_DElYkX7l4wRkHqqCUFNJY4AfY3kHU/edit?usp=sharing  #gid=0"",""фіз особи new!relations_name""),6,FALSE)
,
(IF
(
C15114=""юридична особа""
,
VLOO"&amp;"KUP(D15114,IMPORTRANGE(""https://docs.google.com/spreadsheets/d/14Bd19lYaqBhU8_DElYkX7l4wRkHqqCUFNJY4AfY3kHU/edit?usp=sharing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G15113" s="7" t="s">
        <v>10</v>
      </c>
      <c r="H15113" s="7">
        <v>6682</v>
      </c>
      <c r="I15113" s="8" t="str">
        <f ca="1">IFERROR(__xludf.DUMMYFUNCTION("IF
(
G15114=""фізична особа""
,
VLOOKUP(H15114,IMPORTRANGE(""https://docs.google.com/spreadsheets/d/14Bd19lYaqBhU8_DElYkX7l4wRkHqqCUFNJY4AfY3kHU/edit?usp=sharing  #gid=0"",""фіз особи new!relations_name""),6,FALSE)
,
(IF
(
G15114=""юридична особа""
,
VLOO"&amp;"KUP(H15114,IMPORTRANGE(""https://docs.google.com/spreadsheets/d/14Bd19lYaqBhU8_DElYkX7l4wRkHqqCUFNJY4AfY3kHU/edit?usp=sharing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113" s="7" t="s">
        <v>23</v>
      </c>
    </row>
    <row r="15114" spans="1:10" ht="13.2">
      <c r="A15114" s="7">
        <v>15113</v>
      </c>
      <c r="B15114" s="7">
        <v>1</v>
      </c>
      <c r="C15114" s="7" t="s">
        <v>10</v>
      </c>
      <c r="D15114" s="7">
        <v>19544</v>
      </c>
      <c r="E15114" s="7" t="s">
        <v>23</v>
      </c>
      <c r="F15114" s="8" t="str">
        <f ca="1">IFERROR(__xludf.DUMMYFUNCTION("IF
(
C15115=""фізична особа""
,
VLOOKUP(D15115,IMPORTRANGE(""https://docs.google.com/spreadsheets/d/14Bd19lYaqBhU8_DElYkX7l4wRkHqqCUFNJY4AfY3kHU/edit?usp=sharing  #gid=0"",""фіз особи new!relations_name""),6,FALSE)
,
(IF
(
C15115=""юридична особа""
,
VLOO"&amp;"KUP(D15115,IMPORTRANGE(""https://docs.google.com/spreadsheets/d/14Bd19lYaqBhU8_DElYkX7l4wRkHqqCUFNJY4AfY3kHU/edit?usp=sharing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4" s="7" t="s">
        <v>10</v>
      </c>
      <c r="H15114" s="7">
        <v>19540</v>
      </c>
      <c r="I15114" s="8" t="str">
        <f ca="1">IFERROR(__xludf.DUMMYFUNCTION("IF
(
G15115=""фізична особа""
,
VLOOKUP(H15115,IMPORTRANGE(""https://docs.google.com/spreadsheets/d/14Bd19lYaqBhU8_DElYkX7l4wRkHqqCUFNJY4AfY3kHU/edit?usp=sharing  #gid=0"",""фіз особи new!relations_name""),6,FALSE)
,
(IF
(
G15115=""юридична особа""
,
VLOO"&amp;"KUP(H15115,IMPORTRANGE(""https://docs.google.com/spreadsheets/d/14Bd19lYaqBhU8_DElYkX7l4wRkHqqCUFNJY4AfY3kHU/edit?usp=sharing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114" s="7" t="s">
        <v>23</v>
      </c>
    </row>
    <row r="15115" spans="1:10" ht="13.2">
      <c r="A15115" s="7">
        <v>15114</v>
      </c>
      <c r="B15115" s="7">
        <v>1</v>
      </c>
      <c r="C15115" s="7" t="s">
        <v>10</v>
      </c>
      <c r="D15115" s="7">
        <v>19544</v>
      </c>
      <c r="E15115" s="7" t="s">
        <v>23</v>
      </c>
      <c r="F15115" s="8" t="str">
        <f ca="1">IFERROR(__xludf.DUMMYFUNCTION("IF
(
C15116=""фізична особа""
,
VLOOKUP(D15116,IMPORTRANGE(""https://docs.google.com/spreadsheets/d/14Bd19lYaqBhU8_DElYkX7l4wRkHqqCUFNJY4AfY3kHU/edit?usp=sharing  #gid=0"",""фіз особи new!relations_name""),6,FALSE)
,
(IF
(
C15116=""юридична особа""
,
VLOO"&amp;"KUP(D15116,IMPORTRANGE(""https://docs.google.com/spreadsheets/d/14Bd19lYaqBhU8_DElYkX7l4wRkHqqCUFNJY4AfY3kHU/edit?usp=sharing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5" s="7" t="s">
        <v>10</v>
      </c>
      <c r="H15115" s="7">
        <v>19541</v>
      </c>
      <c r="I15115" s="8" t="str">
        <f ca="1">IFERROR(__xludf.DUMMYFUNCTION("IF
(
G15116=""фізична особа""
,
VLOOKUP(H15116,IMPORTRANGE(""https://docs.google.com/spreadsheets/d/14Bd19lYaqBhU8_DElYkX7l4wRkHqqCUFNJY4AfY3kHU/edit?usp=sharing  #gid=0"",""фіз особи new!relations_name""),6,FALSE)
,
(IF
(
G15116=""юридична особа""
,
VLOO"&amp;"KUP(H15116,IMPORTRANGE(""https://docs.google.com/spreadsheets/d/14Bd19lYaqBhU8_DElYkX7l4wRkHqqCUFNJY4AfY3kHU/edit?usp=sharing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115" s="7" t="s">
        <v>23</v>
      </c>
    </row>
    <row r="15116" spans="1:10" ht="13.2">
      <c r="A15116" s="7">
        <v>15115</v>
      </c>
      <c r="B15116" s="7">
        <v>1</v>
      </c>
      <c r="C15116" s="7" t="s">
        <v>10</v>
      </c>
      <c r="D15116" s="7">
        <v>19544</v>
      </c>
      <c r="E15116" s="7" t="s">
        <v>23</v>
      </c>
      <c r="F15116" s="8" t="str">
        <f ca="1">IFERROR(__xludf.DUMMYFUNCTION("IF
(
C15117=""фізична особа""
,
VLOOKUP(D15117,IMPORTRANGE(""https://docs.google.com/spreadsheets/d/14Bd19lYaqBhU8_DElYkX7l4wRkHqqCUFNJY4AfY3kHU/edit?usp=sharing  #gid=0"",""фіз особи new!relations_name""),6,FALSE)
,
(IF
(
C15117=""юридична особа""
,
VLOO"&amp;"KUP(D15117,IMPORTRANGE(""https://docs.google.com/spreadsheets/d/14Bd19lYaqBhU8_DElYkX7l4wRkHqqCUFNJY4AfY3kHU/edit?usp=sharing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6" s="7" t="s">
        <v>10</v>
      </c>
      <c r="H15116" s="7">
        <v>19542</v>
      </c>
      <c r="I15116" s="8" t="str">
        <f ca="1">IFERROR(__xludf.DUMMYFUNCTION("IF
(
G15117=""фізична особа""
,
VLOOKUP(H15117,IMPORTRANGE(""https://docs.google.com/spreadsheets/d/14Bd19lYaqBhU8_DElYkX7l4wRkHqqCUFNJY4AfY3kHU/edit?usp=sharing  #gid=0"",""фіз особи new!relations_name""),6,FALSE)
,
(IF
(
G15117=""юридична особа""
,
VLOO"&amp;"KUP(H15117,IMPORTRANGE(""https://docs.google.com/spreadsheets/d/14Bd19lYaqBhU8_DElYkX7l4wRkHqqCUFNJY4AfY3kHU/edit?usp=sharing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116" s="7" t="s">
        <v>23</v>
      </c>
    </row>
    <row r="15117" spans="1:10" ht="13.2">
      <c r="A15117" s="7">
        <v>15116</v>
      </c>
      <c r="B15117" s="7">
        <v>1</v>
      </c>
      <c r="C15117" s="7" t="s">
        <v>10</v>
      </c>
      <c r="D15117" s="7">
        <v>19544</v>
      </c>
      <c r="E15117" s="7" t="s">
        <v>23</v>
      </c>
      <c r="F15117" s="8" t="str">
        <f ca="1">IFERROR(__xludf.DUMMYFUNCTION("IF
(
C15118=""фізична особа""
,
VLOOKUP(D15118,IMPORTRANGE(""https://docs.google.com/spreadsheets/d/14Bd19lYaqBhU8_DElYkX7l4wRkHqqCUFNJY4AfY3kHU/edit?usp=sharing  #gid=0"",""фіз особи new!relations_name""),6,FALSE)
,
(IF
(
C15118=""юридична особа""
,
VLOO"&amp;"KUP(D15118,IMPORTRANGE(""https://docs.google.com/spreadsheets/d/14Bd19lYaqBhU8_DElYkX7l4wRkHqqCUFNJY4AfY3kHU/edit?usp=sharing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7" s="7" t="s">
        <v>10</v>
      </c>
      <c r="H15117" s="7">
        <v>19543</v>
      </c>
      <c r="I15117" s="8" t="str">
        <f ca="1">IFERROR(__xludf.DUMMYFUNCTION("IF
(
G15118=""фізична особа""
,
VLOOKUP(H15118,IMPORTRANGE(""https://docs.google.com/spreadsheets/d/14Bd19lYaqBhU8_DElYkX7l4wRkHqqCUFNJY4AfY3kHU/edit?usp=sharing  #gid=0"",""фіз особи new!relations_name""),6,FALSE)
,
(IF
(
G15118=""юридична особа""
,
VLOO"&amp;"KUP(H15118,IMPORTRANGE(""https://docs.google.com/spreadsheets/d/14Bd19lYaqBhU8_DElYkX7l4wRkHqqCUFNJY4AfY3kHU/edit?usp=sharing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117" s="7" t="s">
        <v>23</v>
      </c>
    </row>
    <row r="15118" spans="1:10" ht="13.2">
      <c r="A15118" s="7">
        <v>15117</v>
      </c>
      <c r="B15118" s="7">
        <v>1</v>
      </c>
      <c r="C15118" s="7" t="s">
        <v>10</v>
      </c>
      <c r="D15118" s="7">
        <v>19544</v>
      </c>
      <c r="E15118" s="7" t="s">
        <v>23</v>
      </c>
      <c r="F15118" s="8" t="str">
        <f ca="1">IFERROR(__xludf.DUMMYFUNCTION("IF
(
C15119=""фізична особа""
,
VLOOKUP(D15119,IMPORTRANGE(""https://docs.google.com/spreadsheets/d/14Bd19lYaqBhU8_DElYkX7l4wRkHqqCUFNJY4AfY3kHU/edit?usp=sharing  #gid=0"",""фіз особи new!relations_name""),6,FALSE)
,
(IF
(
C15119=""юридична особа""
,
VLOO"&amp;"KUP(D15119,IMPORTRANGE(""https://docs.google.com/spreadsheets/d/14Bd19lYaqBhU8_DElYkX7l4wRkHqqCUFNJY4AfY3kHU/edit?usp=sharing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8" s="7" t="s">
        <v>10</v>
      </c>
      <c r="H15118" s="7">
        <v>19545</v>
      </c>
      <c r="I15118" s="8" t="str">
        <f ca="1">IFERROR(__xludf.DUMMYFUNCTION("IF
(
G15119=""фізична особа""
,
VLOOKUP(H15119,IMPORTRANGE(""https://docs.google.com/spreadsheets/d/14Bd19lYaqBhU8_DElYkX7l4wRkHqqCUFNJY4AfY3kHU/edit?usp=sharing  #gid=0"",""фіз особи new!relations_name""),6,FALSE)
,
(IF
(
G15119=""юридична особа""
,
VLOO"&amp;"KUP(H15119,IMPORTRANGE(""https://docs.google.com/spreadsheets/d/14Bd19lYaqBhU8_DElYkX7l4wRkHqqCUFNJY4AfY3kHU/edit?usp=sharing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118" s="7" t="s">
        <v>23</v>
      </c>
    </row>
    <row r="15119" spans="1:10" ht="13.2">
      <c r="A15119" s="7">
        <v>15118</v>
      </c>
      <c r="B15119" s="7">
        <v>1</v>
      </c>
      <c r="C15119" s="7" t="s">
        <v>10</v>
      </c>
      <c r="D15119" s="7">
        <v>19544</v>
      </c>
      <c r="E15119" s="7" t="s">
        <v>23</v>
      </c>
      <c r="F15119" s="8" t="str">
        <f ca="1">IFERROR(__xludf.DUMMYFUNCTION("IF
(
C15120=""фізична особа""
,
VLOOKUP(D15120,IMPORTRANGE(""https://docs.google.com/spreadsheets/d/14Bd19lYaqBhU8_DElYkX7l4wRkHqqCUFNJY4AfY3kHU/edit?usp=sharing  #gid=0"",""фіз особи new!relations_name""),6,FALSE)
,
(IF
(
C15120=""юридична особа""
,
VLOO"&amp;"KUP(D15120,IMPORTRANGE(""https://docs.google.com/spreadsheets/d/14Bd19lYaqBhU8_DElYkX7l4wRkHqqCUFNJY4AfY3kHU/edit?usp=sharing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19" s="7" t="s">
        <v>10</v>
      </c>
      <c r="H15119" s="7">
        <v>6680</v>
      </c>
      <c r="I15119" s="8" t="str">
        <f ca="1">IFERROR(__xludf.DUMMYFUNCTION("IF
(
G15120=""фізична особа""
,
VLOOKUP(H15120,IMPORTRANGE(""https://docs.google.com/spreadsheets/d/14Bd19lYaqBhU8_DElYkX7l4wRkHqqCUFNJY4AfY3kHU/edit?usp=sharing  #gid=0"",""фіз особи new!relations_name""),6,FALSE)
,
(IF
(
G15120=""юридична особа""
,
VLOO"&amp;"KUP(H15120,IMPORTRANGE(""https://docs.google.com/spreadsheets/d/14Bd19lYaqBhU8_DElYkX7l4wRkHqqCUFNJY4AfY3kHU/edit?usp=sharing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119" s="7" t="s">
        <v>23</v>
      </c>
    </row>
    <row r="15120" spans="1:10" ht="13.2">
      <c r="A15120" s="7">
        <v>15119</v>
      </c>
      <c r="B15120" s="7">
        <v>1</v>
      </c>
      <c r="C15120" s="7" t="s">
        <v>10</v>
      </c>
      <c r="D15120" s="7">
        <v>19544</v>
      </c>
      <c r="E15120" s="7" t="s">
        <v>23</v>
      </c>
      <c r="F15120" s="8" t="str">
        <f ca="1">IFERROR(__xludf.DUMMYFUNCTION("IF
(
C15121=""фізична особа""
,
VLOOKUP(D15121,IMPORTRANGE(""https://docs.google.com/spreadsheets/d/14Bd19lYaqBhU8_DElYkX7l4wRkHqqCUFNJY4AfY3kHU/edit?usp=sharing  #gid=0"",""фіз особи new!relations_name""),6,FALSE)
,
(IF
(
C15121=""юридична особа""
,
VLOO"&amp;"KUP(D15121,IMPORTRANGE(""https://docs.google.com/spreadsheets/d/14Bd19lYaqBhU8_DElYkX7l4wRkHqqCUFNJY4AfY3kHU/edit?usp=sharing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20" s="7" t="s">
        <v>10</v>
      </c>
      <c r="H15120" s="7">
        <v>19546</v>
      </c>
      <c r="I15120" s="8" t="str">
        <f ca="1">IFERROR(__xludf.DUMMYFUNCTION("IF
(
G15121=""фізична особа""
,
VLOOKUP(H15121,IMPORTRANGE(""https://docs.google.com/spreadsheets/d/14Bd19lYaqBhU8_DElYkX7l4wRkHqqCUFNJY4AfY3kHU/edit?usp=sharing  #gid=0"",""фіз особи new!relations_name""),6,FALSE)
,
(IF
(
G15121=""юридична особа""
,
VLOO"&amp;"KUP(H15121,IMPORTRANGE(""https://docs.google.com/spreadsheets/d/14Bd19lYaqBhU8_DElYkX7l4wRkHqqCUFNJY4AfY3kHU/edit?usp=sharing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120" s="7" t="s">
        <v>23</v>
      </c>
    </row>
    <row r="15121" spans="1:10" ht="13.2">
      <c r="A15121" s="7">
        <v>15120</v>
      </c>
      <c r="B15121" s="7">
        <v>1</v>
      </c>
      <c r="C15121" s="7" t="s">
        <v>10</v>
      </c>
      <c r="D15121" s="7">
        <v>19544</v>
      </c>
      <c r="E15121" s="7" t="s">
        <v>23</v>
      </c>
      <c r="F15121" s="8" t="str">
        <f ca="1">IFERROR(__xludf.DUMMYFUNCTION("IF
(
C15122=""фізична особа""
,
VLOOKUP(D15122,IMPORTRANGE(""https://docs.google.com/spreadsheets/d/14Bd19lYaqBhU8_DElYkX7l4wRkHqqCUFNJY4AfY3kHU/edit?usp=sharing  #gid=0"",""фіз особи new!relations_name""),6,FALSE)
,
(IF
(
C15122=""юридична особа""
,
VLOO"&amp;"KUP(D15122,IMPORTRANGE(""https://docs.google.com/spreadsheets/d/14Bd19lYaqBhU8_DElYkX7l4wRkHqqCUFNJY4AfY3kHU/edit?usp=sharing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G15121" s="7" t="s">
        <v>10</v>
      </c>
      <c r="H15121" s="7">
        <v>6682</v>
      </c>
      <c r="I15121" s="8" t="str">
        <f ca="1">IFERROR(__xludf.DUMMYFUNCTION("IF
(
G15122=""фізична особа""
,
VLOOKUP(H15122,IMPORTRANGE(""https://docs.google.com/spreadsheets/d/14Bd19lYaqBhU8_DElYkX7l4wRkHqqCUFNJY4AfY3kHU/edit?usp=sharing  #gid=0"",""фіз особи new!relations_name""),6,FALSE)
,
(IF
(
G15122=""юридична особа""
,
VLOO"&amp;"KUP(H15122,IMPORTRANGE(""https://docs.google.com/spreadsheets/d/14Bd19lYaqBhU8_DElYkX7l4wRkHqqCUFNJY4AfY3kHU/edit?usp=sharing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121" s="7" t="s">
        <v>23</v>
      </c>
    </row>
    <row r="15122" spans="1:10" ht="13.2">
      <c r="A15122" s="7">
        <v>15121</v>
      </c>
      <c r="B15122" s="7">
        <v>1</v>
      </c>
      <c r="C15122" s="7" t="s">
        <v>10</v>
      </c>
      <c r="D15122" s="7">
        <v>19545</v>
      </c>
      <c r="E15122" s="7" t="s">
        <v>23</v>
      </c>
      <c r="F15122" s="8" t="str">
        <f ca="1">IFERROR(__xludf.DUMMYFUNCTION("IF
(
C15123=""фізична особа""
,
VLOOKUP(D15123,IMPORTRANGE(""https://docs.google.com/spreadsheets/d/14Bd19lYaqBhU8_DElYkX7l4wRkHqqCUFNJY4AfY3kHU/edit?usp=sharing  #gid=0"",""фіз особи new!relations_name""),6,FALSE)
,
(IF
(
C15123=""юридична особа""
,
VLOO"&amp;"KUP(D15123,IMPORTRANGE(""https://docs.google.com/spreadsheets/d/14Bd19lYaqBhU8_DElYkX7l4wRkHqqCUFNJY4AfY3kHU/edit?usp=sharing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2" s="7" t="s">
        <v>10</v>
      </c>
      <c r="H15122" s="7">
        <v>19540</v>
      </c>
      <c r="I15122" s="8" t="str">
        <f ca="1">IFERROR(__xludf.DUMMYFUNCTION("IF
(
G15123=""фізична особа""
,
VLOOKUP(H15123,IMPORTRANGE(""https://docs.google.com/spreadsheets/d/14Bd19lYaqBhU8_DElYkX7l4wRkHqqCUFNJY4AfY3kHU/edit?usp=sharing  #gid=0"",""фіз особи new!relations_name""),6,FALSE)
,
(IF
(
G15123=""юридична особа""
,
VLOO"&amp;"KUP(H15123,IMPORTRANGE(""https://docs.google.com/spreadsheets/d/14Bd19lYaqBhU8_DElYkX7l4wRkHqqCUFNJY4AfY3kHU/edit?usp=sharing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122" s="7" t="s">
        <v>23</v>
      </c>
    </row>
    <row r="15123" spans="1:10" ht="13.2">
      <c r="A15123" s="7">
        <v>15122</v>
      </c>
      <c r="B15123" s="7">
        <v>1</v>
      </c>
      <c r="C15123" s="7" t="s">
        <v>10</v>
      </c>
      <c r="D15123" s="7">
        <v>19545</v>
      </c>
      <c r="E15123" s="7" t="s">
        <v>23</v>
      </c>
      <c r="F15123" s="8" t="str">
        <f ca="1">IFERROR(__xludf.DUMMYFUNCTION("IF
(
C15124=""фізична особа""
,
VLOOKUP(D15124,IMPORTRANGE(""https://docs.google.com/spreadsheets/d/14Bd19lYaqBhU8_DElYkX7l4wRkHqqCUFNJY4AfY3kHU/edit?usp=sharing  #gid=0"",""фіз особи new!relations_name""),6,FALSE)
,
(IF
(
C15124=""юридична особа""
,
VLOO"&amp;"KUP(D15124,IMPORTRANGE(""https://docs.google.com/spreadsheets/d/14Bd19lYaqBhU8_DElYkX7l4wRkHqqCUFNJY4AfY3kHU/edit?usp=sharing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3" s="7" t="s">
        <v>10</v>
      </c>
      <c r="H15123" s="7">
        <v>19541</v>
      </c>
      <c r="I15123" s="8" t="str">
        <f ca="1">IFERROR(__xludf.DUMMYFUNCTION("IF
(
G15124=""фізична особа""
,
VLOOKUP(H15124,IMPORTRANGE(""https://docs.google.com/spreadsheets/d/14Bd19lYaqBhU8_DElYkX7l4wRkHqqCUFNJY4AfY3kHU/edit?usp=sharing  #gid=0"",""фіз особи new!relations_name""),6,FALSE)
,
(IF
(
G15124=""юридична особа""
,
VLOO"&amp;"KUP(H15124,IMPORTRANGE(""https://docs.google.com/spreadsheets/d/14Bd19lYaqBhU8_DElYkX7l4wRkHqqCUFNJY4AfY3kHU/edit?usp=sharing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123" s="7" t="s">
        <v>23</v>
      </c>
    </row>
    <row r="15124" spans="1:10" ht="13.2">
      <c r="A15124" s="7">
        <v>15123</v>
      </c>
      <c r="B15124" s="7">
        <v>1</v>
      </c>
      <c r="C15124" s="7" t="s">
        <v>10</v>
      </c>
      <c r="D15124" s="7">
        <v>19545</v>
      </c>
      <c r="E15124" s="7" t="s">
        <v>23</v>
      </c>
      <c r="F15124" s="8" t="str">
        <f ca="1">IFERROR(__xludf.DUMMYFUNCTION("IF
(
C15125=""фізична особа""
,
VLOOKUP(D15125,IMPORTRANGE(""https://docs.google.com/spreadsheets/d/14Bd19lYaqBhU8_DElYkX7l4wRkHqqCUFNJY4AfY3kHU/edit?usp=sharing  #gid=0"",""фіз особи new!relations_name""),6,FALSE)
,
(IF
(
C15125=""юридична особа""
,
VLOO"&amp;"KUP(D15125,IMPORTRANGE(""https://docs.google.com/spreadsheets/d/14Bd19lYaqBhU8_DElYkX7l4wRkHqqCUFNJY4AfY3kHU/edit?usp=sharing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4" s="7" t="s">
        <v>10</v>
      </c>
      <c r="H15124" s="7">
        <v>19542</v>
      </c>
      <c r="I15124" s="8" t="str">
        <f ca="1">IFERROR(__xludf.DUMMYFUNCTION("IF
(
G15125=""фізична особа""
,
VLOOKUP(H15125,IMPORTRANGE(""https://docs.google.com/spreadsheets/d/14Bd19lYaqBhU8_DElYkX7l4wRkHqqCUFNJY4AfY3kHU/edit?usp=sharing  #gid=0"",""фіз особи new!relations_name""),6,FALSE)
,
(IF
(
G15125=""юридична особа""
,
VLOO"&amp;"KUP(H15125,IMPORTRANGE(""https://docs.google.com/spreadsheets/d/14Bd19lYaqBhU8_DElYkX7l4wRkHqqCUFNJY4AfY3kHU/edit?usp=sharing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124" s="7" t="s">
        <v>23</v>
      </c>
    </row>
    <row r="15125" spans="1:10" ht="13.2">
      <c r="A15125" s="7">
        <v>15124</v>
      </c>
      <c r="B15125" s="7">
        <v>1</v>
      </c>
      <c r="C15125" s="7" t="s">
        <v>10</v>
      </c>
      <c r="D15125" s="7">
        <v>19545</v>
      </c>
      <c r="E15125" s="7" t="s">
        <v>23</v>
      </c>
      <c r="F15125" s="8" t="str">
        <f ca="1">IFERROR(__xludf.DUMMYFUNCTION("IF
(
C15126=""фізична особа""
,
VLOOKUP(D15126,IMPORTRANGE(""https://docs.google.com/spreadsheets/d/14Bd19lYaqBhU8_DElYkX7l4wRkHqqCUFNJY4AfY3kHU/edit?usp=sharing  #gid=0"",""фіз особи new!relations_name""),6,FALSE)
,
(IF
(
C15126=""юридична особа""
,
VLOO"&amp;"KUP(D15126,IMPORTRANGE(""https://docs.google.com/spreadsheets/d/14Bd19lYaqBhU8_DElYkX7l4wRkHqqCUFNJY4AfY3kHU/edit?usp=sharing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5" s="7" t="s">
        <v>10</v>
      </c>
      <c r="H15125" s="7">
        <v>19543</v>
      </c>
      <c r="I15125" s="8" t="str">
        <f ca="1">IFERROR(__xludf.DUMMYFUNCTION("IF
(
G15126=""фізична особа""
,
VLOOKUP(H15126,IMPORTRANGE(""https://docs.google.com/spreadsheets/d/14Bd19lYaqBhU8_DElYkX7l4wRkHqqCUFNJY4AfY3kHU/edit?usp=sharing  #gid=0"",""фіз особи new!relations_name""),6,FALSE)
,
(IF
(
G15126=""юридична особа""
,
VLOO"&amp;"KUP(H15126,IMPORTRANGE(""https://docs.google.com/spreadsheets/d/14Bd19lYaqBhU8_DElYkX7l4wRkHqqCUFNJY4AfY3kHU/edit?usp=sharing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125" s="7" t="s">
        <v>23</v>
      </c>
    </row>
    <row r="15126" spans="1:10" ht="13.2">
      <c r="A15126" s="7">
        <v>15125</v>
      </c>
      <c r="B15126" s="7">
        <v>1</v>
      </c>
      <c r="C15126" s="7" t="s">
        <v>10</v>
      </c>
      <c r="D15126" s="7">
        <v>19545</v>
      </c>
      <c r="E15126" s="7" t="s">
        <v>23</v>
      </c>
      <c r="F15126" s="8" t="str">
        <f ca="1">IFERROR(__xludf.DUMMYFUNCTION("IF
(
C15127=""фізична особа""
,
VLOOKUP(D15127,IMPORTRANGE(""https://docs.google.com/spreadsheets/d/14Bd19lYaqBhU8_DElYkX7l4wRkHqqCUFNJY4AfY3kHU/edit?usp=sharing  #gid=0"",""фіз особи new!relations_name""),6,FALSE)
,
(IF
(
C15127=""юридична особа""
,
VLOO"&amp;"KUP(D15127,IMPORTRANGE(""https://docs.google.com/spreadsheets/d/14Bd19lYaqBhU8_DElYkX7l4wRkHqqCUFNJY4AfY3kHU/edit?usp=sharing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6" s="7" t="s">
        <v>10</v>
      </c>
      <c r="H15126" s="7">
        <v>19544</v>
      </c>
      <c r="I15126" s="8" t="str">
        <f ca="1">IFERROR(__xludf.DUMMYFUNCTION("IF
(
G15127=""фізична особа""
,
VLOOKUP(H15127,IMPORTRANGE(""https://docs.google.com/spreadsheets/d/14Bd19lYaqBhU8_DElYkX7l4wRkHqqCUFNJY4AfY3kHU/edit?usp=sharing  #gid=0"",""фіз особи new!relations_name""),6,FALSE)
,
(IF
(
G15127=""юридична особа""
,
VLOO"&amp;"KUP(H15127,IMPORTRANGE(""https://docs.google.com/spreadsheets/d/14Bd19lYaqBhU8_DElYkX7l4wRkHqqCUFNJY4AfY3kHU/edit?usp=sharing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126" s="7" t="s">
        <v>23</v>
      </c>
    </row>
    <row r="15127" spans="1:10" ht="13.2">
      <c r="A15127" s="7">
        <v>15126</v>
      </c>
      <c r="B15127" s="7">
        <v>1</v>
      </c>
      <c r="C15127" s="7" t="s">
        <v>10</v>
      </c>
      <c r="D15127" s="7">
        <v>19545</v>
      </c>
      <c r="E15127" s="7" t="s">
        <v>23</v>
      </c>
      <c r="F15127" s="8" t="str">
        <f ca="1">IFERROR(__xludf.DUMMYFUNCTION("IF
(
C15128=""фізична особа""
,
VLOOKUP(D15128,IMPORTRANGE(""https://docs.google.com/spreadsheets/d/14Bd19lYaqBhU8_DElYkX7l4wRkHqqCUFNJY4AfY3kHU/edit?usp=sharing  #gid=0"",""фіз особи new!relations_name""),6,FALSE)
,
(IF
(
C15128=""юридична особа""
,
VLOO"&amp;"KUP(D15128,IMPORTRANGE(""https://docs.google.com/spreadsheets/d/14Bd19lYaqBhU8_DElYkX7l4wRkHqqCUFNJY4AfY3kHU/edit?usp=sharing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7" s="7" t="s">
        <v>10</v>
      </c>
      <c r="H15127" s="7">
        <v>6680</v>
      </c>
      <c r="I15127" s="8" t="str">
        <f ca="1">IFERROR(__xludf.DUMMYFUNCTION("IF
(
G15128=""фізична особа""
,
VLOOKUP(H15128,IMPORTRANGE(""https://docs.google.com/spreadsheets/d/14Bd19lYaqBhU8_DElYkX7l4wRkHqqCUFNJY4AfY3kHU/edit?usp=sharing  #gid=0"",""фіз особи new!relations_name""),6,FALSE)
,
(IF
(
G15128=""юридична особа""
,
VLOO"&amp;"KUP(H15128,IMPORTRANGE(""https://docs.google.com/spreadsheets/d/14Bd19lYaqBhU8_DElYkX7l4wRkHqqCUFNJY4AfY3kHU/edit?usp=sharing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127" s="7" t="s">
        <v>23</v>
      </c>
    </row>
    <row r="15128" spans="1:10" ht="13.2">
      <c r="A15128" s="7">
        <v>15127</v>
      </c>
      <c r="B15128" s="7">
        <v>1</v>
      </c>
      <c r="C15128" s="7" t="s">
        <v>10</v>
      </c>
      <c r="D15128" s="7">
        <v>19545</v>
      </c>
      <c r="E15128" s="7" t="s">
        <v>23</v>
      </c>
      <c r="F15128" s="8" t="str">
        <f ca="1">IFERROR(__xludf.DUMMYFUNCTION("IF
(
C15129=""фізична особа""
,
VLOOKUP(D15129,IMPORTRANGE(""https://docs.google.com/spreadsheets/d/14Bd19lYaqBhU8_DElYkX7l4wRkHqqCUFNJY4AfY3kHU/edit?usp=sharing  #gid=0"",""фіз особи new!relations_name""),6,FALSE)
,
(IF
(
C15129=""юридична особа""
,
VLOO"&amp;"KUP(D15129,IMPORTRANGE(""https://docs.google.com/spreadsheets/d/14Bd19lYaqBhU8_DElYkX7l4wRkHqqCUFNJY4AfY3kHU/edit?usp=sharing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8" s="7" t="s">
        <v>10</v>
      </c>
      <c r="H15128" s="7">
        <v>19546</v>
      </c>
      <c r="I15128" s="8" t="str">
        <f ca="1">IFERROR(__xludf.DUMMYFUNCTION("IF
(
G15129=""фізична особа""
,
VLOOKUP(H15129,IMPORTRANGE(""https://docs.google.com/spreadsheets/d/14Bd19lYaqBhU8_DElYkX7l4wRkHqqCUFNJY4AfY3kHU/edit?usp=sharing  #gid=0"",""фіз особи new!relations_name""),6,FALSE)
,
(IF
(
G15129=""юридична особа""
,
VLOO"&amp;"KUP(H15129,IMPORTRANGE(""https://docs.google.com/spreadsheets/d/14Bd19lYaqBhU8_DElYkX7l4wRkHqqCUFNJY4AfY3kHU/edit?usp=sharing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J15128" s="7" t="s">
        <v>23</v>
      </c>
    </row>
    <row r="15129" spans="1:10" ht="13.2">
      <c r="A15129" s="7">
        <v>15128</v>
      </c>
      <c r="B15129" s="7">
        <v>1</v>
      </c>
      <c r="C15129" s="7" t="s">
        <v>10</v>
      </c>
      <c r="D15129" s="7">
        <v>19545</v>
      </c>
      <c r="E15129" s="7" t="s">
        <v>23</v>
      </c>
      <c r="F15129" s="8" t="str">
        <f ca="1">IFERROR(__xludf.DUMMYFUNCTION("IF
(
C15130=""фізична особа""
,
VLOOKUP(D15130,IMPORTRANGE(""https://docs.google.com/spreadsheets/d/14Bd19lYaqBhU8_DElYkX7l4wRkHqqCUFNJY4AfY3kHU/edit?usp=sharing  #gid=0"",""фіз особи new!relations_name""),6,FALSE)
,
(IF
(
C15130=""юридична особа""
,
VLOO"&amp;"KUP(D15130,IMPORTRANGE(""https://docs.google.com/spreadsheets/d/14Bd19lYaqBhU8_DElYkX7l4wRkHqqCUFNJY4AfY3kHU/edit?usp=sharing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G15129" s="7" t="s">
        <v>10</v>
      </c>
      <c r="H15129" s="7">
        <v>6682</v>
      </c>
      <c r="I15129" s="8" t="str">
        <f ca="1">IFERROR(__xludf.DUMMYFUNCTION("IF
(
G15130=""фізична особа""
,
VLOOKUP(H15130,IMPORTRANGE(""https://docs.google.com/spreadsheets/d/14Bd19lYaqBhU8_DElYkX7l4wRkHqqCUFNJY4AfY3kHU/edit?usp=sharing  #gid=0"",""фіз особи new!relations_name""),6,FALSE)
,
(IF
(
G15130=""юридична особа""
,
VLOO"&amp;"KUP(H15130,IMPORTRANGE(""https://docs.google.com/spreadsheets/d/14Bd19lYaqBhU8_DElYkX7l4wRkHqqCUFNJY4AfY3kHU/edit?usp=sharing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129" s="7" t="s">
        <v>23</v>
      </c>
    </row>
    <row r="15130" spans="1:10" ht="13.2">
      <c r="A15130" s="7">
        <v>15129</v>
      </c>
      <c r="B15130" s="7">
        <v>1</v>
      </c>
      <c r="C15130" s="7" t="s">
        <v>10</v>
      </c>
      <c r="D15130" s="7">
        <v>19546</v>
      </c>
      <c r="E15130" s="7" t="s">
        <v>23</v>
      </c>
      <c r="F15130" s="8" t="str">
        <f ca="1">IFERROR(__xludf.DUMMYFUNCTION("IF
(
C15131=""фізична особа""
,
VLOOKUP(D15131,IMPORTRANGE(""https://docs.google.com/spreadsheets/d/14Bd19lYaqBhU8_DElYkX7l4wRkHqqCUFNJY4AfY3kHU/edit?usp=sharing  #gid=0"",""фіз особи new!relations_name""),6,FALSE)
,
(IF
(
C15131=""юридична особа""
,
VLOO"&amp;"KUP(D15131,IMPORTRANGE(""https://docs.google.com/spreadsheets/d/14Bd19lYaqBhU8_DElYkX7l4wRkHqqCUFNJY4AfY3kHU/edit?usp=sharing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0" s="7" t="s">
        <v>10</v>
      </c>
      <c r="H15130" s="7">
        <v>19540</v>
      </c>
      <c r="I15130" s="8" t="str">
        <f ca="1">IFERROR(__xludf.DUMMYFUNCTION("IF
(
G15131=""фізична особа""
,
VLOOKUP(H15131,IMPORTRANGE(""https://docs.google.com/spreadsheets/d/14Bd19lYaqBhU8_DElYkX7l4wRkHqqCUFNJY4AfY3kHU/edit?usp=sharing  #gid=0"",""фіз особи new!relations_name""),6,FALSE)
,
(IF
(
G15131=""юридична особа""
,
VLOO"&amp;"KUP(H15131,IMPORTRANGE(""https://docs.google.com/spreadsheets/d/14Bd19lYaqBhU8_DElYkX7l4wRkHqqCUFNJY4AfY3kHU/edit?usp=sharing  #gid=0"",""фіз особи new!relations_name_uo""),7,FALSE)
,
)
))"),"СІНІЦИН Олександр Володимирович")</f>
        <v>СІНІЦИН Олександр Володимирович</v>
      </c>
      <c r="J15130" s="7" t="s">
        <v>23</v>
      </c>
    </row>
    <row r="15131" spans="1:10" ht="13.2">
      <c r="A15131" s="7">
        <v>15130</v>
      </c>
      <c r="B15131" s="7">
        <v>1</v>
      </c>
      <c r="C15131" s="7" t="s">
        <v>10</v>
      </c>
      <c r="D15131" s="7">
        <v>19546</v>
      </c>
      <c r="E15131" s="7" t="s">
        <v>23</v>
      </c>
      <c r="F15131" s="8" t="str">
        <f ca="1">IFERROR(__xludf.DUMMYFUNCTION("IF
(
C15132=""фізична особа""
,
VLOOKUP(D15132,IMPORTRANGE(""https://docs.google.com/spreadsheets/d/14Bd19lYaqBhU8_DElYkX7l4wRkHqqCUFNJY4AfY3kHU/edit?usp=sharing  #gid=0"",""фіз особи new!relations_name""),6,FALSE)
,
(IF
(
C15132=""юридична особа""
,
VLOO"&amp;"KUP(D15132,IMPORTRANGE(""https://docs.google.com/spreadsheets/d/14Bd19lYaqBhU8_DElYkX7l4wRkHqqCUFNJY4AfY3kHU/edit?usp=sharing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1" s="7" t="s">
        <v>10</v>
      </c>
      <c r="H15131" s="7">
        <v>19541</v>
      </c>
      <c r="I15131" s="8" t="str">
        <f ca="1">IFERROR(__xludf.DUMMYFUNCTION("IF
(
G15132=""фізична особа""
,
VLOOKUP(H15132,IMPORTRANGE(""https://docs.google.com/spreadsheets/d/14Bd19lYaqBhU8_DElYkX7l4wRkHqqCUFNJY4AfY3kHU/edit?usp=sharing  #gid=0"",""фіз особи new!relations_name""),6,FALSE)
,
(IF
(
G15132=""юридична особа""
,
VLOO"&amp;"KUP(H15132,IMPORTRANGE(""https://docs.google.com/spreadsheets/d/14Bd19lYaqBhU8_DElYkX7l4wRkHqqCUFNJY4AfY3kHU/edit?usp=sharing  #gid=0"",""фіз особи new!relations_name_uo""),7,FALSE)
,
)
))"),"АКУЛІНІН Олександр Миколайович")</f>
        <v>АКУЛІНІН Олександр Миколайович</v>
      </c>
      <c r="J15131" s="7" t="s">
        <v>23</v>
      </c>
    </row>
    <row r="15132" spans="1:10" ht="13.2">
      <c r="A15132" s="7">
        <v>15131</v>
      </c>
      <c r="B15132" s="7">
        <v>1</v>
      </c>
      <c r="C15132" s="7" t="s">
        <v>10</v>
      </c>
      <c r="D15132" s="7">
        <v>19546</v>
      </c>
      <c r="E15132" s="7" t="s">
        <v>23</v>
      </c>
      <c r="F15132" s="8" t="str">
        <f ca="1">IFERROR(__xludf.DUMMYFUNCTION("IF
(
C15133=""фізична особа""
,
VLOOKUP(D15133,IMPORTRANGE(""https://docs.google.com/spreadsheets/d/14Bd19lYaqBhU8_DElYkX7l4wRkHqqCUFNJY4AfY3kHU/edit?usp=sharing  #gid=0"",""фіз особи new!relations_name""),6,FALSE)
,
(IF
(
C15133=""юридична особа""
,
VLOO"&amp;"KUP(D15133,IMPORTRANGE(""https://docs.google.com/spreadsheets/d/14Bd19lYaqBhU8_DElYkX7l4wRkHqqCUFNJY4AfY3kHU/edit?usp=sharing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2" s="7" t="s">
        <v>10</v>
      </c>
      <c r="H15132" s="7">
        <v>19542</v>
      </c>
      <c r="I15132" s="8" t="str">
        <f ca="1">IFERROR(__xludf.DUMMYFUNCTION("IF
(
G15133=""фізична особа""
,
VLOOKUP(H15133,IMPORTRANGE(""https://docs.google.com/spreadsheets/d/14Bd19lYaqBhU8_DElYkX7l4wRkHqqCUFNJY4AfY3kHU/edit?usp=sharing  #gid=0"",""фіз особи new!relations_name""),6,FALSE)
,
(IF
(
G15133=""юридична особа""
,
VLOO"&amp;"KUP(H15133,IMPORTRANGE(""https://docs.google.com/spreadsheets/d/14Bd19lYaqBhU8_DElYkX7l4wRkHqqCUFNJY4AfY3kHU/edit?usp=sharing  #gid=0"",""фіз особи new!relations_name_uo""),7,FALSE)
,
)
))"),"МАНСІМОВ Ельдар Олександрович")</f>
        <v>МАНСІМОВ Ельдар Олександрович</v>
      </c>
      <c r="J15132" s="7" t="s">
        <v>23</v>
      </c>
    </row>
    <row r="15133" spans="1:10" ht="13.2">
      <c r="A15133" s="7">
        <v>15132</v>
      </c>
      <c r="B15133" s="7">
        <v>1</v>
      </c>
      <c r="C15133" s="7" t="s">
        <v>10</v>
      </c>
      <c r="D15133" s="7">
        <v>19546</v>
      </c>
      <c r="E15133" s="7" t="s">
        <v>23</v>
      </c>
      <c r="F15133" s="8" t="str">
        <f ca="1">IFERROR(__xludf.DUMMYFUNCTION("IF
(
C15134=""фізична особа""
,
VLOOKUP(D15134,IMPORTRANGE(""https://docs.google.com/spreadsheets/d/14Bd19lYaqBhU8_DElYkX7l4wRkHqqCUFNJY4AfY3kHU/edit?usp=sharing  #gid=0"",""фіз особи new!relations_name""),6,FALSE)
,
(IF
(
C15134=""юридична особа""
,
VLOO"&amp;"KUP(D15134,IMPORTRANGE(""https://docs.google.com/spreadsheets/d/14Bd19lYaqBhU8_DElYkX7l4wRkHqqCUFNJY4AfY3kHU/edit?usp=sharing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3" s="7" t="s">
        <v>10</v>
      </c>
      <c r="H15133" s="7">
        <v>19543</v>
      </c>
      <c r="I15133" s="8" t="str">
        <f ca="1">IFERROR(__xludf.DUMMYFUNCTION("IF
(
G15134=""фізична особа""
,
VLOOKUP(H15134,IMPORTRANGE(""https://docs.google.com/spreadsheets/d/14Bd19lYaqBhU8_DElYkX7l4wRkHqqCUFNJY4AfY3kHU/edit?usp=sharing  #gid=0"",""фіз особи new!relations_name""),6,FALSE)
,
(IF
(
G15134=""юридична особа""
,
VLOO"&amp;"KUP(H15134,IMPORTRANGE(""https://docs.google.com/spreadsheets/d/14Bd19lYaqBhU8_DElYkX7l4wRkHqqCUFNJY4AfY3kHU/edit?usp=sharing  #gid=0"",""фіз особи new!relations_name_uo""),7,FALSE)
,
)
))"),"МІНОФЬЄВ Сергій Олексійович")</f>
        <v>МІНОФЬЄВ Сергій Олексійович</v>
      </c>
      <c r="J15133" s="7" t="s">
        <v>23</v>
      </c>
    </row>
    <row r="15134" spans="1:10" ht="13.2">
      <c r="A15134" s="7">
        <v>15133</v>
      </c>
      <c r="B15134" s="7">
        <v>1</v>
      </c>
      <c r="C15134" s="7" t="s">
        <v>10</v>
      </c>
      <c r="D15134" s="7">
        <v>19546</v>
      </c>
      <c r="E15134" s="7" t="s">
        <v>23</v>
      </c>
      <c r="F15134" s="8" t="str">
        <f ca="1">IFERROR(__xludf.DUMMYFUNCTION("IF
(
C15135=""фізична особа""
,
VLOOKUP(D15135,IMPORTRANGE(""https://docs.google.com/spreadsheets/d/14Bd19lYaqBhU8_DElYkX7l4wRkHqqCUFNJY4AfY3kHU/edit?usp=sharing  #gid=0"",""фіз особи new!relations_name""),6,FALSE)
,
(IF
(
C15135=""юридична особа""
,
VLOO"&amp;"KUP(D15135,IMPORTRANGE(""https://docs.google.com/spreadsheets/d/14Bd19lYaqBhU8_DElYkX7l4wRkHqqCUFNJY4AfY3kHU/edit?usp=sharing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4" s="7" t="s">
        <v>10</v>
      </c>
      <c r="H15134" s="7">
        <v>19544</v>
      </c>
      <c r="I15134" s="8" t="str">
        <f ca="1">IFERROR(__xludf.DUMMYFUNCTION("IF
(
G15135=""фізична особа""
,
VLOOKUP(H15135,IMPORTRANGE(""https://docs.google.com/spreadsheets/d/14Bd19lYaqBhU8_DElYkX7l4wRkHqqCUFNJY4AfY3kHU/edit?usp=sharing  #gid=0"",""фіз особи new!relations_name""),6,FALSE)
,
(IF
(
G15135=""юридична особа""
,
VLOO"&amp;"KUP(H15135,IMPORTRANGE(""https://docs.google.com/spreadsheets/d/14Bd19lYaqBhU8_DElYkX7l4wRkHqqCUFNJY4AfY3kHU/edit?usp=sharing  #gid=0"",""фіз особи new!relations_name_uo""),7,FALSE)
,
)
))"),"ФРОЛОВА Ольга Юріївна")</f>
        <v>ФРОЛОВА Ольга Юріївна</v>
      </c>
      <c r="J15134" s="7" t="s">
        <v>23</v>
      </c>
    </row>
    <row r="15135" spans="1:10" ht="13.2">
      <c r="A15135" s="7">
        <v>15134</v>
      </c>
      <c r="B15135" s="7">
        <v>1</v>
      </c>
      <c r="C15135" s="7" t="s">
        <v>10</v>
      </c>
      <c r="D15135" s="7">
        <v>19546</v>
      </c>
      <c r="E15135" s="7" t="s">
        <v>23</v>
      </c>
      <c r="F15135" s="8" t="str">
        <f ca="1">IFERROR(__xludf.DUMMYFUNCTION("IF
(
C15136=""фізична особа""
,
VLOOKUP(D15136,IMPORTRANGE(""https://docs.google.com/spreadsheets/d/14Bd19lYaqBhU8_DElYkX7l4wRkHqqCUFNJY4AfY3kHU/edit?usp=sharing  #gid=0"",""фіз особи new!relations_name""),6,FALSE)
,
(IF
(
C15136=""юридична особа""
,
VLOO"&amp;"KUP(D15136,IMPORTRANGE(""https://docs.google.com/spreadsheets/d/14Bd19lYaqBhU8_DElYkX7l4wRkHqqCUFNJY4AfY3kHU/edit?usp=sharing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5" s="7" t="s">
        <v>10</v>
      </c>
      <c r="H15135" s="7">
        <v>6680</v>
      </c>
      <c r="I15135" s="8" t="str">
        <f ca="1">IFERROR(__xludf.DUMMYFUNCTION("IF
(
G15136=""фізична особа""
,
VLOOKUP(H15136,IMPORTRANGE(""https://docs.google.com/spreadsheets/d/14Bd19lYaqBhU8_DElYkX7l4wRkHqqCUFNJY4AfY3kHU/edit?usp=sharing  #gid=0"",""фіз особи new!relations_name""),6,FALSE)
,
(IF
(
G15136=""юридична особа""
,
VLOO"&amp;"KUP(H15136,IMPORTRANGE(""https://docs.google.com/spreadsheets/d/14Bd19lYaqBhU8_DElYkX7l4wRkHqqCUFNJY4AfY3kHU/edit?usp=sharing  #gid=0"",""фіз особи new!relations_name_uo""),7,FALSE)
,
)
))"),"ДОРОШКО Вячеслав Віталійович")</f>
        <v>ДОРОШКО Вячеслав Віталійович</v>
      </c>
      <c r="J15135" s="7" t="s">
        <v>23</v>
      </c>
    </row>
    <row r="15136" spans="1:10" ht="13.2">
      <c r="A15136" s="7">
        <v>15135</v>
      </c>
      <c r="B15136" s="7">
        <v>1</v>
      </c>
      <c r="C15136" s="7" t="s">
        <v>10</v>
      </c>
      <c r="D15136" s="7">
        <v>19546</v>
      </c>
      <c r="E15136" s="7" t="s">
        <v>23</v>
      </c>
      <c r="F15136" s="8" t="str">
        <f ca="1">IFERROR(__xludf.DUMMYFUNCTION("IF
(
C15137=""фізична особа""
,
VLOOKUP(D15137,IMPORTRANGE(""https://docs.google.com/spreadsheets/d/14Bd19lYaqBhU8_DElYkX7l4wRkHqqCUFNJY4AfY3kHU/edit?usp=sharing  #gid=0"",""фіз особи new!relations_name""),6,FALSE)
,
(IF
(
C15137=""юридична особа""
,
VLOO"&amp;"KUP(D15137,IMPORTRANGE(""https://docs.google.com/spreadsheets/d/14Bd19lYaqBhU8_DElYkX7l4wRkHqqCUFNJY4AfY3kHU/edit?usp=sharing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6" s="7" t="s">
        <v>10</v>
      </c>
      <c r="H15136" s="7">
        <v>19545</v>
      </c>
      <c r="I15136" s="8" t="str">
        <f ca="1">IFERROR(__xludf.DUMMYFUNCTION("IF
(
G15137=""фізична особа""
,
VLOOKUP(H15137,IMPORTRANGE(""https://docs.google.com/spreadsheets/d/14Bd19lYaqBhU8_DElYkX7l4wRkHqqCUFNJY4AfY3kHU/edit?usp=sharing  #gid=0"",""фіз особи new!relations_name""),6,FALSE)
,
(IF
(
G15137=""юридична особа""
,
VLOO"&amp;"KUP(H15137,IMPORTRANGE(""https://docs.google.com/spreadsheets/d/14Bd19lYaqBhU8_DElYkX7l4wRkHqqCUFNJY4AfY3kHU/edit?usp=sharing  #gid=0"",""фіз особи new!relations_name_uo""),7,FALSE)
,
)
))"),"АФОНІН Євгеній Олексійович")</f>
        <v>АФОНІН Євгеній Олексійович</v>
      </c>
      <c r="J15136" s="7" t="s">
        <v>23</v>
      </c>
    </row>
    <row r="15137" spans="1:10" ht="13.2">
      <c r="A15137" s="7">
        <v>15136</v>
      </c>
      <c r="B15137" s="7">
        <v>1</v>
      </c>
      <c r="C15137" s="7" t="s">
        <v>10</v>
      </c>
      <c r="D15137" s="7">
        <v>19546</v>
      </c>
      <c r="E15137" s="7" t="s">
        <v>23</v>
      </c>
      <c r="F15137" s="8" t="str">
        <f ca="1">IFERROR(__xludf.DUMMYFUNCTION("IF
(
C15138=""фізична особа""
,
VLOOKUP(D15138,IMPORTRANGE(""https://docs.google.com/spreadsheets/d/14Bd19lYaqBhU8_DElYkX7l4wRkHqqCUFNJY4AfY3kHU/edit?usp=sharing  #gid=0"",""фіз особи new!relations_name""),6,FALSE)
,
(IF
(
C15138=""юридична особа""
,
VLOO"&amp;"KUP(D15138,IMPORTRANGE(""https://docs.google.com/spreadsheets/d/14Bd19lYaqBhU8_DElYkX7l4wRkHqqCUFNJY4AfY3kHU/edit?usp=sharing  #gid=0"",""фіз особи new!relations_name_uo""),7,FALSE)
,
)
))"),"ОЛЬХОВСЬКИЙ Андрій Сергійович")</f>
        <v>ОЛЬХОВСЬКИЙ Андрій Сергійович</v>
      </c>
      <c r="G15137" s="7" t="s">
        <v>10</v>
      </c>
      <c r="H15137" s="7">
        <v>6682</v>
      </c>
      <c r="I15137" s="8" t="str">
        <f ca="1">IFERROR(__xludf.DUMMYFUNCTION("IF
(
G15138=""фізична особа""
,
VLOOKUP(H15138,IMPORTRANGE(""https://docs.google.com/spreadsheets/d/14Bd19lYaqBhU8_DElYkX7l4wRkHqqCUFNJY4AfY3kHU/edit?usp=sharing  #gid=0"",""фіз особи new!relations_name""),6,FALSE)
,
(IF
(
G15138=""юридична особа""
,
VLOO"&amp;"KUP(H15138,IMPORTRANGE(""https://docs.google.com/spreadsheets/d/14Bd19lYaqBhU8_DElYkX7l4wRkHqqCUFNJY4AfY3kHU/edit?usp=sharing  #gid=0"",""фіз особи new!relations_name_uo""),7,FALSE)
,
)
))"),"ФАДЄЄВ Олександр Анатолійович")</f>
        <v>ФАДЄЄВ Олександр Анатолійович</v>
      </c>
      <c r="J15137" s="7" t="s">
        <v>23</v>
      </c>
    </row>
    <row r="15138" spans="1:10" ht="13.2">
      <c r="A15138" s="7">
        <v>15137</v>
      </c>
      <c r="B15138" s="7">
        <v>1</v>
      </c>
      <c r="C15138" s="7" t="s">
        <v>10</v>
      </c>
      <c r="D15138" s="7">
        <v>19547</v>
      </c>
      <c r="E15138" s="7" t="s">
        <v>23</v>
      </c>
      <c r="F15138" s="8" t="str">
        <f ca="1">IFERROR(__xludf.DUMMYFUNCTION("IF
(
C15139=""фізична особа""
,
VLOOKUP(D15139,IMPORTRANGE(""https://docs.google.com/spreadsheets/d/14Bd19lYaqBhU8_DElYkX7l4wRkHqqCUFNJY4AfY3kHU/edit?usp=sharing  #gid=0"",""фіз особи new!relations_name""),6,FALSE)
,
(IF
(
C15139=""юридична особа""
,
VLOO"&amp;"KUP(D15139,IMPORTRANGE(""https://docs.google.com/spreadsheets/d/14Bd19lYaqBhU8_DElYkX7l4wRkHqqCUFNJY4AfY3kHU/edit?usp=sharing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38" s="7" t="s">
        <v>10</v>
      </c>
      <c r="H15138" s="7">
        <v>19548</v>
      </c>
      <c r="I15138" s="8" t="str">
        <f ca="1">IFERROR(__xludf.DUMMYFUNCTION("IF
(
G15139=""фізична особа""
,
VLOOKUP(H15139,IMPORTRANGE(""https://docs.google.com/spreadsheets/d/14Bd19lYaqBhU8_DElYkX7l4wRkHqqCUFNJY4AfY3kHU/edit?usp=sharing  #gid=0"",""фіз особи new!relations_name""),6,FALSE)
,
(IF
(
G15139=""юридична особа""
,
VLOO"&amp;"KUP(H15139,IMPORTRANGE(""https://docs.google.com/spreadsheets/d/14Bd19lYaqBhU8_DElYkX7l4wRkHqqCUFNJY4AfY3kHU/edit?usp=sharing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38" s="7" t="s">
        <v>23</v>
      </c>
    </row>
    <row r="15139" spans="1:10" ht="13.2">
      <c r="A15139" s="7">
        <v>15138</v>
      </c>
      <c r="B15139" s="7">
        <v>1</v>
      </c>
      <c r="C15139" s="7" t="s">
        <v>10</v>
      </c>
      <c r="D15139" s="7">
        <v>19547</v>
      </c>
      <c r="E15139" s="7" t="s">
        <v>23</v>
      </c>
      <c r="F15139" s="8" t="str">
        <f ca="1">IFERROR(__xludf.DUMMYFUNCTION("IF
(
C15140=""фізична особа""
,
VLOOKUP(D15140,IMPORTRANGE(""https://docs.google.com/spreadsheets/d/14Bd19lYaqBhU8_DElYkX7l4wRkHqqCUFNJY4AfY3kHU/edit?usp=sharing  #gid=0"",""фіз особи new!relations_name""),6,FALSE)
,
(IF
(
C15140=""юридична особа""
,
VLOO"&amp;"KUP(D15140,IMPORTRANGE(""https://docs.google.com/spreadsheets/d/14Bd19lYaqBhU8_DElYkX7l4wRkHqqCUFNJY4AfY3kHU/edit?usp=sharing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39" s="7" t="s">
        <v>10</v>
      </c>
      <c r="H15139" s="7">
        <v>19549</v>
      </c>
      <c r="I15139" s="8" t="str">
        <f ca="1">IFERROR(__xludf.DUMMYFUNCTION("IF
(
G15140=""фізична особа""
,
VLOOKUP(H15140,IMPORTRANGE(""https://docs.google.com/spreadsheets/d/14Bd19lYaqBhU8_DElYkX7l4wRkHqqCUFNJY4AfY3kHU/edit?usp=sharing  #gid=0"",""фіз особи new!relations_name""),6,FALSE)
,
(IF
(
G15140=""юридична особа""
,
VLOO"&amp;"KUP(H15140,IMPORTRANGE(""https://docs.google.com/spreadsheets/d/14Bd19lYaqBhU8_DElYkX7l4wRkHqqCUFNJY4AfY3kHU/edit?usp=sharing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39" s="7" t="s">
        <v>23</v>
      </c>
    </row>
    <row r="15140" spans="1:10" ht="13.2">
      <c r="A15140" s="7">
        <v>15139</v>
      </c>
      <c r="B15140" s="7">
        <v>1</v>
      </c>
      <c r="C15140" s="7" t="s">
        <v>10</v>
      </c>
      <c r="D15140" s="7">
        <v>19547</v>
      </c>
      <c r="E15140" s="7" t="s">
        <v>23</v>
      </c>
      <c r="F15140" s="8" t="str">
        <f ca="1">IFERROR(__xludf.DUMMYFUNCTION("IF
(
C15141=""фізична особа""
,
VLOOKUP(D15141,IMPORTRANGE(""https://docs.google.com/spreadsheets/d/14Bd19lYaqBhU8_DElYkX7l4wRkHqqCUFNJY4AfY3kHU/edit?usp=sharing  #gid=0"",""фіз особи new!relations_name""),6,FALSE)
,
(IF
(
C15141=""юридична особа""
,
VLOO"&amp;"KUP(D15141,IMPORTRANGE(""https://docs.google.com/spreadsheets/d/14Bd19lYaqBhU8_DElYkX7l4wRkHqqCUFNJY4AfY3kHU/edit?usp=sharing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0" s="7" t="s">
        <v>10</v>
      </c>
      <c r="H15140" s="7">
        <v>19550</v>
      </c>
      <c r="I15140" s="8" t="str">
        <f ca="1">IFERROR(__xludf.DUMMYFUNCTION("IF
(
G15141=""фізична особа""
,
VLOOKUP(H15141,IMPORTRANGE(""https://docs.google.com/spreadsheets/d/14Bd19lYaqBhU8_DElYkX7l4wRkHqqCUFNJY4AfY3kHU/edit?usp=sharing  #gid=0"",""фіз особи new!relations_name""),6,FALSE)
,
(IF
(
G15141=""юридична особа""
,
VLOO"&amp;"KUP(H15141,IMPORTRANGE(""https://docs.google.com/spreadsheets/d/14Bd19lYaqBhU8_DElYkX7l4wRkHqqCUFNJY4AfY3kHU/edit?usp=sharing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40" s="7" t="s">
        <v>23</v>
      </c>
    </row>
    <row r="15141" spans="1:10" ht="13.2">
      <c r="A15141" s="7">
        <v>15140</v>
      </c>
      <c r="B15141" s="7">
        <v>1</v>
      </c>
      <c r="C15141" s="7" t="s">
        <v>10</v>
      </c>
      <c r="D15141" s="7">
        <v>19547</v>
      </c>
      <c r="E15141" s="7" t="s">
        <v>23</v>
      </c>
      <c r="F15141" s="8" t="str">
        <f ca="1">IFERROR(__xludf.DUMMYFUNCTION("IF
(
C15142=""фізична особа""
,
VLOOKUP(D15142,IMPORTRANGE(""https://docs.google.com/spreadsheets/d/14Bd19lYaqBhU8_DElYkX7l4wRkHqqCUFNJY4AfY3kHU/edit?usp=sharing  #gid=0"",""фіз особи new!relations_name""),6,FALSE)
,
(IF
(
C15142=""юридична особа""
,
VLOO"&amp;"KUP(D15142,IMPORTRANGE(""https://docs.google.com/spreadsheets/d/14Bd19lYaqBhU8_DElYkX7l4wRkHqqCUFNJY4AfY3kHU/edit?usp=sharing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1" s="7" t="s">
        <v>10</v>
      </c>
      <c r="H15141" s="7">
        <v>19551</v>
      </c>
      <c r="I15141" s="8" t="str">
        <f ca="1">IFERROR(__xludf.DUMMYFUNCTION("IF
(
G15142=""фізична особа""
,
VLOOKUP(H15142,IMPORTRANGE(""https://docs.google.com/spreadsheets/d/14Bd19lYaqBhU8_DElYkX7l4wRkHqqCUFNJY4AfY3kHU/edit?usp=sharing  #gid=0"",""фіз особи new!relations_name""),6,FALSE)
,
(IF
(
G15142=""юридична особа""
,
VLOO"&amp;"KUP(H15142,IMPORTRANGE(""https://docs.google.com/spreadsheets/d/14Bd19lYaqBhU8_DElYkX7l4wRkHqqCUFNJY4AfY3kHU/edit?usp=sharing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41" s="7" t="s">
        <v>23</v>
      </c>
    </row>
    <row r="15142" spans="1:10" ht="13.2">
      <c r="A15142" s="7">
        <v>15141</v>
      </c>
      <c r="B15142" s="7">
        <v>1</v>
      </c>
      <c r="C15142" s="7" t="s">
        <v>10</v>
      </c>
      <c r="D15142" s="7">
        <v>19547</v>
      </c>
      <c r="E15142" s="7" t="s">
        <v>23</v>
      </c>
      <c r="F15142" s="8" t="str">
        <f ca="1">IFERROR(__xludf.DUMMYFUNCTION("IF
(
C15143=""фізична особа""
,
VLOOKUP(D15143,IMPORTRANGE(""https://docs.google.com/spreadsheets/d/14Bd19lYaqBhU8_DElYkX7l4wRkHqqCUFNJY4AfY3kHU/edit?usp=sharing  #gid=0"",""фіз особи new!relations_name""),6,FALSE)
,
(IF
(
C15143=""юридична особа""
,
VLOO"&amp;"KUP(D15143,IMPORTRANGE(""https://docs.google.com/spreadsheets/d/14Bd19lYaqBhU8_DElYkX7l4wRkHqqCUFNJY4AfY3kHU/edit?usp=sharing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2" s="7" t="s">
        <v>10</v>
      </c>
      <c r="H15142" s="7">
        <v>19552</v>
      </c>
      <c r="I15142" s="8" t="str">
        <f ca="1">IFERROR(__xludf.DUMMYFUNCTION("IF
(
G15143=""фізична особа""
,
VLOOKUP(H15143,IMPORTRANGE(""https://docs.google.com/spreadsheets/d/14Bd19lYaqBhU8_DElYkX7l4wRkHqqCUFNJY4AfY3kHU/edit?usp=sharing  #gid=0"",""фіз особи new!relations_name""),6,FALSE)
,
(IF
(
G15143=""юридична особа""
,
VLOO"&amp;"KUP(H15143,IMPORTRANGE(""https://docs.google.com/spreadsheets/d/14Bd19lYaqBhU8_DElYkX7l4wRkHqqCUFNJY4AfY3kHU/edit?usp=sharing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42" s="7" t="s">
        <v>23</v>
      </c>
    </row>
    <row r="15143" spans="1:10" ht="13.2">
      <c r="A15143" s="7">
        <v>15142</v>
      </c>
      <c r="B15143" s="7">
        <v>1</v>
      </c>
      <c r="C15143" s="7" t="s">
        <v>10</v>
      </c>
      <c r="D15143" s="7">
        <v>19547</v>
      </c>
      <c r="E15143" s="7" t="s">
        <v>23</v>
      </c>
      <c r="F15143" s="8" t="str">
        <f ca="1">IFERROR(__xludf.DUMMYFUNCTION("IF
(
C15144=""фізична особа""
,
VLOOKUP(D15144,IMPORTRANGE(""https://docs.google.com/spreadsheets/d/14Bd19lYaqBhU8_DElYkX7l4wRkHqqCUFNJY4AfY3kHU/edit?usp=sharing  #gid=0"",""фіз особи new!relations_name""),6,FALSE)
,
(IF
(
C15144=""юридична особа""
,
VLOO"&amp;"KUP(D15144,IMPORTRANGE(""https://docs.google.com/spreadsheets/d/14Bd19lYaqBhU8_DElYkX7l4wRkHqqCUFNJY4AfY3kHU/edit?usp=sharing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3" s="7" t="s">
        <v>10</v>
      </c>
      <c r="H15143" s="7">
        <v>19553</v>
      </c>
      <c r="I15143" s="8" t="str">
        <f ca="1">IFERROR(__xludf.DUMMYFUNCTION("IF
(
G15144=""фізична особа""
,
VLOOKUP(H15144,IMPORTRANGE(""https://docs.google.com/spreadsheets/d/14Bd19lYaqBhU8_DElYkX7l4wRkHqqCUFNJY4AfY3kHU/edit?usp=sharing  #gid=0"",""фіз особи new!relations_name""),6,FALSE)
,
(IF
(
G15144=""юридична особа""
,
VLOO"&amp;"KUP(H15144,IMPORTRANGE(""https://docs.google.com/spreadsheets/d/14Bd19lYaqBhU8_DElYkX7l4wRkHqqCUFNJY4AfY3kHU/edit?usp=sharing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43" s="7" t="s">
        <v>23</v>
      </c>
    </row>
    <row r="15144" spans="1:10" ht="13.2">
      <c r="A15144" s="7">
        <v>15143</v>
      </c>
      <c r="B15144" s="7">
        <v>1</v>
      </c>
      <c r="C15144" s="7" t="s">
        <v>10</v>
      </c>
      <c r="D15144" s="7">
        <v>19547</v>
      </c>
      <c r="E15144" s="7" t="s">
        <v>23</v>
      </c>
      <c r="F15144" s="8" t="str">
        <f ca="1">IFERROR(__xludf.DUMMYFUNCTION("IF
(
C15145=""фізична особа""
,
VLOOKUP(D15145,IMPORTRANGE(""https://docs.google.com/spreadsheets/d/14Bd19lYaqBhU8_DElYkX7l4wRkHqqCUFNJY4AfY3kHU/edit?usp=sharing  #gid=0"",""фіз особи new!relations_name""),6,FALSE)
,
(IF
(
C15145=""юридична особа""
,
VLOO"&amp;"KUP(D15145,IMPORTRANGE(""https://docs.google.com/spreadsheets/d/14Bd19lYaqBhU8_DElYkX7l4wRkHqqCUFNJY4AfY3kHU/edit?usp=sharing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4" s="7" t="s">
        <v>10</v>
      </c>
      <c r="H15144" s="7">
        <v>19554</v>
      </c>
      <c r="I15144" s="8" t="str">
        <f ca="1">IFERROR(__xludf.DUMMYFUNCTION("IF
(
G15145=""фізична особа""
,
VLOOKUP(H15145,IMPORTRANGE(""https://docs.google.com/spreadsheets/d/14Bd19lYaqBhU8_DElYkX7l4wRkHqqCUFNJY4AfY3kHU/edit?usp=sharing  #gid=0"",""фіз особи new!relations_name""),6,FALSE)
,
(IF
(
G15145=""юридична особа""
,
VLOO"&amp;"KUP(H15145,IMPORTRANGE(""https://docs.google.com/spreadsheets/d/14Bd19lYaqBhU8_DElYkX7l4wRkHqqCUFNJY4AfY3kHU/edit?usp=sharing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44" s="7" t="s">
        <v>23</v>
      </c>
    </row>
    <row r="15145" spans="1:10" ht="13.2">
      <c r="A15145" s="7">
        <v>15144</v>
      </c>
      <c r="B15145" s="7">
        <v>1</v>
      </c>
      <c r="C15145" s="7" t="s">
        <v>10</v>
      </c>
      <c r="D15145" s="7">
        <v>19547</v>
      </c>
      <c r="E15145" s="7" t="s">
        <v>23</v>
      </c>
      <c r="F15145" s="8" t="str">
        <f ca="1">IFERROR(__xludf.DUMMYFUNCTION("IF
(
C15146=""фізична особа""
,
VLOOKUP(D15146,IMPORTRANGE(""https://docs.google.com/spreadsheets/d/14Bd19lYaqBhU8_DElYkX7l4wRkHqqCUFNJY4AfY3kHU/edit?usp=sharing  #gid=0"",""фіз особи new!relations_name""),6,FALSE)
,
(IF
(
C15146=""юридична особа""
,
VLOO"&amp;"KUP(D15146,IMPORTRANGE(""https://docs.google.com/spreadsheets/d/14Bd19lYaqBhU8_DElYkX7l4wRkHqqCUFNJY4AfY3kHU/edit?usp=sharing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5" s="7" t="s">
        <v>10</v>
      </c>
      <c r="H15145" s="7">
        <v>19555</v>
      </c>
      <c r="I15145" s="8" t="str">
        <f ca="1">IFERROR(__xludf.DUMMYFUNCTION("IF
(
G15146=""фізична особа""
,
VLOOKUP(H15146,IMPORTRANGE(""https://docs.google.com/spreadsheets/d/14Bd19lYaqBhU8_DElYkX7l4wRkHqqCUFNJY4AfY3kHU/edit?usp=sharing  #gid=0"",""фіз особи new!relations_name""),6,FALSE)
,
(IF
(
G15146=""юридична особа""
,
VLOO"&amp;"KUP(H15146,IMPORTRANGE(""https://docs.google.com/spreadsheets/d/14Bd19lYaqBhU8_DElYkX7l4wRkHqqCUFNJY4AfY3kHU/edit?usp=sharing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45" s="7" t="s">
        <v>23</v>
      </c>
    </row>
    <row r="15146" spans="1:10" ht="13.2">
      <c r="A15146" s="7">
        <v>15145</v>
      </c>
      <c r="B15146" s="7">
        <v>1</v>
      </c>
      <c r="C15146" s="7" t="s">
        <v>10</v>
      </c>
      <c r="D15146" s="7">
        <v>19547</v>
      </c>
      <c r="E15146" s="7" t="s">
        <v>23</v>
      </c>
      <c r="F15146" s="8" t="str">
        <f ca="1">IFERROR(__xludf.DUMMYFUNCTION("IF
(
C15147=""фізична особа""
,
VLOOKUP(D15147,IMPORTRANGE(""https://docs.google.com/spreadsheets/d/14Bd19lYaqBhU8_DElYkX7l4wRkHqqCUFNJY4AfY3kHU/edit?usp=sharing  #gid=0"",""фіз особи new!relations_name""),6,FALSE)
,
(IF
(
C15147=""юридична особа""
,
VLOO"&amp;"KUP(D15147,IMPORTRANGE(""https://docs.google.com/spreadsheets/d/14Bd19lYaqBhU8_DElYkX7l4wRkHqqCUFNJY4AfY3kHU/edit?usp=sharing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G15146" s="7" t="s">
        <v>10</v>
      </c>
      <c r="H15146" s="7">
        <v>19556</v>
      </c>
      <c r="I15146" s="8" t="str">
        <f ca="1">IFERROR(__xludf.DUMMYFUNCTION("IF
(
G15147=""фізична особа""
,
VLOOKUP(H15147,IMPORTRANGE(""https://docs.google.com/spreadsheets/d/14Bd19lYaqBhU8_DElYkX7l4wRkHqqCUFNJY4AfY3kHU/edit?usp=sharing  #gid=0"",""фіз особи new!relations_name""),6,FALSE)
,
(IF
(
G15147=""юридична особа""
,
VLOO"&amp;"KUP(H15147,IMPORTRANGE(""https://docs.google.com/spreadsheets/d/14Bd19lYaqBhU8_DElYkX7l4wRkHqqCUFNJY4AfY3kHU/edit?usp=sharing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46" s="7" t="s">
        <v>23</v>
      </c>
    </row>
    <row r="15147" spans="1:10" ht="13.2">
      <c r="A15147" s="7">
        <v>15146</v>
      </c>
      <c r="B15147" s="7">
        <v>1</v>
      </c>
      <c r="C15147" s="7" t="s">
        <v>10</v>
      </c>
      <c r="D15147" s="7">
        <v>19548</v>
      </c>
      <c r="E15147" s="7" t="s">
        <v>23</v>
      </c>
      <c r="F15147" s="8" t="str">
        <f ca="1">IFERROR(__xludf.DUMMYFUNCTION("IF
(
C15148=""фізична особа""
,
VLOOKUP(D15148,IMPORTRANGE(""https://docs.google.com/spreadsheets/d/14Bd19lYaqBhU8_DElYkX7l4wRkHqqCUFNJY4AfY3kHU/edit?usp=sharing  #gid=0"",""фіз особи new!relations_name""),6,FALSE)
,
(IF
(
C15148=""юридична особа""
,
VLOO"&amp;"KUP(D15148,IMPORTRANGE(""https://docs.google.com/spreadsheets/d/14Bd19lYaqBhU8_DElYkX7l4wRkHqqCUFNJY4AfY3kHU/edit?usp=sharing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47" s="7" t="s">
        <v>10</v>
      </c>
      <c r="H15147" s="7">
        <v>19547</v>
      </c>
      <c r="I15147" s="8" t="str">
        <f ca="1">IFERROR(__xludf.DUMMYFUNCTION("IF
(
G15148=""фізична особа""
,
VLOOKUP(H15148,IMPORTRANGE(""https://docs.google.com/spreadsheets/d/14Bd19lYaqBhU8_DElYkX7l4wRkHqqCUFNJY4AfY3kHU/edit?usp=sharing  #gid=0"",""фіз особи new!relations_name""),6,FALSE)
,
(IF
(
G15148=""юридична особа""
,
VLOO"&amp;"KUP(H15148,IMPORTRANGE(""https://docs.google.com/spreadsheets/d/14Bd19lYaqBhU8_DElYkX7l4wRkHqqCUFNJY4AfY3kHU/edit?usp=sharing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47" s="7" t="s">
        <v>23</v>
      </c>
    </row>
    <row r="15148" spans="1:10" ht="13.2">
      <c r="A15148" s="7">
        <v>15147</v>
      </c>
      <c r="B15148" s="7">
        <v>1</v>
      </c>
      <c r="C15148" s="7" t="s">
        <v>10</v>
      </c>
      <c r="D15148" s="7">
        <v>19548</v>
      </c>
      <c r="E15148" s="7" t="s">
        <v>23</v>
      </c>
      <c r="F15148" s="8" t="str">
        <f ca="1">IFERROR(__xludf.DUMMYFUNCTION("IF
(
C15149=""фізична особа""
,
VLOOKUP(D15149,IMPORTRANGE(""https://docs.google.com/spreadsheets/d/14Bd19lYaqBhU8_DElYkX7l4wRkHqqCUFNJY4AfY3kHU/edit?usp=sharing  #gid=0"",""фіз особи new!relations_name""),6,FALSE)
,
(IF
(
C15149=""юридична особа""
,
VLOO"&amp;"KUP(D15149,IMPORTRANGE(""https://docs.google.com/spreadsheets/d/14Bd19lYaqBhU8_DElYkX7l4wRkHqqCUFNJY4AfY3kHU/edit?usp=sharing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48" s="7" t="s">
        <v>10</v>
      </c>
      <c r="H15148" s="7">
        <v>19549</v>
      </c>
      <c r="I15148" s="8" t="str">
        <f ca="1">IFERROR(__xludf.DUMMYFUNCTION("IF
(
G15149=""фізична особа""
,
VLOOKUP(H15149,IMPORTRANGE(""https://docs.google.com/spreadsheets/d/14Bd19lYaqBhU8_DElYkX7l4wRkHqqCUFNJY4AfY3kHU/edit?usp=sharing  #gid=0"",""фіз особи new!relations_name""),6,FALSE)
,
(IF
(
G15149=""юридична особа""
,
VLOO"&amp;"KUP(H15149,IMPORTRANGE(""https://docs.google.com/spreadsheets/d/14Bd19lYaqBhU8_DElYkX7l4wRkHqqCUFNJY4AfY3kHU/edit?usp=sharing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48" s="7" t="s">
        <v>23</v>
      </c>
    </row>
    <row r="15149" spans="1:10" ht="13.2">
      <c r="A15149" s="7">
        <v>15148</v>
      </c>
      <c r="B15149" s="7">
        <v>1</v>
      </c>
      <c r="C15149" s="7" t="s">
        <v>10</v>
      </c>
      <c r="D15149" s="7">
        <v>19548</v>
      </c>
      <c r="E15149" s="7" t="s">
        <v>23</v>
      </c>
      <c r="F15149" s="8" t="str">
        <f ca="1">IFERROR(__xludf.DUMMYFUNCTION("IF
(
C15150=""фізична особа""
,
VLOOKUP(D15150,IMPORTRANGE(""https://docs.google.com/spreadsheets/d/14Bd19lYaqBhU8_DElYkX7l4wRkHqqCUFNJY4AfY3kHU/edit?usp=sharing  #gid=0"",""фіз особи new!relations_name""),6,FALSE)
,
(IF
(
C15150=""юридична особа""
,
VLOO"&amp;"KUP(D15150,IMPORTRANGE(""https://docs.google.com/spreadsheets/d/14Bd19lYaqBhU8_DElYkX7l4wRkHqqCUFNJY4AfY3kHU/edit?usp=sharing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49" s="7" t="s">
        <v>10</v>
      </c>
      <c r="H15149" s="7">
        <v>19550</v>
      </c>
      <c r="I15149" s="8" t="str">
        <f ca="1">IFERROR(__xludf.DUMMYFUNCTION("IF
(
G15150=""фізична особа""
,
VLOOKUP(H15150,IMPORTRANGE(""https://docs.google.com/spreadsheets/d/14Bd19lYaqBhU8_DElYkX7l4wRkHqqCUFNJY4AfY3kHU/edit?usp=sharing  #gid=0"",""фіз особи new!relations_name""),6,FALSE)
,
(IF
(
G15150=""юридична особа""
,
VLOO"&amp;"KUP(H15150,IMPORTRANGE(""https://docs.google.com/spreadsheets/d/14Bd19lYaqBhU8_DElYkX7l4wRkHqqCUFNJY4AfY3kHU/edit?usp=sharing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49" s="7" t="s">
        <v>23</v>
      </c>
    </row>
    <row r="15150" spans="1:10" ht="13.2">
      <c r="A15150" s="7">
        <v>15149</v>
      </c>
      <c r="B15150" s="7">
        <v>1</v>
      </c>
      <c r="C15150" s="7" t="s">
        <v>10</v>
      </c>
      <c r="D15150" s="7">
        <v>19548</v>
      </c>
      <c r="E15150" s="7" t="s">
        <v>23</v>
      </c>
      <c r="F15150" s="8" t="str">
        <f ca="1">IFERROR(__xludf.DUMMYFUNCTION("IF
(
C15151=""фізична особа""
,
VLOOKUP(D15151,IMPORTRANGE(""https://docs.google.com/spreadsheets/d/14Bd19lYaqBhU8_DElYkX7l4wRkHqqCUFNJY4AfY3kHU/edit?usp=sharing  #gid=0"",""фіз особи new!relations_name""),6,FALSE)
,
(IF
(
C15151=""юридична особа""
,
VLOO"&amp;"KUP(D15151,IMPORTRANGE(""https://docs.google.com/spreadsheets/d/14Bd19lYaqBhU8_DElYkX7l4wRkHqqCUFNJY4AfY3kHU/edit?usp=sharing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0" s="7" t="s">
        <v>10</v>
      </c>
      <c r="H15150" s="7">
        <v>19551</v>
      </c>
      <c r="I15150" s="8" t="str">
        <f ca="1">IFERROR(__xludf.DUMMYFUNCTION("IF
(
G15151=""фізична особа""
,
VLOOKUP(H15151,IMPORTRANGE(""https://docs.google.com/spreadsheets/d/14Bd19lYaqBhU8_DElYkX7l4wRkHqqCUFNJY4AfY3kHU/edit?usp=sharing  #gid=0"",""фіз особи new!relations_name""),6,FALSE)
,
(IF
(
G15151=""юридична особа""
,
VLOO"&amp;"KUP(H15151,IMPORTRANGE(""https://docs.google.com/spreadsheets/d/14Bd19lYaqBhU8_DElYkX7l4wRkHqqCUFNJY4AfY3kHU/edit?usp=sharing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50" s="7" t="s">
        <v>23</v>
      </c>
    </row>
    <row r="15151" spans="1:10" ht="13.2">
      <c r="A15151" s="7">
        <v>15150</v>
      </c>
      <c r="B15151" s="7">
        <v>1</v>
      </c>
      <c r="C15151" s="7" t="s">
        <v>10</v>
      </c>
      <c r="D15151" s="7">
        <v>19548</v>
      </c>
      <c r="E15151" s="7" t="s">
        <v>23</v>
      </c>
      <c r="F15151" s="8" t="str">
        <f ca="1">IFERROR(__xludf.DUMMYFUNCTION("IF
(
C15152=""фізична особа""
,
VLOOKUP(D15152,IMPORTRANGE(""https://docs.google.com/spreadsheets/d/14Bd19lYaqBhU8_DElYkX7l4wRkHqqCUFNJY4AfY3kHU/edit?usp=sharing  #gid=0"",""фіз особи new!relations_name""),6,FALSE)
,
(IF
(
C15152=""юридична особа""
,
VLOO"&amp;"KUP(D15152,IMPORTRANGE(""https://docs.google.com/spreadsheets/d/14Bd19lYaqBhU8_DElYkX7l4wRkHqqCUFNJY4AfY3kHU/edit?usp=sharing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1" s="7" t="s">
        <v>10</v>
      </c>
      <c r="H15151" s="7">
        <v>19552</v>
      </c>
      <c r="I15151" s="8" t="str">
        <f ca="1">IFERROR(__xludf.DUMMYFUNCTION("IF
(
G15152=""фізична особа""
,
VLOOKUP(H15152,IMPORTRANGE(""https://docs.google.com/spreadsheets/d/14Bd19lYaqBhU8_DElYkX7l4wRkHqqCUFNJY4AfY3kHU/edit?usp=sharing  #gid=0"",""фіз особи new!relations_name""),6,FALSE)
,
(IF
(
G15152=""юридична особа""
,
VLOO"&amp;"KUP(H15152,IMPORTRANGE(""https://docs.google.com/spreadsheets/d/14Bd19lYaqBhU8_DElYkX7l4wRkHqqCUFNJY4AfY3kHU/edit?usp=sharing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51" s="7" t="s">
        <v>23</v>
      </c>
    </row>
    <row r="15152" spans="1:10" ht="13.2">
      <c r="A15152" s="7">
        <v>15151</v>
      </c>
      <c r="B15152" s="7">
        <v>1</v>
      </c>
      <c r="C15152" s="7" t="s">
        <v>10</v>
      </c>
      <c r="D15152" s="7">
        <v>19548</v>
      </c>
      <c r="E15152" s="7" t="s">
        <v>23</v>
      </c>
      <c r="F15152" s="8" t="str">
        <f ca="1">IFERROR(__xludf.DUMMYFUNCTION("IF
(
C15153=""фізична особа""
,
VLOOKUP(D15153,IMPORTRANGE(""https://docs.google.com/spreadsheets/d/14Bd19lYaqBhU8_DElYkX7l4wRkHqqCUFNJY4AfY3kHU/edit?usp=sharing  #gid=0"",""фіз особи new!relations_name""),6,FALSE)
,
(IF
(
C15153=""юридична особа""
,
VLOO"&amp;"KUP(D15153,IMPORTRANGE(""https://docs.google.com/spreadsheets/d/14Bd19lYaqBhU8_DElYkX7l4wRkHqqCUFNJY4AfY3kHU/edit?usp=sharing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2" s="7" t="s">
        <v>10</v>
      </c>
      <c r="H15152" s="7">
        <v>19553</v>
      </c>
      <c r="I15152" s="8" t="str">
        <f ca="1">IFERROR(__xludf.DUMMYFUNCTION("IF
(
G15153=""фізична особа""
,
VLOOKUP(H15153,IMPORTRANGE(""https://docs.google.com/spreadsheets/d/14Bd19lYaqBhU8_DElYkX7l4wRkHqqCUFNJY4AfY3kHU/edit?usp=sharing  #gid=0"",""фіз особи new!relations_name""),6,FALSE)
,
(IF
(
G15153=""юридична особа""
,
VLOO"&amp;"KUP(H15153,IMPORTRANGE(""https://docs.google.com/spreadsheets/d/14Bd19lYaqBhU8_DElYkX7l4wRkHqqCUFNJY4AfY3kHU/edit?usp=sharing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52" s="7" t="s">
        <v>23</v>
      </c>
    </row>
    <row r="15153" spans="1:10" ht="13.2">
      <c r="A15153" s="7">
        <v>15152</v>
      </c>
      <c r="B15153" s="7">
        <v>1</v>
      </c>
      <c r="C15153" s="7" t="s">
        <v>10</v>
      </c>
      <c r="D15153" s="7">
        <v>19548</v>
      </c>
      <c r="E15153" s="7" t="s">
        <v>23</v>
      </c>
      <c r="F15153" s="8" t="str">
        <f ca="1">IFERROR(__xludf.DUMMYFUNCTION("IF
(
C15154=""фізична особа""
,
VLOOKUP(D15154,IMPORTRANGE(""https://docs.google.com/spreadsheets/d/14Bd19lYaqBhU8_DElYkX7l4wRkHqqCUFNJY4AfY3kHU/edit?usp=sharing  #gid=0"",""фіз особи new!relations_name""),6,FALSE)
,
(IF
(
C15154=""юридична особа""
,
VLOO"&amp;"KUP(D15154,IMPORTRANGE(""https://docs.google.com/spreadsheets/d/14Bd19lYaqBhU8_DElYkX7l4wRkHqqCUFNJY4AfY3kHU/edit?usp=sharing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3" s="7" t="s">
        <v>10</v>
      </c>
      <c r="H15153" s="7">
        <v>19554</v>
      </c>
      <c r="I15153" s="8" t="str">
        <f ca="1">IFERROR(__xludf.DUMMYFUNCTION("IF
(
G15154=""фізична особа""
,
VLOOKUP(H15154,IMPORTRANGE(""https://docs.google.com/spreadsheets/d/14Bd19lYaqBhU8_DElYkX7l4wRkHqqCUFNJY4AfY3kHU/edit?usp=sharing  #gid=0"",""фіз особи new!relations_name""),6,FALSE)
,
(IF
(
G15154=""юридична особа""
,
VLOO"&amp;"KUP(H15154,IMPORTRANGE(""https://docs.google.com/spreadsheets/d/14Bd19lYaqBhU8_DElYkX7l4wRkHqqCUFNJY4AfY3kHU/edit?usp=sharing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53" s="7" t="s">
        <v>23</v>
      </c>
    </row>
    <row r="15154" spans="1:10" ht="13.2">
      <c r="A15154" s="7">
        <v>15153</v>
      </c>
      <c r="B15154" s="7">
        <v>1</v>
      </c>
      <c r="C15154" s="7" t="s">
        <v>10</v>
      </c>
      <c r="D15154" s="7">
        <v>19548</v>
      </c>
      <c r="E15154" s="7" t="s">
        <v>23</v>
      </c>
      <c r="F15154" s="8" t="str">
        <f ca="1">IFERROR(__xludf.DUMMYFUNCTION("IF
(
C15155=""фізична особа""
,
VLOOKUP(D15155,IMPORTRANGE(""https://docs.google.com/spreadsheets/d/14Bd19lYaqBhU8_DElYkX7l4wRkHqqCUFNJY4AfY3kHU/edit?usp=sharing  #gid=0"",""фіз особи new!relations_name""),6,FALSE)
,
(IF
(
C15155=""юридична особа""
,
VLOO"&amp;"KUP(D15155,IMPORTRANGE(""https://docs.google.com/spreadsheets/d/14Bd19lYaqBhU8_DElYkX7l4wRkHqqCUFNJY4AfY3kHU/edit?usp=sharing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4" s="7" t="s">
        <v>10</v>
      </c>
      <c r="H15154" s="7">
        <v>19555</v>
      </c>
      <c r="I15154" s="8" t="str">
        <f ca="1">IFERROR(__xludf.DUMMYFUNCTION("IF
(
G15155=""фізична особа""
,
VLOOKUP(H15155,IMPORTRANGE(""https://docs.google.com/spreadsheets/d/14Bd19lYaqBhU8_DElYkX7l4wRkHqqCUFNJY4AfY3kHU/edit?usp=sharing  #gid=0"",""фіз особи new!relations_name""),6,FALSE)
,
(IF
(
G15155=""юридична особа""
,
VLOO"&amp;"KUP(H15155,IMPORTRANGE(""https://docs.google.com/spreadsheets/d/14Bd19lYaqBhU8_DElYkX7l4wRkHqqCUFNJY4AfY3kHU/edit?usp=sharing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54" s="7" t="s">
        <v>23</v>
      </c>
    </row>
    <row r="15155" spans="1:10" ht="13.2">
      <c r="A15155" s="7">
        <v>15154</v>
      </c>
      <c r="B15155" s="7">
        <v>1</v>
      </c>
      <c r="C15155" s="7" t="s">
        <v>10</v>
      </c>
      <c r="D15155" s="7">
        <v>19548</v>
      </c>
      <c r="E15155" s="7" t="s">
        <v>23</v>
      </c>
      <c r="F15155" s="8" t="str">
        <f ca="1">IFERROR(__xludf.DUMMYFUNCTION("IF
(
C15156=""фізична особа""
,
VLOOKUP(D15156,IMPORTRANGE(""https://docs.google.com/spreadsheets/d/14Bd19lYaqBhU8_DElYkX7l4wRkHqqCUFNJY4AfY3kHU/edit?usp=sharing  #gid=0"",""фіз особи new!relations_name""),6,FALSE)
,
(IF
(
C15156=""юридична особа""
,
VLOO"&amp;"KUP(D15156,IMPORTRANGE(""https://docs.google.com/spreadsheets/d/14Bd19lYaqBhU8_DElYkX7l4wRkHqqCUFNJY4AfY3kHU/edit?usp=sharing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G15155" s="7" t="s">
        <v>10</v>
      </c>
      <c r="H15155" s="7">
        <v>19556</v>
      </c>
      <c r="I15155" s="8" t="str">
        <f ca="1">IFERROR(__xludf.DUMMYFUNCTION("IF
(
G15156=""фізична особа""
,
VLOOKUP(H15156,IMPORTRANGE(""https://docs.google.com/spreadsheets/d/14Bd19lYaqBhU8_DElYkX7l4wRkHqqCUFNJY4AfY3kHU/edit?usp=sharing  #gid=0"",""фіз особи new!relations_name""),6,FALSE)
,
(IF
(
G15156=""юридична особа""
,
VLOO"&amp;"KUP(H15156,IMPORTRANGE(""https://docs.google.com/spreadsheets/d/14Bd19lYaqBhU8_DElYkX7l4wRkHqqCUFNJY4AfY3kHU/edit?usp=sharing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55" s="7" t="s">
        <v>23</v>
      </c>
    </row>
    <row r="15156" spans="1:10" ht="13.2">
      <c r="A15156" s="7">
        <v>15155</v>
      </c>
      <c r="B15156" s="7">
        <v>1</v>
      </c>
      <c r="C15156" s="7" t="s">
        <v>10</v>
      </c>
      <c r="D15156" s="7">
        <v>19549</v>
      </c>
      <c r="E15156" s="7" t="s">
        <v>23</v>
      </c>
      <c r="F15156" s="8" t="str">
        <f ca="1">IFERROR(__xludf.DUMMYFUNCTION("IF
(
C15157=""фізична особа""
,
VLOOKUP(D15157,IMPORTRANGE(""https://docs.google.com/spreadsheets/d/14Bd19lYaqBhU8_DElYkX7l4wRkHqqCUFNJY4AfY3kHU/edit?usp=sharing  #gid=0"",""фіз особи new!relations_name""),6,FALSE)
,
(IF
(
C15157=""юридична особа""
,
VLOO"&amp;"KUP(D15157,IMPORTRANGE(""https://docs.google.com/spreadsheets/d/14Bd19lYaqBhU8_DElYkX7l4wRkHqqCUFNJY4AfY3kHU/edit?usp=sharing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56" s="7" t="s">
        <v>10</v>
      </c>
      <c r="H15156" s="7">
        <v>19547</v>
      </c>
      <c r="I15156" s="8" t="str">
        <f ca="1">IFERROR(__xludf.DUMMYFUNCTION("IF
(
G15157=""фізична особа""
,
VLOOKUP(H15157,IMPORTRANGE(""https://docs.google.com/spreadsheets/d/14Bd19lYaqBhU8_DElYkX7l4wRkHqqCUFNJY4AfY3kHU/edit?usp=sharing  #gid=0"",""фіз особи new!relations_name""),6,FALSE)
,
(IF
(
G15157=""юридична особа""
,
VLOO"&amp;"KUP(H15157,IMPORTRANGE(""https://docs.google.com/spreadsheets/d/14Bd19lYaqBhU8_DElYkX7l4wRkHqqCUFNJY4AfY3kHU/edit?usp=sharing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56" s="7" t="s">
        <v>23</v>
      </c>
    </row>
    <row r="15157" spans="1:10" ht="13.2">
      <c r="A15157" s="7">
        <v>15156</v>
      </c>
      <c r="B15157" s="7">
        <v>1</v>
      </c>
      <c r="C15157" s="7" t="s">
        <v>10</v>
      </c>
      <c r="D15157" s="7">
        <v>19549</v>
      </c>
      <c r="E15157" s="7" t="s">
        <v>23</v>
      </c>
      <c r="F15157" s="8" t="str">
        <f ca="1">IFERROR(__xludf.DUMMYFUNCTION("IF
(
C15158=""фізична особа""
,
VLOOKUP(D15158,IMPORTRANGE(""https://docs.google.com/spreadsheets/d/14Bd19lYaqBhU8_DElYkX7l4wRkHqqCUFNJY4AfY3kHU/edit?usp=sharing  #gid=0"",""фіз особи new!relations_name""),6,FALSE)
,
(IF
(
C15158=""юридична особа""
,
VLOO"&amp;"KUP(D15158,IMPORTRANGE(""https://docs.google.com/spreadsheets/d/14Bd19lYaqBhU8_DElYkX7l4wRkHqqCUFNJY4AfY3kHU/edit?usp=sharing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57" s="7" t="s">
        <v>10</v>
      </c>
      <c r="H15157" s="7">
        <v>19548</v>
      </c>
      <c r="I15157" s="8" t="str">
        <f ca="1">IFERROR(__xludf.DUMMYFUNCTION("IF
(
G15158=""фізична особа""
,
VLOOKUP(H15158,IMPORTRANGE(""https://docs.google.com/spreadsheets/d/14Bd19lYaqBhU8_DElYkX7l4wRkHqqCUFNJY4AfY3kHU/edit?usp=sharing  #gid=0"",""фіз особи new!relations_name""),6,FALSE)
,
(IF
(
G15158=""юридична особа""
,
VLOO"&amp;"KUP(H15158,IMPORTRANGE(""https://docs.google.com/spreadsheets/d/14Bd19lYaqBhU8_DElYkX7l4wRkHqqCUFNJY4AfY3kHU/edit?usp=sharing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57" s="7" t="s">
        <v>23</v>
      </c>
    </row>
    <row r="15158" spans="1:10" ht="13.2">
      <c r="A15158" s="7">
        <v>15157</v>
      </c>
      <c r="B15158" s="7">
        <v>1</v>
      </c>
      <c r="C15158" s="7" t="s">
        <v>10</v>
      </c>
      <c r="D15158" s="7">
        <v>19549</v>
      </c>
      <c r="E15158" s="7" t="s">
        <v>23</v>
      </c>
      <c r="F15158" s="8" t="str">
        <f ca="1">IFERROR(__xludf.DUMMYFUNCTION("IF
(
C15159=""фізична особа""
,
VLOOKUP(D15159,IMPORTRANGE(""https://docs.google.com/spreadsheets/d/14Bd19lYaqBhU8_DElYkX7l4wRkHqqCUFNJY4AfY3kHU/edit?usp=sharing  #gid=0"",""фіз особи new!relations_name""),6,FALSE)
,
(IF
(
C15159=""юридична особа""
,
VLOO"&amp;"KUP(D15159,IMPORTRANGE(""https://docs.google.com/spreadsheets/d/14Bd19lYaqBhU8_DElYkX7l4wRkHqqCUFNJY4AfY3kHU/edit?usp=sharing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58" s="7" t="s">
        <v>10</v>
      </c>
      <c r="H15158" s="7">
        <v>19550</v>
      </c>
      <c r="I15158" s="8" t="str">
        <f ca="1">IFERROR(__xludf.DUMMYFUNCTION("IF
(
G15159=""фізична особа""
,
VLOOKUP(H15159,IMPORTRANGE(""https://docs.google.com/spreadsheets/d/14Bd19lYaqBhU8_DElYkX7l4wRkHqqCUFNJY4AfY3kHU/edit?usp=sharing  #gid=0"",""фіз особи new!relations_name""),6,FALSE)
,
(IF
(
G15159=""юридична особа""
,
VLOO"&amp;"KUP(H15159,IMPORTRANGE(""https://docs.google.com/spreadsheets/d/14Bd19lYaqBhU8_DElYkX7l4wRkHqqCUFNJY4AfY3kHU/edit?usp=sharing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58" s="7" t="s">
        <v>23</v>
      </c>
    </row>
    <row r="15159" spans="1:10" ht="13.2">
      <c r="A15159" s="7">
        <v>15158</v>
      </c>
      <c r="B15159" s="7">
        <v>1</v>
      </c>
      <c r="C15159" s="7" t="s">
        <v>10</v>
      </c>
      <c r="D15159" s="7">
        <v>19549</v>
      </c>
      <c r="E15159" s="7" t="s">
        <v>23</v>
      </c>
      <c r="F15159" s="8" t="str">
        <f ca="1">IFERROR(__xludf.DUMMYFUNCTION("IF
(
C15160=""фізична особа""
,
VLOOKUP(D15160,IMPORTRANGE(""https://docs.google.com/spreadsheets/d/14Bd19lYaqBhU8_DElYkX7l4wRkHqqCUFNJY4AfY3kHU/edit?usp=sharing  #gid=0"",""фіз особи new!relations_name""),6,FALSE)
,
(IF
(
C15160=""юридична особа""
,
VLOO"&amp;"KUP(D15160,IMPORTRANGE(""https://docs.google.com/spreadsheets/d/14Bd19lYaqBhU8_DElYkX7l4wRkHqqCUFNJY4AfY3kHU/edit?usp=sharing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59" s="7" t="s">
        <v>10</v>
      </c>
      <c r="H15159" s="7">
        <v>19551</v>
      </c>
      <c r="I15159" s="8" t="str">
        <f ca="1">IFERROR(__xludf.DUMMYFUNCTION("IF
(
G15160=""фізична особа""
,
VLOOKUP(H15160,IMPORTRANGE(""https://docs.google.com/spreadsheets/d/14Bd19lYaqBhU8_DElYkX7l4wRkHqqCUFNJY4AfY3kHU/edit?usp=sharing  #gid=0"",""фіз особи new!relations_name""),6,FALSE)
,
(IF
(
G15160=""юридична особа""
,
VLOO"&amp;"KUP(H15160,IMPORTRANGE(""https://docs.google.com/spreadsheets/d/14Bd19lYaqBhU8_DElYkX7l4wRkHqqCUFNJY4AfY3kHU/edit?usp=sharing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59" s="7" t="s">
        <v>23</v>
      </c>
    </row>
    <row r="15160" spans="1:10" ht="13.2">
      <c r="A15160" s="7">
        <v>15159</v>
      </c>
      <c r="B15160" s="7">
        <v>1</v>
      </c>
      <c r="C15160" s="7" t="s">
        <v>10</v>
      </c>
      <c r="D15160" s="7">
        <v>19549</v>
      </c>
      <c r="E15160" s="7" t="s">
        <v>23</v>
      </c>
      <c r="F15160" s="8" t="str">
        <f ca="1">IFERROR(__xludf.DUMMYFUNCTION("IF
(
C15161=""фізична особа""
,
VLOOKUP(D15161,IMPORTRANGE(""https://docs.google.com/spreadsheets/d/14Bd19lYaqBhU8_DElYkX7l4wRkHqqCUFNJY4AfY3kHU/edit?usp=sharing  #gid=0"",""фіз особи new!relations_name""),6,FALSE)
,
(IF
(
C15161=""юридична особа""
,
VLOO"&amp;"KUP(D15161,IMPORTRANGE(""https://docs.google.com/spreadsheets/d/14Bd19lYaqBhU8_DElYkX7l4wRkHqqCUFNJY4AfY3kHU/edit?usp=sharing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60" s="7" t="s">
        <v>10</v>
      </c>
      <c r="H15160" s="7">
        <v>19552</v>
      </c>
      <c r="I15160" s="8" t="str">
        <f ca="1">IFERROR(__xludf.DUMMYFUNCTION("IF
(
G15161=""фізична особа""
,
VLOOKUP(H15161,IMPORTRANGE(""https://docs.google.com/spreadsheets/d/14Bd19lYaqBhU8_DElYkX7l4wRkHqqCUFNJY4AfY3kHU/edit?usp=sharing  #gid=0"",""фіз особи new!relations_name""),6,FALSE)
,
(IF
(
G15161=""юридична особа""
,
VLOO"&amp;"KUP(H15161,IMPORTRANGE(""https://docs.google.com/spreadsheets/d/14Bd19lYaqBhU8_DElYkX7l4wRkHqqCUFNJY4AfY3kHU/edit?usp=sharing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60" s="7" t="s">
        <v>23</v>
      </c>
    </row>
    <row r="15161" spans="1:10" ht="13.2">
      <c r="A15161" s="7">
        <v>15160</v>
      </c>
      <c r="B15161" s="7">
        <v>1</v>
      </c>
      <c r="C15161" s="7" t="s">
        <v>10</v>
      </c>
      <c r="D15161" s="7">
        <v>19549</v>
      </c>
      <c r="E15161" s="7" t="s">
        <v>23</v>
      </c>
      <c r="F15161" s="8" t="str">
        <f ca="1">IFERROR(__xludf.DUMMYFUNCTION("IF
(
C15162=""фізична особа""
,
VLOOKUP(D15162,IMPORTRANGE(""https://docs.google.com/spreadsheets/d/14Bd19lYaqBhU8_DElYkX7l4wRkHqqCUFNJY4AfY3kHU/edit?usp=sharing  #gid=0"",""фіз особи new!relations_name""),6,FALSE)
,
(IF
(
C15162=""юридична особа""
,
VLOO"&amp;"KUP(D15162,IMPORTRANGE(""https://docs.google.com/spreadsheets/d/14Bd19lYaqBhU8_DElYkX7l4wRkHqqCUFNJY4AfY3kHU/edit?usp=sharing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61" s="7" t="s">
        <v>10</v>
      </c>
      <c r="H15161" s="7">
        <v>19553</v>
      </c>
      <c r="I15161" s="8" t="str">
        <f ca="1">IFERROR(__xludf.DUMMYFUNCTION("IF
(
G15162=""фізична особа""
,
VLOOKUP(H15162,IMPORTRANGE(""https://docs.google.com/spreadsheets/d/14Bd19lYaqBhU8_DElYkX7l4wRkHqqCUFNJY4AfY3kHU/edit?usp=sharing  #gid=0"",""фіз особи new!relations_name""),6,FALSE)
,
(IF
(
G15162=""юридична особа""
,
VLOO"&amp;"KUP(H15162,IMPORTRANGE(""https://docs.google.com/spreadsheets/d/14Bd19lYaqBhU8_DElYkX7l4wRkHqqCUFNJY4AfY3kHU/edit?usp=sharing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61" s="7" t="s">
        <v>23</v>
      </c>
    </row>
    <row r="15162" spans="1:10" ht="13.2">
      <c r="A15162" s="7">
        <v>15161</v>
      </c>
      <c r="B15162" s="7">
        <v>1</v>
      </c>
      <c r="C15162" s="7" t="s">
        <v>10</v>
      </c>
      <c r="D15162" s="7">
        <v>19549</v>
      </c>
      <c r="E15162" s="7" t="s">
        <v>23</v>
      </c>
      <c r="F15162" s="8" t="str">
        <f ca="1">IFERROR(__xludf.DUMMYFUNCTION("IF
(
C15163=""фізична особа""
,
VLOOKUP(D15163,IMPORTRANGE(""https://docs.google.com/spreadsheets/d/14Bd19lYaqBhU8_DElYkX7l4wRkHqqCUFNJY4AfY3kHU/edit?usp=sharing  #gid=0"",""фіз особи new!relations_name""),6,FALSE)
,
(IF
(
C15163=""юридична особа""
,
VLOO"&amp;"KUP(D15163,IMPORTRANGE(""https://docs.google.com/spreadsheets/d/14Bd19lYaqBhU8_DElYkX7l4wRkHqqCUFNJY4AfY3kHU/edit?usp=sharing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62" s="7" t="s">
        <v>10</v>
      </c>
      <c r="H15162" s="7">
        <v>19554</v>
      </c>
      <c r="I15162" s="8" t="str">
        <f ca="1">IFERROR(__xludf.DUMMYFUNCTION("IF
(
G15163=""фізична особа""
,
VLOOKUP(H15163,IMPORTRANGE(""https://docs.google.com/spreadsheets/d/14Bd19lYaqBhU8_DElYkX7l4wRkHqqCUFNJY4AfY3kHU/edit?usp=sharing  #gid=0"",""фіз особи new!relations_name""),6,FALSE)
,
(IF
(
G15163=""юридична особа""
,
VLOO"&amp;"KUP(H15163,IMPORTRANGE(""https://docs.google.com/spreadsheets/d/14Bd19lYaqBhU8_DElYkX7l4wRkHqqCUFNJY4AfY3kHU/edit?usp=sharing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62" s="7" t="s">
        <v>23</v>
      </c>
    </row>
    <row r="15163" spans="1:10" ht="13.2">
      <c r="A15163" s="7">
        <v>15162</v>
      </c>
      <c r="B15163" s="7">
        <v>1</v>
      </c>
      <c r="C15163" s="7" t="s">
        <v>10</v>
      </c>
      <c r="D15163" s="7">
        <v>19549</v>
      </c>
      <c r="E15163" s="7" t="s">
        <v>23</v>
      </c>
      <c r="F15163" s="8" t="str">
        <f ca="1">IFERROR(__xludf.DUMMYFUNCTION("IF
(
C15164=""фізична особа""
,
VLOOKUP(D15164,IMPORTRANGE(""https://docs.google.com/spreadsheets/d/14Bd19lYaqBhU8_DElYkX7l4wRkHqqCUFNJY4AfY3kHU/edit?usp=sharing  #gid=0"",""фіз особи new!relations_name""),6,FALSE)
,
(IF
(
C15164=""юридична особа""
,
VLOO"&amp;"KUP(D15164,IMPORTRANGE(""https://docs.google.com/spreadsheets/d/14Bd19lYaqBhU8_DElYkX7l4wRkHqqCUFNJY4AfY3kHU/edit?usp=sharing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63" s="7" t="s">
        <v>10</v>
      </c>
      <c r="H15163" s="7">
        <v>19555</v>
      </c>
      <c r="I15163" s="8" t="str">
        <f ca="1">IFERROR(__xludf.DUMMYFUNCTION("IF
(
G15164=""фізична особа""
,
VLOOKUP(H15164,IMPORTRANGE(""https://docs.google.com/spreadsheets/d/14Bd19lYaqBhU8_DElYkX7l4wRkHqqCUFNJY4AfY3kHU/edit?usp=sharing  #gid=0"",""фіз особи new!relations_name""),6,FALSE)
,
(IF
(
G15164=""юридична особа""
,
VLOO"&amp;"KUP(H15164,IMPORTRANGE(""https://docs.google.com/spreadsheets/d/14Bd19lYaqBhU8_DElYkX7l4wRkHqqCUFNJY4AfY3kHU/edit?usp=sharing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63" s="7" t="s">
        <v>23</v>
      </c>
    </row>
    <row r="15164" spans="1:10" ht="13.2">
      <c r="A15164" s="7">
        <v>15163</v>
      </c>
      <c r="B15164" s="7">
        <v>1</v>
      </c>
      <c r="C15164" s="7" t="s">
        <v>10</v>
      </c>
      <c r="D15164" s="7">
        <v>19549</v>
      </c>
      <c r="E15164" s="7" t="s">
        <v>23</v>
      </c>
      <c r="F15164" s="8" t="str">
        <f ca="1">IFERROR(__xludf.DUMMYFUNCTION("IF
(
C15165=""фізична особа""
,
VLOOKUP(D15165,IMPORTRANGE(""https://docs.google.com/spreadsheets/d/14Bd19lYaqBhU8_DElYkX7l4wRkHqqCUFNJY4AfY3kHU/edit?usp=sharing  #gid=0"",""фіз особи new!relations_name""),6,FALSE)
,
(IF
(
C15165=""юридична особа""
,
VLOO"&amp;"KUP(D15165,IMPORTRANGE(""https://docs.google.com/spreadsheets/d/14Bd19lYaqBhU8_DElYkX7l4wRkHqqCUFNJY4AfY3kHU/edit?usp=sharing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G15164" s="7" t="s">
        <v>10</v>
      </c>
      <c r="H15164" s="7">
        <v>19556</v>
      </c>
      <c r="I15164" s="8" t="str">
        <f ca="1">IFERROR(__xludf.DUMMYFUNCTION("IF
(
G15165=""фізична особа""
,
VLOOKUP(H15165,IMPORTRANGE(""https://docs.google.com/spreadsheets/d/14Bd19lYaqBhU8_DElYkX7l4wRkHqqCUFNJY4AfY3kHU/edit?usp=sharing  #gid=0"",""фіз особи new!relations_name""),6,FALSE)
,
(IF
(
G15165=""юридична особа""
,
VLOO"&amp;"KUP(H15165,IMPORTRANGE(""https://docs.google.com/spreadsheets/d/14Bd19lYaqBhU8_DElYkX7l4wRkHqqCUFNJY4AfY3kHU/edit?usp=sharing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64" s="7" t="s">
        <v>23</v>
      </c>
    </row>
    <row r="15165" spans="1:10" ht="13.2">
      <c r="A15165" s="7">
        <v>15164</v>
      </c>
      <c r="B15165" s="7">
        <v>1</v>
      </c>
      <c r="C15165" s="7" t="s">
        <v>10</v>
      </c>
      <c r="D15165" s="7">
        <v>19550</v>
      </c>
      <c r="E15165" s="7" t="s">
        <v>23</v>
      </c>
      <c r="F15165" s="8" t="str">
        <f ca="1">IFERROR(__xludf.DUMMYFUNCTION("IF
(
C15166=""фізична особа""
,
VLOOKUP(D15166,IMPORTRANGE(""https://docs.google.com/spreadsheets/d/14Bd19lYaqBhU8_DElYkX7l4wRkHqqCUFNJY4AfY3kHU/edit?usp=sharing  #gid=0"",""фіз особи new!relations_name""),6,FALSE)
,
(IF
(
C15166=""юридична особа""
,
VLOO"&amp;"KUP(D15166,IMPORTRANGE(""https://docs.google.com/spreadsheets/d/14Bd19lYaqBhU8_DElYkX7l4wRkHqqCUFNJY4AfY3kHU/edit?usp=sharing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65" s="7" t="s">
        <v>10</v>
      </c>
      <c r="H15165" s="7">
        <v>19547</v>
      </c>
      <c r="I15165" s="8" t="str">
        <f ca="1">IFERROR(__xludf.DUMMYFUNCTION("IF
(
G15166=""фізична особа""
,
VLOOKUP(H15166,IMPORTRANGE(""https://docs.google.com/spreadsheets/d/14Bd19lYaqBhU8_DElYkX7l4wRkHqqCUFNJY4AfY3kHU/edit?usp=sharing  #gid=0"",""фіз особи new!relations_name""),6,FALSE)
,
(IF
(
G15166=""юридична особа""
,
VLOO"&amp;"KUP(H15166,IMPORTRANGE(""https://docs.google.com/spreadsheets/d/14Bd19lYaqBhU8_DElYkX7l4wRkHqqCUFNJY4AfY3kHU/edit?usp=sharing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65" s="7" t="s">
        <v>23</v>
      </c>
    </row>
    <row r="15166" spans="1:10" ht="13.2">
      <c r="A15166" s="7">
        <v>15165</v>
      </c>
      <c r="B15166" s="7">
        <v>1</v>
      </c>
      <c r="C15166" s="7" t="s">
        <v>10</v>
      </c>
      <c r="D15166" s="7">
        <v>19550</v>
      </c>
      <c r="E15166" s="7" t="s">
        <v>23</v>
      </c>
      <c r="F15166" s="8" t="str">
        <f ca="1">IFERROR(__xludf.DUMMYFUNCTION("IF
(
C15167=""фізична особа""
,
VLOOKUP(D15167,IMPORTRANGE(""https://docs.google.com/spreadsheets/d/14Bd19lYaqBhU8_DElYkX7l4wRkHqqCUFNJY4AfY3kHU/edit?usp=sharing  #gid=0"",""фіз особи new!relations_name""),6,FALSE)
,
(IF
(
C15167=""юридична особа""
,
VLOO"&amp;"KUP(D15167,IMPORTRANGE(""https://docs.google.com/spreadsheets/d/14Bd19lYaqBhU8_DElYkX7l4wRkHqqCUFNJY4AfY3kHU/edit?usp=sharing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66" s="7" t="s">
        <v>10</v>
      </c>
      <c r="H15166" s="7">
        <v>19548</v>
      </c>
      <c r="I15166" s="8" t="str">
        <f ca="1">IFERROR(__xludf.DUMMYFUNCTION("IF
(
G15167=""фізична особа""
,
VLOOKUP(H15167,IMPORTRANGE(""https://docs.google.com/spreadsheets/d/14Bd19lYaqBhU8_DElYkX7l4wRkHqqCUFNJY4AfY3kHU/edit?usp=sharing  #gid=0"",""фіз особи new!relations_name""),6,FALSE)
,
(IF
(
G15167=""юридична особа""
,
VLOO"&amp;"KUP(H15167,IMPORTRANGE(""https://docs.google.com/spreadsheets/d/14Bd19lYaqBhU8_DElYkX7l4wRkHqqCUFNJY4AfY3kHU/edit?usp=sharing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66" s="7" t="s">
        <v>23</v>
      </c>
    </row>
    <row r="15167" spans="1:10" ht="13.2">
      <c r="A15167" s="7">
        <v>15166</v>
      </c>
      <c r="B15167" s="7">
        <v>1</v>
      </c>
      <c r="C15167" s="7" t="s">
        <v>10</v>
      </c>
      <c r="D15167" s="7">
        <v>19550</v>
      </c>
      <c r="E15167" s="7" t="s">
        <v>23</v>
      </c>
      <c r="F15167" s="8" t="str">
        <f ca="1">IFERROR(__xludf.DUMMYFUNCTION("IF
(
C15168=""фізична особа""
,
VLOOKUP(D15168,IMPORTRANGE(""https://docs.google.com/spreadsheets/d/14Bd19lYaqBhU8_DElYkX7l4wRkHqqCUFNJY4AfY3kHU/edit?usp=sharing  #gid=0"",""фіз особи new!relations_name""),6,FALSE)
,
(IF
(
C15168=""юридична особа""
,
VLOO"&amp;"KUP(D15168,IMPORTRANGE(""https://docs.google.com/spreadsheets/d/14Bd19lYaqBhU8_DElYkX7l4wRkHqqCUFNJY4AfY3kHU/edit?usp=sharing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67" s="7" t="s">
        <v>10</v>
      </c>
      <c r="H15167" s="7">
        <v>19549</v>
      </c>
      <c r="I15167" s="8" t="str">
        <f ca="1">IFERROR(__xludf.DUMMYFUNCTION("IF
(
G15168=""фізична особа""
,
VLOOKUP(H15168,IMPORTRANGE(""https://docs.google.com/spreadsheets/d/14Bd19lYaqBhU8_DElYkX7l4wRkHqqCUFNJY4AfY3kHU/edit?usp=sharing  #gid=0"",""фіз особи new!relations_name""),6,FALSE)
,
(IF
(
G15168=""юридична особа""
,
VLOO"&amp;"KUP(H15168,IMPORTRANGE(""https://docs.google.com/spreadsheets/d/14Bd19lYaqBhU8_DElYkX7l4wRkHqqCUFNJY4AfY3kHU/edit?usp=sharing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67" s="7" t="s">
        <v>23</v>
      </c>
    </row>
    <row r="15168" spans="1:10" ht="13.2">
      <c r="A15168" s="7">
        <v>15167</v>
      </c>
      <c r="B15168" s="7">
        <v>1</v>
      </c>
      <c r="C15168" s="7" t="s">
        <v>10</v>
      </c>
      <c r="D15168" s="7">
        <v>19550</v>
      </c>
      <c r="E15168" s="7" t="s">
        <v>23</v>
      </c>
      <c r="F15168" s="8" t="str">
        <f ca="1">IFERROR(__xludf.DUMMYFUNCTION("IF
(
C15169=""фізична особа""
,
VLOOKUP(D15169,IMPORTRANGE(""https://docs.google.com/spreadsheets/d/14Bd19lYaqBhU8_DElYkX7l4wRkHqqCUFNJY4AfY3kHU/edit?usp=sharing  #gid=0"",""фіз особи new!relations_name""),6,FALSE)
,
(IF
(
C15169=""юридична особа""
,
VLOO"&amp;"KUP(D15169,IMPORTRANGE(""https://docs.google.com/spreadsheets/d/14Bd19lYaqBhU8_DElYkX7l4wRkHqqCUFNJY4AfY3kHU/edit?usp=sharing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68" s="7" t="s">
        <v>10</v>
      </c>
      <c r="H15168" s="7">
        <v>19551</v>
      </c>
      <c r="I15168" s="8" t="str">
        <f ca="1">IFERROR(__xludf.DUMMYFUNCTION("IF
(
G15169=""фізична особа""
,
VLOOKUP(H15169,IMPORTRANGE(""https://docs.google.com/spreadsheets/d/14Bd19lYaqBhU8_DElYkX7l4wRkHqqCUFNJY4AfY3kHU/edit?usp=sharing  #gid=0"",""фіз особи new!relations_name""),6,FALSE)
,
(IF
(
G15169=""юридична особа""
,
VLOO"&amp;"KUP(H15169,IMPORTRANGE(""https://docs.google.com/spreadsheets/d/14Bd19lYaqBhU8_DElYkX7l4wRkHqqCUFNJY4AfY3kHU/edit?usp=sharing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68" s="7" t="s">
        <v>23</v>
      </c>
    </row>
    <row r="15169" spans="1:10" ht="13.2">
      <c r="A15169" s="7">
        <v>15168</v>
      </c>
      <c r="B15169" s="7">
        <v>1</v>
      </c>
      <c r="C15169" s="7" t="s">
        <v>10</v>
      </c>
      <c r="D15169" s="7">
        <v>19550</v>
      </c>
      <c r="E15169" s="7" t="s">
        <v>23</v>
      </c>
      <c r="F15169" s="8" t="str">
        <f ca="1">IFERROR(__xludf.DUMMYFUNCTION("IF
(
C15170=""фізична особа""
,
VLOOKUP(D15170,IMPORTRANGE(""https://docs.google.com/spreadsheets/d/14Bd19lYaqBhU8_DElYkX7l4wRkHqqCUFNJY4AfY3kHU/edit?usp=sharing  #gid=0"",""фіз особи new!relations_name""),6,FALSE)
,
(IF
(
C15170=""юридична особа""
,
VLOO"&amp;"KUP(D15170,IMPORTRANGE(""https://docs.google.com/spreadsheets/d/14Bd19lYaqBhU8_DElYkX7l4wRkHqqCUFNJY4AfY3kHU/edit?usp=sharing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69" s="7" t="s">
        <v>10</v>
      </c>
      <c r="H15169" s="7">
        <v>19552</v>
      </c>
      <c r="I15169" s="8" t="str">
        <f ca="1">IFERROR(__xludf.DUMMYFUNCTION("IF
(
G15170=""фізична особа""
,
VLOOKUP(H15170,IMPORTRANGE(""https://docs.google.com/spreadsheets/d/14Bd19lYaqBhU8_DElYkX7l4wRkHqqCUFNJY4AfY3kHU/edit?usp=sharing  #gid=0"",""фіз особи new!relations_name""),6,FALSE)
,
(IF
(
G15170=""юридична особа""
,
VLOO"&amp;"KUP(H15170,IMPORTRANGE(""https://docs.google.com/spreadsheets/d/14Bd19lYaqBhU8_DElYkX7l4wRkHqqCUFNJY4AfY3kHU/edit?usp=sharing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69" s="7" t="s">
        <v>23</v>
      </c>
    </row>
    <row r="15170" spans="1:10" ht="13.2">
      <c r="A15170" s="7">
        <v>15169</v>
      </c>
      <c r="B15170" s="7">
        <v>1</v>
      </c>
      <c r="C15170" s="7" t="s">
        <v>10</v>
      </c>
      <c r="D15170" s="7">
        <v>19550</v>
      </c>
      <c r="E15170" s="7" t="s">
        <v>23</v>
      </c>
      <c r="F15170" s="8" t="str">
        <f ca="1">IFERROR(__xludf.DUMMYFUNCTION("IF
(
C15171=""фізична особа""
,
VLOOKUP(D15171,IMPORTRANGE(""https://docs.google.com/spreadsheets/d/14Bd19lYaqBhU8_DElYkX7l4wRkHqqCUFNJY4AfY3kHU/edit?usp=sharing  #gid=0"",""фіз особи new!relations_name""),6,FALSE)
,
(IF
(
C15171=""юридична особа""
,
VLOO"&amp;"KUP(D15171,IMPORTRANGE(""https://docs.google.com/spreadsheets/d/14Bd19lYaqBhU8_DElYkX7l4wRkHqqCUFNJY4AfY3kHU/edit?usp=sharing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70" s="7" t="s">
        <v>10</v>
      </c>
      <c r="H15170" s="7">
        <v>19553</v>
      </c>
      <c r="I15170" s="8" t="str">
        <f ca="1">IFERROR(__xludf.DUMMYFUNCTION("IF
(
G15171=""фізична особа""
,
VLOOKUP(H15171,IMPORTRANGE(""https://docs.google.com/spreadsheets/d/14Bd19lYaqBhU8_DElYkX7l4wRkHqqCUFNJY4AfY3kHU/edit?usp=sharing  #gid=0"",""фіз особи new!relations_name""),6,FALSE)
,
(IF
(
G15171=""юридична особа""
,
VLOO"&amp;"KUP(H15171,IMPORTRANGE(""https://docs.google.com/spreadsheets/d/14Bd19lYaqBhU8_DElYkX7l4wRkHqqCUFNJY4AfY3kHU/edit?usp=sharing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70" s="7" t="s">
        <v>23</v>
      </c>
    </row>
    <row r="15171" spans="1:10" ht="13.2">
      <c r="A15171" s="7">
        <v>15170</v>
      </c>
      <c r="B15171" s="7">
        <v>1</v>
      </c>
      <c r="C15171" s="7" t="s">
        <v>10</v>
      </c>
      <c r="D15171" s="7">
        <v>19550</v>
      </c>
      <c r="E15171" s="7" t="s">
        <v>23</v>
      </c>
      <c r="F15171" s="8" t="str">
        <f ca="1">IFERROR(__xludf.DUMMYFUNCTION("IF
(
C15172=""фізична особа""
,
VLOOKUP(D15172,IMPORTRANGE(""https://docs.google.com/spreadsheets/d/14Bd19lYaqBhU8_DElYkX7l4wRkHqqCUFNJY4AfY3kHU/edit?usp=sharing  #gid=0"",""фіз особи new!relations_name""),6,FALSE)
,
(IF
(
C15172=""юридична особа""
,
VLOO"&amp;"KUP(D15172,IMPORTRANGE(""https://docs.google.com/spreadsheets/d/14Bd19lYaqBhU8_DElYkX7l4wRkHqqCUFNJY4AfY3kHU/edit?usp=sharing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71" s="7" t="s">
        <v>10</v>
      </c>
      <c r="H15171" s="7">
        <v>19554</v>
      </c>
      <c r="I15171" s="8" t="str">
        <f ca="1">IFERROR(__xludf.DUMMYFUNCTION("IF
(
G15172=""фізична особа""
,
VLOOKUP(H15172,IMPORTRANGE(""https://docs.google.com/spreadsheets/d/14Bd19lYaqBhU8_DElYkX7l4wRkHqqCUFNJY4AfY3kHU/edit?usp=sharing  #gid=0"",""фіз особи new!relations_name""),6,FALSE)
,
(IF
(
G15172=""юридична особа""
,
VLOO"&amp;"KUP(H15172,IMPORTRANGE(""https://docs.google.com/spreadsheets/d/14Bd19lYaqBhU8_DElYkX7l4wRkHqqCUFNJY4AfY3kHU/edit?usp=sharing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71" s="7" t="s">
        <v>23</v>
      </c>
    </row>
    <row r="15172" spans="1:10" ht="13.2">
      <c r="A15172" s="7">
        <v>15171</v>
      </c>
      <c r="B15172" s="7">
        <v>1</v>
      </c>
      <c r="C15172" s="7" t="s">
        <v>10</v>
      </c>
      <c r="D15172" s="7">
        <v>19550</v>
      </c>
      <c r="E15172" s="7" t="s">
        <v>23</v>
      </c>
      <c r="F15172" s="8" t="str">
        <f ca="1">IFERROR(__xludf.DUMMYFUNCTION("IF
(
C15173=""фізична особа""
,
VLOOKUP(D15173,IMPORTRANGE(""https://docs.google.com/spreadsheets/d/14Bd19lYaqBhU8_DElYkX7l4wRkHqqCUFNJY4AfY3kHU/edit?usp=sharing  #gid=0"",""фіз особи new!relations_name""),6,FALSE)
,
(IF
(
C15173=""юридична особа""
,
VLOO"&amp;"KUP(D15173,IMPORTRANGE(""https://docs.google.com/spreadsheets/d/14Bd19lYaqBhU8_DElYkX7l4wRkHqqCUFNJY4AfY3kHU/edit?usp=sharing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72" s="7" t="s">
        <v>10</v>
      </c>
      <c r="H15172" s="7">
        <v>19555</v>
      </c>
      <c r="I15172" s="8" t="str">
        <f ca="1">IFERROR(__xludf.DUMMYFUNCTION("IF
(
G15173=""фізична особа""
,
VLOOKUP(H15173,IMPORTRANGE(""https://docs.google.com/spreadsheets/d/14Bd19lYaqBhU8_DElYkX7l4wRkHqqCUFNJY4AfY3kHU/edit?usp=sharing  #gid=0"",""фіз особи new!relations_name""),6,FALSE)
,
(IF
(
G15173=""юридична особа""
,
VLOO"&amp;"KUP(H15173,IMPORTRANGE(""https://docs.google.com/spreadsheets/d/14Bd19lYaqBhU8_DElYkX7l4wRkHqqCUFNJY4AfY3kHU/edit?usp=sharing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72" s="7" t="s">
        <v>23</v>
      </c>
    </row>
    <row r="15173" spans="1:10" ht="13.2">
      <c r="A15173" s="7">
        <v>15172</v>
      </c>
      <c r="B15173" s="7">
        <v>1</v>
      </c>
      <c r="C15173" s="7" t="s">
        <v>10</v>
      </c>
      <c r="D15173" s="7">
        <v>19550</v>
      </c>
      <c r="E15173" s="7" t="s">
        <v>23</v>
      </c>
      <c r="F15173" s="8" t="str">
        <f ca="1">IFERROR(__xludf.DUMMYFUNCTION("IF
(
C15174=""фізична особа""
,
VLOOKUP(D15174,IMPORTRANGE(""https://docs.google.com/spreadsheets/d/14Bd19lYaqBhU8_DElYkX7l4wRkHqqCUFNJY4AfY3kHU/edit?usp=sharing  #gid=0"",""фіз особи new!relations_name""),6,FALSE)
,
(IF
(
C15174=""юридична особа""
,
VLOO"&amp;"KUP(D15174,IMPORTRANGE(""https://docs.google.com/spreadsheets/d/14Bd19lYaqBhU8_DElYkX7l4wRkHqqCUFNJY4AfY3kHU/edit?usp=sharing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G15173" s="7" t="s">
        <v>10</v>
      </c>
      <c r="H15173" s="7">
        <v>19556</v>
      </c>
      <c r="I15173" s="8" t="str">
        <f ca="1">IFERROR(__xludf.DUMMYFUNCTION("IF
(
G15174=""фізична особа""
,
VLOOKUP(H15174,IMPORTRANGE(""https://docs.google.com/spreadsheets/d/14Bd19lYaqBhU8_DElYkX7l4wRkHqqCUFNJY4AfY3kHU/edit?usp=sharing  #gid=0"",""фіз особи new!relations_name""),6,FALSE)
,
(IF
(
G15174=""юридична особа""
,
VLOO"&amp;"KUP(H15174,IMPORTRANGE(""https://docs.google.com/spreadsheets/d/14Bd19lYaqBhU8_DElYkX7l4wRkHqqCUFNJY4AfY3kHU/edit?usp=sharing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73" s="7" t="s">
        <v>23</v>
      </c>
    </row>
    <row r="15174" spans="1:10" ht="13.2">
      <c r="A15174" s="7">
        <v>15173</v>
      </c>
      <c r="B15174" s="7">
        <v>1</v>
      </c>
      <c r="C15174" s="7" t="s">
        <v>10</v>
      </c>
      <c r="D15174" s="7">
        <v>19551</v>
      </c>
      <c r="E15174" s="7" t="s">
        <v>23</v>
      </c>
      <c r="F15174" s="8" t="str">
        <f ca="1">IFERROR(__xludf.DUMMYFUNCTION("IF
(
C15175=""фізична особа""
,
VLOOKUP(D15175,IMPORTRANGE(""https://docs.google.com/spreadsheets/d/14Bd19lYaqBhU8_DElYkX7l4wRkHqqCUFNJY4AfY3kHU/edit?usp=sharing  #gid=0"",""фіз особи new!relations_name""),6,FALSE)
,
(IF
(
C15175=""юридична особа""
,
VLOO"&amp;"KUP(D15175,IMPORTRANGE(""https://docs.google.com/spreadsheets/d/14Bd19lYaqBhU8_DElYkX7l4wRkHqqCUFNJY4AfY3kHU/edit?usp=sharing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4" s="7" t="s">
        <v>10</v>
      </c>
      <c r="H15174" s="7">
        <v>19547</v>
      </c>
      <c r="I15174" s="8" t="str">
        <f ca="1">IFERROR(__xludf.DUMMYFUNCTION("IF
(
G15175=""фізична особа""
,
VLOOKUP(H15175,IMPORTRANGE(""https://docs.google.com/spreadsheets/d/14Bd19lYaqBhU8_DElYkX7l4wRkHqqCUFNJY4AfY3kHU/edit?usp=sharing  #gid=0"",""фіз особи new!relations_name""),6,FALSE)
,
(IF
(
G15175=""юридична особа""
,
VLOO"&amp;"KUP(H15175,IMPORTRANGE(""https://docs.google.com/spreadsheets/d/14Bd19lYaqBhU8_DElYkX7l4wRkHqqCUFNJY4AfY3kHU/edit?usp=sharing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74" s="7" t="s">
        <v>23</v>
      </c>
    </row>
    <row r="15175" spans="1:10" ht="13.2">
      <c r="A15175" s="7">
        <v>15174</v>
      </c>
      <c r="B15175" s="7">
        <v>1</v>
      </c>
      <c r="C15175" s="7" t="s">
        <v>10</v>
      </c>
      <c r="D15175" s="7">
        <v>19551</v>
      </c>
      <c r="E15175" s="7" t="s">
        <v>23</v>
      </c>
      <c r="F15175" s="8" t="str">
        <f ca="1">IFERROR(__xludf.DUMMYFUNCTION("IF
(
C15176=""фізична особа""
,
VLOOKUP(D15176,IMPORTRANGE(""https://docs.google.com/spreadsheets/d/14Bd19lYaqBhU8_DElYkX7l4wRkHqqCUFNJY4AfY3kHU/edit?usp=sharing  #gid=0"",""фіз особи new!relations_name""),6,FALSE)
,
(IF
(
C15176=""юридична особа""
,
VLOO"&amp;"KUP(D15176,IMPORTRANGE(""https://docs.google.com/spreadsheets/d/14Bd19lYaqBhU8_DElYkX7l4wRkHqqCUFNJY4AfY3kHU/edit?usp=sharing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5" s="7" t="s">
        <v>10</v>
      </c>
      <c r="H15175" s="7">
        <v>19548</v>
      </c>
      <c r="I15175" s="8" t="str">
        <f ca="1">IFERROR(__xludf.DUMMYFUNCTION("IF
(
G15176=""фізична особа""
,
VLOOKUP(H15176,IMPORTRANGE(""https://docs.google.com/spreadsheets/d/14Bd19lYaqBhU8_DElYkX7l4wRkHqqCUFNJY4AfY3kHU/edit?usp=sharing  #gid=0"",""фіз особи new!relations_name""),6,FALSE)
,
(IF
(
G15176=""юридична особа""
,
VLOO"&amp;"KUP(H15176,IMPORTRANGE(""https://docs.google.com/spreadsheets/d/14Bd19lYaqBhU8_DElYkX7l4wRkHqqCUFNJY4AfY3kHU/edit?usp=sharing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75" s="7" t="s">
        <v>23</v>
      </c>
    </row>
    <row r="15176" spans="1:10" ht="13.2">
      <c r="A15176" s="7">
        <v>15175</v>
      </c>
      <c r="B15176" s="7">
        <v>1</v>
      </c>
      <c r="C15176" s="7" t="s">
        <v>10</v>
      </c>
      <c r="D15176" s="7">
        <v>19551</v>
      </c>
      <c r="E15176" s="7" t="s">
        <v>23</v>
      </c>
      <c r="F15176" s="8" t="str">
        <f ca="1">IFERROR(__xludf.DUMMYFUNCTION("IF
(
C15177=""фізична особа""
,
VLOOKUP(D15177,IMPORTRANGE(""https://docs.google.com/spreadsheets/d/14Bd19lYaqBhU8_DElYkX7l4wRkHqqCUFNJY4AfY3kHU/edit?usp=sharing  #gid=0"",""фіз особи new!relations_name""),6,FALSE)
,
(IF
(
C15177=""юридична особа""
,
VLOO"&amp;"KUP(D15177,IMPORTRANGE(""https://docs.google.com/spreadsheets/d/14Bd19lYaqBhU8_DElYkX7l4wRkHqqCUFNJY4AfY3kHU/edit?usp=sharing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6" s="7" t="s">
        <v>10</v>
      </c>
      <c r="H15176" s="7">
        <v>19549</v>
      </c>
      <c r="I15176" s="8" t="str">
        <f ca="1">IFERROR(__xludf.DUMMYFUNCTION("IF
(
G15177=""фізична особа""
,
VLOOKUP(H15177,IMPORTRANGE(""https://docs.google.com/spreadsheets/d/14Bd19lYaqBhU8_DElYkX7l4wRkHqqCUFNJY4AfY3kHU/edit?usp=sharing  #gid=0"",""фіз особи new!relations_name""),6,FALSE)
,
(IF
(
G15177=""юридична особа""
,
VLOO"&amp;"KUP(H15177,IMPORTRANGE(""https://docs.google.com/spreadsheets/d/14Bd19lYaqBhU8_DElYkX7l4wRkHqqCUFNJY4AfY3kHU/edit?usp=sharing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76" s="7" t="s">
        <v>23</v>
      </c>
    </row>
    <row r="15177" spans="1:10" ht="13.2">
      <c r="A15177" s="7">
        <v>15176</v>
      </c>
      <c r="B15177" s="7">
        <v>1</v>
      </c>
      <c r="C15177" s="7" t="s">
        <v>10</v>
      </c>
      <c r="D15177" s="7">
        <v>19551</v>
      </c>
      <c r="E15177" s="7" t="s">
        <v>23</v>
      </c>
      <c r="F15177" s="8" t="str">
        <f ca="1">IFERROR(__xludf.DUMMYFUNCTION("IF
(
C15178=""фізична особа""
,
VLOOKUP(D15178,IMPORTRANGE(""https://docs.google.com/spreadsheets/d/14Bd19lYaqBhU8_DElYkX7l4wRkHqqCUFNJY4AfY3kHU/edit?usp=sharing  #gid=0"",""фіз особи new!relations_name""),6,FALSE)
,
(IF
(
C15178=""юридична особа""
,
VLOO"&amp;"KUP(D15178,IMPORTRANGE(""https://docs.google.com/spreadsheets/d/14Bd19lYaqBhU8_DElYkX7l4wRkHqqCUFNJY4AfY3kHU/edit?usp=sharing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7" s="7" t="s">
        <v>10</v>
      </c>
      <c r="H15177" s="7">
        <v>19550</v>
      </c>
      <c r="I15177" s="8" t="str">
        <f ca="1">IFERROR(__xludf.DUMMYFUNCTION("IF
(
G15178=""фізична особа""
,
VLOOKUP(H15178,IMPORTRANGE(""https://docs.google.com/spreadsheets/d/14Bd19lYaqBhU8_DElYkX7l4wRkHqqCUFNJY4AfY3kHU/edit?usp=sharing  #gid=0"",""фіз особи new!relations_name""),6,FALSE)
,
(IF
(
G15178=""юридична особа""
,
VLOO"&amp;"KUP(H15178,IMPORTRANGE(""https://docs.google.com/spreadsheets/d/14Bd19lYaqBhU8_DElYkX7l4wRkHqqCUFNJY4AfY3kHU/edit?usp=sharing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77" s="7" t="s">
        <v>23</v>
      </c>
    </row>
    <row r="15178" spans="1:10" ht="13.2">
      <c r="A15178" s="7">
        <v>15177</v>
      </c>
      <c r="B15178" s="7">
        <v>1</v>
      </c>
      <c r="C15178" s="7" t="s">
        <v>10</v>
      </c>
      <c r="D15178" s="7">
        <v>19551</v>
      </c>
      <c r="E15178" s="7" t="s">
        <v>23</v>
      </c>
      <c r="F15178" s="8" t="str">
        <f ca="1">IFERROR(__xludf.DUMMYFUNCTION("IF
(
C15179=""фізична особа""
,
VLOOKUP(D15179,IMPORTRANGE(""https://docs.google.com/spreadsheets/d/14Bd19lYaqBhU8_DElYkX7l4wRkHqqCUFNJY4AfY3kHU/edit?usp=sharing  #gid=0"",""фіз особи new!relations_name""),6,FALSE)
,
(IF
(
C15179=""юридична особа""
,
VLOO"&amp;"KUP(D15179,IMPORTRANGE(""https://docs.google.com/spreadsheets/d/14Bd19lYaqBhU8_DElYkX7l4wRkHqqCUFNJY4AfY3kHU/edit?usp=sharing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8" s="7" t="s">
        <v>10</v>
      </c>
      <c r="H15178" s="7">
        <v>19552</v>
      </c>
      <c r="I15178" s="8" t="str">
        <f ca="1">IFERROR(__xludf.DUMMYFUNCTION("IF
(
G15179=""фізична особа""
,
VLOOKUP(H15179,IMPORTRANGE(""https://docs.google.com/spreadsheets/d/14Bd19lYaqBhU8_DElYkX7l4wRkHqqCUFNJY4AfY3kHU/edit?usp=sharing  #gid=0"",""фіз особи new!relations_name""),6,FALSE)
,
(IF
(
G15179=""юридична особа""
,
VLOO"&amp;"KUP(H15179,IMPORTRANGE(""https://docs.google.com/spreadsheets/d/14Bd19lYaqBhU8_DElYkX7l4wRkHqqCUFNJY4AfY3kHU/edit?usp=sharing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78" s="7" t="s">
        <v>23</v>
      </c>
    </row>
    <row r="15179" spans="1:10" ht="13.2">
      <c r="A15179" s="7">
        <v>15178</v>
      </c>
      <c r="B15179" s="7">
        <v>1</v>
      </c>
      <c r="C15179" s="7" t="s">
        <v>10</v>
      </c>
      <c r="D15179" s="7">
        <v>19551</v>
      </c>
      <c r="E15179" s="7" t="s">
        <v>23</v>
      </c>
      <c r="F15179" s="8" t="str">
        <f ca="1">IFERROR(__xludf.DUMMYFUNCTION("IF
(
C15180=""фізична особа""
,
VLOOKUP(D15180,IMPORTRANGE(""https://docs.google.com/spreadsheets/d/14Bd19lYaqBhU8_DElYkX7l4wRkHqqCUFNJY4AfY3kHU/edit?usp=sharing  #gid=0"",""фіз особи new!relations_name""),6,FALSE)
,
(IF
(
C15180=""юридична особа""
,
VLOO"&amp;"KUP(D15180,IMPORTRANGE(""https://docs.google.com/spreadsheets/d/14Bd19lYaqBhU8_DElYkX7l4wRkHqqCUFNJY4AfY3kHU/edit?usp=sharing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79" s="7" t="s">
        <v>10</v>
      </c>
      <c r="H15179" s="7">
        <v>19553</v>
      </c>
      <c r="I15179" s="8" t="str">
        <f ca="1">IFERROR(__xludf.DUMMYFUNCTION("IF
(
G15180=""фізична особа""
,
VLOOKUP(H15180,IMPORTRANGE(""https://docs.google.com/spreadsheets/d/14Bd19lYaqBhU8_DElYkX7l4wRkHqqCUFNJY4AfY3kHU/edit?usp=sharing  #gid=0"",""фіз особи new!relations_name""),6,FALSE)
,
(IF
(
G15180=""юридична особа""
,
VLOO"&amp;"KUP(H15180,IMPORTRANGE(""https://docs.google.com/spreadsheets/d/14Bd19lYaqBhU8_DElYkX7l4wRkHqqCUFNJY4AfY3kHU/edit?usp=sharing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79" s="7" t="s">
        <v>23</v>
      </c>
    </row>
    <row r="15180" spans="1:10" ht="13.2">
      <c r="A15180" s="7">
        <v>15179</v>
      </c>
      <c r="B15180" s="7">
        <v>1</v>
      </c>
      <c r="C15180" s="7" t="s">
        <v>10</v>
      </c>
      <c r="D15180" s="7">
        <v>19551</v>
      </c>
      <c r="E15180" s="7" t="s">
        <v>23</v>
      </c>
      <c r="F15180" s="8" t="str">
        <f ca="1">IFERROR(__xludf.DUMMYFUNCTION("IF
(
C15181=""фізична особа""
,
VLOOKUP(D15181,IMPORTRANGE(""https://docs.google.com/spreadsheets/d/14Bd19lYaqBhU8_DElYkX7l4wRkHqqCUFNJY4AfY3kHU/edit?usp=sharing  #gid=0"",""фіз особи new!relations_name""),6,FALSE)
,
(IF
(
C15181=""юридична особа""
,
VLOO"&amp;"KUP(D15181,IMPORTRANGE(""https://docs.google.com/spreadsheets/d/14Bd19lYaqBhU8_DElYkX7l4wRkHqqCUFNJY4AfY3kHU/edit?usp=sharing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80" s="7" t="s">
        <v>10</v>
      </c>
      <c r="H15180" s="7">
        <v>19554</v>
      </c>
      <c r="I15180" s="8" t="str">
        <f ca="1">IFERROR(__xludf.DUMMYFUNCTION("IF
(
G15181=""фізична особа""
,
VLOOKUP(H15181,IMPORTRANGE(""https://docs.google.com/spreadsheets/d/14Bd19lYaqBhU8_DElYkX7l4wRkHqqCUFNJY4AfY3kHU/edit?usp=sharing  #gid=0"",""фіз особи new!relations_name""),6,FALSE)
,
(IF
(
G15181=""юридична особа""
,
VLOO"&amp;"KUP(H15181,IMPORTRANGE(""https://docs.google.com/spreadsheets/d/14Bd19lYaqBhU8_DElYkX7l4wRkHqqCUFNJY4AfY3kHU/edit?usp=sharing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80" s="7" t="s">
        <v>23</v>
      </c>
    </row>
    <row r="15181" spans="1:10" ht="13.2">
      <c r="A15181" s="7">
        <v>15180</v>
      </c>
      <c r="B15181" s="7">
        <v>1</v>
      </c>
      <c r="C15181" s="7" t="s">
        <v>10</v>
      </c>
      <c r="D15181" s="7">
        <v>19551</v>
      </c>
      <c r="E15181" s="7" t="s">
        <v>23</v>
      </c>
      <c r="F15181" s="8" t="str">
        <f ca="1">IFERROR(__xludf.DUMMYFUNCTION("IF
(
C15182=""фізична особа""
,
VLOOKUP(D15182,IMPORTRANGE(""https://docs.google.com/spreadsheets/d/14Bd19lYaqBhU8_DElYkX7l4wRkHqqCUFNJY4AfY3kHU/edit?usp=sharing  #gid=0"",""фіз особи new!relations_name""),6,FALSE)
,
(IF
(
C15182=""юридична особа""
,
VLOO"&amp;"KUP(D15182,IMPORTRANGE(""https://docs.google.com/spreadsheets/d/14Bd19lYaqBhU8_DElYkX7l4wRkHqqCUFNJY4AfY3kHU/edit?usp=sharing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81" s="7" t="s">
        <v>10</v>
      </c>
      <c r="H15181" s="7">
        <v>19555</v>
      </c>
      <c r="I15181" s="8" t="str">
        <f ca="1">IFERROR(__xludf.DUMMYFUNCTION("IF
(
G15182=""фізична особа""
,
VLOOKUP(H15182,IMPORTRANGE(""https://docs.google.com/spreadsheets/d/14Bd19lYaqBhU8_DElYkX7l4wRkHqqCUFNJY4AfY3kHU/edit?usp=sharing  #gid=0"",""фіз особи new!relations_name""),6,FALSE)
,
(IF
(
G15182=""юридична особа""
,
VLOO"&amp;"KUP(H15182,IMPORTRANGE(""https://docs.google.com/spreadsheets/d/14Bd19lYaqBhU8_DElYkX7l4wRkHqqCUFNJY4AfY3kHU/edit?usp=sharing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81" s="7" t="s">
        <v>23</v>
      </c>
    </row>
    <row r="15182" spans="1:10" ht="13.2">
      <c r="A15182" s="7">
        <v>15181</v>
      </c>
      <c r="B15182" s="7">
        <v>1</v>
      </c>
      <c r="C15182" s="7" t="s">
        <v>10</v>
      </c>
      <c r="D15182" s="7">
        <v>19551</v>
      </c>
      <c r="E15182" s="7" t="s">
        <v>23</v>
      </c>
      <c r="F15182" s="8" t="str">
        <f ca="1">IFERROR(__xludf.DUMMYFUNCTION("IF
(
C15183=""фізична особа""
,
VLOOKUP(D15183,IMPORTRANGE(""https://docs.google.com/spreadsheets/d/14Bd19lYaqBhU8_DElYkX7l4wRkHqqCUFNJY4AfY3kHU/edit?usp=sharing  #gid=0"",""фіз особи new!relations_name""),6,FALSE)
,
(IF
(
C15183=""юридична особа""
,
VLOO"&amp;"KUP(D15183,IMPORTRANGE(""https://docs.google.com/spreadsheets/d/14Bd19lYaqBhU8_DElYkX7l4wRkHqqCUFNJY4AfY3kHU/edit?usp=sharing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G15182" s="7" t="s">
        <v>10</v>
      </c>
      <c r="H15182" s="7">
        <v>19556</v>
      </c>
      <c r="I15182" s="8" t="str">
        <f ca="1">IFERROR(__xludf.DUMMYFUNCTION("IF
(
G15183=""фізична особа""
,
VLOOKUP(H15183,IMPORTRANGE(""https://docs.google.com/spreadsheets/d/14Bd19lYaqBhU8_DElYkX7l4wRkHqqCUFNJY4AfY3kHU/edit?usp=sharing  #gid=0"",""фіз особи new!relations_name""),6,FALSE)
,
(IF
(
G15183=""юридична особа""
,
VLOO"&amp;"KUP(H15183,IMPORTRANGE(""https://docs.google.com/spreadsheets/d/14Bd19lYaqBhU8_DElYkX7l4wRkHqqCUFNJY4AfY3kHU/edit?usp=sharing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82" s="7" t="s">
        <v>23</v>
      </c>
    </row>
    <row r="15183" spans="1:10" ht="13.2">
      <c r="A15183" s="7">
        <v>15182</v>
      </c>
      <c r="B15183" s="7">
        <v>1</v>
      </c>
      <c r="C15183" s="7" t="s">
        <v>10</v>
      </c>
      <c r="D15183" s="7">
        <v>19552</v>
      </c>
      <c r="E15183" s="7" t="s">
        <v>23</v>
      </c>
      <c r="F15183" s="8" t="str">
        <f ca="1">IFERROR(__xludf.DUMMYFUNCTION("IF
(
C15184=""фізична особа""
,
VLOOKUP(D15184,IMPORTRANGE(""https://docs.google.com/spreadsheets/d/14Bd19lYaqBhU8_DElYkX7l4wRkHqqCUFNJY4AfY3kHU/edit?usp=sharing  #gid=0"",""фіз особи new!relations_name""),6,FALSE)
,
(IF
(
C15184=""юридична особа""
,
VLOO"&amp;"KUP(D15184,IMPORTRANGE(""https://docs.google.com/spreadsheets/d/14Bd19lYaqBhU8_DElYkX7l4wRkHqqCUFNJY4AfY3kHU/edit?usp=sharing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3" s="7" t="s">
        <v>10</v>
      </c>
      <c r="H15183" s="7">
        <v>19547</v>
      </c>
      <c r="I15183" s="8" t="str">
        <f ca="1">IFERROR(__xludf.DUMMYFUNCTION("IF
(
G15184=""фізична особа""
,
VLOOKUP(H15184,IMPORTRANGE(""https://docs.google.com/spreadsheets/d/14Bd19lYaqBhU8_DElYkX7l4wRkHqqCUFNJY4AfY3kHU/edit?usp=sharing  #gid=0"",""фіз особи new!relations_name""),6,FALSE)
,
(IF
(
G15184=""юридична особа""
,
VLOO"&amp;"KUP(H15184,IMPORTRANGE(""https://docs.google.com/spreadsheets/d/14Bd19lYaqBhU8_DElYkX7l4wRkHqqCUFNJY4AfY3kHU/edit?usp=sharing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83" s="7" t="s">
        <v>23</v>
      </c>
    </row>
    <row r="15184" spans="1:10" ht="13.2">
      <c r="A15184" s="7">
        <v>15183</v>
      </c>
      <c r="B15184" s="7">
        <v>1</v>
      </c>
      <c r="C15184" s="7" t="s">
        <v>10</v>
      </c>
      <c r="D15184" s="7">
        <v>19552</v>
      </c>
      <c r="E15184" s="7" t="s">
        <v>23</v>
      </c>
      <c r="F15184" s="8" t="str">
        <f ca="1">IFERROR(__xludf.DUMMYFUNCTION("IF
(
C15185=""фізична особа""
,
VLOOKUP(D15185,IMPORTRANGE(""https://docs.google.com/spreadsheets/d/14Bd19lYaqBhU8_DElYkX7l4wRkHqqCUFNJY4AfY3kHU/edit?usp=sharing  #gid=0"",""фіз особи new!relations_name""),6,FALSE)
,
(IF
(
C15185=""юридична особа""
,
VLOO"&amp;"KUP(D15185,IMPORTRANGE(""https://docs.google.com/spreadsheets/d/14Bd19lYaqBhU8_DElYkX7l4wRkHqqCUFNJY4AfY3kHU/edit?usp=sharing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4" s="7" t="s">
        <v>10</v>
      </c>
      <c r="H15184" s="7">
        <v>19548</v>
      </c>
      <c r="I15184" s="8" t="str">
        <f ca="1">IFERROR(__xludf.DUMMYFUNCTION("IF
(
G15185=""фізична особа""
,
VLOOKUP(H15185,IMPORTRANGE(""https://docs.google.com/spreadsheets/d/14Bd19lYaqBhU8_DElYkX7l4wRkHqqCUFNJY4AfY3kHU/edit?usp=sharing  #gid=0"",""фіз особи new!relations_name""),6,FALSE)
,
(IF
(
G15185=""юридична особа""
,
VLOO"&amp;"KUP(H15185,IMPORTRANGE(""https://docs.google.com/spreadsheets/d/14Bd19lYaqBhU8_DElYkX7l4wRkHqqCUFNJY4AfY3kHU/edit?usp=sharing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84" s="7" t="s">
        <v>23</v>
      </c>
    </row>
    <row r="15185" spans="1:10" ht="13.2">
      <c r="A15185" s="7">
        <v>15184</v>
      </c>
      <c r="B15185" s="7">
        <v>1</v>
      </c>
      <c r="C15185" s="7" t="s">
        <v>10</v>
      </c>
      <c r="D15185" s="7">
        <v>19552</v>
      </c>
      <c r="E15185" s="7" t="s">
        <v>23</v>
      </c>
      <c r="F15185" s="8" t="str">
        <f ca="1">IFERROR(__xludf.DUMMYFUNCTION("IF
(
C15186=""фізична особа""
,
VLOOKUP(D15186,IMPORTRANGE(""https://docs.google.com/spreadsheets/d/14Bd19lYaqBhU8_DElYkX7l4wRkHqqCUFNJY4AfY3kHU/edit?usp=sharing  #gid=0"",""фіз особи new!relations_name""),6,FALSE)
,
(IF
(
C15186=""юридична особа""
,
VLOO"&amp;"KUP(D15186,IMPORTRANGE(""https://docs.google.com/spreadsheets/d/14Bd19lYaqBhU8_DElYkX7l4wRkHqqCUFNJY4AfY3kHU/edit?usp=sharing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5" s="7" t="s">
        <v>10</v>
      </c>
      <c r="H15185" s="7">
        <v>19549</v>
      </c>
      <c r="I15185" s="8" t="str">
        <f ca="1">IFERROR(__xludf.DUMMYFUNCTION("IF
(
G15186=""фізична особа""
,
VLOOKUP(H15186,IMPORTRANGE(""https://docs.google.com/spreadsheets/d/14Bd19lYaqBhU8_DElYkX7l4wRkHqqCUFNJY4AfY3kHU/edit?usp=sharing  #gid=0"",""фіз особи new!relations_name""),6,FALSE)
,
(IF
(
G15186=""юридична особа""
,
VLOO"&amp;"KUP(H15186,IMPORTRANGE(""https://docs.google.com/spreadsheets/d/14Bd19lYaqBhU8_DElYkX7l4wRkHqqCUFNJY4AfY3kHU/edit?usp=sharing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85" s="7" t="s">
        <v>23</v>
      </c>
    </row>
    <row r="15186" spans="1:10" ht="13.2">
      <c r="A15186" s="7">
        <v>15185</v>
      </c>
      <c r="B15186" s="7">
        <v>1</v>
      </c>
      <c r="C15186" s="7" t="s">
        <v>10</v>
      </c>
      <c r="D15186" s="7">
        <v>19552</v>
      </c>
      <c r="E15186" s="7" t="s">
        <v>23</v>
      </c>
      <c r="F15186" s="8" t="str">
        <f ca="1">IFERROR(__xludf.DUMMYFUNCTION("IF
(
C15187=""фізична особа""
,
VLOOKUP(D15187,IMPORTRANGE(""https://docs.google.com/spreadsheets/d/14Bd19lYaqBhU8_DElYkX7l4wRkHqqCUFNJY4AfY3kHU/edit?usp=sharing  #gid=0"",""фіз особи new!relations_name""),6,FALSE)
,
(IF
(
C15187=""юридична особа""
,
VLOO"&amp;"KUP(D15187,IMPORTRANGE(""https://docs.google.com/spreadsheets/d/14Bd19lYaqBhU8_DElYkX7l4wRkHqqCUFNJY4AfY3kHU/edit?usp=sharing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6" s="7" t="s">
        <v>10</v>
      </c>
      <c r="H15186" s="7">
        <v>19550</v>
      </c>
      <c r="I15186" s="8" t="str">
        <f ca="1">IFERROR(__xludf.DUMMYFUNCTION("IF
(
G15187=""фізична особа""
,
VLOOKUP(H15187,IMPORTRANGE(""https://docs.google.com/spreadsheets/d/14Bd19lYaqBhU8_DElYkX7l4wRkHqqCUFNJY4AfY3kHU/edit?usp=sharing  #gid=0"",""фіз особи new!relations_name""),6,FALSE)
,
(IF
(
G15187=""юридична особа""
,
VLOO"&amp;"KUP(H15187,IMPORTRANGE(""https://docs.google.com/spreadsheets/d/14Bd19lYaqBhU8_DElYkX7l4wRkHqqCUFNJY4AfY3kHU/edit?usp=sharing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86" s="7" t="s">
        <v>23</v>
      </c>
    </row>
    <row r="15187" spans="1:10" ht="13.2">
      <c r="A15187" s="7">
        <v>15186</v>
      </c>
      <c r="B15187" s="7">
        <v>1</v>
      </c>
      <c r="C15187" s="7" t="s">
        <v>10</v>
      </c>
      <c r="D15187" s="7">
        <v>19552</v>
      </c>
      <c r="E15187" s="7" t="s">
        <v>23</v>
      </c>
      <c r="F15187" s="8" t="str">
        <f ca="1">IFERROR(__xludf.DUMMYFUNCTION("IF
(
C15188=""фізична особа""
,
VLOOKUP(D15188,IMPORTRANGE(""https://docs.google.com/spreadsheets/d/14Bd19lYaqBhU8_DElYkX7l4wRkHqqCUFNJY4AfY3kHU/edit?usp=sharing  #gid=0"",""фіз особи new!relations_name""),6,FALSE)
,
(IF
(
C15188=""юридична особа""
,
VLOO"&amp;"KUP(D15188,IMPORTRANGE(""https://docs.google.com/spreadsheets/d/14Bd19lYaqBhU8_DElYkX7l4wRkHqqCUFNJY4AfY3kHU/edit?usp=sharing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7" s="7" t="s">
        <v>10</v>
      </c>
      <c r="H15187" s="7">
        <v>19551</v>
      </c>
      <c r="I15187" s="8" t="str">
        <f ca="1">IFERROR(__xludf.DUMMYFUNCTION("IF
(
G15188=""фізична особа""
,
VLOOKUP(H15188,IMPORTRANGE(""https://docs.google.com/spreadsheets/d/14Bd19lYaqBhU8_DElYkX7l4wRkHqqCUFNJY4AfY3kHU/edit?usp=sharing  #gid=0"",""фіз особи new!relations_name""),6,FALSE)
,
(IF
(
G15188=""юридична особа""
,
VLOO"&amp;"KUP(H15188,IMPORTRANGE(""https://docs.google.com/spreadsheets/d/14Bd19lYaqBhU8_DElYkX7l4wRkHqqCUFNJY4AfY3kHU/edit?usp=sharing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87" s="7" t="s">
        <v>23</v>
      </c>
    </row>
    <row r="15188" spans="1:10" ht="13.2">
      <c r="A15188" s="7">
        <v>15187</v>
      </c>
      <c r="B15188" s="7">
        <v>1</v>
      </c>
      <c r="C15188" s="7" t="s">
        <v>10</v>
      </c>
      <c r="D15188" s="7">
        <v>19552</v>
      </c>
      <c r="E15188" s="7" t="s">
        <v>23</v>
      </c>
      <c r="F15188" s="8" t="str">
        <f ca="1">IFERROR(__xludf.DUMMYFUNCTION("IF
(
C15189=""фізична особа""
,
VLOOKUP(D15189,IMPORTRANGE(""https://docs.google.com/spreadsheets/d/14Bd19lYaqBhU8_DElYkX7l4wRkHqqCUFNJY4AfY3kHU/edit?usp=sharing  #gid=0"",""фіз особи new!relations_name""),6,FALSE)
,
(IF
(
C15189=""юридична особа""
,
VLOO"&amp;"KUP(D15189,IMPORTRANGE(""https://docs.google.com/spreadsheets/d/14Bd19lYaqBhU8_DElYkX7l4wRkHqqCUFNJY4AfY3kHU/edit?usp=sharing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8" s="7" t="s">
        <v>10</v>
      </c>
      <c r="H15188" s="7">
        <v>19553</v>
      </c>
      <c r="I15188" s="8" t="str">
        <f ca="1">IFERROR(__xludf.DUMMYFUNCTION("IF
(
G15189=""фізична особа""
,
VLOOKUP(H15189,IMPORTRANGE(""https://docs.google.com/spreadsheets/d/14Bd19lYaqBhU8_DElYkX7l4wRkHqqCUFNJY4AfY3kHU/edit?usp=sharing  #gid=0"",""фіз особи new!relations_name""),6,FALSE)
,
(IF
(
G15189=""юридична особа""
,
VLOO"&amp;"KUP(H15189,IMPORTRANGE(""https://docs.google.com/spreadsheets/d/14Bd19lYaqBhU8_DElYkX7l4wRkHqqCUFNJY4AfY3kHU/edit?usp=sharing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188" s="7" t="s">
        <v>23</v>
      </c>
    </row>
    <row r="15189" spans="1:10" ht="13.2">
      <c r="A15189" s="7">
        <v>15188</v>
      </c>
      <c r="B15189" s="7">
        <v>1</v>
      </c>
      <c r="C15189" s="7" t="s">
        <v>10</v>
      </c>
      <c r="D15189" s="7">
        <v>19552</v>
      </c>
      <c r="E15189" s="7" t="s">
        <v>23</v>
      </c>
      <c r="F15189" s="8" t="str">
        <f ca="1">IFERROR(__xludf.DUMMYFUNCTION("IF
(
C15190=""фізична особа""
,
VLOOKUP(D15190,IMPORTRANGE(""https://docs.google.com/spreadsheets/d/14Bd19lYaqBhU8_DElYkX7l4wRkHqqCUFNJY4AfY3kHU/edit?usp=sharing  #gid=0"",""фіз особи new!relations_name""),6,FALSE)
,
(IF
(
C15190=""юридична особа""
,
VLOO"&amp;"KUP(D15190,IMPORTRANGE(""https://docs.google.com/spreadsheets/d/14Bd19lYaqBhU8_DElYkX7l4wRkHqqCUFNJY4AfY3kHU/edit?usp=sharing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89" s="7" t="s">
        <v>10</v>
      </c>
      <c r="H15189" s="7">
        <v>19554</v>
      </c>
      <c r="I15189" s="8" t="str">
        <f ca="1">IFERROR(__xludf.DUMMYFUNCTION("IF
(
G15190=""фізична особа""
,
VLOOKUP(H15190,IMPORTRANGE(""https://docs.google.com/spreadsheets/d/14Bd19lYaqBhU8_DElYkX7l4wRkHqqCUFNJY4AfY3kHU/edit?usp=sharing  #gid=0"",""фіз особи new!relations_name""),6,FALSE)
,
(IF
(
G15190=""юридична особа""
,
VLOO"&amp;"KUP(H15190,IMPORTRANGE(""https://docs.google.com/spreadsheets/d/14Bd19lYaqBhU8_DElYkX7l4wRkHqqCUFNJY4AfY3kHU/edit?usp=sharing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89" s="7" t="s">
        <v>23</v>
      </c>
    </row>
    <row r="15190" spans="1:10" ht="13.2">
      <c r="A15190" s="7">
        <v>15189</v>
      </c>
      <c r="B15190" s="7">
        <v>1</v>
      </c>
      <c r="C15190" s="7" t="s">
        <v>10</v>
      </c>
      <c r="D15190" s="7">
        <v>19552</v>
      </c>
      <c r="E15190" s="7" t="s">
        <v>23</v>
      </c>
      <c r="F15190" s="8" t="str">
        <f ca="1">IFERROR(__xludf.DUMMYFUNCTION("IF
(
C15191=""фізична особа""
,
VLOOKUP(D15191,IMPORTRANGE(""https://docs.google.com/spreadsheets/d/14Bd19lYaqBhU8_DElYkX7l4wRkHqqCUFNJY4AfY3kHU/edit?usp=sharing  #gid=0"",""фіз особи new!relations_name""),6,FALSE)
,
(IF
(
C15191=""юридична особа""
,
VLOO"&amp;"KUP(D15191,IMPORTRANGE(""https://docs.google.com/spreadsheets/d/14Bd19lYaqBhU8_DElYkX7l4wRkHqqCUFNJY4AfY3kHU/edit?usp=sharing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90" s="7" t="s">
        <v>10</v>
      </c>
      <c r="H15190" s="7">
        <v>19555</v>
      </c>
      <c r="I15190" s="8" t="str">
        <f ca="1">IFERROR(__xludf.DUMMYFUNCTION("IF
(
G15191=""фізична особа""
,
VLOOKUP(H15191,IMPORTRANGE(""https://docs.google.com/spreadsheets/d/14Bd19lYaqBhU8_DElYkX7l4wRkHqqCUFNJY4AfY3kHU/edit?usp=sharing  #gid=0"",""фіз особи new!relations_name""),6,FALSE)
,
(IF
(
G15191=""юридична особа""
,
VLOO"&amp;"KUP(H15191,IMPORTRANGE(""https://docs.google.com/spreadsheets/d/14Bd19lYaqBhU8_DElYkX7l4wRkHqqCUFNJY4AfY3kHU/edit?usp=sharing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90" s="7" t="s">
        <v>23</v>
      </c>
    </row>
    <row r="15191" spans="1:10" ht="13.2">
      <c r="A15191" s="7">
        <v>15190</v>
      </c>
      <c r="B15191" s="7">
        <v>1</v>
      </c>
      <c r="C15191" s="7" t="s">
        <v>10</v>
      </c>
      <c r="D15191" s="7">
        <v>19552</v>
      </c>
      <c r="E15191" s="7" t="s">
        <v>23</v>
      </c>
      <c r="F15191" s="8" t="str">
        <f ca="1">IFERROR(__xludf.DUMMYFUNCTION("IF
(
C15192=""фізична особа""
,
VLOOKUP(D15192,IMPORTRANGE(""https://docs.google.com/spreadsheets/d/14Bd19lYaqBhU8_DElYkX7l4wRkHqqCUFNJY4AfY3kHU/edit?usp=sharing  #gid=0"",""фіз особи new!relations_name""),6,FALSE)
,
(IF
(
C15192=""юридична особа""
,
VLOO"&amp;"KUP(D15192,IMPORTRANGE(""https://docs.google.com/spreadsheets/d/14Bd19lYaqBhU8_DElYkX7l4wRkHqqCUFNJY4AfY3kHU/edit?usp=sharing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G15191" s="7" t="s">
        <v>10</v>
      </c>
      <c r="H15191" s="7">
        <v>19556</v>
      </c>
      <c r="I15191" s="8" t="str">
        <f ca="1">IFERROR(__xludf.DUMMYFUNCTION("IF
(
G15192=""фізична особа""
,
VLOOKUP(H15192,IMPORTRANGE(""https://docs.google.com/spreadsheets/d/14Bd19lYaqBhU8_DElYkX7l4wRkHqqCUFNJY4AfY3kHU/edit?usp=sharing  #gid=0"",""фіз особи new!relations_name""),6,FALSE)
,
(IF
(
G15192=""юридична особа""
,
VLOO"&amp;"KUP(H15192,IMPORTRANGE(""https://docs.google.com/spreadsheets/d/14Bd19lYaqBhU8_DElYkX7l4wRkHqqCUFNJY4AfY3kHU/edit?usp=sharing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191" s="7" t="s">
        <v>23</v>
      </c>
    </row>
    <row r="15192" spans="1:10" ht="13.2">
      <c r="A15192" s="7">
        <v>15191</v>
      </c>
      <c r="B15192" s="7">
        <v>1</v>
      </c>
      <c r="C15192" s="7" t="s">
        <v>10</v>
      </c>
      <c r="D15192" s="7">
        <v>19553</v>
      </c>
      <c r="E15192" s="7" t="s">
        <v>23</v>
      </c>
      <c r="F15192" s="8" t="str">
        <f ca="1">IFERROR(__xludf.DUMMYFUNCTION("IF
(
C15193=""фізична особа""
,
VLOOKUP(D15193,IMPORTRANGE(""https://docs.google.com/spreadsheets/d/14Bd19lYaqBhU8_DElYkX7l4wRkHqqCUFNJY4AfY3kHU/edit?usp=sharing  #gid=0"",""фіз особи new!relations_name""),6,FALSE)
,
(IF
(
C15193=""юридична особа""
,
VLOO"&amp;"KUP(D15193,IMPORTRANGE(""https://docs.google.com/spreadsheets/d/14Bd19lYaqBhU8_DElYkX7l4wRkHqqCUFNJY4AfY3kHU/edit?usp=sharing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2" s="7" t="s">
        <v>10</v>
      </c>
      <c r="H15192" s="7">
        <v>19547</v>
      </c>
      <c r="I15192" s="8" t="str">
        <f ca="1">IFERROR(__xludf.DUMMYFUNCTION("IF
(
G15193=""фізична особа""
,
VLOOKUP(H15193,IMPORTRANGE(""https://docs.google.com/spreadsheets/d/14Bd19lYaqBhU8_DElYkX7l4wRkHqqCUFNJY4AfY3kHU/edit?usp=sharing  #gid=0"",""фіз особи new!relations_name""),6,FALSE)
,
(IF
(
G15193=""юридична особа""
,
VLOO"&amp;"KUP(H15193,IMPORTRANGE(""https://docs.google.com/spreadsheets/d/14Bd19lYaqBhU8_DElYkX7l4wRkHqqCUFNJY4AfY3kHU/edit?usp=sharing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192" s="7" t="s">
        <v>23</v>
      </c>
    </row>
    <row r="15193" spans="1:10" ht="13.2">
      <c r="A15193" s="7">
        <v>15192</v>
      </c>
      <c r="B15193" s="7">
        <v>1</v>
      </c>
      <c r="C15193" s="7" t="s">
        <v>10</v>
      </c>
      <c r="D15193" s="7">
        <v>19553</v>
      </c>
      <c r="E15193" s="7" t="s">
        <v>23</v>
      </c>
      <c r="F15193" s="8" t="str">
        <f ca="1">IFERROR(__xludf.DUMMYFUNCTION("IF
(
C15194=""фізична особа""
,
VLOOKUP(D15194,IMPORTRANGE(""https://docs.google.com/spreadsheets/d/14Bd19lYaqBhU8_DElYkX7l4wRkHqqCUFNJY4AfY3kHU/edit?usp=sharing  #gid=0"",""фіз особи new!relations_name""),6,FALSE)
,
(IF
(
C15194=""юридична особа""
,
VLOO"&amp;"KUP(D15194,IMPORTRANGE(""https://docs.google.com/spreadsheets/d/14Bd19lYaqBhU8_DElYkX7l4wRkHqqCUFNJY4AfY3kHU/edit?usp=sharing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3" s="7" t="s">
        <v>10</v>
      </c>
      <c r="H15193" s="7">
        <v>19548</v>
      </c>
      <c r="I15193" s="8" t="str">
        <f ca="1">IFERROR(__xludf.DUMMYFUNCTION("IF
(
G15194=""фізична особа""
,
VLOOKUP(H15194,IMPORTRANGE(""https://docs.google.com/spreadsheets/d/14Bd19lYaqBhU8_DElYkX7l4wRkHqqCUFNJY4AfY3kHU/edit?usp=sharing  #gid=0"",""фіз особи new!relations_name""),6,FALSE)
,
(IF
(
G15194=""юридична особа""
,
VLOO"&amp;"KUP(H15194,IMPORTRANGE(""https://docs.google.com/spreadsheets/d/14Bd19lYaqBhU8_DElYkX7l4wRkHqqCUFNJY4AfY3kHU/edit?usp=sharing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193" s="7" t="s">
        <v>23</v>
      </c>
    </row>
    <row r="15194" spans="1:10" ht="13.2">
      <c r="A15194" s="7">
        <v>15193</v>
      </c>
      <c r="B15194" s="7">
        <v>1</v>
      </c>
      <c r="C15194" s="7" t="s">
        <v>10</v>
      </c>
      <c r="D15194" s="7">
        <v>19553</v>
      </c>
      <c r="E15194" s="7" t="s">
        <v>23</v>
      </c>
      <c r="F15194" s="8" t="str">
        <f ca="1">IFERROR(__xludf.DUMMYFUNCTION("IF
(
C15195=""фізична особа""
,
VLOOKUP(D15195,IMPORTRANGE(""https://docs.google.com/spreadsheets/d/14Bd19lYaqBhU8_DElYkX7l4wRkHqqCUFNJY4AfY3kHU/edit?usp=sharing  #gid=0"",""фіз особи new!relations_name""),6,FALSE)
,
(IF
(
C15195=""юридична особа""
,
VLOO"&amp;"KUP(D15195,IMPORTRANGE(""https://docs.google.com/spreadsheets/d/14Bd19lYaqBhU8_DElYkX7l4wRkHqqCUFNJY4AfY3kHU/edit?usp=sharing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4" s="7" t="s">
        <v>10</v>
      </c>
      <c r="H15194" s="7">
        <v>19549</v>
      </c>
      <c r="I15194" s="8" t="str">
        <f ca="1">IFERROR(__xludf.DUMMYFUNCTION("IF
(
G15195=""фізична особа""
,
VLOOKUP(H15195,IMPORTRANGE(""https://docs.google.com/spreadsheets/d/14Bd19lYaqBhU8_DElYkX7l4wRkHqqCUFNJY4AfY3kHU/edit?usp=sharing  #gid=0"",""фіз особи new!relations_name""),6,FALSE)
,
(IF
(
G15195=""юридична особа""
,
VLOO"&amp;"KUP(H15195,IMPORTRANGE(""https://docs.google.com/spreadsheets/d/14Bd19lYaqBhU8_DElYkX7l4wRkHqqCUFNJY4AfY3kHU/edit?usp=sharing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194" s="7" t="s">
        <v>23</v>
      </c>
    </row>
    <row r="15195" spans="1:10" ht="13.2">
      <c r="A15195" s="7">
        <v>15194</v>
      </c>
      <c r="B15195" s="7">
        <v>1</v>
      </c>
      <c r="C15195" s="7" t="s">
        <v>10</v>
      </c>
      <c r="D15195" s="7">
        <v>19553</v>
      </c>
      <c r="E15195" s="7" t="s">
        <v>23</v>
      </c>
      <c r="F15195" s="8" t="str">
        <f ca="1">IFERROR(__xludf.DUMMYFUNCTION("IF
(
C15196=""фізична особа""
,
VLOOKUP(D15196,IMPORTRANGE(""https://docs.google.com/spreadsheets/d/14Bd19lYaqBhU8_DElYkX7l4wRkHqqCUFNJY4AfY3kHU/edit?usp=sharing  #gid=0"",""фіз особи new!relations_name""),6,FALSE)
,
(IF
(
C15196=""юридична особа""
,
VLOO"&amp;"KUP(D15196,IMPORTRANGE(""https://docs.google.com/spreadsheets/d/14Bd19lYaqBhU8_DElYkX7l4wRkHqqCUFNJY4AfY3kHU/edit?usp=sharing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5" s="7" t="s">
        <v>10</v>
      </c>
      <c r="H15195" s="7">
        <v>19550</v>
      </c>
      <c r="I15195" s="8" t="str">
        <f ca="1">IFERROR(__xludf.DUMMYFUNCTION("IF
(
G15196=""фізична особа""
,
VLOOKUP(H15196,IMPORTRANGE(""https://docs.google.com/spreadsheets/d/14Bd19lYaqBhU8_DElYkX7l4wRkHqqCUFNJY4AfY3kHU/edit?usp=sharing  #gid=0"",""фіз особи new!relations_name""),6,FALSE)
,
(IF
(
G15196=""юридична особа""
,
VLOO"&amp;"KUP(H15196,IMPORTRANGE(""https://docs.google.com/spreadsheets/d/14Bd19lYaqBhU8_DElYkX7l4wRkHqqCUFNJY4AfY3kHU/edit?usp=sharing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195" s="7" t="s">
        <v>23</v>
      </c>
    </row>
    <row r="15196" spans="1:10" ht="13.2">
      <c r="A15196" s="7">
        <v>15195</v>
      </c>
      <c r="B15196" s="7">
        <v>1</v>
      </c>
      <c r="C15196" s="7" t="s">
        <v>10</v>
      </c>
      <c r="D15196" s="7">
        <v>19553</v>
      </c>
      <c r="E15196" s="7" t="s">
        <v>23</v>
      </c>
      <c r="F15196" s="8" t="str">
        <f ca="1">IFERROR(__xludf.DUMMYFUNCTION("IF
(
C15197=""фізична особа""
,
VLOOKUP(D15197,IMPORTRANGE(""https://docs.google.com/spreadsheets/d/14Bd19lYaqBhU8_DElYkX7l4wRkHqqCUFNJY4AfY3kHU/edit?usp=sharing  #gid=0"",""фіз особи new!relations_name""),6,FALSE)
,
(IF
(
C15197=""юридична особа""
,
VLOO"&amp;"KUP(D15197,IMPORTRANGE(""https://docs.google.com/spreadsheets/d/14Bd19lYaqBhU8_DElYkX7l4wRkHqqCUFNJY4AfY3kHU/edit?usp=sharing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6" s="7" t="s">
        <v>10</v>
      </c>
      <c r="H15196" s="7">
        <v>19551</v>
      </c>
      <c r="I15196" s="8" t="str">
        <f ca="1">IFERROR(__xludf.DUMMYFUNCTION("IF
(
G15197=""фізична особа""
,
VLOOKUP(H15197,IMPORTRANGE(""https://docs.google.com/spreadsheets/d/14Bd19lYaqBhU8_DElYkX7l4wRkHqqCUFNJY4AfY3kHU/edit?usp=sharing  #gid=0"",""фіз особи new!relations_name""),6,FALSE)
,
(IF
(
G15197=""юридична особа""
,
VLOO"&amp;"KUP(H15197,IMPORTRANGE(""https://docs.google.com/spreadsheets/d/14Bd19lYaqBhU8_DElYkX7l4wRkHqqCUFNJY4AfY3kHU/edit?usp=sharing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196" s="7" t="s">
        <v>23</v>
      </c>
    </row>
    <row r="15197" spans="1:10" ht="13.2">
      <c r="A15197" s="7">
        <v>15196</v>
      </c>
      <c r="B15197" s="7">
        <v>1</v>
      </c>
      <c r="C15197" s="7" t="s">
        <v>10</v>
      </c>
      <c r="D15197" s="7">
        <v>19553</v>
      </c>
      <c r="E15197" s="7" t="s">
        <v>23</v>
      </c>
      <c r="F15197" s="8" t="str">
        <f ca="1">IFERROR(__xludf.DUMMYFUNCTION("IF
(
C15198=""фізична особа""
,
VLOOKUP(D15198,IMPORTRANGE(""https://docs.google.com/spreadsheets/d/14Bd19lYaqBhU8_DElYkX7l4wRkHqqCUFNJY4AfY3kHU/edit?usp=sharing  #gid=0"",""фіз особи new!relations_name""),6,FALSE)
,
(IF
(
C15198=""юридична особа""
,
VLOO"&amp;"KUP(D15198,IMPORTRANGE(""https://docs.google.com/spreadsheets/d/14Bd19lYaqBhU8_DElYkX7l4wRkHqqCUFNJY4AfY3kHU/edit?usp=sharing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7" s="7" t="s">
        <v>10</v>
      </c>
      <c r="H15197" s="7">
        <v>19552</v>
      </c>
      <c r="I15197" s="8" t="str">
        <f ca="1">IFERROR(__xludf.DUMMYFUNCTION("IF
(
G15198=""фізична особа""
,
VLOOKUP(H15198,IMPORTRANGE(""https://docs.google.com/spreadsheets/d/14Bd19lYaqBhU8_DElYkX7l4wRkHqqCUFNJY4AfY3kHU/edit?usp=sharing  #gid=0"",""фіз особи new!relations_name""),6,FALSE)
,
(IF
(
G15198=""юридична особа""
,
VLOO"&amp;"KUP(H15198,IMPORTRANGE(""https://docs.google.com/spreadsheets/d/14Bd19lYaqBhU8_DElYkX7l4wRkHqqCUFNJY4AfY3kHU/edit?usp=sharing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197" s="7" t="s">
        <v>23</v>
      </c>
    </row>
    <row r="15198" spans="1:10" ht="13.2">
      <c r="A15198" s="7">
        <v>15197</v>
      </c>
      <c r="B15198" s="7">
        <v>1</v>
      </c>
      <c r="C15198" s="7" t="s">
        <v>10</v>
      </c>
      <c r="D15198" s="7">
        <v>19553</v>
      </c>
      <c r="E15198" s="7" t="s">
        <v>23</v>
      </c>
      <c r="F15198" s="8" t="str">
        <f ca="1">IFERROR(__xludf.DUMMYFUNCTION("IF
(
C15199=""фізична особа""
,
VLOOKUP(D15199,IMPORTRANGE(""https://docs.google.com/spreadsheets/d/14Bd19lYaqBhU8_DElYkX7l4wRkHqqCUFNJY4AfY3kHU/edit?usp=sharing  #gid=0"",""фіз особи new!relations_name""),6,FALSE)
,
(IF
(
C15199=""юридична особа""
,
VLOO"&amp;"KUP(D15199,IMPORTRANGE(""https://docs.google.com/spreadsheets/d/14Bd19lYaqBhU8_DElYkX7l4wRkHqqCUFNJY4AfY3kHU/edit?usp=sharing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8" s="7" t="s">
        <v>10</v>
      </c>
      <c r="H15198" s="7">
        <v>19554</v>
      </c>
      <c r="I15198" s="8" t="str">
        <f ca="1">IFERROR(__xludf.DUMMYFUNCTION("IF
(
G15199=""фізична особа""
,
VLOOKUP(H15199,IMPORTRANGE(""https://docs.google.com/spreadsheets/d/14Bd19lYaqBhU8_DElYkX7l4wRkHqqCUFNJY4AfY3kHU/edit?usp=sharing  #gid=0"",""фіз особи new!relations_name""),6,FALSE)
,
(IF
(
G15199=""юридична особа""
,
VLOO"&amp;"KUP(H15199,IMPORTRANGE(""https://docs.google.com/spreadsheets/d/14Bd19lYaqBhU8_DElYkX7l4wRkHqqCUFNJY4AfY3kHU/edit?usp=sharing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198" s="7" t="s">
        <v>23</v>
      </c>
    </row>
    <row r="15199" spans="1:10" ht="13.2">
      <c r="A15199" s="7">
        <v>15198</v>
      </c>
      <c r="B15199" s="7">
        <v>1</v>
      </c>
      <c r="C15199" s="7" t="s">
        <v>10</v>
      </c>
      <c r="D15199" s="7">
        <v>19553</v>
      </c>
      <c r="E15199" s="7" t="s">
        <v>23</v>
      </c>
      <c r="F15199" s="8" t="str">
        <f ca="1">IFERROR(__xludf.DUMMYFUNCTION("IF
(
C15200=""фізична особа""
,
VLOOKUP(D15200,IMPORTRANGE(""https://docs.google.com/spreadsheets/d/14Bd19lYaqBhU8_DElYkX7l4wRkHqqCUFNJY4AfY3kHU/edit?usp=sharing  #gid=0"",""фіз особи new!relations_name""),6,FALSE)
,
(IF
(
C15200=""юридична особа""
,
VLOO"&amp;"KUP(D15200,IMPORTRANGE(""https://docs.google.com/spreadsheets/d/14Bd19lYaqBhU8_DElYkX7l4wRkHqqCUFNJY4AfY3kHU/edit?usp=sharing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199" s="7" t="s">
        <v>10</v>
      </c>
      <c r="H15199" s="7">
        <v>19555</v>
      </c>
      <c r="I15199" s="8" t="str">
        <f ca="1">IFERROR(__xludf.DUMMYFUNCTION("IF
(
G15200=""фізична особа""
,
VLOOKUP(H15200,IMPORTRANGE(""https://docs.google.com/spreadsheets/d/14Bd19lYaqBhU8_DElYkX7l4wRkHqqCUFNJY4AfY3kHU/edit?usp=sharing  #gid=0"",""фіз особи new!relations_name""),6,FALSE)
,
(IF
(
G15200=""юридична особа""
,
VLOO"&amp;"KUP(H15200,IMPORTRANGE(""https://docs.google.com/spreadsheets/d/14Bd19lYaqBhU8_DElYkX7l4wRkHqqCUFNJY4AfY3kHU/edit?usp=sharing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199" s="7" t="s">
        <v>23</v>
      </c>
    </row>
    <row r="15200" spans="1:10" ht="13.2">
      <c r="A15200" s="7">
        <v>15199</v>
      </c>
      <c r="B15200" s="7">
        <v>1</v>
      </c>
      <c r="C15200" s="7" t="s">
        <v>10</v>
      </c>
      <c r="D15200" s="7">
        <v>19553</v>
      </c>
      <c r="E15200" s="7" t="s">
        <v>23</v>
      </c>
      <c r="F15200" s="8" t="str">
        <f ca="1">IFERROR(__xludf.DUMMYFUNCTION("IF
(
C15201=""фізична особа""
,
VLOOKUP(D15201,IMPORTRANGE(""https://docs.google.com/spreadsheets/d/14Bd19lYaqBhU8_DElYkX7l4wRkHqqCUFNJY4AfY3kHU/edit?usp=sharing  #gid=0"",""фіз особи new!relations_name""),6,FALSE)
,
(IF
(
C15201=""юридична особа""
,
VLOO"&amp;"KUP(D15201,IMPORTRANGE(""https://docs.google.com/spreadsheets/d/14Bd19lYaqBhU8_DElYkX7l4wRkHqqCUFNJY4AfY3kHU/edit?usp=sharing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G15200" s="7" t="s">
        <v>10</v>
      </c>
      <c r="H15200" s="7">
        <v>19556</v>
      </c>
      <c r="I15200" s="8" t="str">
        <f ca="1">IFERROR(__xludf.DUMMYFUNCTION("IF
(
G15201=""фізична особа""
,
VLOOKUP(H15201,IMPORTRANGE(""https://docs.google.com/spreadsheets/d/14Bd19lYaqBhU8_DElYkX7l4wRkHqqCUFNJY4AfY3kHU/edit?usp=sharing  #gid=0"",""фіз особи new!relations_name""),6,FALSE)
,
(IF
(
G15201=""юридична особа""
,
VLOO"&amp;"KUP(H15201,IMPORTRANGE(""https://docs.google.com/spreadsheets/d/14Bd19lYaqBhU8_DElYkX7l4wRkHqqCUFNJY4AfY3kHU/edit?usp=sharing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200" s="7" t="s">
        <v>23</v>
      </c>
    </row>
    <row r="15201" spans="1:10" ht="13.2">
      <c r="A15201" s="7">
        <v>15200</v>
      </c>
      <c r="B15201" s="7">
        <v>1</v>
      </c>
      <c r="C15201" s="7" t="s">
        <v>10</v>
      </c>
      <c r="D15201" s="7">
        <v>19554</v>
      </c>
      <c r="E15201" s="7" t="s">
        <v>23</v>
      </c>
      <c r="F15201" s="8" t="str">
        <f ca="1">IFERROR(__xludf.DUMMYFUNCTION("IF
(
C15202=""фізична особа""
,
VLOOKUP(D15202,IMPORTRANGE(""https://docs.google.com/spreadsheets/d/14Bd19lYaqBhU8_DElYkX7l4wRkHqqCUFNJY4AfY3kHU/edit?usp=sharing  #gid=0"",""фіз особи new!relations_name""),6,FALSE)
,
(IF
(
C15202=""юридична особа""
,
VLOO"&amp;"KUP(D15202,IMPORTRANGE(""https://docs.google.com/spreadsheets/d/14Bd19lYaqBhU8_DElYkX7l4wRkHqqCUFNJY4AfY3kHU/edit?usp=sharing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1" s="7" t="s">
        <v>10</v>
      </c>
      <c r="H15201" s="7">
        <v>19547</v>
      </c>
      <c r="I15201" s="8" t="str">
        <f ca="1">IFERROR(__xludf.DUMMYFUNCTION("IF
(
G15202=""фізична особа""
,
VLOOKUP(H15202,IMPORTRANGE(""https://docs.google.com/spreadsheets/d/14Bd19lYaqBhU8_DElYkX7l4wRkHqqCUFNJY4AfY3kHU/edit?usp=sharing  #gid=0"",""фіз особи new!relations_name""),6,FALSE)
,
(IF
(
G15202=""юридична особа""
,
VLOO"&amp;"KUP(H15202,IMPORTRANGE(""https://docs.google.com/spreadsheets/d/14Bd19lYaqBhU8_DElYkX7l4wRkHqqCUFNJY4AfY3kHU/edit?usp=sharing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201" s="7" t="s">
        <v>23</v>
      </c>
    </row>
    <row r="15202" spans="1:10" ht="13.2">
      <c r="A15202" s="7">
        <v>15201</v>
      </c>
      <c r="B15202" s="7">
        <v>1</v>
      </c>
      <c r="C15202" s="7" t="s">
        <v>10</v>
      </c>
      <c r="D15202" s="7">
        <v>19554</v>
      </c>
      <c r="E15202" s="7" t="s">
        <v>23</v>
      </c>
      <c r="F15202" s="8" t="str">
        <f ca="1">IFERROR(__xludf.DUMMYFUNCTION("IF
(
C15203=""фізична особа""
,
VLOOKUP(D15203,IMPORTRANGE(""https://docs.google.com/spreadsheets/d/14Bd19lYaqBhU8_DElYkX7l4wRkHqqCUFNJY4AfY3kHU/edit?usp=sharing  #gid=0"",""фіз особи new!relations_name""),6,FALSE)
,
(IF
(
C15203=""юридична особа""
,
VLOO"&amp;"KUP(D15203,IMPORTRANGE(""https://docs.google.com/spreadsheets/d/14Bd19lYaqBhU8_DElYkX7l4wRkHqqCUFNJY4AfY3kHU/edit?usp=sharing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2" s="7" t="s">
        <v>10</v>
      </c>
      <c r="H15202" s="7">
        <v>19548</v>
      </c>
      <c r="I15202" s="8" t="str">
        <f ca="1">IFERROR(__xludf.DUMMYFUNCTION("IF
(
G15203=""фізична особа""
,
VLOOKUP(H15203,IMPORTRANGE(""https://docs.google.com/spreadsheets/d/14Bd19lYaqBhU8_DElYkX7l4wRkHqqCUFNJY4AfY3kHU/edit?usp=sharing  #gid=0"",""фіз особи new!relations_name""),6,FALSE)
,
(IF
(
G15203=""юридична особа""
,
VLOO"&amp;"KUP(H15203,IMPORTRANGE(""https://docs.google.com/spreadsheets/d/14Bd19lYaqBhU8_DElYkX7l4wRkHqqCUFNJY4AfY3kHU/edit?usp=sharing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202" s="7" t="s">
        <v>23</v>
      </c>
    </row>
    <row r="15203" spans="1:10" ht="13.2">
      <c r="A15203" s="7">
        <v>15202</v>
      </c>
      <c r="B15203" s="7">
        <v>1</v>
      </c>
      <c r="C15203" s="7" t="s">
        <v>10</v>
      </c>
      <c r="D15203" s="7">
        <v>19554</v>
      </c>
      <c r="E15203" s="7" t="s">
        <v>23</v>
      </c>
      <c r="F15203" s="8" t="str">
        <f ca="1">IFERROR(__xludf.DUMMYFUNCTION("IF
(
C15204=""фізична особа""
,
VLOOKUP(D15204,IMPORTRANGE(""https://docs.google.com/spreadsheets/d/14Bd19lYaqBhU8_DElYkX7l4wRkHqqCUFNJY4AfY3kHU/edit?usp=sharing  #gid=0"",""фіз особи new!relations_name""),6,FALSE)
,
(IF
(
C15204=""юридична особа""
,
VLOO"&amp;"KUP(D15204,IMPORTRANGE(""https://docs.google.com/spreadsheets/d/14Bd19lYaqBhU8_DElYkX7l4wRkHqqCUFNJY4AfY3kHU/edit?usp=sharing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3" s="7" t="s">
        <v>10</v>
      </c>
      <c r="H15203" s="7">
        <v>19549</v>
      </c>
      <c r="I15203" s="8" t="str">
        <f ca="1">IFERROR(__xludf.DUMMYFUNCTION("IF
(
G15204=""фізична особа""
,
VLOOKUP(H15204,IMPORTRANGE(""https://docs.google.com/spreadsheets/d/14Bd19lYaqBhU8_DElYkX7l4wRkHqqCUFNJY4AfY3kHU/edit?usp=sharing  #gid=0"",""фіз особи new!relations_name""),6,FALSE)
,
(IF
(
G15204=""юридична особа""
,
VLOO"&amp;"KUP(H15204,IMPORTRANGE(""https://docs.google.com/spreadsheets/d/14Bd19lYaqBhU8_DElYkX7l4wRkHqqCUFNJY4AfY3kHU/edit?usp=sharing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203" s="7" t="s">
        <v>23</v>
      </c>
    </row>
    <row r="15204" spans="1:10" ht="13.2">
      <c r="A15204" s="7">
        <v>15203</v>
      </c>
      <c r="B15204" s="7">
        <v>1</v>
      </c>
      <c r="C15204" s="7" t="s">
        <v>10</v>
      </c>
      <c r="D15204" s="7">
        <v>19554</v>
      </c>
      <c r="E15204" s="7" t="s">
        <v>23</v>
      </c>
      <c r="F15204" s="8" t="str">
        <f ca="1">IFERROR(__xludf.DUMMYFUNCTION("IF
(
C15205=""фізична особа""
,
VLOOKUP(D15205,IMPORTRANGE(""https://docs.google.com/spreadsheets/d/14Bd19lYaqBhU8_DElYkX7l4wRkHqqCUFNJY4AfY3kHU/edit?usp=sharing  #gid=0"",""фіз особи new!relations_name""),6,FALSE)
,
(IF
(
C15205=""юридична особа""
,
VLOO"&amp;"KUP(D15205,IMPORTRANGE(""https://docs.google.com/spreadsheets/d/14Bd19lYaqBhU8_DElYkX7l4wRkHqqCUFNJY4AfY3kHU/edit?usp=sharing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4" s="7" t="s">
        <v>10</v>
      </c>
      <c r="H15204" s="7">
        <v>19550</v>
      </c>
      <c r="I15204" s="8" t="str">
        <f ca="1">IFERROR(__xludf.DUMMYFUNCTION("IF
(
G15205=""фізична особа""
,
VLOOKUP(H15205,IMPORTRANGE(""https://docs.google.com/spreadsheets/d/14Bd19lYaqBhU8_DElYkX7l4wRkHqqCUFNJY4AfY3kHU/edit?usp=sharing  #gid=0"",""фіз особи new!relations_name""),6,FALSE)
,
(IF
(
G15205=""юридична особа""
,
VLOO"&amp;"KUP(H15205,IMPORTRANGE(""https://docs.google.com/spreadsheets/d/14Bd19lYaqBhU8_DElYkX7l4wRkHqqCUFNJY4AfY3kHU/edit?usp=sharing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204" s="7" t="s">
        <v>23</v>
      </c>
    </row>
    <row r="15205" spans="1:10" ht="13.2">
      <c r="A15205" s="7">
        <v>15204</v>
      </c>
      <c r="B15205" s="7">
        <v>1</v>
      </c>
      <c r="C15205" s="7" t="s">
        <v>10</v>
      </c>
      <c r="D15205" s="7">
        <v>19554</v>
      </c>
      <c r="E15205" s="7" t="s">
        <v>23</v>
      </c>
      <c r="F15205" s="8" t="str">
        <f ca="1">IFERROR(__xludf.DUMMYFUNCTION("IF
(
C15206=""фізична особа""
,
VLOOKUP(D15206,IMPORTRANGE(""https://docs.google.com/spreadsheets/d/14Bd19lYaqBhU8_DElYkX7l4wRkHqqCUFNJY4AfY3kHU/edit?usp=sharing  #gid=0"",""фіз особи new!relations_name""),6,FALSE)
,
(IF
(
C15206=""юридична особа""
,
VLOO"&amp;"KUP(D15206,IMPORTRANGE(""https://docs.google.com/spreadsheets/d/14Bd19lYaqBhU8_DElYkX7l4wRkHqqCUFNJY4AfY3kHU/edit?usp=sharing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5" s="7" t="s">
        <v>10</v>
      </c>
      <c r="H15205" s="7">
        <v>19551</v>
      </c>
      <c r="I15205" s="8" t="str">
        <f ca="1">IFERROR(__xludf.DUMMYFUNCTION("IF
(
G15206=""фізична особа""
,
VLOOKUP(H15206,IMPORTRANGE(""https://docs.google.com/spreadsheets/d/14Bd19lYaqBhU8_DElYkX7l4wRkHqqCUFNJY4AfY3kHU/edit?usp=sharing  #gid=0"",""фіз особи new!relations_name""),6,FALSE)
,
(IF
(
G15206=""юридична особа""
,
VLOO"&amp;"KUP(H15206,IMPORTRANGE(""https://docs.google.com/spreadsheets/d/14Bd19lYaqBhU8_DElYkX7l4wRkHqqCUFNJY4AfY3kHU/edit?usp=sharing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205" s="7" t="s">
        <v>23</v>
      </c>
    </row>
    <row r="15206" spans="1:10" ht="13.2">
      <c r="A15206" s="7">
        <v>15205</v>
      </c>
      <c r="B15206" s="7">
        <v>1</v>
      </c>
      <c r="C15206" s="7" t="s">
        <v>10</v>
      </c>
      <c r="D15206" s="7">
        <v>19554</v>
      </c>
      <c r="E15206" s="7" t="s">
        <v>23</v>
      </c>
      <c r="F15206" s="8" t="str">
        <f ca="1">IFERROR(__xludf.DUMMYFUNCTION("IF
(
C15207=""фізична особа""
,
VLOOKUP(D15207,IMPORTRANGE(""https://docs.google.com/spreadsheets/d/14Bd19lYaqBhU8_DElYkX7l4wRkHqqCUFNJY4AfY3kHU/edit?usp=sharing  #gid=0"",""фіз особи new!relations_name""),6,FALSE)
,
(IF
(
C15207=""юридична особа""
,
VLOO"&amp;"KUP(D15207,IMPORTRANGE(""https://docs.google.com/spreadsheets/d/14Bd19lYaqBhU8_DElYkX7l4wRkHqqCUFNJY4AfY3kHU/edit?usp=sharing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6" s="7" t="s">
        <v>10</v>
      </c>
      <c r="H15206" s="7">
        <v>19552</v>
      </c>
      <c r="I15206" s="8" t="str">
        <f ca="1">IFERROR(__xludf.DUMMYFUNCTION("IF
(
G15207=""фізична особа""
,
VLOOKUP(H15207,IMPORTRANGE(""https://docs.google.com/spreadsheets/d/14Bd19lYaqBhU8_DElYkX7l4wRkHqqCUFNJY4AfY3kHU/edit?usp=sharing  #gid=0"",""фіз особи new!relations_name""),6,FALSE)
,
(IF
(
G15207=""юридична особа""
,
VLOO"&amp;"KUP(H15207,IMPORTRANGE(""https://docs.google.com/spreadsheets/d/14Bd19lYaqBhU8_DElYkX7l4wRkHqqCUFNJY4AfY3kHU/edit?usp=sharing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206" s="7" t="s">
        <v>23</v>
      </c>
    </row>
    <row r="15207" spans="1:10" ht="13.2">
      <c r="A15207" s="7">
        <v>15206</v>
      </c>
      <c r="B15207" s="7">
        <v>1</v>
      </c>
      <c r="C15207" s="7" t="s">
        <v>10</v>
      </c>
      <c r="D15207" s="7">
        <v>19554</v>
      </c>
      <c r="E15207" s="7" t="s">
        <v>23</v>
      </c>
      <c r="F15207" s="8" t="str">
        <f ca="1">IFERROR(__xludf.DUMMYFUNCTION("IF
(
C15208=""фізична особа""
,
VLOOKUP(D15208,IMPORTRANGE(""https://docs.google.com/spreadsheets/d/14Bd19lYaqBhU8_DElYkX7l4wRkHqqCUFNJY4AfY3kHU/edit?usp=sharing  #gid=0"",""фіз особи new!relations_name""),6,FALSE)
,
(IF
(
C15208=""юридична особа""
,
VLOO"&amp;"KUP(D15208,IMPORTRANGE(""https://docs.google.com/spreadsheets/d/14Bd19lYaqBhU8_DElYkX7l4wRkHqqCUFNJY4AfY3kHU/edit?usp=sharing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7" s="7" t="s">
        <v>10</v>
      </c>
      <c r="H15207" s="7">
        <v>19553</v>
      </c>
      <c r="I15207" s="8" t="str">
        <f ca="1">IFERROR(__xludf.DUMMYFUNCTION("IF
(
G15208=""фізична особа""
,
VLOOKUP(H15208,IMPORTRANGE(""https://docs.google.com/spreadsheets/d/14Bd19lYaqBhU8_DElYkX7l4wRkHqqCUFNJY4AfY3kHU/edit?usp=sharing  #gid=0"",""фіз особи new!relations_name""),6,FALSE)
,
(IF
(
G15208=""юридична особа""
,
VLOO"&amp;"KUP(H15208,IMPORTRANGE(""https://docs.google.com/spreadsheets/d/14Bd19lYaqBhU8_DElYkX7l4wRkHqqCUFNJY4AfY3kHU/edit?usp=sharing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207" s="7" t="s">
        <v>23</v>
      </c>
    </row>
    <row r="15208" spans="1:10" ht="13.2">
      <c r="A15208" s="7">
        <v>15207</v>
      </c>
      <c r="B15208" s="7">
        <v>1</v>
      </c>
      <c r="C15208" s="7" t="s">
        <v>10</v>
      </c>
      <c r="D15208" s="7">
        <v>19554</v>
      </c>
      <c r="E15208" s="7" t="s">
        <v>23</v>
      </c>
      <c r="F15208" s="8" t="str">
        <f ca="1">IFERROR(__xludf.DUMMYFUNCTION("IF
(
C15209=""фізична особа""
,
VLOOKUP(D15209,IMPORTRANGE(""https://docs.google.com/spreadsheets/d/14Bd19lYaqBhU8_DElYkX7l4wRkHqqCUFNJY4AfY3kHU/edit?usp=sharing  #gid=0"",""фіз особи new!relations_name""),6,FALSE)
,
(IF
(
C15209=""юридична особа""
,
VLOO"&amp;"KUP(D15209,IMPORTRANGE(""https://docs.google.com/spreadsheets/d/14Bd19lYaqBhU8_DElYkX7l4wRkHqqCUFNJY4AfY3kHU/edit?usp=sharing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8" s="7" t="s">
        <v>10</v>
      </c>
      <c r="H15208" s="7">
        <v>19555</v>
      </c>
      <c r="I15208" s="8" t="str">
        <f ca="1">IFERROR(__xludf.DUMMYFUNCTION("IF
(
G15209=""фізична особа""
,
VLOOKUP(H15209,IMPORTRANGE(""https://docs.google.com/spreadsheets/d/14Bd19lYaqBhU8_DElYkX7l4wRkHqqCUFNJY4AfY3kHU/edit?usp=sharing  #gid=0"",""фіз особи new!relations_name""),6,FALSE)
,
(IF
(
G15209=""юридична особа""
,
VLOO"&amp;"KUP(H15209,IMPORTRANGE(""https://docs.google.com/spreadsheets/d/14Bd19lYaqBhU8_DElYkX7l4wRkHqqCUFNJY4AfY3kHU/edit?usp=sharing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J15208" s="7" t="s">
        <v>23</v>
      </c>
    </row>
    <row r="15209" spans="1:10" ht="13.2">
      <c r="A15209" s="7">
        <v>15208</v>
      </c>
      <c r="B15209" s="7">
        <v>1</v>
      </c>
      <c r="C15209" s="7" t="s">
        <v>10</v>
      </c>
      <c r="D15209" s="7">
        <v>19554</v>
      </c>
      <c r="E15209" s="7" t="s">
        <v>23</v>
      </c>
      <c r="F15209" s="8" t="str">
        <f ca="1">IFERROR(__xludf.DUMMYFUNCTION("IF
(
C15210=""фізична особа""
,
VLOOKUP(D15210,IMPORTRANGE(""https://docs.google.com/spreadsheets/d/14Bd19lYaqBhU8_DElYkX7l4wRkHqqCUFNJY4AfY3kHU/edit?usp=sharing  #gid=0"",""фіз особи new!relations_name""),6,FALSE)
,
(IF
(
C15210=""юридична особа""
,
VLOO"&amp;"KUP(D15210,IMPORTRANGE(""https://docs.google.com/spreadsheets/d/14Bd19lYaqBhU8_DElYkX7l4wRkHqqCUFNJY4AfY3kHU/edit?usp=sharing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G15209" s="7" t="s">
        <v>10</v>
      </c>
      <c r="H15209" s="7">
        <v>19556</v>
      </c>
      <c r="I15209" s="8" t="str">
        <f ca="1">IFERROR(__xludf.DUMMYFUNCTION("IF
(
G15210=""фізична особа""
,
VLOOKUP(H15210,IMPORTRANGE(""https://docs.google.com/spreadsheets/d/14Bd19lYaqBhU8_DElYkX7l4wRkHqqCUFNJY4AfY3kHU/edit?usp=sharing  #gid=0"",""фіз особи new!relations_name""),6,FALSE)
,
(IF
(
G15210=""юридична особа""
,
VLOO"&amp;"KUP(H15210,IMPORTRANGE(""https://docs.google.com/spreadsheets/d/14Bd19lYaqBhU8_DElYkX7l4wRkHqqCUFNJY4AfY3kHU/edit?usp=sharing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209" s="7" t="s">
        <v>23</v>
      </c>
    </row>
    <row r="15210" spans="1:10" ht="13.2">
      <c r="A15210" s="7">
        <v>15209</v>
      </c>
      <c r="B15210" s="7">
        <v>1</v>
      </c>
      <c r="C15210" s="7" t="s">
        <v>10</v>
      </c>
      <c r="D15210" s="7">
        <v>19555</v>
      </c>
      <c r="E15210" s="7" t="s">
        <v>23</v>
      </c>
      <c r="F15210" s="8" t="str">
        <f ca="1">IFERROR(__xludf.DUMMYFUNCTION("IF
(
C15211=""фізична особа""
,
VLOOKUP(D15211,IMPORTRANGE(""https://docs.google.com/spreadsheets/d/14Bd19lYaqBhU8_DElYkX7l4wRkHqqCUFNJY4AfY3kHU/edit?usp=sharing  #gid=0"",""фіз особи new!relations_name""),6,FALSE)
,
(IF
(
C15211=""юридична особа""
,
VLOO"&amp;"KUP(D15211,IMPORTRANGE(""https://docs.google.com/spreadsheets/d/14Bd19lYaqBhU8_DElYkX7l4wRkHqqCUFNJY4AfY3kHU/edit?usp=sharing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0" s="7" t="s">
        <v>10</v>
      </c>
      <c r="H15210" s="7">
        <v>19547</v>
      </c>
      <c r="I15210" s="8" t="str">
        <f ca="1">IFERROR(__xludf.DUMMYFUNCTION("IF
(
G15211=""фізична особа""
,
VLOOKUP(H15211,IMPORTRANGE(""https://docs.google.com/spreadsheets/d/14Bd19lYaqBhU8_DElYkX7l4wRkHqqCUFNJY4AfY3kHU/edit?usp=sharing  #gid=0"",""фіз особи new!relations_name""),6,FALSE)
,
(IF
(
G15211=""юридична особа""
,
VLOO"&amp;"KUP(H15211,IMPORTRANGE(""https://docs.google.com/spreadsheets/d/14Bd19lYaqBhU8_DElYkX7l4wRkHqqCUFNJY4AfY3kHU/edit?usp=sharing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210" s="7" t="s">
        <v>23</v>
      </c>
    </row>
    <row r="15211" spans="1:10" ht="13.2">
      <c r="A15211" s="7">
        <v>15210</v>
      </c>
      <c r="B15211" s="7">
        <v>1</v>
      </c>
      <c r="C15211" s="7" t="s">
        <v>10</v>
      </c>
      <c r="D15211" s="7">
        <v>19555</v>
      </c>
      <c r="E15211" s="7" t="s">
        <v>23</v>
      </c>
      <c r="F15211" s="8" t="str">
        <f ca="1">IFERROR(__xludf.DUMMYFUNCTION("IF
(
C15212=""фізична особа""
,
VLOOKUP(D15212,IMPORTRANGE(""https://docs.google.com/spreadsheets/d/14Bd19lYaqBhU8_DElYkX7l4wRkHqqCUFNJY4AfY3kHU/edit?usp=sharing  #gid=0"",""фіз особи new!relations_name""),6,FALSE)
,
(IF
(
C15212=""юридична особа""
,
VLOO"&amp;"KUP(D15212,IMPORTRANGE(""https://docs.google.com/spreadsheets/d/14Bd19lYaqBhU8_DElYkX7l4wRkHqqCUFNJY4AfY3kHU/edit?usp=sharing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1" s="7" t="s">
        <v>10</v>
      </c>
      <c r="H15211" s="7">
        <v>19548</v>
      </c>
      <c r="I15211" s="8" t="str">
        <f ca="1">IFERROR(__xludf.DUMMYFUNCTION("IF
(
G15212=""фізична особа""
,
VLOOKUP(H15212,IMPORTRANGE(""https://docs.google.com/spreadsheets/d/14Bd19lYaqBhU8_DElYkX7l4wRkHqqCUFNJY4AfY3kHU/edit?usp=sharing  #gid=0"",""фіз особи new!relations_name""),6,FALSE)
,
(IF
(
G15212=""юридична особа""
,
VLOO"&amp;"KUP(H15212,IMPORTRANGE(""https://docs.google.com/spreadsheets/d/14Bd19lYaqBhU8_DElYkX7l4wRkHqqCUFNJY4AfY3kHU/edit?usp=sharing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211" s="7" t="s">
        <v>23</v>
      </c>
    </row>
    <row r="15212" spans="1:10" ht="13.2">
      <c r="A15212" s="7">
        <v>15211</v>
      </c>
      <c r="B15212" s="7">
        <v>1</v>
      </c>
      <c r="C15212" s="7" t="s">
        <v>10</v>
      </c>
      <c r="D15212" s="7">
        <v>19555</v>
      </c>
      <c r="E15212" s="7" t="s">
        <v>23</v>
      </c>
      <c r="F15212" s="8" t="str">
        <f ca="1">IFERROR(__xludf.DUMMYFUNCTION("IF
(
C15213=""фізична особа""
,
VLOOKUP(D15213,IMPORTRANGE(""https://docs.google.com/spreadsheets/d/14Bd19lYaqBhU8_DElYkX7l4wRkHqqCUFNJY4AfY3kHU/edit?usp=sharing  #gid=0"",""фіз особи new!relations_name""),6,FALSE)
,
(IF
(
C15213=""юридична особа""
,
VLOO"&amp;"KUP(D15213,IMPORTRANGE(""https://docs.google.com/spreadsheets/d/14Bd19lYaqBhU8_DElYkX7l4wRkHqqCUFNJY4AfY3kHU/edit?usp=sharing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2" s="7" t="s">
        <v>10</v>
      </c>
      <c r="H15212" s="7">
        <v>19549</v>
      </c>
      <c r="I15212" s="8" t="str">
        <f ca="1">IFERROR(__xludf.DUMMYFUNCTION("IF
(
G15213=""фізична особа""
,
VLOOKUP(H15213,IMPORTRANGE(""https://docs.google.com/spreadsheets/d/14Bd19lYaqBhU8_DElYkX7l4wRkHqqCUFNJY4AfY3kHU/edit?usp=sharing  #gid=0"",""фіз особи new!relations_name""),6,FALSE)
,
(IF
(
G15213=""юридична особа""
,
VLOO"&amp;"KUP(H15213,IMPORTRANGE(""https://docs.google.com/spreadsheets/d/14Bd19lYaqBhU8_DElYkX7l4wRkHqqCUFNJY4AfY3kHU/edit?usp=sharing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212" s="7" t="s">
        <v>23</v>
      </c>
    </row>
    <row r="15213" spans="1:10" ht="13.2">
      <c r="A15213" s="7">
        <v>15212</v>
      </c>
      <c r="B15213" s="7">
        <v>1</v>
      </c>
      <c r="C15213" s="7" t="s">
        <v>10</v>
      </c>
      <c r="D15213" s="7">
        <v>19555</v>
      </c>
      <c r="E15213" s="7" t="s">
        <v>23</v>
      </c>
      <c r="F15213" s="8" t="str">
        <f ca="1">IFERROR(__xludf.DUMMYFUNCTION("IF
(
C15214=""фізична особа""
,
VLOOKUP(D15214,IMPORTRANGE(""https://docs.google.com/spreadsheets/d/14Bd19lYaqBhU8_DElYkX7l4wRkHqqCUFNJY4AfY3kHU/edit?usp=sharing  #gid=0"",""фіз особи new!relations_name""),6,FALSE)
,
(IF
(
C15214=""юридична особа""
,
VLOO"&amp;"KUP(D15214,IMPORTRANGE(""https://docs.google.com/spreadsheets/d/14Bd19lYaqBhU8_DElYkX7l4wRkHqqCUFNJY4AfY3kHU/edit?usp=sharing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3" s="7" t="s">
        <v>10</v>
      </c>
      <c r="H15213" s="7">
        <v>19550</v>
      </c>
      <c r="I15213" s="8" t="str">
        <f ca="1">IFERROR(__xludf.DUMMYFUNCTION("IF
(
G15214=""фізична особа""
,
VLOOKUP(H15214,IMPORTRANGE(""https://docs.google.com/spreadsheets/d/14Bd19lYaqBhU8_DElYkX7l4wRkHqqCUFNJY4AfY3kHU/edit?usp=sharing  #gid=0"",""фіз особи new!relations_name""),6,FALSE)
,
(IF
(
G15214=""юридична особа""
,
VLOO"&amp;"KUP(H15214,IMPORTRANGE(""https://docs.google.com/spreadsheets/d/14Bd19lYaqBhU8_DElYkX7l4wRkHqqCUFNJY4AfY3kHU/edit?usp=sharing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213" s="7" t="s">
        <v>23</v>
      </c>
    </row>
    <row r="15214" spans="1:10" ht="13.2">
      <c r="A15214" s="7">
        <v>15213</v>
      </c>
      <c r="B15214" s="7">
        <v>1</v>
      </c>
      <c r="C15214" s="7" t="s">
        <v>10</v>
      </c>
      <c r="D15214" s="7">
        <v>19555</v>
      </c>
      <c r="E15214" s="7" t="s">
        <v>23</v>
      </c>
      <c r="F15214" s="8" t="str">
        <f ca="1">IFERROR(__xludf.DUMMYFUNCTION("IF
(
C15215=""фізична особа""
,
VLOOKUP(D15215,IMPORTRANGE(""https://docs.google.com/spreadsheets/d/14Bd19lYaqBhU8_DElYkX7l4wRkHqqCUFNJY4AfY3kHU/edit?usp=sharing  #gid=0"",""фіз особи new!relations_name""),6,FALSE)
,
(IF
(
C15215=""юридична особа""
,
VLOO"&amp;"KUP(D15215,IMPORTRANGE(""https://docs.google.com/spreadsheets/d/14Bd19lYaqBhU8_DElYkX7l4wRkHqqCUFNJY4AfY3kHU/edit?usp=sharing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4" s="7" t="s">
        <v>10</v>
      </c>
      <c r="H15214" s="7">
        <v>19551</v>
      </c>
      <c r="I15214" s="8" t="str">
        <f ca="1">IFERROR(__xludf.DUMMYFUNCTION("IF
(
G15215=""фізична особа""
,
VLOOKUP(H15215,IMPORTRANGE(""https://docs.google.com/spreadsheets/d/14Bd19lYaqBhU8_DElYkX7l4wRkHqqCUFNJY4AfY3kHU/edit?usp=sharing  #gid=0"",""фіз особи new!relations_name""),6,FALSE)
,
(IF
(
G15215=""юридична особа""
,
VLOO"&amp;"KUP(H15215,IMPORTRANGE(""https://docs.google.com/spreadsheets/d/14Bd19lYaqBhU8_DElYkX7l4wRkHqqCUFNJY4AfY3kHU/edit?usp=sharing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214" s="7" t="s">
        <v>23</v>
      </c>
    </row>
    <row r="15215" spans="1:10" ht="13.2">
      <c r="A15215" s="7">
        <v>15214</v>
      </c>
      <c r="B15215" s="7">
        <v>1</v>
      </c>
      <c r="C15215" s="7" t="s">
        <v>10</v>
      </c>
      <c r="D15215" s="7">
        <v>19555</v>
      </c>
      <c r="E15215" s="7" t="s">
        <v>23</v>
      </c>
      <c r="F15215" s="8" t="str">
        <f ca="1">IFERROR(__xludf.DUMMYFUNCTION("IF
(
C15216=""фізична особа""
,
VLOOKUP(D15216,IMPORTRANGE(""https://docs.google.com/spreadsheets/d/14Bd19lYaqBhU8_DElYkX7l4wRkHqqCUFNJY4AfY3kHU/edit?usp=sharing  #gid=0"",""фіз особи new!relations_name""),6,FALSE)
,
(IF
(
C15216=""юридична особа""
,
VLOO"&amp;"KUP(D15216,IMPORTRANGE(""https://docs.google.com/spreadsheets/d/14Bd19lYaqBhU8_DElYkX7l4wRkHqqCUFNJY4AfY3kHU/edit?usp=sharing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5" s="7" t="s">
        <v>10</v>
      </c>
      <c r="H15215" s="7">
        <v>19552</v>
      </c>
      <c r="I15215" s="8" t="str">
        <f ca="1">IFERROR(__xludf.DUMMYFUNCTION("IF
(
G15216=""фізична особа""
,
VLOOKUP(H15216,IMPORTRANGE(""https://docs.google.com/spreadsheets/d/14Bd19lYaqBhU8_DElYkX7l4wRkHqqCUFNJY4AfY3kHU/edit?usp=sharing  #gid=0"",""фіз особи new!relations_name""),6,FALSE)
,
(IF
(
G15216=""юридична особа""
,
VLOO"&amp;"KUP(H15216,IMPORTRANGE(""https://docs.google.com/spreadsheets/d/14Bd19lYaqBhU8_DElYkX7l4wRkHqqCUFNJY4AfY3kHU/edit?usp=sharing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215" s="7" t="s">
        <v>23</v>
      </c>
    </row>
    <row r="15216" spans="1:10" ht="13.2">
      <c r="A15216" s="7">
        <v>15215</v>
      </c>
      <c r="B15216" s="7">
        <v>1</v>
      </c>
      <c r="C15216" s="7" t="s">
        <v>10</v>
      </c>
      <c r="D15216" s="7">
        <v>19555</v>
      </c>
      <c r="E15216" s="7" t="s">
        <v>23</v>
      </c>
      <c r="F15216" s="8" t="str">
        <f ca="1">IFERROR(__xludf.DUMMYFUNCTION("IF
(
C15217=""фізична особа""
,
VLOOKUP(D15217,IMPORTRANGE(""https://docs.google.com/spreadsheets/d/14Bd19lYaqBhU8_DElYkX7l4wRkHqqCUFNJY4AfY3kHU/edit?usp=sharing  #gid=0"",""фіз особи new!relations_name""),6,FALSE)
,
(IF
(
C15217=""юридична особа""
,
VLOO"&amp;"KUP(D15217,IMPORTRANGE(""https://docs.google.com/spreadsheets/d/14Bd19lYaqBhU8_DElYkX7l4wRkHqqCUFNJY4AfY3kHU/edit?usp=sharing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6" s="7" t="s">
        <v>10</v>
      </c>
      <c r="H15216" s="7">
        <v>19553</v>
      </c>
      <c r="I15216" s="8" t="str">
        <f ca="1">IFERROR(__xludf.DUMMYFUNCTION("IF
(
G15217=""фізична особа""
,
VLOOKUP(H15217,IMPORTRANGE(""https://docs.google.com/spreadsheets/d/14Bd19lYaqBhU8_DElYkX7l4wRkHqqCUFNJY4AfY3kHU/edit?usp=sharing  #gid=0"",""фіз особи new!relations_name""),6,FALSE)
,
(IF
(
G15217=""юридична особа""
,
VLOO"&amp;"KUP(H15217,IMPORTRANGE(""https://docs.google.com/spreadsheets/d/14Bd19lYaqBhU8_DElYkX7l4wRkHqqCUFNJY4AfY3kHU/edit?usp=sharing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216" s="7" t="s">
        <v>23</v>
      </c>
    </row>
    <row r="15217" spans="1:10" ht="13.2">
      <c r="A15217" s="7">
        <v>15216</v>
      </c>
      <c r="B15217" s="7">
        <v>1</v>
      </c>
      <c r="C15217" s="7" t="s">
        <v>10</v>
      </c>
      <c r="D15217" s="7">
        <v>19555</v>
      </c>
      <c r="E15217" s="7" t="s">
        <v>23</v>
      </c>
      <c r="F15217" s="8" t="str">
        <f ca="1">IFERROR(__xludf.DUMMYFUNCTION("IF
(
C15218=""фізична особа""
,
VLOOKUP(D15218,IMPORTRANGE(""https://docs.google.com/spreadsheets/d/14Bd19lYaqBhU8_DElYkX7l4wRkHqqCUFNJY4AfY3kHU/edit?usp=sharing  #gid=0"",""фіз особи new!relations_name""),6,FALSE)
,
(IF
(
C15218=""юридична особа""
,
VLOO"&amp;"KUP(D15218,IMPORTRANGE(""https://docs.google.com/spreadsheets/d/14Bd19lYaqBhU8_DElYkX7l4wRkHqqCUFNJY4AfY3kHU/edit?usp=sharing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7" s="7" t="s">
        <v>10</v>
      </c>
      <c r="H15217" s="7">
        <v>19554</v>
      </c>
      <c r="I15217" s="8" t="str">
        <f ca="1">IFERROR(__xludf.DUMMYFUNCTION("IF
(
G15218=""фізична особа""
,
VLOOKUP(H15218,IMPORTRANGE(""https://docs.google.com/spreadsheets/d/14Bd19lYaqBhU8_DElYkX7l4wRkHqqCUFNJY4AfY3kHU/edit?usp=sharing  #gid=0"",""фіз особи new!relations_name""),6,FALSE)
,
(IF
(
G15218=""юридична особа""
,
VLOO"&amp;"KUP(H15218,IMPORTRANGE(""https://docs.google.com/spreadsheets/d/14Bd19lYaqBhU8_DElYkX7l4wRkHqqCUFNJY4AfY3kHU/edit?usp=sharing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217" s="7" t="s">
        <v>23</v>
      </c>
    </row>
    <row r="15218" spans="1:10" ht="13.2">
      <c r="A15218" s="7">
        <v>15217</v>
      </c>
      <c r="B15218" s="7">
        <v>1</v>
      </c>
      <c r="C15218" s="7" t="s">
        <v>10</v>
      </c>
      <c r="D15218" s="7">
        <v>19555</v>
      </c>
      <c r="E15218" s="7" t="s">
        <v>23</v>
      </c>
      <c r="F15218" s="8" t="str">
        <f ca="1">IFERROR(__xludf.DUMMYFUNCTION("IF
(
C15219=""фізична особа""
,
VLOOKUP(D15219,IMPORTRANGE(""https://docs.google.com/spreadsheets/d/14Bd19lYaqBhU8_DElYkX7l4wRkHqqCUFNJY4AfY3kHU/edit?usp=sharing  #gid=0"",""фіз особи new!relations_name""),6,FALSE)
,
(IF
(
C15219=""юридична особа""
,
VLOO"&amp;"KUP(D15219,IMPORTRANGE(""https://docs.google.com/spreadsheets/d/14Bd19lYaqBhU8_DElYkX7l4wRkHqqCUFNJY4AfY3kHU/edit?usp=sharing  #gid=0"",""фіз особи new!relations_name_uo""),7,FALSE)
,
)
))"),"СТРЕЛЬЧУК Віра Михайлівна")</f>
        <v>СТРЕЛЬЧУК Віра Михайлівна</v>
      </c>
      <c r="G15218" s="7" t="s">
        <v>10</v>
      </c>
      <c r="H15218" s="7">
        <v>19556</v>
      </c>
      <c r="I15218" s="8" t="str">
        <f ca="1">IFERROR(__xludf.DUMMYFUNCTION("IF
(
G15219=""фізична особа""
,
VLOOKUP(H15219,IMPORTRANGE(""https://docs.google.com/spreadsheets/d/14Bd19lYaqBhU8_DElYkX7l4wRkHqqCUFNJY4AfY3kHU/edit?usp=sharing  #gid=0"",""фіз особи new!relations_name""),6,FALSE)
,
(IF
(
G15219=""юридична особа""
,
VLOO"&amp;"KUP(H15219,IMPORTRANGE(""https://docs.google.com/spreadsheets/d/14Bd19lYaqBhU8_DElYkX7l4wRkHqqCUFNJY4AfY3kHU/edit?usp=sharing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218" s="7" t="s">
        <v>23</v>
      </c>
    </row>
    <row r="15219" spans="1:10" ht="13.2">
      <c r="A15219" s="7">
        <v>15218</v>
      </c>
      <c r="B15219" s="7">
        <v>1</v>
      </c>
      <c r="C15219" s="7" t="s">
        <v>10</v>
      </c>
      <c r="D15219" s="7">
        <v>19556</v>
      </c>
      <c r="E15219" s="7" t="s">
        <v>23</v>
      </c>
      <c r="F15219" s="8" t="str">
        <f ca="1">IFERROR(__xludf.DUMMYFUNCTION("IF
(
C15220=""фізична особа""
,
VLOOKUP(D15220,IMPORTRANGE(""https://docs.google.com/spreadsheets/d/14Bd19lYaqBhU8_DElYkX7l4wRkHqqCUFNJY4AfY3kHU/edit?usp=sharing  #gid=0"",""фіз особи new!relations_name""),6,FALSE)
,
(IF
(
C15220=""юридична особа""
,
VLOO"&amp;"KUP(D15220,IMPORTRANGE(""https://docs.google.com/spreadsheets/d/14Bd19lYaqBhU8_DElYkX7l4wRkHqqCUFNJY4AfY3kHU/edit?usp=sharing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19" s="7" t="s">
        <v>10</v>
      </c>
      <c r="H15219" s="7">
        <v>19547</v>
      </c>
      <c r="I15219" s="8" t="str">
        <f ca="1">IFERROR(__xludf.DUMMYFUNCTION("IF
(
G15220=""фізична особа""
,
VLOOKUP(H15220,IMPORTRANGE(""https://docs.google.com/spreadsheets/d/14Bd19lYaqBhU8_DElYkX7l4wRkHqqCUFNJY4AfY3kHU/edit?usp=sharing  #gid=0"",""фіз особи new!relations_name""),6,FALSE)
,
(IF
(
G15220=""юридична особа""
,
VLOO"&amp;"KUP(H15220,IMPORTRANGE(""https://docs.google.com/spreadsheets/d/14Bd19lYaqBhU8_DElYkX7l4wRkHqqCUFNJY4AfY3kHU/edit?usp=sharing  #gid=0"",""фіз особи new!relations_name_uo""),7,FALSE)
,
)
))"),"СУХОНОСЕНКО Галина Григорівна")</f>
        <v>СУХОНОСЕНКО Галина Григорівна</v>
      </c>
      <c r="J15219" s="7" t="s">
        <v>23</v>
      </c>
    </row>
    <row r="15220" spans="1:10" ht="13.2">
      <c r="A15220" s="7">
        <v>15219</v>
      </c>
      <c r="B15220" s="7">
        <v>1</v>
      </c>
      <c r="C15220" s="7" t="s">
        <v>10</v>
      </c>
      <c r="D15220" s="7">
        <v>19556</v>
      </c>
      <c r="E15220" s="7" t="s">
        <v>23</v>
      </c>
      <c r="F15220" s="8" t="str">
        <f ca="1">IFERROR(__xludf.DUMMYFUNCTION("IF
(
C15221=""фізична особа""
,
VLOOKUP(D15221,IMPORTRANGE(""https://docs.google.com/spreadsheets/d/14Bd19lYaqBhU8_DElYkX7l4wRkHqqCUFNJY4AfY3kHU/edit?usp=sharing  #gid=0"",""фіз особи new!relations_name""),6,FALSE)
,
(IF
(
C15221=""юридична особа""
,
VLOO"&amp;"KUP(D15221,IMPORTRANGE(""https://docs.google.com/spreadsheets/d/14Bd19lYaqBhU8_DElYkX7l4wRkHqqCUFNJY4AfY3kHU/edit?usp=sharing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0" s="7" t="s">
        <v>10</v>
      </c>
      <c r="H15220" s="7">
        <v>19548</v>
      </c>
      <c r="I15220" s="8" t="str">
        <f ca="1">IFERROR(__xludf.DUMMYFUNCTION("IF
(
G15221=""фізична особа""
,
VLOOKUP(H15221,IMPORTRANGE(""https://docs.google.com/spreadsheets/d/14Bd19lYaqBhU8_DElYkX7l4wRkHqqCUFNJY4AfY3kHU/edit?usp=sharing  #gid=0"",""фіз особи new!relations_name""),6,FALSE)
,
(IF
(
G15221=""юридична особа""
,
VLOO"&amp;"KUP(H15221,IMPORTRANGE(""https://docs.google.com/spreadsheets/d/14Bd19lYaqBhU8_DElYkX7l4wRkHqqCUFNJY4AfY3kHU/edit?usp=sharing  #gid=0"",""фіз особи new!relations_name_uo""),7,FALSE)
,
)
))"),"СОКОЛОВ Олександр Павлович")</f>
        <v>СОКОЛОВ Олександр Павлович</v>
      </c>
      <c r="J15220" s="7" t="s">
        <v>23</v>
      </c>
    </row>
    <row r="15221" spans="1:10" ht="13.2">
      <c r="A15221" s="7">
        <v>15220</v>
      </c>
      <c r="B15221" s="7">
        <v>1</v>
      </c>
      <c r="C15221" s="7" t="s">
        <v>10</v>
      </c>
      <c r="D15221" s="7">
        <v>19556</v>
      </c>
      <c r="E15221" s="7" t="s">
        <v>23</v>
      </c>
      <c r="F15221" s="8" t="str">
        <f ca="1">IFERROR(__xludf.DUMMYFUNCTION("IF
(
C15222=""фізична особа""
,
VLOOKUP(D15222,IMPORTRANGE(""https://docs.google.com/spreadsheets/d/14Bd19lYaqBhU8_DElYkX7l4wRkHqqCUFNJY4AfY3kHU/edit?usp=sharing  #gid=0"",""фіз особи new!relations_name""),6,FALSE)
,
(IF
(
C15222=""юридична особа""
,
VLOO"&amp;"KUP(D15222,IMPORTRANGE(""https://docs.google.com/spreadsheets/d/14Bd19lYaqBhU8_DElYkX7l4wRkHqqCUFNJY4AfY3kHU/edit?usp=sharing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1" s="7" t="s">
        <v>10</v>
      </c>
      <c r="H15221" s="7">
        <v>19549</v>
      </c>
      <c r="I15221" s="8" t="str">
        <f ca="1">IFERROR(__xludf.DUMMYFUNCTION("IF
(
G15222=""фізична особа""
,
VLOOKUP(H15222,IMPORTRANGE(""https://docs.google.com/spreadsheets/d/14Bd19lYaqBhU8_DElYkX7l4wRkHqqCUFNJY4AfY3kHU/edit?usp=sharing  #gid=0"",""фіз особи new!relations_name""),6,FALSE)
,
(IF
(
G15222=""юридична особа""
,
VLOO"&amp;"KUP(H15222,IMPORTRANGE(""https://docs.google.com/spreadsheets/d/14Bd19lYaqBhU8_DElYkX7l4wRkHqqCUFNJY4AfY3kHU/edit?usp=sharing  #gid=0"",""фіз особи new!relations_name_uo""),7,FALSE)
,
)
))"),"ІБРАГІМОВ Шаміль Валєєвич")</f>
        <v>ІБРАГІМОВ Шаміль Валєєвич</v>
      </c>
      <c r="J15221" s="7" t="s">
        <v>23</v>
      </c>
    </row>
    <row r="15222" spans="1:10" ht="13.2">
      <c r="A15222" s="7">
        <v>15221</v>
      </c>
      <c r="B15222" s="7">
        <v>1</v>
      </c>
      <c r="C15222" s="7" t="s">
        <v>10</v>
      </c>
      <c r="D15222" s="7">
        <v>19556</v>
      </c>
      <c r="E15222" s="7" t="s">
        <v>23</v>
      </c>
      <c r="F15222" s="8" t="str">
        <f ca="1">IFERROR(__xludf.DUMMYFUNCTION("IF
(
C15223=""фізична особа""
,
VLOOKUP(D15223,IMPORTRANGE(""https://docs.google.com/spreadsheets/d/14Bd19lYaqBhU8_DElYkX7l4wRkHqqCUFNJY4AfY3kHU/edit?usp=sharing  #gid=0"",""фіз особи new!relations_name""),6,FALSE)
,
(IF
(
C15223=""юридична особа""
,
VLOO"&amp;"KUP(D15223,IMPORTRANGE(""https://docs.google.com/spreadsheets/d/14Bd19lYaqBhU8_DElYkX7l4wRkHqqCUFNJY4AfY3kHU/edit?usp=sharing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2" s="7" t="s">
        <v>10</v>
      </c>
      <c r="H15222" s="7">
        <v>19550</v>
      </c>
      <c r="I15222" s="8" t="str">
        <f ca="1">IFERROR(__xludf.DUMMYFUNCTION("IF
(
G15223=""фізична особа""
,
VLOOKUP(H15223,IMPORTRANGE(""https://docs.google.com/spreadsheets/d/14Bd19lYaqBhU8_DElYkX7l4wRkHqqCUFNJY4AfY3kHU/edit?usp=sharing  #gid=0"",""фіз особи new!relations_name""),6,FALSE)
,
(IF
(
G15223=""юридична особа""
,
VLOO"&amp;"KUP(H15223,IMPORTRANGE(""https://docs.google.com/spreadsheets/d/14Bd19lYaqBhU8_DElYkX7l4wRkHqqCUFNJY4AfY3kHU/edit?usp=sharing  #gid=0"",""фіз особи new!relations_name_uo""),7,FALSE)
,
)
))"),"ЄКАВЯН Арам Олександрович")</f>
        <v>ЄКАВЯН Арам Олександрович</v>
      </c>
      <c r="J15222" s="7" t="s">
        <v>23</v>
      </c>
    </row>
    <row r="15223" spans="1:10" ht="13.2">
      <c r="A15223" s="7">
        <v>15222</v>
      </c>
      <c r="B15223" s="7">
        <v>1</v>
      </c>
      <c r="C15223" s="7" t="s">
        <v>10</v>
      </c>
      <c r="D15223" s="7">
        <v>19556</v>
      </c>
      <c r="E15223" s="7" t="s">
        <v>23</v>
      </c>
      <c r="F15223" s="8" t="str">
        <f ca="1">IFERROR(__xludf.DUMMYFUNCTION("IF
(
C15224=""фізична особа""
,
VLOOKUP(D15224,IMPORTRANGE(""https://docs.google.com/spreadsheets/d/14Bd19lYaqBhU8_DElYkX7l4wRkHqqCUFNJY4AfY3kHU/edit?usp=sharing  #gid=0"",""фіз особи new!relations_name""),6,FALSE)
,
(IF
(
C15224=""юридична особа""
,
VLOO"&amp;"KUP(D15224,IMPORTRANGE(""https://docs.google.com/spreadsheets/d/14Bd19lYaqBhU8_DElYkX7l4wRkHqqCUFNJY4AfY3kHU/edit?usp=sharing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3" s="7" t="s">
        <v>10</v>
      </c>
      <c r="H15223" s="7">
        <v>19551</v>
      </c>
      <c r="I15223" s="8" t="str">
        <f ca="1">IFERROR(__xludf.DUMMYFUNCTION("IF
(
G15224=""фізична особа""
,
VLOOKUP(H15224,IMPORTRANGE(""https://docs.google.com/spreadsheets/d/14Bd19lYaqBhU8_DElYkX7l4wRkHqqCUFNJY4AfY3kHU/edit?usp=sharing  #gid=0"",""фіз особи new!relations_name""),6,FALSE)
,
(IF
(
G15224=""юридична особа""
,
VLOO"&amp;"KUP(H15224,IMPORTRANGE(""https://docs.google.com/spreadsheets/d/14Bd19lYaqBhU8_DElYkX7l4wRkHqqCUFNJY4AfY3kHU/edit?usp=sharing  #gid=0"",""фіз особи new!relations_name_uo""),7,FALSE)
,
)
))"),"ЛЕВІН Сергій Юрійович")</f>
        <v>ЛЕВІН Сергій Юрійович</v>
      </c>
      <c r="J15223" s="7" t="s">
        <v>23</v>
      </c>
    </row>
    <row r="15224" spans="1:10" ht="13.2">
      <c r="A15224" s="7">
        <v>15223</v>
      </c>
      <c r="B15224" s="7">
        <v>1</v>
      </c>
      <c r="C15224" s="7" t="s">
        <v>10</v>
      </c>
      <c r="D15224" s="7">
        <v>19556</v>
      </c>
      <c r="E15224" s="7" t="s">
        <v>23</v>
      </c>
      <c r="F15224" s="8" t="str">
        <f ca="1">IFERROR(__xludf.DUMMYFUNCTION("IF
(
C15225=""фізична особа""
,
VLOOKUP(D15225,IMPORTRANGE(""https://docs.google.com/spreadsheets/d/14Bd19lYaqBhU8_DElYkX7l4wRkHqqCUFNJY4AfY3kHU/edit?usp=sharing  #gid=0"",""фіз особи new!relations_name""),6,FALSE)
,
(IF
(
C15225=""юридична особа""
,
VLOO"&amp;"KUP(D15225,IMPORTRANGE(""https://docs.google.com/spreadsheets/d/14Bd19lYaqBhU8_DElYkX7l4wRkHqqCUFNJY4AfY3kHU/edit?usp=sharing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4" s="7" t="s">
        <v>10</v>
      </c>
      <c r="H15224" s="7">
        <v>19552</v>
      </c>
      <c r="I15224" s="8" t="str">
        <f ca="1">IFERROR(__xludf.DUMMYFUNCTION("IF
(
G15225=""фізична особа""
,
VLOOKUP(H15225,IMPORTRANGE(""https://docs.google.com/spreadsheets/d/14Bd19lYaqBhU8_DElYkX7l4wRkHqqCUFNJY4AfY3kHU/edit?usp=sharing  #gid=0"",""фіз особи new!relations_name""),6,FALSE)
,
(IF
(
G15225=""юридична особа""
,
VLOO"&amp;"KUP(H15225,IMPORTRANGE(""https://docs.google.com/spreadsheets/d/14Bd19lYaqBhU8_DElYkX7l4wRkHqqCUFNJY4AfY3kHU/edit?usp=sharing  #gid=0"",""фіз особи new!relations_name_uo""),7,FALSE)
,
)
))"),"ГАВРІКОВА Марина Миколаївна")</f>
        <v>ГАВРІКОВА Марина Миколаївна</v>
      </c>
      <c r="J15224" s="7" t="s">
        <v>23</v>
      </c>
    </row>
    <row r="15225" spans="1:10" ht="13.2">
      <c r="A15225" s="7">
        <v>15224</v>
      </c>
      <c r="B15225" s="7">
        <v>1</v>
      </c>
      <c r="C15225" s="7" t="s">
        <v>10</v>
      </c>
      <c r="D15225" s="7">
        <v>19556</v>
      </c>
      <c r="E15225" s="7" t="s">
        <v>23</v>
      </c>
      <c r="F15225" s="8" t="str">
        <f ca="1">IFERROR(__xludf.DUMMYFUNCTION("IF
(
C15226=""фізична особа""
,
VLOOKUP(D15226,IMPORTRANGE(""https://docs.google.com/spreadsheets/d/14Bd19lYaqBhU8_DElYkX7l4wRkHqqCUFNJY4AfY3kHU/edit?usp=sharing  #gid=0"",""фіз особи new!relations_name""),6,FALSE)
,
(IF
(
C15226=""юридична особа""
,
VLOO"&amp;"KUP(D15226,IMPORTRANGE(""https://docs.google.com/spreadsheets/d/14Bd19lYaqBhU8_DElYkX7l4wRkHqqCUFNJY4AfY3kHU/edit?usp=sharing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5" s="7" t="s">
        <v>10</v>
      </c>
      <c r="H15225" s="7">
        <v>19553</v>
      </c>
      <c r="I15225" s="8" t="str">
        <f ca="1">IFERROR(__xludf.DUMMYFUNCTION("IF
(
G15226=""фізична особа""
,
VLOOKUP(H15226,IMPORTRANGE(""https://docs.google.com/spreadsheets/d/14Bd19lYaqBhU8_DElYkX7l4wRkHqqCUFNJY4AfY3kHU/edit?usp=sharing  #gid=0"",""фіз особи new!relations_name""),6,FALSE)
,
(IF
(
G15226=""юридична особа""
,
VLOO"&amp;"KUP(H15226,IMPORTRANGE(""https://docs.google.com/spreadsheets/d/14Bd19lYaqBhU8_DElYkX7l4wRkHqqCUFNJY4AfY3kHU/edit?usp=sharing  #gid=0"",""фіз особи new!relations_name_uo""),7,FALSE)
,
)
))"),"ДАНІЛОВА Людмила Геннадіївна")</f>
        <v>ДАНІЛОВА Людмила Геннадіївна</v>
      </c>
      <c r="J15225" s="7" t="s">
        <v>23</v>
      </c>
    </row>
    <row r="15226" spans="1:10" ht="13.2">
      <c r="A15226" s="7">
        <v>15225</v>
      </c>
      <c r="B15226" s="7">
        <v>1</v>
      </c>
      <c r="C15226" s="7" t="s">
        <v>10</v>
      </c>
      <c r="D15226" s="7">
        <v>19556</v>
      </c>
      <c r="E15226" s="7" t="s">
        <v>23</v>
      </c>
      <c r="F15226" s="8" t="str">
        <f ca="1">IFERROR(__xludf.DUMMYFUNCTION("IF
(
C15227=""фізична особа""
,
VLOOKUP(D15227,IMPORTRANGE(""https://docs.google.com/spreadsheets/d/14Bd19lYaqBhU8_DElYkX7l4wRkHqqCUFNJY4AfY3kHU/edit?usp=sharing  #gid=0"",""фіз особи new!relations_name""),6,FALSE)
,
(IF
(
C15227=""юридична особа""
,
VLOO"&amp;"KUP(D15227,IMPORTRANGE(""https://docs.google.com/spreadsheets/d/14Bd19lYaqBhU8_DElYkX7l4wRkHqqCUFNJY4AfY3kHU/edit?usp=sharing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6" s="7" t="s">
        <v>10</v>
      </c>
      <c r="H15226" s="7">
        <v>19554</v>
      </c>
      <c r="I15226" s="8" t="str">
        <f ca="1">IFERROR(__xludf.DUMMYFUNCTION("IF
(
G15227=""фізична особа""
,
VLOOKUP(H15227,IMPORTRANGE(""https://docs.google.com/spreadsheets/d/14Bd19lYaqBhU8_DElYkX7l4wRkHqqCUFNJY4AfY3kHU/edit?usp=sharing  #gid=0"",""фіз особи new!relations_name""),6,FALSE)
,
(IF
(
G15227=""юридична особа""
,
VLOO"&amp;"KUP(H15227,IMPORTRANGE(""https://docs.google.com/spreadsheets/d/14Bd19lYaqBhU8_DElYkX7l4wRkHqqCUFNJY4AfY3kHU/edit?usp=sharing  #gid=0"",""фіз особи new!relations_name_uo""),7,FALSE)
,
)
))"),"ЛІСІЦИН Павло Павлович")</f>
        <v>ЛІСІЦИН Павло Павлович</v>
      </c>
      <c r="J15226" s="7" t="s">
        <v>23</v>
      </c>
    </row>
    <row r="15227" spans="1:10" ht="13.2">
      <c r="A15227" s="7">
        <v>15226</v>
      </c>
      <c r="B15227" s="7">
        <v>1</v>
      </c>
      <c r="C15227" s="7" t="s">
        <v>10</v>
      </c>
      <c r="D15227" s="7">
        <v>19556</v>
      </c>
      <c r="E15227" s="7" t="s">
        <v>23</v>
      </c>
      <c r="F15227" s="8" t="str">
        <f ca="1">IFERROR(__xludf.DUMMYFUNCTION("IF
(
C15228=""фізична особа""
,
VLOOKUP(D15228,IMPORTRANGE(""https://docs.google.com/spreadsheets/d/14Bd19lYaqBhU8_DElYkX7l4wRkHqqCUFNJY4AfY3kHU/edit?usp=sharing  #gid=0"",""фіз особи new!relations_name""),6,FALSE)
,
(IF
(
C15228=""юридична особа""
,
VLOO"&amp;"KUP(D15228,IMPORTRANGE(""https://docs.google.com/spreadsheets/d/14Bd19lYaqBhU8_DElYkX7l4wRkHqqCUFNJY4AfY3kHU/edit?usp=sharing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G15227" s="7" t="s">
        <v>10</v>
      </c>
      <c r="H15227" s="7">
        <v>19556</v>
      </c>
      <c r="I15227" s="8" t="str">
        <f ca="1">IFERROR(__xludf.DUMMYFUNCTION("IF
(
G15228=""фізична особа""
,
VLOOKUP(H15228,IMPORTRANGE(""https://docs.google.com/spreadsheets/d/14Bd19lYaqBhU8_DElYkX7l4wRkHqqCUFNJY4AfY3kHU/edit?usp=sharing  #gid=0"",""фіз особи new!relations_name""),6,FALSE)
,
(IF
(
G15228=""юридична особа""
,
VLOO"&amp;"KUP(H15228,IMPORTRANGE(""https://docs.google.com/spreadsheets/d/14Bd19lYaqBhU8_DElYkX7l4wRkHqqCUFNJY4AfY3kHU/edit?usp=sharing  #gid=0"",""фіз особи new!relations_name_uo""),7,FALSE)
,
)
))"),"СИРІЦА Андрій Миколайович")</f>
        <v>СИРІЦА Андрій Миколайович</v>
      </c>
      <c r="J15227" s="7" t="s">
        <v>23</v>
      </c>
    </row>
    <row r="15228" spans="1:10" ht="13.2">
      <c r="A15228" s="7">
        <v>15227</v>
      </c>
      <c r="B15228" s="7">
        <v>1</v>
      </c>
      <c r="C15228" s="7" t="s">
        <v>10</v>
      </c>
      <c r="D15228" s="7">
        <v>19557</v>
      </c>
      <c r="E15228" s="7" t="s">
        <v>23</v>
      </c>
      <c r="F15228" s="8" t="str">
        <f ca="1">IFERROR(__xludf.DUMMYFUNCTION("IF
(
C15229=""фізична особа""
,
VLOOKUP(D15229,IMPORTRANGE(""https://docs.google.com/spreadsheets/d/14Bd19lYaqBhU8_DElYkX7l4wRkHqqCUFNJY4AfY3kHU/edit?usp=sharing  #gid=0"",""фіз особи new!relations_name""),6,FALSE)
,
(IF
(
C15229=""юридична особа""
,
VLOO"&amp;"KUP(D15229,IMPORTRANGE(""https://docs.google.com/spreadsheets/d/14Bd19lYaqBhU8_DElYkX7l4wRkHqqCUFNJY4AfY3kHU/edit?usp=sharing  #gid=0"",""фіз особи new!relations_name_uo""),7,FALSE)
,
)
))"),"РОЩИНА Тетяна Іванівна")</f>
        <v>РОЩИНА Тетяна Іванівна</v>
      </c>
      <c r="G15228" s="7" t="s">
        <v>10</v>
      </c>
      <c r="H15228" s="7">
        <v>19483</v>
      </c>
      <c r="I15228" s="8" t="str">
        <f ca="1">IFERROR(__xludf.DUMMYFUNCTION("IF
(
G15229=""фізична особа""
,
VLOOKUP(H15229,IMPORTRANGE(""https://docs.google.com/spreadsheets/d/14Bd19lYaqBhU8_DElYkX7l4wRkHqqCUFNJY4AfY3kHU/edit?usp=sharing  #gid=0"",""фіз особи new!relations_name""),6,FALSE)
,
(IF
(
G15229=""юридична особа""
,
VLOO"&amp;"KUP(H15229,IMPORTRANGE(""https://docs.google.com/spreadsheets/d/14Bd19lYaqBhU8_DElYkX7l4wRkHqqCUFNJY4AfY3kHU/edit?usp=sharing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5228" s="7" t="s">
        <v>23</v>
      </c>
    </row>
    <row r="15229" spans="1:10" ht="13.2">
      <c r="A15229" s="7">
        <v>15228</v>
      </c>
      <c r="B15229" s="7">
        <v>1</v>
      </c>
      <c r="C15229" s="7" t="s">
        <v>10</v>
      </c>
      <c r="D15229" s="7">
        <v>19558</v>
      </c>
      <c r="E15229" s="7" t="s">
        <v>23</v>
      </c>
      <c r="F15229" s="8" t="str">
        <f ca="1">IFERROR(__xludf.DUMMYFUNCTION("IF
(
C15230=""фізична особа""
,
VLOOKUP(D15230,IMPORTRANGE(""https://docs.google.com/spreadsheets/d/14Bd19lYaqBhU8_DElYkX7l4wRkHqqCUFNJY4AfY3kHU/edit?usp=sharing  #gid=0"",""фіз особи new!relations_name""),6,FALSE)
,
(IF
(
C15230=""юридична особа""
,
VLOO"&amp;"KUP(D15230,IMPORTRANGE(""https://docs.google.com/spreadsheets/d/14Bd19lYaqBhU8_DElYkX7l4wRkHqqCUFNJY4AfY3kHU/edit?usp=sharing  #gid=0"",""фіз особи new!relations_name_uo""),7,FALSE)
,
)
))"),"КОХ Ольга Вікторівна")</f>
        <v>КОХ Ольга Вікторівна</v>
      </c>
      <c r="G15229" s="7" t="s">
        <v>10</v>
      </c>
      <c r="H15229" s="7">
        <v>19483</v>
      </c>
      <c r="I15229" s="8" t="str">
        <f ca="1">IFERROR(__xludf.DUMMYFUNCTION("IF
(
G15230=""фізична особа""
,
VLOOKUP(H15230,IMPORTRANGE(""https://docs.google.com/spreadsheets/d/14Bd19lYaqBhU8_DElYkX7l4wRkHqqCUFNJY4AfY3kHU/edit?usp=sharing  #gid=0"",""фіз особи new!relations_name""),6,FALSE)
,
(IF
(
G15230=""юридична особа""
,
VLOO"&amp;"KUP(H15230,IMPORTRANGE(""https://docs.google.com/spreadsheets/d/14Bd19lYaqBhU8_DElYkX7l4wRkHqqCUFNJY4AfY3kHU/edit?usp=sharing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5229" s="7" t="s">
        <v>23</v>
      </c>
    </row>
    <row r="15230" spans="1:10" ht="13.2">
      <c r="A15230" s="7">
        <v>15229</v>
      </c>
      <c r="B15230" s="7">
        <v>1</v>
      </c>
      <c r="C15230" s="7" t="s">
        <v>10</v>
      </c>
      <c r="D15230" s="7">
        <v>19559</v>
      </c>
      <c r="E15230" s="7" t="s">
        <v>23</v>
      </c>
      <c r="F15230" s="8" t="str">
        <f ca="1">IFERROR(__xludf.DUMMYFUNCTION("IF
(
C15231=""фізична особа""
,
VLOOKUP(D15231,IMPORTRANGE(""https://docs.google.com/spreadsheets/d/14Bd19lYaqBhU8_DElYkX7l4wRkHqqCUFNJY4AfY3kHU/edit?usp=sharing  #gid=0"",""фіз особи new!relations_name""),6,FALSE)
,
(IF
(
C15231=""юридична особа""
,
VLOO"&amp;"KUP(D15231,IMPORTRANGE(""https://docs.google.com/spreadsheets/d/14Bd19lYaqBhU8_DElYkX7l4wRkHqqCUFNJY4AfY3kHU/edit?usp=sharing  #gid=0"",""фіз особи new!relations_name_uo""),7,FALSE)
,
)
))"),"НАЗАРОВ Андрій Геннадійович")</f>
        <v>НАЗАРОВ Андрій Геннадійович</v>
      </c>
      <c r="G15230" s="7" t="s">
        <v>10</v>
      </c>
      <c r="H15230" s="7">
        <v>19483</v>
      </c>
      <c r="I15230" s="8" t="str">
        <f ca="1">IFERROR(__xludf.DUMMYFUNCTION("IF
(
G15231=""фізична особа""
,
VLOOKUP(H15231,IMPORTRANGE(""https://docs.google.com/spreadsheets/d/14Bd19lYaqBhU8_DElYkX7l4wRkHqqCUFNJY4AfY3kHU/edit?usp=sharing  #gid=0"",""фіз особи new!relations_name""),6,FALSE)
,
(IF
(
G15231=""юридична особа""
,
VLOO"&amp;"KUP(H15231,IMPORTRANGE(""https://docs.google.com/spreadsheets/d/14Bd19lYaqBhU8_DElYkX7l4wRkHqqCUFNJY4AfY3kHU/edit?usp=sharing  #gid=0"",""фіз особи new!relations_name_uo""),7,FALSE)
,
)
))"),"КАЙДАШ Надія Юріївна")</f>
        <v>КАЙДАШ Надія Юріївна</v>
      </c>
      <c r="J15230" s="7" t="s">
        <v>23</v>
      </c>
    </row>
    <row r="15231" spans="1:10" ht="13.2">
      <c r="A15231" s="7">
        <v>15230</v>
      </c>
      <c r="B15231" s="7">
        <v>1</v>
      </c>
      <c r="C15231" s="7" t="s">
        <v>10</v>
      </c>
      <c r="D15231" s="7">
        <v>19560</v>
      </c>
      <c r="E15231" s="7" t="s">
        <v>23</v>
      </c>
      <c r="F15231" s="8" t="str">
        <f ca="1">IFERROR(__xludf.DUMMYFUNCTION("IF
(
C15232=""фізична особа""
,
VLOOKUP(D15232,IMPORTRANGE(""https://docs.google.com/spreadsheets/d/14Bd19lYaqBhU8_DElYkX7l4wRkHqqCUFNJY4AfY3kHU/edit?usp=sharing  #gid=0"",""фіз особи new!relations_name""),6,FALSE)
,
(IF
(
C15232=""юридична особа""
,
VLOO"&amp;"KUP(D15232,IMPORTRANGE(""https://docs.google.com/spreadsheets/d/14Bd19lYaqBhU8_DElYkX7l4wRkHqqCUFNJY4AfY3kHU/edit?usp=sharing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1" s="7" t="s">
        <v>10</v>
      </c>
      <c r="H15231" s="7">
        <v>0</v>
      </c>
      <c r="I15231" s="8" t="str">
        <f ca="1">IFERROR(__xludf.DUMMYFUNCTION("IF
(
G15232=""фізична особа""
,
VLOOKUP(H15232,IMPORTRANGE(""https://docs.google.com/spreadsheets/d/14Bd19lYaqBhU8_DElYkX7l4wRkHqqCUFNJY4AfY3kHU/edit?usp=sharing  #gid=0"",""фіз особи new!relations_name""),6,FALSE)
,
(IF
(
G15232=""юридична особа""
,
VLOO"&amp;"KUP(H15232,IMPORTRANGE(""https://docs.google.com/spreadsheets/d/14Bd19lYaqBhU8_DElYkX7l4wRkHqqCUFNJY4AfY3kHU/edit?usp=sharing  #gid=0"",""фіз особи new!relations_name_uo""),7,FALSE)
,
)
))"),"#N/A")</f>
        <v>#N/A</v>
      </c>
      <c r="J15231" s="7" t="s">
        <v>23</v>
      </c>
    </row>
    <row r="15232" spans="1:10" ht="13.2">
      <c r="A15232" s="7">
        <v>15231</v>
      </c>
      <c r="B15232" s="7">
        <v>1</v>
      </c>
      <c r="C15232" s="7" t="s">
        <v>10</v>
      </c>
      <c r="D15232" s="7">
        <v>19560</v>
      </c>
      <c r="E15232" s="7" t="s">
        <v>23</v>
      </c>
      <c r="F15232" s="8" t="str">
        <f ca="1">IFERROR(__xludf.DUMMYFUNCTION("IF
(
C15233=""фізична особа""
,
VLOOKUP(D15233,IMPORTRANGE(""https://docs.google.com/spreadsheets/d/14Bd19lYaqBhU8_DElYkX7l4wRkHqqCUFNJY4AfY3kHU/edit?usp=sharing  #gid=0"",""фіз особи new!relations_name""),6,FALSE)
,
(IF
(
C15233=""юридична особа""
,
VLOO"&amp;"KUP(D15233,IMPORTRANGE(""https://docs.google.com/spreadsheets/d/14Bd19lYaqBhU8_DElYkX7l4wRkHqqCUFNJY4AfY3kHU/edit?usp=sharing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2" s="7" t="s">
        <v>10</v>
      </c>
      <c r="H15232" s="7">
        <v>0</v>
      </c>
      <c r="I15232" s="8" t="str">
        <f ca="1">IFERROR(__xludf.DUMMYFUNCTION("IF
(
G15233=""фізична особа""
,
VLOOKUP(H15233,IMPORTRANGE(""https://docs.google.com/spreadsheets/d/14Bd19lYaqBhU8_DElYkX7l4wRkHqqCUFNJY4AfY3kHU/edit?usp=sharing  #gid=0"",""фіз особи new!relations_name""),6,FALSE)
,
(IF
(
G15233=""юридична особа""
,
VLOO"&amp;"KUP(H15233,IMPORTRANGE(""https://docs.google.com/spreadsheets/d/14Bd19lYaqBhU8_DElYkX7l4wRkHqqCUFNJY4AfY3kHU/edit?usp=sharing  #gid=0"",""фіз особи new!relations_name_uo""),7,FALSE)
,
)
))"),"#N/A")</f>
        <v>#N/A</v>
      </c>
      <c r="J15232" s="7" t="s">
        <v>23</v>
      </c>
    </row>
    <row r="15233" spans="1:10" ht="13.2">
      <c r="A15233" s="7">
        <v>15232</v>
      </c>
      <c r="B15233" s="7">
        <v>1</v>
      </c>
      <c r="C15233" s="7" t="s">
        <v>10</v>
      </c>
      <c r="D15233" s="7">
        <v>19560</v>
      </c>
      <c r="E15233" s="7" t="s">
        <v>23</v>
      </c>
      <c r="F15233" s="8" t="str">
        <f ca="1">IFERROR(__xludf.DUMMYFUNCTION("IF
(
C15234=""фізична особа""
,
VLOOKUP(D15234,IMPORTRANGE(""https://docs.google.com/spreadsheets/d/14Bd19lYaqBhU8_DElYkX7l4wRkHqqCUFNJY4AfY3kHU/edit?usp=sharing  #gid=0"",""фіз особи new!relations_name""),6,FALSE)
,
(IF
(
C15234=""юридична особа""
,
VLOO"&amp;"KUP(D15234,IMPORTRANGE(""https://docs.google.com/spreadsheets/d/14Bd19lYaqBhU8_DElYkX7l4wRkHqqCUFNJY4AfY3kHU/edit?usp=sharing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3" s="7" t="s">
        <v>10</v>
      </c>
      <c r="H15233" s="7">
        <v>0</v>
      </c>
      <c r="I15233" s="8" t="str">
        <f ca="1">IFERROR(__xludf.DUMMYFUNCTION("IF
(
G15234=""фізична особа""
,
VLOOKUP(H15234,IMPORTRANGE(""https://docs.google.com/spreadsheets/d/14Bd19lYaqBhU8_DElYkX7l4wRkHqqCUFNJY4AfY3kHU/edit?usp=sharing  #gid=0"",""фіз особи new!relations_name""),6,FALSE)
,
(IF
(
G15234=""юридична особа""
,
VLOO"&amp;"KUP(H15234,IMPORTRANGE(""https://docs.google.com/spreadsheets/d/14Bd19lYaqBhU8_DElYkX7l4wRkHqqCUFNJY4AfY3kHU/edit?usp=sharing  #gid=0"",""фіз особи new!relations_name_uo""),7,FALSE)
,
)
))"),"#N/A")</f>
        <v>#N/A</v>
      </c>
      <c r="J15233" s="7" t="s">
        <v>23</v>
      </c>
    </row>
    <row r="15234" spans="1:10" ht="13.2">
      <c r="A15234" s="7">
        <v>15233</v>
      </c>
      <c r="B15234" s="7">
        <v>1</v>
      </c>
      <c r="C15234" s="7" t="s">
        <v>10</v>
      </c>
      <c r="D15234" s="7">
        <v>19560</v>
      </c>
      <c r="E15234" s="7" t="s">
        <v>23</v>
      </c>
      <c r="F15234" s="8" t="str">
        <f ca="1">IFERROR(__xludf.DUMMYFUNCTION("IF
(
C15235=""фізична особа""
,
VLOOKUP(D15235,IMPORTRANGE(""https://docs.google.com/spreadsheets/d/14Bd19lYaqBhU8_DElYkX7l4wRkHqqCUFNJY4AfY3kHU/edit?usp=sharing  #gid=0"",""фіз особи new!relations_name""),6,FALSE)
,
(IF
(
C15235=""юридична особа""
,
VLOO"&amp;"KUP(D15235,IMPORTRANGE(""https://docs.google.com/spreadsheets/d/14Bd19lYaqBhU8_DElYkX7l4wRkHqqCUFNJY4AfY3kHU/edit?usp=sharing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4" s="7" t="s">
        <v>10</v>
      </c>
      <c r="H15234" s="7">
        <v>0</v>
      </c>
      <c r="I15234" s="8" t="str">
        <f ca="1">IFERROR(__xludf.DUMMYFUNCTION("IF
(
G15235=""фізична особа""
,
VLOOKUP(H15235,IMPORTRANGE(""https://docs.google.com/spreadsheets/d/14Bd19lYaqBhU8_DElYkX7l4wRkHqqCUFNJY4AfY3kHU/edit?usp=sharing  #gid=0"",""фіз особи new!relations_name""),6,FALSE)
,
(IF
(
G15235=""юридична особа""
,
VLOO"&amp;"KUP(H15235,IMPORTRANGE(""https://docs.google.com/spreadsheets/d/14Bd19lYaqBhU8_DElYkX7l4wRkHqqCUFNJY4AfY3kHU/edit?usp=sharing  #gid=0"",""фіз особи new!relations_name_uo""),7,FALSE)
,
)
))"),"#N/A")</f>
        <v>#N/A</v>
      </c>
      <c r="J15234" s="7" t="s">
        <v>23</v>
      </c>
    </row>
    <row r="15235" spans="1:10" ht="13.2">
      <c r="A15235" s="7">
        <v>15234</v>
      </c>
      <c r="B15235" s="7">
        <v>1</v>
      </c>
      <c r="C15235" s="7" t="s">
        <v>10</v>
      </c>
      <c r="D15235" s="7">
        <v>19560</v>
      </c>
      <c r="E15235" s="7" t="s">
        <v>23</v>
      </c>
      <c r="F15235" s="8" t="str">
        <f ca="1">IFERROR(__xludf.DUMMYFUNCTION("IF
(
C15236=""фізична особа""
,
VLOOKUP(D15236,IMPORTRANGE(""https://docs.google.com/spreadsheets/d/14Bd19lYaqBhU8_DElYkX7l4wRkHqqCUFNJY4AfY3kHU/edit?usp=sharing  #gid=0"",""фіз особи new!relations_name""),6,FALSE)
,
(IF
(
C15236=""юридична особа""
,
VLOO"&amp;"KUP(D15236,IMPORTRANGE(""https://docs.google.com/spreadsheets/d/14Bd19lYaqBhU8_DElYkX7l4wRkHqqCUFNJY4AfY3kHU/edit?usp=sharing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5" s="7" t="s">
        <v>10</v>
      </c>
      <c r="H15235" s="7">
        <v>0</v>
      </c>
      <c r="I15235" s="8" t="str">
        <f ca="1">IFERROR(__xludf.DUMMYFUNCTION("IF
(
G15236=""фізична особа""
,
VLOOKUP(H15236,IMPORTRANGE(""https://docs.google.com/spreadsheets/d/14Bd19lYaqBhU8_DElYkX7l4wRkHqqCUFNJY4AfY3kHU/edit?usp=sharing  #gid=0"",""фіз особи new!relations_name""),6,FALSE)
,
(IF
(
G15236=""юридична особа""
,
VLOO"&amp;"KUP(H15236,IMPORTRANGE(""https://docs.google.com/spreadsheets/d/14Bd19lYaqBhU8_DElYkX7l4wRkHqqCUFNJY4AfY3kHU/edit?usp=sharing  #gid=0"",""фіз особи new!relations_name_uo""),7,FALSE)
,
)
))"),"#N/A")</f>
        <v>#N/A</v>
      </c>
      <c r="J15235" s="7" t="s">
        <v>23</v>
      </c>
    </row>
    <row r="15236" spans="1:10" ht="13.2">
      <c r="A15236" s="7">
        <v>15235</v>
      </c>
      <c r="B15236" s="7">
        <v>1</v>
      </c>
      <c r="C15236" s="7" t="s">
        <v>10</v>
      </c>
      <c r="D15236" s="7">
        <v>19560</v>
      </c>
      <c r="E15236" s="7" t="s">
        <v>23</v>
      </c>
      <c r="F15236" s="8" t="str">
        <f ca="1">IFERROR(__xludf.DUMMYFUNCTION("IF
(
C15237=""фізична особа""
,
VLOOKUP(D15237,IMPORTRANGE(""https://docs.google.com/spreadsheets/d/14Bd19lYaqBhU8_DElYkX7l4wRkHqqCUFNJY4AfY3kHU/edit?usp=sharing  #gid=0"",""фіз особи new!relations_name""),6,FALSE)
,
(IF
(
C15237=""юридична особа""
,
VLOO"&amp;"KUP(D15237,IMPORTRANGE(""https://docs.google.com/spreadsheets/d/14Bd19lYaqBhU8_DElYkX7l4wRkHqqCUFNJY4AfY3kHU/edit?usp=sharing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6" s="7" t="s">
        <v>10</v>
      </c>
      <c r="H15236" s="7">
        <v>0</v>
      </c>
      <c r="I15236" s="8" t="str">
        <f ca="1">IFERROR(__xludf.DUMMYFUNCTION("IF
(
G15237=""фізична особа""
,
VLOOKUP(H15237,IMPORTRANGE(""https://docs.google.com/spreadsheets/d/14Bd19lYaqBhU8_DElYkX7l4wRkHqqCUFNJY4AfY3kHU/edit?usp=sharing  #gid=0"",""фіз особи new!relations_name""),6,FALSE)
,
(IF
(
G15237=""юридична особа""
,
VLOO"&amp;"KUP(H15237,IMPORTRANGE(""https://docs.google.com/spreadsheets/d/14Bd19lYaqBhU8_DElYkX7l4wRkHqqCUFNJY4AfY3kHU/edit?usp=sharing  #gid=0"",""фіз особи new!relations_name_uo""),7,FALSE)
,
)
))"),"#N/A")</f>
        <v>#N/A</v>
      </c>
      <c r="J15236" s="7" t="s">
        <v>23</v>
      </c>
    </row>
    <row r="15237" spans="1:10" ht="13.2">
      <c r="A15237" s="7">
        <v>15236</v>
      </c>
      <c r="B15237" s="7">
        <v>1</v>
      </c>
      <c r="C15237" s="7" t="s">
        <v>10</v>
      </c>
      <c r="D15237" s="7">
        <v>19560</v>
      </c>
      <c r="E15237" s="7" t="s">
        <v>23</v>
      </c>
      <c r="F15237" s="8" t="str">
        <f ca="1">IFERROR(__xludf.DUMMYFUNCTION("IF
(
C15238=""фізична особа""
,
VLOOKUP(D15238,IMPORTRANGE(""https://docs.google.com/spreadsheets/d/14Bd19lYaqBhU8_DElYkX7l4wRkHqqCUFNJY4AfY3kHU/edit?usp=sharing  #gid=0"",""фіз особи new!relations_name""),6,FALSE)
,
(IF
(
C15238=""юридична особа""
,
VLOO"&amp;"KUP(D15238,IMPORTRANGE(""https://docs.google.com/spreadsheets/d/14Bd19lYaqBhU8_DElYkX7l4wRkHqqCUFNJY4AfY3kHU/edit?usp=sharing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7" s="7" t="s">
        <v>10</v>
      </c>
      <c r="H15237" s="7">
        <v>0</v>
      </c>
      <c r="I15237" s="8" t="str">
        <f ca="1">IFERROR(__xludf.DUMMYFUNCTION("IF
(
G15238=""фізична особа""
,
VLOOKUP(H15238,IMPORTRANGE(""https://docs.google.com/spreadsheets/d/14Bd19lYaqBhU8_DElYkX7l4wRkHqqCUFNJY4AfY3kHU/edit?usp=sharing  #gid=0"",""фіз особи new!relations_name""),6,FALSE)
,
(IF
(
G15238=""юридична особа""
,
VLOO"&amp;"KUP(H15238,IMPORTRANGE(""https://docs.google.com/spreadsheets/d/14Bd19lYaqBhU8_DElYkX7l4wRkHqqCUFNJY4AfY3kHU/edit?usp=sharing  #gid=0"",""фіз особи new!relations_name_uo""),7,FALSE)
,
)
))"),"#N/A")</f>
        <v>#N/A</v>
      </c>
      <c r="J15237" s="7" t="s">
        <v>23</v>
      </c>
    </row>
    <row r="15238" spans="1:10" ht="13.2">
      <c r="A15238" s="7">
        <v>15237</v>
      </c>
      <c r="B15238" s="7">
        <v>1</v>
      </c>
      <c r="C15238" s="7" t="s">
        <v>10</v>
      </c>
      <c r="D15238" s="7">
        <v>19560</v>
      </c>
      <c r="E15238" s="7" t="s">
        <v>23</v>
      </c>
      <c r="F15238" s="8" t="str">
        <f ca="1">IFERROR(__xludf.DUMMYFUNCTION("IF
(
C15239=""фізична особа""
,
VLOOKUP(D15239,IMPORTRANGE(""https://docs.google.com/spreadsheets/d/14Bd19lYaqBhU8_DElYkX7l4wRkHqqCUFNJY4AfY3kHU/edit?usp=sharing  #gid=0"",""фіз особи new!relations_name""),6,FALSE)
,
(IF
(
C15239=""юридична особа""
,
VLOO"&amp;"KUP(D15239,IMPORTRANGE(""https://docs.google.com/spreadsheets/d/14Bd19lYaqBhU8_DElYkX7l4wRkHqqCUFNJY4AfY3kHU/edit?usp=sharing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8" s="7" t="s">
        <v>10</v>
      </c>
      <c r="H15238" s="7">
        <v>0</v>
      </c>
      <c r="I15238" s="8" t="str">
        <f ca="1">IFERROR(__xludf.DUMMYFUNCTION("IF
(
G15239=""фізична особа""
,
VLOOKUP(H15239,IMPORTRANGE(""https://docs.google.com/spreadsheets/d/14Bd19lYaqBhU8_DElYkX7l4wRkHqqCUFNJY4AfY3kHU/edit?usp=sharing  #gid=0"",""фіз особи new!relations_name""),6,FALSE)
,
(IF
(
G15239=""юридична особа""
,
VLOO"&amp;"KUP(H15239,IMPORTRANGE(""https://docs.google.com/spreadsheets/d/14Bd19lYaqBhU8_DElYkX7l4wRkHqqCUFNJY4AfY3kHU/edit?usp=sharing  #gid=0"",""фіз особи new!relations_name_uo""),7,FALSE)
,
)
))"),"#N/A")</f>
        <v>#N/A</v>
      </c>
      <c r="J15238" s="7" t="s">
        <v>23</v>
      </c>
    </row>
    <row r="15239" spans="1:10" ht="13.2">
      <c r="A15239" s="7">
        <v>15238</v>
      </c>
      <c r="B15239" s="7">
        <v>1</v>
      </c>
      <c r="C15239" s="7" t="s">
        <v>10</v>
      </c>
      <c r="D15239" s="7">
        <v>19560</v>
      </c>
      <c r="E15239" s="7" t="s">
        <v>23</v>
      </c>
      <c r="F15239" s="8" t="str">
        <f ca="1">IFERROR(__xludf.DUMMYFUNCTION("IF
(
C15240=""фізична особа""
,
VLOOKUP(D15240,IMPORTRANGE(""https://docs.google.com/spreadsheets/d/14Bd19lYaqBhU8_DElYkX7l4wRkHqqCUFNJY4AfY3kHU/edit?usp=sharing  #gid=0"",""фіз особи new!relations_name""),6,FALSE)
,
(IF
(
C15240=""юридична особа""
,
VLOO"&amp;"KUP(D15240,IMPORTRANGE(""https://docs.google.com/spreadsheets/d/14Bd19lYaqBhU8_DElYkX7l4wRkHqqCUFNJY4AfY3kHU/edit?usp=sharing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39" s="7" t="s">
        <v>10</v>
      </c>
      <c r="H15239" s="7">
        <v>0</v>
      </c>
      <c r="I15239" s="8" t="str">
        <f ca="1">IFERROR(__xludf.DUMMYFUNCTION("IF
(
G15240=""фізична особа""
,
VLOOKUP(H15240,IMPORTRANGE(""https://docs.google.com/spreadsheets/d/14Bd19lYaqBhU8_DElYkX7l4wRkHqqCUFNJY4AfY3kHU/edit?usp=sharing  #gid=0"",""фіз особи new!relations_name""),6,FALSE)
,
(IF
(
G15240=""юридична особа""
,
VLOO"&amp;"KUP(H15240,IMPORTRANGE(""https://docs.google.com/spreadsheets/d/14Bd19lYaqBhU8_DElYkX7l4wRkHqqCUFNJY4AfY3kHU/edit?usp=sharing  #gid=0"",""фіз особи new!relations_name_uo""),7,FALSE)
,
)
))"),"#N/A")</f>
        <v>#N/A</v>
      </c>
      <c r="J15239" s="7" t="s">
        <v>23</v>
      </c>
    </row>
    <row r="15240" spans="1:10" ht="13.2">
      <c r="A15240" s="7">
        <v>15239</v>
      </c>
      <c r="B15240" s="7">
        <v>1</v>
      </c>
      <c r="C15240" s="7" t="s">
        <v>10</v>
      </c>
      <c r="D15240" s="7">
        <v>19560</v>
      </c>
      <c r="E15240" s="7" t="s">
        <v>23</v>
      </c>
      <c r="F15240" s="8" t="str">
        <f ca="1">IFERROR(__xludf.DUMMYFUNCTION("IF
(
C15241=""фізична особа""
,
VLOOKUP(D15241,IMPORTRANGE(""https://docs.google.com/spreadsheets/d/14Bd19lYaqBhU8_DElYkX7l4wRkHqqCUFNJY4AfY3kHU/edit?usp=sharing  #gid=0"",""фіз особи new!relations_name""),6,FALSE)
,
(IF
(
C15241=""юридична особа""
,
VLOO"&amp;"KUP(D15241,IMPORTRANGE(""https://docs.google.com/spreadsheets/d/14Bd19lYaqBhU8_DElYkX7l4wRkHqqCUFNJY4AfY3kHU/edit?usp=sharing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0" s="7" t="s">
        <v>10</v>
      </c>
      <c r="H15240" s="7">
        <v>0</v>
      </c>
      <c r="I15240" s="8" t="str">
        <f ca="1">IFERROR(__xludf.DUMMYFUNCTION("IF
(
G15241=""фізична особа""
,
VLOOKUP(H15241,IMPORTRANGE(""https://docs.google.com/spreadsheets/d/14Bd19lYaqBhU8_DElYkX7l4wRkHqqCUFNJY4AfY3kHU/edit?usp=sharing  #gid=0"",""фіз особи new!relations_name""),6,FALSE)
,
(IF
(
G15241=""юридична особа""
,
VLOO"&amp;"KUP(H15241,IMPORTRANGE(""https://docs.google.com/spreadsheets/d/14Bd19lYaqBhU8_DElYkX7l4wRkHqqCUFNJY4AfY3kHU/edit?usp=sharing  #gid=0"",""фіз особи new!relations_name_uo""),7,FALSE)
,
)
))"),"#N/A")</f>
        <v>#N/A</v>
      </c>
      <c r="J15240" s="7" t="s">
        <v>23</v>
      </c>
    </row>
    <row r="15241" spans="1:10" ht="13.2">
      <c r="A15241" s="7">
        <v>15240</v>
      </c>
      <c r="B15241" s="7">
        <v>1</v>
      </c>
      <c r="C15241" s="7" t="s">
        <v>10</v>
      </c>
      <c r="D15241" s="7">
        <v>19560</v>
      </c>
      <c r="E15241" s="7" t="s">
        <v>23</v>
      </c>
      <c r="F15241" s="8" t="str">
        <f ca="1">IFERROR(__xludf.DUMMYFUNCTION("IF
(
C15242=""фізична особа""
,
VLOOKUP(D15242,IMPORTRANGE(""https://docs.google.com/spreadsheets/d/14Bd19lYaqBhU8_DElYkX7l4wRkHqqCUFNJY4AfY3kHU/edit?usp=sharing  #gid=0"",""фіз особи new!relations_name""),6,FALSE)
,
(IF
(
C15242=""юридична особа""
,
VLOO"&amp;"KUP(D15242,IMPORTRANGE(""https://docs.google.com/spreadsheets/d/14Bd19lYaqBhU8_DElYkX7l4wRkHqqCUFNJY4AfY3kHU/edit?usp=sharing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1" s="7" t="s">
        <v>10</v>
      </c>
      <c r="H15241" s="7">
        <v>0</v>
      </c>
      <c r="I15241" s="8" t="str">
        <f ca="1">IFERROR(__xludf.DUMMYFUNCTION("IF
(
G15242=""фізична особа""
,
VLOOKUP(H15242,IMPORTRANGE(""https://docs.google.com/spreadsheets/d/14Bd19lYaqBhU8_DElYkX7l4wRkHqqCUFNJY4AfY3kHU/edit?usp=sharing  #gid=0"",""фіз особи new!relations_name""),6,FALSE)
,
(IF
(
G15242=""юридична особа""
,
VLOO"&amp;"KUP(H15242,IMPORTRANGE(""https://docs.google.com/spreadsheets/d/14Bd19lYaqBhU8_DElYkX7l4wRkHqqCUFNJY4AfY3kHU/edit?usp=sharing  #gid=0"",""фіз особи new!relations_name_uo""),7,FALSE)
,
)
))"),"#N/A")</f>
        <v>#N/A</v>
      </c>
      <c r="J15241" s="7" t="s">
        <v>23</v>
      </c>
    </row>
    <row r="15242" spans="1:10" ht="13.2">
      <c r="A15242" s="7">
        <v>15241</v>
      </c>
      <c r="B15242" s="7">
        <v>1</v>
      </c>
      <c r="C15242" s="7" t="s">
        <v>10</v>
      </c>
      <c r="D15242" s="7">
        <v>19560</v>
      </c>
      <c r="E15242" s="7" t="s">
        <v>23</v>
      </c>
      <c r="F15242" s="8" t="str">
        <f ca="1">IFERROR(__xludf.DUMMYFUNCTION("IF
(
C15243=""фізична особа""
,
VLOOKUP(D15243,IMPORTRANGE(""https://docs.google.com/spreadsheets/d/14Bd19lYaqBhU8_DElYkX7l4wRkHqqCUFNJY4AfY3kHU/edit?usp=sharing  #gid=0"",""фіз особи new!relations_name""),6,FALSE)
,
(IF
(
C15243=""юридична особа""
,
VLOO"&amp;"KUP(D15243,IMPORTRANGE(""https://docs.google.com/spreadsheets/d/14Bd19lYaqBhU8_DElYkX7l4wRkHqqCUFNJY4AfY3kHU/edit?usp=sharing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2" s="7" t="s">
        <v>10</v>
      </c>
      <c r="H15242" s="7">
        <v>19562</v>
      </c>
      <c r="I15242" s="8" t="str">
        <f ca="1">IFERROR(__xludf.DUMMYFUNCTION("IF
(
G15243=""фізична особа""
,
VLOOKUP(H15243,IMPORTRANGE(""https://docs.google.com/spreadsheets/d/14Bd19lYaqBhU8_DElYkX7l4wRkHqqCUFNJY4AfY3kHU/edit?usp=sharing  #gid=0"",""фіз особи new!relations_name""),6,FALSE)
,
(IF
(
G15243=""юридична особа""
,
VLOO"&amp;"KUP(H15243,IMPORTRANGE(""https://docs.google.com/spreadsheets/d/14Bd19lYaqBhU8_DElYkX7l4wRkHqqCUFNJY4AfY3kHU/edit?usp=sharing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J15242" s="7" t="s">
        <v>23</v>
      </c>
    </row>
    <row r="15243" spans="1:10" ht="13.2">
      <c r="A15243" s="7">
        <v>15242</v>
      </c>
      <c r="B15243" s="7">
        <v>1</v>
      </c>
      <c r="C15243" s="7" t="s">
        <v>10</v>
      </c>
      <c r="D15243" s="7">
        <v>19560</v>
      </c>
      <c r="E15243" s="7" t="s">
        <v>23</v>
      </c>
      <c r="F15243" s="8" t="str">
        <f ca="1">IFERROR(__xludf.DUMMYFUNCTION("IF
(
C15244=""фізична особа""
,
VLOOKUP(D15244,IMPORTRANGE(""https://docs.google.com/spreadsheets/d/14Bd19lYaqBhU8_DElYkX7l4wRkHqqCUFNJY4AfY3kHU/edit?usp=sharing  #gid=0"",""фіз особи new!relations_name""),6,FALSE)
,
(IF
(
C15244=""юридична особа""
,
VLOO"&amp;"KUP(D15244,IMPORTRANGE(""https://docs.google.com/spreadsheets/d/14Bd19lYaqBhU8_DElYkX7l4wRkHqqCUFNJY4AfY3kHU/edit?usp=sharing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3" s="7" t="s">
        <v>10</v>
      </c>
      <c r="H15243" s="7">
        <v>19563</v>
      </c>
      <c r="I15243" s="8" t="str">
        <f ca="1">IFERROR(__xludf.DUMMYFUNCTION("IF
(
G15244=""фізична особа""
,
VLOOKUP(H15244,IMPORTRANGE(""https://docs.google.com/spreadsheets/d/14Bd19lYaqBhU8_DElYkX7l4wRkHqqCUFNJY4AfY3kHU/edit?usp=sharing  #gid=0"",""фіз особи new!relations_name""),6,FALSE)
,
(IF
(
G15244=""юридична особа""
,
VLOO"&amp;"KUP(H15244,IMPORTRANGE(""https://docs.google.com/spreadsheets/d/14Bd19lYaqBhU8_DElYkX7l4wRkHqqCUFNJY4AfY3kHU/edit?usp=sharing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J15243" s="7" t="s">
        <v>23</v>
      </c>
    </row>
    <row r="15244" spans="1:10" ht="13.2">
      <c r="A15244" s="7">
        <v>15243</v>
      </c>
      <c r="B15244" s="7">
        <v>1</v>
      </c>
      <c r="C15244" s="7" t="s">
        <v>10</v>
      </c>
      <c r="D15244" s="7">
        <v>19560</v>
      </c>
      <c r="E15244" s="7" t="s">
        <v>23</v>
      </c>
      <c r="F15244" s="8" t="str">
        <f ca="1">IFERROR(__xludf.DUMMYFUNCTION("IF
(
C15245=""фізична особа""
,
VLOOKUP(D15245,IMPORTRANGE(""https://docs.google.com/spreadsheets/d/14Bd19lYaqBhU8_DElYkX7l4wRkHqqCUFNJY4AfY3kHU/edit?usp=sharing  #gid=0"",""фіз особи new!relations_name""),6,FALSE)
,
(IF
(
C15245=""юридична особа""
,
VLOO"&amp;"KUP(D15245,IMPORTRANGE(""https://docs.google.com/spreadsheets/d/14Bd19lYaqBhU8_DElYkX7l4wRkHqqCUFNJY4AfY3kHU/edit?usp=sharing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4" s="7" t="s">
        <v>10</v>
      </c>
      <c r="H15244" s="7">
        <v>19564</v>
      </c>
      <c r="I15244" s="8" t="str">
        <f ca="1">IFERROR(__xludf.DUMMYFUNCTION("IF
(
G15245=""фізична особа""
,
VLOOKUP(H15245,IMPORTRANGE(""https://docs.google.com/spreadsheets/d/14Bd19lYaqBhU8_DElYkX7l4wRkHqqCUFNJY4AfY3kHU/edit?usp=sharing  #gid=0"",""фіз особи new!relations_name""),6,FALSE)
,
(IF
(
G15245=""юридична особа""
,
VLOO"&amp;"KUP(H15245,IMPORTRANGE(""https://docs.google.com/spreadsheets/d/14Bd19lYaqBhU8_DElYkX7l4wRkHqqCUFNJY4AfY3kHU/edit?usp=sharing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J15244" s="7" t="s">
        <v>23</v>
      </c>
    </row>
    <row r="15245" spans="1:10" ht="13.2">
      <c r="A15245" s="7">
        <v>15244</v>
      </c>
      <c r="B15245" s="7">
        <v>1</v>
      </c>
      <c r="C15245" s="7" t="s">
        <v>10</v>
      </c>
      <c r="D15245" s="7">
        <v>19560</v>
      </c>
      <c r="E15245" s="7" t="s">
        <v>12</v>
      </c>
      <c r="F15245" s="8" t="str">
        <f ca="1">IFERROR(__xludf.DUMMYFUNCTION("IF
(
C15246=""фізична особа""
,
VLOOKUP(D15246,IMPORTRANGE(""https://docs.google.com/spreadsheets/d/14Bd19lYaqBhU8_DElYkX7l4wRkHqqCUFNJY4AfY3kHU/edit?usp=sharing  #gid=0"",""фіз особи new!relations_name""),6,FALSE)
,
(IF
(
C15246=""юридична особа""
,
VLOO"&amp;"KUP(D15246,IMPORTRANGE(""https://docs.google.com/spreadsheets/d/14Bd19lYaqBhU8_DElYkX7l4wRkHqqCUFNJY4AfY3kHU/edit?usp=sharing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G15245" s="7" t="s">
        <v>10</v>
      </c>
      <c r="H15245" s="7">
        <v>19561</v>
      </c>
      <c r="I15245" s="8" t="str">
        <f ca="1">IFERROR(__xludf.DUMMYFUNCTION("IF
(
G15246=""фізична особа""
,
VLOOKUP(H15246,IMPORTRANGE(""https://docs.google.com/spreadsheets/d/14Bd19lYaqBhU8_DElYkX7l4wRkHqqCUFNJY4AfY3kHU/edit?usp=sharing  #gid=0"",""фіз особи new!relations_name""),6,FALSE)
,
(IF
(
G15246=""юридична особа""
,
VLOO"&amp;"KUP(H15246,IMPORTRANGE(""https://docs.google.com/spreadsheets/d/14Bd19lYaqBhU8_DElYkX7l4wRkHqqCUFNJY4AfY3kHU/edit?usp=sharing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J15245" s="7" t="s">
        <v>13</v>
      </c>
    </row>
    <row r="15246" spans="1:10" ht="13.2">
      <c r="A15246" s="7">
        <v>15245</v>
      </c>
      <c r="B15246" s="7">
        <v>1</v>
      </c>
      <c r="C15246" s="7" t="s">
        <v>10</v>
      </c>
      <c r="D15246" s="7">
        <v>19561</v>
      </c>
      <c r="E15246" s="7" t="s">
        <v>13</v>
      </c>
      <c r="F15246" s="8" t="str">
        <f ca="1">IFERROR(__xludf.DUMMYFUNCTION("IF
(
C15247=""фізична особа""
,
VLOOKUP(D15247,IMPORTRANGE(""https://docs.google.com/spreadsheets/d/14Bd19lYaqBhU8_DElYkX7l4wRkHqqCUFNJY4AfY3kHU/edit?usp=sharing  #gid=0"",""фіз особи new!relations_name""),6,FALSE)
,
(IF
(
C15247=""юридична особа""
,
VLOO"&amp;"KUP(D15247,IMPORTRANGE(""https://docs.google.com/spreadsheets/d/14Bd19lYaqBhU8_DElYkX7l4wRkHqqCUFNJY4AfY3kHU/edit?usp=sharing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46" s="7" t="s">
        <v>10</v>
      </c>
      <c r="H15246" s="7">
        <v>19560</v>
      </c>
      <c r="I15246" s="8" t="str">
        <f ca="1">IFERROR(__xludf.DUMMYFUNCTION("IF
(
G15247=""фізична особа""
,
VLOOKUP(H15247,IMPORTRANGE(""https://docs.google.com/spreadsheets/d/14Bd19lYaqBhU8_DElYkX7l4wRkHqqCUFNJY4AfY3kHU/edit?usp=sharing  #gid=0"",""фіз особи new!relations_name""),6,FALSE)
,
(IF
(
G15247=""юридична особа""
,
VLOO"&amp;"KUP(H15247,IMPORTRANGE(""https://docs.google.com/spreadsheets/d/14Bd19lYaqBhU8_DElYkX7l4wRkHqqCUFNJY4AfY3kHU/edit?usp=sharing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J15246" s="7" t="s">
        <v>12</v>
      </c>
    </row>
    <row r="15247" spans="1:10" ht="13.2">
      <c r="A15247" s="7">
        <v>15246</v>
      </c>
      <c r="B15247" s="7">
        <v>1</v>
      </c>
      <c r="C15247" s="7" t="s">
        <v>10</v>
      </c>
      <c r="D15247" s="7">
        <v>19561</v>
      </c>
      <c r="E15247" s="7" t="s">
        <v>23</v>
      </c>
      <c r="F15247" s="8" t="str">
        <f ca="1">IFERROR(__xludf.DUMMYFUNCTION("IF
(
C15248=""фізична особа""
,
VLOOKUP(D15248,IMPORTRANGE(""https://docs.google.com/spreadsheets/d/14Bd19lYaqBhU8_DElYkX7l4wRkHqqCUFNJY4AfY3kHU/edit?usp=sharing  #gid=0"",""фіз особи new!relations_name""),6,FALSE)
,
(IF
(
C15248=""юридична особа""
,
VLOO"&amp;"KUP(D15248,IMPORTRANGE(""https://docs.google.com/spreadsheets/d/14Bd19lYaqBhU8_DElYkX7l4wRkHqqCUFNJY4AfY3kHU/edit?usp=sharing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47" s="7" t="s">
        <v>10</v>
      </c>
      <c r="H15247" s="7">
        <v>23712</v>
      </c>
      <c r="I15247" s="8" t="str">
        <f ca="1">IFERROR(__xludf.DUMMYFUNCTION("IF
(
G15248=""фізична особа""
,
VLOOKUP(H15248,IMPORTRANGE(""https://docs.google.com/spreadsheets/d/14Bd19lYaqBhU8_DElYkX7l4wRkHqqCUFNJY4AfY3kHU/edit?usp=sharing  #gid=0"",""фіз особи new!relations_name""),6,FALSE)
,
(IF
(
G15248=""юридична особа""
,
VLOO"&amp;"KUP(H15248,IMPORTRANGE(""https://docs.google.com/spreadsheets/d/14Bd19lYaqBhU8_DElYkX7l4wRkHqqCUFNJY4AfY3kHU/edit?usp=sharing  #gid=0"",""фіз особи new!relations_name_uo""),7,FALSE)
,
)
))"),"ЛАЗУТКІНА Тетяна Анатоліївна")</f>
        <v>ЛАЗУТКІНА Тетяна Анатоліївна</v>
      </c>
      <c r="J15247" s="7" t="s">
        <v>23</v>
      </c>
    </row>
    <row r="15248" spans="1:10" ht="13.2">
      <c r="A15248" s="7">
        <v>15247</v>
      </c>
      <c r="B15248" s="7">
        <v>1</v>
      </c>
      <c r="C15248" s="7" t="s">
        <v>10</v>
      </c>
      <c r="D15248" s="7">
        <v>19561</v>
      </c>
      <c r="E15248" s="7" t="s">
        <v>23</v>
      </c>
      <c r="F15248" s="8" t="str">
        <f ca="1">IFERROR(__xludf.DUMMYFUNCTION("IF
(
C15249=""фізична особа""
,
VLOOKUP(D15249,IMPORTRANGE(""https://docs.google.com/spreadsheets/d/14Bd19lYaqBhU8_DElYkX7l4wRkHqqCUFNJY4AfY3kHU/edit?usp=sharing  #gid=0"",""фіз особи new!relations_name""),6,FALSE)
,
(IF
(
C15249=""юридична особа""
,
VLOO"&amp;"KUP(D15249,IMPORTRANGE(""https://docs.google.com/spreadsheets/d/14Bd19lYaqBhU8_DElYkX7l4wRkHqqCUFNJY4AfY3kHU/edit?usp=sharing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48" s="7" t="s">
        <v>10</v>
      </c>
      <c r="H15248" s="7">
        <v>0</v>
      </c>
      <c r="I15248" s="8" t="str">
        <f ca="1">IFERROR(__xludf.DUMMYFUNCTION("IF
(
G15249=""фізична особа""
,
VLOOKUP(H15249,IMPORTRANGE(""https://docs.google.com/spreadsheets/d/14Bd19lYaqBhU8_DElYkX7l4wRkHqqCUFNJY4AfY3kHU/edit?usp=sharing  #gid=0"",""фіз особи new!relations_name""),6,FALSE)
,
(IF
(
G15249=""юридична особа""
,
VLOO"&amp;"KUP(H15249,IMPORTRANGE(""https://docs.google.com/spreadsheets/d/14Bd19lYaqBhU8_DElYkX7l4wRkHqqCUFNJY4AfY3kHU/edit?usp=sharing  #gid=0"",""фіз особи new!relations_name_uo""),7,FALSE)
,
)
))"),"#N/A")</f>
        <v>#N/A</v>
      </c>
      <c r="J15248" s="7" t="s">
        <v>23</v>
      </c>
    </row>
    <row r="15249" spans="1:10" ht="13.2">
      <c r="A15249" s="7">
        <v>15248</v>
      </c>
      <c r="B15249" s="7">
        <v>1</v>
      </c>
      <c r="C15249" s="7" t="s">
        <v>10</v>
      </c>
      <c r="D15249" s="7">
        <v>19561</v>
      </c>
      <c r="E15249" s="7" t="s">
        <v>23</v>
      </c>
      <c r="F15249" s="8" t="str">
        <f ca="1">IFERROR(__xludf.DUMMYFUNCTION("IF
(
C15250=""фізична особа""
,
VLOOKUP(D15250,IMPORTRANGE(""https://docs.google.com/spreadsheets/d/14Bd19lYaqBhU8_DElYkX7l4wRkHqqCUFNJY4AfY3kHU/edit?usp=sharing  #gid=0"",""фіз особи new!relations_name""),6,FALSE)
,
(IF
(
C15250=""юридична особа""
,
VLOO"&amp;"KUP(D15250,IMPORTRANGE(""https://docs.google.com/spreadsheets/d/14Bd19lYaqBhU8_DElYkX7l4wRkHqqCUFNJY4AfY3kHU/edit?usp=sharing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49" s="7" t="s">
        <v>10</v>
      </c>
      <c r="H15249" s="7">
        <v>0</v>
      </c>
      <c r="I15249" s="8" t="str">
        <f ca="1">IFERROR(__xludf.DUMMYFUNCTION("IF
(
G15250=""фізична особа""
,
VLOOKUP(H15250,IMPORTRANGE(""https://docs.google.com/spreadsheets/d/14Bd19lYaqBhU8_DElYkX7l4wRkHqqCUFNJY4AfY3kHU/edit?usp=sharing  #gid=0"",""фіз особи new!relations_name""),6,FALSE)
,
(IF
(
G15250=""юридична особа""
,
VLOO"&amp;"KUP(H15250,IMPORTRANGE(""https://docs.google.com/spreadsheets/d/14Bd19lYaqBhU8_DElYkX7l4wRkHqqCUFNJY4AfY3kHU/edit?usp=sharing  #gid=0"",""фіз особи new!relations_name_uo""),7,FALSE)
,
)
))"),"#N/A")</f>
        <v>#N/A</v>
      </c>
      <c r="J15249" s="7" t="s">
        <v>23</v>
      </c>
    </row>
    <row r="15250" spans="1:10" ht="13.2">
      <c r="A15250" s="7">
        <v>15249</v>
      </c>
      <c r="B15250" s="7">
        <v>1</v>
      </c>
      <c r="C15250" s="7" t="s">
        <v>10</v>
      </c>
      <c r="D15250" s="7">
        <v>19561</v>
      </c>
      <c r="E15250" s="7" t="s">
        <v>23</v>
      </c>
      <c r="F15250" s="8" t="str">
        <f ca="1">IFERROR(__xludf.DUMMYFUNCTION("IF
(
C15251=""фізична особа""
,
VLOOKUP(D15251,IMPORTRANGE(""https://docs.google.com/spreadsheets/d/14Bd19lYaqBhU8_DElYkX7l4wRkHqqCUFNJY4AfY3kHU/edit?usp=sharing  #gid=0"",""фіз особи new!relations_name""),6,FALSE)
,
(IF
(
C15251=""юридична особа""
,
VLOO"&amp;"KUP(D15251,IMPORTRANGE(""https://docs.google.com/spreadsheets/d/14Bd19lYaqBhU8_DElYkX7l4wRkHqqCUFNJY4AfY3kHU/edit?usp=sharing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0" s="7" t="s">
        <v>10</v>
      </c>
      <c r="H15250" s="7">
        <v>0</v>
      </c>
      <c r="I15250" s="8" t="str">
        <f ca="1">IFERROR(__xludf.DUMMYFUNCTION("IF
(
G15251=""фізична особа""
,
VLOOKUP(H15251,IMPORTRANGE(""https://docs.google.com/spreadsheets/d/14Bd19lYaqBhU8_DElYkX7l4wRkHqqCUFNJY4AfY3kHU/edit?usp=sharing  #gid=0"",""фіз особи new!relations_name""),6,FALSE)
,
(IF
(
G15251=""юридична особа""
,
VLOO"&amp;"KUP(H15251,IMPORTRANGE(""https://docs.google.com/spreadsheets/d/14Bd19lYaqBhU8_DElYkX7l4wRkHqqCUFNJY4AfY3kHU/edit?usp=sharing  #gid=0"",""фіз особи new!relations_name_uo""),7,FALSE)
,
)
))"),"#N/A")</f>
        <v>#N/A</v>
      </c>
      <c r="J15250" s="7" t="s">
        <v>23</v>
      </c>
    </row>
    <row r="15251" spans="1:10" ht="13.2">
      <c r="A15251" s="7">
        <v>15250</v>
      </c>
      <c r="B15251" s="7">
        <v>1</v>
      </c>
      <c r="C15251" s="7" t="s">
        <v>10</v>
      </c>
      <c r="D15251" s="7">
        <v>19561</v>
      </c>
      <c r="E15251" s="7" t="s">
        <v>23</v>
      </c>
      <c r="F15251" s="8" t="str">
        <f ca="1">IFERROR(__xludf.DUMMYFUNCTION("IF
(
C15252=""фізична особа""
,
VLOOKUP(D15252,IMPORTRANGE(""https://docs.google.com/spreadsheets/d/14Bd19lYaqBhU8_DElYkX7l4wRkHqqCUFNJY4AfY3kHU/edit?usp=sharing  #gid=0"",""фіз особи new!relations_name""),6,FALSE)
,
(IF
(
C15252=""юридична особа""
,
VLOO"&amp;"KUP(D15252,IMPORTRANGE(""https://docs.google.com/spreadsheets/d/14Bd19lYaqBhU8_DElYkX7l4wRkHqqCUFNJY4AfY3kHU/edit?usp=sharing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1" s="7" t="s">
        <v>10</v>
      </c>
      <c r="H15251" s="7">
        <v>0</v>
      </c>
      <c r="I15251" s="8" t="str">
        <f ca="1">IFERROR(__xludf.DUMMYFUNCTION("IF
(
G15252=""фізична особа""
,
VLOOKUP(H15252,IMPORTRANGE(""https://docs.google.com/spreadsheets/d/14Bd19lYaqBhU8_DElYkX7l4wRkHqqCUFNJY4AfY3kHU/edit?usp=sharing  #gid=0"",""фіз особи new!relations_name""),6,FALSE)
,
(IF
(
G15252=""юридична особа""
,
VLOO"&amp;"KUP(H15252,IMPORTRANGE(""https://docs.google.com/spreadsheets/d/14Bd19lYaqBhU8_DElYkX7l4wRkHqqCUFNJY4AfY3kHU/edit?usp=sharing  #gid=0"",""фіз особи new!relations_name_uo""),7,FALSE)
,
)
))"),"#N/A")</f>
        <v>#N/A</v>
      </c>
      <c r="J15251" s="7" t="s">
        <v>23</v>
      </c>
    </row>
    <row r="15252" spans="1:10" ht="13.2">
      <c r="A15252" s="7">
        <v>15251</v>
      </c>
      <c r="B15252" s="7">
        <v>1</v>
      </c>
      <c r="C15252" s="7" t="s">
        <v>10</v>
      </c>
      <c r="D15252" s="7">
        <v>19561</v>
      </c>
      <c r="E15252" s="7" t="s">
        <v>23</v>
      </c>
      <c r="F15252" s="8" t="str">
        <f ca="1">IFERROR(__xludf.DUMMYFUNCTION("IF
(
C15253=""фізична особа""
,
VLOOKUP(D15253,IMPORTRANGE(""https://docs.google.com/spreadsheets/d/14Bd19lYaqBhU8_DElYkX7l4wRkHqqCUFNJY4AfY3kHU/edit?usp=sharing  #gid=0"",""фіз особи new!relations_name""),6,FALSE)
,
(IF
(
C15253=""юридична особа""
,
VLOO"&amp;"KUP(D15253,IMPORTRANGE(""https://docs.google.com/spreadsheets/d/14Bd19lYaqBhU8_DElYkX7l4wRkHqqCUFNJY4AfY3kHU/edit?usp=sharing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2" s="7" t="s">
        <v>10</v>
      </c>
      <c r="H15252" s="7">
        <v>0</v>
      </c>
      <c r="I15252" s="8" t="str">
        <f ca="1">IFERROR(__xludf.DUMMYFUNCTION("IF
(
G15253=""фізична особа""
,
VLOOKUP(H15253,IMPORTRANGE(""https://docs.google.com/spreadsheets/d/14Bd19lYaqBhU8_DElYkX7l4wRkHqqCUFNJY4AfY3kHU/edit?usp=sharing  #gid=0"",""фіз особи new!relations_name""),6,FALSE)
,
(IF
(
G15253=""юридична особа""
,
VLOO"&amp;"KUP(H15253,IMPORTRANGE(""https://docs.google.com/spreadsheets/d/14Bd19lYaqBhU8_DElYkX7l4wRkHqqCUFNJY4AfY3kHU/edit?usp=sharing  #gid=0"",""фіз особи new!relations_name_uo""),7,FALSE)
,
)
))"),"#N/A")</f>
        <v>#N/A</v>
      </c>
      <c r="J15252" s="7" t="s">
        <v>23</v>
      </c>
    </row>
    <row r="15253" spans="1:10" ht="13.2">
      <c r="A15253" s="7">
        <v>15252</v>
      </c>
      <c r="B15253" s="7">
        <v>1</v>
      </c>
      <c r="C15253" s="7" t="s">
        <v>10</v>
      </c>
      <c r="D15253" s="7">
        <v>19561</v>
      </c>
      <c r="E15253" s="7" t="s">
        <v>23</v>
      </c>
      <c r="F15253" s="8" t="str">
        <f ca="1">IFERROR(__xludf.DUMMYFUNCTION("IF
(
C15254=""фізична особа""
,
VLOOKUP(D15254,IMPORTRANGE(""https://docs.google.com/spreadsheets/d/14Bd19lYaqBhU8_DElYkX7l4wRkHqqCUFNJY4AfY3kHU/edit?usp=sharing  #gid=0"",""фіз особи new!relations_name""),6,FALSE)
,
(IF
(
C15254=""юридична особа""
,
VLOO"&amp;"KUP(D15254,IMPORTRANGE(""https://docs.google.com/spreadsheets/d/14Bd19lYaqBhU8_DElYkX7l4wRkHqqCUFNJY4AfY3kHU/edit?usp=sharing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3" s="7" t="s">
        <v>10</v>
      </c>
      <c r="H15253" s="7">
        <v>0</v>
      </c>
      <c r="I15253" s="8" t="str">
        <f ca="1">IFERROR(__xludf.DUMMYFUNCTION("IF
(
G15254=""фізична особа""
,
VLOOKUP(H15254,IMPORTRANGE(""https://docs.google.com/spreadsheets/d/14Bd19lYaqBhU8_DElYkX7l4wRkHqqCUFNJY4AfY3kHU/edit?usp=sharing  #gid=0"",""фіз особи new!relations_name""),6,FALSE)
,
(IF
(
G15254=""юридична особа""
,
VLOO"&amp;"KUP(H15254,IMPORTRANGE(""https://docs.google.com/spreadsheets/d/14Bd19lYaqBhU8_DElYkX7l4wRkHqqCUFNJY4AfY3kHU/edit?usp=sharing  #gid=0"",""фіз особи new!relations_name_uo""),7,FALSE)
,
)
))"),"#N/A")</f>
        <v>#N/A</v>
      </c>
      <c r="J15253" s="7" t="s">
        <v>23</v>
      </c>
    </row>
    <row r="15254" spans="1:10" ht="13.2">
      <c r="A15254" s="7">
        <v>15253</v>
      </c>
      <c r="B15254" s="7">
        <v>1</v>
      </c>
      <c r="C15254" s="7" t="s">
        <v>10</v>
      </c>
      <c r="D15254" s="7">
        <v>19561</v>
      </c>
      <c r="E15254" s="7" t="s">
        <v>23</v>
      </c>
      <c r="F15254" s="8" t="str">
        <f ca="1">IFERROR(__xludf.DUMMYFUNCTION("IF
(
C15255=""фізична особа""
,
VLOOKUP(D15255,IMPORTRANGE(""https://docs.google.com/spreadsheets/d/14Bd19lYaqBhU8_DElYkX7l4wRkHqqCUFNJY4AfY3kHU/edit?usp=sharing  #gid=0"",""фіз особи new!relations_name""),6,FALSE)
,
(IF
(
C15255=""юридична особа""
,
VLOO"&amp;"KUP(D15255,IMPORTRANGE(""https://docs.google.com/spreadsheets/d/14Bd19lYaqBhU8_DElYkX7l4wRkHqqCUFNJY4AfY3kHU/edit?usp=sharing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4" s="7" t="s">
        <v>10</v>
      </c>
      <c r="H15254" s="7">
        <v>19564</v>
      </c>
      <c r="I15254" s="8" t="str">
        <f ca="1">IFERROR(__xludf.DUMMYFUNCTION("IF
(
G15255=""фізична особа""
,
VLOOKUP(H15255,IMPORTRANGE(""https://docs.google.com/spreadsheets/d/14Bd19lYaqBhU8_DElYkX7l4wRkHqqCUFNJY4AfY3kHU/edit?usp=sharing  #gid=0"",""фіз особи new!relations_name""),6,FALSE)
,
(IF
(
G15255=""юридична особа""
,
VLOO"&amp;"KUP(H15255,IMPORTRANGE(""https://docs.google.com/spreadsheets/d/14Bd19lYaqBhU8_DElYkX7l4wRkHqqCUFNJY4AfY3kHU/edit?usp=sharing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J15254" s="7" t="s">
        <v>23</v>
      </c>
    </row>
    <row r="15255" spans="1:10" ht="13.2">
      <c r="A15255" s="7">
        <v>15254</v>
      </c>
      <c r="B15255" s="7">
        <v>1</v>
      </c>
      <c r="C15255" s="7" t="s">
        <v>10</v>
      </c>
      <c r="D15255" s="7">
        <v>19561</v>
      </c>
      <c r="E15255" s="7" t="s">
        <v>23</v>
      </c>
      <c r="F15255" s="8" t="str">
        <f ca="1">IFERROR(__xludf.DUMMYFUNCTION("IF
(
C15256=""фізична особа""
,
VLOOKUP(D15256,IMPORTRANGE(""https://docs.google.com/spreadsheets/d/14Bd19lYaqBhU8_DElYkX7l4wRkHqqCUFNJY4AfY3kHU/edit?usp=sharing  #gid=0"",""фіз особи new!relations_name""),6,FALSE)
,
(IF
(
C15256=""юридична особа""
,
VLOO"&amp;"KUP(D15256,IMPORTRANGE(""https://docs.google.com/spreadsheets/d/14Bd19lYaqBhU8_DElYkX7l4wRkHqqCUFNJY4AfY3kHU/edit?usp=sharing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5" s="7" t="s">
        <v>10</v>
      </c>
      <c r="H15255" s="7">
        <v>23713</v>
      </c>
      <c r="I15255" s="8" t="str">
        <f ca="1">IFERROR(__xludf.DUMMYFUNCTION("IF
(
G15256=""фізична особа""
,
VLOOKUP(H15256,IMPORTRANGE(""https://docs.google.com/spreadsheets/d/14Bd19lYaqBhU8_DElYkX7l4wRkHqqCUFNJY4AfY3kHU/edit?usp=sharing  #gid=0"",""фіз особи new!relations_name""),6,FALSE)
,
(IF
(
G15256=""юридична особа""
,
VLOO"&amp;"KUP(H15256,IMPORTRANGE(""https://docs.google.com/spreadsheets/d/14Bd19lYaqBhU8_DElYkX7l4wRkHqqCUFNJY4AfY3kHU/edit?usp=sharing  #gid=0"",""фіз особи new!relations_name_uo""),7,FALSE)
,
)
))"),"ХУДИНЦЕВ Андрій Валентинович")</f>
        <v>ХУДИНЦЕВ Андрій Валентинович</v>
      </c>
      <c r="J15255" s="7" t="s">
        <v>23</v>
      </c>
    </row>
    <row r="15256" spans="1:10" ht="13.2">
      <c r="A15256" s="7">
        <v>15255</v>
      </c>
      <c r="B15256" s="7">
        <v>1</v>
      </c>
      <c r="C15256" s="7" t="s">
        <v>10</v>
      </c>
      <c r="D15256" s="7">
        <v>19561</v>
      </c>
      <c r="E15256" s="7" t="s">
        <v>23</v>
      </c>
      <c r="F15256" s="8" t="str">
        <f ca="1">IFERROR(__xludf.DUMMYFUNCTION("IF
(
C15257=""фізична особа""
,
VLOOKUP(D15257,IMPORTRANGE(""https://docs.google.com/spreadsheets/d/14Bd19lYaqBhU8_DElYkX7l4wRkHqqCUFNJY4AfY3kHU/edit?usp=sharing  #gid=0"",""фіз особи new!relations_name""),6,FALSE)
,
(IF
(
C15257=""юридична особа""
,
VLOO"&amp;"KUP(D15257,IMPORTRANGE(""https://docs.google.com/spreadsheets/d/14Bd19lYaqBhU8_DElYkX7l4wRkHqqCUFNJY4AfY3kHU/edit?usp=sharing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6" s="7" t="s">
        <v>10</v>
      </c>
      <c r="H15256" s="7">
        <v>0</v>
      </c>
      <c r="I15256" s="8" t="str">
        <f ca="1">IFERROR(__xludf.DUMMYFUNCTION("IF
(
G15257=""фізична особа""
,
VLOOKUP(H15257,IMPORTRANGE(""https://docs.google.com/spreadsheets/d/14Bd19lYaqBhU8_DElYkX7l4wRkHqqCUFNJY4AfY3kHU/edit?usp=sharing  #gid=0"",""фіз особи new!relations_name""),6,FALSE)
,
(IF
(
G15257=""юридична особа""
,
VLOO"&amp;"KUP(H15257,IMPORTRANGE(""https://docs.google.com/spreadsheets/d/14Bd19lYaqBhU8_DElYkX7l4wRkHqqCUFNJY4AfY3kHU/edit?usp=sharing  #gid=0"",""фіз особи new!relations_name_uo""),7,FALSE)
,
)
))"),"#N/A")</f>
        <v>#N/A</v>
      </c>
      <c r="J15256" s="7" t="s">
        <v>23</v>
      </c>
    </row>
    <row r="15257" spans="1:10" ht="13.2">
      <c r="A15257" s="7">
        <v>15256</v>
      </c>
      <c r="B15257" s="7">
        <v>1</v>
      </c>
      <c r="C15257" s="7" t="s">
        <v>10</v>
      </c>
      <c r="D15257" s="7">
        <v>19561</v>
      </c>
      <c r="E15257" s="7" t="s">
        <v>23</v>
      </c>
      <c r="F15257" s="8" t="str">
        <f ca="1">IFERROR(__xludf.DUMMYFUNCTION("IF
(
C15258=""фізична особа""
,
VLOOKUP(D15258,IMPORTRANGE(""https://docs.google.com/spreadsheets/d/14Bd19lYaqBhU8_DElYkX7l4wRkHqqCUFNJY4AfY3kHU/edit?usp=sharing  #gid=0"",""фіз особи new!relations_name""),6,FALSE)
,
(IF
(
C15258=""юридична особа""
,
VLOO"&amp;"KUP(D15258,IMPORTRANGE(""https://docs.google.com/spreadsheets/d/14Bd19lYaqBhU8_DElYkX7l4wRkHqqCUFNJY4AfY3kHU/edit?usp=sharing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7" s="7" t="s">
        <v>10</v>
      </c>
      <c r="H15257" s="7">
        <v>19562</v>
      </c>
      <c r="I15257" s="8" t="str">
        <f ca="1">IFERROR(__xludf.DUMMYFUNCTION("IF
(
G15258=""фізична особа""
,
VLOOKUP(H15258,IMPORTRANGE(""https://docs.google.com/spreadsheets/d/14Bd19lYaqBhU8_DElYkX7l4wRkHqqCUFNJY4AfY3kHU/edit?usp=sharing  #gid=0"",""фіз особи new!relations_name""),6,FALSE)
,
(IF
(
G15258=""юридична особа""
,
VLOO"&amp;"KUP(H15258,IMPORTRANGE(""https://docs.google.com/spreadsheets/d/14Bd19lYaqBhU8_DElYkX7l4wRkHqqCUFNJY4AfY3kHU/edit?usp=sharing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J15257" s="7" t="s">
        <v>23</v>
      </c>
    </row>
    <row r="15258" spans="1:10" ht="13.2">
      <c r="A15258" s="7">
        <v>15257</v>
      </c>
      <c r="B15258" s="7">
        <v>1</v>
      </c>
      <c r="C15258" s="7" t="s">
        <v>10</v>
      </c>
      <c r="D15258" s="7">
        <v>19561</v>
      </c>
      <c r="E15258" s="7" t="s">
        <v>23</v>
      </c>
      <c r="F15258" s="8" t="str">
        <f ca="1">IFERROR(__xludf.DUMMYFUNCTION("IF
(
C15259=""фізична особа""
,
VLOOKUP(D15259,IMPORTRANGE(""https://docs.google.com/spreadsheets/d/14Bd19lYaqBhU8_DElYkX7l4wRkHqqCUFNJY4AfY3kHU/edit?usp=sharing  #gid=0"",""фіз особи new!relations_name""),6,FALSE)
,
(IF
(
C15259=""юридична особа""
,
VLOO"&amp;"KUP(D15259,IMPORTRANGE(""https://docs.google.com/spreadsheets/d/14Bd19lYaqBhU8_DElYkX7l4wRkHqqCUFNJY4AfY3kHU/edit?usp=sharing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G15258" s="7" t="s">
        <v>10</v>
      </c>
      <c r="H15258" s="7">
        <v>19563</v>
      </c>
      <c r="I15258" s="8" t="str">
        <f ca="1">IFERROR(__xludf.DUMMYFUNCTION("IF
(
G15259=""фізична особа""
,
VLOOKUP(H15259,IMPORTRANGE(""https://docs.google.com/spreadsheets/d/14Bd19lYaqBhU8_DElYkX7l4wRkHqqCUFNJY4AfY3kHU/edit?usp=sharing  #gid=0"",""фіз особи new!relations_name""),6,FALSE)
,
(IF
(
G15259=""юридична особа""
,
VLOO"&amp;"KUP(H15259,IMPORTRANGE(""https://docs.google.com/spreadsheets/d/14Bd19lYaqBhU8_DElYkX7l4wRkHqqCUFNJY4AfY3kHU/edit?usp=sharing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J15258" s="7" t="s">
        <v>23</v>
      </c>
    </row>
    <row r="15259" spans="1:10" ht="13.2">
      <c r="A15259" s="7">
        <v>15258</v>
      </c>
      <c r="B15259" s="7">
        <v>1</v>
      </c>
      <c r="C15259" s="7" t="s">
        <v>10</v>
      </c>
      <c r="D15259" s="7">
        <v>19562</v>
      </c>
      <c r="E15259" s="7" t="s">
        <v>23</v>
      </c>
      <c r="F15259" s="8" t="str">
        <f ca="1">IFERROR(__xludf.DUMMYFUNCTION("IF
(
C15260=""фізична особа""
,
VLOOKUP(D15260,IMPORTRANGE(""https://docs.google.com/spreadsheets/d/14Bd19lYaqBhU8_DElYkX7l4wRkHqqCUFNJY4AfY3kHU/edit?usp=sharing  #gid=0"",""фіз особи new!relations_name""),6,FALSE)
,
(IF
(
C15260=""юридична особа""
,
VLOO"&amp;"KUP(D15260,IMPORTRANGE(""https://docs.google.com/spreadsheets/d/14Bd19lYaqBhU8_DElYkX7l4wRkHqqCUFNJY4AfY3kHU/edit?usp=sharing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G15259" s="7" t="s">
        <v>10</v>
      </c>
      <c r="H15259" s="7">
        <v>19560</v>
      </c>
      <c r="I15259" s="8" t="str">
        <f ca="1">IFERROR(__xludf.DUMMYFUNCTION("IF
(
G15260=""фізична особа""
,
VLOOKUP(H15260,IMPORTRANGE(""https://docs.google.com/spreadsheets/d/14Bd19lYaqBhU8_DElYkX7l4wRkHqqCUFNJY4AfY3kHU/edit?usp=sharing  #gid=0"",""фіз особи new!relations_name""),6,FALSE)
,
(IF
(
G15260=""юридична особа""
,
VLOO"&amp;"KUP(H15260,IMPORTRANGE(""https://docs.google.com/spreadsheets/d/14Bd19lYaqBhU8_DElYkX7l4wRkHqqCUFNJY4AfY3kHU/edit?usp=sharing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J15259" s="7" t="s">
        <v>23</v>
      </c>
    </row>
    <row r="15260" spans="1:10" ht="13.2">
      <c r="A15260" s="7">
        <v>15259</v>
      </c>
      <c r="B15260" s="7">
        <v>1</v>
      </c>
      <c r="C15260" s="7" t="s">
        <v>10</v>
      </c>
      <c r="D15260" s="7">
        <v>19562</v>
      </c>
      <c r="E15260" s="7" t="s">
        <v>23</v>
      </c>
      <c r="F15260" s="8" t="str">
        <f ca="1">IFERROR(__xludf.DUMMYFUNCTION("IF
(
C15261=""фізична особа""
,
VLOOKUP(D15261,IMPORTRANGE(""https://docs.google.com/spreadsheets/d/14Bd19lYaqBhU8_DElYkX7l4wRkHqqCUFNJY4AfY3kHU/edit?usp=sharing  #gid=0"",""фіз особи new!relations_name""),6,FALSE)
,
(IF
(
C15261=""юридична особа""
,
VLOO"&amp;"KUP(D15261,IMPORTRANGE(""https://docs.google.com/spreadsheets/d/14Bd19lYaqBhU8_DElYkX7l4wRkHqqCUFNJY4AfY3kHU/edit?usp=sharing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G15260" s="7" t="s">
        <v>10</v>
      </c>
      <c r="H15260" s="7">
        <v>19561</v>
      </c>
      <c r="I15260" s="8" t="str">
        <f ca="1">IFERROR(__xludf.DUMMYFUNCTION("IF
(
G15261=""фізична особа""
,
VLOOKUP(H15261,IMPORTRANGE(""https://docs.google.com/spreadsheets/d/14Bd19lYaqBhU8_DElYkX7l4wRkHqqCUFNJY4AfY3kHU/edit?usp=sharing  #gid=0"",""фіз особи new!relations_name""),6,FALSE)
,
(IF
(
G15261=""юридична особа""
,
VLOO"&amp;"KUP(H15261,IMPORTRANGE(""https://docs.google.com/spreadsheets/d/14Bd19lYaqBhU8_DElYkX7l4wRkHqqCUFNJY4AfY3kHU/edit?usp=sharing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J15260" s="7" t="s">
        <v>23</v>
      </c>
    </row>
    <row r="15261" spans="1:10" ht="13.2">
      <c r="A15261" s="7">
        <v>15260</v>
      </c>
      <c r="B15261" s="7">
        <v>1</v>
      </c>
      <c r="C15261" s="7" t="s">
        <v>10</v>
      </c>
      <c r="D15261" s="7">
        <v>19562</v>
      </c>
      <c r="E15261" s="7" t="s">
        <v>23</v>
      </c>
      <c r="F15261" s="8" t="str">
        <f ca="1">IFERROR(__xludf.DUMMYFUNCTION("IF
(
C15262=""фізична особа""
,
VLOOKUP(D15262,IMPORTRANGE(""https://docs.google.com/spreadsheets/d/14Bd19lYaqBhU8_DElYkX7l4wRkHqqCUFNJY4AfY3kHU/edit?usp=sharing  #gid=0"",""фіз особи new!relations_name""),6,FALSE)
,
(IF
(
C15262=""юридична особа""
,
VLOO"&amp;"KUP(D15262,IMPORTRANGE(""https://docs.google.com/spreadsheets/d/14Bd19lYaqBhU8_DElYkX7l4wRkHqqCUFNJY4AfY3kHU/edit?usp=sharing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G15261" s="7" t="s">
        <v>10</v>
      </c>
      <c r="H15261" s="7">
        <v>19563</v>
      </c>
      <c r="I15261" s="8" t="str">
        <f ca="1">IFERROR(__xludf.DUMMYFUNCTION("IF
(
G15262=""фізична особа""
,
VLOOKUP(H15262,IMPORTRANGE(""https://docs.google.com/spreadsheets/d/14Bd19lYaqBhU8_DElYkX7l4wRkHqqCUFNJY4AfY3kHU/edit?usp=sharing  #gid=0"",""фіз особи new!relations_name""),6,FALSE)
,
(IF
(
G15262=""юридична особа""
,
VLOO"&amp;"KUP(H15262,IMPORTRANGE(""https://docs.google.com/spreadsheets/d/14Bd19lYaqBhU8_DElYkX7l4wRkHqqCUFNJY4AfY3kHU/edit?usp=sharing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J15261" s="7" t="s">
        <v>23</v>
      </c>
    </row>
    <row r="15262" spans="1:10" ht="13.2">
      <c r="A15262" s="7">
        <v>15261</v>
      </c>
      <c r="B15262" s="7">
        <v>1</v>
      </c>
      <c r="C15262" s="7" t="s">
        <v>10</v>
      </c>
      <c r="D15262" s="7">
        <v>19562</v>
      </c>
      <c r="E15262" s="7" t="s">
        <v>23</v>
      </c>
      <c r="F15262" s="8" t="str">
        <f ca="1">IFERROR(__xludf.DUMMYFUNCTION("IF
(
C15263=""фізична особа""
,
VLOOKUP(D15263,IMPORTRANGE(""https://docs.google.com/spreadsheets/d/14Bd19lYaqBhU8_DElYkX7l4wRkHqqCUFNJY4AfY3kHU/edit?usp=sharing  #gid=0"",""фіз особи new!relations_name""),6,FALSE)
,
(IF
(
C15263=""юридична особа""
,
VLOO"&amp;"KUP(D15263,IMPORTRANGE(""https://docs.google.com/spreadsheets/d/14Bd19lYaqBhU8_DElYkX7l4wRkHqqCUFNJY4AfY3kHU/edit?usp=sharing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G15262" s="7" t="s">
        <v>10</v>
      </c>
      <c r="H15262" s="7">
        <v>19564</v>
      </c>
      <c r="I15262" s="8" t="str">
        <f ca="1">IFERROR(__xludf.DUMMYFUNCTION("IF
(
G15263=""фізична особа""
,
VLOOKUP(H15263,IMPORTRANGE(""https://docs.google.com/spreadsheets/d/14Bd19lYaqBhU8_DElYkX7l4wRkHqqCUFNJY4AfY3kHU/edit?usp=sharing  #gid=0"",""фіз особи new!relations_name""),6,FALSE)
,
(IF
(
G15263=""юридична особа""
,
VLOO"&amp;"KUP(H15263,IMPORTRANGE(""https://docs.google.com/spreadsheets/d/14Bd19lYaqBhU8_DElYkX7l4wRkHqqCUFNJY4AfY3kHU/edit?usp=sharing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J15262" s="7" t="s">
        <v>23</v>
      </c>
    </row>
    <row r="15263" spans="1:10" ht="13.2">
      <c r="A15263" s="7">
        <v>15262</v>
      </c>
      <c r="B15263" s="7">
        <v>1</v>
      </c>
      <c r="C15263" s="7" t="s">
        <v>10</v>
      </c>
      <c r="D15263" s="7">
        <v>19563</v>
      </c>
      <c r="E15263" s="7" t="s">
        <v>23</v>
      </c>
      <c r="F15263" s="8" t="str">
        <f ca="1">IFERROR(__xludf.DUMMYFUNCTION("IF
(
C15264=""фізична особа""
,
VLOOKUP(D15264,IMPORTRANGE(""https://docs.google.com/spreadsheets/d/14Bd19lYaqBhU8_DElYkX7l4wRkHqqCUFNJY4AfY3kHU/edit?usp=sharing  #gid=0"",""фіз особи new!relations_name""),6,FALSE)
,
(IF
(
C15264=""юридична особа""
,
VLOO"&amp;"KUP(D15264,IMPORTRANGE(""https://docs.google.com/spreadsheets/d/14Bd19lYaqBhU8_DElYkX7l4wRkHqqCUFNJY4AfY3kHU/edit?usp=sharing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G15263" s="7" t="s">
        <v>10</v>
      </c>
      <c r="H15263" s="7">
        <v>19560</v>
      </c>
      <c r="I15263" s="8" t="str">
        <f ca="1">IFERROR(__xludf.DUMMYFUNCTION("IF
(
G15264=""фізична особа""
,
VLOOKUP(H15264,IMPORTRANGE(""https://docs.google.com/spreadsheets/d/14Bd19lYaqBhU8_DElYkX7l4wRkHqqCUFNJY4AfY3kHU/edit?usp=sharing  #gid=0"",""фіз особи new!relations_name""),6,FALSE)
,
(IF
(
G15264=""юридична особа""
,
VLOO"&amp;"KUP(H15264,IMPORTRANGE(""https://docs.google.com/spreadsheets/d/14Bd19lYaqBhU8_DElYkX7l4wRkHqqCUFNJY4AfY3kHU/edit?usp=sharing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J15263" s="7" t="s">
        <v>23</v>
      </c>
    </row>
    <row r="15264" spans="1:10" ht="13.2">
      <c r="A15264" s="7">
        <v>15263</v>
      </c>
      <c r="B15264" s="7">
        <v>1</v>
      </c>
      <c r="C15264" s="7" t="s">
        <v>10</v>
      </c>
      <c r="D15264" s="7">
        <v>19563</v>
      </c>
      <c r="E15264" s="7" t="s">
        <v>23</v>
      </c>
      <c r="F15264" s="8" t="str">
        <f ca="1">IFERROR(__xludf.DUMMYFUNCTION("IF
(
C15265=""фізична особа""
,
VLOOKUP(D15265,IMPORTRANGE(""https://docs.google.com/spreadsheets/d/14Bd19lYaqBhU8_DElYkX7l4wRkHqqCUFNJY4AfY3kHU/edit?usp=sharing  #gid=0"",""фіз особи new!relations_name""),6,FALSE)
,
(IF
(
C15265=""юридична особа""
,
VLOO"&amp;"KUP(D15265,IMPORTRANGE(""https://docs.google.com/spreadsheets/d/14Bd19lYaqBhU8_DElYkX7l4wRkHqqCUFNJY4AfY3kHU/edit?usp=sharing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G15264" s="7" t="s">
        <v>10</v>
      </c>
      <c r="H15264" s="7">
        <v>19561</v>
      </c>
      <c r="I15264" s="8" t="str">
        <f ca="1">IFERROR(__xludf.DUMMYFUNCTION("IF
(
G15265=""фізична особа""
,
VLOOKUP(H15265,IMPORTRANGE(""https://docs.google.com/spreadsheets/d/14Bd19lYaqBhU8_DElYkX7l4wRkHqqCUFNJY4AfY3kHU/edit?usp=sharing  #gid=0"",""фіз особи new!relations_name""),6,FALSE)
,
(IF
(
G15265=""юридична особа""
,
VLOO"&amp;"KUP(H15265,IMPORTRANGE(""https://docs.google.com/spreadsheets/d/14Bd19lYaqBhU8_DElYkX7l4wRkHqqCUFNJY4AfY3kHU/edit?usp=sharing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J15264" s="7" t="s">
        <v>23</v>
      </c>
    </row>
    <row r="15265" spans="1:10" ht="13.2">
      <c r="A15265" s="7">
        <v>15264</v>
      </c>
      <c r="B15265" s="7">
        <v>1</v>
      </c>
      <c r="C15265" s="7" t="s">
        <v>10</v>
      </c>
      <c r="D15265" s="7">
        <v>19563</v>
      </c>
      <c r="E15265" s="7" t="s">
        <v>23</v>
      </c>
      <c r="F15265" s="8" t="str">
        <f ca="1">IFERROR(__xludf.DUMMYFUNCTION("IF
(
C15266=""фізична особа""
,
VLOOKUP(D15266,IMPORTRANGE(""https://docs.google.com/spreadsheets/d/14Bd19lYaqBhU8_DElYkX7l4wRkHqqCUFNJY4AfY3kHU/edit?usp=sharing  #gid=0"",""фіз особи new!relations_name""),6,FALSE)
,
(IF
(
C15266=""юридична особа""
,
VLOO"&amp;"KUP(D15266,IMPORTRANGE(""https://docs.google.com/spreadsheets/d/14Bd19lYaqBhU8_DElYkX7l4wRkHqqCUFNJY4AfY3kHU/edit?usp=sharing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G15265" s="7" t="s">
        <v>10</v>
      </c>
      <c r="H15265" s="7">
        <v>19562</v>
      </c>
      <c r="I15265" s="8" t="str">
        <f ca="1">IFERROR(__xludf.DUMMYFUNCTION("IF
(
G15266=""фізична особа""
,
VLOOKUP(H15266,IMPORTRANGE(""https://docs.google.com/spreadsheets/d/14Bd19lYaqBhU8_DElYkX7l4wRkHqqCUFNJY4AfY3kHU/edit?usp=sharing  #gid=0"",""фіз особи new!relations_name""),6,FALSE)
,
(IF
(
G15266=""юридична особа""
,
VLOO"&amp;"KUP(H15266,IMPORTRANGE(""https://docs.google.com/spreadsheets/d/14Bd19lYaqBhU8_DElYkX7l4wRkHqqCUFNJY4AfY3kHU/edit?usp=sharing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J15265" s="7" t="s">
        <v>23</v>
      </c>
    </row>
    <row r="15266" spans="1:10" ht="13.2">
      <c r="A15266" s="7">
        <v>15265</v>
      </c>
      <c r="B15266" s="7">
        <v>1</v>
      </c>
      <c r="C15266" s="7" t="s">
        <v>10</v>
      </c>
      <c r="D15266" s="7">
        <v>19563</v>
      </c>
      <c r="E15266" s="7" t="s">
        <v>23</v>
      </c>
      <c r="F15266" s="8" t="str">
        <f ca="1">IFERROR(__xludf.DUMMYFUNCTION("IF
(
C15267=""фізична особа""
,
VLOOKUP(D15267,IMPORTRANGE(""https://docs.google.com/spreadsheets/d/14Bd19lYaqBhU8_DElYkX7l4wRkHqqCUFNJY4AfY3kHU/edit?usp=sharing  #gid=0"",""фіз особи new!relations_name""),6,FALSE)
,
(IF
(
C15267=""юридична особа""
,
VLOO"&amp;"KUP(D15267,IMPORTRANGE(""https://docs.google.com/spreadsheets/d/14Bd19lYaqBhU8_DElYkX7l4wRkHqqCUFNJY4AfY3kHU/edit?usp=sharing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G15266" s="7" t="s">
        <v>10</v>
      </c>
      <c r="H15266" s="7">
        <v>19564</v>
      </c>
      <c r="I15266" s="8" t="str">
        <f ca="1">IFERROR(__xludf.DUMMYFUNCTION("IF
(
G15267=""фізична особа""
,
VLOOKUP(H15267,IMPORTRANGE(""https://docs.google.com/spreadsheets/d/14Bd19lYaqBhU8_DElYkX7l4wRkHqqCUFNJY4AfY3kHU/edit?usp=sharing  #gid=0"",""фіз особи new!relations_name""),6,FALSE)
,
(IF
(
G15267=""юридична особа""
,
VLOO"&amp;"KUP(H15267,IMPORTRANGE(""https://docs.google.com/spreadsheets/d/14Bd19lYaqBhU8_DElYkX7l4wRkHqqCUFNJY4AfY3kHU/edit?usp=sharing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J15266" s="7" t="s">
        <v>23</v>
      </c>
    </row>
    <row r="15267" spans="1:10" ht="13.2">
      <c r="A15267" s="7">
        <v>15266</v>
      </c>
      <c r="B15267" s="7">
        <v>1</v>
      </c>
      <c r="C15267" s="7" t="s">
        <v>10</v>
      </c>
      <c r="D15267" s="7">
        <v>19564</v>
      </c>
      <c r="E15267" s="7" t="s">
        <v>23</v>
      </c>
      <c r="F15267" s="8" t="str">
        <f ca="1">IFERROR(__xludf.DUMMYFUNCTION("IF
(
C15268=""фізична особа""
,
VLOOKUP(D15268,IMPORTRANGE(""https://docs.google.com/spreadsheets/d/14Bd19lYaqBhU8_DElYkX7l4wRkHqqCUFNJY4AfY3kHU/edit?usp=sharing  #gid=0"",""фіз особи new!relations_name""),6,FALSE)
,
(IF
(
C15268=""юридична особа""
,
VLOO"&amp;"KUP(D15268,IMPORTRANGE(""https://docs.google.com/spreadsheets/d/14Bd19lYaqBhU8_DElYkX7l4wRkHqqCUFNJY4AfY3kHU/edit?usp=sharing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67" s="7" t="s">
        <v>10</v>
      </c>
      <c r="H15267" s="7">
        <v>19560</v>
      </c>
      <c r="I15267" s="8" t="str">
        <f ca="1">IFERROR(__xludf.DUMMYFUNCTION("IF
(
G15268=""фізична особа""
,
VLOOKUP(H15268,IMPORTRANGE(""https://docs.google.com/spreadsheets/d/14Bd19lYaqBhU8_DElYkX7l4wRkHqqCUFNJY4AfY3kHU/edit?usp=sharing  #gid=0"",""фіз особи new!relations_name""),6,FALSE)
,
(IF
(
G15268=""юридична особа""
,
VLOO"&amp;"KUP(H15268,IMPORTRANGE(""https://docs.google.com/spreadsheets/d/14Bd19lYaqBhU8_DElYkX7l4wRkHqqCUFNJY4AfY3kHU/edit?usp=sharing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J15267" s="7" t="s">
        <v>23</v>
      </c>
    </row>
    <row r="15268" spans="1:10" ht="13.2">
      <c r="A15268" s="7">
        <v>15267</v>
      </c>
      <c r="B15268" s="7">
        <v>1</v>
      </c>
      <c r="C15268" s="7" t="s">
        <v>10</v>
      </c>
      <c r="D15268" s="7">
        <v>19564</v>
      </c>
      <c r="E15268" s="7" t="s">
        <v>23</v>
      </c>
      <c r="F15268" s="8" t="str">
        <f ca="1">IFERROR(__xludf.DUMMYFUNCTION("IF
(
C15269=""фізична особа""
,
VLOOKUP(D15269,IMPORTRANGE(""https://docs.google.com/spreadsheets/d/14Bd19lYaqBhU8_DElYkX7l4wRkHqqCUFNJY4AfY3kHU/edit?usp=sharing  #gid=0"",""фіз особи new!relations_name""),6,FALSE)
,
(IF
(
C15269=""юридична особа""
,
VLOO"&amp;"KUP(D15269,IMPORTRANGE(""https://docs.google.com/spreadsheets/d/14Bd19lYaqBhU8_DElYkX7l4wRkHqqCUFNJY4AfY3kHU/edit?usp=sharing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68" s="7" t="s">
        <v>10</v>
      </c>
      <c r="H15268" s="7">
        <v>19561</v>
      </c>
      <c r="I15268" s="8" t="str">
        <f ca="1">IFERROR(__xludf.DUMMYFUNCTION("IF
(
G15269=""фізична особа""
,
VLOOKUP(H15269,IMPORTRANGE(""https://docs.google.com/spreadsheets/d/14Bd19lYaqBhU8_DElYkX7l4wRkHqqCUFNJY4AfY3kHU/edit?usp=sharing  #gid=0"",""фіз особи new!relations_name""),6,FALSE)
,
(IF
(
G15269=""юридична особа""
,
VLOO"&amp;"KUP(H15269,IMPORTRANGE(""https://docs.google.com/spreadsheets/d/14Bd19lYaqBhU8_DElYkX7l4wRkHqqCUFNJY4AfY3kHU/edit?usp=sharing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J15268" s="7" t="s">
        <v>23</v>
      </c>
    </row>
    <row r="15269" spans="1:10" ht="13.2">
      <c r="A15269" s="7">
        <v>15268</v>
      </c>
      <c r="B15269" s="7">
        <v>1</v>
      </c>
      <c r="C15269" s="7" t="s">
        <v>10</v>
      </c>
      <c r="D15269" s="7">
        <v>19564</v>
      </c>
      <c r="E15269" s="7" t="s">
        <v>23</v>
      </c>
      <c r="F15269" s="8" t="str">
        <f ca="1">IFERROR(__xludf.DUMMYFUNCTION("IF
(
C15270=""фізична особа""
,
VLOOKUP(D15270,IMPORTRANGE(""https://docs.google.com/spreadsheets/d/14Bd19lYaqBhU8_DElYkX7l4wRkHqqCUFNJY4AfY3kHU/edit?usp=sharing  #gid=0"",""фіз особи new!relations_name""),6,FALSE)
,
(IF
(
C15270=""юридична особа""
,
VLOO"&amp;"KUP(D15270,IMPORTRANGE(""https://docs.google.com/spreadsheets/d/14Bd19lYaqBhU8_DElYkX7l4wRkHqqCUFNJY4AfY3kHU/edit?usp=sharing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69" s="7" t="s">
        <v>10</v>
      </c>
      <c r="H15269" s="7">
        <v>19562</v>
      </c>
      <c r="I15269" s="8" t="str">
        <f ca="1">IFERROR(__xludf.DUMMYFUNCTION("IF
(
G15270=""фізична особа""
,
VLOOKUP(H15270,IMPORTRANGE(""https://docs.google.com/spreadsheets/d/14Bd19lYaqBhU8_DElYkX7l4wRkHqqCUFNJY4AfY3kHU/edit?usp=sharing  #gid=0"",""фіз особи new!relations_name""),6,FALSE)
,
(IF
(
G15270=""юридична особа""
,
VLOO"&amp;"KUP(H15270,IMPORTRANGE(""https://docs.google.com/spreadsheets/d/14Bd19lYaqBhU8_DElYkX7l4wRkHqqCUFNJY4AfY3kHU/edit?usp=sharing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J15269" s="7" t="s">
        <v>23</v>
      </c>
    </row>
    <row r="15270" spans="1:10" ht="13.2">
      <c r="A15270" s="7">
        <v>15269</v>
      </c>
      <c r="B15270" s="7">
        <v>1</v>
      </c>
      <c r="C15270" s="7" t="s">
        <v>10</v>
      </c>
      <c r="D15270" s="7">
        <v>19564</v>
      </c>
      <c r="E15270" s="7" t="s">
        <v>23</v>
      </c>
      <c r="F15270" s="8" t="str">
        <f ca="1">IFERROR(__xludf.DUMMYFUNCTION("IF
(
C15271=""фізична особа""
,
VLOOKUP(D15271,IMPORTRANGE(""https://docs.google.com/spreadsheets/d/14Bd19lYaqBhU8_DElYkX7l4wRkHqqCUFNJY4AfY3kHU/edit?usp=sharing  #gid=0"",""фіз особи new!relations_name""),6,FALSE)
,
(IF
(
C15271=""юридична особа""
,
VLOO"&amp;"KUP(D15271,IMPORTRANGE(""https://docs.google.com/spreadsheets/d/14Bd19lYaqBhU8_DElYkX7l4wRkHqqCUFNJY4AfY3kHU/edit?usp=sharing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0" s="7" t="s">
        <v>10</v>
      </c>
      <c r="H15270" s="7">
        <v>19563</v>
      </c>
      <c r="I15270" s="8" t="str">
        <f ca="1">IFERROR(__xludf.DUMMYFUNCTION("IF
(
G15271=""фізична особа""
,
VLOOKUP(H15271,IMPORTRANGE(""https://docs.google.com/spreadsheets/d/14Bd19lYaqBhU8_DElYkX7l4wRkHqqCUFNJY4AfY3kHU/edit?usp=sharing  #gid=0"",""фіз особи new!relations_name""),6,FALSE)
,
(IF
(
G15271=""юридична особа""
,
VLOO"&amp;"KUP(H15271,IMPORTRANGE(""https://docs.google.com/spreadsheets/d/14Bd19lYaqBhU8_DElYkX7l4wRkHqqCUFNJY4AfY3kHU/edit?usp=sharing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J15270" s="7" t="s">
        <v>23</v>
      </c>
    </row>
    <row r="15271" spans="1:10" ht="13.2">
      <c r="A15271" s="7">
        <v>15270</v>
      </c>
      <c r="B15271" s="7">
        <v>1</v>
      </c>
      <c r="C15271" s="7" t="s">
        <v>10</v>
      </c>
      <c r="D15271" s="7">
        <v>19564</v>
      </c>
      <c r="E15271" s="7" t="s">
        <v>23</v>
      </c>
      <c r="F15271" s="8" t="str">
        <f ca="1">IFERROR(__xludf.DUMMYFUNCTION("IF
(
C15272=""фізична особа""
,
VLOOKUP(D15272,IMPORTRANGE(""https://docs.google.com/spreadsheets/d/14Bd19lYaqBhU8_DElYkX7l4wRkHqqCUFNJY4AfY3kHU/edit?usp=sharing  #gid=0"",""фіз особи new!relations_name""),6,FALSE)
,
(IF
(
C15272=""юридична особа""
,
VLOO"&amp;"KUP(D15272,IMPORTRANGE(""https://docs.google.com/spreadsheets/d/14Bd19lYaqBhU8_DElYkX7l4wRkHqqCUFNJY4AfY3kHU/edit?usp=sharing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1" s="7" t="s">
        <v>10</v>
      </c>
      <c r="H15271" s="7">
        <v>0</v>
      </c>
      <c r="I15271" s="8" t="str">
        <f ca="1">IFERROR(__xludf.DUMMYFUNCTION("IF
(
G15272=""фізична особа""
,
VLOOKUP(H15272,IMPORTRANGE(""https://docs.google.com/spreadsheets/d/14Bd19lYaqBhU8_DElYkX7l4wRkHqqCUFNJY4AfY3kHU/edit?usp=sharing  #gid=0"",""фіз особи new!relations_name""),6,FALSE)
,
(IF
(
G15272=""юридична особа""
,
VLOO"&amp;"KUP(H15272,IMPORTRANGE(""https://docs.google.com/spreadsheets/d/14Bd19lYaqBhU8_DElYkX7l4wRkHqqCUFNJY4AfY3kHU/edit?usp=sharing  #gid=0"",""фіз особи new!relations_name_uo""),7,FALSE)
,
)
))"),"#N/A")</f>
        <v>#N/A</v>
      </c>
      <c r="J15271" s="7" t="s">
        <v>23</v>
      </c>
    </row>
    <row r="15272" spans="1:10" ht="13.2">
      <c r="A15272" s="7">
        <v>15271</v>
      </c>
      <c r="B15272" s="7">
        <v>1</v>
      </c>
      <c r="C15272" s="7" t="s">
        <v>10</v>
      </c>
      <c r="D15272" s="7">
        <v>19564</v>
      </c>
      <c r="E15272" s="7" t="s">
        <v>23</v>
      </c>
      <c r="F15272" s="8" t="str">
        <f ca="1">IFERROR(__xludf.DUMMYFUNCTION("IF
(
C15273=""фізична особа""
,
VLOOKUP(D15273,IMPORTRANGE(""https://docs.google.com/spreadsheets/d/14Bd19lYaqBhU8_DElYkX7l4wRkHqqCUFNJY4AfY3kHU/edit?usp=sharing  #gid=0"",""фіз особи new!relations_name""),6,FALSE)
,
(IF
(
C15273=""юридична особа""
,
VLOO"&amp;"KUP(D15273,IMPORTRANGE(""https://docs.google.com/spreadsheets/d/14Bd19lYaqBhU8_DElYkX7l4wRkHqqCUFNJY4AfY3kHU/edit?usp=sharing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2" s="7" t="s">
        <v>10</v>
      </c>
      <c r="H15272" s="7">
        <v>0</v>
      </c>
      <c r="I15272" s="8" t="str">
        <f ca="1">IFERROR(__xludf.DUMMYFUNCTION("IF
(
G15273=""фізична особа""
,
VLOOKUP(H15273,IMPORTRANGE(""https://docs.google.com/spreadsheets/d/14Bd19lYaqBhU8_DElYkX7l4wRkHqqCUFNJY4AfY3kHU/edit?usp=sharing  #gid=0"",""фіз особи new!relations_name""),6,FALSE)
,
(IF
(
G15273=""юридична особа""
,
VLOO"&amp;"KUP(H15273,IMPORTRANGE(""https://docs.google.com/spreadsheets/d/14Bd19lYaqBhU8_DElYkX7l4wRkHqqCUFNJY4AfY3kHU/edit?usp=sharing  #gid=0"",""фіз особи new!relations_name_uo""),7,FALSE)
,
)
))"),"#N/A")</f>
        <v>#N/A</v>
      </c>
      <c r="J15272" s="7" t="s">
        <v>23</v>
      </c>
    </row>
    <row r="15273" spans="1:10" ht="13.2">
      <c r="A15273" s="7">
        <v>15272</v>
      </c>
      <c r="B15273" s="7">
        <v>1</v>
      </c>
      <c r="C15273" s="7" t="s">
        <v>10</v>
      </c>
      <c r="D15273" s="7">
        <v>19564</v>
      </c>
      <c r="E15273" s="7" t="s">
        <v>23</v>
      </c>
      <c r="F15273" s="8" t="str">
        <f ca="1">IFERROR(__xludf.DUMMYFUNCTION("IF
(
C15274=""фізична особа""
,
VLOOKUP(D15274,IMPORTRANGE(""https://docs.google.com/spreadsheets/d/14Bd19lYaqBhU8_DElYkX7l4wRkHqqCUFNJY4AfY3kHU/edit?usp=sharing  #gid=0"",""фіз особи new!relations_name""),6,FALSE)
,
(IF
(
C15274=""юридична особа""
,
VLOO"&amp;"KUP(D15274,IMPORTRANGE(""https://docs.google.com/spreadsheets/d/14Bd19lYaqBhU8_DElYkX7l4wRkHqqCUFNJY4AfY3kHU/edit?usp=sharing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3" s="7" t="s">
        <v>10</v>
      </c>
      <c r="H15273" s="7">
        <v>23712</v>
      </c>
      <c r="I15273" s="8" t="str">
        <f ca="1">IFERROR(__xludf.DUMMYFUNCTION("IF
(
G15274=""фізична особа""
,
VLOOKUP(H15274,IMPORTRANGE(""https://docs.google.com/spreadsheets/d/14Bd19lYaqBhU8_DElYkX7l4wRkHqqCUFNJY4AfY3kHU/edit?usp=sharing  #gid=0"",""фіз особи new!relations_name""),6,FALSE)
,
(IF
(
G15274=""юридична особа""
,
VLOO"&amp;"KUP(H15274,IMPORTRANGE(""https://docs.google.com/spreadsheets/d/14Bd19lYaqBhU8_DElYkX7l4wRkHqqCUFNJY4AfY3kHU/edit?usp=sharing  #gid=0"",""фіз особи new!relations_name_uo""),7,FALSE)
,
)
))"),"ЛАЗУТКІНА Тетяна Анатоліївна")</f>
        <v>ЛАЗУТКІНА Тетяна Анатоліївна</v>
      </c>
      <c r="J15273" s="7" t="s">
        <v>23</v>
      </c>
    </row>
    <row r="15274" spans="1:10" ht="13.2">
      <c r="A15274" s="7">
        <v>15273</v>
      </c>
      <c r="B15274" s="7">
        <v>1</v>
      </c>
      <c r="C15274" s="7" t="s">
        <v>10</v>
      </c>
      <c r="D15274" s="7">
        <v>19564</v>
      </c>
      <c r="E15274" s="7" t="s">
        <v>23</v>
      </c>
      <c r="F15274" s="8" t="str">
        <f ca="1">IFERROR(__xludf.DUMMYFUNCTION("IF
(
C15275=""фізична особа""
,
VLOOKUP(D15275,IMPORTRANGE(""https://docs.google.com/spreadsheets/d/14Bd19lYaqBhU8_DElYkX7l4wRkHqqCUFNJY4AfY3kHU/edit?usp=sharing  #gid=0"",""фіз особи new!relations_name""),6,FALSE)
,
(IF
(
C15275=""юридична особа""
,
VLOO"&amp;"KUP(D15275,IMPORTRANGE(""https://docs.google.com/spreadsheets/d/14Bd19lYaqBhU8_DElYkX7l4wRkHqqCUFNJY4AfY3kHU/edit?usp=sharing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4" s="7" t="s">
        <v>10</v>
      </c>
      <c r="H15274" s="7">
        <v>23713</v>
      </c>
      <c r="I15274" s="8" t="str">
        <f ca="1">IFERROR(__xludf.DUMMYFUNCTION("IF
(
G15275=""фізична особа""
,
VLOOKUP(H15275,IMPORTRANGE(""https://docs.google.com/spreadsheets/d/14Bd19lYaqBhU8_DElYkX7l4wRkHqqCUFNJY4AfY3kHU/edit?usp=sharing  #gid=0"",""фіз особи new!relations_name""),6,FALSE)
,
(IF
(
G15275=""юридична особа""
,
VLOO"&amp;"KUP(H15275,IMPORTRANGE(""https://docs.google.com/spreadsheets/d/14Bd19lYaqBhU8_DElYkX7l4wRkHqqCUFNJY4AfY3kHU/edit?usp=sharing  #gid=0"",""фіз особи new!relations_name_uo""),7,FALSE)
,
)
))"),"ХУДИНЦЕВ Андрій Валентинович")</f>
        <v>ХУДИНЦЕВ Андрій Валентинович</v>
      </c>
      <c r="J15274" s="7" t="s">
        <v>23</v>
      </c>
    </row>
    <row r="15275" spans="1:10" ht="13.2">
      <c r="A15275" s="7">
        <v>15274</v>
      </c>
      <c r="B15275" s="7">
        <v>1</v>
      </c>
      <c r="C15275" s="7" t="s">
        <v>10</v>
      </c>
      <c r="D15275" s="7">
        <v>19564</v>
      </c>
      <c r="E15275" s="7" t="s">
        <v>23</v>
      </c>
      <c r="F15275" s="8" t="str">
        <f ca="1">IFERROR(__xludf.DUMMYFUNCTION("IF
(
C15276=""фізична особа""
,
VLOOKUP(D15276,IMPORTRANGE(""https://docs.google.com/spreadsheets/d/14Bd19lYaqBhU8_DElYkX7l4wRkHqqCUFNJY4AfY3kHU/edit?usp=sharing  #gid=0"",""фіз особи new!relations_name""),6,FALSE)
,
(IF
(
C15276=""юридична особа""
,
VLOO"&amp;"KUP(D15276,IMPORTRANGE(""https://docs.google.com/spreadsheets/d/14Bd19lYaqBhU8_DElYkX7l4wRkHqqCUFNJY4AfY3kHU/edit?usp=sharing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G15275" s="7" t="s">
        <v>10</v>
      </c>
      <c r="H15275" s="7">
        <v>0</v>
      </c>
      <c r="I15275" s="8" t="str">
        <f ca="1">IFERROR(__xludf.DUMMYFUNCTION("IF
(
G15276=""фізична особа""
,
VLOOKUP(H15276,IMPORTRANGE(""https://docs.google.com/spreadsheets/d/14Bd19lYaqBhU8_DElYkX7l4wRkHqqCUFNJY4AfY3kHU/edit?usp=sharing  #gid=0"",""фіз особи new!relations_name""),6,FALSE)
,
(IF
(
G15276=""юридична особа""
,
VLOO"&amp;"KUP(H15276,IMPORTRANGE(""https://docs.google.com/spreadsheets/d/14Bd19lYaqBhU8_DElYkX7l4wRkHqqCUFNJY4AfY3kHU/edit?usp=sharing  #gid=0"",""фіз особи new!relations_name_uo""),7,FALSE)
,
)
))"),"#N/A")</f>
        <v>#N/A</v>
      </c>
      <c r="J15275" s="7" t="s">
        <v>23</v>
      </c>
    </row>
    <row r="15276" spans="1:10" ht="13.2">
      <c r="A15276" s="7">
        <v>15275</v>
      </c>
      <c r="B15276" s="7">
        <v>1</v>
      </c>
      <c r="C15276" s="7" t="s">
        <v>10</v>
      </c>
      <c r="D15276" s="7">
        <v>19565</v>
      </c>
      <c r="E15276" s="7" t="s">
        <v>23</v>
      </c>
      <c r="F15276" s="8" t="str">
        <f ca="1">IFERROR(__xludf.DUMMYFUNCTION("IF
(
C15277=""фізична особа""
,
VLOOKUP(D15277,IMPORTRANGE(""https://docs.google.com/spreadsheets/d/14Bd19lYaqBhU8_DElYkX7l4wRkHqqCUFNJY4AfY3kHU/edit?usp=sharing  #gid=0"",""фіз особи new!relations_name""),6,FALSE)
,
(IF
(
C15277=""юридична особа""
,
VLOO"&amp;"KUP(D15277,IMPORTRANGE(""https://docs.google.com/spreadsheets/d/14Bd19lYaqBhU8_DElYkX7l4wRkHqqCUFNJY4AfY3kHU/edit?usp=sharing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G15276" s="7" t="s">
        <v>10</v>
      </c>
      <c r="H15276" s="7">
        <v>19560</v>
      </c>
      <c r="I15276" s="8" t="str">
        <f ca="1">IFERROR(__xludf.DUMMYFUNCTION("IF
(
G15277=""фізична особа""
,
VLOOKUP(H15277,IMPORTRANGE(""https://docs.google.com/spreadsheets/d/14Bd19lYaqBhU8_DElYkX7l4wRkHqqCUFNJY4AfY3kHU/edit?usp=sharing  #gid=0"",""фіз особи new!relations_name""),6,FALSE)
,
(IF
(
G15277=""юридична особа""
,
VLOO"&amp;"KUP(H15277,IMPORTRANGE(""https://docs.google.com/spreadsheets/d/14Bd19lYaqBhU8_DElYkX7l4wRkHqqCUFNJY4AfY3kHU/edit?usp=sharing  #gid=0"",""фіз особи new!relations_name_uo""),7,FALSE)
,
)
))"),"СЕМЕРНІН Володимир Володимирович")</f>
        <v>СЕМЕРНІН Володимир Володимирович</v>
      </c>
      <c r="J15276" s="7" t="s">
        <v>23</v>
      </c>
    </row>
    <row r="15277" spans="1:10" ht="13.2">
      <c r="A15277" s="7">
        <v>15276</v>
      </c>
      <c r="B15277" s="7">
        <v>1</v>
      </c>
      <c r="C15277" s="7" t="s">
        <v>10</v>
      </c>
      <c r="D15277" s="7">
        <v>19565</v>
      </c>
      <c r="E15277" s="7" t="s">
        <v>23</v>
      </c>
      <c r="F15277" s="8" t="str">
        <f ca="1">IFERROR(__xludf.DUMMYFUNCTION("IF
(
C15278=""фізична особа""
,
VLOOKUP(D15278,IMPORTRANGE(""https://docs.google.com/spreadsheets/d/14Bd19lYaqBhU8_DElYkX7l4wRkHqqCUFNJY4AfY3kHU/edit?usp=sharing  #gid=0"",""фіз особи new!relations_name""),6,FALSE)
,
(IF
(
C15278=""юридична особа""
,
VLOO"&amp;"KUP(D15278,IMPORTRANGE(""https://docs.google.com/spreadsheets/d/14Bd19lYaqBhU8_DElYkX7l4wRkHqqCUFNJY4AfY3kHU/edit?usp=sharing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G15277" s="7" t="s">
        <v>10</v>
      </c>
      <c r="H15277" s="7">
        <v>19561</v>
      </c>
      <c r="I15277" s="8" t="str">
        <f ca="1">IFERROR(__xludf.DUMMYFUNCTION("IF
(
G15278=""фізична особа""
,
VLOOKUP(H15278,IMPORTRANGE(""https://docs.google.com/spreadsheets/d/14Bd19lYaqBhU8_DElYkX7l4wRkHqqCUFNJY4AfY3kHU/edit?usp=sharing  #gid=0"",""фіз особи new!relations_name""),6,FALSE)
,
(IF
(
G15278=""юридична особа""
,
VLOO"&amp;"KUP(H15278,IMPORTRANGE(""https://docs.google.com/spreadsheets/d/14Bd19lYaqBhU8_DElYkX7l4wRkHqqCUFNJY4AfY3kHU/edit?usp=sharing  #gid=0"",""фіз особи new!relations_name_uo""),7,FALSE)
,
)
))"),"СЕМЕРНІНА Ганна Володимирівна")</f>
        <v>СЕМЕРНІНА Ганна Володимирівна</v>
      </c>
      <c r="J15277" s="7" t="s">
        <v>23</v>
      </c>
    </row>
    <row r="15278" spans="1:10" ht="13.2">
      <c r="A15278" s="7">
        <v>15277</v>
      </c>
      <c r="B15278" s="7">
        <v>1</v>
      </c>
      <c r="C15278" s="7" t="s">
        <v>10</v>
      </c>
      <c r="D15278" s="7">
        <v>19565</v>
      </c>
      <c r="E15278" s="7" t="s">
        <v>23</v>
      </c>
      <c r="F15278" s="8" t="str">
        <f ca="1">IFERROR(__xludf.DUMMYFUNCTION("IF
(
C15279=""фізична особа""
,
VLOOKUP(D15279,IMPORTRANGE(""https://docs.google.com/spreadsheets/d/14Bd19lYaqBhU8_DElYkX7l4wRkHqqCUFNJY4AfY3kHU/edit?usp=sharing  #gid=0"",""фіз особи new!relations_name""),6,FALSE)
,
(IF
(
C15279=""юридична особа""
,
VLOO"&amp;"KUP(D15279,IMPORTRANGE(""https://docs.google.com/spreadsheets/d/14Bd19lYaqBhU8_DElYkX7l4wRkHqqCUFNJY4AfY3kHU/edit?usp=sharing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G15278" s="7" t="s">
        <v>10</v>
      </c>
      <c r="H15278" s="7">
        <v>19562</v>
      </c>
      <c r="I15278" s="8" t="str">
        <f ca="1">IFERROR(__xludf.DUMMYFUNCTION("IF
(
G15279=""фізична особа""
,
VLOOKUP(H15279,IMPORTRANGE(""https://docs.google.com/spreadsheets/d/14Bd19lYaqBhU8_DElYkX7l4wRkHqqCUFNJY4AfY3kHU/edit?usp=sharing  #gid=0"",""фіз особи new!relations_name""),6,FALSE)
,
(IF
(
G15279=""юридична особа""
,
VLOO"&amp;"KUP(H15279,IMPORTRANGE(""https://docs.google.com/spreadsheets/d/14Bd19lYaqBhU8_DElYkX7l4wRkHqqCUFNJY4AfY3kHU/edit?usp=sharing  #gid=0"",""фіз особи new!relations_name_uo""),7,FALSE)
,
)
))"),"МАЦУМУРА Такая")</f>
        <v>МАЦУМУРА Такая</v>
      </c>
      <c r="J15278" s="7" t="s">
        <v>23</v>
      </c>
    </row>
    <row r="15279" spans="1:10" ht="13.2">
      <c r="A15279" s="7">
        <v>15278</v>
      </c>
      <c r="B15279" s="7">
        <v>1</v>
      </c>
      <c r="C15279" s="7" t="s">
        <v>10</v>
      </c>
      <c r="D15279" s="7">
        <v>19565</v>
      </c>
      <c r="E15279" s="7" t="s">
        <v>23</v>
      </c>
      <c r="F15279" s="8" t="str">
        <f ca="1">IFERROR(__xludf.DUMMYFUNCTION("IF
(
C15280=""фізична особа""
,
VLOOKUP(D15280,IMPORTRANGE(""https://docs.google.com/spreadsheets/d/14Bd19lYaqBhU8_DElYkX7l4wRkHqqCUFNJY4AfY3kHU/edit?usp=sharing  #gid=0"",""фіз особи new!relations_name""),6,FALSE)
,
(IF
(
C15280=""юридична особа""
,
VLOO"&amp;"KUP(D15280,IMPORTRANGE(""https://docs.google.com/spreadsheets/d/14Bd19lYaqBhU8_DElYkX7l4wRkHqqCUFNJY4AfY3kHU/edit?usp=sharing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G15279" s="7" t="s">
        <v>10</v>
      </c>
      <c r="H15279" s="7">
        <v>19564</v>
      </c>
      <c r="I15279" s="8" t="str">
        <f ca="1">IFERROR(__xludf.DUMMYFUNCTION("IF
(
G15280=""фізична особа""
,
VLOOKUP(H15280,IMPORTRANGE(""https://docs.google.com/spreadsheets/d/14Bd19lYaqBhU8_DElYkX7l4wRkHqqCUFNJY4AfY3kHU/edit?usp=sharing  #gid=0"",""фіз особи new!relations_name""),6,FALSE)
,
(IF
(
G15280=""юридична особа""
,
VLOO"&amp;"KUP(H15280,IMPORTRANGE(""https://docs.google.com/spreadsheets/d/14Bd19lYaqBhU8_DElYkX7l4wRkHqqCUFNJY4AfY3kHU/edit?usp=sharing  #gid=0"",""фіз особи new!relations_name_uo""),7,FALSE)
,
)
))"),"ГОЦЕВ Павло Андрійович")</f>
        <v>ГОЦЕВ Павло Андрійович</v>
      </c>
      <c r="J15279" s="7" t="s">
        <v>23</v>
      </c>
    </row>
    <row r="15280" spans="1:10" ht="13.2">
      <c r="A15280" s="7">
        <v>15279</v>
      </c>
      <c r="B15280" s="7">
        <v>1</v>
      </c>
      <c r="C15280" s="7" t="s">
        <v>10</v>
      </c>
      <c r="D15280" s="7">
        <v>19565</v>
      </c>
      <c r="E15280" s="7" t="s">
        <v>23</v>
      </c>
      <c r="F15280" s="8" t="str">
        <f ca="1">IFERROR(__xludf.DUMMYFUNCTION("IF
(
C15281=""фізична особа""
,
VLOOKUP(D15281,IMPORTRANGE(""https://docs.google.com/spreadsheets/d/14Bd19lYaqBhU8_DElYkX7l4wRkHqqCUFNJY4AfY3kHU/edit?usp=sharing  #gid=0"",""фіз особи new!relations_name""),6,FALSE)
,
(IF
(
C15281=""юридична особа""
,
VLOO"&amp;"KUP(D15281,IMPORTRANGE(""https://docs.google.com/spreadsheets/d/14Bd19lYaqBhU8_DElYkX7l4wRkHqqCUFNJY4AfY3kHU/edit?usp=sharing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G15280" s="7" t="s">
        <v>10</v>
      </c>
      <c r="H15280" s="7">
        <v>19563</v>
      </c>
      <c r="I15280" s="8" t="str">
        <f ca="1">IFERROR(__xludf.DUMMYFUNCTION("IF
(
G15281=""фізична особа""
,
VLOOKUP(H15281,IMPORTRANGE(""https://docs.google.com/spreadsheets/d/14Bd19lYaqBhU8_DElYkX7l4wRkHqqCUFNJY4AfY3kHU/edit?usp=sharing  #gid=0"",""фіз особи new!relations_name""),6,FALSE)
,
(IF
(
G15281=""юридична особа""
,
VLOO"&amp;"KUP(H15281,IMPORTRANGE(""https://docs.google.com/spreadsheets/d/14Bd19lYaqBhU8_DElYkX7l4wRkHqqCUFNJY4AfY3kHU/edit?usp=sharing  #gid=0"",""фіз особи new!relations_name_uo""),7,FALSE)
,
)
))"),"УЄХАРА Ецуто")</f>
        <v>УЄХАРА Ецуто</v>
      </c>
      <c r="J15280" s="7" t="s">
        <v>23</v>
      </c>
    </row>
    <row r="15281" spans="1:10" ht="13.2">
      <c r="A15281" s="7">
        <v>15280</v>
      </c>
      <c r="B15281" s="7">
        <v>1</v>
      </c>
      <c r="C15281" s="7" t="s">
        <v>10</v>
      </c>
      <c r="D15281" s="7">
        <v>19566</v>
      </c>
      <c r="E15281" s="7" t="s">
        <v>23</v>
      </c>
      <c r="F15281" s="8" t="str">
        <f ca="1">IFERROR(__xludf.DUMMYFUNCTION("IF
(
C15282=""фізична особа""
,
VLOOKUP(D15282,IMPORTRANGE(""https://docs.google.com/spreadsheets/d/14Bd19lYaqBhU8_DElYkX7l4wRkHqqCUFNJY4AfY3kHU/edit?usp=sharing  #gid=0"",""фіз особи new!relations_name""),6,FALSE)
,
(IF
(
C15282=""юридична особа""
,
VLOO"&amp;"KUP(D15282,IMPORTRANGE(""https://docs.google.com/spreadsheets/d/14Bd19lYaqBhU8_DElYkX7l4wRkHqqCUFNJY4AfY3kHU/edit?usp=sharing  #gid=0"",""фіз особи new!relations_name_uo""),7,FALSE)
,
)
))"),"ІВАНОВ Андрій Олександрович")</f>
        <v>ІВАНОВ Андрій Олександрович</v>
      </c>
      <c r="G15281" s="7" t="s">
        <v>10</v>
      </c>
      <c r="H15281" s="7">
        <v>19565</v>
      </c>
      <c r="I15281" s="8" t="str">
        <f ca="1">IFERROR(__xludf.DUMMYFUNCTION("IF
(
G15282=""фізична особа""
,
VLOOKUP(H15282,IMPORTRANGE(""https://docs.google.com/spreadsheets/d/14Bd19lYaqBhU8_DElYkX7l4wRkHqqCUFNJY4AfY3kHU/edit?usp=sharing  #gid=0"",""фіз особи new!relations_name""),6,FALSE)
,
(IF
(
G15282=""юридична особа""
,
VLOO"&amp;"KUP(H15282,IMPORTRANGE(""https://docs.google.com/spreadsheets/d/14Bd19lYaqBhU8_DElYkX7l4wRkHqqCUFNJY4AfY3kHU/edit?usp=sharing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J15281" s="7" t="s">
        <v>23</v>
      </c>
    </row>
    <row r="15282" spans="1:10" ht="13.2">
      <c r="A15282" s="7">
        <v>15281</v>
      </c>
      <c r="B15282" s="7">
        <v>1</v>
      </c>
      <c r="C15282" s="7" t="s">
        <v>10</v>
      </c>
      <c r="D15282" s="7">
        <v>19567</v>
      </c>
      <c r="E15282" s="7" t="s">
        <v>23</v>
      </c>
      <c r="F15282" s="8" t="str">
        <f ca="1">IFERROR(__xludf.DUMMYFUNCTION("IF
(
C15283=""фізична особа""
,
VLOOKUP(D15283,IMPORTRANGE(""https://docs.google.com/spreadsheets/d/14Bd19lYaqBhU8_DElYkX7l4wRkHqqCUFNJY4AfY3kHU/edit?usp=sharing  #gid=0"",""фіз особи new!relations_name""),6,FALSE)
,
(IF
(
C15283=""юридична особа""
,
VLOO"&amp;"KUP(D15283,IMPORTRANGE(""https://docs.google.com/spreadsheets/d/14Bd19lYaqBhU8_DElYkX7l4wRkHqqCUFNJY4AfY3kHU/edit?usp=sharing  #gid=0"",""фіз особи new!relations_name_uo""),7,FALSE)
,
)
))"),"КІМ Олександр Артурович")</f>
        <v>КІМ Олександр Артурович</v>
      </c>
      <c r="G15282" s="7" t="s">
        <v>10</v>
      </c>
      <c r="H15282" s="7">
        <v>19565</v>
      </c>
      <c r="I15282" s="8" t="str">
        <f ca="1">IFERROR(__xludf.DUMMYFUNCTION("IF
(
G15283=""фізична особа""
,
VLOOKUP(H15283,IMPORTRANGE(""https://docs.google.com/spreadsheets/d/14Bd19lYaqBhU8_DElYkX7l4wRkHqqCUFNJY4AfY3kHU/edit?usp=sharing  #gid=0"",""фіз особи new!relations_name""),6,FALSE)
,
(IF
(
G15283=""юридична особа""
,
VLOO"&amp;"KUP(H15283,IMPORTRANGE(""https://docs.google.com/spreadsheets/d/14Bd19lYaqBhU8_DElYkX7l4wRkHqqCUFNJY4AfY3kHU/edit?usp=sharing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J15282" s="7" t="s">
        <v>23</v>
      </c>
    </row>
    <row r="15283" spans="1:10" ht="13.2">
      <c r="A15283" s="7">
        <v>15282</v>
      </c>
      <c r="B15283" s="7">
        <v>1</v>
      </c>
      <c r="C15283" s="7" t="s">
        <v>10</v>
      </c>
      <c r="D15283" s="7">
        <v>19567</v>
      </c>
      <c r="E15283" s="7" t="s">
        <v>23</v>
      </c>
      <c r="F15283" s="8" t="str">
        <f ca="1">IFERROR(__xludf.DUMMYFUNCTION("IF
(
C15284=""фізична особа""
,
VLOOKUP(D15284,IMPORTRANGE(""https://docs.google.com/spreadsheets/d/14Bd19lYaqBhU8_DElYkX7l4wRkHqqCUFNJY4AfY3kHU/edit?usp=sharing  #gid=0"",""фіз особи new!relations_name""),6,FALSE)
,
(IF
(
C15284=""юридична особа""
,
VLOO"&amp;"KUP(D15284,IMPORTRANGE(""https://docs.google.com/spreadsheets/d/14Bd19lYaqBhU8_DElYkX7l4wRkHqqCUFNJY4AfY3kHU/edit?usp=sharing  #gid=0"",""фіз особи new!relations_name_uo""),7,FALSE)
,
)
))"),"КІМ Олександр Артурович")</f>
        <v>КІМ Олександр Артурович</v>
      </c>
      <c r="G15283" s="7" t="s">
        <v>10</v>
      </c>
      <c r="H15283" s="7">
        <v>0</v>
      </c>
      <c r="I15283" s="8" t="str">
        <f ca="1">IFERROR(__xludf.DUMMYFUNCTION("IF
(
G15284=""фізична особа""
,
VLOOKUP(H15284,IMPORTRANGE(""https://docs.google.com/spreadsheets/d/14Bd19lYaqBhU8_DElYkX7l4wRkHqqCUFNJY4AfY3kHU/edit?usp=sharing  #gid=0"",""фіз особи new!relations_name""),6,FALSE)
,
(IF
(
G15284=""юридична особа""
,
VLOO"&amp;"KUP(H15284,IMPORTRANGE(""https://docs.google.com/spreadsheets/d/14Bd19lYaqBhU8_DElYkX7l4wRkHqqCUFNJY4AfY3kHU/edit?usp=sharing  #gid=0"",""фіз особи new!relations_name_uo""),7,FALSE)
,
)
))"),"#N/A")</f>
        <v>#N/A</v>
      </c>
      <c r="J15283" s="7" t="s">
        <v>23</v>
      </c>
    </row>
    <row r="15284" spans="1:10" ht="13.2">
      <c r="A15284" s="7">
        <v>15283</v>
      </c>
      <c r="B15284" s="7">
        <v>1</v>
      </c>
      <c r="C15284" s="7" t="s">
        <v>10</v>
      </c>
      <c r="D15284" s="7">
        <v>19567</v>
      </c>
      <c r="E15284" s="7" t="s">
        <v>23</v>
      </c>
      <c r="F15284" s="8" t="str">
        <f ca="1">IFERROR(__xludf.DUMMYFUNCTION("IF
(
C15285=""фізична особа""
,
VLOOKUP(D15285,IMPORTRANGE(""https://docs.google.com/spreadsheets/d/14Bd19lYaqBhU8_DElYkX7l4wRkHqqCUFNJY4AfY3kHU/edit?usp=sharing  #gid=0"",""фіз особи new!relations_name""),6,FALSE)
,
(IF
(
C15285=""юридична особа""
,
VLOO"&amp;"KUP(D15285,IMPORTRANGE(""https://docs.google.com/spreadsheets/d/14Bd19lYaqBhU8_DElYkX7l4wRkHqqCUFNJY4AfY3kHU/edit?usp=sharing  #gid=0"",""фіз особи new!relations_name_uo""),7,FALSE)
,
)
))"),"КІМ Олександр Артурович")</f>
        <v>КІМ Олександр Артурович</v>
      </c>
      <c r="G15284" s="7" t="s">
        <v>10</v>
      </c>
      <c r="H15284" s="7">
        <v>0</v>
      </c>
      <c r="I15284" s="8" t="str">
        <f ca="1">IFERROR(__xludf.DUMMYFUNCTION("IF
(
G15285=""фізична особа""
,
VLOOKUP(H15285,IMPORTRANGE(""https://docs.google.com/spreadsheets/d/14Bd19lYaqBhU8_DElYkX7l4wRkHqqCUFNJY4AfY3kHU/edit?usp=sharing  #gid=0"",""фіз особи new!relations_name""),6,FALSE)
,
(IF
(
G15285=""юридична особа""
,
VLOO"&amp;"KUP(H15285,IMPORTRANGE(""https://docs.google.com/spreadsheets/d/14Bd19lYaqBhU8_DElYkX7l4wRkHqqCUFNJY4AfY3kHU/edit?usp=sharing  #gid=0"",""фіз особи new!relations_name_uo""),7,FALSE)
,
)
))"),"#N/A")</f>
        <v>#N/A</v>
      </c>
      <c r="J15284" s="7" t="s">
        <v>23</v>
      </c>
    </row>
    <row r="15285" spans="1:10" ht="13.2">
      <c r="A15285" s="7">
        <v>15284</v>
      </c>
      <c r="B15285" s="7">
        <v>1</v>
      </c>
      <c r="C15285" s="7" t="s">
        <v>10</v>
      </c>
      <c r="D15285" s="7">
        <v>19568</v>
      </c>
      <c r="E15285" s="7" t="s">
        <v>23</v>
      </c>
      <c r="F15285" s="8" t="str">
        <f ca="1">IFERROR(__xludf.DUMMYFUNCTION("IF
(
C15286=""фізична особа""
,
VLOOKUP(D15286,IMPORTRANGE(""https://docs.google.com/spreadsheets/d/14Bd19lYaqBhU8_DElYkX7l4wRkHqqCUFNJY4AfY3kHU/edit?usp=sharing  #gid=0"",""фіз особи new!relations_name""),6,FALSE)
,
(IF
(
C15286=""юридична особа""
,
VLOO"&amp;"KUP(D15286,IMPORTRANGE(""https://docs.google.com/spreadsheets/d/14Bd19lYaqBhU8_DElYkX7l4wRkHqqCUFNJY4AfY3kHU/edit?usp=sharing  #gid=0"",""фіз особи new!relations_name_uo""),7,FALSE)
,
)
))"),"КАЛАШНІКОВ Євгеній Олександрович")</f>
        <v>КАЛАШНІКОВ Євгеній Олександрович</v>
      </c>
      <c r="G15285" s="7" t="s">
        <v>10</v>
      </c>
      <c r="H15285" s="7">
        <v>19565</v>
      </c>
      <c r="I15285" s="8" t="str">
        <f ca="1">IFERROR(__xludf.DUMMYFUNCTION("IF
(
G15286=""фізична особа""
,
VLOOKUP(H15286,IMPORTRANGE(""https://docs.google.com/spreadsheets/d/14Bd19lYaqBhU8_DElYkX7l4wRkHqqCUFNJY4AfY3kHU/edit?usp=sharing  #gid=0"",""фіз особи new!relations_name""),6,FALSE)
,
(IF
(
G15286=""юридична особа""
,
VLOO"&amp;"KUP(H15286,IMPORTRANGE(""https://docs.google.com/spreadsheets/d/14Bd19lYaqBhU8_DElYkX7l4wRkHqqCUFNJY4AfY3kHU/edit?usp=sharing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J15285" s="7" t="s">
        <v>23</v>
      </c>
    </row>
    <row r="15286" spans="1:10" ht="13.2">
      <c r="A15286" s="7">
        <v>15285</v>
      </c>
      <c r="B15286" s="7">
        <v>1</v>
      </c>
      <c r="C15286" s="7" t="s">
        <v>10</v>
      </c>
      <c r="D15286" s="7">
        <v>19569</v>
      </c>
      <c r="E15286" s="7" t="s">
        <v>23</v>
      </c>
      <c r="F15286" s="8" t="str">
        <f ca="1">IFERROR(__xludf.DUMMYFUNCTION("IF
(
C15287=""фізична особа""
,
VLOOKUP(D15287,IMPORTRANGE(""https://docs.google.com/spreadsheets/d/14Bd19lYaqBhU8_DElYkX7l4wRkHqqCUFNJY4AfY3kHU/edit?usp=sharing  #gid=0"",""фіз особи new!relations_name""),6,FALSE)
,
(IF
(
C15287=""юридична особа""
,
VLOO"&amp;"KUP(D15287,IMPORTRANGE(""https://docs.google.com/spreadsheets/d/14Bd19lYaqBhU8_DElYkX7l4wRkHqqCUFNJY4AfY3kHU/edit?usp=sharing  #gid=0"",""фіз особи new!relations_name_uo""),7,FALSE)
,
)
))"),"РУМЯНЦЕВА Ольга Львівна")</f>
        <v>РУМЯНЦЕВА Ольга Львівна</v>
      </c>
      <c r="G15286" s="7" t="s">
        <v>10</v>
      </c>
      <c r="H15286" s="7">
        <v>19565</v>
      </c>
      <c r="I15286" s="8" t="str">
        <f ca="1">IFERROR(__xludf.DUMMYFUNCTION("IF
(
G15287=""фізична особа""
,
VLOOKUP(H15287,IMPORTRANGE(""https://docs.google.com/spreadsheets/d/14Bd19lYaqBhU8_DElYkX7l4wRkHqqCUFNJY4AfY3kHU/edit?usp=sharing  #gid=0"",""фіз особи new!relations_name""),6,FALSE)
,
(IF
(
G15287=""юридична особа""
,
VLOO"&amp;"KUP(H15287,IMPORTRANGE(""https://docs.google.com/spreadsheets/d/14Bd19lYaqBhU8_DElYkX7l4wRkHqqCUFNJY4AfY3kHU/edit?usp=sharing  #gid=0"",""фіз особи new!relations_name_uo""),7,FALSE)
,
)
))"),"ВОЗІСОВ Ігор Вячеславович")</f>
        <v>ВОЗІСОВ Ігор Вячеславович</v>
      </c>
      <c r="J15286" s="7" t="s">
        <v>23</v>
      </c>
    </row>
    <row r="15287" spans="1:10" ht="13.2">
      <c r="A15287" s="7">
        <v>15286</v>
      </c>
      <c r="B15287" s="7">
        <v>1</v>
      </c>
      <c r="C15287" s="7" t="s">
        <v>10</v>
      </c>
      <c r="D15287" s="7">
        <v>19570</v>
      </c>
      <c r="E15287" s="7" t="s">
        <v>14</v>
      </c>
      <c r="F15287" s="8" t="str">
        <f ca="1">IFERROR(__xludf.DUMMYFUNCTION("IF
(
C15288=""фізична особа""
,
VLOOKUP(D15288,IMPORTRANGE(""https://docs.google.com/spreadsheets/d/14Bd19lYaqBhU8_DElYkX7l4wRkHqqCUFNJY4AfY3kHU/edit?usp=sharing  #gid=0"",""фіз особи new!relations_name""),6,FALSE)
,
(IF
(
C15288=""юридична особа""
,
VLOO"&amp;"KUP(D15288,IMPORTRANGE(""https://docs.google.com/spreadsheets/d/14Bd19lYaqBhU8_DElYkX7l4wRkHqqCUFNJY4AfY3kHU/edit?usp=sharing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G15287" s="7" t="s">
        <v>10</v>
      </c>
      <c r="H15287" s="7">
        <v>23714</v>
      </c>
      <c r="I15287" s="8" t="str">
        <f ca="1">IFERROR(__xludf.DUMMYFUNCTION("IF
(
G15288=""фізична особа""
,
VLOOKUP(H15288,IMPORTRANGE(""https://docs.google.com/spreadsheets/d/14Bd19lYaqBhU8_DElYkX7l4wRkHqqCUFNJY4AfY3kHU/edit?usp=sharing  #gid=0"",""фіз особи new!relations_name""),6,FALSE)
,
(IF
(
G15288=""юридична особа""
,
VLOO"&amp;"KUP(H15288,IMPORTRANGE(""https://docs.google.com/spreadsheets/d/14Bd19lYaqBhU8_DElYkX7l4wRkHqqCUFNJY4AfY3kHU/edit?usp=sharing  #gid=0"",""фіз особи new!relations_name_uo""),7,FALSE)
,
)
))"),"СОСУНОВА Ельнара Саярівна")</f>
        <v>СОСУНОВА Ельнара Саярівна</v>
      </c>
      <c r="J15287" s="7" t="s">
        <v>15</v>
      </c>
    </row>
    <row r="15288" spans="1:10" ht="13.2">
      <c r="A15288" s="7">
        <v>15287</v>
      </c>
      <c r="B15288" s="7">
        <v>1</v>
      </c>
      <c r="C15288" s="7" t="s">
        <v>10</v>
      </c>
      <c r="D15288" s="7">
        <v>19571</v>
      </c>
      <c r="E15288" s="7" t="s">
        <v>23</v>
      </c>
      <c r="F15288" s="8" t="str">
        <f ca="1">IFERROR(__xludf.DUMMYFUNCTION("IF
(
C15289=""фізична особа""
,
VLOOKUP(D15289,IMPORTRANGE(""https://docs.google.com/spreadsheets/d/14Bd19lYaqBhU8_DElYkX7l4wRkHqqCUFNJY4AfY3kHU/edit?usp=sharing  #gid=0"",""фіз особи new!relations_name""),6,FALSE)
,
(IF
(
C15289=""юридична особа""
,
VLOO"&amp;"KUP(D15289,IMPORTRANGE(""https://docs.google.com/spreadsheets/d/14Bd19lYaqBhU8_DElYkX7l4wRkHqqCUFNJY4AfY3kHU/edit?usp=sharing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88" s="7" t="s">
        <v>10</v>
      </c>
      <c r="H15288" s="7">
        <v>0</v>
      </c>
      <c r="I15288" s="8" t="str">
        <f ca="1">IFERROR(__xludf.DUMMYFUNCTION("IF
(
G15289=""фізична особа""
,
VLOOKUP(H15289,IMPORTRANGE(""https://docs.google.com/spreadsheets/d/14Bd19lYaqBhU8_DElYkX7l4wRkHqqCUFNJY4AfY3kHU/edit?usp=sharing  #gid=0"",""фіз особи new!relations_name""),6,FALSE)
,
(IF
(
G15289=""юридична особа""
,
VLOO"&amp;"KUP(H15289,IMPORTRANGE(""https://docs.google.com/spreadsheets/d/14Bd19lYaqBhU8_DElYkX7l4wRkHqqCUFNJY4AfY3kHU/edit?usp=sharing  #gid=0"",""фіз особи new!relations_name_uo""),7,FALSE)
,
)
))"),"#N/A")</f>
        <v>#N/A</v>
      </c>
      <c r="J15288" s="7" t="s">
        <v>23</v>
      </c>
    </row>
    <row r="15289" spans="1:10" ht="13.2">
      <c r="A15289" s="7">
        <v>15288</v>
      </c>
      <c r="B15289" s="7">
        <v>1</v>
      </c>
      <c r="C15289" s="7" t="s">
        <v>10</v>
      </c>
      <c r="D15289" s="7">
        <v>19571</v>
      </c>
      <c r="E15289" s="7" t="s">
        <v>23</v>
      </c>
      <c r="F15289" s="8" t="str">
        <f ca="1">IFERROR(__xludf.DUMMYFUNCTION("IF
(
C15290=""фізична особа""
,
VLOOKUP(D15290,IMPORTRANGE(""https://docs.google.com/spreadsheets/d/14Bd19lYaqBhU8_DElYkX7l4wRkHqqCUFNJY4AfY3kHU/edit?usp=sharing  #gid=0"",""фіз особи new!relations_name""),6,FALSE)
,
(IF
(
C15290=""юридична особа""
,
VLOO"&amp;"KUP(D15290,IMPORTRANGE(""https://docs.google.com/spreadsheets/d/14Bd19lYaqBhU8_DElYkX7l4wRkHqqCUFNJY4AfY3kHU/edit?usp=sharing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89" s="7" t="s">
        <v>10</v>
      </c>
      <c r="H15289" s="7">
        <v>0</v>
      </c>
      <c r="I15289" s="8" t="str">
        <f ca="1">IFERROR(__xludf.DUMMYFUNCTION("IF
(
G15290=""фізична особа""
,
VLOOKUP(H15290,IMPORTRANGE(""https://docs.google.com/spreadsheets/d/14Bd19lYaqBhU8_DElYkX7l4wRkHqqCUFNJY4AfY3kHU/edit?usp=sharing  #gid=0"",""фіз особи new!relations_name""),6,FALSE)
,
(IF
(
G15290=""юридична особа""
,
VLOO"&amp;"KUP(H15290,IMPORTRANGE(""https://docs.google.com/spreadsheets/d/14Bd19lYaqBhU8_DElYkX7l4wRkHqqCUFNJY4AfY3kHU/edit?usp=sharing  #gid=0"",""фіз особи new!relations_name_uo""),7,FALSE)
,
)
))"),"#N/A")</f>
        <v>#N/A</v>
      </c>
      <c r="J15289" s="7" t="s">
        <v>23</v>
      </c>
    </row>
    <row r="15290" spans="1:10" ht="13.2">
      <c r="A15290" s="7">
        <v>15289</v>
      </c>
      <c r="B15290" s="7">
        <v>1</v>
      </c>
      <c r="C15290" s="7" t="s">
        <v>10</v>
      </c>
      <c r="D15290" s="7">
        <v>19571</v>
      </c>
      <c r="E15290" s="7" t="s">
        <v>23</v>
      </c>
      <c r="F15290" s="8" t="str">
        <f ca="1">IFERROR(__xludf.DUMMYFUNCTION("IF
(
C15291=""фізична особа""
,
VLOOKUP(D15291,IMPORTRANGE(""https://docs.google.com/spreadsheets/d/14Bd19lYaqBhU8_DElYkX7l4wRkHqqCUFNJY4AfY3kHU/edit?usp=sharing  #gid=0"",""фіз особи new!relations_name""),6,FALSE)
,
(IF
(
C15291=""юридична особа""
,
VLOO"&amp;"KUP(D15291,IMPORTRANGE(""https://docs.google.com/spreadsheets/d/14Bd19lYaqBhU8_DElYkX7l4wRkHqqCUFNJY4AfY3kHU/edit?usp=sharing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0" s="7" t="s">
        <v>10</v>
      </c>
      <c r="H15290" s="7">
        <v>0</v>
      </c>
      <c r="I15290" s="8" t="str">
        <f ca="1">IFERROR(__xludf.DUMMYFUNCTION("IF
(
G15291=""фізична особа""
,
VLOOKUP(H15291,IMPORTRANGE(""https://docs.google.com/spreadsheets/d/14Bd19lYaqBhU8_DElYkX7l4wRkHqqCUFNJY4AfY3kHU/edit?usp=sharing  #gid=0"",""фіз особи new!relations_name""),6,FALSE)
,
(IF
(
G15291=""юридична особа""
,
VLOO"&amp;"KUP(H15291,IMPORTRANGE(""https://docs.google.com/spreadsheets/d/14Bd19lYaqBhU8_DElYkX7l4wRkHqqCUFNJY4AfY3kHU/edit?usp=sharing  #gid=0"",""фіз особи new!relations_name_uo""),7,FALSE)
,
)
))"),"#N/A")</f>
        <v>#N/A</v>
      </c>
      <c r="J15290" s="7" t="s">
        <v>23</v>
      </c>
    </row>
    <row r="15291" spans="1:10" ht="13.2">
      <c r="A15291" s="7">
        <v>15290</v>
      </c>
      <c r="B15291" s="7">
        <v>1</v>
      </c>
      <c r="C15291" s="7" t="s">
        <v>10</v>
      </c>
      <c r="D15291" s="7">
        <v>19571</v>
      </c>
      <c r="E15291" s="7" t="s">
        <v>23</v>
      </c>
      <c r="F15291" s="8" t="str">
        <f ca="1">IFERROR(__xludf.DUMMYFUNCTION("IF
(
C15292=""фізична особа""
,
VLOOKUP(D15292,IMPORTRANGE(""https://docs.google.com/spreadsheets/d/14Bd19lYaqBhU8_DElYkX7l4wRkHqqCUFNJY4AfY3kHU/edit?usp=sharing  #gid=0"",""фіз особи new!relations_name""),6,FALSE)
,
(IF
(
C15292=""юридична особа""
,
VLOO"&amp;"KUP(D15292,IMPORTRANGE(""https://docs.google.com/spreadsheets/d/14Bd19lYaqBhU8_DElYkX7l4wRkHqqCUFNJY4AfY3kHU/edit?usp=sharing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1" s="7" t="s">
        <v>10</v>
      </c>
      <c r="H15291" s="7">
        <v>0</v>
      </c>
      <c r="I15291" s="8" t="str">
        <f ca="1">IFERROR(__xludf.DUMMYFUNCTION("IF
(
G15292=""фізична особа""
,
VLOOKUP(H15292,IMPORTRANGE(""https://docs.google.com/spreadsheets/d/14Bd19lYaqBhU8_DElYkX7l4wRkHqqCUFNJY4AfY3kHU/edit?usp=sharing  #gid=0"",""фіз особи new!relations_name""),6,FALSE)
,
(IF
(
G15292=""юридична особа""
,
VLOO"&amp;"KUP(H15292,IMPORTRANGE(""https://docs.google.com/spreadsheets/d/14Bd19lYaqBhU8_DElYkX7l4wRkHqqCUFNJY4AfY3kHU/edit?usp=sharing  #gid=0"",""фіз особи new!relations_name_uo""),7,FALSE)
,
)
))"),"#N/A")</f>
        <v>#N/A</v>
      </c>
      <c r="J15291" s="7" t="s">
        <v>23</v>
      </c>
    </row>
    <row r="15292" spans="1:10" ht="13.2">
      <c r="A15292" s="7">
        <v>15291</v>
      </c>
      <c r="B15292" s="7">
        <v>1</v>
      </c>
      <c r="C15292" s="7" t="s">
        <v>10</v>
      </c>
      <c r="D15292" s="7">
        <v>19571</v>
      </c>
      <c r="E15292" s="7" t="s">
        <v>23</v>
      </c>
      <c r="F15292" s="8" t="str">
        <f ca="1">IFERROR(__xludf.DUMMYFUNCTION("IF
(
C15293=""фізична особа""
,
VLOOKUP(D15293,IMPORTRANGE(""https://docs.google.com/spreadsheets/d/14Bd19lYaqBhU8_DElYkX7l4wRkHqqCUFNJY4AfY3kHU/edit?usp=sharing  #gid=0"",""фіз особи new!relations_name""),6,FALSE)
,
(IF
(
C15293=""юридична особа""
,
VLOO"&amp;"KUP(D15293,IMPORTRANGE(""https://docs.google.com/spreadsheets/d/14Bd19lYaqBhU8_DElYkX7l4wRkHqqCUFNJY4AfY3kHU/edit?usp=sharing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2" s="7" t="s">
        <v>10</v>
      </c>
      <c r="H15292" s="7">
        <v>0</v>
      </c>
      <c r="I15292" s="8" t="str">
        <f ca="1">IFERROR(__xludf.DUMMYFUNCTION("IF
(
G15293=""фізична особа""
,
VLOOKUP(H15293,IMPORTRANGE(""https://docs.google.com/spreadsheets/d/14Bd19lYaqBhU8_DElYkX7l4wRkHqqCUFNJY4AfY3kHU/edit?usp=sharing  #gid=0"",""фіз особи new!relations_name""),6,FALSE)
,
(IF
(
G15293=""юридична особа""
,
VLOO"&amp;"KUP(H15293,IMPORTRANGE(""https://docs.google.com/spreadsheets/d/14Bd19lYaqBhU8_DElYkX7l4wRkHqqCUFNJY4AfY3kHU/edit?usp=sharing  #gid=0"",""фіз особи new!relations_name_uo""),7,FALSE)
,
)
))"),"#N/A")</f>
        <v>#N/A</v>
      </c>
      <c r="J15292" s="7" t="s">
        <v>23</v>
      </c>
    </row>
    <row r="15293" spans="1:10" ht="13.2">
      <c r="A15293" s="7">
        <v>15292</v>
      </c>
      <c r="B15293" s="7">
        <v>1</v>
      </c>
      <c r="C15293" s="7" t="s">
        <v>10</v>
      </c>
      <c r="D15293" s="7">
        <v>19571</v>
      </c>
      <c r="E15293" s="7" t="s">
        <v>23</v>
      </c>
      <c r="F15293" s="8" t="str">
        <f ca="1">IFERROR(__xludf.DUMMYFUNCTION("IF
(
C15294=""фізична особа""
,
VLOOKUP(D15294,IMPORTRANGE(""https://docs.google.com/spreadsheets/d/14Bd19lYaqBhU8_DElYkX7l4wRkHqqCUFNJY4AfY3kHU/edit?usp=sharing  #gid=0"",""фіз особи new!relations_name""),6,FALSE)
,
(IF
(
C15294=""юридична особа""
,
VLOO"&amp;"KUP(D15294,IMPORTRANGE(""https://docs.google.com/spreadsheets/d/14Bd19lYaqBhU8_DElYkX7l4wRkHqqCUFNJY4AfY3kHU/edit?usp=sharing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3" s="7" t="s">
        <v>10</v>
      </c>
      <c r="H15293" s="7">
        <v>0</v>
      </c>
      <c r="I15293" s="8" t="str">
        <f ca="1">IFERROR(__xludf.DUMMYFUNCTION("IF
(
G15294=""фізична особа""
,
VLOOKUP(H15294,IMPORTRANGE(""https://docs.google.com/spreadsheets/d/14Bd19lYaqBhU8_DElYkX7l4wRkHqqCUFNJY4AfY3kHU/edit?usp=sharing  #gid=0"",""фіз особи new!relations_name""),6,FALSE)
,
(IF
(
G15294=""юридична особа""
,
VLOO"&amp;"KUP(H15294,IMPORTRANGE(""https://docs.google.com/spreadsheets/d/14Bd19lYaqBhU8_DElYkX7l4wRkHqqCUFNJY4AfY3kHU/edit?usp=sharing  #gid=0"",""фіз особи new!relations_name_uo""),7,FALSE)
,
)
))"),"#N/A")</f>
        <v>#N/A</v>
      </c>
      <c r="J15293" s="7" t="s">
        <v>23</v>
      </c>
    </row>
    <row r="15294" spans="1:10" ht="13.2">
      <c r="A15294" s="7">
        <v>15293</v>
      </c>
      <c r="B15294" s="7">
        <v>1</v>
      </c>
      <c r="C15294" s="7" t="s">
        <v>10</v>
      </c>
      <c r="D15294" s="7">
        <v>19571</v>
      </c>
      <c r="E15294" s="7" t="s">
        <v>23</v>
      </c>
      <c r="F15294" s="8" t="str">
        <f ca="1">IFERROR(__xludf.DUMMYFUNCTION("IF
(
C15295=""фізична особа""
,
VLOOKUP(D15295,IMPORTRANGE(""https://docs.google.com/spreadsheets/d/14Bd19lYaqBhU8_DElYkX7l4wRkHqqCUFNJY4AfY3kHU/edit?usp=sharing  #gid=0"",""фіз особи new!relations_name""),6,FALSE)
,
(IF
(
C15295=""юридична особа""
,
VLOO"&amp;"KUP(D15295,IMPORTRANGE(""https://docs.google.com/spreadsheets/d/14Bd19lYaqBhU8_DElYkX7l4wRkHqqCUFNJY4AfY3kHU/edit?usp=sharing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4" s="7" t="s">
        <v>10</v>
      </c>
      <c r="H15294" s="7">
        <v>0</v>
      </c>
      <c r="I15294" s="8" t="str">
        <f ca="1">IFERROR(__xludf.DUMMYFUNCTION("IF
(
G15295=""фізична особа""
,
VLOOKUP(H15295,IMPORTRANGE(""https://docs.google.com/spreadsheets/d/14Bd19lYaqBhU8_DElYkX7l4wRkHqqCUFNJY4AfY3kHU/edit?usp=sharing  #gid=0"",""фіз особи new!relations_name""),6,FALSE)
,
(IF
(
G15295=""юридична особа""
,
VLOO"&amp;"KUP(H15295,IMPORTRANGE(""https://docs.google.com/spreadsheets/d/14Bd19lYaqBhU8_DElYkX7l4wRkHqqCUFNJY4AfY3kHU/edit?usp=sharing  #gid=0"",""фіз особи new!relations_name_uo""),7,FALSE)
,
)
))"),"#N/A")</f>
        <v>#N/A</v>
      </c>
      <c r="J15294" s="7" t="s">
        <v>23</v>
      </c>
    </row>
    <row r="15295" spans="1:10" ht="13.2">
      <c r="A15295" s="7">
        <v>15294</v>
      </c>
      <c r="B15295" s="7">
        <v>1</v>
      </c>
      <c r="C15295" s="7" t="s">
        <v>10</v>
      </c>
      <c r="D15295" s="7">
        <v>19571</v>
      </c>
      <c r="E15295" s="7" t="s">
        <v>23</v>
      </c>
      <c r="F15295" s="8" t="str">
        <f ca="1">IFERROR(__xludf.DUMMYFUNCTION("IF
(
C15296=""фізична особа""
,
VLOOKUP(D15296,IMPORTRANGE(""https://docs.google.com/spreadsheets/d/14Bd19lYaqBhU8_DElYkX7l4wRkHqqCUFNJY4AfY3kHU/edit?usp=sharing  #gid=0"",""фіз особи new!relations_name""),6,FALSE)
,
(IF
(
C15296=""юридична особа""
,
VLOO"&amp;"KUP(D15296,IMPORTRANGE(""https://docs.google.com/spreadsheets/d/14Bd19lYaqBhU8_DElYkX7l4wRkHqqCUFNJY4AfY3kHU/edit?usp=sharing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5" s="7" t="s">
        <v>10</v>
      </c>
      <c r="H15295" s="7">
        <v>0</v>
      </c>
      <c r="I15295" s="8" t="str">
        <f ca="1">IFERROR(__xludf.DUMMYFUNCTION("IF
(
G15296=""фізична особа""
,
VLOOKUP(H15296,IMPORTRANGE(""https://docs.google.com/spreadsheets/d/14Bd19lYaqBhU8_DElYkX7l4wRkHqqCUFNJY4AfY3kHU/edit?usp=sharing  #gid=0"",""фіз особи new!relations_name""),6,FALSE)
,
(IF
(
G15296=""юридична особа""
,
VLOO"&amp;"KUP(H15296,IMPORTRANGE(""https://docs.google.com/spreadsheets/d/14Bd19lYaqBhU8_DElYkX7l4wRkHqqCUFNJY4AfY3kHU/edit?usp=sharing  #gid=0"",""фіз особи new!relations_name_uo""),7,FALSE)
,
)
))"),"#N/A")</f>
        <v>#N/A</v>
      </c>
      <c r="J15295" s="7" t="s">
        <v>23</v>
      </c>
    </row>
    <row r="15296" spans="1:10" ht="13.2">
      <c r="A15296" s="7">
        <v>15295</v>
      </c>
      <c r="B15296" s="7">
        <v>1</v>
      </c>
      <c r="C15296" s="7" t="s">
        <v>10</v>
      </c>
      <c r="D15296" s="7">
        <v>19571</v>
      </c>
      <c r="E15296" s="7" t="s">
        <v>23</v>
      </c>
      <c r="F15296" s="8" t="str">
        <f ca="1">IFERROR(__xludf.DUMMYFUNCTION("IF
(
C15297=""фізична особа""
,
VLOOKUP(D15297,IMPORTRANGE(""https://docs.google.com/spreadsheets/d/14Bd19lYaqBhU8_DElYkX7l4wRkHqqCUFNJY4AfY3kHU/edit?usp=sharing  #gid=0"",""фіз особи new!relations_name""),6,FALSE)
,
(IF
(
C15297=""юридична особа""
,
VLOO"&amp;"KUP(D15297,IMPORTRANGE(""https://docs.google.com/spreadsheets/d/14Bd19lYaqBhU8_DElYkX7l4wRkHqqCUFNJY4AfY3kHU/edit?usp=sharing  #gid=0"",""фіз особи new!relations_name_uo""),7,FALSE)
,
)
))"),"КАПЛАН Олександр Йосипович")</f>
        <v>КАПЛАН Олександр Йосипович</v>
      </c>
      <c r="G15296" s="7" t="s">
        <v>10</v>
      </c>
      <c r="H15296" s="7">
        <v>359</v>
      </c>
      <c r="I15296" s="8" t="str">
        <f ca="1">IFERROR(__xludf.DUMMYFUNCTION("IF
(
G15297=""фізична особа""
,
VLOOKUP(H15297,IMPORTRANGE(""https://docs.google.com/spreadsheets/d/14Bd19lYaqBhU8_DElYkX7l4wRkHqqCUFNJY4AfY3kHU/edit?usp=sharing  #gid=0"",""фіз особи new!relations_name""),6,FALSE)
,
(IF
(
G15297=""юридична особа""
,
VLOO"&amp;"KUP(H15297,IMPORTRANGE(""https://docs.google.com/spreadsheets/d/14Bd19lYaqBhU8_DElYkX7l4wRkHqqCUFNJY4AfY3kHU/edit?usp=sharing  #gid=0"",""фіз особи new!relations_name_uo""),7,FALSE)
,
)
))"),"ХАН Герман Борисович")</f>
        <v>ХАН Герман Борисович</v>
      </c>
      <c r="J15296" s="7" t="s">
        <v>23</v>
      </c>
    </row>
    <row r="15297" spans="1:10" ht="13.2">
      <c r="A15297" s="7">
        <v>15296</v>
      </c>
      <c r="B15297" s="7">
        <v>1</v>
      </c>
      <c r="C15297" s="7" t="s">
        <v>10</v>
      </c>
      <c r="D15297" s="7">
        <v>19572</v>
      </c>
      <c r="E15297" s="7" t="s">
        <v>23</v>
      </c>
      <c r="F15297" s="8" t="str">
        <f ca="1">IFERROR(__xludf.DUMMYFUNCTION("IF
(
C15298=""фізична особа""
,
VLOOKUP(D15298,IMPORTRANGE(""https://docs.google.com/spreadsheets/d/14Bd19lYaqBhU8_DElYkX7l4wRkHqqCUFNJY4AfY3kHU/edit?usp=sharing  #gid=0"",""фіз особи new!relations_name""),6,FALSE)
,
(IF
(
C15298=""юридична особа""
,
VLOO"&amp;"KUP(D15298,IMPORTRANGE(""https://docs.google.com/spreadsheets/d/14Bd19lYaqBhU8_DElYkX7l4wRkHqqCUFNJY4AfY3kHU/edit?usp=sharing  #gid=0"",""фіз особи new!relations_name_uo""),7,FALSE)
,
)
))"),"ПАПУКАШВІЛІ Тамара Валікоївна")</f>
        <v>ПАПУКАШВІЛІ Тамара Валікоївна</v>
      </c>
      <c r="G15297" s="7" t="s">
        <v>10</v>
      </c>
      <c r="H15297" s="7">
        <v>23714</v>
      </c>
      <c r="I15297" s="8" t="str">
        <f ca="1">IFERROR(__xludf.DUMMYFUNCTION("IF
(
G15298=""фізична особа""
,
VLOOKUP(H15298,IMPORTRANGE(""https://docs.google.com/spreadsheets/d/14Bd19lYaqBhU8_DElYkX7l4wRkHqqCUFNJY4AfY3kHU/edit?usp=sharing  #gid=0"",""фіз особи new!relations_name""),6,FALSE)
,
(IF
(
G15298=""юридична особа""
,
VLOO"&amp;"KUP(H15298,IMPORTRANGE(""https://docs.google.com/spreadsheets/d/14Bd19lYaqBhU8_DElYkX7l4wRkHqqCUFNJY4AfY3kHU/edit?usp=sharing  #gid=0"",""фіз особи new!relations_name_uo""),7,FALSE)
,
)
))"),"СОСУНОВА Ельнара Саярівна")</f>
        <v>СОСУНОВА Ельнара Саярівна</v>
      </c>
      <c r="J15297" s="7" t="s">
        <v>23</v>
      </c>
    </row>
    <row r="15298" spans="1:10" ht="13.2">
      <c r="A15298" s="7">
        <v>15297</v>
      </c>
      <c r="B15298" s="7">
        <v>1</v>
      </c>
      <c r="C15298" s="7" t="s">
        <v>10</v>
      </c>
      <c r="D15298" s="7">
        <v>19573</v>
      </c>
      <c r="E15298" s="7" t="s">
        <v>23</v>
      </c>
      <c r="F15298" s="8" t="str">
        <f ca="1">IFERROR(__xludf.DUMMYFUNCTION("IF
(
C15299=""фізична особа""
,
VLOOKUP(D15299,IMPORTRANGE(""https://docs.google.com/spreadsheets/d/14Bd19lYaqBhU8_DElYkX7l4wRkHqqCUFNJY4AfY3kHU/edit?usp=sharing  #gid=0"",""фіз особи new!relations_name""),6,FALSE)
,
(IF
(
C15299=""юридична особа""
,
VLOO"&amp;"KUP(D15299,IMPORTRANGE(""https://docs.google.com/spreadsheets/d/14Bd19lYaqBhU8_DElYkX7l4wRkHqqCUFNJY4AfY3kHU/edit?usp=sharing  #gid=0"",""фіз особи new!relations_name_uo""),7,FALSE)
,
)
))"),"ВЕРБЕНЧУК Юрій Юрійович")</f>
        <v>ВЕРБЕНЧУК Юрій Юрійович</v>
      </c>
      <c r="G15298" s="7" t="s">
        <v>10</v>
      </c>
      <c r="H15298" s="7">
        <v>23714</v>
      </c>
      <c r="I15298" s="8" t="str">
        <f ca="1">IFERROR(__xludf.DUMMYFUNCTION("IF
(
G15299=""фізична особа""
,
VLOOKUP(H15299,IMPORTRANGE(""https://docs.google.com/spreadsheets/d/14Bd19lYaqBhU8_DElYkX7l4wRkHqqCUFNJY4AfY3kHU/edit?usp=sharing  #gid=0"",""фіз особи new!relations_name""),6,FALSE)
,
(IF
(
G15299=""юридична особа""
,
VLOO"&amp;"KUP(H15299,IMPORTRANGE(""https://docs.google.com/spreadsheets/d/14Bd19lYaqBhU8_DElYkX7l4wRkHqqCUFNJY4AfY3kHU/edit?usp=sharing  #gid=0"",""фіз особи new!relations_name_uo""),7,FALSE)
,
)
))"),"СОСУНОВА Ельнара Саярівна")</f>
        <v>СОСУНОВА Ельнара Саярівна</v>
      </c>
      <c r="J15298" s="7" t="s">
        <v>23</v>
      </c>
    </row>
    <row r="15299" spans="1:10" ht="13.2">
      <c r="A15299" s="7">
        <v>15298</v>
      </c>
      <c r="B15299" s="7">
        <v>1</v>
      </c>
      <c r="C15299" s="7" t="s">
        <v>10</v>
      </c>
      <c r="D15299" s="7">
        <v>19573</v>
      </c>
      <c r="E15299" s="7" t="s">
        <v>23</v>
      </c>
      <c r="F15299" s="8" t="str">
        <f ca="1">IFERROR(__xludf.DUMMYFUNCTION("IF
(
C15300=""фізична особа""
,
VLOOKUP(D15300,IMPORTRANGE(""https://docs.google.com/spreadsheets/d/14Bd19lYaqBhU8_DElYkX7l4wRkHqqCUFNJY4AfY3kHU/edit?usp=sharing  #gid=0"",""фіз особи new!relations_name""),6,FALSE)
,
(IF
(
C15300=""юридична особа""
,
VLOO"&amp;"KUP(D15300,IMPORTRANGE(""https://docs.google.com/spreadsheets/d/14Bd19lYaqBhU8_DElYkX7l4wRkHqqCUFNJY4AfY3kHU/edit?usp=sharing  #gid=0"",""фіз особи new!relations_name_uo""),7,FALSE)
,
)
))"),"ВЕРБЕНЧУК Юрій Юрійович")</f>
        <v>ВЕРБЕНЧУК Юрій Юрійович</v>
      </c>
      <c r="G15299" s="7" t="s">
        <v>10</v>
      </c>
      <c r="H15299" s="7">
        <v>19570</v>
      </c>
      <c r="I15299" s="8" t="str">
        <f ca="1">IFERROR(__xludf.DUMMYFUNCTION("IF
(
G15300=""фізична особа""
,
VLOOKUP(H15300,IMPORTRANGE(""https://docs.google.com/spreadsheets/d/14Bd19lYaqBhU8_DElYkX7l4wRkHqqCUFNJY4AfY3kHU/edit?usp=sharing  #gid=0"",""фіз особи new!relations_name""),6,FALSE)
,
(IF
(
G15300=""юридична особа""
,
VLOO"&amp;"KUP(H15300,IMPORTRANGE(""https://docs.google.com/spreadsheets/d/14Bd19lYaqBhU8_DElYkX7l4wRkHqqCUFNJY4AfY3kHU/edit?usp=sharing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J15299" s="7" t="s">
        <v>23</v>
      </c>
    </row>
    <row r="15300" spans="1:10" ht="13.2">
      <c r="A15300" s="7">
        <v>15299</v>
      </c>
      <c r="B15300" s="7">
        <v>1</v>
      </c>
      <c r="C15300" s="7" t="s">
        <v>10</v>
      </c>
      <c r="D15300" s="7">
        <v>19574</v>
      </c>
      <c r="E15300" s="7" t="s">
        <v>65</v>
      </c>
      <c r="F15300" s="8" t="str">
        <f ca="1">IFERROR(__xludf.DUMMYFUNCTION("IF
(
C15301=""фізична особа""
,
VLOOKUP(D15301,IMPORTRANGE(""https://docs.google.com/spreadsheets/d/14Bd19lYaqBhU8_DElYkX7l4wRkHqqCUFNJY4AfY3kHU/edit?usp=sharing  #gid=0"",""фіз особи new!relations_name""),6,FALSE)
,
(IF
(
C15301=""юридична особа""
,
VLOO"&amp;"KUP(D15301,IMPORTRANGE(""https://docs.google.com/spreadsheets/d/14Bd19lYaqBhU8_DElYkX7l4wRkHqqCUFNJY4AfY3kHU/edit?usp=sharing  #gid=0"",""фіз особи new!relations_name_uo""),7,FALSE)
,
)
))"),"СОКУРОВ Алім Олегович")</f>
        <v>СОКУРОВ Алім Олегович</v>
      </c>
      <c r="G15300" s="7" t="s">
        <v>10</v>
      </c>
      <c r="H15300" s="7">
        <v>0</v>
      </c>
      <c r="I15300" s="8" t="str">
        <f ca="1">IFERROR(__xludf.DUMMYFUNCTION("IF
(
G15301=""фізична особа""
,
VLOOKUP(H15301,IMPORTRANGE(""https://docs.google.com/spreadsheets/d/14Bd19lYaqBhU8_DElYkX7l4wRkHqqCUFNJY4AfY3kHU/edit?usp=sharing  #gid=0"",""фіз особи new!relations_name""),6,FALSE)
,
(IF
(
G15301=""юридична особа""
,
VLOO"&amp;"KUP(H15301,IMPORTRANGE(""https://docs.google.com/spreadsheets/d/14Bd19lYaqBhU8_DElYkX7l4wRkHqqCUFNJY4AfY3kHU/edit?usp=sharing  #gid=0"",""фіз особи new!relations_name_uo""),7,FALSE)
,
)
))"),"#N/A")</f>
        <v>#N/A</v>
      </c>
      <c r="J15300" s="7" t="s">
        <v>65</v>
      </c>
    </row>
    <row r="15301" spans="1:10" ht="13.2">
      <c r="A15301" s="7">
        <v>15300</v>
      </c>
      <c r="B15301" s="7">
        <v>1</v>
      </c>
      <c r="C15301" s="7" t="s">
        <v>10</v>
      </c>
      <c r="D15301" s="7">
        <v>19575</v>
      </c>
      <c r="E15301" s="7" t="s">
        <v>23</v>
      </c>
      <c r="F15301" s="8" t="str">
        <f ca="1">IFERROR(__xludf.DUMMYFUNCTION("IF
(
C15302=""фізична особа""
,
VLOOKUP(D15302,IMPORTRANGE(""https://docs.google.com/spreadsheets/d/14Bd19lYaqBhU8_DElYkX7l4wRkHqqCUFNJY4AfY3kHU/edit?usp=sharing  #gid=0"",""фіз особи new!relations_name""),6,FALSE)
,
(IF
(
C15302=""юридична особа""
,
VLOO"&amp;"KUP(D15302,IMPORTRANGE(""https://docs.google.com/spreadsheets/d/14Bd19lYaqBhU8_DElYkX7l4wRkHqqCUFNJY4AfY3kHU/edit?usp=sharing  #gid=0"",""фіз особи new!relations_name_uo""),7,FALSE)
,
)
))"),"ПЕЛИХ Таїсія Сергіївна")</f>
        <v>ПЕЛИХ Таїсія Сергіївна</v>
      </c>
      <c r="G15301" s="7" t="s">
        <v>10</v>
      </c>
      <c r="H15301" s="7">
        <v>19582</v>
      </c>
      <c r="I15301" s="8" t="str">
        <f ca="1">IFERROR(__xludf.DUMMYFUNCTION("IF
(
G15302=""фізична особа""
,
VLOOKUP(H15302,IMPORTRANGE(""https://docs.google.com/spreadsheets/d/14Bd19lYaqBhU8_DElYkX7l4wRkHqqCUFNJY4AfY3kHU/edit?usp=sharing  #gid=0"",""фіз особи new!relations_name""),6,FALSE)
,
(IF
(
G15302=""юридична особа""
,
VLOO"&amp;"KUP(H15302,IMPORTRANGE(""https://docs.google.com/spreadsheets/d/14Bd19lYaqBhU8_DElYkX7l4wRkHqqCUFNJY4AfY3kHU/edit?usp=sharing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01" s="7" t="s">
        <v>23</v>
      </c>
    </row>
    <row r="15302" spans="1:10" ht="13.2">
      <c r="A15302" s="7">
        <v>15301</v>
      </c>
      <c r="B15302" s="7">
        <v>1</v>
      </c>
      <c r="C15302" s="7" t="s">
        <v>10</v>
      </c>
      <c r="D15302" s="7">
        <v>19576</v>
      </c>
      <c r="E15302" s="7" t="s">
        <v>23</v>
      </c>
      <c r="F15302" s="8" t="str">
        <f ca="1">IFERROR(__xludf.DUMMYFUNCTION("IF
(
C15303=""фізична особа""
,
VLOOKUP(D15303,IMPORTRANGE(""https://docs.google.com/spreadsheets/d/14Bd19lYaqBhU8_DElYkX7l4wRkHqqCUFNJY4AfY3kHU/edit?usp=sharing  #gid=0"",""фіз особи new!relations_name""),6,FALSE)
,
(IF
(
C15303=""юридична особа""
,
VLOO"&amp;"KUP(D15303,IMPORTRANGE(""https://docs.google.com/spreadsheets/d/14Bd19lYaqBhU8_DElYkX7l4wRkHqqCUFNJY4AfY3kHU/edit?usp=sharing  #gid=0"",""фіз особи new!relations_name_uo""),7,FALSE)
,
)
))"),"ТАБУХОВ Заудін Юрійович")</f>
        <v>ТАБУХОВ Заудін Юрійович</v>
      </c>
      <c r="G15302" s="7" t="s">
        <v>10</v>
      </c>
      <c r="H15302" s="7">
        <v>19582</v>
      </c>
      <c r="I15302" s="8" t="str">
        <f ca="1">IFERROR(__xludf.DUMMYFUNCTION("IF
(
G15303=""фізична особа""
,
VLOOKUP(H15303,IMPORTRANGE(""https://docs.google.com/spreadsheets/d/14Bd19lYaqBhU8_DElYkX7l4wRkHqqCUFNJY4AfY3kHU/edit?usp=sharing  #gid=0"",""фіз особи new!relations_name""),6,FALSE)
,
(IF
(
G15303=""юридична особа""
,
VLOO"&amp;"KUP(H15303,IMPORTRANGE(""https://docs.google.com/spreadsheets/d/14Bd19lYaqBhU8_DElYkX7l4wRkHqqCUFNJY4AfY3kHU/edit?usp=sharing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02" s="7" t="s">
        <v>23</v>
      </c>
    </row>
    <row r="15303" spans="1:10" ht="13.2">
      <c r="A15303" s="7">
        <v>15302</v>
      </c>
      <c r="B15303" s="7">
        <v>1</v>
      </c>
      <c r="C15303" s="7" t="s">
        <v>10</v>
      </c>
      <c r="D15303" s="7">
        <v>19577</v>
      </c>
      <c r="E15303" s="7" t="s">
        <v>23</v>
      </c>
      <c r="F15303" s="8" t="str">
        <f ca="1">IFERROR(__xludf.DUMMYFUNCTION("IF
(
C15304=""фізична особа""
,
VLOOKUP(D15304,IMPORTRANGE(""https://docs.google.com/spreadsheets/d/14Bd19lYaqBhU8_DElYkX7l4wRkHqqCUFNJY4AfY3kHU/edit?usp=sharing  #gid=0"",""фіз особи new!relations_name""),6,FALSE)
,
(IF
(
C15304=""юридична особа""
,
VLOO"&amp;"KUP(D15304,IMPORTRANGE(""https://docs.google.com/spreadsheets/d/14Bd19lYaqBhU8_DElYkX7l4wRkHqqCUFNJY4AfY3kHU/edit?usp=sharing  #gid=0"",""фіз особи new!relations_name_uo""),7,FALSE)
,
)
))"),"ФІРОВ Альберт Ісуфович")</f>
        <v>ФІРОВ Альберт Ісуфович</v>
      </c>
      <c r="G15303" s="7" t="s">
        <v>10</v>
      </c>
      <c r="H15303" s="7">
        <v>0</v>
      </c>
      <c r="I15303" s="8" t="str">
        <f ca="1">IFERROR(__xludf.DUMMYFUNCTION("IF
(
G15304=""фізична особа""
,
VLOOKUP(H15304,IMPORTRANGE(""https://docs.google.com/spreadsheets/d/14Bd19lYaqBhU8_DElYkX7l4wRkHqqCUFNJY4AfY3kHU/edit?usp=sharing  #gid=0"",""фіз особи new!relations_name""),6,FALSE)
,
(IF
(
G15304=""юридична особа""
,
VLOO"&amp;"KUP(H15304,IMPORTRANGE(""https://docs.google.com/spreadsheets/d/14Bd19lYaqBhU8_DElYkX7l4wRkHqqCUFNJY4AfY3kHU/edit?usp=sharing  #gid=0"",""фіз особи new!relations_name_uo""),7,FALSE)
,
)
))"),"#N/A")</f>
        <v>#N/A</v>
      </c>
      <c r="J15303" s="7" t="s">
        <v>23</v>
      </c>
    </row>
    <row r="15304" spans="1:10" ht="13.2">
      <c r="A15304" s="7">
        <v>15303</v>
      </c>
      <c r="B15304" s="7">
        <v>1</v>
      </c>
      <c r="C15304" s="7" t="s">
        <v>10</v>
      </c>
      <c r="D15304" s="7">
        <v>19577</v>
      </c>
      <c r="E15304" s="7" t="s">
        <v>23</v>
      </c>
      <c r="F15304" s="8" t="str">
        <f ca="1">IFERROR(__xludf.DUMMYFUNCTION("IF
(
C15305=""фізична особа""
,
VLOOKUP(D15305,IMPORTRANGE(""https://docs.google.com/spreadsheets/d/14Bd19lYaqBhU8_DElYkX7l4wRkHqqCUFNJY4AfY3kHU/edit?usp=sharing  #gid=0"",""фіз особи new!relations_name""),6,FALSE)
,
(IF
(
C15305=""юридична особа""
,
VLOO"&amp;"KUP(D15305,IMPORTRANGE(""https://docs.google.com/spreadsheets/d/14Bd19lYaqBhU8_DElYkX7l4wRkHqqCUFNJY4AfY3kHU/edit?usp=sharing  #gid=0"",""фіз особи new!relations_name_uo""),7,FALSE)
,
)
))"),"ФІРОВ Альберт Ісуфович")</f>
        <v>ФІРОВ Альберт Ісуфович</v>
      </c>
      <c r="G15304" s="7" t="s">
        <v>10</v>
      </c>
      <c r="H15304" s="7">
        <v>0</v>
      </c>
      <c r="I15304" s="8" t="str">
        <f ca="1">IFERROR(__xludf.DUMMYFUNCTION("IF
(
G15305=""фізична особа""
,
VLOOKUP(H15305,IMPORTRANGE(""https://docs.google.com/spreadsheets/d/14Bd19lYaqBhU8_DElYkX7l4wRkHqqCUFNJY4AfY3kHU/edit?usp=sharing  #gid=0"",""фіз особи new!relations_name""),6,FALSE)
,
(IF
(
G15305=""юридична особа""
,
VLOO"&amp;"KUP(H15305,IMPORTRANGE(""https://docs.google.com/spreadsheets/d/14Bd19lYaqBhU8_DElYkX7l4wRkHqqCUFNJY4AfY3kHU/edit?usp=sharing  #gid=0"",""фіз особи new!relations_name_uo""),7,FALSE)
,
)
))"),"#N/A")</f>
        <v>#N/A</v>
      </c>
      <c r="J15304" s="7" t="s">
        <v>23</v>
      </c>
    </row>
    <row r="15305" spans="1:10" ht="13.2">
      <c r="A15305" s="7">
        <v>15304</v>
      </c>
      <c r="B15305" s="7">
        <v>1</v>
      </c>
      <c r="C15305" s="7" t="s">
        <v>10</v>
      </c>
      <c r="D15305" s="7">
        <v>19578</v>
      </c>
      <c r="E15305" s="7" t="s">
        <v>23</v>
      </c>
      <c r="F15305" s="8" t="str">
        <f ca="1">IFERROR(__xludf.DUMMYFUNCTION("IF
(
C15306=""фізична особа""
,
VLOOKUP(D15306,IMPORTRANGE(""https://docs.google.com/spreadsheets/d/14Bd19lYaqBhU8_DElYkX7l4wRkHqqCUFNJY4AfY3kHU/edit?usp=sharing  #gid=0"",""фіз особи new!relations_name""),6,FALSE)
,
(IF
(
C15306=""юридична особа""
,
VLOO"&amp;"KUP(D15306,IMPORTRANGE(""https://docs.google.com/spreadsheets/d/14Bd19lYaqBhU8_DElYkX7l4wRkHqqCUFNJY4AfY3kHU/edit?usp=sharing  #gid=0"",""фіз особи new!relations_name_uo""),7,FALSE)
,
)
))"),"НІКОЛАЄВ Кирил Михайлович")</f>
        <v>НІКОЛАЄВ Кирил Михайлович</v>
      </c>
      <c r="G15305" s="7" t="s">
        <v>10</v>
      </c>
      <c r="H15305" s="7">
        <v>19582</v>
      </c>
      <c r="I15305" s="8" t="str">
        <f ca="1">IFERROR(__xludf.DUMMYFUNCTION("IF
(
G15306=""фізична особа""
,
VLOOKUP(H15306,IMPORTRANGE(""https://docs.google.com/spreadsheets/d/14Bd19lYaqBhU8_DElYkX7l4wRkHqqCUFNJY4AfY3kHU/edit?usp=sharing  #gid=0"",""фіз особи new!relations_name""),6,FALSE)
,
(IF
(
G15306=""юридична особа""
,
VLOO"&amp;"KUP(H15306,IMPORTRANGE(""https://docs.google.com/spreadsheets/d/14Bd19lYaqBhU8_DElYkX7l4wRkHqqCUFNJY4AfY3kHU/edit?usp=sharing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05" s="7" t="s">
        <v>23</v>
      </c>
    </row>
    <row r="15306" spans="1:10" ht="13.2">
      <c r="A15306" s="7">
        <v>15305</v>
      </c>
      <c r="B15306" s="7">
        <v>1</v>
      </c>
      <c r="C15306" s="7" t="s">
        <v>10</v>
      </c>
      <c r="D15306" s="7">
        <v>19579</v>
      </c>
      <c r="E15306" s="7" t="s">
        <v>23</v>
      </c>
      <c r="F15306" s="8" t="str">
        <f ca="1">IFERROR(__xludf.DUMMYFUNCTION("IF
(
C15307=""фізична особа""
,
VLOOKUP(D15307,IMPORTRANGE(""https://docs.google.com/spreadsheets/d/14Bd19lYaqBhU8_DElYkX7l4wRkHqqCUFNJY4AfY3kHU/edit?usp=sharing  #gid=0"",""фіз особи new!relations_name""),6,FALSE)
,
(IF
(
C15307=""юридична особа""
,
VLOO"&amp;"KUP(D15307,IMPORTRANGE(""https://docs.google.com/spreadsheets/d/14Bd19lYaqBhU8_DElYkX7l4wRkHqqCUFNJY4AfY3kHU/edit?usp=sharing  #gid=0"",""фіз особи new!relations_name_uo""),7,FALSE)
,
)
))"),"АТЛАСКЕРОВ Казбек Михайлович")</f>
        <v>АТЛАСКЕРОВ Казбек Михайлович</v>
      </c>
      <c r="G15306" s="7" t="s">
        <v>10</v>
      </c>
      <c r="H15306" s="7">
        <v>19570</v>
      </c>
      <c r="I15306" s="8" t="str">
        <f ca="1">IFERROR(__xludf.DUMMYFUNCTION("IF
(
G15307=""фізична особа""
,
VLOOKUP(H15307,IMPORTRANGE(""https://docs.google.com/spreadsheets/d/14Bd19lYaqBhU8_DElYkX7l4wRkHqqCUFNJY4AfY3kHU/edit?usp=sharing  #gid=0"",""фіз особи new!relations_name""),6,FALSE)
,
(IF
(
G15307=""юридична особа""
,
VLOO"&amp;"KUP(H15307,IMPORTRANGE(""https://docs.google.com/spreadsheets/d/14Bd19lYaqBhU8_DElYkX7l4wRkHqqCUFNJY4AfY3kHU/edit?usp=sharing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J15306" s="7" t="s">
        <v>23</v>
      </c>
    </row>
    <row r="15307" spans="1:10" ht="13.2">
      <c r="A15307" s="7">
        <v>15306</v>
      </c>
      <c r="B15307" s="7">
        <v>1</v>
      </c>
      <c r="C15307" s="7" t="s">
        <v>10</v>
      </c>
      <c r="D15307" s="7">
        <v>19580</v>
      </c>
      <c r="E15307" s="7" t="s">
        <v>23</v>
      </c>
      <c r="F15307" s="8" t="str">
        <f ca="1">IFERROR(__xludf.DUMMYFUNCTION("IF
(
C15308=""фізична особа""
,
VLOOKUP(D15308,IMPORTRANGE(""https://docs.google.com/spreadsheets/d/14Bd19lYaqBhU8_DElYkX7l4wRkHqqCUFNJY4AfY3kHU/edit?usp=sharing  #gid=0"",""фіз особи new!relations_name""),6,FALSE)
,
(IF
(
C15308=""юридична особа""
,
VLOO"&amp;"KUP(D15308,IMPORTRANGE(""https://docs.google.com/spreadsheets/d/14Bd19lYaqBhU8_DElYkX7l4wRkHqqCUFNJY4AfY3kHU/edit?usp=sharing  #gid=0"",""фіз особи new!relations_name_uo""),7,FALSE)
,
)
))"),"ЖУКОВ Григорій Іванович")</f>
        <v>ЖУКОВ Григорій Іванович</v>
      </c>
      <c r="G15307" s="7" t="s">
        <v>10</v>
      </c>
      <c r="H15307" s="7">
        <v>19570</v>
      </c>
      <c r="I15307" s="8" t="str">
        <f ca="1">IFERROR(__xludf.DUMMYFUNCTION("IF
(
G15308=""фізична особа""
,
VLOOKUP(H15308,IMPORTRANGE(""https://docs.google.com/spreadsheets/d/14Bd19lYaqBhU8_DElYkX7l4wRkHqqCUFNJY4AfY3kHU/edit?usp=sharing  #gid=0"",""фіз особи new!relations_name""),6,FALSE)
,
(IF
(
G15308=""юридична особа""
,
VLOO"&amp;"KUP(H15308,IMPORTRANGE(""https://docs.google.com/spreadsheets/d/14Bd19lYaqBhU8_DElYkX7l4wRkHqqCUFNJY4AfY3kHU/edit?usp=sharing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J15307" s="7" t="s">
        <v>23</v>
      </c>
    </row>
    <row r="15308" spans="1:10" ht="13.2">
      <c r="A15308" s="7">
        <v>15307</v>
      </c>
      <c r="B15308" s="7">
        <v>1</v>
      </c>
      <c r="C15308" s="7" t="s">
        <v>10</v>
      </c>
      <c r="D15308" s="7">
        <v>19581</v>
      </c>
      <c r="E15308" s="7" t="s">
        <v>23</v>
      </c>
      <c r="F15308" s="8" t="str">
        <f ca="1">IFERROR(__xludf.DUMMYFUNCTION("IF
(
C15309=""фізична особа""
,
VLOOKUP(D15309,IMPORTRANGE(""https://docs.google.com/spreadsheets/d/14Bd19lYaqBhU8_DElYkX7l4wRkHqqCUFNJY4AfY3kHU/edit?usp=sharing  #gid=0"",""фіз особи new!relations_name""),6,FALSE)
,
(IF
(
C15309=""юридична особа""
,
VLOO"&amp;"KUP(D15309,IMPORTRANGE(""https://docs.google.com/spreadsheets/d/14Bd19lYaqBhU8_DElYkX7l4wRkHqqCUFNJY4AfY3kHU/edit?usp=sharing  #gid=0"",""фіз особи new!relations_name_uo""),7,FALSE)
,
)
))"),"ЯГУДАЄВ Юрій Вячеславович")</f>
        <v>ЯГУДАЄВ Юрій Вячеславович</v>
      </c>
      <c r="G15308" s="7" t="s">
        <v>10</v>
      </c>
      <c r="H15308" s="7">
        <v>19570</v>
      </c>
      <c r="I15308" s="8" t="str">
        <f ca="1">IFERROR(__xludf.DUMMYFUNCTION("IF
(
G15309=""фізична особа""
,
VLOOKUP(H15309,IMPORTRANGE(""https://docs.google.com/spreadsheets/d/14Bd19lYaqBhU8_DElYkX7l4wRkHqqCUFNJY4AfY3kHU/edit?usp=sharing  #gid=0"",""фіз особи new!relations_name""),6,FALSE)
,
(IF
(
G15309=""юридична особа""
,
VLOO"&amp;"KUP(H15309,IMPORTRANGE(""https://docs.google.com/spreadsheets/d/14Bd19lYaqBhU8_DElYkX7l4wRkHqqCUFNJY4AfY3kHU/edit?usp=sharing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J15308" s="7" t="s">
        <v>23</v>
      </c>
    </row>
    <row r="15309" spans="1:10" ht="13.2">
      <c r="A15309" s="7">
        <v>15308</v>
      </c>
      <c r="B15309" s="7">
        <v>1</v>
      </c>
      <c r="C15309" s="7" t="s">
        <v>10</v>
      </c>
      <c r="D15309" s="7">
        <v>19581</v>
      </c>
      <c r="E15309" s="7" t="s">
        <v>23</v>
      </c>
      <c r="F15309" s="8" t="str">
        <f ca="1">IFERROR(__xludf.DUMMYFUNCTION("IF
(
C15310=""фізична особа""
,
VLOOKUP(D15310,IMPORTRANGE(""https://docs.google.com/spreadsheets/d/14Bd19lYaqBhU8_DElYkX7l4wRkHqqCUFNJY4AfY3kHU/edit?usp=sharing  #gid=0"",""фіз особи new!relations_name""),6,FALSE)
,
(IF
(
C15310=""юридична особа""
,
VLOO"&amp;"KUP(D15310,IMPORTRANGE(""https://docs.google.com/spreadsheets/d/14Bd19lYaqBhU8_DElYkX7l4wRkHqqCUFNJY4AfY3kHU/edit?usp=sharing  #gid=0"",""фіз особи new!relations_name_uo""),7,FALSE)
,
)
))"),"ЯГУДАЄВ Юрій Вячеславович")</f>
        <v>ЯГУДАЄВ Юрій Вячеславович</v>
      </c>
      <c r="G15309" s="7" t="s">
        <v>10</v>
      </c>
      <c r="H15309" s="7">
        <v>0</v>
      </c>
      <c r="I15309" s="8" t="str">
        <f ca="1">IFERROR(__xludf.DUMMYFUNCTION("IF
(
G15310=""фізична особа""
,
VLOOKUP(H15310,IMPORTRANGE(""https://docs.google.com/spreadsheets/d/14Bd19lYaqBhU8_DElYkX7l4wRkHqqCUFNJY4AfY3kHU/edit?usp=sharing  #gid=0"",""фіз особи new!relations_name""),6,FALSE)
,
(IF
(
G15310=""юридична особа""
,
VLOO"&amp;"KUP(H15310,IMPORTRANGE(""https://docs.google.com/spreadsheets/d/14Bd19lYaqBhU8_DElYkX7l4wRkHqqCUFNJY4AfY3kHU/edit?usp=sharing  #gid=0"",""фіз особи new!relations_name_uo""),7,FALSE)
,
)
))"),"#N/A")</f>
        <v>#N/A</v>
      </c>
      <c r="J15309" s="7" t="s">
        <v>23</v>
      </c>
    </row>
    <row r="15310" spans="1:10" ht="13.2">
      <c r="A15310" s="7">
        <v>15309</v>
      </c>
      <c r="B15310" s="7">
        <v>1</v>
      </c>
      <c r="C15310" s="7" t="s">
        <v>10</v>
      </c>
      <c r="D15310" s="7">
        <v>19581</v>
      </c>
      <c r="E15310" s="7" t="s">
        <v>23</v>
      </c>
      <c r="F15310" s="8" t="str">
        <f ca="1">IFERROR(__xludf.DUMMYFUNCTION("IF
(
C15311=""фізична особа""
,
VLOOKUP(D15311,IMPORTRANGE(""https://docs.google.com/spreadsheets/d/14Bd19lYaqBhU8_DElYkX7l4wRkHqqCUFNJY4AfY3kHU/edit?usp=sharing  #gid=0"",""фіз особи new!relations_name""),6,FALSE)
,
(IF
(
C15311=""юридична особа""
,
VLOO"&amp;"KUP(D15311,IMPORTRANGE(""https://docs.google.com/spreadsheets/d/14Bd19lYaqBhU8_DElYkX7l4wRkHqqCUFNJY4AfY3kHU/edit?usp=sharing  #gid=0"",""фіз особи new!relations_name_uo""),7,FALSE)
,
)
))"),"ЯГУДАЄВ Юрій Вячеславович")</f>
        <v>ЯГУДАЄВ Юрій Вячеславович</v>
      </c>
      <c r="G15310" s="7" t="s">
        <v>10</v>
      </c>
      <c r="H15310" s="7">
        <v>0</v>
      </c>
      <c r="I15310" s="8" t="str">
        <f ca="1">IFERROR(__xludf.DUMMYFUNCTION("IF
(
G15311=""фізична особа""
,
VLOOKUP(H15311,IMPORTRANGE(""https://docs.google.com/spreadsheets/d/14Bd19lYaqBhU8_DElYkX7l4wRkHqqCUFNJY4AfY3kHU/edit?usp=sharing  #gid=0"",""фіз особи new!relations_name""),6,FALSE)
,
(IF
(
G15311=""юридична особа""
,
VLOO"&amp;"KUP(H15311,IMPORTRANGE(""https://docs.google.com/spreadsheets/d/14Bd19lYaqBhU8_DElYkX7l4wRkHqqCUFNJY4AfY3kHU/edit?usp=sharing  #gid=0"",""фіз особи new!relations_name_uo""),7,FALSE)
,
)
))"),"#N/A")</f>
        <v>#N/A</v>
      </c>
      <c r="J15310" s="7" t="s">
        <v>23</v>
      </c>
    </row>
    <row r="15311" spans="1:10" ht="13.2">
      <c r="A15311" s="7">
        <v>15310</v>
      </c>
      <c r="B15311" s="7">
        <v>1</v>
      </c>
      <c r="C15311" s="7" t="s">
        <v>10</v>
      </c>
      <c r="D15311" s="7">
        <v>19582</v>
      </c>
      <c r="E15311" s="7" t="s">
        <v>23</v>
      </c>
      <c r="F15311" s="8" t="str">
        <f ca="1">IFERROR(__xludf.DUMMYFUNCTION("IF
(
C15312=""фізична особа""
,
VLOOKUP(D15312,IMPORTRANGE(""https://docs.google.com/spreadsheets/d/14Bd19lYaqBhU8_DElYkX7l4wRkHqqCUFNJY4AfY3kHU/edit?usp=sharing  #gid=0"",""фіз особи new!relations_name""),6,FALSE)
,
(IF
(
C15312=""юридична особа""
,
VLOO"&amp;"KUP(D15312,IMPORTRANGE(""https://docs.google.com/spreadsheets/d/14Bd19lYaqBhU8_DElYkX7l4wRkHqqCUFNJY4AfY3kHU/edit?usp=sharing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G15311" s="7" t="s">
        <v>10</v>
      </c>
      <c r="H15311" s="7">
        <v>23714</v>
      </c>
      <c r="I15311" s="8" t="str">
        <f ca="1">IFERROR(__xludf.DUMMYFUNCTION("IF
(
G15312=""фізична особа""
,
VLOOKUP(H15312,IMPORTRANGE(""https://docs.google.com/spreadsheets/d/14Bd19lYaqBhU8_DElYkX7l4wRkHqqCUFNJY4AfY3kHU/edit?usp=sharing  #gid=0"",""фіз особи new!relations_name""),6,FALSE)
,
(IF
(
G15312=""юридична особа""
,
VLOO"&amp;"KUP(H15312,IMPORTRANGE(""https://docs.google.com/spreadsheets/d/14Bd19lYaqBhU8_DElYkX7l4wRkHqqCUFNJY4AfY3kHU/edit?usp=sharing  #gid=0"",""фіз особи new!relations_name_uo""),7,FALSE)
,
)
))"),"СОСУНОВА Ельнара Саярівна")</f>
        <v>СОСУНОВА Ельнара Саярівна</v>
      </c>
      <c r="J15311" s="7" t="s">
        <v>23</v>
      </c>
    </row>
    <row r="15312" spans="1:10" ht="13.2">
      <c r="A15312" s="7">
        <v>15311</v>
      </c>
      <c r="B15312" s="7">
        <v>1</v>
      </c>
      <c r="C15312" s="7" t="s">
        <v>10</v>
      </c>
      <c r="D15312" s="7">
        <v>19582</v>
      </c>
      <c r="E15312" s="7" t="s">
        <v>23</v>
      </c>
      <c r="F15312" s="8" t="str">
        <f ca="1">IFERROR(__xludf.DUMMYFUNCTION("IF
(
C15313=""фізична особа""
,
VLOOKUP(D15313,IMPORTRANGE(""https://docs.google.com/spreadsheets/d/14Bd19lYaqBhU8_DElYkX7l4wRkHqqCUFNJY4AfY3kHU/edit?usp=sharing  #gid=0"",""фіз особи new!relations_name""),6,FALSE)
,
(IF
(
C15313=""юридична особа""
,
VLOO"&amp;"KUP(D15313,IMPORTRANGE(""https://docs.google.com/spreadsheets/d/14Bd19lYaqBhU8_DElYkX7l4wRkHqqCUFNJY4AfY3kHU/edit?usp=sharing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G15312" s="7" t="s">
        <v>10</v>
      </c>
      <c r="H15312" s="7">
        <v>19570</v>
      </c>
      <c r="I15312" s="8" t="str">
        <f ca="1">IFERROR(__xludf.DUMMYFUNCTION("IF
(
G15313=""фізична особа""
,
VLOOKUP(H15313,IMPORTRANGE(""https://docs.google.com/spreadsheets/d/14Bd19lYaqBhU8_DElYkX7l4wRkHqqCUFNJY4AfY3kHU/edit?usp=sharing  #gid=0"",""фіз особи new!relations_name""),6,FALSE)
,
(IF
(
G15313=""юридична особа""
,
VLOO"&amp;"KUP(H15313,IMPORTRANGE(""https://docs.google.com/spreadsheets/d/14Bd19lYaqBhU8_DElYkX7l4wRkHqqCUFNJY4AfY3kHU/edit?usp=sharing  #gid=0"",""фіз особи new!relations_name_uo""),7,FALSE)
,
)
))"),"МАРДАХАЄВ Екман Данилович")</f>
        <v>МАРДАХАЄВ Екман Данилович</v>
      </c>
      <c r="J15312" s="7" t="s">
        <v>23</v>
      </c>
    </row>
    <row r="15313" spans="1:10" ht="13.2">
      <c r="A15313" s="7">
        <v>15312</v>
      </c>
      <c r="B15313" s="7">
        <v>1</v>
      </c>
      <c r="C15313" s="7" t="s">
        <v>10</v>
      </c>
      <c r="D15313" s="7">
        <v>19583</v>
      </c>
      <c r="E15313" s="7" t="s">
        <v>23</v>
      </c>
      <c r="F15313" s="8" t="str">
        <f ca="1">IFERROR(__xludf.DUMMYFUNCTION("IF
(
C15314=""фізична особа""
,
VLOOKUP(D15314,IMPORTRANGE(""https://docs.google.com/spreadsheets/d/14Bd19lYaqBhU8_DElYkX7l4wRkHqqCUFNJY4AfY3kHU/edit?usp=sharing  #gid=0"",""фіз особи new!relations_name""),6,FALSE)
,
(IF
(
C15314=""юридична особа""
,
VLOO"&amp;"KUP(D15314,IMPORTRANGE(""https://docs.google.com/spreadsheets/d/14Bd19lYaqBhU8_DElYkX7l4wRkHqqCUFNJY4AfY3kHU/edit?usp=sharing  #gid=0"",""фіз особи new!relations_name_uo""),7,FALSE)
,
)
))"),"ГЛАДКОВА Наталія Володимирівна")</f>
        <v>ГЛАДКОВА Наталія Володимирівна</v>
      </c>
      <c r="G15313" s="7" t="s">
        <v>10</v>
      </c>
      <c r="H15313" s="7">
        <v>19582</v>
      </c>
      <c r="I15313" s="8" t="str">
        <f ca="1">IFERROR(__xludf.DUMMYFUNCTION("IF
(
G15314=""фізична особа""
,
VLOOKUP(H15314,IMPORTRANGE(""https://docs.google.com/spreadsheets/d/14Bd19lYaqBhU8_DElYkX7l4wRkHqqCUFNJY4AfY3kHU/edit?usp=sharing  #gid=0"",""фіз особи new!relations_name""),6,FALSE)
,
(IF
(
G15314=""юридична особа""
,
VLOO"&amp;"KUP(H15314,IMPORTRANGE(""https://docs.google.com/spreadsheets/d/14Bd19lYaqBhU8_DElYkX7l4wRkHqqCUFNJY4AfY3kHU/edit?usp=sharing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13" s="7" t="s">
        <v>23</v>
      </c>
    </row>
    <row r="15314" spans="1:10" ht="13.2">
      <c r="A15314" s="7">
        <v>15313</v>
      </c>
      <c r="B15314" s="7">
        <v>1</v>
      </c>
      <c r="C15314" s="7" t="s">
        <v>10</v>
      </c>
      <c r="D15314" s="7">
        <v>19584</v>
      </c>
      <c r="E15314" s="7" t="s">
        <v>23</v>
      </c>
      <c r="F15314" s="8" t="str">
        <f ca="1">IFERROR(__xludf.DUMMYFUNCTION("IF
(
C15315=""фізична особа""
,
VLOOKUP(D15315,IMPORTRANGE(""https://docs.google.com/spreadsheets/d/14Bd19lYaqBhU8_DElYkX7l4wRkHqqCUFNJY4AfY3kHU/edit?usp=sharing  #gid=0"",""фіз особи new!relations_name""),6,FALSE)
,
(IF
(
C15315=""юридична особа""
,
VLOO"&amp;"KUP(D15315,IMPORTRANGE(""https://docs.google.com/spreadsheets/d/14Bd19lYaqBhU8_DElYkX7l4wRkHqqCUFNJY4AfY3kHU/edit?usp=sharing  #gid=0"",""фіз особи new!relations_name_uo""),7,FALSE)
,
)
))"),"ДЬЯКОВ Олександр Миколайович")</f>
        <v>ДЬЯКОВ Олександр Миколайович</v>
      </c>
      <c r="G15314" s="7" t="s">
        <v>10</v>
      </c>
      <c r="H15314" s="7">
        <v>19582</v>
      </c>
      <c r="I15314" s="8" t="str">
        <f ca="1">IFERROR(__xludf.DUMMYFUNCTION("IF
(
G15315=""фізична особа""
,
VLOOKUP(H15315,IMPORTRANGE(""https://docs.google.com/spreadsheets/d/14Bd19lYaqBhU8_DElYkX7l4wRkHqqCUFNJY4AfY3kHU/edit?usp=sharing  #gid=0"",""фіз особи new!relations_name""),6,FALSE)
,
(IF
(
G15315=""юридична особа""
,
VLOO"&amp;"KUP(H15315,IMPORTRANGE(""https://docs.google.com/spreadsheets/d/14Bd19lYaqBhU8_DElYkX7l4wRkHqqCUFNJY4AfY3kHU/edit?usp=sharing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14" s="7" t="s">
        <v>23</v>
      </c>
    </row>
    <row r="15315" spans="1:10" ht="13.2">
      <c r="A15315" s="7">
        <v>15314</v>
      </c>
      <c r="B15315" s="7">
        <v>1</v>
      </c>
      <c r="C15315" s="7" t="s">
        <v>10</v>
      </c>
      <c r="D15315" s="7">
        <v>19585</v>
      </c>
      <c r="E15315" s="7" t="s">
        <v>23</v>
      </c>
      <c r="F15315" s="8" t="str">
        <f ca="1">IFERROR(__xludf.DUMMYFUNCTION("IF
(
C15316=""фізична особа""
,
VLOOKUP(D15316,IMPORTRANGE(""https://docs.google.com/spreadsheets/d/14Bd19lYaqBhU8_DElYkX7l4wRkHqqCUFNJY4AfY3kHU/edit?usp=sharing  #gid=0"",""фіз особи new!relations_name""),6,FALSE)
,
(IF
(
C15316=""юридична особа""
,
VLOO"&amp;"KUP(D15316,IMPORTRANGE(""https://docs.google.com/spreadsheets/d/14Bd19lYaqBhU8_DElYkX7l4wRkHqqCUFNJY4AfY3kHU/edit?usp=sharing  #gid=0"",""фіз особи new!relations_name_uo""),7,FALSE)
,
)
))"),"ГЕРАСИМОВА Наталія Миколаївна")</f>
        <v>ГЕРАСИМОВА Наталія Миколаївна</v>
      </c>
      <c r="G15315" s="7" t="s">
        <v>10</v>
      </c>
      <c r="H15315" s="7">
        <v>19582</v>
      </c>
      <c r="I15315" s="8" t="str">
        <f ca="1">IFERROR(__xludf.DUMMYFUNCTION("IF
(
G15316=""фізична особа""
,
VLOOKUP(H15316,IMPORTRANGE(""https://docs.google.com/spreadsheets/d/14Bd19lYaqBhU8_DElYkX7l4wRkHqqCUFNJY4AfY3kHU/edit?usp=sharing  #gid=0"",""фіз особи new!relations_name""),6,FALSE)
,
(IF
(
G15316=""юридична особа""
,
VLOO"&amp;"KUP(H15316,IMPORTRANGE(""https://docs.google.com/spreadsheets/d/14Bd19lYaqBhU8_DElYkX7l4wRkHqqCUFNJY4AfY3kHU/edit?usp=sharing  #gid=0"",""фіз особи new!relations_name_uo""),7,FALSE)
,
)
))"),"ЄГОРОВА Ірина Олександрівна")</f>
        <v>ЄГОРОВА Ірина Олександрівна</v>
      </c>
      <c r="J15315" s="7" t="s">
        <v>23</v>
      </c>
    </row>
    <row r="15316" spans="1:10" ht="13.2">
      <c r="A15316" s="7">
        <v>15315</v>
      </c>
      <c r="B15316" s="7">
        <v>1</v>
      </c>
      <c r="C15316" s="7" t="s">
        <v>10</v>
      </c>
      <c r="D15316" s="7">
        <v>19587</v>
      </c>
      <c r="E15316" s="7" t="s">
        <v>23</v>
      </c>
      <c r="F15316" s="8" t="str">
        <f ca="1">IFERROR(__xludf.DUMMYFUNCTION("IF
(
C15317=""фізична особа""
,
VLOOKUP(D15317,IMPORTRANGE(""https://docs.google.com/spreadsheets/d/14Bd19lYaqBhU8_DElYkX7l4wRkHqqCUFNJY4AfY3kHU/edit?usp=sharing  #gid=0"",""фіз особи new!relations_name""),6,FALSE)
,
(IF
(
C15317=""юридична особа""
,
VLOO"&amp;"KUP(D15317,IMPORTRANGE(""https://docs.google.com/spreadsheets/d/14Bd19lYaqBhU8_DElYkX7l4wRkHqqCUFNJY4AfY3kHU/edit?usp=sharing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16" s="7" t="s">
        <v>10</v>
      </c>
      <c r="H15316" s="7">
        <v>8818</v>
      </c>
      <c r="I15316" s="8" t="str">
        <f ca="1">IFERROR(__xludf.DUMMYFUNCTION("IF
(
G15317=""фізична особа""
,
VLOOKUP(H15317,IMPORTRANGE(""https://docs.google.com/spreadsheets/d/14Bd19lYaqBhU8_DElYkX7l4wRkHqqCUFNJY4AfY3kHU/edit?usp=sharing  #gid=0"",""фіз особи new!relations_name""),6,FALSE)
,
(IF
(
G15317=""юридична особа""
,
VLOO"&amp;"KUP(H15317,IMPORTRANGE(""https://docs.google.com/spreadsheets/d/14Bd19lYaqBhU8_DElYkX7l4wRkHqqCUFNJY4AfY3kHU/edit?usp=sharing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5316" s="7" t="s">
        <v>23</v>
      </c>
    </row>
    <row r="15317" spans="1:10" ht="13.2">
      <c r="A15317" s="7">
        <v>15316</v>
      </c>
      <c r="B15317" s="7">
        <v>1</v>
      </c>
      <c r="C15317" s="7" t="s">
        <v>10</v>
      </c>
      <c r="D15317" s="7">
        <v>19587</v>
      </c>
      <c r="E15317" s="7" t="s">
        <v>18</v>
      </c>
      <c r="F15317" s="8" t="str">
        <f ca="1">IFERROR(__xludf.DUMMYFUNCTION("IF
(
C15318=""фізична особа""
,
VLOOKUP(D15318,IMPORTRANGE(""https://docs.google.com/spreadsheets/d/14Bd19lYaqBhU8_DElYkX7l4wRkHqqCUFNJY4AfY3kHU/edit?usp=sharing  #gid=0"",""фіз особи new!relations_name""),6,FALSE)
,
(IF
(
C15318=""юридична особа""
,
VLOO"&amp;"KUP(D15318,IMPORTRANGE(""https://docs.google.com/spreadsheets/d/14Bd19lYaqBhU8_DElYkX7l4wRkHqqCUFNJY4AfY3kHU/edit?usp=sharing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17" s="7" t="s">
        <v>10</v>
      </c>
      <c r="H15317" s="7">
        <v>13098</v>
      </c>
      <c r="I15317" s="8" t="str">
        <f ca="1">IFERROR(__xludf.DUMMYFUNCTION("IF
(
G15318=""фізична особа""
,
VLOOKUP(H15318,IMPORTRANGE(""https://docs.google.com/spreadsheets/d/14Bd19lYaqBhU8_DElYkX7l4wRkHqqCUFNJY4AfY3kHU/edit?usp=sharing  #gid=0"",""фіз особи new!relations_name""),6,FALSE)
,
(IF
(
G15318=""юридична особа""
,
VLOO"&amp;"KUP(H15318,IMPORTRANGE(""https://docs.google.com/spreadsheets/d/14Bd19lYaqBhU8_DElYkX7l4wRkHqqCUFNJY4AfY3kHU/edit?usp=sharing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J15317" s="7" t="s">
        <v>18</v>
      </c>
    </row>
    <row r="15318" spans="1:10" ht="13.2">
      <c r="A15318" s="7">
        <v>15317</v>
      </c>
      <c r="B15318" s="7">
        <v>1</v>
      </c>
      <c r="C15318" s="7" t="s">
        <v>10</v>
      </c>
      <c r="D15318" s="7">
        <v>19587</v>
      </c>
      <c r="E15318" s="7" t="s">
        <v>23</v>
      </c>
      <c r="F15318" s="8" t="str">
        <f ca="1">IFERROR(__xludf.DUMMYFUNCTION("IF
(
C15319=""фізична особа""
,
VLOOKUP(D15319,IMPORTRANGE(""https://docs.google.com/spreadsheets/d/14Bd19lYaqBhU8_DElYkX7l4wRkHqqCUFNJY4AfY3kHU/edit?usp=sharing  #gid=0"",""фіз особи new!relations_name""),6,FALSE)
,
(IF
(
C15319=""юридична особа""
,
VLOO"&amp;"KUP(D15319,IMPORTRANGE(""https://docs.google.com/spreadsheets/d/14Bd19lYaqBhU8_DElYkX7l4wRkHqqCUFNJY4AfY3kHU/edit?usp=sharing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18" s="7" t="s">
        <v>10</v>
      </c>
      <c r="H15318" s="7">
        <v>19711</v>
      </c>
      <c r="I15318" s="8" t="str">
        <f ca="1">IFERROR(__xludf.DUMMYFUNCTION("IF
(
G15319=""фізична особа""
,
VLOOKUP(H15319,IMPORTRANGE(""https://docs.google.com/spreadsheets/d/14Bd19lYaqBhU8_DElYkX7l4wRkHqqCUFNJY4AfY3kHU/edit?usp=sharing  #gid=0"",""фіз особи new!relations_name""),6,FALSE)
,
(IF
(
G15319=""юридична особа""
,
VLOO"&amp;"KUP(H15319,IMPORTRANGE(""https://docs.google.com/spreadsheets/d/14Bd19lYaqBhU8_DElYkX7l4wRkHqqCUFNJY4AfY3kHU/edit?usp=sharing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5318" s="7" t="s">
        <v>23</v>
      </c>
    </row>
    <row r="15319" spans="1:10" ht="13.2">
      <c r="A15319" s="7">
        <v>15318</v>
      </c>
      <c r="B15319" s="7">
        <v>1</v>
      </c>
      <c r="C15319" s="7" t="s">
        <v>10</v>
      </c>
      <c r="D15319" s="7">
        <v>19587</v>
      </c>
      <c r="E15319" s="7" t="s">
        <v>23</v>
      </c>
      <c r="F15319" s="8" t="str">
        <f ca="1">IFERROR(__xludf.DUMMYFUNCTION("IF
(
C15320=""фізична особа""
,
VLOOKUP(D15320,IMPORTRANGE(""https://docs.google.com/spreadsheets/d/14Bd19lYaqBhU8_DElYkX7l4wRkHqqCUFNJY4AfY3kHU/edit?usp=sharing  #gid=0"",""фіз особи new!relations_name""),6,FALSE)
,
(IF
(
C15320=""юридична особа""
,
VLOO"&amp;"KUP(D15320,IMPORTRANGE(""https://docs.google.com/spreadsheets/d/14Bd19lYaqBhU8_DElYkX7l4wRkHqqCUFNJY4AfY3kHU/edit?usp=sharing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19" s="7" t="s">
        <v>10</v>
      </c>
      <c r="H15319" s="7">
        <v>23604</v>
      </c>
      <c r="I15319" s="8" t="str">
        <f ca="1">IFERROR(__xludf.DUMMYFUNCTION("IF
(
G15320=""фізична особа""
,
VLOOKUP(H15320,IMPORTRANGE(""https://docs.google.com/spreadsheets/d/14Bd19lYaqBhU8_DElYkX7l4wRkHqqCUFNJY4AfY3kHU/edit?usp=sharing  #gid=0"",""фіз особи new!relations_name""),6,FALSE)
,
(IF
(
G15320=""юридична особа""
,
VLOO"&amp;"KUP(H15320,IMPORTRANGE(""https://docs.google.com/spreadsheets/d/14Bd19lYaqBhU8_DElYkX7l4wRkHqqCUFNJY4AfY3kHU/edit?usp=sharing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5319" s="7" t="s">
        <v>23</v>
      </c>
    </row>
    <row r="15320" spans="1:10" ht="13.2">
      <c r="A15320" s="7">
        <v>15319</v>
      </c>
      <c r="B15320" s="7">
        <v>1</v>
      </c>
      <c r="C15320" s="7" t="s">
        <v>10</v>
      </c>
      <c r="D15320" s="7">
        <v>19587</v>
      </c>
      <c r="E15320" s="7" t="s">
        <v>23</v>
      </c>
      <c r="F15320" s="8" t="str">
        <f ca="1">IFERROR(__xludf.DUMMYFUNCTION("IF
(
C15321=""фізична особа""
,
VLOOKUP(D15321,IMPORTRANGE(""https://docs.google.com/spreadsheets/d/14Bd19lYaqBhU8_DElYkX7l4wRkHqqCUFNJY4AfY3kHU/edit?usp=sharing  #gid=0"",""фіз особи new!relations_name""),6,FALSE)
,
(IF
(
C15321=""юридична особа""
,
VLOO"&amp;"KUP(D15321,IMPORTRANGE(""https://docs.google.com/spreadsheets/d/14Bd19lYaqBhU8_DElYkX7l4wRkHqqCUFNJY4AfY3kHU/edit?usp=sharing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0" s="7" t="s">
        <v>10</v>
      </c>
      <c r="H15320" s="7">
        <v>19714</v>
      </c>
      <c r="I15320" s="8" t="str">
        <f ca="1">IFERROR(__xludf.DUMMYFUNCTION("IF
(
G15321=""фізична особа""
,
VLOOKUP(H15321,IMPORTRANGE(""https://docs.google.com/spreadsheets/d/14Bd19lYaqBhU8_DElYkX7l4wRkHqqCUFNJY4AfY3kHU/edit?usp=sharing  #gid=0"",""фіз особи new!relations_name""),6,FALSE)
,
(IF
(
G15321=""юридична особа""
,
VLOO"&amp;"KUP(H15321,IMPORTRANGE(""https://docs.google.com/spreadsheets/d/14Bd19lYaqBhU8_DElYkX7l4wRkHqqCUFNJY4AfY3kHU/edit?usp=sharing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J15320" s="7" t="s">
        <v>23</v>
      </c>
    </row>
    <row r="15321" spans="1:10" ht="13.2">
      <c r="A15321" s="7">
        <v>15320</v>
      </c>
      <c r="B15321" s="7">
        <v>1</v>
      </c>
      <c r="C15321" s="7" t="s">
        <v>10</v>
      </c>
      <c r="D15321" s="7">
        <v>19587</v>
      </c>
      <c r="E15321" s="7" t="s">
        <v>23</v>
      </c>
      <c r="F15321" s="8" t="str">
        <f ca="1">IFERROR(__xludf.DUMMYFUNCTION("IF
(
C15322=""фізична особа""
,
VLOOKUP(D15322,IMPORTRANGE(""https://docs.google.com/spreadsheets/d/14Bd19lYaqBhU8_DElYkX7l4wRkHqqCUFNJY4AfY3kHU/edit?usp=sharing  #gid=0"",""фіз особи new!relations_name""),6,FALSE)
,
(IF
(
C15322=""юридична особа""
,
VLOO"&amp;"KUP(D15322,IMPORTRANGE(""https://docs.google.com/spreadsheets/d/14Bd19lYaqBhU8_DElYkX7l4wRkHqqCUFNJY4AfY3kHU/edit?usp=sharing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1" s="7" t="s">
        <v>10</v>
      </c>
      <c r="H15321" s="7">
        <v>19715</v>
      </c>
      <c r="I15321" s="8" t="str">
        <f ca="1">IFERROR(__xludf.DUMMYFUNCTION("IF
(
G15322=""фізична особа""
,
VLOOKUP(H15322,IMPORTRANGE(""https://docs.google.com/spreadsheets/d/14Bd19lYaqBhU8_DElYkX7l4wRkHqqCUFNJY4AfY3kHU/edit?usp=sharing  #gid=0"",""фіз особи new!relations_name""),6,FALSE)
,
(IF
(
G15322=""юридична особа""
,
VLOO"&amp;"KUP(H15322,IMPORTRANGE(""https://docs.google.com/spreadsheets/d/14Bd19lYaqBhU8_DElYkX7l4wRkHqqCUFNJY4AfY3kHU/edit?usp=sharing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J15321" s="7" t="s">
        <v>23</v>
      </c>
    </row>
    <row r="15322" spans="1:10" ht="13.2">
      <c r="A15322" s="7">
        <v>15321</v>
      </c>
      <c r="B15322" s="7">
        <v>1</v>
      </c>
      <c r="C15322" s="7" t="s">
        <v>10</v>
      </c>
      <c r="D15322" s="7">
        <v>19587</v>
      </c>
      <c r="E15322" s="7" t="s">
        <v>23</v>
      </c>
      <c r="F15322" s="8" t="str">
        <f ca="1">IFERROR(__xludf.DUMMYFUNCTION("IF
(
C15323=""фізична особа""
,
VLOOKUP(D15323,IMPORTRANGE(""https://docs.google.com/spreadsheets/d/14Bd19lYaqBhU8_DElYkX7l4wRkHqqCUFNJY4AfY3kHU/edit?usp=sharing  #gid=0"",""фіз особи new!relations_name""),6,FALSE)
,
(IF
(
C15323=""юридична особа""
,
VLOO"&amp;"KUP(D15323,IMPORTRANGE(""https://docs.google.com/spreadsheets/d/14Bd19lYaqBhU8_DElYkX7l4wRkHqqCUFNJY4AfY3kHU/edit?usp=sharing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2" s="7" t="s">
        <v>10</v>
      </c>
      <c r="H15322" s="7">
        <v>23715</v>
      </c>
      <c r="I15322" s="8" t="str">
        <f ca="1">IFERROR(__xludf.DUMMYFUNCTION("IF
(
G15323=""фізична особа""
,
VLOOKUP(H15323,IMPORTRANGE(""https://docs.google.com/spreadsheets/d/14Bd19lYaqBhU8_DElYkX7l4wRkHqqCUFNJY4AfY3kHU/edit?usp=sharing  #gid=0"",""фіз особи new!relations_name""),6,FALSE)
,
(IF
(
G15323=""юридична особа""
,
VLOO"&amp;"KUP(H15323,IMPORTRANGE(""https://docs.google.com/spreadsheets/d/14Bd19lYaqBhU8_DElYkX7l4wRkHqqCUFNJY4AfY3kHU/edit?usp=sharing  #gid=0"",""фіз особи new!relations_name_uo""),7,FALSE)
,
)
))"),"ЯСАКОВ Юрій Валентинович")</f>
        <v>ЯСАКОВ Юрій Валентинович</v>
      </c>
      <c r="J15322" s="7" t="s">
        <v>23</v>
      </c>
    </row>
    <row r="15323" spans="1:10" ht="13.2">
      <c r="A15323" s="7">
        <v>15322</v>
      </c>
      <c r="B15323" s="7">
        <v>1</v>
      </c>
      <c r="C15323" s="7" t="s">
        <v>10</v>
      </c>
      <c r="D15323" s="7">
        <v>19587</v>
      </c>
      <c r="E15323" s="7" t="s">
        <v>23</v>
      </c>
      <c r="F15323" s="8" t="str">
        <f ca="1">IFERROR(__xludf.DUMMYFUNCTION("IF
(
C15324=""фізична особа""
,
VLOOKUP(D15324,IMPORTRANGE(""https://docs.google.com/spreadsheets/d/14Bd19lYaqBhU8_DElYkX7l4wRkHqqCUFNJY4AfY3kHU/edit?usp=sharing  #gid=0"",""фіз особи new!relations_name""),6,FALSE)
,
(IF
(
C15324=""юридична особа""
,
VLOO"&amp;"KUP(D15324,IMPORTRANGE(""https://docs.google.com/spreadsheets/d/14Bd19lYaqBhU8_DElYkX7l4wRkHqqCUFNJY4AfY3kHU/edit?usp=sharing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3" s="7" t="s">
        <v>10</v>
      </c>
      <c r="H15323" s="7">
        <v>0</v>
      </c>
      <c r="I15323" s="8" t="str">
        <f ca="1">IFERROR(__xludf.DUMMYFUNCTION("IF
(
G15324=""фізична особа""
,
VLOOKUP(H15324,IMPORTRANGE(""https://docs.google.com/spreadsheets/d/14Bd19lYaqBhU8_DElYkX7l4wRkHqqCUFNJY4AfY3kHU/edit?usp=sharing  #gid=0"",""фіз особи new!relations_name""),6,FALSE)
,
(IF
(
G15324=""юридична особа""
,
VLOO"&amp;"KUP(H15324,IMPORTRANGE(""https://docs.google.com/spreadsheets/d/14Bd19lYaqBhU8_DElYkX7l4wRkHqqCUFNJY4AfY3kHU/edit?usp=sharing  #gid=0"",""фіз особи new!relations_name_uo""),7,FALSE)
,
)
))"),"#N/A")</f>
        <v>#N/A</v>
      </c>
      <c r="J15323" s="7" t="s">
        <v>23</v>
      </c>
    </row>
    <row r="15324" spans="1:10" ht="13.2">
      <c r="A15324" s="7">
        <v>15323</v>
      </c>
      <c r="B15324" s="7">
        <v>1</v>
      </c>
      <c r="C15324" s="7" t="s">
        <v>10</v>
      </c>
      <c r="D15324" s="7">
        <v>19587</v>
      </c>
      <c r="E15324" s="7" t="s">
        <v>23</v>
      </c>
      <c r="F15324" s="8" t="str">
        <f ca="1">IFERROR(__xludf.DUMMYFUNCTION("IF
(
C15325=""фізична особа""
,
VLOOKUP(D15325,IMPORTRANGE(""https://docs.google.com/spreadsheets/d/14Bd19lYaqBhU8_DElYkX7l4wRkHqqCUFNJY4AfY3kHU/edit?usp=sharing  #gid=0"",""фіз особи new!relations_name""),6,FALSE)
,
(IF
(
C15325=""юридична особа""
,
VLOO"&amp;"KUP(D15325,IMPORTRANGE(""https://docs.google.com/spreadsheets/d/14Bd19lYaqBhU8_DElYkX7l4wRkHqqCUFNJY4AfY3kHU/edit?usp=sharing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4" s="7" t="s">
        <v>10</v>
      </c>
      <c r="H15324" s="7">
        <v>0</v>
      </c>
      <c r="I15324" s="8" t="str">
        <f ca="1">IFERROR(__xludf.DUMMYFUNCTION("IF
(
G15325=""фізична особа""
,
VLOOKUP(H15325,IMPORTRANGE(""https://docs.google.com/spreadsheets/d/14Bd19lYaqBhU8_DElYkX7l4wRkHqqCUFNJY4AfY3kHU/edit?usp=sharing  #gid=0"",""фіз особи new!relations_name""),6,FALSE)
,
(IF
(
G15325=""юридична особа""
,
VLOO"&amp;"KUP(H15325,IMPORTRANGE(""https://docs.google.com/spreadsheets/d/14Bd19lYaqBhU8_DElYkX7l4wRkHqqCUFNJY4AfY3kHU/edit?usp=sharing  #gid=0"",""фіз особи new!relations_name_uo""),7,FALSE)
,
)
))"),"#N/A")</f>
        <v>#N/A</v>
      </c>
      <c r="J15324" s="7" t="s">
        <v>23</v>
      </c>
    </row>
    <row r="15325" spans="1:10" ht="13.2">
      <c r="A15325" s="7">
        <v>15324</v>
      </c>
      <c r="B15325" s="7">
        <v>1</v>
      </c>
      <c r="C15325" s="7" t="s">
        <v>10</v>
      </c>
      <c r="D15325" s="7">
        <v>19587</v>
      </c>
      <c r="E15325" s="7" t="s">
        <v>23</v>
      </c>
      <c r="F15325" s="8" t="str">
        <f ca="1">IFERROR(__xludf.DUMMYFUNCTION("IF
(
C15326=""фізична особа""
,
VLOOKUP(D15326,IMPORTRANGE(""https://docs.google.com/spreadsheets/d/14Bd19lYaqBhU8_DElYkX7l4wRkHqqCUFNJY4AfY3kHU/edit?usp=sharing  #gid=0"",""фіз особи new!relations_name""),6,FALSE)
,
(IF
(
C15326=""юридична особа""
,
VLOO"&amp;"KUP(D15326,IMPORTRANGE(""https://docs.google.com/spreadsheets/d/14Bd19lYaqBhU8_DElYkX7l4wRkHqqCUFNJY4AfY3kHU/edit?usp=sharing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5" s="7" t="s">
        <v>10</v>
      </c>
      <c r="H15325" s="7">
        <v>0</v>
      </c>
      <c r="I15325" s="8" t="str">
        <f ca="1">IFERROR(__xludf.DUMMYFUNCTION("IF
(
G15326=""фізична особа""
,
VLOOKUP(H15326,IMPORTRANGE(""https://docs.google.com/spreadsheets/d/14Bd19lYaqBhU8_DElYkX7l4wRkHqqCUFNJY4AfY3kHU/edit?usp=sharing  #gid=0"",""фіз особи new!relations_name""),6,FALSE)
,
(IF
(
G15326=""юридична особа""
,
VLOO"&amp;"KUP(H15326,IMPORTRANGE(""https://docs.google.com/spreadsheets/d/14Bd19lYaqBhU8_DElYkX7l4wRkHqqCUFNJY4AfY3kHU/edit?usp=sharing  #gid=0"",""фіз особи new!relations_name_uo""),7,FALSE)
,
)
))"),"#N/A")</f>
        <v>#N/A</v>
      </c>
      <c r="J15325" s="7" t="s">
        <v>23</v>
      </c>
    </row>
    <row r="15326" spans="1:10" ht="13.2">
      <c r="A15326" s="7">
        <v>15325</v>
      </c>
      <c r="B15326" s="7">
        <v>1</v>
      </c>
      <c r="C15326" s="7" t="s">
        <v>10</v>
      </c>
      <c r="D15326" s="7">
        <v>19587</v>
      </c>
      <c r="E15326" s="7" t="s">
        <v>23</v>
      </c>
      <c r="F15326" s="8" t="str">
        <f ca="1">IFERROR(__xludf.DUMMYFUNCTION("IF
(
C15327=""фізична особа""
,
VLOOKUP(D15327,IMPORTRANGE(""https://docs.google.com/spreadsheets/d/14Bd19lYaqBhU8_DElYkX7l4wRkHqqCUFNJY4AfY3kHU/edit?usp=sharing  #gid=0"",""фіз особи new!relations_name""),6,FALSE)
,
(IF
(
C15327=""юридична особа""
,
VLOO"&amp;"KUP(D15327,IMPORTRANGE(""https://docs.google.com/spreadsheets/d/14Bd19lYaqBhU8_DElYkX7l4wRkHqqCUFNJY4AfY3kHU/edit?usp=sharing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6" s="7" t="s">
        <v>10</v>
      </c>
      <c r="H15326" s="7">
        <v>23606</v>
      </c>
      <c r="I15326" s="8" t="str">
        <f ca="1">IFERROR(__xludf.DUMMYFUNCTION("IF
(
G15327=""фізична особа""
,
VLOOKUP(H15327,IMPORTRANGE(""https://docs.google.com/spreadsheets/d/14Bd19lYaqBhU8_DElYkX7l4wRkHqqCUFNJY4AfY3kHU/edit?usp=sharing  #gid=0"",""фіз особи new!relations_name""),6,FALSE)
,
(IF
(
G15327=""юридична особа""
,
VLOO"&amp;"KUP(H15327,IMPORTRANGE(""https://docs.google.com/spreadsheets/d/14Bd19lYaqBhU8_DElYkX7l4wRkHqqCUFNJY4AfY3kHU/edit?usp=sharing  #gid=0"",""фіз особи new!relations_name_uo""),7,FALSE)
,
)
))"),"НОСЕНКО Сергій Михайлович")</f>
        <v>НОСЕНКО Сергій Михайлович</v>
      </c>
      <c r="J15326" s="7" t="s">
        <v>23</v>
      </c>
    </row>
    <row r="15327" spans="1:10" ht="13.2">
      <c r="A15327" s="7">
        <v>15326</v>
      </c>
      <c r="B15327" s="7">
        <v>1</v>
      </c>
      <c r="C15327" s="7" t="s">
        <v>10</v>
      </c>
      <c r="D15327" s="7">
        <v>19587</v>
      </c>
      <c r="E15327" s="7" t="s">
        <v>23</v>
      </c>
      <c r="F15327" s="8" t="str">
        <f ca="1">IFERROR(__xludf.DUMMYFUNCTION("IF
(
C15328=""фізична особа""
,
VLOOKUP(D15328,IMPORTRANGE(""https://docs.google.com/spreadsheets/d/14Bd19lYaqBhU8_DElYkX7l4wRkHqqCUFNJY4AfY3kHU/edit?usp=sharing  #gid=0"",""фіз особи new!relations_name""),6,FALSE)
,
(IF
(
C15328=""юридична особа""
,
VLOO"&amp;"KUP(D15328,IMPORTRANGE(""https://docs.google.com/spreadsheets/d/14Bd19lYaqBhU8_DElYkX7l4wRkHqqCUFNJY4AfY3kHU/edit?usp=sharing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7" s="7" t="s">
        <v>10</v>
      </c>
      <c r="H15327" s="7">
        <v>0</v>
      </c>
      <c r="I15327" s="8" t="str">
        <f ca="1">IFERROR(__xludf.DUMMYFUNCTION("IF
(
G15328=""фізична особа""
,
VLOOKUP(H15328,IMPORTRANGE(""https://docs.google.com/spreadsheets/d/14Bd19lYaqBhU8_DElYkX7l4wRkHqqCUFNJY4AfY3kHU/edit?usp=sharing  #gid=0"",""фіз особи new!relations_name""),6,FALSE)
,
(IF
(
G15328=""юридична особа""
,
VLOO"&amp;"KUP(H15328,IMPORTRANGE(""https://docs.google.com/spreadsheets/d/14Bd19lYaqBhU8_DElYkX7l4wRkHqqCUFNJY4AfY3kHU/edit?usp=sharing  #gid=0"",""фіз особи new!relations_name_uo""),7,FALSE)
,
)
))"),"#N/A")</f>
        <v>#N/A</v>
      </c>
      <c r="J15327" s="7" t="s">
        <v>23</v>
      </c>
    </row>
    <row r="15328" spans="1:10" ht="13.2">
      <c r="A15328" s="7">
        <v>15327</v>
      </c>
      <c r="B15328" s="7">
        <v>1</v>
      </c>
      <c r="C15328" s="7" t="s">
        <v>10</v>
      </c>
      <c r="D15328" s="7">
        <v>19587</v>
      </c>
      <c r="E15328" s="7" t="s">
        <v>23</v>
      </c>
      <c r="F15328" s="8" t="str">
        <f ca="1">IFERROR(__xludf.DUMMYFUNCTION("IF
(
C15329=""фізична особа""
,
VLOOKUP(D15329,IMPORTRANGE(""https://docs.google.com/spreadsheets/d/14Bd19lYaqBhU8_DElYkX7l4wRkHqqCUFNJY4AfY3kHU/edit?usp=sharing  #gid=0"",""фіз особи new!relations_name""),6,FALSE)
,
(IF
(
C15329=""юридична особа""
,
VLOO"&amp;"KUP(D15329,IMPORTRANGE(""https://docs.google.com/spreadsheets/d/14Bd19lYaqBhU8_DElYkX7l4wRkHqqCUFNJY4AfY3kHU/edit?usp=sharing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G15328" s="7" t="s">
        <v>10</v>
      </c>
      <c r="H15328" s="7">
        <v>23605</v>
      </c>
      <c r="I15328" s="8" t="str">
        <f ca="1">IFERROR(__xludf.DUMMYFUNCTION("IF
(
G15329=""фізична особа""
,
VLOOKUP(H15329,IMPORTRANGE(""https://docs.google.com/spreadsheets/d/14Bd19lYaqBhU8_DElYkX7l4wRkHqqCUFNJY4AfY3kHU/edit?usp=sharing  #gid=0"",""фіз особи new!relations_name""),6,FALSE)
,
(IF
(
G15329=""юридична особа""
,
VLOO"&amp;"KUP(H15329,IMPORTRANGE(""https://docs.google.com/spreadsheets/d/14Bd19lYaqBhU8_DElYkX7l4wRkHqqCUFNJY4AfY3kHU/edit?usp=sharing  #gid=0"",""фіз особи new!relations_name_uo""),7,FALSE)
,
)
))"),"КУЗНЄЦОВ Сергій Владиславович")</f>
        <v>КУЗНЄЦОВ Сергій Владиславович</v>
      </c>
      <c r="J15328" s="7" t="s">
        <v>23</v>
      </c>
    </row>
    <row r="15329" spans="1:10" ht="13.2">
      <c r="A15329" s="7">
        <v>15328</v>
      </c>
      <c r="B15329" s="7">
        <v>1</v>
      </c>
      <c r="C15329" s="7" t="s">
        <v>10</v>
      </c>
      <c r="D15329" s="7">
        <v>19609</v>
      </c>
      <c r="E15329" s="7" t="s">
        <v>17</v>
      </c>
      <c r="F15329" s="8" t="str">
        <f ca="1">IFERROR(__xludf.DUMMYFUNCTION("IF
(
C15330=""фізична особа""
,
VLOOKUP(D15330,IMPORTRANGE(""https://docs.google.com/spreadsheets/d/14Bd19lYaqBhU8_DElYkX7l4wRkHqqCUFNJY4AfY3kHU/edit?usp=sharing  #gid=0"",""фіз особи new!relations_name""),6,FALSE)
,
(IF
(
C15330=""юридична особа""
,
VLOO"&amp;"KUP(D15330,IMPORTRANGE(""https://docs.google.com/spreadsheets/d/14Bd19lYaqBhU8_DElYkX7l4wRkHqqCUFNJY4AfY3kHU/edit?usp=sharing  #gid=0"",""фіз особи new!relations_name_uo""),7,FALSE)
,
)
))"),"НЄНАШЕВ Андрій Іванович")</f>
        <v>НЄНАШЕВ Андрій Іванович</v>
      </c>
      <c r="G15329" s="7" t="s">
        <v>10</v>
      </c>
      <c r="H15329" s="7">
        <v>19610</v>
      </c>
      <c r="I15329" s="8" t="str">
        <f ca="1">IFERROR(__xludf.DUMMYFUNCTION("IF
(
G15330=""фізична особа""
,
VLOOKUP(H15330,IMPORTRANGE(""https://docs.google.com/spreadsheets/d/14Bd19lYaqBhU8_DElYkX7l4wRkHqqCUFNJY4AfY3kHU/edit?usp=sharing  #gid=0"",""фіз особи new!relations_name""),6,FALSE)
,
(IF
(
G15330=""юридична особа""
,
VLOO"&amp;"KUP(H15330,IMPORTRANGE(""https://docs.google.com/spreadsheets/d/14Bd19lYaqBhU8_DElYkX7l4wRkHqqCUFNJY4AfY3kHU/edit?usp=sharing  #gid=0"",""фіз особи new!relations_name_uo""),7,FALSE)
,
)
))"),"НЕНАШЕВ Іван Костянтинович")</f>
        <v>НЕНАШЕВ Іван Костянтинович</v>
      </c>
      <c r="J15329" s="7" t="s">
        <v>12</v>
      </c>
    </row>
    <row r="15330" spans="1:10" ht="13.2">
      <c r="A15330" s="7">
        <v>15329</v>
      </c>
      <c r="B15330" s="7">
        <v>1</v>
      </c>
      <c r="C15330" s="7" t="s">
        <v>10</v>
      </c>
      <c r="D15330" s="7">
        <v>19610</v>
      </c>
      <c r="E15330" s="7" t="s">
        <v>12</v>
      </c>
      <c r="F15330" s="8" t="str">
        <f ca="1">IFERROR(__xludf.DUMMYFUNCTION("IF
(
C15331=""фізична особа""
,
VLOOKUP(D15331,IMPORTRANGE(""https://docs.google.com/spreadsheets/d/14Bd19lYaqBhU8_DElYkX7l4wRkHqqCUFNJY4AfY3kHU/edit?usp=sharing  #gid=0"",""фіз особи new!relations_name""),6,FALSE)
,
(IF
(
C15331=""юридична особа""
,
VLOO"&amp;"KUP(D15331,IMPORTRANGE(""https://docs.google.com/spreadsheets/d/14Bd19lYaqBhU8_DElYkX7l4wRkHqqCUFNJY4AfY3kHU/edit?usp=sharing  #gid=0"",""фіз особи new!relations_name_uo""),7,FALSE)
,
)
))"),"НЕНАШЕВ Іван Костянтинович")</f>
        <v>НЕНАШЕВ Іван Костянтинович</v>
      </c>
      <c r="G15330" s="7" t="s">
        <v>10</v>
      </c>
      <c r="H15330" s="7">
        <v>19609</v>
      </c>
      <c r="I15330" s="8" t="str">
        <f ca="1">IFERROR(__xludf.DUMMYFUNCTION("IF
(
G15331=""фізична особа""
,
VLOOKUP(H15331,IMPORTRANGE(""https://docs.google.com/spreadsheets/d/14Bd19lYaqBhU8_DElYkX7l4wRkHqqCUFNJY4AfY3kHU/edit?usp=sharing  #gid=0"",""фіз особи new!relations_name""),6,FALSE)
,
(IF
(
G15331=""юридична особа""
,
VLOO"&amp;"KUP(H15331,IMPORTRANGE(""https://docs.google.com/spreadsheets/d/14Bd19lYaqBhU8_DElYkX7l4wRkHqqCUFNJY4AfY3kHU/edit?usp=sharing  #gid=0"",""фіз особи new!relations_name_uo""),7,FALSE)
,
)
))"),"НЄНАШЕВ Андрій Іванович")</f>
        <v>НЄНАШЕВ Андрій Іванович</v>
      </c>
      <c r="J15330" s="7" t="s">
        <v>17</v>
      </c>
    </row>
    <row r="15331" spans="1:10" ht="13.2">
      <c r="A15331" s="7">
        <v>15330</v>
      </c>
      <c r="B15331" s="7">
        <v>1</v>
      </c>
      <c r="C15331" s="7" t="s">
        <v>10</v>
      </c>
      <c r="D15331" s="7">
        <v>19611</v>
      </c>
      <c r="E15331" s="7" t="s">
        <v>33</v>
      </c>
      <c r="F15331" s="8" t="str">
        <f ca="1">IFERROR(__xludf.DUMMYFUNCTION("IF
(
C15332=""фізична особа""
,
VLOOKUP(D15332,IMPORTRANGE(""https://docs.google.com/spreadsheets/d/14Bd19lYaqBhU8_DElYkX7l4wRkHqqCUFNJY4AfY3kHU/edit?usp=sharing  #gid=0"",""фіз особи new!relations_name""),6,FALSE)
,
(IF
(
C15332=""юридична особа""
,
VLOO"&amp;"KUP(D15332,IMPORTRANGE(""https://docs.google.com/spreadsheets/d/14Bd19lYaqBhU8_DElYkX7l4wRkHqqCUFNJY4AfY3kHU/edit?usp=sharing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G15331" s="7" t="s">
        <v>10</v>
      </c>
      <c r="H15331" s="7">
        <v>19612</v>
      </c>
      <c r="I15331" s="8" t="str">
        <f ca="1">IFERROR(__xludf.DUMMYFUNCTION("IF
(
G15332=""фізична особа""
,
VLOOKUP(H15332,IMPORTRANGE(""https://docs.google.com/spreadsheets/d/14Bd19lYaqBhU8_DElYkX7l4wRkHqqCUFNJY4AfY3kHU/edit?usp=sharing  #gid=0"",""фіз особи new!relations_name""),6,FALSE)
,
(IF
(
G15332=""юридична особа""
,
VLOO"&amp;"KUP(H15332,IMPORTRANGE(""https://docs.google.com/spreadsheets/d/14Bd19lYaqBhU8_DElYkX7l4wRkHqqCUFNJY4AfY3kHU/edit?usp=sharing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J15331" s="7" t="s">
        <v>84</v>
      </c>
    </row>
    <row r="15332" spans="1:10" ht="13.2">
      <c r="A15332" s="7">
        <v>15331</v>
      </c>
      <c r="B15332" s="7">
        <v>1</v>
      </c>
      <c r="C15332" s="7" t="s">
        <v>10</v>
      </c>
      <c r="D15332" s="7">
        <v>19611</v>
      </c>
      <c r="E15332" s="7" t="s">
        <v>89</v>
      </c>
      <c r="F15332" s="8" t="str">
        <f ca="1">IFERROR(__xludf.DUMMYFUNCTION("IF
(
C15333=""фізична особа""
,
VLOOKUP(D15333,IMPORTRANGE(""https://docs.google.com/spreadsheets/d/14Bd19lYaqBhU8_DElYkX7l4wRkHqqCUFNJY4AfY3kHU/edit?usp=sharing  #gid=0"",""фіз особи new!relations_name""),6,FALSE)
,
(IF
(
C15333=""юридична особа""
,
VLOO"&amp;"KUP(D15333,IMPORTRANGE(""https://docs.google.com/spreadsheets/d/14Bd19lYaqBhU8_DElYkX7l4wRkHqqCUFNJY4AfY3kHU/edit?usp=sharing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G15332" s="7" t="s">
        <v>10</v>
      </c>
      <c r="H15332" s="7">
        <v>19613</v>
      </c>
      <c r="I15332" s="8" t="str">
        <f ca="1">IFERROR(__xludf.DUMMYFUNCTION("IF
(
G15333=""фізична особа""
,
VLOOKUP(H15333,IMPORTRANGE(""https://docs.google.com/spreadsheets/d/14Bd19lYaqBhU8_DElYkX7l4wRkHqqCUFNJY4AfY3kHU/edit?usp=sharing  #gid=0"",""фіз особи new!relations_name""),6,FALSE)
,
(IF
(
G15333=""юридична особа""
,
VLOO"&amp;"KUP(H15333,IMPORTRANGE(""https://docs.google.com/spreadsheets/d/14Bd19lYaqBhU8_DElYkX7l4wRkHqqCUFNJY4AfY3kHU/edit?usp=sharing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J15332" s="7" t="s">
        <v>118</v>
      </c>
    </row>
    <row r="15333" spans="1:10" ht="13.2">
      <c r="A15333" s="7">
        <v>15332</v>
      </c>
      <c r="B15333" s="7">
        <v>1</v>
      </c>
      <c r="C15333" s="7" t="s">
        <v>10</v>
      </c>
      <c r="D15333" s="7">
        <v>19611</v>
      </c>
      <c r="E15333" s="7" t="s">
        <v>44</v>
      </c>
      <c r="F15333" s="8" t="str">
        <f ca="1">IFERROR(__xludf.DUMMYFUNCTION("IF
(
C15334=""фізична особа""
,
VLOOKUP(D15334,IMPORTRANGE(""https://docs.google.com/spreadsheets/d/14Bd19lYaqBhU8_DElYkX7l4wRkHqqCUFNJY4AfY3kHU/edit?usp=sharing  #gid=0"",""фіз особи new!relations_name""),6,FALSE)
,
(IF
(
C15334=""юридична особа""
,
VLOO"&amp;"KUP(D15334,IMPORTRANGE(""https://docs.google.com/spreadsheets/d/14Bd19lYaqBhU8_DElYkX7l4wRkHqqCUFNJY4AfY3kHU/edit?usp=sharing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G15333" s="7" t="s">
        <v>10</v>
      </c>
      <c r="H15333" s="7">
        <v>19614</v>
      </c>
      <c r="I15333" s="8" t="str">
        <f ca="1">IFERROR(__xludf.DUMMYFUNCTION("IF
(
G15334=""фізична особа""
,
VLOOKUP(H15334,IMPORTRANGE(""https://docs.google.com/spreadsheets/d/14Bd19lYaqBhU8_DElYkX7l4wRkHqqCUFNJY4AfY3kHU/edit?usp=sharing  #gid=0"",""фіз особи new!relations_name""),6,FALSE)
,
(IF
(
G15334=""юридична особа""
,
VLOO"&amp;"KUP(H15334,IMPORTRANGE(""https://docs.google.com/spreadsheets/d/14Bd19lYaqBhU8_DElYkX7l4wRkHqqCUFNJY4AfY3kHU/edit?usp=sharing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J15333" s="7" t="s">
        <v>44</v>
      </c>
    </row>
    <row r="15334" spans="1:10" ht="13.2">
      <c r="A15334" s="7">
        <v>15333</v>
      </c>
      <c r="B15334" s="7">
        <v>1</v>
      </c>
      <c r="C15334" s="7" t="s">
        <v>10</v>
      </c>
      <c r="D15334" s="7">
        <v>19612</v>
      </c>
      <c r="E15334" s="7" t="s">
        <v>21</v>
      </c>
      <c r="F15334" s="8" t="str">
        <f ca="1">IFERROR(__xludf.DUMMYFUNCTION("IF
(
C15335=""фізична особа""
,
VLOOKUP(D15335,IMPORTRANGE(""https://docs.google.com/spreadsheets/d/14Bd19lYaqBhU8_DElYkX7l4wRkHqqCUFNJY4AfY3kHU/edit?usp=sharing  #gid=0"",""фіз особи new!relations_name""),6,FALSE)
,
(IF
(
C15335=""юридична особа""
,
VLOO"&amp;"KUP(D15335,IMPORTRANGE(""https://docs.google.com/spreadsheets/d/14Bd19lYaqBhU8_DElYkX7l4wRkHqqCUFNJY4AfY3kHU/edit?usp=sharing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G15334" s="7" t="s">
        <v>10</v>
      </c>
      <c r="H15334" s="7">
        <v>19613</v>
      </c>
      <c r="I15334" s="8" t="str">
        <f ca="1">IFERROR(__xludf.DUMMYFUNCTION("IF
(
G15335=""фізична особа""
,
VLOOKUP(H15335,IMPORTRANGE(""https://docs.google.com/spreadsheets/d/14Bd19lYaqBhU8_DElYkX7l4wRkHqqCUFNJY4AfY3kHU/edit?usp=sharing  #gid=0"",""фіз особи new!relations_name""),6,FALSE)
,
(IF
(
G15335=""юридична особа""
,
VLOO"&amp;"KUP(H15335,IMPORTRANGE(""https://docs.google.com/spreadsheets/d/14Bd19lYaqBhU8_DElYkX7l4wRkHqqCUFNJY4AfY3kHU/edit?usp=sharing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J15334" s="7" t="s">
        <v>13</v>
      </c>
    </row>
    <row r="15335" spans="1:10" ht="13.2">
      <c r="A15335" s="7">
        <v>15334</v>
      </c>
      <c r="B15335" s="7">
        <v>1</v>
      </c>
      <c r="C15335" s="7" t="s">
        <v>10</v>
      </c>
      <c r="D15335" s="7">
        <v>19612</v>
      </c>
      <c r="E15335" s="7" t="s">
        <v>84</v>
      </c>
      <c r="F15335" s="8" t="str">
        <f ca="1">IFERROR(__xludf.DUMMYFUNCTION("IF
(
C15336=""фізична особа""
,
VLOOKUP(D15336,IMPORTRANGE(""https://docs.google.com/spreadsheets/d/14Bd19lYaqBhU8_DElYkX7l4wRkHqqCUFNJY4AfY3kHU/edit?usp=sharing  #gid=0"",""фіз особи new!relations_name""),6,FALSE)
,
(IF
(
C15336=""юридична особа""
,
VLOO"&amp;"KUP(D15336,IMPORTRANGE(""https://docs.google.com/spreadsheets/d/14Bd19lYaqBhU8_DElYkX7l4wRkHqqCUFNJY4AfY3kHU/edit?usp=sharing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G15335" s="7" t="s">
        <v>10</v>
      </c>
      <c r="H15335" s="7">
        <v>19611</v>
      </c>
      <c r="I15335" s="8" t="str">
        <f ca="1">IFERROR(__xludf.DUMMYFUNCTION("IF
(
G15336=""фізична особа""
,
VLOOKUP(H15336,IMPORTRANGE(""https://docs.google.com/spreadsheets/d/14Bd19lYaqBhU8_DElYkX7l4wRkHqqCUFNJY4AfY3kHU/edit?usp=sharing  #gid=0"",""фіз особи new!relations_name""),6,FALSE)
,
(IF
(
G15336=""юридична особа""
,
VLOO"&amp;"KUP(H15336,IMPORTRANGE(""https://docs.google.com/spreadsheets/d/14Bd19lYaqBhU8_DElYkX7l4wRkHqqCUFNJY4AfY3kHU/edit?usp=sharing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J15335" s="7" t="s">
        <v>33</v>
      </c>
    </row>
    <row r="15336" spans="1:10" ht="13.2">
      <c r="A15336" s="7">
        <v>15335</v>
      </c>
      <c r="B15336" s="7">
        <v>1</v>
      </c>
      <c r="C15336" s="7" t="s">
        <v>10</v>
      </c>
      <c r="D15336" s="7">
        <v>19612</v>
      </c>
      <c r="E15336" s="7" t="s">
        <v>45</v>
      </c>
      <c r="F15336" s="8" t="str">
        <f ca="1">IFERROR(__xludf.DUMMYFUNCTION("IF
(
C15337=""фізична особа""
,
VLOOKUP(D15337,IMPORTRANGE(""https://docs.google.com/spreadsheets/d/14Bd19lYaqBhU8_DElYkX7l4wRkHqqCUFNJY4AfY3kHU/edit?usp=sharing  #gid=0"",""фіз особи new!relations_name""),6,FALSE)
,
(IF
(
C15337=""юридична особа""
,
VLOO"&amp;"KUP(D15337,IMPORTRANGE(""https://docs.google.com/spreadsheets/d/14Bd19lYaqBhU8_DElYkX7l4wRkHqqCUFNJY4AfY3kHU/edit?usp=sharing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G15336" s="7" t="s">
        <v>10</v>
      </c>
      <c r="H15336" s="7">
        <v>19614</v>
      </c>
      <c r="I15336" s="8" t="str">
        <f ca="1">IFERROR(__xludf.DUMMYFUNCTION("IF
(
G15337=""фізична особа""
,
VLOOKUP(H15337,IMPORTRANGE(""https://docs.google.com/spreadsheets/d/14Bd19lYaqBhU8_DElYkX7l4wRkHqqCUFNJY4AfY3kHU/edit?usp=sharing  #gid=0"",""фіз особи new!relations_name""),6,FALSE)
,
(IF
(
G15337=""юридична особа""
,
VLOO"&amp;"KUP(H15337,IMPORTRANGE(""https://docs.google.com/spreadsheets/d/14Bd19lYaqBhU8_DElYkX7l4wRkHqqCUFNJY4AfY3kHU/edit?usp=sharing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J15336" s="7" t="s">
        <v>20</v>
      </c>
    </row>
    <row r="15337" spans="1:10" ht="13.2">
      <c r="A15337" s="7">
        <v>15336</v>
      </c>
      <c r="B15337" s="7">
        <v>1</v>
      </c>
      <c r="C15337" s="7" t="s">
        <v>10</v>
      </c>
      <c r="D15337" s="7">
        <v>19613</v>
      </c>
      <c r="E15337" s="7" t="s">
        <v>118</v>
      </c>
      <c r="F15337" s="8" t="str">
        <f ca="1">IFERROR(__xludf.DUMMYFUNCTION("IF
(
C15338=""фізична особа""
,
VLOOKUP(D15338,IMPORTRANGE(""https://docs.google.com/spreadsheets/d/14Bd19lYaqBhU8_DElYkX7l4wRkHqqCUFNJY4AfY3kHU/edit?usp=sharing  #gid=0"",""фіз особи new!relations_name""),6,FALSE)
,
(IF
(
C15338=""юридична особа""
,
VLOO"&amp;"KUP(D15338,IMPORTRANGE(""https://docs.google.com/spreadsheets/d/14Bd19lYaqBhU8_DElYkX7l4wRkHqqCUFNJY4AfY3kHU/edit?usp=sharing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G15337" s="7" t="s">
        <v>10</v>
      </c>
      <c r="H15337" s="7">
        <v>19611</v>
      </c>
      <c r="I15337" s="8" t="str">
        <f ca="1">IFERROR(__xludf.DUMMYFUNCTION("IF
(
G15338=""фізична особа""
,
VLOOKUP(H15338,IMPORTRANGE(""https://docs.google.com/spreadsheets/d/14Bd19lYaqBhU8_DElYkX7l4wRkHqqCUFNJY4AfY3kHU/edit?usp=sharing  #gid=0"",""фіз особи new!relations_name""),6,FALSE)
,
(IF
(
G15338=""юридична особа""
,
VLOO"&amp;"KUP(H15338,IMPORTRANGE(""https://docs.google.com/spreadsheets/d/14Bd19lYaqBhU8_DElYkX7l4wRkHqqCUFNJY4AfY3kHU/edit?usp=sharing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J15337" s="7" t="s">
        <v>89</v>
      </c>
    </row>
    <row r="15338" spans="1:10" ht="13.2">
      <c r="A15338" s="7">
        <v>15337</v>
      </c>
      <c r="B15338" s="7">
        <v>1</v>
      </c>
      <c r="C15338" s="7" t="s">
        <v>10</v>
      </c>
      <c r="D15338" s="7">
        <v>19613</v>
      </c>
      <c r="E15338" s="7" t="s">
        <v>13</v>
      </c>
      <c r="F15338" s="8" t="str">
        <f ca="1">IFERROR(__xludf.DUMMYFUNCTION("IF
(
C15339=""фізична особа""
,
VLOOKUP(D15339,IMPORTRANGE(""https://docs.google.com/spreadsheets/d/14Bd19lYaqBhU8_DElYkX7l4wRkHqqCUFNJY4AfY3kHU/edit?usp=sharing  #gid=0"",""фіз особи new!relations_name""),6,FALSE)
,
(IF
(
C15339=""юридична особа""
,
VLOO"&amp;"KUP(D15339,IMPORTRANGE(""https://docs.google.com/spreadsheets/d/14Bd19lYaqBhU8_DElYkX7l4wRkHqqCUFNJY4AfY3kHU/edit?usp=sharing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G15338" s="7" t="s">
        <v>10</v>
      </c>
      <c r="H15338" s="7">
        <v>19612</v>
      </c>
      <c r="I15338" s="8" t="str">
        <f ca="1">IFERROR(__xludf.DUMMYFUNCTION("IF
(
G15339=""фізична особа""
,
VLOOKUP(H15339,IMPORTRANGE(""https://docs.google.com/spreadsheets/d/14Bd19lYaqBhU8_DElYkX7l4wRkHqqCUFNJY4AfY3kHU/edit?usp=sharing  #gid=0"",""фіз особи new!relations_name""),6,FALSE)
,
(IF
(
G15339=""юридична особа""
,
VLOO"&amp;"KUP(H15339,IMPORTRANGE(""https://docs.google.com/spreadsheets/d/14Bd19lYaqBhU8_DElYkX7l4wRkHqqCUFNJY4AfY3kHU/edit?usp=sharing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J15338" s="7" t="s">
        <v>21</v>
      </c>
    </row>
    <row r="15339" spans="1:10" ht="13.2">
      <c r="A15339" s="7">
        <v>15338</v>
      </c>
      <c r="B15339" s="7">
        <v>1</v>
      </c>
      <c r="C15339" s="7" t="s">
        <v>10</v>
      </c>
      <c r="D15339" s="7">
        <v>19613</v>
      </c>
      <c r="E15339" s="7" t="s">
        <v>112</v>
      </c>
      <c r="F15339" s="8" t="str">
        <f ca="1">IFERROR(__xludf.DUMMYFUNCTION("IF
(
C15340=""фізична особа""
,
VLOOKUP(D15340,IMPORTRANGE(""https://docs.google.com/spreadsheets/d/14Bd19lYaqBhU8_DElYkX7l4wRkHqqCUFNJY4AfY3kHU/edit?usp=sharing  #gid=0"",""фіз особи new!relations_name""),6,FALSE)
,
(IF
(
C15340=""юридична особа""
,
VLOO"&amp;"KUP(D15340,IMPORTRANGE(""https://docs.google.com/spreadsheets/d/14Bd19lYaqBhU8_DElYkX7l4wRkHqqCUFNJY4AfY3kHU/edit?usp=sharing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G15339" s="7" t="s">
        <v>10</v>
      </c>
      <c r="H15339" s="7">
        <v>19614</v>
      </c>
      <c r="I15339" s="8" t="str">
        <f ca="1">IFERROR(__xludf.DUMMYFUNCTION("IF
(
G15340=""фізична особа""
,
VLOOKUP(H15340,IMPORTRANGE(""https://docs.google.com/spreadsheets/d/14Bd19lYaqBhU8_DElYkX7l4wRkHqqCUFNJY4AfY3kHU/edit?usp=sharing  #gid=0"",""фіз особи new!relations_name""),6,FALSE)
,
(IF
(
G15340=""юридична особа""
,
VLOO"&amp;"KUP(H15340,IMPORTRANGE(""https://docs.google.com/spreadsheets/d/14Bd19lYaqBhU8_DElYkX7l4wRkHqqCUFNJY4AfY3kHU/edit?usp=sharing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J15339" s="7" t="s">
        <v>44</v>
      </c>
    </row>
    <row r="15340" spans="1:10" ht="13.2">
      <c r="A15340" s="7">
        <v>15339</v>
      </c>
      <c r="B15340" s="7">
        <v>1</v>
      </c>
      <c r="C15340" s="7" t="s">
        <v>10</v>
      </c>
      <c r="D15340" s="7">
        <v>19614</v>
      </c>
      <c r="E15340" s="7" t="s">
        <v>44</v>
      </c>
      <c r="F15340" s="8" t="str">
        <f ca="1">IFERROR(__xludf.DUMMYFUNCTION("IF
(
C15341=""фізична особа""
,
VLOOKUP(D15341,IMPORTRANGE(""https://docs.google.com/spreadsheets/d/14Bd19lYaqBhU8_DElYkX7l4wRkHqqCUFNJY4AfY3kHU/edit?usp=sharing  #gid=0"",""фіз особи new!relations_name""),6,FALSE)
,
(IF
(
C15341=""юридична особа""
,
VLOO"&amp;"KUP(D15341,IMPORTRANGE(""https://docs.google.com/spreadsheets/d/14Bd19lYaqBhU8_DElYkX7l4wRkHqqCUFNJY4AfY3kHU/edit?usp=sharing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G15340" s="7" t="s">
        <v>10</v>
      </c>
      <c r="H15340" s="7">
        <v>19611</v>
      </c>
      <c r="I15340" s="8" t="str">
        <f ca="1">IFERROR(__xludf.DUMMYFUNCTION("IF
(
G15341=""фізична особа""
,
VLOOKUP(H15341,IMPORTRANGE(""https://docs.google.com/spreadsheets/d/14Bd19lYaqBhU8_DElYkX7l4wRkHqqCUFNJY4AfY3kHU/edit?usp=sharing  #gid=0"",""фіз особи new!relations_name""),6,FALSE)
,
(IF
(
G15341=""юридична особа""
,
VLOO"&amp;"KUP(H15341,IMPORTRANGE(""https://docs.google.com/spreadsheets/d/14Bd19lYaqBhU8_DElYkX7l4wRkHqqCUFNJY4AfY3kHU/edit?usp=sharing  #gid=0"",""фіз особи new!relations_name_uo""),7,FALSE)
,
)
))"),"БАНДОРІН Максим Олексійович")</f>
        <v>БАНДОРІН Максим Олексійович</v>
      </c>
      <c r="J15340" s="7" t="s">
        <v>44</v>
      </c>
    </row>
    <row r="15341" spans="1:10" ht="13.2">
      <c r="A15341" s="7">
        <v>15340</v>
      </c>
      <c r="B15341" s="7">
        <v>1</v>
      </c>
      <c r="C15341" s="7" t="s">
        <v>10</v>
      </c>
      <c r="D15341" s="7">
        <v>19614</v>
      </c>
      <c r="E15341" s="7" t="s">
        <v>20</v>
      </c>
      <c r="F15341" s="8" t="str">
        <f ca="1">IFERROR(__xludf.DUMMYFUNCTION("IF
(
C15342=""фізична особа""
,
VLOOKUP(D15342,IMPORTRANGE(""https://docs.google.com/spreadsheets/d/14Bd19lYaqBhU8_DElYkX7l4wRkHqqCUFNJY4AfY3kHU/edit?usp=sharing  #gid=0"",""фіз особи new!relations_name""),6,FALSE)
,
(IF
(
C15342=""юридична особа""
,
VLOO"&amp;"KUP(D15342,IMPORTRANGE(""https://docs.google.com/spreadsheets/d/14Bd19lYaqBhU8_DElYkX7l4wRkHqqCUFNJY4AfY3kHU/edit?usp=sharing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G15341" s="7" t="s">
        <v>10</v>
      </c>
      <c r="H15341" s="7">
        <v>19612</v>
      </c>
      <c r="I15341" s="8" t="str">
        <f ca="1">IFERROR(__xludf.DUMMYFUNCTION("IF
(
G15342=""фізична особа""
,
VLOOKUP(H15342,IMPORTRANGE(""https://docs.google.com/spreadsheets/d/14Bd19lYaqBhU8_DElYkX7l4wRkHqqCUFNJY4AfY3kHU/edit?usp=sharing  #gid=0"",""фіз особи new!relations_name""),6,FALSE)
,
(IF
(
G15342=""юридична особа""
,
VLOO"&amp;"KUP(H15342,IMPORTRANGE(""https://docs.google.com/spreadsheets/d/14Bd19lYaqBhU8_DElYkX7l4wRkHqqCUFNJY4AfY3kHU/edit?usp=sharing  #gid=0"",""фіз особи new!relations_name_uo""),7,FALSE)
,
)
))"),"БАНДОРІНА Світлана Михайлівна")</f>
        <v>БАНДОРІНА Світлана Михайлівна</v>
      </c>
      <c r="J15341" s="7" t="s">
        <v>45</v>
      </c>
    </row>
    <row r="15342" spans="1:10" ht="13.2">
      <c r="A15342" s="7">
        <v>15341</v>
      </c>
      <c r="B15342" s="7">
        <v>1</v>
      </c>
      <c r="C15342" s="7" t="s">
        <v>10</v>
      </c>
      <c r="D15342" s="7">
        <v>19614</v>
      </c>
      <c r="E15342" s="7" t="s">
        <v>44</v>
      </c>
      <c r="F15342" s="8" t="str">
        <f ca="1">IFERROR(__xludf.DUMMYFUNCTION("IF
(
C15343=""фізична особа""
,
VLOOKUP(D15343,IMPORTRANGE(""https://docs.google.com/spreadsheets/d/14Bd19lYaqBhU8_DElYkX7l4wRkHqqCUFNJY4AfY3kHU/edit?usp=sharing  #gid=0"",""фіз особи new!relations_name""),6,FALSE)
,
(IF
(
C15343=""юридична особа""
,
VLOO"&amp;"KUP(D15343,IMPORTRANGE(""https://docs.google.com/spreadsheets/d/14Bd19lYaqBhU8_DElYkX7l4wRkHqqCUFNJY4AfY3kHU/edit?usp=sharing  #gid=0"",""фіз особи new!relations_name_uo""),7,FALSE)
,
)
))"),"БАНДОРІН Олексій Євгенійович")</f>
        <v>БАНДОРІН Олексій Євгенійович</v>
      </c>
      <c r="G15342" s="7" t="s">
        <v>10</v>
      </c>
      <c r="H15342" s="7">
        <v>19613</v>
      </c>
      <c r="I15342" s="8" t="str">
        <f ca="1">IFERROR(__xludf.DUMMYFUNCTION("IF
(
G15343=""фізична особа""
,
VLOOKUP(H15343,IMPORTRANGE(""https://docs.google.com/spreadsheets/d/14Bd19lYaqBhU8_DElYkX7l4wRkHqqCUFNJY4AfY3kHU/edit?usp=sharing  #gid=0"",""фіз особи new!relations_name""),6,FALSE)
,
(IF
(
G15343=""юридична особа""
,
VLOO"&amp;"KUP(H15343,IMPORTRANGE(""https://docs.google.com/spreadsheets/d/14Bd19lYaqBhU8_DElYkX7l4wRkHqqCUFNJY4AfY3kHU/edit?usp=sharing  #gid=0"",""фіз особи new!relations_name_uo""),7,FALSE)
,
)
))"),"БАНДОРІНА Ксенія Олексіївна")</f>
        <v>БАНДОРІНА Ксенія Олексіївна</v>
      </c>
      <c r="J15342" s="7" t="s">
        <v>112</v>
      </c>
    </row>
    <row r="15343" spans="1:10" ht="13.2">
      <c r="A15343" s="7">
        <v>15342</v>
      </c>
      <c r="B15343" s="7">
        <v>1</v>
      </c>
      <c r="C15343" s="7" t="s">
        <v>10</v>
      </c>
      <c r="D15343" s="7">
        <v>19616</v>
      </c>
      <c r="E15343" s="7" t="s">
        <v>21</v>
      </c>
      <c r="F15343" s="8" t="str">
        <f ca="1">IFERROR(__xludf.DUMMYFUNCTION("IF
(
C15344=""фізична особа""
,
VLOOKUP(D15344,IMPORTRANGE(""https://docs.google.com/spreadsheets/d/14Bd19lYaqBhU8_DElYkX7l4wRkHqqCUFNJY4AfY3kHU/edit?usp=sharing  #gid=0"",""фіз особи new!relations_name""),6,FALSE)
,
(IF
(
C15344=""юридична особа""
,
VLOO"&amp;"KUP(D15344,IMPORTRANGE(""https://docs.google.com/spreadsheets/d/14Bd19lYaqBhU8_DElYkX7l4wRkHqqCUFNJY4AfY3kHU/edit?usp=sharing  #gid=0"",""фіз особи new!relations_name_uo""),7,FALSE)
,
)
))"),"ХАУСТОВА Галина Веніамінівна")</f>
        <v>ХАУСТОВА Галина Веніамінівна</v>
      </c>
      <c r="G15343" s="7" t="s">
        <v>10</v>
      </c>
      <c r="H15343" s="7">
        <v>19617</v>
      </c>
      <c r="I15343" s="8" t="str">
        <f ca="1">IFERROR(__xludf.DUMMYFUNCTION("IF
(
G15344=""фізична особа""
,
VLOOKUP(H15344,IMPORTRANGE(""https://docs.google.com/spreadsheets/d/14Bd19lYaqBhU8_DElYkX7l4wRkHqqCUFNJY4AfY3kHU/edit?usp=sharing  #gid=0"",""фіз особи new!relations_name""),6,FALSE)
,
(IF
(
G15344=""юридична особа""
,
VLOO"&amp;"KUP(H15344,IMPORTRANGE(""https://docs.google.com/spreadsheets/d/14Bd19lYaqBhU8_DElYkX7l4wRkHqqCUFNJY4AfY3kHU/edit?usp=sharing  #gid=0"",""фіз особи new!relations_name_uo""),7,FALSE)
,
)
))"),"ХАУСТОВ Руслан Вадерійович")</f>
        <v>ХАУСТОВ Руслан Вадерійович</v>
      </c>
      <c r="J15343" s="7" t="s">
        <v>17</v>
      </c>
    </row>
    <row r="15344" spans="1:10" ht="13.2">
      <c r="A15344" s="7">
        <v>15343</v>
      </c>
      <c r="B15344" s="7">
        <v>1</v>
      </c>
      <c r="C15344" s="7" t="s">
        <v>10</v>
      </c>
      <c r="D15344" s="7">
        <v>19616</v>
      </c>
      <c r="E15344" s="7" t="s">
        <v>21</v>
      </c>
      <c r="F15344" s="8" t="str">
        <f ca="1">IFERROR(__xludf.DUMMYFUNCTION("IF
(
C15345=""фізична особа""
,
VLOOKUP(D15345,IMPORTRANGE(""https://docs.google.com/spreadsheets/d/14Bd19lYaqBhU8_DElYkX7l4wRkHqqCUFNJY4AfY3kHU/edit?usp=sharing  #gid=0"",""фіз особи new!relations_name""),6,FALSE)
,
(IF
(
C15345=""юридична особа""
,
VLOO"&amp;"KUP(D15345,IMPORTRANGE(""https://docs.google.com/spreadsheets/d/14Bd19lYaqBhU8_DElYkX7l4wRkHqqCUFNJY4AfY3kHU/edit?usp=sharing  #gid=0"",""фіз особи new!relations_name_uo""),7,FALSE)
,
)
))"),"ХАУСТОВА Галина Веніамінівна")</f>
        <v>ХАУСТОВА Галина Веніамінівна</v>
      </c>
      <c r="G15344" s="7" t="s">
        <v>10</v>
      </c>
      <c r="H15344" s="7">
        <v>19618</v>
      </c>
      <c r="I15344" s="8" t="str">
        <f ca="1">IFERROR(__xludf.DUMMYFUNCTION("IF
(
G15345=""фізична особа""
,
VLOOKUP(H15345,IMPORTRANGE(""https://docs.google.com/spreadsheets/d/14Bd19lYaqBhU8_DElYkX7l4wRkHqqCUFNJY4AfY3kHU/edit?usp=sharing  #gid=0"",""фіз особи new!relations_name""),6,FALSE)
,
(IF
(
G15345=""юридична особа""
,
VLOO"&amp;"KUP(H15345,IMPORTRANGE(""https://docs.google.com/spreadsheets/d/14Bd19lYaqBhU8_DElYkX7l4wRkHqqCUFNJY4AfY3kHU/edit?usp=sharing  #gid=0"",""фіз особи new!relations_name_uo""),7,FALSE)
,
)
))"),"ХАУСТОВ Сергій Валерійович")</f>
        <v>ХАУСТОВ Сергій Валерійович</v>
      </c>
      <c r="J15344" s="7" t="s">
        <v>17</v>
      </c>
    </row>
    <row r="15345" spans="1:10" ht="13.2">
      <c r="A15345" s="7">
        <v>15344</v>
      </c>
      <c r="B15345" s="7">
        <v>1</v>
      </c>
      <c r="C15345" s="7" t="s">
        <v>10</v>
      </c>
      <c r="D15345" s="7">
        <v>19617</v>
      </c>
      <c r="E15345" s="7" t="s">
        <v>17</v>
      </c>
      <c r="F15345" s="8" t="str">
        <f ca="1">IFERROR(__xludf.DUMMYFUNCTION("IF
(
C15346=""фізична особа""
,
VLOOKUP(D15346,IMPORTRANGE(""https://docs.google.com/spreadsheets/d/14Bd19lYaqBhU8_DElYkX7l4wRkHqqCUFNJY4AfY3kHU/edit?usp=sharing  #gid=0"",""фіз особи new!relations_name""),6,FALSE)
,
(IF
(
C15346=""юридична особа""
,
VLOO"&amp;"KUP(D15346,IMPORTRANGE(""https://docs.google.com/spreadsheets/d/14Bd19lYaqBhU8_DElYkX7l4wRkHqqCUFNJY4AfY3kHU/edit?usp=sharing  #gid=0"",""фіз особи new!relations_name_uo""),7,FALSE)
,
)
))"),"ХАУСТОВ Руслан Вадерійович")</f>
        <v>ХАУСТОВ Руслан Вадерійович</v>
      </c>
      <c r="G15345" s="7" t="s">
        <v>10</v>
      </c>
      <c r="H15345" s="7">
        <v>19616</v>
      </c>
      <c r="I15345" s="8" t="str">
        <f ca="1">IFERROR(__xludf.DUMMYFUNCTION("IF
(
G15346=""фізична особа""
,
VLOOKUP(H15346,IMPORTRANGE(""https://docs.google.com/spreadsheets/d/14Bd19lYaqBhU8_DElYkX7l4wRkHqqCUFNJY4AfY3kHU/edit?usp=sharing  #gid=0"",""фіз особи new!relations_name""),6,FALSE)
,
(IF
(
G15346=""юридична особа""
,
VLOO"&amp;"KUP(H15346,IMPORTRANGE(""https://docs.google.com/spreadsheets/d/14Bd19lYaqBhU8_DElYkX7l4wRkHqqCUFNJY4AfY3kHU/edit?usp=sharing  #gid=0"",""фіз особи new!relations_name_uo""),7,FALSE)
,
)
))"),"ХАУСТОВА Галина Веніамінівна")</f>
        <v>ХАУСТОВА Галина Веніамінівна</v>
      </c>
      <c r="J15345" s="7" t="s">
        <v>21</v>
      </c>
    </row>
    <row r="15346" spans="1:10" ht="13.2">
      <c r="A15346" s="7">
        <v>15345</v>
      </c>
      <c r="B15346" s="7">
        <v>1</v>
      </c>
      <c r="C15346" s="7" t="s">
        <v>10</v>
      </c>
      <c r="D15346" s="7">
        <v>19617</v>
      </c>
      <c r="E15346" s="7" t="s">
        <v>18</v>
      </c>
      <c r="F15346" s="8" t="str">
        <f ca="1">IFERROR(__xludf.DUMMYFUNCTION("IF
(
C15347=""фізична особа""
,
VLOOKUP(D15347,IMPORTRANGE(""https://docs.google.com/spreadsheets/d/14Bd19lYaqBhU8_DElYkX7l4wRkHqqCUFNJY4AfY3kHU/edit?usp=sharing  #gid=0"",""фіз особи new!relations_name""),6,FALSE)
,
(IF
(
C15347=""юридична особа""
,
VLOO"&amp;"KUP(D15347,IMPORTRANGE(""https://docs.google.com/spreadsheets/d/14Bd19lYaqBhU8_DElYkX7l4wRkHqqCUFNJY4AfY3kHU/edit?usp=sharing  #gid=0"",""фіз особи new!relations_name_uo""),7,FALSE)
,
)
))"),"ХАУСТОВ Руслан Вадерійович")</f>
        <v>ХАУСТОВ Руслан Вадерійович</v>
      </c>
      <c r="G15346" s="7" t="s">
        <v>10</v>
      </c>
      <c r="H15346" s="7">
        <v>19618</v>
      </c>
      <c r="I15346" s="8" t="str">
        <f ca="1">IFERROR(__xludf.DUMMYFUNCTION("IF
(
G15347=""фізична особа""
,
VLOOKUP(H15347,IMPORTRANGE(""https://docs.google.com/spreadsheets/d/14Bd19lYaqBhU8_DElYkX7l4wRkHqqCUFNJY4AfY3kHU/edit?usp=sharing  #gid=0"",""фіз особи new!relations_name""),6,FALSE)
,
(IF
(
G15347=""юридична особа""
,
VLOO"&amp;"KUP(H15347,IMPORTRANGE(""https://docs.google.com/spreadsheets/d/14Bd19lYaqBhU8_DElYkX7l4wRkHqqCUFNJY4AfY3kHU/edit?usp=sharing  #gid=0"",""фіз особи new!relations_name_uo""),7,FALSE)
,
)
))"),"ХАУСТОВ Сергій Валерійович")</f>
        <v>ХАУСТОВ Сергій Валерійович</v>
      </c>
      <c r="J15346" s="7" t="s">
        <v>18</v>
      </c>
    </row>
    <row r="15347" spans="1:10" ht="13.2">
      <c r="A15347" s="7">
        <v>15346</v>
      </c>
      <c r="B15347" s="7">
        <v>1</v>
      </c>
      <c r="C15347" s="7" t="s">
        <v>10</v>
      </c>
      <c r="D15347" s="7">
        <v>19618</v>
      </c>
      <c r="E15347" s="7" t="s">
        <v>17</v>
      </c>
      <c r="F15347" s="8" t="str">
        <f ca="1">IFERROR(__xludf.DUMMYFUNCTION("IF
(
C15348=""фізична особа""
,
VLOOKUP(D15348,IMPORTRANGE(""https://docs.google.com/spreadsheets/d/14Bd19lYaqBhU8_DElYkX7l4wRkHqqCUFNJY4AfY3kHU/edit?usp=sharing  #gid=0"",""фіз особи new!relations_name""),6,FALSE)
,
(IF
(
C15348=""юридична особа""
,
VLOO"&amp;"KUP(D15348,IMPORTRANGE(""https://docs.google.com/spreadsheets/d/14Bd19lYaqBhU8_DElYkX7l4wRkHqqCUFNJY4AfY3kHU/edit?usp=sharing  #gid=0"",""фіз особи new!relations_name_uo""),7,FALSE)
,
)
))"),"ХАУСТОВ Сергій Валерійович")</f>
        <v>ХАУСТОВ Сергій Валерійович</v>
      </c>
      <c r="G15347" s="7" t="s">
        <v>10</v>
      </c>
      <c r="H15347" s="7">
        <v>19616</v>
      </c>
      <c r="I15347" s="8" t="str">
        <f ca="1">IFERROR(__xludf.DUMMYFUNCTION("IF
(
G15348=""фізична особа""
,
VLOOKUP(H15348,IMPORTRANGE(""https://docs.google.com/spreadsheets/d/14Bd19lYaqBhU8_DElYkX7l4wRkHqqCUFNJY4AfY3kHU/edit?usp=sharing  #gid=0"",""фіз особи new!relations_name""),6,FALSE)
,
(IF
(
G15348=""юридична особа""
,
VLOO"&amp;"KUP(H15348,IMPORTRANGE(""https://docs.google.com/spreadsheets/d/14Bd19lYaqBhU8_DElYkX7l4wRkHqqCUFNJY4AfY3kHU/edit?usp=sharing  #gid=0"",""фіз особи new!relations_name_uo""),7,FALSE)
,
)
))"),"ХАУСТОВА Галина Веніамінівна")</f>
        <v>ХАУСТОВА Галина Веніамінівна</v>
      </c>
      <c r="J15347" s="7" t="s">
        <v>21</v>
      </c>
    </row>
    <row r="15348" spans="1:10" ht="13.2">
      <c r="A15348" s="7">
        <v>15347</v>
      </c>
      <c r="B15348" s="7">
        <v>1</v>
      </c>
      <c r="C15348" s="7" t="s">
        <v>10</v>
      </c>
      <c r="D15348" s="7">
        <v>19618</v>
      </c>
      <c r="E15348" s="7" t="s">
        <v>18</v>
      </c>
      <c r="F15348" s="8" t="str">
        <f ca="1">IFERROR(__xludf.DUMMYFUNCTION("IF
(
C15349=""фізична особа""
,
VLOOKUP(D15349,IMPORTRANGE(""https://docs.google.com/spreadsheets/d/14Bd19lYaqBhU8_DElYkX7l4wRkHqqCUFNJY4AfY3kHU/edit?usp=sharing  #gid=0"",""фіз особи new!relations_name""),6,FALSE)
,
(IF
(
C15349=""юридична особа""
,
VLOO"&amp;"KUP(D15349,IMPORTRANGE(""https://docs.google.com/spreadsheets/d/14Bd19lYaqBhU8_DElYkX7l4wRkHqqCUFNJY4AfY3kHU/edit?usp=sharing  #gid=0"",""фіз особи new!relations_name_uo""),7,FALSE)
,
)
))"),"ХАУСТОВ Сергій Валерійович")</f>
        <v>ХАУСТОВ Сергій Валерійович</v>
      </c>
      <c r="G15348" s="7" t="s">
        <v>10</v>
      </c>
      <c r="H15348" s="7">
        <v>19617</v>
      </c>
      <c r="I15348" s="8" t="str">
        <f ca="1">IFERROR(__xludf.DUMMYFUNCTION("IF
(
G15349=""фізична особа""
,
VLOOKUP(H15349,IMPORTRANGE(""https://docs.google.com/spreadsheets/d/14Bd19lYaqBhU8_DElYkX7l4wRkHqqCUFNJY4AfY3kHU/edit?usp=sharing  #gid=0"",""фіз особи new!relations_name""),6,FALSE)
,
(IF
(
G15349=""юридична особа""
,
VLOO"&amp;"KUP(H15349,IMPORTRANGE(""https://docs.google.com/spreadsheets/d/14Bd19lYaqBhU8_DElYkX7l4wRkHqqCUFNJY4AfY3kHU/edit?usp=sharing  #gid=0"",""фіз особи new!relations_name_uo""),7,FALSE)
,
)
))"),"ХАУСТОВ Руслан Вадерійович")</f>
        <v>ХАУСТОВ Руслан Вадерійович</v>
      </c>
      <c r="J15348" s="7" t="s">
        <v>18</v>
      </c>
    </row>
    <row r="15349" spans="1:10" ht="13.2">
      <c r="A15349" s="7">
        <v>15348</v>
      </c>
      <c r="B15349" s="7">
        <v>1</v>
      </c>
      <c r="C15349" s="7" t="s">
        <v>10</v>
      </c>
      <c r="D15349" s="7">
        <v>19625</v>
      </c>
      <c r="E15349" s="7" t="s">
        <v>23</v>
      </c>
      <c r="F15349" s="8" t="str">
        <f ca="1">IFERROR(__xludf.DUMMYFUNCTION("IF
(
C15350=""фізична особа""
,
VLOOKUP(D15350,IMPORTRANGE(""https://docs.google.com/spreadsheets/d/14Bd19lYaqBhU8_DElYkX7l4wRkHqqCUFNJY4AfY3kHU/edit?usp=sharing  #gid=0"",""фіз особи new!relations_name""),6,FALSE)
,
(IF
(
C15350=""юридична особа""
,
VLOO"&amp;"KUP(D15350,IMPORTRANGE(""https://docs.google.com/spreadsheets/d/14Bd19lYaqBhU8_DElYkX7l4wRkHqqCUFNJY4AfY3kHU/edit?usp=sharing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49" s="7" t="s">
        <v>10</v>
      </c>
      <c r="H15349" s="7">
        <v>19626</v>
      </c>
      <c r="I15349" s="8" t="str">
        <f ca="1">IFERROR(__xludf.DUMMYFUNCTION("IF
(
G15350=""фізична особа""
,
VLOOKUP(H15350,IMPORTRANGE(""https://docs.google.com/spreadsheets/d/14Bd19lYaqBhU8_DElYkX7l4wRkHqqCUFNJY4AfY3kHU/edit?usp=sharing  #gid=0"",""фіз особи new!relations_name""),6,FALSE)
,
(IF
(
G15350=""юридична особа""
,
VLOO"&amp;"KUP(H15350,IMPORTRANGE(""https://docs.google.com/spreadsheets/d/14Bd19lYaqBhU8_DElYkX7l4wRkHqqCUFNJY4AfY3kHU/edit?usp=sharing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49" s="7" t="s">
        <v>23</v>
      </c>
    </row>
    <row r="15350" spans="1:10" ht="13.2">
      <c r="A15350" s="7">
        <v>15349</v>
      </c>
      <c r="B15350" s="7">
        <v>1</v>
      </c>
      <c r="C15350" s="7" t="s">
        <v>10</v>
      </c>
      <c r="D15350" s="7">
        <v>19625</v>
      </c>
      <c r="E15350" s="7" t="s">
        <v>23</v>
      </c>
      <c r="F15350" s="8" t="str">
        <f ca="1">IFERROR(__xludf.DUMMYFUNCTION("IF
(
C15351=""фізична особа""
,
VLOOKUP(D15351,IMPORTRANGE(""https://docs.google.com/spreadsheets/d/14Bd19lYaqBhU8_DElYkX7l4wRkHqqCUFNJY4AfY3kHU/edit?usp=sharing  #gid=0"",""фіз особи new!relations_name""),6,FALSE)
,
(IF
(
C15351=""юридична особа""
,
VLOO"&amp;"KUP(D15351,IMPORTRANGE(""https://docs.google.com/spreadsheets/d/14Bd19lYaqBhU8_DElYkX7l4wRkHqqCUFNJY4AfY3kHU/edit?usp=sharing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0" s="7" t="s">
        <v>10</v>
      </c>
      <c r="H15350" s="7">
        <v>19627</v>
      </c>
      <c r="I15350" s="8" t="str">
        <f ca="1">IFERROR(__xludf.DUMMYFUNCTION("IF
(
G15351=""фізична особа""
,
VLOOKUP(H15351,IMPORTRANGE(""https://docs.google.com/spreadsheets/d/14Bd19lYaqBhU8_DElYkX7l4wRkHqqCUFNJY4AfY3kHU/edit?usp=sharing  #gid=0"",""фіз особи new!relations_name""),6,FALSE)
,
(IF
(
G15351=""юридична особа""
,
VLOO"&amp;"KUP(H15351,IMPORTRANGE(""https://docs.google.com/spreadsheets/d/14Bd19lYaqBhU8_DElYkX7l4wRkHqqCUFNJY4AfY3kHU/edit?usp=sharing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50" s="7" t="s">
        <v>23</v>
      </c>
    </row>
    <row r="15351" spans="1:10" ht="13.2">
      <c r="A15351" s="7">
        <v>15350</v>
      </c>
      <c r="B15351" s="7">
        <v>1</v>
      </c>
      <c r="C15351" s="7" t="s">
        <v>10</v>
      </c>
      <c r="D15351" s="7">
        <v>19625</v>
      </c>
      <c r="E15351" s="7" t="s">
        <v>23</v>
      </c>
      <c r="F15351" s="8" t="str">
        <f ca="1">IFERROR(__xludf.DUMMYFUNCTION("IF
(
C15352=""фізична особа""
,
VLOOKUP(D15352,IMPORTRANGE(""https://docs.google.com/spreadsheets/d/14Bd19lYaqBhU8_DElYkX7l4wRkHqqCUFNJY4AfY3kHU/edit?usp=sharing  #gid=0"",""фіз особи new!relations_name""),6,FALSE)
,
(IF
(
C15352=""юридична особа""
,
VLOO"&amp;"KUP(D15352,IMPORTRANGE(""https://docs.google.com/spreadsheets/d/14Bd19lYaqBhU8_DElYkX7l4wRkHqqCUFNJY4AfY3kHU/edit?usp=sharing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1" s="7" t="s">
        <v>10</v>
      </c>
      <c r="H15351" s="7">
        <v>19631</v>
      </c>
      <c r="I15351" s="8" t="str">
        <f ca="1">IFERROR(__xludf.DUMMYFUNCTION("IF
(
G15352=""фізична особа""
,
VLOOKUP(H15352,IMPORTRANGE(""https://docs.google.com/spreadsheets/d/14Bd19lYaqBhU8_DElYkX7l4wRkHqqCUFNJY4AfY3kHU/edit?usp=sharing  #gid=0"",""фіз особи new!relations_name""),6,FALSE)
,
(IF
(
G15352=""юридична особа""
,
VLOO"&amp;"KUP(H15352,IMPORTRANGE(""https://docs.google.com/spreadsheets/d/14Bd19lYaqBhU8_DElYkX7l4wRkHqqCUFNJY4AfY3kHU/edit?usp=sharing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51" s="7" t="s">
        <v>23</v>
      </c>
    </row>
    <row r="15352" spans="1:10" ht="13.2">
      <c r="A15352" s="7">
        <v>15351</v>
      </c>
      <c r="B15352" s="7">
        <v>1</v>
      </c>
      <c r="C15352" s="7" t="s">
        <v>10</v>
      </c>
      <c r="D15352" s="7">
        <v>19625</v>
      </c>
      <c r="E15352" s="7" t="s">
        <v>23</v>
      </c>
      <c r="F15352" s="8" t="str">
        <f ca="1">IFERROR(__xludf.DUMMYFUNCTION("IF
(
C15353=""фізична особа""
,
VLOOKUP(D15353,IMPORTRANGE(""https://docs.google.com/spreadsheets/d/14Bd19lYaqBhU8_DElYkX7l4wRkHqqCUFNJY4AfY3kHU/edit?usp=sharing  #gid=0"",""фіз особи new!relations_name""),6,FALSE)
,
(IF
(
C15353=""юридична особа""
,
VLOO"&amp;"KUP(D15353,IMPORTRANGE(""https://docs.google.com/spreadsheets/d/14Bd19lYaqBhU8_DElYkX7l4wRkHqqCUFNJY4AfY3kHU/edit?usp=sharing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2" s="7" t="s">
        <v>10</v>
      </c>
      <c r="H15352" s="7">
        <v>19628</v>
      </c>
      <c r="I15352" s="8" t="str">
        <f ca="1">IFERROR(__xludf.DUMMYFUNCTION("IF
(
G15353=""фізична особа""
,
VLOOKUP(H15353,IMPORTRANGE(""https://docs.google.com/spreadsheets/d/14Bd19lYaqBhU8_DElYkX7l4wRkHqqCUFNJY4AfY3kHU/edit?usp=sharing  #gid=0"",""фіз особи new!relations_name""),6,FALSE)
,
(IF
(
G15353=""юридична особа""
,
VLOO"&amp;"KUP(H15353,IMPORTRANGE(""https://docs.google.com/spreadsheets/d/14Bd19lYaqBhU8_DElYkX7l4wRkHqqCUFNJY4AfY3kHU/edit?usp=sharing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52" s="7" t="s">
        <v>23</v>
      </c>
    </row>
    <row r="15353" spans="1:10" ht="13.2">
      <c r="A15353" s="7">
        <v>15352</v>
      </c>
      <c r="B15353" s="7">
        <v>1</v>
      </c>
      <c r="C15353" s="7" t="s">
        <v>10</v>
      </c>
      <c r="D15353" s="7">
        <v>19625</v>
      </c>
      <c r="E15353" s="7" t="s">
        <v>23</v>
      </c>
      <c r="F15353" s="8" t="str">
        <f ca="1">IFERROR(__xludf.DUMMYFUNCTION("IF
(
C15354=""фізична особа""
,
VLOOKUP(D15354,IMPORTRANGE(""https://docs.google.com/spreadsheets/d/14Bd19lYaqBhU8_DElYkX7l4wRkHqqCUFNJY4AfY3kHU/edit?usp=sharing  #gid=0"",""фіз особи new!relations_name""),6,FALSE)
,
(IF
(
C15354=""юридична особа""
,
VLOO"&amp;"KUP(D15354,IMPORTRANGE(""https://docs.google.com/spreadsheets/d/14Bd19lYaqBhU8_DElYkX7l4wRkHqqCUFNJY4AfY3kHU/edit?usp=sharing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3" s="7" t="s">
        <v>10</v>
      </c>
      <c r="H15353" s="7">
        <v>19629</v>
      </c>
      <c r="I15353" s="8" t="str">
        <f ca="1">IFERROR(__xludf.DUMMYFUNCTION("IF
(
G15354=""фізична особа""
,
VLOOKUP(H15354,IMPORTRANGE(""https://docs.google.com/spreadsheets/d/14Bd19lYaqBhU8_DElYkX7l4wRkHqqCUFNJY4AfY3kHU/edit?usp=sharing  #gid=0"",""фіз особи new!relations_name""),6,FALSE)
,
(IF
(
G15354=""юридична особа""
,
VLOO"&amp;"KUP(H15354,IMPORTRANGE(""https://docs.google.com/spreadsheets/d/14Bd19lYaqBhU8_DElYkX7l4wRkHqqCUFNJY4AfY3kHU/edit?usp=sharing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J15353" s="7" t="s">
        <v>23</v>
      </c>
    </row>
    <row r="15354" spans="1:10" ht="13.2">
      <c r="A15354" s="7">
        <v>15353</v>
      </c>
      <c r="B15354" s="7">
        <v>1</v>
      </c>
      <c r="C15354" s="7" t="s">
        <v>10</v>
      </c>
      <c r="D15354" s="7">
        <v>19625</v>
      </c>
      <c r="E15354" s="7" t="s">
        <v>23</v>
      </c>
      <c r="F15354" s="8" t="str">
        <f ca="1">IFERROR(__xludf.DUMMYFUNCTION("IF
(
C15355=""фізична особа""
,
VLOOKUP(D15355,IMPORTRANGE(""https://docs.google.com/spreadsheets/d/14Bd19lYaqBhU8_DElYkX7l4wRkHqqCUFNJY4AfY3kHU/edit?usp=sharing  #gid=0"",""фіз особи new!relations_name""),6,FALSE)
,
(IF
(
C15355=""юридична особа""
,
VLOO"&amp;"KUP(D15355,IMPORTRANGE(""https://docs.google.com/spreadsheets/d/14Bd19lYaqBhU8_DElYkX7l4wRkHqqCUFNJY4AfY3kHU/edit?usp=sharing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4" s="7" t="s">
        <v>10</v>
      </c>
      <c r="H15354" s="7">
        <v>0</v>
      </c>
      <c r="I15354" s="8" t="str">
        <f ca="1">IFERROR(__xludf.DUMMYFUNCTION("IF
(
G15355=""фізична особа""
,
VLOOKUP(H15355,IMPORTRANGE(""https://docs.google.com/spreadsheets/d/14Bd19lYaqBhU8_DElYkX7l4wRkHqqCUFNJY4AfY3kHU/edit?usp=sharing  #gid=0"",""фіз особи new!relations_name""),6,FALSE)
,
(IF
(
G15355=""юридична особа""
,
VLOO"&amp;"KUP(H15355,IMPORTRANGE(""https://docs.google.com/spreadsheets/d/14Bd19lYaqBhU8_DElYkX7l4wRkHqqCUFNJY4AfY3kHU/edit?usp=sharing  #gid=0"",""фіз особи new!relations_name_uo""),7,FALSE)
,
)
))"),"#N/A")</f>
        <v>#N/A</v>
      </c>
      <c r="J15354" s="7" t="s">
        <v>23</v>
      </c>
    </row>
    <row r="15355" spans="1:10" ht="13.2">
      <c r="A15355" s="7">
        <v>15354</v>
      </c>
      <c r="B15355" s="7">
        <v>1</v>
      </c>
      <c r="C15355" s="7" t="s">
        <v>10</v>
      </c>
      <c r="D15355" s="7">
        <v>19625</v>
      </c>
      <c r="E15355" s="7" t="s">
        <v>23</v>
      </c>
      <c r="F15355" s="8" t="str">
        <f ca="1">IFERROR(__xludf.DUMMYFUNCTION("IF
(
C15356=""фізична особа""
,
VLOOKUP(D15356,IMPORTRANGE(""https://docs.google.com/spreadsheets/d/14Bd19lYaqBhU8_DElYkX7l4wRkHqqCUFNJY4AfY3kHU/edit?usp=sharing  #gid=0"",""фіз особи new!relations_name""),6,FALSE)
,
(IF
(
C15356=""юридична особа""
,
VLOO"&amp;"KUP(D15356,IMPORTRANGE(""https://docs.google.com/spreadsheets/d/14Bd19lYaqBhU8_DElYkX7l4wRkHqqCUFNJY4AfY3kHU/edit?usp=sharing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5" s="7" t="s">
        <v>10</v>
      </c>
      <c r="H15355" s="7">
        <v>0</v>
      </c>
      <c r="I15355" s="8" t="str">
        <f ca="1">IFERROR(__xludf.DUMMYFUNCTION("IF
(
G15356=""фізична особа""
,
VLOOKUP(H15356,IMPORTRANGE(""https://docs.google.com/spreadsheets/d/14Bd19lYaqBhU8_DElYkX7l4wRkHqqCUFNJY4AfY3kHU/edit?usp=sharing  #gid=0"",""фіз особи new!relations_name""),6,FALSE)
,
(IF
(
G15356=""юридична особа""
,
VLOO"&amp;"KUP(H15356,IMPORTRANGE(""https://docs.google.com/spreadsheets/d/14Bd19lYaqBhU8_DElYkX7l4wRkHqqCUFNJY4AfY3kHU/edit?usp=sharing  #gid=0"",""фіз особи new!relations_name_uo""),7,FALSE)
,
)
))"),"#N/A")</f>
        <v>#N/A</v>
      </c>
      <c r="J15355" s="7" t="s">
        <v>23</v>
      </c>
    </row>
    <row r="15356" spans="1:10" ht="13.2">
      <c r="A15356" s="7">
        <v>15355</v>
      </c>
      <c r="B15356" s="7">
        <v>1</v>
      </c>
      <c r="C15356" s="7" t="s">
        <v>10</v>
      </c>
      <c r="D15356" s="7">
        <v>19625</v>
      </c>
      <c r="E15356" s="7" t="s">
        <v>23</v>
      </c>
      <c r="F15356" s="8" t="str">
        <f ca="1">IFERROR(__xludf.DUMMYFUNCTION("IF
(
C15357=""фізична особа""
,
VLOOKUP(D15357,IMPORTRANGE(""https://docs.google.com/spreadsheets/d/14Bd19lYaqBhU8_DElYkX7l4wRkHqqCUFNJY4AfY3kHU/edit?usp=sharing  #gid=0"",""фіз особи new!relations_name""),6,FALSE)
,
(IF
(
C15357=""юридична особа""
,
VLOO"&amp;"KUP(D15357,IMPORTRANGE(""https://docs.google.com/spreadsheets/d/14Bd19lYaqBhU8_DElYkX7l4wRkHqqCUFNJY4AfY3kHU/edit?usp=sharing  #gid=0"",""фіз особи new!relations_name_uo""),7,FALSE)
,
)
))"),"ГУРІН Гліб Юрійович")</f>
        <v>ГУРІН Гліб Юрійович</v>
      </c>
      <c r="G15356" s="7" t="s">
        <v>10</v>
      </c>
      <c r="H15356" s="7">
        <v>19630</v>
      </c>
      <c r="I15356" s="8" t="str">
        <f ca="1">IFERROR(__xludf.DUMMYFUNCTION("IF
(
G15357=""фізична особа""
,
VLOOKUP(H15357,IMPORTRANGE(""https://docs.google.com/spreadsheets/d/14Bd19lYaqBhU8_DElYkX7l4wRkHqqCUFNJY4AfY3kHU/edit?usp=sharing  #gid=0"",""фіз особи new!relations_name""),6,FALSE)
,
(IF
(
G15357=""юридична особа""
,
VLOO"&amp;"KUP(H15357,IMPORTRANGE(""https://docs.google.com/spreadsheets/d/14Bd19lYaqBhU8_DElYkX7l4wRkHqqCUFNJY4AfY3kHU/edit?usp=sharing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356" s="7" t="s">
        <v>23</v>
      </c>
    </row>
    <row r="15357" spans="1:10" ht="13.2">
      <c r="A15357" s="7">
        <v>15356</v>
      </c>
      <c r="B15357" s="7">
        <v>1</v>
      </c>
      <c r="C15357" s="7" t="s">
        <v>10</v>
      </c>
      <c r="D15357" s="7">
        <v>19626</v>
      </c>
      <c r="E15357" s="7" t="s">
        <v>23</v>
      </c>
      <c r="F15357" s="8" t="str">
        <f ca="1">IFERROR(__xludf.DUMMYFUNCTION("IF
(
C15358=""фізична особа""
,
VLOOKUP(D15358,IMPORTRANGE(""https://docs.google.com/spreadsheets/d/14Bd19lYaqBhU8_DElYkX7l4wRkHqqCUFNJY4AfY3kHU/edit?usp=sharing  #gid=0"",""фіз особи new!relations_name""),6,FALSE)
,
(IF
(
C15358=""юридична особа""
,
VLOO"&amp;"KUP(D15358,IMPORTRANGE(""https://docs.google.com/spreadsheets/d/14Bd19lYaqBhU8_DElYkX7l4wRkHqqCUFNJY4AfY3kHU/edit?usp=sharing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57" s="7" t="s">
        <v>10</v>
      </c>
      <c r="H15357" s="7">
        <v>19627</v>
      </c>
      <c r="I15357" s="8" t="str">
        <f ca="1">IFERROR(__xludf.DUMMYFUNCTION("IF
(
G15358=""фізична особа""
,
VLOOKUP(H15358,IMPORTRANGE(""https://docs.google.com/spreadsheets/d/14Bd19lYaqBhU8_DElYkX7l4wRkHqqCUFNJY4AfY3kHU/edit?usp=sharing  #gid=0"",""фіз особи new!relations_name""),6,FALSE)
,
(IF
(
G15358=""юридична особа""
,
VLOO"&amp;"KUP(H15358,IMPORTRANGE(""https://docs.google.com/spreadsheets/d/14Bd19lYaqBhU8_DElYkX7l4wRkHqqCUFNJY4AfY3kHU/edit?usp=sharing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57" s="7" t="s">
        <v>23</v>
      </c>
    </row>
    <row r="15358" spans="1:10" ht="13.2">
      <c r="A15358" s="7">
        <v>15357</v>
      </c>
      <c r="B15358" s="7">
        <v>1</v>
      </c>
      <c r="C15358" s="7" t="s">
        <v>10</v>
      </c>
      <c r="D15358" s="7">
        <v>19626</v>
      </c>
      <c r="E15358" s="7" t="s">
        <v>23</v>
      </c>
      <c r="F15358" s="8" t="str">
        <f ca="1">IFERROR(__xludf.DUMMYFUNCTION("IF
(
C15359=""фізична особа""
,
VLOOKUP(D15359,IMPORTRANGE(""https://docs.google.com/spreadsheets/d/14Bd19lYaqBhU8_DElYkX7l4wRkHqqCUFNJY4AfY3kHU/edit?usp=sharing  #gid=0"",""фіз особи new!relations_name""),6,FALSE)
,
(IF
(
C15359=""юридична особа""
,
VLOO"&amp;"KUP(D15359,IMPORTRANGE(""https://docs.google.com/spreadsheets/d/14Bd19lYaqBhU8_DElYkX7l4wRkHqqCUFNJY4AfY3kHU/edit?usp=sharing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58" s="7" t="s">
        <v>10</v>
      </c>
      <c r="H15358" s="7">
        <v>19631</v>
      </c>
      <c r="I15358" s="8" t="str">
        <f ca="1">IFERROR(__xludf.DUMMYFUNCTION("IF
(
G15359=""фізична особа""
,
VLOOKUP(H15359,IMPORTRANGE(""https://docs.google.com/spreadsheets/d/14Bd19lYaqBhU8_DElYkX7l4wRkHqqCUFNJY4AfY3kHU/edit?usp=sharing  #gid=0"",""фіз особи new!relations_name""),6,FALSE)
,
(IF
(
G15359=""юридична особа""
,
VLOO"&amp;"KUP(H15359,IMPORTRANGE(""https://docs.google.com/spreadsheets/d/14Bd19lYaqBhU8_DElYkX7l4wRkHqqCUFNJY4AfY3kHU/edit?usp=sharing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58" s="7" t="s">
        <v>23</v>
      </c>
    </row>
    <row r="15359" spans="1:10" ht="13.2">
      <c r="A15359" s="7">
        <v>15358</v>
      </c>
      <c r="B15359" s="7">
        <v>1</v>
      </c>
      <c r="C15359" s="7" t="s">
        <v>10</v>
      </c>
      <c r="D15359" s="7">
        <v>19626</v>
      </c>
      <c r="E15359" s="7" t="s">
        <v>23</v>
      </c>
      <c r="F15359" s="8" t="str">
        <f ca="1">IFERROR(__xludf.DUMMYFUNCTION("IF
(
C15360=""фізична особа""
,
VLOOKUP(D15360,IMPORTRANGE(""https://docs.google.com/spreadsheets/d/14Bd19lYaqBhU8_DElYkX7l4wRkHqqCUFNJY4AfY3kHU/edit?usp=sharing  #gid=0"",""фіз особи new!relations_name""),6,FALSE)
,
(IF
(
C15360=""юридична особа""
,
VLOO"&amp;"KUP(D15360,IMPORTRANGE(""https://docs.google.com/spreadsheets/d/14Bd19lYaqBhU8_DElYkX7l4wRkHqqCUFNJY4AfY3kHU/edit?usp=sharing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59" s="7" t="s">
        <v>10</v>
      </c>
      <c r="H15359" s="7">
        <v>19628</v>
      </c>
      <c r="I15359" s="8" t="str">
        <f ca="1">IFERROR(__xludf.DUMMYFUNCTION("IF
(
G15360=""фізична особа""
,
VLOOKUP(H15360,IMPORTRANGE(""https://docs.google.com/spreadsheets/d/14Bd19lYaqBhU8_DElYkX7l4wRkHqqCUFNJY4AfY3kHU/edit?usp=sharing  #gid=0"",""фіз особи new!relations_name""),6,FALSE)
,
(IF
(
G15360=""юридична особа""
,
VLOO"&amp;"KUP(H15360,IMPORTRANGE(""https://docs.google.com/spreadsheets/d/14Bd19lYaqBhU8_DElYkX7l4wRkHqqCUFNJY4AfY3kHU/edit?usp=sharing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59" s="7" t="s">
        <v>23</v>
      </c>
    </row>
    <row r="15360" spans="1:10" ht="13.2">
      <c r="A15360" s="7">
        <v>15359</v>
      </c>
      <c r="B15360" s="7">
        <v>1</v>
      </c>
      <c r="C15360" s="7" t="s">
        <v>10</v>
      </c>
      <c r="D15360" s="7">
        <v>19626</v>
      </c>
      <c r="E15360" s="7" t="s">
        <v>23</v>
      </c>
      <c r="F15360" s="8" t="str">
        <f ca="1">IFERROR(__xludf.DUMMYFUNCTION("IF
(
C15361=""фізична особа""
,
VLOOKUP(D15361,IMPORTRANGE(""https://docs.google.com/spreadsheets/d/14Bd19lYaqBhU8_DElYkX7l4wRkHqqCUFNJY4AfY3kHU/edit?usp=sharing  #gid=0"",""фіз особи new!relations_name""),6,FALSE)
,
(IF
(
C15361=""юридична особа""
,
VLOO"&amp;"KUP(D15361,IMPORTRANGE(""https://docs.google.com/spreadsheets/d/14Bd19lYaqBhU8_DElYkX7l4wRkHqqCUFNJY4AfY3kHU/edit?usp=sharing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60" s="7" t="s">
        <v>10</v>
      </c>
      <c r="H15360" s="7">
        <v>19629</v>
      </c>
      <c r="I15360" s="8" t="str">
        <f ca="1">IFERROR(__xludf.DUMMYFUNCTION("IF
(
G15361=""фізична особа""
,
VLOOKUP(H15361,IMPORTRANGE(""https://docs.google.com/spreadsheets/d/14Bd19lYaqBhU8_DElYkX7l4wRkHqqCUFNJY4AfY3kHU/edit?usp=sharing  #gid=0"",""фіз особи new!relations_name""),6,FALSE)
,
(IF
(
G15361=""юридична особа""
,
VLOO"&amp;"KUP(H15361,IMPORTRANGE(""https://docs.google.com/spreadsheets/d/14Bd19lYaqBhU8_DElYkX7l4wRkHqqCUFNJY4AfY3kHU/edit?usp=sharing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J15360" s="7" t="s">
        <v>23</v>
      </c>
    </row>
    <row r="15361" spans="1:10" ht="13.2">
      <c r="A15361" s="7">
        <v>15360</v>
      </c>
      <c r="B15361" s="7">
        <v>1</v>
      </c>
      <c r="C15361" s="7" t="s">
        <v>10</v>
      </c>
      <c r="D15361" s="7">
        <v>19626</v>
      </c>
      <c r="E15361" s="7" t="s">
        <v>23</v>
      </c>
      <c r="F15361" s="8" t="str">
        <f ca="1">IFERROR(__xludf.DUMMYFUNCTION("IF
(
C15362=""фізична особа""
,
VLOOKUP(D15362,IMPORTRANGE(""https://docs.google.com/spreadsheets/d/14Bd19lYaqBhU8_DElYkX7l4wRkHqqCUFNJY4AfY3kHU/edit?usp=sharing  #gid=0"",""фіз особи new!relations_name""),6,FALSE)
,
(IF
(
C15362=""юридична особа""
,
VLOO"&amp;"KUP(D15362,IMPORTRANGE(""https://docs.google.com/spreadsheets/d/14Bd19lYaqBhU8_DElYkX7l4wRkHqqCUFNJY4AfY3kHU/edit?usp=sharing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61" s="7" t="s">
        <v>10</v>
      </c>
      <c r="H15361" s="7">
        <v>0</v>
      </c>
      <c r="I15361" s="8" t="str">
        <f ca="1">IFERROR(__xludf.DUMMYFUNCTION("IF
(
G15362=""фізична особа""
,
VLOOKUP(H15362,IMPORTRANGE(""https://docs.google.com/spreadsheets/d/14Bd19lYaqBhU8_DElYkX7l4wRkHqqCUFNJY4AfY3kHU/edit?usp=sharing  #gid=0"",""фіз особи new!relations_name""),6,FALSE)
,
(IF
(
G15362=""юридична особа""
,
VLOO"&amp;"KUP(H15362,IMPORTRANGE(""https://docs.google.com/spreadsheets/d/14Bd19lYaqBhU8_DElYkX7l4wRkHqqCUFNJY4AfY3kHU/edit?usp=sharing  #gid=0"",""фіз особи new!relations_name_uo""),7,FALSE)
,
)
))"),"#N/A")</f>
        <v>#N/A</v>
      </c>
      <c r="J15361" s="7" t="s">
        <v>23</v>
      </c>
    </row>
    <row r="15362" spans="1:10" ht="13.2">
      <c r="A15362" s="7">
        <v>15361</v>
      </c>
      <c r="B15362" s="7">
        <v>1</v>
      </c>
      <c r="C15362" s="7" t="s">
        <v>10</v>
      </c>
      <c r="D15362" s="7">
        <v>19626</v>
      </c>
      <c r="E15362" s="7" t="s">
        <v>79</v>
      </c>
      <c r="F15362" s="8" t="str">
        <f ca="1">IFERROR(__xludf.DUMMYFUNCTION("IF
(
C15363=""фізична особа""
,
VLOOKUP(D15363,IMPORTRANGE(""https://docs.google.com/spreadsheets/d/14Bd19lYaqBhU8_DElYkX7l4wRkHqqCUFNJY4AfY3kHU/edit?usp=sharing  #gid=0"",""фіз особи new!relations_name""),6,FALSE)
,
(IF
(
C15363=""юридична особа""
,
VLOO"&amp;"KUP(D15363,IMPORTRANGE(""https://docs.google.com/spreadsheets/d/14Bd19lYaqBhU8_DElYkX7l4wRkHqqCUFNJY4AfY3kHU/edit?usp=sharing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62" s="7" t="s">
        <v>10</v>
      </c>
      <c r="H15362" s="7">
        <v>23716</v>
      </c>
      <c r="I15362" s="8" t="str">
        <f ca="1">IFERROR(__xludf.DUMMYFUNCTION("IF
(
G15363=""фізична особа""
,
VLOOKUP(H15363,IMPORTRANGE(""https://docs.google.com/spreadsheets/d/14Bd19lYaqBhU8_DElYkX7l4wRkHqqCUFNJY4AfY3kHU/edit?usp=sharing  #gid=0"",""фіз особи new!relations_name""),6,FALSE)
,
(IF
(
G15363=""юридична особа""
,
VLOO"&amp;"KUP(H15363,IMPORTRANGE(""https://docs.google.com/spreadsheets/d/14Bd19lYaqBhU8_DElYkX7l4wRkHqqCUFNJY4AfY3kHU/edit?usp=sharing  #gid=0"",""фіз особи new!relations_name_uo""),7,FALSE)
,
)
))"),"АРТЮХОВ Артур Альбертович")</f>
        <v>АРТЮХОВ Артур Альбертович</v>
      </c>
      <c r="J15362" s="7" t="s">
        <v>61</v>
      </c>
    </row>
    <row r="15363" spans="1:10" ht="13.2">
      <c r="A15363" s="7">
        <v>15362</v>
      </c>
      <c r="B15363" s="7">
        <v>1</v>
      </c>
      <c r="C15363" s="7" t="s">
        <v>10</v>
      </c>
      <c r="D15363" s="7">
        <v>19626</v>
      </c>
      <c r="E15363" s="7" t="s">
        <v>23</v>
      </c>
      <c r="F15363" s="8" t="str">
        <f ca="1">IFERROR(__xludf.DUMMYFUNCTION("IF
(
C15364=""фізична особа""
,
VLOOKUP(D15364,IMPORTRANGE(""https://docs.google.com/spreadsheets/d/14Bd19lYaqBhU8_DElYkX7l4wRkHqqCUFNJY4AfY3kHU/edit?usp=sharing  #gid=0"",""фіз особи new!relations_name""),6,FALSE)
,
(IF
(
C15364=""юридична особа""
,
VLOO"&amp;"KUP(D15364,IMPORTRANGE(""https://docs.google.com/spreadsheets/d/14Bd19lYaqBhU8_DElYkX7l4wRkHqqCUFNJY4AfY3kHU/edit?usp=sharing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G15363" s="7" t="s">
        <v>10</v>
      </c>
      <c r="H15363" s="7">
        <v>19630</v>
      </c>
      <c r="I15363" s="8" t="str">
        <f ca="1">IFERROR(__xludf.DUMMYFUNCTION("IF
(
G15364=""фізична особа""
,
VLOOKUP(H15364,IMPORTRANGE(""https://docs.google.com/spreadsheets/d/14Bd19lYaqBhU8_DElYkX7l4wRkHqqCUFNJY4AfY3kHU/edit?usp=sharing  #gid=0"",""фіз особи new!relations_name""),6,FALSE)
,
(IF
(
G15364=""юридична особа""
,
VLOO"&amp;"KUP(H15364,IMPORTRANGE(""https://docs.google.com/spreadsheets/d/14Bd19lYaqBhU8_DElYkX7l4wRkHqqCUFNJY4AfY3kHU/edit?usp=sharing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363" s="7" t="s">
        <v>23</v>
      </c>
    </row>
    <row r="15364" spans="1:10" ht="13.2">
      <c r="A15364" s="7">
        <v>15363</v>
      </c>
      <c r="B15364" s="7">
        <v>1</v>
      </c>
      <c r="C15364" s="7" t="s">
        <v>10</v>
      </c>
      <c r="D15364" s="7">
        <v>19627</v>
      </c>
      <c r="E15364" s="7" t="s">
        <v>23</v>
      </c>
      <c r="F15364" s="8" t="str">
        <f ca="1">IFERROR(__xludf.DUMMYFUNCTION("IF
(
C15365=""фізична особа""
,
VLOOKUP(D15365,IMPORTRANGE(""https://docs.google.com/spreadsheets/d/14Bd19lYaqBhU8_DElYkX7l4wRkHqqCUFNJY4AfY3kHU/edit?usp=sharing  #gid=0"",""фіз особи new!relations_name""),6,FALSE)
,
(IF
(
C15365=""юридична особа""
,
VLOO"&amp;"KUP(D15365,IMPORTRANGE(""https://docs.google.com/spreadsheets/d/14Bd19lYaqBhU8_DElYkX7l4wRkHqqCUFNJY4AfY3kHU/edit?usp=sharing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G15364" s="7" t="s">
        <v>10</v>
      </c>
      <c r="H15364" s="7">
        <v>19626</v>
      </c>
      <c r="I15364" s="8" t="str">
        <f ca="1">IFERROR(__xludf.DUMMYFUNCTION("IF
(
G15365=""фізична особа""
,
VLOOKUP(H15365,IMPORTRANGE(""https://docs.google.com/spreadsheets/d/14Bd19lYaqBhU8_DElYkX7l4wRkHqqCUFNJY4AfY3kHU/edit?usp=sharing  #gid=0"",""фіз особи new!relations_name""),6,FALSE)
,
(IF
(
G15365=""юридична особа""
,
VLOO"&amp;"KUP(H15365,IMPORTRANGE(""https://docs.google.com/spreadsheets/d/14Bd19lYaqBhU8_DElYkX7l4wRkHqqCUFNJY4AfY3kHU/edit?usp=sharing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64" s="7" t="s">
        <v>23</v>
      </c>
    </row>
    <row r="15365" spans="1:10" ht="13.2">
      <c r="A15365" s="7">
        <v>15364</v>
      </c>
      <c r="B15365" s="7">
        <v>1</v>
      </c>
      <c r="C15365" s="7" t="s">
        <v>10</v>
      </c>
      <c r="D15365" s="7">
        <v>19627</v>
      </c>
      <c r="E15365" s="7" t="s">
        <v>23</v>
      </c>
      <c r="F15365" s="8" t="str">
        <f ca="1">IFERROR(__xludf.DUMMYFUNCTION("IF
(
C15366=""фізична особа""
,
VLOOKUP(D15366,IMPORTRANGE(""https://docs.google.com/spreadsheets/d/14Bd19lYaqBhU8_DElYkX7l4wRkHqqCUFNJY4AfY3kHU/edit?usp=sharing  #gid=0"",""фіз особи new!relations_name""),6,FALSE)
,
(IF
(
C15366=""юридична особа""
,
VLOO"&amp;"KUP(D15366,IMPORTRANGE(""https://docs.google.com/spreadsheets/d/14Bd19lYaqBhU8_DElYkX7l4wRkHqqCUFNJY4AfY3kHU/edit?usp=sharing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G15365" s="7" t="s">
        <v>10</v>
      </c>
      <c r="H15365" s="7">
        <v>19631</v>
      </c>
      <c r="I15365" s="8" t="str">
        <f ca="1">IFERROR(__xludf.DUMMYFUNCTION("IF
(
G15366=""фізична особа""
,
VLOOKUP(H15366,IMPORTRANGE(""https://docs.google.com/spreadsheets/d/14Bd19lYaqBhU8_DElYkX7l4wRkHqqCUFNJY4AfY3kHU/edit?usp=sharing  #gid=0"",""фіз особи new!relations_name""),6,FALSE)
,
(IF
(
G15366=""юридична особа""
,
VLOO"&amp;"KUP(H15366,IMPORTRANGE(""https://docs.google.com/spreadsheets/d/14Bd19lYaqBhU8_DElYkX7l4wRkHqqCUFNJY4AfY3kHU/edit?usp=sharing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65" s="7" t="s">
        <v>23</v>
      </c>
    </row>
    <row r="15366" spans="1:10" ht="13.2">
      <c r="A15366" s="7">
        <v>15365</v>
      </c>
      <c r="B15366" s="7">
        <v>1</v>
      </c>
      <c r="C15366" s="7" t="s">
        <v>10</v>
      </c>
      <c r="D15366" s="7">
        <v>19627</v>
      </c>
      <c r="E15366" s="7" t="s">
        <v>23</v>
      </c>
      <c r="F15366" s="8" t="str">
        <f ca="1">IFERROR(__xludf.DUMMYFUNCTION("IF
(
C15367=""фізична особа""
,
VLOOKUP(D15367,IMPORTRANGE(""https://docs.google.com/spreadsheets/d/14Bd19lYaqBhU8_DElYkX7l4wRkHqqCUFNJY4AfY3kHU/edit?usp=sharing  #gid=0"",""фіз особи new!relations_name""),6,FALSE)
,
(IF
(
C15367=""юридична особа""
,
VLOO"&amp;"KUP(D15367,IMPORTRANGE(""https://docs.google.com/spreadsheets/d/14Bd19lYaqBhU8_DElYkX7l4wRkHqqCUFNJY4AfY3kHU/edit?usp=sharing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G15366" s="7" t="s">
        <v>10</v>
      </c>
      <c r="H15366" s="7">
        <v>19628</v>
      </c>
      <c r="I15366" s="8" t="str">
        <f ca="1">IFERROR(__xludf.DUMMYFUNCTION("IF
(
G15367=""фізична особа""
,
VLOOKUP(H15367,IMPORTRANGE(""https://docs.google.com/spreadsheets/d/14Bd19lYaqBhU8_DElYkX7l4wRkHqqCUFNJY4AfY3kHU/edit?usp=sharing  #gid=0"",""фіз особи new!relations_name""),6,FALSE)
,
(IF
(
G15367=""юридична особа""
,
VLOO"&amp;"KUP(H15367,IMPORTRANGE(""https://docs.google.com/spreadsheets/d/14Bd19lYaqBhU8_DElYkX7l4wRkHqqCUFNJY4AfY3kHU/edit?usp=sharing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66" s="7" t="s">
        <v>23</v>
      </c>
    </row>
    <row r="15367" spans="1:10" ht="13.2">
      <c r="A15367" s="7">
        <v>15366</v>
      </c>
      <c r="B15367" s="7">
        <v>1</v>
      </c>
      <c r="C15367" s="7" t="s">
        <v>10</v>
      </c>
      <c r="D15367" s="7">
        <v>19627</v>
      </c>
      <c r="E15367" s="7" t="s">
        <v>23</v>
      </c>
      <c r="F15367" s="8" t="str">
        <f ca="1">IFERROR(__xludf.DUMMYFUNCTION("IF
(
C15368=""фізична особа""
,
VLOOKUP(D15368,IMPORTRANGE(""https://docs.google.com/spreadsheets/d/14Bd19lYaqBhU8_DElYkX7l4wRkHqqCUFNJY4AfY3kHU/edit?usp=sharing  #gid=0"",""фіз особи new!relations_name""),6,FALSE)
,
(IF
(
C15368=""юридична особа""
,
VLOO"&amp;"KUP(D15368,IMPORTRANGE(""https://docs.google.com/spreadsheets/d/14Bd19lYaqBhU8_DElYkX7l4wRkHqqCUFNJY4AfY3kHU/edit?usp=sharing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G15367" s="7" t="s">
        <v>10</v>
      </c>
      <c r="H15367" s="7">
        <v>19629</v>
      </c>
      <c r="I15367" s="8" t="str">
        <f ca="1">IFERROR(__xludf.DUMMYFUNCTION("IF
(
G15368=""фізична особа""
,
VLOOKUP(H15368,IMPORTRANGE(""https://docs.google.com/spreadsheets/d/14Bd19lYaqBhU8_DElYkX7l4wRkHqqCUFNJY4AfY3kHU/edit?usp=sharing  #gid=0"",""фіз особи new!relations_name""),6,FALSE)
,
(IF
(
G15368=""юридична особа""
,
VLOO"&amp;"KUP(H15368,IMPORTRANGE(""https://docs.google.com/spreadsheets/d/14Bd19lYaqBhU8_DElYkX7l4wRkHqqCUFNJY4AfY3kHU/edit?usp=sharing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J15367" s="7" t="s">
        <v>23</v>
      </c>
    </row>
    <row r="15368" spans="1:10" ht="13.2">
      <c r="A15368" s="7">
        <v>15367</v>
      </c>
      <c r="B15368" s="7">
        <v>1</v>
      </c>
      <c r="C15368" s="7" t="s">
        <v>10</v>
      </c>
      <c r="D15368" s="7">
        <v>19627</v>
      </c>
      <c r="E15368" s="7" t="s">
        <v>23</v>
      </c>
      <c r="F15368" s="8" t="str">
        <f ca="1">IFERROR(__xludf.DUMMYFUNCTION("IF
(
C15369=""фізична особа""
,
VLOOKUP(D15369,IMPORTRANGE(""https://docs.google.com/spreadsheets/d/14Bd19lYaqBhU8_DElYkX7l4wRkHqqCUFNJY4AfY3kHU/edit?usp=sharing  #gid=0"",""фіз особи new!relations_name""),6,FALSE)
,
(IF
(
C15369=""юридична особа""
,
VLOO"&amp;"KUP(D15369,IMPORTRANGE(""https://docs.google.com/spreadsheets/d/14Bd19lYaqBhU8_DElYkX7l4wRkHqqCUFNJY4AfY3kHU/edit?usp=sharing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G15368" s="7" t="s">
        <v>10</v>
      </c>
      <c r="H15368" s="7">
        <v>19630</v>
      </c>
      <c r="I15368" s="8" t="str">
        <f ca="1">IFERROR(__xludf.DUMMYFUNCTION("IF
(
G15369=""фізична особа""
,
VLOOKUP(H15369,IMPORTRANGE(""https://docs.google.com/spreadsheets/d/14Bd19lYaqBhU8_DElYkX7l4wRkHqqCUFNJY4AfY3kHU/edit?usp=sharing  #gid=0"",""фіз особи new!relations_name""),6,FALSE)
,
(IF
(
G15369=""юридична особа""
,
VLOO"&amp;"KUP(H15369,IMPORTRANGE(""https://docs.google.com/spreadsheets/d/14Bd19lYaqBhU8_DElYkX7l4wRkHqqCUFNJY4AfY3kHU/edit?usp=sharing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368" s="7" t="s">
        <v>23</v>
      </c>
    </row>
    <row r="15369" spans="1:10" ht="13.2">
      <c r="A15369" s="7">
        <v>15368</v>
      </c>
      <c r="B15369" s="7">
        <v>1</v>
      </c>
      <c r="C15369" s="7" t="s">
        <v>10</v>
      </c>
      <c r="D15369" s="7">
        <v>19628</v>
      </c>
      <c r="E15369" s="7" t="s">
        <v>23</v>
      </c>
      <c r="F15369" s="8" t="str">
        <f ca="1">IFERROR(__xludf.DUMMYFUNCTION("IF
(
C15370=""фізична особа""
,
VLOOKUP(D15370,IMPORTRANGE(""https://docs.google.com/spreadsheets/d/14Bd19lYaqBhU8_DElYkX7l4wRkHqqCUFNJY4AfY3kHU/edit?usp=sharing  #gid=0"",""фіз особи new!relations_name""),6,FALSE)
,
(IF
(
C15370=""юридична особа""
,
VLOO"&amp;"KUP(D15370,IMPORTRANGE(""https://docs.google.com/spreadsheets/d/14Bd19lYaqBhU8_DElYkX7l4wRkHqqCUFNJY4AfY3kHU/edit?usp=sharing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G15369" s="7" t="s">
        <v>10</v>
      </c>
      <c r="H15369" s="7">
        <v>19626</v>
      </c>
      <c r="I15369" s="8" t="str">
        <f ca="1">IFERROR(__xludf.DUMMYFUNCTION("IF
(
G15370=""фізична особа""
,
VLOOKUP(H15370,IMPORTRANGE(""https://docs.google.com/spreadsheets/d/14Bd19lYaqBhU8_DElYkX7l4wRkHqqCUFNJY4AfY3kHU/edit?usp=sharing  #gid=0"",""фіз особи new!relations_name""),6,FALSE)
,
(IF
(
G15370=""юридична особа""
,
VLOO"&amp;"KUP(H15370,IMPORTRANGE(""https://docs.google.com/spreadsheets/d/14Bd19lYaqBhU8_DElYkX7l4wRkHqqCUFNJY4AfY3kHU/edit?usp=sharing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69" s="7" t="s">
        <v>23</v>
      </c>
    </row>
    <row r="15370" spans="1:10" ht="13.2">
      <c r="A15370" s="7">
        <v>15369</v>
      </c>
      <c r="B15370" s="7">
        <v>1</v>
      </c>
      <c r="C15370" s="7" t="s">
        <v>10</v>
      </c>
      <c r="D15370" s="7">
        <v>19628</v>
      </c>
      <c r="E15370" s="7" t="s">
        <v>23</v>
      </c>
      <c r="F15370" s="8" t="str">
        <f ca="1">IFERROR(__xludf.DUMMYFUNCTION("IF
(
C15371=""фізична особа""
,
VLOOKUP(D15371,IMPORTRANGE(""https://docs.google.com/spreadsheets/d/14Bd19lYaqBhU8_DElYkX7l4wRkHqqCUFNJY4AfY3kHU/edit?usp=sharing  #gid=0"",""фіз особи new!relations_name""),6,FALSE)
,
(IF
(
C15371=""юридична особа""
,
VLOO"&amp;"KUP(D15371,IMPORTRANGE(""https://docs.google.com/spreadsheets/d/14Bd19lYaqBhU8_DElYkX7l4wRkHqqCUFNJY4AfY3kHU/edit?usp=sharing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G15370" s="7" t="s">
        <v>10</v>
      </c>
      <c r="H15370" s="7">
        <v>19631</v>
      </c>
      <c r="I15370" s="8" t="str">
        <f ca="1">IFERROR(__xludf.DUMMYFUNCTION("IF
(
G15371=""фізична особа""
,
VLOOKUP(H15371,IMPORTRANGE(""https://docs.google.com/spreadsheets/d/14Bd19lYaqBhU8_DElYkX7l4wRkHqqCUFNJY4AfY3kHU/edit?usp=sharing  #gid=0"",""фіз особи new!relations_name""),6,FALSE)
,
(IF
(
G15371=""юридична особа""
,
VLOO"&amp;"KUP(H15371,IMPORTRANGE(""https://docs.google.com/spreadsheets/d/14Bd19lYaqBhU8_DElYkX7l4wRkHqqCUFNJY4AfY3kHU/edit?usp=sharing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70" s="7" t="s">
        <v>23</v>
      </c>
    </row>
    <row r="15371" spans="1:10" ht="13.2">
      <c r="A15371" s="7">
        <v>15370</v>
      </c>
      <c r="B15371" s="7">
        <v>1</v>
      </c>
      <c r="C15371" s="7" t="s">
        <v>10</v>
      </c>
      <c r="D15371" s="7">
        <v>19628</v>
      </c>
      <c r="E15371" s="7" t="s">
        <v>23</v>
      </c>
      <c r="F15371" s="8" t="str">
        <f ca="1">IFERROR(__xludf.DUMMYFUNCTION("IF
(
C15372=""фізична особа""
,
VLOOKUP(D15372,IMPORTRANGE(""https://docs.google.com/spreadsheets/d/14Bd19lYaqBhU8_DElYkX7l4wRkHqqCUFNJY4AfY3kHU/edit?usp=sharing  #gid=0"",""фіз особи new!relations_name""),6,FALSE)
,
(IF
(
C15372=""юридична особа""
,
VLOO"&amp;"KUP(D15372,IMPORTRANGE(""https://docs.google.com/spreadsheets/d/14Bd19lYaqBhU8_DElYkX7l4wRkHqqCUFNJY4AfY3kHU/edit?usp=sharing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G15371" s="7" t="s">
        <v>10</v>
      </c>
      <c r="H15371" s="7">
        <v>19627</v>
      </c>
      <c r="I15371" s="8" t="str">
        <f ca="1">IFERROR(__xludf.DUMMYFUNCTION("IF
(
G15372=""фізична особа""
,
VLOOKUP(H15372,IMPORTRANGE(""https://docs.google.com/spreadsheets/d/14Bd19lYaqBhU8_DElYkX7l4wRkHqqCUFNJY4AfY3kHU/edit?usp=sharing  #gid=0"",""фіз особи new!relations_name""),6,FALSE)
,
(IF
(
G15372=""юридична особа""
,
VLOO"&amp;"KUP(H15372,IMPORTRANGE(""https://docs.google.com/spreadsheets/d/14Bd19lYaqBhU8_DElYkX7l4wRkHqqCUFNJY4AfY3kHU/edit?usp=sharing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71" s="7" t="s">
        <v>23</v>
      </c>
    </row>
    <row r="15372" spans="1:10" ht="13.2">
      <c r="A15372" s="7">
        <v>15371</v>
      </c>
      <c r="B15372" s="7">
        <v>1</v>
      </c>
      <c r="C15372" s="7" t="s">
        <v>10</v>
      </c>
      <c r="D15372" s="7">
        <v>19628</v>
      </c>
      <c r="E15372" s="7" t="s">
        <v>23</v>
      </c>
      <c r="F15372" s="8" t="str">
        <f ca="1">IFERROR(__xludf.DUMMYFUNCTION("IF
(
C15373=""фізична особа""
,
VLOOKUP(D15373,IMPORTRANGE(""https://docs.google.com/spreadsheets/d/14Bd19lYaqBhU8_DElYkX7l4wRkHqqCUFNJY4AfY3kHU/edit?usp=sharing  #gid=0"",""фіз особи new!relations_name""),6,FALSE)
,
(IF
(
C15373=""юридична особа""
,
VLOO"&amp;"KUP(D15373,IMPORTRANGE(""https://docs.google.com/spreadsheets/d/14Bd19lYaqBhU8_DElYkX7l4wRkHqqCUFNJY4AfY3kHU/edit?usp=sharing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G15372" s="7" t="s">
        <v>10</v>
      </c>
      <c r="H15372" s="7">
        <v>19629</v>
      </c>
      <c r="I15372" s="8" t="str">
        <f ca="1">IFERROR(__xludf.DUMMYFUNCTION("IF
(
G15373=""фізична особа""
,
VLOOKUP(H15373,IMPORTRANGE(""https://docs.google.com/spreadsheets/d/14Bd19lYaqBhU8_DElYkX7l4wRkHqqCUFNJY4AfY3kHU/edit?usp=sharing  #gid=0"",""фіз особи new!relations_name""),6,FALSE)
,
(IF
(
G15373=""юридична особа""
,
VLOO"&amp;"KUP(H15373,IMPORTRANGE(""https://docs.google.com/spreadsheets/d/14Bd19lYaqBhU8_DElYkX7l4wRkHqqCUFNJY4AfY3kHU/edit?usp=sharing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J15372" s="7" t="s">
        <v>23</v>
      </c>
    </row>
    <row r="15373" spans="1:10" ht="13.2">
      <c r="A15373" s="7">
        <v>15372</v>
      </c>
      <c r="B15373" s="7">
        <v>1</v>
      </c>
      <c r="C15373" s="7" t="s">
        <v>10</v>
      </c>
      <c r="D15373" s="7">
        <v>19628</v>
      </c>
      <c r="E15373" s="7" t="s">
        <v>23</v>
      </c>
      <c r="F15373" s="8" t="str">
        <f ca="1">IFERROR(__xludf.DUMMYFUNCTION("IF
(
C15374=""фізична особа""
,
VLOOKUP(D15374,IMPORTRANGE(""https://docs.google.com/spreadsheets/d/14Bd19lYaqBhU8_DElYkX7l4wRkHqqCUFNJY4AfY3kHU/edit?usp=sharing  #gid=0"",""фіз особи new!relations_name""),6,FALSE)
,
(IF
(
C15374=""юридична особа""
,
VLOO"&amp;"KUP(D15374,IMPORTRANGE(""https://docs.google.com/spreadsheets/d/14Bd19lYaqBhU8_DElYkX7l4wRkHqqCUFNJY4AfY3kHU/edit?usp=sharing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G15373" s="7" t="s">
        <v>10</v>
      </c>
      <c r="H15373" s="7">
        <v>19630</v>
      </c>
      <c r="I15373" s="8" t="str">
        <f ca="1">IFERROR(__xludf.DUMMYFUNCTION("IF
(
G15374=""фізична особа""
,
VLOOKUP(H15374,IMPORTRANGE(""https://docs.google.com/spreadsheets/d/14Bd19lYaqBhU8_DElYkX7l4wRkHqqCUFNJY4AfY3kHU/edit?usp=sharing  #gid=0"",""фіз особи new!relations_name""),6,FALSE)
,
(IF
(
G15374=""юридична особа""
,
VLOO"&amp;"KUP(H15374,IMPORTRANGE(""https://docs.google.com/spreadsheets/d/14Bd19lYaqBhU8_DElYkX7l4wRkHqqCUFNJY4AfY3kHU/edit?usp=sharing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373" s="7" t="s">
        <v>23</v>
      </c>
    </row>
    <row r="15374" spans="1:10" ht="13.2">
      <c r="A15374" s="7">
        <v>15373</v>
      </c>
      <c r="B15374" s="7">
        <v>1</v>
      </c>
      <c r="C15374" s="7" t="s">
        <v>10</v>
      </c>
      <c r="D15374" s="7">
        <v>19629</v>
      </c>
      <c r="E15374" s="7" t="s">
        <v>23</v>
      </c>
      <c r="F15374" s="8" t="str">
        <f ca="1">IFERROR(__xludf.DUMMYFUNCTION("IF
(
C15375=""фізична особа""
,
VLOOKUP(D15375,IMPORTRANGE(""https://docs.google.com/spreadsheets/d/14Bd19lYaqBhU8_DElYkX7l4wRkHqqCUFNJY4AfY3kHU/edit?usp=sharing  #gid=0"",""фіз особи new!relations_name""),6,FALSE)
,
(IF
(
C15375=""юридична особа""
,
VLOO"&amp;"KUP(D15375,IMPORTRANGE(""https://docs.google.com/spreadsheets/d/14Bd19lYaqBhU8_DElYkX7l4wRkHqqCUFNJY4AfY3kHU/edit?usp=sharing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G15374" s="7" t="s">
        <v>10</v>
      </c>
      <c r="H15374" s="7">
        <v>19626</v>
      </c>
      <c r="I15374" s="8" t="str">
        <f ca="1">IFERROR(__xludf.DUMMYFUNCTION("IF
(
G15375=""фізична особа""
,
VLOOKUP(H15375,IMPORTRANGE(""https://docs.google.com/spreadsheets/d/14Bd19lYaqBhU8_DElYkX7l4wRkHqqCUFNJY4AfY3kHU/edit?usp=sharing  #gid=0"",""фіз особи new!relations_name""),6,FALSE)
,
(IF
(
G15375=""юридична особа""
,
VLOO"&amp;"KUP(H15375,IMPORTRANGE(""https://docs.google.com/spreadsheets/d/14Bd19lYaqBhU8_DElYkX7l4wRkHqqCUFNJY4AfY3kHU/edit?usp=sharing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74" s="7" t="s">
        <v>23</v>
      </c>
    </row>
    <row r="15375" spans="1:10" ht="13.2">
      <c r="A15375" s="7">
        <v>15374</v>
      </c>
      <c r="B15375" s="7">
        <v>1</v>
      </c>
      <c r="C15375" s="7" t="s">
        <v>10</v>
      </c>
      <c r="D15375" s="7">
        <v>19629</v>
      </c>
      <c r="E15375" s="7" t="s">
        <v>23</v>
      </c>
      <c r="F15375" s="8" t="str">
        <f ca="1">IFERROR(__xludf.DUMMYFUNCTION("IF
(
C15376=""фізична особа""
,
VLOOKUP(D15376,IMPORTRANGE(""https://docs.google.com/spreadsheets/d/14Bd19lYaqBhU8_DElYkX7l4wRkHqqCUFNJY4AfY3kHU/edit?usp=sharing  #gid=0"",""фіз особи new!relations_name""),6,FALSE)
,
(IF
(
C15376=""юридична особа""
,
VLOO"&amp;"KUP(D15376,IMPORTRANGE(""https://docs.google.com/spreadsheets/d/14Bd19lYaqBhU8_DElYkX7l4wRkHqqCUFNJY4AfY3kHU/edit?usp=sharing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G15375" s="7" t="s">
        <v>10</v>
      </c>
      <c r="H15375" s="7">
        <v>19631</v>
      </c>
      <c r="I15375" s="8" t="str">
        <f ca="1">IFERROR(__xludf.DUMMYFUNCTION("IF
(
G15376=""фізична особа""
,
VLOOKUP(H15376,IMPORTRANGE(""https://docs.google.com/spreadsheets/d/14Bd19lYaqBhU8_DElYkX7l4wRkHqqCUFNJY4AfY3kHU/edit?usp=sharing  #gid=0"",""фіз особи new!relations_name""),6,FALSE)
,
(IF
(
G15376=""юридична особа""
,
VLOO"&amp;"KUP(H15376,IMPORTRANGE(""https://docs.google.com/spreadsheets/d/14Bd19lYaqBhU8_DElYkX7l4wRkHqqCUFNJY4AfY3kHU/edit?usp=sharing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75" s="7" t="s">
        <v>23</v>
      </c>
    </row>
    <row r="15376" spans="1:10" ht="13.2">
      <c r="A15376" s="7">
        <v>15375</v>
      </c>
      <c r="B15376" s="7">
        <v>1</v>
      </c>
      <c r="C15376" s="7" t="s">
        <v>10</v>
      </c>
      <c r="D15376" s="7">
        <v>19629</v>
      </c>
      <c r="E15376" s="7" t="s">
        <v>23</v>
      </c>
      <c r="F15376" s="8" t="str">
        <f ca="1">IFERROR(__xludf.DUMMYFUNCTION("IF
(
C15377=""фізична особа""
,
VLOOKUP(D15377,IMPORTRANGE(""https://docs.google.com/spreadsheets/d/14Bd19lYaqBhU8_DElYkX7l4wRkHqqCUFNJY4AfY3kHU/edit?usp=sharing  #gid=0"",""фіз особи new!relations_name""),6,FALSE)
,
(IF
(
C15377=""юридична особа""
,
VLOO"&amp;"KUP(D15377,IMPORTRANGE(""https://docs.google.com/spreadsheets/d/14Bd19lYaqBhU8_DElYkX7l4wRkHqqCUFNJY4AfY3kHU/edit?usp=sharing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G15376" s="7" t="s">
        <v>10</v>
      </c>
      <c r="H15376" s="7">
        <v>19627</v>
      </c>
      <c r="I15376" s="8" t="str">
        <f ca="1">IFERROR(__xludf.DUMMYFUNCTION("IF
(
G15377=""фізична особа""
,
VLOOKUP(H15377,IMPORTRANGE(""https://docs.google.com/spreadsheets/d/14Bd19lYaqBhU8_DElYkX7l4wRkHqqCUFNJY4AfY3kHU/edit?usp=sharing  #gid=0"",""фіз особи new!relations_name""),6,FALSE)
,
(IF
(
G15377=""юридична особа""
,
VLOO"&amp;"KUP(H15377,IMPORTRANGE(""https://docs.google.com/spreadsheets/d/14Bd19lYaqBhU8_DElYkX7l4wRkHqqCUFNJY4AfY3kHU/edit?usp=sharing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76" s="7" t="s">
        <v>23</v>
      </c>
    </row>
    <row r="15377" spans="1:10" ht="13.2">
      <c r="A15377" s="7">
        <v>15376</v>
      </c>
      <c r="B15377" s="7">
        <v>1</v>
      </c>
      <c r="C15377" s="7" t="s">
        <v>10</v>
      </c>
      <c r="D15377" s="7">
        <v>19629</v>
      </c>
      <c r="E15377" s="7" t="s">
        <v>23</v>
      </c>
      <c r="F15377" s="8" t="str">
        <f ca="1">IFERROR(__xludf.DUMMYFUNCTION("IF
(
C15378=""фізична особа""
,
VLOOKUP(D15378,IMPORTRANGE(""https://docs.google.com/spreadsheets/d/14Bd19lYaqBhU8_DElYkX7l4wRkHqqCUFNJY4AfY3kHU/edit?usp=sharing  #gid=0"",""фіз особи new!relations_name""),6,FALSE)
,
(IF
(
C15378=""юридична особа""
,
VLOO"&amp;"KUP(D15378,IMPORTRANGE(""https://docs.google.com/spreadsheets/d/14Bd19lYaqBhU8_DElYkX7l4wRkHqqCUFNJY4AfY3kHU/edit?usp=sharing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G15377" s="7" t="s">
        <v>10</v>
      </c>
      <c r="H15377" s="7">
        <v>19628</v>
      </c>
      <c r="I15377" s="8" t="str">
        <f ca="1">IFERROR(__xludf.DUMMYFUNCTION("IF
(
G15378=""фізична особа""
,
VLOOKUP(H15378,IMPORTRANGE(""https://docs.google.com/spreadsheets/d/14Bd19lYaqBhU8_DElYkX7l4wRkHqqCUFNJY4AfY3kHU/edit?usp=sharing  #gid=0"",""фіз особи new!relations_name""),6,FALSE)
,
(IF
(
G15378=""юридична особа""
,
VLOO"&amp;"KUP(H15378,IMPORTRANGE(""https://docs.google.com/spreadsheets/d/14Bd19lYaqBhU8_DElYkX7l4wRkHqqCUFNJY4AfY3kHU/edit?usp=sharing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77" s="7" t="s">
        <v>23</v>
      </c>
    </row>
    <row r="15378" spans="1:10" ht="13.2">
      <c r="A15378" s="7">
        <v>15377</v>
      </c>
      <c r="B15378" s="7">
        <v>1</v>
      </c>
      <c r="C15378" s="7" t="s">
        <v>10</v>
      </c>
      <c r="D15378" s="7">
        <v>19629</v>
      </c>
      <c r="E15378" s="7" t="s">
        <v>23</v>
      </c>
      <c r="F15378" s="8" t="str">
        <f ca="1">IFERROR(__xludf.DUMMYFUNCTION("IF
(
C15379=""фізична особа""
,
VLOOKUP(D15379,IMPORTRANGE(""https://docs.google.com/spreadsheets/d/14Bd19lYaqBhU8_DElYkX7l4wRkHqqCUFNJY4AfY3kHU/edit?usp=sharing  #gid=0"",""фіз особи new!relations_name""),6,FALSE)
,
(IF
(
C15379=""юридична особа""
,
VLOO"&amp;"KUP(D15379,IMPORTRANGE(""https://docs.google.com/spreadsheets/d/14Bd19lYaqBhU8_DElYkX7l4wRkHqqCUFNJY4AfY3kHU/edit?usp=sharing  #gid=0"",""фіз особи new!relations_name_uo""),7,FALSE)
,
)
))"),"КОРБАЧКА Петер")</f>
        <v>КОРБАЧКА Петер</v>
      </c>
      <c r="G15378" s="7" t="s">
        <v>10</v>
      </c>
      <c r="H15378" s="7">
        <v>19630</v>
      </c>
      <c r="I15378" s="8" t="str">
        <f ca="1">IFERROR(__xludf.DUMMYFUNCTION("IF
(
G15379=""фізична особа""
,
VLOOKUP(H15379,IMPORTRANGE(""https://docs.google.com/spreadsheets/d/14Bd19lYaqBhU8_DElYkX7l4wRkHqqCUFNJY4AfY3kHU/edit?usp=sharing  #gid=0"",""фіз особи new!relations_name""),6,FALSE)
,
(IF
(
G15379=""юридична особа""
,
VLOO"&amp;"KUP(H15379,IMPORTRANGE(""https://docs.google.com/spreadsheets/d/14Bd19lYaqBhU8_DElYkX7l4wRkHqqCUFNJY4AfY3kHU/edit?usp=sharing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378" s="7" t="s">
        <v>23</v>
      </c>
    </row>
    <row r="15379" spans="1:10" ht="13.2">
      <c r="A15379" s="7">
        <v>15378</v>
      </c>
      <c r="B15379" s="7">
        <v>1</v>
      </c>
      <c r="C15379" s="7" t="s">
        <v>10</v>
      </c>
      <c r="D15379" s="7">
        <v>19630</v>
      </c>
      <c r="E15379" s="7" t="s">
        <v>23</v>
      </c>
      <c r="F15379" s="8" t="str">
        <f ca="1">IFERROR(__xludf.DUMMYFUNCTION("IF
(
C15380=""фізична особа""
,
VLOOKUP(D15380,IMPORTRANGE(""https://docs.google.com/spreadsheets/d/14Bd19lYaqBhU8_DElYkX7l4wRkHqqCUFNJY4AfY3kHU/edit?usp=sharing  #gid=0"",""фіз особи new!relations_name""),6,FALSE)
,
(IF
(
C15380=""юридична особа""
,
VLOO"&amp;"KUP(D15380,IMPORTRANGE(""https://docs.google.com/spreadsheets/d/14Bd19lYaqBhU8_DElYkX7l4wRkHqqCUFNJY4AfY3kHU/edit?usp=sharing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79" s="7" t="s">
        <v>10</v>
      </c>
      <c r="H15379" s="7">
        <v>19626</v>
      </c>
      <c r="I15379" s="8" t="str">
        <f ca="1">IFERROR(__xludf.DUMMYFUNCTION("IF
(
G15380=""фізична особа""
,
VLOOKUP(H15380,IMPORTRANGE(""https://docs.google.com/spreadsheets/d/14Bd19lYaqBhU8_DElYkX7l4wRkHqqCUFNJY4AfY3kHU/edit?usp=sharing  #gid=0"",""фіз особи new!relations_name""),6,FALSE)
,
(IF
(
G15380=""юридична особа""
,
VLOO"&amp;"KUP(H15380,IMPORTRANGE(""https://docs.google.com/spreadsheets/d/14Bd19lYaqBhU8_DElYkX7l4wRkHqqCUFNJY4AfY3kHU/edit?usp=sharing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79" s="7" t="s">
        <v>23</v>
      </c>
    </row>
    <row r="15380" spans="1:10" ht="13.2">
      <c r="A15380" s="7">
        <v>15379</v>
      </c>
      <c r="B15380" s="7">
        <v>1</v>
      </c>
      <c r="C15380" s="7" t="s">
        <v>10</v>
      </c>
      <c r="D15380" s="7">
        <v>19630</v>
      </c>
      <c r="E15380" s="7" t="s">
        <v>23</v>
      </c>
      <c r="F15380" s="8" t="str">
        <f ca="1">IFERROR(__xludf.DUMMYFUNCTION("IF
(
C15381=""фізична особа""
,
VLOOKUP(D15381,IMPORTRANGE(""https://docs.google.com/spreadsheets/d/14Bd19lYaqBhU8_DElYkX7l4wRkHqqCUFNJY4AfY3kHU/edit?usp=sharing  #gid=0"",""фіз особи new!relations_name""),6,FALSE)
,
(IF
(
C15381=""юридична особа""
,
VLOO"&amp;"KUP(D15381,IMPORTRANGE(""https://docs.google.com/spreadsheets/d/14Bd19lYaqBhU8_DElYkX7l4wRkHqqCUFNJY4AfY3kHU/edit?usp=sharing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0" s="7" t="s">
        <v>10</v>
      </c>
      <c r="H15380" s="7">
        <v>19631</v>
      </c>
      <c r="I15380" s="8" t="str">
        <f ca="1">IFERROR(__xludf.DUMMYFUNCTION("IF
(
G15381=""фізична особа""
,
VLOOKUP(H15381,IMPORTRANGE(""https://docs.google.com/spreadsheets/d/14Bd19lYaqBhU8_DElYkX7l4wRkHqqCUFNJY4AfY3kHU/edit?usp=sharing  #gid=0"",""фіз особи new!relations_name""),6,FALSE)
,
(IF
(
G15381=""юридична особа""
,
VLOO"&amp;"KUP(H15381,IMPORTRANGE(""https://docs.google.com/spreadsheets/d/14Bd19lYaqBhU8_DElYkX7l4wRkHqqCUFNJY4AfY3kHU/edit?usp=sharing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380" s="7" t="s">
        <v>23</v>
      </c>
    </row>
    <row r="15381" spans="1:10" ht="13.2">
      <c r="A15381" s="7">
        <v>15380</v>
      </c>
      <c r="B15381" s="7">
        <v>1</v>
      </c>
      <c r="C15381" s="7" t="s">
        <v>10</v>
      </c>
      <c r="D15381" s="7">
        <v>19630</v>
      </c>
      <c r="E15381" s="7" t="s">
        <v>23</v>
      </c>
      <c r="F15381" s="8" t="str">
        <f ca="1">IFERROR(__xludf.DUMMYFUNCTION("IF
(
C15382=""фізична особа""
,
VLOOKUP(D15382,IMPORTRANGE(""https://docs.google.com/spreadsheets/d/14Bd19lYaqBhU8_DElYkX7l4wRkHqqCUFNJY4AfY3kHU/edit?usp=sharing  #gid=0"",""фіз особи new!relations_name""),6,FALSE)
,
(IF
(
C15382=""юридична особа""
,
VLOO"&amp;"KUP(D15382,IMPORTRANGE(""https://docs.google.com/spreadsheets/d/14Bd19lYaqBhU8_DElYkX7l4wRkHqqCUFNJY4AfY3kHU/edit?usp=sharing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1" s="7" t="s">
        <v>10</v>
      </c>
      <c r="H15381" s="7">
        <v>19627</v>
      </c>
      <c r="I15381" s="8" t="str">
        <f ca="1">IFERROR(__xludf.DUMMYFUNCTION("IF
(
G15382=""фізична особа""
,
VLOOKUP(H15382,IMPORTRANGE(""https://docs.google.com/spreadsheets/d/14Bd19lYaqBhU8_DElYkX7l4wRkHqqCUFNJY4AfY3kHU/edit?usp=sharing  #gid=0"",""фіз особи new!relations_name""),6,FALSE)
,
(IF
(
G15382=""юридична особа""
,
VLOO"&amp;"KUP(H15382,IMPORTRANGE(""https://docs.google.com/spreadsheets/d/14Bd19lYaqBhU8_DElYkX7l4wRkHqqCUFNJY4AfY3kHU/edit?usp=sharing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81" s="7" t="s">
        <v>23</v>
      </c>
    </row>
    <row r="15382" spans="1:10" ht="13.2">
      <c r="A15382" s="7">
        <v>15381</v>
      </c>
      <c r="B15382" s="7">
        <v>1</v>
      </c>
      <c r="C15382" s="7" t="s">
        <v>10</v>
      </c>
      <c r="D15382" s="7">
        <v>19630</v>
      </c>
      <c r="E15382" s="7" t="s">
        <v>23</v>
      </c>
      <c r="F15382" s="8" t="str">
        <f ca="1">IFERROR(__xludf.DUMMYFUNCTION("IF
(
C15383=""фізична особа""
,
VLOOKUP(D15383,IMPORTRANGE(""https://docs.google.com/spreadsheets/d/14Bd19lYaqBhU8_DElYkX7l4wRkHqqCUFNJY4AfY3kHU/edit?usp=sharing  #gid=0"",""фіз особи new!relations_name""),6,FALSE)
,
(IF
(
C15383=""юридична особа""
,
VLOO"&amp;"KUP(D15383,IMPORTRANGE(""https://docs.google.com/spreadsheets/d/14Bd19lYaqBhU8_DElYkX7l4wRkHqqCUFNJY4AfY3kHU/edit?usp=sharing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2" s="7" t="s">
        <v>10</v>
      </c>
      <c r="H15382" s="7">
        <v>19628</v>
      </c>
      <c r="I15382" s="8" t="str">
        <f ca="1">IFERROR(__xludf.DUMMYFUNCTION("IF
(
G15383=""фізична особа""
,
VLOOKUP(H15383,IMPORTRANGE(""https://docs.google.com/spreadsheets/d/14Bd19lYaqBhU8_DElYkX7l4wRkHqqCUFNJY4AfY3kHU/edit?usp=sharing  #gid=0"",""фіз особи new!relations_name""),6,FALSE)
,
(IF
(
G15383=""юридична особа""
,
VLOO"&amp;"KUP(H15383,IMPORTRANGE(""https://docs.google.com/spreadsheets/d/14Bd19lYaqBhU8_DElYkX7l4wRkHqqCUFNJY4AfY3kHU/edit?usp=sharing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82" s="7" t="s">
        <v>23</v>
      </c>
    </row>
    <row r="15383" spans="1:10" ht="13.2">
      <c r="A15383" s="7">
        <v>15382</v>
      </c>
      <c r="B15383" s="7">
        <v>1</v>
      </c>
      <c r="C15383" s="7" t="s">
        <v>10</v>
      </c>
      <c r="D15383" s="7">
        <v>19630</v>
      </c>
      <c r="E15383" s="7" t="s">
        <v>23</v>
      </c>
      <c r="F15383" s="8" t="str">
        <f ca="1">IFERROR(__xludf.DUMMYFUNCTION("IF
(
C15384=""фізична особа""
,
VLOOKUP(D15384,IMPORTRANGE(""https://docs.google.com/spreadsheets/d/14Bd19lYaqBhU8_DElYkX7l4wRkHqqCUFNJY4AfY3kHU/edit?usp=sharing  #gid=0"",""фіз особи new!relations_name""),6,FALSE)
,
(IF
(
C15384=""юридична особа""
,
VLOO"&amp;"KUP(D15384,IMPORTRANGE(""https://docs.google.com/spreadsheets/d/14Bd19lYaqBhU8_DElYkX7l4wRkHqqCUFNJY4AfY3kHU/edit?usp=sharing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3" s="7" t="s">
        <v>10</v>
      </c>
      <c r="H15383" s="7">
        <v>19633</v>
      </c>
      <c r="I15383" s="8" t="str">
        <f ca="1">IFERROR(__xludf.DUMMYFUNCTION("IF
(
G15384=""фізична особа""
,
VLOOKUP(H15384,IMPORTRANGE(""https://docs.google.com/spreadsheets/d/14Bd19lYaqBhU8_DElYkX7l4wRkHqqCUFNJY4AfY3kHU/edit?usp=sharing  #gid=0"",""фіз особи new!relations_name""),6,FALSE)
,
(IF
(
G15384=""юридична особа""
,
VLOO"&amp;"KUP(H15384,IMPORTRANGE(""https://docs.google.com/spreadsheets/d/14Bd19lYaqBhU8_DElYkX7l4wRkHqqCUFNJY4AfY3kHU/edit?usp=sharing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J15383" s="7" t="s">
        <v>23</v>
      </c>
    </row>
    <row r="15384" spans="1:10" ht="13.2">
      <c r="A15384" s="7">
        <v>15383</v>
      </c>
      <c r="B15384" s="7">
        <v>1</v>
      </c>
      <c r="C15384" s="7" t="s">
        <v>10</v>
      </c>
      <c r="D15384" s="7">
        <v>19630</v>
      </c>
      <c r="E15384" s="7" t="s">
        <v>23</v>
      </c>
      <c r="F15384" s="8" t="str">
        <f ca="1">IFERROR(__xludf.DUMMYFUNCTION("IF
(
C15385=""фізична особа""
,
VLOOKUP(D15385,IMPORTRANGE(""https://docs.google.com/spreadsheets/d/14Bd19lYaqBhU8_DElYkX7l4wRkHqqCUFNJY4AfY3kHU/edit?usp=sharing  #gid=0"",""фіз особи new!relations_name""),6,FALSE)
,
(IF
(
C15385=""юридична особа""
,
VLOO"&amp;"KUP(D15385,IMPORTRANGE(""https://docs.google.com/spreadsheets/d/14Bd19lYaqBhU8_DElYkX7l4wRkHqqCUFNJY4AfY3kHU/edit?usp=sharing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4" s="7" t="s">
        <v>10</v>
      </c>
      <c r="H15384" s="7">
        <v>0</v>
      </c>
      <c r="I15384" s="8" t="str">
        <f ca="1">IFERROR(__xludf.DUMMYFUNCTION("IF
(
G15385=""фізична особа""
,
VLOOKUP(H15385,IMPORTRANGE(""https://docs.google.com/spreadsheets/d/14Bd19lYaqBhU8_DElYkX7l4wRkHqqCUFNJY4AfY3kHU/edit?usp=sharing  #gid=0"",""фіз особи new!relations_name""),6,FALSE)
,
(IF
(
G15385=""юридична особа""
,
VLOO"&amp;"KUP(H15385,IMPORTRANGE(""https://docs.google.com/spreadsheets/d/14Bd19lYaqBhU8_DElYkX7l4wRkHqqCUFNJY4AfY3kHU/edit?usp=sharing  #gid=0"",""фіз особи new!relations_name_uo""),7,FALSE)
,
)
))"),"#N/A")</f>
        <v>#N/A</v>
      </c>
      <c r="J15384" s="7" t="s">
        <v>23</v>
      </c>
    </row>
    <row r="15385" spans="1:10" ht="13.2">
      <c r="A15385" s="7">
        <v>15384</v>
      </c>
      <c r="B15385" s="7">
        <v>1</v>
      </c>
      <c r="C15385" s="7" t="s">
        <v>10</v>
      </c>
      <c r="D15385" s="7">
        <v>19630</v>
      </c>
      <c r="E15385" s="7" t="s">
        <v>23</v>
      </c>
      <c r="F15385" s="8" t="str">
        <f ca="1">IFERROR(__xludf.DUMMYFUNCTION("IF
(
C15386=""фізична особа""
,
VLOOKUP(D15386,IMPORTRANGE(""https://docs.google.com/spreadsheets/d/14Bd19lYaqBhU8_DElYkX7l4wRkHqqCUFNJY4AfY3kHU/edit?usp=sharing  #gid=0"",""фіз особи new!relations_name""),6,FALSE)
,
(IF
(
C15386=""юридична особа""
,
VLOO"&amp;"KUP(D15386,IMPORTRANGE(""https://docs.google.com/spreadsheets/d/14Bd19lYaqBhU8_DElYkX7l4wRkHqqCUFNJY4AfY3kHU/edit?usp=sharing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5" s="7" t="s">
        <v>10</v>
      </c>
      <c r="H15385" s="7">
        <v>0</v>
      </c>
      <c r="I15385" s="8" t="str">
        <f ca="1">IFERROR(__xludf.DUMMYFUNCTION("IF
(
G15386=""фізична особа""
,
VLOOKUP(H15386,IMPORTRANGE(""https://docs.google.com/spreadsheets/d/14Bd19lYaqBhU8_DElYkX7l4wRkHqqCUFNJY4AfY3kHU/edit?usp=sharing  #gid=0"",""фіз особи new!relations_name""),6,FALSE)
,
(IF
(
G15386=""юридична особа""
,
VLOO"&amp;"KUP(H15386,IMPORTRANGE(""https://docs.google.com/spreadsheets/d/14Bd19lYaqBhU8_DElYkX7l4wRkHqqCUFNJY4AfY3kHU/edit?usp=sharing  #gid=0"",""фіз особи new!relations_name_uo""),7,FALSE)
,
)
))"),"#N/A")</f>
        <v>#N/A</v>
      </c>
      <c r="J15385" s="7" t="s">
        <v>23</v>
      </c>
    </row>
    <row r="15386" spans="1:10" ht="13.2">
      <c r="A15386" s="7">
        <v>15385</v>
      </c>
      <c r="B15386" s="7">
        <v>1</v>
      </c>
      <c r="C15386" s="7" t="s">
        <v>10</v>
      </c>
      <c r="D15386" s="7">
        <v>19630</v>
      </c>
      <c r="E15386" s="7" t="s">
        <v>23</v>
      </c>
      <c r="F15386" s="8" t="str">
        <f ca="1">IFERROR(__xludf.DUMMYFUNCTION("IF
(
C15387=""фізична особа""
,
VLOOKUP(D15387,IMPORTRANGE(""https://docs.google.com/spreadsheets/d/14Bd19lYaqBhU8_DElYkX7l4wRkHqqCUFNJY4AfY3kHU/edit?usp=sharing  #gid=0"",""фіз особи new!relations_name""),6,FALSE)
,
(IF
(
C15387=""юридична особа""
,
VLOO"&amp;"KUP(D15387,IMPORTRANGE(""https://docs.google.com/spreadsheets/d/14Bd19lYaqBhU8_DElYkX7l4wRkHqqCUFNJY4AfY3kHU/edit?usp=sharing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6" s="7" t="s">
        <v>10</v>
      </c>
      <c r="H15386" s="7">
        <v>0</v>
      </c>
      <c r="I15386" s="8" t="str">
        <f ca="1">IFERROR(__xludf.DUMMYFUNCTION("IF
(
G15387=""фізична особа""
,
VLOOKUP(H15387,IMPORTRANGE(""https://docs.google.com/spreadsheets/d/14Bd19lYaqBhU8_DElYkX7l4wRkHqqCUFNJY4AfY3kHU/edit?usp=sharing  #gid=0"",""фіз особи new!relations_name""),6,FALSE)
,
(IF
(
G15387=""юридична особа""
,
VLOO"&amp;"KUP(H15387,IMPORTRANGE(""https://docs.google.com/spreadsheets/d/14Bd19lYaqBhU8_DElYkX7l4wRkHqqCUFNJY4AfY3kHU/edit?usp=sharing  #gid=0"",""фіз особи new!relations_name_uo""),7,FALSE)
,
)
))"),"#N/A")</f>
        <v>#N/A</v>
      </c>
      <c r="J15386" s="7" t="s">
        <v>23</v>
      </c>
    </row>
    <row r="15387" spans="1:10" ht="13.2">
      <c r="A15387" s="7">
        <v>15386</v>
      </c>
      <c r="B15387" s="7">
        <v>1</v>
      </c>
      <c r="C15387" s="7" t="s">
        <v>10</v>
      </c>
      <c r="D15387" s="7">
        <v>19630</v>
      </c>
      <c r="E15387" s="7" t="s">
        <v>23</v>
      </c>
      <c r="F15387" s="8" t="str">
        <f ca="1">IFERROR(__xludf.DUMMYFUNCTION("IF
(
C15388=""фізична особа""
,
VLOOKUP(D15388,IMPORTRANGE(""https://docs.google.com/spreadsheets/d/14Bd19lYaqBhU8_DElYkX7l4wRkHqqCUFNJY4AfY3kHU/edit?usp=sharing  #gid=0"",""фіз особи new!relations_name""),6,FALSE)
,
(IF
(
C15388=""юридична особа""
,
VLOO"&amp;"KUP(D15388,IMPORTRANGE(""https://docs.google.com/spreadsheets/d/14Bd19lYaqBhU8_DElYkX7l4wRkHqqCUFNJY4AfY3kHU/edit?usp=sharing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G15387" s="7" t="s">
        <v>10</v>
      </c>
      <c r="H15387" s="7">
        <v>0</v>
      </c>
      <c r="I15387" s="8" t="str">
        <f ca="1">IFERROR(__xludf.DUMMYFUNCTION("IF
(
G15388=""фізична особа""
,
VLOOKUP(H15388,IMPORTRANGE(""https://docs.google.com/spreadsheets/d/14Bd19lYaqBhU8_DElYkX7l4wRkHqqCUFNJY4AfY3kHU/edit?usp=sharing  #gid=0"",""фіз особи new!relations_name""),6,FALSE)
,
(IF
(
G15388=""юридична особа""
,
VLOO"&amp;"KUP(H15388,IMPORTRANGE(""https://docs.google.com/spreadsheets/d/14Bd19lYaqBhU8_DElYkX7l4wRkHqqCUFNJY4AfY3kHU/edit?usp=sharing  #gid=0"",""фіз особи new!relations_name_uo""),7,FALSE)
,
)
))"),"#N/A")</f>
        <v>#N/A</v>
      </c>
      <c r="J15387" s="7" t="s">
        <v>23</v>
      </c>
    </row>
    <row r="15388" spans="1:10" ht="13.2">
      <c r="A15388" s="7">
        <v>15387</v>
      </c>
      <c r="B15388" s="7">
        <v>1</v>
      </c>
      <c r="C15388" s="7" t="s">
        <v>10</v>
      </c>
      <c r="D15388" s="7">
        <v>19631</v>
      </c>
      <c r="E15388" s="7" t="s">
        <v>23</v>
      </c>
      <c r="F15388" s="8" t="str">
        <f ca="1">IFERROR(__xludf.DUMMYFUNCTION("IF
(
C15389=""фізична особа""
,
VLOOKUP(D15389,IMPORTRANGE(""https://docs.google.com/spreadsheets/d/14Bd19lYaqBhU8_DElYkX7l4wRkHqqCUFNJY4AfY3kHU/edit?usp=sharing  #gid=0"",""фіз особи new!relations_name""),6,FALSE)
,
(IF
(
C15389=""юридична особа""
,
VLOO"&amp;"KUP(D15389,IMPORTRANGE(""https://docs.google.com/spreadsheets/d/14Bd19lYaqBhU8_DElYkX7l4wRkHqqCUFNJY4AfY3kHU/edit?usp=sharing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88" s="7" t="s">
        <v>10</v>
      </c>
      <c r="H15388" s="7">
        <v>19626</v>
      </c>
      <c r="I15388" s="8" t="str">
        <f ca="1">IFERROR(__xludf.DUMMYFUNCTION("IF
(
G15389=""фізична особа""
,
VLOOKUP(H15389,IMPORTRANGE(""https://docs.google.com/spreadsheets/d/14Bd19lYaqBhU8_DElYkX7l4wRkHqqCUFNJY4AfY3kHU/edit?usp=sharing  #gid=0"",""фіз особи new!relations_name""),6,FALSE)
,
(IF
(
G15389=""юридична особа""
,
VLOO"&amp;"KUP(H15389,IMPORTRANGE(""https://docs.google.com/spreadsheets/d/14Bd19lYaqBhU8_DElYkX7l4wRkHqqCUFNJY4AfY3kHU/edit?usp=sharing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388" s="7" t="s">
        <v>23</v>
      </c>
    </row>
    <row r="15389" spans="1:10" ht="13.2">
      <c r="A15389" s="7">
        <v>15388</v>
      </c>
      <c r="B15389" s="7">
        <v>1</v>
      </c>
      <c r="C15389" s="7" t="s">
        <v>10</v>
      </c>
      <c r="D15389" s="7">
        <v>19631</v>
      </c>
      <c r="E15389" s="7" t="s">
        <v>23</v>
      </c>
      <c r="F15389" s="8" t="str">
        <f ca="1">IFERROR(__xludf.DUMMYFUNCTION("IF
(
C15390=""фізична особа""
,
VLOOKUP(D15390,IMPORTRANGE(""https://docs.google.com/spreadsheets/d/14Bd19lYaqBhU8_DElYkX7l4wRkHqqCUFNJY4AfY3kHU/edit?usp=sharing  #gid=0"",""фіз особи new!relations_name""),6,FALSE)
,
(IF
(
C15390=""юридична особа""
,
VLOO"&amp;"KUP(D15390,IMPORTRANGE(""https://docs.google.com/spreadsheets/d/14Bd19lYaqBhU8_DElYkX7l4wRkHqqCUFNJY4AfY3kHU/edit?usp=sharing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89" s="7" t="s">
        <v>10</v>
      </c>
      <c r="H15389" s="7">
        <v>19627</v>
      </c>
      <c r="I15389" s="8" t="str">
        <f ca="1">IFERROR(__xludf.DUMMYFUNCTION("IF
(
G15390=""фізична особа""
,
VLOOKUP(H15390,IMPORTRANGE(""https://docs.google.com/spreadsheets/d/14Bd19lYaqBhU8_DElYkX7l4wRkHqqCUFNJY4AfY3kHU/edit?usp=sharing  #gid=0"",""фіз особи new!relations_name""),6,FALSE)
,
(IF
(
G15390=""юридична особа""
,
VLOO"&amp;"KUP(H15390,IMPORTRANGE(""https://docs.google.com/spreadsheets/d/14Bd19lYaqBhU8_DElYkX7l4wRkHqqCUFNJY4AfY3kHU/edit?usp=sharing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89" s="7" t="s">
        <v>23</v>
      </c>
    </row>
    <row r="15390" spans="1:10" ht="13.2">
      <c r="A15390" s="7">
        <v>15389</v>
      </c>
      <c r="B15390" s="7">
        <v>1</v>
      </c>
      <c r="C15390" s="7" t="s">
        <v>10</v>
      </c>
      <c r="D15390" s="7">
        <v>19631</v>
      </c>
      <c r="E15390" s="7" t="s">
        <v>23</v>
      </c>
      <c r="F15390" s="8" t="str">
        <f ca="1">IFERROR(__xludf.DUMMYFUNCTION("IF
(
C15391=""фізична особа""
,
VLOOKUP(D15391,IMPORTRANGE(""https://docs.google.com/spreadsheets/d/14Bd19lYaqBhU8_DElYkX7l4wRkHqqCUFNJY4AfY3kHU/edit?usp=sharing  #gid=0"",""фіз особи new!relations_name""),6,FALSE)
,
(IF
(
C15391=""юридична особа""
,
VLOO"&amp;"KUP(D15391,IMPORTRANGE(""https://docs.google.com/spreadsheets/d/14Bd19lYaqBhU8_DElYkX7l4wRkHqqCUFNJY4AfY3kHU/edit?usp=sharing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90" s="7" t="s">
        <v>10</v>
      </c>
      <c r="H15390" s="7">
        <v>19628</v>
      </c>
      <c r="I15390" s="8" t="str">
        <f ca="1">IFERROR(__xludf.DUMMYFUNCTION("IF
(
G15391=""фізична особа""
,
VLOOKUP(H15391,IMPORTRANGE(""https://docs.google.com/spreadsheets/d/14Bd19lYaqBhU8_DElYkX7l4wRkHqqCUFNJY4AfY3kHU/edit?usp=sharing  #gid=0"",""фіз особи new!relations_name""),6,FALSE)
,
(IF
(
G15391=""юридична особа""
,
VLOO"&amp;"KUP(H15391,IMPORTRANGE(""https://docs.google.com/spreadsheets/d/14Bd19lYaqBhU8_DElYkX7l4wRkHqqCUFNJY4AfY3kHU/edit?usp=sharing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90" s="7" t="s">
        <v>23</v>
      </c>
    </row>
    <row r="15391" spans="1:10" ht="13.2">
      <c r="A15391" s="7">
        <v>15390</v>
      </c>
      <c r="B15391" s="7">
        <v>1</v>
      </c>
      <c r="C15391" s="7" t="s">
        <v>10</v>
      </c>
      <c r="D15391" s="7">
        <v>19631</v>
      </c>
      <c r="E15391" s="7" t="s">
        <v>59</v>
      </c>
      <c r="F15391" s="8" t="str">
        <f ca="1">IFERROR(__xludf.DUMMYFUNCTION("IF
(
C15392=""фізична особа""
,
VLOOKUP(D15392,IMPORTRANGE(""https://docs.google.com/spreadsheets/d/14Bd19lYaqBhU8_DElYkX7l4wRkHqqCUFNJY4AfY3kHU/edit?usp=sharing  #gid=0"",""фіз особи new!relations_name""),6,FALSE)
,
(IF
(
C15392=""юридична особа""
,
VLOO"&amp;"KUP(D15392,IMPORTRANGE(""https://docs.google.com/spreadsheets/d/14Bd19lYaqBhU8_DElYkX7l4wRkHqqCUFNJY4AfY3kHU/edit?usp=sharing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91" s="7" t="s">
        <v>10</v>
      </c>
      <c r="H15391" s="7">
        <v>23716</v>
      </c>
      <c r="I15391" s="8" t="str">
        <f ca="1">IFERROR(__xludf.DUMMYFUNCTION("IF
(
G15392=""фізична особа""
,
VLOOKUP(H15392,IMPORTRANGE(""https://docs.google.com/spreadsheets/d/14Bd19lYaqBhU8_DElYkX7l4wRkHqqCUFNJY4AfY3kHU/edit?usp=sharing  #gid=0"",""фіз особи new!relations_name""),6,FALSE)
,
(IF
(
G15392=""юридична особа""
,
VLOO"&amp;"KUP(H15392,IMPORTRANGE(""https://docs.google.com/spreadsheets/d/14Bd19lYaqBhU8_DElYkX7l4wRkHqqCUFNJY4AfY3kHU/edit?usp=sharing  #gid=0"",""фіз особи new!relations_name_uo""),7,FALSE)
,
)
))"),"АРТЮХОВ Артур Альбертович")</f>
        <v>АРТЮХОВ Артур Альбертович</v>
      </c>
      <c r="J15391" s="7" t="s">
        <v>61</v>
      </c>
    </row>
    <row r="15392" spans="1:10" ht="13.2">
      <c r="A15392" s="7">
        <v>15391</v>
      </c>
      <c r="B15392" s="7">
        <v>1</v>
      </c>
      <c r="C15392" s="7" t="s">
        <v>10</v>
      </c>
      <c r="D15392" s="7">
        <v>19631</v>
      </c>
      <c r="E15392" s="7" t="s">
        <v>12</v>
      </c>
      <c r="F15392" s="8" t="str">
        <f ca="1">IFERROR(__xludf.DUMMYFUNCTION("IF
(
C15393=""фізична особа""
,
VLOOKUP(D15393,IMPORTRANGE(""https://docs.google.com/spreadsheets/d/14Bd19lYaqBhU8_DElYkX7l4wRkHqqCUFNJY4AfY3kHU/edit?usp=sharing  #gid=0"",""фіз особи new!relations_name""),6,FALSE)
,
(IF
(
C15393=""юридична особа""
,
VLOO"&amp;"KUP(D15393,IMPORTRANGE(""https://docs.google.com/spreadsheets/d/14Bd19lYaqBhU8_DElYkX7l4wRkHqqCUFNJY4AfY3kHU/edit?usp=sharing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92" s="7" t="s">
        <v>10</v>
      </c>
      <c r="H15392" s="7">
        <v>23717</v>
      </c>
      <c r="I15392" s="8" t="str">
        <f ca="1">IFERROR(__xludf.DUMMYFUNCTION("IF
(
G15393=""фізична особа""
,
VLOOKUP(H15393,IMPORTRANGE(""https://docs.google.com/spreadsheets/d/14Bd19lYaqBhU8_DElYkX7l4wRkHqqCUFNJY4AfY3kHU/edit?usp=sharing  #gid=0"",""фіз особи new!relations_name""),6,FALSE)
,
(IF
(
G15393=""юридична особа""
,
VLOO"&amp;"KUP(H15393,IMPORTRANGE(""https://docs.google.com/spreadsheets/d/14Bd19lYaqBhU8_DElYkX7l4wRkHqqCUFNJY4AfY3kHU/edit?usp=sharing  #gid=0"",""фіз особи new!relations_name_uo""),7,FALSE)
,
)
))"),"УДАЛОВ Володимир Віталійович")</f>
        <v>УДАЛОВ Володимир Віталійович</v>
      </c>
      <c r="J15392" s="7" t="s">
        <v>17</v>
      </c>
    </row>
    <row r="15393" spans="1:10" ht="13.2">
      <c r="A15393" s="7">
        <v>15392</v>
      </c>
      <c r="B15393" s="7">
        <v>1</v>
      </c>
      <c r="C15393" s="7" t="s">
        <v>10</v>
      </c>
      <c r="D15393" s="7">
        <v>19631</v>
      </c>
      <c r="E15393" s="7" t="s">
        <v>12</v>
      </c>
      <c r="F15393" s="8" t="str">
        <f ca="1">IFERROR(__xludf.DUMMYFUNCTION("IF
(
C15394=""фізична особа""
,
VLOOKUP(D15394,IMPORTRANGE(""https://docs.google.com/spreadsheets/d/14Bd19lYaqBhU8_DElYkX7l4wRkHqqCUFNJY4AfY3kHU/edit?usp=sharing  #gid=0"",""фіз особи new!relations_name""),6,FALSE)
,
(IF
(
C15394=""юридична особа""
,
VLOO"&amp;"KUP(D15394,IMPORTRANGE(""https://docs.google.com/spreadsheets/d/14Bd19lYaqBhU8_DElYkX7l4wRkHqqCUFNJY4AfY3kHU/edit?usp=sharing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93" s="7" t="s">
        <v>10</v>
      </c>
      <c r="H15393" s="7">
        <v>19632</v>
      </c>
      <c r="I15393" s="8" t="str">
        <f ca="1">IFERROR(__xludf.DUMMYFUNCTION("IF
(
G15394=""фізична особа""
,
VLOOKUP(H15394,IMPORTRANGE(""https://docs.google.com/spreadsheets/d/14Bd19lYaqBhU8_DElYkX7l4wRkHqqCUFNJY4AfY3kHU/edit?usp=sharing  #gid=0"",""фіз особи new!relations_name""),6,FALSE)
,
(IF
(
G15394=""юридична особа""
,
VLOO"&amp;"KUP(H15394,IMPORTRANGE(""https://docs.google.com/spreadsheets/d/14Bd19lYaqBhU8_DElYkX7l4wRkHqqCUFNJY4AfY3kHU/edit?usp=sharing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J15393" s="7" t="s">
        <v>17</v>
      </c>
    </row>
    <row r="15394" spans="1:10" ht="13.2">
      <c r="A15394" s="7">
        <v>15393</v>
      </c>
      <c r="B15394" s="7">
        <v>1</v>
      </c>
      <c r="C15394" s="7" t="s">
        <v>10</v>
      </c>
      <c r="D15394" s="7">
        <v>19631</v>
      </c>
      <c r="E15394" s="7" t="s">
        <v>12</v>
      </c>
      <c r="F15394" s="8" t="str">
        <f ca="1">IFERROR(__xludf.DUMMYFUNCTION("IF
(
C15395=""фізична особа""
,
VLOOKUP(D15395,IMPORTRANGE(""https://docs.google.com/spreadsheets/d/14Bd19lYaqBhU8_DElYkX7l4wRkHqqCUFNJY4AfY3kHU/edit?usp=sharing  #gid=0"",""фіз особи new!relations_name""),6,FALSE)
,
(IF
(
C15395=""юридична особа""
,
VLOO"&amp;"KUP(D15395,IMPORTRANGE(""https://docs.google.com/spreadsheets/d/14Bd19lYaqBhU8_DElYkX7l4wRkHqqCUFNJY4AfY3kHU/edit?usp=sharing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G15394" s="7" t="s">
        <v>10</v>
      </c>
      <c r="H15394" s="7">
        <v>23718</v>
      </c>
      <c r="I15394" s="8" t="str">
        <f ca="1">IFERROR(__xludf.DUMMYFUNCTION("IF
(
G15395=""фізична особа""
,
VLOOKUP(H15395,IMPORTRANGE(""https://docs.google.com/spreadsheets/d/14Bd19lYaqBhU8_DElYkX7l4wRkHqqCUFNJY4AfY3kHU/edit?usp=sharing  #gid=0"",""фіз особи new!relations_name""),6,FALSE)
,
(IF
(
G15395=""юридична особа""
,
VLOO"&amp;"KUP(H15395,IMPORTRANGE(""https://docs.google.com/spreadsheets/d/14Bd19lYaqBhU8_DElYkX7l4wRkHqqCUFNJY4AfY3kHU/edit?usp=sharing  #gid=0"",""фіз особи new!relations_name_uo""),7,FALSE)
,
)
))"),"АРТЮХОВ Альберт Віталійович")</f>
        <v>АРТЮХОВ Альберт Віталійович</v>
      </c>
      <c r="J15394" s="7" t="s">
        <v>17</v>
      </c>
    </row>
    <row r="15395" spans="1:10" ht="13.2">
      <c r="A15395" s="7">
        <v>15394</v>
      </c>
      <c r="B15395" s="7">
        <v>1</v>
      </c>
      <c r="C15395" s="7" t="s">
        <v>10</v>
      </c>
      <c r="D15395" s="7">
        <v>19632</v>
      </c>
      <c r="E15395" s="7" t="s">
        <v>23</v>
      </c>
      <c r="F15395" s="8" t="str">
        <f ca="1">IFERROR(__xludf.DUMMYFUNCTION("IF
(
C15396=""фізична особа""
,
VLOOKUP(D15396,IMPORTRANGE(""https://docs.google.com/spreadsheets/d/14Bd19lYaqBhU8_DElYkX7l4wRkHqqCUFNJY4AfY3kHU/edit?usp=sharing  #gid=0"",""фіз особи new!relations_name""),6,FALSE)
,
(IF
(
C15396=""юридична особа""
,
VLOO"&amp;"KUP(D15396,IMPORTRANGE(""https://docs.google.com/spreadsheets/d/14Bd19lYaqBhU8_DElYkX7l4wRkHqqCUFNJY4AfY3kHU/edit?usp=sharing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395" s="7" t="s">
        <v>10</v>
      </c>
      <c r="H15395" s="7">
        <v>19627</v>
      </c>
      <c r="I15395" s="8" t="str">
        <f ca="1">IFERROR(__xludf.DUMMYFUNCTION("IF
(
G15396=""фізична особа""
,
VLOOKUP(H15396,IMPORTRANGE(""https://docs.google.com/spreadsheets/d/14Bd19lYaqBhU8_DElYkX7l4wRkHqqCUFNJY4AfY3kHU/edit?usp=sharing  #gid=0"",""фіз особи new!relations_name""),6,FALSE)
,
(IF
(
G15396=""юридична особа""
,
VLOO"&amp;"KUP(H15396,IMPORTRANGE(""https://docs.google.com/spreadsheets/d/14Bd19lYaqBhU8_DElYkX7l4wRkHqqCUFNJY4AfY3kHU/edit?usp=sharing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395" s="7" t="s">
        <v>23</v>
      </c>
    </row>
    <row r="15396" spans="1:10" ht="13.2">
      <c r="A15396" s="7">
        <v>15395</v>
      </c>
      <c r="B15396" s="7">
        <v>1</v>
      </c>
      <c r="C15396" s="7" t="s">
        <v>10</v>
      </c>
      <c r="D15396" s="7">
        <v>19632</v>
      </c>
      <c r="E15396" s="7" t="s">
        <v>23</v>
      </c>
      <c r="F15396" s="8" t="str">
        <f ca="1">IFERROR(__xludf.DUMMYFUNCTION("IF
(
C15397=""фізична особа""
,
VLOOKUP(D15397,IMPORTRANGE(""https://docs.google.com/spreadsheets/d/14Bd19lYaqBhU8_DElYkX7l4wRkHqqCUFNJY4AfY3kHU/edit?usp=sharing  #gid=0"",""фіз особи new!relations_name""),6,FALSE)
,
(IF
(
C15397=""юридична особа""
,
VLOO"&amp;"KUP(D15397,IMPORTRANGE(""https://docs.google.com/spreadsheets/d/14Bd19lYaqBhU8_DElYkX7l4wRkHqqCUFNJY4AfY3kHU/edit?usp=sharing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396" s="7" t="s">
        <v>10</v>
      </c>
      <c r="H15396" s="7">
        <v>19628</v>
      </c>
      <c r="I15396" s="8" t="str">
        <f ca="1">IFERROR(__xludf.DUMMYFUNCTION("IF
(
G15397=""фізична особа""
,
VLOOKUP(H15397,IMPORTRANGE(""https://docs.google.com/spreadsheets/d/14Bd19lYaqBhU8_DElYkX7l4wRkHqqCUFNJY4AfY3kHU/edit?usp=sharing  #gid=0"",""фіз особи new!relations_name""),6,FALSE)
,
(IF
(
G15397=""юридична особа""
,
VLOO"&amp;"KUP(H15397,IMPORTRANGE(""https://docs.google.com/spreadsheets/d/14Bd19lYaqBhU8_DElYkX7l4wRkHqqCUFNJY4AfY3kHU/edit?usp=sharing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396" s="7" t="s">
        <v>23</v>
      </c>
    </row>
    <row r="15397" spans="1:10" ht="13.2">
      <c r="A15397" s="7">
        <v>15396</v>
      </c>
      <c r="B15397" s="7">
        <v>1</v>
      </c>
      <c r="C15397" s="7" t="s">
        <v>10</v>
      </c>
      <c r="D15397" s="7">
        <v>19632</v>
      </c>
      <c r="E15397" s="7" t="s">
        <v>19</v>
      </c>
      <c r="F15397" s="8" t="str">
        <f ca="1">IFERROR(__xludf.DUMMYFUNCTION("IF
(
C15398=""фізична особа""
,
VLOOKUP(D15398,IMPORTRANGE(""https://docs.google.com/spreadsheets/d/14Bd19lYaqBhU8_DElYkX7l4wRkHqqCUFNJY4AfY3kHU/edit?usp=sharing  #gid=0"",""фіз особи new!relations_name""),6,FALSE)
,
(IF
(
C15398=""юридична особа""
,
VLOO"&amp;"KUP(D15398,IMPORTRANGE(""https://docs.google.com/spreadsheets/d/14Bd19lYaqBhU8_DElYkX7l4wRkHqqCUFNJY4AfY3kHU/edit?usp=sharing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397" s="7" t="s">
        <v>10</v>
      </c>
      <c r="H15397" s="7">
        <v>23716</v>
      </c>
      <c r="I15397" s="8" t="str">
        <f ca="1">IFERROR(__xludf.DUMMYFUNCTION("IF
(
G15398=""фізична особа""
,
VLOOKUP(H15398,IMPORTRANGE(""https://docs.google.com/spreadsheets/d/14Bd19lYaqBhU8_DElYkX7l4wRkHqqCUFNJY4AfY3kHU/edit?usp=sharing  #gid=0"",""фіз особи new!relations_name""),6,FALSE)
,
(IF
(
G15398=""юридична особа""
,
VLOO"&amp;"KUP(H15398,IMPORTRANGE(""https://docs.google.com/spreadsheets/d/14Bd19lYaqBhU8_DElYkX7l4wRkHqqCUFNJY4AfY3kHU/edit?usp=sharing  #gid=0"",""фіз особи new!relations_name_uo""),7,FALSE)
,
)
))"),"АРТЮХОВ Артур Альбертович")</f>
        <v>АРТЮХОВ Артур Альбертович</v>
      </c>
      <c r="J15397" s="7" t="s">
        <v>20</v>
      </c>
    </row>
    <row r="15398" spans="1:10" ht="13.2">
      <c r="A15398" s="7">
        <v>15397</v>
      </c>
      <c r="B15398" s="7">
        <v>1</v>
      </c>
      <c r="C15398" s="7" t="s">
        <v>10</v>
      </c>
      <c r="D15398" s="7">
        <v>19632</v>
      </c>
      <c r="E15398" s="7" t="s">
        <v>18</v>
      </c>
      <c r="F15398" s="8" t="str">
        <f ca="1">IFERROR(__xludf.DUMMYFUNCTION("IF
(
C15399=""фізична особа""
,
VLOOKUP(D15399,IMPORTRANGE(""https://docs.google.com/spreadsheets/d/14Bd19lYaqBhU8_DElYkX7l4wRkHqqCUFNJY4AfY3kHU/edit?usp=sharing  #gid=0"",""фіз особи new!relations_name""),6,FALSE)
,
(IF
(
C15399=""юридична особа""
,
VLOO"&amp;"KUP(D15399,IMPORTRANGE(""https://docs.google.com/spreadsheets/d/14Bd19lYaqBhU8_DElYkX7l4wRkHqqCUFNJY4AfY3kHU/edit?usp=sharing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398" s="7" t="s">
        <v>10</v>
      </c>
      <c r="H15398" s="7">
        <v>23717</v>
      </c>
      <c r="I15398" s="8" t="str">
        <f ca="1">IFERROR(__xludf.DUMMYFUNCTION("IF
(
G15399=""фізична особа""
,
VLOOKUP(H15399,IMPORTRANGE(""https://docs.google.com/spreadsheets/d/14Bd19lYaqBhU8_DElYkX7l4wRkHqqCUFNJY4AfY3kHU/edit?usp=sharing  #gid=0"",""фіз особи new!relations_name""),6,FALSE)
,
(IF
(
G15399=""юридична особа""
,
VLOO"&amp;"KUP(H15399,IMPORTRANGE(""https://docs.google.com/spreadsheets/d/14Bd19lYaqBhU8_DElYkX7l4wRkHqqCUFNJY4AfY3kHU/edit?usp=sharing  #gid=0"",""фіз особи new!relations_name_uo""),7,FALSE)
,
)
))"),"УДАЛОВ Володимир Віталійович")</f>
        <v>УДАЛОВ Володимир Віталійович</v>
      </c>
      <c r="J15398" s="7" t="s">
        <v>18</v>
      </c>
    </row>
    <row r="15399" spans="1:10" ht="13.2">
      <c r="A15399" s="7">
        <v>15398</v>
      </c>
      <c r="B15399" s="7">
        <v>1</v>
      </c>
      <c r="C15399" s="7" t="s">
        <v>10</v>
      </c>
      <c r="D15399" s="7">
        <v>19632</v>
      </c>
      <c r="E15399" s="7" t="s">
        <v>18</v>
      </c>
      <c r="F15399" s="8" t="str">
        <f ca="1">IFERROR(__xludf.DUMMYFUNCTION("IF
(
C15400=""фізична особа""
,
VLOOKUP(D15400,IMPORTRANGE(""https://docs.google.com/spreadsheets/d/14Bd19lYaqBhU8_DElYkX7l4wRkHqqCUFNJY4AfY3kHU/edit?usp=sharing  #gid=0"",""фіз особи new!relations_name""),6,FALSE)
,
(IF
(
C15400=""юридична особа""
,
VLOO"&amp;"KUP(D15400,IMPORTRANGE(""https://docs.google.com/spreadsheets/d/14Bd19lYaqBhU8_DElYkX7l4wRkHqqCUFNJY4AfY3kHU/edit?usp=sharing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399" s="7" t="s">
        <v>10</v>
      </c>
      <c r="H15399" s="7">
        <v>23718</v>
      </c>
      <c r="I15399" s="8" t="str">
        <f ca="1">IFERROR(__xludf.DUMMYFUNCTION("IF
(
G15400=""фізична особа""
,
VLOOKUP(H15400,IMPORTRANGE(""https://docs.google.com/spreadsheets/d/14Bd19lYaqBhU8_DElYkX7l4wRkHqqCUFNJY4AfY3kHU/edit?usp=sharing  #gid=0"",""фіз особи new!relations_name""),6,FALSE)
,
(IF
(
G15400=""юридична особа""
,
VLOO"&amp;"KUP(H15400,IMPORTRANGE(""https://docs.google.com/spreadsheets/d/14Bd19lYaqBhU8_DElYkX7l4wRkHqqCUFNJY4AfY3kHU/edit?usp=sharing  #gid=0"",""фіз особи new!relations_name_uo""),7,FALSE)
,
)
))"),"АРТЮХОВ Альберт Віталійович")</f>
        <v>АРТЮХОВ Альберт Віталійович</v>
      </c>
      <c r="J15399" s="7" t="s">
        <v>18</v>
      </c>
    </row>
    <row r="15400" spans="1:10" ht="13.2">
      <c r="A15400" s="7">
        <v>15399</v>
      </c>
      <c r="B15400" s="7">
        <v>1</v>
      </c>
      <c r="C15400" s="7" t="s">
        <v>10</v>
      </c>
      <c r="D15400" s="7">
        <v>19632</v>
      </c>
      <c r="E15400" s="7" t="s">
        <v>17</v>
      </c>
      <c r="F15400" s="8" t="str">
        <f ca="1">IFERROR(__xludf.DUMMYFUNCTION("IF
(
C15401=""фізична особа""
,
VLOOKUP(D15401,IMPORTRANGE(""https://docs.google.com/spreadsheets/d/14Bd19lYaqBhU8_DElYkX7l4wRkHqqCUFNJY4AfY3kHU/edit?usp=sharing  #gid=0"",""фіз особи new!relations_name""),6,FALSE)
,
(IF
(
C15401=""юридична особа""
,
VLOO"&amp;"KUP(D15401,IMPORTRANGE(""https://docs.google.com/spreadsheets/d/14Bd19lYaqBhU8_DElYkX7l4wRkHqqCUFNJY4AfY3kHU/edit?usp=sharing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400" s="7" t="s">
        <v>10</v>
      </c>
      <c r="H15400" s="7">
        <v>19631</v>
      </c>
      <c r="I15400" s="8" t="str">
        <f ca="1">IFERROR(__xludf.DUMMYFUNCTION("IF
(
G15401=""фізична особа""
,
VLOOKUP(H15401,IMPORTRANGE(""https://docs.google.com/spreadsheets/d/14Bd19lYaqBhU8_DElYkX7l4wRkHqqCUFNJY4AfY3kHU/edit?usp=sharing  #gid=0"",""фіз особи new!relations_name""),6,FALSE)
,
(IF
(
G15401=""юридична особа""
,
VLOO"&amp;"KUP(H15401,IMPORTRANGE(""https://docs.google.com/spreadsheets/d/14Bd19lYaqBhU8_DElYkX7l4wRkHqqCUFNJY4AfY3kHU/edit?usp=sharing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400" s="7" t="s">
        <v>12</v>
      </c>
    </row>
    <row r="15401" spans="1:10" ht="13.2">
      <c r="A15401" s="7">
        <v>15400</v>
      </c>
      <c r="B15401" s="7">
        <v>1</v>
      </c>
      <c r="C15401" s="7" t="s">
        <v>10</v>
      </c>
      <c r="D15401" s="7">
        <v>19632</v>
      </c>
      <c r="E15401" s="7" t="s">
        <v>17</v>
      </c>
      <c r="F15401" s="8" t="str">
        <f ca="1">IFERROR(__xludf.DUMMYFUNCTION("IF
(
C15402=""фізична особа""
,
VLOOKUP(D15402,IMPORTRANGE(""https://docs.google.com/spreadsheets/d/14Bd19lYaqBhU8_DElYkX7l4wRkHqqCUFNJY4AfY3kHU/edit?usp=sharing  #gid=0"",""фіз особи new!relations_name""),6,FALSE)
,
(IF
(
C15402=""юридична особа""
,
VLOO"&amp;"KUP(D15402,IMPORTRANGE(""https://docs.google.com/spreadsheets/d/14Bd19lYaqBhU8_DElYkX7l4wRkHqqCUFNJY4AfY3kHU/edit?usp=sharing  #gid=0"",""фіз особи new!relations_name_uo""),7,FALSE)
,
)
))"),"АРТЮХОВ Вадим Віталійович")</f>
        <v>АРТЮХОВ Вадим Віталійович</v>
      </c>
      <c r="G15401" s="7" t="s">
        <v>10</v>
      </c>
      <c r="H15401" s="7">
        <v>19626</v>
      </c>
      <c r="I15401" s="8" t="str">
        <f ca="1">IFERROR(__xludf.DUMMYFUNCTION("IF
(
G15402=""фізична особа""
,
VLOOKUP(H15402,IMPORTRANGE(""https://docs.google.com/spreadsheets/d/14Bd19lYaqBhU8_DElYkX7l4wRkHqqCUFNJY4AfY3kHU/edit?usp=sharing  #gid=0"",""фіз особи new!relations_name""),6,FALSE)
,
(IF
(
G15402=""юридична особа""
,
VLOO"&amp;"KUP(H15402,IMPORTRANGE(""https://docs.google.com/spreadsheets/d/14Bd19lYaqBhU8_DElYkX7l4wRkHqqCUFNJY4AfY3kHU/edit?usp=sharing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401" s="7" t="s">
        <v>21</v>
      </c>
    </row>
    <row r="15402" spans="1:10" ht="13.2">
      <c r="A15402" s="7">
        <v>15401</v>
      </c>
      <c r="B15402" s="7">
        <v>1</v>
      </c>
      <c r="C15402" s="7" t="s">
        <v>10</v>
      </c>
      <c r="D15402" s="7">
        <v>19633</v>
      </c>
      <c r="E15402" s="7" t="s">
        <v>23</v>
      </c>
      <c r="F15402" s="8" t="str">
        <f ca="1">IFERROR(__xludf.DUMMYFUNCTION("IF
(
C15403=""фізична особа""
,
VLOOKUP(D15403,IMPORTRANGE(""https://docs.google.com/spreadsheets/d/14Bd19lYaqBhU8_DElYkX7l4wRkHqqCUFNJY4AfY3kHU/edit?usp=sharing  #gid=0"",""фіз особи new!relations_name""),6,FALSE)
,
(IF
(
C15403=""юридична особа""
,
VLOO"&amp;"KUP(D15403,IMPORTRANGE(""https://docs.google.com/spreadsheets/d/14Bd19lYaqBhU8_DElYkX7l4wRkHqqCUFNJY4AfY3kHU/edit?usp=sharing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G15402" s="7" t="s">
        <v>10</v>
      </c>
      <c r="H15402" s="7">
        <v>19626</v>
      </c>
      <c r="I15402" s="8" t="str">
        <f ca="1">IFERROR(__xludf.DUMMYFUNCTION("IF
(
G15403=""фізична особа""
,
VLOOKUP(H15403,IMPORTRANGE(""https://docs.google.com/spreadsheets/d/14Bd19lYaqBhU8_DElYkX7l4wRkHqqCUFNJY4AfY3kHU/edit?usp=sharing  #gid=0"",""фіз особи new!relations_name""),6,FALSE)
,
(IF
(
G15403=""юридична особа""
,
VLOO"&amp;"KUP(H15403,IMPORTRANGE(""https://docs.google.com/spreadsheets/d/14Bd19lYaqBhU8_DElYkX7l4wRkHqqCUFNJY4AfY3kHU/edit?usp=sharing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402" s="7" t="s">
        <v>23</v>
      </c>
    </row>
    <row r="15403" spans="1:10" ht="13.2">
      <c r="A15403" s="7">
        <v>15402</v>
      </c>
      <c r="B15403" s="7">
        <v>1</v>
      </c>
      <c r="C15403" s="7" t="s">
        <v>10</v>
      </c>
      <c r="D15403" s="7">
        <v>19633</v>
      </c>
      <c r="E15403" s="7" t="s">
        <v>23</v>
      </c>
      <c r="F15403" s="8" t="str">
        <f ca="1">IFERROR(__xludf.DUMMYFUNCTION("IF
(
C15404=""фізична особа""
,
VLOOKUP(D15404,IMPORTRANGE(""https://docs.google.com/spreadsheets/d/14Bd19lYaqBhU8_DElYkX7l4wRkHqqCUFNJY4AfY3kHU/edit?usp=sharing  #gid=0"",""фіз особи new!relations_name""),6,FALSE)
,
(IF
(
C15404=""юридична особа""
,
VLOO"&amp;"KUP(D15404,IMPORTRANGE(""https://docs.google.com/spreadsheets/d/14Bd19lYaqBhU8_DElYkX7l4wRkHqqCUFNJY4AfY3kHU/edit?usp=sharing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G15403" s="7" t="s">
        <v>10</v>
      </c>
      <c r="H15403" s="7">
        <v>19631</v>
      </c>
      <c r="I15403" s="8" t="str">
        <f ca="1">IFERROR(__xludf.DUMMYFUNCTION("IF
(
G15404=""фізична особа""
,
VLOOKUP(H15404,IMPORTRANGE(""https://docs.google.com/spreadsheets/d/14Bd19lYaqBhU8_DElYkX7l4wRkHqqCUFNJY4AfY3kHU/edit?usp=sharing  #gid=0"",""фіз особи new!relations_name""),6,FALSE)
,
(IF
(
G15404=""юридична особа""
,
VLOO"&amp;"KUP(H15404,IMPORTRANGE(""https://docs.google.com/spreadsheets/d/14Bd19lYaqBhU8_DElYkX7l4wRkHqqCUFNJY4AfY3kHU/edit?usp=sharing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403" s="7" t="s">
        <v>23</v>
      </c>
    </row>
    <row r="15404" spans="1:10" ht="13.2">
      <c r="A15404" s="7">
        <v>15403</v>
      </c>
      <c r="B15404" s="7">
        <v>1</v>
      </c>
      <c r="C15404" s="7" t="s">
        <v>10</v>
      </c>
      <c r="D15404" s="7">
        <v>19633</v>
      </c>
      <c r="E15404" s="7" t="s">
        <v>23</v>
      </c>
      <c r="F15404" s="8" t="str">
        <f ca="1">IFERROR(__xludf.DUMMYFUNCTION("IF
(
C15405=""фізична особа""
,
VLOOKUP(D15405,IMPORTRANGE(""https://docs.google.com/spreadsheets/d/14Bd19lYaqBhU8_DElYkX7l4wRkHqqCUFNJY4AfY3kHU/edit?usp=sharing  #gid=0"",""фіз особи new!relations_name""),6,FALSE)
,
(IF
(
C15405=""юридична особа""
,
VLOO"&amp;"KUP(D15405,IMPORTRANGE(""https://docs.google.com/spreadsheets/d/14Bd19lYaqBhU8_DElYkX7l4wRkHqqCUFNJY4AfY3kHU/edit?usp=sharing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G15404" s="7" t="s">
        <v>10</v>
      </c>
      <c r="H15404" s="7">
        <v>19627</v>
      </c>
      <c r="I15404" s="8" t="str">
        <f ca="1">IFERROR(__xludf.DUMMYFUNCTION("IF
(
G15405=""фізична особа""
,
VLOOKUP(H15405,IMPORTRANGE(""https://docs.google.com/spreadsheets/d/14Bd19lYaqBhU8_DElYkX7l4wRkHqqCUFNJY4AfY3kHU/edit?usp=sharing  #gid=0"",""фіз особи new!relations_name""),6,FALSE)
,
(IF
(
G15405=""юридична особа""
,
VLOO"&amp;"KUP(H15405,IMPORTRANGE(""https://docs.google.com/spreadsheets/d/14Bd19lYaqBhU8_DElYkX7l4wRkHqqCUFNJY4AfY3kHU/edit?usp=sharing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404" s="7" t="s">
        <v>23</v>
      </c>
    </row>
    <row r="15405" spans="1:10" ht="13.2">
      <c r="A15405" s="7">
        <v>15404</v>
      </c>
      <c r="B15405" s="7">
        <v>1</v>
      </c>
      <c r="C15405" s="7" t="s">
        <v>10</v>
      </c>
      <c r="D15405" s="7">
        <v>19633</v>
      </c>
      <c r="E15405" s="7" t="s">
        <v>23</v>
      </c>
      <c r="F15405" s="8" t="str">
        <f ca="1">IFERROR(__xludf.DUMMYFUNCTION("IF
(
C15406=""фізична особа""
,
VLOOKUP(D15406,IMPORTRANGE(""https://docs.google.com/spreadsheets/d/14Bd19lYaqBhU8_DElYkX7l4wRkHqqCUFNJY4AfY3kHU/edit?usp=sharing  #gid=0"",""фіз особи new!relations_name""),6,FALSE)
,
(IF
(
C15406=""юридична особа""
,
VLOO"&amp;"KUP(D15406,IMPORTRANGE(""https://docs.google.com/spreadsheets/d/14Bd19lYaqBhU8_DElYkX7l4wRkHqqCUFNJY4AfY3kHU/edit?usp=sharing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G15405" s="7" t="s">
        <v>10</v>
      </c>
      <c r="H15405" s="7">
        <v>19628</v>
      </c>
      <c r="I15405" s="8" t="str">
        <f ca="1">IFERROR(__xludf.DUMMYFUNCTION("IF
(
G15406=""фізична особа""
,
VLOOKUP(H15406,IMPORTRANGE(""https://docs.google.com/spreadsheets/d/14Bd19lYaqBhU8_DElYkX7l4wRkHqqCUFNJY4AfY3kHU/edit?usp=sharing  #gid=0"",""фіз особи new!relations_name""),6,FALSE)
,
(IF
(
G15406=""юридична особа""
,
VLOO"&amp;"KUP(H15406,IMPORTRANGE(""https://docs.google.com/spreadsheets/d/14Bd19lYaqBhU8_DElYkX7l4wRkHqqCUFNJY4AfY3kHU/edit?usp=sharing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405" s="7" t="s">
        <v>23</v>
      </c>
    </row>
    <row r="15406" spans="1:10" ht="13.2">
      <c r="A15406" s="7">
        <v>15405</v>
      </c>
      <c r="B15406" s="7">
        <v>1</v>
      </c>
      <c r="C15406" s="7" t="s">
        <v>10</v>
      </c>
      <c r="D15406" s="7">
        <v>19633</v>
      </c>
      <c r="E15406" s="7" t="s">
        <v>23</v>
      </c>
      <c r="F15406" s="8" t="str">
        <f ca="1">IFERROR(__xludf.DUMMYFUNCTION("IF
(
C15407=""фізична особа""
,
VLOOKUP(D15407,IMPORTRANGE(""https://docs.google.com/spreadsheets/d/14Bd19lYaqBhU8_DElYkX7l4wRkHqqCUFNJY4AfY3kHU/edit?usp=sharing  #gid=0"",""фіз особи new!relations_name""),6,FALSE)
,
(IF
(
C15407=""юридична особа""
,
VLOO"&amp;"KUP(D15407,IMPORTRANGE(""https://docs.google.com/spreadsheets/d/14Bd19lYaqBhU8_DElYkX7l4wRkHqqCUFNJY4AfY3kHU/edit?usp=sharing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G15406" s="7" t="s">
        <v>10</v>
      </c>
      <c r="H15406" s="7">
        <v>19630</v>
      </c>
      <c r="I15406" s="8" t="str">
        <f ca="1">IFERROR(__xludf.DUMMYFUNCTION("IF
(
G15407=""фізична особа""
,
VLOOKUP(H15407,IMPORTRANGE(""https://docs.google.com/spreadsheets/d/14Bd19lYaqBhU8_DElYkX7l4wRkHqqCUFNJY4AfY3kHU/edit?usp=sharing  #gid=0"",""фіз особи new!relations_name""),6,FALSE)
,
(IF
(
G15407=""юридична особа""
,
VLOO"&amp;"KUP(H15407,IMPORTRANGE(""https://docs.google.com/spreadsheets/d/14Bd19lYaqBhU8_DElYkX7l4wRkHqqCUFNJY4AfY3kHU/edit?usp=sharing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406" s="7" t="s">
        <v>23</v>
      </c>
    </row>
    <row r="15407" spans="1:10" ht="13.2">
      <c r="A15407" s="7">
        <v>15406</v>
      </c>
      <c r="B15407" s="7">
        <v>1</v>
      </c>
      <c r="C15407" s="7" t="s">
        <v>10</v>
      </c>
      <c r="D15407" s="7">
        <v>19634</v>
      </c>
      <c r="E15407" s="7" t="s">
        <v>23</v>
      </c>
      <c r="F15407" s="8" t="str">
        <f ca="1">IFERROR(__xludf.DUMMYFUNCTION("IF
(
C15408=""фізична особа""
,
VLOOKUP(D15408,IMPORTRANGE(""https://docs.google.com/spreadsheets/d/14Bd19lYaqBhU8_DElYkX7l4wRkHqqCUFNJY4AfY3kHU/edit?usp=sharing  #gid=0"",""фіз особи new!relations_name""),6,FALSE)
,
(IF
(
C15408=""юридична особа""
,
VLOO"&amp;"KUP(D15408,IMPORTRANGE(""https://docs.google.com/spreadsheets/d/14Bd19lYaqBhU8_DElYkX7l4wRkHqqCUFNJY4AfY3kHU/edit?usp=sharing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07" s="7" t="s">
        <v>10</v>
      </c>
      <c r="H15407" s="7">
        <v>19626</v>
      </c>
      <c r="I15407" s="8" t="str">
        <f ca="1">IFERROR(__xludf.DUMMYFUNCTION("IF
(
G15408=""фізична особа""
,
VLOOKUP(H15408,IMPORTRANGE(""https://docs.google.com/spreadsheets/d/14Bd19lYaqBhU8_DElYkX7l4wRkHqqCUFNJY4AfY3kHU/edit?usp=sharing  #gid=0"",""фіз особи new!relations_name""),6,FALSE)
,
(IF
(
G15408=""юридична особа""
,
VLOO"&amp;"KUP(H15408,IMPORTRANGE(""https://docs.google.com/spreadsheets/d/14Bd19lYaqBhU8_DElYkX7l4wRkHqqCUFNJY4AfY3kHU/edit?usp=sharing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407" s="7" t="s">
        <v>23</v>
      </c>
    </row>
    <row r="15408" spans="1:10" ht="13.2">
      <c r="A15408" s="7">
        <v>15407</v>
      </c>
      <c r="B15408" s="7">
        <v>1</v>
      </c>
      <c r="C15408" s="7" t="s">
        <v>10</v>
      </c>
      <c r="D15408" s="7">
        <v>19634</v>
      </c>
      <c r="E15408" s="7" t="s">
        <v>23</v>
      </c>
      <c r="F15408" s="8" t="str">
        <f ca="1">IFERROR(__xludf.DUMMYFUNCTION("IF
(
C15409=""фізична особа""
,
VLOOKUP(D15409,IMPORTRANGE(""https://docs.google.com/spreadsheets/d/14Bd19lYaqBhU8_DElYkX7l4wRkHqqCUFNJY4AfY3kHU/edit?usp=sharing  #gid=0"",""фіз особи new!relations_name""),6,FALSE)
,
(IF
(
C15409=""юридична особа""
,
VLOO"&amp;"KUP(D15409,IMPORTRANGE(""https://docs.google.com/spreadsheets/d/14Bd19lYaqBhU8_DElYkX7l4wRkHqqCUFNJY4AfY3kHU/edit?usp=sharing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08" s="7" t="s">
        <v>10</v>
      </c>
      <c r="H15408" s="7">
        <v>19631</v>
      </c>
      <c r="I15408" s="8" t="str">
        <f ca="1">IFERROR(__xludf.DUMMYFUNCTION("IF
(
G15409=""фізична особа""
,
VLOOKUP(H15409,IMPORTRANGE(""https://docs.google.com/spreadsheets/d/14Bd19lYaqBhU8_DElYkX7l4wRkHqqCUFNJY4AfY3kHU/edit?usp=sharing  #gid=0"",""фіз особи new!relations_name""),6,FALSE)
,
(IF
(
G15409=""юридична особа""
,
VLOO"&amp;"KUP(H15409,IMPORTRANGE(""https://docs.google.com/spreadsheets/d/14Bd19lYaqBhU8_DElYkX7l4wRkHqqCUFNJY4AfY3kHU/edit?usp=sharing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408" s="7" t="s">
        <v>23</v>
      </c>
    </row>
    <row r="15409" spans="1:10" ht="13.2">
      <c r="A15409" s="7">
        <v>15408</v>
      </c>
      <c r="B15409" s="7">
        <v>1</v>
      </c>
      <c r="C15409" s="7" t="s">
        <v>10</v>
      </c>
      <c r="D15409" s="7">
        <v>19634</v>
      </c>
      <c r="E15409" s="7" t="s">
        <v>23</v>
      </c>
      <c r="F15409" s="8" t="str">
        <f ca="1">IFERROR(__xludf.DUMMYFUNCTION("IF
(
C15410=""фізична особа""
,
VLOOKUP(D15410,IMPORTRANGE(""https://docs.google.com/spreadsheets/d/14Bd19lYaqBhU8_DElYkX7l4wRkHqqCUFNJY4AfY3kHU/edit?usp=sharing  #gid=0"",""фіз особи new!relations_name""),6,FALSE)
,
(IF
(
C15410=""юридична особа""
,
VLOO"&amp;"KUP(D15410,IMPORTRANGE(""https://docs.google.com/spreadsheets/d/14Bd19lYaqBhU8_DElYkX7l4wRkHqqCUFNJY4AfY3kHU/edit?usp=sharing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09" s="7" t="s">
        <v>10</v>
      </c>
      <c r="H15409" s="7">
        <v>19627</v>
      </c>
      <c r="I15409" s="8" t="str">
        <f ca="1">IFERROR(__xludf.DUMMYFUNCTION("IF
(
G15410=""фізична особа""
,
VLOOKUP(H15410,IMPORTRANGE(""https://docs.google.com/spreadsheets/d/14Bd19lYaqBhU8_DElYkX7l4wRkHqqCUFNJY4AfY3kHU/edit?usp=sharing  #gid=0"",""фіз особи new!relations_name""),6,FALSE)
,
(IF
(
G15410=""юридична особа""
,
VLOO"&amp;"KUP(H15410,IMPORTRANGE(""https://docs.google.com/spreadsheets/d/14Bd19lYaqBhU8_DElYkX7l4wRkHqqCUFNJY4AfY3kHU/edit?usp=sharing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409" s="7" t="s">
        <v>23</v>
      </c>
    </row>
    <row r="15410" spans="1:10" ht="13.2">
      <c r="A15410" s="7">
        <v>15409</v>
      </c>
      <c r="B15410" s="7">
        <v>1</v>
      </c>
      <c r="C15410" s="7" t="s">
        <v>10</v>
      </c>
      <c r="D15410" s="7">
        <v>19634</v>
      </c>
      <c r="E15410" s="7" t="s">
        <v>23</v>
      </c>
      <c r="F15410" s="8" t="str">
        <f ca="1">IFERROR(__xludf.DUMMYFUNCTION("IF
(
C15411=""фізична особа""
,
VLOOKUP(D15411,IMPORTRANGE(""https://docs.google.com/spreadsheets/d/14Bd19lYaqBhU8_DElYkX7l4wRkHqqCUFNJY4AfY3kHU/edit?usp=sharing  #gid=0"",""фіз особи new!relations_name""),6,FALSE)
,
(IF
(
C15411=""юридична особа""
,
VLOO"&amp;"KUP(D15411,IMPORTRANGE(""https://docs.google.com/spreadsheets/d/14Bd19lYaqBhU8_DElYkX7l4wRkHqqCUFNJY4AfY3kHU/edit?usp=sharing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10" s="7" t="s">
        <v>10</v>
      </c>
      <c r="H15410" s="7">
        <v>19628</v>
      </c>
      <c r="I15410" s="8" t="str">
        <f ca="1">IFERROR(__xludf.DUMMYFUNCTION("IF
(
G15411=""фізична особа""
,
VLOOKUP(H15411,IMPORTRANGE(""https://docs.google.com/spreadsheets/d/14Bd19lYaqBhU8_DElYkX7l4wRkHqqCUFNJY4AfY3kHU/edit?usp=sharing  #gid=0"",""фіз особи new!relations_name""),6,FALSE)
,
(IF
(
G15411=""юридична особа""
,
VLOO"&amp;"KUP(H15411,IMPORTRANGE(""https://docs.google.com/spreadsheets/d/14Bd19lYaqBhU8_DElYkX7l4wRkHqqCUFNJY4AfY3kHU/edit?usp=sharing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410" s="7" t="s">
        <v>23</v>
      </c>
    </row>
    <row r="15411" spans="1:10" ht="13.2">
      <c r="A15411" s="7">
        <v>15410</v>
      </c>
      <c r="B15411" s="7">
        <v>1</v>
      </c>
      <c r="C15411" s="7" t="s">
        <v>10</v>
      </c>
      <c r="D15411" s="7">
        <v>19634</v>
      </c>
      <c r="E15411" s="7" t="s">
        <v>23</v>
      </c>
      <c r="F15411" s="8" t="str">
        <f ca="1">IFERROR(__xludf.DUMMYFUNCTION("IF
(
C15412=""фізична особа""
,
VLOOKUP(D15412,IMPORTRANGE(""https://docs.google.com/spreadsheets/d/14Bd19lYaqBhU8_DElYkX7l4wRkHqqCUFNJY4AfY3kHU/edit?usp=sharing  #gid=0"",""фіз особи new!relations_name""),6,FALSE)
,
(IF
(
C15412=""юридична особа""
,
VLOO"&amp;"KUP(D15412,IMPORTRANGE(""https://docs.google.com/spreadsheets/d/14Bd19lYaqBhU8_DElYkX7l4wRkHqqCUFNJY4AfY3kHU/edit?usp=sharing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11" s="7" t="s">
        <v>10</v>
      </c>
      <c r="H15411" s="7">
        <v>19630</v>
      </c>
      <c r="I15411" s="8" t="str">
        <f ca="1">IFERROR(__xludf.DUMMYFUNCTION("IF
(
G15412=""фізична особа""
,
VLOOKUP(H15412,IMPORTRANGE(""https://docs.google.com/spreadsheets/d/14Bd19lYaqBhU8_DElYkX7l4wRkHqqCUFNJY4AfY3kHU/edit?usp=sharing  #gid=0"",""фіз особи new!relations_name""),6,FALSE)
,
(IF
(
G15412=""юридична особа""
,
VLOO"&amp;"KUP(H15412,IMPORTRANGE(""https://docs.google.com/spreadsheets/d/14Bd19lYaqBhU8_DElYkX7l4wRkHqqCUFNJY4AfY3kHU/edit?usp=sharing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411" s="7" t="s">
        <v>23</v>
      </c>
    </row>
    <row r="15412" spans="1:10" ht="13.2">
      <c r="A15412" s="7">
        <v>15411</v>
      </c>
      <c r="B15412" s="7">
        <v>1</v>
      </c>
      <c r="C15412" s="7" t="s">
        <v>10</v>
      </c>
      <c r="D15412" s="7">
        <v>19634</v>
      </c>
      <c r="E15412" s="7" t="s">
        <v>23</v>
      </c>
      <c r="F15412" s="8" t="str">
        <f ca="1">IFERROR(__xludf.DUMMYFUNCTION("IF
(
C15413=""фізична особа""
,
VLOOKUP(D15413,IMPORTRANGE(""https://docs.google.com/spreadsheets/d/14Bd19lYaqBhU8_DElYkX7l4wRkHqqCUFNJY4AfY3kHU/edit?usp=sharing  #gid=0"",""фіз особи new!relations_name""),6,FALSE)
,
(IF
(
C15413=""юридична особа""
,
VLOO"&amp;"KUP(D15413,IMPORTRANGE(""https://docs.google.com/spreadsheets/d/14Bd19lYaqBhU8_DElYkX7l4wRkHqqCUFNJY4AfY3kHU/edit?usp=sharing  #gid=0"",""фіз особи new!relations_name_uo""),7,FALSE)
,
)
))"),"КОРЖАВІН Георгій Анатолійович")</f>
        <v>КОРЖАВІН Георгій Анатолійович</v>
      </c>
      <c r="G15412" s="7" t="s">
        <v>10</v>
      </c>
      <c r="H15412" s="7">
        <v>19633</v>
      </c>
      <c r="I15412" s="8" t="str">
        <f ca="1">IFERROR(__xludf.DUMMYFUNCTION("IF
(
G15413=""фізична особа""
,
VLOOKUP(H15413,IMPORTRANGE(""https://docs.google.com/spreadsheets/d/14Bd19lYaqBhU8_DElYkX7l4wRkHqqCUFNJY4AfY3kHU/edit?usp=sharing  #gid=0"",""фіз особи new!relations_name""),6,FALSE)
,
(IF
(
G15413=""юридична особа""
,
VLOO"&amp;"KUP(H15413,IMPORTRANGE(""https://docs.google.com/spreadsheets/d/14Bd19lYaqBhU8_DElYkX7l4wRkHqqCUFNJY4AfY3kHU/edit?usp=sharing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J15412" s="7" t="s">
        <v>23</v>
      </c>
    </row>
    <row r="15413" spans="1:10" ht="13.2">
      <c r="A15413" s="7">
        <v>15412</v>
      </c>
      <c r="B15413" s="7">
        <v>1</v>
      </c>
      <c r="C15413" s="7" t="s">
        <v>10</v>
      </c>
      <c r="D15413" s="7">
        <v>19635</v>
      </c>
      <c r="E15413" s="7" t="s">
        <v>23</v>
      </c>
      <c r="F15413" s="8" t="str">
        <f ca="1">IFERROR(__xludf.DUMMYFUNCTION("IF
(
C15414=""фізична особа""
,
VLOOKUP(D15414,IMPORTRANGE(""https://docs.google.com/spreadsheets/d/14Bd19lYaqBhU8_DElYkX7l4wRkHqqCUFNJY4AfY3kHU/edit?usp=sharing  #gid=0"",""фіз особи new!relations_name""),6,FALSE)
,
(IF
(
C15414=""юридична особа""
,
VLOO"&amp;"KUP(D15414,IMPORTRANGE(""https://docs.google.com/spreadsheets/d/14Bd19lYaqBhU8_DElYkX7l4wRkHqqCUFNJY4AfY3kHU/edit?usp=sharing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3" s="7" t="s">
        <v>10</v>
      </c>
      <c r="H15413" s="7">
        <v>19626</v>
      </c>
      <c r="I15413" s="8" t="str">
        <f ca="1">IFERROR(__xludf.DUMMYFUNCTION("IF
(
G15414=""фізична особа""
,
VLOOKUP(H15414,IMPORTRANGE(""https://docs.google.com/spreadsheets/d/14Bd19lYaqBhU8_DElYkX7l4wRkHqqCUFNJY4AfY3kHU/edit?usp=sharing  #gid=0"",""фіз особи new!relations_name""),6,FALSE)
,
(IF
(
G15414=""юридична особа""
,
VLOO"&amp;"KUP(H15414,IMPORTRANGE(""https://docs.google.com/spreadsheets/d/14Bd19lYaqBhU8_DElYkX7l4wRkHqqCUFNJY4AfY3kHU/edit?usp=sharing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413" s="7" t="s">
        <v>23</v>
      </c>
    </row>
    <row r="15414" spans="1:10" ht="13.2">
      <c r="A15414" s="7">
        <v>15413</v>
      </c>
      <c r="B15414" s="7">
        <v>1</v>
      </c>
      <c r="C15414" s="7" t="s">
        <v>10</v>
      </c>
      <c r="D15414" s="7">
        <v>19635</v>
      </c>
      <c r="E15414" s="7" t="s">
        <v>23</v>
      </c>
      <c r="F15414" s="8" t="str">
        <f ca="1">IFERROR(__xludf.DUMMYFUNCTION("IF
(
C15415=""фізична особа""
,
VLOOKUP(D15415,IMPORTRANGE(""https://docs.google.com/spreadsheets/d/14Bd19lYaqBhU8_DElYkX7l4wRkHqqCUFNJY4AfY3kHU/edit?usp=sharing  #gid=0"",""фіз особи new!relations_name""),6,FALSE)
,
(IF
(
C15415=""юридична особа""
,
VLOO"&amp;"KUP(D15415,IMPORTRANGE(""https://docs.google.com/spreadsheets/d/14Bd19lYaqBhU8_DElYkX7l4wRkHqqCUFNJY4AfY3kHU/edit?usp=sharing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4" s="7" t="s">
        <v>10</v>
      </c>
      <c r="H15414" s="7">
        <v>19631</v>
      </c>
      <c r="I15414" s="8" t="str">
        <f ca="1">IFERROR(__xludf.DUMMYFUNCTION("IF
(
G15415=""фізична особа""
,
VLOOKUP(H15415,IMPORTRANGE(""https://docs.google.com/spreadsheets/d/14Bd19lYaqBhU8_DElYkX7l4wRkHqqCUFNJY4AfY3kHU/edit?usp=sharing  #gid=0"",""фіз особи new!relations_name""),6,FALSE)
,
(IF
(
G15415=""юридична особа""
,
VLOO"&amp;"KUP(H15415,IMPORTRANGE(""https://docs.google.com/spreadsheets/d/14Bd19lYaqBhU8_DElYkX7l4wRkHqqCUFNJY4AfY3kHU/edit?usp=sharing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414" s="7" t="s">
        <v>23</v>
      </c>
    </row>
    <row r="15415" spans="1:10" ht="13.2">
      <c r="A15415" s="7">
        <v>15414</v>
      </c>
      <c r="B15415" s="7">
        <v>1</v>
      </c>
      <c r="C15415" s="7" t="s">
        <v>10</v>
      </c>
      <c r="D15415" s="7">
        <v>19635</v>
      </c>
      <c r="E15415" s="7" t="s">
        <v>23</v>
      </c>
      <c r="F15415" s="8" t="str">
        <f ca="1">IFERROR(__xludf.DUMMYFUNCTION("IF
(
C15416=""фізична особа""
,
VLOOKUP(D15416,IMPORTRANGE(""https://docs.google.com/spreadsheets/d/14Bd19lYaqBhU8_DElYkX7l4wRkHqqCUFNJY4AfY3kHU/edit?usp=sharing  #gid=0"",""фіз особи new!relations_name""),6,FALSE)
,
(IF
(
C15416=""юридична особа""
,
VLOO"&amp;"KUP(D15416,IMPORTRANGE(""https://docs.google.com/spreadsheets/d/14Bd19lYaqBhU8_DElYkX7l4wRkHqqCUFNJY4AfY3kHU/edit?usp=sharing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5" s="7" t="s">
        <v>10</v>
      </c>
      <c r="H15415" s="7">
        <v>19627</v>
      </c>
      <c r="I15415" s="8" t="str">
        <f ca="1">IFERROR(__xludf.DUMMYFUNCTION("IF
(
G15416=""фізична особа""
,
VLOOKUP(H15416,IMPORTRANGE(""https://docs.google.com/spreadsheets/d/14Bd19lYaqBhU8_DElYkX7l4wRkHqqCUFNJY4AfY3kHU/edit?usp=sharing  #gid=0"",""фіз особи new!relations_name""),6,FALSE)
,
(IF
(
G15416=""юридична особа""
,
VLOO"&amp;"KUP(H15416,IMPORTRANGE(""https://docs.google.com/spreadsheets/d/14Bd19lYaqBhU8_DElYkX7l4wRkHqqCUFNJY4AfY3kHU/edit?usp=sharing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415" s="7" t="s">
        <v>23</v>
      </c>
    </row>
    <row r="15416" spans="1:10" ht="13.2">
      <c r="A15416" s="7">
        <v>15415</v>
      </c>
      <c r="B15416" s="7">
        <v>1</v>
      </c>
      <c r="C15416" s="7" t="s">
        <v>10</v>
      </c>
      <c r="D15416" s="7">
        <v>19635</v>
      </c>
      <c r="E15416" s="7" t="s">
        <v>23</v>
      </c>
      <c r="F15416" s="8" t="str">
        <f ca="1">IFERROR(__xludf.DUMMYFUNCTION("IF
(
C15417=""фізична особа""
,
VLOOKUP(D15417,IMPORTRANGE(""https://docs.google.com/spreadsheets/d/14Bd19lYaqBhU8_DElYkX7l4wRkHqqCUFNJY4AfY3kHU/edit?usp=sharing  #gid=0"",""фіз особи new!relations_name""),6,FALSE)
,
(IF
(
C15417=""юридична особа""
,
VLOO"&amp;"KUP(D15417,IMPORTRANGE(""https://docs.google.com/spreadsheets/d/14Bd19lYaqBhU8_DElYkX7l4wRkHqqCUFNJY4AfY3kHU/edit?usp=sharing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6" s="7" t="s">
        <v>10</v>
      </c>
      <c r="H15416" s="7">
        <v>19628</v>
      </c>
      <c r="I15416" s="8" t="str">
        <f ca="1">IFERROR(__xludf.DUMMYFUNCTION("IF
(
G15417=""фізична особа""
,
VLOOKUP(H15417,IMPORTRANGE(""https://docs.google.com/spreadsheets/d/14Bd19lYaqBhU8_DElYkX7l4wRkHqqCUFNJY4AfY3kHU/edit?usp=sharing  #gid=0"",""фіз особи new!relations_name""),6,FALSE)
,
(IF
(
G15417=""юридична особа""
,
VLOO"&amp;"KUP(H15417,IMPORTRANGE(""https://docs.google.com/spreadsheets/d/14Bd19lYaqBhU8_DElYkX7l4wRkHqqCUFNJY4AfY3kHU/edit?usp=sharing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416" s="7" t="s">
        <v>23</v>
      </c>
    </row>
    <row r="15417" spans="1:10" ht="13.2">
      <c r="A15417" s="7">
        <v>15416</v>
      </c>
      <c r="B15417" s="7">
        <v>1</v>
      </c>
      <c r="C15417" s="7" t="s">
        <v>10</v>
      </c>
      <c r="D15417" s="7">
        <v>19635</v>
      </c>
      <c r="E15417" s="7" t="s">
        <v>23</v>
      </c>
      <c r="F15417" s="8" t="str">
        <f ca="1">IFERROR(__xludf.DUMMYFUNCTION("IF
(
C15418=""фізична особа""
,
VLOOKUP(D15418,IMPORTRANGE(""https://docs.google.com/spreadsheets/d/14Bd19lYaqBhU8_DElYkX7l4wRkHqqCUFNJY4AfY3kHU/edit?usp=sharing  #gid=0"",""фіз особи new!relations_name""),6,FALSE)
,
(IF
(
C15418=""юридична особа""
,
VLOO"&amp;"KUP(D15418,IMPORTRANGE(""https://docs.google.com/spreadsheets/d/14Bd19lYaqBhU8_DElYkX7l4wRkHqqCUFNJY4AfY3kHU/edit?usp=sharing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7" s="7" t="s">
        <v>10</v>
      </c>
      <c r="H15417" s="7">
        <v>19630</v>
      </c>
      <c r="I15417" s="8" t="str">
        <f ca="1">IFERROR(__xludf.DUMMYFUNCTION("IF
(
G15418=""фізична особа""
,
VLOOKUP(H15418,IMPORTRANGE(""https://docs.google.com/spreadsheets/d/14Bd19lYaqBhU8_DElYkX7l4wRkHqqCUFNJY4AfY3kHU/edit?usp=sharing  #gid=0"",""фіз особи new!relations_name""),6,FALSE)
,
(IF
(
G15418=""юридична особа""
,
VLOO"&amp;"KUP(H15418,IMPORTRANGE(""https://docs.google.com/spreadsheets/d/14Bd19lYaqBhU8_DElYkX7l4wRkHqqCUFNJY4AfY3kHU/edit?usp=sharing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417" s="7" t="s">
        <v>23</v>
      </c>
    </row>
    <row r="15418" spans="1:10" ht="13.2">
      <c r="A15418" s="7">
        <v>15417</v>
      </c>
      <c r="B15418" s="7">
        <v>1</v>
      </c>
      <c r="C15418" s="7" t="s">
        <v>10</v>
      </c>
      <c r="D15418" s="7">
        <v>19635</v>
      </c>
      <c r="E15418" s="7" t="s">
        <v>23</v>
      </c>
      <c r="F15418" s="8" t="str">
        <f ca="1">IFERROR(__xludf.DUMMYFUNCTION("IF
(
C15419=""фізична особа""
,
VLOOKUP(D15419,IMPORTRANGE(""https://docs.google.com/spreadsheets/d/14Bd19lYaqBhU8_DElYkX7l4wRkHqqCUFNJY4AfY3kHU/edit?usp=sharing  #gid=0"",""фіз особи new!relations_name""),6,FALSE)
,
(IF
(
C15419=""юридична особа""
,
VLOO"&amp;"KUP(D15419,IMPORTRANGE(""https://docs.google.com/spreadsheets/d/14Bd19lYaqBhU8_DElYkX7l4wRkHqqCUFNJY4AfY3kHU/edit?usp=sharing  #gid=0"",""фіз особи new!relations_name_uo""),7,FALSE)
,
)
))"),"ОВОДЕНКО Анатолій Аркадійович")</f>
        <v>ОВОДЕНКО Анатолій Аркадійович</v>
      </c>
      <c r="G15418" s="7" t="s">
        <v>10</v>
      </c>
      <c r="H15418" s="7">
        <v>19633</v>
      </c>
      <c r="I15418" s="8" t="str">
        <f ca="1">IFERROR(__xludf.DUMMYFUNCTION("IF
(
G15419=""фізична особа""
,
VLOOKUP(H15419,IMPORTRANGE(""https://docs.google.com/spreadsheets/d/14Bd19lYaqBhU8_DElYkX7l4wRkHqqCUFNJY4AfY3kHU/edit?usp=sharing  #gid=0"",""фіз особи new!relations_name""),6,FALSE)
,
(IF
(
G15419=""юридична особа""
,
VLOO"&amp;"KUP(H15419,IMPORTRANGE(""https://docs.google.com/spreadsheets/d/14Bd19lYaqBhU8_DElYkX7l4wRkHqqCUFNJY4AfY3kHU/edit?usp=sharing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J15418" s="7" t="s">
        <v>23</v>
      </c>
    </row>
    <row r="15419" spans="1:10" ht="13.2">
      <c r="A15419" s="7">
        <v>15418</v>
      </c>
      <c r="B15419" s="7">
        <v>1</v>
      </c>
      <c r="C15419" s="7" t="s">
        <v>10</v>
      </c>
      <c r="D15419" s="7">
        <v>19636</v>
      </c>
      <c r="E15419" s="7" t="s">
        <v>23</v>
      </c>
      <c r="F15419" s="8" t="str">
        <f ca="1">IFERROR(__xludf.DUMMYFUNCTION("IF
(
C15420=""фізична особа""
,
VLOOKUP(D15420,IMPORTRANGE(""https://docs.google.com/spreadsheets/d/14Bd19lYaqBhU8_DElYkX7l4wRkHqqCUFNJY4AfY3kHU/edit?usp=sharing  #gid=0"",""фіз особи new!relations_name""),6,FALSE)
,
(IF
(
C15420=""юридична особа""
,
VLOO"&amp;"KUP(D15420,IMPORTRANGE(""https://docs.google.com/spreadsheets/d/14Bd19lYaqBhU8_DElYkX7l4wRkHqqCUFNJY4AfY3kHU/edit?usp=sharing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19" s="7" t="s">
        <v>10</v>
      </c>
      <c r="H15419" s="7">
        <v>19626</v>
      </c>
      <c r="I15419" s="8" t="str">
        <f ca="1">IFERROR(__xludf.DUMMYFUNCTION("IF
(
G15420=""фізична особа""
,
VLOOKUP(H15420,IMPORTRANGE(""https://docs.google.com/spreadsheets/d/14Bd19lYaqBhU8_DElYkX7l4wRkHqqCUFNJY4AfY3kHU/edit?usp=sharing  #gid=0"",""фіз особи new!relations_name""),6,FALSE)
,
(IF
(
G15420=""юридична особа""
,
VLOO"&amp;"KUP(H15420,IMPORTRANGE(""https://docs.google.com/spreadsheets/d/14Bd19lYaqBhU8_DElYkX7l4wRkHqqCUFNJY4AfY3kHU/edit?usp=sharing  #gid=0"",""фіз особи new!relations_name_uo""),7,FALSE)
,
)
))"),"АРТЮХОВА Людмила Георгіївна")</f>
        <v>АРТЮХОВА Людмила Георгіївна</v>
      </c>
      <c r="J15419" s="7" t="s">
        <v>23</v>
      </c>
    </row>
    <row r="15420" spans="1:10" ht="13.2">
      <c r="A15420" s="7">
        <v>15419</v>
      </c>
      <c r="B15420" s="7">
        <v>1</v>
      </c>
      <c r="C15420" s="7" t="s">
        <v>10</v>
      </c>
      <c r="D15420" s="7">
        <v>19636</v>
      </c>
      <c r="E15420" s="7" t="s">
        <v>23</v>
      </c>
      <c r="F15420" s="8" t="str">
        <f ca="1">IFERROR(__xludf.DUMMYFUNCTION("IF
(
C15421=""фізична особа""
,
VLOOKUP(D15421,IMPORTRANGE(""https://docs.google.com/spreadsheets/d/14Bd19lYaqBhU8_DElYkX7l4wRkHqqCUFNJY4AfY3kHU/edit?usp=sharing  #gid=0"",""фіз особи new!relations_name""),6,FALSE)
,
(IF
(
C15421=""юридична особа""
,
VLOO"&amp;"KUP(D15421,IMPORTRANGE(""https://docs.google.com/spreadsheets/d/14Bd19lYaqBhU8_DElYkX7l4wRkHqqCUFNJY4AfY3kHU/edit?usp=sharing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20" s="7" t="s">
        <v>10</v>
      </c>
      <c r="H15420" s="7">
        <v>19631</v>
      </c>
      <c r="I15420" s="8" t="str">
        <f ca="1">IFERROR(__xludf.DUMMYFUNCTION("IF
(
G15421=""фізична особа""
,
VLOOKUP(H15421,IMPORTRANGE(""https://docs.google.com/spreadsheets/d/14Bd19lYaqBhU8_DElYkX7l4wRkHqqCUFNJY4AfY3kHU/edit?usp=sharing  #gid=0"",""фіз особи new!relations_name""),6,FALSE)
,
(IF
(
G15421=""юридична особа""
,
VLOO"&amp;"KUP(H15421,IMPORTRANGE(""https://docs.google.com/spreadsheets/d/14Bd19lYaqBhU8_DElYkX7l4wRkHqqCUFNJY4AfY3kHU/edit?usp=sharing  #gid=0"",""фіз особи new!relations_name_uo""),7,FALSE)
,
)
))"),"АРТЮХОВ Віталій Григорович")</f>
        <v>АРТЮХОВ Віталій Григорович</v>
      </c>
      <c r="J15420" s="7" t="s">
        <v>23</v>
      </c>
    </row>
    <row r="15421" spans="1:10" ht="13.2">
      <c r="A15421" s="7">
        <v>15420</v>
      </c>
      <c r="B15421" s="7">
        <v>1</v>
      </c>
      <c r="C15421" s="7" t="s">
        <v>10</v>
      </c>
      <c r="D15421" s="7">
        <v>19636</v>
      </c>
      <c r="E15421" s="7" t="s">
        <v>23</v>
      </c>
      <c r="F15421" s="8" t="str">
        <f ca="1">IFERROR(__xludf.DUMMYFUNCTION("IF
(
C15422=""фізична особа""
,
VLOOKUP(D15422,IMPORTRANGE(""https://docs.google.com/spreadsheets/d/14Bd19lYaqBhU8_DElYkX7l4wRkHqqCUFNJY4AfY3kHU/edit?usp=sharing  #gid=0"",""фіз особи new!relations_name""),6,FALSE)
,
(IF
(
C15422=""юридична особа""
,
VLOO"&amp;"KUP(D15422,IMPORTRANGE(""https://docs.google.com/spreadsheets/d/14Bd19lYaqBhU8_DElYkX7l4wRkHqqCUFNJY4AfY3kHU/edit?usp=sharing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21" s="7" t="s">
        <v>10</v>
      </c>
      <c r="H15421" s="7">
        <v>19627</v>
      </c>
      <c r="I15421" s="8" t="str">
        <f ca="1">IFERROR(__xludf.DUMMYFUNCTION("IF
(
G15422=""фізична особа""
,
VLOOKUP(H15422,IMPORTRANGE(""https://docs.google.com/spreadsheets/d/14Bd19lYaqBhU8_DElYkX7l4wRkHqqCUFNJY4AfY3kHU/edit?usp=sharing  #gid=0"",""фіз особи new!relations_name""),6,FALSE)
,
(IF
(
G15422=""юридична особа""
,
VLOO"&amp;"KUP(H15422,IMPORTRANGE(""https://docs.google.com/spreadsheets/d/14Bd19lYaqBhU8_DElYkX7l4wRkHqqCUFNJY4AfY3kHU/edit?usp=sharing  #gid=0"",""фіз особи new!relations_name_uo""),7,FALSE)
,
)
))"),"ДОРГАН Валерій Вікторович")</f>
        <v>ДОРГАН Валерій Вікторович</v>
      </c>
      <c r="J15421" s="7" t="s">
        <v>23</v>
      </c>
    </row>
    <row r="15422" spans="1:10" ht="13.2">
      <c r="A15422" s="7">
        <v>15421</v>
      </c>
      <c r="B15422" s="7">
        <v>1</v>
      </c>
      <c r="C15422" s="7" t="s">
        <v>10</v>
      </c>
      <c r="D15422" s="7">
        <v>19636</v>
      </c>
      <c r="E15422" s="7" t="s">
        <v>23</v>
      </c>
      <c r="F15422" s="8" t="str">
        <f ca="1">IFERROR(__xludf.DUMMYFUNCTION("IF
(
C15423=""фізична особа""
,
VLOOKUP(D15423,IMPORTRANGE(""https://docs.google.com/spreadsheets/d/14Bd19lYaqBhU8_DElYkX7l4wRkHqqCUFNJY4AfY3kHU/edit?usp=sharing  #gid=0"",""фіз особи new!relations_name""),6,FALSE)
,
(IF
(
C15423=""юридична особа""
,
VLOO"&amp;"KUP(D15423,IMPORTRANGE(""https://docs.google.com/spreadsheets/d/14Bd19lYaqBhU8_DElYkX7l4wRkHqqCUFNJY4AfY3kHU/edit?usp=sharing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22" s="7" t="s">
        <v>10</v>
      </c>
      <c r="H15422" s="7">
        <v>19628</v>
      </c>
      <c r="I15422" s="8" t="str">
        <f ca="1">IFERROR(__xludf.DUMMYFUNCTION("IF
(
G15423=""фізична особа""
,
VLOOKUP(H15423,IMPORTRANGE(""https://docs.google.com/spreadsheets/d/14Bd19lYaqBhU8_DElYkX7l4wRkHqqCUFNJY4AfY3kHU/edit?usp=sharing  #gid=0"",""фіз особи new!relations_name""),6,FALSE)
,
(IF
(
G15423=""юридична особа""
,
VLOO"&amp;"KUP(H15423,IMPORTRANGE(""https://docs.google.com/spreadsheets/d/14Bd19lYaqBhU8_DElYkX7l4wRkHqqCUFNJY4AfY3kHU/edit?usp=sharing  #gid=0"",""фіз особи new!relations_name_uo""),7,FALSE)
,
)
))"),"ДАНІЛОВА Олександра Валеріївна")</f>
        <v>ДАНІЛОВА Олександра Валеріївна</v>
      </c>
      <c r="J15422" s="7" t="s">
        <v>23</v>
      </c>
    </row>
    <row r="15423" spans="1:10" ht="13.2">
      <c r="A15423" s="7">
        <v>15422</v>
      </c>
      <c r="B15423" s="7">
        <v>1</v>
      </c>
      <c r="C15423" s="7" t="s">
        <v>10</v>
      </c>
      <c r="D15423" s="7">
        <v>19636</v>
      </c>
      <c r="E15423" s="7" t="s">
        <v>23</v>
      </c>
      <c r="F15423" s="8" t="str">
        <f ca="1">IFERROR(__xludf.DUMMYFUNCTION("IF
(
C15424=""фізична особа""
,
VLOOKUP(D15424,IMPORTRANGE(""https://docs.google.com/spreadsheets/d/14Bd19lYaqBhU8_DElYkX7l4wRkHqqCUFNJY4AfY3kHU/edit?usp=sharing  #gid=0"",""фіз особи new!relations_name""),6,FALSE)
,
(IF
(
C15424=""юридична особа""
,
VLOO"&amp;"KUP(D15424,IMPORTRANGE(""https://docs.google.com/spreadsheets/d/14Bd19lYaqBhU8_DElYkX7l4wRkHqqCUFNJY4AfY3kHU/edit?usp=sharing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23" s="7" t="s">
        <v>10</v>
      </c>
      <c r="H15423" s="7">
        <v>19630</v>
      </c>
      <c r="I15423" s="8" t="str">
        <f ca="1">IFERROR(__xludf.DUMMYFUNCTION("IF
(
G15424=""фізична особа""
,
VLOOKUP(H15424,IMPORTRANGE(""https://docs.google.com/spreadsheets/d/14Bd19lYaqBhU8_DElYkX7l4wRkHqqCUFNJY4AfY3kHU/edit?usp=sharing  #gid=0"",""фіз особи new!relations_name""),6,FALSE)
,
(IF
(
G15424=""юридична особа""
,
VLOO"&amp;"KUP(H15424,IMPORTRANGE(""https://docs.google.com/spreadsheets/d/14Bd19lYaqBhU8_DElYkX7l4wRkHqqCUFNJY4AfY3kHU/edit?usp=sharing  #gid=0"",""фіз особи new!relations_name_uo""),7,FALSE)
,
)
))"),"МАНУКЯН Погос Михайлович")</f>
        <v>МАНУКЯН Погос Михайлович</v>
      </c>
      <c r="J15423" s="7" t="s">
        <v>23</v>
      </c>
    </row>
    <row r="15424" spans="1:10" ht="13.2">
      <c r="A15424" s="7">
        <v>15423</v>
      </c>
      <c r="B15424" s="7">
        <v>1</v>
      </c>
      <c r="C15424" s="7" t="s">
        <v>10</v>
      </c>
      <c r="D15424" s="7">
        <v>19636</v>
      </c>
      <c r="E15424" s="7" t="s">
        <v>23</v>
      </c>
      <c r="F15424" s="8" t="str">
        <f ca="1">IFERROR(__xludf.DUMMYFUNCTION("IF
(
C15425=""фізична особа""
,
VLOOKUP(D15425,IMPORTRANGE(""https://docs.google.com/spreadsheets/d/14Bd19lYaqBhU8_DElYkX7l4wRkHqqCUFNJY4AfY3kHU/edit?usp=sharing  #gid=0"",""фіз особи new!relations_name""),6,FALSE)
,
(IF
(
C15425=""юридична особа""
,
VLOO"&amp;"KUP(D15425,IMPORTRANGE(""https://docs.google.com/spreadsheets/d/14Bd19lYaqBhU8_DElYkX7l4wRkHqqCUFNJY4AfY3kHU/edit?usp=sharing  #gid=0"",""фіз особи new!relations_name_uo""),7,FALSE)
,
)
))"),"ШАПЛИКО Дмитро Володимирович")</f>
        <v>ШАПЛИКО Дмитро Володимирович</v>
      </c>
      <c r="G15424" s="7" t="s">
        <v>10</v>
      </c>
      <c r="H15424" s="7">
        <v>19633</v>
      </c>
      <c r="I15424" s="8" t="str">
        <f ca="1">IFERROR(__xludf.DUMMYFUNCTION("IF
(
G15425=""фізична особа""
,
VLOOKUP(H15425,IMPORTRANGE(""https://docs.google.com/spreadsheets/d/14Bd19lYaqBhU8_DElYkX7l4wRkHqqCUFNJY4AfY3kHU/edit?usp=sharing  #gid=0"",""фіз особи new!relations_name""),6,FALSE)
,
(IF
(
G15425=""юридична особа""
,
VLOO"&amp;"KUP(H15425,IMPORTRANGE(""https://docs.google.com/spreadsheets/d/14Bd19lYaqBhU8_DElYkX7l4wRkHqqCUFNJY4AfY3kHU/edit?usp=sharing  #gid=0"",""фіз особи new!relations_name_uo""),7,FALSE)
,
)
))"),"ВИНОГРАДОВА Ніна Сергіївна")</f>
        <v>ВИНОГРАДОВА Ніна Сергіївна</v>
      </c>
      <c r="J15424" s="7" t="s">
        <v>23</v>
      </c>
    </row>
    <row r="15425" spans="1:10" ht="13.2">
      <c r="A15425" s="7">
        <v>15424</v>
      </c>
      <c r="B15425" s="7">
        <v>1</v>
      </c>
      <c r="C15425" s="7" t="s">
        <v>10</v>
      </c>
      <c r="D15425" s="7">
        <v>19637</v>
      </c>
      <c r="E15425" s="7" t="s">
        <v>23</v>
      </c>
      <c r="F15425" s="8" t="str">
        <f ca="1">IFERROR(__xludf.DUMMYFUNCTION("IF
(
C15426=""фізична особа""
,
VLOOKUP(D15426,IMPORTRANGE(""https://docs.google.com/spreadsheets/d/14Bd19lYaqBhU8_DElYkX7l4wRkHqqCUFNJY4AfY3kHU/edit?usp=sharing  #gid=0"",""фіз особи new!relations_name""),6,FALSE)
,
(IF
(
C15426=""юридична особа""
,
VLOO"&amp;"KUP(D15426,IMPORTRANGE(""https://docs.google.com/spreadsheets/d/14Bd19lYaqBhU8_DElYkX7l4wRkHqqCUFNJY4AfY3kHU/edit?usp=sharing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G15425" s="7" t="s">
        <v>10</v>
      </c>
      <c r="H15425" s="7">
        <v>19639</v>
      </c>
      <c r="I15425" s="8" t="str">
        <f ca="1">IFERROR(__xludf.DUMMYFUNCTION("IF
(
G15426=""фізична особа""
,
VLOOKUP(H15426,IMPORTRANGE(""https://docs.google.com/spreadsheets/d/14Bd19lYaqBhU8_DElYkX7l4wRkHqqCUFNJY4AfY3kHU/edit?usp=sharing  #gid=0"",""фіз особи new!relations_name""),6,FALSE)
,
(IF
(
G15426=""юридична особа""
,
VLOO"&amp;"KUP(H15426,IMPORTRANGE(""https://docs.google.com/spreadsheets/d/14Bd19lYaqBhU8_DElYkX7l4wRkHqqCUFNJY4AfY3kHU/edit?usp=sharing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25" s="7" t="s">
        <v>23</v>
      </c>
    </row>
    <row r="15426" spans="1:10" ht="13.2">
      <c r="A15426" s="7">
        <v>15425</v>
      </c>
      <c r="B15426" s="7">
        <v>1</v>
      </c>
      <c r="C15426" s="7" t="s">
        <v>10</v>
      </c>
      <c r="D15426" s="7">
        <v>19637</v>
      </c>
      <c r="E15426" s="7" t="s">
        <v>23</v>
      </c>
      <c r="F15426" s="8" t="str">
        <f ca="1">IFERROR(__xludf.DUMMYFUNCTION("IF
(
C15427=""фізична особа""
,
VLOOKUP(D15427,IMPORTRANGE(""https://docs.google.com/spreadsheets/d/14Bd19lYaqBhU8_DElYkX7l4wRkHqqCUFNJY4AfY3kHU/edit?usp=sharing  #gid=0"",""фіз особи new!relations_name""),6,FALSE)
,
(IF
(
C15427=""юридична особа""
,
VLOO"&amp;"KUP(D15427,IMPORTRANGE(""https://docs.google.com/spreadsheets/d/14Bd19lYaqBhU8_DElYkX7l4wRkHqqCUFNJY4AfY3kHU/edit?usp=sharing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G15426" s="7" t="s">
        <v>10</v>
      </c>
      <c r="H15426" s="7">
        <v>0</v>
      </c>
      <c r="I15426" s="8" t="str">
        <f ca="1">IFERROR(__xludf.DUMMYFUNCTION("IF
(
G15427=""фізична особа""
,
VLOOKUP(H15427,IMPORTRANGE(""https://docs.google.com/spreadsheets/d/14Bd19lYaqBhU8_DElYkX7l4wRkHqqCUFNJY4AfY3kHU/edit?usp=sharing  #gid=0"",""фіз особи new!relations_name""),6,FALSE)
,
(IF
(
G15427=""юридична особа""
,
VLOO"&amp;"KUP(H15427,IMPORTRANGE(""https://docs.google.com/spreadsheets/d/14Bd19lYaqBhU8_DElYkX7l4wRkHqqCUFNJY4AfY3kHU/edit?usp=sharing  #gid=0"",""фіз особи new!relations_name_uo""),7,FALSE)
,
)
))"),"#N/A")</f>
        <v>#N/A</v>
      </c>
      <c r="J15426" s="7" t="s">
        <v>23</v>
      </c>
    </row>
    <row r="15427" spans="1:10" ht="13.2">
      <c r="A15427" s="7">
        <v>15426</v>
      </c>
      <c r="B15427" s="7">
        <v>1</v>
      </c>
      <c r="C15427" s="7" t="s">
        <v>10</v>
      </c>
      <c r="D15427" s="7">
        <v>19637</v>
      </c>
      <c r="E15427" s="7" t="s">
        <v>17</v>
      </c>
      <c r="F15427" s="8" t="str">
        <f ca="1">IFERROR(__xludf.DUMMYFUNCTION("IF
(
C15428=""фізична особа""
,
VLOOKUP(D15428,IMPORTRANGE(""https://docs.google.com/spreadsheets/d/14Bd19lYaqBhU8_DElYkX7l4wRkHqqCUFNJY4AfY3kHU/edit?usp=sharing  #gid=0"",""фіз особи new!relations_name""),6,FALSE)
,
(IF
(
C15428=""юридична особа""
,
VLOO"&amp;"KUP(D15428,IMPORTRANGE(""https://docs.google.com/spreadsheets/d/14Bd19lYaqBhU8_DElYkX7l4wRkHqqCUFNJY4AfY3kHU/edit?usp=sharing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G15427" s="7" t="s">
        <v>10</v>
      </c>
      <c r="H15427" s="7">
        <v>19638</v>
      </c>
      <c r="I15427" s="8" t="str">
        <f ca="1">IFERROR(__xludf.DUMMYFUNCTION("IF
(
G15428=""фізична особа""
,
VLOOKUP(H15428,IMPORTRANGE(""https://docs.google.com/spreadsheets/d/14Bd19lYaqBhU8_DElYkX7l4wRkHqqCUFNJY4AfY3kHU/edit?usp=sharing  #gid=0"",""фіз особи new!relations_name""),6,FALSE)
,
(IF
(
G15428=""юридична особа""
,
VLOO"&amp;"KUP(H15428,IMPORTRANGE(""https://docs.google.com/spreadsheets/d/14Bd19lYaqBhU8_DElYkX7l4wRkHqqCUFNJY4AfY3kHU/edit?usp=sharing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27" s="7" t="s">
        <v>12</v>
      </c>
    </row>
    <row r="15428" spans="1:10" ht="13.2">
      <c r="A15428" s="7">
        <v>15427</v>
      </c>
      <c r="B15428" s="7">
        <v>1</v>
      </c>
      <c r="C15428" s="7" t="s">
        <v>10</v>
      </c>
      <c r="D15428" s="7">
        <v>19638</v>
      </c>
      <c r="E15428" s="7" t="s">
        <v>23</v>
      </c>
      <c r="F15428" s="8" t="str">
        <f ca="1">IFERROR(__xludf.DUMMYFUNCTION("IF
(
C15429=""фізична особа""
,
VLOOKUP(D15429,IMPORTRANGE(""https://docs.google.com/spreadsheets/d/14Bd19lYaqBhU8_DElYkX7l4wRkHqqCUFNJY4AfY3kHU/edit?usp=sharing  #gid=0"",""фіз особи new!relations_name""),6,FALSE)
,
(IF
(
C15429=""юридична особа""
,
VLOO"&amp;"KUP(D15429,IMPORTRANGE(""https://docs.google.com/spreadsheets/d/14Bd19lYaqBhU8_DElYkX7l4wRkHqqCUFNJY4AfY3kHU/edit?usp=sharing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G15428" s="7" t="s">
        <v>10</v>
      </c>
      <c r="H15428" s="7">
        <v>19639</v>
      </c>
      <c r="I15428" s="8" t="str">
        <f ca="1">IFERROR(__xludf.DUMMYFUNCTION("IF
(
G15429=""фізична особа""
,
VLOOKUP(H15429,IMPORTRANGE(""https://docs.google.com/spreadsheets/d/14Bd19lYaqBhU8_DElYkX7l4wRkHqqCUFNJY4AfY3kHU/edit?usp=sharing  #gid=0"",""фіз особи new!relations_name""),6,FALSE)
,
(IF
(
G15429=""юридична особа""
,
VLOO"&amp;"KUP(H15429,IMPORTRANGE(""https://docs.google.com/spreadsheets/d/14Bd19lYaqBhU8_DElYkX7l4wRkHqqCUFNJY4AfY3kHU/edit?usp=sharing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28" s="7" t="s">
        <v>23</v>
      </c>
    </row>
    <row r="15429" spans="1:10" ht="13.2">
      <c r="A15429" s="7">
        <v>15428</v>
      </c>
      <c r="B15429" s="7">
        <v>1</v>
      </c>
      <c r="C15429" s="7" t="s">
        <v>10</v>
      </c>
      <c r="D15429" s="7">
        <v>19638</v>
      </c>
      <c r="E15429" s="7" t="s">
        <v>12</v>
      </c>
      <c r="F15429" s="8" t="str">
        <f ca="1">IFERROR(__xludf.DUMMYFUNCTION("IF
(
C15430=""фізична особа""
,
VLOOKUP(D15430,IMPORTRANGE(""https://docs.google.com/spreadsheets/d/14Bd19lYaqBhU8_DElYkX7l4wRkHqqCUFNJY4AfY3kHU/edit?usp=sharing  #gid=0"",""фіз особи new!relations_name""),6,FALSE)
,
(IF
(
C15430=""юридична особа""
,
VLOO"&amp;"KUP(D15430,IMPORTRANGE(""https://docs.google.com/spreadsheets/d/14Bd19lYaqBhU8_DElYkX7l4wRkHqqCUFNJY4AfY3kHU/edit?usp=sharing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G15429" s="7" t="s">
        <v>10</v>
      </c>
      <c r="H15429" s="7">
        <v>19637</v>
      </c>
      <c r="I15429" s="8" t="str">
        <f ca="1">IFERROR(__xludf.DUMMYFUNCTION("IF
(
G15430=""фізична особа""
,
VLOOKUP(H15430,IMPORTRANGE(""https://docs.google.com/spreadsheets/d/14Bd19lYaqBhU8_DElYkX7l4wRkHqqCUFNJY4AfY3kHU/edit?usp=sharing  #gid=0"",""фіз особи new!relations_name""),6,FALSE)
,
(IF
(
G15430=""юридична особа""
,
VLOO"&amp;"KUP(H15430,IMPORTRANGE(""https://docs.google.com/spreadsheets/d/14Bd19lYaqBhU8_DElYkX7l4wRkHqqCUFNJY4AfY3kHU/edit?usp=sharing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29" s="7" t="s">
        <v>17</v>
      </c>
    </row>
    <row r="15430" spans="1:10" ht="13.2">
      <c r="A15430" s="7">
        <v>15429</v>
      </c>
      <c r="B15430" s="7">
        <v>1</v>
      </c>
      <c r="C15430" s="7" t="s">
        <v>10</v>
      </c>
      <c r="D15430" s="7">
        <v>19639</v>
      </c>
      <c r="E15430" s="7" t="s">
        <v>23</v>
      </c>
      <c r="F15430" s="8" t="str">
        <f ca="1">IFERROR(__xludf.DUMMYFUNCTION("IF
(
C15431=""фізична особа""
,
VLOOKUP(D15431,IMPORTRANGE(""https://docs.google.com/spreadsheets/d/14Bd19lYaqBhU8_DElYkX7l4wRkHqqCUFNJY4AfY3kHU/edit?usp=sharing  #gid=0"",""фіз особи new!relations_name""),6,FALSE)
,
(IF
(
C15431=""юридична особа""
,
VLOO"&amp;"KUP(D15431,IMPORTRANGE(""https://docs.google.com/spreadsheets/d/14Bd19lYaqBhU8_DElYkX7l4wRkHqqCUFNJY4AfY3kHU/edit?usp=sharing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G15430" s="7" t="s">
        <v>10</v>
      </c>
      <c r="H15430" s="7">
        <v>19638</v>
      </c>
      <c r="I15430" s="8" t="str">
        <f ca="1">IFERROR(__xludf.DUMMYFUNCTION("IF
(
G15431=""фізична особа""
,
VLOOKUP(H15431,IMPORTRANGE(""https://docs.google.com/spreadsheets/d/14Bd19lYaqBhU8_DElYkX7l4wRkHqqCUFNJY4AfY3kHU/edit?usp=sharing  #gid=0"",""фіз особи new!relations_name""),6,FALSE)
,
(IF
(
G15431=""юридична особа""
,
VLOO"&amp;"KUP(H15431,IMPORTRANGE(""https://docs.google.com/spreadsheets/d/14Bd19lYaqBhU8_DElYkX7l4wRkHqqCUFNJY4AfY3kHU/edit?usp=sharing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30" s="7" t="s">
        <v>23</v>
      </c>
    </row>
    <row r="15431" spans="1:10" ht="13.2">
      <c r="A15431" s="7">
        <v>15430</v>
      </c>
      <c r="B15431" s="7">
        <v>1</v>
      </c>
      <c r="C15431" s="7" t="s">
        <v>10</v>
      </c>
      <c r="D15431" s="7">
        <v>19639</v>
      </c>
      <c r="E15431" s="7" t="s">
        <v>23</v>
      </c>
      <c r="F15431" s="8" t="str">
        <f ca="1">IFERROR(__xludf.DUMMYFUNCTION("IF
(
C15432=""фізична особа""
,
VLOOKUP(D15432,IMPORTRANGE(""https://docs.google.com/spreadsheets/d/14Bd19lYaqBhU8_DElYkX7l4wRkHqqCUFNJY4AfY3kHU/edit?usp=sharing  #gid=0"",""фіз особи new!relations_name""),6,FALSE)
,
(IF
(
C15432=""юридична особа""
,
VLOO"&amp;"KUP(D15432,IMPORTRANGE(""https://docs.google.com/spreadsheets/d/14Bd19lYaqBhU8_DElYkX7l4wRkHqqCUFNJY4AfY3kHU/edit?usp=sharing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G15431" s="7" t="s">
        <v>10</v>
      </c>
      <c r="H15431" s="7">
        <v>19637</v>
      </c>
      <c r="I15431" s="8" t="str">
        <f ca="1">IFERROR(__xludf.DUMMYFUNCTION("IF
(
G15432=""фізична особа""
,
VLOOKUP(H15432,IMPORTRANGE(""https://docs.google.com/spreadsheets/d/14Bd19lYaqBhU8_DElYkX7l4wRkHqqCUFNJY4AfY3kHU/edit?usp=sharing  #gid=0"",""фіз особи new!relations_name""),6,FALSE)
,
(IF
(
G15432=""юридична особа""
,
VLOO"&amp;"KUP(H15432,IMPORTRANGE(""https://docs.google.com/spreadsheets/d/14Bd19lYaqBhU8_DElYkX7l4wRkHqqCUFNJY4AfY3kHU/edit?usp=sharing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31" s="7" t="s">
        <v>23</v>
      </c>
    </row>
    <row r="15432" spans="1:10" ht="13.2">
      <c r="A15432" s="7">
        <v>15431</v>
      </c>
      <c r="B15432" s="7">
        <v>1</v>
      </c>
      <c r="C15432" s="7" t="s">
        <v>10</v>
      </c>
      <c r="D15432" s="7">
        <v>19640</v>
      </c>
      <c r="E15432" s="7" t="s">
        <v>23</v>
      </c>
      <c r="F15432" s="8" t="str">
        <f ca="1">IFERROR(__xludf.DUMMYFUNCTION("IF
(
C15433=""фізична особа""
,
VLOOKUP(D15433,IMPORTRANGE(""https://docs.google.com/spreadsheets/d/14Bd19lYaqBhU8_DElYkX7l4wRkHqqCUFNJY4AfY3kHU/edit?usp=sharing  #gid=0"",""фіз особи new!relations_name""),6,FALSE)
,
(IF
(
C15433=""юридична особа""
,
VLOO"&amp;"KUP(D15433,IMPORTRANGE(""https://docs.google.com/spreadsheets/d/14Bd19lYaqBhU8_DElYkX7l4wRkHqqCUFNJY4AfY3kHU/edit?usp=sharing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2" s="7" t="s">
        <v>10</v>
      </c>
      <c r="H15432" s="7">
        <v>19637</v>
      </c>
      <c r="I15432" s="8" t="str">
        <f ca="1">IFERROR(__xludf.DUMMYFUNCTION("IF
(
G15433=""фізична особа""
,
VLOOKUP(H15433,IMPORTRANGE(""https://docs.google.com/spreadsheets/d/14Bd19lYaqBhU8_DElYkX7l4wRkHqqCUFNJY4AfY3kHU/edit?usp=sharing  #gid=0"",""фіз особи new!relations_name""),6,FALSE)
,
(IF
(
G15433=""юридична особа""
,
VLOO"&amp;"KUP(H15433,IMPORTRANGE(""https://docs.google.com/spreadsheets/d/14Bd19lYaqBhU8_DElYkX7l4wRkHqqCUFNJY4AfY3kHU/edit?usp=sharing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32" s="7" t="s">
        <v>23</v>
      </c>
    </row>
    <row r="15433" spans="1:10" ht="13.2">
      <c r="A15433" s="7">
        <v>15432</v>
      </c>
      <c r="B15433" s="7">
        <v>1</v>
      </c>
      <c r="C15433" s="7" t="s">
        <v>10</v>
      </c>
      <c r="D15433" s="7">
        <v>19640</v>
      </c>
      <c r="E15433" s="7" t="s">
        <v>23</v>
      </c>
      <c r="F15433" s="8" t="str">
        <f ca="1">IFERROR(__xludf.DUMMYFUNCTION("IF
(
C15434=""фізична особа""
,
VLOOKUP(D15434,IMPORTRANGE(""https://docs.google.com/spreadsheets/d/14Bd19lYaqBhU8_DElYkX7l4wRkHqqCUFNJY4AfY3kHU/edit?usp=sharing  #gid=0"",""фіз особи new!relations_name""),6,FALSE)
,
(IF
(
C15434=""юридична особа""
,
VLOO"&amp;"KUP(D15434,IMPORTRANGE(""https://docs.google.com/spreadsheets/d/14Bd19lYaqBhU8_DElYkX7l4wRkHqqCUFNJY4AfY3kHU/edit?usp=sharing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3" s="7" t="s">
        <v>10</v>
      </c>
      <c r="H15433" s="7">
        <v>19638</v>
      </c>
      <c r="I15433" s="8" t="str">
        <f ca="1">IFERROR(__xludf.DUMMYFUNCTION("IF
(
G15434=""фізична особа""
,
VLOOKUP(H15434,IMPORTRANGE(""https://docs.google.com/spreadsheets/d/14Bd19lYaqBhU8_DElYkX7l4wRkHqqCUFNJY4AfY3kHU/edit?usp=sharing  #gid=0"",""фіз особи new!relations_name""),6,FALSE)
,
(IF
(
G15434=""юридична особа""
,
VLOO"&amp;"KUP(H15434,IMPORTRANGE(""https://docs.google.com/spreadsheets/d/14Bd19lYaqBhU8_DElYkX7l4wRkHqqCUFNJY4AfY3kHU/edit?usp=sharing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33" s="7" t="s">
        <v>23</v>
      </c>
    </row>
    <row r="15434" spans="1:10" ht="13.2">
      <c r="A15434" s="7">
        <v>15433</v>
      </c>
      <c r="B15434" s="7">
        <v>1</v>
      </c>
      <c r="C15434" s="7" t="s">
        <v>10</v>
      </c>
      <c r="D15434" s="7">
        <v>19640</v>
      </c>
      <c r="E15434" s="7" t="s">
        <v>23</v>
      </c>
      <c r="F15434" s="8" t="str">
        <f ca="1">IFERROR(__xludf.DUMMYFUNCTION("IF
(
C15435=""фізична особа""
,
VLOOKUP(D15435,IMPORTRANGE(""https://docs.google.com/spreadsheets/d/14Bd19lYaqBhU8_DElYkX7l4wRkHqqCUFNJY4AfY3kHU/edit?usp=sharing  #gid=0"",""фіз особи new!relations_name""),6,FALSE)
,
(IF
(
C15435=""юридична особа""
,
VLOO"&amp;"KUP(D15435,IMPORTRANGE(""https://docs.google.com/spreadsheets/d/14Bd19lYaqBhU8_DElYkX7l4wRkHqqCUFNJY4AfY3kHU/edit?usp=sharing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4" s="7" t="s">
        <v>10</v>
      </c>
      <c r="H15434" s="7">
        <v>19639</v>
      </c>
      <c r="I15434" s="8" t="str">
        <f ca="1">IFERROR(__xludf.DUMMYFUNCTION("IF
(
G15435=""фізична особа""
,
VLOOKUP(H15435,IMPORTRANGE(""https://docs.google.com/spreadsheets/d/14Bd19lYaqBhU8_DElYkX7l4wRkHqqCUFNJY4AfY3kHU/edit?usp=sharing  #gid=0"",""фіз особи new!relations_name""),6,FALSE)
,
(IF
(
G15435=""юридична особа""
,
VLOO"&amp;"KUP(H15435,IMPORTRANGE(""https://docs.google.com/spreadsheets/d/14Bd19lYaqBhU8_DElYkX7l4wRkHqqCUFNJY4AfY3kHU/edit?usp=sharing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34" s="7" t="s">
        <v>23</v>
      </c>
    </row>
    <row r="15435" spans="1:10" ht="13.2">
      <c r="A15435" s="7">
        <v>15434</v>
      </c>
      <c r="B15435" s="7">
        <v>1</v>
      </c>
      <c r="C15435" s="7" t="s">
        <v>10</v>
      </c>
      <c r="D15435" s="7">
        <v>19640</v>
      </c>
      <c r="E15435" s="7" t="s">
        <v>23</v>
      </c>
      <c r="F15435" s="8" t="str">
        <f ca="1">IFERROR(__xludf.DUMMYFUNCTION("IF
(
C15436=""фізична особа""
,
VLOOKUP(D15436,IMPORTRANGE(""https://docs.google.com/spreadsheets/d/14Bd19lYaqBhU8_DElYkX7l4wRkHqqCUFNJY4AfY3kHU/edit?usp=sharing  #gid=0"",""фіз особи new!relations_name""),6,FALSE)
,
(IF
(
C15436=""юридична особа""
,
VLOO"&amp;"KUP(D15436,IMPORTRANGE(""https://docs.google.com/spreadsheets/d/14Bd19lYaqBhU8_DElYkX7l4wRkHqqCUFNJY4AfY3kHU/edit?usp=sharing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5" s="7" t="s">
        <v>10</v>
      </c>
      <c r="H15435" s="7">
        <v>19639</v>
      </c>
      <c r="I15435" s="8" t="str">
        <f ca="1">IFERROR(__xludf.DUMMYFUNCTION("IF
(
G15436=""фізична особа""
,
VLOOKUP(H15436,IMPORTRANGE(""https://docs.google.com/spreadsheets/d/14Bd19lYaqBhU8_DElYkX7l4wRkHqqCUFNJY4AfY3kHU/edit?usp=sharing  #gid=0"",""фіз особи new!relations_name""),6,FALSE)
,
(IF
(
G15436=""юридична особа""
,
VLOO"&amp;"KUP(H15436,IMPORTRANGE(""https://docs.google.com/spreadsheets/d/14Bd19lYaqBhU8_DElYkX7l4wRkHqqCUFNJY4AfY3kHU/edit?usp=sharing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35" s="7" t="s">
        <v>23</v>
      </c>
    </row>
    <row r="15436" spans="1:10" ht="13.2">
      <c r="A15436" s="7">
        <v>15435</v>
      </c>
      <c r="B15436" s="7">
        <v>1</v>
      </c>
      <c r="C15436" s="7" t="s">
        <v>10</v>
      </c>
      <c r="D15436" s="7">
        <v>19640</v>
      </c>
      <c r="E15436" s="7" t="s">
        <v>23</v>
      </c>
      <c r="F15436" s="8" t="str">
        <f ca="1">IFERROR(__xludf.DUMMYFUNCTION("IF
(
C15437=""фізична особа""
,
VLOOKUP(D15437,IMPORTRANGE(""https://docs.google.com/spreadsheets/d/14Bd19lYaqBhU8_DElYkX7l4wRkHqqCUFNJY4AfY3kHU/edit?usp=sharing  #gid=0"",""фіз особи new!relations_name""),6,FALSE)
,
(IF
(
C15437=""юридична особа""
,
VLOO"&amp;"KUP(D15437,IMPORTRANGE(""https://docs.google.com/spreadsheets/d/14Bd19lYaqBhU8_DElYkX7l4wRkHqqCUFNJY4AfY3kHU/edit?usp=sharing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6" s="7" t="s">
        <v>10</v>
      </c>
      <c r="H15436" s="7">
        <v>19643</v>
      </c>
      <c r="I15436" s="8" t="str">
        <f ca="1">IFERROR(__xludf.DUMMYFUNCTION("IF
(
G15437=""фізична особа""
,
VLOOKUP(H15437,IMPORTRANGE(""https://docs.google.com/spreadsheets/d/14Bd19lYaqBhU8_DElYkX7l4wRkHqqCUFNJY4AfY3kHU/edit?usp=sharing  #gid=0"",""фіз особи new!relations_name""),6,FALSE)
,
(IF
(
G15437=""юридична особа""
,
VLOO"&amp;"KUP(H15437,IMPORTRANGE(""https://docs.google.com/spreadsheets/d/14Bd19lYaqBhU8_DElYkX7l4wRkHqqCUFNJY4AfY3kHU/edit?usp=sharing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J15436" s="7" t="s">
        <v>23</v>
      </c>
    </row>
    <row r="15437" spans="1:10" ht="13.2">
      <c r="A15437" s="7">
        <v>15436</v>
      </c>
      <c r="B15437" s="7">
        <v>1</v>
      </c>
      <c r="C15437" s="7" t="s">
        <v>10</v>
      </c>
      <c r="D15437" s="7">
        <v>19640</v>
      </c>
      <c r="E15437" s="7" t="s">
        <v>23</v>
      </c>
      <c r="F15437" s="8" t="str">
        <f ca="1">IFERROR(__xludf.DUMMYFUNCTION("IF
(
C15438=""фізична особа""
,
VLOOKUP(D15438,IMPORTRANGE(""https://docs.google.com/spreadsheets/d/14Bd19lYaqBhU8_DElYkX7l4wRkHqqCUFNJY4AfY3kHU/edit?usp=sharing  #gid=0"",""фіз особи new!relations_name""),6,FALSE)
,
(IF
(
C15438=""юридична особа""
,
VLOO"&amp;"KUP(D15438,IMPORTRANGE(""https://docs.google.com/spreadsheets/d/14Bd19lYaqBhU8_DElYkX7l4wRkHqqCUFNJY4AfY3kHU/edit?usp=sharing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7" s="7" t="s">
        <v>10</v>
      </c>
      <c r="H15437" s="7">
        <v>23719</v>
      </c>
      <c r="I15437" s="8" t="str">
        <f ca="1">IFERROR(__xludf.DUMMYFUNCTION("IF
(
G15438=""фізична особа""
,
VLOOKUP(H15438,IMPORTRANGE(""https://docs.google.com/spreadsheets/d/14Bd19lYaqBhU8_DElYkX7l4wRkHqqCUFNJY4AfY3kHU/edit?usp=sharing  #gid=0"",""фіз особи new!relations_name""),6,FALSE)
,
(IF
(
G15438=""юридична особа""
,
VLOO"&amp;"KUP(H15438,IMPORTRANGE(""https://docs.google.com/spreadsheets/d/14Bd19lYaqBhU8_DElYkX7l4wRkHqqCUFNJY4AfY3kHU/edit?usp=sharing  #gid=0"",""фіз особи new!relations_name_uo""),7,FALSE)
,
)
))"),"БЕЛЯЄВ Вячеслав Павлович")</f>
        <v>БЕЛЯЄВ Вячеслав Павлович</v>
      </c>
      <c r="J15437" s="7" t="s">
        <v>23</v>
      </c>
    </row>
    <row r="15438" spans="1:10" ht="13.2">
      <c r="A15438" s="7">
        <v>15437</v>
      </c>
      <c r="B15438" s="7">
        <v>1</v>
      </c>
      <c r="C15438" s="7" t="s">
        <v>10</v>
      </c>
      <c r="D15438" s="7">
        <v>19640</v>
      </c>
      <c r="E15438" s="7" t="s">
        <v>23</v>
      </c>
      <c r="F15438" s="8" t="str">
        <f ca="1">IFERROR(__xludf.DUMMYFUNCTION("IF
(
C15439=""фізична особа""
,
VLOOKUP(D15439,IMPORTRANGE(""https://docs.google.com/spreadsheets/d/14Bd19lYaqBhU8_DElYkX7l4wRkHqqCUFNJY4AfY3kHU/edit?usp=sharing  #gid=0"",""фіз особи new!relations_name""),6,FALSE)
,
(IF
(
C15439=""юридична особа""
,
VLOO"&amp;"KUP(D15439,IMPORTRANGE(""https://docs.google.com/spreadsheets/d/14Bd19lYaqBhU8_DElYkX7l4wRkHqqCUFNJY4AfY3kHU/edit?usp=sharing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8" s="7" t="s">
        <v>10</v>
      </c>
      <c r="H15438" s="7">
        <v>23720</v>
      </c>
      <c r="I15438" s="8" t="str">
        <f ca="1">IFERROR(__xludf.DUMMYFUNCTION("IF
(
G15439=""фізична особа""
,
VLOOKUP(H15439,IMPORTRANGE(""https://docs.google.com/spreadsheets/d/14Bd19lYaqBhU8_DElYkX7l4wRkHqqCUFNJY4AfY3kHU/edit?usp=sharing  #gid=0"",""фіз особи new!relations_name""),6,FALSE)
,
(IF
(
G15439=""юридична особа""
,
VLOO"&amp;"KUP(H15439,IMPORTRANGE(""https://docs.google.com/spreadsheets/d/14Bd19lYaqBhU8_DElYkX7l4wRkHqqCUFNJY4AfY3kHU/edit?usp=sharing  #gid=0"",""фіз особи new!relations_name_uo""),7,FALSE)
,
)
))"),"САРКІСЯН Альберт Аргенович")</f>
        <v>САРКІСЯН Альберт Аргенович</v>
      </c>
      <c r="J15438" s="7" t="s">
        <v>23</v>
      </c>
    </row>
    <row r="15439" spans="1:10" ht="13.2">
      <c r="A15439" s="7">
        <v>15438</v>
      </c>
      <c r="B15439" s="7">
        <v>1</v>
      </c>
      <c r="C15439" s="7" t="s">
        <v>10</v>
      </c>
      <c r="D15439" s="7">
        <v>19640</v>
      </c>
      <c r="E15439" s="7" t="s">
        <v>23</v>
      </c>
      <c r="F15439" s="8" t="str">
        <f ca="1">IFERROR(__xludf.DUMMYFUNCTION("IF
(
C15440=""фізична особа""
,
VLOOKUP(D15440,IMPORTRANGE(""https://docs.google.com/spreadsheets/d/14Bd19lYaqBhU8_DElYkX7l4wRkHqqCUFNJY4AfY3kHU/edit?usp=sharing  #gid=0"",""фіз особи new!relations_name""),6,FALSE)
,
(IF
(
C15440=""юридична особа""
,
VLOO"&amp;"KUP(D15440,IMPORTRANGE(""https://docs.google.com/spreadsheets/d/14Bd19lYaqBhU8_DElYkX7l4wRkHqqCUFNJY4AfY3kHU/edit?usp=sharing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G15439" s="7" t="s">
        <v>10</v>
      </c>
      <c r="H15439" s="7">
        <v>23721</v>
      </c>
      <c r="I15439" s="8" t="str">
        <f ca="1">IFERROR(__xludf.DUMMYFUNCTION("IF
(
G15440=""фізична особа""
,
VLOOKUP(H15440,IMPORTRANGE(""https://docs.google.com/spreadsheets/d/14Bd19lYaqBhU8_DElYkX7l4wRkHqqCUFNJY4AfY3kHU/edit?usp=sharing  #gid=0"",""фіз особи new!relations_name""),6,FALSE)
,
(IF
(
G15440=""юридична особа""
,
VLOO"&amp;"KUP(H15440,IMPORTRANGE(""https://docs.google.com/spreadsheets/d/14Bd19lYaqBhU8_DElYkX7l4wRkHqqCUFNJY4AfY3kHU/edit?usp=sharing  #gid=0"",""фіз особи new!relations_name_uo""),7,FALSE)
,
)
))"),"КОНЮХОВ Михайло Володимирович")</f>
        <v>КОНЮХОВ Михайло Володимирович</v>
      </c>
      <c r="J15439" s="7" t="s">
        <v>23</v>
      </c>
    </row>
    <row r="15440" spans="1:10" ht="13.2">
      <c r="A15440" s="7">
        <v>15439</v>
      </c>
      <c r="B15440" s="7">
        <v>1</v>
      </c>
      <c r="C15440" s="7" t="s">
        <v>10</v>
      </c>
      <c r="D15440" s="7">
        <v>19641</v>
      </c>
      <c r="E15440" s="7" t="s">
        <v>23</v>
      </c>
      <c r="F15440" s="8" t="str">
        <f ca="1">IFERROR(__xludf.DUMMYFUNCTION("IF
(
C15441=""фізична особа""
,
VLOOKUP(D15441,IMPORTRANGE(""https://docs.google.com/spreadsheets/d/14Bd19lYaqBhU8_DElYkX7l4wRkHqqCUFNJY4AfY3kHU/edit?usp=sharing  #gid=0"",""фіз особи new!relations_name""),6,FALSE)
,
(IF
(
C15441=""юридична особа""
,
VLOO"&amp;"KUP(D15441,IMPORTRANGE(""https://docs.google.com/spreadsheets/d/14Bd19lYaqBhU8_DElYkX7l4wRkHqqCUFNJY4AfY3kHU/edit?usp=sharing  #gid=0"",""фіз особи new!relations_name_uo""),7,FALSE)
,
)
))"),"МАКСАКОВ Євгеній Юрійович")</f>
        <v>МАКСАКОВ Євгеній Юрійович</v>
      </c>
      <c r="G15440" s="7" t="s">
        <v>10</v>
      </c>
      <c r="H15440" s="7">
        <v>19637</v>
      </c>
      <c r="I15440" s="8" t="str">
        <f ca="1">IFERROR(__xludf.DUMMYFUNCTION("IF
(
G15441=""фізична особа""
,
VLOOKUP(H15441,IMPORTRANGE(""https://docs.google.com/spreadsheets/d/14Bd19lYaqBhU8_DElYkX7l4wRkHqqCUFNJY4AfY3kHU/edit?usp=sharing  #gid=0"",""фіз особи new!relations_name""),6,FALSE)
,
(IF
(
G15441=""юридична особа""
,
VLOO"&amp;"KUP(H15441,IMPORTRANGE(""https://docs.google.com/spreadsheets/d/14Bd19lYaqBhU8_DElYkX7l4wRkHqqCUFNJY4AfY3kHU/edit?usp=sharing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40" s="7" t="s">
        <v>23</v>
      </c>
    </row>
    <row r="15441" spans="1:10" ht="13.2">
      <c r="A15441" s="7">
        <v>15440</v>
      </c>
      <c r="B15441" s="7">
        <v>1</v>
      </c>
      <c r="C15441" s="7" t="s">
        <v>10</v>
      </c>
      <c r="D15441" s="7">
        <v>19641</v>
      </c>
      <c r="E15441" s="7" t="s">
        <v>23</v>
      </c>
      <c r="F15441" s="8" t="str">
        <f ca="1">IFERROR(__xludf.DUMMYFUNCTION("IF
(
C15442=""фізична особа""
,
VLOOKUP(D15442,IMPORTRANGE(""https://docs.google.com/spreadsheets/d/14Bd19lYaqBhU8_DElYkX7l4wRkHqqCUFNJY4AfY3kHU/edit?usp=sharing  #gid=0"",""фіз особи new!relations_name""),6,FALSE)
,
(IF
(
C15442=""юридична особа""
,
VLOO"&amp;"KUP(D15442,IMPORTRANGE(""https://docs.google.com/spreadsheets/d/14Bd19lYaqBhU8_DElYkX7l4wRkHqqCUFNJY4AfY3kHU/edit?usp=sharing  #gid=0"",""фіз особи new!relations_name_uo""),7,FALSE)
,
)
))"),"МАКСАКОВ Євгеній Юрійович")</f>
        <v>МАКСАКОВ Євгеній Юрійович</v>
      </c>
      <c r="G15441" s="7" t="s">
        <v>10</v>
      </c>
      <c r="H15441" s="7">
        <v>19638</v>
      </c>
      <c r="I15441" s="8" t="str">
        <f ca="1">IFERROR(__xludf.DUMMYFUNCTION("IF
(
G15442=""фізична особа""
,
VLOOKUP(H15442,IMPORTRANGE(""https://docs.google.com/spreadsheets/d/14Bd19lYaqBhU8_DElYkX7l4wRkHqqCUFNJY4AfY3kHU/edit?usp=sharing  #gid=0"",""фіз особи new!relations_name""),6,FALSE)
,
(IF
(
G15442=""юридична особа""
,
VLOO"&amp;"KUP(H15442,IMPORTRANGE(""https://docs.google.com/spreadsheets/d/14Bd19lYaqBhU8_DElYkX7l4wRkHqqCUFNJY4AfY3kHU/edit?usp=sharing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41" s="7" t="s">
        <v>23</v>
      </c>
    </row>
    <row r="15442" spans="1:10" ht="13.2">
      <c r="A15442" s="7">
        <v>15441</v>
      </c>
      <c r="B15442" s="7">
        <v>1</v>
      </c>
      <c r="C15442" s="7" t="s">
        <v>10</v>
      </c>
      <c r="D15442" s="7">
        <v>19641</v>
      </c>
      <c r="E15442" s="7" t="s">
        <v>23</v>
      </c>
      <c r="F15442" s="8" t="str">
        <f ca="1">IFERROR(__xludf.DUMMYFUNCTION("IF
(
C15443=""фізична особа""
,
VLOOKUP(D15443,IMPORTRANGE(""https://docs.google.com/spreadsheets/d/14Bd19lYaqBhU8_DElYkX7l4wRkHqqCUFNJY4AfY3kHU/edit?usp=sharing  #gid=0"",""фіз особи new!relations_name""),6,FALSE)
,
(IF
(
C15443=""юридична особа""
,
VLOO"&amp;"KUP(D15443,IMPORTRANGE(""https://docs.google.com/spreadsheets/d/14Bd19lYaqBhU8_DElYkX7l4wRkHqqCUFNJY4AfY3kHU/edit?usp=sharing  #gid=0"",""фіз особи new!relations_name_uo""),7,FALSE)
,
)
))"),"МАКСАКОВ Євгеній Юрійович")</f>
        <v>МАКСАКОВ Євгеній Юрійович</v>
      </c>
      <c r="G15442" s="7" t="s">
        <v>10</v>
      </c>
      <c r="H15442" s="7">
        <v>19639</v>
      </c>
      <c r="I15442" s="8" t="str">
        <f ca="1">IFERROR(__xludf.DUMMYFUNCTION("IF
(
G15443=""фізична особа""
,
VLOOKUP(H15443,IMPORTRANGE(""https://docs.google.com/spreadsheets/d/14Bd19lYaqBhU8_DElYkX7l4wRkHqqCUFNJY4AfY3kHU/edit?usp=sharing  #gid=0"",""фіз особи new!relations_name""),6,FALSE)
,
(IF
(
G15443=""юридична особа""
,
VLOO"&amp;"KUP(H15443,IMPORTRANGE(""https://docs.google.com/spreadsheets/d/14Bd19lYaqBhU8_DElYkX7l4wRkHqqCUFNJY4AfY3kHU/edit?usp=sharing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42" s="7" t="s">
        <v>23</v>
      </c>
    </row>
    <row r="15443" spans="1:10" ht="13.2">
      <c r="A15443" s="7">
        <v>15442</v>
      </c>
      <c r="B15443" s="7">
        <v>1</v>
      </c>
      <c r="C15443" s="7" t="s">
        <v>10</v>
      </c>
      <c r="D15443" s="7">
        <v>19642</v>
      </c>
      <c r="E15443" s="7" t="s">
        <v>23</v>
      </c>
      <c r="F15443" s="8" t="str">
        <f ca="1">IFERROR(__xludf.DUMMYFUNCTION("IF
(
C15444=""фізична особа""
,
VLOOKUP(D15444,IMPORTRANGE(""https://docs.google.com/spreadsheets/d/14Bd19lYaqBhU8_DElYkX7l4wRkHqqCUFNJY4AfY3kHU/edit?usp=sharing  #gid=0"",""фіз особи new!relations_name""),6,FALSE)
,
(IF
(
C15444=""юридична особа""
,
VLOO"&amp;"KUP(D15444,IMPORTRANGE(""https://docs.google.com/spreadsheets/d/14Bd19lYaqBhU8_DElYkX7l4wRkHqqCUFNJY4AfY3kHU/edit?usp=sharing  #gid=0"",""фіз особи new!relations_name_uo""),7,FALSE)
,
)
))"),"МОРОВ Андрій Костянтинович")</f>
        <v>МОРОВ Андрій Костянтинович</v>
      </c>
      <c r="G15443" s="7" t="s">
        <v>10</v>
      </c>
      <c r="H15443" s="7">
        <v>19637</v>
      </c>
      <c r="I15443" s="8" t="str">
        <f ca="1">IFERROR(__xludf.DUMMYFUNCTION("IF
(
G15444=""фізична особа""
,
VLOOKUP(H15444,IMPORTRANGE(""https://docs.google.com/spreadsheets/d/14Bd19lYaqBhU8_DElYkX7l4wRkHqqCUFNJY4AfY3kHU/edit?usp=sharing  #gid=0"",""фіз особи new!relations_name""),6,FALSE)
,
(IF
(
G15444=""юридична особа""
,
VLOO"&amp;"KUP(H15444,IMPORTRANGE(""https://docs.google.com/spreadsheets/d/14Bd19lYaqBhU8_DElYkX7l4wRkHqqCUFNJY4AfY3kHU/edit?usp=sharing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43" s="7" t="s">
        <v>23</v>
      </c>
    </row>
    <row r="15444" spans="1:10" ht="13.2">
      <c r="A15444" s="7">
        <v>15443</v>
      </c>
      <c r="B15444" s="7">
        <v>1</v>
      </c>
      <c r="C15444" s="7" t="s">
        <v>10</v>
      </c>
      <c r="D15444" s="7">
        <v>19642</v>
      </c>
      <c r="E15444" s="7" t="s">
        <v>23</v>
      </c>
      <c r="F15444" s="8" t="str">
        <f ca="1">IFERROR(__xludf.DUMMYFUNCTION("IF
(
C15445=""фізична особа""
,
VLOOKUP(D15445,IMPORTRANGE(""https://docs.google.com/spreadsheets/d/14Bd19lYaqBhU8_DElYkX7l4wRkHqqCUFNJY4AfY3kHU/edit?usp=sharing  #gid=0"",""фіз особи new!relations_name""),6,FALSE)
,
(IF
(
C15445=""юридична особа""
,
VLOO"&amp;"KUP(D15445,IMPORTRANGE(""https://docs.google.com/spreadsheets/d/14Bd19lYaqBhU8_DElYkX7l4wRkHqqCUFNJY4AfY3kHU/edit?usp=sharing  #gid=0"",""фіз особи new!relations_name_uo""),7,FALSE)
,
)
))"),"МОРОВ Андрій Костянтинович")</f>
        <v>МОРОВ Андрій Костянтинович</v>
      </c>
      <c r="G15444" s="7" t="s">
        <v>10</v>
      </c>
      <c r="H15444" s="7">
        <v>19638</v>
      </c>
      <c r="I15444" s="8" t="str">
        <f ca="1">IFERROR(__xludf.DUMMYFUNCTION("IF
(
G15445=""фізична особа""
,
VLOOKUP(H15445,IMPORTRANGE(""https://docs.google.com/spreadsheets/d/14Bd19lYaqBhU8_DElYkX7l4wRkHqqCUFNJY4AfY3kHU/edit?usp=sharing  #gid=0"",""фіз особи new!relations_name""),6,FALSE)
,
(IF
(
G15445=""юридична особа""
,
VLOO"&amp;"KUP(H15445,IMPORTRANGE(""https://docs.google.com/spreadsheets/d/14Bd19lYaqBhU8_DElYkX7l4wRkHqqCUFNJY4AfY3kHU/edit?usp=sharing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44" s="7" t="s">
        <v>23</v>
      </c>
    </row>
    <row r="15445" spans="1:10" ht="13.2">
      <c r="A15445" s="7">
        <v>15444</v>
      </c>
      <c r="B15445" s="7">
        <v>1</v>
      </c>
      <c r="C15445" s="7" t="s">
        <v>10</v>
      </c>
      <c r="D15445" s="7">
        <v>19642</v>
      </c>
      <c r="E15445" s="7" t="s">
        <v>23</v>
      </c>
      <c r="F15445" s="8" t="str">
        <f ca="1">IFERROR(__xludf.DUMMYFUNCTION("IF
(
C15446=""фізична особа""
,
VLOOKUP(D15446,IMPORTRANGE(""https://docs.google.com/spreadsheets/d/14Bd19lYaqBhU8_DElYkX7l4wRkHqqCUFNJY4AfY3kHU/edit?usp=sharing  #gid=0"",""фіз особи new!relations_name""),6,FALSE)
,
(IF
(
C15446=""юридична особа""
,
VLOO"&amp;"KUP(D15446,IMPORTRANGE(""https://docs.google.com/spreadsheets/d/14Bd19lYaqBhU8_DElYkX7l4wRkHqqCUFNJY4AfY3kHU/edit?usp=sharing  #gid=0"",""фіз особи new!relations_name_uo""),7,FALSE)
,
)
))"),"МОРОВ Андрій Костянтинович")</f>
        <v>МОРОВ Андрій Костянтинович</v>
      </c>
      <c r="G15445" s="7" t="s">
        <v>10</v>
      </c>
      <c r="H15445" s="7">
        <v>19639</v>
      </c>
      <c r="I15445" s="8" t="str">
        <f ca="1">IFERROR(__xludf.DUMMYFUNCTION("IF
(
G15446=""фізична особа""
,
VLOOKUP(H15446,IMPORTRANGE(""https://docs.google.com/spreadsheets/d/14Bd19lYaqBhU8_DElYkX7l4wRkHqqCUFNJY4AfY3kHU/edit?usp=sharing  #gid=0"",""фіз особи new!relations_name""),6,FALSE)
,
(IF
(
G15446=""юридична особа""
,
VLOO"&amp;"KUP(H15446,IMPORTRANGE(""https://docs.google.com/spreadsheets/d/14Bd19lYaqBhU8_DElYkX7l4wRkHqqCUFNJY4AfY3kHU/edit?usp=sharing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45" s="7" t="s">
        <v>23</v>
      </c>
    </row>
    <row r="15446" spans="1:10" ht="13.2">
      <c r="A15446" s="7">
        <v>15445</v>
      </c>
      <c r="B15446" s="7">
        <v>1</v>
      </c>
      <c r="C15446" s="7" t="s">
        <v>10</v>
      </c>
      <c r="D15446" s="7">
        <v>19643</v>
      </c>
      <c r="E15446" s="7" t="s">
        <v>23</v>
      </c>
      <c r="F15446" s="8" t="str">
        <f ca="1">IFERROR(__xludf.DUMMYFUNCTION("IF
(
C15447=""фізична особа""
,
VLOOKUP(D15447,IMPORTRANGE(""https://docs.google.com/spreadsheets/d/14Bd19lYaqBhU8_DElYkX7l4wRkHqqCUFNJY4AfY3kHU/edit?usp=sharing  #gid=0"",""фіз особи new!relations_name""),6,FALSE)
,
(IF
(
C15447=""юридична особа""
,
VLOO"&amp;"KUP(D15447,IMPORTRANGE(""https://docs.google.com/spreadsheets/d/14Bd19lYaqBhU8_DElYkX7l4wRkHqqCUFNJY4AfY3kHU/edit?usp=sharing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46" s="7" t="s">
        <v>10</v>
      </c>
      <c r="H15446" s="7">
        <v>19637</v>
      </c>
      <c r="I15446" s="8" t="str">
        <f ca="1">IFERROR(__xludf.DUMMYFUNCTION("IF
(
G15447=""фізична особа""
,
VLOOKUP(H15447,IMPORTRANGE(""https://docs.google.com/spreadsheets/d/14Bd19lYaqBhU8_DElYkX7l4wRkHqqCUFNJY4AfY3kHU/edit?usp=sharing  #gid=0"",""фіз особи new!relations_name""),6,FALSE)
,
(IF
(
G15447=""юридична особа""
,
VLOO"&amp;"KUP(H15447,IMPORTRANGE(""https://docs.google.com/spreadsheets/d/14Bd19lYaqBhU8_DElYkX7l4wRkHqqCUFNJY4AfY3kHU/edit?usp=sharing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46" s="7" t="s">
        <v>23</v>
      </c>
    </row>
    <row r="15447" spans="1:10" ht="13.2">
      <c r="A15447" s="7">
        <v>15446</v>
      </c>
      <c r="B15447" s="7">
        <v>1</v>
      </c>
      <c r="C15447" s="7" t="s">
        <v>10</v>
      </c>
      <c r="D15447" s="7">
        <v>19643</v>
      </c>
      <c r="E15447" s="7" t="s">
        <v>23</v>
      </c>
      <c r="F15447" s="8" t="str">
        <f ca="1">IFERROR(__xludf.DUMMYFUNCTION("IF
(
C15448=""фізична особа""
,
VLOOKUP(D15448,IMPORTRANGE(""https://docs.google.com/spreadsheets/d/14Bd19lYaqBhU8_DElYkX7l4wRkHqqCUFNJY4AfY3kHU/edit?usp=sharing  #gid=0"",""фіз особи new!relations_name""),6,FALSE)
,
(IF
(
C15448=""юридична особа""
,
VLOO"&amp;"KUP(D15448,IMPORTRANGE(""https://docs.google.com/spreadsheets/d/14Bd19lYaqBhU8_DElYkX7l4wRkHqqCUFNJY4AfY3kHU/edit?usp=sharing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47" s="7" t="s">
        <v>10</v>
      </c>
      <c r="H15447" s="7">
        <v>19638</v>
      </c>
      <c r="I15447" s="8" t="str">
        <f ca="1">IFERROR(__xludf.DUMMYFUNCTION("IF
(
G15448=""фізична особа""
,
VLOOKUP(H15448,IMPORTRANGE(""https://docs.google.com/spreadsheets/d/14Bd19lYaqBhU8_DElYkX7l4wRkHqqCUFNJY4AfY3kHU/edit?usp=sharing  #gid=0"",""фіз особи new!relations_name""),6,FALSE)
,
(IF
(
G15448=""юридична особа""
,
VLOO"&amp;"KUP(H15448,IMPORTRANGE(""https://docs.google.com/spreadsheets/d/14Bd19lYaqBhU8_DElYkX7l4wRkHqqCUFNJY4AfY3kHU/edit?usp=sharing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47" s="7" t="s">
        <v>23</v>
      </c>
    </row>
    <row r="15448" spans="1:10" ht="13.2">
      <c r="A15448" s="7">
        <v>15447</v>
      </c>
      <c r="B15448" s="7">
        <v>1</v>
      </c>
      <c r="C15448" s="7" t="s">
        <v>10</v>
      </c>
      <c r="D15448" s="7">
        <v>19643</v>
      </c>
      <c r="E15448" s="7" t="s">
        <v>23</v>
      </c>
      <c r="F15448" s="8" t="str">
        <f ca="1">IFERROR(__xludf.DUMMYFUNCTION("IF
(
C15449=""фізична особа""
,
VLOOKUP(D15449,IMPORTRANGE(""https://docs.google.com/spreadsheets/d/14Bd19lYaqBhU8_DElYkX7l4wRkHqqCUFNJY4AfY3kHU/edit?usp=sharing  #gid=0"",""фіз особи new!relations_name""),6,FALSE)
,
(IF
(
C15449=""юридична особа""
,
VLOO"&amp;"KUP(D15449,IMPORTRANGE(""https://docs.google.com/spreadsheets/d/14Bd19lYaqBhU8_DElYkX7l4wRkHqqCUFNJY4AfY3kHU/edit?usp=sharing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48" s="7" t="s">
        <v>10</v>
      </c>
      <c r="H15448" s="7">
        <v>19639</v>
      </c>
      <c r="I15448" s="8" t="str">
        <f ca="1">IFERROR(__xludf.DUMMYFUNCTION("IF
(
G15449=""фізична особа""
,
VLOOKUP(H15449,IMPORTRANGE(""https://docs.google.com/spreadsheets/d/14Bd19lYaqBhU8_DElYkX7l4wRkHqqCUFNJY4AfY3kHU/edit?usp=sharing  #gid=0"",""фіз особи new!relations_name""),6,FALSE)
,
(IF
(
G15449=""юридична особа""
,
VLOO"&amp;"KUP(H15449,IMPORTRANGE(""https://docs.google.com/spreadsheets/d/14Bd19lYaqBhU8_DElYkX7l4wRkHqqCUFNJY4AfY3kHU/edit?usp=sharing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48" s="7" t="s">
        <v>23</v>
      </c>
    </row>
    <row r="15449" spans="1:10" ht="13.2">
      <c r="A15449" s="7">
        <v>15448</v>
      </c>
      <c r="B15449" s="7">
        <v>1</v>
      </c>
      <c r="C15449" s="7" t="s">
        <v>10</v>
      </c>
      <c r="D15449" s="7">
        <v>19643</v>
      </c>
      <c r="E15449" s="7" t="s">
        <v>23</v>
      </c>
      <c r="F15449" s="8" t="str">
        <f ca="1">IFERROR(__xludf.DUMMYFUNCTION("IF
(
C15450=""фізична особа""
,
VLOOKUP(D15450,IMPORTRANGE(""https://docs.google.com/spreadsheets/d/14Bd19lYaqBhU8_DElYkX7l4wRkHqqCUFNJY4AfY3kHU/edit?usp=sharing  #gid=0"",""фіз особи new!relations_name""),6,FALSE)
,
(IF
(
C15450=""юридична особа""
,
VLOO"&amp;"KUP(D15450,IMPORTRANGE(""https://docs.google.com/spreadsheets/d/14Bd19lYaqBhU8_DElYkX7l4wRkHqqCUFNJY4AfY3kHU/edit?usp=sharing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49" s="7" t="s">
        <v>10</v>
      </c>
      <c r="H15449" s="7">
        <v>19640</v>
      </c>
      <c r="I15449" s="8" t="str">
        <f ca="1">IFERROR(__xludf.DUMMYFUNCTION("IF
(
G15450=""фізична особа""
,
VLOOKUP(H15450,IMPORTRANGE(""https://docs.google.com/spreadsheets/d/14Bd19lYaqBhU8_DElYkX7l4wRkHqqCUFNJY4AfY3kHU/edit?usp=sharing  #gid=0"",""фіз особи new!relations_name""),6,FALSE)
,
(IF
(
G15450=""юридична особа""
,
VLOO"&amp;"KUP(H15450,IMPORTRANGE(""https://docs.google.com/spreadsheets/d/14Bd19lYaqBhU8_DElYkX7l4wRkHqqCUFNJY4AfY3kHU/edit?usp=sharing  #gid=0"",""фіз особи new!relations_name_uo""),7,FALSE)
,
)
))"),"БЕТІН Андрій Вячеславович")</f>
        <v>БЕТІН Андрій Вячеславович</v>
      </c>
      <c r="J15449" s="7" t="s">
        <v>23</v>
      </c>
    </row>
    <row r="15450" spans="1:10" ht="13.2">
      <c r="A15450" s="7">
        <v>15449</v>
      </c>
      <c r="B15450" s="7">
        <v>1</v>
      </c>
      <c r="C15450" s="7" t="s">
        <v>10</v>
      </c>
      <c r="D15450" s="7">
        <v>19643</v>
      </c>
      <c r="E15450" s="7" t="s">
        <v>23</v>
      </c>
      <c r="F15450" s="8" t="str">
        <f ca="1">IFERROR(__xludf.DUMMYFUNCTION("IF
(
C15451=""фізична особа""
,
VLOOKUP(D15451,IMPORTRANGE(""https://docs.google.com/spreadsheets/d/14Bd19lYaqBhU8_DElYkX7l4wRkHqqCUFNJY4AfY3kHU/edit?usp=sharing  #gid=0"",""фіз особи new!relations_name""),6,FALSE)
,
(IF
(
C15451=""юридична особа""
,
VLOO"&amp;"KUP(D15451,IMPORTRANGE(""https://docs.google.com/spreadsheets/d/14Bd19lYaqBhU8_DElYkX7l4wRkHqqCUFNJY4AfY3kHU/edit?usp=sharing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50" s="7" t="s">
        <v>10</v>
      </c>
      <c r="H15450" s="7">
        <v>23719</v>
      </c>
      <c r="I15450" s="8" t="str">
        <f ca="1">IFERROR(__xludf.DUMMYFUNCTION("IF
(
G15451=""фізична особа""
,
VLOOKUP(H15451,IMPORTRANGE(""https://docs.google.com/spreadsheets/d/14Bd19lYaqBhU8_DElYkX7l4wRkHqqCUFNJY4AfY3kHU/edit?usp=sharing  #gid=0"",""фіз особи new!relations_name""),6,FALSE)
,
(IF
(
G15451=""юридична особа""
,
VLOO"&amp;"KUP(H15451,IMPORTRANGE(""https://docs.google.com/spreadsheets/d/14Bd19lYaqBhU8_DElYkX7l4wRkHqqCUFNJY4AfY3kHU/edit?usp=sharing  #gid=0"",""фіз особи new!relations_name_uo""),7,FALSE)
,
)
))"),"БЕЛЯЄВ Вячеслав Павлович")</f>
        <v>БЕЛЯЄВ Вячеслав Павлович</v>
      </c>
      <c r="J15450" s="7" t="s">
        <v>23</v>
      </c>
    </row>
    <row r="15451" spans="1:10" ht="13.2">
      <c r="A15451" s="7">
        <v>15450</v>
      </c>
      <c r="B15451" s="7">
        <v>1</v>
      </c>
      <c r="C15451" s="7" t="s">
        <v>10</v>
      </c>
      <c r="D15451" s="7">
        <v>19643</v>
      </c>
      <c r="E15451" s="7" t="s">
        <v>23</v>
      </c>
      <c r="F15451" s="8" t="str">
        <f ca="1">IFERROR(__xludf.DUMMYFUNCTION("IF
(
C15452=""фізична особа""
,
VLOOKUP(D15452,IMPORTRANGE(""https://docs.google.com/spreadsheets/d/14Bd19lYaqBhU8_DElYkX7l4wRkHqqCUFNJY4AfY3kHU/edit?usp=sharing  #gid=0"",""фіз особи new!relations_name""),6,FALSE)
,
(IF
(
C15452=""юридична особа""
,
VLOO"&amp;"KUP(D15452,IMPORTRANGE(""https://docs.google.com/spreadsheets/d/14Bd19lYaqBhU8_DElYkX7l4wRkHqqCUFNJY4AfY3kHU/edit?usp=sharing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51" s="7" t="s">
        <v>10</v>
      </c>
      <c r="H15451" s="7">
        <v>23720</v>
      </c>
      <c r="I15451" s="8" t="str">
        <f ca="1">IFERROR(__xludf.DUMMYFUNCTION("IF
(
G15452=""фізична особа""
,
VLOOKUP(H15452,IMPORTRANGE(""https://docs.google.com/spreadsheets/d/14Bd19lYaqBhU8_DElYkX7l4wRkHqqCUFNJY4AfY3kHU/edit?usp=sharing  #gid=0"",""фіз особи new!relations_name""),6,FALSE)
,
(IF
(
G15452=""юридична особа""
,
VLOO"&amp;"KUP(H15452,IMPORTRANGE(""https://docs.google.com/spreadsheets/d/14Bd19lYaqBhU8_DElYkX7l4wRkHqqCUFNJY4AfY3kHU/edit?usp=sharing  #gid=0"",""фіз особи new!relations_name_uo""),7,FALSE)
,
)
))"),"САРКІСЯН Альберт Аргенович")</f>
        <v>САРКІСЯН Альберт Аргенович</v>
      </c>
      <c r="J15451" s="7" t="s">
        <v>23</v>
      </c>
    </row>
    <row r="15452" spans="1:10" ht="13.2">
      <c r="A15452" s="7">
        <v>15451</v>
      </c>
      <c r="B15452" s="7">
        <v>1</v>
      </c>
      <c r="C15452" s="7" t="s">
        <v>10</v>
      </c>
      <c r="D15452" s="7">
        <v>19643</v>
      </c>
      <c r="E15452" s="7" t="s">
        <v>23</v>
      </c>
      <c r="F15452" s="8" t="str">
        <f ca="1">IFERROR(__xludf.DUMMYFUNCTION("IF
(
C15453=""фізична особа""
,
VLOOKUP(D15453,IMPORTRANGE(""https://docs.google.com/spreadsheets/d/14Bd19lYaqBhU8_DElYkX7l4wRkHqqCUFNJY4AfY3kHU/edit?usp=sharing  #gid=0"",""фіз особи new!relations_name""),6,FALSE)
,
(IF
(
C15453=""юридична особа""
,
VLOO"&amp;"KUP(D15453,IMPORTRANGE(""https://docs.google.com/spreadsheets/d/14Bd19lYaqBhU8_DElYkX7l4wRkHqqCUFNJY4AfY3kHU/edit?usp=sharing  #gid=0"",""фіз особи new!relations_name_uo""),7,FALSE)
,
)
))"),"ТІХОМІРОВА Марина Аргенівна")</f>
        <v>ТІХОМІРОВА Марина Аргенівна</v>
      </c>
      <c r="G15452" s="7" t="s">
        <v>10</v>
      </c>
      <c r="H15452" s="7">
        <v>23721</v>
      </c>
      <c r="I15452" s="8" t="str">
        <f ca="1">IFERROR(__xludf.DUMMYFUNCTION("IF
(
G15453=""фізична особа""
,
VLOOKUP(H15453,IMPORTRANGE(""https://docs.google.com/spreadsheets/d/14Bd19lYaqBhU8_DElYkX7l4wRkHqqCUFNJY4AfY3kHU/edit?usp=sharing  #gid=0"",""фіз особи new!relations_name""),6,FALSE)
,
(IF
(
G15453=""юридична особа""
,
VLOO"&amp;"KUP(H15453,IMPORTRANGE(""https://docs.google.com/spreadsheets/d/14Bd19lYaqBhU8_DElYkX7l4wRkHqqCUFNJY4AfY3kHU/edit?usp=sharing  #gid=0"",""фіз особи new!relations_name_uo""),7,FALSE)
,
)
))"),"КОНЮХОВ Михайло Володимирович")</f>
        <v>КОНЮХОВ Михайло Володимирович</v>
      </c>
      <c r="J15452" s="7" t="s">
        <v>23</v>
      </c>
    </row>
    <row r="15453" spans="1:10" ht="13.2">
      <c r="A15453" s="7">
        <v>15452</v>
      </c>
      <c r="B15453" s="7">
        <v>1</v>
      </c>
      <c r="C15453" s="7" t="s">
        <v>10</v>
      </c>
      <c r="D15453" s="7">
        <v>19644</v>
      </c>
      <c r="E15453" s="7" t="s">
        <v>23</v>
      </c>
      <c r="F15453" s="8" t="str">
        <f ca="1">IFERROR(__xludf.DUMMYFUNCTION("IF
(
C15454=""фізична особа""
,
VLOOKUP(D15454,IMPORTRANGE(""https://docs.google.com/spreadsheets/d/14Bd19lYaqBhU8_DElYkX7l4wRkHqqCUFNJY4AfY3kHU/edit?usp=sharing  #gid=0"",""фіз особи new!relations_name""),6,FALSE)
,
(IF
(
C15454=""юридична особа""
,
VLOO"&amp;"KUP(D15454,IMPORTRANGE(""https://docs.google.com/spreadsheets/d/14Bd19lYaqBhU8_DElYkX7l4wRkHqqCUFNJY4AfY3kHU/edit?usp=sharing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G15453" s="7" t="s">
        <v>10</v>
      </c>
      <c r="H15453" s="7">
        <v>19637</v>
      </c>
      <c r="I15453" s="8" t="str">
        <f ca="1">IFERROR(__xludf.DUMMYFUNCTION("IF
(
G15454=""фізична особа""
,
VLOOKUP(H15454,IMPORTRANGE(""https://docs.google.com/spreadsheets/d/14Bd19lYaqBhU8_DElYkX7l4wRkHqqCUFNJY4AfY3kHU/edit?usp=sharing  #gid=0"",""фіз особи new!relations_name""),6,FALSE)
,
(IF
(
G15454=""юридична особа""
,
VLOO"&amp;"KUP(H15454,IMPORTRANGE(""https://docs.google.com/spreadsheets/d/14Bd19lYaqBhU8_DElYkX7l4wRkHqqCUFNJY4AfY3kHU/edit?usp=sharing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53" s="7" t="s">
        <v>23</v>
      </c>
    </row>
    <row r="15454" spans="1:10" ht="13.2">
      <c r="A15454" s="7">
        <v>15453</v>
      </c>
      <c r="B15454" s="7">
        <v>1</v>
      </c>
      <c r="C15454" s="7" t="s">
        <v>10</v>
      </c>
      <c r="D15454" s="7">
        <v>19644</v>
      </c>
      <c r="E15454" s="7" t="s">
        <v>23</v>
      </c>
      <c r="F15454" s="8" t="str">
        <f ca="1">IFERROR(__xludf.DUMMYFUNCTION("IF
(
C15455=""фізична особа""
,
VLOOKUP(D15455,IMPORTRANGE(""https://docs.google.com/spreadsheets/d/14Bd19lYaqBhU8_DElYkX7l4wRkHqqCUFNJY4AfY3kHU/edit?usp=sharing  #gid=0"",""фіз особи new!relations_name""),6,FALSE)
,
(IF
(
C15455=""юридична особа""
,
VLOO"&amp;"KUP(D15455,IMPORTRANGE(""https://docs.google.com/spreadsheets/d/14Bd19lYaqBhU8_DElYkX7l4wRkHqqCUFNJY4AfY3kHU/edit?usp=sharing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G15454" s="7" t="s">
        <v>10</v>
      </c>
      <c r="H15454" s="7">
        <v>19638</v>
      </c>
      <c r="I15454" s="8" t="str">
        <f ca="1">IFERROR(__xludf.DUMMYFUNCTION("IF
(
G15455=""фізична особа""
,
VLOOKUP(H15455,IMPORTRANGE(""https://docs.google.com/spreadsheets/d/14Bd19lYaqBhU8_DElYkX7l4wRkHqqCUFNJY4AfY3kHU/edit?usp=sharing  #gid=0"",""фіз особи new!relations_name""),6,FALSE)
,
(IF
(
G15455=""юридична особа""
,
VLOO"&amp;"KUP(H15455,IMPORTRANGE(""https://docs.google.com/spreadsheets/d/14Bd19lYaqBhU8_DElYkX7l4wRkHqqCUFNJY4AfY3kHU/edit?usp=sharing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54" s="7" t="s">
        <v>23</v>
      </c>
    </row>
    <row r="15455" spans="1:10" ht="13.2">
      <c r="A15455" s="7">
        <v>15454</v>
      </c>
      <c r="B15455" s="7">
        <v>1</v>
      </c>
      <c r="C15455" s="7" t="s">
        <v>10</v>
      </c>
      <c r="D15455" s="7">
        <v>19644</v>
      </c>
      <c r="E15455" s="7" t="s">
        <v>23</v>
      </c>
      <c r="F15455" s="8" t="str">
        <f ca="1">IFERROR(__xludf.DUMMYFUNCTION("IF
(
C15456=""фізична особа""
,
VLOOKUP(D15456,IMPORTRANGE(""https://docs.google.com/spreadsheets/d/14Bd19lYaqBhU8_DElYkX7l4wRkHqqCUFNJY4AfY3kHU/edit?usp=sharing  #gid=0"",""фіз особи new!relations_name""),6,FALSE)
,
(IF
(
C15456=""юридична особа""
,
VLOO"&amp;"KUP(D15456,IMPORTRANGE(""https://docs.google.com/spreadsheets/d/14Bd19lYaqBhU8_DElYkX7l4wRkHqqCUFNJY4AfY3kHU/edit?usp=sharing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G15455" s="7" t="s">
        <v>10</v>
      </c>
      <c r="H15455" s="7">
        <v>19639</v>
      </c>
      <c r="I15455" s="8" t="str">
        <f ca="1">IFERROR(__xludf.DUMMYFUNCTION("IF
(
G15456=""фізична особа""
,
VLOOKUP(H15456,IMPORTRANGE(""https://docs.google.com/spreadsheets/d/14Bd19lYaqBhU8_DElYkX7l4wRkHqqCUFNJY4AfY3kHU/edit?usp=sharing  #gid=0"",""фіз особи new!relations_name""),6,FALSE)
,
(IF
(
G15456=""юридична особа""
,
VLOO"&amp;"KUP(H15456,IMPORTRANGE(""https://docs.google.com/spreadsheets/d/14Bd19lYaqBhU8_DElYkX7l4wRkHqqCUFNJY4AfY3kHU/edit?usp=sharing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55" s="7" t="s">
        <v>23</v>
      </c>
    </row>
    <row r="15456" spans="1:10" ht="13.2">
      <c r="A15456" s="7">
        <v>15455</v>
      </c>
      <c r="B15456" s="7">
        <v>1</v>
      </c>
      <c r="C15456" s="7" t="s">
        <v>10</v>
      </c>
      <c r="D15456" s="7">
        <v>19645</v>
      </c>
      <c r="E15456" s="7" t="s">
        <v>23</v>
      </c>
      <c r="F15456" s="8" t="str">
        <f ca="1">IFERROR(__xludf.DUMMYFUNCTION("IF
(
C15457=""фізична особа""
,
VLOOKUP(D15457,IMPORTRANGE(""https://docs.google.com/spreadsheets/d/14Bd19lYaqBhU8_DElYkX7l4wRkHqqCUFNJY4AfY3kHU/edit?usp=sharing  #gid=0"",""фіз особи new!relations_name""),6,FALSE)
,
(IF
(
C15457=""юридична особа""
,
VLOO"&amp;"KUP(D15457,IMPORTRANGE(""https://docs.google.com/spreadsheets/d/14Bd19lYaqBhU8_DElYkX7l4wRkHqqCUFNJY4AfY3kHU/edit?usp=sharing  #gid=0"",""фіз особи new!relations_name_uo""),7,FALSE)
,
)
))"),"АХМЕДОВА Зульфіра Улугівна")</f>
        <v>АХМЕДОВА Зульфіра Улугівна</v>
      </c>
      <c r="G15456" s="7" t="s">
        <v>10</v>
      </c>
      <c r="H15456" s="7">
        <v>19637</v>
      </c>
      <c r="I15456" s="8" t="str">
        <f ca="1">IFERROR(__xludf.DUMMYFUNCTION("IF
(
G15457=""фізична особа""
,
VLOOKUP(H15457,IMPORTRANGE(""https://docs.google.com/spreadsheets/d/14Bd19lYaqBhU8_DElYkX7l4wRkHqqCUFNJY4AfY3kHU/edit?usp=sharing  #gid=0"",""фіз особи new!relations_name""),6,FALSE)
,
(IF
(
G15457=""юридична особа""
,
VLOO"&amp;"KUP(H15457,IMPORTRANGE(""https://docs.google.com/spreadsheets/d/14Bd19lYaqBhU8_DElYkX7l4wRkHqqCUFNJY4AfY3kHU/edit?usp=sharing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56" s="7" t="s">
        <v>23</v>
      </c>
    </row>
    <row r="15457" spans="1:10" ht="13.2">
      <c r="A15457" s="7">
        <v>15456</v>
      </c>
      <c r="B15457" s="7">
        <v>1</v>
      </c>
      <c r="C15457" s="7" t="s">
        <v>10</v>
      </c>
      <c r="D15457" s="7">
        <v>19645</v>
      </c>
      <c r="E15457" s="7" t="s">
        <v>23</v>
      </c>
      <c r="F15457" s="8" t="str">
        <f ca="1">IFERROR(__xludf.DUMMYFUNCTION("IF
(
C15458=""фізична особа""
,
VLOOKUP(D15458,IMPORTRANGE(""https://docs.google.com/spreadsheets/d/14Bd19lYaqBhU8_DElYkX7l4wRkHqqCUFNJY4AfY3kHU/edit?usp=sharing  #gid=0"",""фіз особи new!relations_name""),6,FALSE)
,
(IF
(
C15458=""юридична особа""
,
VLOO"&amp;"KUP(D15458,IMPORTRANGE(""https://docs.google.com/spreadsheets/d/14Bd19lYaqBhU8_DElYkX7l4wRkHqqCUFNJY4AfY3kHU/edit?usp=sharing  #gid=0"",""фіз особи new!relations_name_uo""),7,FALSE)
,
)
))"),"АХМЕДОВА Зульфіра Улугівна")</f>
        <v>АХМЕДОВА Зульфіра Улугівна</v>
      </c>
      <c r="G15457" s="7" t="s">
        <v>10</v>
      </c>
      <c r="H15457" s="7">
        <v>19638</v>
      </c>
      <c r="I15457" s="8" t="str">
        <f ca="1">IFERROR(__xludf.DUMMYFUNCTION("IF
(
G15458=""фізична особа""
,
VLOOKUP(H15458,IMPORTRANGE(""https://docs.google.com/spreadsheets/d/14Bd19lYaqBhU8_DElYkX7l4wRkHqqCUFNJY4AfY3kHU/edit?usp=sharing  #gid=0"",""фіз особи new!relations_name""),6,FALSE)
,
(IF
(
G15458=""юридична особа""
,
VLOO"&amp;"KUP(H15458,IMPORTRANGE(""https://docs.google.com/spreadsheets/d/14Bd19lYaqBhU8_DElYkX7l4wRkHqqCUFNJY4AfY3kHU/edit?usp=sharing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57" s="7" t="s">
        <v>23</v>
      </c>
    </row>
    <row r="15458" spans="1:10" ht="13.2">
      <c r="A15458" s="7">
        <v>15457</v>
      </c>
      <c r="B15458" s="7">
        <v>1</v>
      </c>
      <c r="C15458" s="7" t="s">
        <v>10</v>
      </c>
      <c r="D15458" s="7">
        <v>19645</v>
      </c>
      <c r="E15458" s="7" t="s">
        <v>23</v>
      </c>
      <c r="F15458" s="8" t="str">
        <f ca="1">IFERROR(__xludf.DUMMYFUNCTION("IF
(
C15459=""фізична особа""
,
VLOOKUP(D15459,IMPORTRANGE(""https://docs.google.com/spreadsheets/d/14Bd19lYaqBhU8_DElYkX7l4wRkHqqCUFNJY4AfY3kHU/edit?usp=sharing  #gid=0"",""фіз особи new!relations_name""),6,FALSE)
,
(IF
(
C15459=""юридична особа""
,
VLOO"&amp;"KUP(D15459,IMPORTRANGE(""https://docs.google.com/spreadsheets/d/14Bd19lYaqBhU8_DElYkX7l4wRkHqqCUFNJY4AfY3kHU/edit?usp=sharing  #gid=0"",""фіз особи new!relations_name_uo""),7,FALSE)
,
)
))"),"АХМЕДОВА Зульфіра Улугівна")</f>
        <v>АХМЕДОВА Зульфіра Улугівна</v>
      </c>
      <c r="G15458" s="7" t="s">
        <v>10</v>
      </c>
      <c r="H15458" s="7">
        <v>19639</v>
      </c>
      <c r="I15458" s="8" t="str">
        <f ca="1">IFERROR(__xludf.DUMMYFUNCTION("IF
(
G15459=""фізична особа""
,
VLOOKUP(H15459,IMPORTRANGE(""https://docs.google.com/spreadsheets/d/14Bd19lYaqBhU8_DElYkX7l4wRkHqqCUFNJY4AfY3kHU/edit?usp=sharing  #gid=0"",""фіз особи new!relations_name""),6,FALSE)
,
(IF
(
G15459=""юридична особа""
,
VLOO"&amp;"KUP(H15459,IMPORTRANGE(""https://docs.google.com/spreadsheets/d/14Bd19lYaqBhU8_DElYkX7l4wRkHqqCUFNJY4AfY3kHU/edit?usp=sharing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58" s="7" t="s">
        <v>23</v>
      </c>
    </row>
    <row r="15459" spans="1:10" ht="13.2">
      <c r="A15459" s="7">
        <v>15458</v>
      </c>
      <c r="B15459" s="7">
        <v>1</v>
      </c>
      <c r="C15459" s="7" t="s">
        <v>10</v>
      </c>
      <c r="D15459" s="7">
        <v>19645</v>
      </c>
      <c r="E15459" s="7" t="s">
        <v>23</v>
      </c>
      <c r="F15459" s="8" t="str">
        <f ca="1">IFERROR(__xludf.DUMMYFUNCTION("IF
(
C15460=""фізична особа""
,
VLOOKUP(D15460,IMPORTRANGE(""https://docs.google.com/spreadsheets/d/14Bd19lYaqBhU8_DElYkX7l4wRkHqqCUFNJY4AfY3kHU/edit?usp=sharing  #gid=0"",""фіз особи new!relations_name""),6,FALSE)
,
(IF
(
C15460=""юридична особа""
,
VLOO"&amp;"KUP(D15460,IMPORTRANGE(""https://docs.google.com/spreadsheets/d/14Bd19lYaqBhU8_DElYkX7l4wRkHqqCUFNJY4AfY3kHU/edit?usp=sharing  #gid=0"",""фіз особи new!relations_name_uo""),7,FALSE)
,
)
))"),"АХМЕДОВА Зульфіра Улугівна")</f>
        <v>АХМЕДОВА Зульфіра Улугівна</v>
      </c>
      <c r="G15459" s="7" t="s">
        <v>10</v>
      </c>
      <c r="H15459" s="7">
        <v>19644</v>
      </c>
      <c r="I15459" s="8" t="str">
        <f ca="1">IFERROR(__xludf.DUMMYFUNCTION("IF
(
G15460=""фізична особа""
,
VLOOKUP(H15460,IMPORTRANGE(""https://docs.google.com/spreadsheets/d/14Bd19lYaqBhU8_DElYkX7l4wRkHqqCUFNJY4AfY3kHU/edit?usp=sharing  #gid=0"",""фіз особи new!relations_name""),6,FALSE)
,
(IF
(
G15460=""юридична особа""
,
VLOO"&amp;"KUP(H15460,IMPORTRANGE(""https://docs.google.com/spreadsheets/d/14Bd19lYaqBhU8_DElYkX7l4wRkHqqCUFNJY4AfY3kHU/edit?usp=sharing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J15459" s="7" t="s">
        <v>23</v>
      </c>
    </row>
    <row r="15460" spans="1:10" ht="13.2">
      <c r="A15460" s="7">
        <v>15459</v>
      </c>
      <c r="B15460" s="7">
        <v>1</v>
      </c>
      <c r="C15460" s="7" t="s">
        <v>10</v>
      </c>
      <c r="D15460" s="7">
        <v>19646</v>
      </c>
      <c r="E15460" s="7" t="s">
        <v>23</v>
      </c>
      <c r="F15460" s="8" t="str">
        <f ca="1">IFERROR(__xludf.DUMMYFUNCTION("IF
(
C15461=""фізична особа""
,
VLOOKUP(D15461,IMPORTRANGE(""https://docs.google.com/spreadsheets/d/14Bd19lYaqBhU8_DElYkX7l4wRkHqqCUFNJY4AfY3kHU/edit?usp=sharing  #gid=0"",""фіз особи new!relations_name""),6,FALSE)
,
(IF
(
C15461=""юридична особа""
,
VLOO"&amp;"KUP(D15461,IMPORTRANGE(""https://docs.google.com/spreadsheets/d/14Bd19lYaqBhU8_DElYkX7l4wRkHqqCUFNJY4AfY3kHU/edit?usp=sharing  #gid=0"",""фіз особи new!relations_name_uo""),7,FALSE)
,
)
))"),"БРЕТШНЕЙДЕР Томас")</f>
        <v>БРЕТШНЕЙДЕР Томас</v>
      </c>
      <c r="G15460" s="7" t="s">
        <v>10</v>
      </c>
      <c r="H15460" s="7">
        <v>19637</v>
      </c>
      <c r="I15460" s="8" t="str">
        <f ca="1">IFERROR(__xludf.DUMMYFUNCTION("IF
(
G15461=""фізична особа""
,
VLOOKUP(H15461,IMPORTRANGE(""https://docs.google.com/spreadsheets/d/14Bd19lYaqBhU8_DElYkX7l4wRkHqqCUFNJY4AfY3kHU/edit?usp=sharing  #gid=0"",""фіз особи new!relations_name""),6,FALSE)
,
(IF
(
G15461=""юридична особа""
,
VLOO"&amp;"KUP(H15461,IMPORTRANGE(""https://docs.google.com/spreadsheets/d/14Bd19lYaqBhU8_DElYkX7l4wRkHqqCUFNJY4AfY3kHU/edit?usp=sharing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460" s="7" t="s">
        <v>23</v>
      </c>
    </row>
    <row r="15461" spans="1:10" ht="13.2">
      <c r="A15461" s="7">
        <v>15460</v>
      </c>
      <c r="B15461" s="7">
        <v>1</v>
      </c>
      <c r="C15461" s="7" t="s">
        <v>10</v>
      </c>
      <c r="D15461" s="7">
        <v>19646</v>
      </c>
      <c r="E15461" s="7" t="s">
        <v>23</v>
      </c>
      <c r="F15461" s="8" t="str">
        <f ca="1">IFERROR(__xludf.DUMMYFUNCTION("IF
(
C15462=""фізична особа""
,
VLOOKUP(D15462,IMPORTRANGE(""https://docs.google.com/spreadsheets/d/14Bd19lYaqBhU8_DElYkX7l4wRkHqqCUFNJY4AfY3kHU/edit?usp=sharing  #gid=0"",""фіз особи new!relations_name""),6,FALSE)
,
(IF
(
C15462=""юридична особа""
,
VLOO"&amp;"KUP(D15462,IMPORTRANGE(""https://docs.google.com/spreadsheets/d/14Bd19lYaqBhU8_DElYkX7l4wRkHqqCUFNJY4AfY3kHU/edit?usp=sharing  #gid=0"",""фіз особи new!relations_name_uo""),7,FALSE)
,
)
))"),"БРЕТШНЕЙДЕР Томас")</f>
        <v>БРЕТШНЕЙДЕР Томас</v>
      </c>
      <c r="G15461" s="7" t="s">
        <v>10</v>
      </c>
      <c r="H15461" s="7">
        <v>19638</v>
      </c>
      <c r="I15461" s="8" t="str">
        <f ca="1">IFERROR(__xludf.DUMMYFUNCTION("IF
(
G15462=""фізична особа""
,
VLOOKUP(H15462,IMPORTRANGE(""https://docs.google.com/spreadsheets/d/14Bd19lYaqBhU8_DElYkX7l4wRkHqqCUFNJY4AfY3kHU/edit?usp=sharing  #gid=0"",""фіз особи new!relations_name""),6,FALSE)
,
(IF
(
G15462=""юридична особа""
,
VLOO"&amp;"KUP(H15462,IMPORTRANGE(""https://docs.google.com/spreadsheets/d/14Bd19lYaqBhU8_DElYkX7l4wRkHqqCUFNJY4AfY3kHU/edit?usp=sharing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461" s="7" t="s">
        <v>23</v>
      </c>
    </row>
    <row r="15462" spans="1:10" ht="13.2">
      <c r="A15462" s="7">
        <v>15461</v>
      </c>
      <c r="B15462" s="7">
        <v>1</v>
      </c>
      <c r="C15462" s="7" t="s">
        <v>10</v>
      </c>
      <c r="D15462" s="7">
        <v>19646</v>
      </c>
      <c r="E15462" s="7" t="s">
        <v>23</v>
      </c>
      <c r="F15462" s="8" t="str">
        <f ca="1">IFERROR(__xludf.DUMMYFUNCTION("IF
(
C15463=""фізична особа""
,
VLOOKUP(D15463,IMPORTRANGE(""https://docs.google.com/spreadsheets/d/14Bd19lYaqBhU8_DElYkX7l4wRkHqqCUFNJY4AfY3kHU/edit?usp=sharing  #gid=0"",""фіз особи new!relations_name""),6,FALSE)
,
(IF
(
C15463=""юридична особа""
,
VLOO"&amp;"KUP(D15463,IMPORTRANGE(""https://docs.google.com/spreadsheets/d/14Bd19lYaqBhU8_DElYkX7l4wRkHqqCUFNJY4AfY3kHU/edit?usp=sharing  #gid=0"",""фіз особи new!relations_name_uo""),7,FALSE)
,
)
))"),"БРЕТШНЕЙДЕР Томас")</f>
        <v>БРЕТШНЕЙДЕР Томас</v>
      </c>
      <c r="G15462" s="7" t="s">
        <v>10</v>
      </c>
      <c r="H15462" s="7">
        <v>19639</v>
      </c>
      <c r="I15462" s="8" t="str">
        <f ca="1">IFERROR(__xludf.DUMMYFUNCTION("IF
(
G15463=""фізична особа""
,
VLOOKUP(H15463,IMPORTRANGE(""https://docs.google.com/spreadsheets/d/14Bd19lYaqBhU8_DElYkX7l4wRkHqqCUFNJY4AfY3kHU/edit?usp=sharing  #gid=0"",""фіз особи new!relations_name""),6,FALSE)
,
(IF
(
G15463=""юридична особа""
,
VLOO"&amp;"KUP(H15463,IMPORTRANGE(""https://docs.google.com/spreadsheets/d/14Bd19lYaqBhU8_DElYkX7l4wRkHqqCUFNJY4AfY3kHU/edit?usp=sharing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462" s="7" t="s">
        <v>23</v>
      </c>
    </row>
    <row r="15463" spans="1:10" ht="13.2">
      <c r="A15463" s="7">
        <v>15462</v>
      </c>
      <c r="B15463" s="7">
        <v>1</v>
      </c>
      <c r="C15463" s="7" t="s">
        <v>10</v>
      </c>
      <c r="D15463" s="7">
        <v>19646</v>
      </c>
      <c r="E15463" s="7" t="s">
        <v>23</v>
      </c>
      <c r="F15463" s="8" t="str">
        <f ca="1">IFERROR(__xludf.DUMMYFUNCTION("IF
(
C15464=""фізична особа""
,
VLOOKUP(D15464,IMPORTRANGE(""https://docs.google.com/spreadsheets/d/14Bd19lYaqBhU8_DElYkX7l4wRkHqqCUFNJY4AfY3kHU/edit?usp=sharing  #gid=0"",""фіз особи new!relations_name""),6,FALSE)
,
(IF
(
C15464=""юридична особа""
,
VLOO"&amp;"KUP(D15464,IMPORTRANGE(""https://docs.google.com/spreadsheets/d/14Bd19lYaqBhU8_DElYkX7l4wRkHqqCUFNJY4AfY3kHU/edit?usp=sharing  #gid=0"",""фіз особи new!relations_name_uo""),7,FALSE)
,
)
))"),"БРЕТШНЕЙДЕР Томас")</f>
        <v>БРЕТШНЕЙДЕР Томас</v>
      </c>
      <c r="G15463" s="7" t="s">
        <v>10</v>
      </c>
      <c r="H15463" s="7">
        <v>19644</v>
      </c>
      <c r="I15463" s="8" t="str">
        <f ca="1">IFERROR(__xludf.DUMMYFUNCTION("IF
(
G15464=""фізична особа""
,
VLOOKUP(H15464,IMPORTRANGE(""https://docs.google.com/spreadsheets/d/14Bd19lYaqBhU8_DElYkX7l4wRkHqqCUFNJY4AfY3kHU/edit?usp=sharing  #gid=0"",""фіз особи new!relations_name""),6,FALSE)
,
(IF
(
G15464=""юридична особа""
,
VLOO"&amp;"KUP(H15464,IMPORTRANGE(""https://docs.google.com/spreadsheets/d/14Bd19lYaqBhU8_DElYkX7l4wRkHqqCUFNJY4AfY3kHU/edit?usp=sharing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J15463" s="7" t="s">
        <v>23</v>
      </c>
    </row>
    <row r="15464" spans="1:10" ht="13.2">
      <c r="A15464" s="7">
        <v>15463</v>
      </c>
      <c r="B15464" s="7">
        <v>1</v>
      </c>
      <c r="C15464" s="7" t="s">
        <v>10</v>
      </c>
      <c r="D15464" s="7">
        <v>19665</v>
      </c>
      <c r="E15464" s="7" t="s">
        <v>23</v>
      </c>
      <c r="F15464" s="8" t="str">
        <f ca="1">IFERROR(__xludf.DUMMYFUNCTION("IF
(
C15465=""фізична особа""
,
VLOOKUP(D15465,IMPORTRANGE(""https://docs.google.com/spreadsheets/d/14Bd19lYaqBhU8_DElYkX7l4wRkHqqCUFNJY4AfY3kHU/edit?usp=sharing  #gid=0"",""фіз особи new!relations_name""),6,FALSE)
,
(IF
(
C15465=""юридична особа""
,
VLOO"&amp;"KUP(D15465,IMPORTRANGE(""https://docs.google.com/spreadsheets/d/14Bd19lYaqBhU8_DElYkX7l4wRkHqqCUFNJY4AfY3kHU/edit?usp=sharing  #gid=0"",""фіз особи new!relations_name_uo""),7,FALSE)
,
)
))"),"ЗОЛОТАРЬОВ Дмитро Борисович")</f>
        <v>ЗОЛОТАРЬОВ Дмитро Борисович</v>
      </c>
      <c r="G15464" s="7" t="s">
        <v>10</v>
      </c>
      <c r="H15464" s="7">
        <v>19666</v>
      </c>
      <c r="I15464" s="8" t="str">
        <f ca="1">IFERROR(__xludf.DUMMYFUNCTION("IF
(
G15465=""фізична особа""
,
VLOOKUP(H15465,IMPORTRANGE(""https://docs.google.com/spreadsheets/d/14Bd19lYaqBhU8_DElYkX7l4wRkHqqCUFNJY4AfY3kHU/edit?usp=sharing  #gid=0"",""фіз особи new!relations_name""),6,FALSE)
,
(IF
(
G15465=""юридична особа""
,
VLOO"&amp;"KUP(H15465,IMPORTRANGE(""https://docs.google.com/spreadsheets/d/14Bd19lYaqBhU8_DElYkX7l4wRkHqqCUFNJY4AfY3kHU/edit?usp=sharing  #gid=0"",""фіз особи new!relations_name_uo""),7,FALSE)
,
)
))"),"ГОЛЬЦОВА Галина Василівна")</f>
        <v>ГОЛЬЦОВА Галина Василівна</v>
      </c>
      <c r="J15464" s="7" t="s">
        <v>23</v>
      </c>
    </row>
    <row r="15465" spans="1:10" ht="13.2">
      <c r="A15465" s="7">
        <v>15464</v>
      </c>
      <c r="B15465" s="7">
        <v>1</v>
      </c>
      <c r="C15465" s="7" t="s">
        <v>10</v>
      </c>
      <c r="D15465" s="7">
        <v>19666</v>
      </c>
      <c r="E15465" s="7" t="s">
        <v>23</v>
      </c>
      <c r="F15465" s="8" t="str">
        <f ca="1">IFERROR(__xludf.DUMMYFUNCTION("IF
(
C15466=""фізична особа""
,
VLOOKUP(D15466,IMPORTRANGE(""https://docs.google.com/spreadsheets/d/14Bd19lYaqBhU8_DElYkX7l4wRkHqqCUFNJY4AfY3kHU/edit?usp=sharing  #gid=0"",""фіз особи new!relations_name""),6,FALSE)
,
(IF
(
C15466=""юридична особа""
,
VLOO"&amp;"KUP(D15466,IMPORTRANGE(""https://docs.google.com/spreadsheets/d/14Bd19lYaqBhU8_DElYkX7l4wRkHqqCUFNJY4AfY3kHU/edit?usp=sharing  #gid=0"",""фіз особи new!relations_name_uo""),7,FALSE)
,
)
))"),"ГОЛЬЦОВА Галина Василівна")</f>
        <v>ГОЛЬЦОВА Галина Василівна</v>
      </c>
      <c r="G15465" s="7" t="s">
        <v>10</v>
      </c>
      <c r="H15465" s="7">
        <v>19665</v>
      </c>
      <c r="I15465" s="8" t="str">
        <f ca="1">IFERROR(__xludf.DUMMYFUNCTION("IF
(
G15466=""фізична особа""
,
VLOOKUP(H15466,IMPORTRANGE(""https://docs.google.com/spreadsheets/d/14Bd19lYaqBhU8_DElYkX7l4wRkHqqCUFNJY4AfY3kHU/edit?usp=sharing  #gid=0"",""фіз особи new!relations_name""),6,FALSE)
,
(IF
(
G15466=""юридична особа""
,
VLOO"&amp;"KUP(H15466,IMPORTRANGE(""https://docs.google.com/spreadsheets/d/14Bd19lYaqBhU8_DElYkX7l4wRkHqqCUFNJY4AfY3kHU/edit?usp=sharing  #gid=0"",""фіз особи new!relations_name_uo""),7,FALSE)
,
)
))"),"ЗОЛОТАРЬОВ Дмитро Борисович")</f>
        <v>ЗОЛОТАРЬОВ Дмитро Борисович</v>
      </c>
      <c r="J15465" s="7" t="s">
        <v>23</v>
      </c>
    </row>
    <row r="15466" spans="1:10" ht="13.2">
      <c r="A15466" s="7">
        <v>15465</v>
      </c>
      <c r="B15466" s="7">
        <v>1</v>
      </c>
      <c r="C15466" s="7" t="s">
        <v>10</v>
      </c>
      <c r="D15466" s="7">
        <v>19676</v>
      </c>
      <c r="E15466" s="7" t="s">
        <v>17</v>
      </c>
      <c r="F15466" s="8" t="str">
        <f ca="1">IFERROR(__xludf.DUMMYFUNCTION("IF
(
C15467=""фізична особа""
,
VLOOKUP(D15467,IMPORTRANGE(""https://docs.google.com/spreadsheets/d/14Bd19lYaqBhU8_DElYkX7l4wRkHqqCUFNJY4AfY3kHU/edit?usp=sharing  #gid=0"",""фіз особи new!relations_name""),6,FALSE)
,
(IF
(
C15467=""юридична особа""
,
VLOO"&amp;"KUP(D15467,IMPORTRANGE(""https://docs.google.com/spreadsheets/d/14Bd19lYaqBhU8_DElYkX7l4wRkHqqCUFNJY4AfY3kHU/edit?usp=sharing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G15466" s="7" t="s">
        <v>10</v>
      </c>
      <c r="H15466" s="7">
        <v>19815</v>
      </c>
      <c r="I15466" s="8" t="str">
        <f ca="1">IFERROR(__xludf.DUMMYFUNCTION("IF
(
G15467=""фізична особа""
,
VLOOKUP(H15467,IMPORTRANGE(""https://docs.google.com/spreadsheets/d/14Bd19lYaqBhU8_DElYkX7l4wRkHqqCUFNJY4AfY3kHU/edit?usp=sharing  #gid=0"",""фіз особи new!relations_name""),6,FALSE)
,
(IF
(
G15467=""юридична особа""
,
VLOO"&amp;"KUP(H15467,IMPORTRANGE(""https://docs.google.com/spreadsheets/d/14Bd19lYaqBhU8_DElYkX7l4wRkHqqCUFNJY4AfY3kHU/edit?usp=sharing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J15466" s="7" t="s">
        <v>12</v>
      </c>
    </row>
    <row r="15467" spans="1:10" ht="13.2">
      <c r="A15467" s="7">
        <v>15466</v>
      </c>
      <c r="B15467" s="7">
        <v>1</v>
      </c>
      <c r="C15467" s="7" t="s">
        <v>10</v>
      </c>
      <c r="D15467" s="7">
        <v>19676</v>
      </c>
      <c r="E15467" s="7" t="s">
        <v>17</v>
      </c>
      <c r="F15467" s="8" t="str">
        <f ca="1">IFERROR(__xludf.DUMMYFUNCTION("IF
(
C15468=""фізична особа""
,
VLOOKUP(D15468,IMPORTRANGE(""https://docs.google.com/spreadsheets/d/14Bd19lYaqBhU8_DElYkX7l4wRkHqqCUFNJY4AfY3kHU/edit?usp=sharing  #gid=0"",""фіз особи new!relations_name""),6,FALSE)
,
(IF
(
C15468=""юридична особа""
,
VLOO"&amp;"KUP(D15468,IMPORTRANGE(""https://docs.google.com/spreadsheets/d/14Bd19lYaqBhU8_DElYkX7l4wRkHqqCUFNJY4AfY3kHU/edit?usp=sharing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G15467" s="7" t="s">
        <v>10</v>
      </c>
      <c r="H15467" s="7">
        <v>19816</v>
      </c>
      <c r="I15467" s="8" t="str">
        <f ca="1">IFERROR(__xludf.DUMMYFUNCTION("IF
(
G15468=""фізична особа""
,
VLOOKUP(H15468,IMPORTRANGE(""https://docs.google.com/spreadsheets/d/14Bd19lYaqBhU8_DElYkX7l4wRkHqqCUFNJY4AfY3kHU/edit?usp=sharing  #gid=0"",""фіз особи new!relations_name""),6,FALSE)
,
(IF
(
G15468=""юридична особа""
,
VLOO"&amp;"KUP(H15468,IMPORTRANGE(""https://docs.google.com/spreadsheets/d/14Bd19lYaqBhU8_DElYkX7l4wRkHqqCUFNJY4AfY3kHU/edit?usp=sharing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J15467" s="7" t="s">
        <v>12</v>
      </c>
    </row>
    <row r="15468" spans="1:10" ht="13.2">
      <c r="A15468" s="7">
        <v>15467</v>
      </c>
      <c r="B15468" s="7">
        <v>1</v>
      </c>
      <c r="C15468" s="7" t="s">
        <v>10</v>
      </c>
      <c r="D15468" s="7">
        <v>19676</v>
      </c>
      <c r="E15468" s="7" t="s">
        <v>18</v>
      </c>
      <c r="F15468" s="8" t="str">
        <f ca="1">IFERROR(__xludf.DUMMYFUNCTION("IF
(
C15469=""фізична особа""
,
VLOOKUP(D15469,IMPORTRANGE(""https://docs.google.com/spreadsheets/d/14Bd19lYaqBhU8_DElYkX7l4wRkHqqCUFNJY4AfY3kHU/edit?usp=sharing  #gid=0"",""фіз особи new!relations_name""),6,FALSE)
,
(IF
(
C15469=""юридична особа""
,
VLOO"&amp;"KUP(D15469,IMPORTRANGE(""https://docs.google.com/spreadsheets/d/14Bd19lYaqBhU8_DElYkX7l4wRkHqqCUFNJY4AfY3kHU/edit?usp=sharing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G15468" s="7" t="s">
        <v>10</v>
      </c>
      <c r="H15468" s="7">
        <v>23722</v>
      </c>
      <c r="I15468" s="8" t="str">
        <f ca="1">IFERROR(__xludf.DUMMYFUNCTION("IF
(
G15469=""фізична особа""
,
VLOOKUP(H15469,IMPORTRANGE(""https://docs.google.com/spreadsheets/d/14Bd19lYaqBhU8_DElYkX7l4wRkHqqCUFNJY4AfY3kHU/edit?usp=sharing  #gid=0"",""фіз особи new!relations_name""),6,FALSE)
,
(IF
(
G15469=""юридична особа""
,
VLOO"&amp;"KUP(H15469,IMPORTRANGE(""https://docs.google.com/spreadsheets/d/14Bd19lYaqBhU8_DElYkX7l4wRkHqqCUFNJY4AfY3kHU/edit?usp=sharing  #gid=0"",""фіз особи new!relations_name_uo""),7,FALSE)
,
)
))"),"ГУСЕЛЬНІКОВ Георгій Олександрович")</f>
        <v>ГУСЕЛЬНІКОВ Георгій Олександрович</v>
      </c>
      <c r="J15468" s="7" t="s">
        <v>18</v>
      </c>
    </row>
    <row r="15469" spans="1:10" ht="13.2">
      <c r="A15469" s="7">
        <v>15468</v>
      </c>
      <c r="B15469" s="7">
        <v>1</v>
      </c>
      <c r="C15469" s="7" t="s">
        <v>10</v>
      </c>
      <c r="D15469" s="7">
        <v>19676</v>
      </c>
      <c r="E15469" s="7" t="s">
        <v>14</v>
      </c>
      <c r="F15469" s="8" t="str">
        <f ca="1">IFERROR(__xludf.DUMMYFUNCTION("IF
(
C15470=""фізична особа""
,
VLOOKUP(D15470,IMPORTRANGE(""https://docs.google.com/spreadsheets/d/14Bd19lYaqBhU8_DElYkX7l4wRkHqqCUFNJY4AfY3kHU/edit?usp=sharing  #gid=0"",""фіз особи new!relations_name""),6,FALSE)
,
(IF
(
C15470=""юридична особа""
,
VLOO"&amp;"KUP(D15470,IMPORTRANGE(""https://docs.google.com/spreadsheets/d/14Bd19lYaqBhU8_DElYkX7l4wRkHqqCUFNJY4AfY3kHU/edit?usp=sharing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G15469" s="7" t="s">
        <v>10</v>
      </c>
      <c r="H15469" s="7">
        <v>19817</v>
      </c>
      <c r="I15469" s="8" t="str">
        <f ca="1">IFERROR(__xludf.DUMMYFUNCTION("IF
(
G15470=""фізична особа""
,
VLOOKUP(H15470,IMPORTRANGE(""https://docs.google.com/spreadsheets/d/14Bd19lYaqBhU8_DElYkX7l4wRkHqqCUFNJY4AfY3kHU/edit?usp=sharing  #gid=0"",""фіз особи new!relations_name""),6,FALSE)
,
(IF
(
G15470=""юридична особа""
,
VLOO"&amp;"KUP(H15470,IMPORTRANGE(""https://docs.google.com/spreadsheets/d/14Bd19lYaqBhU8_DElYkX7l4wRkHqqCUFNJY4AfY3kHU/edit?usp=sharing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J15469" s="7" t="s">
        <v>15</v>
      </c>
    </row>
    <row r="15470" spans="1:10" ht="13.2">
      <c r="A15470" s="7">
        <v>15469</v>
      </c>
      <c r="B15470" s="7">
        <v>1</v>
      </c>
      <c r="C15470" s="7" t="s">
        <v>10</v>
      </c>
      <c r="D15470" s="7">
        <v>19681</v>
      </c>
      <c r="E15470" s="7" t="s">
        <v>23</v>
      </c>
      <c r="F15470" s="8" t="str">
        <f ca="1">IFERROR(__xludf.DUMMYFUNCTION("IF
(
C15471=""фізична особа""
,
VLOOKUP(D15471,IMPORTRANGE(""https://docs.google.com/spreadsheets/d/14Bd19lYaqBhU8_DElYkX7l4wRkHqqCUFNJY4AfY3kHU/edit?usp=sharing  #gid=0"",""фіз особи new!relations_name""),6,FALSE)
,
(IF
(
C15471=""юридична особа""
,
VLOO"&amp;"KUP(D15471,IMPORTRANGE(""https://docs.google.com/spreadsheets/d/14Bd19lYaqBhU8_DElYkX7l4wRkHqqCUFNJY4AfY3kHU/edit?usp=sharing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0" s="7" t="s">
        <v>10</v>
      </c>
      <c r="H15470" s="7">
        <v>19682</v>
      </c>
      <c r="I15470" s="8" t="str">
        <f ca="1">IFERROR(__xludf.DUMMYFUNCTION("IF
(
G15471=""фізична особа""
,
VLOOKUP(H15471,IMPORTRANGE(""https://docs.google.com/spreadsheets/d/14Bd19lYaqBhU8_DElYkX7l4wRkHqqCUFNJY4AfY3kHU/edit?usp=sharing  #gid=0"",""фіз особи new!relations_name""),6,FALSE)
,
(IF
(
G15471=""юридична особа""
,
VLOO"&amp;"KUP(H15471,IMPORTRANGE(""https://docs.google.com/spreadsheets/d/14Bd19lYaqBhU8_DElYkX7l4wRkHqqCUFNJY4AfY3kHU/edit?usp=sharing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470" s="7" t="s">
        <v>23</v>
      </c>
    </row>
    <row r="15471" spans="1:10" ht="13.2">
      <c r="A15471" s="7">
        <v>15470</v>
      </c>
      <c r="B15471" s="7">
        <v>1</v>
      </c>
      <c r="C15471" s="7" t="s">
        <v>10</v>
      </c>
      <c r="D15471" s="7">
        <v>19681</v>
      </c>
      <c r="E15471" s="7" t="s">
        <v>23</v>
      </c>
      <c r="F15471" s="8" t="str">
        <f ca="1">IFERROR(__xludf.DUMMYFUNCTION("IF
(
C15472=""фізична особа""
,
VLOOKUP(D15472,IMPORTRANGE(""https://docs.google.com/spreadsheets/d/14Bd19lYaqBhU8_DElYkX7l4wRkHqqCUFNJY4AfY3kHU/edit?usp=sharing  #gid=0"",""фіз особи new!relations_name""),6,FALSE)
,
(IF
(
C15472=""юридична особа""
,
VLOO"&amp;"KUP(D15472,IMPORTRANGE(""https://docs.google.com/spreadsheets/d/14Bd19lYaqBhU8_DElYkX7l4wRkHqqCUFNJY4AfY3kHU/edit?usp=sharing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1" s="7" t="s">
        <v>10</v>
      </c>
      <c r="H15471" s="7">
        <v>19683</v>
      </c>
      <c r="I15471" s="8" t="str">
        <f ca="1">IFERROR(__xludf.DUMMYFUNCTION("IF
(
G15472=""фізична особа""
,
VLOOKUP(H15472,IMPORTRANGE(""https://docs.google.com/spreadsheets/d/14Bd19lYaqBhU8_DElYkX7l4wRkHqqCUFNJY4AfY3kHU/edit?usp=sharing  #gid=0"",""фіз особи new!relations_name""),6,FALSE)
,
(IF
(
G15472=""юридична особа""
,
VLOO"&amp;"KUP(H15472,IMPORTRANGE(""https://docs.google.com/spreadsheets/d/14Bd19lYaqBhU8_DElYkX7l4wRkHqqCUFNJY4AfY3kHU/edit?usp=sharing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471" s="7" t="s">
        <v>23</v>
      </c>
    </row>
    <row r="15472" spans="1:10" ht="13.2">
      <c r="A15472" s="7">
        <v>15471</v>
      </c>
      <c r="B15472" s="7">
        <v>1</v>
      </c>
      <c r="C15472" s="7" t="s">
        <v>10</v>
      </c>
      <c r="D15472" s="7">
        <v>19681</v>
      </c>
      <c r="E15472" s="7" t="s">
        <v>23</v>
      </c>
      <c r="F15472" s="8" t="str">
        <f ca="1">IFERROR(__xludf.DUMMYFUNCTION("IF
(
C15473=""фізична особа""
,
VLOOKUP(D15473,IMPORTRANGE(""https://docs.google.com/spreadsheets/d/14Bd19lYaqBhU8_DElYkX7l4wRkHqqCUFNJY4AfY3kHU/edit?usp=sharing  #gid=0"",""фіз особи new!relations_name""),6,FALSE)
,
(IF
(
C15473=""юридична особа""
,
VLOO"&amp;"KUP(D15473,IMPORTRANGE(""https://docs.google.com/spreadsheets/d/14Bd19lYaqBhU8_DElYkX7l4wRkHqqCUFNJY4AfY3kHU/edit?usp=sharing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2" s="7" t="s">
        <v>10</v>
      </c>
      <c r="H15472" s="7">
        <v>19684</v>
      </c>
      <c r="I15472" s="8" t="str">
        <f ca="1">IFERROR(__xludf.DUMMYFUNCTION("IF
(
G15473=""фізична особа""
,
VLOOKUP(H15473,IMPORTRANGE(""https://docs.google.com/spreadsheets/d/14Bd19lYaqBhU8_DElYkX7l4wRkHqqCUFNJY4AfY3kHU/edit?usp=sharing  #gid=0"",""фіз особи new!relations_name""),6,FALSE)
,
(IF
(
G15473=""юридична особа""
,
VLOO"&amp;"KUP(H15473,IMPORTRANGE(""https://docs.google.com/spreadsheets/d/14Bd19lYaqBhU8_DElYkX7l4wRkHqqCUFNJY4AfY3kHU/edit?usp=sharing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472" s="7" t="s">
        <v>23</v>
      </c>
    </row>
    <row r="15473" spans="1:10" ht="13.2">
      <c r="A15473" s="7">
        <v>15472</v>
      </c>
      <c r="B15473" s="7">
        <v>1</v>
      </c>
      <c r="C15473" s="7" t="s">
        <v>10</v>
      </c>
      <c r="D15473" s="7">
        <v>19681</v>
      </c>
      <c r="E15473" s="7" t="s">
        <v>23</v>
      </c>
      <c r="F15473" s="8" t="str">
        <f ca="1">IFERROR(__xludf.DUMMYFUNCTION("IF
(
C15474=""фізична особа""
,
VLOOKUP(D15474,IMPORTRANGE(""https://docs.google.com/spreadsheets/d/14Bd19lYaqBhU8_DElYkX7l4wRkHqqCUFNJY4AfY3kHU/edit?usp=sharing  #gid=0"",""фіз особи new!relations_name""),6,FALSE)
,
(IF
(
C15474=""юридична особа""
,
VLOO"&amp;"KUP(D15474,IMPORTRANGE(""https://docs.google.com/spreadsheets/d/14Bd19lYaqBhU8_DElYkX7l4wRkHqqCUFNJY4AfY3kHU/edit?usp=sharing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3" s="7" t="s">
        <v>10</v>
      </c>
      <c r="H15473" s="7">
        <v>19685</v>
      </c>
      <c r="I15473" s="8" t="str">
        <f ca="1">IFERROR(__xludf.DUMMYFUNCTION("IF
(
G15474=""фізична особа""
,
VLOOKUP(H15474,IMPORTRANGE(""https://docs.google.com/spreadsheets/d/14Bd19lYaqBhU8_DElYkX7l4wRkHqqCUFNJY4AfY3kHU/edit?usp=sharing  #gid=0"",""фіз особи new!relations_name""),6,FALSE)
,
(IF
(
G15474=""юридична особа""
,
VLOO"&amp;"KUP(H15474,IMPORTRANGE(""https://docs.google.com/spreadsheets/d/14Bd19lYaqBhU8_DElYkX7l4wRkHqqCUFNJY4AfY3kHU/edit?usp=sharing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473" s="7" t="s">
        <v>23</v>
      </c>
    </row>
    <row r="15474" spans="1:10" ht="13.2">
      <c r="A15474" s="7">
        <v>15473</v>
      </c>
      <c r="B15474" s="7">
        <v>1</v>
      </c>
      <c r="C15474" s="7" t="s">
        <v>10</v>
      </c>
      <c r="D15474" s="7">
        <v>19681</v>
      </c>
      <c r="E15474" s="7" t="s">
        <v>23</v>
      </c>
      <c r="F15474" s="8" t="str">
        <f ca="1">IFERROR(__xludf.DUMMYFUNCTION("IF
(
C15475=""фізична особа""
,
VLOOKUP(D15475,IMPORTRANGE(""https://docs.google.com/spreadsheets/d/14Bd19lYaqBhU8_DElYkX7l4wRkHqqCUFNJY4AfY3kHU/edit?usp=sharing  #gid=0"",""фіз особи new!relations_name""),6,FALSE)
,
(IF
(
C15475=""юридична особа""
,
VLOO"&amp;"KUP(D15475,IMPORTRANGE(""https://docs.google.com/spreadsheets/d/14Bd19lYaqBhU8_DElYkX7l4wRkHqqCUFNJY4AfY3kHU/edit?usp=sharing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4" s="7" t="s">
        <v>10</v>
      </c>
      <c r="H15474" s="7">
        <v>19686</v>
      </c>
      <c r="I15474" s="8" t="str">
        <f ca="1">IFERROR(__xludf.DUMMYFUNCTION("IF
(
G15475=""фізична особа""
,
VLOOKUP(H15475,IMPORTRANGE(""https://docs.google.com/spreadsheets/d/14Bd19lYaqBhU8_DElYkX7l4wRkHqqCUFNJY4AfY3kHU/edit?usp=sharing  #gid=0"",""фіз особи new!relations_name""),6,FALSE)
,
(IF
(
G15475=""юридична особа""
,
VLOO"&amp;"KUP(H15475,IMPORTRANGE(""https://docs.google.com/spreadsheets/d/14Bd19lYaqBhU8_DElYkX7l4wRkHqqCUFNJY4AfY3kHU/edit?usp=sharing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474" s="7" t="s">
        <v>23</v>
      </c>
    </row>
    <row r="15475" spans="1:10" ht="13.2">
      <c r="A15475" s="7">
        <v>15474</v>
      </c>
      <c r="B15475" s="7">
        <v>1</v>
      </c>
      <c r="C15475" s="7" t="s">
        <v>10</v>
      </c>
      <c r="D15475" s="7">
        <v>19681</v>
      </c>
      <c r="E15475" s="7" t="s">
        <v>23</v>
      </c>
      <c r="F15475" s="8" t="str">
        <f ca="1">IFERROR(__xludf.DUMMYFUNCTION("IF
(
C15476=""фізична особа""
,
VLOOKUP(D15476,IMPORTRANGE(""https://docs.google.com/spreadsheets/d/14Bd19lYaqBhU8_DElYkX7l4wRkHqqCUFNJY4AfY3kHU/edit?usp=sharing  #gid=0"",""фіз особи new!relations_name""),6,FALSE)
,
(IF
(
C15476=""юридична особа""
,
VLOO"&amp;"KUP(D15476,IMPORTRANGE(""https://docs.google.com/spreadsheets/d/14Bd19lYaqBhU8_DElYkX7l4wRkHqqCUFNJY4AfY3kHU/edit?usp=sharing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5" s="7" t="s">
        <v>10</v>
      </c>
      <c r="H15475" s="7">
        <v>19687</v>
      </c>
      <c r="I15475" s="8" t="str">
        <f ca="1">IFERROR(__xludf.DUMMYFUNCTION("IF
(
G15476=""фізична особа""
,
VLOOKUP(H15476,IMPORTRANGE(""https://docs.google.com/spreadsheets/d/14Bd19lYaqBhU8_DElYkX7l4wRkHqqCUFNJY4AfY3kHU/edit?usp=sharing  #gid=0"",""фіз особи new!relations_name""),6,FALSE)
,
(IF
(
G15476=""юридична особа""
,
VLOO"&amp;"KUP(H15476,IMPORTRANGE(""https://docs.google.com/spreadsheets/d/14Bd19lYaqBhU8_DElYkX7l4wRkHqqCUFNJY4AfY3kHU/edit?usp=sharing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475" s="7" t="s">
        <v>23</v>
      </c>
    </row>
    <row r="15476" spans="1:10" ht="13.2">
      <c r="A15476" s="7">
        <v>15475</v>
      </c>
      <c r="B15476" s="7">
        <v>1</v>
      </c>
      <c r="C15476" s="7" t="s">
        <v>10</v>
      </c>
      <c r="D15476" s="7">
        <v>19681</v>
      </c>
      <c r="E15476" s="7" t="s">
        <v>23</v>
      </c>
      <c r="F15476" s="8" t="str">
        <f ca="1">IFERROR(__xludf.DUMMYFUNCTION("IF
(
C15477=""фізична особа""
,
VLOOKUP(D15477,IMPORTRANGE(""https://docs.google.com/spreadsheets/d/14Bd19lYaqBhU8_DElYkX7l4wRkHqqCUFNJY4AfY3kHU/edit?usp=sharing  #gid=0"",""фіз особи new!relations_name""),6,FALSE)
,
(IF
(
C15477=""юридична особа""
,
VLOO"&amp;"KUP(D15477,IMPORTRANGE(""https://docs.google.com/spreadsheets/d/14Bd19lYaqBhU8_DElYkX7l4wRkHqqCUFNJY4AfY3kHU/edit?usp=sharing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6" s="7" t="s">
        <v>10</v>
      </c>
      <c r="H15476" s="7">
        <v>19688</v>
      </c>
      <c r="I15476" s="8" t="str">
        <f ca="1">IFERROR(__xludf.DUMMYFUNCTION("IF
(
G15477=""фізична особа""
,
VLOOKUP(H15477,IMPORTRANGE(""https://docs.google.com/spreadsheets/d/14Bd19lYaqBhU8_DElYkX7l4wRkHqqCUFNJY4AfY3kHU/edit?usp=sharing  #gid=0"",""фіз особи new!relations_name""),6,FALSE)
,
(IF
(
G15477=""юридична особа""
,
VLOO"&amp;"KUP(H15477,IMPORTRANGE(""https://docs.google.com/spreadsheets/d/14Bd19lYaqBhU8_DElYkX7l4wRkHqqCUFNJY4AfY3kHU/edit?usp=sharing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476" s="7" t="s">
        <v>23</v>
      </c>
    </row>
    <row r="15477" spans="1:10" ht="13.2">
      <c r="A15477" s="7">
        <v>15476</v>
      </c>
      <c r="B15477" s="7">
        <v>1</v>
      </c>
      <c r="C15477" s="7" t="s">
        <v>10</v>
      </c>
      <c r="D15477" s="7">
        <v>19681</v>
      </c>
      <c r="E15477" s="7" t="s">
        <v>23</v>
      </c>
      <c r="F15477" s="8" t="str">
        <f ca="1">IFERROR(__xludf.DUMMYFUNCTION("IF
(
C15478=""фізична особа""
,
VLOOKUP(D15478,IMPORTRANGE(""https://docs.google.com/spreadsheets/d/14Bd19lYaqBhU8_DElYkX7l4wRkHqqCUFNJY4AfY3kHU/edit?usp=sharing  #gid=0"",""фіз особи new!relations_name""),6,FALSE)
,
(IF
(
C15478=""юридична особа""
,
VLOO"&amp;"KUP(D15478,IMPORTRANGE(""https://docs.google.com/spreadsheets/d/14Bd19lYaqBhU8_DElYkX7l4wRkHqqCUFNJY4AfY3kHU/edit?usp=sharing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G15477" s="7" t="s">
        <v>10</v>
      </c>
      <c r="H15477" s="7">
        <v>19689</v>
      </c>
      <c r="I15477" s="8" t="str">
        <f ca="1">IFERROR(__xludf.DUMMYFUNCTION("IF
(
G15478=""фізична особа""
,
VLOOKUP(H15478,IMPORTRANGE(""https://docs.google.com/spreadsheets/d/14Bd19lYaqBhU8_DElYkX7l4wRkHqqCUFNJY4AfY3kHU/edit?usp=sharing  #gid=0"",""фіз особи new!relations_name""),6,FALSE)
,
(IF
(
G15478=""юридична особа""
,
VLOO"&amp;"KUP(H15478,IMPORTRANGE(""https://docs.google.com/spreadsheets/d/14Bd19lYaqBhU8_DElYkX7l4wRkHqqCUFNJY4AfY3kHU/edit?usp=sharing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477" s="7" t="s">
        <v>23</v>
      </c>
    </row>
    <row r="15478" spans="1:10" ht="13.2">
      <c r="A15478" s="7">
        <v>15477</v>
      </c>
      <c r="B15478" s="7">
        <v>1</v>
      </c>
      <c r="C15478" s="7" t="s">
        <v>10</v>
      </c>
      <c r="D15478" s="7">
        <v>19682</v>
      </c>
      <c r="E15478" s="7" t="s">
        <v>23</v>
      </c>
      <c r="F15478" s="8" t="str">
        <f ca="1">IFERROR(__xludf.DUMMYFUNCTION("IF
(
C15479=""фізична особа""
,
VLOOKUP(D15479,IMPORTRANGE(""https://docs.google.com/spreadsheets/d/14Bd19lYaqBhU8_DElYkX7l4wRkHqqCUFNJY4AfY3kHU/edit?usp=sharing  #gid=0"",""фіз особи new!relations_name""),6,FALSE)
,
(IF
(
C15479=""юридична особа""
,
VLOO"&amp;"KUP(D15479,IMPORTRANGE(""https://docs.google.com/spreadsheets/d/14Bd19lYaqBhU8_DElYkX7l4wRkHqqCUFNJY4AfY3kHU/edit?usp=sharing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78" s="7" t="s">
        <v>10</v>
      </c>
      <c r="H15478" s="7">
        <v>19681</v>
      </c>
      <c r="I15478" s="8" t="str">
        <f ca="1">IFERROR(__xludf.DUMMYFUNCTION("IF
(
G15479=""фізична особа""
,
VLOOKUP(H15479,IMPORTRANGE(""https://docs.google.com/spreadsheets/d/14Bd19lYaqBhU8_DElYkX7l4wRkHqqCUFNJY4AfY3kHU/edit?usp=sharing  #gid=0"",""фіз особи new!relations_name""),6,FALSE)
,
(IF
(
G15479=""юридична особа""
,
VLOO"&amp;"KUP(H15479,IMPORTRANGE(""https://docs.google.com/spreadsheets/d/14Bd19lYaqBhU8_DElYkX7l4wRkHqqCUFNJY4AfY3kHU/edit?usp=sharing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478" s="7" t="s">
        <v>23</v>
      </c>
    </row>
    <row r="15479" spans="1:10" ht="13.2">
      <c r="A15479" s="7">
        <v>15478</v>
      </c>
      <c r="B15479" s="7">
        <v>1</v>
      </c>
      <c r="C15479" s="7" t="s">
        <v>10</v>
      </c>
      <c r="D15479" s="7">
        <v>19682</v>
      </c>
      <c r="E15479" s="7" t="s">
        <v>23</v>
      </c>
      <c r="F15479" s="8" t="str">
        <f ca="1">IFERROR(__xludf.DUMMYFUNCTION("IF
(
C15480=""фізична особа""
,
VLOOKUP(D15480,IMPORTRANGE(""https://docs.google.com/spreadsheets/d/14Bd19lYaqBhU8_DElYkX7l4wRkHqqCUFNJY4AfY3kHU/edit?usp=sharing  #gid=0"",""фіз особи new!relations_name""),6,FALSE)
,
(IF
(
C15480=""юридична особа""
,
VLOO"&amp;"KUP(D15480,IMPORTRANGE(""https://docs.google.com/spreadsheets/d/14Bd19lYaqBhU8_DElYkX7l4wRkHqqCUFNJY4AfY3kHU/edit?usp=sharing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79" s="7" t="s">
        <v>10</v>
      </c>
      <c r="H15479" s="7">
        <v>19683</v>
      </c>
      <c r="I15479" s="8" t="str">
        <f ca="1">IFERROR(__xludf.DUMMYFUNCTION("IF
(
G15480=""фізична особа""
,
VLOOKUP(H15480,IMPORTRANGE(""https://docs.google.com/spreadsheets/d/14Bd19lYaqBhU8_DElYkX7l4wRkHqqCUFNJY4AfY3kHU/edit?usp=sharing  #gid=0"",""фіз особи new!relations_name""),6,FALSE)
,
(IF
(
G15480=""юридична особа""
,
VLOO"&amp;"KUP(H15480,IMPORTRANGE(""https://docs.google.com/spreadsheets/d/14Bd19lYaqBhU8_DElYkX7l4wRkHqqCUFNJY4AfY3kHU/edit?usp=sharing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479" s="7" t="s">
        <v>23</v>
      </c>
    </row>
    <row r="15480" spans="1:10" ht="13.2">
      <c r="A15480" s="7">
        <v>15479</v>
      </c>
      <c r="B15480" s="7">
        <v>1</v>
      </c>
      <c r="C15480" s="7" t="s">
        <v>10</v>
      </c>
      <c r="D15480" s="7">
        <v>19682</v>
      </c>
      <c r="E15480" s="7" t="s">
        <v>23</v>
      </c>
      <c r="F15480" s="8" t="str">
        <f ca="1">IFERROR(__xludf.DUMMYFUNCTION("IF
(
C15481=""фізична особа""
,
VLOOKUP(D15481,IMPORTRANGE(""https://docs.google.com/spreadsheets/d/14Bd19lYaqBhU8_DElYkX7l4wRkHqqCUFNJY4AfY3kHU/edit?usp=sharing  #gid=0"",""фіз особи new!relations_name""),6,FALSE)
,
(IF
(
C15481=""юридична особа""
,
VLOO"&amp;"KUP(D15481,IMPORTRANGE(""https://docs.google.com/spreadsheets/d/14Bd19lYaqBhU8_DElYkX7l4wRkHqqCUFNJY4AfY3kHU/edit?usp=sharing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0" s="7" t="s">
        <v>10</v>
      </c>
      <c r="H15480" s="7">
        <v>19684</v>
      </c>
      <c r="I15480" s="8" t="str">
        <f ca="1">IFERROR(__xludf.DUMMYFUNCTION("IF
(
G15481=""фізична особа""
,
VLOOKUP(H15481,IMPORTRANGE(""https://docs.google.com/spreadsheets/d/14Bd19lYaqBhU8_DElYkX7l4wRkHqqCUFNJY4AfY3kHU/edit?usp=sharing  #gid=0"",""фіз особи new!relations_name""),6,FALSE)
,
(IF
(
G15481=""юридична особа""
,
VLOO"&amp;"KUP(H15481,IMPORTRANGE(""https://docs.google.com/spreadsheets/d/14Bd19lYaqBhU8_DElYkX7l4wRkHqqCUFNJY4AfY3kHU/edit?usp=sharing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480" s="7" t="s">
        <v>23</v>
      </c>
    </row>
    <row r="15481" spans="1:10" ht="13.2">
      <c r="A15481" s="7">
        <v>15480</v>
      </c>
      <c r="B15481" s="7">
        <v>1</v>
      </c>
      <c r="C15481" s="7" t="s">
        <v>10</v>
      </c>
      <c r="D15481" s="7">
        <v>19682</v>
      </c>
      <c r="E15481" s="7" t="s">
        <v>23</v>
      </c>
      <c r="F15481" s="8" t="str">
        <f ca="1">IFERROR(__xludf.DUMMYFUNCTION("IF
(
C15482=""фізична особа""
,
VLOOKUP(D15482,IMPORTRANGE(""https://docs.google.com/spreadsheets/d/14Bd19lYaqBhU8_DElYkX7l4wRkHqqCUFNJY4AfY3kHU/edit?usp=sharing  #gid=0"",""фіз особи new!relations_name""),6,FALSE)
,
(IF
(
C15482=""юридична особа""
,
VLOO"&amp;"KUP(D15482,IMPORTRANGE(""https://docs.google.com/spreadsheets/d/14Bd19lYaqBhU8_DElYkX7l4wRkHqqCUFNJY4AfY3kHU/edit?usp=sharing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1" s="7" t="s">
        <v>10</v>
      </c>
      <c r="H15481" s="7">
        <v>19685</v>
      </c>
      <c r="I15481" s="8" t="str">
        <f ca="1">IFERROR(__xludf.DUMMYFUNCTION("IF
(
G15482=""фізична особа""
,
VLOOKUP(H15482,IMPORTRANGE(""https://docs.google.com/spreadsheets/d/14Bd19lYaqBhU8_DElYkX7l4wRkHqqCUFNJY4AfY3kHU/edit?usp=sharing  #gid=0"",""фіз особи new!relations_name""),6,FALSE)
,
(IF
(
G15482=""юридична особа""
,
VLOO"&amp;"KUP(H15482,IMPORTRANGE(""https://docs.google.com/spreadsheets/d/14Bd19lYaqBhU8_DElYkX7l4wRkHqqCUFNJY4AfY3kHU/edit?usp=sharing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481" s="7" t="s">
        <v>23</v>
      </c>
    </row>
    <row r="15482" spans="1:10" ht="13.2">
      <c r="A15482" s="7">
        <v>15481</v>
      </c>
      <c r="B15482" s="7">
        <v>1</v>
      </c>
      <c r="C15482" s="7" t="s">
        <v>10</v>
      </c>
      <c r="D15482" s="7">
        <v>19682</v>
      </c>
      <c r="E15482" s="7" t="s">
        <v>23</v>
      </c>
      <c r="F15482" s="8" t="str">
        <f ca="1">IFERROR(__xludf.DUMMYFUNCTION("IF
(
C15483=""фізична особа""
,
VLOOKUP(D15483,IMPORTRANGE(""https://docs.google.com/spreadsheets/d/14Bd19lYaqBhU8_DElYkX7l4wRkHqqCUFNJY4AfY3kHU/edit?usp=sharing  #gid=0"",""фіз особи new!relations_name""),6,FALSE)
,
(IF
(
C15483=""юридична особа""
,
VLOO"&amp;"KUP(D15483,IMPORTRANGE(""https://docs.google.com/spreadsheets/d/14Bd19lYaqBhU8_DElYkX7l4wRkHqqCUFNJY4AfY3kHU/edit?usp=sharing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2" s="7" t="s">
        <v>10</v>
      </c>
      <c r="H15482" s="7">
        <v>19686</v>
      </c>
      <c r="I15482" s="8" t="str">
        <f ca="1">IFERROR(__xludf.DUMMYFUNCTION("IF
(
G15483=""фізична особа""
,
VLOOKUP(H15483,IMPORTRANGE(""https://docs.google.com/spreadsheets/d/14Bd19lYaqBhU8_DElYkX7l4wRkHqqCUFNJY4AfY3kHU/edit?usp=sharing  #gid=0"",""фіз особи new!relations_name""),6,FALSE)
,
(IF
(
G15483=""юридична особа""
,
VLOO"&amp;"KUP(H15483,IMPORTRANGE(""https://docs.google.com/spreadsheets/d/14Bd19lYaqBhU8_DElYkX7l4wRkHqqCUFNJY4AfY3kHU/edit?usp=sharing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482" s="7" t="s">
        <v>23</v>
      </c>
    </row>
    <row r="15483" spans="1:10" ht="13.2">
      <c r="A15483" s="7">
        <v>15482</v>
      </c>
      <c r="B15483" s="7">
        <v>1</v>
      </c>
      <c r="C15483" s="7" t="s">
        <v>10</v>
      </c>
      <c r="D15483" s="7">
        <v>19682</v>
      </c>
      <c r="E15483" s="7" t="s">
        <v>23</v>
      </c>
      <c r="F15483" s="8" t="str">
        <f ca="1">IFERROR(__xludf.DUMMYFUNCTION("IF
(
C15484=""фізична особа""
,
VLOOKUP(D15484,IMPORTRANGE(""https://docs.google.com/spreadsheets/d/14Bd19lYaqBhU8_DElYkX7l4wRkHqqCUFNJY4AfY3kHU/edit?usp=sharing  #gid=0"",""фіз особи new!relations_name""),6,FALSE)
,
(IF
(
C15484=""юридична особа""
,
VLOO"&amp;"KUP(D15484,IMPORTRANGE(""https://docs.google.com/spreadsheets/d/14Bd19lYaqBhU8_DElYkX7l4wRkHqqCUFNJY4AfY3kHU/edit?usp=sharing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3" s="7" t="s">
        <v>10</v>
      </c>
      <c r="H15483" s="7">
        <v>19687</v>
      </c>
      <c r="I15483" s="8" t="str">
        <f ca="1">IFERROR(__xludf.DUMMYFUNCTION("IF
(
G15484=""фізична особа""
,
VLOOKUP(H15484,IMPORTRANGE(""https://docs.google.com/spreadsheets/d/14Bd19lYaqBhU8_DElYkX7l4wRkHqqCUFNJY4AfY3kHU/edit?usp=sharing  #gid=0"",""фіз особи new!relations_name""),6,FALSE)
,
(IF
(
G15484=""юридична особа""
,
VLOO"&amp;"KUP(H15484,IMPORTRANGE(""https://docs.google.com/spreadsheets/d/14Bd19lYaqBhU8_DElYkX7l4wRkHqqCUFNJY4AfY3kHU/edit?usp=sharing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483" s="7" t="s">
        <v>23</v>
      </c>
    </row>
    <row r="15484" spans="1:10" ht="13.2">
      <c r="A15484" s="7">
        <v>15483</v>
      </c>
      <c r="B15484" s="7">
        <v>1</v>
      </c>
      <c r="C15484" s="7" t="s">
        <v>10</v>
      </c>
      <c r="D15484" s="7">
        <v>19682</v>
      </c>
      <c r="E15484" s="7" t="s">
        <v>23</v>
      </c>
      <c r="F15484" s="8" t="str">
        <f ca="1">IFERROR(__xludf.DUMMYFUNCTION("IF
(
C15485=""фізична особа""
,
VLOOKUP(D15485,IMPORTRANGE(""https://docs.google.com/spreadsheets/d/14Bd19lYaqBhU8_DElYkX7l4wRkHqqCUFNJY4AfY3kHU/edit?usp=sharing  #gid=0"",""фіз особи new!relations_name""),6,FALSE)
,
(IF
(
C15485=""юридична особа""
,
VLOO"&amp;"KUP(D15485,IMPORTRANGE(""https://docs.google.com/spreadsheets/d/14Bd19lYaqBhU8_DElYkX7l4wRkHqqCUFNJY4AfY3kHU/edit?usp=sharing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4" s="7" t="s">
        <v>10</v>
      </c>
      <c r="H15484" s="7">
        <v>19688</v>
      </c>
      <c r="I15484" s="8" t="str">
        <f ca="1">IFERROR(__xludf.DUMMYFUNCTION("IF
(
G15485=""фізична особа""
,
VLOOKUP(H15485,IMPORTRANGE(""https://docs.google.com/spreadsheets/d/14Bd19lYaqBhU8_DElYkX7l4wRkHqqCUFNJY4AfY3kHU/edit?usp=sharing  #gid=0"",""фіз особи new!relations_name""),6,FALSE)
,
(IF
(
G15485=""юридична особа""
,
VLOO"&amp;"KUP(H15485,IMPORTRANGE(""https://docs.google.com/spreadsheets/d/14Bd19lYaqBhU8_DElYkX7l4wRkHqqCUFNJY4AfY3kHU/edit?usp=sharing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484" s="7" t="s">
        <v>23</v>
      </c>
    </row>
    <row r="15485" spans="1:10" ht="13.2">
      <c r="A15485" s="7">
        <v>15484</v>
      </c>
      <c r="B15485" s="7">
        <v>1</v>
      </c>
      <c r="C15485" s="7" t="s">
        <v>10</v>
      </c>
      <c r="D15485" s="7">
        <v>19682</v>
      </c>
      <c r="E15485" s="7" t="s">
        <v>23</v>
      </c>
      <c r="F15485" s="8" t="str">
        <f ca="1">IFERROR(__xludf.DUMMYFUNCTION("IF
(
C15486=""фізична особа""
,
VLOOKUP(D15486,IMPORTRANGE(""https://docs.google.com/spreadsheets/d/14Bd19lYaqBhU8_DElYkX7l4wRkHqqCUFNJY4AfY3kHU/edit?usp=sharing  #gid=0"",""фіз особи new!relations_name""),6,FALSE)
,
(IF
(
C15486=""юридична особа""
,
VLOO"&amp;"KUP(D15486,IMPORTRANGE(""https://docs.google.com/spreadsheets/d/14Bd19lYaqBhU8_DElYkX7l4wRkHqqCUFNJY4AfY3kHU/edit?usp=sharing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G15485" s="7" t="s">
        <v>10</v>
      </c>
      <c r="H15485" s="7">
        <v>19689</v>
      </c>
      <c r="I15485" s="8" t="str">
        <f ca="1">IFERROR(__xludf.DUMMYFUNCTION("IF
(
G15486=""фізична особа""
,
VLOOKUP(H15486,IMPORTRANGE(""https://docs.google.com/spreadsheets/d/14Bd19lYaqBhU8_DElYkX7l4wRkHqqCUFNJY4AfY3kHU/edit?usp=sharing  #gid=0"",""фіз особи new!relations_name""),6,FALSE)
,
(IF
(
G15486=""юридична особа""
,
VLOO"&amp;"KUP(H15486,IMPORTRANGE(""https://docs.google.com/spreadsheets/d/14Bd19lYaqBhU8_DElYkX7l4wRkHqqCUFNJY4AfY3kHU/edit?usp=sharing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485" s="7" t="s">
        <v>23</v>
      </c>
    </row>
    <row r="15486" spans="1:10" ht="13.2">
      <c r="A15486" s="7">
        <v>15485</v>
      </c>
      <c r="B15486" s="7">
        <v>1</v>
      </c>
      <c r="C15486" s="7" t="s">
        <v>10</v>
      </c>
      <c r="D15486" s="7">
        <v>19683</v>
      </c>
      <c r="E15486" s="7" t="s">
        <v>23</v>
      </c>
      <c r="F15486" s="8" t="str">
        <f ca="1">IFERROR(__xludf.DUMMYFUNCTION("IF
(
C15487=""фізична особа""
,
VLOOKUP(D15487,IMPORTRANGE(""https://docs.google.com/spreadsheets/d/14Bd19lYaqBhU8_DElYkX7l4wRkHqqCUFNJY4AfY3kHU/edit?usp=sharing  #gid=0"",""фіз особи new!relations_name""),6,FALSE)
,
(IF
(
C15487=""юридична особа""
,
VLOO"&amp;"KUP(D15487,IMPORTRANGE(""https://docs.google.com/spreadsheets/d/14Bd19lYaqBhU8_DElYkX7l4wRkHqqCUFNJY4AfY3kHU/edit?usp=sharing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86" s="7" t="s">
        <v>10</v>
      </c>
      <c r="H15486" s="7">
        <v>19681</v>
      </c>
      <c r="I15486" s="8" t="str">
        <f ca="1">IFERROR(__xludf.DUMMYFUNCTION("IF
(
G15487=""фізична особа""
,
VLOOKUP(H15487,IMPORTRANGE(""https://docs.google.com/spreadsheets/d/14Bd19lYaqBhU8_DElYkX7l4wRkHqqCUFNJY4AfY3kHU/edit?usp=sharing  #gid=0"",""фіз особи new!relations_name""),6,FALSE)
,
(IF
(
G15487=""юридична особа""
,
VLOO"&amp;"KUP(H15487,IMPORTRANGE(""https://docs.google.com/spreadsheets/d/14Bd19lYaqBhU8_DElYkX7l4wRkHqqCUFNJY4AfY3kHU/edit?usp=sharing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486" s="7" t="s">
        <v>23</v>
      </c>
    </row>
    <row r="15487" spans="1:10" ht="13.2">
      <c r="A15487" s="7">
        <v>15486</v>
      </c>
      <c r="B15487" s="7">
        <v>1</v>
      </c>
      <c r="C15487" s="7" t="s">
        <v>10</v>
      </c>
      <c r="D15487" s="7">
        <v>19683</v>
      </c>
      <c r="E15487" s="7" t="s">
        <v>23</v>
      </c>
      <c r="F15487" s="8" t="str">
        <f ca="1">IFERROR(__xludf.DUMMYFUNCTION("IF
(
C15488=""фізична особа""
,
VLOOKUP(D15488,IMPORTRANGE(""https://docs.google.com/spreadsheets/d/14Bd19lYaqBhU8_DElYkX7l4wRkHqqCUFNJY4AfY3kHU/edit?usp=sharing  #gid=0"",""фіз особи new!relations_name""),6,FALSE)
,
(IF
(
C15488=""юридична особа""
,
VLOO"&amp;"KUP(D15488,IMPORTRANGE(""https://docs.google.com/spreadsheets/d/14Bd19lYaqBhU8_DElYkX7l4wRkHqqCUFNJY4AfY3kHU/edit?usp=sharing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87" s="7" t="s">
        <v>10</v>
      </c>
      <c r="H15487" s="7">
        <v>19682</v>
      </c>
      <c r="I15487" s="8" t="str">
        <f ca="1">IFERROR(__xludf.DUMMYFUNCTION("IF
(
G15488=""фізична особа""
,
VLOOKUP(H15488,IMPORTRANGE(""https://docs.google.com/spreadsheets/d/14Bd19lYaqBhU8_DElYkX7l4wRkHqqCUFNJY4AfY3kHU/edit?usp=sharing  #gid=0"",""фіз особи new!relations_name""),6,FALSE)
,
(IF
(
G15488=""юридична особа""
,
VLOO"&amp;"KUP(H15488,IMPORTRANGE(""https://docs.google.com/spreadsheets/d/14Bd19lYaqBhU8_DElYkX7l4wRkHqqCUFNJY4AfY3kHU/edit?usp=sharing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487" s="7" t="s">
        <v>23</v>
      </c>
    </row>
    <row r="15488" spans="1:10" ht="13.2">
      <c r="A15488" s="7">
        <v>15487</v>
      </c>
      <c r="B15488" s="7">
        <v>1</v>
      </c>
      <c r="C15488" s="7" t="s">
        <v>10</v>
      </c>
      <c r="D15488" s="7">
        <v>19683</v>
      </c>
      <c r="E15488" s="7" t="s">
        <v>23</v>
      </c>
      <c r="F15488" s="8" t="str">
        <f ca="1">IFERROR(__xludf.DUMMYFUNCTION("IF
(
C15489=""фізична особа""
,
VLOOKUP(D15489,IMPORTRANGE(""https://docs.google.com/spreadsheets/d/14Bd19lYaqBhU8_DElYkX7l4wRkHqqCUFNJY4AfY3kHU/edit?usp=sharing  #gid=0"",""фіз особи new!relations_name""),6,FALSE)
,
(IF
(
C15489=""юридична особа""
,
VLOO"&amp;"KUP(D15489,IMPORTRANGE(""https://docs.google.com/spreadsheets/d/14Bd19lYaqBhU8_DElYkX7l4wRkHqqCUFNJY4AfY3kHU/edit?usp=sharing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88" s="7" t="s">
        <v>10</v>
      </c>
      <c r="H15488" s="7">
        <v>19684</v>
      </c>
      <c r="I15488" s="8" t="str">
        <f ca="1">IFERROR(__xludf.DUMMYFUNCTION("IF
(
G15489=""фізична особа""
,
VLOOKUP(H15489,IMPORTRANGE(""https://docs.google.com/spreadsheets/d/14Bd19lYaqBhU8_DElYkX7l4wRkHqqCUFNJY4AfY3kHU/edit?usp=sharing  #gid=0"",""фіз особи new!relations_name""),6,FALSE)
,
(IF
(
G15489=""юридична особа""
,
VLOO"&amp;"KUP(H15489,IMPORTRANGE(""https://docs.google.com/spreadsheets/d/14Bd19lYaqBhU8_DElYkX7l4wRkHqqCUFNJY4AfY3kHU/edit?usp=sharing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488" s="7" t="s">
        <v>23</v>
      </c>
    </row>
    <row r="15489" spans="1:10" ht="13.2">
      <c r="A15489" s="7">
        <v>15488</v>
      </c>
      <c r="B15489" s="7">
        <v>1</v>
      </c>
      <c r="C15489" s="7" t="s">
        <v>10</v>
      </c>
      <c r="D15489" s="7">
        <v>19683</v>
      </c>
      <c r="E15489" s="7" t="s">
        <v>23</v>
      </c>
      <c r="F15489" s="8" t="str">
        <f ca="1">IFERROR(__xludf.DUMMYFUNCTION("IF
(
C15490=""фізична особа""
,
VLOOKUP(D15490,IMPORTRANGE(""https://docs.google.com/spreadsheets/d/14Bd19lYaqBhU8_DElYkX7l4wRkHqqCUFNJY4AfY3kHU/edit?usp=sharing  #gid=0"",""фіз особи new!relations_name""),6,FALSE)
,
(IF
(
C15490=""юридична особа""
,
VLOO"&amp;"KUP(D15490,IMPORTRANGE(""https://docs.google.com/spreadsheets/d/14Bd19lYaqBhU8_DElYkX7l4wRkHqqCUFNJY4AfY3kHU/edit?usp=sharing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89" s="7" t="s">
        <v>10</v>
      </c>
      <c r="H15489" s="7">
        <v>19685</v>
      </c>
      <c r="I15489" s="8" t="str">
        <f ca="1">IFERROR(__xludf.DUMMYFUNCTION("IF
(
G15490=""фізична особа""
,
VLOOKUP(H15490,IMPORTRANGE(""https://docs.google.com/spreadsheets/d/14Bd19lYaqBhU8_DElYkX7l4wRkHqqCUFNJY4AfY3kHU/edit?usp=sharing  #gid=0"",""фіз особи new!relations_name""),6,FALSE)
,
(IF
(
G15490=""юридична особа""
,
VLOO"&amp;"KUP(H15490,IMPORTRANGE(""https://docs.google.com/spreadsheets/d/14Bd19lYaqBhU8_DElYkX7l4wRkHqqCUFNJY4AfY3kHU/edit?usp=sharing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489" s="7" t="s">
        <v>23</v>
      </c>
    </row>
    <row r="15490" spans="1:10" ht="13.2">
      <c r="A15490" s="7">
        <v>15489</v>
      </c>
      <c r="B15490" s="7">
        <v>1</v>
      </c>
      <c r="C15490" s="7" t="s">
        <v>10</v>
      </c>
      <c r="D15490" s="7">
        <v>19683</v>
      </c>
      <c r="E15490" s="7" t="s">
        <v>23</v>
      </c>
      <c r="F15490" s="8" t="str">
        <f ca="1">IFERROR(__xludf.DUMMYFUNCTION("IF
(
C15491=""фізична особа""
,
VLOOKUP(D15491,IMPORTRANGE(""https://docs.google.com/spreadsheets/d/14Bd19lYaqBhU8_DElYkX7l4wRkHqqCUFNJY4AfY3kHU/edit?usp=sharing  #gid=0"",""фіз особи new!relations_name""),6,FALSE)
,
(IF
(
C15491=""юридична особа""
,
VLOO"&amp;"KUP(D15491,IMPORTRANGE(""https://docs.google.com/spreadsheets/d/14Bd19lYaqBhU8_DElYkX7l4wRkHqqCUFNJY4AfY3kHU/edit?usp=sharing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90" s="7" t="s">
        <v>10</v>
      </c>
      <c r="H15490" s="7">
        <v>19686</v>
      </c>
      <c r="I15490" s="8" t="str">
        <f ca="1">IFERROR(__xludf.DUMMYFUNCTION("IF
(
G15491=""фізична особа""
,
VLOOKUP(H15491,IMPORTRANGE(""https://docs.google.com/spreadsheets/d/14Bd19lYaqBhU8_DElYkX7l4wRkHqqCUFNJY4AfY3kHU/edit?usp=sharing  #gid=0"",""фіз особи new!relations_name""),6,FALSE)
,
(IF
(
G15491=""юридична особа""
,
VLOO"&amp;"KUP(H15491,IMPORTRANGE(""https://docs.google.com/spreadsheets/d/14Bd19lYaqBhU8_DElYkX7l4wRkHqqCUFNJY4AfY3kHU/edit?usp=sharing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490" s="7" t="s">
        <v>23</v>
      </c>
    </row>
    <row r="15491" spans="1:10" ht="13.2">
      <c r="A15491" s="7">
        <v>15490</v>
      </c>
      <c r="B15491" s="7">
        <v>1</v>
      </c>
      <c r="C15491" s="7" t="s">
        <v>10</v>
      </c>
      <c r="D15491" s="7">
        <v>19683</v>
      </c>
      <c r="E15491" s="7" t="s">
        <v>23</v>
      </c>
      <c r="F15491" s="8" t="str">
        <f ca="1">IFERROR(__xludf.DUMMYFUNCTION("IF
(
C15492=""фізична особа""
,
VLOOKUP(D15492,IMPORTRANGE(""https://docs.google.com/spreadsheets/d/14Bd19lYaqBhU8_DElYkX7l4wRkHqqCUFNJY4AfY3kHU/edit?usp=sharing  #gid=0"",""фіз особи new!relations_name""),6,FALSE)
,
(IF
(
C15492=""юридична особа""
,
VLOO"&amp;"KUP(D15492,IMPORTRANGE(""https://docs.google.com/spreadsheets/d/14Bd19lYaqBhU8_DElYkX7l4wRkHqqCUFNJY4AfY3kHU/edit?usp=sharing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91" s="7" t="s">
        <v>10</v>
      </c>
      <c r="H15491" s="7">
        <v>19687</v>
      </c>
      <c r="I15491" s="8" t="str">
        <f ca="1">IFERROR(__xludf.DUMMYFUNCTION("IF
(
G15492=""фізична особа""
,
VLOOKUP(H15492,IMPORTRANGE(""https://docs.google.com/spreadsheets/d/14Bd19lYaqBhU8_DElYkX7l4wRkHqqCUFNJY4AfY3kHU/edit?usp=sharing  #gid=0"",""фіз особи new!relations_name""),6,FALSE)
,
(IF
(
G15492=""юридична особа""
,
VLOO"&amp;"KUP(H15492,IMPORTRANGE(""https://docs.google.com/spreadsheets/d/14Bd19lYaqBhU8_DElYkX7l4wRkHqqCUFNJY4AfY3kHU/edit?usp=sharing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491" s="7" t="s">
        <v>23</v>
      </c>
    </row>
    <row r="15492" spans="1:10" ht="13.2">
      <c r="A15492" s="7">
        <v>15491</v>
      </c>
      <c r="B15492" s="7">
        <v>1</v>
      </c>
      <c r="C15492" s="7" t="s">
        <v>10</v>
      </c>
      <c r="D15492" s="7">
        <v>19683</v>
      </c>
      <c r="E15492" s="7" t="s">
        <v>23</v>
      </c>
      <c r="F15492" s="8" t="str">
        <f ca="1">IFERROR(__xludf.DUMMYFUNCTION("IF
(
C15493=""фізична особа""
,
VLOOKUP(D15493,IMPORTRANGE(""https://docs.google.com/spreadsheets/d/14Bd19lYaqBhU8_DElYkX7l4wRkHqqCUFNJY4AfY3kHU/edit?usp=sharing  #gid=0"",""фіз особи new!relations_name""),6,FALSE)
,
(IF
(
C15493=""юридична особа""
,
VLOO"&amp;"KUP(D15493,IMPORTRANGE(""https://docs.google.com/spreadsheets/d/14Bd19lYaqBhU8_DElYkX7l4wRkHqqCUFNJY4AfY3kHU/edit?usp=sharing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92" s="7" t="s">
        <v>10</v>
      </c>
      <c r="H15492" s="7">
        <v>19688</v>
      </c>
      <c r="I15492" s="8" t="str">
        <f ca="1">IFERROR(__xludf.DUMMYFUNCTION("IF
(
G15493=""фізична особа""
,
VLOOKUP(H15493,IMPORTRANGE(""https://docs.google.com/spreadsheets/d/14Bd19lYaqBhU8_DElYkX7l4wRkHqqCUFNJY4AfY3kHU/edit?usp=sharing  #gid=0"",""фіз особи new!relations_name""),6,FALSE)
,
(IF
(
G15493=""юридична особа""
,
VLOO"&amp;"KUP(H15493,IMPORTRANGE(""https://docs.google.com/spreadsheets/d/14Bd19lYaqBhU8_DElYkX7l4wRkHqqCUFNJY4AfY3kHU/edit?usp=sharing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492" s="7" t="s">
        <v>23</v>
      </c>
    </row>
    <row r="15493" spans="1:10" ht="13.2">
      <c r="A15493" s="7">
        <v>15492</v>
      </c>
      <c r="B15493" s="7">
        <v>1</v>
      </c>
      <c r="C15493" s="7" t="s">
        <v>10</v>
      </c>
      <c r="D15493" s="7">
        <v>19683</v>
      </c>
      <c r="E15493" s="7" t="s">
        <v>23</v>
      </c>
      <c r="F15493" s="8" t="str">
        <f ca="1">IFERROR(__xludf.DUMMYFUNCTION("IF
(
C15494=""фізична особа""
,
VLOOKUP(D15494,IMPORTRANGE(""https://docs.google.com/spreadsheets/d/14Bd19lYaqBhU8_DElYkX7l4wRkHqqCUFNJY4AfY3kHU/edit?usp=sharing  #gid=0"",""фіз особи new!relations_name""),6,FALSE)
,
(IF
(
C15494=""юридична особа""
,
VLOO"&amp;"KUP(D15494,IMPORTRANGE(""https://docs.google.com/spreadsheets/d/14Bd19lYaqBhU8_DElYkX7l4wRkHqqCUFNJY4AfY3kHU/edit?usp=sharing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G15493" s="7" t="s">
        <v>10</v>
      </c>
      <c r="H15493" s="7">
        <v>19689</v>
      </c>
      <c r="I15493" s="8" t="str">
        <f ca="1">IFERROR(__xludf.DUMMYFUNCTION("IF
(
G15494=""фізична особа""
,
VLOOKUP(H15494,IMPORTRANGE(""https://docs.google.com/spreadsheets/d/14Bd19lYaqBhU8_DElYkX7l4wRkHqqCUFNJY4AfY3kHU/edit?usp=sharing  #gid=0"",""фіз особи new!relations_name""),6,FALSE)
,
(IF
(
G15494=""юридична особа""
,
VLOO"&amp;"KUP(H15494,IMPORTRANGE(""https://docs.google.com/spreadsheets/d/14Bd19lYaqBhU8_DElYkX7l4wRkHqqCUFNJY4AfY3kHU/edit?usp=sharing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493" s="7" t="s">
        <v>23</v>
      </c>
    </row>
    <row r="15494" spans="1:10" ht="13.2">
      <c r="A15494" s="7">
        <v>15493</v>
      </c>
      <c r="B15494" s="7">
        <v>1</v>
      </c>
      <c r="C15494" s="7" t="s">
        <v>10</v>
      </c>
      <c r="D15494" s="7">
        <v>19684</v>
      </c>
      <c r="E15494" s="7" t="s">
        <v>23</v>
      </c>
      <c r="F15494" s="8" t="str">
        <f ca="1">IFERROR(__xludf.DUMMYFUNCTION("IF
(
C15495=""фізична особа""
,
VLOOKUP(D15495,IMPORTRANGE(""https://docs.google.com/spreadsheets/d/14Bd19lYaqBhU8_DElYkX7l4wRkHqqCUFNJY4AfY3kHU/edit?usp=sharing  #gid=0"",""фіз особи new!relations_name""),6,FALSE)
,
(IF
(
C15495=""юридична особа""
,
VLOO"&amp;"KUP(D15495,IMPORTRANGE(""https://docs.google.com/spreadsheets/d/14Bd19lYaqBhU8_DElYkX7l4wRkHqqCUFNJY4AfY3kHU/edit?usp=sharing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4" s="7" t="s">
        <v>10</v>
      </c>
      <c r="H15494" s="7">
        <v>19681</v>
      </c>
      <c r="I15494" s="8" t="str">
        <f ca="1">IFERROR(__xludf.DUMMYFUNCTION("IF
(
G15495=""фізична особа""
,
VLOOKUP(H15495,IMPORTRANGE(""https://docs.google.com/spreadsheets/d/14Bd19lYaqBhU8_DElYkX7l4wRkHqqCUFNJY4AfY3kHU/edit?usp=sharing  #gid=0"",""фіз особи new!relations_name""),6,FALSE)
,
(IF
(
G15495=""юридична особа""
,
VLOO"&amp;"KUP(H15495,IMPORTRANGE(""https://docs.google.com/spreadsheets/d/14Bd19lYaqBhU8_DElYkX7l4wRkHqqCUFNJY4AfY3kHU/edit?usp=sharing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494" s="7" t="s">
        <v>23</v>
      </c>
    </row>
    <row r="15495" spans="1:10" ht="13.2">
      <c r="A15495" s="7">
        <v>15494</v>
      </c>
      <c r="B15495" s="7">
        <v>1</v>
      </c>
      <c r="C15495" s="7" t="s">
        <v>10</v>
      </c>
      <c r="D15495" s="7">
        <v>19684</v>
      </c>
      <c r="E15495" s="7" t="s">
        <v>23</v>
      </c>
      <c r="F15495" s="8" t="str">
        <f ca="1">IFERROR(__xludf.DUMMYFUNCTION("IF
(
C15496=""фізична особа""
,
VLOOKUP(D15496,IMPORTRANGE(""https://docs.google.com/spreadsheets/d/14Bd19lYaqBhU8_DElYkX7l4wRkHqqCUFNJY4AfY3kHU/edit?usp=sharing  #gid=0"",""фіз особи new!relations_name""),6,FALSE)
,
(IF
(
C15496=""юридична особа""
,
VLOO"&amp;"KUP(D15496,IMPORTRANGE(""https://docs.google.com/spreadsheets/d/14Bd19lYaqBhU8_DElYkX7l4wRkHqqCUFNJY4AfY3kHU/edit?usp=sharing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5" s="7" t="s">
        <v>10</v>
      </c>
      <c r="H15495" s="7">
        <v>19682</v>
      </c>
      <c r="I15495" s="8" t="str">
        <f ca="1">IFERROR(__xludf.DUMMYFUNCTION("IF
(
G15496=""фізична особа""
,
VLOOKUP(H15496,IMPORTRANGE(""https://docs.google.com/spreadsheets/d/14Bd19lYaqBhU8_DElYkX7l4wRkHqqCUFNJY4AfY3kHU/edit?usp=sharing  #gid=0"",""фіз особи new!relations_name""),6,FALSE)
,
(IF
(
G15496=""юридична особа""
,
VLOO"&amp;"KUP(H15496,IMPORTRANGE(""https://docs.google.com/spreadsheets/d/14Bd19lYaqBhU8_DElYkX7l4wRkHqqCUFNJY4AfY3kHU/edit?usp=sharing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495" s="7" t="s">
        <v>23</v>
      </c>
    </row>
    <row r="15496" spans="1:10" ht="13.2">
      <c r="A15496" s="7">
        <v>15495</v>
      </c>
      <c r="B15496" s="7">
        <v>1</v>
      </c>
      <c r="C15496" s="7" t="s">
        <v>10</v>
      </c>
      <c r="D15496" s="7">
        <v>19684</v>
      </c>
      <c r="E15496" s="7" t="s">
        <v>23</v>
      </c>
      <c r="F15496" s="8" t="str">
        <f ca="1">IFERROR(__xludf.DUMMYFUNCTION("IF
(
C15497=""фізична особа""
,
VLOOKUP(D15497,IMPORTRANGE(""https://docs.google.com/spreadsheets/d/14Bd19lYaqBhU8_DElYkX7l4wRkHqqCUFNJY4AfY3kHU/edit?usp=sharing  #gid=0"",""фіз особи new!relations_name""),6,FALSE)
,
(IF
(
C15497=""юридична особа""
,
VLOO"&amp;"KUP(D15497,IMPORTRANGE(""https://docs.google.com/spreadsheets/d/14Bd19lYaqBhU8_DElYkX7l4wRkHqqCUFNJY4AfY3kHU/edit?usp=sharing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6" s="7" t="s">
        <v>10</v>
      </c>
      <c r="H15496" s="7">
        <v>19683</v>
      </c>
      <c r="I15496" s="8" t="str">
        <f ca="1">IFERROR(__xludf.DUMMYFUNCTION("IF
(
G15497=""фізична особа""
,
VLOOKUP(H15497,IMPORTRANGE(""https://docs.google.com/spreadsheets/d/14Bd19lYaqBhU8_DElYkX7l4wRkHqqCUFNJY4AfY3kHU/edit?usp=sharing  #gid=0"",""фіз особи new!relations_name""),6,FALSE)
,
(IF
(
G15497=""юридична особа""
,
VLOO"&amp;"KUP(H15497,IMPORTRANGE(""https://docs.google.com/spreadsheets/d/14Bd19lYaqBhU8_DElYkX7l4wRkHqqCUFNJY4AfY3kHU/edit?usp=sharing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496" s="7" t="s">
        <v>23</v>
      </c>
    </row>
    <row r="15497" spans="1:10" ht="13.2">
      <c r="A15497" s="7">
        <v>15496</v>
      </c>
      <c r="B15497" s="7">
        <v>1</v>
      </c>
      <c r="C15497" s="7" t="s">
        <v>10</v>
      </c>
      <c r="D15497" s="7">
        <v>19684</v>
      </c>
      <c r="E15497" s="7" t="s">
        <v>23</v>
      </c>
      <c r="F15497" s="8" t="str">
        <f ca="1">IFERROR(__xludf.DUMMYFUNCTION("IF
(
C15498=""фізична особа""
,
VLOOKUP(D15498,IMPORTRANGE(""https://docs.google.com/spreadsheets/d/14Bd19lYaqBhU8_DElYkX7l4wRkHqqCUFNJY4AfY3kHU/edit?usp=sharing  #gid=0"",""фіз особи new!relations_name""),6,FALSE)
,
(IF
(
C15498=""юридична особа""
,
VLOO"&amp;"KUP(D15498,IMPORTRANGE(""https://docs.google.com/spreadsheets/d/14Bd19lYaqBhU8_DElYkX7l4wRkHqqCUFNJY4AfY3kHU/edit?usp=sharing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7" s="7" t="s">
        <v>10</v>
      </c>
      <c r="H15497" s="7">
        <v>19685</v>
      </c>
      <c r="I15497" s="8" t="str">
        <f ca="1">IFERROR(__xludf.DUMMYFUNCTION("IF
(
G15498=""фізична особа""
,
VLOOKUP(H15498,IMPORTRANGE(""https://docs.google.com/spreadsheets/d/14Bd19lYaqBhU8_DElYkX7l4wRkHqqCUFNJY4AfY3kHU/edit?usp=sharing  #gid=0"",""фіз особи new!relations_name""),6,FALSE)
,
(IF
(
G15498=""юридична особа""
,
VLOO"&amp;"KUP(H15498,IMPORTRANGE(""https://docs.google.com/spreadsheets/d/14Bd19lYaqBhU8_DElYkX7l4wRkHqqCUFNJY4AfY3kHU/edit?usp=sharing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497" s="7" t="s">
        <v>23</v>
      </c>
    </row>
    <row r="15498" spans="1:10" ht="13.2">
      <c r="A15498" s="7">
        <v>15497</v>
      </c>
      <c r="B15498" s="7">
        <v>1</v>
      </c>
      <c r="C15498" s="7" t="s">
        <v>10</v>
      </c>
      <c r="D15498" s="7">
        <v>19684</v>
      </c>
      <c r="E15498" s="7" t="s">
        <v>23</v>
      </c>
      <c r="F15498" s="8" t="str">
        <f ca="1">IFERROR(__xludf.DUMMYFUNCTION("IF
(
C15499=""фізична особа""
,
VLOOKUP(D15499,IMPORTRANGE(""https://docs.google.com/spreadsheets/d/14Bd19lYaqBhU8_DElYkX7l4wRkHqqCUFNJY4AfY3kHU/edit?usp=sharing  #gid=0"",""фіз особи new!relations_name""),6,FALSE)
,
(IF
(
C15499=""юридична особа""
,
VLOO"&amp;"KUP(D15499,IMPORTRANGE(""https://docs.google.com/spreadsheets/d/14Bd19lYaqBhU8_DElYkX7l4wRkHqqCUFNJY4AfY3kHU/edit?usp=sharing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8" s="7" t="s">
        <v>10</v>
      </c>
      <c r="H15498" s="7">
        <v>19686</v>
      </c>
      <c r="I15498" s="8" t="str">
        <f ca="1">IFERROR(__xludf.DUMMYFUNCTION("IF
(
G15499=""фізична особа""
,
VLOOKUP(H15499,IMPORTRANGE(""https://docs.google.com/spreadsheets/d/14Bd19lYaqBhU8_DElYkX7l4wRkHqqCUFNJY4AfY3kHU/edit?usp=sharing  #gid=0"",""фіз особи new!relations_name""),6,FALSE)
,
(IF
(
G15499=""юридична особа""
,
VLOO"&amp;"KUP(H15499,IMPORTRANGE(""https://docs.google.com/spreadsheets/d/14Bd19lYaqBhU8_DElYkX7l4wRkHqqCUFNJY4AfY3kHU/edit?usp=sharing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498" s="7" t="s">
        <v>23</v>
      </c>
    </row>
    <row r="15499" spans="1:10" ht="13.2">
      <c r="A15499" s="7">
        <v>15498</v>
      </c>
      <c r="B15499" s="7">
        <v>1</v>
      </c>
      <c r="C15499" s="7" t="s">
        <v>10</v>
      </c>
      <c r="D15499" s="7">
        <v>19684</v>
      </c>
      <c r="E15499" s="7" t="s">
        <v>23</v>
      </c>
      <c r="F15499" s="8" t="str">
        <f ca="1">IFERROR(__xludf.DUMMYFUNCTION("IF
(
C15500=""фізична особа""
,
VLOOKUP(D15500,IMPORTRANGE(""https://docs.google.com/spreadsheets/d/14Bd19lYaqBhU8_DElYkX7l4wRkHqqCUFNJY4AfY3kHU/edit?usp=sharing  #gid=0"",""фіз особи new!relations_name""),6,FALSE)
,
(IF
(
C15500=""юридична особа""
,
VLOO"&amp;"KUP(D15500,IMPORTRANGE(""https://docs.google.com/spreadsheets/d/14Bd19lYaqBhU8_DElYkX7l4wRkHqqCUFNJY4AfY3kHU/edit?usp=sharing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499" s="7" t="s">
        <v>10</v>
      </c>
      <c r="H15499" s="7">
        <v>19687</v>
      </c>
      <c r="I15499" s="8" t="str">
        <f ca="1">IFERROR(__xludf.DUMMYFUNCTION("IF
(
G15500=""фізична особа""
,
VLOOKUP(H15500,IMPORTRANGE(""https://docs.google.com/spreadsheets/d/14Bd19lYaqBhU8_DElYkX7l4wRkHqqCUFNJY4AfY3kHU/edit?usp=sharing  #gid=0"",""фіз особи new!relations_name""),6,FALSE)
,
(IF
(
G15500=""юридична особа""
,
VLOO"&amp;"KUP(H15500,IMPORTRANGE(""https://docs.google.com/spreadsheets/d/14Bd19lYaqBhU8_DElYkX7l4wRkHqqCUFNJY4AfY3kHU/edit?usp=sharing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499" s="7" t="s">
        <v>23</v>
      </c>
    </row>
    <row r="15500" spans="1:10" ht="13.2">
      <c r="A15500" s="7">
        <v>15499</v>
      </c>
      <c r="B15500" s="7">
        <v>1</v>
      </c>
      <c r="C15500" s="7" t="s">
        <v>10</v>
      </c>
      <c r="D15500" s="7">
        <v>19684</v>
      </c>
      <c r="E15500" s="7" t="s">
        <v>23</v>
      </c>
      <c r="F15500" s="8" t="str">
        <f ca="1">IFERROR(__xludf.DUMMYFUNCTION("IF
(
C15501=""фізична особа""
,
VLOOKUP(D15501,IMPORTRANGE(""https://docs.google.com/spreadsheets/d/14Bd19lYaqBhU8_DElYkX7l4wRkHqqCUFNJY4AfY3kHU/edit?usp=sharing  #gid=0"",""фіз особи new!relations_name""),6,FALSE)
,
(IF
(
C15501=""юридична особа""
,
VLOO"&amp;"KUP(D15501,IMPORTRANGE(""https://docs.google.com/spreadsheets/d/14Bd19lYaqBhU8_DElYkX7l4wRkHqqCUFNJY4AfY3kHU/edit?usp=sharing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500" s="7" t="s">
        <v>10</v>
      </c>
      <c r="H15500" s="7">
        <v>19688</v>
      </c>
      <c r="I15500" s="8" t="str">
        <f ca="1">IFERROR(__xludf.DUMMYFUNCTION("IF
(
G15501=""фізична особа""
,
VLOOKUP(H15501,IMPORTRANGE(""https://docs.google.com/spreadsheets/d/14Bd19lYaqBhU8_DElYkX7l4wRkHqqCUFNJY4AfY3kHU/edit?usp=sharing  #gid=0"",""фіз особи new!relations_name""),6,FALSE)
,
(IF
(
G15501=""юридична особа""
,
VLOO"&amp;"KUP(H15501,IMPORTRANGE(""https://docs.google.com/spreadsheets/d/14Bd19lYaqBhU8_DElYkX7l4wRkHqqCUFNJY4AfY3kHU/edit?usp=sharing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00" s="7" t="s">
        <v>23</v>
      </c>
    </row>
    <row r="15501" spans="1:10" ht="13.2">
      <c r="A15501" s="7">
        <v>15500</v>
      </c>
      <c r="B15501" s="7">
        <v>1</v>
      </c>
      <c r="C15501" s="7" t="s">
        <v>10</v>
      </c>
      <c r="D15501" s="7">
        <v>19684</v>
      </c>
      <c r="E15501" s="7" t="s">
        <v>23</v>
      </c>
      <c r="F15501" s="8" t="str">
        <f ca="1">IFERROR(__xludf.DUMMYFUNCTION("IF
(
C15502=""фізична особа""
,
VLOOKUP(D15502,IMPORTRANGE(""https://docs.google.com/spreadsheets/d/14Bd19lYaqBhU8_DElYkX7l4wRkHqqCUFNJY4AfY3kHU/edit?usp=sharing  #gid=0"",""фіз особи new!relations_name""),6,FALSE)
,
(IF
(
C15502=""юридична особа""
,
VLOO"&amp;"KUP(D15502,IMPORTRANGE(""https://docs.google.com/spreadsheets/d/14Bd19lYaqBhU8_DElYkX7l4wRkHqqCUFNJY4AfY3kHU/edit?usp=sharing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G15501" s="7" t="s">
        <v>10</v>
      </c>
      <c r="H15501" s="7">
        <v>19689</v>
      </c>
      <c r="I15501" s="8" t="str">
        <f ca="1">IFERROR(__xludf.DUMMYFUNCTION("IF
(
G15502=""фізична особа""
,
VLOOKUP(H15502,IMPORTRANGE(""https://docs.google.com/spreadsheets/d/14Bd19lYaqBhU8_DElYkX7l4wRkHqqCUFNJY4AfY3kHU/edit?usp=sharing  #gid=0"",""фіз особи new!relations_name""),6,FALSE)
,
(IF
(
G15502=""юридична особа""
,
VLOO"&amp;"KUP(H15502,IMPORTRANGE(""https://docs.google.com/spreadsheets/d/14Bd19lYaqBhU8_DElYkX7l4wRkHqqCUFNJY4AfY3kHU/edit?usp=sharing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501" s="7" t="s">
        <v>23</v>
      </c>
    </row>
    <row r="15502" spans="1:10" ht="13.2">
      <c r="A15502" s="7">
        <v>15501</v>
      </c>
      <c r="B15502" s="7">
        <v>1</v>
      </c>
      <c r="C15502" s="7" t="s">
        <v>10</v>
      </c>
      <c r="D15502" s="7">
        <v>19685</v>
      </c>
      <c r="E15502" s="7" t="s">
        <v>23</v>
      </c>
      <c r="F15502" s="8" t="str">
        <f ca="1">IFERROR(__xludf.DUMMYFUNCTION("IF
(
C15503=""фізична особа""
,
VLOOKUP(D15503,IMPORTRANGE(""https://docs.google.com/spreadsheets/d/14Bd19lYaqBhU8_DElYkX7l4wRkHqqCUFNJY4AfY3kHU/edit?usp=sharing  #gid=0"",""фіз особи new!relations_name""),6,FALSE)
,
(IF
(
C15503=""юридична особа""
,
VLOO"&amp;"KUP(D15503,IMPORTRANGE(""https://docs.google.com/spreadsheets/d/14Bd19lYaqBhU8_DElYkX7l4wRkHqqCUFNJY4AfY3kHU/edit?usp=sharing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2" s="7" t="s">
        <v>10</v>
      </c>
      <c r="H15502" s="7">
        <v>19681</v>
      </c>
      <c r="I15502" s="8" t="str">
        <f ca="1">IFERROR(__xludf.DUMMYFUNCTION("IF
(
G15503=""фізична особа""
,
VLOOKUP(H15503,IMPORTRANGE(""https://docs.google.com/spreadsheets/d/14Bd19lYaqBhU8_DElYkX7l4wRkHqqCUFNJY4AfY3kHU/edit?usp=sharing  #gid=0"",""фіз особи new!relations_name""),6,FALSE)
,
(IF
(
G15503=""юридична особа""
,
VLOO"&amp;"KUP(H15503,IMPORTRANGE(""https://docs.google.com/spreadsheets/d/14Bd19lYaqBhU8_DElYkX7l4wRkHqqCUFNJY4AfY3kHU/edit?usp=sharing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02" s="7" t="s">
        <v>23</v>
      </c>
    </row>
    <row r="15503" spans="1:10" ht="13.2">
      <c r="A15503" s="7">
        <v>15502</v>
      </c>
      <c r="B15503" s="7">
        <v>1</v>
      </c>
      <c r="C15503" s="7" t="s">
        <v>10</v>
      </c>
      <c r="D15503" s="7">
        <v>19685</v>
      </c>
      <c r="E15503" s="7" t="s">
        <v>23</v>
      </c>
      <c r="F15503" s="8" t="str">
        <f ca="1">IFERROR(__xludf.DUMMYFUNCTION("IF
(
C15504=""фізична особа""
,
VLOOKUP(D15504,IMPORTRANGE(""https://docs.google.com/spreadsheets/d/14Bd19lYaqBhU8_DElYkX7l4wRkHqqCUFNJY4AfY3kHU/edit?usp=sharing  #gid=0"",""фіз особи new!relations_name""),6,FALSE)
,
(IF
(
C15504=""юридична особа""
,
VLOO"&amp;"KUP(D15504,IMPORTRANGE(""https://docs.google.com/spreadsheets/d/14Bd19lYaqBhU8_DElYkX7l4wRkHqqCUFNJY4AfY3kHU/edit?usp=sharing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3" s="7" t="s">
        <v>10</v>
      </c>
      <c r="H15503" s="7">
        <v>19682</v>
      </c>
      <c r="I15503" s="8" t="str">
        <f ca="1">IFERROR(__xludf.DUMMYFUNCTION("IF
(
G15504=""фізична особа""
,
VLOOKUP(H15504,IMPORTRANGE(""https://docs.google.com/spreadsheets/d/14Bd19lYaqBhU8_DElYkX7l4wRkHqqCUFNJY4AfY3kHU/edit?usp=sharing  #gid=0"",""фіз особи new!relations_name""),6,FALSE)
,
(IF
(
G15504=""юридична особа""
,
VLOO"&amp;"KUP(H15504,IMPORTRANGE(""https://docs.google.com/spreadsheets/d/14Bd19lYaqBhU8_DElYkX7l4wRkHqqCUFNJY4AfY3kHU/edit?usp=sharing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03" s="7" t="s">
        <v>23</v>
      </c>
    </row>
    <row r="15504" spans="1:10" ht="13.2">
      <c r="A15504" s="7">
        <v>15503</v>
      </c>
      <c r="B15504" s="7">
        <v>1</v>
      </c>
      <c r="C15504" s="7" t="s">
        <v>10</v>
      </c>
      <c r="D15504" s="7">
        <v>19685</v>
      </c>
      <c r="E15504" s="7" t="s">
        <v>23</v>
      </c>
      <c r="F15504" s="8" t="str">
        <f ca="1">IFERROR(__xludf.DUMMYFUNCTION("IF
(
C15505=""фізична особа""
,
VLOOKUP(D15505,IMPORTRANGE(""https://docs.google.com/spreadsheets/d/14Bd19lYaqBhU8_DElYkX7l4wRkHqqCUFNJY4AfY3kHU/edit?usp=sharing  #gid=0"",""фіз особи new!relations_name""),6,FALSE)
,
(IF
(
C15505=""юридична особа""
,
VLOO"&amp;"KUP(D15505,IMPORTRANGE(""https://docs.google.com/spreadsheets/d/14Bd19lYaqBhU8_DElYkX7l4wRkHqqCUFNJY4AfY3kHU/edit?usp=sharing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4" s="7" t="s">
        <v>10</v>
      </c>
      <c r="H15504" s="7">
        <v>19683</v>
      </c>
      <c r="I15504" s="8" t="str">
        <f ca="1">IFERROR(__xludf.DUMMYFUNCTION("IF
(
G15505=""фізична особа""
,
VLOOKUP(H15505,IMPORTRANGE(""https://docs.google.com/spreadsheets/d/14Bd19lYaqBhU8_DElYkX7l4wRkHqqCUFNJY4AfY3kHU/edit?usp=sharing  #gid=0"",""фіз особи new!relations_name""),6,FALSE)
,
(IF
(
G15505=""юридична особа""
,
VLOO"&amp;"KUP(H15505,IMPORTRANGE(""https://docs.google.com/spreadsheets/d/14Bd19lYaqBhU8_DElYkX7l4wRkHqqCUFNJY4AfY3kHU/edit?usp=sharing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04" s="7" t="s">
        <v>23</v>
      </c>
    </row>
    <row r="15505" spans="1:10" ht="13.2">
      <c r="A15505" s="7">
        <v>15504</v>
      </c>
      <c r="B15505" s="7">
        <v>1</v>
      </c>
      <c r="C15505" s="7" t="s">
        <v>10</v>
      </c>
      <c r="D15505" s="7">
        <v>19685</v>
      </c>
      <c r="E15505" s="7" t="s">
        <v>23</v>
      </c>
      <c r="F15505" s="8" t="str">
        <f ca="1">IFERROR(__xludf.DUMMYFUNCTION("IF
(
C15506=""фізична особа""
,
VLOOKUP(D15506,IMPORTRANGE(""https://docs.google.com/spreadsheets/d/14Bd19lYaqBhU8_DElYkX7l4wRkHqqCUFNJY4AfY3kHU/edit?usp=sharing  #gid=0"",""фіз особи new!relations_name""),6,FALSE)
,
(IF
(
C15506=""юридична особа""
,
VLOO"&amp;"KUP(D15506,IMPORTRANGE(""https://docs.google.com/spreadsheets/d/14Bd19lYaqBhU8_DElYkX7l4wRkHqqCUFNJY4AfY3kHU/edit?usp=sharing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5" s="7" t="s">
        <v>10</v>
      </c>
      <c r="H15505" s="7">
        <v>19684</v>
      </c>
      <c r="I15505" s="8" t="str">
        <f ca="1">IFERROR(__xludf.DUMMYFUNCTION("IF
(
G15506=""фізична особа""
,
VLOOKUP(H15506,IMPORTRANGE(""https://docs.google.com/spreadsheets/d/14Bd19lYaqBhU8_DElYkX7l4wRkHqqCUFNJY4AfY3kHU/edit?usp=sharing  #gid=0"",""фіз особи new!relations_name""),6,FALSE)
,
(IF
(
G15506=""юридична особа""
,
VLOO"&amp;"KUP(H15506,IMPORTRANGE(""https://docs.google.com/spreadsheets/d/14Bd19lYaqBhU8_DElYkX7l4wRkHqqCUFNJY4AfY3kHU/edit?usp=sharing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05" s="7" t="s">
        <v>23</v>
      </c>
    </row>
    <row r="15506" spans="1:10" ht="13.2">
      <c r="A15506" s="7">
        <v>15505</v>
      </c>
      <c r="B15506" s="7">
        <v>1</v>
      </c>
      <c r="C15506" s="7" t="s">
        <v>10</v>
      </c>
      <c r="D15506" s="7">
        <v>19685</v>
      </c>
      <c r="E15506" s="7" t="s">
        <v>23</v>
      </c>
      <c r="F15506" s="8" t="str">
        <f ca="1">IFERROR(__xludf.DUMMYFUNCTION("IF
(
C15507=""фізична особа""
,
VLOOKUP(D15507,IMPORTRANGE(""https://docs.google.com/spreadsheets/d/14Bd19lYaqBhU8_DElYkX7l4wRkHqqCUFNJY4AfY3kHU/edit?usp=sharing  #gid=0"",""фіз особи new!relations_name""),6,FALSE)
,
(IF
(
C15507=""юридична особа""
,
VLOO"&amp;"KUP(D15507,IMPORTRANGE(""https://docs.google.com/spreadsheets/d/14Bd19lYaqBhU8_DElYkX7l4wRkHqqCUFNJY4AfY3kHU/edit?usp=sharing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6" s="7" t="s">
        <v>10</v>
      </c>
      <c r="H15506" s="7">
        <v>19686</v>
      </c>
      <c r="I15506" s="8" t="str">
        <f ca="1">IFERROR(__xludf.DUMMYFUNCTION("IF
(
G15507=""фізична особа""
,
VLOOKUP(H15507,IMPORTRANGE(""https://docs.google.com/spreadsheets/d/14Bd19lYaqBhU8_DElYkX7l4wRkHqqCUFNJY4AfY3kHU/edit?usp=sharing  #gid=0"",""фіз особи new!relations_name""),6,FALSE)
,
(IF
(
G15507=""юридична особа""
,
VLOO"&amp;"KUP(H15507,IMPORTRANGE(""https://docs.google.com/spreadsheets/d/14Bd19lYaqBhU8_DElYkX7l4wRkHqqCUFNJY4AfY3kHU/edit?usp=sharing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506" s="7" t="s">
        <v>23</v>
      </c>
    </row>
    <row r="15507" spans="1:10" ht="13.2">
      <c r="A15507" s="7">
        <v>15506</v>
      </c>
      <c r="B15507" s="7">
        <v>1</v>
      </c>
      <c r="C15507" s="7" t="s">
        <v>10</v>
      </c>
      <c r="D15507" s="7">
        <v>19685</v>
      </c>
      <c r="E15507" s="7" t="s">
        <v>23</v>
      </c>
      <c r="F15507" s="8" t="str">
        <f ca="1">IFERROR(__xludf.DUMMYFUNCTION("IF
(
C15508=""фізична особа""
,
VLOOKUP(D15508,IMPORTRANGE(""https://docs.google.com/spreadsheets/d/14Bd19lYaqBhU8_DElYkX7l4wRkHqqCUFNJY4AfY3kHU/edit?usp=sharing  #gid=0"",""фіз особи new!relations_name""),6,FALSE)
,
(IF
(
C15508=""юридична особа""
,
VLOO"&amp;"KUP(D15508,IMPORTRANGE(""https://docs.google.com/spreadsheets/d/14Bd19lYaqBhU8_DElYkX7l4wRkHqqCUFNJY4AfY3kHU/edit?usp=sharing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7" s="7" t="s">
        <v>10</v>
      </c>
      <c r="H15507" s="7">
        <v>19687</v>
      </c>
      <c r="I15507" s="8" t="str">
        <f ca="1">IFERROR(__xludf.DUMMYFUNCTION("IF
(
G15508=""фізична особа""
,
VLOOKUP(H15508,IMPORTRANGE(""https://docs.google.com/spreadsheets/d/14Bd19lYaqBhU8_DElYkX7l4wRkHqqCUFNJY4AfY3kHU/edit?usp=sharing  #gid=0"",""фіз особи new!relations_name""),6,FALSE)
,
(IF
(
G15508=""юридична особа""
,
VLOO"&amp;"KUP(H15508,IMPORTRANGE(""https://docs.google.com/spreadsheets/d/14Bd19lYaqBhU8_DElYkX7l4wRkHqqCUFNJY4AfY3kHU/edit?usp=sharing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507" s="7" t="s">
        <v>23</v>
      </c>
    </row>
    <row r="15508" spans="1:10" ht="13.2">
      <c r="A15508" s="7">
        <v>15507</v>
      </c>
      <c r="B15508" s="7">
        <v>1</v>
      </c>
      <c r="C15508" s="7" t="s">
        <v>10</v>
      </c>
      <c r="D15508" s="7">
        <v>19685</v>
      </c>
      <c r="E15508" s="7" t="s">
        <v>23</v>
      </c>
      <c r="F15508" s="8" t="str">
        <f ca="1">IFERROR(__xludf.DUMMYFUNCTION("IF
(
C15509=""фізична особа""
,
VLOOKUP(D15509,IMPORTRANGE(""https://docs.google.com/spreadsheets/d/14Bd19lYaqBhU8_DElYkX7l4wRkHqqCUFNJY4AfY3kHU/edit?usp=sharing  #gid=0"",""фіз особи new!relations_name""),6,FALSE)
,
(IF
(
C15509=""юридична особа""
,
VLOO"&amp;"KUP(D15509,IMPORTRANGE(""https://docs.google.com/spreadsheets/d/14Bd19lYaqBhU8_DElYkX7l4wRkHqqCUFNJY4AfY3kHU/edit?usp=sharing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8" s="7" t="s">
        <v>10</v>
      </c>
      <c r="H15508" s="7">
        <v>19688</v>
      </c>
      <c r="I15508" s="8" t="str">
        <f ca="1">IFERROR(__xludf.DUMMYFUNCTION("IF
(
G15509=""фізична особа""
,
VLOOKUP(H15509,IMPORTRANGE(""https://docs.google.com/spreadsheets/d/14Bd19lYaqBhU8_DElYkX7l4wRkHqqCUFNJY4AfY3kHU/edit?usp=sharing  #gid=0"",""фіз особи new!relations_name""),6,FALSE)
,
(IF
(
G15509=""юридична особа""
,
VLOO"&amp;"KUP(H15509,IMPORTRANGE(""https://docs.google.com/spreadsheets/d/14Bd19lYaqBhU8_DElYkX7l4wRkHqqCUFNJY4AfY3kHU/edit?usp=sharing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08" s="7" t="s">
        <v>23</v>
      </c>
    </row>
    <row r="15509" spans="1:10" ht="13.2">
      <c r="A15509" s="7">
        <v>15508</v>
      </c>
      <c r="B15509" s="7">
        <v>1</v>
      </c>
      <c r="C15509" s="7" t="s">
        <v>10</v>
      </c>
      <c r="D15509" s="7">
        <v>19685</v>
      </c>
      <c r="E15509" s="7" t="s">
        <v>23</v>
      </c>
      <c r="F15509" s="8" t="str">
        <f ca="1">IFERROR(__xludf.DUMMYFUNCTION("IF
(
C15510=""фізична особа""
,
VLOOKUP(D15510,IMPORTRANGE(""https://docs.google.com/spreadsheets/d/14Bd19lYaqBhU8_DElYkX7l4wRkHqqCUFNJY4AfY3kHU/edit?usp=sharing  #gid=0"",""фіз особи new!relations_name""),6,FALSE)
,
(IF
(
C15510=""юридична особа""
,
VLOO"&amp;"KUP(D15510,IMPORTRANGE(""https://docs.google.com/spreadsheets/d/14Bd19lYaqBhU8_DElYkX7l4wRkHqqCUFNJY4AfY3kHU/edit?usp=sharing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G15509" s="7" t="s">
        <v>10</v>
      </c>
      <c r="H15509" s="7">
        <v>19689</v>
      </c>
      <c r="I15509" s="8" t="str">
        <f ca="1">IFERROR(__xludf.DUMMYFUNCTION("IF
(
G15510=""фізична особа""
,
VLOOKUP(H15510,IMPORTRANGE(""https://docs.google.com/spreadsheets/d/14Bd19lYaqBhU8_DElYkX7l4wRkHqqCUFNJY4AfY3kHU/edit?usp=sharing  #gid=0"",""фіз особи new!relations_name""),6,FALSE)
,
(IF
(
G15510=""юридична особа""
,
VLOO"&amp;"KUP(H15510,IMPORTRANGE(""https://docs.google.com/spreadsheets/d/14Bd19lYaqBhU8_DElYkX7l4wRkHqqCUFNJY4AfY3kHU/edit?usp=sharing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509" s="7" t="s">
        <v>23</v>
      </c>
    </row>
    <row r="15510" spans="1:10" ht="13.2">
      <c r="A15510" s="7">
        <v>15509</v>
      </c>
      <c r="B15510" s="7">
        <v>1</v>
      </c>
      <c r="C15510" s="7" t="s">
        <v>10</v>
      </c>
      <c r="D15510" s="7">
        <v>19686</v>
      </c>
      <c r="E15510" s="7" t="s">
        <v>23</v>
      </c>
      <c r="F15510" s="8" t="str">
        <f ca="1">IFERROR(__xludf.DUMMYFUNCTION("IF
(
C15511=""фізична особа""
,
VLOOKUP(D15511,IMPORTRANGE(""https://docs.google.com/spreadsheets/d/14Bd19lYaqBhU8_DElYkX7l4wRkHqqCUFNJY4AfY3kHU/edit?usp=sharing  #gid=0"",""фіз особи new!relations_name""),6,FALSE)
,
(IF
(
C15511=""юридична особа""
,
VLOO"&amp;"KUP(D15511,IMPORTRANGE(""https://docs.google.com/spreadsheets/d/14Bd19lYaqBhU8_DElYkX7l4wRkHqqCUFNJY4AfY3kHU/edit?usp=sharing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0" s="7" t="s">
        <v>10</v>
      </c>
      <c r="H15510" s="7">
        <v>19681</v>
      </c>
      <c r="I15510" s="8" t="str">
        <f ca="1">IFERROR(__xludf.DUMMYFUNCTION("IF
(
G15511=""фізична особа""
,
VLOOKUP(H15511,IMPORTRANGE(""https://docs.google.com/spreadsheets/d/14Bd19lYaqBhU8_DElYkX7l4wRkHqqCUFNJY4AfY3kHU/edit?usp=sharing  #gid=0"",""фіз особи new!relations_name""),6,FALSE)
,
(IF
(
G15511=""юридична особа""
,
VLOO"&amp;"KUP(H15511,IMPORTRANGE(""https://docs.google.com/spreadsheets/d/14Bd19lYaqBhU8_DElYkX7l4wRkHqqCUFNJY4AfY3kHU/edit?usp=sharing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10" s="7" t="s">
        <v>23</v>
      </c>
    </row>
    <row r="15511" spans="1:10" ht="13.2">
      <c r="A15511" s="7">
        <v>15510</v>
      </c>
      <c r="B15511" s="7">
        <v>1</v>
      </c>
      <c r="C15511" s="7" t="s">
        <v>10</v>
      </c>
      <c r="D15511" s="7">
        <v>19686</v>
      </c>
      <c r="E15511" s="7" t="s">
        <v>23</v>
      </c>
      <c r="F15511" s="8" t="str">
        <f ca="1">IFERROR(__xludf.DUMMYFUNCTION("IF
(
C15512=""фізична особа""
,
VLOOKUP(D15512,IMPORTRANGE(""https://docs.google.com/spreadsheets/d/14Bd19lYaqBhU8_DElYkX7l4wRkHqqCUFNJY4AfY3kHU/edit?usp=sharing  #gid=0"",""фіз особи new!relations_name""),6,FALSE)
,
(IF
(
C15512=""юридична особа""
,
VLOO"&amp;"KUP(D15512,IMPORTRANGE(""https://docs.google.com/spreadsheets/d/14Bd19lYaqBhU8_DElYkX7l4wRkHqqCUFNJY4AfY3kHU/edit?usp=sharing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1" s="7" t="s">
        <v>10</v>
      </c>
      <c r="H15511" s="7">
        <v>19682</v>
      </c>
      <c r="I15511" s="8" t="str">
        <f ca="1">IFERROR(__xludf.DUMMYFUNCTION("IF
(
G15512=""фізична особа""
,
VLOOKUP(H15512,IMPORTRANGE(""https://docs.google.com/spreadsheets/d/14Bd19lYaqBhU8_DElYkX7l4wRkHqqCUFNJY4AfY3kHU/edit?usp=sharing  #gid=0"",""фіз особи new!relations_name""),6,FALSE)
,
(IF
(
G15512=""юридична особа""
,
VLOO"&amp;"KUP(H15512,IMPORTRANGE(""https://docs.google.com/spreadsheets/d/14Bd19lYaqBhU8_DElYkX7l4wRkHqqCUFNJY4AfY3kHU/edit?usp=sharing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11" s="7" t="s">
        <v>23</v>
      </c>
    </row>
    <row r="15512" spans="1:10" ht="13.2">
      <c r="A15512" s="7">
        <v>15511</v>
      </c>
      <c r="B15512" s="7">
        <v>1</v>
      </c>
      <c r="C15512" s="7" t="s">
        <v>10</v>
      </c>
      <c r="D15512" s="7">
        <v>19686</v>
      </c>
      <c r="E15512" s="7" t="s">
        <v>23</v>
      </c>
      <c r="F15512" s="8" t="str">
        <f ca="1">IFERROR(__xludf.DUMMYFUNCTION("IF
(
C15513=""фізична особа""
,
VLOOKUP(D15513,IMPORTRANGE(""https://docs.google.com/spreadsheets/d/14Bd19lYaqBhU8_DElYkX7l4wRkHqqCUFNJY4AfY3kHU/edit?usp=sharing  #gid=0"",""фіз особи new!relations_name""),6,FALSE)
,
(IF
(
C15513=""юридична особа""
,
VLOO"&amp;"KUP(D15513,IMPORTRANGE(""https://docs.google.com/spreadsheets/d/14Bd19lYaqBhU8_DElYkX7l4wRkHqqCUFNJY4AfY3kHU/edit?usp=sharing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2" s="7" t="s">
        <v>10</v>
      </c>
      <c r="H15512" s="7">
        <v>19683</v>
      </c>
      <c r="I15512" s="8" t="str">
        <f ca="1">IFERROR(__xludf.DUMMYFUNCTION("IF
(
G15513=""фізична особа""
,
VLOOKUP(H15513,IMPORTRANGE(""https://docs.google.com/spreadsheets/d/14Bd19lYaqBhU8_DElYkX7l4wRkHqqCUFNJY4AfY3kHU/edit?usp=sharing  #gid=0"",""фіз особи new!relations_name""),6,FALSE)
,
(IF
(
G15513=""юридична особа""
,
VLOO"&amp;"KUP(H15513,IMPORTRANGE(""https://docs.google.com/spreadsheets/d/14Bd19lYaqBhU8_DElYkX7l4wRkHqqCUFNJY4AfY3kHU/edit?usp=sharing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12" s="7" t="s">
        <v>23</v>
      </c>
    </row>
    <row r="15513" spans="1:10" ht="13.2">
      <c r="A15513" s="7">
        <v>15512</v>
      </c>
      <c r="B15513" s="7">
        <v>1</v>
      </c>
      <c r="C15513" s="7" t="s">
        <v>10</v>
      </c>
      <c r="D15513" s="7">
        <v>19686</v>
      </c>
      <c r="E15513" s="7" t="s">
        <v>23</v>
      </c>
      <c r="F15513" s="8" t="str">
        <f ca="1">IFERROR(__xludf.DUMMYFUNCTION("IF
(
C15514=""фізична особа""
,
VLOOKUP(D15514,IMPORTRANGE(""https://docs.google.com/spreadsheets/d/14Bd19lYaqBhU8_DElYkX7l4wRkHqqCUFNJY4AfY3kHU/edit?usp=sharing  #gid=0"",""фіз особи new!relations_name""),6,FALSE)
,
(IF
(
C15514=""юридична особа""
,
VLOO"&amp;"KUP(D15514,IMPORTRANGE(""https://docs.google.com/spreadsheets/d/14Bd19lYaqBhU8_DElYkX7l4wRkHqqCUFNJY4AfY3kHU/edit?usp=sharing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3" s="7" t="s">
        <v>10</v>
      </c>
      <c r="H15513" s="7">
        <v>19684</v>
      </c>
      <c r="I15513" s="8" t="str">
        <f ca="1">IFERROR(__xludf.DUMMYFUNCTION("IF
(
G15514=""фізична особа""
,
VLOOKUP(H15514,IMPORTRANGE(""https://docs.google.com/spreadsheets/d/14Bd19lYaqBhU8_DElYkX7l4wRkHqqCUFNJY4AfY3kHU/edit?usp=sharing  #gid=0"",""фіз особи new!relations_name""),6,FALSE)
,
(IF
(
G15514=""юридична особа""
,
VLOO"&amp;"KUP(H15514,IMPORTRANGE(""https://docs.google.com/spreadsheets/d/14Bd19lYaqBhU8_DElYkX7l4wRkHqqCUFNJY4AfY3kHU/edit?usp=sharing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13" s="7" t="s">
        <v>23</v>
      </c>
    </row>
    <row r="15514" spans="1:10" ht="13.2">
      <c r="A15514" s="7">
        <v>15513</v>
      </c>
      <c r="B15514" s="7">
        <v>1</v>
      </c>
      <c r="C15514" s="7" t="s">
        <v>10</v>
      </c>
      <c r="D15514" s="7">
        <v>19686</v>
      </c>
      <c r="E15514" s="7" t="s">
        <v>23</v>
      </c>
      <c r="F15514" s="8" t="str">
        <f ca="1">IFERROR(__xludf.DUMMYFUNCTION("IF
(
C15515=""фізична особа""
,
VLOOKUP(D15515,IMPORTRANGE(""https://docs.google.com/spreadsheets/d/14Bd19lYaqBhU8_DElYkX7l4wRkHqqCUFNJY4AfY3kHU/edit?usp=sharing  #gid=0"",""фіз особи new!relations_name""),6,FALSE)
,
(IF
(
C15515=""юридична особа""
,
VLOO"&amp;"KUP(D15515,IMPORTRANGE(""https://docs.google.com/spreadsheets/d/14Bd19lYaqBhU8_DElYkX7l4wRkHqqCUFNJY4AfY3kHU/edit?usp=sharing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4" s="7" t="s">
        <v>10</v>
      </c>
      <c r="H15514" s="7">
        <v>19685</v>
      </c>
      <c r="I15514" s="8" t="str">
        <f ca="1">IFERROR(__xludf.DUMMYFUNCTION("IF
(
G15515=""фізична особа""
,
VLOOKUP(H15515,IMPORTRANGE(""https://docs.google.com/spreadsheets/d/14Bd19lYaqBhU8_DElYkX7l4wRkHqqCUFNJY4AfY3kHU/edit?usp=sharing  #gid=0"",""фіз особи new!relations_name""),6,FALSE)
,
(IF
(
G15515=""юридична особа""
,
VLOO"&amp;"KUP(H15515,IMPORTRANGE(""https://docs.google.com/spreadsheets/d/14Bd19lYaqBhU8_DElYkX7l4wRkHqqCUFNJY4AfY3kHU/edit?usp=sharing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514" s="7" t="s">
        <v>23</v>
      </c>
    </row>
    <row r="15515" spans="1:10" ht="13.2">
      <c r="A15515" s="7">
        <v>15514</v>
      </c>
      <c r="B15515" s="7">
        <v>1</v>
      </c>
      <c r="C15515" s="7" t="s">
        <v>10</v>
      </c>
      <c r="D15515" s="7">
        <v>19686</v>
      </c>
      <c r="E15515" s="7" t="s">
        <v>23</v>
      </c>
      <c r="F15515" s="8" t="str">
        <f ca="1">IFERROR(__xludf.DUMMYFUNCTION("IF
(
C15516=""фізична особа""
,
VLOOKUP(D15516,IMPORTRANGE(""https://docs.google.com/spreadsheets/d/14Bd19lYaqBhU8_DElYkX7l4wRkHqqCUFNJY4AfY3kHU/edit?usp=sharing  #gid=0"",""фіз особи new!relations_name""),6,FALSE)
,
(IF
(
C15516=""юридична особа""
,
VLOO"&amp;"KUP(D15516,IMPORTRANGE(""https://docs.google.com/spreadsheets/d/14Bd19lYaqBhU8_DElYkX7l4wRkHqqCUFNJY4AfY3kHU/edit?usp=sharing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5" s="7" t="s">
        <v>10</v>
      </c>
      <c r="H15515" s="7">
        <v>19687</v>
      </c>
      <c r="I15515" s="8" t="str">
        <f ca="1">IFERROR(__xludf.DUMMYFUNCTION("IF
(
G15516=""фізична особа""
,
VLOOKUP(H15516,IMPORTRANGE(""https://docs.google.com/spreadsheets/d/14Bd19lYaqBhU8_DElYkX7l4wRkHqqCUFNJY4AfY3kHU/edit?usp=sharing  #gid=0"",""фіз особи new!relations_name""),6,FALSE)
,
(IF
(
G15516=""юридична особа""
,
VLOO"&amp;"KUP(H15516,IMPORTRANGE(""https://docs.google.com/spreadsheets/d/14Bd19lYaqBhU8_DElYkX7l4wRkHqqCUFNJY4AfY3kHU/edit?usp=sharing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515" s="7" t="s">
        <v>23</v>
      </c>
    </row>
    <row r="15516" spans="1:10" ht="13.2">
      <c r="A15516" s="7">
        <v>15515</v>
      </c>
      <c r="B15516" s="7">
        <v>1</v>
      </c>
      <c r="C15516" s="7" t="s">
        <v>10</v>
      </c>
      <c r="D15516" s="7">
        <v>19686</v>
      </c>
      <c r="E15516" s="7" t="s">
        <v>23</v>
      </c>
      <c r="F15516" s="8" t="str">
        <f ca="1">IFERROR(__xludf.DUMMYFUNCTION("IF
(
C15517=""фізична особа""
,
VLOOKUP(D15517,IMPORTRANGE(""https://docs.google.com/spreadsheets/d/14Bd19lYaqBhU8_DElYkX7l4wRkHqqCUFNJY4AfY3kHU/edit?usp=sharing  #gid=0"",""фіз особи new!relations_name""),6,FALSE)
,
(IF
(
C15517=""юридична особа""
,
VLOO"&amp;"KUP(D15517,IMPORTRANGE(""https://docs.google.com/spreadsheets/d/14Bd19lYaqBhU8_DElYkX7l4wRkHqqCUFNJY4AfY3kHU/edit?usp=sharing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6" s="7" t="s">
        <v>10</v>
      </c>
      <c r="H15516" s="7">
        <v>19688</v>
      </c>
      <c r="I15516" s="8" t="str">
        <f ca="1">IFERROR(__xludf.DUMMYFUNCTION("IF
(
G15517=""фізична особа""
,
VLOOKUP(H15517,IMPORTRANGE(""https://docs.google.com/spreadsheets/d/14Bd19lYaqBhU8_DElYkX7l4wRkHqqCUFNJY4AfY3kHU/edit?usp=sharing  #gid=0"",""фіз особи new!relations_name""),6,FALSE)
,
(IF
(
G15517=""юридична особа""
,
VLOO"&amp;"KUP(H15517,IMPORTRANGE(""https://docs.google.com/spreadsheets/d/14Bd19lYaqBhU8_DElYkX7l4wRkHqqCUFNJY4AfY3kHU/edit?usp=sharing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16" s="7" t="s">
        <v>23</v>
      </c>
    </row>
    <row r="15517" spans="1:10" ht="13.2">
      <c r="A15517" s="7">
        <v>15516</v>
      </c>
      <c r="B15517" s="7">
        <v>1</v>
      </c>
      <c r="C15517" s="7" t="s">
        <v>10</v>
      </c>
      <c r="D15517" s="7">
        <v>19686</v>
      </c>
      <c r="E15517" s="7" t="s">
        <v>23</v>
      </c>
      <c r="F15517" s="8" t="str">
        <f ca="1">IFERROR(__xludf.DUMMYFUNCTION("IF
(
C15518=""фізична особа""
,
VLOOKUP(D15518,IMPORTRANGE(""https://docs.google.com/spreadsheets/d/14Bd19lYaqBhU8_DElYkX7l4wRkHqqCUFNJY4AfY3kHU/edit?usp=sharing  #gid=0"",""фіз особи new!relations_name""),6,FALSE)
,
(IF
(
C15518=""юридична особа""
,
VLOO"&amp;"KUP(D15518,IMPORTRANGE(""https://docs.google.com/spreadsheets/d/14Bd19lYaqBhU8_DElYkX7l4wRkHqqCUFNJY4AfY3kHU/edit?usp=sharing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G15517" s="7" t="s">
        <v>10</v>
      </c>
      <c r="H15517" s="7">
        <v>19689</v>
      </c>
      <c r="I15517" s="8" t="str">
        <f ca="1">IFERROR(__xludf.DUMMYFUNCTION("IF
(
G15518=""фізична особа""
,
VLOOKUP(H15518,IMPORTRANGE(""https://docs.google.com/spreadsheets/d/14Bd19lYaqBhU8_DElYkX7l4wRkHqqCUFNJY4AfY3kHU/edit?usp=sharing  #gid=0"",""фіз особи new!relations_name""),6,FALSE)
,
(IF
(
G15518=""юридична особа""
,
VLOO"&amp;"KUP(H15518,IMPORTRANGE(""https://docs.google.com/spreadsheets/d/14Bd19lYaqBhU8_DElYkX7l4wRkHqqCUFNJY4AfY3kHU/edit?usp=sharing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517" s="7" t="s">
        <v>23</v>
      </c>
    </row>
    <row r="15518" spans="1:10" ht="13.2">
      <c r="A15518" s="7">
        <v>15517</v>
      </c>
      <c r="B15518" s="7">
        <v>1</v>
      </c>
      <c r="C15518" s="7" t="s">
        <v>10</v>
      </c>
      <c r="D15518" s="7">
        <v>19687</v>
      </c>
      <c r="E15518" s="7" t="s">
        <v>23</v>
      </c>
      <c r="F15518" s="8" t="str">
        <f ca="1">IFERROR(__xludf.DUMMYFUNCTION("IF
(
C15519=""фізична особа""
,
VLOOKUP(D15519,IMPORTRANGE(""https://docs.google.com/spreadsheets/d/14Bd19lYaqBhU8_DElYkX7l4wRkHqqCUFNJY4AfY3kHU/edit?usp=sharing  #gid=0"",""фіз особи new!relations_name""),6,FALSE)
,
(IF
(
C15519=""юридична особа""
,
VLOO"&amp;"KUP(D15519,IMPORTRANGE(""https://docs.google.com/spreadsheets/d/14Bd19lYaqBhU8_DElYkX7l4wRkHqqCUFNJY4AfY3kHU/edit?usp=sharing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18" s="7" t="s">
        <v>10</v>
      </c>
      <c r="H15518" s="7">
        <v>19681</v>
      </c>
      <c r="I15518" s="8" t="str">
        <f ca="1">IFERROR(__xludf.DUMMYFUNCTION("IF
(
G15519=""фізична особа""
,
VLOOKUP(H15519,IMPORTRANGE(""https://docs.google.com/spreadsheets/d/14Bd19lYaqBhU8_DElYkX7l4wRkHqqCUFNJY4AfY3kHU/edit?usp=sharing  #gid=0"",""фіз особи new!relations_name""),6,FALSE)
,
(IF
(
G15519=""юридична особа""
,
VLOO"&amp;"KUP(H15519,IMPORTRANGE(""https://docs.google.com/spreadsheets/d/14Bd19lYaqBhU8_DElYkX7l4wRkHqqCUFNJY4AfY3kHU/edit?usp=sharing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18" s="7" t="s">
        <v>23</v>
      </c>
    </row>
    <row r="15519" spans="1:10" ht="13.2">
      <c r="A15519" s="7">
        <v>15518</v>
      </c>
      <c r="B15519" s="7">
        <v>1</v>
      </c>
      <c r="C15519" s="7" t="s">
        <v>10</v>
      </c>
      <c r="D15519" s="7">
        <v>19687</v>
      </c>
      <c r="E15519" s="7" t="s">
        <v>23</v>
      </c>
      <c r="F15519" s="8" t="str">
        <f ca="1">IFERROR(__xludf.DUMMYFUNCTION("IF
(
C15520=""фізична особа""
,
VLOOKUP(D15520,IMPORTRANGE(""https://docs.google.com/spreadsheets/d/14Bd19lYaqBhU8_DElYkX7l4wRkHqqCUFNJY4AfY3kHU/edit?usp=sharing  #gid=0"",""фіз особи new!relations_name""),6,FALSE)
,
(IF
(
C15520=""юридична особа""
,
VLOO"&amp;"KUP(D15520,IMPORTRANGE(""https://docs.google.com/spreadsheets/d/14Bd19lYaqBhU8_DElYkX7l4wRkHqqCUFNJY4AfY3kHU/edit?usp=sharing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19" s="7" t="s">
        <v>10</v>
      </c>
      <c r="H15519" s="7">
        <v>19682</v>
      </c>
      <c r="I15519" s="8" t="str">
        <f ca="1">IFERROR(__xludf.DUMMYFUNCTION("IF
(
G15520=""фізична особа""
,
VLOOKUP(H15520,IMPORTRANGE(""https://docs.google.com/spreadsheets/d/14Bd19lYaqBhU8_DElYkX7l4wRkHqqCUFNJY4AfY3kHU/edit?usp=sharing  #gid=0"",""фіз особи new!relations_name""),6,FALSE)
,
(IF
(
G15520=""юридична особа""
,
VLOO"&amp;"KUP(H15520,IMPORTRANGE(""https://docs.google.com/spreadsheets/d/14Bd19lYaqBhU8_DElYkX7l4wRkHqqCUFNJY4AfY3kHU/edit?usp=sharing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19" s="7" t="s">
        <v>23</v>
      </c>
    </row>
    <row r="15520" spans="1:10" ht="13.2">
      <c r="A15520" s="7">
        <v>15519</v>
      </c>
      <c r="B15520" s="7">
        <v>1</v>
      </c>
      <c r="C15520" s="7" t="s">
        <v>10</v>
      </c>
      <c r="D15520" s="7">
        <v>19687</v>
      </c>
      <c r="E15520" s="7" t="s">
        <v>23</v>
      </c>
      <c r="F15520" s="8" t="str">
        <f ca="1">IFERROR(__xludf.DUMMYFUNCTION("IF
(
C15521=""фізична особа""
,
VLOOKUP(D15521,IMPORTRANGE(""https://docs.google.com/spreadsheets/d/14Bd19lYaqBhU8_DElYkX7l4wRkHqqCUFNJY4AfY3kHU/edit?usp=sharing  #gid=0"",""фіз особи new!relations_name""),6,FALSE)
,
(IF
(
C15521=""юридична особа""
,
VLOO"&amp;"KUP(D15521,IMPORTRANGE(""https://docs.google.com/spreadsheets/d/14Bd19lYaqBhU8_DElYkX7l4wRkHqqCUFNJY4AfY3kHU/edit?usp=sharing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0" s="7" t="s">
        <v>10</v>
      </c>
      <c r="H15520" s="7">
        <v>19683</v>
      </c>
      <c r="I15520" s="8" t="str">
        <f ca="1">IFERROR(__xludf.DUMMYFUNCTION("IF
(
G15521=""фізична особа""
,
VLOOKUP(H15521,IMPORTRANGE(""https://docs.google.com/spreadsheets/d/14Bd19lYaqBhU8_DElYkX7l4wRkHqqCUFNJY4AfY3kHU/edit?usp=sharing  #gid=0"",""фіз особи new!relations_name""),6,FALSE)
,
(IF
(
G15521=""юридична особа""
,
VLOO"&amp;"KUP(H15521,IMPORTRANGE(""https://docs.google.com/spreadsheets/d/14Bd19lYaqBhU8_DElYkX7l4wRkHqqCUFNJY4AfY3kHU/edit?usp=sharing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20" s="7" t="s">
        <v>23</v>
      </c>
    </row>
    <row r="15521" spans="1:10" ht="13.2">
      <c r="A15521" s="7">
        <v>15520</v>
      </c>
      <c r="B15521" s="7">
        <v>1</v>
      </c>
      <c r="C15521" s="7" t="s">
        <v>10</v>
      </c>
      <c r="D15521" s="7">
        <v>19687</v>
      </c>
      <c r="E15521" s="7" t="s">
        <v>23</v>
      </c>
      <c r="F15521" s="8" t="str">
        <f ca="1">IFERROR(__xludf.DUMMYFUNCTION("IF
(
C15522=""фізична особа""
,
VLOOKUP(D15522,IMPORTRANGE(""https://docs.google.com/spreadsheets/d/14Bd19lYaqBhU8_DElYkX7l4wRkHqqCUFNJY4AfY3kHU/edit?usp=sharing  #gid=0"",""фіз особи new!relations_name""),6,FALSE)
,
(IF
(
C15522=""юридична особа""
,
VLOO"&amp;"KUP(D15522,IMPORTRANGE(""https://docs.google.com/spreadsheets/d/14Bd19lYaqBhU8_DElYkX7l4wRkHqqCUFNJY4AfY3kHU/edit?usp=sharing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1" s="7" t="s">
        <v>10</v>
      </c>
      <c r="H15521" s="7">
        <v>19684</v>
      </c>
      <c r="I15521" s="8" t="str">
        <f ca="1">IFERROR(__xludf.DUMMYFUNCTION("IF
(
G15522=""фізична особа""
,
VLOOKUP(H15522,IMPORTRANGE(""https://docs.google.com/spreadsheets/d/14Bd19lYaqBhU8_DElYkX7l4wRkHqqCUFNJY4AfY3kHU/edit?usp=sharing  #gid=0"",""фіз особи new!relations_name""),6,FALSE)
,
(IF
(
G15522=""юридична особа""
,
VLOO"&amp;"KUP(H15522,IMPORTRANGE(""https://docs.google.com/spreadsheets/d/14Bd19lYaqBhU8_DElYkX7l4wRkHqqCUFNJY4AfY3kHU/edit?usp=sharing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21" s="7" t="s">
        <v>23</v>
      </c>
    </row>
    <row r="15522" spans="1:10" ht="13.2">
      <c r="A15522" s="7">
        <v>15521</v>
      </c>
      <c r="B15522" s="7">
        <v>1</v>
      </c>
      <c r="C15522" s="7" t="s">
        <v>10</v>
      </c>
      <c r="D15522" s="7">
        <v>19687</v>
      </c>
      <c r="E15522" s="7" t="s">
        <v>23</v>
      </c>
      <c r="F15522" s="8" t="str">
        <f ca="1">IFERROR(__xludf.DUMMYFUNCTION("IF
(
C15523=""фізична особа""
,
VLOOKUP(D15523,IMPORTRANGE(""https://docs.google.com/spreadsheets/d/14Bd19lYaqBhU8_DElYkX7l4wRkHqqCUFNJY4AfY3kHU/edit?usp=sharing  #gid=0"",""фіз особи new!relations_name""),6,FALSE)
,
(IF
(
C15523=""юридична особа""
,
VLOO"&amp;"KUP(D15523,IMPORTRANGE(""https://docs.google.com/spreadsheets/d/14Bd19lYaqBhU8_DElYkX7l4wRkHqqCUFNJY4AfY3kHU/edit?usp=sharing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2" s="7" t="s">
        <v>10</v>
      </c>
      <c r="H15522" s="7">
        <v>19685</v>
      </c>
      <c r="I15522" s="8" t="str">
        <f ca="1">IFERROR(__xludf.DUMMYFUNCTION("IF
(
G15523=""фізична особа""
,
VLOOKUP(H15523,IMPORTRANGE(""https://docs.google.com/spreadsheets/d/14Bd19lYaqBhU8_DElYkX7l4wRkHqqCUFNJY4AfY3kHU/edit?usp=sharing  #gid=0"",""фіз особи new!relations_name""),6,FALSE)
,
(IF
(
G15523=""юридична особа""
,
VLOO"&amp;"KUP(H15523,IMPORTRANGE(""https://docs.google.com/spreadsheets/d/14Bd19lYaqBhU8_DElYkX7l4wRkHqqCUFNJY4AfY3kHU/edit?usp=sharing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522" s="7" t="s">
        <v>23</v>
      </c>
    </row>
    <row r="15523" spans="1:10" ht="13.2">
      <c r="A15523" s="7">
        <v>15522</v>
      </c>
      <c r="B15523" s="7">
        <v>1</v>
      </c>
      <c r="C15523" s="7" t="s">
        <v>10</v>
      </c>
      <c r="D15523" s="7">
        <v>19687</v>
      </c>
      <c r="E15523" s="7" t="s">
        <v>23</v>
      </c>
      <c r="F15523" s="8" t="str">
        <f ca="1">IFERROR(__xludf.DUMMYFUNCTION("IF
(
C15524=""фізична особа""
,
VLOOKUP(D15524,IMPORTRANGE(""https://docs.google.com/spreadsheets/d/14Bd19lYaqBhU8_DElYkX7l4wRkHqqCUFNJY4AfY3kHU/edit?usp=sharing  #gid=0"",""фіз особи new!relations_name""),6,FALSE)
,
(IF
(
C15524=""юридична особа""
,
VLOO"&amp;"KUP(D15524,IMPORTRANGE(""https://docs.google.com/spreadsheets/d/14Bd19lYaqBhU8_DElYkX7l4wRkHqqCUFNJY4AfY3kHU/edit?usp=sharing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3" s="7" t="s">
        <v>10</v>
      </c>
      <c r="H15523" s="7">
        <v>19686</v>
      </c>
      <c r="I15523" s="8" t="str">
        <f ca="1">IFERROR(__xludf.DUMMYFUNCTION("IF
(
G15524=""фізична особа""
,
VLOOKUP(H15524,IMPORTRANGE(""https://docs.google.com/spreadsheets/d/14Bd19lYaqBhU8_DElYkX7l4wRkHqqCUFNJY4AfY3kHU/edit?usp=sharing  #gid=0"",""фіз особи new!relations_name""),6,FALSE)
,
(IF
(
G15524=""юридична особа""
,
VLOO"&amp;"KUP(H15524,IMPORTRANGE(""https://docs.google.com/spreadsheets/d/14Bd19lYaqBhU8_DElYkX7l4wRkHqqCUFNJY4AfY3kHU/edit?usp=sharing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523" s="7" t="s">
        <v>23</v>
      </c>
    </row>
    <row r="15524" spans="1:10" ht="13.2">
      <c r="A15524" s="7">
        <v>15523</v>
      </c>
      <c r="B15524" s="7">
        <v>1</v>
      </c>
      <c r="C15524" s="7" t="s">
        <v>10</v>
      </c>
      <c r="D15524" s="7">
        <v>19687</v>
      </c>
      <c r="E15524" s="7" t="s">
        <v>23</v>
      </c>
      <c r="F15524" s="8" t="str">
        <f ca="1">IFERROR(__xludf.DUMMYFUNCTION("IF
(
C15525=""фізична особа""
,
VLOOKUP(D15525,IMPORTRANGE(""https://docs.google.com/spreadsheets/d/14Bd19lYaqBhU8_DElYkX7l4wRkHqqCUFNJY4AfY3kHU/edit?usp=sharing  #gid=0"",""фіз особи new!relations_name""),6,FALSE)
,
(IF
(
C15525=""юридична особа""
,
VLOO"&amp;"KUP(D15525,IMPORTRANGE(""https://docs.google.com/spreadsheets/d/14Bd19lYaqBhU8_DElYkX7l4wRkHqqCUFNJY4AfY3kHU/edit?usp=sharing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4" s="7" t="s">
        <v>10</v>
      </c>
      <c r="H15524" s="7">
        <v>19688</v>
      </c>
      <c r="I15524" s="8" t="str">
        <f ca="1">IFERROR(__xludf.DUMMYFUNCTION("IF
(
G15525=""фізична особа""
,
VLOOKUP(H15525,IMPORTRANGE(""https://docs.google.com/spreadsheets/d/14Bd19lYaqBhU8_DElYkX7l4wRkHqqCUFNJY4AfY3kHU/edit?usp=sharing  #gid=0"",""фіз особи new!relations_name""),6,FALSE)
,
(IF
(
G15525=""юридична особа""
,
VLOO"&amp;"KUP(H15525,IMPORTRANGE(""https://docs.google.com/spreadsheets/d/14Bd19lYaqBhU8_DElYkX7l4wRkHqqCUFNJY4AfY3kHU/edit?usp=sharing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24" s="7" t="s">
        <v>23</v>
      </c>
    </row>
    <row r="15525" spans="1:10" ht="13.2">
      <c r="A15525" s="7">
        <v>15524</v>
      </c>
      <c r="B15525" s="7">
        <v>1</v>
      </c>
      <c r="C15525" s="7" t="s">
        <v>10</v>
      </c>
      <c r="D15525" s="7">
        <v>19687</v>
      </c>
      <c r="E15525" s="7" t="s">
        <v>23</v>
      </c>
      <c r="F15525" s="8" t="str">
        <f ca="1">IFERROR(__xludf.DUMMYFUNCTION("IF
(
C15526=""фізична особа""
,
VLOOKUP(D15526,IMPORTRANGE(""https://docs.google.com/spreadsheets/d/14Bd19lYaqBhU8_DElYkX7l4wRkHqqCUFNJY4AfY3kHU/edit?usp=sharing  #gid=0"",""фіз особи new!relations_name""),6,FALSE)
,
(IF
(
C15526=""юридична особа""
,
VLOO"&amp;"KUP(D15526,IMPORTRANGE(""https://docs.google.com/spreadsheets/d/14Bd19lYaqBhU8_DElYkX7l4wRkHqqCUFNJY4AfY3kHU/edit?usp=sharing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G15525" s="7" t="s">
        <v>10</v>
      </c>
      <c r="H15525" s="7">
        <v>19689</v>
      </c>
      <c r="I15525" s="8" t="str">
        <f ca="1">IFERROR(__xludf.DUMMYFUNCTION("IF
(
G15526=""фізична особа""
,
VLOOKUP(H15526,IMPORTRANGE(""https://docs.google.com/spreadsheets/d/14Bd19lYaqBhU8_DElYkX7l4wRkHqqCUFNJY4AfY3kHU/edit?usp=sharing  #gid=0"",""фіз особи new!relations_name""),6,FALSE)
,
(IF
(
G15526=""юридична особа""
,
VLOO"&amp;"KUP(H15526,IMPORTRANGE(""https://docs.google.com/spreadsheets/d/14Bd19lYaqBhU8_DElYkX7l4wRkHqqCUFNJY4AfY3kHU/edit?usp=sharing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525" s="7" t="s">
        <v>23</v>
      </c>
    </row>
    <row r="15526" spans="1:10" ht="13.2">
      <c r="A15526" s="7">
        <v>15525</v>
      </c>
      <c r="B15526" s="7">
        <v>1</v>
      </c>
      <c r="C15526" s="7" t="s">
        <v>10</v>
      </c>
      <c r="D15526" s="7">
        <v>19688</v>
      </c>
      <c r="E15526" s="7" t="s">
        <v>23</v>
      </c>
      <c r="F15526" s="8" t="str">
        <f ca="1">IFERROR(__xludf.DUMMYFUNCTION("IF
(
C15527=""фізична особа""
,
VLOOKUP(D15527,IMPORTRANGE(""https://docs.google.com/spreadsheets/d/14Bd19lYaqBhU8_DElYkX7l4wRkHqqCUFNJY4AfY3kHU/edit?usp=sharing  #gid=0"",""фіз особи new!relations_name""),6,FALSE)
,
(IF
(
C15527=""юридична особа""
,
VLOO"&amp;"KUP(D15527,IMPORTRANGE(""https://docs.google.com/spreadsheets/d/14Bd19lYaqBhU8_DElYkX7l4wRkHqqCUFNJY4AfY3kHU/edit?usp=sharing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26" s="7" t="s">
        <v>10</v>
      </c>
      <c r="H15526" s="7">
        <v>19681</v>
      </c>
      <c r="I15526" s="8" t="str">
        <f ca="1">IFERROR(__xludf.DUMMYFUNCTION("IF
(
G15527=""фізична особа""
,
VLOOKUP(H15527,IMPORTRANGE(""https://docs.google.com/spreadsheets/d/14Bd19lYaqBhU8_DElYkX7l4wRkHqqCUFNJY4AfY3kHU/edit?usp=sharing  #gid=0"",""фіз особи new!relations_name""),6,FALSE)
,
(IF
(
G15527=""юридична особа""
,
VLOO"&amp;"KUP(H15527,IMPORTRANGE(""https://docs.google.com/spreadsheets/d/14Bd19lYaqBhU8_DElYkX7l4wRkHqqCUFNJY4AfY3kHU/edit?usp=sharing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26" s="7" t="s">
        <v>23</v>
      </c>
    </row>
    <row r="15527" spans="1:10" ht="13.2">
      <c r="A15527" s="7">
        <v>15526</v>
      </c>
      <c r="B15527" s="7">
        <v>1</v>
      </c>
      <c r="C15527" s="7" t="s">
        <v>10</v>
      </c>
      <c r="D15527" s="7">
        <v>19688</v>
      </c>
      <c r="E15527" s="7" t="s">
        <v>23</v>
      </c>
      <c r="F15527" s="8" t="str">
        <f ca="1">IFERROR(__xludf.DUMMYFUNCTION("IF
(
C15528=""фізична особа""
,
VLOOKUP(D15528,IMPORTRANGE(""https://docs.google.com/spreadsheets/d/14Bd19lYaqBhU8_DElYkX7l4wRkHqqCUFNJY4AfY3kHU/edit?usp=sharing  #gid=0"",""фіз особи new!relations_name""),6,FALSE)
,
(IF
(
C15528=""юридична особа""
,
VLOO"&amp;"KUP(D15528,IMPORTRANGE(""https://docs.google.com/spreadsheets/d/14Bd19lYaqBhU8_DElYkX7l4wRkHqqCUFNJY4AfY3kHU/edit?usp=sharing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27" s="7" t="s">
        <v>10</v>
      </c>
      <c r="H15527" s="7">
        <v>19682</v>
      </c>
      <c r="I15527" s="8" t="str">
        <f ca="1">IFERROR(__xludf.DUMMYFUNCTION("IF
(
G15528=""фізична особа""
,
VLOOKUP(H15528,IMPORTRANGE(""https://docs.google.com/spreadsheets/d/14Bd19lYaqBhU8_DElYkX7l4wRkHqqCUFNJY4AfY3kHU/edit?usp=sharing  #gid=0"",""фіз особи new!relations_name""),6,FALSE)
,
(IF
(
G15528=""юридична особа""
,
VLOO"&amp;"KUP(H15528,IMPORTRANGE(""https://docs.google.com/spreadsheets/d/14Bd19lYaqBhU8_DElYkX7l4wRkHqqCUFNJY4AfY3kHU/edit?usp=sharing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27" s="7" t="s">
        <v>23</v>
      </c>
    </row>
    <row r="15528" spans="1:10" ht="13.2">
      <c r="A15528" s="7">
        <v>15527</v>
      </c>
      <c r="B15528" s="7">
        <v>1</v>
      </c>
      <c r="C15528" s="7" t="s">
        <v>10</v>
      </c>
      <c r="D15528" s="7">
        <v>19688</v>
      </c>
      <c r="E15528" s="7" t="s">
        <v>23</v>
      </c>
      <c r="F15528" s="8" t="str">
        <f ca="1">IFERROR(__xludf.DUMMYFUNCTION("IF
(
C15529=""фізична особа""
,
VLOOKUP(D15529,IMPORTRANGE(""https://docs.google.com/spreadsheets/d/14Bd19lYaqBhU8_DElYkX7l4wRkHqqCUFNJY4AfY3kHU/edit?usp=sharing  #gid=0"",""фіз особи new!relations_name""),6,FALSE)
,
(IF
(
C15529=""юридична особа""
,
VLOO"&amp;"KUP(D15529,IMPORTRANGE(""https://docs.google.com/spreadsheets/d/14Bd19lYaqBhU8_DElYkX7l4wRkHqqCUFNJY4AfY3kHU/edit?usp=sharing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28" s="7" t="s">
        <v>10</v>
      </c>
      <c r="H15528" s="7">
        <v>19683</v>
      </c>
      <c r="I15528" s="8" t="str">
        <f ca="1">IFERROR(__xludf.DUMMYFUNCTION("IF
(
G15529=""фізична особа""
,
VLOOKUP(H15529,IMPORTRANGE(""https://docs.google.com/spreadsheets/d/14Bd19lYaqBhU8_DElYkX7l4wRkHqqCUFNJY4AfY3kHU/edit?usp=sharing  #gid=0"",""фіз особи new!relations_name""),6,FALSE)
,
(IF
(
G15529=""юридична особа""
,
VLOO"&amp;"KUP(H15529,IMPORTRANGE(""https://docs.google.com/spreadsheets/d/14Bd19lYaqBhU8_DElYkX7l4wRkHqqCUFNJY4AfY3kHU/edit?usp=sharing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28" s="7" t="s">
        <v>23</v>
      </c>
    </row>
    <row r="15529" spans="1:10" ht="13.2">
      <c r="A15529" s="7">
        <v>15528</v>
      </c>
      <c r="B15529" s="7">
        <v>1</v>
      </c>
      <c r="C15529" s="7" t="s">
        <v>10</v>
      </c>
      <c r="D15529" s="7">
        <v>19688</v>
      </c>
      <c r="E15529" s="7" t="s">
        <v>23</v>
      </c>
      <c r="F15529" s="8" t="str">
        <f ca="1">IFERROR(__xludf.DUMMYFUNCTION("IF
(
C15530=""фізична особа""
,
VLOOKUP(D15530,IMPORTRANGE(""https://docs.google.com/spreadsheets/d/14Bd19lYaqBhU8_DElYkX7l4wRkHqqCUFNJY4AfY3kHU/edit?usp=sharing  #gid=0"",""фіз особи new!relations_name""),6,FALSE)
,
(IF
(
C15530=""юридична особа""
,
VLOO"&amp;"KUP(D15530,IMPORTRANGE(""https://docs.google.com/spreadsheets/d/14Bd19lYaqBhU8_DElYkX7l4wRkHqqCUFNJY4AfY3kHU/edit?usp=sharing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29" s="7" t="s">
        <v>10</v>
      </c>
      <c r="H15529" s="7">
        <v>19684</v>
      </c>
      <c r="I15529" s="8" t="str">
        <f ca="1">IFERROR(__xludf.DUMMYFUNCTION("IF
(
G15530=""фізична особа""
,
VLOOKUP(H15530,IMPORTRANGE(""https://docs.google.com/spreadsheets/d/14Bd19lYaqBhU8_DElYkX7l4wRkHqqCUFNJY4AfY3kHU/edit?usp=sharing  #gid=0"",""фіз особи new!relations_name""),6,FALSE)
,
(IF
(
G15530=""юридична особа""
,
VLOO"&amp;"KUP(H15530,IMPORTRANGE(""https://docs.google.com/spreadsheets/d/14Bd19lYaqBhU8_DElYkX7l4wRkHqqCUFNJY4AfY3kHU/edit?usp=sharing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29" s="7" t="s">
        <v>23</v>
      </c>
    </row>
    <row r="15530" spans="1:10" ht="13.2">
      <c r="A15530" s="7">
        <v>15529</v>
      </c>
      <c r="B15530" s="7">
        <v>1</v>
      </c>
      <c r="C15530" s="7" t="s">
        <v>10</v>
      </c>
      <c r="D15530" s="7">
        <v>19688</v>
      </c>
      <c r="E15530" s="7" t="s">
        <v>23</v>
      </c>
      <c r="F15530" s="8" t="str">
        <f ca="1">IFERROR(__xludf.DUMMYFUNCTION("IF
(
C15531=""фізична особа""
,
VLOOKUP(D15531,IMPORTRANGE(""https://docs.google.com/spreadsheets/d/14Bd19lYaqBhU8_DElYkX7l4wRkHqqCUFNJY4AfY3kHU/edit?usp=sharing  #gid=0"",""фіз особи new!relations_name""),6,FALSE)
,
(IF
(
C15531=""юридична особа""
,
VLOO"&amp;"KUP(D15531,IMPORTRANGE(""https://docs.google.com/spreadsheets/d/14Bd19lYaqBhU8_DElYkX7l4wRkHqqCUFNJY4AfY3kHU/edit?usp=sharing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30" s="7" t="s">
        <v>10</v>
      </c>
      <c r="H15530" s="7">
        <v>19685</v>
      </c>
      <c r="I15530" s="8" t="str">
        <f ca="1">IFERROR(__xludf.DUMMYFUNCTION("IF
(
G15531=""фізична особа""
,
VLOOKUP(H15531,IMPORTRANGE(""https://docs.google.com/spreadsheets/d/14Bd19lYaqBhU8_DElYkX7l4wRkHqqCUFNJY4AfY3kHU/edit?usp=sharing  #gid=0"",""фіз особи new!relations_name""),6,FALSE)
,
(IF
(
G15531=""юридична особа""
,
VLOO"&amp;"KUP(H15531,IMPORTRANGE(""https://docs.google.com/spreadsheets/d/14Bd19lYaqBhU8_DElYkX7l4wRkHqqCUFNJY4AfY3kHU/edit?usp=sharing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530" s="7" t="s">
        <v>23</v>
      </c>
    </row>
    <row r="15531" spans="1:10" ht="13.2">
      <c r="A15531" s="7">
        <v>15530</v>
      </c>
      <c r="B15531" s="7">
        <v>1</v>
      </c>
      <c r="C15531" s="7" t="s">
        <v>10</v>
      </c>
      <c r="D15531" s="7">
        <v>19688</v>
      </c>
      <c r="E15531" s="7" t="s">
        <v>23</v>
      </c>
      <c r="F15531" s="8" t="str">
        <f ca="1">IFERROR(__xludf.DUMMYFUNCTION("IF
(
C15532=""фізична особа""
,
VLOOKUP(D15532,IMPORTRANGE(""https://docs.google.com/spreadsheets/d/14Bd19lYaqBhU8_DElYkX7l4wRkHqqCUFNJY4AfY3kHU/edit?usp=sharing  #gid=0"",""фіз особи new!relations_name""),6,FALSE)
,
(IF
(
C15532=""юридична особа""
,
VLOO"&amp;"KUP(D15532,IMPORTRANGE(""https://docs.google.com/spreadsheets/d/14Bd19lYaqBhU8_DElYkX7l4wRkHqqCUFNJY4AfY3kHU/edit?usp=sharing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31" s="7" t="s">
        <v>10</v>
      </c>
      <c r="H15531" s="7">
        <v>19686</v>
      </c>
      <c r="I15531" s="8" t="str">
        <f ca="1">IFERROR(__xludf.DUMMYFUNCTION("IF
(
G15532=""фізична особа""
,
VLOOKUP(H15532,IMPORTRANGE(""https://docs.google.com/spreadsheets/d/14Bd19lYaqBhU8_DElYkX7l4wRkHqqCUFNJY4AfY3kHU/edit?usp=sharing  #gid=0"",""фіз особи new!relations_name""),6,FALSE)
,
(IF
(
G15532=""юридична особа""
,
VLOO"&amp;"KUP(H15532,IMPORTRANGE(""https://docs.google.com/spreadsheets/d/14Bd19lYaqBhU8_DElYkX7l4wRkHqqCUFNJY4AfY3kHU/edit?usp=sharing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531" s="7" t="s">
        <v>23</v>
      </c>
    </row>
    <row r="15532" spans="1:10" ht="13.2">
      <c r="A15532" s="7">
        <v>15531</v>
      </c>
      <c r="B15532" s="7">
        <v>1</v>
      </c>
      <c r="C15532" s="7" t="s">
        <v>10</v>
      </c>
      <c r="D15532" s="7">
        <v>19688</v>
      </c>
      <c r="E15532" s="7" t="s">
        <v>23</v>
      </c>
      <c r="F15532" s="8" t="str">
        <f ca="1">IFERROR(__xludf.DUMMYFUNCTION("IF
(
C15533=""фізична особа""
,
VLOOKUP(D15533,IMPORTRANGE(""https://docs.google.com/spreadsheets/d/14Bd19lYaqBhU8_DElYkX7l4wRkHqqCUFNJY4AfY3kHU/edit?usp=sharing  #gid=0"",""фіз особи new!relations_name""),6,FALSE)
,
(IF
(
C15533=""юридична особа""
,
VLOO"&amp;"KUP(D15533,IMPORTRANGE(""https://docs.google.com/spreadsheets/d/14Bd19lYaqBhU8_DElYkX7l4wRkHqqCUFNJY4AfY3kHU/edit?usp=sharing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32" s="7" t="s">
        <v>10</v>
      </c>
      <c r="H15532" s="7">
        <v>19687</v>
      </c>
      <c r="I15532" s="8" t="str">
        <f ca="1">IFERROR(__xludf.DUMMYFUNCTION("IF
(
G15533=""фізична особа""
,
VLOOKUP(H15533,IMPORTRANGE(""https://docs.google.com/spreadsheets/d/14Bd19lYaqBhU8_DElYkX7l4wRkHqqCUFNJY4AfY3kHU/edit?usp=sharing  #gid=0"",""фіз особи new!relations_name""),6,FALSE)
,
(IF
(
G15533=""юридична особа""
,
VLOO"&amp;"KUP(H15533,IMPORTRANGE(""https://docs.google.com/spreadsheets/d/14Bd19lYaqBhU8_DElYkX7l4wRkHqqCUFNJY4AfY3kHU/edit?usp=sharing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532" s="7" t="s">
        <v>23</v>
      </c>
    </row>
    <row r="15533" spans="1:10" ht="13.2">
      <c r="A15533" s="7">
        <v>15532</v>
      </c>
      <c r="B15533" s="7">
        <v>1</v>
      </c>
      <c r="C15533" s="7" t="s">
        <v>10</v>
      </c>
      <c r="D15533" s="7">
        <v>19688</v>
      </c>
      <c r="E15533" s="7" t="s">
        <v>23</v>
      </c>
      <c r="F15533" s="8" t="str">
        <f ca="1">IFERROR(__xludf.DUMMYFUNCTION("IF
(
C15534=""фізична особа""
,
VLOOKUP(D15534,IMPORTRANGE(""https://docs.google.com/spreadsheets/d/14Bd19lYaqBhU8_DElYkX7l4wRkHqqCUFNJY4AfY3kHU/edit?usp=sharing  #gid=0"",""фіз особи new!relations_name""),6,FALSE)
,
(IF
(
C15534=""юридична особа""
,
VLOO"&amp;"KUP(D15534,IMPORTRANGE(""https://docs.google.com/spreadsheets/d/14Bd19lYaqBhU8_DElYkX7l4wRkHqqCUFNJY4AfY3kHU/edit?usp=sharing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G15533" s="7" t="s">
        <v>10</v>
      </c>
      <c r="H15533" s="7">
        <v>19689</v>
      </c>
      <c r="I15533" s="8" t="str">
        <f ca="1">IFERROR(__xludf.DUMMYFUNCTION("IF
(
G15534=""фізична особа""
,
VLOOKUP(H15534,IMPORTRANGE(""https://docs.google.com/spreadsheets/d/14Bd19lYaqBhU8_DElYkX7l4wRkHqqCUFNJY4AfY3kHU/edit?usp=sharing  #gid=0"",""фіз особи new!relations_name""),6,FALSE)
,
(IF
(
G15534=""юридична особа""
,
VLOO"&amp;"KUP(H15534,IMPORTRANGE(""https://docs.google.com/spreadsheets/d/14Bd19lYaqBhU8_DElYkX7l4wRkHqqCUFNJY4AfY3kHU/edit?usp=sharing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J15533" s="7" t="s">
        <v>23</v>
      </c>
    </row>
    <row r="15534" spans="1:10" ht="13.2">
      <c r="A15534" s="7">
        <v>15533</v>
      </c>
      <c r="B15534" s="7">
        <v>1</v>
      </c>
      <c r="C15534" s="7" t="s">
        <v>10</v>
      </c>
      <c r="D15534" s="7">
        <v>19689</v>
      </c>
      <c r="E15534" s="7" t="s">
        <v>23</v>
      </c>
      <c r="F15534" s="8" t="str">
        <f ca="1">IFERROR(__xludf.DUMMYFUNCTION("IF
(
C15535=""фізична особа""
,
VLOOKUP(D15535,IMPORTRANGE(""https://docs.google.com/spreadsheets/d/14Bd19lYaqBhU8_DElYkX7l4wRkHqqCUFNJY4AfY3kHU/edit?usp=sharing  #gid=0"",""фіз особи new!relations_name""),6,FALSE)
,
(IF
(
C15535=""юридична особа""
,
VLOO"&amp;"KUP(D15535,IMPORTRANGE(""https://docs.google.com/spreadsheets/d/14Bd19lYaqBhU8_DElYkX7l4wRkHqqCUFNJY4AfY3kHU/edit?usp=sharing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4" s="7" t="s">
        <v>10</v>
      </c>
      <c r="H15534" s="7">
        <v>19681</v>
      </c>
      <c r="I15534" s="8" t="str">
        <f ca="1">IFERROR(__xludf.DUMMYFUNCTION("IF
(
G15535=""фізична особа""
,
VLOOKUP(H15535,IMPORTRANGE(""https://docs.google.com/spreadsheets/d/14Bd19lYaqBhU8_DElYkX7l4wRkHqqCUFNJY4AfY3kHU/edit?usp=sharing  #gid=0"",""фіз особи new!relations_name""),6,FALSE)
,
(IF
(
G15535=""юридична особа""
,
VLOO"&amp;"KUP(H15535,IMPORTRANGE(""https://docs.google.com/spreadsheets/d/14Bd19lYaqBhU8_DElYkX7l4wRkHqqCUFNJY4AfY3kHU/edit?usp=sharing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34" s="7" t="s">
        <v>23</v>
      </c>
    </row>
    <row r="15535" spans="1:10" ht="13.2">
      <c r="A15535" s="7">
        <v>15534</v>
      </c>
      <c r="B15535" s="7">
        <v>1</v>
      </c>
      <c r="C15535" s="7" t="s">
        <v>10</v>
      </c>
      <c r="D15535" s="7">
        <v>19689</v>
      </c>
      <c r="E15535" s="7" t="s">
        <v>23</v>
      </c>
      <c r="F15535" s="8" t="str">
        <f ca="1">IFERROR(__xludf.DUMMYFUNCTION("IF
(
C15536=""фізична особа""
,
VLOOKUP(D15536,IMPORTRANGE(""https://docs.google.com/spreadsheets/d/14Bd19lYaqBhU8_DElYkX7l4wRkHqqCUFNJY4AfY3kHU/edit?usp=sharing  #gid=0"",""фіз особи new!relations_name""),6,FALSE)
,
(IF
(
C15536=""юридична особа""
,
VLOO"&amp;"KUP(D15536,IMPORTRANGE(""https://docs.google.com/spreadsheets/d/14Bd19lYaqBhU8_DElYkX7l4wRkHqqCUFNJY4AfY3kHU/edit?usp=sharing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5" s="7" t="s">
        <v>10</v>
      </c>
      <c r="H15535" s="7">
        <v>19682</v>
      </c>
      <c r="I15535" s="8" t="str">
        <f ca="1">IFERROR(__xludf.DUMMYFUNCTION("IF
(
G15536=""фізична особа""
,
VLOOKUP(H15536,IMPORTRANGE(""https://docs.google.com/spreadsheets/d/14Bd19lYaqBhU8_DElYkX7l4wRkHqqCUFNJY4AfY3kHU/edit?usp=sharing  #gid=0"",""фіз особи new!relations_name""),6,FALSE)
,
(IF
(
G15536=""юридична особа""
,
VLOO"&amp;"KUP(H15536,IMPORTRANGE(""https://docs.google.com/spreadsheets/d/14Bd19lYaqBhU8_DElYkX7l4wRkHqqCUFNJY4AfY3kHU/edit?usp=sharing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35" s="7" t="s">
        <v>23</v>
      </c>
    </row>
    <row r="15536" spans="1:10" ht="13.2">
      <c r="A15536" s="7">
        <v>15535</v>
      </c>
      <c r="B15536" s="7">
        <v>1</v>
      </c>
      <c r="C15536" s="7" t="s">
        <v>10</v>
      </c>
      <c r="D15536" s="7">
        <v>19689</v>
      </c>
      <c r="E15536" s="7" t="s">
        <v>23</v>
      </c>
      <c r="F15536" s="8" t="str">
        <f ca="1">IFERROR(__xludf.DUMMYFUNCTION("IF
(
C15537=""фізична особа""
,
VLOOKUP(D15537,IMPORTRANGE(""https://docs.google.com/spreadsheets/d/14Bd19lYaqBhU8_DElYkX7l4wRkHqqCUFNJY4AfY3kHU/edit?usp=sharing  #gid=0"",""фіз особи new!relations_name""),6,FALSE)
,
(IF
(
C15537=""юридична особа""
,
VLOO"&amp;"KUP(D15537,IMPORTRANGE(""https://docs.google.com/spreadsheets/d/14Bd19lYaqBhU8_DElYkX7l4wRkHqqCUFNJY4AfY3kHU/edit?usp=sharing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6" s="7" t="s">
        <v>10</v>
      </c>
      <c r="H15536" s="7">
        <v>19683</v>
      </c>
      <c r="I15536" s="8" t="str">
        <f ca="1">IFERROR(__xludf.DUMMYFUNCTION("IF
(
G15537=""фізична особа""
,
VLOOKUP(H15537,IMPORTRANGE(""https://docs.google.com/spreadsheets/d/14Bd19lYaqBhU8_DElYkX7l4wRkHqqCUFNJY4AfY3kHU/edit?usp=sharing  #gid=0"",""фіз особи new!relations_name""),6,FALSE)
,
(IF
(
G15537=""юридична особа""
,
VLOO"&amp;"KUP(H15537,IMPORTRANGE(""https://docs.google.com/spreadsheets/d/14Bd19lYaqBhU8_DElYkX7l4wRkHqqCUFNJY4AfY3kHU/edit?usp=sharing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36" s="7" t="s">
        <v>23</v>
      </c>
    </row>
    <row r="15537" spans="1:10" ht="13.2">
      <c r="A15537" s="7">
        <v>15536</v>
      </c>
      <c r="B15537" s="7">
        <v>1</v>
      </c>
      <c r="C15537" s="7" t="s">
        <v>10</v>
      </c>
      <c r="D15537" s="7">
        <v>19689</v>
      </c>
      <c r="E15537" s="7" t="s">
        <v>23</v>
      </c>
      <c r="F15537" s="8" t="str">
        <f ca="1">IFERROR(__xludf.DUMMYFUNCTION("IF
(
C15538=""фізична особа""
,
VLOOKUP(D15538,IMPORTRANGE(""https://docs.google.com/spreadsheets/d/14Bd19lYaqBhU8_DElYkX7l4wRkHqqCUFNJY4AfY3kHU/edit?usp=sharing  #gid=0"",""фіз особи new!relations_name""),6,FALSE)
,
(IF
(
C15538=""юридична особа""
,
VLOO"&amp;"KUP(D15538,IMPORTRANGE(""https://docs.google.com/spreadsheets/d/14Bd19lYaqBhU8_DElYkX7l4wRkHqqCUFNJY4AfY3kHU/edit?usp=sharing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7" s="7" t="s">
        <v>10</v>
      </c>
      <c r="H15537" s="7">
        <v>19684</v>
      </c>
      <c r="I15537" s="8" t="str">
        <f ca="1">IFERROR(__xludf.DUMMYFUNCTION("IF
(
G15538=""фізична особа""
,
VLOOKUP(H15538,IMPORTRANGE(""https://docs.google.com/spreadsheets/d/14Bd19lYaqBhU8_DElYkX7l4wRkHqqCUFNJY4AfY3kHU/edit?usp=sharing  #gid=0"",""фіз особи new!relations_name""),6,FALSE)
,
(IF
(
G15538=""юридична особа""
,
VLOO"&amp;"KUP(H15538,IMPORTRANGE(""https://docs.google.com/spreadsheets/d/14Bd19lYaqBhU8_DElYkX7l4wRkHqqCUFNJY4AfY3kHU/edit?usp=sharing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37" s="7" t="s">
        <v>23</v>
      </c>
    </row>
    <row r="15538" spans="1:10" ht="13.2">
      <c r="A15538" s="7">
        <v>15537</v>
      </c>
      <c r="B15538" s="7">
        <v>1</v>
      </c>
      <c r="C15538" s="7" t="s">
        <v>10</v>
      </c>
      <c r="D15538" s="7">
        <v>19689</v>
      </c>
      <c r="E15538" s="7" t="s">
        <v>23</v>
      </c>
      <c r="F15538" s="8" t="str">
        <f ca="1">IFERROR(__xludf.DUMMYFUNCTION("IF
(
C15539=""фізична особа""
,
VLOOKUP(D15539,IMPORTRANGE(""https://docs.google.com/spreadsheets/d/14Bd19lYaqBhU8_DElYkX7l4wRkHqqCUFNJY4AfY3kHU/edit?usp=sharing  #gid=0"",""фіз особи new!relations_name""),6,FALSE)
,
(IF
(
C15539=""юридична особа""
,
VLOO"&amp;"KUP(D15539,IMPORTRANGE(""https://docs.google.com/spreadsheets/d/14Bd19lYaqBhU8_DElYkX7l4wRkHqqCUFNJY4AfY3kHU/edit?usp=sharing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8" s="7" t="s">
        <v>10</v>
      </c>
      <c r="H15538" s="7">
        <v>19685</v>
      </c>
      <c r="I15538" s="8" t="str">
        <f ca="1">IFERROR(__xludf.DUMMYFUNCTION("IF
(
G15539=""фізична особа""
,
VLOOKUP(H15539,IMPORTRANGE(""https://docs.google.com/spreadsheets/d/14Bd19lYaqBhU8_DElYkX7l4wRkHqqCUFNJY4AfY3kHU/edit?usp=sharing  #gid=0"",""фіз особи new!relations_name""),6,FALSE)
,
(IF
(
G15539=""юридична особа""
,
VLOO"&amp;"KUP(H15539,IMPORTRANGE(""https://docs.google.com/spreadsheets/d/14Bd19lYaqBhU8_DElYkX7l4wRkHqqCUFNJY4AfY3kHU/edit?usp=sharing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538" s="7" t="s">
        <v>23</v>
      </c>
    </row>
    <row r="15539" spans="1:10" ht="13.2">
      <c r="A15539" s="7">
        <v>15538</v>
      </c>
      <c r="B15539" s="7">
        <v>1</v>
      </c>
      <c r="C15539" s="7" t="s">
        <v>10</v>
      </c>
      <c r="D15539" s="7">
        <v>19689</v>
      </c>
      <c r="E15539" s="7" t="s">
        <v>23</v>
      </c>
      <c r="F15539" s="8" t="str">
        <f ca="1">IFERROR(__xludf.DUMMYFUNCTION("IF
(
C15540=""фізична особа""
,
VLOOKUP(D15540,IMPORTRANGE(""https://docs.google.com/spreadsheets/d/14Bd19lYaqBhU8_DElYkX7l4wRkHqqCUFNJY4AfY3kHU/edit?usp=sharing  #gid=0"",""фіз особи new!relations_name""),6,FALSE)
,
(IF
(
C15540=""юридична особа""
,
VLOO"&amp;"KUP(D15540,IMPORTRANGE(""https://docs.google.com/spreadsheets/d/14Bd19lYaqBhU8_DElYkX7l4wRkHqqCUFNJY4AfY3kHU/edit?usp=sharing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39" s="7" t="s">
        <v>10</v>
      </c>
      <c r="H15539" s="7">
        <v>19686</v>
      </c>
      <c r="I15539" s="8" t="str">
        <f ca="1">IFERROR(__xludf.DUMMYFUNCTION("IF
(
G15540=""фізична особа""
,
VLOOKUP(H15540,IMPORTRANGE(""https://docs.google.com/spreadsheets/d/14Bd19lYaqBhU8_DElYkX7l4wRkHqqCUFNJY4AfY3kHU/edit?usp=sharing  #gid=0"",""фіз особи new!relations_name""),6,FALSE)
,
(IF
(
G15540=""юридична особа""
,
VLOO"&amp;"KUP(H15540,IMPORTRANGE(""https://docs.google.com/spreadsheets/d/14Bd19lYaqBhU8_DElYkX7l4wRkHqqCUFNJY4AfY3kHU/edit?usp=sharing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539" s="7" t="s">
        <v>23</v>
      </c>
    </row>
    <row r="15540" spans="1:10" ht="13.2">
      <c r="A15540" s="7">
        <v>15539</v>
      </c>
      <c r="B15540" s="7">
        <v>1</v>
      </c>
      <c r="C15540" s="7" t="s">
        <v>10</v>
      </c>
      <c r="D15540" s="7">
        <v>19689</v>
      </c>
      <c r="E15540" s="7" t="s">
        <v>23</v>
      </c>
      <c r="F15540" s="8" t="str">
        <f ca="1">IFERROR(__xludf.DUMMYFUNCTION("IF
(
C15541=""фізична особа""
,
VLOOKUP(D15541,IMPORTRANGE(""https://docs.google.com/spreadsheets/d/14Bd19lYaqBhU8_DElYkX7l4wRkHqqCUFNJY4AfY3kHU/edit?usp=sharing  #gid=0"",""фіз особи new!relations_name""),6,FALSE)
,
(IF
(
C15541=""юридична особа""
,
VLOO"&amp;"KUP(D15541,IMPORTRANGE(""https://docs.google.com/spreadsheets/d/14Bd19lYaqBhU8_DElYkX7l4wRkHqqCUFNJY4AfY3kHU/edit?usp=sharing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40" s="7" t="s">
        <v>10</v>
      </c>
      <c r="H15540" s="7">
        <v>19687</v>
      </c>
      <c r="I15540" s="8" t="str">
        <f ca="1">IFERROR(__xludf.DUMMYFUNCTION("IF
(
G15541=""фізична особа""
,
VLOOKUP(H15541,IMPORTRANGE(""https://docs.google.com/spreadsheets/d/14Bd19lYaqBhU8_DElYkX7l4wRkHqqCUFNJY4AfY3kHU/edit?usp=sharing  #gid=0"",""фіз особи new!relations_name""),6,FALSE)
,
(IF
(
G15541=""юридична особа""
,
VLOO"&amp;"KUP(H15541,IMPORTRANGE(""https://docs.google.com/spreadsheets/d/14Bd19lYaqBhU8_DElYkX7l4wRkHqqCUFNJY4AfY3kHU/edit?usp=sharing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540" s="7" t="s">
        <v>23</v>
      </c>
    </row>
    <row r="15541" spans="1:10" ht="13.2">
      <c r="A15541" s="7">
        <v>15540</v>
      </c>
      <c r="B15541" s="7">
        <v>1</v>
      </c>
      <c r="C15541" s="7" t="s">
        <v>10</v>
      </c>
      <c r="D15541" s="7">
        <v>19689</v>
      </c>
      <c r="E15541" s="7" t="s">
        <v>23</v>
      </c>
      <c r="F15541" s="8" t="str">
        <f ca="1">IFERROR(__xludf.DUMMYFUNCTION("IF
(
C15542=""фізична особа""
,
VLOOKUP(D15542,IMPORTRANGE(""https://docs.google.com/spreadsheets/d/14Bd19lYaqBhU8_DElYkX7l4wRkHqqCUFNJY4AfY3kHU/edit?usp=sharing  #gid=0"",""фіз особи new!relations_name""),6,FALSE)
,
(IF
(
C15542=""юридична особа""
,
VLOO"&amp;"KUP(D15542,IMPORTRANGE(""https://docs.google.com/spreadsheets/d/14Bd19lYaqBhU8_DElYkX7l4wRkHqqCUFNJY4AfY3kHU/edit?usp=sharing  #gid=0"",""фіз особи new!relations_name_uo""),7,FALSE)
,
)
))"),"ПІТКЕВИЧ Михайло Юрійович")</f>
        <v>ПІТКЕВИЧ Михайло Юрійович</v>
      </c>
      <c r="G15541" s="7" t="s">
        <v>10</v>
      </c>
      <c r="H15541" s="7">
        <v>19688</v>
      </c>
      <c r="I15541" s="8" t="str">
        <f ca="1">IFERROR(__xludf.DUMMYFUNCTION("IF
(
G15542=""фізична особа""
,
VLOOKUP(H15542,IMPORTRANGE(""https://docs.google.com/spreadsheets/d/14Bd19lYaqBhU8_DElYkX7l4wRkHqqCUFNJY4AfY3kHU/edit?usp=sharing  #gid=0"",""фіз особи new!relations_name""),6,FALSE)
,
(IF
(
G15542=""юридична особа""
,
VLOO"&amp;"KUP(H15542,IMPORTRANGE(""https://docs.google.com/spreadsheets/d/14Bd19lYaqBhU8_DElYkX7l4wRkHqqCUFNJY4AfY3kHU/edit?usp=sharing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41" s="7" t="s">
        <v>23</v>
      </c>
    </row>
    <row r="15542" spans="1:10" ht="13.2">
      <c r="A15542" s="7">
        <v>15541</v>
      </c>
      <c r="B15542" s="7">
        <v>1</v>
      </c>
      <c r="C15542" s="7" t="s">
        <v>10</v>
      </c>
      <c r="D15542" s="7">
        <v>19690</v>
      </c>
      <c r="E15542" s="7" t="s">
        <v>23</v>
      </c>
      <c r="F15542" s="8" t="str">
        <f ca="1">IFERROR(__xludf.DUMMYFUNCTION("IF
(
C15543=""фізична особа""
,
VLOOKUP(D15543,IMPORTRANGE(""https://docs.google.com/spreadsheets/d/14Bd19lYaqBhU8_DElYkX7l4wRkHqqCUFNJY4AfY3kHU/edit?usp=sharing  #gid=0"",""фіз особи new!relations_name""),6,FALSE)
,
(IF
(
C15543=""юридична особа""
,
VLOO"&amp;"KUP(D15543,IMPORTRANGE(""https://docs.google.com/spreadsheets/d/14Bd19lYaqBhU8_DElYkX7l4wRkHqqCUFNJY4AfY3kHU/edit?usp=sharing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2" s="7" t="s">
        <v>10</v>
      </c>
      <c r="H15542" s="7">
        <v>19681</v>
      </c>
      <c r="I15542" s="8" t="str">
        <f ca="1">IFERROR(__xludf.DUMMYFUNCTION("IF
(
G15543=""фізична особа""
,
VLOOKUP(H15543,IMPORTRANGE(""https://docs.google.com/spreadsheets/d/14Bd19lYaqBhU8_DElYkX7l4wRkHqqCUFNJY4AfY3kHU/edit?usp=sharing  #gid=0"",""фіз особи new!relations_name""),6,FALSE)
,
(IF
(
G15543=""юридична особа""
,
VLOO"&amp;"KUP(H15543,IMPORTRANGE(""https://docs.google.com/spreadsheets/d/14Bd19lYaqBhU8_DElYkX7l4wRkHqqCUFNJY4AfY3kHU/edit?usp=sharing  #gid=0"",""фіз особи new!relations_name_uo""),7,FALSE)
,
)
))"),"ПОНОМАРЬОВ Андрій Юрійович")</f>
        <v>ПОНОМАРЬОВ Андрій Юрійович</v>
      </c>
      <c r="J15542" s="7" t="s">
        <v>23</v>
      </c>
    </row>
    <row r="15543" spans="1:10" ht="13.2">
      <c r="A15543" s="7">
        <v>15542</v>
      </c>
      <c r="B15543" s="7">
        <v>1</v>
      </c>
      <c r="C15543" s="7" t="s">
        <v>10</v>
      </c>
      <c r="D15543" s="7">
        <v>19690</v>
      </c>
      <c r="E15543" s="7" t="s">
        <v>23</v>
      </c>
      <c r="F15543" s="8" t="str">
        <f ca="1">IFERROR(__xludf.DUMMYFUNCTION("IF
(
C15544=""фізична особа""
,
VLOOKUP(D15544,IMPORTRANGE(""https://docs.google.com/spreadsheets/d/14Bd19lYaqBhU8_DElYkX7l4wRkHqqCUFNJY4AfY3kHU/edit?usp=sharing  #gid=0"",""фіз особи new!relations_name""),6,FALSE)
,
(IF
(
C15544=""юридична особа""
,
VLOO"&amp;"KUP(D15544,IMPORTRANGE(""https://docs.google.com/spreadsheets/d/14Bd19lYaqBhU8_DElYkX7l4wRkHqqCUFNJY4AfY3kHU/edit?usp=sharing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3" s="7" t="s">
        <v>10</v>
      </c>
      <c r="H15543" s="7">
        <v>19682</v>
      </c>
      <c r="I15543" s="8" t="str">
        <f ca="1">IFERROR(__xludf.DUMMYFUNCTION("IF
(
G15544=""фізична особа""
,
VLOOKUP(H15544,IMPORTRANGE(""https://docs.google.com/spreadsheets/d/14Bd19lYaqBhU8_DElYkX7l4wRkHqqCUFNJY4AfY3kHU/edit?usp=sharing  #gid=0"",""фіз особи new!relations_name""),6,FALSE)
,
(IF
(
G15544=""юридична особа""
,
VLOO"&amp;"KUP(H15544,IMPORTRANGE(""https://docs.google.com/spreadsheets/d/14Bd19lYaqBhU8_DElYkX7l4wRkHqqCUFNJY4AfY3kHU/edit?usp=sharing  #gid=0"",""фіз особи new!relations_name_uo""),7,FALSE)
,
)
))"),"САЛТИКОВ Микита Анатолійович")</f>
        <v>САЛТИКОВ Микита Анатолійович</v>
      </c>
      <c r="J15543" s="7" t="s">
        <v>23</v>
      </c>
    </row>
    <row r="15544" spans="1:10" ht="13.2">
      <c r="A15544" s="7">
        <v>15543</v>
      </c>
      <c r="B15544" s="7">
        <v>1</v>
      </c>
      <c r="C15544" s="7" t="s">
        <v>10</v>
      </c>
      <c r="D15544" s="7">
        <v>19690</v>
      </c>
      <c r="E15544" s="7" t="s">
        <v>23</v>
      </c>
      <c r="F15544" s="8" t="str">
        <f ca="1">IFERROR(__xludf.DUMMYFUNCTION("IF
(
C15545=""фізична особа""
,
VLOOKUP(D15545,IMPORTRANGE(""https://docs.google.com/spreadsheets/d/14Bd19lYaqBhU8_DElYkX7l4wRkHqqCUFNJY4AfY3kHU/edit?usp=sharing  #gid=0"",""фіз особи new!relations_name""),6,FALSE)
,
(IF
(
C15545=""юридична особа""
,
VLOO"&amp;"KUP(D15545,IMPORTRANGE(""https://docs.google.com/spreadsheets/d/14Bd19lYaqBhU8_DElYkX7l4wRkHqqCUFNJY4AfY3kHU/edit?usp=sharing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4" s="7" t="s">
        <v>10</v>
      </c>
      <c r="H15544" s="7">
        <v>19683</v>
      </c>
      <c r="I15544" s="8" t="str">
        <f ca="1">IFERROR(__xludf.DUMMYFUNCTION("IF
(
G15545=""фізична особа""
,
VLOOKUP(H15545,IMPORTRANGE(""https://docs.google.com/spreadsheets/d/14Bd19lYaqBhU8_DElYkX7l4wRkHqqCUFNJY4AfY3kHU/edit?usp=sharing  #gid=0"",""фіз особи new!relations_name""),6,FALSE)
,
(IF
(
G15545=""юридична особа""
,
VLOO"&amp;"KUP(H15545,IMPORTRANGE(""https://docs.google.com/spreadsheets/d/14Bd19lYaqBhU8_DElYkX7l4wRkHqqCUFNJY4AfY3kHU/edit?usp=sharing  #gid=0"",""фіз особи new!relations_name_uo""),7,FALSE)
,
)
))"),"НАГОВІЦИН Олексій Васильович")</f>
        <v>НАГОВІЦИН Олексій Васильович</v>
      </c>
      <c r="J15544" s="7" t="s">
        <v>23</v>
      </c>
    </row>
    <row r="15545" spans="1:10" ht="13.2">
      <c r="A15545" s="7">
        <v>15544</v>
      </c>
      <c r="B15545" s="7">
        <v>1</v>
      </c>
      <c r="C15545" s="7" t="s">
        <v>10</v>
      </c>
      <c r="D15545" s="7">
        <v>19690</v>
      </c>
      <c r="E15545" s="7" t="s">
        <v>23</v>
      </c>
      <c r="F15545" s="8" t="str">
        <f ca="1">IFERROR(__xludf.DUMMYFUNCTION("IF
(
C15546=""фізична особа""
,
VLOOKUP(D15546,IMPORTRANGE(""https://docs.google.com/spreadsheets/d/14Bd19lYaqBhU8_DElYkX7l4wRkHqqCUFNJY4AfY3kHU/edit?usp=sharing  #gid=0"",""фіз особи new!relations_name""),6,FALSE)
,
(IF
(
C15546=""юридична особа""
,
VLOO"&amp;"KUP(D15546,IMPORTRANGE(""https://docs.google.com/spreadsheets/d/14Bd19lYaqBhU8_DElYkX7l4wRkHqqCUFNJY4AfY3kHU/edit?usp=sharing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5" s="7" t="s">
        <v>10</v>
      </c>
      <c r="H15545" s="7">
        <v>19684</v>
      </c>
      <c r="I15545" s="8" t="str">
        <f ca="1">IFERROR(__xludf.DUMMYFUNCTION("IF
(
G15546=""фізична особа""
,
VLOOKUP(H15546,IMPORTRANGE(""https://docs.google.com/spreadsheets/d/14Bd19lYaqBhU8_DElYkX7l4wRkHqqCUFNJY4AfY3kHU/edit?usp=sharing  #gid=0"",""фіз особи new!relations_name""),6,FALSE)
,
(IF
(
G15546=""юридична особа""
,
VLOO"&amp;"KUP(H15546,IMPORTRANGE(""https://docs.google.com/spreadsheets/d/14Bd19lYaqBhU8_DElYkX7l4wRkHqqCUFNJY4AfY3kHU/edit?usp=sharing  #gid=0"",""фіз особи new!relations_name_uo""),7,FALSE)
,
)
))"),"СМИШЛЯЄВ Ігор Володимирович")</f>
        <v>СМИШЛЯЄВ Ігор Володимирович</v>
      </c>
      <c r="J15545" s="7" t="s">
        <v>23</v>
      </c>
    </row>
    <row r="15546" spans="1:10" ht="13.2">
      <c r="A15546" s="7">
        <v>15545</v>
      </c>
      <c r="B15546" s="7">
        <v>1</v>
      </c>
      <c r="C15546" s="7" t="s">
        <v>10</v>
      </c>
      <c r="D15546" s="7">
        <v>19690</v>
      </c>
      <c r="E15546" s="7" t="s">
        <v>23</v>
      </c>
      <c r="F15546" s="8" t="str">
        <f ca="1">IFERROR(__xludf.DUMMYFUNCTION("IF
(
C15547=""фізична особа""
,
VLOOKUP(D15547,IMPORTRANGE(""https://docs.google.com/spreadsheets/d/14Bd19lYaqBhU8_DElYkX7l4wRkHqqCUFNJY4AfY3kHU/edit?usp=sharing  #gid=0"",""фіз особи new!relations_name""),6,FALSE)
,
(IF
(
C15547=""юридична особа""
,
VLOO"&amp;"KUP(D15547,IMPORTRANGE(""https://docs.google.com/spreadsheets/d/14Bd19lYaqBhU8_DElYkX7l4wRkHqqCUFNJY4AfY3kHU/edit?usp=sharing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6" s="7" t="s">
        <v>10</v>
      </c>
      <c r="H15546" s="7">
        <v>19685</v>
      </c>
      <c r="I15546" s="8" t="str">
        <f ca="1">IFERROR(__xludf.DUMMYFUNCTION("IF
(
G15547=""фізична особа""
,
VLOOKUP(H15547,IMPORTRANGE(""https://docs.google.com/spreadsheets/d/14Bd19lYaqBhU8_DElYkX7l4wRkHqqCUFNJY4AfY3kHU/edit?usp=sharing  #gid=0"",""фіз особи new!relations_name""),6,FALSE)
,
(IF
(
G15547=""юридична особа""
,
VLOO"&amp;"KUP(H15547,IMPORTRANGE(""https://docs.google.com/spreadsheets/d/14Bd19lYaqBhU8_DElYkX7l4wRkHqqCUFNJY4AfY3kHU/edit?usp=sharing  #gid=0"",""фіз особи new!relations_name_uo""),7,FALSE)
,
)
))"),"ШУТОВ Андрій Васильович")</f>
        <v>ШУТОВ Андрій Васильович</v>
      </c>
      <c r="J15546" s="7" t="s">
        <v>23</v>
      </c>
    </row>
    <row r="15547" spans="1:10" ht="13.2">
      <c r="A15547" s="7">
        <v>15546</v>
      </c>
      <c r="B15547" s="7">
        <v>1</v>
      </c>
      <c r="C15547" s="7" t="s">
        <v>10</v>
      </c>
      <c r="D15547" s="7">
        <v>19690</v>
      </c>
      <c r="E15547" s="7" t="s">
        <v>23</v>
      </c>
      <c r="F15547" s="8" t="str">
        <f ca="1">IFERROR(__xludf.DUMMYFUNCTION("IF
(
C15548=""фізична особа""
,
VLOOKUP(D15548,IMPORTRANGE(""https://docs.google.com/spreadsheets/d/14Bd19lYaqBhU8_DElYkX7l4wRkHqqCUFNJY4AfY3kHU/edit?usp=sharing  #gid=0"",""фіз особи new!relations_name""),6,FALSE)
,
(IF
(
C15548=""юридична особа""
,
VLOO"&amp;"KUP(D15548,IMPORTRANGE(""https://docs.google.com/spreadsheets/d/14Bd19lYaqBhU8_DElYkX7l4wRkHqqCUFNJY4AfY3kHU/edit?usp=sharing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7" s="7" t="s">
        <v>10</v>
      </c>
      <c r="H15547" s="7">
        <v>19686</v>
      </c>
      <c r="I15547" s="8" t="str">
        <f ca="1">IFERROR(__xludf.DUMMYFUNCTION("IF
(
G15548=""фізична особа""
,
VLOOKUP(H15548,IMPORTRANGE(""https://docs.google.com/spreadsheets/d/14Bd19lYaqBhU8_DElYkX7l4wRkHqqCUFNJY4AfY3kHU/edit?usp=sharing  #gid=0"",""фіз особи new!relations_name""),6,FALSE)
,
(IF
(
G15548=""юридична особа""
,
VLOO"&amp;"KUP(H15548,IMPORTRANGE(""https://docs.google.com/spreadsheets/d/14Bd19lYaqBhU8_DElYkX7l4wRkHqqCUFNJY4AfY3kHU/edit?usp=sharing  #gid=0"",""фіз особи new!relations_name_uo""),7,FALSE)
,
)
))"),"П'ЯНКОВ Олексій Якович")</f>
        <v>П'ЯНКОВ Олексій Якович</v>
      </c>
      <c r="J15547" s="7" t="s">
        <v>23</v>
      </c>
    </row>
    <row r="15548" spans="1:10" ht="13.2">
      <c r="A15548" s="7">
        <v>15547</v>
      </c>
      <c r="B15548" s="7">
        <v>1</v>
      </c>
      <c r="C15548" s="7" t="s">
        <v>10</v>
      </c>
      <c r="D15548" s="7">
        <v>19690</v>
      </c>
      <c r="E15548" s="7" t="s">
        <v>23</v>
      </c>
      <c r="F15548" s="8" t="str">
        <f ca="1">IFERROR(__xludf.DUMMYFUNCTION("IF
(
C15549=""фізична особа""
,
VLOOKUP(D15549,IMPORTRANGE(""https://docs.google.com/spreadsheets/d/14Bd19lYaqBhU8_DElYkX7l4wRkHqqCUFNJY4AfY3kHU/edit?usp=sharing  #gid=0"",""фіз особи new!relations_name""),6,FALSE)
,
(IF
(
C15549=""юридична особа""
,
VLOO"&amp;"KUP(D15549,IMPORTRANGE(""https://docs.google.com/spreadsheets/d/14Bd19lYaqBhU8_DElYkX7l4wRkHqqCUFNJY4AfY3kHU/edit?usp=sharing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8" s="7" t="s">
        <v>10</v>
      </c>
      <c r="H15548" s="7">
        <v>19687</v>
      </c>
      <c r="I15548" s="8" t="str">
        <f ca="1">IFERROR(__xludf.DUMMYFUNCTION("IF
(
G15549=""фізична особа""
,
VLOOKUP(H15549,IMPORTRANGE(""https://docs.google.com/spreadsheets/d/14Bd19lYaqBhU8_DElYkX7l4wRkHqqCUFNJY4AfY3kHU/edit?usp=sharing  #gid=0"",""фіз особи new!relations_name""),6,FALSE)
,
(IF
(
G15549=""юридична особа""
,
VLOO"&amp;"KUP(H15549,IMPORTRANGE(""https://docs.google.com/spreadsheets/d/14Bd19lYaqBhU8_DElYkX7l4wRkHqqCUFNJY4AfY3kHU/edit?usp=sharing  #gid=0"",""фіз особи new!relations_name_uo""),7,FALSE)
,
)
))"),"ВЕРЕТЕННІКОВ Олександр Леонідович")</f>
        <v>ВЕРЕТЕННІКОВ Олександр Леонідович</v>
      </c>
      <c r="J15548" s="7" t="s">
        <v>23</v>
      </c>
    </row>
    <row r="15549" spans="1:10" ht="13.2">
      <c r="A15549" s="7">
        <v>15548</v>
      </c>
      <c r="B15549" s="7">
        <v>1</v>
      </c>
      <c r="C15549" s="7" t="s">
        <v>10</v>
      </c>
      <c r="D15549" s="7">
        <v>19690</v>
      </c>
      <c r="E15549" s="7" t="s">
        <v>23</v>
      </c>
      <c r="F15549" s="8" t="str">
        <f ca="1">IFERROR(__xludf.DUMMYFUNCTION("IF
(
C15550=""фізична особа""
,
VLOOKUP(D15550,IMPORTRANGE(""https://docs.google.com/spreadsheets/d/14Bd19lYaqBhU8_DElYkX7l4wRkHqqCUFNJY4AfY3kHU/edit?usp=sharing  #gid=0"",""фіз особи new!relations_name""),6,FALSE)
,
(IF
(
C15550=""юридична особа""
,
VLOO"&amp;"KUP(D15550,IMPORTRANGE(""https://docs.google.com/spreadsheets/d/14Bd19lYaqBhU8_DElYkX7l4wRkHqqCUFNJY4AfY3kHU/edit?usp=sharing  #gid=0"",""фіз особи new!relations_name_uo""),7,FALSE)
,
)
))"),"ВОЛКОВ Андрій Олександрович")</f>
        <v>ВОЛКОВ Андрій Олександрович</v>
      </c>
      <c r="G15549" s="7" t="s">
        <v>10</v>
      </c>
      <c r="H15549" s="7">
        <v>19688</v>
      </c>
      <c r="I15549" s="8" t="str">
        <f ca="1">IFERROR(__xludf.DUMMYFUNCTION("IF
(
G15550=""фізична особа""
,
VLOOKUP(H15550,IMPORTRANGE(""https://docs.google.com/spreadsheets/d/14Bd19lYaqBhU8_DElYkX7l4wRkHqqCUFNJY4AfY3kHU/edit?usp=sharing  #gid=0"",""фіз особи new!relations_name""),6,FALSE)
,
(IF
(
G15550=""юридична особа""
,
VLOO"&amp;"KUP(H15550,IMPORTRANGE(""https://docs.google.com/spreadsheets/d/14Bd19lYaqBhU8_DElYkX7l4wRkHqqCUFNJY4AfY3kHU/edit?usp=sharing  #gid=0"",""фіз особи new!relations_name_uo""),7,FALSE)
,
)
))"),"КОЛЄДА Марина Олександрівна")</f>
        <v>КОЛЄДА Марина Олександрівна</v>
      </c>
      <c r="J15549" s="7" t="s">
        <v>23</v>
      </c>
    </row>
    <row r="15550" spans="1:10" ht="13.2">
      <c r="A15550" s="7">
        <v>15549</v>
      </c>
      <c r="B15550" s="7">
        <v>1</v>
      </c>
      <c r="C15550" s="7" t="s">
        <v>10</v>
      </c>
      <c r="D15550" s="7">
        <v>19691</v>
      </c>
      <c r="E15550" s="7" t="s">
        <v>23</v>
      </c>
      <c r="F15550" s="8" t="str">
        <f ca="1">IFERROR(__xludf.DUMMYFUNCTION("IF
(
C15551=""фізична особа""
,
VLOOKUP(D15551,IMPORTRANGE(""https://docs.google.com/spreadsheets/d/14Bd19lYaqBhU8_DElYkX7l4wRkHqqCUFNJY4AfY3kHU/edit?usp=sharing  #gid=0"",""фіз особи new!relations_name""),6,FALSE)
,
(IF
(
C15551=""юридична особа""
,
VLOO"&amp;"KUP(D15551,IMPORTRANGE(""https://docs.google.com/spreadsheets/d/14Bd19lYaqBhU8_DElYkX7l4wRkHqqCUFNJY4AfY3kHU/edit?usp=sharing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0" s="7" t="s">
        <v>10</v>
      </c>
      <c r="H15550" s="7">
        <v>19692</v>
      </c>
      <c r="I15550" s="8" t="str">
        <f ca="1">IFERROR(__xludf.DUMMYFUNCTION("IF
(
G15551=""фізична особа""
,
VLOOKUP(H15551,IMPORTRANGE(""https://docs.google.com/spreadsheets/d/14Bd19lYaqBhU8_DElYkX7l4wRkHqqCUFNJY4AfY3kHU/edit?usp=sharing  #gid=0"",""фіз особи new!relations_name""),6,FALSE)
,
(IF
(
G15551=""юридична особа""
,
VLOO"&amp;"KUP(H15551,IMPORTRANGE(""https://docs.google.com/spreadsheets/d/14Bd19lYaqBhU8_DElYkX7l4wRkHqqCUFNJY4AfY3kHU/edit?usp=sharing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50" s="7" t="s">
        <v>23</v>
      </c>
    </row>
    <row r="15551" spans="1:10" ht="13.2">
      <c r="A15551" s="7">
        <v>15550</v>
      </c>
      <c r="B15551" s="7">
        <v>1</v>
      </c>
      <c r="C15551" s="7" t="s">
        <v>10</v>
      </c>
      <c r="D15551" s="7">
        <v>19691</v>
      </c>
      <c r="E15551" s="7" t="s">
        <v>23</v>
      </c>
      <c r="F15551" s="8" t="str">
        <f ca="1">IFERROR(__xludf.DUMMYFUNCTION("IF
(
C15552=""фізична особа""
,
VLOOKUP(D15552,IMPORTRANGE(""https://docs.google.com/spreadsheets/d/14Bd19lYaqBhU8_DElYkX7l4wRkHqqCUFNJY4AfY3kHU/edit?usp=sharing  #gid=0"",""фіз особи new!relations_name""),6,FALSE)
,
(IF
(
C15552=""юридична особа""
,
VLOO"&amp;"KUP(D15552,IMPORTRANGE(""https://docs.google.com/spreadsheets/d/14Bd19lYaqBhU8_DElYkX7l4wRkHqqCUFNJY4AfY3kHU/edit?usp=sharing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1" s="7" t="s">
        <v>10</v>
      </c>
      <c r="H15551" s="7">
        <v>19693</v>
      </c>
      <c r="I15551" s="8" t="str">
        <f ca="1">IFERROR(__xludf.DUMMYFUNCTION("IF
(
G15552=""фізична особа""
,
VLOOKUP(H15552,IMPORTRANGE(""https://docs.google.com/spreadsheets/d/14Bd19lYaqBhU8_DElYkX7l4wRkHqqCUFNJY4AfY3kHU/edit?usp=sharing  #gid=0"",""фіз особи new!relations_name""),6,FALSE)
,
(IF
(
G15552=""юридична особа""
,
VLOO"&amp;"KUP(H15552,IMPORTRANGE(""https://docs.google.com/spreadsheets/d/14Bd19lYaqBhU8_DElYkX7l4wRkHqqCUFNJY4AfY3kHU/edit?usp=sharing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51" s="7" t="s">
        <v>23</v>
      </c>
    </row>
    <row r="15552" spans="1:10" ht="13.2">
      <c r="A15552" s="7">
        <v>15551</v>
      </c>
      <c r="B15552" s="7">
        <v>1</v>
      </c>
      <c r="C15552" s="7" t="s">
        <v>10</v>
      </c>
      <c r="D15552" s="7">
        <v>19691</v>
      </c>
      <c r="E15552" s="7" t="s">
        <v>23</v>
      </c>
      <c r="F15552" s="8" t="str">
        <f ca="1">IFERROR(__xludf.DUMMYFUNCTION("IF
(
C15553=""фізична особа""
,
VLOOKUP(D15553,IMPORTRANGE(""https://docs.google.com/spreadsheets/d/14Bd19lYaqBhU8_DElYkX7l4wRkHqqCUFNJY4AfY3kHU/edit?usp=sharing  #gid=0"",""фіз особи new!relations_name""),6,FALSE)
,
(IF
(
C15553=""юридична особа""
,
VLOO"&amp;"KUP(D15553,IMPORTRANGE(""https://docs.google.com/spreadsheets/d/14Bd19lYaqBhU8_DElYkX7l4wRkHqqCUFNJY4AfY3kHU/edit?usp=sharing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2" s="7" t="s">
        <v>10</v>
      </c>
      <c r="H15552" s="7">
        <v>19694</v>
      </c>
      <c r="I15552" s="8" t="str">
        <f ca="1">IFERROR(__xludf.DUMMYFUNCTION("IF
(
G15553=""фізична особа""
,
VLOOKUP(H15553,IMPORTRANGE(""https://docs.google.com/spreadsheets/d/14Bd19lYaqBhU8_DElYkX7l4wRkHqqCUFNJY4AfY3kHU/edit?usp=sharing  #gid=0"",""фіз особи new!relations_name""),6,FALSE)
,
(IF
(
G15553=""юридична особа""
,
VLOO"&amp;"KUP(H15553,IMPORTRANGE(""https://docs.google.com/spreadsheets/d/14Bd19lYaqBhU8_DElYkX7l4wRkHqqCUFNJY4AfY3kHU/edit?usp=sharing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52" s="7" t="s">
        <v>23</v>
      </c>
    </row>
    <row r="15553" spans="1:10" ht="13.2">
      <c r="A15553" s="7">
        <v>15552</v>
      </c>
      <c r="B15553" s="7">
        <v>1</v>
      </c>
      <c r="C15553" s="7" t="s">
        <v>10</v>
      </c>
      <c r="D15553" s="7">
        <v>19691</v>
      </c>
      <c r="E15553" s="7" t="s">
        <v>23</v>
      </c>
      <c r="F15553" s="8" t="str">
        <f ca="1">IFERROR(__xludf.DUMMYFUNCTION("IF
(
C15554=""фізична особа""
,
VLOOKUP(D15554,IMPORTRANGE(""https://docs.google.com/spreadsheets/d/14Bd19lYaqBhU8_DElYkX7l4wRkHqqCUFNJY4AfY3kHU/edit?usp=sharing  #gid=0"",""фіз особи new!relations_name""),6,FALSE)
,
(IF
(
C15554=""юридична особа""
,
VLOO"&amp;"KUP(D15554,IMPORTRANGE(""https://docs.google.com/spreadsheets/d/14Bd19lYaqBhU8_DElYkX7l4wRkHqqCUFNJY4AfY3kHU/edit?usp=sharing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3" s="7" t="s">
        <v>10</v>
      </c>
      <c r="H15553" s="7">
        <v>19695</v>
      </c>
      <c r="I15553" s="8" t="str">
        <f ca="1">IFERROR(__xludf.DUMMYFUNCTION("IF
(
G15554=""фізична особа""
,
VLOOKUP(H15554,IMPORTRANGE(""https://docs.google.com/spreadsheets/d/14Bd19lYaqBhU8_DElYkX7l4wRkHqqCUFNJY4AfY3kHU/edit?usp=sharing  #gid=0"",""фіз особи new!relations_name""),6,FALSE)
,
(IF
(
G15554=""юридична особа""
,
VLOO"&amp;"KUP(H15554,IMPORTRANGE(""https://docs.google.com/spreadsheets/d/14Bd19lYaqBhU8_DElYkX7l4wRkHqqCUFNJY4AfY3kHU/edit?usp=sharing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53" s="7" t="s">
        <v>23</v>
      </c>
    </row>
    <row r="15554" spans="1:10" ht="13.2">
      <c r="A15554" s="7">
        <v>15553</v>
      </c>
      <c r="B15554" s="7">
        <v>1</v>
      </c>
      <c r="C15554" s="7" t="s">
        <v>10</v>
      </c>
      <c r="D15554" s="7">
        <v>19691</v>
      </c>
      <c r="E15554" s="7" t="s">
        <v>23</v>
      </c>
      <c r="F15554" s="8" t="str">
        <f ca="1">IFERROR(__xludf.DUMMYFUNCTION("IF
(
C15555=""фізична особа""
,
VLOOKUP(D15555,IMPORTRANGE(""https://docs.google.com/spreadsheets/d/14Bd19lYaqBhU8_DElYkX7l4wRkHqqCUFNJY4AfY3kHU/edit?usp=sharing  #gid=0"",""фіз особи new!relations_name""),6,FALSE)
,
(IF
(
C15555=""юридична особа""
,
VLOO"&amp;"KUP(D15555,IMPORTRANGE(""https://docs.google.com/spreadsheets/d/14Bd19lYaqBhU8_DElYkX7l4wRkHqqCUFNJY4AfY3kHU/edit?usp=sharing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4" s="7" t="s">
        <v>10</v>
      </c>
      <c r="H15554" s="7">
        <v>19696</v>
      </c>
      <c r="I15554" s="8" t="str">
        <f ca="1">IFERROR(__xludf.DUMMYFUNCTION("IF
(
G15555=""фізична особа""
,
VLOOKUP(H15555,IMPORTRANGE(""https://docs.google.com/spreadsheets/d/14Bd19lYaqBhU8_DElYkX7l4wRkHqqCUFNJY4AfY3kHU/edit?usp=sharing  #gid=0"",""фіз особи new!relations_name""),6,FALSE)
,
(IF
(
G15555=""юридична особа""
,
VLOO"&amp;"KUP(H15555,IMPORTRANGE(""https://docs.google.com/spreadsheets/d/14Bd19lYaqBhU8_DElYkX7l4wRkHqqCUFNJY4AfY3kHU/edit?usp=sharing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54" s="7" t="s">
        <v>23</v>
      </c>
    </row>
    <row r="15555" spans="1:10" ht="13.2">
      <c r="A15555" s="7">
        <v>15554</v>
      </c>
      <c r="B15555" s="7">
        <v>1</v>
      </c>
      <c r="C15555" s="7" t="s">
        <v>10</v>
      </c>
      <c r="D15555" s="7">
        <v>19691</v>
      </c>
      <c r="E15555" s="7" t="s">
        <v>23</v>
      </c>
      <c r="F15555" s="8" t="str">
        <f ca="1">IFERROR(__xludf.DUMMYFUNCTION("IF
(
C15556=""фізична особа""
,
VLOOKUP(D15556,IMPORTRANGE(""https://docs.google.com/spreadsheets/d/14Bd19lYaqBhU8_DElYkX7l4wRkHqqCUFNJY4AfY3kHU/edit?usp=sharing  #gid=0"",""фіз особи new!relations_name""),6,FALSE)
,
(IF
(
C15556=""юридична особа""
,
VLOO"&amp;"KUP(D15556,IMPORTRANGE(""https://docs.google.com/spreadsheets/d/14Bd19lYaqBhU8_DElYkX7l4wRkHqqCUFNJY4AfY3kHU/edit?usp=sharing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G15555" s="7" t="s">
        <v>10</v>
      </c>
      <c r="H15555" s="7">
        <v>19697</v>
      </c>
      <c r="I15555" s="8" t="str">
        <f ca="1">IFERROR(__xludf.DUMMYFUNCTION("IF
(
G15556=""фізична особа""
,
VLOOKUP(H15556,IMPORTRANGE(""https://docs.google.com/spreadsheets/d/14Bd19lYaqBhU8_DElYkX7l4wRkHqqCUFNJY4AfY3kHU/edit?usp=sharing  #gid=0"",""фіз особи new!relations_name""),6,FALSE)
,
(IF
(
G15556=""юридична особа""
,
VLOO"&amp;"KUP(H15556,IMPORTRANGE(""https://docs.google.com/spreadsheets/d/14Bd19lYaqBhU8_DElYkX7l4wRkHqqCUFNJY4AfY3kHU/edit?usp=sharing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55" s="7" t="s">
        <v>23</v>
      </c>
    </row>
    <row r="15556" spans="1:10" ht="13.2">
      <c r="A15556" s="7">
        <v>15555</v>
      </c>
      <c r="B15556" s="7">
        <v>1</v>
      </c>
      <c r="C15556" s="7" t="s">
        <v>10</v>
      </c>
      <c r="D15556" s="7">
        <v>19692</v>
      </c>
      <c r="E15556" s="7" t="s">
        <v>23</v>
      </c>
      <c r="F15556" s="8" t="str">
        <f ca="1">IFERROR(__xludf.DUMMYFUNCTION("IF
(
C15557=""фізична особа""
,
VLOOKUP(D15557,IMPORTRANGE(""https://docs.google.com/spreadsheets/d/14Bd19lYaqBhU8_DElYkX7l4wRkHqqCUFNJY4AfY3kHU/edit?usp=sharing  #gid=0"",""фіз особи new!relations_name""),6,FALSE)
,
(IF
(
C15557=""юридична особа""
,
VLOO"&amp;"KUP(D15557,IMPORTRANGE(""https://docs.google.com/spreadsheets/d/14Bd19lYaqBhU8_DElYkX7l4wRkHqqCUFNJY4AfY3kHU/edit?usp=sharing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56" s="7" t="s">
        <v>10</v>
      </c>
      <c r="H15556" s="7">
        <v>19691</v>
      </c>
      <c r="I15556" s="8" t="str">
        <f ca="1">IFERROR(__xludf.DUMMYFUNCTION("IF
(
G15557=""фізична особа""
,
VLOOKUP(H15557,IMPORTRANGE(""https://docs.google.com/spreadsheets/d/14Bd19lYaqBhU8_DElYkX7l4wRkHqqCUFNJY4AfY3kHU/edit?usp=sharing  #gid=0"",""фіз особи new!relations_name""),6,FALSE)
,
(IF
(
G15557=""юридична особа""
,
VLOO"&amp;"KUP(H15557,IMPORTRANGE(""https://docs.google.com/spreadsheets/d/14Bd19lYaqBhU8_DElYkX7l4wRkHqqCUFNJY4AfY3kHU/edit?usp=sharing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56" s="7" t="s">
        <v>23</v>
      </c>
    </row>
    <row r="15557" spans="1:10" ht="13.2">
      <c r="A15557" s="7">
        <v>15556</v>
      </c>
      <c r="B15557" s="7">
        <v>1</v>
      </c>
      <c r="C15557" s="7" t="s">
        <v>10</v>
      </c>
      <c r="D15557" s="7">
        <v>19692</v>
      </c>
      <c r="E15557" s="7" t="s">
        <v>23</v>
      </c>
      <c r="F15557" s="8" t="str">
        <f ca="1">IFERROR(__xludf.DUMMYFUNCTION("IF
(
C15558=""фізична особа""
,
VLOOKUP(D15558,IMPORTRANGE(""https://docs.google.com/spreadsheets/d/14Bd19lYaqBhU8_DElYkX7l4wRkHqqCUFNJY4AfY3kHU/edit?usp=sharing  #gid=0"",""фіз особи new!relations_name""),6,FALSE)
,
(IF
(
C15558=""юридична особа""
,
VLOO"&amp;"KUP(D15558,IMPORTRANGE(""https://docs.google.com/spreadsheets/d/14Bd19lYaqBhU8_DElYkX7l4wRkHqqCUFNJY4AfY3kHU/edit?usp=sharing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57" s="7" t="s">
        <v>10</v>
      </c>
      <c r="H15557" s="7">
        <v>19693</v>
      </c>
      <c r="I15557" s="8" t="str">
        <f ca="1">IFERROR(__xludf.DUMMYFUNCTION("IF
(
G15558=""фізична особа""
,
VLOOKUP(H15558,IMPORTRANGE(""https://docs.google.com/spreadsheets/d/14Bd19lYaqBhU8_DElYkX7l4wRkHqqCUFNJY4AfY3kHU/edit?usp=sharing  #gid=0"",""фіз особи new!relations_name""),6,FALSE)
,
(IF
(
G15558=""юридична особа""
,
VLOO"&amp;"KUP(H15558,IMPORTRANGE(""https://docs.google.com/spreadsheets/d/14Bd19lYaqBhU8_DElYkX7l4wRkHqqCUFNJY4AfY3kHU/edit?usp=sharing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57" s="7" t="s">
        <v>23</v>
      </c>
    </row>
    <row r="15558" spans="1:10" ht="13.2">
      <c r="A15558" s="7">
        <v>15557</v>
      </c>
      <c r="B15558" s="7">
        <v>1</v>
      </c>
      <c r="C15558" s="7" t="s">
        <v>10</v>
      </c>
      <c r="D15558" s="7">
        <v>19692</v>
      </c>
      <c r="E15558" s="7" t="s">
        <v>23</v>
      </c>
      <c r="F15558" s="8" t="str">
        <f ca="1">IFERROR(__xludf.DUMMYFUNCTION("IF
(
C15559=""фізична особа""
,
VLOOKUP(D15559,IMPORTRANGE(""https://docs.google.com/spreadsheets/d/14Bd19lYaqBhU8_DElYkX7l4wRkHqqCUFNJY4AfY3kHU/edit?usp=sharing  #gid=0"",""фіз особи new!relations_name""),6,FALSE)
,
(IF
(
C15559=""юридична особа""
,
VLOO"&amp;"KUP(D15559,IMPORTRANGE(""https://docs.google.com/spreadsheets/d/14Bd19lYaqBhU8_DElYkX7l4wRkHqqCUFNJY4AfY3kHU/edit?usp=sharing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58" s="7" t="s">
        <v>10</v>
      </c>
      <c r="H15558" s="7">
        <v>19694</v>
      </c>
      <c r="I15558" s="8" t="str">
        <f ca="1">IFERROR(__xludf.DUMMYFUNCTION("IF
(
G15559=""фізична особа""
,
VLOOKUP(H15559,IMPORTRANGE(""https://docs.google.com/spreadsheets/d/14Bd19lYaqBhU8_DElYkX7l4wRkHqqCUFNJY4AfY3kHU/edit?usp=sharing  #gid=0"",""фіз особи new!relations_name""),6,FALSE)
,
(IF
(
G15559=""юридична особа""
,
VLOO"&amp;"KUP(H15559,IMPORTRANGE(""https://docs.google.com/spreadsheets/d/14Bd19lYaqBhU8_DElYkX7l4wRkHqqCUFNJY4AfY3kHU/edit?usp=sharing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58" s="7" t="s">
        <v>23</v>
      </c>
    </row>
    <row r="15559" spans="1:10" ht="13.2">
      <c r="A15559" s="7">
        <v>15558</v>
      </c>
      <c r="B15559" s="7">
        <v>1</v>
      </c>
      <c r="C15559" s="7" t="s">
        <v>10</v>
      </c>
      <c r="D15559" s="7">
        <v>19692</v>
      </c>
      <c r="E15559" s="7" t="s">
        <v>23</v>
      </c>
      <c r="F15559" s="8" t="str">
        <f ca="1">IFERROR(__xludf.DUMMYFUNCTION("IF
(
C15560=""фізична особа""
,
VLOOKUP(D15560,IMPORTRANGE(""https://docs.google.com/spreadsheets/d/14Bd19lYaqBhU8_DElYkX7l4wRkHqqCUFNJY4AfY3kHU/edit?usp=sharing  #gid=0"",""фіз особи new!relations_name""),6,FALSE)
,
(IF
(
C15560=""юридична особа""
,
VLOO"&amp;"KUP(D15560,IMPORTRANGE(""https://docs.google.com/spreadsheets/d/14Bd19lYaqBhU8_DElYkX7l4wRkHqqCUFNJY4AfY3kHU/edit?usp=sharing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59" s="7" t="s">
        <v>10</v>
      </c>
      <c r="H15559" s="7">
        <v>19695</v>
      </c>
      <c r="I15559" s="8" t="str">
        <f ca="1">IFERROR(__xludf.DUMMYFUNCTION("IF
(
G15560=""фізична особа""
,
VLOOKUP(H15560,IMPORTRANGE(""https://docs.google.com/spreadsheets/d/14Bd19lYaqBhU8_DElYkX7l4wRkHqqCUFNJY4AfY3kHU/edit?usp=sharing  #gid=0"",""фіз особи new!relations_name""),6,FALSE)
,
(IF
(
G15560=""юридична особа""
,
VLOO"&amp;"KUP(H15560,IMPORTRANGE(""https://docs.google.com/spreadsheets/d/14Bd19lYaqBhU8_DElYkX7l4wRkHqqCUFNJY4AfY3kHU/edit?usp=sharing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59" s="7" t="s">
        <v>23</v>
      </c>
    </row>
    <row r="15560" spans="1:10" ht="13.2">
      <c r="A15560" s="7">
        <v>15559</v>
      </c>
      <c r="B15560" s="7">
        <v>1</v>
      </c>
      <c r="C15560" s="7" t="s">
        <v>10</v>
      </c>
      <c r="D15560" s="7">
        <v>19692</v>
      </c>
      <c r="E15560" s="7" t="s">
        <v>23</v>
      </c>
      <c r="F15560" s="8" t="str">
        <f ca="1">IFERROR(__xludf.DUMMYFUNCTION("IF
(
C15561=""фізична особа""
,
VLOOKUP(D15561,IMPORTRANGE(""https://docs.google.com/spreadsheets/d/14Bd19lYaqBhU8_DElYkX7l4wRkHqqCUFNJY4AfY3kHU/edit?usp=sharing  #gid=0"",""фіз особи new!relations_name""),6,FALSE)
,
(IF
(
C15561=""юридична особа""
,
VLOO"&amp;"KUP(D15561,IMPORTRANGE(""https://docs.google.com/spreadsheets/d/14Bd19lYaqBhU8_DElYkX7l4wRkHqqCUFNJY4AfY3kHU/edit?usp=sharing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60" s="7" t="s">
        <v>10</v>
      </c>
      <c r="H15560" s="7">
        <v>19696</v>
      </c>
      <c r="I15560" s="8" t="str">
        <f ca="1">IFERROR(__xludf.DUMMYFUNCTION("IF
(
G15561=""фізична особа""
,
VLOOKUP(H15561,IMPORTRANGE(""https://docs.google.com/spreadsheets/d/14Bd19lYaqBhU8_DElYkX7l4wRkHqqCUFNJY4AfY3kHU/edit?usp=sharing  #gid=0"",""фіз особи new!relations_name""),6,FALSE)
,
(IF
(
G15561=""юридична особа""
,
VLOO"&amp;"KUP(H15561,IMPORTRANGE(""https://docs.google.com/spreadsheets/d/14Bd19lYaqBhU8_DElYkX7l4wRkHqqCUFNJY4AfY3kHU/edit?usp=sharing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60" s="7" t="s">
        <v>23</v>
      </c>
    </row>
    <row r="15561" spans="1:10" ht="13.2">
      <c r="A15561" s="7">
        <v>15560</v>
      </c>
      <c r="B15561" s="7">
        <v>1</v>
      </c>
      <c r="C15561" s="7" t="s">
        <v>10</v>
      </c>
      <c r="D15561" s="7">
        <v>19692</v>
      </c>
      <c r="E15561" s="7" t="s">
        <v>23</v>
      </c>
      <c r="F15561" s="8" t="str">
        <f ca="1">IFERROR(__xludf.DUMMYFUNCTION("IF
(
C15562=""фізична особа""
,
VLOOKUP(D15562,IMPORTRANGE(""https://docs.google.com/spreadsheets/d/14Bd19lYaqBhU8_DElYkX7l4wRkHqqCUFNJY4AfY3kHU/edit?usp=sharing  #gid=0"",""фіз особи new!relations_name""),6,FALSE)
,
(IF
(
C15562=""юридична особа""
,
VLOO"&amp;"KUP(D15562,IMPORTRANGE(""https://docs.google.com/spreadsheets/d/14Bd19lYaqBhU8_DElYkX7l4wRkHqqCUFNJY4AfY3kHU/edit?usp=sharing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G15561" s="7" t="s">
        <v>10</v>
      </c>
      <c r="H15561" s="7">
        <v>19697</v>
      </c>
      <c r="I15561" s="8" t="str">
        <f ca="1">IFERROR(__xludf.DUMMYFUNCTION("IF
(
G15562=""фізична особа""
,
VLOOKUP(H15562,IMPORTRANGE(""https://docs.google.com/spreadsheets/d/14Bd19lYaqBhU8_DElYkX7l4wRkHqqCUFNJY4AfY3kHU/edit?usp=sharing  #gid=0"",""фіз особи new!relations_name""),6,FALSE)
,
(IF
(
G15562=""юридична особа""
,
VLOO"&amp;"KUP(H15562,IMPORTRANGE(""https://docs.google.com/spreadsheets/d/14Bd19lYaqBhU8_DElYkX7l4wRkHqqCUFNJY4AfY3kHU/edit?usp=sharing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61" s="7" t="s">
        <v>23</v>
      </c>
    </row>
    <row r="15562" spans="1:10" ht="13.2">
      <c r="A15562" s="7">
        <v>15561</v>
      </c>
      <c r="B15562" s="7">
        <v>1</v>
      </c>
      <c r="C15562" s="7" t="s">
        <v>10</v>
      </c>
      <c r="D15562" s="7">
        <v>19693</v>
      </c>
      <c r="E15562" s="7" t="s">
        <v>23</v>
      </c>
      <c r="F15562" s="8" t="str">
        <f ca="1">IFERROR(__xludf.DUMMYFUNCTION("IF
(
C15563=""фізична особа""
,
VLOOKUP(D15563,IMPORTRANGE(""https://docs.google.com/spreadsheets/d/14Bd19lYaqBhU8_DElYkX7l4wRkHqqCUFNJY4AfY3kHU/edit?usp=sharing  #gid=0"",""фіз особи new!relations_name""),6,FALSE)
,
(IF
(
C15563=""юридична особа""
,
VLOO"&amp;"KUP(D15563,IMPORTRANGE(""https://docs.google.com/spreadsheets/d/14Bd19lYaqBhU8_DElYkX7l4wRkHqqCUFNJY4AfY3kHU/edit?usp=sharing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2" s="7" t="s">
        <v>10</v>
      </c>
      <c r="H15562" s="7">
        <v>19691</v>
      </c>
      <c r="I15562" s="8" t="str">
        <f ca="1">IFERROR(__xludf.DUMMYFUNCTION("IF
(
G15563=""фізична особа""
,
VLOOKUP(H15563,IMPORTRANGE(""https://docs.google.com/spreadsheets/d/14Bd19lYaqBhU8_DElYkX7l4wRkHqqCUFNJY4AfY3kHU/edit?usp=sharing  #gid=0"",""фіз особи new!relations_name""),6,FALSE)
,
(IF
(
G15563=""юридична особа""
,
VLOO"&amp;"KUP(H15563,IMPORTRANGE(""https://docs.google.com/spreadsheets/d/14Bd19lYaqBhU8_DElYkX7l4wRkHqqCUFNJY4AfY3kHU/edit?usp=sharing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62" s="7" t="s">
        <v>23</v>
      </c>
    </row>
    <row r="15563" spans="1:10" ht="13.2">
      <c r="A15563" s="7">
        <v>15562</v>
      </c>
      <c r="B15563" s="7">
        <v>1</v>
      </c>
      <c r="C15563" s="7" t="s">
        <v>10</v>
      </c>
      <c r="D15563" s="7">
        <v>19693</v>
      </c>
      <c r="E15563" s="7" t="s">
        <v>23</v>
      </c>
      <c r="F15563" s="8" t="str">
        <f ca="1">IFERROR(__xludf.DUMMYFUNCTION("IF
(
C15564=""фізична особа""
,
VLOOKUP(D15564,IMPORTRANGE(""https://docs.google.com/spreadsheets/d/14Bd19lYaqBhU8_DElYkX7l4wRkHqqCUFNJY4AfY3kHU/edit?usp=sharing  #gid=0"",""фіз особи new!relations_name""),6,FALSE)
,
(IF
(
C15564=""юридична особа""
,
VLOO"&amp;"KUP(D15564,IMPORTRANGE(""https://docs.google.com/spreadsheets/d/14Bd19lYaqBhU8_DElYkX7l4wRkHqqCUFNJY4AfY3kHU/edit?usp=sharing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3" s="7" t="s">
        <v>10</v>
      </c>
      <c r="H15563" s="7">
        <v>19692</v>
      </c>
      <c r="I15563" s="8" t="str">
        <f ca="1">IFERROR(__xludf.DUMMYFUNCTION("IF
(
G15564=""фізична особа""
,
VLOOKUP(H15564,IMPORTRANGE(""https://docs.google.com/spreadsheets/d/14Bd19lYaqBhU8_DElYkX7l4wRkHqqCUFNJY4AfY3kHU/edit?usp=sharing  #gid=0"",""фіз особи new!relations_name""),6,FALSE)
,
(IF
(
G15564=""юридична особа""
,
VLOO"&amp;"KUP(H15564,IMPORTRANGE(""https://docs.google.com/spreadsheets/d/14Bd19lYaqBhU8_DElYkX7l4wRkHqqCUFNJY4AfY3kHU/edit?usp=sharing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63" s="7" t="s">
        <v>23</v>
      </c>
    </row>
    <row r="15564" spans="1:10" ht="13.2">
      <c r="A15564" s="7">
        <v>15563</v>
      </c>
      <c r="B15564" s="7">
        <v>1</v>
      </c>
      <c r="C15564" s="7" t="s">
        <v>10</v>
      </c>
      <c r="D15564" s="7">
        <v>19693</v>
      </c>
      <c r="E15564" s="7" t="s">
        <v>23</v>
      </c>
      <c r="F15564" s="8" t="str">
        <f ca="1">IFERROR(__xludf.DUMMYFUNCTION("IF
(
C15565=""фізична особа""
,
VLOOKUP(D15565,IMPORTRANGE(""https://docs.google.com/spreadsheets/d/14Bd19lYaqBhU8_DElYkX7l4wRkHqqCUFNJY4AfY3kHU/edit?usp=sharing  #gid=0"",""фіз особи new!relations_name""),6,FALSE)
,
(IF
(
C15565=""юридична особа""
,
VLOO"&amp;"KUP(D15565,IMPORTRANGE(""https://docs.google.com/spreadsheets/d/14Bd19lYaqBhU8_DElYkX7l4wRkHqqCUFNJY4AfY3kHU/edit?usp=sharing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4" s="7" t="s">
        <v>10</v>
      </c>
      <c r="H15564" s="7">
        <v>19694</v>
      </c>
      <c r="I15564" s="8" t="str">
        <f ca="1">IFERROR(__xludf.DUMMYFUNCTION("IF
(
G15565=""фізична особа""
,
VLOOKUP(H15565,IMPORTRANGE(""https://docs.google.com/spreadsheets/d/14Bd19lYaqBhU8_DElYkX7l4wRkHqqCUFNJY4AfY3kHU/edit?usp=sharing  #gid=0"",""фіз особи new!relations_name""),6,FALSE)
,
(IF
(
G15565=""юридична особа""
,
VLOO"&amp;"KUP(H15565,IMPORTRANGE(""https://docs.google.com/spreadsheets/d/14Bd19lYaqBhU8_DElYkX7l4wRkHqqCUFNJY4AfY3kHU/edit?usp=sharing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64" s="7" t="s">
        <v>23</v>
      </c>
    </row>
    <row r="15565" spans="1:10" ht="13.2">
      <c r="A15565" s="7">
        <v>15564</v>
      </c>
      <c r="B15565" s="7">
        <v>1</v>
      </c>
      <c r="C15565" s="7" t="s">
        <v>10</v>
      </c>
      <c r="D15565" s="7">
        <v>19693</v>
      </c>
      <c r="E15565" s="7" t="s">
        <v>23</v>
      </c>
      <c r="F15565" s="8" t="str">
        <f ca="1">IFERROR(__xludf.DUMMYFUNCTION("IF
(
C15566=""фізична особа""
,
VLOOKUP(D15566,IMPORTRANGE(""https://docs.google.com/spreadsheets/d/14Bd19lYaqBhU8_DElYkX7l4wRkHqqCUFNJY4AfY3kHU/edit?usp=sharing  #gid=0"",""фіз особи new!relations_name""),6,FALSE)
,
(IF
(
C15566=""юридична особа""
,
VLOO"&amp;"KUP(D15566,IMPORTRANGE(""https://docs.google.com/spreadsheets/d/14Bd19lYaqBhU8_DElYkX7l4wRkHqqCUFNJY4AfY3kHU/edit?usp=sharing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5" s="7" t="s">
        <v>10</v>
      </c>
      <c r="H15565" s="7">
        <v>19695</v>
      </c>
      <c r="I15565" s="8" t="str">
        <f ca="1">IFERROR(__xludf.DUMMYFUNCTION("IF
(
G15566=""фізична особа""
,
VLOOKUP(H15566,IMPORTRANGE(""https://docs.google.com/spreadsheets/d/14Bd19lYaqBhU8_DElYkX7l4wRkHqqCUFNJY4AfY3kHU/edit?usp=sharing  #gid=0"",""фіз особи new!relations_name""),6,FALSE)
,
(IF
(
G15566=""юридична особа""
,
VLOO"&amp;"KUP(H15566,IMPORTRANGE(""https://docs.google.com/spreadsheets/d/14Bd19lYaqBhU8_DElYkX7l4wRkHqqCUFNJY4AfY3kHU/edit?usp=sharing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65" s="7" t="s">
        <v>23</v>
      </c>
    </row>
    <row r="15566" spans="1:10" ht="13.2">
      <c r="A15566" s="7">
        <v>15565</v>
      </c>
      <c r="B15566" s="7">
        <v>1</v>
      </c>
      <c r="C15566" s="7" t="s">
        <v>10</v>
      </c>
      <c r="D15566" s="7">
        <v>19693</v>
      </c>
      <c r="E15566" s="7" t="s">
        <v>23</v>
      </c>
      <c r="F15566" s="8" t="str">
        <f ca="1">IFERROR(__xludf.DUMMYFUNCTION("IF
(
C15567=""фізична особа""
,
VLOOKUP(D15567,IMPORTRANGE(""https://docs.google.com/spreadsheets/d/14Bd19lYaqBhU8_DElYkX7l4wRkHqqCUFNJY4AfY3kHU/edit?usp=sharing  #gid=0"",""фіз особи new!relations_name""),6,FALSE)
,
(IF
(
C15567=""юридична особа""
,
VLOO"&amp;"KUP(D15567,IMPORTRANGE(""https://docs.google.com/spreadsheets/d/14Bd19lYaqBhU8_DElYkX7l4wRkHqqCUFNJY4AfY3kHU/edit?usp=sharing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6" s="7" t="s">
        <v>10</v>
      </c>
      <c r="H15566" s="7">
        <v>19696</v>
      </c>
      <c r="I15566" s="8" t="str">
        <f ca="1">IFERROR(__xludf.DUMMYFUNCTION("IF
(
G15567=""фізична особа""
,
VLOOKUP(H15567,IMPORTRANGE(""https://docs.google.com/spreadsheets/d/14Bd19lYaqBhU8_DElYkX7l4wRkHqqCUFNJY4AfY3kHU/edit?usp=sharing  #gid=0"",""фіз особи new!relations_name""),6,FALSE)
,
(IF
(
G15567=""юридична особа""
,
VLOO"&amp;"KUP(H15567,IMPORTRANGE(""https://docs.google.com/spreadsheets/d/14Bd19lYaqBhU8_DElYkX7l4wRkHqqCUFNJY4AfY3kHU/edit?usp=sharing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66" s="7" t="s">
        <v>23</v>
      </c>
    </row>
    <row r="15567" spans="1:10" ht="13.2">
      <c r="A15567" s="7">
        <v>15566</v>
      </c>
      <c r="B15567" s="7">
        <v>1</v>
      </c>
      <c r="C15567" s="7" t="s">
        <v>10</v>
      </c>
      <c r="D15567" s="7">
        <v>19693</v>
      </c>
      <c r="E15567" s="7" t="s">
        <v>23</v>
      </c>
      <c r="F15567" s="8" t="str">
        <f ca="1">IFERROR(__xludf.DUMMYFUNCTION("IF
(
C15568=""фізична особа""
,
VLOOKUP(D15568,IMPORTRANGE(""https://docs.google.com/spreadsheets/d/14Bd19lYaqBhU8_DElYkX7l4wRkHqqCUFNJY4AfY3kHU/edit?usp=sharing  #gid=0"",""фіз особи new!relations_name""),6,FALSE)
,
(IF
(
C15568=""юридична особа""
,
VLOO"&amp;"KUP(D15568,IMPORTRANGE(""https://docs.google.com/spreadsheets/d/14Bd19lYaqBhU8_DElYkX7l4wRkHqqCUFNJY4AfY3kHU/edit?usp=sharing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G15567" s="7" t="s">
        <v>10</v>
      </c>
      <c r="H15567" s="7">
        <v>19697</v>
      </c>
      <c r="I15567" s="8" t="str">
        <f ca="1">IFERROR(__xludf.DUMMYFUNCTION("IF
(
G15568=""фізична особа""
,
VLOOKUP(H15568,IMPORTRANGE(""https://docs.google.com/spreadsheets/d/14Bd19lYaqBhU8_DElYkX7l4wRkHqqCUFNJY4AfY3kHU/edit?usp=sharing  #gid=0"",""фіз особи new!relations_name""),6,FALSE)
,
(IF
(
G15568=""юридична особа""
,
VLOO"&amp;"KUP(H15568,IMPORTRANGE(""https://docs.google.com/spreadsheets/d/14Bd19lYaqBhU8_DElYkX7l4wRkHqqCUFNJY4AfY3kHU/edit?usp=sharing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67" s="7" t="s">
        <v>23</v>
      </c>
    </row>
    <row r="15568" spans="1:10" ht="13.2">
      <c r="A15568" s="7">
        <v>15567</v>
      </c>
      <c r="B15568" s="7">
        <v>1</v>
      </c>
      <c r="C15568" s="7" t="s">
        <v>10</v>
      </c>
      <c r="D15568" s="7">
        <v>19694</v>
      </c>
      <c r="E15568" s="7" t="s">
        <v>23</v>
      </c>
      <c r="F15568" s="8" t="str">
        <f ca="1">IFERROR(__xludf.DUMMYFUNCTION("IF
(
C15569=""фізична особа""
,
VLOOKUP(D15569,IMPORTRANGE(""https://docs.google.com/spreadsheets/d/14Bd19lYaqBhU8_DElYkX7l4wRkHqqCUFNJY4AfY3kHU/edit?usp=sharing  #gid=0"",""фіз особи new!relations_name""),6,FALSE)
,
(IF
(
C15569=""юридична особа""
,
VLOO"&amp;"KUP(D15569,IMPORTRANGE(""https://docs.google.com/spreadsheets/d/14Bd19lYaqBhU8_DElYkX7l4wRkHqqCUFNJY4AfY3kHU/edit?usp=sharing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68" s="7" t="s">
        <v>10</v>
      </c>
      <c r="H15568" s="7">
        <v>19691</v>
      </c>
      <c r="I15568" s="8" t="str">
        <f ca="1">IFERROR(__xludf.DUMMYFUNCTION("IF
(
G15569=""фізична особа""
,
VLOOKUP(H15569,IMPORTRANGE(""https://docs.google.com/spreadsheets/d/14Bd19lYaqBhU8_DElYkX7l4wRkHqqCUFNJY4AfY3kHU/edit?usp=sharing  #gid=0"",""фіз особи new!relations_name""),6,FALSE)
,
(IF
(
G15569=""юридична особа""
,
VLOO"&amp;"KUP(H15569,IMPORTRANGE(""https://docs.google.com/spreadsheets/d/14Bd19lYaqBhU8_DElYkX7l4wRkHqqCUFNJY4AfY3kHU/edit?usp=sharing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68" s="7" t="s">
        <v>23</v>
      </c>
    </row>
    <row r="15569" spans="1:10" ht="13.2">
      <c r="A15569" s="7">
        <v>15568</v>
      </c>
      <c r="B15569" s="7">
        <v>1</v>
      </c>
      <c r="C15569" s="7" t="s">
        <v>10</v>
      </c>
      <c r="D15569" s="7">
        <v>19694</v>
      </c>
      <c r="E15569" s="7" t="s">
        <v>23</v>
      </c>
      <c r="F15569" s="8" t="str">
        <f ca="1">IFERROR(__xludf.DUMMYFUNCTION("IF
(
C15570=""фізична особа""
,
VLOOKUP(D15570,IMPORTRANGE(""https://docs.google.com/spreadsheets/d/14Bd19lYaqBhU8_DElYkX7l4wRkHqqCUFNJY4AfY3kHU/edit?usp=sharing  #gid=0"",""фіз особи new!relations_name""),6,FALSE)
,
(IF
(
C15570=""юридична особа""
,
VLOO"&amp;"KUP(D15570,IMPORTRANGE(""https://docs.google.com/spreadsheets/d/14Bd19lYaqBhU8_DElYkX7l4wRkHqqCUFNJY4AfY3kHU/edit?usp=sharing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69" s="7" t="s">
        <v>10</v>
      </c>
      <c r="H15569" s="7">
        <v>19692</v>
      </c>
      <c r="I15569" s="8" t="str">
        <f ca="1">IFERROR(__xludf.DUMMYFUNCTION("IF
(
G15570=""фізична особа""
,
VLOOKUP(H15570,IMPORTRANGE(""https://docs.google.com/spreadsheets/d/14Bd19lYaqBhU8_DElYkX7l4wRkHqqCUFNJY4AfY3kHU/edit?usp=sharing  #gid=0"",""фіз особи new!relations_name""),6,FALSE)
,
(IF
(
G15570=""юридична особа""
,
VLOO"&amp;"KUP(H15570,IMPORTRANGE(""https://docs.google.com/spreadsheets/d/14Bd19lYaqBhU8_DElYkX7l4wRkHqqCUFNJY4AfY3kHU/edit?usp=sharing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69" s="7" t="s">
        <v>23</v>
      </c>
    </row>
    <row r="15570" spans="1:10" ht="13.2">
      <c r="A15570" s="7">
        <v>15569</v>
      </c>
      <c r="B15570" s="7">
        <v>1</v>
      </c>
      <c r="C15570" s="7" t="s">
        <v>10</v>
      </c>
      <c r="D15570" s="7">
        <v>19694</v>
      </c>
      <c r="E15570" s="7" t="s">
        <v>23</v>
      </c>
      <c r="F15570" s="8" t="str">
        <f ca="1">IFERROR(__xludf.DUMMYFUNCTION("IF
(
C15571=""фізична особа""
,
VLOOKUP(D15571,IMPORTRANGE(""https://docs.google.com/spreadsheets/d/14Bd19lYaqBhU8_DElYkX7l4wRkHqqCUFNJY4AfY3kHU/edit?usp=sharing  #gid=0"",""фіз особи new!relations_name""),6,FALSE)
,
(IF
(
C15571=""юридична особа""
,
VLOO"&amp;"KUP(D15571,IMPORTRANGE(""https://docs.google.com/spreadsheets/d/14Bd19lYaqBhU8_DElYkX7l4wRkHqqCUFNJY4AfY3kHU/edit?usp=sharing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70" s="7" t="s">
        <v>10</v>
      </c>
      <c r="H15570" s="7">
        <v>19693</v>
      </c>
      <c r="I15570" s="8" t="str">
        <f ca="1">IFERROR(__xludf.DUMMYFUNCTION("IF
(
G15571=""фізична особа""
,
VLOOKUP(H15571,IMPORTRANGE(""https://docs.google.com/spreadsheets/d/14Bd19lYaqBhU8_DElYkX7l4wRkHqqCUFNJY4AfY3kHU/edit?usp=sharing  #gid=0"",""фіз особи new!relations_name""),6,FALSE)
,
(IF
(
G15571=""юридична особа""
,
VLOO"&amp;"KUP(H15571,IMPORTRANGE(""https://docs.google.com/spreadsheets/d/14Bd19lYaqBhU8_DElYkX7l4wRkHqqCUFNJY4AfY3kHU/edit?usp=sharing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70" s="7" t="s">
        <v>23</v>
      </c>
    </row>
    <row r="15571" spans="1:10" ht="13.2">
      <c r="A15571" s="7">
        <v>15570</v>
      </c>
      <c r="B15571" s="7">
        <v>1</v>
      </c>
      <c r="C15571" s="7" t="s">
        <v>10</v>
      </c>
      <c r="D15571" s="7">
        <v>19694</v>
      </c>
      <c r="E15571" s="7" t="s">
        <v>23</v>
      </c>
      <c r="F15571" s="8" t="str">
        <f ca="1">IFERROR(__xludf.DUMMYFUNCTION("IF
(
C15572=""фізична особа""
,
VLOOKUP(D15572,IMPORTRANGE(""https://docs.google.com/spreadsheets/d/14Bd19lYaqBhU8_DElYkX7l4wRkHqqCUFNJY4AfY3kHU/edit?usp=sharing  #gid=0"",""фіз особи new!relations_name""),6,FALSE)
,
(IF
(
C15572=""юридична особа""
,
VLOO"&amp;"KUP(D15572,IMPORTRANGE(""https://docs.google.com/spreadsheets/d/14Bd19lYaqBhU8_DElYkX7l4wRkHqqCUFNJY4AfY3kHU/edit?usp=sharing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71" s="7" t="s">
        <v>10</v>
      </c>
      <c r="H15571" s="7">
        <v>19695</v>
      </c>
      <c r="I15571" s="8" t="str">
        <f ca="1">IFERROR(__xludf.DUMMYFUNCTION("IF
(
G15572=""фізична особа""
,
VLOOKUP(H15572,IMPORTRANGE(""https://docs.google.com/spreadsheets/d/14Bd19lYaqBhU8_DElYkX7l4wRkHqqCUFNJY4AfY3kHU/edit?usp=sharing  #gid=0"",""фіз особи new!relations_name""),6,FALSE)
,
(IF
(
G15572=""юридична особа""
,
VLOO"&amp;"KUP(H15572,IMPORTRANGE(""https://docs.google.com/spreadsheets/d/14Bd19lYaqBhU8_DElYkX7l4wRkHqqCUFNJY4AfY3kHU/edit?usp=sharing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71" s="7" t="s">
        <v>23</v>
      </c>
    </row>
    <row r="15572" spans="1:10" ht="13.2">
      <c r="A15572" s="7">
        <v>15571</v>
      </c>
      <c r="B15572" s="7">
        <v>1</v>
      </c>
      <c r="C15572" s="7" t="s">
        <v>10</v>
      </c>
      <c r="D15572" s="7">
        <v>19694</v>
      </c>
      <c r="E15572" s="7" t="s">
        <v>23</v>
      </c>
      <c r="F15572" s="8" t="str">
        <f ca="1">IFERROR(__xludf.DUMMYFUNCTION("IF
(
C15573=""фізична особа""
,
VLOOKUP(D15573,IMPORTRANGE(""https://docs.google.com/spreadsheets/d/14Bd19lYaqBhU8_DElYkX7l4wRkHqqCUFNJY4AfY3kHU/edit?usp=sharing  #gid=0"",""фіз особи new!relations_name""),6,FALSE)
,
(IF
(
C15573=""юридична особа""
,
VLOO"&amp;"KUP(D15573,IMPORTRANGE(""https://docs.google.com/spreadsheets/d/14Bd19lYaqBhU8_DElYkX7l4wRkHqqCUFNJY4AfY3kHU/edit?usp=sharing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72" s="7" t="s">
        <v>10</v>
      </c>
      <c r="H15572" s="7">
        <v>19696</v>
      </c>
      <c r="I15572" s="8" t="str">
        <f ca="1">IFERROR(__xludf.DUMMYFUNCTION("IF
(
G15573=""фізична особа""
,
VLOOKUP(H15573,IMPORTRANGE(""https://docs.google.com/spreadsheets/d/14Bd19lYaqBhU8_DElYkX7l4wRkHqqCUFNJY4AfY3kHU/edit?usp=sharing  #gid=0"",""фіз особи new!relations_name""),6,FALSE)
,
(IF
(
G15573=""юридична особа""
,
VLOO"&amp;"KUP(H15573,IMPORTRANGE(""https://docs.google.com/spreadsheets/d/14Bd19lYaqBhU8_DElYkX7l4wRkHqqCUFNJY4AfY3kHU/edit?usp=sharing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72" s="7" t="s">
        <v>23</v>
      </c>
    </row>
    <row r="15573" spans="1:10" ht="13.2">
      <c r="A15573" s="7">
        <v>15572</v>
      </c>
      <c r="B15573" s="7">
        <v>1</v>
      </c>
      <c r="C15573" s="7" t="s">
        <v>10</v>
      </c>
      <c r="D15573" s="7">
        <v>19694</v>
      </c>
      <c r="E15573" s="7" t="s">
        <v>23</v>
      </c>
      <c r="F15573" s="8" t="str">
        <f ca="1">IFERROR(__xludf.DUMMYFUNCTION("IF
(
C15574=""фізична особа""
,
VLOOKUP(D15574,IMPORTRANGE(""https://docs.google.com/spreadsheets/d/14Bd19lYaqBhU8_DElYkX7l4wRkHqqCUFNJY4AfY3kHU/edit?usp=sharing  #gid=0"",""фіз особи new!relations_name""),6,FALSE)
,
(IF
(
C15574=""юридична особа""
,
VLOO"&amp;"KUP(D15574,IMPORTRANGE(""https://docs.google.com/spreadsheets/d/14Bd19lYaqBhU8_DElYkX7l4wRkHqqCUFNJY4AfY3kHU/edit?usp=sharing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G15573" s="7" t="s">
        <v>10</v>
      </c>
      <c r="H15573" s="7">
        <v>19697</v>
      </c>
      <c r="I15573" s="8" t="str">
        <f ca="1">IFERROR(__xludf.DUMMYFUNCTION("IF
(
G15574=""фізична особа""
,
VLOOKUP(H15574,IMPORTRANGE(""https://docs.google.com/spreadsheets/d/14Bd19lYaqBhU8_DElYkX7l4wRkHqqCUFNJY4AfY3kHU/edit?usp=sharing  #gid=0"",""фіз особи new!relations_name""),6,FALSE)
,
(IF
(
G15574=""юридична особа""
,
VLOO"&amp;"KUP(H15574,IMPORTRANGE(""https://docs.google.com/spreadsheets/d/14Bd19lYaqBhU8_DElYkX7l4wRkHqqCUFNJY4AfY3kHU/edit?usp=sharing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73" s="7" t="s">
        <v>23</v>
      </c>
    </row>
    <row r="15574" spans="1:10" ht="13.2">
      <c r="A15574" s="7">
        <v>15573</v>
      </c>
      <c r="B15574" s="7">
        <v>1</v>
      </c>
      <c r="C15574" s="7" t="s">
        <v>10</v>
      </c>
      <c r="D15574" s="7">
        <v>19695</v>
      </c>
      <c r="E15574" s="7" t="s">
        <v>23</v>
      </c>
      <c r="F15574" s="8" t="str">
        <f ca="1">IFERROR(__xludf.DUMMYFUNCTION("IF
(
C15575=""фізична особа""
,
VLOOKUP(D15575,IMPORTRANGE(""https://docs.google.com/spreadsheets/d/14Bd19lYaqBhU8_DElYkX7l4wRkHqqCUFNJY4AfY3kHU/edit?usp=sharing  #gid=0"",""фіз особи new!relations_name""),6,FALSE)
,
(IF
(
C15575=""юридична особа""
,
VLOO"&amp;"KUP(D15575,IMPORTRANGE(""https://docs.google.com/spreadsheets/d/14Bd19lYaqBhU8_DElYkX7l4wRkHqqCUFNJY4AfY3kHU/edit?usp=sharing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4" s="7" t="s">
        <v>10</v>
      </c>
      <c r="H15574" s="7">
        <v>19691</v>
      </c>
      <c r="I15574" s="8" t="str">
        <f ca="1">IFERROR(__xludf.DUMMYFUNCTION("IF
(
G15575=""фізична особа""
,
VLOOKUP(H15575,IMPORTRANGE(""https://docs.google.com/spreadsheets/d/14Bd19lYaqBhU8_DElYkX7l4wRkHqqCUFNJY4AfY3kHU/edit?usp=sharing  #gid=0"",""фіз особи new!relations_name""),6,FALSE)
,
(IF
(
G15575=""юридична особа""
,
VLOO"&amp;"KUP(H15575,IMPORTRANGE(""https://docs.google.com/spreadsheets/d/14Bd19lYaqBhU8_DElYkX7l4wRkHqqCUFNJY4AfY3kHU/edit?usp=sharing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74" s="7" t="s">
        <v>23</v>
      </c>
    </row>
    <row r="15575" spans="1:10" ht="13.2">
      <c r="A15575" s="7">
        <v>15574</v>
      </c>
      <c r="B15575" s="7">
        <v>1</v>
      </c>
      <c r="C15575" s="7" t="s">
        <v>10</v>
      </c>
      <c r="D15575" s="7">
        <v>19695</v>
      </c>
      <c r="E15575" s="7" t="s">
        <v>23</v>
      </c>
      <c r="F15575" s="8" t="str">
        <f ca="1">IFERROR(__xludf.DUMMYFUNCTION("IF
(
C15576=""фізична особа""
,
VLOOKUP(D15576,IMPORTRANGE(""https://docs.google.com/spreadsheets/d/14Bd19lYaqBhU8_DElYkX7l4wRkHqqCUFNJY4AfY3kHU/edit?usp=sharing  #gid=0"",""фіз особи new!relations_name""),6,FALSE)
,
(IF
(
C15576=""юридична особа""
,
VLOO"&amp;"KUP(D15576,IMPORTRANGE(""https://docs.google.com/spreadsheets/d/14Bd19lYaqBhU8_DElYkX7l4wRkHqqCUFNJY4AfY3kHU/edit?usp=sharing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5" s="7" t="s">
        <v>10</v>
      </c>
      <c r="H15575" s="7">
        <v>19692</v>
      </c>
      <c r="I15575" s="8" t="str">
        <f ca="1">IFERROR(__xludf.DUMMYFUNCTION("IF
(
G15576=""фізична особа""
,
VLOOKUP(H15576,IMPORTRANGE(""https://docs.google.com/spreadsheets/d/14Bd19lYaqBhU8_DElYkX7l4wRkHqqCUFNJY4AfY3kHU/edit?usp=sharing  #gid=0"",""фіз особи new!relations_name""),6,FALSE)
,
(IF
(
G15576=""юридична особа""
,
VLOO"&amp;"KUP(H15576,IMPORTRANGE(""https://docs.google.com/spreadsheets/d/14Bd19lYaqBhU8_DElYkX7l4wRkHqqCUFNJY4AfY3kHU/edit?usp=sharing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75" s="7" t="s">
        <v>23</v>
      </c>
    </row>
    <row r="15576" spans="1:10" ht="13.2">
      <c r="A15576" s="7">
        <v>15575</v>
      </c>
      <c r="B15576" s="7">
        <v>1</v>
      </c>
      <c r="C15576" s="7" t="s">
        <v>10</v>
      </c>
      <c r="D15576" s="7">
        <v>19695</v>
      </c>
      <c r="E15576" s="7" t="s">
        <v>23</v>
      </c>
      <c r="F15576" s="8" t="str">
        <f ca="1">IFERROR(__xludf.DUMMYFUNCTION("IF
(
C15577=""фізична особа""
,
VLOOKUP(D15577,IMPORTRANGE(""https://docs.google.com/spreadsheets/d/14Bd19lYaqBhU8_DElYkX7l4wRkHqqCUFNJY4AfY3kHU/edit?usp=sharing  #gid=0"",""фіз особи new!relations_name""),6,FALSE)
,
(IF
(
C15577=""юридична особа""
,
VLOO"&amp;"KUP(D15577,IMPORTRANGE(""https://docs.google.com/spreadsheets/d/14Bd19lYaqBhU8_DElYkX7l4wRkHqqCUFNJY4AfY3kHU/edit?usp=sharing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6" s="7" t="s">
        <v>10</v>
      </c>
      <c r="H15576" s="7">
        <v>19693</v>
      </c>
      <c r="I15576" s="8" t="str">
        <f ca="1">IFERROR(__xludf.DUMMYFUNCTION("IF
(
G15577=""фізична особа""
,
VLOOKUP(H15577,IMPORTRANGE(""https://docs.google.com/spreadsheets/d/14Bd19lYaqBhU8_DElYkX7l4wRkHqqCUFNJY4AfY3kHU/edit?usp=sharing  #gid=0"",""фіз особи new!relations_name""),6,FALSE)
,
(IF
(
G15577=""юридична особа""
,
VLOO"&amp;"KUP(H15577,IMPORTRANGE(""https://docs.google.com/spreadsheets/d/14Bd19lYaqBhU8_DElYkX7l4wRkHqqCUFNJY4AfY3kHU/edit?usp=sharing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76" s="7" t="s">
        <v>23</v>
      </c>
    </row>
    <row r="15577" spans="1:10" ht="13.2">
      <c r="A15577" s="7">
        <v>15576</v>
      </c>
      <c r="B15577" s="7">
        <v>1</v>
      </c>
      <c r="C15577" s="7" t="s">
        <v>10</v>
      </c>
      <c r="D15577" s="7">
        <v>19695</v>
      </c>
      <c r="E15577" s="7" t="s">
        <v>23</v>
      </c>
      <c r="F15577" s="8" t="str">
        <f ca="1">IFERROR(__xludf.DUMMYFUNCTION("IF
(
C15578=""фізична особа""
,
VLOOKUP(D15578,IMPORTRANGE(""https://docs.google.com/spreadsheets/d/14Bd19lYaqBhU8_DElYkX7l4wRkHqqCUFNJY4AfY3kHU/edit?usp=sharing  #gid=0"",""фіз особи new!relations_name""),6,FALSE)
,
(IF
(
C15578=""юридична особа""
,
VLOO"&amp;"KUP(D15578,IMPORTRANGE(""https://docs.google.com/spreadsheets/d/14Bd19lYaqBhU8_DElYkX7l4wRkHqqCUFNJY4AfY3kHU/edit?usp=sharing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7" s="7" t="s">
        <v>10</v>
      </c>
      <c r="H15577" s="7">
        <v>19694</v>
      </c>
      <c r="I15577" s="8" t="str">
        <f ca="1">IFERROR(__xludf.DUMMYFUNCTION("IF
(
G15578=""фізична особа""
,
VLOOKUP(H15578,IMPORTRANGE(""https://docs.google.com/spreadsheets/d/14Bd19lYaqBhU8_DElYkX7l4wRkHqqCUFNJY4AfY3kHU/edit?usp=sharing  #gid=0"",""фіз особи new!relations_name""),6,FALSE)
,
(IF
(
G15578=""юридична особа""
,
VLOO"&amp;"KUP(H15578,IMPORTRANGE(""https://docs.google.com/spreadsheets/d/14Bd19lYaqBhU8_DElYkX7l4wRkHqqCUFNJY4AfY3kHU/edit?usp=sharing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77" s="7" t="s">
        <v>23</v>
      </c>
    </row>
    <row r="15578" spans="1:10" ht="13.2">
      <c r="A15578" s="7">
        <v>15577</v>
      </c>
      <c r="B15578" s="7">
        <v>1</v>
      </c>
      <c r="C15578" s="7" t="s">
        <v>10</v>
      </c>
      <c r="D15578" s="7">
        <v>19695</v>
      </c>
      <c r="E15578" s="7" t="s">
        <v>23</v>
      </c>
      <c r="F15578" s="8" t="str">
        <f ca="1">IFERROR(__xludf.DUMMYFUNCTION("IF
(
C15579=""фізична особа""
,
VLOOKUP(D15579,IMPORTRANGE(""https://docs.google.com/spreadsheets/d/14Bd19lYaqBhU8_DElYkX7l4wRkHqqCUFNJY4AfY3kHU/edit?usp=sharing  #gid=0"",""фіз особи new!relations_name""),6,FALSE)
,
(IF
(
C15579=""юридична особа""
,
VLOO"&amp;"KUP(D15579,IMPORTRANGE(""https://docs.google.com/spreadsheets/d/14Bd19lYaqBhU8_DElYkX7l4wRkHqqCUFNJY4AfY3kHU/edit?usp=sharing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8" s="7" t="s">
        <v>10</v>
      </c>
      <c r="H15578" s="7">
        <v>19696</v>
      </c>
      <c r="I15578" s="8" t="str">
        <f ca="1">IFERROR(__xludf.DUMMYFUNCTION("IF
(
G15579=""фізична особа""
,
VLOOKUP(H15579,IMPORTRANGE(""https://docs.google.com/spreadsheets/d/14Bd19lYaqBhU8_DElYkX7l4wRkHqqCUFNJY4AfY3kHU/edit?usp=sharing  #gid=0"",""фіз особи new!relations_name""),6,FALSE)
,
(IF
(
G15579=""юридична особа""
,
VLOO"&amp;"KUP(H15579,IMPORTRANGE(""https://docs.google.com/spreadsheets/d/14Bd19lYaqBhU8_DElYkX7l4wRkHqqCUFNJY4AfY3kHU/edit?usp=sharing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78" s="7" t="s">
        <v>23</v>
      </c>
    </row>
    <row r="15579" spans="1:10" ht="13.2">
      <c r="A15579" s="7">
        <v>15578</v>
      </c>
      <c r="B15579" s="7">
        <v>1</v>
      </c>
      <c r="C15579" s="7" t="s">
        <v>10</v>
      </c>
      <c r="D15579" s="7">
        <v>19695</v>
      </c>
      <c r="E15579" s="7" t="s">
        <v>23</v>
      </c>
      <c r="F15579" s="8" t="str">
        <f ca="1">IFERROR(__xludf.DUMMYFUNCTION("IF
(
C15580=""фізична особа""
,
VLOOKUP(D15580,IMPORTRANGE(""https://docs.google.com/spreadsheets/d/14Bd19lYaqBhU8_DElYkX7l4wRkHqqCUFNJY4AfY3kHU/edit?usp=sharing  #gid=0"",""фіз особи new!relations_name""),6,FALSE)
,
(IF
(
C15580=""юридична особа""
,
VLOO"&amp;"KUP(D15580,IMPORTRANGE(""https://docs.google.com/spreadsheets/d/14Bd19lYaqBhU8_DElYkX7l4wRkHqqCUFNJY4AfY3kHU/edit?usp=sharing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G15579" s="7" t="s">
        <v>10</v>
      </c>
      <c r="H15579" s="7">
        <v>19697</v>
      </c>
      <c r="I15579" s="8" t="str">
        <f ca="1">IFERROR(__xludf.DUMMYFUNCTION("IF
(
G15580=""фізична особа""
,
VLOOKUP(H15580,IMPORTRANGE(""https://docs.google.com/spreadsheets/d/14Bd19lYaqBhU8_DElYkX7l4wRkHqqCUFNJY4AfY3kHU/edit?usp=sharing  #gid=0"",""фіз особи new!relations_name""),6,FALSE)
,
(IF
(
G15580=""юридична особа""
,
VLOO"&amp;"KUP(H15580,IMPORTRANGE(""https://docs.google.com/spreadsheets/d/14Bd19lYaqBhU8_DElYkX7l4wRkHqqCUFNJY4AfY3kHU/edit?usp=sharing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79" s="7" t="s">
        <v>23</v>
      </c>
    </row>
    <row r="15580" spans="1:10" ht="13.2">
      <c r="A15580" s="7">
        <v>15579</v>
      </c>
      <c r="B15580" s="7">
        <v>1</v>
      </c>
      <c r="C15580" s="7" t="s">
        <v>10</v>
      </c>
      <c r="D15580" s="7">
        <v>19696</v>
      </c>
      <c r="E15580" s="7" t="s">
        <v>23</v>
      </c>
      <c r="F15580" s="8" t="str">
        <f ca="1">IFERROR(__xludf.DUMMYFUNCTION("IF
(
C15581=""фізична особа""
,
VLOOKUP(D15581,IMPORTRANGE(""https://docs.google.com/spreadsheets/d/14Bd19lYaqBhU8_DElYkX7l4wRkHqqCUFNJY4AfY3kHU/edit?usp=sharing  #gid=0"",""фіз особи new!relations_name""),6,FALSE)
,
(IF
(
C15581=""юридична особа""
,
VLOO"&amp;"KUP(D15581,IMPORTRANGE(""https://docs.google.com/spreadsheets/d/14Bd19lYaqBhU8_DElYkX7l4wRkHqqCUFNJY4AfY3kHU/edit?usp=sharing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0" s="7" t="s">
        <v>10</v>
      </c>
      <c r="H15580" s="7">
        <v>19691</v>
      </c>
      <c r="I15580" s="8" t="str">
        <f ca="1">IFERROR(__xludf.DUMMYFUNCTION("IF
(
G15581=""фізична особа""
,
VLOOKUP(H15581,IMPORTRANGE(""https://docs.google.com/spreadsheets/d/14Bd19lYaqBhU8_DElYkX7l4wRkHqqCUFNJY4AfY3kHU/edit?usp=sharing  #gid=0"",""фіз особи new!relations_name""),6,FALSE)
,
(IF
(
G15581=""юридична особа""
,
VLOO"&amp;"KUP(H15581,IMPORTRANGE(""https://docs.google.com/spreadsheets/d/14Bd19lYaqBhU8_DElYkX7l4wRkHqqCUFNJY4AfY3kHU/edit?usp=sharing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80" s="7" t="s">
        <v>23</v>
      </c>
    </row>
    <row r="15581" spans="1:10" ht="13.2">
      <c r="A15581" s="7">
        <v>15580</v>
      </c>
      <c r="B15581" s="7">
        <v>1</v>
      </c>
      <c r="C15581" s="7" t="s">
        <v>10</v>
      </c>
      <c r="D15581" s="7">
        <v>19696</v>
      </c>
      <c r="E15581" s="7" t="s">
        <v>23</v>
      </c>
      <c r="F15581" s="8" t="str">
        <f ca="1">IFERROR(__xludf.DUMMYFUNCTION("IF
(
C15582=""фізична особа""
,
VLOOKUP(D15582,IMPORTRANGE(""https://docs.google.com/spreadsheets/d/14Bd19lYaqBhU8_DElYkX7l4wRkHqqCUFNJY4AfY3kHU/edit?usp=sharing  #gid=0"",""фіз особи new!relations_name""),6,FALSE)
,
(IF
(
C15582=""юридична особа""
,
VLOO"&amp;"KUP(D15582,IMPORTRANGE(""https://docs.google.com/spreadsheets/d/14Bd19lYaqBhU8_DElYkX7l4wRkHqqCUFNJY4AfY3kHU/edit?usp=sharing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1" s="7" t="s">
        <v>10</v>
      </c>
      <c r="H15581" s="7">
        <v>19692</v>
      </c>
      <c r="I15581" s="8" t="str">
        <f ca="1">IFERROR(__xludf.DUMMYFUNCTION("IF
(
G15582=""фізична особа""
,
VLOOKUP(H15582,IMPORTRANGE(""https://docs.google.com/spreadsheets/d/14Bd19lYaqBhU8_DElYkX7l4wRkHqqCUFNJY4AfY3kHU/edit?usp=sharing  #gid=0"",""фіз особи new!relations_name""),6,FALSE)
,
(IF
(
G15582=""юридична особа""
,
VLOO"&amp;"KUP(H15582,IMPORTRANGE(""https://docs.google.com/spreadsheets/d/14Bd19lYaqBhU8_DElYkX7l4wRkHqqCUFNJY4AfY3kHU/edit?usp=sharing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81" s="7" t="s">
        <v>23</v>
      </c>
    </row>
    <row r="15582" spans="1:10" ht="13.2">
      <c r="A15582" s="7">
        <v>15581</v>
      </c>
      <c r="B15582" s="7">
        <v>1</v>
      </c>
      <c r="C15582" s="7" t="s">
        <v>10</v>
      </c>
      <c r="D15582" s="7">
        <v>19696</v>
      </c>
      <c r="E15582" s="7" t="s">
        <v>23</v>
      </c>
      <c r="F15582" s="8" t="str">
        <f ca="1">IFERROR(__xludf.DUMMYFUNCTION("IF
(
C15583=""фізична особа""
,
VLOOKUP(D15583,IMPORTRANGE(""https://docs.google.com/spreadsheets/d/14Bd19lYaqBhU8_DElYkX7l4wRkHqqCUFNJY4AfY3kHU/edit?usp=sharing  #gid=0"",""фіз особи new!relations_name""),6,FALSE)
,
(IF
(
C15583=""юридична особа""
,
VLOO"&amp;"KUP(D15583,IMPORTRANGE(""https://docs.google.com/spreadsheets/d/14Bd19lYaqBhU8_DElYkX7l4wRkHqqCUFNJY4AfY3kHU/edit?usp=sharing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2" s="7" t="s">
        <v>10</v>
      </c>
      <c r="H15582" s="7">
        <v>19693</v>
      </c>
      <c r="I15582" s="8" t="str">
        <f ca="1">IFERROR(__xludf.DUMMYFUNCTION("IF
(
G15583=""фізична особа""
,
VLOOKUP(H15583,IMPORTRANGE(""https://docs.google.com/spreadsheets/d/14Bd19lYaqBhU8_DElYkX7l4wRkHqqCUFNJY4AfY3kHU/edit?usp=sharing  #gid=0"",""фіз особи new!relations_name""),6,FALSE)
,
(IF
(
G15583=""юридична особа""
,
VLOO"&amp;"KUP(H15583,IMPORTRANGE(""https://docs.google.com/spreadsheets/d/14Bd19lYaqBhU8_DElYkX7l4wRkHqqCUFNJY4AfY3kHU/edit?usp=sharing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82" s="7" t="s">
        <v>23</v>
      </c>
    </row>
    <row r="15583" spans="1:10" ht="13.2">
      <c r="A15583" s="7">
        <v>15582</v>
      </c>
      <c r="B15583" s="7">
        <v>1</v>
      </c>
      <c r="C15583" s="7" t="s">
        <v>10</v>
      </c>
      <c r="D15583" s="7">
        <v>19696</v>
      </c>
      <c r="E15583" s="7" t="s">
        <v>23</v>
      </c>
      <c r="F15583" s="8" t="str">
        <f ca="1">IFERROR(__xludf.DUMMYFUNCTION("IF
(
C15584=""фізична особа""
,
VLOOKUP(D15584,IMPORTRANGE(""https://docs.google.com/spreadsheets/d/14Bd19lYaqBhU8_DElYkX7l4wRkHqqCUFNJY4AfY3kHU/edit?usp=sharing  #gid=0"",""фіз особи new!relations_name""),6,FALSE)
,
(IF
(
C15584=""юридична особа""
,
VLOO"&amp;"KUP(D15584,IMPORTRANGE(""https://docs.google.com/spreadsheets/d/14Bd19lYaqBhU8_DElYkX7l4wRkHqqCUFNJY4AfY3kHU/edit?usp=sharing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3" s="7" t="s">
        <v>10</v>
      </c>
      <c r="H15583" s="7">
        <v>19694</v>
      </c>
      <c r="I15583" s="8" t="str">
        <f ca="1">IFERROR(__xludf.DUMMYFUNCTION("IF
(
G15584=""фізична особа""
,
VLOOKUP(H15584,IMPORTRANGE(""https://docs.google.com/spreadsheets/d/14Bd19lYaqBhU8_DElYkX7l4wRkHqqCUFNJY4AfY3kHU/edit?usp=sharing  #gid=0"",""фіз особи new!relations_name""),6,FALSE)
,
(IF
(
G15584=""юридична особа""
,
VLOO"&amp;"KUP(H15584,IMPORTRANGE(""https://docs.google.com/spreadsheets/d/14Bd19lYaqBhU8_DElYkX7l4wRkHqqCUFNJY4AfY3kHU/edit?usp=sharing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83" s="7" t="s">
        <v>23</v>
      </c>
    </row>
    <row r="15584" spans="1:10" ht="13.2">
      <c r="A15584" s="7">
        <v>15583</v>
      </c>
      <c r="B15584" s="7">
        <v>1</v>
      </c>
      <c r="C15584" s="7" t="s">
        <v>10</v>
      </c>
      <c r="D15584" s="7">
        <v>19696</v>
      </c>
      <c r="E15584" s="7" t="s">
        <v>23</v>
      </c>
      <c r="F15584" s="8" t="str">
        <f ca="1">IFERROR(__xludf.DUMMYFUNCTION("IF
(
C15585=""фізична особа""
,
VLOOKUP(D15585,IMPORTRANGE(""https://docs.google.com/spreadsheets/d/14Bd19lYaqBhU8_DElYkX7l4wRkHqqCUFNJY4AfY3kHU/edit?usp=sharing  #gid=0"",""фіз особи new!relations_name""),6,FALSE)
,
(IF
(
C15585=""юридична особа""
,
VLOO"&amp;"KUP(D15585,IMPORTRANGE(""https://docs.google.com/spreadsheets/d/14Bd19lYaqBhU8_DElYkX7l4wRkHqqCUFNJY4AfY3kHU/edit?usp=sharing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4" s="7" t="s">
        <v>10</v>
      </c>
      <c r="H15584" s="7">
        <v>19695</v>
      </c>
      <c r="I15584" s="8" t="str">
        <f ca="1">IFERROR(__xludf.DUMMYFUNCTION("IF
(
G15585=""фізична особа""
,
VLOOKUP(H15585,IMPORTRANGE(""https://docs.google.com/spreadsheets/d/14Bd19lYaqBhU8_DElYkX7l4wRkHqqCUFNJY4AfY3kHU/edit?usp=sharing  #gid=0"",""фіз особи new!relations_name""),6,FALSE)
,
(IF
(
G15585=""юридична особа""
,
VLOO"&amp;"KUP(H15585,IMPORTRANGE(""https://docs.google.com/spreadsheets/d/14Bd19lYaqBhU8_DElYkX7l4wRkHqqCUFNJY4AfY3kHU/edit?usp=sharing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84" s="7" t="s">
        <v>23</v>
      </c>
    </row>
    <row r="15585" spans="1:10" ht="13.2">
      <c r="A15585" s="7">
        <v>15584</v>
      </c>
      <c r="B15585" s="7">
        <v>1</v>
      </c>
      <c r="C15585" s="7" t="s">
        <v>10</v>
      </c>
      <c r="D15585" s="7">
        <v>19696</v>
      </c>
      <c r="E15585" s="7" t="s">
        <v>23</v>
      </c>
      <c r="F15585" s="8" t="str">
        <f ca="1">IFERROR(__xludf.DUMMYFUNCTION("IF
(
C15586=""фізична особа""
,
VLOOKUP(D15586,IMPORTRANGE(""https://docs.google.com/spreadsheets/d/14Bd19lYaqBhU8_DElYkX7l4wRkHqqCUFNJY4AfY3kHU/edit?usp=sharing  #gid=0"",""фіз особи new!relations_name""),6,FALSE)
,
(IF
(
C15586=""юридична особа""
,
VLOO"&amp;"KUP(D15586,IMPORTRANGE(""https://docs.google.com/spreadsheets/d/14Bd19lYaqBhU8_DElYkX7l4wRkHqqCUFNJY4AfY3kHU/edit?usp=sharing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G15585" s="7" t="s">
        <v>10</v>
      </c>
      <c r="H15585" s="7">
        <v>19697</v>
      </c>
      <c r="I15585" s="8" t="str">
        <f ca="1">IFERROR(__xludf.DUMMYFUNCTION("IF
(
G15586=""фізична особа""
,
VLOOKUP(H15586,IMPORTRANGE(""https://docs.google.com/spreadsheets/d/14Bd19lYaqBhU8_DElYkX7l4wRkHqqCUFNJY4AfY3kHU/edit?usp=sharing  #gid=0"",""фіз особи new!relations_name""),6,FALSE)
,
(IF
(
G15586=""юридична особа""
,
VLOO"&amp;"KUP(H15586,IMPORTRANGE(""https://docs.google.com/spreadsheets/d/14Bd19lYaqBhU8_DElYkX7l4wRkHqqCUFNJY4AfY3kHU/edit?usp=sharing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J15585" s="7" t="s">
        <v>23</v>
      </c>
    </row>
    <row r="15586" spans="1:10" ht="13.2">
      <c r="A15586" s="7">
        <v>15585</v>
      </c>
      <c r="B15586" s="7">
        <v>1</v>
      </c>
      <c r="C15586" s="7" t="s">
        <v>10</v>
      </c>
      <c r="D15586" s="7">
        <v>19697</v>
      </c>
      <c r="E15586" s="7" t="s">
        <v>23</v>
      </c>
      <c r="F15586" s="8" t="str">
        <f ca="1">IFERROR(__xludf.DUMMYFUNCTION("IF
(
C15587=""фізична особа""
,
VLOOKUP(D15587,IMPORTRANGE(""https://docs.google.com/spreadsheets/d/14Bd19lYaqBhU8_DElYkX7l4wRkHqqCUFNJY4AfY3kHU/edit?usp=sharing  #gid=0"",""фіз особи new!relations_name""),6,FALSE)
,
(IF
(
C15587=""юридична особа""
,
VLOO"&amp;"KUP(D15587,IMPORTRANGE(""https://docs.google.com/spreadsheets/d/14Bd19lYaqBhU8_DElYkX7l4wRkHqqCUFNJY4AfY3kHU/edit?usp=sharing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86" s="7" t="s">
        <v>10</v>
      </c>
      <c r="H15586" s="7">
        <v>19691</v>
      </c>
      <c r="I15586" s="8" t="str">
        <f ca="1">IFERROR(__xludf.DUMMYFUNCTION("IF
(
G15587=""фізична особа""
,
VLOOKUP(H15587,IMPORTRANGE(""https://docs.google.com/spreadsheets/d/14Bd19lYaqBhU8_DElYkX7l4wRkHqqCUFNJY4AfY3kHU/edit?usp=sharing  #gid=0"",""фіз особи new!relations_name""),6,FALSE)
,
(IF
(
G15587=""юридична особа""
,
VLOO"&amp;"KUP(H15587,IMPORTRANGE(""https://docs.google.com/spreadsheets/d/14Bd19lYaqBhU8_DElYkX7l4wRkHqqCUFNJY4AfY3kHU/edit?usp=sharing  #gid=0"",""фіз особи new!relations_name_uo""),7,FALSE)
,
)
))"),"ЄФІМОВА Регіна Анатоліївна")</f>
        <v>ЄФІМОВА Регіна Анатоліївна</v>
      </c>
      <c r="J15586" s="7" t="s">
        <v>23</v>
      </c>
    </row>
    <row r="15587" spans="1:10" ht="13.2">
      <c r="A15587" s="7">
        <v>15586</v>
      </c>
      <c r="B15587" s="7">
        <v>1</v>
      </c>
      <c r="C15587" s="7" t="s">
        <v>10</v>
      </c>
      <c r="D15587" s="7">
        <v>19697</v>
      </c>
      <c r="E15587" s="7" t="s">
        <v>23</v>
      </c>
      <c r="F15587" s="8" t="str">
        <f ca="1">IFERROR(__xludf.DUMMYFUNCTION("IF
(
C15588=""фізична особа""
,
VLOOKUP(D15588,IMPORTRANGE(""https://docs.google.com/spreadsheets/d/14Bd19lYaqBhU8_DElYkX7l4wRkHqqCUFNJY4AfY3kHU/edit?usp=sharing  #gid=0"",""фіз особи new!relations_name""),6,FALSE)
,
(IF
(
C15588=""юридична особа""
,
VLOO"&amp;"KUP(D15588,IMPORTRANGE(""https://docs.google.com/spreadsheets/d/14Bd19lYaqBhU8_DElYkX7l4wRkHqqCUFNJY4AfY3kHU/edit?usp=sharing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87" s="7" t="s">
        <v>10</v>
      </c>
      <c r="H15587" s="7">
        <v>19692</v>
      </c>
      <c r="I15587" s="8" t="str">
        <f ca="1">IFERROR(__xludf.DUMMYFUNCTION("IF
(
G15588=""фізична особа""
,
VLOOKUP(H15588,IMPORTRANGE(""https://docs.google.com/spreadsheets/d/14Bd19lYaqBhU8_DElYkX7l4wRkHqqCUFNJY4AfY3kHU/edit?usp=sharing  #gid=0"",""фіз особи new!relations_name""),6,FALSE)
,
(IF
(
G15588=""юридична особа""
,
VLOO"&amp;"KUP(H15588,IMPORTRANGE(""https://docs.google.com/spreadsheets/d/14Bd19lYaqBhU8_DElYkX7l4wRkHqqCUFNJY4AfY3kHU/edit?usp=sharing  #gid=0"",""фіз особи new!relations_name_uo""),7,FALSE)
,
)
))"),"ГАЛІМОВ Каміль Тімір'янович")</f>
        <v>ГАЛІМОВ Каміль Тімір'янович</v>
      </c>
      <c r="J15587" s="7" t="s">
        <v>23</v>
      </c>
    </row>
    <row r="15588" spans="1:10" ht="13.2">
      <c r="A15588" s="7">
        <v>15587</v>
      </c>
      <c r="B15588" s="7">
        <v>1</v>
      </c>
      <c r="C15588" s="7" t="s">
        <v>10</v>
      </c>
      <c r="D15588" s="7">
        <v>19697</v>
      </c>
      <c r="E15588" s="7" t="s">
        <v>23</v>
      </c>
      <c r="F15588" s="8" t="str">
        <f ca="1">IFERROR(__xludf.DUMMYFUNCTION("IF
(
C15589=""фізична особа""
,
VLOOKUP(D15589,IMPORTRANGE(""https://docs.google.com/spreadsheets/d/14Bd19lYaqBhU8_DElYkX7l4wRkHqqCUFNJY4AfY3kHU/edit?usp=sharing  #gid=0"",""фіз особи new!relations_name""),6,FALSE)
,
(IF
(
C15589=""юридична особа""
,
VLOO"&amp;"KUP(D15589,IMPORTRANGE(""https://docs.google.com/spreadsheets/d/14Bd19lYaqBhU8_DElYkX7l4wRkHqqCUFNJY4AfY3kHU/edit?usp=sharing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88" s="7" t="s">
        <v>10</v>
      </c>
      <c r="H15588" s="7">
        <v>19693</v>
      </c>
      <c r="I15588" s="8" t="str">
        <f ca="1">IFERROR(__xludf.DUMMYFUNCTION("IF
(
G15589=""фізична особа""
,
VLOOKUP(H15589,IMPORTRANGE(""https://docs.google.com/spreadsheets/d/14Bd19lYaqBhU8_DElYkX7l4wRkHqqCUFNJY4AfY3kHU/edit?usp=sharing  #gid=0"",""фіз особи new!relations_name""),6,FALSE)
,
(IF
(
G15589=""юридична особа""
,
VLOO"&amp;"KUP(H15589,IMPORTRANGE(""https://docs.google.com/spreadsheets/d/14Bd19lYaqBhU8_DElYkX7l4wRkHqqCUFNJY4AfY3kHU/edit?usp=sharing  #gid=0"",""фіз особи new!relations_name_uo""),7,FALSE)
,
)
))"),"ЄРМАКОВ Костянтин Вячеславович")</f>
        <v>ЄРМАКОВ Костянтин Вячеславович</v>
      </c>
      <c r="J15588" s="7" t="s">
        <v>23</v>
      </c>
    </row>
    <row r="15589" spans="1:10" ht="13.2">
      <c r="A15589" s="7">
        <v>15588</v>
      </c>
      <c r="B15589" s="7">
        <v>1</v>
      </c>
      <c r="C15589" s="7" t="s">
        <v>10</v>
      </c>
      <c r="D15589" s="7">
        <v>19697</v>
      </c>
      <c r="E15589" s="7" t="s">
        <v>23</v>
      </c>
      <c r="F15589" s="8" t="str">
        <f ca="1">IFERROR(__xludf.DUMMYFUNCTION("IF
(
C15590=""фізична особа""
,
VLOOKUP(D15590,IMPORTRANGE(""https://docs.google.com/spreadsheets/d/14Bd19lYaqBhU8_DElYkX7l4wRkHqqCUFNJY4AfY3kHU/edit?usp=sharing  #gid=0"",""фіз особи new!relations_name""),6,FALSE)
,
(IF
(
C15590=""юридична особа""
,
VLOO"&amp;"KUP(D15590,IMPORTRANGE(""https://docs.google.com/spreadsheets/d/14Bd19lYaqBhU8_DElYkX7l4wRkHqqCUFNJY4AfY3kHU/edit?usp=sharing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89" s="7" t="s">
        <v>10</v>
      </c>
      <c r="H15589" s="7">
        <v>19694</v>
      </c>
      <c r="I15589" s="8" t="str">
        <f ca="1">IFERROR(__xludf.DUMMYFUNCTION("IF
(
G15590=""фізична особа""
,
VLOOKUP(H15590,IMPORTRANGE(""https://docs.google.com/spreadsheets/d/14Bd19lYaqBhU8_DElYkX7l4wRkHqqCUFNJY4AfY3kHU/edit?usp=sharing  #gid=0"",""фіз особи new!relations_name""),6,FALSE)
,
(IF
(
G15590=""юридична особа""
,
VLOO"&amp;"KUP(H15590,IMPORTRANGE(""https://docs.google.com/spreadsheets/d/14Bd19lYaqBhU8_DElYkX7l4wRkHqqCUFNJY4AfY3kHU/edit?usp=sharing  #gid=0"",""фіз особи new!relations_name_uo""),7,FALSE)
,
)
))"),"МАЛЯР Тетяна Анатоліївна")</f>
        <v>МАЛЯР Тетяна Анатоліївна</v>
      </c>
      <c r="J15589" s="7" t="s">
        <v>23</v>
      </c>
    </row>
    <row r="15590" spans="1:10" ht="13.2">
      <c r="A15590" s="7">
        <v>15589</v>
      </c>
      <c r="B15590" s="7">
        <v>1</v>
      </c>
      <c r="C15590" s="7" t="s">
        <v>10</v>
      </c>
      <c r="D15590" s="7">
        <v>19697</v>
      </c>
      <c r="E15590" s="7" t="s">
        <v>23</v>
      </c>
      <c r="F15590" s="8" t="str">
        <f ca="1">IFERROR(__xludf.DUMMYFUNCTION("IF
(
C15591=""фізична особа""
,
VLOOKUP(D15591,IMPORTRANGE(""https://docs.google.com/spreadsheets/d/14Bd19lYaqBhU8_DElYkX7l4wRkHqqCUFNJY4AfY3kHU/edit?usp=sharing  #gid=0"",""фіз особи new!relations_name""),6,FALSE)
,
(IF
(
C15591=""юридична особа""
,
VLOO"&amp;"KUP(D15591,IMPORTRANGE(""https://docs.google.com/spreadsheets/d/14Bd19lYaqBhU8_DElYkX7l4wRkHqqCUFNJY4AfY3kHU/edit?usp=sharing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90" s="7" t="s">
        <v>10</v>
      </c>
      <c r="H15590" s="7">
        <v>19695</v>
      </c>
      <c r="I15590" s="8" t="str">
        <f ca="1">IFERROR(__xludf.DUMMYFUNCTION("IF
(
G15591=""фізична особа""
,
VLOOKUP(H15591,IMPORTRANGE(""https://docs.google.com/spreadsheets/d/14Bd19lYaqBhU8_DElYkX7l4wRkHqqCUFNJY4AfY3kHU/edit?usp=sharing  #gid=0"",""фіз особи new!relations_name""),6,FALSE)
,
(IF
(
G15591=""юридична особа""
,
VLOO"&amp;"KUP(H15591,IMPORTRANGE(""https://docs.google.com/spreadsheets/d/14Bd19lYaqBhU8_DElYkX7l4wRkHqqCUFNJY4AfY3kHU/edit?usp=sharing  #gid=0"",""фіз особи new!relations_name_uo""),7,FALSE)
,
)
))"),"МУХАМЕТДІНОВ Ільдар Барієвич")</f>
        <v>МУХАМЕТДІНОВ Ільдар Барієвич</v>
      </c>
      <c r="J15590" s="7" t="s">
        <v>23</v>
      </c>
    </row>
    <row r="15591" spans="1:10" ht="13.2">
      <c r="A15591" s="7">
        <v>15590</v>
      </c>
      <c r="B15591" s="7">
        <v>1</v>
      </c>
      <c r="C15591" s="7" t="s">
        <v>10</v>
      </c>
      <c r="D15591" s="7">
        <v>19697</v>
      </c>
      <c r="E15591" s="7" t="s">
        <v>23</v>
      </c>
      <c r="F15591" s="8" t="str">
        <f ca="1">IFERROR(__xludf.DUMMYFUNCTION("IF
(
C15592=""фізична особа""
,
VLOOKUP(D15592,IMPORTRANGE(""https://docs.google.com/spreadsheets/d/14Bd19lYaqBhU8_DElYkX7l4wRkHqqCUFNJY4AfY3kHU/edit?usp=sharing  #gid=0"",""фіз особи new!relations_name""),6,FALSE)
,
(IF
(
C15592=""юридична особа""
,
VLOO"&amp;"KUP(D15592,IMPORTRANGE(""https://docs.google.com/spreadsheets/d/14Bd19lYaqBhU8_DElYkX7l4wRkHqqCUFNJY4AfY3kHU/edit?usp=sharing  #gid=0"",""фіз особи new!relations_name_uo""),7,FALSE)
,
)
))"),"ГАДІЄВ Дамир Раіфович")</f>
        <v>ГАДІЄВ Дамир Раіфович</v>
      </c>
      <c r="G15591" s="7" t="s">
        <v>10</v>
      </c>
      <c r="H15591" s="7">
        <v>19696</v>
      </c>
      <c r="I15591" s="8" t="str">
        <f ca="1">IFERROR(__xludf.DUMMYFUNCTION("IF
(
G15592=""фізична особа""
,
VLOOKUP(H15592,IMPORTRANGE(""https://docs.google.com/spreadsheets/d/14Bd19lYaqBhU8_DElYkX7l4wRkHqqCUFNJY4AfY3kHU/edit?usp=sharing  #gid=0"",""фіз особи new!relations_name""),6,FALSE)
,
(IF
(
G15592=""юридична особа""
,
VLOO"&amp;"KUP(H15592,IMPORTRANGE(""https://docs.google.com/spreadsheets/d/14Bd19lYaqBhU8_DElYkX7l4wRkHqqCUFNJY4AfY3kHU/edit?usp=sharing  #gid=0"",""фіз особи new!relations_name_uo""),7,FALSE)
,
)
))"),"ЮРКІВСЬКА Марина Анатоліївна")</f>
        <v>ЮРКІВСЬКА Марина Анатоліївна</v>
      </c>
      <c r="J15591" s="7" t="s">
        <v>23</v>
      </c>
    </row>
    <row r="15592" spans="1:10" ht="13.2">
      <c r="A15592" s="7">
        <v>15591</v>
      </c>
      <c r="B15592" s="7">
        <v>1</v>
      </c>
      <c r="C15592" s="7" t="s">
        <v>10</v>
      </c>
      <c r="D15592" s="7">
        <v>19698</v>
      </c>
      <c r="E15592" s="7" t="s">
        <v>23</v>
      </c>
      <c r="F15592" s="8" t="str">
        <f ca="1">IFERROR(__xludf.DUMMYFUNCTION("IF
(
C15593=""фізична особа""
,
VLOOKUP(D15593,IMPORTRANGE(""https://docs.google.com/spreadsheets/d/14Bd19lYaqBhU8_DElYkX7l4wRkHqqCUFNJY4AfY3kHU/edit?usp=sharing  #gid=0"",""фіз особи new!relations_name""),6,FALSE)
,
(IF
(
C15593=""юридична особа""
,
VLOO"&amp;"KUP(D15593,IMPORTRANGE(""https://docs.google.com/spreadsheets/d/14Bd19lYaqBhU8_DElYkX7l4wRkHqqCUFNJY4AfY3kHU/edit?usp=sharing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2" s="7" t="s">
        <v>10</v>
      </c>
      <c r="H15592" s="7">
        <v>19699</v>
      </c>
      <c r="I15592" s="8" t="str">
        <f ca="1">IFERROR(__xludf.DUMMYFUNCTION("IF
(
G15593=""фізична особа""
,
VLOOKUP(H15593,IMPORTRANGE(""https://docs.google.com/spreadsheets/d/14Bd19lYaqBhU8_DElYkX7l4wRkHqqCUFNJY4AfY3kHU/edit?usp=sharing  #gid=0"",""фіз особи new!relations_name""),6,FALSE)
,
(IF
(
G15593=""юридична особа""
,
VLOO"&amp;"KUP(H15593,IMPORTRANGE(""https://docs.google.com/spreadsheets/d/14Bd19lYaqBhU8_DElYkX7l4wRkHqqCUFNJY4AfY3kHU/edit?usp=sharing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592" s="7" t="s">
        <v>23</v>
      </c>
    </row>
    <row r="15593" spans="1:10" ht="13.2">
      <c r="A15593" s="7">
        <v>15592</v>
      </c>
      <c r="B15593" s="7">
        <v>1</v>
      </c>
      <c r="C15593" s="7" t="s">
        <v>10</v>
      </c>
      <c r="D15593" s="7">
        <v>19698</v>
      </c>
      <c r="E15593" s="7" t="s">
        <v>23</v>
      </c>
      <c r="F15593" s="8" t="str">
        <f ca="1">IFERROR(__xludf.DUMMYFUNCTION("IF
(
C15594=""фізична особа""
,
VLOOKUP(D15594,IMPORTRANGE(""https://docs.google.com/spreadsheets/d/14Bd19lYaqBhU8_DElYkX7l4wRkHqqCUFNJY4AfY3kHU/edit?usp=sharing  #gid=0"",""фіз особи new!relations_name""),6,FALSE)
,
(IF
(
C15594=""юридична особа""
,
VLOO"&amp;"KUP(D15594,IMPORTRANGE(""https://docs.google.com/spreadsheets/d/14Bd19lYaqBhU8_DElYkX7l4wRkHqqCUFNJY4AfY3kHU/edit?usp=sharing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3" s="7" t="s">
        <v>10</v>
      </c>
      <c r="H15593" s="7">
        <v>19700</v>
      </c>
      <c r="I15593" s="8" t="str">
        <f ca="1">IFERROR(__xludf.DUMMYFUNCTION("IF
(
G15594=""фізична особа""
,
VLOOKUP(H15594,IMPORTRANGE(""https://docs.google.com/spreadsheets/d/14Bd19lYaqBhU8_DElYkX7l4wRkHqqCUFNJY4AfY3kHU/edit?usp=sharing  #gid=0"",""фіз особи new!relations_name""),6,FALSE)
,
(IF
(
G15594=""юридична особа""
,
VLOO"&amp;"KUP(H15594,IMPORTRANGE(""https://docs.google.com/spreadsheets/d/14Bd19lYaqBhU8_DElYkX7l4wRkHqqCUFNJY4AfY3kHU/edit?usp=sharing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593" s="7" t="s">
        <v>23</v>
      </c>
    </row>
    <row r="15594" spans="1:10" ht="13.2">
      <c r="A15594" s="7">
        <v>15593</v>
      </c>
      <c r="B15594" s="7">
        <v>1</v>
      </c>
      <c r="C15594" s="7" t="s">
        <v>10</v>
      </c>
      <c r="D15594" s="7">
        <v>19698</v>
      </c>
      <c r="E15594" s="7" t="s">
        <v>23</v>
      </c>
      <c r="F15594" s="8" t="str">
        <f ca="1">IFERROR(__xludf.DUMMYFUNCTION("IF
(
C15595=""фізична особа""
,
VLOOKUP(D15595,IMPORTRANGE(""https://docs.google.com/spreadsheets/d/14Bd19lYaqBhU8_DElYkX7l4wRkHqqCUFNJY4AfY3kHU/edit?usp=sharing  #gid=0"",""фіз особи new!relations_name""),6,FALSE)
,
(IF
(
C15595=""юридична особа""
,
VLOO"&amp;"KUP(D15595,IMPORTRANGE(""https://docs.google.com/spreadsheets/d/14Bd19lYaqBhU8_DElYkX7l4wRkHqqCUFNJY4AfY3kHU/edit?usp=sharing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4" s="7" t="s">
        <v>10</v>
      </c>
      <c r="H15594" s="7">
        <v>19701</v>
      </c>
      <c r="I15594" s="8" t="str">
        <f ca="1">IFERROR(__xludf.DUMMYFUNCTION("IF
(
G15595=""фізична особа""
,
VLOOKUP(H15595,IMPORTRANGE(""https://docs.google.com/spreadsheets/d/14Bd19lYaqBhU8_DElYkX7l4wRkHqqCUFNJY4AfY3kHU/edit?usp=sharing  #gid=0"",""фіз особи new!relations_name""),6,FALSE)
,
(IF
(
G15595=""юридична особа""
,
VLOO"&amp;"KUP(H15595,IMPORTRANGE(""https://docs.google.com/spreadsheets/d/14Bd19lYaqBhU8_DElYkX7l4wRkHqqCUFNJY4AfY3kHU/edit?usp=sharing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594" s="7" t="s">
        <v>23</v>
      </c>
    </row>
    <row r="15595" spans="1:10" ht="13.2">
      <c r="A15595" s="7">
        <v>15594</v>
      </c>
      <c r="B15595" s="7">
        <v>1</v>
      </c>
      <c r="C15595" s="7" t="s">
        <v>10</v>
      </c>
      <c r="D15595" s="7">
        <v>19698</v>
      </c>
      <c r="E15595" s="7" t="s">
        <v>23</v>
      </c>
      <c r="F15595" s="8" t="str">
        <f ca="1">IFERROR(__xludf.DUMMYFUNCTION("IF
(
C15596=""фізична особа""
,
VLOOKUP(D15596,IMPORTRANGE(""https://docs.google.com/spreadsheets/d/14Bd19lYaqBhU8_DElYkX7l4wRkHqqCUFNJY4AfY3kHU/edit?usp=sharing  #gid=0"",""фіз особи new!relations_name""),6,FALSE)
,
(IF
(
C15596=""юридична особа""
,
VLOO"&amp;"KUP(D15596,IMPORTRANGE(""https://docs.google.com/spreadsheets/d/14Bd19lYaqBhU8_DElYkX7l4wRkHqqCUFNJY4AfY3kHU/edit?usp=sharing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5" s="7" t="s">
        <v>10</v>
      </c>
      <c r="H15595" s="7">
        <v>19702</v>
      </c>
      <c r="I15595" s="8" t="str">
        <f ca="1">IFERROR(__xludf.DUMMYFUNCTION("IF
(
G15596=""фізична особа""
,
VLOOKUP(H15596,IMPORTRANGE(""https://docs.google.com/spreadsheets/d/14Bd19lYaqBhU8_DElYkX7l4wRkHqqCUFNJY4AfY3kHU/edit?usp=sharing  #gid=0"",""фіз особи new!relations_name""),6,FALSE)
,
(IF
(
G15596=""юридична особа""
,
VLOO"&amp;"KUP(H15596,IMPORTRANGE(""https://docs.google.com/spreadsheets/d/14Bd19lYaqBhU8_DElYkX7l4wRkHqqCUFNJY4AfY3kHU/edit?usp=sharing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595" s="7" t="s">
        <v>23</v>
      </c>
    </row>
    <row r="15596" spans="1:10" ht="13.2">
      <c r="A15596" s="7">
        <v>15595</v>
      </c>
      <c r="B15596" s="7">
        <v>1</v>
      </c>
      <c r="C15596" s="7" t="s">
        <v>10</v>
      </c>
      <c r="D15596" s="7">
        <v>19698</v>
      </c>
      <c r="E15596" s="7" t="s">
        <v>23</v>
      </c>
      <c r="F15596" s="8" t="str">
        <f ca="1">IFERROR(__xludf.DUMMYFUNCTION("IF
(
C15597=""фізична особа""
,
VLOOKUP(D15597,IMPORTRANGE(""https://docs.google.com/spreadsheets/d/14Bd19lYaqBhU8_DElYkX7l4wRkHqqCUFNJY4AfY3kHU/edit?usp=sharing  #gid=0"",""фіз особи new!relations_name""),6,FALSE)
,
(IF
(
C15597=""юридична особа""
,
VLOO"&amp;"KUP(D15597,IMPORTRANGE(""https://docs.google.com/spreadsheets/d/14Bd19lYaqBhU8_DElYkX7l4wRkHqqCUFNJY4AfY3kHU/edit?usp=sharing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6" s="7" t="s">
        <v>10</v>
      </c>
      <c r="H15596" s="7">
        <v>19703</v>
      </c>
      <c r="I15596" s="8" t="str">
        <f ca="1">IFERROR(__xludf.DUMMYFUNCTION("IF
(
G15597=""фізична особа""
,
VLOOKUP(H15597,IMPORTRANGE(""https://docs.google.com/spreadsheets/d/14Bd19lYaqBhU8_DElYkX7l4wRkHqqCUFNJY4AfY3kHU/edit?usp=sharing  #gid=0"",""фіз особи new!relations_name""),6,FALSE)
,
(IF
(
G15597=""юридична особа""
,
VLOO"&amp;"KUP(H15597,IMPORTRANGE(""https://docs.google.com/spreadsheets/d/14Bd19lYaqBhU8_DElYkX7l4wRkHqqCUFNJY4AfY3kHU/edit?usp=sharing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596" s="7" t="s">
        <v>23</v>
      </c>
    </row>
    <row r="15597" spans="1:10" ht="13.2">
      <c r="A15597" s="7">
        <v>15596</v>
      </c>
      <c r="B15597" s="7">
        <v>1</v>
      </c>
      <c r="C15597" s="7" t="s">
        <v>10</v>
      </c>
      <c r="D15597" s="7">
        <v>19698</v>
      </c>
      <c r="E15597" s="7" t="s">
        <v>23</v>
      </c>
      <c r="F15597" s="8" t="str">
        <f ca="1">IFERROR(__xludf.DUMMYFUNCTION("IF
(
C15598=""фізична особа""
,
VLOOKUP(D15598,IMPORTRANGE(""https://docs.google.com/spreadsheets/d/14Bd19lYaqBhU8_DElYkX7l4wRkHqqCUFNJY4AfY3kHU/edit?usp=sharing  #gid=0"",""фіз особи new!relations_name""),6,FALSE)
,
(IF
(
C15598=""юридична особа""
,
VLOO"&amp;"KUP(D15598,IMPORTRANGE(""https://docs.google.com/spreadsheets/d/14Bd19lYaqBhU8_DElYkX7l4wRkHqqCUFNJY4AfY3kHU/edit?usp=sharing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7" s="7" t="s">
        <v>10</v>
      </c>
      <c r="H15597" s="7">
        <v>19704</v>
      </c>
      <c r="I15597" s="8" t="str">
        <f ca="1">IFERROR(__xludf.DUMMYFUNCTION("IF
(
G15598=""фізична особа""
,
VLOOKUP(H15598,IMPORTRANGE(""https://docs.google.com/spreadsheets/d/14Bd19lYaqBhU8_DElYkX7l4wRkHqqCUFNJY4AfY3kHU/edit?usp=sharing  #gid=0"",""фіз особи new!relations_name""),6,FALSE)
,
(IF
(
G15598=""юридична особа""
,
VLOO"&amp;"KUP(H15598,IMPORTRANGE(""https://docs.google.com/spreadsheets/d/14Bd19lYaqBhU8_DElYkX7l4wRkHqqCUFNJY4AfY3kHU/edit?usp=sharing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597" s="7" t="s">
        <v>23</v>
      </c>
    </row>
    <row r="15598" spans="1:10" ht="13.2">
      <c r="A15598" s="7">
        <v>15597</v>
      </c>
      <c r="B15598" s="7">
        <v>1</v>
      </c>
      <c r="C15598" s="7" t="s">
        <v>10</v>
      </c>
      <c r="D15598" s="7">
        <v>19698</v>
      </c>
      <c r="E15598" s="7" t="s">
        <v>23</v>
      </c>
      <c r="F15598" s="8" t="str">
        <f ca="1">IFERROR(__xludf.DUMMYFUNCTION("IF
(
C15599=""фізична особа""
,
VLOOKUP(D15599,IMPORTRANGE(""https://docs.google.com/spreadsheets/d/14Bd19lYaqBhU8_DElYkX7l4wRkHqqCUFNJY4AfY3kHU/edit?usp=sharing  #gid=0"",""фіз особи new!relations_name""),6,FALSE)
,
(IF
(
C15599=""юридична особа""
,
VLOO"&amp;"KUP(D15599,IMPORTRANGE(""https://docs.google.com/spreadsheets/d/14Bd19lYaqBhU8_DElYkX7l4wRkHqqCUFNJY4AfY3kHU/edit?usp=sharing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8" s="7" t="s">
        <v>10</v>
      </c>
      <c r="H15598" s="7">
        <v>19705</v>
      </c>
      <c r="I15598" s="8" t="str">
        <f ca="1">IFERROR(__xludf.DUMMYFUNCTION("IF
(
G15599=""фізична особа""
,
VLOOKUP(H15599,IMPORTRANGE(""https://docs.google.com/spreadsheets/d/14Bd19lYaqBhU8_DElYkX7l4wRkHqqCUFNJY4AfY3kHU/edit?usp=sharing  #gid=0"",""фіз особи new!relations_name""),6,FALSE)
,
(IF
(
G15599=""юридична особа""
,
VLOO"&amp;"KUP(H15599,IMPORTRANGE(""https://docs.google.com/spreadsheets/d/14Bd19lYaqBhU8_DElYkX7l4wRkHqqCUFNJY4AfY3kHU/edit?usp=sharing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598" s="7" t="s">
        <v>23</v>
      </c>
    </row>
    <row r="15599" spans="1:10" ht="13.2">
      <c r="A15599" s="7">
        <v>15598</v>
      </c>
      <c r="B15599" s="7">
        <v>1</v>
      </c>
      <c r="C15599" s="7" t="s">
        <v>10</v>
      </c>
      <c r="D15599" s="7">
        <v>19698</v>
      </c>
      <c r="E15599" s="7" t="s">
        <v>23</v>
      </c>
      <c r="F15599" s="8" t="str">
        <f ca="1">IFERROR(__xludf.DUMMYFUNCTION("IF
(
C15600=""фізична особа""
,
VLOOKUP(D15600,IMPORTRANGE(""https://docs.google.com/spreadsheets/d/14Bd19lYaqBhU8_DElYkX7l4wRkHqqCUFNJY4AfY3kHU/edit?usp=sharing  #gid=0"",""фіз особи new!relations_name""),6,FALSE)
,
(IF
(
C15600=""юридична особа""
,
VLOO"&amp;"KUP(D15600,IMPORTRANGE(""https://docs.google.com/spreadsheets/d/14Bd19lYaqBhU8_DElYkX7l4wRkHqqCUFNJY4AfY3kHU/edit?usp=sharing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599" s="7" t="s">
        <v>10</v>
      </c>
      <c r="H15599" s="7">
        <v>19706</v>
      </c>
      <c r="I15599" s="8" t="str">
        <f ca="1">IFERROR(__xludf.DUMMYFUNCTION("IF
(
G15600=""фізична особа""
,
VLOOKUP(H15600,IMPORTRANGE(""https://docs.google.com/spreadsheets/d/14Bd19lYaqBhU8_DElYkX7l4wRkHqqCUFNJY4AfY3kHU/edit?usp=sharing  #gid=0"",""фіз особи new!relations_name""),6,FALSE)
,
(IF
(
G15600=""юридична особа""
,
VLOO"&amp;"KUP(H15600,IMPORTRANGE(""https://docs.google.com/spreadsheets/d/14Bd19lYaqBhU8_DElYkX7l4wRkHqqCUFNJY4AfY3kHU/edit?usp=sharing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599" s="7" t="s">
        <v>23</v>
      </c>
    </row>
    <row r="15600" spans="1:10" ht="13.2">
      <c r="A15600" s="7">
        <v>15599</v>
      </c>
      <c r="B15600" s="7">
        <v>1</v>
      </c>
      <c r="C15600" s="7" t="s">
        <v>10</v>
      </c>
      <c r="D15600" s="7">
        <v>19698</v>
      </c>
      <c r="E15600" s="7" t="s">
        <v>23</v>
      </c>
      <c r="F15600" s="8" t="str">
        <f ca="1">IFERROR(__xludf.DUMMYFUNCTION("IF
(
C15601=""фізична особа""
,
VLOOKUP(D15601,IMPORTRANGE(""https://docs.google.com/spreadsheets/d/14Bd19lYaqBhU8_DElYkX7l4wRkHqqCUFNJY4AfY3kHU/edit?usp=sharing  #gid=0"",""фіз особи new!relations_name""),6,FALSE)
,
(IF
(
C15601=""юридична особа""
,
VLOO"&amp;"KUP(D15601,IMPORTRANGE(""https://docs.google.com/spreadsheets/d/14Bd19lYaqBhU8_DElYkX7l4wRkHqqCUFNJY4AfY3kHU/edit?usp=sharing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600" s="7" t="s">
        <v>10</v>
      </c>
      <c r="H15600" s="7">
        <v>19707</v>
      </c>
      <c r="I15600" s="8" t="str">
        <f ca="1">IFERROR(__xludf.DUMMYFUNCTION("IF
(
G15601=""фізична особа""
,
VLOOKUP(H15601,IMPORTRANGE(""https://docs.google.com/spreadsheets/d/14Bd19lYaqBhU8_DElYkX7l4wRkHqqCUFNJY4AfY3kHU/edit?usp=sharing  #gid=0"",""фіз особи new!relations_name""),6,FALSE)
,
(IF
(
G15601=""юридична особа""
,
VLOO"&amp;"KUP(H15601,IMPORTRANGE(""https://docs.google.com/spreadsheets/d/14Bd19lYaqBhU8_DElYkX7l4wRkHqqCUFNJY4AfY3kHU/edit?usp=sharing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00" s="7" t="s">
        <v>23</v>
      </c>
    </row>
    <row r="15601" spans="1:10" ht="13.2">
      <c r="A15601" s="7">
        <v>15600</v>
      </c>
      <c r="B15601" s="7">
        <v>1</v>
      </c>
      <c r="C15601" s="7" t="s">
        <v>10</v>
      </c>
      <c r="D15601" s="7">
        <v>19698</v>
      </c>
      <c r="E15601" s="7" t="s">
        <v>23</v>
      </c>
      <c r="F15601" s="8" t="str">
        <f ca="1">IFERROR(__xludf.DUMMYFUNCTION("IF
(
C15602=""фізична особа""
,
VLOOKUP(D15602,IMPORTRANGE(""https://docs.google.com/spreadsheets/d/14Bd19lYaqBhU8_DElYkX7l4wRkHqqCUFNJY4AfY3kHU/edit?usp=sharing  #gid=0"",""фіз особи new!relations_name""),6,FALSE)
,
(IF
(
C15602=""юридична особа""
,
VLOO"&amp;"KUP(D15602,IMPORTRANGE(""https://docs.google.com/spreadsheets/d/14Bd19lYaqBhU8_DElYkX7l4wRkHqqCUFNJY4AfY3kHU/edit?usp=sharing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601" s="7" t="s">
        <v>10</v>
      </c>
      <c r="H15601" s="7">
        <v>19708</v>
      </c>
      <c r="I15601" s="8" t="str">
        <f ca="1">IFERROR(__xludf.DUMMYFUNCTION("IF
(
G15602=""фізична особа""
,
VLOOKUP(H15602,IMPORTRANGE(""https://docs.google.com/spreadsheets/d/14Bd19lYaqBhU8_DElYkX7l4wRkHqqCUFNJY4AfY3kHU/edit?usp=sharing  #gid=0"",""фіз особи new!relations_name""),6,FALSE)
,
(IF
(
G15602=""юридична особа""
,
VLOO"&amp;"KUP(H15602,IMPORTRANGE(""https://docs.google.com/spreadsheets/d/14Bd19lYaqBhU8_DElYkX7l4wRkHqqCUFNJY4AfY3kHU/edit?usp=sharing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01" s="7" t="s">
        <v>23</v>
      </c>
    </row>
    <row r="15602" spans="1:10" ht="13.2">
      <c r="A15602" s="7">
        <v>15601</v>
      </c>
      <c r="B15602" s="7">
        <v>1</v>
      </c>
      <c r="C15602" s="7" t="s">
        <v>10</v>
      </c>
      <c r="D15602" s="7">
        <v>19698</v>
      </c>
      <c r="E15602" s="7" t="s">
        <v>23</v>
      </c>
      <c r="F15602" s="8" t="str">
        <f ca="1">IFERROR(__xludf.DUMMYFUNCTION("IF
(
C15603=""фізична особа""
,
VLOOKUP(D15603,IMPORTRANGE(""https://docs.google.com/spreadsheets/d/14Bd19lYaqBhU8_DElYkX7l4wRkHqqCUFNJY4AfY3kHU/edit?usp=sharing  #gid=0"",""фіз особи new!relations_name""),6,FALSE)
,
(IF
(
C15603=""юридична особа""
,
VLOO"&amp;"KUP(D15603,IMPORTRANGE(""https://docs.google.com/spreadsheets/d/14Bd19lYaqBhU8_DElYkX7l4wRkHqqCUFNJY4AfY3kHU/edit?usp=sharing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602" s="7" t="s">
        <v>10</v>
      </c>
      <c r="H15602" s="7">
        <v>19709</v>
      </c>
      <c r="I15602" s="8" t="str">
        <f ca="1">IFERROR(__xludf.DUMMYFUNCTION("IF
(
G15603=""фізична особа""
,
VLOOKUP(H15603,IMPORTRANGE(""https://docs.google.com/spreadsheets/d/14Bd19lYaqBhU8_DElYkX7l4wRkHqqCUFNJY4AfY3kHU/edit?usp=sharing  #gid=0"",""фіз особи new!relations_name""),6,FALSE)
,
(IF
(
G15603=""юридична особа""
,
VLOO"&amp;"KUP(H15603,IMPORTRANGE(""https://docs.google.com/spreadsheets/d/14Bd19lYaqBhU8_DElYkX7l4wRkHqqCUFNJY4AfY3kHU/edit?usp=sharing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02" s="7" t="s">
        <v>23</v>
      </c>
    </row>
    <row r="15603" spans="1:10" ht="13.2">
      <c r="A15603" s="7">
        <v>15602</v>
      </c>
      <c r="B15603" s="7">
        <v>1</v>
      </c>
      <c r="C15603" s="7" t="s">
        <v>10</v>
      </c>
      <c r="D15603" s="7">
        <v>19698</v>
      </c>
      <c r="E15603" s="7" t="s">
        <v>23</v>
      </c>
      <c r="F15603" s="8" t="str">
        <f ca="1">IFERROR(__xludf.DUMMYFUNCTION("IF
(
C15604=""фізична особа""
,
VLOOKUP(D15604,IMPORTRANGE(""https://docs.google.com/spreadsheets/d/14Bd19lYaqBhU8_DElYkX7l4wRkHqqCUFNJY4AfY3kHU/edit?usp=sharing  #gid=0"",""фіз особи new!relations_name""),6,FALSE)
,
(IF
(
C15604=""юридична особа""
,
VLOO"&amp;"KUP(D15604,IMPORTRANGE(""https://docs.google.com/spreadsheets/d/14Bd19lYaqBhU8_DElYkX7l4wRkHqqCUFNJY4AfY3kHU/edit?usp=sharing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G15603" s="7" t="s">
        <v>10</v>
      </c>
      <c r="H15603" s="7">
        <v>19710</v>
      </c>
      <c r="I15603" s="8" t="str">
        <f ca="1">IFERROR(__xludf.DUMMYFUNCTION("IF
(
G15604=""фізична особа""
,
VLOOKUP(H15604,IMPORTRANGE(""https://docs.google.com/spreadsheets/d/14Bd19lYaqBhU8_DElYkX7l4wRkHqqCUFNJY4AfY3kHU/edit?usp=sharing  #gid=0"",""фіз особи new!relations_name""),6,FALSE)
,
(IF
(
G15604=""юридична особа""
,
VLOO"&amp;"KUP(H15604,IMPORTRANGE(""https://docs.google.com/spreadsheets/d/14Bd19lYaqBhU8_DElYkX7l4wRkHqqCUFNJY4AfY3kHU/edit?usp=sharing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03" s="7" t="s">
        <v>23</v>
      </c>
    </row>
    <row r="15604" spans="1:10" ht="13.2">
      <c r="A15604" s="7">
        <v>15603</v>
      </c>
      <c r="B15604" s="7">
        <v>1</v>
      </c>
      <c r="C15604" s="7" t="s">
        <v>10</v>
      </c>
      <c r="D15604" s="7">
        <v>19699</v>
      </c>
      <c r="E15604" s="7" t="s">
        <v>23</v>
      </c>
      <c r="F15604" s="8" t="str">
        <f ca="1">IFERROR(__xludf.DUMMYFUNCTION("IF
(
C15605=""фізична особа""
,
VLOOKUP(D15605,IMPORTRANGE(""https://docs.google.com/spreadsheets/d/14Bd19lYaqBhU8_DElYkX7l4wRkHqqCUFNJY4AfY3kHU/edit?usp=sharing  #gid=0"",""фіз особи new!relations_name""),6,FALSE)
,
(IF
(
C15605=""юридична особа""
,
VLOO"&amp;"KUP(D15605,IMPORTRANGE(""https://docs.google.com/spreadsheets/d/14Bd19lYaqBhU8_DElYkX7l4wRkHqqCUFNJY4AfY3kHU/edit?usp=sharing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4" s="7" t="s">
        <v>10</v>
      </c>
      <c r="H15604" s="7">
        <v>19698</v>
      </c>
      <c r="I15604" s="8" t="str">
        <f ca="1">IFERROR(__xludf.DUMMYFUNCTION("IF
(
G15605=""фізична особа""
,
VLOOKUP(H15605,IMPORTRANGE(""https://docs.google.com/spreadsheets/d/14Bd19lYaqBhU8_DElYkX7l4wRkHqqCUFNJY4AfY3kHU/edit?usp=sharing  #gid=0"",""фіз особи new!relations_name""),6,FALSE)
,
(IF
(
G15605=""юридична особа""
,
VLOO"&amp;"KUP(H15605,IMPORTRANGE(""https://docs.google.com/spreadsheets/d/14Bd19lYaqBhU8_DElYkX7l4wRkHqqCUFNJY4AfY3kHU/edit?usp=sharing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04" s="7" t="s">
        <v>23</v>
      </c>
    </row>
    <row r="15605" spans="1:10" ht="13.2">
      <c r="A15605" s="7">
        <v>15604</v>
      </c>
      <c r="B15605" s="7">
        <v>1</v>
      </c>
      <c r="C15605" s="7" t="s">
        <v>10</v>
      </c>
      <c r="D15605" s="7">
        <v>19699</v>
      </c>
      <c r="E15605" s="7" t="s">
        <v>23</v>
      </c>
      <c r="F15605" s="8" t="str">
        <f ca="1">IFERROR(__xludf.DUMMYFUNCTION("IF
(
C15606=""фізична особа""
,
VLOOKUP(D15606,IMPORTRANGE(""https://docs.google.com/spreadsheets/d/14Bd19lYaqBhU8_DElYkX7l4wRkHqqCUFNJY4AfY3kHU/edit?usp=sharing  #gid=0"",""фіз особи new!relations_name""),6,FALSE)
,
(IF
(
C15606=""юридична особа""
,
VLOO"&amp;"KUP(D15606,IMPORTRANGE(""https://docs.google.com/spreadsheets/d/14Bd19lYaqBhU8_DElYkX7l4wRkHqqCUFNJY4AfY3kHU/edit?usp=sharing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5" s="7" t="s">
        <v>10</v>
      </c>
      <c r="H15605" s="7">
        <v>19700</v>
      </c>
      <c r="I15605" s="8" t="str">
        <f ca="1">IFERROR(__xludf.DUMMYFUNCTION("IF
(
G15606=""фізична особа""
,
VLOOKUP(H15606,IMPORTRANGE(""https://docs.google.com/spreadsheets/d/14Bd19lYaqBhU8_DElYkX7l4wRkHqqCUFNJY4AfY3kHU/edit?usp=sharing  #gid=0"",""фіз особи new!relations_name""),6,FALSE)
,
(IF
(
G15606=""юридична особа""
,
VLOO"&amp;"KUP(H15606,IMPORTRANGE(""https://docs.google.com/spreadsheets/d/14Bd19lYaqBhU8_DElYkX7l4wRkHqqCUFNJY4AfY3kHU/edit?usp=sharing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05" s="7" t="s">
        <v>23</v>
      </c>
    </row>
    <row r="15606" spans="1:10" ht="13.2">
      <c r="A15606" s="7">
        <v>15605</v>
      </c>
      <c r="B15606" s="7">
        <v>1</v>
      </c>
      <c r="C15606" s="7" t="s">
        <v>10</v>
      </c>
      <c r="D15606" s="7">
        <v>19699</v>
      </c>
      <c r="E15606" s="7" t="s">
        <v>23</v>
      </c>
      <c r="F15606" s="8" t="str">
        <f ca="1">IFERROR(__xludf.DUMMYFUNCTION("IF
(
C15607=""фізична особа""
,
VLOOKUP(D15607,IMPORTRANGE(""https://docs.google.com/spreadsheets/d/14Bd19lYaqBhU8_DElYkX7l4wRkHqqCUFNJY4AfY3kHU/edit?usp=sharing  #gid=0"",""фіз особи new!relations_name""),6,FALSE)
,
(IF
(
C15607=""юридична особа""
,
VLOO"&amp;"KUP(D15607,IMPORTRANGE(""https://docs.google.com/spreadsheets/d/14Bd19lYaqBhU8_DElYkX7l4wRkHqqCUFNJY4AfY3kHU/edit?usp=sharing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6" s="7" t="s">
        <v>10</v>
      </c>
      <c r="H15606" s="7">
        <v>19701</v>
      </c>
      <c r="I15606" s="8" t="str">
        <f ca="1">IFERROR(__xludf.DUMMYFUNCTION("IF
(
G15607=""фізична особа""
,
VLOOKUP(H15607,IMPORTRANGE(""https://docs.google.com/spreadsheets/d/14Bd19lYaqBhU8_DElYkX7l4wRkHqqCUFNJY4AfY3kHU/edit?usp=sharing  #gid=0"",""фіз особи new!relations_name""),6,FALSE)
,
(IF
(
G15607=""юридична особа""
,
VLOO"&amp;"KUP(H15607,IMPORTRANGE(""https://docs.google.com/spreadsheets/d/14Bd19lYaqBhU8_DElYkX7l4wRkHqqCUFNJY4AfY3kHU/edit?usp=sharing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06" s="7" t="s">
        <v>23</v>
      </c>
    </row>
    <row r="15607" spans="1:10" ht="13.2">
      <c r="A15607" s="7">
        <v>15606</v>
      </c>
      <c r="B15607" s="7">
        <v>1</v>
      </c>
      <c r="C15607" s="7" t="s">
        <v>10</v>
      </c>
      <c r="D15607" s="7">
        <v>19699</v>
      </c>
      <c r="E15607" s="7" t="s">
        <v>23</v>
      </c>
      <c r="F15607" s="8" t="str">
        <f ca="1">IFERROR(__xludf.DUMMYFUNCTION("IF
(
C15608=""фізична особа""
,
VLOOKUP(D15608,IMPORTRANGE(""https://docs.google.com/spreadsheets/d/14Bd19lYaqBhU8_DElYkX7l4wRkHqqCUFNJY4AfY3kHU/edit?usp=sharing  #gid=0"",""фіз особи new!relations_name""),6,FALSE)
,
(IF
(
C15608=""юридична особа""
,
VLOO"&amp;"KUP(D15608,IMPORTRANGE(""https://docs.google.com/spreadsheets/d/14Bd19lYaqBhU8_DElYkX7l4wRkHqqCUFNJY4AfY3kHU/edit?usp=sharing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7" s="7" t="s">
        <v>10</v>
      </c>
      <c r="H15607" s="7">
        <v>19702</v>
      </c>
      <c r="I15607" s="8" t="str">
        <f ca="1">IFERROR(__xludf.DUMMYFUNCTION("IF
(
G15608=""фізична особа""
,
VLOOKUP(H15608,IMPORTRANGE(""https://docs.google.com/spreadsheets/d/14Bd19lYaqBhU8_DElYkX7l4wRkHqqCUFNJY4AfY3kHU/edit?usp=sharing  #gid=0"",""фіз особи new!relations_name""),6,FALSE)
,
(IF
(
G15608=""юридична особа""
,
VLOO"&amp;"KUP(H15608,IMPORTRANGE(""https://docs.google.com/spreadsheets/d/14Bd19lYaqBhU8_DElYkX7l4wRkHqqCUFNJY4AfY3kHU/edit?usp=sharing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07" s="7" t="s">
        <v>23</v>
      </c>
    </row>
    <row r="15608" spans="1:10" ht="13.2">
      <c r="A15608" s="7">
        <v>15607</v>
      </c>
      <c r="B15608" s="7">
        <v>1</v>
      </c>
      <c r="C15608" s="7" t="s">
        <v>10</v>
      </c>
      <c r="D15608" s="7">
        <v>19699</v>
      </c>
      <c r="E15608" s="7" t="s">
        <v>23</v>
      </c>
      <c r="F15608" s="8" t="str">
        <f ca="1">IFERROR(__xludf.DUMMYFUNCTION("IF
(
C15609=""фізична особа""
,
VLOOKUP(D15609,IMPORTRANGE(""https://docs.google.com/spreadsheets/d/14Bd19lYaqBhU8_DElYkX7l4wRkHqqCUFNJY4AfY3kHU/edit?usp=sharing  #gid=0"",""фіз особи new!relations_name""),6,FALSE)
,
(IF
(
C15609=""юридична особа""
,
VLOO"&amp;"KUP(D15609,IMPORTRANGE(""https://docs.google.com/spreadsheets/d/14Bd19lYaqBhU8_DElYkX7l4wRkHqqCUFNJY4AfY3kHU/edit?usp=sharing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8" s="7" t="s">
        <v>10</v>
      </c>
      <c r="H15608" s="7">
        <v>19703</v>
      </c>
      <c r="I15608" s="8" t="str">
        <f ca="1">IFERROR(__xludf.DUMMYFUNCTION("IF
(
G15609=""фізична особа""
,
VLOOKUP(H15609,IMPORTRANGE(""https://docs.google.com/spreadsheets/d/14Bd19lYaqBhU8_DElYkX7l4wRkHqqCUFNJY4AfY3kHU/edit?usp=sharing  #gid=0"",""фіз особи new!relations_name""),6,FALSE)
,
(IF
(
G15609=""юридична особа""
,
VLOO"&amp;"KUP(H15609,IMPORTRANGE(""https://docs.google.com/spreadsheets/d/14Bd19lYaqBhU8_DElYkX7l4wRkHqqCUFNJY4AfY3kHU/edit?usp=sharing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08" s="7" t="s">
        <v>23</v>
      </c>
    </row>
    <row r="15609" spans="1:10" ht="13.2">
      <c r="A15609" s="7">
        <v>15608</v>
      </c>
      <c r="B15609" s="7">
        <v>1</v>
      </c>
      <c r="C15609" s="7" t="s">
        <v>10</v>
      </c>
      <c r="D15609" s="7">
        <v>19699</v>
      </c>
      <c r="E15609" s="7" t="s">
        <v>23</v>
      </c>
      <c r="F15609" s="8" t="str">
        <f ca="1">IFERROR(__xludf.DUMMYFUNCTION("IF
(
C15610=""фізична особа""
,
VLOOKUP(D15610,IMPORTRANGE(""https://docs.google.com/spreadsheets/d/14Bd19lYaqBhU8_DElYkX7l4wRkHqqCUFNJY4AfY3kHU/edit?usp=sharing  #gid=0"",""фіз особи new!relations_name""),6,FALSE)
,
(IF
(
C15610=""юридична особа""
,
VLOO"&amp;"KUP(D15610,IMPORTRANGE(""https://docs.google.com/spreadsheets/d/14Bd19lYaqBhU8_DElYkX7l4wRkHqqCUFNJY4AfY3kHU/edit?usp=sharing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09" s="7" t="s">
        <v>10</v>
      </c>
      <c r="H15609" s="7">
        <v>19704</v>
      </c>
      <c r="I15609" s="8" t="str">
        <f ca="1">IFERROR(__xludf.DUMMYFUNCTION("IF
(
G15610=""фізична особа""
,
VLOOKUP(H15610,IMPORTRANGE(""https://docs.google.com/spreadsheets/d/14Bd19lYaqBhU8_DElYkX7l4wRkHqqCUFNJY4AfY3kHU/edit?usp=sharing  #gid=0"",""фіз особи new!relations_name""),6,FALSE)
,
(IF
(
G15610=""юридична особа""
,
VLOO"&amp;"KUP(H15610,IMPORTRANGE(""https://docs.google.com/spreadsheets/d/14Bd19lYaqBhU8_DElYkX7l4wRkHqqCUFNJY4AfY3kHU/edit?usp=sharing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09" s="7" t="s">
        <v>23</v>
      </c>
    </row>
    <row r="15610" spans="1:10" ht="13.2">
      <c r="A15610" s="7">
        <v>15609</v>
      </c>
      <c r="B15610" s="7">
        <v>1</v>
      </c>
      <c r="C15610" s="7" t="s">
        <v>10</v>
      </c>
      <c r="D15610" s="7">
        <v>19699</v>
      </c>
      <c r="E15610" s="7" t="s">
        <v>23</v>
      </c>
      <c r="F15610" s="8" t="str">
        <f ca="1">IFERROR(__xludf.DUMMYFUNCTION("IF
(
C15611=""фізична особа""
,
VLOOKUP(D15611,IMPORTRANGE(""https://docs.google.com/spreadsheets/d/14Bd19lYaqBhU8_DElYkX7l4wRkHqqCUFNJY4AfY3kHU/edit?usp=sharing  #gid=0"",""фіз особи new!relations_name""),6,FALSE)
,
(IF
(
C15611=""юридична особа""
,
VLOO"&amp;"KUP(D15611,IMPORTRANGE(""https://docs.google.com/spreadsheets/d/14Bd19lYaqBhU8_DElYkX7l4wRkHqqCUFNJY4AfY3kHU/edit?usp=sharing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0" s="7" t="s">
        <v>10</v>
      </c>
      <c r="H15610" s="7">
        <v>19705</v>
      </c>
      <c r="I15610" s="8" t="str">
        <f ca="1">IFERROR(__xludf.DUMMYFUNCTION("IF
(
G15611=""фізична особа""
,
VLOOKUP(H15611,IMPORTRANGE(""https://docs.google.com/spreadsheets/d/14Bd19lYaqBhU8_DElYkX7l4wRkHqqCUFNJY4AfY3kHU/edit?usp=sharing  #gid=0"",""фіз особи new!relations_name""),6,FALSE)
,
(IF
(
G15611=""юридична особа""
,
VLOO"&amp;"KUP(H15611,IMPORTRANGE(""https://docs.google.com/spreadsheets/d/14Bd19lYaqBhU8_DElYkX7l4wRkHqqCUFNJY4AfY3kHU/edit?usp=sharing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10" s="7" t="s">
        <v>23</v>
      </c>
    </row>
    <row r="15611" spans="1:10" ht="13.2">
      <c r="A15611" s="7">
        <v>15610</v>
      </c>
      <c r="B15611" s="7">
        <v>1</v>
      </c>
      <c r="C15611" s="7" t="s">
        <v>10</v>
      </c>
      <c r="D15611" s="7">
        <v>19699</v>
      </c>
      <c r="E15611" s="7" t="s">
        <v>23</v>
      </c>
      <c r="F15611" s="8" t="str">
        <f ca="1">IFERROR(__xludf.DUMMYFUNCTION("IF
(
C15612=""фізична особа""
,
VLOOKUP(D15612,IMPORTRANGE(""https://docs.google.com/spreadsheets/d/14Bd19lYaqBhU8_DElYkX7l4wRkHqqCUFNJY4AfY3kHU/edit?usp=sharing  #gid=0"",""фіз особи new!relations_name""),6,FALSE)
,
(IF
(
C15612=""юридична особа""
,
VLOO"&amp;"KUP(D15612,IMPORTRANGE(""https://docs.google.com/spreadsheets/d/14Bd19lYaqBhU8_DElYkX7l4wRkHqqCUFNJY4AfY3kHU/edit?usp=sharing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1" s="7" t="s">
        <v>10</v>
      </c>
      <c r="H15611" s="7">
        <v>19706</v>
      </c>
      <c r="I15611" s="8" t="str">
        <f ca="1">IFERROR(__xludf.DUMMYFUNCTION("IF
(
G15612=""фізична особа""
,
VLOOKUP(H15612,IMPORTRANGE(""https://docs.google.com/spreadsheets/d/14Bd19lYaqBhU8_DElYkX7l4wRkHqqCUFNJY4AfY3kHU/edit?usp=sharing  #gid=0"",""фіз особи new!relations_name""),6,FALSE)
,
(IF
(
G15612=""юридична особа""
,
VLOO"&amp;"KUP(H15612,IMPORTRANGE(""https://docs.google.com/spreadsheets/d/14Bd19lYaqBhU8_DElYkX7l4wRkHqqCUFNJY4AfY3kHU/edit?usp=sharing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11" s="7" t="s">
        <v>23</v>
      </c>
    </row>
    <row r="15612" spans="1:10" ht="13.2">
      <c r="A15612" s="7">
        <v>15611</v>
      </c>
      <c r="B15612" s="7">
        <v>1</v>
      </c>
      <c r="C15612" s="7" t="s">
        <v>10</v>
      </c>
      <c r="D15612" s="7">
        <v>19699</v>
      </c>
      <c r="E15612" s="7" t="s">
        <v>23</v>
      </c>
      <c r="F15612" s="8" t="str">
        <f ca="1">IFERROR(__xludf.DUMMYFUNCTION("IF
(
C15613=""фізична особа""
,
VLOOKUP(D15613,IMPORTRANGE(""https://docs.google.com/spreadsheets/d/14Bd19lYaqBhU8_DElYkX7l4wRkHqqCUFNJY4AfY3kHU/edit?usp=sharing  #gid=0"",""фіз особи new!relations_name""),6,FALSE)
,
(IF
(
C15613=""юридична особа""
,
VLOO"&amp;"KUP(D15613,IMPORTRANGE(""https://docs.google.com/spreadsheets/d/14Bd19lYaqBhU8_DElYkX7l4wRkHqqCUFNJY4AfY3kHU/edit?usp=sharing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2" s="7" t="s">
        <v>10</v>
      </c>
      <c r="H15612" s="7">
        <v>19707</v>
      </c>
      <c r="I15612" s="8" t="str">
        <f ca="1">IFERROR(__xludf.DUMMYFUNCTION("IF
(
G15613=""фізична особа""
,
VLOOKUP(H15613,IMPORTRANGE(""https://docs.google.com/spreadsheets/d/14Bd19lYaqBhU8_DElYkX7l4wRkHqqCUFNJY4AfY3kHU/edit?usp=sharing  #gid=0"",""фіз особи new!relations_name""),6,FALSE)
,
(IF
(
G15613=""юридична особа""
,
VLOO"&amp;"KUP(H15613,IMPORTRANGE(""https://docs.google.com/spreadsheets/d/14Bd19lYaqBhU8_DElYkX7l4wRkHqqCUFNJY4AfY3kHU/edit?usp=sharing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12" s="7" t="s">
        <v>23</v>
      </c>
    </row>
    <row r="15613" spans="1:10" ht="13.2">
      <c r="A15613" s="7">
        <v>15612</v>
      </c>
      <c r="B15613" s="7">
        <v>1</v>
      </c>
      <c r="C15613" s="7" t="s">
        <v>10</v>
      </c>
      <c r="D15613" s="7">
        <v>19699</v>
      </c>
      <c r="E15613" s="7" t="s">
        <v>23</v>
      </c>
      <c r="F15613" s="8" t="str">
        <f ca="1">IFERROR(__xludf.DUMMYFUNCTION("IF
(
C15614=""фізична особа""
,
VLOOKUP(D15614,IMPORTRANGE(""https://docs.google.com/spreadsheets/d/14Bd19lYaqBhU8_DElYkX7l4wRkHqqCUFNJY4AfY3kHU/edit?usp=sharing  #gid=0"",""фіз особи new!relations_name""),6,FALSE)
,
(IF
(
C15614=""юридична особа""
,
VLOO"&amp;"KUP(D15614,IMPORTRANGE(""https://docs.google.com/spreadsheets/d/14Bd19lYaqBhU8_DElYkX7l4wRkHqqCUFNJY4AfY3kHU/edit?usp=sharing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3" s="7" t="s">
        <v>10</v>
      </c>
      <c r="H15613" s="7">
        <v>19708</v>
      </c>
      <c r="I15613" s="8" t="str">
        <f ca="1">IFERROR(__xludf.DUMMYFUNCTION("IF
(
G15614=""фізична особа""
,
VLOOKUP(H15614,IMPORTRANGE(""https://docs.google.com/spreadsheets/d/14Bd19lYaqBhU8_DElYkX7l4wRkHqqCUFNJY4AfY3kHU/edit?usp=sharing  #gid=0"",""фіз особи new!relations_name""),6,FALSE)
,
(IF
(
G15614=""юридична особа""
,
VLOO"&amp;"KUP(H15614,IMPORTRANGE(""https://docs.google.com/spreadsheets/d/14Bd19lYaqBhU8_DElYkX7l4wRkHqqCUFNJY4AfY3kHU/edit?usp=sharing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13" s="7" t="s">
        <v>23</v>
      </c>
    </row>
    <row r="15614" spans="1:10" ht="13.2">
      <c r="A15614" s="7">
        <v>15613</v>
      </c>
      <c r="B15614" s="7">
        <v>1</v>
      </c>
      <c r="C15614" s="7" t="s">
        <v>10</v>
      </c>
      <c r="D15614" s="7">
        <v>19699</v>
      </c>
      <c r="E15614" s="7" t="s">
        <v>23</v>
      </c>
      <c r="F15614" s="8" t="str">
        <f ca="1">IFERROR(__xludf.DUMMYFUNCTION("IF
(
C15615=""фізична особа""
,
VLOOKUP(D15615,IMPORTRANGE(""https://docs.google.com/spreadsheets/d/14Bd19lYaqBhU8_DElYkX7l4wRkHqqCUFNJY4AfY3kHU/edit?usp=sharing  #gid=0"",""фіз особи new!relations_name""),6,FALSE)
,
(IF
(
C15615=""юридична особа""
,
VLOO"&amp;"KUP(D15615,IMPORTRANGE(""https://docs.google.com/spreadsheets/d/14Bd19lYaqBhU8_DElYkX7l4wRkHqqCUFNJY4AfY3kHU/edit?usp=sharing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4" s="7" t="s">
        <v>10</v>
      </c>
      <c r="H15614" s="7">
        <v>19709</v>
      </c>
      <c r="I15614" s="8" t="str">
        <f ca="1">IFERROR(__xludf.DUMMYFUNCTION("IF
(
G15615=""фізична особа""
,
VLOOKUP(H15615,IMPORTRANGE(""https://docs.google.com/spreadsheets/d/14Bd19lYaqBhU8_DElYkX7l4wRkHqqCUFNJY4AfY3kHU/edit?usp=sharing  #gid=0"",""фіз особи new!relations_name""),6,FALSE)
,
(IF
(
G15615=""юридична особа""
,
VLOO"&amp;"KUP(H15615,IMPORTRANGE(""https://docs.google.com/spreadsheets/d/14Bd19lYaqBhU8_DElYkX7l4wRkHqqCUFNJY4AfY3kHU/edit?usp=sharing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14" s="7" t="s">
        <v>23</v>
      </c>
    </row>
    <row r="15615" spans="1:10" ht="13.2">
      <c r="A15615" s="7">
        <v>15614</v>
      </c>
      <c r="B15615" s="7">
        <v>1</v>
      </c>
      <c r="C15615" s="7" t="s">
        <v>10</v>
      </c>
      <c r="D15615" s="7">
        <v>19699</v>
      </c>
      <c r="E15615" s="7" t="s">
        <v>23</v>
      </c>
      <c r="F15615" s="8" t="str">
        <f ca="1">IFERROR(__xludf.DUMMYFUNCTION("IF
(
C15616=""фізична особа""
,
VLOOKUP(D15616,IMPORTRANGE(""https://docs.google.com/spreadsheets/d/14Bd19lYaqBhU8_DElYkX7l4wRkHqqCUFNJY4AfY3kHU/edit?usp=sharing  #gid=0"",""фіз особи new!relations_name""),6,FALSE)
,
(IF
(
C15616=""юридична особа""
,
VLOO"&amp;"KUP(D15616,IMPORTRANGE(""https://docs.google.com/spreadsheets/d/14Bd19lYaqBhU8_DElYkX7l4wRkHqqCUFNJY4AfY3kHU/edit?usp=sharing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G15615" s="7" t="s">
        <v>10</v>
      </c>
      <c r="H15615" s="7">
        <v>19710</v>
      </c>
      <c r="I15615" s="8" t="str">
        <f ca="1">IFERROR(__xludf.DUMMYFUNCTION("IF
(
G15616=""фізична особа""
,
VLOOKUP(H15616,IMPORTRANGE(""https://docs.google.com/spreadsheets/d/14Bd19lYaqBhU8_DElYkX7l4wRkHqqCUFNJY4AfY3kHU/edit?usp=sharing  #gid=0"",""фіз особи new!relations_name""),6,FALSE)
,
(IF
(
G15616=""юридична особа""
,
VLOO"&amp;"KUP(H15616,IMPORTRANGE(""https://docs.google.com/spreadsheets/d/14Bd19lYaqBhU8_DElYkX7l4wRkHqqCUFNJY4AfY3kHU/edit?usp=sharing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15" s="7" t="s">
        <v>23</v>
      </c>
    </row>
    <row r="15616" spans="1:10" ht="13.2">
      <c r="A15616" s="7">
        <v>15615</v>
      </c>
      <c r="B15616" s="7">
        <v>1</v>
      </c>
      <c r="C15616" s="7" t="s">
        <v>10</v>
      </c>
      <c r="D15616" s="7">
        <v>19700</v>
      </c>
      <c r="E15616" s="7" t="s">
        <v>23</v>
      </c>
      <c r="F15616" s="8" t="str">
        <f ca="1">IFERROR(__xludf.DUMMYFUNCTION("IF
(
C15617=""фізична особа""
,
VLOOKUP(D15617,IMPORTRANGE(""https://docs.google.com/spreadsheets/d/14Bd19lYaqBhU8_DElYkX7l4wRkHqqCUFNJY4AfY3kHU/edit?usp=sharing  #gid=0"",""фіз особи new!relations_name""),6,FALSE)
,
(IF
(
C15617=""юридична особа""
,
VLOO"&amp;"KUP(D15617,IMPORTRANGE(""https://docs.google.com/spreadsheets/d/14Bd19lYaqBhU8_DElYkX7l4wRkHqqCUFNJY4AfY3kHU/edit?usp=sharing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16" s="7" t="s">
        <v>10</v>
      </c>
      <c r="H15616" s="7">
        <v>19698</v>
      </c>
      <c r="I15616" s="8" t="str">
        <f ca="1">IFERROR(__xludf.DUMMYFUNCTION("IF
(
G15617=""фізична особа""
,
VLOOKUP(H15617,IMPORTRANGE(""https://docs.google.com/spreadsheets/d/14Bd19lYaqBhU8_DElYkX7l4wRkHqqCUFNJY4AfY3kHU/edit?usp=sharing  #gid=0"",""фіз особи new!relations_name""),6,FALSE)
,
(IF
(
G15617=""юридична особа""
,
VLOO"&amp;"KUP(H15617,IMPORTRANGE(""https://docs.google.com/spreadsheets/d/14Bd19lYaqBhU8_DElYkX7l4wRkHqqCUFNJY4AfY3kHU/edit?usp=sharing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16" s="7" t="s">
        <v>23</v>
      </c>
    </row>
    <row r="15617" spans="1:10" ht="13.2">
      <c r="A15617" s="7">
        <v>15616</v>
      </c>
      <c r="B15617" s="7">
        <v>1</v>
      </c>
      <c r="C15617" s="7" t="s">
        <v>10</v>
      </c>
      <c r="D15617" s="7">
        <v>19700</v>
      </c>
      <c r="E15617" s="7" t="s">
        <v>23</v>
      </c>
      <c r="F15617" s="8" t="str">
        <f ca="1">IFERROR(__xludf.DUMMYFUNCTION("IF
(
C15618=""фізична особа""
,
VLOOKUP(D15618,IMPORTRANGE(""https://docs.google.com/spreadsheets/d/14Bd19lYaqBhU8_DElYkX7l4wRkHqqCUFNJY4AfY3kHU/edit?usp=sharing  #gid=0"",""фіз особи new!relations_name""),6,FALSE)
,
(IF
(
C15618=""юридична особа""
,
VLOO"&amp;"KUP(D15618,IMPORTRANGE(""https://docs.google.com/spreadsheets/d/14Bd19lYaqBhU8_DElYkX7l4wRkHqqCUFNJY4AfY3kHU/edit?usp=sharing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17" s="7" t="s">
        <v>10</v>
      </c>
      <c r="H15617" s="7">
        <v>19699</v>
      </c>
      <c r="I15617" s="8" t="str">
        <f ca="1">IFERROR(__xludf.DUMMYFUNCTION("IF
(
G15618=""фізична особа""
,
VLOOKUP(H15618,IMPORTRANGE(""https://docs.google.com/spreadsheets/d/14Bd19lYaqBhU8_DElYkX7l4wRkHqqCUFNJY4AfY3kHU/edit?usp=sharing  #gid=0"",""фіз особи new!relations_name""),6,FALSE)
,
(IF
(
G15618=""юридична особа""
,
VLOO"&amp;"KUP(H15618,IMPORTRANGE(""https://docs.google.com/spreadsheets/d/14Bd19lYaqBhU8_DElYkX7l4wRkHqqCUFNJY4AfY3kHU/edit?usp=sharing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17" s="7" t="s">
        <v>23</v>
      </c>
    </row>
    <row r="15618" spans="1:10" ht="13.2">
      <c r="A15618" s="7">
        <v>15617</v>
      </c>
      <c r="B15618" s="7">
        <v>1</v>
      </c>
      <c r="C15618" s="7" t="s">
        <v>10</v>
      </c>
      <c r="D15618" s="7">
        <v>19700</v>
      </c>
      <c r="E15618" s="7" t="s">
        <v>23</v>
      </c>
      <c r="F15618" s="8" t="str">
        <f ca="1">IFERROR(__xludf.DUMMYFUNCTION("IF
(
C15619=""фізична особа""
,
VLOOKUP(D15619,IMPORTRANGE(""https://docs.google.com/spreadsheets/d/14Bd19lYaqBhU8_DElYkX7l4wRkHqqCUFNJY4AfY3kHU/edit?usp=sharing  #gid=0"",""фіз особи new!relations_name""),6,FALSE)
,
(IF
(
C15619=""юридична особа""
,
VLOO"&amp;"KUP(D15619,IMPORTRANGE(""https://docs.google.com/spreadsheets/d/14Bd19lYaqBhU8_DElYkX7l4wRkHqqCUFNJY4AfY3kHU/edit?usp=sharing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18" s="7" t="s">
        <v>10</v>
      </c>
      <c r="H15618" s="7">
        <v>19701</v>
      </c>
      <c r="I15618" s="8" t="str">
        <f ca="1">IFERROR(__xludf.DUMMYFUNCTION("IF
(
G15619=""фізична особа""
,
VLOOKUP(H15619,IMPORTRANGE(""https://docs.google.com/spreadsheets/d/14Bd19lYaqBhU8_DElYkX7l4wRkHqqCUFNJY4AfY3kHU/edit?usp=sharing  #gid=0"",""фіз особи new!relations_name""),6,FALSE)
,
(IF
(
G15619=""юридична особа""
,
VLOO"&amp;"KUP(H15619,IMPORTRANGE(""https://docs.google.com/spreadsheets/d/14Bd19lYaqBhU8_DElYkX7l4wRkHqqCUFNJY4AfY3kHU/edit?usp=sharing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18" s="7" t="s">
        <v>23</v>
      </c>
    </row>
    <row r="15619" spans="1:10" ht="13.2">
      <c r="A15619" s="7">
        <v>15618</v>
      </c>
      <c r="B15619" s="7">
        <v>1</v>
      </c>
      <c r="C15619" s="7" t="s">
        <v>10</v>
      </c>
      <c r="D15619" s="7">
        <v>19700</v>
      </c>
      <c r="E15619" s="7" t="s">
        <v>23</v>
      </c>
      <c r="F15619" s="8" t="str">
        <f ca="1">IFERROR(__xludf.DUMMYFUNCTION("IF
(
C15620=""фізична особа""
,
VLOOKUP(D15620,IMPORTRANGE(""https://docs.google.com/spreadsheets/d/14Bd19lYaqBhU8_DElYkX7l4wRkHqqCUFNJY4AfY3kHU/edit?usp=sharing  #gid=0"",""фіз особи new!relations_name""),6,FALSE)
,
(IF
(
C15620=""юридична особа""
,
VLOO"&amp;"KUP(D15620,IMPORTRANGE(""https://docs.google.com/spreadsheets/d/14Bd19lYaqBhU8_DElYkX7l4wRkHqqCUFNJY4AfY3kHU/edit?usp=sharing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19" s="7" t="s">
        <v>10</v>
      </c>
      <c r="H15619" s="7">
        <v>19702</v>
      </c>
      <c r="I15619" s="8" t="str">
        <f ca="1">IFERROR(__xludf.DUMMYFUNCTION("IF
(
G15620=""фізична особа""
,
VLOOKUP(H15620,IMPORTRANGE(""https://docs.google.com/spreadsheets/d/14Bd19lYaqBhU8_DElYkX7l4wRkHqqCUFNJY4AfY3kHU/edit?usp=sharing  #gid=0"",""фіз особи new!relations_name""),6,FALSE)
,
(IF
(
G15620=""юридична особа""
,
VLOO"&amp;"KUP(H15620,IMPORTRANGE(""https://docs.google.com/spreadsheets/d/14Bd19lYaqBhU8_DElYkX7l4wRkHqqCUFNJY4AfY3kHU/edit?usp=sharing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19" s="7" t="s">
        <v>23</v>
      </c>
    </row>
    <row r="15620" spans="1:10" ht="13.2">
      <c r="A15620" s="7">
        <v>15619</v>
      </c>
      <c r="B15620" s="7">
        <v>1</v>
      </c>
      <c r="C15620" s="7" t="s">
        <v>10</v>
      </c>
      <c r="D15620" s="7">
        <v>19700</v>
      </c>
      <c r="E15620" s="7" t="s">
        <v>23</v>
      </c>
      <c r="F15620" s="8" t="str">
        <f ca="1">IFERROR(__xludf.DUMMYFUNCTION("IF
(
C15621=""фізична особа""
,
VLOOKUP(D15621,IMPORTRANGE(""https://docs.google.com/spreadsheets/d/14Bd19lYaqBhU8_DElYkX7l4wRkHqqCUFNJY4AfY3kHU/edit?usp=sharing  #gid=0"",""фіз особи new!relations_name""),6,FALSE)
,
(IF
(
C15621=""юридична особа""
,
VLOO"&amp;"KUP(D15621,IMPORTRANGE(""https://docs.google.com/spreadsheets/d/14Bd19lYaqBhU8_DElYkX7l4wRkHqqCUFNJY4AfY3kHU/edit?usp=sharing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0" s="7" t="s">
        <v>10</v>
      </c>
      <c r="H15620" s="7">
        <v>19703</v>
      </c>
      <c r="I15620" s="8" t="str">
        <f ca="1">IFERROR(__xludf.DUMMYFUNCTION("IF
(
G15621=""фізична особа""
,
VLOOKUP(H15621,IMPORTRANGE(""https://docs.google.com/spreadsheets/d/14Bd19lYaqBhU8_DElYkX7l4wRkHqqCUFNJY4AfY3kHU/edit?usp=sharing  #gid=0"",""фіз особи new!relations_name""),6,FALSE)
,
(IF
(
G15621=""юридична особа""
,
VLOO"&amp;"KUP(H15621,IMPORTRANGE(""https://docs.google.com/spreadsheets/d/14Bd19lYaqBhU8_DElYkX7l4wRkHqqCUFNJY4AfY3kHU/edit?usp=sharing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20" s="7" t="s">
        <v>23</v>
      </c>
    </row>
    <row r="15621" spans="1:10" ht="13.2">
      <c r="A15621" s="7">
        <v>15620</v>
      </c>
      <c r="B15621" s="7">
        <v>1</v>
      </c>
      <c r="C15621" s="7" t="s">
        <v>10</v>
      </c>
      <c r="D15621" s="7">
        <v>19700</v>
      </c>
      <c r="E15621" s="7" t="s">
        <v>23</v>
      </c>
      <c r="F15621" s="8" t="str">
        <f ca="1">IFERROR(__xludf.DUMMYFUNCTION("IF
(
C15622=""фізична особа""
,
VLOOKUP(D15622,IMPORTRANGE(""https://docs.google.com/spreadsheets/d/14Bd19lYaqBhU8_DElYkX7l4wRkHqqCUFNJY4AfY3kHU/edit?usp=sharing  #gid=0"",""фіз особи new!relations_name""),6,FALSE)
,
(IF
(
C15622=""юридична особа""
,
VLOO"&amp;"KUP(D15622,IMPORTRANGE(""https://docs.google.com/spreadsheets/d/14Bd19lYaqBhU8_DElYkX7l4wRkHqqCUFNJY4AfY3kHU/edit?usp=sharing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1" s="7" t="s">
        <v>10</v>
      </c>
      <c r="H15621" s="7">
        <v>19704</v>
      </c>
      <c r="I15621" s="8" t="str">
        <f ca="1">IFERROR(__xludf.DUMMYFUNCTION("IF
(
G15622=""фізична особа""
,
VLOOKUP(H15622,IMPORTRANGE(""https://docs.google.com/spreadsheets/d/14Bd19lYaqBhU8_DElYkX7l4wRkHqqCUFNJY4AfY3kHU/edit?usp=sharing  #gid=0"",""фіз особи new!relations_name""),6,FALSE)
,
(IF
(
G15622=""юридична особа""
,
VLOO"&amp;"KUP(H15622,IMPORTRANGE(""https://docs.google.com/spreadsheets/d/14Bd19lYaqBhU8_DElYkX7l4wRkHqqCUFNJY4AfY3kHU/edit?usp=sharing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21" s="7" t="s">
        <v>23</v>
      </c>
    </row>
    <row r="15622" spans="1:10" ht="13.2">
      <c r="A15622" s="7">
        <v>15621</v>
      </c>
      <c r="B15622" s="7">
        <v>1</v>
      </c>
      <c r="C15622" s="7" t="s">
        <v>10</v>
      </c>
      <c r="D15622" s="7">
        <v>19700</v>
      </c>
      <c r="E15622" s="7" t="s">
        <v>23</v>
      </c>
      <c r="F15622" s="8" t="str">
        <f ca="1">IFERROR(__xludf.DUMMYFUNCTION("IF
(
C15623=""фізична особа""
,
VLOOKUP(D15623,IMPORTRANGE(""https://docs.google.com/spreadsheets/d/14Bd19lYaqBhU8_DElYkX7l4wRkHqqCUFNJY4AfY3kHU/edit?usp=sharing  #gid=0"",""фіз особи new!relations_name""),6,FALSE)
,
(IF
(
C15623=""юридична особа""
,
VLOO"&amp;"KUP(D15623,IMPORTRANGE(""https://docs.google.com/spreadsheets/d/14Bd19lYaqBhU8_DElYkX7l4wRkHqqCUFNJY4AfY3kHU/edit?usp=sharing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2" s="7" t="s">
        <v>10</v>
      </c>
      <c r="H15622" s="7">
        <v>19705</v>
      </c>
      <c r="I15622" s="8" t="str">
        <f ca="1">IFERROR(__xludf.DUMMYFUNCTION("IF
(
G15623=""фізична особа""
,
VLOOKUP(H15623,IMPORTRANGE(""https://docs.google.com/spreadsheets/d/14Bd19lYaqBhU8_DElYkX7l4wRkHqqCUFNJY4AfY3kHU/edit?usp=sharing  #gid=0"",""фіз особи new!relations_name""),6,FALSE)
,
(IF
(
G15623=""юридична особа""
,
VLOO"&amp;"KUP(H15623,IMPORTRANGE(""https://docs.google.com/spreadsheets/d/14Bd19lYaqBhU8_DElYkX7l4wRkHqqCUFNJY4AfY3kHU/edit?usp=sharing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22" s="7" t="s">
        <v>23</v>
      </c>
    </row>
    <row r="15623" spans="1:10" ht="13.2">
      <c r="A15623" s="7">
        <v>15622</v>
      </c>
      <c r="B15623" s="7">
        <v>1</v>
      </c>
      <c r="C15623" s="7" t="s">
        <v>10</v>
      </c>
      <c r="D15623" s="7">
        <v>19700</v>
      </c>
      <c r="E15623" s="7" t="s">
        <v>23</v>
      </c>
      <c r="F15623" s="8" t="str">
        <f ca="1">IFERROR(__xludf.DUMMYFUNCTION("IF
(
C15624=""фізична особа""
,
VLOOKUP(D15624,IMPORTRANGE(""https://docs.google.com/spreadsheets/d/14Bd19lYaqBhU8_DElYkX7l4wRkHqqCUFNJY4AfY3kHU/edit?usp=sharing  #gid=0"",""фіз особи new!relations_name""),6,FALSE)
,
(IF
(
C15624=""юридична особа""
,
VLOO"&amp;"KUP(D15624,IMPORTRANGE(""https://docs.google.com/spreadsheets/d/14Bd19lYaqBhU8_DElYkX7l4wRkHqqCUFNJY4AfY3kHU/edit?usp=sharing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3" s="7" t="s">
        <v>10</v>
      </c>
      <c r="H15623" s="7">
        <v>19706</v>
      </c>
      <c r="I15623" s="8" t="str">
        <f ca="1">IFERROR(__xludf.DUMMYFUNCTION("IF
(
G15624=""фізична особа""
,
VLOOKUP(H15624,IMPORTRANGE(""https://docs.google.com/spreadsheets/d/14Bd19lYaqBhU8_DElYkX7l4wRkHqqCUFNJY4AfY3kHU/edit?usp=sharing  #gid=0"",""фіз особи new!relations_name""),6,FALSE)
,
(IF
(
G15624=""юридична особа""
,
VLOO"&amp;"KUP(H15624,IMPORTRANGE(""https://docs.google.com/spreadsheets/d/14Bd19lYaqBhU8_DElYkX7l4wRkHqqCUFNJY4AfY3kHU/edit?usp=sharing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23" s="7" t="s">
        <v>23</v>
      </c>
    </row>
    <row r="15624" spans="1:10" ht="13.2">
      <c r="A15624" s="7">
        <v>15623</v>
      </c>
      <c r="B15624" s="7">
        <v>1</v>
      </c>
      <c r="C15624" s="7" t="s">
        <v>10</v>
      </c>
      <c r="D15624" s="7">
        <v>19700</v>
      </c>
      <c r="E15624" s="7" t="s">
        <v>23</v>
      </c>
      <c r="F15624" s="8" t="str">
        <f ca="1">IFERROR(__xludf.DUMMYFUNCTION("IF
(
C15625=""фізична особа""
,
VLOOKUP(D15625,IMPORTRANGE(""https://docs.google.com/spreadsheets/d/14Bd19lYaqBhU8_DElYkX7l4wRkHqqCUFNJY4AfY3kHU/edit?usp=sharing  #gid=0"",""фіз особи new!relations_name""),6,FALSE)
,
(IF
(
C15625=""юридична особа""
,
VLOO"&amp;"KUP(D15625,IMPORTRANGE(""https://docs.google.com/spreadsheets/d/14Bd19lYaqBhU8_DElYkX7l4wRkHqqCUFNJY4AfY3kHU/edit?usp=sharing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4" s="7" t="s">
        <v>10</v>
      </c>
      <c r="H15624" s="7">
        <v>19707</v>
      </c>
      <c r="I15624" s="8" t="str">
        <f ca="1">IFERROR(__xludf.DUMMYFUNCTION("IF
(
G15625=""фізична особа""
,
VLOOKUP(H15625,IMPORTRANGE(""https://docs.google.com/spreadsheets/d/14Bd19lYaqBhU8_DElYkX7l4wRkHqqCUFNJY4AfY3kHU/edit?usp=sharing  #gid=0"",""фіз особи new!relations_name""),6,FALSE)
,
(IF
(
G15625=""юридична особа""
,
VLOO"&amp;"KUP(H15625,IMPORTRANGE(""https://docs.google.com/spreadsheets/d/14Bd19lYaqBhU8_DElYkX7l4wRkHqqCUFNJY4AfY3kHU/edit?usp=sharing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24" s="7" t="s">
        <v>23</v>
      </c>
    </row>
    <row r="15625" spans="1:10" ht="13.2">
      <c r="A15625" s="7">
        <v>15624</v>
      </c>
      <c r="B15625" s="7">
        <v>1</v>
      </c>
      <c r="C15625" s="7" t="s">
        <v>10</v>
      </c>
      <c r="D15625" s="7">
        <v>19700</v>
      </c>
      <c r="E15625" s="7" t="s">
        <v>23</v>
      </c>
      <c r="F15625" s="8" t="str">
        <f ca="1">IFERROR(__xludf.DUMMYFUNCTION("IF
(
C15626=""фізична особа""
,
VLOOKUP(D15626,IMPORTRANGE(""https://docs.google.com/spreadsheets/d/14Bd19lYaqBhU8_DElYkX7l4wRkHqqCUFNJY4AfY3kHU/edit?usp=sharing  #gid=0"",""фіз особи new!relations_name""),6,FALSE)
,
(IF
(
C15626=""юридична особа""
,
VLOO"&amp;"KUP(D15626,IMPORTRANGE(""https://docs.google.com/spreadsheets/d/14Bd19lYaqBhU8_DElYkX7l4wRkHqqCUFNJY4AfY3kHU/edit?usp=sharing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5" s="7" t="s">
        <v>10</v>
      </c>
      <c r="H15625" s="7">
        <v>19708</v>
      </c>
      <c r="I15625" s="8" t="str">
        <f ca="1">IFERROR(__xludf.DUMMYFUNCTION("IF
(
G15626=""фізична особа""
,
VLOOKUP(H15626,IMPORTRANGE(""https://docs.google.com/spreadsheets/d/14Bd19lYaqBhU8_DElYkX7l4wRkHqqCUFNJY4AfY3kHU/edit?usp=sharing  #gid=0"",""фіз особи new!relations_name""),6,FALSE)
,
(IF
(
G15626=""юридична особа""
,
VLOO"&amp;"KUP(H15626,IMPORTRANGE(""https://docs.google.com/spreadsheets/d/14Bd19lYaqBhU8_DElYkX7l4wRkHqqCUFNJY4AfY3kHU/edit?usp=sharing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25" s="7" t="s">
        <v>23</v>
      </c>
    </row>
    <row r="15626" spans="1:10" ht="13.2">
      <c r="A15626" s="7">
        <v>15625</v>
      </c>
      <c r="B15626" s="7">
        <v>1</v>
      </c>
      <c r="C15626" s="7" t="s">
        <v>10</v>
      </c>
      <c r="D15626" s="7">
        <v>19700</v>
      </c>
      <c r="E15626" s="7" t="s">
        <v>23</v>
      </c>
      <c r="F15626" s="8" t="str">
        <f ca="1">IFERROR(__xludf.DUMMYFUNCTION("IF
(
C15627=""фізична особа""
,
VLOOKUP(D15627,IMPORTRANGE(""https://docs.google.com/spreadsheets/d/14Bd19lYaqBhU8_DElYkX7l4wRkHqqCUFNJY4AfY3kHU/edit?usp=sharing  #gid=0"",""фіз особи new!relations_name""),6,FALSE)
,
(IF
(
C15627=""юридична особа""
,
VLOO"&amp;"KUP(D15627,IMPORTRANGE(""https://docs.google.com/spreadsheets/d/14Bd19lYaqBhU8_DElYkX7l4wRkHqqCUFNJY4AfY3kHU/edit?usp=sharing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6" s="7" t="s">
        <v>10</v>
      </c>
      <c r="H15626" s="7">
        <v>19709</v>
      </c>
      <c r="I15626" s="8" t="str">
        <f ca="1">IFERROR(__xludf.DUMMYFUNCTION("IF
(
G15627=""фізична особа""
,
VLOOKUP(H15627,IMPORTRANGE(""https://docs.google.com/spreadsheets/d/14Bd19lYaqBhU8_DElYkX7l4wRkHqqCUFNJY4AfY3kHU/edit?usp=sharing  #gid=0"",""фіз особи new!relations_name""),6,FALSE)
,
(IF
(
G15627=""юридична особа""
,
VLOO"&amp;"KUP(H15627,IMPORTRANGE(""https://docs.google.com/spreadsheets/d/14Bd19lYaqBhU8_DElYkX7l4wRkHqqCUFNJY4AfY3kHU/edit?usp=sharing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26" s="7" t="s">
        <v>23</v>
      </c>
    </row>
    <row r="15627" spans="1:10" ht="13.2">
      <c r="A15627" s="7">
        <v>15626</v>
      </c>
      <c r="B15627" s="7">
        <v>1</v>
      </c>
      <c r="C15627" s="7" t="s">
        <v>10</v>
      </c>
      <c r="D15627" s="7">
        <v>19700</v>
      </c>
      <c r="E15627" s="7" t="s">
        <v>23</v>
      </c>
      <c r="F15627" s="8" t="str">
        <f ca="1">IFERROR(__xludf.DUMMYFUNCTION("IF
(
C15628=""фізична особа""
,
VLOOKUP(D15628,IMPORTRANGE(""https://docs.google.com/spreadsheets/d/14Bd19lYaqBhU8_DElYkX7l4wRkHqqCUFNJY4AfY3kHU/edit?usp=sharing  #gid=0"",""фіз особи new!relations_name""),6,FALSE)
,
(IF
(
C15628=""юридична особа""
,
VLOO"&amp;"KUP(D15628,IMPORTRANGE(""https://docs.google.com/spreadsheets/d/14Bd19lYaqBhU8_DElYkX7l4wRkHqqCUFNJY4AfY3kHU/edit?usp=sharing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G15627" s="7" t="s">
        <v>10</v>
      </c>
      <c r="H15627" s="7">
        <v>19710</v>
      </c>
      <c r="I15627" s="8" t="str">
        <f ca="1">IFERROR(__xludf.DUMMYFUNCTION("IF
(
G15628=""фізична особа""
,
VLOOKUP(H15628,IMPORTRANGE(""https://docs.google.com/spreadsheets/d/14Bd19lYaqBhU8_DElYkX7l4wRkHqqCUFNJY4AfY3kHU/edit?usp=sharing  #gid=0"",""фіз особи new!relations_name""),6,FALSE)
,
(IF
(
G15628=""юридична особа""
,
VLOO"&amp;"KUP(H15628,IMPORTRANGE(""https://docs.google.com/spreadsheets/d/14Bd19lYaqBhU8_DElYkX7l4wRkHqqCUFNJY4AfY3kHU/edit?usp=sharing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27" s="7" t="s">
        <v>23</v>
      </c>
    </row>
    <row r="15628" spans="1:10" ht="13.2">
      <c r="A15628" s="7">
        <v>15627</v>
      </c>
      <c r="B15628" s="7">
        <v>1</v>
      </c>
      <c r="C15628" s="7" t="s">
        <v>10</v>
      </c>
      <c r="D15628" s="7">
        <v>19701</v>
      </c>
      <c r="E15628" s="7" t="s">
        <v>23</v>
      </c>
      <c r="F15628" s="8" t="str">
        <f ca="1">IFERROR(__xludf.DUMMYFUNCTION("IF
(
C15629=""фізична особа""
,
VLOOKUP(D15629,IMPORTRANGE(""https://docs.google.com/spreadsheets/d/14Bd19lYaqBhU8_DElYkX7l4wRkHqqCUFNJY4AfY3kHU/edit?usp=sharing  #gid=0"",""фіз особи new!relations_name""),6,FALSE)
,
(IF
(
C15629=""юридична особа""
,
VLOO"&amp;"KUP(D15629,IMPORTRANGE(""https://docs.google.com/spreadsheets/d/14Bd19lYaqBhU8_DElYkX7l4wRkHqqCUFNJY4AfY3kHU/edit?usp=sharing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28" s="7" t="s">
        <v>10</v>
      </c>
      <c r="H15628" s="7">
        <v>19698</v>
      </c>
      <c r="I15628" s="8" t="str">
        <f ca="1">IFERROR(__xludf.DUMMYFUNCTION("IF
(
G15629=""фізична особа""
,
VLOOKUP(H15629,IMPORTRANGE(""https://docs.google.com/spreadsheets/d/14Bd19lYaqBhU8_DElYkX7l4wRkHqqCUFNJY4AfY3kHU/edit?usp=sharing  #gid=0"",""фіз особи new!relations_name""),6,FALSE)
,
(IF
(
G15629=""юридична особа""
,
VLOO"&amp;"KUP(H15629,IMPORTRANGE(""https://docs.google.com/spreadsheets/d/14Bd19lYaqBhU8_DElYkX7l4wRkHqqCUFNJY4AfY3kHU/edit?usp=sharing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28" s="7" t="s">
        <v>23</v>
      </c>
    </row>
    <row r="15629" spans="1:10" ht="13.2">
      <c r="A15629" s="7">
        <v>15628</v>
      </c>
      <c r="B15629" s="7">
        <v>1</v>
      </c>
      <c r="C15629" s="7" t="s">
        <v>10</v>
      </c>
      <c r="D15629" s="7">
        <v>19701</v>
      </c>
      <c r="E15629" s="7" t="s">
        <v>23</v>
      </c>
      <c r="F15629" s="8" t="str">
        <f ca="1">IFERROR(__xludf.DUMMYFUNCTION("IF
(
C15630=""фізична особа""
,
VLOOKUP(D15630,IMPORTRANGE(""https://docs.google.com/spreadsheets/d/14Bd19lYaqBhU8_DElYkX7l4wRkHqqCUFNJY4AfY3kHU/edit?usp=sharing  #gid=0"",""фіз особи new!relations_name""),6,FALSE)
,
(IF
(
C15630=""юридична особа""
,
VLOO"&amp;"KUP(D15630,IMPORTRANGE(""https://docs.google.com/spreadsheets/d/14Bd19lYaqBhU8_DElYkX7l4wRkHqqCUFNJY4AfY3kHU/edit?usp=sharing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29" s="7" t="s">
        <v>10</v>
      </c>
      <c r="H15629" s="7">
        <v>19699</v>
      </c>
      <c r="I15629" s="8" t="str">
        <f ca="1">IFERROR(__xludf.DUMMYFUNCTION("IF
(
G15630=""фізична особа""
,
VLOOKUP(H15630,IMPORTRANGE(""https://docs.google.com/spreadsheets/d/14Bd19lYaqBhU8_DElYkX7l4wRkHqqCUFNJY4AfY3kHU/edit?usp=sharing  #gid=0"",""фіз особи new!relations_name""),6,FALSE)
,
(IF
(
G15630=""юридична особа""
,
VLOO"&amp;"KUP(H15630,IMPORTRANGE(""https://docs.google.com/spreadsheets/d/14Bd19lYaqBhU8_DElYkX7l4wRkHqqCUFNJY4AfY3kHU/edit?usp=sharing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29" s="7" t="s">
        <v>23</v>
      </c>
    </row>
    <row r="15630" spans="1:10" ht="13.2">
      <c r="A15630" s="7">
        <v>15629</v>
      </c>
      <c r="B15630" s="7">
        <v>1</v>
      </c>
      <c r="C15630" s="7" t="s">
        <v>10</v>
      </c>
      <c r="D15630" s="7">
        <v>19701</v>
      </c>
      <c r="E15630" s="7" t="s">
        <v>23</v>
      </c>
      <c r="F15630" s="8" t="str">
        <f ca="1">IFERROR(__xludf.DUMMYFUNCTION("IF
(
C15631=""фізична особа""
,
VLOOKUP(D15631,IMPORTRANGE(""https://docs.google.com/spreadsheets/d/14Bd19lYaqBhU8_DElYkX7l4wRkHqqCUFNJY4AfY3kHU/edit?usp=sharing  #gid=0"",""фіз особи new!relations_name""),6,FALSE)
,
(IF
(
C15631=""юридична особа""
,
VLOO"&amp;"KUP(D15631,IMPORTRANGE(""https://docs.google.com/spreadsheets/d/14Bd19lYaqBhU8_DElYkX7l4wRkHqqCUFNJY4AfY3kHU/edit?usp=sharing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0" s="7" t="s">
        <v>10</v>
      </c>
      <c r="H15630" s="7">
        <v>19700</v>
      </c>
      <c r="I15630" s="8" t="str">
        <f ca="1">IFERROR(__xludf.DUMMYFUNCTION("IF
(
G15631=""фізична особа""
,
VLOOKUP(H15631,IMPORTRANGE(""https://docs.google.com/spreadsheets/d/14Bd19lYaqBhU8_DElYkX7l4wRkHqqCUFNJY4AfY3kHU/edit?usp=sharing  #gid=0"",""фіз особи new!relations_name""),6,FALSE)
,
(IF
(
G15631=""юридична особа""
,
VLOO"&amp;"KUP(H15631,IMPORTRANGE(""https://docs.google.com/spreadsheets/d/14Bd19lYaqBhU8_DElYkX7l4wRkHqqCUFNJY4AfY3kHU/edit?usp=sharing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30" s="7" t="s">
        <v>23</v>
      </c>
    </row>
    <row r="15631" spans="1:10" ht="13.2">
      <c r="A15631" s="7">
        <v>15630</v>
      </c>
      <c r="B15631" s="7">
        <v>1</v>
      </c>
      <c r="C15631" s="7" t="s">
        <v>10</v>
      </c>
      <c r="D15631" s="7">
        <v>19701</v>
      </c>
      <c r="E15631" s="7" t="s">
        <v>23</v>
      </c>
      <c r="F15631" s="8" t="str">
        <f ca="1">IFERROR(__xludf.DUMMYFUNCTION("IF
(
C15632=""фізична особа""
,
VLOOKUP(D15632,IMPORTRANGE(""https://docs.google.com/spreadsheets/d/14Bd19lYaqBhU8_DElYkX7l4wRkHqqCUFNJY4AfY3kHU/edit?usp=sharing  #gid=0"",""фіз особи new!relations_name""),6,FALSE)
,
(IF
(
C15632=""юридична особа""
,
VLOO"&amp;"KUP(D15632,IMPORTRANGE(""https://docs.google.com/spreadsheets/d/14Bd19lYaqBhU8_DElYkX7l4wRkHqqCUFNJY4AfY3kHU/edit?usp=sharing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1" s="7" t="s">
        <v>10</v>
      </c>
      <c r="H15631" s="7">
        <v>19702</v>
      </c>
      <c r="I15631" s="8" t="str">
        <f ca="1">IFERROR(__xludf.DUMMYFUNCTION("IF
(
G15632=""фізична особа""
,
VLOOKUP(H15632,IMPORTRANGE(""https://docs.google.com/spreadsheets/d/14Bd19lYaqBhU8_DElYkX7l4wRkHqqCUFNJY4AfY3kHU/edit?usp=sharing  #gid=0"",""фіз особи new!relations_name""),6,FALSE)
,
(IF
(
G15632=""юридична особа""
,
VLOO"&amp;"KUP(H15632,IMPORTRANGE(""https://docs.google.com/spreadsheets/d/14Bd19lYaqBhU8_DElYkX7l4wRkHqqCUFNJY4AfY3kHU/edit?usp=sharing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31" s="7" t="s">
        <v>23</v>
      </c>
    </row>
    <row r="15632" spans="1:10" ht="13.2">
      <c r="A15632" s="7">
        <v>15631</v>
      </c>
      <c r="B15632" s="7">
        <v>1</v>
      </c>
      <c r="C15632" s="7" t="s">
        <v>10</v>
      </c>
      <c r="D15632" s="7">
        <v>19701</v>
      </c>
      <c r="E15632" s="7" t="s">
        <v>23</v>
      </c>
      <c r="F15632" s="8" t="str">
        <f ca="1">IFERROR(__xludf.DUMMYFUNCTION("IF
(
C15633=""фізична особа""
,
VLOOKUP(D15633,IMPORTRANGE(""https://docs.google.com/spreadsheets/d/14Bd19lYaqBhU8_DElYkX7l4wRkHqqCUFNJY4AfY3kHU/edit?usp=sharing  #gid=0"",""фіз особи new!relations_name""),6,FALSE)
,
(IF
(
C15633=""юридична особа""
,
VLOO"&amp;"KUP(D15633,IMPORTRANGE(""https://docs.google.com/spreadsheets/d/14Bd19lYaqBhU8_DElYkX7l4wRkHqqCUFNJY4AfY3kHU/edit?usp=sharing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2" s="7" t="s">
        <v>10</v>
      </c>
      <c r="H15632" s="7">
        <v>19703</v>
      </c>
      <c r="I15632" s="8" t="str">
        <f ca="1">IFERROR(__xludf.DUMMYFUNCTION("IF
(
G15633=""фізична особа""
,
VLOOKUP(H15633,IMPORTRANGE(""https://docs.google.com/spreadsheets/d/14Bd19lYaqBhU8_DElYkX7l4wRkHqqCUFNJY4AfY3kHU/edit?usp=sharing  #gid=0"",""фіз особи new!relations_name""),6,FALSE)
,
(IF
(
G15633=""юридична особа""
,
VLOO"&amp;"KUP(H15633,IMPORTRANGE(""https://docs.google.com/spreadsheets/d/14Bd19lYaqBhU8_DElYkX7l4wRkHqqCUFNJY4AfY3kHU/edit?usp=sharing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32" s="7" t="s">
        <v>23</v>
      </c>
    </row>
    <row r="15633" spans="1:10" ht="13.2">
      <c r="A15633" s="7">
        <v>15632</v>
      </c>
      <c r="B15633" s="7">
        <v>1</v>
      </c>
      <c r="C15633" s="7" t="s">
        <v>10</v>
      </c>
      <c r="D15633" s="7">
        <v>19701</v>
      </c>
      <c r="E15633" s="7" t="s">
        <v>23</v>
      </c>
      <c r="F15633" s="8" t="str">
        <f ca="1">IFERROR(__xludf.DUMMYFUNCTION("IF
(
C15634=""фізична особа""
,
VLOOKUP(D15634,IMPORTRANGE(""https://docs.google.com/spreadsheets/d/14Bd19lYaqBhU8_DElYkX7l4wRkHqqCUFNJY4AfY3kHU/edit?usp=sharing  #gid=0"",""фіз особи new!relations_name""),6,FALSE)
,
(IF
(
C15634=""юридична особа""
,
VLOO"&amp;"KUP(D15634,IMPORTRANGE(""https://docs.google.com/spreadsheets/d/14Bd19lYaqBhU8_DElYkX7l4wRkHqqCUFNJY4AfY3kHU/edit?usp=sharing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3" s="7" t="s">
        <v>10</v>
      </c>
      <c r="H15633" s="7">
        <v>19704</v>
      </c>
      <c r="I15633" s="8" t="str">
        <f ca="1">IFERROR(__xludf.DUMMYFUNCTION("IF
(
G15634=""фізична особа""
,
VLOOKUP(H15634,IMPORTRANGE(""https://docs.google.com/spreadsheets/d/14Bd19lYaqBhU8_DElYkX7l4wRkHqqCUFNJY4AfY3kHU/edit?usp=sharing  #gid=0"",""фіз особи new!relations_name""),6,FALSE)
,
(IF
(
G15634=""юридична особа""
,
VLOO"&amp;"KUP(H15634,IMPORTRANGE(""https://docs.google.com/spreadsheets/d/14Bd19lYaqBhU8_DElYkX7l4wRkHqqCUFNJY4AfY3kHU/edit?usp=sharing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33" s="7" t="s">
        <v>23</v>
      </c>
    </row>
    <row r="15634" spans="1:10" ht="13.2">
      <c r="A15634" s="7">
        <v>15633</v>
      </c>
      <c r="B15634" s="7">
        <v>1</v>
      </c>
      <c r="C15634" s="7" t="s">
        <v>10</v>
      </c>
      <c r="D15634" s="7">
        <v>19701</v>
      </c>
      <c r="E15634" s="7" t="s">
        <v>23</v>
      </c>
      <c r="F15634" s="8" t="str">
        <f ca="1">IFERROR(__xludf.DUMMYFUNCTION("IF
(
C15635=""фізична особа""
,
VLOOKUP(D15635,IMPORTRANGE(""https://docs.google.com/spreadsheets/d/14Bd19lYaqBhU8_DElYkX7l4wRkHqqCUFNJY4AfY3kHU/edit?usp=sharing  #gid=0"",""фіз особи new!relations_name""),6,FALSE)
,
(IF
(
C15635=""юридична особа""
,
VLOO"&amp;"KUP(D15635,IMPORTRANGE(""https://docs.google.com/spreadsheets/d/14Bd19lYaqBhU8_DElYkX7l4wRkHqqCUFNJY4AfY3kHU/edit?usp=sharing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4" s="7" t="s">
        <v>10</v>
      </c>
      <c r="H15634" s="7">
        <v>19705</v>
      </c>
      <c r="I15634" s="8" t="str">
        <f ca="1">IFERROR(__xludf.DUMMYFUNCTION("IF
(
G15635=""фізична особа""
,
VLOOKUP(H15635,IMPORTRANGE(""https://docs.google.com/spreadsheets/d/14Bd19lYaqBhU8_DElYkX7l4wRkHqqCUFNJY4AfY3kHU/edit?usp=sharing  #gid=0"",""фіз особи new!relations_name""),6,FALSE)
,
(IF
(
G15635=""юридична особа""
,
VLOO"&amp;"KUP(H15635,IMPORTRANGE(""https://docs.google.com/spreadsheets/d/14Bd19lYaqBhU8_DElYkX7l4wRkHqqCUFNJY4AfY3kHU/edit?usp=sharing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34" s="7" t="s">
        <v>23</v>
      </c>
    </row>
    <row r="15635" spans="1:10" ht="13.2">
      <c r="A15635" s="7">
        <v>15634</v>
      </c>
      <c r="B15635" s="7">
        <v>1</v>
      </c>
      <c r="C15635" s="7" t="s">
        <v>10</v>
      </c>
      <c r="D15635" s="7">
        <v>19701</v>
      </c>
      <c r="E15635" s="7" t="s">
        <v>23</v>
      </c>
      <c r="F15635" s="8" t="str">
        <f ca="1">IFERROR(__xludf.DUMMYFUNCTION("IF
(
C15636=""фізична особа""
,
VLOOKUP(D15636,IMPORTRANGE(""https://docs.google.com/spreadsheets/d/14Bd19lYaqBhU8_DElYkX7l4wRkHqqCUFNJY4AfY3kHU/edit?usp=sharing  #gid=0"",""фіз особи new!relations_name""),6,FALSE)
,
(IF
(
C15636=""юридична особа""
,
VLOO"&amp;"KUP(D15636,IMPORTRANGE(""https://docs.google.com/spreadsheets/d/14Bd19lYaqBhU8_DElYkX7l4wRkHqqCUFNJY4AfY3kHU/edit?usp=sharing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5" s="7" t="s">
        <v>10</v>
      </c>
      <c r="H15635" s="7">
        <v>19706</v>
      </c>
      <c r="I15635" s="8" t="str">
        <f ca="1">IFERROR(__xludf.DUMMYFUNCTION("IF
(
G15636=""фізична особа""
,
VLOOKUP(H15636,IMPORTRANGE(""https://docs.google.com/spreadsheets/d/14Bd19lYaqBhU8_DElYkX7l4wRkHqqCUFNJY4AfY3kHU/edit?usp=sharing  #gid=0"",""фіз особи new!relations_name""),6,FALSE)
,
(IF
(
G15636=""юридична особа""
,
VLOO"&amp;"KUP(H15636,IMPORTRANGE(""https://docs.google.com/spreadsheets/d/14Bd19lYaqBhU8_DElYkX7l4wRkHqqCUFNJY4AfY3kHU/edit?usp=sharing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35" s="7" t="s">
        <v>23</v>
      </c>
    </row>
    <row r="15636" spans="1:10" ht="13.2">
      <c r="A15636" s="7">
        <v>15635</v>
      </c>
      <c r="B15636" s="7">
        <v>1</v>
      </c>
      <c r="C15636" s="7" t="s">
        <v>10</v>
      </c>
      <c r="D15636" s="7">
        <v>19701</v>
      </c>
      <c r="E15636" s="7" t="s">
        <v>23</v>
      </c>
      <c r="F15636" s="8" t="str">
        <f ca="1">IFERROR(__xludf.DUMMYFUNCTION("IF
(
C15637=""фізична особа""
,
VLOOKUP(D15637,IMPORTRANGE(""https://docs.google.com/spreadsheets/d/14Bd19lYaqBhU8_DElYkX7l4wRkHqqCUFNJY4AfY3kHU/edit?usp=sharing  #gid=0"",""фіз особи new!relations_name""),6,FALSE)
,
(IF
(
C15637=""юридична особа""
,
VLOO"&amp;"KUP(D15637,IMPORTRANGE(""https://docs.google.com/spreadsheets/d/14Bd19lYaqBhU8_DElYkX7l4wRkHqqCUFNJY4AfY3kHU/edit?usp=sharing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6" s="7" t="s">
        <v>10</v>
      </c>
      <c r="H15636" s="7">
        <v>19707</v>
      </c>
      <c r="I15636" s="8" t="str">
        <f ca="1">IFERROR(__xludf.DUMMYFUNCTION("IF
(
G15637=""фізична особа""
,
VLOOKUP(H15637,IMPORTRANGE(""https://docs.google.com/spreadsheets/d/14Bd19lYaqBhU8_DElYkX7l4wRkHqqCUFNJY4AfY3kHU/edit?usp=sharing  #gid=0"",""фіз особи new!relations_name""),6,FALSE)
,
(IF
(
G15637=""юридична особа""
,
VLOO"&amp;"KUP(H15637,IMPORTRANGE(""https://docs.google.com/spreadsheets/d/14Bd19lYaqBhU8_DElYkX7l4wRkHqqCUFNJY4AfY3kHU/edit?usp=sharing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36" s="7" t="s">
        <v>23</v>
      </c>
    </row>
    <row r="15637" spans="1:10" ht="13.2">
      <c r="A15637" s="7">
        <v>15636</v>
      </c>
      <c r="B15637" s="7">
        <v>1</v>
      </c>
      <c r="C15637" s="7" t="s">
        <v>10</v>
      </c>
      <c r="D15637" s="7">
        <v>19701</v>
      </c>
      <c r="E15637" s="7" t="s">
        <v>23</v>
      </c>
      <c r="F15637" s="8" t="str">
        <f ca="1">IFERROR(__xludf.DUMMYFUNCTION("IF
(
C15638=""фізична особа""
,
VLOOKUP(D15638,IMPORTRANGE(""https://docs.google.com/spreadsheets/d/14Bd19lYaqBhU8_DElYkX7l4wRkHqqCUFNJY4AfY3kHU/edit?usp=sharing  #gid=0"",""фіз особи new!relations_name""),6,FALSE)
,
(IF
(
C15638=""юридична особа""
,
VLOO"&amp;"KUP(D15638,IMPORTRANGE(""https://docs.google.com/spreadsheets/d/14Bd19lYaqBhU8_DElYkX7l4wRkHqqCUFNJY4AfY3kHU/edit?usp=sharing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7" s="7" t="s">
        <v>10</v>
      </c>
      <c r="H15637" s="7">
        <v>19708</v>
      </c>
      <c r="I15637" s="8" t="str">
        <f ca="1">IFERROR(__xludf.DUMMYFUNCTION("IF
(
G15638=""фізична особа""
,
VLOOKUP(H15638,IMPORTRANGE(""https://docs.google.com/spreadsheets/d/14Bd19lYaqBhU8_DElYkX7l4wRkHqqCUFNJY4AfY3kHU/edit?usp=sharing  #gid=0"",""фіз особи new!relations_name""),6,FALSE)
,
(IF
(
G15638=""юридична особа""
,
VLOO"&amp;"KUP(H15638,IMPORTRANGE(""https://docs.google.com/spreadsheets/d/14Bd19lYaqBhU8_DElYkX7l4wRkHqqCUFNJY4AfY3kHU/edit?usp=sharing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37" s="7" t="s">
        <v>23</v>
      </c>
    </row>
    <row r="15638" spans="1:10" ht="13.2">
      <c r="A15638" s="7">
        <v>15637</v>
      </c>
      <c r="B15638" s="7">
        <v>1</v>
      </c>
      <c r="C15638" s="7" t="s">
        <v>10</v>
      </c>
      <c r="D15638" s="7">
        <v>19701</v>
      </c>
      <c r="E15638" s="7" t="s">
        <v>23</v>
      </c>
      <c r="F15638" s="8" t="str">
        <f ca="1">IFERROR(__xludf.DUMMYFUNCTION("IF
(
C15639=""фізична особа""
,
VLOOKUP(D15639,IMPORTRANGE(""https://docs.google.com/spreadsheets/d/14Bd19lYaqBhU8_DElYkX7l4wRkHqqCUFNJY4AfY3kHU/edit?usp=sharing  #gid=0"",""фіз особи new!relations_name""),6,FALSE)
,
(IF
(
C15639=""юридична особа""
,
VLOO"&amp;"KUP(D15639,IMPORTRANGE(""https://docs.google.com/spreadsheets/d/14Bd19lYaqBhU8_DElYkX7l4wRkHqqCUFNJY4AfY3kHU/edit?usp=sharing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8" s="7" t="s">
        <v>10</v>
      </c>
      <c r="H15638" s="7">
        <v>19709</v>
      </c>
      <c r="I15638" s="8" t="str">
        <f ca="1">IFERROR(__xludf.DUMMYFUNCTION("IF
(
G15639=""фізична особа""
,
VLOOKUP(H15639,IMPORTRANGE(""https://docs.google.com/spreadsheets/d/14Bd19lYaqBhU8_DElYkX7l4wRkHqqCUFNJY4AfY3kHU/edit?usp=sharing  #gid=0"",""фіз особи new!relations_name""),6,FALSE)
,
(IF
(
G15639=""юридична особа""
,
VLOO"&amp;"KUP(H15639,IMPORTRANGE(""https://docs.google.com/spreadsheets/d/14Bd19lYaqBhU8_DElYkX7l4wRkHqqCUFNJY4AfY3kHU/edit?usp=sharing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38" s="7" t="s">
        <v>23</v>
      </c>
    </row>
    <row r="15639" spans="1:10" ht="13.2">
      <c r="A15639" s="7">
        <v>15638</v>
      </c>
      <c r="B15639" s="7">
        <v>1</v>
      </c>
      <c r="C15639" s="7" t="s">
        <v>10</v>
      </c>
      <c r="D15639" s="7">
        <v>19701</v>
      </c>
      <c r="E15639" s="7" t="s">
        <v>23</v>
      </c>
      <c r="F15639" s="8" t="str">
        <f ca="1">IFERROR(__xludf.DUMMYFUNCTION("IF
(
C15640=""фізична особа""
,
VLOOKUP(D15640,IMPORTRANGE(""https://docs.google.com/spreadsheets/d/14Bd19lYaqBhU8_DElYkX7l4wRkHqqCUFNJY4AfY3kHU/edit?usp=sharing  #gid=0"",""фіз особи new!relations_name""),6,FALSE)
,
(IF
(
C15640=""юридична особа""
,
VLOO"&amp;"KUP(D15640,IMPORTRANGE(""https://docs.google.com/spreadsheets/d/14Bd19lYaqBhU8_DElYkX7l4wRkHqqCUFNJY4AfY3kHU/edit?usp=sharing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G15639" s="7" t="s">
        <v>10</v>
      </c>
      <c r="H15639" s="7">
        <v>19710</v>
      </c>
      <c r="I15639" s="8" t="str">
        <f ca="1">IFERROR(__xludf.DUMMYFUNCTION("IF
(
G15640=""фізична особа""
,
VLOOKUP(H15640,IMPORTRANGE(""https://docs.google.com/spreadsheets/d/14Bd19lYaqBhU8_DElYkX7l4wRkHqqCUFNJY4AfY3kHU/edit?usp=sharing  #gid=0"",""фіз особи new!relations_name""),6,FALSE)
,
(IF
(
G15640=""юридична особа""
,
VLOO"&amp;"KUP(H15640,IMPORTRANGE(""https://docs.google.com/spreadsheets/d/14Bd19lYaqBhU8_DElYkX7l4wRkHqqCUFNJY4AfY3kHU/edit?usp=sharing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39" s="7" t="s">
        <v>23</v>
      </c>
    </row>
    <row r="15640" spans="1:10" ht="13.2">
      <c r="A15640" s="7">
        <v>15639</v>
      </c>
      <c r="B15640" s="7">
        <v>1</v>
      </c>
      <c r="C15640" s="7" t="s">
        <v>10</v>
      </c>
      <c r="D15640" s="7">
        <v>19702</v>
      </c>
      <c r="E15640" s="7" t="s">
        <v>23</v>
      </c>
      <c r="F15640" s="8" t="str">
        <f ca="1">IFERROR(__xludf.DUMMYFUNCTION("IF
(
C15641=""фізична особа""
,
VLOOKUP(D15641,IMPORTRANGE(""https://docs.google.com/spreadsheets/d/14Bd19lYaqBhU8_DElYkX7l4wRkHqqCUFNJY4AfY3kHU/edit?usp=sharing  #gid=0"",""фіз особи new!relations_name""),6,FALSE)
,
(IF
(
C15641=""юридична особа""
,
VLOO"&amp;"KUP(D15641,IMPORTRANGE(""https://docs.google.com/spreadsheets/d/14Bd19lYaqBhU8_DElYkX7l4wRkHqqCUFNJY4AfY3kHU/edit?usp=sharing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0" s="7" t="s">
        <v>10</v>
      </c>
      <c r="H15640" s="7">
        <v>19698</v>
      </c>
      <c r="I15640" s="8" t="str">
        <f ca="1">IFERROR(__xludf.DUMMYFUNCTION("IF
(
G15641=""фізична особа""
,
VLOOKUP(H15641,IMPORTRANGE(""https://docs.google.com/spreadsheets/d/14Bd19lYaqBhU8_DElYkX7l4wRkHqqCUFNJY4AfY3kHU/edit?usp=sharing  #gid=0"",""фіз особи new!relations_name""),6,FALSE)
,
(IF
(
G15641=""юридична особа""
,
VLOO"&amp;"KUP(H15641,IMPORTRANGE(""https://docs.google.com/spreadsheets/d/14Bd19lYaqBhU8_DElYkX7l4wRkHqqCUFNJY4AfY3kHU/edit?usp=sharing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40" s="7" t="s">
        <v>23</v>
      </c>
    </row>
    <row r="15641" spans="1:10" ht="13.2">
      <c r="A15641" s="7">
        <v>15640</v>
      </c>
      <c r="B15641" s="7">
        <v>1</v>
      </c>
      <c r="C15641" s="7" t="s">
        <v>10</v>
      </c>
      <c r="D15641" s="7">
        <v>19702</v>
      </c>
      <c r="E15641" s="7" t="s">
        <v>23</v>
      </c>
      <c r="F15641" s="8" t="str">
        <f ca="1">IFERROR(__xludf.DUMMYFUNCTION("IF
(
C15642=""фізична особа""
,
VLOOKUP(D15642,IMPORTRANGE(""https://docs.google.com/spreadsheets/d/14Bd19lYaqBhU8_DElYkX7l4wRkHqqCUFNJY4AfY3kHU/edit?usp=sharing  #gid=0"",""фіз особи new!relations_name""),6,FALSE)
,
(IF
(
C15642=""юридична особа""
,
VLOO"&amp;"KUP(D15642,IMPORTRANGE(""https://docs.google.com/spreadsheets/d/14Bd19lYaqBhU8_DElYkX7l4wRkHqqCUFNJY4AfY3kHU/edit?usp=sharing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1" s="7" t="s">
        <v>10</v>
      </c>
      <c r="H15641" s="7">
        <v>19699</v>
      </c>
      <c r="I15641" s="8" t="str">
        <f ca="1">IFERROR(__xludf.DUMMYFUNCTION("IF
(
G15642=""фізична особа""
,
VLOOKUP(H15642,IMPORTRANGE(""https://docs.google.com/spreadsheets/d/14Bd19lYaqBhU8_DElYkX7l4wRkHqqCUFNJY4AfY3kHU/edit?usp=sharing  #gid=0"",""фіз особи new!relations_name""),6,FALSE)
,
(IF
(
G15642=""юридична особа""
,
VLOO"&amp;"KUP(H15642,IMPORTRANGE(""https://docs.google.com/spreadsheets/d/14Bd19lYaqBhU8_DElYkX7l4wRkHqqCUFNJY4AfY3kHU/edit?usp=sharing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41" s="7" t="s">
        <v>23</v>
      </c>
    </row>
    <row r="15642" spans="1:10" ht="13.2">
      <c r="A15642" s="7">
        <v>15641</v>
      </c>
      <c r="B15642" s="7">
        <v>1</v>
      </c>
      <c r="C15642" s="7" t="s">
        <v>10</v>
      </c>
      <c r="D15642" s="7">
        <v>19702</v>
      </c>
      <c r="E15642" s="7" t="s">
        <v>23</v>
      </c>
      <c r="F15642" s="8" t="str">
        <f ca="1">IFERROR(__xludf.DUMMYFUNCTION("IF
(
C15643=""фізична особа""
,
VLOOKUP(D15643,IMPORTRANGE(""https://docs.google.com/spreadsheets/d/14Bd19lYaqBhU8_DElYkX7l4wRkHqqCUFNJY4AfY3kHU/edit?usp=sharing  #gid=0"",""фіз особи new!relations_name""),6,FALSE)
,
(IF
(
C15643=""юридична особа""
,
VLOO"&amp;"KUP(D15643,IMPORTRANGE(""https://docs.google.com/spreadsheets/d/14Bd19lYaqBhU8_DElYkX7l4wRkHqqCUFNJY4AfY3kHU/edit?usp=sharing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2" s="7" t="s">
        <v>10</v>
      </c>
      <c r="H15642" s="7">
        <v>19700</v>
      </c>
      <c r="I15642" s="8" t="str">
        <f ca="1">IFERROR(__xludf.DUMMYFUNCTION("IF
(
G15643=""фізична особа""
,
VLOOKUP(H15643,IMPORTRANGE(""https://docs.google.com/spreadsheets/d/14Bd19lYaqBhU8_DElYkX7l4wRkHqqCUFNJY4AfY3kHU/edit?usp=sharing  #gid=0"",""фіз особи new!relations_name""),6,FALSE)
,
(IF
(
G15643=""юридична особа""
,
VLOO"&amp;"KUP(H15643,IMPORTRANGE(""https://docs.google.com/spreadsheets/d/14Bd19lYaqBhU8_DElYkX7l4wRkHqqCUFNJY4AfY3kHU/edit?usp=sharing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42" s="7" t="s">
        <v>23</v>
      </c>
    </row>
    <row r="15643" spans="1:10" ht="13.2">
      <c r="A15643" s="7">
        <v>15642</v>
      </c>
      <c r="B15643" s="7">
        <v>1</v>
      </c>
      <c r="C15643" s="7" t="s">
        <v>10</v>
      </c>
      <c r="D15643" s="7">
        <v>19702</v>
      </c>
      <c r="E15643" s="7" t="s">
        <v>23</v>
      </c>
      <c r="F15643" s="8" t="str">
        <f ca="1">IFERROR(__xludf.DUMMYFUNCTION("IF
(
C15644=""фізична особа""
,
VLOOKUP(D15644,IMPORTRANGE(""https://docs.google.com/spreadsheets/d/14Bd19lYaqBhU8_DElYkX7l4wRkHqqCUFNJY4AfY3kHU/edit?usp=sharing  #gid=0"",""фіз особи new!relations_name""),6,FALSE)
,
(IF
(
C15644=""юридична особа""
,
VLOO"&amp;"KUP(D15644,IMPORTRANGE(""https://docs.google.com/spreadsheets/d/14Bd19lYaqBhU8_DElYkX7l4wRkHqqCUFNJY4AfY3kHU/edit?usp=sharing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3" s="7" t="s">
        <v>10</v>
      </c>
      <c r="H15643" s="7">
        <v>19701</v>
      </c>
      <c r="I15643" s="8" t="str">
        <f ca="1">IFERROR(__xludf.DUMMYFUNCTION("IF
(
G15644=""фізична особа""
,
VLOOKUP(H15644,IMPORTRANGE(""https://docs.google.com/spreadsheets/d/14Bd19lYaqBhU8_DElYkX7l4wRkHqqCUFNJY4AfY3kHU/edit?usp=sharing  #gid=0"",""фіз особи new!relations_name""),6,FALSE)
,
(IF
(
G15644=""юридична особа""
,
VLOO"&amp;"KUP(H15644,IMPORTRANGE(""https://docs.google.com/spreadsheets/d/14Bd19lYaqBhU8_DElYkX7l4wRkHqqCUFNJY4AfY3kHU/edit?usp=sharing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43" s="7" t="s">
        <v>23</v>
      </c>
    </row>
    <row r="15644" spans="1:10" ht="13.2">
      <c r="A15644" s="7">
        <v>15643</v>
      </c>
      <c r="B15644" s="7">
        <v>1</v>
      </c>
      <c r="C15644" s="7" t="s">
        <v>10</v>
      </c>
      <c r="D15644" s="7">
        <v>19702</v>
      </c>
      <c r="E15644" s="7" t="s">
        <v>23</v>
      </c>
      <c r="F15644" s="8" t="str">
        <f ca="1">IFERROR(__xludf.DUMMYFUNCTION("IF
(
C15645=""фізична особа""
,
VLOOKUP(D15645,IMPORTRANGE(""https://docs.google.com/spreadsheets/d/14Bd19lYaqBhU8_DElYkX7l4wRkHqqCUFNJY4AfY3kHU/edit?usp=sharing  #gid=0"",""фіз особи new!relations_name""),6,FALSE)
,
(IF
(
C15645=""юридична особа""
,
VLOO"&amp;"KUP(D15645,IMPORTRANGE(""https://docs.google.com/spreadsheets/d/14Bd19lYaqBhU8_DElYkX7l4wRkHqqCUFNJY4AfY3kHU/edit?usp=sharing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4" s="7" t="s">
        <v>10</v>
      </c>
      <c r="H15644" s="7">
        <v>19703</v>
      </c>
      <c r="I15644" s="8" t="str">
        <f ca="1">IFERROR(__xludf.DUMMYFUNCTION("IF
(
G15645=""фізична особа""
,
VLOOKUP(H15645,IMPORTRANGE(""https://docs.google.com/spreadsheets/d/14Bd19lYaqBhU8_DElYkX7l4wRkHqqCUFNJY4AfY3kHU/edit?usp=sharing  #gid=0"",""фіз особи new!relations_name""),6,FALSE)
,
(IF
(
G15645=""юридична особа""
,
VLOO"&amp;"KUP(H15645,IMPORTRANGE(""https://docs.google.com/spreadsheets/d/14Bd19lYaqBhU8_DElYkX7l4wRkHqqCUFNJY4AfY3kHU/edit?usp=sharing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44" s="7" t="s">
        <v>23</v>
      </c>
    </row>
    <row r="15645" spans="1:10" ht="13.2">
      <c r="A15645" s="7">
        <v>15644</v>
      </c>
      <c r="B15645" s="7">
        <v>1</v>
      </c>
      <c r="C15645" s="7" t="s">
        <v>10</v>
      </c>
      <c r="D15645" s="7">
        <v>19702</v>
      </c>
      <c r="E15645" s="7" t="s">
        <v>23</v>
      </c>
      <c r="F15645" s="8" t="str">
        <f ca="1">IFERROR(__xludf.DUMMYFUNCTION("IF
(
C15646=""фізична особа""
,
VLOOKUP(D15646,IMPORTRANGE(""https://docs.google.com/spreadsheets/d/14Bd19lYaqBhU8_DElYkX7l4wRkHqqCUFNJY4AfY3kHU/edit?usp=sharing  #gid=0"",""фіз особи new!relations_name""),6,FALSE)
,
(IF
(
C15646=""юридична особа""
,
VLOO"&amp;"KUP(D15646,IMPORTRANGE(""https://docs.google.com/spreadsheets/d/14Bd19lYaqBhU8_DElYkX7l4wRkHqqCUFNJY4AfY3kHU/edit?usp=sharing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5" s="7" t="s">
        <v>10</v>
      </c>
      <c r="H15645" s="7">
        <v>19704</v>
      </c>
      <c r="I15645" s="8" t="str">
        <f ca="1">IFERROR(__xludf.DUMMYFUNCTION("IF
(
G15646=""фізична особа""
,
VLOOKUP(H15646,IMPORTRANGE(""https://docs.google.com/spreadsheets/d/14Bd19lYaqBhU8_DElYkX7l4wRkHqqCUFNJY4AfY3kHU/edit?usp=sharing  #gid=0"",""фіз особи new!relations_name""),6,FALSE)
,
(IF
(
G15646=""юридична особа""
,
VLOO"&amp;"KUP(H15646,IMPORTRANGE(""https://docs.google.com/spreadsheets/d/14Bd19lYaqBhU8_DElYkX7l4wRkHqqCUFNJY4AfY3kHU/edit?usp=sharing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45" s="7" t="s">
        <v>23</v>
      </c>
    </row>
    <row r="15646" spans="1:10" ht="13.2">
      <c r="A15646" s="7">
        <v>15645</v>
      </c>
      <c r="B15646" s="7">
        <v>1</v>
      </c>
      <c r="C15646" s="7" t="s">
        <v>10</v>
      </c>
      <c r="D15646" s="7">
        <v>19702</v>
      </c>
      <c r="E15646" s="7" t="s">
        <v>23</v>
      </c>
      <c r="F15646" s="8" t="str">
        <f ca="1">IFERROR(__xludf.DUMMYFUNCTION("IF
(
C15647=""фізична особа""
,
VLOOKUP(D15647,IMPORTRANGE(""https://docs.google.com/spreadsheets/d/14Bd19lYaqBhU8_DElYkX7l4wRkHqqCUFNJY4AfY3kHU/edit?usp=sharing  #gid=0"",""фіз особи new!relations_name""),6,FALSE)
,
(IF
(
C15647=""юридична особа""
,
VLOO"&amp;"KUP(D15647,IMPORTRANGE(""https://docs.google.com/spreadsheets/d/14Bd19lYaqBhU8_DElYkX7l4wRkHqqCUFNJY4AfY3kHU/edit?usp=sharing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6" s="7" t="s">
        <v>10</v>
      </c>
      <c r="H15646" s="7">
        <v>19705</v>
      </c>
      <c r="I15646" s="8" t="str">
        <f ca="1">IFERROR(__xludf.DUMMYFUNCTION("IF
(
G15647=""фізична особа""
,
VLOOKUP(H15647,IMPORTRANGE(""https://docs.google.com/spreadsheets/d/14Bd19lYaqBhU8_DElYkX7l4wRkHqqCUFNJY4AfY3kHU/edit?usp=sharing  #gid=0"",""фіз особи new!relations_name""),6,FALSE)
,
(IF
(
G15647=""юридична особа""
,
VLOO"&amp;"KUP(H15647,IMPORTRANGE(""https://docs.google.com/spreadsheets/d/14Bd19lYaqBhU8_DElYkX7l4wRkHqqCUFNJY4AfY3kHU/edit?usp=sharing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46" s="7" t="s">
        <v>23</v>
      </c>
    </row>
    <row r="15647" spans="1:10" ht="13.2">
      <c r="A15647" s="7">
        <v>15646</v>
      </c>
      <c r="B15647" s="7">
        <v>1</v>
      </c>
      <c r="C15647" s="7" t="s">
        <v>10</v>
      </c>
      <c r="D15647" s="7">
        <v>19702</v>
      </c>
      <c r="E15647" s="7" t="s">
        <v>23</v>
      </c>
      <c r="F15647" s="8" t="str">
        <f ca="1">IFERROR(__xludf.DUMMYFUNCTION("IF
(
C15648=""фізична особа""
,
VLOOKUP(D15648,IMPORTRANGE(""https://docs.google.com/spreadsheets/d/14Bd19lYaqBhU8_DElYkX7l4wRkHqqCUFNJY4AfY3kHU/edit?usp=sharing  #gid=0"",""фіз особи new!relations_name""),6,FALSE)
,
(IF
(
C15648=""юридична особа""
,
VLOO"&amp;"KUP(D15648,IMPORTRANGE(""https://docs.google.com/spreadsheets/d/14Bd19lYaqBhU8_DElYkX7l4wRkHqqCUFNJY4AfY3kHU/edit?usp=sharing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7" s="7" t="s">
        <v>10</v>
      </c>
      <c r="H15647" s="7">
        <v>19706</v>
      </c>
      <c r="I15647" s="8" t="str">
        <f ca="1">IFERROR(__xludf.DUMMYFUNCTION("IF
(
G15648=""фізична особа""
,
VLOOKUP(H15648,IMPORTRANGE(""https://docs.google.com/spreadsheets/d/14Bd19lYaqBhU8_DElYkX7l4wRkHqqCUFNJY4AfY3kHU/edit?usp=sharing  #gid=0"",""фіз особи new!relations_name""),6,FALSE)
,
(IF
(
G15648=""юридична особа""
,
VLOO"&amp;"KUP(H15648,IMPORTRANGE(""https://docs.google.com/spreadsheets/d/14Bd19lYaqBhU8_DElYkX7l4wRkHqqCUFNJY4AfY3kHU/edit?usp=sharing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47" s="7" t="s">
        <v>23</v>
      </c>
    </row>
    <row r="15648" spans="1:10" ht="13.2">
      <c r="A15648" s="7">
        <v>15647</v>
      </c>
      <c r="B15648" s="7">
        <v>1</v>
      </c>
      <c r="C15648" s="7" t="s">
        <v>10</v>
      </c>
      <c r="D15648" s="7">
        <v>19702</v>
      </c>
      <c r="E15648" s="7" t="s">
        <v>23</v>
      </c>
      <c r="F15648" s="8" t="str">
        <f ca="1">IFERROR(__xludf.DUMMYFUNCTION("IF
(
C15649=""фізична особа""
,
VLOOKUP(D15649,IMPORTRANGE(""https://docs.google.com/spreadsheets/d/14Bd19lYaqBhU8_DElYkX7l4wRkHqqCUFNJY4AfY3kHU/edit?usp=sharing  #gid=0"",""фіз особи new!relations_name""),6,FALSE)
,
(IF
(
C15649=""юридична особа""
,
VLOO"&amp;"KUP(D15649,IMPORTRANGE(""https://docs.google.com/spreadsheets/d/14Bd19lYaqBhU8_DElYkX7l4wRkHqqCUFNJY4AfY3kHU/edit?usp=sharing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8" s="7" t="s">
        <v>10</v>
      </c>
      <c r="H15648" s="7">
        <v>19707</v>
      </c>
      <c r="I15648" s="8" t="str">
        <f ca="1">IFERROR(__xludf.DUMMYFUNCTION("IF
(
G15649=""фізична особа""
,
VLOOKUP(H15649,IMPORTRANGE(""https://docs.google.com/spreadsheets/d/14Bd19lYaqBhU8_DElYkX7l4wRkHqqCUFNJY4AfY3kHU/edit?usp=sharing  #gid=0"",""фіз особи new!relations_name""),6,FALSE)
,
(IF
(
G15649=""юридична особа""
,
VLOO"&amp;"KUP(H15649,IMPORTRANGE(""https://docs.google.com/spreadsheets/d/14Bd19lYaqBhU8_DElYkX7l4wRkHqqCUFNJY4AfY3kHU/edit?usp=sharing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48" s="7" t="s">
        <v>23</v>
      </c>
    </row>
    <row r="15649" spans="1:10" ht="13.2">
      <c r="A15649" s="7">
        <v>15648</v>
      </c>
      <c r="B15649" s="7">
        <v>1</v>
      </c>
      <c r="C15649" s="7" t="s">
        <v>10</v>
      </c>
      <c r="D15649" s="7">
        <v>19702</v>
      </c>
      <c r="E15649" s="7" t="s">
        <v>23</v>
      </c>
      <c r="F15649" s="8" t="str">
        <f ca="1">IFERROR(__xludf.DUMMYFUNCTION("IF
(
C15650=""фізична особа""
,
VLOOKUP(D15650,IMPORTRANGE(""https://docs.google.com/spreadsheets/d/14Bd19lYaqBhU8_DElYkX7l4wRkHqqCUFNJY4AfY3kHU/edit?usp=sharing  #gid=0"",""фіз особи new!relations_name""),6,FALSE)
,
(IF
(
C15650=""юридична особа""
,
VLOO"&amp;"KUP(D15650,IMPORTRANGE(""https://docs.google.com/spreadsheets/d/14Bd19lYaqBhU8_DElYkX7l4wRkHqqCUFNJY4AfY3kHU/edit?usp=sharing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49" s="7" t="s">
        <v>10</v>
      </c>
      <c r="H15649" s="7">
        <v>19708</v>
      </c>
      <c r="I15649" s="8" t="str">
        <f ca="1">IFERROR(__xludf.DUMMYFUNCTION("IF
(
G15650=""фізична особа""
,
VLOOKUP(H15650,IMPORTRANGE(""https://docs.google.com/spreadsheets/d/14Bd19lYaqBhU8_DElYkX7l4wRkHqqCUFNJY4AfY3kHU/edit?usp=sharing  #gid=0"",""фіз особи new!relations_name""),6,FALSE)
,
(IF
(
G15650=""юридична особа""
,
VLOO"&amp;"KUP(H15650,IMPORTRANGE(""https://docs.google.com/spreadsheets/d/14Bd19lYaqBhU8_DElYkX7l4wRkHqqCUFNJY4AfY3kHU/edit?usp=sharing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49" s="7" t="s">
        <v>23</v>
      </c>
    </row>
    <row r="15650" spans="1:10" ht="13.2">
      <c r="A15650" s="7">
        <v>15649</v>
      </c>
      <c r="B15650" s="7">
        <v>1</v>
      </c>
      <c r="C15650" s="7" t="s">
        <v>10</v>
      </c>
      <c r="D15650" s="7">
        <v>19702</v>
      </c>
      <c r="E15650" s="7" t="s">
        <v>23</v>
      </c>
      <c r="F15650" s="8" t="str">
        <f ca="1">IFERROR(__xludf.DUMMYFUNCTION("IF
(
C15651=""фізична особа""
,
VLOOKUP(D15651,IMPORTRANGE(""https://docs.google.com/spreadsheets/d/14Bd19lYaqBhU8_DElYkX7l4wRkHqqCUFNJY4AfY3kHU/edit?usp=sharing  #gid=0"",""фіз особи new!relations_name""),6,FALSE)
,
(IF
(
C15651=""юридична особа""
,
VLOO"&amp;"KUP(D15651,IMPORTRANGE(""https://docs.google.com/spreadsheets/d/14Bd19lYaqBhU8_DElYkX7l4wRkHqqCUFNJY4AfY3kHU/edit?usp=sharing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50" s="7" t="s">
        <v>10</v>
      </c>
      <c r="H15650" s="7">
        <v>19709</v>
      </c>
      <c r="I15650" s="8" t="str">
        <f ca="1">IFERROR(__xludf.DUMMYFUNCTION("IF
(
G15651=""фізична особа""
,
VLOOKUP(H15651,IMPORTRANGE(""https://docs.google.com/spreadsheets/d/14Bd19lYaqBhU8_DElYkX7l4wRkHqqCUFNJY4AfY3kHU/edit?usp=sharing  #gid=0"",""фіз особи new!relations_name""),6,FALSE)
,
(IF
(
G15651=""юридична особа""
,
VLOO"&amp;"KUP(H15651,IMPORTRANGE(""https://docs.google.com/spreadsheets/d/14Bd19lYaqBhU8_DElYkX7l4wRkHqqCUFNJY4AfY3kHU/edit?usp=sharing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50" s="7" t="s">
        <v>23</v>
      </c>
    </row>
    <row r="15651" spans="1:10" ht="13.2">
      <c r="A15651" s="7">
        <v>15650</v>
      </c>
      <c r="B15651" s="7">
        <v>1</v>
      </c>
      <c r="C15651" s="7" t="s">
        <v>10</v>
      </c>
      <c r="D15651" s="7">
        <v>19702</v>
      </c>
      <c r="E15651" s="7" t="s">
        <v>23</v>
      </c>
      <c r="F15651" s="8" t="str">
        <f ca="1">IFERROR(__xludf.DUMMYFUNCTION("IF
(
C15652=""фізична особа""
,
VLOOKUP(D15652,IMPORTRANGE(""https://docs.google.com/spreadsheets/d/14Bd19lYaqBhU8_DElYkX7l4wRkHqqCUFNJY4AfY3kHU/edit?usp=sharing  #gid=0"",""фіз особи new!relations_name""),6,FALSE)
,
(IF
(
C15652=""юридична особа""
,
VLOO"&amp;"KUP(D15652,IMPORTRANGE(""https://docs.google.com/spreadsheets/d/14Bd19lYaqBhU8_DElYkX7l4wRkHqqCUFNJY4AfY3kHU/edit?usp=sharing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G15651" s="7" t="s">
        <v>10</v>
      </c>
      <c r="H15651" s="7">
        <v>19710</v>
      </c>
      <c r="I15651" s="8" t="str">
        <f ca="1">IFERROR(__xludf.DUMMYFUNCTION("IF
(
G15652=""фізична особа""
,
VLOOKUP(H15652,IMPORTRANGE(""https://docs.google.com/spreadsheets/d/14Bd19lYaqBhU8_DElYkX7l4wRkHqqCUFNJY4AfY3kHU/edit?usp=sharing  #gid=0"",""фіз особи new!relations_name""),6,FALSE)
,
(IF
(
G15652=""юридична особа""
,
VLOO"&amp;"KUP(H15652,IMPORTRANGE(""https://docs.google.com/spreadsheets/d/14Bd19lYaqBhU8_DElYkX7l4wRkHqqCUFNJY4AfY3kHU/edit?usp=sharing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51" s="7" t="s">
        <v>23</v>
      </c>
    </row>
    <row r="15652" spans="1:10" ht="13.2">
      <c r="A15652" s="7">
        <v>15651</v>
      </c>
      <c r="B15652" s="7">
        <v>1</v>
      </c>
      <c r="C15652" s="7" t="s">
        <v>10</v>
      </c>
      <c r="D15652" s="7">
        <v>19703</v>
      </c>
      <c r="E15652" s="7" t="s">
        <v>23</v>
      </c>
      <c r="F15652" s="8" t="str">
        <f ca="1">IFERROR(__xludf.DUMMYFUNCTION("IF
(
C15653=""фізична особа""
,
VLOOKUP(D15653,IMPORTRANGE(""https://docs.google.com/spreadsheets/d/14Bd19lYaqBhU8_DElYkX7l4wRkHqqCUFNJY4AfY3kHU/edit?usp=sharing  #gid=0"",""фіз особи new!relations_name""),6,FALSE)
,
(IF
(
C15653=""юридична особа""
,
VLOO"&amp;"KUP(D15653,IMPORTRANGE(""https://docs.google.com/spreadsheets/d/14Bd19lYaqBhU8_DElYkX7l4wRkHqqCUFNJY4AfY3kHU/edit?usp=sharing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2" s="7" t="s">
        <v>10</v>
      </c>
      <c r="H15652" s="7">
        <v>19698</v>
      </c>
      <c r="I15652" s="8" t="str">
        <f ca="1">IFERROR(__xludf.DUMMYFUNCTION("IF
(
G15653=""фізична особа""
,
VLOOKUP(H15653,IMPORTRANGE(""https://docs.google.com/spreadsheets/d/14Bd19lYaqBhU8_DElYkX7l4wRkHqqCUFNJY4AfY3kHU/edit?usp=sharing  #gid=0"",""фіз особи new!relations_name""),6,FALSE)
,
(IF
(
G15653=""юридична особа""
,
VLOO"&amp;"KUP(H15653,IMPORTRANGE(""https://docs.google.com/spreadsheets/d/14Bd19lYaqBhU8_DElYkX7l4wRkHqqCUFNJY4AfY3kHU/edit?usp=sharing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52" s="7" t="s">
        <v>23</v>
      </c>
    </row>
    <row r="15653" spans="1:10" ht="13.2">
      <c r="A15653" s="7">
        <v>15652</v>
      </c>
      <c r="B15653" s="7">
        <v>1</v>
      </c>
      <c r="C15653" s="7" t="s">
        <v>10</v>
      </c>
      <c r="D15653" s="7">
        <v>19703</v>
      </c>
      <c r="E15653" s="7" t="s">
        <v>23</v>
      </c>
      <c r="F15653" s="8" t="str">
        <f ca="1">IFERROR(__xludf.DUMMYFUNCTION("IF
(
C15654=""фізична особа""
,
VLOOKUP(D15654,IMPORTRANGE(""https://docs.google.com/spreadsheets/d/14Bd19lYaqBhU8_DElYkX7l4wRkHqqCUFNJY4AfY3kHU/edit?usp=sharing  #gid=0"",""фіз особи new!relations_name""),6,FALSE)
,
(IF
(
C15654=""юридична особа""
,
VLOO"&amp;"KUP(D15654,IMPORTRANGE(""https://docs.google.com/spreadsheets/d/14Bd19lYaqBhU8_DElYkX7l4wRkHqqCUFNJY4AfY3kHU/edit?usp=sharing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3" s="7" t="s">
        <v>10</v>
      </c>
      <c r="H15653" s="7">
        <v>19699</v>
      </c>
      <c r="I15653" s="8" t="str">
        <f ca="1">IFERROR(__xludf.DUMMYFUNCTION("IF
(
G15654=""фізична особа""
,
VLOOKUP(H15654,IMPORTRANGE(""https://docs.google.com/spreadsheets/d/14Bd19lYaqBhU8_DElYkX7l4wRkHqqCUFNJY4AfY3kHU/edit?usp=sharing  #gid=0"",""фіз особи new!relations_name""),6,FALSE)
,
(IF
(
G15654=""юридична особа""
,
VLOO"&amp;"KUP(H15654,IMPORTRANGE(""https://docs.google.com/spreadsheets/d/14Bd19lYaqBhU8_DElYkX7l4wRkHqqCUFNJY4AfY3kHU/edit?usp=sharing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53" s="7" t="s">
        <v>23</v>
      </c>
    </row>
    <row r="15654" spans="1:10" ht="13.2">
      <c r="A15654" s="7">
        <v>15653</v>
      </c>
      <c r="B15654" s="7">
        <v>1</v>
      </c>
      <c r="C15654" s="7" t="s">
        <v>10</v>
      </c>
      <c r="D15654" s="7">
        <v>19703</v>
      </c>
      <c r="E15654" s="7" t="s">
        <v>23</v>
      </c>
      <c r="F15654" s="8" t="str">
        <f ca="1">IFERROR(__xludf.DUMMYFUNCTION("IF
(
C15655=""фізична особа""
,
VLOOKUP(D15655,IMPORTRANGE(""https://docs.google.com/spreadsheets/d/14Bd19lYaqBhU8_DElYkX7l4wRkHqqCUFNJY4AfY3kHU/edit?usp=sharing  #gid=0"",""фіз особи new!relations_name""),6,FALSE)
,
(IF
(
C15655=""юридична особа""
,
VLOO"&amp;"KUP(D15655,IMPORTRANGE(""https://docs.google.com/spreadsheets/d/14Bd19lYaqBhU8_DElYkX7l4wRkHqqCUFNJY4AfY3kHU/edit?usp=sharing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4" s="7" t="s">
        <v>10</v>
      </c>
      <c r="H15654" s="7">
        <v>19700</v>
      </c>
      <c r="I15654" s="8" t="str">
        <f ca="1">IFERROR(__xludf.DUMMYFUNCTION("IF
(
G15655=""фізична особа""
,
VLOOKUP(H15655,IMPORTRANGE(""https://docs.google.com/spreadsheets/d/14Bd19lYaqBhU8_DElYkX7l4wRkHqqCUFNJY4AfY3kHU/edit?usp=sharing  #gid=0"",""фіз особи new!relations_name""),6,FALSE)
,
(IF
(
G15655=""юридична особа""
,
VLOO"&amp;"KUP(H15655,IMPORTRANGE(""https://docs.google.com/spreadsheets/d/14Bd19lYaqBhU8_DElYkX7l4wRkHqqCUFNJY4AfY3kHU/edit?usp=sharing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54" s="7" t="s">
        <v>23</v>
      </c>
    </row>
    <row r="15655" spans="1:10" ht="13.2">
      <c r="A15655" s="7">
        <v>15654</v>
      </c>
      <c r="B15655" s="7">
        <v>1</v>
      </c>
      <c r="C15655" s="7" t="s">
        <v>10</v>
      </c>
      <c r="D15655" s="7">
        <v>19703</v>
      </c>
      <c r="E15655" s="7" t="s">
        <v>23</v>
      </c>
      <c r="F15655" s="8" t="str">
        <f ca="1">IFERROR(__xludf.DUMMYFUNCTION("IF
(
C15656=""фізична особа""
,
VLOOKUP(D15656,IMPORTRANGE(""https://docs.google.com/spreadsheets/d/14Bd19lYaqBhU8_DElYkX7l4wRkHqqCUFNJY4AfY3kHU/edit?usp=sharing  #gid=0"",""фіз особи new!relations_name""),6,FALSE)
,
(IF
(
C15656=""юридична особа""
,
VLOO"&amp;"KUP(D15656,IMPORTRANGE(""https://docs.google.com/spreadsheets/d/14Bd19lYaqBhU8_DElYkX7l4wRkHqqCUFNJY4AfY3kHU/edit?usp=sharing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5" s="7" t="s">
        <v>10</v>
      </c>
      <c r="H15655" s="7">
        <v>19701</v>
      </c>
      <c r="I15655" s="8" t="str">
        <f ca="1">IFERROR(__xludf.DUMMYFUNCTION("IF
(
G15656=""фізична особа""
,
VLOOKUP(H15656,IMPORTRANGE(""https://docs.google.com/spreadsheets/d/14Bd19lYaqBhU8_DElYkX7l4wRkHqqCUFNJY4AfY3kHU/edit?usp=sharing  #gid=0"",""фіз особи new!relations_name""),6,FALSE)
,
(IF
(
G15656=""юридична особа""
,
VLOO"&amp;"KUP(H15656,IMPORTRANGE(""https://docs.google.com/spreadsheets/d/14Bd19lYaqBhU8_DElYkX7l4wRkHqqCUFNJY4AfY3kHU/edit?usp=sharing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55" s="7" t="s">
        <v>23</v>
      </c>
    </row>
    <row r="15656" spans="1:10" ht="13.2">
      <c r="A15656" s="7">
        <v>15655</v>
      </c>
      <c r="B15656" s="7">
        <v>1</v>
      </c>
      <c r="C15656" s="7" t="s">
        <v>10</v>
      </c>
      <c r="D15656" s="7">
        <v>19703</v>
      </c>
      <c r="E15656" s="7" t="s">
        <v>23</v>
      </c>
      <c r="F15656" s="8" t="str">
        <f ca="1">IFERROR(__xludf.DUMMYFUNCTION("IF
(
C15657=""фізична особа""
,
VLOOKUP(D15657,IMPORTRANGE(""https://docs.google.com/spreadsheets/d/14Bd19lYaqBhU8_DElYkX7l4wRkHqqCUFNJY4AfY3kHU/edit?usp=sharing  #gid=0"",""фіз особи new!relations_name""),6,FALSE)
,
(IF
(
C15657=""юридична особа""
,
VLOO"&amp;"KUP(D15657,IMPORTRANGE(""https://docs.google.com/spreadsheets/d/14Bd19lYaqBhU8_DElYkX7l4wRkHqqCUFNJY4AfY3kHU/edit?usp=sharing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6" s="7" t="s">
        <v>10</v>
      </c>
      <c r="H15656" s="7">
        <v>19702</v>
      </c>
      <c r="I15656" s="8" t="str">
        <f ca="1">IFERROR(__xludf.DUMMYFUNCTION("IF
(
G15657=""фізична особа""
,
VLOOKUP(H15657,IMPORTRANGE(""https://docs.google.com/spreadsheets/d/14Bd19lYaqBhU8_DElYkX7l4wRkHqqCUFNJY4AfY3kHU/edit?usp=sharing  #gid=0"",""фіз особи new!relations_name""),6,FALSE)
,
(IF
(
G15657=""юридична особа""
,
VLOO"&amp;"KUP(H15657,IMPORTRANGE(""https://docs.google.com/spreadsheets/d/14Bd19lYaqBhU8_DElYkX7l4wRkHqqCUFNJY4AfY3kHU/edit?usp=sharing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56" s="7" t="s">
        <v>23</v>
      </c>
    </row>
    <row r="15657" spans="1:10" ht="13.2">
      <c r="A15657" s="7">
        <v>15656</v>
      </c>
      <c r="B15657" s="7">
        <v>1</v>
      </c>
      <c r="C15657" s="7" t="s">
        <v>10</v>
      </c>
      <c r="D15657" s="7">
        <v>19703</v>
      </c>
      <c r="E15657" s="7" t="s">
        <v>23</v>
      </c>
      <c r="F15657" s="8" t="str">
        <f ca="1">IFERROR(__xludf.DUMMYFUNCTION("IF
(
C15658=""фізична особа""
,
VLOOKUP(D15658,IMPORTRANGE(""https://docs.google.com/spreadsheets/d/14Bd19lYaqBhU8_DElYkX7l4wRkHqqCUFNJY4AfY3kHU/edit?usp=sharing  #gid=0"",""фіз особи new!relations_name""),6,FALSE)
,
(IF
(
C15658=""юридична особа""
,
VLOO"&amp;"KUP(D15658,IMPORTRANGE(""https://docs.google.com/spreadsheets/d/14Bd19lYaqBhU8_DElYkX7l4wRkHqqCUFNJY4AfY3kHU/edit?usp=sharing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7" s="7" t="s">
        <v>10</v>
      </c>
      <c r="H15657" s="7">
        <v>19704</v>
      </c>
      <c r="I15657" s="8" t="str">
        <f ca="1">IFERROR(__xludf.DUMMYFUNCTION("IF
(
G15658=""фізична особа""
,
VLOOKUP(H15658,IMPORTRANGE(""https://docs.google.com/spreadsheets/d/14Bd19lYaqBhU8_DElYkX7l4wRkHqqCUFNJY4AfY3kHU/edit?usp=sharing  #gid=0"",""фіз особи new!relations_name""),6,FALSE)
,
(IF
(
G15658=""юридична особа""
,
VLOO"&amp;"KUP(H15658,IMPORTRANGE(""https://docs.google.com/spreadsheets/d/14Bd19lYaqBhU8_DElYkX7l4wRkHqqCUFNJY4AfY3kHU/edit?usp=sharing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57" s="7" t="s">
        <v>23</v>
      </c>
    </row>
    <row r="15658" spans="1:10" ht="13.2">
      <c r="A15658" s="7">
        <v>15657</v>
      </c>
      <c r="B15658" s="7">
        <v>1</v>
      </c>
      <c r="C15658" s="7" t="s">
        <v>10</v>
      </c>
      <c r="D15658" s="7">
        <v>19703</v>
      </c>
      <c r="E15658" s="7" t="s">
        <v>23</v>
      </c>
      <c r="F15658" s="8" t="str">
        <f ca="1">IFERROR(__xludf.DUMMYFUNCTION("IF
(
C15659=""фізична особа""
,
VLOOKUP(D15659,IMPORTRANGE(""https://docs.google.com/spreadsheets/d/14Bd19lYaqBhU8_DElYkX7l4wRkHqqCUFNJY4AfY3kHU/edit?usp=sharing  #gid=0"",""фіз особи new!relations_name""),6,FALSE)
,
(IF
(
C15659=""юридична особа""
,
VLOO"&amp;"KUP(D15659,IMPORTRANGE(""https://docs.google.com/spreadsheets/d/14Bd19lYaqBhU8_DElYkX7l4wRkHqqCUFNJY4AfY3kHU/edit?usp=sharing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8" s="7" t="s">
        <v>10</v>
      </c>
      <c r="H15658" s="7">
        <v>19705</v>
      </c>
      <c r="I15658" s="8" t="str">
        <f ca="1">IFERROR(__xludf.DUMMYFUNCTION("IF
(
G15659=""фізична особа""
,
VLOOKUP(H15659,IMPORTRANGE(""https://docs.google.com/spreadsheets/d/14Bd19lYaqBhU8_DElYkX7l4wRkHqqCUFNJY4AfY3kHU/edit?usp=sharing  #gid=0"",""фіз особи new!relations_name""),6,FALSE)
,
(IF
(
G15659=""юридична особа""
,
VLOO"&amp;"KUP(H15659,IMPORTRANGE(""https://docs.google.com/spreadsheets/d/14Bd19lYaqBhU8_DElYkX7l4wRkHqqCUFNJY4AfY3kHU/edit?usp=sharing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58" s="7" t="s">
        <v>23</v>
      </c>
    </row>
    <row r="15659" spans="1:10" ht="13.2">
      <c r="A15659" s="7">
        <v>15658</v>
      </c>
      <c r="B15659" s="7">
        <v>1</v>
      </c>
      <c r="C15659" s="7" t="s">
        <v>10</v>
      </c>
      <c r="D15659" s="7">
        <v>19703</v>
      </c>
      <c r="E15659" s="7" t="s">
        <v>23</v>
      </c>
      <c r="F15659" s="8" t="str">
        <f ca="1">IFERROR(__xludf.DUMMYFUNCTION("IF
(
C15660=""фізична особа""
,
VLOOKUP(D15660,IMPORTRANGE(""https://docs.google.com/spreadsheets/d/14Bd19lYaqBhU8_DElYkX7l4wRkHqqCUFNJY4AfY3kHU/edit?usp=sharing  #gid=0"",""фіз особи new!relations_name""),6,FALSE)
,
(IF
(
C15660=""юридична особа""
,
VLOO"&amp;"KUP(D15660,IMPORTRANGE(""https://docs.google.com/spreadsheets/d/14Bd19lYaqBhU8_DElYkX7l4wRkHqqCUFNJY4AfY3kHU/edit?usp=sharing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59" s="7" t="s">
        <v>10</v>
      </c>
      <c r="H15659" s="7">
        <v>19706</v>
      </c>
      <c r="I15659" s="8" t="str">
        <f ca="1">IFERROR(__xludf.DUMMYFUNCTION("IF
(
G15660=""фізична особа""
,
VLOOKUP(H15660,IMPORTRANGE(""https://docs.google.com/spreadsheets/d/14Bd19lYaqBhU8_DElYkX7l4wRkHqqCUFNJY4AfY3kHU/edit?usp=sharing  #gid=0"",""фіз особи new!relations_name""),6,FALSE)
,
(IF
(
G15660=""юридична особа""
,
VLOO"&amp;"KUP(H15660,IMPORTRANGE(""https://docs.google.com/spreadsheets/d/14Bd19lYaqBhU8_DElYkX7l4wRkHqqCUFNJY4AfY3kHU/edit?usp=sharing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59" s="7" t="s">
        <v>23</v>
      </c>
    </row>
    <row r="15660" spans="1:10" ht="13.2">
      <c r="A15660" s="7">
        <v>15659</v>
      </c>
      <c r="B15660" s="7">
        <v>1</v>
      </c>
      <c r="C15660" s="7" t="s">
        <v>10</v>
      </c>
      <c r="D15660" s="7">
        <v>19703</v>
      </c>
      <c r="E15660" s="7" t="s">
        <v>23</v>
      </c>
      <c r="F15660" s="8" t="str">
        <f ca="1">IFERROR(__xludf.DUMMYFUNCTION("IF
(
C15661=""фізична особа""
,
VLOOKUP(D15661,IMPORTRANGE(""https://docs.google.com/spreadsheets/d/14Bd19lYaqBhU8_DElYkX7l4wRkHqqCUFNJY4AfY3kHU/edit?usp=sharing  #gid=0"",""фіз особи new!relations_name""),6,FALSE)
,
(IF
(
C15661=""юридична особа""
,
VLOO"&amp;"KUP(D15661,IMPORTRANGE(""https://docs.google.com/spreadsheets/d/14Bd19lYaqBhU8_DElYkX7l4wRkHqqCUFNJY4AfY3kHU/edit?usp=sharing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60" s="7" t="s">
        <v>10</v>
      </c>
      <c r="H15660" s="7">
        <v>19707</v>
      </c>
      <c r="I15660" s="8" t="str">
        <f ca="1">IFERROR(__xludf.DUMMYFUNCTION("IF
(
G15661=""фізична особа""
,
VLOOKUP(H15661,IMPORTRANGE(""https://docs.google.com/spreadsheets/d/14Bd19lYaqBhU8_DElYkX7l4wRkHqqCUFNJY4AfY3kHU/edit?usp=sharing  #gid=0"",""фіз особи new!relations_name""),6,FALSE)
,
(IF
(
G15661=""юридична особа""
,
VLOO"&amp;"KUP(H15661,IMPORTRANGE(""https://docs.google.com/spreadsheets/d/14Bd19lYaqBhU8_DElYkX7l4wRkHqqCUFNJY4AfY3kHU/edit?usp=sharing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60" s="7" t="s">
        <v>23</v>
      </c>
    </row>
    <row r="15661" spans="1:10" ht="13.2">
      <c r="A15661" s="7">
        <v>15660</v>
      </c>
      <c r="B15661" s="7">
        <v>1</v>
      </c>
      <c r="C15661" s="7" t="s">
        <v>10</v>
      </c>
      <c r="D15661" s="7">
        <v>19703</v>
      </c>
      <c r="E15661" s="7" t="s">
        <v>23</v>
      </c>
      <c r="F15661" s="8" t="str">
        <f ca="1">IFERROR(__xludf.DUMMYFUNCTION("IF
(
C15662=""фізична особа""
,
VLOOKUP(D15662,IMPORTRANGE(""https://docs.google.com/spreadsheets/d/14Bd19lYaqBhU8_DElYkX7l4wRkHqqCUFNJY4AfY3kHU/edit?usp=sharing  #gid=0"",""фіз особи new!relations_name""),6,FALSE)
,
(IF
(
C15662=""юридична особа""
,
VLOO"&amp;"KUP(D15662,IMPORTRANGE(""https://docs.google.com/spreadsheets/d/14Bd19lYaqBhU8_DElYkX7l4wRkHqqCUFNJY4AfY3kHU/edit?usp=sharing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61" s="7" t="s">
        <v>10</v>
      </c>
      <c r="H15661" s="7">
        <v>19708</v>
      </c>
      <c r="I15661" s="8" t="str">
        <f ca="1">IFERROR(__xludf.DUMMYFUNCTION("IF
(
G15662=""фізична особа""
,
VLOOKUP(H15662,IMPORTRANGE(""https://docs.google.com/spreadsheets/d/14Bd19lYaqBhU8_DElYkX7l4wRkHqqCUFNJY4AfY3kHU/edit?usp=sharing  #gid=0"",""фіз особи new!relations_name""),6,FALSE)
,
(IF
(
G15662=""юридична особа""
,
VLOO"&amp;"KUP(H15662,IMPORTRANGE(""https://docs.google.com/spreadsheets/d/14Bd19lYaqBhU8_DElYkX7l4wRkHqqCUFNJY4AfY3kHU/edit?usp=sharing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61" s="7" t="s">
        <v>23</v>
      </c>
    </row>
    <row r="15662" spans="1:10" ht="13.2">
      <c r="A15662" s="7">
        <v>15661</v>
      </c>
      <c r="B15662" s="7">
        <v>1</v>
      </c>
      <c r="C15662" s="7" t="s">
        <v>10</v>
      </c>
      <c r="D15662" s="7">
        <v>19703</v>
      </c>
      <c r="E15662" s="7" t="s">
        <v>23</v>
      </c>
      <c r="F15662" s="8" t="str">
        <f ca="1">IFERROR(__xludf.DUMMYFUNCTION("IF
(
C15663=""фізична особа""
,
VLOOKUP(D15663,IMPORTRANGE(""https://docs.google.com/spreadsheets/d/14Bd19lYaqBhU8_DElYkX7l4wRkHqqCUFNJY4AfY3kHU/edit?usp=sharing  #gid=0"",""фіз особи new!relations_name""),6,FALSE)
,
(IF
(
C15663=""юридична особа""
,
VLOO"&amp;"KUP(D15663,IMPORTRANGE(""https://docs.google.com/spreadsheets/d/14Bd19lYaqBhU8_DElYkX7l4wRkHqqCUFNJY4AfY3kHU/edit?usp=sharing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62" s="7" t="s">
        <v>10</v>
      </c>
      <c r="H15662" s="7">
        <v>19709</v>
      </c>
      <c r="I15662" s="8" t="str">
        <f ca="1">IFERROR(__xludf.DUMMYFUNCTION("IF
(
G15663=""фізична особа""
,
VLOOKUP(H15663,IMPORTRANGE(""https://docs.google.com/spreadsheets/d/14Bd19lYaqBhU8_DElYkX7l4wRkHqqCUFNJY4AfY3kHU/edit?usp=sharing  #gid=0"",""фіз особи new!relations_name""),6,FALSE)
,
(IF
(
G15663=""юридична особа""
,
VLOO"&amp;"KUP(H15663,IMPORTRANGE(""https://docs.google.com/spreadsheets/d/14Bd19lYaqBhU8_DElYkX7l4wRkHqqCUFNJY4AfY3kHU/edit?usp=sharing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62" s="7" t="s">
        <v>23</v>
      </c>
    </row>
    <row r="15663" spans="1:10" ht="13.2">
      <c r="A15663" s="7">
        <v>15662</v>
      </c>
      <c r="B15663" s="7">
        <v>1</v>
      </c>
      <c r="C15663" s="7" t="s">
        <v>10</v>
      </c>
      <c r="D15663" s="7">
        <v>19703</v>
      </c>
      <c r="E15663" s="7" t="s">
        <v>23</v>
      </c>
      <c r="F15663" s="8" t="str">
        <f ca="1">IFERROR(__xludf.DUMMYFUNCTION("IF
(
C15664=""фізична особа""
,
VLOOKUP(D15664,IMPORTRANGE(""https://docs.google.com/spreadsheets/d/14Bd19lYaqBhU8_DElYkX7l4wRkHqqCUFNJY4AfY3kHU/edit?usp=sharing  #gid=0"",""фіз особи new!relations_name""),6,FALSE)
,
(IF
(
C15664=""юридична особа""
,
VLOO"&amp;"KUP(D15664,IMPORTRANGE(""https://docs.google.com/spreadsheets/d/14Bd19lYaqBhU8_DElYkX7l4wRkHqqCUFNJY4AfY3kHU/edit?usp=sharing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G15663" s="7" t="s">
        <v>10</v>
      </c>
      <c r="H15663" s="7">
        <v>19710</v>
      </c>
      <c r="I15663" s="8" t="str">
        <f ca="1">IFERROR(__xludf.DUMMYFUNCTION("IF
(
G15664=""фізична особа""
,
VLOOKUP(H15664,IMPORTRANGE(""https://docs.google.com/spreadsheets/d/14Bd19lYaqBhU8_DElYkX7l4wRkHqqCUFNJY4AfY3kHU/edit?usp=sharing  #gid=0"",""фіз особи new!relations_name""),6,FALSE)
,
(IF
(
G15664=""юридична особа""
,
VLOO"&amp;"KUP(H15664,IMPORTRANGE(""https://docs.google.com/spreadsheets/d/14Bd19lYaqBhU8_DElYkX7l4wRkHqqCUFNJY4AfY3kHU/edit?usp=sharing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63" s="7" t="s">
        <v>23</v>
      </c>
    </row>
    <row r="15664" spans="1:10" ht="13.2">
      <c r="A15664" s="7">
        <v>15663</v>
      </c>
      <c r="B15664" s="7">
        <v>1</v>
      </c>
      <c r="C15664" s="7" t="s">
        <v>10</v>
      </c>
      <c r="D15664" s="7">
        <v>19704</v>
      </c>
      <c r="E15664" s="7" t="s">
        <v>23</v>
      </c>
      <c r="F15664" s="8" t="str">
        <f ca="1">IFERROR(__xludf.DUMMYFUNCTION("IF
(
C15665=""фізична особа""
,
VLOOKUP(D15665,IMPORTRANGE(""https://docs.google.com/spreadsheets/d/14Bd19lYaqBhU8_DElYkX7l4wRkHqqCUFNJY4AfY3kHU/edit?usp=sharing  #gid=0"",""фіз особи new!relations_name""),6,FALSE)
,
(IF
(
C15665=""юридична особа""
,
VLOO"&amp;"KUP(D15665,IMPORTRANGE(""https://docs.google.com/spreadsheets/d/14Bd19lYaqBhU8_DElYkX7l4wRkHqqCUFNJY4AfY3kHU/edit?usp=sharing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4" s="7" t="s">
        <v>10</v>
      </c>
      <c r="H15664" s="7">
        <v>19698</v>
      </c>
      <c r="I15664" s="8" t="str">
        <f ca="1">IFERROR(__xludf.DUMMYFUNCTION("IF
(
G15665=""фізична особа""
,
VLOOKUP(H15665,IMPORTRANGE(""https://docs.google.com/spreadsheets/d/14Bd19lYaqBhU8_DElYkX7l4wRkHqqCUFNJY4AfY3kHU/edit?usp=sharing  #gid=0"",""фіз особи new!relations_name""),6,FALSE)
,
(IF
(
G15665=""юридична особа""
,
VLOO"&amp;"KUP(H15665,IMPORTRANGE(""https://docs.google.com/spreadsheets/d/14Bd19lYaqBhU8_DElYkX7l4wRkHqqCUFNJY4AfY3kHU/edit?usp=sharing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64" s="7" t="s">
        <v>23</v>
      </c>
    </row>
    <row r="15665" spans="1:10" ht="13.2">
      <c r="A15665" s="7">
        <v>15664</v>
      </c>
      <c r="B15665" s="7">
        <v>1</v>
      </c>
      <c r="C15665" s="7" t="s">
        <v>10</v>
      </c>
      <c r="D15665" s="7">
        <v>19704</v>
      </c>
      <c r="E15665" s="7" t="s">
        <v>23</v>
      </c>
      <c r="F15665" s="8" t="str">
        <f ca="1">IFERROR(__xludf.DUMMYFUNCTION("IF
(
C15666=""фізична особа""
,
VLOOKUP(D15666,IMPORTRANGE(""https://docs.google.com/spreadsheets/d/14Bd19lYaqBhU8_DElYkX7l4wRkHqqCUFNJY4AfY3kHU/edit?usp=sharing  #gid=0"",""фіз особи new!relations_name""),6,FALSE)
,
(IF
(
C15666=""юридична особа""
,
VLOO"&amp;"KUP(D15666,IMPORTRANGE(""https://docs.google.com/spreadsheets/d/14Bd19lYaqBhU8_DElYkX7l4wRkHqqCUFNJY4AfY3kHU/edit?usp=sharing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5" s="7" t="s">
        <v>10</v>
      </c>
      <c r="H15665" s="7">
        <v>19699</v>
      </c>
      <c r="I15665" s="8" t="str">
        <f ca="1">IFERROR(__xludf.DUMMYFUNCTION("IF
(
G15666=""фізична особа""
,
VLOOKUP(H15666,IMPORTRANGE(""https://docs.google.com/spreadsheets/d/14Bd19lYaqBhU8_DElYkX7l4wRkHqqCUFNJY4AfY3kHU/edit?usp=sharing  #gid=0"",""фіз особи new!relations_name""),6,FALSE)
,
(IF
(
G15666=""юридична особа""
,
VLOO"&amp;"KUP(H15666,IMPORTRANGE(""https://docs.google.com/spreadsheets/d/14Bd19lYaqBhU8_DElYkX7l4wRkHqqCUFNJY4AfY3kHU/edit?usp=sharing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65" s="7" t="s">
        <v>23</v>
      </c>
    </row>
    <row r="15666" spans="1:10" ht="13.2">
      <c r="A15666" s="7">
        <v>15665</v>
      </c>
      <c r="B15666" s="7">
        <v>1</v>
      </c>
      <c r="C15666" s="7" t="s">
        <v>10</v>
      </c>
      <c r="D15666" s="7">
        <v>19704</v>
      </c>
      <c r="E15666" s="7" t="s">
        <v>23</v>
      </c>
      <c r="F15666" s="8" t="str">
        <f ca="1">IFERROR(__xludf.DUMMYFUNCTION("IF
(
C15667=""фізична особа""
,
VLOOKUP(D15667,IMPORTRANGE(""https://docs.google.com/spreadsheets/d/14Bd19lYaqBhU8_DElYkX7l4wRkHqqCUFNJY4AfY3kHU/edit?usp=sharing  #gid=0"",""фіз особи new!relations_name""),6,FALSE)
,
(IF
(
C15667=""юридична особа""
,
VLOO"&amp;"KUP(D15667,IMPORTRANGE(""https://docs.google.com/spreadsheets/d/14Bd19lYaqBhU8_DElYkX7l4wRkHqqCUFNJY4AfY3kHU/edit?usp=sharing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6" s="7" t="s">
        <v>10</v>
      </c>
      <c r="H15666" s="7">
        <v>19700</v>
      </c>
      <c r="I15666" s="8" t="str">
        <f ca="1">IFERROR(__xludf.DUMMYFUNCTION("IF
(
G15667=""фізична особа""
,
VLOOKUP(H15667,IMPORTRANGE(""https://docs.google.com/spreadsheets/d/14Bd19lYaqBhU8_DElYkX7l4wRkHqqCUFNJY4AfY3kHU/edit?usp=sharing  #gid=0"",""фіз особи new!relations_name""),6,FALSE)
,
(IF
(
G15667=""юридична особа""
,
VLOO"&amp;"KUP(H15667,IMPORTRANGE(""https://docs.google.com/spreadsheets/d/14Bd19lYaqBhU8_DElYkX7l4wRkHqqCUFNJY4AfY3kHU/edit?usp=sharing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66" s="7" t="s">
        <v>23</v>
      </c>
    </row>
    <row r="15667" spans="1:10" ht="13.2">
      <c r="A15667" s="7">
        <v>15666</v>
      </c>
      <c r="B15667" s="7">
        <v>1</v>
      </c>
      <c r="C15667" s="7" t="s">
        <v>10</v>
      </c>
      <c r="D15667" s="7">
        <v>19704</v>
      </c>
      <c r="E15667" s="7" t="s">
        <v>23</v>
      </c>
      <c r="F15667" s="8" t="str">
        <f ca="1">IFERROR(__xludf.DUMMYFUNCTION("IF
(
C15668=""фізична особа""
,
VLOOKUP(D15668,IMPORTRANGE(""https://docs.google.com/spreadsheets/d/14Bd19lYaqBhU8_DElYkX7l4wRkHqqCUFNJY4AfY3kHU/edit?usp=sharing  #gid=0"",""фіз особи new!relations_name""),6,FALSE)
,
(IF
(
C15668=""юридична особа""
,
VLOO"&amp;"KUP(D15668,IMPORTRANGE(""https://docs.google.com/spreadsheets/d/14Bd19lYaqBhU8_DElYkX7l4wRkHqqCUFNJY4AfY3kHU/edit?usp=sharing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7" s="7" t="s">
        <v>10</v>
      </c>
      <c r="H15667" s="7">
        <v>19701</v>
      </c>
      <c r="I15667" s="8" t="str">
        <f ca="1">IFERROR(__xludf.DUMMYFUNCTION("IF
(
G15668=""фізична особа""
,
VLOOKUP(H15668,IMPORTRANGE(""https://docs.google.com/spreadsheets/d/14Bd19lYaqBhU8_DElYkX7l4wRkHqqCUFNJY4AfY3kHU/edit?usp=sharing  #gid=0"",""фіз особи new!relations_name""),6,FALSE)
,
(IF
(
G15668=""юридична особа""
,
VLOO"&amp;"KUP(H15668,IMPORTRANGE(""https://docs.google.com/spreadsheets/d/14Bd19lYaqBhU8_DElYkX7l4wRkHqqCUFNJY4AfY3kHU/edit?usp=sharing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67" s="7" t="s">
        <v>23</v>
      </c>
    </row>
    <row r="15668" spans="1:10" ht="13.2">
      <c r="A15668" s="7">
        <v>15667</v>
      </c>
      <c r="B15668" s="7">
        <v>1</v>
      </c>
      <c r="C15668" s="7" t="s">
        <v>10</v>
      </c>
      <c r="D15668" s="7">
        <v>19704</v>
      </c>
      <c r="E15668" s="7" t="s">
        <v>23</v>
      </c>
      <c r="F15668" s="8" t="str">
        <f ca="1">IFERROR(__xludf.DUMMYFUNCTION("IF
(
C15669=""фізична особа""
,
VLOOKUP(D15669,IMPORTRANGE(""https://docs.google.com/spreadsheets/d/14Bd19lYaqBhU8_DElYkX7l4wRkHqqCUFNJY4AfY3kHU/edit?usp=sharing  #gid=0"",""фіз особи new!relations_name""),6,FALSE)
,
(IF
(
C15669=""юридична особа""
,
VLOO"&amp;"KUP(D15669,IMPORTRANGE(""https://docs.google.com/spreadsheets/d/14Bd19lYaqBhU8_DElYkX7l4wRkHqqCUFNJY4AfY3kHU/edit?usp=sharing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8" s="7" t="s">
        <v>10</v>
      </c>
      <c r="H15668" s="7">
        <v>19702</v>
      </c>
      <c r="I15668" s="8" t="str">
        <f ca="1">IFERROR(__xludf.DUMMYFUNCTION("IF
(
G15669=""фізична особа""
,
VLOOKUP(H15669,IMPORTRANGE(""https://docs.google.com/spreadsheets/d/14Bd19lYaqBhU8_DElYkX7l4wRkHqqCUFNJY4AfY3kHU/edit?usp=sharing  #gid=0"",""фіз особи new!relations_name""),6,FALSE)
,
(IF
(
G15669=""юридична особа""
,
VLOO"&amp;"KUP(H15669,IMPORTRANGE(""https://docs.google.com/spreadsheets/d/14Bd19lYaqBhU8_DElYkX7l4wRkHqqCUFNJY4AfY3kHU/edit?usp=sharing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68" s="7" t="s">
        <v>23</v>
      </c>
    </row>
    <row r="15669" spans="1:10" ht="13.2">
      <c r="A15669" s="7">
        <v>15668</v>
      </c>
      <c r="B15669" s="7">
        <v>1</v>
      </c>
      <c r="C15669" s="7" t="s">
        <v>10</v>
      </c>
      <c r="D15669" s="7">
        <v>19704</v>
      </c>
      <c r="E15669" s="7" t="s">
        <v>23</v>
      </c>
      <c r="F15669" s="8" t="str">
        <f ca="1">IFERROR(__xludf.DUMMYFUNCTION("IF
(
C15670=""фізична особа""
,
VLOOKUP(D15670,IMPORTRANGE(""https://docs.google.com/spreadsheets/d/14Bd19lYaqBhU8_DElYkX7l4wRkHqqCUFNJY4AfY3kHU/edit?usp=sharing  #gid=0"",""фіз особи new!relations_name""),6,FALSE)
,
(IF
(
C15670=""юридична особа""
,
VLOO"&amp;"KUP(D15670,IMPORTRANGE(""https://docs.google.com/spreadsheets/d/14Bd19lYaqBhU8_DElYkX7l4wRkHqqCUFNJY4AfY3kHU/edit?usp=sharing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69" s="7" t="s">
        <v>10</v>
      </c>
      <c r="H15669" s="7">
        <v>19703</v>
      </c>
      <c r="I15669" s="8" t="str">
        <f ca="1">IFERROR(__xludf.DUMMYFUNCTION("IF
(
G15670=""фізична особа""
,
VLOOKUP(H15670,IMPORTRANGE(""https://docs.google.com/spreadsheets/d/14Bd19lYaqBhU8_DElYkX7l4wRkHqqCUFNJY4AfY3kHU/edit?usp=sharing  #gid=0"",""фіз особи new!relations_name""),6,FALSE)
,
(IF
(
G15670=""юридична особа""
,
VLOO"&amp;"KUP(H15670,IMPORTRANGE(""https://docs.google.com/spreadsheets/d/14Bd19lYaqBhU8_DElYkX7l4wRkHqqCUFNJY4AfY3kHU/edit?usp=sharing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69" s="7" t="s">
        <v>23</v>
      </c>
    </row>
    <row r="15670" spans="1:10" ht="13.2">
      <c r="A15670" s="7">
        <v>15669</v>
      </c>
      <c r="B15670" s="7">
        <v>1</v>
      </c>
      <c r="C15670" s="7" t="s">
        <v>10</v>
      </c>
      <c r="D15670" s="7">
        <v>19704</v>
      </c>
      <c r="E15670" s="7" t="s">
        <v>23</v>
      </c>
      <c r="F15670" s="8" t="str">
        <f ca="1">IFERROR(__xludf.DUMMYFUNCTION("IF
(
C15671=""фізична особа""
,
VLOOKUP(D15671,IMPORTRANGE(""https://docs.google.com/spreadsheets/d/14Bd19lYaqBhU8_DElYkX7l4wRkHqqCUFNJY4AfY3kHU/edit?usp=sharing  #gid=0"",""фіз особи new!relations_name""),6,FALSE)
,
(IF
(
C15671=""юридична особа""
,
VLOO"&amp;"KUP(D15671,IMPORTRANGE(""https://docs.google.com/spreadsheets/d/14Bd19lYaqBhU8_DElYkX7l4wRkHqqCUFNJY4AfY3kHU/edit?usp=sharing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0" s="7" t="s">
        <v>10</v>
      </c>
      <c r="H15670" s="7">
        <v>19705</v>
      </c>
      <c r="I15670" s="8" t="str">
        <f ca="1">IFERROR(__xludf.DUMMYFUNCTION("IF
(
G15671=""фізична особа""
,
VLOOKUP(H15671,IMPORTRANGE(""https://docs.google.com/spreadsheets/d/14Bd19lYaqBhU8_DElYkX7l4wRkHqqCUFNJY4AfY3kHU/edit?usp=sharing  #gid=0"",""фіз особи new!relations_name""),6,FALSE)
,
(IF
(
G15671=""юридична особа""
,
VLOO"&amp;"KUP(H15671,IMPORTRANGE(""https://docs.google.com/spreadsheets/d/14Bd19lYaqBhU8_DElYkX7l4wRkHqqCUFNJY4AfY3kHU/edit?usp=sharing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70" s="7" t="s">
        <v>23</v>
      </c>
    </row>
    <row r="15671" spans="1:10" ht="13.2">
      <c r="A15671" s="7">
        <v>15670</v>
      </c>
      <c r="B15671" s="7">
        <v>1</v>
      </c>
      <c r="C15671" s="7" t="s">
        <v>10</v>
      </c>
      <c r="D15671" s="7">
        <v>19704</v>
      </c>
      <c r="E15671" s="7" t="s">
        <v>23</v>
      </c>
      <c r="F15671" s="8" t="str">
        <f ca="1">IFERROR(__xludf.DUMMYFUNCTION("IF
(
C15672=""фізична особа""
,
VLOOKUP(D15672,IMPORTRANGE(""https://docs.google.com/spreadsheets/d/14Bd19lYaqBhU8_DElYkX7l4wRkHqqCUFNJY4AfY3kHU/edit?usp=sharing  #gid=0"",""фіз особи new!relations_name""),6,FALSE)
,
(IF
(
C15672=""юридична особа""
,
VLOO"&amp;"KUP(D15672,IMPORTRANGE(""https://docs.google.com/spreadsheets/d/14Bd19lYaqBhU8_DElYkX7l4wRkHqqCUFNJY4AfY3kHU/edit?usp=sharing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1" s="7" t="s">
        <v>10</v>
      </c>
      <c r="H15671" s="7">
        <v>19706</v>
      </c>
      <c r="I15671" s="8" t="str">
        <f ca="1">IFERROR(__xludf.DUMMYFUNCTION("IF
(
G15672=""фізична особа""
,
VLOOKUP(H15672,IMPORTRANGE(""https://docs.google.com/spreadsheets/d/14Bd19lYaqBhU8_DElYkX7l4wRkHqqCUFNJY4AfY3kHU/edit?usp=sharing  #gid=0"",""фіз особи new!relations_name""),6,FALSE)
,
(IF
(
G15672=""юридична особа""
,
VLOO"&amp;"KUP(H15672,IMPORTRANGE(""https://docs.google.com/spreadsheets/d/14Bd19lYaqBhU8_DElYkX7l4wRkHqqCUFNJY4AfY3kHU/edit?usp=sharing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71" s="7" t="s">
        <v>23</v>
      </c>
    </row>
    <row r="15672" spans="1:10" ht="13.2">
      <c r="A15672" s="7">
        <v>15671</v>
      </c>
      <c r="B15672" s="7">
        <v>1</v>
      </c>
      <c r="C15672" s="7" t="s">
        <v>10</v>
      </c>
      <c r="D15672" s="7">
        <v>19704</v>
      </c>
      <c r="E15672" s="7" t="s">
        <v>23</v>
      </c>
      <c r="F15672" s="8" t="str">
        <f ca="1">IFERROR(__xludf.DUMMYFUNCTION("IF
(
C15673=""фізична особа""
,
VLOOKUP(D15673,IMPORTRANGE(""https://docs.google.com/spreadsheets/d/14Bd19lYaqBhU8_DElYkX7l4wRkHqqCUFNJY4AfY3kHU/edit?usp=sharing  #gid=0"",""фіз особи new!relations_name""),6,FALSE)
,
(IF
(
C15673=""юридична особа""
,
VLOO"&amp;"KUP(D15673,IMPORTRANGE(""https://docs.google.com/spreadsheets/d/14Bd19lYaqBhU8_DElYkX7l4wRkHqqCUFNJY4AfY3kHU/edit?usp=sharing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2" s="7" t="s">
        <v>10</v>
      </c>
      <c r="H15672" s="7">
        <v>19707</v>
      </c>
      <c r="I15672" s="8" t="str">
        <f ca="1">IFERROR(__xludf.DUMMYFUNCTION("IF
(
G15673=""фізична особа""
,
VLOOKUP(H15673,IMPORTRANGE(""https://docs.google.com/spreadsheets/d/14Bd19lYaqBhU8_DElYkX7l4wRkHqqCUFNJY4AfY3kHU/edit?usp=sharing  #gid=0"",""фіз особи new!relations_name""),6,FALSE)
,
(IF
(
G15673=""юридична особа""
,
VLOO"&amp;"KUP(H15673,IMPORTRANGE(""https://docs.google.com/spreadsheets/d/14Bd19lYaqBhU8_DElYkX7l4wRkHqqCUFNJY4AfY3kHU/edit?usp=sharing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72" s="7" t="s">
        <v>23</v>
      </c>
    </row>
    <row r="15673" spans="1:10" ht="13.2">
      <c r="A15673" s="7">
        <v>15672</v>
      </c>
      <c r="B15673" s="7">
        <v>1</v>
      </c>
      <c r="C15673" s="7" t="s">
        <v>10</v>
      </c>
      <c r="D15673" s="7">
        <v>19704</v>
      </c>
      <c r="E15673" s="7" t="s">
        <v>23</v>
      </c>
      <c r="F15673" s="8" t="str">
        <f ca="1">IFERROR(__xludf.DUMMYFUNCTION("IF
(
C15674=""фізична особа""
,
VLOOKUP(D15674,IMPORTRANGE(""https://docs.google.com/spreadsheets/d/14Bd19lYaqBhU8_DElYkX7l4wRkHqqCUFNJY4AfY3kHU/edit?usp=sharing  #gid=0"",""фіз особи new!relations_name""),6,FALSE)
,
(IF
(
C15674=""юридична особа""
,
VLOO"&amp;"KUP(D15674,IMPORTRANGE(""https://docs.google.com/spreadsheets/d/14Bd19lYaqBhU8_DElYkX7l4wRkHqqCUFNJY4AfY3kHU/edit?usp=sharing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3" s="7" t="s">
        <v>10</v>
      </c>
      <c r="H15673" s="7">
        <v>19708</v>
      </c>
      <c r="I15673" s="8" t="str">
        <f ca="1">IFERROR(__xludf.DUMMYFUNCTION("IF
(
G15674=""фізична особа""
,
VLOOKUP(H15674,IMPORTRANGE(""https://docs.google.com/spreadsheets/d/14Bd19lYaqBhU8_DElYkX7l4wRkHqqCUFNJY4AfY3kHU/edit?usp=sharing  #gid=0"",""фіз особи new!relations_name""),6,FALSE)
,
(IF
(
G15674=""юридична особа""
,
VLOO"&amp;"KUP(H15674,IMPORTRANGE(""https://docs.google.com/spreadsheets/d/14Bd19lYaqBhU8_DElYkX7l4wRkHqqCUFNJY4AfY3kHU/edit?usp=sharing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73" s="7" t="s">
        <v>23</v>
      </c>
    </row>
    <row r="15674" spans="1:10" ht="13.2">
      <c r="A15674" s="7">
        <v>15673</v>
      </c>
      <c r="B15674" s="7">
        <v>1</v>
      </c>
      <c r="C15674" s="7" t="s">
        <v>10</v>
      </c>
      <c r="D15674" s="7">
        <v>19704</v>
      </c>
      <c r="E15674" s="7" t="s">
        <v>23</v>
      </c>
      <c r="F15674" s="8" t="str">
        <f ca="1">IFERROR(__xludf.DUMMYFUNCTION("IF
(
C15675=""фізична особа""
,
VLOOKUP(D15675,IMPORTRANGE(""https://docs.google.com/spreadsheets/d/14Bd19lYaqBhU8_DElYkX7l4wRkHqqCUFNJY4AfY3kHU/edit?usp=sharing  #gid=0"",""фіз особи new!relations_name""),6,FALSE)
,
(IF
(
C15675=""юридична особа""
,
VLOO"&amp;"KUP(D15675,IMPORTRANGE(""https://docs.google.com/spreadsheets/d/14Bd19lYaqBhU8_DElYkX7l4wRkHqqCUFNJY4AfY3kHU/edit?usp=sharing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4" s="7" t="s">
        <v>10</v>
      </c>
      <c r="H15674" s="7">
        <v>19709</v>
      </c>
      <c r="I15674" s="8" t="str">
        <f ca="1">IFERROR(__xludf.DUMMYFUNCTION("IF
(
G15675=""фізична особа""
,
VLOOKUP(H15675,IMPORTRANGE(""https://docs.google.com/spreadsheets/d/14Bd19lYaqBhU8_DElYkX7l4wRkHqqCUFNJY4AfY3kHU/edit?usp=sharing  #gid=0"",""фіз особи new!relations_name""),6,FALSE)
,
(IF
(
G15675=""юридична особа""
,
VLOO"&amp;"KUP(H15675,IMPORTRANGE(""https://docs.google.com/spreadsheets/d/14Bd19lYaqBhU8_DElYkX7l4wRkHqqCUFNJY4AfY3kHU/edit?usp=sharing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74" s="7" t="s">
        <v>23</v>
      </c>
    </row>
    <row r="15675" spans="1:10" ht="13.2">
      <c r="A15675" s="7">
        <v>15674</v>
      </c>
      <c r="B15675" s="7">
        <v>1</v>
      </c>
      <c r="C15675" s="7" t="s">
        <v>10</v>
      </c>
      <c r="D15675" s="7">
        <v>19704</v>
      </c>
      <c r="E15675" s="7" t="s">
        <v>23</v>
      </c>
      <c r="F15675" s="8" t="str">
        <f ca="1">IFERROR(__xludf.DUMMYFUNCTION("IF
(
C15676=""фізична особа""
,
VLOOKUP(D15676,IMPORTRANGE(""https://docs.google.com/spreadsheets/d/14Bd19lYaqBhU8_DElYkX7l4wRkHqqCUFNJY4AfY3kHU/edit?usp=sharing  #gid=0"",""фіз особи new!relations_name""),6,FALSE)
,
(IF
(
C15676=""юридична особа""
,
VLOO"&amp;"KUP(D15676,IMPORTRANGE(""https://docs.google.com/spreadsheets/d/14Bd19lYaqBhU8_DElYkX7l4wRkHqqCUFNJY4AfY3kHU/edit?usp=sharing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G15675" s="7" t="s">
        <v>10</v>
      </c>
      <c r="H15675" s="7">
        <v>19710</v>
      </c>
      <c r="I15675" s="8" t="str">
        <f ca="1">IFERROR(__xludf.DUMMYFUNCTION("IF
(
G15676=""фізична особа""
,
VLOOKUP(H15676,IMPORTRANGE(""https://docs.google.com/spreadsheets/d/14Bd19lYaqBhU8_DElYkX7l4wRkHqqCUFNJY4AfY3kHU/edit?usp=sharing  #gid=0"",""фіз особи new!relations_name""),6,FALSE)
,
(IF
(
G15676=""юридична особа""
,
VLOO"&amp;"KUP(H15676,IMPORTRANGE(""https://docs.google.com/spreadsheets/d/14Bd19lYaqBhU8_DElYkX7l4wRkHqqCUFNJY4AfY3kHU/edit?usp=sharing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75" s="7" t="s">
        <v>23</v>
      </c>
    </row>
    <row r="15676" spans="1:10" ht="13.2">
      <c r="A15676" s="7">
        <v>15675</v>
      </c>
      <c r="B15676" s="7">
        <v>1</v>
      </c>
      <c r="C15676" s="7" t="s">
        <v>10</v>
      </c>
      <c r="D15676" s="7">
        <v>19705</v>
      </c>
      <c r="E15676" s="7" t="s">
        <v>23</v>
      </c>
      <c r="F15676" s="8" t="str">
        <f ca="1">IFERROR(__xludf.DUMMYFUNCTION("IF
(
C15677=""фізична особа""
,
VLOOKUP(D15677,IMPORTRANGE(""https://docs.google.com/spreadsheets/d/14Bd19lYaqBhU8_DElYkX7l4wRkHqqCUFNJY4AfY3kHU/edit?usp=sharing  #gid=0"",""фіз особи new!relations_name""),6,FALSE)
,
(IF
(
C15677=""юридична особа""
,
VLOO"&amp;"KUP(D15677,IMPORTRANGE(""https://docs.google.com/spreadsheets/d/14Bd19lYaqBhU8_DElYkX7l4wRkHqqCUFNJY4AfY3kHU/edit?usp=sharing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76" s="7" t="s">
        <v>10</v>
      </c>
      <c r="H15676" s="7">
        <v>19698</v>
      </c>
      <c r="I15676" s="8" t="str">
        <f ca="1">IFERROR(__xludf.DUMMYFUNCTION("IF
(
G15677=""фізична особа""
,
VLOOKUP(H15677,IMPORTRANGE(""https://docs.google.com/spreadsheets/d/14Bd19lYaqBhU8_DElYkX7l4wRkHqqCUFNJY4AfY3kHU/edit?usp=sharing  #gid=0"",""фіз особи new!relations_name""),6,FALSE)
,
(IF
(
G15677=""юридична особа""
,
VLOO"&amp;"KUP(H15677,IMPORTRANGE(""https://docs.google.com/spreadsheets/d/14Bd19lYaqBhU8_DElYkX7l4wRkHqqCUFNJY4AfY3kHU/edit?usp=sharing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76" s="7" t="s">
        <v>23</v>
      </c>
    </row>
    <row r="15677" spans="1:10" ht="13.2">
      <c r="A15677" s="7">
        <v>15676</v>
      </c>
      <c r="B15677" s="7">
        <v>1</v>
      </c>
      <c r="C15677" s="7" t="s">
        <v>10</v>
      </c>
      <c r="D15677" s="7">
        <v>19705</v>
      </c>
      <c r="E15677" s="7" t="s">
        <v>23</v>
      </c>
      <c r="F15677" s="8" t="str">
        <f ca="1">IFERROR(__xludf.DUMMYFUNCTION("IF
(
C15678=""фізична особа""
,
VLOOKUP(D15678,IMPORTRANGE(""https://docs.google.com/spreadsheets/d/14Bd19lYaqBhU8_DElYkX7l4wRkHqqCUFNJY4AfY3kHU/edit?usp=sharing  #gid=0"",""фіз особи new!relations_name""),6,FALSE)
,
(IF
(
C15678=""юридична особа""
,
VLOO"&amp;"KUP(D15678,IMPORTRANGE(""https://docs.google.com/spreadsheets/d/14Bd19lYaqBhU8_DElYkX7l4wRkHqqCUFNJY4AfY3kHU/edit?usp=sharing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77" s="7" t="s">
        <v>10</v>
      </c>
      <c r="H15677" s="7">
        <v>19699</v>
      </c>
      <c r="I15677" s="8" t="str">
        <f ca="1">IFERROR(__xludf.DUMMYFUNCTION("IF
(
G15678=""фізична особа""
,
VLOOKUP(H15678,IMPORTRANGE(""https://docs.google.com/spreadsheets/d/14Bd19lYaqBhU8_DElYkX7l4wRkHqqCUFNJY4AfY3kHU/edit?usp=sharing  #gid=0"",""фіз особи new!relations_name""),6,FALSE)
,
(IF
(
G15678=""юридична особа""
,
VLOO"&amp;"KUP(H15678,IMPORTRANGE(""https://docs.google.com/spreadsheets/d/14Bd19lYaqBhU8_DElYkX7l4wRkHqqCUFNJY4AfY3kHU/edit?usp=sharing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77" s="7" t="s">
        <v>23</v>
      </c>
    </row>
    <row r="15678" spans="1:10" ht="13.2">
      <c r="A15678" s="7">
        <v>15677</v>
      </c>
      <c r="B15678" s="7">
        <v>1</v>
      </c>
      <c r="C15678" s="7" t="s">
        <v>10</v>
      </c>
      <c r="D15678" s="7">
        <v>19705</v>
      </c>
      <c r="E15678" s="7" t="s">
        <v>23</v>
      </c>
      <c r="F15678" s="8" t="str">
        <f ca="1">IFERROR(__xludf.DUMMYFUNCTION("IF
(
C15679=""фізична особа""
,
VLOOKUP(D15679,IMPORTRANGE(""https://docs.google.com/spreadsheets/d/14Bd19lYaqBhU8_DElYkX7l4wRkHqqCUFNJY4AfY3kHU/edit?usp=sharing  #gid=0"",""фіз особи new!relations_name""),6,FALSE)
,
(IF
(
C15679=""юридична особа""
,
VLOO"&amp;"KUP(D15679,IMPORTRANGE(""https://docs.google.com/spreadsheets/d/14Bd19lYaqBhU8_DElYkX7l4wRkHqqCUFNJY4AfY3kHU/edit?usp=sharing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78" s="7" t="s">
        <v>10</v>
      </c>
      <c r="H15678" s="7">
        <v>19700</v>
      </c>
      <c r="I15678" s="8" t="str">
        <f ca="1">IFERROR(__xludf.DUMMYFUNCTION("IF
(
G15679=""фізична особа""
,
VLOOKUP(H15679,IMPORTRANGE(""https://docs.google.com/spreadsheets/d/14Bd19lYaqBhU8_DElYkX7l4wRkHqqCUFNJY4AfY3kHU/edit?usp=sharing  #gid=0"",""фіз особи new!relations_name""),6,FALSE)
,
(IF
(
G15679=""юридична особа""
,
VLOO"&amp;"KUP(H15679,IMPORTRANGE(""https://docs.google.com/spreadsheets/d/14Bd19lYaqBhU8_DElYkX7l4wRkHqqCUFNJY4AfY3kHU/edit?usp=sharing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78" s="7" t="s">
        <v>23</v>
      </c>
    </row>
    <row r="15679" spans="1:10" ht="13.2">
      <c r="A15679" s="7">
        <v>15678</v>
      </c>
      <c r="B15679" s="7">
        <v>1</v>
      </c>
      <c r="C15679" s="7" t="s">
        <v>10</v>
      </c>
      <c r="D15679" s="7">
        <v>19705</v>
      </c>
      <c r="E15679" s="7" t="s">
        <v>23</v>
      </c>
      <c r="F15679" s="8" t="str">
        <f ca="1">IFERROR(__xludf.DUMMYFUNCTION("IF
(
C15680=""фізична особа""
,
VLOOKUP(D15680,IMPORTRANGE(""https://docs.google.com/spreadsheets/d/14Bd19lYaqBhU8_DElYkX7l4wRkHqqCUFNJY4AfY3kHU/edit?usp=sharing  #gid=0"",""фіз особи new!relations_name""),6,FALSE)
,
(IF
(
C15680=""юридична особа""
,
VLOO"&amp;"KUP(D15680,IMPORTRANGE(""https://docs.google.com/spreadsheets/d/14Bd19lYaqBhU8_DElYkX7l4wRkHqqCUFNJY4AfY3kHU/edit?usp=sharing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79" s="7" t="s">
        <v>10</v>
      </c>
      <c r="H15679" s="7">
        <v>19701</v>
      </c>
      <c r="I15679" s="8" t="str">
        <f ca="1">IFERROR(__xludf.DUMMYFUNCTION("IF
(
G15680=""фізична особа""
,
VLOOKUP(H15680,IMPORTRANGE(""https://docs.google.com/spreadsheets/d/14Bd19lYaqBhU8_DElYkX7l4wRkHqqCUFNJY4AfY3kHU/edit?usp=sharing  #gid=0"",""фіз особи new!relations_name""),6,FALSE)
,
(IF
(
G15680=""юридична особа""
,
VLOO"&amp;"KUP(H15680,IMPORTRANGE(""https://docs.google.com/spreadsheets/d/14Bd19lYaqBhU8_DElYkX7l4wRkHqqCUFNJY4AfY3kHU/edit?usp=sharing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79" s="7" t="s">
        <v>23</v>
      </c>
    </row>
    <row r="15680" spans="1:10" ht="13.2">
      <c r="A15680" s="7">
        <v>15679</v>
      </c>
      <c r="B15680" s="7">
        <v>1</v>
      </c>
      <c r="C15680" s="7" t="s">
        <v>10</v>
      </c>
      <c r="D15680" s="7">
        <v>19705</v>
      </c>
      <c r="E15680" s="7" t="s">
        <v>23</v>
      </c>
      <c r="F15680" s="8" t="str">
        <f ca="1">IFERROR(__xludf.DUMMYFUNCTION("IF
(
C15681=""фізична особа""
,
VLOOKUP(D15681,IMPORTRANGE(""https://docs.google.com/spreadsheets/d/14Bd19lYaqBhU8_DElYkX7l4wRkHqqCUFNJY4AfY3kHU/edit?usp=sharing  #gid=0"",""фіз особи new!relations_name""),6,FALSE)
,
(IF
(
C15681=""юридична особа""
,
VLOO"&amp;"KUP(D15681,IMPORTRANGE(""https://docs.google.com/spreadsheets/d/14Bd19lYaqBhU8_DElYkX7l4wRkHqqCUFNJY4AfY3kHU/edit?usp=sharing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0" s="7" t="s">
        <v>10</v>
      </c>
      <c r="H15680" s="7">
        <v>19702</v>
      </c>
      <c r="I15680" s="8" t="str">
        <f ca="1">IFERROR(__xludf.DUMMYFUNCTION("IF
(
G15681=""фізична особа""
,
VLOOKUP(H15681,IMPORTRANGE(""https://docs.google.com/spreadsheets/d/14Bd19lYaqBhU8_DElYkX7l4wRkHqqCUFNJY4AfY3kHU/edit?usp=sharing  #gid=0"",""фіз особи new!relations_name""),6,FALSE)
,
(IF
(
G15681=""юридична особа""
,
VLOO"&amp;"KUP(H15681,IMPORTRANGE(""https://docs.google.com/spreadsheets/d/14Bd19lYaqBhU8_DElYkX7l4wRkHqqCUFNJY4AfY3kHU/edit?usp=sharing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80" s="7" t="s">
        <v>23</v>
      </c>
    </row>
    <row r="15681" spans="1:10" ht="13.2">
      <c r="A15681" s="7">
        <v>15680</v>
      </c>
      <c r="B15681" s="7">
        <v>1</v>
      </c>
      <c r="C15681" s="7" t="s">
        <v>10</v>
      </c>
      <c r="D15681" s="7">
        <v>19705</v>
      </c>
      <c r="E15681" s="7" t="s">
        <v>23</v>
      </c>
      <c r="F15681" s="8" t="str">
        <f ca="1">IFERROR(__xludf.DUMMYFUNCTION("IF
(
C15682=""фізична особа""
,
VLOOKUP(D15682,IMPORTRANGE(""https://docs.google.com/spreadsheets/d/14Bd19lYaqBhU8_DElYkX7l4wRkHqqCUFNJY4AfY3kHU/edit?usp=sharing  #gid=0"",""фіз особи new!relations_name""),6,FALSE)
,
(IF
(
C15682=""юридична особа""
,
VLOO"&amp;"KUP(D15682,IMPORTRANGE(""https://docs.google.com/spreadsheets/d/14Bd19lYaqBhU8_DElYkX7l4wRkHqqCUFNJY4AfY3kHU/edit?usp=sharing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1" s="7" t="s">
        <v>10</v>
      </c>
      <c r="H15681" s="7">
        <v>19703</v>
      </c>
      <c r="I15681" s="8" t="str">
        <f ca="1">IFERROR(__xludf.DUMMYFUNCTION("IF
(
G15682=""фізична особа""
,
VLOOKUP(H15682,IMPORTRANGE(""https://docs.google.com/spreadsheets/d/14Bd19lYaqBhU8_DElYkX7l4wRkHqqCUFNJY4AfY3kHU/edit?usp=sharing  #gid=0"",""фіз особи new!relations_name""),6,FALSE)
,
(IF
(
G15682=""юридична особа""
,
VLOO"&amp;"KUP(H15682,IMPORTRANGE(""https://docs.google.com/spreadsheets/d/14Bd19lYaqBhU8_DElYkX7l4wRkHqqCUFNJY4AfY3kHU/edit?usp=sharing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81" s="7" t="s">
        <v>23</v>
      </c>
    </row>
    <row r="15682" spans="1:10" ht="13.2">
      <c r="A15682" s="7">
        <v>15681</v>
      </c>
      <c r="B15682" s="7">
        <v>1</v>
      </c>
      <c r="C15682" s="7" t="s">
        <v>10</v>
      </c>
      <c r="D15682" s="7">
        <v>19705</v>
      </c>
      <c r="E15682" s="7" t="s">
        <v>23</v>
      </c>
      <c r="F15682" s="8" t="str">
        <f ca="1">IFERROR(__xludf.DUMMYFUNCTION("IF
(
C15683=""фізична особа""
,
VLOOKUP(D15683,IMPORTRANGE(""https://docs.google.com/spreadsheets/d/14Bd19lYaqBhU8_DElYkX7l4wRkHqqCUFNJY4AfY3kHU/edit?usp=sharing  #gid=0"",""фіз особи new!relations_name""),6,FALSE)
,
(IF
(
C15683=""юридична особа""
,
VLOO"&amp;"KUP(D15683,IMPORTRANGE(""https://docs.google.com/spreadsheets/d/14Bd19lYaqBhU8_DElYkX7l4wRkHqqCUFNJY4AfY3kHU/edit?usp=sharing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2" s="7" t="s">
        <v>10</v>
      </c>
      <c r="H15682" s="7">
        <v>19704</v>
      </c>
      <c r="I15682" s="8" t="str">
        <f ca="1">IFERROR(__xludf.DUMMYFUNCTION("IF
(
G15683=""фізична особа""
,
VLOOKUP(H15683,IMPORTRANGE(""https://docs.google.com/spreadsheets/d/14Bd19lYaqBhU8_DElYkX7l4wRkHqqCUFNJY4AfY3kHU/edit?usp=sharing  #gid=0"",""фіз особи new!relations_name""),6,FALSE)
,
(IF
(
G15683=""юридична особа""
,
VLOO"&amp;"KUP(H15683,IMPORTRANGE(""https://docs.google.com/spreadsheets/d/14Bd19lYaqBhU8_DElYkX7l4wRkHqqCUFNJY4AfY3kHU/edit?usp=sharing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82" s="7" t="s">
        <v>23</v>
      </c>
    </row>
    <row r="15683" spans="1:10" ht="13.2">
      <c r="A15683" s="7">
        <v>15682</v>
      </c>
      <c r="B15683" s="7">
        <v>1</v>
      </c>
      <c r="C15683" s="7" t="s">
        <v>10</v>
      </c>
      <c r="D15683" s="7">
        <v>19705</v>
      </c>
      <c r="E15683" s="7" t="s">
        <v>23</v>
      </c>
      <c r="F15683" s="8" t="str">
        <f ca="1">IFERROR(__xludf.DUMMYFUNCTION("IF
(
C15684=""фізична особа""
,
VLOOKUP(D15684,IMPORTRANGE(""https://docs.google.com/spreadsheets/d/14Bd19lYaqBhU8_DElYkX7l4wRkHqqCUFNJY4AfY3kHU/edit?usp=sharing  #gid=0"",""фіз особи new!relations_name""),6,FALSE)
,
(IF
(
C15684=""юридична особа""
,
VLOO"&amp;"KUP(D15684,IMPORTRANGE(""https://docs.google.com/spreadsheets/d/14Bd19lYaqBhU8_DElYkX7l4wRkHqqCUFNJY4AfY3kHU/edit?usp=sharing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3" s="7" t="s">
        <v>10</v>
      </c>
      <c r="H15683" s="7">
        <v>19706</v>
      </c>
      <c r="I15683" s="8" t="str">
        <f ca="1">IFERROR(__xludf.DUMMYFUNCTION("IF
(
G15684=""фізична особа""
,
VLOOKUP(H15684,IMPORTRANGE(""https://docs.google.com/spreadsheets/d/14Bd19lYaqBhU8_DElYkX7l4wRkHqqCUFNJY4AfY3kHU/edit?usp=sharing  #gid=0"",""фіз особи new!relations_name""),6,FALSE)
,
(IF
(
G15684=""юридична особа""
,
VLOO"&amp;"KUP(H15684,IMPORTRANGE(""https://docs.google.com/spreadsheets/d/14Bd19lYaqBhU8_DElYkX7l4wRkHqqCUFNJY4AfY3kHU/edit?usp=sharing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683" s="7" t="s">
        <v>23</v>
      </c>
    </row>
    <row r="15684" spans="1:10" ht="13.2">
      <c r="A15684" s="7">
        <v>15683</v>
      </c>
      <c r="B15684" s="7">
        <v>1</v>
      </c>
      <c r="C15684" s="7" t="s">
        <v>10</v>
      </c>
      <c r="D15684" s="7">
        <v>19705</v>
      </c>
      <c r="E15684" s="7" t="s">
        <v>23</v>
      </c>
      <c r="F15684" s="8" t="str">
        <f ca="1">IFERROR(__xludf.DUMMYFUNCTION("IF
(
C15685=""фізична особа""
,
VLOOKUP(D15685,IMPORTRANGE(""https://docs.google.com/spreadsheets/d/14Bd19lYaqBhU8_DElYkX7l4wRkHqqCUFNJY4AfY3kHU/edit?usp=sharing  #gid=0"",""фіз особи new!relations_name""),6,FALSE)
,
(IF
(
C15685=""юридична особа""
,
VLOO"&amp;"KUP(D15685,IMPORTRANGE(""https://docs.google.com/spreadsheets/d/14Bd19lYaqBhU8_DElYkX7l4wRkHqqCUFNJY4AfY3kHU/edit?usp=sharing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4" s="7" t="s">
        <v>10</v>
      </c>
      <c r="H15684" s="7">
        <v>19707</v>
      </c>
      <c r="I15684" s="8" t="str">
        <f ca="1">IFERROR(__xludf.DUMMYFUNCTION("IF
(
G15685=""фізична особа""
,
VLOOKUP(H15685,IMPORTRANGE(""https://docs.google.com/spreadsheets/d/14Bd19lYaqBhU8_DElYkX7l4wRkHqqCUFNJY4AfY3kHU/edit?usp=sharing  #gid=0"",""фіз особи new!relations_name""),6,FALSE)
,
(IF
(
G15685=""юридична особа""
,
VLOO"&amp;"KUP(H15685,IMPORTRANGE(""https://docs.google.com/spreadsheets/d/14Bd19lYaqBhU8_DElYkX7l4wRkHqqCUFNJY4AfY3kHU/edit?usp=sharing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84" s="7" t="s">
        <v>23</v>
      </c>
    </row>
    <row r="15685" spans="1:10" ht="13.2">
      <c r="A15685" s="7">
        <v>15684</v>
      </c>
      <c r="B15685" s="7">
        <v>1</v>
      </c>
      <c r="C15685" s="7" t="s">
        <v>10</v>
      </c>
      <c r="D15685" s="7">
        <v>19705</v>
      </c>
      <c r="E15685" s="7" t="s">
        <v>23</v>
      </c>
      <c r="F15685" s="8" t="str">
        <f ca="1">IFERROR(__xludf.DUMMYFUNCTION("IF
(
C15686=""фізична особа""
,
VLOOKUP(D15686,IMPORTRANGE(""https://docs.google.com/spreadsheets/d/14Bd19lYaqBhU8_DElYkX7l4wRkHqqCUFNJY4AfY3kHU/edit?usp=sharing  #gid=0"",""фіз особи new!relations_name""),6,FALSE)
,
(IF
(
C15686=""юридична особа""
,
VLOO"&amp;"KUP(D15686,IMPORTRANGE(""https://docs.google.com/spreadsheets/d/14Bd19lYaqBhU8_DElYkX7l4wRkHqqCUFNJY4AfY3kHU/edit?usp=sharing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5" s="7" t="s">
        <v>10</v>
      </c>
      <c r="H15685" s="7">
        <v>19708</v>
      </c>
      <c r="I15685" s="8" t="str">
        <f ca="1">IFERROR(__xludf.DUMMYFUNCTION("IF
(
G15686=""фізична особа""
,
VLOOKUP(H15686,IMPORTRANGE(""https://docs.google.com/spreadsheets/d/14Bd19lYaqBhU8_DElYkX7l4wRkHqqCUFNJY4AfY3kHU/edit?usp=sharing  #gid=0"",""фіз особи new!relations_name""),6,FALSE)
,
(IF
(
G15686=""юридична особа""
,
VLOO"&amp;"KUP(H15686,IMPORTRANGE(""https://docs.google.com/spreadsheets/d/14Bd19lYaqBhU8_DElYkX7l4wRkHqqCUFNJY4AfY3kHU/edit?usp=sharing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85" s="7" t="s">
        <v>23</v>
      </c>
    </row>
    <row r="15686" spans="1:10" ht="13.2">
      <c r="A15686" s="7">
        <v>15685</v>
      </c>
      <c r="B15686" s="7">
        <v>1</v>
      </c>
      <c r="C15686" s="7" t="s">
        <v>10</v>
      </c>
      <c r="D15686" s="7">
        <v>19705</v>
      </c>
      <c r="E15686" s="7" t="s">
        <v>23</v>
      </c>
      <c r="F15686" s="8" t="str">
        <f ca="1">IFERROR(__xludf.DUMMYFUNCTION("IF
(
C15687=""фізична особа""
,
VLOOKUP(D15687,IMPORTRANGE(""https://docs.google.com/spreadsheets/d/14Bd19lYaqBhU8_DElYkX7l4wRkHqqCUFNJY4AfY3kHU/edit?usp=sharing  #gid=0"",""фіз особи new!relations_name""),6,FALSE)
,
(IF
(
C15687=""юридична особа""
,
VLOO"&amp;"KUP(D15687,IMPORTRANGE(""https://docs.google.com/spreadsheets/d/14Bd19lYaqBhU8_DElYkX7l4wRkHqqCUFNJY4AfY3kHU/edit?usp=sharing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6" s="7" t="s">
        <v>10</v>
      </c>
      <c r="H15686" s="7">
        <v>19709</v>
      </c>
      <c r="I15686" s="8" t="str">
        <f ca="1">IFERROR(__xludf.DUMMYFUNCTION("IF
(
G15687=""фізична особа""
,
VLOOKUP(H15687,IMPORTRANGE(""https://docs.google.com/spreadsheets/d/14Bd19lYaqBhU8_DElYkX7l4wRkHqqCUFNJY4AfY3kHU/edit?usp=sharing  #gid=0"",""фіз особи new!relations_name""),6,FALSE)
,
(IF
(
G15687=""юридична особа""
,
VLOO"&amp;"KUP(H15687,IMPORTRANGE(""https://docs.google.com/spreadsheets/d/14Bd19lYaqBhU8_DElYkX7l4wRkHqqCUFNJY4AfY3kHU/edit?usp=sharing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86" s="7" t="s">
        <v>23</v>
      </c>
    </row>
    <row r="15687" spans="1:10" ht="13.2">
      <c r="A15687" s="7">
        <v>15686</v>
      </c>
      <c r="B15687" s="7">
        <v>1</v>
      </c>
      <c r="C15687" s="7" t="s">
        <v>10</v>
      </c>
      <c r="D15687" s="7">
        <v>19705</v>
      </c>
      <c r="E15687" s="7" t="s">
        <v>23</v>
      </c>
      <c r="F15687" s="8" t="str">
        <f ca="1">IFERROR(__xludf.DUMMYFUNCTION("IF
(
C15688=""фізична особа""
,
VLOOKUP(D15688,IMPORTRANGE(""https://docs.google.com/spreadsheets/d/14Bd19lYaqBhU8_DElYkX7l4wRkHqqCUFNJY4AfY3kHU/edit?usp=sharing  #gid=0"",""фіз особи new!relations_name""),6,FALSE)
,
(IF
(
C15688=""юридична особа""
,
VLOO"&amp;"KUP(D15688,IMPORTRANGE(""https://docs.google.com/spreadsheets/d/14Bd19lYaqBhU8_DElYkX7l4wRkHqqCUFNJY4AfY3kHU/edit?usp=sharing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G15687" s="7" t="s">
        <v>10</v>
      </c>
      <c r="H15687" s="7">
        <v>19710</v>
      </c>
      <c r="I15687" s="8" t="str">
        <f ca="1">IFERROR(__xludf.DUMMYFUNCTION("IF
(
G15688=""фізична особа""
,
VLOOKUP(H15688,IMPORTRANGE(""https://docs.google.com/spreadsheets/d/14Bd19lYaqBhU8_DElYkX7l4wRkHqqCUFNJY4AfY3kHU/edit?usp=sharing  #gid=0"",""фіз особи new!relations_name""),6,FALSE)
,
(IF
(
G15688=""юридична особа""
,
VLOO"&amp;"KUP(H15688,IMPORTRANGE(""https://docs.google.com/spreadsheets/d/14Bd19lYaqBhU8_DElYkX7l4wRkHqqCUFNJY4AfY3kHU/edit?usp=sharing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87" s="7" t="s">
        <v>23</v>
      </c>
    </row>
    <row r="15688" spans="1:10" ht="13.2">
      <c r="A15688" s="7">
        <v>15687</v>
      </c>
      <c r="B15688" s="7">
        <v>1</v>
      </c>
      <c r="C15688" s="7" t="s">
        <v>10</v>
      </c>
      <c r="D15688" s="7">
        <v>19706</v>
      </c>
      <c r="E15688" s="7" t="s">
        <v>23</v>
      </c>
      <c r="F15688" s="8" t="str">
        <f ca="1">IFERROR(__xludf.DUMMYFUNCTION("IF
(
C15689=""фізична особа""
,
VLOOKUP(D15689,IMPORTRANGE(""https://docs.google.com/spreadsheets/d/14Bd19lYaqBhU8_DElYkX7l4wRkHqqCUFNJY4AfY3kHU/edit?usp=sharing  #gid=0"",""фіз особи new!relations_name""),6,FALSE)
,
(IF
(
C15689=""юридична особа""
,
VLOO"&amp;"KUP(D15689,IMPORTRANGE(""https://docs.google.com/spreadsheets/d/14Bd19lYaqBhU8_DElYkX7l4wRkHqqCUFNJY4AfY3kHU/edit?usp=sharing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88" s="7" t="s">
        <v>10</v>
      </c>
      <c r="H15688" s="7">
        <v>19698</v>
      </c>
      <c r="I15688" s="8" t="str">
        <f ca="1">IFERROR(__xludf.DUMMYFUNCTION("IF
(
G15689=""фізична особа""
,
VLOOKUP(H15689,IMPORTRANGE(""https://docs.google.com/spreadsheets/d/14Bd19lYaqBhU8_DElYkX7l4wRkHqqCUFNJY4AfY3kHU/edit?usp=sharing  #gid=0"",""фіз особи new!relations_name""),6,FALSE)
,
(IF
(
G15689=""юридична особа""
,
VLOO"&amp;"KUP(H15689,IMPORTRANGE(""https://docs.google.com/spreadsheets/d/14Bd19lYaqBhU8_DElYkX7l4wRkHqqCUFNJY4AfY3kHU/edit?usp=sharing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688" s="7" t="s">
        <v>23</v>
      </c>
    </row>
    <row r="15689" spans="1:10" ht="13.2">
      <c r="A15689" s="7">
        <v>15688</v>
      </c>
      <c r="B15689" s="7">
        <v>1</v>
      </c>
      <c r="C15689" s="7" t="s">
        <v>10</v>
      </c>
      <c r="D15689" s="7">
        <v>19706</v>
      </c>
      <c r="E15689" s="7" t="s">
        <v>23</v>
      </c>
      <c r="F15689" s="8" t="str">
        <f ca="1">IFERROR(__xludf.DUMMYFUNCTION("IF
(
C15690=""фізична особа""
,
VLOOKUP(D15690,IMPORTRANGE(""https://docs.google.com/spreadsheets/d/14Bd19lYaqBhU8_DElYkX7l4wRkHqqCUFNJY4AfY3kHU/edit?usp=sharing  #gid=0"",""фіз особи new!relations_name""),6,FALSE)
,
(IF
(
C15690=""юридична особа""
,
VLOO"&amp;"KUP(D15690,IMPORTRANGE(""https://docs.google.com/spreadsheets/d/14Bd19lYaqBhU8_DElYkX7l4wRkHqqCUFNJY4AfY3kHU/edit?usp=sharing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89" s="7" t="s">
        <v>10</v>
      </c>
      <c r="H15689" s="7">
        <v>19699</v>
      </c>
      <c r="I15689" s="8" t="str">
        <f ca="1">IFERROR(__xludf.DUMMYFUNCTION("IF
(
G15690=""фізична особа""
,
VLOOKUP(H15690,IMPORTRANGE(""https://docs.google.com/spreadsheets/d/14Bd19lYaqBhU8_DElYkX7l4wRkHqqCUFNJY4AfY3kHU/edit?usp=sharing  #gid=0"",""фіз особи new!relations_name""),6,FALSE)
,
(IF
(
G15690=""юридична особа""
,
VLOO"&amp;"KUP(H15690,IMPORTRANGE(""https://docs.google.com/spreadsheets/d/14Bd19lYaqBhU8_DElYkX7l4wRkHqqCUFNJY4AfY3kHU/edit?usp=sharing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689" s="7" t="s">
        <v>23</v>
      </c>
    </row>
    <row r="15690" spans="1:10" ht="13.2">
      <c r="A15690" s="7">
        <v>15689</v>
      </c>
      <c r="B15690" s="7">
        <v>1</v>
      </c>
      <c r="C15690" s="7" t="s">
        <v>10</v>
      </c>
      <c r="D15690" s="7">
        <v>19706</v>
      </c>
      <c r="E15690" s="7" t="s">
        <v>23</v>
      </c>
      <c r="F15690" s="8" t="str">
        <f ca="1">IFERROR(__xludf.DUMMYFUNCTION("IF
(
C15691=""фізична особа""
,
VLOOKUP(D15691,IMPORTRANGE(""https://docs.google.com/spreadsheets/d/14Bd19lYaqBhU8_DElYkX7l4wRkHqqCUFNJY4AfY3kHU/edit?usp=sharing  #gid=0"",""фіз особи new!relations_name""),6,FALSE)
,
(IF
(
C15691=""юридична особа""
,
VLOO"&amp;"KUP(D15691,IMPORTRANGE(""https://docs.google.com/spreadsheets/d/14Bd19lYaqBhU8_DElYkX7l4wRkHqqCUFNJY4AfY3kHU/edit?usp=sharing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0" s="7" t="s">
        <v>10</v>
      </c>
      <c r="H15690" s="7">
        <v>19700</v>
      </c>
      <c r="I15690" s="8" t="str">
        <f ca="1">IFERROR(__xludf.DUMMYFUNCTION("IF
(
G15691=""фізична особа""
,
VLOOKUP(H15691,IMPORTRANGE(""https://docs.google.com/spreadsheets/d/14Bd19lYaqBhU8_DElYkX7l4wRkHqqCUFNJY4AfY3kHU/edit?usp=sharing  #gid=0"",""фіз особи new!relations_name""),6,FALSE)
,
(IF
(
G15691=""юридична особа""
,
VLOO"&amp;"KUP(H15691,IMPORTRANGE(""https://docs.google.com/spreadsheets/d/14Bd19lYaqBhU8_DElYkX7l4wRkHqqCUFNJY4AfY3kHU/edit?usp=sharing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690" s="7" t="s">
        <v>23</v>
      </c>
    </row>
    <row r="15691" spans="1:10" ht="13.2">
      <c r="A15691" s="7">
        <v>15690</v>
      </c>
      <c r="B15691" s="7">
        <v>1</v>
      </c>
      <c r="C15691" s="7" t="s">
        <v>10</v>
      </c>
      <c r="D15691" s="7">
        <v>19706</v>
      </c>
      <c r="E15691" s="7" t="s">
        <v>23</v>
      </c>
      <c r="F15691" s="8" t="str">
        <f ca="1">IFERROR(__xludf.DUMMYFUNCTION("IF
(
C15692=""фізична особа""
,
VLOOKUP(D15692,IMPORTRANGE(""https://docs.google.com/spreadsheets/d/14Bd19lYaqBhU8_DElYkX7l4wRkHqqCUFNJY4AfY3kHU/edit?usp=sharing  #gid=0"",""фіз особи new!relations_name""),6,FALSE)
,
(IF
(
C15692=""юридична особа""
,
VLOO"&amp;"KUP(D15692,IMPORTRANGE(""https://docs.google.com/spreadsheets/d/14Bd19lYaqBhU8_DElYkX7l4wRkHqqCUFNJY4AfY3kHU/edit?usp=sharing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1" s="7" t="s">
        <v>10</v>
      </c>
      <c r="H15691" s="7">
        <v>19701</v>
      </c>
      <c r="I15691" s="8" t="str">
        <f ca="1">IFERROR(__xludf.DUMMYFUNCTION("IF
(
G15692=""фізична особа""
,
VLOOKUP(H15692,IMPORTRANGE(""https://docs.google.com/spreadsheets/d/14Bd19lYaqBhU8_DElYkX7l4wRkHqqCUFNJY4AfY3kHU/edit?usp=sharing  #gid=0"",""фіз особи new!relations_name""),6,FALSE)
,
(IF
(
G15692=""юридична особа""
,
VLOO"&amp;"KUP(H15692,IMPORTRANGE(""https://docs.google.com/spreadsheets/d/14Bd19lYaqBhU8_DElYkX7l4wRkHqqCUFNJY4AfY3kHU/edit?usp=sharing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691" s="7" t="s">
        <v>23</v>
      </c>
    </row>
    <row r="15692" spans="1:10" ht="13.2">
      <c r="A15692" s="7">
        <v>15691</v>
      </c>
      <c r="B15692" s="7">
        <v>1</v>
      </c>
      <c r="C15692" s="7" t="s">
        <v>10</v>
      </c>
      <c r="D15692" s="7">
        <v>19706</v>
      </c>
      <c r="E15692" s="7" t="s">
        <v>23</v>
      </c>
      <c r="F15692" s="8" t="str">
        <f ca="1">IFERROR(__xludf.DUMMYFUNCTION("IF
(
C15693=""фізична особа""
,
VLOOKUP(D15693,IMPORTRANGE(""https://docs.google.com/spreadsheets/d/14Bd19lYaqBhU8_DElYkX7l4wRkHqqCUFNJY4AfY3kHU/edit?usp=sharing  #gid=0"",""фіз особи new!relations_name""),6,FALSE)
,
(IF
(
C15693=""юридична особа""
,
VLOO"&amp;"KUP(D15693,IMPORTRANGE(""https://docs.google.com/spreadsheets/d/14Bd19lYaqBhU8_DElYkX7l4wRkHqqCUFNJY4AfY3kHU/edit?usp=sharing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2" s="7" t="s">
        <v>10</v>
      </c>
      <c r="H15692" s="7">
        <v>19702</v>
      </c>
      <c r="I15692" s="8" t="str">
        <f ca="1">IFERROR(__xludf.DUMMYFUNCTION("IF
(
G15693=""фізична особа""
,
VLOOKUP(H15693,IMPORTRANGE(""https://docs.google.com/spreadsheets/d/14Bd19lYaqBhU8_DElYkX7l4wRkHqqCUFNJY4AfY3kHU/edit?usp=sharing  #gid=0"",""фіз особи new!relations_name""),6,FALSE)
,
(IF
(
G15693=""юридична особа""
,
VLOO"&amp;"KUP(H15693,IMPORTRANGE(""https://docs.google.com/spreadsheets/d/14Bd19lYaqBhU8_DElYkX7l4wRkHqqCUFNJY4AfY3kHU/edit?usp=sharing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692" s="7" t="s">
        <v>23</v>
      </c>
    </row>
    <row r="15693" spans="1:10" ht="13.2">
      <c r="A15693" s="7">
        <v>15692</v>
      </c>
      <c r="B15693" s="7">
        <v>1</v>
      </c>
      <c r="C15693" s="7" t="s">
        <v>10</v>
      </c>
      <c r="D15693" s="7">
        <v>19706</v>
      </c>
      <c r="E15693" s="7" t="s">
        <v>23</v>
      </c>
      <c r="F15693" s="8" t="str">
        <f ca="1">IFERROR(__xludf.DUMMYFUNCTION("IF
(
C15694=""фізична особа""
,
VLOOKUP(D15694,IMPORTRANGE(""https://docs.google.com/spreadsheets/d/14Bd19lYaqBhU8_DElYkX7l4wRkHqqCUFNJY4AfY3kHU/edit?usp=sharing  #gid=0"",""фіз особи new!relations_name""),6,FALSE)
,
(IF
(
C15694=""юридична особа""
,
VLOO"&amp;"KUP(D15694,IMPORTRANGE(""https://docs.google.com/spreadsheets/d/14Bd19lYaqBhU8_DElYkX7l4wRkHqqCUFNJY4AfY3kHU/edit?usp=sharing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3" s="7" t="s">
        <v>10</v>
      </c>
      <c r="H15693" s="7">
        <v>19703</v>
      </c>
      <c r="I15693" s="8" t="str">
        <f ca="1">IFERROR(__xludf.DUMMYFUNCTION("IF
(
G15694=""фізична особа""
,
VLOOKUP(H15694,IMPORTRANGE(""https://docs.google.com/spreadsheets/d/14Bd19lYaqBhU8_DElYkX7l4wRkHqqCUFNJY4AfY3kHU/edit?usp=sharing  #gid=0"",""фіз особи new!relations_name""),6,FALSE)
,
(IF
(
G15694=""юридична особа""
,
VLOO"&amp;"KUP(H15694,IMPORTRANGE(""https://docs.google.com/spreadsheets/d/14Bd19lYaqBhU8_DElYkX7l4wRkHqqCUFNJY4AfY3kHU/edit?usp=sharing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693" s="7" t="s">
        <v>23</v>
      </c>
    </row>
    <row r="15694" spans="1:10" ht="13.2">
      <c r="A15694" s="7">
        <v>15693</v>
      </c>
      <c r="B15694" s="7">
        <v>1</v>
      </c>
      <c r="C15694" s="7" t="s">
        <v>10</v>
      </c>
      <c r="D15694" s="7">
        <v>19706</v>
      </c>
      <c r="E15694" s="7" t="s">
        <v>23</v>
      </c>
      <c r="F15694" s="8" t="str">
        <f ca="1">IFERROR(__xludf.DUMMYFUNCTION("IF
(
C15695=""фізична особа""
,
VLOOKUP(D15695,IMPORTRANGE(""https://docs.google.com/spreadsheets/d/14Bd19lYaqBhU8_DElYkX7l4wRkHqqCUFNJY4AfY3kHU/edit?usp=sharing  #gid=0"",""фіз особи new!relations_name""),6,FALSE)
,
(IF
(
C15695=""юридична особа""
,
VLOO"&amp;"KUP(D15695,IMPORTRANGE(""https://docs.google.com/spreadsheets/d/14Bd19lYaqBhU8_DElYkX7l4wRkHqqCUFNJY4AfY3kHU/edit?usp=sharing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4" s="7" t="s">
        <v>10</v>
      </c>
      <c r="H15694" s="7">
        <v>19704</v>
      </c>
      <c r="I15694" s="8" t="str">
        <f ca="1">IFERROR(__xludf.DUMMYFUNCTION("IF
(
G15695=""фізична особа""
,
VLOOKUP(H15695,IMPORTRANGE(""https://docs.google.com/spreadsheets/d/14Bd19lYaqBhU8_DElYkX7l4wRkHqqCUFNJY4AfY3kHU/edit?usp=sharing  #gid=0"",""фіз особи new!relations_name""),6,FALSE)
,
(IF
(
G15695=""юридична особа""
,
VLOO"&amp;"KUP(H15695,IMPORTRANGE(""https://docs.google.com/spreadsheets/d/14Bd19lYaqBhU8_DElYkX7l4wRkHqqCUFNJY4AfY3kHU/edit?usp=sharing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694" s="7" t="s">
        <v>23</v>
      </c>
    </row>
    <row r="15695" spans="1:10" ht="13.2">
      <c r="A15695" s="7">
        <v>15694</v>
      </c>
      <c r="B15695" s="7">
        <v>1</v>
      </c>
      <c r="C15695" s="7" t="s">
        <v>10</v>
      </c>
      <c r="D15695" s="7">
        <v>19706</v>
      </c>
      <c r="E15695" s="7" t="s">
        <v>23</v>
      </c>
      <c r="F15695" s="8" t="str">
        <f ca="1">IFERROR(__xludf.DUMMYFUNCTION("IF
(
C15696=""фізична особа""
,
VLOOKUP(D15696,IMPORTRANGE(""https://docs.google.com/spreadsheets/d/14Bd19lYaqBhU8_DElYkX7l4wRkHqqCUFNJY4AfY3kHU/edit?usp=sharing  #gid=0"",""фіз особи new!relations_name""),6,FALSE)
,
(IF
(
C15696=""юридична особа""
,
VLOO"&amp;"KUP(D15696,IMPORTRANGE(""https://docs.google.com/spreadsheets/d/14Bd19lYaqBhU8_DElYkX7l4wRkHqqCUFNJY4AfY3kHU/edit?usp=sharing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5" s="7" t="s">
        <v>10</v>
      </c>
      <c r="H15695" s="7">
        <v>19705</v>
      </c>
      <c r="I15695" s="8" t="str">
        <f ca="1">IFERROR(__xludf.DUMMYFUNCTION("IF
(
G15696=""фізична особа""
,
VLOOKUP(H15696,IMPORTRANGE(""https://docs.google.com/spreadsheets/d/14Bd19lYaqBhU8_DElYkX7l4wRkHqqCUFNJY4AfY3kHU/edit?usp=sharing  #gid=0"",""фіз особи new!relations_name""),6,FALSE)
,
(IF
(
G15696=""юридична особа""
,
VLOO"&amp;"KUP(H15696,IMPORTRANGE(""https://docs.google.com/spreadsheets/d/14Bd19lYaqBhU8_DElYkX7l4wRkHqqCUFNJY4AfY3kHU/edit?usp=sharing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695" s="7" t="s">
        <v>23</v>
      </c>
    </row>
    <row r="15696" spans="1:10" ht="13.2">
      <c r="A15696" s="7">
        <v>15695</v>
      </c>
      <c r="B15696" s="7">
        <v>1</v>
      </c>
      <c r="C15696" s="7" t="s">
        <v>10</v>
      </c>
      <c r="D15696" s="7">
        <v>19706</v>
      </c>
      <c r="E15696" s="7" t="s">
        <v>23</v>
      </c>
      <c r="F15696" s="8" t="str">
        <f ca="1">IFERROR(__xludf.DUMMYFUNCTION("IF
(
C15697=""фізична особа""
,
VLOOKUP(D15697,IMPORTRANGE(""https://docs.google.com/spreadsheets/d/14Bd19lYaqBhU8_DElYkX7l4wRkHqqCUFNJY4AfY3kHU/edit?usp=sharing  #gid=0"",""фіз особи new!relations_name""),6,FALSE)
,
(IF
(
C15697=""юридична особа""
,
VLOO"&amp;"KUP(D15697,IMPORTRANGE(""https://docs.google.com/spreadsheets/d/14Bd19lYaqBhU8_DElYkX7l4wRkHqqCUFNJY4AfY3kHU/edit?usp=sharing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6" s="7" t="s">
        <v>10</v>
      </c>
      <c r="H15696" s="7">
        <v>19707</v>
      </c>
      <c r="I15696" s="8" t="str">
        <f ca="1">IFERROR(__xludf.DUMMYFUNCTION("IF
(
G15697=""фізична особа""
,
VLOOKUP(H15697,IMPORTRANGE(""https://docs.google.com/spreadsheets/d/14Bd19lYaqBhU8_DElYkX7l4wRkHqqCUFNJY4AfY3kHU/edit?usp=sharing  #gid=0"",""фіз особи new!relations_name""),6,FALSE)
,
(IF
(
G15697=""юридична особа""
,
VLOO"&amp;"KUP(H15697,IMPORTRANGE(""https://docs.google.com/spreadsheets/d/14Bd19lYaqBhU8_DElYkX7l4wRkHqqCUFNJY4AfY3kHU/edit?usp=sharing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696" s="7" t="s">
        <v>23</v>
      </c>
    </row>
    <row r="15697" spans="1:10" ht="13.2">
      <c r="A15697" s="7">
        <v>15696</v>
      </c>
      <c r="B15697" s="7">
        <v>1</v>
      </c>
      <c r="C15697" s="7" t="s">
        <v>10</v>
      </c>
      <c r="D15697" s="7">
        <v>19706</v>
      </c>
      <c r="E15697" s="7" t="s">
        <v>23</v>
      </c>
      <c r="F15697" s="8" t="str">
        <f ca="1">IFERROR(__xludf.DUMMYFUNCTION("IF
(
C15698=""фізична особа""
,
VLOOKUP(D15698,IMPORTRANGE(""https://docs.google.com/spreadsheets/d/14Bd19lYaqBhU8_DElYkX7l4wRkHqqCUFNJY4AfY3kHU/edit?usp=sharing  #gid=0"",""фіз особи new!relations_name""),6,FALSE)
,
(IF
(
C15698=""юридична особа""
,
VLOO"&amp;"KUP(D15698,IMPORTRANGE(""https://docs.google.com/spreadsheets/d/14Bd19lYaqBhU8_DElYkX7l4wRkHqqCUFNJY4AfY3kHU/edit?usp=sharing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7" s="7" t="s">
        <v>10</v>
      </c>
      <c r="H15697" s="7">
        <v>19708</v>
      </c>
      <c r="I15697" s="8" t="str">
        <f ca="1">IFERROR(__xludf.DUMMYFUNCTION("IF
(
G15698=""фізична особа""
,
VLOOKUP(H15698,IMPORTRANGE(""https://docs.google.com/spreadsheets/d/14Bd19lYaqBhU8_DElYkX7l4wRkHqqCUFNJY4AfY3kHU/edit?usp=sharing  #gid=0"",""фіз особи new!relations_name""),6,FALSE)
,
(IF
(
G15698=""юридична особа""
,
VLOO"&amp;"KUP(H15698,IMPORTRANGE(""https://docs.google.com/spreadsheets/d/14Bd19lYaqBhU8_DElYkX7l4wRkHqqCUFNJY4AfY3kHU/edit?usp=sharing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697" s="7" t="s">
        <v>23</v>
      </c>
    </row>
    <row r="15698" spans="1:10" ht="13.2">
      <c r="A15698" s="7">
        <v>15697</v>
      </c>
      <c r="B15698" s="7">
        <v>1</v>
      </c>
      <c r="C15698" s="7" t="s">
        <v>10</v>
      </c>
      <c r="D15698" s="7">
        <v>19706</v>
      </c>
      <c r="E15698" s="7" t="s">
        <v>23</v>
      </c>
      <c r="F15698" s="8" t="str">
        <f ca="1">IFERROR(__xludf.DUMMYFUNCTION("IF
(
C15699=""фізична особа""
,
VLOOKUP(D15699,IMPORTRANGE(""https://docs.google.com/spreadsheets/d/14Bd19lYaqBhU8_DElYkX7l4wRkHqqCUFNJY4AfY3kHU/edit?usp=sharing  #gid=0"",""фіз особи new!relations_name""),6,FALSE)
,
(IF
(
C15699=""юридична особа""
,
VLOO"&amp;"KUP(D15699,IMPORTRANGE(""https://docs.google.com/spreadsheets/d/14Bd19lYaqBhU8_DElYkX7l4wRkHqqCUFNJY4AfY3kHU/edit?usp=sharing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8" s="7" t="s">
        <v>10</v>
      </c>
      <c r="H15698" s="7">
        <v>19709</v>
      </c>
      <c r="I15698" s="8" t="str">
        <f ca="1">IFERROR(__xludf.DUMMYFUNCTION("IF
(
G15699=""фізична особа""
,
VLOOKUP(H15699,IMPORTRANGE(""https://docs.google.com/spreadsheets/d/14Bd19lYaqBhU8_DElYkX7l4wRkHqqCUFNJY4AfY3kHU/edit?usp=sharing  #gid=0"",""фіз особи new!relations_name""),6,FALSE)
,
(IF
(
G15699=""юридична особа""
,
VLOO"&amp;"KUP(H15699,IMPORTRANGE(""https://docs.google.com/spreadsheets/d/14Bd19lYaqBhU8_DElYkX7l4wRkHqqCUFNJY4AfY3kHU/edit?usp=sharing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698" s="7" t="s">
        <v>23</v>
      </c>
    </row>
    <row r="15699" spans="1:10" ht="13.2">
      <c r="A15699" s="7">
        <v>15698</v>
      </c>
      <c r="B15699" s="7">
        <v>1</v>
      </c>
      <c r="C15699" s="7" t="s">
        <v>10</v>
      </c>
      <c r="D15699" s="7">
        <v>19706</v>
      </c>
      <c r="E15699" s="7" t="s">
        <v>23</v>
      </c>
      <c r="F15699" s="8" t="str">
        <f ca="1">IFERROR(__xludf.DUMMYFUNCTION("IF
(
C15700=""фізична особа""
,
VLOOKUP(D15700,IMPORTRANGE(""https://docs.google.com/spreadsheets/d/14Bd19lYaqBhU8_DElYkX7l4wRkHqqCUFNJY4AfY3kHU/edit?usp=sharing  #gid=0"",""фіз особи new!relations_name""),6,FALSE)
,
(IF
(
C15700=""юридична особа""
,
VLOO"&amp;"KUP(D15700,IMPORTRANGE(""https://docs.google.com/spreadsheets/d/14Bd19lYaqBhU8_DElYkX7l4wRkHqqCUFNJY4AfY3kHU/edit?usp=sharing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G15699" s="7" t="s">
        <v>10</v>
      </c>
      <c r="H15699" s="7">
        <v>19710</v>
      </c>
      <c r="I15699" s="8" t="str">
        <f ca="1">IFERROR(__xludf.DUMMYFUNCTION("IF
(
G15700=""фізична особа""
,
VLOOKUP(H15700,IMPORTRANGE(""https://docs.google.com/spreadsheets/d/14Bd19lYaqBhU8_DElYkX7l4wRkHqqCUFNJY4AfY3kHU/edit?usp=sharing  #gid=0"",""фіз особи new!relations_name""),6,FALSE)
,
(IF
(
G15700=""юридична особа""
,
VLOO"&amp;"KUP(H15700,IMPORTRANGE(""https://docs.google.com/spreadsheets/d/14Bd19lYaqBhU8_DElYkX7l4wRkHqqCUFNJY4AfY3kHU/edit?usp=sharing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699" s="7" t="s">
        <v>23</v>
      </c>
    </row>
    <row r="15700" spans="1:10" ht="13.2">
      <c r="A15700" s="7">
        <v>15699</v>
      </c>
      <c r="B15700" s="7">
        <v>1</v>
      </c>
      <c r="C15700" s="7" t="s">
        <v>10</v>
      </c>
      <c r="D15700" s="7">
        <v>19707</v>
      </c>
      <c r="E15700" s="7" t="s">
        <v>23</v>
      </c>
      <c r="F15700" s="8" t="str">
        <f ca="1">IFERROR(__xludf.DUMMYFUNCTION("IF
(
C15701=""фізична особа""
,
VLOOKUP(D15701,IMPORTRANGE(""https://docs.google.com/spreadsheets/d/14Bd19lYaqBhU8_DElYkX7l4wRkHqqCUFNJY4AfY3kHU/edit?usp=sharing  #gid=0"",""фіз особи new!relations_name""),6,FALSE)
,
(IF
(
C15701=""юридична особа""
,
VLOO"&amp;"KUP(D15701,IMPORTRANGE(""https://docs.google.com/spreadsheets/d/14Bd19lYaqBhU8_DElYkX7l4wRkHqqCUFNJY4AfY3kHU/edit?usp=sharing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0" s="7" t="s">
        <v>10</v>
      </c>
      <c r="H15700" s="7">
        <v>19698</v>
      </c>
      <c r="I15700" s="8" t="str">
        <f ca="1">IFERROR(__xludf.DUMMYFUNCTION("IF
(
G15701=""фізична особа""
,
VLOOKUP(H15701,IMPORTRANGE(""https://docs.google.com/spreadsheets/d/14Bd19lYaqBhU8_DElYkX7l4wRkHqqCUFNJY4AfY3kHU/edit?usp=sharing  #gid=0"",""фіз особи new!relations_name""),6,FALSE)
,
(IF
(
G15701=""юридична особа""
,
VLOO"&amp;"KUP(H15701,IMPORTRANGE(""https://docs.google.com/spreadsheets/d/14Bd19lYaqBhU8_DElYkX7l4wRkHqqCUFNJY4AfY3kHU/edit?usp=sharing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700" s="7" t="s">
        <v>23</v>
      </c>
    </row>
    <row r="15701" spans="1:10" ht="13.2">
      <c r="A15701" s="7">
        <v>15700</v>
      </c>
      <c r="B15701" s="7">
        <v>1</v>
      </c>
      <c r="C15701" s="7" t="s">
        <v>10</v>
      </c>
      <c r="D15701" s="7">
        <v>19707</v>
      </c>
      <c r="E15701" s="7" t="s">
        <v>23</v>
      </c>
      <c r="F15701" s="8" t="str">
        <f ca="1">IFERROR(__xludf.DUMMYFUNCTION("IF
(
C15702=""фізична особа""
,
VLOOKUP(D15702,IMPORTRANGE(""https://docs.google.com/spreadsheets/d/14Bd19lYaqBhU8_DElYkX7l4wRkHqqCUFNJY4AfY3kHU/edit?usp=sharing  #gid=0"",""фіз особи new!relations_name""),6,FALSE)
,
(IF
(
C15702=""юридична особа""
,
VLOO"&amp;"KUP(D15702,IMPORTRANGE(""https://docs.google.com/spreadsheets/d/14Bd19lYaqBhU8_DElYkX7l4wRkHqqCUFNJY4AfY3kHU/edit?usp=sharing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1" s="7" t="s">
        <v>10</v>
      </c>
      <c r="H15701" s="7">
        <v>19699</v>
      </c>
      <c r="I15701" s="8" t="str">
        <f ca="1">IFERROR(__xludf.DUMMYFUNCTION("IF
(
G15702=""фізична особа""
,
VLOOKUP(H15702,IMPORTRANGE(""https://docs.google.com/spreadsheets/d/14Bd19lYaqBhU8_DElYkX7l4wRkHqqCUFNJY4AfY3kHU/edit?usp=sharing  #gid=0"",""фіз особи new!relations_name""),6,FALSE)
,
(IF
(
G15702=""юридична особа""
,
VLOO"&amp;"KUP(H15702,IMPORTRANGE(""https://docs.google.com/spreadsheets/d/14Bd19lYaqBhU8_DElYkX7l4wRkHqqCUFNJY4AfY3kHU/edit?usp=sharing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701" s="7" t="s">
        <v>23</v>
      </c>
    </row>
    <row r="15702" spans="1:10" ht="13.2">
      <c r="A15702" s="7">
        <v>15701</v>
      </c>
      <c r="B15702" s="7">
        <v>1</v>
      </c>
      <c r="C15702" s="7" t="s">
        <v>10</v>
      </c>
      <c r="D15702" s="7">
        <v>19707</v>
      </c>
      <c r="E15702" s="7" t="s">
        <v>23</v>
      </c>
      <c r="F15702" s="8" t="str">
        <f ca="1">IFERROR(__xludf.DUMMYFUNCTION("IF
(
C15703=""фізична особа""
,
VLOOKUP(D15703,IMPORTRANGE(""https://docs.google.com/spreadsheets/d/14Bd19lYaqBhU8_DElYkX7l4wRkHqqCUFNJY4AfY3kHU/edit?usp=sharing  #gid=0"",""фіз особи new!relations_name""),6,FALSE)
,
(IF
(
C15703=""юридична особа""
,
VLOO"&amp;"KUP(D15703,IMPORTRANGE(""https://docs.google.com/spreadsheets/d/14Bd19lYaqBhU8_DElYkX7l4wRkHqqCUFNJY4AfY3kHU/edit?usp=sharing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2" s="7" t="s">
        <v>10</v>
      </c>
      <c r="H15702" s="7">
        <v>19700</v>
      </c>
      <c r="I15702" s="8" t="str">
        <f ca="1">IFERROR(__xludf.DUMMYFUNCTION("IF
(
G15703=""фізична особа""
,
VLOOKUP(H15703,IMPORTRANGE(""https://docs.google.com/spreadsheets/d/14Bd19lYaqBhU8_DElYkX7l4wRkHqqCUFNJY4AfY3kHU/edit?usp=sharing  #gid=0"",""фіз особи new!relations_name""),6,FALSE)
,
(IF
(
G15703=""юридична особа""
,
VLOO"&amp;"KUP(H15703,IMPORTRANGE(""https://docs.google.com/spreadsheets/d/14Bd19lYaqBhU8_DElYkX7l4wRkHqqCUFNJY4AfY3kHU/edit?usp=sharing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702" s="7" t="s">
        <v>23</v>
      </c>
    </row>
    <row r="15703" spans="1:10" ht="13.2">
      <c r="A15703" s="7">
        <v>15702</v>
      </c>
      <c r="B15703" s="7">
        <v>1</v>
      </c>
      <c r="C15703" s="7" t="s">
        <v>10</v>
      </c>
      <c r="D15703" s="7">
        <v>19707</v>
      </c>
      <c r="E15703" s="7" t="s">
        <v>23</v>
      </c>
      <c r="F15703" s="8" t="str">
        <f ca="1">IFERROR(__xludf.DUMMYFUNCTION("IF
(
C15704=""фізична особа""
,
VLOOKUP(D15704,IMPORTRANGE(""https://docs.google.com/spreadsheets/d/14Bd19lYaqBhU8_DElYkX7l4wRkHqqCUFNJY4AfY3kHU/edit?usp=sharing  #gid=0"",""фіз особи new!relations_name""),6,FALSE)
,
(IF
(
C15704=""юридична особа""
,
VLOO"&amp;"KUP(D15704,IMPORTRANGE(""https://docs.google.com/spreadsheets/d/14Bd19lYaqBhU8_DElYkX7l4wRkHqqCUFNJY4AfY3kHU/edit?usp=sharing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3" s="7" t="s">
        <v>10</v>
      </c>
      <c r="H15703" s="7">
        <v>19701</v>
      </c>
      <c r="I15703" s="8" t="str">
        <f ca="1">IFERROR(__xludf.DUMMYFUNCTION("IF
(
G15704=""фізична особа""
,
VLOOKUP(H15704,IMPORTRANGE(""https://docs.google.com/spreadsheets/d/14Bd19lYaqBhU8_DElYkX7l4wRkHqqCUFNJY4AfY3kHU/edit?usp=sharing  #gid=0"",""фіз особи new!relations_name""),6,FALSE)
,
(IF
(
G15704=""юридична особа""
,
VLOO"&amp;"KUP(H15704,IMPORTRANGE(""https://docs.google.com/spreadsheets/d/14Bd19lYaqBhU8_DElYkX7l4wRkHqqCUFNJY4AfY3kHU/edit?usp=sharing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703" s="7" t="s">
        <v>23</v>
      </c>
    </row>
    <row r="15704" spans="1:10" ht="13.2">
      <c r="A15704" s="7">
        <v>15703</v>
      </c>
      <c r="B15704" s="7">
        <v>1</v>
      </c>
      <c r="C15704" s="7" t="s">
        <v>10</v>
      </c>
      <c r="D15704" s="7">
        <v>19707</v>
      </c>
      <c r="E15704" s="7" t="s">
        <v>23</v>
      </c>
      <c r="F15704" s="8" t="str">
        <f ca="1">IFERROR(__xludf.DUMMYFUNCTION("IF
(
C15705=""фізична особа""
,
VLOOKUP(D15705,IMPORTRANGE(""https://docs.google.com/spreadsheets/d/14Bd19lYaqBhU8_DElYkX7l4wRkHqqCUFNJY4AfY3kHU/edit?usp=sharing  #gid=0"",""фіз особи new!relations_name""),6,FALSE)
,
(IF
(
C15705=""юридична особа""
,
VLOO"&amp;"KUP(D15705,IMPORTRANGE(""https://docs.google.com/spreadsheets/d/14Bd19lYaqBhU8_DElYkX7l4wRkHqqCUFNJY4AfY3kHU/edit?usp=sharing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4" s="7" t="s">
        <v>10</v>
      </c>
      <c r="H15704" s="7">
        <v>19702</v>
      </c>
      <c r="I15704" s="8" t="str">
        <f ca="1">IFERROR(__xludf.DUMMYFUNCTION("IF
(
G15705=""фізична особа""
,
VLOOKUP(H15705,IMPORTRANGE(""https://docs.google.com/spreadsheets/d/14Bd19lYaqBhU8_DElYkX7l4wRkHqqCUFNJY4AfY3kHU/edit?usp=sharing  #gid=0"",""фіз особи new!relations_name""),6,FALSE)
,
(IF
(
G15705=""юридична особа""
,
VLOO"&amp;"KUP(H15705,IMPORTRANGE(""https://docs.google.com/spreadsheets/d/14Bd19lYaqBhU8_DElYkX7l4wRkHqqCUFNJY4AfY3kHU/edit?usp=sharing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704" s="7" t="s">
        <v>23</v>
      </c>
    </row>
    <row r="15705" spans="1:10" ht="13.2">
      <c r="A15705" s="7">
        <v>15704</v>
      </c>
      <c r="B15705" s="7">
        <v>1</v>
      </c>
      <c r="C15705" s="7" t="s">
        <v>10</v>
      </c>
      <c r="D15705" s="7">
        <v>19707</v>
      </c>
      <c r="E15705" s="7" t="s">
        <v>23</v>
      </c>
      <c r="F15705" s="8" t="str">
        <f ca="1">IFERROR(__xludf.DUMMYFUNCTION("IF
(
C15706=""фізична особа""
,
VLOOKUP(D15706,IMPORTRANGE(""https://docs.google.com/spreadsheets/d/14Bd19lYaqBhU8_DElYkX7l4wRkHqqCUFNJY4AfY3kHU/edit?usp=sharing  #gid=0"",""фіз особи new!relations_name""),6,FALSE)
,
(IF
(
C15706=""юридична особа""
,
VLOO"&amp;"KUP(D15706,IMPORTRANGE(""https://docs.google.com/spreadsheets/d/14Bd19lYaqBhU8_DElYkX7l4wRkHqqCUFNJY4AfY3kHU/edit?usp=sharing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5" s="7" t="s">
        <v>10</v>
      </c>
      <c r="H15705" s="7">
        <v>19703</v>
      </c>
      <c r="I15705" s="8" t="str">
        <f ca="1">IFERROR(__xludf.DUMMYFUNCTION("IF
(
G15706=""фізична особа""
,
VLOOKUP(H15706,IMPORTRANGE(""https://docs.google.com/spreadsheets/d/14Bd19lYaqBhU8_DElYkX7l4wRkHqqCUFNJY4AfY3kHU/edit?usp=sharing  #gid=0"",""фіз особи new!relations_name""),6,FALSE)
,
(IF
(
G15706=""юридична особа""
,
VLOO"&amp;"KUP(H15706,IMPORTRANGE(""https://docs.google.com/spreadsheets/d/14Bd19lYaqBhU8_DElYkX7l4wRkHqqCUFNJY4AfY3kHU/edit?usp=sharing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705" s="7" t="s">
        <v>23</v>
      </c>
    </row>
    <row r="15706" spans="1:10" ht="13.2">
      <c r="A15706" s="7">
        <v>15705</v>
      </c>
      <c r="B15706" s="7">
        <v>1</v>
      </c>
      <c r="C15706" s="7" t="s">
        <v>10</v>
      </c>
      <c r="D15706" s="7">
        <v>19707</v>
      </c>
      <c r="E15706" s="7" t="s">
        <v>23</v>
      </c>
      <c r="F15706" s="8" t="str">
        <f ca="1">IFERROR(__xludf.DUMMYFUNCTION("IF
(
C15707=""фізична особа""
,
VLOOKUP(D15707,IMPORTRANGE(""https://docs.google.com/spreadsheets/d/14Bd19lYaqBhU8_DElYkX7l4wRkHqqCUFNJY4AfY3kHU/edit?usp=sharing  #gid=0"",""фіз особи new!relations_name""),6,FALSE)
,
(IF
(
C15707=""юридична особа""
,
VLOO"&amp;"KUP(D15707,IMPORTRANGE(""https://docs.google.com/spreadsheets/d/14Bd19lYaqBhU8_DElYkX7l4wRkHqqCUFNJY4AfY3kHU/edit?usp=sharing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6" s="7" t="s">
        <v>10</v>
      </c>
      <c r="H15706" s="7">
        <v>19704</v>
      </c>
      <c r="I15706" s="8" t="str">
        <f ca="1">IFERROR(__xludf.DUMMYFUNCTION("IF
(
G15707=""фізична особа""
,
VLOOKUP(H15707,IMPORTRANGE(""https://docs.google.com/spreadsheets/d/14Bd19lYaqBhU8_DElYkX7l4wRkHqqCUFNJY4AfY3kHU/edit?usp=sharing  #gid=0"",""фіз особи new!relations_name""),6,FALSE)
,
(IF
(
G15707=""юридична особа""
,
VLOO"&amp;"KUP(H15707,IMPORTRANGE(""https://docs.google.com/spreadsheets/d/14Bd19lYaqBhU8_DElYkX7l4wRkHqqCUFNJY4AfY3kHU/edit?usp=sharing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706" s="7" t="s">
        <v>23</v>
      </c>
    </row>
    <row r="15707" spans="1:10" ht="13.2">
      <c r="A15707" s="7">
        <v>15706</v>
      </c>
      <c r="B15707" s="7">
        <v>1</v>
      </c>
      <c r="C15707" s="7" t="s">
        <v>10</v>
      </c>
      <c r="D15707" s="7">
        <v>19707</v>
      </c>
      <c r="E15707" s="7" t="s">
        <v>23</v>
      </c>
      <c r="F15707" s="8" t="str">
        <f ca="1">IFERROR(__xludf.DUMMYFUNCTION("IF
(
C15708=""фізична особа""
,
VLOOKUP(D15708,IMPORTRANGE(""https://docs.google.com/spreadsheets/d/14Bd19lYaqBhU8_DElYkX7l4wRkHqqCUFNJY4AfY3kHU/edit?usp=sharing  #gid=0"",""фіз особи new!relations_name""),6,FALSE)
,
(IF
(
C15708=""юридична особа""
,
VLOO"&amp;"KUP(D15708,IMPORTRANGE(""https://docs.google.com/spreadsheets/d/14Bd19lYaqBhU8_DElYkX7l4wRkHqqCUFNJY4AfY3kHU/edit?usp=sharing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7" s="7" t="s">
        <v>10</v>
      </c>
      <c r="H15707" s="7">
        <v>19705</v>
      </c>
      <c r="I15707" s="8" t="str">
        <f ca="1">IFERROR(__xludf.DUMMYFUNCTION("IF
(
G15708=""фізична особа""
,
VLOOKUP(H15708,IMPORTRANGE(""https://docs.google.com/spreadsheets/d/14Bd19lYaqBhU8_DElYkX7l4wRkHqqCUFNJY4AfY3kHU/edit?usp=sharing  #gid=0"",""фіз особи new!relations_name""),6,FALSE)
,
(IF
(
G15708=""юридична особа""
,
VLOO"&amp;"KUP(H15708,IMPORTRANGE(""https://docs.google.com/spreadsheets/d/14Bd19lYaqBhU8_DElYkX7l4wRkHqqCUFNJY4AfY3kHU/edit?usp=sharing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707" s="7" t="s">
        <v>23</v>
      </c>
    </row>
    <row r="15708" spans="1:10" ht="13.2">
      <c r="A15708" s="7">
        <v>15707</v>
      </c>
      <c r="B15708" s="7">
        <v>1</v>
      </c>
      <c r="C15708" s="7" t="s">
        <v>10</v>
      </c>
      <c r="D15708" s="7">
        <v>19707</v>
      </c>
      <c r="E15708" s="7" t="s">
        <v>23</v>
      </c>
      <c r="F15708" s="8" t="str">
        <f ca="1">IFERROR(__xludf.DUMMYFUNCTION("IF
(
C15709=""фізична особа""
,
VLOOKUP(D15709,IMPORTRANGE(""https://docs.google.com/spreadsheets/d/14Bd19lYaqBhU8_DElYkX7l4wRkHqqCUFNJY4AfY3kHU/edit?usp=sharing  #gid=0"",""фіз особи new!relations_name""),6,FALSE)
,
(IF
(
C15709=""юридична особа""
,
VLOO"&amp;"KUP(D15709,IMPORTRANGE(""https://docs.google.com/spreadsheets/d/14Bd19lYaqBhU8_DElYkX7l4wRkHqqCUFNJY4AfY3kHU/edit?usp=sharing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8" s="7" t="s">
        <v>10</v>
      </c>
      <c r="H15708" s="7">
        <v>19706</v>
      </c>
      <c r="I15708" s="8" t="str">
        <f ca="1">IFERROR(__xludf.DUMMYFUNCTION("IF
(
G15709=""фізична особа""
,
VLOOKUP(H15709,IMPORTRANGE(""https://docs.google.com/spreadsheets/d/14Bd19lYaqBhU8_DElYkX7l4wRkHqqCUFNJY4AfY3kHU/edit?usp=sharing  #gid=0"",""фіз особи new!relations_name""),6,FALSE)
,
(IF
(
G15709=""юридична особа""
,
VLOO"&amp;"KUP(H15709,IMPORTRANGE(""https://docs.google.com/spreadsheets/d/14Bd19lYaqBhU8_DElYkX7l4wRkHqqCUFNJY4AfY3kHU/edit?usp=sharing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708" s="7" t="s">
        <v>23</v>
      </c>
    </row>
    <row r="15709" spans="1:10" ht="13.2">
      <c r="A15709" s="7">
        <v>15708</v>
      </c>
      <c r="B15709" s="7">
        <v>1</v>
      </c>
      <c r="C15709" s="7" t="s">
        <v>10</v>
      </c>
      <c r="D15709" s="7">
        <v>19707</v>
      </c>
      <c r="E15709" s="7" t="s">
        <v>23</v>
      </c>
      <c r="F15709" s="8" t="str">
        <f ca="1">IFERROR(__xludf.DUMMYFUNCTION("IF
(
C15710=""фізична особа""
,
VLOOKUP(D15710,IMPORTRANGE(""https://docs.google.com/spreadsheets/d/14Bd19lYaqBhU8_DElYkX7l4wRkHqqCUFNJY4AfY3kHU/edit?usp=sharing  #gid=0"",""фіз особи new!relations_name""),6,FALSE)
,
(IF
(
C15710=""юридична особа""
,
VLOO"&amp;"KUP(D15710,IMPORTRANGE(""https://docs.google.com/spreadsheets/d/14Bd19lYaqBhU8_DElYkX7l4wRkHqqCUFNJY4AfY3kHU/edit?usp=sharing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09" s="7" t="s">
        <v>10</v>
      </c>
      <c r="H15709" s="7">
        <v>19708</v>
      </c>
      <c r="I15709" s="8" t="str">
        <f ca="1">IFERROR(__xludf.DUMMYFUNCTION("IF
(
G15710=""фізична особа""
,
VLOOKUP(H15710,IMPORTRANGE(""https://docs.google.com/spreadsheets/d/14Bd19lYaqBhU8_DElYkX7l4wRkHqqCUFNJY4AfY3kHU/edit?usp=sharing  #gid=0"",""фіз особи new!relations_name""),6,FALSE)
,
(IF
(
G15710=""юридична особа""
,
VLOO"&amp;"KUP(H15710,IMPORTRANGE(""https://docs.google.com/spreadsheets/d/14Bd19lYaqBhU8_DElYkX7l4wRkHqqCUFNJY4AfY3kHU/edit?usp=sharing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709" s="7" t="s">
        <v>23</v>
      </c>
    </row>
    <row r="15710" spans="1:10" ht="13.2">
      <c r="A15710" s="7">
        <v>15709</v>
      </c>
      <c r="B15710" s="7">
        <v>1</v>
      </c>
      <c r="C15710" s="7" t="s">
        <v>10</v>
      </c>
      <c r="D15710" s="7">
        <v>19707</v>
      </c>
      <c r="E15710" s="7" t="s">
        <v>23</v>
      </c>
      <c r="F15710" s="8" t="str">
        <f ca="1">IFERROR(__xludf.DUMMYFUNCTION("IF
(
C15711=""фізична особа""
,
VLOOKUP(D15711,IMPORTRANGE(""https://docs.google.com/spreadsheets/d/14Bd19lYaqBhU8_DElYkX7l4wRkHqqCUFNJY4AfY3kHU/edit?usp=sharing  #gid=0"",""фіз особи new!relations_name""),6,FALSE)
,
(IF
(
C15711=""юридична особа""
,
VLOO"&amp;"KUP(D15711,IMPORTRANGE(""https://docs.google.com/spreadsheets/d/14Bd19lYaqBhU8_DElYkX7l4wRkHqqCUFNJY4AfY3kHU/edit?usp=sharing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10" s="7" t="s">
        <v>10</v>
      </c>
      <c r="H15710" s="7">
        <v>19709</v>
      </c>
      <c r="I15710" s="8" t="str">
        <f ca="1">IFERROR(__xludf.DUMMYFUNCTION("IF
(
G15711=""фізична особа""
,
VLOOKUP(H15711,IMPORTRANGE(""https://docs.google.com/spreadsheets/d/14Bd19lYaqBhU8_DElYkX7l4wRkHqqCUFNJY4AfY3kHU/edit?usp=sharing  #gid=0"",""фіз особи new!relations_name""),6,FALSE)
,
(IF
(
G15711=""юридична особа""
,
VLOO"&amp;"KUP(H15711,IMPORTRANGE(""https://docs.google.com/spreadsheets/d/14Bd19lYaqBhU8_DElYkX7l4wRkHqqCUFNJY4AfY3kHU/edit?usp=sharing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710" s="7" t="s">
        <v>23</v>
      </c>
    </row>
    <row r="15711" spans="1:10" ht="13.2">
      <c r="A15711" s="7">
        <v>15710</v>
      </c>
      <c r="B15711" s="7">
        <v>1</v>
      </c>
      <c r="C15711" s="7" t="s">
        <v>10</v>
      </c>
      <c r="D15711" s="7">
        <v>19707</v>
      </c>
      <c r="E15711" s="7" t="s">
        <v>23</v>
      </c>
      <c r="F15711" s="8" t="str">
        <f ca="1">IFERROR(__xludf.DUMMYFUNCTION("IF
(
C15712=""фізична особа""
,
VLOOKUP(D15712,IMPORTRANGE(""https://docs.google.com/spreadsheets/d/14Bd19lYaqBhU8_DElYkX7l4wRkHqqCUFNJY4AfY3kHU/edit?usp=sharing  #gid=0"",""фіз особи new!relations_name""),6,FALSE)
,
(IF
(
C15712=""юридична особа""
,
VLOO"&amp;"KUP(D15712,IMPORTRANGE(""https://docs.google.com/spreadsheets/d/14Bd19lYaqBhU8_DElYkX7l4wRkHqqCUFNJY4AfY3kHU/edit?usp=sharing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G15711" s="7" t="s">
        <v>10</v>
      </c>
      <c r="H15711" s="7">
        <v>19710</v>
      </c>
      <c r="I15711" s="8" t="str">
        <f ca="1">IFERROR(__xludf.DUMMYFUNCTION("IF
(
G15712=""фізична особа""
,
VLOOKUP(H15712,IMPORTRANGE(""https://docs.google.com/spreadsheets/d/14Bd19lYaqBhU8_DElYkX7l4wRkHqqCUFNJY4AfY3kHU/edit?usp=sharing  #gid=0"",""фіз особи new!relations_name""),6,FALSE)
,
(IF
(
G15712=""юридична особа""
,
VLOO"&amp;"KUP(H15712,IMPORTRANGE(""https://docs.google.com/spreadsheets/d/14Bd19lYaqBhU8_DElYkX7l4wRkHqqCUFNJY4AfY3kHU/edit?usp=sharing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711" s="7" t="s">
        <v>23</v>
      </c>
    </row>
    <row r="15712" spans="1:10" ht="13.2">
      <c r="A15712" s="7">
        <v>15711</v>
      </c>
      <c r="B15712" s="7">
        <v>1</v>
      </c>
      <c r="C15712" s="7" t="s">
        <v>10</v>
      </c>
      <c r="D15712" s="7">
        <v>19708</v>
      </c>
      <c r="E15712" s="7" t="s">
        <v>23</v>
      </c>
      <c r="F15712" s="8" t="str">
        <f ca="1">IFERROR(__xludf.DUMMYFUNCTION("IF
(
C15713=""фізична особа""
,
VLOOKUP(D15713,IMPORTRANGE(""https://docs.google.com/spreadsheets/d/14Bd19lYaqBhU8_DElYkX7l4wRkHqqCUFNJY4AfY3kHU/edit?usp=sharing  #gid=0"",""фіз особи new!relations_name""),6,FALSE)
,
(IF
(
C15713=""юридична особа""
,
VLOO"&amp;"KUP(D15713,IMPORTRANGE(""https://docs.google.com/spreadsheets/d/14Bd19lYaqBhU8_DElYkX7l4wRkHqqCUFNJY4AfY3kHU/edit?usp=sharing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2" s="7" t="s">
        <v>10</v>
      </c>
      <c r="H15712" s="7">
        <v>19698</v>
      </c>
      <c r="I15712" s="8" t="str">
        <f ca="1">IFERROR(__xludf.DUMMYFUNCTION("IF
(
G15713=""фізична особа""
,
VLOOKUP(H15713,IMPORTRANGE(""https://docs.google.com/spreadsheets/d/14Bd19lYaqBhU8_DElYkX7l4wRkHqqCUFNJY4AfY3kHU/edit?usp=sharing  #gid=0"",""фіз особи new!relations_name""),6,FALSE)
,
(IF
(
G15713=""юридична особа""
,
VLOO"&amp;"KUP(H15713,IMPORTRANGE(""https://docs.google.com/spreadsheets/d/14Bd19lYaqBhU8_DElYkX7l4wRkHqqCUFNJY4AfY3kHU/edit?usp=sharing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712" s="7" t="s">
        <v>23</v>
      </c>
    </row>
    <row r="15713" spans="1:10" ht="13.2">
      <c r="A15713" s="7">
        <v>15712</v>
      </c>
      <c r="B15713" s="7">
        <v>1</v>
      </c>
      <c r="C15713" s="7" t="s">
        <v>10</v>
      </c>
      <c r="D15713" s="7">
        <v>19708</v>
      </c>
      <c r="E15713" s="7" t="s">
        <v>23</v>
      </c>
      <c r="F15713" s="8" t="str">
        <f ca="1">IFERROR(__xludf.DUMMYFUNCTION("IF
(
C15714=""фізична особа""
,
VLOOKUP(D15714,IMPORTRANGE(""https://docs.google.com/spreadsheets/d/14Bd19lYaqBhU8_DElYkX7l4wRkHqqCUFNJY4AfY3kHU/edit?usp=sharing  #gid=0"",""фіз особи new!relations_name""),6,FALSE)
,
(IF
(
C15714=""юридична особа""
,
VLOO"&amp;"KUP(D15714,IMPORTRANGE(""https://docs.google.com/spreadsheets/d/14Bd19lYaqBhU8_DElYkX7l4wRkHqqCUFNJY4AfY3kHU/edit?usp=sharing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3" s="7" t="s">
        <v>10</v>
      </c>
      <c r="H15713" s="7">
        <v>19699</v>
      </c>
      <c r="I15713" s="8" t="str">
        <f ca="1">IFERROR(__xludf.DUMMYFUNCTION("IF
(
G15714=""фізична особа""
,
VLOOKUP(H15714,IMPORTRANGE(""https://docs.google.com/spreadsheets/d/14Bd19lYaqBhU8_DElYkX7l4wRkHqqCUFNJY4AfY3kHU/edit?usp=sharing  #gid=0"",""фіз особи new!relations_name""),6,FALSE)
,
(IF
(
G15714=""юридична особа""
,
VLOO"&amp;"KUP(H15714,IMPORTRANGE(""https://docs.google.com/spreadsheets/d/14Bd19lYaqBhU8_DElYkX7l4wRkHqqCUFNJY4AfY3kHU/edit?usp=sharing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713" s="7" t="s">
        <v>23</v>
      </c>
    </row>
    <row r="15714" spans="1:10" ht="13.2">
      <c r="A15714" s="7">
        <v>15713</v>
      </c>
      <c r="B15714" s="7">
        <v>1</v>
      </c>
      <c r="C15714" s="7" t="s">
        <v>10</v>
      </c>
      <c r="D15714" s="7">
        <v>19708</v>
      </c>
      <c r="E15714" s="7" t="s">
        <v>23</v>
      </c>
      <c r="F15714" s="8" t="str">
        <f ca="1">IFERROR(__xludf.DUMMYFUNCTION("IF
(
C15715=""фізична особа""
,
VLOOKUP(D15715,IMPORTRANGE(""https://docs.google.com/spreadsheets/d/14Bd19lYaqBhU8_DElYkX7l4wRkHqqCUFNJY4AfY3kHU/edit?usp=sharing  #gid=0"",""фіз особи new!relations_name""),6,FALSE)
,
(IF
(
C15715=""юридична особа""
,
VLOO"&amp;"KUP(D15715,IMPORTRANGE(""https://docs.google.com/spreadsheets/d/14Bd19lYaqBhU8_DElYkX7l4wRkHqqCUFNJY4AfY3kHU/edit?usp=sharing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4" s="7" t="s">
        <v>10</v>
      </c>
      <c r="H15714" s="7">
        <v>19700</v>
      </c>
      <c r="I15714" s="8" t="str">
        <f ca="1">IFERROR(__xludf.DUMMYFUNCTION("IF
(
G15715=""фізична особа""
,
VLOOKUP(H15715,IMPORTRANGE(""https://docs.google.com/spreadsheets/d/14Bd19lYaqBhU8_DElYkX7l4wRkHqqCUFNJY4AfY3kHU/edit?usp=sharing  #gid=0"",""фіз особи new!relations_name""),6,FALSE)
,
(IF
(
G15715=""юридична особа""
,
VLOO"&amp;"KUP(H15715,IMPORTRANGE(""https://docs.google.com/spreadsheets/d/14Bd19lYaqBhU8_DElYkX7l4wRkHqqCUFNJY4AfY3kHU/edit?usp=sharing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714" s="7" t="s">
        <v>23</v>
      </c>
    </row>
    <row r="15715" spans="1:10" ht="13.2">
      <c r="A15715" s="7">
        <v>15714</v>
      </c>
      <c r="B15715" s="7">
        <v>1</v>
      </c>
      <c r="C15715" s="7" t="s">
        <v>10</v>
      </c>
      <c r="D15715" s="7">
        <v>19708</v>
      </c>
      <c r="E15715" s="7" t="s">
        <v>23</v>
      </c>
      <c r="F15715" s="8" t="str">
        <f ca="1">IFERROR(__xludf.DUMMYFUNCTION("IF
(
C15716=""фізична особа""
,
VLOOKUP(D15716,IMPORTRANGE(""https://docs.google.com/spreadsheets/d/14Bd19lYaqBhU8_DElYkX7l4wRkHqqCUFNJY4AfY3kHU/edit?usp=sharing  #gid=0"",""фіз особи new!relations_name""),6,FALSE)
,
(IF
(
C15716=""юридична особа""
,
VLOO"&amp;"KUP(D15716,IMPORTRANGE(""https://docs.google.com/spreadsheets/d/14Bd19lYaqBhU8_DElYkX7l4wRkHqqCUFNJY4AfY3kHU/edit?usp=sharing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5" s="7" t="s">
        <v>10</v>
      </c>
      <c r="H15715" s="7">
        <v>19701</v>
      </c>
      <c r="I15715" s="8" t="str">
        <f ca="1">IFERROR(__xludf.DUMMYFUNCTION("IF
(
G15716=""фізична особа""
,
VLOOKUP(H15716,IMPORTRANGE(""https://docs.google.com/spreadsheets/d/14Bd19lYaqBhU8_DElYkX7l4wRkHqqCUFNJY4AfY3kHU/edit?usp=sharing  #gid=0"",""фіз особи new!relations_name""),6,FALSE)
,
(IF
(
G15716=""юридична особа""
,
VLOO"&amp;"KUP(H15716,IMPORTRANGE(""https://docs.google.com/spreadsheets/d/14Bd19lYaqBhU8_DElYkX7l4wRkHqqCUFNJY4AfY3kHU/edit?usp=sharing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715" s="7" t="s">
        <v>23</v>
      </c>
    </row>
    <row r="15716" spans="1:10" ht="13.2">
      <c r="A15716" s="7">
        <v>15715</v>
      </c>
      <c r="B15716" s="7">
        <v>1</v>
      </c>
      <c r="C15716" s="7" t="s">
        <v>10</v>
      </c>
      <c r="D15716" s="7">
        <v>19708</v>
      </c>
      <c r="E15716" s="7" t="s">
        <v>23</v>
      </c>
      <c r="F15716" s="8" t="str">
        <f ca="1">IFERROR(__xludf.DUMMYFUNCTION("IF
(
C15717=""фізична особа""
,
VLOOKUP(D15717,IMPORTRANGE(""https://docs.google.com/spreadsheets/d/14Bd19lYaqBhU8_DElYkX7l4wRkHqqCUFNJY4AfY3kHU/edit?usp=sharing  #gid=0"",""фіз особи new!relations_name""),6,FALSE)
,
(IF
(
C15717=""юридична особа""
,
VLOO"&amp;"KUP(D15717,IMPORTRANGE(""https://docs.google.com/spreadsheets/d/14Bd19lYaqBhU8_DElYkX7l4wRkHqqCUFNJY4AfY3kHU/edit?usp=sharing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6" s="7" t="s">
        <v>10</v>
      </c>
      <c r="H15716" s="7">
        <v>19702</v>
      </c>
      <c r="I15716" s="8" t="str">
        <f ca="1">IFERROR(__xludf.DUMMYFUNCTION("IF
(
G15717=""фізична особа""
,
VLOOKUP(H15717,IMPORTRANGE(""https://docs.google.com/spreadsheets/d/14Bd19lYaqBhU8_DElYkX7l4wRkHqqCUFNJY4AfY3kHU/edit?usp=sharing  #gid=0"",""фіз особи new!relations_name""),6,FALSE)
,
(IF
(
G15717=""юридична особа""
,
VLOO"&amp;"KUP(H15717,IMPORTRANGE(""https://docs.google.com/spreadsheets/d/14Bd19lYaqBhU8_DElYkX7l4wRkHqqCUFNJY4AfY3kHU/edit?usp=sharing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716" s="7" t="s">
        <v>23</v>
      </c>
    </row>
    <row r="15717" spans="1:10" ht="13.2">
      <c r="A15717" s="7">
        <v>15716</v>
      </c>
      <c r="B15717" s="7">
        <v>1</v>
      </c>
      <c r="C15717" s="7" t="s">
        <v>10</v>
      </c>
      <c r="D15717" s="7">
        <v>19708</v>
      </c>
      <c r="E15717" s="7" t="s">
        <v>23</v>
      </c>
      <c r="F15717" s="8" t="str">
        <f ca="1">IFERROR(__xludf.DUMMYFUNCTION("IF
(
C15718=""фізична особа""
,
VLOOKUP(D15718,IMPORTRANGE(""https://docs.google.com/spreadsheets/d/14Bd19lYaqBhU8_DElYkX7l4wRkHqqCUFNJY4AfY3kHU/edit?usp=sharing  #gid=0"",""фіз особи new!relations_name""),6,FALSE)
,
(IF
(
C15718=""юридична особа""
,
VLOO"&amp;"KUP(D15718,IMPORTRANGE(""https://docs.google.com/spreadsheets/d/14Bd19lYaqBhU8_DElYkX7l4wRkHqqCUFNJY4AfY3kHU/edit?usp=sharing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7" s="7" t="s">
        <v>10</v>
      </c>
      <c r="H15717" s="7">
        <v>19703</v>
      </c>
      <c r="I15717" s="8" t="str">
        <f ca="1">IFERROR(__xludf.DUMMYFUNCTION("IF
(
G15718=""фізична особа""
,
VLOOKUP(H15718,IMPORTRANGE(""https://docs.google.com/spreadsheets/d/14Bd19lYaqBhU8_DElYkX7l4wRkHqqCUFNJY4AfY3kHU/edit?usp=sharing  #gid=0"",""фіз особи new!relations_name""),6,FALSE)
,
(IF
(
G15718=""юридична особа""
,
VLOO"&amp;"KUP(H15718,IMPORTRANGE(""https://docs.google.com/spreadsheets/d/14Bd19lYaqBhU8_DElYkX7l4wRkHqqCUFNJY4AfY3kHU/edit?usp=sharing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717" s="7" t="s">
        <v>23</v>
      </c>
    </row>
    <row r="15718" spans="1:10" ht="13.2">
      <c r="A15718" s="7">
        <v>15717</v>
      </c>
      <c r="B15718" s="7">
        <v>1</v>
      </c>
      <c r="C15718" s="7" t="s">
        <v>10</v>
      </c>
      <c r="D15718" s="7">
        <v>19708</v>
      </c>
      <c r="E15718" s="7" t="s">
        <v>23</v>
      </c>
      <c r="F15718" s="8" t="str">
        <f ca="1">IFERROR(__xludf.DUMMYFUNCTION("IF
(
C15719=""фізична особа""
,
VLOOKUP(D15719,IMPORTRANGE(""https://docs.google.com/spreadsheets/d/14Bd19lYaqBhU8_DElYkX7l4wRkHqqCUFNJY4AfY3kHU/edit?usp=sharing  #gid=0"",""фіз особи new!relations_name""),6,FALSE)
,
(IF
(
C15719=""юридична особа""
,
VLOO"&amp;"KUP(D15719,IMPORTRANGE(""https://docs.google.com/spreadsheets/d/14Bd19lYaqBhU8_DElYkX7l4wRkHqqCUFNJY4AfY3kHU/edit?usp=sharing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8" s="7" t="s">
        <v>10</v>
      </c>
      <c r="H15718" s="7">
        <v>19704</v>
      </c>
      <c r="I15718" s="8" t="str">
        <f ca="1">IFERROR(__xludf.DUMMYFUNCTION("IF
(
G15719=""фізична особа""
,
VLOOKUP(H15719,IMPORTRANGE(""https://docs.google.com/spreadsheets/d/14Bd19lYaqBhU8_DElYkX7l4wRkHqqCUFNJY4AfY3kHU/edit?usp=sharing  #gid=0"",""фіз особи new!relations_name""),6,FALSE)
,
(IF
(
G15719=""юридична особа""
,
VLOO"&amp;"KUP(H15719,IMPORTRANGE(""https://docs.google.com/spreadsheets/d/14Bd19lYaqBhU8_DElYkX7l4wRkHqqCUFNJY4AfY3kHU/edit?usp=sharing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718" s="7" t="s">
        <v>23</v>
      </c>
    </row>
    <row r="15719" spans="1:10" ht="13.2">
      <c r="A15719" s="7">
        <v>15718</v>
      </c>
      <c r="B15719" s="7">
        <v>1</v>
      </c>
      <c r="C15719" s="7" t="s">
        <v>10</v>
      </c>
      <c r="D15719" s="7">
        <v>19708</v>
      </c>
      <c r="E15719" s="7" t="s">
        <v>23</v>
      </c>
      <c r="F15719" s="8" t="str">
        <f ca="1">IFERROR(__xludf.DUMMYFUNCTION("IF
(
C15720=""фізична особа""
,
VLOOKUP(D15720,IMPORTRANGE(""https://docs.google.com/spreadsheets/d/14Bd19lYaqBhU8_DElYkX7l4wRkHqqCUFNJY4AfY3kHU/edit?usp=sharing  #gid=0"",""фіз особи new!relations_name""),6,FALSE)
,
(IF
(
C15720=""юридична особа""
,
VLOO"&amp;"KUP(D15720,IMPORTRANGE(""https://docs.google.com/spreadsheets/d/14Bd19lYaqBhU8_DElYkX7l4wRkHqqCUFNJY4AfY3kHU/edit?usp=sharing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19" s="7" t="s">
        <v>10</v>
      </c>
      <c r="H15719" s="7">
        <v>19705</v>
      </c>
      <c r="I15719" s="8" t="str">
        <f ca="1">IFERROR(__xludf.DUMMYFUNCTION("IF
(
G15720=""фізична особа""
,
VLOOKUP(H15720,IMPORTRANGE(""https://docs.google.com/spreadsheets/d/14Bd19lYaqBhU8_DElYkX7l4wRkHqqCUFNJY4AfY3kHU/edit?usp=sharing  #gid=0"",""фіз особи new!relations_name""),6,FALSE)
,
(IF
(
G15720=""юридична особа""
,
VLOO"&amp;"KUP(H15720,IMPORTRANGE(""https://docs.google.com/spreadsheets/d/14Bd19lYaqBhU8_DElYkX7l4wRkHqqCUFNJY4AfY3kHU/edit?usp=sharing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719" s="7" t="s">
        <v>23</v>
      </c>
    </row>
    <row r="15720" spans="1:10" ht="13.2">
      <c r="A15720" s="7">
        <v>15719</v>
      </c>
      <c r="B15720" s="7">
        <v>1</v>
      </c>
      <c r="C15720" s="7" t="s">
        <v>10</v>
      </c>
      <c r="D15720" s="7">
        <v>19708</v>
      </c>
      <c r="E15720" s="7" t="s">
        <v>23</v>
      </c>
      <c r="F15720" s="8" t="str">
        <f ca="1">IFERROR(__xludf.DUMMYFUNCTION("IF
(
C15721=""фізична особа""
,
VLOOKUP(D15721,IMPORTRANGE(""https://docs.google.com/spreadsheets/d/14Bd19lYaqBhU8_DElYkX7l4wRkHqqCUFNJY4AfY3kHU/edit?usp=sharing  #gid=0"",""фіз особи new!relations_name""),6,FALSE)
,
(IF
(
C15721=""юридична особа""
,
VLOO"&amp;"KUP(D15721,IMPORTRANGE(""https://docs.google.com/spreadsheets/d/14Bd19lYaqBhU8_DElYkX7l4wRkHqqCUFNJY4AfY3kHU/edit?usp=sharing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20" s="7" t="s">
        <v>10</v>
      </c>
      <c r="H15720" s="7">
        <v>19706</v>
      </c>
      <c r="I15720" s="8" t="str">
        <f ca="1">IFERROR(__xludf.DUMMYFUNCTION("IF
(
G15721=""фізична особа""
,
VLOOKUP(H15721,IMPORTRANGE(""https://docs.google.com/spreadsheets/d/14Bd19lYaqBhU8_DElYkX7l4wRkHqqCUFNJY4AfY3kHU/edit?usp=sharing  #gid=0"",""фіз особи new!relations_name""),6,FALSE)
,
(IF
(
G15721=""юридична особа""
,
VLOO"&amp;"KUP(H15721,IMPORTRANGE(""https://docs.google.com/spreadsheets/d/14Bd19lYaqBhU8_DElYkX7l4wRkHqqCUFNJY4AfY3kHU/edit?usp=sharing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720" s="7" t="s">
        <v>23</v>
      </c>
    </row>
    <row r="15721" spans="1:10" ht="13.2">
      <c r="A15721" s="7">
        <v>15720</v>
      </c>
      <c r="B15721" s="7">
        <v>1</v>
      </c>
      <c r="C15721" s="7" t="s">
        <v>10</v>
      </c>
      <c r="D15721" s="7">
        <v>19708</v>
      </c>
      <c r="E15721" s="7" t="s">
        <v>23</v>
      </c>
      <c r="F15721" s="8" t="str">
        <f ca="1">IFERROR(__xludf.DUMMYFUNCTION("IF
(
C15722=""фізична особа""
,
VLOOKUP(D15722,IMPORTRANGE(""https://docs.google.com/spreadsheets/d/14Bd19lYaqBhU8_DElYkX7l4wRkHqqCUFNJY4AfY3kHU/edit?usp=sharing  #gid=0"",""фіз особи new!relations_name""),6,FALSE)
,
(IF
(
C15722=""юридична особа""
,
VLOO"&amp;"KUP(D15722,IMPORTRANGE(""https://docs.google.com/spreadsheets/d/14Bd19lYaqBhU8_DElYkX7l4wRkHqqCUFNJY4AfY3kHU/edit?usp=sharing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21" s="7" t="s">
        <v>10</v>
      </c>
      <c r="H15721" s="7">
        <v>19707</v>
      </c>
      <c r="I15721" s="8" t="str">
        <f ca="1">IFERROR(__xludf.DUMMYFUNCTION("IF
(
G15722=""фізична особа""
,
VLOOKUP(H15722,IMPORTRANGE(""https://docs.google.com/spreadsheets/d/14Bd19lYaqBhU8_DElYkX7l4wRkHqqCUFNJY4AfY3kHU/edit?usp=sharing  #gid=0"",""фіз особи new!relations_name""),6,FALSE)
,
(IF
(
G15722=""юридична особа""
,
VLOO"&amp;"KUP(H15722,IMPORTRANGE(""https://docs.google.com/spreadsheets/d/14Bd19lYaqBhU8_DElYkX7l4wRkHqqCUFNJY4AfY3kHU/edit?usp=sharing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721" s="7" t="s">
        <v>23</v>
      </c>
    </row>
    <row r="15722" spans="1:10" ht="13.2">
      <c r="A15722" s="7">
        <v>15721</v>
      </c>
      <c r="B15722" s="7">
        <v>1</v>
      </c>
      <c r="C15722" s="7" t="s">
        <v>10</v>
      </c>
      <c r="D15722" s="7">
        <v>19708</v>
      </c>
      <c r="E15722" s="7" t="s">
        <v>23</v>
      </c>
      <c r="F15722" s="8" t="str">
        <f ca="1">IFERROR(__xludf.DUMMYFUNCTION("IF
(
C15723=""фізична особа""
,
VLOOKUP(D15723,IMPORTRANGE(""https://docs.google.com/spreadsheets/d/14Bd19lYaqBhU8_DElYkX7l4wRkHqqCUFNJY4AfY3kHU/edit?usp=sharing  #gid=0"",""фіз особи new!relations_name""),6,FALSE)
,
(IF
(
C15723=""юридична особа""
,
VLOO"&amp;"KUP(D15723,IMPORTRANGE(""https://docs.google.com/spreadsheets/d/14Bd19lYaqBhU8_DElYkX7l4wRkHqqCUFNJY4AfY3kHU/edit?usp=sharing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22" s="7" t="s">
        <v>10</v>
      </c>
      <c r="H15722" s="7">
        <v>19709</v>
      </c>
      <c r="I15722" s="8" t="str">
        <f ca="1">IFERROR(__xludf.DUMMYFUNCTION("IF
(
G15723=""фізична особа""
,
VLOOKUP(H15723,IMPORTRANGE(""https://docs.google.com/spreadsheets/d/14Bd19lYaqBhU8_DElYkX7l4wRkHqqCUFNJY4AfY3kHU/edit?usp=sharing  #gid=0"",""фіз особи new!relations_name""),6,FALSE)
,
(IF
(
G15723=""юридична особа""
,
VLOO"&amp;"KUP(H15723,IMPORTRANGE(""https://docs.google.com/spreadsheets/d/14Bd19lYaqBhU8_DElYkX7l4wRkHqqCUFNJY4AfY3kHU/edit?usp=sharing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722" s="7" t="s">
        <v>23</v>
      </c>
    </row>
    <row r="15723" spans="1:10" ht="13.2">
      <c r="A15723" s="7">
        <v>15722</v>
      </c>
      <c r="B15723" s="7">
        <v>1</v>
      </c>
      <c r="C15723" s="7" t="s">
        <v>10</v>
      </c>
      <c r="D15723" s="7">
        <v>19708</v>
      </c>
      <c r="E15723" s="7" t="s">
        <v>23</v>
      </c>
      <c r="F15723" s="8" t="str">
        <f ca="1">IFERROR(__xludf.DUMMYFUNCTION("IF
(
C15724=""фізична особа""
,
VLOOKUP(D15724,IMPORTRANGE(""https://docs.google.com/spreadsheets/d/14Bd19lYaqBhU8_DElYkX7l4wRkHqqCUFNJY4AfY3kHU/edit?usp=sharing  #gid=0"",""фіз особи new!relations_name""),6,FALSE)
,
(IF
(
C15724=""юридична особа""
,
VLOO"&amp;"KUP(D15724,IMPORTRANGE(""https://docs.google.com/spreadsheets/d/14Bd19lYaqBhU8_DElYkX7l4wRkHqqCUFNJY4AfY3kHU/edit?usp=sharing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G15723" s="7" t="s">
        <v>10</v>
      </c>
      <c r="H15723" s="7">
        <v>19710</v>
      </c>
      <c r="I15723" s="8" t="str">
        <f ca="1">IFERROR(__xludf.DUMMYFUNCTION("IF
(
G15724=""фізична особа""
,
VLOOKUP(H15724,IMPORTRANGE(""https://docs.google.com/spreadsheets/d/14Bd19lYaqBhU8_DElYkX7l4wRkHqqCUFNJY4AfY3kHU/edit?usp=sharing  #gid=0"",""фіз особи new!relations_name""),6,FALSE)
,
(IF
(
G15724=""юридична особа""
,
VLOO"&amp;"KUP(H15724,IMPORTRANGE(""https://docs.google.com/spreadsheets/d/14Bd19lYaqBhU8_DElYkX7l4wRkHqqCUFNJY4AfY3kHU/edit?usp=sharing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723" s="7" t="s">
        <v>23</v>
      </c>
    </row>
    <row r="15724" spans="1:10" ht="13.2">
      <c r="A15724" s="7">
        <v>15723</v>
      </c>
      <c r="B15724" s="7">
        <v>1</v>
      </c>
      <c r="C15724" s="7" t="s">
        <v>10</v>
      </c>
      <c r="D15724" s="7">
        <v>19709</v>
      </c>
      <c r="E15724" s="7" t="s">
        <v>23</v>
      </c>
      <c r="F15724" s="8" t="str">
        <f ca="1">IFERROR(__xludf.DUMMYFUNCTION("IF
(
C15725=""фізична особа""
,
VLOOKUP(D15725,IMPORTRANGE(""https://docs.google.com/spreadsheets/d/14Bd19lYaqBhU8_DElYkX7l4wRkHqqCUFNJY4AfY3kHU/edit?usp=sharing  #gid=0"",""фіз особи new!relations_name""),6,FALSE)
,
(IF
(
C15725=""юридична особа""
,
VLOO"&amp;"KUP(D15725,IMPORTRANGE(""https://docs.google.com/spreadsheets/d/14Bd19lYaqBhU8_DElYkX7l4wRkHqqCUFNJY4AfY3kHU/edit?usp=sharing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4" s="7" t="s">
        <v>10</v>
      </c>
      <c r="H15724" s="7">
        <v>19698</v>
      </c>
      <c r="I15724" s="8" t="str">
        <f ca="1">IFERROR(__xludf.DUMMYFUNCTION("IF
(
G15725=""фізична особа""
,
VLOOKUP(H15725,IMPORTRANGE(""https://docs.google.com/spreadsheets/d/14Bd19lYaqBhU8_DElYkX7l4wRkHqqCUFNJY4AfY3kHU/edit?usp=sharing  #gid=0"",""фіз особи new!relations_name""),6,FALSE)
,
(IF
(
G15725=""юридична особа""
,
VLOO"&amp;"KUP(H15725,IMPORTRANGE(""https://docs.google.com/spreadsheets/d/14Bd19lYaqBhU8_DElYkX7l4wRkHqqCUFNJY4AfY3kHU/edit?usp=sharing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724" s="7" t="s">
        <v>23</v>
      </c>
    </row>
    <row r="15725" spans="1:10" ht="13.2">
      <c r="A15725" s="7">
        <v>15724</v>
      </c>
      <c r="B15725" s="7">
        <v>1</v>
      </c>
      <c r="C15725" s="7" t="s">
        <v>10</v>
      </c>
      <c r="D15725" s="7">
        <v>19709</v>
      </c>
      <c r="E15725" s="7" t="s">
        <v>23</v>
      </c>
      <c r="F15725" s="8" t="str">
        <f ca="1">IFERROR(__xludf.DUMMYFUNCTION("IF
(
C15726=""фізична особа""
,
VLOOKUP(D15726,IMPORTRANGE(""https://docs.google.com/spreadsheets/d/14Bd19lYaqBhU8_DElYkX7l4wRkHqqCUFNJY4AfY3kHU/edit?usp=sharing  #gid=0"",""фіз особи new!relations_name""),6,FALSE)
,
(IF
(
C15726=""юридична особа""
,
VLOO"&amp;"KUP(D15726,IMPORTRANGE(""https://docs.google.com/spreadsheets/d/14Bd19lYaqBhU8_DElYkX7l4wRkHqqCUFNJY4AfY3kHU/edit?usp=sharing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5" s="7" t="s">
        <v>10</v>
      </c>
      <c r="H15725" s="7">
        <v>19699</v>
      </c>
      <c r="I15725" s="8" t="str">
        <f ca="1">IFERROR(__xludf.DUMMYFUNCTION("IF
(
G15726=""фізична особа""
,
VLOOKUP(H15726,IMPORTRANGE(""https://docs.google.com/spreadsheets/d/14Bd19lYaqBhU8_DElYkX7l4wRkHqqCUFNJY4AfY3kHU/edit?usp=sharing  #gid=0"",""фіз особи new!relations_name""),6,FALSE)
,
(IF
(
G15726=""юридична особа""
,
VLOO"&amp;"KUP(H15726,IMPORTRANGE(""https://docs.google.com/spreadsheets/d/14Bd19lYaqBhU8_DElYkX7l4wRkHqqCUFNJY4AfY3kHU/edit?usp=sharing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725" s="7" t="s">
        <v>23</v>
      </c>
    </row>
    <row r="15726" spans="1:10" ht="13.2">
      <c r="A15726" s="7">
        <v>15725</v>
      </c>
      <c r="B15726" s="7">
        <v>1</v>
      </c>
      <c r="C15726" s="7" t="s">
        <v>10</v>
      </c>
      <c r="D15726" s="7">
        <v>19709</v>
      </c>
      <c r="E15726" s="7" t="s">
        <v>23</v>
      </c>
      <c r="F15726" s="8" t="str">
        <f ca="1">IFERROR(__xludf.DUMMYFUNCTION("IF
(
C15727=""фізична особа""
,
VLOOKUP(D15727,IMPORTRANGE(""https://docs.google.com/spreadsheets/d/14Bd19lYaqBhU8_DElYkX7l4wRkHqqCUFNJY4AfY3kHU/edit?usp=sharing  #gid=0"",""фіз особи new!relations_name""),6,FALSE)
,
(IF
(
C15727=""юридична особа""
,
VLOO"&amp;"KUP(D15727,IMPORTRANGE(""https://docs.google.com/spreadsheets/d/14Bd19lYaqBhU8_DElYkX7l4wRkHqqCUFNJY4AfY3kHU/edit?usp=sharing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6" s="7" t="s">
        <v>10</v>
      </c>
      <c r="H15726" s="7">
        <v>19700</v>
      </c>
      <c r="I15726" s="8" t="str">
        <f ca="1">IFERROR(__xludf.DUMMYFUNCTION("IF
(
G15727=""фізична особа""
,
VLOOKUP(H15727,IMPORTRANGE(""https://docs.google.com/spreadsheets/d/14Bd19lYaqBhU8_DElYkX7l4wRkHqqCUFNJY4AfY3kHU/edit?usp=sharing  #gid=0"",""фіз особи new!relations_name""),6,FALSE)
,
(IF
(
G15727=""юридична особа""
,
VLOO"&amp;"KUP(H15727,IMPORTRANGE(""https://docs.google.com/spreadsheets/d/14Bd19lYaqBhU8_DElYkX7l4wRkHqqCUFNJY4AfY3kHU/edit?usp=sharing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726" s="7" t="s">
        <v>23</v>
      </c>
    </row>
    <row r="15727" spans="1:10" ht="13.2">
      <c r="A15727" s="7">
        <v>15726</v>
      </c>
      <c r="B15727" s="7">
        <v>1</v>
      </c>
      <c r="C15727" s="7" t="s">
        <v>10</v>
      </c>
      <c r="D15727" s="7">
        <v>19709</v>
      </c>
      <c r="E15727" s="7" t="s">
        <v>23</v>
      </c>
      <c r="F15727" s="8" t="str">
        <f ca="1">IFERROR(__xludf.DUMMYFUNCTION("IF
(
C15728=""фізична особа""
,
VLOOKUP(D15728,IMPORTRANGE(""https://docs.google.com/spreadsheets/d/14Bd19lYaqBhU8_DElYkX7l4wRkHqqCUFNJY4AfY3kHU/edit?usp=sharing  #gid=0"",""фіз особи new!relations_name""),6,FALSE)
,
(IF
(
C15728=""юридична особа""
,
VLOO"&amp;"KUP(D15728,IMPORTRANGE(""https://docs.google.com/spreadsheets/d/14Bd19lYaqBhU8_DElYkX7l4wRkHqqCUFNJY4AfY3kHU/edit?usp=sharing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7" s="7" t="s">
        <v>10</v>
      </c>
      <c r="H15727" s="7">
        <v>19701</v>
      </c>
      <c r="I15727" s="8" t="str">
        <f ca="1">IFERROR(__xludf.DUMMYFUNCTION("IF
(
G15728=""фізична особа""
,
VLOOKUP(H15728,IMPORTRANGE(""https://docs.google.com/spreadsheets/d/14Bd19lYaqBhU8_DElYkX7l4wRkHqqCUFNJY4AfY3kHU/edit?usp=sharing  #gid=0"",""фіз особи new!relations_name""),6,FALSE)
,
(IF
(
G15728=""юридична особа""
,
VLOO"&amp;"KUP(H15728,IMPORTRANGE(""https://docs.google.com/spreadsheets/d/14Bd19lYaqBhU8_DElYkX7l4wRkHqqCUFNJY4AfY3kHU/edit?usp=sharing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727" s="7" t="s">
        <v>23</v>
      </c>
    </row>
    <row r="15728" spans="1:10" ht="13.2">
      <c r="A15728" s="7">
        <v>15727</v>
      </c>
      <c r="B15728" s="7">
        <v>1</v>
      </c>
      <c r="C15728" s="7" t="s">
        <v>10</v>
      </c>
      <c r="D15728" s="7">
        <v>19709</v>
      </c>
      <c r="E15728" s="7" t="s">
        <v>23</v>
      </c>
      <c r="F15728" s="8" t="str">
        <f ca="1">IFERROR(__xludf.DUMMYFUNCTION("IF
(
C15729=""фізична особа""
,
VLOOKUP(D15729,IMPORTRANGE(""https://docs.google.com/spreadsheets/d/14Bd19lYaqBhU8_DElYkX7l4wRkHqqCUFNJY4AfY3kHU/edit?usp=sharing  #gid=0"",""фіз особи new!relations_name""),6,FALSE)
,
(IF
(
C15729=""юридична особа""
,
VLOO"&amp;"KUP(D15729,IMPORTRANGE(""https://docs.google.com/spreadsheets/d/14Bd19lYaqBhU8_DElYkX7l4wRkHqqCUFNJY4AfY3kHU/edit?usp=sharing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8" s="7" t="s">
        <v>10</v>
      </c>
      <c r="H15728" s="7">
        <v>19702</v>
      </c>
      <c r="I15728" s="8" t="str">
        <f ca="1">IFERROR(__xludf.DUMMYFUNCTION("IF
(
G15729=""фізична особа""
,
VLOOKUP(H15729,IMPORTRANGE(""https://docs.google.com/spreadsheets/d/14Bd19lYaqBhU8_DElYkX7l4wRkHqqCUFNJY4AfY3kHU/edit?usp=sharing  #gid=0"",""фіз особи new!relations_name""),6,FALSE)
,
(IF
(
G15729=""юридична особа""
,
VLOO"&amp;"KUP(H15729,IMPORTRANGE(""https://docs.google.com/spreadsheets/d/14Bd19lYaqBhU8_DElYkX7l4wRkHqqCUFNJY4AfY3kHU/edit?usp=sharing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728" s="7" t="s">
        <v>23</v>
      </c>
    </row>
    <row r="15729" spans="1:10" ht="13.2">
      <c r="A15729" s="7">
        <v>15728</v>
      </c>
      <c r="B15729" s="7">
        <v>1</v>
      </c>
      <c r="C15729" s="7" t="s">
        <v>10</v>
      </c>
      <c r="D15729" s="7">
        <v>19709</v>
      </c>
      <c r="E15729" s="7" t="s">
        <v>23</v>
      </c>
      <c r="F15729" s="8" t="str">
        <f ca="1">IFERROR(__xludf.DUMMYFUNCTION("IF
(
C15730=""фізична особа""
,
VLOOKUP(D15730,IMPORTRANGE(""https://docs.google.com/spreadsheets/d/14Bd19lYaqBhU8_DElYkX7l4wRkHqqCUFNJY4AfY3kHU/edit?usp=sharing  #gid=0"",""фіз особи new!relations_name""),6,FALSE)
,
(IF
(
C15730=""юридична особа""
,
VLOO"&amp;"KUP(D15730,IMPORTRANGE(""https://docs.google.com/spreadsheets/d/14Bd19lYaqBhU8_DElYkX7l4wRkHqqCUFNJY4AfY3kHU/edit?usp=sharing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29" s="7" t="s">
        <v>10</v>
      </c>
      <c r="H15729" s="7">
        <v>19703</v>
      </c>
      <c r="I15729" s="8" t="str">
        <f ca="1">IFERROR(__xludf.DUMMYFUNCTION("IF
(
G15730=""фізична особа""
,
VLOOKUP(H15730,IMPORTRANGE(""https://docs.google.com/spreadsheets/d/14Bd19lYaqBhU8_DElYkX7l4wRkHqqCUFNJY4AfY3kHU/edit?usp=sharing  #gid=0"",""фіз особи new!relations_name""),6,FALSE)
,
(IF
(
G15730=""юридична особа""
,
VLOO"&amp;"KUP(H15730,IMPORTRANGE(""https://docs.google.com/spreadsheets/d/14Bd19lYaqBhU8_DElYkX7l4wRkHqqCUFNJY4AfY3kHU/edit?usp=sharing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729" s="7" t="s">
        <v>23</v>
      </c>
    </row>
    <row r="15730" spans="1:10" ht="13.2">
      <c r="A15730" s="7">
        <v>15729</v>
      </c>
      <c r="B15730" s="7">
        <v>1</v>
      </c>
      <c r="C15730" s="7" t="s">
        <v>10</v>
      </c>
      <c r="D15730" s="7">
        <v>19709</v>
      </c>
      <c r="E15730" s="7" t="s">
        <v>23</v>
      </c>
      <c r="F15730" s="8" t="str">
        <f ca="1">IFERROR(__xludf.DUMMYFUNCTION("IF
(
C15731=""фізична особа""
,
VLOOKUP(D15731,IMPORTRANGE(""https://docs.google.com/spreadsheets/d/14Bd19lYaqBhU8_DElYkX7l4wRkHqqCUFNJY4AfY3kHU/edit?usp=sharing  #gid=0"",""фіз особи new!relations_name""),6,FALSE)
,
(IF
(
C15731=""юридична особа""
,
VLOO"&amp;"KUP(D15731,IMPORTRANGE(""https://docs.google.com/spreadsheets/d/14Bd19lYaqBhU8_DElYkX7l4wRkHqqCUFNJY4AfY3kHU/edit?usp=sharing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0" s="7" t="s">
        <v>10</v>
      </c>
      <c r="H15730" s="7">
        <v>19704</v>
      </c>
      <c r="I15730" s="8" t="str">
        <f ca="1">IFERROR(__xludf.DUMMYFUNCTION("IF
(
G15731=""фізична особа""
,
VLOOKUP(H15731,IMPORTRANGE(""https://docs.google.com/spreadsheets/d/14Bd19lYaqBhU8_DElYkX7l4wRkHqqCUFNJY4AfY3kHU/edit?usp=sharing  #gid=0"",""фіз особи new!relations_name""),6,FALSE)
,
(IF
(
G15731=""юридична особа""
,
VLOO"&amp;"KUP(H15731,IMPORTRANGE(""https://docs.google.com/spreadsheets/d/14Bd19lYaqBhU8_DElYkX7l4wRkHqqCUFNJY4AfY3kHU/edit?usp=sharing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730" s="7" t="s">
        <v>23</v>
      </c>
    </row>
    <row r="15731" spans="1:10" ht="13.2">
      <c r="A15731" s="7">
        <v>15730</v>
      </c>
      <c r="B15731" s="7">
        <v>1</v>
      </c>
      <c r="C15731" s="7" t="s">
        <v>10</v>
      </c>
      <c r="D15731" s="7">
        <v>19709</v>
      </c>
      <c r="E15731" s="7" t="s">
        <v>23</v>
      </c>
      <c r="F15731" s="8" t="str">
        <f ca="1">IFERROR(__xludf.DUMMYFUNCTION("IF
(
C15732=""фізична особа""
,
VLOOKUP(D15732,IMPORTRANGE(""https://docs.google.com/spreadsheets/d/14Bd19lYaqBhU8_DElYkX7l4wRkHqqCUFNJY4AfY3kHU/edit?usp=sharing  #gid=0"",""фіз особи new!relations_name""),6,FALSE)
,
(IF
(
C15732=""юридична особа""
,
VLOO"&amp;"KUP(D15732,IMPORTRANGE(""https://docs.google.com/spreadsheets/d/14Bd19lYaqBhU8_DElYkX7l4wRkHqqCUFNJY4AfY3kHU/edit?usp=sharing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1" s="7" t="s">
        <v>10</v>
      </c>
      <c r="H15731" s="7">
        <v>19705</v>
      </c>
      <c r="I15731" s="8" t="str">
        <f ca="1">IFERROR(__xludf.DUMMYFUNCTION("IF
(
G15732=""фізична особа""
,
VLOOKUP(H15732,IMPORTRANGE(""https://docs.google.com/spreadsheets/d/14Bd19lYaqBhU8_DElYkX7l4wRkHqqCUFNJY4AfY3kHU/edit?usp=sharing  #gid=0"",""фіз особи new!relations_name""),6,FALSE)
,
(IF
(
G15732=""юридична особа""
,
VLOO"&amp;"KUP(H15732,IMPORTRANGE(""https://docs.google.com/spreadsheets/d/14Bd19lYaqBhU8_DElYkX7l4wRkHqqCUFNJY4AfY3kHU/edit?usp=sharing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731" s="7" t="s">
        <v>23</v>
      </c>
    </row>
    <row r="15732" spans="1:10" ht="13.2">
      <c r="A15732" s="7">
        <v>15731</v>
      </c>
      <c r="B15732" s="7">
        <v>1</v>
      </c>
      <c r="C15732" s="7" t="s">
        <v>10</v>
      </c>
      <c r="D15732" s="7">
        <v>19709</v>
      </c>
      <c r="E15732" s="7" t="s">
        <v>23</v>
      </c>
      <c r="F15732" s="8" t="str">
        <f ca="1">IFERROR(__xludf.DUMMYFUNCTION("IF
(
C15733=""фізична особа""
,
VLOOKUP(D15733,IMPORTRANGE(""https://docs.google.com/spreadsheets/d/14Bd19lYaqBhU8_DElYkX7l4wRkHqqCUFNJY4AfY3kHU/edit?usp=sharing  #gid=0"",""фіз особи new!relations_name""),6,FALSE)
,
(IF
(
C15733=""юридична особа""
,
VLOO"&amp;"KUP(D15733,IMPORTRANGE(""https://docs.google.com/spreadsheets/d/14Bd19lYaqBhU8_DElYkX7l4wRkHqqCUFNJY4AfY3kHU/edit?usp=sharing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2" s="7" t="s">
        <v>10</v>
      </c>
      <c r="H15732" s="7">
        <v>19706</v>
      </c>
      <c r="I15732" s="8" t="str">
        <f ca="1">IFERROR(__xludf.DUMMYFUNCTION("IF
(
G15733=""фізична особа""
,
VLOOKUP(H15733,IMPORTRANGE(""https://docs.google.com/spreadsheets/d/14Bd19lYaqBhU8_DElYkX7l4wRkHqqCUFNJY4AfY3kHU/edit?usp=sharing  #gid=0"",""фіз особи new!relations_name""),6,FALSE)
,
(IF
(
G15733=""юридична особа""
,
VLOO"&amp;"KUP(H15733,IMPORTRANGE(""https://docs.google.com/spreadsheets/d/14Bd19lYaqBhU8_DElYkX7l4wRkHqqCUFNJY4AfY3kHU/edit?usp=sharing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732" s="7" t="s">
        <v>23</v>
      </c>
    </row>
    <row r="15733" spans="1:10" ht="13.2">
      <c r="A15733" s="7">
        <v>15732</v>
      </c>
      <c r="B15733" s="7">
        <v>1</v>
      </c>
      <c r="C15733" s="7" t="s">
        <v>10</v>
      </c>
      <c r="D15733" s="7">
        <v>19709</v>
      </c>
      <c r="E15733" s="7" t="s">
        <v>23</v>
      </c>
      <c r="F15733" s="8" t="str">
        <f ca="1">IFERROR(__xludf.DUMMYFUNCTION("IF
(
C15734=""фізична особа""
,
VLOOKUP(D15734,IMPORTRANGE(""https://docs.google.com/spreadsheets/d/14Bd19lYaqBhU8_DElYkX7l4wRkHqqCUFNJY4AfY3kHU/edit?usp=sharing  #gid=0"",""фіз особи new!relations_name""),6,FALSE)
,
(IF
(
C15734=""юридична особа""
,
VLOO"&amp;"KUP(D15734,IMPORTRANGE(""https://docs.google.com/spreadsheets/d/14Bd19lYaqBhU8_DElYkX7l4wRkHqqCUFNJY4AfY3kHU/edit?usp=sharing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3" s="7" t="s">
        <v>10</v>
      </c>
      <c r="H15733" s="7">
        <v>19707</v>
      </c>
      <c r="I15733" s="8" t="str">
        <f ca="1">IFERROR(__xludf.DUMMYFUNCTION("IF
(
G15734=""фізична особа""
,
VLOOKUP(H15734,IMPORTRANGE(""https://docs.google.com/spreadsheets/d/14Bd19lYaqBhU8_DElYkX7l4wRkHqqCUFNJY4AfY3kHU/edit?usp=sharing  #gid=0"",""фіз особи new!relations_name""),6,FALSE)
,
(IF
(
G15734=""юридична особа""
,
VLOO"&amp;"KUP(H15734,IMPORTRANGE(""https://docs.google.com/spreadsheets/d/14Bd19lYaqBhU8_DElYkX7l4wRkHqqCUFNJY4AfY3kHU/edit?usp=sharing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733" s="7" t="s">
        <v>23</v>
      </c>
    </row>
    <row r="15734" spans="1:10" ht="13.2">
      <c r="A15734" s="7">
        <v>15733</v>
      </c>
      <c r="B15734" s="7">
        <v>1</v>
      </c>
      <c r="C15734" s="7" t="s">
        <v>10</v>
      </c>
      <c r="D15734" s="7">
        <v>19709</v>
      </c>
      <c r="E15734" s="7" t="s">
        <v>23</v>
      </c>
      <c r="F15734" s="8" t="str">
        <f ca="1">IFERROR(__xludf.DUMMYFUNCTION("IF
(
C15735=""фізична особа""
,
VLOOKUP(D15735,IMPORTRANGE(""https://docs.google.com/spreadsheets/d/14Bd19lYaqBhU8_DElYkX7l4wRkHqqCUFNJY4AfY3kHU/edit?usp=sharing  #gid=0"",""фіз особи new!relations_name""),6,FALSE)
,
(IF
(
C15735=""юридична особа""
,
VLOO"&amp;"KUP(D15735,IMPORTRANGE(""https://docs.google.com/spreadsheets/d/14Bd19lYaqBhU8_DElYkX7l4wRkHqqCUFNJY4AfY3kHU/edit?usp=sharing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4" s="7" t="s">
        <v>10</v>
      </c>
      <c r="H15734" s="7">
        <v>19708</v>
      </c>
      <c r="I15734" s="8" t="str">
        <f ca="1">IFERROR(__xludf.DUMMYFUNCTION("IF
(
G15735=""фізична особа""
,
VLOOKUP(H15735,IMPORTRANGE(""https://docs.google.com/spreadsheets/d/14Bd19lYaqBhU8_DElYkX7l4wRkHqqCUFNJY4AfY3kHU/edit?usp=sharing  #gid=0"",""фіз особи new!relations_name""),6,FALSE)
,
(IF
(
G15735=""юридична особа""
,
VLOO"&amp;"KUP(H15735,IMPORTRANGE(""https://docs.google.com/spreadsheets/d/14Bd19lYaqBhU8_DElYkX7l4wRkHqqCUFNJY4AfY3kHU/edit?usp=sharing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734" s="7" t="s">
        <v>23</v>
      </c>
    </row>
    <row r="15735" spans="1:10" ht="13.2">
      <c r="A15735" s="7">
        <v>15734</v>
      </c>
      <c r="B15735" s="7">
        <v>1</v>
      </c>
      <c r="C15735" s="7" t="s">
        <v>10</v>
      </c>
      <c r="D15735" s="7">
        <v>19709</v>
      </c>
      <c r="E15735" s="7" t="s">
        <v>23</v>
      </c>
      <c r="F15735" s="8" t="str">
        <f ca="1">IFERROR(__xludf.DUMMYFUNCTION("IF
(
C15736=""фізична особа""
,
VLOOKUP(D15736,IMPORTRANGE(""https://docs.google.com/spreadsheets/d/14Bd19lYaqBhU8_DElYkX7l4wRkHqqCUFNJY4AfY3kHU/edit?usp=sharing  #gid=0"",""фіз особи new!relations_name""),6,FALSE)
,
(IF
(
C15736=""юридична особа""
,
VLOO"&amp;"KUP(D15736,IMPORTRANGE(""https://docs.google.com/spreadsheets/d/14Bd19lYaqBhU8_DElYkX7l4wRkHqqCUFNJY4AfY3kHU/edit?usp=sharing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G15735" s="7" t="s">
        <v>10</v>
      </c>
      <c r="H15735" s="7">
        <v>19710</v>
      </c>
      <c r="I15735" s="8" t="str">
        <f ca="1">IFERROR(__xludf.DUMMYFUNCTION("IF
(
G15736=""фізична особа""
,
VLOOKUP(H15736,IMPORTRANGE(""https://docs.google.com/spreadsheets/d/14Bd19lYaqBhU8_DElYkX7l4wRkHqqCUFNJY4AfY3kHU/edit?usp=sharing  #gid=0"",""фіз особи new!relations_name""),6,FALSE)
,
(IF
(
G15736=""юридична особа""
,
VLOO"&amp;"KUP(H15736,IMPORTRANGE(""https://docs.google.com/spreadsheets/d/14Bd19lYaqBhU8_DElYkX7l4wRkHqqCUFNJY4AfY3kHU/edit?usp=sharing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J15735" s="7" t="s">
        <v>23</v>
      </c>
    </row>
    <row r="15736" spans="1:10" ht="13.2">
      <c r="A15736" s="7">
        <v>15735</v>
      </c>
      <c r="B15736" s="7">
        <v>1</v>
      </c>
      <c r="C15736" s="7" t="s">
        <v>10</v>
      </c>
      <c r="D15736" s="7">
        <v>19710</v>
      </c>
      <c r="E15736" s="7" t="s">
        <v>23</v>
      </c>
      <c r="F15736" s="8" t="str">
        <f ca="1">IFERROR(__xludf.DUMMYFUNCTION("IF
(
C15737=""фізична особа""
,
VLOOKUP(D15737,IMPORTRANGE(""https://docs.google.com/spreadsheets/d/14Bd19lYaqBhU8_DElYkX7l4wRkHqqCUFNJY4AfY3kHU/edit?usp=sharing  #gid=0"",""фіз особи new!relations_name""),6,FALSE)
,
(IF
(
C15737=""юридична особа""
,
VLOO"&amp;"KUP(D15737,IMPORTRANGE(""https://docs.google.com/spreadsheets/d/14Bd19lYaqBhU8_DElYkX7l4wRkHqqCUFNJY4AfY3kHU/edit?usp=sharing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36" s="7" t="s">
        <v>10</v>
      </c>
      <c r="H15736" s="7">
        <v>19698</v>
      </c>
      <c r="I15736" s="8" t="str">
        <f ca="1">IFERROR(__xludf.DUMMYFUNCTION("IF
(
G15737=""фізична особа""
,
VLOOKUP(H15737,IMPORTRANGE(""https://docs.google.com/spreadsheets/d/14Bd19lYaqBhU8_DElYkX7l4wRkHqqCUFNJY4AfY3kHU/edit?usp=sharing  #gid=0"",""фіз особи new!relations_name""),6,FALSE)
,
(IF
(
G15737=""юридична особа""
,
VLOO"&amp;"KUP(H15737,IMPORTRANGE(""https://docs.google.com/spreadsheets/d/14Bd19lYaqBhU8_DElYkX7l4wRkHqqCUFNJY4AfY3kHU/edit?usp=sharing  #gid=0"",""фіз особи new!relations_name_uo""),7,FALSE)
,
)
))"),"КЛУШИН Дмитро Володимирович")</f>
        <v>КЛУШИН Дмитро Володимирович</v>
      </c>
      <c r="J15736" s="7" t="s">
        <v>23</v>
      </c>
    </row>
    <row r="15737" spans="1:10" ht="13.2">
      <c r="A15737" s="7">
        <v>15736</v>
      </c>
      <c r="B15737" s="7">
        <v>1</v>
      </c>
      <c r="C15737" s="7" t="s">
        <v>10</v>
      </c>
      <c r="D15737" s="7">
        <v>19710</v>
      </c>
      <c r="E15737" s="7" t="s">
        <v>23</v>
      </c>
      <c r="F15737" s="8" t="str">
        <f ca="1">IFERROR(__xludf.DUMMYFUNCTION("IF
(
C15738=""фізична особа""
,
VLOOKUP(D15738,IMPORTRANGE(""https://docs.google.com/spreadsheets/d/14Bd19lYaqBhU8_DElYkX7l4wRkHqqCUFNJY4AfY3kHU/edit?usp=sharing  #gid=0"",""фіз особи new!relations_name""),6,FALSE)
,
(IF
(
C15738=""юридична особа""
,
VLOO"&amp;"KUP(D15738,IMPORTRANGE(""https://docs.google.com/spreadsheets/d/14Bd19lYaqBhU8_DElYkX7l4wRkHqqCUFNJY4AfY3kHU/edit?usp=sharing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37" s="7" t="s">
        <v>10</v>
      </c>
      <c r="H15737" s="7">
        <v>19699</v>
      </c>
      <c r="I15737" s="8" t="str">
        <f ca="1">IFERROR(__xludf.DUMMYFUNCTION("IF
(
G15738=""фізична особа""
,
VLOOKUP(H15738,IMPORTRANGE(""https://docs.google.com/spreadsheets/d/14Bd19lYaqBhU8_DElYkX7l4wRkHqqCUFNJY4AfY3kHU/edit?usp=sharing  #gid=0"",""фіз особи new!relations_name""),6,FALSE)
,
(IF
(
G15738=""юридична особа""
,
VLOO"&amp;"KUP(H15738,IMPORTRANGE(""https://docs.google.com/spreadsheets/d/14Bd19lYaqBhU8_DElYkX7l4wRkHqqCUFNJY4AfY3kHU/edit?usp=sharing  #gid=0"",""фіз особи new!relations_name_uo""),7,FALSE)
,
)
))"),"АКСЬОНОВ Михайло Володимирович")</f>
        <v>АКСЬОНОВ Михайло Володимирович</v>
      </c>
      <c r="J15737" s="7" t="s">
        <v>23</v>
      </c>
    </row>
    <row r="15738" spans="1:10" ht="13.2">
      <c r="A15738" s="7">
        <v>15737</v>
      </c>
      <c r="B15738" s="7">
        <v>1</v>
      </c>
      <c r="C15738" s="7" t="s">
        <v>10</v>
      </c>
      <c r="D15738" s="7">
        <v>19710</v>
      </c>
      <c r="E15738" s="7" t="s">
        <v>23</v>
      </c>
      <c r="F15738" s="8" t="str">
        <f ca="1">IFERROR(__xludf.DUMMYFUNCTION("IF
(
C15739=""фізична особа""
,
VLOOKUP(D15739,IMPORTRANGE(""https://docs.google.com/spreadsheets/d/14Bd19lYaqBhU8_DElYkX7l4wRkHqqCUFNJY4AfY3kHU/edit?usp=sharing  #gid=0"",""фіз особи new!relations_name""),6,FALSE)
,
(IF
(
C15739=""юридична особа""
,
VLOO"&amp;"KUP(D15739,IMPORTRANGE(""https://docs.google.com/spreadsheets/d/14Bd19lYaqBhU8_DElYkX7l4wRkHqqCUFNJY4AfY3kHU/edit?usp=sharing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38" s="7" t="s">
        <v>10</v>
      </c>
      <c r="H15738" s="7">
        <v>19700</v>
      </c>
      <c r="I15738" s="8" t="str">
        <f ca="1">IFERROR(__xludf.DUMMYFUNCTION("IF
(
G15739=""фізична особа""
,
VLOOKUP(H15739,IMPORTRANGE(""https://docs.google.com/spreadsheets/d/14Bd19lYaqBhU8_DElYkX7l4wRkHqqCUFNJY4AfY3kHU/edit?usp=sharing  #gid=0"",""фіз особи new!relations_name""),6,FALSE)
,
(IF
(
G15739=""юридична особа""
,
VLOO"&amp;"KUP(H15739,IMPORTRANGE(""https://docs.google.com/spreadsheets/d/14Bd19lYaqBhU8_DElYkX7l4wRkHqqCUFNJY4AfY3kHU/edit?usp=sharing  #gid=0"",""фіз особи new!relations_name_uo""),7,FALSE)
,
)
))"),"ЗАКЖЕВСЬКІ Тетяна Олександрівна")</f>
        <v>ЗАКЖЕВСЬКІ Тетяна Олександрівна</v>
      </c>
      <c r="J15738" s="7" t="s">
        <v>23</v>
      </c>
    </row>
    <row r="15739" spans="1:10" ht="13.2">
      <c r="A15739" s="7">
        <v>15738</v>
      </c>
      <c r="B15739" s="7">
        <v>1</v>
      </c>
      <c r="C15739" s="7" t="s">
        <v>10</v>
      </c>
      <c r="D15739" s="7">
        <v>19710</v>
      </c>
      <c r="E15739" s="7" t="s">
        <v>23</v>
      </c>
      <c r="F15739" s="8" t="str">
        <f ca="1">IFERROR(__xludf.DUMMYFUNCTION("IF
(
C15740=""фізична особа""
,
VLOOKUP(D15740,IMPORTRANGE(""https://docs.google.com/spreadsheets/d/14Bd19lYaqBhU8_DElYkX7l4wRkHqqCUFNJY4AfY3kHU/edit?usp=sharing  #gid=0"",""фіз особи new!relations_name""),6,FALSE)
,
(IF
(
C15740=""юридична особа""
,
VLOO"&amp;"KUP(D15740,IMPORTRANGE(""https://docs.google.com/spreadsheets/d/14Bd19lYaqBhU8_DElYkX7l4wRkHqqCUFNJY4AfY3kHU/edit?usp=sharing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39" s="7" t="s">
        <v>10</v>
      </c>
      <c r="H15739" s="7">
        <v>19701</v>
      </c>
      <c r="I15739" s="8" t="str">
        <f ca="1">IFERROR(__xludf.DUMMYFUNCTION("IF
(
G15740=""фізична особа""
,
VLOOKUP(H15740,IMPORTRANGE(""https://docs.google.com/spreadsheets/d/14Bd19lYaqBhU8_DElYkX7l4wRkHqqCUFNJY4AfY3kHU/edit?usp=sharing  #gid=0"",""фіз особи new!relations_name""),6,FALSE)
,
(IF
(
G15740=""юридична особа""
,
VLOO"&amp;"KUP(H15740,IMPORTRANGE(""https://docs.google.com/spreadsheets/d/14Bd19lYaqBhU8_DElYkX7l4wRkHqqCUFNJY4AfY3kHU/edit?usp=sharing  #gid=0"",""фіз особи new!relations_name_uo""),7,FALSE)
,
)
))"),"СТЕПАНОВ Михайло Володимирович")</f>
        <v>СТЕПАНОВ Михайло Володимирович</v>
      </c>
      <c r="J15739" s="7" t="s">
        <v>23</v>
      </c>
    </row>
    <row r="15740" spans="1:10" ht="13.2">
      <c r="A15740" s="7">
        <v>15739</v>
      </c>
      <c r="B15740" s="7">
        <v>1</v>
      </c>
      <c r="C15740" s="7" t="s">
        <v>10</v>
      </c>
      <c r="D15740" s="7">
        <v>19710</v>
      </c>
      <c r="E15740" s="7" t="s">
        <v>23</v>
      </c>
      <c r="F15740" s="8" t="str">
        <f ca="1">IFERROR(__xludf.DUMMYFUNCTION("IF
(
C15741=""фізична особа""
,
VLOOKUP(D15741,IMPORTRANGE(""https://docs.google.com/spreadsheets/d/14Bd19lYaqBhU8_DElYkX7l4wRkHqqCUFNJY4AfY3kHU/edit?usp=sharing  #gid=0"",""фіз особи new!relations_name""),6,FALSE)
,
(IF
(
C15741=""юридична особа""
,
VLOO"&amp;"KUP(D15741,IMPORTRANGE(""https://docs.google.com/spreadsheets/d/14Bd19lYaqBhU8_DElYkX7l4wRkHqqCUFNJY4AfY3kHU/edit?usp=sharing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0" s="7" t="s">
        <v>10</v>
      </c>
      <c r="H15740" s="7">
        <v>19702</v>
      </c>
      <c r="I15740" s="8" t="str">
        <f ca="1">IFERROR(__xludf.DUMMYFUNCTION("IF
(
G15741=""фізична особа""
,
VLOOKUP(H15741,IMPORTRANGE(""https://docs.google.com/spreadsheets/d/14Bd19lYaqBhU8_DElYkX7l4wRkHqqCUFNJY4AfY3kHU/edit?usp=sharing  #gid=0"",""фіз особи new!relations_name""),6,FALSE)
,
(IF
(
G15741=""юридична особа""
,
VLOO"&amp;"KUP(H15741,IMPORTRANGE(""https://docs.google.com/spreadsheets/d/14Bd19lYaqBhU8_DElYkX7l4wRkHqqCUFNJY4AfY3kHU/edit?usp=sharing  #gid=0"",""фіз особи new!relations_name_uo""),7,FALSE)
,
)
))"),"ХАРІТОНОВА Тетяна Андріївна")</f>
        <v>ХАРІТОНОВА Тетяна Андріївна</v>
      </c>
      <c r="J15740" s="7" t="s">
        <v>23</v>
      </c>
    </row>
    <row r="15741" spans="1:10" ht="13.2">
      <c r="A15741" s="7">
        <v>15740</v>
      </c>
      <c r="B15741" s="7">
        <v>1</v>
      </c>
      <c r="C15741" s="7" t="s">
        <v>10</v>
      </c>
      <c r="D15741" s="7">
        <v>19710</v>
      </c>
      <c r="E15741" s="7" t="s">
        <v>23</v>
      </c>
      <c r="F15741" s="8" t="str">
        <f ca="1">IFERROR(__xludf.DUMMYFUNCTION("IF
(
C15742=""фізична особа""
,
VLOOKUP(D15742,IMPORTRANGE(""https://docs.google.com/spreadsheets/d/14Bd19lYaqBhU8_DElYkX7l4wRkHqqCUFNJY4AfY3kHU/edit?usp=sharing  #gid=0"",""фіз особи new!relations_name""),6,FALSE)
,
(IF
(
C15742=""юридична особа""
,
VLOO"&amp;"KUP(D15742,IMPORTRANGE(""https://docs.google.com/spreadsheets/d/14Bd19lYaqBhU8_DElYkX7l4wRkHqqCUFNJY4AfY3kHU/edit?usp=sharing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1" s="7" t="s">
        <v>10</v>
      </c>
      <c r="H15741" s="7">
        <v>19703</v>
      </c>
      <c r="I15741" s="8" t="str">
        <f ca="1">IFERROR(__xludf.DUMMYFUNCTION("IF
(
G15742=""фізична особа""
,
VLOOKUP(H15742,IMPORTRANGE(""https://docs.google.com/spreadsheets/d/14Bd19lYaqBhU8_DElYkX7l4wRkHqqCUFNJY4AfY3kHU/edit?usp=sharing  #gid=0"",""фіз особи new!relations_name""),6,FALSE)
,
(IF
(
G15742=""юридична особа""
,
VLOO"&amp;"KUP(H15742,IMPORTRANGE(""https://docs.google.com/spreadsheets/d/14Bd19lYaqBhU8_DElYkX7l4wRkHqqCUFNJY4AfY3kHU/edit?usp=sharing  #gid=0"",""фіз особи new!relations_name_uo""),7,FALSE)
,
)
))"),"ГАЙНУЛЛІН Олександр Рафаельович")</f>
        <v>ГАЙНУЛЛІН Олександр Рафаельович</v>
      </c>
      <c r="J15741" s="7" t="s">
        <v>23</v>
      </c>
    </row>
    <row r="15742" spans="1:10" ht="13.2">
      <c r="A15742" s="7">
        <v>15741</v>
      </c>
      <c r="B15742" s="7">
        <v>1</v>
      </c>
      <c r="C15742" s="7" t="s">
        <v>10</v>
      </c>
      <c r="D15742" s="7">
        <v>19710</v>
      </c>
      <c r="E15742" s="7" t="s">
        <v>23</v>
      </c>
      <c r="F15742" s="8" t="str">
        <f ca="1">IFERROR(__xludf.DUMMYFUNCTION("IF
(
C15743=""фізична особа""
,
VLOOKUP(D15743,IMPORTRANGE(""https://docs.google.com/spreadsheets/d/14Bd19lYaqBhU8_DElYkX7l4wRkHqqCUFNJY4AfY3kHU/edit?usp=sharing  #gid=0"",""фіз особи new!relations_name""),6,FALSE)
,
(IF
(
C15743=""юридична особа""
,
VLOO"&amp;"KUP(D15743,IMPORTRANGE(""https://docs.google.com/spreadsheets/d/14Bd19lYaqBhU8_DElYkX7l4wRkHqqCUFNJY4AfY3kHU/edit?usp=sharing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2" s="7" t="s">
        <v>10</v>
      </c>
      <c r="H15742" s="7">
        <v>19704</v>
      </c>
      <c r="I15742" s="8" t="str">
        <f ca="1">IFERROR(__xludf.DUMMYFUNCTION("IF
(
G15743=""фізична особа""
,
VLOOKUP(H15743,IMPORTRANGE(""https://docs.google.com/spreadsheets/d/14Bd19lYaqBhU8_DElYkX7l4wRkHqqCUFNJY4AfY3kHU/edit?usp=sharing  #gid=0"",""фіз особи new!relations_name""),6,FALSE)
,
(IF
(
G15743=""юридична особа""
,
VLOO"&amp;"KUP(H15743,IMPORTRANGE(""https://docs.google.com/spreadsheets/d/14Bd19lYaqBhU8_DElYkX7l4wRkHqqCUFNJY4AfY3kHU/edit?usp=sharing  #gid=0"",""фіз особи new!relations_name_uo""),7,FALSE)
,
)
))"),"ТЕРЕГУЛОВ Рустем Маратович")</f>
        <v>ТЕРЕГУЛОВ Рустем Маратович</v>
      </c>
      <c r="J15742" s="7" t="s">
        <v>23</v>
      </c>
    </row>
    <row r="15743" spans="1:10" ht="13.2">
      <c r="A15743" s="7">
        <v>15742</v>
      </c>
      <c r="B15743" s="7">
        <v>1</v>
      </c>
      <c r="C15743" s="7" t="s">
        <v>10</v>
      </c>
      <c r="D15743" s="7">
        <v>19710</v>
      </c>
      <c r="E15743" s="7" t="s">
        <v>23</v>
      </c>
      <c r="F15743" s="8" t="str">
        <f ca="1">IFERROR(__xludf.DUMMYFUNCTION("IF
(
C15744=""фізична особа""
,
VLOOKUP(D15744,IMPORTRANGE(""https://docs.google.com/spreadsheets/d/14Bd19lYaqBhU8_DElYkX7l4wRkHqqCUFNJY4AfY3kHU/edit?usp=sharing  #gid=0"",""фіз особи new!relations_name""),6,FALSE)
,
(IF
(
C15744=""юридична особа""
,
VLOO"&amp;"KUP(D15744,IMPORTRANGE(""https://docs.google.com/spreadsheets/d/14Bd19lYaqBhU8_DElYkX7l4wRkHqqCUFNJY4AfY3kHU/edit?usp=sharing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3" s="7" t="s">
        <v>10</v>
      </c>
      <c r="H15743" s="7">
        <v>19705</v>
      </c>
      <c r="I15743" s="8" t="str">
        <f ca="1">IFERROR(__xludf.DUMMYFUNCTION("IF
(
G15744=""фізична особа""
,
VLOOKUP(H15744,IMPORTRANGE(""https://docs.google.com/spreadsheets/d/14Bd19lYaqBhU8_DElYkX7l4wRkHqqCUFNJY4AfY3kHU/edit?usp=sharing  #gid=0"",""фіз особи new!relations_name""),6,FALSE)
,
(IF
(
G15744=""юридична особа""
,
VLOO"&amp;"KUP(H15744,IMPORTRANGE(""https://docs.google.com/spreadsheets/d/14Bd19lYaqBhU8_DElYkX7l4wRkHqqCUFNJY4AfY3kHU/edit?usp=sharing  #gid=0"",""фіз особи new!relations_name_uo""),7,FALSE)
,
)
))"),"ДЬОМІНА Любов Янівна")</f>
        <v>ДЬОМІНА Любов Янівна</v>
      </c>
      <c r="J15743" s="7" t="s">
        <v>23</v>
      </c>
    </row>
    <row r="15744" spans="1:10" ht="13.2">
      <c r="A15744" s="7">
        <v>15743</v>
      </c>
      <c r="B15744" s="7">
        <v>1</v>
      </c>
      <c r="C15744" s="7" t="s">
        <v>10</v>
      </c>
      <c r="D15744" s="7">
        <v>19710</v>
      </c>
      <c r="E15744" s="7" t="s">
        <v>23</v>
      </c>
      <c r="F15744" s="8" t="str">
        <f ca="1">IFERROR(__xludf.DUMMYFUNCTION("IF
(
C15745=""фізична особа""
,
VLOOKUP(D15745,IMPORTRANGE(""https://docs.google.com/spreadsheets/d/14Bd19lYaqBhU8_DElYkX7l4wRkHqqCUFNJY4AfY3kHU/edit?usp=sharing  #gid=0"",""фіз особи new!relations_name""),6,FALSE)
,
(IF
(
C15745=""юридична особа""
,
VLOO"&amp;"KUP(D15745,IMPORTRANGE(""https://docs.google.com/spreadsheets/d/14Bd19lYaqBhU8_DElYkX7l4wRkHqqCUFNJY4AfY3kHU/edit?usp=sharing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4" s="7" t="s">
        <v>10</v>
      </c>
      <c r="H15744" s="7">
        <v>19706</v>
      </c>
      <c r="I15744" s="8" t="str">
        <f ca="1">IFERROR(__xludf.DUMMYFUNCTION("IF
(
G15745=""фізична особа""
,
VLOOKUP(H15745,IMPORTRANGE(""https://docs.google.com/spreadsheets/d/14Bd19lYaqBhU8_DElYkX7l4wRkHqqCUFNJY4AfY3kHU/edit?usp=sharing  #gid=0"",""фіз особи new!relations_name""),6,FALSE)
,
(IF
(
G15745=""юридична особа""
,
VLOO"&amp;"KUP(H15745,IMPORTRANGE(""https://docs.google.com/spreadsheets/d/14Bd19lYaqBhU8_DElYkX7l4wRkHqqCUFNJY4AfY3kHU/edit?usp=sharing  #gid=0"",""фіз особи new!relations_name_uo""),7,FALSE)
,
)
))"),"ІСТОМІНА Валентина Василівна")</f>
        <v>ІСТОМІНА Валентина Василівна</v>
      </c>
      <c r="J15744" s="7" t="s">
        <v>23</v>
      </c>
    </row>
    <row r="15745" spans="1:10" ht="13.2">
      <c r="A15745" s="7">
        <v>15744</v>
      </c>
      <c r="B15745" s="7">
        <v>1</v>
      </c>
      <c r="C15745" s="7" t="s">
        <v>10</v>
      </c>
      <c r="D15745" s="7">
        <v>19710</v>
      </c>
      <c r="E15745" s="7" t="s">
        <v>23</v>
      </c>
      <c r="F15745" s="8" t="str">
        <f ca="1">IFERROR(__xludf.DUMMYFUNCTION("IF
(
C15746=""фізична особа""
,
VLOOKUP(D15746,IMPORTRANGE(""https://docs.google.com/spreadsheets/d/14Bd19lYaqBhU8_DElYkX7l4wRkHqqCUFNJY4AfY3kHU/edit?usp=sharing  #gid=0"",""фіз особи new!relations_name""),6,FALSE)
,
(IF
(
C15746=""юридична особа""
,
VLOO"&amp;"KUP(D15746,IMPORTRANGE(""https://docs.google.com/spreadsheets/d/14Bd19lYaqBhU8_DElYkX7l4wRkHqqCUFNJY4AfY3kHU/edit?usp=sharing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5" s="7" t="s">
        <v>10</v>
      </c>
      <c r="H15745" s="7">
        <v>19707</v>
      </c>
      <c r="I15745" s="8" t="str">
        <f ca="1">IFERROR(__xludf.DUMMYFUNCTION("IF
(
G15746=""фізична особа""
,
VLOOKUP(H15746,IMPORTRANGE(""https://docs.google.com/spreadsheets/d/14Bd19lYaqBhU8_DElYkX7l4wRkHqqCUFNJY4AfY3kHU/edit?usp=sharing  #gid=0"",""фіз особи new!relations_name""),6,FALSE)
,
(IF
(
G15746=""юридична особа""
,
VLOO"&amp;"KUP(H15746,IMPORTRANGE(""https://docs.google.com/spreadsheets/d/14Bd19lYaqBhU8_DElYkX7l4wRkHqqCUFNJY4AfY3kHU/edit?usp=sharing  #gid=0"",""фіз особи new!relations_name_uo""),7,FALSE)
,
)
))"),"ЦЕЛКОВСЬКА Інна Володимирівна")</f>
        <v>ЦЕЛКОВСЬКА Інна Володимирівна</v>
      </c>
      <c r="J15745" s="7" t="s">
        <v>23</v>
      </c>
    </row>
    <row r="15746" spans="1:10" ht="13.2">
      <c r="A15746" s="7">
        <v>15745</v>
      </c>
      <c r="B15746" s="7">
        <v>1</v>
      </c>
      <c r="C15746" s="7" t="s">
        <v>10</v>
      </c>
      <c r="D15746" s="7">
        <v>19710</v>
      </c>
      <c r="E15746" s="7" t="s">
        <v>23</v>
      </c>
      <c r="F15746" s="8" t="str">
        <f ca="1">IFERROR(__xludf.DUMMYFUNCTION("IF
(
C15747=""фізична особа""
,
VLOOKUP(D15747,IMPORTRANGE(""https://docs.google.com/spreadsheets/d/14Bd19lYaqBhU8_DElYkX7l4wRkHqqCUFNJY4AfY3kHU/edit?usp=sharing  #gid=0"",""фіз особи new!relations_name""),6,FALSE)
,
(IF
(
C15747=""юридична особа""
,
VLOO"&amp;"KUP(D15747,IMPORTRANGE(""https://docs.google.com/spreadsheets/d/14Bd19lYaqBhU8_DElYkX7l4wRkHqqCUFNJY4AfY3kHU/edit?usp=sharing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6" s="7" t="s">
        <v>10</v>
      </c>
      <c r="H15746" s="7">
        <v>19708</v>
      </c>
      <c r="I15746" s="8" t="str">
        <f ca="1">IFERROR(__xludf.DUMMYFUNCTION("IF
(
G15747=""фізична особа""
,
VLOOKUP(H15747,IMPORTRANGE(""https://docs.google.com/spreadsheets/d/14Bd19lYaqBhU8_DElYkX7l4wRkHqqCUFNJY4AfY3kHU/edit?usp=sharing  #gid=0"",""фіз особи new!relations_name""),6,FALSE)
,
(IF
(
G15747=""юридична особа""
,
VLOO"&amp;"KUP(H15747,IMPORTRANGE(""https://docs.google.com/spreadsheets/d/14Bd19lYaqBhU8_DElYkX7l4wRkHqqCUFNJY4AfY3kHU/edit?usp=sharing  #gid=0"",""фіз особи new!relations_name_uo""),7,FALSE)
,
)
))"),"ДОРОВСЬКИХ Тетяна Василівна")</f>
        <v>ДОРОВСЬКИХ Тетяна Василівна</v>
      </c>
      <c r="J15746" s="7" t="s">
        <v>23</v>
      </c>
    </row>
    <row r="15747" spans="1:10" ht="13.2">
      <c r="A15747" s="7">
        <v>15746</v>
      </c>
      <c r="B15747" s="7">
        <v>1</v>
      </c>
      <c r="C15747" s="7" t="s">
        <v>10</v>
      </c>
      <c r="D15747" s="7">
        <v>19710</v>
      </c>
      <c r="E15747" s="7" t="s">
        <v>23</v>
      </c>
      <c r="F15747" s="8" t="str">
        <f ca="1">IFERROR(__xludf.DUMMYFUNCTION("IF
(
C15748=""фізична особа""
,
VLOOKUP(D15748,IMPORTRANGE(""https://docs.google.com/spreadsheets/d/14Bd19lYaqBhU8_DElYkX7l4wRkHqqCUFNJY4AfY3kHU/edit?usp=sharing  #gid=0"",""фіз особи new!relations_name""),6,FALSE)
,
(IF
(
C15748=""юридична особа""
,
VLOO"&amp;"KUP(D15748,IMPORTRANGE(""https://docs.google.com/spreadsheets/d/14Bd19lYaqBhU8_DElYkX7l4wRkHqqCUFNJY4AfY3kHU/edit?usp=sharing  #gid=0"",""фіз особи new!relations_name_uo""),7,FALSE)
,
)
))"),"РИЖКОВА Ірина Миколаївна")</f>
        <v>РИЖКОВА Ірина Миколаївна</v>
      </c>
      <c r="G15747" s="7" t="s">
        <v>10</v>
      </c>
      <c r="H15747" s="7">
        <v>19709</v>
      </c>
      <c r="I15747" s="8" t="str">
        <f ca="1">IFERROR(__xludf.DUMMYFUNCTION("IF
(
G15748=""фізична особа""
,
VLOOKUP(H15748,IMPORTRANGE(""https://docs.google.com/spreadsheets/d/14Bd19lYaqBhU8_DElYkX7l4wRkHqqCUFNJY4AfY3kHU/edit?usp=sharing  #gid=0"",""фіз особи new!relations_name""),6,FALSE)
,
(IF
(
G15748=""юридична особа""
,
VLOO"&amp;"KUP(H15748,IMPORTRANGE(""https://docs.google.com/spreadsheets/d/14Bd19lYaqBhU8_DElYkX7l4wRkHqqCUFNJY4AfY3kHU/edit?usp=sharing  #gid=0"",""фіз особи new!relations_name_uo""),7,FALSE)
,
)
))"),"ДУНДУКОВА Олена Юріївна")</f>
        <v>ДУНДУКОВА Олена Юріївна</v>
      </c>
      <c r="J15747" s="7" t="s">
        <v>23</v>
      </c>
    </row>
    <row r="15748" spans="1:10" ht="13.2">
      <c r="A15748" s="7">
        <v>15747</v>
      </c>
      <c r="B15748" s="7">
        <v>1</v>
      </c>
      <c r="C15748" s="7" t="s">
        <v>10</v>
      </c>
      <c r="D15748" s="7">
        <v>19711</v>
      </c>
      <c r="E15748" s="7" t="s">
        <v>23</v>
      </c>
      <c r="F15748" s="8" t="str">
        <f ca="1">IFERROR(__xludf.DUMMYFUNCTION("IF
(
C15749=""фізична особа""
,
VLOOKUP(D15749,IMPORTRANGE(""https://docs.google.com/spreadsheets/d/14Bd19lYaqBhU8_DElYkX7l4wRkHqqCUFNJY4AfY3kHU/edit?usp=sharing  #gid=0"",""фіз особи new!relations_name""),6,FALSE)
,
(IF
(
C15749=""юридична особа""
,
VLOO"&amp;"KUP(D15749,IMPORTRANGE(""https://docs.google.com/spreadsheets/d/14Bd19lYaqBhU8_DElYkX7l4wRkHqqCUFNJY4AfY3kHU/edit?usp=sharing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48" s="7" t="s">
        <v>10</v>
      </c>
      <c r="H15748" s="7">
        <v>23604</v>
      </c>
      <c r="I15748" s="8" t="str">
        <f ca="1">IFERROR(__xludf.DUMMYFUNCTION("IF
(
G15749=""фізична особа""
,
VLOOKUP(H15749,IMPORTRANGE(""https://docs.google.com/spreadsheets/d/14Bd19lYaqBhU8_DElYkX7l4wRkHqqCUFNJY4AfY3kHU/edit?usp=sharing  #gid=0"",""фіз особи new!relations_name""),6,FALSE)
,
(IF
(
G15749=""юридична особа""
,
VLOO"&amp;"KUP(H15749,IMPORTRANGE(""https://docs.google.com/spreadsheets/d/14Bd19lYaqBhU8_DElYkX7l4wRkHqqCUFNJY4AfY3kHU/edit?usp=sharing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5748" s="7" t="s">
        <v>23</v>
      </c>
    </row>
    <row r="15749" spans="1:10" ht="13.2">
      <c r="A15749" s="7">
        <v>15748</v>
      </c>
      <c r="B15749" s="7">
        <v>1</v>
      </c>
      <c r="C15749" s="7" t="s">
        <v>10</v>
      </c>
      <c r="D15749" s="7">
        <v>19711</v>
      </c>
      <c r="E15749" s="7" t="s">
        <v>23</v>
      </c>
      <c r="F15749" s="8" t="str">
        <f ca="1">IFERROR(__xludf.DUMMYFUNCTION("IF
(
C15750=""фізична особа""
,
VLOOKUP(D15750,IMPORTRANGE(""https://docs.google.com/spreadsheets/d/14Bd19lYaqBhU8_DElYkX7l4wRkHqqCUFNJY4AfY3kHU/edit?usp=sharing  #gid=0"",""фіз особи new!relations_name""),6,FALSE)
,
(IF
(
C15750=""юридична особа""
,
VLOO"&amp;"KUP(D15750,IMPORTRANGE(""https://docs.google.com/spreadsheets/d/14Bd19lYaqBhU8_DElYkX7l4wRkHqqCUFNJY4AfY3kHU/edit?usp=sharing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49" s="7" t="s">
        <v>10</v>
      </c>
      <c r="H15749" s="7">
        <v>19714</v>
      </c>
      <c r="I15749" s="8" t="str">
        <f ca="1">IFERROR(__xludf.DUMMYFUNCTION("IF
(
G15750=""фізична особа""
,
VLOOKUP(H15750,IMPORTRANGE(""https://docs.google.com/spreadsheets/d/14Bd19lYaqBhU8_DElYkX7l4wRkHqqCUFNJY4AfY3kHU/edit?usp=sharing  #gid=0"",""фіз особи new!relations_name""),6,FALSE)
,
(IF
(
G15750=""юридична особа""
,
VLOO"&amp;"KUP(H15750,IMPORTRANGE(""https://docs.google.com/spreadsheets/d/14Bd19lYaqBhU8_DElYkX7l4wRkHqqCUFNJY4AfY3kHU/edit?usp=sharing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J15749" s="7" t="s">
        <v>23</v>
      </c>
    </row>
    <row r="15750" spans="1:10" ht="13.2">
      <c r="A15750" s="7">
        <v>15749</v>
      </c>
      <c r="B15750" s="7">
        <v>1</v>
      </c>
      <c r="C15750" s="7" t="s">
        <v>10</v>
      </c>
      <c r="D15750" s="7">
        <v>19711</v>
      </c>
      <c r="E15750" s="7" t="s">
        <v>23</v>
      </c>
      <c r="F15750" s="8" t="str">
        <f ca="1">IFERROR(__xludf.DUMMYFUNCTION("IF
(
C15751=""фізична особа""
,
VLOOKUP(D15751,IMPORTRANGE(""https://docs.google.com/spreadsheets/d/14Bd19lYaqBhU8_DElYkX7l4wRkHqqCUFNJY4AfY3kHU/edit?usp=sharing  #gid=0"",""фіз особи new!relations_name""),6,FALSE)
,
(IF
(
C15751=""юридична особа""
,
VLOO"&amp;"KUP(D15751,IMPORTRANGE(""https://docs.google.com/spreadsheets/d/14Bd19lYaqBhU8_DElYkX7l4wRkHqqCUFNJY4AfY3kHU/edit?usp=sharing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0" s="7" t="s">
        <v>10</v>
      </c>
      <c r="H15750" s="7">
        <v>19587</v>
      </c>
      <c r="I15750" s="8" t="str">
        <f ca="1">IFERROR(__xludf.DUMMYFUNCTION("IF
(
G15751=""фізична особа""
,
VLOOKUP(H15751,IMPORTRANGE(""https://docs.google.com/spreadsheets/d/14Bd19lYaqBhU8_DElYkX7l4wRkHqqCUFNJY4AfY3kHU/edit?usp=sharing  #gid=0"",""фіз особи new!relations_name""),6,FALSE)
,
(IF
(
G15751=""юридична особа""
,
VLOO"&amp;"KUP(H15751,IMPORTRANGE(""https://docs.google.com/spreadsheets/d/14Bd19lYaqBhU8_DElYkX7l4wRkHqqCUFNJY4AfY3kHU/edit?usp=sharing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J15750" s="7" t="s">
        <v>23</v>
      </c>
    </row>
    <row r="15751" spans="1:10" ht="13.2">
      <c r="A15751" s="7">
        <v>15750</v>
      </c>
      <c r="B15751" s="7">
        <v>1</v>
      </c>
      <c r="C15751" s="7" t="s">
        <v>10</v>
      </c>
      <c r="D15751" s="7">
        <v>19711</v>
      </c>
      <c r="E15751" s="7" t="s">
        <v>23</v>
      </c>
      <c r="F15751" s="8" t="str">
        <f ca="1">IFERROR(__xludf.DUMMYFUNCTION("IF
(
C15752=""фізична особа""
,
VLOOKUP(D15752,IMPORTRANGE(""https://docs.google.com/spreadsheets/d/14Bd19lYaqBhU8_DElYkX7l4wRkHqqCUFNJY4AfY3kHU/edit?usp=sharing  #gid=0"",""фіз особи new!relations_name""),6,FALSE)
,
(IF
(
C15752=""юридична особа""
,
VLOO"&amp;"KUP(D15752,IMPORTRANGE(""https://docs.google.com/spreadsheets/d/14Bd19lYaqBhU8_DElYkX7l4wRkHqqCUFNJY4AfY3kHU/edit?usp=sharing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1" s="7" t="s">
        <v>10</v>
      </c>
      <c r="H15751" s="7">
        <v>13098</v>
      </c>
      <c r="I15751" s="8" t="str">
        <f ca="1">IFERROR(__xludf.DUMMYFUNCTION("IF
(
G15752=""фізична особа""
,
VLOOKUP(H15752,IMPORTRANGE(""https://docs.google.com/spreadsheets/d/14Bd19lYaqBhU8_DElYkX7l4wRkHqqCUFNJY4AfY3kHU/edit?usp=sharing  #gid=0"",""фіз особи new!relations_name""),6,FALSE)
,
(IF
(
G15752=""юридична особа""
,
VLOO"&amp;"KUP(H15752,IMPORTRANGE(""https://docs.google.com/spreadsheets/d/14Bd19lYaqBhU8_DElYkX7l4wRkHqqCUFNJY4AfY3kHU/edit?usp=sharing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J15751" s="7" t="s">
        <v>23</v>
      </c>
    </row>
    <row r="15752" spans="1:10" ht="13.2">
      <c r="A15752" s="7">
        <v>15751</v>
      </c>
      <c r="B15752" s="7">
        <v>1</v>
      </c>
      <c r="C15752" s="7" t="s">
        <v>10</v>
      </c>
      <c r="D15752" s="7">
        <v>19711</v>
      </c>
      <c r="E15752" s="7" t="s">
        <v>23</v>
      </c>
      <c r="F15752" s="8" t="str">
        <f ca="1">IFERROR(__xludf.DUMMYFUNCTION("IF
(
C15753=""фізична особа""
,
VLOOKUP(D15753,IMPORTRANGE(""https://docs.google.com/spreadsheets/d/14Bd19lYaqBhU8_DElYkX7l4wRkHqqCUFNJY4AfY3kHU/edit?usp=sharing  #gid=0"",""фіз особи new!relations_name""),6,FALSE)
,
(IF
(
C15753=""юридична особа""
,
VLOO"&amp;"KUP(D15753,IMPORTRANGE(""https://docs.google.com/spreadsheets/d/14Bd19lYaqBhU8_DElYkX7l4wRkHqqCUFNJY4AfY3kHU/edit?usp=sharing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2" s="7" t="s">
        <v>10</v>
      </c>
      <c r="H15752" s="7">
        <v>23606</v>
      </c>
      <c r="I15752" s="8" t="str">
        <f ca="1">IFERROR(__xludf.DUMMYFUNCTION("IF
(
G15753=""фізична особа""
,
VLOOKUP(H15753,IMPORTRANGE(""https://docs.google.com/spreadsheets/d/14Bd19lYaqBhU8_DElYkX7l4wRkHqqCUFNJY4AfY3kHU/edit?usp=sharing  #gid=0"",""фіз особи new!relations_name""),6,FALSE)
,
(IF
(
G15753=""юридична особа""
,
VLOO"&amp;"KUP(H15753,IMPORTRANGE(""https://docs.google.com/spreadsheets/d/14Bd19lYaqBhU8_DElYkX7l4wRkHqqCUFNJY4AfY3kHU/edit?usp=sharing  #gid=0"",""фіз особи new!relations_name_uo""),7,FALSE)
,
)
))"),"НОСЕНКО Сергій Михайлович")</f>
        <v>НОСЕНКО Сергій Михайлович</v>
      </c>
      <c r="J15752" s="7" t="s">
        <v>23</v>
      </c>
    </row>
    <row r="15753" spans="1:10" ht="13.2">
      <c r="A15753" s="7">
        <v>15752</v>
      </c>
      <c r="B15753" s="7">
        <v>1</v>
      </c>
      <c r="C15753" s="7" t="s">
        <v>10</v>
      </c>
      <c r="D15753" s="7">
        <v>19711</v>
      </c>
      <c r="E15753" s="7" t="s">
        <v>23</v>
      </c>
      <c r="F15753" s="8" t="str">
        <f ca="1">IFERROR(__xludf.DUMMYFUNCTION("IF
(
C15754=""фізична особа""
,
VLOOKUP(D15754,IMPORTRANGE(""https://docs.google.com/spreadsheets/d/14Bd19lYaqBhU8_DElYkX7l4wRkHqqCUFNJY4AfY3kHU/edit?usp=sharing  #gid=0"",""фіз особи new!relations_name""),6,FALSE)
,
(IF
(
C15754=""юридична особа""
,
VLOO"&amp;"KUP(D15754,IMPORTRANGE(""https://docs.google.com/spreadsheets/d/14Bd19lYaqBhU8_DElYkX7l4wRkHqqCUFNJY4AfY3kHU/edit?usp=sharing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3" s="7" t="s">
        <v>10</v>
      </c>
      <c r="H15753" s="7">
        <v>23723</v>
      </c>
      <c r="I15753" s="8" t="str">
        <f ca="1">IFERROR(__xludf.DUMMYFUNCTION("IF
(
G15754=""фізична особа""
,
VLOOKUP(H15754,IMPORTRANGE(""https://docs.google.com/spreadsheets/d/14Bd19lYaqBhU8_DElYkX7l4wRkHqqCUFNJY4AfY3kHU/edit?usp=sharing  #gid=0"",""фіз особи new!relations_name""),6,FALSE)
,
(IF
(
G15754=""юридична особа""
,
VLOO"&amp;"KUP(H15754,IMPORTRANGE(""https://docs.google.com/spreadsheets/d/14Bd19lYaqBhU8_DElYkX7l4wRkHqqCUFNJY4AfY3kHU/edit?usp=sharing  #gid=0"",""фіз особи new!relations_name_uo""),7,FALSE)
,
)
))"),"ХЛЄБНІКОВА Олена Іванівна")</f>
        <v>ХЛЄБНІКОВА Олена Іванівна</v>
      </c>
      <c r="J15753" s="7" t="s">
        <v>23</v>
      </c>
    </row>
    <row r="15754" spans="1:10" ht="13.2">
      <c r="A15754" s="7">
        <v>15753</v>
      </c>
      <c r="B15754" s="7">
        <v>1</v>
      </c>
      <c r="C15754" s="7" t="s">
        <v>10</v>
      </c>
      <c r="D15754" s="7">
        <v>19711</v>
      </c>
      <c r="E15754" s="7" t="s">
        <v>23</v>
      </c>
      <c r="F15754" s="8" t="str">
        <f ca="1">IFERROR(__xludf.DUMMYFUNCTION("IF
(
C15755=""фізична особа""
,
VLOOKUP(D15755,IMPORTRANGE(""https://docs.google.com/spreadsheets/d/14Bd19lYaqBhU8_DElYkX7l4wRkHqqCUFNJY4AfY3kHU/edit?usp=sharing  #gid=0"",""фіз особи new!relations_name""),6,FALSE)
,
(IF
(
C15755=""юридична особа""
,
VLOO"&amp;"KUP(D15755,IMPORTRANGE(""https://docs.google.com/spreadsheets/d/14Bd19lYaqBhU8_DElYkX7l4wRkHqqCUFNJY4AfY3kHU/edit?usp=sharing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4" s="7" t="s">
        <v>10</v>
      </c>
      <c r="H15754" s="7">
        <v>23715</v>
      </c>
      <c r="I15754" s="8" t="str">
        <f ca="1">IFERROR(__xludf.DUMMYFUNCTION("IF
(
G15755=""фізична особа""
,
VLOOKUP(H15755,IMPORTRANGE(""https://docs.google.com/spreadsheets/d/14Bd19lYaqBhU8_DElYkX7l4wRkHqqCUFNJY4AfY3kHU/edit?usp=sharing  #gid=0"",""фіз особи new!relations_name""),6,FALSE)
,
(IF
(
G15755=""юридична особа""
,
VLOO"&amp;"KUP(H15755,IMPORTRANGE(""https://docs.google.com/spreadsheets/d/14Bd19lYaqBhU8_DElYkX7l4wRkHqqCUFNJY4AfY3kHU/edit?usp=sharing  #gid=0"",""фіз особи new!relations_name_uo""),7,FALSE)
,
)
))"),"ЯСАКОВ Юрій Валентинович")</f>
        <v>ЯСАКОВ Юрій Валентинович</v>
      </c>
      <c r="J15754" s="7" t="s">
        <v>23</v>
      </c>
    </row>
    <row r="15755" spans="1:10" ht="13.2">
      <c r="A15755" s="7">
        <v>15754</v>
      </c>
      <c r="B15755" s="7">
        <v>1</v>
      </c>
      <c r="C15755" s="7" t="s">
        <v>10</v>
      </c>
      <c r="D15755" s="7">
        <v>19711</v>
      </c>
      <c r="E15755" s="7" t="s">
        <v>23</v>
      </c>
      <c r="F15755" s="8" t="str">
        <f ca="1">IFERROR(__xludf.DUMMYFUNCTION("IF
(
C15756=""фізична особа""
,
VLOOKUP(D15756,IMPORTRANGE(""https://docs.google.com/spreadsheets/d/14Bd19lYaqBhU8_DElYkX7l4wRkHqqCUFNJY4AfY3kHU/edit?usp=sharing  #gid=0"",""фіз особи new!relations_name""),6,FALSE)
,
(IF
(
C15756=""юридична особа""
,
VLOO"&amp;"KUP(D15756,IMPORTRANGE(""https://docs.google.com/spreadsheets/d/14Bd19lYaqBhU8_DElYkX7l4wRkHqqCUFNJY4AfY3kHU/edit?usp=sharing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5" s="7" t="s">
        <v>10</v>
      </c>
      <c r="H15755" s="7">
        <v>19715</v>
      </c>
      <c r="I15755" s="8" t="str">
        <f ca="1">IFERROR(__xludf.DUMMYFUNCTION("IF
(
G15756=""фізична особа""
,
VLOOKUP(H15756,IMPORTRANGE(""https://docs.google.com/spreadsheets/d/14Bd19lYaqBhU8_DElYkX7l4wRkHqqCUFNJY4AfY3kHU/edit?usp=sharing  #gid=0"",""фіз особи new!relations_name""),6,FALSE)
,
(IF
(
G15756=""юридична особа""
,
VLOO"&amp;"KUP(H15756,IMPORTRANGE(""https://docs.google.com/spreadsheets/d/14Bd19lYaqBhU8_DElYkX7l4wRkHqqCUFNJY4AfY3kHU/edit?usp=sharing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J15755" s="7" t="s">
        <v>23</v>
      </c>
    </row>
    <row r="15756" spans="1:10" ht="13.2">
      <c r="A15756" s="7">
        <v>15755</v>
      </c>
      <c r="B15756" s="7">
        <v>1</v>
      </c>
      <c r="C15756" s="7" t="s">
        <v>10</v>
      </c>
      <c r="D15756" s="7">
        <v>19711</v>
      </c>
      <c r="E15756" s="7" t="s">
        <v>23</v>
      </c>
      <c r="F15756" s="8" t="str">
        <f ca="1">IFERROR(__xludf.DUMMYFUNCTION("IF
(
C15757=""фізична особа""
,
VLOOKUP(D15757,IMPORTRANGE(""https://docs.google.com/spreadsheets/d/14Bd19lYaqBhU8_DElYkX7l4wRkHqqCUFNJY4AfY3kHU/edit?usp=sharing  #gid=0"",""фіз особи new!relations_name""),6,FALSE)
,
(IF
(
C15757=""юридична особа""
,
VLOO"&amp;"KUP(D15757,IMPORTRANGE(""https://docs.google.com/spreadsheets/d/14Bd19lYaqBhU8_DElYkX7l4wRkHqqCUFNJY4AfY3kHU/edit?usp=sharing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6" s="7" t="s">
        <v>10</v>
      </c>
      <c r="H15756" s="7">
        <v>0</v>
      </c>
      <c r="I15756" s="8" t="str">
        <f ca="1">IFERROR(__xludf.DUMMYFUNCTION("IF
(
G15757=""фізична особа""
,
VLOOKUP(H15757,IMPORTRANGE(""https://docs.google.com/spreadsheets/d/14Bd19lYaqBhU8_DElYkX7l4wRkHqqCUFNJY4AfY3kHU/edit?usp=sharing  #gid=0"",""фіз особи new!relations_name""),6,FALSE)
,
(IF
(
G15757=""юридична особа""
,
VLOO"&amp;"KUP(H15757,IMPORTRANGE(""https://docs.google.com/spreadsheets/d/14Bd19lYaqBhU8_DElYkX7l4wRkHqqCUFNJY4AfY3kHU/edit?usp=sharing  #gid=0"",""фіз особи new!relations_name_uo""),7,FALSE)
,
)
))"),"#N/A")</f>
        <v>#N/A</v>
      </c>
      <c r="J15756" s="7" t="s">
        <v>23</v>
      </c>
    </row>
    <row r="15757" spans="1:10" ht="13.2">
      <c r="A15757" s="7">
        <v>15756</v>
      </c>
      <c r="B15757" s="7">
        <v>1</v>
      </c>
      <c r="C15757" s="7" t="s">
        <v>10</v>
      </c>
      <c r="D15757" s="7">
        <v>19711</v>
      </c>
      <c r="E15757" s="7" t="s">
        <v>23</v>
      </c>
      <c r="F15757" s="8" t="str">
        <f ca="1">IFERROR(__xludf.DUMMYFUNCTION("IF
(
C15758=""фізична особа""
,
VLOOKUP(D15758,IMPORTRANGE(""https://docs.google.com/spreadsheets/d/14Bd19lYaqBhU8_DElYkX7l4wRkHqqCUFNJY4AfY3kHU/edit?usp=sharing  #gid=0"",""фіз особи new!relations_name""),6,FALSE)
,
(IF
(
C15758=""юридична особа""
,
VLOO"&amp;"KUP(D15758,IMPORTRANGE(""https://docs.google.com/spreadsheets/d/14Bd19lYaqBhU8_DElYkX7l4wRkHqqCUFNJY4AfY3kHU/edit?usp=sharing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7" s="7" t="s">
        <v>10</v>
      </c>
      <c r="H15757" s="7">
        <v>8818</v>
      </c>
      <c r="I15757" s="8" t="str">
        <f ca="1">IFERROR(__xludf.DUMMYFUNCTION("IF
(
G15758=""фізична особа""
,
VLOOKUP(H15758,IMPORTRANGE(""https://docs.google.com/spreadsheets/d/14Bd19lYaqBhU8_DElYkX7l4wRkHqqCUFNJY4AfY3kHU/edit?usp=sharing  #gid=0"",""фіз особи new!relations_name""),6,FALSE)
,
(IF
(
G15758=""юридична особа""
,
VLOO"&amp;"KUP(H15758,IMPORTRANGE(""https://docs.google.com/spreadsheets/d/14Bd19lYaqBhU8_DElYkX7l4wRkHqqCUFNJY4AfY3kHU/edit?usp=sharing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5757" s="7" t="s">
        <v>23</v>
      </c>
    </row>
    <row r="15758" spans="1:10" ht="13.2">
      <c r="A15758" s="7">
        <v>15757</v>
      </c>
      <c r="B15758" s="7">
        <v>1</v>
      </c>
      <c r="C15758" s="7" t="s">
        <v>10</v>
      </c>
      <c r="D15758" s="7">
        <v>19711</v>
      </c>
      <c r="E15758" s="7" t="s">
        <v>23</v>
      </c>
      <c r="F15758" s="8" t="str">
        <f ca="1">IFERROR(__xludf.DUMMYFUNCTION("IF
(
C15759=""фізична особа""
,
VLOOKUP(D15759,IMPORTRANGE(""https://docs.google.com/spreadsheets/d/14Bd19lYaqBhU8_DElYkX7l4wRkHqqCUFNJY4AfY3kHU/edit?usp=sharing  #gid=0"",""фіз особи new!relations_name""),6,FALSE)
,
(IF
(
C15759=""юридична особа""
,
VLOO"&amp;"KUP(D15759,IMPORTRANGE(""https://docs.google.com/spreadsheets/d/14Bd19lYaqBhU8_DElYkX7l4wRkHqqCUFNJY4AfY3kHU/edit?usp=sharing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8" s="7" t="s">
        <v>10</v>
      </c>
      <c r="H15758" s="7">
        <v>23607</v>
      </c>
      <c r="I15758" s="8" t="str">
        <f ca="1">IFERROR(__xludf.DUMMYFUNCTION("IF
(
G15759=""фізична особа""
,
VLOOKUP(H15759,IMPORTRANGE(""https://docs.google.com/spreadsheets/d/14Bd19lYaqBhU8_DElYkX7l4wRkHqqCUFNJY4AfY3kHU/edit?usp=sharing  #gid=0"",""фіз особи new!relations_name""),6,FALSE)
,
(IF
(
G15759=""юридична особа""
,
VLOO"&amp;"KUP(H15759,IMPORTRANGE(""https://docs.google.com/spreadsheets/d/14Bd19lYaqBhU8_DElYkX7l4wRkHqqCUFNJY4AfY3kHU/edit?usp=sharing  #gid=0"",""фіз особи new!relations_name_uo""),7,FALSE)
,
)
))"),"АНДРЮШКІН Дмитро Олександрович")</f>
        <v>АНДРЮШКІН Дмитро Олександрович</v>
      </c>
      <c r="J15758" s="7" t="s">
        <v>23</v>
      </c>
    </row>
    <row r="15759" spans="1:10" ht="13.2">
      <c r="A15759" s="7">
        <v>15758</v>
      </c>
      <c r="B15759" s="7">
        <v>1</v>
      </c>
      <c r="C15759" s="7" t="s">
        <v>10</v>
      </c>
      <c r="D15759" s="7">
        <v>19711</v>
      </c>
      <c r="E15759" s="7" t="s">
        <v>23</v>
      </c>
      <c r="F15759" s="8" t="str">
        <f ca="1">IFERROR(__xludf.DUMMYFUNCTION("IF
(
C15760=""фізична особа""
,
VLOOKUP(D15760,IMPORTRANGE(""https://docs.google.com/spreadsheets/d/14Bd19lYaqBhU8_DElYkX7l4wRkHqqCUFNJY4AfY3kHU/edit?usp=sharing  #gid=0"",""фіз особи new!relations_name""),6,FALSE)
,
(IF
(
C15760=""юридична особа""
,
VLOO"&amp;"KUP(D15760,IMPORTRANGE(""https://docs.google.com/spreadsheets/d/14Bd19lYaqBhU8_DElYkX7l4wRkHqqCUFNJY4AfY3kHU/edit?usp=sharing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G15759" s="7" t="s">
        <v>10</v>
      </c>
      <c r="H15759" s="7">
        <v>0</v>
      </c>
      <c r="I15759" s="8" t="str">
        <f ca="1">IFERROR(__xludf.DUMMYFUNCTION("IF
(
G15760=""фізична особа""
,
VLOOKUP(H15760,IMPORTRANGE(""https://docs.google.com/spreadsheets/d/14Bd19lYaqBhU8_DElYkX7l4wRkHqqCUFNJY4AfY3kHU/edit?usp=sharing  #gid=0"",""фіз особи new!relations_name""),6,FALSE)
,
(IF
(
G15760=""юридична особа""
,
VLOO"&amp;"KUP(H15760,IMPORTRANGE(""https://docs.google.com/spreadsheets/d/14Bd19lYaqBhU8_DElYkX7l4wRkHqqCUFNJY4AfY3kHU/edit?usp=sharing  #gid=0"",""фіз особи new!relations_name_uo""),7,FALSE)
,
)
))"),"#N/A")</f>
        <v>#N/A</v>
      </c>
      <c r="J15759" s="7" t="s">
        <v>23</v>
      </c>
    </row>
    <row r="15760" spans="1:10" ht="13.2">
      <c r="A15760" s="7">
        <v>15759</v>
      </c>
      <c r="B15760" s="7">
        <v>1</v>
      </c>
      <c r="C15760" s="7" t="s">
        <v>10</v>
      </c>
      <c r="D15760" s="7">
        <v>19712</v>
      </c>
      <c r="E15760" s="7" t="s">
        <v>23</v>
      </c>
      <c r="F15760" s="8" t="str">
        <f ca="1">IFERROR(__xludf.DUMMYFUNCTION("IF
(
C15761=""фізична особа""
,
VLOOKUP(D15761,IMPORTRANGE(""https://docs.google.com/spreadsheets/d/14Bd19lYaqBhU8_DElYkX7l4wRkHqqCUFNJY4AfY3kHU/edit?usp=sharing  #gid=0"",""фіз особи new!relations_name""),6,FALSE)
,
(IF
(
C15761=""юридична особа""
,
VLOO"&amp;"KUP(D15761,IMPORTRANGE(""https://docs.google.com/spreadsheets/d/14Bd19lYaqBhU8_DElYkX7l4wRkHqqCUFNJY4AfY3kHU/edit?usp=sharing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0" s="7" t="s">
        <v>10</v>
      </c>
      <c r="H15760" s="7">
        <v>23604</v>
      </c>
      <c r="I15760" s="8" t="str">
        <f ca="1">IFERROR(__xludf.DUMMYFUNCTION("IF
(
G15761=""фізична особа""
,
VLOOKUP(H15761,IMPORTRANGE(""https://docs.google.com/spreadsheets/d/14Bd19lYaqBhU8_DElYkX7l4wRkHqqCUFNJY4AfY3kHU/edit?usp=sharing  #gid=0"",""фіз особи new!relations_name""),6,FALSE)
,
(IF
(
G15761=""юридична особа""
,
VLOO"&amp;"KUP(H15761,IMPORTRANGE(""https://docs.google.com/spreadsheets/d/14Bd19lYaqBhU8_DElYkX7l4wRkHqqCUFNJY4AfY3kHU/edit?usp=sharing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5760" s="7" t="s">
        <v>23</v>
      </c>
    </row>
    <row r="15761" spans="1:10" ht="13.2">
      <c r="A15761" s="7">
        <v>15760</v>
      </c>
      <c r="B15761" s="7">
        <v>1</v>
      </c>
      <c r="C15761" s="7" t="s">
        <v>10</v>
      </c>
      <c r="D15761" s="7">
        <v>19712</v>
      </c>
      <c r="E15761" s="7" t="s">
        <v>23</v>
      </c>
      <c r="F15761" s="8" t="str">
        <f ca="1">IFERROR(__xludf.DUMMYFUNCTION("IF
(
C15762=""фізична особа""
,
VLOOKUP(D15762,IMPORTRANGE(""https://docs.google.com/spreadsheets/d/14Bd19lYaqBhU8_DElYkX7l4wRkHqqCUFNJY4AfY3kHU/edit?usp=sharing  #gid=0"",""фіз особи new!relations_name""),6,FALSE)
,
(IF
(
C15762=""юридична особа""
,
VLOO"&amp;"KUP(D15762,IMPORTRANGE(""https://docs.google.com/spreadsheets/d/14Bd19lYaqBhU8_DElYkX7l4wRkHqqCUFNJY4AfY3kHU/edit?usp=sharing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1" s="7" t="s">
        <v>10</v>
      </c>
      <c r="H15761" s="7">
        <v>19714</v>
      </c>
      <c r="I15761" s="8" t="str">
        <f ca="1">IFERROR(__xludf.DUMMYFUNCTION("IF
(
G15762=""фізична особа""
,
VLOOKUP(H15762,IMPORTRANGE(""https://docs.google.com/spreadsheets/d/14Bd19lYaqBhU8_DElYkX7l4wRkHqqCUFNJY4AfY3kHU/edit?usp=sharing  #gid=0"",""фіз особи new!relations_name""),6,FALSE)
,
(IF
(
G15762=""юридична особа""
,
VLOO"&amp;"KUP(H15762,IMPORTRANGE(""https://docs.google.com/spreadsheets/d/14Bd19lYaqBhU8_DElYkX7l4wRkHqqCUFNJY4AfY3kHU/edit?usp=sharing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J15761" s="7" t="s">
        <v>23</v>
      </c>
    </row>
    <row r="15762" spans="1:10" ht="13.2">
      <c r="A15762" s="7">
        <v>15761</v>
      </c>
      <c r="B15762" s="7">
        <v>1</v>
      </c>
      <c r="C15762" s="7" t="s">
        <v>10</v>
      </c>
      <c r="D15762" s="7">
        <v>19712</v>
      </c>
      <c r="E15762" s="7" t="s">
        <v>23</v>
      </c>
      <c r="F15762" s="8" t="str">
        <f ca="1">IFERROR(__xludf.DUMMYFUNCTION("IF
(
C15763=""фізична особа""
,
VLOOKUP(D15763,IMPORTRANGE(""https://docs.google.com/spreadsheets/d/14Bd19lYaqBhU8_DElYkX7l4wRkHqqCUFNJY4AfY3kHU/edit?usp=sharing  #gid=0"",""фіз особи new!relations_name""),6,FALSE)
,
(IF
(
C15763=""юридична особа""
,
VLOO"&amp;"KUP(D15763,IMPORTRANGE(""https://docs.google.com/spreadsheets/d/14Bd19lYaqBhU8_DElYkX7l4wRkHqqCUFNJY4AfY3kHU/edit?usp=sharing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2" s="7" t="s">
        <v>10</v>
      </c>
      <c r="H15762" s="7">
        <v>19587</v>
      </c>
      <c r="I15762" s="8" t="str">
        <f ca="1">IFERROR(__xludf.DUMMYFUNCTION("IF
(
G15763=""фізична особа""
,
VLOOKUP(H15763,IMPORTRANGE(""https://docs.google.com/spreadsheets/d/14Bd19lYaqBhU8_DElYkX7l4wRkHqqCUFNJY4AfY3kHU/edit?usp=sharing  #gid=0"",""фіз особи new!relations_name""),6,FALSE)
,
(IF
(
G15763=""юридична особа""
,
VLOO"&amp;"KUP(H15763,IMPORTRANGE(""https://docs.google.com/spreadsheets/d/14Bd19lYaqBhU8_DElYkX7l4wRkHqqCUFNJY4AfY3kHU/edit?usp=sharing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J15762" s="7" t="s">
        <v>23</v>
      </c>
    </row>
    <row r="15763" spans="1:10" ht="13.2">
      <c r="A15763" s="7">
        <v>15762</v>
      </c>
      <c r="B15763" s="7">
        <v>1</v>
      </c>
      <c r="C15763" s="7" t="s">
        <v>10</v>
      </c>
      <c r="D15763" s="7">
        <v>19712</v>
      </c>
      <c r="E15763" s="7" t="s">
        <v>23</v>
      </c>
      <c r="F15763" s="8" t="str">
        <f ca="1">IFERROR(__xludf.DUMMYFUNCTION("IF
(
C15764=""фізична особа""
,
VLOOKUP(D15764,IMPORTRANGE(""https://docs.google.com/spreadsheets/d/14Bd19lYaqBhU8_DElYkX7l4wRkHqqCUFNJY4AfY3kHU/edit?usp=sharing  #gid=0"",""фіз особи new!relations_name""),6,FALSE)
,
(IF
(
C15764=""юридична особа""
,
VLOO"&amp;"KUP(D15764,IMPORTRANGE(""https://docs.google.com/spreadsheets/d/14Bd19lYaqBhU8_DElYkX7l4wRkHqqCUFNJY4AfY3kHU/edit?usp=sharing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3" s="7" t="s">
        <v>10</v>
      </c>
      <c r="H15763" s="7">
        <v>13098</v>
      </c>
      <c r="I15763" s="8" t="str">
        <f ca="1">IFERROR(__xludf.DUMMYFUNCTION("IF
(
G15764=""фізична особа""
,
VLOOKUP(H15764,IMPORTRANGE(""https://docs.google.com/spreadsheets/d/14Bd19lYaqBhU8_DElYkX7l4wRkHqqCUFNJY4AfY3kHU/edit?usp=sharing  #gid=0"",""фіз особи new!relations_name""),6,FALSE)
,
(IF
(
G15764=""юридична особа""
,
VLOO"&amp;"KUP(H15764,IMPORTRANGE(""https://docs.google.com/spreadsheets/d/14Bd19lYaqBhU8_DElYkX7l4wRkHqqCUFNJY4AfY3kHU/edit?usp=sharing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J15763" s="7" t="s">
        <v>23</v>
      </c>
    </row>
    <row r="15764" spans="1:10" ht="13.2">
      <c r="A15764" s="7">
        <v>15763</v>
      </c>
      <c r="B15764" s="7">
        <v>1</v>
      </c>
      <c r="C15764" s="7" t="s">
        <v>10</v>
      </c>
      <c r="D15764" s="7">
        <v>19712</v>
      </c>
      <c r="E15764" s="7" t="s">
        <v>23</v>
      </c>
      <c r="F15764" s="8" t="str">
        <f ca="1">IFERROR(__xludf.DUMMYFUNCTION("IF
(
C15765=""фізична особа""
,
VLOOKUP(D15765,IMPORTRANGE(""https://docs.google.com/spreadsheets/d/14Bd19lYaqBhU8_DElYkX7l4wRkHqqCUFNJY4AfY3kHU/edit?usp=sharing  #gid=0"",""фіз особи new!relations_name""),6,FALSE)
,
(IF
(
C15765=""юридична особа""
,
VLOO"&amp;"KUP(D15765,IMPORTRANGE(""https://docs.google.com/spreadsheets/d/14Bd19lYaqBhU8_DElYkX7l4wRkHqqCUFNJY4AfY3kHU/edit?usp=sharing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4" s="7" t="s">
        <v>10</v>
      </c>
      <c r="H15764" s="7">
        <v>8818</v>
      </c>
      <c r="I15764" s="8" t="str">
        <f ca="1">IFERROR(__xludf.DUMMYFUNCTION("IF
(
G15765=""фізична особа""
,
VLOOKUP(H15765,IMPORTRANGE(""https://docs.google.com/spreadsheets/d/14Bd19lYaqBhU8_DElYkX7l4wRkHqqCUFNJY4AfY3kHU/edit?usp=sharing  #gid=0"",""фіз особи new!relations_name""),6,FALSE)
,
(IF
(
G15765=""юридична особа""
,
VLOO"&amp;"KUP(H15765,IMPORTRANGE(""https://docs.google.com/spreadsheets/d/14Bd19lYaqBhU8_DElYkX7l4wRkHqqCUFNJY4AfY3kHU/edit?usp=sharing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5764" s="7" t="s">
        <v>23</v>
      </c>
    </row>
    <row r="15765" spans="1:10" ht="13.2">
      <c r="A15765" s="7">
        <v>15764</v>
      </c>
      <c r="B15765" s="7">
        <v>1</v>
      </c>
      <c r="C15765" s="7" t="s">
        <v>10</v>
      </c>
      <c r="D15765" s="7">
        <v>19712</v>
      </c>
      <c r="E15765" s="7" t="s">
        <v>23</v>
      </c>
      <c r="F15765" s="8" t="str">
        <f ca="1">IFERROR(__xludf.DUMMYFUNCTION("IF
(
C15766=""фізична особа""
,
VLOOKUP(D15766,IMPORTRANGE(""https://docs.google.com/spreadsheets/d/14Bd19lYaqBhU8_DElYkX7l4wRkHqqCUFNJY4AfY3kHU/edit?usp=sharing  #gid=0"",""фіз особи new!relations_name""),6,FALSE)
,
(IF
(
C15766=""юридична особа""
,
VLOO"&amp;"KUP(D15766,IMPORTRANGE(""https://docs.google.com/spreadsheets/d/14Bd19lYaqBhU8_DElYkX7l4wRkHqqCUFNJY4AfY3kHU/edit?usp=sharing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G15765" s="7" t="s">
        <v>10</v>
      </c>
      <c r="H15765" s="7">
        <v>19711</v>
      </c>
      <c r="I15765" s="8" t="str">
        <f ca="1">IFERROR(__xludf.DUMMYFUNCTION("IF
(
G15766=""фізична особа""
,
VLOOKUP(H15766,IMPORTRANGE(""https://docs.google.com/spreadsheets/d/14Bd19lYaqBhU8_DElYkX7l4wRkHqqCUFNJY4AfY3kHU/edit?usp=sharing  #gid=0"",""фіз особи new!relations_name""),6,FALSE)
,
(IF
(
G15766=""юридична особа""
,
VLOO"&amp;"KUP(H15766,IMPORTRANGE(""https://docs.google.com/spreadsheets/d/14Bd19lYaqBhU8_DElYkX7l4wRkHqqCUFNJY4AfY3kHU/edit?usp=sharing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5765" s="7" t="s">
        <v>23</v>
      </c>
    </row>
    <row r="15766" spans="1:10" ht="13.2">
      <c r="A15766" s="7">
        <v>15765</v>
      </c>
      <c r="B15766" s="7">
        <v>1</v>
      </c>
      <c r="C15766" s="7" t="s">
        <v>10</v>
      </c>
      <c r="D15766" s="7">
        <v>19713</v>
      </c>
      <c r="E15766" s="7" t="s">
        <v>23</v>
      </c>
      <c r="F15766" s="8" t="str">
        <f ca="1">IFERROR(__xludf.DUMMYFUNCTION("IF
(
C15767=""фізична особа""
,
VLOOKUP(D15767,IMPORTRANGE(""https://docs.google.com/spreadsheets/d/14Bd19lYaqBhU8_DElYkX7l4wRkHqqCUFNJY4AfY3kHU/edit?usp=sharing  #gid=0"",""фіз особи new!relations_name""),6,FALSE)
,
(IF
(
C15767=""юридична особа""
,
VLOO"&amp;"KUP(D15767,IMPORTRANGE(""https://docs.google.com/spreadsheets/d/14Bd19lYaqBhU8_DElYkX7l4wRkHqqCUFNJY4AfY3kHU/edit?usp=sharing  #gid=0"",""фіз особи new!relations_name_uo""),7,FALSE)
,
)
))"),"БУТКО Кирил Вікторович")</f>
        <v>БУТКО Кирил Вікторович</v>
      </c>
      <c r="G15766" s="7" t="s">
        <v>10</v>
      </c>
      <c r="H15766" s="7">
        <v>19711</v>
      </c>
      <c r="I15766" s="8" t="str">
        <f ca="1">IFERROR(__xludf.DUMMYFUNCTION("IF
(
G15767=""фізична особа""
,
VLOOKUP(H15767,IMPORTRANGE(""https://docs.google.com/spreadsheets/d/14Bd19lYaqBhU8_DElYkX7l4wRkHqqCUFNJY4AfY3kHU/edit?usp=sharing  #gid=0"",""фіз особи new!relations_name""),6,FALSE)
,
(IF
(
G15767=""юридична особа""
,
VLOO"&amp;"KUP(H15767,IMPORTRANGE(""https://docs.google.com/spreadsheets/d/14Bd19lYaqBhU8_DElYkX7l4wRkHqqCUFNJY4AfY3kHU/edit?usp=sharing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5766" s="7" t="s">
        <v>23</v>
      </c>
    </row>
    <row r="15767" spans="1:10" ht="13.2">
      <c r="A15767" s="7">
        <v>15766</v>
      </c>
      <c r="B15767" s="7">
        <v>1</v>
      </c>
      <c r="C15767" s="7" t="s">
        <v>10</v>
      </c>
      <c r="D15767" s="7">
        <v>19713</v>
      </c>
      <c r="E15767" s="7" t="s">
        <v>23</v>
      </c>
      <c r="F15767" s="8" t="str">
        <f ca="1">IFERROR(__xludf.DUMMYFUNCTION("IF
(
C15768=""фізична особа""
,
VLOOKUP(D15768,IMPORTRANGE(""https://docs.google.com/spreadsheets/d/14Bd19lYaqBhU8_DElYkX7l4wRkHqqCUFNJY4AfY3kHU/edit?usp=sharing  #gid=0"",""фіз особи new!relations_name""),6,FALSE)
,
(IF
(
C15768=""юридична особа""
,
VLOO"&amp;"KUP(D15768,IMPORTRANGE(""https://docs.google.com/spreadsheets/d/14Bd19lYaqBhU8_DElYkX7l4wRkHqqCUFNJY4AfY3kHU/edit?usp=sharing  #gid=0"",""фіз особи new!relations_name_uo""),7,FALSE)
,
)
))"),"БУТКО Кирил Вікторович")</f>
        <v>БУТКО Кирил Вікторович</v>
      </c>
      <c r="G15767" s="7" t="s">
        <v>10</v>
      </c>
      <c r="H15767" s="7">
        <v>19712</v>
      </c>
      <c r="I15767" s="8" t="str">
        <f ca="1">IFERROR(__xludf.DUMMYFUNCTION("IF
(
G15768=""фізична особа""
,
VLOOKUP(H15768,IMPORTRANGE(""https://docs.google.com/spreadsheets/d/14Bd19lYaqBhU8_DElYkX7l4wRkHqqCUFNJY4AfY3kHU/edit?usp=sharing  #gid=0"",""фіз особи new!relations_name""),6,FALSE)
,
(IF
(
G15768=""юридична особа""
,
VLOO"&amp;"KUP(H15768,IMPORTRANGE(""https://docs.google.com/spreadsheets/d/14Bd19lYaqBhU8_DElYkX7l4wRkHqqCUFNJY4AfY3kHU/edit?usp=sharing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J15767" s="7" t="s">
        <v>23</v>
      </c>
    </row>
    <row r="15768" spans="1:10" ht="13.2">
      <c r="A15768" s="7">
        <v>15767</v>
      </c>
      <c r="B15768" s="7">
        <v>1</v>
      </c>
      <c r="C15768" s="7" t="s">
        <v>10</v>
      </c>
      <c r="D15768" s="7">
        <v>19714</v>
      </c>
      <c r="E15768" s="7" t="s">
        <v>23</v>
      </c>
      <c r="F15768" s="8" t="str">
        <f ca="1">IFERROR(__xludf.DUMMYFUNCTION("IF
(
C15769=""фізична особа""
,
VLOOKUP(D15769,IMPORTRANGE(""https://docs.google.com/spreadsheets/d/14Bd19lYaqBhU8_DElYkX7l4wRkHqqCUFNJY4AfY3kHU/edit?usp=sharing  #gid=0"",""фіз особи new!relations_name""),6,FALSE)
,
(IF
(
C15769=""юридична особа""
,
VLOO"&amp;"KUP(D15769,IMPORTRANGE(""https://docs.google.com/spreadsheets/d/14Bd19lYaqBhU8_DElYkX7l4wRkHqqCUFNJY4AfY3kHU/edit?usp=sharing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68" s="7" t="s">
        <v>10</v>
      </c>
      <c r="H15768" s="7">
        <v>23604</v>
      </c>
      <c r="I15768" s="8" t="str">
        <f ca="1">IFERROR(__xludf.DUMMYFUNCTION("IF
(
G15769=""фізична особа""
,
VLOOKUP(H15769,IMPORTRANGE(""https://docs.google.com/spreadsheets/d/14Bd19lYaqBhU8_DElYkX7l4wRkHqqCUFNJY4AfY3kHU/edit?usp=sharing  #gid=0"",""фіз особи new!relations_name""),6,FALSE)
,
(IF
(
G15769=""юридична особа""
,
VLOO"&amp;"KUP(H15769,IMPORTRANGE(""https://docs.google.com/spreadsheets/d/14Bd19lYaqBhU8_DElYkX7l4wRkHqqCUFNJY4AfY3kHU/edit?usp=sharing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5768" s="7" t="s">
        <v>23</v>
      </c>
    </row>
    <row r="15769" spans="1:10" ht="13.2">
      <c r="A15769" s="7">
        <v>15768</v>
      </c>
      <c r="B15769" s="7">
        <v>1</v>
      </c>
      <c r="C15769" s="7" t="s">
        <v>10</v>
      </c>
      <c r="D15769" s="7">
        <v>19714</v>
      </c>
      <c r="E15769" s="7" t="s">
        <v>23</v>
      </c>
      <c r="F15769" s="8" t="str">
        <f ca="1">IFERROR(__xludf.DUMMYFUNCTION("IF
(
C15770=""фізична особа""
,
VLOOKUP(D15770,IMPORTRANGE(""https://docs.google.com/spreadsheets/d/14Bd19lYaqBhU8_DElYkX7l4wRkHqqCUFNJY4AfY3kHU/edit?usp=sharing  #gid=0"",""фіз особи new!relations_name""),6,FALSE)
,
(IF
(
C15770=""юридична особа""
,
VLOO"&amp;"KUP(D15770,IMPORTRANGE(""https://docs.google.com/spreadsheets/d/14Bd19lYaqBhU8_DElYkX7l4wRkHqqCUFNJY4AfY3kHU/edit?usp=sharing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69" s="7" t="s">
        <v>10</v>
      </c>
      <c r="H15769" s="7">
        <v>19587</v>
      </c>
      <c r="I15769" s="8" t="str">
        <f ca="1">IFERROR(__xludf.DUMMYFUNCTION("IF
(
G15770=""фізична особа""
,
VLOOKUP(H15770,IMPORTRANGE(""https://docs.google.com/spreadsheets/d/14Bd19lYaqBhU8_DElYkX7l4wRkHqqCUFNJY4AfY3kHU/edit?usp=sharing  #gid=0"",""фіз особи new!relations_name""),6,FALSE)
,
(IF
(
G15770=""юридична особа""
,
VLOO"&amp;"KUP(H15770,IMPORTRANGE(""https://docs.google.com/spreadsheets/d/14Bd19lYaqBhU8_DElYkX7l4wRkHqqCUFNJY4AfY3kHU/edit?usp=sharing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J15769" s="7" t="s">
        <v>23</v>
      </c>
    </row>
    <row r="15770" spans="1:10" ht="13.2">
      <c r="A15770" s="7">
        <v>15769</v>
      </c>
      <c r="B15770" s="7">
        <v>1</v>
      </c>
      <c r="C15770" s="7" t="s">
        <v>10</v>
      </c>
      <c r="D15770" s="7">
        <v>19714</v>
      </c>
      <c r="E15770" s="7" t="s">
        <v>23</v>
      </c>
      <c r="F15770" s="8" t="str">
        <f ca="1">IFERROR(__xludf.DUMMYFUNCTION("IF
(
C15771=""фізична особа""
,
VLOOKUP(D15771,IMPORTRANGE(""https://docs.google.com/spreadsheets/d/14Bd19lYaqBhU8_DElYkX7l4wRkHqqCUFNJY4AfY3kHU/edit?usp=sharing  #gid=0"",""фіз особи new!relations_name""),6,FALSE)
,
(IF
(
C15771=""юридична особа""
,
VLOO"&amp;"KUP(D15771,IMPORTRANGE(""https://docs.google.com/spreadsheets/d/14Bd19lYaqBhU8_DElYkX7l4wRkHqqCUFNJY4AfY3kHU/edit?usp=sharing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0" s="7" t="s">
        <v>10</v>
      </c>
      <c r="H15770" s="7">
        <v>13098</v>
      </c>
      <c r="I15770" s="8" t="str">
        <f ca="1">IFERROR(__xludf.DUMMYFUNCTION("IF
(
G15771=""фізична особа""
,
VLOOKUP(H15771,IMPORTRANGE(""https://docs.google.com/spreadsheets/d/14Bd19lYaqBhU8_DElYkX7l4wRkHqqCUFNJY4AfY3kHU/edit?usp=sharing  #gid=0"",""фіз особи new!relations_name""),6,FALSE)
,
(IF
(
G15771=""юридична особа""
,
VLOO"&amp;"KUP(H15771,IMPORTRANGE(""https://docs.google.com/spreadsheets/d/14Bd19lYaqBhU8_DElYkX7l4wRkHqqCUFNJY4AfY3kHU/edit?usp=sharing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J15770" s="7" t="s">
        <v>23</v>
      </c>
    </row>
    <row r="15771" spans="1:10" ht="13.2">
      <c r="A15771" s="7">
        <v>15770</v>
      </c>
      <c r="B15771" s="7">
        <v>1</v>
      </c>
      <c r="C15771" s="7" t="s">
        <v>10</v>
      </c>
      <c r="D15771" s="7">
        <v>19714</v>
      </c>
      <c r="E15771" s="7" t="s">
        <v>23</v>
      </c>
      <c r="F15771" s="8" t="str">
        <f ca="1">IFERROR(__xludf.DUMMYFUNCTION("IF
(
C15772=""фізична особа""
,
VLOOKUP(D15772,IMPORTRANGE(""https://docs.google.com/spreadsheets/d/14Bd19lYaqBhU8_DElYkX7l4wRkHqqCUFNJY4AfY3kHU/edit?usp=sharing  #gid=0"",""фіз особи new!relations_name""),6,FALSE)
,
(IF
(
C15772=""юридична особа""
,
VLOO"&amp;"KUP(D15772,IMPORTRANGE(""https://docs.google.com/spreadsheets/d/14Bd19lYaqBhU8_DElYkX7l4wRkHqqCUFNJY4AfY3kHU/edit?usp=sharing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1" s="7" t="s">
        <v>10</v>
      </c>
      <c r="H15771" s="7">
        <v>8818</v>
      </c>
      <c r="I15771" s="8" t="str">
        <f ca="1">IFERROR(__xludf.DUMMYFUNCTION("IF
(
G15772=""фізична особа""
,
VLOOKUP(H15772,IMPORTRANGE(""https://docs.google.com/spreadsheets/d/14Bd19lYaqBhU8_DElYkX7l4wRkHqqCUFNJY4AfY3kHU/edit?usp=sharing  #gid=0"",""фіз особи new!relations_name""),6,FALSE)
,
(IF
(
G15772=""юридична особа""
,
VLOO"&amp;"KUP(H15772,IMPORTRANGE(""https://docs.google.com/spreadsheets/d/14Bd19lYaqBhU8_DElYkX7l4wRkHqqCUFNJY4AfY3kHU/edit?usp=sharing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5771" s="7" t="s">
        <v>23</v>
      </c>
    </row>
    <row r="15772" spans="1:10" ht="13.2">
      <c r="A15772" s="7">
        <v>15771</v>
      </c>
      <c r="B15772" s="7">
        <v>1</v>
      </c>
      <c r="C15772" s="7" t="s">
        <v>10</v>
      </c>
      <c r="D15772" s="7">
        <v>19714</v>
      </c>
      <c r="E15772" s="7" t="s">
        <v>23</v>
      </c>
      <c r="F15772" s="8" t="str">
        <f ca="1">IFERROR(__xludf.DUMMYFUNCTION("IF
(
C15773=""фізична особа""
,
VLOOKUP(D15773,IMPORTRANGE(""https://docs.google.com/spreadsheets/d/14Bd19lYaqBhU8_DElYkX7l4wRkHqqCUFNJY4AfY3kHU/edit?usp=sharing  #gid=0"",""фіз особи new!relations_name""),6,FALSE)
,
(IF
(
C15773=""юридична особа""
,
VLOO"&amp;"KUP(D15773,IMPORTRANGE(""https://docs.google.com/spreadsheets/d/14Bd19lYaqBhU8_DElYkX7l4wRkHqqCUFNJY4AfY3kHU/edit?usp=sharing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2" s="7" t="s">
        <v>10</v>
      </c>
      <c r="H15772" s="7">
        <v>19711</v>
      </c>
      <c r="I15772" s="8" t="str">
        <f ca="1">IFERROR(__xludf.DUMMYFUNCTION("IF
(
G15773=""фізична особа""
,
VLOOKUP(H15773,IMPORTRANGE(""https://docs.google.com/spreadsheets/d/14Bd19lYaqBhU8_DElYkX7l4wRkHqqCUFNJY4AfY3kHU/edit?usp=sharing  #gid=0"",""фіз особи new!relations_name""),6,FALSE)
,
(IF
(
G15773=""юридична особа""
,
VLOO"&amp;"KUP(H15773,IMPORTRANGE(""https://docs.google.com/spreadsheets/d/14Bd19lYaqBhU8_DElYkX7l4wRkHqqCUFNJY4AfY3kHU/edit?usp=sharing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5772" s="7" t="s">
        <v>23</v>
      </c>
    </row>
    <row r="15773" spans="1:10" ht="13.2">
      <c r="A15773" s="7">
        <v>15772</v>
      </c>
      <c r="B15773" s="7">
        <v>1</v>
      </c>
      <c r="C15773" s="7" t="s">
        <v>10</v>
      </c>
      <c r="D15773" s="7">
        <v>19717</v>
      </c>
      <c r="E15773" s="7" t="s">
        <v>65</v>
      </c>
      <c r="F15773" s="8" t="str">
        <f ca="1">IFERROR(__xludf.DUMMYFUNCTION("IF
(
C15774=""фізична особа""
,
VLOOKUP(D15774,IMPORTRANGE(""https://docs.google.com/spreadsheets/d/14Bd19lYaqBhU8_DElYkX7l4wRkHqqCUFNJY4AfY3kHU/edit?usp=sharing  #gid=0"",""фіз особи new!relations_name""),6,FALSE)
,
(IF
(
C15774=""юридична особа""
,
VLOO"&amp;"KUP(D15774,IMPORTRANGE(""https://docs.google.com/spreadsheets/d/14Bd19lYaqBhU8_DElYkX7l4wRkHqqCUFNJY4AfY3kHU/edit?usp=sharing  #gid=0"",""фіз особи new!relations_name_uo""),7,FALSE)
,
)
))"),"СЛАВОВ Валерій Анатолійович")</f>
        <v>СЛАВОВ Валерій Анатолійович</v>
      </c>
      <c r="G15773" s="7" t="s">
        <v>10</v>
      </c>
      <c r="H15773" s="7">
        <v>23723</v>
      </c>
      <c r="I15773" s="8" t="str">
        <f ca="1">IFERROR(__xludf.DUMMYFUNCTION("IF
(
G15774=""фізична особа""
,
VLOOKUP(H15774,IMPORTRANGE(""https://docs.google.com/spreadsheets/d/14Bd19lYaqBhU8_DElYkX7l4wRkHqqCUFNJY4AfY3kHU/edit?usp=sharing  #gid=0"",""фіз особи new!relations_name""),6,FALSE)
,
(IF
(
G15774=""юридична особа""
,
VLOO"&amp;"KUP(H15774,IMPORTRANGE(""https://docs.google.com/spreadsheets/d/14Bd19lYaqBhU8_DElYkX7l4wRkHqqCUFNJY4AfY3kHU/edit?usp=sharing  #gid=0"",""фіз особи new!relations_name_uo""),7,FALSE)
,
)
))"),"ХЛЄБНІКОВА Олена Іванівна")</f>
        <v>ХЛЄБНІКОВА Олена Іванівна</v>
      </c>
      <c r="J15773" s="7" t="s">
        <v>65</v>
      </c>
    </row>
    <row r="15774" spans="1:10" ht="13.2">
      <c r="A15774" s="7">
        <v>15773</v>
      </c>
      <c r="B15774" s="7">
        <v>1</v>
      </c>
      <c r="C15774" s="7" t="s">
        <v>10</v>
      </c>
      <c r="D15774" s="7">
        <v>19714</v>
      </c>
      <c r="E15774" s="7" t="s">
        <v>23</v>
      </c>
      <c r="F15774" s="8" t="str">
        <f ca="1">IFERROR(__xludf.DUMMYFUNCTION("IF
(
C15775=""фізична особа""
,
VLOOKUP(D15775,IMPORTRANGE(""https://docs.google.com/spreadsheets/d/14Bd19lYaqBhU8_DElYkX7l4wRkHqqCUFNJY4AfY3kHU/edit?usp=sharing  #gid=0"",""фіз особи new!relations_name""),6,FALSE)
,
(IF
(
C15775=""юридична особа""
,
VLOO"&amp;"KUP(D15775,IMPORTRANGE(""https://docs.google.com/spreadsheets/d/14Bd19lYaqBhU8_DElYkX7l4wRkHqqCUFNJY4AfY3kHU/edit?usp=sharing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4" s="7" t="s">
        <v>10</v>
      </c>
      <c r="H15774" s="7">
        <v>23715</v>
      </c>
      <c r="I15774" s="8" t="str">
        <f ca="1">IFERROR(__xludf.DUMMYFUNCTION("IF
(
G15775=""фізична особа""
,
VLOOKUP(H15775,IMPORTRANGE(""https://docs.google.com/spreadsheets/d/14Bd19lYaqBhU8_DElYkX7l4wRkHqqCUFNJY4AfY3kHU/edit?usp=sharing  #gid=0"",""фіз особи new!relations_name""),6,FALSE)
,
(IF
(
G15775=""юридична особа""
,
VLOO"&amp;"KUP(H15775,IMPORTRANGE(""https://docs.google.com/spreadsheets/d/14Bd19lYaqBhU8_DElYkX7l4wRkHqqCUFNJY4AfY3kHU/edit?usp=sharing  #gid=0"",""фіз особи new!relations_name_uo""),7,FALSE)
,
)
))"),"ЯСАКОВ Юрій Валентинович")</f>
        <v>ЯСАКОВ Юрій Валентинович</v>
      </c>
      <c r="J15774" s="7" t="s">
        <v>23</v>
      </c>
    </row>
    <row r="15775" spans="1:10" ht="13.2">
      <c r="A15775" s="7">
        <v>15774</v>
      </c>
      <c r="B15775" s="7">
        <v>1</v>
      </c>
      <c r="C15775" s="7" t="s">
        <v>10</v>
      </c>
      <c r="D15775" s="7">
        <v>19714</v>
      </c>
      <c r="E15775" s="7" t="s">
        <v>23</v>
      </c>
      <c r="F15775" s="8" t="str">
        <f ca="1">IFERROR(__xludf.DUMMYFUNCTION("IF
(
C15776=""фізична особа""
,
VLOOKUP(D15776,IMPORTRANGE(""https://docs.google.com/spreadsheets/d/14Bd19lYaqBhU8_DElYkX7l4wRkHqqCUFNJY4AfY3kHU/edit?usp=sharing  #gid=0"",""фіз особи new!relations_name""),6,FALSE)
,
(IF
(
C15776=""юридична особа""
,
VLOO"&amp;"KUP(D15776,IMPORTRANGE(""https://docs.google.com/spreadsheets/d/14Bd19lYaqBhU8_DElYkX7l4wRkHqqCUFNJY4AfY3kHU/edit?usp=sharing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5" s="7" t="s">
        <v>10</v>
      </c>
      <c r="H15775" s="7">
        <v>19715</v>
      </c>
      <c r="I15775" s="8" t="str">
        <f ca="1">IFERROR(__xludf.DUMMYFUNCTION("IF
(
G15776=""фізична особа""
,
VLOOKUP(H15776,IMPORTRANGE(""https://docs.google.com/spreadsheets/d/14Bd19lYaqBhU8_DElYkX7l4wRkHqqCUFNJY4AfY3kHU/edit?usp=sharing  #gid=0"",""фіз особи new!relations_name""),6,FALSE)
,
(IF
(
G15776=""юридична особа""
,
VLOO"&amp;"KUP(H15776,IMPORTRANGE(""https://docs.google.com/spreadsheets/d/14Bd19lYaqBhU8_DElYkX7l4wRkHqqCUFNJY4AfY3kHU/edit?usp=sharing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J15775" s="7" t="s">
        <v>23</v>
      </c>
    </row>
    <row r="15776" spans="1:10" ht="13.2">
      <c r="A15776" s="7">
        <v>15775</v>
      </c>
      <c r="B15776" s="7">
        <v>1</v>
      </c>
      <c r="C15776" s="7" t="s">
        <v>10</v>
      </c>
      <c r="D15776" s="7">
        <v>19714</v>
      </c>
      <c r="E15776" s="7" t="s">
        <v>23</v>
      </c>
      <c r="F15776" s="8" t="str">
        <f ca="1">IFERROR(__xludf.DUMMYFUNCTION("IF
(
C15777=""фізична особа""
,
VLOOKUP(D15777,IMPORTRANGE(""https://docs.google.com/spreadsheets/d/14Bd19lYaqBhU8_DElYkX7l4wRkHqqCUFNJY4AfY3kHU/edit?usp=sharing  #gid=0"",""фіз особи new!relations_name""),6,FALSE)
,
(IF
(
C15777=""юридична особа""
,
VLOO"&amp;"KUP(D15777,IMPORTRANGE(""https://docs.google.com/spreadsheets/d/14Bd19lYaqBhU8_DElYkX7l4wRkHqqCUFNJY4AfY3kHU/edit?usp=sharing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6" s="7" t="s">
        <v>10</v>
      </c>
      <c r="H15776" s="7">
        <v>23606</v>
      </c>
      <c r="I15776" s="8" t="str">
        <f ca="1">IFERROR(__xludf.DUMMYFUNCTION("IF
(
G15777=""фізична особа""
,
VLOOKUP(H15777,IMPORTRANGE(""https://docs.google.com/spreadsheets/d/14Bd19lYaqBhU8_DElYkX7l4wRkHqqCUFNJY4AfY3kHU/edit?usp=sharing  #gid=0"",""фіз особи new!relations_name""),6,FALSE)
,
(IF
(
G15777=""юридична особа""
,
VLOO"&amp;"KUP(H15777,IMPORTRANGE(""https://docs.google.com/spreadsheets/d/14Bd19lYaqBhU8_DElYkX7l4wRkHqqCUFNJY4AfY3kHU/edit?usp=sharing  #gid=0"",""фіз особи new!relations_name_uo""),7,FALSE)
,
)
))"),"НОСЕНКО Сергій Михайлович")</f>
        <v>НОСЕНКО Сергій Михайлович</v>
      </c>
      <c r="J15776" s="7" t="s">
        <v>23</v>
      </c>
    </row>
    <row r="15777" spans="1:10" ht="13.2">
      <c r="A15777" s="7">
        <v>15776</v>
      </c>
      <c r="B15777" s="7">
        <v>1</v>
      </c>
      <c r="C15777" s="7" t="s">
        <v>10</v>
      </c>
      <c r="D15777" s="7">
        <v>19714</v>
      </c>
      <c r="E15777" s="7" t="s">
        <v>23</v>
      </c>
      <c r="F15777" s="8" t="str">
        <f ca="1">IFERROR(__xludf.DUMMYFUNCTION("IF
(
C15778=""фізична особа""
,
VLOOKUP(D15778,IMPORTRANGE(""https://docs.google.com/spreadsheets/d/14Bd19lYaqBhU8_DElYkX7l4wRkHqqCUFNJY4AfY3kHU/edit?usp=sharing  #gid=0"",""фіз особи new!relations_name""),6,FALSE)
,
(IF
(
C15778=""юридична особа""
,
VLOO"&amp;"KUP(D15778,IMPORTRANGE(""https://docs.google.com/spreadsheets/d/14Bd19lYaqBhU8_DElYkX7l4wRkHqqCUFNJY4AfY3kHU/edit?usp=sharing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G15777" s="7" t="s">
        <v>10</v>
      </c>
      <c r="H15777" s="7">
        <v>0</v>
      </c>
      <c r="I15777" s="8" t="str">
        <f ca="1">IFERROR(__xludf.DUMMYFUNCTION("IF
(
G15778=""фізична особа""
,
VLOOKUP(H15778,IMPORTRANGE(""https://docs.google.com/spreadsheets/d/14Bd19lYaqBhU8_DElYkX7l4wRkHqqCUFNJY4AfY3kHU/edit?usp=sharing  #gid=0"",""фіз особи new!relations_name""),6,FALSE)
,
(IF
(
G15778=""юридична особа""
,
VLOO"&amp;"KUP(H15778,IMPORTRANGE(""https://docs.google.com/spreadsheets/d/14Bd19lYaqBhU8_DElYkX7l4wRkHqqCUFNJY4AfY3kHU/edit?usp=sharing  #gid=0"",""фіз особи new!relations_name_uo""),7,FALSE)
,
)
))"),"#N/A")</f>
        <v>#N/A</v>
      </c>
      <c r="J15777" s="7" t="s">
        <v>23</v>
      </c>
    </row>
    <row r="15778" spans="1:10" ht="13.2">
      <c r="A15778" s="7">
        <v>15777</v>
      </c>
      <c r="B15778" s="7">
        <v>1</v>
      </c>
      <c r="C15778" s="7" t="s">
        <v>10</v>
      </c>
      <c r="D15778" s="7">
        <v>19715</v>
      </c>
      <c r="E15778" s="7" t="s">
        <v>23</v>
      </c>
      <c r="F15778" s="8" t="str">
        <f ca="1">IFERROR(__xludf.DUMMYFUNCTION("IF
(
C15779=""фізична особа""
,
VLOOKUP(D15779,IMPORTRANGE(""https://docs.google.com/spreadsheets/d/14Bd19lYaqBhU8_DElYkX7l4wRkHqqCUFNJY4AfY3kHU/edit?usp=sharing  #gid=0"",""фіз особи new!relations_name""),6,FALSE)
,
(IF
(
C15779=""юридична особа""
,
VLOO"&amp;"KUP(D15779,IMPORTRANGE(""https://docs.google.com/spreadsheets/d/14Bd19lYaqBhU8_DElYkX7l4wRkHqqCUFNJY4AfY3kHU/edit?usp=sharing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78" s="7" t="s">
        <v>10</v>
      </c>
      <c r="H15778" s="7">
        <v>23604</v>
      </c>
      <c r="I15778" s="8" t="str">
        <f ca="1">IFERROR(__xludf.DUMMYFUNCTION("IF
(
G15779=""фізична особа""
,
VLOOKUP(H15779,IMPORTRANGE(""https://docs.google.com/spreadsheets/d/14Bd19lYaqBhU8_DElYkX7l4wRkHqqCUFNJY4AfY3kHU/edit?usp=sharing  #gid=0"",""фіз особи new!relations_name""),6,FALSE)
,
(IF
(
G15779=""юридична особа""
,
VLOO"&amp;"KUP(H15779,IMPORTRANGE(""https://docs.google.com/spreadsheets/d/14Bd19lYaqBhU8_DElYkX7l4wRkHqqCUFNJY4AfY3kHU/edit?usp=sharing  #gid=0"",""фіз особи new!relations_name_uo""),7,FALSE)
,
)
))"),"КУЗНЄЦОВ Артем Владиславович")</f>
        <v>КУЗНЄЦОВ Артем Владиславович</v>
      </c>
      <c r="J15778" s="7" t="s">
        <v>23</v>
      </c>
    </row>
    <row r="15779" spans="1:10" ht="13.2">
      <c r="A15779" s="7">
        <v>15778</v>
      </c>
      <c r="B15779" s="7">
        <v>1</v>
      </c>
      <c r="C15779" s="7" t="s">
        <v>10</v>
      </c>
      <c r="D15779" s="7">
        <v>19715</v>
      </c>
      <c r="E15779" s="7" t="s">
        <v>23</v>
      </c>
      <c r="F15779" s="8" t="str">
        <f ca="1">IFERROR(__xludf.DUMMYFUNCTION("IF
(
C15780=""фізична особа""
,
VLOOKUP(D15780,IMPORTRANGE(""https://docs.google.com/spreadsheets/d/14Bd19lYaqBhU8_DElYkX7l4wRkHqqCUFNJY4AfY3kHU/edit?usp=sharing  #gid=0"",""фіз особи new!relations_name""),6,FALSE)
,
(IF
(
C15780=""юридична особа""
,
VLOO"&amp;"KUP(D15780,IMPORTRANGE(""https://docs.google.com/spreadsheets/d/14Bd19lYaqBhU8_DElYkX7l4wRkHqqCUFNJY4AfY3kHU/edit?usp=sharing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79" s="7" t="s">
        <v>10</v>
      </c>
      <c r="H15779" s="7">
        <v>19587</v>
      </c>
      <c r="I15779" s="8" t="str">
        <f ca="1">IFERROR(__xludf.DUMMYFUNCTION("IF
(
G15780=""фізична особа""
,
VLOOKUP(H15780,IMPORTRANGE(""https://docs.google.com/spreadsheets/d/14Bd19lYaqBhU8_DElYkX7l4wRkHqqCUFNJY4AfY3kHU/edit?usp=sharing  #gid=0"",""фіз особи new!relations_name""),6,FALSE)
,
(IF
(
G15780=""юридична особа""
,
VLOO"&amp;"KUP(H15780,IMPORTRANGE(""https://docs.google.com/spreadsheets/d/14Bd19lYaqBhU8_DElYkX7l4wRkHqqCUFNJY4AfY3kHU/edit?usp=sharing  #gid=0"",""фіз особи new!relations_name_uo""),7,FALSE)
,
)
))"),"ПЕТРОВ Олексій Юрійович")</f>
        <v>ПЕТРОВ Олексій Юрійович</v>
      </c>
      <c r="J15779" s="7" t="s">
        <v>23</v>
      </c>
    </row>
    <row r="15780" spans="1:10" ht="13.2">
      <c r="A15780" s="7">
        <v>15779</v>
      </c>
      <c r="B15780" s="7">
        <v>1</v>
      </c>
      <c r="C15780" s="7" t="s">
        <v>10</v>
      </c>
      <c r="D15780" s="7">
        <v>19715</v>
      </c>
      <c r="E15780" s="7" t="s">
        <v>23</v>
      </c>
      <c r="F15780" s="8" t="str">
        <f ca="1">IFERROR(__xludf.DUMMYFUNCTION("IF
(
C15781=""фізична особа""
,
VLOOKUP(D15781,IMPORTRANGE(""https://docs.google.com/spreadsheets/d/14Bd19lYaqBhU8_DElYkX7l4wRkHqqCUFNJY4AfY3kHU/edit?usp=sharing  #gid=0"",""фіз особи new!relations_name""),6,FALSE)
,
(IF
(
C15781=""юридична особа""
,
VLOO"&amp;"KUP(D15781,IMPORTRANGE(""https://docs.google.com/spreadsheets/d/14Bd19lYaqBhU8_DElYkX7l4wRkHqqCUFNJY4AfY3kHU/edit?usp=sharing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0" s="7" t="s">
        <v>10</v>
      </c>
      <c r="H15780" s="7">
        <v>13098</v>
      </c>
      <c r="I15780" s="8" t="str">
        <f ca="1">IFERROR(__xludf.DUMMYFUNCTION("IF
(
G15781=""фізична особа""
,
VLOOKUP(H15781,IMPORTRANGE(""https://docs.google.com/spreadsheets/d/14Bd19lYaqBhU8_DElYkX7l4wRkHqqCUFNJY4AfY3kHU/edit?usp=sharing  #gid=0"",""фіз особи new!relations_name""),6,FALSE)
,
(IF
(
G15781=""юридична особа""
,
VLOO"&amp;"KUP(H15781,IMPORTRANGE(""https://docs.google.com/spreadsheets/d/14Bd19lYaqBhU8_DElYkX7l4wRkHqqCUFNJY4AfY3kHU/edit?usp=sharing  #gid=0"",""фіз особи new!relations_name_uo""),7,FALSE)
,
)
))"),"ПЕТРОВ Олександр Юрійович")</f>
        <v>ПЕТРОВ Олександр Юрійович</v>
      </c>
      <c r="J15780" s="7" t="s">
        <v>23</v>
      </c>
    </row>
    <row r="15781" spans="1:10" ht="13.2">
      <c r="A15781" s="7">
        <v>15780</v>
      </c>
      <c r="B15781" s="7">
        <v>1</v>
      </c>
      <c r="C15781" s="7" t="s">
        <v>10</v>
      </c>
      <c r="D15781" s="7">
        <v>19715</v>
      </c>
      <c r="E15781" s="7" t="s">
        <v>23</v>
      </c>
      <c r="F15781" s="8" t="str">
        <f ca="1">IFERROR(__xludf.DUMMYFUNCTION("IF
(
C15782=""фізична особа""
,
VLOOKUP(D15782,IMPORTRANGE(""https://docs.google.com/spreadsheets/d/14Bd19lYaqBhU8_DElYkX7l4wRkHqqCUFNJY4AfY3kHU/edit?usp=sharing  #gid=0"",""фіз особи new!relations_name""),6,FALSE)
,
(IF
(
C15782=""юридична особа""
,
VLOO"&amp;"KUP(D15782,IMPORTRANGE(""https://docs.google.com/spreadsheets/d/14Bd19lYaqBhU8_DElYkX7l4wRkHqqCUFNJY4AfY3kHU/edit?usp=sharing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1" s="7" t="s">
        <v>10</v>
      </c>
      <c r="H15781" s="7">
        <v>8818</v>
      </c>
      <c r="I15781" s="8" t="str">
        <f ca="1">IFERROR(__xludf.DUMMYFUNCTION("IF
(
G15782=""фізична особа""
,
VLOOKUP(H15782,IMPORTRANGE(""https://docs.google.com/spreadsheets/d/14Bd19lYaqBhU8_DElYkX7l4wRkHqqCUFNJY4AfY3kHU/edit?usp=sharing  #gid=0"",""фіз особи new!relations_name""),6,FALSE)
,
(IF
(
G15782=""юридична особа""
,
VLOO"&amp;"KUP(H15782,IMPORTRANGE(""https://docs.google.com/spreadsheets/d/14Bd19lYaqBhU8_DElYkX7l4wRkHqqCUFNJY4AfY3kHU/edit?usp=sharing  #gid=0"",""фіз особи new!relations_name_uo""),7,FALSE)
,
)
))"),"ГУЩИН Юрій Миколайович")</f>
        <v>ГУЩИН Юрій Миколайович</v>
      </c>
      <c r="J15781" s="7" t="s">
        <v>23</v>
      </c>
    </row>
    <row r="15782" spans="1:10" ht="13.2">
      <c r="A15782" s="7">
        <v>15781</v>
      </c>
      <c r="B15782" s="7">
        <v>1</v>
      </c>
      <c r="C15782" s="7" t="s">
        <v>10</v>
      </c>
      <c r="D15782" s="7">
        <v>19715</v>
      </c>
      <c r="E15782" s="7" t="s">
        <v>23</v>
      </c>
      <c r="F15782" s="8" t="str">
        <f ca="1">IFERROR(__xludf.DUMMYFUNCTION("IF
(
C15783=""фізична особа""
,
VLOOKUP(D15783,IMPORTRANGE(""https://docs.google.com/spreadsheets/d/14Bd19lYaqBhU8_DElYkX7l4wRkHqqCUFNJY4AfY3kHU/edit?usp=sharing  #gid=0"",""фіз особи new!relations_name""),6,FALSE)
,
(IF
(
C15783=""юридична особа""
,
VLOO"&amp;"KUP(D15783,IMPORTRANGE(""https://docs.google.com/spreadsheets/d/14Bd19lYaqBhU8_DElYkX7l4wRkHqqCUFNJY4AfY3kHU/edit?usp=sharing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2" s="7" t="s">
        <v>10</v>
      </c>
      <c r="H15782" s="7">
        <v>19711</v>
      </c>
      <c r="I15782" s="8" t="str">
        <f ca="1">IFERROR(__xludf.DUMMYFUNCTION("IF
(
G15783=""фізична особа""
,
VLOOKUP(H15783,IMPORTRANGE(""https://docs.google.com/spreadsheets/d/14Bd19lYaqBhU8_DElYkX7l4wRkHqqCUFNJY4AfY3kHU/edit?usp=sharing  #gid=0"",""фіз особи new!relations_name""),6,FALSE)
,
(IF
(
G15783=""юридична особа""
,
VLOO"&amp;"KUP(H15783,IMPORTRANGE(""https://docs.google.com/spreadsheets/d/14Bd19lYaqBhU8_DElYkX7l4wRkHqqCUFNJY4AfY3kHU/edit?usp=sharing  #gid=0"",""фіз особи new!relations_name_uo""),7,FALSE)
,
)
))"),"ХАРІН Олексій Анатолійович")</f>
        <v>ХАРІН Олексій Анатолійович</v>
      </c>
      <c r="J15782" s="7" t="s">
        <v>23</v>
      </c>
    </row>
    <row r="15783" spans="1:10" ht="13.2">
      <c r="A15783" s="7">
        <v>15782</v>
      </c>
      <c r="B15783" s="7">
        <v>1</v>
      </c>
      <c r="C15783" s="7" t="s">
        <v>10</v>
      </c>
      <c r="D15783" s="7">
        <v>19715</v>
      </c>
      <c r="E15783" s="7" t="s">
        <v>23</v>
      </c>
      <c r="F15783" s="8" t="str">
        <f ca="1">IFERROR(__xludf.DUMMYFUNCTION("IF
(
C15784=""фізична особа""
,
VLOOKUP(D15784,IMPORTRANGE(""https://docs.google.com/spreadsheets/d/14Bd19lYaqBhU8_DElYkX7l4wRkHqqCUFNJY4AfY3kHU/edit?usp=sharing  #gid=0"",""фіз особи new!relations_name""),6,FALSE)
,
(IF
(
C15784=""юридична особа""
,
VLOO"&amp;"KUP(D15784,IMPORTRANGE(""https://docs.google.com/spreadsheets/d/14Bd19lYaqBhU8_DElYkX7l4wRkHqqCUFNJY4AfY3kHU/edit?usp=sharing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3" s="7" t="s">
        <v>10</v>
      </c>
      <c r="H15783" s="7">
        <v>19712</v>
      </c>
      <c r="I15783" s="8" t="str">
        <f ca="1">IFERROR(__xludf.DUMMYFUNCTION("IF
(
G15784=""фізична особа""
,
VLOOKUP(H15784,IMPORTRANGE(""https://docs.google.com/spreadsheets/d/14Bd19lYaqBhU8_DElYkX7l4wRkHqqCUFNJY4AfY3kHU/edit?usp=sharing  #gid=0"",""фіз особи new!relations_name""),6,FALSE)
,
(IF
(
G15784=""юридична особа""
,
VLOO"&amp;"KUP(H15784,IMPORTRANGE(""https://docs.google.com/spreadsheets/d/14Bd19lYaqBhU8_DElYkX7l4wRkHqqCUFNJY4AfY3kHU/edit?usp=sharing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J15783" s="7" t="s">
        <v>23</v>
      </c>
    </row>
    <row r="15784" spans="1:10" ht="13.2">
      <c r="A15784" s="7">
        <v>15783</v>
      </c>
      <c r="B15784" s="7">
        <v>1</v>
      </c>
      <c r="C15784" s="7" t="s">
        <v>10</v>
      </c>
      <c r="D15784" s="7">
        <v>19715</v>
      </c>
      <c r="E15784" s="7" t="s">
        <v>23</v>
      </c>
      <c r="F15784" s="8" t="str">
        <f ca="1">IFERROR(__xludf.DUMMYFUNCTION("IF
(
C15785=""фізична особа""
,
VLOOKUP(D15785,IMPORTRANGE(""https://docs.google.com/spreadsheets/d/14Bd19lYaqBhU8_DElYkX7l4wRkHqqCUFNJY4AfY3kHU/edit?usp=sharing  #gid=0"",""фіз особи new!relations_name""),6,FALSE)
,
(IF
(
C15785=""юридична особа""
,
VLOO"&amp;"KUP(D15785,IMPORTRANGE(""https://docs.google.com/spreadsheets/d/14Bd19lYaqBhU8_DElYkX7l4wRkHqqCUFNJY4AfY3kHU/edit?usp=sharing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4" s="7" t="s">
        <v>10</v>
      </c>
      <c r="H15784" s="7">
        <v>19714</v>
      </c>
      <c r="I15784" s="8" t="str">
        <f ca="1">IFERROR(__xludf.DUMMYFUNCTION("IF
(
G15785=""фізична особа""
,
VLOOKUP(H15785,IMPORTRANGE(""https://docs.google.com/spreadsheets/d/14Bd19lYaqBhU8_DElYkX7l4wRkHqqCUFNJY4AfY3kHU/edit?usp=sharing  #gid=0"",""фіз особи new!relations_name""),6,FALSE)
,
(IF
(
G15785=""юридична особа""
,
VLOO"&amp;"KUP(H15785,IMPORTRANGE(""https://docs.google.com/spreadsheets/d/14Bd19lYaqBhU8_DElYkX7l4wRkHqqCUFNJY4AfY3kHU/edit?usp=sharing  #gid=0"",""фіз особи new!relations_name_uo""),7,FALSE)
,
)
))"),"ХЛЄБНІКОВ Юрій Юрійович")</f>
        <v>ХЛЄБНІКОВ Юрій Юрійович</v>
      </c>
      <c r="J15784" s="7" t="s">
        <v>23</v>
      </c>
    </row>
    <row r="15785" spans="1:10" ht="13.2">
      <c r="A15785" s="7">
        <v>15784</v>
      </c>
      <c r="B15785" s="7">
        <v>1</v>
      </c>
      <c r="C15785" s="7" t="s">
        <v>10</v>
      </c>
      <c r="D15785" s="7">
        <v>19715</v>
      </c>
      <c r="E15785" s="7" t="s">
        <v>23</v>
      </c>
      <c r="F15785" s="8" t="str">
        <f ca="1">IFERROR(__xludf.DUMMYFUNCTION("IF
(
C15786=""фізична особа""
,
VLOOKUP(D15786,IMPORTRANGE(""https://docs.google.com/spreadsheets/d/14Bd19lYaqBhU8_DElYkX7l4wRkHqqCUFNJY4AfY3kHU/edit?usp=sharing  #gid=0"",""фіз особи new!relations_name""),6,FALSE)
,
(IF
(
C15786=""юридична особа""
,
VLOO"&amp;"KUP(D15786,IMPORTRANGE(""https://docs.google.com/spreadsheets/d/14Bd19lYaqBhU8_DElYkX7l4wRkHqqCUFNJY4AfY3kHU/edit?usp=sharing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5" s="7" t="s">
        <v>10</v>
      </c>
      <c r="H15785" s="7">
        <v>0</v>
      </c>
      <c r="I15785" s="8" t="str">
        <f ca="1">IFERROR(__xludf.DUMMYFUNCTION("IF
(
G15786=""фізична особа""
,
VLOOKUP(H15786,IMPORTRANGE(""https://docs.google.com/spreadsheets/d/14Bd19lYaqBhU8_DElYkX7l4wRkHqqCUFNJY4AfY3kHU/edit?usp=sharing  #gid=0"",""фіз особи new!relations_name""),6,FALSE)
,
(IF
(
G15786=""юридична особа""
,
VLOO"&amp;"KUP(H15786,IMPORTRANGE(""https://docs.google.com/spreadsheets/d/14Bd19lYaqBhU8_DElYkX7l4wRkHqqCUFNJY4AfY3kHU/edit?usp=sharing  #gid=0"",""фіз особи new!relations_name_uo""),7,FALSE)
,
)
))"),"#N/A")</f>
        <v>#N/A</v>
      </c>
      <c r="J15785" s="7" t="s">
        <v>23</v>
      </c>
    </row>
    <row r="15786" spans="1:10" ht="13.2">
      <c r="A15786" s="7">
        <v>15785</v>
      </c>
      <c r="B15786" s="7">
        <v>1</v>
      </c>
      <c r="C15786" s="7" t="s">
        <v>10</v>
      </c>
      <c r="D15786" s="7">
        <v>19715</v>
      </c>
      <c r="E15786" s="7" t="s">
        <v>23</v>
      </c>
      <c r="F15786" s="8" t="str">
        <f ca="1">IFERROR(__xludf.DUMMYFUNCTION("IF
(
C15787=""фізична особа""
,
VLOOKUP(D15787,IMPORTRANGE(""https://docs.google.com/spreadsheets/d/14Bd19lYaqBhU8_DElYkX7l4wRkHqqCUFNJY4AfY3kHU/edit?usp=sharing  #gid=0"",""фіз особи new!relations_name""),6,FALSE)
,
(IF
(
C15787=""юридична особа""
,
VLOO"&amp;"KUP(D15787,IMPORTRANGE(""https://docs.google.com/spreadsheets/d/14Bd19lYaqBhU8_DElYkX7l4wRkHqqCUFNJY4AfY3kHU/edit?usp=sharing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6" s="7" t="s">
        <v>10</v>
      </c>
      <c r="H15786" s="7">
        <v>23715</v>
      </c>
      <c r="I15786" s="8" t="str">
        <f ca="1">IFERROR(__xludf.DUMMYFUNCTION("IF
(
G15787=""фізична особа""
,
VLOOKUP(H15787,IMPORTRANGE(""https://docs.google.com/spreadsheets/d/14Bd19lYaqBhU8_DElYkX7l4wRkHqqCUFNJY4AfY3kHU/edit?usp=sharing  #gid=0"",""фіз особи new!relations_name""),6,FALSE)
,
(IF
(
G15787=""юридична особа""
,
VLOO"&amp;"KUP(H15787,IMPORTRANGE(""https://docs.google.com/spreadsheets/d/14Bd19lYaqBhU8_DElYkX7l4wRkHqqCUFNJY4AfY3kHU/edit?usp=sharing  #gid=0"",""фіз особи new!relations_name_uo""),7,FALSE)
,
)
))"),"ЯСАКОВ Юрій Валентинович")</f>
        <v>ЯСАКОВ Юрій Валентинович</v>
      </c>
      <c r="J15786" s="7" t="s">
        <v>23</v>
      </c>
    </row>
    <row r="15787" spans="1:10" ht="13.2">
      <c r="A15787" s="7">
        <v>15786</v>
      </c>
      <c r="B15787" s="7">
        <v>1</v>
      </c>
      <c r="C15787" s="7" t="s">
        <v>10</v>
      </c>
      <c r="D15787" s="7">
        <v>19715</v>
      </c>
      <c r="E15787" s="7" t="s">
        <v>23</v>
      </c>
      <c r="F15787" s="8" t="str">
        <f ca="1">IFERROR(__xludf.DUMMYFUNCTION("IF
(
C15788=""фізична особа""
,
VLOOKUP(D15788,IMPORTRANGE(""https://docs.google.com/spreadsheets/d/14Bd19lYaqBhU8_DElYkX7l4wRkHqqCUFNJY4AfY3kHU/edit?usp=sharing  #gid=0"",""фіз особи new!relations_name""),6,FALSE)
,
(IF
(
C15788=""юридична особа""
,
VLOO"&amp;"KUP(D15788,IMPORTRANGE(""https://docs.google.com/spreadsheets/d/14Bd19lYaqBhU8_DElYkX7l4wRkHqqCUFNJY4AfY3kHU/edit?usp=sharing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7" s="7" t="s">
        <v>10</v>
      </c>
      <c r="H15787" s="7">
        <v>23607</v>
      </c>
      <c r="I15787" s="8" t="str">
        <f ca="1">IFERROR(__xludf.DUMMYFUNCTION("IF
(
G15788=""фізична особа""
,
VLOOKUP(H15788,IMPORTRANGE(""https://docs.google.com/spreadsheets/d/14Bd19lYaqBhU8_DElYkX7l4wRkHqqCUFNJY4AfY3kHU/edit?usp=sharing  #gid=0"",""фіз особи new!relations_name""),6,FALSE)
,
(IF
(
G15788=""юридична особа""
,
VLOO"&amp;"KUP(H15788,IMPORTRANGE(""https://docs.google.com/spreadsheets/d/14Bd19lYaqBhU8_DElYkX7l4wRkHqqCUFNJY4AfY3kHU/edit?usp=sharing  #gid=0"",""фіз особи new!relations_name_uo""),7,FALSE)
,
)
))"),"АНДРЮШКІН Дмитро Олександрович")</f>
        <v>АНДРЮШКІН Дмитро Олександрович</v>
      </c>
      <c r="J15787" s="7" t="s">
        <v>23</v>
      </c>
    </row>
    <row r="15788" spans="1:10" ht="13.2">
      <c r="A15788" s="7">
        <v>15787</v>
      </c>
      <c r="B15788" s="7">
        <v>1</v>
      </c>
      <c r="C15788" s="7" t="s">
        <v>10</v>
      </c>
      <c r="D15788" s="7">
        <v>19715</v>
      </c>
      <c r="E15788" s="7" t="s">
        <v>23</v>
      </c>
      <c r="F15788" s="8" t="str">
        <f ca="1">IFERROR(__xludf.DUMMYFUNCTION("IF
(
C15789=""фізична особа""
,
VLOOKUP(D15789,IMPORTRANGE(""https://docs.google.com/spreadsheets/d/14Bd19lYaqBhU8_DElYkX7l4wRkHqqCUFNJY4AfY3kHU/edit?usp=sharing  #gid=0"",""фіз особи new!relations_name""),6,FALSE)
,
(IF
(
C15789=""юридична особа""
,
VLOO"&amp;"KUP(D15789,IMPORTRANGE(""https://docs.google.com/spreadsheets/d/14Bd19lYaqBhU8_DElYkX7l4wRkHqqCUFNJY4AfY3kHU/edit?usp=sharing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8" s="7" t="s">
        <v>10</v>
      </c>
      <c r="H15788" s="7">
        <v>0</v>
      </c>
      <c r="I15788" s="8" t="str">
        <f ca="1">IFERROR(__xludf.DUMMYFUNCTION("IF
(
G15789=""фізична особа""
,
VLOOKUP(H15789,IMPORTRANGE(""https://docs.google.com/spreadsheets/d/14Bd19lYaqBhU8_DElYkX7l4wRkHqqCUFNJY4AfY3kHU/edit?usp=sharing  #gid=0"",""фіз особи new!relations_name""),6,FALSE)
,
(IF
(
G15789=""юридична особа""
,
VLOO"&amp;"KUP(H15789,IMPORTRANGE(""https://docs.google.com/spreadsheets/d/14Bd19lYaqBhU8_DElYkX7l4wRkHqqCUFNJY4AfY3kHU/edit?usp=sharing  #gid=0"",""фіз особи new!relations_name_uo""),7,FALSE)
,
)
))"),"#N/A")</f>
        <v>#N/A</v>
      </c>
      <c r="J15788" s="7" t="s">
        <v>23</v>
      </c>
    </row>
    <row r="15789" spans="1:10" ht="13.2">
      <c r="A15789" s="7">
        <v>15788</v>
      </c>
      <c r="B15789" s="7">
        <v>1</v>
      </c>
      <c r="C15789" s="7" t="s">
        <v>10</v>
      </c>
      <c r="D15789" s="7">
        <v>19715</v>
      </c>
      <c r="E15789" s="7" t="s">
        <v>23</v>
      </c>
      <c r="F15789" s="8" t="str">
        <f ca="1">IFERROR(__xludf.DUMMYFUNCTION("IF
(
C15790=""фізична особа""
,
VLOOKUP(D15790,IMPORTRANGE(""https://docs.google.com/spreadsheets/d/14Bd19lYaqBhU8_DElYkX7l4wRkHqqCUFNJY4AfY3kHU/edit?usp=sharing  #gid=0"",""фіз особи new!relations_name""),6,FALSE)
,
(IF
(
C15790=""юридична особа""
,
VLOO"&amp;"KUP(D15790,IMPORTRANGE(""https://docs.google.com/spreadsheets/d/14Bd19lYaqBhU8_DElYkX7l4wRkHqqCUFNJY4AfY3kHU/edit?usp=sharing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89" s="7" t="s">
        <v>10</v>
      </c>
      <c r="H15789" s="7">
        <v>0</v>
      </c>
      <c r="I15789" s="8" t="str">
        <f ca="1">IFERROR(__xludf.DUMMYFUNCTION("IF
(
G15790=""фізична особа""
,
VLOOKUP(H15790,IMPORTRANGE(""https://docs.google.com/spreadsheets/d/14Bd19lYaqBhU8_DElYkX7l4wRkHqqCUFNJY4AfY3kHU/edit?usp=sharing  #gid=0"",""фіз особи new!relations_name""),6,FALSE)
,
(IF
(
G15790=""юридична особа""
,
VLOO"&amp;"KUP(H15790,IMPORTRANGE(""https://docs.google.com/spreadsheets/d/14Bd19lYaqBhU8_DElYkX7l4wRkHqqCUFNJY4AfY3kHU/edit?usp=sharing  #gid=0"",""фіз особи new!relations_name_uo""),7,FALSE)
,
)
))"),"#N/A")</f>
        <v>#N/A</v>
      </c>
      <c r="J15789" s="7" t="s">
        <v>23</v>
      </c>
    </row>
    <row r="15790" spans="1:10" ht="13.2">
      <c r="A15790" s="7">
        <v>15789</v>
      </c>
      <c r="B15790" s="7">
        <v>1</v>
      </c>
      <c r="C15790" s="7" t="s">
        <v>10</v>
      </c>
      <c r="D15790" s="7">
        <v>19715</v>
      </c>
      <c r="E15790" s="7" t="s">
        <v>23</v>
      </c>
      <c r="F15790" s="8" t="str">
        <f ca="1">IFERROR(__xludf.DUMMYFUNCTION("IF
(
C15791=""фізична особа""
,
VLOOKUP(D15791,IMPORTRANGE(""https://docs.google.com/spreadsheets/d/14Bd19lYaqBhU8_DElYkX7l4wRkHqqCUFNJY4AfY3kHU/edit?usp=sharing  #gid=0"",""фіз особи new!relations_name""),6,FALSE)
,
(IF
(
C15791=""юридична особа""
,
VLOO"&amp;"KUP(D15791,IMPORTRANGE(""https://docs.google.com/spreadsheets/d/14Bd19lYaqBhU8_DElYkX7l4wRkHqqCUFNJY4AfY3kHU/edit?usp=sharing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90" s="7" t="s">
        <v>10</v>
      </c>
      <c r="H15790" s="7">
        <v>0</v>
      </c>
      <c r="I15790" s="8" t="str">
        <f ca="1">IFERROR(__xludf.DUMMYFUNCTION("IF
(
G15791=""фізична особа""
,
VLOOKUP(H15791,IMPORTRANGE(""https://docs.google.com/spreadsheets/d/14Bd19lYaqBhU8_DElYkX7l4wRkHqqCUFNJY4AfY3kHU/edit?usp=sharing  #gid=0"",""фіз особи new!relations_name""),6,FALSE)
,
(IF
(
G15791=""юридична особа""
,
VLOO"&amp;"KUP(H15791,IMPORTRANGE(""https://docs.google.com/spreadsheets/d/14Bd19lYaqBhU8_DElYkX7l4wRkHqqCUFNJY4AfY3kHU/edit?usp=sharing  #gid=0"",""фіз особи new!relations_name_uo""),7,FALSE)
,
)
))"),"#N/A")</f>
        <v>#N/A</v>
      </c>
      <c r="J15790" s="7" t="s">
        <v>23</v>
      </c>
    </row>
    <row r="15791" spans="1:10" ht="13.2">
      <c r="A15791" s="7">
        <v>15790</v>
      </c>
      <c r="B15791" s="7">
        <v>1</v>
      </c>
      <c r="C15791" s="7" t="s">
        <v>10</v>
      </c>
      <c r="D15791" s="7">
        <v>19715</v>
      </c>
      <c r="E15791" s="7" t="s">
        <v>23</v>
      </c>
      <c r="F15791" s="8" t="str">
        <f ca="1">IFERROR(__xludf.DUMMYFUNCTION("IF
(
C15792=""фізична особа""
,
VLOOKUP(D15792,IMPORTRANGE(""https://docs.google.com/spreadsheets/d/14Bd19lYaqBhU8_DElYkX7l4wRkHqqCUFNJY4AfY3kHU/edit?usp=sharing  #gid=0"",""фіз особи new!relations_name""),6,FALSE)
,
(IF
(
C15792=""юридична особа""
,
VLOO"&amp;"KUP(D15792,IMPORTRANGE(""https://docs.google.com/spreadsheets/d/14Bd19lYaqBhU8_DElYkX7l4wRkHqqCUFNJY4AfY3kHU/edit?usp=sharing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91" s="7" t="s">
        <v>10</v>
      </c>
      <c r="H15791" s="7">
        <v>0</v>
      </c>
      <c r="I15791" s="8" t="str">
        <f ca="1">IFERROR(__xludf.DUMMYFUNCTION("IF
(
G15792=""фізична особа""
,
VLOOKUP(H15792,IMPORTRANGE(""https://docs.google.com/spreadsheets/d/14Bd19lYaqBhU8_DElYkX7l4wRkHqqCUFNJY4AfY3kHU/edit?usp=sharing  #gid=0"",""фіз особи new!relations_name""),6,FALSE)
,
(IF
(
G15792=""юридична особа""
,
VLOO"&amp;"KUP(H15792,IMPORTRANGE(""https://docs.google.com/spreadsheets/d/14Bd19lYaqBhU8_DElYkX7l4wRkHqqCUFNJY4AfY3kHU/edit?usp=sharing  #gid=0"",""фіз особи new!relations_name_uo""),7,FALSE)
,
)
))"),"#N/A")</f>
        <v>#N/A</v>
      </c>
      <c r="J15791" s="7" t="s">
        <v>23</v>
      </c>
    </row>
    <row r="15792" spans="1:10" ht="13.2">
      <c r="A15792" s="7">
        <v>15791</v>
      </c>
      <c r="B15792" s="7">
        <v>1</v>
      </c>
      <c r="C15792" s="7" t="s">
        <v>10</v>
      </c>
      <c r="D15792" s="7">
        <v>19715</v>
      </c>
      <c r="E15792" s="7" t="s">
        <v>23</v>
      </c>
      <c r="F15792" s="8" t="str">
        <f ca="1">IFERROR(__xludf.DUMMYFUNCTION("IF
(
C15793=""фізична особа""
,
VLOOKUP(D15793,IMPORTRANGE(""https://docs.google.com/spreadsheets/d/14Bd19lYaqBhU8_DElYkX7l4wRkHqqCUFNJY4AfY3kHU/edit?usp=sharing  #gid=0"",""фіз особи new!relations_name""),6,FALSE)
,
(IF
(
C15793=""юридична особа""
,
VLOO"&amp;"KUP(D15793,IMPORTRANGE(""https://docs.google.com/spreadsheets/d/14Bd19lYaqBhU8_DElYkX7l4wRkHqqCUFNJY4AfY3kHU/edit?usp=sharing  #gid=0"",""фіз особи new!relations_name_uo""),7,FALSE)
,
)
))"),"ІРІН Георгій Олександрович")</f>
        <v>ІРІН Георгій Олександрович</v>
      </c>
      <c r="G15792" s="7" t="s">
        <v>10</v>
      </c>
      <c r="H15792" s="7">
        <v>0</v>
      </c>
      <c r="I15792" s="8" t="str">
        <f ca="1">IFERROR(__xludf.DUMMYFUNCTION("IF
(
G15793=""фізична особа""
,
VLOOKUP(H15793,IMPORTRANGE(""https://docs.google.com/spreadsheets/d/14Bd19lYaqBhU8_DElYkX7l4wRkHqqCUFNJY4AfY3kHU/edit?usp=sharing  #gid=0"",""фіз особи new!relations_name""),6,FALSE)
,
(IF
(
G15793=""юридична особа""
,
VLOO"&amp;"KUP(H15793,IMPORTRANGE(""https://docs.google.com/spreadsheets/d/14Bd19lYaqBhU8_DElYkX7l4wRkHqqCUFNJY4AfY3kHU/edit?usp=sharing  #gid=0"",""фіз особи new!relations_name_uo""),7,FALSE)
,
)
))"),"#N/A")</f>
        <v>#N/A</v>
      </c>
      <c r="J15792" s="7" t="s">
        <v>23</v>
      </c>
    </row>
    <row r="15793" spans="1:10" ht="13.2">
      <c r="A15793" s="7">
        <v>15792</v>
      </c>
      <c r="B15793" s="7">
        <v>1</v>
      </c>
      <c r="C15793" s="7" t="s">
        <v>10</v>
      </c>
      <c r="D15793" s="7">
        <v>19716</v>
      </c>
      <c r="E15793" s="7" t="s">
        <v>23</v>
      </c>
      <c r="F15793" s="8" t="str">
        <f ca="1">IFERROR(__xludf.DUMMYFUNCTION("IF
(
C15794=""фізична особа""
,
VLOOKUP(D15794,IMPORTRANGE(""https://docs.google.com/spreadsheets/d/14Bd19lYaqBhU8_DElYkX7l4wRkHqqCUFNJY4AfY3kHU/edit?usp=sharing  #gid=0"",""фіз особи new!relations_name""),6,FALSE)
,
(IF
(
C15794=""юридична особа""
,
VLOO"&amp;"KUP(D15794,IMPORTRANGE(""https://docs.google.com/spreadsheets/d/14Bd19lYaqBhU8_DElYkX7l4wRkHqqCUFNJY4AfY3kHU/edit?usp=sharing  #gid=0"",""фіз особи new!relations_name_uo""),7,FALSE)
,
)
))"),"ГОРОХОВ Олексій Миколайович")</f>
        <v>ГОРОХОВ Олексій Миколайович</v>
      </c>
      <c r="G15793" s="7" t="s">
        <v>10</v>
      </c>
      <c r="H15793" s="7">
        <v>19712</v>
      </c>
      <c r="I15793" s="8" t="str">
        <f ca="1">IFERROR(__xludf.DUMMYFUNCTION("IF
(
G15794=""фізична особа""
,
VLOOKUP(H15794,IMPORTRANGE(""https://docs.google.com/spreadsheets/d/14Bd19lYaqBhU8_DElYkX7l4wRkHqqCUFNJY4AfY3kHU/edit?usp=sharing  #gid=0"",""фіз особи new!relations_name""),6,FALSE)
,
(IF
(
G15794=""юридична особа""
,
VLOO"&amp;"KUP(H15794,IMPORTRANGE(""https://docs.google.com/spreadsheets/d/14Bd19lYaqBhU8_DElYkX7l4wRkHqqCUFNJY4AfY3kHU/edit?usp=sharing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J15793" s="7" t="s">
        <v>23</v>
      </c>
    </row>
    <row r="15794" spans="1:10" ht="13.2">
      <c r="A15794" s="7">
        <v>15793</v>
      </c>
      <c r="B15794" s="7">
        <v>1</v>
      </c>
      <c r="C15794" s="7" t="s">
        <v>10</v>
      </c>
      <c r="D15794" s="7">
        <v>19717</v>
      </c>
      <c r="E15794" s="7" t="s">
        <v>23</v>
      </c>
      <c r="F15794" s="8" t="str">
        <f ca="1">IFERROR(__xludf.DUMMYFUNCTION("IF
(
C15795=""фізична особа""
,
VLOOKUP(D15795,IMPORTRANGE(""https://docs.google.com/spreadsheets/d/14Bd19lYaqBhU8_DElYkX7l4wRkHqqCUFNJY4AfY3kHU/edit?usp=sharing  #gid=0"",""фіз особи new!relations_name""),6,FALSE)
,
(IF
(
C15795=""юридична особа""
,
VLOO"&amp;"KUP(D15795,IMPORTRANGE(""https://docs.google.com/spreadsheets/d/14Bd19lYaqBhU8_DElYkX7l4wRkHqqCUFNJY4AfY3kHU/edit?usp=sharing  #gid=0"",""фіз особи new!relations_name_uo""),7,FALSE)
,
)
))"),"СЛАВОВ Валерій Анатолійович")</f>
        <v>СЛАВОВ Валерій Анатолійович</v>
      </c>
      <c r="G15794" s="7" t="s">
        <v>10</v>
      </c>
      <c r="H15794" s="7">
        <v>19712</v>
      </c>
      <c r="I15794" s="8" t="str">
        <f ca="1">IFERROR(__xludf.DUMMYFUNCTION("IF
(
G15795=""фізична особа""
,
VLOOKUP(H15795,IMPORTRANGE(""https://docs.google.com/spreadsheets/d/14Bd19lYaqBhU8_DElYkX7l4wRkHqqCUFNJY4AfY3kHU/edit?usp=sharing  #gid=0"",""фіз особи new!relations_name""),6,FALSE)
,
(IF
(
G15795=""юридична особа""
,
VLOO"&amp;"KUP(H15795,IMPORTRANGE(""https://docs.google.com/spreadsheets/d/14Bd19lYaqBhU8_DElYkX7l4wRkHqqCUFNJY4AfY3kHU/edit?usp=sharing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J15794" s="7" t="s">
        <v>23</v>
      </c>
    </row>
    <row r="15795" spans="1:10" ht="13.2">
      <c r="A15795" s="7">
        <v>15794</v>
      </c>
      <c r="B15795" s="7">
        <v>1</v>
      </c>
      <c r="C15795" s="7" t="s">
        <v>10</v>
      </c>
      <c r="D15795" s="7">
        <v>19718</v>
      </c>
      <c r="E15795" s="7" t="s">
        <v>23</v>
      </c>
      <c r="F15795" s="8" t="str">
        <f ca="1">IFERROR(__xludf.DUMMYFUNCTION("IF
(
C15796=""фізична особа""
,
VLOOKUP(D15796,IMPORTRANGE(""https://docs.google.com/spreadsheets/d/14Bd19lYaqBhU8_DElYkX7l4wRkHqqCUFNJY4AfY3kHU/edit?usp=sharing  #gid=0"",""фіз особи new!relations_name""),6,FALSE)
,
(IF
(
C15796=""юридична особа""
,
VLOO"&amp;"KUP(D15796,IMPORTRANGE(""https://docs.google.com/spreadsheets/d/14Bd19lYaqBhU8_DElYkX7l4wRkHqqCUFNJY4AfY3kHU/edit?usp=sharing  #gid=0"",""фіз особи new!relations_name_uo""),7,FALSE)
,
)
))"),"ДІДЕНКО Ольга Миколаївна")</f>
        <v>ДІДЕНКО Ольга Миколаївна</v>
      </c>
      <c r="G15795" s="7" t="s">
        <v>10</v>
      </c>
      <c r="H15795" s="7">
        <v>19712</v>
      </c>
      <c r="I15795" s="8" t="str">
        <f ca="1">IFERROR(__xludf.DUMMYFUNCTION("IF
(
G15796=""фізична особа""
,
VLOOKUP(H15796,IMPORTRANGE(""https://docs.google.com/spreadsheets/d/14Bd19lYaqBhU8_DElYkX7l4wRkHqqCUFNJY4AfY3kHU/edit?usp=sharing  #gid=0"",""фіз особи new!relations_name""),6,FALSE)
,
(IF
(
G15796=""юридична особа""
,
VLOO"&amp;"KUP(H15796,IMPORTRANGE(""https://docs.google.com/spreadsheets/d/14Bd19lYaqBhU8_DElYkX7l4wRkHqqCUFNJY4AfY3kHU/edit?usp=sharing  #gid=0"",""фіз особи new!relations_name_uo""),7,FALSE)
,
)
))"),"СМІРНОВ Андрій Вячеславович")</f>
        <v>СМІРНОВ Андрій Вячеславович</v>
      </c>
      <c r="J15795" s="7" t="s">
        <v>23</v>
      </c>
    </row>
    <row r="15796" spans="1:10" ht="13.2">
      <c r="A15796" s="7">
        <v>15795</v>
      </c>
      <c r="B15796" s="7">
        <v>1</v>
      </c>
      <c r="C15796" s="7" t="s">
        <v>10</v>
      </c>
      <c r="D15796" s="7">
        <v>19719</v>
      </c>
      <c r="E15796" s="7" t="s">
        <v>17</v>
      </c>
      <c r="F15796" s="8" t="str">
        <f ca="1">IFERROR(__xludf.DUMMYFUNCTION("IF
(
C15797=""фізична особа""
,
VLOOKUP(D15797,IMPORTRANGE(""https://docs.google.com/spreadsheets/d/14Bd19lYaqBhU8_DElYkX7l4wRkHqqCUFNJY4AfY3kHU/edit?usp=sharing  #gid=0"",""фіз особи new!relations_name""),6,FALSE)
,
(IF
(
C15797=""юридична особа""
,
VLOO"&amp;"KUP(D15797,IMPORTRANGE(""https://docs.google.com/spreadsheets/d/14Bd19lYaqBhU8_DElYkX7l4wRkHqqCUFNJY4AfY3kHU/edit?usp=sharing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G15796" s="7" t="s">
        <v>10</v>
      </c>
      <c r="H15796" s="7">
        <v>19721</v>
      </c>
      <c r="I15796" s="8" t="str">
        <f ca="1">IFERROR(__xludf.DUMMYFUNCTION("IF
(
G15797=""фізична особа""
,
VLOOKUP(H15797,IMPORTRANGE(""https://docs.google.com/spreadsheets/d/14Bd19lYaqBhU8_DElYkX7l4wRkHqqCUFNJY4AfY3kHU/edit?usp=sharing  #gid=0"",""фіз особи new!relations_name""),6,FALSE)
,
(IF
(
G15797=""юридична особа""
,
VLOO"&amp;"KUP(H15797,IMPORTRANGE(""https://docs.google.com/spreadsheets/d/14Bd19lYaqBhU8_DElYkX7l4wRkHqqCUFNJY4AfY3kHU/edit?usp=sharing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796" s="7" t="s">
        <v>12</v>
      </c>
    </row>
    <row r="15797" spans="1:10" ht="13.2">
      <c r="A15797" s="7">
        <v>15796</v>
      </c>
      <c r="B15797" s="7">
        <v>1</v>
      </c>
      <c r="C15797" s="7" t="s">
        <v>10</v>
      </c>
      <c r="D15797" s="7">
        <v>19719</v>
      </c>
      <c r="E15797" s="7" t="s">
        <v>13</v>
      </c>
      <c r="F15797" s="8" t="str">
        <f ca="1">IFERROR(__xludf.DUMMYFUNCTION("IF
(
C15798=""фізична особа""
,
VLOOKUP(D15798,IMPORTRANGE(""https://docs.google.com/spreadsheets/d/14Bd19lYaqBhU8_DElYkX7l4wRkHqqCUFNJY4AfY3kHU/edit?usp=sharing  #gid=0"",""фіз особи new!relations_name""),6,FALSE)
,
(IF
(
C15798=""юридична особа""
,
VLOO"&amp;"KUP(D15798,IMPORTRANGE(""https://docs.google.com/spreadsheets/d/14Bd19lYaqBhU8_DElYkX7l4wRkHqqCUFNJY4AfY3kHU/edit?usp=sharing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G15797" s="7" t="s">
        <v>10</v>
      </c>
      <c r="H15797" s="7">
        <v>19720</v>
      </c>
      <c r="I15797" s="8" t="str">
        <f ca="1">IFERROR(__xludf.DUMMYFUNCTION("IF
(
G15798=""фізична особа""
,
VLOOKUP(H15798,IMPORTRANGE(""https://docs.google.com/spreadsheets/d/14Bd19lYaqBhU8_DElYkX7l4wRkHqqCUFNJY4AfY3kHU/edit?usp=sharing  #gid=0"",""фіз особи new!relations_name""),6,FALSE)
,
(IF
(
G15798=""юридична особа""
,
VLOO"&amp;"KUP(H15798,IMPORTRANGE(""https://docs.google.com/spreadsheets/d/14Bd19lYaqBhU8_DElYkX7l4wRkHqqCUFNJY4AfY3kHU/edit?usp=sharing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J15797" s="7" t="s">
        <v>12</v>
      </c>
    </row>
    <row r="15798" spans="1:10" ht="13.2">
      <c r="A15798" s="7">
        <v>15797</v>
      </c>
      <c r="B15798" s="7">
        <v>1</v>
      </c>
      <c r="C15798" s="7" t="s">
        <v>10</v>
      </c>
      <c r="D15798" s="7">
        <v>19719</v>
      </c>
      <c r="E15798" s="7" t="s">
        <v>14</v>
      </c>
      <c r="F15798" s="8" t="str">
        <f ca="1">IFERROR(__xludf.DUMMYFUNCTION("IF
(
C15799=""фізична особа""
,
VLOOKUP(D15799,IMPORTRANGE(""https://docs.google.com/spreadsheets/d/14Bd19lYaqBhU8_DElYkX7l4wRkHqqCUFNJY4AfY3kHU/edit?usp=sharing  #gid=0"",""фіз особи new!relations_name""),6,FALSE)
,
(IF
(
C15799=""юридична особа""
,
VLOO"&amp;"KUP(D15799,IMPORTRANGE(""https://docs.google.com/spreadsheets/d/14Bd19lYaqBhU8_DElYkX7l4wRkHqqCUFNJY4AfY3kHU/edit?usp=sharing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G15798" s="7" t="s">
        <v>10</v>
      </c>
      <c r="H15798" s="7">
        <v>23724</v>
      </c>
      <c r="I15798" s="8" t="str">
        <f ca="1">IFERROR(__xludf.DUMMYFUNCTION("IF
(
G15799=""фізична особа""
,
VLOOKUP(H15799,IMPORTRANGE(""https://docs.google.com/spreadsheets/d/14Bd19lYaqBhU8_DElYkX7l4wRkHqqCUFNJY4AfY3kHU/edit?usp=sharing  #gid=0"",""фіз особи new!relations_name""),6,FALSE)
,
(IF
(
G15799=""юридична особа""
,
VLOO"&amp;"KUP(H15799,IMPORTRANGE(""https://docs.google.com/spreadsheets/d/14Bd19lYaqBhU8_DElYkX7l4wRkHqqCUFNJY4AfY3kHU/edit?usp=sharing  #gid=0"",""фіз особи new!relations_name_uo""),7,FALSE)
,
)
))"),"САБЕЛЬФЕЛЬД Ольга Володимирівна")</f>
        <v>САБЕЛЬФЕЛЬД Ольга Володимирівна</v>
      </c>
      <c r="J15798" s="7" t="s">
        <v>15</v>
      </c>
    </row>
    <row r="15799" spans="1:10" ht="13.2">
      <c r="A15799" s="7">
        <v>15798</v>
      </c>
      <c r="B15799" s="7">
        <v>1</v>
      </c>
      <c r="C15799" s="7" t="s">
        <v>10</v>
      </c>
      <c r="D15799" s="7">
        <v>19720</v>
      </c>
      <c r="E15799" s="7" t="s">
        <v>12</v>
      </c>
      <c r="F15799" s="8" t="str">
        <f ca="1">IFERROR(__xludf.DUMMYFUNCTION("IF
(
C15800=""фізична особа""
,
VLOOKUP(D15800,IMPORTRANGE(""https://docs.google.com/spreadsheets/d/14Bd19lYaqBhU8_DElYkX7l4wRkHqqCUFNJY4AfY3kHU/edit?usp=sharing  #gid=0"",""фіз особи new!relations_name""),6,FALSE)
,
(IF
(
C15800=""юридична особа""
,
VLOO"&amp;"KUP(D15800,IMPORTRANGE(""https://docs.google.com/spreadsheets/d/14Bd19lYaqBhU8_DElYkX7l4wRkHqqCUFNJY4AfY3kHU/edit?usp=sharing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799" s="7" t="s">
        <v>10</v>
      </c>
      <c r="H15799" s="7">
        <v>19719</v>
      </c>
      <c r="I15799" s="8" t="str">
        <f ca="1">IFERROR(__xludf.DUMMYFUNCTION("IF
(
G15800=""фізична особа""
,
VLOOKUP(H15800,IMPORTRANGE(""https://docs.google.com/spreadsheets/d/14Bd19lYaqBhU8_DElYkX7l4wRkHqqCUFNJY4AfY3kHU/edit?usp=sharing  #gid=0"",""фіз особи new!relations_name""),6,FALSE)
,
(IF
(
G15800=""юридична особа""
,
VLOO"&amp;"KUP(H15800,IMPORTRANGE(""https://docs.google.com/spreadsheets/d/14Bd19lYaqBhU8_DElYkX7l4wRkHqqCUFNJY4AfY3kHU/edit?usp=sharing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J15799" s="7" t="s">
        <v>13</v>
      </c>
    </row>
    <row r="15800" spans="1:10" ht="13.2">
      <c r="A15800" s="7">
        <v>15799</v>
      </c>
      <c r="B15800" s="7">
        <v>1</v>
      </c>
      <c r="C15800" s="7" t="s">
        <v>10</v>
      </c>
      <c r="D15800" s="7">
        <v>19720</v>
      </c>
      <c r="E15800" s="7" t="s">
        <v>31</v>
      </c>
      <c r="F15800" s="8" t="str">
        <f ca="1">IFERROR(__xludf.DUMMYFUNCTION("IF
(
C15801=""фізична особа""
,
VLOOKUP(D15801,IMPORTRANGE(""https://docs.google.com/spreadsheets/d/14Bd19lYaqBhU8_DElYkX7l4wRkHqqCUFNJY4AfY3kHU/edit?usp=sharing  #gid=0"",""фіз особи new!relations_name""),6,FALSE)
,
(IF
(
C15801=""юридична особа""
,
VLOO"&amp;"KUP(D15801,IMPORTRANGE(""https://docs.google.com/spreadsheets/d/14Bd19lYaqBhU8_DElYkX7l4wRkHqqCUFNJY4AfY3kHU/edit?usp=sharing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0" s="7" t="s">
        <v>10</v>
      </c>
      <c r="H15800" s="7">
        <v>19721</v>
      </c>
      <c r="I15800" s="8" t="str">
        <f ca="1">IFERROR(__xludf.DUMMYFUNCTION("IF
(
G15801=""фізична особа""
,
VLOOKUP(H15801,IMPORTRANGE(""https://docs.google.com/spreadsheets/d/14Bd19lYaqBhU8_DElYkX7l4wRkHqqCUFNJY4AfY3kHU/edit?usp=sharing  #gid=0"",""фіз особи new!relations_name""),6,FALSE)
,
(IF
(
G15801=""юридична особа""
,
VLOO"&amp;"KUP(H15801,IMPORTRANGE(""https://docs.google.com/spreadsheets/d/14Bd19lYaqBhU8_DElYkX7l4wRkHqqCUFNJY4AfY3kHU/edit?usp=sharing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800" s="7" t="s">
        <v>18</v>
      </c>
    </row>
    <row r="15801" spans="1:10" ht="13.2">
      <c r="A15801" s="7">
        <v>15800</v>
      </c>
      <c r="B15801" s="7">
        <v>1</v>
      </c>
      <c r="C15801" s="7" t="s">
        <v>10</v>
      </c>
      <c r="D15801" s="7">
        <v>19720</v>
      </c>
      <c r="E15801" s="7" t="s">
        <v>13</v>
      </c>
      <c r="F15801" s="8" t="str">
        <f ca="1">IFERROR(__xludf.DUMMYFUNCTION("IF
(
C15802=""фізична особа""
,
VLOOKUP(D15802,IMPORTRANGE(""https://docs.google.com/spreadsheets/d/14Bd19lYaqBhU8_DElYkX7l4wRkHqqCUFNJY4AfY3kHU/edit?usp=sharing  #gid=0"",""фіз особи new!relations_name""),6,FALSE)
,
(IF
(
C15802=""юридична особа""
,
VLOO"&amp;"KUP(D15802,IMPORTRANGE(""https://docs.google.com/spreadsheets/d/14Bd19lYaqBhU8_DElYkX7l4wRkHqqCUFNJY4AfY3kHU/edit?usp=sharing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1" s="7" t="s">
        <v>10</v>
      </c>
      <c r="H15801" s="7">
        <v>23724</v>
      </c>
      <c r="I15801" s="8" t="str">
        <f ca="1">IFERROR(__xludf.DUMMYFUNCTION("IF
(
G15802=""фізична особа""
,
VLOOKUP(H15802,IMPORTRANGE(""https://docs.google.com/spreadsheets/d/14Bd19lYaqBhU8_DElYkX7l4wRkHqqCUFNJY4AfY3kHU/edit?usp=sharing  #gid=0"",""фіз особи new!relations_name""),6,FALSE)
,
(IF
(
G15802=""юридична особа""
,
VLOO"&amp;"KUP(H15802,IMPORTRANGE(""https://docs.google.com/spreadsheets/d/14Bd19lYaqBhU8_DElYkX7l4wRkHqqCUFNJY4AfY3kHU/edit?usp=sharing  #gid=0"",""фіз особи new!relations_name_uo""),7,FALSE)
,
)
))"),"САБЕЛЬФЕЛЬД Ольга Володимирівна")</f>
        <v>САБЕЛЬФЕЛЬД Ольга Володимирівна</v>
      </c>
      <c r="J15801" s="7" t="s">
        <v>21</v>
      </c>
    </row>
    <row r="15802" spans="1:10" ht="13.2">
      <c r="A15802" s="7">
        <v>15801</v>
      </c>
      <c r="B15802" s="7">
        <v>1</v>
      </c>
      <c r="C15802" s="7" t="s">
        <v>10</v>
      </c>
      <c r="D15802" s="7">
        <v>19720</v>
      </c>
      <c r="E15802" s="7" t="s">
        <v>23</v>
      </c>
      <c r="F15802" s="8" t="str">
        <f ca="1">IFERROR(__xludf.DUMMYFUNCTION("IF
(
C15803=""фізична особа""
,
VLOOKUP(D15803,IMPORTRANGE(""https://docs.google.com/spreadsheets/d/14Bd19lYaqBhU8_DElYkX7l4wRkHqqCUFNJY4AfY3kHU/edit?usp=sharing  #gid=0"",""фіз особи new!relations_name""),6,FALSE)
,
(IF
(
C15803=""юридична особа""
,
VLOO"&amp;"KUP(D15803,IMPORTRANGE(""https://docs.google.com/spreadsheets/d/14Bd19lYaqBhU8_DElYkX7l4wRkHqqCUFNJY4AfY3kHU/edit?usp=sharing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2" s="7" t="s">
        <v>10</v>
      </c>
      <c r="H15802" s="7">
        <v>0</v>
      </c>
      <c r="I15802" s="8" t="str">
        <f ca="1">IFERROR(__xludf.DUMMYFUNCTION("IF
(
G15803=""фізична особа""
,
VLOOKUP(H15803,IMPORTRANGE(""https://docs.google.com/spreadsheets/d/14Bd19lYaqBhU8_DElYkX7l4wRkHqqCUFNJY4AfY3kHU/edit?usp=sharing  #gid=0"",""фіз особи new!relations_name""),6,FALSE)
,
(IF
(
G15803=""юридична особа""
,
VLOO"&amp;"KUP(H15803,IMPORTRANGE(""https://docs.google.com/spreadsheets/d/14Bd19lYaqBhU8_DElYkX7l4wRkHqqCUFNJY4AfY3kHU/edit?usp=sharing  #gid=0"",""фіз особи new!relations_name_uo""),7,FALSE)
,
)
))"),"#N/A")</f>
        <v>#N/A</v>
      </c>
      <c r="J15802" s="7" t="s">
        <v>23</v>
      </c>
    </row>
    <row r="15803" spans="1:10" ht="13.2">
      <c r="A15803" s="7">
        <v>15802</v>
      </c>
      <c r="B15803" s="7">
        <v>1</v>
      </c>
      <c r="C15803" s="7" t="s">
        <v>10</v>
      </c>
      <c r="D15803" s="7">
        <v>19720</v>
      </c>
      <c r="E15803" s="7" t="s">
        <v>23</v>
      </c>
      <c r="F15803" s="8" t="str">
        <f ca="1">IFERROR(__xludf.DUMMYFUNCTION("IF
(
C15804=""фізична особа""
,
VLOOKUP(D15804,IMPORTRANGE(""https://docs.google.com/spreadsheets/d/14Bd19lYaqBhU8_DElYkX7l4wRkHqqCUFNJY4AfY3kHU/edit?usp=sharing  #gid=0"",""фіз особи new!relations_name""),6,FALSE)
,
(IF
(
C15804=""юридична особа""
,
VLOO"&amp;"KUP(D15804,IMPORTRANGE(""https://docs.google.com/spreadsheets/d/14Bd19lYaqBhU8_DElYkX7l4wRkHqqCUFNJY4AfY3kHU/edit?usp=sharing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3" s="7" t="s">
        <v>10</v>
      </c>
      <c r="H15803" s="7">
        <v>0</v>
      </c>
      <c r="I15803" s="8" t="str">
        <f ca="1">IFERROR(__xludf.DUMMYFUNCTION("IF
(
G15804=""фізична особа""
,
VLOOKUP(H15804,IMPORTRANGE(""https://docs.google.com/spreadsheets/d/14Bd19lYaqBhU8_DElYkX7l4wRkHqqCUFNJY4AfY3kHU/edit?usp=sharing  #gid=0"",""фіз особи new!relations_name""),6,FALSE)
,
(IF
(
G15804=""юридична особа""
,
VLOO"&amp;"KUP(H15804,IMPORTRANGE(""https://docs.google.com/spreadsheets/d/14Bd19lYaqBhU8_DElYkX7l4wRkHqqCUFNJY4AfY3kHU/edit?usp=sharing  #gid=0"",""фіз особи new!relations_name_uo""),7,FALSE)
,
)
))"),"#N/A")</f>
        <v>#N/A</v>
      </c>
      <c r="J15803" s="7" t="s">
        <v>23</v>
      </c>
    </row>
    <row r="15804" spans="1:10" ht="13.2">
      <c r="A15804" s="7">
        <v>15803</v>
      </c>
      <c r="B15804" s="7">
        <v>1</v>
      </c>
      <c r="C15804" s="7" t="s">
        <v>10</v>
      </c>
      <c r="D15804" s="7">
        <v>19720</v>
      </c>
      <c r="E15804" s="7" t="s">
        <v>23</v>
      </c>
      <c r="F15804" s="8" t="str">
        <f ca="1">IFERROR(__xludf.DUMMYFUNCTION("IF
(
C15805=""фізична особа""
,
VLOOKUP(D15805,IMPORTRANGE(""https://docs.google.com/spreadsheets/d/14Bd19lYaqBhU8_DElYkX7l4wRkHqqCUFNJY4AfY3kHU/edit?usp=sharing  #gid=0"",""фіз особи new!relations_name""),6,FALSE)
,
(IF
(
C15805=""юридична особа""
,
VLOO"&amp;"KUP(D15805,IMPORTRANGE(""https://docs.google.com/spreadsheets/d/14Bd19lYaqBhU8_DElYkX7l4wRkHqqCUFNJY4AfY3kHU/edit?usp=sharing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4" s="7" t="s">
        <v>10</v>
      </c>
      <c r="H15804" s="7">
        <v>0</v>
      </c>
      <c r="I15804" s="8" t="str">
        <f ca="1">IFERROR(__xludf.DUMMYFUNCTION("IF
(
G15805=""фізична особа""
,
VLOOKUP(H15805,IMPORTRANGE(""https://docs.google.com/spreadsheets/d/14Bd19lYaqBhU8_DElYkX7l4wRkHqqCUFNJY4AfY3kHU/edit?usp=sharing  #gid=0"",""фіз особи new!relations_name""),6,FALSE)
,
(IF
(
G15805=""юридична особа""
,
VLOO"&amp;"KUP(H15805,IMPORTRANGE(""https://docs.google.com/spreadsheets/d/14Bd19lYaqBhU8_DElYkX7l4wRkHqqCUFNJY4AfY3kHU/edit?usp=sharing  #gid=0"",""фіз особи new!relations_name_uo""),7,FALSE)
,
)
))"),"#N/A")</f>
        <v>#N/A</v>
      </c>
      <c r="J15804" s="7" t="s">
        <v>23</v>
      </c>
    </row>
    <row r="15805" spans="1:10" ht="13.2">
      <c r="A15805" s="7">
        <v>15804</v>
      </c>
      <c r="B15805" s="7">
        <v>1</v>
      </c>
      <c r="C15805" s="7" t="s">
        <v>10</v>
      </c>
      <c r="D15805" s="7">
        <v>19720</v>
      </c>
      <c r="E15805" s="7" t="s">
        <v>23</v>
      </c>
      <c r="F15805" s="8" t="str">
        <f ca="1">IFERROR(__xludf.DUMMYFUNCTION("IF
(
C15806=""фізична особа""
,
VLOOKUP(D15806,IMPORTRANGE(""https://docs.google.com/spreadsheets/d/14Bd19lYaqBhU8_DElYkX7l4wRkHqqCUFNJY4AfY3kHU/edit?usp=sharing  #gid=0"",""фіз особи new!relations_name""),6,FALSE)
,
(IF
(
C15806=""юридична особа""
,
VLOO"&amp;"KUP(D15806,IMPORTRANGE(""https://docs.google.com/spreadsheets/d/14Bd19lYaqBhU8_DElYkX7l4wRkHqqCUFNJY4AfY3kHU/edit?usp=sharing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5" s="7" t="s">
        <v>10</v>
      </c>
      <c r="H15805" s="7">
        <v>0</v>
      </c>
      <c r="I15805" s="8" t="str">
        <f ca="1">IFERROR(__xludf.DUMMYFUNCTION("IF
(
G15806=""фізична особа""
,
VLOOKUP(H15806,IMPORTRANGE(""https://docs.google.com/spreadsheets/d/14Bd19lYaqBhU8_DElYkX7l4wRkHqqCUFNJY4AfY3kHU/edit?usp=sharing  #gid=0"",""фіз особи new!relations_name""),6,FALSE)
,
(IF
(
G15806=""юридична особа""
,
VLOO"&amp;"KUP(H15806,IMPORTRANGE(""https://docs.google.com/spreadsheets/d/14Bd19lYaqBhU8_DElYkX7l4wRkHqqCUFNJY4AfY3kHU/edit?usp=sharing  #gid=0"",""фіз особи new!relations_name_uo""),7,FALSE)
,
)
))"),"#N/A")</f>
        <v>#N/A</v>
      </c>
      <c r="J15805" s="7" t="s">
        <v>23</v>
      </c>
    </row>
    <row r="15806" spans="1:10" ht="13.2">
      <c r="A15806" s="7">
        <v>15805</v>
      </c>
      <c r="B15806" s="7">
        <v>1</v>
      </c>
      <c r="C15806" s="7" t="s">
        <v>10</v>
      </c>
      <c r="D15806" s="7">
        <v>19720</v>
      </c>
      <c r="E15806" s="7" t="s">
        <v>23</v>
      </c>
      <c r="F15806" s="8" t="str">
        <f ca="1">IFERROR(__xludf.DUMMYFUNCTION("IF
(
C15807=""фізична особа""
,
VLOOKUP(D15807,IMPORTRANGE(""https://docs.google.com/spreadsheets/d/14Bd19lYaqBhU8_DElYkX7l4wRkHqqCUFNJY4AfY3kHU/edit?usp=sharing  #gid=0"",""фіз особи new!relations_name""),6,FALSE)
,
(IF
(
C15807=""юридична особа""
,
VLOO"&amp;"KUP(D15807,IMPORTRANGE(""https://docs.google.com/spreadsheets/d/14Bd19lYaqBhU8_DElYkX7l4wRkHqqCUFNJY4AfY3kHU/edit?usp=sharing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6" s="7" t="s">
        <v>10</v>
      </c>
      <c r="H15806" s="7">
        <v>0</v>
      </c>
      <c r="I15806" s="8" t="str">
        <f ca="1">IFERROR(__xludf.DUMMYFUNCTION("IF
(
G15807=""фізична особа""
,
VLOOKUP(H15807,IMPORTRANGE(""https://docs.google.com/spreadsheets/d/14Bd19lYaqBhU8_DElYkX7l4wRkHqqCUFNJY4AfY3kHU/edit?usp=sharing  #gid=0"",""фіз особи new!relations_name""),6,FALSE)
,
(IF
(
G15807=""юридична особа""
,
VLOO"&amp;"KUP(H15807,IMPORTRANGE(""https://docs.google.com/spreadsheets/d/14Bd19lYaqBhU8_DElYkX7l4wRkHqqCUFNJY4AfY3kHU/edit?usp=sharing  #gid=0"",""фіз особи new!relations_name_uo""),7,FALSE)
,
)
))"),"#N/A")</f>
        <v>#N/A</v>
      </c>
      <c r="J15806" s="7" t="s">
        <v>23</v>
      </c>
    </row>
    <row r="15807" spans="1:10" ht="13.2">
      <c r="A15807" s="7">
        <v>15806</v>
      </c>
      <c r="B15807" s="7">
        <v>1</v>
      </c>
      <c r="C15807" s="7" t="s">
        <v>10</v>
      </c>
      <c r="D15807" s="7">
        <v>19720</v>
      </c>
      <c r="E15807" s="7" t="s">
        <v>23</v>
      </c>
      <c r="F15807" s="8" t="str">
        <f ca="1">IFERROR(__xludf.DUMMYFUNCTION("IF
(
C15808=""фізична особа""
,
VLOOKUP(D15808,IMPORTRANGE(""https://docs.google.com/spreadsheets/d/14Bd19lYaqBhU8_DElYkX7l4wRkHqqCUFNJY4AfY3kHU/edit?usp=sharing  #gid=0"",""фіз особи new!relations_name""),6,FALSE)
,
(IF
(
C15808=""юридична особа""
,
VLOO"&amp;"KUP(D15808,IMPORTRANGE(""https://docs.google.com/spreadsheets/d/14Bd19lYaqBhU8_DElYkX7l4wRkHqqCUFNJY4AfY3kHU/edit?usp=sharing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G15807" s="7" t="s">
        <v>10</v>
      </c>
      <c r="H15807" s="7">
        <v>0</v>
      </c>
      <c r="I15807" s="8" t="str">
        <f ca="1">IFERROR(__xludf.DUMMYFUNCTION("IF
(
G15808=""фізична особа""
,
VLOOKUP(H15808,IMPORTRANGE(""https://docs.google.com/spreadsheets/d/14Bd19lYaqBhU8_DElYkX7l4wRkHqqCUFNJY4AfY3kHU/edit?usp=sharing  #gid=0"",""фіз особи new!relations_name""),6,FALSE)
,
(IF
(
G15808=""юридична особа""
,
VLOO"&amp;"KUP(H15808,IMPORTRANGE(""https://docs.google.com/spreadsheets/d/14Bd19lYaqBhU8_DElYkX7l4wRkHqqCUFNJY4AfY3kHU/edit?usp=sharing  #gid=0"",""фіз особи new!relations_name_uo""),7,FALSE)
,
)
))"),"#N/A")</f>
        <v>#N/A</v>
      </c>
      <c r="J15807" s="7" t="s">
        <v>23</v>
      </c>
    </row>
    <row r="15808" spans="1:10" ht="13.2">
      <c r="A15808" s="7">
        <v>15807</v>
      </c>
      <c r="B15808" s="7">
        <v>1</v>
      </c>
      <c r="C15808" s="7" t="s">
        <v>10</v>
      </c>
      <c r="D15808" s="7">
        <v>19721</v>
      </c>
      <c r="E15808" s="7" t="s">
        <v>12</v>
      </c>
      <c r="F15808" s="8" t="str">
        <f ca="1">IFERROR(__xludf.DUMMYFUNCTION("IF
(
C15809=""фізична особа""
,
VLOOKUP(D15809,IMPORTRANGE(""https://docs.google.com/spreadsheets/d/14Bd19lYaqBhU8_DElYkX7l4wRkHqqCUFNJY4AfY3kHU/edit?usp=sharing  #gid=0"",""фіз особи new!relations_name""),6,FALSE)
,
(IF
(
C15809=""юридична особа""
,
VLOO"&amp;"KUP(D15809,IMPORTRANGE(""https://docs.google.com/spreadsheets/d/14Bd19lYaqBhU8_DElYkX7l4wRkHqqCUFNJY4AfY3kHU/edit?usp=sharing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G15808" s="7" t="s">
        <v>10</v>
      </c>
      <c r="H15808" s="7">
        <v>19719</v>
      </c>
      <c r="I15808" s="8" t="str">
        <f ca="1">IFERROR(__xludf.DUMMYFUNCTION("IF
(
G15809=""фізична особа""
,
VLOOKUP(H15809,IMPORTRANGE(""https://docs.google.com/spreadsheets/d/14Bd19lYaqBhU8_DElYkX7l4wRkHqqCUFNJY4AfY3kHU/edit?usp=sharing  #gid=0"",""фіз особи new!relations_name""),6,FALSE)
,
(IF
(
G15809=""юридична особа""
,
VLOO"&amp;"KUP(H15809,IMPORTRANGE(""https://docs.google.com/spreadsheets/d/14Bd19lYaqBhU8_DElYkX7l4wRkHqqCUFNJY4AfY3kHU/edit?usp=sharing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J15808" s="7" t="s">
        <v>17</v>
      </c>
    </row>
    <row r="15809" spans="1:10" ht="13.2">
      <c r="A15809" s="7">
        <v>15808</v>
      </c>
      <c r="B15809" s="7">
        <v>1</v>
      </c>
      <c r="C15809" s="7" t="s">
        <v>10</v>
      </c>
      <c r="D15809" s="7">
        <v>19721</v>
      </c>
      <c r="E15809" s="7" t="s">
        <v>18</v>
      </c>
      <c r="F15809" s="8" t="str">
        <f ca="1">IFERROR(__xludf.DUMMYFUNCTION("IF
(
C15810=""фізична особа""
,
VLOOKUP(D15810,IMPORTRANGE(""https://docs.google.com/spreadsheets/d/14Bd19lYaqBhU8_DElYkX7l4wRkHqqCUFNJY4AfY3kHU/edit?usp=sharing  #gid=0"",""фіз особи new!relations_name""),6,FALSE)
,
(IF
(
C15810=""юридична особа""
,
VLOO"&amp;"KUP(D15810,IMPORTRANGE(""https://docs.google.com/spreadsheets/d/14Bd19lYaqBhU8_DElYkX7l4wRkHqqCUFNJY4AfY3kHU/edit?usp=sharing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G15809" s="7" t="s">
        <v>10</v>
      </c>
      <c r="H15809" s="7">
        <v>19720</v>
      </c>
      <c r="I15809" s="8" t="str">
        <f ca="1">IFERROR(__xludf.DUMMYFUNCTION("IF
(
G15810=""фізична особа""
,
VLOOKUP(H15810,IMPORTRANGE(""https://docs.google.com/spreadsheets/d/14Bd19lYaqBhU8_DElYkX7l4wRkHqqCUFNJY4AfY3kHU/edit?usp=sharing  #gid=0"",""фіз особи new!relations_name""),6,FALSE)
,
(IF
(
G15810=""юридична особа""
,
VLOO"&amp;"KUP(H15810,IMPORTRANGE(""https://docs.google.com/spreadsheets/d/14Bd19lYaqBhU8_DElYkX7l4wRkHqqCUFNJY4AfY3kHU/edit?usp=sharing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J15809" s="7" t="s">
        <v>31</v>
      </c>
    </row>
    <row r="15810" spans="1:10" ht="13.2">
      <c r="A15810" s="7">
        <v>15809</v>
      </c>
      <c r="B15810" s="7">
        <v>1</v>
      </c>
      <c r="C15810" s="7" t="s">
        <v>10</v>
      </c>
      <c r="D15810" s="7">
        <v>19721</v>
      </c>
      <c r="E15810" s="7" t="s">
        <v>17</v>
      </c>
      <c r="F15810" s="8" t="str">
        <f ca="1">IFERROR(__xludf.DUMMYFUNCTION("IF
(
C15811=""фізична особа""
,
VLOOKUP(D15811,IMPORTRANGE(""https://docs.google.com/spreadsheets/d/14Bd19lYaqBhU8_DElYkX7l4wRkHqqCUFNJY4AfY3kHU/edit?usp=sharing  #gid=0"",""фіз особи new!relations_name""),6,FALSE)
,
(IF
(
C15811=""юридична особа""
,
VLOO"&amp;"KUP(D15811,IMPORTRANGE(""https://docs.google.com/spreadsheets/d/14Bd19lYaqBhU8_DElYkX7l4wRkHqqCUFNJY4AfY3kHU/edit?usp=sharing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G15810" s="7" t="s">
        <v>10</v>
      </c>
      <c r="H15810" s="7">
        <v>23724</v>
      </c>
      <c r="I15810" s="8" t="str">
        <f ca="1">IFERROR(__xludf.DUMMYFUNCTION("IF
(
G15811=""фізична особа""
,
VLOOKUP(H15811,IMPORTRANGE(""https://docs.google.com/spreadsheets/d/14Bd19lYaqBhU8_DElYkX7l4wRkHqqCUFNJY4AfY3kHU/edit?usp=sharing  #gid=0"",""фіз особи new!relations_name""),6,FALSE)
,
(IF
(
G15811=""юридична особа""
,
VLOO"&amp;"KUP(H15811,IMPORTRANGE(""https://docs.google.com/spreadsheets/d/14Bd19lYaqBhU8_DElYkX7l4wRkHqqCUFNJY4AfY3kHU/edit?usp=sharing  #gid=0"",""фіз особи new!relations_name_uo""),7,FALSE)
,
)
))"),"САБЕЛЬФЕЛЬД Ольга Володимирівна")</f>
        <v>САБЕЛЬФЕЛЬД Ольга Володимирівна</v>
      </c>
      <c r="J15810" s="7" t="s">
        <v>21</v>
      </c>
    </row>
    <row r="15811" spans="1:10" ht="13.2">
      <c r="A15811" s="7">
        <v>15810</v>
      </c>
      <c r="B15811" s="7">
        <v>1</v>
      </c>
      <c r="C15811" s="7" t="s">
        <v>10</v>
      </c>
      <c r="D15811" s="7">
        <v>19721</v>
      </c>
      <c r="E15811" s="7" t="s">
        <v>23</v>
      </c>
      <c r="F15811" s="8" t="str">
        <f ca="1">IFERROR(__xludf.DUMMYFUNCTION("IF
(
C15812=""фізична особа""
,
VLOOKUP(D15812,IMPORTRANGE(""https://docs.google.com/spreadsheets/d/14Bd19lYaqBhU8_DElYkX7l4wRkHqqCUFNJY4AfY3kHU/edit?usp=sharing  #gid=0"",""фіз особи new!relations_name""),6,FALSE)
,
(IF
(
C15812=""юридична особа""
,
VLOO"&amp;"KUP(D15812,IMPORTRANGE(""https://docs.google.com/spreadsheets/d/14Bd19lYaqBhU8_DElYkX7l4wRkHqqCUFNJY4AfY3kHU/edit?usp=sharing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G15811" s="7" t="s">
        <v>10</v>
      </c>
      <c r="H15811" s="7">
        <v>23725</v>
      </c>
      <c r="I15811" s="8" t="str">
        <f ca="1">IFERROR(__xludf.DUMMYFUNCTION("IF
(
G15812=""фізична особа""
,
VLOOKUP(H15812,IMPORTRANGE(""https://docs.google.com/spreadsheets/d/14Bd19lYaqBhU8_DElYkX7l4wRkHqqCUFNJY4AfY3kHU/edit?usp=sharing  #gid=0"",""фіз особи new!relations_name""),6,FALSE)
,
(IF
(
G15812=""юридична особа""
,
VLOO"&amp;"KUP(H15812,IMPORTRANGE(""https://docs.google.com/spreadsheets/d/14Bd19lYaqBhU8_DElYkX7l4wRkHqqCUFNJY4AfY3kHU/edit?usp=sharing  #gid=0"",""фіз особи new!relations_name_uo""),7,FALSE)
,
)
))"),"ТІХОНОВА Тетяна Євгеніївна")</f>
        <v>ТІХОНОВА Тетяна Євгеніївна</v>
      </c>
      <c r="J15811" s="7" t="s">
        <v>23</v>
      </c>
    </row>
    <row r="15812" spans="1:10" ht="13.2">
      <c r="A15812" s="7">
        <v>15811</v>
      </c>
      <c r="B15812" s="7">
        <v>1</v>
      </c>
      <c r="C15812" s="7" t="s">
        <v>10</v>
      </c>
      <c r="D15812" s="7">
        <v>19722</v>
      </c>
      <c r="E15812" s="7" t="s">
        <v>14</v>
      </c>
      <c r="F15812" s="8" t="str">
        <f ca="1">IFERROR(__xludf.DUMMYFUNCTION("IF
(
C15813=""фізична особа""
,
VLOOKUP(D15813,IMPORTRANGE(""https://docs.google.com/spreadsheets/d/14Bd19lYaqBhU8_DElYkX7l4wRkHqqCUFNJY4AfY3kHU/edit?usp=sharing  #gid=0"",""фіз особи new!relations_name""),6,FALSE)
,
(IF
(
C15813=""юридична особа""
,
VLOO"&amp;"KUP(D15813,IMPORTRANGE(""https://docs.google.com/spreadsheets/d/14Bd19lYaqBhU8_DElYkX7l4wRkHqqCUFNJY4AfY3kHU/edit?usp=sharing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2" s="7" t="s">
        <v>10</v>
      </c>
      <c r="H15812" s="7">
        <v>0</v>
      </c>
      <c r="I15812" s="8" t="str">
        <f ca="1">IFERROR(__xludf.DUMMYFUNCTION("IF
(
G15813=""фізична особа""
,
VLOOKUP(H15813,IMPORTRANGE(""https://docs.google.com/spreadsheets/d/14Bd19lYaqBhU8_DElYkX7l4wRkHqqCUFNJY4AfY3kHU/edit?usp=sharing  #gid=0"",""фіз особи new!relations_name""),6,FALSE)
,
(IF
(
G15813=""юридична особа""
,
VLOO"&amp;"KUP(H15813,IMPORTRANGE(""https://docs.google.com/spreadsheets/d/14Bd19lYaqBhU8_DElYkX7l4wRkHqqCUFNJY4AfY3kHU/edit?usp=sharing  #gid=0"",""фіз особи new!relations_name_uo""),7,FALSE)
,
)
))"),"#N/A")</f>
        <v>#N/A</v>
      </c>
      <c r="J15812" s="7" t="s">
        <v>15</v>
      </c>
    </row>
    <row r="15813" spans="1:10" ht="13.2">
      <c r="A15813" s="7">
        <v>15812</v>
      </c>
      <c r="B15813" s="7">
        <v>1</v>
      </c>
      <c r="C15813" s="7" t="s">
        <v>10</v>
      </c>
      <c r="D15813" s="7">
        <v>19722</v>
      </c>
      <c r="E15813" s="7" t="s">
        <v>23</v>
      </c>
      <c r="F15813" s="8" t="str">
        <f ca="1">IFERROR(__xludf.DUMMYFUNCTION("IF
(
C15814=""фізична особа""
,
VLOOKUP(D15814,IMPORTRANGE(""https://docs.google.com/spreadsheets/d/14Bd19lYaqBhU8_DElYkX7l4wRkHqqCUFNJY4AfY3kHU/edit?usp=sharing  #gid=0"",""фіз особи new!relations_name""),6,FALSE)
,
(IF
(
C15814=""юридична особа""
,
VLOO"&amp;"KUP(D15814,IMPORTRANGE(""https://docs.google.com/spreadsheets/d/14Bd19lYaqBhU8_DElYkX7l4wRkHqqCUFNJY4AfY3kHU/edit?usp=sharing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3" s="7" t="s">
        <v>10</v>
      </c>
      <c r="H15813" s="7">
        <v>23725</v>
      </c>
      <c r="I15813" s="8" t="str">
        <f ca="1">IFERROR(__xludf.DUMMYFUNCTION("IF
(
G15814=""фізична особа""
,
VLOOKUP(H15814,IMPORTRANGE(""https://docs.google.com/spreadsheets/d/14Bd19lYaqBhU8_DElYkX7l4wRkHqqCUFNJY4AfY3kHU/edit?usp=sharing  #gid=0"",""фіз особи new!relations_name""),6,FALSE)
,
(IF
(
G15814=""юридична особа""
,
VLOO"&amp;"KUP(H15814,IMPORTRANGE(""https://docs.google.com/spreadsheets/d/14Bd19lYaqBhU8_DElYkX7l4wRkHqqCUFNJY4AfY3kHU/edit?usp=sharing  #gid=0"",""фіз особи new!relations_name_uo""),7,FALSE)
,
)
))"),"ТІХОНОВА Тетяна Євгеніївна")</f>
        <v>ТІХОНОВА Тетяна Євгеніївна</v>
      </c>
      <c r="J15813" s="7" t="s">
        <v>23</v>
      </c>
    </row>
    <row r="15814" spans="1:10" ht="13.2">
      <c r="A15814" s="7">
        <v>15813</v>
      </c>
      <c r="B15814" s="7">
        <v>1</v>
      </c>
      <c r="C15814" s="7" t="s">
        <v>10</v>
      </c>
      <c r="D15814" s="7">
        <v>19722</v>
      </c>
      <c r="E15814" s="7" t="s">
        <v>23</v>
      </c>
      <c r="F15814" s="8" t="str">
        <f ca="1">IFERROR(__xludf.DUMMYFUNCTION("IF
(
C15815=""фізична особа""
,
VLOOKUP(D15815,IMPORTRANGE(""https://docs.google.com/spreadsheets/d/14Bd19lYaqBhU8_DElYkX7l4wRkHqqCUFNJY4AfY3kHU/edit?usp=sharing  #gid=0"",""фіз особи new!relations_name""),6,FALSE)
,
(IF
(
C15815=""юридична особа""
,
VLOO"&amp;"KUP(D15815,IMPORTRANGE(""https://docs.google.com/spreadsheets/d/14Bd19lYaqBhU8_DElYkX7l4wRkHqqCUFNJY4AfY3kHU/edit?usp=sharing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4" s="7" t="s">
        <v>10</v>
      </c>
      <c r="H15814" s="7">
        <v>0</v>
      </c>
      <c r="I15814" s="8" t="str">
        <f ca="1">IFERROR(__xludf.DUMMYFUNCTION("IF
(
G15815=""фізична особа""
,
VLOOKUP(H15815,IMPORTRANGE(""https://docs.google.com/spreadsheets/d/14Bd19lYaqBhU8_DElYkX7l4wRkHqqCUFNJY4AfY3kHU/edit?usp=sharing  #gid=0"",""фіз особи new!relations_name""),6,FALSE)
,
(IF
(
G15815=""юридична особа""
,
VLOO"&amp;"KUP(H15815,IMPORTRANGE(""https://docs.google.com/spreadsheets/d/14Bd19lYaqBhU8_DElYkX7l4wRkHqqCUFNJY4AfY3kHU/edit?usp=sharing  #gid=0"",""фіз особи new!relations_name_uo""),7,FALSE)
,
)
))"),"#N/A")</f>
        <v>#N/A</v>
      </c>
      <c r="J15814" s="7" t="s">
        <v>23</v>
      </c>
    </row>
    <row r="15815" spans="1:10" ht="13.2">
      <c r="A15815" s="7">
        <v>15814</v>
      </c>
      <c r="B15815" s="7">
        <v>1</v>
      </c>
      <c r="C15815" s="7" t="s">
        <v>10</v>
      </c>
      <c r="D15815" s="7">
        <v>19722</v>
      </c>
      <c r="E15815" s="7" t="s">
        <v>23</v>
      </c>
      <c r="F15815" s="8" t="str">
        <f ca="1">IFERROR(__xludf.DUMMYFUNCTION("IF
(
C15816=""фізична особа""
,
VLOOKUP(D15816,IMPORTRANGE(""https://docs.google.com/spreadsheets/d/14Bd19lYaqBhU8_DElYkX7l4wRkHqqCUFNJY4AfY3kHU/edit?usp=sharing  #gid=0"",""фіз особи new!relations_name""),6,FALSE)
,
(IF
(
C15816=""юридична особа""
,
VLOO"&amp;"KUP(D15816,IMPORTRANGE(""https://docs.google.com/spreadsheets/d/14Bd19lYaqBhU8_DElYkX7l4wRkHqqCUFNJY4AfY3kHU/edit?usp=sharing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5" s="7" t="s">
        <v>10</v>
      </c>
      <c r="H15815" s="7">
        <v>0</v>
      </c>
      <c r="I15815" s="8" t="str">
        <f ca="1">IFERROR(__xludf.DUMMYFUNCTION("IF
(
G15816=""фізична особа""
,
VLOOKUP(H15816,IMPORTRANGE(""https://docs.google.com/spreadsheets/d/14Bd19lYaqBhU8_DElYkX7l4wRkHqqCUFNJY4AfY3kHU/edit?usp=sharing  #gid=0"",""фіз особи new!relations_name""),6,FALSE)
,
(IF
(
G15816=""юридична особа""
,
VLOO"&amp;"KUP(H15816,IMPORTRANGE(""https://docs.google.com/spreadsheets/d/14Bd19lYaqBhU8_DElYkX7l4wRkHqqCUFNJY4AfY3kHU/edit?usp=sharing  #gid=0"",""фіз особи new!relations_name_uo""),7,FALSE)
,
)
))"),"#N/A")</f>
        <v>#N/A</v>
      </c>
      <c r="J15815" s="7" t="s">
        <v>23</v>
      </c>
    </row>
    <row r="15816" spans="1:10" ht="13.2">
      <c r="A15816" s="7">
        <v>15815</v>
      </c>
      <c r="B15816" s="7">
        <v>1</v>
      </c>
      <c r="C15816" s="7" t="s">
        <v>10</v>
      </c>
      <c r="D15816" s="7">
        <v>19722</v>
      </c>
      <c r="E15816" s="7" t="s">
        <v>23</v>
      </c>
      <c r="F15816" s="8" t="str">
        <f ca="1">IFERROR(__xludf.DUMMYFUNCTION("IF
(
C15817=""фізична особа""
,
VLOOKUP(D15817,IMPORTRANGE(""https://docs.google.com/spreadsheets/d/14Bd19lYaqBhU8_DElYkX7l4wRkHqqCUFNJY4AfY3kHU/edit?usp=sharing  #gid=0"",""фіз особи new!relations_name""),6,FALSE)
,
(IF
(
C15817=""юридична особа""
,
VLOO"&amp;"KUP(D15817,IMPORTRANGE(""https://docs.google.com/spreadsheets/d/14Bd19lYaqBhU8_DElYkX7l4wRkHqqCUFNJY4AfY3kHU/edit?usp=sharing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6" s="7" t="s">
        <v>10</v>
      </c>
      <c r="H15816" s="7">
        <v>0</v>
      </c>
      <c r="I15816" s="8" t="str">
        <f ca="1">IFERROR(__xludf.DUMMYFUNCTION("IF
(
G15817=""фізична особа""
,
VLOOKUP(H15817,IMPORTRANGE(""https://docs.google.com/spreadsheets/d/14Bd19lYaqBhU8_DElYkX7l4wRkHqqCUFNJY4AfY3kHU/edit?usp=sharing  #gid=0"",""фіз особи new!relations_name""),6,FALSE)
,
(IF
(
G15817=""юридична особа""
,
VLOO"&amp;"KUP(H15817,IMPORTRANGE(""https://docs.google.com/spreadsheets/d/14Bd19lYaqBhU8_DElYkX7l4wRkHqqCUFNJY4AfY3kHU/edit?usp=sharing  #gid=0"",""фіз особи new!relations_name_uo""),7,FALSE)
,
)
))"),"#N/A")</f>
        <v>#N/A</v>
      </c>
      <c r="J15816" s="7" t="s">
        <v>23</v>
      </c>
    </row>
    <row r="15817" spans="1:10" ht="13.2">
      <c r="A15817" s="7">
        <v>15816</v>
      </c>
      <c r="B15817" s="7">
        <v>1</v>
      </c>
      <c r="C15817" s="7" t="s">
        <v>10</v>
      </c>
      <c r="D15817" s="7">
        <v>19722</v>
      </c>
      <c r="E15817" s="7" t="s">
        <v>23</v>
      </c>
      <c r="F15817" s="8" t="str">
        <f ca="1">IFERROR(__xludf.DUMMYFUNCTION("IF
(
C15818=""фізична особа""
,
VLOOKUP(D15818,IMPORTRANGE(""https://docs.google.com/spreadsheets/d/14Bd19lYaqBhU8_DElYkX7l4wRkHqqCUFNJY4AfY3kHU/edit?usp=sharing  #gid=0"",""фіз особи new!relations_name""),6,FALSE)
,
(IF
(
C15818=""юридична особа""
,
VLOO"&amp;"KUP(D15818,IMPORTRANGE(""https://docs.google.com/spreadsheets/d/14Bd19lYaqBhU8_DElYkX7l4wRkHqqCUFNJY4AfY3kHU/edit?usp=sharing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G15817" s="7" t="s">
        <v>10</v>
      </c>
      <c r="H15817" s="7">
        <v>0</v>
      </c>
      <c r="I15817" s="8" t="str">
        <f ca="1">IFERROR(__xludf.DUMMYFUNCTION("IF
(
G15818=""фізична особа""
,
VLOOKUP(H15818,IMPORTRANGE(""https://docs.google.com/spreadsheets/d/14Bd19lYaqBhU8_DElYkX7l4wRkHqqCUFNJY4AfY3kHU/edit?usp=sharing  #gid=0"",""фіз особи new!relations_name""),6,FALSE)
,
(IF
(
G15818=""юридична особа""
,
VLOO"&amp;"KUP(H15818,IMPORTRANGE(""https://docs.google.com/spreadsheets/d/14Bd19lYaqBhU8_DElYkX7l4wRkHqqCUFNJY4AfY3kHU/edit?usp=sharing  #gid=0"",""фіз особи new!relations_name_uo""),7,FALSE)
,
)
))"),"#N/A")</f>
        <v>#N/A</v>
      </c>
      <c r="J15817" s="7" t="s">
        <v>23</v>
      </c>
    </row>
    <row r="15818" spans="1:10" ht="13.2">
      <c r="A15818" s="7">
        <v>15817</v>
      </c>
      <c r="B15818" s="7">
        <v>1</v>
      </c>
      <c r="C15818" s="7" t="s">
        <v>10</v>
      </c>
      <c r="D15818" s="7">
        <v>19723</v>
      </c>
      <c r="E15818" s="7" t="s">
        <v>23</v>
      </c>
      <c r="F15818" s="8" t="str">
        <f ca="1">IFERROR(__xludf.DUMMYFUNCTION("IF
(
C15819=""фізична особа""
,
VLOOKUP(D15819,IMPORTRANGE(""https://docs.google.com/spreadsheets/d/14Bd19lYaqBhU8_DElYkX7l4wRkHqqCUFNJY4AfY3kHU/edit?usp=sharing  #gid=0"",""фіз особи new!relations_name""),6,FALSE)
,
(IF
(
C15819=""юридична особа""
,
VLOO"&amp;"KUP(D15819,IMPORTRANGE(""https://docs.google.com/spreadsheets/d/14Bd19lYaqBhU8_DElYkX7l4wRkHqqCUFNJY4AfY3kHU/edit?usp=sharing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G15818" s="7" t="s">
        <v>10</v>
      </c>
      <c r="H15818" s="7">
        <v>0</v>
      </c>
      <c r="I15818" s="8" t="str">
        <f ca="1">IFERROR(__xludf.DUMMYFUNCTION("IF
(
G15819=""фізична особа""
,
VLOOKUP(H15819,IMPORTRANGE(""https://docs.google.com/spreadsheets/d/14Bd19lYaqBhU8_DElYkX7l4wRkHqqCUFNJY4AfY3kHU/edit?usp=sharing  #gid=0"",""фіз особи new!relations_name""),6,FALSE)
,
(IF
(
G15819=""юридична особа""
,
VLOO"&amp;"KUP(H15819,IMPORTRANGE(""https://docs.google.com/spreadsheets/d/14Bd19lYaqBhU8_DElYkX7l4wRkHqqCUFNJY4AfY3kHU/edit?usp=sharing  #gid=0"",""фіз особи new!relations_name_uo""),7,FALSE)
,
)
))"),"#N/A")</f>
        <v>#N/A</v>
      </c>
      <c r="J15818" s="7" t="s">
        <v>23</v>
      </c>
    </row>
    <row r="15819" spans="1:10" ht="13.2">
      <c r="A15819" s="7">
        <v>15818</v>
      </c>
      <c r="B15819" s="7">
        <v>1</v>
      </c>
      <c r="C15819" s="7" t="s">
        <v>10</v>
      </c>
      <c r="D15819" s="7">
        <v>19723</v>
      </c>
      <c r="E15819" s="7" t="s">
        <v>23</v>
      </c>
      <c r="F15819" s="8" t="str">
        <f ca="1">IFERROR(__xludf.DUMMYFUNCTION("IF
(
C15820=""фізична особа""
,
VLOOKUP(D15820,IMPORTRANGE(""https://docs.google.com/spreadsheets/d/14Bd19lYaqBhU8_DElYkX7l4wRkHqqCUFNJY4AfY3kHU/edit?usp=sharing  #gid=0"",""фіз особи new!relations_name""),6,FALSE)
,
(IF
(
C15820=""юридична особа""
,
VLOO"&amp;"KUP(D15820,IMPORTRANGE(""https://docs.google.com/spreadsheets/d/14Bd19lYaqBhU8_DElYkX7l4wRkHqqCUFNJY4AfY3kHU/edit?usp=sharing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G15819" s="7" t="s">
        <v>10</v>
      </c>
      <c r="H15819" s="7">
        <v>19720</v>
      </c>
      <c r="I15819" s="8" t="str">
        <f ca="1">IFERROR(__xludf.DUMMYFUNCTION("IF
(
G15820=""фізична особа""
,
VLOOKUP(H15820,IMPORTRANGE(""https://docs.google.com/spreadsheets/d/14Bd19lYaqBhU8_DElYkX7l4wRkHqqCUFNJY4AfY3kHU/edit?usp=sharing  #gid=0"",""фіз особи new!relations_name""),6,FALSE)
,
(IF
(
G15820=""юридична особа""
,
VLOO"&amp;"KUP(H15820,IMPORTRANGE(""https://docs.google.com/spreadsheets/d/14Bd19lYaqBhU8_DElYkX7l4wRkHqqCUFNJY4AfY3kHU/edit?usp=sharing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J15819" s="7" t="s">
        <v>23</v>
      </c>
    </row>
    <row r="15820" spans="1:10" ht="13.2">
      <c r="A15820" s="7">
        <v>15819</v>
      </c>
      <c r="B15820" s="7">
        <v>1</v>
      </c>
      <c r="C15820" s="7" t="s">
        <v>10</v>
      </c>
      <c r="D15820" s="7">
        <v>19723</v>
      </c>
      <c r="E15820" s="7" t="s">
        <v>23</v>
      </c>
      <c r="F15820" s="8" t="str">
        <f ca="1">IFERROR(__xludf.DUMMYFUNCTION("IF
(
C15821=""фізична особа""
,
VLOOKUP(D15821,IMPORTRANGE(""https://docs.google.com/spreadsheets/d/14Bd19lYaqBhU8_DElYkX7l4wRkHqqCUFNJY4AfY3kHU/edit?usp=sharing  #gid=0"",""фіз особи new!relations_name""),6,FALSE)
,
(IF
(
C15821=""юридична особа""
,
VLOO"&amp;"KUP(D15821,IMPORTRANGE(""https://docs.google.com/spreadsheets/d/14Bd19lYaqBhU8_DElYkX7l4wRkHqqCUFNJY4AfY3kHU/edit?usp=sharing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G15820" s="7" t="s">
        <v>10</v>
      </c>
      <c r="H15820" s="7">
        <v>23724</v>
      </c>
      <c r="I15820" s="8" t="str">
        <f ca="1">IFERROR(__xludf.DUMMYFUNCTION("IF
(
G15821=""фізична особа""
,
VLOOKUP(H15821,IMPORTRANGE(""https://docs.google.com/spreadsheets/d/14Bd19lYaqBhU8_DElYkX7l4wRkHqqCUFNJY4AfY3kHU/edit?usp=sharing  #gid=0"",""фіз особи new!relations_name""),6,FALSE)
,
(IF
(
G15821=""юридична особа""
,
VLOO"&amp;"KUP(H15821,IMPORTRANGE(""https://docs.google.com/spreadsheets/d/14Bd19lYaqBhU8_DElYkX7l4wRkHqqCUFNJY4AfY3kHU/edit?usp=sharing  #gid=0"",""фіз особи new!relations_name_uo""),7,FALSE)
,
)
))"),"САБЕЛЬФЕЛЬД Ольга Володимирівна")</f>
        <v>САБЕЛЬФЕЛЬД Ольга Володимирівна</v>
      </c>
      <c r="J15820" s="7" t="s">
        <v>23</v>
      </c>
    </row>
    <row r="15821" spans="1:10" ht="13.2">
      <c r="A15821" s="7">
        <v>15820</v>
      </c>
      <c r="B15821" s="7">
        <v>1</v>
      </c>
      <c r="C15821" s="7" t="s">
        <v>10</v>
      </c>
      <c r="D15821" s="7">
        <v>19723</v>
      </c>
      <c r="E15821" s="7" t="s">
        <v>23</v>
      </c>
      <c r="F15821" s="8" t="str">
        <f ca="1">IFERROR(__xludf.DUMMYFUNCTION("IF
(
C15822=""фізична особа""
,
VLOOKUP(D15822,IMPORTRANGE(""https://docs.google.com/spreadsheets/d/14Bd19lYaqBhU8_DElYkX7l4wRkHqqCUFNJY4AfY3kHU/edit?usp=sharing  #gid=0"",""фіз особи new!relations_name""),6,FALSE)
,
(IF
(
C15822=""юридична особа""
,
VLOO"&amp;"KUP(D15822,IMPORTRANGE(""https://docs.google.com/spreadsheets/d/14Bd19lYaqBhU8_DElYkX7l4wRkHqqCUFNJY4AfY3kHU/edit?usp=sharing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G15821" s="7" t="s">
        <v>10</v>
      </c>
      <c r="H15821" s="7">
        <v>19719</v>
      </c>
      <c r="I15821" s="8" t="str">
        <f ca="1">IFERROR(__xludf.DUMMYFUNCTION("IF
(
G15822=""фізична особа""
,
VLOOKUP(H15822,IMPORTRANGE(""https://docs.google.com/spreadsheets/d/14Bd19lYaqBhU8_DElYkX7l4wRkHqqCUFNJY4AfY3kHU/edit?usp=sharing  #gid=0"",""фіз особи new!relations_name""),6,FALSE)
,
(IF
(
G15822=""юридична особа""
,
VLOO"&amp;"KUP(H15822,IMPORTRANGE(""https://docs.google.com/spreadsheets/d/14Bd19lYaqBhU8_DElYkX7l4wRkHqqCUFNJY4AfY3kHU/edit?usp=sharing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J15821" s="7" t="s">
        <v>23</v>
      </c>
    </row>
    <row r="15822" spans="1:10" ht="13.2">
      <c r="A15822" s="7">
        <v>15821</v>
      </c>
      <c r="B15822" s="7">
        <v>1</v>
      </c>
      <c r="C15822" s="7" t="s">
        <v>10</v>
      </c>
      <c r="D15822" s="7">
        <v>19723</v>
      </c>
      <c r="E15822" s="7" t="s">
        <v>23</v>
      </c>
      <c r="F15822" s="8" t="str">
        <f ca="1">IFERROR(__xludf.DUMMYFUNCTION("IF
(
C15823=""фізична особа""
,
VLOOKUP(D15823,IMPORTRANGE(""https://docs.google.com/spreadsheets/d/14Bd19lYaqBhU8_DElYkX7l4wRkHqqCUFNJY4AfY3kHU/edit?usp=sharing  #gid=0"",""фіз особи new!relations_name""),6,FALSE)
,
(IF
(
C15823=""юридична особа""
,
VLOO"&amp;"KUP(D15823,IMPORTRANGE(""https://docs.google.com/spreadsheets/d/14Bd19lYaqBhU8_DElYkX7l4wRkHqqCUFNJY4AfY3kHU/edit?usp=sharing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G15822" s="7" t="s">
        <v>10</v>
      </c>
      <c r="H15822" s="7">
        <v>19721</v>
      </c>
      <c r="I15822" s="8" t="str">
        <f ca="1">IFERROR(__xludf.DUMMYFUNCTION("IF
(
G15823=""фізична особа""
,
VLOOKUP(H15823,IMPORTRANGE(""https://docs.google.com/spreadsheets/d/14Bd19lYaqBhU8_DElYkX7l4wRkHqqCUFNJY4AfY3kHU/edit?usp=sharing  #gid=0"",""фіз особи new!relations_name""),6,FALSE)
,
(IF
(
G15823=""юридична особа""
,
VLOO"&amp;"KUP(H15823,IMPORTRANGE(""https://docs.google.com/spreadsheets/d/14Bd19lYaqBhU8_DElYkX7l4wRkHqqCUFNJY4AfY3kHU/edit?usp=sharing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822" s="7" t="s">
        <v>23</v>
      </c>
    </row>
    <row r="15823" spans="1:10" ht="13.2">
      <c r="A15823" s="7">
        <v>15822</v>
      </c>
      <c r="B15823" s="7">
        <v>1</v>
      </c>
      <c r="C15823" s="7" t="s">
        <v>10</v>
      </c>
      <c r="D15823" s="7">
        <v>19724</v>
      </c>
      <c r="E15823" s="7" t="s">
        <v>65</v>
      </c>
      <c r="F15823" s="8" t="str">
        <f ca="1">IFERROR(__xludf.DUMMYFUNCTION("IF
(
C15824=""фізична особа""
,
VLOOKUP(D15824,IMPORTRANGE(""https://docs.google.com/spreadsheets/d/14Bd19lYaqBhU8_DElYkX7l4wRkHqqCUFNJY4AfY3kHU/edit?usp=sharing  #gid=0"",""фіз особи new!relations_name""),6,FALSE)
,
(IF
(
C15824=""юридична особа""
,
VLOO"&amp;"KUP(D15824,IMPORTRANGE(""https://docs.google.com/spreadsheets/d/14Bd19lYaqBhU8_DElYkX7l4wRkHqqCUFNJY4AfY3kHU/edit?usp=sharing  #gid=0"",""фіз особи new!relations_name_uo""),7,FALSE)
,
)
))"),"БАЧУРІН Сергій Михайлович")</f>
        <v>БАЧУРІН Сергій Михайлович</v>
      </c>
      <c r="G15823" s="7" t="s">
        <v>10</v>
      </c>
      <c r="H15823" s="7">
        <v>0</v>
      </c>
      <c r="I15823" s="8" t="str">
        <f ca="1">IFERROR(__xludf.DUMMYFUNCTION("IF
(
G15824=""фізична особа""
,
VLOOKUP(H15824,IMPORTRANGE(""https://docs.google.com/spreadsheets/d/14Bd19lYaqBhU8_DElYkX7l4wRkHqqCUFNJY4AfY3kHU/edit?usp=sharing  #gid=0"",""фіз особи new!relations_name""),6,FALSE)
,
(IF
(
G15824=""юридична особа""
,
VLOO"&amp;"KUP(H15824,IMPORTRANGE(""https://docs.google.com/spreadsheets/d/14Bd19lYaqBhU8_DElYkX7l4wRkHqqCUFNJY4AfY3kHU/edit?usp=sharing  #gid=0"",""фіз особи new!relations_name_uo""),7,FALSE)
,
)
))"),"#N/A")</f>
        <v>#N/A</v>
      </c>
      <c r="J15823" s="7" t="s">
        <v>65</v>
      </c>
    </row>
    <row r="15824" spans="1:10" ht="13.2">
      <c r="A15824" s="7">
        <v>15823</v>
      </c>
      <c r="B15824" s="7">
        <v>1</v>
      </c>
      <c r="C15824" s="7" t="s">
        <v>10</v>
      </c>
      <c r="D15824" s="7">
        <v>19724</v>
      </c>
      <c r="E15824" s="7" t="s">
        <v>23</v>
      </c>
      <c r="F15824" s="8" t="str">
        <f ca="1">IFERROR(__xludf.DUMMYFUNCTION("IF
(
C15825=""фізична особа""
,
VLOOKUP(D15825,IMPORTRANGE(""https://docs.google.com/spreadsheets/d/14Bd19lYaqBhU8_DElYkX7l4wRkHqqCUFNJY4AfY3kHU/edit?usp=sharing  #gid=0"",""фіз особи new!relations_name""),6,FALSE)
,
(IF
(
C15825=""юридична особа""
,
VLOO"&amp;"KUP(D15825,IMPORTRANGE(""https://docs.google.com/spreadsheets/d/14Bd19lYaqBhU8_DElYkX7l4wRkHqqCUFNJY4AfY3kHU/edit?usp=sharing  #gid=0"",""фіз особи new!relations_name_uo""),7,FALSE)
,
)
))"),"БАЧУРІН Сергій Михайлович")</f>
        <v>БАЧУРІН Сергій Михайлович</v>
      </c>
      <c r="G15824" s="7" t="s">
        <v>10</v>
      </c>
      <c r="H15824" s="7">
        <v>0</v>
      </c>
      <c r="I15824" s="8" t="str">
        <f ca="1">IFERROR(__xludf.DUMMYFUNCTION("IF
(
G15825=""фізична особа""
,
VLOOKUP(H15825,IMPORTRANGE(""https://docs.google.com/spreadsheets/d/14Bd19lYaqBhU8_DElYkX7l4wRkHqqCUFNJY4AfY3kHU/edit?usp=sharing  #gid=0"",""фіз особи new!relations_name""),6,FALSE)
,
(IF
(
G15825=""юридична особа""
,
VLOO"&amp;"KUP(H15825,IMPORTRANGE(""https://docs.google.com/spreadsheets/d/14Bd19lYaqBhU8_DElYkX7l4wRkHqqCUFNJY4AfY3kHU/edit?usp=sharing  #gid=0"",""фіз особи new!relations_name_uo""),7,FALSE)
,
)
))"),"#N/A")</f>
        <v>#N/A</v>
      </c>
      <c r="J15824" s="7" t="s">
        <v>23</v>
      </c>
    </row>
    <row r="15825" spans="1:10" ht="13.2">
      <c r="A15825" s="7">
        <v>15824</v>
      </c>
      <c r="B15825" s="7">
        <v>1</v>
      </c>
      <c r="C15825" s="7" t="s">
        <v>10</v>
      </c>
      <c r="D15825" s="7">
        <v>19724</v>
      </c>
      <c r="E15825" s="7" t="s">
        <v>23</v>
      </c>
      <c r="F15825" s="8" t="str">
        <f ca="1">IFERROR(__xludf.DUMMYFUNCTION("IF
(
C15826=""фізична особа""
,
VLOOKUP(D15826,IMPORTRANGE(""https://docs.google.com/spreadsheets/d/14Bd19lYaqBhU8_DElYkX7l4wRkHqqCUFNJY4AfY3kHU/edit?usp=sharing  #gid=0"",""фіз особи new!relations_name""),6,FALSE)
,
(IF
(
C15826=""юридична особа""
,
VLOO"&amp;"KUP(D15826,IMPORTRANGE(""https://docs.google.com/spreadsheets/d/14Bd19lYaqBhU8_DElYkX7l4wRkHqqCUFNJY4AfY3kHU/edit?usp=sharing  #gid=0"",""фіз особи new!relations_name_uo""),7,FALSE)
,
)
))"),"БАЧУРІН Сергій Михайлович")</f>
        <v>БАЧУРІН Сергій Михайлович</v>
      </c>
      <c r="G15825" s="7" t="s">
        <v>10</v>
      </c>
      <c r="H15825" s="7">
        <v>0</v>
      </c>
      <c r="I15825" s="8" t="str">
        <f ca="1">IFERROR(__xludf.DUMMYFUNCTION("IF
(
G15826=""фізична особа""
,
VLOOKUP(H15826,IMPORTRANGE(""https://docs.google.com/spreadsheets/d/14Bd19lYaqBhU8_DElYkX7l4wRkHqqCUFNJY4AfY3kHU/edit?usp=sharing  #gid=0"",""фіз особи new!relations_name""),6,FALSE)
,
(IF
(
G15826=""юридична особа""
,
VLOO"&amp;"KUP(H15826,IMPORTRANGE(""https://docs.google.com/spreadsheets/d/14Bd19lYaqBhU8_DElYkX7l4wRkHqqCUFNJY4AfY3kHU/edit?usp=sharing  #gid=0"",""фіз особи new!relations_name_uo""),7,FALSE)
,
)
))"),"#N/A")</f>
        <v>#N/A</v>
      </c>
      <c r="J15825" s="7" t="s">
        <v>23</v>
      </c>
    </row>
    <row r="15826" spans="1:10" ht="13.2">
      <c r="A15826" s="7">
        <v>15825</v>
      </c>
      <c r="B15826" s="7">
        <v>1</v>
      </c>
      <c r="C15826" s="7" t="s">
        <v>10</v>
      </c>
      <c r="D15826" s="7">
        <v>19724</v>
      </c>
      <c r="E15826" s="7" t="s">
        <v>65</v>
      </c>
      <c r="F15826" s="8" t="str">
        <f ca="1">IFERROR(__xludf.DUMMYFUNCTION("IF
(
C15827=""фізична особа""
,
VLOOKUP(D15827,IMPORTRANGE(""https://docs.google.com/spreadsheets/d/14Bd19lYaqBhU8_DElYkX7l4wRkHqqCUFNJY4AfY3kHU/edit?usp=sharing  #gid=0"",""фіз особи new!relations_name""),6,FALSE)
,
(IF
(
C15827=""юридична особа""
,
VLOO"&amp;"KUP(D15827,IMPORTRANGE(""https://docs.google.com/spreadsheets/d/14Bd19lYaqBhU8_DElYkX7l4wRkHqqCUFNJY4AfY3kHU/edit?usp=sharing  #gid=0"",""фіз особи new!relations_name_uo""),7,FALSE)
,
)
))"),"БАЧУРІН Сергій Михайлович")</f>
        <v>БАЧУРІН Сергій Михайлович</v>
      </c>
      <c r="G15826" s="7" t="s">
        <v>10</v>
      </c>
      <c r="H15826" s="7">
        <v>0</v>
      </c>
      <c r="I15826" s="8" t="str">
        <f ca="1">IFERROR(__xludf.DUMMYFUNCTION("IF
(
G15827=""фізична особа""
,
VLOOKUP(H15827,IMPORTRANGE(""https://docs.google.com/spreadsheets/d/14Bd19lYaqBhU8_DElYkX7l4wRkHqqCUFNJY4AfY3kHU/edit?usp=sharing  #gid=0"",""фіз особи new!relations_name""),6,FALSE)
,
(IF
(
G15827=""юридична особа""
,
VLOO"&amp;"KUP(H15827,IMPORTRANGE(""https://docs.google.com/spreadsheets/d/14Bd19lYaqBhU8_DElYkX7l4wRkHqqCUFNJY4AfY3kHU/edit?usp=sharing  #gid=0"",""фіз особи new!relations_name_uo""),7,FALSE)
,
)
))"),"#N/A")</f>
        <v>#N/A</v>
      </c>
      <c r="J15826" s="7" t="s">
        <v>65</v>
      </c>
    </row>
    <row r="15827" spans="1:10" ht="13.2">
      <c r="A15827" s="7">
        <v>15826</v>
      </c>
      <c r="B15827" s="7">
        <v>1</v>
      </c>
      <c r="C15827" s="7" t="s">
        <v>10</v>
      </c>
      <c r="D15827" s="7">
        <v>19724</v>
      </c>
      <c r="E15827" s="7" t="s">
        <v>23</v>
      </c>
      <c r="F15827" s="8" t="str">
        <f ca="1">IFERROR(__xludf.DUMMYFUNCTION("IF
(
C15828=""фізична особа""
,
VLOOKUP(D15828,IMPORTRANGE(""https://docs.google.com/spreadsheets/d/14Bd19lYaqBhU8_DElYkX7l4wRkHqqCUFNJY4AfY3kHU/edit?usp=sharing  #gid=0"",""фіз особи new!relations_name""),6,FALSE)
,
(IF
(
C15828=""юридична особа""
,
VLOO"&amp;"KUP(D15828,IMPORTRANGE(""https://docs.google.com/spreadsheets/d/14Bd19lYaqBhU8_DElYkX7l4wRkHqqCUFNJY4AfY3kHU/edit?usp=sharing  #gid=0"",""фіз особи new!relations_name_uo""),7,FALSE)
,
)
))"),"БАЧУРІН Сергій Михайлович")</f>
        <v>БАЧУРІН Сергій Михайлович</v>
      </c>
      <c r="G15827" s="7" t="s">
        <v>10</v>
      </c>
      <c r="H15827" s="7">
        <v>19721</v>
      </c>
      <c r="I15827" s="8" t="str">
        <f ca="1">IFERROR(__xludf.DUMMYFUNCTION("IF
(
G15828=""фізична особа""
,
VLOOKUP(H15828,IMPORTRANGE(""https://docs.google.com/spreadsheets/d/14Bd19lYaqBhU8_DElYkX7l4wRkHqqCUFNJY4AfY3kHU/edit?usp=sharing  #gid=0"",""фіз особи new!relations_name""),6,FALSE)
,
(IF
(
G15828=""юридична особа""
,
VLOO"&amp;"KUP(H15828,IMPORTRANGE(""https://docs.google.com/spreadsheets/d/14Bd19lYaqBhU8_DElYkX7l4wRkHqqCUFNJY4AfY3kHU/edit?usp=sharing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827" s="7" t="s">
        <v>23</v>
      </c>
    </row>
    <row r="15828" spans="1:10" ht="13.2">
      <c r="A15828" s="7">
        <v>15827</v>
      </c>
      <c r="B15828" s="7">
        <v>1</v>
      </c>
      <c r="C15828" s="7" t="s">
        <v>10</v>
      </c>
      <c r="D15828" s="7">
        <v>19725</v>
      </c>
      <c r="E15828" s="7" t="s">
        <v>23</v>
      </c>
      <c r="F15828" s="8" t="str">
        <f ca="1">IFERROR(__xludf.DUMMYFUNCTION("IF
(
C15829=""фізична особа""
,
VLOOKUP(D15829,IMPORTRANGE(""https://docs.google.com/spreadsheets/d/14Bd19lYaqBhU8_DElYkX7l4wRkHqqCUFNJY4AfY3kHU/edit?usp=sharing  #gid=0"",""фіз особи new!relations_name""),6,FALSE)
,
(IF
(
C15829=""юридична особа""
,
VLOO"&amp;"KUP(D15829,IMPORTRANGE(""https://docs.google.com/spreadsheets/d/14Bd19lYaqBhU8_DElYkX7l4wRkHqqCUFNJY4AfY3kHU/edit?usp=sharing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28" s="7" t="s">
        <v>10</v>
      </c>
      <c r="H15828" s="7">
        <v>19720</v>
      </c>
      <c r="I15828" s="8" t="str">
        <f ca="1">IFERROR(__xludf.DUMMYFUNCTION("IF
(
G15829=""фізична особа""
,
VLOOKUP(H15829,IMPORTRANGE(""https://docs.google.com/spreadsheets/d/14Bd19lYaqBhU8_DElYkX7l4wRkHqqCUFNJY4AfY3kHU/edit?usp=sharing  #gid=0"",""фіз особи new!relations_name""),6,FALSE)
,
(IF
(
G15829=""юридична особа""
,
VLOO"&amp;"KUP(H15829,IMPORTRANGE(""https://docs.google.com/spreadsheets/d/14Bd19lYaqBhU8_DElYkX7l4wRkHqqCUFNJY4AfY3kHU/edit?usp=sharing  #gid=0"",""фіз особи new!relations_name_uo""),7,FALSE)
,
)
))"),"САБЕЛЬФЕЛЬД Олександра Олександрівна")</f>
        <v>САБЕЛЬФЕЛЬД Олександра Олександрівна</v>
      </c>
      <c r="J15828" s="7" t="s">
        <v>23</v>
      </c>
    </row>
    <row r="15829" spans="1:10" ht="13.2">
      <c r="A15829" s="7">
        <v>15828</v>
      </c>
      <c r="B15829" s="7">
        <v>1</v>
      </c>
      <c r="C15829" s="7" t="s">
        <v>10</v>
      </c>
      <c r="D15829" s="7">
        <v>19725</v>
      </c>
      <c r="E15829" s="7" t="s">
        <v>23</v>
      </c>
      <c r="F15829" s="8" t="str">
        <f ca="1">IFERROR(__xludf.DUMMYFUNCTION("IF
(
C15830=""фізична особа""
,
VLOOKUP(D15830,IMPORTRANGE(""https://docs.google.com/spreadsheets/d/14Bd19lYaqBhU8_DElYkX7l4wRkHqqCUFNJY4AfY3kHU/edit?usp=sharing  #gid=0"",""фіз особи new!relations_name""),6,FALSE)
,
(IF
(
C15830=""юридична особа""
,
VLOO"&amp;"KUP(D15830,IMPORTRANGE(""https://docs.google.com/spreadsheets/d/14Bd19lYaqBhU8_DElYkX7l4wRkHqqCUFNJY4AfY3kHU/edit?usp=sharing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29" s="7" t="s">
        <v>10</v>
      </c>
      <c r="H15829" s="7">
        <v>23724</v>
      </c>
      <c r="I15829" s="8" t="str">
        <f ca="1">IFERROR(__xludf.DUMMYFUNCTION("IF
(
G15830=""фізична особа""
,
VLOOKUP(H15830,IMPORTRANGE(""https://docs.google.com/spreadsheets/d/14Bd19lYaqBhU8_DElYkX7l4wRkHqqCUFNJY4AfY3kHU/edit?usp=sharing  #gid=0"",""фіз особи new!relations_name""),6,FALSE)
,
(IF
(
G15830=""юридична особа""
,
VLOO"&amp;"KUP(H15830,IMPORTRANGE(""https://docs.google.com/spreadsheets/d/14Bd19lYaqBhU8_DElYkX7l4wRkHqqCUFNJY4AfY3kHU/edit?usp=sharing  #gid=0"",""фіз особи new!relations_name_uo""),7,FALSE)
,
)
))"),"САБЕЛЬФЕЛЬД Ольга Володимирівна")</f>
        <v>САБЕЛЬФЕЛЬД Ольга Володимирівна</v>
      </c>
      <c r="J15829" s="7" t="s">
        <v>23</v>
      </c>
    </row>
    <row r="15830" spans="1:10" ht="13.2">
      <c r="A15830" s="7">
        <v>15829</v>
      </c>
      <c r="B15830" s="7">
        <v>1</v>
      </c>
      <c r="C15830" s="7" t="s">
        <v>10</v>
      </c>
      <c r="D15830" s="7">
        <v>19725</v>
      </c>
      <c r="E15830" s="7" t="s">
        <v>23</v>
      </c>
      <c r="F15830" s="8" t="str">
        <f ca="1">IFERROR(__xludf.DUMMYFUNCTION("IF
(
C15831=""фізична особа""
,
VLOOKUP(D15831,IMPORTRANGE(""https://docs.google.com/spreadsheets/d/14Bd19lYaqBhU8_DElYkX7l4wRkHqqCUFNJY4AfY3kHU/edit?usp=sharing  #gid=0"",""фіз особи new!relations_name""),6,FALSE)
,
(IF
(
C15831=""юридична особа""
,
VLOO"&amp;"KUP(D15831,IMPORTRANGE(""https://docs.google.com/spreadsheets/d/14Bd19lYaqBhU8_DElYkX7l4wRkHqqCUFNJY4AfY3kHU/edit?usp=sharing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30" s="7" t="s">
        <v>10</v>
      </c>
      <c r="H15830" s="7">
        <v>19719</v>
      </c>
      <c r="I15830" s="8" t="str">
        <f ca="1">IFERROR(__xludf.DUMMYFUNCTION("IF
(
G15831=""фізична особа""
,
VLOOKUP(H15831,IMPORTRANGE(""https://docs.google.com/spreadsheets/d/14Bd19lYaqBhU8_DElYkX7l4wRkHqqCUFNJY4AfY3kHU/edit?usp=sharing  #gid=0"",""фіз особи new!relations_name""),6,FALSE)
,
(IF
(
G15831=""юридична особа""
,
VLOO"&amp;"KUP(H15831,IMPORTRANGE(""https://docs.google.com/spreadsheets/d/14Bd19lYaqBhU8_DElYkX7l4wRkHqqCUFNJY4AfY3kHU/edit?usp=sharing  #gid=0"",""фіз особи new!relations_name_uo""),7,FALSE)
,
)
))"),"САБЕЛЬФЕЛЬД Олександр Володимирович")</f>
        <v>САБЕЛЬФЕЛЬД Олександр Володимирович</v>
      </c>
      <c r="J15830" s="7" t="s">
        <v>23</v>
      </c>
    </row>
    <row r="15831" spans="1:10" ht="13.2">
      <c r="A15831" s="7">
        <v>15830</v>
      </c>
      <c r="B15831" s="7">
        <v>1</v>
      </c>
      <c r="C15831" s="7" t="s">
        <v>10</v>
      </c>
      <c r="D15831" s="7">
        <v>19725</v>
      </c>
      <c r="E15831" s="7" t="s">
        <v>23</v>
      </c>
      <c r="F15831" s="8" t="str">
        <f ca="1">IFERROR(__xludf.DUMMYFUNCTION("IF
(
C15832=""фізична особа""
,
VLOOKUP(D15832,IMPORTRANGE(""https://docs.google.com/spreadsheets/d/14Bd19lYaqBhU8_DElYkX7l4wRkHqqCUFNJY4AfY3kHU/edit?usp=sharing  #gid=0"",""фіз особи new!relations_name""),6,FALSE)
,
(IF
(
C15832=""юридична особа""
,
VLOO"&amp;"KUP(D15832,IMPORTRANGE(""https://docs.google.com/spreadsheets/d/14Bd19lYaqBhU8_DElYkX7l4wRkHqqCUFNJY4AfY3kHU/edit?usp=sharing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31" s="7" t="s">
        <v>10</v>
      </c>
      <c r="H15831" s="7">
        <v>19721</v>
      </c>
      <c r="I15831" s="8" t="str">
        <f ca="1">IFERROR(__xludf.DUMMYFUNCTION("IF
(
G15832=""фізична особа""
,
VLOOKUP(H15832,IMPORTRANGE(""https://docs.google.com/spreadsheets/d/14Bd19lYaqBhU8_DElYkX7l4wRkHqqCUFNJY4AfY3kHU/edit?usp=sharing  #gid=0"",""фіз особи new!relations_name""),6,FALSE)
,
(IF
(
G15832=""юридична особа""
,
VLOO"&amp;"KUP(H15832,IMPORTRANGE(""https://docs.google.com/spreadsheets/d/14Bd19lYaqBhU8_DElYkX7l4wRkHqqCUFNJY4AfY3kHU/edit?usp=sharing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831" s="7" t="s">
        <v>23</v>
      </c>
    </row>
    <row r="15832" spans="1:10" ht="13.2">
      <c r="A15832" s="7">
        <v>15831</v>
      </c>
      <c r="B15832" s="7">
        <v>1</v>
      </c>
      <c r="C15832" s="7" t="s">
        <v>10</v>
      </c>
      <c r="D15832" s="7">
        <v>19725</v>
      </c>
      <c r="E15832" s="7" t="s">
        <v>23</v>
      </c>
      <c r="F15832" s="8" t="str">
        <f ca="1">IFERROR(__xludf.DUMMYFUNCTION("IF
(
C15833=""фізична особа""
,
VLOOKUP(D15833,IMPORTRANGE(""https://docs.google.com/spreadsheets/d/14Bd19lYaqBhU8_DElYkX7l4wRkHqqCUFNJY4AfY3kHU/edit?usp=sharing  #gid=0"",""фіз особи new!relations_name""),6,FALSE)
,
(IF
(
C15833=""юридична особа""
,
VLOO"&amp;"KUP(D15833,IMPORTRANGE(""https://docs.google.com/spreadsheets/d/14Bd19lYaqBhU8_DElYkX7l4wRkHqqCUFNJY4AfY3kHU/edit?usp=sharing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32" s="7" t="s">
        <v>10</v>
      </c>
      <c r="H15832" s="7">
        <v>19722</v>
      </c>
      <c r="I15832" s="8" t="str">
        <f ca="1">IFERROR(__xludf.DUMMYFUNCTION("IF
(
G15833=""фізична особа""
,
VLOOKUP(H15833,IMPORTRANGE(""https://docs.google.com/spreadsheets/d/14Bd19lYaqBhU8_DElYkX7l4wRkHqqCUFNJY4AfY3kHU/edit?usp=sharing  #gid=0"",""фіз особи new!relations_name""),6,FALSE)
,
(IF
(
G15833=""юридична особа""
,
VLOO"&amp;"KUP(H15833,IMPORTRANGE(""https://docs.google.com/spreadsheets/d/14Bd19lYaqBhU8_DElYkX7l4wRkHqqCUFNJY4AfY3kHU/edit?usp=sharing  #gid=0"",""фіз особи new!relations_name_uo""),7,FALSE)
,
)
))"),"ЛОСКУТОВ Дмитро Рудольфович")</f>
        <v>ЛОСКУТОВ Дмитро Рудольфович</v>
      </c>
      <c r="J15832" s="7" t="s">
        <v>23</v>
      </c>
    </row>
    <row r="15833" spans="1:10" ht="13.2">
      <c r="A15833" s="7">
        <v>15832</v>
      </c>
      <c r="B15833" s="7">
        <v>1</v>
      </c>
      <c r="C15833" s="7" t="s">
        <v>10</v>
      </c>
      <c r="D15833" s="7">
        <v>19725</v>
      </c>
      <c r="E15833" s="7" t="s">
        <v>23</v>
      </c>
      <c r="F15833" s="8" t="str">
        <f ca="1">IFERROR(__xludf.DUMMYFUNCTION("IF
(
C15834=""фізична особа""
,
VLOOKUP(D15834,IMPORTRANGE(""https://docs.google.com/spreadsheets/d/14Bd19lYaqBhU8_DElYkX7l4wRkHqqCUFNJY4AfY3kHU/edit?usp=sharing  #gid=0"",""фіз особи new!relations_name""),6,FALSE)
,
(IF
(
C15834=""юридична особа""
,
VLOO"&amp;"KUP(D15834,IMPORTRANGE(""https://docs.google.com/spreadsheets/d/14Bd19lYaqBhU8_DElYkX7l4wRkHqqCUFNJY4AfY3kHU/edit?usp=sharing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G15833" s="7" t="s">
        <v>10</v>
      </c>
      <c r="H15833" s="7">
        <v>19723</v>
      </c>
      <c r="I15833" s="8" t="str">
        <f ca="1">IFERROR(__xludf.DUMMYFUNCTION("IF
(
G15834=""фізична особа""
,
VLOOKUP(H15834,IMPORTRANGE(""https://docs.google.com/spreadsheets/d/14Bd19lYaqBhU8_DElYkX7l4wRkHqqCUFNJY4AfY3kHU/edit?usp=sharing  #gid=0"",""фіз особи new!relations_name""),6,FALSE)
,
(IF
(
G15834=""юридична особа""
,
VLOO"&amp;"KUP(H15834,IMPORTRANGE(""https://docs.google.com/spreadsheets/d/14Bd19lYaqBhU8_DElYkX7l4wRkHqqCUFNJY4AfY3kHU/edit?usp=sharing  #gid=0"",""фіз особи new!relations_name_uo""),7,FALSE)
,
)
))"),"СИБІРЯКОВ Володимир Миколайович")</f>
        <v>СИБІРЯКОВ Володимир Миколайович</v>
      </c>
      <c r="J15833" s="7" t="s">
        <v>23</v>
      </c>
    </row>
    <row r="15834" spans="1:10" ht="13.2">
      <c r="A15834" s="7">
        <v>15833</v>
      </c>
      <c r="B15834" s="7">
        <v>1</v>
      </c>
      <c r="C15834" s="7" t="s">
        <v>10</v>
      </c>
      <c r="D15834" s="7">
        <v>19726</v>
      </c>
      <c r="E15834" s="7" t="s">
        <v>23</v>
      </c>
      <c r="F15834" s="8" t="str">
        <f ca="1">IFERROR(__xludf.DUMMYFUNCTION("IF
(
C15835=""фізична особа""
,
VLOOKUP(D15835,IMPORTRANGE(""https://docs.google.com/spreadsheets/d/14Bd19lYaqBhU8_DElYkX7l4wRkHqqCUFNJY4AfY3kHU/edit?usp=sharing  #gid=0"",""фіз особи new!relations_name""),6,FALSE)
,
(IF
(
C15835=""юридична особа""
,
VLOO"&amp;"KUP(D15835,IMPORTRANGE(""https://docs.google.com/spreadsheets/d/14Bd19lYaqBhU8_DElYkX7l4wRkHqqCUFNJY4AfY3kHU/edit?usp=sharing  #gid=0"",""фіз особи new!relations_name_uo""),7,FALSE)
,
)
))"),"ЧАСОВНІКОВ Сергій Миколайович")</f>
        <v>ЧАСОВНІКОВ Сергій Миколайович</v>
      </c>
      <c r="G15834" s="7" t="s">
        <v>10</v>
      </c>
      <c r="H15834" s="7">
        <v>19721</v>
      </c>
      <c r="I15834" s="8" t="str">
        <f ca="1">IFERROR(__xludf.DUMMYFUNCTION("IF
(
G15835=""фізична особа""
,
VLOOKUP(H15835,IMPORTRANGE(""https://docs.google.com/spreadsheets/d/14Bd19lYaqBhU8_DElYkX7l4wRkHqqCUFNJY4AfY3kHU/edit?usp=sharing  #gid=0"",""фіз особи new!relations_name""),6,FALSE)
,
(IF
(
G15835=""юридична особа""
,
VLOO"&amp;"KUP(H15835,IMPORTRANGE(""https://docs.google.com/spreadsheets/d/14Bd19lYaqBhU8_DElYkX7l4wRkHqqCUFNJY4AfY3kHU/edit?usp=sharing  #gid=0"",""фіз особи new!relations_name_uo""),7,FALSE)
,
)
))"),"САБЕЛЬФЕЛЬД Олексій Олександрович")</f>
        <v>САБЕЛЬФЕЛЬД Олексій Олександрович</v>
      </c>
      <c r="J15834" s="7" t="s">
        <v>23</v>
      </c>
    </row>
    <row r="15835" spans="1:10" ht="13.2">
      <c r="A15835" s="7">
        <v>15834</v>
      </c>
      <c r="B15835" s="7">
        <v>1</v>
      </c>
      <c r="C15835" s="7" t="s">
        <v>10</v>
      </c>
      <c r="D15835" s="7">
        <v>19727</v>
      </c>
      <c r="E15835" s="7" t="s">
        <v>23</v>
      </c>
      <c r="F15835" s="8" t="str">
        <f ca="1">IFERROR(__xludf.DUMMYFUNCTION("IF
(
C15836=""фізична особа""
,
VLOOKUP(D15836,IMPORTRANGE(""https://docs.google.com/spreadsheets/d/14Bd19lYaqBhU8_DElYkX7l4wRkHqqCUFNJY4AfY3kHU/edit?usp=sharing  #gid=0"",""фіз особи new!relations_name""),6,FALSE)
,
(IF
(
C15836=""юридична особа""
,
VLOO"&amp;"KUP(D15836,IMPORTRANGE(""https://docs.google.com/spreadsheets/d/14Bd19lYaqBhU8_DElYkX7l4wRkHqqCUFNJY4AfY3kHU/edit?usp=sharing  #gid=0"",""фіз особи new!relations_name_uo""),7,FALSE)
,
)
))"),"ШИГАУТДІНОВА Світлана Олександрівна")</f>
        <v>ШИГАУТДІНОВА Світлана Олександрівна</v>
      </c>
      <c r="G15835" s="7" t="s">
        <v>10</v>
      </c>
      <c r="H15835" s="7">
        <v>19725</v>
      </c>
      <c r="I15835" s="8" t="str">
        <f ca="1">IFERROR(__xludf.DUMMYFUNCTION("IF
(
G15836=""фізична особа""
,
VLOOKUP(H15836,IMPORTRANGE(""https://docs.google.com/spreadsheets/d/14Bd19lYaqBhU8_DElYkX7l4wRkHqqCUFNJY4AfY3kHU/edit?usp=sharing  #gid=0"",""фіз особи new!relations_name""),6,FALSE)
,
(IF
(
G15836=""юридична особа""
,
VLOO"&amp;"KUP(H15836,IMPORTRANGE(""https://docs.google.com/spreadsheets/d/14Bd19lYaqBhU8_DElYkX7l4wRkHqqCUFNJY4AfY3kHU/edit?usp=sharing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J15835" s="7" t="s">
        <v>23</v>
      </c>
    </row>
    <row r="15836" spans="1:10" ht="13.2">
      <c r="A15836" s="7">
        <v>15835</v>
      </c>
      <c r="B15836" s="7">
        <v>1</v>
      </c>
      <c r="C15836" s="7" t="s">
        <v>10</v>
      </c>
      <c r="D15836" s="7">
        <v>19728</v>
      </c>
      <c r="E15836" s="7" t="s">
        <v>23</v>
      </c>
      <c r="F15836" s="8" t="str">
        <f ca="1">IFERROR(__xludf.DUMMYFUNCTION("IF
(
C15837=""фізична особа""
,
VLOOKUP(D15837,IMPORTRANGE(""https://docs.google.com/spreadsheets/d/14Bd19lYaqBhU8_DElYkX7l4wRkHqqCUFNJY4AfY3kHU/edit?usp=sharing  #gid=0"",""фіз особи new!relations_name""),6,FALSE)
,
(IF
(
C15837=""юридична особа""
,
VLOO"&amp;"KUP(D15837,IMPORTRANGE(""https://docs.google.com/spreadsheets/d/14Bd19lYaqBhU8_DElYkX7l4wRkHqqCUFNJY4AfY3kHU/edit?usp=sharing  #gid=0"",""фіз особи new!relations_name_uo""),7,FALSE)
,
)
))"),"ГАЛАНОВА Світлана Сергіївна")</f>
        <v>ГАЛАНОВА Світлана Сергіївна</v>
      </c>
      <c r="G15836" s="7" t="s">
        <v>10</v>
      </c>
      <c r="H15836" s="7">
        <v>19725</v>
      </c>
      <c r="I15836" s="8" t="str">
        <f ca="1">IFERROR(__xludf.DUMMYFUNCTION("IF
(
G15837=""фізична особа""
,
VLOOKUP(H15837,IMPORTRANGE(""https://docs.google.com/spreadsheets/d/14Bd19lYaqBhU8_DElYkX7l4wRkHqqCUFNJY4AfY3kHU/edit?usp=sharing  #gid=0"",""фіз особи new!relations_name""),6,FALSE)
,
(IF
(
G15837=""юридична особа""
,
VLOO"&amp;"KUP(H15837,IMPORTRANGE(""https://docs.google.com/spreadsheets/d/14Bd19lYaqBhU8_DElYkX7l4wRkHqqCUFNJY4AfY3kHU/edit?usp=sharing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J15836" s="7" t="s">
        <v>23</v>
      </c>
    </row>
    <row r="15837" spans="1:10" ht="13.2">
      <c r="A15837" s="7">
        <v>15836</v>
      </c>
      <c r="B15837" s="7">
        <v>1</v>
      </c>
      <c r="C15837" s="7" t="s">
        <v>10</v>
      </c>
      <c r="D15837" s="7">
        <v>19729</v>
      </c>
      <c r="E15837" s="7" t="s">
        <v>23</v>
      </c>
      <c r="F15837" s="8" t="str">
        <f ca="1">IFERROR(__xludf.DUMMYFUNCTION("IF
(
C15838=""фізична особа""
,
VLOOKUP(D15838,IMPORTRANGE(""https://docs.google.com/spreadsheets/d/14Bd19lYaqBhU8_DElYkX7l4wRkHqqCUFNJY4AfY3kHU/edit?usp=sharing  #gid=0"",""фіз особи new!relations_name""),6,FALSE)
,
(IF
(
C15838=""юридична особа""
,
VLOO"&amp;"KUP(D15838,IMPORTRANGE(""https://docs.google.com/spreadsheets/d/14Bd19lYaqBhU8_DElYkX7l4wRkHqqCUFNJY4AfY3kHU/edit?usp=sharing  #gid=0"",""фіз особи new!relations_name_uo""),7,FALSE)
,
)
))"),"КАЛІНІНА Діна Володимирівна")</f>
        <v>КАЛІНІНА Діна Володимирівна</v>
      </c>
      <c r="G15837" s="7" t="s">
        <v>10</v>
      </c>
      <c r="H15837" s="7">
        <v>19725</v>
      </c>
      <c r="I15837" s="8" t="str">
        <f ca="1">IFERROR(__xludf.DUMMYFUNCTION("IF
(
G15838=""фізична особа""
,
VLOOKUP(H15838,IMPORTRANGE(""https://docs.google.com/spreadsheets/d/14Bd19lYaqBhU8_DElYkX7l4wRkHqqCUFNJY4AfY3kHU/edit?usp=sharing  #gid=0"",""фіз особи new!relations_name""),6,FALSE)
,
(IF
(
G15838=""юридична особа""
,
VLOO"&amp;"KUP(H15838,IMPORTRANGE(""https://docs.google.com/spreadsheets/d/14Bd19lYaqBhU8_DElYkX7l4wRkHqqCUFNJY4AfY3kHU/edit?usp=sharing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J15837" s="7" t="s">
        <v>23</v>
      </c>
    </row>
    <row r="15838" spans="1:10" ht="13.2">
      <c r="A15838" s="7">
        <v>15837</v>
      </c>
      <c r="B15838" s="7">
        <v>1</v>
      </c>
      <c r="C15838" s="7" t="s">
        <v>10</v>
      </c>
      <c r="D15838" s="7">
        <v>19730</v>
      </c>
      <c r="E15838" s="7" t="s">
        <v>23</v>
      </c>
      <c r="F15838" s="8" t="str">
        <f ca="1">IFERROR(__xludf.DUMMYFUNCTION("IF
(
C15839=""фізична особа""
,
VLOOKUP(D15839,IMPORTRANGE(""https://docs.google.com/spreadsheets/d/14Bd19lYaqBhU8_DElYkX7l4wRkHqqCUFNJY4AfY3kHU/edit?usp=sharing  #gid=0"",""фіз особи new!relations_name""),6,FALSE)
,
(IF
(
C15839=""юридична особа""
,
VLOO"&amp;"KUP(D15839,IMPORTRANGE(""https://docs.google.com/spreadsheets/d/14Bd19lYaqBhU8_DElYkX7l4wRkHqqCUFNJY4AfY3kHU/edit?usp=sharing  #gid=0"",""фіз особи new!relations_name_uo""),7,FALSE)
,
)
))"),"ШАРАПОВ Андрій Петрович")</f>
        <v>ШАРАПОВ Андрій Петрович</v>
      </c>
      <c r="G15838" s="7" t="s">
        <v>10</v>
      </c>
      <c r="H15838" s="7">
        <v>19725</v>
      </c>
      <c r="I15838" s="8" t="str">
        <f ca="1">IFERROR(__xludf.DUMMYFUNCTION("IF
(
G15839=""фізична особа""
,
VLOOKUP(H15839,IMPORTRANGE(""https://docs.google.com/spreadsheets/d/14Bd19lYaqBhU8_DElYkX7l4wRkHqqCUFNJY4AfY3kHU/edit?usp=sharing  #gid=0"",""фіз особи new!relations_name""),6,FALSE)
,
(IF
(
G15839=""юридична особа""
,
VLOO"&amp;"KUP(H15839,IMPORTRANGE(""https://docs.google.com/spreadsheets/d/14Bd19lYaqBhU8_DElYkX7l4wRkHqqCUFNJY4AfY3kHU/edit?usp=sharing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J15838" s="7" t="s">
        <v>23</v>
      </c>
    </row>
    <row r="15839" spans="1:10" ht="13.2">
      <c r="A15839" s="7">
        <v>15838</v>
      </c>
      <c r="B15839" s="7">
        <v>1</v>
      </c>
      <c r="C15839" s="7" t="s">
        <v>10</v>
      </c>
      <c r="D15839" s="7">
        <v>19731</v>
      </c>
      <c r="E15839" s="7" t="s">
        <v>23</v>
      </c>
      <c r="F15839" s="8" t="str">
        <f ca="1">IFERROR(__xludf.DUMMYFUNCTION("IF
(
C15840=""фізична особа""
,
VLOOKUP(D15840,IMPORTRANGE(""https://docs.google.com/spreadsheets/d/14Bd19lYaqBhU8_DElYkX7l4wRkHqqCUFNJY4AfY3kHU/edit?usp=sharing  #gid=0"",""фіз особи new!relations_name""),6,FALSE)
,
(IF
(
C15840=""юридична особа""
,
VLOO"&amp;"KUP(D15840,IMPORTRANGE(""https://docs.google.com/spreadsheets/d/14Bd19lYaqBhU8_DElYkX7l4wRkHqqCUFNJY4AfY3kHU/edit?usp=sharing  #gid=0"",""фіз особи new!relations_name_uo""),7,FALSE)
,
)
))"),"РИЖОВА Ірина Анатоліївна")</f>
        <v>РИЖОВА Ірина Анатоліївна</v>
      </c>
      <c r="G15839" s="7" t="s">
        <v>10</v>
      </c>
      <c r="H15839" s="7">
        <v>19725</v>
      </c>
      <c r="I15839" s="8" t="str">
        <f ca="1">IFERROR(__xludf.DUMMYFUNCTION("IF
(
G15840=""фізична особа""
,
VLOOKUP(H15840,IMPORTRANGE(""https://docs.google.com/spreadsheets/d/14Bd19lYaqBhU8_DElYkX7l4wRkHqqCUFNJY4AfY3kHU/edit?usp=sharing  #gid=0"",""фіз особи new!relations_name""),6,FALSE)
,
(IF
(
G15840=""юридична особа""
,
VLOO"&amp;"KUP(H15840,IMPORTRANGE(""https://docs.google.com/spreadsheets/d/14Bd19lYaqBhU8_DElYkX7l4wRkHqqCUFNJY4AfY3kHU/edit?usp=sharing  #gid=0"",""фіз особи new!relations_name_uo""),7,FALSE)
,
)
))"),"ПОПОВ Сергій Борисович")</f>
        <v>ПОПОВ Сергій Борисович</v>
      </c>
      <c r="J15839" s="7" t="s">
        <v>23</v>
      </c>
    </row>
    <row r="15840" spans="1:10" ht="13.2">
      <c r="A15840" s="7">
        <v>15839</v>
      </c>
      <c r="B15840" s="7">
        <v>1</v>
      </c>
      <c r="C15840" s="7" t="s">
        <v>10</v>
      </c>
      <c r="D15840" s="7">
        <v>19732</v>
      </c>
      <c r="E15840" s="7" t="s">
        <v>12</v>
      </c>
      <c r="F15840" s="8" t="str">
        <f ca="1">IFERROR(__xludf.DUMMYFUNCTION("IF
(
C15841=""фізична особа""
,
VLOOKUP(D15841,IMPORTRANGE(""https://docs.google.com/spreadsheets/d/14Bd19lYaqBhU8_DElYkX7l4wRkHqqCUFNJY4AfY3kHU/edit?usp=sharing  #gid=0"",""фіз особи new!relations_name""),6,FALSE)
,
(IF
(
C15841=""юридична особа""
,
VLOO"&amp;"KUP(D15841,IMPORTRANGE(""https://docs.google.com/spreadsheets/d/14Bd19lYaqBhU8_DElYkX7l4wRkHqqCUFNJY4AfY3kHU/edit?usp=sharing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G15840" s="7" t="s">
        <v>10</v>
      </c>
      <c r="H15840" s="7">
        <v>19733</v>
      </c>
      <c r="I15840" s="8" t="str">
        <f ca="1">IFERROR(__xludf.DUMMYFUNCTION("IF
(
G15841=""фізична особа""
,
VLOOKUP(H15841,IMPORTRANGE(""https://docs.google.com/spreadsheets/d/14Bd19lYaqBhU8_DElYkX7l4wRkHqqCUFNJY4AfY3kHU/edit?usp=sharing  #gid=0"",""фіз особи new!relations_name""),6,FALSE)
,
(IF
(
G15841=""юридична особа""
,
VLOO"&amp;"KUP(H15841,IMPORTRANGE(""https://docs.google.com/spreadsheets/d/14Bd19lYaqBhU8_DElYkX7l4wRkHqqCUFNJY4AfY3kHU/edit?usp=sharing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840" s="7" t="s">
        <v>17</v>
      </c>
    </row>
    <row r="15841" spans="1:10" ht="13.2">
      <c r="A15841" s="7">
        <v>15840</v>
      </c>
      <c r="B15841" s="7">
        <v>1</v>
      </c>
      <c r="C15841" s="7" t="s">
        <v>10</v>
      </c>
      <c r="D15841" s="7">
        <v>19732</v>
      </c>
      <c r="E15841" s="7" t="s">
        <v>23</v>
      </c>
      <c r="F15841" s="8" t="str">
        <f ca="1">IFERROR(__xludf.DUMMYFUNCTION("IF
(
C15842=""фізична особа""
,
VLOOKUP(D15842,IMPORTRANGE(""https://docs.google.com/spreadsheets/d/14Bd19lYaqBhU8_DElYkX7l4wRkHqqCUFNJY4AfY3kHU/edit?usp=sharing  #gid=0"",""фіз особи new!relations_name""),6,FALSE)
,
(IF
(
C15842=""юридична особа""
,
VLOO"&amp;"KUP(D15842,IMPORTRANGE(""https://docs.google.com/spreadsheets/d/14Bd19lYaqBhU8_DElYkX7l4wRkHqqCUFNJY4AfY3kHU/edit?usp=sharing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G15841" s="7" t="s">
        <v>10</v>
      </c>
      <c r="H15841" s="7">
        <v>19734</v>
      </c>
      <c r="I15841" s="8" t="str">
        <f ca="1">IFERROR(__xludf.DUMMYFUNCTION("IF
(
G15842=""фізична особа""
,
VLOOKUP(H15842,IMPORTRANGE(""https://docs.google.com/spreadsheets/d/14Bd19lYaqBhU8_DElYkX7l4wRkHqqCUFNJY4AfY3kHU/edit?usp=sharing  #gid=0"",""фіз особи new!relations_name""),6,FALSE)
,
(IF
(
G15842=""юридична особа""
,
VLOO"&amp;"KUP(H15842,IMPORTRANGE(""https://docs.google.com/spreadsheets/d/14Bd19lYaqBhU8_DElYkX7l4wRkHqqCUFNJY4AfY3kHU/edit?usp=sharing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J15841" s="7" t="s">
        <v>23</v>
      </c>
    </row>
    <row r="15842" spans="1:10" ht="13.2">
      <c r="A15842" s="7">
        <v>15841</v>
      </c>
      <c r="B15842" s="7">
        <v>1</v>
      </c>
      <c r="C15842" s="7" t="s">
        <v>10</v>
      </c>
      <c r="D15842" s="7">
        <v>19732</v>
      </c>
      <c r="E15842" s="7" t="s">
        <v>23</v>
      </c>
      <c r="F15842" s="8" t="str">
        <f ca="1">IFERROR(__xludf.DUMMYFUNCTION("IF
(
C15843=""фізична особа""
,
VLOOKUP(D15843,IMPORTRANGE(""https://docs.google.com/spreadsheets/d/14Bd19lYaqBhU8_DElYkX7l4wRkHqqCUFNJY4AfY3kHU/edit?usp=sharing  #gid=0"",""фіз особи new!relations_name""),6,FALSE)
,
(IF
(
C15843=""юридична особа""
,
VLOO"&amp;"KUP(D15843,IMPORTRANGE(""https://docs.google.com/spreadsheets/d/14Bd19lYaqBhU8_DElYkX7l4wRkHqqCUFNJY4AfY3kHU/edit?usp=sharing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G15842" s="7" t="s">
        <v>10</v>
      </c>
      <c r="H15842" s="7">
        <v>19735</v>
      </c>
      <c r="I15842" s="8" t="str">
        <f ca="1">IFERROR(__xludf.DUMMYFUNCTION("IF
(
G15843=""фізична особа""
,
VLOOKUP(H15843,IMPORTRANGE(""https://docs.google.com/spreadsheets/d/14Bd19lYaqBhU8_DElYkX7l4wRkHqqCUFNJY4AfY3kHU/edit?usp=sharing  #gid=0"",""фіз особи new!relations_name""),6,FALSE)
,
(IF
(
G15843=""юридична особа""
,
VLOO"&amp;"KUP(H15843,IMPORTRANGE(""https://docs.google.com/spreadsheets/d/14Bd19lYaqBhU8_DElYkX7l4wRkHqqCUFNJY4AfY3kHU/edit?usp=sharing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J15842" s="7" t="s">
        <v>23</v>
      </c>
    </row>
    <row r="15843" spans="1:10" ht="13.2">
      <c r="A15843" s="7">
        <v>15842</v>
      </c>
      <c r="B15843" s="7">
        <v>1</v>
      </c>
      <c r="C15843" s="7" t="s">
        <v>10</v>
      </c>
      <c r="D15843" s="7">
        <v>19733</v>
      </c>
      <c r="E15843" s="7" t="s">
        <v>17</v>
      </c>
      <c r="F15843" s="8" t="str">
        <f ca="1">IFERROR(__xludf.DUMMYFUNCTION("IF
(
C15844=""фізична особа""
,
VLOOKUP(D15844,IMPORTRANGE(""https://docs.google.com/spreadsheets/d/14Bd19lYaqBhU8_DElYkX7l4wRkHqqCUFNJY4AfY3kHU/edit?usp=sharing  #gid=0"",""фіз особи new!relations_name""),6,FALSE)
,
(IF
(
C15844=""юридична особа""
,
VLOO"&amp;"KUP(D15844,IMPORTRANGE(""https://docs.google.com/spreadsheets/d/14Bd19lYaqBhU8_DElYkX7l4wRkHqqCUFNJY4AfY3kHU/edit?usp=sharing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3" s="7" t="s">
        <v>10</v>
      </c>
      <c r="H15843" s="7">
        <v>19732</v>
      </c>
      <c r="I15843" s="8" t="str">
        <f ca="1">IFERROR(__xludf.DUMMYFUNCTION("IF
(
G15844=""фізична особа""
,
VLOOKUP(H15844,IMPORTRANGE(""https://docs.google.com/spreadsheets/d/14Bd19lYaqBhU8_DElYkX7l4wRkHqqCUFNJY4AfY3kHU/edit?usp=sharing  #gid=0"",""фіз особи new!relations_name""),6,FALSE)
,
(IF
(
G15844=""юридична особа""
,
VLOO"&amp;"KUP(H15844,IMPORTRANGE(""https://docs.google.com/spreadsheets/d/14Bd19lYaqBhU8_DElYkX7l4wRkHqqCUFNJY4AfY3kHU/edit?usp=sharing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J15843" s="7" t="s">
        <v>12</v>
      </c>
    </row>
    <row r="15844" spans="1:10" ht="13.2">
      <c r="A15844" s="7">
        <v>15843</v>
      </c>
      <c r="B15844" s="7">
        <v>1</v>
      </c>
      <c r="C15844" s="7" t="s">
        <v>10</v>
      </c>
      <c r="D15844" s="7">
        <v>19733</v>
      </c>
      <c r="E15844" s="7" t="s">
        <v>23</v>
      </c>
      <c r="F15844" s="8" t="str">
        <f ca="1">IFERROR(__xludf.DUMMYFUNCTION("IF
(
C15845=""фізична особа""
,
VLOOKUP(D15845,IMPORTRANGE(""https://docs.google.com/spreadsheets/d/14Bd19lYaqBhU8_DElYkX7l4wRkHqqCUFNJY4AfY3kHU/edit?usp=sharing  #gid=0"",""фіз особи new!relations_name""),6,FALSE)
,
(IF
(
C15845=""юридична особа""
,
VLOO"&amp;"KUP(D15845,IMPORTRANGE(""https://docs.google.com/spreadsheets/d/14Bd19lYaqBhU8_DElYkX7l4wRkHqqCUFNJY4AfY3kHU/edit?usp=sharing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4" s="7" t="s">
        <v>10</v>
      </c>
      <c r="H15844" s="7">
        <v>0</v>
      </c>
      <c r="I15844" s="8" t="str">
        <f ca="1">IFERROR(__xludf.DUMMYFUNCTION("IF
(
G15845=""фізична особа""
,
VLOOKUP(H15845,IMPORTRANGE(""https://docs.google.com/spreadsheets/d/14Bd19lYaqBhU8_DElYkX7l4wRkHqqCUFNJY4AfY3kHU/edit?usp=sharing  #gid=0"",""фіз особи new!relations_name""),6,FALSE)
,
(IF
(
G15845=""юридична особа""
,
VLOO"&amp;"KUP(H15845,IMPORTRANGE(""https://docs.google.com/spreadsheets/d/14Bd19lYaqBhU8_DElYkX7l4wRkHqqCUFNJY4AfY3kHU/edit?usp=sharing  #gid=0"",""фіз особи new!relations_name_uo""),7,FALSE)
,
)
))"),"#N/A")</f>
        <v>#N/A</v>
      </c>
      <c r="J15844" s="7" t="s">
        <v>23</v>
      </c>
    </row>
    <row r="15845" spans="1:10" ht="13.2">
      <c r="A15845" s="7">
        <v>15844</v>
      </c>
      <c r="B15845" s="7">
        <v>1</v>
      </c>
      <c r="C15845" s="7" t="s">
        <v>10</v>
      </c>
      <c r="D15845" s="7">
        <v>19733</v>
      </c>
      <c r="E15845" s="7" t="s">
        <v>23</v>
      </c>
      <c r="F15845" s="8" t="str">
        <f ca="1">IFERROR(__xludf.DUMMYFUNCTION("IF
(
C15846=""фізична особа""
,
VLOOKUP(D15846,IMPORTRANGE(""https://docs.google.com/spreadsheets/d/14Bd19lYaqBhU8_DElYkX7l4wRkHqqCUFNJY4AfY3kHU/edit?usp=sharing  #gid=0"",""фіз особи new!relations_name""),6,FALSE)
,
(IF
(
C15846=""юридична особа""
,
VLOO"&amp;"KUP(D15846,IMPORTRANGE(""https://docs.google.com/spreadsheets/d/14Bd19lYaqBhU8_DElYkX7l4wRkHqqCUFNJY4AfY3kHU/edit?usp=sharing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5" s="7" t="s">
        <v>10</v>
      </c>
      <c r="H15845" s="7">
        <v>0</v>
      </c>
      <c r="I15845" s="8" t="str">
        <f ca="1">IFERROR(__xludf.DUMMYFUNCTION("IF
(
G15846=""фізична особа""
,
VLOOKUP(H15846,IMPORTRANGE(""https://docs.google.com/spreadsheets/d/14Bd19lYaqBhU8_DElYkX7l4wRkHqqCUFNJY4AfY3kHU/edit?usp=sharing  #gid=0"",""фіз особи new!relations_name""),6,FALSE)
,
(IF
(
G15846=""юридична особа""
,
VLOO"&amp;"KUP(H15846,IMPORTRANGE(""https://docs.google.com/spreadsheets/d/14Bd19lYaqBhU8_DElYkX7l4wRkHqqCUFNJY4AfY3kHU/edit?usp=sharing  #gid=0"",""фіз особи new!relations_name_uo""),7,FALSE)
,
)
))"),"#N/A")</f>
        <v>#N/A</v>
      </c>
      <c r="J15845" s="7" t="s">
        <v>23</v>
      </c>
    </row>
    <row r="15846" spans="1:10" ht="13.2">
      <c r="A15846" s="7">
        <v>15845</v>
      </c>
      <c r="B15846" s="7">
        <v>1</v>
      </c>
      <c r="C15846" s="7" t="s">
        <v>10</v>
      </c>
      <c r="D15846" s="7">
        <v>19733</v>
      </c>
      <c r="E15846" s="7" t="s">
        <v>23</v>
      </c>
      <c r="F15846" s="8" t="str">
        <f ca="1">IFERROR(__xludf.DUMMYFUNCTION("IF
(
C15847=""фізична особа""
,
VLOOKUP(D15847,IMPORTRANGE(""https://docs.google.com/spreadsheets/d/14Bd19lYaqBhU8_DElYkX7l4wRkHqqCUFNJY4AfY3kHU/edit?usp=sharing  #gid=0"",""фіз особи new!relations_name""),6,FALSE)
,
(IF
(
C15847=""юридична особа""
,
VLOO"&amp;"KUP(D15847,IMPORTRANGE(""https://docs.google.com/spreadsheets/d/14Bd19lYaqBhU8_DElYkX7l4wRkHqqCUFNJY4AfY3kHU/edit?usp=sharing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6" s="7" t="s">
        <v>10</v>
      </c>
      <c r="H15846" s="7">
        <v>0</v>
      </c>
      <c r="I15846" s="8" t="str">
        <f ca="1">IFERROR(__xludf.DUMMYFUNCTION("IF
(
G15847=""фізична особа""
,
VLOOKUP(H15847,IMPORTRANGE(""https://docs.google.com/spreadsheets/d/14Bd19lYaqBhU8_DElYkX7l4wRkHqqCUFNJY4AfY3kHU/edit?usp=sharing  #gid=0"",""фіз особи new!relations_name""),6,FALSE)
,
(IF
(
G15847=""юридична особа""
,
VLOO"&amp;"KUP(H15847,IMPORTRANGE(""https://docs.google.com/spreadsheets/d/14Bd19lYaqBhU8_DElYkX7l4wRkHqqCUFNJY4AfY3kHU/edit?usp=sharing  #gid=0"",""фіз особи new!relations_name_uo""),7,FALSE)
,
)
))"),"#N/A")</f>
        <v>#N/A</v>
      </c>
      <c r="J15846" s="7" t="s">
        <v>23</v>
      </c>
    </row>
    <row r="15847" spans="1:10" ht="13.2">
      <c r="A15847" s="7">
        <v>15846</v>
      </c>
      <c r="B15847" s="7">
        <v>1</v>
      </c>
      <c r="C15847" s="7" t="s">
        <v>10</v>
      </c>
      <c r="D15847" s="7">
        <v>19733</v>
      </c>
      <c r="E15847" s="7" t="s">
        <v>23</v>
      </c>
      <c r="F15847" s="8" t="str">
        <f ca="1">IFERROR(__xludf.DUMMYFUNCTION("IF
(
C15848=""фізична особа""
,
VLOOKUP(D15848,IMPORTRANGE(""https://docs.google.com/spreadsheets/d/14Bd19lYaqBhU8_DElYkX7l4wRkHqqCUFNJY4AfY3kHU/edit?usp=sharing  #gid=0"",""фіз особи new!relations_name""),6,FALSE)
,
(IF
(
C15848=""юридична особа""
,
VLOO"&amp;"KUP(D15848,IMPORTRANGE(""https://docs.google.com/spreadsheets/d/14Bd19lYaqBhU8_DElYkX7l4wRkHqqCUFNJY4AfY3kHU/edit?usp=sharing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7" s="7" t="s">
        <v>10</v>
      </c>
      <c r="H15847" s="7">
        <v>19734</v>
      </c>
      <c r="I15847" s="8" t="str">
        <f ca="1">IFERROR(__xludf.DUMMYFUNCTION("IF
(
G15848=""фізична особа""
,
VLOOKUP(H15848,IMPORTRANGE(""https://docs.google.com/spreadsheets/d/14Bd19lYaqBhU8_DElYkX7l4wRkHqqCUFNJY4AfY3kHU/edit?usp=sharing  #gid=0"",""фіз особи new!relations_name""),6,FALSE)
,
(IF
(
G15848=""юридична особа""
,
VLOO"&amp;"KUP(H15848,IMPORTRANGE(""https://docs.google.com/spreadsheets/d/14Bd19lYaqBhU8_DElYkX7l4wRkHqqCUFNJY4AfY3kHU/edit?usp=sharing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J15847" s="7" t="s">
        <v>23</v>
      </c>
    </row>
    <row r="15848" spans="1:10" ht="13.2">
      <c r="A15848" s="7">
        <v>15847</v>
      </c>
      <c r="B15848" s="7">
        <v>1</v>
      </c>
      <c r="C15848" s="7" t="s">
        <v>10</v>
      </c>
      <c r="D15848" s="7">
        <v>19733</v>
      </c>
      <c r="E15848" s="7" t="s">
        <v>23</v>
      </c>
      <c r="F15848" s="8" t="str">
        <f ca="1">IFERROR(__xludf.DUMMYFUNCTION("IF
(
C15849=""фізична особа""
,
VLOOKUP(D15849,IMPORTRANGE(""https://docs.google.com/spreadsheets/d/14Bd19lYaqBhU8_DElYkX7l4wRkHqqCUFNJY4AfY3kHU/edit?usp=sharing  #gid=0"",""фіз особи new!relations_name""),6,FALSE)
,
(IF
(
C15849=""юридична особа""
,
VLOO"&amp;"KUP(D15849,IMPORTRANGE(""https://docs.google.com/spreadsheets/d/14Bd19lYaqBhU8_DElYkX7l4wRkHqqCUFNJY4AfY3kHU/edit?usp=sharing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G15848" s="7" t="s">
        <v>10</v>
      </c>
      <c r="H15848" s="7">
        <v>19735</v>
      </c>
      <c r="I15848" s="8" t="str">
        <f ca="1">IFERROR(__xludf.DUMMYFUNCTION("IF
(
G15849=""фізична особа""
,
VLOOKUP(H15849,IMPORTRANGE(""https://docs.google.com/spreadsheets/d/14Bd19lYaqBhU8_DElYkX7l4wRkHqqCUFNJY4AfY3kHU/edit?usp=sharing  #gid=0"",""фіз особи new!relations_name""),6,FALSE)
,
(IF
(
G15849=""юридична особа""
,
VLOO"&amp;"KUP(H15849,IMPORTRANGE(""https://docs.google.com/spreadsheets/d/14Bd19lYaqBhU8_DElYkX7l4wRkHqqCUFNJY4AfY3kHU/edit?usp=sharing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J15848" s="7" t="s">
        <v>23</v>
      </c>
    </row>
    <row r="15849" spans="1:10" ht="13.2">
      <c r="A15849" s="7">
        <v>15848</v>
      </c>
      <c r="B15849" s="7">
        <v>1</v>
      </c>
      <c r="C15849" s="7" t="s">
        <v>10</v>
      </c>
      <c r="D15849" s="7">
        <v>19734</v>
      </c>
      <c r="E15849" s="7" t="s">
        <v>23</v>
      </c>
      <c r="F15849" s="8" t="str">
        <f ca="1">IFERROR(__xludf.DUMMYFUNCTION("IF
(
C15850=""фізична особа""
,
VLOOKUP(D15850,IMPORTRANGE(""https://docs.google.com/spreadsheets/d/14Bd19lYaqBhU8_DElYkX7l4wRkHqqCUFNJY4AfY3kHU/edit?usp=sharing  #gid=0"",""фіз особи new!relations_name""),6,FALSE)
,
(IF
(
C15850=""юридична особа""
,
VLOO"&amp;"KUP(D15850,IMPORTRANGE(""https://docs.google.com/spreadsheets/d/14Bd19lYaqBhU8_DElYkX7l4wRkHqqCUFNJY4AfY3kHU/edit?usp=sharing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G15849" s="7" t="s">
        <v>10</v>
      </c>
      <c r="H15849" s="7">
        <v>19732</v>
      </c>
      <c r="I15849" s="8" t="str">
        <f ca="1">IFERROR(__xludf.DUMMYFUNCTION("IF
(
G15850=""фізична особа""
,
VLOOKUP(H15850,IMPORTRANGE(""https://docs.google.com/spreadsheets/d/14Bd19lYaqBhU8_DElYkX7l4wRkHqqCUFNJY4AfY3kHU/edit?usp=sharing  #gid=0"",""фіз особи new!relations_name""),6,FALSE)
,
(IF
(
G15850=""юридична особа""
,
VLOO"&amp;"KUP(H15850,IMPORTRANGE(""https://docs.google.com/spreadsheets/d/14Bd19lYaqBhU8_DElYkX7l4wRkHqqCUFNJY4AfY3kHU/edit?usp=sharing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J15849" s="7" t="s">
        <v>23</v>
      </c>
    </row>
    <row r="15850" spans="1:10" ht="13.2">
      <c r="A15850" s="7">
        <v>15849</v>
      </c>
      <c r="B15850" s="7">
        <v>1</v>
      </c>
      <c r="C15850" s="7" t="s">
        <v>10</v>
      </c>
      <c r="D15850" s="7">
        <v>19734</v>
      </c>
      <c r="E15850" s="7" t="s">
        <v>23</v>
      </c>
      <c r="F15850" s="8" t="str">
        <f ca="1">IFERROR(__xludf.DUMMYFUNCTION("IF
(
C15851=""фізична особа""
,
VLOOKUP(D15851,IMPORTRANGE(""https://docs.google.com/spreadsheets/d/14Bd19lYaqBhU8_DElYkX7l4wRkHqqCUFNJY4AfY3kHU/edit?usp=sharing  #gid=0"",""фіз особи new!relations_name""),6,FALSE)
,
(IF
(
C15851=""юридична особа""
,
VLOO"&amp;"KUP(D15851,IMPORTRANGE(""https://docs.google.com/spreadsheets/d/14Bd19lYaqBhU8_DElYkX7l4wRkHqqCUFNJY4AfY3kHU/edit?usp=sharing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G15850" s="7" t="s">
        <v>10</v>
      </c>
      <c r="H15850" s="7">
        <v>19733</v>
      </c>
      <c r="I15850" s="8" t="str">
        <f ca="1">IFERROR(__xludf.DUMMYFUNCTION("IF
(
G15851=""фізична особа""
,
VLOOKUP(H15851,IMPORTRANGE(""https://docs.google.com/spreadsheets/d/14Bd19lYaqBhU8_DElYkX7l4wRkHqqCUFNJY4AfY3kHU/edit?usp=sharing  #gid=0"",""фіз особи new!relations_name""),6,FALSE)
,
(IF
(
G15851=""юридична особа""
,
VLOO"&amp;"KUP(H15851,IMPORTRANGE(""https://docs.google.com/spreadsheets/d/14Bd19lYaqBhU8_DElYkX7l4wRkHqqCUFNJY4AfY3kHU/edit?usp=sharing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850" s="7" t="s">
        <v>23</v>
      </c>
    </row>
    <row r="15851" spans="1:10" ht="13.2">
      <c r="A15851" s="7">
        <v>15850</v>
      </c>
      <c r="B15851" s="7">
        <v>1</v>
      </c>
      <c r="C15851" s="7" t="s">
        <v>10</v>
      </c>
      <c r="D15851" s="7">
        <v>19734</v>
      </c>
      <c r="E15851" s="7" t="s">
        <v>23</v>
      </c>
      <c r="F15851" s="8" t="str">
        <f ca="1">IFERROR(__xludf.DUMMYFUNCTION("IF
(
C15852=""фізична особа""
,
VLOOKUP(D15852,IMPORTRANGE(""https://docs.google.com/spreadsheets/d/14Bd19lYaqBhU8_DElYkX7l4wRkHqqCUFNJY4AfY3kHU/edit?usp=sharing  #gid=0"",""фіз особи new!relations_name""),6,FALSE)
,
(IF
(
C15852=""юридична особа""
,
VLOO"&amp;"KUP(D15852,IMPORTRANGE(""https://docs.google.com/spreadsheets/d/14Bd19lYaqBhU8_DElYkX7l4wRkHqqCUFNJY4AfY3kHU/edit?usp=sharing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G15851" s="7" t="s">
        <v>10</v>
      </c>
      <c r="H15851" s="7">
        <v>19735</v>
      </c>
      <c r="I15851" s="8" t="str">
        <f ca="1">IFERROR(__xludf.DUMMYFUNCTION("IF
(
G15852=""фізична особа""
,
VLOOKUP(H15852,IMPORTRANGE(""https://docs.google.com/spreadsheets/d/14Bd19lYaqBhU8_DElYkX7l4wRkHqqCUFNJY4AfY3kHU/edit?usp=sharing  #gid=0"",""фіз особи new!relations_name""),6,FALSE)
,
(IF
(
G15852=""юридична особа""
,
VLOO"&amp;"KUP(H15852,IMPORTRANGE(""https://docs.google.com/spreadsheets/d/14Bd19lYaqBhU8_DElYkX7l4wRkHqqCUFNJY4AfY3kHU/edit?usp=sharing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J15851" s="7" t="s">
        <v>23</v>
      </c>
    </row>
    <row r="15852" spans="1:10" ht="13.2">
      <c r="A15852" s="7">
        <v>15851</v>
      </c>
      <c r="B15852" s="7">
        <v>1</v>
      </c>
      <c r="C15852" s="7" t="s">
        <v>10</v>
      </c>
      <c r="D15852" s="7">
        <v>19734</v>
      </c>
      <c r="E15852" s="7" t="s">
        <v>14</v>
      </c>
      <c r="F15852" s="8" t="str">
        <f ca="1">IFERROR(__xludf.DUMMYFUNCTION("IF
(
C15853=""фізична особа""
,
VLOOKUP(D15853,IMPORTRANGE(""https://docs.google.com/spreadsheets/d/14Bd19lYaqBhU8_DElYkX7l4wRkHqqCUFNJY4AfY3kHU/edit?usp=sharing  #gid=0"",""фіз особи new!relations_name""),6,FALSE)
,
(IF
(
C15853=""юридична особа""
,
VLOO"&amp;"KUP(D15853,IMPORTRANGE(""https://docs.google.com/spreadsheets/d/14Bd19lYaqBhU8_DElYkX7l4wRkHqqCUFNJY4AfY3kHU/edit?usp=sharing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G15852" s="7" t="s">
        <v>10</v>
      </c>
      <c r="H15852" s="7">
        <v>0</v>
      </c>
      <c r="I15852" s="8" t="str">
        <f ca="1">IFERROR(__xludf.DUMMYFUNCTION("IF
(
G15853=""фізична особа""
,
VLOOKUP(H15853,IMPORTRANGE(""https://docs.google.com/spreadsheets/d/14Bd19lYaqBhU8_DElYkX7l4wRkHqqCUFNJY4AfY3kHU/edit?usp=sharing  #gid=0"",""фіз особи new!relations_name""),6,FALSE)
,
(IF
(
G15853=""юридична особа""
,
VLOO"&amp;"KUP(H15853,IMPORTRANGE(""https://docs.google.com/spreadsheets/d/14Bd19lYaqBhU8_DElYkX7l4wRkHqqCUFNJY4AfY3kHU/edit?usp=sharing  #gid=0"",""фіз особи new!relations_name_uo""),7,FALSE)
,
)
))"),"#N/A")</f>
        <v>#N/A</v>
      </c>
      <c r="J15852" s="7" t="s">
        <v>15</v>
      </c>
    </row>
    <row r="15853" spans="1:10" ht="13.2">
      <c r="A15853" s="7">
        <v>15852</v>
      </c>
      <c r="B15853" s="7">
        <v>1</v>
      </c>
      <c r="C15853" s="7" t="s">
        <v>10</v>
      </c>
      <c r="D15853" s="7">
        <v>19735</v>
      </c>
      <c r="E15853" s="7" t="s">
        <v>23</v>
      </c>
      <c r="F15853" s="8" t="str">
        <f ca="1">IFERROR(__xludf.DUMMYFUNCTION("IF
(
C15854=""фізична особа""
,
VLOOKUP(D15854,IMPORTRANGE(""https://docs.google.com/spreadsheets/d/14Bd19lYaqBhU8_DElYkX7l4wRkHqqCUFNJY4AfY3kHU/edit?usp=sharing  #gid=0"",""фіз особи new!relations_name""),6,FALSE)
,
(IF
(
C15854=""юридична особа""
,
VLOO"&amp;"KUP(D15854,IMPORTRANGE(""https://docs.google.com/spreadsheets/d/14Bd19lYaqBhU8_DElYkX7l4wRkHqqCUFNJY4AfY3kHU/edit?usp=sharing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G15853" s="7" t="s">
        <v>10</v>
      </c>
      <c r="H15853" s="7">
        <v>19732</v>
      </c>
      <c r="I15853" s="8" t="str">
        <f ca="1">IFERROR(__xludf.DUMMYFUNCTION("IF
(
G15854=""фізична особа""
,
VLOOKUP(H15854,IMPORTRANGE(""https://docs.google.com/spreadsheets/d/14Bd19lYaqBhU8_DElYkX7l4wRkHqqCUFNJY4AfY3kHU/edit?usp=sharing  #gid=0"",""фіз особи new!relations_name""),6,FALSE)
,
(IF
(
G15854=""юридична особа""
,
VLOO"&amp;"KUP(H15854,IMPORTRANGE(""https://docs.google.com/spreadsheets/d/14Bd19lYaqBhU8_DElYkX7l4wRkHqqCUFNJY4AfY3kHU/edit?usp=sharing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J15853" s="7" t="s">
        <v>23</v>
      </c>
    </row>
    <row r="15854" spans="1:10" ht="13.2">
      <c r="A15854" s="7">
        <v>15853</v>
      </c>
      <c r="B15854" s="7">
        <v>1</v>
      </c>
      <c r="C15854" s="7" t="s">
        <v>10</v>
      </c>
      <c r="D15854" s="7">
        <v>19735</v>
      </c>
      <c r="E15854" s="7" t="s">
        <v>23</v>
      </c>
      <c r="F15854" s="8" t="str">
        <f ca="1">IFERROR(__xludf.DUMMYFUNCTION("IF
(
C15855=""фізична особа""
,
VLOOKUP(D15855,IMPORTRANGE(""https://docs.google.com/spreadsheets/d/14Bd19lYaqBhU8_DElYkX7l4wRkHqqCUFNJY4AfY3kHU/edit?usp=sharing  #gid=0"",""фіз особи new!relations_name""),6,FALSE)
,
(IF
(
C15855=""юридична особа""
,
VLOO"&amp;"KUP(D15855,IMPORTRANGE(""https://docs.google.com/spreadsheets/d/14Bd19lYaqBhU8_DElYkX7l4wRkHqqCUFNJY4AfY3kHU/edit?usp=sharing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G15854" s="7" t="s">
        <v>10</v>
      </c>
      <c r="H15854" s="7">
        <v>19733</v>
      </c>
      <c r="I15854" s="8" t="str">
        <f ca="1">IFERROR(__xludf.DUMMYFUNCTION("IF
(
G15855=""фізична особа""
,
VLOOKUP(H15855,IMPORTRANGE(""https://docs.google.com/spreadsheets/d/14Bd19lYaqBhU8_DElYkX7l4wRkHqqCUFNJY4AfY3kHU/edit?usp=sharing  #gid=0"",""фіз особи new!relations_name""),6,FALSE)
,
(IF
(
G15855=""юридична особа""
,
VLOO"&amp;"KUP(H15855,IMPORTRANGE(""https://docs.google.com/spreadsheets/d/14Bd19lYaqBhU8_DElYkX7l4wRkHqqCUFNJY4AfY3kHU/edit?usp=sharing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854" s="7" t="s">
        <v>23</v>
      </c>
    </row>
    <row r="15855" spans="1:10" ht="13.2">
      <c r="A15855" s="7">
        <v>15854</v>
      </c>
      <c r="B15855" s="7">
        <v>1</v>
      </c>
      <c r="C15855" s="7" t="s">
        <v>10</v>
      </c>
      <c r="D15855" s="7">
        <v>19735</v>
      </c>
      <c r="E15855" s="7" t="s">
        <v>23</v>
      </c>
      <c r="F15855" s="8" t="str">
        <f ca="1">IFERROR(__xludf.DUMMYFUNCTION("IF
(
C15856=""фізична особа""
,
VLOOKUP(D15856,IMPORTRANGE(""https://docs.google.com/spreadsheets/d/14Bd19lYaqBhU8_DElYkX7l4wRkHqqCUFNJY4AfY3kHU/edit?usp=sharing  #gid=0"",""фіз особи new!relations_name""),6,FALSE)
,
(IF
(
C15856=""юридична особа""
,
VLOO"&amp;"KUP(D15856,IMPORTRANGE(""https://docs.google.com/spreadsheets/d/14Bd19lYaqBhU8_DElYkX7l4wRkHqqCUFNJY4AfY3kHU/edit?usp=sharing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G15855" s="7" t="s">
        <v>10</v>
      </c>
      <c r="H15855" s="7">
        <v>19734</v>
      </c>
      <c r="I15855" s="8" t="str">
        <f ca="1">IFERROR(__xludf.DUMMYFUNCTION("IF
(
G15856=""фізична особа""
,
VLOOKUP(H15856,IMPORTRANGE(""https://docs.google.com/spreadsheets/d/14Bd19lYaqBhU8_DElYkX7l4wRkHqqCUFNJY4AfY3kHU/edit?usp=sharing  #gid=0"",""фіз особи new!relations_name""),6,FALSE)
,
(IF
(
G15856=""юридична особа""
,
VLOO"&amp;"KUP(H15856,IMPORTRANGE(""https://docs.google.com/spreadsheets/d/14Bd19lYaqBhU8_DElYkX7l4wRkHqqCUFNJY4AfY3kHU/edit?usp=sharing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J15855" s="7" t="s">
        <v>23</v>
      </c>
    </row>
    <row r="15856" spans="1:10" ht="13.2">
      <c r="A15856" s="7">
        <v>15855</v>
      </c>
      <c r="B15856" s="7">
        <v>1</v>
      </c>
      <c r="C15856" s="7" t="s">
        <v>10</v>
      </c>
      <c r="D15856" s="7">
        <v>19736</v>
      </c>
      <c r="E15856" s="7" t="s">
        <v>23</v>
      </c>
      <c r="F15856" s="8" t="str">
        <f ca="1">IFERROR(__xludf.DUMMYFUNCTION("IF
(
C15857=""фізична особа""
,
VLOOKUP(D15857,IMPORTRANGE(""https://docs.google.com/spreadsheets/d/14Bd19lYaqBhU8_DElYkX7l4wRkHqqCUFNJY4AfY3kHU/edit?usp=sharing  #gid=0"",""фіз особи new!relations_name""),6,FALSE)
,
(IF
(
C15857=""юридична особа""
,
VLOO"&amp;"KUP(D15857,IMPORTRANGE(""https://docs.google.com/spreadsheets/d/14Bd19lYaqBhU8_DElYkX7l4wRkHqqCUFNJY4AfY3kHU/edit?usp=sharing  #gid=0"",""фіз особи new!relations_name_uo""),7,FALSE)
,
)
))"),"ДОВГЯЛЛО Максим Валерійович")</f>
        <v>ДОВГЯЛЛО Максим Валерійович</v>
      </c>
      <c r="G15856" s="7" t="s">
        <v>10</v>
      </c>
      <c r="H15856" s="7">
        <v>19732</v>
      </c>
      <c r="I15856" s="8" t="str">
        <f ca="1">IFERROR(__xludf.DUMMYFUNCTION("IF
(
G15857=""фізична особа""
,
VLOOKUP(H15857,IMPORTRANGE(""https://docs.google.com/spreadsheets/d/14Bd19lYaqBhU8_DElYkX7l4wRkHqqCUFNJY4AfY3kHU/edit?usp=sharing  #gid=0"",""фіз особи new!relations_name""),6,FALSE)
,
(IF
(
G15857=""юридична особа""
,
VLOO"&amp;"KUP(H15857,IMPORTRANGE(""https://docs.google.com/spreadsheets/d/14Bd19lYaqBhU8_DElYkX7l4wRkHqqCUFNJY4AfY3kHU/edit?usp=sharing  #gid=0"",""фіз особи new!relations_name_uo""),7,FALSE)
,
)
))"),"ЧИТІПАХОВЯН Петро Степанович")</f>
        <v>ЧИТІПАХОВЯН Петро Степанович</v>
      </c>
      <c r="J15856" s="7" t="s">
        <v>23</v>
      </c>
    </row>
    <row r="15857" spans="1:10" ht="13.2">
      <c r="A15857" s="7">
        <v>15856</v>
      </c>
      <c r="B15857" s="7">
        <v>1</v>
      </c>
      <c r="C15857" s="7" t="s">
        <v>10</v>
      </c>
      <c r="D15857" s="7">
        <v>19736</v>
      </c>
      <c r="E15857" s="7" t="s">
        <v>23</v>
      </c>
      <c r="F15857" s="8" t="str">
        <f ca="1">IFERROR(__xludf.DUMMYFUNCTION("IF
(
C15858=""фізична особа""
,
VLOOKUP(D15858,IMPORTRANGE(""https://docs.google.com/spreadsheets/d/14Bd19lYaqBhU8_DElYkX7l4wRkHqqCUFNJY4AfY3kHU/edit?usp=sharing  #gid=0"",""фіз особи new!relations_name""),6,FALSE)
,
(IF
(
C15858=""юридична особа""
,
VLOO"&amp;"KUP(D15858,IMPORTRANGE(""https://docs.google.com/spreadsheets/d/14Bd19lYaqBhU8_DElYkX7l4wRkHqqCUFNJY4AfY3kHU/edit?usp=sharing  #gid=0"",""фіз особи new!relations_name_uo""),7,FALSE)
,
)
))"),"ДОВГЯЛЛО Максим Валерійович")</f>
        <v>ДОВГЯЛЛО Максим Валерійович</v>
      </c>
      <c r="G15857" s="7" t="s">
        <v>10</v>
      </c>
      <c r="H15857" s="7">
        <v>19733</v>
      </c>
      <c r="I15857" s="8" t="str">
        <f ca="1">IFERROR(__xludf.DUMMYFUNCTION("IF
(
G15858=""фізична особа""
,
VLOOKUP(H15858,IMPORTRANGE(""https://docs.google.com/spreadsheets/d/14Bd19lYaqBhU8_DElYkX7l4wRkHqqCUFNJY4AfY3kHU/edit?usp=sharing  #gid=0"",""фіз особи new!relations_name""),6,FALSE)
,
(IF
(
G15858=""юридична особа""
,
VLOO"&amp;"KUP(H15858,IMPORTRANGE(""https://docs.google.com/spreadsheets/d/14Bd19lYaqBhU8_DElYkX7l4wRkHqqCUFNJY4AfY3kHU/edit?usp=sharing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857" s="7" t="s">
        <v>23</v>
      </c>
    </row>
    <row r="15858" spans="1:10" ht="13.2">
      <c r="A15858" s="7">
        <v>15857</v>
      </c>
      <c r="B15858" s="7">
        <v>1</v>
      </c>
      <c r="C15858" s="7" t="s">
        <v>10</v>
      </c>
      <c r="D15858" s="7">
        <v>19736</v>
      </c>
      <c r="E15858" s="7" t="s">
        <v>23</v>
      </c>
      <c r="F15858" s="8" t="str">
        <f ca="1">IFERROR(__xludf.DUMMYFUNCTION("IF
(
C15859=""фізична особа""
,
VLOOKUP(D15859,IMPORTRANGE(""https://docs.google.com/spreadsheets/d/14Bd19lYaqBhU8_DElYkX7l4wRkHqqCUFNJY4AfY3kHU/edit?usp=sharing  #gid=0"",""фіз особи new!relations_name""),6,FALSE)
,
(IF
(
C15859=""юридична особа""
,
VLOO"&amp;"KUP(D15859,IMPORTRANGE(""https://docs.google.com/spreadsheets/d/14Bd19lYaqBhU8_DElYkX7l4wRkHqqCUFNJY4AfY3kHU/edit?usp=sharing  #gid=0"",""фіз особи new!relations_name_uo""),7,FALSE)
,
)
))"),"ДОВГЯЛЛО Максим Валерійович")</f>
        <v>ДОВГЯЛЛО Максим Валерійович</v>
      </c>
      <c r="G15858" s="7" t="s">
        <v>10</v>
      </c>
      <c r="H15858" s="7">
        <v>19734</v>
      </c>
      <c r="I15858" s="8" t="str">
        <f ca="1">IFERROR(__xludf.DUMMYFUNCTION("IF
(
G15859=""фізична особа""
,
VLOOKUP(H15859,IMPORTRANGE(""https://docs.google.com/spreadsheets/d/14Bd19lYaqBhU8_DElYkX7l4wRkHqqCUFNJY4AfY3kHU/edit?usp=sharing  #gid=0"",""фіз особи new!relations_name""),6,FALSE)
,
(IF
(
G15859=""юридична особа""
,
VLOO"&amp;"KUP(H15859,IMPORTRANGE(""https://docs.google.com/spreadsheets/d/14Bd19lYaqBhU8_DElYkX7l4wRkHqqCUFNJY4AfY3kHU/edit?usp=sharing  #gid=0"",""фіз особи new!relations_name_uo""),7,FALSE)
,
)
))"),"АРЗУМАНЯН Граат Маміконович")</f>
        <v>АРЗУМАНЯН Граат Маміконович</v>
      </c>
      <c r="J15858" s="7" t="s">
        <v>23</v>
      </c>
    </row>
    <row r="15859" spans="1:10" ht="13.2">
      <c r="A15859" s="7">
        <v>15858</v>
      </c>
      <c r="B15859" s="7">
        <v>1</v>
      </c>
      <c r="C15859" s="7" t="s">
        <v>10</v>
      </c>
      <c r="D15859" s="7">
        <v>19736</v>
      </c>
      <c r="E15859" s="7" t="s">
        <v>23</v>
      </c>
      <c r="F15859" s="8" t="str">
        <f ca="1">IFERROR(__xludf.DUMMYFUNCTION("IF
(
C15860=""фізична особа""
,
VLOOKUP(D15860,IMPORTRANGE(""https://docs.google.com/spreadsheets/d/14Bd19lYaqBhU8_DElYkX7l4wRkHqqCUFNJY4AfY3kHU/edit?usp=sharing  #gid=0"",""фіз особи new!relations_name""),6,FALSE)
,
(IF
(
C15860=""юридична особа""
,
VLOO"&amp;"KUP(D15860,IMPORTRANGE(""https://docs.google.com/spreadsheets/d/14Bd19lYaqBhU8_DElYkX7l4wRkHqqCUFNJY4AfY3kHU/edit?usp=sharing  #gid=0"",""фіз особи new!relations_name_uo""),7,FALSE)
,
)
))"),"ДОВГЯЛЛО Максим Валерійович")</f>
        <v>ДОВГЯЛЛО Максим Валерійович</v>
      </c>
      <c r="G15859" s="7" t="s">
        <v>10</v>
      </c>
      <c r="H15859" s="7">
        <v>19735</v>
      </c>
      <c r="I15859" s="8" t="str">
        <f ca="1">IFERROR(__xludf.DUMMYFUNCTION("IF
(
G15860=""фізична особа""
,
VLOOKUP(H15860,IMPORTRANGE(""https://docs.google.com/spreadsheets/d/14Bd19lYaqBhU8_DElYkX7l4wRkHqqCUFNJY4AfY3kHU/edit?usp=sharing  #gid=0"",""фіз особи new!relations_name""),6,FALSE)
,
(IF
(
G15860=""юридична особа""
,
VLOO"&amp;"KUP(H15860,IMPORTRANGE(""https://docs.google.com/spreadsheets/d/14Bd19lYaqBhU8_DElYkX7l4wRkHqqCUFNJY4AfY3kHU/edit?usp=sharing  #gid=0"",""фіз особи new!relations_name_uo""),7,FALSE)
,
)
))"),"ПАТРОНОВ Андрій Юрійович")</f>
        <v>ПАТРОНОВ Андрій Юрійович</v>
      </c>
      <c r="J15859" s="7" t="s">
        <v>23</v>
      </c>
    </row>
    <row r="15860" spans="1:10" ht="13.2">
      <c r="A15860" s="7">
        <v>15859</v>
      </c>
      <c r="B15860" s="7">
        <v>1</v>
      </c>
      <c r="C15860" s="7" t="s">
        <v>10</v>
      </c>
      <c r="D15860" s="7">
        <v>19736</v>
      </c>
      <c r="E15860" s="7" t="s">
        <v>23</v>
      </c>
      <c r="F15860" s="8" t="str">
        <f ca="1">IFERROR(__xludf.DUMMYFUNCTION("IF
(
C15861=""фізична особа""
,
VLOOKUP(D15861,IMPORTRANGE(""https://docs.google.com/spreadsheets/d/14Bd19lYaqBhU8_DElYkX7l4wRkHqqCUFNJY4AfY3kHU/edit?usp=sharing  #gid=0"",""фіз особи new!relations_name""),6,FALSE)
,
(IF
(
C15861=""юридична особа""
,
VLOO"&amp;"KUP(D15861,IMPORTRANGE(""https://docs.google.com/spreadsheets/d/14Bd19lYaqBhU8_DElYkX7l4wRkHqqCUFNJY4AfY3kHU/edit?usp=sharing  #gid=0"",""фіз особи new!relations_name_uo""),7,FALSE)
,
)
))"),"ДОВГЯЛЛО Максим Валерійович")</f>
        <v>ДОВГЯЛЛО Максим Валерійович</v>
      </c>
      <c r="G15860" s="7" t="s">
        <v>10</v>
      </c>
      <c r="H15860" s="7">
        <v>16750</v>
      </c>
      <c r="I15860" s="8" t="str">
        <f ca="1">IFERROR(__xludf.DUMMYFUNCTION("IF
(
G15861=""фізична особа""
,
VLOOKUP(H15861,IMPORTRANGE(""https://docs.google.com/spreadsheets/d/14Bd19lYaqBhU8_DElYkX7l4wRkHqqCUFNJY4AfY3kHU/edit?usp=sharing  #gid=0"",""фіз особи new!relations_name""),6,FALSE)
,
(IF
(
G15861=""юридична особа""
,
VLOO"&amp;"KUP(H15861,IMPORTRANGE(""https://docs.google.com/spreadsheets/d/14Bd19lYaqBhU8_DElYkX7l4wRkHqqCUFNJY4AfY3kHU/edit?usp=sharing  #gid=0"",""фіз особи new!relations_name_uo""),7,FALSE)
,
)
))"),"БАСОВ Максим Дмитрович")</f>
        <v>БАСОВ Максим Дмитрович</v>
      </c>
      <c r="J15860" s="7" t="s">
        <v>23</v>
      </c>
    </row>
    <row r="15861" spans="1:10" ht="13.2">
      <c r="A15861" s="7">
        <v>15860</v>
      </c>
      <c r="B15861" s="7">
        <v>1</v>
      </c>
      <c r="C15861" s="7" t="s">
        <v>10</v>
      </c>
      <c r="D15861" s="7">
        <v>19737</v>
      </c>
      <c r="E15861" s="7" t="s">
        <v>23</v>
      </c>
      <c r="F15861" s="8" t="str">
        <f ca="1">IFERROR(__xludf.DUMMYFUNCTION("IF
(
C15862=""фізична особа""
,
VLOOKUP(D15862,IMPORTRANGE(""https://docs.google.com/spreadsheets/d/14Bd19lYaqBhU8_DElYkX7l4wRkHqqCUFNJY4AfY3kHU/edit?usp=sharing  #gid=0"",""фіз особи new!relations_name""),6,FALSE)
,
(IF
(
C15862=""юридична особа""
,
VLOO"&amp;"KUP(D15862,IMPORTRANGE(""https://docs.google.com/spreadsheets/d/14Bd19lYaqBhU8_DElYkX7l4wRkHqqCUFNJY4AfY3kHU/edit?usp=sharing  #gid=0"",""фіз особи new!relations_name_uo""),7,FALSE)
,
)
))"),"ЛОБОВА Тетяна Володимирівна")</f>
        <v>ЛОБОВА Тетяна Володимирівна</v>
      </c>
      <c r="G15861" s="7" t="s">
        <v>10</v>
      </c>
      <c r="H15861" s="7">
        <v>19637</v>
      </c>
      <c r="I15861" s="8" t="str">
        <f ca="1">IFERROR(__xludf.DUMMYFUNCTION("IF
(
G15862=""фізична особа""
,
VLOOKUP(H15862,IMPORTRANGE(""https://docs.google.com/spreadsheets/d/14Bd19lYaqBhU8_DElYkX7l4wRkHqqCUFNJY4AfY3kHU/edit?usp=sharing  #gid=0"",""фіз особи new!relations_name""),6,FALSE)
,
(IF
(
G15862=""юридична особа""
,
VLOO"&amp;"KUP(H15862,IMPORTRANGE(""https://docs.google.com/spreadsheets/d/14Bd19lYaqBhU8_DElYkX7l4wRkHqqCUFNJY4AfY3kHU/edit?usp=sharing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861" s="7" t="s">
        <v>23</v>
      </c>
    </row>
    <row r="15862" spans="1:10" ht="13.2">
      <c r="A15862" s="7">
        <v>15861</v>
      </c>
      <c r="B15862" s="7">
        <v>1</v>
      </c>
      <c r="C15862" s="7" t="s">
        <v>10</v>
      </c>
      <c r="D15862" s="7">
        <v>19737</v>
      </c>
      <c r="E15862" s="7" t="s">
        <v>23</v>
      </c>
      <c r="F15862" s="8" t="str">
        <f ca="1">IFERROR(__xludf.DUMMYFUNCTION("IF
(
C15863=""фізична особа""
,
VLOOKUP(D15863,IMPORTRANGE(""https://docs.google.com/spreadsheets/d/14Bd19lYaqBhU8_DElYkX7l4wRkHqqCUFNJY4AfY3kHU/edit?usp=sharing  #gid=0"",""фіз особи new!relations_name""),6,FALSE)
,
(IF
(
C15863=""юридична особа""
,
VLOO"&amp;"KUP(D15863,IMPORTRANGE(""https://docs.google.com/spreadsheets/d/14Bd19lYaqBhU8_DElYkX7l4wRkHqqCUFNJY4AfY3kHU/edit?usp=sharing  #gid=0"",""фіз особи new!relations_name_uo""),7,FALSE)
,
)
))"),"ЛОБОВА Тетяна Володимирівна")</f>
        <v>ЛОБОВА Тетяна Володимирівна</v>
      </c>
      <c r="G15862" s="7" t="s">
        <v>10</v>
      </c>
      <c r="H15862" s="7">
        <v>19638</v>
      </c>
      <c r="I15862" s="8" t="str">
        <f ca="1">IFERROR(__xludf.DUMMYFUNCTION("IF
(
G15863=""фізична особа""
,
VLOOKUP(H15863,IMPORTRANGE(""https://docs.google.com/spreadsheets/d/14Bd19lYaqBhU8_DElYkX7l4wRkHqqCUFNJY4AfY3kHU/edit?usp=sharing  #gid=0"",""фіз особи new!relations_name""),6,FALSE)
,
(IF
(
G15863=""юридична особа""
,
VLOO"&amp;"KUP(H15863,IMPORTRANGE(""https://docs.google.com/spreadsheets/d/14Bd19lYaqBhU8_DElYkX7l4wRkHqqCUFNJY4AfY3kHU/edit?usp=sharing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862" s="7" t="s">
        <v>23</v>
      </c>
    </row>
    <row r="15863" spans="1:10" ht="13.2">
      <c r="A15863" s="7">
        <v>15862</v>
      </c>
      <c r="B15863" s="7">
        <v>1</v>
      </c>
      <c r="C15863" s="7" t="s">
        <v>10</v>
      </c>
      <c r="D15863" s="7">
        <v>19737</v>
      </c>
      <c r="E15863" s="7" t="s">
        <v>23</v>
      </c>
      <c r="F15863" s="8" t="str">
        <f ca="1">IFERROR(__xludf.DUMMYFUNCTION("IF
(
C15864=""фізична особа""
,
VLOOKUP(D15864,IMPORTRANGE(""https://docs.google.com/spreadsheets/d/14Bd19lYaqBhU8_DElYkX7l4wRkHqqCUFNJY4AfY3kHU/edit?usp=sharing  #gid=0"",""фіз особи new!relations_name""),6,FALSE)
,
(IF
(
C15864=""юридична особа""
,
VLOO"&amp;"KUP(D15864,IMPORTRANGE(""https://docs.google.com/spreadsheets/d/14Bd19lYaqBhU8_DElYkX7l4wRkHqqCUFNJY4AfY3kHU/edit?usp=sharing  #gid=0"",""фіз особи new!relations_name_uo""),7,FALSE)
,
)
))"),"ЛОБОВА Тетяна Володимирівна")</f>
        <v>ЛОБОВА Тетяна Володимирівна</v>
      </c>
      <c r="G15863" s="7" t="s">
        <v>10</v>
      </c>
      <c r="H15863" s="7">
        <v>19639</v>
      </c>
      <c r="I15863" s="8" t="str">
        <f ca="1">IFERROR(__xludf.DUMMYFUNCTION("IF
(
G15864=""фізична особа""
,
VLOOKUP(H15864,IMPORTRANGE(""https://docs.google.com/spreadsheets/d/14Bd19lYaqBhU8_DElYkX7l4wRkHqqCUFNJY4AfY3kHU/edit?usp=sharing  #gid=0"",""фіз особи new!relations_name""),6,FALSE)
,
(IF
(
G15864=""юридична особа""
,
VLOO"&amp;"KUP(H15864,IMPORTRANGE(""https://docs.google.com/spreadsheets/d/14Bd19lYaqBhU8_DElYkX7l4wRkHqqCUFNJY4AfY3kHU/edit?usp=sharing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863" s="7" t="s">
        <v>23</v>
      </c>
    </row>
    <row r="15864" spans="1:10" ht="13.2">
      <c r="A15864" s="7">
        <v>15863</v>
      </c>
      <c r="B15864" s="7">
        <v>1</v>
      </c>
      <c r="C15864" s="7" t="s">
        <v>10</v>
      </c>
      <c r="D15864" s="7">
        <v>19737</v>
      </c>
      <c r="E15864" s="7" t="s">
        <v>23</v>
      </c>
      <c r="F15864" s="8" t="str">
        <f ca="1">IFERROR(__xludf.DUMMYFUNCTION("IF
(
C15865=""фізична особа""
,
VLOOKUP(D15865,IMPORTRANGE(""https://docs.google.com/spreadsheets/d/14Bd19lYaqBhU8_DElYkX7l4wRkHqqCUFNJY4AfY3kHU/edit?usp=sharing  #gid=0"",""фіз особи new!relations_name""),6,FALSE)
,
(IF
(
C15865=""юридична особа""
,
VLOO"&amp;"KUP(D15865,IMPORTRANGE(""https://docs.google.com/spreadsheets/d/14Bd19lYaqBhU8_DElYkX7l4wRkHqqCUFNJY4AfY3kHU/edit?usp=sharing  #gid=0"",""фіз особи new!relations_name_uo""),7,FALSE)
,
)
))"),"ЛОБОВА Тетяна Володимирівна")</f>
        <v>ЛОБОВА Тетяна Володимирівна</v>
      </c>
      <c r="G15864" s="7" t="s">
        <v>10</v>
      </c>
      <c r="H15864" s="7">
        <v>19644</v>
      </c>
      <c r="I15864" s="8" t="str">
        <f ca="1">IFERROR(__xludf.DUMMYFUNCTION("IF
(
G15865=""фізична особа""
,
VLOOKUP(H15865,IMPORTRANGE(""https://docs.google.com/spreadsheets/d/14Bd19lYaqBhU8_DElYkX7l4wRkHqqCUFNJY4AfY3kHU/edit?usp=sharing  #gid=0"",""фіз особи new!relations_name""),6,FALSE)
,
(IF
(
G15865=""юридична особа""
,
VLOO"&amp;"KUP(H15865,IMPORTRANGE(""https://docs.google.com/spreadsheets/d/14Bd19lYaqBhU8_DElYkX7l4wRkHqqCUFNJY4AfY3kHU/edit?usp=sharing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J15864" s="7" t="s">
        <v>23</v>
      </c>
    </row>
    <row r="15865" spans="1:10" ht="13.2">
      <c r="A15865" s="7">
        <v>15864</v>
      </c>
      <c r="B15865" s="7">
        <v>1</v>
      </c>
      <c r="C15865" s="7" t="s">
        <v>10</v>
      </c>
      <c r="D15865" s="7">
        <v>19738</v>
      </c>
      <c r="E15865" s="7" t="s">
        <v>23</v>
      </c>
      <c r="F15865" s="8" t="str">
        <f ca="1">IFERROR(__xludf.DUMMYFUNCTION("IF
(
C15866=""фізична особа""
,
VLOOKUP(D15866,IMPORTRANGE(""https://docs.google.com/spreadsheets/d/14Bd19lYaqBhU8_DElYkX7l4wRkHqqCUFNJY4AfY3kHU/edit?usp=sharing  #gid=0"",""фіз особи new!relations_name""),6,FALSE)
,
(IF
(
C15866=""юридична особа""
,
VLOO"&amp;"KUP(D15866,IMPORTRANGE(""https://docs.google.com/spreadsheets/d/14Bd19lYaqBhU8_DElYkX7l4wRkHqqCUFNJY4AfY3kHU/edit?usp=sharing  #gid=0"",""фіз особи new!relations_name_uo""),7,FALSE)
,
)
))"),"ПОЛЯКОВ Микола Федорович")</f>
        <v>ПОЛЯКОВ Микола Федорович</v>
      </c>
      <c r="G15865" s="7" t="s">
        <v>10</v>
      </c>
      <c r="H15865" s="7">
        <v>19637</v>
      </c>
      <c r="I15865" s="8" t="str">
        <f ca="1">IFERROR(__xludf.DUMMYFUNCTION("IF
(
G15866=""фізична особа""
,
VLOOKUP(H15866,IMPORTRANGE(""https://docs.google.com/spreadsheets/d/14Bd19lYaqBhU8_DElYkX7l4wRkHqqCUFNJY4AfY3kHU/edit?usp=sharing  #gid=0"",""фіз особи new!relations_name""),6,FALSE)
,
(IF
(
G15866=""юридична особа""
,
VLOO"&amp;"KUP(H15866,IMPORTRANGE(""https://docs.google.com/spreadsheets/d/14Bd19lYaqBhU8_DElYkX7l4wRkHqqCUFNJY4AfY3kHU/edit?usp=sharing  #gid=0"",""фіз особи new!relations_name_uo""),7,FALSE)
,
)
))"),"ШАРОНОВ Олександр Георгійович")</f>
        <v>ШАРОНОВ Олександр Георгійович</v>
      </c>
      <c r="J15865" s="7" t="s">
        <v>23</v>
      </c>
    </row>
    <row r="15866" spans="1:10" ht="13.2">
      <c r="A15866" s="7">
        <v>15865</v>
      </c>
      <c r="B15866" s="7">
        <v>1</v>
      </c>
      <c r="C15866" s="7" t="s">
        <v>10</v>
      </c>
      <c r="D15866" s="7">
        <v>19738</v>
      </c>
      <c r="E15866" s="7" t="s">
        <v>23</v>
      </c>
      <c r="F15866" s="8" t="str">
        <f ca="1">IFERROR(__xludf.DUMMYFUNCTION("IF
(
C15867=""фізична особа""
,
VLOOKUP(D15867,IMPORTRANGE(""https://docs.google.com/spreadsheets/d/14Bd19lYaqBhU8_DElYkX7l4wRkHqqCUFNJY4AfY3kHU/edit?usp=sharing  #gid=0"",""фіз особи new!relations_name""),6,FALSE)
,
(IF
(
C15867=""юридична особа""
,
VLOO"&amp;"KUP(D15867,IMPORTRANGE(""https://docs.google.com/spreadsheets/d/14Bd19lYaqBhU8_DElYkX7l4wRkHqqCUFNJY4AfY3kHU/edit?usp=sharing  #gid=0"",""фіз особи new!relations_name_uo""),7,FALSE)
,
)
))"),"ПОЛЯКОВ Микола Федорович")</f>
        <v>ПОЛЯКОВ Микола Федорович</v>
      </c>
      <c r="G15866" s="7" t="s">
        <v>10</v>
      </c>
      <c r="H15866" s="7">
        <v>19638</v>
      </c>
      <c r="I15866" s="8" t="str">
        <f ca="1">IFERROR(__xludf.DUMMYFUNCTION("IF
(
G15867=""фізична особа""
,
VLOOKUP(H15867,IMPORTRANGE(""https://docs.google.com/spreadsheets/d/14Bd19lYaqBhU8_DElYkX7l4wRkHqqCUFNJY4AfY3kHU/edit?usp=sharing  #gid=0"",""фіз особи new!relations_name""),6,FALSE)
,
(IF
(
G15867=""юридична особа""
,
VLOO"&amp;"KUP(H15867,IMPORTRANGE(""https://docs.google.com/spreadsheets/d/14Bd19lYaqBhU8_DElYkX7l4wRkHqqCUFNJY4AfY3kHU/edit?usp=sharing  #gid=0"",""фіз особи new!relations_name_uo""),7,FALSE)
,
)
))"),"ШАРОНОВ Георгій")</f>
        <v>ШАРОНОВ Георгій</v>
      </c>
      <c r="J15866" s="7" t="s">
        <v>23</v>
      </c>
    </row>
    <row r="15867" spans="1:10" ht="13.2">
      <c r="A15867" s="7">
        <v>15866</v>
      </c>
      <c r="B15867" s="7">
        <v>1</v>
      </c>
      <c r="C15867" s="7" t="s">
        <v>10</v>
      </c>
      <c r="D15867" s="7">
        <v>19738</v>
      </c>
      <c r="E15867" s="7" t="s">
        <v>23</v>
      </c>
      <c r="F15867" s="8" t="str">
        <f ca="1">IFERROR(__xludf.DUMMYFUNCTION("IF
(
C15868=""фізична особа""
,
VLOOKUP(D15868,IMPORTRANGE(""https://docs.google.com/spreadsheets/d/14Bd19lYaqBhU8_DElYkX7l4wRkHqqCUFNJY4AfY3kHU/edit?usp=sharing  #gid=0"",""фіз особи new!relations_name""),6,FALSE)
,
(IF
(
C15868=""юридична особа""
,
VLOO"&amp;"KUP(D15868,IMPORTRANGE(""https://docs.google.com/spreadsheets/d/14Bd19lYaqBhU8_DElYkX7l4wRkHqqCUFNJY4AfY3kHU/edit?usp=sharing  #gid=0"",""фіз особи new!relations_name_uo""),7,FALSE)
,
)
))"),"ПОЛЯКОВ Микола Федорович")</f>
        <v>ПОЛЯКОВ Микола Федорович</v>
      </c>
      <c r="G15867" s="7" t="s">
        <v>10</v>
      </c>
      <c r="H15867" s="7">
        <v>19639</v>
      </c>
      <c r="I15867" s="8" t="str">
        <f ca="1">IFERROR(__xludf.DUMMYFUNCTION("IF
(
G15868=""фізична особа""
,
VLOOKUP(H15868,IMPORTRANGE(""https://docs.google.com/spreadsheets/d/14Bd19lYaqBhU8_DElYkX7l4wRkHqqCUFNJY4AfY3kHU/edit?usp=sharing  #gid=0"",""фіз особи new!relations_name""),6,FALSE)
,
(IF
(
G15868=""юридична особа""
,
VLOO"&amp;"KUP(H15868,IMPORTRANGE(""https://docs.google.com/spreadsheets/d/14Bd19lYaqBhU8_DElYkX7l4wRkHqqCUFNJY4AfY3kHU/edit?usp=sharing  #gid=0"",""фіз особи new!relations_name_uo""),7,FALSE)
,
)
))"),"ДОЛІНСЬКИЙ Дмитро")</f>
        <v>ДОЛІНСЬКИЙ Дмитро</v>
      </c>
      <c r="J15867" s="7" t="s">
        <v>23</v>
      </c>
    </row>
    <row r="15868" spans="1:10" ht="13.2">
      <c r="A15868" s="7">
        <v>15867</v>
      </c>
      <c r="B15868" s="7">
        <v>1</v>
      </c>
      <c r="C15868" s="7" t="s">
        <v>10</v>
      </c>
      <c r="D15868" s="7">
        <v>19738</v>
      </c>
      <c r="E15868" s="7" t="s">
        <v>23</v>
      </c>
      <c r="F15868" s="8" t="str">
        <f ca="1">IFERROR(__xludf.DUMMYFUNCTION("IF
(
C15869=""фізична особа""
,
VLOOKUP(D15869,IMPORTRANGE(""https://docs.google.com/spreadsheets/d/14Bd19lYaqBhU8_DElYkX7l4wRkHqqCUFNJY4AfY3kHU/edit?usp=sharing  #gid=0"",""фіз особи new!relations_name""),6,FALSE)
,
(IF
(
C15869=""юридична особа""
,
VLOO"&amp;"KUP(D15869,IMPORTRANGE(""https://docs.google.com/spreadsheets/d/14Bd19lYaqBhU8_DElYkX7l4wRkHqqCUFNJY4AfY3kHU/edit?usp=sharing  #gid=0"",""фіз особи new!relations_name_uo""),7,FALSE)
,
)
))"),"ПОЛЯКОВ Микола Федорович")</f>
        <v>ПОЛЯКОВ Микола Федорович</v>
      </c>
      <c r="G15868" s="7" t="s">
        <v>10</v>
      </c>
      <c r="H15868" s="7">
        <v>19644</v>
      </c>
      <c r="I15868" s="8" t="str">
        <f ca="1">IFERROR(__xludf.DUMMYFUNCTION("IF
(
G15869=""фізична особа""
,
VLOOKUP(H15869,IMPORTRANGE(""https://docs.google.com/spreadsheets/d/14Bd19lYaqBhU8_DElYkX7l4wRkHqqCUFNJY4AfY3kHU/edit?usp=sharing  #gid=0"",""фіз особи new!relations_name""),6,FALSE)
,
(IF
(
G15869=""юридична особа""
,
VLOO"&amp;"KUP(H15869,IMPORTRANGE(""https://docs.google.com/spreadsheets/d/14Bd19lYaqBhU8_DElYkX7l4wRkHqqCUFNJY4AfY3kHU/edit?usp=sharing  #gid=0"",""фіз особи new!relations_name_uo""),7,FALSE)
,
)
))"),"ЛУНІН Віктор Миколайович")</f>
        <v>ЛУНІН Віктор Миколайович</v>
      </c>
      <c r="J15868" s="7" t="s">
        <v>23</v>
      </c>
    </row>
    <row r="15869" spans="1:10" ht="13.2">
      <c r="A15869" s="7">
        <v>15868</v>
      </c>
      <c r="B15869" s="7">
        <v>1</v>
      </c>
      <c r="C15869" s="7" t="s">
        <v>10</v>
      </c>
      <c r="D15869" s="7">
        <v>19739</v>
      </c>
      <c r="E15869" s="7" t="s">
        <v>23</v>
      </c>
      <c r="F15869" s="8" t="str">
        <f ca="1">IFERROR(__xludf.DUMMYFUNCTION("IF
(
C15870=""фізична особа""
,
VLOOKUP(D15870,IMPORTRANGE(""https://docs.google.com/spreadsheets/d/14Bd19lYaqBhU8_DElYkX7l4wRkHqqCUFNJY4AfY3kHU/edit?usp=sharing  #gid=0"",""фіз особи new!relations_name""),6,FALSE)
,
(IF
(
C15870=""юридична особа""
,
VLOO"&amp;"KUP(D15870,IMPORTRANGE(""https://docs.google.com/spreadsheets/d/14Bd19lYaqBhU8_DElYkX7l4wRkHqqCUFNJY4AfY3kHU/edit?usp=sharing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69" s="7" t="s">
        <v>10</v>
      </c>
      <c r="H15869" s="7">
        <v>6630</v>
      </c>
      <c r="I15869" s="8" t="str">
        <f ca="1">IFERROR(__xludf.DUMMYFUNCTION("IF
(
G15870=""фізична особа""
,
VLOOKUP(H15870,IMPORTRANGE(""https://docs.google.com/spreadsheets/d/14Bd19lYaqBhU8_DElYkX7l4wRkHqqCUFNJY4AfY3kHU/edit?usp=sharing  #gid=0"",""фіз особи new!relations_name""),6,FALSE)
,
(IF
(
G15870=""юридична особа""
,
VLOO"&amp;"KUP(H15870,IMPORTRANGE(""https://docs.google.com/spreadsheets/d/14Bd19lYaqBhU8_DElYkX7l4wRkHqqCUFNJY4AfY3kHU/edit?usp=sharing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869" s="7" t="s">
        <v>23</v>
      </c>
    </row>
    <row r="15870" spans="1:10" ht="13.2">
      <c r="A15870" s="7">
        <v>15869</v>
      </c>
      <c r="B15870" s="7">
        <v>1</v>
      </c>
      <c r="C15870" s="7" t="s">
        <v>10</v>
      </c>
      <c r="D15870" s="7">
        <v>19739</v>
      </c>
      <c r="E15870" s="7" t="s">
        <v>23</v>
      </c>
      <c r="F15870" s="8" t="str">
        <f ca="1">IFERROR(__xludf.DUMMYFUNCTION("IF
(
C15871=""фізична особа""
,
VLOOKUP(D15871,IMPORTRANGE(""https://docs.google.com/spreadsheets/d/14Bd19lYaqBhU8_DElYkX7l4wRkHqqCUFNJY4AfY3kHU/edit?usp=sharing  #gid=0"",""фіз особи new!relations_name""),6,FALSE)
,
(IF
(
C15871=""юридична особа""
,
VLOO"&amp;"KUP(D15871,IMPORTRANGE(""https://docs.google.com/spreadsheets/d/14Bd19lYaqBhU8_DElYkX7l4wRkHqqCUFNJY4AfY3kHU/edit?usp=sharing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0" s="7" t="s">
        <v>10</v>
      </c>
      <c r="H15870" s="7">
        <v>19740</v>
      </c>
      <c r="I15870" s="8" t="str">
        <f ca="1">IFERROR(__xludf.DUMMYFUNCTION("IF
(
G15871=""фізична особа""
,
VLOOKUP(H15871,IMPORTRANGE(""https://docs.google.com/spreadsheets/d/14Bd19lYaqBhU8_DElYkX7l4wRkHqqCUFNJY4AfY3kHU/edit?usp=sharing  #gid=0"",""фіз особи new!relations_name""),6,FALSE)
,
(IF
(
G15871=""юридична особа""
,
VLOO"&amp;"KUP(H15871,IMPORTRANGE(""https://docs.google.com/spreadsheets/d/14Bd19lYaqBhU8_DElYkX7l4wRkHqqCUFNJY4AfY3kHU/edit?usp=sharing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870" s="7" t="s">
        <v>23</v>
      </c>
    </row>
    <row r="15871" spans="1:10" ht="13.2">
      <c r="A15871" s="7">
        <v>15870</v>
      </c>
      <c r="B15871" s="7">
        <v>1</v>
      </c>
      <c r="C15871" s="7" t="s">
        <v>10</v>
      </c>
      <c r="D15871" s="7">
        <v>19739</v>
      </c>
      <c r="E15871" s="7" t="s">
        <v>23</v>
      </c>
      <c r="F15871" s="8" t="str">
        <f ca="1">IFERROR(__xludf.DUMMYFUNCTION("IF
(
C15872=""фізична особа""
,
VLOOKUP(D15872,IMPORTRANGE(""https://docs.google.com/spreadsheets/d/14Bd19lYaqBhU8_DElYkX7l4wRkHqqCUFNJY4AfY3kHU/edit?usp=sharing  #gid=0"",""фіз особи new!relations_name""),6,FALSE)
,
(IF
(
C15872=""юридична особа""
,
VLOO"&amp;"KUP(D15872,IMPORTRANGE(""https://docs.google.com/spreadsheets/d/14Bd19lYaqBhU8_DElYkX7l4wRkHqqCUFNJY4AfY3kHU/edit?usp=sharing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1" s="7" t="s">
        <v>10</v>
      </c>
      <c r="H15871" s="7">
        <v>19741</v>
      </c>
      <c r="I15871" s="8" t="str">
        <f ca="1">IFERROR(__xludf.DUMMYFUNCTION("IF
(
G15872=""фізична особа""
,
VLOOKUP(H15872,IMPORTRANGE(""https://docs.google.com/spreadsheets/d/14Bd19lYaqBhU8_DElYkX7l4wRkHqqCUFNJY4AfY3kHU/edit?usp=sharing  #gid=0"",""фіз особи new!relations_name""),6,FALSE)
,
(IF
(
G15872=""юридична особа""
,
VLOO"&amp;"KUP(H15872,IMPORTRANGE(""https://docs.google.com/spreadsheets/d/14Bd19lYaqBhU8_DElYkX7l4wRkHqqCUFNJY4AfY3kHU/edit?usp=sharing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871" s="7" t="s">
        <v>23</v>
      </c>
    </row>
    <row r="15872" spans="1:10" ht="13.2">
      <c r="A15872" s="7">
        <v>15871</v>
      </c>
      <c r="B15872" s="7">
        <v>1</v>
      </c>
      <c r="C15872" s="7" t="s">
        <v>10</v>
      </c>
      <c r="D15872" s="7">
        <v>19739</v>
      </c>
      <c r="E15872" s="7" t="s">
        <v>23</v>
      </c>
      <c r="F15872" s="8" t="str">
        <f ca="1">IFERROR(__xludf.DUMMYFUNCTION("IF
(
C15873=""фізична особа""
,
VLOOKUP(D15873,IMPORTRANGE(""https://docs.google.com/spreadsheets/d/14Bd19lYaqBhU8_DElYkX7l4wRkHqqCUFNJY4AfY3kHU/edit?usp=sharing  #gid=0"",""фіз особи new!relations_name""),6,FALSE)
,
(IF
(
C15873=""юридична особа""
,
VLOO"&amp;"KUP(D15873,IMPORTRANGE(""https://docs.google.com/spreadsheets/d/14Bd19lYaqBhU8_DElYkX7l4wRkHqqCUFNJY4AfY3kHU/edit?usp=sharing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2" s="7" t="s">
        <v>10</v>
      </c>
      <c r="H15872" s="7">
        <v>19742</v>
      </c>
      <c r="I15872" s="8" t="str">
        <f ca="1">IFERROR(__xludf.DUMMYFUNCTION("IF
(
G15873=""фізична особа""
,
VLOOKUP(H15873,IMPORTRANGE(""https://docs.google.com/spreadsheets/d/14Bd19lYaqBhU8_DElYkX7l4wRkHqqCUFNJY4AfY3kHU/edit?usp=sharing  #gid=0"",""фіз особи new!relations_name""),6,FALSE)
,
(IF
(
G15873=""юридична особа""
,
VLOO"&amp;"KUP(H15873,IMPORTRANGE(""https://docs.google.com/spreadsheets/d/14Bd19lYaqBhU8_DElYkX7l4wRkHqqCUFNJY4AfY3kHU/edit?usp=sharing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872" s="7" t="s">
        <v>23</v>
      </c>
    </row>
    <row r="15873" spans="1:10" ht="13.2">
      <c r="A15873" s="7">
        <v>15872</v>
      </c>
      <c r="B15873" s="7">
        <v>1</v>
      </c>
      <c r="C15873" s="7" t="s">
        <v>10</v>
      </c>
      <c r="D15873" s="7">
        <v>19739</v>
      </c>
      <c r="E15873" s="7" t="s">
        <v>23</v>
      </c>
      <c r="F15873" s="8" t="str">
        <f ca="1">IFERROR(__xludf.DUMMYFUNCTION("IF
(
C15874=""фізична особа""
,
VLOOKUP(D15874,IMPORTRANGE(""https://docs.google.com/spreadsheets/d/14Bd19lYaqBhU8_DElYkX7l4wRkHqqCUFNJY4AfY3kHU/edit?usp=sharing  #gid=0"",""фіз особи new!relations_name""),6,FALSE)
,
(IF
(
C15874=""юридична особа""
,
VLOO"&amp;"KUP(D15874,IMPORTRANGE(""https://docs.google.com/spreadsheets/d/14Bd19lYaqBhU8_DElYkX7l4wRkHqqCUFNJY4AfY3kHU/edit?usp=sharing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3" s="7" t="s">
        <v>10</v>
      </c>
      <c r="H15873" s="7">
        <v>19743</v>
      </c>
      <c r="I15873" s="8" t="str">
        <f ca="1">IFERROR(__xludf.DUMMYFUNCTION("IF
(
G15874=""фізична особа""
,
VLOOKUP(H15874,IMPORTRANGE(""https://docs.google.com/spreadsheets/d/14Bd19lYaqBhU8_DElYkX7l4wRkHqqCUFNJY4AfY3kHU/edit?usp=sharing  #gid=0"",""фіз особи new!relations_name""),6,FALSE)
,
(IF
(
G15874=""юридична особа""
,
VLOO"&amp;"KUP(H15874,IMPORTRANGE(""https://docs.google.com/spreadsheets/d/14Bd19lYaqBhU8_DElYkX7l4wRkHqqCUFNJY4AfY3kHU/edit?usp=sharing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873" s="7" t="s">
        <v>23</v>
      </c>
    </row>
    <row r="15874" spans="1:10" ht="13.2">
      <c r="A15874" s="7">
        <v>15873</v>
      </c>
      <c r="B15874" s="7">
        <v>1</v>
      </c>
      <c r="C15874" s="7" t="s">
        <v>10</v>
      </c>
      <c r="D15874" s="7">
        <v>19739</v>
      </c>
      <c r="E15874" s="7" t="s">
        <v>23</v>
      </c>
      <c r="F15874" s="8" t="str">
        <f ca="1">IFERROR(__xludf.DUMMYFUNCTION("IF
(
C15875=""фізична особа""
,
VLOOKUP(D15875,IMPORTRANGE(""https://docs.google.com/spreadsheets/d/14Bd19lYaqBhU8_DElYkX7l4wRkHqqCUFNJY4AfY3kHU/edit?usp=sharing  #gid=0"",""фіз особи new!relations_name""),6,FALSE)
,
(IF
(
C15875=""юридична особа""
,
VLOO"&amp;"KUP(D15875,IMPORTRANGE(""https://docs.google.com/spreadsheets/d/14Bd19lYaqBhU8_DElYkX7l4wRkHqqCUFNJY4AfY3kHU/edit?usp=sharing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4" s="7" t="s">
        <v>10</v>
      </c>
      <c r="H15874" s="7">
        <v>19744</v>
      </c>
      <c r="I15874" s="8" t="str">
        <f ca="1">IFERROR(__xludf.DUMMYFUNCTION("IF
(
G15875=""фізична особа""
,
VLOOKUP(H15875,IMPORTRANGE(""https://docs.google.com/spreadsheets/d/14Bd19lYaqBhU8_DElYkX7l4wRkHqqCUFNJY4AfY3kHU/edit?usp=sharing  #gid=0"",""фіз особи new!relations_name""),6,FALSE)
,
(IF
(
G15875=""юридична особа""
,
VLOO"&amp;"KUP(H15875,IMPORTRANGE(""https://docs.google.com/spreadsheets/d/14Bd19lYaqBhU8_DElYkX7l4wRkHqqCUFNJY4AfY3kHU/edit?usp=sharing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874" s="7" t="s">
        <v>23</v>
      </c>
    </row>
    <row r="15875" spans="1:10" ht="13.2">
      <c r="A15875" s="7">
        <v>15874</v>
      </c>
      <c r="B15875" s="7">
        <v>1</v>
      </c>
      <c r="C15875" s="7" t="s">
        <v>10</v>
      </c>
      <c r="D15875" s="7">
        <v>19739</v>
      </c>
      <c r="E15875" s="7" t="s">
        <v>23</v>
      </c>
      <c r="F15875" s="8" t="str">
        <f ca="1">IFERROR(__xludf.DUMMYFUNCTION("IF
(
C15876=""фізична особа""
,
VLOOKUP(D15876,IMPORTRANGE(""https://docs.google.com/spreadsheets/d/14Bd19lYaqBhU8_DElYkX7l4wRkHqqCUFNJY4AfY3kHU/edit?usp=sharing  #gid=0"",""фіз особи new!relations_name""),6,FALSE)
,
(IF
(
C15876=""юридична особа""
,
VLOO"&amp;"KUP(D15876,IMPORTRANGE(""https://docs.google.com/spreadsheets/d/14Bd19lYaqBhU8_DElYkX7l4wRkHqqCUFNJY4AfY3kHU/edit?usp=sharing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G15875" s="7" t="s">
        <v>10</v>
      </c>
      <c r="H15875" s="7">
        <v>19745</v>
      </c>
      <c r="I15875" s="8" t="str">
        <f ca="1">IFERROR(__xludf.DUMMYFUNCTION("IF
(
G15876=""фізична особа""
,
VLOOKUP(H15876,IMPORTRANGE(""https://docs.google.com/spreadsheets/d/14Bd19lYaqBhU8_DElYkX7l4wRkHqqCUFNJY4AfY3kHU/edit?usp=sharing  #gid=0"",""фіз особи new!relations_name""),6,FALSE)
,
(IF
(
G15876=""юридична особа""
,
VLOO"&amp;"KUP(H15876,IMPORTRANGE(""https://docs.google.com/spreadsheets/d/14Bd19lYaqBhU8_DElYkX7l4wRkHqqCUFNJY4AfY3kHU/edit?usp=sharing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875" s="7" t="s">
        <v>23</v>
      </c>
    </row>
    <row r="15876" spans="1:10" ht="13.2">
      <c r="A15876" s="7">
        <v>15875</v>
      </c>
      <c r="B15876" s="7">
        <v>1</v>
      </c>
      <c r="C15876" s="7" t="s">
        <v>10</v>
      </c>
      <c r="D15876" s="7">
        <v>19740</v>
      </c>
      <c r="E15876" s="7" t="s">
        <v>23</v>
      </c>
      <c r="F15876" s="8" t="str">
        <f ca="1">IFERROR(__xludf.DUMMYFUNCTION("IF
(
C15877=""фізична особа""
,
VLOOKUP(D15877,IMPORTRANGE(""https://docs.google.com/spreadsheets/d/14Bd19lYaqBhU8_DElYkX7l4wRkHqqCUFNJY4AfY3kHU/edit?usp=sharing  #gid=0"",""фіз особи new!relations_name""),6,FALSE)
,
(IF
(
C15877=""юридична особа""
,
VLOO"&amp;"KUP(D15877,IMPORTRANGE(""https://docs.google.com/spreadsheets/d/14Bd19lYaqBhU8_DElYkX7l4wRkHqqCUFNJY4AfY3kHU/edit?usp=sharing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76" s="7" t="s">
        <v>10</v>
      </c>
      <c r="H15876" s="7">
        <v>6630</v>
      </c>
      <c r="I15876" s="8" t="str">
        <f ca="1">IFERROR(__xludf.DUMMYFUNCTION("IF
(
G15877=""фізична особа""
,
VLOOKUP(H15877,IMPORTRANGE(""https://docs.google.com/spreadsheets/d/14Bd19lYaqBhU8_DElYkX7l4wRkHqqCUFNJY4AfY3kHU/edit?usp=sharing  #gid=0"",""фіз особи new!relations_name""),6,FALSE)
,
(IF
(
G15877=""юридична особа""
,
VLOO"&amp;"KUP(H15877,IMPORTRANGE(""https://docs.google.com/spreadsheets/d/14Bd19lYaqBhU8_DElYkX7l4wRkHqqCUFNJY4AfY3kHU/edit?usp=sharing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876" s="7" t="s">
        <v>23</v>
      </c>
    </row>
    <row r="15877" spans="1:10" ht="13.2">
      <c r="A15877" s="7">
        <v>15876</v>
      </c>
      <c r="B15877" s="7">
        <v>1</v>
      </c>
      <c r="C15877" s="7" t="s">
        <v>10</v>
      </c>
      <c r="D15877" s="7">
        <v>19740</v>
      </c>
      <c r="E15877" s="7" t="s">
        <v>23</v>
      </c>
      <c r="F15877" s="8" t="str">
        <f ca="1">IFERROR(__xludf.DUMMYFUNCTION("IF
(
C15878=""фізична особа""
,
VLOOKUP(D15878,IMPORTRANGE(""https://docs.google.com/spreadsheets/d/14Bd19lYaqBhU8_DElYkX7l4wRkHqqCUFNJY4AfY3kHU/edit?usp=sharing  #gid=0"",""фіз особи new!relations_name""),6,FALSE)
,
(IF
(
C15878=""юридична особа""
,
VLOO"&amp;"KUP(D15878,IMPORTRANGE(""https://docs.google.com/spreadsheets/d/14Bd19lYaqBhU8_DElYkX7l4wRkHqqCUFNJY4AfY3kHU/edit?usp=sharing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77" s="7" t="s">
        <v>10</v>
      </c>
      <c r="H15877" s="7">
        <v>19739</v>
      </c>
      <c r="I15877" s="8" t="str">
        <f ca="1">IFERROR(__xludf.DUMMYFUNCTION("IF
(
G15878=""фізична особа""
,
VLOOKUP(H15878,IMPORTRANGE(""https://docs.google.com/spreadsheets/d/14Bd19lYaqBhU8_DElYkX7l4wRkHqqCUFNJY4AfY3kHU/edit?usp=sharing  #gid=0"",""фіз особи new!relations_name""),6,FALSE)
,
(IF
(
G15878=""юридична особа""
,
VLOO"&amp;"KUP(H15878,IMPORTRANGE(""https://docs.google.com/spreadsheets/d/14Bd19lYaqBhU8_DElYkX7l4wRkHqqCUFNJY4AfY3kHU/edit?usp=sharing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877" s="7" t="s">
        <v>23</v>
      </c>
    </row>
    <row r="15878" spans="1:10" ht="13.2">
      <c r="A15878" s="7">
        <v>15877</v>
      </c>
      <c r="B15878" s="7">
        <v>1</v>
      </c>
      <c r="C15878" s="7" t="s">
        <v>10</v>
      </c>
      <c r="D15878" s="7">
        <v>19740</v>
      </c>
      <c r="E15878" s="7" t="s">
        <v>23</v>
      </c>
      <c r="F15878" s="8" t="str">
        <f ca="1">IFERROR(__xludf.DUMMYFUNCTION("IF
(
C15879=""фізична особа""
,
VLOOKUP(D15879,IMPORTRANGE(""https://docs.google.com/spreadsheets/d/14Bd19lYaqBhU8_DElYkX7l4wRkHqqCUFNJY4AfY3kHU/edit?usp=sharing  #gid=0"",""фіз особи new!relations_name""),6,FALSE)
,
(IF
(
C15879=""юридична особа""
,
VLOO"&amp;"KUP(D15879,IMPORTRANGE(""https://docs.google.com/spreadsheets/d/14Bd19lYaqBhU8_DElYkX7l4wRkHqqCUFNJY4AfY3kHU/edit?usp=sharing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78" s="7" t="s">
        <v>10</v>
      </c>
      <c r="H15878" s="7">
        <v>19741</v>
      </c>
      <c r="I15878" s="8" t="str">
        <f ca="1">IFERROR(__xludf.DUMMYFUNCTION("IF
(
G15879=""фізична особа""
,
VLOOKUP(H15879,IMPORTRANGE(""https://docs.google.com/spreadsheets/d/14Bd19lYaqBhU8_DElYkX7l4wRkHqqCUFNJY4AfY3kHU/edit?usp=sharing  #gid=0"",""фіз особи new!relations_name""),6,FALSE)
,
(IF
(
G15879=""юридична особа""
,
VLOO"&amp;"KUP(H15879,IMPORTRANGE(""https://docs.google.com/spreadsheets/d/14Bd19lYaqBhU8_DElYkX7l4wRkHqqCUFNJY4AfY3kHU/edit?usp=sharing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878" s="7" t="s">
        <v>23</v>
      </c>
    </row>
    <row r="15879" spans="1:10" ht="13.2">
      <c r="A15879" s="7">
        <v>15878</v>
      </c>
      <c r="B15879" s="7">
        <v>1</v>
      </c>
      <c r="C15879" s="7" t="s">
        <v>10</v>
      </c>
      <c r="D15879" s="7">
        <v>19740</v>
      </c>
      <c r="E15879" s="7" t="s">
        <v>23</v>
      </c>
      <c r="F15879" s="8" t="str">
        <f ca="1">IFERROR(__xludf.DUMMYFUNCTION("IF
(
C15880=""фізична особа""
,
VLOOKUP(D15880,IMPORTRANGE(""https://docs.google.com/spreadsheets/d/14Bd19lYaqBhU8_DElYkX7l4wRkHqqCUFNJY4AfY3kHU/edit?usp=sharing  #gid=0"",""фіз особи new!relations_name""),6,FALSE)
,
(IF
(
C15880=""юридична особа""
,
VLOO"&amp;"KUP(D15880,IMPORTRANGE(""https://docs.google.com/spreadsheets/d/14Bd19lYaqBhU8_DElYkX7l4wRkHqqCUFNJY4AfY3kHU/edit?usp=sharing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79" s="7" t="s">
        <v>10</v>
      </c>
      <c r="H15879" s="7">
        <v>19742</v>
      </c>
      <c r="I15879" s="8" t="str">
        <f ca="1">IFERROR(__xludf.DUMMYFUNCTION("IF
(
G15880=""фізична особа""
,
VLOOKUP(H15880,IMPORTRANGE(""https://docs.google.com/spreadsheets/d/14Bd19lYaqBhU8_DElYkX7l4wRkHqqCUFNJY4AfY3kHU/edit?usp=sharing  #gid=0"",""фіз особи new!relations_name""),6,FALSE)
,
(IF
(
G15880=""юридична особа""
,
VLOO"&amp;"KUP(H15880,IMPORTRANGE(""https://docs.google.com/spreadsheets/d/14Bd19lYaqBhU8_DElYkX7l4wRkHqqCUFNJY4AfY3kHU/edit?usp=sharing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879" s="7" t="s">
        <v>23</v>
      </c>
    </row>
    <row r="15880" spans="1:10" ht="13.2">
      <c r="A15880" s="7">
        <v>15879</v>
      </c>
      <c r="B15880" s="7">
        <v>1</v>
      </c>
      <c r="C15880" s="7" t="s">
        <v>10</v>
      </c>
      <c r="D15880" s="7">
        <v>19740</v>
      </c>
      <c r="E15880" s="7" t="s">
        <v>23</v>
      </c>
      <c r="F15880" s="8" t="str">
        <f ca="1">IFERROR(__xludf.DUMMYFUNCTION("IF
(
C15881=""фізична особа""
,
VLOOKUP(D15881,IMPORTRANGE(""https://docs.google.com/spreadsheets/d/14Bd19lYaqBhU8_DElYkX7l4wRkHqqCUFNJY4AfY3kHU/edit?usp=sharing  #gid=0"",""фіз особи new!relations_name""),6,FALSE)
,
(IF
(
C15881=""юридична особа""
,
VLOO"&amp;"KUP(D15881,IMPORTRANGE(""https://docs.google.com/spreadsheets/d/14Bd19lYaqBhU8_DElYkX7l4wRkHqqCUFNJY4AfY3kHU/edit?usp=sharing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80" s="7" t="s">
        <v>10</v>
      </c>
      <c r="H15880" s="7">
        <v>19743</v>
      </c>
      <c r="I15880" s="8" t="str">
        <f ca="1">IFERROR(__xludf.DUMMYFUNCTION("IF
(
G15881=""фізична особа""
,
VLOOKUP(H15881,IMPORTRANGE(""https://docs.google.com/spreadsheets/d/14Bd19lYaqBhU8_DElYkX7l4wRkHqqCUFNJY4AfY3kHU/edit?usp=sharing  #gid=0"",""фіз особи new!relations_name""),6,FALSE)
,
(IF
(
G15881=""юридична особа""
,
VLOO"&amp;"KUP(H15881,IMPORTRANGE(""https://docs.google.com/spreadsheets/d/14Bd19lYaqBhU8_DElYkX7l4wRkHqqCUFNJY4AfY3kHU/edit?usp=sharing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880" s="7" t="s">
        <v>23</v>
      </c>
    </row>
    <row r="15881" spans="1:10" ht="13.2">
      <c r="A15881" s="7">
        <v>15880</v>
      </c>
      <c r="B15881" s="7">
        <v>1</v>
      </c>
      <c r="C15881" s="7" t="s">
        <v>10</v>
      </c>
      <c r="D15881" s="7">
        <v>19740</v>
      </c>
      <c r="E15881" s="7" t="s">
        <v>23</v>
      </c>
      <c r="F15881" s="8" t="str">
        <f ca="1">IFERROR(__xludf.DUMMYFUNCTION("IF
(
C15882=""фізична особа""
,
VLOOKUP(D15882,IMPORTRANGE(""https://docs.google.com/spreadsheets/d/14Bd19lYaqBhU8_DElYkX7l4wRkHqqCUFNJY4AfY3kHU/edit?usp=sharing  #gid=0"",""фіз особи new!relations_name""),6,FALSE)
,
(IF
(
C15882=""юридична особа""
,
VLOO"&amp;"KUP(D15882,IMPORTRANGE(""https://docs.google.com/spreadsheets/d/14Bd19lYaqBhU8_DElYkX7l4wRkHqqCUFNJY4AfY3kHU/edit?usp=sharing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81" s="7" t="s">
        <v>10</v>
      </c>
      <c r="H15881" s="7">
        <v>19744</v>
      </c>
      <c r="I15881" s="8" t="str">
        <f ca="1">IFERROR(__xludf.DUMMYFUNCTION("IF
(
G15882=""фізична особа""
,
VLOOKUP(H15882,IMPORTRANGE(""https://docs.google.com/spreadsheets/d/14Bd19lYaqBhU8_DElYkX7l4wRkHqqCUFNJY4AfY3kHU/edit?usp=sharing  #gid=0"",""фіз особи new!relations_name""),6,FALSE)
,
(IF
(
G15882=""юридична особа""
,
VLOO"&amp;"KUP(H15882,IMPORTRANGE(""https://docs.google.com/spreadsheets/d/14Bd19lYaqBhU8_DElYkX7l4wRkHqqCUFNJY4AfY3kHU/edit?usp=sharing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881" s="7" t="s">
        <v>23</v>
      </c>
    </row>
    <row r="15882" spans="1:10" ht="13.2">
      <c r="A15882" s="7">
        <v>15881</v>
      </c>
      <c r="B15882" s="7">
        <v>1</v>
      </c>
      <c r="C15882" s="7" t="s">
        <v>10</v>
      </c>
      <c r="D15882" s="7">
        <v>19740</v>
      </c>
      <c r="E15882" s="7" t="s">
        <v>23</v>
      </c>
      <c r="F15882" s="8" t="str">
        <f ca="1">IFERROR(__xludf.DUMMYFUNCTION("IF
(
C15883=""фізична особа""
,
VLOOKUP(D15883,IMPORTRANGE(""https://docs.google.com/spreadsheets/d/14Bd19lYaqBhU8_DElYkX7l4wRkHqqCUFNJY4AfY3kHU/edit?usp=sharing  #gid=0"",""фіз особи new!relations_name""),6,FALSE)
,
(IF
(
C15883=""юридична особа""
,
VLOO"&amp;"KUP(D15883,IMPORTRANGE(""https://docs.google.com/spreadsheets/d/14Bd19lYaqBhU8_DElYkX7l4wRkHqqCUFNJY4AfY3kHU/edit?usp=sharing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G15882" s="7" t="s">
        <v>10</v>
      </c>
      <c r="H15882" s="7">
        <v>19745</v>
      </c>
      <c r="I15882" s="8" t="str">
        <f ca="1">IFERROR(__xludf.DUMMYFUNCTION("IF
(
G15883=""фізична особа""
,
VLOOKUP(H15883,IMPORTRANGE(""https://docs.google.com/spreadsheets/d/14Bd19lYaqBhU8_DElYkX7l4wRkHqqCUFNJY4AfY3kHU/edit?usp=sharing  #gid=0"",""фіз особи new!relations_name""),6,FALSE)
,
(IF
(
G15883=""юридична особа""
,
VLOO"&amp;"KUP(H15883,IMPORTRANGE(""https://docs.google.com/spreadsheets/d/14Bd19lYaqBhU8_DElYkX7l4wRkHqqCUFNJY4AfY3kHU/edit?usp=sharing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882" s="7" t="s">
        <v>23</v>
      </c>
    </row>
    <row r="15883" spans="1:10" ht="13.2">
      <c r="A15883" s="7">
        <v>15882</v>
      </c>
      <c r="B15883" s="7">
        <v>1</v>
      </c>
      <c r="C15883" s="7" t="s">
        <v>10</v>
      </c>
      <c r="D15883" s="7">
        <v>19741</v>
      </c>
      <c r="E15883" s="7" t="s">
        <v>23</v>
      </c>
      <c r="F15883" s="8" t="str">
        <f ca="1">IFERROR(__xludf.DUMMYFUNCTION("IF
(
C15884=""фізична особа""
,
VLOOKUP(D15884,IMPORTRANGE(""https://docs.google.com/spreadsheets/d/14Bd19lYaqBhU8_DElYkX7l4wRkHqqCUFNJY4AfY3kHU/edit?usp=sharing  #gid=0"",""фіз особи new!relations_name""),6,FALSE)
,
(IF
(
C15884=""юридична особа""
,
VLOO"&amp;"KUP(D15884,IMPORTRANGE(""https://docs.google.com/spreadsheets/d/14Bd19lYaqBhU8_DElYkX7l4wRkHqqCUFNJY4AfY3kHU/edit?usp=sharing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3" s="7" t="s">
        <v>10</v>
      </c>
      <c r="H15883" s="7">
        <v>6630</v>
      </c>
      <c r="I15883" s="8" t="str">
        <f ca="1">IFERROR(__xludf.DUMMYFUNCTION("IF
(
G15884=""фізична особа""
,
VLOOKUP(H15884,IMPORTRANGE(""https://docs.google.com/spreadsheets/d/14Bd19lYaqBhU8_DElYkX7l4wRkHqqCUFNJY4AfY3kHU/edit?usp=sharing  #gid=0"",""фіз особи new!relations_name""),6,FALSE)
,
(IF
(
G15884=""юридична особа""
,
VLOO"&amp;"KUP(H15884,IMPORTRANGE(""https://docs.google.com/spreadsheets/d/14Bd19lYaqBhU8_DElYkX7l4wRkHqqCUFNJY4AfY3kHU/edit?usp=sharing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883" s="7" t="s">
        <v>23</v>
      </c>
    </row>
    <row r="15884" spans="1:10" ht="13.2">
      <c r="A15884" s="7">
        <v>15883</v>
      </c>
      <c r="B15884" s="7">
        <v>1</v>
      </c>
      <c r="C15884" s="7" t="s">
        <v>10</v>
      </c>
      <c r="D15884" s="7">
        <v>19741</v>
      </c>
      <c r="E15884" s="7" t="s">
        <v>23</v>
      </c>
      <c r="F15884" s="8" t="str">
        <f ca="1">IFERROR(__xludf.DUMMYFUNCTION("IF
(
C15885=""фізична особа""
,
VLOOKUP(D15885,IMPORTRANGE(""https://docs.google.com/spreadsheets/d/14Bd19lYaqBhU8_DElYkX7l4wRkHqqCUFNJY4AfY3kHU/edit?usp=sharing  #gid=0"",""фіз особи new!relations_name""),6,FALSE)
,
(IF
(
C15885=""юридична особа""
,
VLOO"&amp;"KUP(D15885,IMPORTRANGE(""https://docs.google.com/spreadsheets/d/14Bd19lYaqBhU8_DElYkX7l4wRkHqqCUFNJY4AfY3kHU/edit?usp=sharing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4" s="7" t="s">
        <v>10</v>
      </c>
      <c r="H15884" s="7">
        <v>19739</v>
      </c>
      <c r="I15884" s="8" t="str">
        <f ca="1">IFERROR(__xludf.DUMMYFUNCTION("IF
(
G15885=""фізична особа""
,
VLOOKUP(H15885,IMPORTRANGE(""https://docs.google.com/spreadsheets/d/14Bd19lYaqBhU8_DElYkX7l4wRkHqqCUFNJY4AfY3kHU/edit?usp=sharing  #gid=0"",""фіз особи new!relations_name""),6,FALSE)
,
(IF
(
G15885=""юридична особа""
,
VLOO"&amp;"KUP(H15885,IMPORTRANGE(""https://docs.google.com/spreadsheets/d/14Bd19lYaqBhU8_DElYkX7l4wRkHqqCUFNJY4AfY3kHU/edit?usp=sharing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884" s="7" t="s">
        <v>23</v>
      </c>
    </row>
    <row r="15885" spans="1:10" ht="13.2">
      <c r="A15885" s="7">
        <v>15884</v>
      </c>
      <c r="B15885" s="7">
        <v>1</v>
      </c>
      <c r="C15885" s="7" t="s">
        <v>10</v>
      </c>
      <c r="D15885" s="7">
        <v>19741</v>
      </c>
      <c r="E15885" s="7" t="s">
        <v>23</v>
      </c>
      <c r="F15885" s="8" t="str">
        <f ca="1">IFERROR(__xludf.DUMMYFUNCTION("IF
(
C15886=""фізична особа""
,
VLOOKUP(D15886,IMPORTRANGE(""https://docs.google.com/spreadsheets/d/14Bd19lYaqBhU8_DElYkX7l4wRkHqqCUFNJY4AfY3kHU/edit?usp=sharing  #gid=0"",""фіз особи new!relations_name""),6,FALSE)
,
(IF
(
C15886=""юридична особа""
,
VLOO"&amp;"KUP(D15886,IMPORTRANGE(""https://docs.google.com/spreadsheets/d/14Bd19lYaqBhU8_DElYkX7l4wRkHqqCUFNJY4AfY3kHU/edit?usp=sharing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5" s="7" t="s">
        <v>10</v>
      </c>
      <c r="H15885" s="7">
        <v>19740</v>
      </c>
      <c r="I15885" s="8" t="str">
        <f ca="1">IFERROR(__xludf.DUMMYFUNCTION("IF
(
G15886=""фізична особа""
,
VLOOKUP(H15886,IMPORTRANGE(""https://docs.google.com/spreadsheets/d/14Bd19lYaqBhU8_DElYkX7l4wRkHqqCUFNJY4AfY3kHU/edit?usp=sharing  #gid=0"",""фіз особи new!relations_name""),6,FALSE)
,
(IF
(
G15886=""юридична особа""
,
VLOO"&amp;"KUP(H15886,IMPORTRANGE(""https://docs.google.com/spreadsheets/d/14Bd19lYaqBhU8_DElYkX7l4wRkHqqCUFNJY4AfY3kHU/edit?usp=sharing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885" s="7" t="s">
        <v>23</v>
      </c>
    </row>
    <row r="15886" spans="1:10" ht="13.2">
      <c r="A15886" s="7">
        <v>15885</v>
      </c>
      <c r="B15886" s="7">
        <v>1</v>
      </c>
      <c r="C15886" s="7" t="s">
        <v>10</v>
      </c>
      <c r="D15886" s="7">
        <v>19741</v>
      </c>
      <c r="E15886" s="7" t="s">
        <v>23</v>
      </c>
      <c r="F15886" s="8" t="str">
        <f ca="1">IFERROR(__xludf.DUMMYFUNCTION("IF
(
C15887=""фізична особа""
,
VLOOKUP(D15887,IMPORTRANGE(""https://docs.google.com/spreadsheets/d/14Bd19lYaqBhU8_DElYkX7l4wRkHqqCUFNJY4AfY3kHU/edit?usp=sharing  #gid=0"",""фіз особи new!relations_name""),6,FALSE)
,
(IF
(
C15887=""юридична особа""
,
VLOO"&amp;"KUP(D15887,IMPORTRANGE(""https://docs.google.com/spreadsheets/d/14Bd19lYaqBhU8_DElYkX7l4wRkHqqCUFNJY4AfY3kHU/edit?usp=sharing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6" s="7" t="s">
        <v>10</v>
      </c>
      <c r="H15886" s="7">
        <v>19742</v>
      </c>
      <c r="I15886" s="8" t="str">
        <f ca="1">IFERROR(__xludf.DUMMYFUNCTION("IF
(
G15887=""фізична особа""
,
VLOOKUP(H15887,IMPORTRANGE(""https://docs.google.com/spreadsheets/d/14Bd19lYaqBhU8_DElYkX7l4wRkHqqCUFNJY4AfY3kHU/edit?usp=sharing  #gid=0"",""фіз особи new!relations_name""),6,FALSE)
,
(IF
(
G15887=""юридична особа""
,
VLOO"&amp;"KUP(H15887,IMPORTRANGE(""https://docs.google.com/spreadsheets/d/14Bd19lYaqBhU8_DElYkX7l4wRkHqqCUFNJY4AfY3kHU/edit?usp=sharing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886" s="7" t="s">
        <v>23</v>
      </c>
    </row>
    <row r="15887" spans="1:10" ht="13.2">
      <c r="A15887" s="7">
        <v>15886</v>
      </c>
      <c r="B15887" s="7">
        <v>1</v>
      </c>
      <c r="C15887" s="7" t="s">
        <v>10</v>
      </c>
      <c r="D15887" s="7">
        <v>19741</v>
      </c>
      <c r="E15887" s="7" t="s">
        <v>23</v>
      </c>
      <c r="F15887" s="8" t="str">
        <f ca="1">IFERROR(__xludf.DUMMYFUNCTION("IF
(
C15888=""фізична особа""
,
VLOOKUP(D15888,IMPORTRANGE(""https://docs.google.com/spreadsheets/d/14Bd19lYaqBhU8_DElYkX7l4wRkHqqCUFNJY4AfY3kHU/edit?usp=sharing  #gid=0"",""фіз особи new!relations_name""),6,FALSE)
,
(IF
(
C15888=""юридична особа""
,
VLOO"&amp;"KUP(D15888,IMPORTRANGE(""https://docs.google.com/spreadsheets/d/14Bd19lYaqBhU8_DElYkX7l4wRkHqqCUFNJY4AfY3kHU/edit?usp=sharing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7" s="7" t="s">
        <v>10</v>
      </c>
      <c r="H15887" s="7">
        <v>19743</v>
      </c>
      <c r="I15887" s="8" t="str">
        <f ca="1">IFERROR(__xludf.DUMMYFUNCTION("IF
(
G15888=""фізична особа""
,
VLOOKUP(H15888,IMPORTRANGE(""https://docs.google.com/spreadsheets/d/14Bd19lYaqBhU8_DElYkX7l4wRkHqqCUFNJY4AfY3kHU/edit?usp=sharing  #gid=0"",""фіз особи new!relations_name""),6,FALSE)
,
(IF
(
G15888=""юридична особа""
,
VLOO"&amp;"KUP(H15888,IMPORTRANGE(""https://docs.google.com/spreadsheets/d/14Bd19lYaqBhU8_DElYkX7l4wRkHqqCUFNJY4AfY3kHU/edit?usp=sharing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887" s="7" t="s">
        <v>23</v>
      </c>
    </row>
    <row r="15888" spans="1:10" ht="13.2">
      <c r="A15888" s="7">
        <v>15887</v>
      </c>
      <c r="B15888" s="7">
        <v>1</v>
      </c>
      <c r="C15888" s="7" t="s">
        <v>10</v>
      </c>
      <c r="D15888" s="7">
        <v>19741</v>
      </c>
      <c r="E15888" s="7" t="s">
        <v>23</v>
      </c>
      <c r="F15888" s="8" t="str">
        <f ca="1">IFERROR(__xludf.DUMMYFUNCTION("IF
(
C15889=""фізична особа""
,
VLOOKUP(D15889,IMPORTRANGE(""https://docs.google.com/spreadsheets/d/14Bd19lYaqBhU8_DElYkX7l4wRkHqqCUFNJY4AfY3kHU/edit?usp=sharing  #gid=0"",""фіз особи new!relations_name""),6,FALSE)
,
(IF
(
C15889=""юридична особа""
,
VLOO"&amp;"KUP(D15889,IMPORTRANGE(""https://docs.google.com/spreadsheets/d/14Bd19lYaqBhU8_DElYkX7l4wRkHqqCUFNJY4AfY3kHU/edit?usp=sharing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8" s="7" t="s">
        <v>10</v>
      </c>
      <c r="H15888" s="7">
        <v>19744</v>
      </c>
      <c r="I15888" s="8" t="str">
        <f ca="1">IFERROR(__xludf.DUMMYFUNCTION("IF
(
G15889=""фізична особа""
,
VLOOKUP(H15889,IMPORTRANGE(""https://docs.google.com/spreadsheets/d/14Bd19lYaqBhU8_DElYkX7l4wRkHqqCUFNJY4AfY3kHU/edit?usp=sharing  #gid=0"",""фіз особи new!relations_name""),6,FALSE)
,
(IF
(
G15889=""юридична особа""
,
VLOO"&amp;"KUP(H15889,IMPORTRANGE(""https://docs.google.com/spreadsheets/d/14Bd19lYaqBhU8_DElYkX7l4wRkHqqCUFNJY4AfY3kHU/edit?usp=sharing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888" s="7" t="s">
        <v>23</v>
      </c>
    </row>
    <row r="15889" spans="1:10" ht="13.2">
      <c r="A15889" s="7">
        <v>15888</v>
      </c>
      <c r="B15889" s="7">
        <v>1</v>
      </c>
      <c r="C15889" s="7" t="s">
        <v>10</v>
      </c>
      <c r="D15889" s="7">
        <v>19741</v>
      </c>
      <c r="E15889" s="7" t="s">
        <v>23</v>
      </c>
      <c r="F15889" s="8" t="str">
        <f ca="1">IFERROR(__xludf.DUMMYFUNCTION("IF
(
C15890=""фізична особа""
,
VLOOKUP(D15890,IMPORTRANGE(""https://docs.google.com/spreadsheets/d/14Bd19lYaqBhU8_DElYkX7l4wRkHqqCUFNJY4AfY3kHU/edit?usp=sharing  #gid=0"",""фіз особи new!relations_name""),6,FALSE)
,
(IF
(
C15890=""юридична особа""
,
VLOO"&amp;"KUP(D15890,IMPORTRANGE(""https://docs.google.com/spreadsheets/d/14Bd19lYaqBhU8_DElYkX7l4wRkHqqCUFNJY4AfY3kHU/edit?usp=sharing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G15889" s="7" t="s">
        <v>10</v>
      </c>
      <c r="H15889" s="7">
        <v>19745</v>
      </c>
      <c r="I15889" s="8" t="str">
        <f ca="1">IFERROR(__xludf.DUMMYFUNCTION("IF
(
G15890=""фізична особа""
,
VLOOKUP(H15890,IMPORTRANGE(""https://docs.google.com/spreadsheets/d/14Bd19lYaqBhU8_DElYkX7l4wRkHqqCUFNJY4AfY3kHU/edit?usp=sharing  #gid=0"",""фіз особи new!relations_name""),6,FALSE)
,
(IF
(
G15890=""юридична особа""
,
VLOO"&amp;"KUP(H15890,IMPORTRANGE(""https://docs.google.com/spreadsheets/d/14Bd19lYaqBhU8_DElYkX7l4wRkHqqCUFNJY4AfY3kHU/edit?usp=sharing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889" s="7" t="s">
        <v>23</v>
      </c>
    </row>
    <row r="15890" spans="1:10" ht="13.2">
      <c r="A15890" s="7">
        <v>15889</v>
      </c>
      <c r="B15890" s="7">
        <v>1</v>
      </c>
      <c r="C15890" s="7" t="s">
        <v>10</v>
      </c>
      <c r="D15890" s="7">
        <v>19742</v>
      </c>
      <c r="E15890" s="7" t="s">
        <v>23</v>
      </c>
      <c r="F15890" s="8" t="str">
        <f ca="1">IFERROR(__xludf.DUMMYFUNCTION("IF
(
C15891=""фізична особа""
,
VLOOKUP(D15891,IMPORTRANGE(""https://docs.google.com/spreadsheets/d/14Bd19lYaqBhU8_DElYkX7l4wRkHqqCUFNJY4AfY3kHU/edit?usp=sharing  #gid=0"",""фіз особи new!relations_name""),6,FALSE)
,
(IF
(
C15891=""юридична особа""
,
VLOO"&amp;"KUP(D15891,IMPORTRANGE(""https://docs.google.com/spreadsheets/d/14Bd19lYaqBhU8_DElYkX7l4wRkHqqCUFNJY4AfY3kHU/edit?usp=sharing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0" s="7" t="s">
        <v>10</v>
      </c>
      <c r="H15890" s="7">
        <v>6630</v>
      </c>
      <c r="I15890" s="8" t="str">
        <f ca="1">IFERROR(__xludf.DUMMYFUNCTION("IF
(
G15891=""фізична особа""
,
VLOOKUP(H15891,IMPORTRANGE(""https://docs.google.com/spreadsheets/d/14Bd19lYaqBhU8_DElYkX7l4wRkHqqCUFNJY4AfY3kHU/edit?usp=sharing  #gid=0"",""фіз особи new!relations_name""),6,FALSE)
,
(IF
(
G15891=""юридична особа""
,
VLOO"&amp;"KUP(H15891,IMPORTRANGE(""https://docs.google.com/spreadsheets/d/14Bd19lYaqBhU8_DElYkX7l4wRkHqqCUFNJY4AfY3kHU/edit?usp=sharing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890" s="7" t="s">
        <v>23</v>
      </c>
    </row>
    <row r="15891" spans="1:10" ht="13.2">
      <c r="A15891" s="7">
        <v>15890</v>
      </c>
      <c r="B15891" s="7">
        <v>1</v>
      </c>
      <c r="C15891" s="7" t="s">
        <v>10</v>
      </c>
      <c r="D15891" s="7">
        <v>19742</v>
      </c>
      <c r="E15891" s="7" t="s">
        <v>23</v>
      </c>
      <c r="F15891" s="8" t="str">
        <f ca="1">IFERROR(__xludf.DUMMYFUNCTION("IF
(
C15892=""фізична особа""
,
VLOOKUP(D15892,IMPORTRANGE(""https://docs.google.com/spreadsheets/d/14Bd19lYaqBhU8_DElYkX7l4wRkHqqCUFNJY4AfY3kHU/edit?usp=sharing  #gid=0"",""фіз особи new!relations_name""),6,FALSE)
,
(IF
(
C15892=""юридична особа""
,
VLOO"&amp;"KUP(D15892,IMPORTRANGE(""https://docs.google.com/spreadsheets/d/14Bd19lYaqBhU8_DElYkX7l4wRkHqqCUFNJY4AfY3kHU/edit?usp=sharing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1" s="7" t="s">
        <v>10</v>
      </c>
      <c r="H15891" s="7">
        <v>19739</v>
      </c>
      <c r="I15891" s="8" t="str">
        <f ca="1">IFERROR(__xludf.DUMMYFUNCTION("IF
(
G15892=""фізична особа""
,
VLOOKUP(H15892,IMPORTRANGE(""https://docs.google.com/spreadsheets/d/14Bd19lYaqBhU8_DElYkX7l4wRkHqqCUFNJY4AfY3kHU/edit?usp=sharing  #gid=0"",""фіз особи new!relations_name""),6,FALSE)
,
(IF
(
G15892=""юридична особа""
,
VLOO"&amp;"KUP(H15892,IMPORTRANGE(""https://docs.google.com/spreadsheets/d/14Bd19lYaqBhU8_DElYkX7l4wRkHqqCUFNJY4AfY3kHU/edit?usp=sharing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891" s="7" t="s">
        <v>23</v>
      </c>
    </row>
    <row r="15892" spans="1:10" ht="13.2">
      <c r="A15892" s="7">
        <v>15891</v>
      </c>
      <c r="B15892" s="7">
        <v>1</v>
      </c>
      <c r="C15892" s="7" t="s">
        <v>10</v>
      </c>
      <c r="D15892" s="7">
        <v>19742</v>
      </c>
      <c r="E15892" s="7" t="s">
        <v>23</v>
      </c>
      <c r="F15892" s="8" t="str">
        <f ca="1">IFERROR(__xludf.DUMMYFUNCTION("IF
(
C15893=""фізична особа""
,
VLOOKUP(D15893,IMPORTRANGE(""https://docs.google.com/spreadsheets/d/14Bd19lYaqBhU8_DElYkX7l4wRkHqqCUFNJY4AfY3kHU/edit?usp=sharing  #gid=0"",""фіз особи new!relations_name""),6,FALSE)
,
(IF
(
C15893=""юридична особа""
,
VLOO"&amp;"KUP(D15893,IMPORTRANGE(""https://docs.google.com/spreadsheets/d/14Bd19lYaqBhU8_DElYkX7l4wRkHqqCUFNJY4AfY3kHU/edit?usp=sharing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2" s="7" t="s">
        <v>10</v>
      </c>
      <c r="H15892" s="7">
        <v>19740</v>
      </c>
      <c r="I15892" s="8" t="str">
        <f ca="1">IFERROR(__xludf.DUMMYFUNCTION("IF
(
G15893=""фізична особа""
,
VLOOKUP(H15893,IMPORTRANGE(""https://docs.google.com/spreadsheets/d/14Bd19lYaqBhU8_DElYkX7l4wRkHqqCUFNJY4AfY3kHU/edit?usp=sharing  #gid=0"",""фіз особи new!relations_name""),6,FALSE)
,
(IF
(
G15893=""юридична особа""
,
VLOO"&amp;"KUP(H15893,IMPORTRANGE(""https://docs.google.com/spreadsheets/d/14Bd19lYaqBhU8_DElYkX7l4wRkHqqCUFNJY4AfY3kHU/edit?usp=sharing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892" s="7" t="s">
        <v>23</v>
      </c>
    </row>
    <row r="15893" spans="1:10" ht="13.2">
      <c r="A15893" s="7">
        <v>15892</v>
      </c>
      <c r="B15893" s="7">
        <v>1</v>
      </c>
      <c r="C15893" s="7" t="s">
        <v>10</v>
      </c>
      <c r="D15893" s="7">
        <v>19742</v>
      </c>
      <c r="E15893" s="7" t="s">
        <v>23</v>
      </c>
      <c r="F15893" s="8" t="str">
        <f ca="1">IFERROR(__xludf.DUMMYFUNCTION("IF
(
C15894=""фізична особа""
,
VLOOKUP(D15894,IMPORTRANGE(""https://docs.google.com/spreadsheets/d/14Bd19lYaqBhU8_DElYkX7l4wRkHqqCUFNJY4AfY3kHU/edit?usp=sharing  #gid=0"",""фіз особи new!relations_name""),6,FALSE)
,
(IF
(
C15894=""юридична особа""
,
VLOO"&amp;"KUP(D15894,IMPORTRANGE(""https://docs.google.com/spreadsheets/d/14Bd19lYaqBhU8_DElYkX7l4wRkHqqCUFNJY4AfY3kHU/edit?usp=sharing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3" s="7" t="s">
        <v>10</v>
      </c>
      <c r="H15893" s="7">
        <v>19741</v>
      </c>
      <c r="I15893" s="8" t="str">
        <f ca="1">IFERROR(__xludf.DUMMYFUNCTION("IF
(
G15894=""фізична особа""
,
VLOOKUP(H15894,IMPORTRANGE(""https://docs.google.com/spreadsheets/d/14Bd19lYaqBhU8_DElYkX7l4wRkHqqCUFNJY4AfY3kHU/edit?usp=sharing  #gid=0"",""фіз особи new!relations_name""),6,FALSE)
,
(IF
(
G15894=""юридична особа""
,
VLOO"&amp;"KUP(H15894,IMPORTRANGE(""https://docs.google.com/spreadsheets/d/14Bd19lYaqBhU8_DElYkX7l4wRkHqqCUFNJY4AfY3kHU/edit?usp=sharing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893" s="7" t="s">
        <v>23</v>
      </c>
    </row>
    <row r="15894" spans="1:10" ht="13.2">
      <c r="A15894" s="7">
        <v>15893</v>
      </c>
      <c r="B15894" s="7">
        <v>1</v>
      </c>
      <c r="C15894" s="7" t="s">
        <v>10</v>
      </c>
      <c r="D15894" s="7">
        <v>19742</v>
      </c>
      <c r="E15894" s="7" t="s">
        <v>23</v>
      </c>
      <c r="F15894" s="8" t="str">
        <f ca="1">IFERROR(__xludf.DUMMYFUNCTION("IF
(
C15895=""фізична особа""
,
VLOOKUP(D15895,IMPORTRANGE(""https://docs.google.com/spreadsheets/d/14Bd19lYaqBhU8_DElYkX7l4wRkHqqCUFNJY4AfY3kHU/edit?usp=sharing  #gid=0"",""фіз особи new!relations_name""),6,FALSE)
,
(IF
(
C15895=""юридична особа""
,
VLOO"&amp;"KUP(D15895,IMPORTRANGE(""https://docs.google.com/spreadsheets/d/14Bd19lYaqBhU8_DElYkX7l4wRkHqqCUFNJY4AfY3kHU/edit?usp=sharing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4" s="7" t="s">
        <v>10</v>
      </c>
      <c r="H15894" s="7">
        <v>19743</v>
      </c>
      <c r="I15894" s="8" t="str">
        <f ca="1">IFERROR(__xludf.DUMMYFUNCTION("IF
(
G15895=""фізична особа""
,
VLOOKUP(H15895,IMPORTRANGE(""https://docs.google.com/spreadsheets/d/14Bd19lYaqBhU8_DElYkX7l4wRkHqqCUFNJY4AfY3kHU/edit?usp=sharing  #gid=0"",""фіз особи new!relations_name""),6,FALSE)
,
(IF
(
G15895=""юридична особа""
,
VLOO"&amp;"KUP(H15895,IMPORTRANGE(""https://docs.google.com/spreadsheets/d/14Bd19lYaqBhU8_DElYkX7l4wRkHqqCUFNJY4AfY3kHU/edit?usp=sharing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894" s="7" t="s">
        <v>23</v>
      </c>
    </row>
    <row r="15895" spans="1:10" ht="13.2">
      <c r="A15895" s="7">
        <v>15894</v>
      </c>
      <c r="B15895" s="7">
        <v>1</v>
      </c>
      <c r="C15895" s="7" t="s">
        <v>10</v>
      </c>
      <c r="D15895" s="7">
        <v>19742</v>
      </c>
      <c r="E15895" s="7" t="s">
        <v>23</v>
      </c>
      <c r="F15895" s="8" t="str">
        <f ca="1">IFERROR(__xludf.DUMMYFUNCTION("IF
(
C15896=""фізична особа""
,
VLOOKUP(D15896,IMPORTRANGE(""https://docs.google.com/spreadsheets/d/14Bd19lYaqBhU8_DElYkX7l4wRkHqqCUFNJY4AfY3kHU/edit?usp=sharing  #gid=0"",""фіз особи new!relations_name""),6,FALSE)
,
(IF
(
C15896=""юридична особа""
,
VLOO"&amp;"KUP(D15896,IMPORTRANGE(""https://docs.google.com/spreadsheets/d/14Bd19lYaqBhU8_DElYkX7l4wRkHqqCUFNJY4AfY3kHU/edit?usp=sharing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5" s="7" t="s">
        <v>10</v>
      </c>
      <c r="H15895" s="7">
        <v>19744</v>
      </c>
      <c r="I15895" s="8" t="str">
        <f ca="1">IFERROR(__xludf.DUMMYFUNCTION("IF
(
G15896=""фізична особа""
,
VLOOKUP(H15896,IMPORTRANGE(""https://docs.google.com/spreadsheets/d/14Bd19lYaqBhU8_DElYkX7l4wRkHqqCUFNJY4AfY3kHU/edit?usp=sharing  #gid=0"",""фіз особи new!relations_name""),6,FALSE)
,
(IF
(
G15896=""юридична особа""
,
VLOO"&amp;"KUP(H15896,IMPORTRANGE(""https://docs.google.com/spreadsheets/d/14Bd19lYaqBhU8_DElYkX7l4wRkHqqCUFNJY4AfY3kHU/edit?usp=sharing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895" s="7" t="s">
        <v>23</v>
      </c>
    </row>
    <row r="15896" spans="1:10" ht="13.2">
      <c r="A15896" s="7">
        <v>15895</v>
      </c>
      <c r="B15896" s="7">
        <v>1</v>
      </c>
      <c r="C15896" s="7" t="s">
        <v>10</v>
      </c>
      <c r="D15896" s="7">
        <v>19742</v>
      </c>
      <c r="E15896" s="7" t="s">
        <v>23</v>
      </c>
      <c r="F15896" s="8" t="str">
        <f ca="1">IFERROR(__xludf.DUMMYFUNCTION("IF
(
C15897=""фізична особа""
,
VLOOKUP(D15897,IMPORTRANGE(""https://docs.google.com/spreadsheets/d/14Bd19lYaqBhU8_DElYkX7l4wRkHqqCUFNJY4AfY3kHU/edit?usp=sharing  #gid=0"",""фіз особи new!relations_name""),6,FALSE)
,
(IF
(
C15897=""юридична особа""
,
VLOO"&amp;"KUP(D15897,IMPORTRANGE(""https://docs.google.com/spreadsheets/d/14Bd19lYaqBhU8_DElYkX7l4wRkHqqCUFNJY4AfY3kHU/edit?usp=sharing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G15896" s="7" t="s">
        <v>10</v>
      </c>
      <c r="H15896" s="7">
        <v>19745</v>
      </c>
      <c r="I15896" s="8" t="str">
        <f ca="1">IFERROR(__xludf.DUMMYFUNCTION("IF
(
G15897=""фізична особа""
,
VLOOKUP(H15897,IMPORTRANGE(""https://docs.google.com/spreadsheets/d/14Bd19lYaqBhU8_DElYkX7l4wRkHqqCUFNJY4AfY3kHU/edit?usp=sharing  #gid=0"",""фіз особи new!relations_name""),6,FALSE)
,
(IF
(
G15897=""юридична особа""
,
VLOO"&amp;"KUP(H15897,IMPORTRANGE(""https://docs.google.com/spreadsheets/d/14Bd19lYaqBhU8_DElYkX7l4wRkHqqCUFNJY4AfY3kHU/edit?usp=sharing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896" s="7" t="s">
        <v>23</v>
      </c>
    </row>
    <row r="15897" spans="1:10" ht="13.2">
      <c r="A15897" s="7">
        <v>15896</v>
      </c>
      <c r="B15897" s="7">
        <v>1</v>
      </c>
      <c r="C15897" s="7" t="s">
        <v>10</v>
      </c>
      <c r="D15897" s="7">
        <v>19743</v>
      </c>
      <c r="E15897" s="7" t="s">
        <v>23</v>
      </c>
      <c r="F15897" s="8" t="str">
        <f ca="1">IFERROR(__xludf.DUMMYFUNCTION("IF
(
C15898=""фізична особа""
,
VLOOKUP(D15898,IMPORTRANGE(""https://docs.google.com/spreadsheets/d/14Bd19lYaqBhU8_DElYkX7l4wRkHqqCUFNJY4AfY3kHU/edit?usp=sharing  #gid=0"",""фіз особи new!relations_name""),6,FALSE)
,
(IF
(
C15898=""юридична особа""
,
VLOO"&amp;"KUP(D15898,IMPORTRANGE(""https://docs.google.com/spreadsheets/d/14Bd19lYaqBhU8_DElYkX7l4wRkHqqCUFNJY4AfY3kHU/edit?usp=sharing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897" s="7" t="s">
        <v>10</v>
      </c>
      <c r="H15897" s="7">
        <v>6630</v>
      </c>
      <c r="I15897" s="8" t="str">
        <f ca="1">IFERROR(__xludf.DUMMYFUNCTION("IF
(
G15898=""фізична особа""
,
VLOOKUP(H15898,IMPORTRANGE(""https://docs.google.com/spreadsheets/d/14Bd19lYaqBhU8_DElYkX7l4wRkHqqCUFNJY4AfY3kHU/edit?usp=sharing  #gid=0"",""фіз особи new!relations_name""),6,FALSE)
,
(IF
(
G15898=""юридична особа""
,
VLOO"&amp;"KUP(H15898,IMPORTRANGE(""https://docs.google.com/spreadsheets/d/14Bd19lYaqBhU8_DElYkX7l4wRkHqqCUFNJY4AfY3kHU/edit?usp=sharing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897" s="7" t="s">
        <v>23</v>
      </c>
    </row>
    <row r="15898" spans="1:10" ht="13.2">
      <c r="A15898" s="7">
        <v>15897</v>
      </c>
      <c r="B15898" s="7">
        <v>1</v>
      </c>
      <c r="C15898" s="7" t="s">
        <v>10</v>
      </c>
      <c r="D15898" s="7">
        <v>19743</v>
      </c>
      <c r="E15898" s="7" t="s">
        <v>23</v>
      </c>
      <c r="F15898" s="8" t="str">
        <f ca="1">IFERROR(__xludf.DUMMYFUNCTION("IF
(
C15899=""фізична особа""
,
VLOOKUP(D15899,IMPORTRANGE(""https://docs.google.com/spreadsheets/d/14Bd19lYaqBhU8_DElYkX7l4wRkHqqCUFNJY4AfY3kHU/edit?usp=sharing  #gid=0"",""фіз особи new!relations_name""),6,FALSE)
,
(IF
(
C15899=""юридична особа""
,
VLOO"&amp;"KUP(D15899,IMPORTRANGE(""https://docs.google.com/spreadsheets/d/14Bd19lYaqBhU8_DElYkX7l4wRkHqqCUFNJY4AfY3kHU/edit?usp=sharing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898" s="7" t="s">
        <v>10</v>
      </c>
      <c r="H15898" s="7">
        <v>19739</v>
      </c>
      <c r="I15898" s="8" t="str">
        <f ca="1">IFERROR(__xludf.DUMMYFUNCTION("IF
(
G15899=""фізична особа""
,
VLOOKUP(H15899,IMPORTRANGE(""https://docs.google.com/spreadsheets/d/14Bd19lYaqBhU8_DElYkX7l4wRkHqqCUFNJY4AfY3kHU/edit?usp=sharing  #gid=0"",""фіз особи new!relations_name""),6,FALSE)
,
(IF
(
G15899=""юридична особа""
,
VLOO"&amp;"KUP(H15899,IMPORTRANGE(""https://docs.google.com/spreadsheets/d/14Bd19lYaqBhU8_DElYkX7l4wRkHqqCUFNJY4AfY3kHU/edit?usp=sharing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898" s="7" t="s">
        <v>23</v>
      </c>
    </row>
    <row r="15899" spans="1:10" ht="13.2">
      <c r="A15899" s="7">
        <v>15898</v>
      </c>
      <c r="B15899" s="7">
        <v>1</v>
      </c>
      <c r="C15899" s="7" t="s">
        <v>10</v>
      </c>
      <c r="D15899" s="7">
        <v>19743</v>
      </c>
      <c r="E15899" s="7" t="s">
        <v>23</v>
      </c>
      <c r="F15899" s="8" t="str">
        <f ca="1">IFERROR(__xludf.DUMMYFUNCTION("IF
(
C15900=""фізична особа""
,
VLOOKUP(D15900,IMPORTRANGE(""https://docs.google.com/spreadsheets/d/14Bd19lYaqBhU8_DElYkX7l4wRkHqqCUFNJY4AfY3kHU/edit?usp=sharing  #gid=0"",""фіз особи new!relations_name""),6,FALSE)
,
(IF
(
C15900=""юридична особа""
,
VLOO"&amp;"KUP(D15900,IMPORTRANGE(""https://docs.google.com/spreadsheets/d/14Bd19lYaqBhU8_DElYkX7l4wRkHqqCUFNJY4AfY3kHU/edit?usp=sharing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899" s="7" t="s">
        <v>10</v>
      </c>
      <c r="H15899" s="7">
        <v>19740</v>
      </c>
      <c r="I15899" s="8" t="str">
        <f ca="1">IFERROR(__xludf.DUMMYFUNCTION("IF
(
G15900=""фізична особа""
,
VLOOKUP(H15900,IMPORTRANGE(""https://docs.google.com/spreadsheets/d/14Bd19lYaqBhU8_DElYkX7l4wRkHqqCUFNJY4AfY3kHU/edit?usp=sharing  #gid=0"",""фіз особи new!relations_name""),6,FALSE)
,
(IF
(
G15900=""юридична особа""
,
VLOO"&amp;"KUP(H15900,IMPORTRANGE(""https://docs.google.com/spreadsheets/d/14Bd19lYaqBhU8_DElYkX7l4wRkHqqCUFNJY4AfY3kHU/edit?usp=sharing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899" s="7" t="s">
        <v>23</v>
      </c>
    </row>
    <row r="15900" spans="1:10" ht="13.2">
      <c r="A15900" s="7">
        <v>15899</v>
      </c>
      <c r="B15900" s="7">
        <v>1</v>
      </c>
      <c r="C15900" s="7" t="s">
        <v>10</v>
      </c>
      <c r="D15900" s="7">
        <v>19743</v>
      </c>
      <c r="E15900" s="7" t="s">
        <v>23</v>
      </c>
      <c r="F15900" s="8" t="str">
        <f ca="1">IFERROR(__xludf.DUMMYFUNCTION("IF
(
C15901=""фізична особа""
,
VLOOKUP(D15901,IMPORTRANGE(""https://docs.google.com/spreadsheets/d/14Bd19lYaqBhU8_DElYkX7l4wRkHqqCUFNJY4AfY3kHU/edit?usp=sharing  #gid=0"",""фіз особи new!relations_name""),6,FALSE)
,
(IF
(
C15901=""юридична особа""
,
VLOO"&amp;"KUP(D15901,IMPORTRANGE(""https://docs.google.com/spreadsheets/d/14Bd19lYaqBhU8_DElYkX7l4wRkHqqCUFNJY4AfY3kHU/edit?usp=sharing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900" s="7" t="s">
        <v>10</v>
      </c>
      <c r="H15900" s="7">
        <v>19741</v>
      </c>
      <c r="I15900" s="8" t="str">
        <f ca="1">IFERROR(__xludf.DUMMYFUNCTION("IF
(
G15901=""фізична особа""
,
VLOOKUP(H15901,IMPORTRANGE(""https://docs.google.com/spreadsheets/d/14Bd19lYaqBhU8_DElYkX7l4wRkHqqCUFNJY4AfY3kHU/edit?usp=sharing  #gid=0"",""фіз особи new!relations_name""),6,FALSE)
,
(IF
(
G15901=""юридична особа""
,
VLOO"&amp;"KUP(H15901,IMPORTRANGE(""https://docs.google.com/spreadsheets/d/14Bd19lYaqBhU8_DElYkX7l4wRkHqqCUFNJY4AfY3kHU/edit?usp=sharing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900" s="7" t="s">
        <v>23</v>
      </c>
    </row>
    <row r="15901" spans="1:10" ht="13.2">
      <c r="A15901" s="7">
        <v>15900</v>
      </c>
      <c r="B15901" s="7">
        <v>1</v>
      </c>
      <c r="C15901" s="7" t="s">
        <v>10</v>
      </c>
      <c r="D15901" s="7">
        <v>19743</v>
      </c>
      <c r="E15901" s="7" t="s">
        <v>23</v>
      </c>
      <c r="F15901" s="8" t="str">
        <f ca="1">IFERROR(__xludf.DUMMYFUNCTION("IF
(
C15902=""фізична особа""
,
VLOOKUP(D15902,IMPORTRANGE(""https://docs.google.com/spreadsheets/d/14Bd19lYaqBhU8_DElYkX7l4wRkHqqCUFNJY4AfY3kHU/edit?usp=sharing  #gid=0"",""фіз особи new!relations_name""),6,FALSE)
,
(IF
(
C15902=""юридична особа""
,
VLOO"&amp;"KUP(D15902,IMPORTRANGE(""https://docs.google.com/spreadsheets/d/14Bd19lYaqBhU8_DElYkX7l4wRkHqqCUFNJY4AfY3kHU/edit?usp=sharing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901" s="7" t="s">
        <v>10</v>
      </c>
      <c r="H15901" s="7">
        <v>19742</v>
      </c>
      <c r="I15901" s="8" t="str">
        <f ca="1">IFERROR(__xludf.DUMMYFUNCTION("IF
(
G15902=""фізична особа""
,
VLOOKUP(H15902,IMPORTRANGE(""https://docs.google.com/spreadsheets/d/14Bd19lYaqBhU8_DElYkX7l4wRkHqqCUFNJY4AfY3kHU/edit?usp=sharing  #gid=0"",""фіз особи new!relations_name""),6,FALSE)
,
(IF
(
G15902=""юридична особа""
,
VLOO"&amp;"KUP(H15902,IMPORTRANGE(""https://docs.google.com/spreadsheets/d/14Bd19lYaqBhU8_DElYkX7l4wRkHqqCUFNJY4AfY3kHU/edit?usp=sharing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901" s="7" t="s">
        <v>23</v>
      </c>
    </row>
    <row r="15902" spans="1:10" ht="13.2">
      <c r="A15902" s="7">
        <v>15901</v>
      </c>
      <c r="B15902" s="7">
        <v>1</v>
      </c>
      <c r="C15902" s="7" t="s">
        <v>10</v>
      </c>
      <c r="D15902" s="7">
        <v>19743</v>
      </c>
      <c r="E15902" s="7" t="s">
        <v>23</v>
      </c>
      <c r="F15902" s="8" t="str">
        <f ca="1">IFERROR(__xludf.DUMMYFUNCTION("IF
(
C15903=""фізична особа""
,
VLOOKUP(D15903,IMPORTRANGE(""https://docs.google.com/spreadsheets/d/14Bd19lYaqBhU8_DElYkX7l4wRkHqqCUFNJY4AfY3kHU/edit?usp=sharing  #gid=0"",""фіз особи new!relations_name""),6,FALSE)
,
(IF
(
C15903=""юридична особа""
,
VLOO"&amp;"KUP(D15903,IMPORTRANGE(""https://docs.google.com/spreadsheets/d/14Bd19lYaqBhU8_DElYkX7l4wRkHqqCUFNJY4AfY3kHU/edit?usp=sharing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902" s="7" t="s">
        <v>10</v>
      </c>
      <c r="H15902" s="7">
        <v>19744</v>
      </c>
      <c r="I15902" s="8" t="str">
        <f ca="1">IFERROR(__xludf.DUMMYFUNCTION("IF
(
G15903=""фізична особа""
,
VLOOKUP(H15903,IMPORTRANGE(""https://docs.google.com/spreadsheets/d/14Bd19lYaqBhU8_DElYkX7l4wRkHqqCUFNJY4AfY3kHU/edit?usp=sharing  #gid=0"",""фіз особи new!relations_name""),6,FALSE)
,
(IF
(
G15903=""юридична особа""
,
VLOO"&amp;"KUP(H15903,IMPORTRANGE(""https://docs.google.com/spreadsheets/d/14Bd19lYaqBhU8_DElYkX7l4wRkHqqCUFNJY4AfY3kHU/edit?usp=sharing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902" s="7" t="s">
        <v>23</v>
      </c>
    </row>
    <row r="15903" spans="1:10" ht="13.2">
      <c r="A15903" s="7">
        <v>15902</v>
      </c>
      <c r="B15903" s="7">
        <v>1</v>
      </c>
      <c r="C15903" s="7" t="s">
        <v>10</v>
      </c>
      <c r="D15903" s="7">
        <v>19743</v>
      </c>
      <c r="E15903" s="7" t="s">
        <v>23</v>
      </c>
      <c r="F15903" s="8" t="str">
        <f ca="1">IFERROR(__xludf.DUMMYFUNCTION("IF
(
C15904=""фізична особа""
,
VLOOKUP(D15904,IMPORTRANGE(""https://docs.google.com/spreadsheets/d/14Bd19lYaqBhU8_DElYkX7l4wRkHqqCUFNJY4AfY3kHU/edit?usp=sharing  #gid=0"",""фіз особи new!relations_name""),6,FALSE)
,
(IF
(
C15904=""юридична особа""
,
VLOO"&amp;"KUP(D15904,IMPORTRANGE(""https://docs.google.com/spreadsheets/d/14Bd19lYaqBhU8_DElYkX7l4wRkHqqCUFNJY4AfY3kHU/edit?usp=sharing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G15903" s="7" t="s">
        <v>10</v>
      </c>
      <c r="H15903" s="7">
        <v>19745</v>
      </c>
      <c r="I15903" s="8" t="str">
        <f ca="1">IFERROR(__xludf.DUMMYFUNCTION("IF
(
G15904=""фізична особа""
,
VLOOKUP(H15904,IMPORTRANGE(""https://docs.google.com/spreadsheets/d/14Bd19lYaqBhU8_DElYkX7l4wRkHqqCUFNJY4AfY3kHU/edit?usp=sharing  #gid=0"",""фіз особи new!relations_name""),6,FALSE)
,
(IF
(
G15904=""юридична особа""
,
VLOO"&amp;"KUP(H15904,IMPORTRANGE(""https://docs.google.com/spreadsheets/d/14Bd19lYaqBhU8_DElYkX7l4wRkHqqCUFNJY4AfY3kHU/edit?usp=sharing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903" s="7" t="s">
        <v>23</v>
      </c>
    </row>
    <row r="15904" spans="1:10" ht="13.2">
      <c r="A15904" s="7">
        <v>15903</v>
      </c>
      <c r="B15904" s="7">
        <v>1</v>
      </c>
      <c r="C15904" s="7" t="s">
        <v>10</v>
      </c>
      <c r="D15904" s="7">
        <v>19744</v>
      </c>
      <c r="E15904" s="7" t="s">
        <v>23</v>
      </c>
      <c r="F15904" s="8" t="str">
        <f ca="1">IFERROR(__xludf.DUMMYFUNCTION("IF
(
C15905=""фізична особа""
,
VLOOKUP(D15905,IMPORTRANGE(""https://docs.google.com/spreadsheets/d/14Bd19lYaqBhU8_DElYkX7l4wRkHqqCUFNJY4AfY3kHU/edit?usp=sharing  #gid=0"",""фіз особи new!relations_name""),6,FALSE)
,
(IF
(
C15905=""юридична особа""
,
VLOO"&amp;"KUP(D15905,IMPORTRANGE(""https://docs.google.com/spreadsheets/d/14Bd19lYaqBhU8_DElYkX7l4wRkHqqCUFNJY4AfY3kHU/edit?usp=sharing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4" s="7" t="s">
        <v>10</v>
      </c>
      <c r="H15904" s="7">
        <v>6630</v>
      </c>
      <c r="I15904" s="8" t="str">
        <f ca="1">IFERROR(__xludf.DUMMYFUNCTION("IF
(
G15905=""фізична особа""
,
VLOOKUP(H15905,IMPORTRANGE(""https://docs.google.com/spreadsheets/d/14Bd19lYaqBhU8_DElYkX7l4wRkHqqCUFNJY4AfY3kHU/edit?usp=sharing  #gid=0"",""фіз особи new!relations_name""),6,FALSE)
,
(IF
(
G15905=""юридична особа""
,
VLOO"&amp;"KUP(H15905,IMPORTRANGE(""https://docs.google.com/spreadsheets/d/14Bd19lYaqBhU8_DElYkX7l4wRkHqqCUFNJY4AfY3kHU/edit?usp=sharing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904" s="7" t="s">
        <v>23</v>
      </c>
    </row>
    <row r="15905" spans="1:10" ht="13.2">
      <c r="A15905" s="7">
        <v>15904</v>
      </c>
      <c r="B15905" s="7">
        <v>1</v>
      </c>
      <c r="C15905" s="7" t="s">
        <v>10</v>
      </c>
      <c r="D15905" s="7">
        <v>19744</v>
      </c>
      <c r="E15905" s="7" t="s">
        <v>23</v>
      </c>
      <c r="F15905" s="8" t="str">
        <f ca="1">IFERROR(__xludf.DUMMYFUNCTION("IF
(
C15906=""фізична особа""
,
VLOOKUP(D15906,IMPORTRANGE(""https://docs.google.com/spreadsheets/d/14Bd19lYaqBhU8_DElYkX7l4wRkHqqCUFNJY4AfY3kHU/edit?usp=sharing  #gid=0"",""фіз особи new!relations_name""),6,FALSE)
,
(IF
(
C15906=""юридична особа""
,
VLOO"&amp;"KUP(D15906,IMPORTRANGE(""https://docs.google.com/spreadsheets/d/14Bd19lYaqBhU8_DElYkX7l4wRkHqqCUFNJY4AfY3kHU/edit?usp=sharing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5" s="7" t="s">
        <v>10</v>
      </c>
      <c r="H15905" s="7">
        <v>19739</v>
      </c>
      <c r="I15905" s="8" t="str">
        <f ca="1">IFERROR(__xludf.DUMMYFUNCTION("IF
(
G15906=""фізична особа""
,
VLOOKUP(H15906,IMPORTRANGE(""https://docs.google.com/spreadsheets/d/14Bd19lYaqBhU8_DElYkX7l4wRkHqqCUFNJY4AfY3kHU/edit?usp=sharing  #gid=0"",""фіз особи new!relations_name""),6,FALSE)
,
(IF
(
G15906=""юридична особа""
,
VLOO"&amp;"KUP(H15906,IMPORTRANGE(""https://docs.google.com/spreadsheets/d/14Bd19lYaqBhU8_DElYkX7l4wRkHqqCUFNJY4AfY3kHU/edit?usp=sharing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905" s="7" t="s">
        <v>23</v>
      </c>
    </row>
    <row r="15906" spans="1:10" ht="13.2">
      <c r="A15906" s="7">
        <v>15905</v>
      </c>
      <c r="B15906" s="7">
        <v>1</v>
      </c>
      <c r="C15906" s="7" t="s">
        <v>10</v>
      </c>
      <c r="D15906" s="7">
        <v>19744</v>
      </c>
      <c r="E15906" s="7" t="s">
        <v>23</v>
      </c>
      <c r="F15906" s="8" t="str">
        <f ca="1">IFERROR(__xludf.DUMMYFUNCTION("IF
(
C15907=""фізична особа""
,
VLOOKUP(D15907,IMPORTRANGE(""https://docs.google.com/spreadsheets/d/14Bd19lYaqBhU8_DElYkX7l4wRkHqqCUFNJY4AfY3kHU/edit?usp=sharing  #gid=0"",""фіз особи new!relations_name""),6,FALSE)
,
(IF
(
C15907=""юридична особа""
,
VLOO"&amp;"KUP(D15907,IMPORTRANGE(""https://docs.google.com/spreadsheets/d/14Bd19lYaqBhU8_DElYkX7l4wRkHqqCUFNJY4AfY3kHU/edit?usp=sharing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6" s="7" t="s">
        <v>10</v>
      </c>
      <c r="H15906" s="7">
        <v>19740</v>
      </c>
      <c r="I15906" s="8" t="str">
        <f ca="1">IFERROR(__xludf.DUMMYFUNCTION("IF
(
G15907=""фізична особа""
,
VLOOKUP(H15907,IMPORTRANGE(""https://docs.google.com/spreadsheets/d/14Bd19lYaqBhU8_DElYkX7l4wRkHqqCUFNJY4AfY3kHU/edit?usp=sharing  #gid=0"",""фіз особи new!relations_name""),6,FALSE)
,
(IF
(
G15907=""юридична особа""
,
VLOO"&amp;"KUP(H15907,IMPORTRANGE(""https://docs.google.com/spreadsheets/d/14Bd19lYaqBhU8_DElYkX7l4wRkHqqCUFNJY4AfY3kHU/edit?usp=sharing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906" s="7" t="s">
        <v>23</v>
      </c>
    </row>
    <row r="15907" spans="1:10" ht="13.2">
      <c r="A15907" s="7">
        <v>15906</v>
      </c>
      <c r="B15907" s="7">
        <v>1</v>
      </c>
      <c r="C15907" s="7" t="s">
        <v>10</v>
      </c>
      <c r="D15907" s="7">
        <v>19744</v>
      </c>
      <c r="E15907" s="7" t="s">
        <v>23</v>
      </c>
      <c r="F15907" s="8" t="str">
        <f ca="1">IFERROR(__xludf.DUMMYFUNCTION("IF
(
C15908=""фізична особа""
,
VLOOKUP(D15908,IMPORTRANGE(""https://docs.google.com/spreadsheets/d/14Bd19lYaqBhU8_DElYkX7l4wRkHqqCUFNJY4AfY3kHU/edit?usp=sharing  #gid=0"",""фіз особи new!relations_name""),6,FALSE)
,
(IF
(
C15908=""юридична особа""
,
VLOO"&amp;"KUP(D15908,IMPORTRANGE(""https://docs.google.com/spreadsheets/d/14Bd19lYaqBhU8_DElYkX7l4wRkHqqCUFNJY4AfY3kHU/edit?usp=sharing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7" s="7" t="s">
        <v>10</v>
      </c>
      <c r="H15907" s="7">
        <v>19741</v>
      </c>
      <c r="I15907" s="8" t="str">
        <f ca="1">IFERROR(__xludf.DUMMYFUNCTION("IF
(
G15908=""фізична особа""
,
VLOOKUP(H15908,IMPORTRANGE(""https://docs.google.com/spreadsheets/d/14Bd19lYaqBhU8_DElYkX7l4wRkHqqCUFNJY4AfY3kHU/edit?usp=sharing  #gid=0"",""фіз особи new!relations_name""),6,FALSE)
,
(IF
(
G15908=""юридична особа""
,
VLOO"&amp;"KUP(H15908,IMPORTRANGE(""https://docs.google.com/spreadsheets/d/14Bd19lYaqBhU8_DElYkX7l4wRkHqqCUFNJY4AfY3kHU/edit?usp=sharing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907" s="7" t="s">
        <v>23</v>
      </c>
    </row>
    <row r="15908" spans="1:10" ht="13.2">
      <c r="A15908" s="7">
        <v>15907</v>
      </c>
      <c r="B15908" s="7">
        <v>1</v>
      </c>
      <c r="C15908" s="7" t="s">
        <v>10</v>
      </c>
      <c r="D15908" s="7">
        <v>19744</v>
      </c>
      <c r="E15908" s="7" t="s">
        <v>23</v>
      </c>
      <c r="F15908" s="8" t="str">
        <f ca="1">IFERROR(__xludf.DUMMYFUNCTION("IF
(
C15909=""фізична особа""
,
VLOOKUP(D15909,IMPORTRANGE(""https://docs.google.com/spreadsheets/d/14Bd19lYaqBhU8_DElYkX7l4wRkHqqCUFNJY4AfY3kHU/edit?usp=sharing  #gid=0"",""фіз особи new!relations_name""),6,FALSE)
,
(IF
(
C15909=""юридична особа""
,
VLOO"&amp;"KUP(D15909,IMPORTRANGE(""https://docs.google.com/spreadsheets/d/14Bd19lYaqBhU8_DElYkX7l4wRkHqqCUFNJY4AfY3kHU/edit?usp=sharing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8" s="7" t="s">
        <v>10</v>
      </c>
      <c r="H15908" s="7">
        <v>19742</v>
      </c>
      <c r="I15908" s="8" t="str">
        <f ca="1">IFERROR(__xludf.DUMMYFUNCTION("IF
(
G15909=""фізична особа""
,
VLOOKUP(H15909,IMPORTRANGE(""https://docs.google.com/spreadsheets/d/14Bd19lYaqBhU8_DElYkX7l4wRkHqqCUFNJY4AfY3kHU/edit?usp=sharing  #gid=0"",""фіз особи new!relations_name""),6,FALSE)
,
(IF
(
G15909=""юридична особа""
,
VLOO"&amp;"KUP(H15909,IMPORTRANGE(""https://docs.google.com/spreadsheets/d/14Bd19lYaqBhU8_DElYkX7l4wRkHqqCUFNJY4AfY3kHU/edit?usp=sharing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908" s="7" t="s">
        <v>23</v>
      </c>
    </row>
    <row r="15909" spans="1:10" ht="13.2">
      <c r="A15909" s="7">
        <v>15908</v>
      </c>
      <c r="B15909" s="7">
        <v>1</v>
      </c>
      <c r="C15909" s="7" t="s">
        <v>10</v>
      </c>
      <c r="D15909" s="7">
        <v>19744</v>
      </c>
      <c r="E15909" s="7" t="s">
        <v>23</v>
      </c>
      <c r="F15909" s="8" t="str">
        <f ca="1">IFERROR(__xludf.DUMMYFUNCTION("IF
(
C15910=""фізична особа""
,
VLOOKUP(D15910,IMPORTRANGE(""https://docs.google.com/spreadsheets/d/14Bd19lYaqBhU8_DElYkX7l4wRkHqqCUFNJY4AfY3kHU/edit?usp=sharing  #gid=0"",""фіз особи new!relations_name""),6,FALSE)
,
(IF
(
C15910=""юридична особа""
,
VLOO"&amp;"KUP(D15910,IMPORTRANGE(""https://docs.google.com/spreadsheets/d/14Bd19lYaqBhU8_DElYkX7l4wRkHqqCUFNJY4AfY3kHU/edit?usp=sharing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09" s="7" t="s">
        <v>10</v>
      </c>
      <c r="H15909" s="7">
        <v>19743</v>
      </c>
      <c r="I15909" s="8" t="str">
        <f ca="1">IFERROR(__xludf.DUMMYFUNCTION("IF
(
G15910=""фізична особа""
,
VLOOKUP(H15910,IMPORTRANGE(""https://docs.google.com/spreadsheets/d/14Bd19lYaqBhU8_DElYkX7l4wRkHqqCUFNJY4AfY3kHU/edit?usp=sharing  #gid=0"",""фіз особи new!relations_name""),6,FALSE)
,
(IF
(
G15910=""юридична особа""
,
VLOO"&amp;"KUP(H15910,IMPORTRANGE(""https://docs.google.com/spreadsheets/d/14Bd19lYaqBhU8_DElYkX7l4wRkHqqCUFNJY4AfY3kHU/edit?usp=sharing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909" s="7" t="s">
        <v>23</v>
      </c>
    </row>
    <row r="15910" spans="1:10" ht="13.2">
      <c r="A15910" s="7">
        <v>15909</v>
      </c>
      <c r="B15910" s="7">
        <v>1</v>
      </c>
      <c r="C15910" s="7" t="s">
        <v>10</v>
      </c>
      <c r="D15910" s="7">
        <v>19744</v>
      </c>
      <c r="E15910" s="7" t="s">
        <v>23</v>
      </c>
      <c r="F15910" s="8" t="str">
        <f ca="1">IFERROR(__xludf.DUMMYFUNCTION("IF
(
C15911=""фізична особа""
,
VLOOKUP(D15911,IMPORTRANGE(""https://docs.google.com/spreadsheets/d/14Bd19lYaqBhU8_DElYkX7l4wRkHqqCUFNJY4AfY3kHU/edit?usp=sharing  #gid=0"",""фіз особи new!relations_name""),6,FALSE)
,
(IF
(
C15911=""юридична особа""
,
VLOO"&amp;"KUP(D15911,IMPORTRANGE(""https://docs.google.com/spreadsheets/d/14Bd19lYaqBhU8_DElYkX7l4wRkHqqCUFNJY4AfY3kHU/edit?usp=sharing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G15910" s="7" t="s">
        <v>10</v>
      </c>
      <c r="H15910" s="7">
        <v>19745</v>
      </c>
      <c r="I15910" s="8" t="str">
        <f ca="1">IFERROR(__xludf.DUMMYFUNCTION("IF
(
G15911=""фізична особа""
,
VLOOKUP(H15911,IMPORTRANGE(""https://docs.google.com/spreadsheets/d/14Bd19lYaqBhU8_DElYkX7l4wRkHqqCUFNJY4AfY3kHU/edit?usp=sharing  #gid=0"",""фіз особи new!relations_name""),6,FALSE)
,
(IF
(
G15911=""юридична особа""
,
VLOO"&amp;"KUP(H15911,IMPORTRANGE(""https://docs.google.com/spreadsheets/d/14Bd19lYaqBhU8_DElYkX7l4wRkHqqCUFNJY4AfY3kHU/edit?usp=sharing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J15910" s="7" t="s">
        <v>23</v>
      </c>
    </row>
    <row r="15911" spans="1:10" ht="13.2">
      <c r="A15911" s="7">
        <v>15910</v>
      </c>
      <c r="B15911" s="7">
        <v>1</v>
      </c>
      <c r="C15911" s="7" t="s">
        <v>10</v>
      </c>
      <c r="D15911" s="7">
        <v>19745</v>
      </c>
      <c r="E15911" s="7" t="s">
        <v>23</v>
      </c>
      <c r="F15911" s="8" t="str">
        <f ca="1">IFERROR(__xludf.DUMMYFUNCTION("IF
(
C15912=""фізична особа""
,
VLOOKUP(D15912,IMPORTRANGE(""https://docs.google.com/spreadsheets/d/14Bd19lYaqBhU8_DElYkX7l4wRkHqqCUFNJY4AfY3kHU/edit?usp=sharing  #gid=0"",""фіз особи new!relations_name""),6,FALSE)
,
(IF
(
C15912=""юридична особа""
,
VLOO"&amp;"KUP(D15912,IMPORTRANGE(""https://docs.google.com/spreadsheets/d/14Bd19lYaqBhU8_DElYkX7l4wRkHqqCUFNJY4AfY3kHU/edit?usp=sharing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1" s="7" t="s">
        <v>10</v>
      </c>
      <c r="H15911" s="7">
        <v>6630</v>
      </c>
      <c r="I15911" s="8" t="str">
        <f ca="1">IFERROR(__xludf.DUMMYFUNCTION("IF
(
G15912=""фізична особа""
,
VLOOKUP(H15912,IMPORTRANGE(""https://docs.google.com/spreadsheets/d/14Bd19lYaqBhU8_DElYkX7l4wRkHqqCUFNJY4AfY3kHU/edit?usp=sharing  #gid=0"",""фіз особи new!relations_name""),6,FALSE)
,
(IF
(
G15912=""юридична особа""
,
VLOO"&amp;"KUP(H15912,IMPORTRANGE(""https://docs.google.com/spreadsheets/d/14Bd19lYaqBhU8_DElYkX7l4wRkHqqCUFNJY4AfY3kHU/edit?usp=sharing  #gid=0"",""фіз особи new!relations_name_uo""),7,FALSE)
,
)
))"),"ТОРБЕНКО Дмитро Анатолійович")</f>
        <v>ТОРБЕНКО Дмитро Анатолійович</v>
      </c>
      <c r="J15911" s="7" t="s">
        <v>23</v>
      </c>
    </row>
    <row r="15912" spans="1:10" ht="13.2">
      <c r="A15912" s="7">
        <v>15911</v>
      </c>
      <c r="B15912" s="7">
        <v>1</v>
      </c>
      <c r="C15912" s="7" t="s">
        <v>10</v>
      </c>
      <c r="D15912" s="7">
        <v>19745</v>
      </c>
      <c r="E15912" s="7" t="s">
        <v>23</v>
      </c>
      <c r="F15912" s="8" t="str">
        <f ca="1">IFERROR(__xludf.DUMMYFUNCTION("IF
(
C15913=""фізична особа""
,
VLOOKUP(D15913,IMPORTRANGE(""https://docs.google.com/spreadsheets/d/14Bd19lYaqBhU8_DElYkX7l4wRkHqqCUFNJY4AfY3kHU/edit?usp=sharing  #gid=0"",""фіз особи new!relations_name""),6,FALSE)
,
(IF
(
C15913=""юридична особа""
,
VLOO"&amp;"KUP(D15913,IMPORTRANGE(""https://docs.google.com/spreadsheets/d/14Bd19lYaqBhU8_DElYkX7l4wRkHqqCUFNJY4AfY3kHU/edit?usp=sharing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2" s="7" t="s">
        <v>10</v>
      </c>
      <c r="H15912" s="7">
        <v>19739</v>
      </c>
      <c r="I15912" s="8" t="str">
        <f ca="1">IFERROR(__xludf.DUMMYFUNCTION("IF
(
G15913=""фізична особа""
,
VLOOKUP(H15913,IMPORTRANGE(""https://docs.google.com/spreadsheets/d/14Bd19lYaqBhU8_DElYkX7l4wRkHqqCUFNJY4AfY3kHU/edit?usp=sharing  #gid=0"",""фіз особи new!relations_name""),6,FALSE)
,
(IF
(
G15913=""юридична особа""
,
VLOO"&amp;"KUP(H15913,IMPORTRANGE(""https://docs.google.com/spreadsheets/d/14Bd19lYaqBhU8_DElYkX7l4wRkHqqCUFNJY4AfY3kHU/edit?usp=sharing  #gid=0"",""фіз особи new!relations_name_uo""),7,FALSE)
,
)
))"),"АЛМАКАЄВА Олена Миколаївна")</f>
        <v>АЛМАКАЄВА Олена Миколаївна</v>
      </c>
      <c r="J15912" s="7" t="s">
        <v>23</v>
      </c>
    </row>
    <row r="15913" spans="1:10" ht="13.2">
      <c r="A15913" s="7">
        <v>15912</v>
      </c>
      <c r="B15913" s="7">
        <v>1</v>
      </c>
      <c r="C15913" s="7" t="s">
        <v>10</v>
      </c>
      <c r="D15913" s="7">
        <v>19745</v>
      </c>
      <c r="E15913" s="7" t="s">
        <v>23</v>
      </c>
      <c r="F15913" s="8" t="str">
        <f ca="1">IFERROR(__xludf.DUMMYFUNCTION("IF
(
C15914=""фізична особа""
,
VLOOKUP(D15914,IMPORTRANGE(""https://docs.google.com/spreadsheets/d/14Bd19lYaqBhU8_DElYkX7l4wRkHqqCUFNJY4AfY3kHU/edit?usp=sharing  #gid=0"",""фіз особи new!relations_name""),6,FALSE)
,
(IF
(
C15914=""юридична особа""
,
VLOO"&amp;"KUP(D15914,IMPORTRANGE(""https://docs.google.com/spreadsheets/d/14Bd19lYaqBhU8_DElYkX7l4wRkHqqCUFNJY4AfY3kHU/edit?usp=sharing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3" s="7" t="s">
        <v>10</v>
      </c>
      <c r="H15913" s="7">
        <v>19740</v>
      </c>
      <c r="I15913" s="8" t="str">
        <f ca="1">IFERROR(__xludf.DUMMYFUNCTION("IF
(
G15914=""фізична особа""
,
VLOOKUP(H15914,IMPORTRANGE(""https://docs.google.com/spreadsheets/d/14Bd19lYaqBhU8_DElYkX7l4wRkHqqCUFNJY4AfY3kHU/edit?usp=sharing  #gid=0"",""фіз особи new!relations_name""),6,FALSE)
,
(IF
(
G15914=""юридична особа""
,
VLOO"&amp;"KUP(H15914,IMPORTRANGE(""https://docs.google.com/spreadsheets/d/14Bd19lYaqBhU8_DElYkX7l4wRkHqqCUFNJY4AfY3kHU/edit?usp=sharing  #gid=0"",""фіз особи new!relations_name_uo""),7,FALSE)
,
)
))"),"БАТАЛОВ Володимир Юрійович")</f>
        <v>БАТАЛОВ Володимир Юрійович</v>
      </c>
      <c r="J15913" s="7" t="s">
        <v>23</v>
      </c>
    </row>
    <row r="15914" spans="1:10" ht="13.2">
      <c r="A15914" s="7">
        <v>15913</v>
      </c>
      <c r="B15914" s="7">
        <v>1</v>
      </c>
      <c r="C15914" s="7" t="s">
        <v>10</v>
      </c>
      <c r="D15914" s="7">
        <v>19745</v>
      </c>
      <c r="E15914" s="7" t="s">
        <v>23</v>
      </c>
      <c r="F15914" s="8" t="str">
        <f ca="1">IFERROR(__xludf.DUMMYFUNCTION("IF
(
C15915=""фізична особа""
,
VLOOKUP(D15915,IMPORTRANGE(""https://docs.google.com/spreadsheets/d/14Bd19lYaqBhU8_DElYkX7l4wRkHqqCUFNJY4AfY3kHU/edit?usp=sharing  #gid=0"",""фіз особи new!relations_name""),6,FALSE)
,
(IF
(
C15915=""юридична особа""
,
VLOO"&amp;"KUP(D15915,IMPORTRANGE(""https://docs.google.com/spreadsheets/d/14Bd19lYaqBhU8_DElYkX7l4wRkHqqCUFNJY4AfY3kHU/edit?usp=sharing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4" s="7" t="s">
        <v>10</v>
      </c>
      <c r="H15914" s="7">
        <v>19741</v>
      </c>
      <c r="I15914" s="8" t="str">
        <f ca="1">IFERROR(__xludf.DUMMYFUNCTION("IF
(
G15915=""фізична особа""
,
VLOOKUP(H15915,IMPORTRANGE(""https://docs.google.com/spreadsheets/d/14Bd19lYaqBhU8_DElYkX7l4wRkHqqCUFNJY4AfY3kHU/edit?usp=sharing  #gid=0"",""фіз особи new!relations_name""),6,FALSE)
,
(IF
(
G15915=""юридична особа""
,
VLOO"&amp;"KUP(H15915,IMPORTRANGE(""https://docs.google.com/spreadsheets/d/14Bd19lYaqBhU8_DElYkX7l4wRkHqqCUFNJY4AfY3kHU/edit?usp=sharing  #gid=0"",""фіз особи new!relations_name_uo""),7,FALSE)
,
)
))"),"КУЛЬБАЧНИЙ Роман Валентинович")</f>
        <v>КУЛЬБАЧНИЙ Роман Валентинович</v>
      </c>
      <c r="J15914" s="7" t="s">
        <v>23</v>
      </c>
    </row>
    <row r="15915" spans="1:10" ht="13.2">
      <c r="A15915" s="7">
        <v>15914</v>
      </c>
      <c r="B15915" s="7">
        <v>1</v>
      </c>
      <c r="C15915" s="7" t="s">
        <v>10</v>
      </c>
      <c r="D15915" s="7">
        <v>19745</v>
      </c>
      <c r="E15915" s="7" t="s">
        <v>23</v>
      </c>
      <c r="F15915" s="8" t="str">
        <f ca="1">IFERROR(__xludf.DUMMYFUNCTION("IF
(
C15916=""фізична особа""
,
VLOOKUP(D15916,IMPORTRANGE(""https://docs.google.com/spreadsheets/d/14Bd19lYaqBhU8_DElYkX7l4wRkHqqCUFNJY4AfY3kHU/edit?usp=sharing  #gid=0"",""фіз особи new!relations_name""),6,FALSE)
,
(IF
(
C15916=""юридична особа""
,
VLOO"&amp;"KUP(D15916,IMPORTRANGE(""https://docs.google.com/spreadsheets/d/14Bd19lYaqBhU8_DElYkX7l4wRkHqqCUFNJY4AfY3kHU/edit?usp=sharing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5" s="7" t="s">
        <v>10</v>
      </c>
      <c r="H15915" s="7">
        <v>19742</v>
      </c>
      <c r="I15915" s="8" t="str">
        <f ca="1">IFERROR(__xludf.DUMMYFUNCTION("IF
(
G15916=""фізична особа""
,
VLOOKUP(H15916,IMPORTRANGE(""https://docs.google.com/spreadsheets/d/14Bd19lYaqBhU8_DElYkX7l4wRkHqqCUFNJY4AfY3kHU/edit?usp=sharing  #gid=0"",""фіз особи new!relations_name""),6,FALSE)
,
(IF
(
G15916=""юридична особа""
,
VLOO"&amp;"KUP(H15916,IMPORTRANGE(""https://docs.google.com/spreadsheets/d/14Bd19lYaqBhU8_DElYkX7l4wRkHqqCUFNJY4AfY3kHU/edit?usp=sharing  #gid=0"",""фіз особи new!relations_name_uo""),7,FALSE)
,
)
))"),"ХАРЕВИЧ Борис Андрійович")</f>
        <v>ХАРЕВИЧ Борис Андрійович</v>
      </c>
      <c r="J15915" s="7" t="s">
        <v>23</v>
      </c>
    </row>
    <row r="15916" spans="1:10" ht="13.2">
      <c r="A15916" s="7">
        <v>15915</v>
      </c>
      <c r="B15916" s="7">
        <v>1</v>
      </c>
      <c r="C15916" s="7" t="s">
        <v>10</v>
      </c>
      <c r="D15916" s="7">
        <v>19745</v>
      </c>
      <c r="E15916" s="7" t="s">
        <v>23</v>
      </c>
      <c r="F15916" s="8" t="str">
        <f ca="1">IFERROR(__xludf.DUMMYFUNCTION("IF
(
C15917=""фізична особа""
,
VLOOKUP(D15917,IMPORTRANGE(""https://docs.google.com/spreadsheets/d/14Bd19lYaqBhU8_DElYkX7l4wRkHqqCUFNJY4AfY3kHU/edit?usp=sharing  #gid=0"",""фіз особи new!relations_name""),6,FALSE)
,
(IF
(
C15917=""юридична особа""
,
VLOO"&amp;"KUP(D15917,IMPORTRANGE(""https://docs.google.com/spreadsheets/d/14Bd19lYaqBhU8_DElYkX7l4wRkHqqCUFNJY4AfY3kHU/edit?usp=sharing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6" s="7" t="s">
        <v>10</v>
      </c>
      <c r="H15916" s="7">
        <v>19743</v>
      </c>
      <c r="I15916" s="8" t="str">
        <f ca="1">IFERROR(__xludf.DUMMYFUNCTION("IF
(
G15917=""фізична особа""
,
VLOOKUP(H15917,IMPORTRANGE(""https://docs.google.com/spreadsheets/d/14Bd19lYaqBhU8_DElYkX7l4wRkHqqCUFNJY4AfY3kHU/edit?usp=sharing  #gid=0"",""фіз особи new!relations_name""),6,FALSE)
,
(IF
(
G15917=""юридична особа""
,
VLOO"&amp;"KUP(H15917,IMPORTRANGE(""https://docs.google.com/spreadsheets/d/14Bd19lYaqBhU8_DElYkX7l4wRkHqqCUFNJY4AfY3kHU/edit?usp=sharing  #gid=0"",""фіз особи new!relations_name_uo""),7,FALSE)
,
)
))"),"ШИПУНОВ Вадим Юрійович")</f>
        <v>ШИПУНОВ Вадим Юрійович</v>
      </c>
      <c r="J15916" s="7" t="s">
        <v>23</v>
      </c>
    </row>
    <row r="15917" spans="1:10" ht="13.2">
      <c r="A15917" s="7">
        <v>15916</v>
      </c>
      <c r="B15917" s="7">
        <v>1</v>
      </c>
      <c r="C15917" s="7" t="s">
        <v>10</v>
      </c>
      <c r="D15917" s="7">
        <v>19745</v>
      </c>
      <c r="E15917" s="7" t="s">
        <v>23</v>
      </c>
      <c r="F15917" s="8" t="str">
        <f ca="1">IFERROR(__xludf.DUMMYFUNCTION("IF
(
C15918=""фізична особа""
,
VLOOKUP(D15918,IMPORTRANGE(""https://docs.google.com/spreadsheets/d/14Bd19lYaqBhU8_DElYkX7l4wRkHqqCUFNJY4AfY3kHU/edit?usp=sharing  #gid=0"",""фіз особи new!relations_name""),6,FALSE)
,
(IF
(
C15918=""юридична особа""
,
VLOO"&amp;"KUP(D15918,IMPORTRANGE(""https://docs.google.com/spreadsheets/d/14Bd19lYaqBhU8_DElYkX7l4wRkHqqCUFNJY4AfY3kHU/edit?usp=sharing  #gid=0"",""фіз особи new!relations_name_uo""),7,FALSE)
,
)
))"),"ЯНПОЛЬСЬКИЙ Сергій Львович")</f>
        <v>ЯНПОЛЬСЬКИЙ Сергій Львович</v>
      </c>
      <c r="G15917" s="7" t="s">
        <v>10</v>
      </c>
      <c r="H15917" s="7">
        <v>19744</v>
      </c>
      <c r="I15917" s="8" t="str">
        <f ca="1">IFERROR(__xludf.DUMMYFUNCTION("IF
(
G15918=""фізична особа""
,
VLOOKUP(H15918,IMPORTRANGE(""https://docs.google.com/spreadsheets/d/14Bd19lYaqBhU8_DElYkX7l4wRkHqqCUFNJY4AfY3kHU/edit?usp=sharing  #gid=0"",""фіз особи new!relations_name""),6,FALSE)
,
(IF
(
G15918=""юридична особа""
,
VLOO"&amp;"KUP(H15918,IMPORTRANGE(""https://docs.google.com/spreadsheets/d/14Bd19lYaqBhU8_DElYkX7l4wRkHqqCUFNJY4AfY3kHU/edit?usp=sharing  #gid=0"",""фіз особи new!relations_name_uo""),7,FALSE)
,
)
))"),"ЯБЛОНСЬКИХ Владислав Євгенійович")</f>
        <v>ЯБЛОНСЬКИХ Владислав Євгенійович</v>
      </c>
      <c r="J15917" s="7" t="s">
        <v>23</v>
      </c>
    </row>
    <row r="15918" spans="1:10" ht="13.2">
      <c r="A15918" s="7">
        <v>15917</v>
      </c>
      <c r="B15918" s="7">
        <v>1</v>
      </c>
      <c r="C15918" s="7" t="s">
        <v>10</v>
      </c>
      <c r="D15918" s="7">
        <v>19774</v>
      </c>
      <c r="E15918" s="7" t="s">
        <v>23</v>
      </c>
      <c r="F15918" s="8" t="str">
        <f ca="1">IFERROR(__xludf.DUMMYFUNCTION("IF
(
C15919=""фізична особа""
,
VLOOKUP(D15919,IMPORTRANGE(""https://docs.google.com/spreadsheets/d/14Bd19lYaqBhU8_DElYkX7l4wRkHqqCUFNJY4AfY3kHU/edit?usp=sharing  #gid=0"",""фіз особи new!relations_name""),6,FALSE)
,
(IF
(
C15919=""юридична особа""
,
VLOO"&amp;"KUP(D15919,IMPORTRANGE(""https://docs.google.com/spreadsheets/d/14Bd19lYaqBhU8_DElYkX7l4wRkHqqCUFNJY4AfY3kHU/edit?usp=sharing  #gid=0"",""фіз особи new!relations_name_uo""),7,FALSE)
,
)
))"),"БУДКІН Сергій Вікторович")</f>
        <v>БУДКІН Сергій Вікторович</v>
      </c>
      <c r="G15918" s="7" t="s">
        <v>10</v>
      </c>
      <c r="H15918" s="7">
        <v>0</v>
      </c>
      <c r="I15918" s="8" t="str">
        <f ca="1">IFERROR(__xludf.DUMMYFUNCTION("IF
(
G15919=""фізична особа""
,
VLOOKUP(H15919,IMPORTRANGE(""https://docs.google.com/spreadsheets/d/14Bd19lYaqBhU8_DElYkX7l4wRkHqqCUFNJY4AfY3kHU/edit?usp=sharing  #gid=0"",""фіз особи new!relations_name""),6,FALSE)
,
(IF
(
G15919=""юридична особа""
,
VLOO"&amp;"KUP(H15919,IMPORTRANGE(""https://docs.google.com/spreadsheets/d/14Bd19lYaqBhU8_DElYkX7l4wRkHqqCUFNJY4AfY3kHU/edit?usp=sharing  #gid=0"",""фіз особи new!relations_name_uo""),7,FALSE)
,
)
))"),"#N/A")</f>
        <v>#N/A</v>
      </c>
      <c r="J15918" s="7" t="s">
        <v>23</v>
      </c>
    </row>
    <row r="15919" spans="1:10" ht="13.2">
      <c r="A15919" s="7">
        <v>15918</v>
      </c>
      <c r="B15919" s="7">
        <v>1</v>
      </c>
      <c r="C15919" s="7" t="s">
        <v>10</v>
      </c>
      <c r="D15919" s="7">
        <v>19775</v>
      </c>
      <c r="E15919" s="7" t="s">
        <v>23</v>
      </c>
      <c r="F15919" s="8" t="str">
        <f ca="1">IFERROR(__xludf.DUMMYFUNCTION("IF
(
C15920=""фізична особа""
,
VLOOKUP(D15920,IMPORTRANGE(""https://docs.google.com/spreadsheets/d/14Bd19lYaqBhU8_DElYkX7l4wRkHqqCUFNJY4AfY3kHU/edit?usp=sharing  #gid=0"",""фіз особи new!relations_name""),6,FALSE)
,
(IF
(
C15920=""юридична особа""
,
VLOO"&amp;"KUP(D15920,IMPORTRANGE(""https://docs.google.com/spreadsheets/d/14Bd19lYaqBhU8_DElYkX7l4wRkHqqCUFNJY4AfY3kHU/edit?usp=sharing  #gid=0"",""фіз особи new!relations_name_uo""),7,FALSE)
,
)
))"),"ФАБРІН Сергій Юрійович")</f>
        <v>ФАБРІН Сергій Юрійович</v>
      </c>
      <c r="G15919" s="7" t="s">
        <v>10</v>
      </c>
      <c r="H15919" s="7">
        <v>19733</v>
      </c>
      <c r="I15919" s="8" t="str">
        <f ca="1">IFERROR(__xludf.DUMMYFUNCTION("IF
(
G15920=""фізична особа""
,
VLOOKUP(H15920,IMPORTRANGE(""https://docs.google.com/spreadsheets/d/14Bd19lYaqBhU8_DElYkX7l4wRkHqqCUFNJY4AfY3kHU/edit?usp=sharing  #gid=0"",""фіз особи new!relations_name""),6,FALSE)
,
(IF
(
G15920=""юридична особа""
,
VLOO"&amp;"KUP(H15920,IMPORTRANGE(""https://docs.google.com/spreadsheets/d/14Bd19lYaqBhU8_DElYkX7l4wRkHqqCUFNJY4AfY3kHU/edit?usp=sharing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919" s="7" t="s">
        <v>23</v>
      </c>
    </row>
    <row r="15920" spans="1:10" ht="13.2">
      <c r="A15920" s="7">
        <v>15919</v>
      </c>
      <c r="B15920" s="7">
        <v>1</v>
      </c>
      <c r="C15920" s="7" t="s">
        <v>10</v>
      </c>
      <c r="D15920" s="7">
        <v>19776</v>
      </c>
      <c r="E15920" s="7" t="s">
        <v>23</v>
      </c>
      <c r="F15920" s="8" t="str">
        <f ca="1">IFERROR(__xludf.DUMMYFUNCTION("IF
(
C15921=""фізична особа""
,
VLOOKUP(D15921,IMPORTRANGE(""https://docs.google.com/spreadsheets/d/14Bd19lYaqBhU8_DElYkX7l4wRkHqqCUFNJY4AfY3kHU/edit?usp=sharing  #gid=0"",""фіз особи new!relations_name""),6,FALSE)
,
(IF
(
C15921=""юридична особа""
,
VLOO"&amp;"KUP(D15921,IMPORTRANGE(""https://docs.google.com/spreadsheets/d/14Bd19lYaqBhU8_DElYkX7l4wRkHqqCUFNJY4AfY3kHU/edit?usp=sharing  #gid=0"",""фіз особи new!relations_name_uo""),7,FALSE)
,
)
))"),"ЧУНІХІНА Галина Вікторівна")</f>
        <v>ЧУНІХІНА Галина Вікторівна</v>
      </c>
      <c r="G15920" s="7" t="s">
        <v>10</v>
      </c>
      <c r="H15920" s="7">
        <v>19733</v>
      </c>
      <c r="I15920" s="8" t="str">
        <f ca="1">IFERROR(__xludf.DUMMYFUNCTION("IF
(
G15921=""фізична особа""
,
VLOOKUP(H15921,IMPORTRANGE(""https://docs.google.com/spreadsheets/d/14Bd19lYaqBhU8_DElYkX7l4wRkHqqCUFNJY4AfY3kHU/edit?usp=sharing  #gid=0"",""фіз особи new!relations_name""),6,FALSE)
,
(IF
(
G15921=""юридична особа""
,
VLOO"&amp;"KUP(H15921,IMPORTRANGE(""https://docs.google.com/spreadsheets/d/14Bd19lYaqBhU8_DElYkX7l4wRkHqqCUFNJY4AfY3kHU/edit?usp=sharing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920" s="7" t="s">
        <v>23</v>
      </c>
    </row>
    <row r="15921" spans="1:10" ht="13.2">
      <c r="A15921" s="7">
        <v>15920</v>
      </c>
      <c r="B15921" s="7">
        <v>1</v>
      </c>
      <c r="C15921" s="7" t="s">
        <v>10</v>
      </c>
      <c r="D15921" s="7">
        <v>19777</v>
      </c>
      <c r="E15921" s="7" t="s">
        <v>23</v>
      </c>
      <c r="F15921" s="8" t="str">
        <f ca="1">IFERROR(__xludf.DUMMYFUNCTION("IF
(
C15922=""фізична особа""
,
VLOOKUP(D15922,IMPORTRANGE(""https://docs.google.com/spreadsheets/d/14Bd19lYaqBhU8_DElYkX7l4wRkHqqCUFNJY4AfY3kHU/edit?usp=sharing  #gid=0"",""фіз особи new!relations_name""),6,FALSE)
,
(IF
(
C15922=""юридична особа""
,
VLOO"&amp;"KUP(D15922,IMPORTRANGE(""https://docs.google.com/spreadsheets/d/14Bd19lYaqBhU8_DElYkX7l4wRkHqqCUFNJY4AfY3kHU/edit?usp=sharing  #gid=0"",""фіз особи new!relations_name_uo""),7,FALSE)
,
)
))"),"АНІКУШИНА Діана Олегівна")</f>
        <v>АНІКУШИНА Діана Олегівна</v>
      </c>
      <c r="G15921" s="7" t="s">
        <v>10</v>
      </c>
      <c r="H15921" s="7">
        <v>19733</v>
      </c>
      <c r="I15921" s="8" t="str">
        <f ca="1">IFERROR(__xludf.DUMMYFUNCTION("IF
(
G15922=""фізична особа""
,
VLOOKUP(H15922,IMPORTRANGE(""https://docs.google.com/spreadsheets/d/14Bd19lYaqBhU8_DElYkX7l4wRkHqqCUFNJY4AfY3kHU/edit?usp=sharing  #gid=0"",""фіз особи new!relations_name""),6,FALSE)
,
(IF
(
G15922=""юридична особа""
,
VLOO"&amp;"KUP(H15922,IMPORTRANGE(""https://docs.google.com/spreadsheets/d/14Bd19lYaqBhU8_DElYkX7l4wRkHqqCUFNJY4AfY3kHU/edit?usp=sharing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921" s="7" t="s">
        <v>23</v>
      </c>
    </row>
    <row r="15922" spans="1:10" ht="13.2">
      <c r="A15922" s="7">
        <v>15921</v>
      </c>
      <c r="B15922" s="7">
        <v>1</v>
      </c>
      <c r="C15922" s="7" t="s">
        <v>10</v>
      </c>
      <c r="D15922" s="7">
        <v>19778</v>
      </c>
      <c r="E15922" s="7" t="s">
        <v>23</v>
      </c>
      <c r="F15922" s="8" t="str">
        <f ca="1">IFERROR(__xludf.DUMMYFUNCTION("IF
(
C15923=""фізична особа""
,
VLOOKUP(D15923,IMPORTRANGE(""https://docs.google.com/spreadsheets/d/14Bd19lYaqBhU8_DElYkX7l4wRkHqqCUFNJY4AfY3kHU/edit?usp=sharing  #gid=0"",""фіз особи new!relations_name""),6,FALSE)
,
(IF
(
C15923=""юридична особа""
,
VLOO"&amp;"KUP(D15923,IMPORTRANGE(""https://docs.google.com/spreadsheets/d/14Bd19lYaqBhU8_DElYkX7l4wRkHqqCUFNJY4AfY3kHU/edit?usp=sharing  #gid=0"",""фіз особи new!relations_name_uo""),7,FALSE)
,
)
))"),"ЧЕТКІНА Світлана Володимирівна")</f>
        <v>ЧЕТКІНА Світлана Володимирівна</v>
      </c>
      <c r="G15922" s="7" t="s">
        <v>10</v>
      </c>
      <c r="H15922" s="7">
        <v>19733</v>
      </c>
      <c r="I15922" s="8" t="str">
        <f ca="1">IFERROR(__xludf.DUMMYFUNCTION("IF
(
G15923=""фізична особа""
,
VLOOKUP(H15923,IMPORTRANGE(""https://docs.google.com/spreadsheets/d/14Bd19lYaqBhU8_DElYkX7l4wRkHqqCUFNJY4AfY3kHU/edit?usp=sharing  #gid=0"",""фіз особи new!relations_name""),6,FALSE)
,
(IF
(
G15923=""юридична особа""
,
VLOO"&amp;"KUP(H15923,IMPORTRANGE(""https://docs.google.com/spreadsheets/d/14Bd19lYaqBhU8_DElYkX7l4wRkHqqCUFNJY4AfY3kHU/edit?usp=sharing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922" s="7" t="s">
        <v>23</v>
      </c>
    </row>
    <row r="15923" spans="1:10" ht="13.2">
      <c r="A15923" s="7">
        <v>15922</v>
      </c>
      <c r="B15923" s="7">
        <v>1</v>
      </c>
      <c r="C15923" s="7" t="s">
        <v>10</v>
      </c>
      <c r="D15923" s="7">
        <v>19779</v>
      </c>
      <c r="E15923" s="7" t="s">
        <v>23</v>
      </c>
      <c r="F15923" s="8" t="str">
        <f ca="1">IFERROR(__xludf.DUMMYFUNCTION("IF
(
C15924=""фізична особа""
,
VLOOKUP(D15924,IMPORTRANGE(""https://docs.google.com/spreadsheets/d/14Bd19lYaqBhU8_DElYkX7l4wRkHqqCUFNJY4AfY3kHU/edit?usp=sharing  #gid=0"",""фіз особи new!relations_name""),6,FALSE)
,
(IF
(
C15924=""юридична особа""
,
VLOO"&amp;"KUP(D15924,IMPORTRANGE(""https://docs.google.com/spreadsheets/d/14Bd19lYaqBhU8_DElYkX7l4wRkHqqCUFNJY4AfY3kHU/edit?usp=sharing  #gid=0"",""фіз особи new!relations_name_uo""),7,FALSE)
,
)
))"),"ЧУШНЯКОВ Євгеній Олегович")</f>
        <v>ЧУШНЯКОВ Євгеній Олегович</v>
      </c>
      <c r="G15923" s="7" t="s">
        <v>10</v>
      </c>
      <c r="H15923" s="7">
        <v>19733</v>
      </c>
      <c r="I15923" s="8" t="str">
        <f ca="1">IFERROR(__xludf.DUMMYFUNCTION("IF
(
G15924=""фізична особа""
,
VLOOKUP(H15924,IMPORTRANGE(""https://docs.google.com/spreadsheets/d/14Bd19lYaqBhU8_DElYkX7l4wRkHqqCUFNJY4AfY3kHU/edit?usp=sharing  #gid=0"",""фіз особи new!relations_name""),6,FALSE)
,
(IF
(
G15924=""юридична особа""
,
VLOO"&amp;"KUP(H15924,IMPORTRANGE(""https://docs.google.com/spreadsheets/d/14Bd19lYaqBhU8_DElYkX7l4wRkHqqCUFNJY4AfY3kHU/edit?usp=sharing  #gid=0"",""фіз особи new!relations_name_uo""),7,FALSE)
,
)
))"),"ЧИТІПАХОВЯН Степан Петрович")</f>
        <v>ЧИТІПАХОВЯН Степан Петрович</v>
      </c>
      <c r="J15923" s="7" t="s">
        <v>23</v>
      </c>
    </row>
    <row r="15924" spans="1:10" ht="13.2">
      <c r="A15924" s="7">
        <v>15923</v>
      </c>
      <c r="B15924" s="7">
        <v>1</v>
      </c>
      <c r="C15924" s="7" t="s">
        <v>10</v>
      </c>
      <c r="D15924" s="7">
        <v>19780</v>
      </c>
      <c r="E15924" s="7" t="s">
        <v>23</v>
      </c>
      <c r="F15924" s="8" t="str">
        <f ca="1">IFERROR(__xludf.DUMMYFUNCTION("IF
(
C15925=""фізична особа""
,
VLOOKUP(D15925,IMPORTRANGE(""https://docs.google.com/spreadsheets/d/14Bd19lYaqBhU8_DElYkX7l4wRkHqqCUFNJY4AfY3kHU/edit?usp=sharing  #gid=0"",""фіз особи new!relations_name""),6,FALSE)
,
(IF
(
C15925=""юридична особа""
,
VLOO"&amp;"KUP(D15925,IMPORTRANGE(""https://docs.google.com/spreadsheets/d/14Bd19lYaqBhU8_DElYkX7l4wRkHqqCUFNJY4AfY3kHU/edit?usp=sharing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4" s="7" t="s">
        <v>10</v>
      </c>
      <c r="H15924" s="7">
        <v>0</v>
      </c>
      <c r="I15924" s="8" t="str">
        <f ca="1">IFERROR(__xludf.DUMMYFUNCTION("IF
(
G15925=""фізична особа""
,
VLOOKUP(H15925,IMPORTRANGE(""https://docs.google.com/spreadsheets/d/14Bd19lYaqBhU8_DElYkX7l4wRkHqqCUFNJY4AfY3kHU/edit?usp=sharing  #gid=0"",""фіз особи new!relations_name""),6,FALSE)
,
(IF
(
G15925=""юридична особа""
,
VLOO"&amp;"KUP(H15925,IMPORTRANGE(""https://docs.google.com/spreadsheets/d/14Bd19lYaqBhU8_DElYkX7l4wRkHqqCUFNJY4AfY3kHU/edit?usp=sharing  #gid=0"",""фіз особи new!relations_name_uo""),7,FALSE)
,
)
))"),"#N/A")</f>
        <v>#N/A</v>
      </c>
      <c r="J15924" s="7" t="s">
        <v>23</v>
      </c>
    </row>
    <row r="15925" spans="1:10" ht="13.2">
      <c r="A15925" s="7">
        <v>15924</v>
      </c>
      <c r="B15925" s="7">
        <v>1</v>
      </c>
      <c r="C15925" s="7" t="s">
        <v>10</v>
      </c>
      <c r="D15925" s="7">
        <v>19780</v>
      </c>
      <c r="E15925" s="7" t="s">
        <v>23</v>
      </c>
      <c r="F15925" s="8" t="str">
        <f ca="1">IFERROR(__xludf.DUMMYFUNCTION("IF
(
C15926=""фізична особа""
,
VLOOKUP(D15926,IMPORTRANGE(""https://docs.google.com/spreadsheets/d/14Bd19lYaqBhU8_DElYkX7l4wRkHqqCUFNJY4AfY3kHU/edit?usp=sharing  #gid=0"",""фіз особи new!relations_name""),6,FALSE)
,
(IF
(
C15926=""юридична особа""
,
VLOO"&amp;"KUP(D15926,IMPORTRANGE(""https://docs.google.com/spreadsheets/d/14Bd19lYaqBhU8_DElYkX7l4wRkHqqCUFNJY4AfY3kHU/edit?usp=sharing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5" s="7" t="s">
        <v>10</v>
      </c>
      <c r="H15925" s="7">
        <v>0</v>
      </c>
      <c r="I15925" s="8" t="str">
        <f ca="1">IFERROR(__xludf.DUMMYFUNCTION("IF
(
G15926=""фізична особа""
,
VLOOKUP(H15926,IMPORTRANGE(""https://docs.google.com/spreadsheets/d/14Bd19lYaqBhU8_DElYkX7l4wRkHqqCUFNJY4AfY3kHU/edit?usp=sharing  #gid=0"",""фіз особи new!relations_name""),6,FALSE)
,
(IF
(
G15926=""юридична особа""
,
VLOO"&amp;"KUP(H15926,IMPORTRANGE(""https://docs.google.com/spreadsheets/d/14Bd19lYaqBhU8_DElYkX7l4wRkHqqCUFNJY4AfY3kHU/edit?usp=sharing  #gid=0"",""фіз особи new!relations_name_uo""),7,FALSE)
,
)
))"),"#N/A")</f>
        <v>#N/A</v>
      </c>
      <c r="J15925" s="7" t="s">
        <v>23</v>
      </c>
    </row>
    <row r="15926" spans="1:10" ht="13.2">
      <c r="A15926" s="7">
        <v>15925</v>
      </c>
      <c r="B15926" s="7">
        <v>1</v>
      </c>
      <c r="C15926" s="7" t="s">
        <v>10</v>
      </c>
      <c r="D15926" s="7">
        <v>19780</v>
      </c>
      <c r="E15926" s="7" t="s">
        <v>23</v>
      </c>
      <c r="F15926" s="8" t="str">
        <f ca="1">IFERROR(__xludf.DUMMYFUNCTION("IF
(
C15927=""фізична особа""
,
VLOOKUP(D15927,IMPORTRANGE(""https://docs.google.com/spreadsheets/d/14Bd19lYaqBhU8_DElYkX7l4wRkHqqCUFNJY4AfY3kHU/edit?usp=sharing  #gid=0"",""фіз особи new!relations_name""),6,FALSE)
,
(IF
(
C15927=""юридична особа""
,
VLOO"&amp;"KUP(D15927,IMPORTRANGE(""https://docs.google.com/spreadsheets/d/14Bd19lYaqBhU8_DElYkX7l4wRkHqqCUFNJY4AfY3kHU/edit?usp=sharing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6" s="7" t="s">
        <v>10</v>
      </c>
      <c r="H15926" s="7">
        <v>19785</v>
      </c>
      <c r="I15926" s="8" t="str">
        <f ca="1">IFERROR(__xludf.DUMMYFUNCTION("IF
(
G15927=""фізична особа""
,
VLOOKUP(H15927,IMPORTRANGE(""https://docs.google.com/spreadsheets/d/14Bd19lYaqBhU8_DElYkX7l4wRkHqqCUFNJY4AfY3kHU/edit?usp=sharing  #gid=0"",""фіз особи new!relations_name""),6,FALSE)
,
(IF
(
G15927=""юридична особа""
,
VLOO"&amp;"KUP(H15927,IMPORTRANGE(""https://docs.google.com/spreadsheets/d/14Bd19lYaqBhU8_DElYkX7l4wRkHqqCUFNJY4AfY3kHU/edit?usp=sharing  #gid=0"",""фіз особи new!relations_name_uo""),7,FALSE)
,
)
))"),"БЄЛЯЄВА Тетяна Борисівна")</f>
        <v>БЄЛЯЄВА Тетяна Борисівна</v>
      </c>
      <c r="J15926" s="7" t="s">
        <v>23</v>
      </c>
    </row>
    <row r="15927" spans="1:10" ht="13.2">
      <c r="A15927" s="7">
        <v>15926</v>
      </c>
      <c r="B15927" s="7">
        <v>1</v>
      </c>
      <c r="C15927" s="7" t="s">
        <v>10</v>
      </c>
      <c r="D15927" s="7">
        <v>19780</v>
      </c>
      <c r="E15927" s="7" t="s">
        <v>23</v>
      </c>
      <c r="F15927" s="8" t="str">
        <f ca="1">IFERROR(__xludf.DUMMYFUNCTION("IF
(
C15928=""фізична особа""
,
VLOOKUP(D15928,IMPORTRANGE(""https://docs.google.com/spreadsheets/d/14Bd19lYaqBhU8_DElYkX7l4wRkHqqCUFNJY4AfY3kHU/edit?usp=sharing  #gid=0"",""фіз особи new!relations_name""),6,FALSE)
,
(IF
(
C15928=""юридична особа""
,
VLOO"&amp;"KUP(D15928,IMPORTRANGE(""https://docs.google.com/spreadsheets/d/14Bd19lYaqBhU8_DElYkX7l4wRkHqqCUFNJY4AfY3kHU/edit?usp=sharing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7" s="7" t="s">
        <v>10</v>
      </c>
      <c r="H15927" s="7">
        <v>19782</v>
      </c>
      <c r="I15927" s="8" t="str">
        <f ca="1">IFERROR(__xludf.DUMMYFUNCTION("IF
(
G15928=""фізична особа""
,
VLOOKUP(H15928,IMPORTRANGE(""https://docs.google.com/spreadsheets/d/14Bd19lYaqBhU8_DElYkX7l4wRkHqqCUFNJY4AfY3kHU/edit?usp=sharing  #gid=0"",""фіз особи new!relations_name""),6,FALSE)
,
(IF
(
G15928=""юридична особа""
,
VLOO"&amp;"KUP(H15928,IMPORTRANGE(""https://docs.google.com/spreadsheets/d/14Bd19lYaqBhU8_DElYkX7l4wRkHqqCUFNJY4AfY3kHU/edit?usp=sharing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J15927" s="7" t="s">
        <v>23</v>
      </c>
    </row>
    <row r="15928" spans="1:10" ht="13.2">
      <c r="A15928" s="7">
        <v>15927</v>
      </c>
      <c r="B15928" s="7">
        <v>1</v>
      </c>
      <c r="C15928" s="7" t="s">
        <v>10</v>
      </c>
      <c r="D15928" s="7">
        <v>19780</v>
      </c>
      <c r="E15928" s="7" t="s">
        <v>23</v>
      </c>
      <c r="F15928" s="8" t="str">
        <f ca="1">IFERROR(__xludf.DUMMYFUNCTION("IF
(
C15929=""фізична особа""
,
VLOOKUP(D15929,IMPORTRANGE(""https://docs.google.com/spreadsheets/d/14Bd19lYaqBhU8_DElYkX7l4wRkHqqCUFNJY4AfY3kHU/edit?usp=sharing  #gid=0"",""фіз особи new!relations_name""),6,FALSE)
,
(IF
(
C15929=""юридична особа""
,
VLOO"&amp;"KUP(D15929,IMPORTRANGE(""https://docs.google.com/spreadsheets/d/14Bd19lYaqBhU8_DElYkX7l4wRkHqqCUFNJY4AfY3kHU/edit?usp=sharing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8" s="7" t="s">
        <v>10</v>
      </c>
      <c r="H15928" s="7">
        <v>0</v>
      </c>
      <c r="I15928" s="8" t="str">
        <f ca="1">IFERROR(__xludf.DUMMYFUNCTION("IF
(
G15929=""фізична особа""
,
VLOOKUP(H15929,IMPORTRANGE(""https://docs.google.com/spreadsheets/d/14Bd19lYaqBhU8_DElYkX7l4wRkHqqCUFNJY4AfY3kHU/edit?usp=sharing  #gid=0"",""фіз особи new!relations_name""),6,FALSE)
,
(IF
(
G15929=""юридична особа""
,
VLOO"&amp;"KUP(H15929,IMPORTRANGE(""https://docs.google.com/spreadsheets/d/14Bd19lYaqBhU8_DElYkX7l4wRkHqqCUFNJY4AfY3kHU/edit?usp=sharing  #gid=0"",""фіз особи new!relations_name_uo""),7,FALSE)
,
)
))"),"#N/A")</f>
        <v>#N/A</v>
      </c>
      <c r="J15928" s="7" t="s">
        <v>23</v>
      </c>
    </row>
    <row r="15929" spans="1:10" ht="13.2">
      <c r="A15929" s="7">
        <v>15928</v>
      </c>
      <c r="B15929" s="7">
        <v>1</v>
      </c>
      <c r="C15929" s="7" t="s">
        <v>10</v>
      </c>
      <c r="D15929" s="7">
        <v>19780</v>
      </c>
      <c r="E15929" s="7" t="s">
        <v>23</v>
      </c>
      <c r="F15929" s="8" t="str">
        <f ca="1">IFERROR(__xludf.DUMMYFUNCTION("IF
(
C15930=""фізична особа""
,
VLOOKUP(D15930,IMPORTRANGE(""https://docs.google.com/spreadsheets/d/14Bd19lYaqBhU8_DElYkX7l4wRkHqqCUFNJY4AfY3kHU/edit?usp=sharing  #gid=0"",""фіз особи new!relations_name""),6,FALSE)
,
(IF
(
C15930=""юридична особа""
,
VLOO"&amp;"KUP(D15930,IMPORTRANGE(""https://docs.google.com/spreadsheets/d/14Bd19lYaqBhU8_DElYkX7l4wRkHqqCUFNJY4AfY3kHU/edit?usp=sharing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29" s="7" t="s">
        <v>10</v>
      </c>
      <c r="H15929" s="7">
        <v>19787</v>
      </c>
      <c r="I15929" s="8" t="str">
        <f ca="1">IFERROR(__xludf.DUMMYFUNCTION("IF
(
G15930=""фізична особа""
,
VLOOKUP(H15930,IMPORTRANGE(""https://docs.google.com/spreadsheets/d/14Bd19lYaqBhU8_DElYkX7l4wRkHqqCUFNJY4AfY3kHU/edit?usp=sharing  #gid=0"",""фіз особи new!relations_name""),6,FALSE)
,
(IF
(
G15930=""юридична особа""
,
VLOO"&amp;"KUP(H15930,IMPORTRANGE(""https://docs.google.com/spreadsheets/d/14Bd19lYaqBhU8_DElYkX7l4wRkHqqCUFNJY4AfY3kHU/edit?usp=sharing  #gid=0"",""фіз особи new!relations_name_uo""),7,FALSE)
,
)
))"),"БАРАНОВ Микола Олегович")</f>
        <v>БАРАНОВ Микола Олегович</v>
      </c>
      <c r="J15929" s="7" t="s">
        <v>23</v>
      </c>
    </row>
    <row r="15930" spans="1:10" ht="13.2">
      <c r="A15930" s="7">
        <v>15929</v>
      </c>
      <c r="B15930" s="7">
        <v>1</v>
      </c>
      <c r="C15930" s="7" t="s">
        <v>10</v>
      </c>
      <c r="D15930" s="7">
        <v>19780</v>
      </c>
      <c r="E15930" s="7" t="s">
        <v>23</v>
      </c>
      <c r="F15930" s="8" t="str">
        <f ca="1">IFERROR(__xludf.DUMMYFUNCTION("IF
(
C15931=""фізична особа""
,
VLOOKUP(D15931,IMPORTRANGE(""https://docs.google.com/spreadsheets/d/14Bd19lYaqBhU8_DElYkX7l4wRkHqqCUFNJY4AfY3kHU/edit?usp=sharing  #gid=0"",""фіз особи new!relations_name""),6,FALSE)
,
(IF
(
C15931=""юридична особа""
,
VLOO"&amp;"KUP(D15931,IMPORTRANGE(""https://docs.google.com/spreadsheets/d/14Bd19lYaqBhU8_DElYkX7l4wRkHqqCUFNJY4AfY3kHU/edit?usp=sharing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30" s="7" t="s">
        <v>10</v>
      </c>
      <c r="H15930" s="7">
        <v>19783</v>
      </c>
      <c r="I15930" s="8" t="str">
        <f ca="1">IFERROR(__xludf.DUMMYFUNCTION("IF
(
G15931=""фізична особа""
,
VLOOKUP(H15931,IMPORTRANGE(""https://docs.google.com/spreadsheets/d/14Bd19lYaqBhU8_DElYkX7l4wRkHqqCUFNJY4AfY3kHU/edit?usp=sharing  #gid=0"",""фіз особи new!relations_name""),6,FALSE)
,
(IF
(
G15931=""юридична особа""
,
VLOO"&amp;"KUP(H15931,IMPORTRANGE(""https://docs.google.com/spreadsheets/d/14Bd19lYaqBhU8_DElYkX7l4wRkHqqCUFNJY4AfY3kHU/edit?usp=sharing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J15930" s="7" t="s">
        <v>23</v>
      </c>
    </row>
    <row r="15931" spans="1:10" ht="13.2">
      <c r="A15931" s="7">
        <v>15930</v>
      </c>
      <c r="B15931" s="7">
        <v>1</v>
      </c>
      <c r="C15931" s="7" t="s">
        <v>10</v>
      </c>
      <c r="D15931" s="7">
        <v>19780</v>
      </c>
      <c r="E15931" s="7" t="s">
        <v>23</v>
      </c>
      <c r="F15931" s="8" t="str">
        <f ca="1">IFERROR(__xludf.DUMMYFUNCTION("IF
(
C15932=""фізична особа""
,
VLOOKUP(D15932,IMPORTRANGE(""https://docs.google.com/spreadsheets/d/14Bd19lYaqBhU8_DElYkX7l4wRkHqqCUFNJY4AfY3kHU/edit?usp=sharing  #gid=0"",""фіз особи new!relations_name""),6,FALSE)
,
(IF
(
C15932=""юридична особа""
,
VLOO"&amp;"KUP(D15932,IMPORTRANGE(""https://docs.google.com/spreadsheets/d/14Bd19lYaqBhU8_DElYkX7l4wRkHqqCUFNJY4AfY3kHU/edit?usp=sharing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31" s="7" t="s">
        <v>10</v>
      </c>
      <c r="H15931" s="7">
        <v>23726</v>
      </c>
      <c r="I15931" s="8" t="str">
        <f ca="1">IFERROR(__xludf.DUMMYFUNCTION("IF
(
G15932=""фізична особа""
,
VLOOKUP(H15932,IMPORTRANGE(""https://docs.google.com/spreadsheets/d/14Bd19lYaqBhU8_DElYkX7l4wRkHqqCUFNJY4AfY3kHU/edit?usp=sharing  #gid=0"",""фіз особи new!relations_name""),6,FALSE)
,
(IF
(
G15932=""юридична особа""
,
VLOO"&amp;"KUP(H15932,IMPORTRANGE(""https://docs.google.com/spreadsheets/d/14Bd19lYaqBhU8_DElYkX7l4wRkHqqCUFNJY4AfY3kHU/edit?usp=sharing  #gid=0"",""фіз особи new!relations_name_uo""),7,FALSE)
,
)
))"),"МОНАХОВ Андрій Вікторович")</f>
        <v>МОНАХОВ Андрій Вікторович</v>
      </c>
      <c r="J15931" s="7" t="s">
        <v>23</v>
      </c>
    </row>
    <row r="15932" spans="1:10" ht="13.2">
      <c r="A15932" s="7">
        <v>15931</v>
      </c>
      <c r="B15932" s="7">
        <v>1</v>
      </c>
      <c r="C15932" s="7" t="s">
        <v>10</v>
      </c>
      <c r="D15932" s="7">
        <v>19780</v>
      </c>
      <c r="E15932" s="7" t="s">
        <v>46</v>
      </c>
      <c r="F15932" s="8" t="str">
        <f ca="1">IFERROR(__xludf.DUMMYFUNCTION("IF
(
C15933=""фізична особа""
,
VLOOKUP(D15933,IMPORTRANGE(""https://docs.google.com/spreadsheets/d/14Bd19lYaqBhU8_DElYkX7l4wRkHqqCUFNJY4AfY3kHU/edit?usp=sharing  #gid=0"",""фіз особи new!relations_name""),6,FALSE)
,
(IF
(
C15933=""юридична особа""
,
VLOO"&amp;"KUP(D15933,IMPORTRANGE(""https://docs.google.com/spreadsheets/d/14Bd19lYaqBhU8_DElYkX7l4wRkHqqCUFNJY4AfY3kHU/edit?usp=sharing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G15932" s="7" t="s">
        <v>10</v>
      </c>
      <c r="H15932" s="7">
        <v>19781</v>
      </c>
      <c r="I15932" s="8" t="str">
        <f ca="1">IFERROR(__xludf.DUMMYFUNCTION("IF
(
G15933=""фізична особа""
,
VLOOKUP(H15933,IMPORTRANGE(""https://docs.google.com/spreadsheets/d/14Bd19lYaqBhU8_DElYkX7l4wRkHqqCUFNJY4AfY3kHU/edit?usp=sharing  #gid=0"",""фіз особи new!relations_name""),6,FALSE)
,
(IF
(
G15933=""юридична особа""
,
VLOO"&amp;"KUP(H15933,IMPORTRANGE(""https://docs.google.com/spreadsheets/d/14Bd19lYaqBhU8_DElYkX7l4wRkHqqCUFNJY4AfY3kHU/edit?usp=sharing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J15932" s="7" t="s">
        <v>47</v>
      </c>
    </row>
    <row r="15933" spans="1:10" ht="13.2">
      <c r="A15933" s="7">
        <v>15932</v>
      </c>
      <c r="B15933" s="7">
        <v>1</v>
      </c>
      <c r="C15933" s="7" t="s">
        <v>10</v>
      </c>
      <c r="D15933" s="7">
        <v>19781</v>
      </c>
      <c r="E15933" s="7" t="s">
        <v>47</v>
      </c>
      <c r="F15933" s="8" t="str">
        <f ca="1">IFERROR(__xludf.DUMMYFUNCTION("IF
(
C15934=""фізична особа""
,
VLOOKUP(D15934,IMPORTRANGE(""https://docs.google.com/spreadsheets/d/14Bd19lYaqBhU8_DElYkX7l4wRkHqqCUFNJY4AfY3kHU/edit?usp=sharing  #gid=0"",""фіз особи new!relations_name""),6,FALSE)
,
(IF
(
C15934=""юридична особа""
,
VLOO"&amp;"KUP(D15934,IMPORTRANGE(""https://docs.google.com/spreadsheets/d/14Bd19lYaqBhU8_DElYkX7l4wRkHqqCUFNJY4AfY3kHU/edit?usp=sharing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G15933" s="7" t="s">
        <v>10</v>
      </c>
      <c r="H15933" s="7">
        <v>19780</v>
      </c>
      <c r="I15933" s="8" t="str">
        <f ca="1">IFERROR(__xludf.DUMMYFUNCTION("IF
(
G15934=""фізична особа""
,
VLOOKUP(H15934,IMPORTRANGE(""https://docs.google.com/spreadsheets/d/14Bd19lYaqBhU8_DElYkX7l4wRkHqqCUFNJY4AfY3kHU/edit?usp=sharing  #gid=0"",""фіз особи new!relations_name""),6,FALSE)
,
(IF
(
G15934=""юридична особа""
,
VLOO"&amp;"KUP(H15934,IMPORTRANGE(""https://docs.google.com/spreadsheets/d/14Bd19lYaqBhU8_DElYkX7l4wRkHqqCUFNJY4AfY3kHU/edit?usp=sharing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33" s="7" t="s">
        <v>46</v>
      </c>
    </row>
    <row r="15934" spans="1:10" ht="13.2">
      <c r="A15934" s="7">
        <v>15933</v>
      </c>
      <c r="B15934" s="7">
        <v>1</v>
      </c>
      <c r="C15934" s="7" t="s">
        <v>10</v>
      </c>
      <c r="D15934" s="7">
        <v>19781</v>
      </c>
      <c r="E15934" s="7" t="s">
        <v>23</v>
      </c>
      <c r="F15934" s="8" t="str">
        <f ca="1">IFERROR(__xludf.DUMMYFUNCTION("IF
(
C15935=""фізична особа""
,
VLOOKUP(D15935,IMPORTRANGE(""https://docs.google.com/spreadsheets/d/14Bd19lYaqBhU8_DElYkX7l4wRkHqqCUFNJY4AfY3kHU/edit?usp=sharing  #gid=0"",""фіз особи new!relations_name""),6,FALSE)
,
(IF
(
C15935=""юридична особа""
,
VLOO"&amp;"KUP(D15935,IMPORTRANGE(""https://docs.google.com/spreadsheets/d/14Bd19lYaqBhU8_DElYkX7l4wRkHqqCUFNJY4AfY3kHU/edit?usp=sharing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G15934" s="7" t="s">
        <v>10</v>
      </c>
      <c r="H15934" s="7">
        <v>23726</v>
      </c>
      <c r="I15934" s="8" t="str">
        <f ca="1">IFERROR(__xludf.DUMMYFUNCTION("IF
(
G15935=""фізична особа""
,
VLOOKUP(H15935,IMPORTRANGE(""https://docs.google.com/spreadsheets/d/14Bd19lYaqBhU8_DElYkX7l4wRkHqqCUFNJY4AfY3kHU/edit?usp=sharing  #gid=0"",""фіз особи new!relations_name""),6,FALSE)
,
(IF
(
G15935=""юридична особа""
,
VLOO"&amp;"KUP(H15935,IMPORTRANGE(""https://docs.google.com/spreadsheets/d/14Bd19lYaqBhU8_DElYkX7l4wRkHqqCUFNJY4AfY3kHU/edit?usp=sharing  #gid=0"",""фіз особи new!relations_name_uo""),7,FALSE)
,
)
))"),"МОНАХОВ Андрій Вікторович")</f>
        <v>МОНАХОВ Андрій Вікторович</v>
      </c>
      <c r="J15934" s="7" t="s">
        <v>23</v>
      </c>
    </row>
    <row r="15935" spans="1:10" ht="13.2">
      <c r="A15935" s="7">
        <v>15934</v>
      </c>
      <c r="B15935" s="7">
        <v>1</v>
      </c>
      <c r="C15935" s="7" t="s">
        <v>10</v>
      </c>
      <c r="D15935" s="7">
        <v>19781</v>
      </c>
      <c r="E15935" s="7" t="s">
        <v>23</v>
      </c>
      <c r="F15935" s="8" t="str">
        <f ca="1">IFERROR(__xludf.DUMMYFUNCTION("IF
(
C15936=""фізична особа""
,
VLOOKUP(D15936,IMPORTRANGE(""https://docs.google.com/spreadsheets/d/14Bd19lYaqBhU8_DElYkX7l4wRkHqqCUFNJY4AfY3kHU/edit?usp=sharing  #gid=0"",""фіз особи new!relations_name""),6,FALSE)
,
(IF
(
C15936=""юридична особа""
,
VLOO"&amp;"KUP(D15936,IMPORTRANGE(""https://docs.google.com/spreadsheets/d/14Bd19lYaqBhU8_DElYkX7l4wRkHqqCUFNJY4AfY3kHU/edit?usp=sharing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G15935" s="7" t="s">
        <v>10</v>
      </c>
      <c r="H15935" s="7">
        <v>19784</v>
      </c>
      <c r="I15935" s="8" t="str">
        <f ca="1">IFERROR(__xludf.DUMMYFUNCTION("IF
(
G15936=""фізична особа""
,
VLOOKUP(H15936,IMPORTRANGE(""https://docs.google.com/spreadsheets/d/14Bd19lYaqBhU8_DElYkX7l4wRkHqqCUFNJY4AfY3kHU/edit?usp=sharing  #gid=0"",""фіз особи new!relations_name""),6,FALSE)
,
(IF
(
G15936=""юридична особа""
,
VLOO"&amp;"KUP(H15936,IMPORTRANGE(""https://docs.google.com/spreadsheets/d/14Bd19lYaqBhU8_DElYkX7l4wRkHqqCUFNJY4AfY3kHU/edit?usp=sharing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J15935" s="7" t="s">
        <v>23</v>
      </c>
    </row>
    <row r="15936" spans="1:10" ht="13.2">
      <c r="A15936" s="7">
        <v>15935</v>
      </c>
      <c r="B15936" s="7">
        <v>1</v>
      </c>
      <c r="C15936" s="7" t="s">
        <v>10</v>
      </c>
      <c r="D15936" s="7">
        <v>19781</v>
      </c>
      <c r="E15936" s="7" t="s">
        <v>23</v>
      </c>
      <c r="F15936" s="8" t="str">
        <f ca="1">IFERROR(__xludf.DUMMYFUNCTION("IF
(
C15937=""фізична особа""
,
VLOOKUP(D15937,IMPORTRANGE(""https://docs.google.com/spreadsheets/d/14Bd19lYaqBhU8_DElYkX7l4wRkHqqCUFNJY4AfY3kHU/edit?usp=sharing  #gid=0"",""фіз особи new!relations_name""),6,FALSE)
,
(IF
(
C15937=""юридична особа""
,
VLOO"&amp;"KUP(D15937,IMPORTRANGE(""https://docs.google.com/spreadsheets/d/14Bd19lYaqBhU8_DElYkX7l4wRkHqqCUFNJY4AfY3kHU/edit?usp=sharing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G15936" s="7" t="s">
        <v>10</v>
      </c>
      <c r="H15936" s="7">
        <v>19782</v>
      </c>
      <c r="I15936" s="8" t="str">
        <f ca="1">IFERROR(__xludf.DUMMYFUNCTION("IF
(
G15937=""фізична особа""
,
VLOOKUP(H15937,IMPORTRANGE(""https://docs.google.com/spreadsheets/d/14Bd19lYaqBhU8_DElYkX7l4wRkHqqCUFNJY4AfY3kHU/edit?usp=sharing  #gid=0"",""фіз особи new!relations_name""),6,FALSE)
,
(IF
(
G15937=""юридична особа""
,
VLOO"&amp;"KUP(H15937,IMPORTRANGE(""https://docs.google.com/spreadsheets/d/14Bd19lYaqBhU8_DElYkX7l4wRkHqqCUFNJY4AfY3kHU/edit?usp=sharing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J15936" s="7" t="s">
        <v>23</v>
      </c>
    </row>
    <row r="15937" spans="1:10" ht="13.2">
      <c r="A15937" s="7">
        <v>15936</v>
      </c>
      <c r="B15937" s="7">
        <v>1</v>
      </c>
      <c r="C15937" s="7" t="s">
        <v>10</v>
      </c>
      <c r="D15937" s="7">
        <v>19782</v>
      </c>
      <c r="E15937" s="7" t="s">
        <v>23</v>
      </c>
      <c r="F15937" s="8" t="str">
        <f ca="1">IFERROR(__xludf.DUMMYFUNCTION("IF
(
C15938=""фізична особа""
,
VLOOKUP(D15938,IMPORTRANGE(""https://docs.google.com/spreadsheets/d/14Bd19lYaqBhU8_DElYkX7l4wRkHqqCUFNJY4AfY3kHU/edit?usp=sharing  #gid=0"",""фіз особи new!relations_name""),6,FALSE)
,
(IF
(
C15938=""юридична особа""
,
VLOO"&amp;"KUP(D15938,IMPORTRANGE(""https://docs.google.com/spreadsheets/d/14Bd19lYaqBhU8_DElYkX7l4wRkHqqCUFNJY4AfY3kHU/edit?usp=sharing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G15937" s="7" t="s">
        <v>10</v>
      </c>
      <c r="H15937" s="7">
        <v>19784</v>
      </c>
      <c r="I15937" s="8" t="str">
        <f ca="1">IFERROR(__xludf.DUMMYFUNCTION("IF
(
G15938=""фізична особа""
,
VLOOKUP(H15938,IMPORTRANGE(""https://docs.google.com/spreadsheets/d/14Bd19lYaqBhU8_DElYkX7l4wRkHqqCUFNJY4AfY3kHU/edit?usp=sharing  #gid=0"",""фіз особи new!relations_name""),6,FALSE)
,
(IF
(
G15938=""юридична особа""
,
VLOO"&amp;"KUP(H15938,IMPORTRANGE(""https://docs.google.com/spreadsheets/d/14Bd19lYaqBhU8_DElYkX7l4wRkHqqCUFNJY4AfY3kHU/edit?usp=sharing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J15937" s="7" t="s">
        <v>23</v>
      </c>
    </row>
    <row r="15938" spans="1:10" ht="13.2">
      <c r="A15938" s="7">
        <v>15937</v>
      </c>
      <c r="B15938" s="7">
        <v>1</v>
      </c>
      <c r="C15938" s="7" t="s">
        <v>10</v>
      </c>
      <c r="D15938" s="7">
        <v>19782</v>
      </c>
      <c r="E15938" s="7" t="s">
        <v>23</v>
      </c>
      <c r="F15938" s="8" t="str">
        <f ca="1">IFERROR(__xludf.DUMMYFUNCTION("IF
(
C15939=""фізична особа""
,
VLOOKUP(D15939,IMPORTRANGE(""https://docs.google.com/spreadsheets/d/14Bd19lYaqBhU8_DElYkX7l4wRkHqqCUFNJY4AfY3kHU/edit?usp=sharing  #gid=0"",""фіз особи new!relations_name""),6,FALSE)
,
(IF
(
C15939=""юридична особа""
,
VLOO"&amp;"KUP(D15939,IMPORTRANGE(""https://docs.google.com/spreadsheets/d/14Bd19lYaqBhU8_DElYkX7l4wRkHqqCUFNJY4AfY3kHU/edit?usp=sharing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G15938" s="7" t="s">
        <v>10</v>
      </c>
      <c r="H15938" s="7">
        <v>19780</v>
      </c>
      <c r="I15938" s="8" t="str">
        <f ca="1">IFERROR(__xludf.DUMMYFUNCTION("IF
(
G15939=""фізична особа""
,
VLOOKUP(H15939,IMPORTRANGE(""https://docs.google.com/spreadsheets/d/14Bd19lYaqBhU8_DElYkX7l4wRkHqqCUFNJY4AfY3kHU/edit?usp=sharing  #gid=0"",""фіз особи new!relations_name""),6,FALSE)
,
(IF
(
G15939=""юридична особа""
,
VLOO"&amp;"KUP(H15939,IMPORTRANGE(""https://docs.google.com/spreadsheets/d/14Bd19lYaqBhU8_DElYkX7l4wRkHqqCUFNJY4AfY3kHU/edit?usp=sharing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38" s="7" t="s">
        <v>23</v>
      </c>
    </row>
    <row r="15939" spans="1:10" ht="13.2">
      <c r="A15939" s="7">
        <v>15938</v>
      </c>
      <c r="B15939" s="7">
        <v>1</v>
      </c>
      <c r="C15939" s="7" t="s">
        <v>10</v>
      </c>
      <c r="D15939" s="7">
        <v>19782</v>
      </c>
      <c r="E15939" s="7" t="s">
        <v>23</v>
      </c>
      <c r="F15939" s="8" t="str">
        <f ca="1">IFERROR(__xludf.DUMMYFUNCTION("IF
(
C15940=""фізична особа""
,
VLOOKUP(D15940,IMPORTRANGE(""https://docs.google.com/spreadsheets/d/14Bd19lYaqBhU8_DElYkX7l4wRkHqqCUFNJY4AfY3kHU/edit?usp=sharing  #gid=0"",""фіз особи new!relations_name""),6,FALSE)
,
(IF
(
C15940=""юридична особа""
,
VLOO"&amp;"KUP(D15940,IMPORTRANGE(""https://docs.google.com/spreadsheets/d/14Bd19lYaqBhU8_DElYkX7l4wRkHqqCUFNJY4AfY3kHU/edit?usp=sharing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G15939" s="7" t="s">
        <v>10</v>
      </c>
      <c r="H15939" s="7">
        <v>19781</v>
      </c>
      <c r="I15939" s="8" t="str">
        <f ca="1">IFERROR(__xludf.DUMMYFUNCTION("IF
(
G15940=""фізична особа""
,
VLOOKUP(H15940,IMPORTRANGE(""https://docs.google.com/spreadsheets/d/14Bd19lYaqBhU8_DElYkX7l4wRkHqqCUFNJY4AfY3kHU/edit?usp=sharing  #gid=0"",""фіз особи new!relations_name""),6,FALSE)
,
(IF
(
G15940=""юридична особа""
,
VLOO"&amp;"KUP(H15940,IMPORTRANGE(""https://docs.google.com/spreadsheets/d/14Bd19lYaqBhU8_DElYkX7l4wRkHqqCUFNJY4AfY3kHU/edit?usp=sharing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J15939" s="7" t="s">
        <v>23</v>
      </c>
    </row>
    <row r="15940" spans="1:10" ht="13.2">
      <c r="A15940" s="7">
        <v>15939</v>
      </c>
      <c r="B15940" s="7">
        <v>1</v>
      </c>
      <c r="C15940" s="7" t="s">
        <v>10</v>
      </c>
      <c r="D15940" s="7">
        <v>19782</v>
      </c>
      <c r="E15940" s="7" t="s">
        <v>23</v>
      </c>
      <c r="F15940" s="8" t="str">
        <f ca="1">IFERROR(__xludf.DUMMYFUNCTION("IF
(
C15941=""фізична особа""
,
VLOOKUP(D15941,IMPORTRANGE(""https://docs.google.com/spreadsheets/d/14Bd19lYaqBhU8_DElYkX7l4wRkHqqCUFNJY4AfY3kHU/edit?usp=sharing  #gid=0"",""фіз особи new!relations_name""),6,FALSE)
,
(IF
(
C15941=""юридична особа""
,
VLOO"&amp;"KUP(D15941,IMPORTRANGE(""https://docs.google.com/spreadsheets/d/14Bd19lYaqBhU8_DElYkX7l4wRkHqqCUFNJY4AfY3kHU/edit?usp=sharing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G15940" s="7" t="s">
        <v>10</v>
      </c>
      <c r="H15940" s="7">
        <v>23726</v>
      </c>
      <c r="I15940" s="8" t="str">
        <f ca="1">IFERROR(__xludf.DUMMYFUNCTION("IF
(
G15941=""фізична особа""
,
VLOOKUP(H15941,IMPORTRANGE(""https://docs.google.com/spreadsheets/d/14Bd19lYaqBhU8_DElYkX7l4wRkHqqCUFNJY4AfY3kHU/edit?usp=sharing  #gid=0"",""фіз особи new!relations_name""),6,FALSE)
,
(IF
(
G15941=""юридична особа""
,
VLOO"&amp;"KUP(H15941,IMPORTRANGE(""https://docs.google.com/spreadsheets/d/14Bd19lYaqBhU8_DElYkX7l4wRkHqqCUFNJY4AfY3kHU/edit?usp=sharing  #gid=0"",""фіз особи new!relations_name_uo""),7,FALSE)
,
)
))"),"МОНАХОВ Андрій Вікторович")</f>
        <v>МОНАХОВ Андрій Вікторович</v>
      </c>
      <c r="J15940" s="7" t="s">
        <v>23</v>
      </c>
    </row>
    <row r="15941" spans="1:10" ht="13.2">
      <c r="A15941" s="7">
        <v>15940</v>
      </c>
      <c r="B15941" s="7">
        <v>1</v>
      </c>
      <c r="C15941" s="7" t="s">
        <v>10</v>
      </c>
      <c r="D15941" s="7">
        <v>19783</v>
      </c>
      <c r="E15941" s="7" t="s">
        <v>23</v>
      </c>
      <c r="F15941" s="8" t="str">
        <f ca="1">IFERROR(__xludf.DUMMYFUNCTION("IF
(
C15942=""фізична особа""
,
VLOOKUP(D15942,IMPORTRANGE(""https://docs.google.com/spreadsheets/d/14Bd19lYaqBhU8_DElYkX7l4wRkHqqCUFNJY4AfY3kHU/edit?usp=sharing  #gid=0"",""фіз особи new!relations_name""),6,FALSE)
,
(IF
(
C15942=""юридична особа""
,
VLOO"&amp;"KUP(D15942,IMPORTRANGE(""https://docs.google.com/spreadsheets/d/14Bd19lYaqBhU8_DElYkX7l4wRkHqqCUFNJY4AfY3kHU/edit?usp=sharing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G15941" s="7" t="s">
        <v>10</v>
      </c>
      <c r="H15941" s="7">
        <v>19784</v>
      </c>
      <c r="I15941" s="8" t="str">
        <f ca="1">IFERROR(__xludf.DUMMYFUNCTION("IF
(
G15942=""фізична особа""
,
VLOOKUP(H15942,IMPORTRANGE(""https://docs.google.com/spreadsheets/d/14Bd19lYaqBhU8_DElYkX7l4wRkHqqCUFNJY4AfY3kHU/edit?usp=sharing  #gid=0"",""фіз особи new!relations_name""),6,FALSE)
,
(IF
(
G15942=""юридична особа""
,
VLOO"&amp;"KUP(H15942,IMPORTRANGE(""https://docs.google.com/spreadsheets/d/14Bd19lYaqBhU8_DElYkX7l4wRkHqqCUFNJY4AfY3kHU/edit?usp=sharing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J15941" s="7" t="s">
        <v>23</v>
      </c>
    </row>
    <row r="15942" spans="1:10" ht="13.2">
      <c r="A15942" s="7">
        <v>15941</v>
      </c>
      <c r="B15942" s="7">
        <v>1</v>
      </c>
      <c r="C15942" s="7" t="s">
        <v>10</v>
      </c>
      <c r="D15942" s="7">
        <v>19783</v>
      </c>
      <c r="E15942" s="7" t="s">
        <v>23</v>
      </c>
      <c r="F15942" s="8" t="str">
        <f ca="1">IFERROR(__xludf.DUMMYFUNCTION("IF
(
C15943=""фізична особа""
,
VLOOKUP(D15943,IMPORTRANGE(""https://docs.google.com/spreadsheets/d/14Bd19lYaqBhU8_DElYkX7l4wRkHqqCUFNJY4AfY3kHU/edit?usp=sharing  #gid=0"",""фіз особи new!relations_name""),6,FALSE)
,
(IF
(
C15943=""юридична особа""
,
VLOO"&amp;"KUP(D15943,IMPORTRANGE(""https://docs.google.com/spreadsheets/d/14Bd19lYaqBhU8_DElYkX7l4wRkHqqCUFNJY4AfY3kHU/edit?usp=sharing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G15942" s="7" t="s">
        <v>10</v>
      </c>
      <c r="H15942" s="7">
        <v>19780</v>
      </c>
      <c r="I15942" s="8" t="str">
        <f ca="1">IFERROR(__xludf.DUMMYFUNCTION("IF
(
G15943=""фізична особа""
,
VLOOKUP(H15943,IMPORTRANGE(""https://docs.google.com/spreadsheets/d/14Bd19lYaqBhU8_DElYkX7l4wRkHqqCUFNJY4AfY3kHU/edit?usp=sharing  #gid=0"",""фіз особи new!relations_name""),6,FALSE)
,
(IF
(
G15943=""юридична особа""
,
VLOO"&amp;"KUP(H15943,IMPORTRANGE(""https://docs.google.com/spreadsheets/d/14Bd19lYaqBhU8_DElYkX7l4wRkHqqCUFNJY4AfY3kHU/edit?usp=sharing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42" s="7" t="s">
        <v>23</v>
      </c>
    </row>
    <row r="15943" spans="1:10" ht="13.2">
      <c r="A15943" s="7">
        <v>15942</v>
      </c>
      <c r="B15943" s="7">
        <v>1</v>
      </c>
      <c r="C15943" s="7" t="s">
        <v>10</v>
      </c>
      <c r="D15943" s="7">
        <v>19783</v>
      </c>
      <c r="E15943" s="7" t="s">
        <v>65</v>
      </c>
      <c r="F15943" s="8" t="str">
        <f ca="1">IFERROR(__xludf.DUMMYFUNCTION("IF
(
C15944=""фізична особа""
,
VLOOKUP(D15944,IMPORTRANGE(""https://docs.google.com/spreadsheets/d/14Bd19lYaqBhU8_DElYkX7l4wRkHqqCUFNJY4AfY3kHU/edit?usp=sharing  #gid=0"",""фіз особи new!relations_name""),6,FALSE)
,
(IF
(
C15944=""юридична особа""
,
VLOO"&amp;"KUP(D15944,IMPORTRANGE(""https://docs.google.com/spreadsheets/d/14Bd19lYaqBhU8_DElYkX7l4wRkHqqCUFNJY4AfY3kHU/edit?usp=sharing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G15943" s="7" t="s">
        <v>10</v>
      </c>
      <c r="H15943" s="7">
        <v>19788</v>
      </c>
      <c r="I15943" s="8" t="str">
        <f ca="1">IFERROR(__xludf.DUMMYFUNCTION("IF
(
G15944=""фізична особа""
,
VLOOKUP(H15944,IMPORTRANGE(""https://docs.google.com/spreadsheets/d/14Bd19lYaqBhU8_DElYkX7l4wRkHqqCUFNJY4AfY3kHU/edit?usp=sharing  #gid=0"",""фіз особи new!relations_name""),6,FALSE)
,
(IF
(
G15944=""юридична особа""
,
VLOO"&amp;"KUP(H15944,IMPORTRANGE(""https://docs.google.com/spreadsheets/d/14Bd19lYaqBhU8_DElYkX7l4wRkHqqCUFNJY4AfY3kHU/edit?usp=sharing  #gid=0"",""фіз особи new!relations_name_uo""),7,FALSE)
,
)
))"),"ЛУЧІН Вячеслав Олександрович")</f>
        <v>ЛУЧІН Вячеслав Олександрович</v>
      </c>
      <c r="J15943" s="7" t="s">
        <v>65</v>
      </c>
    </row>
    <row r="15944" spans="1:10" ht="13.2">
      <c r="A15944" s="7">
        <v>15943</v>
      </c>
      <c r="B15944" s="7">
        <v>1</v>
      </c>
      <c r="C15944" s="7" t="s">
        <v>10</v>
      </c>
      <c r="D15944" s="7">
        <v>19784</v>
      </c>
      <c r="E15944" s="7" t="s">
        <v>23</v>
      </c>
      <c r="F15944" s="8" t="str">
        <f ca="1">IFERROR(__xludf.DUMMYFUNCTION("IF
(
C15945=""фізична особа""
,
VLOOKUP(D15945,IMPORTRANGE(""https://docs.google.com/spreadsheets/d/14Bd19lYaqBhU8_DElYkX7l4wRkHqqCUFNJY4AfY3kHU/edit?usp=sharing  #gid=0"",""фіз особи new!relations_name""),6,FALSE)
,
(IF
(
C15945=""юридична особа""
,
VLOO"&amp;"KUP(D15945,IMPORTRANGE(""https://docs.google.com/spreadsheets/d/14Bd19lYaqBhU8_DElYkX7l4wRkHqqCUFNJY4AfY3kHU/edit?usp=sharing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G15944" s="7" t="s">
        <v>10</v>
      </c>
      <c r="H15944" s="7">
        <v>19780</v>
      </c>
      <c r="I15944" s="8" t="str">
        <f ca="1">IFERROR(__xludf.DUMMYFUNCTION("IF
(
G15945=""фізична особа""
,
VLOOKUP(H15945,IMPORTRANGE(""https://docs.google.com/spreadsheets/d/14Bd19lYaqBhU8_DElYkX7l4wRkHqqCUFNJY4AfY3kHU/edit?usp=sharing  #gid=0"",""фіз особи new!relations_name""),6,FALSE)
,
(IF
(
G15945=""юридична особа""
,
VLOO"&amp;"KUP(H15945,IMPORTRANGE(""https://docs.google.com/spreadsheets/d/14Bd19lYaqBhU8_DElYkX7l4wRkHqqCUFNJY4AfY3kHU/edit?usp=sharing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44" s="7" t="s">
        <v>23</v>
      </c>
    </row>
    <row r="15945" spans="1:10" ht="13.2">
      <c r="A15945" s="7">
        <v>15944</v>
      </c>
      <c r="B15945" s="7">
        <v>1</v>
      </c>
      <c r="C15945" s="7" t="s">
        <v>10</v>
      </c>
      <c r="D15945" s="7">
        <v>19784</v>
      </c>
      <c r="E15945" s="7" t="s">
        <v>23</v>
      </c>
      <c r="F15945" s="8" t="str">
        <f ca="1">IFERROR(__xludf.DUMMYFUNCTION("IF
(
C15946=""фізична особа""
,
VLOOKUP(D15946,IMPORTRANGE(""https://docs.google.com/spreadsheets/d/14Bd19lYaqBhU8_DElYkX7l4wRkHqqCUFNJY4AfY3kHU/edit?usp=sharing  #gid=0"",""фіз особи new!relations_name""),6,FALSE)
,
(IF
(
C15946=""юридична особа""
,
VLOO"&amp;"KUP(D15946,IMPORTRANGE(""https://docs.google.com/spreadsheets/d/14Bd19lYaqBhU8_DElYkX7l4wRkHqqCUFNJY4AfY3kHU/edit?usp=sharing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G15945" s="7" t="s">
        <v>10</v>
      </c>
      <c r="H15945" s="7">
        <v>19782</v>
      </c>
      <c r="I15945" s="8" t="str">
        <f ca="1">IFERROR(__xludf.DUMMYFUNCTION("IF
(
G15946=""фізична особа""
,
VLOOKUP(H15946,IMPORTRANGE(""https://docs.google.com/spreadsheets/d/14Bd19lYaqBhU8_DElYkX7l4wRkHqqCUFNJY4AfY3kHU/edit?usp=sharing  #gid=0"",""фіз особи new!relations_name""),6,FALSE)
,
(IF
(
G15946=""юридична особа""
,
VLOO"&amp;"KUP(H15946,IMPORTRANGE(""https://docs.google.com/spreadsheets/d/14Bd19lYaqBhU8_DElYkX7l4wRkHqqCUFNJY4AfY3kHU/edit?usp=sharing  #gid=0"",""фіз особи new!relations_name_uo""),7,FALSE)
,
)
))"),"КОЧЕТКОВ Володимир Олександрович")</f>
        <v>КОЧЕТКОВ Володимир Олександрович</v>
      </c>
      <c r="J15945" s="7" t="s">
        <v>23</v>
      </c>
    </row>
    <row r="15946" spans="1:10" ht="13.2">
      <c r="A15946" s="7">
        <v>15945</v>
      </c>
      <c r="B15946" s="7">
        <v>1</v>
      </c>
      <c r="C15946" s="7" t="s">
        <v>10</v>
      </c>
      <c r="D15946" s="7">
        <v>19784</v>
      </c>
      <c r="E15946" s="7" t="s">
        <v>23</v>
      </c>
      <c r="F15946" s="8" t="str">
        <f ca="1">IFERROR(__xludf.DUMMYFUNCTION("IF
(
C15947=""фізична особа""
,
VLOOKUP(D15947,IMPORTRANGE(""https://docs.google.com/spreadsheets/d/14Bd19lYaqBhU8_DElYkX7l4wRkHqqCUFNJY4AfY3kHU/edit?usp=sharing  #gid=0"",""фіз особи new!relations_name""),6,FALSE)
,
(IF
(
C15947=""юридична особа""
,
VLOO"&amp;"KUP(D15947,IMPORTRANGE(""https://docs.google.com/spreadsheets/d/14Bd19lYaqBhU8_DElYkX7l4wRkHqqCUFNJY4AfY3kHU/edit?usp=sharing  #gid=0"",""фіз особи new!relations_name_uo""),7,FALSE)
,
)
))"),"ІВАШЕНКОВ Олександр Сергійович")</f>
        <v>ІВАШЕНКОВ Олександр Сергійович</v>
      </c>
      <c r="G15946" s="7" t="s">
        <v>10</v>
      </c>
      <c r="H15946" s="7">
        <v>19781</v>
      </c>
      <c r="I15946" s="8" t="str">
        <f ca="1">IFERROR(__xludf.DUMMYFUNCTION("IF
(
G15947=""фізична особа""
,
VLOOKUP(H15947,IMPORTRANGE(""https://docs.google.com/spreadsheets/d/14Bd19lYaqBhU8_DElYkX7l4wRkHqqCUFNJY4AfY3kHU/edit?usp=sharing  #gid=0"",""фіз особи new!relations_name""),6,FALSE)
,
(IF
(
G15947=""юридична особа""
,
VLOO"&amp;"KUP(H15947,IMPORTRANGE(""https://docs.google.com/spreadsheets/d/14Bd19lYaqBhU8_DElYkX7l4wRkHqqCUFNJY4AfY3kHU/edit?usp=sharing  #gid=0"",""фіз особи new!relations_name_uo""),7,FALSE)
,
)
))"),"БАГІРОВА Дільшад Дамір кизи")</f>
        <v>БАГІРОВА Дільшад Дамір кизи</v>
      </c>
      <c r="J15946" s="7" t="s">
        <v>23</v>
      </c>
    </row>
    <row r="15947" spans="1:10" ht="13.2">
      <c r="A15947" s="7">
        <v>15946</v>
      </c>
      <c r="B15947" s="7">
        <v>1</v>
      </c>
      <c r="C15947" s="7" t="s">
        <v>10</v>
      </c>
      <c r="D15947" s="7">
        <v>19785</v>
      </c>
      <c r="E15947" s="7" t="s">
        <v>23</v>
      </c>
      <c r="F15947" s="8" t="str">
        <f ca="1">IFERROR(__xludf.DUMMYFUNCTION("IF
(
C15948=""фізична особа""
,
VLOOKUP(D15948,IMPORTRANGE(""https://docs.google.com/spreadsheets/d/14Bd19lYaqBhU8_DElYkX7l4wRkHqqCUFNJY4AfY3kHU/edit?usp=sharing  #gid=0"",""фіз особи new!relations_name""),6,FALSE)
,
(IF
(
C15948=""юридична особа""
,
VLOO"&amp;"KUP(D15948,IMPORTRANGE(""https://docs.google.com/spreadsheets/d/14Bd19lYaqBhU8_DElYkX7l4wRkHqqCUFNJY4AfY3kHU/edit?usp=sharing  #gid=0"",""фіз особи new!relations_name_uo""),7,FALSE)
,
)
))"),"БЄЛЯЄВА Тетяна Борисівна")</f>
        <v>БЄЛЯЄВА Тетяна Борисівна</v>
      </c>
      <c r="G15947" s="7" t="s">
        <v>10</v>
      </c>
      <c r="H15947" s="7">
        <v>19780</v>
      </c>
      <c r="I15947" s="8" t="str">
        <f ca="1">IFERROR(__xludf.DUMMYFUNCTION("IF
(
G15948=""фізична особа""
,
VLOOKUP(H15948,IMPORTRANGE(""https://docs.google.com/spreadsheets/d/14Bd19lYaqBhU8_DElYkX7l4wRkHqqCUFNJY4AfY3kHU/edit?usp=sharing  #gid=0"",""фіз особи new!relations_name""),6,FALSE)
,
(IF
(
G15948=""юридична особа""
,
VLOO"&amp;"KUP(H15948,IMPORTRANGE(""https://docs.google.com/spreadsheets/d/14Bd19lYaqBhU8_DElYkX7l4wRkHqqCUFNJY4AfY3kHU/edit?usp=sharing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47" s="7" t="s">
        <v>23</v>
      </c>
    </row>
    <row r="15948" spans="1:10" ht="13.2">
      <c r="A15948" s="7">
        <v>15947</v>
      </c>
      <c r="B15948" s="7">
        <v>1</v>
      </c>
      <c r="C15948" s="7" t="s">
        <v>10</v>
      </c>
      <c r="D15948" s="7">
        <v>19785</v>
      </c>
      <c r="E15948" s="7" t="s">
        <v>23</v>
      </c>
      <c r="F15948" s="8" t="str">
        <f ca="1">IFERROR(__xludf.DUMMYFUNCTION("IF
(
C15949=""фізична особа""
,
VLOOKUP(D15949,IMPORTRANGE(""https://docs.google.com/spreadsheets/d/14Bd19lYaqBhU8_DElYkX7l4wRkHqqCUFNJY4AfY3kHU/edit?usp=sharing  #gid=0"",""фіз особи new!relations_name""),6,FALSE)
,
(IF
(
C15949=""юридична особа""
,
VLOO"&amp;"KUP(D15949,IMPORTRANGE(""https://docs.google.com/spreadsheets/d/14Bd19lYaqBhU8_DElYkX7l4wRkHqqCUFNJY4AfY3kHU/edit?usp=sharing  #gid=0"",""фіз особи new!relations_name_uo""),7,FALSE)
,
)
))"),"БЄЛЯЄВА Тетяна Борисівна")</f>
        <v>БЄЛЯЄВА Тетяна Борисівна</v>
      </c>
      <c r="G15948" s="7" t="s">
        <v>10</v>
      </c>
      <c r="H15948" s="7">
        <v>0</v>
      </c>
      <c r="I15948" s="8" t="str">
        <f ca="1">IFERROR(__xludf.DUMMYFUNCTION("IF
(
G15949=""фізична особа""
,
VLOOKUP(H15949,IMPORTRANGE(""https://docs.google.com/spreadsheets/d/14Bd19lYaqBhU8_DElYkX7l4wRkHqqCUFNJY4AfY3kHU/edit?usp=sharing  #gid=0"",""фіз особи new!relations_name""),6,FALSE)
,
(IF
(
G15949=""юридична особа""
,
VLOO"&amp;"KUP(H15949,IMPORTRANGE(""https://docs.google.com/spreadsheets/d/14Bd19lYaqBhU8_DElYkX7l4wRkHqqCUFNJY4AfY3kHU/edit?usp=sharing  #gid=0"",""фіз особи new!relations_name_uo""),7,FALSE)
,
)
))"),"#N/A")</f>
        <v>#N/A</v>
      </c>
      <c r="J15948" s="7" t="s">
        <v>23</v>
      </c>
    </row>
    <row r="15949" spans="1:10" ht="13.2">
      <c r="A15949" s="7">
        <v>15948</v>
      </c>
      <c r="B15949" s="7">
        <v>1</v>
      </c>
      <c r="C15949" s="7" t="s">
        <v>10</v>
      </c>
      <c r="D15949" s="7">
        <v>19786</v>
      </c>
      <c r="E15949" s="7" t="s">
        <v>23</v>
      </c>
      <c r="F15949" s="8" t="str">
        <f ca="1">IFERROR(__xludf.DUMMYFUNCTION("IF
(
C15950=""фізична особа""
,
VLOOKUP(D15950,IMPORTRANGE(""https://docs.google.com/spreadsheets/d/14Bd19lYaqBhU8_DElYkX7l4wRkHqqCUFNJY4AfY3kHU/edit?usp=sharing  #gid=0"",""фіз особи new!relations_name""),6,FALSE)
,
(IF
(
C15950=""юридична особа""
,
VLOO"&amp;"KUP(D15950,IMPORTRANGE(""https://docs.google.com/spreadsheets/d/14Bd19lYaqBhU8_DElYkX7l4wRkHqqCUFNJY4AfY3kHU/edit?usp=sharing  #gid=0"",""фіз особи new!relations_name_uo""),7,FALSE)
,
)
))"),"УТЯЦЬКИЙ Михайло Миколайович")</f>
        <v>УТЯЦЬКИЙ Михайло Миколайович</v>
      </c>
      <c r="G15949" s="7" t="s">
        <v>10</v>
      </c>
      <c r="H15949" s="7">
        <v>19780</v>
      </c>
      <c r="I15949" s="8" t="str">
        <f ca="1">IFERROR(__xludf.DUMMYFUNCTION("IF
(
G15950=""фізична особа""
,
VLOOKUP(H15950,IMPORTRANGE(""https://docs.google.com/spreadsheets/d/14Bd19lYaqBhU8_DElYkX7l4wRkHqqCUFNJY4AfY3kHU/edit?usp=sharing  #gid=0"",""фіз особи new!relations_name""),6,FALSE)
,
(IF
(
G15950=""юридична особа""
,
VLOO"&amp;"KUP(H15950,IMPORTRANGE(""https://docs.google.com/spreadsheets/d/14Bd19lYaqBhU8_DElYkX7l4wRkHqqCUFNJY4AfY3kHU/edit?usp=sharing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49" s="7" t="s">
        <v>23</v>
      </c>
    </row>
    <row r="15950" spans="1:10" ht="13.2">
      <c r="A15950" s="7">
        <v>15949</v>
      </c>
      <c r="B15950" s="7">
        <v>1</v>
      </c>
      <c r="C15950" s="7" t="s">
        <v>10</v>
      </c>
      <c r="D15950" s="7">
        <v>19787</v>
      </c>
      <c r="E15950" s="7" t="s">
        <v>23</v>
      </c>
      <c r="F15950" s="8" t="str">
        <f ca="1">IFERROR(__xludf.DUMMYFUNCTION("IF
(
C15951=""фізична особа""
,
VLOOKUP(D15951,IMPORTRANGE(""https://docs.google.com/spreadsheets/d/14Bd19lYaqBhU8_DElYkX7l4wRkHqqCUFNJY4AfY3kHU/edit?usp=sharing  #gid=0"",""фіз особи new!relations_name""),6,FALSE)
,
(IF
(
C15951=""юридична особа""
,
VLOO"&amp;"KUP(D15951,IMPORTRANGE(""https://docs.google.com/spreadsheets/d/14Bd19lYaqBhU8_DElYkX7l4wRkHqqCUFNJY4AfY3kHU/edit?usp=sharing  #gid=0"",""фіз особи new!relations_name_uo""),7,FALSE)
,
)
))"),"БАРАНОВ Микола Олегович")</f>
        <v>БАРАНОВ Микола Олегович</v>
      </c>
      <c r="G15950" s="7" t="s">
        <v>10</v>
      </c>
      <c r="H15950" s="7">
        <v>19780</v>
      </c>
      <c r="I15950" s="8" t="str">
        <f ca="1">IFERROR(__xludf.DUMMYFUNCTION("IF
(
G15951=""фізична особа""
,
VLOOKUP(H15951,IMPORTRANGE(""https://docs.google.com/spreadsheets/d/14Bd19lYaqBhU8_DElYkX7l4wRkHqqCUFNJY4AfY3kHU/edit?usp=sharing  #gid=0"",""фіз особи new!relations_name""),6,FALSE)
,
(IF
(
G15951=""юридична особа""
,
VLOO"&amp;"KUP(H15951,IMPORTRANGE(""https://docs.google.com/spreadsheets/d/14Bd19lYaqBhU8_DElYkX7l4wRkHqqCUFNJY4AfY3kHU/edit?usp=sharing  #gid=0"",""фіз особи new!relations_name_uo""),7,FALSE)
,
)
))"),"МЕХДІЄВ Асад Мехді огли")</f>
        <v>МЕХДІЄВ Асад Мехді огли</v>
      </c>
      <c r="J15950" s="7" t="s">
        <v>23</v>
      </c>
    </row>
    <row r="15951" spans="1:10" ht="13.2">
      <c r="A15951" s="7">
        <v>15950</v>
      </c>
      <c r="B15951" s="7">
        <v>1</v>
      </c>
      <c r="C15951" s="7" t="s">
        <v>10</v>
      </c>
      <c r="D15951" s="7">
        <v>19787</v>
      </c>
      <c r="E15951" s="7" t="s">
        <v>23</v>
      </c>
      <c r="F15951" s="8" t="str">
        <f ca="1">IFERROR(__xludf.DUMMYFUNCTION("IF
(
C15952=""фізична особа""
,
VLOOKUP(D15952,IMPORTRANGE(""https://docs.google.com/spreadsheets/d/14Bd19lYaqBhU8_DElYkX7l4wRkHqqCUFNJY4AfY3kHU/edit?usp=sharing  #gid=0"",""фіз особи new!relations_name""),6,FALSE)
,
(IF
(
C15952=""юридична особа""
,
VLOO"&amp;"KUP(D15952,IMPORTRANGE(""https://docs.google.com/spreadsheets/d/14Bd19lYaqBhU8_DElYkX7l4wRkHqqCUFNJY4AfY3kHU/edit?usp=sharing  #gid=0"",""фіз особи new!relations_name_uo""),7,FALSE)
,
)
))"),"БАРАНОВ Микола Олегович")</f>
        <v>БАРАНОВ Микола Олегович</v>
      </c>
      <c r="G15951" s="7" t="s">
        <v>10</v>
      </c>
      <c r="H15951" s="7">
        <v>0</v>
      </c>
      <c r="I15951" s="8" t="str">
        <f ca="1">IFERROR(__xludf.DUMMYFUNCTION("IF
(
G15952=""фізична особа""
,
VLOOKUP(H15952,IMPORTRANGE(""https://docs.google.com/spreadsheets/d/14Bd19lYaqBhU8_DElYkX7l4wRkHqqCUFNJY4AfY3kHU/edit?usp=sharing  #gid=0"",""фіз особи new!relations_name""),6,FALSE)
,
(IF
(
G15952=""юридична особа""
,
VLOO"&amp;"KUP(H15952,IMPORTRANGE(""https://docs.google.com/spreadsheets/d/14Bd19lYaqBhU8_DElYkX7l4wRkHqqCUFNJY4AfY3kHU/edit?usp=sharing  #gid=0"",""фіз особи new!relations_name_uo""),7,FALSE)
,
)
))"),"#N/A")</f>
        <v>#N/A</v>
      </c>
      <c r="J15951" s="7" t="s">
        <v>23</v>
      </c>
    </row>
    <row r="15952" spans="1:10" ht="13.2">
      <c r="A15952" s="7">
        <v>15951</v>
      </c>
      <c r="B15952" s="7">
        <v>1</v>
      </c>
      <c r="C15952" s="7" t="s">
        <v>10</v>
      </c>
      <c r="D15952" s="7">
        <v>19787</v>
      </c>
      <c r="E15952" s="7" t="s">
        <v>23</v>
      </c>
      <c r="F15952" s="8" t="str">
        <f ca="1">IFERROR(__xludf.DUMMYFUNCTION("IF
(
C15953=""фізична особа""
,
VLOOKUP(D15953,IMPORTRANGE(""https://docs.google.com/spreadsheets/d/14Bd19lYaqBhU8_DElYkX7l4wRkHqqCUFNJY4AfY3kHU/edit?usp=sharing  #gid=0"",""фіз особи new!relations_name""),6,FALSE)
,
(IF
(
C15953=""юридична особа""
,
VLOO"&amp;"KUP(D15953,IMPORTRANGE(""https://docs.google.com/spreadsheets/d/14Bd19lYaqBhU8_DElYkX7l4wRkHqqCUFNJY4AfY3kHU/edit?usp=sharing  #gid=0"",""фіз особи new!relations_name_uo""),7,FALSE)
,
)
))"),"БАРАНОВ Микола Олегович")</f>
        <v>БАРАНОВ Микола Олегович</v>
      </c>
      <c r="G15952" s="7" t="s">
        <v>10</v>
      </c>
      <c r="H15952" s="7">
        <v>19783</v>
      </c>
      <c r="I15952" s="8" t="str">
        <f ca="1">IFERROR(__xludf.DUMMYFUNCTION("IF
(
G15953=""фізична особа""
,
VLOOKUP(H15953,IMPORTRANGE(""https://docs.google.com/spreadsheets/d/14Bd19lYaqBhU8_DElYkX7l4wRkHqqCUFNJY4AfY3kHU/edit?usp=sharing  #gid=0"",""фіз особи new!relations_name""),6,FALSE)
,
(IF
(
G15953=""юридична особа""
,
VLOO"&amp;"KUP(H15953,IMPORTRANGE(""https://docs.google.com/spreadsheets/d/14Bd19lYaqBhU8_DElYkX7l4wRkHqqCUFNJY4AfY3kHU/edit?usp=sharing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J15952" s="7" t="s">
        <v>23</v>
      </c>
    </row>
    <row r="15953" spans="1:10" ht="13.2">
      <c r="A15953" s="7">
        <v>15952</v>
      </c>
      <c r="B15953" s="7">
        <v>1</v>
      </c>
      <c r="C15953" s="7" t="s">
        <v>10</v>
      </c>
      <c r="D15953" s="7">
        <v>19787</v>
      </c>
      <c r="E15953" s="7" t="s">
        <v>65</v>
      </c>
      <c r="F15953" s="8" t="str">
        <f ca="1">IFERROR(__xludf.DUMMYFUNCTION("IF
(
C15954=""фізична особа""
,
VLOOKUP(D15954,IMPORTRANGE(""https://docs.google.com/spreadsheets/d/14Bd19lYaqBhU8_DElYkX7l4wRkHqqCUFNJY4AfY3kHU/edit?usp=sharing  #gid=0"",""фіз особи new!relations_name""),6,FALSE)
,
(IF
(
C15954=""юридична особа""
,
VLOO"&amp;"KUP(D15954,IMPORTRANGE(""https://docs.google.com/spreadsheets/d/14Bd19lYaqBhU8_DElYkX7l4wRkHqqCUFNJY4AfY3kHU/edit?usp=sharing  #gid=0"",""фіз особи new!relations_name_uo""),7,FALSE)
,
)
))"),"БАРАНОВ Микола Олегович")</f>
        <v>БАРАНОВ Микола Олегович</v>
      </c>
      <c r="G15953" s="7" t="s">
        <v>10</v>
      </c>
      <c r="H15953" s="7">
        <v>0</v>
      </c>
      <c r="I15953" s="8" t="str">
        <f ca="1">IFERROR(__xludf.DUMMYFUNCTION("IF
(
G15954=""фізична особа""
,
VLOOKUP(H15954,IMPORTRANGE(""https://docs.google.com/spreadsheets/d/14Bd19lYaqBhU8_DElYkX7l4wRkHqqCUFNJY4AfY3kHU/edit?usp=sharing  #gid=0"",""фіз особи new!relations_name""),6,FALSE)
,
(IF
(
G15954=""юридична особа""
,
VLOO"&amp;"KUP(H15954,IMPORTRANGE(""https://docs.google.com/spreadsheets/d/14Bd19lYaqBhU8_DElYkX7l4wRkHqqCUFNJY4AfY3kHU/edit?usp=sharing  #gid=0"",""фіз особи new!relations_name_uo""),7,FALSE)
,
)
))"),"#N/A")</f>
        <v>#N/A</v>
      </c>
      <c r="J15953" s="7" t="s">
        <v>65</v>
      </c>
    </row>
    <row r="15954" spans="1:10" ht="13.2">
      <c r="A15954" s="7">
        <v>15953</v>
      </c>
      <c r="B15954" s="7">
        <v>1</v>
      </c>
      <c r="C15954" s="7" t="s">
        <v>10</v>
      </c>
      <c r="D15954" s="7">
        <v>19788</v>
      </c>
      <c r="E15954" s="7" t="s">
        <v>23</v>
      </c>
      <c r="F15954" s="8" t="str">
        <f ca="1">IFERROR(__xludf.DUMMYFUNCTION("IF
(
C15955=""фізична особа""
,
VLOOKUP(D15955,IMPORTRANGE(""https://docs.google.com/spreadsheets/d/14Bd19lYaqBhU8_DElYkX7l4wRkHqqCUFNJY4AfY3kHU/edit?usp=sharing  #gid=0"",""фіз особи new!relations_name""),6,FALSE)
,
(IF
(
C15955=""юридична особа""
,
VLOO"&amp;"KUP(D15955,IMPORTRANGE(""https://docs.google.com/spreadsheets/d/14Bd19lYaqBhU8_DElYkX7l4wRkHqqCUFNJY4AfY3kHU/edit?usp=sharing  #gid=0"",""фіз особи new!relations_name_uo""),7,FALSE)
,
)
))"),"ЛУЧІН Вячеслав Олександрович")</f>
        <v>ЛУЧІН Вячеслав Олександрович</v>
      </c>
      <c r="G15954" s="7" t="s">
        <v>10</v>
      </c>
      <c r="H15954" s="7">
        <v>19783</v>
      </c>
      <c r="I15954" s="8" t="str">
        <f ca="1">IFERROR(__xludf.DUMMYFUNCTION("IF
(
G15955=""фізична особа""
,
VLOOKUP(H15955,IMPORTRANGE(""https://docs.google.com/spreadsheets/d/14Bd19lYaqBhU8_DElYkX7l4wRkHqqCUFNJY4AfY3kHU/edit?usp=sharing  #gid=0"",""фіз особи new!relations_name""),6,FALSE)
,
(IF
(
G15955=""юридична особа""
,
VLOO"&amp;"KUP(H15955,IMPORTRANGE(""https://docs.google.com/spreadsheets/d/14Bd19lYaqBhU8_DElYkX7l4wRkHqqCUFNJY4AfY3kHU/edit?usp=sharing  #gid=0"",""фіз особи new!relations_name_uo""),7,FALSE)
,
)
))"),"ЛУЧИН Олександр Володимирович")</f>
        <v>ЛУЧИН Олександр Володимирович</v>
      </c>
      <c r="J15954" s="7" t="s">
        <v>23</v>
      </c>
    </row>
    <row r="15955" spans="1:10" ht="13.2">
      <c r="A15955" s="7">
        <v>15954</v>
      </c>
      <c r="B15955" s="7">
        <v>1</v>
      </c>
      <c r="C15955" s="7" t="s">
        <v>10</v>
      </c>
      <c r="D15955" s="7">
        <v>19788</v>
      </c>
      <c r="E15955" s="7" t="s">
        <v>23</v>
      </c>
      <c r="F15955" s="8" t="str">
        <f ca="1">IFERROR(__xludf.DUMMYFUNCTION("IF
(
C15956=""фізична особа""
,
VLOOKUP(D15956,IMPORTRANGE(""https://docs.google.com/spreadsheets/d/14Bd19lYaqBhU8_DElYkX7l4wRkHqqCUFNJY4AfY3kHU/edit?usp=sharing  #gid=0"",""фіз особи new!relations_name""),6,FALSE)
,
(IF
(
C15956=""юридична особа""
,
VLOO"&amp;"KUP(D15956,IMPORTRANGE(""https://docs.google.com/spreadsheets/d/14Bd19lYaqBhU8_DElYkX7l4wRkHqqCUFNJY4AfY3kHU/edit?usp=sharing  #gid=0"",""фіз особи new!relations_name_uo""),7,FALSE)
,
)
))"),"ЛУЧІН Вячеслав Олександрович")</f>
        <v>ЛУЧІН Вячеслав Олександрович</v>
      </c>
      <c r="G15955" s="7" t="s">
        <v>10</v>
      </c>
      <c r="H15955" s="7">
        <v>19785</v>
      </c>
      <c r="I15955" s="8" t="str">
        <f ca="1">IFERROR(__xludf.DUMMYFUNCTION("IF
(
G15956=""фізична особа""
,
VLOOKUP(H15956,IMPORTRANGE(""https://docs.google.com/spreadsheets/d/14Bd19lYaqBhU8_DElYkX7l4wRkHqqCUFNJY4AfY3kHU/edit?usp=sharing  #gid=0"",""фіз особи new!relations_name""),6,FALSE)
,
(IF
(
G15956=""юридична особа""
,
VLOO"&amp;"KUP(H15956,IMPORTRANGE(""https://docs.google.com/spreadsheets/d/14Bd19lYaqBhU8_DElYkX7l4wRkHqqCUFNJY4AfY3kHU/edit?usp=sharing  #gid=0"",""фіз особи new!relations_name_uo""),7,FALSE)
,
)
))"),"БЄЛЯЄВА Тетяна Борисівна")</f>
        <v>БЄЛЯЄВА Тетяна Борисівна</v>
      </c>
      <c r="J15955" s="7" t="s">
        <v>23</v>
      </c>
    </row>
    <row r="15956" spans="1:10" ht="13.2">
      <c r="A15956" s="7">
        <v>15955</v>
      </c>
      <c r="B15956" s="7">
        <v>1</v>
      </c>
      <c r="C15956" s="7" t="s">
        <v>10</v>
      </c>
      <c r="D15956" s="7">
        <v>19789</v>
      </c>
      <c r="E15956" s="7" t="s">
        <v>23</v>
      </c>
      <c r="F15956" s="8" t="str">
        <f ca="1">IFERROR(__xludf.DUMMYFUNCTION("IF
(
C15957=""фізична особа""
,
VLOOKUP(D15957,IMPORTRANGE(""https://docs.google.com/spreadsheets/d/14Bd19lYaqBhU8_DElYkX7l4wRkHqqCUFNJY4AfY3kHU/edit?usp=sharing  #gid=0"",""фіз особи new!relations_name""),6,FALSE)
,
(IF
(
C15957=""юридична особа""
,
VLOO"&amp;"KUP(D15957,IMPORTRANGE(""https://docs.google.com/spreadsheets/d/14Bd19lYaqBhU8_DElYkX7l4wRkHqqCUFNJY4AfY3kHU/edit?usp=sharing  #gid=0"",""фіз особи new!relations_name_uo""),7,FALSE)
,
)
))"),"МАКАРОВ Сергій Анатолійович")</f>
        <v>МАКАРОВ Сергій Анатолійович</v>
      </c>
      <c r="G15956" s="7" t="s">
        <v>10</v>
      </c>
      <c r="H15956" s="7">
        <v>19785</v>
      </c>
      <c r="I15956" s="8" t="str">
        <f ca="1">IFERROR(__xludf.DUMMYFUNCTION("IF
(
G15957=""фізична особа""
,
VLOOKUP(H15957,IMPORTRANGE(""https://docs.google.com/spreadsheets/d/14Bd19lYaqBhU8_DElYkX7l4wRkHqqCUFNJY4AfY3kHU/edit?usp=sharing  #gid=0"",""фіз особи new!relations_name""),6,FALSE)
,
(IF
(
G15957=""юридична особа""
,
VLOO"&amp;"KUP(H15957,IMPORTRANGE(""https://docs.google.com/spreadsheets/d/14Bd19lYaqBhU8_DElYkX7l4wRkHqqCUFNJY4AfY3kHU/edit?usp=sharing  #gid=0"",""фіз особи new!relations_name_uo""),7,FALSE)
,
)
))"),"БЄЛЯЄВА Тетяна Борисівна")</f>
        <v>БЄЛЯЄВА Тетяна Борисівна</v>
      </c>
      <c r="J15956" s="7" t="s">
        <v>23</v>
      </c>
    </row>
    <row r="15957" spans="1:10" ht="13.2">
      <c r="A15957" s="7">
        <v>15956</v>
      </c>
      <c r="B15957" s="7">
        <v>1</v>
      </c>
      <c r="C15957" s="7" t="s">
        <v>10</v>
      </c>
      <c r="D15957" s="7">
        <v>19790</v>
      </c>
      <c r="E15957" s="7" t="s">
        <v>23</v>
      </c>
      <c r="F15957" s="8" t="str">
        <f ca="1">IFERROR(__xludf.DUMMYFUNCTION("IF
(
C15958=""фізична особа""
,
VLOOKUP(D15958,IMPORTRANGE(""https://docs.google.com/spreadsheets/d/14Bd19lYaqBhU8_DElYkX7l4wRkHqqCUFNJY4AfY3kHU/edit?usp=sharing  #gid=0"",""фіз особи new!relations_name""),6,FALSE)
,
(IF
(
C15958=""юридична особа""
,
VLOO"&amp;"KUP(D15958,IMPORTRANGE(""https://docs.google.com/spreadsheets/d/14Bd19lYaqBhU8_DElYkX7l4wRkHqqCUFNJY4AfY3kHU/edit?usp=sharing  #gid=0"",""фіз особи new!relations_name_uo""),7,FALSE)
,
)
))"),"БЕРЕЗОВСЬКИЙ Юрій Олександрович")</f>
        <v>БЕРЕЗОВСЬКИЙ Юрій Олександрович</v>
      </c>
      <c r="G15957" s="7" t="s">
        <v>10</v>
      </c>
      <c r="H15957" s="7">
        <v>0</v>
      </c>
      <c r="I15957" s="8" t="str">
        <f ca="1">IFERROR(__xludf.DUMMYFUNCTION("IF
(
G15958=""фізична особа""
,
VLOOKUP(H15958,IMPORTRANGE(""https://docs.google.com/spreadsheets/d/14Bd19lYaqBhU8_DElYkX7l4wRkHqqCUFNJY4AfY3kHU/edit?usp=sharing  #gid=0"",""фіз особи new!relations_name""),6,FALSE)
,
(IF
(
G15958=""юридична особа""
,
VLOO"&amp;"KUP(H15958,IMPORTRANGE(""https://docs.google.com/spreadsheets/d/14Bd19lYaqBhU8_DElYkX7l4wRkHqqCUFNJY4AfY3kHU/edit?usp=sharing  #gid=0"",""фіз особи new!relations_name_uo""),7,FALSE)
,
)
))"),"#N/A")</f>
        <v>#N/A</v>
      </c>
      <c r="J15957" s="7" t="s">
        <v>23</v>
      </c>
    </row>
    <row r="15958" spans="1:10" ht="13.2">
      <c r="A15958" s="7">
        <v>15957</v>
      </c>
      <c r="B15958" s="7">
        <v>1</v>
      </c>
      <c r="C15958" s="7" t="s">
        <v>10</v>
      </c>
      <c r="D15958" s="7">
        <v>19790</v>
      </c>
      <c r="E15958" s="7" t="s">
        <v>23</v>
      </c>
      <c r="F15958" s="8" t="str">
        <f ca="1">IFERROR(__xludf.DUMMYFUNCTION("IF
(
C15959=""фізична особа""
,
VLOOKUP(D15959,IMPORTRANGE(""https://docs.google.com/spreadsheets/d/14Bd19lYaqBhU8_DElYkX7l4wRkHqqCUFNJY4AfY3kHU/edit?usp=sharing  #gid=0"",""фіз особи new!relations_name""),6,FALSE)
,
(IF
(
C15959=""юридична особа""
,
VLOO"&amp;"KUP(D15959,IMPORTRANGE(""https://docs.google.com/spreadsheets/d/14Bd19lYaqBhU8_DElYkX7l4wRkHqqCUFNJY4AfY3kHU/edit?usp=sharing  #gid=0"",""фіз особи new!relations_name_uo""),7,FALSE)
,
)
))"),"БЕРЕЗОВСЬКИЙ Юрій Олександрович")</f>
        <v>БЕРЕЗОВСЬКИЙ Юрій Олександрович</v>
      </c>
      <c r="G15958" s="7" t="s">
        <v>10</v>
      </c>
      <c r="H15958" s="7">
        <v>16542</v>
      </c>
      <c r="I15958" s="8" t="str">
        <f ca="1">IFERROR(__xludf.DUMMYFUNCTION("IF
(
G15959=""фізична особа""
,
VLOOKUP(H15959,IMPORTRANGE(""https://docs.google.com/spreadsheets/d/14Bd19lYaqBhU8_DElYkX7l4wRkHqqCUFNJY4AfY3kHU/edit?usp=sharing  #gid=0"",""фіз особи new!relations_name""),6,FALSE)
,
(IF
(
G15959=""юридична особа""
,
VLOO"&amp;"KUP(H15959,IMPORTRANGE(""https://docs.google.com/spreadsheets/d/14Bd19lYaqBhU8_DElYkX7l4wRkHqqCUFNJY4AfY3kHU/edit?usp=sharing  #gid=0"",""фіз особи new!relations_name_uo""),7,FALSE)
,
)
))"),"МИРОНЧИК Роман Борисович")</f>
        <v>МИРОНЧИК Роман Борисович</v>
      </c>
      <c r="J15958" s="7" t="s">
        <v>23</v>
      </c>
    </row>
    <row r="15959" spans="1:10" ht="13.2">
      <c r="A15959" s="7">
        <v>15958</v>
      </c>
      <c r="B15959" s="7">
        <v>1</v>
      </c>
      <c r="C15959" s="7" t="s">
        <v>10</v>
      </c>
      <c r="D15959" s="7">
        <v>19790</v>
      </c>
      <c r="E15959" s="7" t="s">
        <v>23</v>
      </c>
      <c r="F15959" s="8" t="str">
        <f ca="1">IFERROR(__xludf.DUMMYFUNCTION("IF
(
C15960=""фізична особа""
,
VLOOKUP(D15960,IMPORTRANGE(""https://docs.google.com/spreadsheets/d/14Bd19lYaqBhU8_DElYkX7l4wRkHqqCUFNJY4AfY3kHU/edit?usp=sharing  #gid=0"",""фіз особи new!relations_name""),6,FALSE)
,
(IF
(
C15960=""юридична особа""
,
VLOO"&amp;"KUP(D15960,IMPORTRANGE(""https://docs.google.com/spreadsheets/d/14Bd19lYaqBhU8_DElYkX7l4wRkHqqCUFNJY4AfY3kHU/edit?usp=sharing  #gid=0"",""фіз особи new!relations_name_uo""),7,FALSE)
,
)
))"),"БЕРЕЗОВСЬКИЙ Юрій Олександрович")</f>
        <v>БЕРЕЗОВСЬКИЙ Юрій Олександрович</v>
      </c>
      <c r="G15959" s="7" t="s">
        <v>10</v>
      </c>
      <c r="H15959" s="7">
        <v>0</v>
      </c>
      <c r="I15959" s="8" t="str">
        <f ca="1">IFERROR(__xludf.DUMMYFUNCTION("IF
(
G15960=""фізична особа""
,
VLOOKUP(H15960,IMPORTRANGE(""https://docs.google.com/spreadsheets/d/14Bd19lYaqBhU8_DElYkX7l4wRkHqqCUFNJY4AfY3kHU/edit?usp=sharing  #gid=0"",""фіз особи new!relations_name""),6,FALSE)
,
(IF
(
G15960=""юридична особа""
,
VLOO"&amp;"KUP(H15960,IMPORTRANGE(""https://docs.google.com/spreadsheets/d/14Bd19lYaqBhU8_DElYkX7l4wRkHqqCUFNJY4AfY3kHU/edit?usp=sharing  #gid=0"",""фіз особи new!relations_name_uo""),7,FALSE)
,
)
))"),"#N/A")</f>
        <v>#N/A</v>
      </c>
      <c r="J15959" s="7" t="s">
        <v>23</v>
      </c>
    </row>
    <row r="15960" spans="1:10" ht="13.2">
      <c r="A15960" s="7">
        <v>15959</v>
      </c>
      <c r="B15960" s="7">
        <v>1</v>
      </c>
      <c r="C15960" s="7" t="s">
        <v>10</v>
      </c>
      <c r="D15960" s="7">
        <v>19790</v>
      </c>
      <c r="E15960" s="7" t="s">
        <v>23</v>
      </c>
      <c r="F15960" s="8" t="str">
        <f ca="1">IFERROR(__xludf.DUMMYFUNCTION("IF
(
C15961=""фізична особа""
,
VLOOKUP(D15961,IMPORTRANGE(""https://docs.google.com/spreadsheets/d/14Bd19lYaqBhU8_DElYkX7l4wRkHqqCUFNJY4AfY3kHU/edit?usp=sharing  #gid=0"",""фіз особи new!relations_name""),6,FALSE)
,
(IF
(
C15961=""юридична особа""
,
VLOO"&amp;"KUP(D15961,IMPORTRANGE(""https://docs.google.com/spreadsheets/d/14Bd19lYaqBhU8_DElYkX7l4wRkHqqCUFNJY4AfY3kHU/edit?usp=sharing  #gid=0"",""фіз особи new!relations_name_uo""),7,FALSE)
,
)
))"),"БЕРЕЗОВСЬКИЙ Юрій Олександрович")</f>
        <v>БЕРЕЗОВСЬКИЙ Юрій Олександрович</v>
      </c>
      <c r="G15960" s="7" t="s">
        <v>10</v>
      </c>
      <c r="H15960" s="7">
        <v>8476</v>
      </c>
      <c r="I15960" s="8" t="str">
        <f ca="1">IFERROR(__xludf.DUMMYFUNCTION("IF
(
G15961=""фізична особа""
,
VLOOKUP(H15961,IMPORTRANGE(""https://docs.google.com/spreadsheets/d/14Bd19lYaqBhU8_DElYkX7l4wRkHqqCUFNJY4AfY3kHU/edit?usp=sharing  #gid=0"",""фіз особи new!relations_name""),6,FALSE)
,
(IF
(
G15961=""юридична особа""
,
VLOO"&amp;"KUP(H15961,IMPORTRANGE(""https://docs.google.com/spreadsheets/d/14Bd19lYaqBhU8_DElYkX7l4wRkHqqCUFNJY4AfY3kHU/edit?usp=sharing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5960" s="7" t="s">
        <v>23</v>
      </c>
    </row>
    <row r="15961" spans="1:10" ht="13.2">
      <c r="A15961" s="7">
        <v>15960</v>
      </c>
      <c r="B15961" s="7">
        <v>1</v>
      </c>
      <c r="C15961" s="7" t="s">
        <v>10</v>
      </c>
      <c r="D15961" s="7">
        <v>19790</v>
      </c>
      <c r="E15961" s="7" t="s">
        <v>23</v>
      </c>
      <c r="F15961" s="8" t="str">
        <f ca="1">IFERROR(__xludf.DUMMYFUNCTION("IF
(
C15962=""фізична особа""
,
VLOOKUP(D15962,IMPORTRANGE(""https://docs.google.com/spreadsheets/d/14Bd19lYaqBhU8_DElYkX7l4wRkHqqCUFNJY4AfY3kHU/edit?usp=sharing  #gid=0"",""фіз особи new!relations_name""),6,FALSE)
,
(IF
(
C15962=""юридична особа""
,
VLOO"&amp;"KUP(D15962,IMPORTRANGE(""https://docs.google.com/spreadsheets/d/14Bd19lYaqBhU8_DElYkX7l4wRkHqqCUFNJY4AfY3kHU/edit?usp=sharing  #gid=0"",""фіз особи new!relations_name_uo""),7,FALSE)
,
)
))"),"БЕРЕЗОВСЬКИЙ Юрій Олександрович")</f>
        <v>БЕРЕЗОВСЬКИЙ Юрій Олександрович</v>
      </c>
      <c r="G15961" s="7" t="s">
        <v>10</v>
      </c>
      <c r="H15961" s="7">
        <v>0</v>
      </c>
      <c r="I15961" s="8" t="str">
        <f ca="1">IFERROR(__xludf.DUMMYFUNCTION("IF
(
G15962=""фізична особа""
,
VLOOKUP(H15962,IMPORTRANGE(""https://docs.google.com/spreadsheets/d/14Bd19lYaqBhU8_DElYkX7l4wRkHqqCUFNJY4AfY3kHU/edit?usp=sharing  #gid=0"",""фіз особи new!relations_name""),6,FALSE)
,
(IF
(
G15962=""юридична особа""
,
VLOO"&amp;"KUP(H15962,IMPORTRANGE(""https://docs.google.com/spreadsheets/d/14Bd19lYaqBhU8_DElYkX7l4wRkHqqCUFNJY4AfY3kHU/edit?usp=sharing  #gid=0"",""фіз особи new!relations_name_uo""),7,FALSE)
,
)
))"),"#N/A")</f>
        <v>#N/A</v>
      </c>
      <c r="J15961" s="7" t="s">
        <v>23</v>
      </c>
    </row>
    <row r="15962" spans="1:10" ht="13.2">
      <c r="A15962" s="7">
        <v>15961</v>
      </c>
      <c r="B15962" s="7">
        <v>1</v>
      </c>
      <c r="C15962" s="7" t="s">
        <v>10</v>
      </c>
      <c r="D15962" s="7">
        <v>19791</v>
      </c>
      <c r="E15962" s="7" t="s">
        <v>23</v>
      </c>
      <c r="F15962" s="8" t="str">
        <f ca="1">IFERROR(__xludf.DUMMYFUNCTION("IF
(
C15963=""фізична особа""
,
VLOOKUP(D15963,IMPORTRANGE(""https://docs.google.com/spreadsheets/d/14Bd19lYaqBhU8_DElYkX7l4wRkHqqCUFNJY4AfY3kHU/edit?usp=sharing  #gid=0"",""фіз особи new!relations_name""),6,FALSE)
,
(IF
(
C15963=""юридична особа""
,
VLOO"&amp;"KUP(D15963,IMPORTRANGE(""https://docs.google.com/spreadsheets/d/14Bd19lYaqBhU8_DElYkX7l4wRkHqqCUFNJY4AfY3kHU/edit?usp=sharing  #gid=0"",""фіз особи new!relations_name_uo""),7,FALSE)
,
)
))"),"БРУСІЛОВСЬКИЙ Вадим Борисович")</f>
        <v>БРУСІЛОВСЬКИЙ Вадим Борисович</v>
      </c>
      <c r="G15962" s="7" t="s">
        <v>10</v>
      </c>
      <c r="H15962" s="7">
        <v>8476</v>
      </c>
      <c r="I15962" s="8" t="str">
        <f ca="1">IFERROR(__xludf.DUMMYFUNCTION("IF
(
G15963=""фізична особа""
,
VLOOKUP(H15963,IMPORTRANGE(""https://docs.google.com/spreadsheets/d/14Bd19lYaqBhU8_DElYkX7l4wRkHqqCUFNJY4AfY3kHU/edit?usp=sharing  #gid=0"",""фіз особи new!relations_name""),6,FALSE)
,
(IF
(
G15963=""юридична особа""
,
VLOO"&amp;"KUP(H15963,IMPORTRANGE(""https://docs.google.com/spreadsheets/d/14Bd19lYaqBhU8_DElYkX7l4wRkHqqCUFNJY4AfY3kHU/edit?usp=sharing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5962" s="7" t="s">
        <v>23</v>
      </c>
    </row>
    <row r="15963" spans="1:10" ht="13.2">
      <c r="A15963" s="7">
        <v>15962</v>
      </c>
      <c r="B15963" s="7">
        <v>1</v>
      </c>
      <c r="C15963" s="7" t="s">
        <v>10</v>
      </c>
      <c r="D15963" s="7">
        <v>19792</v>
      </c>
      <c r="E15963" s="7" t="s">
        <v>23</v>
      </c>
      <c r="F15963" s="8" t="str">
        <f ca="1">IFERROR(__xludf.DUMMYFUNCTION("IF
(
C15964=""фізична особа""
,
VLOOKUP(D15964,IMPORTRANGE(""https://docs.google.com/spreadsheets/d/14Bd19lYaqBhU8_DElYkX7l4wRkHqqCUFNJY4AfY3kHU/edit?usp=sharing  #gid=0"",""фіз особи new!relations_name""),6,FALSE)
,
(IF
(
C15964=""юридична особа""
,
VLOO"&amp;"KUP(D15964,IMPORTRANGE(""https://docs.google.com/spreadsheets/d/14Bd19lYaqBhU8_DElYkX7l4wRkHqqCUFNJY4AfY3kHU/edit?usp=sharing  #gid=0"",""фіз особи new!relations_name_uo""),7,FALSE)
,
)
))"),"КАМАРИТДІНОВ Шарафіддін Шахабітдінович")</f>
        <v>КАМАРИТДІНОВ Шарафіддін Шахабітдінович</v>
      </c>
      <c r="G15963" s="7" t="s">
        <v>10</v>
      </c>
      <c r="H15963" s="7">
        <v>8476</v>
      </c>
      <c r="I15963" s="8" t="str">
        <f ca="1">IFERROR(__xludf.DUMMYFUNCTION("IF
(
G15964=""фізична особа""
,
VLOOKUP(H15964,IMPORTRANGE(""https://docs.google.com/spreadsheets/d/14Bd19lYaqBhU8_DElYkX7l4wRkHqqCUFNJY4AfY3kHU/edit?usp=sharing  #gid=0"",""фіз особи new!relations_name""),6,FALSE)
,
(IF
(
G15964=""юридична особа""
,
VLOO"&amp;"KUP(H15964,IMPORTRANGE(""https://docs.google.com/spreadsheets/d/14Bd19lYaqBhU8_DElYkX7l4wRkHqqCUFNJY4AfY3kHU/edit?usp=sharing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5963" s="7" t="s">
        <v>23</v>
      </c>
    </row>
    <row r="15964" spans="1:10" ht="13.2">
      <c r="A15964" s="7">
        <v>15963</v>
      </c>
      <c r="B15964" s="7">
        <v>1</v>
      </c>
      <c r="C15964" s="7" t="s">
        <v>10</v>
      </c>
      <c r="D15964" s="7">
        <v>19793</v>
      </c>
      <c r="E15964" s="7" t="s">
        <v>23</v>
      </c>
      <c r="F15964" s="8" t="str">
        <f ca="1">IFERROR(__xludf.DUMMYFUNCTION("IF
(
C15965=""фізична особа""
,
VLOOKUP(D15965,IMPORTRANGE(""https://docs.google.com/spreadsheets/d/14Bd19lYaqBhU8_DElYkX7l4wRkHqqCUFNJY4AfY3kHU/edit?usp=sharing  #gid=0"",""фіз особи new!relations_name""),6,FALSE)
,
(IF
(
C15965=""юридична особа""
,
VLOO"&amp;"KUP(D15965,IMPORTRANGE(""https://docs.google.com/spreadsheets/d/14Bd19lYaqBhU8_DElYkX7l4wRkHqqCUFNJY4AfY3kHU/edit?usp=sharing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4" s="7" t="s">
        <v>10</v>
      </c>
      <c r="H15964" s="7">
        <v>8476</v>
      </c>
      <c r="I15964" s="8" t="str">
        <f ca="1">IFERROR(__xludf.DUMMYFUNCTION("IF
(
G15965=""фізична особа""
,
VLOOKUP(H15965,IMPORTRANGE(""https://docs.google.com/spreadsheets/d/14Bd19lYaqBhU8_DElYkX7l4wRkHqqCUFNJY4AfY3kHU/edit?usp=sharing  #gid=0"",""фіз особи new!relations_name""),6,FALSE)
,
(IF
(
G15965=""юридична особа""
,
VLOO"&amp;"KUP(H15965,IMPORTRANGE(""https://docs.google.com/spreadsheets/d/14Bd19lYaqBhU8_DElYkX7l4wRkHqqCUFNJY4AfY3kHU/edit?usp=sharing  #gid=0"",""фіз особи new!relations_name_uo""),7,FALSE)
,
)
))"),"ІВАНОВСЬКИЙ Євгеній Леонідович")</f>
        <v>ІВАНОВСЬКИЙ Євгеній Леонідович</v>
      </c>
      <c r="J15964" s="7" t="s">
        <v>23</v>
      </c>
    </row>
    <row r="15965" spans="1:10" ht="13.2">
      <c r="A15965" s="7">
        <v>15964</v>
      </c>
      <c r="B15965" s="7">
        <v>1</v>
      </c>
      <c r="C15965" s="7" t="s">
        <v>10</v>
      </c>
      <c r="D15965" s="7">
        <v>19793</v>
      </c>
      <c r="E15965" s="7" t="s">
        <v>23</v>
      </c>
      <c r="F15965" s="8" t="str">
        <f ca="1">IFERROR(__xludf.DUMMYFUNCTION("IF
(
C15966=""фізична особа""
,
VLOOKUP(D15966,IMPORTRANGE(""https://docs.google.com/spreadsheets/d/14Bd19lYaqBhU8_DElYkX7l4wRkHqqCUFNJY4AfY3kHU/edit?usp=sharing  #gid=0"",""фіз особи new!relations_name""),6,FALSE)
,
(IF
(
C15966=""юридична особа""
,
VLOO"&amp;"KUP(D15966,IMPORTRANGE(""https://docs.google.com/spreadsheets/d/14Bd19lYaqBhU8_DElYkX7l4wRkHqqCUFNJY4AfY3kHU/edit?usp=sharing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5" s="7" t="s">
        <v>10</v>
      </c>
      <c r="H15965" s="7">
        <v>0</v>
      </c>
      <c r="I15965" s="8" t="str">
        <f ca="1">IFERROR(__xludf.DUMMYFUNCTION("IF
(
G15966=""фізична особа""
,
VLOOKUP(H15966,IMPORTRANGE(""https://docs.google.com/spreadsheets/d/14Bd19lYaqBhU8_DElYkX7l4wRkHqqCUFNJY4AfY3kHU/edit?usp=sharing  #gid=0"",""фіз особи new!relations_name""),6,FALSE)
,
(IF
(
G15966=""юридична особа""
,
VLOO"&amp;"KUP(H15966,IMPORTRANGE(""https://docs.google.com/spreadsheets/d/14Bd19lYaqBhU8_DElYkX7l4wRkHqqCUFNJY4AfY3kHU/edit?usp=sharing  #gid=0"",""фіз особи new!relations_name_uo""),7,FALSE)
,
)
))"),"#N/A")</f>
        <v>#N/A</v>
      </c>
      <c r="J15965" s="7" t="s">
        <v>23</v>
      </c>
    </row>
    <row r="15966" spans="1:10" ht="13.2">
      <c r="A15966" s="7">
        <v>15965</v>
      </c>
      <c r="B15966" s="7">
        <v>1</v>
      </c>
      <c r="C15966" s="7" t="s">
        <v>10</v>
      </c>
      <c r="D15966" s="7">
        <v>19793</v>
      </c>
      <c r="E15966" s="7" t="s">
        <v>23</v>
      </c>
      <c r="F15966" s="8" t="str">
        <f ca="1">IFERROR(__xludf.DUMMYFUNCTION("IF
(
C15967=""фізична особа""
,
VLOOKUP(D15967,IMPORTRANGE(""https://docs.google.com/spreadsheets/d/14Bd19lYaqBhU8_DElYkX7l4wRkHqqCUFNJY4AfY3kHU/edit?usp=sharing  #gid=0"",""фіз особи new!relations_name""),6,FALSE)
,
(IF
(
C15967=""юридична особа""
,
VLOO"&amp;"KUP(D15967,IMPORTRANGE(""https://docs.google.com/spreadsheets/d/14Bd19lYaqBhU8_DElYkX7l4wRkHqqCUFNJY4AfY3kHU/edit?usp=sharing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6" s="7" t="s">
        <v>10</v>
      </c>
      <c r="H15966" s="7">
        <v>0</v>
      </c>
      <c r="I15966" s="8" t="str">
        <f ca="1">IFERROR(__xludf.DUMMYFUNCTION("IF
(
G15967=""фізична особа""
,
VLOOKUP(H15967,IMPORTRANGE(""https://docs.google.com/spreadsheets/d/14Bd19lYaqBhU8_DElYkX7l4wRkHqqCUFNJY4AfY3kHU/edit?usp=sharing  #gid=0"",""фіз особи new!relations_name""),6,FALSE)
,
(IF
(
G15967=""юридична особа""
,
VLOO"&amp;"KUP(H15967,IMPORTRANGE(""https://docs.google.com/spreadsheets/d/14Bd19lYaqBhU8_DElYkX7l4wRkHqqCUFNJY4AfY3kHU/edit?usp=sharing  #gid=0"",""фіз особи new!relations_name_uo""),7,FALSE)
,
)
))"),"#N/A")</f>
        <v>#N/A</v>
      </c>
      <c r="J15966" s="7" t="s">
        <v>23</v>
      </c>
    </row>
    <row r="15967" spans="1:10" ht="13.2">
      <c r="A15967" s="7">
        <v>15966</v>
      </c>
      <c r="B15967" s="7">
        <v>1</v>
      </c>
      <c r="C15967" s="7" t="s">
        <v>10</v>
      </c>
      <c r="D15967" s="7">
        <v>19793</v>
      </c>
      <c r="E15967" s="7" t="s">
        <v>23</v>
      </c>
      <c r="F15967" s="8" t="str">
        <f ca="1">IFERROR(__xludf.DUMMYFUNCTION("IF
(
C15968=""фізична особа""
,
VLOOKUP(D15968,IMPORTRANGE(""https://docs.google.com/spreadsheets/d/14Bd19lYaqBhU8_DElYkX7l4wRkHqqCUFNJY4AfY3kHU/edit?usp=sharing  #gid=0"",""фіз особи new!relations_name""),6,FALSE)
,
(IF
(
C15968=""юридична особа""
,
VLOO"&amp;"KUP(D15968,IMPORTRANGE(""https://docs.google.com/spreadsheets/d/14Bd19lYaqBhU8_DElYkX7l4wRkHqqCUFNJY4AfY3kHU/edit?usp=sharing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7" s="7" t="s">
        <v>10</v>
      </c>
      <c r="H15967" s="7">
        <v>0</v>
      </c>
      <c r="I15967" s="8" t="str">
        <f ca="1">IFERROR(__xludf.DUMMYFUNCTION("IF
(
G15968=""фізична особа""
,
VLOOKUP(H15968,IMPORTRANGE(""https://docs.google.com/spreadsheets/d/14Bd19lYaqBhU8_DElYkX7l4wRkHqqCUFNJY4AfY3kHU/edit?usp=sharing  #gid=0"",""фіз особи new!relations_name""),6,FALSE)
,
(IF
(
G15968=""юридична особа""
,
VLOO"&amp;"KUP(H15968,IMPORTRANGE(""https://docs.google.com/spreadsheets/d/14Bd19lYaqBhU8_DElYkX7l4wRkHqqCUFNJY4AfY3kHU/edit?usp=sharing  #gid=0"",""фіз особи new!relations_name_uo""),7,FALSE)
,
)
))"),"#N/A")</f>
        <v>#N/A</v>
      </c>
      <c r="J15967" s="7" t="s">
        <v>23</v>
      </c>
    </row>
    <row r="15968" spans="1:10" ht="13.2">
      <c r="A15968" s="7">
        <v>15967</v>
      </c>
      <c r="B15968" s="7">
        <v>1</v>
      </c>
      <c r="C15968" s="7" t="s">
        <v>10</v>
      </c>
      <c r="D15968" s="7">
        <v>19793</v>
      </c>
      <c r="E15968" s="7" t="s">
        <v>23</v>
      </c>
      <c r="F15968" s="8" t="str">
        <f ca="1">IFERROR(__xludf.DUMMYFUNCTION("IF
(
C15969=""фізична особа""
,
VLOOKUP(D15969,IMPORTRANGE(""https://docs.google.com/spreadsheets/d/14Bd19lYaqBhU8_DElYkX7l4wRkHqqCUFNJY4AfY3kHU/edit?usp=sharing  #gid=0"",""фіз особи new!relations_name""),6,FALSE)
,
(IF
(
C15969=""юридична особа""
,
VLOO"&amp;"KUP(D15969,IMPORTRANGE(""https://docs.google.com/spreadsheets/d/14Bd19lYaqBhU8_DElYkX7l4wRkHqqCUFNJY4AfY3kHU/edit?usp=sharing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8" s="7" t="s">
        <v>10</v>
      </c>
      <c r="H15968" s="7">
        <v>0</v>
      </c>
      <c r="I15968" s="8" t="str">
        <f ca="1">IFERROR(__xludf.DUMMYFUNCTION("IF
(
G15969=""фізична особа""
,
VLOOKUP(H15969,IMPORTRANGE(""https://docs.google.com/spreadsheets/d/14Bd19lYaqBhU8_DElYkX7l4wRkHqqCUFNJY4AfY3kHU/edit?usp=sharing  #gid=0"",""фіз особи new!relations_name""),6,FALSE)
,
(IF
(
G15969=""юридична особа""
,
VLOO"&amp;"KUP(H15969,IMPORTRANGE(""https://docs.google.com/spreadsheets/d/14Bd19lYaqBhU8_DElYkX7l4wRkHqqCUFNJY4AfY3kHU/edit?usp=sharing  #gid=0"",""фіз особи new!relations_name_uo""),7,FALSE)
,
)
))"),"#N/A")</f>
        <v>#N/A</v>
      </c>
      <c r="J15968" s="7" t="s">
        <v>23</v>
      </c>
    </row>
    <row r="15969" spans="1:10" ht="13.2">
      <c r="A15969" s="7">
        <v>15968</v>
      </c>
      <c r="B15969" s="7">
        <v>1</v>
      </c>
      <c r="C15969" s="7" t="s">
        <v>10</v>
      </c>
      <c r="D15969" s="7">
        <v>19793</v>
      </c>
      <c r="E15969" s="7" t="s">
        <v>23</v>
      </c>
      <c r="F15969" s="8" t="str">
        <f ca="1">IFERROR(__xludf.DUMMYFUNCTION("IF
(
C15970=""фізична особа""
,
VLOOKUP(D15970,IMPORTRANGE(""https://docs.google.com/spreadsheets/d/14Bd19lYaqBhU8_DElYkX7l4wRkHqqCUFNJY4AfY3kHU/edit?usp=sharing  #gid=0"",""фіз особи new!relations_name""),6,FALSE)
,
(IF
(
C15970=""юридична особа""
,
VLOO"&amp;"KUP(D15970,IMPORTRANGE(""https://docs.google.com/spreadsheets/d/14Bd19lYaqBhU8_DElYkX7l4wRkHqqCUFNJY4AfY3kHU/edit?usp=sharing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69" s="7" t="s">
        <v>10</v>
      </c>
      <c r="H15969" s="7">
        <v>0</v>
      </c>
      <c r="I15969" s="8" t="str">
        <f ca="1">IFERROR(__xludf.DUMMYFUNCTION("IF
(
G15970=""фізична особа""
,
VLOOKUP(H15970,IMPORTRANGE(""https://docs.google.com/spreadsheets/d/14Bd19lYaqBhU8_DElYkX7l4wRkHqqCUFNJY4AfY3kHU/edit?usp=sharing  #gid=0"",""фіз особи new!relations_name""),6,FALSE)
,
(IF
(
G15970=""юридична особа""
,
VLOO"&amp;"KUP(H15970,IMPORTRANGE(""https://docs.google.com/spreadsheets/d/14Bd19lYaqBhU8_DElYkX7l4wRkHqqCUFNJY4AfY3kHU/edit?usp=sharing  #gid=0"",""фіз особи new!relations_name_uo""),7,FALSE)
,
)
))"),"#N/A")</f>
        <v>#N/A</v>
      </c>
      <c r="J15969" s="7" t="s">
        <v>23</v>
      </c>
    </row>
    <row r="15970" spans="1:10" ht="13.2">
      <c r="A15970" s="7">
        <v>15969</v>
      </c>
      <c r="B15970" s="7">
        <v>1</v>
      </c>
      <c r="C15970" s="7" t="s">
        <v>10</v>
      </c>
      <c r="D15970" s="7">
        <v>19793</v>
      </c>
      <c r="E15970" s="7" t="s">
        <v>23</v>
      </c>
      <c r="F15970" s="8" t="str">
        <f ca="1">IFERROR(__xludf.DUMMYFUNCTION("IF
(
C15971=""фізична особа""
,
VLOOKUP(D15971,IMPORTRANGE(""https://docs.google.com/spreadsheets/d/14Bd19lYaqBhU8_DElYkX7l4wRkHqqCUFNJY4AfY3kHU/edit?usp=sharing  #gid=0"",""фіз особи new!relations_name""),6,FALSE)
,
(IF
(
C15971=""юридична особа""
,
VLOO"&amp;"KUP(D15971,IMPORTRANGE(""https://docs.google.com/spreadsheets/d/14Bd19lYaqBhU8_DElYkX7l4wRkHqqCUFNJY4AfY3kHU/edit?usp=sharing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70" s="7" t="s">
        <v>10</v>
      </c>
      <c r="H15970" s="7">
        <v>18488</v>
      </c>
      <c r="I15970" s="8" t="str">
        <f ca="1">IFERROR(__xludf.DUMMYFUNCTION("IF
(
G15971=""фізична особа""
,
VLOOKUP(H15971,IMPORTRANGE(""https://docs.google.com/spreadsheets/d/14Bd19lYaqBhU8_DElYkX7l4wRkHqqCUFNJY4AfY3kHU/edit?usp=sharing  #gid=0"",""фіз особи new!relations_name""),6,FALSE)
,
(IF
(
G15971=""юридична особа""
,
VLOO"&amp;"KUP(H15971,IMPORTRANGE(""https://docs.google.com/spreadsheets/d/14Bd19lYaqBhU8_DElYkX7l4wRkHqqCUFNJY4AfY3kHU/edit?usp=sharing  #gid=0"",""фіз особи new!relations_name_uo""),7,FALSE)
,
)
))"),"КРАПІВІН Олексій Андрійович")</f>
        <v>КРАПІВІН Олексій Андрійович</v>
      </c>
      <c r="J15970" s="7" t="s">
        <v>23</v>
      </c>
    </row>
    <row r="15971" spans="1:10" ht="13.2">
      <c r="A15971" s="7">
        <v>15970</v>
      </c>
      <c r="B15971" s="7">
        <v>1</v>
      </c>
      <c r="C15971" s="7" t="s">
        <v>10</v>
      </c>
      <c r="D15971" s="7">
        <v>19793</v>
      </c>
      <c r="E15971" s="7" t="s">
        <v>23</v>
      </c>
      <c r="F15971" s="8" t="str">
        <f ca="1">IFERROR(__xludf.DUMMYFUNCTION("IF
(
C15972=""фізична особа""
,
VLOOKUP(D15972,IMPORTRANGE(""https://docs.google.com/spreadsheets/d/14Bd19lYaqBhU8_DElYkX7l4wRkHqqCUFNJY4AfY3kHU/edit?usp=sharing  #gid=0"",""фіз особи new!relations_name""),6,FALSE)
,
(IF
(
C15972=""юридична особа""
,
VLOO"&amp;"KUP(D15972,IMPORTRANGE(""https://docs.google.com/spreadsheets/d/14Bd19lYaqBhU8_DElYkX7l4wRkHqqCUFNJY4AfY3kHU/edit?usp=sharing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71" s="7" t="s">
        <v>10</v>
      </c>
      <c r="H15971" s="7">
        <v>23727</v>
      </c>
      <c r="I15971" s="8" t="str">
        <f ca="1">IFERROR(__xludf.DUMMYFUNCTION("IF
(
G15972=""фізична особа""
,
VLOOKUP(H15972,IMPORTRANGE(""https://docs.google.com/spreadsheets/d/14Bd19lYaqBhU8_DElYkX7l4wRkHqqCUFNJY4AfY3kHU/edit?usp=sharing  #gid=0"",""фіз особи new!relations_name""),6,FALSE)
,
(IF
(
G15972=""юридична особа""
,
VLOO"&amp;"KUP(H15972,IMPORTRANGE(""https://docs.google.com/spreadsheets/d/14Bd19lYaqBhU8_DElYkX7l4wRkHqqCUFNJY4AfY3kHU/edit?usp=sharing  #gid=0"",""фіз особи new!relations_name_uo""),7,FALSE)
,
)
))"),"ПОСПЄЛОВ Володимир Єгорович")</f>
        <v>ПОСПЄЛОВ Володимир Єгорович</v>
      </c>
      <c r="J15971" s="7" t="s">
        <v>23</v>
      </c>
    </row>
    <row r="15972" spans="1:10" ht="13.2">
      <c r="A15972" s="7">
        <v>15971</v>
      </c>
      <c r="B15972" s="7">
        <v>1</v>
      </c>
      <c r="C15972" s="7" t="s">
        <v>10</v>
      </c>
      <c r="D15972" s="7">
        <v>19793</v>
      </c>
      <c r="E15972" s="7" t="s">
        <v>23</v>
      </c>
      <c r="F15972" s="8" t="str">
        <f ca="1">IFERROR(__xludf.DUMMYFUNCTION("IF
(
C15973=""фізична особа""
,
VLOOKUP(D15973,IMPORTRANGE(""https://docs.google.com/spreadsheets/d/14Bd19lYaqBhU8_DElYkX7l4wRkHqqCUFNJY4AfY3kHU/edit?usp=sharing  #gid=0"",""фіз особи new!relations_name""),6,FALSE)
,
(IF
(
C15973=""юридична особа""
,
VLOO"&amp;"KUP(D15973,IMPORTRANGE(""https://docs.google.com/spreadsheets/d/14Bd19lYaqBhU8_DElYkX7l4wRkHqqCUFNJY4AfY3kHU/edit?usp=sharing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72" s="7" t="s">
        <v>10</v>
      </c>
      <c r="H15972" s="7">
        <v>23727</v>
      </c>
      <c r="I15972" s="8" t="str">
        <f ca="1">IFERROR(__xludf.DUMMYFUNCTION("IF
(
G15973=""фізична особа""
,
VLOOKUP(H15973,IMPORTRANGE(""https://docs.google.com/spreadsheets/d/14Bd19lYaqBhU8_DElYkX7l4wRkHqqCUFNJY4AfY3kHU/edit?usp=sharing  #gid=0"",""фіз особи new!relations_name""),6,FALSE)
,
(IF
(
G15973=""юридична особа""
,
VLOO"&amp;"KUP(H15973,IMPORTRANGE(""https://docs.google.com/spreadsheets/d/14Bd19lYaqBhU8_DElYkX7l4wRkHqqCUFNJY4AfY3kHU/edit?usp=sharing  #gid=0"",""фіз особи new!relations_name_uo""),7,FALSE)
,
)
))"),"ПОСПЄЛОВ Володимир Єгорович")</f>
        <v>ПОСПЄЛОВ Володимир Єгорович</v>
      </c>
      <c r="J15972" s="7" t="s">
        <v>23</v>
      </c>
    </row>
    <row r="15973" spans="1:10" ht="13.2">
      <c r="A15973" s="7">
        <v>15972</v>
      </c>
      <c r="B15973" s="7">
        <v>1</v>
      </c>
      <c r="C15973" s="7" t="s">
        <v>10</v>
      </c>
      <c r="D15973" s="7">
        <v>19793</v>
      </c>
      <c r="E15973" s="7" t="s">
        <v>23</v>
      </c>
      <c r="F15973" s="8" t="str">
        <f ca="1">IFERROR(__xludf.DUMMYFUNCTION("IF
(
C15974=""фізична особа""
,
VLOOKUP(D15974,IMPORTRANGE(""https://docs.google.com/spreadsheets/d/14Bd19lYaqBhU8_DElYkX7l4wRkHqqCUFNJY4AfY3kHU/edit?usp=sharing  #gid=0"",""фіз особи new!relations_name""),6,FALSE)
,
(IF
(
C15974=""юридична особа""
,
VLOO"&amp;"KUP(D15974,IMPORTRANGE(""https://docs.google.com/spreadsheets/d/14Bd19lYaqBhU8_DElYkX7l4wRkHqqCUFNJY4AfY3kHU/edit?usp=sharing  #gid=0"",""фіз особи new!relations_name_uo""),7,FALSE)
,
)
))"),"СОЛОМКО Максим Анатолійович")</f>
        <v>СОЛОМКО Максим Анатолійович</v>
      </c>
      <c r="G15973" s="7" t="s">
        <v>10</v>
      </c>
      <c r="H15973" s="7">
        <v>0</v>
      </c>
      <c r="I15973" s="8" t="str">
        <f ca="1">IFERROR(__xludf.DUMMYFUNCTION("IF
(
G15974=""фізична особа""
,
VLOOKUP(H15974,IMPORTRANGE(""https://docs.google.com/spreadsheets/d/14Bd19lYaqBhU8_DElYkX7l4wRkHqqCUFNJY4AfY3kHU/edit?usp=sharing  #gid=0"",""фіз особи new!relations_name""),6,FALSE)
,
(IF
(
G15974=""юридична особа""
,
VLOO"&amp;"KUP(H15974,IMPORTRANGE(""https://docs.google.com/spreadsheets/d/14Bd19lYaqBhU8_DElYkX7l4wRkHqqCUFNJY4AfY3kHU/edit?usp=sharing  #gid=0"",""фіз особи new!relations_name_uo""),7,FALSE)
,
)
))"),"#N/A")</f>
        <v>#N/A</v>
      </c>
      <c r="J15973" s="7" t="s">
        <v>23</v>
      </c>
    </row>
    <row r="15974" spans="1:10" ht="13.2">
      <c r="A15974" s="7">
        <v>15973</v>
      </c>
      <c r="B15974" s="7">
        <v>1</v>
      </c>
      <c r="C15974" s="7" t="s">
        <v>10</v>
      </c>
      <c r="D15974" s="7">
        <v>19798</v>
      </c>
      <c r="E15974" s="7" t="s">
        <v>14</v>
      </c>
      <c r="F15974" s="8" t="str">
        <f ca="1">IFERROR(__xludf.DUMMYFUNCTION("IF
(
C15975=""фізична особа""
,
VLOOKUP(D15975,IMPORTRANGE(""https://docs.google.com/spreadsheets/d/14Bd19lYaqBhU8_DElYkX7l4wRkHqqCUFNJY4AfY3kHU/edit?usp=sharing  #gid=0"",""фіз особи new!relations_name""),6,FALSE)
,
(IF
(
C15975=""юридична особа""
,
VLOO"&amp;"KUP(D15975,IMPORTRANGE(""https://docs.google.com/spreadsheets/d/14Bd19lYaqBhU8_DElYkX7l4wRkHqqCUFNJY4AfY3kHU/edit?usp=sharing  #gid=0"",""фіз особи new!relations_name_uo""),7,FALSE)
,
)
))"),"МАЛЬЦЕВ Андрій Анатолійович")</f>
        <v>МАЛЬЦЕВ Андрій Анатолійович</v>
      </c>
      <c r="G15974" s="7" t="s">
        <v>10</v>
      </c>
      <c r="H15974" s="7">
        <v>0</v>
      </c>
      <c r="I15974" s="8" t="str">
        <f ca="1">IFERROR(__xludf.DUMMYFUNCTION("IF
(
G15975=""фізична особа""
,
VLOOKUP(H15975,IMPORTRANGE(""https://docs.google.com/spreadsheets/d/14Bd19lYaqBhU8_DElYkX7l4wRkHqqCUFNJY4AfY3kHU/edit?usp=sharing  #gid=0"",""фіз особи new!relations_name""),6,FALSE)
,
(IF
(
G15975=""юридична особа""
,
VLOO"&amp;"KUP(H15975,IMPORTRANGE(""https://docs.google.com/spreadsheets/d/14Bd19lYaqBhU8_DElYkX7l4wRkHqqCUFNJY4AfY3kHU/edit?usp=sharing  #gid=0"",""фіз особи new!relations_name_uo""),7,FALSE)
,
)
))"),"#N/A")</f>
        <v>#N/A</v>
      </c>
      <c r="J15974" s="7" t="s">
        <v>15</v>
      </c>
    </row>
    <row r="15975" spans="1:10" ht="13.2">
      <c r="A15975" s="7">
        <v>15974</v>
      </c>
      <c r="B15975" s="7">
        <v>1</v>
      </c>
      <c r="C15975" s="7" t="s">
        <v>10</v>
      </c>
      <c r="D15975" s="7">
        <v>19798</v>
      </c>
      <c r="E15975" s="7" t="s">
        <v>26</v>
      </c>
      <c r="F15975" s="8" t="str">
        <f ca="1">IFERROR(__xludf.DUMMYFUNCTION("IF
(
C15976=""фізична особа""
,
VLOOKUP(D15976,IMPORTRANGE(""https://docs.google.com/spreadsheets/d/14Bd19lYaqBhU8_DElYkX7l4wRkHqqCUFNJY4AfY3kHU/edit?usp=sharing  #gid=0"",""фіз особи new!relations_name""),6,FALSE)
,
(IF
(
C15976=""юридична особа""
,
VLOO"&amp;"KUP(D15976,IMPORTRANGE(""https://docs.google.com/spreadsheets/d/14Bd19lYaqBhU8_DElYkX7l4wRkHqqCUFNJY4AfY3kHU/edit?usp=sharing  #gid=0"",""фіз особи new!relations_name_uo""),7,FALSE)
,
)
))"),"МАЛЬЦЕВ Андрій Анатолійович")</f>
        <v>МАЛЬЦЕВ Андрій Анатолійович</v>
      </c>
      <c r="G15975" s="7" t="s">
        <v>10</v>
      </c>
      <c r="H15975" s="7">
        <v>0</v>
      </c>
      <c r="I15975" s="8" t="str">
        <f ca="1">IFERROR(__xludf.DUMMYFUNCTION("IF
(
G15976=""фізична особа""
,
VLOOKUP(H15976,IMPORTRANGE(""https://docs.google.com/spreadsheets/d/14Bd19lYaqBhU8_DElYkX7l4wRkHqqCUFNJY4AfY3kHU/edit?usp=sharing  #gid=0"",""фіз особи new!relations_name""),6,FALSE)
,
(IF
(
G15976=""юридична особа""
,
VLOO"&amp;"KUP(H15976,IMPORTRANGE(""https://docs.google.com/spreadsheets/d/14Bd19lYaqBhU8_DElYkX7l4wRkHqqCUFNJY4AfY3kHU/edit?usp=sharing  #gid=0"",""фіз особи new!relations_name_uo""),7,FALSE)
,
)
))"),"#N/A")</f>
        <v>#N/A</v>
      </c>
      <c r="J15975" s="7" t="s">
        <v>24</v>
      </c>
    </row>
    <row r="15976" spans="1:10" ht="13.2">
      <c r="A15976" s="7">
        <v>15975</v>
      </c>
      <c r="B15976" s="7">
        <v>1</v>
      </c>
      <c r="C15976" s="7" t="s">
        <v>10</v>
      </c>
      <c r="D15976" s="7">
        <v>19798</v>
      </c>
      <c r="E15976" s="7" t="s">
        <v>26</v>
      </c>
      <c r="F15976" s="8" t="str">
        <f ca="1">IFERROR(__xludf.DUMMYFUNCTION("IF
(
C15977=""фізична особа""
,
VLOOKUP(D15977,IMPORTRANGE(""https://docs.google.com/spreadsheets/d/14Bd19lYaqBhU8_DElYkX7l4wRkHqqCUFNJY4AfY3kHU/edit?usp=sharing  #gid=0"",""фіз особи new!relations_name""),6,FALSE)
,
(IF
(
C15977=""юридична особа""
,
VLOO"&amp;"KUP(D15977,IMPORTRANGE(""https://docs.google.com/spreadsheets/d/14Bd19lYaqBhU8_DElYkX7l4wRkHqqCUFNJY4AfY3kHU/edit?usp=sharing  #gid=0"",""фіз особи new!relations_name_uo""),7,FALSE)
,
)
))"),"МАЛЬЦЕВ Андрій Анатолійович")</f>
        <v>МАЛЬЦЕВ Андрій Анатолійович</v>
      </c>
      <c r="G15976" s="7" t="s">
        <v>10</v>
      </c>
      <c r="H15976" s="7">
        <v>0</v>
      </c>
      <c r="I15976" s="8" t="str">
        <f ca="1">IFERROR(__xludf.DUMMYFUNCTION("IF
(
G15977=""фізична особа""
,
VLOOKUP(H15977,IMPORTRANGE(""https://docs.google.com/spreadsheets/d/14Bd19lYaqBhU8_DElYkX7l4wRkHqqCUFNJY4AfY3kHU/edit?usp=sharing  #gid=0"",""фіз особи new!relations_name""),6,FALSE)
,
(IF
(
G15977=""юридична особа""
,
VLOO"&amp;"KUP(H15977,IMPORTRANGE(""https://docs.google.com/spreadsheets/d/14Bd19lYaqBhU8_DElYkX7l4wRkHqqCUFNJY4AfY3kHU/edit?usp=sharing  #gid=0"",""фіз особи new!relations_name_uo""),7,FALSE)
,
)
))"),"#N/A")</f>
        <v>#N/A</v>
      </c>
      <c r="J15976" s="7" t="s">
        <v>27</v>
      </c>
    </row>
    <row r="15977" spans="1:10" ht="13.2">
      <c r="A15977" s="7">
        <v>15976</v>
      </c>
      <c r="B15977" s="7">
        <v>1</v>
      </c>
      <c r="C15977" s="7" t="s">
        <v>10</v>
      </c>
      <c r="D15977" s="7">
        <v>19805</v>
      </c>
      <c r="E15977" s="7" t="s">
        <v>18</v>
      </c>
      <c r="F15977" s="8" t="str">
        <f ca="1">IFERROR(__xludf.DUMMYFUNCTION("IF
(
C15978=""фізична особа""
,
VLOOKUP(D15978,IMPORTRANGE(""https://docs.google.com/spreadsheets/d/14Bd19lYaqBhU8_DElYkX7l4wRkHqqCUFNJY4AfY3kHU/edit?usp=sharing  #gid=0"",""фіз особи new!relations_name""),6,FALSE)
,
(IF
(
C15978=""юридична особа""
,
VLOO"&amp;"KUP(D15978,IMPORTRANGE(""https://docs.google.com/spreadsheets/d/14Bd19lYaqBhU8_DElYkX7l4wRkHqqCUFNJY4AfY3kHU/edit?usp=sharing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77" s="7" t="s">
        <v>10</v>
      </c>
      <c r="H15977" s="7">
        <v>0</v>
      </c>
      <c r="I15977" s="8" t="str">
        <f ca="1">IFERROR(__xludf.DUMMYFUNCTION("IF
(
G15978=""фізична особа""
,
VLOOKUP(H15978,IMPORTRANGE(""https://docs.google.com/spreadsheets/d/14Bd19lYaqBhU8_DElYkX7l4wRkHqqCUFNJY4AfY3kHU/edit?usp=sharing  #gid=0"",""фіз особи new!relations_name""),6,FALSE)
,
(IF
(
G15978=""юридична особа""
,
VLOO"&amp;"KUP(H15978,IMPORTRANGE(""https://docs.google.com/spreadsheets/d/14Bd19lYaqBhU8_DElYkX7l4wRkHqqCUFNJY4AfY3kHU/edit?usp=sharing  #gid=0"",""фіз особи new!relations_name_uo""),7,FALSE)
,
)
))"),"#N/A")</f>
        <v>#N/A</v>
      </c>
      <c r="J15977" s="7" t="s">
        <v>18</v>
      </c>
    </row>
    <row r="15978" spans="1:10" ht="13.2">
      <c r="A15978" s="7">
        <v>15977</v>
      </c>
      <c r="B15978" s="7">
        <v>1</v>
      </c>
      <c r="C15978" s="7" t="s">
        <v>10</v>
      </c>
      <c r="D15978" s="7">
        <v>19805</v>
      </c>
      <c r="E15978" s="7" t="s">
        <v>14</v>
      </c>
      <c r="F15978" s="8" t="str">
        <f ca="1">IFERROR(__xludf.DUMMYFUNCTION("IF
(
C15979=""фізична особа""
,
VLOOKUP(D15979,IMPORTRANGE(""https://docs.google.com/spreadsheets/d/14Bd19lYaqBhU8_DElYkX7l4wRkHqqCUFNJY4AfY3kHU/edit?usp=sharing  #gid=0"",""фіз особи new!relations_name""),6,FALSE)
,
(IF
(
C15979=""юридична особа""
,
VLOO"&amp;"KUP(D15979,IMPORTRANGE(""https://docs.google.com/spreadsheets/d/14Bd19lYaqBhU8_DElYkX7l4wRkHqqCUFNJY4AfY3kHU/edit?usp=sharing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78" s="7" t="s">
        <v>10</v>
      </c>
      <c r="H15978" s="7">
        <v>0</v>
      </c>
      <c r="I15978" s="8" t="str">
        <f ca="1">IFERROR(__xludf.DUMMYFUNCTION("IF
(
G15979=""фізична особа""
,
VLOOKUP(H15979,IMPORTRANGE(""https://docs.google.com/spreadsheets/d/14Bd19lYaqBhU8_DElYkX7l4wRkHqqCUFNJY4AfY3kHU/edit?usp=sharing  #gid=0"",""фіз особи new!relations_name""),6,FALSE)
,
(IF
(
G15979=""юридична особа""
,
VLOO"&amp;"KUP(H15979,IMPORTRANGE(""https://docs.google.com/spreadsheets/d/14Bd19lYaqBhU8_DElYkX7l4wRkHqqCUFNJY4AfY3kHU/edit?usp=sharing  #gid=0"",""фіз особи new!relations_name_uo""),7,FALSE)
,
)
))"),"#N/A")</f>
        <v>#N/A</v>
      </c>
      <c r="J15978" s="7" t="s">
        <v>15</v>
      </c>
    </row>
    <row r="15979" spans="1:10" ht="13.2">
      <c r="A15979" s="7">
        <v>15978</v>
      </c>
      <c r="B15979" s="7">
        <v>1</v>
      </c>
      <c r="C15979" s="7" t="s">
        <v>10</v>
      </c>
      <c r="D15979" s="7">
        <v>19805</v>
      </c>
      <c r="E15979" s="7" t="s">
        <v>12</v>
      </c>
      <c r="F15979" s="8" t="str">
        <f ca="1">IFERROR(__xludf.DUMMYFUNCTION("IF
(
C15980=""фізична особа""
,
VLOOKUP(D15980,IMPORTRANGE(""https://docs.google.com/spreadsheets/d/14Bd19lYaqBhU8_DElYkX7l4wRkHqqCUFNJY4AfY3kHU/edit?usp=sharing  #gid=0"",""фіз особи new!relations_name""),6,FALSE)
,
(IF
(
C15980=""юридична особа""
,
VLOO"&amp;"KUP(D15980,IMPORTRANGE(""https://docs.google.com/spreadsheets/d/14Bd19lYaqBhU8_DElYkX7l4wRkHqqCUFNJY4AfY3kHU/edit?usp=sharing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79" s="7" t="s">
        <v>10</v>
      </c>
      <c r="H15979" s="7">
        <v>0</v>
      </c>
      <c r="I15979" s="8" t="str">
        <f ca="1">IFERROR(__xludf.DUMMYFUNCTION("IF
(
G15980=""фізична особа""
,
VLOOKUP(H15980,IMPORTRANGE(""https://docs.google.com/spreadsheets/d/14Bd19lYaqBhU8_DElYkX7l4wRkHqqCUFNJY4AfY3kHU/edit?usp=sharing  #gid=0"",""фіз особи new!relations_name""),6,FALSE)
,
(IF
(
G15980=""юридична особа""
,
VLOO"&amp;"KUP(H15980,IMPORTRANGE(""https://docs.google.com/spreadsheets/d/14Bd19lYaqBhU8_DElYkX7l4wRkHqqCUFNJY4AfY3kHU/edit?usp=sharing  #gid=0"",""фіз особи new!relations_name_uo""),7,FALSE)
,
)
))"),"#N/A")</f>
        <v>#N/A</v>
      </c>
      <c r="J15979" s="7" t="s">
        <v>13</v>
      </c>
    </row>
    <row r="15980" spans="1:10" ht="13.2">
      <c r="A15980" s="7">
        <v>15979</v>
      </c>
      <c r="B15980" s="7">
        <v>1</v>
      </c>
      <c r="C15980" s="7" t="s">
        <v>10</v>
      </c>
      <c r="D15980" s="7">
        <v>19805</v>
      </c>
      <c r="E15980" s="7" t="s">
        <v>59</v>
      </c>
      <c r="F15980" s="8" t="str">
        <f ca="1">IFERROR(__xludf.DUMMYFUNCTION("IF
(
C15981=""фізична особа""
,
VLOOKUP(D15981,IMPORTRANGE(""https://docs.google.com/spreadsheets/d/14Bd19lYaqBhU8_DElYkX7l4wRkHqqCUFNJY4AfY3kHU/edit?usp=sharing  #gid=0"",""фіз особи new!relations_name""),6,FALSE)
,
(IF
(
C15981=""юридична особа""
,
VLOO"&amp;"KUP(D15981,IMPORTRANGE(""https://docs.google.com/spreadsheets/d/14Bd19lYaqBhU8_DElYkX7l4wRkHqqCUFNJY4AfY3kHU/edit?usp=sharing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80" s="7" t="s">
        <v>10</v>
      </c>
      <c r="H15980" s="7">
        <v>0</v>
      </c>
      <c r="I15980" s="8" t="str">
        <f ca="1">IFERROR(__xludf.DUMMYFUNCTION("IF
(
G15981=""фізична особа""
,
VLOOKUP(H15981,IMPORTRANGE(""https://docs.google.com/spreadsheets/d/14Bd19lYaqBhU8_DElYkX7l4wRkHqqCUFNJY4AfY3kHU/edit?usp=sharing  #gid=0"",""фіз особи new!relations_name""),6,FALSE)
,
(IF
(
G15981=""юридична особа""
,
VLOO"&amp;"KUP(H15981,IMPORTRANGE(""https://docs.google.com/spreadsheets/d/14Bd19lYaqBhU8_DElYkX7l4wRkHqqCUFNJY4AfY3kHU/edit?usp=sharing  #gid=0"",""фіз особи new!relations_name_uo""),7,FALSE)
,
)
))"),"#N/A")</f>
        <v>#N/A</v>
      </c>
      <c r="J15980" s="7" t="s">
        <v>61</v>
      </c>
    </row>
    <row r="15981" spans="1:10" ht="13.2">
      <c r="A15981" s="7">
        <v>15980</v>
      </c>
      <c r="B15981" s="7">
        <v>1</v>
      </c>
      <c r="C15981" s="7" t="s">
        <v>10</v>
      </c>
      <c r="D15981" s="7">
        <v>19805</v>
      </c>
      <c r="E15981" s="7" t="s">
        <v>59</v>
      </c>
      <c r="F15981" s="8" t="str">
        <f ca="1">IFERROR(__xludf.DUMMYFUNCTION("IF
(
C15982=""фізична особа""
,
VLOOKUP(D15982,IMPORTRANGE(""https://docs.google.com/spreadsheets/d/14Bd19lYaqBhU8_DElYkX7l4wRkHqqCUFNJY4AfY3kHU/edit?usp=sharing  #gid=0"",""фіз особи new!relations_name""),6,FALSE)
,
(IF
(
C15982=""юридична особа""
,
VLOO"&amp;"KUP(D15982,IMPORTRANGE(""https://docs.google.com/spreadsheets/d/14Bd19lYaqBhU8_DElYkX7l4wRkHqqCUFNJY4AfY3kHU/edit?usp=sharing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81" s="7" t="s">
        <v>10</v>
      </c>
      <c r="H15981" s="7">
        <v>0</v>
      </c>
      <c r="I15981" s="8" t="str">
        <f ca="1">IFERROR(__xludf.DUMMYFUNCTION("IF
(
G15982=""фізична особа""
,
VLOOKUP(H15982,IMPORTRANGE(""https://docs.google.com/spreadsheets/d/14Bd19lYaqBhU8_DElYkX7l4wRkHqqCUFNJY4AfY3kHU/edit?usp=sharing  #gid=0"",""фіз особи new!relations_name""),6,FALSE)
,
(IF
(
G15982=""юридична особа""
,
VLOO"&amp;"KUP(H15982,IMPORTRANGE(""https://docs.google.com/spreadsheets/d/14Bd19lYaqBhU8_DElYkX7l4wRkHqqCUFNJY4AfY3kHU/edit?usp=sharing  #gid=0"",""фіз особи new!relations_name_uo""),7,FALSE)
,
)
))"),"#N/A")</f>
        <v>#N/A</v>
      </c>
      <c r="J15981" s="7" t="s">
        <v>61</v>
      </c>
    </row>
    <row r="15982" spans="1:10" ht="13.2">
      <c r="A15982" s="7">
        <v>15981</v>
      </c>
      <c r="B15982" s="7">
        <v>1</v>
      </c>
      <c r="C15982" s="7" t="s">
        <v>10</v>
      </c>
      <c r="D15982" s="7">
        <v>19805</v>
      </c>
      <c r="E15982" s="7" t="s">
        <v>59</v>
      </c>
      <c r="F15982" s="8" t="str">
        <f ca="1">IFERROR(__xludf.DUMMYFUNCTION("IF
(
C15983=""фізична особа""
,
VLOOKUP(D15983,IMPORTRANGE(""https://docs.google.com/spreadsheets/d/14Bd19lYaqBhU8_DElYkX7l4wRkHqqCUFNJY4AfY3kHU/edit?usp=sharing  #gid=0"",""фіз особи new!relations_name""),6,FALSE)
,
(IF
(
C15983=""юридична особа""
,
VLOO"&amp;"KUP(D15983,IMPORTRANGE(""https://docs.google.com/spreadsheets/d/14Bd19lYaqBhU8_DElYkX7l4wRkHqqCUFNJY4AfY3kHU/edit?usp=sharing  #gid=0"",""фіз особи new!relations_name_uo""),7,FALSE)
,
)
))"),"САВІНИХ Віктор Петрович")</f>
        <v>САВІНИХ Віктор Петрович</v>
      </c>
      <c r="G15982" s="7" t="s">
        <v>10</v>
      </c>
      <c r="H15982" s="7">
        <v>0</v>
      </c>
      <c r="I15982" s="8" t="str">
        <f ca="1">IFERROR(__xludf.DUMMYFUNCTION("IF
(
G15983=""фізична особа""
,
VLOOKUP(H15983,IMPORTRANGE(""https://docs.google.com/spreadsheets/d/14Bd19lYaqBhU8_DElYkX7l4wRkHqqCUFNJY4AfY3kHU/edit?usp=sharing  #gid=0"",""фіз особи new!relations_name""),6,FALSE)
,
(IF
(
G15983=""юридична особа""
,
VLOO"&amp;"KUP(H15983,IMPORTRANGE(""https://docs.google.com/spreadsheets/d/14Bd19lYaqBhU8_DElYkX7l4wRkHqqCUFNJY4AfY3kHU/edit?usp=sharing  #gid=0"",""фіз особи new!relations_name_uo""),7,FALSE)
,
)
))"),"#N/A")</f>
        <v>#N/A</v>
      </c>
      <c r="J15982" s="7" t="s">
        <v>60</v>
      </c>
    </row>
    <row r="15983" spans="1:10" ht="13.2">
      <c r="A15983" s="7">
        <v>15982</v>
      </c>
      <c r="B15983" s="7">
        <v>1</v>
      </c>
      <c r="C15983" s="7" t="s">
        <v>10</v>
      </c>
      <c r="D15983" s="7">
        <v>19815</v>
      </c>
      <c r="E15983" s="7" t="s">
        <v>12</v>
      </c>
      <c r="F15983" s="8" t="str">
        <f ca="1">IFERROR(__xludf.DUMMYFUNCTION("IF
(
C15984=""фізична особа""
,
VLOOKUP(D15984,IMPORTRANGE(""https://docs.google.com/spreadsheets/d/14Bd19lYaqBhU8_DElYkX7l4wRkHqqCUFNJY4AfY3kHU/edit?usp=sharing  #gid=0"",""фіз особи new!relations_name""),6,FALSE)
,
(IF
(
C15984=""юридична особа""
,
VLOO"&amp;"KUP(D15984,IMPORTRANGE(""https://docs.google.com/spreadsheets/d/14Bd19lYaqBhU8_DElYkX7l4wRkHqqCUFNJY4AfY3kHU/edit?usp=sharing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G15983" s="7" t="s">
        <v>10</v>
      </c>
      <c r="H15983" s="7">
        <v>19676</v>
      </c>
      <c r="I15983" s="8" t="str">
        <f ca="1">IFERROR(__xludf.DUMMYFUNCTION("IF
(
G15984=""фізична особа""
,
VLOOKUP(H15984,IMPORTRANGE(""https://docs.google.com/spreadsheets/d/14Bd19lYaqBhU8_DElYkX7l4wRkHqqCUFNJY4AfY3kHU/edit?usp=sharing  #gid=0"",""фіз особи new!relations_name""),6,FALSE)
,
(IF
(
G15984=""юридична особа""
,
VLOO"&amp;"KUP(H15984,IMPORTRANGE(""https://docs.google.com/spreadsheets/d/14Bd19lYaqBhU8_DElYkX7l4wRkHqqCUFNJY4AfY3kHU/edit?usp=sharing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J15983" s="7" t="s">
        <v>17</v>
      </c>
    </row>
    <row r="15984" spans="1:10" ht="13.2">
      <c r="A15984" s="7">
        <v>15983</v>
      </c>
      <c r="B15984" s="7">
        <v>1</v>
      </c>
      <c r="C15984" s="7" t="s">
        <v>10</v>
      </c>
      <c r="D15984" s="7">
        <v>19815</v>
      </c>
      <c r="E15984" s="7" t="s">
        <v>14</v>
      </c>
      <c r="F15984" s="8" t="str">
        <f ca="1">IFERROR(__xludf.DUMMYFUNCTION("IF
(
C15985=""фізична особа""
,
VLOOKUP(D15985,IMPORTRANGE(""https://docs.google.com/spreadsheets/d/14Bd19lYaqBhU8_DElYkX7l4wRkHqqCUFNJY4AfY3kHU/edit?usp=sharing  #gid=0"",""фіз особи new!relations_name""),6,FALSE)
,
(IF
(
C15985=""юридична особа""
,
VLOO"&amp;"KUP(D15985,IMPORTRANGE(""https://docs.google.com/spreadsheets/d/14Bd19lYaqBhU8_DElYkX7l4wRkHqqCUFNJY4AfY3kHU/edit?usp=sharing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G15984" s="7" t="s">
        <v>10</v>
      </c>
      <c r="H15984" s="7">
        <v>19816</v>
      </c>
      <c r="I15984" s="8" t="str">
        <f ca="1">IFERROR(__xludf.DUMMYFUNCTION("IF
(
G15985=""фізична особа""
,
VLOOKUP(H15985,IMPORTRANGE(""https://docs.google.com/spreadsheets/d/14Bd19lYaqBhU8_DElYkX7l4wRkHqqCUFNJY4AfY3kHU/edit?usp=sharing  #gid=0"",""фіз особи new!relations_name""),6,FALSE)
,
(IF
(
G15985=""юридична особа""
,
VLOO"&amp;"KUP(H15985,IMPORTRANGE(""https://docs.google.com/spreadsheets/d/14Bd19lYaqBhU8_DElYkX7l4wRkHqqCUFNJY4AfY3kHU/edit?usp=sharing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J15984" s="7" t="s">
        <v>15</v>
      </c>
    </row>
    <row r="15985" spans="1:10" ht="13.2">
      <c r="A15985" s="7">
        <v>15984</v>
      </c>
      <c r="B15985" s="7">
        <v>1</v>
      </c>
      <c r="C15985" s="7" t="s">
        <v>10</v>
      </c>
      <c r="D15985" s="7">
        <v>19815</v>
      </c>
      <c r="E15985" s="7" t="s">
        <v>12</v>
      </c>
      <c r="F15985" s="8" t="str">
        <f ca="1">IFERROR(__xludf.DUMMYFUNCTION("IF
(
C15986=""фізична особа""
,
VLOOKUP(D15986,IMPORTRANGE(""https://docs.google.com/spreadsheets/d/14Bd19lYaqBhU8_DElYkX7l4wRkHqqCUFNJY4AfY3kHU/edit?usp=sharing  #gid=0"",""фіз особи new!relations_name""),6,FALSE)
,
(IF
(
C15986=""юридична особа""
,
VLOO"&amp;"KUP(D15986,IMPORTRANGE(""https://docs.google.com/spreadsheets/d/14Bd19lYaqBhU8_DElYkX7l4wRkHqqCUFNJY4AfY3kHU/edit?usp=sharing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G15985" s="7" t="s">
        <v>10</v>
      </c>
      <c r="H15985" s="7">
        <v>23722</v>
      </c>
      <c r="I15985" s="8" t="str">
        <f ca="1">IFERROR(__xludf.DUMMYFUNCTION("IF
(
G15986=""фізична особа""
,
VLOOKUP(H15986,IMPORTRANGE(""https://docs.google.com/spreadsheets/d/14Bd19lYaqBhU8_DElYkX7l4wRkHqqCUFNJY4AfY3kHU/edit?usp=sharing  #gid=0"",""фіз особи new!relations_name""),6,FALSE)
,
(IF
(
G15986=""юридична особа""
,
VLOO"&amp;"KUP(H15986,IMPORTRANGE(""https://docs.google.com/spreadsheets/d/14Bd19lYaqBhU8_DElYkX7l4wRkHqqCUFNJY4AfY3kHU/edit?usp=sharing  #gid=0"",""фіз особи new!relations_name_uo""),7,FALSE)
,
)
))"),"ГУСЕЛЬНІКОВ Георгій Олександрович")</f>
        <v>ГУСЕЛЬНІКОВ Георгій Олександрович</v>
      </c>
      <c r="J15985" s="7" t="s">
        <v>17</v>
      </c>
    </row>
    <row r="15986" spans="1:10" ht="13.2">
      <c r="A15986" s="7">
        <v>15985</v>
      </c>
      <c r="B15986" s="7">
        <v>1</v>
      </c>
      <c r="C15986" s="7" t="s">
        <v>10</v>
      </c>
      <c r="D15986" s="7">
        <v>19815</v>
      </c>
      <c r="E15986" s="7" t="s">
        <v>34</v>
      </c>
      <c r="F15986" s="8" t="str">
        <f ca="1">IFERROR(__xludf.DUMMYFUNCTION("IF
(
C15987=""фізична особа""
,
VLOOKUP(D15987,IMPORTRANGE(""https://docs.google.com/spreadsheets/d/14Bd19lYaqBhU8_DElYkX7l4wRkHqqCUFNJY4AfY3kHU/edit?usp=sharing  #gid=0"",""фіз особи new!relations_name""),6,FALSE)
,
(IF
(
C15987=""юридична особа""
,
VLOO"&amp;"KUP(D15987,IMPORTRANGE(""https://docs.google.com/spreadsheets/d/14Bd19lYaqBhU8_DElYkX7l4wRkHqqCUFNJY4AfY3kHU/edit?usp=sharing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G15986" s="7" t="s">
        <v>10</v>
      </c>
      <c r="H15986" s="7">
        <v>19817</v>
      </c>
      <c r="I15986" s="8" t="str">
        <f ca="1">IFERROR(__xludf.DUMMYFUNCTION("IF
(
G15987=""фізична особа""
,
VLOOKUP(H15987,IMPORTRANGE(""https://docs.google.com/spreadsheets/d/14Bd19lYaqBhU8_DElYkX7l4wRkHqqCUFNJY4AfY3kHU/edit?usp=sharing  #gid=0"",""фіз особи new!relations_name""),6,FALSE)
,
(IF
(
G15987=""юридична особа""
,
VLOO"&amp;"KUP(H15987,IMPORTRANGE(""https://docs.google.com/spreadsheets/d/14Bd19lYaqBhU8_DElYkX7l4wRkHqqCUFNJY4AfY3kHU/edit?usp=sharing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J15986" s="7" t="s">
        <v>25</v>
      </c>
    </row>
    <row r="15987" spans="1:10" ht="13.2">
      <c r="A15987" s="7">
        <v>15986</v>
      </c>
      <c r="B15987" s="7">
        <v>1</v>
      </c>
      <c r="C15987" s="7" t="s">
        <v>10</v>
      </c>
      <c r="D15987" s="7">
        <v>19816</v>
      </c>
      <c r="E15987" s="7" t="s">
        <v>21</v>
      </c>
      <c r="F15987" s="8" t="str">
        <f ca="1">IFERROR(__xludf.DUMMYFUNCTION("IF
(
C15988=""фізична особа""
,
VLOOKUP(D15988,IMPORTRANGE(""https://docs.google.com/spreadsheets/d/14Bd19lYaqBhU8_DElYkX7l4wRkHqqCUFNJY4AfY3kHU/edit?usp=sharing  #gid=0"",""фіз особи new!relations_name""),6,FALSE)
,
(IF
(
C15988=""юридична особа""
,
VLOO"&amp;"KUP(D15988,IMPORTRANGE(""https://docs.google.com/spreadsheets/d/14Bd19lYaqBhU8_DElYkX7l4wRkHqqCUFNJY4AfY3kHU/edit?usp=sharing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G15987" s="7" t="s">
        <v>10</v>
      </c>
      <c r="H15987" s="7">
        <v>19676</v>
      </c>
      <c r="I15987" s="8" t="str">
        <f ca="1">IFERROR(__xludf.DUMMYFUNCTION("IF
(
G15988=""фізична особа""
,
VLOOKUP(H15988,IMPORTRANGE(""https://docs.google.com/spreadsheets/d/14Bd19lYaqBhU8_DElYkX7l4wRkHqqCUFNJY4AfY3kHU/edit?usp=sharing  #gid=0"",""фіз особи new!relations_name""),6,FALSE)
,
(IF
(
G15988=""юридична особа""
,
VLOO"&amp;"KUP(H15988,IMPORTRANGE(""https://docs.google.com/spreadsheets/d/14Bd19lYaqBhU8_DElYkX7l4wRkHqqCUFNJY4AfY3kHU/edit?usp=sharing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J15987" s="7" t="s">
        <v>17</v>
      </c>
    </row>
    <row r="15988" spans="1:10" ht="13.2">
      <c r="A15988" s="7">
        <v>15987</v>
      </c>
      <c r="B15988" s="7">
        <v>1</v>
      </c>
      <c r="C15988" s="7" t="s">
        <v>10</v>
      </c>
      <c r="D15988" s="7">
        <v>19816</v>
      </c>
      <c r="E15988" s="7" t="s">
        <v>15</v>
      </c>
      <c r="F15988" s="8" t="str">
        <f ca="1">IFERROR(__xludf.DUMMYFUNCTION("IF
(
C15989=""фізична особа""
,
VLOOKUP(D15989,IMPORTRANGE(""https://docs.google.com/spreadsheets/d/14Bd19lYaqBhU8_DElYkX7l4wRkHqqCUFNJY4AfY3kHU/edit?usp=sharing  #gid=0"",""фіз особи new!relations_name""),6,FALSE)
,
(IF
(
C15989=""юридична особа""
,
VLOO"&amp;"KUP(D15989,IMPORTRANGE(""https://docs.google.com/spreadsheets/d/14Bd19lYaqBhU8_DElYkX7l4wRkHqqCUFNJY4AfY3kHU/edit?usp=sharing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G15988" s="7" t="s">
        <v>10</v>
      </c>
      <c r="H15988" s="7">
        <v>19815</v>
      </c>
      <c r="I15988" s="8" t="str">
        <f ca="1">IFERROR(__xludf.DUMMYFUNCTION("IF
(
G15989=""фізична особа""
,
VLOOKUP(H15989,IMPORTRANGE(""https://docs.google.com/spreadsheets/d/14Bd19lYaqBhU8_DElYkX7l4wRkHqqCUFNJY4AfY3kHU/edit?usp=sharing  #gid=0"",""фіз особи new!relations_name""),6,FALSE)
,
(IF
(
G15989=""юридична особа""
,
VLOO"&amp;"KUP(H15989,IMPORTRANGE(""https://docs.google.com/spreadsheets/d/14Bd19lYaqBhU8_DElYkX7l4wRkHqqCUFNJY4AfY3kHU/edit?usp=sharing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J15988" s="7" t="s">
        <v>14</v>
      </c>
    </row>
    <row r="15989" spans="1:10" ht="13.2">
      <c r="A15989" s="7">
        <v>15988</v>
      </c>
      <c r="B15989" s="7">
        <v>1</v>
      </c>
      <c r="C15989" s="7" t="s">
        <v>10</v>
      </c>
      <c r="D15989" s="7">
        <v>19816</v>
      </c>
      <c r="E15989" s="7" t="s">
        <v>21</v>
      </c>
      <c r="F15989" s="8" t="str">
        <f ca="1">IFERROR(__xludf.DUMMYFUNCTION("IF
(
C15990=""фізична особа""
,
VLOOKUP(D15990,IMPORTRANGE(""https://docs.google.com/spreadsheets/d/14Bd19lYaqBhU8_DElYkX7l4wRkHqqCUFNJY4AfY3kHU/edit?usp=sharing  #gid=0"",""фіз особи new!relations_name""),6,FALSE)
,
(IF
(
C15990=""юридична особа""
,
VLOO"&amp;"KUP(D15990,IMPORTRANGE(""https://docs.google.com/spreadsheets/d/14Bd19lYaqBhU8_DElYkX7l4wRkHqqCUFNJY4AfY3kHU/edit?usp=sharing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G15989" s="7" t="s">
        <v>10</v>
      </c>
      <c r="H15989" s="7">
        <v>23722</v>
      </c>
      <c r="I15989" s="8" t="str">
        <f ca="1">IFERROR(__xludf.DUMMYFUNCTION("IF
(
G15990=""фізична особа""
,
VLOOKUP(H15990,IMPORTRANGE(""https://docs.google.com/spreadsheets/d/14Bd19lYaqBhU8_DElYkX7l4wRkHqqCUFNJY4AfY3kHU/edit?usp=sharing  #gid=0"",""фіз особи new!relations_name""),6,FALSE)
,
(IF
(
G15990=""юридична особа""
,
VLOO"&amp;"KUP(H15990,IMPORTRANGE(""https://docs.google.com/spreadsheets/d/14Bd19lYaqBhU8_DElYkX7l4wRkHqqCUFNJY4AfY3kHU/edit?usp=sharing  #gid=0"",""фіз особи new!relations_name_uo""),7,FALSE)
,
)
))"),"ГУСЕЛЬНІКОВ Георгій Олександрович")</f>
        <v>ГУСЕЛЬНІКОВ Георгій Олександрович</v>
      </c>
      <c r="J15989" s="7" t="s">
        <v>17</v>
      </c>
    </row>
    <row r="15990" spans="1:10" ht="13.2">
      <c r="A15990" s="7">
        <v>15989</v>
      </c>
      <c r="B15990" s="7">
        <v>1</v>
      </c>
      <c r="C15990" s="7" t="s">
        <v>10</v>
      </c>
      <c r="D15990" s="7">
        <v>19816</v>
      </c>
      <c r="E15990" s="7" t="s">
        <v>119</v>
      </c>
      <c r="F15990" s="8" t="str">
        <f ca="1">IFERROR(__xludf.DUMMYFUNCTION("IF
(
C15991=""фізична особа""
,
VLOOKUP(D15991,IMPORTRANGE(""https://docs.google.com/spreadsheets/d/14Bd19lYaqBhU8_DElYkX7l4wRkHqqCUFNJY4AfY3kHU/edit?usp=sharing  #gid=0"",""фіз особи new!relations_name""),6,FALSE)
,
(IF
(
C15991=""юридична особа""
,
VLOO"&amp;"KUP(D15991,IMPORTRANGE(""https://docs.google.com/spreadsheets/d/14Bd19lYaqBhU8_DElYkX7l4wRkHqqCUFNJY4AfY3kHU/edit?usp=sharing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G15990" s="7" t="s">
        <v>10</v>
      </c>
      <c r="H15990" s="7">
        <v>19817</v>
      </c>
      <c r="I15990" s="8" t="str">
        <f ca="1">IFERROR(__xludf.DUMMYFUNCTION("IF
(
G15991=""фізична особа""
,
VLOOKUP(H15991,IMPORTRANGE(""https://docs.google.com/spreadsheets/d/14Bd19lYaqBhU8_DElYkX7l4wRkHqqCUFNJY4AfY3kHU/edit?usp=sharing  #gid=0"",""фіз особи new!relations_name""),6,FALSE)
,
(IF
(
G15991=""юридична особа""
,
VLOO"&amp;"KUP(H15991,IMPORTRANGE(""https://docs.google.com/spreadsheets/d/14Bd19lYaqBhU8_DElYkX7l4wRkHqqCUFNJY4AfY3kHU/edit?usp=sharing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J15990" s="7" t="s">
        <v>25</v>
      </c>
    </row>
    <row r="15991" spans="1:10" ht="13.2">
      <c r="A15991" s="7">
        <v>15990</v>
      </c>
      <c r="B15991" s="7">
        <v>1</v>
      </c>
      <c r="C15991" s="7" t="s">
        <v>10</v>
      </c>
      <c r="D15991" s="7">
        <v>19817</v>
      </c>
      <c r="E15991" s="7" t="s">
        <v>15</v>
      </c>
      <c r="F15991" s="8" t="str">
        <f ca="1">IFERROR(__xludf.DUMMYFUNCTION("IF
(
C15992=""фізична особа""
,
VLOOKUP(D15992,IMPORTRANGE(""https://docs.google.com/spreadsheets/d/14Bd19lYaqBhU8_DElYkX7l4wRkHqqCUFNJY4AfY3kHU/edit?usp=sharing  #gid=0"",""фіз особи new!relations_name""),6,FALSE)
,
(IF
(
C15992=""юридична особа""
,
VLOO"&amp;"KUP(D15992,IMPORTRANGE(""https://docs.google.com/spreadsheets/d/14Bd19lYaqBhU8_DElYkX7l4wRkHqqCUFNJY4AfY3kHU/edit?usp=sharing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G15991" s="7" t="s">
        <v>10</v>
      </c>
      <c r="H15991" s="7">
        <v>19676</v>
      </c>
      <c r="I15991" s="8" t="str">
        <f ca="1">IFERROR(__xludf.DUMMYFUNCTION("IF
(
G15992=""фізична особа""
,
VLOOKUP(H15992,IMPORTRANGE(""https://docs.google.com/spreadsheets/d/14Bd19lYaqBhU8_DElYkX7l4wRkHqqCUFNJY4AfY3kHU/edit?usp=sharing  #gid=0"",""фіз особи new!relations_name""),6,FALSE)
,
(IF
(
G15992=""юридична особа""
,
VLOO"&amp;"KUP(H15992,IMPORTRANGE(""https://docs.google.com/spreadsheets/d/14Bd19lYaqBhU8_DElYkX7l4wRkHqqCUFNJY4AfY3kHU/edit?usp=sharing  #gid=0"",""фіз особи new!relations_name_uo""),7,FALSE)
,
)
))"),"ГУСЕЛЬНІКОВ Григорій Олександрович")</f>
        <v>ГУСЕЛЬНІКОВ Григорій Олександрович</v>
      </c>
      <c r="J15991" s="7" t="s">
        <v>14</v>
      </c>
    </row>
    <row r="15992" spans="1:10" ht="13.2">
      <c r="A15992" s="7">
        <v>15991</v>
      </c>
      <c r="B15992" s="7">
        <v>1</v>
      </c>
      <c r="C15992" s="7" t="s">
        <v>10</v>
      </c>
      <c r="D15992" s="7">
        <v>19817</v>
      </c>
      <c r="E15992" s="7" t="s">
        <v>25</v>
      </c>
      <c r="F15992" s="8" t="str">
        <f ca="1">IFERROR(__xludf.DUMMYFUNCTION("IF
(
C15993=""фізична особа""
,
VLOOKUP(D15993,IMPORTRANGE(""https://docs.google.com/spreadsheets/d/14Bd19lYaqBhU8_DElYkX7l4wRkHqqCUFNJY4AfY3kHU/edit?usp=sharing  #gid=0"",""фіз особи new!relations_name""),6,FALSE)
,
(IF
(
C15993=""юридична особа""
,
VLOO"&amp;"KUP(D15993,IMPORTRANGE(""https://docs.google.com/spreadsheets/d/14Bd19lYaqBhU8_DElYkX7l4wRkHqqCUFNJY4AfY3kHU/edit?usp=sharing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G15992" s="7" t="s">
        <v>10</v>
      </c>
      <c r="H15992" s="7">
        <v>19815</v>
      </c>
      <c r="I15992" s="8" t="str">
        <f ca="1">IFERROR(__xludf.DUMMYFUNCTION("IF
(
G15993=""фізична особа""
,
VLOOKUP(H15993,IMPORTRANGE(""https://docs.google.com/spreadsheets/d/14Bd19lYaqBhU8_DElYkX7l4wRkHqqCUFNJY4AfY3kHU/edit?usp=sharing  #gid=0"",""фіз особи new!relations_name""),6,FALSE)
,
(IF
(
G15993=""юридична особа""
,
VLOO"&amp;"KUP(H15993,IMPORTRANGE(""https://docs.google.com/spreadsheets/d/14Bd19lYaqBhU8_DElYkX7l4wRkHqqCUFNJY4AfY3kHU/edit?usp=sharing  #gid=0"",""фіз особи new!relations_name_uo""),7,FALSE)
,
)
))"),"ГУСЕЛЬНІКОВ Олександр Вікторович")</f>
        <v>ГУСЕЛЬНІКОВ Олександр Вікторович</v>
      </c>
      <c r="J15992" s="7" t="s">
        <v>34</v>
      </c>
    </row>
    <row r="15993" spans="1:10" ht="13.2">
      <c r="A15993" s="7">
        <v>15992</v>
      </c>
      <c r="B15993" s="7">
        <v>1</v>
      </c>
      <c r="C15993" s="7" t="s">
        <v>10</v>
      </c>
      <c r="D15993" s="7">
        <v>19817</v>
      </c>
      <c r="E15993" s="7" t="s">
        <v>25</v>
      </c>
      <c r="F15993" s="8" t="str">
        <f ca="1">IFERROR(__xludf.DUMMYFUNCTION("IF
(
C15994=""фізична особа""
,
VLOOKUP(D15994,IMPORTRANGE(""https://docs.google.com/spreadsheets/d/14Bd19lYaqBhU8_DElYkX7l4wRkHqqCUFNJY4AfY3kHU/edit?usp=sharing  #gid=0"",""фіз особи new!relations_name""),6,FALSE)
,
(IF
(
C15994=""юридична особа""
,
VLOO"&amp;"KUP(D15994,IMPORTRANGE(""https://docs.google.com/spreadsheets/d/14Bd19lYaqBhU8_DElYkX7l4wRkHqqCUFNJY4AfY3kHU/edit?usp=sharing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G15993" s="7" t="s">
        <v>10</v>
      </c>
      <c r="H15993" s="7">
        <v>19816</v>
      </c>
      <c r="I15993" s="8" t="str">
        <f ca="1">IFERROR(__xludf.DUMMYFUNCTION("IF
(
G15994=""фізична особа""
,
VLOOKUP(H15994,IMPORTRANGE(""https://docs.google.com/spreadsheets/d/14Bd19lYaqBhU8_DElYkX7l4wRkHqqCUFNJY4AfY3kHU/edit?usp=sharing  #gid=0"",""фіз особи new!relations_name""),6,FALSE)
,
(IF
(
G15994=""юридична особа""
,
VLOO"&amp;"KUP(H15994,IMPORTRANGE(""https://docs.google.com/spreadsheets/d/14Bd19lYaqBhU8_DElYkX7l4wRkHqqCUFNJY4AfY3kHU/edit?usp=sharing  #gid=0"",""фіз особи new!relations_name_uo""),7,FALSE)
,
)
))"),"ГУСЕЛЬНІКОВА Наталія Леонідівна")</f>
        <v>ГУСЕЛЬНІКОВА Наталія Леонідівна</v>
      </c>
      <c r="J15993" s="7" t="s">
        <v>58</v>
      </c>
    </row>
    <row r="15994" spans="1:10" ht="13.2">
      <c r="A15994" s="7">
        <v>15993</v>
      </c>
      <c r="B15994" s="7">
        <v>1</v>
      </c>
      <c r="C15994" s="7" t="s">
        <v>10</v>
      </c>
      <c r="D15994" s="7">
        <v>19817</v>
      </c>
      <c r="E15994" s="7" t="s">
        <v>25</v>
      </c>
      <c r="F15994" s="8" t="str">
        <f ca="1">IFERROR(__xludf.DUMMYFUNCTION("IF
(
C15995=""фізична особа""
,
VLOOKUP(D15995,IMPORTRANGE(""https://docs.google.com/spreadsheets/d/14Bd19lYaqBhU8_DElYkX7l4wRkHqqCUFNJY4AfY3kHU/edit?usp=sharing  #gid=0"",""фіз особи new!relations_name""),6,FALSE)
,
(IF
(
C15995=""юридична особа""
,
VLOO"&amp;"KUP(D15995,IMPORTRANGE(""https://docs.google.com/spreadsheets/d/14Bd19lYaqBhU8_DElYkX7l4wRkHqqCUFNJY4AfY3kHU/edit?usp=sharing  #gid=0"",""фіз особи new!relations_name_uo""),7,FALSE)
,
)
))"),"ГУСЕЛЬНІКОВА Юлія Володимирівна")</f>
        <v>ГУСЕЛЬНІКОВА Юлія Володимирівна</v>
      </c>
      <c r="G15994" s="7" t="s">
        <v>10</v>
      </c>
      <c r="H15994" s="7">
        <v>23722</v>
      </c>
      <c r="I15994" s="8" t="str">
        <f ca="1">IFERROR(__xludf.DUMMYFUNCTION("IF
(
G15995=""фізична особа""
,
VLOOKUP(H15995,IMPORTRANGE(""https://docs.google.com/spreadsheets/d/14Bd19lYaqBhU8_DElYkX7l4wRkHqqCUFNJY4AfY3kHU/edit?usp=sharing  #gid=0"",""фіз особи new!relations_name""),6,FALSE)
,
(IF
(
G15995=""юридична особа""
,
VLOO"&amp;"KUP(H15995,IMPORTRANGE(""https://docs.google.com/spreadsheets/d/14Bd19lYaqBhU8_DElYkX7l4wRkHqqCUFNJY4AfY3kHU/edit?usp=sharing  #gid=0"",""фіз особи new!relations_name_uo""),7,FALSE)
,
)
))"),"ГУСЕЛЬНІКОВ Георгій Олександрович")</f>
        <v>ГУСЕЛЬНІКОВ Георгій Олександрович</v>
      </c>
      <c r="J15994" s="7" t="s">
        <v>73</v>
      </c>
    </row>
    <row r="15995" spans="1:10" ht="13.2">
      <c r="A15995" s="7">
        <v>15994</v>
      </c>
      <c r="B15995" s="7">
        <v>1</v>
      </c>
      <c r="C15995" s="7" t="s">
        <v>10</v>
      </c>
      <c r="D15995" s="7">
        <v>19824</v>
      </c>
      <c r="E15995" s="7" t="s">
        <v>23</v>
      </c>
      <c r="F15995" s="8" t="str">
        <f ca="1">IFERROR(__xludf.DUMMYFUNCTION("IF
(
C15996=""фізична особа""
,
VLOOKUP(D15996,IMPORTRANGE(""https://docs.google.com/spreadsheets/d/14Bd19lYaqBhU8_DElYkX7l4wRkHqqCUFNJY4AfY3kHU/edit?usp=sharing  #gid=0"",""фіз особи new!relations_name""),6,FALSE)
,
(IF
(
C15996=""юридична особа""
,
VLOO"&amp;"KUP(D15996,IMPORTRANGE(""https://docs.google.com/spreadsheets/d/14Bd19lYaqBhU8_DElYkX7l4wRkHqqCUFNJY4AfY3kHU/edit?usp=sharing  #gid=0"",""фіз особи new!relations_name_uo""),7,FALSE)
,
)
))"),"ЦОЙ Ірина Петрівна")</f>
        <v>ЦОЙ Ірина Петрівна</v>
      </c>
      <c r="G15995" s="7" t="s">
        <v>10</v>
      </c>
      <c r="H15995" s="7">
        <v>18781</v>
      </c>
      <c r="I15995" s="8" t="str">
        <f ca="1">IFERROR(__xludf.DUMMYFUNCTION("IF
(
G15996=""фізична особа""
,
VLOOKUP(H15996,IMPORTRANGE(""https://docs.google.com/spreadsheets/d/14Bd19lYaqBhU8_DElYkX7l4wRkHqqCUFNJY4AfY3kHU/edit?usp=sharing  #gid=0"",""фіз особи new!relations_name""),6,FALSE)
,
(IF
(
G15996=""юридична особа""
,
VLOO"&amp;"KUP(H15996,IMPORTRANGE(""https://docs.google.com/spreadsheets/d/14Bd19lYaqBhU8_DElYkX7l4wRkHqqCUFNJY4AfY3kHU/edit?usp=sharing  #gid=0"",""фіз особи new!relations_name_uo""),7,FALSE)
,
)
))"),"УСМАНБЕКОВ Сардорбек Анарбекович")</f>
        <v>УСМАНБЕКОВ Сардорбек Анарбекович</v>
      </c>
      <c r="J15995" s="7" t="s">
        <v>23</v>
      </c>
    </row>
    <row r="15996" spans="1:10" ht="13.2">
      <c r="A15996" s="7">
        <v>15995</v>
      </c>
      <c r="B15996" s="7">
        <v>1</v>
      </c>
      <c r="C15996" s="7" t="s">
        <v>10</v>
      </c>
      <c r="D15996" s="7">
        <v>19830</v>
      </c>
      <c r="E15996" s="7" t="s">
        <v>26</v>
      </c>
      <c r="F15996" s="8" t="str">
        <f ca="1">IFERROR(__xludf.DUMMYFUNCTION("IF
(
C15997=""фізична особа""
,
VLOOKUP(D15997,IMPORTRANGE(""https://docs.google.com/spreadsheets/d/14Bd19lYaqBhU8_DElYkX7l4wRkHqqCUFNJY4AfY3kHU/edit?usp=sharing  #gid=0"",""фіз особи new!relations_name""),6,FALSE)
,
(IF
(
C15997=""юридична особа""
,
VLOO"&amp;"KUP(D15997,IMPORTRANGE(""https://docs.google.com/spreadsheets/d/14Bd19lYaqBhU8_DElYkX7l4wRkHqqCUFNJY4AfY3kHU/edit?usp=sharing  #gid=0"",""фіз особи new!relations_name_uo""),7,FALSE)
,
)
))"),"КУЛІБАЄВ Тимур Аскарович")</f>
        <v>КУЛІБАЄВ Тимур Аскарович</v>
      </c>
      <c r="G15996" s="7" t="s">
        <v>10</v>
      </c>
      <c r="H15996" s="7">
        <v>23728</v>
      </c>
      <c r="I15996" s="8" t="str">
        <f ca="1">IFERROR(__xludf.DUMMYFUNCTION("IF
(
G15997=""фізична особа""
,
VLOOKUP(H15997,IMPORTRANGE(""https://docs.google.com/spreadsheets/d/14Bd19lYaqBhU8_DElYkX7l4wRkHqqCUFNJY4AfY3kHU/edit?usp=sharing  #gid=0"",""фіз особи new!relations_name""),6,FALSE)
,
(IF
(
G15997=""юридична особа""
,
VLOO"&amp;"KUP(H15997,IMPORTRANGE(""https://docs.google.com/spreadsheets/d/14Bd19lYaqBhU8_DElYkX7l4wRkHqqCUFNJY4AfY3kHU/edit?usp=sharing  #gid=0"",""фіз особи new!relations_name_uo""),7,FALSE)
,
)
))"),"НАЗАРБАЄВ Нурсултан")</f>
        <v>НАЗАРБАЄВ Нурсултан</v>
      </c>
      <c r="J15996" s="7" t="s">
        <v>24</v>
      </c>
    </row>
    <row r="15997" spans="1:10" ht="13.2">
      <c r="A15997" s="7">
        <v>15996</v>
      </c>
      <c r="B15997" s="7">
        <v>1</v>
      </c>
      <c r="C15997" s="7" t="s">
        <v>10</v>
      </c>
      <c r="D15997" s="7">
        <v>19830</v>
      </c>
      <c r="E15997" s="7" t="s">
        <v>14</v>
      </c>
      <c r="F15997" s="8" t="str">
        <f ca="1">IFERROR(__xludf.DUMMYFUNCTION("IF
(
C15998=""фізична особа""
,
VLOOKUP(D15998,IMPORTRANGE(""https://docs.google.com/spreadsheets/d/14Bd19lYaqBhU8_DElYkX7l4wRkHqqCUFNJY4AfY3kHU/edit?usp=sharing  #gid=0"",""фіз особи new!relations_name""),6,FALSE)
,
(IF
(
C15998=""юридична особа""
,
VLOO"&amp;"KUP(D15998,IMPORTRANGE(""https://docs.google.com/spreadsheets/d/14Bd19lYaqBhU8_DElYkX7l4wRkHqqCUFNJY4AfY3kHU/edit?usp=sharing  #gid=0"",""фіз особи new!relations_name_uo""),7,FALSE)
,
)
))"),"КУЛІБАЄВ Тимур Аскарович")</f>
        <v>КУЛІБАЄВ Тимур Аскарович</v>
      </c>
      <c r="G15997" s="7" t="s">
        <v>10</v>
      </c>
      <c r="H15997" s="7">
        <v>19831</v>
      </c>
      <c r="I15997" s="8" t="str">
        <f ca="1">IFERROR(__xludf.DUMMYFUNCTION("IF
(
G15998=""фізична особа""
,
VLOOKUP(H15998,IMPORTRANGE(""https://docs.google.com/spreadsheets/d/14Bd19lYaqBhU8_DElYkX7l4wRkHqqCUFNJY4AfY3kHU/edit?usp=sharing  #gid=0"",""фіз особи new!relations_name""),6,FALSE)
,
(IF
(
G15998=""юридична особа""
,
VLOO"&amp;"KUP(H15998,IMPORTRANGE(""https://docs.google.com/spreadsheets/d/14Bd19lYaqBhU8_DElYkX7l4wRkHqqCUFNJY4AfY3kHU/edit?usp=sharing  #gid=0"",""фіз особи new!relations_name_uo""),7,FALSE)
,
)
))"),"КУЛІБАЄВА Дінара Нурсултанівна")</f>
        <v>КУЛІБАЄВА Дінара Нурсултанівна</v>
      </c>
      <c r="J15997" s="7" t="s">
        <v>15</v>
      </c>
    </row>
    <row r="15998" spans="1:10" ht="13.2">
      <c r="A15998" s="7">
        <v>15997</v>
      </c>
      <c r="B15998" s="7">
        <v>1</v>
      </c>
      <c r="C15998" s="7" t="s">
        <v>10</v>
      </c>
      <c r="D15998" s="7">
        <v>19831</v>
      </c>
      <c r="E15998" s="7" t="s">
        <v>13</v>
      </c>
      <c r="F15998" s="8" t="str">
        <f ca="1">IFERROR(__xludf.DUMMYFUNCTION("IF
(
C15999=""фізична особа""
,
VLOOKUP(D15999,IMPORTRANGE(""https://docs.google.com/spreadsheets/d/14Bd19lYaqBhU8_DElYkX7l4wRkHqqCUFNJY4AfY3kHU/edit?usp=sharing  #gid=0"",""фіз особи new!relations_name""),6,FALSE)
,
(IF
(
C15999=""юридична особа""
,
VLOO"&amp;"KUP(D15999,IMPORTRANGE(""https://docs.google.com/spreadsheets/d/14Bd19lYaqBhU8_DElYkX7l4wRkHqqCUFNJY4AfY3kHU/edit?usp=sharing  #gid=0"",""фіз особи new!relations_name_uo""),7,FALSE)
,
)
))"),"КУЛІБАЄВА Дінара Нурсултанівна")</f>
        <v>КУЛІБАЄВА Дінара Нурсултанівна</v>
      </c>
      <c r="G15998" s="7" t="s">
        <v>10</v>
      </c>
      <c r="H15998" s="7">
        <v>23728</v>
      </c>
      <c r="I15998" s="8" t="str">
        <f ca="1">IFERROR(__xludf.DUMMYFUNCTION("IF
(
G15999=""фізична особа""
,
VLOOKUP(H15999,IMPORTRANGE(""https://docs.google.com/spreadsheets/d/14Bd19lYaqBhU8_DElYkX7l4wRkHqqCUFNJY4AfY3kHU/edit?usp=sharing  #gid=0"",""фіз особи new!relations_name""),6,FALSE)
,
(IF
(
G15999=""юридична особа""
,
VLOO"&amp;"KUP(H15999,IMPORTRANGE(""https://docs.google.com/spreadsheets/d/14Bd19lYaqBhU8_DElYkX7l4wRkHqqCUFNJY4AfY3kHU/edit?usp=sharing  #gid=0"",""фіз особи new!relations_name_uo""),7,FALSE)
,
)
))"),"НАЗАРБАЄВ Нурсултан")</f>
        <v>НАЗАРБАЄВ Нурсултан</v>
      </c>
      <c r="J15998" s="7" t="s">
        <v>12</v>
      </c>
    </row>
    <row r="15999" spans="1:10" ht="13.2">
      <c r="A15999" s="7">
        <v>15998</v>
      </c>
      <c r="B15999" s="7">
        <v>1</v>
      </c>
      <c r="C15999" s="7" t="s">
        <v>10</v>
      </c>
      <c r="D15999" s="7">
        <v>19831</v>
      </c>
      <c r="E15999" s="7" t="s">
        <v>15</v>
      </c>
      <c r="F15999" s="8" t="str">
        <f ca="1">IFERROR(__xludf.DUMMYFUNCTION("IF
(
C16000=""фізична особа""
,
VLOOKUP(D16000,IMPORTRANGE(""https://docs.google.com/spreadsheets/d/14Bd19lYaqBhU8_DElYkX7l4wRkHqqCUFNJY4AfY3kHU/edit?usp=sharing  #gid=0"",""фіз особи new!relations_name""),6,FALSE)
,
(IF
(
C16000=""юридична особа""
,
VLOO"&amp;"KUP(D16000,IMPORTRANGE(""https://docs.google.com/spreadsheets/d/14Bd19lYaqBhU8_DElYkX7l4wRkHqqCUFNJY4AfY3kHU/edit?usp=sharing  #gid=0"",""фіз особи new!relations_name_uo""),7,FALSE)
,
)
))"),"КУЛІБАЄВА Дінара Нурсултанівна")</f>
        <v>КУЛІБАЄВА Дінара Нурсултанівна</v>
      </c>
      <c r="G15999" s="7" t="s">
        <v>10</v>
      </c>
      <c r="H15999" s="7">
        <v>19830</v>
      </c>
      <c r="I15999" s="8" t="str">
        <f ca="1">IFERROR(__xludf.DUMMYFUNCTION("IF
(
G16000=""фізична особа""
,
VLOOKUP(H16000,IMPORTRANGE(""https://docs.google.com/spreadsheets/d/14Bd19lYaqBhU8_DElYkX7l4wRkHqqCUFNJY4AfY3kHU/edit?usp=sharing  #gid=0"",""фіз особи new!relations_name""),6,FALSE)
,
(IF
(
G16000=""юридична особа""
,
VLOO"&amp;"KUP(H16000,IMPORTRANGE(""https://docs.google.com/spreadsheets/d/14Bd19lYaqBhU8_DElYkX7l4wRkHqqCUFNJY4AfY3kHU/edit?usp=sharing  #gid=0"",""фіз особи new!relations_name_uo""),7,FALSE)
,
)
))"),"КУЛІБАЄВ Тимур Аскарович")</f>
        <v>КУЛІБАЄВ Тимур Аскарович</v>
      </c>
      <c r="J15999" s="7" t="s">
        <v>14</v>
      </c>
    </row>
    <row r="16000" spans="1:10" ht="13.2">
      <c r="A16000" s="7">
        <v>15999</v>
      </c>
      <c r="B16000" s="7">
        <v>1</v>
      </c>
      <c r="C16000" s="7" t="s">
        <v>10</v>
      </c>
      <c r="D16000" s="7">
        <v>19916</v>
      </c>
      <c r="E16000" s="7" t="s">
        <v>23</v>
      </c>
      <c r="F16000" s="8" t="str">
        <f ca="1">IFERROR(__xludf.DUMMYFUNCTION("IF
(
C16001=""фізична особа""
,
VLOOKUP(D16001,IMPORTRANGE(""https://docs.google.com/spreadsheets/d/14Bd19lYaqBhU8_DElYkX7l4wRkHqqCUFNJY4AfY3kHU/edit?usp=sharing  #gid=0"",""фіз особи new!relations_name""),6,FALSE)
,
(IF
(
C16001=""юридична особа""
,
VLOO"&amp;"KUP(D16001,IMPORTRANGE(""https://docs.google.com/spreadsheets/d/14Bd19lYaqBhU8_DElYkX7l4wRkHqqCUFNJY4AfY3kHU/edit?usp=sharing  #gid=0"",""фіз особи new!relations_name_uo""),7,FALSE)
,
)
))"),"ЄМЕЛЬЯНОВА Марина Сергіївна")</f>
        <v>ЄМЕЛЬЯНОВА Марина Сергіївна</v>
      </c>
      <c r="G16000" s="7" t="s">
        <v>10</v>
      </c>
      <c r="H16000" s="7">
        <v>0</v>
      </c>
      <c r="I16000" s="8" t="str">
        <f ca="1">IFERROR(__xludf.DUMMYFUNCTION("IF
(
G16001=""фізична особа""
,
VLOOKUP(H16001,IMPORTRANGE(""https://docs.google.com/spreadsheets/d/14Bd19lYaqBhU8_DElYkX7l4wRkHqqCUFNJY4AfY3kHU/edit?usp=sharing  #gid=0"",""фіз особи new!relations_name""),6,FALSE)
,
(IF
(
G16001=""юридична особа""
,
VLOO"&amp;"KUP(H16001,IMPORTRANGE(""https://docs.google.com/spreadsheets/d/14Bd19lYaqBhU8_DElYkX7l4wRkHqqCUFNJY4AfY3kHU/edit?usp=sharing  #gid=0"",""фіз особи new!relations_name_uo""),7,FALSE)
,
)
))"),"#N/A")</f>
        <v>#N/A</v>
      </c>
      <c r="J16000" s="7" t="s">
        <v>23</v>
      </c>
    </row>
    <row r="16001" spans="1:10" ht="13.2">
      <c r="A16001" s="7">
        <v>16000</v>
      </c>
      <c r="B16001" s="7">
        <v>1</v>
      </c>
      <c r="C16001" s="7" t="s">
        <v>10</v>
      </c>
      <c r="D16001" s="7">
        <v>19917</v>
      </c>
      <c r="E16001" s="7" t="s">
        <v>48</v>
      </c>
      <c r="F16001" s="8" t="str">
        <f ca="1">IFERROR(__xludf.DUMMYFUNCTION("IF
(
C16002=""фізична особа""
,
VLOOKUP(D16002,IMPORTRANGE(""https://docs.google.com/spreadsheets/d/14Bd19lYaqBhU8_DElYkX7l4wRkHqqCUFNJY4AfY3kHU/edit?usp=sharing  #gid=0"",""фіз особи new!relations_name""),6,FALSE)
,
(IF
(
C16002=""юридична особа""
,
VLOO"&amp;"KUP(D16002,IMPORTRANGE(""https://docs.google.com/spreadsheets/d/14Bd19lYaqBhU8_DElYkX7l4wRkHqqCUFNJY4AfY3kHU/edit?usp=sharing  #gid=0"",""фіз особи new!relations_name_uo""),7,FALSE)
,
)
))"),"ПОРИВАЙ Наталія Володимирівна")</f>
        <v>ПОРИВАЙ Наталія Володимирівна</v>
      </c>
      <c r="G16001" s="7" t="s">
        <v>10</v>
      </c>
      <c r="H16001" s="7">
        <v>880</v>
      </c>
      <c r="I16001" s="8" t="str">
        <f ca="1">IFERROR(__xludf.DUMMYFUNCTION("IF
(
G16002=""фізична особа""
,
VLOOKUP(H16002,IMPORTRANGE(""https://docs.google.com/spreadsheets/d/14Bd19lYaqBhU8_DElYkX7l4wRkHqqCUFNJY4AfY3kHU/edit?usp=sharing  #gid=0"",""фіз особи new!relations_name""),6,FALSE)
,
(IF
(
G16002=""юридична особа""
,
VLOO"&amp;"KUP(H16002,IMPORTRANGE(""https://docs.google.com/spreadsheets/d/14Bd19lYaqBhU8_DElYkX7l4wRkHqqCUFNJY4AfY3kHU/edit?usp=sharing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6001" s="7" t="s">
        <v>48</v>
      </c>
    </row>
    <row r="16002" spans="1:10" ht="13.2">
      <c r="A16002" s="7">
        <v>16001</v>
      </c>
      <c r="B16002" s="7">
        <v>1</v>
      </c>
      <c r="C16002" s="7" t="s">
        <v>10</v>
      </c>
      <c r="D16002" s="7">
        <v>19917</v>
      </c>
      <c r="E16002" s="7" t="s">
        <v>48</v>
      </c>
      <c r="F16002" s="8" t="str">
        <f ca="1">IFERROR(__xludf.DUMMYFUNCTION("IF
(
C16003=""фізична особа""
,
VLOOKUP(D16003,IMPORTRANGE(""https://docs.google.com/spreadsheets/d/14Bd19lYaqBhU8_DElYkX7l4wRkHqqCUFNJY4AfY3kHU/edit?usp=sharing  #gid=0"",""фіз особи new!relations_name""),6,FALSE)
,
(IF
(
C16003=""юридична особа""
,
VLOO"&amp;"KUP(D16003,IMPORTRANGE(""https://docs.google.com/spreadsheets/d/14Bd19lYaqBhU8_DElYkX7l4wRkHqqCUFNJY4AfY3kHU/edit?usp=sharing  #gid=0"",""фіз особи new!relations_name_uo""),7,FALSE)
,
)
))"),"ПОРИВАЙ Наталія Володимирівна")</f>
        <v>ПОРИВАЙ Наталія Володимирівна</v>
      </c>
      <c r="G16002" s="7" t="s">
        <v>10</v>
      </c>
      <c r="H16002" s="7">
        <v>185</v>
      </c>
      <c r="I16002" s="8" t="str">
        <f ca="1">IFERROR(__xludf.DUMMYFUNCTION("IF
(
G16003=""фізична особа""
,
VLOOKUP(H16003,IMPORTRANGE(""https://docs.google.com/spreadsheets/d/14Bd19lYaqBhU8_DElYkX7l4wRkHqqCUFNJY4AfY3kHU/edit?usp=sharing  #gid=0"",""фіз особи new!relations_name""),6,FALSE)
,
(IF
(
G16003=""юридична особа""
,
VLOO"&amp;"KUP(H16003,IMPORTRANGE(""https://docs.google.com/spreadsheets/d/14Bd19lYaqBhU8_DElYkX7l4wRkHqqCUFNJY4AfY3kHU/edit?usp=sharing  #gid=0"",""фіз особи new!relations_name_uo""),7,FALSE)
,
)
))"),"МЕДВЕДЄВ Дмитро Анатолійович")</f>
        <v>МЕДВЕДЄВ Дмитро Анатолійович</v>
      </c>
      <c r="J16002" s="7" t="s">
        <v>48</v>
      </c>
    </row>
    <row r="16003" spans="1:10" ht="13.2">
      <c r="A16003" s="7">
        <v>16002</v>
      </c>
      <c r="B16003" s="7">
        <v>1</v>
      </c>
      <c r="C16003" s="7" t="s">
        <v>10</v>
      </c>
      <c r="D16003" s="7">
        <v>19917</v>
      </c>
      <c r="E16003" s="7" t="s">
        <v>15</v>
      </c>
      <c r="F16003" s="8" t="str">
        <f ca="1">IFERROR(__xludf.DUMMYFUNCTION("IF
(
C16004=""фізична особа""
,
VLOOKUP(D16004,IMPORTRANGE(""https://docs.google.com/spreadsheets/d/14Bd19lYaqBhU8_DElYkX7l4wRkHqqCUFNJY4AfY3kHU/edit?usp=sharing  #gid=0"",""фіз особи new!relations_name""),6,FALSE)
,
(IF
(
C16004=""юридична особа""
,
VLOO"&amp;"KUP(D16004,IMPORTRANGE(""https://docs.google.com/spreadsheets/d/14Bd19lYaqBhU8_DElYkX7l4wRkHqqCUFNJY4AfY3kHU/edit?usp=sharing  #gid=0"",""фіз особи new!relations_name_uo""),7,FALSE)
,
)
))"),"ПОРИВАЙ Наталія Володимирівна")</f>
        <v>ПОРИВАЙ Наталія Володимирівна</v>
      </c>
      <c r="G16003" s="7" t="s">
        <v>10</v>
      </c>
      <c r="H16003" s="7">
        <v>0</v>
      </c>
      <c r="I16003" s="8" t="str">
        <f ca="1">IFERROR(__xludf.DUMMYFUNCTION("IF
(
G16004=""фізична особа""
,
VLOOKUP(H16004,IMPORTRANGE(""https://docs.google.com/spreadsheets/d/14Bd19lYaqBhU8_DElYkX7l4wRkHqqCUFNJY4AfY3kHU/edit?usp=sharing  #gid=0"",""фіз особи new!relations_name""),6,FALSE)
,
(IF
(
G16004=""юридична особа""
,
VLOO"&amp;"KUP(H16004,IMPORTRANGE(""https://docs.google.com/spreadsheets/d/14Bd19lYaqBhU8_DElYkX7l4wRkHqqCUFNJY4AfY3kHU/edit?usp=sharing  #gid=0"",""фіз особи new!relations_name_uo""),7,FALSE)
,
)
))"),"#N/A")</f>
        <v>#N/A</v>
      </c>
      <c r="J16003" s="7" t="s">
        <v>14</v>
      </c>
    </row>
    <row r="16004" spans="1:10" ht="13.2">
      <c r="A16004" s="7">
        <v>16003</v>
      </c>
      <c r="B16004" s="7">
        <v>1</v>
      </c>
      <c r="C16004" s="7" t="s">
        <v>10</v>
      </c>
      <c r="D16004" s="7">
        <v>19919</v>
      </c>
      <c r="E16004" s="7" t="s">
        <v>28</v>
      </c>
      <c r="F16004" s="8" t="str">
        <f ca="1">IFERROR(__xludf.DUMMYFUNCTION("IF
(
C16005=""фізична особа""
,
VLOOKUP(D16005,IMPORTRANGE(""https://docs.google.com/spreadsheets/d/14Bd19lYaqBhU8_DElYkX7l4wRkHqqCUFNJY4AfY3kHU/edit?usp=sharing  #gid=0"",""фіз особи new!relations_name""),6,FALSE)
,
(IF
(
C16005=""юридична особа""
,
VLOO"&amp;"KUP(D16005,IMPORTRANGE(""https://docs.google.com/spreadsheets/d/14Bd19lYaqBhU8_DElYkX7l4wRkHqqCUFNJY4AfY3kHU/edit?usp=sharing  #gid=0"",""фіз особи new!relations_name_uo""),7,FALSE)
,
)
))"),"ПОПОВА / БОУРТ Анастасія андріївна")</f>
        <v>ПОПОВА / БОУРТ Анастасія андріївна</v>
      </c>
      <c r="G16004" s="7" t="s">
        <v>10</v>
      </c>
      <c r="H16004" s="7">
        <v>4027</v>
      </c>
      <c r="I16004" s="8" t="str">
        <f ca="1">IFERROR(__xludf.DUMMYFUNCTION("IF
(
G16005=""фізична особа""
,
VLOOKUP(H16005,IMPORTRANGE(""https://docs.google.com/spreadsheets/d/14Bd19lYaqBhU8_DElYkX7l4wRkHqqCUFNJY4AfY3kHU/edit?usp=sharing  #gid=0"",""фіз особи new!relations_name""),6,FALSE)
,
(IF
(
G16005=""юридична особа""
,
VLOO"&amp;"KUP(H16005,IMPORTRANGE(""https://docs.google.com/spreadsheets/d/14Bd19lYaqBhU8_DElYkX7l4wRkHqqCUFNJY4AfY3kHU/edit?usp=sharing  #gid=0"",""фіз особи new!relations_name_uo""),7,FALSE)
,
)
))"),"ДОБРОДЄЄВ Олег Борисович")</f>
        <v>ДОБРОДЄЄВ Олег Борисович</v>
      </c>
      <c r="J16004" s="7" t="s">
        <v>29</v>
      </c>
    </row>
    <row r="16005" spans="1:10" ht="13.2">
      <c r="A16005" s="7">
        <v>16004</v>
      </c>
      <c r="B16005" s="7">
        <v>1</v>
      </c>
      <c r="C16005" s="7" t="s">
        <v>10</v>
      </c>
      <c r="D16005" s="7">
        <v>19920</v>
      </c>
      <c r="E16005" s="7" t="s">
        <v>28</v>
      </c>
      <c r="F16005" s="8" t="str">
        <f ca="1">IFERROR(__xludf.DUMMYFUNCTION("IF
(
C16006=""фізична особа""
,
VLOOKUP(D16006,IMPORTRANGE(""https://docs.google.com/spreadsheets/d/14Bd19lYaqBhU8_DElYkX7l4wRkHqqCUFNJY4AfY3kHU/edit?usp=sharing  #gid=0"",""фіз особи new!relations_name""),6,FALSE)
,
(IF
(
C16006=""юридична особа""
,
VLOO"&amp;"KUP(D16006,IMPORTRANGE(""https://docs.google.com/spreadsheets/d/14Bd19lYaqBhU8_DElYkX7l4wRkHqqCUFNJY4AfY3kHU/edit?usp=sharing  #gid=0"",""фіз особи new!relations_name_uo""),7,FALSE)
,
)
))"),"РОЖКОВ Євген Геннадійович")</f>
        <v>РОЖКОВ Євген Геннадійович</v>
      </c>
      <c r="G16005" s="7" t="s">
        <v>10</v>
      </c>
      <c r="H16005" s="7">
        <v>4027</v>
      </c>
      <c r="I16005" s="8" t="str">
        <f ca="1">IFERROR(__xludf.DUMMYFUNCTION("IF
(
G16006=""фізична особа""
,
VLOOKUP(H16006,IMPORTRANGE(""https://docs.google.com/spreadsheets/d/14Bd19lYaqBhU8_DElYkX7l4wRkHqqCUFNJY4AfY3kHU/edit?usp=sharing  #gid=0"",""фіз особи new!relations_name""),6,FALSE)
,
(IF
(
G16006=""юридична особа""
,
VLOO"&amp;"KUP(H16006,IMPORTRANGE(""https://docs.google.com/spreadsheets/d/14Bd19lYaqBhU8_DElYkX7l4wRkHqqCUFNJY4AfY3kHU/edit?usp=sharing  #gid=0"",""фіз особи new!relations_name_uo""),7,FALSE)
,
)
))"),"ДОБРОДЄЄВ Олег Борисович")</f>
        <v>ДОБРОДЄЄВ Олег Борисович</v>
      </c>
      <c r="J16005" s="7" t="s">
        <v>29</v>
      </c>
    </row>
    <row r="16006" spans="1:10" ht="13.2">
      <c r="A16006" s="7">
        <v>16005</v>
      </c>
      <c r="B16006" s="7">
        <v>1</v>
      </c>
      <c r="C16006" s="7" t="s">
        <v>10</v>
      </c>
      <c r="D16006" s="7">
        <v>19920</v>
      </c>
      <c r="E16006" s="7" t="s">
        <v>28</v>
      </c>
      <c r="F16006" s="8" t="str">
        <f ca="1">IFERROR(__xludf.DUMMYFUNCTION("IF
(
C16007=""фізична особа""
,
VLOOKUP(D16007,IMPORTRANGE(""https://docs.google.com/spreadsheets/d/14Bd19lYaqBhU8_DElYkX7l4wRkHqqCUFNJY4AfY3kHU/edit?usp=sharing  #gid=0"",""фіз особи new!relations_name""),6,FALSE)
,
(IF
(
C16007=""юридична особа""
,
VLOO"&amp;"KUP(D16007,IMPORTRANGE(""https://docs.google.com/spreadsheets/d/14Bd19lYaqBhU8_DElYkX7l4wRkHqqCUFNJY4AfY3kHU/edit?usp=sharing  #gid=0"",""фіз особи new!relations_name_uo""),7,FALSE)
,
)
))"),"РОЖКОВ Євген Геннадійович")</f>
        <v>РОЖКОВ Євген Геннадійович</v>
      </c>
      <c r="G16006" s="7" t="s">
        <v>10</v>
      </c>
      <c r="H16006" s="7">
        <v>8609</v>
      </c>
      <c r="I16006" s="8" t="str">
        <f ca="1">IFERROR(__xludf.DUMMYFUNCTION("IF
(
G16007=""фізична особа""
,
VLOOKUP(H16007,IMPORTRANGE(""https://docs.google.com/spreadsheets/d/14Bd19lYaqBhU8_DElYkX7l4wRkHqqCUFNJY4AfY3kHU/edit?usp=sharing  #gid=0"",""фіз особи new!relations_name""),6,FALSE)
,
(IF
(
G16007=""юридична особа""
,
VLOO"&amp;"KUP(H16007,IMPORTRANGE(""https://docs.google.com/spreadsheets/d/14Bd19lYaqBhU8_DElYkX7l4wRkHqqCUFNJY4AfY3kHU/edit?usp=sharing  #gid=0"",""фіз особи new!relations_name_uo""),7,FALSE)
,
)
))"),"ЗЛАТОПОЛЬСЬКИЙ Антон Андрійович")</f>
        <v>ЗЛАТОПОЛЬСЬКИЙ Антон Андрійович</v>
      </c>
      <c r="J16006" s="7" t="s">
        <v>29</v>
      </c>
    </row>
    <row r="16007" spans="1:10" ht="13.2">
      <c r="A16007" s="7">
        <v>16006</v>
      </c>
      <c r="B16007" s="7">
        <v>1</v>
      </c>
      <c r="C16007" s="7" t="s">
        <v>10</v>
      </c>
      <c r="D16007" s="7">
        <v>19921</v>
      </c>
      <c r="E16007" s="7" t="s">
        <v>13</v>
      </c>
      <c r="F16007" s="8" t="str">
        <f ca="1">IFERROR(__xludf.DUMMYFUNCTION("IF
(
C16008=""фізична особа""
,
VLOOKUP(D16008,IMPORTRANGE(""https://docs.google.com/spreadsheets/d/14Bd19lYaqBhU8_DElYkX7l4wRkHqqCUFNJY4AfY3kHU/edit?usp=sharing  #gid=0"",""фіз особи new!relations_name""),6,FALSE)
,
(IF
(
C16008=""юридична особа""
,
VLOO"&amp;"KUP(D16008,IMPORTRANGE(""https://docs.google.com/spreadsheets/d/14Bd19lYaqBhU8_DElYkX7l4wRkHqqCUFNJY4AfY3kHU/edit?usp=sharing  #gid=0"",""фіз особи new!relations_name_uo""),7,FALSE)
,
)
))"),"КІВА Катерина Іллівна")</f>
        <v>КІВА Катерина Іллівна</v>
      </c>
      <c r="G16007" s="7" t="s">
        <v>10</v>
      </c>
      <c r="H16007" s="7">
        <v>5930</v>
      </c>
      <c r="I16007" s="8" t="str">
        <f ca="1">IFERROR(__xludf.DUMMYFUNCTION("IF
(
G16008=""фізична особа""
,
VLOOKUP(H16008,IMPORTRANGE(""https://docs.google.com/spreadsheets/d/14Bd19lYaqBhU8_DElYkX7l4wRkHqqCUFNJY4AfY3kHU/edit?usp=sharing  #gid=0"",""фіз особи new!relations_name""),6,FALSE)
,
(IF
(
G16008=""юридична особа""
,
VLOO"&amp;"KUP(H16008,IMPORTRANGE(""https://docs.google.com/spreadsheets/d/14Bd19lYaqBhU8_DElYkX7l4wRkHqqCUFNJY4AfY3kHU/edit?usp=sharing  #gid=0"",""фіз особи new!relations_name_uo""),7,FALSE)
,
)
))"),"КІВА Ілля Володимирович")</f>
        <v>КІВА Ілля Володимирович</v>
      </c>
      <c r="J16007" s="7" t="s">
        <v>12</v>
      </c>
    </row>
    <row r="16008" spans="1:10" ht="13.2">
      <c r="A16008" s="7">
        <v>16007</v>
      </c>
      <c r="B16008" s="7">
        <v>1</v>
      </c>
      <c r="C16008" s="7" t="s">
        <v>10</v>
      </c>
      <c r="D16008" s="7">
        <v>10334</v>
      </c>
      <c r="E16008" s="7" t="s">
        <v>115</v>
      </c>
      <c r="F16008" s="8" t="str">
        <f ca="1">IFERROR(__xludf.DUMMYFUNCTION("IF
(
C16009=""фізична особа""
,
VLOOKUP(D16009,IMPORTRANGE(""https://docs.google.com/spreadsheets/d/14Bd19lYaqBhU8_DElYkX7l4wRkHqqCUFNJY4AfY3kHU/edit?usp=sharing  #gid=0"",""фіз особи new!relations_name""),6,FALSE)
,
(IF
(
C16009=""юридична особа""
,
VLOO"&amp;"KUP(D16009,IMPORTRANGE(""https://docs.google.com/spreadsheets/d/14Bd19lYaqBhU8_DElYkX7l4wRkHqqCUFNJY4AfY3kHU/edit?usp=sharing  #gid=0"",""фіз особи new!relations_name_uo""),7,FALSE)
,
)
))"),"ШАФІГУЛЛІН Айрат Радінович")</f>
        <v>ШАФІГУЛЛІН Айрат Радінович</v>
      </c>
      <c r="G16008" s="7" t="s">
        <v>10</v>
      </c>
      <c r="H16008" s="7">
        <v>880</v>
      </c>
      <c r="I16008" s="8" t="str">
        <f ca="1">IFERROR(__xludf.DUMMYFUNCTION("IF
(
G16009=""фізична особа""
,
VLOOKUP(H16009,IMPORTRANGE(""https://docs.google.com/spreadsheets/d/14Bd19lYaqBhU8_DElYkX7l4wRkHqqCUFNJY4AfY3kHU/edit?usp=sharing  #gid=0"",""фіз особи new!relations_name""),6,FALSE)
,
(IF
(
G16009=""юридична особа""
,
VLOO"&amp;"KUP(H16009,IMPORTRANGE(""https://docs.google.com/spreadsheets/d/14Bd19lYaqBhU8_DElYkX7l4wRkHqqCUFNJY4AfY3kHU/edit?usp=sharing  #gid=0"",""фіз особи new!relations_name_uo""),7,FALSE)
,
)
))"),"ПУТІН Володимир Володимирович")</f>
        <v>ПУТІН Володимир Володимирович</v>
      </c>
      <c r="J16008" s="7" t="s">
        <v>29</v>
      </c>
    </row>
    <row r="16009" spans="1:10" ht="13.2">
      <c r="A16009" s="7">
        <v>16008</v>
      </c>
      <c r="B16009" s="7">
        <v>1</v>
      </c>
      <c r="C16009" s="7" t="s">
        <v>10</v>
      </c>
      <c r="D16009" s="7">
        <v>10334</v>
      </c>
      <c r="E16009" s="7" t="s">
        <v>115</v>
      </c>
      <c r="F16009" s="8" t="str">
        <f ca="1">IFERROR(__xludf.DUMMYFUNCTION("IF
(
C16010=""фізична особа""
,
VLOOKUP(D16010,IMPORTRANGE(""https://docs.google.com/spreadsheets/d/14Bd19lYaqBhU8_DElYkX7l4wRkHqqCUFNJY4AfY3kHU/edit?usp=sharing  #gid=0"",""фіз особи new!relations_name""),6,FALSE)
,
(IF
(
C16010=""юридична особа""
,
VLOO"&amp;"KUP(D16010,IMPORTRANGE(""https://docs.google.com/spreadsheets/d/14Bd19lYaqBhU8_DElYkX7l4wRkHqqCUFNJY4AfY3kHU/edit?usp=sharing  #gid=0"",""фіз особи new!relations_name_uo""),7,FALSE)
,
)
))"),"ШАФІГУЛЛІН Айрат Радінович")</f>
        <v>ШАФІГУЛЛІН Айрат Радінович</v>
      </c>
      <c r="G16009" s="7" t="s">
        <v>10</v>
      </c>
      <c r="H16009" s="7">
        <v>203</v>
      </c>
      <c r="I16009" s="8" t="str">
        <f ca="1">IFERROR(__xludf.DUMMYFUNCTION("IF
(
G16010=""фізична особа""
,
VLOOKUP(H16010,IMPORTRANGE(""https://docs.google.com/spreadsheets/d/14Bd19lYaqBhU8_DElYkX7l4wRkHqqCUFNJY4AfY3kHU/edit?usp=sharing  #gid=0"",""фіз особи new!relations_name""),6,FALSE)
,
(IF
(
G16010=""юридична особа""
,
VLOO"&amp;"KUP(H16010,IMPORTRANGE(""https://docs.google.com/spreadsheets/d/14Bd19lYaqBhU8_DElYkX7l4wRkHqqCUFNJY4AfY3kHU/edit?usp=sharing  #gid=0"",""фіз особи new!relations_name_uo""),7,FALSE)
,
)
))"),"ПЄСКОВ Дмитро Сергійович")</f>
        <v>ПЄСКОВ Дмитро Сергійович</v>
      </c>
      <c r="J16009" s="7" t="s">
        <v>35</v>
      </c>
    </row>
    <row r="16010" spans="1:10" ht="13.2">
      <c r="A16010" s="7">
        <v>16009</v>
      </c>
      <c r="B16010" s="7">
        <v>1</v>
      </c>
      <c r="C16010" s="7" t="s">
        <v>10</v>
      </c>
      <c r="D16010" s="7">
        <v>20971</v>
      </c>
      <c r="E16010" s="7" t="s">
        <v>17</v>
      </c>
      <c r="F16010" s="8" t="str">
        <f ca="1">IFERROR(__xludf.DUMMYFUNCTION("IF
(
C16011=""фізична особа""
,
VLOOKUP(D16011,IMPORTRANGE(""https://docs.google.com/spreadsheets/d/14Bd19lYaqBhU8_DElYkX7l4wRkHqqCUFNJY4AfY3kHU/edit?usp=sharing  #gid=0"",""фіз особи new!relations_name""),6,FALSE)
,
(IF
(
C16011=""юридична особа""
,
VLOO"&amp;"KUP(D16011,IMPORTRANGE(""https://docs.google.com/spreadsheets/d/14Bd19lYaqBhU8_DElYkX7l4wRkHqqCUFNJY4AfY3kHU/edit?usp=sharing  #gid=0"",""фіз особи new!relations_name_uo""),7,FALSE)
,
)
))"),"АРТЯКОВ Дмитро Володимирович")</f>
        <v>АРТЯКОВ Дмитро Володимирович</v>
      </c>
      <c r="G16010" s="7" t="s">
        <v>10</v>
      </c>
      <c r="H16010" s="7">
        <v>3724</v>
      </c>
      <c r="I16010" s="8" t="str">
        <f ca="1">IFERROR(__xludf.DUMMYFUNCTION("IF
(
G16011=""фізична особа""
,
VLOOKUP(H16011,IMPORTRANGE(""https://docs.google.com/spreadsheets/d/14Bd19lYaqBhU8_DElYkX7l4wRkHqqCUFNJY4AfY3kHU/edit?usp=sharing  #gid=0"",""фіз особи new!relations_name""),6,FALSE)
,
(IF
(
G16011=""юридична особа""
,
VLOO"&amp;"KUP(H16011,IMPORTRANGE(""https://docs.google.com/spreadsheets/d/14Bd19lYaqBhU8_DElYkX7l4wRkHqqCUFNJY4AfY3kHU/edit?usp=sharing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6010" s="7" t="s">
        <v>12</v>
      </c>
    </row>
    <row r="16011" spans="1:10" ht="13.2">
      <c r="A16011" s="7">
        <v>16010</v>
      </c>
      <c r="B16011" s="7">
        <v>1</v>
      </c>
      <c r="C16011" s="7" t="s">
        <v>10</v>
      </c>
      <c r="D16011" s="7">
        <v>20972</v>
      </c>
      <c r="E16011" s="7" t="s">
        <v>15</v>
      </c>
      <c r="F16011" s="8" t="str">
        <f ca="1">IFERROR(__xludf.DUMMYFUNCTION("IF
(
C16012=""фізична особа""
,
VLOOKUP(D16012,IMPORTRANGE(""https://docs.google.com/spreadsheets/d/14Bd19lYaqBhU8_DElYkX7l4wRkHqqCUFNJY4AfY3kHU/edit?usp=sharing  #gid=0"",""фіз особи new!relations_name""),6,FALSE)
,
(IF
(
C16012=""юридична особа""
,
VLOO"&amp;"KUP(D16012,IMPORTRANGE(""https://docs.google.com/spreadsheets/d/14Bd19lYaqBhU8_DElYkX7l4wRkHqqCUFNJY4AfY3kHU/edit?usp=sharing  #gid=0"",""фіз особи new!relations_name_uo""),7,FALSE)
,
)
))"),"АРТЯКОВА / КУПЕРИНА Тетяна Володимирівна")</f>
        <v>АРТЯКОВА / КУПЕРИНА Тетяна Володимирівна</v>
      </c>
      <c r="G16011" s="7" t="s">
        <v>10</v>
      </c>
      <c r="H16011" s="7">
        <v>3724</v>
      </c>
      <c r="I16011" s="8" t="str">
        <f ca="1">IFERROR(__xludf.DUMMYFUNCTION("IF
(
G16012=""фізична особа""
,
VLOOKUP(H16012,IMPORTRANGE(""https://docs.google.com/spreadsheets/d/14Bd19lYaqBhU8_DElYkX7l4wRkHqqCUFNJY4AfY3kHU/edit?usp=sharing  #gid=0"",""фіз особи new!relations_name""),6,FALSE)
,
(IF
(
G16012=""юридична особа""
,
VLOO"&amp;"KUP(H16012,IMPORTRANGE(""https://docs.google.com/spreadsheets/d/14Bd19lYaqBhU8_DElYkX7l4wRkHqqCUFNJY4AfY3kHU/edit?usp=sharing  #gid=0"",""фіз особи new!relations_name_uo""),7,FALSE)
,
)
))"),"АРТЯКОВ Володимир Володимирович")</f>
        <v>АРТЯКОВ Володимир Володимирович</v>
      </c>
      <c r="J16011" s="7" t="s">
        <v>14</v>
      </c>
    </row>
    <row r="16012" spans="1:10" ht="13.2">
      <c r="A16012" s="7">
        <v>16011</v>
      </c>
      <c r="B16012" s="7">
        <v>1</v>
      </c>
      <c r="C16012" s="7" t="s">
        <v>10</v>
      </c>
      <c r="D16012" s="7">
        <v>20973</v>
      </c>
      <c r="E16012" s="7" t="s">
        <v>14</v>
      </c>
      <c r="F16012" s="8" t="str">
        <f ca="1">IFERROR(__xludf.DUMMYFUNCTION("IF
(
C16013=""фізична особа""
,
VLOOKUP(D16013,IMPORTRANGE(""https://docs.google.com/spreadsheets/d/14Bd19lYaqBhU8_DElYkX7l4wRkHqqCUFNJY4AfY3kHU/edit?usp=sharing  #gid=0"",""фіз особи new!relations_name""),6,FALSE)
,
(IF
(
C16013=""юридична особа""
,
VLOO"&amp;"KUP(D16013,IMPORTRANGE(""https://docs.google.com/spreadsheets/d/14Bd19lYaqBhU8_DElYkX7l4wRkHqqCUFNJY4AfY3kHU/edit?usp=sharing  #gid=0"",""фіз особи new!relations_name_uo""),7,FALSE)
,
)
))"),"BROVKO Vasily Yurievich")</f>
        <v>BROVKO Vasily Yurievich</v>
      </c>
      <c r="G16012" s="7" t="s">
        <v>10</v>
      </c>
      <c r="H16012" s="7">
        <v>2182</v>
      </c>
      <c r="I16012" s="8" t="str">
        <f ca="1">IFERROR(__xludf.DUMMYFUNCTION("IF
(
G16013=""фізична особа""
,
VLOOKUP(H16013,IMPORTRANGE(""https://docs.google.com/spreadsheets/d/14Bd19lYaqBhU8_DElYkX7l4wRkHqqCUFNJY4AfY3kHU/edit?usp=sharing  #gid=0"",""фіз особи new!relations_name""),6,FALSE)
,
(IF
(
G16013=""юридична особа""
,
VLOO"&amp;"KUP(H16013,IMPORTRANGE(""https://docs.google.com/spreadsheets/d/14Bd19lYaqBhU8_DElYkX7l4wRkHqqCUFNJY4AfY3kHU/edit?usp=sharing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J16012" s="7" t="s">
        <v>15</v>
      </c>
    </row>
    <row r="16013" spans="1:10" ht="13.2">
      <c r="A16013" s="7">
        <v>16012</v>
      </c>
      <c r="B16013" s="7">
        <v>1</v>
      </c>
      <c r="C16013" s="7" t="s">
        <v>10</v>
      </c>
      <c r="D16013" s="7">
        <v>20980</v>
      </c>
      <c r="E16013" s="7" t="s">
        <v>15</v>
      </c>
      <c r="F16013" s="8" t="str">
        <f ca="1">IFERROR(__xludf.DUMMYFUNCTION("IF
(
C16014=""фізична особа""
,
VLOOKUP(D16014,IMPORTRANGE(""https://docs.google.com/spreadsheets/d/14Bd19lYaqBhU8_DElYkX7l4wRkHqqCUFNJY4AfY3kHU/edit?usp=sharing  #gid=0"",""фіз особи new!relations_name""),6,FALSE)
,
(IF
(
C16014=""юридична особа""
,
VLOO"&amp;"KUP(D16014,IMPORTRANGE(""https://docs.google.com/spreadsheets/d/14Bd19lYaqBhU8_DElYkX7l4wRkHqqCUFNJY4AfY3kHU/edit?usp=sharing  #gid=0"",""фіз особи new!relations_name_uo""),7,FALSE)
,
)
))"),"КІР'ЯНОВА Тетяна Борисівна")</f>
        <v>КІР'ЯНОВА Тетяна Борисівна</v>
      </c>
      <c r="G16013" s="7" t="s">
        <v>10</v>
      </c>
      <c r="H16013" s="7">
        <v>3723</v>
      </c>
      <c r="I16013" s="8" t="str">
        <f ca="1">IFERROR(__xludf.DUMMYFUNCTION("IF
(
G16014=""фізична особа""
,
VLOOKUP(H16014,IMPORTRANGE(""https://docs.google.com/spreadsheets/d/14Bd19lYaqBhU8_DElYkX7l4wRkHqqCUFNJY4AfY3kHU/edit?usp=sharing  #gid=0"",""фіз особи new!relations_name""),6,FALSE)
,
(IF
(
G16014=""юридична особа""
,
VLOO"&amp;"KUP(H16014,IMPORTRANGE(""https://docs.google.com/spreadsheets/d/14Bd19lYaqBhU8_DElYkX7l4wRkHqqCUFNJY4AfY3kHU/edit?usp=sharing  #gid=0"",""фіз особи new!relations_name_uo""),7,FALSE)
,
)
))"),"КІР'ЯНОВ Віктор Миколайович")</f>
        <v>КІР'ЯНОВ Віктор Миколайович</v>
      </c>
      <c r="J16013" s="7" t="s">
        <v>14</v>
      </c>
    </row>
    <row r="16014" spans="1:10" ht="13.2">
      <c r="A16014" s="7">
        <v>16013</v>
      </c>
      <c r="B16014" s="7">
        <v>1</v>
      </c>
      <c r="C16014" s="7" t="s">
        <v>10</v>
      </c>
      <c r="D16014" s="7">
        <v>20981</v>
      </c>
      <c r="E16014" s="7" t="s">
        <v>14</v>
      </c>
      <c r="F16014" s="8" t="str">
        <f ca="1">IFERROR(__xludf.DUMMYFUNCTION("IF
(
C16015=""фізична особа""
,
VLOOKUP(D16015,IMPORTRANGE(""https://docs.google.com/spreadsheets/d/14Bd19lYaqBhU8_DElYkX7l4wRkHqqCUFNJY4AfY3kHU/edit?usp=sharing  #gid=0"",""фіз особи new!relations_name""),6,FALSE)
,
(IF
(
C16015=""юридична особа""
,
VLOO"&amp;"KUP(D16015,IMPORTRANGE(""https://docs.google.com/spreadsheets/d/14Bd19lYaqBhU8_DElYkX7l4wRkHqqCUFNJY4AfY3kHU/edit?usp=sharing  #gid=0"",""фіз особи new!relations_name_uo""),7,FALSE)
,
)
))"),"КОКОРЄВ Олександр Олександрович")</f>
        <v>КОКОРЄВ Олександр Олександрович</v>
      </c>
      <c r="G16014" s="7" t="s">
        <v>10</v>
      </c>
      <c r="H16014" s="7">
        <v>20982</v>
      </c>
      <c r="I16014" s="8" t="str">
        <f ca="1">IFERROR(__xludf.DUMMYFUNCTION("IF
(
G16015=""фізична особа""
,
VLOOKUP(H16015,IMPORTRANGE(""https://docs.google.com/spreadsheets/d/14Bd19lYaqBhU8_DElYkX7l4wRkHqqCUFNJY4AfY3kHU/edit?usp=sharing  #gid=0"",""фіз особи new!relations_name""),6,FALSE)
,
(IF
(
G16015=""юридична особа""
,
VLOO"&amp;"KUP(H16015,IMPORTRANGE(""https://docs.google.com/spreadsheets/d/14Bd19lYaqBhU8_DElYkX7l4wRkHqqCUFNJY4AfY3kHU/edit?usp=sharing  #gid=0"",""фіз особи new!relations_name_uo""),7,FALSE)
,
)
))"),"КОКОРЄВА Наталія Василівна")</f>
        <v>КОКОРЄВА Наталія Василівна</v>
      </c>
      <c r="J16014" s="7" t="s">
        <v>15</v>
      </c>
    </row>
    <row r="16015" spans="1:10" ht="13.2">
      <c r="A16015" s="7">
        <v>16014</v>
      </c>
      <c r="B16015" s="7">
        <v>1</v>
      </c>
      <c r="C16015" s="7" t="s">
        <v>10</v>
      </c>
      <c r="D16015" s="7">
        <v>20982</v>
      </c>
      <c r="E16015" s="7" t="s">
        <v>15</v>
      </c>
      <c r="F16015" s="8" t="str">
        <f ca="1">IFERROR(__xludf.DUMMYFUNCTION("IF
(
C16016=""фізична особа""
,
VLOOKUP(D16016,IMPORTRANGE(""https://docs.google.com/spreadsheets/d/14Bd19lYaqBhU8_DElYkX7l4wRkHqqCUFNJY4AfY3kHU/edit?usp=sharing  #gid=0"",""фіз особи new!relations_name""),6,FALSE)
,
(IF
(
C16016=""юридична особа""
,
VLOO"&amp;"KUP(D16016,IMPORTRANGE(""https://docs.google.com/spreadsheets/d/14Bd19lYaqBhU8_DElYkX7l4wRkHqqCUFNJY4AfY3kHU/edit?usp=sharing  #gid=0"",""фіз особи new!relations_name_uo""),7,FALSE)
,
)
))"),"КОКОРЄВА Наталія Василівна")</f>
        <v>КОКОРЄВА Наталія Василівна</v>
      </c>
      <c r="G16015" s="7" t="s">
        <v>10</v>
      </c>
      <c r="H16015" s="7">
        <v>20981</v>
      </c>
      <c r="I16015" s="8" t="str">
        <f ca="1">IFERROR(__xludf.DUMMYFUNCTION("IF
(
G16016=""фізична особа""
,
VLOOKUP(H16016,IMPORTRANGE(""https://docs.google.com/spreadsheets/d/14Bd19lYaqBhU8_DElYkX7l4wRkHqqCUFNJY4AfY3kHU/edit?usp=sharing  #gid=0"",""фіз особи new!relations_name""),6,FALSE)
,
(IF
(
G16016=""юридична особа""
,
VLOO"&amp;"KUP(H16016,IMPORTRANGE(""https://docs.google.com/spreadsheets/d/14Bd19lYaqBhU8_DElYkX7l4wRkHqqCUFNJY4AfY3kHU/edit?usp=sharing  #gid=0"",""фіз особи new!relations_name_uo""),7,FALSE)
,
)
))"),"КОКОРЄВ Олександр Олександрович")</f>
        <v>КОКОРЄВ Олександр Олександрович</v>
      </c>
      <c r="J16015" s="7" t="s">
        <v>14</v>
      </c>
    </row>
    <row r="16016" spans="1:10" ht="13.2">
      <c r="A16016" s="7">
        <v>16015</v>
      </c>
      <c r="B16016" s="7">
        <v>1</v>
      </c>
      <c r="C16016" s="7" t="s">
        <v>10</v>
      </c>
      <c r="D16016" s="7">
        <v>20984</v>
      </c>
      <c r="E16016" s="7" t="s">
        <v>17</v>
      </c>
      <c r="F16016" s="8" t="str">
        <f ca="1">IFERROR(__xludf.DUMMYFUNCTION("IF
(
C16017=""фізична особа""
,
VLOOKUP(D16017,IMPORTRANGE(""https://docs.google.com/spreadsheets/d/14Bd19lYaqBhU8_DElYkX7l4wRkHqqCUFNJY4AfY3kHU/edit?usp=sharing  #gid=0"",""фіз особи new!relations_name""),6,FALSE)
,
(IF
(
C16017=""юридична особа""
,
VLOO"&amp;"KUP(D16017,IMPORTRANGE(""https://docs.google.com/spreadsheets/d/14Bd19lYaqBhU8_DElYkX7l4wRkHqqCUFNJY4AfY3kHU/edit?usp=sharing  #gid=0"",""фіз особи new!relations_name_uo""),7,FALSE)
,
)
))"),"КОНДРАХІН Леонтій Андрійович")</f>
        <v>КОНДРАХІН Леонтій Андрійович</v>
      </c>
      <c r="G16016" s="7" t="s">
        <v>10</v>
      </c>
      <c r="H16016" s="7">
        <v>2182</v>
      </c>
      <c r="I16016" s="8" t="str">
        <f ca="1">IFERROR(__xludf.DUMMYFUNCTION("IF
(
G16017=""фізична особа""
,
VLOOKUP(H16017,IMPORTRANGE(""https://docs.google.com/spreadsheets/d/14Bd19lYaqBhU8_DElYkX7l4wRkHqqCUFNJY4AfY3kHU/edit?usp=sharing  #gid=0"",""фіз особи new!relations_name""),6,FALSE)
,
(IF
(
G16017=""юридична особа""
,
VLOO"&amp;"KUP(H16017,IMPORTRANGE(""https://docs.google.com/spreadsheets/d/14Bd19lYaqBhU8_DElYkX7l4wRkHqqCUFNJY4AfY3kHU/edit?usp=sharing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J16016" s="7" t="s">
        <v>21</v>
      </c>
    </row>
    <row r="16017" spans="1:10" ht="13.2">
      <c r="A16017" s="7">
        <v>16016</v>
      </c>
      <c r="B16017" s="7">
        <v>1</v>
      </c>
      <c r="C16017" s="7" t="s">
        <v>10</v>
      </c>
      <c r="D16017" s="7">
        <v>20985</v>
      </c>
      <c r="E16017" s="7" t="s">
        <v>13</v>
      </c>
      <c r="F16017" s="8" t="str">
        <f ca="1">IFERROR(__xludf.DUMMYFUNCTION("IF
(
C16018=""фізична особа""
,
VLOOKUP(D16018,IMPORTRANGE(""https://docs.google.com/spreadsheets/d/14Bd19lYaqBhU8_DElYkX7l4wRkHqqCUFNJY4AfY3kHU/edit?usp=sharing  #gid=0"",""фіз особи new!relations_name""),6,FALSE)
,
(IF
(
C16018=""юридична особа""
,
VLOO"&amp;"KUP(D16018,IMPORTRANGE(""https://docs.google.com/spreadsheets/d/14Bd19lYaqBhU8_DElYkX7l4wRkHqqCUFNJY4AfY3kHU/edit?usp=sharing  #gid=0"",""фіз особи new!relations_name_uo""),7,FALSE)
,
)
))"),"КОНДРАХІНА Меланія Андріївна")</f>
        <v>КОНДРАХІНА Меланія Андріївна</v>
      </c>
      <c r="G16017" s="7" t="s">
        <v>10</v>
      </c>
      <c r="H16017" s="7">
        <v>2182</v>
      </c>
      <c r="I16017" s="8" t="str">
        <f ca="1">IFERROR(__xludf.DUMMYFUNCTION("IF
(
G16018=""фізична особа""
,
VLOOKUP(H16018,IMPORTRANGE(""https://docs.google.com/spreadsheets/d/14Bd19lYaqBhU8_DElYkX7l4wRkHqqCUFNJY4AfY3kHU/edit?usp=sharing  #gid=0"",""фіз особи new!relations_name""),6,FALSE)
,
(IF
(
G16018=""юридична особа""
,
VLOO"&amp;"KUP(H16018,IMPORTRANGE(""https://docs.google.com/spreadsheets/d/14Bd19lYaqBhU8_DElYkX7l4wRkHqqCUFNJY4AfY3kHU/edit?usp=sharing  #gid=0"",""фіз особи new!relations_name_uo""),7,FALSE)
,
)
))"),"КАНДЕЛАКІ Тінатін Гівіївна")</f>
        <v>КАНДЕЛАКІ Тінатін Гівіївна</v>
      </c>
      <c r="J16017" s="7" t="s">
        <v>21</v>
      </c>
    </row>
    <row r="16018" spans="1:10" ht="13.2">
      <c r="A16018" s="7">
        <v>16017</v>
      </c>
      <c r="B16018" s="7">
        <v>1</v>
      </c>
      <c r="C16018" s="7" t="s">
        <v>10</v>
      </c>
      <c r="D16018" s="7">
        <v>20994</v>
      </c>
      <c r="E16018" s="7" t="s">
        <v>17</v>
      </c>
      <c r="F16018" s="8" t="str">
        <f ca="1">IFERROR(__xludf.DUMMYFUNCTION("IF
(
C16019=""фізична особа""
,
VLOOKUP(D16019,IMPORTRANGE(""https://docs.google.com/spreadsheets/d/14Bd19lYaqBhU8_DElYkX7l4wRkHqqCUFNJY4AfY3kHU/edit?usp=sharing  #gid=0"",""фіз особи new!relations_name""),6,FALSE)
,
(IF
(
C16019=""юридична особа""
,
VLOO"&amp;"KUP(D16019,IMPORTRANGE(""https://docs.google.com/spreadsheets/d/14Bd19lYaqBhU8_DElYkX7l4wRkHqqCUFNJY4AfY3kHU/edit?usp=sharing  #gid=0"",""фіз особи new!relations_name_uo""),7,FALSE)
,
)
))"),"СЕРДЮКОВ Сергій Анатолійович")</f>
        <v>СЕРДЮКОВ Сергій Анатолійович</v>
      </c>
      <c r="G16018" s="7" t="s">
        <v>10</v>
      </c>
      <c r="H16018" s="7">
        <v>2158</v>
      </c>
      <c r="I16018" s="8" t="str">
        <f ca="1">IFERROR(__xludf.DUMMYFUNCTION("IF
(
G16019=""фізична особа""
,
VLOOKUP(H16019,IMPORTRANGE(""https://docs.google.com/spreadsheets/d/14Bd19lYaqBhU8_DElYkX7l4wRkHqqCUFNJY4AfY3kHU/edit?usp=sharing  #gid=0"",""фіз особи new!relations_name""),6,FALSE)
,
(IF
(
G16019=""юридична особа""
,
VLOO"&amp;"KUP(H16019,IMPORTRANGE(""https://docs.google.com/spreadsheets/d/14Bd19lYaqBhU8_DElYkX7l4wRkHqqCUFNJY4AfY3kHU/edit?usp=sharing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16018" s="7" t="s">
        <v>12</v>
      </c>
    </row>
    <row r="16019" spans="1:10" ht="13.2">
      <c r="A16019" s="7">
        <v>16018</v>
      </c>
      <c r="B16019" s="7">
        <v>1</v>
      </c>
      <c r="C16019" s="7" t="s">
        <v>10</v>
      </c>
      <c r="D16019" s="7">
        <v>20995</v>
      </c>
      <c r="E16019" s="7" t="s">
        <v>13</v>
      </c>
      <c r="F16019" s="8" t="str">
        <f ca="1">IFERROR(__xludf.DUMMYFUNCTION("IF
(
C16020=""фізична особа""
,
VLOOKUP(D16020,IMPORTRANGE(""https://docs.google.com/spreadsheets/d/14Bd19lYaqBhU8_DElYkX7l4wRkHqqCUFNJY4AfY3kHU/edit?usp=sharing  #gid=0"",""фіз особи new!relations_name""),6,FALSE)
,
(IF
(
C16020=""юридична особа""
,
VLOO"&amp;"KUP(D16020,IMPORTRANGE(""https://docs.google.com/spreadsheets/d/14Bd19lYaqBhU8_DElYkX7l4wRkHqqCUFNJY4AfY3kHU/edit?usp=sharing  #gid=0"",""фіз особи new!relations_name_uo""),7,FALSE)
,
)
))"),"СЕРДЮКОВА Наталія Анатоліївна")</f>
        <v>СЕРДЮКОВА Наталія Анатоліївна</v>
      </c>
      <c r="G16019" s="7" t="s">
        <v>10</v>
      </c>
      <c r="H16019" s="7">
        <v>2158</v>
      </c>
      <c r="I16019" s="8" t="str">
        <f ca="1">IFERROR(__xludf.DUMMYFUNCTION("IF
(
G16020=""фізична особа""
,
VLOOKUP(H16020,IMPORTRANGE(""https://docs.google.com/spreadsheets/d/14Bd19lYaqBhU8_DElYkX7l4wRkHqqCUFNJY4AfY3kHU/edit?usp=sharing  #gid=0"",""фіз особи new!relations_name""),6,FALSE)
,
(IF
(
G16020=""юридична особа""
,
VLOO"&amp;"KUP(H16020,IMPORTRANGE(""https://docs.google.com/spreadsheets/d/14Bd19lYaqBhU8_DElYkX7l4wRkHqqCUFNJY4AfY3kHU/edit?usp=sharing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16019" s="7" t="s">
        <v>12</v>
      </c>
    </row>
    <row r="16020" spans="1:10" ht="13.2">
      <c r="A16020" s="7">
        <v>16019</v>
      </c>
      <c r="B16020" s="7">
        <v>1</v>
      </c>
      <c r="C16020" s="7" t="s">
        <v>10</v>
      </c>
      <c r="D16020" s="7">
        <v>20999</v>
      </c>
      <c r="E16020" s="7" t="s">
        <v>15</v>
      </c>
      <c r="F16020" s="8" t="str">
        <f ca="1">IFERROR(__xludf.DUMMYFUNCTION("IF
(
C16021=""фізична особа""
,
VLOOKUP(D16021,IMPORTRANGE(""https://docs.google.com/spreadsheets/d/14Bd19lYaqBhU8_DElYkX7l4wRkHqqCUFNJY4AfY3kHU/edit?usp=sharing  #gid=0"",""фіз особи new!relations_name""),6,FALSE)
,
(IF
(
C16021=""юридична особа""
,
VLOO"&amp;"KUP(D16021,IMPORTRANGE(""https://docs.google.com/spreadsheets/d/14Bd19lYaqBhU8_DElYkX7l4wRkHqqCUFNJY4AfY3kHU/edit?usp=sharing  #gid=0"",""фіз особи new!relations_name_uo""),7,FALSE)
,
)
))"),"МИЛЯВСЬКА Лоліта Марківна")</f>
        <v>МИЛЯВСЬКА Лоліта Марківна</v>
      </c>
      <c r="G16020" s="7" t="s">
        <v>10</v>
      </c>
      <c r="H16020" s="7">
        <v>2158</v>
      </c>
      <c r="I16020" s="8" t="str">
        <f ca="1">IFERROR(__xludf.DUMMYFUNCTION("IF
(
G16021=""фізична особа""
,
VLOOKUP(H16021,IMPORTRANGE(""https://docs.google.com/spreadsheets/d/14Bd19lYaqBhU8_DElYkX7l4wRkHqqCUFNJY4AfY3kHU/edit?usp=sharing  #gid=0"",""фіз особи new!relations_name""),6,FALSE)
,
(IF
(
G16021=""юридична особа""
,
VLOO"&amp;"KUP(H16021,IMPORTRANGE(""https://docs.google.com/spreadsheets/d/14Bd19lYaqBhU8_DElYkX7l4wRkHqqCUFNJY4AfY3kHU/edit?usp=sharing  #gid=0"",""фіз особи new!relations_name_uo""),7,FALSE)
,
)
))"),"СЕРДЮКОВ Анатолій Едуардович")</f>
        <v>СЕРДЮКОВ Анатолій Едуардович</v>
      </c>
      <c r="J16020" s="7" t="s">
        <v>14</v>
      </c>
    </row>
    <row r="16021" spans="1:10" ht="13.2">
      <c r="A16021" s="7">
        <v>16020</v>
      </c>
      <c r="B16021" s="7">
        <v>1</v>
      </c>
      <c r="C16021" s="7" t="s">
        <v>10</v>
      </c>
      <c r="D16021" s="7">
        <v>21718</v>
      </c>
      <c r="E16021" s="7" t="s">
        <v>28</v>
      </c>
      <c r="F16021" s="8" t="str">
        <f ca="1">IFERROR(__xludf.DUMMYFUNCTION("IF
(
C16022=""фізична особа""
,
VLOOKUP(D16022,IMPORTRANGE(""https://docs.google.com/spreadsheets/d/14Bd19lYaqBhU8_DElYkX7l4wRkHqqCUFNJY4AfY3kHU/edit?usp=sharing  #gid=0"",""фіз особи new!relations_name""),6,FALSE)
,
(IF
(
C16022=""юридична особа""
,
VLOO"&amp;"KUP(D16022,IMPORTRANGE(""https://docs.google.com/spreadsheets/d/14Bd19lYaqBhU8_DElYkX7l4wRkHqqCUFNJY4AfY3kHU/edit?usp=sharing  #gid=0"",""фіз особи new!relations_name_uo""),7,FALSE)
,
)
))"),"ВОЛК Ірина Володимирівна")</f>
        <v>ВОЛК Ірина Володимирівна</v>
      </c>
      <c r="G16021" s="7" t="s">
        <v>10</v>
      </c>
      <c r="H16021" s="7">
        <v>849</v>
      </c>
      <c r="I16021" s="8" t="str">
        <f ca="1">IFERROR(__xludf.DUMMYFUNCTION("IF
(
G16022=""фізична особа""
,
VLOOKUP(H16022,IMPORTRANGE(""https://docs.google.com/spreadsheets/d/14Bd19lYaqBhU8_DElYkX7l4wRkHqqCUFNJY4AfY3kHU/edit?usp=sharing  #gid=0"",""фіз особи new!relations_name""),6,FALSE)
,
(IF
(
G16022=""юридична особа""
,
VLOO"&amp;"KUP(H16022,IMPORTRANGE(""https://docs.google.com/spreadsheets/d/14Bd19lYaqBhU8_DElYkX7l4wRkHqqCUFNJY4AfY3kHU/edit?usp=sharing  #gid=0"",""фіз особи new!relations_name_uo""),7,FALSE)
,
)
))"),"КОЛОКОЛЬЦЕВ Володимир Олександрович")</f>
        <v>КОЛОКОЛЬЦЕВ Володимир Олександрович</v>
      </c>
      <c r="J16021" s="7" t="s">
        <v>29</v>
      </c>
    </row>
    <row r="16022" spans="1:10" ht="13.2">
      <c r="A16022" s="7">
        <v>16021</v>
      </c>
      <c r="B16022" s="7">
        <v>1</v>
      </c>
      <c r="C16022" s="7" t="s">
        <v>10</v>
      </c>
      <c r="D16022" s="7">
        <v>22864</v>
      </c>
      <c r="E16022" s="7" t="s">
        <v>20</v>
      </c>
      <c r="F16022" s="8" t="str">
        <f ca="1">IFERROR(__xludf.DUMMYFUNCTION("IF
(
C16023=""фізична особа""
,
VLOOKUP(D16023,IMPORTRANGE(""https://docs.google.com/spreadsheets/d/14Bd19lYaqBhU8_DElYkX7l4wRkHqqCUFNJY4AfY3kHU/edit?usp=sharing  #gid=0"",""фіз особи new!relations_name""),6,FALSE)
,
(IF
(
C16023=""юридична особа""
,
VLOO"&amp;"KUP(D16023,IMPORTRANGE(""https://docs.google.com/spreadsheets/d/14Bd19lYaqBhU8_DElYkX7l4wRkHqqCUFNJY4AfY3kHU/edit?usp=sharing  #gid=0"",""фіз особи new!relations_name_uo""),7,FALSE)
,
)
))"),"ІСМАЇЛОВ Санжар Зуннурович")</f>
        <v>ІСМАЇЛОВ Санжар Зуннурович</v>
      </c>
      <c r="G16022" s="7" t="s">
        <v>10</v>
      </c>
      <c r="H16022" s="7">
        <v>19</v>
      </c>
      <c r="I16022" s="8" t="str">
        <f ca="1">IFERROR(__xludf.DUMMYFUNCTION("IF
(
G16023=""фізична особа""
,
VLOOKUP(H16023,IMPORTRANGE(""https://docs.google.com/spreadsheets/d/14Bd19lYaqBhU8_DElYkX7l4wRkHqqCUFNJY4AfY3kHU/edit?usp=sharing  #gid=0"",""фіз особи new!relations_name""),6,FALSE)
,
(IF
(
G16023=""юридична особа""
,
VLOO"&amp;"KUP(H16023,IMPORTRANGE(""https://docs.google.com/spreadsheets/d/14Bd19lYaqBhU8_DElYkX7l4wRkHqqCUFNJY4AfY3kHU/edit?usp=sharing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J16022" s="7" t="s">
        <v>19</v>
      </c>
    </row>
    <row r="16023" spans="1:10" ht="13.2">
      <c r="A16023" s="7">
        <v>16022</v>
      </c>
      <c r="B16023" s="7">
        <v>1</v>
      </c>
      <c r="C16023" s="7" t="s">
        <v>10</v>
      </c>
      <c r="D16023" s="7">
        <v>22864</v>
      </c>
      <c r="E16023" s="7" t="s">
        <v>17</v>
      </c>
      <c r="F16023" s="8" t="str">
        <f ca="1">IFERROR(__xludf.DUMMYFUNCTION("IF
(
C16024=""фізична особа""
,
VLOOKUP(D16024,IMPORTRANGE(""https://docs.google.com/spreadsheets/d/14Bd19lYaqBhU8_DElYkX7l4wRkHqqCUFNJY4AfY3kHU/edit?usp=sharing  #gid=0"",""фіз особи new!relations_name""),6,FALSE)
,
(IF
(
C16024=""юридична особа""
,
VLOO"&amp;"KUP(D16024,IMPORTRANGE(""https://docs.google.com/spreadsheets/d/14Bd19lYaqBhU8_DElYkX7l4wRkHqqCUFNJY4AfY3kHU/edit?usp=sharing  #gid=0"",""фіз особи new!relations_name_uo""),7,FALSE)
,
)
))"),"ІСМАЇЛОВ Санжар Зуннурович")</f>
        <v>ІСМАЇЛОВ Санжар Зуннурович</v>
      </c>
      <c r="G16023" s="7" t="s">
        <v>10</v>
      </c>
      <c r="H16023" s="7">
        <v>4368</v>
      </c>
      <c r="I16023" s="8" t="str">
        <f ca="1">IFERROR(__xludf.DUMMYFUNCTION("IF
(
G16024=""фізична особа""
,
VLOOKUP(H16024,IMPORTRANGE(""https://docs.google.com/spreadsheets/d/14Bd19lYaqBhU8_DElYkX7l4wRkHqqCUFNJY4AfY3kHU/edit?usp=sharing  #gid=0"",""фіз особи new!relations_name""),6,FALSE)
,
(IF
(
G16024=""юридична особа""
,
VLOO"&amp;"KUP(H16024,IMPORTRANGE(""https://docs.google.com/spreadsheets/d/14Bd19lYaqBhU8_DElYkX7l4wRkHqqCUFNJY4AfY3kHU/edit?usp=sharing  #gid=0"",""фіз особи new!relations_name_uo""),7,FALSE)
,
)
))"),"ІСМАІЛОВА Гульбахор")</f>
        <v>ІСМАІЛОВА Гульбахор</v>
      </c>
      <c r="J16023" s="7" t="s">
        <v>21</v>
      </c>
    </row>
    <row r="16024" spans="1:10" ht="13.2">
      <c r="A16024" s="7">
        <v>16023</v>
      </c>
      <c r="B16024" s="7">
        <v>1</v>
      </c>
      <c r="C16024" s="7" t="s">
        <v>10</v>
      </c>
      <c r="D16024" s="7">
        <v>22865</v>
      </c>
      <c r="E16024" s="7" t="s">
        <v>20</v>
      </c>
      <c r="F16024" s="8" t="str">
        <f ca="1">IFERROR(__xludf.DUMMYFUNCTION("IF
(
C16025=""фізична особа""
,
VLOOKUP(D16025,IMPORTRANGE(""https://docs.google.com/spreadsheets/d/14Bd19lYaqBhU8_DElYkX7l4wRkHqqCUFNJY4AfY3kHU/edit?usp=sharing  #gid=0"",""фіз особи new!relations_name""),6,FALSE)
,
(IF
(
C16025=""юридична особа""
,
VLOO"&amp;"KUP(D16025,IMPORTRANGE(""https://docs.google.com/spreadsheets/d/14Bd19lYaqBhU8_DElYkX7l4wRkHqqCUFNJY4AfY3kHU/edit?usp=sharing  #gid=0"",""фіз особи new!relations_name_uo""),7,FALSE)
,
)
))"),"ІСМАЇЛОВ Сарвар")</f>
        <v>ІСМАЇЛОВ Сарвар</v>
      </c>
      <c r="G16024" s="7" t="s">
        <v>10</v>
      </c>
      <c r="H16024" s="7">
        <v>19</v>
      </c>
      <c r="I16024" s="8" t="str">
        <f ca="1">IFERROR(__xludf.DUMMYFUNCTION("IF
(
G16025=""фізична особа""
,
VLOOKUP(H16025,IMPORTRANGE(""https://docs.google.com/spreadsheets/d/14Bd19lYaqBhU8_DElYkX7l4wRkHqqCUFNJY4AfY3kHU/edit?usp=sharing  #gid=0"",""фіз особи new!relations_name""),6,FALSE)
,
(IF
(
G16025=""юридична особа""
,
VLOO"&amp;"KUP(H16025,IMPORTRANGE(""https://docs.google.com/spreadsheets/d/14Bd19lYaqBhU8_DElYkX7l4wRkHqqCUFNJY4AfY3kHU/edit?usp=sharing  #gid=0"",""фіз особи new!relations_name_uo""),7,FALSE)
,
)
))"),"УСМАНОВ Алішер Бурханович")</f>
        <v>УСМАНОВ Алішер Бурханович</v>
      </c>
      <c r="J16024" s="7" t="s">
        <v>19</v>
      </c>
    </row>
    <row r="16025" spans="1:10" ht="13.2">
      <c r="A16025" s="7">
        <v>16024</v>
      </c>
      <c r="B16025" s="7">
        <v>1</v>
      </c>
      <c r="C16025" s="7" t="s">
        <v>10</v>
      </c>
      <c r="D16025" s="7">
        <v>2021</v>
      </c>
      <c r="E16025" s="7" t="s">
        <v>120</v>
      </c>
      <c r="F16025" s="8" t="str">
        <f ca="1">IFERROR(__xludf.DUMMYFUNCTION("IF
(
C16026=""фізична особа""
,
VLOOKUP(D16026,IMPORTRANGE(""https://docs.google.com/spreadsheets/d/14Bd19lYaqBhU8_DElYkX7l4wRkHqqCUFNJY4AfY3kHU/edit?usp=sharing  #gid=0"",""фіз особи new!relations_name""),6,FALSE)
,
(IF
(
C16026=""юридична особа""
,
VLOO"&amp;"KUP(D16026,IMPORTRANGE(""https://docs.google.com/spreadsheets/d/14Bd19lYaqBhU8_DElYkX7l4wRkHqqCUFNJY4AfY3kHU/edit?usp=sharing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25" s="7" t="s">
        <v>10</v>
      </c>
      <c r="H16025" s="7">
        <v>23352</v>
      </c>
      <c r="I16025" s="8" t="str">
        <f ca="1">IFERROR(__xludf.DUMMYFUNCTION("IF
(
G16026=""фізична особа""
,
VLOOKUP(H16026,IMPORTRANGE(""https://docs.google.com/spreadsheets/d/14Bd19lYaqBhU8_DElYkX7l4wRkHqqCUFNJY4AfY3kHU/edit?usp=sharing  #gid=0"",""фіз особи new!relations_name""),6,FALSE)
,
(IF
(
G16026=""юридична особа""
,
VLOO"&amp;"KUP(H16026,IMPORTRANGE(""https://docs.google.com/spreadsheets/d/14Bd19lYaqBhU8_DElYkX7l4wRkHqqCUFNJY4AfY3kHU/edit?usp=sharing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25" s="7" t="s">
        <v>48</v>
      </c>
    </row>
    <row r="16026" spans="1:10" ht="13.2">
      <c r="A16026" s="7">
        <v>16025</v>
      </c>
      <c r="B16026" s="7">
        <v>1</v>
      </c>
      <c r="C16026" s="7" t="s">
        <v>10</v>
      </c>
      <c r="D16026" s="7">
        <v>2021</v>
      </c>
      <c r="E16026" s="7" t="s">
        <v>120</v>
      </c>
      <c r="F16026" s="8" t="str">
        <f ca="1">IFERROR(__xludf.DUMMYFUNCTION("IF
(
C16027=""фізична особа""
,
VLOOKUP(D16027,IMPORTRANGE(""https://docs.google.com/spreadsheets/d/14Bd19lYaqBhU8_DElYkX7l4wRkHqqCUFNJY4AfY3kHU/edit?usp=sharing  #gid=0"",""фіз особи new!relations_name""),6,FALSE)
,
(IF
(
C16027=""юридична особа""
,
VLOO"&amp;"KUP(D16027,IMPORTRANGE(""https://docs.google.com/spreadsheets/d/14Bd19lYaqBhU8_DElYkX7l4wRkHqqCUFNJY4AfY3kHU/edit?usp=sharing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26" s="7" t="s">
        <v>10</v>
      </c>
      <c r="H16026" s="7">
        <v>737</v>
      </c>
      <c r="I16026" s="8" t="str">
        <f ca="1">IFERROR(__xludf.DUMMYFUNCTION("IF
(
G16027=""фізична особа""
,
VLOOKUP(H16027,IMPORTRANGE(""https://docs.google.com/spreadsheets/d/14Bd19lYaqBhU8_DElYkX7l4wRkHqqCUFNJY4AfY3kHU/edit?usp=sharing  #gid=0"",""фіз особи new!relations_name""),6,FALSE)
,
(IF
(
G16027=""юридична особа""
,
VLOO"&amp;"KUP(H16027,IMPORTRANGE(""https://docs.google.com/spreadsheets/d/14Bd19lYaqBhU8_DElYkX7l4wRkHqqCUFNJY4AfY3kHU/edit?usp=sharing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26" s="7" t="s">
        <v>48</v>
      </c>
    </row>
    <row r="16027" spans="1:10" ht="13.2">
      <c r="A16027" s="7">
        <v>16026</v>
      </c>
      <c r="B16027" s="7">
        <v>1</v>
      </c>
      <c r="C16027" s="7" t="s">
        <v>10</v>
      </c>
      <c r="D16027" s="7">
        <v>2021</v>
      </c>
      <c r="E16027" s="7" t="s">
        <v>120</v>
      </c>
      <c r="F16027" s="8" t="str">
        <f ca="1">IFERROR(__xludf.DUMMYFUNCTION("IF
(
C16028=""фізична особа""
,
VLOOKUP(D16028,IMPORTRANGE(""https://docs.google.com/spreadsheets/d/14Bd19lYaqBhU8_DElYkX7l4wRkHqqCUFNJY4AfY3kHU/edit?usp=sharing  #gid=0"",""фіз особи new!relations_name""),6,FALSE)
,
(IF
(
C16028=""юридична особа""
,
VLOO"&amp;"KUP(D16028,IMPORTRANGE(""https://docs.google.com/spreadsheets/d/14Bd19lYaqBhU8_DElYkX7l4wRkHqqCUFNJY4AfY3kHU/edit?usp=sharing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27" s="7" t="s">
        <v>10</v>
      </c>
      <c r="H16027" s="7">
        <v>468</v>
      </c>
      <c r="I16027" s="8" t="str">
        <f ca="1">IFERROR(__xludf.DUMMYFUNCTION("IF
(
G16028=""фізична особа""
,
VLOOKUP(H16028,IMPORTRANGE(""https://docs.google.com/spreadsheets/d/14Bd19lYaqBhU8_DElYkX7l4wRkHqqCUFNJY4AfY3kHU/edit?usp=sharing  #gid=0"",""фіз особи new!relations_name""),6,FALSE)
,
(IF
(
G16028=""юридична особа""
,
VLOO"&amp;"KUP(H16028,IMPORTRANGE(""https://docs.google.com/spreadsheets/d/14Bd19lYaqBhU8_DElYkX7l4wRkHqqCUFNJY4AfY3kHU/edit?usp=sharing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27" s="7" t="s">
        <v>48</v>
      </c>
    </row>
    <row r="16028" spans="1:10" ht="13.2">
      <c r="A16028" s="7">
        <v>16027</v>
      </c>
      <c r="B16028" s="7">
        <v>1</v>
      </c>
      <c r="C16028" s="7" t="s">
        <v>10</v>
      </c>
      <c r="D16028" s="7">
        <v>2021</v>
      </c>
      <c r="E16028" s="7" t="s">
        <v>120</v>
      </c>
      <c r="F16028" s="8" t="str">
        <f ca="1">IFERROR(__xludf.DUMMYFUNCTION("IF
(
C16029=""фізична особа""
,
VLOOKUP(D16029,IMPORTRANGE(""https://docs.google.com/spreadsheets/d/14Bd19lYaqBhU8_DElYkX7l4wRkHqqCUFNJY4AfY3kHU/edit?usp=sharing  #gid=0"",""фіз особи new!relations_name""),6,FALSE)
,
(IF
(
C16029=""юридична особа""
,
VLOO"&amp;"KUP(D16029,IMPORTRANGE(""https://docs.google.com/spreadsheets/d/14Bd19lYaqBhU8_DElYkX7l4wRkHqqCUFNJY4AfY3kHU/edit?usp=sharing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28" s="7" t="s">
        <v>10</v>
      </c>
      <c r="H16028" s="7">
        <v>859</v>
      </c>
      <c r="I16028" s="8" t="str">
        <f ca="1">IFERROR(__xludf.DUMMYFUNCTION("IF
(
G16029=""фізична особа""
,
VLOOKUP(H16029,IMPORTRANGE(""https://docs.google.com/spreadsheets/d/14Bd19lYaqBhU8_DElYkX7l4wRkHqqCUFNJY4AfY3kHU/edit?usp=sharing  #gid=0"",""фіз особи new!relations_name""),6,FALSE)
,
(IF
(
G16029=""юридична особа""
,
VLOO"&amp;"KUP(H16029,IMPORTRANGE(""https://docs.google.com/spreadsheets/d/14Bd19lYaqBhU8_DElYkX7l4wRkHqqCUFNJY4AfY3kHU/edit?usp=sharing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28" s="7" t="s">
        <v>48</v>
      </c>
    </row>
    <row r="16029" spans="1:10" ht="13.2">
      <c r="A16029" s="7">
        <v>16028</v>
      </c>
      <c r="B16029" s="7">
        <v>1</v>
      </c>
      <c r="C16029" s="7" t="s">
        <v>10</v>
      </c>
      <c r="D16029" s="7">
        <v>2021</v>
      </c>
      <c r="E16029" s="7" t="s">
        <v>120</v>
      </c>
      <c r="F16029" s="8" t="str">
        <f ca="1">IFERROR(__xludf.DUMMYFUNCTION("IF
(
C16030=""фізична особа""
,
VLOOKUP(D16030,IMPORTRANGE(""https://docs.google.com/spreadsheets/d/14Bd19lYaqBhU8_DElYkX7l4wRkHqqCUFNJY4AfY3kHU/edit?usp=sharing  #gid=0"",""фіз особи new!relations_name""),6,FALSE)
,
(IF
(
C16030=""юридична особа""
,
VLOO"&amp;"KUP(D16030,IMPORTRANGE(""https://docs.google.com/spreadsheets/d/14Bd19lYaqBhU8_DElYkX7l4wRkHqqCUFNJY4AfY3kHU/edit?usp=sharing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29" s="7" t="s">
        <v>10</v>
      </c>
      <c r="H16029" s="7">
        <v>4022</v>
      </c>
      <c r="I16029" s="8" t="str">
        <f ca="1">IFERROR(__xludf.DUMMYFUNCTION("IF
(
G16030=""фізична особа""
,
VLOOKUP(H16030,IMPORTRANGE(""https://docs.google.com/spreadsheets/d/14Bd19lYaqBhU8_DElYkX7l4wRkHqqCUFNJY4AfY3kHU/edit?usp=sharing  #gid=0"",""фіз особи new!relations_name""),6,FALSE)
,
(IF
(
G16030=""юридична особа""
,
VLOO"&amp;"KUP(H16030,IMPORTRANGE(""https://docs.google.com/spreadsheets/d/14Bd19lYaqBhU8_DElYkX7l4wRkHqqCUFNJY4AfY3kHU/edit?usp=sharing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29" s="7" t="s">
        <v>48</v>
      </c>
    </row>
    <row r="16030" spans="1:10" ht="13.2">
      <c r="A16030" s="7">
        <v>16029</v>
      </c>
      <c r="B16030" s="7">
        <v>1</v>
      </c>
      <c r="C16030" s="7" t="s">
        <v>10</v>
      </c>
      <c r="D16030" s="7">
        <v>2021</v>
      </c>
      <c r="E16030" s="7" t="s">
        <v>120</v>
      </c>
      <c r="F16030" s="8" t="str">
        <f ca="1">IFERROR(__xludf.DUMMYFUNCTION("IF
(
C16031=""фізична особа""
,
VLOOKUP(D16031,IMPORTRANGE(""https://docs.google.com/spreadsheets/d/14Bd19lYaqBhU8_DElYkX7l4wRkHqqCUFNJY4AfY3kHU/edit?usp=sharing  #gid=0"",""фіз особи new!relations_name""),6,FALSE)
,
(IF
(
C16031=""юридична особа""
,
VLOO"&amp;"KUP(D16031,IMPORTRANGE(""https://docs.google.com/spreadsheets/d/14Bd19lYaqBhU8_DElYkX7l4wRkHqqCUFNJY4AfY3kHU/edit?usp=sharing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G16030" s="7" t="s">
        <v>10</v>
      </c>
      <c r="H16030" s="7">
        <v>8913</v>
      </c>
      <c r="I16030" s="8" t="str">
        <f ca="1">IFERROR(__xludf.DUMMYFUNCTION("IF
(
G16031=""фізична особа""
,
VLOOKUP(H16031,IMPORTRANGE(""https://docs.google.com/spreadsheets/d/14Bd19lYaqBhU8_DElYkX7l4wRkHqqCUFNJY4AfY3kHU/edit?usp=sharing  #gid=0"",""фіз особи new!relations_name""),6,FALSE)
,
(IF
(
G16031=""юридична особа""
,
VLOO"&amp;"KUP(H16031,IMPORTRANGE(""https://docs.google.com/spreadsheets/d/14Bd19lYaqBhU8_DElYkX7l4wRkHqqCUFNJY4AfY3kHU/edit?usp=sharing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30" s="7" t="s">
        <v>48</v>
      </c>
    </row>
    <row r="16031" spans="1:10" ht="13.2">
      <c r="A16031" s="7">
        <v>16030</v>
      </c>
      <c r="B16031" s="7">
        <v>1</v>
      </c>
      <c r="C16031" s="7" t="s">
        <v>10</v>
      </c>
      <c r="D16031" s="7">
        <v>23352</v>
      </c>
      <c r="E16031" s="7" t="s">
        <v>48</v>
      </c>
      <c r="F16031" s="8" t="str">
        <f ca="1">IFERROR(__xludf.DUMMYFUNCTION("IF
(
C16032=""фізична особа""
,
VLOOKUP(D16032,IMPORTRANGE(""https://docs.google.com/spreadsheets/d/14Bd19lYaqBhU8_DElYkX7l4wRkHqqCUFNJY4AfY3kHU/edit?usp=sharing  #gid=0"",""фіз особи new!relations_name""),6,FALSE)
,
(IF
(
C16032=""юридична особа""
,
VLOO"&amp;"KUP(D16032,IMPORTRANGE(""https://docs.google.com/spreadsheets/d/14Bd19lYaqBhU8_DElYkX7l4wRkHqqCUFNJY4AfY3kHU/edit?usp=sharing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1" s="7" t="s">
        <v>10</v>
      </c>
      <c r="H16031" s="7">
        <v>2021</v>
      </c>
      <c r="I16031" s="8" t="str">
        <f ca="1">IFERROR(__xludf.DUMMYFUNCTION("IF
(
G16032=""фізична особа""
,
VLOOKUP(H16032,IMPORTRANGE(""https://docs.google.com/spreadsheets/d/14Bd19lYaqBhU8_DElYkX7l4wRkHqqCUFNJY4AfY3kHU/edit?usp=sharing  #gid=0"",""фіз особи new!relations_name""),6,FALSE)
,
(IF
(
G16032=""юридична особа""
,
VLOO"&amp;"KUP(H16032,IMPORTRANGE(""https://docs.google.com/spreadsheets/d/14Bd19lYaqBhU8_DElYkX7l4wRkHqqCUFNJY4AfY3kHU/edit?usp=sharing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31" s="9" t="s">
        <v>120</v>
      </c>
    </row>
    <row r="16032" spans="1:10" ht="13.2">
      <c r="A16032" s="7">
        <v>16031</v>
      </c>
      <c r="B16032" s="7">
        <v>1</v>
      </c>
      <c r="C16032" s="7" t="s">
        <v>10</v>
      </c>
      <c r="D16032" s="7">
        <v>23352</v>
      </c>
      <c r="E16032" s="7" t="s">
        <v>48</v>
      </c>
      <c r="F16032" s="8" t="str">
        <f ca="1">IFERROR(__xludf.DUMMYFUNCTION("IF
(
C16033=""фізична особа""
,
VLOOKUP(D16033,IMPORTRANGE(""https://docs.google.com/spreadsheets/d/14Bd19lYaqBhU8_DElYkX7l4wRkHqqCUFNJY4AfY3kHU/edit?usp=sharing  #gid=0"",""фіз особи new!relations_name""),6,FALSE)
,
(IF
(
C16033=""юридична особа""
,
VLOO"&amp;"KUP(D16033,IMPORTRANGE(""https://docs.google.com/spreadsheets/d/14Bd19lYaqBhU8_DElYkX7l4wRkHqqCUFNJY4AfY3kHU/edit?usp=sharing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2" s="7" t="s">
        <v>10</v>
      </c>
      <c r="H16032" s="7">
        <v>737</v>
      </c>
      <c r="I16032" s="8" t="str">
        <f ca="1">IFERROR(__xludf.DUMMYFUNCTION("IF
(
G16033=""фізична особа""
,
VLOOKUP(H16033,IMPORTRANGE(""https://docs.google.com/spreadsheets/d/14Bd19lYaqBhU8_DElYkX7l4wRkHqqCUFNJY4AfY3kHU/edit?usp=sharing  #gid=0"",""фіз особи new!relations_name""),6,FALSE)
,
(IF
(
G16033=""юридична особа""
,
VLOO"&amp;"KUP(H16033,IMPORTRANGE(""https://docs.google.com/spreadsheets/d/14Bd19lYaqBhU8_DElYkX7l4wRkHqqCUFNJY4AfY3kHU/edit?usp=sharing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32" s="7" t="s">
        <v>48</v>
      </c>
    </row>
    <row r="16033" spans="1:10" ht="13.2">
      <c r="A16033" s="7">
        <v>16032</v>
      </c>
      <c r="B16033" s="7">
        <v>1</v>
      </c>
      <c r="C16033" s="7" t="s">
        <v>10</v>
      </c>
      <c r="D16033" s="7">
        <v>23352</v>
      </c>
      <c r="E16033" s="7" t="s">
        <v>48</v>
      </c>
      <c r="F16033" s="8" t="str">
        <f ca="1">IFERROR(__xludf.DUMMYFUNCTION("IF
(
C16034=""фізична особа""
,
VLOOKUP(D16034,IMPORTRANGE(""https://docs.google.com/spreadsheets/d/14Bd19lYaqBhU8_DElYkX7l4wRkHqqCUFNJY4AfY3kHU/edit?usp=sharing  #gid=0"",""фіз особи new!relations_name""),6,FALSE)
,
(IF
(
C16034=""юридична особа""
,
VLOO"&amp;"KUP(D16034,IMPORTRANGE(""https://docs.google.com/spreadsheets/d/14Bd19lYaqBhU8_DElYkX7l4wRkHqqCUFNJY4AfY3kHU/edit?usp=sharing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3" s="7" t="s">
        <v>10</v>
      </c>
      <c r="H16033" s="7">
        <v>468</v>
      </c>
      <c r="I16033" s="8" t="str">
        <f ca="1">IFERROR(__xludf.DUMMYFUNCTION("IF
(
G16034=""фізична особа""
,
VLOOKUP(H16034,IMPORTRANGE(""https://docs.google.com/spreadsheets/d/14Bd19lYaqBhU8_DElYkX7l4wRkHqqCUFNJY4AfY3kHU/edit?usp=sharing  #gid=0"",""фіз особи new!relations_name""),6,FALSE)
,
(IF
(
G16034=""юридична особа""
,
VLOO"&amp;"KUP(H16034,IMPORTRANGE(""https://docs.google.com/spreadsheets/d/14Bd19lYaqBhU8_DElYkX7l4wRkHqqCUFNJY4AfY3kHU/edit?usp=sharing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33" s="7" t="s">
        <v>48</v>
      </c>
    </row>
    <row r="16034" spans="1:10" ht="13.2">
      <c r="A16034" s="7">
        <v>16033</v>
      </c>
      <c r="B16034" s="7">
        <v>1</v>
      </c>
      <c r="C16034" s="7" t="s">
        <v>10</v>
      </c>
      <c r="D16034" s="7">
        <v>23352</v>
      </c>
      <c r="E16034" s="7" t="s">
        <v>48</v>
      </c>
      <c r="F16034" s="8" t="str">
        <f ca="1">IFERROR(__xludf.DUMMYFUNCTION("IF
(
C16035=""фізична особа""
,
VLOOKUP(D16035,IMPORTRANGE(""https://docs.google.com/spreadsheets/d/14Bd19lYaqBhU8_DElYkX7l4wRkHqqCUFNJY4AfY3kHU/edit?usp=sharing  #gid=0"",""фіз особи new!relations_name""),6,FALSE)
,
(IF
(
C16035=""юридична особа""
,
VLOO"&amp;"KUP(D16035,IMPORTRANGE(""https://docs.google.com/spreadsheets/d/14Bd19lYaqBhU8_DElYkX7l4wRkHqqCUFNJY4AfY3kHU/edit?usp=sharing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4" s="7" t="s">
        <v>10</v>
      </c>
      <c r="H16034" s="7">
        <v>859</v>
      </c>
      <c r="I16034" s="8" t="str">
        <f ca="1">IFERROR(__xludf.DUMMYFUNCTION("IF
(
G16035=""фізична особа""
,
VLOOKUP(H16035,IMPORTRANGE(""https://docs.google.com/spreadsheets/d/14Bd19lYaqBhU8_DElYkX7l4wRkHqqCUFNJY4AfY3kHU/edit?usp=sharing  #gid=0"",""фіз особи new!relations_name""),6,FALSE)
,
(IF
(
G16035=""юридична особа""
,
VLOO"&amp;"KUP(H16035,IMPORTRANGE(""https://docs.google.com/spreadsheets/d/14Bd19lYaqBhU8_DElYkX7l4wRkHqqCUFNJY4AfY3kHU/edit?usp=sharing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34" s="7" t="s">
        <v>48</v>
      </c>
    </row>
    <row r="16035" spans="1:10" ht="13.2">
      <c r="A16035" s="7">
        <v>16034</v>
      </c>
      <c r="B16035" s="7">
        <v>1</v>
      </c>
      <c r="C16035" s="7" t="s">
        <v>10</v>
      </c>
      <c r="D16035" s="7">
        <v>23352</v>
      </c>
      <c r="E16035" s="7" t="s">
        <v>48</v>
      </c>
      <c r="F16035" s="8" t="str">
        <f ca="1">IFERROR(__xludf.DUMMYFUNCTION("IF
(
C16036=""фізична особа""
,
VLOOKUP(D16036,IMPORTRANGE(""https://docs.google.com/spreadsheets/d/14Bd19lYaqBhU8_DElYkX7l4wRkHqqCUFNJY4AfY3kHU/edit?usp=sharing  #gid=0"",""фіз особи new!relations_name""),6,FALSE)
,
(IF
(
C16036=""юридична особа""
,
VLOO"&amp;"KUP(D16036,IMPORTRANGE(""https://docs.google.com/spreadsheets/d/14Bd19lYaqBhU8_DElYkX7l4wRkHqqCUFNJY4AfY3kHU/edit?usp=sharing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5" s="7" t="s">
        <v>10</v>
      </c>
      <c r="H16035" s="7">
        <v>4022</v>
      </c>
      <c r="I16035" s="8" t="str">
        <f ca="1">IFERROR(__xludf.DUMMYFUNCTION("IF
(
G16036=""фізична особа""
,
VLOOKUP(H16036,IMPORTRANGE(""https://docs.google.com/spreadsheets/d/14Bd19lYaqBhU8_DElYkX7l4wRkHqqCUFNJY4AfY3kHU/edit?usp=sharing  #gid=0"",""фіз особи new!relations_name""),6,FALSE)
,
(IF
(
G16036=""юридична особа""
,
VLOO"&amp;"KUP(H16036,IMPORTRANGE(""https://docs.google.com/spreadsheets/d/14Bd19lYaqBhU8_DElYkX7l4wRkHqqCUFNJY4AfY3kHU/edit?usp=sharing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35" s="7" t="s">
        <v>48</v>
      </c>
    </row>
    <row r="16036" spans="1:10" ht="13.2">
      <c r="A16036" s="7">
        <v>16035</v>
      </c>
      <c r="B16036" s="7">
        <v>1</v>
      </c>
      <c r="C16036" s="7" t="s">
        <v>10</v>
      </c>
      <c r="D16036" s="7">
        <v>23352</v>
      </c>
      <c r="E16036" s="7" t="s">
        <v>48</v>
      </c>
      <c r="F16036" s="8" t="str">
        <f ca="1">IFERROR(__xludf.DUMMYFUNCTION("IF
(
C16037=""фізична особа""
,
VLOOKUP(D16037,IMPORTRANGE(""https://docs.google.com/spreadsheets/d/14Bd19lYaqBhU8_DElYkX7l4wRkHqqCUFNJY4AfY3kHU/edit?usp=sharing  #gid=0"",""фіз особи new!relations_name""),6,FALSE)
,
(IF
(
C16037=""юридична особа""
,
VLOO"&amp;"KUP(D16037,IMPORTRANGE(""https://docs.google.com/spreadsheets/d/14Bd19lYaqBhU8_DElYkX7l4wRkHqqCUFNJY4AfY3kHU/edit?usp=sharing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G16036" s="7" t="s">
        <v>10</v>
      </c>
      <c r="H16036" s="7">
        <v>8913</v>
      </c>
      <c r="I16036" s="8" t="str">
        <f ca="1">IFERROR(__xludf.DUMMYFUNCTION("IF
(
G16037=""фізична особа""
,
VLOOKUP(H16037,IMPORTRANGE(""https://docs.google.com/spreadsheets/d/14Bd19lYaqBhU8_DElYkX7l4wRkHqqCUFNJY4AfY3kHU/edit?usp=sharing  #gid=0"",""фіз особи new!relations_name""),6,FALSE)
,
(IF
(
G16037=""юридична особа""
,
VLOO"&amp;"KUP(H16037,IMPORTRANGE(""https://docs.google.com/spreadsheets/d/14Bd19lYaqBhU8_DElYkX7l4wRkHqqCUFNJY4AfY3kHU/edit?usp=sharing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36" s="7" t="s">
        <v>48</v>
      </c>
    </row>
    <row r="16037" spans="1:10" ht="13.2">
      <c r="A16037" s="7">
        <v>16036</v>
      </c>
      <c r="B16037" s="7">
        <v>1</v>
      </c>
      <c r="C16037" s="7" t="s">
        <v>10</v>
      </c>
      <c r="D16037" s="7">
        <v>737</v>
      </c>
      <c r="E16037" s="7" t="s">
        <v>48</v>
      </c>
      <c r="F16037" s="8" t="str">
        <f ca="1">IFERROR(__xludf.DUMMYFUNCTION("IF
(
C16038=""фізична особа""
,
VLOOKUP(D16038,IMPORTRANGE(""https://docs.google.com/spreadsheets/d/14Bd19lYaqBhU8_DElYkX7l4wRkHqqCUFNJY4AfY3kHU/edit?usp=sharing  #gid=0"",""фіз особи new!relations_name""),6,FALSE)
,
(IF
(
C16038=""юридична особа""
,
VLOO"&amp;"KUP(D16038,IMPORTRANGE(""https://docs.google.com/spreadsheets/d/14Bd19lYaqBhU8_DElYkX7l4wRkHqqCUFNJY4AfY3kHU/edit?usp=sharing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37" s="7" t="s">
        <v>10</v>
      </c>
      <c r="H16037" s="7">
        <v>2021</v>
      </c>
      <c r="I16037" s="8" t="str">
        <f ca="1">IFERROR(__xludf.DUMMYFUNCTION("IF
(
G16038=""фізична особа""
,
VLOOKUP(H16038,IMPORTRANGE(""https://docs.google.com/spreadsheets/d/14Bd19lYaqBhU8_DElYkX7l4wRkHqqCUFNJY4AfY3kHU/edit?usp=sharing  #gid=0"",""фіз особи new!relations_name""),6,FALSE)
,
(IF
(
G16038=""юридична особа""
,
VLOO"&amp;"KUP(H16038,IMPORTRANGE(""https://docs.google.com/spreadsheets/d/14Bd19lYaqBhU8_DElYkX7l4wRkHqqCUFNJY4AfY3kHU/edit?usp=sharing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37" s="9" t="s">
        <v>120</v>
      </c>
    </row>
    <row r="16038" spans="1:10" ht="13.2">
      <c r="A16038" s="7">
        <v>16037</v>
      </c>
      <c r="B16038" s="7">
        <v>1</v>
      </c>
      <c r="C16038" s="7" t="s">
        <v>10</v>
      </c>
      <c r="D16038" s="7">
        <v>737</v>
      </c>
      <c r="E16038" s="7" t="s">
        <v>48</v>
      </c>
      <c r="F16038" s="8" t="str">
        <f ca="1">IFERROR(__xludf.DUMMYFUNCTION("IF
(
C16039=""фізична особа""
,
VLOOKUP(D16039,IMPORTRANGE(""https://docs.google.com/spreadsheets/d/14Bd19lYaqBhU8_DElYkX7l4wRkHqqCUFNJY4AfY3kHU/edit?usp=sharing  #gid=0"",""фіз особи new!relations_name""),6,FALSE)
,
(IF
(
C16039=""юридична особа""
,
VLOO"&amp;"KUP(D16039,IMPORTRANGE(""https://docs.google.com/spreadsheets/d/14Bd19lYaqBhU8_DElYkX7l4wRkHqqCUFNJY4AfY3kHU/edit?usp=sharing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38" s="7" t="s">
        <v>10</v>
      </c>
      <c r="H16038" s="7">
        <v>23352</v>
      </c>
      <c r="I16038" s="8" t="str">
        <f ca="1">IFERROR(__xludf.DUMMYFUNCTION("IF
(
G16039=""фізична особа""
,
VLOOKUP(H16039,IMPORTRANGE(""https://docs.google.com/spreadsheets/d/14Bd19lYaqBhU8_DElYkX7l4wRkHqqCUFNJY4AfY3kHU/edit?usp=sharing  #gid=0"",""фіз особи new!relations_name""),6,FALSE)
,
(IF
(
G16039=""юридична особа""
,
VLOO"&amp;"KUP(H16039,IMPORTRANGE(""https://docs.google.com/spreadsheets/d/14Bd19lYaqBhU8_DElYkX7l4wRkHqqCUFNJY4AfY3kHU/edit?usp=sharing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38" s="7" t="s">
        <v>48</v>
      </c>
    </row>
    <row r="16039" spans="1:10" ht="13.2">
      <c r="A16039" s="7">
        <v>16038</v>
      </c>
      <c r="B16039" s="7">
        <v>1</v>
      </c>
      <c r="C16039" s="7" t="s">
        <v>10</v>
      </c>
      <c r="D16039" s="7">
        <v>737</v>
      </c>
      <c r="E16039" s="7" t="s">
        <v>48</v>
      </c>
      <c r="F16039" s="8" t="str">
        <f ca="1">IFERROR(__xludf.DUMMYFUNCTION("IF
(
C16040=""фізична особа""
,
VLOOKUP(D16040,IMPORTRANGE(""https://docs.google.com/spreadsheets/d/14Bd19lYaqBhU8_DElYkX7l4wRkHqqCUFNJY4AfY3kHU/edit?usp=sharing  #gid=0"",""фіз особи new!relations_name""),6,FALSE)
,
(IF
(
C16040=""юридична особа""
,
VLOO"&amp;"KUP(D16040,IMPORTRANGE(""https://docs.google.com/spreadsheets/d/14Bd19lYaqBhU8_DElYkX7l4wRkHqqCUFNJY4AfY3kHU/edit?usp=sharing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39" s="7" t="s">
        <v>10</v>
      </c>
      <c r="H16039" s="7">
        <v>468</v>
      </c>
      <c r="I16039" s="8" t="str">
        <f ca="1">IFERROR(__xludf.DUMMYFUNCTION("IF
(
G16040=""фізична особа""
,
VLOOKUP(H16040,IMPORTRANGE(""https://docs.google.com/spreadsheets/d/14Bd19lYaqBhU8_DElYkX7l4wRkHqqCUFNJY4AfY3kHU/edit?usp=sharing  #gid=0"",""фіз особи new!relations_name""),6,FALSE)
,
(IF
(
G16040=""юридична особа""
,
VLOO"&amp;"KUP(H16040,IMPORTRANGE(""https://docs.google.com/spreadsheets/d/14Bd19lYaqBhU8_DElYkX7l4wRkHqqCUFNJY4AfY3kHU/edit?usp=sharing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39" s="7" t="s">
        <v>48</v>
      </c>
    </row>
    <row r="16040" spans="1:10" ht="13.2">
      <c r="A16040" s="7">
        <v>16039</v>
      </c>
      <c r="B16040" s="7">
        <v>1</v>
      </c>
      <c r="C16040" s="7" t="s">
        <v>10</v>
      </c>
      <c r="D16040" s="7">
        <v>737</v>
      </c>
      <c r="E16040" s="7" t="s">
        <v>48</v>
      </c>
      <c r="F16040" s="8" t="str">
        <f ca="1">IFERROR(__xludf.DUMMYFUNCTION("IF
(
C16041=""фізична особа""
,
VLOOKUP(D16041,IMPORTRANGE(""https://docs.google.com/spreadsheets/d/14Bd19lYaqBhU8_DElYkX7l4wRkHqqCUFNJY4AfY3kHU/edit?usp=sharing  #gid=0"",""фіз особи new!relations_name""),6,FALSE)
,
(IF
(
C16041=""юридична особа""
,
VLOO"&amp;"KUP(D16041,IMPORTRANGE(""https://docs.google.com/spreadsheets/d/14Bd19lYaqBhU8_DElYkX7l4wRkHqqCUFNJY4AfY3kHU/edit?usp=sharing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40" s="7" t="s">
        <v>10</v>
      </c>
      <c r="H16040" s="7">
        <v>859</v>
      </c>
      <c r="I16040" s="8" t="str">
        <f ca="1">IFERROR(__xludf.DUMMYFUNCTION("IF
(
G16041=""фізична особа""
,
VLOOKUP(H16041,IMPORTRANGE(""https://docs.google.com/spreadsheets/d/14Bd19lYaqBhU8_DElYkX7l4wRkHqqCUFNJY4AfY3kHU/edit?usp=sharing  #gid=0"",""фіз особи new!relations_name""),6,FALSE)
,
(IF
(
G16041=""юридична особа""
,
VLOO"&amp;"KUP(H16041,IMPORTRANGE(""https://docs.google.com/spreadsheets/d/14Bd19lYaqBhU8_DElYkX7l4wRkHqqCUFNJY4AfY3kHU/edit?usp=sharing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40" s="7" t="s">
        <v>48</v>
      </c>
    </row>
    <row r="16041" spans="1:10" ht="13.2">
      <c r="A16041" s="7">
        <v>16040</v>
      </c>
      <c r="B16041" s="7">
        <v>1</v>
      </c>
      <c r="C16041" s="7" t="s">
        <v>10</v>
      </c>
      <c r="D16041" s="7">
        <v>737</v>
      </c>
      <c r="E16041" s="7" t="s">
        <v>48</v>
      </c>
      <c r="F16041" s="8" t="str">
        <f ca="1">IFERROR(__xludf.DUMMYFUNCTION("IF
(
C16042=""фізична особа""
,
VLOOKUP(D16042,IMPORTRANGE(""https://docs.google.com/spreadsheets/d/14Bd19lYaqBhU8_DElYkX7l4wRkHqqCUFNJY4AfY3kHU/edit?usp=sharing  #gid=0"",""фіз особи new!relations_name""),6,FALSE)
,
(IF
(
C16042=""юридична особа""
,
VLOO"&amp;"KUP(D16042,IMPORTRANGE(""https://docs.google.com/spreadsheets/d/14Bd19lYaqBhU8_DElYkX7l4wRkHqqCUFNJY4AfY3kHU/edit?usp=sharing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41" s="7" t="s">
        <v>10</v>
      </c>
      <c r="H16041" s="7">
        <v>4022</v>
      </c>
      <c r="I16041" s="8" t="str">
        <f ca="1">IFERROR(__xludf.DUMMYFUNCTION("IF
(
G16042=""фізична особа""
,
VLOOKUP(H16042,IMPORTRANGE(""https://docs.google.com/spreadsheets/d/14Bd19lYaqBhU8_DElYkX7l4wRkHqqCUFNJY4AfY3kHU/edit?usp=sharing  #gid=0"",""фіз особи new!relations_name""),6,FALSE)
,
(IF
(
G16042=""юридична особа""
,
VLOO"&amp;"KUP(H16042,IMPORTRANGE(""https://docs.google.com/spreadsheets/d/14Bd19lYaqBhU8_DElYkX7l4wRkHqqCUFNJY4AfY3kHU/edit?usp=sharing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41" s="7" t="s">
        <v>48</v>
      </c>
    </row>
    <row r="16042" spans="1:10" ht="13.2">
      <c r="A16042" s="7">
        <v>16041</v>
      </c>
      <c r="B16042" s="7">
        <v>1</v>
      </c>
      <c r="C16042" s="7" t="s">
        <v>10</v>
      </c>
      <c r="D16042" s="7">
        <v>737</v>
      </c>
      <c r="E16042" s="7" t="s">
        <v>48</v>
      </c>
      <c r="F16042" s="8" t="str">
        <f ca="1">IFERROR(__xludf.DUMMYFUNCTION("IF
(
C16043=""фізична особа""
,
VLOOKUP(D16043,IMPORTRANGE(""https://docs.google.com/spreadsheets/d/14Bd19lYaqBhU8_DElYkX7l4wRkHqqCUFNJY4AfY3kHU/edit?usp=sharing  #gid=0"",""фіз особи new!relations_name""),6,FALSE)
,
(IF
(
C16043=""юридична особа""
,
VLOO"&amp;"KUP(D16043,IMPORTRANGE(""https://docs.google.com/spreadsheets/d/14Bd19lYaqBhU8_DElYkX7l4wRkHqqCUFNJY4AfY3kHU/edit?usp=sharing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G16042" s="7" t="s">
        <v>10</v>
      </c>
      <c r="H16042" s="7">
        <v>8913</v>
      </c>
      <c r="I16042" s="8" t="str">
        <f ca="1">IFERROR(__xludf.DUMMYFUNCTION("IF
(
G16043=""фізична особа""
,
VLOOKUP(H16043,IMPORTRANGE(""https://docs.google.com/spreadsheets/d/14Bd19lYaqBhU8_DElYkX7l4wRkHqqCUFNJY4AfY3kHU/edit?usp=sharing  #gid=0"",""фіз особи new!relations_name""),6,FALSE)
,
(IF
(
G16043=""юридична особа""
,
VLOO"&amp;"KUP(H16043,IMPORTRANGE(""https://docs.google.com/spreadsheets/d/14Bd19lYaqBhU8_DElYkX7l4wRkHqqCUFNJY4AfY3kHU/edit?usp=sharing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42" s="7" t="s">
        <v>48</v>
      </c>
    </row>
    <row r="16043" spans="1:10" ht="13.2">
      <c r="A16043" s="7">
        <v>16042</v>
      </c>
      <c r="B16043" s="7">
        <v>1</v>
      </c>
      <c r="C16043" s="7" t="s">
        <v>10</v>
      </c>
      <c r="D16043" s="7">
        <v>468</v>
      </c>
      <c r="E16043" s="7" t="s">
        <v>48</v>
      </c>
      <c r="F16043" s="8" t="str">
        <f ca="1">IFERROR(__xludf.DUMMYFUNCTION("IF
(
C16044=""фізична особа""
,
VLOOKUP(D16044,IMPORTRANGE(""https://docs.google.com/spreadsheets/d/14Bd19lYaqBhU8_DElYkX7l4wRkHqqCUFNJY4AfY3kHU/edit?usp=sharing  #gid=0"",""фіз особи new!relations_name""),6,FALSE)
,
(IF
(
C16044=""юридична особа""
,
VLOO"&amp;"KUP(D16044,IMPORTRANGE(""https://docs.google.com/spreadsheets/d/14Bd19lYaqBhU8_DElYkX7l4wRkHqqCUFNJY4AfY3kHU/edit?usp=sharing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3" s="7" t="s">
        <v>10</v>
      </c>
      <c r="H16043" s="7">
        <v>2021</v>
      </c>
      <c r="I16043" s="8" t="str">
        <f ca="1">IFERROR(__xludf.DUMMYFUNCTION("IF
(
G16044=""фізична особа""
,
VLOOKUP(H16044,IMPORTRANGE(""https://docs.google.com/spreadsheets/d/14Bd19lYaqBhU8_DElYkX7l4wRkHqqCUFNJY4AfY3kHU/edit?usp=sharing  #gid=0"",""фіз особи new!relations_name""),6,FALSE)
,
(IF
(
G16044=""юридична особа""
,
VLOO"&amp;"KUP(H16044,IMPORTRANGE(""https://docs.google.com/spreadsheets/d/14Bd19lYaqBhU8_DElYkX7l4wRkHqqCUFNJY4AfY3kHU/edit?usp=sharing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43" s="9" t="s">
        <v>120</v>
      </c>
    </row>
    <row r="16044" spans="1:10" ht="13.2">
      <c r="A16044" s="7">
        <v>16043</v>
      </c>
      <c r="B16044" s="7">
        <v>1</v>
      </c>
      <c r="C16044" s="7" t="s">
        <v>10</v>
      </c>
      <c r="D16044" s="7">
        <v>468</v>
      </c>
      <c r="E16044" s="7" t="s">
        <v>48</v>
      </c>
      <c r="F16044" s="8" t="str">
        <f ca="1">IFERROR(__xludf.DUMMYFUNCTION("IF
(
C16045=""фізична особа""
,
VLOOKUP(D16045,IMPORTRANGE(""https://docs.google.com/spreadsheets/d/14Bd19lYaqBhU8_DElYkX7l4wRkHqqCUFNJY4AfY3kHU/edit?usp=sharing  #gid=0"",""фіз особи new!relations_name""),6,FALSE)
,
(IF
(
C16045=""юридична особа""
,
VLOO"&amp;"KUP(D16045,IMPORTRANGE(""https://docs.google.com/spreadsheets/d/14Bd19lYaqBhU8_DElYkX7l4wRkHqqCUFNJY4AfY3kHU/edit?usp=sharing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4" s="7" t="s">
        <v>10</v>
      </c>
      <c r="H16044" s="7">
        <v>23352</v>
      </c>
      <c r="I16044" s="8" t="str">
        <f ca="1">IFERROR(__xludf.DUMMYFUNCTION("IF
(
G16045=""фізична особа""
,
VLOOKUP(H16045,IMPORTRANGE(""https://docs.google.com/spreadsheets/d/14Bd19lYaqBhU8_DElYkX7l4wRkHqqCUFNJY4AfY3kHU/edit?usp=sharing  #gid=0"",""фіз особи new!relations_name""),6,FALSE)
,
(IF
(
G16045=""юридична особа""
,
VLOO"&amp;"KUP(H16045,IMPORTRANGE(""https://docs.google.com/spreadsheets/d/14Bd19lYaqBhU8_DElYkX7l4wRkHqqCUFNJY4AfY3kHU/edit?usp=sharing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44" s="7" t="s">
        <v>48</v>
      </c>
    </row>
    <row r="16045" spans="1:10" ht="13.2">
      <c r="A16045" s="7">
        <v>16044</v>
      </c>
      <c r="B16045" s="7">
        <v>1</v>
      </c>
      <c r="C16045" s="7" t="s">
        <v>10</v>
      </c>
      <c r="D16045" s="7">
        <v>468</v>
      </c>
      <c r="E16045" s="7" t="s">
        <v>48</v>
      </c>
      <c r="F16045" s="8" t="str">
        <f ca="1">IFERROR(__xludf.DUMMYFUNCTION("IF
(
C16046=""фізична особа""
,
VLOOKUP(D16046,IMPORTRANGE(""https://docs.google.com/spreadsheets/d/14Bd19lYaqBhU8_DElYkX7l4wRkHqqCUFNJY4AfY3kHU/edit?usp=sharing  #gid=0"",""фіз особи new!relations_name""),6,FALSE)
,
(IF
(
C16046=""юридична особа""
,
VLOO"&amp;"KUP(D16046,IMPORTRANGE(""https://docs.google.com/spreadsheets/d/14Bd19lYaqBhU8_DElYkX7l4wRkHqqCUFNJY4AfY3kHU/edit?usp=sharing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5" s="7" t="s">
        <v>10</v>
      </c>
      <c r="H16045" s="7">
        <v>737</v>
      </c>
      <c r="I16045" s="8" t="str">
        <f ca="1">IFERROR(__xludf.DUMMYFUNCTION("IF
(
G16046=""фізична особа""
,
VLOOKUP(H16046,IMPORTRANGE(""https://docs.google.com/spreadsheets/d/14Bd19lYaqBhU8_DElYkX7l4wRkHqqCUFNJY4AfY3kHU/edit?usp=sharing  #gid=0"",""фіз особи new!relations_name""),6,FALSE)
,
(IF
(
G16046=""юридична особа""
,
VLOO"&amp;"KUP(H16046,IMPORTRANGE(""https://docs.google.com/spreadsheets/d/14Bd19lYaqBhU8_DElYkX7l4wRkHqqCUFNJY4AfY3kHU/edit?usp=sharing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45" s="7" t="s">
        <v>48</v>
      </c>
    </row>
    <row r="16046" spans="1:10" ht="13.2">
      <c r="A16046" s="7">
        <v>16045</v>
      </c>
      <c r="B16046" s="7">
        <v>1</v>
      </c>
      <c r="C16046" s="7" t="s">
        <v>10</v>
      </c>
      <c r="D16046" s="7">
        <v>468</v>
      </c>
      <c r="E16046" s="7" t="s">
        <v>48</v>
      </c>
      <c r="F16046" s="8" t="str">
        <f ca="1">IFERROR(__xludf.DUMMYFUNCTION("IF
(
C16047=""фізична особа""
,
VLOOKUP(D16047,IMPORTRANGE(""https://docs.google.com/spreadsheets/d/14Bd19lYaqBhU8_DElYkX7l4wRkHqqCUFNJY4AfY3kHU/edit?usp=sharing  #gid=0"",""фіз особи new!relations_name""),6,FALSE)
,
(IF
(
C16047=""юридична особа""
,
VLOO"&amp;"KUP(D16047,IMPORTRANGE(""https://docs.google.com/spreadsheets/d/14Bd19lYaqBhU8_DElYkX7l4wRkHqqCUFNJY4AfY3kHU/edit?usp=sharing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6" s="7" t="s">
        <v>10</v>
      </c>
      <c r="H16046" s="7">
        <v>859</v>
      </c>
      <c r="I16046" s="8" t="str">
        <f ca="1">IFERROR(__xludf.DUMMYFUNCTION("IF
(
G16047=""фізична особа""
,
VLOOKUP(H16047,IMPORTRANGE(""https://docs.google.com/spreadsheets/d/14Bd19lYaqBhU8_DElYkX7l4wRkHqqCUFNJY4AfY3kHU/edit?usp=sharing  #gid=0"",""фіз особи new!relations_name""),6,FALSE)
,
(IF
(
G16047=""юридична особа""
,
VLOO"&amp;"KUP(H16047,IMPORTRANGE(""https://docs.google.com/spreadsheets/d/14Bd19lYaqBhU8_DElYkX7l4wRkHqqCUFNJY4AfY3kHU/edit?usp=sharing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46" s="7" t="s">
        <v>48</v>
      </c>
    </row>
    <row r="16047" spans="1:10" ht="13.2">
      <c r="A16047" s="7">
        <v>16046</v>
      </c>
      <c r="B16047" s="7">
        <v>1</v>
      </c>
      <c r="C16047" s="7" t="s">
        <v>10</v>
      </c>
      <c r="D16047" s="7">
        <v>468</v>
      </c>
      <c r="E16047" s="7" t="s">
        <v>48</v>
      </c>
      <c r="F16047" s="8" t="str">
        <f ca="1">IFERROR(__xludf.DUMMYFUNCTION("IF
(
C16048=""фізична особа""
,
VLOOKUP(D16048,IMPORTRANGE(""https://docs.google.com/spreadsheets/d/14Bd19lYaqBhU8_DElYkX7l4wRkHqqCUFNJY4AfY3kHU/edit?usp=sharing  #gid=0"",""фіз особи new!relations_name""),6,FALSE)
,
(IF
(
C16048=""юридична особа""
,
VLOO"&amp;"KUP(D16048,IMPORTRANGE(""https://docs.google.com/spreadsheets/d/14Bd19lYaqBhU8_DElYkX7l4wRkHqqCUFNJY4AfY3kHU/edit?usp=sharing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7" s="7" t="s">
        <v>10</v>
      </c>
      <c r="H16047" s="7">
        <v>4022</v>
      </c>
      <c r="I16047" s="8" t="str">
        <f ca="1">IFERROR(__xludf.DUMMYFUNCTION("IF
(
G16048=""фізична особа""
,
VLOOKUP(H16048,IMPORTRANGE(""https://docs.google.com/spreadsheets/d/14Bd19lYaqBhU8_DElYkX7l4wRkHqqCUFNJY4AfY3kHU/edit?usp=sharing  #gid=0"",""фіз особи new!relations_name""),6,FALSE)
,
(IF
(
G16048=""юридична особа""
,
VLOO"&amp;"KUP(H16048,IMPORTRANGE(""https://docs.google.com/spreadsheets/d/14Bd19lYaqBhU8_DElYkX7l4wRkHqqCUFNJY4AfY3kHU/edit?usp=sharing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47" s="7" t="s">
        <v>48</v>
      </c>
    </row>
    <row r="16048" spans="1:10" ht="13.2">
      <c r="A16048" s="7">
        <v>16047</v>
      </c>
      <c r="B16048" s="7">
        <v>1</v>
      </c>
      <c r="C16048" s="7" t="s">
        <v>10</v>
      </c>
      <c r="D16048" s="7">
        <v>468</v>
      </c>
      <c r="E16048" s="7" t="s">
        <v>48</v>
      </c>
      <c r="F16048" s="8" t="str">
        <f ca="1">IFERROR(__xludf.DUMMYFUNCTION("IF
(
C16049=""фізична особа""
,
VLOOKUP(D16049,IMPORTRANGE(""https://docs.google.com/spreadsheets/d/14Bd19lYaqBhU8_DElYkX7l4wRkHqqCUFNJY4AfY3kHU/edit?usp=sharing  #gid=0"",""фіз особи new!relations_name""),6,FALSE)
,
(IF
(
C16049=""юридична особа""
,
VLOO"&amp;"KUP(D16049,IMPORTRANGE(""https://docs.google.com/spreadsheets/d/14Bd19lYaqBhU8_DElYkX7l4wRkHqqCUFNJY4AfY3kHU/edit?usp=sharing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G16048" s="7" t="s">
        <v>10</v>
      </c>
      <c r="H16048" s="7">
        <v>8913</v>
      </c>
      <c r="I16048" s="8" t="str">
        <f ca="1">IFERROR(__xludf.DUMMYFUNCTION("IF
(
G16049=""фізична особа""
,
VLOOKUP(H16049,IMPORTRANGE(""https://docs.google.com/spreadsheets/d/14Bd19lYaqBhU8_DElYkX7l4wRkHqqCUFNJY4AfY3kHU/edit?usp=sharing  #gid=0"",""фіз особи new!relations_name""),6,FALSE)
,
(IF
(
G16049=""юридична особа""
,
VLOO"&amp;"KUP(H16049,IMPORTRANGE(""https://docs.google.com/spreadsheets/d/14Bd19lYaqBhU8_DElYkX7l4wRkHqqCUFNJY4AfY3kHU/edit?usp=sharing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48" s="7" t="s">
        <v>48</v>
      </c>
    </row>
    <row r="16049" spans="1:10" ht="13.2">
      <c r="A16049" s="7">
        <v>16048</v>
      </c>
      <c r="B16049" s="7">
        <v>1</v>
      </c>
      <c r="C16049" s="7" t="s">
        <v>10</v>
      </c>
      <c r="D16049" s="7">
        <v>859</v>
      </c>
      <c r="E16049" s="7" t="s">
        <v>48</v>
      </c>
      <c r="F16049" s="8" t="str">
        <f ca="1">IFERROR(__xludf.DUMMYFUNCTION("IF
(
C16050=""фізична особа""
,
VLOOKUP(D16050,IMPORTRANGE(""https://docs.google.com/spreadsheets/d/14Bd19lYaqBhU8_DElYkX7l4wRkHqqCUFNJY4AfY3kHU/edit?usp=sharing  #gid=0"",""фіз особи new!relations_name""),6,FALSE)
,
(IF
(
C16050=""юридична особа""
,
VLOO"&amp;"KUP(D16050,IMPORTRANGE(""https://docs.google.com/spreadsheets/d/14Bd19lYaqBhU8_DElYkX7l4wRkHqqCUFNJY4AfY3kHU/edit?usp=sharing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49" s="7" t="s">
        <v>10</v>
      </c>
      <c r="H16049" s="7">
        <v>2021</v>
      </c>
      <c r="I16049" s="8" t="str">
        <f ca="1">IFERROR(__xludf.DUMMYFUNCTION("IF
(
G16050=""фізична особа""
,
VLOOKUP(H16050,IMPORTRANGE(""https://docs.google.com/spreadsheets/d/14Bd19lYaqBhU8_DElYkX7l4wRkHqqCUFNJY4AfY3kHU/edit?usp=sharing  #gid=0"",""фіз особи new!relations_name""),6,FALSE)
,
(IF
(
G16050=""юридична особа""
,
VLOO"&amp;"KUP(H16050,IMPORTRANGE(""https://docs.google.com/spreadsheets/d/14Bd19lYaqBhU8_DElYkX7l4wRkHqqCUFNJY4AfY3kHU/edit?usp=sharing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49" s="9" t="s">
        <v>120</v>
      </c>
    </row>
    <row r="16050" spans="1:10" ht="13.2">
      <c r="A16050" s="7">
        <v>16049</v>
      </c>
      <c r="B16050" s="7">
        <v>1</v>
      </c>
      <c r="C16050" s="7" t="s">
        <v>10</v>
      </c>
      <c r="D16050" s="7">
        <v>859</v>
      </c>
      <c r="E16050" s="7" t="s">
        <v>48</v>
      </c>
      <c r="F16050" s="8" t="str">
        <f ca="1">IFERROR(__xludf.DUMMYFUNCTION("IF
(
C16051=""фізична особа""
,
VLOOKUP(D16051,IMPORTRANGE(""https://docs.google.com/spreadsheets/d/14Bd19lYaqBhU8_DElYkX7l4wRkHqqCUFNJY4AfY3kHU/edit?usp=sharing  #gid=0"",""фіз особи new!relations_name""),6,FALSE)
,
(IF
(
C16051=""юридична особа""
,
VLOO"&amp;"KUP(D16051,IMPORTRANGE(""https://docs.google.com/spreadsheets/d/14Bd19lYaqBhU8_DElYkX7l4wRkHqqCUFNJY4AfY3kHU/edit?usp=sharing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50" s="7" t="s">
        <v>10</v>
      </c>
      <c r="H16050" s="7">
        <v>23352</v>
      </c>
      <c r="I16050" s="8" t="str">
        <f ca="1">IFERROR(__xludf.DUMMYFUNCTION("IF
(
G16051=""фізична особа""
,
VLOOKUP(H16051,IMPORTRANGE(""https://docs.google.com/spreadsheets/d/14Bd19lYaqBhU8_DElYkX7l4wRkHqqCUFNJY4AfY3kHU/edit?usp=sharing  #gid=0"",""фіз особи new!relations_name""),6,FALSE)
,
(IF
(
G16051=""юридична особа""
,
VLOO"&amp;"KUP(H16051,IMPORTRANGE(""https://docs.google.com/spreadsheets/d/14Bd19lYaqBhU8_DElYkX7l4wRkHqqCUFNJY4AfY3kHU/edit?usp=sharing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50" s="7" t="s">
        <v>48</v>
      </c>
    </row>
    <row r="16051" spans="1:10" ht="13.2">
      <c r="A16051" s="7">
        <v>16050</v>
      </c>
      <c r="B16051" s="7">
        <v>1</v>
      </c>
      <c r="C16051" s="7" t="s">
        <v>10</v>
      </c>
      <c r="D16051" s="7">
        <v>859</v>
      </c>
      <c r="E16051" s="7" t="s">
        <v>48</v>
      </c>
      <c r="F16051" s="8" t="str">
        <f ca="1">IFERROR(__xludf.DUMMYFUNCTION("IF
(
C16052=""фізична особа""
,
VLOOKUP(D16052,IMPORTRANGE(""https://docs.google.com/spreadsheets/d/14Bd19lYaqBhU8_DElYkX7l4wRkHqqCUFNJY4AfY3kHU/edit?usp=sharing  #gid=0"",""фіз особи new!relations_name""),6,FALSE)
,
(IF
(
C16052=""юридична особа""
,
VLOO"&amp;"KUP(D16052,IMPORTRANGE(""https://docs.google.com/spreadsheets/d/14Bd19lYaqBhU8_DElYkX7l4wRkHqqCUFNJY4AfY3kHU/edit?usp=sharing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51" s="7" t="s">
        <v>10</v>
      </c>
      <c r="H16051" s="7">
        <v>737</v>
      </c>
      <c r="I16051" s="8" t="str">
        <f ca="1">IFERROR(__xludf.DUMMYFUNCTION("IF
(
G16052=""фізична особа""
,
VLOOKUP(H16052,IMPORTRANGE(""https://docs.google.com/spreadsheets/d/14Bd19lYaqBhU8_DElYkX7l4wRkHqqCUFNJY4AfY3kHU/edit?usp=sharing  #gid=0"",""фіз особи new!relations_name""),6,FALSE)
,
(IF
(
G16052=""юридична особа""
,
VLOO"&amp;"KUP(H16052,IMPORTRANGE(""https://docs.google.com/spreadsheets/d/14Bd19lYaqBhU8_DElYkX7l4wRkHqqCUFNJY4AfY3kHU/edit?usp=sharing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51" s="7" t="s">
        <v>48</v>
      </c>
    </row>
    <row r="16052" spans="1:10" ht="13.2">
      <c r="A16052" s="7">
        <v>16051</v>
      </c>
      <c r="B16052" s="7">
        <v>1</v>
      </c>
      <c r="C16052" s="7" t="s">
        <v>10</v>
      </c>
      <c r="D16052" s="7">
        <v>859</v>
      </c>
      <c r="E16052" s="7" t="s">
        <v>48</v>
      </c>
      <c r="F16052" s="8" t="str">
        <f ca="1">IFERROR(__xludf.DUMMYFUNCTION("IF
(
C16053=""фізична особа""
,
VLOOKUP(D16053,IMPORTRANGE(""https://docs.google.com/spreadsheets/d/14Bd19lYaqBhU8_DElYkX7l4wRkHqqCUFNJY4AfY3kHU/edit?usp=sharing  #gid=0"",""фіз особи new!relations_name""),6,FALSE)
,
(IF
(
C16053=""юридична особа""
,
VLOO"&amp;"KUP(D16053,IMPORTRANGE(""https://docs.google.com/spreadsheets/d/14Bd19lYaqBhU8_DElYkX7l4wRkHqqCUFNJY4AfY3kHU/edit?usp=sharing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52" s="7" t="s">
        <v>10</v>
      </c>
      <c r="H16052" s="7">
        <v>468</v>
      </c>
      <c r="I16052" s="8" t="str">
        <f ca="1">IFERROR(__xludf.DUMMYFUNCTION("IF
(
G16053=""фізична особа""
,
VLOOKUP(H16053,IMPORTRANGE(""https://docs.google.com/spreadsheets/d/14Bd19lYaqBhU8_DElYkX7l4wRkHqqCUFNJY4AfY3kHU/edit?usp=sharing  #gid=0"",""фіз особи new!relations_name""),6,FALSE)
,
(IF
(
G16053=""юридична особа""
,
VLOO"&amp;"KUP(H16053,IMPORTRANGE(""https://docs.google.com/spreadsheets/d/14Bd19lYaqBhU8_DElYkX7l4wRkHqqCUFNJY4AfY3kHU/edit?usp=sharing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52" s="7" t="s">
        <v>48</v>
      </c>
    </row>
    <row r="16053" spans="1:10" ht="13.2">
      <c r="A16053" s="7">
        <v>16052</v>
      </c>
      <c r="B16053" s="7">
        <v>1</v>
      </c>
      <c r="C16053" s="7" t="s">
        <v>10</v>
      </c>
      <c r="D16053" s="7">
        <v>859</v>
      </c>
      <c r="E16053" s="7" t="s">
        <v>48</v>
      </c>
      <c r="F16053" s="8" t="str">
        <f ca="1">IFERROR(__xludf.DUMMYFUNCTION("IF
(
C16054=""фізична особа""
,
VLOOKUP(D16054,IMPORTRANGE(""https://docs.google.com/spreadsheets/d/14Bd19lYaqBhU8_DElYkX7l4wRkHqqCUFNJY4AfY3kHU/edit?usp=sharing  #gid=0"",""фіз особи new!relations_name""),6,FALSE)
,
(IF
(
C16054=""юридична особа""
,
VLOO"&amp;"KUP(D16054,IMPORTRANGE(""https://docs.google.com/spreadsheets/d/14Bd19lYaqBhU8_DElYkX7l4wRkHqqCUFNJY4AfY3kHU/edit?usp=sharing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53" s="7" t="s">
        <v>10</v>
      </c>
      <c r="H16053" s="7">
        <v>4022</v>
      </c>
      <c r="I16053" s="8" t="str">
        <f ca="1">IFERROR(__xludf.DUMMYFUNCTION("IF
(
G16054=""фізична особа""
,
VLOOKUP(H16054,IMPORTRANGE(""https://docs.google.com/spreadsheets/d/14Bd19lYaqBhU8_DElYkX7l4wRkHqqCUFNJY4AfY3kHU/edit?usp=sharing  #gid=0"",""фіз особи new!relations_name""),6,FALSE)
,
(IF
(
G16054=""юридична особа""
,
VLOO"&amp;"KUP(H16054,IMPORTRANGE(""https://docs.google.com/spreadsheets/d/14Bd19lYaqBhU8_DElYkX7l4wRkHqqCUFNJY4AfY3kHU/edit?usp=sharing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53" s="7" t="s">
        <v>48</v>
      </c>
    </row>
    <row r="16054" spans="1:10" ht="13.2">
      <c r="A16054" s="7">
        <v>16053</v>
      </c>
      <c r="B16054" s="7">
        <v>1</v>
      </c>
      <c r="C16054" s="7" t="s">
        <v>10</v>
      </c>
      <c r="D16054" s="7">
        <v>859</v>
      </c>
      <c r="E16054" s="7" t="s">
        <v>48</v>
      </c>
      <c r="F16054" s="8" t="str">
        <f ca="1">IFERROR(__xludf.DUMMYFUNCTION("IF
(
C16055=""фізична особа""
,
VLOOKUP(D16055,IMPORTRANGE(""https://docs.google.com/spreadsheets/d/14Bd19lYaqBhU8_DElYkX7l4wRkHqqCUFNJY4AfY3kHU/edit?usp=sharing  #gid=0"",""фіз особи new!relations_name""),6,FALSE)
,
(IF
(
C16055=""юридична особа""
,
VLOO"&amp;"KUP(D16055,IMPORTRANGE(""https://docs.google.com/spreadsheets/d/14Bd19lYaqBhU8_DElYkX7l4wRkHqqCUFNJY4AfY3kHU/edit?usp=sharing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G16054" s="7" t="s">
        <v>10</v>
      </c>
      <c r="H16054" s="7">
        <v>8913</v>
      </c>
      <c r="I16054" s="8" t="str">
        <f ca="1">IFERROR(__xludf.DUMMYFUNCTION("IF
(
G16055=""фізична особа""
,
VLOOKUP(H16055,IMPORTRANGE(""https://docs.google.com/spreadsheets/d/14Bd19lYaqBhU8_DElYkX7l4wRkHqqCUFNJY4AfY3kHU/edit?usp=sharing  #gid=0"",""фіз особи new!relations_name""),6,FALSE)
,
(IF
(
G16055=""юридична особа""
,
VLOO"&amp;"KUP(H16055,IMPORTRANGE(""https://docs.google.com/spreadsheets/d/14Bd19lYaqBhU8_DElYkX7l4wRkHqqCUFNJY4AfY3kHU/edit?usp=sharing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54" s="7" t="s">
        <v>48</v>
      </c>
    </row>
    <row r="16055" spans="1:10" ht="13.2">
      <c r="A16055" s="7">
        <v>16054</v>
      </c>
      <c r="B16055" s="7">
        <v>1</v>
      </c>
      <c r="C16055" s="7" t="s">
        <v>10</v>
      </c>
      <c r="D16055" s="7">
        <v>4022</v>
      </c>
      <c r="E16055" s="7" t="s">
        <v>48</v>
      </c>
      <c r="F16055" s="8" t="str">
        <f ca="1">IFERROR(__xludf.DUMMYFUNCTION("IF
(
C16056=""фізична особа""
,
VLOOKUP(D16056,IMPORTRANGE(""https://docs.google.com/spreadsheets/d/14Bd19lYaqBhU8_DElYkX7l4wRkHqqCUFNJY4AfY3kHU/edit?usp=sharing  #gid=0"",""фіз особи new!relations_name""),6,FALSE)
,
(IF
(
C16056=""юридична особа""
,
VLOO"&amp;"KUP(D16056,IMPORTRANGE(""https://docs.google.com/spreadsheets/d/14Bd19lYaqBhU8_DElYkX7l4wRkHqqCUFNJY4AfY3kHU/edit?usp=sharing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55" s="7" t="s">
        <v>10</v>
      </c>
      <c r="H16055" s="7">
        <v>2021</v>
      </c>
      <c r="I16055" s="8" t="str">
        <f ca="1">IFERROR(__xludf.DUMMYFUNCTION("IF
(
G16056=""фізична особа""
,
VLOOKUP(H16056,IMPORTRANGE(""https://docs.google.com/spreadsheets/d/14Bd19lYaqBhU8_DElYkX7l4wRkHqqCUFNJY4AfY3kHU/edit?usp=sharing  #gid=0"",""фіз особи new!relations_name""),6,FALSE)
,
(IF
(
G16056=""юридична особа""
,
VLOO"&amp;"KUP(H16056,IMPORTRANGE(""https://docs.google.com/spreadsheets/d/14Bd19lYaqBhU8_DElYkX7l4wRkHqqCUFNJY4AfY3kHU/edit?usp=sharing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55" s="9" t="s">
        <v>120</v>
      </c>
    </row>
    <row r="16056" spans="1:10" ht="13.2">
      <c r="A16056" s="7">
        <v>16055</v>
      </c>
      <c r="B16056" s="7">
        <v>1</v>
      </c>
      <c r="C16056" s="7" t="s">
        <v>10</v>
      </c>
      <c r="D16056" s="7">
        <v>4022</v>
      </c>
      <c r="E16056" s="7" t="s">
        <v>48</v>
      </c>
      <c r="F16056" s="8" t="str">
        <f ca="1">IFERROR(__xludf.DUMMYFUNCTION("IF
(
C16057=""фізична особа""
,
VLOOKUP(D16057,IMPORTRANGE(""https://docs.google.com/spreadsheets/d/14Bd19lYaqBhU8_DElYkX7l4wRkHqqCUFNJY4AfY3kHU/edit?usp=sharing  #gid=0"",""фіз особи new!relations_name""),6,FALSE)
,
(IF
(
C16057=""юридична особа""
,
VLOO"&amp;"KUP(D16057,IMPORTRANGE(""https://docs.google.com/spreadsheets/d/14Bd19lYaqBhU8_DElYkX7l4wRkHqqCUFNJY4AfY3kHU/edit?usp=sharing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56" s="7" t="s">
        <v>10</v>
      </c>
      <c r="H16056" s="7">
        <v>23352</v>
      </c>
      <c r="I16056" s="8" t="str">
        <f ca="1">IFERROR(__xludf.DUMMYFUNCTION("IF
(
G16057=""фізична особа""
,
VLOOKUP(H16057,IMPORTRANGE(""https://docs.google.com/spreadsheets/d/14Bd19lYaqBhU8_DElYkX7l4wRkHqqCUFNJY4AfY3kHU/edit?usp=sharing  #gid=0"",""фіз особи new!relations_name""),6,FALSE)
,
(IF
(
G16057=""юридична особа""
,
VLOO"&amp;"KUP(H16057,IMPORTRANGE(""https://docs.google.com/spreadsheets/d/14Bd19lYaqBhU8_DElYkX7l4wRkHqqCUFNJY4AfY3kHU/edit?usp=sharing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56" s="7" t="s">
        <v>48</v>
      </c>
    </row>
    <row r="16057" spans="1:10" ht="13.2">
      <c r="A16057" s="7">
        <v>16056</v>
      </c>
      <c r="B16057" s="7">
        <v>1</v>
      </c>
      <c r="C16057" s="7" t="s">
        <v>10</v>
      </c>
      <c r="D16057" s="7">
        <v>4022</v>
      </c>
      <c r="E16057" s="7" t="s">
        <v>48</v>
      </c>
      <c r="F16057" s="8" t="str">
        <f ca="1">IFERROR(__xludf.DUMMYFUNCTION("IF
(
C16058=""фізична особа""
,
VLOOKUP(D16058,IMPORTRANGE(""https://docs.google.com/spreadsheets/d/14Bd19lYaqBhU8_DElYkX7l4wRkHqqCUFNJY4AfY3kHU/edit?usp=sharing  #gid=0"",""фіз особи new!relations_name""),6,FALSE)
,
(IF
(
C16058=""юридична особа""
,
VLOO"&amp;"KUP(D16058,IMPORTRANGE(""https://docs.google.com/spreadsheets/d/14Bd19lYaqBhU8_DElYkX7l4wRkHqqCUFNJY4AfY3kHU/edit?usp=sharing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57" s="7" t="s">
        <v>10</v>
      </c>
      <c r="H16057" s="7">
        <v>737</v>
      </c>
      <c r="I16057" s="8" t="str">
        <f ca="1">IFERROR(__xludf.DUMMYFUNCTION("IF
(
G16058=""фізична особа""
,
VLOOKUP(H16058,IMPORTRANGE(""https://docs.google.com/spreadsheets/d/14Bd19lYaqBhU8_DElYkX7l4wRkHqqCUFNJY4AfY3kHU/edit?usp=sharing  #gid=0"",""фіз особи new!relations_name""),6,FALSE)
,
(IF
(
G16058=""юридична особа""
,
VLOO"&amp;"KUP(H16058,IMPORTRANGE(""https://docs.google.com/spreadsheets/d/14Bd19lYaqBhU8_DElYkX7l4wRkHqqCUFNJY4AfY3kHU/edit?usp=sharing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57" s="7" t="s">
        <v>48</v>
      </c>
    </row>
    <row r="16058" spans="1:10" ht="13.2">
      <c r="A16058" s="7">
        <v>16057</v>
      </c>
      <c r="B16058" s="7">
        <v>1</v>
      </c>
      <c r="C16058" s="7" t="s">
        <v>10</v>
      </c>
      <c r="D16058" s="7">
        <v>4022</v>
      </c>
      <c r="E16058" s="7" t="s">
        <v>48</v>
      </c>
      <c r="F16058" s="8" t="str">
        <f ca="1">IFERROR(__xludf.DUMMYFUNCTION("IF
(
C16059=""фізична особа""
,
VLOOKUP(D16059,IMPORTRANGE(""https://docs.google.com/spreadsheets/d/14Bd19lYaqBhU8_DElYkX7l4wRkHqqCUFNJY4AfY3kHU/edit?usp=sharing  #gid=0"",""фіз особи new!relations_name""),6,FALSE)
,
(IF
(
C16059=""юридична особа""
,
VLOO"&amp;"KUP(D16059,IMPORTRANGE(""https://docs.google.com/spreadsheets/d/14Bd19lYaqBhU8_DElYkX7l4wRkHqqCUFNJY4AfY3kHU/edit?usp=sharing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58" s="7" t="s">
        <v>10</v>
      </c>
      <c r="H16058" s="7">
        <v>468</v>
      </c>
      <c r="I16058" s="8" t="str">
        <f ca="1">IFERROR(__xludf.DUMMYFUNCTION("IF
(
G16059=""фізична особа""
,
VLOOKUP(H16059,IMPORTRANGE(""https://docs.google.com/spreadsheets/d/14Bd19lYaqBhU8_DElYkX7l4wRkHqqCUFNJY4AfY3kHU/edit?usp=sharing  #gid=0"",""фіз особи new!relations_name""),6,FALSE)
,
(IF
(
G16059=""юридична особа""
,
VLOO"&amp;"KUP(H16059,IMPORTRANGE(""https://docs.google.com/spreadsheets/d/14Bd19lYaqBhU8_DElYkX7l4wRkHqqCUFNJY4AfY3kHU/edit?usp=sharing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58" s="7" t="s">
        <v>48</v>
      </c>
    </row>
    <row r="16059" spans="1:10" ht="13.2">
      <c r="A16059" s="7">
        <v>16058</v>
      </c>
      <c r="B16059" s="7">
        <v>1</v>
      </c>
      <c r="C16059" s="7" t="s">
        <v>10</v>
      </c>
      <c r="D16059" s="7">
        <v>4022</v>
      </c>
      <c r="E16059" s="7" t="s">
        <v>48</v>
      </c>
      <c r="F16059" s="8" t="str">
        <f ca="1">IFERROR(__xludf.DUMMYFUNCTION("IF
(
C16060=""фізична особа""
,
VLOOKUP(D16060,IMPORTRANGE(""https://docs.google.com/spreadsheets/d/14Bd19lYaqBhU8_DElYkX7l4wRkHqqCUFNJY4AfY3kHU/edit?usp=sharing  #gid=0"",""фіз особи new!relations_name""),6,FALSE)
,
(IF
(
C16060=""юридична особа""
,
VLOO"&amp;"KUP(D16060,IMPORTRANGE(""https://docs.google.com/spreadsheets/d/14Bd19lYaqBhU8_DElYkX7l4wRkHqqCUFNJY4AfY3kHU/edit?usp=sharing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59" s="7" t="s">
        <v>10</v>
      </c>
      <c r="H16059" s="7">
        <v>859</v>
      </c>
      <c r="I16059" s="8" t="str">
        <f ca="1">IFERROR(__xludf.DUMMYFUNCTION("IF
(
G16060=""фізична особа""
,
VLOOKUP(H16060,IMPORTRANGE(""https://docs.google.com/spreadsheets/d/14Bd19lYaqBhU8_DElYkX7l4wRkHqqCUFNJY4AfY3kHU/edit?usp=sharing  #gid=0"",""фіз особи new!relations_name""),6,FALSE)
,
(IF
(
G16060=""юридична особа""
,
VLOO"&amp;"KUP(H16060,IMPORTRANGE(""https://docs.google.com/spreadsheets/d/14Bd19lYaqBhU8_DElYkX7l4wRkHqqCUFNJY4AfY3kHU/edit?usp=sharing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59" s="7" t="s">
        <v>48</v>
      </c>
    </row>
    <row r="16060" spans="1:10" ht="13.2">
      <c r="A16060" s="7">
        <v>16059</v>
      </c>
      <c r="B16060" s="7">
        <v>1</v>
      </c>
      <c r="C16060" s="7" t="s">
        <v>10</v>
      </c>
      <c r="D16060" s="7">
        <v>4022</v>
      </c>
      <c r="E16060" s="7" t="s">
        <v>48</v>
      </c>
      <c r="F16060" s="8" t="str">
        <f ca="1">IFERROR(__xludf.DUMMYFUNCTION("IF
(
C16061=""фізична особа""
,
VLOOKUP(D16061,IMPORTRANGE(""https://docs.google.com/spreadsheets/d/14Bd19lYaqBhU8_DElYkX7l4wRkHqqCUFNJY4AfY3kHU/edit?usp=sharing  #gid=0"",""фіз особи new!relations_name""),6,FALSE)
,
(IF
(
C16061=""юридична особа""
,
VLOO"&amp;"KUP(D16061,IMPORTRANGE(""https://docs.google.com/spreadsheets/d/14Bd19lYaqBhU8_DElYkX7l4wRkHqqCUFNJY4AfY3kHU/edit?usp=sharing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G16060" s="7" t="s">
        <v>10</v>
      </c>
      <c r="H16060" s="7">
        <v>8913</v>
      </c>
      <c r="I16060" s="8" t="str">
        <f ca="1">IFERROR(__xludf.DUMMYFUNCTION("IF
(
G16061=""фізична особа""
,
VLOOKUP(H16061,IMPORTRANGE(""https://docs.google.com/spreadsheets/d/14Bd19lYaqBhU8_DElYkX7l4wRkHqqCUFNJY4AfY3kHU/edit?usp=sharing  #gid=0"",""фіз особи new!relations_name""),6,FALSE)
,
(IF
(
G16061=""юридична особа""
,
VLOO"&amp;"KUP(H16061,IMPORTRANGE(""https://docs.google.com/spreadsheets/d/14Bd19lYaqBhU8_DElYkX7l4wRkHqqCUFNJY4AfY3kHU/edit?usp=sharing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60" s="7" t="s">
        <v>48</v>
      </c>
    </row>
    <row r="16061" spans="1:10" ht="13.2">
      <c r="A16061" s="7">
        <v>16060</v>
      </c>
      <c r="B16061" s="7">
        <v>1</v>
      </c>
      <c r="C16061" s="7" t="s">
        <v>10</v>
      </c>
      <c r="D16061" s="7">
        <v>8913</v>
      </c>
      <c r="E16061" s="7" t="s">
        <v>48</v>
      </c>
      <c r="F16061" s="8" t="str">
        <f ca="1">IFERROR(__xludf.DUMMYFUNCTION("IF
(
C16062=""фізична особа""
,
VLOOKUP(D16062,IMPORTRANGE(""https://docs.google.com/spreadsheets/d/14Bd19lYaqBhU8_DElYkX7l4wRkHqqCUFNJY4AfY3kHU/edit?usp=sharing  #gid=0"",""фіз особи new!relations_name""),6,FALSE)
,
(IF
(
C16062=""юридична особа""
,
VLOO"&amp;"KUP(D16062,IMPORTRANGE(""https://docs.google.com/spreadsheets/d/14Bd19lYaqBhU8_DElYkX7l4wRkHqqCUFNJY4AfY3kHU/edit?usp=sharing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1" s="7" t="s">
        <v>10</v>
      </c>
      <c r="H16061" s="7">
        <v>2021</v>
      </c>
      <c r="I16061" s="8" t="str">
        <f ca="1">IFERROR(__xludf.DUMMYFUNCTION("IF
(
G16062=""фізична особа""
,
VLOOKUP(H16062,IMPORTRANGE(""https://docs.google.com/spreadsheets/d/14Bd19lYaqBhU8_DElYkX7l4wRkHqqCUFNJY4AfY3kHU/edit?usp=sharing  #gid=0"",""фіз особи new!relations_name""),6,FALSE)
,
(IF
(
G16062=""юридична особа""
,
VLOO"&amp;"KUP(H16062,IMPORTRANGE(""https://docs.google.com/spreadsheets/d/14Bd19lYaqBhU8_DElYkX7l4wRkHqqCUFNJY4AfY3kHU/edit?usp=sharing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61" s="9" t="s">
        <v>120</v>
      </c>
    </row>
    <row r="16062" spans="1:10" ht="13.2">
      <c r="A16062" s="7">
        <v>16061</v>
      </c>
      <c r="B16062" s="7">
        <v>1</v>
      </c>
      <c r="C16062" s="7" t="s">
        <v>10</v>
      </c>
      <c r="D16062" s="7">
        <v>8913</v>
      </c>
      <c r="E16062" s="7" t="s">
        <v>48</v>
      </c>
      <c r="F16062" s="8" t="str">
        <f ca="1">IFERROR(__xludf.DUMMYFUNCTION("IF
(
C16063=""фізична особа""
,
VLOOKUP(D16063,IMPORTRANGE(""https://docs.google.com/spreadsheets/d/14Bd19lYaqBhU8_DElYkX7l4wRkHqqCUFNJY4AfY3kHU/edit?usp=sharing  #gid=0"",""фіз особи new!relations_name""),6,FALSE)
,
(IF
(
C16063=""юридична особа""
,
VLOO"&amp;"KUP(D16063,IMPORTRANGE(""https://docs.google.com/spreadsheets/d/14Bd19lYaqBhU8_DElYkX7l4wRkHqqCUFNJY4AfY3kHU/edit?usp=sharing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2" s="7" t="s">
        <v>10</v>
      </c>
      <c r="H16062" s="7">
        <v>23352</v>
      </c>
      <c r="I16062" s="8" t="str">
        <f ca="1">IFERROR(__xludf.DUMMYFUNCTION("IF
(
G16063=""фізична особа""
,
VLOOKUP(H16063,IMPORTRANGE(""https://docs.google.com/spreadsheets/d/14Bd19lYaqBhU8_DElYkX7l4wRkHqqCUFNJY4AfY3kHU/edit?usp=sharing  #gid=0"",""фіз особи new!relations_name""),6,FALSE)
,
(IF
(
G16063=""юридична особа""
,
VLOO"&amp;"KUP(H16063,IMPORTRANGE(""https://docs.google.com/spreadsheets/d/14Bd19lYaqBhU8_DElYkX7l4wRkHqqCUFNJY4AfY3kHU/edit?usp=sharing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62" s="7" t="s">
        <v>48</v>
      </c>
    </row>
    <row r="16063" spans="1:10" ht="13.2">
      <c r="A16063" s="7">
        <v>16062</v>
      </c>
      <c r="B16063" s="7">
        <v>1</v>
      </c>
      <c r="C16063" s="7" t="s">
        <v>10</v>
      </c>
      <c r="D16063" s="7">
        <v>8913</v>
      </c>
      <c r="E16063" s="7" t="s">
        <v>48</v>
      </c>
      <c r="F16063" s="8" t="str">
        <f ca="1">IFERROR(__xludf.DUMMYFUNCTION("IF
(
C16064=""фізична особа""
,
VLOOKUP(D16064,IMPORTRANGE(""https://docs.google.com/spreadsheets/d/14Bd19lYaqBhU8_DElYkX7l4wRkHqqCUFNJY4AfY3kHU/edit?usp=sharing  #gid=0"",""фіз особи new!relations_name""),6,FALSE)
,
(IF
(
C16064=""юридична особа""
,
VLOO"&amp;"KUP(D16064,IMPORTRANGE(""https://docs.google.com/spreadsheets/d/14Bd19lYaqBhU8_DElYkX7l4wRkHqqCUFNJY4AfY3kHU/edit?usp=sharing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3" s="7" t="s">
        <v>10</v>
      </c>
      <c r="H16063" s="7">
        <v>737</v>
      </c>
      <c r="I16063" s="8" t="str">
        <f ca="1">IFERROR(__xludf.DUMMYFUNCTION("IF
(
G16064=""фізична особа""
,
VLOOKUP(H16064,IMPORTRANGE(""https://docs.google.com/spreadsheets/d/14Bd19lYaqBhU8_DElYkX7l4wRkHqqCUFNJY4AfY3kHU/edit?usp=sharing  #gid=0"",""фіз особи new!relations_name""),6,FALSE)
,
(IF
(
G16064=""юридична особа""
,
VLOO"&amp;"KUP(H16064,IMPORTRANGE(""https://docs.google.com/spreadsheets/d/14Bd19lYaqBhU8_DElYkX7l4wRkHqqCUFNJY4AfY3kHU/edit?usp=sharing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63" s="7" t="s">
        <v>48</v>
      </c>
    </row>
    <row r="16064" spans="1:10" ht="13.2">
      <c r="A16064" s="7">
        <v>16063</v>
      </c>
      <c r="B16064" s="7">
        <v>1</v>
      </c>
      <c r="C16064" s="7" t="s">
        <v>10</v>
      </c>
      <c r="D16064" s="7">
        <v>8913</v>
      </c>
      <c r="E16064" s="7" t="s">
        <v>48</v>
      </c>
      <c r="F16064" s="8" t="str">
        <f ca="1">IFERROR(__xludf.DUMMYFUNCTION("IF
(
C16065=""фізична особа""
,
VLOOKUP(D16065,IMPORTRANGE(""https://docs.google.com/spreadsheets/d/14Bd19lYaqBhU8_DElYkX7l4wRkHqqCUFNJY4AfY3kHU/edit?usp=sharing  #gid=0"",""фіз особи new!relations_name""),6,FALSE)
,
(IF
(
C16065=""юридична особа""
,
VLOO"&amp;"KUP(D16065,IMPORTRANGE(""https://docs.google.com/spreadsheets/d/14Bd19lYaqBhU8_DElYkX7l4wRkHqqCUFNJY4AfY3kHU/edit?usp=sharing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4" s="7" t="s">
        <v>10</v>
      </c>
      <c r="H16064" s="7">
        <v>468</v>
      </c>
      <c r="I16064" s="8" t="str">
        <f ca="1">IFERROR(__xludf.DUMMYFUNCTION("IF
(
G16065=""фізична особа""
,
VLOOKUP(H16065,IMPORTRANGE(""https://docs.google.com/spreadsheets/d/14Bd19lYaqBhU8_DElYkX7l4wRkHqqCUFNJY4AfY3kHU/edit?usp=sharing  #gid=0"",""фіз особи new!relations_name""),6,FALSE)
,
(IF
(
G16065=""юридична особа""
,
VLOO"&amp;"KUP(H16065,IMPORTRANGE(""https://docs.google.com/spreadsheets/d/14Bd19lYaqBhU8_DElYkX7l4wRkHqqCUFNJY4AfY3kHU/edit?usp=sharing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64" s="7" t="s">
        <v>48</v>
      </c>
    </row>
    <row r="16065" spans="1:10" ht="13.2">
      <c r="A16065" s="7">
        <v>16064</v>
      </c>
      <c r="B16065" s="7">
        <v>1</v>
      </c>
      <c r="C16065" s="7" t="s">
        <v>10</v>
      </c>
      <c r="D16065" s="7">
        <v>8913</v>
      </c>
      <c r="E16065" s="7" t="s">
        <v>48</v>
      </c>
      <c r="F16065" s="8" t="str">
        <f ca="1">IFERROR(__xludf.DUMMYFUNCTION("IF
(
C16066=""фізична особа""
,
VLOOKUP(D16066,IMPORTRANGE(""https://docs.google.com/spreadsheets/d/14Bd19lYaqBhU8_DElYkX7l4wRkHqqCUFNJY4AfY3kHU/edit?usp=sharing  #gid=0"",""фіз особи new!relations_name""),6,FALSE)
,
(IF
(
C16066=""юридична особа""
,
VLOO"&amp;"KUP(D16066,IMPORTRANGE(""https://docs.google.com/spreadsheets/d/14Bd19lYaqBhU8_DElYkX7l4wRkHqqCUFNJY4AfY3kHU/edit?usp=sharing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5" s="7" t="s">
        <v>10</v>
      </c>
      <c r="H16065" s="7">
        <v>859</v>
      </c>
      <c r="I16065" s="8" t="str">
        <f ca="1">IFERROR(__xludf.DUMMYFUNCTION("IF
(
G16066=""фізична особа""
,
VLOOKUP(H16066,IMPORTRANGE(""https://docs.google.com/spreadsheets/d/14Bd19lYaqBhU8_DElYkX7l4wRkHqqCUFNJY4AfY3kHU/edit?usp=sharing  #gid=0"",""фіз особи new!relations_name""),6,FALSE)
,
(IF
(
G16066=""юридична особа""
,
VLOO"&amp;"KUP(H16066,IMPORTRANGE(""https://docs.google.com/spreadsheets/d/14Bd19lYaqBhU8_DElYkX7l4wRkHqqCUFNJY4AfY3kHU/edit?usp=sharing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65" s="7" t="s">
        <v>48</v>
      </c>
    </row>
    <row r="16066" spans="1:10" ht="13.2">
      <c r="A16066" s="7">
        <v>16065</v>
      </c>
      <c r="B16066" s="7">
        <v>1</v>
      </c>
      <c r="C16066" s="7" t="s">
        <v>10</v>
      </c>
      <c r="D16066" s="7">
        <v>8913</v>
      </c>
      <c r="E16066" s="7" t="s">
        <v>48</v>
      </c>
      <c r="F16066" s="8" t="str">
        <f ca="1">IFERROR(__xludf.DUMMYFUNCTION("IF
(
C16067=""фізична особа""
,
VLOOKUP(D16067,IMPORTRANGE(""https://docs.google.com/spreadsheets/d/14Bd19lYaqBhU8_DElYkX7l4wRkHqqCUFNJY4AfY3kHU/edit?usp=sharing  #gid=0"",""фіз особи new!relations_name""),6,FALSE)
,
(IF
(
C16067=""юридична особа""
,
VLOO"&amp;"KUP(D16067,IMPORTRANGE(""https://docs.google.com/spreadsheets/d/14Bd19lYaqBhU8_DElYkX7l4wRkHqqCUFNJY4AfY3kHU/edit?usp=sharing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G16066" s="7" t="s">
        <v>10</v>
      </c>
      <c r="H16066" s="7">
        <v>4022</v>
      </c>
      <c r="I16066" s="8" t="str">
        <f ca="1">IFERROR(__xludf.DUMMYFUNCTION("IF
(
G16067=""фізична особа""
,
VLOOKUP(H16067,IMPORTRANGE(""https://docs.google.com/spreadsheets/d/14Bd19lYaqBhU8_DElYkX7l4wRkHqqCUFNJY4AfY3kHU/edit?usp=sharing  #gid=0"",""фіз особи new!relations_name""),6,FALSE)
,
(IF
(
G16067=""юридична особа""
,
VLOO"&amp;"KUP(H16067,IMPORTRANGE(""https://docs.google.com/spreadsheets/d/14Bd19lYaqBhU8_DElYkX7l4wRkHqqCUFNJY4AfY3kHU/edit?usp=sharing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66" s="7" t="s">
        <v>48</v>
      </c>
    </row>
    <row r="16067" spans="1:10" ht="13.2">
      <c r="A16067" s="7">
        <v>16066</v>
      </c>
      <c r="B16067" s="7">
        <v>1</v>
      </c>
      <c r="C16067" s="7" t="s">
        <v>121</v>
      </c>
      <c r="D16067" s="7">
        <v>6335</v>
      </c>
      <c r="E16067" s="7" t="s">
        <v>122</v>
      </c>
      <c r="F16067" s="8" t="str">
        <f ca="1">IFERROR(__xludf.DUMMYFUNCTION("IF
(
C16068=""фізична особа""
,
VLOOKUP(D16068,IMPORTRANGE(""https://docs.google.com/spreadsheets/d/14Bd19lYaqBhU8_DElYkX7l4wRkHqqCUFNJY4AfY3kHU/edit?usp=sharing  #gid=0"",""фіз особи new!relations_name""),6,FALSE)
,
(IF
(
C16068=""юридична особа""
,
VLOO"&amp;"KUP(D16068,IMPORTRANGE(""https://docs.google.com/spreadsheets/d/14Bd19lYaqBhU8_DElYkX7l4wRkHqqCUFNJY4AfY3kHU/edit?usp=sharing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67" s="7" t="s">
        <v>10</v>
      </c>
      <c r="H16067" s="7">
        <v>2021</v>
      </c>
      <c r="I16067" s="8" t="str">
        <f ca="1">IFERROR(__xludf.DUMMYFUNCTION("IF
(
G16068=""фізична особа""
,
VLOOKUP(H16068,IMPORTRANGE(""https://docs.google.com/spreadsheets/d/14Bd19lYaqBhU8_DElYkX7l4wRkHqqCUFNJY4AfY3kHU/edit?usp=sharing  #gid=0"",""фіз особи new!relations_name""),6,FALSE)
,
(IF
(
G16068=""юридична особа""
,
VLOO"&amp;"KUP(H16068,IMPORTRANGE(""https://docs.google.com/spreadsheets/d/14Bd19lYaqBhU8_DElYkX7l4wRkHqqCUFNJY4AfY3kHU/edit?usp=sharing  #gid=0"",""фіз особи new!relations_name_uo""),7,FALSE)
,
)
))"),"МЕДВЕДЄВА Світлана Володимирівна")</f>
        <v>МЕДВЕДЄВА Світлана Володимирівна</v>
      </c>
      <c r="J16067" s="7" t="s">
        <v>123</v>
      </c>
    </row>
    <row r="16068" spans="1:10" ht="13.2">
      <c r="A16068" s="7">
        <v>16067</v>
      </c>
      <c r="B16068" s="7">
        <v>1</v>
      </c>
      <c r="C16068" s="7" t="s">
        <v>121</v>
      </c>
      <c r="D16068" s="7">
        <v>6335</v>
      </c>
      <c r="E16068" s="7" t="s">
        <v>122</v>
      </c>
      <c r="F16068" s="8" t="str">
        <f ca="1">IFERROR(__xludf.DUMMYFUNCTION("IF
(
C16069=""фізична особа""
,
VLOOKUP(D16069,IMPORTRANGE(""https://docs.google.com/spreadsheets/d/14Bd19lYaqBhU8_DElYkX7l4wRkHqqCUFNJY4AfY3kHU/edit?usp=sharing  #gid=0"",""фіз особи new!relations_name""),6,FALSE)
,
(IF
(
C16069=""юридична особа""
,
VLOO"&amp;"KUP(D16069,IMPORTRANGE(""https://docs.google.com/spreadsheets/d/14Bd19lYaqBhU8_DElYkX7l4wRkHqqCUFNJY4AfY3kHU/edit?usp=sharing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68" s="7" t="s">
        <v>10</v>
      </c>
      <c r="H16068" s="7">
        <v>23352</v>
      </c>
      <c r="I16068" s="8" t="str">
        <f ca="1">IFERROR(__xludf.DUMMYFUNCTION("IF
(
G16069=""фізична особа""
,
VLOOKUP(H16069,IMPORTRANGE(""https://docs.google.com/spreadsheets/d/14Bd19lYaqBhU8_DElYkX7l4wRkHqqCUFNJY4AfY3kHU/edit?usp=sharing  #gid=0"",""фіз особи new!relations_name""),6,FALSE)
,
(IF
(
G16069=""юридична особа""
,
VLOO"&amp;"KUP(H16069,IMPORTRANGE(""https://docs.google.com/spreadsheets/d/14Bd19lYaqBhU8_DElYkX7l4wRkHqqCUFNJY4AfY3kHU/edit?usp=sharing  #gid=0"",""фіз особи new!relations_name_uo""),7,FALSE)
,
)
))"),"КОНОНОВ Андрій Анатолійович")</f>
        <v>КОНОНОВ Андрій Анатолійович</v>
      </c>
      <c r="J16068" s="7" t="s">
        <v>124</v>
      </c>
    </row>
    <row r="16069" spans="1:10" ht="13.2">
      <c r="A16069" s="7">
        <v>16068</v>
      </c>
      <c r="B16069" s="7">
        <v>1</v>
      </c>
      <c r="C16069" s="7" t="s">
        <v>121</v>
      </c>
      <c r="D16069" s="7">
        <v>6335</v>
      </c>
      <c r="E16069" s="7" t="s">
        <v>122</v>
      </c>
      <c r="F16069" s="8" t="str">
        <f ca="1">IFERROR(__xludf.DUMMYFUNCTION("IF
(
C16070=""фізична особа""
,
VLOOKUP(D16070,IMPORTRANGE(""https://docs.google.com/spreadsheets/d/14Bd19lYaqBhU8_DElYkX7l4wRkHqqCUFNJY4AfY3kHU/edit?usp=sharing  #gid=0"",""фіз особи new!relations_name""),6,FALSE)
,
(IF
(
C16070=""юридична особа""
,
VLOO"&amp;"KUP(D16070,IMPORTRANGE(""https://docs.google.com/spreadsheets/d/14Bd19lYaqBhU8_DElYkX7l4wRkHqqCUFNJY4AfY3kHU/edit?usp=sharing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69" s="7" t="s">
        <v>10</v>
      </c>
      <c r="H16069" s="7">
        <v>737</v>
      </c>
      <c r="I16069" s="8" t="str">
        <f ca="1">IFERROR(__xludf.DUMMYFUNCTION("IF
(
G16070=""фізична особа""
,
VLOOKUP(H16070,IMPORTRANGE(""https://docs.google.com/spreadsheets/d/14Bd19lYaqBhU8_DElYkX7l4wRkHqqCUFNJY4AfY3kHU/edit?usp=sharing  #gid=0"",""фіз особи new!relations_name""),6,FALSE)
,
(IF
(
G16070=""юридична особа""
,
VLOO"&amp;"KUP(H16070,IMPORTRANGE(""https://docs.google.com/spreadsheets/d/14Bd19lYaqBhU8_DElYkX7l4wRkHqqCUFNJY4AfY3kHU/edit?usp=sharing  #gid=0"",""фіз особи new!relations_name_uo""),7,FALSE)
,
)
))"),"СЛУЦЬКИЙ Леонід Едуардович")</f>
        <v>СЛУЦЬКИЙ Леонід Едуардович</v>
      </c>
      <c r="J16069" s="7" t="s">
        <v>125</v>
      </c>
    </row>
    <row r="16070" spans="1:10" ht="13.2">
      <c r="A16070" s="7">
        <v>16069</v>
      </c>
      <c r="B16070" s="7">
        <v>1</v>
      </c>
      <c r="C16070" s="7" t="s">
        <v>121</v>
      </c>
      <c r="D16070" s="7">
        <v>6335</v>
      </c>
      <c r="E16070" s="7" t="s">
        <v>122</v>
      </c>
      <c r="F16070" s="8" t="str">
        <f ca="1">IFERROR(__xludf.DUMMYFUNCTION("IF
(
C16071=""фізична особа""
,
VLOOKUP(D16071,IMPORTRANGE(""https://docs.google.com/spreadsheets/d/14Bd19lYaqBhU8_DElYkX7l4wRkHqqCUFNJY4AfY3kHU/edit?usp=sharing  #gid=0"",""фіз особи new!relations_name""),6,FALSE)
,
(IF
(
C16071=""юридична особа""
,
VLOO"&amp;"KUP(D16071,IMPORTRANGE(""https://docs.google.com/spreadsheets/d/14Bd19lYaqBhU8_DElYkX7l4wRkHqqCUFNJY4AfY3kHU/edit?usp=sharing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70" s="7" t="s">
        <v>10</v>
      </c>
      <c r="H16070" s="7">
        <v>468</v>
      </c>
      <c r="I16070" s="8" t="str">
        <f ca="1">IFERROR(__xludf.DUMMYFUNCTION("IF
(
G16071=""фізична особа""
,
VLOOKUP(H16071,IMPORTRANGE(""https://docs.google.com/spreadsheets/d/14Bd19lYaqBhU8_DElYkX7l4wRkHqqCUFNJY4AfY3kHU/edit?usp=sharing  #gid=0"",""фіз особи new!relations_name""),6,FALSE)
,
(IF
(
G16071=""юридична особа""
,
VLOO"&amp;"KUP(H16071,IMPORTRANGE(""https://docs.google.com/spreadsheets/d/14Bd19lYaqBhU8_DElYkX7l4wRkHqqCUFNJY4AfY3kHU/edit?usp=sharing  #gid=0"",""фіз особи new!relations_name_uo""),7,FALSE)
,
)
))"),"БЕГЛОВ Олександр Дмитрович")</f>
        <v>БЕГЛОВ Олександр Дмитрович</v>
      </c>
      <c r="J16070" s="7" t="s">
        <v>126</v>
      </c>
    </row>
    <row r="16071" spans="1:10" ht="13.2">
      <c r="A16071" s="7">
        <v>16070</v>
      </c>
      <c r="B16071" s="7">
        <v>1</v>
      </c>
      <c r="C16071" s="7" t="s">
        <v>121</v>
      </c>
      <c r="D16071" s="7">
        <v>6335</v>
      </c>
      <c r="E16071" s="7" t="s">
        <v>122</v>
      </c>
      <c r="F16071" s="8" t="str">
        <f ca="1">IFERROR(__xludf.DUMMYFUNCTION("IF
(
C16072=""фізична особа""
,
VLOOKUP(D16072,IMPORTRANGE(""https://docs.google.com/spreadsheets/d/14Bd19lYaqBhU8_DElYkX7l4wRkHqqCUFNJY4AfY3kHU/edit?usp=sharing  #gid=0"",""фіз особи new!relations_name""),6,FALSE)
,
(IF
(
C16072=""юридична особа""
,
VLOO"&amp;"KUP(D16072,IMPORTRANGE(""https://docs.google.com/spreadsheets/d/14Bd19lYaqBhU8_DElYkX7l4wRkHqqCUFNJY4AfY3kHU/edit?usp=sharing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71" s="7" t="s">
        <v>10</v>
      </c>
      <c r="H16071" s="7">
        <v>859</v>
      </c>
      <c r="I16071" s="8" t="str">
        <f ca="1">IFERROR(__xludf.DUMMYFUNCTION("IF
(
G16072=""фізична особа""
,
VLOOKUP(H16072,IMPORTRANGE(""https://docs.google.com/spreadsheets/d/14Bd19lYaqBhU8_DElYkX7l4wRkHqqCUFNJY4AfY3kHU/edit?usp=sharing  #gid=0"",""фіз особи new!relations_name""),6,FALSE)
,
(IF
(
G16072=""юридична особа""
,
VLOO"&amp;"KUP(H16072,IMPORTRANGE(""https://docs.google.com/spreadsheets/d/14Bd19lYaqBhU8_DElYkX7l4wRkHqqCUFNJY4AfY3kHU/edit?usp=sharing  #gid=0"",""фіз особи new!relations_name_uo""),7,FALSE)
,
)
))"),"РЄСІН Володимир Йосипович")</f>
        <v>РЄСІН Володимир Йосипович</v>
      </c>
      <c r="J16071" s="7" t="s">
        <v>126</v>
      </c>
    </row>
    <row r="16072" spans="1:10" ht="13.2">
      <c r="A16072" s="7">
        <v>16071</v>
      </c>
      <c r="B16072" s="7">
        <v>1</v>
      </c>
      <c r="C16072" s="7" t="s">
        <v>121</v>
      </c>
      <c r="D16072" s="7">
        <v>6335</v>
      </c>
      <c r="E16072" s="7" t="s">
        <v>122</v>
      </c>
      <c r="F16072" s="8" t="str">
        <f ca="1">IFERROR(__xludf.DUMMYFUNCTION("IF
(
C16073=""фізична особа""
,
VLOOKUP(D16073,IMPORTRANGE(""https://docs.google.com/spreadsheets/d/14Bd19lYaqBhU8_DElYkX7l4wRkHqqCUFNJY4AfY3kHU/edit?usp=sharing  #gid=0"",""фіз особи new!relations_name""),6,FALSE)
,
(IF
(
C16073=""юридична особа""
,
VLOO"&amp;"KUP(D16073,IMPORTRANGE(""https://docs.google.com/spreadsheets/d/14Bd19lYaqBhU8_DElYkX7l4wRkHqqCUFNJY4AfY3kHU/edit?usp=sharing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72" s="7" t="s">
        <v>10</v>
      </c>
      <c r="H16072" s="7">
        <v>4022</v>
      </c>
      <c r="I16072" s="8" t="str">
        <f ca="1">IFERROR(__xludf.DUMMYFUNCTION("IF
(
G16073=""фізична особа""
,
VLOOKUP(H16073,IMPORTRANGE(""https://docs.google.com/spreadsheets/d/14Bd19lYaqBhU8_DElYkX7l4wRkHqqCUFNJY4AfY3kHU/edit?usp=sharing  #gid=0"",""фіз особи new!relations_name""),6,FALSE)
,
(IF
(
G16073=""юридична особа""
,
VLOO"&amp;"KUP(H16073,IMPORTRANGE(""https://docs.google.com/spreadsheets/d/14Bd19lYaqBhU8_DElYkX7l4wRkHqqCUFNJY4AfY3kHU/edit?usp=sharing  #gid=0"",""фіз особи new!relations_name_uo""),7,FALSE)
,
)
))"),"ПОЛТАВЧЕНКО Георгій Сергійович")</f>
        <v>ПОЛТАВЧЕНКО Георгій Сергійович</v>
      </c>
      <c r="J16072" s="7" t="s">
        <v>126</v>
      </c>
    </row>
    <row r="16073" spans="1:10" ht="13.2">
      <c r="A16073" s="7">
        <v>16072</v>
      </c>
      <c r="B16073" s="7">
        <v>1</v>
      </c>
      <c r="C16073" s="7" t="s">
        <v>121</v>
      </c>
      <c r="D16073" s="7">
        <v>6335</v>
      </c>
      <c r="E16073" s="7" t="s">
        <v>122</v>
      </c>
      <c r="F16073" s="8" t="str">
        <f ca="1">IFERROR(__xludf.DUMMYFUNCTION("IF
(
C16074=""фізична особа""
,
VLOOKUP(D16074,IMPORTRANGE(""https://docs.google.com/spreadsheets/d/14Bd19lYaqBhU8_DElYkX7l4wRkHqqCUFNJY4AfY3kHU/edit?usp=sharing  #gid=0"",""фіз особи new!relations_name""),6,FALSE)
,
(IF
(
C16074=""юридична особа""
,
VLOO"&amp;"KUP(D16074,IMPORTRANGE(""https://docs.google.com/spreadsheets/d/14Bd19lYaqBhU8_DElYkX7l4wRkHqqCUFNJY4AfY3kHU/edit?usp=sharing  #gid=0"",""фіз особи new!relations_name_uo""),7,FALSE)
,
)
))"),"НЕКОМЕРЦІЙНА ОРГАНІЗАЦІЯ ""МІЖНАРОДНИЙ БЛАГОДІЙНИЙ ФОНД ""КРОНШТАДТСЬКИЙ МОРСЬКИЙ СОБОР В ІМ'Я СВЯТИТЕЛЯ МИКОЛИ ЧУДОТВОРЦЯ""")</f>
        <v>НЕКОМЕРЦІЙНА ОРГАНІЗАЦІЯ "МІЖНАРОДНИЙ БЛАГОДІЙНИЙ ФОНД "КРОНШТАДТСЬКИЙ МОРСЬКИЙ СОБОР В ІМ'Я СВЯТИТЕЛЯ МИКОЛИ ЧУДОТВОРЦЯ"</v>
      </c>
      <c r="G16073" s="7" t="s">
        <v>10</v>
      </c>
      <c r="H16073" s="7">
        <v>8913</v>
      </c>
      <c r="I16073" s="8" t="str">
        <f ca="1">IFERROR(__xludf.DUMMYFUNCTION("IF
(
G16074=""фізична особа""
,
VLOOKUP(H16074,IMPORTRANGE(""https://docs.google.com/spreadsheets/d/14Bd19lYaqBhU8_DElYkX7l4wRkHqqCUFNJY4AfY3kHU/edit?usp=sharing  #gid=0"",""фіз особи new!relations_name""),6,FALSE)
,
(IF
(
G16074=""юридична особа""
,
VLOO"&amp;"KUP(H16074,IMPORTRANGE(""https://docs.google.com/spreadsheets/d/14Bd19lYaqBhU8_DElYkX7l4wRkHqqCUFNJY4AfY3kHU/edit?usp=sharing  #gid=0"",""фіз особи new!relations_name_uo""),7,FALSE)
,
)
))"),"ГУНДЯЄВ Володимир Михайлович")</f>
        <v>ГУНДЯЄВ Володимир Михайлович</v>
      </c>
      <c r="J16073" s="7" t="s">
        <v>127</v>
      </c>
    </row>
  </sheetData>
  <customSheetViews>
    <customSheetView guid="{57464986-D4C4-4994-902A-06F6329FA337}" filter="1" showAutoFilter="1">
      <pageMargins left="0.7" right="0.7" top="0.75" bottom="0.75" header="0.3" footer="0.3"/>
      <autoFilter ref="A2:U16074" xr:uid="{00000000-0000-0000-0000-000000000000}">
        <filterColumn colId="7">
          <filters>
            <filter val="0"/>
            <filter val="15429"/>
            <filter val="15494"/>
            <filter val="1756"/>
            <filter val="2063"/>
            <filter val="22386"/>
            <filter val="22407"/>
            <filter val="23357"/>
            <filter val="23358"/>
            <filter val="23359"/>
            <filter val="23360"/>
            <filter val="23361"/>
            <filter val="23362"/>
            <filter val="23363"/>
            <filter val="23364"/>
            <filter val="23365"/>
            <filter val="23366"/>
            <filter val="23367"/>
            <filter val="23368"/>
            <filter val="23369"/>
            <filter val="23370"/>
            <filter val="23371"/>
            <filter val="23372"/>
            <filter val="23373"/>
            <filter val="23374"/>
            <filter val="23375"/>
            <filter val="23376"/>
            <filter val="23377"/>
            <filter val="23378"/>
            <filter val="23379"/>
            <filter val="23380"/>
            <filter val="23381"/>
            <filter val="23382"/>
            <filter val="23383"/>
            <filter val="23384"/>
            <filter val="23385"/>
            <filter val="23386"/>
            <filter val="23387"/>
            <filter val="23388"/>
            <filter val="23389"/>
            <filter val="23390"/>
            <filter val="23391"/>
            <filter val="23392"/>
            <filter val="23393"/>
            <filter val="23394"/>
            <filter val="23395"/>
            <filter val="23396"/>
            <filter val="23397"/>
            <filter val="23398"/>
            <filter val="23399"/>
            <filter val="23400"/>
            <filter val="23401"/>
            <filter val="23402"/>
            <filter val="23403"/>
            <filter val="23404"/>
            <filter val="23405"/>
            <filter val="23406"/>
            <filter val="23407"/>
            <filter val="23408"/>
            <filter val="23409"/>
            <filter val="23410"/>
            <filter val="23411"/>
            <filter val="23412"/>
            <filter val="23413"/>
            <filter val="23414"/>
            <filter val="23415"/>
            <filter val="23416"/>
            <filter val="23417"/>
            <filter val="23418"/>
            <filter val="23419"/>
            <filter val="23420"/>
            <filter val="23421"/>
            <filter val="23422"/>
            <filter val="23423"/>
            <filter val="23424"/>
            <filter val="23425"/>
            <filter val="23426"/>
            <filter val="23427"/>
            <filter val="23428"/>
            <filter val="23429"/>
            <filter val="23430"/>
            <filter val="23431"/>
            <filter val="23432"/>
            <filter val="23433"/>
            <filter val="23434"/>
            <filter val="23435"/>
            <filter val="23436"/>
            <filter val="23437"/>
            <filter val="23438"/>
            <filter val="23439"/>
            <filter val="23440"/>
            <filter val="23441"/>
            <filter val="23442"/>
            <filter val="23443"/>
            <filter val="23444"/>
            <filter val="23445"/>
            <filter val="23446"/>
            <filter val="23447"/>
            <filter val="23448"/>
            <filter val="23449"/>
            <filter val="23450"/>
            <filter val="23451"/>
            <filter val="23452"/>
            <filter val="23453"/>
            <filter val="23454"/>
            <filter val="23455"/>
            <filter val="23456"/>
            <filter val="23457"/>
            <filter val="23458"/>
            <filter val="23459"/>
            <filter val="23460"/>
            <filter val="23461"/>
            <filter val="23462"/>
            <filter val="23463"/>
            <filter val="23464"/>
            <filter val="23465"/>
            <filter val="23466"/>
            <filter val="23467"/>
            <filter val="23468"/>
            <filter val="23469"/>
            <filter val="23470"/>
            <filter val="23471"/>
            <filter val="23472"/>
            <filter val="23473"/>
            <filter val="23474"/>
            <filter val="23475"/>
            <filter val="23476"/>
            <filter val="23477"/>
            <filter val="23478"/>
            <filter val="23479"/>
            <filter val="23480"/>
            <filter val="23481"/>
            <filter val="23482"/>
            <filter val="23483"/>
            <filter val="23484"/>
            <filter val="23485"/>
            <filter val="23486"/>
            <filter val="23487"/>
            <filter val="23488"/>
            <filter val="23489"/>
            <filter val="23490"/>
            <filter val="23491"/>
            <filter val="23492"/>
            <filter val="23493"/>
            <filter val="23494"/>
            <filter val="23495"/>
            <filter val="23496"/>
            <filter val="23497"/>
            <filter val="23498"/>
            <filter val="23499"/>
            <filter val="23500"/>
            <filter val="23501"/>
            <filter val="23502"/>
            <filter val="23503"/>
            <filter val="23504"/>
            <filter val="23505"/>
            <filter val="23506"/>
            <filter val="23507"/>
            <filter val="23508"/>
            <filter val="23509"/>
            <filter val="23510"/>
            <filter val="23511"/>
            <filter val="23512"/>
            <filter val="23513"/>
            <filter val="23514"/>
            <filter val="23515"/>
            <filter val="23516"/>
            <filter val="23517"/>
            <filter val="23518"/>
            <filter val="23519"/>
            <filter val="23520"/>
            <filter val="23521"/>
            <filter val="23522"/>
            <filter val="23523"/>
            <filter val="23524"/>
            <filter val="23525"/>
            <filter val="23526"/>
            <filter val="23527"/>
            <filter val="23528"/>
            <filter val="23529"/>
            <filter val="23530"/>
            <filter val="23531"/>
            <filter val="23532"/>
            <filter val="23533"/>
            <filter val="23534"/>
            <filter val="23535"/>
            <filter val="23536"/>
            <filter val="23537"/>
            <filter val="23538"/>
            <filter val="23539"/>
            <filter val="23540"/>
            <filter val="23541"/>
            <filter val="23542"/>
            <filter val="23543"/>
            <filter val="23544"/>
            <filter val="23545"/>
            <filter val="23546"/>
            <filter val="23547"/>
            <filter val="23548"/>
            <filter val="23549"/>
            <filter val="23550"/>
            <filter val="23551"/>
            <filter val="23552"/>
            <filter val="23553"/>
            <filter val="23554"/>
            <filter val="23555"/>
            <filter val="23556"/>
            <filter val="23557"/>
            <filter val="23558"/>
            <filter val="23559"/>
            <filter val="23560"/>
            <filter val="23561"/>
            <filter val="23562"/>
            <filter val="23563"/>
            <filter val="23564"/>
            <filter val="23565"/>
            <filter val="23566"/>
            <filter val="23567"/>
            <filter val="23568"/>
            <filter val="23569"/>
            <filter val="23570"/>
            <filter val="23571"/>
            <filter val="23572"/>
            <filter val="23573"/>
            <filter val="23574"/>
            <filter val="23575"/>
            <filter val="23576"/>
            <filter val="23577"/>
            <filter val="23578"/>
            <filter val="23579"/>
            <filter val="23580"/>
            <filter val="23581"/>
            <filter val="23582"/>
            <filter val="23583"/>
            <filter val="23584"/>
            <filter val="23585"/>
            <filter val="23586"/>
            <filter val="23587"/>
            <filter val="23588"/>
            <filter val="23589"/>
            <filter val="23590"/>
            <filter val="23591"/>
            <filter val="23592"/>
            <filter val="23593"/>
            <filter val="23594"/>
            <filter val="23595"/>
            <filter val="23596"/>
            <filter val="23597"/>
            <filter val="23598"/>
            <filter val="23599"/>
            <filter val="23600"/>
            <filter val="23601"/>
            <filter val="23602"/>
            <filter val="23603"/>
            <filter val="23604"/>
            <filter val="23605"/>
            <filter val="23606"/>
            <filter val="23607"/>
            <filter val="23608"/>
            <filter val="23609"/>
            <filter val="23610"/>
            <filter val="23611"/>
            <filter val="23612"/>
            <filter val="23613"/>
            <filter val="23614"/>
            <filter val="23615"/>
            <filter val="23616"/>
            <filter val="23617"/>
            <filter val="23618"/>
            <filter val="23619"/>
            <filter val="23620"/>
            <filter val="23621"/>
            <filter val="23622"/>
            <filter val="23623"/>
            <filter val="23624"/>
            <filter val="23625"/>
            <filter val="23626"/>
            <filter val="23627"/>
            <filter val="23628"/>
            <filter val="23629"/>
            <filter val="23630"/>
            <filter val="23631"/>
            <filter val="23632"/>
            <filter val="23633"/>
            <filter val="23634"/>
            <filter val="23635"/>
            <filter val="23636"/>
            <filter val="23637"/>
            <filter val="23638"/>
            <filter val="23639"/>
            <filter val="23640"/>
            <filter val="23641"/>
            <filter val="23642"/>
            <filter val="23643"/>
            <filter val="23644"/>
            <filter val="23645"/>
            <filter val="23646"/>
            <filter val="23647"/>
            <filter val="23648"/>
            <filter val="23649"/>
            <filter val="23650"/>
            <filter val="23651"/>
            <filter val="23652"/>
            <filter val="23653"/>
            <filter val="23654"/>
            <filter val="23655"/>
            <filter val="23656"/>
            <filter val="23657"/>
            <filter val="23658"/>
            <filter val="23659"/>
            <filter val="23660"/>
            <filter val="23661"/>
            <filter val="23662"/>
            <filter val="23663"/>
            <filter val="23664"/>
            <filter val="23665"/>
            <filter val="23666"/>
            <filter val="23667"/>
            <filter val="23668"/>
            <filter val="23669"/>
            <filter val="23670"/>
            <filter val="23671"/>
            <filter val="23672"/>
            <filter val="23673"/>
            <filter val="23674"/>
            <filter val="23675"/>
            <filter val="23676"/>
            <filter val="23677"/>
            <filter val="23678"/>
            <filter val="23679"/>
            <filter val="23680"/>
            <filter val="23681"/>
            <filter val="23682"/>
            <filter val="23683"/>
            <filter val="23684"/>
            <filter val="23685"/>
            <filter val="23686"/>
            <filter val="23687"/>
            <filter val="23688"/>
            <filter val="23689"/>
            <filter val="23690"/>
            <filter val="23691"/>
            <filter val="23692"/>
            <filter val="23693"/>
            <filter val="23694"/>
            <filter val="23695"/>
            <filter val="23696"/>
            <filter val="23697"/>
            <filter val="23698"/>
            <filter val="23699"/>
            <filter val="23700"/>
            <filter val="23701"/>
            <filter val="23702"/>
            <filter val="23703"/>
            <filter val="23704"/>
            <filter val="23705"/>
            <filter val="23706"/>
            <filter val="23707"/>
            <filter val="23708"/>
            <filter val="23709"/>
            <filter val="23710"/>
            <filter val="23711"/>
            <filter val="23712"/>
            <filter val="23713"/>
            <filter val="23714"/>
            <filter val="23715"/>
            <filter val="23716"/>
            <filter val="23717"/>
            <filter val="23718"/>
            <filter val="23719"/>
            <filter val="23720"/>
            <filter val="23721"/>
            <filter val="23722"/>
            <filter val="23723"/>
            <filter val="23724"/>
            <filter val="23725"/>
            <filter val="23726"/>
            <filter val="23727"/>
            <filter val="23728"/>
          </filters>
        </filterColumn>
        <filterColumn colId="10">
          <colorFilter dxfId="0"/>
        </filterColumn>
      </autoFilter>
    </customSheetView>
    <customSheetView guid="{EFF6CDDC-3683-455B-B859-31643D0DE002}" filter="1" showAutoFilter="1">
      <pageMargins left="0.7" right="0.7" top="0.75" bottom="0.75" header="0.3" footer="0.3"/>
      <autoFilter ref="A2:U16074" xr:uid="{00000000-0000-0000-0000-000000000000}">
        <filterColumn colId="7">
          <filters>
            <filter val="0"/>
          </filters>
        </filterColumn>
      </autoFilter>
    </customSheetView>
  </customSheetView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0000000}">
          <x14:formula1>
            <xm:f>Список!$A$1:$A$2</xm:f>
          </x14:formula1>
          <xm:sqref>C2:C16073 G2:G16073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"/>
  <sheetViews>
    <sheetView workbookViewId="0"/>
  </sheetViews>
  <sheetFormatPr defaultColWidth="12.6640625" defaultRowHeight="15.75" customHeight="1"/>
  <cols>
    <col min="1" max="1" width="15.33203125" customWidth="1"/>
  </cols>
  <sheetData>
    <row r="1" spans="1:1">
      <c r="A1" s="10" t="s">
        <v>10</v>
      </c>
    </row>
    <row r="2" spans="1:1">
      <c r="A2" s="10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relations</vt:lpstr>
      <vt:lpstr>Список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Pavlo Kulyk</cp:lastModifiedBy>
  <dcterms:modified xsi:type="dcterms:W3CDTF">2022-08-19T10:45:01Z</dcterms:modified>
</cp:coreProperties>
</file>